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52"/>
  <workbookPr/>
  <mc:AlternateContent xmlns:mc="http://schemas.openxmlformats.org/markup-compatibility/2006">
    <mc:Choice Requires="x15">
      <x15ac:absPath xmlns:x15ac="http://schemas.microsoft.com/office/spreadsheetml/2010/11/ac" url="I:\MyMobileBooks_800_Reading\MyTSSnippets\ts00281 3521法选股\"/>
    </mc:Choice>
  </mc:AlternateContent>
  <xr:revisionPtr revIDLastSave="0" documentId="13_ncr:1_{1D94E1CA-2471-4C13-8346-3B7680D81E13}" xr6:coauthVersionLast="36" xr6:coauthVersionMax="36" xr10:uidLastSave="{00000000-0000-0000-0000-000000000000}"/>
  <bookViews>
    <workbookView xWindow="2288" yWindow="0" windowWidth="22088" windowHeight="10515" activeTab="2" xr2:uid="{00000000-000D-0000-FFFF-FFFF00000000}"/>
  </bookViews>
  <sheets>
    <sheet name="Readme" sheetId="5" r:id="rId1"/>
    <sheet name="模板" sheetId="1" r:id="rId2"/>
    <sheet name="2018Q4" sheetId="6" r:id="rId3"/>
    <sheet name="2017Q4" sheetId="7" r:id="rId4"/>
    <sheet name="保险公司" sheetId="2" r:id="rId5"/>
    <sheet name="商业银行" sheetId="3" r:id="rId6"/>
    <sheet name="证券公司" sheetId="4" r:id="rId7"/>
  </sheets>
  <externalReferences>
    <externalReference r:id="rId8"/>
  </externalReferences>
  <definedNames>
    <definedName name="_xlnm._FilterDatabase" localSheetId="2" hidden="1">'2018Q4'!$A$2:$AT$3641</definedName>
    <definedName name="_xlnm._FilterDatabase" localSheetId="1" hidden="1">模板!$A$2:$AT$3641</definedName>
  </definedNames>
  <calcPr calcId="191029"/>
</workbook>
</file>

<file path=xl/calcChain.xml><?xml version="1.0" encoding="utf-8"?>
<calcChain xmlns="http://schemas.openxmlformats.org/spreadsheetml/2006/main">
  <c r="E725" i="1" l="1"/>
  <c r="E2271" i="1"/>
  <c r="E715" i="1"/>
  <c r="E1466" i="1"/>
  <c r="E1889" i="1"/>
  <c r="E1370" i="1"/>
  <c r="E2627" i="1"/>
  <c r="E295" i="1"/>
  <c r="E2039" i="1"/>
  <c r="E1983" i="1"/>
  <c r="E741" i="1"/>
  <c r="E2272" i="1"/>
  <c r="E2219" i="1"/>
  <c r="E2273" i="1"/>
  <c r="E767" i="1"/>
  <c r="E2076" i="1"/>
  <c r="E3409" i="1"/>
  <c r="E2891" i="1"/>
  <c r="E2164" i="1"/>
  <c r="E134" i="1"/>
  <c r="E3" i="1"/>
  <c r="E2109" i="1"/>
  <c r="E2274" i="1"/>
  <c r="E1436" i="1"/>
  <c r="E462" i="1"/>
  <c r="E1310" i="1"/>
  <c r="E1704" i="1"/>
  <c r="E2341" i="1"/>
  <c r="E883" i="1"/>
  <c r="E569" i="1"/>
  <c r="E158" i="1"/>
  <c r="E2275" i="1"/>
  <c r="E564" i="1"/>
  <c r="E1341" i="1"/>
  <c r="E3122" i="1"/>
  <c r="E68" i="1"/>
  <c r="E2663" i="1"/>
  <c r="E1426" i="1"/>
  <c r="E3327" i="1"/>
  <c r="E2432" i="1"/>
  <c r="E4" i="1"/>
  <c r="E967" i="1"/>
  <c r="E2270" i="1"/>
  <c r="E2276" i="1"/>
  <c r="E1177" i="1"/>
  <c r="E678" i="1"/>
  <c r="E348" i="1"/>
  <c r="E1107" i="1"/>
  <c r="E2827" i="1"/>
  <c r="E1127" i="1"/>
  <c r="E1923" i="1"/>
  <c r="E1710" i="1"/>
  <c r="E1460" i="1"/>
  <c r="E1072" i="1"/>
  <c r="E245" i="1"/>
  <c r="E1549" i="1"/>
  <c r="E34" i="1"/>
  <c r="E2414" i="1"/>
  <c r="E986" i="1"/>
  <c r="E228" i="1"/>
  <c r="E1064" i="1"/>
  <c r="E1566" i="1"/>
  <c r="E1035" i="1"/>
  <c r="E479" i="1"/>
  <c r="E1146" i="1"/>
  <c r="E899" i="1"/>
  <c r="E212" i="1"/>
  <c r="E3399" i="1"/>
  <c r="E2041" i="1"/>
  <c r="E917" i="1"/>
  <c r="E1263" i="1"/>
  <c r="E834" i="1"/>
  <c r="E223" i="1"/>
  <c r="E3412" i="1"/>
  <c r="E847" i="1"/>
  <c r="E3413" i="1"/>
  <c r="E2580" i="1"/>
  <c r="E444" i="1"/>
  <c r="E162" i="1"/>
  <c r="E3414" i="1"/>
  <c r="E849" i="1"/>
  <c r="E3415" i="1"/>
  <c r="E1103" i="1"/>
  <c r="E2194" i="1"/>
  <c r="E3416" i="1"/>
  <c r="E3417" i="1"/>
  <c r="E2601" i="1"/>
  <c r="E3418" i="1"/>
  <c r="E2918" i="1"/>
  <c r="E3419" i="1"/>
  <c r="E2518" i="1"/>
  <c r="E3420" i="1"/>
  <c r="E3142" i="1"/>
  <c r="E2000" i="1"/>
  <c r="E3421" i="1"/>
  <c r="E1571" i="1"/>
  <c r="E870" i="1"/>
  <c r="E3422" i="1"/>
  <c r="E1603" i="1"/>
  <c r="E3423" i="1"/>
  <c r="E2350" i="1"/>
  <c r="E3424" i="1"/>
  <c r="E319" i="1"/>
  <c r="E2266" i="1"/>
  <c r="E3425" i="1"/>
  <c r="E2465" i="1"/>
  <c r="E3426" i="1"/>
  <c r="E3427" i="1"/>
  <c r="E2686" i="1"/>
  <c r="E3428" i="1"/>
  <c r="E3429" i="1"/>
  <c r="E3430" i="1"/>
  <c r="E3431" i="1"/>
  <c r="E3432" i="1"/>
  <c r="E3433" i="1"/>
  <c r="E2637" i="1"/>
  <c r="E3434" i="1"/>
  <c r="E3435" i="1"/>
  <c r="E1993" i="1"/>
  <c r="E3436" i="1"/>
  <c r="E913" i="1"/>
  <c r="E3437" i="1"/>
  <c r="E3438" i="1"/>
  <c r="E3439" i="1"/>
  <c r="E3440" i="1"/>
  <c r="E3441" i="1"/>
  <c r="E1223" i="1"/>
  <c r="E641" i="1"/>
  <c r="E1492" i="1"/>
  <c r="E3442" i="1"/>
  <c r="E204" i="1"/>
  <c r="E1832" i="1"/>
  <c r="E3231" i="1"/>
  <c r="E325" i="1"/>
  <c r="E3443" i="1"/>
  <c r="E1542" i="1"/>
  <c r="E546" i="1"/>
  <c r="E3444" i="1"/>
  <c r="E806" i="1"/>
  <c r="E1180" i="1"/>
  <c r="E3445" i="1"/>
  <c r="E2858" i="1"/>
  <c r="E3446" i="1"/>
  <c r="E3447" i="1"/>
  <c r="E2013" i="1"/>
  <c r="E1317" i="1"/>
  <c r="E2832" i="1"/>
  <c r="E3448" i="1"/>
  <c r="E2586" i="1"/>
  <c r="E3449" i="1"/>
  <c r="E2463" i="1"/>
  <c r="E1160" i="1"/>
  <c r="E2486" i="1"/>
  <c r="E1381" i="1"/>
  <c r="E790" i="1"/>
  <c r="E3450" i="1"/>
  <c r="E3451" i="1"/>
  <c r="E3452" i="1"/>
  <c r="E1505" i="1"/>
  <c r="E2352" i="1"/>
  <c r="E1907" i="1"/>
  <c r="E2564" i="1"/>
  <c r="E519" i="1"/>
  <c r="E3453" i="1"/>
  <c r="E2277" i="1"/>
  <c r="E3454" i="1"/>
  <c r="E1985" i="1"/>
  <c r="E2688" i="1"/>
  <c r="E926" i="1"/>
  <c r="E3455" i="1"/>
  <c r="E3456" i="1"/>
  <c r="E3457" i="1"/>
  <c r="E3458" i="1"/>
  <c r="E1499" i="1"/>
  <c r="E3459" i="1"/>
  <c r="E129" i="1"/>
  <c r="E3460" i="1"/>
  <c r="E3461" i="1"/>
  <c r="E3462" i="1"/>
  <c r="E3463" i="1"/>
  <c r="E2239" i="1"/>
  <c r="E1024" i="1"/>
  <c r="E3464" i="1"/>
  <c r="E3465" i="1"/>
  <c r="E1167" i="1"/>
  <c r="E3466" i="1"/>
  <c r="E2403" i="1"/>
  <c r="E3467" i="1"/>
  <c r="E3468" i="1"/>
  <c r="E3469" i="1"/>
  <c r="E3470" i="1"/>
  <c r="E3471" i="1"/>
  <c r="E3472" i="1"/>
  <c r="E1170" i="1"/>
  <c r="E1951" i="1"/>
  <c r="E3473" i="1"/>
  <c r="E3474" i="1"/>
  <c r="E3475" i="1"/>
  <c r="E77" i="1"/>
  <c r="E3256" i="1"/>
  <c r="E1507" i="1"/>
  <c r="E3476" i="1"/>
  <c r="E2456" i="1"/>
  <c r="E3477" i="1"/>
  <c r="E3478" i="1"/>
  <c r="E625" i="1"/>
  <c r="E3479" i="1"/>
  <c r="E2652" i="1"/>
  <c r="E3480" i="1"/>
  <c r="E3481" i="1"/>
  <c r="E3482" i="1"/>
  <c r="E1211" i="1"/>
  <c r="E3483" i="1"/>
  <c r="E3484" i="1"/>
  <c r="E3064" i="1"/>
  <c r="E3000" i="1"/>
  <c r="E2228" i="1"/>
  <c r="E1592" i="1"/>
  <c r="E3485" i="1"/>
  <c r="E1623" i="1"/>
  <c r="E2102" i="1"/>
  <c r="E3486" i="1"/>
  <c r="E3279" i="1"/>
  <c r="E1489" i="1"/>
  <c r="E3487" i="1"/>
  <c r="E3488" i="1"/>
  <c r="E3489" i="1"/>
  <c r="E2503" i="1"/>
  <c r="E2438" i="1"/>
  <c r="E1285" i="1"/>
  <c r="E3490" i="1"/>
  <c r="E438" i="1"/>
  <c r="E2730" i="1"/>
  <c r="E2661" i="1"/>
  <c r="E714" i="1"/>
  <c r="E3491" i="1"/>
  <c r="E3492" i="1"/>
  <c r="E3211" i="1"/>
  <c r="E1616" i="1"/>
  <c r="E229" i="1"/>
  <c r="E1224" i="1"/>
  <c r="E3493" i="1"/>
  <c r="E3494" i="1"/>
  <c r="E1182" i="1"/>
  <c r="E974" i="1"/>
  <c r="E3495" i="1"/>
  <c r="E3261" i="1"/>
  <c r="E3496" i="1"/>
  <c r="E85" i="1"/>
  <c r="E3497" i="1"/>
  <c r="E3498" i="1"/>
  <c r="E3156" i="1"/>
  <c r="E1969" i="1"/>
  <c r="E3499" i="1"/>
  <c r="E3500" i="1"/>
  <c r="E3501" i="1"/>
  <c r="E3502" i="1"/>
  <c r="E373" i="1"/>
  <c r="E150" i="1"/>
  <c r="E3503" i="1"/>
  <c r="E3504" i="1"/>
  <c r="E2517" i="1"/>
  <c r="E699" i="1"/>
  <c r="E3505" i="1"/>
  <c r="E3506" i="1"/>
  <c r="E1767" i="1"/>
  <c r="E3208" i="1"/>
  <c r="E515" i="1"/>
  <c r="E3507" i="1"/>
  <c r="E1353" i="1"/>
  <c r="E3508" i="1"/>
  <c r="E3509" i="1"/>
  <c r="E3510" i="1"/>
  <c r="E3511" i="1"/>
  <c r="E2957" i="1"/>
  <c r="E3512" i="1"/>
  <c r="E1493" i="1"/>
  <c r="E3513" i="1"/>
  <c r="E2992" i="1"/>
  <c r="E2913" i="1"/>
  <c r="E3514" i="1"/>
  <c r="E3515" i="1"/>
  <c r="E854" i="1"/>
  <c r="E2836" i="1"/>
  <c r="E3516" i="1"/>
  <c r="E1288" i="1"/>
  <c r="E1817" i="1"/>
  <c r="E3517" i="1"/>
  <c r="E73" i="1"/>
  <c r="E2736" i="1"/>
  <c r="E1684" i="1"/>
  <c r="E2850" i="1"/>
  <c r="E3518" i="1"/>
  <c r="E252" i="1"/>
  <c r="E2071" i="1"/>
  <c r="E812" i="1"/>
  <c r="E2113" i="1"/>
  <c r="E3519" i="1"/>
  <c r="E2726" i="1"/>
  <c r="E432" i="1"/>
  <c r="E2092" i="1"/>
  <c r="E1665" i="1"/>
  <c r="E44" i="1"/>
  <c r="E291" i="1"/>
  <c r="E2606" i="1"/>
  <c r="E3520" i="1"/>
  <c r="E3521" i="1"/>
  <c r="E1469" i="1"/>
  <c r="E2278" i="1"/>
  <c r="E2107" i="1"/>
  <c r="E3385" i="1"/>
  <c r="E3522" i="1"/>
  <c r="E3523" i="1"/>
  <c r="E2610" i="1"/>
  <c r="E3524" i="1"/>
  <c r="E1824" i="1"/>
  <c r="E340" i="1"/>
  <c r="E3525" i="1"/>
  <c r="E3526" i="1"/>
  <c r="E1531" i="1"/>
  <c r="E3527" i="1"/>
  <c r="E2257" i="1"/>
  <c r="E3528" i="1"/>
  <c r="E945" i="1"/>
  <c r="E2835" i="1"/>
  <c r="E3529" i="1"/>
  <c r="E752" i="1"/>
  <c r="E3530" i="1"/>
  <c r="E1372" i="1"/>
  <c r="E3531" i="1"/>
  <c r="E3532" i="1"/>
  <c r="E3533" i="1"/>
  <c r="E2592" i="1"/>
  <c r="E2442" i="1"/>
  <c r="E1149" i="1"/>
  <c r="E2279" i="1"/>
  <c r="E3534" i="1"/>
  <c r="E1259" i="1"/>
  <c r="E3535" i="1"/>
  <c r="E1367" i="1"/>
  <c r="E3536" i="1"/>
  <c r="E3032" i="1"/>
  <c r="E3537" i="1"/>
  <c r="E560" i="1"/>
  <c r="E216" i="1"/>
  <c r="E3538" i="1"/>
  <c r="E1145" i="1"/>
  <c r="E2031" i="1"/>
  <c r="E1849" i="1"/>
  <c r="E3193" i="1"/>
  <c r="E3539" i="1"/>
  <c r="E3540" i="1"/>
  <c r="E292" i="1"/>
  <c r="E776" i="1"/>
  <c r="E3127" i="1"/>
  <c r="E3541" i="1"/>
  <c r="E114" i="1"/>
  <c r="E3542" i="1"/>
  <c r="E1131" i="1"/>
  <c r="E3543" i="1"/>
  <c r="E1520" i="1"/>
  <c r="E3544" i="1"/>
  <c r="E3545" i="1"/>
  <c r="E3546" i="1"/>
  <c r="E2356" i="1"/>
  <c r="E139" i="1"/>
  <c r="E843" i="1"/>
  <c r="E2624" i="1"/>
  <c r="E3236" i="1"/>
  <c r="E2186" i="1"/>
  <c r="E3547" i="1"/>
  <c r="E3548" i="1"/>
  <c r="E176" i="1"/>
  <c r="E2694" i="1"/>
  <c r="E3549" i="1"/>
  <c r="E2937" i="1"/>
  <c r="E2171" i="1"/>
  <c r="E267" i="1"/>
  <c r="E2407" i="1"/>
  <c r="E2803" i="1"/>
  <c r="E3550" i="1"/>
  <c r="E1711" i="1"/>
  <c r="E3551" i="1"/>
  <c r="E2036" i="1"/>
  <c r="E465" i="1"/>
  <c r="E3552" i="1"/>
  <c r="E1707" i="1"/>
  <c r="E3553" i="1"/>
  <c r="E2534" i="1"/>
  <c r="E3554" i="1"/>
  <c r="E1804" i="1"/>
  <c r="E3555" i="1"/>
  <c r="E2428" i="1"/>
  <c r="E1049" i="1"/>
  <c r="E1159" i="1"/>
  <c r="E2811" i="1"/>
  <c r="E3157" i="1"/>
  <c r="E65" i="1"/>
  <c r="E151" i="1"/>
  <c r="E371" i="1"/>
  <c r="E3556" i="1"/>
  <c r="E331" i="1"/>
  <c r="E3557" i="1"/>
  <c r="E3558" i="1"/>
  <c r="E3559" i="1"/>
  <c r="E1713" i="1"/>
  <c r="E1036" i="1"/>
  <c r="E64" i="1"/>
  <c r="E407" i="1"/>
  <c r="E3560" i="1"/>
  <c r="E1865" i="1"/>
  <c r="E2108" i="1"/>
  <c r="E2222" i="1"/>
  <c r="E1562" i="1"/>
  <c r="E3561" i="1"/>
  <c r="E3562" i="1"/>
  <c r="E2794" i="1"/>
  <c r="E3563" i="1"/>
  <c r="E2649" i="1"/>
  <c r="E3564" i="1"/>
  <c r="E3565" i="1"/>
  <c r="E3566" i="1"/>
  <c r="E3567" i="1"/>
  <c r="E3568" i="1"/>
  <c r="E3280" i="1"/>
  <c r="E1690" i="1"/>
  <c r="E1632" i="1"/>
  <c r="E3569" i="1"/>
  <c r="E2826" i="1"/>
  <c r="E1940" i="1"/>
  <c r="E3570" i="1"/>
  <c r="E1291" i="1"/>
  <c r="E3008" i="1"/>
  <c r="E3571" i="1"/>
  <c r="E880" i="1"/>
  <c r="E3572" i="1"/>
  <c r="E2196" i="1"/>
  <c r="E1323" i="1"/>
  <c r="E3573" i="1"/>
  <c r="E3574" i="1"/>
  <c r="E2445" i="1"/>
  <c r="E3575" i="1"/>
  <c r="E3576" i="1"/>
  <c r="E969" i="1"/>
  <c r="E344" i="1"/>
  <c r="E1487" i="1"/>
  <c r="E3577" i="1"/>
  <c r="E1523" i="1"/>
  <c r="E3578" i="1"/>
  <c r="E3579" i="1"/>
  <c r="E1780" i="1"/>
  <c r="E3580" i="1"/>
  <c r="E2797" i="1"/>
  <c r="E720" i="1"/>
  <c r="E3096" i="1"/>
  <c r="E3581" i="1"/>
  <c r="E3582" i="1"/>
  <c r="E953" i="1"/>
  <c r="E2461" i="1"/>
  <c r="E2342" i="1"/>
  <c r="E3583" i="1"/>
  <c r="E1716" i="1"/>
  <c r="E670" i="1"/>
  <c r="E1579" i="1"/>
  <c r="E163" i="1"/>
  <c r="E2593" i="1"/>
  <c r="E3584" i="1"/>
  <c r="E3585" i="1"/>
  <c r="E3586" i="1"/>
  <c r="E3587" i="1"/>
  <c r="E289" i="1"/>
  <c r="E2602" i="1"/>
  <c r="E1651" i="1"/>
  <c r="E207" i="1"/>
  <c r="E1521" i="1"/>
  <c r="E2741" i="1"/>
  <c r="E3017" i="1"/>
  <c r="E869" i="1"/>
  <c r="E1753" i="1"/>
  <c r="E2527" i="1"/>
  <c r="E3588" i="1"/>
  <c r="E573" i="1"/>
  <c r="E3589" i="1"/>
  <c r="E3590" i="1"/>
  <c r="E658" i="1"/>
  <c r="E930" i="1"/>
  <c r="E3591" i="1"/>
  <c r="E206" i="1"/>
  <c r="E2177" i="1"/>
  <c r="E3592" i="1"/>
  <c r="E3593" i="1"/>
  <c r="E3594" i="1"/>
  <c r="E3595" i="1"/>
  <c r="E1655" i="1"/>
  <c r="E3596" i="1"/>
  <c r="E3597" i="1"/>
  <c r="E328" i="1"/>
  <c r="E3598" i="1"/>
  <c r="E1153" i="1"/>
  <c r="E3599" i="1"/>
  <c r="E3600" i="1"/>
  <c r="E3601" i="1"/>
  <c r="E1113" i="1"/>
  <c r="E1814" i="1"/>
  <c r="E2742" i="1"/>
  <c r="E1163" i="1"/>
  <c r="E863" i="1"/>
  <c r="E3602" i="1"/>
  <c r="E1808" i="1"/>
  <c r="E1473" i="1"/>
  <c r="E565" i="1"/>
  <c r="E3603" i="1"/>
  <c r="E2851" i="1"/>
  <c r="E1958" i="1"/>
  <c r="E3604" i="1"/>
  <c r="E2930" i="1"/>
  <c r="E2145" i="1"/>
  <c r="E3605" i="1"/>
  <c r="E2192" i="1"/>
  <c r="E1950" i="1"/>
  <c r="E3606" i="1"/>
  <c r="E608" i="1"/>
  <c r="E1925" i="1"/>
  <c r="E643" i="1"/>
  <c r="E1673" i="1"/>
  <c r="E2526" i="1"/>
  <c r="E3607" i="1"/>
  <c r="E3608" i="1"/>
  <c r="E581" i="1"/>
  <c r="E1187" i="1"/>
  <c r="E3609" i="1"/>
  <c r="E1340" i="1"/>
  <c r="E1575" i="1"/>
  <c r="E2136" i="1"/>
  <c r="E1156" i="1"/>
  <c r="E2623" i="1"/>
  <c r="E1266" i="1"/>
  <c r="E743" i="1"/>
  <c r="E2562" i="1"/>
  <c r="E3610" i="1"/>
  <c r="E1994" i="1"/>
  <c r="E638" i="1"/>
  <c r="E3611" i="1"/>
  <c r="E3612" i="1"/>
  <c r="E527" i="1"/>
  <c r="E3613" i="1"/>
  <c r="E2964" i="1"/>
  <c r="E3361" i="1"/>
  <c r="E3614" i="1"/>
  <c r="E2768" i="1"/>
  <c r="E3615" i="1"/>
  <c r="E872" i="1"/>
  <c r="E656" i="1"/>
  <c r="E2450" i="1"/>
  <c r="E63" i="1"/>
  <c r="E1952" i="1"/>
  <c r="E3616" i="1"/>
  <c r="E510" i="1"/>
  <c r="E262" i="1"/>
  <c r="E791" i="1"/>
  <c r="E3617" i="1"/>
  <c r="E3618" i="1"/>
  <c r="E3619" i="1"/>
  <c r="E3620" i="1"/>
  <c r="E1666" i="1"/>
  <c r="E553" i="1"/>
  <c r="E460" i="1"/>
  <c r="E306" i="1"/>
  <c r="E2514" i="1"/>
  <c r="E1677" i="1"/>
  <c r="E3337" i="1"/>
  <c r="E2740" i="1"/>
  <c r="E118" i="1"/>
  <c r="E557" i="1"/>
  <c r="E619" i="1"/>
  <c r="E1696" i="1"/>
  <c r="E2531" i="1"/>
  <c r="E3034" i="1"/>
  <c r="E3621" i="1"/>
  <c r="E3622" i="1"/>
  <c r="E3623" i="1"/>
  <c r="E3624" i="1"/>
  <c r="E3625" i="1"/>
  <c r="E1128" i="1"/>
  <c r="E3139" i="1"/>
  <c r="E3626" i="1"/>
  <c r="E3627" i="1"/>
  <c r="E275" i="1"/>
  <c r="E84" i="1"/>
  <c r="E599" i="1"/>
  <c r="E1856" i="1"/>
  <c r="E3628" i="1"/>
  <c r="E1111" i="1"/>
  <c r="E346" i="1"/>
  <c r="E2749" i="1"/>
  <c r="E3629" i="1"/>
  <c r="E2227" i="1"/>
  <c r="E1065" i="1"/>
  <c r="E3630" i="1"/>
  <c r="E3281" i="1"/>
  <c r="E1200" i="1"/>
  <c r="E2499" i="1"/>
  <c r="E3631" i="1"/>
  <c r="E2354" i="1"/>
  <c r="E1584" i="1"/>
  <c r="E3632" i="1"/>
  <c r="E1946" i="1"/>
  <c r="E3633" i="1"/>
  <c r="E498" i="1"/>
  <c r="E54" i="1"/>
  <c r="E2834" i="1"/>
  <c r="E3634" i="1"/>
  <c r="E3635" i="1"/>
  <c r="E962" i="1"/>
  <c r="E3636" i="1"/>
  <c r="E474" i="1"/>
  <c r="E1136" i="1"/>
  <c r="E3637" i="1"/>
  <c r="E2560" i="1"/>
  <c r="E3202" i="1"/>
  <c r="E421" i="1"/>
  <c r="E2156" i="1"/>
  <c r="E3352" i="1"/>
  <c r="E3638" i="1"/>
  <c r="E2756" i="1"/>
  <c r="E1546" i="1"/>
  <c r="E2798" i="1"/>
  <c r="E754" i="1"/>
  <c r="E493" i="1"/>
  <c r="E1786" i="1"/>
  <c r="E3639" i="1"/>
  <c r="E3640" i="1"/>
  <c r="E78" i="1"/>
  <c r="E3641" i="1"/>
  <c r="E3120" i="1"/>
  <c r="E1836" i="1"/>
  <c r="E645" i="1"/>
  <c r="E1209" i="1"/>
  <c r="E384" i="1"/>
  <c r="E517" i="1"/>
  <c r="E178" i="1"/>
  <c r="E1461" i="1"/>
  <c r="E2546" i="1"/>
  <c r="E424" i="1"/>
  <c r="E1756" i="1"/>
  <c r="E2611" i="1"/>
  <c r="E1770" i="1"/>
  <c r="E329" i="1"/>
  <c r="E684" i="1"/>
  <c r="E1194" i="1"/>
  <c r="E2946" i="1"/>
  <c r="E303" i="1"/>
  <c r="E3411" i="1"/>
  <c r="E2202" i="1"/>
  <c r="E805" i="1"/>
  <c r="E1173" i="1"/>
  <c r="E3244" i="1"/>
  <c r="E2885" i="1"/>
  <c r="E618" i="1"/>
  <c r="E1664" i="1"/>
  <c r="E1237" i="1"/>
  <c r="E279" i="1"/>
  <c r="E541" i="1"/>
  <c r="E1861" i="1"/>
  <c r="E2369" i="1"/>
  <c r="E102" i="1"/>
  <c r="E45" i="1"/>
  <c r="E1124" i="1"/>
  <c r="E3212" i="1"/>
  <c r="E3009" i="1"/>
  <c r="E278" i="1"/>
  <c r="E1080" i="1"/>
  <c r="E1572" i="1"/>
  <c r="E733" i="1"/>
  <c r="E1121" i="1"/>
  <c r="E1282" i="1"/>
  <c r="E860" i="1"/>
  <c r="E3021" i="1"/>
  <c r="E182" i="1"/>
  <c r="E1698" i="1"/>
  <c r="E435" i="1"/>
  <c r="E2424" i="1"/>
  <c r="E2881" i="1"/>
  <c r="E1138" i="1"/>
  <c r="E3335" i="1"/>
  <c r="E3286" i="1"/>
  <c r="E284" i="1"/>
  <c r="E1588" i="1"/>
  <c r="E1453" i="1"/>
  <c r="E700" i="1"/>
  <c r="E406" i="1"/>
  <c r="E558" i="1"/>
  <c r="E2949" i="1"/>
  <c r="E1608" i="1"/>
  <c r="E243" i="1"/>
  <c r="E2772" i="1"/>
  <c r="E1956" i="1"/>
  <c r="E2426" i="1"/>
  <c r="E409" i="1"/>
  <c r="E842" i="1"/>
  <c r="E626" i="1"/>
  <c r="E988" i="1"/>
  <c r="E2773" i="1"/>
  <c r="E48" i="1"/>
  <c r="E2857" i="1"/>
  <c r="E1966" i="1"/>
  <c r="E1474" i="1"/>
  <c r="E2082" i="1"/>
  <c r="E2124" i="1"/>
  <c r="E1257" i="1"/>
  <c r="E33" i="1"/>
  <c r="E1408" i="1"/>
  <c r="E951" i="1"/>
  <c r="E1806" i="1"/>
  <c r="E1137" i="1"/>
  <c r="E2495" i="1"/>
  <c r="E968" i="1"/>
  <c r="E3250" i="1"/>
  <c r="E2160" i="1"/>
  <c r="E3397" i="1"/>
  <c r="E822" i="1"/>
  <c r="E305" i="1"/>
  <c r="E924" i="1"/>
  <c r="E189" i="1"/>
  <c r="E2430" i="1"/>
  <c r="E197" i="1"/>
  <c r="E1404" i="1"/>
  <c r="E1748" i="1"/>
  <c r="E3232" i="1"/>
  <c r="E3336" i="1"/>
  <c r="E2543" i="1"/>
  <c r="E1041" i="1"/>
  <c r="E2176" i="1"/>
  <c r="E1500" i="1"/>
  <c r="E2508" i="1"/>
  <c r="E1997" i="1"/>
  <c r="E1779" i="1"/>
  <c r="E2642" i="1"/>
  <c r="E2717" i="1"/>
  <c r="E734" i="1"/>
  <c r="E2167" i="1"/>
  <c r="E1004" i="1"/>
  <c r="E1157" i="1"/>
  <c r="E58" i="1"/>
  <c r="E359" i="1"/>
  <c r="E283" i="1"/>
  <c r="E382" i="1"/>
  <c r="E1196" i="1"/>
  <c r="E2868" i="1"/>
  <c r="E1935" i="1"/>
  <c r="E52" i="1"/>
  <c r="E504" i="1"/>
  <c r="E1825" i="1"/>
  <c r="E1120" i="1"/>
  <c r="E2022" i="1"/>
  <c r="E1557" i="1"/>
  <c r="E3301" i="1"/>
  <c r="E2746" i="1"/>
  <c r="E1320" i="1"/>
  <c r="E271" i="1"/>
  <c r="E1280" i="1"/>
  <c r="E2752" i="1"/>
  <c r="E1773" i="1"/>
  <c r="E2504" i="1"/>
  <c r="E3028" i="1"/>
  <c r="E2915" i="1"/>
  <c r="E5" i="1"/>
  <c r="E1840" i="1"/>
  <c r="E2658" i="1"/>
  <c r="E2467" i="1"/>
  <c r="E164" i="1"/>
  <c r="E1001" i="1"/>
  <c r="E1203" i="1"/>
  <c r="E2960" i="1"/>
  <c r="E2427" i="1"/>
  <c r="E2187" i="1"/>
  <c r="E2497" i="1"/>
  <c r="E691" i="1"/>
  <c r="E1454" i="1"/>
  <c r="E2017" i="1"/>
  <c r="E152" i="1"/>
  <c r="E1640" i="1"/>
  <c r="E318" i="1"/>
  <c r="E999" i="1"/>
  <c r="E2210" i="1"/>
  <c r="E361" i="1"/>
  <c r="E2034" i="1"/>
  <c r="E2576" i="1"/>
  <c r="E2897" i="1"/>
  <c r="E2214" i="1"/>
  <c r="E1737" i="1"/>
  <c r="E2263" i="1"/>
  <c r="E1746" i="1"/>
  <c r="E1226" i="1"/>
  <c r="E3147" i="1"/>
  <c r="E1755" i="1"/>
  <c r="E2908" i="1"/>
  <c r="E1928" i="1"/>
  <c r="E380" i="1"/>
  <c r="E3357" i="1"/>
  <c r="E28" i="1"/>
  <c r="E282" i="1"/>
  <c r="E1996" i="1"/>
  <c r="E2519" i="1"/>
  <c r="E2213" i="1"/>
  <c r="E457" i="1"/>
  <c r="E1894" i="1"/>
  <c r="E1002" i="1"/>
  <c r="E644" i="1"/>
  <c r="E1241" i="1"/>
  <c r="E732" i="1"/>
  <c r="E1075" i="1"/>
  <c r="E1611" i="1"/>
  <c r="E1400" i="1"/>
  <c r="E3140" i="1"/>
  <c r="E3111" i="1"/>
  <c r="E1740" i="1"/>
  <c r="E2098" i="1"/>
  <c r="E3182" i="1"/>
  <c r="E3198" i="1"/>
  <c r="E476" i="1"/>
  <c r="E876" i="1"/>
  <c r="E2845" i="1"/>
  <c r="E1918" i="1"/>
  <c r="E403" i="1"/>
  <c r="E1910" i="1"/>
  <c r="E653" i="1"/>
  <c r="E566" i="1"/>
  <c r="E3323" i="1"/>
  <c r="E2750" i="1"/>
  <c r="E1897" i="1"/>
  <c r="E932" i="1"/>
  <c r="E80" i="1"/>
  <c r="E820" i="1"/>
  <c r="E1760" i="1"/>
  <c r="E623" i="1"/>
  <c r="E2672" i="1"/>
  <c r="E3199" i="1"/>
  <c r="E907" i="1"/>
  <c r="E253" i="1"/>
  <c r="E1715" i="1"/>
  <c r="E458" i="1"/>
  <c r="E3105" i="1"/>
  <c r="E2234" i="1"/>
  <c r="E1827" i="1"/>
  <c r="E2961" i="1"/>
  <c r="E2558" i="1"/>
  <c r="E1311" i="1"/>
  <c r="E1989" i="1"/>
  <c r="E1005" i="1"/>
  <c r="E3376" i="1"/>
  <c r="E2594" i="1"/>
  <c r="E1031" i="1"/>
  <c r="E2491" i="1"/>
  <c r="E2799" i="1"/>
  <c r="E2763" i="1"/>
  <c r="E1192" i="1"/>
  <c r="E2047" i="1"/>
  <c r="E3126" i="1"/>
  <c r="E2684" i="1"/>
  <c r="E22" i="1"/>
  <c r="E1475" i="1"/>
  <c r="E89" i="1"/>
  <c r="E3345" i="1"/>
  <c r="E2718" i="1"/>
  <c r="E3400" i="1"/>
  <c r="E1607" i="1"/>
  <c r="E3394" i="1"/>
  <c r="E3401" i="1"/>
  <c r="E2452" i="1"/>
  <c r="E1315" i="1"/>
  <c r="E1277" i="1"/>
  <c r="E1055" i="1"/>
  <c r="E2413" i="1"/>
  <c r="E2692" i="1"/>
  <c r="E3168" i="1"/>
  <c r="E773" i="1"/>
  <c r="E315" i="1"/>
  <c r="E1109" i="1"/>
  <c r="E3395" i="1"/>
  <c r="E103" i="1"/>
  <c r="E2991" i="1"/>
  <c r="E379" i="1"/>
  <c r="E2545" i="1"/>
  <c r="E1491" i="1"/>
  <c r="E3097" i="1"/>
  <c r="E2493" i="1"/>
  <c r="E1552" i="1"/>
  <c r="E881" i="1"/>
  <c r="E853" i="1"/>
  <c r="E1089" i="1"/>
  <c r="E3033" i="1"/>
  <c r="E3075" i="1"/>
  <c r="E172" i="1"/>
  <c r="E707" i="1"/>
  <c r="E1776" i="1"/>
  <c r="E135" i="1"/>
  <c r="E895" i="1"/>
  <c r="E2708" i="1"/>
  <c r="E1014" i="1"/>
  <c r="E3106" i="1"/>
  <c r="E1412" i="1"/>
  <c r="E1123" i="1"/>
  <c r="E2636" i="1"/>
  <c r="E101" i="1"/>
  <c r="E155" i="1"/>
  <c r="E1300" i="1"/>
  <c r="E850" i="1"/>
  <c r="E2973" i="1"/>
  <c r="E1851" i="1"/>
  <c r="E1098" i="1"/>
  <c r="E144" i="1"/>
  <c r="E1774" i="1"/>
  <c r="E1312" i="1"/>
  <c r="E1559" i="1"/>
  <c r="E1384" i="1"/>
  <c r="E1316" i="1"/>
  <c r="E2019" i="1"/>
  <c r="E294" i="1"/>
  <c r="E427" i="1"/>
  <c r="E3164" i="1"/>
  <c r="E3306" i="1"/>
  <c r="E2131" i="1"/>
  <c r="E2621" i="1"/>
  <c r="E1038" i="1"/>
  <c r="E976" i="1"/>
  <c r="E3078" i="1"/>
  <c r="E2643" i="1"/>
  <c r="E2535" i="1"/>
  <c r="E1302" i="1"/>
  <c r="E2669" i="1"/>
  <c r="E1614" i="1"/>
  <c r="E1697" i="1"/>
  <c r="E2474" i="1"/>
  <c r="E2629" i="1"/>
  <c r="E2106" i="1"/>
  <c r="E3260" i="1"/>
  <c r="E268" i="1"/>
  <c r="E242" i="1"/>
  <c r="E751" i="1"/>
  <c r="E2936" i="1"/>
  <c r="E2464" i="1"/>
  <c r="E2500" i="1"/>
  <c r="E706" i="1"/>
  <c r="E3162" i="1"/>
  <c r="E221" i="1"/>
  <c r="E1992" i="1"/>
  <c r="E726" i="1"/>
  <c r="E349" i="1"/>
  <c r="E1133" i="1"/>
  <c r="E1561" i="1"/>
  <c r="E3101" i="1"/>
  <c r="E1085" i="1"/>
  <c r="E1624" i="1"/>
  <c r="E3228" i="1"/>
  <c r="E1496" i="1"/>
  <c r="E1388" i="1"/>
  <c r="E2396" i="1"/>
  <c r="E1099" i="1"/>
  <c r="E3380" i="1"/>
  <c r="E3095" i="1"/>
  <c r="E763" i="1"/>
  <c r="E2057" i="1"/>
  <c r="E1327" i="1"/>
  <c r="E1250" i="1"/>
  <c r="E316" i="1"/>
  <c r="E2255" i="1"/>
  <c r="E190" i="1"/>
  <c r="E871" i="1"/>
  <c r="E490" i="1"/>
  <c r="E428" i="1"/>
  <c r="E1795" i="1"/>
  <c r="E42" i="1"/>
  <c r="E3165" i="1"/>
  <c r="E738" i="1"/>
  <c r="E2482" i="1"/>
  <c r="E1888" i="1"/>
  <c r="E1355" i="1"/>
  <c r="E1922" i="1"/>
  <c r="E3391" i="1"/>
  <c r="E2871" i="1"/>
  <c r="E2553" i="1"/>
  <c r="E797" i="1"/>
  <c r="E779" i="1"/>
  <c r="E81" i="1"/>
  <c r="E660" i="1"/>
  <c r="E3410" i="1"/>
  <c r="E1021" i="1"/>
  <c r="E445" i="1"/>
  <c r="E3063" i="1"/>
  <c r="E57" i="1"/>
  <c r="E3133" i="1"/>
  <c r="E1478" i="1"/>
  <c r="E965" i="1"/>
  <c r="E2666" i="1"/>
  <c r="E2922" i="1"/>
  <c r="E525" i="1"/>
  <c r="E1900" i="1"/>
  <c r="E452" i="1"/>
  <c r="E2775" i="1"/>
  <c r="E2970" i="1"/>
  <c r="E1745" i="1"/>
  <c r="E1189" i="1"/>
  <c r="E2654" i="1"/>
  <c r="E2707" i="1"/>
  <c r="E600" i="1"/>
  <c r="E1848" i="1"/>
  <c r="E544" i="1"/>
  <c r="E3287" i="1"/>
  <c r="E731" i="1"/>
  <c r="E3330" i="1"/>
  <c r="E2997" i="1"/>
  <c r="E2089" i="1"/>
  <c r="E2893" i="1"/>
  <c r="E1975" i="1"/>
  <c r="E1358" i="1"/>
  <c r="E1166" i="1"/>
  <c r="E332" i="1"/>
  <c r="E3313" i="1"/>
  <c r="E994" i="1"/>
  <c r="E611" i="1"/>
  <c r="E1261" i="1"/>
  <c r="E1792" i="1"/>
  <c r="E1830" i="1"/>
  <c r="E982" i="1"/>
  <c r="E2588" i="1"/>
  <c r="E3215" i="1"/>
  <c r="E588" i="1"/>
  <c r="E1671" i="1"/>
  <c r="E2660" i="1"/>
  <c r="E1904" i="1"/>
  <c r="E1044" i="1"/>
  <c r="E2054" i="1"/>
  <c r="E120" i="1"/>
  <c r="E6" i="1"/>
  <c r="E1267" i="1"/>
  <c r="E2484" i="1"/>
  <c r="E665" i="1"/>
  <c r="E2916" i="1"/>
  <c r="E250" i="1"/>
  <c r="E787" i="1"/>
  <c r="E1275" i="1"/>
  <c r="E1582" i="1"/>
  <c r="E721" i="1"/>
  <c r="E2901" i="1"/>
  <c r="E3350" i="1"/>
  <c r="E3234" i="1"/>
  <c r="E2472" i="1"/>
  <c r="E1332" i="1"/>
  <c r="E2657" i="1"/>
  <c r="E538" i="1"/>
  <c r="E2894" i="1"/>
  <c r="E3167" i="1"/>
  <c r="E1046" i="1"/>
  <c r="E996" i="1"/>
  <c r="E1763" i="1"/>
  <c r="E524" i="1"/>
  <c r="E938" i="1"/>
  <c r="E1576" i="1"/>
  <c r="E1338" i="1"/>
  <c r="E2390" i="1"/>
  <c r="E17" i="1"/>
  <c r="E2055" i="1"/>
  <c r="E1656" i="1"/>
  <c r="E50" i="1"/>
  <c r="E1846" i="1"/>
  <c r="E276" i="1"/>
  <c r="E2676" i="1"/>
  <c r="E2941" i="1"/>
  <c r="E1921" i="1"/>
  <c r="E1959" i="1"/>
  <c r="E1598" i="1"/>
  <c r="E1758" i="1"/>
  <c r="E2712" i="1"/>
  <c r="E336" i="1"/>
  <c r="E1514" i="1"/>
  <c r="E485" i="1"/>
  <c r="E47" i="1"/>
  <c r="E2052" i="1"/>
  <c r="E1926" i="1"/>
  <c r="E2579" i="1"/>
  <c r="E1070" i="1"/>
  <c r="E2784" i="1"/>
  <c r="E2095" i="1"/>
  <c r="E2631" i="1"/>
  <c r="E2458" i="1"/>
  <c r="E919" i="1"/>
  <c r="E1903" i="1"/>
  <c r="E396" i="1"/>
  <c r="E1977" i="1"/>
  <c r="E2170" i="1"/>
  <c r="E1633" i="1"/>
  <c r="E1954" i="1"/>
  <c r="E2985" i="1"/>
  <c r="E2748" i="1"/>
  <c r="E3213" i="1"/>
  <c r="E422" i="1"/>
  <c r="E2389" i="1"/>
  <c r="E1768" i="1"/>
  <c r="E1706" i="1"/>
  <c r="E814" i="1"/>
  <c r="E3324" i="1"/>
  <c r="E1008" i="1"/>
  <c r="E2634" i="1"/>
  <c r="E1354" i="1"/>
  <c r="E1810" i="1"/>
  <c r="E765" i="1"/>
  <c r="E2728" i="1"/>
  <c r="E3370" i="1"/>
  <c r="E23" i="1"/>
  <c r="E1076" i="1"/>
  <c r="E3332" i="1"/>
  <c r="E1855" i="1"/>
  <c r="E1363" i="1"/>
  <c r="E74" i="1"/>
  <c r="E2831" i="1"/>
  <c r="E95" i="1"/>
  <c r="E2248" i="1"/>
  <c r="E507" i="1"/>
  <c r="E2135" i="1"/>
  <c r="E1539" i="1"/>
  <c r="E1881" i="1"/>
  <c r="E2072" i="1"/>
  <c r="E3257" i="1"/>
  <c r="E1586" i="1"/>
  <c r="E1661" i="1"/>
  <c r="E760" i="1"/>
  <c r="E2739" i="1"/>
  <c r="E2620" i="1"/>
  <c r="E2023" i="1"/>
  <c r="E3271" i="1"/>
  <c r="E1510" i="1"/>
  <c r="E556" i="1"/>
  <c r="E449" i="1"/>
  <c r="E2630" i="1"/>
  <c r="E414" i="1"/>
  <c r="E389" i="1"/>
  <c r="E2357" i="1"/>
  <c r="E3220" i="1"/>
  <c r="E2954" i="1"/>
  <c r="E1082" i="1"/>
  <c r="E1891" i="1"/>
  <c r="E2033" i="1"/>
  <c r="E713" i="1"/>
  <c r="E547" i="1"/>
  <c r="E1181" i="1"/>
  <c r="E640" i="1"/>
  <c r="E689" i="1"/>
  <c r="E434" i="1"/>
  <c r="E3219" i="1"/>
  <c r="E718" i="1"/>
  <c r="E2603" i="1"/>
  <c r="E561" i="1"/>
  <c r="E2710" i="1"/>
  <c r="E1368" i="1"/>
  <c r="E2254" i="1"/>
  <c r="E963" i="1"/>
  <c r="E309" i="1"/>
  <c r="E807" i="1"/>
  <c r="E2392" i="1"/>
  <c r="E1383" i="1"/>
  <c r="E2182" i="1"/>
  <c r="E337" i="1"/>
  <c r="E606" i="1"/>
  <c r="E153" i="1"/>
  <c r="E3289" i="1"/>
  <c r="E628" i="1"/>
  <c r="E2191" i="1"/>
  <c r="E3175" i="1"/>
  <c r="E568" i="1"/>
  <c r="E2711" i="1"/>
  <c r="E3217" i="1"/>
  <c r="E1524" i="1"/>
  <c r="E985" i="1"/>
  <c r="E1281" i="1"/>
  <c r="E1190" i="1"/>
  <c r="E1882" i="1"/>
  <c r="E1444" i="1"/>
  <c r="E830" i="1"/>
  <c r="E1233" i="1"/>
  <c r="E1752" i="1"/>
  <c r="E3093" i="1"/>
  <c r="E998" i="1"/>
  <c r="E622" i="1"/>
  <c r="E177" i="1"/>
  <c r="E1749" i="1"/>
  <c r="E839" i="1"/>
  <c r="E697" i="1"/>
  <c r="E2584" i="1"/>
  <c r="E3406" i="1"/>
  <c r="E536" i="1"/>
  <c r="E2134" i="1"/>
  <c r="E111" i="1"/>
  <c r="E2556" i="1"/>
  <c r="E775" i="1"/>
  <c r="E2783" i="1"/>
  <c r="E2607" i="1"/>
  <c r="E809" i="1"/>
  <c r="E1692" i="1"/>
  <c r="E233" i="1"/>
  <c r="E3060" i="1"/>
  <c r="E2695" i="1"/>
  <c r="E1309" i="1"/>
  <c r="E3113" i="1"/>
  <c r="E430" i="1"/>
  <c r="E3242" i="1"/>
  <c r="E629" i="1"/>
  <c r="E1301" i="1"/>
  <c r="E1025" i="1"/>
  <c r="E3204" i="1"/>
  <c r="E2874" i="1"/>
  <c r="E1877" i="1"/>
  <c r="E1670" i="1"/>
  <c r="E240" i="1"/>
  <c r="E778" i="1"/>
  <c r="E2368" i="1"/>
  <c r="E1971" i="1"/>
  <c r="E2533" i="1"/>
  <c r="E7" i="1"/>
  <c r="E3398" i="1"/>
  <c r="E708" i="1"/>
  <c r="E3382" i="1"/>
  <c r="E46" i="1"/>
  <c r="E1693" i="1"/>
  <c r="E3375" i="1"/>
  <c r="E3355" i="1"/>
  <c r="E3310" i="1"/>
  <c r="E2151" i="1"/>
  <c r="E8" i="1"/>
  <c r="E2808" i="1"/>
  <c r="E1754" i="1"/>
  <c r="E2029" i="1"/>
  <c r="E757" i="1"/>
  <c r="E1230" i="1"/>
  <c r="E2844" i="1"/>
  <c r="E946" i="1"/>
  <c r="E991" i="1"/>
  <c r="E92" i="1"/>
  <c r="E1216" i="1"/>
  <c r="E3386" i="1"/>
  <c r="E992" i="1"/>
  <c r="E67" i="1"/>
  <c r="E875" i="1"/>
  <c r="E2934" i="1"/>
  <c r="E549" i="1"/>
  <c r="E2433" i="1"/>
  <c r="E1459" i="1"/>
  <c r="E2975" i="1"/>
  <c r="E1265" i="1"/>
  <c r="E3107" i="1"/>
  <c r="E3194" i="1"/>
  <c r="E1568" i="1"/>
  <c r="E1165" i="1"/>
  <c r="E1580" i="1"/>
  <c r="E862" i="1"/>
  <c r="E2044" i="1"/>
  <c r="E3174" i="1"/>
  <c r="E121" i="1"/>
  <c r="E1394" i="1"/>
  <c r="E2953" i="1"/>
  <c r="E2896" i="1"/>
  <c r="E1289" i="1"/>
  <c r="E470" i="1"/>
  <c r="E3322" i="1"/>
  <c r="E633" i="1"/>
  <c r="E1470" i="1"/>
  <c r="E1204" i="1"/>
  <c r="E3296" i="1"/>
  <c r="E2112" i="1"/>
  <c r="E2122" i="1"/>
  <c r="E3005" i="1"/>
  <c r="E3305" i="1"/>
  <c r="E1895" i="1"/>
  <c r="E2063" i="1"/>
  <c r="E2989" i="1"/>
  <c r="E2889" i="1"/>
  <c r="E2174" i="1"/>
  <c r="E1906" i="1"/>
  <c r="E1974" i="1"/>
  <c r="E2622" i="1"/>
  <c r="E2512" i="1"/>
  <c r="E3377" i="1"/>
  <c r="E647" i="1"/>
  <c r="E1331" i="1"/>
  <c r="E2173" i="1"/>
  <c r="E661" i="1"/>
  <c r="E1532" i="1"/>
  <c r="E2525" i="1"/>
  <c r="E244" i="1"/>
  <c r="E500" i="1"/>
  <c r="E785" i="1"/>
  <c r="E1847" i="1"/>
  <c r="E3288" i="1"/>
  <c r="E2208" i="1"/>
  <c r="E3304" i="1"/>
  <c r="E43" i="1"/>
  <c r="E2935" i="1"/>
  <c r="E848" i="1"/>
  <c r="E2685" i="1"/>
  <c r="E2130" i="1"/>
  <c r="E505" i="1"/>
  <c r="E231" i="1"/>
  <c r="E657" i="1"/>
  <c r="E363" i="1"/>
  <c r="E345" i="1"/>
  <c r="E2459" i="1"/>
  <c r="E257" i="1"/>
  <c r="E3062" i="1"/>
  <c r="E3132" i="1"/>
  <c r="E2715" i="1"/>
  <c r="E3161" i="1"/>
  <c r="E961" i="1"/>
  <c r="E1778" i="1"/>
  <c r="E2796" i="1"/>
  <c r="E2026" i="1"/>
  <c r="E2566" i="1"/>
  <c r="E1314" i="1"/>
  <c r="E652" i="1"/>
  <c r="E851" i="1"/>
  <c r="E3300" i="1"/>
  <c r="E1242" i="1"/>
  <c r="E2429" i="1"/>
  <c r="E209" i="1"/>
  <c r="E219" i="1"/>
  <c r="E2753" i="1"/>
  <c r="E1249" i="1"/>
  <c r="E2522" i="1"/>
  <c r="E2473" i="1"/>
  <c r="E3229" i="1"/>
  <c r="E2577" i="1"/>
  <c r="E1147" i="1"/>
  <c r="E2632" i="1"/>
  <c r="E3252" i="1"/>
  <c r="E3123" i="1"/>
  <c r="E1553" i="1"/>
  <c r="E321" i="1"/>
  <c r="E2009" i="1"/>
  <c r="E1629" i="1"/>
  <c r="E3303" i="1"/>
  <c r="E1722" i="1"/>
  <c r="E1148" i="1"/>
  <c r="E563" i="1"/>
  <c r="E2843" i="1"/>
  <c r="E3239" i="1"/>
  <c r="E1899" i="1"/>
  <c r="E237" i="1"/>
  <c r="E368" i="1"/>
  <c r="E1699" i="1"/>
  <c r="E2282" i="1"/>
  <c r="E87" i="1"/>
  <c r="E2406" i="1"/>
  <c r="E1784" i="1"/>
  <c r="E2233" i="1"/>
  <c r="E475" i="1"/>
  <c r="E2870" i="1"/>
  <c r="E2140" i="1"/>
  <c r="E1816" i="1"/>
  <c r="E1645" i="1"/>
  <c r="E1191" i="1"/>
  <c r="E286" i="1"/>
  <c r="E2070" i="1"/>
  <c r="E2846" i="1"/>
  <c r="E2995" i="1"/>
  <c r="E3027" i="1"/>
  <c r="E796" i="1"/>
  <c r="E3224" i="1"/>
  <c r="E1313" i="1"/>
  <c r="E26" i="1"/>
  <c r="E411" i="1"/>
  <c r="E2391" i="1"/>
  <c r="E3295" i="1"/>
  <c r="E2205" i="1"/>
  <c r="E1887" i="1"/>
  <c r="E487" i="1"/>
  <c r="E3315" i="1"/>
  <c r="E1941" i="1"/>
  <c r="E1221" i="1"/>
  <c r="E1086" i="1"/>
  <c r="E534" i="1"/>
  <c r="E1759" i="1"/>
  <c r="E2216" i="1"/>
  <c r="E3180" i="1"/>
  <c r="E3090" i="1"/>
  <c r="E774" i="1"/>
  <c r="E2528" i="1"/>
  <c r="E1442" i="1"/>
  <c r="E1842" i="1"/>
  <c r="E756" i="1"/>
  <c r="E3025" i="1"/>
  <c r="E1688" i="1"/>
  <c r="E3136" i="1"/>
  <c r="E2097" i="1"/>
  <c r="E3187" i="1"/>
  <c r="E887" i="1"/>
  <c r="E2713" i="1"/>
  <c r="E2501" i="1"/>
  <c r="E2567" i="1"/>
  <c r="E184" i="1"/>
  <c r="E2409" i="1"/>
  <c r="E2947" i="1"/>
  <c r="E980" i="1"/>
  <c r="E1168" i="1"/>
  <c r="E2905" i="1"/>
  <c r="E3201" i="1"/>
  <c r="E2046" i="1"/>
  <c r="E2541" i="1"/>
  <c r="E2725" i="1"/>
  <c r="E494" i="1"/>
  <c r="E570" i="1"/>
  <c r="E1164" i="1"/>
  <c r="E264" i="1"/>
  <c r="E3192" i="1"/>
  <c r="E1272" i="1"/>
  <c r="E3159" i="1"/>
  <c r="E269" i="1"/>
  <c r="E3207" i="1"/>
  <c r="E2884" i="1"/>
  <c r="E3191" i="1"/>
  <c r="E2367" i="1"/>
  <c r="E890" i="1"/>
  <c r="E3378" i="1"/>
  <c r="E3274" i="1"/>
  <c r="E2978" i="1"/>
  <c r="E3331" i="1"/>
  <c r="E2638" i="1"/>
  <c r="E2358" i="1"/>
  <c r="E2398" i="1"/>
  <c r="E508" i="1"/>
  <c r="E259" i="1"/>
  <c r="E801" i="1"/>
  <c r="E461" i="1"/>
  <c r="E352" i="1"/>
  <c r="E1648" i="1"/>
  <c r="E1660" i="1"/>
  <c r="E280" i="1"/>
  <c r="E2446" i="1"/>
  <c r="E112" i="1"/>
  <c r="E2628" i="1"/>
  <c r="E40" i="1"/>
  <c r="E607" i="1"/>
  <c r="E993" i="1"/>
  <c r="E1215" i="1"/>
  <c r="E1441" i="1"/>
  <c r="E390" i="1"/>
  <c r="E927" i="1"/>
  <c r="E1058" i="1"/>
  <c r="E1917" i="1"/>
  <c r="E1352" i="1"/>
  <c r="E1953" i="1"/>
  <c r="E1834" i="1"/>
  <c r="E1577" i="1"/>
  <c r="E2241" i="1"/>
  <c r="E2280" i="1"/>
  <c r="E944" i="1"/>
  <c r="E663" i="1"/>
  <c r="E1669" i="1"/>
  <c r="E987" i="1"/>
  <c r="E49" i="1"/>
  <c r="E226" i="1"/>
  <c r="E263" i="1"/>
  <c r="E1798" i="1"/>
  <c r="E533" i="1"/>
  <c r="E2648" i="1"/>
  <c r="E1356" i="1"/>
  <c r="E1626" i="1"/>
  <c r="E532" i="1"/>
  <c r="E1386" i="1"/>
  <c r="E491" i="1"/>
  <c r="E1874" i="1"/>
  <c r="E1141" i="1"/>
  <c r="E595" i="1"/>
  <c r="E3200" i="1"/>
  <c r="E2355" i="1"/>
  <c r="E3166" i="1"/>
  <c r="E2656" i="1"/>
  <c r="E2016" i="1"/>
  <c r="E509" i="1"/>
  <c r="E528" i="1"/>
  <c r="E635" i="1"/>
  <c r="E2859" i="1"/>
  <c r="E1201" i="1"/>
  <c r="E2435" i="1"/>
  <c r="E873" i="1"/>
  <c r="E916" i="1"/>
  <c r="E1862" i="1"/>
  <c r="E1772" i="1"/>
  <c r="E2700" i="1"/>
  <c r="E3172" i="1"/>
  <c r="E1337" i="1"/>
  <c r="E710" i="1"/>
  <c r="E2899" i="1"/>
  <c r="E3130" i="1"/>
  <c r="E270" i="1"/>
  <c r="E2453" i="1"/>
  <c r="E3121" i="1"/>
  <c r="E3283" i="1"/>
  <c r="E2284" i="1"/>
  <c r="E1462" i="1"/>
  <c r="E2077" i="1"/>
  <c r="E594" i="1"/>
  <c r="E3056" i="1"/>
  <c r="E1234" i="1"/>
  <c r="E236" i="1"/>
  <c r="E1199" i="1"/>
  <c r="E1430" i="1"/>
  <c r="E2238" i="1"/>
  <c r="E377" i="1"/>
  <c r="E2639" i="1"/>
  <c r="E175" i="1"/>
  <c r="E3069" i="1"/>
  <c r="E2662" i="1"/>
  <c r="E96" i="1"/>
  <c r="E3253" i="1"/>
  <c r="E3294" i="1"/>
  <c r="E1161" i="1"/>
  <c r="E1306" i="1"/>
  <c r="E239" i="1"/>
  <c r="E2998" i="1"/>
  <c r="E950" i="1"/>
  <c r="E1359" i="1"/>
  <c r="E2911" i="1"/>
  <c r="E2821" i="1"/>
  <c r="E551" i="1"/>
  <c r="E3326" i="1"/>
  <c r="E2605" i="1"/>
  <c r="E3006" i="1"/>
  <c r="E1115" i="1"/>
  <c r="E3241" i="1"/>
  <c r="E1424" i="1"/>
  <c r="E1125" i="1"/>
  <c r="E3155" i="1"/>
  <c r="E3150" i="1"/>
  <c r="E1364" i="1"/>
  <c r="E956" i="1"/>
  <c r="E1403" i="1"/>
  <c r="E580" i="1"/>
  <c r="E165" i="1"/>
  <c r="E433" i="1"/>
  <c r="E125" i="1"/>
  <c r="E911" i="1"/>
  <c r="E2769" i="1"/>
  <c r="E91" i="1"/>
  <c r="E217" i="1"/>
  <c r="E2024" i="1"/>
  <c r="E3007" i="1"/>
  <c r="E1101" i="1"/>
  <c r="E2994" i="1"/>
  <c r="E514" i="1"/>
  <c r="E841" i="1"/>
  <c r="E1497" i="1"/>
  <c r="E251" i="1"/>
  <c r="E1612" i="1"/>
  <c r="E310" i="1"/>
  <c r="E478" i="1"/>
  <c r="E1274" i="1"/>
  <c r="E2143" i="1"/>
  <c r="E3041" i="1"/>
  <c r="E367" i="1"/>
  <c r="E2372" i="1"/>
  <c r="E145" i="1"/>
  <c r="E2600" i="1"/>
  <c r="E941" i="1"/>
  <c r="E1318" i="1"/>
  <c r="E1419" i="1"/>
  <c r="E2371" i="1"/>
  <c r="E360" i="1"/>
  <c r="E2121" i="1"/>
  <c r="E664" i="1"/>
  <c r="E1801" i="1"/>
  <c r="E2523" i="1"/>
  <c r="E905" i="1"/>
  <c r="E2790" i="1"/>
  <c r="E2776" i="1"/>
  <c r="E2203" i="1"/>
  <c r="E378" i="1"/>
  <c r="E897" i="1"/>
  <c r="E2698" i="1"/>
  <c r="E1433" i="1"/>
  <c r="E1092" i="1"/>
  <c r="E3381" i="1"/>
  <c r="E2441" i="1"/>
  <c r="E1236" i="1"/>
  <c r="E2909" i="1"/>
  <c r="E1712" i="1"/>
  <c r="E705" i="1"/>
  <c r="E194" i="1"/>
  <c r="E1700" i="1"/>
  <c r="E2988" i="1"/>
  <c r="E1207" i="1"/>
  <c r="E1061" i="1"/>
  <c r="E2101" i="1"/>
  <c r="E960" i="1"/>
  <c r="E1392" i="1"/>
  <c r="E2376" i="1"/>
  <c r="E2262" i="1"/>
  <c r="E2415" i="1"/>
  <c r="E450" i="1"/>
  <c r="E701" i="1"/>
  <c r="E630" i="1"/>
  <c r="E3402" i="1"/>
  <c r="E2865" i="1"/>
  <c r="E3346" i="1"/>
  <c r="E596" i="1"/>
  <c r="E3053" i="1"/>
  <c r="E2515" i="1"/>
  <c r="E3029" i="1"/>
  <c r="E1047" i="1"/>
  <c r="E2506" i="1"/>
  <c r="E1705" i="1"/>
  <c r="E2281" i="1"/>
  <c r="E2789" i="1"/>
  <c r="E906" i="1"/>
  <c r="E624" i="1"/>
  <c r="E746" i="1"/>
  <c r="E602" i="1"/>
  <c r="E413" i="1"/>
  <c r="E1114" i="1"/>
  <c r="E334" i="1"/>
  <c r="E2722" i="1"/>
  <c r="E904" i="1"/>
  <c r="E3073" i="1"/>
  <c r="E522" i="1"/>
  <c r="E3302" i="1"/>
  <c r="E246" i="1"/>
  <c r="E2087" i="1"/>
  <c r="E299" i="1"/>
  <c r="E3273" i="1"/>
  <c r="E2375" i="1"/>
  <c r="E825" i="1"/>
  <c r="E1176" i="1"/>
  <c r="E108" i="1"/>
  <c r="E1037" i="1"/>
  <c r="E866" i="1"/>
  <c r="E3058" i="1"/>
  <c r="E339" i="1"/>
  <c r="E426" i="1"/>
  <c r="E1437" i="1"/>
  <c r="E590" i="1"/>
  <c r="E1169" i="1"/>
  <c r="E2361" i="1"/>
  <c r="E2065" i="1"/>
  <c r="E970" i="1"/>
  <c r="E2822" i="1"/>
  <c r="E27" i="1"/>
  <c r="E1732" i="1"/>
  <c r="E3309" i="1"/>
  <c r="E20" i="1"/>
  <c r="E372" i="1"/>
  <c r="E940" i="1"/>
  <c r="E350" i="1"/>
  <c r="E659" i="1"/>
  <c r="E1991" i="1"/>
  <c r="E529" i="1"/>
  <c r="E2958" i="1"/>
  <c r="E943" i="1"/>
  <c r="E1976" i="1"/>
  <c r="E694" i="1"/>
  <c r="E173" i="1"/>
  <c r="E431" i="1"/>
  <c r="E1622" i="1"/>
  <c r="E3205" i="1"/>
  <c r="E179" i="1"/>
  <c r="E984" i="1"/>
  <c r="E2840" i="1"/>
  <c r="E679" i="1"/>
  <c r="E2537" i="1"/>
  <c r="E2469" i="1"/>
  <c r="E671" i="1"/>
  <c r="E1646" i="1"/>
  <c r="E740" i="1"/>
  <c r="E2984" i="1"/>
  <c r="E1276" i="1"/>
  <c r="E2557" i="1"/>
  <c r="E1446" i="1"/>
  <c r="E501" i="1"/>
  <c r="E2966" i="1"/>
  <c r="E1336" i="1"/>
  <c r="E1140" i="1"/>
  <c r="E922" i="1"/>
  <c r="E154" i="1"/>
  <c r="E1743" i="1"/>
  <c r="E2705" i="1"/>
  <c r="E399" i="1"/>
  <c r="E893" i="1"/>
  <c r="E2999" i="1"/>
  <c r="E2823" i="1"/>
  <c r="E837" i="1"/>
  <c r="E2027" i="1"/>
  <c r="E2552" i="1"/>
  <c r="E2378" i="1"/>
  <c r="E928" i="1"/>
  <c r="E1057" i="1"/>
  <c r="E2751" i="1"/>
  <c r="E966" i="1"/>
  <c r="E312" i="1"/>
  <c r="E3189" i="1"/>
  <c r="E1936" i="1"/>
  <c r="E1283" i="1"/>
  <c r="E386" i="1"/>
  <c r="E3092" i="1"/>
  <c r="E492" i="1"/>
  <c r="E3145" i="1"/>
  <c r="E1022" i="1"/>
  <c r="E3363" i="1"/>
  <c r="E832" i="1"/>
  <c r="E3268" i="1"/>
  <c r="E2236" i="1"/>
  <c r="E3100" i="1"/>
  <c r="E750" i="1"/>
  <c r="E747" i="1"/>
  <c r="E2172" i="1"/>
  <c r="E2609" i="1"/>
  <c r="E2864" i="1"/>
  <c r="E1839" i="1"/>
  <c r="E808" i="1"/>
  <c r="E894" i="1"/>
  <c r="E1253" i="1"/>
  <c r="E1530" i="1"/>
  <c r="E1480" i="1"/>
  <c r="E2149" i="1"/>
  <c r="E1570" i="1"/>
  <c r="E742" i="1"/>
  <c r="E2152" i="1"/>
  <c r="E2824" i="1"/>
  <c r="E2067" i="1"/>
  <c r="E343" i="1"/>
  <c r="E104" i="1"/>
  <c r="E949" i="1"/>
  <c r="E1934" i="1"/>
  <c r="E300" i="1"/>
  <c r="E2197" i="1"/>
  <c r="E975" i="1"/>
  <c r="E3321" i="1"/>
  <c r="E2231" i="1"/>
  <c r="E362" i="1"/>
  <c r="E3298" i="1"/>
  <c r="E2939" i="1"/>
  <c r="E1678" i="1"/>
  <c r="E254" i="1"/>
  <c r="E480" i="1"/>
  <c r="E1978" i="1"/>
  <c r="E2155" i="1"/>
  <c r="E128" i="1"/>
  <c r="E1658" i="1"/>
  <c r="E1033" i="1"/>
  <c r="E123" i="1"/>
  <c r="E2365" i="1"/>
  <c r="E2393" i="1"/>
  <c r="E1879" i="1"/>
  <c r="E483" i="1"/>
  <c r="E690" i="1"/>
  <c r="E97" i="1"/>
  <c r="E1174" i="1"/>
  <c r="E758" i="1"/>
  <c r="E208" i="1"/>
  <c r="E1799" i="1"/>
  <c r="E455" i="1"/>
  <c r="E2828" i="1"/>
  <c r="E2659" i="1"/>
  <c r="E2614" i="1"/>
  <c r="E2721" i="1"/>
  <c r="E520" i="1"/>
  <c r="E650" i="1"/>
  <c r="E2737" i="1"/>
  <c r="E37" i="1"/>
  <c r="E861" i="1"/>
  <c r="E3389" i="1"/>
  <c r="E2757" i="1"/>
  <c r="E115" i="1"/>
  <c r="E214" i="1"/>
  <c r="E672" i="1"/>
  <c r="E1093" i="1"/>
  <c r="E2578" i="1"/>
  <c r="E2687" i="1"/>
  <c r="E1871" i="1"/>
  <c r="E122" i="1"/>
  <c r="E614" i="1"/>
  <c r="E542" i="1"/>
  <c r="E2877" i="1"/>
  <c r="E792" i="1"/>
  <c r="E1410" i="1"/>
  <c r="E2761" i="1"/>
  <c r="E2431" i="1"/>
  <c r="E187" i="1"/>
  <c r="E9" i="1"/>
  <c r="E3359" i="1"/>
  <c r="E577" i="1"/>
  <c r="E2917" i="1"/>
  <c r="E3299" i="1"/>
  <c r="E702" i="1"/>
  <c r="E3371" i="1"/>
  <c r="E686" i="1"/>
  <c r="E143" i="1"/>
  <c r="E888" i="1"/>
  <c r="E1838" i="1"/>
  <c r="E2283" i="1"/>
  <c r="E1293" i="1"/>
  <c r="E2349" i="1"/>
  <c r="E3267" i="1"/>
  <c r="E1822" i="1"/>
  <c r="E2142" i="1"/>
  <c r="E552" i="1"/>
  <c r="E36" i="1"/>
  <c r="E1006" i="1"/>
  <c r="E1162" i="1"/>
  <c r="E2351" i="1"/>
  <c r="E447" i="1"/>
  <c r="E530" i="1"/>
  <c r="E2956" i="1"/>
  <c r="E696" i="1"/>
  <c r="E304" i="1"/>
  <c r="E1290" i="1"/>
  <c r="E3203" i="1"/>
  <c r="E2862" i="1"/>
  <c r="E3154" i="1"/>
  <c r="E2449" i="1"/>
  <c r="E2477" i="1"/>
  <c r="E554" i="1"/>
  <c r="E574" i="1"/>
  <c r="E723" i="1"/>
  <c r="E41" i="1"/>
  <c r="E2573" i="1"/>
  <c r="E472" i="1"/>
  <c r="E2511" i="1"/>
  <c r="E2232" i="1"/>
  <c r="E1278" i="1"/>
  <c r="E2252" i="1"/>
  <c r="E1027" i="1"/>
  <c r="E2766" i="1"/>
  <c r="E400" i="1"/>
  <c r="E2060" i="1"/>
  <c r="E858" i="1"/>
  <c r="E2377" i="1"/>
  <c r="E3396" i="1"/>
  <c r="E2490" i="1"/>
  <c r="E2243" i="1"/>
  <c r="E2612" i="1"/>
  <c r="E3089" i="1"/>
  <c r="E374" i="1"/>
  <c r="E301" i="1"/>
  <c r="E56" i="1"/>
  <c r="E889" i="1"/>
  <c r="E1348" i="1"/>
  <c r="E1747" i="1"/>
  <c r="E3348" i="1"/>
  <c r="E2032" i="1"/>
  <c r="E3152" i="1"/>
  <c r="E1457" i="1"/>
  <c r="E2401" i="1"/>
  <c r="E2691" i="1"/>
  <c r="E971" i="1"/>
  <c r="E1051" i="1"/>
  <c r="E3351" i="1"/>
  <c r="E2455" i="1"/>
  <c r="E3388" i="1"/>
  <c r="E180" i="1"/>
  <c r="E140" i="1"/>
  <c r="E2981" i="1"/>
  <c r="E1794" i="1"/>
  <c r="E879" i="1"/>
  <c r="E2786" i="1"/>
  <c r="E364" i="1"/>
  <c r="E2237" i="1"/>
  <c r="E675" i="1"/>
  <c r="E685" i="1"/>
  <c r="E1232" i="1"/>
  <c r="E981" i="1"/>
  <c r="E3128" i="1"/>
  <c r="E314" i="1"/>
  <c r="E1334" i="1"/>
  <c r="E1960" i="1"/>
  <c r="E3181" i="1"/>
  <c r="E3249" i="1"/>
  <c r="E468" i="1"/>
  <c r="E2693" i="1"/>
  <c r="E1739" i="1"/>
  <c r="E3248" i="1"/>
  <c r="E1028" i="1"/>
  <c r="E388" i="1"/>
  <c r="E1723" i="1"/>
  <c r="E1422" i="1"/>
  <c r="E425" i="1"/>
  <c r="E3387" i="1"/>
  <c r="E170" i="1"/>
  <c r="E1686" i="1"/>
  <c r="E369" i="1"/>
  <c r="E238" i="1"/>
  <c r="E195" i="1"/>
  <c r="E477" i="1"/>
  <c r="E1519" i="1"/>
  <c r="E2940" i="1"/>
  <c r="E55" i="1"/>
  <c r="E2968" i="1"/>
  <c r="E1244" i="1"/>
  <c r="E341" i="1"/>
  <c r="E2439" i="1"/>
  <c r="E898" i="1"/>
  <c r="E392" i="1"/>
  <c r="E864" i="1"/>
  <c r="E744" i="1"/>
  <c r="E3020" i="1"/>
  <c r="E3004" i="1"/>
  <c r="E1154" i="1"/>
  <c r="E213" i="1"/>
  <c r="E358" i="1"/>
  <c r="E183" i="1"/>
  <c r="E1094" i="1"/>
  <c r="E3031" i="1"/>
  <c r="E2810" i="1"/>
  <c r="E459" i="1"/>
  <c r="E612" i="1"/>
  <c r="E3270" i="1"/>
  <c r="E317" i="1"/>
  <c r="E2910" i="1"/>
  <c r="E2962" i="1"/>
  <c r="E69" i="1"/>
  <c r="E2536" i="1"/>
  <c r="E404" i="1"/>
  <c r="E2945" i="1"/>
  <c r="E156" i="1"/>
  <c r="E2053" i="1"/>
  <c r="E1017" i="1"/>
  <c r="E3080" i="1"/>
  <c r="E3235" i="1"/>
  <c r="E3206" i="1"/>
  <c r="E171" i="1"/>
  <c r="E978" i="1"/>
  <c r="E2863" i="1"/>
  <c r="E2103" i="1"/>
  <c r="E3320" i="1"/>
  <c r="E3002" i="1"/>
  <c r="E1385" i="1"/>
  <c r="E3148" i="1"/>
  <c r="E3188" i="1"/>
  <c r="E1595" i="1"/>
  <c r="E2554" i="1"/>
  <c r="E3312" i="1"/>
  <c r="E2250" i="1"/>
  <c r="E1615" i="1"/>
  <c r="E1820" i="1"/>
  <c r="E1512" i="1"/>
  <c r="E1346" i="1"/>
  <c r="E2466" i="1"/>
  <c r="E1078" i="1"/>
  <c r="E1258" i="1"/>
  <c r="E1837" i="1"/>
  <c r="E3143" i="1"/>
  <c r="E381" i="1"/>
  <c r="E21" i="1"/>
  <c r="E365" i="1"/>
  <c r="E3044" i="1"/>
  <c r="E323" i="1"/>
  <c r="E1349" i="1"/>
  <c r="E2481" i="1"/>
  <c r="E1967" i="1"/>
  <c r="E687" i="1"/>
  <c r="E2141" i="1"/>
  <c r="E1948" i="1"/>
  <c r="E2931" i="1"/>
  <c r="E142" i="1"/>
  <c r="E2971" i="1"/>
  <c r="E2767" i="1"/>
  <c r="E1366" i="1"/>
  <c r="E463" i="1"/>
  <c r="E1783" i="1"/>
  <c r="E759" i="1"/>
  <c r="E1071" i="1"/>
  <c r="E1654" i="1"/>
  <c r="E3328" i="1"/>
  <c r="E199" i="1"/>
  <c r="E1330" i="1"/>
  <c r="E3349" i="1"/>
  <c r="E113" i="1"/>
  <c r="E15" i="1"/>
  <c r="E1587" i="1"/>
  <c r="E2839" i="1"/>
  <c r="E1438" i="1"/>
  <c r="E2073" i="1"/>
  <c r="E1012" i="1"/>
  <c r="E157" i="1"/>
  <c r="E2942" i="1"/>
  <c r="E3115" i="1"/>
  <c r="E1339" i="1"/>
  <c r="E550" i="1"/>
  <c r="E1534" i="1"/>
  <c r="E3141" i="1"/>
  <c r="E215" i="1"/>
  <c r="E1721" i="1"/>
  <c r="E800" i="1"/>
  <c r="E1506" i="1"/>
  <c r="E674" i="1"/>
  <c r="E939" i="1"/>
  <c r="E1863" i="1"/>
  <c r="E25" i="1"/>
  <c r="E3269" i="1"/>
  <c r="E161" i="1"/>
  <c r="E1691" i="1"/>
  <c r="E543" i="1"/>
  <c r="E330" i="1"/>
  <c r="E1402" i="1"/>
  <c r="E989" i="1"/>
  <c r="E1308" i="1"/>
  <c r="E2080" i="1"/>
  <c r="E1602" i="1"/>
  <c r="E290" i="1"/>
  <c r="E117" i="1"/>
  <c r="E2762" i="1"/>
  <c r="E2696" i="1"/>
  <c r="E1439" i="1"/>
  <c r="E609" i="1"/>
  <c r="E2386" i="1"/>
  <c r="E1026" i="1"/>
  <c r="E1675" i="1"/>
  <c r="E1286" i="1"/>
  <c r="E1350" i="1"/>
  <c r="E3046" i="1"/>
  <c r="E16" i="1"/>
  <c r="E2093" i="1"/>
  <c r="E3297" i="1"/>
  <c r="E93" i="1"/>
  <c r="E1016" i="1"/>
  <c r="E3173" i="1"/>
  <c r="E3085" i="1"/>
  <c r="E2903" i="1"/>
  <c r="E1432" i="1"/>
  <c r="E484" i="1"/>
  <c r="E2460" i="1"/>
  <c r="E784" i="1"/>
  <c r="E2478" i="1"/>
  <c r="E1560" i="1"/>
  <c r="E1593" i="1"/>
  <c r="E258" i="1"/>
  <c r="E1398" i="1"/>
  <c r="E1091" i="1"/>
  <c r="E1581" i="1"/>
  <c r="E1876" i="1"/>
  <c r="E2952" i="1"/>
  <c r="E2759" i="1"/>
  <c r="E1811" i="1"/>
  <c r="E1369" i="1"/>
  <c r="E1635" i="1"/>
  <c r="E1409" i="1"/>
  <c r="E1465" i="1"/>
  <c r="E2555" i="1"/>
  <c r="E908" i="1"/>
  <c r="E2626" i="1"/>
  <c r="E1628" i="1"/>
  <c r="E1074" i="1"/>
  <c r="E1619" i="1"/>
  <c r="E320" i="1"/>
  <c r="E2972" i="1"/>
  <c r="E3171" i="1"/>
  <c r="E3011" i="1"/>
  <c r="E456" i="1"/>
  <c r="E3365" i="1"/>
  <c r="E110" i="1"/>
  <c r="E429" i="1"/>
  <c r="E2861" i="1"/>
  <c r="E2353" i="1"/>
  <c r="E1902" i="1"/>
  <c r="E149" i="1"/>
  <c r="E2969" i="1"/>
  <c r="E3374" i="1"/>
  <c r="E10" i="1"/>
  <c r="E2744" i="1"/>
  <c r="E2494" i="1"/>
  <c r="E3039" i="1"/>
  <c r="E1066" i="1"/>
  <c r="E3284" i="1"/>
  <c r="E2079" i="1"/>
  <c r="E539" i="1"/>
  <c r="E3061" i="1"/>
  <c r="E94" i="1"/>
  <c r="E2217" i="1"/>
  <c r="E1186" i="1"/>
  <c r="E886" i="1"/>
  <c r="E39" i="1"/>
  <c r="E2965" i="1"/>
  <c r="E19" i="1"/>
  <c r="E1399" i="1"/>
  <c r="E224" i="1"/>
  <c r="E1901" i="1"/>
  <c r="E1720" i="1"/>
  <c r="E2037" i="1"/>
  <c r="E1538" i="1"/>
  <c r="E2582" i="1"/>
  <c r="E488" i="1"/>
  <c r="E3362" i="1"/>
  <c r="E929" i="1"/>
  <c r="E1657" i="1"/>
  <c r="E3263" i="1"/>
  <c r="E3339" i="1"/>
  <c r="E1637" i="1"/>
  <c r="E1528" i="1"/>
  <c r="E1418" i="1"/>
  <c r="E739" i="1"/>
  <c r="E910" i="1"/>
  <c r="E2417" i="1"/>
  <c r="E782" i="1"/>
  <c r="E1867" i="1"/>
  <c r="E2979" i="1"/>
  <c r="E436" i="1"/>
  <c r="E205" i="1"/>
  <c r="E3104" i="1"/>
  <c r="E3329" i="1"/>
  <c r="E977" i="1"/>
  <c r="E735" i="1"/>
  <c r="E2974" i="1"/>
  <c r="E2598" i="1"/>
  <c r="E2842" i="1"/>
  <c r="E1890" i="1"/>
  <c r="E2215" i="1"/>
  <c r="E772" i="1"/>
  <c r="E2793" i="1"/>
  <c r="E995" i="1"/>
  <c r="E3042" i="1"/>
  <c r="E2221" i="1"/>
  <c r="E105" i="1"/>
  <c r="E3050" i="1"/>
  <c r="E2226" i="1"/>
  <c r="E1440" i="1"/>
  <c r="E1481" i="1"/>
  <c r="E1073" i="1"/>
  <c r="E30" i="1"/>
  <c r="E1068" i="1"/>
  <c r="E3178" i="1"/>
  <c r="E3068" i="1"/>
  <c r="E3292" i="1"/>
  <c r="E1509" i="1"/>
  <c r="E2689" i="1"/>
  <c r="E1526" i="1"/>
  <c r="E730" i="1"/>
  <c r="E1490" i="1"/>
  <c r="E3311" i="1"/>
  <c r="E2599" i="1"/>
  <c r="E3251" i="1"/>
  <c r="E648" i="1"/>
  <c r="E1231" i="1"/>
  <c r="E613" i="1"/>
  <c r="E3144" i="1"/>
  <c r="E11" i="1"/>
  <c r="E1886" i="1"/>
  <c r="E3065" i="1"/>
  <c r="E1668" i="1"/>
  <c r="E3364" i="1"/>
  <c r="E3184" i="1"/>
  <c r="E394" i="1"/>
  <c r="E3372" i="1"/>
  <c r="E983" i="1"/>
  <c r="E2898" i="1"/>
  <c r="E2754" i="1"/>
  <c r="E3353" i="1"/>
  <c r="E2360" i="1"/>
  <c r="E3334" i="1"/>
  <c r="E3368" i="1"/>
  <c r="E3282" i="1"/>
  <c r="E3170" i="1"/>
  <c r="E2959" i="1"/>
  <c r="E579" i="1"/>
  <c r="E1062" i="1"/>
  <c r="E2285" i="1"/>
  <c r="E2286" i="1"/>
  <c r="E2287" i="1"/>
  <c r="E266" i="1"/>
  <c r="E2288" i="1"/>
  <c r="E1054" i="1"/>
  <c r="E722" i="1"/>
  <c r="E2550" i="1"/>
  <c r="E511" i="1"/>
  <c r="E2792" i="1"/>
  <c r="E3146" i="1"/>
  <c r="E2470" i="1"/>
  <c r="E2083" i="1"/>
  <c r="E1730" i="1"/>
  <c r="E1986" i="1"/>
  <c r="E1725" i="1"/>
  <c r="E2815" i="1"/>
  <c r="E1292" i="1"/>
  <c r="E2411" i="1"/>
  <c r="E2738" i="1"/>
  <c r="E2977" i="1"/>
  <c r="E835" i="1"/>
  <c r="E703" i="1"/>
  <c r="E3124" i="1"/>
  <c r="E2245" i="1"/>
  <c r="E1859" i="1"/>
  <c r="E423" i="1"/>
  <c r="E148" i="1"/>
  <c r="E2105" i="1"/>
  <c r="E1452" i="1"/>
  <c r="E562" i="1"/>
  <c r="E2030" i="1"/>
  <c r="E1039" i="1"/>
  <c r="E2260" i="1"/>
  <c r="E771" i="1"/>
  <c r="E1536" i="1"/>
  <c r="E1703" i="1"/>
  <c r="E481" i="1"/>
  <c r="E2410" i="1"/>
  <c r="E2451" i="1"/>
  <c r="E1416" i="1"/>
  <c r="E2165" i="1"/>
  <c r="E2370" i="1"/>
  <c r="E1269" i="1"/>
  <c r="E979" i="1"/>
  <c r="E1112" i="1"/>
  <c r="E518" i="1"/>
  <c r="E1938" i="1"/>
  <c r="E327" i="1"/>
  <c r="E1144" i="1"/>
  <c r="E2289" i="1"/>
  <c r="E1296" i="1"/>
  <c r="E1911" i="1"/>
  <c r="E2190" i="1"/>
  <c r="E2650" i="1"/>
  <c r="E667" i="1"/>
  <c r="E523" i="1"/>
  <c r="E198" i="1"/>
  <c r="E1973" i="1"/>
  <c r="E2876" i="1"/>
  <c r="E1714" i="1"/>
  <c r="E2007" i="1"/>
  <c r="E1551" i="1"/>
  <c r="E391" i="1"/>
  <c r="E1010" i="1"/>
  <c r="E2993" i="1"/>
  <c r="E405" i="1"/>
  <c r="E2681" i="1"/>
  <c r="E1494" i="1"/>
  <c r="E2817" i="1"/>
  <c r="E2188" i="1"/>
  <c r="E3319" i="1"/>
  <c r="E2290" i="1"/>
  <c r="E412" i="1"/>
  <c r="E2447" i="1"/>
  <c r="E3138" i="1"/>
  <c r="E2402" i="1"/>
  <c r="E2291" i="1"/>
  <c r="E227" i="1"/>
  <c r="E451" i="1"/>
  <c r="E100" i="1"/>
  <c r="E2005" i="1"/>
  <c r="E2540" i="1"/>
  <c r="E1455" i="1"/>
  <c r="E1401" i="1"/>
  <c r="E2791" i="1"/>
  <c r="E1988" i="1"/>
  <c r="E2292" i="1"/>
  <c r="E3018" i="1"/>
  <c r="E2780" i="1"/>
  <c r="E1397" i="1"/>
  <c r="E2193" i="1"/>
  <c r="E1238" i="1"/>
  <c r="E1790" i="1"/>
  <c r="E918" i="1"/>
  <c r="E1434" i="1"/>
  <c r="E1118" i="1"/>
  <c r="E3347" i="1"/>
  <c r="E2268" i="1"/>
  <c r="E729" i="1"/>
  <c r="E1172" i="1"/>
  <c r="E2123" i="1"/>
  <c r="E2068" i="1"/>
  <c r="E1129" i="1"/>
  <c r="E3176" i="1"/>
  <c r="E3210" i="1"/>
  <c r="E3036" i="1"/>
  <c r="E3190" i="1"/>
  <c r="E2399" i="1"/>
  <c r="E2904" i="1"/>
  <c r="E1866" i="1"/>
  <c r="E762" i="1"/>
  <c r="E2583" i="1"/>
  <c r="E892" i="1"/>
  <c r="E2075" i="1"/>
  <c r="E38" i="1"/>
  <c r="E313" i="1"/>
  <c r="E2928" i="1"/>
  <c r="E1020" i="1"/>
  <c r="E571" i="1"/>
  <c r="E896" i="1"/>
  <c r="E2400" i="1"/>
  <c r="E1360" i="1"/>
  <c r="E2269" i="1"/>
  <c r="E610" i="1"/>
  <c r="E2293" i="1"/>
  <c r="E192" i="1"/>
  <c r="E2591" i="1"/>
  <c r="E1642" i="1"/>
  <c r="E395" i="1"/>
  <c r="E1268" i="1"/>
  <c r="E1376" i="1"/>
  <c r="E1100" i="1"/>
  <c r="E234" i="1"/>
  <c r="E1708" i="1"/>
  <c r="E1912" i="1"/>
  <c r="E1644" i="1"/>
  <c r="E1961" i="1"/>
  <c r="E1738" i="1"/>
  <c r="E1011" i="1"/>
  <c r="E2078" i="1"/>
  <c r="E1968" i="1"/>
  <c r="E3077" i="1"/>
  <c r="E1515" i="1"/>
  <c r="E683" i="1"/>
  <c r="E1443" i="1"/>
  <c r="E2058" i="1"/>
  <c r="E1414" i="1"/>
  <c r="E298" i="1"/>
  <c r="E2575" i="1"/>
  <c r="E786" i="1"/>
  <c r="E2982" i="1"/>
  <c r="E1596" i="1"/>
  <c r="E2487" i="1"/>
  <c r="E1550" i="1"/>
  <c r="E3223" i="1"/>
  <c r="E2347" i="1"/>
  <c r="E2294" i="1"/>
  <c r="E1800" i="1"/>
  <c r="E138" i="1"/>
  <c r="E1421" i="1"/>
  <c r="E1239" i="1"/>
  <c r="E709" i="1"/>
  <c r="E2117" i="1"/>
  <c r="E1329" i="1"/>
  <c r="E2168" i="1"/>
  <c r="E1541" i="1"/>
  <c r="E885" i="1"/>
  <c r="E1193" i="1"/>
  <c r="E1171" i="1"/>
  <c r="E1893" i="1"/>
  <c r="E1604" i="1"/>
  <c r="E1198" i="1"/>
  <c r="E416" i="1"/>
  <c r="E781" i="1"/>
  <c r="E2906" i="1"/>
  <c r="E1517" i="1"/>
  <c r="E605" i="1"/>
  <c r="E655" i="1"/>
  <c r="E2295" i="1"/>
  <c r="E232" i="1"/>
  <c r="E1807" i="1"/>
  <c r="E957" i="1"/>
  <c r="E3022" i="1"/>
  <c r="E2091" i="1"/>
  <c r="E1937" i="1"/>
  <c r="E2006" i="1"/>
  <c r="E668" i="1"/>
  <c r="E2571" i="1"/>
  <c r="E597" i="1"/>
  <c r="E1105" i="1"/>
  <c r="E83" i="1"/>
  <c r="E1916" i="1"/>
  <c r="E1873" i="1"/>
  <c r="E2679" i="1"/>
  <c r="E1015" i="1"/>
  <c r="E86" i="1"/>
  <c r="E2872" i="1"/>
  <c r="E1718" i="1"/>
  <c r="E2732" i="1"/>
  <c r="E3169" i="1"/>
  <c r="E2004" i="1"/>
  <c r="E3272" i="1"/>
  <c r="E2157" i="1"/>
  <c r="E942" i="1"/>
  <c r="E1032" i="1"/>
  <c r="E1543" i="1"/>
  <c r="E2924" i="1"/>
  <c r="E2882" i="1"/>
  <c r="E1805" i="1"/>
  <c r="E1030" i="1"/>
  <c r="E2256" i="1"/>
  <c r="E3408" i="1"/>
  <c r="E2745" i="1"/>
  <c r="E3360" i="1"/>
  <c r="E1495" i="1"/>
  <c r="E495" i="1"/>
  <c r="E3103" i="1"/>
  <c r="E1689" i="1"/>
  <c r="E1050" i="1"/>
  <c r="E3043" i="1"/>
  <c r="E1731" i="1"/>
  <c r="E1069" i="1"/>
  <c r="E2296" i="1"/>
  <c r="E2860" i="1"/>
  <c r="E2837" i="1"/>
  <c r="E2166" i="1"/>
  <c r="E833" i="1"/>
  <c r="E486" i="1"/>
  <c r="E3108" i="1"/>
  <c r="E753" i="1"/>
  <c r="E2020" i="1"/>
  <c r="E2297" i="1"/>
  <c r="E2743" i="1"/>
  <c r="E2129" i="1"/>
  <c r="E1513" i="1"/>
  <c r="E1195" i="1"/>
  <c r="E1972" i="1"/>
  <c r="E2298" i="1"/>
  <c r="E2348" i="1"/>
  <c r="E1919" i="1"/>
  <c r="E1116" i="1"/>
  <c r="E3082" i="1"/>
  <c r="E401" i="1"/>
  <c r="E3055" i="1"/>
  <c r="E923" i="1"/>
  <c r="E1653" i="1"/>
  <c r="E2933" i="1"/>
  <c r="E1503" i="1"/>
  <c r="E2261" i="1"/>
  <c r="E2697" i="1"/>
  <c r="E1018" i="1"/>
  <c r="E1003" i="1"/>
  <c r="E2299" i="1"/>
  <c r="E1135" i="1"/>
  <c r="E324" i="1"/>
  <c r="E840" i="1"/>
  <c r="E3277" i="1"/>
  <c r="E2800" i="1"/>
  <c r="E1533" i="1"/>
  <c r="E3052" i="1"/>
  <c r="E1322" i="1"/>
  <c r="E2300" i="1"/>
  <c r="E3057" i="1"/>
  <c r="E1273" i="1"/>
  <c r="E2551" i="1"/>
  <c r="E1995" i="1"/>
  <c r="E1636" i="1"/>
  <c r="E1508" i="1"/>
  <c r="E2765" i="1"/>
  <c r="E676" i="1"/>
  <c r="E2801" i="1"/>
  <c r="E1905" i="1"/>
  <c r="E1999" i="1"/>
  <c r="E168" i="1"/>
  <c r="E1303" i="1"/>
  <c r="E2820" i="1"/>
  <c r="E3067" i="1"/>
  <c r="E1063" i="1"/>
  <c r="E1565" i="1"/>
  <c r="E937" i="1"/>
  <c r="E1634" i="1"/>
  <c r="E2381" i="1"/>
  <c r="E2240" i="1"/>
  <c r="E1504" i="1"/>
  <c r="E1240" i="1"/>
  <c r="E2723" i="1"/>
  <c r="E1110" i="1"/>
  <c r="E1081" i="1"/>
  <c r="E1643" i="1"/>
  <c r="E2932" i="1"/>
  <c r="E1295" i="1"/>
  <c r="E1791" i="1"/>
  <c r="E654" i="1"/>
  <c r="E903" i="1"/>
  <c r="E2596" i="1"/>
  <c r="E2670" i="1"/>
  <c r="E2633" i="1"/>
  <c r="E936" i="1"/>
  <c r="E1687" i="1"/>
  <c r="E2747" i="1"/>
  <c r="E2706" i="1"/>
  <c r="E1641" i="1"/>
  <c r="E1225" i="1"/>
  <c r="E2249" i="1"/>
  <c r="E1252" i="1"/>
  <c r="E1741" i="1"/>
  <c r="E12" i="1"/>
  <c r="E1896" i="1"/>
  <c r="E2200" i="1"/>
  <c r="E572" i="1"/>
  <c r="E716" i="1"/>
  <c r="E804" i="1"/>
  <c r="E2366" i="1"/>
  <c r="E712" i="1"/>
  <c r="E2301" i="1"/>
  <c r="E1391" i="1"/>
  <c r="E997" i="1"/>
  <c r="E920" i="1"/>
  <c r="E1719" i="1"/>
  <c r="E900" i="1"/>
  <c r="E202" i="1"/>
  <c r="E1502" i="1"/>
  <c r="E846" i="1"/>
  <c r="E1964" i="1"/>
  <c r="E637" i="1"/>
  <c r="E559" i="1"/>
  <c r="E1676" i="1"/>
  <c r="E193" i="1"/>
  <c r="E1736" i="1"/>
  <c r="E2059" i="1"/>
  <c r="E856" i="1"/>
  <c r="E1649" i="1"/>
  <c r="E1600" i="1"/>
  <c r="E132" i="1"/>
  <c r="E2976" i="1"/>
  <c r="E567" i="1"/>
  <c r="E2664" i="1"/>
  <c r="E2733" i="1"/>
  <c r="E593" i="1"/>
  <c r="E3030" i="1"/>
  <c r="E1578" i="1"/>
  <c r="E1984" i="1"/>
  <c r="E2538" i="1"/>
  <c r="E1130" i="1"/>
  <c r="E1389" i="1"/>
  <c r="E1045" i="1"/>
  <c r="E1949" i="1"/>
  <c r="E815" i="1"/>
  <c r="E1227" i="1"/>
  <c r="E2422" i="1"/>
  <c r="E1122" i="1"/>
  <c r="E2779" i="1"/>
  <c r="E902" i="1"/>
  <c r="E2812" i="1"/>
  <c r="E3407" i="1"/>
  <c r="E1468" i="1"/>
  <c r="E1472" i="1"/>
  <c r="E1471" i="1"/>
  <c r="E2702" i="1"/>
  <c r="E1750" i="1"/>
  <c r="E272" i="1"/>
  <c r="E1685" i="1"/>
  <c r="E795" i="1"/>
  <c r="E2111" i="1"/>
  <c r="E2434" i="1"/>
  <c r="E2530" i="1"/>
  <c r="E1884" i="1"/>
  <c r="E333" i="1"/>
  <c r="E2841" i="1"/>
  <c r="E935" i="1"/>
  <c r="E417" i="1"/>
  <c r="E1477" i="1"/>
  <c r="E2394" i="1"/>
  <c r="E2302" i="1"/>
  <c r="E2625" i="1"/>
  <c r="E1564" i="1"/>
  <c r="E1060" i="1"/>
  <c r="E448" i="1"/>
  <c r="E823" i="1"/>
  <c r="E1702" i="1"/>
  <c r="E127" i="1"/>
  <c r="E1775" i="1"/>
  <c r="E621" i="1"/>
  <c r="E1428" i="1"/>
  <c r="E440" i="1"/>
  <c r="E393" i="1"/>
  <c r="E2074" i="1"/>
  <c r="E755" i="1"/>
  <c r="E200" i="1"/>
  <c r="E1858" i="1"/>
  <c r="E3369" i="1"/>
  <c r="E2180" i="1"/>
  <c r="E865" i="1"/>
  <c r="E2199" i="1"/>
  <c r="E3233" i="1"/>
  <c r="E749" i="1"/>
  <c r="E1540" i="1"/>
  <c r="E2303" i="1"/>
  <c r="E1220" i="1"/>
  <c r="E1132" i="1"/>
  <c r="E3098" i="1"/>
  <c r="E1797" i="1"/>
  <c r="E1683" i="1"/>
  <c r="E2408" i="1"/>
  <c r="E2397" i="1"/>
  <c r="E2777" i="1"/>
  <c r="E1892" i="1"/>
  <c r="E3405" i="1"/>
  <c r="E235" i="1"/>
  <c r="E2604" i="1"/>
  <c r="E1787" i="1"/>
  <c r="E2454" i="1"/>
  <c r="E2114" i="1"/>
  <c r="E1872" i="1"/>
  <c r="E2813" i="1"/>
  <c r="E2218" i="1"/>
  <c r="E1831" i="1"/>
  <c r="E1854" i="1"/>
  <c r="E2489" i="1"/>
  <c r="E1885" i="1"/>
  <c r="E3109" i="1"/>
  <c r="E972" i="1"/>
  <c r="E1556" i="1"/>
  <c r="E2014" i="1"/>
  <c r="E146" i="1"/>
  <c r="E2132" i="1"/>
  <c r="E2209" i="1"/>
  <c r="E2440" i="1"/>
  <c r="E2207" i="1"/>
  <c r="E1618" i="1"/>
  <c r="E1450" i="1"/>
  <c r="E947" i="1"/>
  <c r="E1324" i="1"/>
  <c r="E2485" i="1"/>
  <c r="E3163" i="1"/>
  <c r="E72" i="1"/>
  <c r="E3393" i="1"/>
  <c r="E160" i="1"/>
  <c r="E3023" i="1"/>
  <c r="E489" i="1"/>
  <c r="E2201" i="1"/>
  <c r="E688" i="1"/>
  <c r="E831" i="1"/>
  <c r="E1544" i="1"/>
  <c r="E2084" i="1"/>
  <c r="E2069" i="1"/>
  <c r="E589" i="1"/>
  <c r="E1765" i="1"/>
  <c r="E855" i="1"/>
  <c r="E2419" i="1"/>
  <c r="E1535" i="1"/>
  <c r="E3081" i="1"/>
  <c r="E32" i="1"/>
  <c r="E1744" i="1"/>
  <c r="E1379" i="1"/>
  <c r="E1929" i="1"/>
  <c r="E1667" i="1"/>
  <c r="E2825" i="1"/>
  <c r="E3035" i="1"/>
  <c r="E191" i="1"/>
  <c r="E1942" i="1"/>
  <c r="E1053" i="1"/>
  <c r="E1788" i="1"/>
  <c r="E2983" i="1"/>
  <c r="E2574" i="1"/>
  <c r="E420" i="1"/>
  <c r="E2304" i="1"/>
  <c r="E3045" i="1"/>
  <c r="E210" i="1"/>
  <c r="E737" i="1"/>
  <c r="E2115" i="1"/>
  <c r="E2704" i="1"/>
  <c r="E1883" i="1"/>
  <c r="E1927" i="1"/>
  <c r="E1682" i="1"/>
  <c r="E1335" i="1"/>
  <c r="E845" i="1"/>
  <c r="E3221" i="1"/>
  <c r="E1183" i="1"/>
  <c r="E3135" i="1"/>
  <c r="E3012" i="1"/>
  <c r="E583" i="1"/>
  <c r="E555" i="1"/>
  <c r="E2179" i="1"/>
  <c r="E2085" i="1"/>
  <c r="E1229" i="1"/>
  <c r="E1411" i="1"/>
  <c r="E2701" i="1"/>
  <c r="E1962" i="1"/>
  <c r="E3071" i="1"/>
  <c r="E186" i="1"/>
  <c r="E2480" i="1"/>
  <c r="E2641" i="1"/>
  <c r="E616" i="1"/>
  <c r="E62" i="1"/>
  <c r="E248" i="1"/>
  <c r="E2118" i="1"/>
  <c r="E1818" i="1"/>
  <c r="E868" i="1"/>
  <c r="E818" i="1"/>
  <c r="E1835" i="1"/>
  <c r="E2305" i="1"/>
  <c r="E53" i="1"/>
  <c r="E387" i="1"/>
  <c r="E2856" i="1"/>
  <c r="E1620" i="1"/>
  <c r="E2764" i="1"/>
  <c r="E587" i="1"/>
  <c r="E1569" i="1"/>
  <c r="E2128" i="1"/>
  <c r="E615" i="1"/>
  <c r="E651" i="1"/>
  <c r="E353" i="1"/>
  <c r="E1271" i="1"/>
  <c r="E1429" i="1"/>
  <c r="E1488" i="1"/>
  <c r="E1591" i="1"/>
  <c r="E2306" i="1"/>
  <c r="E1802" i="1"/>
  <c r="E955" i="1"/>
  <c r="E203" i="1"/>
  <c r="E2175" i="1"/>
  <c r="E2043" i="1"/>
  <c r="E768" i="1"/>
  <c r="E3373" i="1"/>
  <c r="E1631" i="1"/>
  <c r="E2035" i="1"/>
  <c r="E2412" i="1"/>
  <c r="E1601" i="1"/>
  <c r="E2513" i="1"/>
  <c r="E1374" i="1"/>
  <c r="E302" i="1"/>
  <c r="E3247" i="1"/>
  <c r="E3024" i="1"/>
  <c r="E437" i="1"/>
  <c r="E2307" i="1"/>
  <c r="E1387" i="1"/>
  <c r="E2308" i="1"/>
  <c r="E603" i="1"/>
  <c r="E3119" i="1"/>
  <c r="E2003" i="1"/>
  <c r="E2309" i="1"/>
  <c r="E2310" i="1"/>
  <c r="E1476" i="1"/>
  <c r="E3293" i="1"/>
  <c r="E2147" i="1"/>
  <c r="E2618" i="1"/>
  <c r="E2727" i="1"/>
  <c r="E3026" i="1"/>
  <c r="E1287" i="1"/>
  <c r="E66" i="1"/>
  <c r="E147" i="1"/>
  <c r="E1343" i="1"/>
  <c r="E1527" i="1"/>
  <c r="E1143" i="1"/>
  <c r="E2094" i="1"/>
  <c r="E2311" i="1"/>
  <c r="E1435" i="1"/>
  <c r="E1052" i="1"/>
  <c r="E2008" i="1"/>
  <c r="E1878" i="1"/>
  <c r="E810" i="1"/>
  <c r="E3367" i="1"/>
  <c r="E1829" i="1"/>
  <c r="E2568" i="1"/>
  <c r="E2010" i="1"/>
  <c r="E2312" i="1"/>
  <c r="E2195" i="1"/>
  <c r="E2829" i="1"/>
  <c r="E2324" i="1"/>
  <c r="E2159" i="1"/>
  <c r="E2866" i="1"/>
  <c r="E1782" i="1"/>
  <c r="E2066" i="1"/>
  <c r="E2644" i="1"/>
  <c r="E2096" i="1"/>
  <c r="E3218" i="1"/>
  <c r="E398" i="1"/>
  <c r="E921" i="1"/>
  <c r="E2313" i="1"/>
  <c r="E2314" i="1"/>
  <c r="E3131" i="1"/>
  <c r="E2315" i="1"/>
  <c r="E859" i="1"/>
  <c r="E1589" i="1"/>
  <c r="E2967" i="1"/>
  <c r="E2345" i="1"/>
  <c r="E2619" i="1"/>
  <c r="E1034" i="1"/>
  <c r="E1214" i="1"/>
  <c r="E2316" i="1"/>
  <c r="E3333" i="1"/>
  <c r="E1585" i="1"/>
  <c r="E2385" i="1"/>
  <c r="E2854" i="1"/>
  <c r="E512" i="1"/>
  <c r="E2161" i="1"/>
  <c r="E3392" i="1"/>
  <c r="E3114" i="1"/>
  <c r="E2646" i="1"/>
  <c r="E748" i="1"/>
  <c r="E2883" i="1"/>
  <c r="E2781" i="1"/>
  <c r="E2373" i="1"/>
  <c r="E1594" i="1"/>
  <c r="E307" i="1"/>
  <c r="E71" i="1"/>
  <c r="E2616" i="1"/>
  <c r="E3214" i="1"/>
  <c r="E3125" i="1"/>
  <c r="E2317" i="1"/>
  <c r="E3066" i="1"/>
  <c r="E882" i="1"/>
  <c r="E375" i="1"/>
  <c r="E1522" i="1"/>
  <c r="E1501" i="1"/>
  <c r="E2912" i="1"/>
  <c r="E2050" i="1"/>
  <c r="E2225" i="1"/>
  <c r="E2318" i="1"/>
  <c r="E584" i="1"/>
  <c r="E1456" i="1"/>
  <c r="E59" i="1"/>
  <c r="E1785" i="1"/>
  <c r="E2212" i="1"/>
  <c r="E3118" i="1"/>
  <c r="E954" i="1"/>
  <c r="E2806" i="1"/>
  <c r="E2488" i="1"/>
  <c r="E1059" i="1"/>
  <c r="E201" i="1"/>
  <c r="E1284" i="1"/>
  <c r="E2048" i="1"/>
  <c r="E2405" i="1"/>
  <c r="E1617" i="1"/>
  <c r="E1728" i="1"/>
  <c r="E3137" i="1"/>
  <c r="E964" i="1"/>
  <c r="E794" i="1"/>
  <c r="E2021" i="1"/>
  <c r="E2242" i="1"/>
  <c r="E296" i="1"/>
  <c r="E281" i="1"/>
  <c r="E3186" i="1"/>
  <c r="E1850" i="1"/>
  <c r="E990" i="1"/>
  <c r="E1764" i="1"/>
  <c r="E1484" i="1"/>
  <c r="E2955" i="1"/>
  <c r="E642" i="1"/>
  <c r="E2680" i="1"/>
  <c r="E766" i="1"/>
  <c r="E1197" i="1"/>
  <c r="E2138" i="1"/>
  <c r="E2416" i="1"/>
  <c r="E24" i="1"/>
  <c r="E1254" i="1"/>
  <c r="E3404" i="1"/>
  <c r="E1694" i="1"/>
  <c r="E2258" i="1"/>
  <c r="E3185" i="1"/>
  <c r="E1828" i="1"/>
  <c r="E2319" i="1"/>
  <c r="E1909" i="1"/>
  <c r="E789" i="1"/>
  <c r="E1998" i="1"/>
  <c r="E829" i="1"/>
  <c r="E2613" i="1"/>
  <c r="E884" i="1"/>
  <c r="E1390" i="1"/>
  <c r="E1639" i="1"/>
  <c r="E1761" i="1"/>
  <c r="E2320" i="1"/>
  <c r="E136" i="1"/>
  <c r="E1185" i="1"/>
  <c r="E867" i="1"/>
  <c r="E2671" i="1"/>
  <c r="E2211" i="1"/>
  <c r="E914" i="1"/>
  <c r="E695" i="1"/>
  <c r="E1467" i="1"/>
  <c r="E3341" i="1"/>
  <c r="E2321" i="1"/>
  <c r="E2483" i="1"/>
  <c r="E3117" i="1"/>
  <c r="E1097" i="1"/>
  <c r="E255" i="1"/>
  <c r="E1771" i="1"/>
  <c r="E1299" i="1"/>
  <c r="E355" i="1"/>
  <c r="E1853" i="1"/>
  <c r="E3379" i="1"/>
  <c r="E2374" i="1"/>
  <c r="E2462" i="1"/>
  <c r="E2018" i="1"/>
  <c r="E2709" i="1"/>
  <c r="E2322" i="1"/>
  <c r="E2015" i="1"/>
  <c r="E2323" i="1"/>
  <c r="E2875" i="1"/>
  <c r="E2647" i="1"/>
  <c r="E1982" i="1"/>
  <c r="E952" i="1"/>
  <c r="E1843" i="1"/>
  <c r="E627" i="1"/>
  <c r="E2731" i="1"/>
  <c r="E1931" i="1"/>
  <c r="E719" i="1"/>
  <c r="E1796" i="1"/>
  <c r="E2325" i="1"/>
  <c r="E1729" i="1"/>
  <c r="E585" i="1"/>
  <c r="E1449" i="1"/>
  <c r="E1898" i="1"/>
  <c r="E2849" i="1"/>
  <c r="E1762" i="1"/>
  <c r="E2326" i="1"/>
  <c r="E2570" i="1"/>
  <c r="E2869" i="1"/>
  <c r="E75" i="1"/>
  <c r="E3112" i="1"/>
  <c r="E2690" i="1"/>
  <c r="E107" i="1"/>
  <c r="E2327" i="1"/>
  <c r="E2267" i="1"/>
  <c r="E2476" i="1"/>
  <c r="E2137" i="1"/>
  <c r="E2126" i="1"/>
  <c r="E1647" i="1"/>
  <c r="E1023" i="1"/>
  <c r="E2521" i="1"/>
  <c r="E1516" i="1"/>
  <c r="E1393" i="1"/>
  <c r="E1206" i="1"/>
  <c r="E2064" i="1"/>
  <c r="E1333" i="1"/>
  <c r="E1328" i="1"/>
  <c r="E1943" i="1"/>
  <c r="E2265" i="1"/>
  <c r="E1485" i="1"/>
  <c r="E1448" i="1"/>
  <c r="E788" i="1"/>
  <c r="E2328" i="1"/>
  <c r="E2110" i="1"/>
  <c r="E1990" i="1"/>
  <c r="E1537" i="1"/>
  <c r="E857" i="1"/>
  <c r="E260" i="1"/>
  <c r="E1970" i="1"/>
  <c r="E1139" i="1"/>
  <c r="E2329" i="1"/>
  <c r="E1932" i="1"/>
  <c r="E2330" i="1"/>
  <c r="E1525" i="1"/>
  <c r="E467" i="1"/>
  <c r="E442" i="1"/>
  <c r="E959" i="1"/>
  <c r="E2395" i="1"/>
  <c r="E1417" i="1"/>
  <c r="E2335" i="1"/>
  <c r="E441" i="1"/>
  <c r="E1652" i="1"/>
  <c r="E2331" i="1"/>
  <c r="E2699" i="1"/>
  <c r="E1766" i="1"/>
  <c r="E817" i="1"/>
  <c r="E3278" i="1"/>
  <c r="E1701" i="1"/>
  <c r="E2088" i="1"/>
  <c r="E2086" i="1"/>
  <c r="E816" i="1"/>
  <c r="E1151" i="1"/>
  <c r="E174" i="1"/>
  <c r="E1344" i="1"/>
  <c r="E222" i="1"/>
  <c r="E1563" i="1"/>
  <c r="E736" i="1"/>
  <c r="E2809" i="1"/>
  <c r="E1248" i="1"/>
  <c r="E2251" i="1"/>
  <c r="E2830" i="1"/>
  <c r="E1178" i="1"/>
  <c r="E909" i="1"/>
  <c r="E2002" i="1"/>
  <c r="E2879" i="1"/>
  <c r="E1425" i="1"/>
  <c r="E598" i="1"/>
  <c r="E1175" i="1"/>
  <c r="E2332" i="1"/>
  <c r="E1674" i="1"/>
  <c r="E1852" i="1"/>
  <c r="E2561" i="1"/>
  <c r="E211" i="1"/>
  <c r="E1056" i="1"/>
  <c r="E1987" i="1"/>
  <c r="E497" i="1"/>
  <c r="E1548" i="1"/>
  <c r="E827" i="1"/>
  <c r="E1734" i="1"/>
  <c r="E2344" i="1"/>
  <c r="E3134" i="1"/>
  <c r="E3403" i="1"/>
  <c r="E3227" i="1"/>
  <c r="E2384" i="1"/>
  <c r="E802" i="1"/>
  <c r="E2139" i="1"/>
  <c r="E1511" i="1"/>
  <c r="E2061" i="1"/>
  <c r="E2388" i="1"/>
  <c r="E2333" i="1"/>
  <c r="E1447" i="1"/>
  <c r="E1864" i="1"/>
  <c r="E3216" i="1"/>
  <c r="E1965" i="1"/>
  <c r="E502" i="1"/>
  <c r="E2163" i="1"/>
  <c r="E1245" i="1"/>
  <c r="E1142" i="1"/>
  <c r="E3072" i="1"/>
  <c r="E256" i="1"/>
  <c r="E2127" i="1"/>
  <c r="E2104" i="1"/>
  <c r="E811" i="1"/>
  <c r="E2509" i="1"/>
  <c r="E2720" i="1"/>
  <c r="E1803" i="1"/>
  <c r="E1599" i="1"/>
  <c r="E1727" i="1"/>
  <c r="E3222" i="1"/>
  <c r="E326" i="1"/>
  <c r="E2184" i="1"/>
  <c r="E1681" i="1"/>
  <c r="E1048" i="1"/>
  <c r="E1930" i="1"/>
  <c r="E2049" i="1"/>
  <c r="E106" i="1"/>
  <c r="E1228" i="1"/>
  <c r="E1944" i="1"/>
  <c r="E3195" i="1"/>
  <c r="E2045" i="1"/>
  <c r="E669" i="1"/>
  <c r="E2364" i="1"/>
  <c r="E2729" i="1"/>
  <c r="E2645" i="1"/>
  <c r="E159" i="1"/>
  <c r="E1841" i="1"/>
  <c r="E1246" i="1"/>
  <c r="E3102" i="1"/>
  <c r="E1255" i="1"/>
  <c r="E934" i="1"/>
  <c r="E2334" i="1"/>
  <c r="E2383" i="1"/>
  <c r="E973" i="1"/>
  <c r="E1373" i="1"/>
  <c r="E1043" i="1"/>
  <c r="E2542" i="1"/>
  <c r="E2675" i="1"/>
  <c r="E764" i="1"/>
  <c r="E1833" i="1"/>
  <c r="E2169" i="1"/>
  <c r="E1815" i="1"/>
  <c r="E2925" i="1"/>
  <c r="E2547" i="1"/>
  <c r="E2343" i="1"/>
  <c r="E1482" i="1"/>
  <c r="E1067" i="1"/>
  <c r="E813" i="1"/>
  <c r="E1981" i="1"/>
  <c r="E3003" i="1"/>
  <c r="E682" i="1"/>
  <c r="E3317" i="1"/>
  <c r="E2133" i="1"/>
  <c r="E1529" i="1"/>
  <c r="E2814" i="1"/>
  <c r="E1826" i="1"/>
  <c r="E777" i="1"/>
  <c r="E1709" i="1"/>
  <c r="E646" i="1"/>
  <c r="E167" i="1"/>
  <c r="E31" i="1"/>
  <c r="E2244" i="1"/>
  <c r="E2246" i="1"/>
  <c r="E2181" i="1"/>
  <c r="E2563" i="1"/>
  <c r="E526" i="1"/>
  <c r="E79" i="1"/>
  <c r="E3038" i="1"/>
  <c r="E1844" i="1"/>
  <c r="E1498" i="1"/>
  <c r="E471" i="1"/>
  <c r="E1102" i="1"/>
  <c r="E3390" i="1"/>
  <c r="E1294" i="1"/>
  <c r="E1279" i="1"/>
  <c r="E1724" i="1"/>
  <c r="E1793" i="1"/>
  <c r="E3258" i="1"/>
  <c r="E693" i="1"/>
  <c r="E356" i="1"/>
  <c r="E537" i="1"/>
  <c r="E649" i="1"/>
  <c r="E397" i="1"/>
  <c r="E2337" i="1"/>
  <c r="E828" i="1"/>
  <c r="E877" i="1"/>
  <c r="E1406" i="1"/>
  <c r="E2223" i="1"/>
  <c r="E2162" i="1"/>
  <c r="E1813" i="1"/>
  <c r="E2665" i="1"/>
  <c r="E2146" i="1"/>
  <c r="E769" i="1"/>
  <c r="E1924" i="1"/>
  <c r="E2980" i="1"/>
  <c r="E13" i="1"/>
  <c r="E874" i="1"/>
  <c r="E1188" i="1"/>
  <c r="E1088" i="1"/>
  <c r="E1321" i="1"/>
  <c r="E1106" i="1"/>
  <c r="E2421" i="1"/>
  <c r="E1210" i="1"/>
  <c r="E1486" i="1"/>
  <c r="E2498" i="1"/>
  <c r="E2929" i="1"/>
  <c r="E130" i="1"/>
  <c r="E521" i="1"/>
  <c r="E1583" i="1"/>
  <c r="E2081" i="1"/>
  <c r="E2338" i="1"/>
  <c r="E2090" i="1"/>
  <c r="E2336" i="1"/>
  <c r="E1920" i="1"/>
  <c r="E516" i="1"/>
  <c r="E2259" i="1"/>
  <c r="E2457" i="1"/>
  <c r="E2943" i="1"/>
  <c r="E2471" i="1"/>
  <c r="E1427" i="1"/>
  <c r="E3196" i="1"/>
  <c r="E1479" i="1"/>
  <c r="E2886" i="1"/>
  <c r="E2204" i="1"/>
  <c r="E1777" i="1"/>
  <c r="E1087" i="1"/>
  <c r="E499" i="1"/>
  <c r="E2423" i="1"/>
  <c r="E2944" i="1"/>
  <c r="E1662" i="1"/>
  <c r="E2436" i="1"/>
  <c r="E2559" i="1"/>
  <c r="E2183" i="1"/>
  <c r="E99" i="1"/>
  <c r="E582" i="1"/>
  <c r="E2379" i="1"/>
  <c r="E2920" i="1"/>
  <c r="E931" i="1"/>
  <c r="E2532" i="1"/>
  <c r="E1361" i="1"/>
  <c r="E1270" i="1"/>
  <c r="E1857" i="1"/>
  <c r="E2346" i="1"/>
  <c r="E836" i="1"/>
  <c r="E1979" i="1"/>
  <c r="E692" i="1"/>
  <c r="E1819" i="1"/>
  <c r="E2516" i="1"/>
  <c r="E2782" i="1"/>
  <c r="E3015" i="1"/>
  <c r="E308" i="1"/>
  <c r="E446" i="1"/>
  <c r="E666" i="1"/>
  <c r="E1590" i="1"/>
  <c r="E2444" i="1"/>
  <c r="E2887" i="1"/>
  <c r="E925" i="1"/>
  <c r="E1202" i="1"/>
  <c r="E1013" i="1"/>
  <c r="E1375" i="1"/>
  <c r="E1809" i="1"/>
  <c r="E297" i="1"/>
  <c r="E1407" i="1"/>
  <c r="E2524" i="1"/>
  <c r="E2339" i="1"/>
  <c r="E3076" i="1"/>
  <c r="E3037" i="1"/>
  <c r="E576" i="1"/>
  <c r="E1262" i="1"/>
  <c r="E1042" i="1"/>
  <c r="E166" i="1"/>
  <c r="E3086" i="1"/>
  <c r="E3010" i="1"/>
  <c r="E119" i="1"/>
  <c r="E728" i="1"/>
  <c r="E1342" i="1"/>
  <c r="E2154" i="1"/>
  <c r="E1663" i="1"/>
  <c r="E3048" i="1"/>
  <c r="E1108" i="1"/>
  <c r="E1597" i="1"/>
  <c r="E137" i="1"/>
  <c r="E1679" i="1"/>
  <c r="E466" i="1"/>
  <c r="E1781" i="1"/>
  <c r="E338" i="1"/>
  <c r="E2144" i="1"/>
  <c r="E2479" i="1"/>
  <c r="E601" i="1"/>
  <c r="E410" i="1"/>
  <c r="E1860" i="1"/>
  <c r="E838" i="1"/>
  <c r="E1823" i="1"/>
  <c r="E408" i="1"/>
  <c r="E2539" i="1"/>
  <c r="E1915" i="1"/>
  <c r="E933" i="1"/>
  <c r="E2548" i="1"/>
  <c r="E2062" i="1"/>
  <c r="E2507" i="1"/>
  <c r="E1554" i="1"/>
  <c r="E681" i="1"/>
  <c r="E2012" i="1"/>
  <c r="E799" i="1"/>
  <c r="E1351" i="1"/>
  <c r="E385" i="1"/>
  <c r="E1000" i="1"/>
  <c r="E915" i="1"/>
  <c r="E2565" i="1"/>
  <c r="E2120" i="1"/>
  <c r="E1155" i="1"/>
  <c r="E632" i="1"/>
  <c r="E3110" i="1"/>
  <c r="E2099" i="1"/>
  <c r="E2340" i="1"/>
  <c r="E2788" i="1"/>
  <c r="E1567" i="1"/>
  <c r="E1305" i="1"/>
  <c r="E61" i="1"/>
  <c r="E2795" i="1"/>
  <c r="E1090" i="1"/>
  <c r="E1217" i="1"/>
  <c r="E98" i="1"/>
  <c r="E1371" i="1"/>
  <c r="E2914" i="1"/>
  <c r="E376" i="1"/>
  <c r="E1875" i="1"/>
  <c r="E3049" i="1"/>
  <c r="E1463" i="1"/>
  <c r="E1606" i="1"/>
  <c r="E2867" i="1"/>
  <c r="E1933" i="1"/>
  <c r="E2520" i="1"/>
  <c r="E1945" i="1"/>
  <c r="E3325" i="1"/>
  <c r="E2496" i="1"/>
  <c r="E1717" i="1"/>
  <c r="E717" i="1"/>
  <c r="E185" i="1"/>
  <c r="E2040" i="1"/>
  <c r="E2951" i="1"/>
  <c r="E220" i="1"/>
  <c r="E783" i="1"/>
  <c r="E383" i="1"/>
  <c r="E1695" i="1"/>
  <c r="E1545" i="1"/>
  <c r="E225" i="1"/>
  <c r="E3116" i="1"/>
  <c r="E2572" i="1"/>
  <c r="E1913" i="1"/>
  <c r="E2651" i="1"/>
  <c r="E2448" i="1"/>
  <c r="E2833" i="1"/>
  <c r="E3129" i="1"/>
  <c r="E891" i="1"/>
  <c r="E1218" i="1"/>
  <c r="E2387" i="1"/>
  <c r="E1672" i="1"/>
  <c r="E3358" i="1"/>
  <c r="E2950" i="1"/>
  <c r="E3266" i="1"/>
  <c r="E3254" i="1"/>
  <c r="E3088" i="1"/>
  <c r="E2986" i="1"/>
  <c r="E1134" i="1"/>
  <c r="E636" i="1"/>
  <c r="E1845" i="1"/>
  <c r="E3099" i="1"/>
  <c r="E464" i="1"/>
  <c r="E2382" i="1"/>
  <c r="E2778" i="1"/>
  <c r="E1260" i="1"/>
  <c r="E90" i="1"/>
  <c r="E3079" i="1"/>
  <c r="E617" i="1"/>
  <c r="E1659" i="1"/>
  <c r="E1947" i="1"/>
  <c r="E1630" i="1"/>
  <c r="E3087" i="1"/>
  <c r="E2683" i="1"/>
  <c r="E1077" i="1"/>
  <c r="E2758" i="1"/>
  <c r="E3054" i="1"/>
  <c r="E1625" i="1"/>
  <c r="E1357" i="1"/>
  <c r="E3340" i="1"/>
  <c r="E2987" i="1"/>
  <c r="E3344" i="1"/>
  <c r="E2923" i="1"/>
  <c r="E803" i="1"/>
  <c r="E453" i="1"/>
  <c r="E948" i="1"/>
  <c r="E2475" i="1"/>
  <c r="E2418" i="1"/>
  <c r="E1955" i="1"/>
  <c r="E261" i="1"/>
  <c r="E1396" i="1"/>
  <c r="E2549" i="1"/>
  <c r="E1307" i="1"/>
  <c r="E1380" i="1"/>
  <c r="E76" i="1"/>
  <c r="E2818" i="1"/>
  <c r="E506" i="1"/>
  <c r="E2787" i="1"/>
  <c r="E2938" i="1"/>
  <c r="E1742" i="1"/>
  <c r="E3226" i="1"/>
  <c r="E3240" i="1"/>
  <c r="E2653" i="1"/>
  <c r="E3276" i="1"/>
  <c r="E70" i="1"/>
  <c r="E2902" i="1"/>
  <c r="E1558" i="1"/>
  <c r="E1347" i="1"/>
  <c r="E1235" i="1"/>
  <c r="E1079" i="1"/>
  <c r="E821" i="1"/>
  <c r="E1680" i="1"/>
  <c r="E1243" i="1"/>
  <c r="E1445" i="1"/>
  <c r="E1458" i="1"/>
  <c r="E1219" i="1"/>
  <c r="E3318" i="1"/>
  <c r="E82" i="1"/>
  <c r="E2816" i="1"/>
  <c r="E591" i="1"/>
  <c r="E3158" i="1"/>
  <c r="E545" i="1"/>
  <c r="E704" i="1"/>
  <c r="E1084" i="1"/>
  <c r="E3342" i="1"/>
  <c r="E761" i="1"/>
  <c r="E181" i="1"/>
  <c r="E1650" i="1"/>
  <c r="E1213" i="1"/>
  <c r="E29" i="1"/>
  <c r="E3307" i="1"/>
  <c r="E3262" i="1"/>
  <c r="E1365" i="1"/>
  <c r="E1007" i="1"/>
  <c r="E2805" i="1"/>
  <c r="E274" i="1"/>
  <c r="E680" i="1"/>
  <c r="E958" i="1"/>
  <c r="E2678" i="1"/>
  <c r="E1957" i="1"/>
  <c r="E727" i="1"/>
  <c r="E1205" i="1"/>
  <c r="E3246" i="1"/>
  <c r="E2948" i="1"/>
  <c r="E2529" i="1"/>
  <c r="E2502" i="1"/>
  <c r="E1326" i="1"/>
  <c r="E3255" i="1"/>
  <c r="E288" i="1"/>
  <c r="E1812" i="1"/>
  <c r="E469" i="1"/>
  <c r="E1451" i="1"/>
  <c r="E1939" i="1"/>
  <c r="E852" i="1"/>
  <c r="E370" i="1"/>
  <c r="E3245" i="1"/>
  <c r="E14" i="1"/>
  <c r="E2847" i="1"/>
  <c r="E1751" i="1"/>
  <c r="E2468" i="1"/>
  <c r="E218" i="1"/>
  <c r="E620" i="1"/>
  <c r="E1757" i="1"/>
  <c r="E2362" i="1"/>
  <c r="E2056" i="1"/>
  <c r="E1325" i="1"/>
  <c r="E2674" i="1"/>
  <c r="E2802" i="1"/>
  <c r="E2682" i="1"/>
  <c r="E1483" i="1"/>
  <c r="E3308" i="1"/>
  <c r="E2888" i="1"/>
  <c r="E798" i="1"/>
  <c r="E1464" i="1"/>
  <c r="E2895" i="1"/>
  <c r="E3151" i="1"/>
  <c r="E1621" i="1"/>
  <c r="E196" i="1"/>
  <c r="E3070" i="1"/>
  <c r="E2819" i="1"/>
  <c r="E3338" i="1"/>
  <c r="E1029" i="1"/>
  <c r="E2771" i="1"/>
  <c r="E351" i="1"/>
  <c r="E2404" i="1"/>
  <c r="E1769" i="1"/>
  <c r="E3040" i="1"/>
  <c r="E3354" i="1"/>
  <c r="E844" i="1"/>
  <c r="E2716" i="1"/>
  <c r="E51" i="1"/>
  <c r="E230" i="1"/>
  <c r="E2148" i="1"/>
  <c r="E1104" i="1"/>
  <c r="E1963" i="1"/>
  <c r="E1009" i="1"/>
  <c r="E109" i="1"/>
  <c r="E1083" i="1"/>
  <c r="E357" i="1"/>
  <c r="E1980" i="1"/>
  <c r="E88" i="1"/>
  <c r="E711" i="1"/>
  <c r="E2198" i="1"/>
  <c r="E2919" i="1"/>
  <c r="E3051" i="1"/>
  <c r="E3343" i="1"/>
  <c r="E2735" i="1"/>
  <c r="E3014" i="1"/>
  <c r="E2667" i="1"/>
  <c r="E1095" i="1"/>
  <c r="E745" i="1"/>
  <c r="E3047" i="1"/>
  <c r="E535" i="1"/>
  <c r="E141" i="1"/>
  <c r="E126" i="1"/>
  <c r="E3290" i="1"/>
  <c r="E2505" i="1"/>
  <c r="E496" i="1"/>
  <c r="E3384" i="1"/>
  <c r="E1208" i="1"/>
  <c r="E2724" i="1"/>
  <c r="E3091" i="1"/>
  <c r="E1345" i="1"/>
  <c r="E18" i="1"/>
  <c r="E335" i="1"/>
  <c r="E2595" i="1"/>
  <c r="E2178" i="1"/>
  <c r="E586" i="1"/>
  <c r="E2247" i="1"/>
  <c r="E366" i="1"/>
  <c r="E793" i="1"/>
  <c r="E3366" i="1"/>
  <c r="E531" i="1"/>
  <c r="E419" i="1"/>
  <c r="E1518" i="1"/>
  <c r="E1609" i="1"/>
  <c r="E2569" i="1"/>
  <c r="E2420" i="1"/>
  <c r="E60" i="1"/>
  <c r="E1150" i="1"/>
  <c r="E2224" i="1"/>
  <c r="E1158" i="1"/>
  <c r="E1610" i="1"/>
  <c r="E2587" i="1"/>
  <c r="E3183" i="1"/>
  <c r="E482" i="1"/>
  <c r="E2492" i="1"/>
  <c r="E2253" i="1"/>
  <c r="E2510" i="1"/>
  <c r="E1423" i="1"/>
  <c r="E1869" i="1"/>
  <c r="E1908" i="1"/>
  <c r="E3094" i="1"/>
  <c r="E2125" i="1"/>
  <c r="E698" i="1"/>
  <c r="E1574" i="1"/>
  <c r="E1304" i="1"/>
  <c r="E454" i="1"/>
  <c r="E3013" i="1"/>
  <c r="E2425" i="1"/>
  <c r="E273" i="1"/>
  <c r="E724" i="1"/>
  <c r="E311" i="1"/>
  <c r="E2589" i="1"/>
  <c r="E2921" i="1"/>
  <c r="E3314" i="1"/>
  <c r="E169" i="1"/>
  <c r="E1264" i="1"/>
  <c r="E1256" i="1"/>
  <c r="E2963" i="1"/>
  <c r="E548" i="1"/>
  <c r="E826" i="1"/>
  <c r="E2028" i="1"/>
  <c r="E1733" i="1"/>
  <c r="E3209" i="1"/>
  <c r="E2807" i="1"/>
  <c r="E2025" i="1"/>
  <c r="E2734" i="1"/>
  <c r="E770" i="1"/>
  <c r="E1789" i="1"/>
  <c r="E2235" i="1"/>
  <c r="E2051" i="1"/>
  <c r="E1377" i="1"/>
  <c r="E2119" i="1"/>
  <c r="E1019" i="1"/>
  <c r="E2640" i="1"/>
  <c r="E2597" i="1"/>
  <c r="E2848" i="1"/>
  <c r="E604" i="1"/>
  <c r="E1868" i="1"/>
  <c r="E188" i="1"/>
  <c r="E241" i="1"/>
  <c r="E3259" i="1"/>
  <c r="E578" i="1"/>
  <c r="E3084" i="1"/>
  <c r="E3001" i="1"/>
  <c r="E575" i="1"/>
  <c r="E1247" i="1"/>
  <c r="E1555" i="1"/>
  <c r="E3197" i="1"/>
  <c r="E2673" i="1"/>
  <c r="E2785" i="1"/>
  <c r="E631" i="1"/>
  <c r="E247" i="1"/>
  <c r="E3264" i="1"/>
  <c r="E2437" i="1"/>
  <c r="E2615" i="1"/>
  <c r="E2229" i="1"/>
  <c r="E342" i="1"/>
  <c r="E2038" i="1"/>
  <c r="E133" i="1"/>
  <c r="E3179" i="1"/>
  <c r="E2853" i="1"/>
  <c r="E2873" i="1"/>
  <c r="E1395" i="1"/>
  <c r="E1613" i="1"/>
  <c r="E347" i="1"/>
  <c r="E3177" i="1"/>
  <c r="E131" i="1"/>
  <c r="E1222" i="1"/>
  <c r="E2206" i="1"/>
  <c r="E1298" i="1"/>
  <c r="E824" i="1"/>
  <c r="E2838" i="1"/>
  <c r="E2608" i="1"/>
  <c r="E2359" i="1"/>
  <c r="E277" i="1"/>
  <c r="E673" i="1"/>
  <c r="E3230" i="1"/>
  <c r="E3291" i="1"/>
  <c r="E592" i="1"/>
  <c r="E2855" i="1"/>
  <c r="E2042" i="1"/>
  <c r="E677" i="1"/>
  <c r="E2668" i="1"/>
  <c r="E124" i="1"/>
  <c r="E418" i="1"/>
  <c r="E3019" i="1"/>
  <c r="E2185" i="1"/>
  <c r="E2719" i="1"/>
  <c r="E1821" i="1"/>
  <c r="E2158" i="1"/>
  <c r="E3149" i="1"/>
  <c r="E2890" i="1"/>
  <c r="E1212" i="1"/>
  <c r="E2264" i="1"/>
  <c r="E3383" i="1"/>
  <c r="E662" i="1"/>
  <c r="E1735" i="1"/>
  <c r="E1413" i="1"/>
  <c r="E2635" i="1"/>
  <c r="E878" i="1"/>
  <c r="E912" i="1"/>
  <c r="E1378" i="1"/>
  <c r="E2581" i="1"/>
  <c r="E1040" i="1"/>
  <c r="E249" i="1"/>
  <c r="E2714" i="1"/>
  <c r="E3285" i="1"/>
  <c r="E503" i="1"/>
  <c r="E2153" i="1"/>
  <c r="E2230" i="1"/>
  <c r="E1638" i="1"/>
  <c r="E1096" i="1"/>
  <c r="E2892" i="1"/>
  <c r="E1362" i="1"/>
  <c r="E322" i="1"/>
  <c r="E901" i="1"/>
  <c r="E1431" i="1"/>
  <c r="E3237" i="1"/>
  <c r="E1573" i="1"/>
  <c r="E634" i="1"/>
  <c r="E2880" i="1"/>
  <c r="E1152" i="1"/>
  <c r="E3316" i="1"/>
  <c r="E2703" i="1"/>
  <c r="E1126" i="1"/>
  <c r="E2996" i="1"/>
  <c r="E3059" i="1"/>
  <c r="E443" i="1"/>
  <c r="E1627" i="1"/>
  <c r="E3153" i="1"/>
  <c r="E2655" i="1"/>
  <c r="E2443" i="1"/>
  <c r="E3074" i="1"/>
  <c r="E2770" i="1"/>
  <c r="E2926" i="1"/>
  <c r="E2990" i="1"/>
  <c r="E2363" i="1"/>
  <c r="E1251" i="1"/>
  <c r="E2774" i="1"/>
  <c r="E513" i="1"/>
  <c r="E116" i="1"/>
  <c r="E819" i="1"/>
  <c r="E1184" i="1"/>
  <c r="E2380" i="1"/>
  <c r="E293" i="1"/>
  <c r="E402" i="1"/>
  <c r="E3265" i="1"/>
  <c r="E2755" i="1"/>
  <c r="E2804" i="1"/>
  <c r="E1605" i="1"/>
  <c r="E2927" i="1"/>
  <c r="E2001" i="1"/>
  <c r="E439" i="1"/>
  <c r="E3083" i="1"/>
  <c r="E415" i="1"/>
  <c r="E3225" i="1"/>
  <c r="E1119" i="1"/>
  <c r="E2189" i="1"/>
  <c r="E3356" i="1"/>
  <c r="E2116" i="1"/>
  <c r="E639" i="1"/>
  <c r="E2852" i="1"/>
  <c r="E2585" i="1"/>
  <c r="E540" i="1"/>
  <c r="E354" i="1"/>
  <c r="E2100" i="1"/>
  <c r="E2907" i="1"/>
  <c r="E2878" i="1"/>
  <c r="E2220" i="1"/>
  <c r="E2900" i="1"/>
  <c r="E1179" i="1"/>
  <c r="E2150" i="1"/>
  <c r="E1870" i="1"/>
  <c r="E285" i="1"/>
  <c r="E1547" i="1"/>
  <c r="E2677" i="1"/>
  <c r="E3275" i="1"/>
  <c r="E1420" i="1"/>
  <c r="E2617" i="1"/>
  <c r="E1319" i="1"/>
  <c r="E1405" i="1"/>
  <c r="E2760" i="1"/>
  <c r="E3016" i="1"/>
  <c r="E1880" i="1"/>
  <c r="E1382" i="1"/>
  <c r="E780" i="1"/>
  <c r="E1297" i="1"/>
  <c r="E3238" i="1"/>
  <c r="E3160" i="1"/>
  <c r="E35" i="1"/>
  <c r="E1117" i="1"/>
  <c r="E2544" i="1"/>
  <c r="E1726" i="1"/>
  <c r="E2011" i="1"/>
  <c r="E2590" i="1"/>
  <c r="E1415" i="1"/>
  <c r="E3243" i="1"/>
  <c r="E1914" i="1"/>
  <c r="E287" i="1"/>
  <c r="E473" i="1"/>
  <c r="E265" i="1"/>
  <c r="L3" i="1"/>
  <c r="L11" i="1"/>
  <c r="L19" i="1"/>
  <c r="L27" i="1"/>
  <c r="L35" i="1"/>
  <c r="L43" i="1"/>
  <c r="L51" i="1"/>
  <c r="L59" i="1"/>
  <c r="L67" i="1"/>
  <c r="L75" i="1"/>
  <c r="L83" i="1"/>
  <c r="L91" i="1"/>
  <c r="L99" i="1"/>
  <c r="L107" i="1"/>
  <c r="L115" i="1"/>
  <c r="L123" i="1"/>
  <c r="L131" i="1"/>
  <c r="L139" i="1"/>
  <c r="L147" i="1"/>
  <c r="L155" i="1"/>
  <c r="L163" i="1"/>
  <c r="L171" i="1"/>
  <c r="L179" i="1"/>
  <c r="L187" i="1"/>
  <c r="L195" i="1"/>
  <c r="L203" i="1"/>
  <c r="L211" i="1"/>
  <c r="L219" i="1"/>
  <c r="L227" i="1"/>
  <c r="L235" i="1"/>
  <c r="L243" i="1"/>
  <c r="L251" i="1"/>
  <c r="L259" i="1"/>
  <c r="L267" i="1"/>
  <c r="L275" i="1"/>
  <c r="L283" i="1"/>
  <c r="L291" i="1"/>
  <c r="L299" i="1"/>
  <c r="L307" i="1"/>
  <c r="L315" i="1"/>
  <c r="L323" i="1"/>
  <c r="L331" i="1"/>
  <c r="L339" i="1"/>
  <c r="L347" i="1"/>
  <c r="L355" i="1"/>
  <c r="L363" i="1"/>
  <c r="L371" i="1"/>
  <c r="L379" i="1"/>
  <c r="L387" i="1"/>
  <c r="L395" i="1"/>
  <c r="L403" i="1"/>
  <c r="L411" i="1"/>
  <c r="L419" i="1"/>
  <c r="L427" i="1"/>
  <c r="L435" i="1"/>
  <c r="L443" i="1"/>
  <c r="L451" i="1"/>
  <c r="L459" i="1"/>
  <c r="L467" i="1"/>
  <c r="L475" i="1"/>
  <c r="L483" i="1"/>
  <c r="L491" i="1"/>
  <c r="L499" i="1"/>
  <c r="L507" i="1"/>
  <c r="L515" i="1"/>
  <c r="L523" i="1"/>
  <c r="L531" i="1"/>
  <c r="L539" i="1"/>
  <c r="L547" i="1"/>
  <c r="L555" i="1"/>
  <c r="L563" i="1"/>
  <c r="L571" i="1"/>
  <c r="L579" i="1"/>
  <c r="L587" i="1"/>
  <c r="L595" i="1"/>
  <c r="L603" i="1"/>
  <c r="L611" i="1"/>
  <c r="L619" i="1"/>
  <c r="L627" i="1"/>
  <c r="L635" i="1"/>
  <c r="L643" i="1"/>
  <c r="L651" i="1"/>
  <c r="L659" i="1"/>
  <c r="L667" i="1"/>
  <c r="L675" i="1"/>
  <c r="L683" i="1"/>
  <c r="L691" i="1"/>
  <c r="L699" i="1"/>
  <c r="L707" i="1"/>
  <c r="L715" i="1"/>
  <c r="L723" i="1"/>
  <c r="L731" i="1"/>
  <c r="L739" i="1"/>
  <c r="L747" i="1"/>
  <c r="L755" i="1"/>
  <c r="L763" i="1"/>
  <c r="L771" i="1"/>
  <c r="L779" i="1"/>
  <c r="L787" i="1"/>
  <c r="L795" i="1"/>
  <c r="L803" i="1"/>
  <c r="L811" i="1"/>
  <c r="L819" i="1"/>
  <c r="L827" i="1"/>
  <c r="L835" i="1"/>
  <c r="L843" i="1"/>
  <c r="L851" i="1"/>
  <c r="L859" i="1"/>
  <c r="L867" i="1"/>
  <c r="L875" i="1"/>
  <c r="L883" i="1"/>
  <c r="L891" i="1"/>
  <c r="L899" i="1"/>
  <c r="L907" i="1"/>
  <c r="L915" i="1"/>
  <c r="L923" i="1"/>
  <c r="L931" i="1"/>
  <c r="L939" i="1"/>
  <c r="L947" i="1"/>
  <c r="L955" i="1"/>
  <c r="L963" i="1"/>
  <c r="L971" i="1"/>
  <c r="L979" i="1"/>
  <c r="L987" i="1"/>
  <c r="L995" i="1"/>
  <c r="L1003" i="1"/>
  <c r="L1011" i="1"/>
  <c r="L4" i="1"/>
  <c r="L12" i="1"/>
  <c r="L20" i="1"/>
  <c r="L28" i="1"/>
  <c r="L36" i="1"/>
  <c r="L44" i="1"/>
  <c r="L52" i="1"/>
  <c r="L60" i="1"/>
  <c r="L68" i="1"/>
  <c r="L76" i="1"/>
  <c r="L84" i="1"/>
  <c r="L92" i="1"/>
  <c r="L100" i="1"/>
  <c r="L108" i="1"/>
  <c r="L116" i="1"/>
  <c r="L124" i="1"/>
  <c r="L132" i="1"/>
  <c r="L140" i="1"/>
  <c r="L148" i="1"/>
  <c r="L156" i="1"/>
  <c r="L164" i="1"/>
  <c r="L172" i="1"/>
  <c r="L180" i="1"/>
  <c r="L188" i="1"/>
  <c r="L196" i="1"/>
  <c r="L204" i="1"/>
  <c r="L212" i="1"/>
  <c r="L220" i="1"/>
  <c r="L228" i="1"/>
  <c r="L236" i="1"/>
  <c r="L244" i="1"/>
  <c r="L252" i="1"/>
  <c r="L260" i="1"/>
  <c r="L268" i="1"/>
  <c r="L276" i="1"/>
  <c r="L284" i="1"/>
  <c r="L292" i="1"/>
  <c r="L300" i="1"/>
  <c r="L308" i="1"/>
  <c r="L316" i="1"/>
  <c r="L324" i="1"/>
  <c r="L332" i="1"/>
  <c r="L340" i="1"/>
  <c r="L348" i="1"/>
  <c r="L356" i="1"/>
  <c r="L364" i="1"/>
  <c r="L372" i="1"/>
  <c r="L380" i="1"/>
  <c r="L388" i="1"/>
  <c r="L396" i="1"/>
  <c r="L404" i="1"/>
  <c r="L412" i="1"/>
  <c r="L420" i="1"/>
  <c r="L428" i="1"/>
  <c r="L436" i="1"/>
  <c r="L444" i="1"/>
  <c r="L452" i="1"/>
  <c r="L460" i="1"/>
  <c r="L468" i="1"/>
  <c r="L476" i="1"/>
  <c r="L484" i="1"/>
  <c r="L492" i="1"/>
  <c r="L500" i="1"/>
  <c r="L508" i="1"/>
  <c r="L516" i="1"/>
  <c r="L524" i="1"/>
  <c r="L532" i="1"/>
  <c r="L540" i="1"/>
  <c r="L548" i="1"/>
  <c r="L556" i="1"/>
  <c r="L564" i="1"/>
  <c r="L572" i="1"/>
  <c r="L580" i="1"/>
  <c r="L588" i="1"/>
  <c r="L596" i="1"/>
  <c r="L604" i="1"/>
  <c r="L612" i="1"/>
  <c r="L620" i="1"/>
  <c r="L628" i="1"/>
  <c r="L636" i="1"/>
  <c r="L644" i="1"/>
  <c r="L652" i="1"/>
  <c r="L660" i="1"/>
  <c r="L668" i="1"/>
  <c r="L676" i="1"/>
  <c r="L684" i="1"/>
  <c r="L692" i="1"/>
  <c r="L5" i="1"/>
  <c r="L13" i="1"/>
  <c r="L21" i="1"/>
  <c r="L29" i="1"/>
  <c r="L37" i="1"/>
  <c r="L45" i="1"/>
  <c r="L53" i="1"/>
  <c r="L61" i="1"/>
  <c r="L69" i="1"/>
  <c r="L77" i="1"/>
  <c r="L85" i="1"/>
  <c r="L93" i="1"/>
  <c r="L101" i="1"/>
  <c r="L109" i="1"/>
  <c r="L117" i="1"/>
  <c r="L125" i="1"/>
  <c r="L133" i="1"/>
  <c r="L141" i="1"/>
  <c r="L149" i="1"/>
  <c r="L157" i="1"/>
  <c r="L165" i="1"/>
  <c r="L173" i="1"/>
  <c r="L181" i="1"/>
  <c r="L189" i="1"/>
  <c r="L197" i="1"/>
  <c r="L205" i="1"/>
  <c r="L213" i="1"/>
  <c r="L221" i="1"/>
  <c r="L229" i="1"/>
  <c r="L237" i="1"/>
  <c r="L245" i="1"/>
  <c r="L253" i="1"/>
  <c r="L261" i="1"/>
  <c r="L269" i="1"/>
  <c r="L277" i="1"/>
  <c r="L285" i="1"/>
  <c r="L293" i="1"/>
  <c r="L301" i="1"/>
  <c r="L309" i="1"/>
  <c r="L317" i="1"/>
  <c r="L325" i="1"/>
  <c r="L333" i="1"/>
  <c r="L341" i="1"/>
  <c r="L349" i="1"/>
  <c r="L357" i="1"/>
  <c r="L365" i="1"/>
  <c r="L373" i="1"/>
  <c r="L381" i="1"/>
  <c r="L389" i="1"/>
  <c r="L397" i="1"/>
  <c r="L405" i="1"/>
  <c r="L413" i="1"/>
  <c r="L421" i="1"/>
  <c r="L429" i="1"/>
  <c r="L437" i="1"/>
  <c r="L445" i="1"/>
  <c r="L453" i="1"/>
  <c r="L461" i="1"/>
  <c r="L469" i="1"/>
  <c r="L477" i="1"/>
  <c r="L485" i="1"/>
  <c r="L493" i="1"/>
  <c r="L501" i="1"/>
  <c r="L509" i="1"/>
  <c r="L517" i="1"/>
  <c r="L525" i="1"/>
  <c r="L533" i="1"/>
  <c r="L541" i="1"/>
  <c r="L549" i="1"/>
  <c r="L557" i="1"/>
  <c r="L565" i="1"/>
  <c r="L573" i="1"/>
  <c r="L581" i="1"/>
  <c r="L589" i="1"/>
  <c r="L597" i="1"/>
  <c r="L605" i="1"/>
  <c r="L613" i="1"/>
  <c r="L621" i="1"/>
  <c r="L629" i="1"/>
  <c r="L637" i="1"/>
  <c r="L645" i="1"/>
  <c r="L653" i="1"/>
  <c r="L661" i="1"/>
  <c r="L669" i="1"/>
  <c r="L677" i="1"/>
  <c r="L685" i="1"/>
  <c r="L693" i="1"/>
  <c r="L701" i="1"/>
  <c r="L709" i="1"/>
  <c r="L717" i="1"/>
  <c r="L725" i="1"/>
  <c r="L733" i="1"/>
  <c r="L741" i="1"/>
  <c r="L749" i="1"/>
  <c r="L757" i="1"/>
  <c r="L765" i="1"/>
  <c r="L773" i="1"/>
  <c r="L781" i="1"/>
  <c r="L789" i="1"/>
  <c r="L797" i="1"/>
  <c r="L805" i="1"/>
  <c r="L813" i="1"/>
  <c r="L821" i="1"/>
  <c r="L829" i="1"/>
  <c r="L837" i="1"/>
  <c r="L845" i="1"/>
  <c r="L853" i="1"/>
  <c r="L861" i="1"/>
  <c r="L869" i="1"/>
  <c r="L877" i="1"/>
  <c r="L6" i="1"/>
  <c r="L14" i="1"/>
  <c r="L22" i="1"/>
  <c r="L30" i="1"/>
  <c r="L38" i="1"/>
  <c r="L46" i="1"/>
  <c r="L54" i="1"/>
  <c r="L62" i="1"/>
  <c r="L70" i="1"/>
  <c r="L78" i="1"/>
  <c r="L86" i="1"/>
  <c r="L94" i="1"/>
  <c r="L102" i="1"/>
  <c r="L110" i="1"/>
  <c r="L118" i="1"/>
  <c r="L126" i="1"/>
  <c r="L134" i="1"/>
  <c r="L142" i="1"/>
  <c r="L150" i="1"/>
  <c r="L158" i="1"/>
  <c r="L166" i="1"/>
  <c r="L174" i="1"/>
  <c r="L182" i="1"/>
  <c r="L190" i="1"/>
  <c r="L198" i="1"/>
  <c r="L206" i="1"/>
  <c r="L214" i="1"/>
  <c r="L222" i="1"/>
  <c r="L230" i="1"/>
  <c r="L238" i="1"/>
  <c r="L246" i="1"/>
  <c r="L254" i="1"/>
  <c r="L262" i="1"/>
  <c r="L270" i="1"/>
  <c r="L278" i="1"/>
  <c r="L286" i="1"/>
  <c r="L294" i="1"/>
  <c r="L302" i="1"/>
  <c r="L310" i="1"/>
  <c r="L318" i="1"/>
  <c r="L326" i="1"/>
  <c r="L334" i="1"/>
  <c r="L342" i="1"/>
  <c r="L350" i="1"/>
  <c r="L358" i="1"/>
  <c r="L366" i="1"/>
  <c r="L374" i="1"/>
  <c r="L382" i="1"/>
  <c r="L390" i="1"/>
  <c r="L398" i="1"/>
  <c r="L406" i="1"/>
  <c r="L414" i="1"/>
  <c r="L422" i="1"/>
  <c r="L430" i="1"/>
  <c r="L438" i="1"/>
  <c r="L446" i="1"/>
  <c r="L454" i="1"/>
  <c r="L462" i="1"/>
  <c r="L470" i="1"/>
  <c r="L478" i="1"/>
  <c r="L486" i="1"/>
  <c r="L494" i="1"/>
  <c r="L502" i="1"/>
  <c r="L510" i="1"/>
  <c r="L518" i="1"/>
  <c r="L526" i="1"/>
  <c r="L534" i="1"/>
  <c r="L542" i="1"/>
  <c r="L550" i="1"/>
  <c r="L558" i="1"/>
  <c r="L566" i="1"/>
  <c r="L574" i="1"/>
  <c r="L582" i="1"/>
  <c r="L590" i="1"/>
  <c r="L598" i="1"/>
  <c r="L606" i="1"/>
  <c r="L614" i="1"/>
  <c r="L622" i="1"/>
  <c r="L630" i="1"/>
  <c r="L638" i="1"/>
  <c r="L646" i="1"/>
  <c r="L654" i="1"/>
  <c r="L662" i="1"/>
  <c r="L670" i="1"/>
  <c r="L678" i="1"/>
  <c r="L686" i="1"/>
  <c r="L694" i="1"/>
  <c r="L702" i="1"/>
  <c r="L710" i="1"/>
  <c r="L718" i="1"/>
  <c r="L726" i="1"/>
  <c r="L734" i="1"/>
  <c r="L742" i="1"/>
  <c r="L750" i="1"/>
  <c r="L758" i="1"/>
  <c r="L766" i="1"/>
  <c r="L774" i="1"/>
  <c r="L782" i="1"/>
  <c r="L790" i="1"/>
  <c r="L798" i="1"/>
  <c r="L806" i="1"/>
  <c r="L814" i="1"/>
  <c r="L822" i="1"/>
  <c r="L830" i="1"/>
  <c r="L838" i="1"/>
  <c r="L846" i="1"/>
  <c r="L854" i="1"/>
  <c r="L862" i="1"/>
  <c r="L870" i="1"/>
  <c r="L878" i="1"/>
  <c r="L886" i="1"/>
  <c r="L894" i="1"/>
  <c r="L902" i="1"/>
  <c r="L910" i="1"/>
  <c r="L918" i="1"/>
  <c r="L926" i="1"/>
  <c r="L934" i="1"/>
  <c r="L942" i="1"/>
  <c r="L950" i="1"/>
  <c r="L958" i="1"/>
  <c r="L966" i="1"/>
  <c r="L974" i="1"/>
  <c r="L982" i="1"/>
  <c r="L990" i="1"/>
  <c r="L998" i="1"/>
  <c r="L1006" i="1"/>
  <c r="L1014" i="1"/>
  <c r="L7" i="1"/>
  <c r="L15" i="1"/>
  <c r="L23" i="1"/>
  <c r="L31" i="1"/>
  <c r="L39" i="1"/>
  <c r="L47" i="1"/>
  <c r="L55" i="1"/>
  <c r="L63" i="1"/>
  <c r="L71" i="1"/>
  <c r="L79" i="1"/>
  <c r="L87" i="1"/>
  <c r="L95" i="1"/>
  <c r="L103" i="1"/>
  <c r="L111" i="1"/>
  <c r="L119" i="1"/>
  <c r="L127" i="1"/>
  <c r="L135" i="1"/>
  <c r="L143" i="1"/>
  <c r="L151" i="1"/>
  <c r="L159" i="1"/>
  <c r="L167" i="1"/>
  <c r="L175" i="1"/>
  <c r="L183" i="1"/>
  <c r="L191" i="1"/>
  <c r="L199" i="1"/>
  <c r="L207" i="1"/>
  <c r="L215" i="1"/>
  <c r="L223" i="1"/>
  <c r="L231" i="1"/>
  <c r="L239" i="1"/>
  <c r="L247" i="1"/>
  <c r="L255" i="1"/>
  <c r="L263" i="1"/>
  <c r="L271" i="1"/>
  <c r="L279" i="1"/>
  <c r="L287" i="1"/>
  <c r="L295" i="1"/>
  <c r="L303" i="1"/>
  <c r="L311" i="1"/>
  <c r="L319" i="1"/>
  <c r="L327" i="1"/>
  <c r="L335" i="1"/>
  <c r="L343" i="1"/>
  <c r="L351" i="1"/>
  <c r="L359" i="1"/>
  <c r="L367" i="1"/>
  <c r="L375" i="1"/>
  <c r="L383" i="1"/>
  <c r="L391" i="1"/>
  <c r="L399" i="1"/>
  <c r="L407" i="1"/>
  <c r="L415" i="1"/>
  <c r="L423" i="1"/>
  <c r="L431" i="1"/>
  <c r="L439" i="1"/>
  <c r="L447" i="1"/>
  <c r="L455" i="1"/>
  <c r="L463" i="1"/>
  <c r="L471" i="1"/>
  <c r="L479" i="1"/>
  <c r="L487" i="1"/>
  <c r="L495" i="1"/>
  <c r="L503" i="1"/>
  <c r="L511" i="1"/>
  <c r="L519" i="1"/>
  <c r="L527" i="1"/>
  <c r="L535" i="1"/>
  <c r="L543" i="1"/>
  <c r="L551" i="1"/>
  <c r="L559" i="1"/>
  <c r="L567" i="1"/>
  <c r="L575" i="1"/>
  <c r="L583" i="1"/>
  <c r="L591" i="1"/>
  <c r="L599" i="1"/>
  <c r="L607" i="1"/>
  <c r="L615" i="1"/>
  <c r="L623" i="1"/>
  <c r="L631" i="1"/>
  <c r="L639" i="1"/>
  <c r="L647" i="1"/>
  <c r="L655" i="1"/>
  <c r="L663" i="1"/>
  <c r="L671" i="1"/>
  <c r="L679" i="1"/>
  <c r="L687" i="1"/>
  <c r="L695" i="1"/>
  <c r="L703" i="1"/>
  <c r="L711" i="1"/>
  <c r="L719" i="1"/>
  <c r="L727" i="1"/>
  <c r="L735" i="1"/>
  <c r="L743" i="1"/>
  <c r="L751" i="1"/>
  <c r="L759" i="1"/>
  <c r="L767" i="1"/>
  <c r="L775" i="1"/>
  <c r="L783" i="1"/>
  <c r="L791" i="1"/>
  <c r="L799" i="1"/>
  <c r="L807" i="1"/>
  <c r="L815" i="1"/>
  <c r="L823" i="1"/>
  <c r="L831" i="1"/>
  <c r="L839" i="1"/>
  <c r="L847" i="1"/>
  <c r="L855" i="1"/>
  <c r="L863" i="1"/>
  <c r="L871" i="1"/>
  <c r="L879" i="1"/>
  <c r="L887" i="1"/>
  <c r="L895" i="1"/>
  <c r="L903" i="1"/>
  <c r="L911" i="1"/>
  <c r="L919" i="1"/>
  <c r="L927" i="1"/>
  <c r="L935" i="1"/>
  <c r="L943" i="1"/>
  <c r="L951" i="1"/>
  <c r="L959" i="1"/>
  <c r="L967" i="1"/>
  <c r="L975" i="1"/>
  <c r="L983" i="1"/>
  <c r="L991" i="1"/>
  <c r="L999" i="1"/>
  <c r="L1007" i="1"/>
  <c r="L1015" i="1"/>
  <c r="L8" i="1"/>
  <c r="L26" i="1"/>
  <c r="L49" i="1"/>
  <c r="L72" i="1"/>
  <c r="L90" i="1"/>
  <c r="L113" i="1"/>
  <c r="L136" i="1"/>
  <c r="L154" i="1"/>
  <c r="L177" i="1"/>
  <c r="L200" i="1"/>
  <c r="L218" i="1"/>
  <c r="L241" i="1"/>
  <c r="L264" i="1"/>
  <c r="L282" i="1"/>
  <c r="L305" i="1"/>
  <c r="L328" i="1"/>
  <c r="L346" i="1"/>
  <c r="L369" i="1"/>
  <c r="L392" i="1"/>
  <c r="L410" i="1"/>
  <c r="L433" i="1"/>
  <c r="L456" i="1"/>
  <c r="L474" i="1"/>
  <c r="L497" i="1"/>
  <c r="L520" i="1"/>
  <c r="L538" i="1"/>
  <c r="L561" i="1"/>
  <c r="L584" i="1"/>
  <c r="L602" i="1"/>
  <c r="L625" i="1"/>
  <c r="L648" i="1"/>
  <c r="L666" i="1"/>
  <c r="L689" i="1"/>
  <c r="L706" i="1"/>
  <c r="L722" i="1"/>
  <c r="L738" i="1"/>
  <c r="L754" i="1"/>
  <c r="L770" i="1"/>
  <c r="L786" i="1"/>
  <c r="L802" i="1"/>
  <c r="L818" i="1"/>
  <c r="L834" i="1"/>
  <c r="L850" i="1"/>
  <c r="L866" i="1"/>
  <c r="L882" i="1"/>
  <c r="L896" i="1"/>
  <c r="L908" i="1"/>
  <c r="L921" i="1"/>
  <c r="L933" i="1"/>
  <c r="L946" i="1"/>
  <c r="L960" i="1"/>
  <c r="L972" i="1"/>
  <c r="L985" i="1"/>
  <c r="L997" i="1"/>
  <c r="L1010" i="1"/>
  <c r="L1021" i="1"/>
  <c r="L1029" i="1"/>
  <c r="L1037" i="1"/>
  <c r="L1045" i="1"/>
  <c r="L1053" i="1"/>
  <c r="L1061" i="1"/>
  <c r="L1069" i="1"/>
  <c r="L1077" i="1"/>
  <c r="L1085" i="1"/>
  <c r="L1093" i="1"/>
  <c r="L1101" i="1"/>
  <c r="L1109" i="1"/>
  <c r="L1117" i="1"/>
  <c r="L1125" i="1"/>
  <c r="L1133" i="1"/>
  <c r="L1141" i="1"/>
  <c r="L1149" i="1"/>
  <c r="L1157" i="1"/>
  <c r="L1165" i="1"/>
  <c r="L1173" i="1"/>
  <c r="L1181" i="1"/>
  <c r="L1189" i="1"/>
  <c r="L1197" i="1"/>
  <c r="L1205" i="1"/>
  <c r="L1213" i="1"/>
  <c r="L1221" i="1"/>
  <c r="L1229" i="1"/>
  <c r="L1237" i="1"/>
  <c r="L1245" i="1"/>
  <c r="L1253" i="1"/>
  <c r="L1261" i="1"/>
  <c r="L1269" i="1"/>
  <c r="L1277" i="1"/>
  <c r="L1285" i="1"/>
  <c r="L1293" i="1"/>
  <c r="L1301" i="1"/>
  <c r="L1309" i="1"/>
  <c r="L1317" i="1"/>
  <c r="L1325" i="1"/>
  <c r="L1333" i="1"/>
  <c r="L1341" i="1"/>
  <c r="L1349" i="1"/>
  <c r="L1357" i="1"/>
  <c r="L1365" i="1"/>
  <c r="L1373" i="1"/>
  <c r="L1381" i="1"/>
  <c r="L1389" i="1"/>
  <c r="L1397" i="1"/>
  <c r="L1405" i="1"/>
  <c r="L1413" i="1"/>
  <c r="L1421" i="1"/>
  <c r="L1429" i="1"/>
  <c r="L1437" i="1"/>
  <c r="L1445" i="1"/>
  <c r="L1453" i="1"/>
  <c r="L1461" i="1"/>
  <c r="L1469" i="1"/>
  <c r="L1477" i="1"/>
  <c r="L1485" i="1"/>
  <c r="L1493" i="1"/>
  <c r="L1501" i="1"/>
  <c r="L1509" i="1"/>
  <c r="L1517" i="1"/>
  <c r="L1525" i="1"/>
  <c r="L1533" i="1"/>
  <c r="L1541" i="1"/>
  <c r="L1549" i="1"/>
  <c r="L1557" i="1"/>
  <c r="L1565" i="1"/>
  <c r="L1573" i="1"/>
  <c r="L1581" i="1"/>
  <c r="L1589" i="1"/>
  <c r="L1597" i="1"/>
  <c r="L9" i="1"/>
  <c r="L32" i="1"/>
  <c r="L50" i="1"/>
  <c r="L73" i="1"/>
  <c r="L96" i="1"/>
  <c r="L114" i="1"/>
  <c r="L137" i="1"/>
  <c r="L160" i="1"/>
  <c r="L178" i="1"/>
  <c r="L201" i="1"/>
  <c r="L224" i="1"/>
  <c r="L242" i="1"/>
  <c r="L265" i="1"/>
  <c r="L288" i="1"/>
  <c r="L306" i="1"/>
  <c r="L329" i="1"/>
  <c r="L352" i="1"/>
  <c r="L370" i="1"/>
  <c r="L393" i="1"/>
  <c r="L416" i="1"/>
  <c r="L434" i="1"/>
  <c r="L457" i="1"/>
  <c r="L480" i="1"/>
  <c r="L498" i="1"/>
  <c r="L521" i="1"/>
  <c r="L544" i="1"/>
  <c r="L562" i="1"/>
  <c r="L585" i="1"/>
  <c r="L608" i="1"/>
  <c r="L626" i="1"/>
  <c r="L649" i="1"/>
  <c r="L672" i="1"/>
  <c r="L690" i="1"/>
  <c r="L708" i="1"/>
  <c r="L724" i="1"/>
  <c r="L740" i="1"/>
  <c r="L756" i="1"/>
  <c r="L772" i="1"/>
  <c r="L788" i="1"/>
  <c r="L804" i="1"/>
  <c r="L820" i="1"/>
  <c r="L836" i="1"/>
  <c r="L852" i="1"/>
  <c r="L868" i="1"/>
  <c r="L884" i="1"/>
  <c r="L897" i="1"/>
  <c r="L909" i="1"/>
  <c r="L922" i="1"/>
  <c r="L936" i="1"/>
  <c r="L948" i="1"/>
  <c r="L961" i="1"/>
  <c r="L973" i="1"/>
  <c r="L986" i="1"/>
  <c r="L1000" i="1"/>
  <c r="L1012" i="1"/>
  <c r="L1022" i="1"/>
  <c r="L1030" i="1"/>
  <c r="L1038" i="1"/>
  <c r="L1046" i="1"/>
  <c r="L1054" i="1"/>
  <c r="L1062" i="1"/>
  <c r="L1070" i="1"/>
  <c r="L1078" i="1"/>
  <c r="L1086" i="1"/>
  <c r="L1094" i="1"/>
  <c r="L1102" i="1"/>
  <c r="L1110" i="1"/>
  <c r="L1118" i="1"/>
  <c r="L1126" i="1"/>
  <c r="L1134" i="1"/>
  <c r="L1142" i="1"/>
  <c r="L1150" i="1"/>
  <c r="L1158" i="1"/>
  <c r="L1166" i="1"/>
  <c r="L1174" i="1"/>
  <c r="L1182" i="1"/>
  <c r="L1190" i="1"/>
  <c r="L1198" i="1"/>
  <c r="L1206" i="1"/>
  <c r="L1214" i="1"/>
  <c r="L1222" i="1"/>
  <c r="L1230" i="1"/>
  <c r="L1238" i="1"/>
  <c r="L1246" i="1"/>
  <c r="L1254" i="1"/>
  <c r="L1262" i="1"/>
  <c r="L1270" i="1"/>
  <c r="L1278" i="1"/>
  <c r="L1286" i="1"/>
  <c r="L1294" i="1"/>
  <c r="L1302" i="1"/>
  <c r="L1310" i="1"/>
  <c r="L1318" i="1"/>
  <c r="L1326" i="1"/>
  <c r="L1334" i="1"/>
  <c r="L1342" i="1"/>
  <c r="L1350" i="1"/>
  <c r="L1358" i="1"/>
  <c r="L1366" i="1"/>
  <c r="L1374" i="1"/>
  <c r="L1382" i="1"/>
  <c r="L1390" i="1"/>
  <c r="L1398" i="1"/>
  <c r="L1406" i="1"/>
  <c r="L1414" i="1"/>
  <c r="L1422" i="1"/>
  <c r="L1430" i="1"/>
  <c r="L1438" i="1"/>
  <c r="L1446" i="1"/>
  <c r="L1454" i="1"/>
  <c r="L1462" i="1"/>
  <c r="L1470" i="1"/>
  <c r="L1478" i="1"/>
  <c r="L1486" i="1"/>
  <c r="L1494" i="1"/>
  <c r="L1502" i="1"/>
  <c r="L1510" i="1"/>
  <c r="L1518" i="1"/>
  <c r="L1526" i="1"/>
  <c r="L1534" i="1"/>
  <c r="L1542" i="1"/>
  <c r="L1550" i="1"/>
  <c r="L1558" i="1"/>
  <c r="L1566" i="1"/>
  <c r="L1574" i="1"/>
  <c r="L1582" i="1"/>
  <c r="L1590" i="1"/>
  <c r="L10" i="1"/>
  <c r="L33" i="1"/>
  <c r="L56" i="1"/>
  <c r="L74" i="1"/>
  <c r="L97" i="1"/>
  <c r="L120" i="1"/>
  <c r="L138" i="1"/>
  <c r="L161" i="1"/>
  <c r="L184" i="1"/>
  <c r="L202" i="1"/>
  <c r="L225" i="1"/>
  <c r="L248" i="1"/>
  <c r="L266" i="1"/>
  <c r="L289" i="1"/>
  <c r="L312" i="1"/>
  <c r="L330" i="1"/>
  <c r="L353" i="1"/>
  <c r="L376" i="1"/>
  <c r="L394" i="1"/>
  <c r="L417" i="1"/>
  <c r="L440" i="1"/>
  <c r="L458" i="1"/>
  <c r="L481" i="1"/>
  <c r="L504" i="1"/>
  <c r="L522" i="1"/>
  <c r="L545" i="1"/>
  <c r="L568" i="1"/>
  <c r="L586" i="1"/>
  <c r="L609" i="1"/>
  <c r="L632" i="1"/>
  <c r="L650" i="1"/>
  <c r="L673" i="1"/>
  <c r="L696" i="1"/>
  <c r="L712" i="1"/>
  <c r="L728" i="1"/>
  <c r="L744" i="1"/>
  <c r="L760" i="1"/>
  <c r="L776" i="1"/>
  <c r="L792" i="1"/>
  <c r="L808" i="1"/>
  <c r="L824" i="1"/>
  <c r="L840" i="1"/>
  <c r="L856" i="1"/>
  <c r="L872" i="1"/>
  <c r="L885" i="1"/>
  <c r="L898" i="1"/>
  <c r="L912" i="1"/>
  <c r="L924" i="1"/>
  <c r="L937" i="1"/>
  <c r="L949" i="1"/>
  <c r="L962" i="1"/>
  <c r="L976" i="1"/>
  <c r="L988" i="1"/>
  <c r="L1001" i="1"/>
  <c r="L1013" i="1"/>
  <c r="L1023" i="1"/>
  <c r="L1031" i="1"/>
  <c r="L1039" i="1"/>
  <c r="L1047" i="1"/>
  <c r="L1055" i="1"/>
  <c r="L1063" i="1"/>
  <c r="L1071" i="1"/>
  <c r="L1079" i="1"/>
  <c r="L1087" i="1"/>
  <c r="L1095" i="1"/>
  <c r="L1103" i="1"/>
  <c r="L1111" i="1"/>
  <c r="L1119" i="1"/>
  <c r="L1127" i="1"/>
  <c r="L1135" i="1"/>
  <c r="L1143" i="1"/>
  <c r="L1151" i="1"/>
  <c r="L1159" i="1"/>
  <c r="L1167" i="1"/>
  <c r="L1175" i="1"/>
  <c r="L1183" i="1"/>
  <c r="L1191" i="1"/>
  <c r="L1199" i="1"/>
  <c r="L1207" i="1"/>
  <c r="L1215" i="1"/>
  <c r="L1223" i="1"/>
  <c r="L1231" i="1"/>
  <c r="L1239" i="1"/>
  <c r="L1247" i="1"/>
  <c r="L1255" i="1"/>
  <c r="L1263" i="1"/>
  <c r="L1271" i="1"/>
  <c r="L1279" i="1"/>
  <c r="L1287" i="1"/>
  <c r="L1295" i="1"/>
  <c r="L1303" i="1"/>
  <c r="L1311" i="1"/>
  <c r="L1319" i="1"/>
  <c r="L1327" i="1"/>
  <c r="L1335" i="1"/>
  <c r="L1343" i="1"/>
  <c r="L1351" i="1"/>
  <c r="L1359" i="1"/>
  <c r="L1367" i="1"/>
  <c r="L1375" i="1"/>
  <c r="L1383" i="1"/>
  <c r="L1391" i="1"/>
  <c r="L1399" i="1"/>
  <c r="L1407" i="1"/>
  <c r="L1415" i="1"/>
  <c r="L1423" i="1"/>
  <c r="L1431" i="1"/>
  <c r="L1439" i="1"/>
  <c r="L1447" i="1"/>
  <c r="L1455" i="1"/>
  <c r="L1463" i="1"/>
  <c r="L1471" i="1"/>
  <c r="L1479" i="1"/>
  <c r="L1487" i="1"/>
  <c r="L1495" i="1"/>
  <c r="L1503" i="1"/>
  <c r="L1511" i="1"/>
  <c r="L1519" i="1"/>
  <c r="L1527" i="1"/>
  <c r="L1535" i="1"/>
  <c r="L1543" i="1"/>
  <c r="L1551" i="1"/>
  <c r="L1559" i="1"/>
  <c r="L1567" i="1"/>
  <c r="L1575" i="1"/>
  <c r="L1583" i="1"/>
  <c r="L1591" i="1"/>
  <c r="L17" i="1"/>
  <c r="L40" i="1"/>
  <c r="L58" i="1"/>
  <c r="L81" i="1"/>
  <c r="L104" i="1"/>
  <c r="L122" i="1"/>
  <c r="L145" i="1"/>
  <c r="L168" i="1"/>
  <c r="L186" i="1"/>
  <c r="L209" i="1"/>
  <c r="L232" i="1"/>
  <c r="L250" i="1"/>
  <c r="L273" i="1"/>
  <c r="L296" i="1"/>
  <c r="L314" i="1"/>
  <c r="L337" i="1"/>
  <c r="L360" i="1"/>
  <c r="L378" i="1"/>
  <c r="L401" i="1"/>
  <c r="L424" i="1"/>
  <c r="L442" i="1"/>
  <c r="L465" i="1"/>
  <c r="L488" i="1"/>
  <c r="L506" i="1"/>
  <c r="L529" i="1"/>
  <c r="L552" i="1"/>
  <c r="L570" i="1"/>
  <c r="L593" i="1"/>
  <c r="L616" i="1"/>
  <c r="L634" i="1"/>
  <c r="L657" i="1"/>
  <c r="L680" i="1"/>
  <c r="L698" i="1"/>
  <c r="L714" i="1"/>
  <c r="L730" i="1"/>
  <c r="L746" i="1"/>
  <c r="L762" i="1"/>
  <c r="L778" i="1"/>
  <c r="L794" i="1"/>
  <c r="L810" i="1"/>
  <c r="L826" i="1"/>
  <c r="L842" i="1"/>
  <c r="L858" i="1"/>
  <c r="L874" i="1"/>
  <c r="L889" i="1"/>
  <c r="L901" i="1"/>
  <c r="L914" i="1"/>
  <c r="L928" i="1"/>
  <c r="L940" i="1"/>
  <c r="L953" i="1"/>
  <c r="L965" i="1"/>
  <c r="L978" i="1"/>
  <c r="L992" i="1"/>
  <c r="L1004" i="1"/>
  <c r="L1017" i="1"/>
  <c r="L1025" i="1"/>
  <c r="L1033" i="1"/>
  <c r="L1041" i="1"/>
  <c r="L1049" i="1"/>
  <c r="L1057" i="1"/>
  <c r="L1065" i="1"/>
  <c r="L1073" i="1"/>
  <c r="L1081" i="1"/>
  <c r="L1089" i="1"/>
  <c r="L1097" i="1"/>
  <c r="L1105" i="1"/>
  <c r="L1113" i="1"/>
  <c r="L1121" i="1"/>
  <c r="L1129" i="1"/>
  <c r="L1137" i="1"/>
  <c r="L1145" i="1"/>
  <c r="L1153" i="1"/>
  <c r="L1161" i="1"/>
  <c r="L1169" i="1"/>
  <c r="L1177" i="1"/>
  <c r="L1185" i="1"/>
  <c r="L1193" i="1"/>
  <c r="L1201" i="1"/>
  <c r="L1209" i="1"/>
  <c r="L1217" i="1"/>
  <c r="L1225" i="1"/>
  <c r="L1233" i="1"/>
  <c r="L1241" i="1"/>
  <c r="L1249" i="1"/>
  <c r="L1257" i="1"/>
  <c r="L1265" i="1"/>
  <c r="L1273" i="1"/>
  <c r="L1281" i="1"/>
  <c r="L1289" i="1"/>
  <c r="L1297" i="1"/>
  <c r="L1305" i="1"/>
  <c r="L1313" i="1"/>
  <c r="L1321" i="1"/>
  <c r="L1329" i="1"/>
  <c r="L1337" i="1"/>
  <c r="L1345" i="1"/>
  <c r="L1353" i="1"/>
  <c r="L1361" i="1"/>
  <c r="L1369" i="1"/>
  <c r="L1377" i="1"/>
  <c r="L1385" i="1"/>
  <c r="L1393" i="1"/>
  <c r="L1401" i="1"/>
  <c r="L1409" i="1"/>
  <c r="L1417" i="1"/>
  <c r="L1425" i="1"/>
  <c r="L1433" i="1"/>
  <c r="L1441" i="1"/>
  <c r="L1449" i="1"/>
  <c r="L1457" i="1"/>
  <c r="L1465" i="1"/>
  <c r="L1473" i="1"/>
  <c r="L1481" i="1"/>
  <c r="L1489" i="1"/>
  <c r="L1497" i="1"/>
  <c r="L1505" i="1"/>
  <c r="L1513" i="1"/>
  <c r="L1521" i="1"/>
  <c r="L1529" i="1"/>
  <c r="L1537" i="1"/>
  <c r="L1545" i="1"/>
  <c r="L1553" i="1"/>
  <c r="L1561" i="1"/>
  <c r="L1569" i="1"/>
  <c r="L1577" i="1"/>
  <c r="L1585" i="1"/>
  <c r="L1593" i="1"/>
  <c r="L16" i="1"/>
  <c r="L57" i="1"/>
  <c r="L98" i="1"/>
  <c r="L144" i="1"/>
  <c r="L185" i="1"/>
  <c r="L226" i="1"/>
  <c r="L272" i="1"/>
  <c r="L313" i="1"/>
  <c r="L354" i="1"/>
  <c r="L400" i="1"/>
  <c r="L441" i="1"/>
  <c r="L482" i="1"/>
  <c r="L528" i="1"/>
  <c r="L569" i="1"/>
  <c r="L610" i="1"/>
  <c r="L656" i="1"/>
  <c r="L697" i="1"/>
  <c r="L729" i="1"/>
  <c r="L761" i="1"/>
  <c r="L793" i="1"/>
  <c r="L825" i="1"/>
  <c r="L857" i="1"/>
  <c r="L888" i="1"/>
  <c r="L913" i="1"/>
  <c r="L938" i="1"/>
  <c r="L964" i="1"/>
  <c r="L989" i="1"/>
  <c r="L1016" i="1"/>
  <c r="L1032" i="1"/>
  <c r="L1048" i="1"/>
  <c r="L1064" i="1"/>
  <c r="L1080" i="1"/>
  <c r="L1096" i="1"/>
  <c r="L1112" i="1"/>
  <c r="L1128" i="1"/>
  <c r="L1144" i="1"/>
  <c r="L1160" i="1"/>
  <c r="L1176" i="1"/>
  <c r="L1192" i="1"/>
  <c r="L1208" i="1"/>
  <c r="L1224" i="1"/>
  <c r="L1240" i="1"/>
  <c r="L1256" i="1"/>
  <c r="L1272" i="1"/>
  <c r="L1288" i="1"/>
  <c r="L1304" i="1"/>
  <c r="L1320" i="1"/>
  <c r="L1336" i="1"/>
  <c r="L1352" i="1"/>
  <c r="L1368" i="1"/>
  <c r="L1384" i="1"/>
  <c r="L1400" i="1"/>
  <c r="L1416" i="1"/>
  <c r="L1432" i="1"/>
  <c r="L1448" i="1"/>
  <c r="L1464" i="1"/>
  <c r="L1480" i="1"/>
  <c r="L1496" i="1"/>
  <c r="L1512" i="1"/>
  <c r="L1528" i="1"/>
  <c r="L1544" i="1"/>
  <c r="L1560" i="1"/>
  <c r="L1576" i="1"/>
  <c r="L1592" i="1"/>
  <c r="L1602" i="1"/>
  <c r="L1610" i="1"/>
  <c r="L1618" i="1"/>
  <c r="L1626" i="1"/>
  <c r="L1634" i="1"/>
  <c r="L1642" i="1"/>
  <c r="L1650" i="1"/>
  <c r="L1658" i="1"/>
  <c r="L1666" i="1"/>
  <c r="L1674" i="1"/>
  <c r="L1682" i="1"/>
  <c r="L1690" i="1"/>
  <c r="L1698" i="1"/>
  <c r="L1706" i="1"/>
  <c r="L1714" i="1"/>
  <c r="L1722" i="1"/>
  <c r="L1730" i="1"/>
  <c r="L1738" i="1"/>
  <c r="L1746" i="1"/>
  <c r="L1754" i="1"/>
  <c r="L1762" i="1"/>
  <c r="L1770" i="1"/>
  <c r="L1778" i="1"/>
  <c r="L1786" i="1"/>
  <c r="L1794" i="1"/>
  <c r="L1802" i="1"/>
  <c r="L1810" i="1"/>
  <c r="L1818" i="1"/>
  <c r="L1826" i="1"/>
  <c r="L1834" i="1"/>
  <c r="L1842" i="1"/>
  <c r="L1850" i="1"/>
  <c r="L1858" i="1"/>
  <c r="L1866" i="1"/>
  <c r="L1874" i="1"/>
  <c r="L1882" i="1"/>
  <c r="L1890" i="1"/>
  <c r="L1898" i="1"/>
  <c r="L1906" i="1"/>
  <c r="L1914" i="1"/>
  <c r="L1922" i="1"/>
  <c r="L1930" i="1"/>
  <c r="L1938" i="1"/>
  <c r="L1946" i="1"/>
  <c r="L1954" i="1"/>
  <c r="L1962" i="1"/>
  <c r="L1970" i="1"/>
  <c r="L1978" i="1"/>
  <c r="L1986" i="1"/>
  <c r="L1994" i="1"/>
  <c r="L2002" i="1"/>
  <c r="L2010" i="1"/>
  <c r="L2018" i="1"/>
  <c r="L2026" i="1"/>
  <c r="L2034" i="1"/>
  <c r="L2042" i="1"/>
  <c r="L2050" i="1"/>
  <c r="L2058" i="1"/>
  <c r="L2066" i="1"/>
  <c r="L2074" i="1"/>
  <c r="L2082" i="1"/>
  <c r="L2090" i="1"/>
  <c r="L2098" i="1"/>
  <c r="L2106" i="1"/>
  <c r="L18" i="1"/>
  <c r="L64" i="1"/>
  <c r="L105" i="1"/>
  <c r="L146" i="1"/>
  <c r="L192" i="1"/>
  <c r="L233" i="1"/>
  <c r="L274" i="1"/>
  <c r="L320" i="1"/>
  <c r="L361" i="1"/>
  <c r="L402" i="1"/>
  <c r="L448" i="1"/>
  <c r="L489" i="1"/>
  <c r="L530" i="1"/>
  <c r="L576" i="1"/>
  <c r="L617" i="1"/>
  <c r="L658" i="1"/>
  <c r="L700" i="1"/>
  <c r="L732" i="1"/>
  <c r="L764" i="1"/>
  <c r="L796" i="1"/>
  <c r="L828" i="1"/>
  <c r="L860" i="1"/>
  <c r="L890" i="1"/>
  <c r="L916" i="1"/>
  <c r="L941" i="1"/>
  <c r="L968" i="1"/>
  <c r="L993" i="1"/>
  <c r="L1018" i="1"/>
  <c r="L1034" i="1"/>
  <c r="L1050" i="1"/>
  <c r="L1066" i="1"/>
  <c r="L1082" i="1"/>
  <c r="L1098" i="1"/>
  <c r="L1114" i="1"/>
  <c r="L1130" i="1"/>
  <c r="L24" i="1"/>
  <c r="L65" i="1"/>
  <c r="L106" i="1"/>
  <c r="L152" i="1"/>
  <c r="L193" i="1"/>
  <c r="L234" i="1"/>
  <c r="L280" i="1"/>
  <c r="L321" i="1"/>
  <c r="L362" i="1"/>
  <c r="L408" i="1"/>
  <c r="L449" i="1"/>
  <c r="L490" i="1"/>
  <c r="L536" i="1"/>
  <c r="L577" i="1"/>
  <c r="L618" i="1"/>
  <c r="L664" i="1"/>
  <c r="L704" i="1"/>
  <c r="L736" i="1"/>
  <c r="L768" i="1"/>
  <c r="L800" i="1"/>
  <c r="L832" i="1"/>
  <c r="L864" i="1"/>
  <c r="L892" i="1"/>
  <c r="L917" i="1"/>
  <c r="L944" i="1"/>
  <c r="L969" i="1"/>
  <c r="L994" i="1"/>
  <c r="L1019" i="1"/>
  <c r="L1035" i="1"/>
  <c r="L1051" i="1"/>
  <c r="L1067" i="1"/>
  <c r="L1083" i="1"/>
  <c r="L1099" i="1"/>
  <c r="L1115" i="1"/>
  <c r="L1131" i="1"/>
  <c r="L1147" i="1"/>
  <c r="L1163" i="1"/>
  <c r="L1179" i="1"/>
  <c r="L1195" i="1"/>
  <c r="L1211" i="1"/>
  <c r="L1227" i="1"/>
  <c r="L1243" i="1"/>
  <c r="L1259" i="1"/>
  <c r="L1275" i="1"/>
  <c r="L1291" i="1"/>
  <c r="L1307" i="1"/>
  <c r="L1323" i="1"/>
  <c r="L1339" i="1"/>
  <c r="L1355" i="1"/>
  <c r="L1371" i="1"/>
  <c r="L1387" i="1"/>
  <c r="L1403" i="1"/>
  <c r="L1419" i="1"/>
  <c r="L1435" i="1"/>
  <c r="L1451" i="1"/>
  <c r="L1467" i="1"/>
  <c r="L1483" i="1"/>
  <c r="L1499" i="1"/>
  <c r="L1515" i="1"/>
  <c r="L1531" i="1"/>
  <c r="L1547" i="1"/>
  <c r="L1563" i="1"/>
  <c r="L1579" i="1"/>
  <c r="L1595" i="1"/>
  <c r="L1604" i="1"/>
  <c r="L1612" i="1"/>
  <c r="L1620" i="1"/>
  <c r="L1628" i="1"/>
  <c r="L1636" i="1"/>
  <c r="L1644" i="1"/>
  <c r="L1652" i="1"/>
  <c r="L1660" i="1"/>
  <c r="L1668" i="1"/>
  <c r="L1676" i="1"/>
  <c r="L1684" i="1"/>
  <c r="L1692" i="1"/>
  <c r="L1700" i="1"/>
  <c r="L1708" i="1"/>
  <c r="L1716" i="1"/>
  <c r="L1724" i="1"/>
  <c r="L1732" i="1"/>
  <c r="L1740" i="1"/>
  <c r="L1748" i="1"/>
  <c r="L1756" i="1"/>
  <c r="L1764" i="1"/>
  <c r="L1772" i="1"/>
  <c r="L1780" i="1"/>
  <c r="L1788" i="1"/>
  <c r="L1796" i="1"/>
  <c r="L1804" i="1"/>
  <c r="L1812" i="1"/>
  <c r="L1820" i="1"/>
  <c r="L1828" i="1"/>
  <c r="L1836" i="1"/>
  <c r="L1844" i="1"/>
  <c r="L1852" i="1"/>
  <c r="L1860" i="1"/>
  <c r="L1868" i="1"/>
  <c r="L1876" i="1"/>
  <c r="L1884" i="1"/>
  <c r="L1892" i="1"/>
  <c r="L1900" i="1"/>
  <c r="L1908" i="1"/>
  <c r="L1916" i="1"/>
  <c r="L1924" i="1"/>
  <c r="L1932" i="1"/>
  <c r="L1940" i="1"/>
  <c r="L1948" i="1"/>
  <c r="L1956" i="1"/>
  <c r="L1964" i="1"/>
  <c r="L1972" i="1"/>
  <c r="L1980" i="1"/>
  <c r="L1988" i="1"/>
  <c r="L1996" i="1"/>
  <c r="L2004" i="1"/>
  <c r="L2012" i="1"/>
  <c r="L2020" i="1"/>
  <c r="L2028" i="1"/>
  <c r="L2036" i="1"/>
  <c r="L2044" i="1"/>
  <c r="L2052" i="1"/>
  <c r="L2060" i="1"/>
  <c r="L2068" i="1"/>
  <c r="L2076" i="1"/>
  <c r="L34" i="1"/>
  <c r="L80" i="1"/>
  <c r="L121" i="1"/>
  <c r="L162" i="1"/>
  <c r="L208" i="1"/>
  <c r="L249" i="1"/>
  <c r="L290" i="1"/>
  <c r="L336" i="1"/>
  <c r="L377" i="1"/>
  <c r="L418" i="1"/>
  <c r="L464" i="1"/>
  <c r="L505" i="1"/>
  <c r="L546" i="1"/>
  <c r="L592" i="1"/>
  <c r="L633" i="1"/>
  <c r="L674" i="1"/>
  <c r="L713" i="1"/>
  <c r="L745" i="1"/>
  <c r="L777" i="1"/>
  <c r="L809" i="1"/>
  <c r="L841" i="1"/>
  <c r="L873" i="1"/>
  <c r="L900" i="1"/>
  <c r="L925" i="1"/>
  <c r="L952" i="1"/>
  <c r="L977" i="1"/>
  <c r="L1002" i="1"/>
  <c r="L1024" i="1"/>
  <c r="L1040" i="1"/>
  <c r="L1056" i="1"/>
  <c r="L1072" i="1"/>
  <c r="L1088" i="1"/>
  <c r="L1104" i="1"/>
  <c r="L1120" i="1"/>
  <c r="L1136" i="1"/>
  <c r="L1152" i="1"/>
  <c r="L1168" i="1"/>
  <c r="L1184" i="1"/>
  <c r="L1200" i="1"/>
  <c r="L1216" i="1"/>
  <c r="L1232" i="1"/>
  <c r="L1248" i="1"/>
  <c r="L1264" i="1"/>
  <c r="L1280" i="1"/>
  <c r="L1296" i="1"/>
  <c r="L1312" i="1"/>
  <c r="L1328" i="1"/>
  <c r="L1344" i="1"/>
  <c r="L1360" i="1"/>
  <c r="L1376" i="1"/>
  <c r="L1392" i="1"/>
  <c r="L1408" i="1"/>
  <c r="L1424" i="1"/>
  <c r="L1440" i="1"/>
  <c r="L1456" i="1"/>
  <c r="L1472" i="1"/>
  <c r="L1488" i="1"/>
  <c r="L1504" i="1"/>
  <c r="L1520" i="1"/>
  <c r="L1536" i="1"/>
  <c r="L1552" i="1"/>
  <c r="L1568" i="1"/>
  <c r="L1584" i="1"/>
  <c r="L1598" i="1"/>
  <c r="L1606" i="1"/>
  <c r="L1614" i="1"/>
  <c r="L1622" i="1"/>
  <c r="L1630" i="1"/>
  <c r="L1638" i="1"/>
  <c r="L1646" i="1"/>
  <c r="L1654" i="1"/>
  <c r="L1662" i="1"/>
  <c r="L1670" i="1"/>
  <c r="L1678" i="1"/>
  <c r="L1686" i="1"/>
  <c r="L1694" i="1"/>
  <c r="L1702" i="1"/>
  <c r="L1710" i="1"/>
  <c r="L1718" i="1"/>
  <c r="L1726" i="1"/>
  <c r="L1734" i="1"/>
  <c r="L1742" i="1"/>
  <c r="L1750" i="1"/>
  <c r="L1758" i="1"/>
  <c r="L1766" i="1"/>
  <c r="L1774" i="1"/>
  <c r="L1782" i="1"/>
  <c r="L1790" i="1"/>
  <c r="L1798" i="1"/>
  <c r="L1806" i="1"/>
  <c r="L1814" i="1"/>
  <c r="L1822" i="1"/>
  <c r="L1830" i="1"/>
  <c r="L1838" i="1"/>
  <c r="L1846" i="1"/>
  <c r="L1854" i="1"/>
  <c r="L1862" i="1"/>
  <c r="L1870" i="1"/>
  <c r="L1878" i="1"/>
  <c r="L1886" i="1"/>
  <c r="L1894" i="1"/>
  <c r="L1902" i="1"/>
  <c r="L1910" i="1"/>
  <c r="L1918" i="1"/>
  <c r="L1926" i="1"/>
  <c r="L1934" i="1"/>
  <c r="L1942" i="1"/>
  <c r="L1950" i="1"/>
  <c r="L1958" i="1"/>
  <c r="L1966" i="1"/>
  <c r="L1974" i="1"/>
  <c r="L1982" i="1"/>
  <c r="L1990" i="1"/>
  <c r="L1998" i="1"/>
  <c r="L2006" i="1"/>
  <c r="L2014" i="1"/>
  <c r="L2022" i="1"/>
  <c r="L2030" i="1"/>
  <c r="L2038" i="1"/>
  <c r="L2046" i="1"/>
  <c r="L2054" i="1"/>
  <c r="L2062" i="1"/>
  <c r="L2070" i="1"/>
  <c r="L2078" i="1"/>
  <c r="L2086" i="1"/>
  <c r="L2094" i="1"/>
  <c r="L2102" i="1"/>
  <c r="L41" i="1"/>
  <c r="L82" i="1"/>
  <c r="L128" i="1"/>
  <c r="L169" i="1"/>
  <c r="L210" i="1"/>
  <c r="L256" i="1"/>
  <c r="L297" i="1"/>
  <c r="L338" i="1"/>
  <c r="L384" i="1"/>
  <c r="L425" i="1"/>
  <c r="L466" i="1"/>
  <c r="L512" i="1"/>
  <c r="L553" i="1"/>
  <c r="L594" i="1"/>
  <c r="L640" i="1"/>
  <c r="L681" i="1"/>
  <c r="L716" i="1"/>
  <c r="L748" i="1"/>
  <c r="L780" i="1"/>
  <c r="L812" i="1"/>
  <c r="L844" i="1"/>
  <c r="L25" i="1"/>
  <c r="L130" i="1"/>
  <c r="L257" i="1"/>
  <c r="L368" i="1"/>
  <c r="L473" i="1"/>
  <c r="L600" i="1"/>
  <c r="L705" i="1"/>
  <c r="L785" i="1"/>
  <c r="L876" i="1"/>
  <c r="L929" i="1"/>
  <c r="L980" i="1"/>
  <c r="L1026" i="1"/>
  <c r="L1058" i="1"/>
  <c r="L1090" i="1"/>
  <c r="L1122" i="1"/>
  <c r="L1148" i="1"/>
  <c r="L1172" i="1"/>
  <c r="L1202" i="1"/>
  <c r="L1226" i="1"/>
  <c r="L1251" i="1"/>
  <c r="L1276" i="1"/>
  <c r="L1300" i="1"/>
  <c r="L1330" i="1"/>
  <c r="L1354" i="1"/>
  <c r="L1379" i="1"/>
  <c r="L1404" i="1"/>
  <c r="L1428" i="1"/>
  <c r="L1458" i="1"/>
  <c r="L1482" i="1"/>
  <c r="L1507" i="1"/>
  <c r="L1532" i="1"/>
  <c r="L1556" i="1"/>
  <c r="L1586" i="1"/>
  <c r="L1603" i="1"/>
  <c r="L1616" i="1"/>
  <c r="L1629" i="1"/>
  <c r="L1641" i="1"/>
  <c r="L1655" i="1"/>
  <c r="L1667" i="1"/>
  <c r="L1680" i="1"/>
  <c r="L1693" i="1"/>
  <c r="L1705" i="1"/>
  <c r="L1719" i="1"/>
  <c r="L1731" i="1"/>
  <c r="L1744" i="1"/>
  <c r="L1757" i="1"/>
  <c r="L1769" i="1"/>
  <c r="L1783" i="1"/>
  <c r="L1795" i="1"/>
  <c r="L1808" i="1"/>
  <c r="L1821" i="1"/>
  <c r="L1833" i="1"/>
  <c r="L1847" i="1"/>
  <c r="L1859" i="1"/>
  <c r="L1872" i="1"/>
  <c r="L1885" i="1"/>
  <c r="L1897" i="1"/>
  <c r="L1911" i="1"/>
  <c r="L1923" i="1"/>
  <c r="L1936" i="1"/>
  <c r="L1949" i="1"/>
  <c r="L1961" i="1"/>
  <c r="L1975" i="1"/>
  <c r="L1987" i="1"/>
  <c r="L2000" i="1"/>
  <c r="L2013" i="1"/>
  <c r="L2025" i="1"/>
  <c r="L2039" i="1"/>
  <c r="L2051" i="1"/>
  <c r="L2064" i="1"/>
  <c r="L2077" i="1"/>
  <c r="L2088" i="1"/>
  <c r="L2099" i="1"/>
  <c r="L2109" i="1"/>
  <c r="L2117" i="1"/>
  <c r="L2125" i="1"/>
  <c r="L2133" i="1"/>
  <c r="L2141" i="1"/>
  <c r="L2149" i="1"/>
  <c r="L2157" i="1"/>
  <c r="L2165" i="1"/>
  <c r="L2173" i="1"/>
  <c r="L2181" i="1"/>
  <c r="L2189" i="1"/>
  <c r="L2197" i="1"/>
  <c r="L2205" i="1"/>
  <c r="L2213" i="1"/>
  <c r="L2221" i="1"/>
  <c r="L2229" i="1"/>
  <c r="L2237" i="1"/>
  <c r="L2245" i="1"/>
  <c r="L2253" i="1"/>
  <c r="L2261" i="1"/>
  <c r="L2269" i="1"/>
  <c r="L2277" i="1"/>
  <c r="L2285" i="1"/>
  <c r="L2293" i="1"/>
  <c r="L2301" i="1"/>
  <c r="L2309" i="1"/>
  <c r="L2317" i="1"/>
  <c r="L2325" i="1"/>
  <c r="L2333" i="1"/>
  <c r="L2341" i="1"/>
  <c r="L2349" i="1"/>
  <c r="L2357" i="1"/>
  <c r="L2365" i="1"/>
  <c r="L2373" i="1"/>
  <c r="L2381" i="1"/>
  <c r="L2389" i="1"/>
  <c r="L2397" i="1"/>
  <c r="L2405" i="1"/>
  <c r="L2413" i="1"/>
  <c r="L2421" i="1"/>
  <c r="L2429" i="1"/>
  <c r="L2437" i="1"/>
  <c r="L2445" i="1"/>
  <c r="L2453" i="1"/>
  <c r="L2461" i="1"/>
  <c r="L2469" i="1"/>
  <c r="L2477" i="1"/>
  <c r="L2485" i="1"/>
  <c r="L2493" i="1"/>
  <c r="L2501" i="1"/>
  <c r="L2509" i="1"/>
  <c r="L2517" i="1"/>
  <c r="L2525" i="1"/>
  <c r="L2533" i="1"/>
  <c r="L2541" i="1"/>
  <c r="L42" i="1"/>
  <c r="L153" i="1"/>
  <c r="L258" i="1"/>
  <c r="L385" i="1"/>
  <c r="L496" i="1"/>
  <c r="L601" i="1"/>
  <c r="L720" i="1"/>
  <c r="L801" i="1"/>
  <c r="L880" i="1"/>
  <c r="L930" i="1"/>
  <c r="L981" i="1"/>
  <c r="L1027" i="1"/>
  <c r="L1059" i="1"/>
  <c r="L1091" i="1"/>
  <c r="L1123" i="1"/>
  <c r="L1154" i="1"/>
  <c r="L1178" i="1"/>
  <c r="L1203" i="1"/>
  <c r="L1228" i="1"/>
  <c r="L1252" i="1"/>
  <c r="L1282" i="1"/>
  <c r="L1306" i="1"/>
  <c r="L1331" i="1"/>
  <c r="L1356" i="1"/>
  <c r="L1380" i="1"/>
  <c r="L1410" i="1"/>
  <c r="L1434" i="1"/>
  <c r="L1459" i="1"/>
  <c r="L1484" i="1"/>
  <c r="L1508" i="1"/>
  <c r="L1538" i="1"/>
  <c r="L1562" i="1"/>
  <c r="L1587" i="1"/>
  <c r="L1605" i="1"/>
  <c r="L1617" i="1"/>
  <c r="L1631" i="1"/>
  <c r="L1643" i="1"/>
  <c r="L1656" i="1"/>
  <c r="L1669" i="1"/>
  <c r="L1681" i="1"/>
  <c r="L1695" i="1"/>
  <c r="L1707" i="1"/>
  <c r="L1720" i="1"/>
  <c r="L1733" i="1"/>
  <c r="L1745" i="1"/>
  <c r="L1759" i="1"/>
  <c r="L1771" i="1"/>
  <c r="L1784" i="1"/>
  <c r="L1797" i="1"/>
  <c r="L1809" i="1"/>
  <c r="L1823" i="1"/>
  <c r="L1835" i="1"/>
  <c r="L1848" i="1"/>
  <c r="L1861" i="1"/>
  <c r="L1873" i="1"/>
  <c r="L1887" i="1"/>
  <c r="L1899" i="1"/>
  <c r="L1912" i="1"/>
  <c r="L1925" i="1"/>
  <c r="L1937" i="1"/>
  <c r="L1951" i="1"/>
  <c r="L1963" i="1"/>
  <c r="L1976" i="1"/>
  <c r="L1989" i="1"/>
  <c r="L2001" i="1"/>
  <c r="L2015" i="1"/>
  <c r="L2027" i="1"/>
  <c r="L2040" i="1"/>
  <c r="L2053" i="1"/>
  <c r="L2065" i="1"/>
  <c r="L2079" i="1"/>
  <c r="L2089" i="1"/>
  <c r="L2100" i="1"/>
  <c r="L2110" i="1"/>
  <c r="L2118" i="1"/>
  <c r="L2126" i="1"/>
  <c r="L2134" i="1"/>
  <c r="L2142" i="1"/>
  <c r="L2150" i="1"/>
  <c r="L2158" i="1"/>
  <c r="L2166" i="1"/>
  <c r="L2174" i="1"/>
  <c r="L2182" i="1"/>
  <c r="L2190" i="1"/>
  <c r="L2198" i="1"/>
  <c r="L2206" i="1"/>
  <c r="L2214" i="1"/>
  <c r="L2222" i="1"/>
  <c r="L2230" i="1"/>
  <c r="L2238" i="1"/>
  <c r="L2246" i="1"/>
  <c r="L2254" i="1"/>
  <c r="L2262" i="1"/>
  <c r="L2270" i="1"/>
  <c r="L2278" i="1"/>
  <c r="L2286" i="1"/>
  <c r="L2294" i="1"/>
  <c r="L2302" i="1"/>
  <c r="L2310" i="1"/>
  <c r="L2318" i="1"/>
  <c r="L2326" i="1"/>
  <c r="L2334" i="1"/>
  <c r="L2342" i="1"/>
  <c r="L2350" i="1"/>
  <c r="L2358" i="1"/>
  <c r="L2366" i="1"/>
  <c r="L2374" i="1"/>
  <c r="L2382" i="1"/>
  <c r="L2390" i="1"/>
  <c r="L2398" i="1"/>
  <c r="L2406" i="1"/>
  <c r="L2414" i="1"/>
  <c r="L2422" i="1"/>
  <c r="L2430" i="1"/>
  <c r="L2438" i="1"/>
  <c r="L2446" i="1"/>
  <c r="L2454" i="1"/>
  <c r="L2462" i="1"/>
  <c r="L2470" i="1"/>
  <c r="L2478" i="1"/>
  <c r="L2486" i="1"/>
  <c r="L2494" i="1"/>
  <c r="L2502" i="1"/>
  <c r="L2510" i="1"/>
  <c r="L2518" i="1"/>
  <c r="L2526" i="1"/>
  <c r="L2534" i="1"/>
  <c r="L48" i="1"/>
  <c r="L170" i="1"/>
  <c r="L281" i="1"/>
  <c r="L386" i="1"/>
  <c r="L513" i="1"/>
  <c r="L624" i="1"/>
  <c r="L721" i="1"/>
  <c r="L816" i="1"/>
  <c r="L881" i="1"/>
  <c r="L932" i="1"/>
  <c r="L984" i="1"/>
  <c r="L1028" i="1"/>
  <c r="L1060" i="1"/>
  <c r="L1092" i="1"/>
  <c r="L1124" i="1"/>
  <c r="L1155" i="1"/>
  <c r="L1180" i="1"/>
  <c r="L1204" i="1"/>
  <c r="L1234" i="1"/>
  <c r="L1258" i="1"/>
  <c r="L1283" i="1"/>
  <c r="L1308" i="1"/>
  <c r="L1332" i="1"/>
  <c r="L1362" i="1"/>
  <c r="L1386" i="1"/>
  <c r="L1411" i="1"/>
  <c r="L1436" i="1"/>
  <c r="L1460" i="1"/>
  <c r="L1490" i="1"/>
  <c r="L1514" i="1"/>
  <c r="L1539" i="1"/>
  <c r="L1564" i="1"/>
  <c r="L1588" i="1"/>
  <c r="L1607" i="1"/>
  <c r="L1619" i="1"/>
  <c r="L1632" i="1"/>
  <c r="L1645" i="1"/>
  <c r="L1657" i="1"/>
  <c r="L1671" i="1"/>
  <c r="L1683" i="1"/>
  <c r="L1696" i="1"/>
  <c r="L1709" i="1"/>
  <c r="L1721" i="1"/>
  <c r="L1735" i="1"/>
  <c r="L1747" i="1"/>
  <c r="L1760" i="1"/>
  <c r="L1773" i="1"/>
  <c r="L1785" i="1"/>
  <c r="L1799" i="1"/>
  <c r="L1811" i="1"/>
  <c r="L1824" i="1"/>
  <c r="L1837" i="1"/>
  <c r="L1849" i="1"/>
  <c r="L1863" i="1"/>
  <c r="L1875" i="1"/>
  <c r="L1888" i="1"/>
  <c r="L1901" i="1"/>
  <c r="L1913" i="1"/>
  <c r="L1927" i="1"/>
  <c r="L1939" i="1"/>
  <c r="L1952" i="1"/>
  <c r="L1965" i="1"/>
  <c r="L1977" i="1"/>
  <c r="L1991" i="1"/>
  <c r="L2003" i="1"/>
  <c r="L2016" i="1"/>
  <c r="L2029" i="1"/>
  <c r="L2041" i="1"/>
  <c r="L2055" i="1"/>
  <c r="L2067" i="1"/>
  <c r="L2080" i="1"/>
  <c r="L2091" i="1"/>
  <c r="L2101" i="1"/>
  <c r="L2111" i="1"/>
  <c r="L2119" i="1"/>
  <c r="L2127" i="1"/>
  <c r="L2135" i="1"/>
  <c r="L2143" i="1"/>
  <c r="L2151" i="1"/>
  <c r="L2159" i="1"/>
  <c r="L2167" i="1"/>
  <c r="L2175" i="1"/>
  <c r="L2183" i="1"/>
  <c r="L2191" i="1"/>
  <c r="L2199" i="1"/>
  <c r="L2207" i="1"/>
  <c r="L2215" i="1"/>
  <c r="L2223" i="1"/>
  <c r="L2231" i="1"/>
  <c r="L2239" i="1"/>
  <c r="L2247" i="1"/>
  <c r="L2255" i="1"/>
  <c r="L2263" i="1"/>
  <c r="L2271" i="1"/>
  <c r="L2279" i="1"/>
  <c r="L2287" i="1"/>
  <c r="L2295" i="1"/>
  <c r="L88" i="1"/>
  <c r="L194" i="1"/>
  <c r="L304" i="1"/>
  <c r="L426" i="1"/>
  <c r="L537" i="1"/>
  <c r="L642" i="1"/>
  <c r="L752" i="1"/>
  <c r="L833" i="1"/>
  <c r="L904" i="1"/>
  <c r="L954" i="1"/>
  <c r="L1005" i="1"/>
  <c r="L1042" i="1"/>
  <c r="L1074" i="1"/>
  <c r="L1106" i="1"/>
  <c r="L1138" i="1"/>
  <c r="L1162" i="1"/>
  <c r="L1187" i="1"/>
  <c r="L1212" i="1"/>
  <c r="L1236" i="1"/>
  <c r="L1266" i="1"/>
  <c r="L1290" i="1"/>
  <c r="L1315" i="1"/>
  <c r="L1340" i="1"/>
  <c r="L1364" i="1"/>
  <c r="L1394" i="1"/>
  <c r="L1418" i="1"/>
  <c r="L1443" i="1"/>
  <c r="L1468" i="1"/>
  <c r="L1492" i="1"/>
  <c r="L1522" i="1"/>
  <c r="L1546" i="1"/>
  <c r="L1571" i="1"/>
  <c r="L1596" i="1"/>
  <c r="L1609" i="1"/>
  <c r="L1623" i="1"/>
  <c r="L1635" i="1"/>
  <c r="L1648" i="1"/>
  <c r="L1661" i="1"/>
  <c r="L1673" i="1"/>
  <c r="L1687" i="1"/>
  <c r="L1699" i="1"/>
  <c r="L1712" i="1"/>
  <c r="L1725" i="1"/>
  <c r="L1737" i="1"/>
  <c r="L1751" i="1"/>
  <c r="L1763" i="1"/>
  <c r="L1776" i="1"/>
  <c r="L1789" i="1"/>
  <c r="L1801" i="1"/>
  <c r="L1815" i="1"/>
  <c r="L1827" i="1"/>
  <c r="L1840" i="1"/>
  <c r="L1853" i="1"/>
  <c r="L1865" i="1"/>
  <c r="L1879" i="1"/>
  <c r="L1891" i="1"/>
  <c r="L1904" i="1"/>
  <c r="L1917" i="1"/>
  <c r="L1929" i="1"/>
  <c r="L1943" i="1"/>
  <c r="L1955" i="1"/>
  <c r="L1968" i="1"/>
  <c r="L1981" i="1"/>
  <c r="L1993" i="1"/>
  <c r="L2007" i="1"/>
  <c r="L2019" i="1"/>
  <c r="L2032" i="1"/>
  <c r="L2045" i="1"/>
  <c r="L2057" i="1"/>
  <c r="L2071" i="1"/>
  <c r="L2083" i="1"/>
  <c r="L2093" i="1"/>
  <c r="L2104" i="1"/>
  <c r="L2113" i="1"/>
  <c r="L2121" i="1"/>
  <c r="L2129" i="1"/>
  <c r="L2137" i="1"/>
  <c r="L2145" i="1"/>
  <c r="L2153" i="1"/>
  <c r="L2161" i="1"/>
  <c r="L2169" i="1"/>
  <c r="L2177" i="1"/>
  <c r="L2185" i="1"/>
  <c r="L2193" i="1"/>
  <c r="L2201" i="1"/>
  <c r="L2209" i="1"/>
  <c r="L2217" i="1"/>
  <c r="L2225" i="1"/>
  <c r="L2233" i="1"/>
  <c r="L2241" i="1"/>
  <c r="L2249" i="1"/>
  <c r="L2257" i="1"/>
  <c r="L2265" i="1"/>
  <c r="L2273" i="1"/>
  <c r="L2281" i="1"/>
  <c r="L2289" i="1"/>
  <c r="L2297" i="1"/>
  <c r="L2305" i="1"/>
  <c r="L2313" i="1"/>
  <c r="L2321" i="1"/>
  <c r="L2329" i="1"/>
  <c r="L2337" i="1"/>
  <c r="L2345" i="1"/>
  <c r="L2353" i="1"/>
  <c r="L2361" i="1"/>
  <c r="L2369" i="1"/>
  <c r="L2377" i="1"/>
  <c r="L2385" i="1"/>
  <c r="L2393" i="1"/>
  <c r="L2401" i="1"/>
  <c r="L2409" i="1"/>
  <c r="L2417" i="1"/>
  <c r="L2425" i="1"/>
  <c r="L2433" i="1"/>
  <c r="L2441" i="1"/>
  <c r="L2449" i="1"/>
  <c r="L2457" i="1"/>
  <c r="L2465" i="1"/>
  <c r="L2473" i="1"/>
  <c r="L2481" i="1"/>
  <c r="L2489" i="1"/>
  <c r="L2497" i="1"/>
  <c r="L2505" i="1"/>
  <c r="L2513" i="1"/>
  <c r="L2521" i="1"/>
  <c r="L2529" i="1"/>
  <c r="L89" i="1"/>
  <c r="L216" i="1"/>
  <c r="L322" i="1"/>
  <c r="L432" i="1"/>
  <c r="L554" i="1"/>
  <c r="L665" i="1"/>
  <c r="L753" i="1"/>
  <c r="L848" i="1"/>
  <c r="L905" i="1"/>
  <c r="L956" i="1"/>
  <c r="L1008" i="1"/>
  <c r="L1043" i="1"/>
  <c r="L1075" i="1"/>
  <c r="L1107" i="1"/>
  <c r="L1139" i="1"/>
  <c r="L1164" i="1"/>
  <c r="L1188" i="1"/>
  <c r="L1218" i="1"/>
  <c r="L1242" i="1"/>
  <c r="L1267" i="1"/>
  <c r="L1292" i="1"/>
  <c r="L1316" i="1"/>
  <c r="L1346" i="1"/>
  <c r="L1370" i="1"/>
  <c r="L1395" i="1"/>
  <c r="L1420" i="1"/>
  <c r="L1444" i="1"/>
  <c r="L1474" i="1"/>
  <c r="L1498" i="1"/>
  <c r="L1523" i="1"/>
  <c r="L1548" i="1"/>
  <c r="L1572" i="1"/>
  <c r="L1599" i="1"/>
  <c r="L1611" i="1"/>
  <c r="L1624" i="1"/>
  <c r="L1637" i="1"/>
  <c r="L1649" i="1"/>
  <c r="L1663" i="1"/>
  <c r="L66" i="1"/>
  <c r="L345" i="1"/>
  <c r="L682" i="1"/>
  <c r="L893" i="1"/>
  <c r="L1020" i="1"/>
  <c r="L1108" i="1"/>
  <c r="L1186" i="1"/>
  <c r="L1250" i="1"/>
  <c r="L1322" i="1"/>
  <c r="L1388" i="1"/>
  <c r="L1452" i="1"/>
  <c r="L1524" i="1"/>
  <c r="L1594" i="1"/>
  <c r="L1627" i="1"/>
  <c r="L1664" i="1"/>
  <c r="L1689" i="1"/>
  <c r="L1715" i="1"/>
  <c r="L1741" i="1"/>
  <c r="L1767" i="1"/>
  <c r="L1792" i="1"/>
  <c r="L1817" i="1"/>
  <c r="L1843" i="1"/>
  <c r="L1869" i="1"/>
  <c r="L1895" i="1"/>
  <c r="L1920" i="1"/>
  <c r="L1945" i="1"/>
  <c r="L1971" i="1"/>
  <c r="L1997" i="1"/>
  <c r="L2023" i="1"/>
  <c r="L2048" i="1"/>
  <c r="L2073" i="1"/>
  <c r="L2096" i="1"/>
  <c r="L2115" i="1"/>
  <c r="L2131" i="1"/>
  <c r="L2147" i="1"/>
  <c r="L2163" i="1"/>
  <c r="L2179" i="1"/>
  <c r="L2195" i="1"/>
  <c r="L2211" i="1"/>
  <c r="L2227" i="1"/>
  <c r="L2243" i="1"/>
  <c r="L2259" i="1"/>
  <c r="L2275" i="1"/>
  <c r="L2291" i="1"/>
  <c r="L2306" i="1"/>
  <c r="L2319" i="1"/>
  <c r="L2331" i="1"/>
  <c r="L2344" i="1"/>
  <c r="L2356" i="1"/>
  <c r="L2370" i="1"/>
  <c r="L2383" i="1"/>
  <c r="L2395" i="1"/>
  <c r="L2408" i="1"/>
  <c r="L2420" i="1"/>
  <c r="L2434" i="1"/>
  <c r="L2447" i="1"/>
  <c r="L2459" i="1"/>
  <c r="L2472" i="1"/>
  <c r="L2484" i="1"/>
  <c r="L2498" i="1"/>
  <c r="L2511" i="1"/>
  <c r="L2523" i="1"/>
  <c r="L2536" i="1"/>
  <c r="L2545" i="1"/>
  <c r="L2553" i="1"/>
  <c r="L2561" i="1"/>
  <c r="L2569" i="1"/>
  <c r="L2577" i="1"/>
  <c r="L2585" i="1"/>
  <c r="L2593" i="1"/>
  <c r="L2601" i="1"/>
  <c r="L2609" i="1"/>
  <c r="L2617" i="1"/>
  <c r="L2625" i="1"/>
  <c r="L2633" i="1"/>
  <c r="L2641" i="1"/>
  <c r="L2649" i="1"/>
  <c r="L2657" i="1"/>
  <c r="L2665" i="1"/>
  <c r="L2673" i="1"/>
  <c r="L2681" i="1"/>
  <c r="L2689" i="1"/>
  <c r="L2697" i="1"/>
  <c r="L2705" i="1"/>
  <c r="L2713" i="1"/>
  <c r="L2721" i="1"/>
  <c r="L2729" i="1"/>
  <c r="L2737" i="1"/>
  <c r="L2745" i="1"/>
  <c r="L2753" i="1"/>
  <c r="L2761" i="1"/>
  <c r="L2769" i="1"/>
  <c r="L2777" i="1"/>
  <c r="L2785" i="1"/>
  <c r="L2793" i="1"/>
  <c r="L2801" i="1"/>
  <c r="L2809" i="1"/>
  <c r="L2817" i="1"/>
  <c r="L2825" i="1"/>
  <c r="L2833" i="1"/>
  <c r="L2841" i="1"/>
  <c r="L2849" i="1"/>
  <c r="L2857" i="1"/>
  <c r="L2865" i="1"/>
  <c r="L2873" i="1"/>
  <c r="L2881" i="1"/>
  <c r="L2889" i="1"/>
  <c r="L2897" i="1"/>
  <c r="L2905" i="1"/>
  <c r="L2913" i="1"/>
  <c r="L2921" i="1"/>
  <c r="L2929" i="1"/>
  <c r="L2937" i="1"/>
  <c r="L2945" i="1"/>
  <c r="L2953" i="1"/>
  <c r="L2961" i="1"/>
  <c r="L2969" i="1"/>
  <c r="L2977" i="1"/>
  <c r="L2985" i="1"/>
  <c r="L2993" i="1"/>
  <c r="L3001" i="1"/>
  <c r="L3009" i="1"/>
  <c r="L3017" i="1"/>
  <c r="L3025" i="1"/>
  <c r="L3033" i="1"/>
  <c r="L3041" i="1"/>
  <c r="L3049" i="1"/>
  <c r="L3057" i="1"/>
  <c r="L112" i="1"/>
  <c r="L409" i="1"/>
  <c r="L688" i="1"/>
  <c r="L906" i="1"/>
  <c r="L1036" i="1"/>
  <c r="L1116" i="1"/>
  <c r="L1194" i="1"/>
  <c r="L1260" i="1"/>
  <c r="L1324" i="1"/>
  <c r="L1396" i="1"/>
  <c r="L1466" i="1"/>
  <c r="L1530" i="1"/>
  <c r="L1600" i="1"/>
  <c r="L1633" i="1"/>
  <c r="L1665" i="1"/>
  <c r="L1691" i="1"/>
  <c r="L1717" i="1"/>
  <c r="L1743" i="1"/>
  <c r="L1768" i="1"/>
  <c r="L1793" i="1"/>
  <c r="L1819" i="1"/>
  <c r="L1845" i="1"/>
  <c r="L1871" i="1"/>
  <c r="L1896" i="1"/>
  <c r="L1921" i="1"/>
  <c r="L1947" i="1"/>
  <c r="L1973" i="1"/>
  <c r="L1999" i="1"/>
  <c r="L2024" i="1"/>
  <c r="L2049" i="1"/>
  <c r="L2075" i="1"/>
  <c r="L2097" i="1"/>
  <c r="L2116" i="1"/>
  <c r="L2132" i="1"/>
  <c r="L2148" i="1"/>
  <c r="L2164" i="1"/>
  <c r="L2180" i="1"/>
  <c r="L2196" i="1"/>
  <c r="L2212" i="1"/>
  <c r="L2228" i="1"/>
  <c r="L2244" i="1"/>
  <c r="L2260" i="1"/>
  <c r="L2276" i="1"/>
  <c r="L2292" i="1"/>
  <c r="L2307" i="1"/>
  <c r="L2320" i="1"/>
  <c r="L2332" i="1"/>
  <c r="L2346" i="1"/>
  <c r="L2359" i="1"/>
  <c r="L2371" i="1"/>
  <c r="L2384" i="1"/>
  <c r="L2396" i="1"/>
  <c r="L2410" i="1"/>
  <c r="L2423" i="1"/>
  <c r="L2435" i="1"/>
  <c r="L2448" i="1"/>
  <c r="L2460" i="1"/>
  <c r="L2474" i="1"/>
  <c r="L2487" i="1"/>
  <c r="L2499" i="1"/>
  <c r="L2512" i="1"/>
  <c r="L2524" i="1"/>
  <c r="L2537" i="1"/>
  <c r="L2546" i="1"/>
  <c r="L2554" i="1"/>
  <c r="L2562" i="1"/>
  <c r="L2570" i="1"/>
  <c r="L2578" i="1"/>
  <c r="L2586" i="1"/>
  <c r="L2594" i="1"/>
  <c r="L2602" i="1"/>
  <c r="L2610" i="1"/>
  <c r="L2618" i="1"/>
  <c r="L2626" i="1"/>
  <c r="L2634" i="1"/>
  <c r="L2642" i="1"/>
  <c r="L2650" i="1"/>
  <c r="L2658" i="1"/>
  <c r="L2666" i="1"/>
  <c r="L2674" i="1"/>
  <c r="L2682" i="1"/>
  <c r="L2690" i="1"/>
  <c r="L2698" i="1"/>
  <c r="L2706" i="1"/>
  <c r="L2714" i="1"/>
  <c r="L2722" i="1"/>
  <c r="L2730" i="1"/>
  <c r="L2738" i="1"/>
  <c r="L2746" i="1"/>
  <c r="L2754" i="1"/>
  <c r="L2762" i="1"/>
  <c r="L2770" i="1"/>
  <c r="L2778" i="1"/>
  <c r="L2786" i="1"/>
  <c r="L2794" i="1"/>
  <c r="L2802" i="1"/>
  <c r="L2810" i="1"/>
  <c r="L2818" i="1"/>
  <c r="L2826" i="1"/>
  <c r="L2834" i="1"/>
  <c r="L2842" i="1"/>
  <c r="L2850" i="1"/>
  <c r="L2858" i="1"/>
  <c r="L2866" i="1"/>
  <c r="L2874" i="1"/>
  <c r="L2882" i="1"/>
  <c r="L2890" i="1"/>
  <c r="L2898" i="1"/>
  <c r="L2906" i="1"/>
  <c r="L2914" i="1"/>
  <c r="L2922" i="1"/>
  <c r="L2930" i="1"/>
  <c r="L2938" i="1"/>
  <c r="L2946" i="1"/>
  <c r="L2954" i="1"/>
  <c r="L2962" i="1"/>
  <c r="L2970" i="1"/>
  <c r="L2978" i="1"/>
  <c r="L2986" i="1"/>
  <c r="L2994" i="1"/>
  <c r="L3002" i="1"/>
  <c r="L3010" i="1"/>
  <c r="L3018" i="1"/>
  <c r="L3026" i="1"/>
  <c r="L3034" i="1"/>
  <c r="L3042" i="1"/>
  <c r="L3050" i="1"/>
  <c r="L3058" i="1"/>
  <c r="L129" i="1"/>
  <c r="L450" i="1"/>
  <c r="L737" i="1"/>
  <c r="L920" i="1"/>
  <c r="L1044" i="1"/>
  <c r="L1132" i="1"/>
  <c r="L1196" i="1"/>
  <c r="L1268" i="1"/>
  <c r="L1338" i="1"/>
  <c r="L1402" i="1"/>
  <c r="L1475" i="1"/>
  <c r="L1540" i="1"/>
  <c r="L1601" i="1"/>
  <c r="L1639" i="1"/>
  <c r="L1672" i="1"/>
  <c r="L1697" i="1"/>
  <c r="L1723" i="1"/>
  <c r="L1749" i="1"/>
  <c r="L1775" i="1"/>
  <c r="L1800" i="1"/>
  <c r="L1825" i="1"/>
  <c r="L1851" i="1"/>
  <c r="L1877" i="1"/>
  <c r="L1903" i="1"/>
  <c r="L1928" i="1"/>
  <c r="L1953" i="1"/>
  <c r="L1979" i="1"/>
  <c r="L2005" i="1"/>
  <c r="L2031" i="1"/>
  <c r="L2056" i="1"/>
  <c r="L2081" i="1"/>
  <c r="L2103" i="1"/>
  <c r="L2120" i="1"/>
  <c r="L2136" i="1"/>
  <c r="L2152" i="1"/>
  <c r="L2168" i="1"/>
  <c r="L2184" i="1"/>
  <c r="L2200" i="1"/>
  <c r="L2216" i="1"/>
  <c r="L2232" i="1"/>
  <c r="L2248" i="1"/>
  <c r="L2264" i="1"/>
  <c r="L2280" i="1"/>
  <c r="L2296" i="1"/>
  <c r="L2308" i="1"/>
  <c r="L2322" i="1"/>
  <c r="L2335" i="1"/>
  <c r="L2347" i="1"/>
  <c r="L2360" i="1"/>
  <c r="L2372" i="1"/>
  <c r="L2386" i="1"/>
  <c r="L2399" i="1"/>
  <c r="L2411" i="1"/>
  <c r="L2424" i="1"/>
  <c r="L2436" i="1"/>
  <c r="L2450" i="1"/>
  <c r="L2463" i="1"/>
  <c r="L2475" i="1"/>
  <c r="L2488" i="1"/>
  <c r="L2500" i="1"/>
  <c r="L2514" i="1"/>
  <c r="L2527" i="1"/>
  <c r="L2538" i="1"/>
  <c r="L2547" i="1"/>
  <c r="L2555" i="1"/>
  <c r="L2563" i="1"/>
  <c r="L2571" i="1"/>
  <c r="L2579" i="1"/>
  <c r="L2587" i="1"/>
  <c r="L2595" i="1"/>
  <c r="L2603" i="1"/>
  <c r="L2611" i="1"/>
  <c r="L2619" i="1"/>
  <c r="L2627" i="1"/>
  <c r="L2635" i="1"/>
  <c r="L2643" i="1"/>
  <c r="L2651" i="1"/>
  <c r="L2659" i="1"/>
  <c r="L2667" i="1"/>
  <c r="L2675" i="1"/>
  <c r="L2683" i="1"/>
  <c r="L2691" i="1"/>
  <c r="L2699" i="1"/>
  <c r="L2707" i="1"/>
  <c r="L2715" i="1"/>
  <c r="L2723" i="1"/>
  <c r="L2731" i="1"/>
  <c r="L2739" i="1"/>
  <c r="L2747" i="1"/>
  <c r="L2755" i="1"/>
  <c r="L2763" i="1"/>
  <c r="L2771" i="1"/>
  <c r="L2779" i="1"/>
  <c r="L2787" i="1"/>
  <c r="L2795" i="1"/>
  <c r="L2803" i="1"/>
  <c r="L2811" i="1"/>
  <c r="L2819" i="1"/>
  <c r="L2827" i="1"/>
  <c r="L2835" i="1"/>
  <c r="L2843" i="1"/>
  <c r="L2851" i="1"/>
  <c r="L2859" i="1"/>
  <c r="L2867" i="1"/>
  <c r="L2875" i="1"/>
  <c r="L2883" i="1"/>
  <c r="L2891" i="1"/>
  <c r="L2899" i="1"/>
  <c r="L2907" i="1"/>
  <c r="L2915" i="1"/>
  <c r="L2923" i="1"/>
  <c r="L2931" i="1"/>
  <c r="L2939" i="1"/>
  <c r="L2947" i="1"/>
  <c r="L2955" i="1"/>
  <c r="L2963" i="1"/>
  <c r="L2971" i="1"/>
  <c r="L2979" i="1"/>
  <c r="L2987" i="1"/>
  <c r="L2995" i="1"/>
  <c r="L3003" i="1"/>
  <c r="L3011" i="1"/>
  <c r="L3019" i="1"/>
  <c r="L3027" i="1"/>
  <c r="L3035" i="1"/>
  <c r="L3043" i="1"/>
  <c r="L3051" i="1"/>
  <c r="L3059" i="1"/>
  <c r="L176" i="1"/>
  <c r="L472" i="1"/>
  <c r="L769" i="1"/>
  <c r="L945" i="1"/>
  <c r="L1052" i="1"/>
  <c r="L1140" i="1"/>
  <c r="L1210" i="1"/>
  <c r="L1274" i="1"/>
  <c r="L1347" i="1"/>
  <c r="L1412" i="1"/>
  <c r="L1476" i="1"/>
  <c r="L1554" i="1"/>
  <c r="L1608" i="1"/>
  <c r="L1640" i="1"/>
  <c r="L1675" i="1"/>
  <c r="L1701" i="1"/>
  <c r="L1727" i="1"/>
  <c r="L1752" i="1"/>
  <c r="L1777" i="1"/>
  <c r="L1803" i="1"/>
  <c r="L1829" i="1"/>
  <c r="L1855" i="1"/>
  <c r="L1880" i="1"/>
  <c r="L1905" i="1"/>
  <c r="L1931" i="1"/>
  <c r="L1957" i="1"/>
  <c r="L1983" i="1"/>
  <c r="L2008" i="1"/>
  <c r="L2033" i="1"/>
  <c r="L2059" i="1"/>
  <c r="L2084" i="1"/>
  <c r="L2105" i="1"/>
  <c r="L2122" i="1"/>
  <c r="L2138" i="1"/>
  <c r="L2154" i="1"/>
  <c r="L2170" i="1"/>
  <c r="L2186" i="1"/>
  <c r="L2202" i="1"/>
  <c r="L2218" i="1"/>
  <c r="L2234" i="1"/>
  <c r="L2250" i="1"/>
  <c r="L2266" i="1"/>
  <c r="L2282" i="1"/>
  <c r="L2298" i="1"/>
  <c r="L2311" i="1"/>
  <c r="L2323" i="1"/>
  <c r="L2336" i="1"/>
  <c r="L2348" i="1"/>
  <c r="L2362" i="1"/>
  <c r="L2375" i="1"/>
  <c r="L2387" i="1"/>
  <c r="L2400" i="1"/>
  <c r="L2412" i="1"/>
  <c r="L2426" i="1"/>
  <c r="L2439" i="1"/>
  <c r="L2451" i="1"/>
  <c r="L2464" i="1"/>
  <c r="L2476" i="1"/>
  <c r="L2490" i="1"/>
  <c r="L2503" i="1"/>
  <c r="L2515" i="1"/>
  <c r="L2528" i="1"/>
  <c r="L2539" i="1"/>
  <c r="L2548" i="1"/>
  <c r="L2556" i="1"/>
  <c r="L2564" i="1"/>
  <c r="L2572" i="1"/>
  <c r="L2580" i="1"/>
  <c r="L2588" i="1"/>
  <c r="L2596" i="1"/>
  <c r="L2604" i="1"/>
  <c r="L2612" i="1"/>
  <c r="L2620" i="1"/>
  <c r="L2628" i="1"/>
  <c r="L2636" i="1"/>
  <c r="L2644" i="1"/>
  <c r="L2652" i="1"/>
  <c r="L2660" i="1"/>
  <c r="L2668" i="1"/>
  <c r="L2676" i="1"/>
  <c r="L2684" i="1"/>
  <c r="L2692" i="1"/>
  <c r="L2700" i="1"/>
  <c r="L2708" i="1"/>
  <c r="L2716" i="1"/>
  <c r="L2724" i="1"/>
  <c r="L2732" i="1"/>
  <c r="L2740" i="1"/>
  <c r="L2748" i="1"/>
  <c r="L2756" i="1"/>
  <c r="L2764" i="1"/>
  <c r="L2772" i="1"/>
  <c r="L2780" i="1"/>
  <c r="L2788" i="1"/>
  <c r="L2796" i="1"/>
  <c r="L2804" i="1"/>
  <c r="L2812" i="1"/>
  <c r="L2820" i="1"/>
  <c r="L2828" i="1"/>
  <c r="L2836" i="1"/>
  <c r="L2844" i="1"/>
  <c r="L2852" i="1"/>
  <c r="L2860" i="1"/>
  <c r="L2868" i="1"/>
  <c r="L2876" i="1"/>
  <c r="L2884" i="1"/>
  <c r="L2892" i="1"/>
  <c r="L2900" i="1"/>
  <c r="L2908" i="1"/>
  <c r="L2916" i="1"/>
  <c r="L2924" i="1"/>
  <c r="L2932" i="1"/>
  <c r="L2940" i="1"/>
  <c r="L2948" i="1"/>
  <c r="L2956" i="1"/>
  <c r="L2964" i="1"/>
  <c r="L2972" i="1"/>
  <c r="L2980" i="1"/>
  <c r="L2988" i="1"/>
  <c r="L2996" i="1"/>
  <c r="L3004" i="1"/>
  <c r="L3012" i="1"/>
  <c r="L3020" i="1"/>
  <c r="L3028" i="1"/>
  <c r="L3036" i="1"/>
  <c r="L3044" i="1"/>
  <c r="L3052" i="1"/>
  <c r="L298" i="1"/>
  <c r="L578" i="1"/>
  <c r="L849" i="1"/>
  <c r="L996" i="1"/>
  <c r="L1084" i="1"/>
  <c r="L1170" i="1"/>
  <c r="L1235" i="1"/>
  <c r="L1299" i="1"/>
  <c r="L1372" i="1"/>
  <c r="L1442" i="1"/>
  <c r="L1506" i="1"/>
  <c r="L1578" i="1"/>
  <c r="L1621" i="1"/>
  <c r="L1653" i="1"/>
  <c r="L1685" i="1"/>
  <c r="L1711" i="1"/>
  <c r="L1736" i="1"/>
  <c r="L1761" i="1"/>
  <c r="L1787" i="1"/>
  <c r="L1813" i="1"/>
  <c r="L1839" i="1"/>
  <c r="L1864" i="1"/>
  <c r="L1889" i="1"/>
  <c r="L1915" i="1"/>
  <c r="L1941" i="1"/>
  <c r="L1967" i="1"/>
  <c r="L1992" i="1"/>
  <c r="L2017" i="1"/>
  <c r="L2043" i="1"/>
  <c r="L2069" i="1"/>
  <c r="L2092" i="1"/>
  <c r="L2112" i="1"/>
  <c r="L2128" i="1"/>
  <c r="L2144" i="1"/>
  <c r="L2160" i="1"/>
  <c r="L2176" i="1"/>
  <c r="L2192" i="1"/>
  <c r="L2208" i="1"/>
  <c r="L2224" i="1"/>
  <c r="L2240" i="1"/>
  <c r="L2256" i="1"/>
  <c r="L2272" i="1"/>
  <c r="L2288" i="1"/>
  <c r="L2303" i="1"/>
  <c r="L2315" i="1"/>
  <c r="L2328" i="1"/>
  <c r="L2340" i="1"/>
  <c r="L2354" i="1"/>
  <c r="L2367" i="1"/>
  <c r="L2379" i="1"/>
  <c r="L2392" i="1"/>
  <c r="L2404" i="1"/>
  <c r="L2418" i="1"/>
  <c r="L2431" i="1"/>
  <c r="L2443" i="1"/>
  <c r="L2456" i="1"/>
  <c r="L2468" i="1"/>
  <c r="L2482" i="1"/>
  <c r="L2495" i="1"/>
  <c r="L2507" i="1"/>
  <c r="L2520" i="1"/>
  <c r="L2532" i="1"/>
  <c r="L2543" i="1"/>
  <c r="L2551" i="1"/>
  <c r="L2559" i="1"/>
  <c r="L2567" i="1"/>
  <c r="L2575" i="1"/>
  <c r="L2583" i="1"/>
  <c r="L2591" i="1"/>
  <c r="L2599" i="1"/>
  <c r="L2607" i="1"/>
  <c r="L2615" i="1"/>
  <c r="L2623" i="1"/>
  <c r="L2631" i="1"/>
  <c r="L2639" i="1"/>
  <c r="L2647" i="1"/>
  <c r="L2655" i="1"/>
  <c r="L2663" i="1"/>
  <c r="L2671" i="1"/>
  <c r="L2679" i="1"/>
  <c r="L2687" i="1"/>
  <c r="L2695" i="1"/>
  <c r="L2703" i="1"/>
  <c r="L2711" i="1"/>
  <c r="L2719" i="1"/>
  <c r="L2727" i="1"/>
  <c r="L2735" i="1"/>
  <c r="L2743" i="1"/>
  <c r="L2751" i="1"/>
  <c r="L2759" i="1"/>
  <c r="L2767" i="1"/>
  <c r="L2775" i="1"/>
  <c r="L2783" i="1"/>
  <c r="L2791" i="1"/>
  <c r="L2799" i="1"/>
  <c r="L2807" i="1"/>
  <c r="L2815" i="1"/>
  <c r="L2823" i="1"/>
  <c r="L2831" i="1"/>
  <c r="L2839" i="1"/>
  <c r="L2847" i="1"/>
  <c r="L2855" i="1"/>
  <c r="L2863" i="1"/>
  <c r="L2871" i="1"/>
  <c r="L2879" i="1"/>
  <c r="L2887" i="1"/>
  <c r="L2895" i="1"/>
  <c r="L217" i="1"/>
  <c r="L865" i="1"/>
  <c r="L1156" i="1"/>
  <c r="L1348" i="1"/>
  <c r="L1516" i="1"/>
  <c r="L1651" i="1"/>
  <c r="L1728" i="1"/>
  <c r="L1791" i="1"/>
  <c r="L1857" i="1"/>
  <c r="L1933" i="1"/>
  <c r="L1995" i="1"/>
  <c r="L2063" i="1"/>
  <c r="L2123" i="1"/>
  <c r="L2162" i="1"/>
  <c r="L2204" i="1"/>
  <c r="L2251" i="1"/>
  <c r="L2290" i="1"/>
  <c r="L2327" i="1"/>
  <c r="L2363" i="1"/>
  <c r="L2394" i="1"/>
  <c r="L2428" i="1"/>
  <c r="L2466" i="1"/>
  <c r="L2496" i="1"/>
  <c r="L2531" i="1"/>
  <c r="L2557" i="1"/>
  <c r="L2576" i="1"/>
  <c r="L2598" i="1"/>
  <c r="L2621" i="1"/>
  <c r="L2640" i="1"/>
  <c r="L2662" i="1"/>
  <c r="L2685" i="1"/>
  <c r="L2704" i="1"/>
  <c r="L2726" i="1"/>
  <c r="L2749" i="1"/>
  <c r="L2768" i="1"/>
  <c r="L2790" i="1"/>
  <c r="L2813" i="1"/>
  <c r="L2832" i="1"/>
  <c r="L2854" i="1"/>
  <c r="L2877" i="1"/>
  <c r="L2896" i="1"/>
  <c r="L2912" i="1"/>
  <c r="L2928" i="1"/>
  <c r="L2944" i="1"/>
  <c r="L2960" i="1"/>
  <c r="L2976" i="1"/>
  <c r="L2992" i="1"/>
  <c r="L3008" i="1"/>
  <c r="L3024" i="1"/>
  <c r="L3040" i="1"/>
  <c r="L3056" i="1"/>
  <c r="L3067" i="1"/>
  <c r="L3075" i="1"/>
  <c r="L3083" i="1"/>
  <c r="L3091" i="1"/>
  <c r="L3099" i="1"/>
  <c r="L3107" i="1"/>
  <c r="L3115" i="1"/>
  <c r="L3123" i="1"/>
  <c r="L3131" i="1"/>
  <c r="L3139" i="1"/>
  <c r="L3147" i="1"/>
  <c r="L3155" i="1"/>
  <c r="L3163" i="1"/>
  <c r="L3171" i="1"/>
  <c r="L3179" i="1"/>
  <c r="L3187" i="1"/>
  <c r="L3195" i="1"/>
  <c r="L3203" i="1"/>
  <c r="L3211" i="1"/>
  <c r="L3219" i="1"/>
  <c r="L3227" i="1"/>
  <c r="L3235" i="1"/>
  <c r="L3243" i="1"/>
  <c r="L3251" i="1"/>
  <c r="L3259" i="1"/>
  <c r="L3267" i="1"/>
  <c r="L3275" i="1"/>
  <c r="L3283" i="1"/>
  <c r="L3291" i="1"/>
  <c r="L3299" i="1"/>
  <c r="L3307" i="1"/>
  <c r="L3315" i="1"/>
  <c r="L3323" i="1"/>
  <c r="L3331" i="1"/>
  <c r="L3339" i="1"/>
  <c r="L3347" i="1"/>
  <c r="L3355" i="1"/>
  <c r="L3363" i="1"/>
  <c r="L3371" i="1"/>
  <c r="L3379" i="1"/>
  <c r="L3387" i="1"/>
  <c r="L3395" i="1"/>
  <c r="L3403" i="1"/>
  <c r="L3411" i="1"/>
  <c r="L3419" i="1"/>
  <c r="L3427" i="1"/>
  <c r="L3435" i="1"/>
  <c r="L3443" i="1"/>
  <c r="L3451" i="1"/>
  <c r="L3459" i="1"/>
  <c r="L3467" i="1"/>
  <c r="L3475" i="1"/>
  <c r="L3483" i="1"/>
  <c r="L3491" i="1"/>
  <c r="L3499" i="1"/>
  <c r="L3507" i="1"/>
  <c r="L3515" i="1"/>
  <c r="L3523" i="1"/>
  <c r="L3531" i="1"/>
  <c r="L3539" i="1"/>
  <c r="L3547" i="1"/>
  <c r="L3555" i="1"/>
  <c r="L3563" i="1"/>
  <c r="L3571" i="1"/>
  <c r="L3579" i="1"/>
  <c r="L3587" i="1"/>
  <c r="L3595" i="1"/>
  <c r="L3603" i="1"/>
  <c r="L3611" i="1"/>
  <c r="L3619" i="1"/>
  <c r="L3627" i="1"/>
  <c r="L3635" i="1"/>
  <c r="F214" i="1"/>
  <c r="F3428" i="1"/>
  <c r="F366" i="1"/>
  <c r="F447" i="1"/>
  <c r="F509" i="1"/>
  <c r="L240" i="1"/>
  <c r="L957" i="1"/>
  <c r="L1171" i="1"/>
  <c r="L1363" i="1"/>
  <c r="L1555" i="1"/>
  <c r="L1659" i="1"/>
  <c r="L1729" i="1"/>
  <c r="L1805" i="1"/>
  <c r="L1867" i="1"/>
  <c r="L1935" i="1"/>
  <c r="L2009" i="1"/>
  <c r="L2072" i="1"/>
  <c r="L2124" i="1"/>
  <c r="L2171" i="1"/>
  <c r="L2210" i="1"/>
  <c r="L2252" i="1"/>
  <c r="L2299" i="1"/>
  <c r="L2330" i="1"/>
  <c r="L2364" i="1"/>
  <c r="L2402" i="1"/>
  <c r="L2432" i="1"/>
  <c r="L2467" i="1"/>
  <c r="L2504" i="1"/>
  <c r="L2535" i="1"/>
  <c r="L2558" i="1"/>
  <c r="L2581" i="1"/>
  <c r="L2600" i="1"/>
  <c r="L2622" i="1"/>
  <c r="L2645" i="1"/>
  <c r="L2664" i="1"/>
  <c r="L2686" i="1"/>
  <c r="L2709" i="1"/>
  <c r="L2728" i="1"/>
  <c r="L2750" i="1"/>
  <c r="L2773" i="1"/>
  <c r="L2792" i="1"/>
  <c r="L2814" i="1"/>
  <c r="L2837" i="1"/>
  <c r="L2856" i="1"/>
  <c r="L2878" i="1"/>
  <c r="L2901" i="1"/>
  <c r="L2917" i="1"/>
  <c r="L2933" i="1"/>
  <c r="L2949" i="1"/>
  <c r="L2965" i="1"/>
  <c r="L2981" i="1"/>
  <c r="L2997" i="1"/>
  <c r="L3013" i="1"/>
  <c r="L3029" i="1"/>
  <c r="L3045" i="1"/>
  <c r="L3060" i="1"/>
  <c r="L3068" i="1"/>
  <c r="L3076" i="1"/>
  <c r="L3084" i="1"/>
  <c r="L3092" i="1"/>
  <c r="L3100" i="1"/>
  <c r="L3108" i="1"/>
  <c r="L3116" i="1"/>
  <c r="L3124" i="1"/>
  <c r="L3132" i="1"/>
  <c r="L3140" i="1"/>
  <c r="L3148" i="1"/>
  <c r="L3156" i="1"/>
  <c r="L3164" i="1"/>
  <c r="L3172" i="1"/>
  <c r="L3180" i="1"/>
  <c r="L3188" i="1"/>
  <c r="L3196" i="1"/>
  <c r="L3204" i="1"/>
  <c r="L3212" i="1"/>
  <c r="L3220" i="1"/>
  <c r="L3228" i="1"/>
  <c r="L3236" i="1"/>
  <c r="L3244" i="1"/>
  <c r="L3252" i="1"/>
  <c r="L3260" i="1"/>
  <c r="L3268" i="1"/>
  <c r="L3276" i="1"/>
  <c r="L3284" i="1"/>
  <c r="L3292" i="1"/>
  <c r="L3300" i="1"/>
  <c r="L3308" i="1"/>
  <c r="L3316" i="1"/>
  <c r="L3324" i="1"/>
  <c r="L3332" i="1"/>
  <c r="L3340" i="1"/>
  <c r="L3348" i="1"/>
  <c r="L3356" i="1"/>
  <c r="L3364" i="1"/>
  <c r="L3372" i="1"/>
  <c r="L3380" i="1"/>
  <c r="L3388" i="1"/>
  <c r="L3396" i="1"/>
  <c r="L3404" i="1"/>
  <c r="L3412" i="1"/>
  <c r="L3420" i="1"/>
  <c r="L3428" i="1"/>
  <c r="L3436" i="1"/>
  <c r="L3444" i="1"/>
  <c r="L3452" i="1"/>
  <c r="L3460" i="1"/>
  <c r="L3468" i="1"/>
  <c r="L3476" i="1"/>
  <c r="L3484" i="1"/>
  <c r="L3492" i="1"/>
  <c r="L3500" i="1"/>
  <c r="L3508" i="1"/>
  <c r="L3516" i="1"/>
  <c r="L3524" i="1"/>
  <c r="L3532" i="1"/>
  <c r="L3540" i="1"/>
  <c r="L3548" i="1"/>
  <c r="L3556" i="1"/>
  <c r="L3564" i="1"/>
  <c r="L3572" i="1"/>
  <c r="L3580" i="1"/>
  <c r="L3588" i="1"/>
  <c r="L3596" i="1"/>
  <c r="L3604" i="1"/>
  <c r="L3612" i="1"/>
  <c r="L3620" i="1"/>
  <c r="L3628" i="1"/>
  <c r="L3636" i="1"/>
  <c r="F3415" i="1"/>
  <c r="F3432" i="1"/>
  <c r="F369" i="1"/>
  <c r="F3461" i="1"/>
  <c r="F3481" i="1"/>
  <c r="L344" i="1"/>
  <c r="L970" i="1"/>
  <c r="L1219" i="1"/>
  <c r="L1378" i="1"/>
  <c r="L1570" i="1"/>
  <c r="L1677" i="1"/>
  <c r="L1739" i="1"/>
  <c r="L1807" i="1"/>
  <c r="L1881" i="1"/>
  <c r="L1944" i="1"/>
  <c r="L2011" i="1"/>
  <c r="L2085" i="1"/>
  <c r="L2130" i="1"/>
  <c r="L2172" i="1"/>
  <c r="L2219" i="1"/>
  <c r="L2258" i="1"/>
  <c r="L2300" i="1"/>
  <c r="L2338" i="1"/>
  <c r="L2368" i="1"/>
  <c r="L2403" i="1"/>
  <c r="L2440" i="1"/>
  <c r="L2471" i="1"/>
  <c r="L2506" i="1"/>
  <c r="L2540" i="1"/>
  <c r="L2560" i="1"/>
  <c r="L2582" i="1"/>
  <c r="L2605" i="1"/>
  <c r="L2624" i="1"/>
  <c r="L2646" i="1"/>
  <c r="L2669" i="1"/>
  <c r="L2688" i="1"/>
  <c r="L2710" i="1"/>
  <c r="L2733" i="1"/>
  <c r="L2752" i="1"/>
  <c r="L2774" i="1"/>
  <c r="L2797" i="1"/>
  <c r="L2816" i="1"/>
  <c r="L2838" i="1"/>
  <c r="L2861" i="1"/>
  <c r="L2880" i="1"/>
  <c r="L2902" i="1"/>
  <c r="L2918" i="1"/>
  <c r="L2934" i="1"/>
  <c r="L2950" i="1"/>
  <c r="L2966" i="1"/>
  <c r="L2982" i="1"/>
  <c r="L2998" i="1"/>
  <c r="L3014" i="1"/>
  <c r="L3030" i="1"/>
  <c r="L3046" i="1"/>
  <c r="L3061" i="1"/>
  <c r="L3069" i="1"/>
  <c r="L3077" i="1"/>
  <c r="L3085" i="1"/>
  <c r="L3093" i="1"/>
  <c r="L3101" i="1"/>
  <c r="L3109" i="1"/>
  <c r="L3117" i="1"/>
  <c r="L3125" i="1"/>
  <c r="L3133" i="1"/>
  <c r="L3141" i="1"/>
  <c r="L3149" i="1"/>
  <c r="L3157" i="1"/>
  <c r="L514" i="1"/>
  <c r="L1009" i="1"/>
  <c r="L1220" i="1"/>
  <c r="L1426" i="1"/>
  <c r="L1580" i="1"/>
  <c r="L1679" i="1"/>
  <c r="L1753" i="1"/>
  <c r="L1816" i="1"/>
  <c r="L1883" i="1"/>
  <c r="L1959" i="1"/>
  <c r="L2021" i="1"/>
  <c r="L2087" i="1"/>
  <c r="L2139" i="1"/>
  <c r="L2178" i="1"/>
  <c r="L2220" i="1"/>
  <c r="L2267" i="1"/>
  <c r="L2304" i="1"/>
  <c r="L2339" i="1"/>
  <c r="L2376" i="1"/>
  <c r="L2407" i="1"/>
  <c r="L2442" i="1"/>
  <c r="L2479" i="1"/>
  <c r="L2508" i="1"/>
  <c r="L2542" i="1"/>
  <c r="L2565" i="1"/>
  <c r="L2584" i="1"/>
  <c r="L2606" i="1"/>
  <c r="L2629" i="1"/>
  <c r="L2648" i="1"/>
  <c r="L2670" i="1"/>
  <c r="L2693" i="1"/>
  <c r="L2712" i="1"/>
  <c r="L2734" i="1"/>
  <c r="L2757" i="1"/>
  <c r="L2776" i="1"/>
  <c r="L2798" i="1"/>
  <c r="L2821" i="1"/>
  <c r="L2840" i="1"/>
  <c r="L2862" i="1"/>
  <c r="L2885" i="1"/>
  <c r="L2903" i="1"/>
  <c r="L2919" i="1"/>
  <c r="L2935" i="1"/>
  <c r="L2951" i="1"/>
  <c r="L2967" i="1"/>
  <c r="L2983" i="1"/>
  <c r="L2999" i="1"/>
  <c r="L3015" i="1"/>
  <c r="L3031" i="1"/>
  <c r="L3047" i="1"/>
  <c r="L3062" i="1"/>
  <c r="L3070" i="1"/>
  <c r="L3078" i="1"/>
  <c r="L3086" i="1"/>
  <c r="L3094" i="1"/>
  <c r="L3102" i="1"/>
  <c r="L3110" i="1"/>
  <c r="L3118" i="1"/>
  <c r="L3126" i="1"/>
  <c r="L3134" i="1"/>
  <c r="L3142" i="1"/>
  <c r="L3150" i="1"/>
  <c r="L3158" i="1"/>
  <c r="L3166" i="1"/>
  <c r="L3174" i="1"/>
  <c r="L3182" i="1"/>
  <c r="L3190" i="1"/>
  <c r="L3198" i="1"/>
  <c r="L3206" i="1"/>
  <c r="L3214" i="1"/>
  <c r="L3222" i="1"/>
  <c r="L3230" i="1"/>
  <c r="L3238" i="1"/>
  <c r="L3246" i="1"/>
  <c r="L3254" i="1"/>
  <c r="L3262" i="1"/>
  <c r="L3270" i="1"/>
  <c r="L3278" i="1"/>
  <c r="L3286" i="1"/>
  <c r="L3294" i="1"/>
  <c r="L3302" i="1"/>
  <c r="L3310" i="1"/>
  <c r="L3318" i="1"/>
  <c r="L3326" i="1"/>
  <c r="L3334" i="1"/>
  <c r="L3342" i="1"/>
  <c r="L3350" i="1"/>
  <c r="L3358" i="1"/>
  <c r="L3366" i="1"/>
  <c r="L3374" i="1"/>
  <c r="L3382" i="1"/>
  <c r="L3390" i="1"/>
  <c r="L3398" i="1"/>
  <c r="L3406" i="1"/>
  <c r="L3414" i="1"/>
  <c r="L3422" i="1"/>
  <c r="L3430" i="1"/>
  <c r="L3438" i="1"/>
  <c r="L3446" i="1"/>
  <c r="L3454" i="1"/>
  <c r="L3462" i="1"/>
  <c r="L3470" i="1"/>
  <c r="L3478" i="1"/>
  <c r="L3486" i="1"/>
  <c r="L3494" i="1"/>
  <c r="L3502" i="1"/>
  <c r="L3510" i="1"/>
  <c r="L3518" i="1"/>
  <c r="L3526" i="1"/>
  <c r="L3534" i="1"/>
  <c r="L3542" i="1"/>
  <c r="L3550" i="1"/>
  <c r="L3558" i="1"/>
  <c r="L3566" i="1"/>
  <c r="L3574" i="1"/>
  <c r="L3582" i="1"/>
  <c r="L3590" i="1"/>
  <c r="L3598" i="1"/>
  <c r="L3606" i="1"/>
  <c r="L3614" i="1"/>
  <c r="L3622" i="1"/>
  <c r="L3630" i="1"/>
  <c r="L3638" i="1"/>
  <c r="F3419" i="1"/>
  <c r="F3437" i="1"/>
  <c r="F394" i="1"/>
  <c r="F3466" i="1"/>
  <c r="F540" i="1"/>
  <c r="L784" i="1"/>
  <c r="L1100" i="1"/>
  <c r="L1298" i="1"/>
  <c r="L1491" i="1"/>
  <c r="L1625" i="1"/>
  <c r="L1704" i="1"/>
  <c r="L1779" i="1"/>
  <c r="L1841" i="1"/>
  <c r="L1909" i="1"/>
  <c r="L1984" i="1"/>
  <c r="L2047" i="1"/>
  <c r="L2108" i="1"/>
  <c r="L2155" i="1"/>
  <c r="L2194" i="1"/>
  <c r="L2236" i="1"/>
  <c r="L2283" i="1"/>
  <c r="L2316" i="1"/>
  <c r="L2352" i="1"/>
  <c r="L2388" i="1"/>
  <c r="L2419" i="1"/>
  <c r="L2455" i="1"/>
  <c r="L2491" i="1"/>
  <c r="L2522" i="1"/>
  <c r="L2550" i="1"/>
  <c r="L2573" i="1"/>
  <c r="L2592" i="1"/>
  <c r="L2614" i="1"/>
  <c r="L2637" i="1"/>
  <c r="L2656" i="1"/>
  <c r="L2678" i="1"/>
  <c r="L2701" i="1"/>
  <c r="L2720" i="1"/>
  <c r="L2742" i="1"/>
  <c r="L2765" i="1"/>
  <c r="L2784" i="1"/>
  <c r="L2806" i="1"/>
  <c r="L2829" i="1"/>
  <c r="L2848" i="1"/>
  <c r="L2870" i="1"/>
  <c r="L2893" i="1"/>
  <c r="L2910" i="1"/>
  <c r="L2926" i="1"/>
  <c r="L2942" i="1"/>
  <c r="L2958" i="1"/>
  <c r="L2974" i="1"/>
  <c r="L2990" i="1"/>
  <c r="L3006" i="1"/>
  <c r="L3022" i="1"/>
  <c r="L3038" i="1"/>
  <c r="L3054" i="1"/>
  <c r="L3065" i="1"/>
  <c r="L3073" i="1"/>
  <c r="L3081" i="1"/>
  <c r="L3089" i="1"/>
  <c r="L3097" i="1"/>
  <c r="L3105" i="1"/>
  <c r="L3113" i="1"/>
  <c r="L3121" i="1"/>
  <c r="L3129" i="1"/>
  <c r="L3137" i="1"/>
  <c r="L3145" i="1"/>
  <c r="L3153" i="1"/>
  <c r="L3161" i="1"/>
  <c r="L3169" i="1"/>
  <c r="L3177" i="1"/>
  <c r="L3185" i="1"/>
  <c r="L3193" i="1"/>
  <c r="L3201" i="1"/>
  <c r="L3209" i="1"/>
  <c r="L3217" i="1"/>
  <c r="L3225" i="1"/>
  <c r="L3233" i="1"/>
  <c r="L3241" i="1"/>
  <c r="L3249" i="1"/>
  <c r="L3257" i="1"/>
  <c r="L3265" i="1"/>
  <c r="L3273" i="1"/>
  <c r="L3281" i="1"/>
  <c r="L3289" i="1"/>
  <c r="L3297" i="1"/>
  <c r="L3305" i="1"/>
  <c r="L3313" i="1"/>
  <c r="L3321" i="1"/>
  <c r="L3329" i="1"/>
  <c r="L3337" i="1"/>
  <c r="L3345" i="1"/>
  <c r="L3353" i="1"/>
  <c r="L3361" i="1"/>
  <c r="L3369" i="1"/>
  <c r="L3377" i="1"/>
  <c r="L3385" i="1"/>
  <c r="L3393" i="1"/>
  <c r="L3401" i="1"/>
  <c r="L3409" i="1"/>
  <c r="L3417" i="1"/>
  <c r="L3425" i="1"/>
  <c r="L3433" i="1"/>
  <c r="L3441" i="1"/>
  <c r="L3449" i="1"/>
  <c r="L3457" i="1"/>
  <c r="L3465" i="1"/>
  <c r="L3473" i="1"/>
  <c r="L3481" i="1"/>
  <c r="L3489" i="1"/>
  <c r="L3497" i="1"/>
  <c r="L3505" i="1"/>
  <c r="L3513" i="1"/>
  <c r="L3521" i="1"/>
  <c r="L3529" i="1"/>
  <c r="L3537" i="1"/>
  <c r="L3545" i="1"/>
  <c r="L3553" i="1"/>
  <c r="L3561" i="1"/>
  <c r="L3569" i="1"/>
  <c r="L3577" i="1"/>
  <c r="L3585" i="1"/>
  <c r="L3593" i="1"/>
  <c r="L3601" i="1"/>
  <c r="L3609" i="1"/>
  <c r="L3617" i="1"/>
  <c r="L3625" i="1"/>
  <c r="L3633" i="1"/>
  <c r="L3641" i="1"/>
  <c r="F3424" i="1"/>
  <c r="F345" i="1"/>
  <c r="F3454" i="1"/>
  <c r="F3475" i="1"/>
  <c r="L560" i="1"/>
  <c r="L1314" i="1"/>
  <c r="L1703" i="1"/>
  <c r="L1893" i="1"/>
  <c r="L2061" i="1"/>
  <c r="L2188" i="1"/>
  <c r="L2312" i="1"/>
  <c r="L2391" i="1"/>
  <c r="L2483" i="1"/>
  <c r="L2566" i="1"/>
  <c r="L2616" i="1"/>
  <c r="L2677" i="1"/>
  <c r="L2736" i="1"/>
  <c r="L2789" i="1"/>
  <c r="L2846" i="1"/>
  <c r="L2904" i="1"/>
  <c r="L2943" i="1"/>
  <c r="L2989" i="1"/>
  <c r="L3032" i="1"/>
  <c r="L3066" i="1"/>
  <c r="L3088" i="1"/>
  <c r="L3111" i="1"/>
  <c r="L3130" i="1"/>
  <c r="L3152" i="1"/>
  <c r="L3170" i="1"/>
  <c r="L3186" i="1"/>
  <c r="L3202" i="1"/>
  <c r="L3218" i="1"/>
  <c r="L3234" i="1"/>
  <c r="L3250" i="1"/>
  <c r="L3266" i="1"/>
  <c r="L3282" i="1"/>
  <c r="L3298" i="1"/>
  <c r="L3314" i="1"/>
  <c r="L3330" i="1"/>
  <c r="L3346" i="1"/>
  <c r="L3362" i="1"/>
  <c r="L3378" i="1"/>
  <c r="L3394" i="1"/>
  <c r="L3410" i="1"/>
  <c r="L3426" i="1"/>
  <c r="L3442" i="1"/>
  <c r="L3458" i="1"/>
  <c r="L3474" i="1"/>
  <c r="L3490" i="1"/>
  <c r="L3506" i="1"/>
  <c r="L3522" i="1"/>
  <c r="L3538" i="1"/>
  <c r="L3554" i="1"/>
  <c r="L3570" i="1"/>
  <c r="L3586" i="1"/>
  <c r="L3602" i="1"/>
  <c r="L3618" i="1"/>
  <c r="L3634" i="1"/>
  <c r="F295" i="1"/>
  <c r="F3455" i="1"/>
  <c r="F579" i="1"/>
  <c r="F682" i="1"/>
  <c r="F761" i="1"/>
  <c r="F3529" i="1"/>
  <c r="F3542" i="1"/>
  <c r="F3554" i="1"/>
  <c r="F3566" i="1"/>
  <c r="F1553" i="1"/>
  <c r="F1726" i="1"/>
  <c r="F3605" i="1"/>
  <c r="F2455" i="1"/>
  <c r="F212" i="1"/>
  <c r="F3426" i="1"/>
  <c r="F354" i="1"/>
  <c r="F3456" i="1"/>
  <c r="F497" i="1"/>
  <c r="F609" i="1"/>
  <c r="F690" i="1"/>
  <c r="F783" i="1"/>
  <c r="F3532" i="1"/>
  <c r="F3545" i="1"/>
  <c r="F1264" i="1"/>
  <c r="F1422" i="1"/>
  <c r="F1587" i="1"/>
  <c r="F3593" i="1"/>
  <c r="F2077" i="1"/>
  <c r="F2544" i="1"/>
  <c r="F3414" i="1"/>
  <c r="F3430" i="1"/>
  <c r="F3447" i="1"/>
  <c r="F432" i="1"/>
  <c r="F135" i="1"/>
  <c r="F619" i="1"/>
  <c r="F3509" i="1"/>
  <c r="F793" i="1"/>
  <c r="F939" i="1"/>
  <c r="F1107" i="1"/>
  <c r="F1310" i="1"/>
  <c r="F1436" i="1"/>
  <c r="F1615" i="1"/>
  <c r="F3597" i="1"/>
  <c r="F3608" i="1"/>
  <c r="F2609" i="1"/>
  <c r="F298" i="1"/>
  <c r="F3492" i="1"/>
  <c r="F1071" i="1"/>
  <c r="F3595" i="1"/>
  <c r="F2807" i="1"/>
  <c r="F3180" i="1"/>
  <c r="F805" i="1"/>
  <c r="F284" i="1"/>
  <c r="F1381" i="1"/>
  <c r="F52" i="1"/>
  <c r="F974" i="1"/>
  <c r="F2850" i="1"/>
  <c r="F2558" i="1"/>
  <c r="F1109" i="1"/>
  <c r="F1865" i="1"/>
  <c r="F2797" i="1"/>
  <c r="F3431" i="1"/>
  <c r="F626" i="1"/>
  <c r="F1114" i="1"/>
  <c r="F1777" i="1"/>
  <c r="F3628" i="1"/>
  <c r="F3638" i="1"/>
  <c r="F1103" i="1"/>
  <c r="F1588" i="1"/>
  <c r="F3397" i="1"/>
  <c r="F2228" i="1"/>
  <c r="F3261" i="1"/>
  <c r="F3111" i="1"/>
  <c r="F739" i="1"/>
  <c r="F139" i="1"/>
  <c r="F2108" i="1"/>
  <c r="F706" i="1"/>
  <c r="F332" i="1"/>
  <c r="F3504" i="1"/>
  <c r="F1221" i="1"/>
  <c r="F1980" i="1"/>
  <c r="F2857" i="1"/>
  <c r="F3272" i="1"/>
  <c r="F2918" i="1"/>
  <c r="F3231" i="1"/>
  <c r="F519" i="1"/>
  <c r="F3301" i="1"/>
  <c r="F2897" i="1"/>
  <c r="F812" i="1"/>
  <c r="F1031" i="1"/>
  <c r="F2186" i="1"/>
  <c r="F2649" i="1"/>
  <c r="F2342" i="1"/>
  <c r="F986" i="1"/>
  <c r="F2580" i="1"/>
  <c r="F691" i="1"/>
  <c r="F371" i="1"/>
  <c r="F2742" i="1"/>
  <c r="F2136" i="1"/>
  <c r="F2901" i="1"/>
  <c r="F1111" i="1"/>
  <c r="F493" i="1"/>
  <c r="F1080" i="1"/>
  <c r="F2160" i="1"/>
  <c r="F1935" i="1"/>
  <c r="F1755" i="1"/>
  <c r="F2234" i="1"/>
  <c r="F505" i="1"/>
  <c r="F294" i="1"/>
  <c r="F1070" i="1"/>
  <c r="F162" i="1"/>
  <c r="F278" i="1"/>
  <c r="F64" i="1"/>
  <c r="F1163" i="1"/>
  <c r="F2893" i="1"/>
  <c r="F2450" i="1"/>
  <c r="F346" i="1"/>
  <c r="F23" i="1"/>
  <c r="F1121" i="1"/>
  <c r="F822" i="1"/>
  <c r="F504" i="1"/>
  <c r="F2908" i="1"/>
  <c r="F1827" i="1"/>
  <c r="F1552" i="1"/>
  <c r="F427" i="1"/>
  <c r="F1169" i="1"/>
  <c r="F2885" i="1"/>
  <c r="F3156" i="1"/>
  <c r="F1562" i="1"/>
  <c r="F863" i="1"/>
  <c r="F1975" i="1"/>
  <c r="F1952" i="1"/>
  <c r="F2052" i="1"/>
  <c r="F1786" i="1"/>
  <c r="F2033" i="1"/>
  <c r="F1281" i="1"/>
  <c r="F1825" i="1"/>
  <c r="F3357" i="1"/>
  <c r="F3005" i="1"/>
  <c r="F881" i="1"/>
  <c r="F3164" i="1"/>
  <c r="F2214" i="1"/>
  <c r="F510" i="1"/>
  <c r="F305" i="1"/>
  <c r="F363" i="1"/>
  <c r="F1355" i="1"/>
  <c r="F2947" i="1"/>
  <c r="F2458" i="1"/>
  <c r="F1356" i="1"/>
  <c r="F3283" i="1"/>
  <c r="F3241" i="1"/>
  <c r="F201" i="1"/>
  <c r="F960" i="1"/>
  <c r="F2112" i="1"/>
  <c r="F848" i="1"/>
  <c r="F321" i="1"/>
  <c r="F2995" i="1"/>
  <c r="F2501" i="1"/>
  <c r="F187" i="1"/>
  <c r="F2449" i="1"/>
  <c r="F580" i="1"/>
  <c r="F2203" i="1"/>
  <c r="F602" i="1"/>
  <c r="F740" i="1"/>
  <c r="F1253" i="1"/>
  <c r="F2696" i="1"/>
  <c r="F3154" i="1"/>
  <c r="F2237" i="1"/>
  <c r="F69" i="1"/>
  <c r="F21" i="1"/>
  <c r="F800" i="1"/>
  <c r="F2451" i="1"/>
  <c r="F3319" i="1"/>
  <c r="F1849" i="1"/>
  <c r="F275" i="1"/>
  <c r="F2717" i="1"/>
  <c r="F2973" i="1"/>
  <c r="F779" i="1"/>
  <c r="F1332" i="1"/>
  <c r="F396" i="1"/>
  <c r="F1881" i="1"/>
  <c r="F3056" i="1"/>
  <c r="F1524" i="1"/>
  <c r="F2368" i="1"/>
  <c r="F450" i="1"/>
  <c r="F2989" i="1"/>
  <c r="F3205" i="1"/>
  <c r="F2751" i="1"/>
  <c r="F2067" i="1"/>
  <c r="F22" i="1"/>
  <c r="F112" i="1"/>
  <c r="F1068" i="1"/>
  <c r="F2769" i="1"/>
  <c r="F1686" i="1"/>
  <c r="F2536" i="1"/>
  <c r="F1140" i="1"/>
  <c r="F2152" i="1"/>
  <c r="F122" i="1"/>
  <c r="F2511" i="1"/>
  <c r="F3181" i="1"/>
  <c r="F3235" i="1"/>
  <c r="L641" i="1"/>
  <c r="L1427" i="1"/>
  <c r="L1713" i="1"/>
  <c r="L1907" i="1"/>
  <c r="L2095" i="1"/>
  <c r="L2203" i="1"/>
  <c r="L2314" i="1"/>
  <c r="L2415" i="1"/>
  <c r="L2492" i="1"/>
  <c r="L2568" i="1"/>
  <c r="L2630" i="1"/>
  <c r="L2680" i="1"/>
  <c r="L2741" i="1"/>
  <c r="L2800" i="1"/>
  <c r="L2853" i="1"/>
  <c r="L2909" i="1"/>
  <c r="L2952" i="1"/>
  <c r="L2991" i="1"/>
  <c r="L3037" i="1"/>
  <c r="L3071" i="1"/>
  <c r="L3090" i="1"/>
  <c r="L3112" i="1"/>
  <c r="L3135" i="1"/>
  <c r="L3154" i="1"/>
  <c r="L3173" i="1"/>
  <c r="L3189" i="1"/>
  <c r="L3205" i="1"/>
  <c r="L3221" i="1"/>
  <c r="L3237" i="1"/>
  <c r="L3253" i="1"/>
  <c r="L3269" i="1"/>
  <c r="L3285" i="1"/>
  <c r="L3301" i="1"/>
  <c r="L3317" i="1"/>
  <c r="L3333" i="1"/>
  <c r="L3349" i="1"/>
  <c r="L3365" i="1"/>
  <c r="L3381" i="1"/>
  <c r="L3397" i="1"/>
  <c r="L3413" i="1"/>
  <c r="L3429" i="1"/>
  <c r="L3445" i="1"/>
  <c r="L3461" i="1"/>
  <c r="L3477" i="1"/>
  <c r="L3493" i="1"/>
  <c r="L3509" i="1"/>
  <c r="L3525" i="1"/>
  <c r="L3541" i="1"/>
  <c r="L3557" i="1"/>
  <c r="L3573" i="1"/>
  <c r="L3589" i="1"/>
  <c r="L3605" i="1"/>
  <c r="L3621" i="1"/>
  <c r="L3637" i="1"/>
  <c r="F3435" i="1"/>
  <c r="F462" i="1"/>
  <c r="F591" i="1"/>
  <c r="F685" i="1"/>
  <c r="F3519" i="1"/>
  <c r="F3531" i="1"/>
  <c r="F3544" i="1"/>
  <c r="F1256" i="1"/>
  <c r="F1420" i="1"/>
  <c r="F1570" i="1"/>
  <c r="F3592" i="1"/>
  <c r="F2026" i="1"/>
  <c r="F2523" i="1"/>
  <c r="F223" i="1"/>
  <c r="F3429" i="1"/>
  <c r="F3446" i="1"/>
  <c r="F3459" i="1"/>
  <c r="F3479" i="1"/>
  <c r="F615" i="1"/>
  <c r="F3508" i="1"/>
  <c r="F791" i="1"/>
  <c r="F932" i="1"/>
  <c r="F1098" i="1"/>
  <c r="F1301" i="1"/>
  <c r="F3570" i="1"/>
  <c r="F1611" i="1"/>
  <c r="F3596" i="1"/>
  <c r="F3607" i="1"/>
  <c r="F2600" i="1"/>
  <c r="F228" i="1"/>
  <c r="F301" i="1"/>
  <c r="F3448" i="1"/>
  <c r="F3463" i="1"/>
  <c r="F513" i="1"/>
  <c r="F631" i="1"/>
  <c r="F3512" i="1"/>
  <c r="F834" i="1"/>
  <c r="F965" i="1"/>
  <c r="F3548" i="1"/>
  <c r="F3558" i="1"/>
  <c r="F3572" i="1"/>
  <c r="F3585" i="1"/>
  <c r="F3599" i="1"/>
  <c r="F2217" i="1"/>
  <c r="F3620" i="1"/>
  <c r="F3440" i="1"/>
  <c r="F543" i="1"/>
  <c r="F3550" i="1"/>
  <c r="F1863" i="1"/>
  <c r="F2853" i="1"/>
  <c r="F3224" i="1"/>
  <c r="F2194" i="1"/>
  <c r="F406" i="1"/>
  <c r="F1907" i="1"/>
  <c r="F2102" i="1"/>
  <c r="F2034" i="1"/>
  <c r="F3182" i="1"/>
  <c r="F1372" i="1"/>
  <c r="F188" i="1"/>
  <c r="F1559" i="1"/>
  <c r="F953" i="1"/>
  <c r="F320" i="1"/>
  <c r="F3502" i="1"/>
  <c r="F1213" i="1"/>
  <c r="F1923" i="1"/>
  <c r="F3629" i="1"/>
  <c r="F3239" i="1"/>
  <c r="F2601" i="1"/>
  <c r="F1832" i="1"/>
  <c r="F2564" i="1"/>
  <c r="F3279" i="1"/>
  <c r="F373" i="1"/>
  <c r="F3198" i="1"/>
  <c r="F2592" i="1"/>
  <c r="F2545" i="1"/>
  <c r="F2794" i="1"/>
  <c r="F2461" i="1"/>
  <c r="F374" i="1"/>
  <c r="F711" i="1"/>
  <c r="F3559" i="1"/>
  <c r="F2221" i="1"/>
  <c r="F2898" i="1"/>
  <c r="F3304" i="1"/>
  <c r="F1571" i="1"/>
  <c r="F1542" i="1"/>
  <c r="F3232" i="1"/>
  <c r="F2503" i="1"/>
  <c r="F1767" i="1"/>
  <c r="F2726" i="1"/>
  <c r="F2279" i="1"/>
  <c r="F2171" i="1"/>
  <c r="F2826" i="1"/>
  <c r="F163" i="1"/>
  <c r="F1339" i="1"/>
  <c r="F870" i="1"/>
  <c r="F1226" i="1"/>
  <c r="F1940" i="1"/>
  <c r="F1473" i="1"/>
  <c r="F507" i="1"/>
  <c r="F1666" i="1"/>
  <c r="F2579" i="1"/>
  <c r="F3120" i="1"/>
  <c r="F3021" i="1"/>
  <c r="F924" i="1"/>
  <c r="F1025" i="1"/>
  <c r="F28" i="1"/>
  <c r="F1895" i="1"/>
  <c r="F386" i="1"/>
  <c r="F2535" i="1"/>
  <c r="F1418" i="1"/>
  <c r="F3009" i="1"/>
  <c r="F1928" i="1"/>
  <c r="F976" i="1"/>
  <c r="F660" i="1"/>
  <c r="F2623" i="1"/>
  <c r="F553" i="1"/>
  <c r="F2749" i="1"/>
  <c r="F1363" i="1"/>
  <c r="F182" i="1"/>
  <c r="F1444" i="1"/>
  <c r="F2022" i="1"/>
  <c r="F1996" i="1"/>
  <c r="F1989" i="1"/>
  <c r="F1089" i="1"/>
  <c r="F1614" i="1"/>
  <c r="F1476" i="1"/>
  <c r="F733" i="1"/>
  <c r="F282" i="1"/>
  <c r="F1302" i="1"/>
  <c r="F3410" i="1"/>
  <c r="F3313" i="1"/>
  <c r="F460" i="1"/>
  <c r="F2784" i="1"/>
  <c r="F1836" i="1"/>
  <c r="F1698" i="1"/>
  <c r="F2430" i="1"/>
  <c r="F1557" i="1"/>
  <c r="F2519" i="1"/>
  <c r="F1005" i="1"/>
  <c r="F3033" i="1"/>
  <c r="F2474" i="1"/>
  <c r="F2491" i="1"/>
  <c r="F1656" i="1"/>
  <c r="F2508" i="1"/>
  <c r="F2636" i="1"/>
  <c r="F797" i="1"/>
  <c r="F2472" i="1"/>
  <c r="F2446" i="1"/>
  <c r="F2248" i="1"/>
  <c r="F1891" i="1"/>
  <c r="F2711" i="1"/>
  <c r="F1419" i="1"/>
  <c r="F1459" i="1"/>
  <c r="F2375" i="1"/>
  <c r="F231" i="1"/>
  <c r="F1148" i="1"/>
  <c r="F452" i="1"/>
  <c r="F1799" i="1"/>
  <c r="F2917" i="1"/>
  <c r="F916" i="1"/>
  <c r="F125" i="1"/>
  <c r="F170" i="1"/>
  <c r="F904" i="1"/>
  <c r="F2966" i="1"/>
  <c r="F742" i="1"/>
  <c r="F1026" i="1"/>
  <c r="F472" i="1"/>
  <c r="F508" i="1"/>
  <c r="F3080" i="1"/>
  <c r="F1948" i="1"/>
  <c r="F1691" i="1"/>
  <c r="F1269" i="1"/>
  <c r="F2744" i="1"/>
  <c r="F1323" i="1"/>
  <c r="F2227" i="1"/>
  <c r="F271" i="1"/>
  <c r="F1722" i="1"/>
  <c r="F57" i="1"/>
  <c r="F3167" i="1"/>
  <c r="F2985" i="1"/>
  <c r="F2355" i="1"/>
  <c r="F640" i="1"/>
  <c r="F830" i="1"/>
  <c r="F46" i="1"/>
  <c r="F3107" i="1"/>
  <c r="F866" i="1"/>
  <c r="F679" i="1"/>
  <c r="F1899" i="1"/>
  <c r="F1941" i="1"/>
  <c r="F2721" i="1"/>
  <c r="F607" i="1"/>
  <c r="F236" i="1"/>
  <c r="F2024" i="1"/>
  <c r="F2988" i="1"/>
  <c r="F2087" i="1"/>
  <c r="F2705" i="1"/>
  <c r="F864" i="1"/>
  <c r="F1410" i="1"/>
  <c r="F1027" i="1"/>
  <c r="F1028" i="1"/>
  <c r="F978" i="1"/>
  <c r="L817" i="1"/>
  <c r="L1450" i="1"/>
  <c r="L1755" i="1"/>
  <c r="L1919" i="1"/>
  <c r="L2107" i="1"/>
  <c r="L2226" i="1"/>
  <c r="L2324" i="1"/>
  <c r="L2416" i="1"/>
  <c r="L2516" i="1"/>
  <c r="L2574" i="1"/>
  <c r="L2632" i="1"/>
  <c r="L2694" i="1"/>
  <c r="L2744" i="1"/>
  <c r="L2805" i="1"/>
  <c r="L2864" i="1"/>
  <c r="L2911" i="1"/>
  <c r="L2957" i="1"/>
  <c r="L3000" i="1"/>
  <c r="L3039" i="1"/>
  <c r="L3072" i="1"/>
  <c r="L3095" i="1"/>
  <c r="L3114" i="1"/>
  <c r="L3136" i="1"/>
  <c r="L3159" i="1"/>
  <c r="L3175" i="1"/>
  <c r="L3191" i="1"/>
  <c r="L3207" i="1"/>
  <c r="L3223" i="1"/>
  <c r="L3239" i="1"/>
  <c r="L3255" i="1"/>
  <c r="L3271" i="1"/>
  <c r="L3287" i="1"/>
  <c r="L3303" i="1"/>
  <c r="L3319" i="1"/>
  <c r="L3335" i="1"/>
  <c r="L3351" i="1"/>
  <c r="L3367" i="1"/>
  <c r="L3383" i="1"/>
  <c r="L3399" i="1"/>
  <c r="L3415" i="1"/>
  <c r="L3431" i="1"/>
  <c r="L3447" i="1"/>
  <c r="L3463" i="1"/>
  <c r="L3479" i="1"/>
  <c r="L3495" i="1"/>
  <c r="L3511" i="1"/>
  <c r="L3527" i="1"/>
  <c r="L3543" i="1"/>
  <c r="L3559" i="1"/>
  <c r="L3575" i="1"/>
  <c r="L3591" i="1"/>
  <c r="L3607" i="1"/>
  <c r="L3623" i="1"/>
  <c r="L3639" i="1"/>
  <c r="F3441" i="1"/>
  <c r="F3469" i="1"/>
  <c r="F613" i="1"/>
  <c r="F704" i="1"/>
  <c r="F790" i="1"/>
  <c r="F931" i="1"/>
  <c r="F1072" i="1"/>
  <c r="F1273" i="1"/>
  <c r="F1432" i="1"/>
  <c r="F1609" i="1"/>
  <c r="F1763" i="1"/>
  <c r="F2131" i="1"/>
  <c r="F2559" i="1"/>
  <c r="F226" i="1"/>
  <c r="F3433" i="1"/>
  <c r="F370" i="1"/>
  <c r="F3462" i="1"/>
  <c r="F3482" i="1"/>
  <c r="F3494" i="1"/>
  <c r="F710" i="1"/>
  <c r="F3521" i="1"/>
  <c r="F3535" i="1"/>
  <c r="F3547" i="1"/>
  <c r="F3557" i="1"/>
  <c r="F1451" i="1"/>
  <c r="F3584" i="1"/>
  <c r="F1794" i="1"/>
  <c r="F3609" i="1"/>
  <c r="F3619" i="1"/>
  <c r="F3418" i="1"/>
  <c r="F3436" i="1"/>
  <c r="F388" i="1"/>
  <c r="F3465" i="1"/>
  <c r="F528" i="1"/>
  <c r="F3496" i="1"/>
  <c r="F725" i="1"/>
  <c r="F3522" i="1"/>
  <c r="F981" i="1"/>
  <c r="F1166" i="1"/>
  <c r="F1336" i="1"/>
  <c r="F3574" i="1"/>
  <c r="F1629" i="1"/>
  <c r="F1820" i="1"/>
  <c r="F2247" i="1"/>
  <c r="F2626" i="1"/>
  <c r="F3445" i="1"/>
  <c r="F3507" i="1"/>
  <c r="F1272" i="1"/>
  <c r="F2116" i="1"/>
  <c r="F3630" i="1"/>
  <c r="F3639" i="1"/>
  <c r="F3142" i="1"/>
  <c r="F325" i="1"/>
  <c r="F1985" i="1"/>
  <c r="F1320" i="1"/>
  <c r="F2517" i="1"/>
  <c r="F2113" i="1"/>
  <c r="F2442" i="1"/>
  <c r="F2694" i="1"/>
  <c r="F1690" i="1"/>
  <c r="F670" i="1"/>
  <c r="F368" i="1"/>
  <c r="F3510" i="1"/>
  <c r="F3556" i="1"/>
  <c r="F2142" i="1"/>
  <c r="F2889" i="1"/>
  <c r="F3640" i="1"/>
  <c r="F2000" i="1"/>
  <c r="F2772" i="1"/>
  <c r="F1748" i="1"/>
  <c r="F1489" i="1"/>
  <c r="F699" i="1"/>
  <c r="F1918" i="1"/>
  <c r="F1149" i="1"/>
  <c r="F2937" i="1"/>
  <c r="F1632" i="1"/>
  <c r="F1579" i="1"/>
  <c r="F440" i="1"/>
  <c r="F3518" i="1"/>
  <c r="F3565" i="1"/>
  <c r="F3614" i="1"/>
  <c r="F2959" i="1"/>
  <c r="F3322" i="1"/>
  <c r="F319" i="1"/>
  <c r="F806" i="1"/>
  <c r="F1499" i="1"/>
  <c r="F3028" i="1"/>
  <c r="F515" i="1"/>
  <c r="F3323" i="1"/>
  <c r="F560" i="1"/>
  <c r="F1711" i="1"/>
  <c r="F171" i="1"/>
  <c r="F1388" i="1"/>
  <c r="F1635" i="1"/>
  <c r="F2424" i="1"/>
  <c r="F1817" i="1"/>
  <c r="F969" i="1"/>
  <c r="F445" i="1"/>
  <c r="F743" i="1"/>
  <c r="F2514" i="1"/>
  <c r="F2631" i="1"/>
  <c r="F238" i="1"/>
  <c r="F435" i="1"/>
  <c r="F1752" i="1"/>
  <c r="F1670" i="1"/>
  <c r="F549" i="1"/>
  <c r="F2594" i="1"/>
  <c r="F3075" i="1"/>
  <c r="F2951" i="1"/>
  <c r="F1757" i="1"/>
  <c r="F3286" i="1"/>
  <c r="F1684" i="1"/>
  <c r="F2464" i="1"/>
  <c r="F2851" i="1"/>
  <c r="F1261" i="1"/>
  <c r="F1677" i="1"/>
  <c r="F1200" i="1"/>
  <c r="F1209" i="1"/>
  <c r="F2881" i="1"/>
  <c r="F197" i="1"/>
  <c r="F1280" i="1"/>
  <c r="F1002" i="1"/>
  <c r="F2799" i="1"/>
  <c r="F2715" i="1"/>
  <c r="F268" i="1"/>
  <c r="F1830" i="1"/>
  <c r="F204" i="1"/>
  <c r="F2071" i="1"/>
  <c r="F3096" i="1"/>
  <c r="F1958" i="1"/>
  <c r="F1792" i="1"/>
  <c r="F3337" i="1"/>
  <c r="F919" i="1"/>
  <c r="F384" i="1"/>
  <c r="F1138" i="1"/>
  <c r="F998" i="1"/>
  <c r="F1773" i="1"/>
  <c r="F644" i="1"/>
  <c r="F2763" i="1"/>
  <c r="F172" i="1"/>
  <c r="F242" i="1"/>
  <c r="F3280" i="1"/>
  <c r="F1926" i="1"/>
  <c r="F1120" i="1"/>
  <c r="F3306" i="1"/>
  <c r="F3063" i="1"/>
  <c r="F2894" i="1"/>
  <c r="F1954" i="1"/>
  <c r="F1661" i="1"/>
  <c r="F1199" i="1"/>
  <c r="F1190" i="1"/>
  <c r="F3382" i="1"/>
  <c r="F1265" i="1"/>
  <c r="F1037" i="1"/>
  <c r="F2459" i="1"/>
  <c r="F2843" i="1"/>
  <c r="F487" i="1"/>
  <c r="F2614" i="1"/>
  <c r="F40" i="1"/>
  <c r="F594" i="1"/>
  <c r="F180" i="1"/>
  <c r="F2909" i="1"/>
  <c r="F246" i="1"/>
  <c r="F1743" i="1"/>
  <c r="F550" i="1"/>
  <c r="F3046" i="1"/>
  <c r="F1278" i="1"/>
  <c r="F3248" i="1"/>
  <c r="F2215" i="1"/>
  <c r="F2971" i="1"/>
  <c r="F1308" i="1"/>
  <c r="F1465" i="1"/>
  <c r="F494" i="1"/>
  <c r="F658" i="1"/>
  <c r="F1706" i="1"/>
  <c r="F2151" i="1"/>
  <c r="F1992" i="1"/>
  <c r="F2666" i="1"/>
  <c r="F524" i="1"/>
  <c r="F422" i="1"/>
  <c r="F3271" i="1"/>
  <c r="F718" i="1"/>
  <c r="F1749" i="1"/>
  <c r="F1754" i="1"/>
  <c r="F2515" i="1"/>
  <c r="F2622" i="1"/>
  <c r="F961" i="1"/>
  <c r="F492" i="1"/>
  <c r="F1759" i="1"/>
  <c r="F2725" i="1"/>
  <c r="F993" i="1"/>
  <c r="F2766" i="1"/>
  <c r="F841" i="1"/>
  <c r="F2262" i="1"/>
  <c r="F2065" i="1"/>
  <c r="F2141" i="1"/>
  <c r="F3321" i="1"/>
  <c r="F1258" i="1"/>
  <c r="F2377" i="1"/>
  <c r="F3345" i="1"/>
  <c r="F2103" i="1"/>
  <c r="L1068" i="1"/>
  <c r="L1500" i="1"/>
  <c r="L1765" i="1"/>
  <c r="L1960" i="1"/>
  <c r="L2114" i="1"/>
  <c r="L2235" i="1"/>
  <c r="L2343" i="1"/>
  <c r="L2427" i="1"/>
  <c r="L2519" i="1"/>
  <c r="L2589" i="1"/>
  <c r="L2638" i="1"/>
  <c r="L2696" i="1"/>
  <c r="L2758" i="1"/>
  <c r="L2808" i="1"/>
  <c r="L2869" i="1"/>
  <c r="L2920" i="1"/>
  <c r="L2959" i="1"/>
  <c r="L3005" i="1"/>
  <c r="L3048" i="1"/>
  <c r="L3074" i="1"/>
  <c r="L3096" i="1"/>
  <c r="L3119" i="1"/>
  <c r="L3138" i="1"/>
  <c r="L3160" i="1"/>
  <c r="L3176" i="1"/>
  <c r="L3192" i="1"/>
  <c r="L3208" i="1"/>
  <c r="L3224" i="1"/>
  <c r="L3240" i="1"/>
  <c r="L3256" i="1"/>
  <c r="L3272" i="1"/>
  <c r="L3288" i="1"/>
  <c r="L3304" i="1"/>
  <c r="L3320" i="1"/>
  <c r="L3336" i="1"/>
  <c r="L3352" i="1"/>
  <c r="L3368" i="1"/>
  <c r="L3384" i="1"/>
  <c r="L3400" i="1"/>
  <c r="L3416" i="1"/>
  <c r="L3432" i="1"/>
  <c r="L3448" i="1"/>
  <c r="L3464" i="1"/>
  <c r="L3480" i="1"/>
  <c r="L3496" i="1"/>
  <c r="L3512" i="1"/>
  <c r="L3528" i="1"/>
  <c r="L3544" i="1"/>
  <c r="L3560" i="1"/>
  <c r="L3576" i="1"/>
  <c r="L3592" i="1"/>
  <c r="L3608" i="1"/>
  <c r="L3624" i="1"/>
  <c r="L3640" i="1"/>
  <c r="F3442" i="1"/>
  <c r="F478" i="1"/>
  <c r="F3493" i="1"/>
  <c r="F3511" i="1"/>
  <c r="F3520" i="1"/>
  <c r="F943" i="1"/>
  <c r="F1126" i="1"/>
  <c r="F1311" i="1"/>
  <c r="F3571" i="1"/>
  <c r="F1621" i="1"/>
  <c r="F3598" i="1"/>
  <c r="F2149" i="1"/>
  <c r="F3618" i="1"/>
  <c r="F229" i="1"/>
  <c r="F312" i="1"/>
  <c r="F379" i="1"/>
  <c r="F3464" i="1"/>
  <c r="F514" i="1"/>
  <c r="F647" i="1"/>
  <c r="F721" i="1"/>
  <c r="F849" i="1"/>
  <c r="F3537" i="1"/>
  <c r="F3549" i="1"/>
  <c r="F1326" i="1"/>
  <c r="F3573" i="1"/>
  <c r="F1624" i="1"/>
  <c r="F1814" i="1"/>
  <c r="F2233" i="1"/>
  <c r="F2621" i="1"/>
  <c r="F3420" i="1"/>
  <c r="F3439" i="1"/>
  <c r="F3450" i="1"/>
  <c r="F3467" i="1"/>
  <c r="F541" i="1"/>
  <c r="F674" i="1"/>
  <c r="F728" i="1"/>
  <c r="F853" i="1"/>
  <c r="F1019" i="1"/>
  <c r="F1191" i="1"/>
  <c r="F1354" i="1"/>
  <c r="F1487" i="1"/>
  <c r="F1664" i="1"/>
  <c r="F3602" i="1"/>
  <c r="F3610" i="1"/>
  <c r="F2648" i="1"/>
  <c r="F3451" i="1"/>
  <c r="F3516" i="1"/>
  <c r="F1394" i="1"/>
  <c r="F2376" i="1"/>
  <c r="F3631" i="1"/>
  <c r="F3311" i="1"/>
  <c r="F1603" i="1"/>
  <c r="F546" i="1"/>
  <c r="F2688" i="1"/>
  <c r="F2438" i="1"/>
  <c r="F3147" i="1"/>
  <c r="F1665" i="1"/>
  <c r="F1367" i="1"/>
  <c r="F2407" i="1"/>
  <c r="F1291" i="1"/>
  <c r="F3228" i="1"/>
  <c r="F428" i="1"/>
  <c r="F744" i="1"/>
  <c r="F1409" i="1"/>
  <c r="F2413" i="1"/>
  <c r="F2956" i="1"/>
  <c r="F3315" i="1"/>
  <c r="F2350" i="1"/>
  <c r="F687" i="1"/>
  <c r="F926" i="1"/>
  <c r="F1285" i="1"/>
  <c r="F3208" i="1"/>
  <c r="F44" i="1"/>
  <c r="F3032" i="1"/>
  <c r="F2803" i="1"/>
  <c r="F3008" i="1"/>
  <c r="F289" i="1"/>
  <c r="F454" i="1"/>
  <c r="F839" i="1"/>
  <c r="F1453" i="1"/>
  <c r="F2612" i="1"/>
  <c r="F2991" i="1"/>
  <c r="F178" i="1"/>
  <c r="F1572" i="1"/>
  <c r="F2858" i="1"/>
  <c r="F1779" i="1"/>
  <c r="F2658" i="1"/>
  <c r="F2957" i="1"/>
  <c r="F80" i="1"/>
  <c r="F2718" i="1"/>
  <c r="F2534" i="1"/>
  <c r="F880" i="1"/>
  <c r="F207" i="1"/>
  <c r="F2252" i="1"/>
  <c r="F2426" i="1"/>
  <c r="F2092" i="1"/>
  <c r="F2593" i="1"/>
  <c r="F2192" i="1"/>
  <c r="F982" i="1"/>
  <c r="F2740" i="1"/>
  <c r="F2354" i="1"/>
  <c r="F1539" i="1"/>
  <c r="F248" i="1"/>
  <c r="F1404" i="1"/>
  <c r="F1971" i="1"/>
  <c r="F732" i="1"/>
  <c r="F2047" i="1"/>
  <c r="F1776" i="1"/>
  <c r="F2500" i="1"/>
  <c r="F2520" i="1"/>
  <c r="F988" i="1"/>
  <c r="F291" i="1"/>
  <c r="F2602" i="1"/>
  <c r="F1950" i="1"/>
  <c r="F2588" i="1"/>
  <c r="F938" i="1"/>
  <c r="F1584" i="1"/>
  <c r="F517" i="1"/>
  <c r="F700" i="1"/>
  <c r="F2543" i="1"/>
  <c r="F1840" i="1"/>
  <c r="F1075" i="1"/>
  <c r="F3126" i="1"/>
  <c r="F895" i="1"/>
  <c r="F3162" i="1"/>
  <c r="F2627" i="1"/>
  <c r="F1966" i="1"/>
  <c r="F2278" i="1"/>
  <c r="F1521" i="1"/>
  <c r="F608" i="1"/>
  <c r="F3215" i="1"/>
  <c r="F1509" i="1"/>
  <c r="F2170" i="1"/>
  <c r="F2072" i="1"/>
  <c r="F558" i="1"/>
  <c r="F85" i="1"/>
  <c r="F7" i="1"/>
  <c r="F3140" i="1"/>
  <c r="F2790" i="1"/>
  <c r="F2708" i="1"/>
  <c r="F352" i="1"/>
  <c r="F1753" i="1"/>
  <c r="F962" i="1"/>
  <c r="F2497" i="1"/>
  <c r="F1699" i="1"/>
  <c r="F150" i="1"/>
  <c r="F3192" i="1"/>
  <c r="F3213" i="1"/>
  <c r="F2016" i="1"/>
  <c r="F3219" i="1"/>
  <c r="F911" i="1"/>
  <c r="F3310" i="1"/>
  <c r="F1165" i="1"/>
  <c r="F1974" i="1"/>
  <c r="F3161" i="1"/>
  <c r="F87" i="1"/>
  <c r="F534" i="1"/>
  <c r="F2541" i="1"/>
  <c r="F2283" i="1"/>
  <c r="F2639" i="1"/>
  <c r="F2994" i="1"/>
  <c r="F1392" i="1"/>
  <c r="F108" i="1"/>
  <c r="F2999" i="1"/>
  <c r="F975" i="1"/>
  <c r="F3299" i="1"/>
  <c r="F858" i="1"/>
  <c r="F195" i="1"/>
  <c r="F3042" i="1"/>
  <c r="F3372" i="1"/>
  <c r="F117" i="1"/>
  <c r="F1296" i="1"/>
  <c r="F3582" i="1"/>
  <c r="F2839" i="1"/>
  <c r="F2831" i="1"/>
  <c r="F2213" i="1"/>
  <c r="F3101" i="1"/>
  <c r="F2528" i="1"/>
  <c r="F2884" i="1"/>
  <c r="F1768" i="1"/>
  <c r="F1201" i="1"/>
  <c r="F2710" i="1"/>
  <c r="F111" i="1"/>
  <c r="F2844" i="1"/>
  <c r="F3174" i="1"/>
  <c r="F3377" i="1"/>
  <c r="F851" i="1"/>
  <c r="F832" i="1"/>
  <c r="F2939" i="1"/>
  <c r="F115" i="1"/>
  <c r="F1058" i="1"/>
  <c r="F1161" i="1"/>
  <c r="F2143" i="1"/>
  <c r="F701" i="1"/>
  <c r="F940" i="1"/>
  <c r="F2552" i="1"/>
  <c r="F128" i="1"/>
  <c r="F686" i="1"/>
  <c r="F3348" i="1"/>
  <c r="F2439" i="1"/>
  <c r="F3188" i="1"/>
  <c r="L1076" i="1"/>
  <c r="L1613" i="1"/>
  <c r="L1781" i="1"/>
  <c r="L1969" i="1"/>
  <c r="L2140" i="1"/>
  <c r="L2242" i="1"/>
  <c r="L2351" i="1"/>
  <c r="L2444" i="1"/>
  <c r="L2530" i="1"/>
  <c r="L2590" i="1"/>
  <c r="L2653" i="1"/>
  <c r="L2702" i="1"/>
  <c r="L2760" i="1"/>
  <c r="L2822" i="1"/>
  <c r="L2872" i="1"/>
  <c r="L2925" i="1"/>
  <c r="L2968" i="1"/>
  <c r="L3007" i="1"/>
  <c r="L3053" i="1"/>
  <c r="L3079" i="1"/>
  <c r="L3098" i="1"/>
  <c r="L3120" i="1"/>
  <c r="L3143" i="1"/>
  <c r="L3162" i="1"/>
  <c r="L3178" i="1"/>
  <c r="L3194" i="1"/>
  <c r="L3210" i="1"/>
  <c r="L3226" i="1"/>
  <c r="L3242" i="1"/>
  <c r="L3258" i="1"/>
  <c r="L3274" i="1"/>
  <c r="L3290" i="1"/>
  <c r="L3306" i="1"/>
  <c r="L3322" i="1"/>
  <c r="L3338" i="1"/>
  <c r="L3354" i="1"/>
  <c r="L3370" i="1"/>
  <c r="L3386" i="1"/>
  <c r="L3402" i="1"/>
  <c r="L3418" i="1"/>
  <c r="L3434" i="1"/>
  <c r="L3450" i="1"/>
  <c r="L3466" i="1"/>
  <c r="L3482" i="1"/>
  <c r="L3498" i="1"/>
  <c r="L3514" i="1"/>
  <c r="L3530" i="1"/>
  <c r="L3546" i="1"/>
  <c r="L3562" i="1"/>
  <c r="L3578" i="1"/>
  <c r="L3594" i="1"/>
  <c r="L3610" i="1"/>
  <c r="L3626" i="1"/>
  <c r="F3412" i="1"/>
  <c r="F3444" i="1"/>
  <c r="F3476" i="1"/>
  <c r="F3495" i="1"/>
  <c r="F3513" i="1"/>
  <c r="F843" i="1"/>
  <c r="F971" i="1"/>
  <c r="F1156" i="1"/>
  <c r="F1314" i="1"/>
  <c r="F1471" i="1"/>
  <c r="F3587" i="1"/>
  <c r="F3601" i="1"/>
  <c r="F2230" i="1"/>
  <c r="F2615" i="1"/>
  <c r="F247" i="1"/>
  <c r="F3438" i="1"/>
  <c r="F399" i="1"/>
  <c r="F469" i="1"/>
  <c r="F3485" i="1"/>
  <c r="F3498" i="1"/>
  <c r="F726" i="1"/>
  <c r="F3524" i="1"/>
  <c r="F1016" i="1"/>
  <c r="F1177" i="1"/>
  <c r="F1341" i="1"/>
  <c r="F3576" i="1"/>
  <c r="F1654" i="1"/>
  <c r="F1845" i="1"/>
  <c r="F2351" i="1"/>
  <c r="F2638" i="1"/>
  <c r="F257" i="1"/>
  <c r="F318" i="1"/>
  <c r="F425" i="1"/>
  <c r="F3471" i="1"/>
  <c r="F569" i="1"/>
  <c r="F3501" i="1"/>
  <c r="F3517" i="1"/>
  <c r="F882" i="1"/>
  <c r="F3540" i="1"/>
  <c r="F1208" i="1"/>
  <c r="F3562" i="1"/>
  <c r="L1244" i="1"/>
  <c r="L1647" i="1"/>
  <c r="L1832" i="1"/>
  <c r="L2035" i="1"/>
  <c r="L2156" i="1"/>
  <c r="L2274" i="1"/>
  <c r="L2378" i="1"/>
  <c r="L2458" i="1"/>
  <c r="L2549" i="1"/>
  <c r="L2608" i="1"/>
  <c r="L2661" i="1"/>
  <c r="L2718" i="1"/>
  <c r="L2781" i="1"/>
  <c r="L2830" i="1"/>
  <c r="L2888" i="1"/>
  <c r="L2936" i="1"/>
  <c r="L2975" i="1"/>
  <c r="L3021" i="1"/>
  <c r="L3063" i="1"/>
  <c r="L3082" i="1"/>
  <c r="L3104" i="1"/>
  <c r="L3127" i="1"/>
  <c r="L3146" i="1"/>
  <c r="L3167" i="1"/>
  <c r="L3183" i="1"/>
  <c r="L3199" i="1"/>
  <c r="L3215" i="1"/>
  <c r="L3231" i="1"/>
  <c r="L3247" i="1"/>
  <c r="L3263" i="1"/>
  <c r="L3279" i="1"/>
  <c r="L3295" i="1"/>
  <c r="L3311" i="1"/>
  <c r="L3327" i="1"/>
  <c r="L3343" i="1"/>
  <c r="L3359" i="1"/>
  <c r="L3375" i="1"/>
  <c r="L3391" i="1"/>
  <c r="L3407" i="1"/>
  <c r="L3423" i="1"/>
  <c r="L3439" i="1"/>
  <c r="L3455" i="1"/>
  <c r="L3471" i="1"/>
  <c r="L3487" i="1"/>
  <c r="L3503" i="1"/>
  <c r="L3519" i="1"/>
  <c r="L3535" i="1"/>
  <c r="L3551" i="1"/>
  <c r="L3567" i="1"/>
  <c r="L3583" i="1"/>
  <c r="L3599" i="1"/>
  <c r="L3615" i="1"/>
  <c r="L3631" i="1"/>
  <c r="F250" i="1"/>
  <c r="F3452" i="1"/>
  <c r="F3486" i="1"/>
  <c r="F3499" i="1"/>
  <c r="F736" i="1"/>
  <c r="F3525" i="1"/>
  <c r="F1035" i="1"/>
  <c r="F1204" i="1"/>
  <c r="F1400" i="1"/>
  <c r="F1506" i="1"/>
  <c r="F1679" i="1"/>
  <c r="F1882" i="1"/>
  <c r="F2391" i="1"/>
  <c r="F2652" i="1"/>
  <c r="F276" i="1"/>
  <c r="F329" i="1"/>
  <c r="F433" i="1"/>
  <c r="F479" i="1"/>
  <c r="F3489" i="1"/>
  <c r="F678" i="1"/>
  <c r="F747" i="1"/>
  <c r="F3528" i="1"/>
  <c r="F1061" i="1"/>
  <c r="F1215" i="1"/>
  <c r="F1412" i="1"/>
  <c r="F1538" i="1"/>
  <c r="F3589" i="1"/>
  <c r="F3604" i="1"/>
  <c r="F2421" i="1"/>
  <c r="F3621" i="1"/>
  <c r="F288" i="1"/>
  <c r="F348" i="1"/>
  <c r="F443" i="1"/>
  <c r="F488" i="1"/>
  <c r="F583" i="1"/>
  <c r="F3505" i="1"/>
  <c r="F778" i="1"/>
  <c r="F3530" i="1"/>
  <c r="F3543" i="1"/>
  <c r="F3555" i="1"/>
  <c r="F3568" i="1"/>
  <c r="F3581" i="1"/>
  <c r="F1747" i="1"/>
  <c r="F2009" i="1"/>
  <c r="F2481" i="1"/>
  <c r="F213" i="1"/>
  <c r="F3478" i="1"/>
  <c r="F927" i="1"/>
  <c r="F3583" i="1"/>
  <c r="F3625" i="1"/>
  <c r="F3636" i="1"/>
  <c r="F1770" i="1"/>
  <c r="F2637" i="1"/>
  <c r="F1317" i="1"/>
  <c r="F2456" i="1"/>
  <c r="F2427" i="1"/>
  <c r="F1894" i="1"/>
  <c r="F907" i="1"/>
  <c r="F3193" i="1"/>
  <c r="F3157" i="1"/>
  <c r="F2445" i="1"/>
  <c r="F56" i="1"/>
  <c r="F3480" i="1"/>
  <c r="F3534" i="1"/>
  <c r="F1619" i="1"/>
  <c r="F2754" i="1"/>
  <c r="F3089" i="1"/>
  <c r="F3399" i="1"/>
  <c r="F1993" i="1"/>
  <c r="F2832" i="1"/>
  <c r="F2582" i="1"/>
  <c r="F714" i="1"/>
  <c r="F2836" i="1"/>
  <c r="F1824" i="1"/>
  <c r="F292" i="1"/>
  <c r="F3155" i="1"/>
  <c r="F2106" i="1"/>
  <c r="F279" i="1"/>
  <c r="F578" i="1"/>
  <c r="F1064" i="1"/>
  <c r="F1721" i="1"/>
  <c r="F2798" i="1"/>
  <c r="F3160" i="1"/>
  <c r="F3411" i="1"/>
  <c r="F3335" i="1"/>
  <c r="F968" i="1"/>
  <c r="F2868" i="1"/>
  <c r="F1182" i="1"/>
  <c r="F735" i="1"/>
  <c r="F945" i="1"/>
  <c r="F773" i="1"/>
  <c r="F1036" i="1"/>
  <c r="F1780" i="1"/>
  <c r="F535" i="1"/>
  <c r="F3637" i="1"/>
  <c r="F727" i="1"/>
  <c r="F3127" i="1"/>
  <c r="F206" i="1"/>
  <c r="F1187" i="1"/>
  <c r="F2484" i="1"/>
  <c r="F84" i="1"/>
  <c r="F3202" i="1"/>
  <c r="F556" i="1"/>
  <c r="F1408" i="1"/>
  <c r="F734" i="1"/>
  <c r="F8" i="1"/>
  <c r="F1897" i="1"/>
  <c r="F2919" i="1"/>
  <c r="F1851" i="1"/>
  <c r="F586" i="1"/>
  <c r="F3171" i="1"/>
  <c r="F3000" i="1"/>
  <c r="F2356" i="1"/>
  <c r="F2177" i="1"/>
  <c r="F600" i="1"/>
  <c r="F3361" i="1"/>
  <c r="F1921" i="1"/>
  <c r="F3324" i="1"/>
  <c r="F102" i="1"/>
  <c r="F951" i="1"/>
  <c r="F1157" i="1"/>
  <c r="F2808" i="1"/>
  <c r="F820" i="1"/>
  <c r="F315" i="1"/>
  <c r="F1774" i="1"/>
  <c r="F659" i="1"/>
  <c r="F3201" i="1"/>
  <c r="F1623" i="1"/>
  <c r="F26" i="1"/>
  <c r="F1655" i="1"/>
  <c r="F1340" i="1"/>
  <c r="F2916" i="1"/>
  <c r="F1959" i="1"/>
  <c r="F421" i="1"/>
  <c r="F45" i="1"/>
  <c r="F1806" i="1"/>
  <c r="F58" i="1"/>
  <c r="F361" i="1"/>
  <c r="F623" i="1"/>
  <c r="F3395" i="1"/>
  <c r="F1312" i="1"/>
  <c r="F2518" i="1"/>
  <c r="F1358" i="1"/>
  <c r="F713" i="1"/>
  <c r="F3305" i="1"/>
  <c r="F2255" i="1"/>
  <c r="F994" i="1"/>
  <c r="F2941" i="1"/>
  <c r="F1008" i="1"/>
  <c r="F3172" i="1"/>
  <c r="L1146" i="1"/>
  <c r="L2146" i="1"/>
  <c r="L2544" i="1"/>
  <c r="L2766" i="1"/>
  <c r="L2973" i="1"/>
  <c r="L3103" i="1"/>
  <c r="L3181" i="1"/>
  <c r="L3245" i="1"/>
  <c r="L3309" i="1"/>
  <c r="L3373" i="1"/>
  <c r="L3437" i="1"/>
  <c r="L3501" i="1"/>
  <c r="L3565" i="1"/>
  <c r="L3629" i="1"/>
  <c r="F3497" i="1"/>
  <c r="F1174" i="1"/>
  <c r="F1838" i="1"/>
  <c r="F314" i="1"/>
  <c r="F3500" i="1"/>
  <c r="F3551" i="1"/>
  <c r="F1888" i="1"/>
  <c r="F330" i="1"/>
  <c r="F3503" i="1"/>
  <c r="F3553" i="1"/>
  <c r="F3590" i="1"/>
  <c r="F2667" i="1"/>
  <c r="F1029" i="1"/>
  <c r="F3050" i="1"/>
  <c r="F1180" i="1"/>
  <c r="F1616" i="1"/>
  <c r="F1607" i="1"/>
  <c r="F1651" i="1"/>
  <c r="F1038" i="1"/>
  <c r="F3634" i="1"/>
  <c r="F48" i="1"/>
  <c r="F1224" i="1"/>
  <c r="F3394" i="1"/>
  <c r="F3380" i="1"/>
  <c r="F1146" i="1"/>
  <c r="F3092" i="1"/>
  <c r="F2124" i="1"/>
  <c r="F2210" i="1"/>
  <c r="F776" i="1"/>
  <c r="F233" i="1"/>
  <c r="F2752" i="1"/>
  <c r="F1673" i="1"/>
  <c r="F498" i="1"/>
  <c r="F3175" i="1"/>
  <c r="F653" i="1"/>
  <c r="F3425" i="1"/>
  <c r="F2915" i="1"/>
  <c r="F1231" i="1"/>
  <c r="F54" i="1"/>
  <c r="F568" i="1"/>
  <c r="F566" i="1"/>
  <c r="F313" i="1"/>
  <c r="F2467" i="1"/>
  <c r="F581" i="1"/>
  <c r="F2834" i="1"/>
  <c r="F2495" i="1"/>
  <c r="F2017" i="1"/>
  <c r="F1244" i="1"/>
  <c r="F2392" i="1"/>
  <c r="F756" i="1"/>
  <c r="F2859" i="1"/>
  <c r="F2607" i="1"/>
  <c r="F121" i="1"/>
  <c r="F1242" i="1"/>
  <c r="F3090" i="1"/>
  <c r="F1798" i="1"/>
  <c r="F2372" i="1"/>
  <c r="F2958" i="1"/>
  <c r="F2365" i="1"/>
  <c r="F2401" i="1"/>
  <c r="F30" i="1"/>
  <c r="F16" i="1"/>
  <c r="F2686" i="1"/>
  <c r="F689" i="1"/>
  <c r="F2070" i="1"/>
  <c r="F1758" i="1"/>
  <c r="F1337" i="1"/>
  <c r="F310" i="1"/>
  <c r="F470" i="1"/>
  <c r="F1249" i="1"/>
  <c r="F3025" i="1"/>
  <c r="F491" i="1"/>
  <c r="F3249" i="1"/>
  <c r="F1622" i="1"/>
  <c r="F989" i="1"/>
  <c r="F3351" i="1"/>
  <c r="F1512" i="1"/>
  <c r="F2285" i="1"/>
  <c r="F2460" i="1"/>
  <c r="F1010" i="1"/>
  <c r="F2746" i="1"/>
  <c r="F2768" i="1"/>
  <c r="F1137" i="1"/>
  <c r="F103" i="1"/>
  <c r="F891" i="1"/>
  <c r="F1582" i="1"/>
  <c r="F801" i="1"/>
  <c r="F3370" i="1"/>
  <c r="F2453" i="1"/>
  <c r="F3006" i="1"/>
  <c r="F367" i="1"/>
  <c r="F67" i="1"/>
  <c r="F522" i="1"/>
  <c r="F2208" i="1"/>
  <c r="F3252" i="1"/>
  <c r="F2526" i="1"/>
  <c r="F887" i="1"/>
  <c r="F461" i="1"/>
  <c r="F3166" i="1"/>
  <c r="F1364" i="1"/>
  <c r="F905" i="1"/>
  <c r="F906" i="1"/>
  <c r="F1646" i="1"/>
  <c r="F1839" i="1"/>
  <c r="F2757" i="1"/>
  <c r="F3203" i="1"/>
  <c r="F2079" i="1"/>
  <c r="F3302" i="1"/>
  <c r="F381" i="1"/>
  <c r="F1054" i="1"/>
  <c r="F481" i="1"/>
  <c r="F2817" i="1"/>
  <c r="F3217" i="1"/>
  <c r="F2095" i="1"/>
  <c r="L1284" i="1"/>
  <c r="L2187" i="1"/>
  <c r="L2552" i="1"/>
  <c r="L2782" i="1"/>
  <c r="L2984" i="1"/>
  <c r="L3106" i="1"/>
  <c r="L3184" i="1"/>
  <c r="L3248" i="1"/>
  <c r="L3312" i="1"/>
  <c r="L3376" i="1"/>
  <c r="L3440" i="1"/>
  <c r="L3504" i="1"/>
  <c r="L3568" i="1"/>
  <c r="L3632" i="1"/>
  <c r="F676" i="1"/>
  <c r="F3552" i="1"/>
  <c r="F1953" i="1"/>
  <c r="F3443" i="1"/>
  <c r="F684" i="1"/>
  <c r="F1234" i="1"/>
  <c r="F2001" i="1"/>
  <c r="F355" i="1"/>
  <c r="F697" i="1"/>
  <c r="F1267" i="1"/>
  <c r="F3594" i="1"/>
  <c r="F3622" i="1"/>
  <c r="F1426" i="1"/>
  <c r="F3148" i="1"/>
  <c r="F1474" i="1"/>
  <c r="F380" i="1"/>
  <c r="F1131" i="1"/>
  <c r="F2741" i="1"/>
  <c r="F1437" i="1"/>
  <c r="F3152" i="1"/>
  <c r="F2013" i="1"/>
  <c r="F1353" i="1"/>
  <c r="F1520" i="1"/>
  <c r="F3416" i="1"/>
  <c r="F1549" i="1"/>
  <c r="F3189" i="1"/>
  <c r="F2586" i="1"/>
  <c r="F2913" i="1"/>
  <c r="F2624" i="1"/>
  <c r="F392" i="1"/>
  <c r="F1531" i="1"/>
  <c r="F3287" i="1"/>
  <c r="F474" i="1"/>
  <c r="F2584" i="1"/>
  <c r="F3199" i="1"/>
  <c r="F444" i="1"/>
  <c r="F2961" i="1"/>
  <c r="F731" i="1"/>
  <c r="F1136" i="1"/>
  <c r="F1500" i="1"/>
  <c r="F253" i="1"/>
  <c r="F468" i="1"/>
  <c r="F752" i="1"/>
  <c r="F3330" i="1"/>
  <c r="F2560" i="1"/>
  <c r="F536" i="1"/>
  <c r="F1715" i="1"/>
  <c r="F2874" i="1"/>
  <c r="F3386" i="1"/>
  <c r="F2054" i="1"/>
  <c r="F414" i="1"/>
  <c r="F1612" i="1"/>
  <c r="F1289" i="1"/>
  <c r="F154" i="1"/>
  <c r="F1842" i="1"/>
  <c r="F1386" i="1"/>
  <c r="F360" i="1"/>
  <c r="F3352" i="1"/>
  <c r="F2828" i="1"/>
  <c r="F10" i="1"/>
  <c r="F3292" i="1"/>
  <c r="F2903" i="1"/>
  <c r="F1004" i="1"/>
  <c r="F606" i="1"/>
  <c r="F1795" i="1"/>
  <c r="F259" i="1"/>
  <c r="F270" i="1"/>
  <c r="F629" i="1"/>
  <c r="F3073" i="1"/>
  <c r="F2632" i="1"/>
  <c r="F1879" i="1"/>
  <c r="F3200" i="1"/>
  <c r="F1902" i="1"/>
  <c r="F671" i="1"/>
  <c r="F290" i="1"/>
  <c r="F2786" i="1"/>
  <c r="F3143" i="1"/>
  <c r="F2288" i="1"/>
  <c r="F1703" i="1"/>
  <c r="F1494" i="1"/>
  <c r="F876" i="1"/>
  <c r="F935" i="1"/>
  <c r="F622" i="1"/>
  <c r="F707" i="1"/>
  <c r="F2553" i="1"/>
  <c r="F1168" i="1"/>
  <c r="F1903" i="1"/>
  <c r="F1855" i="1"/>
  <c r="F1462" i="1"/>
  <c r="F1125" i="1"/>
  <c r="F1877" i="1"/>
  <c r="F2934" i="1"/>
  <c r="F299" i="1"/>
  <c r="F173" i="1"/>
  <c r="F2378" i="1"/>
  <c r="F411" i="1"/>
  <c r="F758" i="1"/>
  <c r="F3359" i="1"/>
  <c r="F2435" i="1"/>
  <c r="F2691" i="1"/>
  <c r="F2698" i="1"/>
  <c r="F2722" i="1"/>
  <c r="F2557" i="1"/>
  <c r="F1480" i="1"/>
  <c r="F3406" i="1"/>
  <c r="F723" i="1"/>
  <c r="F457" i="1"/>
  <c r="F2053" i="1"/>
  <c r="F300" i="1"/>
  <c r="F3269" i="1"/>
  <c r="F1876" i="1"/>
  <c r="F2353" i="1"/>
  <c r="F1746" i="1"/>
  <c r="F1917" i="1"/>
  <c r="L1615" i="1"/>
  <c r="L2268" i="1"/>
  <c r="L2597" i="1"/>
  <c r="L2824" i="1"/>
  <c r="L3016" i="1"/>
  <c r="L3122" i="1"/>
  <c r="L3197" i="1"/>
  <c r="L3261" i="1"/>
  <c r="L3325" i="1"/>
  <c r="L3389" i="1"/>
  <c r="L3453" i="1"/>
  <c r="L3517" i="1"/>
  <c r="L3581" i="1"/>
  <c r="F3417" i="1"/>
  <c r="F3515" i="1"/>
  <c r="F3560" i="1"/>
  <c r="F2341" i="1"/>
  <c r="F402" i="1"/>
  <c r="F738" i="1"/>
  <c r="F3561" i="1"/>
  <c r="F3611" i="1"/>
  <c r="F3453" i="1"/>
  <c r="F751" i="1"/>
  <c r="F3564" i="1"/>
  <c r="F3603" i="1"/>
  <c r="F249" i="1"/>
  <c r="F1496" i="1"/>
  <c r="F3332" i="1"/>
  <c r="F1160" i="1"/>
  <c r="F1493" i="1"/>
  <c r="F465" i="1"/>
  <c r="F262" i="1"/>
  <c r="F3578" i="1"/>
  <c r="F3349" i="1"/>
  <c r="F2486" i="1"/>
  <c r="F2992" i="1"/>
  <c r="F1707" i="1"/>
  <c r="F3434" i="1"/>
  <c r="F3586" i="1"/>
  <c r="F3378" i="1"/>
  <c r="F1505" i="1"/>
  <c r="F1288" i="1"/>
  <c r="F1159" i="1"/>
  <c r="F3514" i="1"/>
  <c r="F1259" i="1"/>
  <c r="F1671" i="1"/>
  <c r="F2756" i="1"/>
  <c r="F1997" i="1"/>
  <c r="F2173" i="1"/>
  <c r="F782" i="1"/>
  <c r="F216" i="1"/>
  <c r="F1994" i="1"/>
  <c r="F1546" i="1"/>
  <c r="F2556" i="1"/>
  <c r="F1475" i="1"/>
  <c r="F3523" i="1"/>
  <c r="F3400" i="1"/>
  <c r="F638" i="1"/>
  <c r="F765" i="1"/>
  <c r="F2642" i="1"/>
  <c r="F89" i="1"/>
  <c r="F2277" i="1"/>
  <c r="F1910" i="1"/>
  <c r="F1576" i="1"/>
  <c r="F3130" i="1"/>
  <c r="F3242" i="1"/>
  <c r="F1470" i="1"/>
  <c r="F2577" i="1"/>
  <c r="F3187" i="1"/>
  <c r="F595" i="1"/>
  <c r="F1801" i="1"/>
  <c r="F2469" i="1"/>
  <c r="F2737" i="1"/>
  <c r="F879" i="1"/>
  <c r="F1837" i="1"/>
  <c r="F1560" i="1"/>
  <c r="F854" i="1"/>
  <c r="F1233" i="1"/>
  <c r="F2871" i="1"/>
  <c r="F1648" i="1"/>
  <c r="F1082" i="1"/>
  <c r="F407" i="1"/>
  <c r="F2122" i="1"/>
  <c r="F3303" i="1"/>
  <c r="F2567" i="1"/>
  <c r="F2477" i="1"/>
  <c r="F378" i="1"/>
  <c r="F1276" i="1"/>
  <c r="F1093" i="1"/>
  <c r="F3128" i="1"/>
  <c r="F365" i="1"/>
  <c r="F25" i="1"/>
  <c r="F1091" i="1"/>
  <c r="F2290" i="1"/>
  <c r="F176" i="1"/>
  <c r="F1598" i="1"/>
  <c r="F359" i="1"/>
  <c r="F1384" i="1"/>
  <c r="F81" i="1"/>
  <c r="F2657" i="1"/>
  <c r="F1977" i="1"/>
  <c r="F3257" i="1"/>
  <c r="F547" i="1"/>
  <c r="F985" i="1"/>
  <c r="F2533" i="1"/>
  <c r="F2975" i="1"/>
  <c r="F2174" i="1"/>
  <c r="F179" i="1"/>
  <c r="F966" i="1"/>
  <c r="F343" i="1"/>
  <c r="F2409" i="1"/>
  <c r="F702" i="1"/>
  <c r="F1772" i="1"/>
  <c r="F217" i="1"/>
  <c r="F1092" i="1"/>
  <c r="F3085" i="1"/>
  <c r="F922" i="1"/>
  <c r="F949" i="1"/>
  <c r="F614" i="1"/>
  <c r="F184" i="1"/>
  <c r="F2693" i="1"/>
  <c r="F3206" i="1"/>
  <c r="F2931" i="1"/>
  <c r="F1730" i="1"/>
  <c r="F1369" i="1"/>
  <c r="F2291" i="1"/>
  <c r="F2493" i="1"/>
  <c r="F1076" i="1"/>
  <c r="L1688" i="1"/>
  <c r="L2284" i="1"/>
  <c r="L2613" i="1"/>
  <c r="L2845" i="1"/>
  <c r="L3023" i="1"/>
  <c r="L3128" i="1"/>
  <c r="L3200" i="1"/>
  <c r="L3264" i="1"/>
  <c r="L3328" i="1"/>
  <c r="L3392" i="1"/>
  <c r="L3456" i="1"/>
  <c r="L3520" i="1"/>
  <c r="L3584" i="1"/>
  <c r="F3422" i="1"/>
  <c r="F745" i="1"/>
  <c r="F3563" i="1"/>
  <c r="F3613" i="1"/>
  <c r="F442" i="1"/>
  <c r="F767" i="1"/>
  <c r="F3567" i="1"/>
  <c r="F3615" i="1"/>
  <c r="F3457" i="1"/>
  <c r="F784" i="1"/>
  <c r="F3569" i="1"/>
  <c r="F1969" i="1"/>
  <c r="F3458" i="1"/>
  <c r="F1669" i="1"/>
  <c r="F2546" i="1"/>
  <c r="F1167" i="1"/>
  <c r="F73" i="1"/>
  <c r="F1049" i="1"/>
  <c r="F3460" i="1"/>
  <c r="F3588" i="1"/>
  <c r="F424" i="1"/>
  <c r="F2403" i="1"/>
  <c r="F2736" i="1"/>
  <c r="F1014" i="1"/>
  <c r="F3474" i="1"/>
  <c r="F3600" i="1"/>
  <c r="F847" i="1"/>
  <c r="F2167" i="1"/>
  <c r="F252" i="1"/>
  <c r="F151" i="1"/>
  <c r="F3626" i="1"/>
  <c r="F267" i="1"/>
  <c r="F527" i="1"/>
  <c r="F1194" i="1"/>
  <c r="F382" i="1"/>
  <c r="F1315" i="1"/>
  <c r="F2805" i="1"/>
  <c r="F2036" i="1"/>
  <c r="F120" i="1"/>
  <c r="F2202" i="1"/>
  <c r="F2695" i="1"/>
  <c r="F1277" i="1"/>
  <c r="F2824" i="1"/>
  <c r="F1804" i="1"/>
  <c r="F6" i="1"/>
  <c r="F760" i="1"/>
  <c r="F1309" i="1"/>
  <c r="F1055" i="1"/>
  <c r="F1808" i="1"/>
  <c r="F2452" i="1"/>
  <c r="F890" i="1"/>
  <c r="F96" i="1"/>
  <c r="F897" i="1"/>
  <c r="F2361" i="1"/>
  <c r="F2406" i="1"/>
  <c r="F1164" i="1"/>
  <c r="F3253" i="1"/>
  <c r="F2415" i="1"/>
  <c r="F2027" i="1"/>
  <c r="F3371" i="1"/>
  <c r="F2968" i="1"/>
  <c r="F113" i="1"/>
  <c r="F483" i="1"/>
  <c r="F2654" i="1"/>
  <c r="F2750" i="1"/>
  <c r="F1848" i="1"/>
  <c r="F2280" i="1"/>
  <c r="F963" i="1"/>
  <c r="F2441" i="1"/>
  <c r="F1732" i="1"/>
  <c r="F2870" i="1"/>
  <c r="F3274" i="1"/>
  <c r="F2998" i="1"/>
  <c r="F3020" i="1"/>
  <c r="F1283" i="1"/>
  <c r="F565" i="1"/>
  <c r="F1154" i="1"/>
  <c r="F11" i="1"/>
  <c r="F2083" i="1"/>
  <c r="F1811" i="1"/>
  <c r="F2402" i="1"/>
  <c r="F1716" i="1"/>
  <c r="F2499" i="1"/>
  <c r="F2504" i="1"/>
  <c r="F2936" i="1"/>
  <c r="F3133" i="1"/>
  <c r="F1046" i="1"/>
  <c r="F2748" i="1"/>
  <c r="F2739" i="1"/>
  <c r="F434" i="1"/>
  <c r="F3093" i="1"/>
  <c r="F1693" i="1"/>
  <c r="F3194" i="1"/>
  <c r="F3058" i="1"/>
  <c r="F2537" i="1"/>
  <c r="F237" i="1"/>
  <c r="F3122" i="1"/>
  <c r="F2905" i="1"/>
  <c r="F888" i="1"/>
  <c r="F1430" i="1"/>
  <c r="F3007" i="1"/>
  <c r="F1519" i="1"/>
  <c r="F825" i="1"/>
  <c r="F893" i="1"/>
  <c r="F3141" i="1"/>
  <c r="F2761" i="1"/>
  <c r="F400" i="1"/>
  <c r="F1901" i="1"/>
  <c r="F2793" i="1"/>
  <c r="F3184" i="1"/>
  <c r="F1292" i="1"/>
  <c r="F1144" i="1"/>
  <c r="F917" i="1"/>
  <c r="F1133" i="1"/>
  <c r="F635" i="1"/>
  <c r="F862" i="1"/>
  <c r="F2216" i="1"/>
  <c r="L1985" i="1"/>
  <c r="L2452" i="1"/>
  <c r="L2717" i="1"/>
  <c r="L2927" i="1"/>
  <c r="L3080" i="1"/>
  <c r="L3165" i="1"/>
  <c r="L3229" i="1"/>
  <c r="L3293" i="1"/>
  <c r="L3357" i="1"/>
  <c r="L3421" i="1"/>
  <c r="L3485" i="1"/>
  <c r="L3549" i="1"/>
  <c r="L3613" i="1"/>
  <c r="F3484" i="1"/>
  <c r="F3538" i="1"/>
  <c r="F1640" i="1"/>
  <c r="F3421" i="1"/>
  <c r="F564" i="1"/>
  <c r="F3539" i="1"/>
  <c r="F1688" i="1"/>
  <c r="F3423" i="1"/>
  <c r="F575" i="1"/>
  <c r="F3541" i="1"/>
  <c r="F1606" i="1"/>
  <c r="F2428" i="1"/>
  <c r="F787" i="1"/>
  <c r="F3627" i="1"/>
  <c r="F2465" i="1"/>
  <c r="F5" i="1"/>
  <c r="F3105" i="1"/>
  <c r="F2669" i="1"/>
  <c r="F802" i="1"/>
  <c r="F2771" i="1"/>
  <c r="F1282" i="1"/>
  <c r="F438" i="1"/>
  <c r="F2257" i="1"/>
  <c r="F2196" i="1"/>
  <c r="F908" i="1"/>
  <c r="F2821" i="1"/>
  <c r="F913" i="1"/>
  <c r="F2661" i="1"/>
  <c r="F2835" i="1"/>
  <c r="F3260" i="1"/>
  <c r="F2463" i="1"/>
  <c r="F1153" i="1"/>
  <c r="F3034" i="1"/>
  <c r="F243" i="1"/>
  <c r="F2576" i="1"/>
  <c r="F101" i="1"/>
  <c r="F3250" i="1"/>
  <c r="F1113" i="1"/>
  <c r="F1128" i="1"/>
  <c r="F1956" i="1"/>
  <c r="F1737" i="1"/>
  <c r="F155" i="1"/>
  <c r="F2352" i="1"/>
  <c r="F1922" i="1"/>
  <c r="F3139" i="1"/>
  <c r="F409" i="1"/>
  <c r="F2263" i="1"/>
  <c r="F1300" i="1"/>
  <c r="F78" i="1"/>
  <c r="F3027" i="1"/>
  <c r="F2241" i="1"/>
  <c r="F3326" i="1"/>
  <c r="F1216" i="1"/>
  <c r="F1991" i="1"/>
  <c r="F894" i="1"/>
  <c r="F792" i="1"/>
  <c r="F1530" i="1"/>
  <c r="F3031" i="1"/>
  <c r="F750" i="1"/>
  <c r="F304" i="1"/>
  <c r="F1867" i="1"/>
  <c r="F3115" i="1"/>
  <c r="F429" i="1"/>
  <c r="F306" i="1"/>
  <c r="F3062" i="1"/>
  <c r="F980" i="1"/>
  <c r="F1626" i="1"/>
  <c r="F1424" i="1"/>
  <c r="F875" i="1"/>
  <c r="F2685" i="1"/>
  <c r="F796" i="1"/>
  <c r="F9" i="1"/>
  <c r="F165" i="1"/>
  <c r="F413" i="1"/>
  <c r="F1438" i="1"/>
  <c r="F574" i="1"/>
  <c r="F404" i="1"/>
  <c r="F3281" i="1"/>
  <c r="F645" i="1"/>
  <c r="F523" i="1"/>
  <c r="F3273" i="1"/>
  <c r="F1575" i="1"/>
  <c r="F1124" i="1"/>
  <c r="F2672" i="1"/>
  <c r="F2057" i="1"/>
  <c r="F544" i="1"/>
  <c r="F1846" i="1"/>
  <c r="F944" i="1"/>
  <c r="F2357" i="1"/>
  <c r="F309" i="1"/>
  <c r="F1497" i="1"/>
  <c r="F1236" i="1"/>
  <c r="F2953" i="1"/>
  <c r="F2525" i="1"/>
  <c r="F219" i="1"/>
  <c r="F2140" i="1"/>
  <c r="F774" i="1"/>
  <c r="F2687" i="1"/>
  <c r="F403" i="1"/>
  <c r="F1359" i="1"/>
  <c r="F1318" i="1"/>
  <c r="F596" i="1"/>
  <c r="F694" i="1"/>
  <c r="F3363" i="1"/>
  <c r="F97" i="1"/>
  <c r="F552" i="1"/>
  <c r="F2969" i="1"/>
  <c r="F358" i="1"/>
  <c r="F3178" i="1"/>
  <c r="F157" i="1"/>
  <c r="F93" i="1"/>
  <c r="F2972" i="1"/>
  <c r="F842" i="1"/>
  <c r="F3350" i="1"/>
  <c r="F1115" i="1"/>
  <c r="F43" i="1"/>
  <c r="L2037" i="1"/>
  <c r="L2480" i="1"/>
  <c r="L2725" i="1"/>
  <c r="L2941" i="1"/>
  <c r="L3087" i="1"/>
  <c r="L3168" i="1"/>
  <c r="L3232" i="1"/>
  <c r="L3296" i="1"/>
  <c r="L3360" i="1"/>
  <c r="L3424" i="1"/>
  <c r="L3488" i="1"/>
  <c r="L3552" i="1"/>
  <c r="L3616" i="1"/>
  <c r="F3488" i="1"/>
  <c r="F1041" i="1"/>
  <c r="F1710" i="1"/>
  <c r="F283" i="1"/>
  <c r="F3490" i="1"/>
  <c r="F1066" i="1"/>
  <c r="F3591" i="1"/>
  <c r="F3427" i="1"/>
  <c r="F3491" i="1"/>
  <c r="F3546" i="1"/>
  <c r="F1704" i="1"/>
  <c r="F2554" i="1"/>
  <c r="F868" i="1"/>
  <c r="F2986" i="1"/>
  <c r="F1223" i="1"/>
  <c r="F164" i="1"/>
  <c r="F1145" i="1"/>
  <c r="F344" i="1"/>
  <c r="F3527" i="1"/>
  <c r="F3633" i="1"/>
  <c r="F641" i="1"/>
  <c r="F2730" i="1"/>
  <c r="F2494" i="1"/>
  <c r="F1523" i="1"/>
  <c r="F3536" i="1"/>
  <c r="F3635" i="1"/>
  <c r="F1492" i="1"/>
  <c r="F3211" i="1"/>
  <c r="F3401" i="1"/>
  <c r="F720" i="1"/>
  <c r="F3336" i="1"/>
  <c r="F525" i="1"/>
  <c r="F599" i="1"/>
  <c r="F2773" i="1"/>
  <c r="F2098" i="1"/>
  <c r="F3229" i="1"/>
  <c r="F2239" i="1"/>
  <c r="F1900" i="1"/>
  <c r="F2712" i="1"/>
  <c r="F2082" i="1"/>
  <c r="F476" i="1"/>
  <c r="F1316" i="1"/>
  <c r="F1951" i="1"/>
  <c r="F1925" i="1"/>
  <c r="F1856" i="1"/>
  <c r="F33" i="1"/>
  <c r="F2845" i="1"/>
  <c r="F1147" i="1"/>
  <c r="F1173" i="1"/>
  <c r="F1745" i="1"/>
  <c r="F1810" i="1"/>
  <c r="F2134" i="1"/>
  <c r="F2044" i="1"/>
  <c r="F2796" i="1"/>
  <c r="F3298" i="1"/>
  <c r="F1822" i="1"/>
  <c r="F675" i="1"/>
  <c r="F3309" i="1"/>
  <c r="F2155" i="1"/>
  <c r="F2243" i="1"/>
  <c r="F3270" i="1"/>
  <c r="F1675" i="1"/>
  <c r="F3087" i="1"/>
  <c r="F2369" i="1"/>
  <c r="F3095" i="1"/>
  <c r="F2055" i="1"/>
  <c r="F1862" i="1"/>
  <c r="F809" i="1"/>
  <c r="F624" i="1"/>
  <c r="F209" i="1"/>
  <c r="F1978" i="1"/>
  <c r="F533" i="1"/>
  <c r="F941" i="1"/>
  <c r="F1976" i="1"/>
  <c r="F2393" i="1"/>
  <c r="F149" i="1"/>
  <c r="F3312" i="1"/>
  <c r="F2073" i="1"/>
  <c r="F3297" i="1"/>
  <c r="F1714" i="1"/>
  <c r="F1608" i="1"/>
  <c r="F2562" i="1"/>
  <c r="F2603" i="1"/>
  <c r="F1192" i="1"/>
  <c r="F190" i="1"/>
  <c r="F2660" i="1"/>
  <c r="F336" i="1"/>
  <c r="F2634" i="1"/>
  <c r="F2367" i="1"/>
  <c r="F337" i="1"/>
  <c r="F49" i="1"/>
  <c r="F194" i="1"/>
  <c r="F334" i="1"/>
  <c r="F785" i="1"/>
  <c r="F2522" i="1"/>
  <c r="F1645" i="1"/>
  <c r="F3136" i="1"/>
  <c r="F2358" i="1"/>
  <c r="F696" i="1"/>
  <c r="F1960" i="1"/>
  <c r="F2121" i="1"/>
  <c r="F2506" i="1"/>
  <c r="F984" i="1"/>
  <c r="F199" i="1"/>
  <c r="F520" i="1"/>
  <c r="F530" i="1"/>
  <c r="F140" i="1"/>
  <c r="F612" i="1"/>
  <c r="F1346" i="1"/>
  <c r="F2286" i="1"/>
  <c r="F921" i="1"/>
  <c r="F2993" i="1"/>
  <c r="F436" i="1"/>
  <c r="F269" i="1"/>
  <c r="L1831" i="1"/>
  <c r="L3055" i="1"/>
  <c r="L3341" i="1"/>
  <c r="L3597" i="1"/>
  <c r="F2629" i="1"/>
  <c r="F2655" i="1"/>
  <c r="F2109" i="1"/>
  <c r="F3256" i="1"/>
  <c r="F3617" i="1"/>
  <c r="F1713" i="1"/>
  <c r="F1211" i="1"/>
  <c r="F3017" i="1"/>
  <c r="F2935" i="1"/>
  <c r="F1237" i="1"/>
  <c r="F869" i="1"/>
  <c r="F3097" i="1"/>
  <c r="F2254" i="1"/>
  <c r="F3191" i="1"/>
  <c r="F3267" i="1"/>
  <c r="F1266" i="1"/>
  <c r="F2182" i="1"/>
  <c r="F3331" i="1"/>
  <c r="F1162" i="1"/>
  <c r="F2555" i="1"/>
  <c r="F2029" i="1"/>
  <c r="F2389" i="1"/>
  <c r="F757" i="1"/>
  <c r="F3145" i="1"/>
  <c r="F175" i="1"/>
  <c r="F2823" i="1"/>
  <c r="F477" i="1"/>
  <c r="F2190" i="1"/>
  <c r="F1210" i="1"/>
  <c r="F1022" i="1"/>
  <c r="F956" i="1"/>
  <c r="F621" i="1"/>
  <c r="F2910" i="1"/>
  <c r="F2861" i="1"/>
  <c r="F3263" i="1"/>
  <c r="F2078" i="1"/>
  <c r="F3146" i="1"/>
  <c r="F942" i="1"/>
  <c r="F1195" i="1"/>
  <c r="F729" i="1"/>
  <c r="F2266" i="1"/>
  <c r="F1893" i="1"/>
  <c r="F2111" i="1"/>
  <c r="F749" i="1"/>
  <c r="F1240" i="1"/>
  <c r="F191" i="1"/>
  <c r="F1130" i="1"/>
  <c r="F393" i="1"/>
  <c r="F2094" i="1"/>
  <c r="F1450" i="1"/>
  <c r="F2318" i="1"/>
  <c r="F616" i="1"/>
  <c r="F2513" i="1"/>
  <c r="F1589" i="1"/>
  <c r="F260" i="1"/>
  <c r="F3186" i="1"/>
  <c r="F1864" i="1"/>
  <c r="F2610" i="1"/>
  <c r="F3295" i="1"/>
  <c r="F763" i="1"/>
  <c r="F2063" i="1"/>
  <c r="F1074" i="1"/>
  <c r="F3168" i="1"/>
  <c r="F2578" i="1"/>
  <c r="F1349" i="1"/>
  <c r="F2791" i="1"/>
  <c r="F2417" i="1"/>
  <c r="F2575" i="1"/>
  <c r="F1807" i="1"/>
  <c r="F2745" i="1"/>
  <c r="F3138" i="1"/>
  <c r="F2904" i="1"/>
  <c r="F1011" i="1"/>
  <c r="F3022" i="1"/>
  <c r="F3043" i="1"/>
  <c r="F1003" i="1"/>
  <c r="F2596" i="1"/>
  <c r="F210" i="1"/>
  <c r="F2434" i="1"/>
  <c r="F1858" i="1"/>
  <c r="F2568" i="1"/>
  <c r="F489" i="1"/>
  <c r="F2488" i="1"/>
  <c r="F387" i="1"/>
  <c r="F2676" i="1"/>
  <c r="F2385" i="1"/>
  <c r="F959" i="1"/>
  <c r="F2332" i="1"/>
  <c r="F2127" i="1"/>
  <c r="F2997" i="1"/>
  <c r="F2089" i="1"/>
  <c r="F950" i="1"/>
  <c r="F244" i="1"/>
  <c r="F1871" i="1"/>
  <c r="F3053" i="1"/>
  <c r="F1593" i="1"/>
  <c r="F2232" i="1"/>
  <c r="F39" i="1"/>
  <c r="F1360" i="1"/>
  <c r="F1550" i="1"/>
  <c r="F2006" i="1"/>
  <c r="F1689" i="1"/>
  <c r="F2540" i="1"/>
  <c r="F2381" i="1"/>
  <c r="F1443" i="1"/>
  <c r="F1045" i="1"/>
  <c r="F2166" i="1"/>
  <c r="F3057" i="1"/>
  <c r="F688" i="1"/>
  <c r="F1927" i="1"/>
  <c r="F1620" i="1"/>
  <c r="F2308" i="1"/>
  <c r="F2813" i="1"/>
  <c r="F855" i="1"/>
  <c r="F2405" i="1"/>
  <c r="F353" i="1"/>
  <c r="F1527" i="1"/>
  <c r="F3114" i="1"/>
  <c r="F2048" i="1"/>
  <c r="F1056" i="1"/>
  <c r="F2398" i="1"/>
  <c r="F2840" i="1"/>
  <c r="F2226" i="1"/>
  <c r="F3018" i="1"/>
  <c r="F2074" i="1"/>
  <c r="F1429" i="1"/>
  <c r="F2179" i="1"/>
  <c r="F816" i="1"/>
  <c r="F1982" i="1"/>
  <c r="F31" i="1"/>
  <c r="F769" i="1"/>
  <c r="F3222" i="1"/>
  <c r="F2675" i="1"/>
  <c r="F3390" i="1"/>
  <c r="F2943" i="1"/>
  <c r="F3076" i="1"/>
  <c r="F2099" i="1"/>
  <c r="F821" i="1"/>
  <c r="F3054" i="1"/>
  <c r="F1458" i="1"/>
  <c r="F3245" i="1"/>
  <c r="F2148" i="1"/>
  <c r="F1610" i="1"/>
  <c r="F628" i="1"/>
  <c r="F342" i="1"/>
  <c r="F662" i="1"/>
  <c r="F1251" i="1"/>
  <c r="F285" i="1"/>
  <c r="F1345" i="1"/>
  <c r="F2673" i="1"/>
  <c r="F3237" i="1"/>
  <c r="F3243" i="1"/>
  <c r="F377" i="1"/>
  <c r="F577" i="1"/>
  <c r="F2982" i="1"/>
  <c r="F892" i="1"/>
  <c r="F1533" i="1"/>
  <c r="F3233" i="1"/>
  <c r="F2319" i="1"/>
  <c r="F1852" i="1"/>
  <c r="F627" i="1"/>
  <c r="F526" i="1"/>
  <c r="F1188" i="1"/>
  <c r="F1662" i="1"/>
  <c r="F297" i="1"/>
  <c r="F408" i="1"/>
  <c r="F376" i="1"/>
  <c r="F3086" i="1"/>
  <c r="F61" i="1"/>
  <c r="F2833" i="1"/>
  <c r="F803" i="1"/>
  <c r="F545" i="1"/>
  <c r="F2362" i="1"/>
  <c r="F2198" i="1"/>
  <c r="F2510" i="1"/>
  <c r="F2119" i="1"/>
  <c r="F2873" i="1"/>
  <c r="F2581" i="1"/>
  <c r="F2620" i="1"/>
  <c r="F1405" i="1"/>
  <c r="F60" i="1"/>
  <c r="F3230" i="1"/>
  <c r="F2990" i="1"/>
  <c r="F996" i="1"/>
  <c r="F1700" i="1"/>
  <c r="F2482" i="1"/>
  <c r="F2792" i="1"/>
  <c r="F1268" i="1"/>
  <c r="F2240" i="1"/>
  <c r="F1892" i="1"/>
  <c r="F2321" i="1"/>
  <c r="F1909" i="1"/>
  <c r="F764" i="1"/>
  <c r="F471" i="1"/>
  <c r="F2940" i="1"/>
  <c r="F582" i="1"/>
  <c r="F3037" i="1"/>
  <c r="F2062" i="1"/>
  <c r="F2944" i="1"/>
  <c r="F1108" i="1"/>
  <c r="F1371" i="1"/>
  <c r="F1672" i="1"/>
  <c r="F1307" i="1"/>
  <c r="F3307" i="1"/>
  <c r="F1483" i="1"/>
  <c r="F930" i="1"/>
  <c r="F2316" i="1"/>
  <c r="F2086" i="1"/>
  <c r="F915" i="1"/>
  <c r="F3099" i="1"/>
  <c r="F18" i="1"/>
  <c r="F1573" i="1"/>
  <c r="F1023" i="1"/>
  <c r="F2246" i="1"/>
  <c r="F3240" i="1"/>
  <c r="F2429" i="1"/>
  <c r="F677" i="1"/>
  <c r="F1719" i="1"/>
  <c r="F2384" i="1"/>
  <c r="F2339" i="1"/>
  <c r="F1445" i="1"/>
  <c r="F322" i="1"/>
  <c r="F571" i="1"/>
  <c r="F323" i="1"/>
  <c r="F62" i="1"/>
  <c r="F1943" i="1"/>
  <c r="F466" i="1"/>
  <c r="F1695" i="1"/>
  <c r="F3354" i="1"/>
  <c r="F2719" i="1"/>
  <c r="F1988" i="1"/>
  <c r="F3343" i="1"/>
  <c r="F1889" i="1"/>
  <c r="F2663" i="1"/>
  <c r="F2041" i="1"/>
  <c r="F144" i="1"/>
  <c r="F138" i="1"/>
  <c r="F37" i="1"/>
  <c r="F2414" i="1"/>
  <c r="F158" i="1"/>
  <c r="F27" i="1"/>
  <c r="G178" i="1"/>
  <c r="G1572" i="1"/>
  <c r="G2858" i="1"/>
  <c r="G1779" i="1"/>
  <c r="G2658" i="1"/>
  <c r="G2957" i="1"/>
  <c r="G80" i="1"/>
  <c r="G2718" i="1"/>
  <c r="G2534" i="1"/>
  <c r="G880" i="1"/>
  <c r="G207" i="1"/>
  <c r="L1856" i="1"/>
  <c r="L3064" i="1"/>
  <c r="L3344" i="1"/>
  <c r="L3600" i="1"/>
  <c r="F2724" i="1"/>
  <c r="F3413" i="1"/>
  <c r="F3612" i="1"/>
  <c r="F3064" i="1"/>
  <c r="F2703" i="1"/>
  <c r="F2643" i="1"/>
  <c r="F1592" i="1"/>
  <c r="F871" i="1"/>
  <c r="F3106" i="1"/>
  <c r="F3212" i="1"/>
  <c r="F573" i="1"/>
  <c r="F1123" i="1"/>
  <c r="F807" i="1"/>
  <c r="F2978" i="1"/>
  <c r="F1006" i="1"/>
  <c r="F2964" i="1"/>
  <c r="F3289" i="1"/>
  <c r="F3236" i="1"/>
  <c r="F1290" i="1"/>
  <c r="F1826" i="1"/>
  <c r="F1241" i="1"/>
  <c r="F1834" i="1"/>
  <c r="F1433" i="1"/>
  <c r="F3268" i="1"/>
  <c r="F1306" i="1"/>
  <c r="F1057" i="1"/>
  <c r="F1657" i="1"/>
  <c r="F198" i="1"/>
  <c r="F3204" i="1"/>
  <c r="F2846" i="1"/>
  <c r="F1274" i="1"/>
  <c r="F480" i="1"/>
  <c r="F3002" i="1"/>
  <c r="F3039" i="1"/>
  <c r="F2583" i="1"/>
  <c r="F3251" i="1"/>
  <c r="F1517" i="1"/>
  <c r="F2882" i="1"/>
  <c r="F1919" i="1"/>
  <c r="F2123" i="1"/>
  <c r="F1644" i="1"/>
  <c r="F605" i="1"/>
  <c r="F2157" i="1"/>
  <c r="F923" i="1"/>
  <c r="F947" i="1"/>
  <c r="F2983" i="1"/>
  <c r="F1122" i="1"/>
  <c r="F755" i="1"/>
  <c r="F235" i="1"/>
  <c r="F3393" i="1"/>
  <c r="F737" i="1"/>
  <c r="F818" i="1"/>
  <c r="F437" i="1"/>
  <c r="F2345" i="1"/>
  <c r="F1271" i="1"/>
  <c r="F642" i="1"/>
  <c r="F1998" i="1"/>
  <c r="F2922" i="1"/>
  <c r="F2707" i="1"/>
  <c r="F1368" i="1"/>
  <c r="F661" i="1"/>
  <c r="F3207" i="1"/>
  <c r="F2865" i="1"/>
  <c r="F1293" i="1"/>
  <c r="F15" i="1"/>
  <c r="F886" i="1"/>
  <c r="F977" i="1"/>
  <c r="F2487" i="1"/>
  <c r="F2977" i="1"/>
  <c r="F3103" i="1"/>
  <c r="F100" i="1"/>
  <c r="F38" i="1"/>
  <c r="F683" i="1"/>
  <c r="F1389" i="1"/>
  <c r="F2837" i="1"/>
  <c r="F1322" i="1"/>
  <c r="F2706" i="1"/>
  <c r="F193" i="1"/>
  <c r="F2856" i="1"/>
  <c r="F1220" i="1"/>
  <c r="F1872" i="1"/>
  <c r="F589" i="1"/>
  <c r="F2704" i="1"/>
  <c r="F651" i="1"/>
  <c r="F2322" i="1"/>
  <c r="F1647" i="1"/>
  <c r="F2212" i="1"/>
  <c r="F1197" i="1"/>
  <c r="F136" i="1"/>
  <c r="F1514" i="1"/>
  <c r="F538" i="1"/>
  <c r="F1403" i="1"/>
  <c r="F657" i="1"/>
  <c r="F2628" i="1"/>
  <c r="F2945" i="1"/>
  <c r="F1628" i="1"/>
  <c r="F1402" i="1"/>
  <c r="F918" i="1"/>
  <c r="F192" i="1"/>
  <c r="F1800" i="1"/>
  <c r="F2245" i="1"/>
  <c r="F518" i="1"/>
  <c r="F1135" i="1"/>
  <c r="F2723" i="1"/>
  <c r="F1414" i="1"/>
  <c r="F2422" i="1"/>
  <c r="F833" i="1"/>
  <c r="F1508" i="1"/>
  <c r="F1641" i="1"/>
  <c r="F1649" i="1"/>
  <c r="F2128" i="1"/>
  <c r="F2309" i="1"/>
  <c r="F1854" i="1"/>
  <c r="F2419" i="1"/>
  <c r="F845" i="1"/>
  <c r="F1591" i="1"/>
  <c r="F1878" i="1"/>
  <c r="F2883" i="1"/>
  <c r="F1728" i="1"/>
  <c r="F2258" i="1"/>
  <c r="F2899" i="1"/>
  <c r="F650" i="1"/>
  <c r="F3144" i="1"/>
  <c r="F2399" i="1"/>
  <c r="F2697" i="1"/>
  <c r="F1374" i="1"/>
  <c r="F1835" i="1"/>
  <c r="F598" i="1"/>
  <c r="F1843" i="1"/>
  <c r="F2563" i="1"/>
  <c r="F874" i="1"/>
  <c r="F1681" i="1"/>
  <c r="F1815" i="1"/>
  <c r="F1793" i="1"/>
  <c r="F3196" i="1"/>
  <c r="F2387" i="1"/>
  <c r="F2923" i="1"/>
  <c r="F2448" i="1"/>
  <c r="F2987" i="1"/>
  <c r="F3158" i="1"/>
  <c r="F620" i="1"/>
  <c r="F357" i="1"/>
  <c r="F2066" i="1"/>
  <c r="F1377" i="1"/>
  <c r="F2185" i="1"/>
  <c r="F1378" i="1"/>
  <c r="F2380" i="1"/>
  <c r="F1319" i="1"/>
  <c r="F2921" i="1"/>
  <c r="F2042" i="1"/>
  <c r="F2443" i="1"/>
  <c r="F221" i="1"/>
  <c r="F3355" i="1"/>
  <c r="F1723" i="1"/>
  <c r="F885" i="1"/>
  <c r="F1642" i="1"/>
  <c r="F1565" i="1"/>
  <c r="F66" i="1"/>
  <c r="F914" i="1"/>
  <c r="F1511" i="1"/>
  <c r="F1796" i="1"/>
  <c r="F1498" i="1"/>
  <c r="F211" i="1"/>
  <c r="F99" i="1"/>
  <c r="F2343" i="1"/>
  <c r="F397" i="1"/>
  <c r="F2423" i="1"/>
  <c r="F3048" i="1"/>
  <c r="F2418" i="1"/>
  <c r="F1218" i="1"/>
  <c r="F2549" i="1"/>
  <c r="F29" i="1"/>
  <c r="F2802" i="1"/>
  <c r="F2735" i="1"/>
  <c r="F1908" i="1"/>
  <c r="F1868" i="1"/>
  <c r="F2890" i="1"/>
  <c r="F503" i="1"/>
  <c r="F2755" i="1"/>
  <c r="F1382" i="1"/>
  <c r="F1423" i="1"/>
  <c r="F3179" i="1"/>
  <c r="F293" i="1"/>
  <c r="F177" i="1"/>
  <c r="F1847" i="1"/>
  <c r="F2287" i="1"/>
  <c r="F835" i="1"/>
  <c r="F2301" i="1"/>
  <c r="F831" i="1"/>
  <c r="F2218" i="1"/>
  <c r="F2323" i="1"/>
  <c r="F1390" i="1"/>
  <c r="F1762" i="1"/>
  <c r="F817" i="1"/>
  <c r="F827" i="1"/>
  <c r="F2532" i="1"/>
  <c r="F3003" i="1"/>
  <c r="F2980" i="1"/>
  <c r="F2920" i="1"/>
  <c r="F601" i="1"/>
  <c r="F3049" i="1"/>
  <c r="F3254" i="1"/>
  <c r="F14" i="1"/>
  <c r="F274" i="1"/>
  <c r="F1464" i="1"/>
  <c r="F1515" i="1"/>
  <c r="F1818" i="1"/>
  <c r="F13" i="1"/>
  <c r="F2471" i="1"/>
  <c r="F3340" i="1"/>
  <c r="F482" i="1"/>
  <c r="F1184" i="1"/>
  <c r="F467" i="1"/>
  <c r="F537" i="1"/>
  <c r="F2133" i="1"/>
  <c r="F3051" i="1"/>
  <c r="F2714" i="1"/>
  <c r="F3108" i="1"/>
  <c r="F1727" i="1"/>
  <c r="F1860" i="1"/>
  <c r="F680" i="1"/>
  <c r="F3225" i="1"/>
  <c r="F1105" i="1"/>
  <c r="F2863" i="1"/>
  <c r="F1052" i="1"/>
  <c r="F441" i="1"/>
  <c r="F2337" i="1"/>
  <c r="F3358" i="1"/>
  <c r="F3047" i="1"/>
  <c r="F1638" i="1"/>
  <c r="F1225" i="1"/>
  <c r="F1150" i="1"/>
  <c r="F2039" i="1"/>
  <c r="F88" i="1"/>
  <c r="F41" i="1"/>
  <c r="F181" i="1"/>
  <c r="F189" i="1"/>
  <c r="F65" i="1"/>
  <c r="F159" i="1"/>
  <c r="F77" i="1"/>
  <c r="F50" i="1"/>
  <c r="G3378" i="1"/>
  <c r="G860" i="1"/>
  <c r="G2124" i="1"/>
  <c r="G2167" i="1"/>
  <c r="G2661" i="1"/>
  <c r="G2913" i="1"/>
  <c r="G3385" i="1"/>
  <c r="G3401" i="1"/>
  <c r="G1159" i="1"/>
  <c r="G1697" i="1"/>
  <c r="L2355" i="1"/>
  <c r="L3144" i="1"/>
  <c r="L3405" i="1"/>
  <c r="F3449" i="1"/>
  <c r="F3470" i="1"/>
  <c r="F3473" i="1"/>
  <c r="F3468" i="1"/>
  <c r="F2606" i="1"/>
  <c r="F303" i="1"/>
  <c r="F3483" i="1"/>
  <c r="F3385" i="1"/>
  <c r="F872" i="1"/>
  <c r="F3632" i="1"/>
  <c r="F1203" i="1"/>
  <c r="F656" i="1"/>
  <c r="F643" i="1"/>
  <c r="F3381" i="1"/>
  <c r="F239" i="1"/>
  <c r="F3004" i="1"/>
  <c r="F3376" i="1"/>
  <c r="F705" i="1"/>
  <c r="F2605" i="1"/>
  <c r="F459" i="1"/>
  <c r="F3506" i="1"/>
  <c r="F349" i="1"/>
  <c r="F3320" i="1"/>
  <c r="F1580" i="1"/>
  <c r="F2231" i="1"/>
  <c r="F251" i="1"/>
  <c r="F362" i="1"/>
  <c r="F889" i="1"/>
  <c r="F2960" i="1"/>
  <c r="F1230" i="1"/>
  <c r="F2713" i="1"/>
  <c r="F2776" i="1"/>
  <c r="F672" i="1"/>
  <c r="F2599" i="1"/>
  <c r="F3061" i="1"/>
  <c r="F910" i="1"/>
  <c r="F1886" i="1"/>
  <c r="F2815" i="1"/>
  <c r="F3408" i="1"/>
  <c r="F2447" i="1"/>
  <c r="F2820" i="1"/>
  <c r="F1896" i="1"/>
  <c r="F3030" i="1"/>
  <c r="F495" i="1"/>
  <c r="F1018" i="1"/>
  <c r="F72" i="1"/>
  <c r="F3045" i="1"/>
  <c r="F2702" i="1"/>
  <c r="F754" i="1"/>
  <c r="F1787" i="1"/>
  <c r="F512" i="1"/>
  <c r="F2806" i="1"/>
  <c r="F53" i="1"/>
  <c r="F2147" i="1"/>
  <c r="F2327" i="1"/>
  <c r="F1456" i="1"/>
  <c r="F1175" i="1"/>
  <c r="F1639" i="1"/>
  <c r="F557" i="1"/>
  <c r="F3234" i="1"/>
  <c r="F2191" i="1"/>
  <c r="F2130" i="1"/>
  <c r="F1660" i="1"/>
  <c r="F2962" i="1"/>
  <c r="F2573" i="1"/>
  <c r="F161" i="1"/>
  <c r="F2093" i="1"/>
  <c r="F2293" i="1"/>
  <c r="F2294" i="1"/>
  <c r="F3124" i="1"/>
  <c r="F1112" i="1"/>
  <c r="F2299" i="1"/>
  <c r="F1020" i="1"/>
  <c r="F997" i="1"/>
  <c r="F597" i="1"/>
  <c r="F127" i="1"/>
  <c r="F1636" i="1"/>
  <c r="F2084" i="1"/>
  <c r="F856" i="1"/>
  <c r="F417" i="1"/>
  <c r="F2003" i="1"/>
  <c r="F1831" i="1"/>
  <c r="F1594" i="1"/>
  <c r="F3137" i="1"/>
  <c r="F884" i="1"/>
  <c r="F2008" i="1"/>
  <c r="F748" i="1"/>
  <c r="F1766" i="1"/>
  <c r="F1694" i="1"/>
  <c r="F3341" i="1"/>
  <c r="F2954" i="1"/>
  <c r="F2145" i="1"/>
  <c r="F1692" i="1"/>
  <c r="F2753" i="1"/>
  <c r="F532" i="1"/>
  <c r="F431" i="1"/>
  <c r="F1051" i="1"/>
  <c r="F562" i="1"/>
  <c r="F224" i="1"/>
  <c r="F105" i="1"/>
  <c r="F709" i="1"/>
  <c r="F2679" i="1"/>
  <c r="F327" i="1"/>
  <c r="F2800" i="1"/>
  <c r="F2932" i="1"/>
  <c r="F3223" i="1"/>
  <c r="F2812" i="1"/>
  <c r="F2020" i="1"/>
  <c r="F1303" i="1"/>
  <c r="F1741" i="1"/>
  <c r="F2976" i="1"/>
  <c r="F1564" i="1"/>
  <c r="F1797" i="1"/>
  <c r="F1556" i="1"/>
  <c r="F1929" i="1"/>
  <c r="F3012" i="1"/>
  <c r="F2043" i="1"/>
  <c r="F2324" i="1"/>
  <c r="F71" i="1"/>
  <c r="F794" i="1"/>
  <c r="F3403" i="1"/>
  <c r="F3060" i="1"/>
  <c r="F2981" i="1"/>
  <c r="F3282" i="1"/>
  <c r="F2269" i="1"/>
  <c r="F3067" i="1"/>
  <c r="F2618" i="1"/>
  <c r="F1185" i="1"/>
  <c r="F3227" i="1"/>
  <c r="F719" i="1"/>
  <c r="F2335" i="1"/>
  <c r="F1106" i="1"/>
  <c r="F2183" i="1"/>
  <c r="F2547" i="1"/>
  <c r="F649" i="1"/>
  <c r="F2204" i="1"/>
  <c r="F2154" i="1"/>
  <c r="F1090" i="1"/>
  <c r="F2816" i="1"/>
  <c r="F261" i="1"/>
  <c r="F1650" i="1"/>
  <c r="F1325" i="1"/>
  <c r="F2492" i="1"/>
  <c r="F1869" i="1"/>
  <c r="F2848" i="1"/>
  <c r="F131" i="1"/>
  <c r="F3285" i="1"/>
  <c r="F3265" i="1"/>
  <c r="F1880" i="1"/>
  <c r="F3183" i="1"/>
  <c r="F1395" i="1"/>
  <c r="F819" i="1"/>
  <c r="F2023" i="1"/>
  <c r="F339" i="1"/>
  <c r="F463" i="1"/>
  <c r="F2411" i="1"/>
  <c r="F716" i="1"/>
  <c r="F3023" i="1"/>
  <c r="F2312" i="1"/>
  <c r="F147" i="1"/>
  <c r="F1142" i="1"/>
  <c r="F1898" i="1"/>
  <c r="F2699" i="1"/>
  <c r="F2929" i="1"/>
  <c r="F669" i="1"/>
  <c r="F1067" i="1"/>
  <c r="F2665" i="1"/>
  <c r="F2379" i="1"/>
  <c r="F2479" i="1"/>
  <c r="F1875" i="1"/>
  <c r="F3266" i="1"/>
  <c r="F2818" i="1"/>
  <c r="F1007" i="1"/>
  <c r="F798" i="1"/>
  <c r="F3290" i="1"/>
  <c r="F1574" i="1"/>
  <c r="F1613" i="1"/>
  <c r="F2206" i="1"/>
  <c r="F2892" i="1"/>
  <c r="F439" i="1"/>
  <c r="F1117" i="1"/>
  <c r="F1304" i="1"/>
  <c r="F1222" i="1"/>
  <c r="F415" i="1"/>
  <c r="F1086" i="1"/>
  <c r="F808" i="1"/>
  <c r="F110" i="1"/>
  <c r="F1536" i="1"/>
  <c r="F1171" i="1"/>
  <c r="F900" i="1"/>
  <c r="F1618" i="1"/>
  <c r="F2849" i="1"/>
  <c r="F1599" i="1"/>
  <c r="F107" i="1"/>
  <c r="F693" i="1"/>
  <c r="F1447" i="1"/>
  <c r="F2346" i="1"/>
  <c r="F1510" i="1"/>
  <c r="F1486" i="1"/>
  <c r="F692" i="1"/>
  <c r="F2539" i="1"/>
  <c r="F3325" i="1"/>
  <c r="F636" i="1"/>
  <c r="F2787" i="1"/>
  <c r="F1205" i="1"/>
  <c r="F3070" i="1"/>
  <c r="F2924" i="1"/>
  <c r="F2967" i="1"/>
  <c r="F2090" i="1"/>
  <c r="F1819" i="1"/>
  <c r="F2938" i="1"/>
  <c r="F724" i="1"/>
  <c r="F3356" i="1"/>
  <c r="F2830" i="1"/>
  <c r="F632" i="1"/>
  <c r="F1260" i="1"/>
  <c r="F3366" i="1"/>
  <c r="F1627" i="1"/>
  <c r="F1477" i="1"/>
  <c r="F2542" i="1"/>
  <c r="F3110" i="1"/>
  <c r="F2895" i="1"/>
  <c r="F2011" i="1"/>
  <c r="F1905" i="1"/>
  <c r="F762" i="1"/>
  <c r="F59" i="1"/>
  <c r="F2223" i="1"/>
  <c r="F2788" i="1"/>
  <c r="F1947" i="1"/>
  <c r="F1518" i="1"/>
  <c r="F3074" i="1"/>
  <c r="F2644" i="1"/>
  <c r="F770" i="1"/>
  <c r="F2219" i="1"/>
  <c r="F104" i="1"/>
  <c r="F4" i="1"/>
  <c r="F17" i="1"/>
  <c r="F2271" i="1"/>
  <c r="F75" i="1"/>
  <c r="F152" i="1"/>
  <c r="F109" i="1"/>
  <c r="F2275" i="1"/>
  <c r="G847" i="1"/>
  <c r="G913" i="1"/>
  <c r="G2586" i="1"/>
  <c r="G1211" i="1"/>
  <c r="G3211" i="1"/>
  <c r="G1288" i="1"/>
  <c r="G340" i="1"/>
  <c r="G776" i="1"/>
  <c r="G151" i="1"/>
  <c r="G3260" i="1"/>
  <c r="L2380" i="1"/>
  <c r="L3151" i="1"/>
  <c r="L3408" i="1"/>
  <c r="F430" i="1"/>
  <c r="F484" i="1"/>
  <c r="F3477" i="1"/>
  <c r="F554" i="1"/>
  <c r="F1760" i="1"/>
  <c r="F3163" i="1"/>
  <c r="F634" i="1"/>
  <c r="F340" i="1"/>
  <c r="F2390" i="1"/>
  <c r="F3327" i="1"/>
  <c r="F1454" i="1"/>
  <c r="F2531" i="1"/>
  <c r="F1044" i="1"/>
  <c r="F1712" i="1"/>
  <c r="F1286" i="1"/>
  <c r="F2810" i="1"/>
  <c r="F2692" i="1"/>
  <c r="F992" i="1"/>
  <c r="F3150" i="1"/>
  <c r="F317" i="1"/>
  <c r="F3606" i="1"/>
  <c r="F1085" i="1"/>
  <c r="F449" i="1"/>
  <c r="F2281" i="1"/>
  <c r="F1678" i="1"/>
  <c r="F1232" i="1"/>
  <c r="F1658" i="1"/>
  <c r="F1595" i="1"/>
  <c r="F3391" i="1"/>
  <c r="F2101" i="1"/>
  <c r="F3389" i="1"/>
  <c r="F341" i="1"/>
  <c r="F302" i="1"/>
  <c r="F2996" i="1"/>
  <c r="F1186" i="1"/>
  <c r="F3329" i="1"/>
  <c r="F1668" i="1"/>
  <c r="F2738" i="1"/>
  <c r="F2370" i="1"/>
  <c r="F1503" i="1"/>
  <c r="F937" i="1"/>
  <c r="F804" i="1"/>
  <c r="F668" i="1"/>
  <c r="F1069" i="1"/>
  <c r="F3405" i="1"/>
  <c r="F1687" i="1"/>
  <c r="F1676" i="1"/>
  <c r="F333" i="1"/>
  <c r="F2307" i="1"/>
  <c r="F2114" i="1"/>
  <c r="F2069" i="1"/>
  <c r="F1284" i="1"/>
  <c r="F1569" i="1"/>
  <c r="F1343" i="1"/>
  <c r="F2161" i="1"/>
  <c r="F1785" i="1"/>
  <c r="F2561" i="1"/>
  <c r="F2509" i="1"/>
  <c r="F1756" i="1"/>
  <c r="F1024" i="1"/>
  <c r="F2783" i="1"/>
  <c r="F501" i="1"/>
  <c r="F263" i="1"/>
  <c r="F529" i="1"/>
  <c r="F1457" i="1"/>
  <c r="F423" i="1"/>
  <c r="F3347" i="1"/>
  <c r="F995" i="1"/>
  <c r="F1239" i="1"/>
  <c r="F1452" i="1"/>
  <c r="F1938" i="1"/>
  <c r="F3277" i="1"/>
  <c r="F2400" i="1"/>
  <c r="F1596" i="1"/>
  <c r="F1916" i="1"/>
  <c r="F426" i="1"/>
  <c r="F168" i="1"/>
  <c r="F1252" i="1"/>
  <c r="F132" i="1"/>
  <c r="F2625" i="1"/>
  <c r="F3293" i="1"/>
  <c r="F3218" i="1"/>
  <c r="F3214" i="1"/>
  <c r="F2242" i="1"/>
  <c r="F2320" i="1"/>
  <c r="F2195" i="1"/>
  <c r="F1328" i="1"/>
  <c r="F2088" i="1"/>
  <c r="F3134" i="1"/>
  <c r="F1097" i="1"/>
  <c r="F3113" i="1"/>
  <c r="F1633" i="1"/>
  <c r="F708" i="1"/>
  <c r="F563" i="1"/>
  <c r="F2284" i="1"/>
  <c r="F3044" i="1"/>
  <c r="F1739" i="1"/>
  <c r="F1643" i="1"/>
  <c r="F2068" i="1"/>
  <c r="F1481" i="1"/>
  <c r="F722" i="1"/>
  <c r="F1718" i="1"/>
  <c r="F2007" i="1"/>
  <c r="F2300" i="1"/>
  <c r="F903" i="1"/>
  <c r="F559" i="1"/>
  <c r="F86" i="1"/>
  <c r="F1116" i="1"/>
  <c r="F972" i="1"/>
  <c r="F1744" i="1"/>
  <c r="F2829" i="1"/>
  <c r="F2306" i="1"/>
  <c r="F1683" i="1"/>
  <c r="F3131" i="1"/>
  <c r="F375" i="1"/>
  <c r="F2701" i="1"/>
  <c r="F768" i="1"/>
  <c r="F2325" i="1"/>
  <c r="F788" i="1"/>
  <c r="F2021" i="1"/>
  <c r="F2139" i="1"/>
  <c r="F633" i="1"/>
  <c r="F1078" i="1"/>
  <c r="F2295" i="1"/>
  <c r="F12" i="1"/>
  <c r="F654" i="1"/>
  <c r="F3367" i="1"/>
  <c r="F3119" i="1"/>
  <c r="F502" i="1"/>
  <c r="F666" i="1"/>
  <c r="F1652" i="1"/>
  <c r="F1548" i="1"/>
  <c r="F2045" i="1"/>
  <c r="F1482" i="1"/>
  <c r="F1554" i="1"/>
  <c r="F2436" i="1"/>
  <c r="F137" i="1"/>
  <c r="F1396" i="1"/>
  <c r="F2950" i="1"/>
  <c r="F76" i="1"/>
  <c r="F1365" i="1"/>
  <c r="F3308" i="1"/>
  <c r="F126" i="1"/>
  <c r="F2125" i="1"/>
  <c r="F3259" i="1"/>
  <c r="F3383" i="1"/>
  <c r="F3059" i="1"/>
  <c r="F2927" i="1"/>
  <c r="F3238" i="1"/>
  <c r="F2235" i="1"/>
  <c r="F1298" i="1"/>
  <c r="F2804" i="1"/>
  <c r="F1568" i="1"/>
  <c r="F2282" i="1"/>
  <c r="F2289" i="1"/>
  <c r="F1039" i="1"/>
  <c r="F1329" i="1"/>
  <c r="F1379" i="1"/>
  <c r="F2315" i="1"/>
  <c r="F2031" i="1"/>
  <c r="F1803" i="1"/>
  <c r="F2690" i="1"/>
  <c r="F3258" i="1"/>
  <c r="F2081" i="1"/>
  <c r="F2729" i="1"/>
  <c r="F2814" i="1"/>
  <c r="F1321" i="1"/>
  <c r="F1979" i="1"/>
  <c r="F1823" i="1"/>
  <c r="F1945" i="1"/>
  <c r="F1134" i="1"/>
  <c r="F2468" i="1"/>
  <c r="F2678" i="1"/>
  <c r="F196" i="1"/>
  <c r="F3091" i="1"/>
  <c r="F273" i="1"/>
  <c r="F3001" i="1"/>
  <c r="F878" i="1"/>
  <c r="F1431" i="1"/>
  <c r="F55" i="1"/>
  <c r="F1415" i="1"/>
  <c r="F3314" i="1"/>
  <c r="F2838" i="1"/>
  <c r="F2585" i="1"/>
  <c r="F588" i="1"/>
  <c r="F2877" i="1"/>
  <c r="F2965" i="1"/>
  <c r="F1050" i="1"/>
  <c r="F2571" i="1"/>
  <c r="F1682" i="1"/>
  <c r="F2781" i="1"/>
  <c r="F2646" i="1"/>
  <c r="F1771" i="1"/>
  <c r="F2126" i="1"/>
  <c r="F2251" i="1"/>
  <c r="F516" i="1"/>
  <c r="F3102" i="1"/>
  <c r="F1709" i="1"/>
  <c r="F1155" i="1"/>
  <c r="F2444" i="1"/>
  <c r="F2548" i="1"/>
  <c r="F185" i="1"/>
  <c r="F2778" i="1"/>
  <c r="F2653" i="1"/>
  <c r="F2529" i="1"/>
  <c r="F2404" i="1"/>
  <c r="F2801" i="1"/>
  <c r="F2955" i="1"/>
  <c r="F2184" i="1"/>
  <c r="F166" i="1"/>
  <c r="F82" i="1"/>
  <c r="F2051" i="1"/>
  <c r="F2617" i="1"/>
  <c r="F1674" i="1"/>
  <c r="F2886" i="1"/>
  <c r="F1955" i="1"/>
  <c r="F2734" i="1"/>
  <c r="F3083" i="1"/>
  <c r="F3221" i="1"/>
  <c r="F3317" i="1"/>
  <c r="F1463" i="1"/>
  <c r="F230" i="1"/>
  <c r="F307" i="1"/>
  <c r="F1600" i="1"/>
  <c r="F2906" i="1"/>
  <c r="F255" i="1"/>
  <c r="F1987" i="1"/>
  <c r="F1933" i="1"/>
  <c r="F1380" i="1"/>
  <c r="F3094" i="1"/>
  <c r="F1605" i="1"/>
  <c r="F3278" i="1"/>
  <c r="F2229" i="1"/>
  <c r="F3409" i="1"/>
  <c r="F2747" i="1"/>
  <c r="F2164" i="1"/>
  <c r="F2076" i="1"/>
  <c r="F1370" i="1"/>
  <c r="F79" i="1"/>
  <c r="F205" i="1"/>
  <c r="F245" i="1"/>
  <c r="F2432" i="1"/>
  <c r="G3411" i="1"/>
  <c r="G3335" i="1"/>
  <c r="G968" i="1"/>
  <c r="G2868" i="1"/>
  <c r="G1182" i="1"/>
  <c r="G735" i="1"/>
  <c r="G945" i="1"/>
  <c r="G773" i="1"/>
  <c r="G1036" i="1"/>
  <c r="G1780" i="1"/>
  <c r="L2654" i="1"/>
  <c r="L3213" i="1"/>
  <c r="L3469" i="1"/>
  <c r="F850" i="1"/>
  <c r="F3526" i="1"/>
  <c r="F899" i="1"/>
  <c r="F3616" i="1"/>
  <c r="F331" i="1"/>
  <c r="F1507" i="1"/>
  <c r="F3623" i="1"/>
  <c r="F2222" i="1"/>
  <c r="F618" i="1"/>
  <c r="F316" i="1"/>
  <c r="F1491" i="1"/>
  <c r="F1861" i="1"/>
  <c r="F1561" i="1"/>
  <c r="F1532" i="1"/>
  <c r="F3346" i="1"/>
  <c r="F625" i="1"/>
  <c r="F611" i="1"/>
  <c r="F500" i="1"/>
  <c r="F1047" i="1"/>
  <c r="F2767" i="1"/>
  <c r="F328" i="1"/>
  <c r="F2775" i="1"/>
  <c r="F561" i="1"/>
  <c r="F590" i="1"/>
  <c r="F570" i="1"/>
  <c r="F1385" i="1"/>
  <c r="F3173" i="1"/>
  <c r="F759" i="1"/>
  <c r="F1313" i="1"/>
  <c r="F3296" i="1"/>
  <c r="F2431" i="1"/>
  <c r="F746" i="1"/>
  <c r="F2862" i="1"/>
  <c r="F215" i="1"/>
  <c r="F1238" i="1"/>
  <c r="F2598" i="1"/>
  <c r="F983" i="1"/>
  <c r="F703" i="1"/>
  <c r="F979" i="1"/>
  <c r="F1401" i="1"/>
  <c r="F1504" i="1"/>
  <c r="F1391" i="1"/>
  <c r="F815" i="1"/>
  <c r="F1702" i="1"/>
  <c r="F1995" i="1"/>
  <c r="F1544" i="1"/>
  <c r="F1736" i="1"/>
  <c r="F587" i="1"/>
  <c r="F1132" i="1"/>
  <c r="F2866" i="1"/>
  <c r="F2373" i="1"/>
  <c r="F1335" i="1"/>
  <c r="F2613" i="1"/>
  <c r="F1143" i="1"/>
  <c r="F1516" i="1"/>
  <c r="F1617" i="1"/>
  <c r="F24" i="1"/>
  <c r="F2211" i="1"/>
  <c r="F2176" i="1"/>
  <c r="F280" i="1"/>
  <c r="F240" i="1"/>
  <c r="F928" i="1"/>
  <c r="F873" i="1"/>
  <c r="F585" i="1"/>
  <c r="F1334" i="1"/>
  <c r="F2952" i="1"/>
  <c r="F2253" i="1"/>
  <c r="F234" i="1"/>
  <c r="F266" i="1"/>
  <c r="F2872" i="1"/>
  <c r="F667" i="1"/>
  <c r="F2780" i="1"/>
  <c r="F2591" i="1"/>
  <c r="F2117" i="1"/>
  <c r="F1472" i="1"/>
  <c r="F1972" i="1"/>
  <c r="F3109" i="1"/>
  <c r="F32" i="1"/>
  <c r="F2085" i="1"/>
  <c r="F1060" i="1"/>
  <c r="F3026" i="1"/>
  <c r="F2314" i="1"/>
  <c r="F1667" i="1"/>
  <c r="F1850" i="1"/>
  <c r="F2671" i="1"/>
  <c r="F1782" i="1"/>
  <c r="F1448" i="1"/>
  <c r="F174" i="1"/>
  <c r="F258" i="1"/>
  <c r="F1228" i="1"/>
  <c r="F458" i="1"/>
  <c r="F663" i="1"/>
  <c r="F991" i="1"/>
  <c r="F2172" i="1"/>
  <c r="F2911" i="1"/>
  <c r="F2236" i="1"/>
  <c r="F183" i="1"/>
  <c r="F3011" i="1"/>
  <c r="F3036" i="1"/>
  <c r="F1526" i="1"/>
  <c r="F511" i="1"/>
  <c r="F771" i="1"/>
  <c r="F2129" i="1"/>
  <c r="F1118" i="1"/>
  <c r="F395" i="1"/>
  <c r="F2059" i="1"/>
  <c r="F1685" i="1"/>
  <c r="F2199" i="1"/>
  <c r="F2132" i="1"/>
  <c r="F920" i="1"/>
  <c r="F1984" i="1"/>
  <c r="F1775" i="1"/>
  <c r="F2777" i="1"/>
  <c r="F2207" i="1"/>
  <c r="F2050" i="1"/>
  <c r="F2480" i="1"/>
  <c r="F2412" i="1"/>
  <c r="F859" i="1"/>
  <c r="F3125" i="1"/>
  <c r="F281" i="1"/>
  <c r="F2333" i="1"/>
  <c r="F2473" i="1"/>
  <c r="F2478" i="1"/>
  <c r="F1015" i="1"/>
  <c r="F2347" i="1"/>
  <c r="F2200" i="1"/>
  <c r="F146" i="1"/>
  <c r="F1931" i="1"/>
  <c r="F811" i="1"/>
  <c r="F3112" i="1"/>
  <c r="F1701" i="1"/>
  <c r="F2061" i="1"/>
  <c r="F1270" i="1"/>
  <c r="F1529" i="1"/>
  <c r="F1088" i="1"/>
  <c r="F1857" i="1"/>
  <c r="F838" i="1"/>
  <c r="F2867" i="1"/>
  <c r="F63" i="1"/>
  <c r="F506" i="1"/>
  <c r="F958" i="1"/>
  <c r="F3151" i="1"/>
  <c r="F698" i="1"/>
  <c r="F2425" i="1"/>
  <c r="F3084" i="1"/>
  <c r="F824" i="1"/>
  <c r="F901" i="1"/>
  <c r="F1119" i="1"/>
  <c r="F2590" i="1"/>
  <c r="F604" i="1"/>
  <c r="F2855" i="1"/>
  <c r="F2189" i="1"/>
  <c r="F1327" i="1"/>
  <c r="F2046" i="1"/>
  <c r="F2292" i="1"/>
  <c r="F1495" i="1"/>
  <c r="F1937" i="1"/>
  <c r="F637" i="1"/>
  <c r="F2201" i="1"/>
  <c r="F2137" i="1"/>
  <c r="F1930" i="1"/>
  <c r="F2267" i="1"/>
  <c r="F2809" i="1"/>
  <c r="F3216" i="1"/>
  <c r="F1246" i="1"/>
  <c r="F1663" i="1"/>
  <c r="F2120" i="1"/>
  <c r="F3015" i="1"/>
  <c r="F933" i="1"/>
  <c r="F717" i="1"/>
  <c r="F2382" i="1"/>
  <c r="F3226" i="1"/>
  <c r="F2948" i="1"/>
  <c r="F351" i="1"/>
  <c r="F2595" i="1"/>
  <c r="F2589" i="1"/>
  <c r="F3197" i="1"/>
  <c r="F3291" i="1"/>
  <c r="F1152" i="1"/>
  <c r="F2852" i="1"/>
  <c r="F473" i="1"/>
  <c r="F2025" i="1"/>
  <c r="F3149" i="1"/>
  <c r="F2150" i="1"/>
  <c r="F2684" i="1"/>
  <c r="F1348" i="1"/>
  <c r="F3190" i="1"/>
  <c r="F1513" i="1"/>
  <c r="F795" i="1"/>
  <c r="F2538" i="1"/>
  <c r="F2225" i="1"/>
  <c r="F857" i="1"/>
  <c r="F2018" i="1"/>
  <c r="F1206" i="1"/>
  <c r="F1406" i="1"/>
  <c r="F3072" i="1"/>
  <c r="F308" i="1"/>
  <c r="F1844" i="1"/>
  <c r="F1583" i="1"/>
  <c r="F1202" i="1"/>
  <c r="F1351" i="1"/>
  <c r="F220" i="1"/>
  <c r="F1659" i="1"/>
  <c r="F2682" i="1"/>
  <c r="F1449" i="1"/>
  <c r="F3040" i="1"/>
  <c r="F781" i="1"/>
  <c r="F326" i="1"/>
  <c r="F836" i="1"/>
  <c r="F1915" i="1"/>
  <c r="F1104" i="1"/>
  <c r="F1247" i="1"/>
  <c r="F1914" i="1"/>
  <c r="F2259" i="1"/>
  <c r="F383" i="1"/>
  <c r="F3276" i="1"/>
  <c r="F169" i="1"/>
  <c r="F2900" i="1"/>
  <c r="F1829" i="1"/>
  <c r="F1102" i="1"/>
  <c r="F1079" i="1"/>
  <c r="F3384" i="1"/>
  <c r="F2060" i="1"/>
  <c r="F2310" i="1"/>
  <c r="F2348" i="1"/>
  <c r="F2329" i="1"/>
  <c r="F1427" i="1"/>
  <c r="F3116" i="1"/>
  <c r="F1558" i="1"/>
  <c r="F2028" i="1"/>
  <c r="F2220" i="1"/>
  <c r="F2647" i="1"/>
  <c r="F1212" i="1"/>
  <c r="F19" i="1"/>
  <c r="F1460" i="1"/>
  <c r="F42" i="1"/>
  <c r="F35" i="1"/>
  <c r="F1983" i="1"/>
  <c r="F967" i="1"/>
  <c r="F715" i="1"/>
  <c r="F156" i="1"/>
  <c r="F118" i="1"/>
  <c r="G3244" i="1"/>
  <c r="G1492" i="1"/>
  <c r="G1505" i="1"/>
  <c r="G1592" i="1"/>
  <c r="G2210" i="1"/>
  <c r="G252" i="1"/>
  <c r="G2835" i="1"/>
  <c r="G2624" i="1"/>
  <c r="G2222" i="1"/>
  <c r="G720" i="1"/>
  <c r="L2672" i="1"/>
  <c r="L3216" i="1"/>
  <c r="L3472" i="1"/>
  <c r="F883" i="1"/>
  <c r="F909" i="1"/>
  <c r="F3533" i="1"/>
  <c r="F2651" i="1"/>
  <c r="F3078" i="1"/>
  <c r="F1196" i="1"/>
  <c r="F2759" i="1"/>
  <c r="F1697" i="1"/>
  <c r="F389" i="1"/>
  <c r="F2527" i="1"/>
  <c r="F652" i="1"/>
  <c r="F3220" i="1"/>
  <c r="F1099" i="1"/>
  <c r="F372" i="1"/>
  <c r="F3029" i="1"/>
  <c r="F1062" i="1"/>
  <c r="F665" i="1"/>
  <c r="F3288" i="1"/>
  <c r="F1705" i="1"/>
  <c r="F1783" i="1"/>
  <c r="L2886" i="1"/>
  <c r="L3277" i="1"/>
  <c r="L3533" i="1"/>
  <c r="F3575" i="1"/>
  <c r="F3577" i="1"/>
  <c r="F1534" i="1"/>
  <c r="F2946" i="1"/>
  <c r="F3472" i="1"/>
  <c r="F1469" i="1"/>
  <c r="F3244" i="1"/>
  <c r="F2942" i="1"/>
  <c r="F1001" i="1"/>
  <c r="F1275" i="1"/>
  <c r="F3014" i="1"/>
  <c r="F2187" i="1"/>
  <c r="F485" i="1"/>
  <c r="F475" i="1"/>
  <c r="F1936" i="1"/>
  <c r="F2876" i="1"/>
  <c r="F987" i="1"/>
  <c r="F1816" i="1"/>
  <c r="F3328" i="1"/>
  <c r="F2080" i="1"/>
  <c r="F2156" i="1"/>
  <c r="F3159" i="1"/>
  <c r="F91" i="1"/>
  <c r="F1778" i="1"/>
  <c r="F2349" i="1"/>
  <c r="F970" i="1"/>
  <c r="F456" i="1"/>
  <c r="F1439" i="1"/>
  <c r="F3121" i="1"/>
  <c r="F2984" i="1"/>
  <c r="F2656" i="1"/>
  <c r="F2466" i="1"/>
  <c r="F364" i="1"/>
  <c r="F1398" i="1"/>
  <c r="F2037" i="1"/>
  <c r="F1440" i="1"/>
  <c r="F3170" i="1"/>
  <c r="F2030" i="1"/>
  <c r="F486" i="1"/>
  <c r="F3052" i="1"/>
  <c r="F610" i="1"/>
  <c r="F1421" i="1"/>
  <c r="F1873" i="1"/>
  <c r="F2743" i="1"/>
  <c r="F1885" i="1"/>
  <c r="F572" i="1"/>
  <c r="F567" i="1"/>
  <c r="F1488" i="1"/>
  <c r="F2727" i="1"/>
  <c r="F2313" i="1"/>
  <c r="F3066" i="1"/>
  <c r="F1229" i="1"/>
  <c r="F867" i="1"/>
  <c r="F2159" i="1"/>
  <c r="F1485" i="1"/>
  <c r="F1151" i="1"/>
  <c r="F3185" i="1"/>
  <c r="F106" i="1"/>
  <c r="F2566" i="1"/>
  <c r="F95" i="1"/>
  <c r="F2433" i="1"/>
  <c r="F2205" i="1"/>
  <c r="F1158" i="1"/>
  <c r="F1012" i="1"/>
  <c r="F1017" i="1"/>
  <c r="F3374" i="1"/>
  <c r="F3339" i="1"/>
  <c r="F1490" i="1"/>
  <c r="F416" i="1"/>
  <c r="F2410" i="1"/>
  <c r="F405" i="1"/>
  <c r="F2765" i="1"/>
  <c r="F1376" i="1"/>
  <c r="F1604" i="1"/>
  <c r="F2004" i="1"/>
  <c r="F1540" i="1"/>
  <c r="F1110" i="1"/>
  <c r="F202" i="1"/>
  <c r="F1949" i="1"/>
  <c r="F3373" i="1"/>
  <c r="F2311" i="1"/>
  <c r="F1324" i="1"/>
  <c r="F1053" i="1"/>
  <c r="F2118" i="1"/>
  <c r="F3247" i="1"/>
  <c r="F2326" i="1"/>
  <c r="F1970" i="1"/>
  <c r="F990" i="1"/>
  <c r="F789" i="1"/>
  <c r="F2611" i="1"/>
  <c r="F1250" i="1"/>
  <c r="F2700" i="1"/>
  <c r="F2896" i="1"/>
  <c r="F1442" i="1"/>
  <c r="F2371" i="1"/>
  <c r="F208" i="1"/>
  <c r="F2250" i="1"/>
  <c r="F3284" i="1"/>
  <c r="F2075" i="1"/>
  <c r="F2058" i="1"/>
  <c r="F1725" i="1"/>
  <c r="F1030" i="1"/>
  <c r="F2188" i="1"/>
  <c r="F3210" i="1"/>
  <c r="F1738" i="1"/>
  <c r="F655" i="1"/>
  <c r="F1805" i="1"/>
  <c r="F2261" i="1"/>
  <c r="L2894" i="1"/>
  <c r="F2107" i="1"/>
  <c r="F1874" i="1"/>
  <c r="F2135" i="1"/>
  <c r="F1577" i="1"/>
  <c r="F2662" i="1"/>
  <c r="F1101" i="1"/>
  <c r="F1193" i="1"/>
  <c r="F2670" i="1"/>
  <c r="F2014" i="1"/>
  <c r="F2408" i="1"/>
  <c r="F695" i="1"/>
  <c r="F1828" i="1"/>
  <c r="F2789" i="1"/>
  <c r="F1073" i="1"/>
  <c r="F1986" i="1"/>
  <c r="F1961" i="1"/>
  <c r="F1791" i="1"/>
  <c r="F2604" i="1"/>
  <c r="F1299" i="1"/>
  <c r="F1245" i="1"/>
  <c r="F1906" i="1"/>
  <c r="F142" i="1"/>
  <c r="F957" i="1"/>
  <c r="F1968" i="1"/>
  <c r="F2485" i="1"/>
  <c r="F1631" i="1"/>
  <c r="F3392" i="1"/>
  <c r="F1387" i="1"/>
  <c r="F1764" i="1"/>
  <c r="F664" i="1"/>
  <c r="F3407" i="1"/>
  <c r="F3333" i="1"/>
  <c r="F2265" i="1"/>
  <c r="F934" i="1"/>
  <c r="F2782" i="1"/>
  <c r="F1545" i="1"/>
  <c r="F2502" i="1"/>
  <c r="F311" i="1"/>
  <c r="F1821" i="1"/>
  <c r="F3387" i="1"/>
  <c r="F2878" i="1"/>
  <c r="F1967" i="1"/>
  <c r="F1731" i="1"/>
  <c r="F2328" i="1"/>
  <c r="F2244" i="1"/>
  <c r="F1590" i="1"/>
  <c r="F925" i="1"/>
  <c r="F1680" i="1"/>
  <c r="F852" i="1"/>
  <c r="F548" i="1"/>
  <c r="F1735" i="1"/>
  <c r="F2505" i="1"/>
  <c r="F2760" i="1"/>
  <c r="F1581" i="1"/>
  <c r="F401" i="1"/>
  <c r="F2331" i="1"/>
  <c r="F1525" i="1"/>
  <c r="F1013" i="1"/>
  <c r="F1407" i="1"/>
  <c r="F3129" i="1"/>
  <c r="F1751" i="1"/>
  <c r="F2334" i="1"/>
  <c r="F1913" i="1"/>
  <c r="F1853" i="1"/>
  <c r="F3342" i="1"/>
  <c r="F1859" i="1"/>
  <c r="F1077" i="1"/>
  <c r="F1535" i="1"/>
  <c r="F1729" i="1"/>
  <c r="F1812" i="1"/>
  <c r="F167" i="1"/>
  <c r="F74" i="1"/>
  <c r="F2276" i="1"/>
  <c r="F741" i="1"/>
  <c r="F186" i="1"/>
  <c r="G3232" i="1"/>
  <c r="G812" i="1"/>
  <c r="G1711" i="1"/>
  <c r="G871" i="1"/>
  <c r="G1673" i="1"/>
  <c r="G527" i="1"/>
  <c r="G3034" i="1"/>
  <c r="G474" i="1"/>
  <c r="G618" i="1"/>
  <c r="G162" i="1"/>
  <c r="G3286" i="1"/>
  <c r="G3250" i="1"/>
  <c r="G3000" i="1"/>
  <c r="G278" i="1"/>
  <c r="G1684" i="1"/>
  <c r="G2961" i="1"/>
  <c r="G2356" i="1"/>
  <c r="G64" i="1"/>
  <c r="G406" i="1"/>
  <c r="G2102" i="1"/>
  <c r="G3182" i="1"/>
  <c r="G188" i="1"/>
  <c r="G2106" i="1"/>
  <c r="G1922" i="1"/>
  <c r="G1261" i="1"/>
  <c r="G1656" i="1"/>
  <c r="G765" i="1"/>
  <c r="G435" i="1"/>
  <c r="G1752" i="1"/>
  <c r="G1670" i="1"/>
  <c r="G549" i="1"/>
  <c r="G2594" i="1"/>
  <c r="G3075" i="1"/>
  <c r="G2951" i="1"/>
  <c r="G779" i="1"/>
  <c r="G1332" i="1"/>
  <c r="G396" i="1"/>
  <c r="G1881" i="1"/>
  <c r="G3056" i="1"/>
  <c r="G1282" i="1"/>
  <c r="G1507" i="1"/>
  <c r="G2992" i="1"/>
  <c r="G3394" i="1"/>
  <c r="G3078" i="1"/>
  <c r="G2527" i="1"/>
  <c r="G2997" i="1"/>
  <c r="G3337" i="1"/>
  <c r="G1136" i="1"/>
  <c r="G2954" i="1"/>
  <c r="G822" i="1"/>
  <c r="G504" i="1"/>
  <c r="G2908" i="1"/>
  <c r="G1827" i="1"/>
  <c r="G1552" i="1"/>
  <c r="G427" i="1"/>
  <c r="G1985" i="1"/>
  <c r="G2442" i="1"/>
  <c r="G3380" i="1"/>
  <c r="G2450" i="1"/>
  <c r="G1861" i="1"/>
  <c r="G58" i="1"/>
  <c r="G623" i="1"/>
  <c r="G1312" i="1"/>
  <c r="G1021" i="1"/>
  <c r="G1338" i="1"/>
  <c r="G1810" i="1"/>
  <c r="G1181" i="1"/>
  <c r="G3093" i="1"/>
  <c r="G1693" i="1"/>
  <c r="G3194" i="1"/>
  <c r="G3058" i="1"/>
  <c r="G2537" i="1"/>
  <c r="G237" i="1"/>
  <c r="G3122" i="1"/>
  <c r="G2905" i="1"/>
  <c r="G2582" i="1"/>
  <c r="G292" i="1"/>
  <c r="G658" i="1"/>
  <c r="G938" i="1"/>
  <c r="G2033" i="1"/>
  <c r="G1120" i="1"/>
  <c r="G3305" i="1"/>
  <c r="G3306" i="1"/>
  <c r="G2775" i="1"/>
  <c r="G2941" i="1"/>
  <c r="G95" i="1"/>
  <c r="G561" i="1"/>
  <c r="G1210" i="1"/>
  <c r="G1230" i="1"/>
  <c r="G862" i="1"/>
  <c r="G2512" i="1"/>
  <c r="G2984" i="1"/>
  <c r="G1022" i="1"/>
  <c r="G2216" i="1"/>
  <c r="G3389" i="1"/>
  <c r="G390" i="1"/>
  <c r="G3069" i="1"/>
  <c r="G1274" i="1"/>
  <c r="G341" i="1"/>
  <c r="G2822" i="1"/>
  <c r="G837" i="1"/>
  <c r="G480" i="1"/>
  <c r="G302" i="1"/>
  <c r="G3396" i="1"/>
  <c r="G1101" i="1"/>
  <c r="G3002" i="1"/>
  <c r="G2996" i="1"/>
  <c r="G1109" i="1"/>
  <c r="G1696" i="1"/>
  <c r="G1557" i="1"/>
  <c r="G2474" i="1"/>
  <c r="G336" i="1"/>
  <c r="G2662" i="1"/>
  <c r="G897" i="1"/>
  <c r="G2361" i="1"/>
  <c r="G2406" i="1"/>
  <c r="G1164" i="1"/>
  <c r="G696" i="1"/>
  <c r="G2769" i="1"/>
  <c r="G2415" i="1"/>
  <c r="G984" i="1"/>
  <c r="G2152" i="1"/>
  <c r="G3371" i="1"/>
  <c r="G140" i="1"/>
  <c r="G3235" i="1"/>
  <c r="G113" i="1"/>
  <c r="G1675" i="1"/>
  <c r="G483" i="1"/>
  <c r="G2292" i="1"/>
  <c r="G3104" i="1"/>
  <c r="G2982" i="1"/>
  <c r="G2411" i="1"/>
  <c r="G1495" i="1"/>
  <c r="G2933" i="1"/>
  <c r="G892" i="1"/>
  <c r="G716" i="1"/>
  <c r="G1937" i="1"/>
  <c r="G1731" i="1"/>
  <c r="G1103" i="1"/>
  <c r="G2108" i="1"/>
  <c r="G2227" i="1"/>
  <c r="G2151" i="1"/>
  <c r="G1561" i="1"/>
  <c r="G1977" i="1"/>
  <c r="G2182" i="1"/>
  <c r="G705" i="1"/>
  <c r="G500" i="1"/>
  <c r="G1816" i="1"/>
  <c r="G2687" i="1"/>
  <c r="G2477" i="1"/>
  <c r="G2994" i="1"/>
  <c r="G596" i="1"/>
  <c r="G1276" i="1"/>
  <c r="G975" i="1"/>
  <c r="G552" i="1"/>
  <c r="G3128" i="1"/>
  <c r="G3042" i="1"/>
  <c r="G2073" i="1"/>
  <c r="G3297" i="1"/>
  <c r="G1714" i="1"/>
  <c r="G1238" i="1"/>
  <c r="G2598" i="1"/>
  <c r="G983" i="1"/>
  <c r="G703" i="1"/>
  <c r="G979" i="1"/>
  <c r="G1401" i="1"/>
  <c r="G1145" i="1"/>
  <c r="G1309" i="1"/>
  <c r="G890" i="1"/>
  <c r="G3310" i="1"/>
  <c r="G87" i="1"/>
  <c r="G1386" i="1"/>
  <c r="G2262" i="1"/>
  <c r="G1480" i="1"/>
  <c r="G10" i="1"/>
  <c r="G1783" i="1"/>
  <c r="G2190" i="1"/>
  <c r="G2417" i="1"/>
  <c r="G1807" i="1"/>
  <c r="G3138" i="1"/>
  <c r="L3280" i="1"/>
  <c r="F860" i="1"/>
  <c r="F3100" i="1"/>
  <c r="F1189" i="1"/>
  <c r="F3402" i="1"/>
  <c r="F2512" i="1"/>
  <c r="F2386" i="1"/>
  <c r="F2105" i="1"/>
  <c r="F786" i="1"/>
  <c r="F1765" i="1"/>
  <c r="F2489" i="1"/>
  <c r="F2010" i="1"/>
  <c r="F3117" i="1"/>
  <c r="F1784" i="1"/>
  <c r="F1973" i="1"/>
  <c r="F2260" i="1"/>
  <c r="F1541" i="1"/>
  <c r="F712" i="1"/>
  <c r="F2440" i="1"/>
  <c r="F398" i="1"/>
  <c r="F2374" i="1"/>
  <c r="F1887" i="1"/>
  <c r="F227" i="1"/>
  <c r="F1543" i="1"/>
  <c r="F1198" i="1"/>
  <c r="F936" i="1"/>
  <c r="F200" i="1"/>
  <c r="F1788" i="1"/>
  <c r="F2462" i="1"/>
  <c r="F1425" i="1"/>
  <c r="F539" i="1"/>
  <c r="F3360" i="1"/>
  <c r="F2616" i="1"/>
  <c r="F1344" i="1"/>
  <c r="F973" i="1"/>
  <c r="F2887" i="1"/>
  <c r="F464" i="1"/>
  <c r="F1939" i="1"/>
  <c r="F2963" i="1"/>
  <c r="F2880" i="1"/>
  <c r="F1095" i="1"/>
  <c r="F3275" i="1"/>
  <c r="F3362" i="1"/>
  <c r="F3369" i="1"/>
  <c r="F1417" i="1"/>
  <c r="F877" i="1"/>
  <c r="F1833" i="1"/>
  <c r="F1809" i="1"/>
  <c r="F617" i="1"/>
  <c r="F455" i="1"/>
  <c r="F3209" i="1"/>
  <c r="F3153" i="1"/>
  <c r="F2178" i="1"/>
  <c r="F1383" i="1"/>
  <c r="F2974" i="1"/>
  <c r="F2551" i="1"/>
  <c r="F1248" i="1"/>
  <c r="F1178" i="1"/>
  <c r="F2925" i="1"/>
  <c r="F1042" i="1"/>
  <c r="F2683" i="1"/>
  <c r="F1170" i="1"/>
  <c r="F813" i="1"/>
  <c r="F218" i="1"/>
  <c r="F2731" i="1"/>
  <c r="F1083" i="1"/>
  <c r="F1761" i="1"/>
  <c r="F2847" i="1"/>
  <c r="F955" i="1"/>
  <c r="F1944" i="1"/>
  <c r="F496" i="1"/>
  <c r="F2146" i="1"/>
  <c r="F129" i="1"/>
  <c r="F133" i="1"/>
  <c r="F20" i="1"/>
  <c r="G2918" i="1"/>
  <c r="G1499" i="1"/>
  <c r="G2726" i="1"/>
  <c r="G2649" i="1"/>
  <c r="G206" i="1"/>
  <c r="G1187" i="1"/>
  <c r="G2484" i="1"/>
  <c r="G84" i="1"/>
  <c r="G3202" i="1"/>
  <c r="G556" i="1"/>
  <c r="G2885" i="1"/>
  <c r="G204" i="1"/>
  <c r="G2352" i="1"/>
  <c r="G1623" i="1"/>
  <c r="G3156" i="1"/>
  <c r="G2071" i="1"/>
  <c r="G752" i="1"/>
  <c r="G26" i="1"/>
  <c r="G1562" i="1"/>
  <c r="G546" i="1"/>
  <c r="G2438" i="1"/>
  <c r="G1665" i="1"/>
  <c r="G2407" i="1"/>
  <c r="G2464" i="1"/>
  <c r="G1808" i="1"/>
  <c r="G3215" i="1"/>
  <c r="G1921" i="1"/>
  <c r="G78" i="1"/>
  <c r="G248" i="1"/>
  <c r="G1404" i="1"/>
  <c r="G1971" i="1"/>
  <c r="G732" i="1"/>
  <c r="G2047" i="1"/>
  <c r="G1776" i="1"/>
  <c r="G2500" i="1"/>
  <c r="G57" i="1"/>
  <c r="G3167" i="1"/>
  <c r="G2985" i="1"/>
  <c r="G2355" i="1"/>
  <c r="G640" i="1"/>
  <c r="G641" i="1"/>
  <c r="G1196" i="1"/>
  <c r="G2736" i="1"/>
  <c r="G1520" i="1"/>
  <c r="G2196" i="1"/>
  <c r="G1655" i="1"/>
  <c r="G2623" i="1"/>
  <c r="G557" i="1"/>
  <c r="G421" i="1"/>
  <c r="G182" i="1"/>
  <c r="G1444" i="1"/>
  <c r="G2022" i="1"/>
  <c r="G1996" i="1"/>
  <c r="G1989" i="1"/>
  <c r="G1089" i="1"/>
  <c r="G1614" i="1"/>
  <c r="G2456" i="1"/>
  <c r="G3193" i="1"/>
  <c r="G573" i="1"/>
  <c r="G935" i="1"/>
  <c r="G1121" i="1"/>
  <c r="G1825" i="1"/>
  <c r="G3005" i="1"/>
  <c r="G3164" i="1"/>
  <c r="G150" i="1"/>
  <c r="G2145" i="1"/>
  <c r="G1855" i="1"/>
  <c r="G3219" i="1"/>
  <c r="G91" i="1"/>
  <c r="G757" i="1"/>
  <c r="G1580" i="1"/>
  <c r="G590" i="1"/>
  <c r="G1778" i="1"/>
  <c r="G3145" i="1"/>
  <c r="G2231" i="1"/>
  <c r="G570" i="1"/>
  <c r="G1489" i="1"/>
  <c r="G2937" i="1"/>
  <c r="G863" i="1"/>
  <c r="G275" i="1"/>
  <c r="G2603" i="1"/>
  <c r="G2504" i="1"/>
  <c r="G1192" i="1"/>
  <c r="G2936" i="1"/>
  <c r="G2707" i="1"/>
  <c r="G801" i="1"/>
  <c r="G1661" i="1"/>
  <c r="G1368" i="1"/>
  <c r="G2783" i="1"/>
  <c r="G946" i="1"/>
  <c r="G2789" i="1"/>
  <c r="G661" i="1"/>
  <c r="G501" i="1"/>
  <c r="G1784" i="1"/>
  <c r="G254" i="1"/>
  <c r="G3207" i="1"/>
  <c r="G263" i="1"/>
  <c r="G2490" i="1"/>
  <c r="G3041" i="1"/>
  <c r="G2865" i="1"/>
  <c r="G529" i="1"/>
  <c r="G1366" i="1"/>
  <c r="G1033" i="1"/>
  <c r="G1293" i="1"/>
  <c r="G1457" i="1"/>
  <c r="G898" i="1"/>
  <c r="G1073" i="1"/>
  <c r="G805" i="1"/>
  <c r="G1865" i="1"/>
  <c r="G2784" i="1"/>
  <c r="G999" i="1"/>
  <c r="G1133" i="1"/>
  <c r="G2446" i="1"/>
  <c r="G807" i="1"/>
  <c r="G1712" i="1"/>
  <c r="G372" i="1"/>
  <c r="G1874" i="1"/>
  <c r="G3274" i="1"/>
  <c r="G2449" i="1"/>
  <c r="G3007" i="1"/>
  <c r="G3020" i="1"/>
  <c r="G740" i="1"/>
  <c r="G3141" i="1"/>
  <c r="G565" i="1"/>
  <c r="G2237" i="1"/>
  <c r="G2793" i="1"/>
  <c r="G625" i="1"/>
  <c r="G16" i="1"/>
  <c r="G2876" i="1"/>
  <c r="G2965" i="1"/>
  <c r="G2974" i="1"/>
  <c r="G3364" i="1"/>
  <c r="G835" i="1"/>
  <c r="G1050" i="1"/>
  <c r="G1455" i="1"/>
  <c r="G2928" i="1"/>
  <c r="G2301" i="1"/>
  <c r="G2571" i="1"/>
  <c r="G823" i="1"/>
  <c r="G1588" i="1"/>
  <c r="G2445" i="1"/>
  <c r="G1546" i="1"/>
  <c r="G2213" i="1"/>
  <c r="G490" i="1"/>
  <c r="G1352" i="1"/>
  <c r="G1424" i="1"/>
  <c r="G875" i="1"/>
  <c r="G2685" i="1"/>
  <c r="G796" i="1"/>
  <c r="G792" i="1"/>
  <c r="G1772" i="1"/>
  <c r="G2143" i="1"/>
  <c r="G3031" i="1"/>
  <c r="G922" i="1"/>
  <c r="G128" i="1"/>
  <c r="G304" i="1"/>
  <c r="G2693" i="1"/>
  <c r="G3188" i="1"/>
  <c r="G2285" i="1"/>
  <c r="G2460" i="1"/>
  <c r="G1010" i="1"/>
  <c r="G1399" i="1"/>
  <c r="G772" i="1"/>
  <c r="G3368" i="1"/>
  <c r="G2105" i="1"/>
  <c r="G2860" i="1"/>
  <c r="G840" i="1"/>
  <c r="G1291" i="1"/>
  <c r="G2263" i="1"/>
  <c r="G2748" i="1"/>
  <c r="G1216" i="1"/>
  <c r="G894" i="1"/>
  <c r="G2435" i="1"/>
  <c r="G3029" i="1"/>
  <c r="G3321" i="1"/>
  <c r="G457" i="1"/>
  <c r="G157" i="1"/>
  <c r="G2972" i="1"/>
  <c r="G2293" i="1"/>
  <c r="G3124" i="1"/>
  <c r="G2299" i="1"/>
  <c r="L3536" i="1"/>
  <c r="F3641" i="1"/>
  <c r="F3365" i="1"/>
  <c r="F1338" i="1"/>
  <c r="F350" i="1"/>
  <c r="F3123" i="1"/>
  <c r="F2650" i="1"/>
  <c r="F3169" i="1"/>
  <c r="F2168" i="1"/>
  <c r="F2366" i="1"/>
  <c r="F2209" i="1"/>
  <c r="F2096" i="1"/>
  <c r="F3624" i="1"/>
  <c r="F254" i="1"/>
  <c r="F2005" i="1"/>
  <c r="F1416" i="1"/>
  <c r="F2664" i="1"/>
  <c r="F2574" i="1"/>
  <c r="F1585" i="1"/>
  <c r="F2619" i="1"/>
  <c r="F2811" i="1"/>
  <c r="F2659" i="1"/>
  <c r="F94" i="1"/>
  <c r="F2165" i="1"/>
  <c r="F2091" i="1"/>
  <c r="F1502" i="1"/>
  <c r="F865" i="1"/>
  <c r="F3118" i="1"/>
  <c r="F2570" i="1"/>
  <c r="F766" i="1"/>
  <c r="F1720" i="1"/>
  <c r="F2304" i="1"/>
  <c r="F584" i="1"/>
  <c r="F828" i="1"/>
  <c r="F777" i="1"/>
  <c r="F1375" i="1"/>
  <c r="F3079" i="1"/>
  <c r="F3338" i="1"/>
  <c r="F1733" i="1"/>
  <c r="F2774" i="1"/>
  <c r="F826" i="1"/>
  <c r="F780" i="1"/>
  <c r="F3104" i="1"/>
  <c r="F1411" i="1"/>
  <c r="F222" i="1"/>
  <c r="F1813" i="1"/>
  <c r="F3038" i="1"/>
  <c r="F1262" i="1"/>
  <c r="F1957" i="1"/>
  <c r="F1769" i="1"/>
  <c r="F2360" i="1"/>
  <c r="F2926" i="1"/>
  <c r="F2640" i="1"/>
  <c r="F1946" i="1"/>
  <c r="F730" i="1"/>
  <c r="F2841" i="1"/>
  <c r="F2416" i="1"/>
  <c r="F2002" i="1"/>
  <c r="F2144" i="1"/>
  <c r="F3010" i="1"/>
  <c r="F1357" i="1"/>
  <c r="F51" i="1"/>
  <c r="F1932" i="1"/>
  <c r="F2819" i="1"/>
  <c r="F2049" i="1"/>
  <c r="F2056" i="1"/>
  <c r="F2869" i="1"/>
  <c r="F3013" i="1"/>
  <c r="F2064" i="1"/>
  <c r="F446" i="1"/>
  <c r="F241" i="1"/>
  <c r="F2364" i="1"/>
  <c r="F141" i="1"/>
  <c r="F2273" i="1"/>
  <c r="F2274" i="1"/>
  <c r="G1571" i="1"/>
  <c r="G3301" i="1"/>
  <c r="G3323" i="1"/>
  <c r="G2826" i="1"/>
  <c r="G1153" i="1"/>
  <c r="G3287" i="1"/>
  <c r="G872" i="1"/>
  <c r="G599" i="1"/>
  <c r="G2756" i="1"/>
  <c r="G389" i="1"/>
  <c r="G2518" i="1"/>
  <c r="G1608" i="1"/>
  <c r="G2277" i="1"/>
  <c r="G2746" i="1"/>
  <c r="G2214" i="1"/>
  <c r="G876" i="1"/>
  <c r="G2491" i="1"/>
  <c r="G176" i="1"/>
  <c r="G2546" i="1"/>
  <c r="G1474" i="1"/>
  <c r="G164" i="1"/>
  <c r="G1760" i="1"/>
  <c r="G1049" i="1"/>
  <c r="G953" i="1"/>
  <c r="G2851" i="1"/>
  <c r="G1044" i="1"/>
  <c r="G1856" i="1"/>
  <c r="G1209" i="1"/>
  <c r="G243" i="1"/>
  <c r="G2584" i="1"/>
  <c r="G1001" i="1"/>
  <c r="G2098" i="1"/>
  <c r="G2173" i="1"/>
  <c r="G3106" i="1"/>
  <c r="G1992" i="1"/>
  <c r="G2666" i="1"/>
  <c r="G524" i="1"/>
  <c r="G422" i="1"/>
  <c r="G3271" i="1"/>
  <c r="G718" i="1"/>
  <c r="G1832" i="1"/>
  <c r="G3279" i="1"/>
  <c r="G3198" i="1"/>
  <c r="G2545" i="1"/>
  <c r="G969" i="1"/>
  <c r="G3391" i="1"/>
  <c r="G1792" i="1"/>
  <c r="G1128" i="1"/>
  <c r="G436" i="1"/>
  <c r="G2881" i="1"/>
  <c r="G197" i="1"/>
  <c r="G1280" i="1"/>
  <c r="G1002" i="1"/>
  <c r="G2799" i="1"/>
  <c r="G2715" i="1"/>
  <c r="G268" i="1"/>
  <c r="G1320" i="1"/>
  <c r="G2694" i="1"/>
  <c r="G1163" i="1"/>
  <c r="G3139" i="1"/>
  <c r="G1138" i="1"/>
  <c r="G1773" i="1"/>
  <c r="G2763" i="1"/>
  <c r="G242" i="1"/>
  <c r="G1189" i="1"/>
  <c r="G485" i="1"/>
  <c r="G1586" i="1"/>
  <c r="G3294" i="1"/>
  <c r="G775" i="1"/>
  <c r="G1433" i="1"/>
  <c r="G2281" i="1"/>
  <c r="G1331" i="1"/>
  <c r="G3300" i="1"/>
  <c r="G3268" i="1"/>
  <c r="G1678" i="1"/>
  <c r="G3399" i="1"/>
  <c r="G714" i="1"/>
  <c r="G3155" i="1"/>
  <c r="G1950" i="1"/>
  <c r="G2052" i="1"/>
  <c r="G2392" i="1"/>
  <c r="G2497" i="1"/>
  <c r="G2452" i="1"/>
  <c r="G349" i="1"/>
  <c r="G994" i="1"/>
  <c r="G280" i="1"/>
  <c r="G3320" i="1"/>
  <c r="G950" i="1"/>
  <c r="G1692" i="1"/>
  <c r="G991" i="1"/>
  <c r="G2896" i="1"/>
  <c r="G244" i="1"/>
  <c r="G2753" i="1"/>
  <c r="G2172" i="1"/>
  <c r="G1442" i="1"/>
  <c r="G1871" i="1"/>
  <c r="G532" i="1"/>
  <c r="G2911" i="1"/>
  <c r="G2371" i="1"/>
  <c r="G3053" i="1"/>
  <c r="G431" i="1"/>
  <c r="G2236" i="1"/>
  <c r="G208" i="1"/>
  <c r="G1593" i="1"/>
  <c r="G1051" i="1"/>
  <c r="G183" i="1"/>
  <c r="G2250" i="1"/>
  <c r="G284" i="1"/>
  <c r="G1323" i="1"/>
  <c r="G2156" i="1"/>
  <c r="G2519" i="1"/>
  <c r="G190" i="1"/>
  <c r="G1917" i="1"/>
  <c r="G3241" i="1"/>
  <c r="G960" i="1"/>
  <c r="G848" i="1"/>
  <c r="G2995" i="1"/>
  <c r="G2358" i="1"/>
  <c r="G1068" i="1"/>
  <c r="G675" i="1"/>
  <c r="G2506" i="1"/>
  <c r="G1140" i="1"/>
  <c r="G2155" i="1"/>
  <c r="G530" i="1"/>
  <c r="G3181" i="1"/>
  <c r="G3270" i="1"/>
  <c r="G1062" i="1"/>
  <c r="G2903" i="1"/>
  <c r="G3365" i="1"/>
  <c r="G1434" i="1"/>
  <c r="G2842" i="1"/>
  <c r="G3353" i="1"/>
  <c r="G1859" i="1"/>
  <c r="G2296" i="1"/>
  <c r="G1988" i="1"/>
  <c r="G571" i="1"/>
  <c r="G1719" i="1"/>
  <c r="G1105" i="1"/>
  <c r="G3108" i="1"/>
  <c r="G3397" i="1"/>
  <c r="G289" i="1"/>
  <c r="G760" i="1"/>
  <c r="G2750" i="1"/>
  <c r="G81" i="1"/>
  <c r="G1065" i="1"/>
  <c r="G830" i="1"/>
  <c r="G3107" i="1"/>
  <c r="G679" i="1"/>
  <c r="G1941" i="1"/>
  <c r="G9" i="1"/>
  <c r="G2639" i="1"/>
  <c r="G1318" i="1"/>
  <c r="G413" i="1"/>
  <c r="G2999" i="1"/>
  <c r="G97" i="1"/>
  <c r="G574" i="1"/>
  <c r="G195" i="1"/>
  <c r="G3178" i="1"/>
  <c r="G2288" i="1"/>
  <c r="G1703" i="1"/>
  <c r="G1494" i="1"/>
  <c r="G2037" i="1"/>
  <c r="G1440" i="1"/>
  <c r="G3170" i="1"/>
  <c r="G2030" i="1"/>
  <c r="G486" i="1"/>
  <c r="G3052" i="1"/>
  <c r="G316" i="1"/>
  <c r="G1715" i="1"/>
  <c r="G1076" i="1"/>
  <c r="G1165" i="1"/>
  <c r="G534" i="1"/>
  <c r="G2766" i="1"/>
  <c r="G2722" i="1"/>
  <c r="G2828" i="1"/>
  <c r="G3345" i="1"/>
  <c r="G1054" i="1"/>
  <c r="G2817" i="1"/>
  <c r="G234" i="1"/>
  <c r="G2872" i="1"/>
  <c r="F3579" i="1"/>
  <c r="F3375" i="1"/>
  <c r="F2728" i="1"/>
  <c r="F3294" i="1"/>
  <c r="F143" i="1"/>
  <c r="F390" i="1"/>
  <c r="F1399" i="1"/>
  <c r="F2860" i="1"/>
  <c r="F83" i="1"/>
  <c r="F3135" i="1"/>
  <c r="F3081" i="1"/>
  <c r="F1333" i="1"/>
  <c r="F1740" i="1"/>
  <c r="F2490" i="1"/>
  <c r="F929" i="1"/>
  <c r="F391" i="1"/>
  <c r="F272" i="1"/>
  <c r="F1578" i="1"/>
  <c r="F1942" i="1"/>
  <c r="F1990" i="1"/>
  <c r="F2019" i="1"/>
  <c r="F3388" i="1"/>
  <c r="F1866" i="1"/>
  <c r="F2298" i="1"/>
  <c r="F551" i="1"/>
  <c r="F420" i="1"/>
  <c r="F1435" i="1"/>
  <c r="F1059" i="1"/>
  <c r="F1034" i="1"/>
  <c r="F1257" i="1"/>
  <c r="F1528" i="1"/>
  <c r="F555" i="1"/>
  <c r="F2483" i="1"/>
  <c r="F2162" i="1"/>
  <c r="F2181" i="1"/>
  <c r="F90" i="1"/>
  <c r="F1630" i="1"/>
  <c r="F123" i="1"/>
  <c r="F1555" i="1"/>
  <c r="F2770" i="1"/>
  <c r="F1789" i="1"/>
  <c r="F3398" i="1"/>
  <c r="F1912" i="1"/>
  <c r="F2530" i="1"/>
  <c r="F3379" i="1"/>
  <c r="F1924" i="1"/>
  <c r="F338" i="1"/>
  <c r="F2012" i="1"/>
  <c r="F1625" i="1"/>
  <c r="F2716" i="1"/>
  <c r="F2785" i="1"/>
  <c r="F116" i="1"/>
  <c r="F1501" i="1"/>
  <c r="F1904" i="1"/>
  <c r="F3364" i="1"/>
  <c r="F1428" i="1"/>
  <c r="F2875" i="1"/>
  <c r="F2879" i="1"/>
  <c r="F1294" i="1"/>
  <c r="F2565" i="1"/>
  <c r="F2475" i="1"/>
  <c r="F3132" i="1"/>
  <c r="F2169" i="1"/>
  <c r="F1009" i="1"/>
  <c r="F2516" i="1"/>
  <c r="F2597" i="1"/>
  <c r="F1724" i="1"/>
  <c r="F3177" i="1"/>
  <c r="F1708" i="1"/>
  <c r="F576" i="1"/>
  <c r="F3264" i="1"/>
  <c r="F2363" i="1"/>
  <c r="F160" i="1"/>
  <c r="F2891" i="1"/>
  <c r="F1263" i="1"/>
  <c r="G319" i="1"/>
  <c r="G2503" i="1"/>
  <c r="G1031" i="1"/>
  <c r="G171" i="1"/>
  <c r="G2742" i="1"/>
  <c r="G2136" i="1"/>
  <c r="G2901" i="1"/>
  <c r="G1111" i="1"/>
  <c r="G493" i="1"/>
  <c r="G1080" i="1"/>
  <c r="G870" i="1"/>
  <c r="G2426" i="1"/>
  <c r="G3336" i="1"/>
  <c r="G2752" i="1"/>
  <c r="G1226" i="1"/>
  <c r="G2092" i="1"/>
  <c r="G1259" i="1"/>
  <c r="G267" i="1"/>
  <c r="G2946" i="1"/>
  <c r="G1160" i="1"/>
  <c r="G1616" i="1"/>
  <c r="G3105" i="1"/>
  <c r="G331" i="1"/>
  <c r="G1579" i="1"/>
  <c r="G608" i="1"/>
  <c r="G3361" i="1"/>
  <c r="G1926" i="1"/>
  <c r="G2072" i="1"/>
  <c r="G2773" i="1"/>
  <c r="G1997" i="1"/>
  <c r="G3375" i="1"/>
  <c r="G653" i="1"/>
  <c r="G1315" i="1"/>
  <c r="G101" i="1"/>
  <c r="G3101" i="1"/>
  <c r="G2528" i="1"/>
  <c r="G2884" i="1"/>
  <c r="G1768" i="1"/>
  <c r="G1201" i="1"/>
  <c r="G2710" i="1"/>
  <c r="G687" i="1"/>
  <c r="G1285" i="1"/>
  <c r="G44" i="1"/>
  <c r="G2803" i="1"/>
  <c r="G2797" i="1"/>
  <c r="G660" i="1"/>
  <c r="G588" i="1"/>
  <c r="G1959" i="1"/>
  <c r="G1363" i="1"/>
  <c r="G700" i="1"/>
  <c r="G2543" i="1"/>
  <c r="G1840" i="1"/>
  <c r="G1075" i="1"/>
  <c r="G3126" i="1"/>
  <c r="G895" i="1"/>
  <c r="G1770" i="1"/>
  <c r="G2427" i="1"/>
  <c r="G3157" i="1"/>
  <c r="G2930" i="1"/>
  <c r="G346" i="1"/>
  <c r="G409" i="1"/>
  <c r="G2187" i="1"/>
  <c r="G89" i="1"/>
  <c r="G1699" i="1"/>
  <c r="G2089" i="1"/>
  <c r="G1903" i="1"/>
  <c r="G2016" i="1"/>
  <c r="G309" i="1"/>
  <c r="G1497" i="1"/>
  <c r="G1236" i="1"/>
  <c r="G2953" i="1"/>
  <c r="G2525" i="1"/>
  <c r="G219" i="1"/>
  <c r="G2140" i="1"/>
  <c r="G774" i="1"/>
  <c r="G2000" i="1"/>
  <c r="G699" i="1"/>
  <c r="G1690" i="1"/>
  <c r="G2654" i="1"/>
  <c r="G1584" i="1"/>
  <c r="G1137" i="1"/>
  <c r="G2029" i="1"/>
  <c r="G103" i="1"/>
  <c r="G2396" i="1"/>
  <c r="G1582" i="1"/>
  <c r="G1954" i="1"/>
  <c r="G2630" i="1"/>
  <c r="G153" i="1"/>
  <c r="G3060" i="1"/>
  <c r="G1700" i="1"/>
  <c r="G633" i="1"/>
  <c r="G1847" i="1"/>
  <c r="G2473" i="1"/>
  <c r="G808" i="1"/>
  <c r="G2097" i="1"/>
  <c r="G2877" i="1"/>
  <c r="G1141" i="1"/>
  <c r="G1348" i="1"/>
  <c r="G664" i="1"/>
  <c r="G1094" i="1"/>
  <c r="G2840" i="1"/>
  <c r="G1330" i="1"/>
  <c r="G650" i="1"/>
  <c r="G1581" i="1"/>
  <c r="G2981" i="1"/>
  <c r="G2482" i="1"/>
  <c r="G1078" i="1"/>
  <c r="G1381" i="1"/>
  <c r="G3228" i="1"/>
  <c r="G2202" i="1"/>
  <c r="G2017" i="1"/>
  <c r="G797" i="1"/>
  <c r="G2634" i="1"/>
  <c r="G1190" i="1"/>
  <c r="G1265" i="1"/>
  <c r="G2459" i="1"/>
  <c r="G487" i="1"/>
  <c r="G187" i="1"/>
  <c r="G1430" i="1"/>
  <c r="G941" i="1"/>
  <c r="G602" i="1"/>
  <c r="G893" i="1"/>
  <c r="G2393" i="1"/>
  <c r="G3154" i="1"/>
  <c r="G1901" i="1"/>
  <c r="G3312" i="1"/>
  <c r="G3115" i="1"/>
  <c r="G1560" i="1"/>
  <c r="G429" i="1"/>
  <c r="G1720" i="1"/>
  <c r="G2226" i="1"/>
  <c r="G3282" i="1"/>
  <c r="G1015" i="1"/>
  <c r="G1911" i="1"/>
  <c r="G3018" i="1"/>
  <c r="G2269" i="1"/>
  <c r="G2347" i="1"/>
  <c r="G3407" i="1"/>
  <c r="G2074" i="1"/>
  <c r="G2228" i="1"/>
  <c r="G1113" i="1"/>
  <c r="G689" i="1"/>
  <c r="G3376" i="1"/>
  <c r="G1745" i="1"/>
  <c r="G3257" i="1"/>
  <c r="G111" i="1"/>
  <c r="G3174" i="1"/>
  <c r="G851" i="1"/>
  <c r="G2939" i="1"/>
  <c r="G702" i="1"/>
  <c r="G1161" i="1"/>
  <c r="G1801" i="1"/>
  <c r="G3085" i="1"/>
  <c r="G2552" i="1"/>
  <c r="G2737" i="1"/>
  <c r="G184" i="1"/>
  <c r="G2439" i="1"/>
  <c r="G1837" i="1"/>
  <c r="G25" i="1"/>
  <c r="G1091" i="1"/>
  <c r="G2290" i="1"/>
  <c r="G3176" i="1"/>
  <c r="G3068" i="1"/>
  <c r="G1193" i="1"/>
  <c r="G3169" i="1"/>
  <c r="G2297" i="1"/>
  <c r="G2193" i="1"/>
  <c r="G1575" i="1"/>
  <c r="G3097" i="1"/>
  <c r="G414" i="1"/>
  <c r="G1470" i="1"/>
  <c r="G3187" i="1"/>
  <c r="G1286" i="1"/>
  <c r="G2065" i="1"/>
  <c r="G3406" i="1"/>
  <c r="G2810" i="1"/>
  <c r="G1730" i="1"/>
  <c r="G2291" i="1"/>
  <c r="G1490" i="1"/>
  <c r="G2410" i="1"/>
  <c r="F1566" i="1"/>
  <c r="F1696" i="1"/>
  <c r="F286" i="1"/>
  <c r="F775" i="1"/>
  <c r="F2032" i="1"/>
  <c r="F3069" i="1"/>
  <c r="F3176" i="1"/>
  <c r="F2297" i="1"/>
  <c r="F1750" i="1"/>
  <c r="F593" i="1"/>
  <c r="F3035" i="1"/>
  <c r="F2110" i="1"/>
  <c r="F2396" i="1"/>
  <c r="F3041" i="1"/>
  <c r="F1637" i="1"/>
  <c r="F2681" i="1"/>
  <c r="F1032" i="1"/>
  <c r="F2779" i="1"/>
  <c r="F2115" i="1"/>
  <c r="F2330" i="1"/>
  <c r="F1021" i="1"/>
  <c r="F2249" i="1"/>
  <c r="F2979" i="1"/>
  <c r="F451" i="1"/>
  <c r="F2302" i="1"/>
  <c r="F1964" i="1"/>
  <c r="F810" i="1"/>
  <c r="F2138" i="1"/>
  <c r="F2476" i="1"/>
  <c r="F2949" i="1"/>
  <c r="F2256" i="1"/>
  <c r="F1468" i="1"/>
  <c r="F3195" i="1"/>
  <c r="F2336" i="1"/>
  <c r="F1781" i="1"/>
  <c r="F681" i="1"/>
  <c r="F1742" i="1"/>
  <c r="F844" i="1"/>
  <c r="F277" i="1"/>
  <c r="F639" i="1"/>
  <c r="F347" i="1"/>
  <c r="F1478" i="1"/>
  <c r="F1551" i="1"/>
  <c r="F1802" i="1"/>
  <c r="F2015" i="1"/>
  <c r="F2163" i="1"/>
  <c r="F410" i="1"/>
  <c r="F2758" i="1"/>
  <c r="F2902" i="1"/>
  <c r="F1963" i="1"/>
  <c r="F2437" i="1"/>
  <c r="F2907" i="1"/>
  <c r="F1287" i="1"/>
  <c r="F1065" i="1"/>
  <c r="F1455" i="1"/>
  <c r="F603" i="1"/>
  <c r="F952" i="1"/>
  <c r="F2720" i="1"/>
  <c r="F356" i="1"/>
  <c r="F1305" i="1"/>
  <c r="F1235" i="1"/>
  <c r="F2197" i="1"/>
  <c r="F1342" i="1"/>
  <c r="F3019" i="1"/>
  <c r="F2524" i="1"/>
  <c r="F2359" i="1"/>
  <c r="F799" i="1"/>
  <c r="F1413" i="1"/>
  <c r="F1884" i="1"/>
  <c r="F1597" i="1"/>
  <c r="F2264" i="1"/>
  <c r="F1870" i="1"/>
  <c r="F70" i="1"/>
  <c r="F36" i="1"/>
  <c r="F1466" i="1"/>
  <c r="G3231" i="1"/>
  <c r="G3028" i="1"/>
  <c r="G2279" i="1"/>
  <c r="G2342" i="1"/>
  <c r="G1473" i="1"/>
  <c r="G507" i="1"/>
  <c r="G1666" i="1"/>
  <c r="G2579" i="1"/>
  <c r="G3120" i="1"/>
  <c r="G3021" i="1"/>
  <c r="G3009" i="1"/>
  <c r="G988" i="1"/>
  <c r="G2239" i="1"/>
  <c r="G2915" i="1"/>
  <c r="G1928" i="1"/>
  <c r="G291" i="1"/>
  <c r="G216" i="1"/>
  <c r="G2036" i="1"/>
  <c r="G2194" i="1"/>
  <c r="G1907" i="1"/>
  <c r="G2034" i="1"/>
  <c r="G1372" i="1"/>
  <c r="G1559" i="1"/>
  <c r="G2602" i="1"/>
  <c r="G643" i="1"/>
  <c r="G656" i="1"/>
  <c r="G1200" i="1"/>
  <c r="G1173" i="1"/>
  <c r="G1408" i="1"/>
  <c r="G734" i="1"/>
  <c r="G8" i="1"/>
  <c r="G1897" i="1"/>
  <c r="G2919" i="1"/>
  <c r="G1851" i="1"/>
  <c r="G3095" i="1"/>
  <c r="G1848" i="1"/>
  <c r="G2055" i="1"/>
  <c r="G2280" i="1"/>
  <c r="G1862" i="1"/>
  <c r="G424" i="1"/>
  <c r="G2013" i="1"/>
  <c r="G2730" i="1"/>
  <c r="G2107" i="1"/>
  <c r="G1014" i="1"/>
  <c r="G2461" i="1"/>
  <c r="G1958" i="1"/>
  <c r="G120" i="1"/>
  <c r="G1514" i="1"/>
  <c r="G384" i="1"/>
  <c r="G1956" i="1"/>
  <c r="G1500" i="1"/>
  <c r="G1203" i="1"/>
  <c r="G476" i="1"/>
  <c r="G1475" i="1"/>
  <c r="G652" i="1"/>
  <c r="G3142" i="1"/>
  <c r="G2517" i="1"/>
  <c r="G3280" i="1"/>
  <c r="G581" i="1"/>
  <c r="G2499" i="1"/>
  <c r="G1806" i="1"/>
  <c r="G361" i="1"/>
  <c r="G3395" i="1"/>
  <c r="G1085" i="1"/>
  <c r="G2054" i="1"/>
  <c r="G1633" i="1"/>
  <c r="G449" i="1"/>
  <c r="G337" i="1"/>
  <c r="G49" i="1"/>
  <c r="G194" i="1"/>
  <c r="G334" i="1"/>
  <c r="G785" i="1"/>
  <c r="G2522" i="1"/>
  <c r="G1645" i="1"/>
  <c r="G3136" i="1"/>
  <c r="G1993" i="1"/>
  <c r="G2836" i="1"/>
  <c r="G1302" i="1"/>
  <c r="G1975" i="1"/>
  <c r="G1706" i="1"/>
  <c r="G305" i="1"/>
  <c r="G3386" i="1"/>
  <c r="G363" i="1"/>
  <c r="G2255" i="1"/>
  <c r="G3234" i="1"/>
  <c r="G2389" i="1"/>
  <c r="G3172" i="1"/>
  <c r="G1115" i="1"/>
  <c r="G3204" i="1"/>
  <c r="G2101" i="1"/>
  <c r="G3296" i="1"/>
  <c r="G43" i="1"/>
  <c r="G3123" i="1"/>
  <c r="G2846" i="1"/>
  <c r="G2713" i="1"/>
  <c r="G2431" i="1"/>
  <c r="G2656" i="1"/>
  <c r="G956" i="1"/>
  <c r="G2776" i="1"/>
  <c r="G746" i="1"/>
  <c r="G2466" i="1"/>
  <c r="G621" i="1"/>
  <c r="G672" i="1"/>
  <c r="G2862" i="1"/>
  <c r="G364" i="1"/>
  <c r="G2910" i="1"/>
  <c r="G2599" i="1"/>
  <c r="G52" i="1"/>
  <c r="G328" i="1"/>
  <c r="G1698" i="1"/>
  <c r="G1005" i="1"/>
  <c r="G2970" i="1"/>
  <c r="G2248" i="1"/>
  <c r="G2134" i="1"/>
  <c r="G2044" i="1"/>
  <c r="G2796" i="1"/>
  <c r="G3298" i="1"/>
  <c r="G112" i="1"/>
  <c r="G3253" i="1"/>
  <c r="G2121" i="1"/>
  <c r="G2536" i="1"/>
  <c r="G2027" i="1"/>
  <c r="G520" i="1"/>
  <c r="G2511" i="1"/>
  <c r="G2968" i="1"/>
  <c r="G1346" i="1"/>
  <c r="G800" i="1"/>
  <c r="G2451" i="1"/>
  <c r="G3319" i="1"/>
  <c r="G3362" i="1"/>
  <c r="G1912" i="1"/>
  <c r="G885" i="1"/>
  <c r="G1039" i="1"/>
  <c r="G1551" i="1"/>
  <c r="G1397" i="1"/>
  <c r="G1642" i="1"/>
  <c r="G1329" i="1"/>
  <c r="G2732" i="1"/>
  <c r="G3369" i="1"/>
  <c r="G3261" i="1"/>
  <c r="G1925" i="1"/>
  <c r="G606" i="1"/>
  <c r="G2692" i="1"/>
  <c r="G1904" i="1"/>
  <c r="G2859" i="1"/>
  <c r="G310" i="1"/>
  <c r="G470" i="1"/>
  <c r="G1249" i="1"/>
  <c r="G3025" i="1"/>
  <c r="G2283" i="1"/>
  <c r="G1359" i="1"/>
  <c r="G378" i="1"/>
  <c r="G108" i="1"/>
  <c r="G3363" i="1"/>
  <c r="G1093" i="1"/>
  <c r="G858" i="1"/>
  <c r="G358" i="1"/>
  <c r="G365" i="1"/>
  <c r="G2083" i="1"/>
  <c r="G1811" i="1"/>
  <c r="G2402" i="1"/>
  <c r="G3263" i="1"/>
  <c r="G2078" i="1"/>
  <c r="G3146" i="1"/>
  <c r="G942" i="1"/>
  <c r="G1195" i="1"/>
  <c r="G729" i="1"/>
  <c r="G460" i="1"/>
  <c r="G1147" i="1"/>
  <c r="G434" i="1"/>
  <c r="G1974" i="1"/>
  <c r="G2541" i="1"/>
  <c r="G2691" i="1"/>
  <c r="G3352" i="1"/>
  <c r="G1258" i="1"/>
  <c r="G2053" i="1"/>
  <c r="G1439" i="1"/>
  <c r="G2791" i="1"/>
  <c r="G2575" i="1"/>
  <c r="G2745" i="1"/>
  <c r="F1446" i="1"/>
  <c r="F999" i="1"/>
  <c r="F2762" i="1"/>
  <c r="F3300" i="1"/>
  <c r="F1350" i="1"/>
  <c r="F837" i="1"/>
  <c r="F3068" i="1"/>
  <c r="F2193" i="1"/>
  <c r="F2180" i="1"/>
  <c r="F448" i="1"/>
  <c r="F1484" i="1"/>
  <c r="F1563" i="1"/>
  <c r="F2630" i="1"/>
  <c r="F1033" i="1"/>
  <c r="F648" i="1"/>
  <c r="F1129" i="1"/>
  <c r="F1653" i="1"/>
  <c r="F1601" i="1"/>
  <c r="F1254" i="1"/>
  <c r="F2680" i="1"/>
  <c r="F1181" i="1"/>
  <c r="F542" i="1"/>
  <c r="F3065" i="1"/>
  <c r="F1063" i="1"/>
  <c r="F324" i="1"/>
  <c r="F902" i="1"/>
  <c r="F1214" i="1"/>
  <c r="F2764" i="1"/>
  <c r="F2912" i="1"/>
  <c r="F2097" i="1"/>
  <c r="F412" i="1"/>
  <c r="F2317" i="1"/>
  <c r="F1981" i="1"/>
  <c r="F256" i="1"/>
  <c r="F130" i="1"/>
  <c r="F1717" i="1"/>
  <c r="F1347" i="1"/>
  <c r="F531" i="1"/>
  <c r="F673" i="1"/>
  <c r="F1179" i="1"/>
  <c r="F2635" i="1"/>
  <c r="F2238" i="1"/>
  <c r="F1397" i="1"/>
  <c r="F861" i="1"/>
  <c r="F1393" i="1"/>
  <c r="F1087" i="1"/>
  <c r="F2338" i="1"/>
  <c r="F2733" i="1"/>
  <c r="F1219" i="1"/>
  <c r="F2420" i="1"/>
  <c r="F124" i="1"/>
  <c r="F1547" i="1"/>
  <c r="F1362" i="1"/>
  <c r="F1094" i="1"/>
  <c r="F2928" i="1"/>
  <c r="F2641" i="1"/>
  <c r="F646" i="1"/>
  <c r="F1048" i="1"/>
  <c r="F98" i="1"/>
  <c r="F2572" i="1"/>
  <c r="F1084" i="1"/>
  <c r="F846" i="1"/>
  <c r="F3344" i="1"/>
  <c r="F912" i="1"/>
  <c r="F2507" i="1"/>
  <c r="F3016" i="1"/>
  <c r="F1361" i="1"/>
  <c r="F3353" i="1"/>
  <c r="F1965" i="1"/>
  <c r="F2914" i="1"/>
  <c r="F1176" i="1"/>
  <c r="F34" i="1"/>
  <c r="F92" i="1"/>
  <c r="F1127" i="1"/>
  <c r="F145" i="1"/>
  <c r="G806" i="1"/>
  <c r="G1767" i="1"/>
  <c r="G2186" i="1"/>
  <c r="G1388" i="1"/>
  <c r="G2192" i="1"/>
  <c r="G982" i="1"/>
  <c r="G2740" i="1"/>
  <c r="G2354" i="1"/>
  <c r="G1539" i="1"/>
  <c r="G2611" i="1"/>
  <c r="G2686" i="1"/>
  <c r="G1257" i="1"/>
  <c r="G1004" i="1"/>
  <c r="G2960" i="1"/>
  <c r="G854" i="1"/>
  <c r="G2610" i="1"/>
  <c r="G1849" i="1"/>
  <c r="G2811" i="1"/>
  <c r="G2465" i="1"/>
  <c r="G3256" i="1"/>
  <c r="G1493" i="1"/>
  <c r="G1607" i="1"/>
  <c r="G976" i="1"/>
  <c r="G1753" i="1"/>
  <c r="G3330" i="1"/>
  <c r="G1677" i="1"/>
  <c r="G962" i="1"/>
  <c r="G3220" i="1"/>
  <c r="G2160" i="1"/>
  <c r="G1935" i="1"/>
  <c r="G1755" i="1"/>
  <c r="G2234" i="1"/>
  <c r="G505" i="1"/>
  <c r="G294" i="1"/>
  <c r="G1795" i="1"/>
  <c r="G665" i="1"/>
  <c r="G259" i="1"/>
  <c r="G2728" i="1"/>
  <c r="G270" i="1"/>
  <c r="G2601" i="1"/>
  <c r="G2564" i="1"/>
  <c r="G373" i="1"/>
  <c r="G2592" i="1"/>
  <c r="G2794" i="1"/>
  <c r="G1651" i="1"/>
  <c r="G1231" i="1"/>
  <c r="G842" i="1"/>
  <c r="G919" i="1"/>
  <c r="G1237" i="1"/>
  <c r="G951" i="1"/>
  <c r="G1157" i="1"/>
  <c r="G2808" i="1"/>
  <c r="G820" i="1"/>
  <c r="G315" i="1"/>
  <c r="G1774" i="1"/>
  <c r="G325" i="1"/>
  <c r="G2113" i="1"/>
  <c r="G344" i="1"/>
  <c r="G2562" i="1"/>
  <c r="G23" i="1"/>
  <c r="G998" i="1"/>
  <c r="G644" i="1"/>
  <c r="G172" i="1"/>
  <c r="G3027" i="1"/>
  <c r="G538" i="1"/>
  <c r="G1834" i="1"/>
  <c r="G3130" i="1"/>
  <c r="G1125" i="1"/>
  <c r="G1877" i="1"/>
  <c r="G2934" i="1"/>
  <c r="G299" i="1"/>
  <c r="G173" i="1"/>
  <c r="G2378" i="1"/>
  <c r="G411" i="1"/>
  <c r="G758" i="1"/>
  <c r="G2832" i="1"/>
  <c r="G1824" i="1"/>
  <c r="G670" i="1"/>
  <c r="G2964" i="1"/>
  <c r="G517" i="1"/>
  <c r="G2508" i="1"/>
  <c r="G1910" i="1"/>
  <c r="G2636" i="1"/>
  <c r="G3295" i="1"/>
  <c r="G3159" i="1"/>
  <c r="G1008" i="1"/>
  <c r="G763" i="1"/>
  <c r="G1403" i="1"/>
  <c r="G708" i="1"/>
  <c r="G630" i="1"/>
  <c r="G1906" i="1"/>
  <c r="G657" i="1"/>
  <c r="G563" i="1"/>
  <c r="G1887" i="1"/>
  <c r="G2659" i="1"/>
  <c r="G2628" i="1"/>
  <c r="G2284" i="1"/>
  <c r="G3388" i="1"/>
  <c r="G2249" i="1"/>
  <c r="G2945" i="1"/>
  <c r="G3044" i="1"/>
  <c r="G1934" i="1"/>
  <c r="G542" i="1"/>
  <c r="G1628" i="1"/>
  <c r="G1739" i="1"/>
  <c r="G1890" i="1"/>
  <c r="G142" i="1"/>
  <c r="G2850" i="1"/>
  <c r="G3313" i="1"/>
  <c r="G2430" i="1"/>
  <c r="G3033" i="1"/>
  <c r="G2472" i="1"/>
  <c r="G2367" i="1"/>
  <c r="G201" i="1"/>
  <c r="G2112" i="1"/>
  <c r="G321" i="1"/>
  <c r="G2501" i="1"/>
  <c r="G1822" i="1"/>
  <c r="G1960" i="1"/>
  <c r="G1686" i="1"/>
  <c r="G3309" i="1"/>
  <c r="G199" i="1"/>
  <c r="G122" i="1"/>
  <c r="G2243" i="1"/>
  <c r="G612" i="1"/>
  <c r="G11" i="1"/>
  <c r="G1308" i="1"/>
  <c r="G1465" i="1"/>
  <c r="G930" i="1"/>
  <c r="G762" i="1"/>
  <c r="G1515" i="1"/>
  <c r="G2906" i="1"/>
  <c r="G2924" i="1"/>
  <c r="G2348" i="1"/>
  <c r="G2801" i="1"/>
  <c r="G1708" i="1"/>
  <c r="G781" i="1"/>
  <c r="G1884" i="1"/>
  <c r="G3055" i="1"/>
  <c r="G739" i="1"/>
  <c r="G1275" i="1"/>
  <c r="G2717" i="1"/>
  <c r="G2973" i="1"/>
  <c r="G1576" i="1"/>
  <c r="G547" i="1"/>
  <c r="G46" i="1"/>
  <c r="G866" i="1"/>
  <c r="G1899" i="1"/>
  <c r="G2721" i="1"/>
  <c r="G403" i="1"/>
  <c r="G165" i="1"/>
  <c r="G1392" i="1"/>
  <c r="G694" i="1"/>
  <c r="G1438" i="1"/>
  <c r="G3299" i="1"/>
  <c r="G2969" i="1"/>
  <c r="G404" i="1"/>
  <c r="G3372" i="1"/>
  <c r="G2762" i="1"/>
  <c r="G1826" i="1"/>
  <c r="G3061" i="1"/>
  <c r="G910" i="1"/>
  <c r="G1886" i="1"/>
  <c r="G2815" i="1"/>
  <c r="G3408" i="1"/>
  <c r="G2447" i="1"/>
  <c r="G1167" i="1"/>
  <c r="G1124" i="1"/>
  <c r="G3133" i="1"/>
  <c r="G911" i="1"/>
  <c r="G3161" i="1"/>
  <c r="G3359" i="1"/>
  <c r="G360" i="1"/>
  <c r="G2141" i="1"/>
  <c r="G723" i="1"/>
  <c r="G3292" i="1"/>
  <c r="G481" i="1"/>
  <c r="G2253" i="1"/>
  <c r="G266" i="1"/>
  <c r="G667" i="1"/>
  <c r="F3487" i="1"/>
  <c r="F1352" i="1"/>
  <c r="F2930" i="1"/>
  <c r="F264" i="1"/>
  <c r="F2970" i="1"/>
  <c r="F3396" i="1"/>
  <c r="F3368" i="1"/>
  <c r="F896" i="1"/>
  <c r="F1999" i="1"/>
  <c r="F3098" i="1"/>
  <c r="F2175" i="1"/>
  <c r="F2344" i="1"/>
  <c r="F946" i="1"/>
  <c r="F898" i="1"/>
  <c r="F2550" i="1"/>
  <c r="F2633" i="1"/>
  <c r="F1634" i="1"/>
  <c r="F2397" i="1"/>
  <c r="F1467" i="1"/>
  <c r="F2388" i="1"/>
  <c r="F630" i="1"/>
  <c r="F1890" i="1"/>
  <c r="F2470" i="1"/>
  <c r="F1100" i="1"/>
  <c r="F1081" i="1"/>
  <c r="F2305" i="1"/>
  <c r="F3165" i="1"/>
  <c r="F3024" i="1"/>
  <c r="F2395" i="1"/>
  <c r="F1141" i="1"/>
  <c r="F232" i="1"/>
  <c r="F954" i="1"/>
  <c r="F2521" i="1"/>
  <c r="F1841" i="1"/>
  <c r="F1567" i="1"/>
  <c r="F2040" i="1"/>
  <c r="F3246" i="1"/>
  <c r="F2569" i="1"/>
  <c r="F2668" i="1"/>
  <c r="F287" i="1"/>
  <c r="F2153" i="1"/>
  <c r="F1207" i="1"/>
  <c r="F2732" i="1"/>
  <c r="F1962" i="1"/>
  <c r="F1537" i="1"/>
  <c r="F2383" i="1"/>
  <c r="F1217" i="1"/>
  <c r="F225" i="1"/>
  <c r="F3255" i="1"/>
  <c r="F2587" i="1"/>
  <c r="F1096" i="1"/>
  <c r="F2224" i="1"/>
  <c r="F3316" i="1"/>
  <c r="F1330" i="1"/>
  <c r="F823" i="1"/>
  <c r="F829" i="1"/>
  <c r="F1139" i="1"/>
  <c r="F1043" i="1"/>
  <c r="F1479" i="1"/>
  <c r="F1243" i="1"/>
  <c r="F2827" i="1"/>
  <c r="F2035" i="1"/>
  <c r="F2496" i="1"/>
  <c r="F1734" i="1"/>
  <c r="F948" i="1"/>
  <c r="F1602" i="1"/>
  <c r="F3088" i="1"/>
  <c r="F2296" i="1"/>
  <c r="F2709" i="1"/>
  <c r="F3262" i="1"/>
  <c r="F2842" i="1"/>
  <c r="F47" i="1"/>
  <c r="F68" i="1"/>
  <c r="F134" i="1"/>
  <c r="F148" i="1"/>
  <c r="G519" i="1"/>
  <c r="G515" i="1"/>
  <c r="G2171" i="1"/>
  <c r="G3017" i="1"/>
  <c r="G525" i="1"/>
  <c r="G1671" i="1"/>
  <c r="G2390" i="1"/>
  <c r="G498" i="1"/>
  <c r="G1194" i="1"/>
  <c r="G2580" i="1"/>
  <c r="G2424" i="1"/>
  <c r="G2463" i="1"/>
  <c r="G727" i="1"/>
  <c r="G691" i="1"/>
  <c r="G1817" i="1"/>
  <c r="G1531" i="1"/>
  <c r="G3127" i="1"/>
  <c r="G371" i="1"/>
  <c r="G1223" i="1"/>
  <c r="G3064" i="1"/>
  <c r="G73" i="1"/>
  <c r="G1131" i="1"/>
  <c r="G2669" i="1"/>
  <c r="G2177" i="1"/>
  <c r="G1358" i="1"/>
  <c r="G1509" i="1"/>
  <c r="G3324" i="1"/>
  <c r="G713" i="1"/>
  <c r="G924" i="1"/>
  <c r="G1025" i="1"/>
  <c r="G28" i="1"/>
  <c r="G1895" i="1"/>
  <c r="G386" i="1"/>
  <c r="G2535" i="1"/>
  <c r="G2871" i="1"/>
  <c r="G980" i="1"/>
  <c r="G1648" i="1"/>
  <c r="G1626" i="1"/>
  <c r="G1082" i="1"/>
  <c r="G2350" i="1"/>
  <c r="G926" i="1"/>
  <c r="G3208" i="1"/>
  <c r="G3032" i="1"/>
  <c r="G1940" i="1"/>
  <c r="G1327" i="1"/>
  <c r="G1340" i="1"/>
  <c r="G553" i="1"/>
  <c r="G1946" i="1"/>
  <c r="G45" i="1"/>
  <c r="G568" i="1"/>
  <c r="G2695" i="1"/>
  <c r="G1737" i="1"/>
  <c r="G253" i="1"/>
  <c r="G1491" i="1"/>
  <c r="G1316" i="1"/>
  <c r="G1317" i="1"/>
  <c r="G907" i="1"/>
  <c r="G1716" i="1"/>
  <c r="G6" i="1"/>
  <c r="G2135" i="1"/>
  <c r="G536" i="1"/>
  <c r="G2845" i="1"/>
  <c r="G1123" i="1"/>
  <c r="G2553" i="1"/>
  <c r="G3192" i="1"/>
  <c r="G663" i="1"/>
  <c r="G1462" i="1"/>
  <c r="G985" i="1"/>
  <c r="G2533" i="1"/>
  <c r="G2975" i="1"/>
  <c r="G2174" i="1"/>
  <c r="G179" i="1"/>
  <c r="G966" i="1"/>
  <c r="G343" i="1"/>
  <c r="G2409" i="1"/>
  <c r="G1748" i="1"/>
  <c r="G1149" i="1"/>
  <c r="G1521" i="1"/>
  <c r="G1952" i="1"/>
  <c r="G2369" i="1"/>
  <c r="G359" i="1"/>
  <c r="G2672" i="1"/>
  <c r="G1384" i="1"/>
  <c r="G3063" i="1"/>
  <c r="G1024" i="1"/>
  <c r="G3370" i="1"/>
  <c r="G1199" i="1"/>
  <c r="G177" i="1"/>
  <c r="G3355" i="1"/>
  <c r="G1568" i="1"/>
  <c r="G339" i="1"/>
  <c r="G3132" i="1"/>
  <c r="G2282" i="1"/>
  <c r="G1086" i="1"/>
  <c r="G2046" i="1"/>
  <c r="G307" i="1"/>
  <c r="G2238" i="1"/>
  <c r="G323" i="1"/>
  <c r="G1207" i="1"/>
  <c r="G1176" i="1"/>
  <c r="G1967" i="1"/>
  <c r="G2197" i="1"/>
  <c r="G577" i="1"/>
  <c r="G2060" i="1"/>
  <c r="G1723" i="1"/>
  <c r="G2863" i="1"/>
  <c r="G463" i="1"/>
  <c r="G2558" i="1"/>
  <c r="G2768" i="1"/>
  <c r="G2642" i="1"/>
  <c r="G1300" i="1"/>
  <c r="G269" i="1"/>
  <c r="G1891" i="1"/>
  <c r="G3382" i="1"/>
  <c r="G1037" i="1"/>
  <c r="G2843" i="1"/>
  <c r="G2614" i="1"/>
  <c r="G533" i="1"/>
  <c r="G580" i="1"/>
  <c r="G1519" i="1"/>
  <c r="G1976" i="1"/>
  <c r="G1253" i="1"/>
  <c r="G2761" i="1"/>
  <c r="G149" i="1"/>
  <c r="G69" i="1"/>
  <c r="G3184" i="1"/>
  <c r="G117" i="1"/>
  <c r="G1296" i="1"/>
  <c r="G539" i="1"/>
  <c r="G1528" i="1"/>
  <c r="G3144" i="1"/>
  <c r="G2295" i="1"/>
  <c r="G2256" i="1"/>
  <c r="G412" i="1"/>
  <c r="G2399" i="1"/>
  <c r="G12" i="1"/>
  <c r="G232" i="1"/>
  <c r="G3360" i="1"/>
  <c r="G2697" i="1"/>
  <c r="G139" i="1"/>
  <c r="G2531" i="1"/>
  <c r="G271" i="1"/>
  <c r="G1722" i="1"/>
  <c r="G2398" i="1"/>
  <c r="G96" i="1"/>
  <c r="G2844" i="1"/>
  <c r="G3377" i="1"/>
  <c r="G832" i="1"/>
  <c r="G115" i="1"/>
  <c r="G595" i="1"/>
  <c r="G217" i="1"/>
  <c r="G701" i="1"/>
  <c r="G2469" i="1"/>
  <c r="G949" i="1"/>
  <c r="G686" i="1"/>
  <c r="G879" i="1"/>
  <c r="G3206" i="1"/>
  <c r="G3281" i="1"/>
  <c r="G645" i="1"/>
  <c r="G523" i="1"/>
  <c r="G1186" i="1"/>
  <c r="G3329" i="1"/>
  <c r="G1668" i="1"/>
  <c r="G2738" i="1"/>
  <c r="G2370" i="1"/>
  <c r="G1503" i="1"/>
  <c r="G380" i="1"/>
  <c r="G2495" i="1"/>
  <c r="G3350" i="1"/>
  <c r="G3242" i="1"/>
  <c r="G2577" i="1"/>
  <c r="G993" i="1"/>
  <c r="G2698" i="1"/>
  <c r="G3100" i="1"/>
  <c r="G2377" i="1"/>
  <c r="G300" i="1"/>
  <c r="G1369" i="1"/>
  <c r="G3339" i="1"/>
  <c r="G416" i="1"/>
  <c r="G405" i="1"/>
  <c r="F3580" i="1"/>
  <c r="F753" i="1"/>
  <c r="F3082" i="1"/>
  <c r="F2303" i="1"/>
  <c r="F2645" i="1"/>
  <c r="F418" i="1"/>
  <c r="F2888" i="1"/>
  <c r="F1373" i="1"/>
  <c r="F119" i="1"/>
  <c r="F2270" i="1"/>
  <c r="G743" i="1"/>
  <c r="G2467" i="1"/>
  <c r="G1367" i="1"/>
  <c r="G382" i="1"/>
  <c r="G987" i="1"/>
  <c r="G2922" i="1"/>
  <c r="G1277" i="1"/>
  <c r="G3357" i="1"/>
  <c r="G67" i="1"/>
  <c r="G1523" i="1"/>
  <c r="G814" i="1"/>
  <c r="G2205" i="1"/>
  <c r="G1012" i="1"/>
  <c r="G33" i="1"/>
  <c r="G888" i="1"/>
  <c r="G21" i="1"/>
  <c r="G1513" i="1"/>
  <c r="G1233" i="1"/>
  <c r="G1058" i="1"/>
  <c r="G2931" i="1"/>
  <c r="G1919" i="1"/>
  <c r="G2557" i="1"/>
  <c r="G2765" i="1"/>
  <c r="G804" i="1"/>
  <c r="G2812" i="1"/>
  <c r="G1540" i="1"/>
  <c r="G1295" i="1"/>
  <c r="G846" i="1"/>
  <c r="G62" i="1"/>
  <c r="G2035" i="1"/>
  <c r="G1052" i="1"/>
  <c r="G2316" i="1"/>
  <c r="G59" i="1"/>
  <c r="G1818" i="1"/>
  <c r="G255" i="1"/>
  <c r="G2967" i="1"/>
  <c r="G2329" i="1"/>
  <c r="G2955" i="1"/>
  <c r="G502" i="1"/>
  <c r="G2647" i="1"/>
  <c r="G167" i="1"/>
  <c r="G2146" i="1"/>
  <c r="G1727" i="1"/>
  <c r="G2542" i="1"/>
  <c r="G1102" i="1"/>
  <c r="G2795" i="1"/>
  <c r="G2339" i="1"/>
  <c r="G3110" i="1"/>
  <c r="G1079" i="1"/>
  <c r="G1077" i="1"/>
  <c r="G1445" i="1"/>
  <c r="G3343" i="1"/>
  <c r="G230" i="1"/>
  <c r="G1150" i="1"/>
  <c r="G770" i="1"/>
  <c r="G2229" i="1"/>
  <c r="G1212" i="1"/>
  <c r="G2363" i="1"/>
  <c r="G1870" i="1"/>
  <c r="G85" i="1"/>
  <c r="G1459" i="1"/>
  <c r="G1306" i="1"/>
  <c r="G143" i="1"/>
  <c r="G921" i="1"/>
  <c r="G2487" i="1"/>
  <c r="G2904" i="1"/>
  <c r="G1685" i="1"/>
  <c r="G1252" i="1"/>
  <c r="G417" i="1"/>
  <c r="G2604" i="1"/>
  <c r="G2488" i="1"/>
  <c r="G1353" i="1"/>
  <c r="G3217" i="1"/>
  <c r="G2947" i="1"/>
  <c r="G629" i="1"/>
  <c r="G2632" i="1"/>
  <c r="G2349" i="1"/>
  <c r="G170" i="1"/>
  <c r="G3328" i="1"/>
  <c r="G456" i="1"/>
  <c r="G1948" i="1"/>
  <c r="G1643" i="1"/>
  <c r="G1866" i="1"/>
  <c r="G2470" i="1"/>
  <c r="G2298" i="1"/>
  <c r="G610" i="1"/>
  <c r="G1198" i="1"/>
  <c r="G2837" i="1"/>
  <c r="G1999" i="1"/>
  <c r="G1765" i="1"/>
  <c r="G3135" i="1"/>
  <c r="G2394" i="1"/>
  <c r="G3098" i="1"/>
  <c r="G2489" i="1"/>
  <c r="G3081" i="1"/>
  <c r="G1183" i="1"/>
  <c r="G2175" i="1"/>
  <c r="G2010" i="1"/>
  <c r="G1333" i="1"/>
  <c r="G964" i="1"/>
  <c r="G2344" i="1"/>
  <c r="G3117" i="1"/>
  <c r="G3112" i="1"/>
  <c r="G1701" i="1"/>
  <c r="G2061" i="1"/>
  <c r="G1270" i="1"/>
  <c r="G1529" i="1"/>
  <c r="G1088" i="1"/>
  <c r="G1857" i="1"/>
  <c r="G838" i="1"/>
  <c r="G2867" i="1"/>
  <c r="G63" i="1"/>
  <c r="G506" i="1"/>
  <c r="G958" i="1"/>
  <c r="G3151" i="1"/>
  <c r="G698" i="1"/>
  <c r="G2425" i="1"/>
  <c r="G3084" i="1"/>
  <c r="G824" i="1"/>
  <c r="G901" i="1"/>
  <c r="G1119" i="1"/>
  <c r="G2590" i="1"/>
  <c r="G1598" i="1"/>
  <c r="G2739" i="1"/>
  <c r="G452" i="1"/>
  <c r="G1705" i="1"/>
  <c r="G2032" i="1"/>
  <c r="G1144" i="1"/>
  <c r="G1986" i="1"/>
  <c r="G2591" i="1"/>
  <c r="G3043" i="1"/>
  <c r="G2596" i="1"/>
  <c r="G2856" i="1"/>
  <c r="G2314" i="1"/>
  <c r="G3137" i="1"/>
  <c r="G1740" i="1"/>
  <c r="G236" i="1"/>
  <c r="G2287" i="1"/>
  <c r="G2800" i="1"/>
  <c r="G2132" i="1"/>
  <c r="G2777" i="1"/>
  <c r="G768" i="1"/>
  <c r="G788" i="1"/>
  <c r="G2139" i="1"/>
  <c r="G2126" i="1"/>
  <c r="G516" i="1"/>
  <c r="G1709" i="1"/>
  <c r="G2444" i="1"/>
  <c r="G185" i="1"/>
  <c r="G2653" i="1"/>
  <c r="G2404" i="1"/>
  <c r="G3314" i="1"/>
  <c r="G2855" i="1"/>
  <c r="G2585" i="1"/>
  <c r="G1789" i="1"/>
  <c r="G221" i="1"/>
  <c r="G1360" i="1"/>
  <c r="G809" i="1"/>
  <c r="G1936" i="1"/>
  <c r="G3036" i="1"/>
  <c r="G1893" i="1"/>
  <c r="G1649" i="1"/>
  <c r="G2419" i="1"/>
  <c r="G2195" i="1"/>
  <c r="G2088" i="1"/>
  <c r="G1097" i="1"/>
  <c r="G3258" i="1"/>
  <c r="G2729" i="1"/>
  <c r="G1321" i="1"/>
  <c r="G1823" i="1"/>
  <c r="G1134" i="1"/>
  <c r="G2678" i="1"/>
  <c r="G3091" i="1"/>
  <c r="G3001" i="1"/>
  <c r="G1431" i="1"/>
  <c r="G1415" i="1"/>
  <c r="G636" i="1"/>
  <c r="G3183" i="1"/>
  <c r="G3398" i="1"/>
  <c r="G2566" i="1"/>
  <c r="G1364" i="1"/>
  <c r="G1602" i="1"/>
  <c r="G1129" i="1"/>
  <c r="G2485" i="1"/>
  <c r="G810" i="1"/>
  <c r="G2412" i="1"/>
  <c r="G3125" i="1"/>
  <c r="G2333" i="1"/>
  <c r="G1206" i="1"/>
  <c r="G3072" i="1"/>
  <c r="G1844" i="1"/>
  <c r="G1351" i="1"/>
  <c r="G1483" i="1"/>
  <c r="G2878" i="1"/>
  <c r="G864" i="1"/>
  <c r="G1683" i="1"/>
  <c r="G2267" i="1"/>
  <c r="G717" i="1"/>
  <c r="G3291" i="1"/>
  <c r="G1875" i="1"/>
  <c r="G2454" i="1"/>
  <c r="G1537" i="1"/>
  <c r="G225" i="1"/>
  <c r="G1096" i="1"/>
  <c r="G669" i="1"/>
  <c r="G1744" i="1"/>
  <c r="G2127" i="1"/>
  <c r="G3086" i="1"/>
  <c r="G2119" i="1"/>
  <c r="G748" i="1"/>
  <c r="G1117" i="1"/>
  <c r="G47" i="1"/>
  <c r="G141" i="1"/>
  <c r="G1370" i="1"/>
  <c r="G79" i="1"/>
  <c r="G205" i="1"/>
  <c r="G20" i="1"/>
  <c r="G109" i="1"/>
  <c r="G17" i="1"/>
  <c r="G133" i="1"/>
  <c r="G1064" i="1"/>
  <c r="G295" i="1"/>
  <c r="G1341" i="1"/>
  <c r="G3327" i="1"/>
  <c r="D725" i="1"/>
  <c r="G1146" i="1"/>
  <c r="G1426" i="1"/>
  <c r="D265" i="1"/>
  <c r="G2681" i="1"/>
  <c r="G1984" i="1"/>
  <c r="G1155" i="1"/>
  <c r="G2178" i="1"/>
  <c r="G3237" i="1"/>
  <c r="G381" i="1"/>
  <c r="G1591" i="1"/>
  <c r="G2814" i="1"/>
  <c r="G273" i="1"/>
  <c r="G3307" i="1"/>
  <c r="G2058" i="1"/>
  <c r="G281" i="1"/>
  <c r="G308" i="1"/>
  <c r="G1501" i="1"/>
  <c r="G351" i="1"/>
  <c r="F1461" i="1"/>
  <c r="F2394" i="1"/>
  <c r="F203" i="1"/>
  <c r="F1227" i="1"/>
  <c r="F2457" i="1"/>
  <c r="F1441" i="1"/>
  <c r="F419" i="1"/>
  <c r="F499" i="1"/>
  <c r="F2158" i="1"/>
  <c r="F114" i="1"/>
  <c r="G2514" i="1"/>
  <c r="G282" i="1"/>
  <c r="G1632" i="1"/>
  <c r="G2576" i="1"/>
  <c r="G1337" i="1"/>
  <c r="G2916" i="1"/>
  <c r="G155" i="1"/>
  <c r="G881" i="1"/>
  <c r="G522" i="1"/>
  <c r="G2588" i="1"/>
  <c r="G2453" i="1"/>
  <c r="G1074" i="1"/>
  <c r="G2578" i="1"/>
  <c r="G1055" i="1"/>
  <c r="G2998" i="1"/>
  <c r="G1691" i="1"/>
  <c r="G2268" i="1"/>
  <c r="G3062" i="1"/>
  <c r="G1530" i="1"/>
  <c r="G2080" i="1"/>
  <c r="G1446" i="1"/>
  <c r="G1006" i="1"/>
  <c r="G3210" i="1"/>
  <c r="G997" i="1"/>
  <c r="G1750" i="1"/>
  <c r="G2261" i="1"/>
  <c r="G654" i="1"/>
  <c r="G2304" i="1"/>
  <c r="G1468" i="1"/>
  <c r="G1374" i="1"/>
  <c r="G3367" i="1"/>
  <c r="G2854" i="1"/>
  <c r="G954" i="1"/>
  <c r="G1835" i="1"/>
  <c r="G3119" i="1"/>
  <c r="G3333" i="1"/>
  <c r="G584" i="1"/>
  <c r="G598" i="1"/>
  <c r="G1390" i="1"/>
  <c r="G2334" i="1"/>
  <c r="G1932" i="1"/>
  <c r="G13" i="1"/>
  <c r="G2184" i="1"/>
  <c r="G2169" i="1"/>
  <c r="G1279" i="1"/>
  <c r="G2471" i="1"/>
  <c r="G166" i="1"/>
  <c r="G3344" i="1"/>
  <c r="G1913" i="1"/>
  <c r="G3340" i="1"/>
  <c r="G82" i="1"/>
  <c r="G218" i="1"/>
  <c r="G1009" i="1"/>
  <c r="G482" i="1"/>
  <c r="G2051" i="1"/>
  <c r="G3019" i="1"/>
  <c r="G912" i="1"/>
  <c r="G1184" i="1"/>
  <c r="G2617" i="1"/>
  <c r="G3140" i="1"/>
  <c r="G1532" i="1"/>
  <c r="G180" i="1"/>
  <c r="G1278" i="1"/>
  <c r="G1876" i="1"/>
  <c r="G2550" i="1"/>
  <c r="G896" i="1"/>
  <c r="G2166" i="1"/>
  <c r="G712" i="1"/>
  <c r="G1060" i="1"/>
  <c r="G1872" i="1"/>
  <c r="G2242" i="1"/>
  <c r="G2494" i="1"/>
  <c r="G3113" i="1"/>
  <c r="G1846" i="1"/>
  <c r="G1754" i="1"/>
  <c r="G492" i="1"/>
  <c r="G491" i="1"/>
  <c r="G1385" i="1"/>
  <c r="G742" i="1"/>
  <c r="G3351" i="1"/>
  <c r="G759" i="1"/>
  <c r="G2650" i="1"/>
  <c r="G2979" i="1"/>
  <c r="G957" i="1"/>
  <c r="G451" i="1"/>
  <c r="G2633" i="1"/>
  <c r="G3030" i="1"/>
  <c r="G833" i="1"/>
  <c r="G1885" i="1"/>
  <c r="G572" i="1"/>
  <c r="G567" i="1"/>
  <c r="G1488" i="1"/>
  <c r="G2727" i="1"/>
  <c r="G2313" i="1"/>
  <c r="G3066" i="1"/>
  <c r="G1229" i="1"/>
  <c r="G867" i="1"/>
  <c r="G2159" i="1"/>
  <c r="G1485" i="1"/>
  <c r="G1151" i="1"/>
  <c r="G3185" i="1"/>
  <c r="G106" i="1"/>
  <c r="G1981" i="1"/>
  <c r="G1344" i="1"/>
  <c r="G2336" i="1"/>
  <c r="G1841" i="1"/>
  <c r="G777" i="1"/>
  <c r="G2498" i="1"/>
  <c r="G2782" i="1"/>
  <c r="G90" i="1"/>
  <c r="G1717" i="1"/>
  <c r="G464" i="1"/>
  <c r="G1742" i="1"/>
  <c r="G3246" i="1"/>
  <c r="G3338" i="1"/>
  <c r="G335" i="1"/>
  <c r="G311" i="1"/>
  <c r="G1555" i="1"/>
  <c r="G673" i="1"/>
  <c r="G2880" i="1"/>
  <c r="G639" i="1"/>
  <c r="G287" i="1"/>
  <c r="G558" i="1"/>
  <c r="G2254" i="1"/>
  <c r="G1799" i="1"/>
  <c r="G350" i="1"/>
  <c r="G3248" i="1"/>
  <c r="G2993" i="1"/>
  <c r="G1452" i="1"/>
  <c r="G395" i="1"/>
  <c r="G753" i="1"/>
  <c r="G2084" i="1"/>
  <c r="G2625" i="1"/>
  <c r="G2440" i="1"/>
  <c r="G1850" i="1"/>
  <c r="G1355" i="1"/>
  <c r="G2372" i="1"/>
  <c r="G2478" i="1"/>
  <c r="G1504" i="1"/>
  <c r="G688" i="1"/>
  <c r="G2813" i="1"/>
  <c r="G3024" i="1"/>
  <c r="G1522" i="1"/>
  <c r="G1965" i="1"/>
  <c r="G646" i="1"/>
  <c r="G2720" i="1"/>
  <c r="G2144" i="1"/>
  <c r="G1407" i="1"/>
  <c r="G2572" i="1"/>
  <c r="G1235" i="1"/>
  <c r="G51" i="1"/>
  <c r="G2025" i="1"/>
  <c r="G3149" i="1"/>
  <c r="G2150" i="1"/>
  <c r="G3230" i="1"/>
  <c r="G963" i="1"/>
  <c r="G1689" i="1"/>
  <c r="G624" i="1"/>
  <c r="G2757" i="1"/>
  <c r="G1526" i="1"/>
  <c r="G1916" i="1"/>
  <c r="G1227" i="1"/>
  <c r="G1788" i="1"/>
  <c r="G398" i="1"/>
  <c r="G296" i="1"/>
  <c r="G2374" i="1"/>
  <c r="G877" i="1"/>
  <c r="G2383" i="1"/>
  <c r="G521" i="1"/>
  <c r="G2012" i="1"/>
  <c r="G617" i="1"/>
  <c r="G3255" i="1"/>
  <c r="G419" i="1"/>
  <c r="G2785" i="1"/>
  <c r="G3153" i="1"/>
  <c r="G1294" i="1"/>
  <c r="G1357" i="1"/>
  <c r="G826" i="1"/>
  <c r="G2079" i="1"/>
  <c r="G996" i="1"/>
  <c r="G2988" i="1"/>
  <c r="G2289" i="1"/>
  <c r="G903" i="1"/>
  <c r="G1741" i="1"/>
  <c r="G1556" i="1"/>
  <c r="G1387" i="1"/>
  <c r="G2912" i="1"/>
  <c r="G1142" i="1"/>
  <c r="G1139" i="1"/>
  <c r="G499" i="1"/>
  <c r="G2062" i="1"/>
  <c r="G1371" i="1"/>
  <c r="G2224" i="1"/>
  <c r="G780" i="1"/>
  <c r="G978" i="1"/>
  <c r="G375" i="1"/>
  <c r="G2809" i="1"/>
  <c r="G2382" i="1"/>
  <c r="G1152" i="1"/>
  <c r="G1007" i="1"/>
  <c r="G1059" i="1"/>
  <c r="G1813" i="1"/>
  <c r="G1957" i="1"/>
  <c r="G2926" i="1"/>
  <c r="G2379" i="1"/>
  <c r="G2306" i="1"/>
  <c r="G627" i="1"/>
  <c r="G61" i="1"/>
  <c r="G2873" i="1"/>
  <c r="G3341" i="1"/>
  <c r="G3" i="1"/>
  <c r="G74" i="1"/>
  <c r="G160" i="1"/>
  <c r="G1983" i="1"/>
  <c r="G967" i="1"/>
  <c r="G68" i="1"/>
  <c r="G2164" i="1"/>
  <c r="G92" i="1"/>
  <c r="G2272" i="1"/>
  <c r="G148" i="1"/>
  <c r="G1436" i="1"/>
  <c r="G348" i="1"/>
  <c r="G2059" i="1"/>
  <c r="G2021" i="1"/>
  <c r="G2529" i="1"/>
  <c r="G2024" i="1"/>
  <c r="G1508" i="1"/>
  <c r="G2081" i="1"/>
  <c r="G196" i="1"/>
  <c r="G2153" i="1"/>
  <c r="G86" i="1"/>
  <c r="G2018" i="1"/>
  <c r="G1448" i="1"/>
  <c r="F2864" i="1"/>
  <c r="F1183" i="1"/>
  <c r="F3071" i="1"/>
  <c r="F2454" i="1"/>
  <c r="F2498" i="1"/>
  <c r="F2933" i="1"/>
  <c r="F2038" i="1"/>
  <c r="F1920" i="1"/>
  <c r="F2795" i="1"/>
  <c r="F2272" i="1"/>
  <c r="G2631" i="1"/>
  <c r="G2278" i="1"/>
  <c r="G2741" i="1"/>
  <c r="G3199" i="1"/>
  <c r="G303" i="1"/>
  <c r="G2749" i="1"/>
  <c r="G2637" i="1"/>
  <c r="G1250" i="1"/>
  <c r="G2208" i="1"/>
  <c r="G1786" i="1"/>
  <c r="G2191" i="1"/>
  <c r="G1660" i="1"/>
  <c r="G2573" i="1"/>
  <c r="G2660" i="1"/>
  <c r="G2203" i="1"/>
  <c r="G1269" i="1"/>
  <c r="G1268" i="1"/>
  <c r="G2657" i="1"/>
  <c r="G1092" i="1"/>
  <c r="G2555" i="1"/>
  <c r="G54" i="1"/>
  <c r="G2103" i="1"/>
  <c r="G937" i="1"/>
  <c r="G3223" i="1"/>
  <c r="G2004" i="1"/>
  <c r="G1533" i="1"/>
  <c r="G3023" i="1"/>
  <c r="G637" i="1"/>
  <c r="G2530" i="1"/>
  <c r="G3233" i="1"/>
  <c r="G2312" i="1"/>
  <c r="G2201" i="1"/>
  <c r="G861" i="1"/>
  <c r="G2319" i="1"/>
  <c r="G147" i="1"/>
  <c r="G2137" i="1"/>
  <c r="G1417" i="1"/>
  <c r="G1852" i="1"/>
  <c r="G811" i="1"/>
  <c r="G2731" i="1"/>
  <c r="G467" i="1"/>
  <c r="G1674" i="1"/>
  <c r="G2049" i="1"/>
  <c r="G2524" i="1"/>
  <c r="G537" i="1"/>
  <c r="G2886" i="1"/>
  <c r="G119" i="1"/>
  <c r="G948" i="1"/>
  <c r="G2133" i="1"/>
  <c r="G1955" i="1"/>
  <c r="G3342" i="1"/>
  <c r="G2056" i="1"/>
  <c r="G3051" i="1"/>
  <c r="G2734" i="1"/>
  <c r="G2597" i="1"/>
  <c r="G2158" i="1"/>
  <c r="G2714" i="1"/>
  <c r="G3083" i="1"/>
  <c r="G3016" i="1"/>
  <c r="G3162" i="1"/>
  <c r="G1242" i="1"/>
  <c r="G1902" i="1"/>
  <c r="G2786" i="1"/>
  <c r="G198" i="1"/>
  <c r="G2977" i="1"/>
  <c r="G1644" i="1"/>
  <c r="G1972" i="1"/>
  <c r="G202" i="1"/>
  <c r="G203" i="1"/>
  <c r="G3218" i="1"/>
  <c r="G3071" i="1"/>
  <c r="G3008" i="1"/>
  <c r="G1746" i="1"/>
  <c r="G1441" i="1"/>
  <c r="G992" i="1"/>
  <c r="G286" i="1"/>
  <c r="G916" i="1"/>
  <c r="G1047" i="1"/>
  <c r="G362" i="1"/>
  <c r="G508" i="1"/>
  <c r="G2232" i="1"/>
  <c r="G3011" i="1"/>
  <c r="G192" i="1"/>
  <c r="G2245" i="1"/>
  <c r="G1135" i="1"/>
  <c r="G1100" i="1"/>
  <c r="G1389" i="1"/>
  <c r="G2743" i="1"/>
  <c r="G2014" i="1"/>
  <c r="G2366" i="1"/>
  <c r="G593" i="1"/>
  <c r="G448" i="1"/>
  <c r="G2408" i="1"/>
  <c r="G2209" i="1"/>
  <c r="G3035" i="1"/>
  <c r="G1484" i="1"/>
  <c r="G695" i="1"/>
  <c r="G2096" i="1"/>
  <c r="G2110" i="1"/>
  <c r="G1563" i="1"/>
  <c r="G1828" i="1"/>
  <c r="G3379" i="1"/>
  <c r="G2521" i="1"/>
  <c r="G828" i="1"/>
  <c r="G2457" i="1"/>
  <c r="G934" i="1"/>
  <c r="G2181" i="1"/>
  <c r="G130" i="1"/>
  <c r="G2887" i="1"/>
  <c r="G681" i="1"/>
  <c r="G2040" i="1"/>
  <c r="G3079" i="1"/>
  <c r="G2674" i="1"/>
  <c r="G2502" i="1"/>
  <c r="G123" i="1"/>
  <c r="G531" i="1"/>
  <c r="G2963" i="1"/>
  <c r="G277" i="1"/>
  <c r="G2668" i="1"/>
  <c r="G2774" i="1"/>
  <c r="G2100" i="1"/>
  <c r="G1180" i="1"/>
  <c r="G7" i="1"/>
  <c r="G2607" i="1"/>
  <c r="G3236" i="1"/>
  <c r="G1743" i="1"/>
  <c r="G1657" i="1"/>
  <c r="G2005" i="1"/>
  <c r="G1416" i="1"/>
  <c r="G1011" i="1"/>
  <c r="G2199" i="1"/>
  <c r="G32" i="1"/>
  <c r="G3373" i="1"/>
  <c r="G1585" i="1"/>
  <c r="G2118" i="1"/>
  <c r="G944" i="1"/>
  <c r="G906" i="1"/>
  <c r="G110" i="1"/>
  <c r="G1961" i="1"/>
  <c r="G920" i="1"/>
  <c r="G2207" i="1"/>
  <c r="G2462" i="1"/>
  <c r="G2395" i="1"/>
  <c r="G1761" i="1"/>
  <c r="G1525" i="1"/>
  <c r="G1048" i="1"/>
  <c r="G356" i="1"/>
  <c r="G3010" i="1"/>
  <c r="G3129" i="1"/>
  <c r="G1084" i="1"/>
  <c r="G3387" i="1"/>
  <c r="G2640" i="1"/>
  <c r="G1040" i="1"/>
  <c r="G2760" i="1"/>
  <c r="G1222" i="1"/>
  <c r="G1732" i="1"/>
  <c r="G438" i="1"/>
  <c r="G209" i="1"/>
  <c r="G1027" i="1"/>
  <c r="G511" i="1"/>
  <c r="G2302" i="1"/>
  <c r="G2128" i="1"/>
  <c r="G845" i="1"/>
  <c r="G2619" i="1"/>
  <c r="G2680" i="1"/>
  <c r="G1255" i="1"/>
  <c r="G1924" i="1"/>
  <c r="G1833" i="1"/>
  <c r="G1217" i="1"/>
  <c r="G2340" i="1"/>
  <c r="G1625" i="1"/>
  <c r="G455" i="1"/>
  <c r="G2587" i="1"/>
  <c r="G2038" i="1"/>
  <c r="G116" i="1"/>
  <c r="G1202" i="1"/>
  <c r="G2787" i="1"/>
  <c r="G1287" i="1"/>
  <c r="G1973" i="1"/>
  <c r="G3283" i="1"/>
  <c r="G2958" i="1"/>
  <c r="G3284" i="1"/>
  <c r="G1391" i="1"/>
  <c r="G420" i="1"/>
  <c r="G3165" i="1"/>
  <c r="G1527" i="1"/>
  <c r="G2048" i="1"/>
  <c r="G1803" i="1"/>
  <c r="G471" i="1"/>
  <c r="G582" i="1"/>
  <c r="G1486" i="1"/>
  <c r="G220" i="1"/>
  <c r="G2921" i="1"/>
  <c r="G2712" i="1"/>
  <c r="G423" i="1"/>
  <c r="G2671" i="1"/>
  <c r="G3216" i="1"/>
  <c r="G3226" i="1"/>
  <c r="G2852" i="1"/>
  <c r="G1574" i="1"/>
  <c r="G3247" i="1"/>
  <c r="G2104" i="1"/>
  <c r="G2888" i="1"/>
  <c r="G2677" i="1"/>
  <c r="G3266" i="1"/>
  <c r="G3131" i="1"/>
  <c r="G526" i="1"/>
  <c r="G2833" i="1"/>
  <c r="G2581" i="1"/>
  <c r="G2929" i="1"/>
  <c r="G1889" i="1"/>
  <c r="G2663" i="1"/>
  <c r="G2041" i="1"/>
  <c r="G2273" i="1"/>
  <c r="G114" i="1"/>
  <c r="G118" i="1"/>
  <c r="G2274" i="1"/>
  <c r="G245" i="1"/>
  <c r="G2076" i="1"/>
  <c r="G265" i="1"/>
  <c r="G2627" i="1"/>
  <c r="G1107" i="1"/>
  <c r="G678" i="1"/>
  <c r="G1035" i="1"/>
  <c r="G1637" i="1"/>
  <c r="G856" i="1"/>
  <c r="G3026" i="1"/>
  <c r="G884" i="1"/>
  <c r="G2365" i="1"/>
  <c r="G815" i="1"/>
  <c r="G2325" i="1"/>
  <c r="G3102" i="1"/>
  <c r="G2778" i="1"/>
  <c r="G1449" i="1"/>
  <c r="G607" i="1"/>
  <c r="G1328" i="1"/>
  <c r="G1979" i="1"/>
  <c r="G878" i="1"/>
  <c r="G2006" i="1"/>
  <c r="G902" i="1"/>
  <c r="G1406" i="1"/>
  <c r="G2441" i="1"/>
  <c r="G1063" i="1"/>
  <c r="F1331" i="1"/>
  <c r="F964" i="1"/>
  <c r="F296" i="1"/>
  <c r="F3404" i="1"/>
  <c r="F1000" i="1"/>
  <c r="F2825" i="1"/>
  <c r="F2677" i="1"/>
  <c r="F453" i="1"/>
  <c r="F1434" i="1"/>
  <c r="G1542" i="1"/>
  <c r="G238" i="1"/>
  <c r="G3400" i="1"/>
  <c r="G600" i="1"/>
  <c r="G2935" i="1"/>
  <c r="G2486" i="1"/>
  <c r="G1756" i="1"/>
  <c r="G1894" i="1"/>
  <c r="G1168" i="1"/>
  <c r="G3252" i="1"/>
  <c r="G622" i="1"/>
  <c r="G240" i="1"/>
  <c r="G873" i="1"/>
  <c r="G1334" i="1"/>
  <c r="G635" i="1"/>
  <c r="G825" i="1"/>
  <c r="G2744" i="1"/>
  <c r="G1171" i="1"/>
  <c r="G2899" i="1"/>
  <c r="G940" i="1"/>
  <c r="G3039" i="1"/>
  <c r="G1099" i="1"/>
  <c r="G93" i="1"/>
  <c r="G1020" i="1"/>
  <c r="G2168" i="1"/>
  <c r="G1805" i="1"/>
  <c r="G2551" i="1"/>
  <c r="G831" i="1"/>
  <c r="G1682" i="1"/>
  <c r="G2841" i="1"/>
  <c r="G603" i="1"/>
  <c r="G2218" i="1"/>
  <c r="G2781" i="1"/>
  <c r="G1883" i="1"/>
  <c r="G829" i="1"/>
  <c r="G2323" i="1"/>
  <c r="G2646" i="1"/>
  <c r="G2331" i="1"/>
  <c r="G2416" i="1"/>
  <c r="G1599" i="1"/>
  <c r="G1729" i="1"/>
  <c r="G441" i="1"/>
  <c r="G1987" i="1"/>
  <c r="G1944" i="1"/>
  <c r="G576" i="1"/>
  <c r="G2337" i="1"/>
  <c r="G1933" i="1"/>
  <c r="G1597" i="1"/>
  <c r="G2914" i="1"/>
  <c r="G3358" i="1"/>
  <c r="G1380" i="1"/>
  <c r="G3262" i="1"/>
  <c r="G496" i="1"/>
  <c r="G3047" i="1"/>
  <c r="G3094" i="1"/>
  <c r="G241" i="1"/>
  <c r="G2264" i="1"/>
  <c r="G1638" i="1"/>
  <c r="G1605" i="1"/>
  <c r="G1297" i="1"/>
  <c r="G756" i="1"/>
  <c r="G475" i="1"/>
  <c r="G3402" i="1"/>
  <c r="G317" i="1"/>
  <c r="G2353" i="1"/>
  <c r="G2260" i="1"/>
  <c r="G1443" i="1"/>
  <c r="G923" i="1"/>
  <c r="G210" i="1"/>
  <c r="G1601" i="1"/>
  <c r="G1324" i="1"/>
  <c r="G1254" i="1"/>
  <c r="G869" i="1"/>
  <c r="G458" i="1"/>
  <c r="G1356" i="1"/>
  <c r="G2515" i="1"/>
  <c r="G1759" i="1"/>
  <c r="G175" i="1"/>
  <c r="G904" i="1"/>
  <c r="G989" i="1"/>
  <c r="G477" i="1"/>
  <c r="G215" i="1"/>
  <c r="G2861" i="1"/>
  <c r="G1481" i="1"/>
  <c r="G1718" i="1"/>
  <c r="G2300" i="1"/>
  <c r="G1896" i="1"/>
  <c r="G2422" i="1"/>
  <c r="G3082" i="1"/>
  <c r="G1240" i="1"/>
  <c r="G191" i="1"/>
  <c r="G1130" i="1"/>
  <c r="G393" i="1"/>
  <c r="G2094" i="1"/>
  <c r="G1450" i="1"/>
  <c r="G2318" i="1"/>
  <c r="G616" i="1"/>
  <c r="G2513" i="1"/>
  <c r="G1589" i="1"/>
  <c r="G260" i="1"/>
  <c r="G3186" i="1"/>
  <c r="G1864" i="1"/>
  <c r="G2645" i="1"/>
  <c r="G2265" i="1"/>
  <c r="G2162" i="1"/>
  <c r="G256" i="1"/>
  <c r="G973" i="1"/>
  <c r="G1781" i="1"/>
  <c r="G1567" i="1"/>
  <c r="G1375" i="1"/>
  <c r="G1000" i="1"/>
  <c r="G1545" i="1"/>
  <c r="G1630" i="1"/>
  <c r="G1347" i="1"/>
  <c r="G1939" i="1"/>
  <c r="G844" i="1"/>
  <c r="G2569" i="1"/>
  <c r="G1733" i="1"/>
  <c r="G592" i="1"/>
  <c r="G1821" i="1"/>
  <c r="G2770" i="1"/>
  <c r="G1179" i="1"/>
  <c r="G2606" i="1"/>
  <c r="G2790" i="1"/>
  <c r="G3381" i="1"/>
  <c r="G1577" i="1"/>
  <c r="G2864" i="1"/>
  <c r="G2215" i="1"/>
  <c r="G3347" i="1"/>
  <c r="G1938" i="1"/>
  <c r="G786" i="1"/>
  <c r="G1003" i="1"/>
  <c r="G2574" i="1"/>
  <c r="G2003" i="1"/>
  <c r="G589" i="1"/>
  <c r="G387" i="1"/>
  <c r="G1524" i="1"/>
  <c r="G2705" i="1"/>
  <c r="G224" i="1"/>
  <c r="G559" i="1"/>
  <c r="G1927" i="1"/>
  <c r="G855" i="1"/>
  <c r="G1878" i="1"/>
  <c r="G1728" i="1"/>
  <c r="G326" i="1"/>
  <c r="G817" i="1"/>
  <c r="G2532" i="1"/>
  <c r="G2980" i="1"/>
  <c r="G601" i="1"/>
  <c r="G3254" i="1"/>
  <c r="G274" i="1"/>
  <c r="G2505" i="1"/>
  <c r="G347" i="1"/>
  <c r="G1362" i="1"/>
  <c r="G1383" i="1"/>
  <c r="G2635" i="1"/>
  <c r="G3191" i="1"/>
  <c r="G2839" i="1"/>
  <c r="G1978" i="1"/>
  <c r="G3004" i="1"/>
  <c r="G771" i="1"/>
  <c r="G749" i="1"/>
  <c r="G1631" i="1"/>
  <c r="G2138" i="1"/>
  <c r="G1647" i="1"/>
  <c r="G1197" i="1"/>
  <c r="G1796" i="1"/>
  <c r="G211" i="1"/>
  <c r="G2343" i="1"/>
  <c r="G2423" i="1"/>
  <c r="G2418" i="1"/>
  <c r="G2549" i="1"/>
  <c r="G2802" i="1"/>
  <c r="G1908" i="1"/>
  <c r="G2890" i="1"/>
  <c r="G2755" i="1"/>
  <c r="G1042" i="1"/>
  <c r="G3318" i="1"/>
  <c r="G2838" i="1"/>
  <c r="G1550" i="1"/>
  <c r="G2368" i="1"/>
  <c r="G1839" i="1"/>
  <c r="G2075" i="1"/>
  <c r="G2664" i="1"/>
  <c r="G2976" i="1"/>
  <c r="G1929" i="1"/>
  <c r="G2324" i="1"/>
  <c r="G794" i="1"/>
  <c r="G1930" i="1"/>
  <c r="G693" i="1"/>
  <c r="G2346" i="1"/>
  <c r="G1583" i="1"/>
  <c r="G1672" i="1"/>
  <c r="G604" i="1"/>
  <c r="G2458" i="1"/>
  <c r="G39" i="1"/>
  <c r="G1782" i="1"/>
  <c r="G1246" i="1"/>
  <c r="G2948" i="1"/>
  <c r="G473" i="1"/>
  <c r="G2892" i="1"/>
  <c r="G2326" i="1"/>
  <c r="G1590" i="1"/>
  <c r="G852" i="1"/>
  <c r="G324" i="1"/>
  <c r="G798" i="1"/>
  <c r="G2701" i="1"/>
  <c r="G1188" i="1"/>
  <c r="G803" i="1"/>
  <c r="G2620" i="1"/>
  <c r="G2665" i="1"/>
  <c r="G2039" i="1"/>
  <c r="G88" i="1"/>
  <c r="G41" i="1"/>
  <c r="G2891" i="1"/>
  <c r="G1127" i="1"/>
  <c r="G138" i="1"/>
  <c r="G42" i="1"/>
  <c r="G144" i="1"/>
  <c r="G27" i="1"/>
  <c r="G725" i="1"/>
  <c r="G1704" i="1"/>
  <c r="G1549" i="1"/>
  <c r="G1072" i="1"/>
  <c r="G2341" i="1"/>
  <c r="G2971" i="1"/>
  <c r="G3214" i="1"/>
  <c r="G450" i="1"/>
  <c r="G105" i="1"/>
  <c r="G2050" i="1"/>
  <c r="G2251" i="1"/>
  <c r="G2548" i="1"/>
  <c r="G3316" i="1"/>
  <c r="G2129" i="1"/>
  <c r="G3134" i="1"/>
  <c r="G1945" i="1"/>
  <c r="G55" i="1"/>
  <c r="G2989" i="1"/>
  <c r="G3118" i="1"/>
  <c r="G98" i="1"/>
  <c r="G2540" i="1"/>
  <c r="G3392" i="1"/>
  <c r="F3334" i="1"/>
  <c r="F814" i="1"/>
  <c r="F1586" i="1"/>
  <c r="F1522" i="1"/>
  <c r="F2674" i="1"/>
  <c r="F1255" i="1"/>
  <c r="F1040" i="1"/>
  <c r="F3318" i="1"/>
  <c r="F1295" i="1"/>
  <c r="G2897" i="1"/>
  <c r="G1461" i="1"/>
  <c r="G1804" i="1"/>
  <c r="G510" i="1"/>
  <c r="G3229" i="1"/>
  <c r="G1224" i="1"/>
  <c r="G2082" i="1"/>
  <c r="G2643" i="1"/>
  <c r="G3213" i="1"/>
  <c r="G2526" i="1"/>
  <c r="G1241" i="1"/>
  <c r="G2433" i="1"/>
  <c r="G1158" i="1"/>
  <c r="G1017" i="1"/>
  <c r="G1612" i="1"/>
  <c r="G1283" i="1"/>
  <c r="G3190" i="1"/>
  <c r="G795" i="1"/>
  <c r="G407" i="1"/>
  <c r="G750" i="1"/>
  <c r="G2583" i="1"/>
  <c r="G3326" i="1"/>
  <c r="G2093" i="1"/>
  <c r="G2932" i="1"/>
  <c r="G1604" i="1"/>
  <c r="G1069" i="1"/>
  <c r="G1905" i="1"/>
  <c r="G1225" i="1"/>
  <c r="G1600" i="1"/>
  <c r="G1477" i="1"/>
  <c r="G2310" i="1"/>
  <c r="G2644" i="1"/>
  <c r="G1535" i="1"/>
  <c r="G3221" i="1"/>
  <c r="G955" i="1"/>
  <c r="G1829" i="1"/>
  <c r="G2064" i="1"/>
  <c r="G3278" i="1"/>
  <c r="G1734" i="1"/>
  <c r="G2483" i="1"/>
  <c r="G2869" i="1"/>
  <c r="G1724" i="1"/>
  <c r="G2384" i="1"/>
  <c r="G2364" i="1"/>
  <c r="G3317" i="1"/>
  <c r="G799" i="1"/>
  <c r="G1361" i="1"/>
  <c r="G1860" i="1"/>
  <c r="G1463" i="1"/>
  <c r="G3088" i="1"/>
  <c r="G2847" i="1"/>
  <c r="G680" i="1"/>
  <c r="G2895" i="1"/>
  <c r="G3384" i="1"/>
  <c r="G3013" i="1"/>
  <c r="G3177" i="1"/>
  <c r="G1413" i="1"/>
  <c r="G322" i="1"/>
  <c r="G3225" i="1"/>
  <c r="G2011" i="1"/>
  <c r="G2241" i="1"/>
  <c r="G3090" i="1"/>
  <c r="G246" i="1"/>
  <c r="G1595" i="1"/>
  <c r="G886" i="1"/>
  <c r="G3103" i="1"/>
  <c r="G2117" i="1"/>
  <c r="G1322" i="1"/>
  <c r="G193" i="1"/>
  <c r="G1858" i="1"/>
  <c r="G489" i="1"/>
  <c r="G651" i="1"/>
  <c r="G731" i="1"/>
  <c r="G2493" i="1"/>
  <c r="G2357" i="1"/>
  <c r="G3073" i="1"/>
  <c r="G1879" i="1"/>
  <c r="G2605" i="1"/>
  <c r="G970" i="1"/>
  <c r="G1026" i="1"/>
  <c r="G459" i="1"/>
  <c r="G1402" i="1"/>
  <c r="G227" i="1"/>
  <c r="G3077" i="1"/>
  <c r="G1543" i="1"/>
  <c r="G1172" i="1"/>
  <c r="G683" i="1"/>
  <c r="G1873" i="1"/>
  <c r="G2303" i="1"/>
  <c r="G947" i="1"/>
  <c r="G2983" i="1"/>
  <c r="G1122" i="1"/>
  <c r="G755" i="1"/>
  <c r="G235" i="1"/>
  <c r="G3393" i="1"/>
  <c r="G737" i="1"/>
  <c r="G818" i="1"/>
  <c r="G437" i="1"/>
  <c r="G2345" i="1"/>
  <c r="G1271" i="1"/>
  <c r="G642" i="1"/>
  <c r="G1998" i="1"/>
  <c r="G1982" i="1"/>
  <c r="G31" i="1"/>
  <c r="G769" i="1"/>
  <c r="G3222" i="1"/>
  <c r="G2675" i="1"/>
  <c r="G3390" i="1"/>
  <c r="G2943" i="1"/>
  <c r="G3076" i="1"/>
  <c r="G2099" i="1"/>
  <c r="G821" i="1"/>
  <c r="G3054" i="1"/>
  <c r="G1458" i="1"/>
  <c r="G3245" i="1"/>
  <c r="G2148" i="1"/>
  <c r="G1610" i="1"/>
  <c r="G628" i="1"/>
  <c r="G342" i="1"/>
  <c r="G662" i="1"/>
  <c r="G1251" i="1"/>
  <c r="G285" i="1"/>
  <c r="G465" i="1"/>
  <c r="G2708" i="1"/>
  <c r="G121" i="1"/>
  <c r="G3200" i="1"/>
  <c r="G550" i="1"/>
  <c r="F772" i="1"/>
  <c r="F2689" i="1"/>
  <c r="F3077" i="1"/>
  <c r="F1911" i="1"/>
  <c r="F592" i="1"/>
  <c r="F521" i="1"/>
  <c r="F2268" i="1"/>
  <c r="F1279" i="1"/>
  <c r="F1297" i="1"/>
  <c r="G163" i="1"/>
  <c r="G1966" i="1"/>
  <c r="G2688" i="1"/>
  <c r="G102" i="1"/>
  <c r="G611" i="1"/>
  <c r="G1713" i="1"/>
  <c r="G1454" i="1"/>
  <c r="G2560" i="1"/>
  <c r="G3006" i="1"/>
  <c r="G2772" i="1"/>
  <c r="G891" i="1"/>
  <c r="G2130" i="1"/>
  <c r="G2962" i="1"/>
  <c r="G974" i="1"/>
  <c r="G154" i="1"/>
  <c r="G400" i="1"/>
  <c r="G2792" i="1"/>
  <c r="G3111" i="1"/>
  <c r="G3303" i="1"/>
  <c r="G3348" i="1"/>
  <c r="G1517" i="1"/>
  <c r="G2978" i="1"/>
  <c r="G1112" i="1"/>
  <c r="G1376" i="1"/>
  <c r="G668" i="1"/>
  <c r="G2020" i="1"/>
  <c r="G1565" i="1"/>
  <c r="G1379" i="1"/>
  <c r="G1411" i="1"/>
  <c r="G1802" i="1"/>
  <c r="G66" i="1"/>
  <c r="G2315" i="1"/>
  <c r="G2825" i="1"/>
  <c r="G1962" i="1"/>
  <c r="G914" i="1"/>
  <c r="G2031" i="1"/>
  <c r="G2328" i="1"/>
  <c r="G222" i="1"/>
  <c r="G1511" i="1"/>
  <c r="G3195" i="1"/>
  <c r="G1023" i="1"/>
  <c r="G2830" i="1"/>
  <c r="G2259" i="1"/>
  <c r="G2516" i="1"/>
  <c r="G2246" i="1"/>
  <c r="G632" i="1"/>
  <c r="G383" i="1"/>
  <c r="G2507" i="1"/>
  <c r="G3240" i="1"/>
  <c r="G1260" i="1"/>
  <c r="G3276" i="1"/>
  <c r="G1083" i="1"/>
  <c r="G2429" i="1"/>
  <c r="G3366" i="1"/>
  <c r="G169" i="1"/>
  <c r="G2359" i="1"/>
  <c r="G677" i="1"/>
  <c r="G1627" i="1"/>
  <c r="G2900" i="1"/>
  <c r="G5" i="1"/>
  <c r="G2711" i="1"/>
  <c r="G40" i="1"/>
  <c r="G1057" i="1"/>
  <c r="G2286" i="1"/>
  <c r="G977" i="1"/>
  <c r="G100" i="1"/>
  <c r="G1045" i="1"/>
  <c r="G1110" i="1"/>
  <c r="G1578" i="1"/>
  <c r="G3293" i="1"/>
  <c r="G1667" i="1"/>
  <c r="G3163" i="1"/>
  <c r="G2834" i="1"/>
  <c r="G2057" i="1"/>
  <c r="G3289" i="1"/>
  <c r="G3288" i="1"/>
  <c r="G3331" i="1"/>
  <c r="G251" i="1"/>
  <c r="G2966" i="1"/>
  <c r="G1162" i="1"/>
  <c r="G889" i="1"/>
  <c r="G562" i="1"/>
  <c r="G918" i="1"/>
  <c r="G1800" i="1"/>
  <c r="G518" i="1"/>
  <c r="G38" i="1"/>
  <c r="G1421" i="1"/>
  <c r="G551" i="1"/>
  <c r="G3405" i="1"/>
  <c r="G1687" i="1"/>
  <c r="G1676" i="1"/>
  <c r="G333" i="1"/>
  <c r="G2307" i="1"/>
  <c r="G2114" i="1"/>
  <c r="G2069" i="1"/>
  <c r="G1284" i="1"/>
  <c r="G1569" i="1"/>
  <c r="G1343" i="1"/>
  <c r="G2161" i="1"/>
  <c r="G1785" i="1"/>
  <c r="G2561" i="1"/>
  <c r="G2509" i="1"/>
  <c r="G719" i="1"/>
  <c r="G2335" i="1"/>
  <c r="G1106" i="1"/>
  <c r="G2183" i="1"/>
  <c r="G2547" i="1"/>
  <c r="G649" i="1"/>
  <c r="G2204" i="1"/>
  <c r="G2154" i="1"/>
  <c r="G1090" i="1"/>
  <c r="G2816" i="1"/>
  <c r="G261" i="1"/>
  <c r="G1650" i="1"/>
  <c r="G1325" i="1"/>
  <c r="G2492" i="1"/>
  <c r="G1869" i="1"/>
  <c r="G2848" i="1"/>
  <c r="G131" i="1"/>
  <c r="G3285" i="1"/>
  <c r="G3265" i="1"/>
  <c r="G1880" i="1"/>
  <c r="G3410" i="1"/>
  <c r="G1046" i="1"/>
  <c r="G231" i="1"/>
  <c r="G1232" i="1"/>
  <c r="G3046" i="1"/>
  <c r="G3269" i="1"/>
  <c r="G648" i="1"/>
  <c r="G2123" i="1"/>
  <c r="G83" i="1"/>
  <c r="G1634" i="1"/>
  <c r="G1949" i="1"/>
  <c r="G2568" i="1"/>
  <c r="G2115" i="1"/>
  <c r="G3096" i="1"/>
  <c r="G2067" i="1"/>
  <c r="G1028" i="1"/>
  <c r="G2679" i="1"/>
  <c r="G1116" i="1"/>
  <c r="G1775" i="1"/>
  <c r="G2480" i="1"/>
  <c r="G2476" i="1"/>
  <c r="G766" i="1"/>
  <c r="G1373" i="1"/>
  <c r="G2879" i="1"/>
  <c r="G2925" i="1"/>
  <c r="G1479" i="1"/>
  <c r="G453" i="1"/>
  <c r="G2475" i="1"/>
  <c r="G1170" i="1"/>
  <c r="G1423" i="1"/>
  <c r="G1395" i="1"/>
  <c r="G293" i="1"/>
  <c r="G1345" i="1"/>
  <c r="G3275" i="1"/>
  <c r="G3267" i="1"/>
  <c r="G544" i="1"/>
  <c r="G905" i="1"/>
  <c r="G2952" i="1"/>
  <c r="G2400" i="1"/>
  <c r="G1641" i="1"/>
  <c r="G1854" i="1"/>
  <c r="G1299" i="1"/>
  <c r="G2330" i="1"/>
  <c r="G1245" i="1"/>
  <c r="G2244" i="1"/>
  <c r="G1087" i="1"/>
  <c r="G410" i="1"/>
  <c r="G1262" i="1"/>
  <c r="G1680" i="1"/>
  <c r="G1219" i="1"/>
  <c r="G1963" i="1"/>
  <c r="G2360" i="1"/>
  <c r="G1735" i="1"/>
  <c r="G1547" i="1"/>
  <c r="G3325" i="1"/>
  <c r="G3070" i="1"/>
  <c r="G2189" i="1"/>
  <c r="G638" i="1"/>
  <c r="G22" i="1"/>
  <c r="G3302" i="1"/>
  <c r="G1030" i="1"/>
  <c r="G1653" i="1"/>
  <c r="G200" i="1"/>
  <c r="G3404" i="1"/>
  <c r="G3114" i="1"/>
  <c r="G1056" i="1"/>
  <c r="G764" i="1"/>
  <c r="G2940" i="1"/>
  <c r="G3037" i="1"/>
  <c r="G692" i="1"/>
  <c r="G2682" i="1"/>
  <c r="G418" i="1"/>
  <c r="G3166" i="1"/>
  <c r="G972" i="1"/>
  <c r="G258" i="1"/>
  <c r="G3015" i="1"/>
  <c r="G2589" i="1"/>
  <c r="G2699" i="1"/>
  <c r="G936" i="1"/>
  <c r="G789" i="1"/>
  <c r="G1809" i="1"/>
  <c r="G3209" i="1"/>
  <c r="G1766" i="1"/>
  <c r="G2266" i="1"/>
  <c r="G959" i="1"/>
  <c r="G408" i="1"/>
  <c r="G2198" i="1"/>
  <c r="G1964" i="1"/>
  <c r="G3290" i="1"/>
  <c r="G19" i="1"/>
  <c r="G1460" i="1"/>
  <c r="G189" i="1"/>
  <c r="G65" i="1"/>
  <c r="G159" i="1"/>
  <c r="G4" i="1"/>
  <c r="G77" i="1"/>
  <c r="G1263" i="1"/>
  <c r="G2275" i="1"/>
  <c r="G564" i="1"/>
  <c r="G986" i="1"/>
  <c r="G1310" i="1"/>
  <c r="G917" i="1"/>
  <c r="G834" i="1"/>
  <c r="G741" i="1"/>
  <c r="G2270" i="1"/>
  <c r="G1466" i="1"/>
  <c r="G2432" i="1"/>
  <c r="G1177" i="1"/>
  <c r="G212" i="1"/>
  <c r="G569" i="1"/>
  <c r="G767" i="1"/>
  <c r="F265" i="1"/>
  <c r="G1636" i="1"/>
  <c r="G1853" i="1"/>
  <c r="G2673" i="1"/>
  <c r="G2949" i="1"/>
  <c r="G2309" i="1"/>
  <c r="G2690" i="1"/>
  <c r="G2468" i="1"/>
  <c r="G2539" i="1"/>
  <c r="G1410" i="1"/>
  <c r="G859" i="1"/>
  <c r="G1659" i="1"/>
  <c r="G1663" i="1"/>
  <c r="F840" i="1"/>
  <c r="F1790" i="1"/>
  <c r="F1172" i="1"/>
  <c r="F2854" i="1"/>
  <c r="F2100" i="1"/>
  <c r="F2340" i="1"/>
  <c r="F1883" i="1"/>
  <c r="F2608" i="1"/>
  <c r="F3" i="1"/>
  <c r="G445" i="1"/>
  <c r="G1951" i="1"/>
  <c r="G3147" i="1"/>
  <c r="G3175" i="1"/>
  <c r="G1758" i="1"/>
  <c r="G2593" i="1"/>
  <c r="G566" i="1"/>
  <c r="G1281" i="1"/>
  <c r="G367" i="1"/>
  <c r="G1918" i="1"/>
  <c r="G2894" i="1"/>
  <c r="G928" i="1"/>
  <c r="G585" i="1"/>
  <c r="G1900" i="1"/>
  <c r="G1842" i="1"/>
  <c r="G1154" i="1"/>
  <c r="G1536" i="1"/>
  <c r="G1266" i="1"/>
  <c r="G2567" i="1"/>
  <c r="G1867" i="1"/>
  <c r="G2882" i="1"/>
  <c r="G841" i="1"/>
  <c r="G2780" i="1"/>
  <c r="G1738" i="1"/>
  <c r="G597" i="1"/>
  <c r="G2180" i="1"/>
  <c r="G2240" i="1"/>
  <c r="G900" i="1"/>
  <c r="G2538" i="1"/>
  <c r="G1428" i="1"/>
  <c r="G1892" i="1"/>
  <c r="G1618" i="1"/>
  <c r="G2225" i="1"/>
  <c r="G2641" i="1"/>
  <c r="G2321" i="1"/>
  <c r="G2849" i="1"/>
  <c r="G857" i="1"/>
  <c r="G1248" i="1"/>
  <c r="G1909" i="1"/>
  <c r="G2709" i="1"/>
  <c r="G1943" i="1"/>
  <c r="G2223" i="1"/>
  <c r="G1427" i="1"/>
  <c r="G446" i="1"/>
  <c r="G466" i="1"/>
  <c r="G2788" i="1"/>
  <c r="G3116" i="1"/>
  <c r="G385" i="1"/>
  <c r="G1695" i="1"/>
  <c r="G1947" i="1"/>
  <c r="G1558" i="1"/>
  <c r="G1812" i="1"/>
  <c r="G3354" i="1"/>
  <c r="G1518" i="1"/>
  <c r="G2028" i="1"/>
  <c r="G3264" i="1"/>
  <c r="G2719" i="1"/>
  <c r="G3074" i="1"/>
  <c r="G2220" i="1"/>
  <c r="G1836" i="1"/>
  <c r="G1419" i="1"/>
  <c r="G594" i="1"/>
  <c r="G1658" i="1"/>
  <c r="G1292" i="1"/>
  <c r="G2689" i="1"/>
  <c r="G1790" i="1"/>
  <c r="G1472" i="1"/>
  <c r="G2706" i="1"/>
  <c r="G2434" i="1"/>
  <c r="G2397" i="1"/>
  <c r="G1053" i="1"/>
  <c r="G2403" i="1"/>
  <c r="G3212" i="1"/>
  <c r="G1478" i="1"/>
  <c r="G1749" i="1"/>
  <c r="G961" i="1"/>
  <c r="G2917" i="1"/>
  <c r="G3249" i="1"/>
  <c r="G2823" i="1"/>
  <c r="G472" i="1"/>
  <c r="G1512" i="1"/>
  <c r="G1398" i="1"/>
  <c r="G2068" i="1"/>
  <c r="G722" i="1"/>
  <c r="G2007" i="1"/>
  <c r="G2723" i="1"/>
  <c r="G1541" i="1"/>
  <c r="G495" i="1"/>
  <c r="G1995" i="1"/>
  <c r="G1544" i="1"/>
  <c r="G1736" i="1"/>
  <c r="G587" i="1"/>
  <c r="G1132" i="1"/>
  <c r="G2866" i="1"/>
  <c r="G2373" i="1"/>
  <c r="G1335" i="1"/>
  <c r="G2613" i="1"/>
  <c r="G1143" i="1"/>
  <c r="G1516" i="1"/>
  <c r="G1617" i="1"/>
  <c r="G24" i="1"/>
  <c r="G2211" i="1"/>
  <c r="G666" i="1"/>
  <c r="G1652" i="1"/>
  <c r="G1548" i="1"/>
  <c r="G2045" i="1"/>
  <c r="G1482" i="1"/>
  <c r="G1554" i="1"/>
  <c r="G2436" i="1"/>
  <c r="G137" i="1"/>
  <c r="G1396" i="1"/>
  <c r="G2950" i="1"/>
  <c r="G76" i="1"/>
  <c r="G1365" i="1"/>
  <c r="G3308" i="1"/>
  <c r="G126" i="1"/>
  <c r="G2125" i="1"/>
  <c r="G3259" i="1"/>
  <c r="G3383" i="1"/>
  <c r="G3059" i="1"/>
  <c r="G2927" i="1"/>
  <c r="G3238" i="1"/>
  <c r="G1994" i="1"/>
  <c r="G2095" i="1"/>
  <c r="G1148" i="1"/>
  <c r="G2909" i="1"/>
  <c r="G1290" i="1"/>
  <c r="G1350" i="1"/>
  <c r="G1239" i="1"/>
  <c r="G2381" i="1"/>
  <c r="G2157" i="1"/>
  <c r="G1791" i="1"/>
  <c r="G2779" i="1"/>
  <c r="G1831" i="1"/>
  <c r="G2704" i="1"/>
  <c r="G2831" i="1"/>
  <c r="G461" i="1"/>
  <c r="G30" i="1"/>
  <c r="G327" i="1"/>
  <c r="G3057" i="1"/>
  <c r="G2308" i="1"/>
  <c r="G353" i="1"/>
  <c r="G2883" i="1"/>
  <c r="G2258" i="1"/>
  <c r="G1762" i="1"/>
  <c r="G827" i="1"/>
  <c r="G3003" i="1"/>
  <c r="G2920" i="1"/>
  <c r="G3049" i="1"/>
  <c r="G14" i="1"/>
  <c r="G1464" i="1"/>
  <c r="G1304" i="1"/>
  <c r="G1298" i="1"/>
  <c r="G415" i="1"/>
  <c r="G2235" i="1"/>
  <c r="G1707" i="1"/>
  <c r="G15" i="1"/>
  <c r="G2023" i="1"/>
  <c r="G2087" i="1"/>
  <c r="G3374" i="1"/>
  <c r="G1968" i="1"/>
  <c r="G1502" i="1"/>
  <c r="G1214" i="1"/>
  <c r="G2322" i="1"/>
  <c r="G2212" i="1"/>
  <c r="G136" i="1"/>
  <c r="G1498" i="1"/>
  <c r="G99" i="1"/>
  <c r="G397" i="1"/>
  <c r="G3048" i="1"/>
  <c r="G1218" i="1"/>
  <c r="G29" i="1"/>
  <c r="G2735" i="1"/>
  <c r="G1868" i="1"/>
  <c r="G503" i="1"/>
  <c r="G1382" i="1"/>
  <c r="G1243" i="1"/>
  <c r="G1095" i="1"/>
  <c r="G3243" i="1"/>
  <c r="G2176" i="1"/>
  <c r="G1798" i="1"/>
  <c r="G2767" i="1"/>
  <c r="G2188" i="1"/>
  <c r="G1303" i="1"/>
  <c r="G1797" i="1"/>
  <c r="G2043" i="1"/>
  <c r="G71" i="1"/>
  <c r="G3403" i="1"/>
  <c r="G107" i="1"/>
  <c r="G1447" i="1"/>
  <c r="G1510" i="1"/>
  <c r="G1108" i="1"/>
  <c r="G1205" i="1"/>
  <c r="G2443" i="1"/>
  <c r="G3346" i="1"/>
  <c r="G2829" i="1"/>
  <c r="G1228" i="1"/>
  <c r="G933" i="1"/>
  <c r="G3197" i="1"/>
  <c r="G1067" i="1"/>
  <c r="G2305" i="1"/>
  <c r="G2015" i="1"/>
  <c r="G2758" i="1"/>
  <c r="G2437" i="1"/>
  <c r="G1898" i="1"/>
  <c r="G426" i="1"/>
  <c r="G2332" i="1"/>
  <c r="G376" i="1"/>
  <c r="G2510" i="1"/>
  <c r="G2008" i="1"/>
  <c r="G2206" i="1"/>
  <c r="G34" i="1"/>
  <c r="G129" i="1"/>
  <c r="G2271" i="1"/>
  <c r="G75" i="1"/>
  <c r="G152" i="1"/>
  <c r="F2822" i="1"/>
  <c r="F385" i="1"/>
  <c r="G2893" i="1"/>
  <c r="G2696" i="1"/>
  <c r="G2670" i="1"/>
  <c r="G146" i="1"/>
  <c r="G1771" i="1"/>
  <c r="G1915" i="1"/>
  <c r="G1247" i="1"/>
  <c r="G3143" i="1"/>
  <c r="G2320" i="1"/>
  <c r="G3173" i="1"/>
  <c r="G272" i="1"/>
  <c r="G2806" i="1"/>
  <c r="G2563" i="1"/>
  <c r="G2448" i="1"/>
  <c r="G3334" i="1"/>
  <c r="G1764" i="1"/>
  <c r="G161" i="1"/>
  <c r="G2944" i="1"/>
  <c r="G545" i="1"/>
  <c r="G1710" i="1"/>
  <c r="G3121" i="1"/>
  <c r="G2375" i="1"/>
  <c r="G2751" i="1"/>
  <c r="G2109" i="1"/>
  <c r="F1366" i="1"/>
  <c r="G560" i="1"/>
  <c r="G2700" i="1"/>
  <c r="G730" i="1"/>
  <c r="G655" i="1"/>
  <c r="G2317" i="1"/>
  <c r="G813" i="1"/>
  <c r="G2496" i="1"/>
  <c r="G2608" i="1"/>
  <c r="G929" i="1"/>
  <c r="G306" i="1"/>
  <c r="G3080" i="1"/>
  <c r="G1018" i="1"/>
  <c r="G53" i="1"/>
  <c r="G874" i="1"/>
  <c r="G2987" i="1"/>
  <c r="G2380" i="1"/>
  <c r="G995" i="1"/>
  <c r="G3205" i="1"/>
  <c r="G2875" i="1"/>
  <c r="G2042" i="1"/>
  <c r="G1118" i="1"/>
  <c r="G3038" i="1"/>
  <c r="G1305" i="1"/>
  <c r="G1564" i="1"/>
  <c r="G1307" i="1"/>
  <c r="G2111" i="1"/>
  <c r="G2764" i="1"/>
  <c r="G2362" i="1"/>
  <c r="G2747" i="1"/>
  <c r="G715" i="1"/>
  <c r="G883" i="1"/>
  <c r="G228" i="1"/>
  <c r="G709" i="1"/>
  <c r="G3040" i="1"/>
  <c r="G819" i="1"/>
  <c r="G2870" i="1"/>
  <c r="G1596" i="1"/>
  <c r="G1923" i="1"/>
  <c r="G3168" i="1"/>
  <c r="G3196" i="1"/>
  <c r="G1769" i="1"/>
  <c r="G37" i="1"/>
  <c r="F1934" i="1"/>
  <c r="G733" i="1"/>
  <c r="G887" i="1"/>
  <c r="G401" i="1"/>
  <c r="G127" i="1"/>
  <c r="G2179" i="1"/>
  <c r="G2086" i="1"/>
  <c r="G3099" i="1"/>
  <c r="G1573" i="1"/>
  <c r="G391" i="1"/>
  <c r="G2019" i="1"/>
  <c r="G2386" i="1"/>
  <c r="G72" i="1"/>
  <c r="G2147" i="1"/>
  <c r="G1681" i="1"/>
  <c r="G3158" i="1"/>
  <c r="G1319" i="1"/>
  <c r="G3277" i="1"/>
  <c r="G3203" i="1"/>
  <c r="G1178" i="1"/>
  <c r="G2990" i="1"/>
  <c r="G1081" i="1"/>
  <c r="G925" i="1"/>
  <c r="G1751" i="1"/>
  <c r="G3012" i="1"/>
  <c r="G3179" i="1"/>
  <c r="G1970" i="1"/>
  <c r="G1613" i="1"/>
  <c r="G1405" i="1"/>
  <c r="G2276" i="1"/>
  <c r="G158" i="1"/>
  <c r="G3272" i="1"/>
  <c r="G706" i="1"/>
  <c r="G1435" i="1"/>
  <c r="G1034" i="1"/>
  <c r="G439" i="1"/>
  <c r="G70" i="1"/>
  <c r="G2616" i="1"/>
  <c r="G2066" i="1"/>
  <c r="G1646" i="1"/>
  <c r="G2385" i="1"/>
  <c r="F490" i="1"/>
  <c r="G1603" i="1"/>
  <c r="G707" i="1"/>
  <c r="G2122" i="1"/>
  <c r="G3067" i="1"/>
  <c r="G1185" i="1"/>
  <c r="G2090" i="1"/>
  <c r="G2938" i="1"/>
  <c r="G3356" i="1"/>
  <c r="G605" i="1"/>
  <c r="G377" i="1"/>
  <c r="G94" i="1"/>
  <c r="G3045" i="1"/>
  <c r="G2327" i="1"/>
  <c r="G1815" i="1"/>
  <c r="G620" i="1"/>
  <c r="G3022" i="1"/>
  <c r="G1043" i="1"/>
  <c r="G2733" i="1"/>
  <c r="G990" i="1"/>
  <c r="G145" i="1"/>
  <c r="G1342" i="1"/>
  <c r="G2725" i="1"/>
  <c r="G2085" i="1"/>
  <c r="G952" i="1"/>
  <c r="G181" i="1"/>
  <c r="F335" i="1"/>
  <c r="G2170" i="1"/>
  <c r="G2063" i="1"/>
  <c r="G614" i="1"/>
  <c r="G2200" i="1"/>
  <c r="G1931" i="1"/>
  <c r="G836" i="1"/>
  <c r="G1104" i="1"/>
  <c r="G1914" i="1"/>
  <c r="G3109" i="1"/>
  <c r="G2622" i="1"/>
  <c r="G3065" i="1"/>
  <c r="G2702" i="1"/>
  <c r="G1456" i="1"/>
  <c r="G1793" i="1"/>
  <c r="G357" i="1"/>
  <c r="G1313" i="1"/>
  <c r="G168" i="1"/>
  <c r="G1032" i="1"/>
  <c r="G1920" i="1"/>
  <c r="G2804" i="1"/>
  <c r="G1467" i="1"/>
  <c r="G2902" i="1"/>
  <c r="G1469" i="1"/>
  <c r="G1425" i="1"/>
  <c r="G2091" i="1"/>
  <c r="G338" i="1"/>
  <c r="G2676" i="1"/>
  <c r="G2479" i="1"/>
  <c r="G36" i="1"/>
  <c r="G156" i="1"/>
  <c r="G479" i="1"/>
  <c r="F2104" i="1"/>
  <c r="G2070" i="1"/>
  <c r="G555" i="1"/>
  <c r="G132" i="1"/>
  <c r="G2165" i="1"/>
  <c r="G1620" i="1"/>
  <c r="G174" i="1"/>
  <c r="F153" i="1"/>
  <c r="G2257" i="1"/>
  <c r="G1349" i="1"/>
  <c r="G1991" i="1"/>
  <c r="G1429" i="1"/>
  <c r="G816" i="1"/>
  <c r="G915" i="1"/>
  <c r="G18" i="1"/>
  <c r="G264" i="1"/>
  <c r="G1220" i="1"/>
  <c r="G125" i="1"/>
  <c r="G2820" i="1"/>
  <c r="G1787" i="1"/>
  <c r="G1639" i="1"/>
  <c r="G2387" i="1"/>
  <c r="G1377" i="1"/>
  <c r="G3150" i="1"/>
  <c r="G2311" i="1"/>
  <c r="G2405" i="1"/>
  <c r="G2683" i="1"/>
  <c r="G2684" i="1"/>
  <c r="G2388" i="1"/>
  <c r="G548" i="1"/>
  <c r="G2401" i="1"/>
  <c r="G2002" i="1"/>
  <c r="G2120" i="1"/>
  <c r="G2716" i="1"/>
  <c r="G1662" i="1"/>
  <c r="G2219" i="1"/>
  <c r="G134" i="1"/>
  <c r="G35" i="1"/>
  <c r="G1566" i="1"/>
  <c r="G48" i="1"/>
  <c r="G60" i="1"/>
  <c r="G2907" i="1"/>
  <c r="G1694" i="1"/>
  <c r="G104" i="1"/>
  <c r="G462" i="1"/>
  <c r="G2819" i="1"/>
  <c r="G754" i="1"/>
  <c r="G2565" i="1"/>
  <c r="G2338" i="1"/>
  <c r="F3055" i="1"/>
  <c r="G2556" i="1"/>
  <c r="G1289" i="1"/>
  <c r="G2294" i="1"/>
  <c r="G2618" i="1"/>
  <c r="G3227" i="1"/>
  <c r="G1819" i="1"/>
  <c r="G724" i="1"/>
  <c r="G671" i="1"/>
  <c r="G1594" i="1"/>
  <c r="G1622" i="1"/>
  <c r="G1414" i="1"/>
  <c r="G512" i="1"/>
  <c r="G1843" i="1"/>
  <c r="G2923" i="1"/>
  <c r="G2185" i="1"/>
  <c r="G290" i="1"/>
  <c r="G1942" i="1"/>
  <c r="G2570" i="1"/>
  <c r="G2827" i="1"/>
  <c r="G239" i="1"/>
  <c r="G1393" i="1"/>
  <c r="G124" i="1"/>
  <c r="G1725" i="1"/>
  <c r="G1013" i="1"/>
  <c r="G2595" i="1"/>
  <c r="G2420" i="1"/>
  <c r="G297" i="1"/>
  <c r="G3409" i="1"/>
  <c r="G2414" i="1"/>
  <c r="G50" i="1"/>
  <c r="G899" i="1"/>
  <c r="G1378" i="1"/>
  <c r="G2163" i="1"/>
  <c r="G1702" i="1"/>
  <c r="G865" i="1"/>
  <c r="G186" i="1"/>
  <c r="G3251" i="1"/>
  <c r="G1175" i="1"/>
  <c r="G1990" i="1"/>
  <c r="G2818" i="1"/>
  <c r="H265" i="1"/>
  <c r="B3579" i="1" l="1"/>
  <c r="B2830" i="1"/>
  <c r="B709" i="1"/>
  <c r="B2302" i="1"/>
  <c r="B3241" i="1"/>
  <c r="B3111" i="1"/>
  <c r="B1884" i="1"/>
  <c r="B3431" i="1"/>
  <c r="B3517" i="1"/>
  <c r="B1729" i="1"/>
  <c r="B2743" i="1"/>
  <c r="B3407" i="1"/>
  <c r="B840" i="1"/>
  <c r="B2801" i="1"/>
  <c r="B3572" i="1"/>
  <c r="B2918" i="1"/>
  <c r="B2467" i="1"/>
  <c r="B3513" i="1"/>
  <c r="B2983" i="1"/>
  <c r="B1030" i="1"/>
  <c r="B2872" i="1"/>
  <c r="B3435" i="1"/>
  <c r="B3043" i="1"/>
  <c r="B1257" i="1"/>
  <c r="B3622" i="1"/>
  <c r="B3595" i="1"/>
  <c r="B3624" i="1"/>
  <c r="B911" i="1"/>
  <c r="B3429" i="1"/>
  <c r="B2460" i="1"/>
  <c r="B3559" i="1"/>
  <c r="B3082" i="1"/>
  <c r="B1829" i="1"/>
  <c r="B1360" i="1"/>
  <c r="B1516" i="1"/>
  <c r="B2893" i="1"/>
  <c r="B3339" i="1"/>
  <c r="B1177" i="1"/>
  <c r="B3549" i="1"/>
  <c r="B2379" i="1"/>
  <c r="B2196" i="1"/>
  <c r="B1520" i="1"/>
  <c r="B810" i="1"/>
  <c r="B1125" i="1"/>
  <c r="B2570" i="1"/>
  <c r="B2752" i="1"/>
  <c r="B2316" i="1"/>
  <c r="B749" i="1"/>
  <c r="B32" i="1"/>
  <c r="B2258" i="1"/>
  <c r="B849" i="1"/>
  <c r="B3405" i="1"/>
  <c r="B2811" i="1"/>
  <c r="B944" i="1"/>
  <c r="B2442" i="1"/>
  <c r="B1493" i="1"/>
  <c r="B3382" i="1"/>
  <c r="B3502" i="1"/>
  <c r="B3433" i="1"/>
  <c r="B2073" i="1"/>
  <c r="B804" i="1"/>
  <c r="B2746" i="1"/>
  <c r="B1195" i="1"/>
  <c r="B2060" i="1"/>
  <c r="B2968" i="1"/>
  <c r="B3528" i="1"/>
  <c r="B3592" i="1"/>
  <c r="B3430" i="1"/>
  <c r="B914" i="1"/>
  <c r="B2039" i="1"/>
  <c r="B1657" i="1"/>
  <c r="B2361" i="1"/>
  <c r="B210" i="1"/>
  <c r="B3335" i="1"/>
  <c r="B3078" i="1"/>
  <c r="B1659" i="1"/>
  <c r="B1699" i="1"/>
  <c r="B816" i="1"/>
  <c r="B3553" i="1"/>
  <c r="B1716" i="1"/>
  <c r="B1303" i="1"/>
  <c r="B1186" i="1"/>
  <c r="B2730" i="1"/>
  <c r="B3030" i="1"/>
  <c r="B1358" i="1"/>
  <c r="B1692" i="1"/>
  <c r="B1625" i="1"/>
  <c r="B135" i="1"/>
  <c r="B3212" i="1"/>
  <c r="B1620" i="1"/>
  <c r="B2380" i="1"/>
  <c r="B1515" i="1"/>
  <c r="B3602" i="1"/>
  <c r="B1132" i="1"/>
  <c r="B1012" i="1"/>
  <c r="B153" i="1"/>
  <c r="B3134" i="1"/>
  <c r="B3492" i="1"/>
  <c r="B1724" i="1"/>
  <c r="B1989" i="1"/>
  <c r="B2632" i="1"/>
  <c r="B1403" i="1"/>
  <c r="B797" i="1"/>
  <c r="B224" i="1"/>
  <c r="B947" i="1"/>
  <c r="B3618" i="1"/>
  <c r="B1201" i="1"/>
  <c r="B48" i="1"/>
  <c r="B795" i="1"/>
  <c r="B2696" i="1"/>
  <c r="B3600" i="1"/>
  <c r="B1359" i="1"/>
  <c r="B3388" i="1"/>
  <c r="B934" i="1"/>
  <c r="B2568" i="1"/>
  <c r="B307" i="1"/>
  <c r="B1261" i="1"/>
  <c r="B381" i="1"/>
  <c r="B3065" i="1"/>
  <c r="B1521" i="1"/>
  <c r="B605" i="1"/>
  <c r="B201" i="1"/>
  <c r="B876" i="1"/>
  <c r="B3621" i="1"/>
  <c r="B380" i="1"/>
  <c r="B3425" i="1"/>
  <c r="B113" i="1"/>
  <c r="B651" i="1"/>
  <c r="B2211" i="1"/>
  <c r="B1318" i="1"/>
  <c r="B817" i="1"/>
  <c r="B341" i="1"/>
  <c r="B2280" i="1"/>
  <c r="B1268" i="1"/>
  <c r="B1472" i="1"/>
  <c r="B3467" i="1"/>
  <c r="B3000" i="1"/>
  <c r="B2414" i="1"/>
  <c r="B3520" i="1"/>
  <c r="B915" i="1"/>
  <c r="B1106" i="1"/>
  <c r="B1278" i="1"/>
  <c r="B15" i="1"/>
  <c r="B1503" i="1"/>
  <c r="B1697" i="1"/>
  <c r="B3381" i="1"/>
  <c r="B58" i="1"/>
  <c r="B39" i="1"/>
  <c r="B61" i="1"/>
  <c r="B2156" i="1"/>
  <c r="B387" i="1"/>
  <c r="B2712" i="1"/>
  <c r="B1370" i="1"/>
  <c r="B3499" i="1"/>
  <c r="B691" i="1"/>
  <c r="B935" i="1"/>
  <c r="B3023" i="1"/>
  <c r="B2922" i="1"/>
  <c r="B3608" i="1"/>
  <c r="B3484" i="1"/>
  <c r="B1075" i="1"/>
  <c r="B1608" i="1"/>
  <c r="B363" i="1"/>
  <c r="B1419" i="1"/>
  <c r="B621" i="1"/>
  <c r="B1171" i="1"/>
  <c r="B3105" i="1"/>
  <c r="B3468" i="1"/>
  <c r="B72" i="1"/>
  <c r="B119" i="1"/>
  <c r="B3220" i="1"/>
  <c r="B792" i="1"/>
  <c r="B1802" i="1"/>
  <c r="B2464" i="1"/>
  <c r="B782" i="1"/>
  <c r="B306" i="1"/>
  <c r="B1954" i="1"/>
  <c r="B2029" i="1"/>
  <c r="B3547" i="1"/>
  <c r="B3347" i="1"/>
  <c r="B3575" i="1"/>
  <c r="B1708" i="1"/>
  <c r="B1700" i="1"/>
  <c r="B868" i="1"/>
  <c r="B3113" i="1"/>
  <c r="B3483" i="1"/>
  <c r="B3261" i="1"/>
  <c r="B3530" i="1"/>
  <c r="B211" i="1"/>
  <c r="B2913" i="1"/>
  <c r="B1834" i="1"/>
  <c r="B1495" i="1"/>
  <c r="B2344" i="1"/>
  <c r="B3193" i="1"/>
  <c r="B1749" i="1"/>
  <c r="B2939" i="1"/>
  <c r="B592" i="1"/>
  <c r="B2540" i="1"/>
  <c r="B24" i="1"/>
  <c r="B821" i="1"/>
  <c r="B1007" i="1"/>
  <c r="B195" i="1"/>
  <c r="B616" i="1"/>
  <c r="B3512" i="1"/>
  <c r="B2850" i="1"/>
  <c r="B2450" i="1"/>
  <c r="B120" i="1"/>
  <c r="B785" i="1"/>
  <c r="B926" i="1"/>
  <c r="B1636" i="1"/>
  <c r="B3334" i="1"/>
  <c r="B16" i="1"/>
  <c r="B954" i="1"/>
  <c r="B1698" i="1"/>
  <c r="B1642" i="1"/>
  <c r="B2124" i="1"/>
  <c r="B1137" i="1"/>
  <c r="B888" i="1"/>
  <c r="B1080" i="1"/>
  <c r="B705" i="1"/>
  <c r="B3308" i="1"/>
  <c r="B3175" i="1"/>
  <c r="B2366" i="1"/>
  <c r="B2583" i="1"/>
  <c r="B278" i="1"/>
  <c r="B1680" i="1"/>
  <c r="B3279" i="1"/>
  <c r="B3539" i="1"/>
  <c r="B3596" i="1"/>
  <c r="B2514" i="1"/>
  <c r="B127" i="1"/>
  <c r="B321" i="1"/>
  <c r="B2228" i="1"/>
  <c r="B3585" i="1"/>
  <c r="B357" i="1"/>
  <c r="B3463" i="1"/>
  <c r="B842" i="1"/>
  <c r="B3080" i="1"/>
  <c r="B1413" i="1"/>
  <c r="B3173" i="1"/>
  <c r="B2817" i="1"/>
  <c r="B660" i="1"/>
  <c r="B1091" i="1"/>
  <c r="B3609" i="1"/>
  <c r="B1497" i="1"/>
  <c r="B3557" i="1"/>
  <c r="B2558" i="1"/>
  <c r="B1783" i="1"/>
  <c r="B1259" i="1"/>
  <c r="B1816" i="1"/>
  <c r="B1779" i="1"/>
  <c r="B2087" i="1"/>
  <c r="B2092" i="1"/>
  <c r="B175" i="1"/>
  <c r="B2052" i="1"/>
  <c r="B3073" i="1"/>
  <c r="B2109" i="1"/>
  <c r="B542" i="1"/>
  <c r="B3186" i="1"/>
  <c r="B3022" i="1"/>
  <c r="B2917" i="1"/>
  <c r="B1961" i="1"/>
  <c r="B763" i="1"/>
  <c r="B2891" i="1"/>
  <c r="B3488" i="1"/>
  <c r="B3249" i="1"/>
  <c r="B3590" i="1"/>
  <c r="B2011" i="1"/>
  <c r="B424" i="1"/>
  <c r="B507" i="1"/>
  <c r="B43" i="1"/>
  <c r="B3447" i="1"/>
  <c r="B1572" i="1"/>
  <c r="B3498" i="1"/>
  <c r="B3632" i="1"/>
  <c r="B2244" i="1"/>
  <c r="B1673" i="1"/>
  <c r="B2397" i="1"/>
  <c r="B897" i="1"/>
  <c r="B2386" i="1"/>
  <c r="B2745" i="1"/>
  <c r="B3546" i="1"/>
  <c r="B41" i="1"/>
  <c r="B3178" i="1"/>
  <c r="B1850" i="1"/>
  <c r="B2579" i="1"/>
  <c r="B2791" i="1"/>
  <c r="B2639" i="1"/>
  <c r="B1490" i="1"/>
  <c r="B1540" i="1"/>
  <c r="B3636" i="1"/>
  <c r="B1806" i="1"/>
  <c r="B2195" i="1"/>
  <c r="B1238" i="1"/>
  <c r="B1486" i="1"/>
  <c r="B2670" i="1"/>
  <c r="B143" i="1"/>
  <c r="B1508" i="1"/>
  <c r="B3481" i="1"/>
  <c r="B3545" i="1"/>
  <c r="B112" i="1"/>
  <c r="B3440" i="1"/>
  <c r="B1276" i="1"/>
  <c r="B681" i="1"/>
  <c r="B347" i="1"/>
  <c r="B3426" i="1"/>
  <c r="B2256" i="1"/>
  <c r="B970" i="1"/>
  <c r="B3343" i="1"/>
  <c r="B885" i="1"/>
  <c r="B2561" i="1"/>
  <c r="B2398" i="1"/>
  <c r="B3568" i="1"/>
  <c r="B3323" i="1"/>
  <c r="B3244" i="1"/>
  <c r="B1233" i="1"/>
  <c r="B1352" i="1"/>
  <c r="B2085" i="1"/>
  <c r="B1931" i="1"/>
  <c r="B591" i="1"/>
  <c r="B1736" i="1"/>
  <c r="B2419" i="1"/>
  <c r="B843" i="1"/>
  <c r="B3531" i="1"/>
  <c r="B1462" i="1"/>
  <c r="B3580" i="1"/>
  <c r="B2577" i="1"/>
  <c r="B1063" i="1"/>
  <c r="B3066" i="1"/>
  <c r="B100" i="1"/>
  <c r="B3480" i="1"/>
  <c r="B2033" i="1"/>
  <c r="B808" i="1"/>
  <c r="B472" i="1"/>
  <c r="B2239" i="1"/>
  <c r="B361" i="1"/>
  <c r="B847" i="1"/>
  <c r="B3482" i="1"/>
  <c r="B67" i="1"/>
  <c r="B124" i="1"/>
  <c r="B1254" i="1"/>
  <c r="B1510" i="1"/>
  <c r="B1211" i="1"/>
  <c r="B2658" i="1"/>
  <c r="B1366" i="1"/>
  <c r="B1644" i="1"/>
  <c r="B1045" i="1"/>
  <c r="B425" i="1"/>
  <c r="B1623" i="1"/>
  <c r="B463" i="1"/>
  <c r="B3374" i="1"/>
  <c r="B1873" i="1"/>
  <c r="B1918" i="1"/>
  <c r="B2255" i="1"/>
  <c r="B652" i="1"/>
  <c r="B1654" i="1"/>
  <c r="B2717" i="1"/>
  <c r="B1309" i="1"/>
  <c r="B1702" i="1"/>
  <c r="B68" i="1"/>
  <c r="B474" i="1"/>
  <c r="B259" i="1"/>
  <c r="B1439" i="1"/>
  <c r="B1807" i="1"/>
  <c r="B3147" i="1"/>
  <c r="B2699" i="1"/>
  <c r="B2484" i="1"/>
  <c r="B1141" i="1"/>
  <c r="B630" i="1"/>
  <c r="B523" i="1"/>
  <c r="B2445" i="1"/>
  <c r="B988" i="1"/>
  <c r="B568" i="1"/>
  <c r="B2921" i="1"/>
  <c r="B3217" i="1"/>
  <c r="B196" i="1"/>
  <c r="B798" i="1"/>
  <c r="B3473" i="1"/>
  <c r="B2935" i="1"/>
  <c r="B987" i="1"/>
  <c r="B1720" i="1"/>
  <c r="B3627" i="1"/>
  <c r="B1564" i="1"/>
  <c r="B1797" i="1"/>
  <c r="B3640" i="1"/>
  <c r="B1799" i="1"/>
  <c r="B25" i="1"/>
  <c r="B1793" i="1"/>
  <c r="B1104" i="1"/>
  <c r="B1640" i="1"/>
  <c r="B2666" i="1"/>
  <c r="B2793" i="1"/>
  <c r="B2140" i="1"/>
  <c r="B492" i="1"/>
  <c r="B1424" i="1"/>
  <c r="B937" i="1"/>
  <c r="B1511" i="1"/>
  <c r="B1911" i="1"/>
  <c r="B2402" i="1"/>
  <c r="B2099" i="1"/>
  <c r="B1392" i="1"/>
  <c r="B1376" i="1"/>
  <c r="B2619" i="1"/>
  <c r="B3214" i="1"/>
  <c r="B106" i="1"/>
  <c r="B2132" i="1"/>
  <c r="B1828" i="1"/>
  <c r="B1670" i="1"/>
  <c r="B2046" i="1"/>
  <c r="B2218" i="1"/>
  <c r="B1535" i="1"/>
  <c r="B3412" i="1"/>
  <c r="B2576" i="1"/>
  <c r="B3067" i="1"/>
  <c r="B2608" i="1"/>
  <c r="B1224" i="1"/>
  <c r="B3566" i="1"/>
  <c r="B1092" i="1"/>
  <c r="B1781" i="1"/>
  <c r="B2962" i="1"/>
  <c r="B2503" i="1"/>
  <c r="B171" i="1"/>
  <c r="B703" i="1"/>
  <c r="B1639" i="1"/>
  <c r="B1203" i="1"/>
  <c r="B410" i="1"/>
  <c r="B2101" i="1"/>
  <c r="B3569" i="1"/>
  <c r="B989" i="1"/>
  <c r="B924" i="1"/>
  <c r="B1281" i="1"/>
  <c r="B440" i="1"/>
  <c r="B393" i="1"/>
  <c r="B407" i="1"/>
  <c r="B1050" i="1"/>
  <c r="B2161" i="1"/>
  <c r="B2384" i="1"/>
  <c r="B2341" i="1"/>
  <c r="B305" i="1"/>
  <c r="B155" i="1"/>
  <c r="B159" i="1"/>
  <c r="B699" i="1"/>
  <c r="B2293" i="1"/>
  <c r="B2706" i="1"/>
  <c r="B743" i="1"/>
  <c r="B390" i="1"/>
  <c r="B1374" i="1"/>
  <c r="B1803" i="1"/>
  <c r="B1951" i="1"/>
  <c r="B2350" i="1"/>
  <c r="B2177" i="1"/>
  <c r="B2828" i="1"/>
  <c r="B173" i="1"/>
  <c r="B1557" i="1"/>
  <c r="B2050" i="1"/>
  <c r="B1000" i="1"/>
  <c r="B1378" i="1"/>
  <c r="B1108" i="1"/>
  <c r="B2571" i="1"/>
  <c r="B406" i="1"/>
  <c r="B3536" i="1"/>
  <c r="B2446" i="1"/>
  <c r="B784" i="1"/>
  <c r="B1991" i="1"/>
  <c r="B2845" i="1"/>
  <c r="B2117" i="1"/>
  <c r="B3074" i="1"/>
  <c r="B758" i="1"/>
  <c r="B665" i="1"/>
  <c r="B3004" i="1"/>
  <c r="B59" i="1"/>
  <c r="B2138" i="1"/>
  <c r="B1042" i="1"/>
  <c r="B2271" i="1"/>
  <c r="B2272" i="1"/>
  <c r="B2273" i="1"/>
  <c r="B2274" i="1"/>
  <c r="B2275" i="1"/>
  <c r="B2276" i="1"/>
  <c r="B3416" i="1"/>
  <c r="B3417" i="1"/>
  <c r="B3420" i="1"/>
  <c r="B3434" i="1"/>
  <c r="B3438" i="1"/>
  <c r="B3442" i="1"/>
  <c r="B3443" i="1"/>
  <c r="B3446" i="1"/>
  <c r="B3449" i="1"/>
  <c r="B3451" i="1"/>
  <c r="B3453" i="1"/>
  <c r="B3455" i="1"/>
  <c r="B3460" i="1"/>
  <c r="B3464" i="1"/>
  <c r="B3466" i="1"/>
  <c r="B3470" i="1"/>
  <c r="B3474" i="1"/>
  <c r="B3478" i="1"/>
  <c r="B3485" i="1"/>
  <c r="B3486" i="1"/>
  <c r="B3493" i="1"/>
  <c r="B3495" i="1"/>
  <c r="B3496" i="1"/>
  <c r="B3504" i="1"/>
  <c r="B3511" i="1"/>
  <c r="B3515" i="1"/>
  <c r="B2278" i="1"/>
  <c r="B3524" i="1"/>
  <c r="B3525" i="1"/>
  <c r="B3532" i="1"/>
  <c r="B3533" i="1"/>
  <c r="B2279" i="1"/>
  <c r="B3538" i="1"/>
  <c r="B3544" i="1"/>
  <c r="B3548" i="1"/>
  <c r="B3550" i="1"/>
  <c r="B3552" i="1"/>
  <c r="B3558" i="1"/>
  <c r="B3574" i="1"/>
  <c r="B3584" i="1"/>
  <c r="B3586" i="1"/>
  <c r="B3599" i="1"/>
  <c r="B3601" i="1"/>
  <c r="B2047" i="1"/>
  <c r="B6" i="1"/>
  <c r="B2281" i="1"/>
  <c r="B2999" i="1"/>
  <c r="B2283" i="1"/>
  <c r="B864" i="1"/>
  <c r="B2285" i="1"/>
  <c r="B2286" i="1"/>
  <c r="B2287" i="1"/>
  <c r="B2288" i="1"/>
  <c r="B2289" i="1"/>
  <c r="B2876" i="1"/>
  <c r="B2290" i="1"/>
  <c r="B2291" i="1"/>
  <c r="B2292" i="1"/>
  <c r="B2294" i="1"/>
  <c r="B416" i="1"/>
  <c r="B2295" i="1"/>
  <c r="B2296" i="1"/>
  <c r="B2297" i="1"/>
  <c r="B2299" i="1"/>
  <c r="B2300" i="1"/>
  <c r="B2820" i="1"/>
  <c r="B12" i="1"/>
  <c r="B2301" i="1"/>
  <c r="B2303" i="1"/>
  <c r="B2304" i="1"/>
  <c r="B2305" i="1"/>
  <c r="B2306" i="1"/>
  <c r="B2307" i="1"/>
  <c r="B2308" i="1"/>
  <c r="B2309" i="1"/>
  <c r="B2310" i="1"/>
  <c r="B2311" i="1"/>
  <c r="B2312" i="1"/>
  <c r="B2324" i="1"/>
  <c r="B2313" i="1"/>
  <c r="B2314" i="1"/>
  <c r="B2315" i="1"/>
  <c r="B2317" i="1"/>
  <c r="B2318" i="1"/>
  <c r="B2319" i="1"/>
  <c r="B2320" i="1"/>
  <c r="B2321" i="1"/>
  <c r="B2322" i="1"/>
  <c r="B2323" i="1"/>
  <c r="B2325" i="1"/>
  <c r="B2327" i="1"/>
  <c r="B2328" i="1"/>
  <c r="B2329" i="1"/>
  <c r="B2330" i="1"/>
  <c r="B2335" i="1"/>
  <c r="B2331" i="1"/>
  <c r="B1175" i="1"/>
  <c r="B2332" i="1"/>
  <c r="B2333" i="1"/>
  <c r="B2334" i="1"/>
  <c r="B31" i="1"/>
  <c r="B537" i="1"/>
  <c r="B2338" i="1"/>
  <c r="B2336" i="1"/>
  <c r="B3344" i="1"/>
  <c r="B575" i="1"/>
  <c r="B1401" i="1"/>
  <c r="B2860" i="1"/>
  <c r="B2832" i="1"/>
  <c r="B2564" i="1"/>
  <c r="B1159" i="1"/>
  <c r="B1379" i="1"/>
  <c r="B203" i="1"/>
  <c r="B692" i="1"/>
  <c r="B261" i="1"/>
  <c r="B239" i="1"/>
  <c r="B3604" i="1"/>
  <c r="B2631" i="1"/>
  <c r="B115" i="1"/>
  <c r="B3505" i="1"/>
  <c r="B2836" i="1"/>
  <c r="B1523" i="1"/>
  <c r="B3587" i="1"/>
  <c r="B1429" i="1"/>
  <c r="B526" i="1"/>
  <c r="B3116" i="1"/>
  <c r="B1344" i="1"/>
  <c r="B2621" i="1"/>
  <c r="B1033" i="1"/>
  <c r="B3077" i="1"/>
  <c r="B1460" i="1"/>
  <c r="B670" i="1"/>
  <c r="B618" i="1"/>
  <c r="B194" i="1"/>
  <c r="B122" i="1"/>
  <c r="B62" i="1"/>
  <c r="B1789" i="1"/>
  <c r="B2585" i="1"/>
  <c r="B164" i="1"/>
  <c r="B1446" i="1"/>
  <c r="B2058" i="1"/>
  <c r="B2222" i="1"/>
  <c r="B2634" i="1"/>
  <c r="B2762" i="1"/>
  <c r="B232" i="1"/>
  <c r="B972" i="1"/>
  <c r="B1248" i="1"/>
  <c r="B1237" i="1"/>
  <c r="B3198" i="1"/>
  <c r="B881" i="1"/>
  <c r="B2936" i="1"/>
  <c r="B434" i="1"/>
  <c r="B529" i="1"/>
  <c r="B1078" i="1"/>
  <c r="B281" i="1"/>
  <c r="B1467" i="1"/>
  <c r="B2516" i="1"/>
  <c r="B2185" i="1"/>
  <c r="B2164" i="1"/>
  <c r="B3629" i="1"/>
  <c r="B1459" i="1"/>
  <c r="B2006" i="1"/>
  <c r="B1240" i="1"/>
  <c r="B99" i="1"/>
  <c r="B1004" i="1"/>
  <c r="B268" i="1"/>
  <c r="B149" i="1"/>
  <c r="B1418" i="1"/>
  <c r="B3176" i="1"/>
  <c r="B3277" i="1"/>
  <c r="B3183" i="1"/>
  <c r="B1377" i="1"/>
  <c r="B3471" i="1"/>
  <c r="B1461" i="1"/>
  <c r="B999" i="1"/>
  <c r="B524" i="1"/>
  <c r="B477" i="1"/>
  <c r="B1703" i="1"/>
  <c r="B495" i="1"/>
  <c r="B1775" i="1"/>
  <c r="B952" i="1"/>
  <c r="B1067" i="1"/>
  <c r="B1193" i="1"/>
  <c r="B2654" i="1"/>
  <c r="B377" i="1"/>
  <c r="B956" i="1"/>
  <c r="B696" i="1"/>
  <c r="B1695" i="1"/>
  <c r="B3551" i="1"/>
  <c r="B2136" i="1"/>
  <c r="B2946" i="1"/>
  <c r="B1302" i="1"/>
  <c r="B3060" i="1"/>
  <c r="B391" i="1"/>
  <c r="B1421" i="1"/>
  <c r="B1015" i="1"/>
  <c r="B146" i="1"/>
  <c r="B698" i="1"/>
  <c r="B2627" i="1"/>
  <c r="B1024" i="1"/>
  <c r="B3554" i="1"/>
  <c r="B1925" i="1"/>
  <c r="B1474" i="1"/>
  <c r="B3271" i="1"/>
  <c r="B1752" i="1"/>
  <c r="B2884" i="1"/>
  <c r="B2371" i="1"/>
  <c r="B2067" i="1"/>
  <c r="B1744" i="1"/>
  <c r="B2818" i="1"/>
  <c r="B3209" i="1"/>
  <c r="B1225" i="1"/>
  <c r="B3437" i="1"/>
  <c r="B3620" i="1"/>
  <c r="B3250" i="1"/>
  <c r="B1539" i="1"/>
  <c r="B2630" i="1"/>
  <c r="B1513" i="1"/>
  <c r="B3369" i="1"/>
  <c r="B2015" i="1"/>
  <c r="B1381" i="1"/>
  <c r="B1168" i="1"/>
  <c r="B551" i="1"/>
  <c r="B1149" i="1"/>
  <c r="B1367" i="1"/>
  <c r="B1131" i="1"/>
  <c r="B2997" i="1"/>
  <c r="B3200" i="1"/>
  <c r="B960" i="1"/>
  <c r="B3363" i="1"/>
  <c r="B486" i="1"/>
  <c r="B2199" i="1"/>
  <c r="B2760" i="1"/>
  <c r="B3450" i="1"/>
  <c r="B1121" i="1"/>
  <c r="B1997" i="1"/>
  <c r="B2372" i="1"/>
  <c r="B2441" i="1"/>
  <c r="B1416" i="1"/>
  <c r="B1982" i="1"/>
  <c r="B1709" i="1"/>
  <c r="B824" i="1"/>
  <c r="B806" i="1"/>
  <c r="B151" i="1"/>
  <c r="B1748" i="1"/>
  <c r="B1935" i="1"/>
  <c r="B1524" i="1"/>
  <c r="B1612" i="1"/>
  <c r="B30" i="1"/>
  <c r="B1550" i="1"/>
  <c r="B2162" i="1"/>
  <c r="B717" i="1"/>
  <c r="B1547" i="1"/>
  <c r="B3540" i="1"/>
  <c r="B3588" i="1"/>
  <c r="B189" i="1"/>
  <c r="B3140" i="1"/>
  <c r="B3063" i="1"/>
  <c r="B2584" i="1"/>
  <c r="B2097" i="1"/>
  <c r="B3294" i="1"/>
  <c r="B2698" i="1"/>
  <c r="B1068" i="1"/>
  <c r="B1477" i="1"/>
  <c r="B457" i="1"/>
  <c r="B428" i="1"/>
  <c r="B906" i="1"/>
  <c r="B1457" i="1"/>
  <c r="B2078" i="1"/>
  <c r="B903" i="1"/>
  <c r="B512" i="1"/>
  <c r="B222" i="1"/>
  <c r="B967" i="1"/>
  <c r="B284" i="1"/>
  <c r="B2708" i="1"/>
  <c r="B1917" i="1"/>
  <c r="B2988" i="1"/>
  <c r="B552" i="1"/>
  <c r="B36" i="1"/>
  <c r="B2766" i="1"/>
  <c r="B3312" i="1"/>
  <c r="B1805" i="1"/>
  <c r="B2964" i="1"/>
  <c r="B1588" i="1"/>
  <c r="B3182" i="1"/>
  <c r="B2357" i="1"/>
  <c r="B661" i="1"/>
  <c r="B3298" i="1"/>
  <c r="B2650" i="1"/>
  <c r="B1319" i="1"/>
  <c r="B473" i="1"/>
  <c r="B1844" i="1"/>
  <c r="B2242" i="1"/>
  <c r="B871" i="1"/>
  <c r="B2135" i="1"/>
  <c r="B2739" i="1"/>
  <c r="B1648" i="1"/>
  <c r="B1772" i="1"/>
  <c r="B3125" i="1"/>
  <c r="B2160" i="1"/>
  <c r="B1470" i="1"/>
  <c r="B494" i="1"/>
  <c r="B20" i="1"/>
  <c r="B2552" i="1"/>
  <c r="B686" i="1"/>
  <c r="B3020" i="1"/>
  <c r="B1391" i="1"/>
  <c r="B555" i="1"/>
  <c r="B2264" i="1"/>
  <c r="B3543" i="1"/>
  <c r="B267" i="1"/>
  <c r="B3565" i="1"/>
  <c r="B3633" i="1"/>
  <c r="B33" i="1"/>
  <c r="B101" i="1"/>
  <c r="B1903" i="1"/>
  <c r="B2355" i="1"/>
  <c r="B3359" i="1"/>
  <c r="B1232" i="1"/>
  <c r="B2014" i="1"/>
  <c r="B1927" i="1"/>
  <c r="B1185" i="1"/>
  <c r="B1599" i="1"/>
  <c r="B1310" i="1"/>
  <c r="B3157" i="1"/>
  <c r="B953" i="1"/>
  <c r="B1994" i="1"/>
  <c r="B3336" i="1"/>
  <c r="B2897" i="1"/>
  <c r="B718" i="1"/>
  <c r="B2431" i="1"/>
  <c r="B1544" i="1"/>
  <c r="B582" i="1"/>
  <c r="B680" i="1"/>
  <c r="B2056" i="1"/>
  <c r="B1852" i="1"/>
  <c r="B874" i="1"/>
  <c r="B1056" i="1"/>
  <c r="B1952" i="1"/>
  <c r="B118" i="1"/>
  <c r="B1776" i="1"/>
  <c r="B3324" i="1"/>
  <c r="B111" i="1"/>
  <c r="B3050" i="1"/>
  <c r="B467" i="1"/>
  <c r="B802" i="1"/>
  <c r="B2683" i="1"/>
  <c r="B2362" i="1"/>
  <c r="B1269" i="1"/>
  <c r="B198" i="1"/>
  <c r="B1204" i="1"/>
  <c r="B3404" i="1"/>
  <c r="B137" i="1"/>
  <c r="B280" i="1"/>
  <c r="B1093" i="1"/>
  <c r="B2494" i="1"/>
  <c r="B451" i="1"/>
  <c r="B2488" i="1"/>
  <c r="B60" i="1"/>
  <c r="B942" i="1"/>
  <c r="B1740" i="1"/>
  <c r="B738" i="1"/>
  <c r="B2871" i="1"/>
  <c r="B1975" i="1"/>
  <c r="B1977" i="1"/>
  <c r="B299" i="1"/>
  <c r="B781" i="1"/>
  <c r="B2641" i="1"/>
  <c r="B302" i="1"/>
  <c r="B1782" i="1"/>
  <c r="B1333" i="1"/>
  <c r="B1088" i="1"/>
  <c r="B88" i="1"/>
  <c r="B192" i="1"/>
  <c r="B1320" i="1"/>
  <c r="B1552" i="1"/>
  <c r="B675" i="1"/>
  <c r="B1346" i="1"/>
  <c r="B3284" i="1"/>
  <c r="B1073" i="1"/>
  <c r="B2395" i="1"/>
  <c r="B2081" i="1"/>
  <c r="B295" i="1"/>
  <c r="B3625" i="1"/>
  <c r="B907" i="1"/>
  <c r="B1192" i="1"/>
  <c r="B556" i="1"/>
  <c r="B2191" i="1"/>
  <c r="B1199" i="1"/>
  <c r="B866" i="1"/>
  <c r="B170" i="1"/>
  <c r="B856" i="1"/>
  <c r="B3227" i="1"/>
  <c r="B3414" i="1"/>
  <c r="B3009" i="1"/>
  <c r="B2427" i="1"/>
  <c r="B2594" i="1"/>
  <c r="B1441" i="1"/>
  <c r="B663" i="1"/>
  <c r="B2243" i="1"/>
  <c r="B1154" i="1"/>
  <c r="B2068" i="1"/>
  <c r="B1155" i="1"/>
  <c r="B274" i="1"/>
  <c r="B901" i="1"/>
  <c r="B1647" i="1"/>
  <c r="B1603" i="1"/>
  <c r="B1629" i="1"/>
  <c r="B602" i="1"/>
  <c r="B339" i="1"/>
  <c r="B365" i="1"/>
  <c r="B892" i="1"/>
  <c r="B2048" i="1"/>
  <c r="B1214" i="1"/>
  <c r="B3421" i="1"/>
  <c r="B2773" i="1"/>
  <c r="B996" i="1"/>
  <c r="B272" i="1"/>
  <c r="B2147" i="1"/>
  <c r="B1627" i="1"/>
  <c r="B2383" i="1"/>
  <c r="B1306" i="1"/>
  <c r="B97" i="1"/>
  <c r="B3046" i="1"/>
  <c r="B1502" i="1"/>
  <c r="B3071" i="1"/>
  <c r="B1929" i="1"/>
  <c r="B854" i="1"/>
  <c r="B1921" i="1"/>
  <c r="B622" i="1"/>
  <c r="B522" i="1"/>
  <c r="B1026" i="1"/>
  <c r="B2194" i="1"/>
  <c r="B3500" i="1"/>
  <c r="B80" i="1"/>
  <c r="B853" i="1"/>
  <c r="B2994" i="1"/>
  <c r="B1519" i="1"/>
  <c r="B2945" i="1"/>
  <c r="B2219" i="1"/>
  <c r="B1469" i="1"/>
  <c r="B3527" i="1"/>
  <c r="B89" i="1"/>
  <c r="B1926" i="1"/>
  <c r="B3253" i="1"/>
  <c r="B1705" i="1"/>
  <c r="B846" i="1"/>
  <c r="B1667" i="1"/>
  <c r="B3045" i="1"/>
  <c r="B598" i="1"/>
  <c r="B1217" i="1"/>
  <c r="B2651" i="1"/>
  <c r="B3479" i="1"/>
  <c r="B3638" i="1"/>
  <c r="B2603" i="1"/>
  <c r="B2656" i="1"/>
  <c r="B2449" i="1"/>
  <c r="B2454" i="1"/>
  <c r="B1788" i="1"/>
  <c r="B2126" i="1"/>
  <c r="B3506" i="1"/>
  <c r="B515" i="1"/>
  <c r="B3570" i="1"/>
  <c r="B2167" i="1"/>
  <c r="B932" i="1"/>
  <c r="B2490" i="1"/>
  <c r="B1723" i="1"/>
  <c r="B2993" i="1"/>
  <c r="B234" i="1"/>
  <c r="B2180" i="1"/>
  <c r="B3356" i="1"/>
  <c r="B2186" i="1"/>
  <c r="B608" i="1"/>
  <c r="B1085" i="1"/>
  <c r="B1693" i="1"/>
  <c r="B478" i="1"/>
  <c r="B327" i="1"/>
  <c r="B2765" i="1"/>
  <c r="B2778" i="1"/>
  <c r="B2982" i="1"/>
  <c r="B2115" i="1"/>
  <c r="B2413" i="1"/>
  <c r="B103" i="1"/>
  <c r="B525" i="1"/>
  <c r="B1646" i="1"/>
  <c r="B301" i="1"/>
  <c r="B3589" i="1"/>
  <c r="B1230" i="1"/>
  <c r="B455" i="1"/>
  <c r="B2877" i="1"/>
  <c r="B3049" i="1"/>
  <c r="B1139" i="1"/>
  <c r="B182" i="1"/>
  <c r="B1147" i="1"/>
  <c r="B580" i="1"/>
  <c r="B1551" i="1"/>
  <c r="B2422" i="1"/>
  <c r="B2950" i="1"/>
  <c r="B899" i="1"/>
  <c r="B812" i="1"/>
  <c r="B2108" i="1"/>
  <c r="B2545" i="1"/>
  <c r="B3229" i="1"/>
  <c r="B910" i="1"/>
  <c r="B2681" i="1"/>
  <c r="B1533" i="1"/>
  <c r="B1471" i="1"/>
  <c r="B1652" i="1"/>
  <c r="B204" i="1"/>
  <c r="B331" i="1"/>
  <c r="B1690" i="1"/>
  <c r="B720" i="1"/>
  <c r="B286" i="1"/>
  <c r="B2628" i="1"/>
  <c r="B1348" i="1"/>
  <c r="B1258" i="1"/>
  <c r="B107" i="1"/>
  <c r="B799" i="1"/>
  <c r="B133" i="1"/>
  <c r="B3461" i="1"/>
  <c r="B3577" i="1"/>
  <c r="B403" i="1"/>
  <c r="B1897" i="1"/>
  <c r="B837" i="1"/>
  <c r="B2155" i="1"/>
  <c r="B2129" i="1"/>
  <c r="B688" i="1"/>
  <c r="B1681" i="1"/>
  <c r="B2924" i="1"/>
  <c r="B3591" i="1"/>
  <c r="B2057" i="1"/>
  <c r="B1008" i="1"/>
  <c r="B1568" i="1"/>
  <c r="B3041" i="1"/>
  <c r="B1169" i="1"/>
  <c r="B1978" i="1"/>
  <c r="B3031" i="1"/>
  <c r="B2549" i="1"/>
  <c r="B3445" i="1"/>
  <c r="B2277" i="1"/>
  <c r="B2992" i="1"/>
  <c r="B1894" i="1"/>
  <c r="B2684" i="1"/>
  <c r="B349" i="1"/>
  <c r="B2458" i="1"/>
  <c r="B3386" i="1"/>
  <c r="B1619" i="1"/>
  <c r="B2646" i="1"/>
  <c r="B1590" i="1"/>
  <c r="B2858" i="1"/>
  <c r="B95" i="1"/>
  <c r="B389" i="1"/>
  <c r="B1790" i="1"/>
  <c r="B395" i="1"/>
  <c r="B3571" i="1"/>
  <c r="B1773" i="1"/>
  <c r="B2187" i="1"/>
  <c r="B205" i="1"/>
  <c r="B1653" i="1"/>
  <c r="B70" i="1"/>
  <c r="B116" i="1"/>
  <c r="B2973" i="1"/>
  <c r="B2985" i="1"/>
  <c r="B814" i="1"/>
  <c r="B1057" i="1"/>
  <c r="B614" i="1"/>
  <c r="B3181" i="1"/>
  <c r="B2166" i="1"/>
  <c r="B1504" i="1"/>
  <c r="B3441" i="1"/>
  <c r="B1180" i="1"/>
  <c r="B2775" i="1"/>
  <c r="B2954" i="1"/>
  <c r="B2020" i="1"/>
  <c r="B3070" i="1"/>
  <c r="B2643" i="1"/>
  <c r="B3056" i="1"/>
  <c r="B420" i="1"/>
  <c r="B98" i="1"/>
  <c r="B1146" i="1"/>
  <c r="B2102" i="1"/>
  <c r="B963" i="1"/>
  <c r="B367" i="1"/>
  <c r="B1162" i="1"/>
  <c r="B1883" i="1"/>
  <c r="B519" i="1"/>
  <c r="B752" i="1"/>
  <c r="B250" i="1"/>
  <c r="B830" i="1"/>
  <c r="B500" i="1"/>
  <c r="B450" i="1"/>
  <c r="B213" i="1"/>
  <c r="B1820" i="1"/>
  <c r="B3349" i="1"/>
  <c r="B2437" i="1"/>
  <c r="B3457" i="1"/>
  <c r="B3242" i="1"/>
  <c r="B1265" i="1"/>
  <c r="B3161" i="1"/>
  <c r="B69" i="1"/>
  <c r="B550" i="1"/>
  <c r="B1398" i="1"/>
  <c r="B324" i="1"/>
  <c r="B84" i="1"/>
  <c r="B102" i="1"/>
  <c r="B310" i="1"/>
  <c r="B2084" i="1"/>
  <c r="B3494" i="1"/>
  <c r="B3008" i="1"/>
  <c r="B1044" i="1"/>
  <c r="B411" i="1"/>
  <c r="B2501" i="1"/>
  <c r="B180" i="1"/>
  <c r="B3360" i="1"/>
  <c r="B1771" i="1"/>
  <c r="B2062" i="1"/>
  <c r="B3639" i="1"/>
  <c r="B179" i="1"/>
  <c r="B3299" i="1"/>
  <c r="B1512" i="1"/>
  <c r="B3061" i="1"/>
  <c r="B132" i="1"/>
  <c r="B1831" i="1"/>
  <c r="B2178" i="1"/>
  <c r="B2892" i="1"/>
  <c r="B762" i="1"/>
  <c r="B3521" i="1"/>
  <c r="B3542" i="1"/>
  <c r="B3628" i="1"/>
  <c r="B773" i="1"/>
  <c r="B1904" i="1"/>
  <c r="B1437" i="1"/>
  <c r="B140" i="1"/>
  <c r="B725" i="1"/>
  <c r="B3555" i="1"/>
  <c r="B2515" i="1"/>
  <c r="B3389" i="1"/>
  <c r="B1618" i="1"/>
  <c r="B191" i="1"/>
  <c r="B1962" i="1"/>
  <c r="B383" i="1"/>
  <c r="B1455" i="1"/>
  <c r="B3370" i="1"/>
  <c r="B2130" i="1"/>
  <c r="B26" i="1"/>
  <c r="B3166" i="1"/>
  <c r="B1006" i="1"/>
  <c r="B317" i="1"/>
  <c r="B1762" i="1"/>
  <c r="B1857" i="1"/>
  <c r="B3026" i="1"/>
  <c r="B2851" i="1"/>
  <c r="B475" i="1"/>
  <c r="B125" i="1"/>
  <c r="B1433" i="1"/>
  <c r="B1593" i="1"/>
  <c r="B255" i="1"/>
  <c r="B669" i="1"/>
  <c r="B3051" i="1"/>
  <c r="B2411" i="1"/>
  <c r="B1665" i="1"/>
  <c r="B3615" i="1"/>
  <c r="B315" i="1"/>
  <c r="B2721" i="1"/>
  <c r="B1587" i="1"/>
  <c r="B2550" i="1"/>
  <c r="B3169" i="1"/>
  <c r="B1676" i="1"/>
  <c r="B2074" i="1"/>
  <c r="B2346" i="1"/>
  <c r="B620" i="1"/>
  <c r="B767" i="1"/>
  <c r="B3564" i="1"/>
  <c r="B658" i="1"/>
  <c r="B731" i="1"/>
  <c r="B2134" i="1"/>
  <c r="B1798" i="1"/>
  <c r="B154" i="1"/>
  <c r="B1150" i="1"/>
  <c r="B2119" i="1"/>
  <c r="B3127" i="1"/>
  <c r="B2054" i="1"/>
  <c r="B2435" i="1"/>
  <c r="B2906" i="1"/>
  <c r="B2173" i="1"/>
  <c r="B2262" i="1"/>
  <c r="B1463" i="1"/>
  <c r="B2496" i="1"/>
  <c r="B1190" i="1"/>
  <c r="B244" i="1"/>
  <c r="B1862" i="1"/>
  <c r="B1541" i="1"/>
  <c r="B642" i="1"/>
  <c r="B867" i="1"/>
  <c r="B2483" i="1"/>
  <c r="B1483" i="1"/>
  <c r="B2394" i="1"/>
  <c r="B2610" i="1"/>
  <c r="B1153" i="1"/>
  <c r="B3635" i="1"/>
  <c r="B253" i="1"/>
  <c r="B713" i="1"/>
  <c r="B156" i="1"/>
  <c r="B3188" i="1"/>
  <c r="B609" i="1"/>
  <c r="B2168" i="1"/>
  <c r="B2212" i="1"/>
  <c r="B3444" i="1"/>
  <c r="B2957" i="1"/>
  <c r="B206" i="1"/>
  <c r="B1677" i="1"/>
  <c r="B1966" i="1"/>
  <c r="B905" i="1"/>
  <c r="B3268" i="1"/>
  <c r="B296" i="1"/>
  <c r="B1341" i="1"/>
  <c r="B2637" i="1"/>
  <c r="B2263" i="1"/>
  <c r="B2763" i="1"/>
  <c r="B360" i="1"/>
  <c r="B702" i="1"/>
  <c r="B2401" i="1"/>
  <c r="B2910" i="1"/>
  <c r="B1328" i="1"/>
  <c r="B1151" i="1"/>
  <c r="B2720" i="1"/>
  <c r="B1841" i="1"/>
  <c r="B2755" i="1"/>
  <c r="B1631" i="1"/>
  <c r="B3199" i="1"/>
  <c r="B2131" i="1"/>
  <c r="B1888" i="1"/>
  <c r="B2151" i="1"/>
  <c r="B2409" i="1"/>
  <c r="B386" i="1"/>
  <c r="B1839" i="1"/>
  <c r="B1747" i="1"/>
  <c r="B298" i="1"/>
  <c r="B2462" i="1"/>
  <c r="B857" i="1"/>
  <c r="B2184" i="1"/>
  <c r="B2729" i="1"/>
  <c r="B3623" i="1"/>
  <c r="B919" i="1"/>
  <c r="B2556" i="1"/>
  <c r="B505" i="1"/>
  <c r="B2713" i="1"/>
  <c r="B3145" i="1"/>
  <c r="B832" i="1"/>
  <c r="B2455" i="1"/>
  <c r="B1643" i="1"/>
  <c r="B1390" i="1"/>
  <c r="B1097" i="1"/>
  <c r="B719" i="1"/>
  <c r="B3454" i="1"/>
  <c r="B63" i="1"/>
  <c r="B1226" i="1"/>
  <c r="B1922" i="1"/>
  <c r="B520" i="1"/>
  <c r="B2687" i="1"/>
  <c r="B2612" i="1"/>
  <c r="B1628" i="1"/>
  <c r="B2777" i="1"/>
  <c r="B1448" i="1"/>
  <c r="B2928" i="1"/>
  <c r="B2686" i="1"/>
  <c r="B1182" i="1"/>
  <c r="B1804" i="1"/>
  <c r="B1715" i="1"/>
  <c r="B1827" i="1"/>
  <c r="B1743" i="1"/>
  <c r="B2903" i="1"/>
  <c r="B886" i="1"/>
  <c r="B667" i="1"/>
  <c r="B3048" i="1"/>
  <c r="B1083" i="1"/>
  <c r="B2075" i="1"/>
  <c r="B292" i="1"/>
  <c r="B1323" i="1"/>
  <c r="B1109" i="1"/>
  <c r="B2662" i="1"/>
  <c r="B2909" i="1"/>
  <c r="B1061" i="1"/>
  <c r="B981" i="1"/>
  <c r="B2412" i="1"/>
  <c r="B2524" i="1"/>
  <c r="B479" i="1"/>
  <c r="B3462" i="1"/>
  <c r="B3476" i="1"/>
  <c r="B3514" i="1"/>
  <c r="B3563" i="1"/>
  <c r="B2077" i="1"/>
  <c r="B893" i="1"/>
  <c r="B2378" i="1"/>
  <c r="B1578" i="1"/>
  <c r="B2690" i="1"/>
  <c r="B811" i="1"/>
  <c r="B3593" i="1"/>
  <c r="B3614" i="1"/>
  <c r="B822" i="1"/>
  <c r="B1825" i="1"/>
  <c r="B1438" i="1"/>
  <c r="B408" i="1"/>
  <c r="B2813" i="1"/>
  <c r="B2463" i="1"/>
  <c r="B3508" i="1"/>
  <c r="B78" i="1"/>
  <c r="B895" i="1"/>
  <c r="B17" i="1"/>
  <c r="B2453" i="1"/>
  <c r="B825" i="1"/>
  <c r="B372" i="1"/>
  <c r="B940" i="1"/>
  <c r="B1838" i="1"/>
  <c r="B2269" i="1"/>
  <c r="B1135" i="1"/>
  <c r="B1815" i="1"/>
  <c r="B3037" i="1"/>
  <c r="B3153" i="1"/>
  <c r="B1160" i="1"/>
  <c r="B3597" i="1"/>
  <c r="B221" i="1"/>
  <c r="B544" i="1"/>
  <c r="B2870" i="1"/>
  <c r="B2070" i="1"/>
  <c r="B2477" i="1"/>
  <c r="B2931" i="1"/>
  <c r="B1818" i="1"/>
  <c r="B736" i="1"/>
  <c r="B636" i="1"/>
  <c r="B3581" i="1"/>
  <c r="B1950" i="1"/>
  <c r="B498" i="1"/>
  <c r="B190" i="1"/>
  <c r="B2901" i="1"/>
  <c r="B1763" i="1"/>
  <c r="B2748" i="1"/>
  <c r="B3213" i="1"/>
  <c r="B536" i="1"/>
  <c r="B1971" i="1"/>
  <c r="B1216" i="1"/>
  <c r="B801" i="1"/>
  <c r="B214" i="1"/>
  <c r="B2260" i="1"/>
  <c r="B712" i="1"/>
  <c r="B437" i="1"/>
  <c r="B1796" i="1"/>
  <c r="B1077" i="1"/>
  <c r="B443" i="1"/>
  <c r="B402" i="1"/>
  <c r="B1674" i="1"/>
  <c r="B1900" i="1"/>
  <c r="B452" i="1"/>
  <c r="B1289" i="1"/>
  <c r="B2625" i="1"/>
  <c r="B2104" i="1"/>
  <c r="B2624" i="1"/>
  <c r="B1113" i="1"/>
  <c r="B282" i="1"/>
  <c r="B2098" i="1"/>
  <c r="B1055" i="1"/>
  <c r="B74" i="1"/>
  <c r="B1140" i="1"/>
  <c r="B1538" i="1"/>
  <c r="B2974" i="1"/>
  <c r="B1305" i="1"/>
  <c r="B2674" i="1"/>
  <c r="B1566" i="1"/>
  <c r="B438" i="1"/>
  <c r="B2736" i="1"/>
  <c r="B1928" i="1"/>
  <c r="B1315" i="1"/>
  <c r="B1236" i="1"/>
  <c r="B2141" i="1"/>
  <c r="B2049" i="1"/>
  <c r="B933" i="1"/>
  <c r="B2833" i="1"/>
  <c r="B3243" i="1"/>
  <c r="B1813" i="1"/>
  <c r="B624" i="1"/>
  <c r="B3606" i="1"/>
  <c r="B3260" i="1"/>
  <c r="B1745" i="1"/>
  <c r="B2695" i="1"/>
  <c r="B2769" i="1"/>
  <c r="B2767" i="1"/>
  <c r="B1916" i="1"/>
  <c r="B3233" i="1"/>
  <c r="B794" i="1"/>
  <c r="B225" i="1"/>
  <c r="B2580" i="1"/>
  <c r="B3352" i="1"/>
  <c r="B1002" i="1"/>
  <c r="B998" i="1"/>
  <c r="B86" i="1"/>
  <c r="B1023" i="1"/>
  <c r="B3151" i="1"/>
  <c r="B578" i="1"/>
  <c r="B3472" i="1"/>
  <c r="B3607" i="1"/>
  <c r="B3120" i="1"/>
  <c r="B1241" i="1"/>
  <c r="B2732" i="1"/>
  <c r="B3055" i="1"/>
  <c r="B829" i="1"/>
  <c r="B2544" i="1"/>
  <c r="B917" i="1"/>
  <c r="B3475" i="1"/>
  <c r="B1755" i="1"/>
  <c r="B984" i="1"/>
  <c r="B362" i="1"/>
  <c r="B2142" i="1"/>
  <c r="B2952" i="1"/>
  <c r="B2977" i="1"/>
  <c r="B896" i="1"/>
  <c r="B2663" i="1"/>
  <c r="B3228" i="1"/>
  <c r="B2831" i="1"/>
  <c r="B2522" i="1"/>
  <c r="B456" i="1"/>
  <c r="B1536" i="1"/>
  <c r="B2387" i="1"/>
  <c r="B181" i="1"/>
  <c r="B2356" i="1"/>
  <c r="B3028" i="1"/>
  <c r="B1661" i="1"/>
  <c r="B983" i="1"/>
  <c r="B506" i="1"/>
  <c r="B2976" i="1"/>
  <c r="B716" i="1"/>
  <c r="B1039" i="1"/>
  <c r="B2622" i="1"/>
  <c r="B399" i="1"/>
  <c r="B300" i="1"/>
  <c r="B1425" i="1"/>
  <c r="B1849" i="1"/>
  <c r="B2342" i="1"/>
  <c r="B573" i="1"/>
  <c r="B2082" i="1"/>
  <c r="B2707" i="1"/>
  <c r="B3257" i="1"/>
  <c r="B1394" i="1"/>
  <c r="B3132" i="1"/>
  <c r="B87" i="1"/>
  <c r="B2123" i="1"/>
  <c r="B2348" i="1"/>
  <c r="B1787" i="1"/>
  <c r="B1682" i="1"/>
  <c r="B992" i="1"/>
  <c r="B1895" i="1"/>
  <c r="B1164" i="1"/>
  <c r="B1675" i="1"/>
  <c r="B646" i="1"/>
  <c r="B3390" i="1"/>
  <c r="B2827" i="1"/>
  <c r="B223" i="1"/>
  <c r="B3518" i="1"/>
  <c r="B1331" i="1"/>
  <c r="B3362" i="1"/>
  <c r="B394" i="1"/>
  <c r="B835" i="1"/>
  <c r="B200" i="1"/>
  <c r="B1178" i="1"/>
  <c r="B1087" i="1"/>
  <c r="B3526" i="1"/>
  <c r="B1958" i="1"/>
  <c r="B45" i="1"/>
  <c r="B3310" i="1"/>
  <c r="B757" i="1"/>
  <c r="B92" i="1"/>
  <c r="B2473" i="1"/>
  <c r="B1114" i="1"/>
  <c r="B759" i="1"/>
  <c r="B2599" i="1"/>
  <c r="B2509" i="1"/>
  <c r="B1575" i="1"/>
  <c r="B779" i="1"/>
  <c r="B1953" i="1"/>
  <c r="B2984" i="1"/>
  <c r="B833" i="1"/>
  <c r="B920" i="1"/>
  <c r="B2812" i="1"/>
  <c r="B755" i="1"/>
  <c r="B831" i="1"/>
  <c r="B2416" i="1"/>
  <c r="B1417" i="1"/>
  <c r="B1208" i="1"/>
  <c r="B1423" i="1"/>
  <c r="B3556" i="1"/>
  <c r="B2044" i="1"/>
  <c r="B2761" i="1"/>
  <c r="B3630" i="1"/>
  <c r="B1408" i="1"/>
  <c r="B28" i="1"/>
  <c r="B1089" i="1"/>
  <c r="B2174" i="1"/>
  <c r="B1649" i="1"/>
  <c r="B2127" i="1"/>
  <c r="B3076" i="1"/>
  <c r="B3094" i="1"/>
  <c r="B1020" i="1"/>
  <c r="B3458" i="1"/>
  <c r="B1817" i="1"/>
  <c r="B384" i="1"/>
  <c r="B3133" i="1"/>
  <c r="B689" i="1"/>
  <c r="B2512" i="1"/>
  <c r="B1686" i="1"/>
  <c r="B3143" i="1"/>
  <c r="B2969" i="1"/>
  <c r="B3135" i="1"/>
  <c r="B2883" i="1"/>
  <c r="B3003" i="1"/>
  <c r="B1158" i="1"/>
  <c r="B354" i="1"/>
  <c r="B3469" i="1"/>
  <c r="B3641" i="1"/>
  <c r="B517" i="1"/>
  <c r="B734" i="1"/>
  <c r="B965" i="1"/>
  <c r="B1792" i="1"/>
  <c r="B46" i="1"/>
  <c r="B1249" i="1"/>
  <c r="B2238" i="1"/>
  <c r="B2789" i="1"/>
  <c r="B1934" i="1"/>
  <c r="B650" i="1"/>
  <c r="B2862" i="1"/>
  <c r="B818" i="1"/>
  <c r="B3403" i="1"/>
  <c r="B66" i="1"/>
  <c r="B2661" i="1"/>
  <c r="B2726" i="1"/>
  <c r="B3313" i="1"/>
  <c r="B1301" i="1"/>
  <c r="B270" i="1"/>
  <c r="B1115" i="1"/>
  <c r="B91" i="1"/>
  <c r="B1482" i="1"/>
  <c r="B2667" i="1"/>
  <c r="B2768" i="1"/>
  <c r="B3069" i="1"/>
  <c r="B2537" i="1"/>
  <c r="B3141" i="1"/>
  <c r="B1689" i="1"/>
  <c r="B3358" i="1"/>
  <c r="B271" i="1"/>
  <c r="B1671" i="1"/>
  <c r="B528" i="1"/>
  <c r="B1234" i="1"/>
  <c r="B37" i="1"/>
  <c r="B3154" i="1"/>
  <c r="B499" i="1"/>
  <c r="B2678" i="1"/>
  <c r="B1491" i="1"/>
  <c r="B1559" i="1"/>
  <c r="B294" i="1"/>
  <c r="B2607" i="1"/>
  <c r="B3090" i="1"/>
  <c r="B2754" i="1"/>
  <c r="B3190" i="1"/>
  <c r="B297" i="1"/>
  <c r="B1492" i="1"/>
  <c r="B1664" i="1"/>
  <c r="B2369" i="1"/>
  <c r="B2660" i="1"/>
  <c r="B1582" i="1"/>
  <c r="B2942" i="1"/>
  <c r="B330" i="1"/>
  <c r="B1223" i="1"/>
  <c r="B2623" i="1"/>
  <c r="B1500" i="1"/>
  <c r="B1514" i="1"/>
  <c r="B121" i="1"/>
  <c r="B2700" i="1"/>
  <c r="B1506" i="1"/>
  <c r="B1476" i="1"/>
  <c r="B1255" i="1"/>
  <c r="B1742" i="1"/>
  <c r="B1573" i="1"/>
  <c r="B1824" i="1"/>
  <c r="B2500" i="1"/>
  <c r="B938" i="1"/>
  <c r="B491" i="1"/>
  <c r="B2744" i="1"/>
  <c r="B1719" i="1"/>
  <c r="B2207" i="1"/>
  <c r="B1014" i="1"/>
  <c r="B3273" i="1"/>
  <c r="B1879" i="1"/>
  <c r="B3248" i="1"/>
  <c r="B1585" i="1"/>
  <c r="B1206" i="1"/>
  <c r="B2388" i="1"/>
  <c r="B185" i="1"/>
  <c r="B1260" i="1"/>
  <c r="B218" i="1"/>
  <c r="B2781" i="1"/>
  <c r="B1434" i="1"/>
  <c r="B252" i="1"/>
  <c r="B1277" i="1"/>
  <c r="B2669" i="1"/>
  <c r="B240" i="1"/>
  <c r="B3296" i="1"/>
  <c r="B2566" i="1"/>
  <c r="B1242" i="1"/>
  <c r="B2598" i="1"/>
  <c r="B1129" i="1"/>
  <c r="B2866" i="1"/>
  <c r="B1947" i="1"/>
  <c r="B1382" i="1"/>
  <c r="B1505" i="1"/>
  <c r="B1285" i="1"/>
  <c r="B328" i="1"/>
  <c r="B2095" i="1"/>
  <c r="B628" i="1"/>
  <c r="B2016" i="1"/>
  <c r="B710" i="1"/>
  <c r="B378" i="1"/>
  <c r="B1843" i="1"/>
  <c r="B1170" i="1"/>
  <c r="B373" i="1"/>
  <c r="B3626" i="1"/>
  <c r="B2881" i="1"/>
  <c r="B1478" i="1"/>
  <c r="B862" i="1"/>
  <c r="B2600" i="1"/>
  <c r="B208" i="1"/>
  <c r="B634" i="1"/>
  <c r="B1707" i="1"/>
  <c r="B2534" i="1"/>
  <c r="B2930" i="1"/>
  <c r="B3613" i="1"/>
  <c r="B2756" i="1"/>
  <c r="B359" i="1"/>
  <c r="B488" i="1"/>
  <c r="B2339" i="1"/>
  <c r="B2144" i="1"/>
  <c r="B2042" i="1"/>
  <c r="B3509" i="1"/>
  <c r="B1311" i="1"/>
  <c r="B3329" i="1"/>
  <c r="B1945" i="1"/>
  <c r="B3225" i="1"/>
  <c r="B2718" i="1"/>
  <c r="B1847" i="1"/>
  <c r="B2648" i="1"/>
  <c r="B2065" i="1"/>
  <c r="B1027" i="1"/>
  <c r="B2439" i="1"/>
  <c r="B997" i="1"/>
  <c r="B2675" i="1"/>
  <c r="B1362" i="1"/>
  <c r="B1466" i="1"/>
  <c r="B3452" i="1"/>
  <c r="B3537" i="1"/>
  <c r="B409" i="1"/>
  <c r="B2889" i="1"/>
  <c r="B841" i="1"/>
  <c r="B1622" i="1"/>
  <c r="B128" i="1"/>
  <c r="B2349" i="1"/>
  <c r="B1948" i="1"/>
  <c r="B1835" i="1"/>
  <c r="B3196" i="1"/>
  <c r="B3232" i="1"/>
  <c r="B732" i="1"/>
  <c r="B1882" i="1"/>
  <c r="B1754" i="1"/>
  <c r="B2685" i="1"/>
  <c r="B3062" i="1"/>
  <c r="B2024" i="1"/>
  <c r="B2415" i="1"/>
  <c r="B687" i="1"/>
  <c r="B768" i="1"/>
  <c r="B3118" i="1"/>
  <c r="B1932" i="1"/>
  <c r="B2041" i="1"/>
  <c r="B52" i="1"/>
  <c r="B982" i="1"/>
  <c r="B2472" i="1"/>
  <c r="B3201" i="1"/>
  <c r="B950" i="1"/>
  <c r="B1118" i="1"/>
  <c r="B3036" i="1"/>
  <c r="B828" i="1"/>
  <c r="B2257" i="1"/>
  <c r="B1145" i="1"/>
  <c r="B22" i="1"/>
  <c r="B2934" i="1"/>
  <c r="B1253" i="1"/>
  <c r="B2103" i="1"/>
  <c r="B83" i="1"/>
  <c r="B923" i="1"/>
  <c r="B1435" i="1"/>
  <c r="B2436" i="1"/>
  <c r="B1821" i="1"/>
  <c r="B2834" i="1"/>
  <c r="B860" i="1"/>
  <c r="B2894" i="1"/>
  <c r="B2865" i="1"/>
  <c r="B2722" i="1"/>
  <c r="B1767" i="1"/>
  <c r="B1327" i="1"/>
  <c r="B1021" i="1"/>
  <c r="B1810" i="1"/>
  <c r="B1560" i="1"/>
  <c r="B2825" i="1"/>
  <c r="B2849" i="1"/>
  <c r="B3318" i="1"/>
  <c r="B2202" i="1"/>
  <c r="B541" i="1"/>
  <c r="B2017" i="1"/>
  <c r="B3400" i="1"/>
  <c r="B3330" i="1"/>
  <c r="B647" i="1"/>
  <c r="B3309" i="1"/>
  <c r="B429" i="1"/>
  <c r="B2792" i="1"/>
  <c r="B1905" i="1"/>
  <c r="B1687" i="1"/>
  <c r="B1411" i="1"/>
  <c r="B1264" i="1"/>
  <c r="B3418" i="1"/>
  <c r="B994" i="1"/>
  <c r="B538" i="1"/>
  <c r="B485" i="1"/>
  <c r="B3304" i="1"/>
  <c r="B3562" i="1"/>
  <c r="B969" i="1"/>
  <c r="B726" i="1"/>
  <c r="B2783" i="1"/>
  <c r="B2751" i="1"/>
  <c r="B1615" i="1"/>
  <c r="B2215" i="1"/>
  <c r="B2003" i="1"/>
  <c r="B1143" i="1"/>
  <c r="B398" i="1"/>
  <c r="B2967" i="1"/>
  <c r="B502" i="1"/>
  <c r="B2045" i="1"/>
  <c r="B1606" i="1"/>
  <c r="B1988" i="1"/>
  <c r="B53" i="1"/>
  <c r="B1043" i="1"/>
  <c r="B1777" i="1"/>
  <c r="B931" i="1"/>
  <c r="B3110" i="1"/>
  <c r="B1955" i="1"/>
  <c r="B2592" i="1"/>
  <c r="B1865" i="1"/>
  <c r="B510" i="1"/>
  <c r="B746" i="1"/>
  <c r="B1343" i="1"/>
  <c r="B1694" i="1"/>
  <c r="B2251" i="1"/>
  <c r="B1123" i="1"/>
  <c r="B2941" i="1"/>
  <c r="B633" i="1"/>
  <c r="B1626" i="1"/>
  <c r="B596" i="1"/>
  <c r="B2027" i="1"/>
  <c r="B1018" i="1"/>
  <c r="B1229" i="1"/>
  <c r="B453" i="1"/>
  <c r="B2071" i="1"/>
  <c r="B465" i="1"/>
  <c r="B1194" i="1"/>
  <c r="B2234" i="1"/>
  <c r="B2776" i="1"/>
  <c r="B2840" i="1"/>
  <c r="B1357" i="1"/>
  <c r="B2855" i="1"/>
  <c r="B1766" i="1"/>
  <c r="B346" i="1"/>
  <c r="B2030" i="1"/>
  <c r="B1010" i="1"/>
  <c r="B855" i="1"/>
  <c r="B3383" i="1"/>
  <c r="B262" i="1"/>
  <c r="B3234" i="1"/>
  <c r="B657" i="1"/>
  <c r="B2541" i="1"/>
  <c r="B635" i="1"/>
  <c r="B3089" i="1"/>
  <c r="B2353" i="1"/>
  <c r="B559" i="1"/>
  <c r="B1949" i="1"/>
  <c r="B2373" i="1"/>
  <c r="B1426" i="1"/>
  <c r="B3142" i="1"/>
  <c r="B2915" i="1"/>
  <c r="B312" i="1"/>
  <c r="B3311" i="1"/>
  <c r="B1924" i="1"/>
  <c r="B776" i="1"/>
  <c r="B1666" i="1"/>
  <c r="B1756" i="1"/>
  <c r="B3235" i="1"/>
  <c r="B518" i="1"/>
  <c r="B2575" i="1"/>
  <c r="B1556" i="1"/>
  <c r="B1734" i="1"/>
  <c r="B1987" i="1"/>
  <c r="B47" i="1"/>
  <c r="B2823" i="1"/>
  <c r="B55" i="1"/>
  <c r="B1339" i="1"/>
  <c r="B3117" i="1"/>
  <c r="B174" i="1"/>
  <c r="B764" i="1"/>
  <c r="B1819" i="1"/>
  <c r="B1717" i="1"/>
  <c r="B2885" i="1"/>
  <c r="B3058" i="1"/>
  <c r="B2864" i="1"/>
  <c r="B3251" i="1"/>
  <c r="B2479" i="1"/>
  <c r="B1035" i="1"/>
  <c r="B2694" i="1"/>
  <c r="B197" i="1"/>
  <c r="B1025" i="1"/>
  <c r="B392" i="1"/>
  <c r="B1902" i="1"/>
  <c r="B2005" i="1"/>
  <c r="B1718" i="1"/>
  <c r="B3317" i="1"/>
  <c r="B1279" i="1"/>
  <c r="B2572" i="1"/>
  <c r="B29" i="1"/>
  <c r="B370" i="1"/>
  <c r="B1304" i="1"/>
  <c r="B1531" i="1"/>
  <c r="B549" i="1"/>
  <c r="B3367" i="1"/>
  <c r="B1407" i="1"/>
  <c r="B2502" i="1"/>
  <c r="B1861" i="1"/>
  <c r="B2233" i="1"/>
  <c r="B659" i="1"/>
  <c r="B2231" i="1"/>
  <c r="B2118" i="1"/>
  <c r="B1361" i="1"/>
  <c r="B3047" i="1"/>
  <c r="B619" i="1"/>
  <c r="B3192" i="1"/>
  <c r="B769" i="1"/>
  <c r="B1345" i="1"/>
  <c r="B2051" i="1"/>
  <c r="B178" i="1"/>
  <c r="B2636" i="1"/>
  <c r="B1580" i="1"/>
  <c r="B237" i="1"/>
  <c r="B1094" i="1"/>
  <c r="B1867" i="1"/>
  <c r="B918" i="1"/>
  <c r="B1990" i="1"/>
  <c r="B1246" i="1"/>
  <c r="B727" i="1"/>
  <c r="B1040" i="1"/>
  <c r="B2590" i="1"/>
  <c r="B2076" i="1"/>
  <c r="B134" i="1"/>
  <c r="B930" i="1"/>
  <c r="B1696" i="1"/>
  <c r="B2953" i="1"/>
  <c r="B961" i="1"/>
  <c r="B426" i="1"/>
  <c r="B2489" i="1"/>
  <c r="B1845" i="1"/>
  <c r="B464" i="1"/>
  <c r="B3373" i="1"/>
  <c r="B790" i="1"/>
  <c r="B3583" i="1"/>
  <c r="B3612" i="1"/>
  <c r="B152" i="1"/>
  <c r="B2214" i="1"/>
  <c r="B1207" i="1"/>
  <c r="B459" i="1"/>
  <c r="B2193" i="1"/>
  <c r="B3293" i="1"/>
  <c r="B2345" i="1"/>
  <c r="B1298" i="1"/>
  <c r="B852" i="1"/>
  <c r="B3419" i="1"/>
  <c r="B3432" i="1"/>
  <c r="B3385" i="1"/>
  <c r="B2461" i="1"/>
  <c r="B2424" i="1"/>
  <c r="B3162" i="1"/>
  <c r="B396" i="1"/>
  <c r="B1586" i="1"/>
  <c r="B547" i="1"/>
  <c r="B2796" i="1"/>
  <c r="B756" i="1"/>
  <c r="B1688" i="1"/>
  <c r="B3396" i="1"/>
  <c r="B142" i="1"/>
  <c r="B2806" i="1"/>
  <c r="B260" i="1"/>
  <c r="B2645" i="1"/>
  <c r="B466" i="1"/>
  <c r="B415" i="1"/>
  <c r="B807" i="1"/>
  <c r="B219" i="1"/>
  <c r="B246" i="1"/>
  <c r="B56" i="1"/>
  <c r="B2091" i="1"/>
  <c r="B711" i="1"/>
  <c r="B1126" i="1"/>
  <c r="B834" i="1"/>
  <c r="B2601" i="1"/>
  <c r="B1832" i="1"/>
  <c r="B733" i="1"/>
  <c r="B177" i="1"/>
  <c r="B226" i="1"/>
  <c r="B236" i="1"/>
  <c r="B2121" i="1"/>
  <c r="B2790" i="1"/>
  <c r="B3092" i="1"/>
  <c r="B3216" i="1"/>
  <c r="B576" i="1"/>
  <c r="B2652" i="1"/>
  <c r="B1046" i="1"/>
  <c r="B3305" i="1"/>
  <c r="B2203" i="1"/>
  <c r="B2351" i="1"/>
  <c r="B21" i="1"/>
  <c r="B2111" i="1"/>
  <c r="B1499" i="1"/>
  <c r="B3032" i="1"/>
  <c r="B243" i="1"/>
  <c r="B2213" i="1"/>
  <c r="B487" i="1"/>
  <c r="B908" i="1"/>
  <c r="B1387" i="1"/>
  <c r="B1396" i="1"/>
  <c r="B1868" i="1"/>
  <c r="B2853" i="1"/>
  <c r="B2852" i="1"/>
  <c r="B2562" i="1"/>
  <c r="B2026" i="1"/>
  <c r="B2859" i="1"/>
  <c r="B2340" i="1"/>
  <c r="B1218" i="1"/>
  <c r="B496" i="1"/>
  <c r="B3456" i="1"/>
  <c r="B3376" i="1"/>
  <c r="B887" i="1"/>
  <c r="B431" i="1"/>
  <c r="B2152" i="1"/>
  <c r="B3348" i="1"/>
  <c r="B3018" i="1"/>
  <c r="B2114" i="1"/>
  <c r="B845" i="1"/>
  <c r="B277" i="1"/>
  <c r="B1488" i="1"/>
  <c r="B476" i="1"/>
  <c r="B1760" i="1"/>
  <c r="B254" i="1"/>
  <c r="B1385" i="1"/>
  <c r="B1308" i="1"/>
  <c r="B788" i="1"/>
  <c r="B3208" i="1"/>
  <c r="B1336" i="1"/>
  <c r="B884" i="1"/>
  <c r="B2471" i="1"/>
  <c r="B348" i="1"/>
  <c r="B3413" i="1"/>
  <c r="B3497" i="1"/>
  <c r="B3156" i="1"/>
  <c r="B3619" i="1"/>
  <c r="B1584" i="1"/>
  <c r="B309" i="1"/>
  <c r="B1778" i="1"/>
  <c r="B655" i="1"/>
  <c r="B353" i="1"/>
  <c r="B2421" i="1"/>
  <c r="B338" i="1"/>
  <c r="B1307" i="1"/>
  <c r="B3059" i="1"/>
  <c r="B1353" i="1"/>
  <c r="B2491" i="1"/>
  <c r="B2493" i="1"/>
  <c r="B1851" i="1"/>
  <c r="B561" i="1"/>
  <c r="B3289" i="1"/>
  <c r="B2846" i="1"/>
  <c r="B1570" i="1"/>
  <c r="B105" i="1"/>
  <c r="B1860" i="1"/>
  <c r="B2587" i="1"/>
  <c r="B2727" i="1"/>
  <c r="B715" i="1"/>
  <c r="B863" i="1"/>
  <c r="B2629" i="1"/>
  <c r="B3172" i="1"/>
  <c r="B433" i="1"/>
  <c r="B1047" i="1"/>
  <c r="B3267" i="1"/>
  <c r="B1397" i="1"/>
  <c r="B1443" i="1"/>
  <c r="B3316" i="1"/>
  <c r="B3265" i="1"/>
  <c r="B639" i="1"/>
  <c r="B1179" i="1"/>
  <c r="B1489" i="1"/>
  <c r="B1651" i="1"/>
  <c r="B3075" i="1"/>
  <c r="B1877" i="1"/>
  <c r="B851" i="1"/>
  <c r="B774" i="1"/>
  <c r="B577" i="1"/>
  <c r="B1986" i="1"/>
  <c r="B2914" i="1"/>
  <c r="B2363" i="1"/>
  <c r="B4" i="1"/>
  <c r="B869" i="1"/>
  <c r="B3610" i="1"/>
  <c r="B2227" i="1"/>
  <c r="B445" i="1"/>
  <c r="B3159" i="1"/>
  <c r="B1465" i="1"/>
  <c r="B3146" i="1"/>
  <c r="B1919" i="1"/>
  <c r="B1728" i="1"/>
  <c r="B2486" i="1"/>
  <c r="B1022" i="1"/>
  <c r="B2697" i="1"/>
  <c r="B2847" i="1"/>
  <c r="B2710" i="1"/>
  <c r="B900" i="1"/>
  <c r="B673" i="1"/>
  <c r="B2688" i="1"/>
  <c r="B880" i="1"/>
  <c r="B1124" i="1"/>
  <c r="B2868" i="1"/>
  <c r="B1386" i="1"/>
  <c r="B2911" i="1"/>
  <c r="B413" i="1"/>
  <c r="B3124" i="1"/>
  <c r="B2364" i="1"/>
  <c r="B3357" i="1"/>
  <c r="B3394" i="1"/>
  <c r="B2553" i="1"/>
  <c r="B1332" i="1"/>
  <c r="B2252" i="1"/>
  <c r="B2733" i="1"/>
  <c r="B1395" i="1"/>
  <c r="B2890" i="1"/>
  <c r="B566" i="1"/>
  <c r="B1267" i="1"/>
  <c r="B343" i="1"/>
  <c r="B949" i="1"/>
  <c r="B1066" i="1"/>
  <c r="B2829" i="1"/>
  <c r="B2110" i="1"/>
  <c r="B471" i="1"/>
  <c r="B1733" i="1"/>
  <c r="B1436" i="1"/>
  <c r="B158" i="1"/>
  <c r="B2916" i="1"/>
  <c r="B1656" i="1"/>
  <c r="B3326" i="1"/>
  <c r="B904" i="1"/>
  <c r="B579" i="1"/>
  <c r="B599" i="1"/>
  <c r="B318" i="1"/>
  <c r="B890" i="1"/>
  <c r="B352" i="1"/>
  <c r="B2172" i="1"/>
  <c r="B627" i="1"/>
  <c r="B230" i="1"/>
  <c r="B2485" i="1"/>
  <c r="B2250" i="1"/>
  <c r="B936" i="1"/>
  <c r="B2682" i="1"/>
  <c r="B3491" i="1"/>
  <c r="B606" i="1"/>
  <c r="B2557" i="1"/>
  <c r="B2800" i="1"/>
  <c r="B2723" i="1"/>
  <c r="B1271" i="1"/>
  <c r="B2616" i="1"/>
  <c r="B1853" i="1"/>
  <c r="B3401" i="1"/>
  <c r="B976" i="1"/>
  <c r="B3027" i="1"/>
  <c r="B1174" i="1"/>
  <c r="B258" i="1"/>
  <c r="B2447" i="1"/>
  <c r="B2175" i="1"/>
  <c r="B1597" i="1"/>
  <c r="B1875" i="1"/>
  <c r="B3340" i="1"/>
  <c r="B76" i="1"/>
  <c r="B1812" i="1"/>
  <c r="B1638" i="1"/>
  <c r="B458" i="1"/>
  <c r="B3378" i="1"/>
  <c r="B1480" i="1"/>
  <c r="B1325" i="1"/>
  <c r="B2001" i="1"/>
  <c r="B2588" i="1"/>
  <c r="B2728" i="1"/>
  <c r="B1368" i="1"/>
  <c r="B2995" i="1"/>
  <c r="B927" i="1"/>
  <c r="B1389" i="1"/>
  <c r="B1122" i="1"/>
  <c r="B397" i="1"/>
  <c r="B2000" i="1"/>
  <c r="B1282" i="1"/>
  <c r="B2960" i="1"/>
  <c r="B2106" i="1"/>
  <c r="B1561" i="1"/>
  <c r="B1706" i="1"/>
  <c r="B3006" i="1"/>
  <c r="B1871" i="1"/>
  <c r="B2080" i="1"/>
  <c r="B2478" i="1"/>
  <c r="B1970" i="1"/>
  <c r="B2403" i="1"/>
  <c r="B3637" i="1"/>
  <c r="B2504" i="1"/>
  <c r="B787" i="1"/>
  <c r="B27" i="1"/>
  <c r="B3371" i="1"/>
  <c r="B1890" i="1"/>
  <c r="B1972" i="1"/>
  <c r="B3489" i="1"/>
  <c r="B1969" i="1"/>
  <c r="B3397" i="1"/>
  <c r="B707" i="1"/>
  <c r="B1250" i="1"/>
  <c r="B1221" i="1"/>
  <c r="B187" i="1"/>
  <c r="B771" i="1"/>
  <c r="B202" i="1"/>
  <c r="B1213" i="1"/>
  <c r="B1096" i="1"/>
  <c r="B2400" i="1"/>
  <c r="B1454" i="1"/>
  <c r="B2657" i="1"/>
  <c r="B2609" i="1"/>
  <c r="B3087" i="1"/>
  <c r="B2581" i="1"/>
  <c r="B3342" i="1"/>
  <c r="B1634" i="1"/>
  <c r="B3095" i="1"/>
  <c r="B1275" i="1"/>
  <c r="B2408" i="1"/>
  <c r="B3158" i="1"/>
  <c r="B2153" i="1"/>
  <c r="B2389" i="1"/>
  <c r="B423" i="1"/>
  <c r="B2128" i="1"/>
  <c r="B3529" i="1"/>
  <c r="B3534" i="1"/>
  <c r="B778" i="1"/>
  <c r="B894" i="1"/>
  <c r="B3085" i="1"/>
  <c r="B735" i="1"/>
  <c r="B668" i="1"/>
  <c r="B1995" i="1"/>
  <c r="B1683" i="1"/>
  <c r="B1324" i="1"/>
  <c r="B3392" i="1"/>
  <c r="B1563" i="1"/>
  <c r="B2873" i="1"/>
  <c r="B2107" i="1"/>
  <c r="B3576" i="1"/>
  <c r="B3281" i="1"/>
  <c r="B2009" i="1"/>
  <c r="B110" i="1"/>
  <c r="B977" i="1"/>
  <c r="B481" i="1"/>
  <c r="B1144" i="1"/>
  <c r="B1090" i="1"/>
  <c r="B3001" i="1"/>
  <c r="B1983" i="1"/>
  <c r="B3315" i="1"/>
  <c r="B3025" i="1"/>
  <c r="B3150" i="1"/>
  <c r="B1901" i="1"/>
  <c r="B1964" i="1"/>
  <c r="B2938" i="1"/>
  <c r="B662" i="1"/>
  <c r="B1251" i="1"/>
  <c r="B1284" i="1"/>
  <c r="B789" i="1"/>
  <c r="B1347" i="1"/>
  <c r="B1247" i="1"/>
  <c r="B546" i="1"/>
  <c r="B54" i="1"/>
  <c r="B427" i="1"/>
  <c r="B1874" i="1"/>
  <c r="B388" i="1"/>
  <c r="B2183" i="1"/>
  <c r="B82" i="1"/>
  <c r="B3415" i="1"/>
  <c r="B974" i="1"/>
  <c r="B2803" i="1"/>
  <c r="B2406" i="1"/>
  <c r="B1464" i="1"/>
  <c r="B342" i="1"/>
  <c r="B2635" i="1"/>
  <c r="B3345" i="1"/>
  <c r="B1412" i="1"/>
  <c r="B588" i="1"/>
  <c r="B1364" i="1"/>
  <c r="B2956" i="1"/>
  <c r="B610" i="1"/>
  <c r="B823" i="1"/>
  <c r="B583" i="1"/>
  <c r="B2948" i="1"/>
  <c r="B2617" i="1"/>
  <c r="B741" i="1"/>
  <c r="B2456" i="1"/>
  <c r="B1383" i="1"/>
  <c r="B694" i="1"/>
  <c r="B314" i="1"/>
  <c r="B3115" i="1"/>
  <c r="B2664" i="1"/>
  <c r="B2647" i="1"/>
  <c r="B1943" i="1"/>
  <c r="B3054" i="1"/>
  <c r="B3439" i="1"/>
  <c r="B640" i="1"/>
  <c r="B1543" i="1"/>
  <c r="B1134" i="1"/>
  <c r="B2602" i="1"/>
  <c r="B1770" i="1"/>
  <c r="B3377" i="1"/>
  <c r="B2958" i="1"/>
  <c r="B978" i="1"/>
  <c r="B2451" i="1"/>
  <c r="B1296" i="1"/>
  <c r="B1896" i="1"/>
  <c r="B2771" i="1"/>
  <c r="B1036" i="1"/>
  <c r="B1611" i="1"/>
  <c r="B509" i="1"/>
  <c r="B3100" i="1"/>
  <c r="B2981" i="1"/>
  <c r="B2819" i="1"/>
  <c r="B2150" i="1"/>
  <c r="B1549" i="1"/>
  <c r="B172" i="1"/>
  <c r="B2358" i="1"/>
  <c r="B922" i="1"/>
  <c r="B2197" i="1"/>
  <c r="B1678" i="1"/>
  <c r="B2381" i="1"/>
  <c r="B2206" i="1"/>
  <c r="B3535" i="1"/>
  <c r="B1384" i="1"/>
  <c r="B674" i="1"/>
  <c r="B1765" i="1"/>
  <c r="B126" i="1"/>
  <c r="B2247" i="1"/>
  <c r="B2359" i="1"/>
  <c r="B1764" i="1"/>
  <c r="B3375" i="1"/>
  <c r="B928" i="1"/>
  <c r="B2226" i="1"/>
  <c r="B1981" i="1"/>
  <c r="B376" i="1"/>
  <c r="B2420" i="1"/>
  <c r="B2907" i="1"/>
  <c r="B1128" i="1"/>
  <c r="B2560" i="1"/>
  <c r="B1774" i="1"/>
  <c r="B1822" i="1"/>
  <c r="B584" i="1"/>
  <c r="B1727" i="1"/>
  <c r="B2529" i="1"/>
  <c r="B421" i="1"/>
  <c r="B1624" i="1"/>
  <c r="B1274" i="1"/>
  <c r="B3222" i="1"/>
  <c r="B3230" i="1"/>
  <c r="B3501" i="1"/>
  <c r="B2452" i="1"/>
  <c r="B1082" i="1"/>
  <c r="B217" i="1"/>
  <c r="B2737" i="1"/>
  <c r="B3148" i="1"/>
  <c r="B2971" i="1"/>
  <c r="B2217" i="1"/>
  <c r="B1297" i="1"/>
  <c r="B1785" i="1"/>
  <c r="B2010" i="1"/>
  <c r="B233" i="1"/>
  <c r="B2947" i="1"/>
  <c r="B2972" i="1"/>
  <c r="B3170" i="1"/>
  <c r="B2563" i="1"/>
  <c r="B3611" i="1"/>
  <c r="B2112" i="1"/>
  <c r="B1054" i="1"/>
  <c r="B2644" i="1"/>
  <c r="B2520" i="1"/>
  <c r="B418" i="1"/>
  <c r="B1117" i="1"/>
  <c r="B3560" i="1"/>
  <c r="B1780" i="1"/>
  <c r="B2354" i="1"/>
  <c r="B2715" i="1"/>
  <c r="B117" i="1"/>
  <c r="B1886" i="1"/>
  <c r="B3012" i="1"/>
  <c r="B1188" i="1"/>
  <c r="B1095" i="1"/>
  <c r="B2838" i="1"/>
  <c r="B42" i="1"/>
  <c r="B2691" i="1"/>
  <c r="B1892" i="1"/>
  <c r="B3218" i="1"/>
  <c r="B2923" i="1"/>
  <c r="B2586" i="1"/>
  <c r="B809" i="1"/>
  <c r="B104" i="1"/>
  <c r="B1349" i="1"/>
  <c r="B979" i="1"/>
  <c r="B167" i="1"/>
  <c r="B1326" i="1"/>
  <c r="B2198" i="1"/>
  <c r="B249" i="1"/>
  <c r="B1808" i="1"/>
  <c r="B644" i="1"/>
  <c r="B2023" i="1"/>
  <c r="B2898" i="1"/>
  <c r="B356" i="1"/>
  <c r="B1270" i="1"/>
  <c r="B3015" i="1"/>
  <c r="B1579" i="1"/>
  <c r="B1960" i="1"/>
  <c r="B3292" i="1"/>
  <c r="B186" i="1"/>
  <c r="B2521" i="1"/>
  <c r="B1380" i="1"/>
  <c r="B1956" i="1"/>
  <c r="B916" i="1"/>
  <c r="B2079" i="1"/>
  <c r="B1351" i="1"/>
  <c r="B2615" i="1"/>
  <c r="B242" i="1"/>
  <c r="B1086" i="1"/>
  <c r="B3029" i="1"/>
  <c r="B543" i="1"/>
  <c r="B3068" i="1"/>
  <c r="B2538" i="1"/>
  <c r="B1529" i="1"/>
  <c r="B2944" i="1"/>
  <c r="B986" i="1"/>
  <c r="B3522" i="1"/>
  <c r="B820" i="1"/>
  <c r="B379" i="1"/>
  <c r="B850" i="1"/>
  <c r="B2396" i="1"/>
  <c r="B3053" i="1"/>
  <c r="B1176" i="1"/>
  <c r="B1528" i="1"/>
  <c r="B2008" i="1"/>
  <c r="B990" i="1"/>
  <c r="B2146" i="1"/>
  <c r="B1167" i="1"/>
  <c r="B1753" i="1"/>
  <c r="B2528" i="1"/>
  <c r="B94" i="1"/>
  <c r="B739" i="1"/>
  <c r="B1112" i="1"/>
  <c r="B2399" i="1"/>
  <c r="B3086" i="1"/>
  <c r="B1196" i="1"/>
  <c r="B1910" i="1"/>
  <c r="B1848" i="1"/>
  <c r="B1272" i="1"/>
  <c r="B404" i="1"/>
  <c r="B157" i="1"/>
  <c r="B3011" i="1"/>
  <c r="B2487" i="1"/>
  <c r="B2547" i="1"/>
  <c r="B1545" i="1"/>
  <c r="B1555" i="1"/>
  <c r="B2785" i="1"/>
  <c r="B533" i="1"/>
  <c r="B1912" i="1"/>
  <c r="B1414" i="1"/>
  <c r="B2879" i="1"/>
  <c r="B1447" i="1"/>
  <c r="B2620" i="1"/>
  <c r="B3295" i="1"/>
  <c r="B534" i="1"/>
  <c r="B2105" i="1"/>
  <c r="B1069" i="1"/>
  <c r="B1525" i="1"/>
  <c r="B700" i="1"/>
  <c r="B334" i="1"/>
  <c r="B3203" i="1"/>
  <c r="B865" i="1"/>
  <c r="B1942" i="1"/>
  <c r="B2895" i="1"/>
  <c r="B1049" i="1"/>
  <c r="B3616" i="1"/>
  <c r="B3631" i="1"/>
  <c r="B279" i="1"/>
  <c r="B3005" i="1"/>
  <c r="B161" i="1"/>
  <c r="B2842" i="1"/>
  <c r="B753" i="1"/>
  <c r="B2671" i="1"/>
  <c r="B3256" i="1"/>
  <c r="B1312" i="1"/>
  <c r="B706" i="1"/>
  <c r="B447" i="1"/>
  <c r="B2933" i="1"/>
  <c r="B2200" i="1"/>
  <c r="B695" i="1"/>
  <c r="B2246" i="1"/>
  <c r="B1458" i="1"/>
  <c r="B1372" i="1"/>
  <c r="B1576" i="1"/>
  <c r="B231" i="1"/>
  <c r="B3207" i="1"/>
  <c r="B964" i="1"/>
  <c r="B2498" i="1"/>
  <c r="B2548" i="1"/>
  <c r="B273" i="1"/>
  <c r="B3422" i="1"/>
  <c r="B2835" i="1"/>
  <c r="B2642" i="1"/>
  <c r="B1746" i="1"/>
  <c r="B2525" i="1"/>
  <c r="B2693" i="1"/>
  <c r="B1527" i="1"/>
  <c r="B728" i="1"/>
  <c r="B2088" i="1"/>
  <c r="B1846" i="1"/>
  <c r="B336" i="1"/>
  <c r="B3184" i="1"/>
  <c r="B130" i="1"/>
  <c r="B631" i="1"/>
  <c r="B293" i="1"/>
  <c r="B1880" i="1"/>
  <c r="B1173" i="1"/>
  <c r="B3106" i="1"/>
  <c r="B3288" i="1"/>
  <c r="B1645" i="1"/>
  <c r="B571" i="1"/>
  <c r="B654" i="1"/>
  <c r="B1013" i="1"/>
  <c r="B1933" i="1"/>
  <c r="B684" i="1"/>
  <c r="B345" i="1"/>
  <c r="B2236" i="1"/>
  <c r="B879" i="1"/>
  <c r="B1826" i="1"/>
  <c r="B3079" i="1"/>
  <c r="B2266" i="1"/>
  <c r="B2606" i="1"/>
  <c r="B340" i="1"/>
  <c r="B590" i="1"/>
  <c r="B247" i="1"/>
  <c r="B2937" i="1"/>
  <c r="B2966" i="1"/>
  <c r="B3130" i="1"/>
  <c r="B2555" i="1"/>
  <c r="B1212" i="1"/>
  <c r="B3204" i="1"/>
  <c r="B412" i="1"/>
  <c r="B2169" i="1"/>
  <c r="B73" i="1"/>
  <c r="B1187" i="1"/>
  <c r="B3331" i="1"/>
  <c r="B1732" i="1"/>
  <c r="B2614" i="1"/>
  <c r="B3144" i="1"/>
  <c r="B333" i="1"/>
  <c r="B2069" i="1"/>
  <c r="B2337" i="1"/>
  <c r="B1769" i="1"/>
  <c r="B586" i="1"/>
  <c r="B1119" i="1"/>
  <c r="B319" i="1"/>
  <c r="B3578" i="1"/>
  <c r="B1881" i="1"/>
  <c r="B3346" i="1"/>
  <c r="B215" i="1"/>
  <c r="B2370" i="1"/>
  <c r="B1610" i="1"/>
  <c r="B3477" i="1"/>
  <c r="B57" i="1"/>
  <c r="B1712" i="1"/>
  <c r="B2025" i="1"/>
  <c r="B1005" i="1"/>
  <c r="B199" i="1"/>
  <c r="B3138" i="1"/>
  <c r="B3210" i="1"/>
  <c r="B553" i="1"/>
  <c r="B570" i="1"/>
  <c r="B1669" i="1"/>
  <c r="B1936" i="1"/>
  <c r="B1071" i="1"/>
  <c r="B19" i="1"/>
  <c r="B1451" i="1"/>
  <c r="B2774" i="1"/>
  <c r="B1070" i="1"/>
  <c r="B1878" i="1"/>
  <c r="B2204" i="1"/>
  <c r="B3014" i="1"/>
  <c r="B2038" i="1"/>
  <c r="B2100" i="1"/>
  <c r="B1940" i="1"/>
  <c r="B574" i="1"/>
  <c r="B320" i="1"/>
  <c r="B2037" i="1"/>
  <c r="B2410" i="1"/>
  <c r="B2035" i="1"/>
  <c r="B34" i="1"/>
  <c r="B2508" i="1"/>
  <c r="B1532" i="1"/>
  <c r="B2679" i="1"/>
  <c r="B3195" i="1"/>
  <c r="B2888" i="1"/>
  <c r="B531" i="1"/>
  <c r="B2282" i="1"/>
  <c r="B679" i="1"/>
  <c r="B3044" i="1"/>
  <c r="B1287" i="1"/>
  <c r="B1048" i="1"/>
  <c r="B2787" i="1"/>
  <c r="B1999" i="1"/>
  <c r="B1294" i="1"/>
  <c r="B1263" i="1"/>
  <c r="B1992" i="1"/>
  <c r="B629" i="1"/>
  <c r="B3072" i="1"/>
  <c r="B3129" i="1"/>
  <c r="B3423" i="1"/>
  <c r="B493" i="1"/>
  <c r="B1290" i="1"/>
  <c r="B2856" i="1"/>
  <c r="B2064" i="1"/>
  <c r="B1537" i="1"/>
  <c r="B2382" i="1"/>
  <c r="B1365" i="1"/>
  <c r="B1725" i="1"/>
  <c r="B291" i="1"/>
  <c r="B3164" i="1"/>
  <c r="B1496" i="1"/>
  <c r="B991" i="1"/>
  <c r="B3187" i="1"/>
  <c r="B2979" i="1"/>
  <c r="B2814" i="1"/>
  <c r="B1920" i="1"/>
  <c r="B2539" i="1"/>
  <c r="B3276" i="1"/>
  <c r="B287" i="1"/>
  <c r="B2731" i="1"/>
  <c r="B3122" i="1"/>
  <c r="B1507" i="1"/>
  <c r="B2391" i="1"/>
  <c r="B40" i="1"/>
  <c r="B49" i="1"/>
  <c r="B2821" i="1"/>
  <c r="B2376" i="1"/>
  <c r="B2513" i="1"/>
  <c r="B2804" i="1"/>
  <c r="B1487" i="1"/>
  <c r="B3408" i="1"/>
  <c r="B448" i="1"/>
  <c r="B462" i="1"/>
  <c r="B212" i="1"/>
  <c r="B962" i="1"/>
  <c r="B3107" i="1"/>
  <c r="B1337" i="1"/>
  <c r="B483" i="1"/>
  <c r="B3594" i="1"/>
  <c r="B1120" i="1"/>
  <c r="B3355" i="1"/>
  <c r="B2405" i="1"/>
  <c r="B1127" i="1"/>
  <c r="B643" i="1"/>
  <c r="B1340" i="1"/>
  <c r="B2390" i="1"/>
  <c r="B2965" i="1"/>
  <c r="B1399" i="1"/>
  <c r="B957" i="1"/>
  <c r="B71" i="1"/>
  <c r="B1909" i="1"/>
  <c r="B482" i="1"/>
  <c r="B3194" i="1"/>
  <c r="B1637" i="1"/>
  <c r="B1526" i="1"/>
  <c r="B925" i="1"/>
  <c r="B2904" i="1"/>
  <c r="B2574" i="1"/>
  <c r="B2649" i="1"/>
  <c r="B2772" i="1"/>
  <c r="B350" i="1"/>
  <c r="B1100" i="1"/>
  <c r="B2701" i="1"/>
  <c r="B826" i="1"/>
  <c r="B2190" i="1"/>
  <c r="B1291" i="1"/>
  <c r="B2284" i="1"/>
  <c r="B612" i="1"/>
  <c r="B772" i="1"/>
  <c r="B587" i="1"/>
  <c r="B803" i="1"/>
  <c r="B1079" i="1"/>
  <c r="B1891" i="1"/>
  <c r="B2298" i="1"/>
  <c r="B2926" i="1"/>
  <c r="B139" i="1"/>
  <c r="B2459" i="1"/>
  <c r="B304" i="1"/>
  <c r="B2083" i="1"/>
  <c r="B2653" i="1"/>
  <c r="B1431" i="1"/>
  <c r="B2499" i="1"/>
  <c r="B1737" i="1"/>
  <c r="B2208" i="1"/>
  <c r="B1402" i="1"/>
  <c r="B1197" i="1"/>
  <c r="B1262" i="1"/>
  <c r="B3197" i="1"/>
  <c r="B263" i="1"/>
  <c r="B2375" i="1"/>
  <c r="B2665" i="1"/>
  <c r="B805" i="1"/>
  <c r="B2248" i="1"/>
  <c r="B873" i="1"/>
  <c r="B889" i="1"/>
  <c r="B3270" i="1"/>
  <c r="B207" i="1"/>
  <c r="B329" i="1"/>
  <c r="B1099" i="1"/>
  <c r="B1444" i="1"/>
  <c r="B3302" i="1"/>
  <c r="B1243" i="1"/>
  <c r="B1923" i="1"/>
  <c r="B697" i="1"/>
  <c r="B3239" i="1"/>
  <c r="B2201" i="1"/>
  <c r="B589" i="1"/>
  <c r="B385" i="1"/>
  <c r="B617" i="1"/>
  <c r="B780" i="1"/>
  <c r="B228" i="1"/>
  <c r="B3064" i="1"/>
  <c r="B1300" i="1"/>
  <c r="B1863" i="1"/>
  <c r="B3171" i="1"/>
  <c r="B1800" i="1"/>
  <c r="B2943" i="1"/>
  <c r="B948" i="1"/>
  <c r="B2902" i="1"/>
  <c r="B81" i="1"/>
  <c r="B123" i="1"/>
  <c r="B1833" i="1"/>
  <c r="B2782" i="1"/>
  <c r="B2158" i="1"/>
  <c r="B2996" i="1"/>
  <c r="B1946" i="1"/>
  <c r="B721" i="1"/>
  <c r="B2506" i="1"/>
  <c r="B2810" i="1"/>
  <c r="B3206" i="1"/>
  <c r="B2245" i="1"/>
  <c r="B1630" i="1"/>
  <c r="B419" i="1"/>
  <c r="B714" i="1"/>
  <c r="B2861" i="1"/>
  <c r="B2259" i="1"/>
  <c r="B2808" i="1"/>
  <c r="B1369" i="1"/>
  <c r="B2268" i="1"/>
  <c r="B3091" i="1"/>
  <c r="B1111" i="1"/>
  <c r="B1577" i="1"/>
  <c r="B943" i="1"/>
  <c r="B685" i="1"/>
  <c r="B1993" i="1"/>
  <c r="B3126" i="1"/>
  <c r="B2392" i="1"/>
  <c r="B2689" i="1"/>
  <c r="B2618" i="1"/>
  <c r="B2887" i="1"/>
  <c r="B3617" i="1"/>
  <c r="B2418" i="1"/>
  <c r="B2235" i="1"/>
  <c r="B461" i="1"/>
  <c r="B1801" i="1"/>
  <c r="B1794" i="1"/>
  <c r="B1322" i="1"/>
  <c r="B1228" i="1"/>
  <c r="B2589" i="1"/>
  <c r="B1313" i="1"/>
  <c r="B193" i="1"/>
  <c r="B1518" i="1"/>
  <c r="B3541" i="1"/>
  <c r="B2531" i="1"/>
  <c r="B2241" i="1"/>
  <c r="B1509" i="1"/>
  <c r="B2267" i="1"/>
  <c r="B3160" i="1"/>
  <c r="B1280" i="1"/>
  <c r="B993" i="1"/>
  <c r="B2393" i="1"/>
  <c r="B2536" i="1"/>
  <c r="B2551" i="1"/>
  <c r="B2352" i="1"/>
  <c r="B1316" i="1"/>
  <c r="B848" i="1"/>
  <c r="B3297" i="1"/>
  <c r="B1635" i="1"/>
  <c r="B2633" i="1"/>
  <c r="B593" i="1"/>
  <c r="B3341" i="1"/>
  <c r="B1592" i="1"/>
  <c r="B1388" i="1"/>
  <c r="B1837" i="1"/>
  <c r="B3278" i="1"/>
  <c r="B548" i="1"/>
  <c r="B470" i="1"/>
  <c r="B2899" i="1"/>
  <c r="B671" i="1"/>
  <c r="B898" i="1"/>
  <c r="B737" i="1"/>
  <c r="B1156" i="1"/>
  <c r="B2799" i="1"/>
  <c r="B1215" i="1"/>
  <c r="B815" i="1"/>
  <c r="B3024" i="1"/>
  <c r="B2002" i="1"/>
  <c r="B2980" i="1"/>
  <c r="B724" i="1"/>
  <c r="B276" i="1"/>
  <c r="B1722" i="1"/>
  <c r="B530" i="1"/>
  <c r="B730" i="1"/>
  <c r="B2542" i="1"/>
  <c r="B836" i="1"/>
  <c r="B1219" i="1"/>
  <c r="B2518" i="1"/>
  <c r="B945" i="1"/>
  <c r="B2843" i="1"/>
  <c r="B604" i="1"/>
  <c r="B625" i="1"/>
  <c r="B2784" i="1"/>
  <c r="B2205" i="1"/>
  <c r="B1965" i="1"/>
  <c r="B2012" i="1"/>
  <c r="B1064" i="1"/>
  <c r="B595" i="1"/>
  <c r="B3325" i="1"/>
  <c r="B1609" i="1"/>
  <c r="B3395" i="1"/>
  <c r="B3191" i="1"/>
  <c r="B2221" i="1"/>
  <c r="B1452" i="1"/>
  <c r="B3252" i="1"/>
  <c r="B723" i="1"/>
  <c r="B1239" i="1"/>
  <c r="B1565" i="1"/>
  <c r="B2476" i="1"/>
  <c r="B1371" i="1"/>
  <c r="B1726" i="1"/>
  <c r="B1562" i="1"/>
  <c r="B1354" i="1"/>
  <c r="B1784" i="1"/>
  <c r="B3247" i="1"/>
  <c r="B649" i="1"/>
  <c r="B2532" i="1"/>
  <c r="B2565" i="1"/>
  <c r="B2797" i="1"/>
  <c r="B3101" i="1"/>
  <c r="B2429" i="1"/>
  <c r="B1293" i="1"/>
  <c r="B2530" i="1"/>
  <c r="B3255" i="1"/>
  <c r="B335" i="1"/>
  <c r="B3259" i="1"/>
  <c r="B460" i="1"/>
  <c r="B283" i="1"/>
  <c r="B2089" i="1"/>
  <c r="B1165" i="1"/>
  <c r="B1292" i="1"/>
  <c r="B265" i="1"/>
  <c r="B2182" i="1"/>
  <c r="B3052" i="1"/>
  <c r="B2096" i="1"/>
  <c r="B1501" i="1"/>
  <c r="B2163" i="1"/>
  <c r="B1065" i="1"/>
  <c r="B2857" i="1"/>
  <c r="B760" i="1"/>
  <c r="B1621" i="1"/>
  <c r="B1655" i="1"/>
  <c r="B656" i="1"/>
  <c r="B1283" i="1"/>
  <c r="B3314" i="1"/>
  <c r="B266" i="1"/>
  <c r="B2470" i="1"/>
  <c r="B1498" i="1"/>
  <c r="B1979" i="1"/>
  <c r="B1757" i="1"/>
  <c r="B2495" i="1"/>
  <c r="B3119" i="1"/>
  <c r="B2170" i="1"/>
  <c r="B1858" i="1"/>
  <c r="B1479" i="1"/>
  <c r="B1028" i="1"/>
  <c r="B64" i="1"/>
  <c r="B1404" i="1"/>
  <c r="B941" i="1"/>
  <c r="B1668" i="1"/>
  <c r="B2724" i="1"/>
  <c r="B1053" i="1"/>
  <c r="B1393" i="1"/>
  <c r="B3290" i="1"/>
  <c r="B603" i="1"/>
  <c r="B2154" i="1"/>
  <c r="B3487" i="1"/>
  <c r="B382" i="1"/>
  <c r="B430" i="1"/>
  <c r="B796" i="1"/>
  <c r="B2578" i="1"/>
  <c r="B1930" i="1"/>
  <c r="B2795" i="1"/>
  <c r="B322" i="1"/>
  <c r="B3275" i="1"/>
  <c r="B1976" i="1"/>
  <c r="B966" i="1"/>
  <c r="B1741" i="1"/>
  <c r="B1854" i="1"/>
  <c r="B2133" i="1"/>
  <c r="B745" i="1"/>
  <c r="B2368" i="1"/>
  <c r="B251" i="1"/>
  <c r="B3364" i="1"/>
  <c r="B1604" i="1"/>
  <c r="B2613" i="1"/>
  <c r="B3" i="1"/>
  <c r="B1632" i="1"/>
  <c r="B645" i="1"/>
  <c r="B2554" i="1"/>
  <c r="B3109" i="1"/>
  <c r="B2040" i="1"/>
  <c r="B770" i="1"/>
  <c r="B2740" i="1"/>
  <c r="B435" i="1"/>
  <c r="B708" i="1"/>
  <c r="B3303" i="1"/>
  <c r="B2605" i="1"/>
  <c r="B2159" i="1"/>
  <c r="B1084" i="1"/>
  <c r="B3332" i="1"/>
  <c r="B985" i="1"/>
  <c r="B729" i="1"/>
  <c r="B503" i="1"/>
  <c r="B3306" i="1"/>
  <c r="B980" i="1"/>
  <c r="B2139" i="1"/>
  <c r="B3254" i="1"/>
  <c r="B3016" i="1"/>
  <c r="B1530" i="1"/>
  <c r="B1406" i="1"/>
  <c r="B1098" i="1"/>
  <c r="B3322" i="1"/>
  <c r="B3372" i="1"/>
  <c r="B1761" i="1"/>
  <c r="B3097" i="1"/>
  <c r="B337" i="1"/>
  <c r="B2880" i="1"/>
  <c r="B1542" i="1"/>
  <c r="B859" i="1"/>
  <c r="B2510" i="1"/>
  <c r="B1107" i="1"/>
  <c r="B1866" i="1"/>
  <c r="B2750" i="1"/>
  <c r="B1475" i="1"/>
  <c r="B1836" i="1"/>
  <c r="B2815" i="1"/>
  <c r="B1102" i="1"/>
  <c r="B2716" i="1"/>
  <c r="B3238" i="1"/>
  <c r="B567" i="1"/>
  <c r="B1607" i="1"/>
  <c r="B1998" i="1"/>
  <c r="B1679" i="1"/>
  <c r="B3436" i="1"/>
  <c r="B775" i="1"/>
  <c r="B2878" i="1"/>
  <c r="B2672" i="1"/>
  <c r="B209" i="1"/>
  <c r="B1161" i="1"/>
  <c r="B3387" i="1"/>
  <c r="B442" i="1"/>
  <c r="B1375" i="1"/>
  <c r="B1571" i="1"/>
  <c r="B1758" i="1"/>
  <c r="B613" i="1"/>
  <c r="B2423" i="1"/>
  <c r="B1980" i="1"/>
  <c r="B1710" i="1"/>
  <c r="B861" i="1"/>
  <c r="B1244" i="1"/>
  <c r="B1432" i="1"/>
  <c r="B2955" i="1"/>
  <c r="B1704" i="1"/>
  <c r="B114" i="1"/>
  <c r="B2216" i="1"/>
  <c r="B722" i="1"/>
  <c r="B1450" i="1"/>
  <c r="B973" i="1"/>
  <c r="B838" i="1"/>
  <c r="B1534" i="1"/>
  <c r="B2093" i="1"/>
  <c r="B1581" i="1"/>
  <c r="B90" i="1"/>
  <c r="B1136" i="1"/>
  <c r="B747" i="1"/>
  <c r="B2210" i="1"/>
  <c r="B3179" i="1"/>
  <c r="B3285" i="1"/>
  <c r="B3598" i="1"/>
  <c r="B791" i="1"/>
  <c r="B3057" i="1"/>
  <c r="B2912" i="1"/>
  <c r="B971" i="1"/>
  <c r="B1967" i="1"/>
  <c r="B3307" i="1"/>
  <c r="B3280" i="1"/>
  <c r="B872" i="1"/>
  <c r="B2961" i="1"/>
  <c r="B1029" i="1"/>
  <c r="B2719" i="1"/>
  <c r="B288" i="1"/>
  <c r="B285" i="1"/>
  <c r="B351" i="1"/>
  <c r="B2677" i="1"/>
  <c r="B1200" i="1"/>
  <c r="B1546" i="1"/>
  <c r="B2055" i="1"/>
  <c r="B1759" i="1"/>
  <c r="B1330" i="1"/>
  <c r="B38" i="1"/>
  <c r="B227" i="1"/>
  <c r="B844" i="1"/>
  <c r="B1963" i="1"/>
  <c r="B1072" i="1"/>
  <c r="B913" i="1"/>
  <c r="B623" i="1"/>
  <c r="B1031" i="1"/>
  <c r="B2753" i="1"/>
  <c r="B902" i="1"/>
  <c r="B2734" i="1"/>
  <c r="B557" i="1"/>
  <c r="B316" i="1"/>
  <c r="B611" i="1"/>
  <c r="B1548" i="1"/>
  <c r="B1650" i="1"/>
  <c r="B1009" i="1"/>
  <c r="B1614" i="1"/>
  <c r="B1959" i="1"/>
  <c r="B3093" i="1"/>
  <c r="B96" i="1"/>
  <c r="B166" i="1"/>
  <c r="B2989" i="1"/>
  <c r="B1051" i="1"/>
  <c r="B744" i="1"/>
  <c r="B676" i="1"/>
  <c r="B3301" i="1"/>
  <c r="B1602" i="1"/>
  <c r="B1440" i="1"/>
  <c r="B1885" i="1"/>
  <c r="B2061" i="1"/>
  <c r="B1613" i="1"/>
  <c r="B2457" i="1"/>
  <c r="B754" i="1"/>
  <c r="B626" i="1"/>
  <c r="B2978" i="1"/>
  <c r="B1944" i="1"/>
  <c r="B3102" i="1"/>
  <c r="B653" i="1"/>
  <c r="B600" i="1"/>
  <c r="B3180" i="1"/>
  <c r="B1058" i="1"/>
  <c r="B489" i="1"/>
  <c r="B256" i="1"/>
  <c r="B1617" i="1"/>
  <c r="B564" i="1"/>
  <c r="B532" i="1"/>
  <c r="B1016" i="1"/>
  <c r="B882" i="1"/>
  <c r="B1906" i="1"/>
  <c r="B358" i="1"/>
  <c r="B3269" i="1"/>
  <c r="B995" i="1"/>
  <c r="B1809" i="1"/>
  <c r="B3519" i="1"/>
  <c r="B3582" i="1"/>
  <c r="B2991" i="1"/>
  <c r="B2970" i="1"/>
  <c r="B2434" i="1"/>
  <c r="B2066" i="1"/>
  <c r="B2492" i="1"/>
  <c r="B3427" i="1"/>
  <c r="B2692" i="1"/>
  <c r="B751" i="1"/>
  <c r="B290" i="1"/>
  <c r="B1456" i="1"/>
  <c r="B693" i="1"/>
  <c r="B2567" i="1"/>
  <c r="B554" i="1"/>
  <c r="B2597" i="1"/>
  <c r="B1420" i="1"/>
  <c r="B3287" i="1"/>
  <c r="B1893" i="1"/>
  <c r="B1342" i="1"/>
  <c r="B2034" i="1"/>
  <c r="B1598" i="1"/>
  <c r="B1937" i="1"/>
  <c r="B1003" i="1"/>
  <c r="B3040" i="1"/>
  <c r="B1453" i="1"/>
  <c r="B2759" i="1"/>
  <c r="B3266" i="1"/>
  <c r="B2822" i="1"/>
  <c r="B1032" i="1"/>
  <c r="B1295" i="1"/>
  <c r="B1823" i="1"/>
  <c r="B2867" i="1"/>
  <c r="B2655" i="1"/>
  <c r="B163" i="1"/>
  <c r="B2004" i="1"/>
  <c r="B1567" i="1"/>
  <c r="B1939" i="1"/>
  <c r="B3264" i="1"/>
  <c r="B1338" i="1"/>
  <c r="B2711" i="1"/>
  <c r="B2725" i="1"/>
  <c r="B2469" i="1"/>
  <c r="B2527" i="1"/>
  <c r="B441" i="1"/>
  <c r="B2929" i="1"/>
  <c r="B3351" i="1"/>
  <c r="B3104" i="1"/>
  <c r="B2886" i="1"/>
  <c r="B1256" i="1"/>
  <c r="B3321" i="1"/>
  <c r="B1869" i="1"/>
  <c r="B2738" i="1"/>
  <c r="B2949" i="1"/>
  <c r="B3002" i="1"/>
  <c r="B1105" i="1"/>
  <c r="B3121" i="1"/>
  <c r="B648" i="1"/>
  <c r="B875" i="1"/>
  <c r="B3152" i="1"/>
  <c r="B1062" i="1"/>
  <c r="B2816" i="1"/>
  <c r="B3245" i="1"/>
  <c r="B2237" i="1"/>
  <c r="B1616" i="1"/>
  <c r="B3507" i="1"/>
  <c r="B3263" i="1"/>
  <c r="B1220" i="1"/>
  <c r="B2120" i="1"/>
  <c r="B946" i="1"/>
  <c r="B1660" i="1"/>
  <c r="B18" i="1"/>
  <c r="B2148" i="1"/>
  <c r="B514" i="1"/>
  <c r="B1152" i="1"/>
  <c r="B8" i="1"/>
  <c r="B2786" i="1"/>
  <c r="B1739" i="1"/>
  <c r="B2986" i="1"/>
  <c r="B2758" i="1"/>
  <c r="B3366" i="1"/>
  <c r="B1768" i="1"/>
  <c r="B3038" i="1"/>
  <c r="B2229" i="1"/>
  <c r="B1405" i="1"/>
  <c r="B2192" i="1"/>
  <c r="B1011" i="1"/>
  <c r="B1245" i="1"/>
  <c r="B2569" i="1"/>
  <c r="B2591" i="1"/>
  <c r="B1142" i="1"/>
  <c r="B1899" i="1"/>
  <c r="B2365" i="1"/>
  <c r="B1714" i="1"/>
  <c r="B3350" i="1"/>
  <c r="B929" i="1"/>
  <c r="B2022" i="1"/>
  <c r="B3353" i="1"/>
  <c r="B1872" i="1"/>
  <c r="B2224" i="1"/>
  <c r="B1633" i="1"/>
  <c r="B364" i="1"/>
  <c r="B2223" i="1"/>
  <c r="B2468" i="1"/>
  <c r="B975" i="1"/>
  <c r="B264" i="1"/>
  <c r="B2417" i="1"/>
  <c r="B2059" i="1"/>
  <c r="B1589" i="1"/>
  <c r="B3211" i="1"/>
  <c r="B144" i="1"/>
  <c r="B1172" i="1"/>
  <c r="B1052" i="1"/>
  <c r="B2920" i="1"/>
  <c r="B2404" i="1"/>
  <c r="B558" i="1"/>
  <c r="B740" i="1"/>
  <c r="B959" i="1"/>
  <c r="B594" i="1"/>
  <c r="B2385" i="1"/>
  <c r="B2963" i="1"/>
  <c r="B2749" i="1"/>
  <c r="B521" i="1"/>
  <c r="B2254" i="1"/>
  <c r="B2874" i="1"/>
  <c r="B513" i="1"/>
  <c r="B2019" i="1"/>
  <c r="B2188" i="1"/>
  <c r="B2444" i="1"/>
  <c r="B1968" i="1"/>
  <c r="B2465" i="1"/>
  <c r="B400" i="1"/>
  <c r="B1731" i="1"/>
  <c r="B545" i="1"/>
  <c r="B2742" i="1"/>
  <c r="B480" i="1"/>
  <c r="B2440" i="1"/>
  <c r="B3291" i="1"/>
  <c r="B2735" i="1"/>
  <c r="B1191" i="1"/>
  <c r="B1721" i="1"/>
  <c r="B3231" i="1"/>
  <c r="B2573" i="1"/>
  <c r="B2116" i="1"/>
  <c r="B1941" i="1"/>
  <c r="B672" i="1"/>
  <c r="B682" i="1"/>
  <c r="B436" i="1"/>
  <c r="B1442" i="1"/>
  <c r="B108" i="1"/>
  <c r="B2181" i="1"/>
  <c r="B422" i="1"/>
  <c r="B2802" i="1"/>
  <c r="B569" i="1"/>
  <c r="B2714" i="1"/>
  <c r="B3328" i="1"/>
  <c r="B1791" i="1"/>
  <c r="B1663" i="1"/>
  <c r="B405" i="1"/>
  <c r="B615" i="1"/>
  <c r="B1957" i="1"/>
  <c r="B2125" i="1"/>
  <c r="B311" i="1"/>
  <c r="B3236" i="1"/>
  <c r="B2673" i="1"/>
  <c r="B1711" i="1"/>
  <c r="B1662" i="1"/>
  <c r="B216" i="1"/>
  <c r="B1738" i="1"/>
  <c r="B2507" i="1"/>
  <c r="B3428" i="1"/>
  <c r="B750" i="1"/>
  <c r="B1350" i="1"/>
  <c r="B1913" i="1"/>
  <c r="B3380" i="1"/>
  <c r="B2705" i="1"/>
  <c r="B921" i="1"/>
  <c r="B2798" i="1"/>
  <c r="B1795" i="1"/>
  <c r="B3185" i="1"/>
  <c r="B51" i="1"/>
  <c r="B883" i="1"/>
  <c r="B2676" i="1"/>
  <c r="B1181" i="1"/>
  <c r="B257" i="1"/>
  <c r="B2157" i="1"/>
  <c r="B3379" i="1"/>
  <c r="B2517" i="1"/>
  <c r="B1148" i="1"/>
  <c r="B3262" i="1"/>
  <c r="B2990" i="1"/>
  <c r="B238" i="1"/>
  <c r="B777" i="1"/>
  <c r="B761" i="1"/>
  <c r="B1814" i="1"/>
  <c r="B3205" i="1"/>
  <c r="B3282" i="1"/>
  <c r="B3112" i="1"/>
  <c r="B366" i="1"/>
  <c r="B44" i="1"/>
  <c r="B1938" i="1"/>
  <c r="B2900" i="1"/>
  <c r="B2511" i="1"/>
  <c r="B511" i="1"/>
  <c r="B2680" i="1"/>
  <c r="B2028" i="1"/>
  <c r="B1231" i="1"/>
  <c r="B2249" i="1"/>
  <c r="B3411" i="1"/>
  <c r="B289" i="1"/>
  <c r="B2176" i="1"/>
  <c r="B3406" i="1"/>
  <c r="B2844" i="1"/>
  <c r="B2007" i="1"/>
  <c r="B79" i="1"/>
  <c r="B3033" i="1"/>
  <c r="B2905" i="1"/>
  <c r="B1329" i="1"/>
  <c r="B1672" i="1"/>
  <c r="B2908" i="1"/>
  <c r="B1415" i="1"/>
  <c r="B504" i="1"/>
  <c r="B2220" i="1"/>
  <c r="B326" i="1"/>
  <c r="B2343" i="1"/>
  <c r="B1427" i="1"/>
  <c r="B858" i="1"/>
  <c r="B1468" i="1"/>
  <c r="B2668" i="1"/>
  <c r="B1001" i="1"/>
  <c r="B1074" i="1"/>
  <c r="B138" i="1"/>
  <c r="B3099" i="1"/>
  <c r="B3019" i="1"/>
  <c r="B607" i="1"/>
  <c r="B1730" i="1"/>
  <c r="B1605" i="1"/>
  <c r="B2432" i="1"/>
  <c r="B3088" i="1"/>
  <c r="B3300" i="1"/>
  <c r="B1356" i="1"/>
  <c r="B1984" i="1"/>
  <c r="B497" i="1"/>
  <c r="B446" i="1"/>
  <c r="B3034" i="1"/>
  <c r="B1842" i="1"/>
  <c r="B3319" i="1"/>
  <c r="B1600" i="1"/>
  <c r="B1335" i="1"/>
  <c r="B1908" i="1"/>
  <c r="B1684" i="1"/>
  <c r="B3361" i="1"/>
  <c r="B1227" i="1"/>
  <c r="B2824" i="1"/>
  <c r="B308" i="1"/>
  <c r="B220" i="1"/>
  <c r="B325" i="1"/>
  <c r="B1017" i="1"/>
  <c r="B3081" i="1"/>
  <c r="B1163" i="1"/>
  <c r="B1864" i="1"/>
  <c r="B3503" i="1"/>
  <c r="B2611" i="1"/>
  <c r="B269" i="1"/>
  <c r="B2780" i="1"/>
  <c r="B2882" i="1"/>
  <c r="B1485" i="1"/>
  <c r="B2807" i="1"/>
  <c r="B3399" i="1"/>
  <c r="B2480" i="1"/>
  <c r="B1522" i="1"/>
  <c r="B3448" i="1"/>
  <c r="B3603" i="1"/>
  <c r="B2474" i="1"/>
  <c r="B1855" i="1"/>
  <c r="B2360" i="1"/>
  <c r="B2837" i="1"/>
  <c r="B1554" i="1"/>
  <c r="B1133" i="1"/>
  <c r="B742" i="1"/>
  <c r="B2481" i="1"/>
  <c r="B1750" i="1"/>
  <c r="B2704" i="1"/>
  <c r="B2703" i="1"/>
  <c r="B1286" i="1"/>
  <c r="B2932" i="1"/>
  <c r="B2090" i="1"/>
  <c r="B664" i="1"/>
  <c r="B484" i="1"/>
  <c r="B2063" i="1"/>
  <c r="B1658" i="1"/>
  <c r="B1870" i="1"/>
  <c r="B1317" i="1"/>
  <c r="B2145" i="1"/>
  <c r="B690" i="1"/>
  <c r="B3098" i="1"/>
  <c r="B1735" i="1"/>
  <c r="B2189" i="1"/>
  <c r="B585" i="1"/>
  <c r="B819" i="1"/>
  <c r="B344" i="1"/>
  <c r="B2582" i="1"/>
  <c r="B2595" i="1"/>
  <c r="B3165" i="1"/>
  <c r="B2543" i="1"/>
  <c r="B1811" i="1"/>
  <c r="B3240" i="1"/>
  <c r="B2086" i="1"/>
  <c r="B891" i="1"/>
  <c r="B368" i="1"/>
  <c r="B2638" i="1"/>
  <c r="B877" i="1"/>
  <c r="B632" i="1"/>
  <c r="B641" i="1"/>
  <c r="B449" i="1"/>
  <c r="B539" i="1"/>
  <c r="B3084" i="1"/>
  <c r="B1157" i="1"/>
  <c r="B666" i="1"/>
  <c r="B1887" i="1"/>
  <c r="B1116" i="1"/>
  <c r="B1914" i="1"/>
  <c r="B3017" i="1"/>
  <c r="B3320" i="1"/>
  <c r="B374" i="1"/>
  <c r="B1205" i="1"/>
  <c r="B1076" i="1"/>
  <c r="B2875" i="1"/>
  <c r="B1202" i="1"/>
  <c r="B2975" i="1"/>
  <c r="B508" i="1"/>
  <c r="B2466" i="1"/>
  <c r="B2179" i="1"/>
  <c r="B2788" i="1"/>
  <c r="B369" i="1"/>
  <c r="B3258" i="1"/>
  <c r="B839" i="1"/>
  <c r="B1973" i="1"/>
  <c r="B1189" i="1"/>
  <c r="B2604" i="1"/>
  <c r="B1996" i="1"/>
  <c r="B3365" i="1"/>
  <c r="B85" i="1"/>
  <c r="B3224" i="1"/>
  <c r="B2149" i="1"/>
  <c r="B1751" i="1"/>
  <c r="B2757" i="1"/>
  <c r="B1569" i="1"/>
  <c r="B2805" i="1"/>
  <c r="B637" i="1"/>
  <c r="B1594" i="1"/>
  <c r="B23" i="1"/>
  <c r="B2596" i="1"/>
  <c r="B1235" i="1"/>
  <c r="B169" i="1"/>
  <c r="B677" i="1"/>
  <c r="B1103" i="1"/>
  <c r="B1422" i="1"/>
  <c r="B1856" i="1"/>
  <c r="B1484" i="1"/>
  <c r="B951" i="1"/>
  <c r="B3167" i="1"/>
  <c r="B1840" i="1"/>
  <c r="B1081" i="1"/>
  <c r="B2709" i="1"/>
  <c r="B1985" i="1"/>
  <c r="B2826" i="1"/>
  <c r="B2433" i="1"/>
  <c r="B3393" i="1"/>
  <c r="B375" i="1"/>
  <c r="B1222" i="1"/>
  <c r="B3573" i="1"/>
  <c r="B3286" i="1"/>
  <c r="B3083" i="1"/>
  <c r="B3634" i="1"/>
  <c r="B2998" i="1"/>
  <c r="B2535" i="1"/>
  <c r="B3039" i="1"/>
  <c r="B2225" i="1"/>
  <c r="B2377" i="1"/>
  <c r="B1596" i="1"/>
  <c r="B1321" i="1"/>
  <c r="B2794" i="1"/>
  <c r="B3605" i="1"/>
  <c r="B2347" i="1"/>
  <c r="B1041" i="1"/>
  <c r="B1184" i="1"/>
  <c r="B2171" i="1"/>
  <c r="B581" i="1"/>
  <c r="B241" i="1"/>
  <c r="B1409" i="1"/>
  <c r="B1037" i="1"/>
  <c r="B1314" i="1"/>
  <c r="B563" i="1"/>
  <c r="B2659" i="1"/>
  <c r="B3510" i="1"/>
  <c r="B1859" i="1"/>
  <c r="B3215" i="1"/>
  <c r="B562" i="1"/>
  <c r="B2951" i="1"/>
  <c r="B176" i="1"/>
  <c r="B1889" i="1"/>
  <c r="B813" i="1"/>
  <c r="B371" i="1"/>
  <c r="B2854" i="1"/>
  <c r="B2032" i="1"/>
  <c r="B2770" i="1"/>
  <c r="B2927" i="1"/>
  <c r="B527" i="1"/>
  <c r="B165" i="1"/>
  <c r="B3465" i="1"/>
  <c r="B35" i="1"/>
  <c r="B1363" i="1"/>
  <c r="B1481" i="1"/>
  <c r="B958" i="1"/>
  <c r="B183" i="1"/>
  <c r="B248" i="1"/>
  <c r="B1713" i="1"/>
  <c r="B3223" i="1"/>
  <c r="B3219" i="1"/>
  <c r="B909" i="1"/>
  <c r="B1130" i="1"/>
  <c r="B678" i="1"/>
  <c r="B1334" i="1"/>
  <c r="B245" i="1"/>
  <c r="B162" i="1"/>
  <c r="B2407" i="1"/>
  <c r="B1428" i="1"/>
  <c r="B516" i="1"/>
  <c r="B2018" i="1"/>
  <c r="B2559" i="1"/>
  <c r="B3338" i="1"/>
  <c r="B2165" i="1"/>
  <c r="B2265" i="1"/>
  <c r="B2505" i="1"/>
  <c r="B3337" i="1"/>
  <c r="B1299" i="1"/>
  <c r="B2072" i="1"/>
  <c r="B303" i="1"/>
  <c r="B1138" i="1"/>
  <c r="B1198" i="1"/>
  <c r="B1355" i="1"/>
  <c r="B1591" i="1"/>
  <c r="B184" i="1"/>
  <c r="B1583" i="1"/>
  <c r="B2640" i="1"/>
  <c r="B2497" i="1"/>
  <c r="B3391" i="1"/>
  <c r="B1558" i="1"/>
  <c r="B2702" i="1"/>
  <c r="B2448" i="1"/>
  <c r="B1445" i="1"/>
  <c r="B1830" i="1"/>
  <c r="B332" i="1"/>
  <c r="B535" i="1"/>
  <c r="B3174" i="1"/>
  <c r="B188" i="1"/>
  <c r="B2764" i="1"/>
  <c r="B1110" i="1"/>
  <c r="B1974" i="1"/>
  <c r="B2919" i="1"/>
  <c r="B1252" i="1"/>
  <c r="B1601" i="1"/>
  <c r="B1183" i="1"/>
  <c r="B3274" i="1"/>
  <c r="B572" i="1"/>
  <c r="B1898" i="1"/>
  <c r="B793" i="1"/>
  <c r="B3237" i="1"/>
  <c r="B148" i="1"/>
  <c r="B3123" i="1"/>
  <c r="B1288" i="1"/>
  <c r="B878" i="1"/>
  <c r="B2869" i="1"/>
  <c r="B131" i="1"/>
  <c r="B2043" i="1"/>
  <c r="B1166" i="1"/>
  <c r="B1038" i="1"/>
  <c r="B275" i="1"/>
  <c r="B2122" i="1"/>
  <c r="B3114" i="1"/>
  <c r="B2809" i="1"/>
  <c r="B1019" i="1"/>
  <c r="B560" i="1"/>
  <c r="B2863" i="1"/>
  <c r="B401" i="1"/>
  <c r="B748" i="1"/>
  <c r="B3424" i="1"/>
  <c r="B136" i="1"/>
  <c r="B468" i="1"/>
  <c r="B2367" i="1"/>
  <c r="B786" i="1"/>
  <c r="B3354" i="1"/>
  <c r="B11" i="1"/>
  <c r="B597" i="1"/>
  <c r="B1210" i="1"/>
  <c r="B3490" i="1"/>
  <c r="B3035" i="1"/>
  <c r="B323" i="1"/>
  <c r="B3108" i="1"/>
  <c r="B1685" i="1"/>
  <c r="B1410" i="1"/>
  <c r="B313" i="1"/>
  <c r="B2374" i="1"/>
  <c r="B2137" i="1"/>
  <c r="B2896" i="1"/>
  <c r="B2053" i="1"/>
  <c r="B1517" i="1"/>
  <c r="B540" i="1"/>
  <c r="B50" i="1"/>
  <c r="B1430" i="1"/>
  <c r="B141" i="1"/>
  <c r="B2475" i="1"/>
  <c r="B2230" i="1"/>
  <c r="B3168" i="1"/>
  <c r="B3283" i="1"/>
  <c r="B1701" i="1"/>
  <c r="B3368" i="1"/>
  <c r="B2626" i="1"/>
  <c r="B2519" i="1"/>
  <c r="B7" i="1"/>
  <c r="B3561" i="1"/>
  <c r="B1209" i="1"/>
  <c r="B235" i="1"/>
  <c r="B2546" i="1"/>
  <c r="B1691" i="1"/>
  <c r="B766" i="1"/>
  <c r="B444" i="1"/>
  <c r="B3010" i="1"/>
  <c r="B1273" i="1"/>
  <c r="B439" i="1"/>
  <c r="B2443" i="1"/>
  <c r="B870" i="1"/>
  <c r="B2031" i="1"/>
  <c r="B1059" i="1"/>
  <c r="B3567" i="1"/>
  <c r="B800" i="1"/>
  <c r="B1915" i="1"/>
  <c r="B2523" i="1"/>
  <c r="B3042" i="1"/>
  <c r="B955" i="1"/>
  <c r="B150" i="1"/>
  <c r="B2482" i="1"/>
  <c r="B3333" i="1"/>
  <c r="B3139" i="1"/>
  <c r="B3410" i="1"/>
  <c r="B1553" i="1"/>
  <c r="B2094" i="1"/>
  <c r="B3149" i="1"/>
  <c r="B145" i="1"/>
  <c r="B2270" i="1"/>
  <c r="B2253" i="1"/>
  <c r="B1786" i="1"/>
  <c r="B3459" i="1"/>
  <c r="B3137" i="1"/>
  <c r="B2741" i="1"/>
  <c r="B1641" i="1"/>
  <c r="B704" i="1"/>
  <c r="B417" i="1"/>
  <c r="B2425" i="1"/>
  <c r="B1060" i="1"/>
  <c r="B129" i="1"/>
  <c r="B1595" i="1"/>
  <c r="B2430" i="1"/>
  <c r="B601" i="1"/>
  <c r="B2143" i="1"/>
  <c r="B638" i="1"/>
  <c r="B683" i="1"/>
  <c r="B827" i="1"/>
  <c r="B1473" i="1"/>
  <c r="B765" i="1"/>
  <c r="B229" i="1"/>
  <c r="B2261" i="1"/>
  <c r="B3202" i="1"/>
  <c r="B3516" i="1"/>
  <c r="B454" i="1"/>
  <c r="B1101" i="1"/>
  <c r="B3007" i="1"/>
  <c r="B490" i="1"/>
  <c r="B77" i="1"/>
  <c r="B701" i="1"/>
  <c r="B3128" i="1"/>
  <c r="B1494" i="1"/>
  <c r="B3523" i="1"/>
  <c r="B160" i="1"/>
  <c r="B65" i="1"/>
  <c r="B2940" i="1"/>
  <c r="B3327" i="1"/>
  <c r="B2232" i="1"/>
  <c r="B2987" i="1"/>
  <c r="B2013" i="1"/>
  <c r="B109" i="1"/>
  <c r="B147" i="1"/>
  <c r="B355" i="1"/>
  <c r="B93" i="1"/>
  <c r="B3398" i="1"/>
  <c r="B2779" i="1"/>
  <c r="B3409" i="1"/>
  <c r="B469" i="1"/>
  <c r="B783" i="1"/>
  <c r="B2021" i="1"/>
  <c r="B2036" i="1"/>
  <c r="B3221" i="1"/>
  <c r="B565" i="1"/>
  <c r="B1574" i="1"/>
  <c r="B2438" i="1"/>
  <c r="B2428" i="1"/>
  <c r="B1907" i="1"/>
  <c r="B1373" i="1"/>
  <c r="B3226" i="1"/>
  <c r="B968" i="1"/>
  <c r="B2839" i="1"/>
  <c r="B2593" i="1"/>
  <c r="B2209" i="1"/>
  <c r="B13" i="1"/>
  <c r="B3021" i="1"/>
  <c r="B3155" i="1"/>
  <c r="B1266" i="1"/>
  <c r="B3246" i="1"/>
  <c r="B1400" i="1"/>
  <c r="B3013" i="1"/>
  <c r="B75" i="1"/>
  <c r="B2747" i="1"/>
  <c r="B414" i="1"/>
  <c r="B3136" i="1"/>
  <c r="B939" i="1"/>
  <c r="B912" i="1"/>
  <c r="B1449" i="1"/>
  <c r="B168" i="1"/>
  <c r="B3272" i="1"/>
  <c r="B2925" i="1"/>
  <c r="B3096" i="1"/>
  <c r="B10" i="1"/>
  <c r="B2526" i="1"/>
  <c r="B2533" i="1"/>
  <c r="B1034" i="1"/>
  <c r="B14" i="1"/>
  <c r="B3163" i="1"/>
  <c r="B3402" i="1"/>
  <c r="B3177" i="1"/>
  <c r="B2841" i="1"/>
  <c r="B1876" i="1"/>
  <c r="B501" i="1"/>
  <c r="B2113" i="1"/>
  <c r="B3131" i="1"/>
  <c r="B5" i="1"/>
  <c r="B2848" i="1"/>
  <c r="B2240" i="1"/>
  <c r="B3384" i="1"/>
  <c r="B3189" i="1"/>
  <c r="B9" i="1"/>
  <c r="B432" i="1"/>
  <c r="B2959" i="1"/>
  <c r="B2326" i="1"/>
  <c r="B3103" i="1"/>
  <c r="B2426" i="1"/>
  <c r="G1314" i="1"/>
  <c r="G1114" i="1"/>
  <c r="G1757" i="1"/>
  <c r="G352" i="1"/>
  <c r="G1611" i="1"/>
  <c r="G2807" i="1"/>
  <c r="G1882" i="1"/>
  <c r="G647" i="1"/>
  <c r="G2233" i="1"/>
  <c r="G2142" i="1"/>
  <c r="G370" i="1"/>
  <c r="G609" i="1"/>
  <c r="G1126" i="1"/>
  <c r="G744" i="1"/>
  <c r="G2523" i="1"/>
  <c r="G849" i="1"/>
  <c r="G710" i="1"/>
  <c r="G2626" i="1"/>
  <c r="G283" i="1"/>
  <c r="G1041" i="1"/>
  <c r="G2991" i="1"/>
  <c r="G3014" i="1"/>
  <c r="G1221" i="1"/>
  <c r="G1538" i="1"/>
  <c r="G2609" i="1"/>
  <c r="G1244" i="1"/>
  <c r="G2889" i="1"/>
  <c r="G488" i="1"/>
  <c r="G2724" i="1"/>
  <c r="G1016" i="1"/>
  <c r="K1242" i="1"/>
  <c r="H1952" i="1"/>
  <c r="I82" i="1"/>
  <c r="G591" i="1"/>
  <c r="G2230" i="1"/>
  <c r="K2650" i="1"/>
  <c r="J3274" i="1"/>
  <c r="K1890" i="1"/>
  <c r="G3332" i="1"/>
  <c r="G2629" i="1"/>
  <c r="K1909" i="1"/>
  <c r="K2095" i="1"/>
  <c r="O2294" i="1"/>
  <c r="G1747" i="1"/>
  <c r="J374" i="1"/>
  <c r="J323" i="1"/>
  <c r="H81" i="1"/>
  <c r="I3587" i="1"/>
  <c r="J3251" i="1"/>
  <c r="I1211" i="1"/>
  <c r="K514" i="1"/>
  <c r="I3460" i="1"/>
  <c r="J255" i="1"/>
  <c r="G443" i="1"/>
  <c r="K3559" i="1"/>
  <c r="J2686" i="1"/>
  <c r="I455" i="1"/>
  <c r="J1629" i="1"/>
  <c r="J58" i="1"/>
  <c r="J1276" i="1"/>
  <c r="J1549" i="1"/>
  <c r="J2303" i="1"/>
  <c r="G738" i="1"/>
  <c r="I1410" i="1"/>
  <c r="K2202" i="1"/>
  <c r="J2672" i="1"/>
  <c r="P1580" i="1"/>
  <c r="Q3617" i="1"/>
  <c r="K156" i="1"/>
  <c r="K2038" i="1"/>
  <c r="J1001" i="1"/>
  <c r="K12" i="1"/>
  <c r="K3189" i="1"/>
  <c r="K1310" i="1"/>
  <c r="J2504" i="1"/>
  <c r="K585" i="1"/>
  <c r="K1636" i="1"/>
  <c r="J1794" i="1"/>
  <c r="J1807" i="1"/>
  <c r="K2663" i="1"/>
  <c r="J2274" i="1"/>
  <c r="J1919" i="1"/>
  <c r="K2351" i="1"/>
  <c r="I2355" i="1"/>
  <c r="K1919" i="1"/>
  <c r="G469" i="1"/>
  <c r="K3545" i="1"/>
  <c r="K2890" i="1"/>
  <c r="O2272" i="1"/>
  <c r="P1349" i="1"/>
  <c r="K850" i="1"/>
  <c r="H1249" i="1"/>
  <c r="H1152" i="1"/>
  <c r="K89" i="1"/>
  <c r="K3331" i="1"/>
  <c r="U3499" i="1"/>
  <c r="K2867" i="1"/>
  <c r="K2573" i="1"/>
  <c r="K817" i="1"/>
  <c r="H540" i="1"/>
  <c r="J2845" i="1"/>
  <c r="G908" i="1"/>
  <c r="J2537" i="1"/>
  <c r="I3104" i="1"/>
  <c r="I1676" i="1"/>
  <c r="J2608" i="1"/>
  <c r="K3338" i="1"/>
  <c r="H1338" i="1"/>
  <c r="Q2459" i="1"/>
  <c r="P2634" i="1"/>
  <c r="J764" i="1"/>
  <c r="U1588" i="1"/>
  <c r="Q2207" i="1"/>
  <c r="U869" i="1"/>
  <c r="K1107" i="1"/>
  <c r="K2756" i="1"/>
  <c r="J2713" i="1"/>
  <c r="K1543" i="1"/>
  <c r="K1690" i="1"/>
  <c r="K3065" i="1"/>
  <c r="H195" i="1"/>
  <c r="M694" i="1"/>
  <c r="U988" i="1"/>
  <c r="J1493" i="1"/>
  <c r="U1435" i="1"/>
  <c r="I1774" i="1"/>
  <c r="Q2495" i="1"/>
  <c r="H3382" i="1"/>
  <c r="I2320" i="1"/>
  <c r="H2642" i="1"/>
  <c r="J244" i="1"/>
  <c r="J3027" i="1"/>
  <c r="I1939" i="1"/>
  <c r="U2825" i="1"/>
  <c r="H3432" i="1"/>
  <c r="K272" i="1"/>
  <c r="K3090" i="1"/>
  <c r="J2758" i="1"/>
  <c r="J3531" i="1"/>
  <c r="J2051" i="1"/>
  <c r="K47" i="1"/>
  <c r="K213" i="1"/>
  <c r="I1976" i="1"/>
  <c r="K855" i="1"/>
  <c r="H1157" i="1"/>
  <c r="J36" i="1"/>
  <c r="K1699" i="1"/>
  <c r="H3217" i="1"/>
  <c r="H439" i="1"/>
  <c r="K39" i="1"/>
  <c r="H1372" i="1"/>
  <c r="K3259" i="1"/>
  <c r="H939" i="1"/>
  <c r="J2448" i="1"/>
  <c r="K2080" i="1"/>
  <c r="I2074" i="1"/>
  <c r="J2895" i="1"/>
  <c r="H1974" i="1"/>
  <c r="J2691" i="1"/>
  <c r="H2765" i="1"/>
  <c r="J659" i="1"/>
  <c r="H977" i="1"/>
  <c r="J3397" i="1"/>
  <c r="U899" i="1"/>
  <c r="H2228" i="1"/>
  <c r="U2257" i="1"/>
  <c r="H871" i="1"/>
  <c r="Q2024" i="1"/>
  <c r="H2373" i="1"/>
  <c r="U2336" i="1"/>
  <c r="K2701" i="1"/>
  <c r="K1379" i="1"/>
  <c r="U3376" i="1"/>
  <c r="K560" i="1"/>
  <c r="Q3273" i="1"/>
  <c r="I41" i="1"/>
  <c r="K2666" i="1"/>
  <c r="J831" i="1"/>
  <c r="H330" i="1"/>
  <c r="J942" i="1"/>
  <c r="U2103" i="1"/>
  <c r="H3252" i="1"/>
  <c r="Q962" i="1"/>
  <c r="H263" i="1"/>
  <c r="P2369" i="1"/>
  <c r="U3048" i="1"/>
  <c r="P1491" i="1"/>
  <c r="Q2752" i="1"/>
  <c r="J1030" i="1"/>
  <c r="O3437" i="1"/>
  <c r="Q1482" i="1"/>
  <c r="P1279" i="1"/>
  <c r="J2253" i="1"/>
  <c r="P1674" i="1"/>
  <c r="P452" i="1"/>
  <c r="O2314" i="1"/>
  <c r="K425" i="1"/>
  <c r="J2152" i="1"/>
  <c r="P13" i="1"/>
  <c r="J1399" i="1"/>
  <c r="J3243" i="1"/>
  <c r="K3027" i="1"/>
  <c r="H1561" i="1"/>
  <c r="J720" i="1"/>
  <c r="Q2910" i="1"/>
  <c r="K2881" i="1"/>
  <c r="U2080" i="1"/>
  <c r="K376" i="1"/>
  <c r="I3174" i="1"/>
  <c r="K485" i="1"/>
  <c r="K3132" i="1"/>
  <c r="J2767" i="1"/>
  <c r="J3114" i="1"/>
  <c r="I2879" i="1"/>
  <c r="I688" i="1"/>
  <c r="H438" i="1"/>
  <c r="J1973" i="1"/>
  <c r="H1964" i="1"/>
  <c r="J3019" i="1"/>
  <c r="J3078" i="1"/>
  <c r="K2992" i="1"/>
  <c r="K3440" i="1"/>
  <c r="H890" i="1"/>
  <c r="J722" i="1"/>
  <c r="K1722" i="1"/>
  <c r="J3602" i="1"/>
  <c r="J2319" i="1"/>
  <c r="H2135" i="1"/>
  <c r="J3357" i="1"/>
  <c r="K2397" i="1"/>
  <c r="K2217" i="1"/>
  <c r="K875" i="1"/>
  <c r="K147" i="1"/>
  <c r="J3457" i="1"/>
  <c r="J1706" i="1"/>
  <c r="J46" i="1"/>
  <c r="I536" i="1"/>
  <c r="U553" i="1"/>
  <c r="K565" i="1"/>
  <c r="K1451" i="1"/>
  <c r="P988" i="1"/>
  <c r="J3200" i="1"/>
  <c r="P2992" i="1"/>
  <c r="J737" i="1"/>
  <c r="O640" i="1"/>
  <c r="K2100" i="1"/>
  <c r="J1482" i="1"/>
  <c r="K780" i="1"/>
  <c r="K134" i="1"/>
  <c r="H2172" i="1"/>
  <c r="K380" i="1"/>
  <c r="J988" i="1"/>
  <c r="J185" i="1"/>
  <c r="U2309" i="1"/>
  <c r="J460" i="1"/>
  <c r="G3087" i="1"/>
  <c r="G388" i="1"/>
  <c r="G1953" i="1"/>
  <c r="G2667" i="1"/>
  <c r="G1506" i="1"/>
  <c r="G554" i="1"/>
  <c r="G626" i="1"/>
  <c r="G1969" i="1"/>
  <c r="G1587" i="1"/>
  <c r="G223" i="1"/>
  <c r="G1664" i="1"/>
  <c r="G369" i="1"/>
  <c r="G1609" i="1"/>
  <c r="G541" i="1"/>
  <c r="G787" i="1"/>
  <c r="G783" i="1"/>
  <c r="G1888" i="1"/>
  <c r="G447" i="1"/>
  <c r="G761" i="1"/>
  <c r="G514" i="1"/>
  <c r="G2986" i="1"/>
  <c r="G440" i="1"/>
  <c r="G399" i="1"/>
  <c r="G853" i="1"/>
  <c r="G1679" i="1"/>
  <c r="G1400" i="1"/>
  <c r="G1234" i="1"/>
  <c r="G2520" i="1"/>
  <c r="G751" i="1"/>
  <c r="K3161" i="1"/>
  <c r="K1566" i="1"/>
  <c r="I1453" i="1"/>
  <c r="H96" i="1"/>
  <c r="G1606" i="1"/>
  <c r="G3311" i="1"/>
  <c r="K3567" i="1"/>
  <c r="J1126" i="1"/>
  <c r="U2577" i="1"/>
  <c r="G312" i="1"/>
  <c r="K3570" i="1"/>
  <c r="K2532" i="1"/>
  <c r="J1358" i="1"/>
  <c r="K970" i="1"/>
  <c r="G3148" i="1"/>
  <c r="J2257" i="1"/>
  <c r="H933" i="1"/>
  <c r="Q505" i="1"/>
  <c r="K1947" i="1"/>
  <c r="J3462" i="1"/>
  <c r="K1026" i="1"/>
  <c r="K183" i="1"/>
  <c r="K129" i="1"/>
  <c r="G2956" i="1"/>
  <c r="G3189" i="1"/>
  <c r="K1900" i="1"/>
  <c r="I2397" i="1"/>
  <c r="J792" i="1"/>
  <c r="H3507" i="1"/>
  <c r="J3287" i="1"/>
  <c r="J702" i="1"/>
  <c r="I3034" i="1"/>
  <c r="I2167" i="1"/>
  <c r="K48" i="1"/>
  <c r="H178" i="1"/>
  <c r="I1210" i="1"/>
  <c r="O31" i="1"/>
  <c r="J605" i="1"/>
  <c r="K2879" i="1"/>
  <c r="H424" i="1"/>
  <c r="I2403" i="1"/>
  <c r="J3175" i="1"/>
  <c r="J2432" i="1"/>
  <c r="I2131" i="1"/>
  <c r="I1198" i="1"/>
  <c r="J3007" i="1"/>
  <c r="K3319" i="1"/>
  <c r="J3255" i="1"/>
  <c r="P1730" i="1"/>
  <c r="J2455" i="1"/>
  <c r="I299" i="1"/>
  <c r="H3311" i="1"/>
  <c r="J2186" i="1"/>
  <c r="J3591" i="1"/>
  <c r="K2004" i="1"/>
  <c r="J1108" i="1"/>
  <c r="G1191" i="1"/>
  <c r="K3350" i="1"/>
  <c r="J821" i="1"/>
  <c r="K601" i="1"/>
  <c r="I2137" i="1"/>
  <c r="H3007" i="1"/>
  <c r="Q797" i="1"/>
  <c r="J1467" i="1"/>
  <c r="J527" i="1"/>
  <c r="J3582" i="1"/>
  <c r="K364" i="1"/>
  <c r="K3520" i="1"/>
  <c r="K1465" i="1"/>
  <c r="M1894" i="1"/>
  <c r="K96" i="1"/>
  <c r="K2205" i="1"/>
  <c r="G257" i="1"/>
  <c r="K2394" i="1"/>
  <c r="J3375" i="1"/>
  <c r="I1713" i="1"/>
  <c r="H2001" i="1"/>
  <c r="K2135" i="1"/>
  <c r="H1421" i="1"/>
  <c r="K2257" i="1"/>
  <c r="I3435" i="1"/>
  <c r="J696" i="1"/>
  <c r="K1957" i="1"/>
  <c r="K2633" i="1"/>
  <c r="K1567" i="1"/>
  <c r="K157" i="1"/>
  <c r="I3456" i="1"/>
  <c r="J3565" i="1"/>
  <c r="K2905" i="1"/>
  <c r="K1572" i="1"/>
  <c r="H3478" i="1"/>
  <c r="J2992" i="1"/>
  <c r="K1823" i="1"/>
  <c r="K2248" i="1"/>
  <c r="I3513" i="1"/>
  <c r="J3176" i="1"/>
  <c r="J1010" i="1"/>
  <c r="K3092" i="1"/>
  <c r="K2470" i="1"/>
  <c r="U2228" i="1"/>
  <c r="I3551" i="1"/>
  <c r="U433" i="1"/>
  <c r="J290" i="1"/>
  <c r="J946" i="1"/>
  <c r="H2910" i="1"/>
  <c r="J3118" i="1"/>
  <c r="I1347" i="1"/>
  <c r="I884" i="1"/>
  <c r="I3482" i="1"/>
  <c r="H3414" i="1"/>
  <c r="I2957" i="1"/>
  <c r="I811" i="1"/>
  <c r="K1962" i="1"/>
  <c r="K1926" i="1"/>
  <c r="O1713" i="1"/>
  <c r="I132" i="1"/>
  <c r="I667" i="1"/>
  <c r="J2552" i="1"/>
  <c r="I3103" i="1"/>
  <c r="H631" i="1"/>
  <c r="H2610" i="1"/>
  <c r="Q846" i="1"/>
  <c r="K192" i="1"/>
  <c r="P3480" i="1"/>
  <c r="K2464" i="1"/>
  <c r="P2355" i="1"/>
  <c r="K2166" i="1"/>
  <c r="P2963" i="1"/>
  <c r="J542" i="1"/>
  <c r="Q1974" i="1"/>
  <c r="J1703" i="1"/>
  <c r="H315" i="1"/>
  <c r="I443" i="1"/>
  <c r="O1136" i="1"/>
  <c r="H3561" i="1"/>
  <c r="U1998" i="1"/>
  <c r="U686" i="1"/>
  <c r="O385" i="1"/>
  <c r="J2572" i="1"/>
  <c r="Q1524" i="1"/>
  <c r="Q455" i="1"/>
  <c r="I1412" i="1"/>
  <c r="I2349" i="1"/>
  <c r="U2046" i="1"/>
  <c r="K2960" i="1"/>
  <c r="Q2871" i="1"/>
  <c r="K3173" i="1"/>
  <c r="J2023" i="1"/>
  <c r="J3383" i="1"/>
  <c r="U2617" i="1"/>
  <c r="U3115" i="1"/>
  <c r="I2934" i="1"/>
  <c r="H2596" i="1"/>
  <c r="I2001" i="1"/>
  <c r="H3317" i="1"/>
  <c r="H198" i="1"/>
  <c r="K2691" i="1"/>
  <c r="H1179" i="1"/>
  <c r="I3478" i="1"/>
  <c r="K2237" i="1"/>
  <c r="P3213" i="1"/>
  <c r="Q364" i="1"/>
  <c r="N908" i="1"/>
  <c r="J3068" i="1"/>
  <c r="O1975" i="1"/>
  <c r="O2939" i="1"/>
  <c r="J2449" i="1"/>
  <c r="H2643" i="1"/>
  <c r="I2145" i="1"/>
  <c r="P3080" i="1"/>
  <c r="H1107" i="1"/>
  <c r="H1724" i="1"/>
  <c r="K214" i="1"/>
  <c r="H1817" i="1"/>
  <c r="K260" i="1"/>
  <c r="Q272" i="1"/>
  <c r="K2254" i="1"/>
  <c r="U1977" i="1"/>
  <c r="P3151" i="1"/>
  <c r="K430" i="1"/>
  <c r="U1699" i="1"/>
  <c r="K1565" i="1"/>
  <c r="K1596" i="1"/>
  <c r="K2465" i="1"/>
  <c r="K1387" i="1"/>
  <c r="K2251" i="1"/>
  <c r="K2219" i="1"/>
  <c r="K1562" i="1"/>
  <c r="K2822" i="1"/>
  <c r="K919" i="1"/>
  <c r="K475" i="1"/>
  <c r="K3639" i="1"/>
  <c r="M173" i="1"/>
  <c r="K2060" i="1"/>
  <c r="K452" i="1"/>
  <c r="K3302" i="1"/>
  <c r="J1538" i="1"/>
  <c r="K2723" i="1"/>
  <c r="K2357" i="1"/>
  <c r="K240" i="1"/>
  <c r="I1055" i="1"/>
  <c r="K2280" i="1"/>
  <c r="K654" i="1"/>
  <c r="K64" i="1"/>
  <c r="J2194" i="1"/>
  <c r="K853" i="1"/>
  <c r="J1508" i="1"/>
  <c r="J2386" i="1"/>
  <c r="K3498" i="1"/>
  <c r="I3423" i="1"/>
  <c r="I2250" i="1"/>
  <c r="I2953" i="1"/>
  <c r="H2737" i="1"/>
  <c r="I2848" i="1"/>
  <c r="J878" i="1"/>
  <c r="J1468" i="1"/>
  <c r="J3584" i="1"/>
  <c r="K2460" i="1"/>
  <c r="J2009" i="1"/>
  <c r="J3443" i="1"/>
  <c r="P898" i="1"/>
  <c r="J599" i="1"/>
  <c r="O998" i="1"/>
  <c r="I1316" i="1"/>
  <c r="K2466" i="1"/>
  <c r="O2247" i="1"/>
  <c r="G1487" i="1"/>
  <c r="G1019" i="1"/>
  <c r="G3050" i="1"/>
  <c r="G939" i="1"/>
  <c r="G1420" i="1"/>
  <c r="G1615" i="1"/>
  <c r="G784" i="1"/>
  <c r="G782" i="1"/>
  <c r="G3089" i="1"/>
  <c r="G2252" i="1"/>
  <c r="G2898" i="1"/>
  <c r="G728" i="1"/>
  <c r="G2853" i="1"/>
  <c r="G2652" i="1"/>
  <c r="G214" i="1"/>
  <c r="G1471" i="1"/>
  <c r="G229" i="1"/>
  <c r="G394" i="1"/>
  <c r="G233" i="1"/>
  <c r="G1553" i="1"/>
  <c r="G2759" i="1"/>
  <c r="G1845" i="1"/>
  <c r="G791" i="1"/>
  <c r="G2351" i="1"/>
  <c r="G509" i="1"/>
  <c r="G1174" i="1"/>
  <c r="G329" i="1"/>
  <c r="G314" i="1"/>
  <c r="G745" i="1"/>
  <c r="K2789" i="1"/>
  <c r="U739" i="1"/>
  <c r="P1752" i="1"/>
  <c r="H3496" i="1"/>
  <c r="G3092" i="1"/>
  <c r="K894" i="1"/>
  <c r="K2268" i="1"/>
  <c r="K2266" i="1"/>
  <c r="K2026" i="1"/>
  <c r="G226" i="1"/>
  <c r="K2149" i="1"/>
  <c r="I3189" i="1"/>
  <c r="H1359" i="1"/>
  <c r="O891" i="1"/>
  <c r="G1256" i="1"/>
  <c r="J2684" i="1"/>
  <c r="K805" i="1"/>
  <c r="K3365" i="1"/>
  <c r="J668" i="1"/>
  <c r="J623" i="1"/>
  <c r="K220" i="1"/>
  <c r="J1725" i="1"/>
  <c r="K1955" i="1"/>
  <c r="G631" i="1"/>
  <c r="K3175" i="1"/>
  <c r="K1988" i="1"/>
  <c r="I404" i="1"/>
  <c r="I2249" i="1"/>
  <c r="K115" i="1"/>
  <c r="K3233" i="1"/>
  <c r="H3310" i="1"/>
  <c r="J2897" i="1"/>
  <c r="K1328" i="1"/>
  <c r="J969" i="1"/>
  <c r="H2272" i="1"/>
  <c r="K1176" i="1"/>
  <c r="K1501" i="1"/>
  <c r="O1148" i="1"/>
  <c r="K584" i="1"/>
  <c r="K2105" i="1"/>
  <c r="G2874" i="1"/>
  <c r="J3534" i="1"/>
  <c r="P2889" i="1"/>
  <c r="J1133" i="1"/>
  <c r="K1324" i="1"/>
  <c r="K2797" i="1"/>
  <c r="H2308" i="1"/>
  <c r="J1201" i="1"/>
  <c r="J1449" i="1"/>
  <c r="K1371" i="1"/>
  <c r="K3601" i="1"/>
  <c r="K671" i="1"/>
  <c r="J3451" i="1"/>
  <c r="K2008" i="1"/>
  <c r="I2536" i="1"/>
  <c r="J23" i="1"/>
  <c r="K2114" i="1"/>
  <c r="K3038" i="1"/>
  <c r="J1758" i="1"/>
  <c r="P1195" i="1"/>
  <c r="J1168" i="1"/>
  <c r="K927" i="1"/>
  <c r="K3349" i="1"/>
  <c r="U2417" i="1"/>
  <c r="K576" i="1"/>
  <c r="K2670" i="1"/>
  <c r="J2717" i="1"/>
  <c r="K1969" i="1"/>
  <c r="K2070" i="1"/>
  <c r="J345" i="1"/>
  <c r="U1153" i="1"/>
  <c r="K3136" i="1"/>
  <c r="G690" i="1"/>
  <c r="K1262" i="1"/>
  <c r="J2523" i="1"/>
  <c r="I2571" i="1"/>
  <c r="J3455" i="1"/>
  <c r="K1043" i="1"/>
  <c r="K439" i="1"/>
  <c r="Q1560" i="1"/>
  <c r="K160" i="1"/>
  <c r="K2081" i="1"/>
  <c r="K1007" i="1"/>
  <c r="J2933" i="1"/>
  <c r="J25" i="1"/>
  <c r="J2329" i="1"/>
  <c r="I2805" i="1"/>
  <c r="H1452" i="1"/>
  <c r="I2988" i="1"/>
  <c r="K1406" i="1"/>
  <c r="H1391" i="1"/>
  <c r="U3479" i="1"/>
  <c r="J1695" i="1"/>
  <c r="U85" i="1"/>
  <c r="I1725" i="1"/>
  <c r="U1319" i="1"/>
  <c r="U1109" i="1"/>
  <c r="Q2241" i="1"/>
  <c r="J240" i="1"/>
  <c r="U2418" i="1"/>
  <c r="I1244" i="1"/>
  <c r="J848" i="1"/>
  <c r="K1702" i="1"/>
  <c r="J2788" i="1"/>
  <c r="K1394" i="1"/>
  <c r="K1395" i="1"/>
  <c r="K1555" i="1"/>
  <c r="H3577" i="1"/>
  <c r="I2434" i="1"/>
  <c r="J3482" i="1"/>
  <c r="H1146" i="1"/>
  <c r="I3615" i="1"/>
  <c r="I3501" i="1"/>
  <c r="J853" i="1"/>
  <c r="J3554" i="1"/>
  <c r="J1139" i="1"/>
  <c r="J223" i="1"/>
  <c r="J3276" i="1"/>
  <c r="K3410" i="1"/>
  <c r="J2581" i="1"/>
  <c r="U1450" i="1"/>
  <c r="H3640" i="1"/>
  <c r="Q1287" i="1"/>
  <c r="H1069" i="1"/>
  <c r="Q287" i="1"/>
  <c r="K1781" i="1"/>
  <c r="P1924" i="1"/>
  <c r="I558" i="1"/>
  <c r="K1339" i="1"/>
  <c r="U3413" i="1"/>
  <c r="U1210" i="1"/>
  <c r="H223" i="1"/>
  <c r="J270" i="1"/>
  <c r="Q1687" i="1"/>
  <c r="I3362" i="1"/>
  <c r="U412" i="1"/>
  <c r="J1035" i="1"/>
  <c r="P2939" i="1"/>
  <c r="H2779" i="1"/>
  <c r="Q2979" i="1"/>
  <c r="K98" i="1"/>
  <c r="H2702" i="1"/>
  <c r="K1079" i="1"/>
  <c r="K2765" i="1"/>
  <c r="K3058" i="1"/>
  <c r="K789" i="1"/>
  <c r="Q3089" i="1"/>
  <c r="J207" i="1"/>
  <c r="K2511" i="1"/>
  <c r="Q2750" i="1"/>
  <c r="H2368" i="1"/>
  <c r="P1095" i="1"/>
  <c r="P2100" i="1"/>
  <c r="P1375" i="1"/>
  <c r="Q373" i="1"/>
  <c r="O129" i="1"/>
  <c r="H3357" i="1"/>
  <c r="K1276" i="1"/>
  <c r="J3456" i="1"/>
  <c r="K1604" i="1"/>
  <c r="Q2035" i="1"/>
  <c r="I1127" i="1"/>
  <c r="J2173" i="1"/>
  <c r="K2805" i="1"/>
  <c r="O684" i="1"/>
  <c r="U1759" i="1"/>
  <c r="K2916" i="1"/>
  <c r="K929" i="1"/>
  <c r="J2509" i="1"/>
  <c r="Q422" i="1"/>
  <c r="K2434" i="1"/>
  <c r="K2857" i="1"/>
  <c r="K3429" i="1"/>
  <c r="J2551" i="1"/>
  <c r="K2712" i="1"/>
  <c r="P3217" i="1"/>
  <c r="J2753" i="1"/>
  <c r="U1846" i="1"/>
  <c r="Q1848" i="1"/>
  <c r="K2338" i="1"/>
  <c r="K2481" i="1"/>
  <c r="J2968" i="1"/>
  <c r="U2702" i="1"/>
  <c r="K2568" i="1"/>
  <c r="U1151" i="1"/>
  <c r="J1922" i="1"/>
  <c r="Q1739" i="1"/>
  <c r="K537" i="1"/>
  <c r="Q51" i="1"/>
  <c r="J2741" i="1"/>
  <c r="K1785" i="1"/>
  <c r="K2300" i="1"/>
  <c r="K831" i="1"/>
  <c r="H2649" i="1"/>
  <c r="K2405" i="1"/>
  <c r="K2664" i="1"/>
  <c r="K3061" i="1"/>
  <c r="U3554" i="1"/>
  <c r="K1402" i="1"/>
  <c r="K3332" i="1"/>
  <c r="K118" i="1"/>
  <c r="J2427" i="1"/>
  <c r="K2936" i="1"/>
  <c r="K2241" i="1"/>
  <c r="J2913" i="1"/>
  <c r="J3185" i="1"/>
  <c r="K1819" i="1"/>
  <c r="K2210" i="1"/>
  <c r="H464" i="1"/>
  <c r="K174" i="1"/>
  <c r="H2130" i="1"/>
  <c r="H186" i="1"/>
  <c r="K1655" i="1"/>
  <c r="Q2167" i="1"/>
  <c r="K2812" i="1"/>
  <c r="J325" i="1"/>
  <c r="J1584" i="1"/>
  <c r="K3407" i="1"/>
  <c r="J2822" i="1"/>
  <c r="K1355" i="1"/>
  <c r="Q1600" i="1"/>
  <c r="J835" i="1"/>
  <c r="K154" i="1"/>
  <c r="I544" i="1"/>
  <c r="K1476" i="1"/>
  <c r="I1477" i="1"/>
  <c r="G613" i="1"/>
  <c r="G428" i="1"/>
  <c r="G1721" i="1"/>
  <c r="G2771" i="1"/>
  <c r="G1208" i="1"/>
  <c r="G2798" i="1"/>
  <c r="G213" i="1"/>
  <c r="G301" i="1"/>
  <c r="G3201" i="1"/>
  <c r="G1570" i="1"/>
  <c r="G433" i="1"/>
  <c r="G839" i="1"/>
  <c r="G1061" i="1"/>
  <c r="G540" i="1"/>
  <c r="G250" i="1"/>
  <c r="G721" i="1"/>
  <c r="G288" i="1"/>
  <c r="G2131" i="1"/>
  <c r="G1336" i="1"/>
  <c r="G843" i="1"/>
  <c r="G1830" i="1"/>
  <c r="G697" i="1"/>
  <c r="G262" i="1"/>
  <c r="G484" i="1"/>
  <c r="G2554" i="1"/>
  <c r="G1820" i="1"/>
  <c r="G1215" i="1"/>
  <c r="G579" i="1"/>
  <c r="G1272" i="1"/>
  <c r="I3476" i="1"/>
  <c r="K1740" i="1"/>
  <c r="I2664" i="1"/>
  <c r="K3485" i="1"/>
  <c r="G543" i="1"/>
  <c r="K1477" i="1"/>
  <c r="K3032" i="1"/>
  <c r="K587" i="1"/>
  <c r="U2534" i="1"/>
  <c r="G965" i="1"/>
  <c r="K120" i="1"/>
  <c r="Q2407" i="1"/>
  <c r="J1607" i="1"/>
  <c r="K1797" i="1"/>
  <c r="G1169" i="1"/>
  <c r="J3570" i="1"/>
  <c r="Q1993" i="1"/>
  <c r="H3219" i="1"/>
  <c r="I2171" i="1"/>
  <c r="J250" i="1"/>
  <c r="U1614" i="1"/>
  <c r="M1633" i="1"/>
  <c r="H2644" i="1"/>
  <c r="K333" i="1"/>
  <c r="K1746" i="1"/>
  <c r="K2560" i="1"/>
  <c r="I2114" i="1"/>
  <c r="J1551" i="1"/>
  <c r="K3528" i="1"/>
  <c r="K1626" i="1"/>
  <c r="H2363" i="1"/>
  <c r="I1129" i="1"/>
  <c r="K1938" i="1"/>
  <c r="J44" i="1"/>
  <c r="K2184" i="1"/>
  <c r="K637" i="1"/>
  <c r="K1761" i="1"/>
  <c r="K2145" i="1"/>
  <c r="K1475" i="1"/>
  <c r="J2634" i="1"/>
  <c r="G2651" i="1"/>
  <c r="K3163" i="1"/>
  <c r="J349" i="1"/>
  <c r="I1719" i="1"/>
  <c r="J262" i="1"/>
  <c r="K1564" i="1"/>
  <c r="K2323" i="1"/>
  <c r="I2601" i="1"/>
  <c r="K1199" i="1"/>
  <c r="J1014" i="1"/>
  <c r="J644" i="1"/>
  <c r="P1368" i="1"/>
  <c r="J1163" i="1"/>
  <c r="H21" i="1"/>
  <c r="H1786" i="1"/>
  <c r="U2891" i="1"/>
  <c r="K1219" i="1"/>
  <c r="K3404" i="1"/>
  <c r="K3314" i="1"/>
  <c r="K130" i="1"/>
  <c r="J3034" i="1"/>
  <c r="K1220" i="1"/>
  <c r="J3618" i="1"/>
  <c r="J2293" i="1"/>
  <c r="J1437" i="1"/>
  <c r="G1437" i="1"/>
  <c r="J2730" i="1"/>
  <c r="K2962" i="1"/>
  <c r="H3047" i="1"/>
  <c r="I1890" i="1"/>
  <c r="K2226" i="1"/>
  <c r="K2469" i="1"/>
  <c r="K2455" i="1"/>
  <c r="J1107" i="1"/>
  <c r="J2846" i="1"/>
  <c r="J2706" i="1"/>
  <c r="J1771" i="1"/>
  <c r="K2312" i="1"/>
  <c r="I1359" i="1"/>
  <c r="K1116" i="1"/>
  <c r="I1161" i="1"/>
  <c r="G279" i="1"/>
  <c r="H2898" i="1"/>
  <c r="J484" i="1"/>
  <c r="K1224" i="1"/>
  <c r="K1072" i="1"/>
  <c r="Q1641" i="1"/>
  <c r="I1898" i="1"/>
  <c r="I1008" i="1"/>
  <c r="J3608" i="1"/>
  <c r="U1814" i="1"/>
  <c r="J2193" i="1"/>
  <c r="J1028" i="1"/>
  <c r="K1784" i="1"/>
  <c r="H1085" i="1"/>
  <c r="J939" i="1"/>
  <c r="U444" i="1"/>
  <c r="K353" i="1"/>
  <c r="I3580" i="1"/>
  <c r="U1232" i="1"/>
  <c r="H2669" i="1"/>
  <c r="Q406" i="1"/>
  <c r="H853" i="1"/>
  <c r="J1083" i="1"/>
  <c r="K2290" i="1"/>
  <c r="Q3321" i="1"/>
  <c r="J1894" i="1"/>
  <c r="H3260" i="1"/>
  <c r="I2266" i="1"/>
  <c r="P893" i="1"/>
  <c r="K1115" i="1"/>
  <c r="K329" i="1"/>
  <c r="K986" i="1"/>
  <c r="K964" i="1"/>
  <c r="K1984" i="1"/>
  <c r="K3228" i="1"/>
  <c r="K2969" i="1"/>
  <c r="P1359" i="1"/>
  <c r="K1400" i="1"/>
  <c r="K2214" i="1"/>
  <c r="K1920" i="1"/>
  <c r="Q2503" i="1"/>
  <c r="I1606" i="1"/>
  <c r="Q1957" i="1"/>
  <c r="U2262" i="1"/>
  <c r="P571" i="1"/>
  <c r="P822" i="1"/>
  <c r="P420" i="1"/>
  <c r="J147" i="1"/>
  <c r="U535" i="1"/>
  <c r="K841" i="1"/>
  <c r="H918" i="1"/>
  <c r="K1068" i="1"/>
  <c r="Q2016" i="1"/>
  <c r="I1277" i="1"/>
  <c r="J633" i="1"/>
  <c r="J758" i="1"/>
  <c r="P2812" i="1"/>
  <c r="H2400" i="1"/>
  <c r="I72" i="1"/>
  <c r="K345" i="1"/>
  <c r="H1398" i="1"/>
  <c r="K3467" i="1"/>
  <c r="K2800" i="1"/>
  <c r="K721" i="1"/>
  <c r="K3249" i="1"/>
  <c r="K1704" i="1"/>
  <c r="J1404" i="1"/>
  <c r="I2429" i="1"/>
  <c r="K1362" i="1"/>
  <c r="P2153" i="1"/>
  <c r="I3639" i="1"/>
  <c r="J3503" i="1"/>
  <c r="H1408" i="1"/>
  <c r="H1579" i="1"/>
  <c r="H781" i="1"/>
  <c r="J2616" i="1"/>
  <c r="U3471" i="1"/>
  <c r="I3441" i="1"/>
  <c r="K2432" i="1"/>
  <c r="U840" i="1"/>
  <c r="H1487" i="1"/>
  <c r="I2637" i="1"/>
  <c r="K438" i="1"/>
  <c r="P1025" i="1"/>
  <c r="K2144" i="1"/>
  <c r="H1658" i="1"/>
  <c r="K1640" i="1"/>
  <c r="P1726" i="1"/>
  <c r="I2369" i="1"/>
  <c r="K72" i="1"/>
  <c r="J2168" i="1"/>
  <c r="J473" i="1"/>
  <c r="I3605" i="1"/>
  <c r="K2582" i="1"/>
  <c r="I2221" i="1"/>
  <c r="J301" i="1"/>
  <c r="K610" i="1"/>
  <c r="Q3276" i="1"/>
  <c r="Q169" i="1"/>
  <c r="K1442" i="1"/>
  <c r="K63" i="1"/>
  <c r="K1878" i="1"/>
  <c r="K3499" i="1"/>
  <c r="K71" i="1"/>
  <c r="K3525" i="1"/>
  <c r="K1500" i="1"/>
  <c r="K1341" i="1"/>
  <c r="K2046" i="1"/>
  <c r="K895" i="1"/>
  <c r="K1486" i="1"/>
  <c r="K78" i="1"/>
  <c r="O1500" i="1"/>
  <c r="J2692" i="1"/>
  <c r="J403" i="1"/>
  <c r="K2588" i="1"/>
  <c r="O699" i="1"/>
  <c r="I1770" i="1"/>
  <c r="K865" i="1"/>
  <c r="K2858" i="1"/>
  <c r="K3283" i="1"/>
  <c r="J1845" i="1"/>
  <c r="K2552" i="1"/>
  <c r="K1425" i="1"/>
  <c r="J2535" i="1"/>
  <c r="I3495" i="1"/>
  <c r="J1099" i="1"/>
  <c r="K981" i="1"/>
  <c r="I2083" i="1"/>
  <c r="K25" i="1"/>
  <c r="J2636" i="1"/>
  <c r="I3347" i="1"/>
  <c r="K2078" i="1"/>
  <c r="I3087" i="1"/>
  <c r="J1169" i="1"/>
  <c r="K1686" i="1"/>
  <c r="J580" i="1"/>
  <c r="I3595" i="1"/>
  <c r="K3512" i="1"/>
  <c r="I2069" i="1"/>
  <c r="K704" i="1"/>
  <c r="K3524" i="1"/>
  <c r="K2065" i="1"/>
  <c r="J2243" i="1"/>
  <c r="I2887" i="1"/>
  <c r="P3273" i="1"/>
  <c r="G2217" i="1"/>
  <c r="G2009" i="1"/>
  <c r="G513" i="1"/>
  <c r="G909" i="1"/>
  <c r="G345" i="1"/>
  <c r="G932" i="1"/>
  <c r="G276" i="1"/>
  <c r="G1777" i="1"/>
  <c r="G943" i="1"/>
  <c r="G1794" i="1"/>
  <c r="G366" i="1"/>
  <c r="G2247" i="1"/>
  <c r="G2612" i="1"/>
  <c r="G971" i="1"/>
  <c r="G1166" i="1"/>
  <c r="G1621" i="1"/>
  <c r="G1534" i="1"/>
  <c r="G2077" i="1"/>
  <c r="G1267" i="1"/>
  <c r="G1432" i="1"/>
  <c r="G247" i="1"/>
  <c r="G56" i="1"/>
  <c r="G135" i="1"/>
  <c r="G1394" i="1"/>
  <c r="G3315" i="1"/>
  <c r="G2376" i="1"/>
  <c r="G615" i="1"/>
  <c r="G927" i="1"/>
  <c r="G442" i="1"/>
  <c r="J1793" i="1"/>
  <c r="H3368" i="1"/>
  <c r="I3568" i="1"/>
  <c r="G674" i="1"/>
  <c r="G1213" i="1"/>
  <c r="J1430" i="1"/>
  <c r="K150" i="1"/>
  <c r="J779" i="1"/>
  <c r="K3590" i="1"/>
  <c r="G2655" i="1"/>
  <c r="J2959" i="1"/>
  <c r="K534" i="1"/>
  <c r="J3551" i="1"/>
  <c r="G355" i="1"/>
  <c r="K1101" i="1"/>
  <c r="J488" i="1"/>
  <c r="U249" i="1"/>
  <c r="H145" i="1"/>
  <c r="K1340" i="1"/>
  <c r="K796" i="1"/>
  <c r="U874" i="1"/>
  <c r="M2057" i="1"/>
  <c r="K1536" i="1"/>
  <c r="J1763" i="1"/>
  <c r="K97" i="1"/>
  <c r="J1282" i="1"/>
  <c r="I2153" i="1"/>
  <c r="J152" i="1"/>
  <c r="K399" i="1"/>
  <c r="J967" i="1"/>
  <c r="H2565" i="1"/>
  <c r="J3502" i="1"/>
  <c r="J2739" i="1"/>
  <c r="K3244" i="1"/>
  <c r="K1128" i="1"/>
  <c r="K1110" i="1"/>
  <c r="J832" i="1"/>
  <c r="K2871" i="1"/>
  <c r="I409" i="1"/>
  <c r="G2621" i="1"/>
  <c r="G2615" i="1"/>
  <c r="J926" i="1"/>
  <c r="K3137" i="1"/>
  <c r="I1215" i="1"/>
  <c r="J3105" i="1"/>
  <c r="K21" i="1"/>
  <c r="J2272" i="1"/>
  <c r="I2210" i="1"/>
  <c r="J2410" i="1"/>
  <c r="J70" i="1"/>
  <c r="H1291" i="1"/>
  <c r="K638" i="1"/>
  <c r="K2404" i="1"/>
  <c r="M3444" i="1"/>
  <c r="H2013" i="1"/>
  <c r="K2340" i="1"/>
  <c r="G2754" i="1"/>
  <c r="J1084" i="1"/>
  <c r="J784" i="1"/>
  <c r="I160" i="1"/>
  <c r="I3484" i="1"/>
  <c r="J496" i="1"/>
  <c r="I2700" i="1"/>
  <c r="K3406" i="1"/>
  <c r="H2390" i="1"/>
  <c r="K3457" i="1"/>
  <c r="I2288" i="1"/>
  <c r="K1538" i="1"/>
  <c r="K3185" i="1"/>
  <c r="H2125" i="1"/>
  <c r="J1121" i="1"/>
  <c r="K3364" i="1"/>
  <c r="K1285" i="1"/>
  <c r="I144" i="1"/>
  <c r="J2004" i="1"/>
  <c r="U3632" i="1"/>
  <c r="J398" i="1"/>
  <c r="I663" i="1"/>
  <c r="J3639" i="1"/>
  <c r="J1011" i="1"/>
  <c r="J1043" i="1"/>
  <c r="K2213" i="1"/>
  <c r="H2167" i="1"/>
  <c r="K2758" i="1"/>
  <c r="K1444" i="1"/>
  <c r="K1741" i="1"/>
  <c r="U3017" i="1"/>
  <c r="K2553" i="1"/>
  <c r="K2901" i="1"/>
  <c r="U2246" i="1"/>
  <c r="J3561" i="1"/>
  <c r="K2677" i="1"/>
  <c r="K639" i="1"/>
  <c r="K942" i="1"/>
  <c r="J2177" i="1"/>
  <c r="K760" i="1"/>
  <c r="K747" i="1"/>
  <c r="J3389" i="1"/>
  <c r="K2509" i="1"/>
  <c r="J2618" i="1"/>
  <c r="H3500" i="1"/>
  <c r="Q598" i="1"/>
  <c r="I1193" i="1"/>
  <c r="H3479" i="1"/>
  <c r="K2540" i="1"/>
  <c r="P3029" i="1"/>
  <c r="H2766" i="1"/>
  <c r="U814" i="1"/>
  <c r="K3480" i="1"/>
  <c r="P300" i="1"/>
  <c r="J90" i="1"/>
  <c r="K318" i="1"/>
  <c r="H3000" i="1"/>
  <c r="K1599" i="1"/>
  <c r="K2048" i="1"/>
  <c r="J3278" i="1"/>
  <c r="K49" i="1"/>
  <c r="K596" i="1"/>
  <c r="K1319" i="1"/>
  <c r="J2072" i="1"/>
  <c r="K640" i="1"/>
  <c r="Q1654" i="1"/>
  <c r="K3580" i="1"/>
  <c r="Q921" i="1"/>
  <c r="K800" i="1"/>
  <c r="Q2425" i="1"/>
  <c r="K2426" i="1"/>
  <c r="P3085" i="1"/>
  <c r="K1892" i="1"/>
  <c r="U3425" i="1"/>
  <c r="I2575" i="1"/>
  <c r="I836" i="1"/>
  <c r="K1378" i="1"/>
  <c r="I855" i="1"/>
  <c r="H2434" i="1"/>
  <c r="H115" i="1"/>
  <c r="J254" i="1"/>
  <c r="H191" i="1"/>
  <c r="I2098" i="1"/>
  <c r="H1079" i="1"/>
  <c r="J1536" i="1"/>
  <c r="Q1613" i="1"/>
  <c r="K2739" i="1"/>
  <c r="J594" i="1"/>
  <c r="I319" i="1"/>
  <c r="K407" i="1"/>
  <c r="I3127" i="1"/>
  <c r="K2151" i="1"/>
  <c r="K2368" i="1"/>
  <c r="J3330" i="1"/>
  <c r="H2401" i="1"/>
  <c r="I1677" i="1"/>
  <c r="U3141" i="1"/>
  <c r="H622" i="1"/>
  <c r="Q889" i="1"/>
  <c r="H1114" i="1"/>
  <c r="I2711" i="1"/>
  <c r="U3407" i="1"/>
  <c r="I659" i="1"/>
  <c r="K1254" i="1"/>
  <c r="Q2355" i="1"/>
  <c r="K3176" i="1"/>
  <c r="H1540" i="1"/>
  <c r="K581" i="1"/>
  <c r="Q3371" i="1"/>
  <c r="I3043" i="1"/>
  <c r="J1661" i="1"/>
  <c r="K1689" i="1"/>
  <c r="P3633" i="1"/>
  <c r="H993" i="1"/>
  <c r="K2086" i="1"/>
  <c r="P3452" i="1"/>
  <c r="K2099" i="1"/>
  <c r="K797" i="1"/>
  <c r="K3056" i="1"/>
  <c r="K2014" i="1"/>
  <c r="J586" i="1"/>
  <c r="J3043" i="1"/>
  <c r="K1541" i="1"/>
  <c r="J1618" i="1"/>
  <c r="I1356" i="1"/>
  <c r="K657" i="1"/>
  <c r="H1206" i="1"/>
  <c r="K184" i="1"/>
  <c r="O1763" i="1"/>
  <c r="K2032" i="1"/>
  <c r="O1979" i="1"/>
  <c r="K2283" i="1"/>
  <c r="K3572" i="1"/>
  <c r="I3516" i="1"/>
  <c r="K2417" i="1"/>
  <c r="J3588" i="1"/>
  <c r="J1285" i="1"/>
  <c r="H1546" i="1"/>
  <c r="K247" i="1"/>
  <c r="J2750" i="1"/>
  <c r="I1037" i="1"/>
  <c r="J2991" i="1"/>
  <c r="K2641" i="1"/>
  <c r="J12" i="1"/>
  <c r="K3536" i="1"/>
  <c r="H3521" i="1"/>
  <c r="I3342" i="1"/>
  <c r="J57" i="1"/>
  <c r="J646" i="1"/>
  <c r="J2812" i="1"/>
  <c r="J2244" i="1"/>
  <c r="K1924" i="1"/>
  <c r="K3557" i="1"/>
  <c r="I292" i="1"/>
  <c r="J3" i="1"/>
  <c r="H1529" i="1"/>
  <c r="K1912" i="1"/>
  <c r="U3519" i="1"/>
  <c r="K332" i="1"/>
  <c r="I3591" i="1"/>
  <c r="J2941" i="1"/>
  <c r="Q1859" i="1"/>
  <c r="K2584" i="1"/>
  <c r="H1838" i="1"/>
  <c r="J1440" i="1"/>
  <c r="K2504" i="1"/>
  <c r="J98" i="1"/>
  <c r="H660" i="1"/>
  <c r="P634" i="1"/>
  <c r="K1712" i="1"/>
  <c r="G1412" i="1"/>
  <c r="G494" i="1"/>
  <c r="G1326" i="1"/>
  <c r="G2221" i="1"/>
  <c r="G1301" i="1"/>
  <c r="G454" i="1"/>
  <c r="G1863" i="1"/>
  <c r="G1422" i="1"/>
  <c r="G313" i="1"/>
  <c r="G981" i="1"/>
  <c r="G1156" i="1"/>
  <c r="G659" i="1"/>
  <c r="G3224" i="1"/>
  <c r="G684" i="1"/>
  <c r="G1273" i="1"/>
  <c r="G1640" i="1"/>
  <c r="G1635" i="1"/>
  <c r="G1453" i="1"/>
  <c r="G425" i="1"/>
  <c r="G868" i="1"/>
  <c r="G432" i="1"/>
  <c r="G2413" i="1"/>
  <c r="G2481" i="1"/>
  <c r="G1654" i="1"/>
  <c r="G1624" i="1"/>
  <c r="G2116" i="1"/>
  <c r="G402" i="1"/>
  <c r="G2455" i="1"/>
  <c r="G392" i="1"/>
  <c r="G726" i="1"/>
  <c r="H2821" i="1"/>
  <c r="K1452" i="1"/>
  <c r="P3082" i="1"/>
  <c r="G330" i="1"/>
  <c r="G747" i="1"/>
  <c r="J1426" i="1"/>
  <c r="I1164" i="1"/>
  <c r="K3052" i="1"/>
  <c r="G1619" i="1"/>
  <c r="G634" i="1"/>
  <c r="K2671" i="1"/>
  <c r="J1503" i="1"/>
  <c r="U2684" i="1"/>
  <c r="G1098" i="1"/>
  <c r="J2697" i="1"/>
  <c r="Q3109" i="1"/>
  <c r="H346" i="1"/>
  <c r="J1825" i="1"/>
  <c r="J1233" i="1"/>
  <c r="P371" i="1"/>
  <c r="K2642" i="1"/>
  <c r="K2403" i="1"/>
  <c r="K2772" i="1"/>
  <c r="G3160" i="1"/>
  <c r="K698" i="1"/>
  <c r="K3400" i="1"/>
  <c r="I608" i="1"/>
  <c r="K873" i="1"/>
  <c r="K20" i="1"/>
  <c r="K2021" i="1"/>
  <c r="K1236" i="1"/>
  <c r="K1618" i="1"/>
  <c r="H829" i="1"/>
  <c r="K1315" i="1"/>
  <c r="J490" i="1"/>
  <c r="K2825" i="1"/>
  <c r="J2774" i="1"/>
  <c r="U1609" i="1"/>
  <c r="I3244" i="1"/>
  <c r="G3273" i="1"/>
  <c r="G1339" i="1"/>
  <c r="K126" i="1"/>
  <c r="J2415" i="1"/>
  <c r="K2274" i="1"/>
  <c r="J1090" i="1"/>
  <c r="K433" i="1"/>
  <c r="I3481" i="1"/>
  <c r="J1081" i="1"/>
  <c r="I588" i="1"/>
  <c r="K207" i="1"/>
  <c r="I2206" i="1"/>
  <c r="J2917" i="1"/>
  <c r="I1235" i="1"/>
  <c r="J852" i="1"/>
  <c r="I575" i="1"/>
  <c r="I1598" i="1"/>
  <c r="G682" i="1"/>
  <c r="J727" i="1"/>
  <c r="H778" i="1"/>
  <c r="P2936" i="1"/>
  <c r="U3203" i="1"/>
  <c r="I3433" i="1"/>
  <c r="U2457" i="1"/>
  <c r="K459" i="1"/>
  <c r="U2488" i="1"/>
  <c r="J968" i="1"/>
  <c r="H42" i="1"/>
  <c r="K3370" i="1"/>
  <c r="J72" i="1"/>
  <c r="J1981" i="1"/>
  <c r="J1504" i="1"/>
  <c r="G736" i="1"/>
  <c r="G2026" i="1"/>
  <c r="I705" i="1"/>
  <c r="U71" i="1"/>
  <c r="I3301" i="1"/>
  <c r="Q781" i="1"/>
  <c r="I1882" i="1"/>
  <c r="I2240" i="1"/>
  <c r="P3481" i="1"/>
  <c r="I502" i="1"/>
  <c r="K2013" i="1"/>
  <c r="H2156" i="1"/>
  <c r="K3605" i="1"/>
  <c r="K2360" i="1"/>
  <c r="I343" i="1"/>
  <c r="J1749" i="1"/>
  <c r="K2284" i="1"/>
  <c r="K1931" i="1"/>
  <c r="K3458" i="1"/>
  <c r="K1805" i="1"/>
  <c r="M2342" i="1"/>
  <c r="J1920" i="1"/>
  <c r="K1447" i="1"/>
  <c r="H966" i="1"/>
  <c r="I1900" i="1"/>
  <c r="J1205" i="1"/>
  <c r="I948" i="1"/>
  <c r="K3428" i="1"/>
  <c r="J3091" i="1"/>
  <c r="H3477" i="1"/>
  <c r="J3606" i="1"/>
  <c r="K1522" i="1"/>
  <c r="H740" i="1"/>
  <c r="J1795" i="1"/>
  <c r="K2341" i="1"/>
  <c r="J3491" i="1"/>
  <c r="U3155" i="1"/>
  <c r="K1450" i="1"/>
  <c r="J2575" i="1"/>
  <c r="K2075" i="1"/>
  <c r="K1222" i="1"/>
  <c r="H2438" i="1"/>
  <c r="K3026" i="1"/>
  <c r="K277" i="1"/>
  <c r="J294" i="1"/>
  <c r="K1216" i="1"/>
  <c r="H25" i="1"/>
  <c r="K1013" i="1"/>
  <c r="J1062" i="1"/>
  <c r="K119" i="1"/>
  <c r="K3035" i="1"/>
  <c r="K513" i="1"/>
  <c r="J1652" i="1"/>
  <c r="J1038" i="1"/>
  <c r="I1270" i="1"/>
  <c r="K3312" i="1"/>
  <c r="H1697" i="1"/>
  <c r="K2944" i="1"/>
  <c r="I1517" i="1"/>
  <c r="J414" i="1"/>
  <c r="H1951" i="1"/>
  <c r="I3021" i="1"/>
  <c r="U1746" i="1"/>
  <c r="I911" i="1"/>
  <c r="J306" i="1"/>
  <c r="K3604" i="1"/>
  <c r="Q294" i="1"/>
  <c r="H1943" i="1"/>
  <c r="I494" i="1"/>
  <c r="J1294" i="1"/>
  <c r="P2573" i="1"/>
  <c r="J1583" i="1"/>
  <c r="K2295" i="1"/>
  <c r="I1231" i="1"/>
  <c r="J3022" i="1"/>
  <c r="I739" i="1"/>
  <c r="I1844" i="1"/>
  <c r="K900" i="1"/>
  <c r="I1045" i="1"/>
  <c r="K1986" i="1"/>
  <c r="P40" i="1"/>
  <c r="K893" i="1"/>
  <c r="P2168" i="1"/>
  <c r="J1635" i="1"/>
  <c r="M2672" i="1"/>
  <c r="K1970" i="1"/>
  <c r="J128" i="1"/>
  <c r="K1875" i="1"/>
  <c r="I2441" i="1"/>
  <c r="Q218" i="1"/>
  <c r="H948" i="1"/>
  <c r="K53" i="1"/>
  <c r="U1597" i="1"/>
  <c r="O3085" i="1"/>
  <c r="K2134" i="1"/>
  <c r="J1157" i="1"/>
  <c r="P3475" i="1"/>
  <c r="I2075" i="1"/>
  <c r="J3146" i="1"/>
  <c r="K1318" i="1"/>
  <c r="Q3408" i="1"/>
  <c r="K3624" i="1"/>
  <c r="J3208" i="1"/>
  <c r="J2866" i="1"/>
  <c r="I3397" i="1"/>
  <c r="I1368" i="1"/>
  <c r="I1114" i="1"/>
  <c r="K2222" i="1"/>
  <c r="K1449" i="1"/>
  <c r="K2164" i="1"/>
  <c r="K1393" i="1"/>
  <c r="J1315" i="1"/>
  <c r="I1024" i="1"/>
  <c r="I2976" i="1"/>
  <c r="I431" i="1"/>
  <c r="J2071" i="1"/>
  <c r="H1389" i="1"/>
  <c r="J3323" i="1"/>
  <c r="I3202" i="1"/>
  <c r="K2171" i="1"/>
  <c r="H2696" i="1"/>
  <c r="J2094" i="1"/>
  <c r="H1397" i="1"/>
  <c r="K1910" i="1"/>
  <c r="U3607" i="1"/>
  <c r="I1919" i="1"/>
  <c r="J3104" i="1"/>
  <c r="K212" i="1"/>
  <c r="U1724" i="1"/>
  <c r="G1066" i="1"/>
  <c r="K968" i="1"/>
  <c r="K994" i="1"/>
  <c r="I417" i="1"/>
  <c r="H3494" i="1"/>
  <c r="I48" i="1"/>
  <c r="P3347" i="1"/>
  <c r="H1863" i="1"/>
  <c r="K2614" i="1"/>
  <c r="I2067" i="1"/>
  <c r="Q2329" i="1"/>
  <c r="H1295" i="1"/>
  <c r="Q804" i="1"/>
  <c r="J380" i="1"/>
  <c r="O2430" i="1"/>
  <c r="H1738" i="1"/>
  <c r="H2680" i="1"/>
  <c r="K2523" i="1"/>
  <c r="K2516" i="1"/>
  <c r="K3120" i="1"/>
  <c r="J1833" i="1"/>
  <c r="J1338" i="1"/>
  <c r="J1245" i="1"/>
  <c r="I1354" i="1"/>
  <c r="K2043" i="1"/>
  <c r="G1070" i="1"/>
  <c r="G3349" i="1"/>
  <c r="G2544" i="1"/>
  <c r="G2001" i="1"/>
  <c r="G1496" i="1"/>
  <c r="G1688" i="1"/>
  <c r="G778" i="1"/>
  <c r="K1527" i="1"/>
  <c r="K2402" i="1"/>
  <c r="G931" i="1"/>
  <c r="G578" i="1"/>
  <c r="K1149" i="1"/>
  <c r="K2986" i="1"/>
  <c r="J3085" i="1"/>
  <c r="I3493" i="1"/>
  <c r="J182" i="1"/>
  <c r="K3506" i="1"/>
  <c r="K1104" i="1"/>
  <c r="K2631" i="1"/>
  <c r="K1940" i="1"/>
  <c r="K2737" i="1"/>
  <c r="I3147" i="1"/>
  <c r="J1908" i="1"/>
  <c r="J1801" i="1"/>
  <c r="H2475" i="1"/>
  <c r="I351" i="1"/>
  <c r="I894" i="1"/>
  <c r="K451" i="1"/>
  <c r="I44" i="1"/>
  <c r="J2200" i="1"/>
  <c r="K520" i="1"/>
  <c r="J2078" i="1"/>
  <c r="Q2630" i="1"/>
  <c r="P1384" i="1"/>
  <c r="J844" i="1"/>
  <c r="K1732" i="1"/>
  <c r="H1118" i="1"/>
  <c r="H1968" i="1"/>
  <c r="I1016" i="1"/>
  <c r="I3051" i="1"/>
  <c r="U3589" i="1"/>
  <c r="Q2718" i="1"/>
  <c r="K1648" i="1"/>
  <c r="J1989" i="1"/>
  <c r="J992" i="1"/>
  <c r="H2529" i="1"/>
  <c r="I1923" i="1"/>
  <c r="J776" i="1"/>
  <c r="I1541" i="1"/>
  <c r="I2890" i="1"/>
  <c r="H181" i="1"/>
  <c r="K1468" i="1"/>
  <c r="K1422" i="1"/>
  <c r="K2304" i="1"/>
  <c r="I105" i="1"/>
  <c r="H272" i="1"/>
  <c r="J2075" i="1"/>
  <c r="K3431" i="1"/>
  <c r="U217" i="1"/>
  <c r="I1604" i="1"/>
  <c r="J1495" i="1"/>
  <c r="I570" i="1"/>
  <c r="J3142" i="1"/>
  <c r="H3442" i="1"/>
  <c r="J736" i="1"/>
  <c r="H1909" i="1"/>
  <c r="I1363" i="1"/>
  <c r="U118" i="1"/>
  <c r="I1949" i="1"/>
  <c r="I1041" i="1"/>
  <c r="I3331" i="1"/>
  <c r="J2363" i="1"/>
  <c r="I3448" i="1"/>
  <c r="J1197" i="1"/>
  <c r="H3225" i="1"/>
  <c r="H2174" i="1"/>
  <c r="H2840" i="1"/>
  <c r="H495" i="1"/>
  <c r="Q1302" i="1"/>
  <c r="U1101" i="1"/>
  <c r="K1413" i="1"/>
  <c r="K2474" i="1"/>
  <c r="K2543" i="1"/>
  <c r="K833" i="1"/>
  <c r="K1427" i="1"/>
  <c r="K292" i="1"/>
  <c r="K1974" i="1"/>
  <c r="I1460" i="1"/>
  <c r="K2634" i="1"/>
  <c r="H270" i="1"/>
  <c r="K2654" i="1"/>
  <c r="I641" i="1"/>
  <c r="K472" i="1"/>
  <c r="H334" i="1"/>
  <c r="K3226" i="1"/>
  <c r="P699" i="1"/>
  <c r="Q1960" i="1"/>
  <c r="Q3188" i="1"/>
  <c r="I1242" i="1"/>
  <c r="I685" i="1"/>
  <c r="K378" i="1"/>
  <c r="J966" i="1"/>
  <c r="J431" i="1"/>
  <c r="J3364" i="1"/>
  <c r="J3342" i="1"/>
  <c r="J114" i="1"/>
  <c r="K77" i="1"/>
  <c r="I3023" i="1"/>
  <c r="K1385" i="1"/>
  <c r="U3270" i="1"/>
  <c r="J421" i="1"/>
  <c r="I2990" i="1"/>
  <c r="I1414" i="1"/>
  <c r="H133" i="1"/>
  <c r="H1710" i="1"/>
  <c r="H3554" i="1"/>
  <c r="K3141" i="1"/>
  <c r="H2811" i="1"/>
  <c r="K128" i="1"/>
  <c r="K741" i="1"/>
  <c r="K336" i="1"/>
  <c r="K3362" i="1"/>
  <c r="H3550" i="1"/>
  <c r="K911" i="1"/>
  <c r="H1323" i="1"/>
  <c r="K444" i="1"/>
  <c r="H652" i="1"/>
  <c r="K1071" i="1"/>
  <c r="H1947" i="1"/>
  <c r="K1795" i="1"/>
  <c r="U1558" i="1"/>
  <c r="K1937" i="1"/>
  <c r="Q1090" i="1"/>
  <c r="J327" i="1"/>
  <c r="J819" i="1"/>
  <c r="K2267" i="1"/>
  <c r="P1722" i="1"/>
  <c r="H1593" i="1"/>
  <c r="H2688" i="1"/>
  <c r="J148" i="1"/>
  <c r="J600" i="1"/>
  <c r="U1972" i="1"/>
  <c r="H1867" i="1"/>
  <c r="J3552" i="1"/>
  <c r="K1126" i="1"/>
  <c r="K1416" i="1"/>
  <c r="J436" i="1"/>
  <c r="Q3297" i="1"/>
  <c r="J429" i="1"/>
  <c r="H2205" i="1"/>
  <c r="H2981" i="1"/>
  <c r="I1695" i="1"/>
  <c r="H1918" i="1"/>
  <c r="J199" i="1"/>
  <c r="K1198" i="1"/>
  <c r="H1932" i="1"/>
  <c r="K2722" i="1"/>
  <c r="H2813" i="1"/>
  <c r="I648" i="1"/>
  <c r="P2866" i="1"/>
  <c r="H3401" i="1"/>
  <c r="J1021" i="1"/>
  <c r="P3152" i="1"/>
  <c r="P1393" i="1"/>
  <c r="H1349" i="1"/>
  <c r="J1509" i="1"/>
  <c r="H3379" i="1"/>
  <c r="J1220" i="1"/>
  <c r="K864" i="1"/>
  <c r="K1471" i="1"/>
  <c r="I2542" i="1"/>
  <c r="J2619" i="1"/>
  <c r="K733" i="1"/>
  <c r="H3525" i="1"/>
  <c r="K3420" i="1"/>
  <c r="H799" i="1"/>
  <c r="K3166" i="1"/>
  <c r="Q2077" i="1"/>
  <c r="J2404" i="1"/>
  <c r="I916" i="1"/>
  <c r="I1815" i="1"/>
  <c r="K3518" i="1"/>
  <c r="U1008" i="1"/>
  <c r="K2072" i="1"/>
  <c r="J3089" i="1"/>
  <c r="H1211" i="1"/>
  <c r="H2170" i="1"/>
  <c r="K342" i="1"/>
  <c r="U883" i="1"/>
  <c r="I73" i="1"/>
  <c r="Q465" i="1"/>
  <c r="H3069" i="1"/>
  <c r="Q3142" i="1"/>
  <c r="K2541" i="1"/>
  <c r="K820" i="1"/>
  <c r="O3419" i="1"/>
  <c r="P2166" i="1"/>
  <c r="K2815" i="1"/>
  <c r="K3477" i="1"/>
  <c r="M2766" i="1"/>
  <c r="O556" i="1"/>
  <c r="K695" i="1"/>
  <c r="K2017" i="1"/>
  <c r="I3487" i="1"/>
  <c r="K784" i="1"/>
  <c r="K783" i="1"/>
  <c r="K2878" i="1"/>
  <c r="H1751" i="1"/>
  <c r="J1929" i="1"/>
  <c r="J645" i="1"/>
  <c r="J908" i="1"/>
  <c r="J1213" i="1"/>
  <c r="J17" i="1"/>
  <c r="H1671" i="1"/>
  <c r="H3495" i="1"/>
  <c r="H3171" i="1"/>
  <c r="K2250" i="1"/>
  <c r="H1173" i="1"/>
  <c r="Q2734" i="1"/>
  <c r="Q3081" i="1"/>
  <c r="U1761" i="1"/>
  <c r="K941" i="1"/>
  <c r="U141" i="1"/>
  <c r="Q1539" i="1"/>
  <c r="H33" i="1"/>
  <c r="O3623" i="1"/>
  <c r="H3572" i="1"/>
  <c r="J648" i="1"/>
  <c r="J1181" i="1"/>
  <c r="I1233" i="1"/>
  <c r="H2376" i="1"/>
  <c r="K3238" i="1"/>
  <c r="I2038" i="1"/>
  <c r="H2158" i="1"/>
  <c r="J2347" i="1"/>
  <c r="H798" i="1"/>
  <c r="J2201" i="1"/>
  <c r="K1117" i="1"/>
  <c r="O1503" i="1"/>
  <c r="O1060" i="1"/>
  <c r="Q2864" i="1"/>
  <c r="K2467" i="1"/>
  <c r="U3486" i="1"/>
  <c r="K2768" i="1"/>
  <c r="K2902" i="1"/>
  <c r="J3464" i="1"/>
  <c r="J220" i="1"/>
  <c r="J2981" i="1"/>
  <c r="H364" i="1"/>
  <c r="K133" i="1"/>
  <c r="J2333" i="1"/>
  <c r="J1906" i="1"/>
  <c r="H3580" i="1"/>
  <c r="K2837" i="1"/>
  <c r="J1961" i="1"/>
  <c r="G1629" i="1"/>
  <c r="G2648" i="1"/>
  <c r="G249" i="1"/>
  <c r="G535" i="1"/>
  <c r="G882" i="1"/>
  <c r="G1980" i="1"/>
  <c r="G298" i="1"/>
  <c r="P2021" i="1"/>
  <c r="I995" i="1"/>
  <c r="J3031" i="1"/>
  <c r="K1234" i="1"/>
  <c r="K1698" i="1"/>
  <c r="K2027" i="1"/>
  <c r="I432" i="1"/>
  <c r="U1036" i="1"/>
  <c r="J1817" i="1"/>
  <c r="K1445" i="1"/>
  <c r="K3200" i="1"/>
  <c r="I2843" i="1"/>
  <c r="H367" i="1"/>
  <c r="I1668" i="1"/>
  <c r="J112" i="1"/>
  <c r="I64" i="1"/>
  <c r="I2600" i="1"/>
  <c r="K469" i="1"/>
  <c r="J1132" i="1"/>
  <c r="I2556" i="1"/>
  <c r="H551" i="1"/>
  <c r="U3278" i="1"/>
  <c r="K2571" i="1"/>
  <c r="K2393" i="1"/>
  <c r="K30" i="1"/>
  <c r="J2891" i="1"/>
  <c r="J905" i="1"/>
  <c r="J2247" i="1"/>
  <c r="K2361" i="1"/>
  <c r="K2545" i="1"/>
  <c r="I3074" i="1"/>
  <c r="Q3118" i="1"/>
  <c r="K766" i="1"/>
  <c r="I401" i="1"/>
  <c r="H1736" i="1"/>
  <c r="K3204" i="1"/>
  <c r="H1449" i="1"/>
  <c r="H1385" i="1"/>
  <c r="P279" i="1"/>
  <c r="J2969" i="1"/>
  <c r="K3042" i="1"/>
  <c r="J618" i="1"/>
  <c r="G586" i="1"/>
  <c r="I2673" i="1"/>
  <c r="K2431" i="1"/>
  <c r="U1626" i="1"/>
  <c r="Q1459" i="1"/>
  <c r="J1946" i="1"/>
  <c r="J2623" i="1"/>
  <c r="J1613" i="1"/>
  <c r="K1029" i="1"/>
  <c r="J1593" i="1"/>
  <c r="Q2769" i="1"/>
  <c r="O1145" i="1"/>
  <c r="K1025" i="1"/>
  <c r="J2517" i="1"/>
  <c r="Q1947" i="1"/>
  <c r="K3299" i="1"/>
  <c r="P572" i="1"/>
  <c r="J3206" i="1"/>
  <c r="J3478" i="1"/>
  <c r="I565" i="1"/>
  <c r="J682" i="1"/>
  <c r="H2531" i="1"/>
  <c r="I1076" i="1"/>
  <c r="I33" i="1"/>
  <c r="K1681" i="1"/>
  <c r="H2078" i="1"/>
  <c r="H1816" i="1"/>
  <c r="H713" i="1"/>
  <c r="J50" i="1"/>
  <c r="U3266" i="1"/>
  <c r="U1233" i="1"/>
  <c r="J180" i="1"/>
  <c r="I1845" i="1"/>
  <c r="K149" i="1"/>
  <c r="H57" i="1"/>
  <c r="J127" i="1"/>
  <c r="K1247" i="1"/>
  <c r="K2092" i="1"/>
  <c r="J286" i="1"/>
  <c r="K1976" i="1"/>
  <c r="I2216" i="1"/>
  <c r="K1664" i="1"/>
  <c r="K694" i="1"/>
  <c r="I1292" i="1"/>
  <c r="H1130" i="1"/>
  <c r="J1780" i="1"/>
  <c r="K1463" i="1"/>
  <c r="J2008" i="1"/>
  <c r="K969" i="1"/>
  <c r="U3586" i="1"/>
  <c r="P70" i="1"/>
  <c r="P733" i="1"/>
  <c r="P1352" i="1"/>
  <c r="H1636" i="1"/>
  <c r="J1441" i="1"/>
  <c r="K271" i="1"/>
  <c r="J1061" i="1"/>
  <c r="K1574" i="1"/>
  <c r="I1001" i="1"/>
  <c r="H3142" i="1"/>
  <c r="I3293" i="1"/>
  <c r="K613" i="1"/>
  <c r="J2357" i="1"/>
  <c r="I2107" i="1"/>
  <c r="J2085" i="1"/>
  <c r="J3365" i="1"/>
  <c r="H3008" i="1"/>
  <c r="K1441" i="1"/>
  <c r="H3363" i="1"/>
  <c r="J2136" i="1"/>
  <c r="K3304" i="1"/>
  <c r="I1019" i="1"/>
  <c r="K533" i="1"/>
  <c r="J1123" i="1"/>
  <c r="J2789" i="1"/>
  <c r="H2318" i="1"/>
  <c r="J3280" i="1"/>
  <c r="K2808" i="1"/>
  <c r="K816" i="1"/>
  <c r="J1307" i="1"/>
  <c r="K1368" i="1"/>
  <c r="I25" i="1"/>
  <c r="K2682" i="1"/>
  <c r="U2505" i="1"/>
  <c r="H548" i="1"/>
  <c r="K2958" i="1"/>
  <c r="I503" i="1"/>
  <c r="Q2429" i="1"/>
  <c r="U1360" i="1"/>
  <c r="I1984" i="1"/>
  <c r="H1555" i="1"/>
  <c r="P2383" i="1"/>
  <c r="Q3245" i="1"/>
  <c r="H2550" i="1"/>
  <c r="I1269" i="1"/>
  <c r="I3324" i="1"/>
  <c r="I1681" i="1"/>
  <c r="U1630" i="1"/>
  <c r="P3306" i="1"/>
  <c r="J3133" i="1"/>
  <c r="K3417" i="1"/>
  <c r="I2318" i="1"/>
  <c r="J1494" i="1"/>
  <c r="J3558" i="1"/>
  <c r="I3169" i="1"/>
  <c r="K3277" i="1"/>
  <c r="H1087" i="1"/>
  <c r="K1965" i="1"/>
  <c r="I237" i="1"/>
  <c r="K3083" i="1"/>
  <c r="Q3637" i="1"/>
  <c r="P797" i="1"/>
  <c r="P1520" i="1"/>
  <c r="H3324" i="1"/>
  <c r="H1424" i="1"/>
  <c r="J3505" i="1"/>
  <c r="J1640" i="1"/>
  <c r="K2101" i="1"/>
  <c r="K722" i="1"/>
  <c r="H742" i="1"/>
  <c r="J2414" i="1"/>
  <c r="H2701" i="1"/>
  <c r="U590" i="1"/>
  <c r="J2038" i="1"/>
  <c r="J987" i="1"/>
  <c r="H1268" i="1"/>
  <c r="I968" i="1"/>
  <c r="I3325" i="1"/>
  <c r="Q3636" i="1"/>
  <c r="H1570" i="1"/>
  <c r="I1011" i="1"/>
  <c r="I555" i="1"/>
  <c r="J1135" i="1"/>
  <c r="K3274" i="1"/>
  <c r="O2176" i="1"/>
  <c r="J458" i="1"/>
  <c r="I666" i="1"/>
  <c r="J1411" i="1"/>
  <c r="H2255" i="1"/>
  <c r="I2730" i="1"/>
  <c r="J643" i="1"/>
  <c r="H2361" i="1"/>
  <c r="I519" i="1"/>
  <c r="U581" i="1"/>
  <c r="J2315" i="1"/>
  <c r="K3385" i="1"/>
  <c r="P236" i="1"/>
  <c r="K1353" i="1"/>
  <c r="J3391" i="1"/>
  <c r="K140" i="1"/>
  <c r="K1753" i="1"/>
  <c r="K2977" i="1"/>
  <c r="H2396" i="1"/>
  <c r="K1606" i="1"/>
  <c r="I821" i="1"/>
  <c r="K3452" i="1"/>
  <c r="I1759" i="1"/>
  <c r="H1394" i="1"/>
  <c r="K382" i="1"/>
  <c r="K146" i="1"/>
  <c r="J2877" i="1"/>
  <c r="K1780" i="1"/>
  <c r="J3178" i="1"/>
  <c r="J1915" i="1"/>
  <c r="J1414" i="1"/>
  <c r="H2526" i="1"/>
  <c r="J3637" i="1"/>
  <c r="U321" i="1"/>
  <c r="J466" i="1"/>
  <c r="Q3108" i="1"/>
  <c r="U3279" i="1"/>
  <c r="U255" i="1"/>
  <c r="Q2421" i="1"/>
  <c r="J1006" i="1"/>
  <c r="J2818" i="1"/>
  <c r="Q93" i="1"/>
  <c r="U2756" i="1"/>
  <c r="H2591" i="1"/>
  <c r="K1978" i="1"/>
  <c r="J2060" i="1"/>
  <c r="Q1143" i="1"/>
  <c r="K2563" i="1"/>
  <c r="Q87" i="1"/>
  <c r="K2190" i="1"/>
  <c r="K2245" i="1"/>
  <c r="K1651" i="1"/>
  <c r="J3633" i="1"/>
  <c r="K1320" i="1"/>
  <c r="J2962" i="1"/>
  <c r="Q1277" i="1"/>
  <c r="J1714" i="1"/>
  <c r="O1527" i="1"/>
  <c r="K3077" i="1"/>
  <c r="H2071" i="1"/>
  <c r="K1330" i="1"/>
  <c r="U3129" i="1"/>
  <c r="J2610" i="1"/>
  <c r="J2597" i="1"/>
  <c r="I1722" i="1"/>
  <c r="H2411" i="1"/>
  <c r="H2601" i="1"/>
  <c r="J2468" i="1"/>
  <c r="H3030" i="1"/>
  <c r="H753" i="1"/>
  <c r="U2447" i="1"/>
  <c r="I1999" i="1"/>
  <c r="G1418" i="1"/>
  <c r="G2857" i="1"/>
  <c r="G444" i="1"/>
  <c r="G1311" i="1"/>
  <c r="G430" i="1"/>
  <c r="G1264" i="1"/>
  <c r="G374" i="1"/>
  <c r="G2805" i="1"/>
  <c r="H1666" i="1"/>
  <c r="K27" i="1"/>
  <c r="J3000" i="1"/>
  <c r="J2501" i="1"/>
  <c r="J3073" i="1"/>
  <c r="K3640" i="1"/>
  <c r="I3384" i="1"/>
  <c r="H2595" i="1"/>
  <c r="K653" i="1"/>
  <c r="K37" i="1"/>
  <c r="J1049" i="1"/>
  <c r="H2841" i="1"/>
  <c r="H981" i="1"/>
  <c r="K3316" i="1"/>
  <c r="K3443" i="1"/>
  <c r="J2999" i="1"/>
  <c r="K409" i="1"/>
  <c r="K386" i="1"/>
  <c r="J2529" i="1"/>
  <c r="H642" i="1"/>
  <c r="Q2924" i="1"/>
  <c r="K848" i="1"/>
  <c r="J1592" i="1"/>
  <c r="J611" i="1"/>
  <c r="K3206" i="1"/>
  <c r="K1343" i="1"/>
  <c r="K200" i="1"/>
  <c r="J1057" i="1"/>
  <c r="H3454" i="1"/>
  <c r="J2454" i="1"/>
  <c r="H1112" i="1"/>
  <c r="I2335" i="1"/>
  <c r="J330" i="1"/>
  <c r="H139" i="1"/>
  <c r="H415" i="1"/>
  <c r="J213" i="1"/>
  <c r="I1004" i="1"/>
  <c r="K1748" i="1"/>
  <c r="K3522" i="1"/>
  <c r="K2538" i="1"/>
  <c r="K1719" i="1"/>
  <c r="K1409" i="1"/>
  <c r="J1757" i="1"/>
  <c r="O1436" i="1"/>
  <c r="K672" i="1"/>
  <c r="J2372" i="1"/>
  <c r="J3057" i="1"/>
  <c r="K3441" i="1"/>
  <c r="K538" i="1"/>
  <c r="K1027" i="1"/>
  <c r="K2053" i="1"/>
  <c r="I3535" i="1"/>
  <c r="J3044" i="1"/>
  <c r="K123" i="1"/>
  <c r="I3527" i="1"/>
  <c r="J2507" i="1"/>
  <c r="Q1988" i="1"/>
  <c r="I2057" i="1"/>
  <c r="P1828" i="1"/>
  <c r="I1854" i="1"/>
  <c r="J742" i="1"/>
  <c r="H2113" i="1"/>
  <c r="I3377" i="1"/>
  <c r="I1858" i="1"/>
  <c r="I1364" i="1"/>
  <c r="K1816" i="1"/>
  <c r="H2989" i="1"/>
  <c r="U142" i="1"/>
  <c r="I1871" i="1"/>
  <c r="I3011" i="1"/>
  <c r="J368" i="1"/>
  <c r="U1517" i="1"/>
  <c r="H2569" i="1"/>
  <c r="H2026" i="1"/>
  <c r="K3197" i="1"/>
  <c r="J1924" i="1"/>
  <c r="I1872" i="1"/>
  <c r="P525" i="1"/>
  <c r="I954" i="1"/>
  <c r="J3367" i="1"/>
  <c r="I572" i="1"/>
  <c r="H2152" i="1"/>
  <c r="K526" i="1"/>
  <c r="J2655" i="1"/>
  <c r="K2912" i="1"/>
  <c r="J1236" i="1"/>
  <c r="J546" i="1"/>
  <c r="J195" i="1"/>
  <c r="Q405" i="1"/>
  <c r="Q446" i="1"/>
  <c r="U1382" i="1"/>
  <c r="K2458" i="1"/>
  <c r="J548" i="1"/>
  <c r="I247" i="1"/>
  <c r="H840" i="1"/>
  <c r="H1234" i="1"/>
  <c r="J1615" i="1"/>
  <c r="O3375" i="1"/>
  <c r="I935" i="1"/>
  <c r="J2621" i="1"/>
  <c r="I1969" i="1"/>
  <c r="H2706" i="1"/>
  <c r="P3486" i="1"/>
  <c r="J104" i="1"/>
  <c r="O2451" i="1"/>
  <c r="K500" i="1"/>
  <c r="K3469" i="1"/>
  <c r="J1740" i="1"/>
  <c r="I2568" i="1"/>
  <c r="K881" i="1"/>
  <c r="K3503" i="1"/>
  <c r="J1259" i="1"/>
  <c r="K1228" i="1"/>
  <c r="H1035" i="1"/>
  <c r="J899" i="1"/>
  <c r="K1123" i="1"/>
  <c r="P3167" i="1"/>
  <c r="I490" i="1"/>
  <c r="K2862" i="1"/>
  <c r="H789" i="1"/>
  <c r="H839" i="1"/>
  <c r="U2130" i="1"/>
  <c r="U397" i="1"/>
  <c r="U508" i="1"/>
  <c r="K41" i="1"/>
  <c r="U2541" i="1"/>
  <c r="H2242" i="1"/>
  <c r="H1664" i="1"/>
  <c r="J2375" i="1"/>
  <c r="P289" i="1"/>
  <c r="Q1460" i="1"/>
  <c r="U3528" i="1"/>
  <c r="K2374" i="1"/>
  <c r="P2675" i="1"/>
  <c r="P595" i="1"/>
  <c r="J2083" i="1"/>
  <c r="J1357" i="1"/>
  <c r="I3055" i="1"/>
  <c r="H522" i="1"/>
  <c r="U2520" i="1"/>
  <c r="O2728" i="1"/>
  <c r="U453" i="1"/>
  <c r="K686" i="1"/>
  <c r="Q467" i="1"/>
  <c r="J1445" i="1"/>
  <c r="P2380" i="1"/>
  <c r="I2896" i="1"/>
  <c r="J1773" i="1"/>
  <c r="H1431" i="1"/>
  <c r="J3571" i="1"/>
  <c r="P1161" i="1"/>
  <c r="Q3023" i="1"/>
  <c r="K2220" i="1"/>
  <c r="J2744" i="1"/>
  <c r="K3252" i="1"/>
  <c r="P3223" i="1"/>
  <c r="I1973" i="1"/>
  <c r="I2423" i="1"/>
  <c r="H3488" i="1"/>
  <c r="K243" i="1"/>
  <c r="K781" i="1"/>
  <c r="H3347" i="1"/>
  <c r="K1388" i="1"/>
  <c r="U3532" i="1"/>
  <c r="I3195" i="1"/>
  <c r="Q1419" i="1"/>
  <c r="H2277" i="1"/>
  <c r="Q338" i="1"/>
  <c r="H2787" i="1"/>
  <c r="K432" i="1"/>
  <c r="K2152" i="1"/>
  <c r="K2728" i="1"/>
  <c r="K2030" i="1"/>
  <c r="K2759" i="1"/>
  <c r="J3429" i="1"/>
  <c r="J1770" i="1"/>
  <c r="J401" i="1"/>
  <c r="K3266" i="1"/>
  <c r="I1157" i="1"/>
  <c r="J573" i="1"/>
  <c r="H3608" i="1"/>
  <c r="H3375" i="1"/>
  <c r="H2578" i="1"/>
  <c r="J435" i="1"/>
  <c r="J1761" i="1"/>
  <c r="J1797" i="1"/>
  <c r="J1328" i="1"/>
  <c r="H2615" i="1"/>
  <c r="H662" i="1"/>
  <c r="J1460" i="1"/>
  <c r="J2860" i="1"/>
  <c r="U2305" i="1"/>
  <c r="Q569" i="1"/>
  <c r="K2531" i="1"/>
  <c r="J3611" i="1"/>
  <c r="O17" i="1"/>
  <c r="P3096" i="1"/>
  <c r="H801" i="1"/>
  <c r="J726" i="1"/>
  <c r="J1070" i="1"/>
  <c r="K503" i="1"/>
  <c r="I3425" i="1"/>
  <c r="K1623" i="1"/>
  <c r="K3104" i="1"/>
  <c r="K2835" i="1"/>
  <c r="I1386" i="1"/>
  <c r="K1269" i="1"/>
  <c r="H3192" i="1"/>
  <c r="J1737" i="1"/>
  <c r="Q3423" i="1"/>
  <c r="J365" i="1"/>
  <c r="H3617" i="1"/>
  <c r="I3588" i="1"/>
  <c r="I2447" i="1"/>
  <c r="K834" i="1"/>
  <c r="J947" i="1"/>
  <c r="J1415" i="1"/>
  <c r="P473" i="1"/>
  <c r="K2198" i="1"/>
  <c r="U1187" i="1"/>
  <c r="J1809" i="1"/>
  <c r="K2938" i="1"/>
  <c r="H73" i="1"/>
  <c r="K3616" i="1"/>
  <c r="K701" i="1"/>
  <c r="I932" i="1"/>
  <c r="P3586" i="1"/>
  <c r="H3344" i="1"/>
  <c r="P2091" i="1"/>
  <c r="J2510" i="1"/>
  <c r="J1267" i="1"/>
  <c r="U2314" i="1"/>
  <c r="K1812" i="1"/>
  <c r="O2664" i="1"/>
  <c r="K2970" i="1"/>
  <c r="I501" i="1"/>
  <c r="U1843" i="1"/>
  <c r="J1605" i="1"/>
  <c r="I1374" i="1"/>
  <c r="K2738" i="1"/>
  <c r="K1871" i="1"/>
  <c r="K1775" i="1"/>
  <c r="J1936" i="1"/>
  <c r="J1089" i="1"/>
  <c r="J2500" i="1"/>
  <c r="K1585" i="1"/>
  <c r="K1302" i="1"/>
  <c r="K1545" i="1"/>
  <c r="G497" i="1"/>
  <c r="G1409" i="1"/>
  <c r="G685" i="1"/>
  <c r="G850" i="1"/>
  <c r="G790" i="1"/>
  <c r="G1814" i="1"/>
  <c r="G1763" i="1"/>
  <c r="G2703" i="1"/>
  <c r="K2980" i="1"/>
  <c r="K3198" i="1"/>
  <c r="K643" i="1"/>
  <c r="J2210" i="1"/>
  <c r="J2858" i="1"/>
  <c r="K1175" i="1"/>
  <c r="H2897" i="1"/>
  <c r="K2512" i="1"/>
  <c r="K799" i="1"/>
  <c r="G711" i="1"/>
  <c r="J2939" i="1"/>
  <c r="J614" i="1"/>
  <c r="K1461" i="1"/>
  <c r="K2204" i="1"/>
  <c r="O3080" i="1"/>
  <c r="H3151" i="1"/>
  <c r="K1670" i="1"/>
  <c r="K2606" i="1"/>
  <c r="I1154" i="1"/>
  <c r="P2946" i="1"/>
  <c r="K2601" i="1"/>
  <c r="K2451" i="1"/>
  <c r="H2241" i="1"/>
  <c r="Q641" i="1"/>
  <c r="J122" i="1"/>
  <c r="K307" i="1"/>
  <c r="I2517" i="1"/>
  <c r="K1806" i="1"/>
  <c r="K2956" i="1"/>
  <c r="K3034" i="1"/>
  <c r="K3628" i="1"/>
  <c r="I2707" i="1"/>
  <c r="H3593" i="1"/>
  <c r="K2896" i="1"/>
  <c r="I3594" i="1"/>
  <c r="J759" i="1"/>
  <c r="K2578" i="1"/>
  <c r="P2806" i="1"/>
  <c r="O2982" i="1"/>
  <c r="K574" i="1"/>
  <c r="K1098" i="1"/>
  <c r="K726" i="1"/>
  <c r="J2480" i="1"/>
  <c r="I2872" i="1"/>
  <c r="K1196" i="1"/>
  <c r="J769" i="1"/>
  <c r="H65" i="1"/>
  <c r="K2714" i="1"/>
  <c r="K404" i="1"/>
  <c r="K70" i="1"/>
  <c r="P195" i="1"/>
  <c r="J1855" i="1"/>
  <c r="H3055" i="1"/>
  <c r="K3334" i="1"/>
  <c r="H2107" i="1"/>
  <c r="K33" i="1"/>
  <c r="K2991" i="1"/>
  <c r="K2852" i="1"/>
  <c r="K1141" i="1"/>
  <c r="I3212" i="1"/>
  <c r="K1997" i="1"/>
  <c r="I2677" i="1"/>
  <c r="K826" i="1"/>
  <c r="J360" i="1"/>
  <c r="J754" i="1"/>
  <c r="K1102" i="1"/>
  <c r="K218" i="1"/>
  <c r="H157" i="1"/>
  <c r="J2450" i="1"/>
  <c r="J1957" i="1"/>
  <c r="J1421" i="1"/>
  <c r="J933" i="1"/>
  <c r="I356" i="1"/>
  <c r="K2683" i="1"/>
  <c r="I258" i="1"/>
  <c r="K703" i="1"/>
  <c r="H2357" i="1"/>
  <c r="J222" i="1"/>
  <c r="H2202" i="1"/>
  <c r="I1851" i="1"/>
  <c r="K3290" i="1"/>
  <c r="H1948" i="1"/>
  <c r="K624" i="1"/>
  <c r="J2062" i="1"/>
  <c r="J355" i="1"/>
  <c r="K3076" i="1"/>
  <c r="J2017" i="1"/>
  <c r="J3035" i="1"/>
  <c r="K2496" i="1"/>
  <c r="J3409" i="1"/>
  <c r="U1267" i="1"/>
  <c r="P2885" i="1"/>
  <c r="P2621" i="1"/>
  <c r="K2057" i="1"/>
  <c r="K2952" i="1"/>
  <c r="H1285" i="1"/>
  <c r="I3290" i="1"/>
  <c r="J3385" i="1"/>
  <c r="H1992" i="1"/>
  <c r="K1252" i="1"/>
  <c r="K1082" i="1"/>
  <c r="K1700" i="1"/>
  <c r="K2350" i="1"/>
  <c r="I2715" i="1"/>
  <c r="J3321" i="1"/>
  <c r="H3343" i="1"/>
  <c r="I3380" i="1"/>
  <c r="J3620" i="1"/>
  <c r="I2204" i="1"/>
  <c r="K558" i="1"/>
  <c r="K2643" i="1"/>
  <c r="K3553" i="1"/>
  <c r="K259" i="1"/>
  <c r="H3461" i="1"/>
  <c r="I2420" i="1"/>
  <c r="I3563" i="1"/>
  <c r="I3198" i="1"/>
  <c r="H1745" i="1"/>
  <c r="K750" i="1"/>
  <c r="K1628" i="1"/>
  <c r="J166" i="1"/>
  <c r="J2320" i="1"/>
  <c r="I1232" i="1"/>
  <c r="I1536" i="1"/>
  <c r="K716" i="1"/>
  <c r="Q3462" i="1"/>
  <c r="H2968" i="1"/>
  <c r="Q2263" i="1"/>
  <c r="K682" i="1"/>
  <c r="P2623" i="1"/>
  <c r="U3051" i="1"/>
  <c r="Q1423" i="1"/>
  <c r="K680" i="1"/>
  <c r="P1571" i="1"/>
  <c r="Q2919" i="1"/>
  <c r="P398" i="1"/>
  <c r="H3584" i="1"/>
  <c r="K615" i="1"/>
  <c r="J1130" i="1"/>
  <c r="K52" i="1"/>
  <c r="I961" i="1"/>
  <c r="I2106" i="1"/>
  <c r="U207" i="1"/>
  <c r="H1562" i="1"/>
  <c r="U410" i="1"/>
  <c r="U1637" i="1"/>
  <c r="Q2934" i="1"/>
  <c r="I1204" i="1"/>
  <c r="J2453" i="1"/>
  <c r="U179" i="1"/>
  <c r="U1949" i="1"/>
  <c r="H1133" i="1"/>
  <c r="P2607" i="1"/>
  <c r="Q1574" i="1"/>
  <c r="P3162" i="1"/>
  <c r="J528" i="1"/>
  <c r="J1522" i="1"/>
  <c r="H3004" i="1"/>
  <c r="J1392" i="1"/>
  <c r="K441" i="1"/>
  <c r="J232" i="1"/>
  <c r="J949" i="1"/>
  <c r="K279" i="1"/>
  <c r="U3602" i="1"/>
  <c r="K2054" i="1"/>
  <c r="Q2117" i="1"/>
  <c r="J2828" i="1"/>
  <c r="Q1217" i="1"/>
  <c r="J882" i="1"/>
  <c r="K3358" i="1"/>
  <c r="J3448" i="1"/>
  <c r="J3050" i="1"/>
  <c r="J1785" i="1"/>
  <c r="I2540" i="1"/>
  <c r="H1109" i="1"/>
  <c r="J2403" i="1"/>
  <c r="J2735" i="1"/>
  <c r="K1099" i="1"/>
  <c r="I2490" i="1"/>
  <c r="K832" i="1"/>
  <c r="K1177" i="1"/>
  <c r="K2400" i="1"/>
  <c r="J507" i="1"/>
  <c r="K1373" i="1"/>
  <c r="I851" i="1"/>
  <c r="K337" i="1"/>
  <c r="J15" i="1"/>
  <c r="O2636" i="1"/>
  <c r="P1156" i="1"/>
  <c r="J3279" i="1"/>
  <c r="J2225" i="1"/>
  <c r="P2822" i="1"/>
  <c r="J1798" i="1"/>
  <c r="J3329" i="1"/>
  <c r="J1210" i="1"/>
  <c r="J2769" i="1"/>
  <c r="H363" i="1"/>
  <c r="K346" i="1"/>
  <c r="K515" i="1"/>
  <c r="K2236" i="1"/>
  <c r="J2942" i="1"/>
  <c r="I2116" i="1"/>
  <c r="H1207" i="1"/>
  <c r="K1295" i="1"/>
  <c r="J2111" i="1"/>
  <c r="I3571" i="1"/>
  <c r="J3438" i="1"/>
  <c r="H1926" i="1"/>
  <c r="K656" i="1"/>
  <c r="Q888" i="1"/>
  <c r="I47" i="1"/>
  <c r="Q3569" i="1"/>
  <c r="Q2068" i="1"/>
  <c r="Q2280" i="1"/>
  <c r="K3002" i="1"/>
  <c r="H2089" i="1"/>
  <c r="P1994" i="1"/>
  <c r="P2509" i="1"/>
  <c r="H1462" i="1"/>
  <c r="H3333" i="1"/>
  <c r="J1179" i="1"/>
  <c r="J7" i="1"/>
  <c r="H1882" i="1"/>
  <c r="H731" i="1"/>
  <c r="J2131" i="1"/>
  <c r="K411" i="1"/>
  <c r="K1366" i="1"/>
  <c r="K2636" i="1"/>
  <c r="K16" i="1"/>
  <c r="K190" i="1"/>
  <c r="K35" i="1"/>
  <c r="U1619" i="1"/>
  <c r="K3100" i="1"/>
  <c r="O2387" i="1"/>
  <c r="J3573" i="1"/>
  <c r="J2097" i="1"/>
  <c r="P191" i="1"/>
  <c r="K687" i="1"/>
  <c r="J1138" i="1"/>
  <c r="K2343" i="1"/>
  <c r="I2702" i="1"/>
  <c r="K904" i="1"/>
  <c r="H3184" i="1"/>
  <c r="J3345" i="1"/>
  <c r="U465" i="1"/>
  <c r="K100" i="1"/>
  <c r="U3325" i="1"/>
  <c r="G2942" i="1"/>
  <c r="G575" i="1"/>
  <c r="G1071" i="1"/>
  <c r="G1476" i="1"/>
  <c r="G478" i="1"/>
  <c r="G793" i="1"/>
  <c r="G1204" i="1"/>
  <c r="G619" i="1"/>
  <c r="G2824" i="1"/>
  <c r="J2654" i="1"/>
  <c r="H2298" i="1"/>
  <c r="K2672" i="1"/>
  <c r="K1526" i="1"/>
  <c r="G1029" i="1"/>
  <c r="J1324" i="1"/>
  <c r="I2427" i="1"/>
  <c r="K836" i="1"/>
  <c r="K3184" i="1"/>
  <c r="I2112" i="1"/>
  <c r="P861" i="1"/>
  <c r="J3267" i="1"/>
  <c r="K2967" i="1"/>
  <c r="I2136" i="1"/>
  <c r="K960" i="1"/>
  <c r="K3006" i="1"/>
  <c r="G3180" i="1"/>
  <c r="U3611" i="1"/>
  <c r="J2007" i="1"/>
  <c r="K208" i="1"/>
  <c r="K1263" i="1"/>
  <c r="J3540" i="1"/>
  <c r="K1105" i="1"/>
  <c r="I3415" i="1"/>
  <c r="H3536" i="1"/>
  <c r="U567" i="1"/>
  <c r="K614" i="1"/>
  <c r="J1530" i="1"/>
  <c r="J1902" i="1"/>
  <c r="K3379" i="1"/>
  <c r="H3297" i="1"/>
  <c r="H1976" i="1"/>
  <c r="U175" i="1"/>
  <c r="J2157" i="1"/>
  <c r="K3330" i="1"/>
  <c r="J1345" i="1"/>
  <c r="H1595" i="1"/>
  <c r="K1519" i="1"/>
  <c r="Q1506" i="1"/>
  <c r="P836" i="1"/>
  <c r="J1302" i="1"/>
  <c r="O1317" i="1"/>
  <c r="O40" i="1"/>
  <c r="K474" i="1"/>
  <c r="K1916" i="1"/>
  <c r="K2603" i="1"/>
  <c r="M547" i="1"/>
  <c r="J3416" i="1"/>
  <c r="I1989" i="1"/>
  <c r="K1820" i="1"/>
  <c r="H1125" i="1"/>
  <c r="H2854" i="1"/>
  <c r="J2092" i="1"/>
  <c r="I365" i="1"/>
  <c r="U3393" i="1"/>
  <c r="K1153" i="1"/>
  <c r="I2331" i="1"/>
  <c r="K1347" i="1"/>
  <c r="K3081" i="1"/>
  <c r="K229" i="1"/>
  <c r="J1790" i="1"/>
  <c r="K122" i="1"/>
  <c r="U2526" i="1"/>
  <c r="I2212" i="1"/>
  <c r="J2187" i="1"/>
  <c r="K1593" i="1"/>
  <c r="I2194" i="1"/>
  <c r="G368" i="1"/>
  <c r="G1451" i="1"/>
  <c r="G354" i="1"/>
  <c r="G1669" i="1"/>
  <c r="G1354" i="1"/>
  <c r="G3239" i="1"/>
  <c r="G2638" i="1"/>
  <c r="H459" i="1"/>
  <c r="G676" i="1"/>
  <c r="G2391" i="1"/>
  <c r="K3011" i="1"/>
  <c r="U1246" i="1"/>
  <c r="K3582" i="1"/>
  <c r="K3584" i="1"/>
  <c r="K79" i="1"/>
  <c r="G704" i="1"/>
  <c r="J2368" i="1"/>
  <c r="G583" i="1"/>
  <c r="J2945" i="1"/>
  <c r="H395" i="1"/>
  <c r="K886" i="1"/>
  <c r="K3555" i="1"/>
  <c r="K3008" i="1"/>
  <c r="K1587" i="1"/>
  <c r="K2615" i="1"/>
  <c r="J444" i="1"/>
  <c r="J1400" i="1"/>
  <c r="J1852" i="1"/>
  <c r="K3098" i="1"/>
  <c r="J1032" i="1"/>
  <c r="K2602" i="1"/>
  <c r="J3225" i="1"/>
  <c r="H2810" i="1"/>
  <c r="J320" i="1"/>
  <c r="K1009" i="1"/>
  <c r="I470" i="1"/>
  <c r="J2518" i="1"/>
  <c r="I1636" i="1"/>
  <c r="J3156" i="1"/>
  <c r="K822" i="1"/>
  <c r="K2188" i="1"/>
  <c r="J3241" i="1"/>
  <c r="K1928" i="1"/>
  <c r="I1508" i="1"/>
  <c r="K2559" i="1"/>
  <c r="K962" i="1"/>
  <c r="K300" i="1"/>
  <c r="Q420" i="1"/>
  <c r="P2826" i="1"/>
  <c r="O1261" i="1"/>
  <c r="H2545" i="1"/>
  <c r="K583" i="1"/>
  <c r="K2430" i="1"/>
  <c r="I1947" i="1"/>
  <c r="J171" i="1"/>
  <c r="I3509" i="1"/>
  <c r="K2649" i="1"/>
  <c r="G2149" i="1"/>
  <c r="J3053" i="1"/>
  <c r="K3617" i="1"/>
  <c r="J3501" i="1"/>
  <c r="J3172" i="1"/>
  <c r="Q718" i="1"/>
  <c r="O2841" i="1"/>
  <c r="J1000" i="1"/>
  <c r="I3336" i="1"/>
  <c r="I1678" i="1"/>
  <c r="K1838" i="1"/>
  <c r="I1325" i="1"/>
  <c r="J950" i="1"/>
  <c r="K152" i="1"/>
  <c r="K2391" i="1"/>
  <c r="H348" i="1"/>
  <c r="J955" i="1"/>
  <c r="J2973" i="1"/>
  <c r="I791" i="1"/>
  <c r="H1469" i="1"/>
  <c r="H2663" i="1"/>
  <c r="I2970" i="1"/>
  <c r="H1015" i="1"/>
  <c r="K2006" i="1"/>
  <c r="U1434" i="1"/>
  <c r="J2678" i="1"/>
  <c r="H2094" i="1"/>
  <c r="Q2438" i="1"/>
  <c r="P930" i="1"/>
  <c r="P1512" i="1"/>
  <c r="H1535" i="1"/>
  <c r="I3007" i="1"/>
  <c r="K1504" i="1"/>
  <c r="I2150" i="1"/>
  <c r="I905" i="1"/>
  <c r="K288" i="1"/>
  <c r="H3486" i="1"/>
  <c r="K2475" i="1"/>
  <c r="J1588" i="1"/>
  <c r="I3185" i="1"/>
  <c r="H2260" i="1"/>
  <c r="K1047" i="1"/>
  <c r="N428" i="1"/>
  <c r="M2615" i="1"/>
  <c r="I2807" i="1"/>
  <c r="U1572" i="1"/>
  <c r="J3293" i="1"/>
  <c r="I831" i="1"/>
  <c r="K1332" i="1"/>
  <c r="K1766" i="1"/>
  <c r="J3510" i="1"/>
  <c r="K2886" i="1"/>
  <c r="K3146" i="1"/>
  <c r="O1168" i="1"/>
  <c r="K662" i="1"/>
  <c r="O1252" i="1"/>
  <c r="J729" i="1"/>
  <c r="J1926" i="1"/>
  <c r="K2880" i="1"/>
  <c r="J319" i="1"/>
  <c r="K460" i="1"/>
  <c r="J3640" i="1"/>
  <c r="H295" i="1"/>
  <c r="K1759" i="1"/>
  <c r="K744" i="1"/>
  <c r="J372" i="1"/>
  <c r="K3378" i="1"/>
  <c r="I2185" i="1"/>
  <c r="H534" i="1"/>
  <c r="H97" i="1"/>
  <c r="I1384" i="1"/>
  <c r="H3366" i="1"/>
  <c r="K1776" i="1"/>
  <c r="U2822" i="1"/>
  <c r="J2388" i="1"/>
  <c r="P2375" i="1"/>
  <c r="H2797" i="1"/>
  <c r="J943" i="1"/>
  <c r="K2779" i="1"/>
  <c r="O237" i="1"/>
  <c r="U295" i="1"/>
  <c r="I1058" i="1"/>
  <c r="J1111" i="1"/>
  <c r="K3563" i="1"/>
  <c r="Q1411" i="1"/>
  <c r="H887" i="1"/>
  <c r="K1891" i="1"/>
  <c r="I862" i="1"/>
  <c r="K1611" i="1"/>
  <c r="U2263" i="1"/>
  <c r="K951" i="1"/>
  <c r="K1094" i="1"/>
  <c r="H3013" i="1"/>
  <c r="K3608" i="1"/>
  <c r="I1584" i="1"/>
  <c r="K3445" i="1"/>
  <c r="H958" i="1"/>
  <c r="I2974" i="1"/>
  <c r="J1327" i="1"/>
  <c r="K976" i="1"/>
  <c r="H189" i="1"/>
  <c r="I1748" i="1"/>
  <c r="I647" i="1"/>
  <c r="Q963" i="1"/>
  <c r="K1036" i="1"/>
  <c r="I1241" i="1"/>
  <c r="I2480" i="1"/>
  <c r="H2263" i="1"/>
  <c r="H1654" i="1"/>
  <c r="I1340" i="1"/>
  <c r="K2203" i="1"/>
  <c r="I2699" i="1"/>
  <c r="I2433" i="1"/>
  <c r="K1112" i="1"/>
  <c r="P3424" i="1"/>
  <c r="Q1798" i="1"/>
  <c r="P1217" i="1"/>
  <c r="P1690" i="1"/>
  <c r="K883" i="1"/>
  <c r="J851" i="1"/>
  <c r="U685" i="1"/>
  <c r="K1397" i="1"/>
  <c r="Q558" i="1"/>
  <c r="K3115" i="1"/>
  <c r="J125" i="1"/>
  <c r="J3407" i="1"/>
  <c r="K2472" i="1"/>
  <c r="H974" i="1"/>
  <c r="H2756" i="1"/>
  <c r="I2561" i="1"/>
  <c r="I1874" i="1"/>
  <c r="H2466" i="1"/>
  <c r="K2084" i="1"/>
  <c r="K2544" i="1"/>
  <c r="J568" i="1"/>
  <c r="I2993" i="1"/>
  <c r="I569" i="1"/>
  <c r="K3053" i="1"/>
  <c r="U1969" i="1"/>
  <c r="H1312" i="1"/>
  <c r="K334" i="1"/>
  <c r="K2493" i="1"/>
  <c r="Q3633" i="1"/>
  <c r="H1916" i="1"/>
  <c r="H1910" i="1"/>
  <c r="K2989" i="1"/>
  <c r="O3640" i="1"/>
  <c r="U3498" i="1"/>
  <c r="K1000" i="1"/>
  <c r="I3154" i="1"/>
  <c r="H1626" i="1"/>
  <c r="J3284" i="1"/>
  <c r="K3144" i="1"/>
  <c r="I3567" i="1"/>
  <c r="I3022" i="1"/>
  <c r="H2620" i="1"/>
  <c r="I2189" i="1"/>
  <c r="I1149" i="1"/>
  <c r="H2963" i="1"/>
  <c r="K1140" i="1"/>
  <c r="U3491" i="1"/>
  <c r="I1470" i="1"/>
  <c r="H1426" i="1"/>
  <c r="J503" i="1"/>
  <c r="K305" i="1"/>
  <c r="U3196" i="1"/>
  <c r="U2476" i="1"/>
  <c r="K609" i="1"/>
  <c r="J1953" i="1"/>
  <c r="I677" i="1"/>
  <c r="H1505" i="1"/>
  <c r="J73" i="1"/>
  <c r="I2066" i="1"/>
  <c r="K482" i="1"/>
  <c r="K88" i="1"/>
  <c r="I192" i="1"/>
  <c r="H1544" i="1"/>
  <c r="J2954" i="1"/>
  <c r="U350" i="1"/>
  <c r="J1487" i="1"/>
  <c r="K3099" i="1"/>
  <c r="K3505" i="1"/>
  <c r="K1100" i="1"/>
  <c r="K1647" i="1"/>
  <c r="K1048" i="1"/>
  <c r="J418" i="1"/>
  <c r="K612" i="1"/>
  <c r="J65" i="1"/>
  <c r="J1246" i="1"/>
  <c r="J170" i="1"/>
  <c r="J1122" i="1"/>
  <c r="I1034" i="1"/>
  <c r="K2754" i="1"/>
  <c r="K809" i="1"/>
  <c r="J1910" i="1"/>
  <c r="K1768" i="1"/>
  <c r="K3192" i="1"/>
  <c r="K1703" i="1"/>
  <c r="G3171" i="1"/>
  <c r="G3322" i="1"/>
  <c r="G379" i="1"/>
  <c r="G3304" i="1"/>
  <c r="G2821" i="1"/>
  <c r="G320" i="1"/>
  <c r="G2421" i="1"/>
  <c r="K238" i="1"/>
  <c r="K771" i="1"/>
  <c r="G528" i="1"/>
  <c r="K2908" i="1"/>
  <c r="K1113" i="1"/>
  <c r="J937" i="1"/>
  <c r="J1438" i="1"/>
  <c r="J2784" i="1"/>
  <c r="K1549" i="1"/>
  <c r="P2932" i="1"/>
  <c r="K1674" i="1"/>
  <c r="K410" i="1"/>
  <c r="J3253" i="1"/>
  <c r="J2349" i="1"/>
  <c r="J2318" i="1"/>
  <c r="J1347" i="1"/>
  <c r="J2738" i="1"/>
  <c r="J1876" i="1"/>
  <c r="I1234" i="1"/>
  <c r="I871" i="1"/>
  <c r="K3575" i="1"/>
  <c r="K1864" i="1"/>
  <c r="J2285" i="1"/>
  <c r="U3444" i="1"/>
  <c r="Q2865" i="1"/>
  <c r="K989" i="1"/>
  <c r="J3363" i="1"/>
  <c r="I929" i="1"/>
  <c r="J2182" i="1"/>
  <c r="K3140" i="1"/>
  <c r="I2697" i="1"/>
  <c r="J3447" i="1"/>
  <c r="U3112" i="1"/>
  <c r="Q3319" i="1"/>
  <c r="O3432" i="1"/>
  <c r="H1663" i="1"/>
  <c r="H1435" i="1"/>
  <c r="J2859" i="1"/>
  <c r="P3002" i="1"/>
  <c r="J2054" i="1"/>
  <c r="U259" i="1"/>
  <c r="U1194" i="1"/>
  <c r="J2609" i="1"/>
  <c r="I809" i="1"/>
  <c r="J2209" i="1"/>
  <c r="K1533" i="1"/>
  <c r="I3517" i="1"/>
  <c r="K2492" i="1"/>
  <c r="J1994" i="1"/>
  <c r="J1896" i="1"/>
  <c r="Q2424" i="1"/>
  <c r="J3266" i="1"/>
  <c r="J2445" i="1"/>
  <c r="Q3395" i="1"/>
  <c r="I1670" i="1"/>
  <c r="K232" i="1"/>
  <c r="I2115" i="1"/>
  <c r="O3430" i="1"/>
  <c r="K1994" i="1"/>
  <c r="J3169" i="1"/>
  <c r="K3320" i="1"/>
  <c r="I528" i="1"/>
  <c r="J2512" i="1"/>
  <c r="H2786" i="1"/>
  <c r="K1312" i="1"/>
  <c r="J1813" i="1"/>
  <c r="I85" i="1"/>
  <c r="J313" i="1"/>
  <c r="K2377" i="1"/>
  <c r="H3374" i="1"/>
  <c r="H859" i="1"/>
  <c r="H1822" i="1"/>
  <c r="I950" i="1"/>
  <c r="K1680" i="1"/>
  <c r="J346" i="1"/>
  <c r="K1936" i="1"/>
  <c r="I2958" i="1"/>
  <c r="K2289" i="1"/>
  <c r="I353" i="1"/>
  <c r="H1320" i="1"/>
  <c r="K2071" i="1"/>
  <c r="K1724" i="1"/>
  <c r="J1096" i="1"/>
  <c r="K539" i="1"/>
  <c r="H1135" i="1"/>
  <c r="K2740" i="1"/>
  <c r="H1917" i="1"/>
  <c r="J2036" i="1"/>
  <c r="K1754" i="1"/>
  <c r="K3594" i="1"/>
  <c r="K187" i="1"/>
  <c r="Q801" i="1"/>
  <c r="K463" i="1"/>
  <c r="J2417" i="1"/>
  <c r="K3030" i="1"/>
  <c r="H3372" i="1"/>
  <c r="J1803" i="1"/>
  <c r="K3142" i="1"/>
  <c r="K3108" i="1"/>
  <c r="I182" i="1"/>
  <c r="H2979" i="1"/>
  <c r="K450" i="1"/>
  <c r="I3530" i="1"/>
  <c r="K2062" i="1"/>
  <c r="H1556" i="1"/>
  <c r="I3629" i="1"/>
  <c r="J1387" i="1"/>
  <c r="G318" i="1"/>
  <c r="I936" i="1"/>
  <c r="J2345" i="1"/>
  <c r="I3116" i="1"/>
  <c r="K2592" i="1"/>
  <c r="J990" i="1"/>
  <c r="K1185" i="1"/>
  <c r="J1952" i="1"/>
  <c r="J3511" i="1"/>
  <c r="K906" i="1"/>
  <c r="I872" i="1"/>
  <c r="H2864" i="1"/>
  <c r="J3060" i="1"/>
  <c r="J2920" i="1"/>
  <c r="I1711" i="1"/>
  <c r="K2369" i="1"/>
  <c r="I3404" i="1"/>
  <c r="I2430" i="1"/>
  <c r="Q1929" i="1"/>
  <c r="H2679" i="1"/>
  <c r="P3568" i="1"/>
  <c r="H2901" i="1"/>
  <c r="O1340" i="1"/>
  <c r="Q2452" i="1"/>
  <c r="J2613" i="1"/>
  <c r="J2982" i="1"/>
  <c r="K2853" i="1"/>
  <c r="Q3484" i="1"/>
  <c r="H1153" i="1"/>
  <c r="P730" i="1"/>
  <c r="K1055" i="1"/>
  <c r="K2693" i="1"/>
  <c r="K1911" i="1"/>
  <c r="H2378" i="1"/>
  <c r="J1505" i="1"/>
  <c r="M1072" i="1"/>
  <c r="J2059" i="1"/>
  <c r="I1707" i="1"/>
  <c r="K424" i="1"/>
  <c r="H34" i="1"/>
  <c r="K2629" i="1"/>
  <c r="J163" i="1"/>
  <c r="K421" i="1"/>
  <c r="J2114" i="1"/>
  <c r="J870" i="1"/>
  <c r="J3127" i="1"/>
  <c r="P3148" i="1"/>
  <c r="U211" i="1"/>
  <c r="K155" i="1"/>
  <c r="K958" i="1"/>
  <c r="U2582" i="1"/>
  <c r="H749" i="1"/>
  <c r="I2555" i="1"/>
  <c r="J1874" i="1"/>
  <c r="H1370" i="1"/>
  <c r="I890" i="1"/>
  <c r="H1024" i="1"/>
  <c r="U194" i="1"/>
  <c r="I764" i="1"/>
  <c r="K1096" i="1"/>
  <c r="H2626" i="1"/>
  <c r="J2317" i="1"/>
  <c r="K1798" i="1"/>
  <c r="U1230" i="1"/>
  <c r="I1623" i="1"/>
  <c r="U3240" i="1"/>
  <c r="J2870" i="1"/>
  <c r="J2128" i="1"/>
  <c r="H572" i="1"/>
  <c r="K2829" i="1"/>
  <c r="J1306" i="1"/>
  <c r="K959" i="1"/>
  <c r="J1636" i="1"/>
  <c r="K1279" i="1"/>
  <c r="I557" i="1"/>
  <c r="J183" i="1"/>
  <c r="H1355" i="1"/>
  <c r="K666" i="1"/>
  <c r="H725" i="1"/>
  <c r="J2893" i="1"/>
  <c r="K3272" i="1"/>
  <c r="Q3169" i="1"/>
  <c r="K1169" i="1"/>
  <c r="I3579" i="1"/>
  <c r="K142" i="1"/>
  <c r="O345" i="1"/>
  <c r="K163" i="1"/>
  <c r="K217" i="1"/>
  <c r="K728" i="1"/>
  <c r="I337" i="1"/>
  <c r="K2385" i="1"/>
  <c r="K1311" i="1"/>
  <c r="J664" i="1"/>
  <c r="K3068" i="1"/>
  <c r="J1344" i="1"/>
  <c r="J3147" i="1"/>
  <c r="J1832" i="1"/>
  <c r="I1936" i="1"/>
  <c r="K582" i="1"/>
  <c r="H1433" i="1"/>
  <c r="I695" i="1"/>
  <c r="H1406" i="1"/>
  <c r="K1731" i="1"/>
  <c r="U1336" i="1"/>
  <c r="H2543" i="1"/>
  <c r="U1927" i="1"/>
  <c r="H1796" i="1"/>
  <c r="Q2142" i="1"/>
  <c r="I340" i="1"/>
  <c r="K863" i="1"/>
  <c r="H1428" i="1"/>
  <c r="K490" i="1"/>
  <c r="P45" i="1"/>
  <c r="O2789" i="1"/>
  <c r="U3208" i="1"/>
  <c r="K3242" i="1"/>
  <c r="K502" i="1"/>
  <c r="K3128" i="1"/>
  <c r="I2178" i="1"/>
  <c r="K3317" i="1"/>
  <c r="J3382" i="1"/>
  <c r="K2259" i="1"/>
  <c r="J2960" i="1"/>
  <c r="K3254" i="1"/>
  <c r="K714" i="1"/>
  <c r="K2554" i="1"/>
  <c r="K1943" i="1"/>
  <c r="K2263" i="1"/>
  <c r="K3451" i="1"/>
  <c r="K2883" i="1"/>
  <c r="K1679" i="1"/>
  <c r="J1525" i="1"/>
  <c r="J1980" i="1"/>
  <c r="I2593" i="1"/>
  <c r="H3166" i="1"/>
  <c r="I702" i="1"/>
  <c r="J1563" i="1"/>
  <c r="H2068" i="1"/>
  <c r="H3322" i="1"/>
  <c r="H3158" i="1"/>
  <c r="I1816" i="1"/>
  <c r="G332" i="1"/>
  <c r="I2709" i="1"/>
  <c r="I2242" i="1"/>
  <c r="I2482" i="1"/>
  <c r="H3136" i="1"/>
  <c r="U2216" i="1"/>
  <c r="J842" i="1"/>
  <c r="H1655" i="1"/>
  <c r="O2408" i="1"/>
  <c r="I201" i="1"/>
  <c r="H1186" i="1"/>
  <c r="J868" i="1"/>
  <c r="J1443" i="1"/>
  <c r="I3065" i="1"/>
  <c r="K679" i="1"/>
  <c r="P3440" i="1"/>
  <c r="J16" i="1"/>
  <c r="K3149" i="1"/>
  <c r="K2293" i="1"/>
  <c r="K1344" i="1"/>
  <c r="H2546" i="1"/>
  <c r="Q1585" i="1"/>
  <c r="O2302" i="1"/>
  <c r="J2531" i="1"/>
  <c r="J115" i="1"/>
  <c r="I1738" i="1"/>
  <c r="I1124" i="1"/>
  <c r="J3045" i="1"/>
  <c r="J2797" i="1"/>
  <c r="K535" i="1"/>
  <c r="K1246" i="1"/>
  <c r="U400" i="1"/>
  <c r="J6" i="1"/>
  <c r="K2365" i="1"/>
  <c r="K1415" i="1"/>
  <c r="H2505" i="1"/>
  <c r="H2232" i="1"/>
  <c r="K46" i="1"/>
  <c r="J714" i="1"/>
  <c r="P1940" i="1"/>
  <c r="O2962" i="1"/>
  <c r="I3491" i="1"/>
  <c r="K2500" i="1"/>
  <c r="J2424" i="1"/>
  <c r="J3590" i="1"/>
  <c r="Q3292" i="1"/>
  <c r="K2984" i="1"/>
  <c r="J2630" i="1"/>
  <c r="K3347" i="1"/>
  <c r="K1227" i="1"/>
  <c r="U2996" i="1"/>
  <c r="K1530" i="1"/>
  <c r="I808" i="1"/>
  <c r="H2842" i="1"/>
  <c r="J3625" i="1"/>
  <c r="I2674" i="1"/>
  <c r="J2800" i="1"/>
  <c r="I2744" i="1"/>
  <c r="K3318" i="1"/>
  <c r="K2628" i="1"/>
  <c r="J117" i="1"/>
  <c r="K3502" i="1"/>
  <c r="H206" i="1"/>
  <c r="I1156" i="1"/>
  <c r="K660" i="1"/>
  <c r="I1934" i="1"/>
  <c r="I3070" i="1"/>
  <c r="U1907" i="1"/>
  <c r="U2651" i="1"/>
  <c r="I134" i="1"/>
  <c r="I2010" i="1"/>
  <c r="I3636" i="1"/>
  <c r="M611" i="1"/>
  <c r="H2883" i="1"/>
  <c r="P2348" i="1"/>
  <c r="Q1089" i="1"/>
  <c r="N2746" i="1"/>
  <c r="J961" i="1"/>
  <c r="I626" i="1"/>
  <c r="J1281" i="1"/>
  <c r="Q419" i="1"/>
  <c r="P1415" i="1"/>
  <c r="J2793" i="1"/>
  <c r="H2937" i="1"/>
  <c r="H352" i="1"/>
  <c r="I3110" i="1"/>
  <c r="J1756" i="1"/>
  <c r="U834" i="1"/>
  <c r="H2064" i="1"/>
  <c r="J2044" i="1"/>
  <c r="J92" i="1"/>
  <c r="U174" i="1"/>
  <c r="P3026" i="1"/>
  <c r="O2612" i="1"/>
  <c r="H1346" i="1"/>
  <c r="U1647" i="1"/>
  <c r="Q3419" i="1"/>
  <c r="K930" i="1"/>
  <c r="K1440" i="1"/>
  <c r="I1586" i="1"/>
  <c r="U1880" i="1"/>
  <c r="K1869" i="1"/>
  <c r="J755" i="1"/>
  <c r="Q760" i="1"/>
  <c r="H456" i="1"/>
  <c r="P3444" i="1"/>
  <c r="I95" i="1"/>
  <c r="M2835" i="1"/>
  <c r="I2853" i="1"/>
  <c r="P767" i="1"/>
  <c r="J2066" i="1"/>
  <c r="K2130" i="1"/>
  <c r="H1967" i="1"/>
  <c r="Q2589" i="1"/>
  <c r="I2096" i="1"/>
  <c r="J1230" i="1"/>
  <c r="K274" i="1"/>
  <c r="Q2797" i="1"/>
  <c r="I448" i="1"/>
  <c r="U529" i="1"/>
  <c r="U1022" i="1"/>
  <c r="Q1320" i="1"/>
  <c r="I1489" i="1"/>
  <c r="Q2307" i="1"/>
  <c r="J3174" i="1"/>
  <c r="U2623" i="1"/>
  <c r="J2199" i="1"/>
  <c r="G1038" i="1"/>
  <c r="K2803" i="1"/>
  <c r="J2656" i="1"/>
  <c r="K2600" i="1"/>
  <c r="K3446" i="1"/>
  <c r="I485" i="1"/>
  <c r="I691" i="1"/>
  <c r="P2499" i="1"/>
  <c r="U192" i="1"/>
  <c r="H117" i="1"/>
  <c r="U3018" i="1"/>
  <c r="K1103" i="1"/>
  <c r="K494" i="1"/>
  <c r="I1896" i="1"/>
  <c r="J1439" i="1"/>
  <c r="M13" i="1"/>
  <c r="K2795" i="1"/>
  <c r="K1462" i="1"/>
  <c r="O82" i="1"/>
  <c r="H479" i="1"/>
  <c r="K2536" i="1"/>
  <c r="I1207" i="1"/>
  <c r="U3437" i="1"/>
  <c r="H77" i="1"/>
  <c r="U2382" i="1"/>
  <c r="P421" i="1"/>
  <c r="I1336" i="1"/>
  <c r="J384" i="1"/>
  <c r="K1111" i="1"/>
  <c r="H2189" i="1"/>
  <c r="J1875" i="1"/>
  <c r="I3001" i="1"/>
  <c r="I2832" i="1"/>
  <c r="I2406" i="1"/>
  <c r="K597" i="1"/>
  <c r="I2144" i="1"/>
  <c r="J1351" i="1"/>
  <c r="H1509" i="1"/>
  <c r="J836" i="1"/>
  <c r="I2650" i="1"/>
  <c r="H2117" i="1"/>
  <c r="U1147" i="1"/>
  <c r="J495" i="1"/>
  <c r="K3564" i="1"/>
  <c r="K3438" i="1"/>
  <c r="H806" i="1"/>
  <c r="H1659" i="1"/>
  <c r="J2748" i="1"/>
  <c r="K221" i="1"/>
  <c r="P727" i="1"/>
  <c r="K270" i="1"/>
  <c r="O1164" i="1"/>
  <c r="K2035" i="1"/>
  <c r="J2378" i="1"/>
  <c r="K484" i="1"/>
  <c r="I2276" i="1"/>
  <c r="J1363" i="1"/>
  <c r="J553" i="1"/>
  <c r="K3028" i="1"/>
  <c r="I2174" i="1"/>
  <c r="J812" i="1"/>
  <c r="I2409" i="1"/>
  <c r="J1398" i="1"/>
  <c r="H3071" i="1"/>
  <c r="I3348" i="1"/>
  <c r="H3448" i="1"/>
  <c r="K1992" i="1"/>
  <c r="J595" i="1"/>
  <c r="K18" i="1"/>
  <c r="P3453" i="1"/>
  <c r="I1549" i="1"/>
  <c r="O339" i="1"/>
  <c r="K492" i="1"/>
  <c r="K802" i="1"/>
  <c r="I2491" i="1"/>
  <c r="I1118" i="1"/>
  <c r="J3556" i="1"/>
  <c r="J76" i="1"/>
  <c r="Q2324" i="1"/>
  <c r="Q2810" i="1"/>
  <c r="U3036" i="1"/>
  <c r="Q3623" i="1"/>
  <c r="H3283" i="1"/>
  <c r="J567" i="1"/>
  <c r="J735" i="1"/>
  <c r="H2316" i="1"/>
  <c r="P2622" i="1"/>
  <c r="M1209" i="1"/>
  <c r="M1005" i="1"/>
  <c r="I943" i="1"/>
  <c r="I3260" i="1"/>
  <c r="U957" i="1"/>
  <c r="K571" i="1"/>
  <c r="K2821" i="1"/>
  <c r="U516" i="1"/>
  <c r="U789" i="1"/>
  <c r="K3421" i="1"/>
  <c r="K2580" i="1"/>
  <c r="K1337" i="1"/>
  <c r="Q2778" i="1"/>
  <c r="K1051" i="1"/>
  <c r="I1805" i="1"/>
  <c r="J2158" i="1"/>
  <c r="I1534" i="1"/>
  <c r="K790" i="1"/>
  <c r="H1896" i="1"/>
  <c r="K759" i="1"/>
  <c r="U1417" i="1"/>
  <c r="K3437" i="1"/>
  <c r="H748" i="1"/>
  <c r="J472" i="1"/>
  <c r="I3589" i="1"/>
  <c r="J2588" i="1"/>
  <c r="H1609" i="1"/>
  <c r="I849" i="1"/>
  <c r="H182" i="1"/>
  <c r="H2304" i="1"/>
  <c r="U1501" i="1"/>
  <c r="P3101" i="1"/>
  <c r="I3550" i="1"/>
  <c r="O1547" i="1"/>
  <c r="J555" i="1"/>
  <c r="I69" i="1"/>
  <c r="J3559" i="1"/>
  <c r="K2310" i="1"/>
  <c r="U2593" i="1"/>
  <c r="J1792" i="1"/>
  <c r="G468" i="1"/>
  <c r="K3549" i="1"/>
  <c r="I2036" i="1"/>
  <c r="P3557" i="1"/>
  <c r="K1349" i="1"/>
  <c r="U2159" i="1"/>
  <c r="U742" i="1"/>
  <c r="J2577" i="1"/>
  <c r="K3001" i="1"/>
  <c r="U2827" i="1"/>
  <c r="K1521" i="1"/>
  <c r="K1661" i="1"/>
  <c r="I1072" i="1"/>
  <c r="K3548" i="1"/>
  <c r="K1942" i="1"/>
  <c r="P1362" i="1"/>
  <c r="J3224" i="1"/>
  <c r="K1459" i="1"/>
  <c r="J3372" i="1"/>
  <c r="J3480" i="1"/>
  <c r="K2736" i="1"/>
  <c r="J1659" i="1"/>
  <c r="J1818" i="1"/>
  <c r="Q1029" i="1"/>
  <c r="O329" i="1"/>
  <c r="M1651" i="1"/>
  <c r="K3315" i="1"/>
  <c r="K2320" i="1"/>
  <c r="K215" i="1"/>
  <c r="H650" i="1"/>
  <c r="Q1438" i="1"/>
  <c r="U2933" i="1"/>
  <c r="I1112" i="1"/>
  <c r="I1184" i="1"/>
  <c r="G2428" i="1"/>
  <c r="K3632" i="1"/>
  <c r="J393" i="1"/>
  <c r="K2256" i="1"/>
  <c r="I2687" i="1"/>
  <c r="K3574" i="1"/>
  <c r="K3296" i="1"/>
  <c r="K181" i="1"/>
  <c r="K3408" i="1"/>
  <c r="H3508" i="1"/>
  <c r="K884" i="1"/>
  <c r="Q3577" i="1"/>
  <c r="H1598" i="1"/>
  <c r="J1271" i="1"/>
  <c r="U2531" i="1"/>
  <c r="K2585" i="1"/>
  <c r="J1791" i="1"/>
  <c r="K1244" i="1"/>
  <c r="I2777" i="1"/>
  <c r="U3150" i="1"/>
  <c r="K1485" i="1"/>
  <c r="K3143" i="1"/>
  <c r="I1048" i="1"/>
  <c r="J2151" i="1"/>
  <c r="I1629" i="1"/>
  <c r="K3091" i="1"/>
  <c r="J3568" i="1"/>
  <c r="J74" i="1"/>
  <c r="U1493" i="1"/>
  <c r="K2209" i="1"/>
  <c r="K1853" i="1"/>
  <c r="K2866" i="1"/>
  <c r="H1333" i="1"/>
  <c r="K1012" i="1"/>
  <c r="H2888" i="1"/>
  <c r="J3074" i="1"/>
  <c r="K824" i="1"/>
  <c r="P2094" i="1"/>
  <c r="K2441" i="1"/>
  <c r="J1676" i="1"/>
  <c r="K3397" i="1"/>
  <c r="I2264" i="1"/>
  <c r="K2113" i="1"/>
  <c r="K3566" i="1"/>
  <c r="Q219" i="1"/>
  <c r="J2972" i="1"/>
  <c r="K544" i="1"/>
  <c r="K1612" i="1"/>
  <c r="J383" i="1"/>
  <c r="U997" i="1"/>
  <c r="J83" i="1"/>
  <c r="I756" i="1"/>
  <c r="K599" i="1"/>
  <c r="H2038" i="1"/>
  <c r="H454" i="1"/>
  <c r="K1908" i="1"/>
  <c r="J165" i="1"/>
  <c r="O2555" i="1"/>
  <c r="I2727" i="1"/>
  <c r="H1181" i="1"/>
  <c r="H1929" i="1"/>
  <c r="Q3443" i="1"/>
  <c r="Q426" i="1"/>
  <c r="U889" i="1"/>
  <c r="K116" i="1"/>
  <c r="K75" i="1"/>
  <c r="J3221" i="1"/>
  <c r="J945" i="1"/>
  <c r="K2932" i="1"/>
  <c r="H514" i="1"/>
  <c r="J1020" i="1"/>
  <c r="U2168" i="1"/>
  <c r="J2905" i="1"/>
  <c r="P85" i="1"/>
  <c r="K3247" i="1"/>
  <c r="U1666" i="1"/>
  <c r="I3439" i="1"/>
  <c r="J2026" i="1"/>
  <c r="H1559" i="1"/>
  <c r="K2197" i="1"/>
  <c r="I259" i="1"/>
  <c r="I2244" i="1"/>
  <c r="U3549" i="1"/>
  <c r="U2728" i="1"/>
  <c r="K691" i="1"/>
  <c r="I174" i="1"/>
  <c r="I978" i="1"/>
  <c r="H1195" i="1"/>
  <c r="J3412" i="1"/>
  <c r="K1837" i="1"/>
  <c r="K2179" i="1"/>
  <c r="H1197" i="1"/>
  <c r="I3075" i="1"/>
  <c r="G2600" i="1"/>
  <c r="K466" i="1"/>
  <c r="J2530" i="1"/>
  <c r="K3425" i="1"/>
  <c r="U1924" i="1"/>
  <c r="I504" i="1"/>
  <c r="Q3077" i="1"/>
  <c r="K1743" i="1"/>
  <c r="K2939" i="1"/>
  <c r="I2166" i="1"/>
  <c r="H3214" i="1"/>
  <c r="J385" i="1"/>
  <c r="K501" i="1"/>
  <c r="J1732" i="1"/>
  <c r="H2033" i="1"/>
  <c r="H1465" i="1"/>
  <c r="K794" i="1"/>
  <c r="P3278" i="1"/>
  <c r="H2426" i="1"/>
  <c r="K2294" i="1"/>
  <c r="K1063" i="1"/>
  <c r="K2995" i="1"/>
  <c r="K2240" i="1"/>
  <c r="U3181" i="1"/>
  <c r="I1918" i="1"/>
  <c r="U2610" i="1"/>
  <c r="H3308" i="1"/>
  <c r="H2389" i="1"/>
  <c r="H36" i="1"/>
  <c r="U3474" i="1"/>
  <c r="J248" i="1"/>
  <c r="H1267" i="1"/>
  <c r="J1623" i="1"/>
  <c r="J887" i="1"/>
  <c r="J1366" i="1"/>
  <c r="K2507" i="1"/>
  <c r="K1401" i="1"/>
  <c r="K952" i="1"/>
  <c r="J3310" i="1"/>
  <c r="K2922" i="1"/>
  <c r="J501" i="1"/>
  <c r="K1434" i="1"/>
  <c r="K58" i="1"/>
  <c r="I2200" i="1"/>
  <c r="U3119" i="1"/>
  <c r="I2642" i="1"/>
  <c r="H1375" i="1"/>
  <c r="I3109" i="1"/>
  <c r="H1618" i="1"/>
  <c r="K1755" i="1"/>
  <c r="U3191" i="1"/>
  <c r="K3550" i="1"/>
  <c r="K2142" i="1"/>
  <c r="K1259" i="1"/>
  <c r="J1977" i="1"/>
  <c r="K2146" i="1"/>
  <c r="K204" i="1"/>
  <c r="J3049" i="1"/>
  <c r="I2719" i="1"/>
  <c r="J129" i="1"/>
  <c r="K1218" i="1"/>
  <c r="H2554" i="1"/>
  <c r="H1345" i="1"/>
  <c r="J1489" i="1"/>
  <c r="K555" i="1"/>
  <c r="H306" i="1"/>
  <c r="K1148" i="1"/>
  <c r="K1268" i="1"/>
  <c r="H108" i="1"/>
  <c r="H2604" i="1"/>
  <c r="K2176" i="1"/>
  <c r="O1588" i="1"/>
  <c r="K938" i="1"/>
  <c r="J2090" i="1"/>
  <c r="K227" i="1"/>
  <c r="H374" i="1"/>
  <c r="K2625" i="1"/>
  <c r="J1972" i="1"/>
  <c r="Q3116" i="1"/>
  <c r="P1014" i="1"/>
  <c r="P3147" i="1"/>
  <c r="P1890" i="1"/>
  <c r="P1808" i="1"/>
  <c r="U1882" i="1"/>
  <c r="K1377" i="1"/>
  <c r="J2971" i="1"/>
  <c r="P799" i="1"/>
  <c r="M2065" i="1"/>
  <c r="O1802" i="1"/>
  <c r="I1291" i="1"/>
  <c r="J2246" i="1"/>
  <c r="I2283" i="1"/>
  <c r="H268" i="1"/>
  <c r="J2296" i="1"/>
  <c r="I3489" i="1"/>
  <c r="U2995" i="1"/>
  <c r="K3256" i="1"/>
  <c r="K773" i="1"/>
  <c r="K2888" i="1"/>
  <c r="U1613" i="1"/>
  <c r="Q3317" i="1"/>
  <c r="J1692" i="1"/>
  <c r="K280" i="1"/>
  <c r="H1611" i="1"/>
  <c r="K2717" i="1"/>
  <c r="H3011" i="1"/>
  <c r="K3211" i="1"/>
  <c r="U3516" i="1"/>
  <c r="J3297" i="1"/>
  <c r="U2278" i="1"/>
  <c r="J1106" i="1"/>
  <c r="J464" i="1"/>
  <c r="K1811" i="1"/>
  <c r="K172" i="1"/>
  <c r="J227" i="1"/>
  <c r="K1170" i="1"/>
  <c r="K1119" i="1"/>
  <c r="I1881" i="1"/>
  <c r="J1401" i="1"/>
  <c r="J2704" i="1"/>
  <c r="I394" i="1"/>
  <c r="K1856" i="1"/>
  <c r="J2844" i="1"/>
  <c r="Q2827" i="1"/>
  <c r="J532" i="1"/>
  <c r="K1831" i="1"/>
  <c r="K1745" i="1"/>
  <c r="U1426" i="1"/>
  <c r="K267" i="1"/>
  <c r="P851" i="1"/>
  <c r="J3564" i="1"/>
  <c r="J1681" i="1"/>
  <c r="J1800" i="1"/>
  <c r="I3548" i="1"/>
  <c r="J3432" i="1"/>
  <c r="P810" i="1"/>
  <c r="I845" i="1"/>
  <c r="I3635" i="1"/>
  <c r="J1956" i="1"/>
  <c r="P131" i="1"/>
  <c r="J2483" i="1"/>
  <c r="H1667" i="1"/>
  <c r="U182" i="1"/>
  <c r="Q1301" i="1"/>
  <c r="I1066" i="1"/>
  <c r="O2893" i="1"/>
  <c r="H207" i="1"/>
  <c r="J2005" i="1"/>
  <c r="O3031" i="1"/>
  <c r="H898" i="1"/>
  <c r="H2299" i="1"/>
  <c r="K3261" i="1"/>
  <c r="U1865" i="1"/>
  <c r="J3586" i="1"/>
  <c r="K2133" i="1"/>
  <c r="K3372" i="1"/>
  <c r="J589" i="1"/>
  <c r="K2255" i="1"/>
  <c r="K2098" i="1"/>
  <c r="J3331" i="1"/>
  <c r="K44" i="1"/>
  <c r="H3621" i="1"/>
  <c r="H298" i="1"/>
  <c r="H717" i="1"/>
  <c r="H3044" i="1"/>
  <c r="I1833" i="1"/>
  <c r="K889" i="1"/>
  <c r="K758" i="1"/>
  <c r="U2088" i="1"/>
  <c r="K1632" i="1"/>
  <c r="I2849" i="1"/>
  <c r="U3517" i="1"/>
  <c r="J91" i="1"/>
  <c r="J2835" i="1"/>
  <c r="O1907" i="1"/>
  <c r="J1686" i="1"/>
  <c r="H2772" i="1"/>
  <c r="J797" i="1"/>
  <c r="P1527" i="1"/>
  <c r="J2095" i="1"/>
  <c r="H2667" i="1"/>
  <c r="J2108" i="1"/>
  <c r="O168" i="1"/>
  <c r="J1511" i="1"/>
  <c r="K608" i="1"/>
  <c r="H203" i="1"/>
  <c r="P1005" i="1"/>
  <c r="J996" i="1"/>
  <c r="J3212" i="1"/>
  <c r="O1079" i="1"/>
  <c r="J3513" i="1"/>
  <c r="I571" i="1"/>
  <c r="J657" i="1"/>
  <c r="H1790" i="1"/>
  <c r="J1060" i="1"/>
  <c r="I107" i="1"/>
  <c r="I2682" i="1"/>
  <c r="J958" i="1"/>
  <c r="K2066" i="1"/>
  <c r="U3496" i="1"/>
  <c r="H122" i="1"/>
  <c r="U3271" i="1"/>
  <c r="I2203" i="1"/>
  <c r="H1940" i="1"/>
  <c r="I3045" i="1"/>
  <c r="Q617" i="1"/>
  <c r="P1263" i="1"/>
  <c r="I2134" i="1"/>
  <c r="J3123" i="1"/>
  <c r="U1032" i="1"/>
  <c r="U1361" i="1"/>
  <c r="I338" i="1"/>
  <c r="I1797" i="1"/>
  <c r="Q3526" i="1"/>
  <c r="O27" i="1"/>
  <c r="J1997" i="1"/>
  <c r="H1624" i="1"/>
  <c r="U3259" i="1"/>
  <c r="Q1158" i="1"/>
  <c r="I1824" i="1"/>
  <c r="I3321" i="1"/>
  <c r="H234" i="1"/>
  <c r="J2956" i="1"/>
  <c r="U284" i="1"/>
  <c r="H1043" i="1"/>
  <c r="K1031" i="1"/>
  <c r="K2501" i="1"/>
  <c r="U2022" i="1"/>
  <c r="I2742" i="1"/>
  <c r="Q1209" i="1"/>
  <c r="U3419" i="1"/>
  <c r="K2189" i="1"/>
  <c r="K1042" i="1"/>
  <c r="K1174" i="1"/>
  <c r="J1280" i="1"/>
  <c r="J1901" i="1"/>
  <c r="I387" i="1"/>
  <c r="U3138" i="1"/>
  <c r="J2937" i="1"/>
  <c r="Q1577" i="1"/>
  <c r="K2436" i="1"/>
  <c r="P770" i="1"/>
  <c r="H498" i="1"/>
  <c r="J2098" i="1"/>
  <c r="H963" i="1"/>
  <c r="G1726" i="1"/>
  <c r="G1838" i="1"/>
  <c r="K198" i="1"/>
  <c r="K1642" i="1"/>
  <c r="I2193" i="1"/>
  <c r="J1373" i="1"/>
  <c r="Q1420" i="1"/>
  <c r="K442" i="1"/>
  <c r="J283" i="1"/>
  <c r="I975" i="1"/>
  <c r="K1765" i="1"/>
  <c r="K171" i="1"/>
  <c r="H2985" i="1"/>
  <c r="J2856" i="1"/>
  <c r="J3100" i="1"/>
  <c r="H2694" i="1"/>
  <c r="P2204" i="1"/>
  <c r="I2337" i="1"/>
  <c r="O1830" i="1"/>
  <c r="K593" i="1"/>
  <c r="K2716" i="1"/>
  <c r="H3505" i="1"/>
  <c r="H1904" i="1"/>
  <c r="U3520" i="1"/>
  <c r="P348" i="1"/>
  <c r="O3463" i="1"/>
  <c r="I3396" i="1"/>
  <c r="J1470" i="1"/>
  <c r="K2375" i="1"/>
  <c r="K2120" i="1"/>
  <c r="I2425" i="1"/>
  <c r="K2272" i="1"/>
  <c r="K210" i="1"/>
  <c r="U1028" i="1"/>
  <c r="H2945" i="1"/>
  <c r="J109" i="1"/>
  <c r="K3005" i="1"/>
  <c r="I2263" i="1"/>
  <c r="K15" i="1"/>
  <c r="K1673" i="1"/>
  <c r="K645" i="1"/>
  <c r="K3434" i="1"/>
  <c r="K2212" i="1"/>
  <c r="I1352" i="1"/>
  <c r="K3377" i="1"/>
  <c r="H1458" i="1"/>
  <c r="K1803" i="1"/>
  <c r="K798" i="1"/>
  <c r="J2813" i="1"/>
  <c r="P138" i="1"/>
  <c r="K668" i="1"/>
  <c r="J3410" i="1"/>
  <c r="J1378" i="1"/>
  <c r="J3141" i="1"/>
  <c r="K3492" i="1"/>
  <c r="I581" i="1"/>
  <c r="K1275" i="1"/>
  <c r="J531" i="1"/>
  <c r="H3191" i="1"/>
  <c r="U2474" i="1"/>
  <c r="J763" i="1"/>
  <c r="J1309" i="1"/>
  <c r="J1290" i="1"/>
  <c r="J1862" i="1"/>
  <c r="J3290" i="1"/>
  <c r="K1298" i="1"/>
  <c r="I3148" i="1"/>
  <c r="J1146" i="1"/>
  <c r="I2032" i="1"/>
  <c r="H2746" i="1"/>
  <c r="J3349" i="1"/>
  <c r="K830" i="1"/>
  <c r="H518" i="1"/>
  <c r="I2895" i="1"/>
  <c r="J2665" i="1"/>
  <c r="K1876" i="1"/>
  <c r="H2728" i="1"/>
  <c r="K1810" i="1"/>
  <c r="H903" i="1"/>
  <c r="P81" i="1"/>
  <c r="O514" i="1"/>
  <c r="P426" i="1"/>
  <c r="U1707" i="1"/>
  <c r="I3015" i="1"/>
  <c r="I1850" i="1"/>
  <c r="U1510" i="1"/>
  <c r="U2845" i="1"/>
  <c r="H1414" i="1"/>
  <c r="N1002" i="1"/>
  <c r="N3025" i="1"/>
  <c r="J288" i="1"/>
  <c r="J2107" i="1"/>
  <c r="Q755" i="1"/>
  <c r="Q3003" i="1"/>
  <c r="K1212" i="1"/>
  <c r="J900" i="1"/>
  <c r="U3118" i="1"/>
  <c r="K1608" i="1"/>
  <c r="J3327" i="1"/>
  <c r="J1002" i="1"/>
  <c r="J3313" i="1"/>
  <c r="J3271" i="1"/>
  <c r="I832" i="1"/>
  <c r="J1019" i="1"/>
  <c r="U2280" i="1"/>
  <c r="H337" i="1"/>
  <c r="U1763" i="1"/>
  <c r="I679" i="1"/>
  <c r="Q2831" i="1"/>
  <c r="K1901" i="1"/>
  <c r="K1076" i="1"/>
  <c r="I1042" i="1"/>
  <c r="H118" i="1"/>
  <c r="J141" i="1"/>
  <c r="P2258" i="1"/>
  <c r="U3050" i="1"/>
  <c r="H3010" i="1"/>
  <c r="P2129" i="1"/>
  <c r="K1995" i="1"/>
  <c r="I2045" i="1"/>
  <c r="K284" i="1"/>
  <c r="J1696" i="1"/>
  <c r="K1178" i="1"/>
  <c r="I885" i="1"/>
  <c r="K2424" i="1"/>
  <c r="H515" i="1"/>
  <c r="J492" i="1"/>
  <c r="G802" i="1"/>
  <c r="K1417" i="1"/>
  <c r="G2959" i="1"/>
  <c r="K2697" i="1"/>
  <c r="I3326" i="1"/>
  <c r="J2282" i="1"/>
  <c r="Q1991" i="1"/>
  <c r="K1959" i="1"/>
  <c r="P116" i="1"/>
  <c r="H3587" i="1"/>
  <c r="J1808" i="1"/>
  <c r="I302" i="1"/>
  <c r="P288" i="1"/>
  <c r="H485" i="1"/>
  <c r="I3120" i="1"/>
  <c r="Q1027" i="1"/>
  <c r="P1601" i="1"/>
  <c r="I2966" i="1"/>
  <c r="K3049" i="1"/>
  <c r="K1309" i="1"/>
  <c r="I1249" i="1"/>
  <c r="J2286" i="1"/>
  <c r="K1186" i="1"/>
  <c r="I3097" i="1"/>
  <c r="P3619" i="1"/>
  <c r="P295" i="1"/>
  <c r="M2469" i="1"/>
  <c r="H3163" i="1"/>
  <c r="K3388" i="1"/>
  <c r="J134" i="1"/>
  <c r="K3634" i="1"/>
  <c r="K31" i="1"/>
  <c r="K2884" i="1"/>
  <c r="K1829" i="1"/>
  <c r="H1168" i="1"/>
  <c r="J2087" i="1"/>
  <c r="K251" i="1"/>
  <c r="H3493" i="1"/>
  <c r="J1480" i="1"/>
  <c r="K95" i="1"/>
  <c r="J1402" i="1"/>
  <c r="K2119" i="1"/>
  <c r="K2230" i="1"/>
  <c r="I2621" i="1"/>
  <c r="J3030" i="1"/>
  <c r="I2997" i="1"/>
  <c r="J2106" i="1"/>
  <c r="H626" i="1"/>
  <c r="K82" i="1"/>
  <c r="Q1328" i="1"/>
  <c r="J1766" i="1"/>
  <c r="J610" i="1"/>
  <c r="J2644" i="1"/>
  <c r="H2489" i="1"/>
  <c r="U335" i="1"/>
  <c r="I1634" i="1"/>
  <c r="J2093" i="1"/>
  <c r="P1823" i="1"/>
  <c r="I2117" i="1"/>
  <c r="H105" i="1"/>
  <c r="J530" i="1"/>
  <c r="P2914" i="1"/>
  <c r="K2275" i="1"/>
  <c r="J116" i="1"/>
  <c r="J1745" i="1"/>
  <c r="M3571" i="1"/>
  <c r="I1566" i="1"/>
  <c r="I1514" i="1"/>
  <c r="H772" i="1"/>
  <c r="U786" i="1"/>
  <c r="I2342" i="1"/>
  <c r="J22" i="1"/>
  <c r="U425" i="1"/>
  <c r="I239" i="1"/>
  <c r="U601" i="1"/>
  <c r="J154" i="1"/>
  <c r="Q897" i="1"/>
  <c r="K2409" i="1"/>
  <c r="U1836" i="1"/>
  <c r="Q2817" i="1"/>
  <c r="P1951" i="1"/>
  <c r="Q2543" i="1"/>
  <c r="J242" i="1"/>
  <c r="I32" i="1"/>
  <c r="I662" i="1"/>
  <c r="H812" i="1"/>
  <c r="K2012" i="1"/>
  <c r="Q270" i="1"/>
  <c r="U2924" i="1"/>
  <c r="U1350" i="1"/>
  <c r="I407" i="1"/>
  <c r="U1727" i="1"/>
  <c r="U3091" i="1"/>
  <c r="U3173" i="1"/>
  <c r="I1849" i="1"/>
  <c r="I3408" i="1"/>
  <c r="Q1816" i="1"/>
  <c r="H3255" i="1"/>
  <c r="J267" i="1"/>
  <c r="J2467" i="1"/>
  <c r="J2270" i="1"/>
  <c r="K2238" i="1"/>
  <c r="J3145" i="1"/>
  <c r="Q3420" i="1"/>
  <c r="K104" i="1"/>
  <c r="Q2507" i="1"/>
  <c r="K2844" i="1"/>
  <c r="P888" i="1"/>
  <c r="J1164" i="1"/>
  <c r="P1259" i="1"/>
  <c r="J1837" i="1"/>
  <c r="I2716" i="1"/>
  <c r="J1935" i="1"/>
  <c r="K631" i="1"/>
  <c r="K422" i="1"/>
  <c r="K3033" i="1"/>
  <c r="I13" i="1"/>
  <c r="K228" i="1"/>
  <c r="K1457" i="1"/>
  <c r="H1520" i="1"/>
  <c r="K967" i="1"/>
  <c r="J1264" i="1"/>
  <c r="K1240" i="1"/>
  <c r="J2983" i="1"/>
  <c r="K720" i="1"/>
  <c r="H708" i="1"/>
  <c r="J598" i="1"/>
  <c r="K827" i="1"/>
  <c r="H2053" i="1"/>
  <c r="K2063" i="1"/>
  <c r="K2548" i="1"/>
  <c r="K1284" i="1"/>
  <c r="J1927" i="1"/>
  <c r="U2604" i="1"/>
  <c r="K2689" i="1"/>
  <c r="I1829" i="1"/>
  <c r="Q2458" i="1"/>
  <c r="I901" i="1"/>
  <c r="I2839" i="1"/>
  <c r="J675" i="1"/>
  <c r="K3087" i="1"/>
  <c r="K2638" i="1"/>
  <c r="K606" i="1"/>
  <c r="K974" i="1"/>
  <c r="I920" i="1"/>
  <c r="I957" i="1"/>
  <c r="I1012" i="1"/>
  <c r="N625" i="1"/>
  <c r="I2362" i="1"/>
  <c r="J2377" i="1"/>
  <c r="J615" i="1"/>
  <c r="U3297" i="1"/>
  <c r="Q942" i="1"/>
  <c r="Q915" i="1"/>
  <c r="I2877" i="1"/>
  <c r="H3034" i="1"/>
  <c r="U1683" i="1"/>
  <c r="U3047" i="1"/>
  <c r="I3199" i="1"/>
  <c r="I1330" i="1"/>
  <c r="J707" i="1"/>
  <c r="H79" i="1"/>
  <c r="J3533" i="1"/>
  <c r="H983" i="1"/>
  <c r="Q783" i="1"/>
  <c r="H101" i="1"/>
  <c r="H462" i="1"/>
  <c r="U2599" i="1"/>
  <c r="Q1718" i="1"/>
  <c r="K2389" i="1"/>
  <c r="U2460" i="1"/>
  <c r="K2234" i="1"/>
  <c r="I3510" i="1"/>
  <c r="H1004" i="1"/>
  <c r="I1176" i="1"/>
  <c r="I2235" i="1"/>
  <c r="K3086" i="1"/>
  <c r="U3114" i="1"/>
  <c r="I1577" i="1"/>
  <c r="K1432" i="1"/>
  <c r="H1354" i="1"/>
  <c r="H1901" i="1"/>
  <c r="K954" i="1"/>
  <c r="J1247" i="1"/>
  <c r="K1478" i="1"/>
  <c r="J304" i="1"/>
  <c r="I199" i="1"/>
  <c r="H907" i="1"/>
  <c r="J3098" i="1"/>
  <c r="H3485" i="1"/>
  <c r="P1693" i="1"/>
  <c r="U2546" i="1"/>
  <c r="H1657" i="1"/>
  <c r="K3430" i="1"/>
  <c r="J3010" i="1"/>
  <c r="I1987" i="1"/>
  <c r="J173" i="1"/>
  <c r="K1882" i="1"/>
  <c r="J3322" i="1"/>
  <c r="I1547" i="1"/>
  <c r="J820" i="1"/>
  <c r="J3617" i="1"/>
  <c r="K2462" i="1"/>
  <c r="I235" i="1"/>
  <c r="K1861" i="1"/>
  <c r="H1770" i="1"/>
  <c r="I2047" i="1"/>
  <c r="J3137" i="1"/>
  <c r="J216" i="1"/>
  <c r="J485" i="1"/>
  <c r="J3041" i="1"/>
  <c r="I290" i="1"/>
  <c r="K2321" i="1"/>
  <c r="J2550" i="1"/>
  <c r="K690" i="1"/>
  <c r="K821" i="1"/>
  <c r="J3454" i="1"/>
  <c r="H3316" i="1"/>
  <c r="K1495" i="1"/>
  <c r="I2959" i="1"/>
  <c r="H2712" i="1"/>
  <c r="J2727" i="1"/>
  <c r="I1808" i="1"/>
  <c r="H1101" i="1"/>
  <c r="H1381" i="1"/>
  <c r="J2993" i="1"/>
  <c r="U689" i="1"/>
  <c r="Q13" i="1"/>
  <c r="Q1965" i="1"/>
  <c r="P113" i="1"/>
  <c r="K3488" i="1"/>
  <c r="K416" i="1"/>
  <c r="H1970" i="1"/>
  <c r="K3059" i="1"/>
  <c r="I1488" i="1"/>
  <c r="I1981" i="1"/>
  <c r="H847" i="1"/>
  <c r="Q1026" i="1"/>
  <c r="I747" i="1"/>
  <c r="I3445" i="1"/>
  <c r="K1430" i="1"/>
  <c r="J1564" i="1"/>
  <c r="K1627" i="1"/>
  <c r="Q185" i="1"/>
  <c r="K947" i="1"/>
  <c r="J2868" i="1"/>
  <c r="I736" i="1"/>
  <c r="J566" i="1"/>
  <c r="H222" i="1"/>
  <c r="J3422" i="1"/>
  <c r="U521" i="1"/>
  <c r="K1201" i="1"/>
  <c r="I1826" i="1"/>
  <c r="H70" i="1"/>
  <c r="K351" i="1"/>
  <c r="K1676" i="1"/>
  <c r="K1966" i="1"/>
  <c r="I714" i="1"/>
  <c r="H3515" i="1"/>
  <c r="H249" i="1"/>
  <c r="I3544" i="1"/>
  <c r="P1255" i="1"/>
  <c r="I2202" i="1"/>
  <c r="O3288" i="1"/>
  <c r="H594" i="1"/>
  <c r="I2527" i="1"/>
  <c r="K2859" i="1"/>
  <c r="I628" i="1"/>
  <c r="Q450" i="1"/>
  <c r="U1775" i="1"/>
  <c r="Q823" i="1"/>
  <c r="Q829" i="1"/>
  <c r="K375" i="1"/>
  <c r="P985" i="1"/>
  <c r="P262" i="1"/>
  <c r="H1914" i="1"/>
  <c r="U3391" i="1"/>
  <c r="J3390" i="1"/>
  <c r="M995" i="1"/>
  <c r="H1563" i="1"/>
  <c r="U2320" i="1"/>
  <c r="J552" i="1"/>
  <c r="P3018" i="1"/>
  <c r="K743" i="1"/>
  <c r="Q936" i="1"/>
  <c r="P3000" i="1"/>
  <c r="I642" i="1"/>
  <c r="H491" i="1"/>
  <c r="K4" i="1"/>
  <c r="J2548" i="1"/>
  <c r="I153" i="1"/>
  <c r="Q300" i="1"/>
  <c r="H1350" i="1"/>
  <c r="H2964" i="1"/>
  <c r="I1357" i="1"/>
  <c r="K1336" i="1"/>
  <c r="K2933" i="1"/>
  <c r="Q900" i="1"/>
  <c r="H2585" i="1"/>
  <c r="U602" i="1"/>
  <c r="J825" i="1"/>
  <c r="Q3495" i="1"/>
  <c r="Q3164" i="1"/>
  <c r="U2467" i="1"/>
  <c r="K1050" i="1"/>
  <c r="I2838" i="1"/>
  <c r="Q217" i="1"/>
  <c r="P3387" i="1"/>
  <c r="U3089" i="1"/>
  <c r="J3333" i="1"/>
  <c r="J1119" i="1"/>
  <c r="I913" i="1"/>
  <c r="H1855" i="1"/>
  <c r="J3444" i="1"/>
  <c r="J2892" i="1"/>
  <c r="J278" i="1"/>
  <c r="K2352" i="1"/>
  <c r="J2811" i="1"/>
  <c r="M741" i="1"/>
  <c r="I2220" i="1"/>
  <c r="O3347" i="1"/>
  <c r="P309" i="1"/>
  <c r="I2334" i="1"/>
  <c r="H1275" i="1"/>
  <c r="K575" i="1"/>
  <c r="K3082" i="1"/>
  <c r="K167" i="1"/>
  <c r="K1331" i="1"/>
  <c r="K621" i="1"/>
  <c r="J2612" i="1"/>
  <c r="K926" i="1"/>
  <c r="J895" i="1"/>
  <c r="K2817" i="1"/>
  <c r="J1822" i="1"/>
  <c r="K2153" i="1"/>
  <c r="J314" i="1"/>
  <c r="H565" i="1"/>
  <c r="H3394" i="1"/>
  <c r="K2735" i="1"/>
  <c r="U3606" i="1"/>
  <c r="H2002" i="1"/>
  <c r="H506" i="1"/>
  <c r="K3057" i="1"/>
  <c r="K2877" i="1"/>
  <c r="U3102" i="1"/>
  <c r="P995" i="1"/>
  <c r="O2032" i="1"/>
  <c r="I3209" i="1"/>
  <c r="I910" i="1"/>
  <c r="Q1234" i="1"/>
  <c r="J2640" i="1"/>
  <c r="K3389" i="1"/>
  <c r="K995" i="1"/>
  <c r="Q1738" i="1"/>
  <c r="M1368" i="1"/>
  <c r="P919" i="1"/>
  <c r="K3361" i="1"/>
  <c r="P1237" i="1"/>
  <c r="K867" i="1"/>
  <c r="K1643" i="1"/>
  <c r="H1094" i="1"/>
  <c r="K92" i="1"/>
  <c r="H385" i="1"/>
  <c r="J3286" i="1"/>
  <c r="H1564" i="1"/>
  <c r="I3462" i="1"/>
  <c r="K2487" i="1"/>
  <c r="K2486" i="1"/>
  <c r="I3190" i="1"/>
  <c r="K646" i="1"/>
  <c r="J1268" i="1"/>
  <c r="J2124" i="1"/>
  <c r="J1158" i="1"/>
  <c r="H663" i="1"/>
  <c r="K127" i="1"/>
  <c r="U4" i="1"/>
  <c r="K2522" i="1"/>
  <c r="J2632" i="1"/>
  <c r="I643" i="1"/>
  <c r="J1884" i="1"/>
  <c r="I3608" i="1"/>
  <c r="H2731" i="1"/>
  <c r="K1333" i="1"/>
  <c r="J829" i="1"/>
  <c r="J1602" i="1"/>
  <c r="J596" i="1"/>
  <c r="K1018" i="1"/>
  <c r="I1084" i="1"/>
  <c r="J1033" i="1"/>
  <c r="K553" i="1"/>
  <c r="H3146" i="1"/>
  <c r="J1526" i="1"/>
  <c r="U2427" i="1"/>
  <c r="I2381" i="1"/>
  <c r="J601" i="1"/>
  <c r="H1514" i="1"/>
  <c r="Q403" i="1"/>
  <c r="P285" i="1"/>
  <c r="I2544" i="1"/>
  <c r="I1224" i="1"/>
  <c r="Q1760" i="1"/>
  <c r="U3172" i="1"/>
  <c r="I3422" i="1"/>
  <c r="H121" i="1"/>
  <c r="U624" i="1"/>
  <c r="J337" i="1"/>
  <c r="J983" i="1"/>
  <c r="H3331" i="1"/>
  <c r="P1787" i="1"/>
  <c r="P1643" i="1"/>
  <c r="U228" i="1"/>
  <c r="I2855" i="1"/>
  <c r="K415" i="1"/>
  <c r="J1005" i="1"/>
  <c r="H1475" i="1"/>
  <c r="H1792" i="1"/>
  <c r="U2615" i="1"/>
  <c r="H3279" i="1"/>
  <c r="K998" i="1"/>
  <c r="K377" i="1"/>
  <c r="J772" i="1"/>
  <c r="I3071" i="1"/>
  <c r="J3202" i="1"/>
  <c r="P1360" i="1"/>
  <c r="P542" i="1"/>
  <c r="U333" i="1"/>
  <c r="U3151" i="1"/>
  <c r="P2746" i="1"/>
  <c r="K1695" i="1"/>
  <c r="J3229" i="1"/>
  <c r="U2236" i="1"/>
  <c r="J2948" i="1"/>
  <c r="K323" i="1"/>
  <c r="K566" i="1"/>
  <c r="K2124" i="1"/>
  <c r="K1532" i="1"/>
  <c r="K3225" i="1"/>
  <c r="H1859" i="1"/>
  <c r="K625" i="1"/>
  <c r="J2875" i="1"/>
  <c r="K993" i="1"/>
  <c r="J2479" i="1"/>
  <c r="K3483" i="1"/>
  <c r="H1713" i="1"/>
  <c r="H45" i="1"/>
  <c r="H1923" i="1"/>
  <c r="P57" i="1"/>
  <c r="H766" i="1"/>
  <c r="H1877" i="1"/>
  <c r="Q1714" i="1"/>
  <c r="I1596" i="1"/>
  <c r="I1091" i="1"/>
  <c r="J224" i="1"/>
  <c r="K1993" i="1"/>
  <c r="K2282" i="1"/>
  <c r="K627" i="1"/>
  <c r="J3553" i="1"/>
  <c r="K2358" i="1"/>
  <c r="I3297" i="1"/>
  <c r="K2150" i="1"/>
  <c r="J3362" i="1"/>
  <c r="J710" i="1"/>
  <c r="H3016" i="1"/>
  <c r="I80" i="1"/>
  <c r="J179" i="1"/>
  <c r="J3017" i="1"/>
  <c r="Q742" i="1"/>
  <c r="J338" i="1"/>
  <c r="J3616" i="1"/>
  <c r="J1092" i="1"/>
  <c r="I1010" i="1"/>
  <c r="K1321" i="1"/>
  <c r="K2225" i="1"/>
  <c r="J2894" i="1"/>
  <c r="U1421" i="1"/>
  <c r="I680" i="1"/>
  <c r="H2695" i="1"/>
  <c r="Q866" i="1"/>
  <c r="Q95" i="1"/>
  <c r="H1902" i="1"/>
  <c r="K2049" i="1"/>
  <c r="K1967" i="1"/>
  <c r="K2001" i="1"/>
  <c r="J356" i="1"/>
  <c r="I1542" i="1"/>
  <c r="H80" i="1"/>
  <c r="J375" i="1"/>
  <c r="I618" i="1"/>
  <c r="K398" i="1"/>
  <c r="J932" i="1"/>
  <c r="I3131" i="1"/>
  <c r="J3632" i="1"/>
  <c r="J302" i="1"/>
  <c r="U1570" i="1"/>
  <c r="H2932" i="1"/>
  <c r="J1719" i="1"/>
  <c r="I1394" i="1"/>
  <c r="K373" i="1"/>
  <c r="I3272" i="1"/>
  <c r="Q659" i="1"/>
  <c r="I2315" i="1"/>
  <c r="I2831" i="1"/>
  <c r="I2405" i="1"/>
  <c r="I1782" i="1"/>
  <c r="U2458" i="1"/>
  <c r="I2740" i="1"/>
  <c r="Q984" i="1"/>
  <c r="J1405" i="1"/>
  <c r="K2659" i="1"/>
  <c r="J3508" i="1"/>
  <c r="U859" i="1"/>
  <c r="U2757" i="1"/>
  <c r="I1569" i="1"/>
  <c r="O1919" i="1"/>
  <c r="K275" i="1"/>
  <c r="K3072" i="1"/>
  <c r="I3416" i="1"/>
  <c r="J1115" i="1"/>
  <c r="I1200" i="1"/>
  <c r="I2665" i="1"/>
  <c r="H1491" i="1"/>
  <c r="H3338" i="1"/>
  <c r="J3481" i="1"/>
  <c r="J142" i="1"/>
  <c r="Q2114" i="1"/>
  <c r="U1578" i="1"/>
  <c r="N501" i="1"/>
  <c r="M2113" i="1"/>
  <c r="U403" i="1"/>
  <c r="I1430" i="1"/>
  <c r="I1222" i="1"/>
  <c r="U1768" i="1"/>
  <c r="I2179" i="1"/>
  <c r="I3288" i="1"/>
  <c r="I3351" i="1"/>
  <c r="I1331" i="1"/>
  <c r="I2081" i="1"/>
  <c r="K3551" i="1"/>
  <c r="H946" i="1"/>
  <c r="H1920" i="1"/>
  <c r="K3186" i="1"/>
  <c r="P790" i="1"/>
  <c r="J3108" i="1"/>
  <c r="K1390" i="1"/>
  <c r="K2826" i="1"/>
  <c r="J3020" i="1"/>
  <c r="J576" i="1"/>
  <c r="I3364" i="1"/>
  <c r="Q488" i="1"/>
  <c r="Q107" i="1"/>
  <c r="Q2291" i="1"/>
  <c r="Q244" i="1"/>
  <c r="Q1103" i="1"/>
  <c r="I3449" i="1"/>
  <c r="H3462" i="1"/>
  <c r="J2649" i="1"/>
  <c r="J133" i="1"/>
  <c r="H2845" i="1"/>
  <c r="M1949" i="1"/>
  <c r="I2310" i="1"/>
  <c r="K3367" i="1"/>
  <c r="I1548" i="1"/>
  <c r="K2019" i="1"/>
  <c r="P314" i="1"/>
  <c r="J2022" i="1"/>
  <c r="J27" i="1"/>
  <c r="I2914" i="1"/>
  <c r="I2862" i="1"/>
  <c r="U3441" i="1"/>
  <c r="I397" i="1"/>
  <c r="J2330" i="1"/>
  <c r="J13" i="1"/>
  <c r="K1783" i="1"/>
  <c r="K93" i="1"/>
  <c r="H3009" i="1"/>
  <c r="J1912" i="1"/>
  <c r="U2957" i="1"/>
  <c r="J3246" i="1"/>
  <c r="H1400" i="1"/>
  <c r="H2415" i="1"/>
  <c r="J1058" i="1"/>
  <c r="K3126" i="1"/>
  <c r="K1808" i="1"/>
  <c r="K2362" i="1"/>
  <c r="K1793" i="1"/>
  <c r="K3004" i="1"/>
  <c r="K1367" i="1"/>
  <c r="H2456" i="1"/>
  <c r="K2473" i="1"/>
  <c r="K3635" i="1"/>
  <c r="J3634" i="1"/>
  <c r="J1172" i="1"/>
  <c r="U2981" i="1"/>
  <c r="U2470" i="1"/>
  <c r="I2129" i="1"/>
  <c r="I3566" i="1"/>
  <c r="K1210" i="1"/>
  <c r="J3549" i="1"/>
  <c r="U1050" i="1"/>
  <c r="U1124" i="1"/>
  <c r="U308" i="1"/>
  <c r="M1806" i="1"/>
  <c r="N3269" i="1"/>
  <c r="H1076" i="1"/>
  <c r="I1490" i="1"/>
  <c r="P2092" i="1"/>
  <c r="H2848" i="1"/>
  <c r="H1894" i="1"/>
  <c r="K143" i="1"/>
  <c r="U1082" i="1"/>
  <c r="H1679" i="1"/>
  <c r="H1814" i="1"/>
  <c r="K1633" i="1"/>
  <c r="I3626" i="1"/>
  <c r="J892" i="1"/>
  <c r="O3500" i="1"/>
  <c r="K3576" i="1"/>
  <c r="K3371" i="1"/>
  <c r="I1917" i="1"/>
  <c r="H1641" i="1"/>
  <c r="U2735" i="1"/>
  <c r="Q2698" i="1"/>
  <c r="U1307" i="1"/>
  <c r="Q1586" i="1"/>
  <c r="P1577" i="1"/>
  <c r="O457" i="1"/>
  <c r="P3284" i="1"/>
  <c r="H1328" i="1"/>
  <c r="U3628" i="1"/>
  <c r="M3037" i="1"/>
  <c r="U563" i="1"/>
  <c r="M954" i="1"/>
  <c r="Q2766" i="1"/>
  <c r="N3531" i="1"/>
  <c r="K1374" i="1"/>
  <c r="Q3628" i="1"/>
  <c r="U916" i="1"/>
  <c r="Q1076" i="1"/>
  <c r="J918" i="1"/>
  <c r="H1719" i="1"/>
  <c r="K1737" i="1"/>
  <c r="U416" i="1"/>
  <c r="K1479" i="1"/>
  <c r="J1310" i="1"/>
  <c r="K768" i="1"/>
  <c r="J2947" i="1"/>
  <c r="J1772" i="1"/>
  <c r="I3480" i="1"/>
  <c r="Q1621" i="1"/>
  <c r="H2386" i="1"/>
  <c r="K1557" i="1"/>
  <c r="Q1604" i="1"/>
  <c r="J2700" i="1"/>
  <c r="I3593" i="1"/>
  <c r="J2096" i="1"/>
  <c r="K1396" i="1"/>
  <c r="I42" i="1"/>
  <c r="K2331" i="1"/>
  <c r="J253" i="1"/>
  <c r="P633" i="1"/>
  <c r="P3623" i="1"/>
  <c r="K1828" i="1"/>
  <c r="J1444" i="1"/>
  <c r="O800" i="1"/>
  <c r="J1192" i="1"/>
  <c r="J1360" i="1"/>
  <c r="H2136" i="1"/>
  <c r="Q3422" i="1"/>
  <c r="U845" i="1"/>
  <c r="U984" i="1"/>
  <c r="H1068" i="1"/>
  <c r="H649" i="1"/>
  <c r="J2139" i="1"/>
  <c r="P2713" i="1"/>
  <c r="J2091" i="1"/>
  <c r="K1410" i="1"/>
  <c r="J2269" i="1"/>
  <c r="J770" i="1"/>
  <c r="J536" i="1"/>
  <c r="H2676" i="1"/>
  <c r="H1957" i="1"/>
  <c r="K153" i="1"/>
  <c r="J2964" i="1"/>
  <c r="K1064" i="1"/>
  <c r="I635" i="1"/>
  <c r="H849" i="1"/>
  <c r="K2834" i="1"/>
  <c r="K2243" i="1"/>
  <c r="H1007" i="1"/>
  <c r="J119" i="1"/>
  <c r="J1436" i="1"/>
  <c r="H2074" i="1"/>
  <c r="Q1169" i="1"/>
  <c r="J1453" i="1"/>
  <c r="J938" i="1"/>
  <c r="I3136" i="1"/>
  <c r="J2836" i="1"/>
  <c r="I1552" i="1"/>
  <c r="J3545" i="1"/>
  <c r="H1358" i="1"/>
  <c r="K1065" i="1"/>
  <c r="H792" i="1"/>
  <c r="I2248" i="1"/>
  <c r="H901" i="1"/>
  <c r="H1732" i="1"/>
  <c r="K257" i="1"/>
  <c r="I2648" i="1"/>
  <c r="I1278" i="1"/>
  <c r="K447" i="1"/>
  <c r="K724" i="1"/>
  <c r="K370" i="1"/>
  <c r="Q2029" i="1"/>
  <c r="J2478" i="1"/>
  <c r="Q2198" i="1"/>
  <c r="H3140" i="1"/>
  <c r="P1038" i="1"/>
  <c r="K1764" i="1"/>
  <c r="J149" i="1"/>
  <c r="U3546" i="1"/>
  <c r="I181" i="1"/>
  <c r="I2157" i="1"/>
  <c r="J1198" i="1"/>
  <c r="J505" i="1"/>
  <c r="J2782" i="1"/>
  <c r="I429" i="1"/>
  <c r="I10" i="1"/>
  <c r="K2785" i="1"/>
  <c r="U2183" i="1"/>
  <c r="Q3501" i="1"/>
  <c r="J2411" i="1"/>
  <c r="J2379" i="1"/>
  <c r="H1986" i="1"/>
  <c r="H2122" i="1"/>
  <c r="I151" i="1"/>
  <c r="I782" i="1"/>
  <c r="K541" i="1"/>
  <c r="J1393" i="1"/>
  <c r="K524" i="1"/>
  <c r="J3317" i="1"/>
  <c r="H1013" i="1"/>
  <c r="Q806" i="1"/>
  <c r="I2758" i="1"/>
  <c r="I2352" i="1"/>
  <c r="I801" i="1"/>
  <c r="Q3488" i="1"/>
  <c r="U798" i="1"/>
  <c r="H3517" i="1"/>
  <c r="H1662" i="1"/>
  <c r="H1687" i="1"/>
  <c r="P3244" i="1"/>
  <c r="J778" i="1"/>
  <c r="I2312" i="1"/>
  <c r="I2554" i="1"/>
  <c r="I2791" i="1"/>
  <c r="P806" i="1"/>
  <c r="J1161" i="1"/>
  <c r="I243" i="1"/>
  <c r="K1907" i="1"/>
  <c r="I1170" i="1"/>
  <c r="J38" i="1"/>
  <c r="H1582" i="1"/>
  <c r="J1854" i="1"/>
  <c r="U904" i="1"/>
  <c r="I674" i="1"/>
  <c r="K246" i="1"/>
  <c r="H1833" i="1"/>
  <c r="K1497" i="1"/>
  <c r="K189" i="1"/>
  <c r="H3615" i="1"/>
  <c r="U158" i="1"/>
  <c r="J59" i="1"/>
  <c r="K2056" i="1"/>
  <c r="J2126" i="1"/>
  <c r="J1077" i="1"/>
  <c r="Q848" i="1"/>
  <c r="H2245" i="1"/>
  <c r="Q2348" i="1"/>
  <c r="U1611" i="1"/>
  <c r="J697" i="1"/>
  <c r="I767" i="1"/>
  <c r="U771" i="1"/>
  <c r="H445" i="1"/>
  <c r="J1183" i="1"/>
  <c r="I1655" i="1"/>
  <c r="I1593" i="1"/>
  <c r="P484" i="1"/>
  <c r="K1369" i="1"/>
  <c r="H2414" i="1"/>
  <c r="K1996" i="1"/>
  <c r="U1890" i="1"/>
  <c r="U2290" i="1"/>
  <c r="H3565" i="1"/>
  <c r="H1937" i="1"/>
  <c r="H269" i="1"/>
  <c r="H119" i="1"/>
  <c r="H533" i="1"/>
  <c r="U24" i="1"/>
  <c r="K1595" i="1"/>
  <c r="H715" i="1"/>
  <c r="J590" i="1"/>
  <c r="J407" i="1"/>
  <c r="I1300" i="1"/>
  <c r="H3156" i="1"/>
  <c r="U1223" i="1"/>
  <c r="O781" i="1"/>
  <c r="I1179" i="1"/>
  <c r="I2683" i="1"/>
  <c r="K3511" i="1"/>
  <c r="Q2958" i="1"/>
  <c r="U2580" i="1"/>
  <c r="K2023" i="1"/>
  <c r="K572" i="1"/>
  <c r="K2752" i="1"/>
  <c r="Q315" i="1"/>
  <c r="O1359" i="1"/>
  <c r="K67" i="1"/>
  <c r="I1337" i="1"/>
  <c r="H657" i="1"/>
  <c r="J3095" i="1"/>
  <c r="Q105" i="1"/>
  <c r="I390" i="1"/>
  <c r="K3539" i="1"/>
  <c r="K1510" i="1"/>
  <c r="J2328" i="1"/>
  <c r="K1873" i="1"/>
  <c r="K2484" i="1"/>
  <c r="H3329" i="1"/>
  <c r="J1548" i="1"/>
  <c r="K1859" i="1"/>
  <c r="H1141" i="1"/>
  <c r="I3107" i="1"/>
  <c r="Q1307" i="1"/>
  <c r="P1588" i="1"/>
  <c r="I2084" i="1"/>
  <c r="K915" i="1"/>
  <c r="J285" i="1"/>
  <c r="I1203" i="1"/>
  <c r="I3426" i="1"/>
  <c r="H3017" i="1"/>
  <c r="K3552" i="1"/>
  <c r="I3309" i="1"/>
  <c r="K2181" i="1"/>
  <c r="K2999" i="1"/>
  <c r="U428" i="1"/>
  <c r="I3483" i="1"/>
  <c r="P1334" i="1"/>
  <c r="J52" i="1"/>
  <c r="I2108" i="1"/>
  <c r="J1879" i="1"/>
  <c r="J2786" i="1"/>
  <c r="K3537" i="1"/>
  <c r="I2726" i="1"/>
  <c r="H416" i="1"/>
  <c r="U3168" i="1"/>
  <c r="J674" i="1"/>
  <c r="J1645" i="1"/>
  <c r="I655" i="1"/>
  <c r="Q1758" i="1"/>
  <c r="Q2140" i="1"/>
  <c r="H645" i="1"/>
  <c r="Q387" i="1"/>
  <c r="Q1794" i="1"/>
  <c r="P1382" i="1"/>
  <c r="K1842" i="1"/>
  <c r="J604" i="1"/>
  <c r="K2863" i="1"/>
  <c r="U2637" i="1"/>
  <c r="U1993" i="1"/>
  <c r="J619" i="1"/>
  <c r="K1847" i="1"/>
  <c r="J298" i="1"/>
  <c r="O3230" i="1"/>
  <c r="I2606" i="1"/>
  <c r="K2292" i="1"/>
  <c r="U1433" i="1"/>
  <c r="H427" i="1"/>
  <c r="K2653" i="1"/>
  <c r="Q832" i="1"/>
  <c r="J150" i="1"/>
  <c r="Q1192" i="1"/>
  <c r="I2617" i="1"/>
  <c r="P1647" i="1"/>
  <c r="O3194" i="1"/>
  <c r="J3072" i="1"/>
  <c r="K2468" i="1"/>
  <c r="N1073" i="1"/>
  <c r="J478" i="1"/>
  <c r="N18" i="1"/>
  <c r="J3192" i="1"/>
  <c r="M819" i="1"/>
  <c r="I224" i="1"/>
  <c r="I228" i="1"/>
  <c r="I2876" i="1"/>
  <c r="I3029" i="1"/>
  <c r="H3433" i="1"/>
  <c r="J823" i="1"/>
  <c r="J40" i="1"/>
  <c r="K3366" i="1"/>
  <c r="K2291" i="1"/>
  <c r="K3236" i="1"/>
  <c r="K2619" i="1"/>
  <c r="J1312" i="1"/>
  <c r="I2789" i="1"/>
  <c r="J1208" i="1"/>
  <c r="J1687" i="1"/>
  <c r="U368" i="1"/>
  <c r="K2685" i="1"/>
  <c r="K3157" i="1"/>
  <c r="Q2583" i="1"/>
  <c r="U1102" i="1"/>
  <c r="K3473" i="1"/>
  <c r="J121" i="1"/>
  <c r="U774" i="1"/>
  <c r="U3023" i="1"/>
  <c r="I3221" i="1"/>
  <c r="P3325" i="1"/>
  <c r="P1581" i="1"/>
  <c r="J3012" i="1"/>
  <c r="I766" i="1"/>
  <c r="I2388" i="1"/>
  <c r="H2286" i="1"/>
  <c r="U190" i="1"/>
  <c r="U3061" i="1"/>
  <c r="H3314" i="1"/>
  <c r="K2319" i="1"/>
  <c r="K845" i="1"/>
  <c r="H1023" i="1"/>
  <c r="J1127" i="1"/>
  <c r="H1454" i="1"/>
  <c r="H2967" i="1"/>
  <c r="J2048" i="1"/>
  <c r="J344" i="1"/>
  <c r="P2379" i="1"/>
  <c r="J927" i="1"/>
  <c r="U1559" i="1"/>
  <c r="K3212" i="1"/>
  <c r="K1581" i="1"/>
  <c r="I1245" i="1"/>
  <c r="I1218" i="1"/>
  <c r="U2385" i="1"/>
  <c r="I3166" i="1"/>
  <c r="I219" i="1"/>
  <c r="I597" i="1"/>
  <c r="U1143" i="1"/>
  <c r="J1520" i="1"/>
  <c r="U237" i="1"/>
  <c r="J3479" i="1"/>
  <c r="I1026" i="1"/>
  <c r="I3473" i="1"/>
  <c r="J2278" i="1"/>
  <c r="J544" i="1"/>
  <c r="H2548" i="1"/>
  <c r="I3447" i="1"/>
  <c r="K1197" i="1"/>
  <c r="H855" i="1"/>
  <c r="H1588" i="1"/>
  <c r="I2519" i="1"/>
  <c r="O3016" i="1"/>
  <c r="O596" i="1"/>
  <c r="H201" i="1"/>
  <c r="H3073" i="1"/>
  <c r="J2970" i="1"/>
  <c r="U3421" i="1"/>
  <c r="I3318" i="1"/>
  <c r="K2684" i="1"/>
  <c r="K2747" i="1"/>
  <c r="K455" i="1"/>
  <c r="Q943" i="1"/>
  <c r="K2083" i="1"/>
  <c r="Q2386" i="1"/>
  <c r="K2846" i="1"/>
  <c r="P659" i="1"/>
  <c r="J1641" i="1"/>
  <c r="I3558" i="1"/>
  <c r="H1783" i="1"/>
  <c r="I573" i="1"/>
  <c r="J24" i="1"/>
  <c r="P2227" i="1"/>
  <c r="K1059" i="1"/>
  <c r="K244" i="1"/>
  <c r="J450" i="1"/>
  <c r="K3460" i="1"/>
  <c r="K3328" i="1"/>
  <c r="I870" i="1"/>
  <c r="K457" i="1"/>
  <c r="J53" i="1"/>
  <c r="Q3502" i="1"/>
  <c r="K1515" i="1"/>
  <c r="J1950" i="1"/>
  <c r="Q7" i="1"/>
  <c r="H693" i="1"/>
  <c r="K7" i="1"/>
  <c r="K2039" i="1"/>
  <c r="K1389" i="1"/>
  <c r="K1945" i="1"/>
  <c r="O397" i="1"/>
  <c r="K2281" i="1"/>
  <c r="U2524" i="1"/>
  <c r="J719" i="1"/>
  <c r="I234" i="1"/>
  <c r="K401" i="1"/>
  <c r="J487" i="1"/>
  <c r="I827" i="1"/>
  <c r="M2094" i="1"/>
  <c r="U1672" i="1"/>
  <c r="Q1142" i="1"/>
  <c r="I426" i="1"/>
  <c r="J124" i="1"/>
  <c r="I3031" i="1"/>
  <c r="K1494" i="1"/>
  <c r="Q1677" i="1"/>
  <c r="P3027" i="1"/>
  <c r="I2931" i="1"/>
  <c r="K607" i="1"/>
  <c r="U1525" i="1"/>
  <c r="J428" i="1"/>
  <c r="Q3378" i="1"/>
  <c r="J1232" i="1"/>
  <c r="Q1915" i="1"/>
  <c r="K1235" i="1"/>
  <c r="K866" i="1"/>
  <c r="K650" i="1"/>
  <c r="I2401" i="1"/>
  <c r="J3615" i="1"/>
  <c r="J698" i="1"/>
  <c r="I2384" i="1"/>
  <c r="K3484" i="1"/>
  <c r="H1128" i="1"/>
  <c r="H465" i="1"/>
  <c r="I3437" i="1"/>
  <c r="K3571" i="1"/>
  <c r="K2574" i="1"/>
  <c r="K223" i="1"/>
  <c r="I170" i="1"/>
  <c r="J539" i="1"/>
  <c r="I1663" i="1"/>
  <c r="U270" i="1"/>
  <c r="J701" i="1"/>
  <c r="H3031" i="1"/>
  <c r="H62" i="1"/>
  <c r="K2271" i="1"/>
  <c r="U3386" i="1"/>
  <c r="K3063" i="1"/>
  <c r="P2766" i="1"/>
  <c r="I3619" i="1"/>
  <c r="I1399" i="1"/>
  <c r="H3619" i="1"/>
  <c r="U1115" i="1"/>
  <c r="Q3440" i="1"/>
  <c r="U3082" i="1"/>
  <c r="J1620" i="1"/>
  <c r="I1799" i="1"/>
  <c r="K1208" i="1"/>
  <c r="H1518" i="1"/>
  <c r="J211" i="1"/>
  <c r="J1248" i="1"/>
  <c r="I3389" i="1"/>
  <c r="J3011" i="1"/>
  <c r="H604" i="1"/>
  <c r="K205" i="1"/>
  <c r="H765" i="1"/>
  <c r="I1852" i="1"/>
  <c r="I2962" i="1"/>
  <c r="H1702" i="1"/>
  <c r="J1642" i="1"/>
  <c r="I1732" i="1"/>
  <c r="I3314" i="1"/>
  <c r="U1484" i="1"/>
  <c r="U1788" i="1"/>
  <c r="J841" i="1"/>
  <c r="K2510" i="1"/>
  <c r="K1499" i="1"/>
  <c r="K3273" i="1"/>
  <c r="H3605" i="1"/>
  <c r="Q3180" i="1"/>
  <c r="P3253" i="1"/>
  <c r="I1581" i="1"/>
  <c r="I2823" i="1"/>
  <c r="K3151" i="1"/>
  <c r="I2028" i="1"/>
  <c r="I3310" i="1"/>
  <c r="K2687" i="1"/>
  <c r="I1083" i="1"/>
  <c r="I2874" i="1"/>
  <c r="K1613" i="1"/>
  <c r="K2724" i="1"/>
  <c r="H2183" i="1"/>
  <c r="J651" i="1"/>
  <c r="K632" i="1"/>
  <c r="H2091" i="1"/>
  <c r="J547" i="1"/>
  <c r="K1600" i="1"/>
  <c r="I2284" i="1"/>
  <c r="K2710" i="1"/>
  <c r="U2227" i="1"/>
  <c r="J2851" i="1"/>
  <c r="I534" i="1"/>
  <c r="K3171" i="1"/>
  <c r="K1030" i="1"/>
  <c r="U2156" i="1"/>
  <c r="P481" i="1"/>
  <c r="P689" i="1"/>
  <c r="P883" i="1"/>
  <c r="I3371" i="1"/>
  <c r="P3404" i="1"/>
  <c r="K934" i="1"/>
  <c r="K470" i="1"/>
  <c r="H1806" i="1"/>
  <c r="J193" i="1"/>
  <c r="J3099" i="1"/>
  <c r="U3523" i="1"/>
  <c r="I3417" i="1"/>
  <c r="K3587" i="1"/>
  <c r="K2427" i="1"/>
  <c r="H866" i="1"/>
  <c r="H13" i="1"/>
  <c r="I384" i="1"/>
  <c r="K320" i="1"/>
  <c r="I3145" i="1"/>
  <c r="K1898" i="1"/>
  <c r="K1435" i="1"/>
  <c r="P1622" i="1"/>
  <c r="U1437" i="1"/>
  <c r="U3412" i="1"/>
  <c r="Q2970" i="1"/>
  <c r="P2453" i="1"/>
  <c r="K3516" i="1"/>
  <c r="H3564" i="1"/>
  <c r="U3572" i="1"/>
  <c r="K910" i="1"/>
  <c r="Q2349" i="1"/>
  <c r="U2203" i="1"/>
  <c r="U244" i="1"/>
  <c r="D3349" i="1"/>
  <c r="Q546" i="1"/>
  <c r="D2567" i="1"/>
  <c r="Q1495" i="1"/>
  <c r="AT1342" i="1"/>
  <c r="K1304" i="1"/>
  <c r="U1041" i="1"/>
  <c r="U3560" i="1"/>
  <c r="Q291" i="1"/>
  <c r="Q2464" i="1"/>
  <c r="Q1009" i="1"/>
  <c r="Q2737" i="1"/>
  <c r="O2491" i="1"/>
  <c r="U1217" i="1"/>
  <c r="U2397" i="1"/>
  <c r="U2350" i="1"/>
  <c r="D1194" i="1"/>
  <c r="K709" i="1"/>
  <c r="I2512" i="1"/>
  <c r="J1589" i="1"/>
  <c r="K3471" i="1"/>
  <c r="H833" i="1"/>
  <c r="K249" i="1"/>
  <c r="Q594" i="1"/>
  <c r="K3453" i="1"/>
  <c r="J1355" i="1"/>
  <c r="I1102" i="1"/>
  <c r="U243" i="1"/>
  <c r="I781" i="1"/>
  <c r="J930" i="1"/>
  <c r="K3178" i="1"/>
  <c r="J1272" i="1"/>
  <c r="K3162" i="1"/>
  <c r="K2009" i="1"/>
  <c r="J673" i="1"/>
  <c r="I2669" i="1"/>
  <c r="J524" i="1"/>
  <c r="Q786" i="1"/>
  <c r="P2801" i="1"/>
  <c r="P972" i="1"/>
  <c r="J1024" i="1"/>
  <c r="H332" i="1"/>
  <c r="H1824" i="1"/>
  <c r="H1610" i="1"/>
  <c r="I2798" i="1"/>
  <c r="I2543" i="1"/>
  <c r="Q1222" i="1"/>
  <c r="O228" i="1"/>
  <c r="O2684" i="1"/>
  <c r="K1062" i="1"/>
  <c r="P2237" i="1"/>
  <c r="I2635" i="1"/>
  <c r="K3558" i="1"/>
  <c r="K2224" i="1"/>
  <c r="Q2624" i="1"/>
  <c r="P1166" i="1"/>
  <c r="H1482" i="1"/>
  <c r="J2614" i="1"/>
  <c r="U3558" i="1"/>
  <c r="H3195" i="1"/>
  <c r="I1652" i="1"/>
  <c r="H3594" i="1"/>
  <c r="K1688" i="1"/>
  <c r="Q2928" i="1"/>
  <c r="P334" i="1"/>
  <c r="H248" i="1"/>
  <c r="J3426" i="1"/>
  <c r="U2648" i="1"/>
  <c r="J2154" i="1"/>
  <c r="J3550" i="1"/>
  <c r="H2799" i="1"/>
  <c r="K2909" i="1"/>
  <c r="K913" i="1"/>
  <c r="J386" i="1"/>
  <c r="P168" i="1"/>
  <c r="I1613" i="1"/>
  <c r="K1896" i="1"/>
  <c r="H1185" i="1"/>
  <c r="I982" i="1"/>
  <c r="J1465" i="1"/>
  <c r="O1051" i="1"/>
  <c r="P2770" i="1"/>
  <c r="I3341" i="1"/>
  <c r="J3307" i="1"/>
  <c r="J511" i="1"/>
  <c r="K2050" i="1"/>
  <c r="H1574" i="1"/>
  <c r="K3454" i="1"/>
  <c r="K978" i="1"/>
  <c r="K1305" i="1"/>
  <c r="H889" i="1"/>
  <c r="K1757" i="1"/>
  <c r="U1919" i="1"/>
  <c r="J78" i="1"/>
  <c r="U885" i="1"/>
  <c r="U2913" i="1"/>
  <c r="J1141" i="1"/>
  <c r="K806" i="1"/>
  <c r="K1597" i="1"/>
  <c r="P392" i="1"/>
  <c r="K94" i="1"/>
  <c r="J3233" i="1"/>
  <c r="I1455" i="1"/>
  <c r="I3428" i="1"/>
  <c r="U587" i="1"/>
  <c r="H817" i="1"/>
  <c r="K165" i="1"/>
  <c r="U1327" i="1"/>
  <c r="U2980" i="1"/>
  <c r="K1616" i="1"/>
  <c r="Q2211" i="1"/>
  <c r="Q1830" i="1"/>
  <c r="U1370" i="1"/>
  <c r="J158" i="1"/>
  <c r="Q1171" i="1"/>
  <c r="K1213" i="1"/>
  <c r="J3261" i="1"/>
  <c r="Q2606" i="1"/>
  <c r="P724" i="1"/>
  <c r="J2901" i="1"/>
  <c r="H3409" i="1"/>
  <c r="J1513" i="1"/>
  <c r="J277" i="1"/>
  <c r="Q359" i="1"/>
  <c r="I2828" i="1"/>
  <c r="H3288" i="1"/>
  <c r="H1866" i="1"/>
  <c r="H1644" i="1"/>
  <c r="U120" i="1"/>
  <c r="I743" i="1"/>
  <c r="H2478" i="1"/>
  <c r="K795" i="1"/>
  <c r="H2372" i="1"/>
  <c r="Q3350" i="1"/>
  <c r="H1963" i="1"/>
  <c r="K233" i="1"/>
  <c r="J1675" i="1"/>
  <c r="U2747" i="1"/>
  <c r="H1339" i="1"/>
  <c r="Q1863" i="1"/>
  <c r="I2803" i="1"/>
  <c r="Q2028" i="1"/>
  <c r="K670" i="1"/>
  <c r="J3535" i="1"/>
  <c r="K3209" i="1"/>
  <c r="K414" i="1"/>
  <c r="K3217" i="1"/>
  <c r="I225" i="1"/>
  <c r="K1999" i="1"/>
  <c r="I18" i="1"/>
  <c r="P952" i="1"/>
  <c r="K1814" i="1"/>
  <c r="I915" i="1"/>
  <c r="K3459" i="1"/>
  <c r="J3614" i="1"/>
  <c r="K91" i="1"/>
  <c r="H854" i="1"/>
  <c r="J975" i="1"/>
  <c r="H2541" i="1"/>
  <c r="H2010" i="1"/>
  <c r="H528" i="1"/>
  <c r="I1485" i="1"/>
  <c r="H3538" i="1"/>
  <c r="J952" i="1"/>
  <c r="H1990" i="1"/>
  <c r="J3311" i="1"/>
  <c r="I2411" i="1"/>
  <c r="K1316" i="1"/>
  <c r="U83" i="1"/>
  <c r="U2221" i="1"/>
  <c r="H3023" i="1"/>
  <c r="J2401" i="1"/>
  <c r="Q2747" i="1"/>
  <c r="Q3002" i="1"/>
  <c r="K2616" i="1"/>
  <c r="K3213" i="1"/>
  <c r="K907" i="1"/>
  <c r="H3373" i="1"/>
  <c r="K1872" i="1"/>
  <c r="K3234" i="1"/>
  <c r="H508" i="1"/>
  <c r="P1863" i="1"/>
  <c r="K854" i="1"/>
  <c r="U3613" i="1"/>
  <c r="U1244" i="1"/>
  <c r="U599" i="1"/>
  <c r="K1421" i="1"/>
  <c r="H1552" i="1"/>
  <c r="K2356" i="1"/>
  <c r="K2011" i="1"/>
  <c r="K1683" i="1"/>
  <c r="J3430" i="1"/>
  <c r="H2509" i="1"/>
  <c r="P329" i="1"/>
  <c r="K1034" i="1"/>
  <c r="I1201" i="1"/>
  <c r="U1391" i="1"/>
  <c r="Q2319" i="1"/>
  <c r="P2427" i="1"/>
  <c r="K1659" i="1"/>
  <c r="I877" i="1"/>
  <c r="J2921" i="1"/>
  <c r="I2723" i="1"/>
  <c r="J2203" i="1"/>
  <c r="I1561" i="1"/>
  <c r="K982" i="1"/>
  <c r="K2318" i="1"/>
  <c r="K3040" i="1"/>
  <c r="J1616" i="1"/>
  <c r="H3164" i="1"/>
  <c r="K807" i="1"/>
  <c r="K2104" i="1"/>
  <c r="P2680" i="1"/>
  <c r="H3386" i="1"/>
  <c r="H2812" i="1"/>
  <c r="I269" i="1"/>
  <c r="J353" i="1"/>
  <c r="K1356" i="1"/>
  <c r="J3359" i="1"/>
  <c r="I1709" i="1"/>
  <c r="K3348" i="1"/>
  <c r="J1075" i="1"/>
  <c r="K505" i="1"/>
  <c r="K2327" i="1"/>
  <c r="K3031" i="1"/>
  <c r="K216" i="1"/>
  <c r="I763" i="1"/>
  <c r="Q345" i="1"/>
  <c r="U2772" i="1"/>
  <c r="U1326" i="1"/>
  <c r="I2089" i="1"/>
  <c r="I12" i="1"/>
  <c r="H1865" i="1"/>
  <c r="J236" i="1"/>
  <c r="J2804" i="1"/>
  <c r="U1287" i="1"/>
  <c r="U3128" i="1"/>
  <c r="K3160" i="1"/>
  <c r="J259" i="1"/>
  <c r="P73" i="1"/>
  <c r="O1194" i="1"/>
  <c r="I2508" i="1"/>
  <c r="K3245" i="1"/>
  <c r="I1078" i="1"/>
  <c r="H640" i="1"/>
  <c r="I266" i="1"/>
  <c r="Q1751" i="1"/>
  <c r="P1678" i="1"/>
  <c r="P1246" i="1"/>
  <c r="J42" i="1"/>
  <c r="H381" i="1"/>
  <c r="H2807" i="1"/>
  <c r="J2065" i="1"/>
  <c r="Q1281" i="1"/>
  <c r="K3096" i="1"/>
  <c r="J661" i="1"/>
  <c r="K2137" i="1"/>
  <c r="J2785" i="1"/>
  <c r="K1652" i="1"/>
  <c r="K953" i="1"/>
  <c r="I2361" i="1"/>
  <c r="P938" i="1"/>
  <c r="I1878" i="1"/>
  <c r="H1842" i="1"/>
  <c r="H2823" i="1"/>
  <c r="H2666" i="1"/>
  <c r="K3579" i="1"/>
  <c r="K2384" i="1"/>
  <c r="H2060" i="1"/>
  <c r="J3180" i="1"/>
  <c r="H2054" i="1"/>
  <c r="H390" i="1"/>
  <c r="U1660" i="1"/>
  <c r="G3152" i="1"/>
  <c r="I3328" i="1"/>
  <c r="K1660" i="1"/>
  <c r="P991" i="1"/>
  <c r="K326" i="1"/>
  <c r="O732" i="1"/>
  <c r="J445" i="1"/>
  <c r="J1838" i="1"/>
  <c r="J2607" i="1"/>
  <c r="Q1491" i="1"/>
  <c r="P2213" i="1"/>
  <c r="K1364" i="1"/>
  <c r="P97" i="1"/>
  <c r="K180" i="1"/>
  <c r="I1760" i="1"/>
  <c r="H2187" i="1"/>
  <c r="H3498" i="1"/>
  <c r="J1097" i="1"/>
  <c r="K392" i="1"/>
  <c r="K2025" i="1"/>
  <c r="Q934" i="1"/>
  <c r="K302" i="1"/>
  <c r="J1786" i="1"/>
  <c r="J920" i="1"/>
  <c r="U3345" i="1"/>
  <c r="H1802" i="1"/>
  <c r="U876" i="1"/>
  <c r="K1516" i="1"/>
  <c r="J2803" i="1"/>
  <c r="Q187" i="1"/>
  <c r="I3611" i="1"/>
  <c r="I1699" i="1"/>
  <c r="Q1071" i="1"/>
  <c r="K3352" i="1"/>
  <c r="H1274" i="1"/>
  <c r="K2658" i="1"/>
  <c r="J3139" i="1"/>
  <c r="I457" i="1"/>
  <c r="K598" i="1"/>
  <c r="K1282" i="1"/>
  <c r="J2848" i="1"/>
  <c r="Q1660" i="1"/>
  <c r="Q2787" i="1"/>
  <c r="H474" i="1"/>
  <c r="Q1781" i="1"/>
  <c r="J587" i="1"/>
  <c r="I1686" i="1"/>
  <c r="J3406" i="1"/>
  <c r="J2049" i="1"/>
  <c r="K1470" i="1"/>
  <c r="P2009" i="1"/>
  <c r="I2569" i="1"/>
  <c r="J1614" i="1"/>
  <c r="U2020" i="1"/>
  <c r="K1360" i="1"/>
  <c r="J1700" i="1"/>
  <c r="H3566" i="1"/>
  <c r="U1534" i="1"/>
  <c r="K604" i="1"/>
  <c r="U1458" i="1"/>
  <c r="I2328" i="1"/>
  <c r="Q1695" i="1"/>
  <c r="O3032" i="1"/>
  <c r="I3521" i="1"/>
  <c r="J2557" i="1"/>
  <c r="H2726" i="1"/>
  <c r="H2899" i="1"/>
  <c r="J2837" i="1"/>
  <c r="K1438" i="1"/>
  <c r="H147" i="1"/>
  <c r="K1662" i="1"/>
  <c r="I2929" i="1"/>
  <c r="I3624" i="1"/>
  <c r="J1486" i="1"/>
  <c r="U653" i="1"/>
  <c r="H392" i="1"/>
  <c r="I552" i="1"/>
  <c r="J3518" i="1"/>
  <c r="H500" i="1"/>
  <c r="H2668" i="1"/>
  <c r="I2612" i="1"/>
  <c r="J161" i="1"/>
  <c r="I3330" i="1"/>
  <c r="J1461" i="1"/>
  <c r="I969" i="1"/>
  <c r="I637" i="1"/>
  <c r="U3111" i="1"/>
  <c r="K3010" i="1"/>
  <c r="K22" i="1"/>
  <c r="J1666" i="1"/>
  <c r="J2229" i="1"/>
  <c r="J717" i="1"/>
  <c r="K2129" i="1"/>
  <c r="H813" i="1"/>
  <c r="I3275" i="1"/>
  <c r="I2094" i="1"/>
  <c r="I902" i="1"/>
  <c r="Q1351" i="1"/>
  <c r="K573" i="1"/>
  <c r="J2957" i="1"/>
  <c r="I1339" i="1"/>
  <c r="J1149" i="1"/>
  <c r="H3123" i="1"/>
  <c r="H2924" i="1"/>
  <c r="H49" i="1"/>
  <c r="H2118" i="1"/>
  <c r="O730" i="1"/>
  <c r="I483" i="1"/>
  <c r="H3503" i="1"/>
  <c r="H757" i="1"/>
  <c r="Q3166" i="1"/>
  <c r="Q1568" i="1"/>
  <c r="Q20" i="1"/>
  <c r="H2065" i="1"/>
  <c r="H999" i="1"/>
  <c r="K1684" i="1"/>
  <c r="O134" i="1"/>
  <c r="K2194" i="1"/>
  <c r="H691" i="1"/>
  <c r="I318" i="1"/>
  <c r="K2497" i="1"/>
  <c r="H2952" i="1"/>
  <c r="K231" i="1"/>
  <c r="U867" i="1"/>
  <c r="J2155" i="1"/>
  <c r="K1531" i="1"/>
  <c r="H2134" i="1"/>
  <c r="U3541" i="1"/>
  <c r="H892" i="1"/>
  <c r="J944" i="1"/>
  <c r="I310" i="1"/>
  <c r="J2685" i="1"/>
  <c r="K577" i="1"/>
  <c r="I1691" i="1"/>
  <c r="I709" i="1"/>
  <c r="H1105" i="1"/>
  <c r="H3060" i="1"/>
  <c r="J1945" i="1"/>
  <c r="J1639" i="1"/>
  <c r="H2000" i="1"/>
  <c r="K2648" i="1"/>
  <c r="J1112" i="1"/>
  <c r="Q33" i="1"/>
  <c r="H94" i="1"/>
  <c r="H2826" i="1"/>
  <c r="I1908" i="1"/>
  <c r="J2336" i="1"/>
  <c r="H820" i="1"/>
  <c r="H230" i="1"/>
  <c r="U3372" i="1"/>
  <c r="J2974" i="1"/>
  <c r="Q471" i="1"/>
  <c r="P382" i="1"/>
  <c r="H2327" i="1"/>
  <c r="I1506" i="1"/>
  <c r="P3597" i="1"/>
  <c r="P859" i="1"/>
  <c r="Q3013" i="1"/>
  <c r="Q3255" i="1"/>
  <c r="J1911" i="1"/>
  <c r="P1277" i="1"/>
  <c r="K543" i="1"/>
  <c r="H2223" i="1"/>
  <c r="H1602" i="1"/>
  <c r="P2628" i="1"/>
  <c r="K1448" i="1"/>
  <c r="I1168" i="1"/>
  <c r="H3415" i="1"/>
  <c r="Q325" i="1"/>
  <c r="Q3482" i="1"/>
  <c r="H2307" i="1"/>
  <c r="H3212" i="1"/>
  <c r="H478" i="1"/>
  <c r="J1499" i="1"/>
  <c r="H900" i="1"/>
  <c r="Q1176" i="1"/>
  <c r="G2559" i="1"/>
  <c r="K1849" i="1"/>
  <c r="H618" i="1"/>
  <c r="U3610" i="1"/>
  <c r="K1241" i="1"/>
  <c r="K1195" i="1"/>
  <c r="K3359" i="1"/>
  <c r="K1579" i="1"/>
  <c r="J2514" i="1"/>
  <c r="K312" i="1"/>
  <c r="K313" i="1"/>
  <c r="I3623" i="1"/>
  <c r="K2258" i="1"/>
  <c r="J2728" i="1"/>
  <c r="K2892" i="1"/>
  <c r="M3346" i="1"/>
  <c r="H2408" i="1"/>
  <c r="K483" i="1"/>
  <c r="K3390" i="1"/>
  <c r="U2031" i="1"/>
  <c r="U1954" i="1"/>
  <c r="K369" i="1"/>
  <c r="U2344" i="1"/>
  <c r="J3092" i="1"/>
  <c r="Q3353" i="1"/>
  <c r="I762" i="1"/>
  <c r="P2598" i="1"/>
  <c r="J1367" i="1"/>
  <c r="K3282" i="1"/>
  <c r="K2157" i="1"/>
  <c r="J1847" i="1"/>
  <c r="K718" i="1"/>
  <c r="O2158" i="1"/>
  <c r="H1571" i="1"/>
  <c r="H2580" i="1"/>
  <c r="K3423" i="1"/>
  <c r="K1391" i="1"/>
  <c r="Q115" i="1"/>
  <c r="I694" i="1"/>
  <c r="H1897" i="1"/>
  <c r="J1142" i="1"/>
  <c r="U2477" i="1"/>
  <c r="U2408" i="1"/>
  <c r="U1511" i="1"/>
  <c r="I1496" i="1"/>
  <c r="I2922" i="1"/>
  <c r="M532" i="1"/>
  <c r="J624" i="1"/>
  <c r="J1860" i="1"/>
  <c r="I1254" i="1"/>
  <c r="J482" i="1"/>
  <c r="I2190" i="1"/>
  <c r="H3299" i="1"/>
  <c r="J2620" i="1"/>
  <c r="U1709" i="1"/>
  <c r="J1849" i="1"/>
  <c r="J35" i="1"/>
  <c r="O2703" i="1"/>
  <c r="I341" i="1"/>
  <c r="I329" i="1"/>
  <c r="K977" i="1"/>
  <c r="H762" i="1"/>
  <c r="Q189" i="1"/>
  <c r="K2246" i="1"/>
  <c r="Q3509" i="1"/>
  <c r="I1239" i="1"/>
  <c r="Q1683" i="1"/>
  <c r="M1974" i="1"/>
  <c r="J2003" i="1"/>
  <c r="J1769" i="1"/>
  <c r="M3273" i="1"/>
  <c r="K2924" i="1"/>
  <c r="N3122" i="1"/>
  <c r="K1274" i="1"/>
  <c r="M1029" i="1"/>
  <c r="AT696" i="1"/>
  <c r="H539" i="1"/>
  <c r="I1906" i="1"/>
  <c r="J1955" i="1"/>
  <c r="I994" i="1"/>
  <c r="H3268" i="1"/>
  <c r="K60" i="1"/>
  <c r="K3014" i="1"/>
  <c r="O2815" i="1"/>
  <c r="I1469" i="1"/>
  <c r="J2755" i="1"/>
  <c r="H1029" i="1"/>
  <c r="J534" i="1"/>
  <c r="H3337" i="1"/>
  <c r="H916" i="1"/>
  <c r="P3123" i="1"/>
  <c r="J2218" i="1"/>
  <c r="P1701" i="1"/>
  <c r="H310" i="1"/>
  <c r="J2144" i="1"/>
  <c r="I1166" i="1"/>
  <c r="J1370" i="1"/>
  <c r="U2455" i="1"/>
  <c r="H74" i="1"/>
  <c r="U2767" i="1"/>
  <c r="P1582" i="1"/>
  <c r="K1658" i="1"/>
  <c r="J2599" i="1"/>
  <c r="I344" i="1"/>
  <c r="K2946" i="1"/>
  <c r="U3185" i="1"/>
  <c r="U454" i="1"/>
  <c r="M778" i="1"/>
  <c r="U1338" i="1"/>
  <c r="H1640" i="1"/>
  <c r="H2154" i="1"/>
  <c r="Q2340" i="1"/>
  <c r="Q2300" i="1"/>
  <c r="P3312" i="1"/>
  <c r="J2025" i="1"/>
  <c r="K1685" i="1"/>
  <c r="J1204" i="1"/>
  <c r="J734" i="1"/>
  <c r="H3303" i="1"/>
  <c r="K3341" i="1"/>
  <c r="K785" i="1"/>
  <c r="K81" i="1"/>
  <c r="J3101" i="1"/>
  <c r="Q1364" i="1"/>
  <c r="Q2360" i="1"/>
  <c r="K1134" i="1"/>
  <c r="J562" i="1"/>
  <c r="U1911" i="1"/>
  <c r="U47" i="1"/>
  <c r="H283" i="1"/>
  <c r="I940" i="1"/>
  <c r="J1722" i="1"/>
  <c r="K3468" i="1"/>
  <c r="H1377" i="1"/>
  <c r="J1200" i="1"/>
  <c r="I352" i="1"/>
  <c r="J3319" i="1"/>
  <c r="K2168" i="1"/>
  <c r="J999" i="1"/>
  <c r="I1484" i="1"/>
  <c r="I2830" i="1"/>
  <c r="J2579" i="1"/>
  <c r="I2829" i="1"/>
  <c r="P3400" i="1"/>
  <c r="I1480" i="1"/>
  <c r="K69" i="1"/>
  <c r="K1934" i="1"/>
  <c r="K710" i="1"/>
  <c r="H2079" i="1"/>
  <c r="H2540" i="1"/>
  <c r="H143" i="1"/>
  <c r="K1014" i="1"/>
  <c r="H1747" i="1"/>
  <c r="K3475" i="1"/>
  <c r="H1521" i="1"/>
  <c r="K2034" i="1"/>
  <c r="J1219" i="1"/>
  <c r="K1301" i="1"/>
  <c r="H109" i="1"/>
  <c r="H2581" i="1"/>
  <c r="J677" i="1"/>
  <c r="J2949" i="1"/>
  <c r="J2202" i="1"/>
  <c r="Q318" i="1"/>
  <c r="J2441" i="1"/>
  <c r="H2072" i="1"/>
  <c r="U89" i="1"/>
  <c r="Q629" i="1"/>
  <c r="K2577" i="1"/>
  <c r="K3235" i="1"/>
  <c r="U3573" i="1"/>
  <c r="J2354" i="1"/>
  <c r="K835" i="1"/>
  <c r="K162" i="1"/>
  <c r="I2260" i="1"/>
  <c r="I3176" i="1"/>
  <c r="H1378" i="1"/>
  <c r="H3383" i="1"/>
  <c r="P779" i="1"/>
  <c r="J1986" i="1"/>
  <c r="J986" i="1"/>
  <c r="H144" i="1"/>
  <c r="H2547" i="1"/>
  <c r="J3495" i="1"/>
  <c r="I92" i="1"/>
  <c r="H1229" i="1"/>
  <c r="J865" i="1"/>
  <c r="J343" i="1"/>
  <c r="Q2564" i="1"/>
  <c r="Q905" i="1"/>
  <c r="H1304" i="1"/>
  <c r="U219" i="1"/>
  <c r="O1657" i="1"/>
  <c r="K1721" i="1"/>
  <c r="J3469" i="1"/>
  <c r="H1647" i="1"/>
  <c r="Q985" i="1"/>
  <c r="K738" i="1"/>
  <c r="K2843" i="1"/>
  <c r="I3082" i="1"/>
  <c r="K774" i="1"/>
  <c r="H979" i="1"/>
  <c r="K99" i="1"/>
  <c r="U131" i="1"/>
  <c r="K1568" i="1"/>
  <c r="K549" i="1"/>
  <c r="H1661" i="1"/>
  <c r="U2025" i="1"/>
  <c r="U1331" i="1"/>
  <c r="Q3361" i="1"/>
  <c r="I1698" i="1"/>
  <c r="I3409" i="1"/>
  <c r="J2161" i="1"/>
  <c r="I833" i="1"/>
  <c r="P3254" i="1"/>
  <c r="U1020" i="1"/>
  <c r="O1248" i="1"/>
  <c r="Q1011" i="1"/>
  <c r="J1726" i="1"/>
  <c r="P1698" i="1"/>
  <c r="K1472" i="1"/>
  <c r="Q36" i="1"/>
  <c r="U2628" i="1"/>
  <c r="Q1944" i="1"/>
  <c r="P3621" i="1"/>
  <c r="I886" i="1"/>
  <c r="I542" i="1"/>
  <c r="I1830" i="1"/>
  <c r="H2617" i="1"/>
  <c r="U3503" i="1"/>
  <c r="J3423" i="1"/>
  <c r="H1121" i="1"/>
  <c r="H2442" i="1"/>
  <c r="U2404" i="1"/>
  <c r="M1925" i="1"/>
  <c r="K772" i="1"/>
  <c r="J2798" i="1"/>
  <c r="K1729" i="1"/>
  <c r="K144" i="1"/>
  <c r="K2502" i="1"/>
  <c r="Q1666" i="1"/>
  <c r="K943" i="1"/>
  <c r="H2108" i="1"/>
  <c r="K3413" i="1"/>
  <c r="U168" i="1"/>
  <c r="H1470" i="1"/>
  <c r="Q2828" i="1"/>
  <c r="P3510" i="1"/>
  <c r="Q1926" i="1"/>
  <c r="Q1207" i="1"/>
  <c r="H140" i="1"/>
  <c r="U225" i="1"/>
  <c r="Q2427" i="1"/>
  <c r="I750" i="1"/>
  <c r="J724" i="1"/>
  <c r="N1003" i="1"/>
  <c r="K3581" i="1"/>
  <c r="J2250" i="1"/>
  <c r="K1294" i="1"/>
  <c r="K3307" i="1"/>
  <c r="J1242" i="1"/>
  <c r="K2477" i="1"/>
  <c r="I541" i="1"/>
  <c r="K1817" i="1"/>
  <c r="I1755" i="1"/>
  <c r="K2000" i="1"/>
  <c r="H1340" i="1"/>
  <c r="I592" i="1"/>
  <c r="I2118" i="1"/>
  <c r="H1785" i="1"/>
  <c r="K2221" i="1"/>
  <c r="J974" i="1"/>
  <c r="U81" i="1"/>
  <c r="K1706" i="1"/>
  <c r="I639" i="1"/>
  <c r="K2667" i="1"/>
  <c r="K1265" i="1"/>
  <c r="J3484" i="1"/>
  <c r="K178" i="1"/>
  <c r="I1060" i="1"/>
  <c r="K818" i="1"/>
  <c r="J1203" i="1"/>
  <c r="K1202" i="1"/>
  <c r="J81" i="1"/>
  <c r="J1715" i="1"/>
  <c r="K3523" i="1"/>
  <c r="P1570" i="1"/>
  <c r="Q547" i="1"/>
  <c r="I3108" i="1"/>
  <c r="U2151" i="1"/>
  <c r="U1968" i="1"/>
  <c r="U69" i="1"/>
  <c r="H1380" i="1"/>
  <c r="H2597" i="1"/>
  <c r="J1326" i="1"/>
  <c r="J1459" i="1"/>
  <c r="K2073" i="1"/>
  <c r="I2393" i="1"/>
  <c r="O2235" i="1"/>
  <c r="M1508" i="1"/>
  <c r="H862" i="1"/>
  <c r="H1794" i="1"/>
  <c r="H2197" i="1"/>
  <c r="U510" i="1"/>
  <c r="H3574" i="1"/>
  <c r="K1190" i="1"/>
  <c r="O1716" i="1"/>
  <c r="I3" i="1"/>
  <c r="U1273" i="1"/>
  <c r="K3227" i="1"/>
  <c r="O742" i="1"/>
  <c r="J3223" i="1"/>
  <c r="I2184" i="1"/>
  <c r="H1861" i="1"/>
  <c r="I3129" i="1"/>
  <c r="I2495" i="1"/>
  <c r="H1706" i="1"/>
  <c r="U1141" i="1"/>
  <c r="N1973" i="1"/>
  <c r="U2380" i="1"/>
  <c r="D1946" i="1"/>
  <c r="P3413" i="1"/>
  <c r="D470" i="1"/>
  <c r="M3570" i="1"/>
  <c r="H914" i="1"/>
  <c r="H1218" i="1"/>
  <c r="Q3568" i="1"/>
  <c r="U214" i="1"/>
  <c r="U2929" i="1"/>
  <c r="Q3427" i="1"/>
  <c r="O500" i="1"/>
  <c r="I653" i="1"/>
  <c r="U1341" i="1"/>
  <c r="U1800" i="1"/>
  <c r="N1933" i="1"/>
  <c r="K2517" i="1"/>
  <c r="I2354" i="1"/>
  <c r="U3398" i="1"/>
  <c r="U1388" i="1"/>
  <c r="P973" i="1"/>
  <c r="J378" i="1"/>
  <c r="I738" i="1"/>
  <c r="I1299" i="1"/>
  <c r="P3384" i="1"/>
  <c r="H3021" i="1"/>
  <c r="K1146" i="1"/>
  <c r="J3381" i="1"/>
  <c r="H735" i="1"/>
  <c r="U1990" i="1"/>
  <c r="U1500" i="1"/>
  <c r="Q1950" i="1"/>
  <c r="Q2927" i="1"/>
  <c r="K2138" i="1"/>
  <c r="Q2608" i="1"/>
  <c r="I267" i="1"/>
  <c r="H383" i="1"/>
  <c r="K1603" i="1"/>
  <c r="J2768" i="1"/>
  <c r="J1810" i="1"/>
  <c r="U2234" i="1"/>
  <c r="J153" i="1"/>
  <c r="O2878" i="1"/>
  <c r="K3111" i="1"/>
  <c r="H1800" i="1"/>
  <c r="H576" i="1"/>
  <c r="Q3634" i="1"/>
  <c r="M1673" i="1"/>
  <c r="Q3069" i="1"/>
  <c r="U2043" i="1"/>
  <c r="Q526" i="1"/>
  <c r="U3540" i="1"/>
  <c r="H583" i="1"/>
  <c r="K3455" i="1"/>
  <c r="K2906" i="1"/>
  <c r="I1612" i="1"/>
  <c r="K1591" i="1"/>
  <c r="O3354" i="1"/>
  <c r="J1738" i="1"/>
  <c r="I185" i="1"/>
  <c r="I2130" i="1"/>
  <c r="U3020" i="1"/>
  <c r="O3593" i="1"/>
  <c r="J30" i="1"/>
  <c r="U1986" i="1"/>
  <c r="I2670" i="1"/>
  <c r="K1173" i="1"/>
  <c r="K2089" i="1"/>
  <c r="K696" i="1"/>
  <c r="Q3506" i="1"/>
  <c r="H275" i="1"/>
  <c r="K138" i="1"/>
  <c r="H1933" i="1"/>
  <c r="I2840" i="1"/>
  <c r="I298" i="1"/>
  <c r="I3545" i="1"/>
  <c r="U2166" i="1"/>
  <c r="M419" i="1"/>
  <c r="N2898" i="1"/>
  <c r="O1453" i="1"/>
  <c r="M2950" i="1"/>
  <c r="O3540" i="1"/>
  <c r="M2260" i="1"/>
  <c r="O1190" i="1"/>
  <c r="P2564" i="1"/>
  <c r="J2874" i="1"/>
  <c r="J2164" i="1"/>
  <c r="H1310" i="1"/>
  <c r="J1514" i="1"/>
  <c r="H1728" i="1"/>
  <c r="U160" i="1"/>
  <c r="Q709" i="1"/>
  <c r="I2209" i="1"/>
  <c r="I2290" i="1"/>
  <c r="O813" i="1"/>
  <c r="I2854" i="1"/>
  <c r="M1924" i="1"/>
  <c r="H2379" i="1"/>
  <c r="M117" i="1"/>
  <c r="I2419" i="1"/>
  <c r="H1016" i="1"/>
  <c r="U3346" i="1"/>
  <c r="D1351" i="1"/>
  <c r="K1923" i="1"/>
  <c r="D4" i="1"/>
  <c r="I3164" i="1"/>
  <c r="AT2551" i="1"/>
  <c r="I1370" i="1"/>
  <c r="J446" i="1"/>
  <c r="I857" i="1"/>
  <c r="I2902" i="1"/>
  <c r="H2342" i="1"/>
  <c r="I2619" i="1"/>
  <c r="J640" i="1"/>
  <c r="K1644" i="1"/>
  <c r="P2231" i="1"/>
  <c r="U3178" i="1"/>
  <c r="Q2561" i="1"/>
  <c r="J1022" i="1"/>
  <c r="H2039" i="1"/>
  <c r="H3276" i="1"/>
  <c r="K2770" i="1"/>
  <c r="I589" i="1"/>
  <c r="J2780" i="1"/>
  <c r="J786" i="1"/>
  <c r="U1806" i="1"/>
  <c r="I1007" i="1"/>
  <c r="U2557" i="1"/>
  <c r="I2615" i="1"/>
  <c r="J1066" i="1"/>
  <c r="K2345" i="1"/>
  <c r="H309" i="1"/>
  <c r="K1433" i="1"/>
  <c r="J2833" i="1"/>
  <c r="H1093" i="1"/>
  <c r="U125" i="1"/>
  <c r="K1428" i="1"/>
  <c r="O231" i="1"/>
  <c r="I1570" i="1"/>
  <c r="J481" i="1"/>
  <c r="Q2669" i="1"/>
  <c r="H530" i="1"/>
  <c r="K1835" i="1"/>
  <c r="U3341" i="1"/>
  <c r="J1541" i="1"/>
  <c r="H825" i="1"/>
  <c r="K61" i="1"/>
  <c r="P1337" i="1"/>
  <c r="J2864" i="1"/>
  <c r="I1288" i="1"/>
  <c r="N2463" i="1"/>
  <c r="Q675" i="1"/>
  <c r="H991" i="1"/>
  <c r="H591" i="1"/>
  <c r="U879" i="1"/>
  <c r="J523" i="1"/>
  <c r="J3117" i="1"/>
  <c r="I1861" i="1"/>
  <c r="J2123" i="1"/>
  <c r="I2681" i="1"/>
  <c r="I1754" i="1"/>
  <c r="U74" i="1"/>
  <c r="J2806" i="1"/>
  <c r="I1520" i="1"/>
  <c r="H3450" i="1"/>
  <c r="P2261" i="1"/>
  <c r="I3334" i="1"/>
  <c r="O227" i="1"/>
  <c r="I2572" i="1"/>
  <c r="I1080" i="1"/>
  <c r="H3582" i="1"/>
  <c r="I1812" i="1"/>
  <c r="P961" i="1"/>
  <c r="P3126" i="1"/>
  <c r="I1171" i="1"/>
  <c r="K602" i="1"/>
  <c r="J2221" i="1"/>
  <c r="J3173" i="1"/>
  <c r="O1091" i="1"/>
  <c r="P1542" i="1"/>
  <c r="U2854" i="1"/>
  <c r="Q1740" i="1"/>
  <c r="K2904" i="1"/>
  <c r="I514" i="1"/>
  <c r="K2807" i="1"/>
  <c r="K2028" i="1"/>
  <c r="O486" i="1"/>
  <c r="H2452" i="1"/>
  <c r="P2888" i="1"/>
  <c r="Q2475" i="1"/>
  <c r="I2919" i="1"/>
  <c r="P3297" i="1"/>
  <c r="K1902" i="1"/>
  <c r="K86" i="1"/>
  <c r="I634" i="1"/>
  <c r="K1769" i="1"/>
  <c r="I336" i="1"/>
  <c r="J1042" i="1"/>
  <c r="K1598" i="1"/>
  <c r="P705" i="1"/>
  <c r="K412" i="1"/>
  <c r="J2487" i="1"/>
  <c r="H2214" i="1"/>
  <c r="O177" i="1"/>
  <c r="J2259" i="1"/>
  <c r="H1954" i="1"/>
  <c r="D757" i="1"/>
  <c r="H2032" i="1"/>
  <c r="D1974" i="1"/>
  <c r="J3353" i="1"/>
  <c r="N3275" i="1"/>
  <c r="AT304" i="1"/>
  <c r="J1728" i="1"/>
  <c r="Q1724" i="1"/>
  <c r="J2064" i="1"/>
  <c r="J307" i="1"/>
  <c r="U2302" i="1"/>
  <c r="K1089" i="1"/>
  <c r="I493" i="1"/>
  <c r="H1821" i="1"/>
  <c r="P510" i="1"/>
  <c r="P1511" i="1"/>
  <c r="O580" i="1"/>
  <c r="K3395" i="1"/>
  <c r="I1206" i="1"/>
  <c r="K3476" i="1"/>
  <c r="H1436" i="1"/>
  <c r="K810" i="1"/>
  <c r="H2198" i="1"/>
  <c r="J1419" i="1"/>
  <c r="U1010" i="1"/>
  <c r="K1194" i="1"/>
  <c r="U3495" i="1"/>
  <c r="J3622" i="1"/>
  <c r="P681" i="1"/>
  <c r="Q1072" i="1"/>
  <c r="Q1531" i="1"/>
  <c r="K1437" i="1"/>
  <c r="Q2565" i="1"/>
  <c r="U2239" i="1"/>
  <c r="H3040" i="1"/>
  <c r="Q2756" i="1"/>
  <c r="H1131" i="1"/>
  <c r="I1074" i="1"/>
  <c r="J3356" i="1"/>
  <c r="Q3028" i="1"/>
  <c r="J1744" i="1"/>
  <c r="I923" i="1"/>
  <c r="K2143" i="1"/>
  <c r="Q1889" i="1"/>
  <c r="U1629" i="1"/>
  <c r="P3153" i="1"/>
  <c r="I506" i="1"/>
  <c r="Q2610" i="1"/>
  <c r="U3482" i="1"/>
  <c r="J1413" i="1"/>
  <c r="J995" i="1"/>
  <c r="J3097" i="1"/>
  <c r="K3169" i="1"/>
  <c r="I2754" i="1"/>
  <c r="M1480" i="1"/>
  <c r="I2654" i="1"/>
  <c r="Q1713" i="1"/>
  <c r="O2593" i="1"/>
  <c r="P1061" i="1"/>
  <c r="P2022" i="1"/>
  <c r="J2823" i="1"/>
  <c r="Q1191" i="1"/>
  <c r="J497" i="1"/>
  <c r="P3343" i="1"/>
  <c r="H1789" i="1"/>
  <c r="O2289" i="1"/>
  <c r="K715" i="1"/>
  <c r="O335" i="1"/>
  <c r="Q711" i="1"/>
  <c r="Q2118" i="1"/>
  <c r="H3359" i="1"/>
  <c r="P3122" i="1"/>
  <c r="O3272" i="1"/>
  <c r="P2552" i="1"/>
  <c r="M1163" i="1"/>
  <c r="O2321" i="1"/>
  <c r="O405" i="1"/>
  <c r="M578" i="1"/>
  <c r="I3523" i="1"/>
  <c r="J1287" i="1"/>
  <c r="I1886" i="1"/>
  <c r="I1899" i="1"/>
  <c r="H2815" i="1"/>
  <c r="O1911" i="1"/>
  <c r="J1887" i="1"/>
  <c r="Q1003" i="1"/>
  <c r="O2956" i="1"/>
  <c r="H1215" i="1"/>
  <c r="N2717" i="1"/>
  <c r="M1392" i="1"/>
  <c r="D2330" i="1"/>
  <c r="U449" i="1"/>
  <c r="AT2658" i="1"/>
  <c r="O1285" i="1"/>
  <c r="Q1750" i="1"/>
  <c r="O2862" i="1"/>
  <c r="P1987" i="1"/>
  <c r="H327" i="1"/>
  <c r="N2937" i="1"/>
  <c r="P480" i="1"/>
  <c r="N1316" i="1"/>
  <c r="P3520" i="1"/>
  <c r="D1285" i="1"/>
  <c r="Q3365" i="1"/>
  <c r="AT3545" i="1"/>
  <c r="P2157" i="1"/>
  <c r="U2420" i="1"/>
  <c r="O2594" i="1"/>
  <c r="D2665" i="1"/>
  <c r="P1578" i="1"/>
  <c r="AT2744" i="1"/>
  <c r="O1950" i="1"/>
  <c r="H2582" i="1"/>
  <c r="K3152" i="1"/>
  <c r="N2023" i="1"/>
  <c r="D2649" i="1"/>
  <c r="M2588" i="1"/>
  <c r="N2989" i="1"/>
  <c r="N3418" i="1"/>
  <c r="D1508" i="1"/>
  <c r="N552" i="1"/>
  <c r="J2912" i="1"/>
  <c r="Q1457" i="1"/>
  <c r="N3219" i="1"/>
  <c r="N3061" i="1"/>
  <c r="U2544" i="1"/>
  <c r="U2600" i="1"/>
  <c r="N1761" i="1"/>
  <c r="AT2509" i="1"/>
  <c r="Q334" i="1"/>
  <c r="N2018" i="1"/>
  <c r="D671" i="1"/>
  <c r="I435" i="1"/>
  <c r="AT110" i="1"/>
  <c r="Q3402" i="1"/>
  <c r="N584" i="1"/>
  <c r="O2323" i="1"/>
  <c r="K393" i="1"/>
  <c r="O1298" i="1"/>
  <c r="I2492" i="1"/>
  <c r="M3115" i="1"/>
  <c r="M2489" i="1"/>
  <c r="Q1418" i="1"/>
  <c r="Q70" i="1"/>
  <c r="D2701" i="1"/>
  <c r="K1946" i="1"/>
  <c r="H1300" i="1"/>
  <c r="O555" i="1"/>
  <c r="J3599" i="1"/>
  <c r="P895" i="1"/>
  <c r="O827" i="1"/>
  <c r="U461" i="1"/>
  <c r="D2799" i="1"/>
  <c r="N511" i="1"/>
  <c r="AT2534" i="1"/>
  <c r="K1653" i="1"/>
  <c r="H1548" i="1"/>
  <c r="U3450" i="1"/>
  <c r="P1456" i="1"/>
  <c r="Q1945" i="1"/>
  <c r="O1434" i="1"/>
  <c r="I2486" i="1"/>
  <c r="M2002" i="1"/>
  <c r="P1682" i="1"/>
  <c r="P911" i="1"/>
  <c r="P903" i="1"/>
  <c r="P2798" i="1"/>
  <c r="P1815" i="1"/>
  <c r="O1811" i="1"/>
  <c r="Q2644" i="1"/>
  <c r="D2938" i="1"/>
  <c r="M507" i="1"/>
  <c r="N3220" i="1"/>
  <c r="M462" i="1"/>
  <c r="D178" i="1"/>
  <c r="O2738" i="1"/>
  <c r="N2155" i="1"/>
  <c r="I2333" i="1"/>
  <c r="O2547" i="1"/>
  <c r="AT2294" i="1"/>
  <c r="D3012" i="1"/>
  <c r="AT793" i="1"/>
  <c r="D1356" i="1"/>
  <c r="D141" i="1"/>
  <c r="AT957" i="1"/>
  <c r="J402" i="1"/>
  <c r="N1311" i="1"/>
  <c r="AT1609" i="1"/>
  <c r="U3609" i="1"/>
  <c r="D2229" i="1"/>
  <c r="K3439" i="1"/>
  <c r="J2547" i="1"/>
  <c r="K983" i="1"/>
  <c r="P1986" i="1"/>
  <c r="N2190" i="1"/>
  <c r="M3150" i="1"/>
  <c r="K2767" i="1"/>
  <c r="I1208" i="1"/>
  <c r="I2365" i="1"/>
  <c r="P3058" i="1"/>
  <c r="H1499" i="1"/>
  <c r="K3139" i="1"/>
  <c r="J2515" i="1"/>
  <c r="H2969" i="1"/>
  <c r="H2804" i="1"/>
  <c r="O1111" i="1"/>
  <c r="K651" i="1"/>
  <c r="I115" i="1"/>
  <c r="I1519" i="1"/>
  <c r="H3552" i="1"/>
  <c r="J636" i="1"/>
  <c r="P2311" i="1"/>
  <c r="P2549" i="1"/>
  <c r="M3490" i="1"/>
  <c r="U487" i="1"/>
  <c r="K987" i="1"/>
  <c r="J2936" i="1"/>
  <c r="H40" i="1"/>
  <c r="H1536" i="1"/>
  <c r="O2698" i="1"/>
  <c r="H2564" i="1"/>
  <c r="I3245" i="1"/>
  <c r="U3029" i="1"/>
  <c r="U2027" i="1"/>
  <c r="J2821" i="1"/>
  <c r="Q997" i="1"/>
  <c r="H2853" i="1"/>
  <c r="AT1841" i="1"/>
  <c r="U2960" i="1"/>
  <c r="AT2868" i="1"/>
  <c r="U2829" i="1"/>
  <c r="D2247" i="1"/>
  <c r="K2085" i="1"/>
  <c r="K1166" i="1"/>
  <c r="U2471" i="1"/>
  <c r="D3059" i="1"/>
  <c r="Q2178" i="1"/>
  <c r="AT3571" i="1"/>
  <c r="Q2466" i="1"/>
  <c r="D2388" i="1"/>
  <c r="I2884" i="1"/>
  <c r="I3062" i="1"/>
  <c r="N732" i="1"/>
  <c r="P2024" i="1"/>
  <c r="M1655" i="1"/>
  <c r="Q1653" i="1"/>
  <c r="M804" i="1"/>
  <c r="O3309" i="1"/>
  <c r="O2217" i="1"/>
  <c r="I2972" i="1"/>
  <c r="O2152" i="1"/>
  <c r="P1926" i="1"/>
  <c r="P1596" i="1"/>
  <c r="O2469" i="1"/>
  <c r="M2445" i="1"/>
  <c r="M17" i="1"/>
  <c r="H2104" i="1"/>
  <c r="H896" i="1"/>
  <c r="AT1615" i="1"/>
  <c r="AT3145" i="1"/>
  <c r="U247" i="1"/>
  <c r="H3395" i="1"/>
  <c r="P3479" i="1"/>
  <c r="N2838" i="1"/>
  <c r="O343" i="1"/>
  <c r="M2247" i="1"/>
  <c r="I2344" i="1"/>
  <c r="H3399" i="1"/>
  <c r="U3620" i="1"/>
  <c r="H3628" i="1"/>
  <c r="Q3500" i="1"/>
  <c r="P2060" i="1"/>
  <c r="K176" i="1"/>
  <c r="Q73" i="1"/>
  <c r="Q2758" i="1"/>
  <c r="K3368" i="1"/>
  <c r="M3595" i="1"/>
  <c r="N283" i="1"/>
  <c r="Q3122" i="1"/>
  <c r="I6" i="1"/>
  <c r="I2875" i="1"/>
  <c r="U539" i="1"/>
  <c r="K237" i="1"/>
  <c r="P112" i="1"/>
  <c r="U2794" i="1"/>
  <c r="U1140" i="1"/>
  <c r="Q3606" i="1"/>
  <c r="Q2288" i="1"/>
  <c r="I2463" i="1"/>
  <c r="U1616" i="1"/>
  <c r="U3383" i="1"/>
  <c r="P3545" i="1"/>
  <c r="U1179" i="1"/>
  <c r="P692" i="1"/>
  <c r="Q3476" i="1"/>
  <c r="O178" i="1"/>
  <c r="Q2420" i="1"/>
  <c r="H1999" i="1"/>
  <c r="Q3110" i="1"/>
  <c r="O1834" i="1"/>
  <c r="P721" i="1"/>
  <c r="O2421" i="1"/>
  <c r="P3507" i="1"/>
  <c r="O72" i="1"/>
  <c r="I1905" i="1"/>
  <c r="J1568" i="1"/>
  <c r="N215" i="1"/>
  <c r="AT499" i="1"/>
  <c r="D2967" i="1"/>
  <c r="N766" i="1"/>
  <c r="D27" i="1"/>
  <c r="N3594" i="1"/>
  <c r="J3387" i="1"/>
  <c r="O1231" i="1"/>
  <c r="D591" i="1"/>
  <c r="AT1343" i="1"/>
  <c r="O746" i="1"/>
  <c r="O2781" i="1"/>
  <c r="H2847" i="1"/>
  <c r="O2371" i="1"/>
  <c r="Q66" i="1"/>
  <c r="D1586" i="1"/>
  <c r="J3514" i="1"/>
  <c r="J2830" i="1"/>
  <c r="J3596" i="1"/>
  <c r="U609" i="1"/>
  <c r="P3375" i="1"/>
  <c r="J2134" i="1"/>
  <c r="Q809" i="1"/>
  <c r="O2320" i="1"/>
  <c r="P2359" i="1"/>
  <c r="I2088" i="1"/>
  <c r="P801" i="1"/>
  <c r="J2986" i="1"/>
  <c r="J1124" i="1"/>
  <c r="U3070" i="1"/>
  <c r="U3205" i="1"/>
  <c r="U2461" i="1"/>
  <c r="H3470" i="1"/>
  <c r="J1418" i="1"/>
  <c r="P1810" i="1"/>
  <c r="U1621" i="1"/>
  <c r="K2998" i="1"/>
  <c r="K546" i="1"/>
  <c r="H3575" i="1"/>
  <c r="K3265" i="1"/>
  <c r="I2272" i="1"/>
  <c r="K449" i="1"/>
  <c r="H2178" i="1"/>
  <c r="K2443" i="1"/>
  <c r="K779" i="1"/>
  <c r="M553" i="1"/>
  <c r="H2517" i="1"/>
  <c r="J925" i="1"/>
  <c r="Q2376" i="1"/>
  <c r="J2353" i="1"/>
  <c r="I1375" i="1"/>
  <c r="H672" i="1"/>
  <c r="I5" i="1"/>
  <c r="H2574" i="1"/>
  <c r="P2995" i="1"/>
  <c r="I3211" i="1"/>
  <c r="K9" i="1"/>
  <c r="M2753" i="1"/>
  <c r="H2311" i="1"/>
  <c r="U2912" i="1"/>
  <c r="K2780" i="1"/>
  <c r="K1971" i="1"/>
  <c r="M41" i="1"/>
  <c r="K770" i="1"/>
  <c r="K2399" i="1"/>
  <c r="K955" i="1"/>
  <c r="I774" i="1"/>
  <c r="K2128" i="1"/>
  <c r="U2443" i="1"/>
  <c r="K3294" i="1"/>
  <c r="I682" i="1"/>
  <c r="H2009" i="1"/>
  <c r="H2757" i="1"/>
  <c r="J669" i="1"/>
  <c r="I315" i="1"/>
  <c r="K579" i="1"/>
  <c r="I1772" i="1"/>
  <c r="H2738" i="1"/>
  <c r="U2930" i="1"/>
  <c r="J2159" i="1"/>
  <c r="U205" i="1"/>
  <c r="I2603" i="1"/>
  <c r="Q2286" i="1"/>
  <c r="U3012" i="1"/>
  <c r="J858" i="1"/>
  <c r="I2651" i="1"/>
  <c r="Q2081" i="1"/>
  <c r="H2833" i="1"/>
  <c r="I3512" i="1"/>
  <c r="Q1927" i="1"/>
  <c r="J3563" i="1"/>
  <c r="Q2377" i="1"/>
  <c r="H3114" i="1"/>
  <c r="M2563" i="1"/>
  <c r="J2263" i="1"/>
  <c r="M2706" i="1"/>
  <c r="I997" i="1"/>
  <c r="N1558" i="1"/>
  <c r="M1138" i="1"/>
  <c r="I891" i="1"/>
  <c r="H3573" i="1"/>
  <c r="Q1867" i="1"/>
  <c r="P1508" i="1"/>
  <c r="Q383" i="1"/>
  <c r="O1046" i="1"/>
  <c r="O3526" i="1"/>
  <c r="D539" i="1"/>
  <c r="D3093" i="1"/>
  <c r="K2855" i="1"/>
  <c r="M3493" i="1"/>
  <c r="M216" i="1"/>
  <c r="K999" i="1"/>
  <c r="K1558" i="1"/>
  <c r="U2352" i="1"/>
  <c r="O2236" i="1"/>
  <c r="I1323" i="1"/>
  <c r="K335" i="1"/>
  <c r="J1221" i="1"/>
  <c r="I2021" i="1"/>
  <c r="H1907" i="1"/>
  <c r="I2973" i="1"/>
  <c r="J1101" i="1"/>
  <c r="U2034" i="1"/>
  <c r="K2371" i="1"/>
  <c r="K301" i="1"/>
  <c r="H2817" i="1"/>
  <c r="P1613" i="1"/>
  <c r="H710" i="1"/>
  <c r="J3025" i="1"/>
  <c r="J2749" i="1"/>
  <c r="J1532" i="1"/>
  <c r="I2623" i="1"/>
  <c r="Q1824" i="1"/>
  <c r="Q27" i="1"/>
  <c r="K2140" i="1"/>
  <c r="I2841" i="1"/>
  <c r="U1072" i="1"/>
  <c r="K3182" i="1"/>
  <c r="K2675" i="1"/>
  <c r="U3283" i="1"/>
  <c r="H2636" i="1"/>
  <c r="Q1309" i="1"/>
  <c r="U1731" i="1"/>
  <c r="Q1317" i="1"/>
  <c r="Q2544" i="1"/>
  <c r="Q3479" i="1"/>
  <c r="O80" i="1"/>
  <c r="P2449" i="1"/>
  <c r="P1113" i="1"/>
  <c r="Q3195" i="1"/>
  <c r="K1466" i="1"/>
  <c r="Q147" i="1"/>
  <c r="K3305" i="1"/>
  <c r="I2141" i="1"/>
  <c r="K461" i="1"/>
  <c r="H1653" i="1"/>
  <c r="H682" i="1"/>
  <c r="U3627" i="1"/>
  <c r="M2484" i="1"/>
  <c r="U1497" i="1"/>
  <c r="N2165" i="1"/>
  <c r="U1059" i="1"/>
  <c r="N1945" i="1"/>
  <c r="M2585" i="1"/>
  <c r="P2119" i="1"/>
  <c r="P3295" i="1"/>
  <c r="U2991" i="1"/>
  <c r="O1862" i="1"/>
  <c r="U3148" i="1"/>
  <c r="M962" i="1"/>
  <c r="Q2371" i="1"/>
  <c r="Q1953" i="1"/>
  <c r="N1074" i="1"/>
  <c r="K2914" i="1"/>
  <c r="O2382" i="1"/>
  <c r="K473" i="1"/>
  <c r="J670" i="1"/>
  <c r="H2764" i="1"/>
  <c r="K2731" i="1"/>
  <c r="I2054" i="1"/>
  <c r="K2742" i="1"/>
  <c r="J1581" i="1"/>
  <c r="U1910" i="1"/>
  <c r="I1766" i="1"/>
  <c r="K2680" i="1"/>
  <c r="J3452" i="1"/>
  <c r="M3254" i="1"/>
  <c r="H2192" i="1"/>
  <c r="P1424" i="1"/>
  <c r="P1425" i="1"/>
  <c r="AT2992" i="1"/>
  <c r="P453" i="1"/>
  <c r="M2415" i="1"/>
  <c r="J2150" i="1"/>
  <c r="K2644" i="1"/>
  <c r="K3048" i="1"/>
  <c r="H1072" i="1"/>
  <c r="I1497" i="1"/>
  <c r="P2012" i="1"/>
  <c r="H2641" i="1"/>
  <c r="K3556" i="1"/>
  <c r="J234" i="1"/>
  <c r="J1491" i="1"/>
  <c r="Q3389" i="1"/>
  <c r="J321" i="1"/>
  <c r="I1704" i="1"/>
  <c r="M3637" i="1"/>
  <c r="I3294" i="1"/>
  <c r="O3292" i="1"/>
  <c r="H1944" i="1"/>
  <c r="M446" i="1"/>
  <c r="D639" i="1"/>
  <c r="Q1240" i="1"/>
  <c r="P587" i="1"/>
  <c r="J144" i="1"/>
  <c r="J1266" i="1"/>
  <c r="U2567" i="1"/>
  <c r="I450" i="1"/>
  <c r="H2838" i="1"/>
  <c r="H2293" i="1"/>
  <c r="J1650" i="1"/>
  <c r="U3472" i="1"/>
  <c r="H846" i="1"/>
  <c r="Q3511" i="1"/>
  <c r="H2934" i="1"/>
  <c r="K1649" i="1"/>
  <c r="H3199" i="1"/>
  <c r="P2887" i="1"/>
  <c r="P2401" i="1"/>
  <c r="Q795" i="1"/>
  <c r="K2589" i="1"/>
  <c r="Q47" i="1"/>
  <c r="Q592" i="1"/>
  <c r="I94" i="1"/>
  <c r="P840" i="1"/>
  <c r="U1481" i="1"/>
  <c r="P2624" i="1"/>
  <c r="P2203" i="1"/>
  <c r="P1324" i="1"/>
  <c r="J740" i="1"/>
  <c r="K940" i="1"/>
  <c r="J3063" i="1"/>
  <c r="J3071" i="1"/>
  <c r="J506" i="1"/>
  <c r="Q1556" i="1"/>
  <c r="Q1140" i="1"/>
  <c r="H1374" i="1"/>
  <c r="J2485" i="1"/>
  <c r="J2826" i="1"/>
  <c r="J1717" i="1"/>
  <c r="J2805" i="1"/>
  <c r="K3593" i="1"/>
  <c r="K3427" i="1"/>
  <c r="Q698" i="1"/>
  <c r="K1668" i="1"/>
  <c r="I3194" i="1"/>
  <c r="K3623" i="1"/>
  <c r="K2110" i="1"/>
  <c r="K2791" i="1"/>
  <c r="I67" i="1"/>
  <c r="Q1262" i="1"/>
  <c r="J1442" i="1"/>
  <c r="P1486" i="1"/>
  <c r="K1953" i="1"/>
  <c r="P980" i="1"/>
  <c r="P2267" i="1"/>
  <c r="K3602" i="1"/>
  <c r="N3479" i="1"/>
  <c r="H1162" i="1"/>
  <c r="U353" i="1"/>
  <c r="H719" i="1"/>
  <c r="K2131" i="1"/>
  <c r="U1745" i="1"/>
  <c r="I2483" i="1"/>
  <c r="I1362" i="1"/>
  <c r="K2612" i="1"/>
  <c r="J2736" i="1"/>
  <c r="J1558" i="1"/>
  <c r="P3057" i="1"/>
  <c r="I1647" i="1"/>
  <c r="P1459" i="1"/>
  <c r="K808" i="1"/>
  <c r="O3022" i="1"/>
  <c r="U3331" i="1"/>
  <c r="U1496" i="1"/>
  <c r="K3222" i="1"/>
  <c r="D2730" i="1"/>
  <c r="J1391" i="1"/>
  <c r="I2743" i="1"/>
  <c r="O454" i="1"/>
  <c r="H2751" i="1"/>
  <c r="H3145" i="1"/>
  <c r="J2426" i="1"/>
  <c r="I3603" i="1"/>
  <c r="H3518" i="1"/>
  <c r="H2603" i="1"/>
  <c r="U2581" i="1"/>
  <c r="I2675" i="1"/>
  <c r="I2455" i="1"/>
  <c r="I1285" i="1"/>
  <c r="Q3483" i="1"/>
  <c r="H606" i="1"/>
  <c r="K426" i="1"/>
  <c r="Q2621" i="1"/>
  <c r="N1069" i="1"/>
  <c r="M1505" i="1"/>
  <c r="K2963" i="1"/>
  <c r="M733" i="1"/>
  <c r="J2718" i="1"/>
  <c r="M3147" i="1"/>
  <c r="Q1938" i="1"/>
  <c r="K901" i="1"/>
  <c r="Q2053" i="1"/>
  <c r="N1680" i="1"/>
  <c r="Q2414" i="1"/>
  <c r="N3114" i="1"/>
  <c r="M1314" i="1"/>
  <c r="AT1640" i="1"/>
  <c r="U3466" i="1"/>
  <c r="J982" i="1"/>
  <c r="M2320" i="1"/>
  <c r="K32" i="1"/>
  <c r="I3224" i="1"/>
  <c r="K68" i="1"/>
  <c r="J1755" i="1"/>
  <c r="K1583" i="1"/>
  <c r="H2579" i="1"/>
  <c r="J1117" i="1"/>
  <c r="Q2304" i="1"/>
  <c r="K1925" i="1"/>
  <c r="M254" i="1"/>
  <c r="M479" i="1"/>
  <c r="O1601" i="1"/>
  <c r="J1080" i="1"/>
  <c r="N822" i="1"/>
  <c r="Q836" i="1"/>
  <c r="D641" i="1"/>
  <c r="K3043" i="1"/>
  <c r="O731" i="1"/>
  <c r="O2994" i="1"/>
  <c r="Q205" i="1"/>
  <c r="Q32" i="1"/>
  <c r="P2331" i="1"/>
  <c r="P511" i="1"/>
  <c r="P422" i="1"/>
  <c r="M1989" i="1"/>
  <c r="O109" i="1"/>
  <c r="K3172" i="1"/>
  <c r="U195" i="1"/>
  <c r="U3235" i="1"/>
  <c r="D3271" i="1"/>
  <c r="K880" i="1"/>
  <c r="J738" i="1"/>
  <c r="K3335" i="1"/>
  <c r="K1666" i="1"/>
  <c r="U2609" i="1"/>
  <c r="J3524" i="1"/>
  <c r="Q326" i="1"/>
  <c r="P1428" i="1"/>
  <c r="K2662" i="1"/>
  <c r="I1545" i="1"/>
  <c r="U1776" i="1"/>
  <c r="I817" i="1"/>
  <c r="K2875" i="1"/>
  <c r="M2661" i="1"/>
  <c r="I1928" i="1"/>
  <c r="H1962" i="1"/>
  <c r="J1870" i="1"/>
  <c r="M402" i="1"/>
  <c r="I1684" i="1"/>
  <c r="N137" i="1"/>
  <c r="I1892" i="1"/>
  <c r="N458" i="1"/>
  <c r="H1767" i="1"/>
  <c r="H2832" i="1"/>
  <c r="I2122" i="1"/>
  <c r="AT404" i="1"/>
  <c r="H674" i="1"/>
  <c r="U2102" i="1"/>
  <c r="K946" i="1"/>
  <c r="Q78" i="1"/>
  <c r="J3187" i="1"/>
  <c r="M3484" i="1"/>
  <c r="Q3192" i="1"/>
  <c r="O1350" i="1"/>
  <c r="I1236" i="1"/>
  <c r="J2559" i="1"/>
  <c r="K1935" i="1"/>
  <c r="H252" i="1"/>
  <c r="J3572" i="1"/>
  <c r="I1256" i="1"/>
  <c r="I546" i="1"/>
  <c r="N2233" i="1"/>
  <c r="I1259" i="1"/>
  <c r="Q303" i="1"/>
  <c r="U3403" i="1"/>
  <c r="O2074" i="1"/>
  <c r="J105" i="1"/>
  <c r="O2845" i="1"/>
  <c r="Q2986" i="1"/>
  <c r="I2470" i="1"/>
  <c r="K1137" i="1"/>
  <c r="O1549" i="1"/>
  <c r="U3389" i="1"/>
  <c r="U2851" i="1"/>
  <c r="N3550" i="1"/>
  <c r="U1875" i="1"/>
  <c r="N2351" i="1"/>
  <c r="Q1018" i="1"/>
  <c r="D3583" i="1"/>
  <c r="P2190" i="1"/>
  <c r="K141" i="1"/>
  <c r="K903" i="1"/>
  <c r="U1997" i="1"/>
  <c r="H2429" i="1"/>
  <c r="H547" i="1"/>
  <c r="H3492" i="1"/>
  <c r="Q2894" i="1"/>
  <c r="D259" i="1"/>
  <c r="AT2126" i="1"/>
  <c r="U631" i="1"/>
  <c r="P1437" i="1"/>
  <c r="P3379" i="1"/>
  <c r="N480" i="1"/>
  <c r="U3033" i="1"/>
  <c r="M1709" i="1"/>
  <c r="U201" i="1"/>
  <c r="N341" i="1"/>
  <c r="P2531" i="1"/>
  <c r="AT1919" i="1"/>
  <c r="H1213" i="1"/>
  <c r="M3118" i="1"/>
  <c r="N3003" i="1"/>
  <c r="N1277" i="1"/>
  <c r="D3071" i="1"/>
  <c r="N2061" i="1"/>
  <c r="AT1496" i="1"/>
  <c r="D1263" i="1"/>
  <c r="K1109" i="1"/>
  <c r="K1609" i="1"/>
  <c r="N1856" i="1"/>
  <c r="D3601" i="1"/>
  <c r="AT333" i="1"/>
  <c r="AT3615" i="1"/>
  <c r="AT1086" i="1"/>
  <c r="AT2770" i="1"/>
  <c r="I810" i="1"/>
  <c r="I17" i="1"/>
  <c r="P3606" i="1"/>
  <c r="AT1074" i="1"/>
  <c r="O614" i="1"/>
  <c r="AT1560" i="1"/>
  <c r="O2972" i="1"/>
  <c r="H111" i="1"/>
  <c r="O2274" i="1"/>
  <c r="I1957" i="1"/>
  <c r="U1947" i="1"/>
  <c r="I2566" i="1"/>
  <c r="I930" i="1"/>
  <c r="U917" i="1"/>
  <c r="U642" i="1"/>
  <c r="J3306" i="1"/>
  <c r="U1023" i="1"/>
  <c r="U659" i="1"/>
  <c r="N98" i="1"/>
  <c r="I2940" i="1"/>
  <c r="I3577" i="1"/>
  <c r="J239" i="1"/>
  <c r="K777" i="1"/>
  <c r="J827" i="1"/>
  <c r="K1024" i="1"/>
  <c r="I444" i="1"/>
  <c r="I1669" i="1"/>
  <c r="U3525" i="1"/>
  <c r="Q1475" i="1"/>
  <c r="I3086" i="1"/>
  <c r="H1199" i="1"/>
  <c r="O1760" i="1"/>
  <c r="J2142" i="1"/>
  <c r="Q1973" i="1"/>
  <c r="I2647" i="1"/>
  <c r="M3361" i="1"/>
  <c r="N2926" i="1"/>
  <c r="I3173" i="1"/>
  <c r="Q3481" i="1"/>
  <c r="K1669" i="1"/>
  <c r="K924" i="1"/>
  <c r="K1584" i="1"/>
  <c r="K3375" i="1"/>
  <c r="K1380" i="1"/>
  <c r="M3094" i="1"/>
  <c r="K308" i="1"/>
  <c r="M2448" i="1"/>
  <c r="P1120" i="1"/>
  <c r="U818" i="1"/>
  <c r="U2124" i="1"/>
  <c r="D1301" i="1"/>
  <c r="I113" i="1"/>
  <c r="AT3188" i="1"/>
  <c r="I3612" i="1"/>
  <c r="D1786" i="1"/>
  <c r="U59" i="1"/>
  <c r="M3053" i="1"/>
  <c r="U570" i="1"/>
  <c r="K1523" i="1"/>
  <c r="I2641" i="1"/>
  <c r="I2731" i="1"/>
  <c r="Q3025" i="1"/>
  <c r="H1466" i="1"/>
  <c r="O710" i="1"/>
  <c r="H3210" i="1"/>
  <c r="I2456" i="1"/>
  <c r="O1398" i="1"/>
  <c r="J2043" i="1"/>
  <c r="O1565" i="1"/>
  <c r="K2180" i="1"/>
  <c r="M2836" i="1"/>
  <c r="H1261" i="1"/>
  <c r="K1575" i="1"/>
  <c r="U3262" i="1"/>
  <c r="O3034" i="1"/>
  <c r="H3211" i="1"/>
  <c r="H1684" i="1"/>
  <c r="O1319" i="1"/>
  <c r="N1820" i="1"/>
  <c r="H1165" i="1"/>
  <c r="Q2818" i="1"/>
  <c r="N688" i="1"/>
  <c r="P1559" i="1"/>
  <c r="J2984" i="1"/>
  <c r="U2138" i="1"/>
  <c r="J3610" i="1"/>
  <c r="J3061" i="1"/>
  <c r="J824" i="1"/>
  <c r="K3630" i="1"/>
  <c r="P3369" i="1"/>
  <c r="J2302" i="1"/>
  <c r="P2677" i="1"/>
  <c r="U1406" i="1"/>
  <c r="I3049" i="1"/>
  <c r="H2141" i="1"/>
  <c r="J3166" i="1"/>
  <c r="Q679" i="1"/>
  <c r="K1092" i="1"/>
  <c r="K1850" i="1"/>
  <c r="U761" i="1"/>
  <c r="U3069" i="1"/>
  <c r="J455" i="1"/>
  <c r="H2614" i="1"/>
  <c r="U1478" i="1"/>
  <c r="I1563" i="1"/>
  <c r="J3526" i="1"/>
  <c r="H246" i="1"/>
  <c r="U1576" i="1"/>
  <c r="O2045" i="1"/>
  <c r="J316" i="1"/>
  <c r="K2561" i="1"/>
  <c r="P1178" i="1"/>
  <c r="M1324" i="1"/>
  <c r="I513" i="1"/>
  <c r="K979" i="1"/>
  <c r="K878" i="1"/>
  <c r="H3585" i="1"/>
  <c r="I1108" i="1"/>
  <c r="J2425" i="1"/>
  <c r="O1570" i="1"/>
  <c r="I2734" i="1"/>
  <c r="K1067" i="1"/>
  <c r="H826" i="1"/>
  <c r="Q2742" i="1"/>
  <c r="J32" i="1"/>
  <c r="I527" i="1"/>
  <c r="H1596" i="1"/>
  <c r="H3639" i="1"/>
  <c r="H782" i="1"/>
  <c r="J2729" i="1"/>
  <c r="K2483" i="1"/>
  <c r="J2624" i="1"/>
  <c r="P2429" i="1"/>
  <c r="U3209" i="1"/>
  <c r="K193" i="1"/>
  <c r="I3159" i="1"/>
  <c r="J1515" i="1"/>
  <c r="H1708" i="1"/>
  <c r="K309" i="1"/>
  <c r="Q1765" i="1"/>
  <c r="J1627" i="1"/>
  <c r="Q2446" i="1"/>
  <c r="H2789" i="1"/>
  <c r="M3270" i="1"/>
  <c r="U971" i="1"/>
  <c r="M2883" i="1"/>
  <c r="J1110" i="1"/>
  <c r="K3323" i="1"/>
  <c r="J2506" i="1"/>
  <c r="I26" i="1"/>
  <c r="Q901" i="1"/>
  <c r="Q1249" i="1"/>
  <c r="H366" i="1"/>
  <c r="K570" i="1"/>
  <c r="U1504" i="1"/>
  <c r="K1058" i="1"/>
  <c r="P1462" i="1"/>
  <c r="J2528" i="1"/>
  <c r="I619" i="1"/>
  <c r="J1806" i="1"/>
  <c r="I2294" i="1"/>
  <c r="J2626" i="1"/>
  <c r="H3185" i="1"/>
  <c r="H3084" i="1"/>
  <c r="U773" i="1"/>
  <c r="I847" i="1"/>
  <c r="U2296" i="1"/>
  <c r="K111" i="1"/>
  <c r="K3418" i="1"/>
  <c r="J1712" i="1"/>
  <c r="I1403" i="1"/>
  <c r="H393" i="1"/>
  <c r="H1803" i="1"/>
  <c r="H2618" i="1"/>
  <c r="I1304" i="1"/>
  <c r="O3308" i="1"/>
  <c r="J1899" i="1"/>
  <c r="H543" i="1"/>
  <c r="I2994" i="1"/>
  <c r="H1580" i="1"/>
  <c r="I3562" i="1"/>
  <c r="H134" i="1"/>
  <c r="H410" i="1"/>
  <c r="U731" i="1"/>
  <c r="O3584" i="1"/>
  <c r="U3484" i="1"/>
  <c r="J3023" i="1"/>
  <c r="J317" i="1"/>
  <c r="I2176" i="1"/>
  <c r="U3402" i="1"/>
  <c r="U2063" i="1"/>
  <c r="Q3472" i="1"/>
  <c r="U2444" i="1"/>
  <c r="K1040" i="1"/>
  <c r="K737" i="1"/>
  <c r="I1982" i="1"/>
  <c r="I2627" i="1"/>
  <c r="H2717" i="1"/>
  <c r="P1396" i="1"/>
  <c r="J1331" i="1"/>
  <c r="Q2158" i="1"/>
  <c r="H980" i="1"/>
  <c r="K882" i="1"/>
  <c r="K101" i="1"/>
  <c r="K1777" i="1"/>
  <c r="K2378" i="1"/>
  <c r="J1783" i="1"/>
  <c r="O1309" i="1"/>
  <c r="K2801" i="1"/>
  <c r="M661" i="1"/>
  <c r="K2126" i="1"/>
  <c r="N1356" i="1"/>
  <c r="J2470" i="1"/>
  <c r="K1323" i="1"/>
  <c r="Q2150" i="1"/>
  <c r="J2505" i="1"/>
  <c r="K2370" i="1"/>
  <c r="K916" i="1"/>
  <c r="I972" i="1"/>
  <c r="Q3497" i="1"/>
  <c r="K1375" i="1"/>
  <c r="J2760" i="1"/>
  <c r="I2511" i="1"/>
  <c r="M1866" i="1"/>
  <c r="I127" i="1"/>
  <c r="M1845" i="1"/>
  <c r="U574" i="1"/>
  <c r="D195" i="1"/>
  <c r="H1058" i="1"/>
  <c r="O2973" i="1"/>
  <c r="O1342" i="1"/>
  <c r="AT317" i="1"/>
  <c r="O1272" i="1"/>
  <c r="D911" i="1"/>
  <c r="I3522" i="1"/>
  <c r="D2806" i="1"/>
  <c r="H1965" i="1"/>
  <c r="Q518" i="1"/>
  <c r="P2858" i="1"/>
  <c r="U1324" i="1"/>
  <c r="H3224" i="1"/>
  <c r="I3507" i="1"/>
  <c r="U3365" i="1"/>
  <c r="H2922" i="1"/>
  <c r="I2759" i="1"/>
  <c r="J1990" i="1"/>
  <c r="U3570" i="1"/>
  <c r="K1016" i="1"/>
  <c r="J1409" i="1"/>
  <c r="J3111" i="1"/>
  <c r="U1063" i="1"/>
  <c r="H1008" i="1"/>
  <c r="Q1111" i="1"/>
  <c r="K3426" i="1"/>
  <c r="P3340" i="1"/>
  <c r="K2566" i="1"/>
  <c r="K2885" i="1"/>
  <c r="K1203" i="1"/>
  <c r="J1753" i="1"/>
  <c r="J2773" i="1"/>
  <c r="I157" i="1"/>
  <c r="I2014" i="1"/>
  <c r="K2910" i="1"/>
  <c r="P1280" i="1"/>
  <c r="I2147" i="1"/>
  <c r="K1503" i="1"/>
  <c r="U1467" i="1"/>
  <c r="K1691" i="1"/>
  <c r="M1450" i="1"/>
  <c r="K281" i="1"/>
  <c r="I925" i="1"/>
  <c r="K117" i="1"/>
  <c r="H227" i="1"/>
  <c r="J3283" i="1"/>
  <c r="J2629" i="1"/>
  <c r="H1718" i="1"/>
  <c r="H800" i="1"/>
  <c r="Q651" i="1"/>
  <c r="I143" i="1"/>
  <c r="K1502" i="1"/>
  <c r="Q3098" i="1"/>
  <c r="U1419" i="1"/>
  <c r="K1180" i="1"/>
  <c r="O1925" i="1"/>
  <c r="U3380" i="1"/>
  <c r="P1883" i="1"/>
  <c r="N2133" i="1"/>
  <c r="P1213" i="1"/>
  <c r="J3436" i="1"/>
  <c r="K3327" i="1"/>
  <c r="H3257" i="1"/>
  <c r="M2846" i="1"/>
  <c r="K1693" i="1"/>
  <c r="K2657" i="1"/>
  <c r="P1286" i="1"/>
  <c r="K2597" i="1"/>
  <c r="P2820" i="1"/>
  <c r="K506" i="1"/>
  <c r="O2950" i="1"/>
  <c r="I2119" i="1"/>
  <c r="J2723" i="1"/>
  <c r="J2977" i="1"/>
  <c r="N2686" i="1"/>
  <c r="K1950" i="1"/>
  <c r="I2399" i="1"/>
  <c r="H3194" i="1"/>
  <c r="H550" i="1"/>
  <c r="J1512" i="1"/>
  <c r="J3230" i="1"/>
  <c r="P250" i="1"/>
  <c r="H2076" i="1"/>
  <c r="P3532" i="1"/>
  <c r="I2817" i="1"/>
  <c r="H1401" i="1"/>
  <c r="U1638" i="1"/>
  <c r="K1073" i="1"/>
  <c r="P1655" i="1"/>
  <c r="K739" i="1"/>
  <c r="AT2106" i="1"/>
  <c r="J1851" i="1"/>
  <c r="J2222" i="1"/>
  <c r="I2219" i="1"/>
  <c r="J287" i="1"/>
  <c r="K361" i="1"/>
  <c r="I84" i="1"/>
  <c r="Q100" i="1"/>
  <c r="I380" i="1"/>
  <c r="H1178" i="1"/>
  <c r="K1426" i="1"/>
  <c r="O118" i="1"/>
  <c r="K829" i="1"/>
  <c r="H382" i="1"/>
  <c r="H2520" i="1"/>
  <c r="Q2252" i="1"/>
  <c r="O1348" i="1"/>
  <c r="K849" i="1"/>
  <c r="O2211" i="1"/>
  <c r="J357" i="1"/>
  <c r="O23" i="1"/>
  <c r="J1707" i="1"/>
  <c r="P2919" i="1"/>
  <c r="O111" i="1"/>
  <c r="P1569" i="1"/>
  <c r="AT562" i="1"/>
  <c r="P2240" i="1"/>
  <c r="AT854" i="1"/>
  <c r="O1835" i="1"/>
  <c r="N2003" i="1"/>
  <c r="N1532" i="1"/>
  <c r="K1296" i="1"/>
  <c r="I1005" i="1"/>
  <c r="N2186" i="1"/>
  <c r="I163" i="1"/>
  <c r="I768" i="1"/>
  <c r="J2020" i="1"/>
  <c r="Q3305" i="1"/>
  <c r="Q2685" i="1"/>
  <c r="P3047" i="1"/>
  <c r="H1862" i="1"/>
  <c r="M2763" i="1"/>
  <c r="M2048" i="1"/>
  <c r="N133" i="1"/>
  <c r="J3130" i="1"/>
  <c r="AT748" i="1"/>
  <c r="I2065" i="1"/>
  <c r="P308" i="1"/>
  <c r="U832" i="1"/>
  <c r="O519" i="1"/>
  <c r="Q1446" i="1"/>
  <c r="P1194" i="1"/>
  <c r="U887" i="1"/>
  <c r="Q242" i="1"/>
  <c r="U2799" i="1"/>
  <c r="Q3318" i="1"/>
  <c r="U369" i="1"/>
  <c r="Q853" i="1"/>
  <c r="K74" i="1"/>
  <c r="K3508" i="1"/>
  <c r="Q367" i="1"/>
  <c r="I1180" i="1"/>
  <c r="Q2506" i="1"/>
  <c r="H2287" i="1"/>
  <c r="P1192" i="1"/>
  <c r="Q2936" i="1"/>
  <c r="J1939" i="1"/>
  <c r="I3068" i="1"/>
  <c r="O1598" i="1"/>
  <c r="Q996" i="1"/>
  <c r="K437" i="1"/>
  <c r="Q2149" i="1"/>
  <c r="J3189" i="1"/>
  <c r="O1215" i="1"/>
  <c r="K1085" i="1"/>
  <c r="J2849" i="1"/>
  <c r="O1917" i="1"/>
  <c r="M1910" i="1"/>
  <c r="M2634" i="1"/>
  <c r="U1608" i="1"/>
  <c r="M2786" i="1"/>
  <c r="N3273" i="1"/>
  <c r="P597" i="1"/>
  <c r="U3449" i="1"/>
  <c r="U3044" i="1"/>
  <c r="AT2779" i="1"/>
  <c r="AT1627" i="1"/>
  <c r="J2172" i="1"/>
  <c r="K676" i="1"/>
  <c r="J751" i="1"/>
  <c r="J2899" i="1"/>
  <c r="Q320" i="1"/>
  <c r="H3630" i="1"/>
  <c r="I3100" i="1"/>
  <c r="H1411" i="1"/>
  <c r="U317" i="1"/>
  <c r="Q989" i="1"/>
  <c r="P1205" i="1"/>
  <c r="K6" i="1"/>
  <c r="J2752" i="1"/>
  <c r="J2838" i="1"/>
  <c r="K1129" i="1"/>
  <c r="O3596" i="1"/>
  <c r="O1671" i="1"/>
  <c r="I2531" i="1"/>
  <c r="D1732" i="1"/>
  <c r="D3133" i="1"/>
  <c r="AT3590" i="1"/>
  <c r="H687" i="1"/>
  <c r="U230" i="1"/>
  <c r="O880" i="1"/>
  <c r="D3007" i="1"/>
  <c r="M2086" i="1"/>
  <c r="H1001" i="1"/>
  <c r="I2173" i="1"/>
  <c r="J1683" i="1"/>
  <c r="O3139" i="1"/>
  <c r="M1713" i="1"/>
  <c r="O1632" i="1"/>
  <c r="K3544" i="1"/>
  <c r="O2204" i="1"/>
  <c r="M1468" i="1"/>
  <c r="I2712" i="1"/>
  <c r="J322" i="1"/>
  <c r="N2849" i="1"/>
  <c r="U2801" i="1"/>
  <c r="M678" i="1"/>
  <c r="U1577" i="1"/>
  <c r="M2641" i="1"/>
  <c r="D3119" i="1"/>
  <c r="Q3056" i="1"/>
  <c r="H2493" i="1"/>
  <c r="P3484" i="1"/>
  <c r="J1796" i="1"/>
  <c r="P1913" i="1"/>
  <c r="H3519" i="1"/>
  <c r="P3132" i="1"/>
  <c r="M3509" i="1"/>
  <c r="J2832" i="1"/>
  <c r="U1989" i="1"/>
  <c r="I533" i="1"/>
  <c r="H3113" i="1"/>
  <c r="H375" i="1"/>
  <c r="N2473" i="1"/>
  <c r="U734" i="1"/>
  <c r="P2991" i="1"/>
  <c r="O1282" i="1"/>
  <c r="M2565" i="1"/>
  <c r="O1969" i="1"/>
  <c r="N2505" i="1"/>
  <c r="J1647" i="1"/>
  <c r="H1002" i="1"/>
  <c r="O1015" i="1"/>
  <c r="I2932" i="1"/>
  <c r="M1608" i="1"/>
  <c r="I599" i="1"/>
  <c r="M2608" i="1"/>
  <c r="U1472" i="1"/>
  <c r="U600" i="1"/>
  <c r="J1519" i="1"/>
  <c r="AT3607" i="1"/>
  <c r="K551" i="1"/>
  <c r="J1140" i="1"/>
  <c r="H1727" i="1"/>
  <c r="Q1006" i="1"/>
  <c r="P71" i="1"/>
  <c r="M2978" i="1"/>
  <c r="P415" i="1"/>
  <c r="J2519" i="1"/>
  <c r="J1376" i="1"/>
  <c r="U325" i="1"/>
  <c r="Q1771" i="1"/>
  <c r="O155" i="1"/>
  <c r="H365" i="1"/>
  <c r="Q381" i="1"/>
  <c r="I1559" i="1"/>
  <c r="P1430" i="1"/>
  <c r="H1646" i="1"/>
  <c r="O217" i="1"/>
  <c r="J2781" i="1"/>
  <c r="Q644" i="1"/>
  <c r="I452" i="1"/>
  <c r="Q1757" i="1"/>
  <c r="I1761" i="1"/>
  <c r="H401" i="1"/>
  <c r="J1561" i="1"/>
  <c r="J2211" i="1"/>
  <c r="H1906" i="1"/>
  <c r="J3153" i="1"/>
  <c r="H120" i="1"/>
  <c r="H523" i="1"/>
  <c r="H2058" i="1"/>
  <c r="O2682" i="1"/>
  <c r="I3560" i="1"/>
  <c r="J2132" i="1"/>
  <c r="H1021" i="1"/>
  <c r="Q2579" i="1"/>
  <c r="H2244" i="1"/>
  <c r="P3274" i="1"/>
  <c r="H1652" i="1"/>
  <c r="H2310" i="1"/>
  <c r="I3515" i="1"/>
  <c r="H1573" i="1"/>
  <c r="I3122" i="1"/>
  <c r="M2297" i="1"/>
  <c r="M1638" i="1"/>
  <c r="O354" i="1"/>
  <c r="U714" i="1"/>
  <c r="D294" i="1"/>
  <c r="U3378" i="1"/>
  <c r="J2184" i="1"/>
  <c r="K823" i="1"/>
  <c r="O1259" i="1"/>
  <c r="P1316" i="1"/>
  <c r="P1065" i="1"/>
  <c r="O208" i="1"/>
  <c r="N1307" i="1"/>
  <c r="K1742" i="1"/>
  <c r="N1461" i="1"/>
  <c r="H3018" i="1"/>
  <c r="M3057" i="1"/>
  <c r="U1721" i="1"/>
  <c r="P3328" i="1"/>
  <c r="P1731" i="1"/>
  <c r="AT738" i="1"/>
  <c r="H3451" i="1"/>
  <c r="K1576" i="1"/>
  <c r="H221" i="1"/>
  <c r="K1070" i="1"/>
  <c r="N3032" i="1"/>
  <c r="N2220" i="1"/>
  <c r="K2721" i="1"/>
  <c r="I761" i="1"/>
  <c r="H1928" i="1"/>
  <c r="Q2356" i="1"/>
  <c r="J571" i="1"/>
  <c r="P1450" i="1"/>
  <c r="M1928" i="1"/>
  <c r="M152" i="1"/>
  <c r="H3126" i="1"/>
  <c r="H2707" i="1"/>
  <c r="Q825" i="1"/>
  <c r="J2279" i="1"/>
  <c r="I3381" i="1"/>
  <c r="N2106" i="1"/>
  <c r="H3597" i="1"/>
  <c r="N2515" i="1"/>
  <c r="H1154" i="1"/>
  <c r="D1677" i="1"/>
  <c r="U2073" i="1"/>
  <c r="U1286" i="1"/>
  <c r="U479" i="1"/>
  <c r="U2188" i="1"/>
  <c r="U918" i="1"/>
  <c r="Q2426" i="1"/>
  <c r="U2364" i="1"/>
  <c r="N3292" i="1"/>
  <c r="U3488" i="1"/>
  <c r="P3392" i="1"/>
  <c r="K2367" i="1"/>
  <c r="J3490" i="1"/>
  <c r="J690" i="1"/>
  <c r="H3636" i="1"/>
  <c r="J1488" i="1"/>
  <c r="K2042" i="1"/>
  <c r="K2581" i="1"/>
  <c r="U2622" i="1"/>
  <c r="U930" i="1"/>
  <c r="N3543" i="1"/>
  <c r="M447" i="1"/>
  <c r="J745" i="1"/>
  <c r="P3432" i="1"/>
  <c r="D388" i="1"/>
  <c r="P2309" i="1"/>
  <c r="J2482" i="1"/>
  <c r="K2926" i="1"/>
  <c r="I1238" i="1"/>
  <c r="O325" i="1"/>
  <c r="J3320" i="1"/>
  <c r="I2815" i="1"/>
  <c r="K1045" i="1"/>
  <c r="K1155" i="1"/>
  <c r="J430" i="1"/>
  <c r="J1622" i="1"/>
  <c r="O1167" i="1"/>
  <c r="U3494" i="1"/>
  <c r="K1097" i="1"/>
  <c r="K1453" i="1"/>
  <c r="J1283" i="1"/>
  <c r="I1675" i="1"/>
  <c r="J843" i="1"/>
  <c r="H3638" i="1"/>
  <c r="I3464" i="1"/>
  <c r="K3345" i="1"/>
  <c r="J296" i="1"/>
  <c r="H3469" i="1"/>
  <c r="H3453" i="1"/>
  <c r="J1313" i="1"/>
  <c r="K1289" i="1"/>
  <c r="K3500" i="1"/>
  <c r="U2028" i="1"/>
  <c r="O200" i="1"/>
  <c r="Q1521" i="1"/>
  <c r="J1788" i="1"/>
  <c r="K2783" i="1"/>
  <c r="H941" i="1"/>
  <c r="H599" i="1"/>
  <c r="H994" i="1"/>
  <c r="K1121" i="1"/>
  <c r="K3436" i="1"/>
  <c r="U794" i="1"/>
  <c r="K3064" i="1"/>
  <c r="O3625" i="1"/>
  <c r="J3106" i="1"/>
  <c r="K3122" i="1"/>
  <c r="K3300" i="1"/>
  <c r="K3435" i="1"/>
  <c r="P2250" i="1"/>
  <c r="H607" i="1"/>
  <c r="K1005" i="1"/>
  <c r="I1487" i="1"/>
  <c r="K2169" i="1"/>
  <c r="J3476" i="1"/>
  <c r="K2623" i="1"/>
  <c r="K693" i="1"/>
  <c r="J1054" i="1"/>
  <c r="I282" i="1"/>
  <c r="U1762" i="1"/>
  <c r="I2396" i="1"/>
  <c r="J2932" i="1"/>
  <c r="K431" i="1"/>
  <c r="O2270" i="1"/>
  <c r="O1385" i="1"/>
  <c r="H400" i="1"/>
  <c r="H760" i="1"/>
  <c r="I2768" i="1"/>
  <c r="U2771" i="1"/>
  <c r="H1440" i="1"/>
  <c r="Q726" i="1"/>
  <c r="H2613" i="1"/>
  <c r="P2865" i="1"/>
  <c r="Q1448" i="1"/>
  <c r="P520" i="1"/>
  <c r="K2533" i="1"/>
  <c r="I1294" i="1"/>
  <c r="O2009" i="1"/>
  <c r="H3431" i="1"/>
  <c r="H2705" i="1"/>
  <c r="U1114" i="1"/>
  <c r="Q3416" i="1"/>
  <c r="Q1874" i="1"/>
  <c r="N2594" i="1"/>
  <c r="M249" i="1"/>
  <c r="M567" i="1"/>
  <c r="M2085" i="1"/>
  <c r="N3131" i="1"/>
  <c r="I1956" i="1"/>
  <c r="I296" i="1"/>
  <c r="U620" i="1"/>
  <c r="Q3289" i="1"/>
  <c r="Q1599" i="1"/>
  <c r="Q2012" i="1"/>
  <c r="Q341" i="1"/>
  <c r="O2356" i="1"/>
  <c r="J1288" i="1"/>
  <c r="I2407" i="1"/>
  <c r="H2251" i="1"/>
  <c r="M3006" i="1"/>
  <c r="Q3049" i="1"/>
  <c r="K742" i="1"/>
  <c r="I120" i="1"/>
  <c r="K112" i="1"/>
  <c r="H3086" i="1"/>
  <c r="K819" i="1"/>
  <c r="U188" i="1"/>
  <c r="U1677" i="1"/>
  <c r="U829" i="1"/>
  <c r="U2966" i="1"/>
  <c r="U2809" i="1"/>
  <c r="I1153" i="1"/>
  <c r="P1724" i="1"/>
  <c r="U485" i="1"/>
  <c r="I1537" i="1"/>
  <c r="H955" i="1"/>
  <c r="AT1736" i="1"/>
  <c r="U1557" i="1"/>
  <c r="J2166" i="1"/>
  <c r="U2484" i="1"/>
  <c r="K2007" i="1"/>
  <c r="J1422" i="1"/>
  <c r="H3524" i="1"/>
  <c r="K3568" i="1"/>
  <c r="H136" i="1"/>
  <c r="H2735" i="1"/>
  <c r="K756" i="1"/>
  <c r="H3622" i="1"/>
  <c r="M1768" i="1"/>
  <c r="I2903" i="1"/>
  <c r="H1836" i="1"/>
  <c r="Q2840" i="1"/>
  <c r="H603" i="1"/>
  <c r="Q188" i="1"/>
  <c r="U3306" i="1"/>
  <c r="I2598" i="1"/>
  <c r="Q3612" i="1"/>
  <c r="I253" i="1"/>
  <c r="O2885" i="1"/>
  <c r="J2273" i="1"/>
  <c r="M1506" i="1"/>
  <c r="Q2540" i="1"/>
  <c r="K2308" i="1"/>
  <c r="H605" i="1"/>
  <c r="K2976" i="1"/>
  <c r="J1841" i="1"/>
  <c r="U3428" i="1"/>
  <c r="U758" i="1"/>
  <c r="I1445" i="1"/>
  <c r="Q1224" i="1"/>
  <c r="I3236" i="1"/>
  <c r="Q67" i="1"/>
  <c r="J2990" i="1"/>
  <c r="I141" i="1"/>
  <c r="I207" i="1"/>
  <c r="O545" i="1"/>
  <c r="H3391" i="1"/>
  <c r="O146" i="1"/>
  <c r="U679" i="1"/>
  <c r="M3628" i="1"/>
  <c r="I537" i="1"/>
  <c r="J2238" i="1"/>
  <c r="H624" i="1"/>
  <c r="J140" i="1"/>
  <c r="U1026" i="1"/>
  <c r="J3414" i="1"/>
  <c r="O1404" i="1"/>
  <c r="U272" i="1"/>
  <c r="U613" i="1"/>
  <c r="I2394" i="1"/>
  <c r="H2238" i="1"/>
  <c r="U498" i="1"/>
  <c r="K3194" i="1"/>
  <c r="U328" i="1"/>
  <c r="I2783" i="1"/>
  <c r="U2343" i="1"/>
  <c r="I2437" i="1"/>
  <c r="H2472" i="1"/>
  <c r="I3313" i="1"/>
  <c r="I1954" i="1"/>
  <c r="I1832" i="1"/>
  <c r="K2733" i="1"/>
  <c r="J1565" i="1"/>
  <c r="K511" i="1"/>
  <c r="H2103" i="1"/>
  <c r="J453" i="1"/>
  <c r="H1762" i="1"/>
  <c r="J2198" i="1"/>
  <c r="I2591" i="1"/>
  <c r="U1182" i="1"/>
  <c r="K289" i="1"/>
  <c r="H1665" i="1"/>
  <c r="I3115" i="1"/>
  <c r="P1124" i="1"/>
  <c r="U2256" i="1"/>
  <c r="J169" i="1"/>
  <c r="H2508" i="1"/>
  <c r="I2037" i="1"/>
  <c r="H3309" i="1"/>
  <c r="U172" i="1"/>
  <c r="U15" i="1"/>
  <c r="Q2964" i="1"/>
  <c r="P2113" i="1"/>
  <c r="K1142" i="1"/>
  <c r="H2320" i="1"/>
  <c r="Q1835" i="1"/>
  <c r="I640" i="1"/>
  <c r="U2620" i="1"/>
  <c r="J2228" i="1"/>
  <c r="H1410" i="1"/>
  <c r="K3472" i="1"/>
  <c r="N1887" i="1"/>
  <c r="J1301" i="1"/>
  <c r="N303" i="1"/>
  <c r="H1032" i="1"/>
  <c r="D3358" i="1"/>
  <c r="O277" i="1"/>
  <c r="O3241" i="1"/>
  <c r="I100" i="1"/>
  <c r="AT1966" i="1"/>
  <c r="H87" i="1"/>
  <c r="AT3193" i="1"/>
  <c r="Q1453" i="1"/>
  <c r="Q181" i="1"/>
  <c r="H1959" i="1"/>
  <c r="U2139" i="1"/>
  <c r="H1078" i="1"/>
  <c r="Q2056" i="1"/>
  <c r="U318" i="1"/>
  <c r="I2286" i="1"/>
  <c r="H648" i="1"/>
  <c r="K1182" i="1"/>
  <c r="H2858" i="1"/>
  <c r="J1702" i="1"/>
  <c r="M2208" i="1"/>
  <c r="H2217" i="1"/>
  <c r="K1671" i="1"/>
  <c r="I2521" i="1"/>
  <c r="O1768" i="1"/>
  <c r="J1959" i="1"/>
  <c r="U2171" i="1"/>
  <c r="K1588" i="1"/>
  <c r="K2167" i="1"/>
  <c r="J750" i="1"/>
  <c r="K1804" i="1"/>
  <c r="U2540" i="1"/>
  <c r="K109" i="1"/>
  <c r="J574" i="1"/>
  <c r="H505" i="1"/>
  <c r="J2280" i="1"/>
  <c r="J2084" i="1"/>
  <c r="K1770" i="1"/>
  <c r="H2855" i="1"/>
  <c r="U2036" i="1"/>
  <c r="U75" i="1"/>
  <c r="J3240" i="1"/>
  <c r="H1775" i="1"/>
  <c r="I2347" i="1"/>
  <c r="I3054" i="1"/>
  <c r="U586" i="1"/>
  <c r="U3576" i="1"/>
  <c r="Q3060" i="1"/>
  <c r="U3581" i="1"/>
  <c r="P1886" i="1"/>
  <c r="P775" i="1"/>
  <c r="U913" i="1"/>
  <c r="H2338" i="1"/>
  <c r="U78" i="1"/>
  <c r="U240" i="1"/>
  <c r="U445" i="1"/>
  <c r="J2946" i="1"/>
  <c r="I3053" i="1"/>
  <c r="Q681" i="1"/>
  <c r="H14" i="1"/>
  <c r="H553" i="1"/>
  <c r="U2720" i="1"/>
  <c r="K3286" i="1"/>
  <c r="H527" i="1"/>
  <c r="I2563" i="1"/>
  <c r="K1237" i="1"/>
  <c r="M3051" i="1"/>
  <c r="Q758" i="1"/>
  <c r="H1284" i="1"/>
  <c r="H293" i="1"/>
  <c r="J1325" i="1"/>
  <c r="I2977" i="1"/>
  <c r="J2260" i="1"/>
  <c r="J2204" i="1"/>
  <c r="H1137" i="1"/>
  <c r="O704" i="1"/>
  <c r="H3270" i="1"/>
  <c r="M26" i="1"/>
  <c r="Q732" i="1"/>
  <c r="P1745" i="1"/>
  <c r="K2527" i="1"/>
  <c r="O461" i="1"/>
  <c r="Q2480" i="1"/>
  <c r="M2128" i="1"/>
  <c r="K1867" i="1"/>
  <c r="M2780" i="1"/>
  <c r="U3160" i="1"/>
  <c r="K1639" i="1"/>
  <c r="K1654" i="1"/>
  <c r="M3353" i="1"/>
  <c r="Q1264" i="1"/>
  <c r="M2578" i="1"/>
  <c r="J2430" i="1"/>
  <c r="N1462" i="1"/>
  <c r="U857" i="1"/>
  <c r="I1064" i="1"/>
  <c r="H2324" i="1"/>
  <c r="I3179" i="1"/>
  <c r="Q3517" i="1"/>
  <c r="H703" i="1"/>
  <c r="O337" i="1"/>
  <c r="H2920" i="1"/>
  <c r="O1735" i="1"/>
  <c r="P80" i="1"/>
  <c r="P2557" i="1"/>
  <c r="N2340" i="1"/>
  <c r="N95" i="1"/>
  <c r="N3434" i="1"/>
  <c r="U2266" i="1"/>
  <c r="AT2740" i="1"/>
  <c r="D2892" i="1"/>
  <c r="N1501" i="1"/>
  <c r="D1330" i="1"/>
  <c r="I3311" i="1"/>
  <c r="AT1722" i="1"/>
  <c r="AT198" i="1"/>
  <c r="U3268" i="1"/>
  <c r="U2939" i="1"/>
  <c r="K3414" i="1"/>
  <c r="U1228" i="1"/>
  <c r="K148" i="1"/>
  <c r="P749" i="1"/>
  <c r="J2140" i="1"/>
  <c r="K454" i="1"/>
  <c r="H2034" i="1"/>
  <c r="I2800" i="1"/>
  <c r="J1332" i="1"/>
  <c r="H3531" i="1"/>
  <c r="H1386" i="1"/>
  <c r="J2677" i="1"/>
  <c r="N3245" i="1"/>
  <c r="O2718" i="1"/>
  <c r="I3222" i="1"/>
  <c r="H2111" i="1"/>
  <c r="I2252" i="1"/>
  <c r="I1400" i="1"/>
  <c r="J3269" i="1"/>
  <c r="U1013" i="1"/>
  <c r="U584" i="1"/>
  <c r="M3154" i="1"/>
  <c r="K2547" i="1"/>
  <c r="D1904" i="1"/>
  <c r="M2235" i="1"/>
  <c r="I2860" i="1"/>
  <c r="I221" i="1"/>
  <c r="D1670" i="1"/>
  <c r="P1157" i="1"/>
  <c r="D2941" i="1"/>
  <c r="O3381" i="1"/>
  <c r="D1687" i="1"/>
  <c r="M1326" i="1"/>
  <c r="I1518" i="1"/>
  <c r="I539" i="1"/>
  <c r="D1765" i="1"/>
  <c r="N3497" i="1"/>
  <c r="D1876" i="1"/>
  <c r="D2777" i="1"/>
  <c r="D1122" i="1"/>
  <c r="K1760" i="1"/>
  <c r="P1036" i="1"/>
  <c r="H1953" i="1"/>
  <c r="P2406" i="1"/>
  <c r="Q1618" i="1"/>
  <c r="P155" i="1"/>
  <c r="P313" i="1"/>
  <c r="P1529" i="1"/>
  <c r="O271" i="1"/>
  <c r="M2356" i="1"/>
  <c r="M2161" i="1"/>
  <c r="I238" i="1"/>
  <c r="N103" i="1"/>
  <c r="N3331" i="1"/>
  <c r="D2073" i="1"/>
  <c r="I1857" i="1"/>
  <c r="Q1218" i="1"/>
  <c r="N3410" i="1"/>
  <c r="M892" i="1"/>
  <c r="O401" i="1"/>
  <c r="AT1506" i="1"/>
  <c r="H1568" i="1"/>
  <c r="U471" i="1"/>
  <c r="U2666" i="1"/>
  <c r="Q3465" i="1"/>
  <c r="K1524" i="1"/>
  <c r="P2149" i="1"/>
  <c r="Q714" i="1"/>
  <c r="J3439" i="1"/>
  <c r="I2322" i="1"/>
  <c r="K1164" i="1"/>
  <c r="H1357" i="1"/>
  <c r="I2051" i="1"/>
  <c r="I645" i="1"/>
  <c r="K530" i="1"/>
  <c r="Q3561" i="1"/>
  <c r="AT34" i="1"/>
  <c r="AT3071" i="1"/>
  <c r="M1535" i="1"/>
  <c r="P2247" i="1"/>
  <c r="O2524" i="1"/>
  <c r="D1653" i="1"/>
  <c r="Q1174" i="1"/>
  <c r="D3468" i="1"/>
  <c r="Q3284" i="1"/>
  <c r="P2490" i="1"/>
  <c r="Q2760" i="1"/>
  <c r="O2724" i="1"/>
  <c r="P2620" i="1"/>
  <c r="P2211" i="1"/>
  <c r="Q3227" i="1"/>
  <c r="Q253" i="1"/>
  <c r="P3441" i="1"/>
  <c r="Q2551" i="1"/>
  <c r="Q1165" i="1"/>
  <c r="P2064" i="1"/>
  <c r="K2639" i="1"/>
  <c r="K2937" i="1"/>
  <c r="P2996" i="1"/>
  <c r="I2968" i="1"/>
  <c r="O633" i="1"/>
  <c r="H341" i="1"/>
  <c r="P996" i="1"/>
  <c r="N2851" i="1"/>
  <c r="J1336" i="1"/>
  <c r="H2467" i="1"/>
  <c r="K1548" i="1"/>
  <c r="Q2471" i="1"/>
  <c r="J1944" i="1"/>
  <c r="P2823" i="1"/>
  <c r="I3235" i="1"/>
  <c r="I1387" i="1"/>
  <c r="P1995" i="1"/>
  <c r="I1649" i="1"/>
  <c r="M759" i="1"/>
  <c r="P1954" i="1"/>
  <c r="P959" i="1"/>
  <c r="M1042" i="1"/>
  <c r="N3327" i="1"/>
  <c r="AT1066" i="1"/>
  <c r="K678" i="1"/>
  <c r="I2444" i="1"/>
  <c r="H1364" i="1"/>
  <c r="Q1202" i="1"/>
  <c r="Q2963" i="1"/>
  <c r="U3219" i="1"/>
  <c r="J1751" i="1"/>
  <c r="Q817" i="1"/>
  <c r="J1609" i="1"/>
  <c r="K2029" i="1"/>
  <c r="K3106" i="1"/>
  <c r="J411" i="1"/>
  <c r="K3412" i="1"/>
  <c r="J2196" i="1"/>
  <c r="J2021" i="1"/>
  <c r="I2237" i="1"/>
  <c r="I197" i="1"/>
  <c r="I793" i="1"/>
  <c r="J3613" i="1"/>
  <c r="H2708" i="1"/>
  <c r="U2782" i="1"/>
  <c r="J1182" i="1"/>
  <c r="H264" i="1"/>
  <c r="J2516" i="1"/>
  <c r="J748" i="1"/>
  <c r="U1281" i="1"/>
  <c r="J2633" i="1"/>
  <c r="I420" i="1"/>
  <c r="Q3295" i="1"/>
  <c r="M2570" i="1"/>
  <c r="O257" i="1"/>
  <c r="H595" i="1"/>
  <c r="I2048" i="1"/>
  <c r="J3403" i="1"/>
  <c r="O691" i="1"/>
  <c r="M2760" i="1"/>
  <c r="P3136" i="1"/>
  <c r="K1248" i="1"/>
  <c r="P2218" i="1"/>
  <c r="M3318" i="1"/>
  <c r="I892" i="1"/>
  <c r="I2438" i="1"/>
  <c r="O1624" i="1"/>
  <c r="U326" i="1"/>
  <c r="O165" i="1"/>
  <c r="Q538" i="1"/>
  <c r="O430" i="1"/>
  <c r="N2454" i="1"/>
  <c r="Q539" i="1"/>
  <c r="H2881" i="1"/>
  <c r="D842" i="1"/>
  <c r="K3255" i="1"/>
  <c r="D570" i="1"/>
  <c r="K496" i="1"/>
  <c r="N184" i="1"/>
  <c r="J695" i="1"/>
  <c r="J771" i="1"/>
  <c r="O473" i="1"/>
  <c r="U2798" i="1"/>
  <c r="U1473" i="1"/>
  <c r="U220" i="1"/>
  <c r="I795" i="1"/>
  <c r="Q1712" i="1"/>
  <c r="D2722" i="1"/>
  <c r="P1850" i="1"/>
  <c r="H3207" i="1"/>
  <c r="Q3372" i="1"/>
  <c r="H1941" i="1"/>
  <c r="M2164" i="1"/>
  <c r="K1899" i="1"/>
  <c r="K3321" i="1"/>
  <c r="H2523" i="1"/>
  <c r="I178" i="1"/>
  <c r="J3335" i="1"/>
  <c r="K2252" i="1"/>
  <c r="H876" i="1"/>
  <c r="J2268" i="1"/>
  <c r="K107" i="1"/>
  <c r="U2115" i="1"/>
  <c r="U607" i="1"/>
  <c r="Q2002" i="1"/>
  <c r="J1880" i="1"/>
  <c r="I3030" i="1"/>
  <c r="I1752" i="1"/>
  <c r="K383" i="1"/>
  <c r="K3360" i="1"/>
  <c r="I2158" i="1"/>
  <c r="H2296" i="1"/>
  <c r="K374" i="1"/>
  <c r="U2019" i="1"/>
  <c r="K1006" i="1"/>
  <c r="U633" i="1"/>
  <c r="H1037" i="1"/>
  <c r="J1485" i="1"/>
  <c r="H643" i="1"/>
  <c r="H2500" i="1"/>
  <c r="I2370" i="1"/>
  <c r="H2281" i="1"/>
  <c r="U1569" i="1"/>
  <c r="H3427" i="1"/>
  <c r="H510" i="1"/>
  <c r="Q1204" i="1"/>
  <c r="K1964" i="1"/>
  <c r="I1942" i="1"/>
  <c r="H3077" i="1"/>
  <c r="O3510" i="1"/>
  <c r="J2792" i="1"/>
  <c r="J1544" i="1"/>
  <c r="I2241" i="1"/>
  <c r="I1054" i="1"/>
  <c r="H1791" i="1"/>
  <c r="O669" i="1"/>
  <c r="I106" i="1"/>
  <c r="K3578" i="1"/>
  <c r="J564" i="1"/>
  <c r="J2584" i="1"/>
  <c r="Q2676" i="1"/>
  <c r="H376" i="1"/>
  <c r="H2291" i="1"/>
  <c r="P1208" i="1"/>
  <c r="K2265" i="1"/>
  <c r="K296" i="1"/>
  <c r="I3345" i="1"/>
  <c r="I437" i="1"/>
  <c r="H2219" i="1"/>
  <c r="P500" i="1"/>
  <c r="N3373" i="1"/>
  <c r="P2581" i="1"/>
  <c r="M30" i="1"/>
  <c r="P2127" i="1"/>
  <c r="M3016" i="1"/>
  <c r="P2315" i="1"/>
  <c r="H517" i="1"/>
  <c r="D1143" i="1"/>
  <c r="J1905" i="1"/>
  <c r="P2070" i="1"/>
  <c r="H3213" i="1"/>
  <c r="H2999" i="1"/>
  <c r="U3431" i="1"/>
  <c r="Q3572" i="1"/>
  <c r="J1098" i="1"/>
  <c r="I3101" i="1"/>
  <c r="I2866" i="1"/>
  <c r="M1793" i="1"/>
  <c r="H240" i="1"/>
  <c r="M2550" i="1"/>
  <c r="U2901" i="1"/>
  <c r="M3216" i="1"/>
  <c r="P670" i="1"/>
  <c r="H420" i="1"/>
  <c r="K945" i="1"/>
  <c r="D1418" i="1"/>
  <c r="K66" i="1"/>
  <c r="D550" i="1"/>
  <c r="H1317" i="1"/>
  <c r="AT287" i="1"/>
  <c r="I3291" i="1"/>
  <c r="I1742" i="1"/>
  <c r="H2831" i="1"/>
  <c r="H1108" i="1"/>
  <c r="J1359" i="1"/>
  <c r="O1358" i="1"/>
  <c r="I2928" i="1"/>
  <c r="K2919" i="1"/>
  <c r="I1425" i="1"/>
  <c r="Q923" i="1"/>
  <c r="J1611" i="1"/>
  <c r="I2820" i="1"/>
  <c r="H1263" i="1"/>
  <c r="K1773" i="1"/>
  <c r="O66" i="1"/>
  <c r="P1902" i="1"/>
  <c r="H3001" i="1"/>
  <c r="U3080" i="1"/>
  <c r="U2307" i="1"/>
  <c r="U1465" i="1"/>
  <c r="U3001" i="1"/>
  <c r="J1007" i="1"/>
  <c r="K1032" i="1"/>
  <c r="J1836" i="1"/>
  <c r="I2819" i="1"/>
  <c r="J2628" i="1"/>
  <c r="P1284" i="1"/>
  <c r="H168" i="1"/>
  <c r="K1622" i="1"/>
  <c r="U2923" i="1"/>
  <c r="O1206" i="1"/>
  <c r="I3237" i="1"/>
  <c r="J512" i="1"/>
  <c r="K792" i="1"/>
  <c r="J516" i="1"/>
  <c r="J56" i="1"/>
  <c r="K3263" i="1"/>
  <c r="J3119" i="1"/>
  <c r="K29" i="1"/>
  <c r="J1699" i="1"/>
  <c r="K2093" i="1"/>
  <c r="K1815" i="1"/>
  <c r="J971" i="1"/>
  <c r="N901" i="1"/>
  <c r="U2749" i="1"/>
  <c r="U3357" i="1"/>
  <c r="H482" i="1"/>
  <c r="K963" i="1"/>
  <c r="H3089" i="1"/>
  <c r="J3415" i="1"/>
  <c r="J529" i="1"/>
  <c r="K348" i="1"/>
  <c r="I3420" i="1"/>
  <c r="J326" i="1"/>
  <c r="J814" i="1"/>
  <c r="I2389" i="1"/>
  <c r="H2931" i="1"/>
  <c r="J2188" i="1"/>
  <c r="I710" i="1"/>
  <c r="I2505" i="1"/>
  <c r="I1181" i="1"/>
  <c r="I990" i="1"/>
  <c r="I1753" i="1"/>
  <c r="H1142" i="1"/>
  <c r="U2890" i="1"/>
  <c r="I257" i="1"/>
  <c r="J3275" i="1"/>
  <c r="H1368" i="1"/>
  <c r="J705" i="1"/>
  <c r="J1720" i="1"/>
  <c r="J3580" i="1"/>
  <c r="I2812" i="1"/>
  <c r="H3294" i="1"/>
  <c r="Q2658" i="1"/>
  <c r="P117" i="1"/>
  <c r="K3586" i="1"/>
  <c r="H1871" i="1"/>
  <c r="J334" i="1"/>
  <c r="J1688" i="1"/>
  <c r="I1162" i="1"/>
  <c r="U592" i="1"/>
  <c r="P2821" i="1"/>
  <c r="I391" i="1"/>
  <c r="P2909" i="1"/>
  <c r="J3537" i="1"/>
  <c r="K3303" i="1"/>
  <c r="K3208" i="1"/>
  <c r="J3477" i="1"/>
  <c r="H2919" i="1"/>
  <c r="I783" i="1"/>
  <c r="I2960" i="1"/>
  <c r="Q1430" i="1"/>
  <c r="H2365" i="1"/>
  <c r="K2387" i="1"/>
  <c r="I2253" i="1"/>
  <c r="I1258" i="1"/>
  <c r="I3450" i="1"/>
  <c r="I2809" i="1"/>
  <c r="H721" i="1"/>
  <c r="D2323" i="1"/>
  <c r="H256" i="1"/>
  <c r="N1773" i="1"/>
  <c r="I678" i="1"/>
  <c r="K2729" i="1"/>
  <c r="H2567" i="1"/>
  <c r="U2005" i="1"/>
  <c r="J861" i="1"/>
  <c r="J1469" i="1"/>
  <c r="P175" i="1"/>
  <c r="K1932" i="1"/>
  <c r="I798" i="1"/>
  <c r="Q3153" i="1"/>
  <c r="U3037" i="1"/>
  <c r="P3393" i="1"/>
  <c r="K3531" i="1"/>
  <c r="P2898" i="1"/>
  <c r="K1692" i="1"/>
  <c r="K556" i="1"/>
  <c r="K811" i="1"/>
  <c r="K2174" i="1"/>
  <c r="K387" i="1"/>
  <c r="K2891" i="1"/>
  <c r="K2108" i="1"/>
  <c r="K1972" i="1"/>
  <c r="K1151" i="1"/>
  <c r="K1868" i="1"/>
  <c r="J2492" i="1"/>
  <c r="K1834" i="1"/>
  <c r="J1153" i="1"/>
  <c r="J2725" i="1"/>
  <c r="J3122" i="1"/>
  <c r="K3496" i="1"/>
  <c r="J3296" i="1"/>
  <c r="U649" i="1"/>
  <c r="H1038" i="1"/>
  <c r="U1367" i="1"/>
  <c r="H1512" i="1"/>
  <c r="I2607" i="1"/>
  <c r="J1082" i="1"/>
  <c r="K1327" i="1"/>
  <c r="U3622" i="1"/>
  <c r="U1656" i="1"/>
  <c r="I1098" i="1"/>
  <c r="J3244" i="1"/>
  <c r="J2538" i="1"/>
  <c r="K3270" i="1"/>
  <c r="U3030" i="1"/>
  <c r="J1105" i="1"/>
  <c r="I96" i="1"/>
  <c r="J2284" i="1"/>
  <c r="J1958" i="1"/>
  <c r="J2890" i="1"/>
  <c r="P1162" i="1"/>
  <c r="I2672" i="1"/>
  <c r="I2306" i="1"/>
  <c r="Q2829" i="1"/>
  <c r="K1865" i="1"/>
  <c r="Q323" i="1"/>
  <c r="P1561" i="1"/>
  <c r="Q179" i="1"/>
  <c r="Q2462" i="1"/>
  <c r="P3542" i="1"/>
  <c r="H2697" i="1"/>
  <c r="O92" i="1"/>
  <c r="H161" i="1"/>
  <c r="O3318" i="1"/>
  <c r="U2181" i="1"/>
  <c r="P950" i="1"/>
  <c r="H2977" i="1"/>
  <c r="K403" i="1"/>
  <c r="P1517" i="1"/>
  <c r="I399" i="1"/>
  <c r="O2598" i="1"/>
  <c r="U2586" i="1"/>
  <c r="O673" i="1"/>
  <c r="Q1762" i="1"/>
  <c r="U715" i="1"/>
  <c r="H2431" i="1"/>
  <c r="I1533" i="1"/>
  <c r="U2501" i="1"/>
  <c r="J1708" i="1"/>
  <c r="I2955" i="1"/>
  <c r="H127" i="1"/>
  <c r="N2414" i="1"/>
  <c r="I3138" i="1"/>
  <c r="D1389" i="1"/>
  <c r="H3328" i="1"/>
  <c r="H1880" i="1"/>
  <c r="J177" i="1"/>
  <c r="P3196" i="1"/>
  <c r="J2764" i="1"/>
  <c r="I1977" i="1"/>
  <c r="U1366" i="1"/>
  <c r="O2832" i="1"/>
  <c r="P2214" i="1"/>
  <c r="Q2746" i="1"/>
  <c r="N1130" i="1"/>
  <c r="J77" i="1"/>
  <c r="Q990" i="1"/>
  <c r="Q583" i="1"/>
  <c r="P1072" i="1"/>
  <c r="I2586" i="1"/>
  <c r="P3518" i="1"/>
  <c r="O487" i="1"/>
  <c r="U1330" i="1"/>
  <c r="P2455" i="1"/>
  <c r="P2709" i="1"/>
  <c r="P2851" i="1"/>
  <c r="O1275" i="1"/>
  <c r="J2332" i="1"/>
  <c r="P394" i="1"/>
  <c r="Q1201" i="1"/>
  <c r="M285" i="1"/>
  <c r="N2521" i="1"/>
  <c r="D2822" i="1"/>
  <c r="P1755" i="1"/>
  <c r="D3421" i="1"/>
  <c r="P1594" i="1"/>
  <c r="N793" i="1"/>
  <c r="Q1064" i="1"/>
  <c r="O869" i="1"/>
  <c r="O3407" i="1"/>
  <c r="M2951" i="1"/>
  <c r="Q3256" i="1"/>
  <c r="Q3589" i="1"/>
  <c r="N1637" i="1"/>
  <c r="N3521" i="1"/>
  <c r="P1603" i="1"/>
  <c r="D3430" i="1"/>
  <c r="M338" i="1"/>
  <c r="AT2006" i="1"/>
  <c r="D1567" i="1"/>
  <c r="AT733" i="1"/>
  <c r="N1466" i="1"/>
  <c r="O521" i="1"/>
  <c r="K1352" i="1"/>
  <c r="O2678" i="1"/>
  <c r="H1935" i="1"/>
  <c r="O3003" i="1"/>
  <c r="K2102" i="1"/>
  <c r="H2639" i="1"/>
  <c r="Q3223" i="1"/>
  <c r="D3327" i="1"/>
  <c r="P389" i="1"/>
  <c r="J273" i="1"/>
  <c r="P2285" i="1"/>
  <c r="I3511" i="1"/>
  <c r="N1167" i="1"/>
  <c r="I2489" i="1"/>
  <c r="U1058" i="1"/>
  <c r="I2058" i="1"/>
  <c r="I2246" i="1"/>
  <c r="J891" i="1"/>
  <c r="H3430" i="1"/>
  <c r="U2717" i="1"/>
  <c r="U3545" i="1"/>
  <c r="P2753" i="1"/>
  <c r="U2179" i="1"/>
  <c r="P2681" i="1"/>
  <c r="M3374" i="1"/>
  <c r="N2332" i="1"/>
  <c r="D3339" i="1"/>
  <c r="P1499" i="1"/>
  <c r="P2687" i="1"/>
  <c r="P1516" i="1"/>
  <c r="O655" i="1"/>
  <c r="O3304" i="1"/>
  <c r="U3200" i="1"/>
  <c r="AT397" i="1"/>
  <c r="D1132" i="1"/>
  <c r="P196" i="1"/>
  <c r="N119" i="1"/>
  <c r="O2540" i="1"/>
  <c r="D172" i="1"/>
  <c r="M1148" i="1"/>
  <c r="N3623" i="1"/>
  <c r="P2886" i="1"/>
  <c r="N2776" i="1"/>
  <c r="AT3095" i="1"/>
  <c r="P3363" i="1"/>
  <c r="AT1792" i="1"/>
  <c r="P3200" i="1"/>
  <c r="D2240" i="1"/>
  <c r="H2647" i="1"/>
  <c r="M1683" i="1"/>
  <c r="N2579" i="1"/>
  <c r="I2234" i="1"/>
  <c r="AT856" i="1"/>
  <c r="AT63" i="1"/>
  <c r="N2425" i="1"/>
  <c r="I2413" i="1"/>
  <c r="K3287" i="1"/>
  <c r="M51" i="1"/>
  <c r="M3084" i="1"/>
  <c r="O1227" i="1"/>
  <c r="K2159" i="1"/>
  <c r="Q2301" i="1"/>
  <c r="Q3328" i="1"/>
  <c r="P2815" i="1"/>
  <c r="P544" i="1"/>
  <c r="H2253" i="1"/>
  <c r="I1106" i="1"/>
  <c r="Q355" i="1"/>
  <c r="Q3424" i="1"/>
  <c r="H3472" i="1"/>
  <c r="J662" i="1"/>
  <c r="K1061" i="1"/>
  <c r="J2643" i="1"/>
  <c r="H2409" i="1"/>
  <c r="I1967" i="1"/>
  <c r="O1029" i="1"/>
  <c r="K769" i="1"/>
  <c r="K3015" i="1"/>
  <c r="U2665" i="1"/>
  <c r="Q933" i="1"/>
  <c r="Q3409" i="1"/>
  <c r="I1121" i="1"/>
  <c r="U3626" i="1"/>
  <c r="Q2721" i="1"/>
  <c r="I117" i="1"/>
  <c r="H3393" i="1"/>
  <c r="U762" i="1"/>
  <c r="P1170" i="1"/>
  <c r="P3388" i="1"/>
  <c r="K2766" i="1"/>
  <c r="U612" i="1"/>
  <c r="H2210" i="1"/>
  <c r="U463" i="1"/>
  <c r="U3359" i="1"/>
  <c r="Q3566" i="1"/>
  <c r="O1940" i="1"/>
  <c r="K1930" i="1"/>
  <c r="K2288" i="1"/>
  <c r="Q2801" i="1"/>
  <c r="Q622" i="1"/>
  <c r="Q1371" i="1"/>
  <c r="O570" i="1"/>
  <c r="Q710" i="1"/>
  <c r="M1841" i="1"/>
  <c r="J347" i="1"/>
  <c r="J138" i="1"/>
  <c r="M2910" i="1"/>
  <c r="D359" i="1"/>
  <c r="M3240" i="1"/>
  <c r="AT977" i="1"/>
  <c r="M3255" i="1"/>
  <c r="I1334" i="1"/>
  <c r="I2412" i="1"/>
  <c r="I3003" i="1"/>
  <c r="P981" i="1"/>
  <c r="O3346" i="1"/>
  <c r="P1446" i="1"/>
  <c r="N500" i="1"/>
  <c r="O3221" i="1"/>
  <c r="AT3528" i="1"/>
  <c r="I2309" i="1"/>
  <c r="K1474" i="1"/>
  <c r="AT2434" i="1"/>
  <c r="U694" i="1"/>
  <c r="Q1557" i="1"/>
  <c r="P2990" i="1"/>
  <c r="N192" i="1"/>
  <c r="K1874" i="1"/>
  <c r="N1738" i="1"/>
  <c r="K291" i="1"/>
  <c r="I2332" i="1"/>
  <c r="J1501" i="1"/>
  <c r="I1821" i="1"/>
  <c r="K1922" i="1"/>
  <c r="P2902" i="1"/>
  <c r="J2339" i="1"/>
  <c r="H1088" i="1"/>
  <c r="H437" i="1"/>
  <c r="H2535" i="1"/>
  <c r="H532" i="1"/>
  <c r="U1390" i="1"/>
  <c r="U897" i="1"/>
  <c r="K2828" i="1"/>
  <c r="K3447" i="1"/>
  <c r="K1553" i="1"/>
  <c r="I524" i="1"/>
  <c r="K3626" i="1"/>
  <c r="K648" i="1"/>
  <c r="H1649" i="1"/>
  <c r="U3238" i="1"/>
  <c r="Q833" i="1"/>
  <c r="N2788" i="1"/>
  <c r="H3318" i="1"/>
  <c r="Q1118" i="1"/>
  <c r="U2959" i="1"/>
  <c r="D2107" i="1"/>
  <c r="Q940" i="1"/>
  <c r="I1195" i="1"/>
  <c r="Q1629" i="1"/>
  <c r="M1486" i="1"/>
  <c r="H2024" i="1"/>
  <c r="U2232" i="1"/>
  <c r="P1107" i="1"/>
  <c r="AT1336" i="1"/>
  <c r="P814" i="1"/>
  <c r="U3009" i="1"/>
  <c r="O3053" i="1"/>
  <c r="K1645" i="1"/>
  <c r="K2718" i="1"/>
  <c r="I264" i="1"/>
  <c r="N1484" i="1"/>
  <c r="J2648" i="1"/>
  <c r="D308" i="1"/>
  <c r="J728" i="1"/>
  <c r="D1051" i="1"/>
  <c r="I1573" i="1"/>
  <c r="O1361" i="1"/>
  <c r="O2782" i="1"/>
  <c r="AT862" i="1"/>
  <c r="M808" i="1"/>
  <c r="O2429" i="1"/>
  <c r="H2513" i="1"/>
  <c r="U1325" i="1"/>
  <c r="AT941" i="1"/>
  <c r="D1941" i="1"/>
  <c r="H466" i="1"/>
  <c r="K2211" i="1"/>
  <c r="K2287" i="1"/>
  <c r="K997" i="1"/>
  <c r="U1967" i="1"/>
  <c r="Q680" i="1"/>
  <c r="K400" i="1"/>
  <c r="J1840" i="1"/>
  <c r="P362" i="1"/>
  <c r="H758" i="1"/>
  <c r="U3335" i="1"/>
  <c r="J2776" i="1"/>
  <c r="J1484" i="1"/>
  <c r="U1282" i="1"/>
  <c r="K1253" i="1"/>
  <c r="O3631" i="1"/>
  <c r="J1277" i="1"/>
  <c r="U1537" i="1"/>
  <c r="I3360" i="1"/>
  <c r="Q952" i="1"/>
  <c r="I2947" i="1"/>
  <c r="H858" i="1"/>
  <c r="J3082" i="1"/>
  <c r="J1492" i="1"/>
  <c r="I1217" i="1"/>
  <c r="P406" i="1"/>
  <c r="U2813" i="1"/>
  <c r="Q2509" i="1"/>
  <c r="P2611" i="1"/>
  <c r="Q1499" i="1"/>
  <c r="M84" i="1"/>
  <c r="U3059" i="1"/>
  <c r="P3143" i="1"/>
  <c r="I1501" i="1"/>
  <c r="J2122" i="1"/>
  <c r="U3000" i="1"/>
  <c r="H2991" i="1"/>
  <c r="I2618" i="1"/>
  <c r="O1798" i="1"/>
  <c r="I1733" i="1"/>
  <c r="H333" i="1"/>
  <c r="K908" i="1"/>
  <c r="I395" i="1"/>
  <c r="U746" i="1"/>
  <c r="I2404" i="1"/>
  <c r="H2654" i="1"/>
  <c r="H1903" i="1"/>
  <c r="H1347" i="1"/>
  <c r="J2115" i="1"/>
  <c r="K13" i="1"/>
  <c r="K2854" i="1"/>
  <c r="J912" i="1"/>
  <c r="K1629" i="1"/>
  <c r="P153" i="1"/>
  <c r="J2661" i="1"/>
  <c r="H4" i="1"/>
  <c r="O956" i="1"/>
  <c r="J1086" i="1"/>
  <c r="P3309" i="1"/>
  <c r="U2935" i="1"/>
  <c r="O2091" i="1"/>
  <c r="N3608" i="1"/>
  <c r="M139" i="1"/>
  <c r="M824" i="1"/>
  <c r="D2201" i="1"/>
  <c r="M1325" i="1"/>
  <c r="K3241" i="1"/>
  <c r="I2507" i="1"/>
  <c r="U582" i="1"/>
  <c r="J3024" i="1"/>
  <c r="P5" i="1"/>
  <c r="H2714" i="1"/>
  <c r="Q1818" i="1"/>
  <c r="Q2282" i="1"/>
  <c r="U2074" i="1"/>
  <c r="J2880" i="1"/>
  <c r="O1678" i="1"/>
  <c r="K3380" i="1"/>
  <c r="P522" i="1"/>
  <c r="J897" i="1"/>
  <c r="H3289" i="1"/>
  <c r="H3406" i="1"/>
  <c r="I2436" i="1"/>
  <c r="H1502" i="1"/>
  <c r="U2982" i="1"/>
  <c r="M3242" i="1"/>
  <c r="U824" i="1"/>
  <c r="K2177" i="1"/>
  <c r="U512" i="1"/>
  <c r="H2109" i="1"/>
  <c r="P1932" i="1"/>
  <c r="J3601" i="1"/>
  <c r="Q3324" i="1"/>
  <c r="P1498" i="1"/>
  <c r="P1579" i="1"/>
  <c r="I1099" i="1"/>
  <c r="K417" i="1"/>
  <c r="H3266" i="1"/>
  <c r="Q3138" i="1"/>
  <c r="I1286" i="1"/>
  <c r="H2777" i="1"/>
  <c r="K179" i="1"/>
  <c r="U2066" i="1"/>
  <c r="H2742" i="1"/>
  <c r="U547" i="1"/>
  <c r="J1150" i="1"/>
  <c r="O2285" i="1"/>
  <c r="K589" i="1"/>
  <c r="Q793" i="1"/>
  <c r="Q3469" i="1"/>
  <c r="O2708" i="1"/>
  <c r="K1317" i="1"/>
  <c r="J3581" i="1"/>
  <c r="K2953" i="1"/>
  <c r="K1469" i="1"/>
  <c r="I3490" i="1"/>
  <c r="H1572" i="1"/>
  <c r="K3633" i="1"/>
  <c r="Q1894" i="1"/>
  <c r="J1071" i="1"/>
  <c r="K3280" i="1"/>
  <c r="J1144" i="1"/>
  <c r="P588" i="1"/>
  <c r="K2550" i="1"/>
  <c r="J425" i="1"/>
  <c r="K211" i="1"/>
  <c r="O795" i="1"/>
  <c r="J361" i="1"/>
  <c r="M854" i="1"/>
  <c r="J2934" i="1"/>
  <c r="N3397" i="1"/>
  <c r="U854" i="1"/>
  <c r="Q3403" i="1"/>
  <c r="K1507" i="1"/>
  <c r="U144" i="1"/>
  <c r="U3330" i="1"/>
  <c r="K2364" i="1"/>
  <c r="Q2707" i="1"/>
  <c r="Q3084" i="1"/>
  <c r="H3101" i="1"/>
  <c r="I2662" i="1"/>
  <c r="M635" i="1"/>
  <c r="I2995" i="1"/>
  <c r="M2105" i="1"/>
  <c r="U716" i="1"/>
  <c r="D3029" i="1"/>
  <c r="J2693" i="1"/>
  <c r="U506" i="1"/>
  <c r="P427" i="1"/>
  <c r="AT727" i="1"/>
  <c r="O2146" i="1"/>
  <c r="AT112" i="1"/>
  <c r="I3300" i="1"/>
  <c r="AT2216" i="1"/>
  <c r="Q656" i="1"/>
  <c r="Q1190" i="1"/>
  <c r="P2790" i="1"/>
  <c r="U2760" i="1"/>
  <c r="P3139" i="1"/>
  <c r="Q2113" i="1"/>
  <c r="I1429" i="1"/>
  <c r="K2930" i="1"/>
  <c r="J1226" i="1"/>
  <c r="J2721" i="1"/>
  <c r="U2110" i="1"/>
  <c r="K2528" i="1"/>
  <c r="K2040" i="1"/>
  <c r="O643" i="1"/>
  <c r="J413" i="1"/>
  <c r="I2160" i="1"/>
  <c r="I1643" i="1"/>
  <c r="U3531" i="1"/>
  <c r="P2666" i="1"/>
  <c r="N2350" i="1"/>
  <c r="P2147" i="1"/>
  <c r="K2476" i="1"/>
  <c r="J3234" i="1"/>
  <c r="J3257" i="1"/>
  <c r="J3326" i="1"/>
  <c r="K1635" i="1"/>
  <c r="H2044" i="1"/>
  <c r="K673" i="1"/>
  <c r="P884" i="1"/>
  <c r="H192" i="1"/>
  <c r="U148" i="1"/>
  <c r="J3315" i="1"/>
  <c r="I3555" i="1"/>
  <c r="Q1982" i="1"/>
  <c r="H2256" i="1"/>
  <c r="H1148" i="1"/>
  <c r="U2361" i="1"/>
  <c r="K3130" i="1"/>
  <c r="J1100" i="1"/>
  <c r="I3146" i="1"/>
  <c r="P1737" i="1"/>
  <c r="I249" i="1"/>
  <c r="P3541" i="1"/>
  <c r="U1507" i="1"/>
  <c r="N416" i="1"/>
  <c r="H2234" i="1"/>
  <c r="K2103" i="1"/>
  <c r="U2354" i="1"/>
  <c r="Q3447" i="1"/>
  <c r="P1756" i="1"/>
  <c r="P696" i="1"/>
  <c r="J2428" i="1"/>
  <c r="P1688" i="1"/>
  <c r="J2252" i="1"/>
  <c r="K3022" i="1"/>
  <c r="U1131" i="1"/>
  <c r="K3401" i="1"/>
  <c r="K1258" i="1"/>
  <c r="K324" i="1"/>
  <c r="O1825" i="1"/>
  <c r="J3538" i="1"/>
  <c r="O3543" i="1"/>
  <c r="J3191" i="1"/>
  <c r="M1044" i="1"/>
  <c r="I2781" i="1"/>
  <c r="J801" i="1"/>
  <c r="K486" i="1"/>
  <c r="M1344" i="1"/>
  <c r="I1961" i="1"/>
  <c r="J1844" i="1"/>
  <c r="U2698" i="1"/>
  <c r="J305" i="1"/>
  <c r="P149" i="1"/>
  <c r="I3419" i="1"/>
  <c r="H1527" i="1"/>
  <c r="H2143" i="1"/>
  <c r="K1272" i="1"/>
  <c r="H596" i="1"/>
  <c r="K912" i="1"/>
  <c r="J2335" i="1"/>
  <c r="J1524" i="1"/>
  <c r="H2027" i="1"/>
  <c r="J647" i="1"/>
  <c r="D2729" i="1"/>
  <c r="I690" i="1"/>
  <c r="M2930" i="1"/>
  <c r="H1601" i="1"/>
  <c r="K2818" i="1"/>
  <c r="K2279" i="1"/>
  <c r="Q1545" i="1"/>
  <c r="P3159" i="1"/>
  <c r="H828" i="1"/>
  <c r="M2864" i="1"/>
  <c r="U161" i="1"/>
  <c r="M20" i="1"/>
  <c r="I1205" i="1"/>
  <c r="Q2711" i="1"/>
  <c r="Q983" i="1"/>
  <c r="P957" i="1"/>
  <c r="H10" i="1"/>
  <c r="O3285" i="1"/>
  <c r="U911" i="1"/>
  <c r="O1600" i="1"/>
  <c r="M1203" i="1"/>
  <c r="O524" i="1"/>
  <c r="Q2380" i="1"/>
  <c r="P2508" i="1"/>
  <c r="AT1974" i="1"/>
  <c r="P2271" i="1"/>
  <c r="AT1196" i="1"/>
  <c r="O978" i="1"/>
  <c r="N2072" i="1"/>
  <c r="H1326" i="1"/>
  <c r="Q3221" i="1"/>
  <c r="J2731" i="1"/>
  <c r="M1961" i="1"/>
  <c r="K1858" i="1"/>
  <c r="J2694" i="1"/>
  <c r="J896" i="1"/>
  <c r="I949" i="1"/>
  <c r="Q2131" i="1"/>
  <c r="I2784" i="1"/>
  <c r="U881" i="1"/>
  <c r="H878" i="1"/>
  <c r="U966" i="1"/>
  <c r="J2907" i="1"/>
  <c r="P2462" i="1"/>
  <c r="I856" i="1"/>
  <c r="P791" i="1"/>
  <c r="I1009" i="1"/>
  <c r="O1082" i="1"/>
  <c r="Q1814" i="1"/>
  <c r="Q3442" i="1"/>
  <c r="P150" i="1"/>
  <c r="Q1121" i="1"/>
  <c r="P678" i="1"/>
  <c r="U2788" i="1"/>
  <c r="O353" i="1"/>
  <c r="U541" i="1"/>
  <c r="M2171" i="1"/>
  <c r="O1943" i="1"/>
  <c r="K405" i="1"/>
  <c r="M1445" i="1"/>
  <c r="M3244" i="1"/>
  <c r="Q3017" i="1"/>
  <c r="M2793" i="1"/>
  <c r="Q1386" i="1"/>
  <c r="N2881" i="1"/>
  <c r="N2550" i="1"/>
  <c r="I790" i="1"/>
  <c r="N423" i="1"/>
  <c r="O2751" i="1"/>
  <c r="P2189" i="1"/>
  <c r="P106" i="1"/>
  <c r="K3148" i="1"/>
  <c r="P367" i="1"/>
  <c r="P671" i="1"/>
  <c r="AT636" i="1"/>
  <c r="U1253" i="1"/>
  <c r="M2934" i="1"/>
  <c r="M2666" i="1"/>
  <c r="O675" i="1"/>
  <c r="M27" i="1"/>
  <c r="N1537" i="1"/>
  <c r="N2802" i="1"/>
  <c r="H1699" i="1"/>
  <c r="I2790" i="1"/>
  <c r="U2268" i="1"/>
  <c r="AT1688" i="1"/>
  <c r="U3530" i="1"/>
  <c r="N3267" i="1"/>
  <c r="J678" i="1"/>
  <c r="K2704" i="1"/>
  <c r="I2537" i="1"/>
  <c r="H1259" i="1"/>
  <c r="U285" i="1"/>
  <c r="U3225" i="1"/>
  <c r="H679" i="1"/>
  <c r="Q158" i="1"/>
  <c r="N1613" i="1"/>
  <c r="K2381" i="1"/>
  <c r="Q2590" i="1"/>
  <c r="J3368" i="1"/>
  <c r="H233" i="1"/>
  <c r="J3028" i="1"/>
  <c r="H2974" i="1"/>
  <c r="H2856" i="1"/>
  <c r="H1950" i="1"/>
  <c r="H2195" i="1"/>
  <c r="I233" i="1"/>
  <c r="Q1393" i="1"/>
  <c r="U2135" i="1"/>
  <c r="U1780" i="1"/>
  <c r="O757" i="1"/>
  <c r="U1347" i="1"/>
  <c r="O327" i="1"/>
  <c r="N774" i="1"/>
  <c r="H3545" i="1"/>
  <c r="Q3231" i="1"/>
  <c r="M813" i="1"/>
  <c r="M3448" i="1"/>
  <c r="O2226" i="1"/>
  <c r="O2515" i="1"/>
  <c r="N1972" i="1"/>
  <c r="N2565" i="1"/>
  <c r="I3227" i="1"/>
  <c r="M1040" i="1"/>
  <c r="N187" i="1"/>
  <c r="N2917" i="1"/>
  <c r="M2579" i="1"/>
  <c r="M1416" i="1"/>
  <c r="M2066" i="1"/>
  <c r="N2053" i="1"/>
  <c r="P1718" i="1"/>
  <c r="M1913" i="1"/>
  <c r="Q2316" i="1"/>
  <c r="P2844" i="1"/>
  <c r="O2508" i="1"/>
  <c r="P2651" i="1"/>
  <c r="K2860" i="1"/>
  <c r="J862" i="1"/>
  <c r="AT2105" i="1"/>
  <c r="Q908" i="1"/>
  <c r="H2768" i="1"/>
  <c r="H2181" i="1"/>
  <c r="U3462" i="1"/>
  <c r="H2440" i="1"/>
  <c r="Q653" i="1"/>
  <c r="Q1727" i="1"/>
  <c r="N507" i="1"/>
  <c r="D1756" i="1"/>
  <c r="O3255" i="1"/>
  <c r="N2038" i="1"/>
  <c r="I2899" i="1"/>
  <c r="O2240" i="1"/>
  <c r="I166" i="1"/>
  <c r="O3077" i="1"/>
  <c r="J3018" i="1"/>
  <c r="N2868" i="1"/>
  <c r="U973" i="1"/>
  <c r="U2347" i="1"/>
  <c r="K423" i="1"/>
  <c r="D787" i="1"/>
  <c r="J94" i="1"/>
  <c r="I1338" i="1"/>
  <c r="K202" i="1"/>
  <c r="I3126" i="1"/>
  <c r="Q284" i="1"/>
  <c r="P2014" i="1"/>
  <c r="O719" i="1"/>
  <c r="M3478" i="1"/>
  <c r="M775" i="1"/>
  <c r="I1897" i="1"/>
  <c r="U1055" i="1"/>
  <c r="Q239" i="1"/>
  <c r="I3184" i="1"/>
  <c r="U562" i="1"/>
  <c r="U1355" i="1"/>
  <c r="I873" i="1"/>
  <c r="I1464" i="1"/>
  <c r="U2205" i="1"/>
  <c r="J793" i="1"/>
  <c r="Q2991" i="1"/>
  <c r="J811" i="1"/>
  <c r="Q3448" i="1"/>
  <c r="J884" i="1"/>
  <c r="Q779" i="1"/>
  <c r="P2794" i="1"/>
  <c r="H155" i="1"/>
  <c r="U1220" i="1"/>
  <c r="P1241" i="1"/>
  <c r="H3632" i="1"/>
  <c r="O1923" i="1"/>
  <c r="H3239" i="1"/>
  <c r="P1700" i="1"/>
  <c r="P3044" i="1"/>
  <c r="K2534" i="1"/>
  <c r="J3338" i="1"/>
  <c r="P2035" i="1"/>
  <c r="H1737" i="1"/>
  <c r="O1376" i="1"/>
  <c r="H3355" i="1"/>
  <c r="K3351" i="1"/>
  <c r="J3369" i="1"/>
  <c r="I3210" i="1"/>
  <c r="P970" i="1"/>
  <c r="H135" i="1"/>
  <c r="M1736" i="1"/>
  <c r="M2554" i="1"/>
  <c r="U3273" i="1"/>
  <c r="U671" i="1"/>
  <c r="D198" i="1"/>
  <c r="J1053" i="1"/>
  <c r="I1458" i="1"/>
  <c r="J2011" i="1"/>
  <c r="O2196" i="1"/>
  <c r="P1469" i="1"/>
  <c r="P2541" i="1"/>
  <c r="M3536" i="1"/>
  <c r="O2456" i="1"/>
  <c r="N787" i="1"/>
  <c r="I2111" i="1"/>
  <c r="N1341" i="1"/>
  <c r="O2454" i="1"/>
  <c r="I3225" i="1"/>
  <c r="P2354" i="1"/>
  <c r="AT618" i="1"/>
  <c r="K752" i="1"/>
  <c r="Q1065" i="1"/>
  <c r="K3260" i="1"/>
  <c r="U1536" i="1"/>
  <c r="K1357" i="1"/>
  <c r="Q3008" i="1"/>
  <c r="U209" i="1"/>
  <c r="K2413" i="1"/>
  <c r="K2435" i="1"/>
  <c r="K161" i="1"/>
  <c r="K518" i="1"/>
  <c r="K24" i="1"/>
  <c r="I1779" i="1"/>
  <c r="J3066" i="1"/>
  <c r="H300" i="1"/>
  <c r="J3425" i="1"/>
  <c r="I2666" i="1"/>
  <c r="H1603" i="1"/>
  <c r="J2829" i="1"/>
  <c r="P2303" i="1"/>
  <c r="K3462" i="1"/>
  <c r="H730" i="1"/>
  <c r="Q3349" i="1"/>
  <c r="O798" i="1"/>
  <c r="I2948" i="1"/>
  <c r="H1222" i="1"/>
  <c r="I1289" i="1"/>
  <c r="K3191" i="1"/>
  <c r="H406" i="1"/>
  <c r="Q1117" i="1"/>
  <c r="J188" i="1"/>
  <c r="K3340" i="1"/>
  <c r="H1619" i="1"/>
  <c r="K2928" i="1"/>
  <c r="K905" i="1"/>
  <c r="J2865" i="1"/>
  <c r="K2506" i="1"/>
  <c r="P1723" i="1"/>
  <c r="U2478" i="1"/>
  <c r="K1229" i="1"/>
  <c r="I601" i="1"/>
  <c r="K2810" i="1"/>
  <c r="H2530" i="1"/>
  <c r="P3292" i="1"/>
  <c r="I2052" i="1"/>
  <c r="U2342" i="1"/>
  <c r="H486" i="1"/>
  <c r="H1683" i="1"/>
  <c r="Q139" i="1"/>
  <c r="P751" i="1"/>
  <c r="P1013" i="1"/>
  <c r="J2358" i="1"/>
  <c r="O284" i="1"/>
  <c r="U3316" i="1"/>
  <c r="I1538" i="1"/>
  <c r="H579" i="1"/>
  <c r="K803" i="1"/>
  <c r="J3214" i="1"/>
  <c r="K1145" i="1"/>
  <c r="Q2788" i="1"/>
  <c r="J2524" i="1"/>
  <c r="K3009" i="1"/>
  <c r="K1088" i="1"/>
  <c r="I1416" i="1"/>
  <c r="H3631" i="1"/>
  <c r="K2305" i="1"/>
  <c r="J1275" i="1"/>
  <c r="H128" i="1"/>
  <c r="P3402" i="1"/>
  <c r="P747" i="1"/>
  <c r="O3422" i="1"/>
  <c r="J3288" i="1"/>
  <c r="Q2415" i="1"/>
  <c r="U560" i="1"/>
  <c r="U1639" i="1"/>
  <c r="U3544" i="1"/>
  <c r="Q1917" i="1"/>
  <c r="Q30" i="1"/>
  <c r="K418" i="1"/>
  <c r="J2996" i="1"/>
  <c r="H2343" i="1"/>
  <c r="K1927" i="1"/>
  <c r="H1171" i="1"/>
  <c r="K2429" i="1"/>
  <c r="H2081" i="1"/>
  <c r="U1952" i="1"/>
  <c r="I2005" i="1"/>
  <c r="U1291" i="1"/>
  <c r="Q3174" i="1"/>
  <c r="M2135" i="1"/>
  <c r="P579" i="1"/>
  <c r="M1172" i="1"/>
  <c r="P785" i="1"/>
  <c r="J2192" i="1"/>
  <c r="H64" i="1"/>
  <c r="I1173" i="1"/>
  <c r="M2633" i="1"/>
  <c r="P956" i="1"/>
  <c r="M2154" i="1"/>
  <c r="Q2374" i="1"/>
  <c r="P2029" i="1"/>
  <c r="K3326" i="1"/>
  <c r="P2920" i="1"/>
  <c r="K684" i="1"/>
  <c r="M1164" i="1"/>
  <c r="Q753" i="1"/>
  <c r="O3237" i="1"/>
  <c r="K1791" i="1"/>
  <c r="K3573" i="1"/>
  <c r="J3493" i="1"/>
  <c r="J3026" i="1"/>
  <c r="U2693" i="1"/>
  <c r="I1040" i="1"/>
  <c r="K813" i="1"/>
  <c r="U706" i="1"/>
  <c r="J448" i="1"/>
  <c r="U1096" i="1"/>
  <c r="U3343" i="1"/>
  <c r="I150" i="1"/>
  <c r="I1913" i="1"/>
  <c r="H350" i="1"/>
  <c r="D2335" i="1"/>
  <c r="H763" i="1"/>
  <c r="J2040" i="1"/>
  <c r="H1332" i="1"/>
  <c r="I1664" i="1"/>
  <c r="K3494" i="1"/>
  <c r="H1805" i="1"/>
  <c r="H2300" i="1"/>
  <c r="J1603" i="1"/>
  <c r="U3500" i="1"/>
  <c r="U212" i="1"/>
  <c r="H3221" i="1"/>
  <c r="I665" i="1"/>
  <c r="J1577" i="1"/>
  <c r="H475" i="1"/>
  <c r="Q2173" i="1"/>
  <c r="Q1409" i="1"/>
  <c r="U2688" i="1"/>
  <c r="K1035" i="1"/>
  <c r="U1906" i="1"/>
  <c r="I882" i="1"/>
  <c r="Q750" i="1"/>
  <c r="J61" i="1"/>
  <c r="J2033" i="1"/>
  <c r="N717" i="1"/>
  <c r="Q2631" i="1"/>
  <c r="O49" i="1"/>
  <c r="K2161" i="1"/>
  <c r="U152" i="1"/>
  <c r="H1201" i="1"/>
  <c r="K870" i="1"/>
  <c r="U1215" i="1"/>
  <c r="O2897" i="1"/>
  <c r="U34" i="1"/>
  <c r="P3237" i="1"/>
  <c r="Q2189" i="1"/>
  <c r="M2851" i="1"/>
  <c r="O1183" i="1"/>
  <c r="Q14" i="1"/>
  <c r="O67" i="1"/>
  <c r="AT3523" i="1"/>
  <c r="O2679" i="1"/>
  <c r="D1905" i="1"/>
  <c r="M956" i="1"/>
  <c r="D2570" i="1"/>
  <c r="AT3504" i="1"/>
  <c r="M2998" i="1"/>
  <c r="K3373" i="1"/>
  <c r="U3509" i="1"/>
  <c r="I3063" i="1"/>
  <c r="J2029" i="1"/>
  <c r="I1263" i="1"/>
  <c r="I19" i="1"/>
  <c r="P2647" i="1"/>
  <c r="K1418" i="1"/>
  <c r="H2563" i="1"/>
  <c r="K1949" i="1"/>
  <c r="J956" i="1"/>
  <c r="K1991" i="1"/>
  <c r="U22" i="1"/>
  <c r="I2101" i="1"/>
  <c r="I398" i="1"/>
  <c r="I3475" i="1"/>
  <c r="O2756" i="1"/>
  <c r="H1294" i="1"/>
  <c r="P1472" i="1"/>
  <c r="J3295" i="1"/>
  <c r="J1044" i="1"/>
  <c r="K1481" i="1"/>
  <c r="I1756" i="1"/>
  <c r="K3284" i="1"/>
  <c r="J2938" i="1"/>
  <c r="K2187" i="1"/>
  <c r="I1268" i="1"/>
  <c r="U3347" i="1"/>
  <c r="K1179" i="1"/>
  <c r="I2774" i="1"/>
  <c r="U436" i="1"/>
  <c r="K708" i="1"/>
  <c r="U2644" i="1"/>
  <c r="I2321" i="1"/>
  <c r="P2432" i="1"/>
  <c r="H1689" i="1"/>
  <c r="U231" i="1"/>
  <c r="U1514" i="1"/>
  <c r="O3126" i="1"/>
  <c r="Q766" i="1"/>
  <c r="I3529" i="1"/>
  <c r="J2561" i="1"/>
  <c r="H2607" i="1"/>
  <c r="I2080" i="1"/>
  <c r="K619" i="1"/>
  <c r="J972" i="1"/>
  <c r="H1765" i="1"/>
  <c r="H1998" i="1"/>
  <c r="J318" i="1"/>
  <c r="D1037" i="1"/>
  <c r="I3399" i="1"/>
  <c r="D1684" i="1"/>
  <c r="H1694" i="1"/>
  <c r="D1355" i="1"/>
  <c r="Q3530" i="1"/>
  <c r="I2698" i="1"/>
  <c r="H1528" i="1"/>
  <c r="AT2257" i="1"/>
  <c r="H2037" i="1"/>
  <c r="AT1293" i="1"/>
  <c r="U2568" i="1"/>
  <c r="J1673" i="1"/>
  <c r="O982" i="1"/>
  <c r="H3571" i="1"/>
  <c r="U245" i="1"/>
  <c r="P1103" i="1"/>
  <c r="K1414" i="1"/>
  <c r="I2599" i="1"/>
  <c r="U1156" i="1"/>
  <c r="I3363" i="1"/>
  <c r="P1307" i="1"/>
  <c r="J1812" i="1"/>
  <c r="U1790" i="1"/>
  <c r="H1878" i="1"/>
  <c r="K3135" i="1"/>
  <c r="Q235" i="1"/>
  <c r="J2481" i="1"/>
  <c r="I2503" i="1"/>
  <c r="J2527" i="1"/>
  <c r="Q1702" i="1"/>
  <c r="J2834" i="1"/>
  <c r="P1711" i="1"/>
  <c r="P2399" i="1"/>
  <c r="J2396" i="1"/>
  <c r="J1985" i="1"/>
  <c r="K385" i="1"/>
  <c r="U2453" i="1"/>
  <c r="H2393" i="1"/>
  <c r="H2518" i="1"/>
  <c r="H1030" i="1"/>
  <c r="K3541" i="1"/>
  <c r="U3329" i="1"/>
  <c r="J2553" i="1"/>
  <c r="H1054" i="1"/>
  <c r="K3264" i="1"/>
  <c r="I3112" i="1"/>
  <c r="U64" i="1"/>
  <c r="Q785" i="1"/>
  <c r="U3363" i="1"/>
  <c r="Q2899" i="1"/>
  <c r="I3319" i="1"/>
  <c r="P2050" i="1"/>
  <c r="O3612" i="1"/>
  <c r="J1954" i="1"/>
  <c r="J1739" i="1"/>
  <c r="U1161" i="1"/>
  <c r="I2871" i="1"/>
  <c r="K3311" i="1"/>
  <c r="H217" i="1"/>
  <c r="H2407" i="1"/>
  <c r="H1883" i="1"/>
  <c r="H936" i="1"/>
  <c r="K139" i="1"/>
  <c r="U1048" i="1"/>
  <c r="K2966" i="1"/>
  <c r="P3556" i="1"/>
  <c r="P225" i="1"/>
  <c r="P2023" i="1"/>
  <c r="H267" i="1"/>
  <c r="K1290" i="1"/>
  <c r="H3422" i="1"/>
  <c r="I3254" i="1"/>
  <c r="I1365" i="1"/>
  <c r="U1893" i="1"/>
  <c r="U1430" i="1"/>
  <c r="I1050" i="1"/>
  <c r="J246" i="1"/>
  <c r="O914" i="1"/>
  <c r="H560" i="1"/>
  <c r="M2720" i="1"/>
  <c r="I906" i="1"/>
  <c r="Q3213" i="1"/>
  <c r="O232" i="1"/>
  <c r="I2009" i="1"/>
  <c r="O312" i="1"/>
  <c r="H1676" i="1"/>
  <c r="M2338" i="1"/>
  <c r="H2783" i="1"/>
  <c r="M2619" i="1"/>
  <c r="K1069" i="1"/>
  <c r="M1161" i="1"/>
  <c r="U1116" i="1"/>
  <c r="M2313" i="1"/>
  <c r="U105" i="1"/>
  <c r="M3449" i="1"/>
  <c r="Q778" i="1"/>
  <c r="P2897" i="1"/>
  <c r="I2688" i="1"/>
  <c r="I363" i="1"/>
  <c r="N3352" i="1"/>
  <c r="H967" i="1"/>
  <c r="N2406" i="1"/>
  <c r="H3229" i="1"/>
  <c r="D2708" i="1"/>
  <c r="M44" i="1"/>
  <c r="O2186" i="1"/>
  <c r="D2953" i="1"/>
  <c r="N1781" i="1"/>
  <c r="N304" i="1"/>
  <c r="M1727" i="1"/>
  <c r="AT602" i="1"/>
  <c r="AT2915" i="1"/>
  <c r="U39" i="1"/>
  <c r="D1884" i="1"/>
  <c r="J2824" i="1"/>
  <c r="H573" i="1"/>
  <c r="AT3139" i="1"/>
  <c r="I895" i="1"/>
  <c r="Q631" i="1"/>
  <c r="U2734" i="1"/>
  <c r="Q1034" i="1"/>
  <c r="Q1719" i="1"/>
  <c r="P1556" i="1"/>
  <c r="P1262" i="1"/>
  <c r="O1699" i="1"/>
  <c r="U379" i="1"/>
  <c r="U2285" i="1"/>
  <c r="H3581" i="1"/>
  <c r="J3110" i="1"/>
  <c r="H3445" i="1"/>
  <c r="J1941" i="1"/>
  <c r="K1017" i="1"/>
  <c r="Q2877" i="1"/>
  <c r="K1983" i="1"/>
  <c r="H2115" i="1"/>
  <c r="Q1880" i="1"/>
  <c r="P31" i="1"/>
  <c r="I526" i="1"/>
  <c r="M2071" i="1"/>
  <c r="I1856" i="1"/>
  <c r="K2529" i="1"/>
  <c r="D1269" i="1"/>
  <c r="K2570" i="1"/>
  <c r="N1829" i="1"/>
  <c r="I3261" i="1"/>
  <c r="I2585" i="1"/>
  <c r="N588" i="1"/>
  <c r="O2496" i="1"/>
  <c r="D1632" i="1"/>
  <c r="O3017" i="1"/>
  <c r="D854" i="1"/>
  <c r="M3555" i="1"/>
  <c r="P1011" i="1"/>
  <c r="H2231" i="1"/>
  <c r="N3181" i="1"/>
  <c r="M2353" i="1"/>
  <c r="D843" i="1"/>
  <c r="N1206" i="1"/>
  <c r="D1199" i="1"/>
  <c r="O1761" i="1"/>
  <c r="Q2121" i="1"/>
  <c r="J913" i="1"/>
  <c r="Q2830" i="1"/>
  <c r="D1932" i="1"/>
  <c r="P1586" i="1"/>
  <c r="AT1034" i="1"/>
  <c r="P2030" i="1"/>
  <c r="AT56" i="1"/>
  <c r="K617" i="1"/>
  <c r="M693" i="1"/>
  <c r="AT430" i="1"/>
  <c r="U2451" i="1"/>
  <c r="D1792" i="1"/>
  <c r="D1763" i="1"/>
  <c r="I2360" i="1"/>
  <c r="H1170" i="1"/>
  <c r="K2567" i="1"/>
  <c r="M14" i="1"/>
  <c r="O2733" i="1"/>
  <c r="M374" i="1"/>
  <c r="K2003" i="1"/>
  <c r="U491" i="1"/>
  <c r="AT2616" i="1"/>
  <c r="U2709" i="1"/>
  <c r="K685" i="1"/>
  <c r="U2446" i="1"/>
  <c r="P1563" i="1"/>
  <c r="O692" i="1"/>
  <c r="K3612" i="1"/>
  <c r="K1322" i="1"/>
  <c r="K1491" i="1"/>
  <c r="K3585" i="1"/>
  <c r="I931" i="1"/>
  <c r="K2148" i="1"/>
  <c r="H2775" i="1"/>
  <c r="P258" i="1"/>
  <c r="O619" i="1"/>
  <c r="M2825" i="1"/>
  <c r="M615" i="1"/>
  <c r="K2661" i="1"/>
  <c r="I683" i="1"/>
  <c r="Q843" i="1"/>
  <c r="P1666" i="1"/>
  <c r="U1405" i="1"/>
  <c r="Q2275" i="1"/>
  <c r="Q1345" i="1"/>
  <c r="O773" i="1"/>
  <c r="P2615" i="1"/>
  <c r="P223" i="1"/>
  <c r="K3547" i="1"/>
  <c r="N370" i="1"/>
  <c r="P1988" i="1"/>
  <c r="N1946" i="1"/>
  <c r="P606" i="1"/>
  <c r="N1824" i="1"/>
  <c r="K3402" i="1"/>
  <c r="K2125" i="1"/>
  <c r="J2762" i="1"/>
  <c r="J235" i="1"/>
  <c r="P2779" i="1"/>
  <c r="I733" i="1"/>
  <c r="O3203" i="1"/>
  <c r="H1194" i="1"/>
  <c r="H2681" i="1"/>
  <c r="I734" i="1"/>
  <c r="I1348" i="1"/>
  <c r="M2376" i="1"/>
  <c r="J3631" i="1"/>
  <c r="M1988" i="1"/>
  <c r="J3258" i="1"/>
  <c r="O996" i="1"/>
  <c r="M2752" i="1"/>
  <c r="I405" i="1"/>
  <c r="U3073" i="1"/>
  <c r="M224" i="1"/>
  <c r="P1427" i="1"/>
  <c r="O3551" i="1"/>
  <c r="M1621" i="1"/>
  <c r="M187" i="1"/>
  <c r="D49" i="1"/>
  <c r="H212" i="1"/>
  <c r="Q1552" i="1"/>
  <c r="H3209" i="1"/>
  <c r="P3077" i="1"/>
  <c r="J108" i="1"/>
  <c r="K3041" i="1"/>
  <c r="I1925" i="1"/>
  <c r="K3344" i="1"/>
  <c r="I1475" i="1"/>
  <c r="J354" i="1"/>
  <c r="K1744" i="1"/>
  <c r="J998" i="1"/>
  <c r="J3154" i="1"/>
  <c r="H564" i="1"/>
  <c r="I2105" i="1"/>
  <c r="H3396" i="1"/>
  <c r="H3627" i="1"/>
  <c r="K1165" i="1"/>
  <c r="I838" i="1"/>
  <c r="U2240" i="1"/>
  <c r="U3066" i="1"/>
  <c r="U2987" i="1"/>
  <c r="K371" i="1"/>
  <c r="K2372" i="1"/>
  <c r="K2118" i="1"/>
  <c r="U1452" i="1"/>
  <c r="J1529" i="1"/>
  <c r="M623" i="1"/>
  <c r="P331" i="1"/>
  <c r="N1802" i="1"/>
  <c r="P1147" i="1"/>
  <c r="P1676" i="1"/>
  <c r="I2856" i="1"/>
  <c r="Q1674" i="1"/>
  <c r="O2208" i="1"/>
  <c r="O1956" i="1"/>
  <c r="M2170" i="1"/>
  <c r="P2638" i="1"/>
  <c r="O639" i="1"/>
  <c r="O2317" i="1"/>
  <c r="I2247" i="1"/>
  <c r="Q2813" i="1"/>
  <c r="M3587" i="1"/>
  <c r="O3553" i="1"/>
  <c r="M3552" i="1"/>
  <c r="O1080" i="1"/>
  <c r="M1011" i="1"/>
  <c r="M1202" i="1"/>
  <c r="P3345" i="1"/>
  <c r="U2602" i="1"/>
  <c r="I2645" i="1"/>
  <c r="D1298" i="1"/>
  <c r="H1106" i="1"/>
  <c r="N2955" i="1"/>
  <c r="U1315" i="1"/>
  <c r="H886" i="1"/>
  <c r="O1335" i="1"/>
  <c r="Q1633" i="1"/>
  <c r="U2998" i="1"/>
  <c r="U2914" i="1"/>
  <c r="U1003" i="1"/>
  <c r="Q2062" i="1"/>
  <c r="P2107" i="1"/>
  <c r="N3203" i="1"/>
  <c r="N1653" i="1"/>
  <c r="K262" i="1"/>
  <c r="K2156" i="1"/>
  <c r="K1261" i="1"/>
  <c r="K3114" i="1"/>
  <c r="I1271" i="1"/>
  <c r="I1459" i="1"/>
  <c r="J1335" i="1"/>
  <c r="H2295" i="1"/>
  <c r="O2998" i="1"/>
  <c r="M3222" i="1"/>
  <c r="U603" i="1"/>
  <c r="Q3332" i="1"/>
  <c r="H2623" i="1"/>
  <c r="Q646" i="1"/>
  <c r="K2069" i="1"/>
  <c r="Q452" i="1"/>
  <c r="P3526" i="1"/>
  <c r="U820" i="1"/>
  <c r="O2231" i="1"/>
  <c r="K1158" i="1"/>
  <c r="Q1992" i="1"/>
  <c r="O3636" i="1"/>
  <c r="H1132" i="1"/>
  <c r="J500" i="1"/>
  <c r="P1897" i="1"/>
  <c r="K2865" i="1"/>
  <c r="H3385" i="1"/>
  <c r="H1060" i="1"/>
  <c r="P2706" i="1"/>
  <c r="K730" i="1"/>
  <c r="I805" i="1"/>
  <c r="U2694" i="1"/>
  <c r="J597" i="1"/>
  <c r="K2428" i="1"/>
  <c r="J249" i="1"/>
  <c r="H2381" i="1"/>
  <c r="P2890" i="1"/>
  <c r="D492" i="1"/>
  <c r="K2586" i="1"/>
  <c r="K3415" i="1"/>
  <c r="P2219" i="1"/>
  <c r="U2598" i="1"/>
  <c r="I1491" i="1"/>
  <c r="K3179" i="1"/>
  <c r="I309" i="1"/>
  <c r="K1894" i="1"/>
  <c r="K2593" i="1"/>
  <c r="J2356" i="1"/>
  <c r="N1030" i="1"/>
  <c r="H2314" i="1"/>
  <c r="M3329" i="1"/>
  <c r="AT1881" i="1"/>
  <c r="AT121" i="1"/>
  <c r="AT646" i="1"/>
  <c r="O624" i="1"/>
  <c r="Q2183" i="1"/>
  <c r="K1256" i="1"/>
  <c r="P410" i="1"/>
  <c r="K2141" i="1"/>
  <c r="K3231" i="1"/>
  <c r="Q1030" i="1"/>
  <c r="I410" i="1"/>
  <c r="Q671" i="1"/>
  <c r="U702" i="1"/>
  <c r="J1004" i="1"/>
  <c r="I3114" i="1"/>
  <c r="I2950" i="1"/>
  <c r="M2973" i="1"/>
  <c r="H2891" i="1"/>
  <c r="P2926" i="1"/>
  <c r="N3478" i="1"/>
  <c r="J2615" i="1"/>
  <c r="AT90" i="1"/>
  <c r="Q744" i="1"/>
  <c r="P1317" i="1"/>
  <c r="H814" i="1"/>
  <c r="M1288" i="1"/>
  <c r="H2704" i="1"/>
  <c r="K1038" i="1"/>
  <c r="J2486" i="1"/>
  <c r="I2796" i="1"/>
  <c r="K3391" i="1"/>
  <c r="J746" i="1"/>
  <c r="K1431" i="1"/>
  <c r="M629" i="1"/>
  <c r="J2560" i="1"/>
  <c r="K295" i="1"/>
  <c r="K3073" i="1"/>
  <c r="H585" i="1"/>
  <c r="H3120" i="1"/>
  <c r="I1296" i="1"/>
  <c r="O2818" i="1"/>
  <c r="H503" i="1"/>
  <c r="M2340" i="1"/>
  <c r="M3297" i="1"/>
  <c r="H1307" i="1"/>
  <c r="P1507" i="1"/>
  <c r="M3332" i="1"/>
  <c r="M953" i="1"/>
  <c r="N1847" i="1"/>
  <c r="M1617" i="1"/>
  <c r="N1552" i="1"/>
  <c r="N1259" i="1"/>
  <c r="I1372" i="1"/>
  <c r="M983" i="1"/>
  <c r="N3536" i="1"/>
  <c r="O1135" i="1"/>
  <c r="K2971" i="1"/>
  <c r="N3593" i="1"/>
  <c r="J2940" i="1"/>
  <c r="I2474" i="1"/>
  <c r="U1470" i="1"/>
  <c r="I580" i="1"/>
  <c r="H1798" i="1"/>
  <c r="H2553" i="1"/>
  <c r="Q1268" i="1"/>
  <c r="U3232" i="1"/>
  <c r="H3376" i="1"/>
  <c r="K1832" i="1"/>
  <c r="H947" i="1"/>
  <c r="K1517" i="1"/>
  <c r="K106" i="1"/>
  <c r="K1505" i="1"/>
  <c r="U2092" i="1"/>
  <c r="K764" i="1"/>
  <c r="Q430" i="1"/>
  <c r="P2164" i="1"/>
  <c r="J1286" i="1"/>
  <c r="Q1177" i="1"/>
  <c r="D2782" i="1"/>
  <c r="U1134" i="1"/>
  <c r="AT2466" i="1"/>
  <c r="Q2547" i="1"/>
  <c r="AT624" i="1"/>
  <c r="I1125" i="1"/>
  <c r="I1185" i="1"/>
  <c r="P3228" i="1"/>
  <c r="AT1906" i="1"/>
  <c r="Q2091" i="1"/>
  <c r="D204" i="1"/>
  <c r="Q796" i="1"/>
  <c r="AT2728" i="1"/>
  <c r="K851" i="1"/>
  <c r="H2998" i="1"/>
  <c r="N1837" i="1"/>
  <c r="Q685" i="1"/>
  <c r="M1361" i="1"/>
  <c r="P3419" i="1"/>
  <c r="N2501" i="1"/>
  <c r="P3073" i="1"/>
  <c r="J3458" i="1"/>
  <c r="O1915" i="1"/>
  <c r="P2283" i="1"/>
  <c r="O3007" i="1"/>
  <c r="O1499" i="1"/>
  <c r="P1033" i="1"/>
  <c r="O3341" i="1"/>
  <c r="M2196" i="1"/>
  <c r="U11" i="1"/>
  <c r="AT1790" i="1"/>
  <c r="D92" i="1"/>
  <c r="AT3610" i="1"/>
  <c r="N741" i="1"/>
  <c r="M2861" i="1"/>
  <c r="AT3591" i="1"/>
  <c r="AT2898" i="1"/>
  <c r="I2766" i="1"/>
  <c r="P2103" i="1"/>
  <c r="AT1484" i="1"/>
  <c r="U1236" i="1"/>
  <c r="I1406" i="1"/>
  <c r="I2142" i="1"/>
  <c r="O1045" i="1"/>
  <c r="J123" i="1"/>
  <c r="H822" i="1"/>
  <c r="P1645" i="1"/>
  <c r="U1945" i="1"/>
  <c r="U1322" i="1"/>
  <c r="N376" i="1"/>
  <c r="N2093" i="1"/>
  <c r="K874" i="1"/>
  <c r="O3342" i="1"/>
  <c r="H129" i="1"/>
  <c r="N1036" i="1"/>
  <c r="U2950" i="1"/>
  <c r="U754" i="1"/>
  <c r="H1390" i="1"/>
  <c r="Q3058" i="1"/>
  <c r="Q331" i="1"/>
  <c r="U2356" i="1"/>
  <c r="U76" i="1"/>
  <c r="O2363" i="1"/>
  <c r="O1397" i="1"/>
  <c r="Q929" i="1"/>
  <c r="D831" i="1"/>
  <c r="U2902" i="1"/>
  <c r="Q664" i="1"/>
  <c r="H3549" i="1"/>
  <c r="U1981" i="1"/>
  <c r="M992" i="1"/>
  <c r="D1590" i="1"/>
  <c r="M1551" i="1"/>
  <c r="M1129" i="1"/>
  <c r="U2223" i="1"/>
  <c r="D2306" i="1"/>
  <c r="O2372" i="1"/>
  <c r="J2688" i="1"/>
  <c r="P715" i="1"/>
  <c r="Q3329" i="1"/>
  <c r="I3200" i="1"/>
  <c r="AT1959" i="1"/>
  <c r="AT1718" i="1"/>
  <c r="H3100" i="1"/>
  <c r="J1433" i="1"/>
  <c r="I986" i="1"/>
  <c r="U3465" i="1"/>
  <c r="J2659" i="1"/>
  <c r="O792" i="1"/>
  <c r="J934" i="1"/>
  <c r="N2437" i="1"/>
  <c r="U3439" i="1"/>
  <c r="M205" i="1"/>
  <c r="J2594" i="1"/>
  <c r="U2107" i="1"/>
  <c r="M2859" i="1"/>
  <c r="P358" i="1"/>
  <c r="M1517" i="1"/>
  <c r="P1504" i="1"/>
  <c r="M2115" i="1"/>
  <c r="P2482" i="1"/>
  <c r="K2707" i="1"/>
  <c r="O26" i="1"/>
  <c r="N175" i="1"/>
  <c r="P1007" i="1"/>
  <c r="Q1990" i="1"/>
  <c r="U383" i="1"/>
  <c r="U802" i="1"/>
  <c r="K283" i="1"/>
  <c r="H259" i="1"/>
  <c r="J3574" i="1"/>
  <c r="H219" i="1"/>
  <c r="U1549" i="1"/>
  <c r="K1150" i="1"/>
  <c r="M3362" i="1"/>
  <c r="Q1436" i="1"/>
  <c r="M392" i="1"/>
  <c r="K2233" i="1"/>
  <c r="P166" i="1"/>
  <c r="Q2512" i="1"/>
  <c r="Q525" i="1"/>
  <c r="I1461" i="1"/>
  <c r="M3466" i="1"/>
  <c r="H1256" i="1"/>
  <c r="O1308" i="1"/>
  <c r="H563" i="1"/>
  <c r="AT3367" i="1"/>
  <c r="Q1823" i="1"/>
  <c r="I1639" i="1"/>
  <c r="K1232" i="1"/>
  <c r="Q2197" i="1"/>
  <c r="Q1512" i="1"/>
  <c r="O2843" i="1"/>
  <c r="H1553" i="1"/>
  <c r="Q37" i="1"/>
  <c r="Q3115" i="1"/>
  <c r="J2256" i="1"/>
  <c r="Q1449" i="1"/>
  <c r="D1064" i="1"/>
  <c r="H2551" i="1"/>
  <c r="N2428" i="1"/>
  <c r="N2050" i="1"/>
  <c r="D565" i="1"/>
  <c r="K1039" i="1"/>
  <c r="J263" i="1"/>
  <c r="O2627" i="1"/>
  <c r="D3306" i="1"/>
  <c r="I2297" i="1"/>
  <c r="I1158" i="1"/>
  <c r="J1962" i="1"/>
  <c r="J3014" i="1"/>
  <c r="K3109" i="1"/>
  <c r="I2087" i="1"/>
  <c r="U2388" i="1"/>
  <c r="K2061" i="1"/>
  <c r="M1765" i="1"/>
  <c r="O164" i="1"/>
  <c r="AT2133" i="1"/>
  <c r="P2840" i="1"/>
  <c r="U2177" i="1"/>
  <c r="J1353" i="1"/>
  <c r="K203" i="1"/>
  <c r="H3599" i="1"/>
  <c r="K2794" i="1"/>
  <c r="N1125" i="1"/>
  <c r="Q523" i="1"/>
  <c r="AT740" i="1"/>
  <c r="Q2917" i="1"/>
  <c r="H407" i="1"/>
  <c r="U294" i="1"/>
  <c r="O581" i="1"/>
  <c r="Q2439" i="1"/>
  <c r="N1456" i="1"/>
  <c r="U1829" i="1"/>
  <c r="J686" i="1"/>
  <c r="J1892" i="1"/>
  <c r="J2898" i="1"/>
  <c r="AT3459" i="1"/>
  <c r="U1592" i="1"/>
  <c r="U269" i="1"/>
  <c r="I607" i="1"/>
  <c r="AT373" i="1"/>
  <c r="H467" i="1"/>
  <c r="Q175" i="1"/>
  <c r="U700" i="1"/>
  <c r="I771" i="1"/>
  <c r="J513" i="1"/>
  <c r="Q1399" i="1"/>
  <c r="O1792" i="1"/>
  <c r="K1080" i="1"/>
  <c r="N3195" i="1"/>
  <c r="N3213" i="1"/>
  <c r="D1311" i="1"/>
  <c r="J1456" i="1"/>
  <c r="I900" i="1"/>
  <c r="O1461" i="1"/>
  <c r="O2819" i="1"/>
  <c r="J1423" i="1"/>
  <c r="N498" i="1"/>
  <c r="I3156" i="1"/>
  <c r="H428" i="1"/>
  <c r="O2778" i="1"/>
  <c r="D1358" i="1"/>
  <c r="M2642" i="1"/>
  <c r="D18" i="1"/>
  <c r="N444" i="1"/>
  <c r="AT1564" i="1"/>
  <c r="U2915" i="1"/>
  <c r="M3370" i="1"/>
  <c r="M1206" i="1"/>
  <c r="AT96" i="1"/>
  <c r="M2399" i="1"/>
  <c r="AT638" i="1"/>
  <c r="M621" i="1"/>
  <c r="AT1380" i="1"/>
  <c r="J2493" i="1"/>
  <c r="Q3301" i="1"/>
  <c r="J2149" i="1"/>
  <c r="U585" i="1"/>
  <c r="Q2437" i="1"/>
  <c r="O2506" i="1"/>
  <c r="U1356" i="1"/>
  <c r="N2500" i="1"/>
  <c r="D512" i="1"/>
  <c r="D2536" i="1"/>
  <c r="J3370" i="1"/>
  <c r="AT446" i="1"/>
  <c r="J867" i="1"/>
  <c r="AT1468" i="1"/>
  <c r="H1237" i="1"/>
  <c r="D1009" i="1"/>
  <c r="K2679" i="1"/>
  <c r="O357" i="1"/>
  <c r="AT369" i="1"/>
  <c r="D2075" i="1"/>
  <c r="AT3292" i="1"/>
  <c r="D1414" i="1"/>
  <c r="D2426" i="1"/>
  <c r="AT1837" i="1"/>
  <c r="J2646" i="1"/>
  <c r="D1770" i="1"/>
  <c r="D2891" i="1"/>
  <c r="AT1277" i="1"/>
  <c r="AT319" i="1"/>
  <c r="AT1808" i="1"/>
  <c r="AT517" i="1"/>
  <c r="AT771" i="1"/>
  <c r="I255" i="1"/>
  <c r="H902" i="1"/>
  <c r="U975" i="1"/>
  <c r="D1899" i="1"/>
  <c r="Q2961" i="1"/>
  <c r="D1865" i="1"/>
  <c r="Q159" i="1"/>
  <c r="D21" i="1"/>
  <c r="D50" i="1"/>
  <c r="N3176" i="1"/>
  <c r="D2412" i="1"/>
  <c r="I612" i="1"/>
  <c r="AT1307" i="1"/>
  <c r="K3165" i="1"/>
  <c r="O1656" i="1"/>
  <c r="M1861" i="1"/>
  <c r="N1095" i="1"/>
  <c r="J2533" i="1"/>
  <c r="P2657" i="1"/>
  <c r="O2616" i="1"/>
  <c r="P667" i="1"/>
  <c r="P1874" i="1"/>
  <c r="N2662" i="1"/>
  <c r="N2854" i="1"/>
  <c r="D2642" i="1"/>
  <c r="P663" i="1"/>
  <c r="M2278" i="1"/>
  <c r="P24" i="1"/>
  <c r="I2267" i="1"/>
  <c r="H1019" i="1"/>
  <c r="K2178" i="1"/>
  <c r="H832" i="1"/>
  <c r="Q3631" i="1"/>
  <c r="O1510" i="1"/>
  <c r="O2675" i="1"/>
  <c r="I3524" i="1"/>
  <c r="N2680" i="1"/>
  <c r="M2600" i="1"/>
  <c r="M2139" i="1"/>
  <c r="N3625" i="1"/>
  <c r="U644" i="1"/>
  <c r="D1337" i="1"/>
  <c r="O513" i="1"/>
  <c r="N3334" i="1"/>
  <c r="J1667" i="1"/>
  <c r="K2446" i="1"/>
  <c r="U2051" i="1"/>
  <c r="D941" i="1"/>
  <c r="U2068" i="1"/>
  <c r="I2963" i="1"/>
  <c r="H3397" i="1"/>
  <c r="AT184" i="1"/>
  <c r="O201" i="1"/>
  <c r="I118" i="1"/>
  <c r="Q857" i="1"/>
  <c r="H1225" i="1"/>
  <c r="I1921" i="1"/>
  <c r="M3103" i="1"/>
  <c r="K462" i="1"/>
  <c r="N2346" i="1"/>
  <c r="K493" i="1"/>
  <c r="O204" i="1"/>
  <c r="AT305" i="1"/>
  <c r="M2500" i="1"/>
  <c r="H718" i="1"/>
  <c r="H3527" i="1"/>
  <c r="K3422" i="1"/>
  <c r="O2805" i="1"/>
  <c r="P2425" i="1"/>
  <c r="J1947" i="1"/>
  <c r="I1456" i="1"/>
  <c r="P499" i="1"/>
  <c r="O1492" i="1"/>
  <c r="K857" i="1"/>
  <c r="H1525" i="1"/>
  <c r="Q1788" i="1"/>
  <c r="Q380" i="1"/>
  <c r="U313" i="1"/>
  <c r="P3318" i="1"/>
  <c r="I3561" i="1"/>
  <c r="I1280" i="1"/>
  <c r="U3019" i="1"/>
  <c r="M3518" i="1"/>
  <c r="H251" i="1"/>
  <c r="N208" i="1"/>
  <c r="Q1156" i="1"/>
  <c r="M1745" i="1"/>
  <c r="I787" i="1"/>
  <c r="K17" i="1"/>
  <c r="M3434" i="1"/>
  <c r="K600" i="1"/>
  <c r="Q2900" i="1"/>
  <c r="K3214" i="1"/>
  <c r="K2087" i="1"/>
  <c r="K992" i="1"/>
  <c r="J1858" i="1"/>
  <c r="U2635" i="1"/>
  <c r="P2493" i="1"/>
  <c r="I2467" i="1"/>
  <c r="U342" i="1"/>
  <c r="M90" i="1"/>
  <c r="K1238" i="1"/>
  <c r="J2444" i="1"/>
  <c r="P2112" i="1"/>
  <c r="P2780" i="1"/>
  <c r="O1684" i="1"/>
  <c r="J2443" i="1"/>
  <c r="M2347" i="1"/>
  <c r="I1910" i="1"/>
  <c r="K239" i="1"/>
  <c r="H160" i="1"/>
  <c r="U641" i="1"/>
  <c r="O2374" i="1"/>
  <c r="I3099" i="1"/>
  <c r="H1235" i="1"/>
  <c r="K2286" i="1"/>
  <c r="I210" i="1"/>
  <c r="J2567" i="1"/>
  <c r="O132" i="1"/>
  <c r="I422" i="1"/>
  <c r="K649" i="1"/>
  <c r="Q690" i="1"/>
  <c r="I1617" i="1"/>
  <c r="M3502" i="1"/>
  <c r="H2446" i="1"/>
  <c r="I1531" i="1"/>
  <c r="P42" i="1"/>
  <c r="I1511" i="1"/>
  <c r="Q1405" i="1"/>
  <c r="H69" i="1"/>
  <c r="U3228" i="1"/>
  <c r="O39" i="1"/>
  <c r="J2446" i="1"/>
  <c r="I507" i="1"/>
  <c r="P1407" i="1"/>
  <c r="P253" i="1"/>
  <c r="O266" i="1"/>
  <c r="J1304" i="1"/>
  <c r="J3336" i="1"/>
  <c r="H1778" i="1"/>
  <c r="J985" i="1"/>
  <c r="K3526" i="1"/>
  <c r="K2112" i="1"/>
  <c r="J3492" i="1"/>
  <c r="U1842" i="1"/>
  <c r="I3503" i="1"/>
  <c r="K2303" i="1"/>
  <c r="H2734" i="1"/>
  <c r="M2795" i="1"/>
  <c r="N802" i="1"/>
  <c r="N31" i="1"/>
  <c r="K2769" i="1"/>
  <c r="N263" i="1"/>
  <c r="Q2484" i="1"/>
  <c r="Q517" i="1"/>
  <c r="H444" i="1"/>
  <c r="I2520" i="1"/>
  <c r="J2382" i="1"/>
  <c r="K948" i="1"/>
  <c r="J3282" i="1"/>
  <c r="O3535" i="1"/>
  <c r="N1599" i="1"/>
  <c r="K366" i="1"/>
  <c r="I2064" i="1"/>
  <c r="O698" i="1"/>
  <c r="K1293" i="1"/>
  <c r="I1302" i="1"/>
  <c r="I2577" i="1"/>
  <c r="H2437" i="1"/>
  <c r="J215" i="1"/>
  <c r="P1644" i="1"/>
  <c r="K1885" i="1"/>
  <c r="U2259" i="1"/>
  <c r="U1199" i="1"/>
  <c r="I1980" i="1"/>
  <c r="N3098" i="1"/>
  <c r="U2254" i="1"/>
  <c r="I1226" i="1"/>
  <c r="J89" i="1"/>
  <c r="H2767" i="1"/>
  <c r="Q1954" i="1"/>
  <c r="H3099" i="1"/>
  <c r="Q2382" i="1"/>
  <c r="P3320" i="1"/>
  <c r="P1106" i="1"/>
  <c r="AT2479" i="1"/>
  <c r="O182" i="1"/>
  <c r="M873" i="1"/>
  <c r="P3585" i="1"/>
  <c r="D2925" i="1"/>
  <c r="Q155" i="1"/>
  <c r="I1436" i="1"/>
  <c r="H1415" i="1"/>
  <c r="P1928" i="1"/>
  <c r="O2234" i="1"/>
  <c r="K1866" i="1"/>
  <c r="J2740" i="1"/>
  <c r="J1239" i="1"/>
  <c r="K2270" i="1"/>
  <c r="J2756" i="1"/>
  <c r="J1969" i="1"/>
  <c r="J3219" i="1"/>
  <c r="I712" i="1"/>
  <c r="I1995" i="1"/>
  <c r="Q551" i="1"/>
  <c r="U1457" i="1"/>
  <c r="N2032" i="1"/>
  <c r="I3414" i="1"/>
  <c r="U647" i="1"/>
  <c r="Q3079" i="1"/>
  <c r="Q2334" i="1"/>
  <c r="P3006" i="1"/>
  <c r="U2284" i="1"/>
  <c r="P1772" i="1"/>
  <c r="I615" i="1"/>
  <c r="J190" i="1"/>
  <c r="M564" i="1"/>
  <c r="O1521" i="1"/>
  <c r="H2671" i="1"/>
  <c r="O1131" i="1"/>
  <c r="P1122" i="1"/>
  <c r="P3321" i="1"/>
  <c r="J2908" i="1"/>
  <c r="K1492" i="1"/>
  <c r="P3248" i="1"/>
  <c r="I726" i="1"/>
  <c r="M3385" i="1"/>
  <c r="U1442" i="1"/>
  <c r="Q1691" i="1"/>
  <c r="H3514" i="1"/>
  <c r="K2546" i="1"/>
  <c r="J1258" i="1"/>
  <c r="K325" i="1"/>
  <c r="H3339" i="1"/>
  <c r="J33" i="1"/>
  <c r="K3156" i="1"/>
  <c r="U1098" i="1"/>
  <c r="K2162" i="1"/>
  <c r="O380" i="1"/>
  <c r="K1124" i="1"/>
  <c r="M400" i="1"/>
  <c r="K2626" i="1"/>
  <c r="M1196" i="1"/>
  <c r="K2495" i="1"/>
  <c r="Q549" i="1"/>
  <c r="K489" i="1"/>
  <c r="O1031" i="1"/>
  <c r="I1710" i="1"/>
  <c r="D112" i="1"/>
  <c r="J3347" i="1"/>
  <c r="I2478" i="1"/>
  <c r="K175" i="1"/>
  <c r="I217" i="1"/>
  <c r="J48" i="1"/>
  <c r="U420" i="1"/>
  <c r="I2093" i="1"/>
  <c r="U1590" i="1"/>
  <c r="K3267" i="1"/>
  <c r="Q2545" i="1"/>
  <c r="K2498" i="1"/>
  <c r="Q993" i="1"/>
  <c r="J1582" i="1"/>
  <c r="U2297" i="1"/>
  <c r="D3095" i="1"/>
  <c r="U2119" i="1"/>
  <c r="I1250" i="1"/>
  <c r="I78" i="1"/>
  <c r="I879" i="1"/>
  <c r="P3521" i="1"/>
  <c r="K1844" i="1"/>
  <c r="Q1367" i="1"/>
  <c r="N2040" i="1"/>
  <c r="H2397" i="1"/>
  <c r="H794" i="1"/>
  <c r="N558" i="1"/>
  <c r="M1033" i="1"/>
  <c r="D577" i="1"/>
  <c r="I2795" i="1"/>
  <c r="J569" i="1"/>
  <c r="AT3593" i="1"/>
  <c r="O1055" i="1"/>
  <c r="H3542" i="1"/>
  <c r="P2020" i="1"/>
  <c r="U2528" i="1"/>
  <c r="K2893" i="1"/>
  <c r="J3090" i="1"/>
  <c r="O1718" i="1"/>
  <c r="O845" i="1"/>
  <c r="O2163" i="1"/>
  <c r="M2132" i="1"/>
  <c r="Q807" i="1"/>
  <c r="N2988" i="1"/>
  <c r="K248" i="1"/>
  <c r="J3163" i="1"/>
  <c r="P1087" i="1"/>
  <c r="I780" i="1"/>
  <c r="N1425" i="1"/>
  <c r="Q421" i="1"/>
  <c r="Q557" i="1"/>
  <c r="U661" i="1"/>
  <c r="Q2720" i="1"/>
  <c r="Q1753" i="1"/>
  <c r="P914" i="1"/>
  <c r="P3323" i="1"/>
  <c r="K788" i="1"/>
  <c r="K2668" i="1"/>
  <c r="O3519" i="1"/>
  <c r="O81" i="1"/>
  <c r="U3269" i="1"/>
  <c r="H3539" i="1"/>
  <c r="Q2469" i="1"/>
  <c r="U1779" i="1"/>
  <c r="I554" i="1"/>
  <c r="O3258" i="1"/>
  <c r="H664" i="1"/>
  <c r="O3172" i="1"/>
  <c r="P2053" i="1"/>
  <c r="P976" i="1"/>
  <c r="H3335" i="1"/>
  <c r="U3571" i="1"/>
  <c r="I1498" i="1"/>
  <c r="K2537" i="1"/>
  <c r="P1076" i="1"/>
  <c r="D2821" i="1"/>
  <c r="AT1707" i="1"/>
  <c r="J3523" i="1"/>
  <c r="J3177" i="1"/>
  <c r="I825" i="1"/>
  <c r="U314" i="1"/>
  <c r="Q1909" i="1"/>
  <c r="O2206" i="1"/>
  <c r="I1209" i="1"/>
  <c r="P2193" i="1"/>
  <c r="U2199" i="1"/>
  <c r="Q1452" i="1"/>
  <c r="I104" i="1"/>
  <c r="J1521" i="1"/>
  <c r="U1953" i="1"/>
  <c r="J3498" i="1"/>
  <c r="U199" i="1"/>
  <c r="I1418" i="1"/>
  <c r="U2626" i="1"/>
  <c r="O1068" i="1"/>
  <c r="J3459" i="1"/>
  <c r="J3093" i="1"/>
  <c r="P1266" i="1"/>
  <c r="Q131" i="1"/>
  <c r="Q1536" i="1"/>
  <c r="J324" i="1"/>
  <c r="Q2929" i="1"/>
  <c r="U2539" i="1"/>
  <c r="P2940" i="1"/>
  <c r="J1889" i="1"/>
  <c r="P179" i="1"/>
  <c r="Q1031" i="1"/>
  <c r="O366" i="1"/>
  <c r="M3157" i="1"/>
  <c r="Q1876" i="1"/>
  <c r="AT775" i="1"/>
  <c r="D2321" i="1"/>
  <c r="H1103" i="1"/>
  <c r="Q930" i="1"/>
  <c r="P1753" i="1"/>
  <c r="P3119" i="1"/>
  <c r="I3078" i="1"/>
  <c r="M3028" i="1"/>
  <c r="U1900" i="1"/>
  <c r="O3045" i="1"/>
  <c r="I2689" i="1"/>
  <c r="J2705" i="1"/>
  <c r="J2695" i="1"/>
  <c r="O3041" i="1"/>
  <c r="I1165" i="1"/>
  <c r="J3113" i="1"/>
  <c r="H3443" i="1"/>
  <c r="H2305" i="1"/>
  <c r="U3125" i="1"/>
  <c r="N1782" i="1"/>
  <c r="Q2847" i="1"/>
  <c r="U3239" i="1"/>
  <c r="H3400" i="1"/>
  <c r="K837" i="1"/>
  <c r="J3140" i="1"/>
  <c r="Q782" i="1"/>
  <c r="U2370" i="1"/>
  <c r="M2444" i="1"/>
  <c r="U3640" i="1"/>
  <c r="K235" i="1"/>
  <c r="I3010" i="1"/>
  <c r="H2752" i="1"/>
  <c r="H1335" i="1"/>
  <c r="I2006" i="1"/>
  <c r="U3327" i="1"/>
  <c r="Q790" i="1"/>
  <c r="K3363" i="1"/>
  <c r="K1004" i="1"/>
  <c r="K2079" i="1"/>
  <c r="K1207" i="1"/>
  <c r="H3228" i="1"/>
  <c r="H2953" i="1"/>
  <c r="P932" i="1"/>
  <c r="H1281" i="1"/>
  <c r="J1891" i="1"/>
  <c r="N543" i="1"/>
  <c r="U1411" i="1"/>
  <c r="N395" i="1"/>
  <c r="U3041" i="1"/>
  <c r="D2785" i="1"/>
  <c r="P2015" i="1"/>
  <c r="P1554" i="1"/>
  <c r="J1448" i="1"/>
  <c r="M1246" i="1"/>
  <c r="AT1737" i="1"/>
  <c r="O1590" i="1"/>
  <c r="M856" i="1"/>
  <c r="J1848" i="1"/>
  <c r="Q3094" i="1"/>
  <c r="H1251" i="1"/>
  <c r="M2034" i="1"/>
  <c r="K1033" i="1"/>
  <c r="K2608" i="1"/>
  <c r="J1731" i="1"/>
  <c r="I1247" i="1"/>
  <c r="Q1607" i="1"/>
  <c r="J3094" i="1"/>
  <c r="H1930" i="1"/>
  <c r="K1231" i="1"/>
  <c r="D861" i="1"/>
  <c r="AT380" i="1"/>
  <c r="AT966" i="1"/>
  <c r="I1415" i="1"/>
  <c r="Q2169" i="1"/>
  <c r="O2301" i="1"/>
  <c r="O2608" i="1"/>
  <c r="O720" i="1"/>
  <c r="D2175" i="1"/>
  <c r="D3535" i="1"/>
  <c r="M1728" i="1"/>
  <c r="H1756" i="1"/>
  <c r="H1031" i="1"/>
  <c r="P1388" i="1"/>
  <c r="J2909" i="1"/>
  <c r="N1744" i="1"/>
  <c r="P1335" i="1"/>
  <c r="U3179" i="1"/>
  <c r="K3325" i="1"/>
  <c r="H1931" i="1"/>
  <c r="I63" i="1"/>
  <c r="U2426" i="1"/>
  <c r="H1742" i="1"/>
  <c r="P227" i="1"/>
  <c r="P146" i="1"/>
  <c r="J2180" i="1"/>
  <c r="N1565" i="1"/>
  <c r="M2635" i="1"/>
  <c r="M2253" i="1"/>
  <c r="K933" i="1"/>
  <c r="H525" i="1"/>
  <c r="P2756" i="1"/>
  <c r="J3405" i="1"/>
  <c r="O1709" i="1"/>
  <c r="J2712" i="1"/>
  <c r="J470" i="1"/>
  <c r="J2495" i="1"/>
  <c r="P3331" i="1"/>
  <c r="J2241" i="1"/>
  <c r="O2436" i="1"/>
  <c r="J1416" i="1"/>
  <c r="K843" i="1"/>
  <c r="I788" i="1"/>
  <c r="H1241" i="1"/>
  <c r="H3578" i="1"/>
  <c r="I800" i="1"/>
  <c r="J9" i="1"/>
  <c r="I2457" i="1"/>
  <c r="K1405" i="1"/>
  <c r="H3555" i="1"/>
  <c r="K2183" i="1"/>
  <c r="H546" i="1"/>
  <c r="P2163" i="1"/>
  <c r="Q2153" i="1"/>
  <c r="M3402" i="1"/>
  <c r="P3260" i="1"/>
  <c r="P3055" i="1"/>
  <c r="I90" i="1"/>
  <c r="D1131" i="1"/>
  <c r="N3083" i="1"/>
  <c r="N1382" i="1"/>
  <c r="K1620" i="1"/>
  <c r="AT1170" i="1"/>
  <c r="I3412" i="1"/>
  <c r="P212" i="1"/>
  <c r="U1439" i="1"/>
  <c r="Q1063" i="1"/>
  <c r="K622" i="1"/>
  <c r="H3256" i="1"/>
  <c r="H1214" i="1"/>
  <c r="H509" i="1"/>
  <c r="U2053" i="1"/>
  <c r="U2871" i="1"/>
  <c r="U3242" i="1"/>
  <c r="O3560" i="1"/>
  <c r="I2991" i="1"/>
  <c r="H1293" i="1"/>
  <c r="U399" i="1"/>
  <c r="P3037" i="1"/>
  <c r="Q54" i="1"/>
  <c r="O2215" i="1"/>
  <c r="Q501" i="1"/>
  <c r="M131" i="1"/>
  <c r="I2169" i="1"/>
  <c r="U2797" i="1"/>
  <c r="O599" i="1"/>
  <c r="Q3582" i="1"/>
  <c r="P2954" i="1"/>
  <c r="Q3567" i="1"/>
  <c r="P1079" i="1"/>
  <c r="J1255" i="1"/>
  <c r="D2377" i="1"/>
  <c r="I346" i="1"/>
  <c r="O243" i="1"/>
  <c r="P1871" i="1"/>
  <c r="P2183" i="1"/>
  <c r="P524" i="1"/>
  <c r="O2395" i="1"/>
  <c r="M101" i="1"/>
  <c r="AT1683" i="1"/>
  <c r="N472" i="1"/>
  <c r="U1894" i="1"/>
  <c r="AT1186" i="1"/>
  <c r="D3460" i="1"/>
  <c r="D1165" i="1"/>
  <c r="Q502" i="1"/>
  <c r="D700" i="1"/>
  <c r="U65" i="1"/>
  <c r="AT982" i="1"/>
  <c r="Q1374" i="1"/>
  <c r="I218" i="1"/>
  <c r="I757" i="1"/>
  <c r="J1298" i="1"/>
  <c r="O2709" i="1"/>
  <c r="O3075" i="1"/>
  <c r="O1511" i="1"/>
  <c r="M947" i="1"/>
  <c r="M928" i="1"/>
  <c r="I1784" i="1"/>
  <c r="D3209" i="1"/>
  <c r="AT206" i="1"/>
  <c r="J5" i="1"/>
  <c r="N550" i="1"/>
  <c r="U2158" i="1"/>
  <c r="D985" i="1"/>
  <c r="M2499" i="1"/>
  <c r="N1333" i="1"/>
  <c r="K2762" i="1"/>
  <c r="K1467" i="1"/>
  <c r="K629" i="1"/>
  <c r="D3538" i="1"/>
  <c r="N2757" i="1"/>
  <c r="U1301" i="1"/>
  <c r="U1657" i="1"/>
  <c r="N2385" i="1"/>
  <c r="N2779" i="1"/>
  <c r="N1258" i="1"/>
  <c r="H3187" i="1"/>
  <c r="Q165" i="1"/>
  <c r="D3151" i="1"/>
  <c r="J3080" i="1"/>
  <c r="P2336" i="1"/>
  <c r="M290" i="1"/>
  <c r="AT2891" i="1"/>
  <c r="O78" i="1"/>
  <c r="AT1322" i="1"/>
  <c r="M2809" i="1"/>
  <c r="J2751" i="1"/>
  <c r="K1513" i="1"/>
  <c r="J498" i="1"/>
  <c r="P3188" i="1"/>
  <c r="Q3252" i="1"/>
  <c r="U3340" i="1"/>
  <c r="K2269" i="1"/>
  <c r="I590" i="1"/>
  <c r="P691" i="1"/>
  <c r="N1603" i="1"/>
  <c r="K2055" i="1"/>
  <c r="K2461" i="1"/>
  <c r="N953" i="1"/>
  <c r="P2934" i="1"/>
  <c r="N864" i="1"/>
  <c r="O1048" i="1"/>
  <c r="H3506" i="1"/>
  <c r="J130" i="1"/>
  <c r="D3427" i="1"/>
  <c r="P2748" i="1"/>
  <c r="N1519" i="1"/>
  <c r="P1896" i="1"/>
  <c r="N2852" i="1"/>
  <c r="D3575" i="1"/>
  <c r="J2994" i="1"/>
  <c r="J293" i="1"/>
  <c r="K990" i="1"/>
  <c r="M2225" i="1"/>
  <c r="J2310" i="1"/>
  <c r="K2201" i="1"/>
  <c r="I2691" i="1"/>
  <c r="U846" i="1"/>
  <c r="I3485" i="1"/>
  <c r="P2174" i="1"/>
  <c r="Q3614" i="1"/>
  <c r="P618" i="1"/>
  <c r="K360" i="1"/>
  <c r="K746" i="1"/>
  <c r="H2762" i="1"/>
  <c r="J443" i="1"/>
  <c r="I3413" i="1"/>
  <c r="I1627" i="1"/>
  <c r="H897" i="1"/>
  <c r="U3180" i="1"/>
  <c r="O2214" i="1"/>
  <c r="J1599" i="1"/>
  <c r="M2202" i="1"/>
  <c r="U1864" i="1"/>
  <c r="O1990" i="1"/>
  <c r="P220" i="1"/>
  <c r="H2464" i="1"/>
  <c r="K2847" i="1"/>
  <c r="I2378" i="1"/>
  <c r="H3301" i="1"/>
  <c r="O113" i="1"/>
  <c r="J510" i="1"/>
  <c r="J1768" i="1"/>
  <c r="J2471" i="1"/>
  <c r="Q1363" i="1"/>
  <c r="U1556" i="1"/>
  <c r="O2462" i="1"/>
  <c r="I2053" i="1"/>
  <c r="I3125" i="1"/>
  <c r="J2673" i="1"/>
  <c r="U565" i="1"/>
  <c r="Q2846" i="1"/>
  <c r="K340" i="1"/>
  <c r="Q2112" i="1"/>
  <c r="M3497" i="1"/>
  <c r="I2770" i="1"/>
  <c r="J3494" i="1"/>
  <c r="K3449" i="1"/>
  <c r="J3463" i="1"/>
  <c r="N1521" i="1"/>
  <c r="I1847" i="1"/>
  <c r="H904" i="1"/>
  <c r="Q176" i="1"/>
  <c r="K477" i="1"/>
  <c r="J1657" i="1"/>
  <c r="K3154" i="1"/>
  <c r="P3631" i="1"/>
  <c r="I3223" i="1"/>
  <c r="H2458" i="1"/>
  <c r="H3232" i="1"/>
  <c r="Q3355" i="1"/>
  <c r="I556" i="1"/>
  <c r="P1842" i="1"/>
  <c r="D1059" i="1"/>
  <c r="J1368" i="1"/>
  <c r="D400" i="1"/>
  <c r="P2976" i="1"/>
  <c r="O3536" i="1"/>
  <c r="H3065" i="1"/>
  <c r="N860" i="1"/>
  <c r="AT3309" i="1"/>
  <c r="M466" i="1"/>
  <c r="D117" i="1"/>
  <c r="H3070" i="1"/>
  <c r="D142" i="1"/>
  <c r="J3555" i="1"/>
  <c r="P461" i="1"/>
  <c r="D3607" i="1"/>
  <c r="AT1146" i="1"/>
  <c r="P3268" i="1"/>
  <c r="J2442" i="1"/>
  <c r="N1280" i="1"/>
  <c r="H47" i="1"/>
  <c r="J509" i="1"/>
  <c r="K2031" i="1"/>
  <c r="H3466" i="1"/>
  <c r="I2151" i="1"/>
  <c r="H2093" i="1"/>
  <c r="H821" i="1"/>
  <c r="U2250" i="1"/>
  <c r="J1867" i="1"/>
  <c r="I469" i="1"/>
  <c r="U2842" i="1"/>
  <c r="Q2648" i="1"/>
  <c r="N764" i="1"/>
  <c r="M1470" i="1"/>
  <c r="I2592" i="1"/>
  <c r="J1662" i="1"/>
  <c r="P3258" i="1"/>
  <c r="Q1073" i="1"/>
  <c r="I2714" i="1"/>
  <c r="O2937" i="1"/>
  <c r="I1912" i="1"/>
  <c r="Q2656" i="1"/>
  <c r="K1281" i="1"/>
  <c r="J2915" i="1"/>
  <c r="Q3095" i="1"/>
  <c r="I3066" i="1"/>
  <c r="Q1831" i="1"/>
  <c r="Q2343" i="1"/>
  <c r="Q1086" i="1"/>
  <c r="I3539" i="1"/>
  <c r="P1068" i="1"/>
  <c r="N1390" i="1"/>
  <c r="K1551" i="1"/>
  <c r="K3569" i="1"/>
  <c r="M3415" i="1"/>
  <c r="H302" i="1"/>
  <c r="M846" i="1"/>
  <c r="I2938" i="1"/>
  <c r="H2859" i="1"/>
  <c r="U3184" i="1"/>
  <c r="M1028" i="1"/>
  <c r="K1078" i="1"/>
  <c r="M1916" i="1"/>
  <c r="J2213" i="1"/>
  <c r="M393" i="1"/>
  <c r="I2363" i="1"/>
  <c r="J2724" i="1"/>
  <c r="H1488" i="1"/>
  <c r="M3276" i="1"/>
  <c r="K2306" i="1"/>
  <c r="M1290" i="1"/>
  <c r="I3349" i="1"/>
  <c r="N2161" i="1"/>
  <c r="J3499" i="1"/>
  <c r="U1057" i="1"/>
  <c r="H2057" i="1"/>
  <c r="Q2838" i="1"/>
  <c r="P188" i="1"/>
  <c r="K234" i="1"/>
  <c r="K2809" i="1"/>
  <c r="J3352" i="1"/>
  <c r="K2499" i="1"/>
  <c r="I3430" i="1"/>
  <c r="I1595" i="1"/>
  <c r="J1557" i="1"/>
  <c r="I492" i="1"/>
  <c r="U2876" i="1"/>
  <c r="K54" i="1"/>
  <c r="Q3007" i="1"/>
  <c r="O1897" i="1"/>
  <c r="J612" i="1"/>
  <c r="H1629" i="1"/>
  <c r="Q1167" i="1"/>
  <c r="H793" i="1"/>
  <c r="Q31" i="1"/>
  <c r="U1835" i="1"/>
  <c r="Q810" i="1"/>
  <c r="P296" i="1"/>
  <c r="I1046" i="1"/>
  <c r="U455" i="1"/>
  <c r="Q288" i="1"/>
  <c r="O2054" i="1"/>
  <c r="Q2990" i="1"/>
  <c r="M527" i="1"/>
  <c r="P1480" i="1"/>
  <c r="M1327" i="1"/>
  <c r="H597" i="1"/>
  <c r="Q3428" i="1"/>
  <c r="N262" i="1"/>
  <c r="N965" i="1"/>
  <c r="N2645" i="1"/>
  <c r="N2080" i="1"/>
  <c r="N3147" i="1"/>
  <c r="I3641" i="1"/>
  <c r="O3068" i="1"/>
  <c r="N144" i="1"/>
  <c r="P2481" i="1"/>
  <c r="O3604" i="1"/>
  <c r="O3525" i="1"/>
  <c r="P357" i="1"/>
  <c r="O1299" i="1"/>
  <c r="M2765" i="1"/>
  <c r="D1816" i="1"/>
  <c r="J2707" i="1"/>
  <c r="AT2909" i="1"/>
  <c r="M2516" i="1"/>
  <c r="N3002" i="1"/>
  <c r="J3465" i="1"/>
  <c r="AT3164" i="1"/>
  <c r="U2583" i="1"/>
  <c r="Q1967" i="1"/>
  <c r="P2649" i="1"/>
  <c r="AT906" i="1"/>
  <c r="M2974" i="1"/>
  <c r="Q1105" i="1"/>
  <c r="J106" i="1"/>
  <c r="O369" i="1"/>
  <c r="I1505" i="1"/>
  <c r="H3467" i="1"/>
  <c r="U2712" i="1"/>
  <c r="U235" i="1"/>
  <c r="K465" i="1"/>
  <c r="K652" i="1"/>
  <c r="K1678" i="1"/>
  <c r="Q210" i="1"/>
  <c r="O3425" i="1"/>
  <c r="N1699" i="1"/>
  <c r="M2055" i="1"/>
  <c r="D2225" i="1"/>
  <c r="P3095" i="1"/>
  <c r="Q280" i="1"/>
  <c r="Q385" i="1"/>
  <c r="P2080" i="1"/>
  <c r="N244" i="1"/>
  <c r="M456" i="1"/>
  <c r="O269" i="1"/>
  <c r="O230" i="1"/>
  <c r="D1033" i="1"/>
  <c r="N2035" i="1"/>
  <c r="J164" i="1"/>
  <c r="H1988" i="1"/>
  <c r="Q1182" i="1"/>
  <c r="U724" i="1"/>
  <c r="D1110" i="1"/>
  <c r="P716" i="1"/>
  <c r="N2724" i="1"/>
  <c r="M2674" i="1"/>
  <c r="AT2514" i="1"/>
  <c r="AT2524" i="1"/>
  <c r="M2604" i="1"/>
  <c r="H1873" i="1"/>
  <c r="I586" i="1"/>
  <c r="J3199" i="1"/>
  <c r="P3102" i="1"/>
  <c r="K1905" i="1"/>
  <c r="K2332" i="1"/>
  <c r="J1644" i="1"/>
  <c r="J2374" i="1"/>
  <c r="I816" i="1"/>
  <c r="M192" i="1"/>
  <c r="P3311" i="1"/>
  <c r="O239" i="1"/>
  <c r="O1115" i="1"/>
  <c r="H722" i="1"/>
  <c r="M458" i="1"/>
  <c r="N2281" i="1"/>
  <c r="U3231" i="1"/>
  <c r="Q2094" i="1"/>
  <c r="M949" i="1"/>
  <c r="P1531" i="1"/>
  <c r="M287" i="1"/>
  <c r="P1675" i="1"/>
  <c r="N1105" i="1"/>
  <c r="N998" i="1"/>
  <c r="P1350" i="1"/>
  <c r="O1874" i="1"/>
  <c r="D1315" i="1"/>
  <c r="M1609" i="1"/>
  <c r="N2448" i="1"/>
  <c r="J2539" i="1"/>
  <c r="D2348" i="1"/>
  <c r="Q2849" i="1"/>
  <c r="I1688" i="1"/>
  <c r="J2916" i="1"/>
  <c r="P868" i="1"/>
  <c r="P2403" i="1"/>
  <c r="K507" i="1"/>
  <c r="Q708" i="1"/>
  <c r="Q3165" i="1"/>
  <c r="U1627" i="1"/>
  <c r="J2827" i="1"/>
  <c r="D2764" i="1"/>
  <c r="U3062" i="1"/>
  <c r="P878" i="1"/>
  <c r="D1380" i="1"/>
  <c r="I214" i="1"/>
  <c r="J3576" i="1"/>
  <c r="Q3034" i="1"/>
  <c r="D1042" i="1"/>
  <c r="I1653" i="1"/>
  <c r="U2219" i="1"/>
  <c r="H3512" i="1"/>
  <c r="H2462" i="1"/>
  <c r="J883" i="1"/>
  <c r="H823" i="1"/>
  <c r="I474" i="1"/>
  <c r="J3183" i="1"/>
  <c r="Q2351" i="1"/>
  <c r="O3314" i="1"/>
  <c r="K3356" i="1"/>
  <c r="P2389" i="1"/>
  <c r="J3437" i="1"/>
  <c r="K1335" i="1"/>
  <c r="K3615" i="1"/>
  <c r="K1114" i="1"/>
  <c r="I59" i="1"/>
  <c r="I1597" i="1"/>
  <c r="N269" i="1"/>
  <c r="Q951" i="1"/>
  <c r="K692" i="1"/>
  <c r="K2520" i="1"/>
  <c r="H2558" i="1"/>
  <c r="U1477" i="1"/>
  <c r="U1991" i="1"/>
  <c r="H2140" i="1"/>
  <c r="J1804" i="1"/>
  <c r="H809" i="1"/>
  <c r="M398" i="1"/>
  <c r="U1155" i="1"/>
  <c r="K3293" i="1"/>
  <c r="J3138" i="1"/>
  <c r="I1693" i="1"/>
  <c r="O529" i="1"/>
  <c r="U3361" i="1"/>
  <c r="J2100" i="1"/>
  <c r="M2458" i="1"/>
  <c r="D735" i="1"/>
  <c r="K3543" i="1"/>
  <c r="K1617" i="1"/>
  <c r="J2057" i="1"/>
  <c r="M2428" i="1"/>
  <c r="U963" i="1"/>
  <c r="U2796" i="1"/>
  <c r="H1348" i="1"/>
  <c r="K1794" i="1"/>
  <c r="U2459" i="1"/>
  <c r="I627" i="1"/>
  <c r="J3628" i="1"/>
  <c r="U813" i="1"/>
  <c r="M1127" i="1"/>
  <c r="Q2445" i="1"/>
  <c r="H3198" i="1"/>
  <c r="O2468" i="1"/>
  <c r="AT1566" i="1"/>
  <c r="I3155" i="1"/>
  <c r="I147" i="1"/>
  <c r="O2485" i="1"/>
  <c r="K1720" i="1"/>
  <c r="M2527" i="1"/>
  <c r="AT145" i="1"/>
  <c r="N3085" i="1"/>
  <c r="Q3458" i="1"/>
  <c r="K564" i="1"/>
  <c r="O1455" i="1"/>
  <c r="O1445" i="1"/>
  <c r="P1039" i="1"/>
  <c r="H1277" i="1"/>
  <c r="H629" i="1"/>
  <c r="U1769" i="1"/>
  <c r="I728" i="1"/>
  <c r="J2399" i="1"/>
  <c r="J935" i="1"/>
  <c r="O1641" i="1"/>
  <c r="Q1715" i="1"/>
  <c r="H2835" i="1"/>
  <c r="AT586" i="1"/>
  <c r="AT1254" i="1"/>
  <c r="U2241" i="1"/>
  <c r="K1167" i="1"/>
  <c r="H3449" i="1"/>
  <c r="I1128" i="1"/>
  <c r="H3616" i="1"/>
  <c r="K2764" i="1"/>
  <c r="Q1825" i="1"/>
  <c r="J1143" i="1"/>
  <c r="K182" i="1"/>
  <c r="K3392" i="1"/>
  <c r="P2827" i="1"/>
  <c r="J3386" i="1"/>
  <c r="J1295" i="1"/>
  <c r="O288" i="1"/>
  <c r="J2232" i="1"/>
  <c r="N2623" i="1"/>
  <c r="I3368" i="1"/>
  <c r="H3392" i="1"/>
  <c r="Q2134" i="1"/>
  <c r="O2793" i="1"/>
  <c r="J3507" i="1"/>
  <c r="N2701" i="1"/>
  <c r="K321" i="1"/>
  <c r="M91" i="1"/>
  <c r="I3554" i="1"/>
  <c r="O1427" i="1"/>
  <c r="O1147" i="1"/>
  <c r="M902" i="1"/>
  <c r="J2778" i="1"/>
  <c r="N834" i="1"/>
  <c r="I2912" i="1"/>
  <c r="N1587" i="1"/>
  <c r="I651" i="1"/>
  <c r="J1343" i="1"/>
  <c r="P1574" i="1"/>
  <c r="J1085" i="1"/>
  <c r="O3561" i="1"/>
  <c r="O2102" i="1"/>
  <c r="J2545" i="1"/>
  <c r="H2525" i="1"/>
  <c r="H2271" i="1"/>
  <c r="U2958" i="1"/>
  <c r="H1623" i="1"/>
  <c r="J1904" i="1"/>
  <c r="J1218" i="1"/>
  <c r="D2251" i="1"/>
  <c r="H3208" i="1"/>
  <c r="AT3411" i="1"/>
  <c r="P2016" i="1"/>
  <c r="O1770" i="1"/>
  <c r="N687" i="1"/>
  <c r="D729" i="1"/>
  <c r="H1319" i="1"/>
  <c r="AT406" i="1"/>
  <c r="U1158" i="1"/>
  <c r="AT3229" i="1"/>
  <c r="K1081" i="1"/>
  <c r="D1847" i="1"/>
  <c r="AT1418" i="1"/>
  <c r="AT559" i="1"/>
  <c r="P1483" i="1"/>
  <c r="N1246" i="1"/>
  <c r="O1078" i="1"/>
  <c r="AT3425" i="1"/>
  <c r="P2387" i="1"/>
  <c r="K2395" i="1"/>
  <c r="I1820" i="1"/>
  <c r="Q309" i="1"/>
  <c r="D2669" i="1"/>
  <c r="Q2305" i="1"/>
  <c r="D896" i="1"/>
  <c r="Q473" i="1"/>
  <c r="Q910" i="1"/>
  <c r="O1820" i="1"/>
  <c r="N3442" i="1"/>
  <c r="AT2707" i="1"/>
  <c r="D2357" i="1"/>
  <c r="AT260" i="1"/>
  <c r="D1123" i="1"/>
  <c r="O3212" i="1"/>
  <c r="O3331" i="1"/>
  <c r="AT131" i="1"/>
  <c r="H484" i="1"/>
  <c r="P675" i="1"/>
  <c r="Q301" i="1"/>
  <c r="Q874" i="1"/>
  <c r="N1813" i="1"/>
  <c r="D152" i="1"/>
  <c r="O2143" i="1"/>
  <c r="P273" i="1"/>
  <c r="P1046" i="1"/>
  <c r="N151" i="1"/>
  <c r="M2306" i="1"/>
  <c r="H339" i="1"/>
  <c r="I7" i="1"/>
  <c r="P1115" i="1"/>
  <c r="U3604" i="1"/>
  <c r="P2045" i="1"/>
  <c r="O275" i="1"/>
  <c r="M1264" i="1"/>
  <c r="U2106" i="1"/>
  <c r="I77" i="1"/>
  <c r="H3367" i="1"/>
  <c r="AT2081" i="1"/>
  <c r="N2735" i="1"/>
  <c r="D1241" i="1"/>
  <c r="Q1505" i="1"/>
  <c r="I3016" i="1"/>
  <c r="D2915" i="1"/>
  <c r="K2874" i="1"/>
  <c r="AT3363" i="1"/>
  <c r="K2898" i="1"/>
  <c r="AT1261" i="1"/>
  <c r="I823" i="1"/>
  <c r="H2274" i="1"/>
  <c r="Q1157" i="1"/>
  <c r="O2265" i="1"/>
  <c r="I2649" i="1"/>
  <c r="P3093" i="1"/>
  <c r="H1741" i="1"/>
  <c r="I670" i="1"/>
  <c r="I2329" i="1"/>
  <c r="K3119" i="1"/>
  <c r="M802" i="1"/>
  <c r="D1691" i="1"/>
  <c r="K1436" i="1"/>
  <c r="AT963" i="1"/>
  <c r="D819" i="1"/>
  <c r="N62" i="1"/>
  <c r="H1799" i="1"/>
  <c r="H187" i="1"/>
  <c r="P3215" i="1"/>
  <c r="I1648" i="1"/>
  <c r="K2448" i="1"/>
  <c r="I1020" i="1"/>
  <c r="J1093" i="1"/>
  <c r="I3528" i="1"/>
  <c r="H239" i="1"/>
  <c r="I2560" i="1"/>
  <c r="O913" i="1"/>
  <c r="Q521" i="1"/>
  <c r="Q2138" i="1"/>
  <c r="P3250" i="1"/>
  <c r="N2675" i="1"/>
  <c r="D387" i="1"/>
  <c r="U525" i="1"/>
  <c r="Q2755" i="1"/>
  <c r="O2882" i="1"/>
  <c r="O2951" i="1"/>
  <c r="M1379" i="1"/>
  <c r="N1113" i="1"/>
  <c r="N3454" i="1"/>
  <c r="K1480" i="1"/>
  <c r="O1567" i="1"/>
  <c r="M83" i="1"/>
  <c r="K1049" i="1"/>
  <c r="K2749" i="1"/>
  <c r="K712" i="1"/>
  <c r="K1708" i="1"/>
  <c r="K3124" i="1"/>
  <c r="K1646" i="1"/>
  <c r="P2269" i="1"/>
  <c r="I1307" i="1"/>
  <c r="P1567" i="1"/>
  <c r="Q1667" i="1"/>
  <c r="K862" i="1"/>
  <c r="J191" i="1"/>
  <c r="Q3279" i="1"/>
  <c r="Q1622" i="1"/>
  <c r="K931" i="1"/>
  <c r="O2662" i="1"/>
  <c r="U1999" i="1"/>
  <c r="H628" i="1"/>
  <c r="I3625" i="1"/>
  <c r="J1974" i="1"/>
  <c r="K1979" i="1"/>
  <c r="J1003" i="1"/>
  <c r="K2490" i="1"/>
  <c r="I1188" i="1"/>
  <c r="I333" i="1"/>
  <c r="I2494" i="1"/>
  <c r="K839" i="1"/>
  <c r="K3253" i="1"/>
  <c r="I893" i="1"/>
  <c r="I183" i="1"/>
  <c r="U3473" i="1"/>
  <c r="U1845" i="1"/>
  <c r="O450" i="1"/>
  <c r="H3576" i="1"/>
  <c r="I3386" i="1"/>
  <c r="O546" i="1"/>
  <c r="J3164" i="1"/>
  <c r="I1618" i="1"/>
  <c r="P1227" i="1"/>
  <c r="J3038" i="1"/>
  <c r="K531" i="1"/>
  <c r="U2664" i="1"/>
  <c r="U3132" i="1"/>
  <c r="D2512" i="1"/>
  <c r="K1897" i="1"/>
  <c r="I924" i="1"/>
  <c r="N3210" i="1"/>
  <c r="J963" i="1"/>
  <c r="J537" i="1"/>
  <c r="H1000" i="1"/>
  <c r="J538" i="1"/>
  <c r="H1100" i="1"/>
  <c r="I2421" i="1"/>
  <c r="J712" i="1"/>
  <c r="D895" i="1"/>
  <c r="I3388" i="1"/>
  <c r="U3476" i="1"/>
  <c r="J2566" i="1"/>
  <c r="O2716" i="1"/>
  <c r="M2866" i="1"/>
  <c r="K2298" i="1"/>
  <c r="M618" i="1"/>
  <c r="P1476" i="1"/>
  <c r="K3079" i="1"/>
  <c r="K26" i="1"/>
  <c r="K965" i="1"/>
  <c r="J715" i="1"/>
  <c r="H2149" i="1"/>
  <c r="I3434" i="1"/>
  <c r="Q3450" i="1"/>
  <c r="O3517" i="1"/>
  <c r="Q127" i="1"/>
  <c r="P2734" i="1"/>
  <c r="D2245" i="1"/>
  <c r="AT1503" i="1"/>
  <c r="D3069" i="1"/>
  <c r="M3064" i="1"/>
  <c r="I111" i="1"/>
  <c r="I644" i="1"/>
  <c r="K1656" i="1"/>
  <c r="U1771" i="1"/>
  <c r="H2303" i="1"/>
  <c r="H2862" i="1"/>
  <c r="I2605" i="1"/>
  <c r="H2619" i="1"/>
  <c r="H1175" i="1"/>
  <c r="Q2105" i="1"/>
  <c r="K2106" i="1"/>
  <c r="H1292" i="1"/>
  <c r="M2831" i="1"/>
  <c r="D2342" i="1"/>
  <c r="H3553" i="1"/>
  <c r="J2135" i="1"/>
  <c r="P2411" i="1"/>
  <c r="AT1010" i="1"/>
  <c r="M376" i="1"/>
  <c r="O2997" i="1"/>
  <c r="I379" i="1"/>
  <c r="AT1815" i="1"/>
  <c r="AT1127" i="1"/>
  <c r="P3506" i="1"/>
  <c r="H2019" i="1"/>
  <c r="H483" i="1"/>
  <c r="U178" i="1"/>
  <c r="O1523" i="1"/>
  <c r="J3256" i="1"/>
  <c r="J613" i="1"/>
  <c r="J2679" i="1"/>
  <c r="K1046" i="1"/>
  <c r="J64" i="1"/>
  <c r="J1027" i="1"/>
  <c r="J1951" i="1"/>
  <c r="I970" i="1"/>
  <c r="U2815" i="1"/>
  <c r="H1297" i="1"/>
  <c r="P834" i="1"/>
  <c r="O661" i="1"/>
  <c r="H1617" i="1"/>
  <c r="Q2164" i="1"/>
  <c r="P3104" i="1"/>
  <c r="Q1661" i="1"/>
  <c r="Q1681" i="1"/>
  <c r="Q1742" i="1"/>
  <c r="Q927" i="1"/>
  <c r="O2480" i="1"/>
  <c r="M197" i="1"/>
  <c r="M43" i="1"/>
  <c r="O2216" i="1"/>
  <c r="O552" i="1"/>
  <c r="O42" i="1"/>
  <c r="O566" i="1"/>
  <c r="O213" i="1"/>
  <c r="D392" i="1"/>
  <c r="H2693" i="1"/>
  <c r="P3190" i="1"/>
  <c r="K2421" i="1"/>
  <c r="M3160" i="1"/>
  <c r="P2497" i="1"/>
  <c r="P1474" i="1"/>
  <c r="H1810" i="1"/>
  <c r="U660" i="1"/>
  <c r="U1067" i="1"/>
  <c r="J2930" i="1"/>
  <c r="J1171" i="1"/>
  <c r="K591" i="1"/>
  <c r="K2950" i="1"/>
  <c r="K3463" i="1"/>
  <c r="K540" i="1"/>
  <c r="J2526" i="1"/>
  <c r="O2476" i="1"/>
  <c r="N2365" i="1"/>
  <c r="K1363" i="1"/>
  <c r="K2700" i="1"/>
  <c r="K3117" i="1"/>
  <c r="K1726" i="1"/>
  <c r="J310" i="1"/>
  <c r="K2824" i="1"/>
  <c r="D1026" i="1"/>
  <c r="AT54" i="1"/>
  <c r="J389" i="1"/>
  <c r="J989" i="1"/>
  <c r="J1088" i="1"/>
  <c r="K1267" i="1"/>
  <c r="J4" i="1"/>
  <c r="J1534" i="1"/>
  <c r="H3350" i="1"/>
  <c r="I1067" i="1"/>
  <c r="I1672" i="1"/>
  <c r="K2868" i="1"/>
  <c r="H1039" i="1"/>
  <c r="K3230" i="1"/>
  <c r="K536" i="1"/>
  <c r="J1566" i="1"/>
  <c r="U2947" i="1"/>
  <c r="Q91" i="1"/>
  <c r="I1802" i="1"/>
  <c r="I1705" i="1"/>
  <c r="I2132" i="1"/>
  <c r="H1843" i="1"/>
  <c r="J2536" i="1"/>
  <c r="U718" i="1"/>
  <c r="J3160" i="1"/>
  <c r="Q881" i="1"/>
  <c r="K2771" i="1"/>
  <c r="M1384" i="1"/>
  <c r="M3312" i="1"/>
  <c r="I467" i="1"/>
  <c r="H1409" i="1"/>
  <c r="J1697" i="1"/>
  <c r="O1895" i="1"/>
  <c r="P949" i="1"/>
  <c r="J3445" i="1"/>
  <c r="H555" i="1"/>
  <c r="Q3054" i="1"/>
  <c r="J3435" i="1"/>
  <c r="J871" i="1"/>
  <c r="O1081" i="1"/>
  <c r="J2951" i="1"/>
  <c r="M1826" i="1"/>
  <c r="P610" i="1"/>
  <c r="M1186" i="1"/>
  <c r="N3554" i="1"/>
  <c r="N839" i="1"/>
  <c r="I1539" i="1"/>
  <c r="H2498" i="1"/>
  <c r="N2673" i="1"/>
  <c r="U2910" i="1"/>
  <c r="AT3293" i="1"/>
  <c r="M1667" i="1"/>
  <c r="Q2003" i="1"/>
  <c r="U2359" i="1"/>
  <c r="O3147" i="1"/>
  <c r="M60" i="1"/>
  <c r="K1243" i="1"/>
  <c r="K3285" i="1"/>
  <c r="D2624" i="1"/>
  <c r="P1680" i="1"/>
  <c r="U3166" i="1"/>
  <c r="O3049" i="1"/>
  <c r="J291" i="1"/>
  <c r="U2613" i="1"/>
  <c r="D3603" i="1"/>
  <c r="K2386" i="1"/>
  <c r="H3560" i="1"/>
  <c r="H154" i="1"/>
  <c r="O1685" i="1"/>
  <c r="H676" i="1"/>
  <c r="M1658" i="1"/>
  <c r="I2086" i="1"/>
  <c r="U345" i="1"/>
  <c r="H2795" i="1"/>
  <c r="I1891" i="1"/>
  <c r="P1172" i="1"/>
  <c r="J1165" i="1"/>
  <c r="J551" i="1"/>
  <c r="J2405" i="1"/>
  <c r="I853" i="1"/>
  <c r="H2871" i="1"/>
  <c r="K1408" i="1"/>
  <c r="P3380" i="1"/>
  <c r="K2551" i="1"/>
  <c r="I2516" i="1"/>
  <c r="H2894" i="1"/>
  <c r="Q3515" i="1"/>
  <c r="U1535" i="1"/>
  <c r="I1909" i="1"/>
  <c r="U1787" i="1"/>
  <c r="U2495" i="1"/>
  <c r="U1698" i="1"/>
  <c r="U2127" i="1"/>
  <c r="U3480" i="1"/>
  <c r="U2920" i="1"/>
  <c r="Q2176" i="1"/>
  <c r="J2298" i="1"/>
  <c r="O1491" i="1"/>
  <c r="Q1558" i="1"/>
  <c r="Q837" i="1"/>
  <c r="P858" i="1"/>
  <c r="Q3605" i="1"/>
  <c r="Q1060" i="1"/>
  <c r="P376" i="1"/>
  <c r="H1244" i="1"/>
  <c r="I3276" i="1"/>
  <c r="Q2146" i="1"/>
  <c r="Q2026" i="1"/>
  <c r="J2605" i="1"/>
  <c r="U1241" i="1"/>
  <c r="Q1533" i="1"/>
  <c r="P1997" i="1"/>
  <c r="J1390" i="1"/>
  <c r="I547" i="1"/>
  <c r="U856" i="1"/>
  <c r="P1134" i="1"/>
  <c r="O1223" i="1"/>
  <c r="I749" i="1"/>
  <c r="O1044" i="1"/>
  <c r="O2644" i="1"/>
  <c r="U564" i="1"/>
  <c r="K1913" i="1"/>
  <c r="Q2678" i="1"/>
  <c r="H796" i="1"/>
  <c r="H3271" i="1"/>
  <c r="U2386" i="1"/>
  <c r="K723" i="1"/>
  <c r="K3491" i="1"/>
  <c r="H2203" i="1"/>
  <c r="M589" i="1"/>
  <c r="U1889" i="1"/>
  <c r="P3591" i="1"/>
  <c r="K605" i="1"/>
  <c r="I1053" i="1"/>
  <c r="K1697" i="1"/>
  <c r="I1746" i="1"/>
  <c r="P2243" i="1"/>
  <c r="Q1489" i="1"/>
  <c r="Q351" i="1"/>
  <c r="M1510" i="1"/>
  <c r="K1399" i="1"/>
  <c r="H998" i="1"/>
  <c r="K1582" i="1"/>
  <c r="K1245" i="1"/>
  <c r="P3031" i="1"/>
  <c r="Q2208" i="1"/>
  <c r="H3459" i="1"/>
  <c r="P504" i="1"/>
  <c r="J1610" i="1"/>
  <c r="K2420" i="1"/>
  <c r="Q2434" i="1"/>
  <c r="I818" i="1"/>
  <c r="U2286" i="1"/>
  <c r="U28" i="1"/>
  <c r="I1768" i="1"/>
  <c r="U729" i="1"/>
  <c r="M157" i="1"/>
  <c r="AT1265" i="1"/>
  <c r="K2457" i="1"/>
  <c r="M1542" i="1"/>
  <c r="O3464" i="1"/>
  <c r="J2389" i="1"/>
  <c r="I119" i="1"/>
  <c r="K191" i="1"/>
  <c r="K2530" i="1"/>
  <c r="J1778" i="1"/>
  <c r="K917" i="1"/>
  <c r="U1936" i="1"/>
  <c r="U446" i="1"/>
  <c r="K2968" i="1"/>
  <c r="AT1407" i="1"/>
  <c r="Q1054" i="1"/>
  <c r="Q1291" i="1"/>
  <c r="O3061" i="1"/>
  <c r="N2110" i="1"/>
  <c r="AT1542" i="1"/>
  <c r="K2170" i="1"/>
  <c r="H3625" i="1"/>
  <c r="U1738" i="1"/>
  <c r="N2610" i="1"/>
  <c r="U303" i="1"/>
  <c r="D1188" i="1"/>
  <c r="H3045" i="1"/>
  <c r="U1883" i="1"/>
  <c r="J26" i="1"/>
  <c r="M262" i="1"/>
  <c r="Q118" i="1"/>
  <c r="I3266" i="1"/>
  <c r="U1334" i="1"/>
  <c r="Q2911" i="1"/>
  <c r="N1768" i="1"/>
  <c r="H3075" i="1"/>
  <c r="AT181" i="1"/>
  <c r="K3066" i="1"/>
  <c r="I3008" i="1"/>
  <c r="M1662" i="1"/>
  <c r="H3078" i="1"/>
  <c r="P2325" i="1"/>
  <c r="I2690" i="1"/>
  <c r="I1090" i="1"/>
  <c r="I2281" i="1"/>
  <c r="H938" i="1"/>
  <c r="U1603" i="1"/>
  <c r="J976" i="1"/>
  <c r="I1601" i="1"/>
  <c r="K2994" i="1"/>
  <c r="K354" i="1"/>
  <c r="J3046" i="1"/>
  <c r="K3627" i="1"/>
  <c r="J1729" i="1"/>
  <c r="O384" i="1"/>
  <c r="P2005" i="1"/>
  <c r="J904" i="1"/>
  <c r="K2579" i="1"/>
  <c r="J2174" i="1"/>
  <c r="J2121" i="1"/>
  <c r="K2652" i="1"/>
  <c r="U1441" i="1"/>
  <c r="O1673" i="1"/>
  <c r="U2704" i="1"/>
  <c r="M2663" i="1"/>
  <c r="U1826" i="1"/>
  <c r="Q1883" i="1"/>
  <c r="K476" i="1"/>
  <c r="I1624" i="1"/>
  <c r="Q3031" i="1"/>
  <c r="J408" i="1"/>
  <c r="P3505" i="1"/>
  <c r="I1626" i="1"/>
  <c r="P3137" i="1"/>
  <c r="H1621" i="1"/>
  <c r="Q2863" i="1"/>
  <c r="I649" i="1"/>
  <c r="J582" i="1"/>
  <c r="N1231" i="1"/>
  <c r="O2753" i="1"/>
  <c r="K921" i="1"/>
  <c r="U1128" i="1"/>
  <c r="U837" i="1"/>
  <c r="Q2217" i="1"/>
  <c r="J1202" i="1"/>
  <c r="J2574" i="1"/>
  <c r="J796" i="1"/>
  <c r="I1305" i="1"/>
  <c r="I2230" i="1"/>
  <c r="U40" i="1"/>
  <c r="U187" i="1"/>
  <c r="J2027" i="1"/>
  <c r="D3580" i="1"/>
  <c r="O1694" i="1"/>
  <c r="H3354" i="1"/>
  <c r="M1170" i="1"/>
  <c r="U1252" i="1"/>
  <c r="M1270" i="1"/>
  <c r="N2444" i="1"/>
  <c r="I1192" i="1"/>
  <c r="AT3234" i="1"/>
  <c r="N2251" i="1"/>
  <c r="Q3548" i="1"/>
  <c r="N856" i="1"/>
  <c r="U2716" i="1"/>
  <c r="M2447" i="1"/>
  <c r="M2875" i="1"/>
  <c r="H3002" i="1"/>
  <c r="J1805" i="1"/>
  <c r="O424" i="1"/>
  <c r="P2691" i="1"/>
  <c r="P1744" i="1"/>
  <c r="P1549" i="1"/>
  <c r="O850" i="1"/>
  <c r="P286" i="1"/>
  <c r="Q2498" i="1"/>
  <c r="Q1975" i="1"/>
  <c r="M3073" i="1"/>
  <c r="P2289" i="1"/>
  <c r="P130" i="1"/>
  <c r="O2047" i="1"/>
  <c r="N2215" i="1"/>
  <c r="M163" i="1"/>
  <c r="M1004" i="1"/>
  <c r="O516" i="1"/>
  <c r="U1456" i="1"/>
  <c r="D986" i="1"/>
  <c r="D3104" i="1"/>
  <c r="Q3074" i="1"/>
  <c r="Q2890" i="1"/>
  <c r="AT3221" i="1"/>
  <c r="AT2984" i="1"/>
  <c r="D1205" i="1"/>
  <c r="J2863" i="1"/>
  <c r="I1013" i="1"/>
  <c r="U2584" i="1"/>
  <c r="P554" i="1"/>
  <c r="K381" i="1"/>
  <c r="O874" i="1"/>
  <c r="P2985" i="1"/>
  <c r="M2075" i="1"/>
  <c r="I2745" i="1"/>
  <c r="M1760" i="1"/>
  <c r="N1571" i="1"/>
  <c r="M3584" i="1"/>
  <c r="P1853" i="1"/>
  <c r="H151" i="1"/>
  <c r="N3065" i="1"/>
  <c r="O3123" i="1"/>
  <c r="J3005" i="1"/>
  <c r="K713" i="1"/>
  <c r="K975" i="1"/>
  <c r="U998" i="1"/>
  <c r="I1997" i="1"/>
  <c r="H313" i="1"/>
  <c r="U861" i="1"/>
  <c r="U3616" i="1"/>
  <c r="Q1057" i="1"/>
  <c r="N1050" i="1"/>
  <c r="D2097" i="1"/>
  <c r="P653" i="1"/>
  <c r="I102" i="1"/>
  <c r="N2393" i="1"/>
  <c r="N101" i="1"/>
  <c r="D1423" i="1"/>
  <c r="M293" i="1"/>
  <c r="N931" i="1"/>
  <c r="AT1895" i="1"/>
  <c r="AT788" i="1"/>
  <c r="J358" i="1"/>
  <c r="Q1852" i="1"/>
  <c r="J3134" i="1"/>
  <c r="K3295" i="1"/>
  <c r="Q84" i="1"/>
  <c r="P2993" i="1"/>
  <c r="J691" i="1"/>
  <c r="I2752" i="1"/>
  <c r="Q1657" i="1"/>
  <c r="P1379" i="1"/>
  <c r="K3174" i="1"/>
  <c r="J2652" i="1"/>
  <c r="P3578" i="1"/>
  <c r="Q8" i="1"/>
  <c r="D3433" i="1"/>
  <c r="P3478" i="1"/>
  <c r="D2459" i="1"/>
  <c r="U236" i="1"/>
  <c r="H3618" i="1"/>
  <c r="D1296" i="1"/>
  <c r="O3358" i="1"/>
  <c r="N51" i="1"/>
  <c r="M1997" i="1"/>
  <c r="M3265" i="1"/>
  <c r="O1407" i="1"/>
  <c r="O726" i="1"/>
  <c r="I3337" i="1"/>
  <c r="K1412" i="1"/>
  <c r="M3302" i="1"/>
  <c r="J1341" i="1"/>
  <c r="N1460" i="1"/>
  <c r="J2308" i="1"/>
  <c r="M1251" i="1"/>
  <c r="J427" i="1"/>
  <c r="P356" i="1"/>
  <c r="I3332" i="1"/>
  <c r="H2599" i="1"/>
  <c r="N1197" i="1"/>
  <c r="N1941" i="1"/>
  <c r="J3194" i="1"/>
  <c r="P738" i="1"/>
  <c r="P3187" i="1"/>
  <c r="O2899" i="1"/>
  <c r="J2985" i="1"/>
  <c r="M3404" i="1"/>
  <c r="H945" i="1"/>
  <c r="Q748" i="1"/>
  <c r="I3130" i="1"/>
  <c r="M2566" i="1"/>
  <c r="O1488" i="1"/>
  <c r="D1790" i="1"/>
  <c r="M3592" i="1"/>
  <c r="K856" i="1"/>
  <c r="AT2070" i="1"/>
  <c r="U2128" i="1"/>
  <c r="J749" i="1"/>
  <c r="P1725" i="1"/>
  <c r="I630" i="1"/>
  <c r="J339" i="1"/>
  <c r="I2513" i="1"/>
  <c r="P3121" i="1"/>
  <c r="AT2710" i="1"/>
  <c r="H2750" i="1"/>
  <c r="U1312" i="1"/>
  <c r="H2877" i="1"/>
  <c r="U302" i="1"/>
  <c r="U1400" i="1"/>
  <c r="Q1055" i="1"/>
  <c r="P1905" i="1"/>
  <c r="AT2332" i="1"/>
  <c r="N3289" i="1"/>
  <c r="D2230" i="1"/>
  <c r="M3183" i="1"/>
  <c r="AT1268" i="1"/>
  <c r="N3132" i="1"/>
  <c r="I1044" i="1"/>
  <c r="D1731" i="1"/>
  <c r="P3021" i="1"/>
  <c r="Q3560" i="1"/>
  <c r="K258" i="1"/>
  <c r="K2833" i="1"/>
  <c r="J2627" i="1"/>
  <c r="M2004" i="1"/>
  <c r="K1559" i="1"/>
  <c r="D974" i="1"/>
  <c r="I2864" i="1"/>
  <c r="D572" i="1"/>
  <c r="I2779" i="1"/>
  <c r="I1131" i="1"/>
  <c r="U3400" i="1"/>
  <c r="O1908" i="1"/>
  <c r="K647" i="1"/>
  <c r="K1283" i="1"/>
  <c r="H1777" i="1"/>
  <c r="O568" i="1"/>
  <c r="J206" i="1"/>
  <c r="P2434" i="1"/>
  <c r="U3333" i="1"/>
  <c r="Q1670" i="1"/>
  <c r="M2336" i="1"/>
  <c r="Q2075" i="1"/>
  <c r="AT3445" i="1"/>
  <c r="M54" i="1"/>
  <c r="U1837" i="1"/>
  <c r="I211" i="1"/>
  <c r="H172" i="1"/>
  <c r="H651" i="1"/>
  <c r="I2883" i="1"/>
  <c r="AT1457" i="1"/>
  <c r="H2936" i="1"/>
  <c r="Q2345" i="1"/>
  <c r="M28" i="1"/>
  <c r="M3262" i="1"/>
  <c r="H1632" i="1"/>
  <c r="AT3070" i="1"/>
  <c r="K1657" i="1"/>
  <c r="AT3315" i="1"/>
  <c r="I495" i="1"/>
  <c r="I602" i="1"/>
  <c r="O3104" i="1"/>
  <c r="N1660" i="1"/>
  <c r="H2512" i="1"/>
  <c r="N1828" i="1"/>
  <c r="N3604" i="1"/>
  <c r="H2348" i="1"/>
  <c r="H807" i="1"/>
  <c r="I2454" i="1"/>
  <c r="D245" i="1"/>
  <c r="Q1525" i="1"/>
  <c r="M2080" i="1"/>
  <c r="U3098" i="1"/>
  <c r="D1718" i="1"/>
  <c r="K2232" i="1"/>
  <c r="I2484" i="1"/>
  <c r="J960" i="1"/>
  <c r="U2024" i="1"/>
  <c r="U1815" i="1"/>
  <c r="J362" i="1"/>
  <c r="Q138" i="1"/>
  <c r="P232" i="1"/>
  <c r="O3252" i="1"/>
  <c r="M407" i="1"/>
  <c r="K1075" i="1"/>
  <c r="I1671" i="1"/>
  <c r="H211" i="1"/>
  <c r="J2701" i="1"/>
  <c r="I30" i="1"/>
  <c r="J1903" i="1"/>
  <c r="H2966" i="1"/>
  <c r="D1449" i="1"/>
  <c r="J1979" i="1"/>
  <c r="J1109" i="1"/>
  <c r="K3497" i="1"/>
  <c r="J1570" i="1"/>
  <c r="K408" i="1"/>
  <c r="O3038" i="1"/>
  <c r="J689" i="1"/>
  <c r="J628" i="1"/>
  <c r="J2127" i="1"/>
  <c r="J19" i="1"/>
  <c r="K1131" i="1"/>
  <c r="K3089" i="1"/>
  <c r="J1716" i="1"/>
  <c r="N2248" i="1"/>
  <c r="J1991" i="1"/>
  <c r="H775" i="1"/>
  <c r="K1592" i="1"/>
  <c r="N2718" i="1"/>
  <c r="I2616" i="1"/>
  <c r="Q2031" i="1"/>
  <c r="P1891" i="1"/>
  <c r="U1258" i="1"/>
  <c r="M1941" i="1"/>
  <c r="I1243" i="1"/>
  <c r="I1927" i="1"/>
  <c r="H2849" i="1"/>
  <c r="H3595" i="1"/>
  <c r="Q3380" i="1"/>
  <c r="U2304" i="1"/>
  <c r="P1173" i="1"/>
  <c r="K516" i="1"/>
  <c r="H1055" i="1"/>
  <c r="U2968" i="1"/>
  <c r="H1886" i="1"/>
  <c r="U3234" i="1"/>
  <c r="U952" i="1"/>
  <c r="U2967" i="1"/>
  <c r="D1365" i="1"/>
  <c r="I1446" i="1"/>
  <c r="H2907" i="1"/>
  <c r="Q1237" i="1"/>
  <c r="P753" i="1"/>
  <c r="U3384" i="1"/>
  <c r="O2887" i="1"/>
  <c r="Q1782" i="1"/>
  <c r="AT855" i="1"/>
  <c r="H1566" i="1"/>
  <c r="U2818" i="1"/>
  <c r="U1658" i="1"/>
  <c r="U2502" i="1"/>
  <c r="U753" i="1"/>
  <c r="Q1501" i="1"/>
  <c r="P3588" i="1"/>
  <c r="D2832" i="1"/>
  <c r="N1522" i="1"/>
  <c r="H1856" i="1"/>
  <c r="P466" i="1"/>
  <c r="I1788" i="1"/>
  <c r="H1677" i="1"/>
  <c r="AT1211" i="1"/>
  <c r="M3610" i="1"/>
  <c r="Q1526" i="1"/>
  <c r="N1255" i="1"/>
  <c r="O3453" i="1"/>
  <c r="N1641" i="1"/>
  <c r="AT1668" i="1"/>
  <c r="AT414" i="1"/>
  <c r="J55" i="1"/>
  <c r="K567" i="1"/>
  <c r="AT3222" i="1"/>
  <c r="Q1295" i="1"/>
  <c r="M3238" i="1"/>
  <c r="N2436" i="1"/>
  <c r="I2975" i="1"/>
  <c r="U2853" i="1"/>
  <c r="U924" i="1"/>
  <c r="K3007" i="1"/>
  <c r="K1443" i="1"/>
  <c r="K2447" i="1"/>
  <c r="K2513" i="1"/>
  <c r="I1952" i="1"/>
  <c r="H3" i="1"/>
  <c r="K427" i="1"/>
  <c r="K3024" i="1"/>
  <c r="Q192" i="1"/>
  <c r="Q741" i="1"/>
  <c r="O1789" i="1"/>
  <c r="M3296" i="1"/>
  <c r="N3215" i="1"/>
  <c r="I1935" i="1"/>
  <c r="P1209" i="1"/>
  <c r="N3077" i="1"/>
  <c r="I1389" i="1"/>
  <c r="M1295" i="1"/>
  <c r="AT1695" i="1"/>
  <c r="O553" i="1"/>
  <c r="O2442" i="1"/>
  <c r="D2325" i="1"/>
  <c r="AT1195" i="1"/>
  <c r="O359" i="1"/>
  <c r="AT1607" i="1"/>
  <c r="D3511" i="1"/>
  <c r="AT2240" i="1"/>
  <c r="U208" i="1"/>
  <c r="U2820" i="1"/>
  <c r="M333" i="1"/>
  <c r="O3030" i="1"/>
  <c r="O1995" i="1"/>
  <c r="Q3168" i="1"/>
  <c r="M1151" i="1"/>
  <c r="H2413" i="1"/>
  <c r="I1819" i="1"/>
  <c r="U2481" i="1"/>
  <c r="AT3443" i="1"/>
  <c r="Q534" i="1"/>
  <c r="I1393" i="1"/>
  <c r="O477" i="1"/>
  <c r="O948" i="1"/>
  <c r="M1679" i="1"/>
  <c r="N900" i="1"/>
  <c r="I3418" i="1"/>
  <c r="O302" i="1"/>
  <c r="N1906" i="1"/>
  <c r="M3407" i="1"/>
  <c r="D3555" i="1"/>
  <c r="O3291" i="1"/>
  <c r="J1305" i="1"/>
  <c r="J1128" i="1"/>
  <c r="D72" i="1"/>
  <c r="U2251" i="1"/>
  <c r="D2946" i="1"/>
  <c r="P3473" i="1"/>
  <c r="AT2561" i="1"/>
  <c r="M3121" i="1"/>
  <c r="U3515" i="1"/>
  <c r="H3589" i="1"/>
  <c r="I1059" i="1"/>
  <c r="M1473" i="1"/>
  <c r="U1038" i="1"/>
  <c r="M2091" i="1"/>
  <c r="Q3163" i="1"/>
  <c r="N2990" i="1"/>
  <c r="P2907" i="1"/>
  <c r="Q1792" i="1"/>
  <c r="K3641" i="1"/>
  <c r="J2831" i="1"/>
  <c r="K2076" i="1"/>
  <c r="I230" i="1"/>
  <c r="I406" i="1"/>
  <c r="I1140" i="1"/>
  <c r="H1971" i="1"/>
  <c r="H1387" i="1"/>
  <c r="J1260" i="1"/>
  <c r="P740" i="1"/>
  <c r="M2722" i="1"/>
  <c r="P1975" i="1"/>
  <c r="N3063" i="1"/>
  <c r="D2307" i="1"/>
  <c r="M818" i="1"/>
  <c r="O3218" i="1"/>
  <c r="N2378" i="1"/>
  <c r="M1343" i="1"/>
  <c r="N2888" i="1"/>
  <c r="N2666" i="1"/>
  <c r="D2093" i="1"/>
  <c r="D3083" i="1"/>
  <c r="U490" i="1"/>
  <c r="Q1227" i="1"/>
  <c r="D3350" i="1"/>
  <c r="D1572" i="1"/>
  <c r="N1040" i="1"/>
  <c r="D1167" i="1"/>
  <c r="D3144" i="1"/>
  <c r="Q1378" i="1"/>
  <c r="P3289" i="1"/>
  <c r="P3599" i="1"/>
  <c r="AT2390" i="1"/>
  <c r="AT3155" i="1"/>
  <c r="K2154" i="1"/>
  <c r="D1117" i="1"/>
  <c r="H3436" i="1"/>
  <c r="O605" i="1"/>
  <c r="O184" i="1"/>
  <c r="M1834" i="1"/>
  <c r="M2098" i="1"/>
  <c r="H380" i="1"/>
  <c r="H2577" i="1"/>
  <c r="M3213" i="1"/>
  <c r="D3108" i="1"/>
  <c r="Q802" i="1"/>
  <c r="I1702" i="1"/>
  <c r="P2915" i="1"/>
  <c r="M811" i="1"/>
  <c r="I1619" i="1"/>
  <c r="H653" i="1"/>
  <c r="K618" i="1"/>
  <c r="K761" i="1"/>
  <c r="Q1752" i="1"/>
  <c r="P1538" i="1"/>
  <c r="P3283" i="1"/>
  <c r="U2775" i="1"/>
  <c r="H159" i="1"/>
  <c r="Q1187" i="1"/>
  <c r="U939" i="1"/>
  <c r="U2812" i="1"/>
  <c r="U1221" i="1"/>
  <c r="Q360" i="1"/>
  <c r="Q2279" i="1"/>
  <c r="H2562" i="1"/>
  <c r="U3130" i="1"/>
  <c r="U419" i="1"/>
  <c r="Q1970" i="1"/>
  <c r="J2998" i="1"/>
  <c r="O1247" i="1"/>
  <c r="U1796" i="1"/>
  <c r="H3237" i="1"/>
  <c r="P2856" i="1"/>
  <c r="O463" i="1"/>
  <c r="D3245" i="1"/>
  <c r="J54" i="1"/>
  <c r="K1300" i="1"/>
  <c r="I2004" i="1"/>
  <c r="I1654" i="1"/>
  <c r="I568" i="1"/>
  <c r="N996" i="1"/>
  <c r="J3201" i="1"/>
  <c r="U2852" i="1"/>
  <c r="M805" i="1"/>
  <c r="U3233" i="1"/>
  <c r="Q344" i="1"/>
  <c r="D2495" i="1"/>
  <c r="N3359" i="1"/>
  <c r="K2408" i="1"/>
  <c r="K448" i="1"/>
  <c r="J1654" i="1"/>
  <c r="Q1068" i="1"/>
  <c r="P2980" i="1"/>
  <c r="Q2215" i="1"/>
  <c r="J2000" i="1"/>
  <c r="U3396" i="1"/>
  <c r="P546" i="1"/>
  <c r="M3636" i="1"/>
  <c r="Q2470" i="1"/>
  <c r="D25" i="1"/>
  <c r="P1132" i="1"/>
  <c r="I364" i="1"/>
  <c r="H1700" i="1"/>
  <c r="J2028" i="1"/>
  <c r="Q3632" i="1"/>
  <c r="Q1546" i="1"/>
  <c r="I1556" i="1"/>
  <c r="I2846" i="1"/>
  <c r="I254" i="1"/>
  <c r="U1915" i="1"/>
  <c r="Q2082" i="1"/>
  <c r="J2617" i="1"/>
  <c r="U440" i="1"/>
  <c r="U2389" i="1"/>
  <c r="J1274" i="1"/>
  <c r="M3284" i="1"/>
  <c r="M2136" i="1"/>
  <c r="P3576" i="1"/>
  <c r="K2903" i="1"/>
  <c r="N134" i="1"/>
  <c r="O2955" i="1"/>
  <c r="P404" i="1"/>
  <c r="H443" i="1"/>
  <c r="U1068" i="1"/>
  <c r="P435" i="1"/>
  <c r="J228" i="1"/>
  <c r="O1351" i="1"/>
  <c r="P182" i="1"/>
  <c r="D439" i="1"/>
  <c r="U2143" i="1"/>
  <c r="AT3058" i="1"/>
  <c r="AT2192" i="1"/>
  <c r="AT2863" i="1"/>
  <c r="N2171" i="1"/>
  <c r="U1351" i="1"/>
  <c r="I1587" i="1"/>
  <c r="I371" i="1"/>
  <c r="D1118" i="1"/>
  <c r="Q701" i="1"/>
  <c r="D3101" i="1"/>
  <c r="I797" i="1"/>
  <c r="K1552" i="1"/>
  <c r="U801" i="1"/>
  <c r="U3568" i="1"/>
  <c r="I2739" i="1"/>
  <c r="O1506" i="1"/>
  <c r="O1804" i="1"/>
  <c r="N3256" i="1"/>
  <c r="Q1961" i="1"/>
  <c r="P363" i="1"/>
  <c r="J2919" i="1"/>
  <c r="N2402" i="1"/>
  <c r="U3063" i="1"/>
  <c r="U1492" i="1"/>
  <c r="J2592" i="1"/>
  <c r="H3183" i="1"/>
  <c r="Q2815" i="1"/>
  <c r="H1977" i="1"/>
  <c r="H975" i="1"/>
  <c r="O2601" i="1"/>
  <c r="N1437" i="1"/>
  <c r="O2985" i="1"/>
  <c r="H3125" i="1"/>
  <c r="D1081" i="1"/>
  <c r="O1205" i="1"/>
  <c r="Q1976" i="1"/>
  <c r="Q2554" i="1"/>
  <c r="N987" i="1"/>
  <c r="U3169" i="1"/>
  <c r="U1722" i="1"/>
  <c r="O966" i="1"/>
  <c r="H1184" i="1"/>
  <c r="Q1509" i="1"/>
  <c r="D1272" i="1"/>
  <c r="O358" i="1"/>
  <c r="O3107" i="1"/>
  <c r="M1115" i="1"/>
  <c r="U2006" i="1"/>
  <c r="D1759" i="1"/>
  <c r="K2440" i="1"/>
  <c r="J189" i="1"/>
  <c r="N3180" i="1"/>
  <c r="I1494" i="1"/>
  <c r="K1260" i="1"/>
  <c r="H1182" i="1"/>
  <c r="O2930" i="1"/>
  <c r="N388" i="1"/>
  <c r="Q2159" i="1"/>
  <c r="I820" i="1"/>
  <c r="AT3567" i="1"/>
  <c r="AT2577" i="1"/>
  <c r="H1578" i="1"/>
  <c r="AT1806" i="1"/>
  <c r="M1420" i="1"/>
  <c r="D1908" i="1"/>
  <c r="K1843" i="1"/>
  <c r="AT3092" i="1"/>
  <c r="D1656" i="1"/>
  <c r="Q121" i="1"/>
  <c r="N3455" i="1"/>
  <c r="H2211" i="1"/>
  <c r="O2933" i="1"/>
  <c r="N3295" i="1"/>
  <c r="J3058" i="1"/>
  <c r="H1089" i="1"/>
  <c r="D3230" i="1"/>
  <c r="J204" i="1"/>
  <c r="J272" i="1"/>
  <c r="H1073" i="1"/>
  <c r="AT3311" i="1"/>
  <c r="U281" i="1"/>
  <c r="P3032" i="1"/>
  <c r="D629" i="1"/>
  <c r="U2463" i="1"/>
  <c r="I582" i="1"/>
  <c r="I2231" i="1"/>
  <c r="P1758" i="1"/>
  <c r="P3450" i="1"/>
  <c r="N3413" i="1"/>
  <c r="U2392" i="1"/>
  <c r="P1515" i="1"/>
  <c r="M2756" i="1"/>
  <c r="K3262" i="1"/>
  <c r="M3201" i="1"/>
  <c r="M1549" i="1"/>
  <c r="D3539" i="1"/>
  <c r="U467" i="1"/>
  <c r="I2989" i="1"/>
  <c r="Q2232" i="1"/>
  <c r="H1631" i="1"/>
  <c r="Q3257" i="1"/>
  <c r="D2906" i="1"/>
  <c r="Q123" i="1"/>
  <c r="P2958" i="1"/>
  <c r="H2874" i="1"/>
  <c r="Q3070" i="1"/>
  <c r="O1992" i="1"/>
  <c r="Q111" i="1"/>
  <c r="P3071" i="1"/>
  <c r="M587" i="1"/>
  <c r="K1809" i="1"/>
  <c r="M58" i="1"/>
  <c r="N721" i="1"/>
  <c r="M3119" i="1"/>
  <c r="D68" i="1"/>
  <c r="H2876" i="1"/>
  <c r="K1528" i="1"/>
  <c r="K782" i="1"/>
  <c r="Q1890" i="1"/>
  <c r="K1749" i="1"/>
  <c r="H1875" i="1"/>
  <c r="I1578" i="1"/>
  <c r="H2975" i="1"/>
  <c r="I2197" i="1"/>
  <c r="I1290" i="1"/>
  <c r="K661" i="1"/>
  <c r="H1276" i="1"/>
  <c r="J1630" i="1"/>
  <c r="H982" i="1"/>
  <c r="U790" i="1"/>
  <c r="I3069" i="1"/>
  <c r="M1909" i="1"/>
  <c r="Q1467" i="1"/>
  <c r="K3060" i="1"/>
  <c r="P1761" i="1"/>
  <c r="U953" i="1"/>
  <c r="N448" i="1"/>
  <c r="M1121" i="1"/>
  <c r="N1011" i="1"/>
  <c r="K2702" i="1"/>
  <c r="D2343" i="1"/>
  <c r="H616" i="1"/>
  <c r="U2752" i="1"/>
  <c r="H297" i="1"/>
  <c r="I3411" i="1"/>
  <c r="K3158" i="1"/>
  <c r="Q142" i="1"/>
  <c r="H1341" i="1"/>
  <c r="AT1559" i="1"/>
  <c r="J1464" i="1"/>
  <c r="J2219" i="1"/>
  <c r="I1958" i="1"/>
  <c r="I121" i="1"/>
  <c r="H3534" i="1"/>
  <c r="O1542" i="1"/>
  <c r="I3144" i="1"/>
  <c r="J3155" i="1"/>
  <c r="I2678" i="1"/>
  <c r="H2515" i="1"/>
  <c r="I2573" i="1"/>
  <c r="U3171" i="1"/>
  <c r="I1943" i="1"/>
  <c r="K38" i="1"/>
  <c r="D3264" i="1"/>
  <c r="H1757" i="1"/>
  <c r="I2163" i="1"/>
  <c r="M938" i="1"/>
  <c r="M736" i="1"/>
  <c r="O3544" i="1"/>
  <c r="U3334" i="1"/>
  <c r="D2296" i="1"/>
  <c r="M2189" i="1"/>
  <c r="J1016" i="1"/>
  <c r="U3133" i="1"/>
  <c r="P2965" i="1"/>
  <c r="P26" i="1"/>
  <c r="D154" i="1"/>
  <c r="Q393" i="1"/>
  <c r="O2983" i="1"/>
  <c r="J1211" i="1"/>
  <c r="J3374" i="1"/>
  <c r="P3418" i="1"/>
  <c r="K2816" i="1"/>
  <c r="U1176" i="1"/>
  <c r="J3527" i="1"/>
  <c r="Q2328" i="1"/>
  <c r="J3151" i="1"/>
  <c r="H1773" i="1"/>
  <c r="U3603" i="1"/>
  <c r="U346" i="1"/>
  <c r="Q292" i="1"/>
  <c r="M186" i="1"/>
  <c r="N2965" i="1"/>
  <c r="N2752" i="1"/>
  <c r="I976" i="1"/>
  <c r="N1795" i="1"/>
  <c r="N980" i="1"/>
  <c r="D3202" i="1"/>
  <c r="I2944" i="1"/>
  <c r="Q3214" i="1"/>
  <c r="N3514" i="1"/>
  <c r="P2376" i="1"/>
  <c r="O3159" i="1"/>
  <c r="J2489" i="1"/>
  <c r="D886" i="1"/>
  <c r="D2514" i="1"/>
  <c r="H368" i="1"/>
  <c r="U1066" i="1"/>
  <c r="H1994" i="1"/>
  <c r="M2487" i="1"/>
  <c r="D748" i="1"/>
  <c r="H1853" i="1"/>
  <c r="Q1832" i="1"/>
  <c r="U2517" i="1"/>
  <c r="K1214" i="1"/>
  <c r="O1370" i="1"/>
  <c r="N974" i="1"/>
  <c r="J198" i="1"/>
  <c r="U1655" i="1"/>
  <c r="K1767" i="1"/>
  <c r="I2693" i="1"/>
  <c r="K1762" i="1"/>
  <c r="K498" i="1"/>
  <c r="AT3017" i="1"/>
  <c r="J1094" i="1"/>
  <c r="J2525" i="1"/>
  <c r="Q2103" i="1"/>
  <c r="Q3415" i="1"/>
  <c r="P1125" i="1"/>
  <c r="J3309" i="1"/>
  <c r="M2198" i="1"/>
  <c r="I1443" i="1"/>
  <c r="J1747" i="1"/>
  <c r="U2661" i="1"/>
  <c r="K1546" i="1"/>
  <c r="H1098" i="1"/>
  <c r="Q1461" i="1"/>
  <c r="H1097" i="1"/>
  <c r="J874" i="1"/>
  <c r="U3360" i="1"/>
  <c r="J1253" i="1"/>
  <c r="U1123" i="1"/>
  <c r="D982" i="1"/>
  <c r="J818" i="1"/>
  <c r="H769" i="1"/>
  <c r="Q2691" i="1"/>
  <c r="K3268" i="1"/>
  <c r="Q854" i="1"/>
  <c r="J2277" i="1"/>
  <c r="Q554" i="1"/>
  <c r="U473" i="1"/>
  <c r="H408" i="1"/>
  <c r="Q3219" i="1"/>
  <c r="J2603" i="1"/>
  <c r="AT2149" i="1"/>
  <c r="J1125" i="1"/>
  <c r="K3333" i="1"/>
  <c r="Q2946" i="1"/>
  <c r="Q120" i="1"/>
  <c r="P3535" i="1"/>
  <c r="I2967" i="1"/>
  <c r="O2657" i="1"/>
  <c r="O2763" i="1"/>
  <c r="N952" i="1"/>
  <c r="I3262" i="1"/>
  <c r="N769" i="1"/>
  <c r="AT2627" i="1"/>
  <c r="H2218" i="1"/>
  <c r="J3248" i="1"/>
  <c r="D807" i="1"/>
  <c r="M868" i="1"/>
  <c r="D2884" i="1"/>
  <c r="N3589" i="1"/>
  <c r="D2997" i="1"/>
  <c r="AT3446" i="1"/>
  <c r="Q1238" i="1"/>
  <c r="P2058" i="1"/>
  <c r="D3187" i="1"/>
  <c r="AT459" i="1"/>
  <c r="AT1006" i="1"/>
  <c r="AT2955" i="1"/>
  <c r="AT2204" i="1"/>
  <c r="J2472" i="1"/>
  <c r="H2142" i="1"/>
  <c r="Q1274" i="1"/>
  <c r="I3401" i="1"/>
  <c r="O2876" i="1"/>
  <c r="I1758" i="1"/>
  <c r="O1440" i="1"/>
  <c r="I1000" i="1"/>
  <c r="D430" i="1"/>
  <c r="I3192" i="1"/>
  <c r="H1581" i="1"/>
  <c r="U1961" i="1"/>
  <c r="M3506" i="1"/>
  <c r="M1191" i="1"/>
  <c r="D1624" i="1"/>
  <c r="P494" i="1"/>
  <c r="N1093" i="1"/>
  <c r="O505" i="1"/>
  <c r="P841" i="1"/>
  <c r="D2684" i="1"/>
  <c r="P564" i="1"/>
  <c r="P1123" i="1"/>
  <c r="K898" i="1"/>
  <c r="D1682" i="1"/>
  <c r="D1501" i="1"/>
  <c r="M1695" i="1"/>
  <c r="N576" i="1"/>
  <c r="AT1041" i="1"/>
  <c r="H185" i="1"/>
  <c r="Q2609" i="1"/>
  <c r="I3406" i="1"/>
  <c r="M385" i="1"/>
  <c r="O383" i="1"/>
  <c r="I742" i="1"/>
  <c r="M2788" i="1"/>
  <c r="J1865" i="1"/>
  <c r="K844" i="1"/>
  <c r="I1524" i="1"/>
  <c r="H2612" i="1"/>
  <c r="P493" i="1"/>
  <c r="N1623" i="1"/>
  <c r="AT2099" i="1"/>
  <c r="N714" i="1"/>
  <c r="D343" i="1"/>
  <c r="D989" i="1"/>
  <c r="H3325" i="1"/>
  <c r="P661" i="1"/>
  <c r="D622" i="1"/>
  <c r="N284" i="1"/>
  <c r="D1643" i="1"/>
  <c r="M2981" i="1"/>
  <c r="O1607" i="1"/>
  <c r="D122" i="1"/>
  <c r="O886" i="1"/>
  <c r="O262" i="1"/>
  <c r="AT2256" i="1"/>
  <c r="N1663" i="1"/>
  <c r="D1921" i="1"/>
  <c r="D2969" i="1"/>
  <c r="Q1806" i="1"/>
  <c r="AT3433" i="1"/>
  <c r="Q1673" i="1"/>
  <c r="U2267" i="1"/>
  <c r="Q1584" i="1"/>
  <c r="D1198" i="1"/>
  <c r="I2391" i="1"/>
  <c r="J2791" i="1"/>
  <c r="J2434" i="1"/>
  <c r="P2415" i="1"/>
  <c r="Q2050" i="1"/>
  <c r="P2440" i="1"/>
  <c r="O1853" i="1"/>
  <c r="O1063" i="1"/>
  <c r="M3170" i="1"/>
  <c r="Q3036" i="1"/>
  <c r="I280" i="1"/>
  <c r="H271" i="1"/>
  <c r="I792" i="1"/>
  <c r="J2544" i="1"/>
  <c r="U2292" i="1"/>
  <c r="K754" i="1"/>
  <c r="K2979" i="1"/>
  <c r="H665" i="1"/>
  <c r="U3071" i="1"/>
  <c r="H1915" i="1"/>
  <c r="Q1808" i="1"/>
  <c r="H1052" i="1"/>
  <c r="Q1776" i="1"/>
  <c r="Q3129" i="1"/>
  <c r="I373" i="1"/>
  <c r="I83" i="1"/>
  <c r="P2686" i="1"/>
  <c r="J1669" i="1"/>
  <c r="P1242" i="1"/>
  <c r="J2331" i="1"/>
  <c r="O3486" i="1"/>
  <c r="J2923" i="1"/>
  <c r="H3122" i="1"/>
  <c r="P2714" i="1"/>
  <c r="J1523" i="1"/>
  <c r="Q2856" i="1"/>
  <c r="K727" i="1"/>
  <c r="H66" i="1"/>
  <c r="I1585" i="1"/>
  <c r="I2620" i="1"/>
  <c r="K2324" i="1"/>
  <c r="U1873" i="1"/>
  <c r="I708" i="1"/>
  <c r="Q163" i="1"/>
  <c r="H387" i="1"/>
  <c r="Q2408" i="1"/>
  <c r="H986" i="1"/>
  <c r="H2176" i="1"/>
  <c r="J914" i="1"/>
  <c r="U3296" i="1"/>
  <c r="Q3086" i="1"/>
  <c r="J2699" i="1"/>
  <c r="P2205" i="1"/>
  <c r="I1637" i="1"/>
  <c r="P982" i="1"/>
  <c r="P3124" i="1"/>
  <c r="H1010" i="1"/>
  <c r="N2800" i="1"/>
  <c r="J3548" i="1"/>
  <c r="H2139" i="1"/>
  <c r="I1562" i="1"/>
  <c r="J3593" i="1"/>
  <c r="I903" i="1"/>
  <c r="I2468" i="1"/>
  <c r="M1268" i="1"/>
  <c r="K1277" i="1"/>
  <c r="U1212" i="1"/>
  <c r="Q1319" i="1"/>
  <c r="Q2393" i="1"/>
  <c r="Q224" i="1"/>
  <c r="P292" i="1"/>
  <c r="P876" i="1"/>
  <c r="U1333" i="1"/>
  <c r="Q1500" i="1"/>
  <c r="O252" i="1"/>
  <c r="D3272" i="1"/>
  <c r="D801" i="1"/>
  <c r="P3358" i="1"/>
  <c r="O3333" i="1"/>
  <c r="AT2341" i="1"/>
  <c r="M2552" i="1"/>
  <c r="D1161" i="1"/>
  <c r="U3237" i="1"/>
  <c r="H3404" i="1"/>
  <c r="H2443" i="1"/>
  <c r="Q1403" i="1"/>
  <c r="Q35" i="1"/>
  <c r="Q3271" i="1"/>
  <c r="AT1529" i="1"/>
  <c r="I2917" i="1"/>
  <c r="J3487" i="1"/>
  <c r="AT2399" i="1"/>
  <c r="U3533" i="1"/>
  <c r="I1948" i="1"/>
  <c r="M2024" i="1"/>
  <c r="U727" i="1"/>
  <c r="Q3175" i="1"/>
  <c r="Q1747" i="1"/>
  <c r="I1780" i="1"/>
  <c r="P505" i="1"/>
  <c r="P650" i="1"/>
  <c r="P1743" i="1"/>
  <c r="U2843" i="1"/>
  <c r="D2766" i="1"/>
  <c r="N1464" i="1"/>
  <c r="D1791" i="1"/>
  <c r="H2662" i="1"/>
  <c r="I1474" i="1"/>
  <c r="D1918" i="1"/>
  <c r="O1701" i="1"/>
  <c r="U3194" i="1"/>
  <c r="O2439" i="1"/>
  <c r="O1089" i="1"/>
  <c r="O1356" i="1"/>
  <c r="N2919" i="1"/>
  <c r="P1421" i="1"/>
  <c r="M1126" i="1"/>
  <c r="O3522" i="1"/>
  <c r="AT2319" i="1"/>
  <c r="M3308" i="1"/>
  <c r="AT173" i="1"/>
  <c r="H3106" i="1"/>
  <c r="Q703" i="1"/>
  <c r="P2949" i="1"/>
  <c r="AT2672" i="1"/>
  <c r="AT3254" i="1"/>
  <c r="AT342" i="1"/>
  <c r="O3198" i="1"/>
  <c r="N2168" i="1"/>
  <c r="I2301" i="1"/>
  <c r="U1015" i="1"/>
  <c r="AT2456" i="1"/>
  <c r="D1922" i="1"/>
  <c r="AT1537" i="1"/>
  <c r="M2520" i="1"/>
  <c r="M3314" i="1"/>
  <c r="K1915" i="1"/>
  <c r="H3041" i="1"/>
  <c r="D800" i="1"/>
  <c r="D808" i="1"/>
  <c r="D1769" i="1"/>
  <c r="M2657" i="1"/>
  <c r="M2051" i="1"/>
  <c r="AT2398" i="1"/>
  <c r="K3343" i="1"/>
  <c r="AT883" i="1"/>
  <c r="D3086" i="1"/>
  <c r="M1387" i="1"/>
  <c r="K1135" i="1"/>
  <c r="N1576" i="1"/>
  <c r="AT1107" i="1"/>
  <c r="O3439" i="1"/>
  <c r="I2906" i="1"/>
  <c r="P1398" i="1"/>
  <c r="J1873" i="1"/>
  <c r="H1360" i="1"/>
  <c r="N3548" i="1"/>
  <c r="Q2151" i="1"/>
  <c r="Q2897" i="1"/>
  <c r="O2298" i="1"/>
  <c r="U1051" i="1"/>
  <c r="O1944" i="1"/>
  <c r="I334" i="1"/>
  <c r="U173" i="1"/>
  <c r="H995" i="1"/>
  <c r="U2592" i="1"/>
  <c r="O3240" i="1"/>
  <c r="N1609" i="1"/>
  <c r="AT1470" i="1"/>
  <c r="M1708" i="1"/>
  <c r="Q2395" i="1"/>
  <c r="I2213" i="1"/>
  <c r="K523" i="1"/>
  <c r="U1371" i="1"/>
  <c r="Q429" i="1"/>
  <c r="U2069" i="1"/>
  <c r="O616" i="1"/>
  <c r="O970" i="1"/>
  <c r="H3516" i="1"/>
  <c r="Q104" i="1"/>
  <c r="N3013" i="1"/>
  <c r="N948" i="1"/>
  <c r="Q3104" i="1"/>
  <c r="N3145" i="1"/>
  <c r="H3204" i="1"/>
  <c r="P32" i="1"/>
  <c r="D3277" i="1"/>
  <c r="D2046" i="1"/>
  <c r="I2233" i="1"/>
  <c r="O1019" i="1"/>
  <c r="N574" i="1"/>
  <c r="AT2412" i="1"/>
  <c r="Q676" i="1"/>
  <c r="N3312" i="1"/>
  <c r="AT1321" i="1"/>
  <c r="P2456" i="1"/>
  <c r="I1145" i="1"/>
  <c r="D3092" i="1"/>
  <c r="M3304" i="1"/>
  <c r="I3474" i="1"/>
  <c r="P1805" i="1"/>
  <c r="U2787" i="1"/>
  <c r="U274" i="1"/>
  <c r="Q3399" i="1"/>
  <c r="M2045" i="1"/>
  <c r="P2463" i="1"/>
  <c r="O2490" i="1"/>
  <c r="U2674" i="1"/>
  <c r="Q2262" i="1"/>
  <c r="D2340" i="1"/>
  <c r="AT3143" i="1"/>
  <c r="P2397" i="1"/>
  <c r="M2838" i="1"/>
  <c r="J332" i="1"/>
  <c r="P135" i="1"/>
  <c r="N1874" i="1"/>
  <c r="M1185" i="1"/>
  <c r="M1929" i="1"/>
  <c r="I2949" i="1"/>
  <c r="N971" i="1"/>
  <c r="AT2653" i="1"/>
  <c r="O1774" i="1"/>
  <c r="K1338" i="1"/>
  <c r="D2615" i="1"/>
  <c r="K2620" i="1"/>
  <c r="U2864" i="1"/>
  <c r="K2244" i="1"/>
  <c r="N3106" i="1"/>
  <c r="N1890" i="1"/>
  <c r="N1905" i="1"/>
  <c r="J1364" i="1"/>
  <c r="P3222" i="1"/>
  <c r="Q1443" i="1"/>
  <c r="O846" i="1"/>
  <c r="J1296" i="1"/>
  <c r="D2840" i="1"/>
  <c r="AT2607" i="1"/>
  <c r="AT248" i="1"/>
  <c r="I1993" i="1"/>
  <c r="AT102" i="1"/>
  <c r="AT1435" i="1"/>
  <c r="AT1849" i="1"/>
  <c r="U3010" i="1"/>
  <c r="N2875" i="1"/>
  <c r="D1481" i="1"/>
  <c r="P1347" i="1"/>
  <c r="O2798" i="1"/>
  <c r="D3383" i="1"/>
  <c r="J2101" i="1"/>
  <c r="Q3381" i="1"/>
  <c r="P2192" i="1"/>
  <c r="Q2914" i="1"/>
  <c r="I392" i="1"/>
  <c r="AT3239" i="1"/>
  <c r="I2148" i="1"/>
  <c r="AT133" i="1"/>
  <c r="P1329" i="1"/>
  <c r="U1062" i="1"/>
  <c r="P1356" i="1"/>
  <c r="M1871" i="1"/>
  <c r="U2409" i="1"/>
  <c r="H581" i="1"/>
  <c r="M2587" i="1"/>
  <c r="N1091" i="1"/>
  <c r="J271" i="1"/>
  <c r="M860" i="1"/>
  <c r="AT2625" i="1"/>
  <c r="D1696" i="1"/>
  <c r="M3321" i="1"/>
  <c r="N2605" i="1"/>
  <c r="D2076" i="1"/>
  <c r="U2548" i="1"/>
  <c r="M2568" i="1"/>
  <c r="J3636" i="1"/>
  <c r="I3246" i="1"/>
  <c r="M200" i="1"/>
  <c r="P194" i="1"/>
  <c r="D485" i="1"/>
  <c r="D1197" i="1"/>
  <c r="U3002" i="1"/>
  <c r="K3129" i="1"/>
  <c r="P2514" i="1"/>
  <c r="H863" i="1"/>
  <c r="O1222" i="1"/>
  <c r="U632" i="1"/>
  <c r="K787" i="1"/>
  <c r="Q124" i="1"/>
  <c r="I2942" i="1"/>
  <c r="P2246" i="1"/>
  <c r="J1349" i="1"/>
  <c r="O1446" i="1"/>
  <c r="M765" i="1"/>
  <c r="N1990" i="1"/>
  <c r="N2858" i="1"/>
  <c r="O46" i="1"/>
  <c r="O3208" i="1"/>
  <c r="M529" i="1"/>
  <c r="O670" i="1"/>
  <c r="H278" i="1"/>
  <c r="D483" i="1"/>
  <c r="P1566" i="1"/>
  <c r="D1076" i="1"/>
  <c r="J3143" i="1"/>
  <c r="H1478" i="1"/>
  <c r="M2436" i="1"/>
  <c r="M3267" i="1"/>
  <c r="K1192" i="1"/>
  <c r="M2084" i="1"/>
  <c r="I1369" i="1"/>
  <c r="O937" i="1"/>
  <c r="U2003" i="1"/>
  <c r="H3253" i="1"/>
  <c r="U1899" i="1"/>
  <c r="O3043" i="1"/>
  <c r="J2110" i="1"/>
  <c r="O2544" i="1"/>
  <c r="I1777" i="1"/>
  <c r="M2285" i="1"/>
  <c r="O2573" i="1"/>
  <c r="O1396" i="1"/>
  <c r="M2840" i="1"/>
  <c r="U2049" i="1"/>
  <c r="H2829" i="1"/>
  <c r="Q3521" i="1"/>
  <c r="U1279" i="1"/>
  <c r="U3265" i="1"/>
  <c r="D1021" i="1"/>
  <c r="D3584" i="1"/>
  <c r="P2711" i="1"/>
  <c r="N2556" i="1"/>
  <c r="H2425" i="1"/>
  <c r="U595" i="1"/>
  <c r="I598" i="1"/>
  <c r="M654" i="1"/>
  <c r="P1018" i="1"/>
  <c r="D1854" i="1"/>
  <c r="I58" i="1"/>
  <c r="P559" i="1"/>
  <c r="AT1706" i="1"/>
  <c r="AT1871" i="1"/>
  <c r="O1945" i="1"/>
  <c r="P3030" i="1"/>
  <c r="M1402" i="1"/>
  <c r="Q3078" i="1"/>
  <c r="J1983" i="1"/>
  <c r="O1910" i="1"/>
  <c r="J2148" i="1"/>
  <c r="U1876" i="1"/>
  <c r="U3634" i="1"/>
  <c r="I3407" i="1"/>
  <c r="I3060" i="1"/>
  <c r="H3132" i="1"/>
  <c r="U807" i="1"/>
  <c r="Q1549" i="1"/>
  <c r="U2070" i="1"/>
  <c r="I3217" i="1"/>
  <c r="K1010" i="1"/>
  <c r="I3118" i="1"/>
  <c r="H1282" i="1"/>
  <c r="H2514" i="1"/>
  <c r="I770" i="1"/>
  <c r="P1167" i="1"/>
  <c r="M2896" i="1"/>
  <c r="H3127" i="1"/>
  <c r="I3453" i="1"/>
  <c r="H2561" i="1"/>
  <c r="J1072" i="1"/>
  <c r="P585" i="1"/>
  <c r="AT1425" i="1"/>
  <c r="K3474" i="1"/>
  <c r="O3130" i="1"/>
  <c r="O1490" i="1"/>
  <c r="M718" i="1"/>
  <c r="M3322" i="1"/>
  <c r="D65" i="1"/>
  <c r="M1725" i="1"/>
  <c r="O2801" i="1"/>
  <c r="Q1906" i="1"/>
  <c r="U1872" i="1"/>
  <c r="D1898" i="1"/>
  <c r="P821" i="1"/>
  <c r="I2446" i="1"/>
  <c r="Q382" i="1"/>
  <c r="K2698" i="1"/>
  <c r="J3472" i="1"/>
  <c r="J3303" i="1"/>
  <c r="Q3619" i="1"/>
  <c r="I463" i="1"/>
  <c r="H578" i="1"/>
  <c r="U2743" i="1"/>
  <c r="Q493" i="1"/>
  <c r="O931" i="1"/>
  <c r="N3348" i="1"/>
  <c r="K3560" i="1"/>
  <c r="K3424" i="1"/>
  <c r="H2948" i="1"/>
  <c r="H1776" i="1"/>
  <c r="U1705" i="1"/>
  <c r="N777" i="1"/>
  <c r="H12" i="1"/>
  <c r="U537" i="1"/>
  <c r="U3292" i="1"/>
  <c r="N3241" i="1"/>
  <c r="U693" i="1"/>
  <c r="N1084" i="1"/>
  <c r="U2778" i="1"/>
  <c r="N1498" i="1"/>
  <c r="I713" i="1"/>
  <c r="H2388" i="1"/>
  <c r="Q2657" i="1"/>
  <c r="D2292" i="1"/>
  <c r="Q2367" i="1"/>
  <c r="I3012" i="1"/>
  <c r="Q2677" i="1"/>
  <c r="U2157" i="1"/>
  <c r="I1061" i="1"/>
  <c r="Q3044" i="1"/>
  <c r="K980" i="1"/>
  <c r="H3263" i="1"/>
  <c r="J757" i="1"/>
  <c r="H2006" i="1"/>
  <c r="U38" i="1"/>
  <c r="Q1050" i="1"/>
  <c r="Q1148" i="1"/>
  <c r="N2545" i="1"/>
  <c r="O3562" i="1"/>
  <c r="I2717" i="1"/>
  <c r="N3422" i="1"/>
  <c r="U289" i="1"/>
  <c r="D1803" i="1"/>
  <c r="AT3107" i="1"/>
  <c r="H35" i="1"/>
  <c r="I3502" i="1"/>
  <c r="D958" i="1"/>
  <c r="N3340" i="1"/>
  <c r="AT1504" i="1"/>
  <c r="N2255" i="1"/>
  <c r="J3006" i="1"/>
  <c r="D1953" i="1"/>
  <c r="Q1770" i="1"/>
  <c r="P3436" i="1"/>
  <c r="U3156" i="1"/>
  <c r="AT1526" i="1"/>
  <c r="Q2302" i="1"/>
  <c r="O2828" i="1"/>
  <c r="P998" i="1"/>
  <c r="P1602" i="1"/>
  <c r="H2290" i="1"/>
  <c r="Q2448" i="1"/>
  <c r="O1629" i="1"/>
  <c r="P276" i="1"/>
  <c r="M403" i="1"/>
  <c r="P2120" i="1"/>
  <c r="M1403" i="1"/>
  <c r="O1392" i="1"/>
  <c r="J2675" i="1"/>
  <c r="I2042" i="1"/>
  <c r="O3349" i="1"/>
  <c r="J1859" i="1"/>
  <c r="J2777" i="1"/>
  <c r="AT1606" i="1"/>
  <c r="I1615" i="1"/>
  <c r="U2790" i="1"/>
  <c r="I202" i="1"/>
  <c r="H2394" i="1"/>
  <c r="U1459" i="1"/>
  <c r="Q3282" i="1"/>
  <c r="P498" i="1"/>
  <c r="P3265" i="1"/>
  <c r="N2162" i="1"/>
  <c r="O650" i="1"/>
  <c r="P17" i="1"/>
  <c r="O2174" i="1"/>
  <c r="M2718" i="1"/>
  <c r="H2120" i="1"/>
  <c r="Q2375" i="1"/>
  <c r="K735" i="1"/>
  <c r="K1982" i="1"/>
  <c r="K1728" i="1"/>
  <c r="K2929" i="1"/>
  <c r="J395" i="1"/>
  <c r="I2465" i="1"/>
  <c r="U972" i="1"/>
  <c r="I2576" i="1"/>
  <c r="I1507" i="1"/>
  <c r="J175" i="1"/>
  <c r="Q3590" i="1"/>
  <c r="O955" i="1"/>
  <c r="H1782" i="1"/>
  <c r="N1292" i="1"/>
  <c r="H2433" i="1"/>
  <c r="P741" i="1"/>
  <c r="H1634" i="1"/>
  <c r="I692" i="1"/>
  <c r="H1017" i="1"/>
  <c r="I830" i="1"/>
  <c r="I2799" i="1"/>
  <c r="H2711" i="1"/>
  <c r="K293" i="1"/>
  <c r="U2868" i="1"/>
  <c r="O3321" i="1"/>
  <c r="AT42" i="1"/>
  <c r="U2589" i="1"/>
  <c r="H574" i="1"/>
  <c r="D41" i="1"/>
  <c r="Q499" i="1"/>
  <c r="Q1873" i="1"/>
  <c r="Q3127" i="1"/>
  <c r="O2925" i="1"/>
  <c r="O1914" i="1"/>
  <c r="J554" i="1"/>
  <c r="J3077" i="1"/>
  <c r="I1546" i="1"/>
  <c r="Q2216" i="1"/>
  <c r="O625" i="1"/>
  <c r="P3281" i="1"/>
  <c r="U1137" i="1"/>
  <c r="O1483" i="1"/>
  <c r="O2419" i="1"/>
  <c r="M2360" i="1"/>
  <c r="H2048" i="1"/>
  <c r="I1734" i="1"/>
  <c r="O2539" i="1"/>
  <c r="O2195" i="1"/>
  <c r="M1610" i="1"/>
  <c r="M518" i="1"/>
  <c r="M2312" i="1"/>
  <c r="I322" i="1"/>
  <c r="J1235" i="1"/>
  <c r="Q1023" i="1"/>
  <c r="M2640" i="1"/>
  <c r="P563" i="1"/>
  <c r="M2734" i="1"/>
  <c r="O656" i="1"/>
  <c r="P1649" i="1"/>
  <c r="J837" i="1"/>
  <c r="H1074" i="1"/>
  <c r="O1203" i="1"/>
  <c r="M2833" i="1"/>
  <c r="P1855" i="1"/>
  <c r="M2242" i="1"/>
  <c r="O1058" i="1"/>
  <c r="K985" i="1"/>
  <c r="I3370" i="1"/>
  <c r="P1387" i="1"/>
  <c r="H1081" i="1"/>
  <c r="H389" i="1"/>
  <c r="I2026" i="1"/>
  <c r="U1113" i="1"/>
  <c r="J1375" i="1"/>
  <c r="J3265" i="1"/>
  <c r="I3218" i="1"/>
  <c r="O3081" i="1"/>
  <c r="U2763" i="1"/>
  <c r="P2631" i="1"/>
  <c r="D2226" i="1"/>
  <c r="P2805" i="1"/>
  <c r="J1853" i="1"/>
  <c r="I1230" i="1"/>
  <c r="O1295" i="1"/>
  <c r="K2519" i="1"/>
  <c r="Q2943" i="1"/>
  <c r="K1200" i="1"/>
  <c r="Q1261" i="1"/>
  <c r="J3400" i="1"/>
  <c r="Q1517" i="1"/>
  <c r="P3601" i="1"/>
  <c r="H1027" i="1"/>
  <c r="P611" i="1"/>
  <c r="O303" i="1"/>
  <c r="I2345" i="1"/>
  <c r="P76" i="1"/>
  <c r="H1780" i="1"/>
  <c r="O390" i="1"/>
  <c r="P3191" i="1"/>
  <c r="M651" i="1"/>
  <c r="Q413" i="1"/>
  <c r="N817" i="1"/>
  <c r="P1295" i="1"/>
  <c r="N614" i="1"/>
  <c r="O1953" i="1"/>
  <c r="N503" i="1"/>
  <c r="K510" i="1"/>
  <c r="N261" i="1"/>
  <c r="N947" i="1"/>
  <c r="N3178" i="1"/>
  <c r="AT2036" i="1"/>
  <c r="D2329" i="1"/>
  <c r="I276" i="1"/>
  <c r="H2328" i="1"/>
  <c r="U639" i="1"/>
  <c r="O3552" i="1"/>
  <c r="M3093" i="1"/>
  <c r="M1659" i="1"/>
  <c r="O1854" i="1"/>
  <c r="M2435" i="1"/>
  <c r="M1980" i="1"/>
  <c r="M2223" i="1"/>
  <c r="I2424" i="1"/>
  <c r="N2354" i="1"/>
  <c r="N1171" i="1"/>
  <c r="J1384" i="1"/>
  <c r="K2002" i="1"/>
  <c r="P2003" i="1"/>
  <c r="I2921" i="1"/>
  <c r="K2091" i="1"/>
  <c r="Q1900" i="1"/>
  <c r="Q3270" i="1"/>
  <c r="Q2993" i="1"/>
  <c r="I2408" i="1"/>
  <c r="Q290" i="1"/>
  <c r="Q2014" i="1"/>
  <c r="Q1717" i="1"/>
  <c r="P1160" i="1"/>
  <c r="I1068" i="1"/>
  <c r="U1206" i="1"/>
  <c r="U62" i="1"/>
  <c r="K1083" i="1"/>
  <c r="Q3137" i="1"/>
  <c r="D625" i="1"/>
  <c r="I1493" i="1"/>
  <c r="Q2977" i="1"/>
  <c r="J3207" i="1"/>
  <c r="M3068" i="1"/>
  <c r="N1249" i="1"/>
  <c r="M1891" i="1"/>
  <c r="Q2690" i="1"/>
  <c r="P2884" i="1"/>
  <c r="M3396" i="1"/>
  <c r="AT1934" i="1"/>
  <c r="O2614" i="1"/>
  <c r="D1464" i="1"/>
  <c r="I478" i="1"/>
  <c r="H1567" i="1"/>
  <c r="U1923" i="1"/>
  <c r="D1282" i="1"/>
  <c r="N1452" i="1"/>
  <c r="D1443" i="1"/>
  <c r="AT3461" i="1"/>
  <c r="D284" i="1"/>
  <c r="Q1481" i="1"/>
  <c r="AT322" i="1"/>
  <c r="J3040" i="1"/>
  <c r="N1555" i="1"/>
  <c r="J2911" i="1"/>
  <c r="O2183" i="1"/>
  <c r="U670" i="1"/>
  <c r="I1914" i="1"/>
  <c r="O2313" i="1"/>
  <c r="P472" i="1"/>
  <c r="P3170" i="1"/>
  <c r="D1494" i="1"/>
  <c r="M1554" i="1"/>
  <c r="H1985" i="1"/>
  <c r="AT2546" i="1"/>
  <c r="J1999" i="1"/>
  <c r="AT1032" i="1"/>
  <c r="O2229" i="1"/>
  <c r="P1016" i="1"/>
  <c r="J1046" i="1"/>
  <c r="AT204" i="1"/>
  <c r="P1933" i="1"/>
  <c r="D2752" i="1"/>
  <c r="I3076" i="1"/>
  <c r="J71" i="1"/>
  <c r="K2406" i="1"/>
  <c r="U1083" i="1"/>
  <c r="U3049" i="1"/>
  <c r="O1410" i="1"/>
  <c r="Q979" i="1"/>
  <c r="M2620" i="1"/>
  <c r="M391" i="1"/>
  <c r="N568" i="1"/>
  <c r="P201" i="1"/>
  <c r="N2328" i="1"/>
  <c r="AT2250" i="1"/>
  <c r="AT520" i="1"/>
  <c r="U681" i="1"/>
  <c r="AT2559" i="1"/>
  <c r="U757" i="1"/>
  <c r="H3434" i="1"/>
  <c r="H1972" i="1"/>
  <c r="N1207" i="1"/>
  <c r="Q1166" i="1"/>
  <c r="N648" i="1"/>
  <c r="U2819" i="1"/>
  <c r="N1618" i="1"/>
  <c r="P782" i="1"/>
  <c r="P1795" i="1"/>
  <c r="H3144" i="1"/>
  <c r="N2561" i="1"/>
  <c r="D858" i="1"/>
  <c r="Q2754" i="1"/>
  <c r="P173" i="1"/>
  <c r="N22" i="1"/>
  <c r="K1590" i="1"/>
  <c r="J3294" i="1"/>
  <c r="I846" i="1"/>
  <c r="H3411" i="1"/>
  <c r="I2814" i="1"/>
  <c r="AT155" i="1"/>
  <c r="P1738" i="1"/>
  <c r="N3607" i="1"/>
  <c r="P1524" i="1"/>
  <c r="J1178" i="1"/>
  <c r="Q3337" i="1"/>
  <c r="AT3491" i="1"/>
  <c r="I173" i="1"/>
  <c r="AT2134" i="1"/>
  <c r="I1123" i="1"/>
  <c r="O2159" i="1"/>
  <c r="P2198" i="1"/>
  <c r="M2022" i="1"/>
  <c r="D855" i="1"/>
  <c r="N3597" i="1"/>
  <c r="N1064" i="1"/>
  <c r="N2808" i="1"/>
  <c r="D417" i="1"/>
  <c r="AT1471" i="1"/>
  <c r="P1587" i="1"/>
  <c r="AT2052" i="1"/>
  <c r="J2338" i="1"/>
  <c r="D3164" i="1"/>
  <c r="N3200" i="1"/>
  <c r="M3207" i="1"/>
  <c r="D3182" i="1"/>
  <c r="AT2845" i="1"/>
  <c r="O990" i="1"/>
  <c r="AT1323" i="1"/>
  <c r="J2464" i="1"/>
  <c r="O2748" i="1"/>
  <c r="J469" i="1"/>
  <c r="N2265" i="1"/>
  <c r="O1386" i="1"/>
  <c r="AT3552" i="1"/>
  <c r="I428" i="1"/>
  <c r="Q2751" i="1"/>
  <c r="J3567" i="1"/>
  <c r="AT643" i="1"/>
  <c r="K2328" i="1"/>
  <c r="H2918" i="1"/>
  <c r="Q474" i="1"/>
  <c r="AT2321" i="1"/>
  <c r="Q2489" i="1"/>
  <c r="M3063" i="1"/>
  <c r="J2494" i="1"/>
  <c r="K2503" i="1"/>
  <c r="N272" i="1"/>
  <c r="J730" i="1"/>
  <c r="I3241" i="1"/>
  <c r="K1573" i="1"/>
  <c r="U2751" i="1"/>
  <c r="H29" i="1"/>
  <c r="Q1809" i="1"/>
  <c r="Q1415" i="1"/>
  <c r="P1300" i="1"/>
  <c r="N2643" i="1"/>
  <c r="N1563" i="1"/>
  <c r="Q712" i="1"/>
  <c r="I3039" i="1"/>
  <c r="O3368" i="1"/>
  <c r="D698" i="1"/>
  <c r="AT2472" i="1"/>
  <c r="H1388" i="1"/>
  <c r="AT2313" i="1"/>
  <c r="M234" i="1"/>
  <c r="I122" i="1"/>
  <c r="J2775" i="1"/>
  <c r="M2263" i="1"/>
  <c r="D3048" i="1"/>
  <c r="P184" i="1"/>
  <c r="U1444" i="1"/>
  <c r="N923" i="1"/>
  <c r="N2744" i="1"/>
  <c r="K186" i="1"/>
  <c r="I1951" i="1"/>
  <c r="H2402" i="1"/>
  <c r="I1515" i="1"/>
  <c r="H361" i="1"/>
  <c r="O782" i="1"/>
  <c r="M365" i="1"/>
  <c r="H3412" i="1"/>
  <c r="AT1591" i="1"/>
  <c r="N1164" i="1"/>
  <c r="Q772" i="1"/>
  <c r="P1163" i="1"/>
  <c r="O1422" i="1"/>
  <c r="P615" i="1"/>
  <c r="Q2537" i="1"/>
  <c r="O2874" i="1"/>
  <c r="M1581" i="1"/>
  <c r="J2088" i="1"/>
  <c r="M2872" i="1"/>
  <c r="J1883" i="1"/>
  <c r="U82" i="1"/>
  <c r="Q743" i="1"/>
  <c r="K2673" i="1"/>
  <c r="J1569" i="1"/>
  <c r="J233" i="1"/>
  <c r="K1239" i="1"/>
  <c r="H3579" i="1"/>
  <c r="J3474" i="1"/>
  <c r="H3535" i="1"/>
  <c r="H2802" i="1"/>
  <c r="H891" i="1"/>
  <c r="P1238" i="1"/>
  <c r="H1493" i="1"/>
  <c r="Q260" i="1"/>
  <c r="J1064" i="1"/>
  <c r="U3077" i="1"/>
  <c r="U334" i="1"/>
  <c r="D3619" i="1"/>
  <c r="O2816" i="1"/>
  <c r="D2293" i="1"/>
  <c r="I3191" i="1"/>
  <c r="N396" i="1"/>
  <c r="O1962" i="1"/>
  <c r="D3326" i="1"/>
  <c r="M899" i="1"/>
  <c r="J2275" i="1"/>
  <c r="M1421" i="1"/>
  <c r="U675" i="1"/>
  <c r="H516" i="1"/>
  <c r="U1240" i="1"/>
  <c r="O2771" i="1"/>
  <c r="Q1289" i="1"/>
  <c r="O3339" i="1"/>
  <c r="P2498" i="1"/>
  <c r="O1528" i="1"/>
  <c r="O11" i="1"/>
  <c r="M2236" i="1"/>
  <c r="M1462" i="1"/>
  <c r="D1937" i="1"/>
  <c r="N725" i="1"/>
  <c r="D3114" i="1"/>
  <c r="D2975" i="1"/>
  <c r="J951" i="1"/>
  <c r="AT2934" i="1"/>
  <c r="Q1257" i="1"/>
  <c r="O953" i="1"/>
  <c r="N1023" i="1"/>
  <c r="H2261" i="1"/>
  <c r="H1314" i="1"/>
  <c r="H2721" i="1"/>
  <c r="D991" i="1"/>
  <c r="P2199" i="1"/>
  <c r="I1724" i="1"/>
  <c r="H2794" i="1"/>
  <c r="I385" i="1"/>
  <c r="AT1317" i="1"/>
  <c r="AT1493" i="1"/>
  <c r="M546" i="1"/>
  <c r="U1789" i="1"/>
  <c r="P1378" i="1"/>
  <c r="K2433" i="1"/>
  <c r="J1308" i="1"/>
  <c r="U2423" i="1"/>
  <c r="H362" i="1"/>
  <c r="H554" i="1"/>
  <c r="O2813" i="1"/>
  <c r="H1164" i="1"/>
  <c r="AT2927" i="1"/>
  <c r="U1607" i="1"/>
  <c r="P3401" i="1"/>
  <c r="O613" i="1"/>
  <c r="K3606" i="1"/>
  <c r="K1786" i="1"/>
  <c r="K3386" i="1"/>
  <c r="J1888" i="1"/>
  <c r="H3468" i="1"/>
  <c r="D2369" i="1"/>
  <c r="J3466" i="1"/>
  <c r="AT2531" i="1"/>
  <c r="H1422" i="1"/>
  <c r="M1541" i="1"/>
  <c r="U536" i="1"/>
  <c r="H3181" i="1"/>
  <c r="K1359" i="1"/>
  <c r="N1182" i="1"/>
  <c r="K1887" i="1"/>
  <c r="K1933" i="1"/>
  <c r="D3595" i="1"/>
  <c r="AT2760" i="1"/>
  <c r="U198" i="1"/>
  <c r="M2053" i="1"/>
  <c r="M438" i="1"/>
  <c r="O1188" i="1"/>
  <c r="U442" i="1"/>
  <c r="J2365" i="1"/>
  <c r="U2136" i="1"/>
  <c r="U72" i="1"/>
  <c r="J364" i="1"/>
  <c r="I1264" i="1"/>
  <c r="I1571" i="1"/>
  <c r="I1308" i="1"/>
  <c r="H1450" i="1"/>
  <c r="J1705" i="1"/>
  <c r="Q492" i="1"/>
  <c r="I3036" i="1"/>
  <c r="U1886" i="1"/>
  <c r="J2600" i="1"/>
  <c r="I2473" i="1"/>
  <c r="U3410" i="1"/>
  <c r="P577" i="1"/>
  <c r="I114" i="1"/>
  <c r="I305" i="1"/>
  <c r="M2539" i="1"/>
  <c r="U495" i="1"/>
  <c r="D411" i="1"/>
  <c r="N3486" i="1"/>
  <c r="D1594" i="1"/>
  <c r="N1771" i="1"/>
  <c r="D261" i="1"/>
  <c r="N992" i="1"/>
  <c r="D3148" i="1"/>
  <c r="N610" i="1"/>
  <c r="D3299" i="1"/>
  <c r="M930" i="1"/>
  <c r="U2596" i="1"/>
  <c r="H838" i="1"/>
  <c r="D3244" i="1"/>
  <c r="K1944" i="1"/>
  <c r="D3566" i="1"/>
  <c r="H2773" i="1"/>
  <c r="D996" i="1"/>
  <c r="AT3346" i="1"/>
  <c r="J2031" i="1"/>
  <c r="P1153" i="1"/>
  <c r="J3539" i="1"/>
  <c r="N89" i="1"/>
  <c r="J139" i="1"/>
  <c r="M980" i="1"/>
  <c r="U405" i="1"/>
  <c r="Q3611" i="1"/>
  <c r="Q3354" i="1"/>
  <c r="N2046" i="1"/>
  <c r="O3143" i="1"/>
  <c r="K909" i="1"/>
  <c r="U1529" i="1"/>
  <c r="I1398" i="1"/>
  <c r="P623" i="1"/>
  <c r="P3476" i="1"/>
  <c r="U942" i="1"/>
  <c r="U643" i="1"/>
  <c r="U382" i="1"/>
  <c r="Q2799" i="1"/>
  <c r="U2834" i="1"/>
  <c r="P1190" i="1"/>
  <c r="U1859" i="1"/>
  <c r="Q1498" i="1"/>
  <c r="I1970" i="1"/>
  <c r="N264" i="1"/>
  <c r="Q2622" i="1"/>
  <c r="P11" i="1"/>
  <c r="P2606" i="1"/>
  <c r="P3035" i="1"/>
  <c r="P316" i="1"/>
  <c r="P3013" i="1"/>
  <c r="H1494" i="1"/>
  <c r="I3622" i="1"/>
  <c r="H1419" i="1"/>
  <c r="P1612" i="1"/>
  <c r="H1709" i="1"/>
  <c r="P2704" i="1"/>
  <c r="J3536" i="1"/>
  <c r="J442" i="1"/>
  <c r="I587" i="1"/>
  <c r="U2667" i="1"/>
  <c r="H3438" i="1"/>
  <c r="M2402" i="1"/>
  <c r="M3177" i="1"/>
  <c r="I1401" i="1"/>
  <c r="H2106" i="1"/>
  <c r="D42" i="1"/>
  <c r="K1975" i="1"/>
  <c r="N3135" i="1"/>
  <c r="U1560" i="1"/>
  <c r="Q693" i="1"/>
  <c r="Q838" i="1"/>
  <c r="Q6" i="1"/>
  <c r="P354" i="1"/>
  <c r="O2830" i="1"/>
  <c r="U3561" i="1"/>
  <c r="AT2846" i="1"/>
  <c r="K3224" i="1"/>
  <c r="J1971" i="1"/>
  <c r="Q920" i="1"/>
  <c r="K1634" i="1"/>
  <c r="O388" i="1"/>
  <c r="J3170" i="1"/>
  <c r="Q2109" i="1"/>
  <c r="K1404" i="1"/>
  <c r="I3242" i="1"/>
  <c r="K3138" i="1"/>
  <c r="J1604" i="1"/>
  <c r="I2372" i="1"/>
  <c r="Q487" i="1"/>
  <c r="N1541" i="1"/>
  <c r="AT1448" i="1"/>
  <c r="D2457" i="1"/>
  <c r="K3276" i="1"/>
  <c r="J2474" i="1"/>
  <c r="H1813" i="1"/>
  <c r="U1075" i="1"/>
  <c r="K87" i="1"/>
  <c r="H737" i="1"/>
  <c r="D2558" i="1"/>
  <c r="N2887" i="1"/>
  <c r="M2044" i="1"/>
  <c r="J447" i="1"/>
  <c r="AT67" i="1"/>
  <c r="M554" i="1"/>
  <c r="J572" i="1"/>
  <c r="AQ265" i="1"/>
  <c r="P1826" i="1"/>
  <c r="O3189" i="1"/>
  <c r="H3292" i="1"/>
  <c r="U1462" i="1"/>
  <c r="M1348" i="1"/>
  <c r="P1138" i="1"/>
  <c r="Q476" i="1"/>
  <c r="I2532" i="1"/>
  <c r="H1720" i="1"/>
  <c r="I2102" i="1"/>
  <c r="Q1576" i="1"/>
  <c r="U3216" i="1"/>
  <c r="P2737" i="1"/>
  <c r="Q1631" i="1"/>
  <c r="U381" i="1"/>
  <c r="U1043" i="1"/>
  <c r="Q1126" i="1"/>
  <c r="U2195" i="1"/>
  <c r="M151" i="1"/>
  <c r="I1427" i="1"/>
  <c r="O3100" i="1"/>
  <c r="I1523" i="1"/>
  <c r="O1892" i="1"/>
  <c r="J3453" i="1"/>
  <c r="J1914" i="1"/>
  <c r="O234" i="1"/>
  <c r="I1525" i="1"/>
  <c r="O1536" i="1"/>
  <c r="H425" i="1"/>
  <c r="O2445" i="1"/>
  <c r="H931" i="1"/>
  <c r="U2118" i="1"/>
  <c r="U229" i="1"/>
  <c r="O1459" i="1"/>
  <c r="Q3524" i="1"/>
  <c r="N189" i="1"/>
  <c r="U712" i="1"/>
  <c r="N3339" i="1"/>
  <c r="Q161" i="1"/>
  <c r="J654" i="1"/>
  <c r="M1065" i="1"/>
  <c r="J2660" i="1"/>
  <c r="J1567" i="1"/>
  <c r="D1503" i="1"/>
  <c r="J2904" i="1"/>
  <c r="K562" i="1"/>
  <c r="P2903" i="1"/>
  <c r="Q669" i="1"/>
  <c r="O981" i="1"/>
  <c r="I2785" i="1"/>
  <c r="N3592" i="1"/>
  <c r="U2247" i="1"/>
  <c r="D1065" i="1"/>
  <c r="Q2090" i="1"/>
  <c r="D1777" i="1"/>
  <c r="H1704" i="1"/>
  <c r="M921" i="1"/>
  <c r="W265" i="1"/>
  <c r="H250" i="1"/>
  <c r="AT2298" i="1"/>
  <c r="U482" i="1"/>
  <c r="M2138" i="1"/>
  <c r="P2749" i="1"/>
  <c r="P172" i="1"/>
  <c r="U3600" i="1"/>
  <c r="AT487" i="1"/>
  <c r="O2517" i="1"/>
  <c r="AT2305" i="1"/>
  <c r="M1642" i="1"/>
  <c r="N1538" i="1"/>
  <c r="D1267" i="1"/>
  <c r="P874" i="1"/>
  <c r="P2517" i="1"/>
  <c r="H2063" i="1"/>
  <c r="I1979" i="1"/>
  <c r="H2313" i="1"/>
  <c r="U2429" i="1"/>
  <c r="U2360" i="1"/>
  <c r="Q2918" i="1"/>
  <c r="K2047" i="1"/>
  <c r="D1062" i="1"/>
  <c r="Q1349" i="1"/>
  <c r="M1780" i="1"/>
  <c r="D3189" i="1"/>
  <c r="N1262" i="1"/>
  <c r="N2804" i="1"/>
  <c r="AT278" i="1"/>
  <c r="Q1639" i="1"/>
  <c r="P238" i="1"/>
  <c r="Q2352" i="1"/>
  <c r="O2911" i="1"/>
  <c r="O180" i="1"/>
  <c r="O1704" i="1"/>
  <c r="P1822" i="1"/>
  <c r="O2095" i="1"/>
  <c r="N3225" i="1"/>
  <c r="N2138" i="1"/>
  <c r="P202" i="1"/>
  <c r="I3395" i="1"/>
  <c r="AT934" i="1"/>
  <c r="Q2154" i="1"/>
  <c r="H2240" i="1"/>
  <c r="H1746" i="1"/>
  <c r="O1989" i="1"/>
  <c r="P3398" i="1"/>
  <c r="J3131" i="1"/>
  <c r="U329" i="1"/>
  <c r="P79" i="1"/>
  <c r="P20" i="1"/>
  <c r="P1429" i="1"/>
  <c r="I960" i="1"/>
  <c r="N450" i="1"/>
  <c r="AT1169" i="1"/>
  <c r="AT1363" i="1"/>
  <c r="H1353" i="1"/>
  <c r="H1809" i="1"/>
  <c r="N115" i="1"/>
  <c r="N1861" i="1"/>
  <c r="O2913" i="1"/>
  <c r="O2366" i="1"/>
  <c r="K2111" i="1"/>
  <c r="K3355" i="1"/>
  <c r="Q2144" i="1"/>
  <c r="Q180" i="1"/>
  <c r="J2928" i="1"/>
  <c r="M3568" i="1"/>
  <c r="D3040" i="1"/>
  <c r="K73" i="1"/>
  <c r="M2011" i="1"/>
  <c r="D862" i="1"/>
  <c r="D2980" i="1"/>
  <c r="D374" i="1"/>
  <c r="AT654" i="1"/>
  <c r="N1222" i="1"/>
  <c r="AT2705" i="1"/>
  <c r="AT3410" i="1"/>
  <c r="D2095" i="1"/>
  <c r="D2396" i="1"/>
  <c r="M2575" i="1"/>
  <c r="N3311" i="1"/>
  <c r="N2183" i="1"/>
  <c r="O3542" i="1"/>
  <c r="M1934" i="1"/>
  <c r="O2114" i="1"/>
  <c r="U2097" i="1"/>
  <c r="P507" i="1"/>
  <c r="N3510" i="1"/>
  <c r="N2513" i="1"/>
  <c r="D2859" i="1"/>
  <c r="Q3369" i="1"/>
  <c r="H912" i="1"/>
  <c r="AT164" i="1"/>
  <c r="K3324" i="1"/>
  <c r="D937" i="1"/>
  <c r="O451" i="1"/>
  <c r="O3516" i="1"/>
  <c r="J1262" i="1"/>
  <c r="P2757" i="1"/>
  <c r="P1820" i="1"/>
  <c r="O1438" i="1"/>
  <c r="J1648" i="1"/>
  <c r="AT1016" i="1"/>
  <c r="J2245" i="1"/>
  <c r="Q1881" i="1"/>
  <c r="D3191" i="1"/>
  <c r="O1355" i="1"/>
  <c r="Q1352" i="1"/>
  <c r="O121" i="1"/>
  <c r="N191" i="1"/>
  <c r="D3295" i="1"/>
  <c r="P1377" i="1"/>
  <c r="H210" i="1"/>
  <c r="U2349" i="1"/>
  <c r="U577" i="1"/>
  <c r="N888" i="1"/>
  <c r="O1526" i="1"/>
  <c r="AT1505" i="1"/>
  <c r="M1986" i="1"/>
  <c r="H1672" i="1"/>
  <c r="I2646" i="1"/>
  <c r="K3071" i="1"/>
  <c r="U2655" i="1"/>
  <c r="P66" i="1"/>
  <c r="U1838" i="1"/>
  <c r="U959" i="1"/>
  <c r="U2010" i="1"/>
  <c r="K1077" i="1"/>
  <c r="U2282" i="1"/>
  <c r="O627" i="1"/>
  <c r="Q794" i="1"/>
  <c r="O3608" i="1"/>
  <c r="M487" i="1"/>
  <c r="U2499" i="1"/>
  <c r="O662" i="1"/>
  <c r="AT2140" i="1"/>
  <c r="AT502" i="1"/>
  <c r="I2110" i="1"/>
  <c r="N2445" i="1"/>
  <c r="Q861" i="1"/>
  <c r="AT1291" i="1"/>
  <c r="O135" i="1"/>
  <c r="Q578" i="1"/>
  <c r="N1335" i="1"/>
  <c r="D2064" i="1"/>
  <c r="H359" i="1"/>
  <c r="AT2224" i="1"/>
  <c r="U2660" i="1"/>
  <c r="AT2405" i="1"/>
  <c r="P2782" i="1"/>
  <c r="P3081" i="1"/>
  <c r="M1037" i="1"/>
  <c r="M2397" i="1"/>
  <c r="M3000" i="1"/>
  <c r="N1121" i="1"/>
  <c r="I3470" i="1"/>
  <c r="O3287" i="1"/>
  <c r="Q1789" i="1"/>
  <c r="D912" i="1"/>
  <c r="D3283" i="1"/>
  <c r="N2051" i="1"/>
  <c r="N3022" i="1"/>
  <c r="D3624" i="1"/>
  <c r="D1521" i="1"/>
  <c r="P713" i="1"/>
  <c r="U1088" i="1"/>
  <c r="AT551" i="1"/>
  <c r="K1948" i="1"/>
  <c r="AT882" i="1"/>
  <c r="Q2568" i="1"/>
  <c r="P1110" i="1"/>
  <c r="M1954" i="1"/>
  <c r="I819" i="1"/>
  <c r="I1837" i="1"/>
  <c r="I2552" i="1"/>
  <c r="K124" i="1"/>
  <c r="D2610" i="1"/>
  <c r="N1337" i="1"/>
  <c r="D191" i="1"/>
  <c r="I1246" i="1"/>
  <c r="P3140" i="1"/>
  <c r="P695" i="1"/>
  <c r="M3639" i="1"/>
  <c r="N2934" i="1"/>
  <c r="AT1602" i="1"/>
  <c r="D2628" i="1"/>
  <c r="AT2970" i="1"/>
  <c r="AT2539" i="1"/>
  <c r="D1733" i="1"/>
  <c r="H3591" i="1"/>
  <c r="I2502" i="1"/>
  <c r="P180" i="1"/>
  <c r="I2278" i="1"/>
  <c r="N768" i="1"/>
  <c r="M286" i="1"/>
  <c r="D2116" i="1"/>
  <c r="M798" i="1"/>
  <c r="I2915" i="1"/>
  <c r="O1921" i="1"/>
  <c r="AT1824" i="1"/>
  <c r="AT2415" i="1"/>
  <c r="U42" i="1"/>
  <c r="D1375" i="1"/>
  <c r="O1679" i="1"/>
  <c r="P731" i="1"/>
  <c r="J826" i="1"/>
  <c r="O2924" i="1"/>
  <c r="AT1243" i="1"/>
  <c r="H2374" i="1"/>
  <c r="Q1226" i="1"/>
  <c r="N1161" i="1"/>
  <c r="N797" i="1"/>
  <c r="D926" i="1"/>
  <c r="Q2753" i="1"/>
  <c r="AT3582" i="1"/>
  <c r="AT1009" i="1"/>
  <c r="AT1762" i="1"/>
  <c r="O2634" i="1"/>
  <c r="O3409" i="1"/>
  <c r="AT113" i="1"/>
  <c r="N136" i="1"/>
  <c r="K194" i="1"/>
  <c r="D1909" i="1"/>
  <c r="AT2226" i="1"/>
  <c r="O1692" i="1"/>
  <c r="O3482" i="1"/>
  <c r="Q524" i="1"/>
  <c r="P2165" i="1"/>
  <c r="M344" i="1"/>
  <c r="I3140" i="1"/>
  <c r="O2185" i="1"/>
  <c r="I660" i="1"/>
  <c r="M2902" i="1"/>
  <c r="Q3609" i="1"/>
  <c r="J2179" i="1"/>
  <c r="U2761" i="1"/>
  <c r="I989" i="1"/>
  <c r="J2081" i="1"/>
  <c r="O1025" i="1"/>
  <c r="P3195" i="1"/>
  <c r="N1936" i="1"/>
  <c r="N234" i="1"/>
  <c r="D2414" i="1"/>
  <c r="H51" i="1"/>
  <c r="O3204" i="1"/>
  <c r="N1340" i="1"/>
  <c r="M56" i="1"/>
  <c r="K1713" i="1"/>
  <c r="AT1598" i="1"/>
  <c r="P1497" i="1"/>
  <c r="U2238" i="1"/>
  <c r="AT242" i="1"/>
  <c r="I2049" i="1"/>
  <c r="U1368" i="1"/>
  <c r="P2750" i="1"/>
  <c r="N1474" i="1"/>
  <c r="J3277" i="1"/>
  <c r="J335" i="1"/>
  <c r="I888" i="1"/>
  <c r="AT1768" i="1"/>
  <c r="D2359" i="1"/>
  <c r="Q1734" i="1"/>
  <c r="H1921" i="1"/>
  <c r="Q1999" i="1"/>
  <c r="H2980" i="1"/>
  <c r="Q2954" i="1"/>
  <c r="U629" i="1"/>
  <c r="U3144" i="1"/>
  <c r="AT220" i="1"/>
  <c r="N1357" i="1"/>
  <c r="M81" i="1"/>
  <c r="M2207" i="1"/>
  <c r="N2915" i="1"/>
  <c r="D2008" i="1"/>
  <c r="M1488" i="1"/>
  <c r="P1548" i="1"/>
  <c r="P103" i="1"/>
  <c r="O1883" i="1"/>
  <c r="Q2563" i="1"/>
  <c r="K3012" i="1"/>
  <c r="K1880" i="1"/>
  <c r="K2983" i="1"/>
  <c r="D1001" i="1"/>
  <c r="K561" i="1"/>
  <c r="I1825" i="1"/>
  <c r="I1126" i="1"/>
  <c r="AT2208" i="1"/>
  <c r="I2245" i="1"/>
  <c r="I3320" i="1"/>
  <c r="AT1817" i="1"/>
  <c r="N759" i="1"/>
  <c r="K996" i="1"/>
  <c r="I2128" i="1"/>
  <c r="U5" i="1"/>
  <c r="M2636" i="1"/>
  <c r="M1966" i="1"/>
  <c r="Q337" i="1"/>
  <c r="K935" i="1"/>
  <c r="P1305" i="1"/>
  <c r="U2173" i="1"/>
  <c r="O471" i="1"/>
  <c r="O2417" i="1"/>
  <c r="N1060" i="1"/>
  <c r="P1861" i="1"/>
  <c r="J863" i="1"/>
  <c r="I3165" i="1"/>
  <c r="N1245" i="1"/>
  <c r="H2334" i="1"/>
  <c r="H2227" i="1"/>
  <c r="U1651" i="1"/>
  <c r="Q3340" i="1"/>
  <c r="M2326" i="1"/>
  <c r="I2816" i="1"/>
  <c r="D467" i="1"/>
  <c r="I285" i="1"/>
  <c r="I1720" i="1"/>
  <c r="I2079" i="1"/>
  <c r="I2177" i="1"/>
  <c r="H3319" i="1"/>
  <c r="M1937" i="1"/>
  <c r="H455" i="1"/>
  <c r="O2688" i="1"/>
  <c r="N2636" i="1"/>
  <c r="H3150" i="1"/>
  <c r="I1775" i="1"/>
  <c r="O1337" i="1"/>
  <c r="AT1674" i="1"/>
  <c r="D2052" i="1"/>
  <c r="Q3312" i="1"/>
  <c r="U180" i="1"/>
  <c r="Q3171" i="1"/>
  <c r="D3369" i="1"/>
  <c r="I438" i="1"/>
  <c r="U3418" i="1"/>
  <c r="Q1979" i="1"/>
  <c r="U3427" i="1"/>
  <c r="H1437" i="1"/>
  <c r="I2426" i="1"/>
  <c r="J167" i="1"/>
  <c r="I594" i="1"/>
  <c r="H75" i="1"/>
  <c r="O2199" i="1"/>
  <c r="J2119" i="1"/>
  <c r="J2925" i="1"/>
  <c r="K2775" i="1"/>
  <c r="H2661" i="1"/>
  <c r="K2743" i="1"/>
  <c r="J2861" i="1"/>
  <c r="N1942" i="1"/>
  <c r="D1938" i="1"/>
  <c r="H1342" i="1"/>
  <c r="J1545" i="1"/>
  <c r="K2353" i="1"/>
  <c r="I125" i="1"/>
  <c r="J3087" i="1"/>
  <c r="I2961" i="1"/>
  <c r="Q2385" i="1"/>
  <c r="H2914" i="1"/>
  <c r="I2298" i="1"/>
  <c r="I1836" i="1"/>
  <c r="I2787" i="1"/>
  <c r="K3599" i="1"/>
  <c r="H1688" i="1"/>
  <c r="J1900" i="1"/>
  <c r="U1809" i="1"/>
  <c r="P3036" i="1"/>
  <c r="U827" i="1"/>
  <c r="N1412" i="1"/>
  <c r="J2294" i="1"/>
  <c r="H1711" i="1"/>
  <c r="Q2682" i="1"/>
  <c r="Q2843" i="1"/>
  <c r="Q276" i="1"/>
  <c r="Q1716" i="1"/>
  <c r="O2319" i="1"/>
  <c r="I2558" i="1"/>
  <c r="H2262" i="1"/>
  <c r="U3455" i="1"/>
  <c r="Q3527" i="1"/>
  <c r="U137" i="1"/>
  <c r="J47" i="1"/>
  <c r="I824" i="1"/>
  <c r="N1544" i="1"/>
  <c r="U2733" i="1"/>
  <c r="N3172" i="1"/>
  <c r="U2514" i="1"/>
  <c r="M1829" i="1"/>
  <c r="M2042" i="1"/>
  <c r="I595" i="1"/>
  <c r="O76" i="1"/>
  <c r="N2829" i="1"/>
  <c r="Q172" i="1"/>
  <c r="N2410" i="1"/>
  <c r="Q1842" i="1"/>
  <c r="N1891" i="1"/>
  <c r="N2739" i="1"/>
  <c r="H1589" i="1"/>
  <c r="Q397" i="1"/>
  <c r="Q1651" i="1"/>
  <c r="U3090" i="1"/>
  <c r="Q2505" i="1"/>
  <c r="Q223" i="1"/>
  <c r="Q459" i="1"/>
  <c r="O1180" i="1"/>
  <c r="I2579" i="1"/>
  <c r="H2127" i="1"/>
  <c r="O881" i="1"/>
  <c r="I1945" i="1"/>
  <c r="H1086" i="1"/>
  <c r="O3508" i="1"/>
  <c r="O1465" i="1"/>
  <c r="Q3322" i="1"/>
  <c r="P764" i="1"/>
  <c r="H3025" i="1"/>
  <c r="N1904" i="1"/>
  <c r="D2056" i="1"/>
  <c r="AT2359" i="1"/>
  <c r="N161" i="1"/>
  <c r="J1691" i="1"/>
  <c r="AT3034" i="1"/>
  <c r="M639" i="1"/>
  <c r="M1177" i="1"/>
  <c r="J1993" i="1"/>
  <c r="M2631" i="1"/>
  <c r="P793" i="1"/>
  <c r="J2961" i="1"/>
  <c r="M653" i="1"/>
  <c r="J2586" i="1"/>
  <c r="AT767" i="1"/>
  <c r="J2292" i="1"/>
  <c r="U1583" i="1"/>
  <c r="I2164" i="1"/>
  <c r="I3382" i="1"/>
  <c r="I1727" i="1"/>
  <c r="O1114" i="1"/>
  <c r="J2056" i="1"/>
  <c r="O2001" i="1"/>
  <c r="K2147" i="1"/>
  <c r="I1611" i="1"/>
  <c r="J2391" i="1"/>
  <c r="Q3076" i="1"/>
  <c r="H2358" i="1"/>
  <c r="I2833" i="1"/>
  <c r="H2646" i="1"/>
  <c r="O1779" i="1"/>
  <c r="P1665" i="1"/>
  <c r="K3097" i="1"/>
  <c r="N77" i="1"/>
  <c r="D3239" i="1"/>
  <c r="M437" i="1"/>
  <c r="D465" i="1"/>
  <c r="AT458" i="1"/>
  <c r="O3217" i="1"/>
  <c r="H2248" i="1"/>
  <c r="M1684" i="1"/>
  <c r="D2813" i="1"/>
  <c r="O285" i="1"/>
  <c r="U1555" i="1"/>
  <c r="M915" i="1"/>
  <c r="O3301" i="1"/>
  <c r="K3309" i="1"/>
  <c r="H1769" i="1"/>
  <c r="Q811" i="1"/>
  <c r="U349" i="1"/>
  <c r="M1855" i="1"/>
  <c r="P3174" i="1"/>
  <c r="P1939" i="1"/>
  <c r="P3579" i="1"/>
  <c r="D2471" i="1"/>
  <c r="U376" i="1"/>
  <c r="H1826" i="1"/>
  <c r="O2892" i="1"/>
  <c r="M1425" i="1"/>
  <c r="N3544" i="1"/>
  <c r="AT2168" i="1"/>
  <c r="J1103" i="1"/>
  <c r="I1468" i="1"/>
  <c r="D3558" i="1"/>
  <c r="AT2723" i="1"/>
  <c r="AT3102" i="1"/>
  <c r="AT3187" i="1"/>
  <c r="AT3301" i="1"/>
  <c r="AT1568" i="1"/>
  <c r="I2255" i="1"/>
  <c r="H131" i="1"/>
  <c r="J2556" i="1"/>
  <c r="M1086" i="1"/>
  <c r="I1659" i="1"/>
  <c r="M1919" i="1"/>
  <c r="U2663" i="1"/>
  <c r="M2703" i="1"/>
  <c r="M3142" i="1"/>
  <c r="K1602" i="1"/>
  <c r="I245" i="1"/>
  <c r="N3569" i="1"/>
  <c r="K2842" i="1"/>
  <c r="I2402" i="1"/>
  <c r="J849" i="1"/>
  <c r="I3631" i="1"/>
  <c r="K2452" i="1"/>
  <c r="I2510" i="1"/>
  <c r="I3359" i="1"/>
  <c r="K732" i="1"/>
  <c r="Q1247" i="1"/>
  <c r="J1300" i="1"/>
  <c r="Q1647" i="1"/>
  <c r="P3371" i="1"/>
  <c r="Q2937" i="1"/>
  <c r="M2480" i="1"/>
  <c r="M220" i="1"/>
  <c r="I2015" i="1"/>
  <c r="N3018" i="1"/>
  <c r="H2658" i="1"/>
  <c r="N389" i="1"/>
  <c r="P638" i="1"/>
  <c r="H2947" i="1"/>
  <c r="U252" i="1"/>
  <c r="N857" i="1"/>
  <c r="H3147" i="1"/>
  <c r="N270" i="1"/>
  <c r="P3607" i="1"/>
  <c r="N1242" i="1"/>
  <c r="U1664" i="1"/>
  <c r="O688" i="1"/>
  <c r="P871" i="1"/>
  <c r="AT2130" i="1"/>
  <c r="J929" i="1"/>
  <c r="AT1888" i="1"/>
  <c r="I2767" i="1"/>
  <c r="K1303" i="1"/>
  <c r="H635" i="1"/>
  <c r="K467" i="1"/>
  <c r="O57" i="1"/>
  <c r="M3303" i="1"/>
  <c r="H1703" i="1"/>
  <c r="H1216" i="1"/>
  <c r="O1059" i="1"/>
  <c r="N2271" i="1"/>
  <c r="Q2773" i="1"/>
  <c r="P2836" i="1"/>
  <c r="U2877" i="1"/>
  <c r="M2535" i="1"/>
  <c r="I777" i="1"/>
  <c r="H641" i="1"/>
  <c r="Q3264" i="1"/>
  <c r="K3112" i="1"/>
  <c r="Q2605" i="1"/>
  <c r="N3582" i="1"/>
  <c r="P322" i="1"/>
  <c r="K2621" i="1"/>
  <c r="Q567" i="1"/>
  <c r="H3336" i="1"/>
  <c r="I1968" i="1"/>
  <c r="Q875" i="1"/>
  <c r="J156" i="1"/>
  <c r="U1599" i="1"/>
  <c r="K1133" i="1"/>
  <c r="Q1314" i="1"/>
  <c r="H861" i="1"/>
  <c r="Q2255" i="1"/>
  <c r="P1436" i="1"/>
  <c r="Q2615" i="1"/>
  <c r="K2753" i="1"/>
  <c r="H3419" i="1"/>
  <c r="U1423" i="1"/>
  <c r="Q974" i="1"/>
  <c r="U128" i="1"/>
  <c r="Q2085" i="1"/>
  <c r="D2700" i="1"/>
  <c r="I1696" i="1"/>
  <c r="Q1046" i="1"/>
  <c r="H1028" i="1"/>
  <c r="I834" i="1"/>
  <c r="I1885" i="1"/>
  <c r="K603" i="1"/>
  <c r="I1167" i="1"/>
  <c r="Q2736" i="1"/>
  <c r="P1333" i="1"/>
  <c r="K2627" i="1"/>
  <c r="U494" i="1"/>
  <c r="I1662" i="1"/>
  <c r="D935" i="1"/>
  <c r="K1586" i="1"/>
  <c r="K1044" i="1"/>
  <c r="U1539" i="1"/>
  <c r="H3085" i="1"/>
  <c r="J1244" i="1"/>
  <c r="Q3357" i="1"/>
  <c r="J1471" i="1"/>
  <c r="I1679" i="1"/>
  <c r="M1224" i="1"/>
  <c r="U109" i="1"/>
  <c r="U1074" i="1"/>
  <c r="P3316" i="1"/>
  <c r="O651" i="1"/>
  <c r="I1564" i="1"/>
  <c r="J2569" i="1"/>
  <c r="U48" i="1"/>
  <c r="U2363" i="1"/>
  <c r="Q1664" i="1"/>
  <c r="O1137" i="1"/>
  <c r="U2900" i="1"/>
  <c r="Q311" i="1"/>
  <c r="P1470" i="1"/>
  <c r="U3068" i="1"/>
  <c r="M298" i="1"/>
  <c r="N3534" i="1"/>
  <c r="U1516" i="1"/>
  <c r="J3541" i="1"/>
  <c r="P2302" i="1"/>
  <c r="O1591" i="1"/>
  <c r="P1203" i="1"/>
  <c r="M1220" i="1"/>
  <c r="N3431" i="1"/>
  <c r="Q3158" i="1"/>
  <c r="AT2725" i="1"/>
  <c r="K1455" i="1"/>
  <c r="K1308" i="1"/>
  <c r="P2747" i="1"/>
  <c r="H3377" i="1"/>
  <c r="N3515" i="1"/>
  <c r="P1056" i="1"/>
  <c r="I345" i="1"/>
  <c r="D1511" i="1"/>
  <c r="N2895" i="1"/>
  <c r="AT2494" i="1"/>
  <c r="M2607" i="1"/>
  <c r="AT2981" i="1"/>
  <c r="U1703" i="1"/>
  <c r="U1475" i="1"/>
  <c r="D2055" i="1"/>
  <c r="N3383" i="1"/>
  <c r="Q2889" i="1"/>
  <c r="AT2093" i="1"/>
  <c r="H1149" i="1"/>
  <c r="Q1066" i="1"/>
  <c r="U17" i="1"/>
  <c r="U2411" i="1"/>
  <c r="O595" i="1"/>
  <c r="O572" i="1"/>
  <c r="O3306" i="1"/>
  <c r="P1035" i="1"/>
  <c r="O1208" i="1"/>
  <c r="P2986" i="1"/>
  <c r="N2246" i="1"/>
  <c r="N1619" i="1"/>
  <c r="U2562" i="1"/>
  <c r="U1849" i="1"/>
  <c r="O69" i="1"/>
  <c r="M1663" i="1"/>
  <c r="U2412" i="1"/>
  <c r="H1622" i="1"/>
  <c r="P2048" i="1"/>
  <c r="AT1283" i="1"/>
  <c r="M2784" i="1"/>
  <c r="K159" i="1"/>
  <c r="AT22" i="1"/>
  <c r="AT3464" i="1"/>
  <c r="P2441" i="1"/>
  <c r="U2271" i="1"/>
  <c r="N2590" i="1"/>
  <c r="K3113" i="1"/>
  <c r="U2368" i="1"/>
  <c r="U792" i="1"/>
  <c r="M2504" i="1"/>
  <c r="O1983" i="1"/>
  <c r="P1391" i="1"/>
  <c r="N46" i="1"/>
  <c r="O393" i="1"/>
  <c r="O659" i="1"/>
  <c r="N2055" i="1"/>
  <c r="P2935" i="1"/>
  <c r="H2700" i="1"/>
  <c r="D945" i="1"/>
  <c r="N2036" i="1"/>
  <c r="M2904" i="1"/>
  <c r="J981" i="1"/>
  <c r="J869" i="1"/>
  <c r="J1318" i="1"/>
  <c r="D902" i="1"/>
  <c r="O3095" i="1"/>
  <c r="P537" i="1"/>
  <c r="I1931" i="1"/>
  <c r="AT1417" i="1"/>
  <c r="J441" i="1"/>
  <c r="U2784" i="1"/>
  <c r="O1589" i="1"/>
  <c r="J3431" i="1"/>
  <c r="H752" i="1"/>
  <c r="U2896" i="1"/>
  <c r="N440" i="1"/>
  <c r="J1518" i="1"/>
  <c r="Q2479" i="1"/>
  <c r="D2273" i="1"/>
  <c r="P3179" i="1"/>
  <c r="K3291" i="1"/>
  <c r="N373" i="1"/>
  <c r="K2488" i="1"/>
  <c r="M3134" i="1"/>
  <c r="N1767" i="1"/>
  <c r="J1897" i="1"/>
  <c r="J3360" i="1"/>
  <c r="D770" i="1"/>
  <c r="AT3205" i="1"/>
  <c r="U55" i="1"/>
  <c r="D2135" i="1"/>
  <c r="D651" i="1"/>
  <c r="U197" i="1"/>
  <c r="Q3640" i="1"/>
  <c r="Q1236" i="1"/>
  <c r="P2076" i="1"/>
  <c r="P2300" i="1"/>
  <c r="P512" i="1"/>
  <c r="O349" i="1"/>
  <c r="H2958" i="1"/>
  <c r="U1249" i="1"/>
  <c r="O1843" i="1"/>
  <c r="D2929" i="1"/>
  <c r="P780" i="1"/>
  <c r="AT3044" i="1"/>
  <c r="U133" i="1"/>
  <c r="D1343" i="1"/>
  <c r="D2301" i="1"/>
  <c r="H3169" i="1"/>
  <c r="D623" i="1"/>
  <c r="D2027" i="1"/>
  <c r="Q2575" i="1"/>
  <c r="Q1686" i="1"/>
  <c r="AT330" i="1"/>
  <c r="I37" i="1"/>
  <c r="D1287" i="1"/>
  <c r="O2036" i="1"/>
  <c r="AT1629" i="1"/>
  <c r="P1802" i="1"/>
  <c r="J3384" i="1"/>
  <c r="M2256" i="1"/>
  <c r="Q859" i="1"/>
  <c r="Q3238" i="1"/>
  <c r="P915" i="1"/>
  <c r="U380" i="1"/>
  <c r="K1152" i="1"/>
  <c r="K1003" i="1"/>
  <c r="P1320" i="1"/>
  <c r="M662" i="1"/>
  <c r="P3523" i="1"/>
  <c r="I993" i="1"/>
  <c r="J2236" i="1"/>
  <c r="I251" i="1"/>
  <c r="Q2735" i="1"/>
  <c r="J2715" i="1"/>
  <c r="U1729" i="1"/>
  <c r="K1601" i="1"/>
  <c r="J579" i="1"/>
  <c r="I622" i="1"/>
  <c r="I2299" i="1"/>
  <c r="I1701" i="1"/>
  <c r="Q2084" i="1"/>
  <c r="J3316" i="1"/>
  <c r="J3395" i="1"/>
  <c r="U2295" i="1"/>
  <c r="D936" i="1"/>
  <c r="P416" i="1"/>
  <c r="K2993" i="1"/>
  <c r="AT62" i="1"/>
  <c r="Q2790" i="1"/>
  <c r="K1845" i="1"/>
  <c r="U3564" i="1"/>
  <c r="J2301" i="1"/>
  <c r="H335" i="1"/>
  <c r="I3327" i="1"/>
  <c r="I31" i="1"/>
  <c r="AT1589" i="1"/>
  <c r="P2700" i="1"/>
  <c r="H3369" i="1"/>
  <c r="J3059" i="1"/>
  <c r="H3005" i="1"/>
  <c r="I3067" i="1"/>
  <c r="H1635" i="1"/>
  <c r="U364" i="1"/>
  <c r="H2780" i="1"/>
  <c r="J1223" i="1"/>
  <c r="U2033" i="1"/>
  <c r="I942" i="1"/>
  <c r="J3471" i="1"/>
  <c r="H3483" i="1"/>
  <c r="I152" i="1"/>
  <c r="I3357" i="1"/>
  <c r="Q1333" i="1"/>
  <c r="M2923" i="1"/>
  <c r="I1251" i="1"/>
  <c r="M1262" i="1"/>
  <c r="M1477" i="1"/>
  <c r="Q1384" i="1"/>
  <c r="Q1379" i="1"/>
  <c r="N770" i="1"/>
  <c r="J3235" i="1"/>
  <c r="U1349" i="1"/>
  <c r="U2675" i="1"/>
  <c r="P2002" i="1"/>
  <c r="O2424" i="1"/>
  <c r="P142" i="1"/>
  <c r="O2031" i="1"/>
  <c r="M708" i="1"/>
  <c r="H2507" i="1"/>
  <c r="D2070" i="1"/>
  <c r="K2359" i="1"/>
  <c r="D620" i="1"/>
  <c r="H3160" i="1"/>
  <c r="U1064" i="1"/>
  <c r="I2020" i="1"/>
  <c r="I2746" i="1"/>
  <c r="I2165" i="1"/>
  <c r="U94" i="1"/>
  <c r="Q2218" i="1"/>
  <c r="P1057" i="1"/>
  <c r="O75" i="1"/>
  <c r="O2184" i="1"/>
  <c r="M1241" i="1"/>
  <c r="U414" i="1"/>
  <c r="D829" i="1"/>
  <c r="N633" i="1"/>
  <c r="AT1549" i="1"/>
  <c r="N2658" i="1"/>
  <c r="M354" i="1"/>
  <c r="O1211" i="1"/>
  <c r="H3067" i="1"/>
  <c r="I1435" i="1"/>
  <c r="D2024" i="1"/>
  <c r="N2225" i="1"/>
  <c r="I760" i="1"/>
  <c r="U3621" i="1"/>
  <c r="U204" i="1"/>
  <c r="O3465" i="1"/>
  <c r="J957" i="1"/>
  <c r="H2169" i="1"/>
  <c r="J838" i="1"/>
  <c r="P1505" i="1"/>
  <c r="U2992" i="1"/>
  <c r="I3564" i="1"/>
  <c r="O2327" i="1"/>
  <c r="H2267" i="1"/>
  <c r="U1728" i="1"/>
  <c r="J921" i="1"/>
  <c r="Q1141" i="1"/>
  <c r="P1681" i="1"/>
  <c r="U1736" i="1"/>
  <c r="K2207" i="1"/>
  <c r="H2028" i="1"/>
  <c r="P582" i="1"/>
  <c r="I3248" i="1"/>
  <c r="I676" i="1"/>
  <c r="U722" i="1"/>
  <c r="H1311" i="1"/>
  <c r="I650" i="1"/>
  <c r="I27" i="1"/>
  <c r="I1769" i="1"/>
  <c r="U2686" i="1"/>
  <c r="Q1241" i="1"/>
  <c r="U898" i="1"/>
  <c r="H2951" i="1"/>
  <c r="U1617" i="1"/>
  <c r="U1564" i="1"/>
  <c r="H1845" i="1"/>
  <c r="U1522" i="1"/>
  <c r="U2685" i="1"/>
  <c r="U1823" i="1"/>
  <c r="Q1485" i="1"/>
  <c r="I222" i="1"/>
  <c r="O133" i="1"/>
  <c r="Q3100" i="1"/>
  <c r="Q69" i="1"/>
  <c r="Q2653" i="1"/>
  <c r="Q3535" i="1"/>
  <c r="P3550" i="1"/>
  <c r="K2987" i="1"/>
  <c r="P3471" i="1"/>
  <c r="U2041" i="1"/>
  <c r="H1116" i="1"/>
  <c r="P1709" i="1"/>
  <c r="O365" i="1"/>
  <c r="I3157" i="1"/>
  <c r="D3412" i="1"/>
  <c r="D2611" i="1"/>
  <c r="D2606" i="1"/>
  <c r="P3231" i="1"/>
  <c r="U1238" i="1"/>
  <c r="J894" i="1"/>
  <c r="D1257" i="1"/>
  <c r="I1828" i="1"/>
  <c r="D999" i="1"/>
  <c r="J1008" i="1"/>
  <c r="H1852" i="1"/>
  <c r="D1149" i="1"/>
  <c r="O1733" i="1"/>
  <c r="N2204" i="1"/>
  <c r="O2744" i="1"/>
  <c r="D1102" i="1"/>
  <c r="O2340" i="1"/>
  <c r="J352" i="1"/>
  <c r="Q1791" i="1"/>
  <c r="AT756" i="1"/>
  <c r="N327" i="1"/>
  <c r="AT1378" i="1"/>
  <c r="N2592" i="1"/>
  <c r="AT189" i="1"/>
  <c r="N1728" i="1"/>
  <c r="I1221" i="1"/>
  <c r="U1566" i="1"/>
  <c r="J2638" i="1"/>
  <c r="I4" i="1"/>
  <c r="J2420" i="1"/>
  <c r="H23" i="1"/>
  <c r="I1786" i="1"/>
  <c r="H844" i="1"/>
  <c r="J308" i="1"/>
  <c r="H3598" i="1"/>
  <c r="U3113" i="1"/>
  <c r="Q112" i="1"/>
  <c r="M3634" i="1"/>
  <c r="O2027" i="1"/>
  <c r="P1067" i="1"/>
  <c r="P3463" i="1"/>
  <c r="Q137" i="1"/>
  <c r="P1526" i="1"/>
  <c r="D2389" i="1"/>
  <c r="D3192" i="1"/>
  <c r="Q1007" i="1"/>
  <c r="P43" i="1"/>
  <c r="AT585" i="1"/>
  <c r="D1185" i="1"/>
  <c r="N3463" i="1"/>
  <c r="M2322" i="1"/>
  <c r="AT1941" i="1"/>
  <c r="I511" i="1"/>
  <c r="H600" i="1"/>
  <c r="H414" i="1"/>
  <c r="J178" i="1"/>
  <c r="N2758" i="1"/>
  <c r="M3505" i="1"/>
  <c r="AT290" i="1"/>
  <c r="J2681" i="1"/>
  <c r="Q1822" i="1"/>
  <c r="J687" i="1"/>
  <c r="I577" i="1"/>
  <c r="I785" i="1"/>
  <c r="M957" i="1"/>
  <c r="D1006" i="1"/>
  <c r="AT1613" i="1"/>
  <c r="D1280" i="1"/>
  <c r="N2164" i="1"/>
  <c r="I3375" i="1"/>
  <c r="U488" i="1"/>
  <c r="U1675" i="1"/>
  <c r="N2669" i="1"/>
  <c r="H2492" i="1"/>
  <c r="M2465" i="1"/>
  <c r="M1889" i="1"/>
  <c r="O3299" i="1"/>
  <c r="AT280" i="1"/>
  <c r="N662" i="1"/>
  <c r="M75" i="1"/>
  <c r="D237" i="1"/>
  <c r="N937" i="1"/>
  <c r="N566" i="1"/>
  <c r="I325" i="1"/>
  <c r="D938" i="1"/>
  <c r="AT2420" i="1"/>
  <c r="O1238" i="1"/>
  <c r="Q2141" i="1"/>
  <c r="D1575" i="1"/>
  <c r="J2465" i="1"/>
  <c r="H3604" i="1"/>
  <c r="U2422" i="1"/>
  <c r="P3351" i="1"/>
  <c r="Q365" i="1"/>
  <c r="P1108" i="1"/>
  <c r="H3182" i="1"/>
  <c r="Q479" i="1"/>
  <c r="Q3454" i="1"/>
  <c r="Q1219" i="1"/>
  <c r="J2839" i="1"/>
  <c r="M1531" i="1"/>
  <c r="I36" i="1"/>
  <c r="Q3467" i="1"/>
  <c r="H3043" i="1"/>
  <c r="Q1678" i="1"/>
  <c r="K2955" i="1"/>
  <c r="K2414" i="1"/>
  <c r="U271" i="1"/>
  <c r="J1237" i="1"/>
  <c r="H1279" i="1"/>
  <c r="I2475" i="1"/>
  <c r="U1863" i="1"/>
  <c r="O3283" i="1"/>
  <c r="J1970" i="1"/>
  <c r="J948" i="1"/>
  <c r="J237" i="1"/>
  <c r="Q2293" i="1"/>
  <c r="I880" i="1"/>
  <c r="J3009" i="1"/>
  <c r="I1033" i="1"/>
  <c r="D593" i="1"/>
  <c r="I186" i="1"/>
  <c r="J1263" i="1"/>
  <c r="I2694" i="1"/>
  <c r="Q4" i="1"/>
  <c r="N324" i="1"/>
  <c r="I3637" i="1"/>
  <c r="J2747" i="1"/>
  <c r="Q2379" i="1"/>
  <c r="Q166" i="1"/>
  <c r="P1109" i="1"/>
  <c r="J423" i="1"/>
  <c r="N2471" i="1"/>
  <c r="H2273" i="1"/>
  <c r="J3218" i="1"/>
  <c r="I271" i="1"/>
  <c r="U1704" i="1"/>
  <c r="Q1650" i="1"/>
  <c r="J82" i="1"/>
  <c r="J1256" i="1"/>
  <c r="H369" i="1"/>
  <c r="I3018" i="1"/>
  <c r="J2384" i="1"/>
  <c r="I1139" i="1"/>
  <c r="I459" i="1"/>
  <c r="J2421" i="1"/>
  <c r="M1118" i="1"/>
  <c r="K3554" i="1"/>
  <c r="J2884" i="1"/>
  <c r="J2063" i="1"/>
  <c r="I1381" i="1"/>
  <c r="J1995" i="1"/>
  <c r="U2537" i="1"/>
  <c r="O83" i="1"/>
  <c r="M1762" i="1"/>
  <c r="P765" i="1"/>
  <c r="H2803" i="1"/>
  <c r="Q15" i="1"/>
  <c r="U2117" i="1"/>
  <c r="K2699" i="1"/>
  <c r="I256" i="1"/>
  <c r="J2055" i="1"/>
  <c r="J3298" i="1"/>
  <c r="P710" i="1"/>
  <c r="D3063" i="1"/>
  <c r="N2559" i="1"/>
  <c r="Q1316" i="1"/>
  <c r="O1074" i="1"/>
  <c r="D2707" i="1"/>
  <c r="O36" i="1"/>
  <c r="N2159" i="1"/>
  <c r="U1994" i="1"/>
  <c r="U2187" i="1"/>
  <c r="H1183" i="1"/>
  <c r="M2359" i="1"/>
  <c r="P2446" i="1"/>
  <c r="P1473" i="1"/>
  <c r="N1926" i="1"/>
  <c r="N1321" i="1"/>
  <c r="Q1404" i="1"/>
  <c r="I2149" i="1"/>
  <c r="U2035" i="1"/>
  <c r="H388" i="1"/>
  <c r="U674" i="1"/>
  <c r="H3054" i="1"/>
  <c r="U2211" i="1"/>
  <c r="Q3123" i="1"/>
  <c r="P3587" i="1"/>
  <c r="U944" i="1"/>
  <c r="M2150" i="1"/>
  <c r="N3103" i="1"/>
  <c r="N1228" i="1"/>
  <c r="H3511" i="1"/>
  <c r="M265" i="1"/>
  <c r="D1007" i="1"/>
  <c r="N2079" i="1"/>
  <c r="H1066" i="1"/>
  <c r="Q1173" i="1"/>
  <c r="N224" i="1"/>
  <c r="D3582" i="1"/>
  <c r="K1233" i="1"/>
  <c r="Q3588" i="1"/>
  <c r="O1848" i="1"/>
  <c r="O478" i="1"/>
  <c r="P1626" i="1"/>
  <c r="P1482" i="1"/>
  <c r="M3338" i="1"/>
  <c r="O530" i="1"/>
  <c r="U863" i="1"/>
  <c r="M2008" i="1"/>
  <c r="P923" i="1"/>
  <c r="U1162" i="1"/>
  <c r="P863" i="1"/>
  <c r="P3529" i="1"/>
  <c r="U2167" i="1"/>
  <c r="AT211" i="1"/>
  <c r="M1613" i="1"/>
  <c r="P3580" i="1"/>
  <c r="J1425" i="1"/>
  <c r="K663" i="1"/>
  <c r="J3486" i="1"/>
  <c r="M2632" i="1"/>
  <c r="U2032" i="1"/>
  <c r="P2653" i="1"/>
  <c r="N3492" i="1"/>
  <c r="M2675" i="1"/>
  <c r="I196" i="1"/>
  <c r="H317" i="1"/>
  <c r="N3059" i="1"/>
  <c r="D19" i="1"/>
  <c r="P1845" i="1"/>
  <c r="H1898" i="1"/>
  <c r="U1741" i="1"/>
  <c r="P1066" i="1"/>
  <c r="U1171" i="1"/>
  <c r="U1239" i="1"/>
  <c r="J3205" i="1"/>
  <c r="AT1911" i="1"/>
  <c r="J2562" i="1"/>
  <c r="M1579" i="1"/>
  <c r="M3280" i="1"/>
  <c r="O3438" i="1"/>
  <c r="P3394" i="1"/>
  <c r="K1540" i="1"/>
  <c r="I1640" i="1"/>
  <c r="I1574" i="1"/>
  <c r="J2129" i="1"/>
  <c r="J2419" i="1"/>
  <c r="O3583" i="1"/>
  <c r="O1929" i="1"/>
  <c r="M348" i="1"/>
  <c r="N3239" i="1"/>
  <c r="P395" i="1"/>
  <c r="P648" i="1"/>
  <c r="O318" i="1"/>
  <c r="M656" i="1"/>
  <c r="M2905" i="1"/>
  <c r="M2315" i="1"/>
  <c r="AT1164" i="1"/>
  <c r="N973" i="1"/>
  <c r="U92" i="1"/>
  <c r="H2250" i="1"/>
  <c r="J1748" i="1"/>
  <c r="Q128" i="1"/>
  <c r="P1457" i="1"/>
  <c r="H630" i="1"/>
  <c r="O2311" i="1"/>
  <c r="O2344" i="1"/>
  <c r="U66" i="1"/>
  <c r="Q2700" i="1"/>
  <c r="N2070" i="1"/>
  <c r="P1363" i="1"/>
  <c r="O1093" i="1"/>
  <c r="N3562" i="1"/>
  <c r="O1560" i="1"/>
  <c r="O1997" i="1"/>
  <c r="N1932" i="1"/>
  <c r="N2274" i="1"/>
  <c r="O593" i="1"/>
  <c r="M1099" i="1"/>
  <c r="M845" i="1"/>
  <c r="N2639" i="1"/>
  <c r="O1839" i="1"/>
  <c r="O2169" i="1"/>
  <c r="D209" i="1"/>
  <c r="P1461" i="1"/>
  <c r="AT3178" i="1"/>
  <c r="O1380" i="1"/>
  <c r="AT2155" i="1"/>
  <c r="I3467" i="1"/>
  <c r="U1009" i="1"/>
  <c r="Q2907" i="1"/>
  <c r="U2927" i="1"/>
  <c r="Q847" i="1"/>
  <c r="M1038" i="1"/>
  <c r="N1163" i="1"/>
  <c r="D1187" i="1"/>
  <c r="M1671" i="1"/>
  <c r="O2304" i="1"/>
  <c r="N1629" i="1"/>
  <c r="D301" i="1"/>
  <c r="U2831" i="1"/>
  <c r="H1831" i="1"/>
  <c r="AT2050" i="1"/>
  <c r="N21" i="1"/>
  <c r="N1087" i="1"/>
  <c r="N1132" i="1"/>
  <c r="N1220" i="1"/>
  <c r="J540" i="1"/>
  <c r="O2879" i="1"/>
  <c r="I3298" i="1"/>
  <c r="P1518" i="1"/>
  <c r="AT2501" i="1"/>
  <c r="AT402" i="1"/>
  <c r="H2994" i="1"/>
  <c r="Q2908" i="1"/>
  <c r="K2363" i="1"/>
  <c r="P2512" i="1"/>
  <c r="P2562" i="1"/>
  <c r="P3011" i="1"/>
  <c r="H2872" i="1"/>
  <c r="O1274" i="1"/>
  <c r="P2314" i="1"/>
  <c r="M3524" i="1"/>
  <c r="D99" i="1"/>
  <c r="AT1348" i="1"/>
  <c r="AT1872" i="1"/>
  <c r="AT3053" i="1"/>
  <c r="D636" i="1"/>
  <c r="M1520" i="1"/>
  <c r="D2101" i="1"/>
  <c r="AT1391" i="1"/>
  <c r="N2019" i="1"/>
  <c r="N863" i="1"/>
  <c r="AT516" i="1"/>
  <c r="AT3064" i="1"/>
  <c r="I88" i="1"/>
  <c r="AT445" i="1"/>
  <c r="I535" i="1"/>
  <c r="Q1985" i="1"/>
  <c r="P87" i="1"/>
  <c r="Q1048" i="1"/>
  <c r="P1090" i="1"/>
  <c r="P3639" i="1"/>
  <c r="O1819" i="1"/>
  <c r="J2053" i="1"/>
  <c r="O489" i="1"/>
  <c r="O3622" i="1"/>
  <c r="N2696" i="1"/>
  <c r="N794" i="1"/>
  <c r="U3158" i="1"/>
  <c r="Q2789" i="1"/>
  <c r="N2523" i="1"/>
  <c r="N2510" i="1"/>
  <c r="O1635" i="1"/>
  <c r="O130" i="1"/>
  <c r="AT864" i="1"/>
  <c r="D3002" i="1"/>
  <c r="D694" i="1"/>
  <c r="J1372" i="1"/>
  <c r="Q3599" i="1"/>
  <c r="V2627" i="1"/>
  <c r="AT1152" i="1"/>
  <c r="D655" i="1"/>
  <c r="U2636" i="1"/>
  <c r="Q2312" i="1"/>
  <c r="Q3149" i="1"/>
  <c r="AT2178" i="1"/>
  <c r="D1258" i="1"/>
  <c r="U2373" i="1"/>
  <c r="P1047" i="1"/>
  <c r="P2133" i="1"/>
  <c r="I460" i="1"/>
  <c r="U3003" i="1"/>
  <c r="U905" i="1"/>
  <c r="I907" i="1"/>
  <c r="I3543" i="1"/>
  <c r="I2892" i="1"/>
  <c r="K2191" i="1"/>
  <c r="J2795" i="1"/>
  <c r="P2861" i="1"/>
  <c r="Q616" i="1"/>
  <c r="P3050" i="1"/>
  <c r="P2393" i="1"/>
  <c r="H3223" i="1"/>
  <c r="O2803" i="1"/>
  <c r="M1297" i="1"/>
  <c r="M1051" i="1"/>
  <c r="K1718" i="1"/>
  <c r="AT1460" i="1"/>
  <c r="Q214" i="1"/>
  <c r="J2488" i="1"/>
  <c r="J1420" i="1"/>
  <c r="O1260" i="1"/>
  <c r="D1568" i="1"/>
  <c r="H32" i="1"/>
  <c r="M3164" i="1"/>
  <c r="U3272" i="1"/>
  <c r="M3638" i="1"/>
  <c r="U200" i="1"/>
  <c r="U250" i="1"/>
  <c r="H3398" i="1"/>
  <c r="K961" i="1"/>
  <c r="U1547" i="1"/>
  <c r="O523" i="1"/>
  <c r="Q3507" i="1"/>
  <c r="O2008" i="1"/>
  <c r="Q3624" i="1"/>
  <c r="P2065" i="1"/>
  <c r="M1456" i="1"/>
  <c r="D780" i="1"/>
  <c r="N3146" i="1"/>
  <c r="U804" i="1"/>
  <c r="N3089" i="1"/>
  <c r="Q3463" i="1"/>
  <c r="M999" i="1"/>
  <c r="N3096" i="1"/>
  <c r="Q2728" i="1"/>
  <c r="O2410" i="1"/>
  <c r="N3120" i="1"/>
  <c r="U985" i="1"/>
  <c r="U136" i="1"/>
  <c r="N3483" i="1"/>
  <c r="N445" i="1"/>
  <c r="P1151" i="1"/>
  <c r="I621" i="1"/>
  <c r="H1543" i="1"/>
  <c r="Q3016" i="1"/>
  <c r="D1982" i="1"/>
  <c r="AT3280" i="1"/>
  <c r="O3503" i="1"/>
  <c r="O120" i="1"/>
  <c r="N2450" i="1"/>
  <c r="K2463" i="1"/>
  <c r="U2134" i="1"/>
  <c r="J1102" i="1"/>
  <c r="O3216" i="1"/>
  <c r="P1712" i="1"/>
  <c r="U844" i="1"/>
  <c r="O3334" i="1"/>
  <c r="I1213" i="1"/>
  <c r="D352" i="1"/>
  <c r="U3426" i="1"/>
  <c r="U770" i="1"/>
  <c r="J2554" i="1"/>
  <c r="I2643" i="1"/>
  <c r="I3264" i="1"/>
  <c r="U3227" i="1"/>
  <c r="N807" i="1"/>
  <c r="H294" i="1"/>
  <c r="U394" i="1"/>
  <c r="H1820" i="1"/>
  <c r="D1630" i="1"/>
  <c r="I1486" i="1"/>
  <c r="AT2586" i="1"/>
  <c r="U796" i="1"/>
  <c r="H2929" i="1"/>
  <c r="D601" i="1"/>
  <c r="AT2336" i="1"/>
  <c r="I722" i="1"/>
  <c r="O2030" i="1"/>
  <c r="M871" i="1"/>
  <c r="M1923" i="1"/>
  <c r="M1152" i="1"/>
  <c r="O88" i="1"/>
  <c r="I866" i="1"/>
  <c r="P2124" i="1"/>
  <c r="U2405" i="1"/>
  <c r="Q1896" i="1"/>
  <c r="N1139" i="1"/>
  <c r="J3086" i="1"/>
  <c r="Q2995" i="1"/>
  <c r="Q1908" i="1"/>
  <c r="H432" i="1"/>
  <c r="J328" i="1"/>
  <c r="K2985" i="1"/>
  <c r="U277" i="1"/>
  <c r="K2676" i="1"/>
  <c r="H3330" i="1"/>
  <c r="P477" i="1"/>
  <c r="P1009" i="1"/>
  <c r="O1253" i="1"/>
  <c r="O3225" i="1"/>
  <c r="J2690" i="1"/>
  <c r="J3285" i="1"/>
  <c r="H3037" i="1"/>
  <c r="H2863" i="1"/>
  <c r="U2943" i="1"/>
  <c r="U1914" i="1"/>
  <c r="U2430" i="1"/>
  <c r="U46" i="1"/>
  <c r="AT2764" i="1"/>
  <c r="U3057" i="1"/>
  <c r="AT3492" i="1"/>
  <c r="U2011" i="1"/>
  <c r="D513" i="1"/>
  <c r="H3139" i="1"/>
  <c r="I3197" i="1"/>
  <c r="U2440" i="1"/>
  <c r="D2327" i="1"/>
  <c r="Q694" i="1"/>
  <c r="AT1368" i="1"/>
  <c r="Q2643" i="1"/>
  <c r="AT1587" i="1"/>
  <c r="K1917" i="1"/>
  <c r="P2547" i="1"/>
  <c r="U3339" i="1"/>
  <c r="J3566" i="1"/>
  <c r="I1803" i="1"/>
  <c r="I1373" i="1"/>
  <c r="I331" i="1"/>
  <c r="O3086" i="1"/>
  <c r="M3641" i="1"/>
  <c r="M1451" i="1"/>
  <c r="P1435" i="1"/>
  <c r="AT2958" i="1"/>
  <c r="I3444" i="1"/>
  <c r="N2784" i="1"/>
  <c r="U1261" i="1"/>
  <c r="J1834" i="1"/>
  <c r="H2073" i="1"/>
  <c r="H3020" i="1"/>
  <c r="AT1403" i="1"/>
  <c r="U2468" i="1"/>
  <c r="N2894" i="1"/>
  <c r="Q922" i="1"/>
  <c r="AT692" i="1"/>
  <c r="Q954" i="1"/>
  <c r="H1138" i="1"/>
  <c r="P189" i="1"/>
  <c r="H3052" i="1"/>
  <c r="P2473" i="1"/>
  <c r="U2367" i="1"/>
  <c r="P3263" i="1"/>
  <c r="Q2823" i="1"/>
  <c r="O2414" i="1"/>
  <c r="U2480" i="1"/>
  <c r="U1521" i="1"/>
  <c r="P908" i="1"/>
  <c r="H3540" i="1"/>
  <c r="P298" i="1"/>
  <c r="U947" i="1"/>
  <c r="O2466" i="1"/>
  <c r="H5" i="1"/>
  <c r="K458" i="1"/>
  <c r="I1119" i="1"/>
  <c r="P2125" i="1"/>
  <c r="J2231" i="1"/>
  <c r="J1671" i="1"/>
  <c r="J3427" i="1"/>
  <c r="D3265" i="1"/>
  <c r="U1706" i="1"/>
  <c r="Q2796" i="1"/>
  <c r="I1450" i="1"/>
  <c r="J2595" i="1"/>
  <c r="Q734" i="1"/>
  <c r="Q2179" i="1"/>
  <c r="Q1161" i="1"/>
  <c r="M1276" i="1"/>
  <c r="O2497" i="1"/>
  <c r="N3175" i="1"/>
  <c r="P1003" i="1"/>
  <c r="M2728" i="1"/>
  <c r="J280" i="1"/>
  <c r="K2388" i="1"/>
  <c r="H188" i="1"/>
  <c r="K131" i="1"/>
  <c r="N2828" i="1"/>
  <c r="J2976" i="1"/>
  <c r="D1796" i="1"/>
  <c r="J802" i="1"/>
  <c r="I1391" i="1"/>
  <c r="J807" i="1"/>
  <c r="J1574" i="1"/>
  <c r="K3127" i="1"/>
  <c r="H277" i="1"/>
  <c r="I2656" i="1"/>
  <c r="M970" i="1"/>
  <c r="J2118" i="1"/>
  <c r="J806" i="1"/>
  <c r="J486" i="1"/>
  <c r="P679" i="1"/>
  <c r="H3342" i="1"/>
  <c r="M2193" i="1"/>
  <c r="J2223" i="1"/>
  <c r="I15" i="1"/>
  <c r="I2885" i="1"/>
  <c r="K3450" i="1"/>
  <c r="J2787" i="1"/>
  <c r="U2804" i="1"/>
  <c r="N15" i="1"/>
  <c r="N3362" i="1"/>
  <c r="U534" i="1"/>
  <c r="J1502" i="1"/>
  <c r="Q2842" i="1"/>
  <c r="Q184" i="1"/>
  <c r="U2014" i="1"/>
  <c r="N1543" i="1"/>
  <c r="M3126" i="1"/>
  <c r="U759" i="1"/>
  <c r="I281" i="1"/>
  <c r="H2960" i="1"/>
  <c r="O2530" i="1"/>
  <c r="P2417" i="1"/>
  <c r="Q2635" i="1"/>
  <c r="M3169" i="1"/>
  <c r="I56" i="1"/>
  <c r="H1486" i="1"/>
  <c r="Q109" i="1"/>
  <c r="I205" i="1"/>
  <c r="I2019" i="1"/>
  <c r="I1115" i="1"/>
  <c r="O1255" i="1"/>
  <c r="H3215" i="1"/>
  <c r="M2159" i="1"/>
  <c r="Q1705" i="1"/>
  <c r="I50" i="1"/>
  <c r="J340" i="1"/>
  <c r="M1374" i="1"/>
  <c r="I3452" i="1"/>
  <c r="M1802" i="1"/>
  <c r="I1717" i="1"/>
  <c r="M2099" i="1"/>
  <c r="O1988" i="1"/>
  <c r="K3116" i="1"/>
  <c r="J1078" i="1"/>
  <c r="M2540" i="1"/>
  <c r="Q637" i="1"/>
  <c r="M2772" i="1"/>
  <c r="I2034" i="1"/>
  <c r="M3138" i="1"/>
  <c r="N2771" i="1"/>
  <c r="U2410" i="1"/>
  <c r="I1422" i="1"/>
  <c r="I2893" i="1"/>
  <c r="H1784" i="1"/>
  <c r="Q2892" i="1"/>
  <c r="K859" i="1"/>
  <c r="J2076" i="1"/>
  <c r="K3258" i="1"/>
  <c r="I3265" i="1"/>
  <c r="I1560" i="1"/>
  <c r="H328" i="1"/>
  <c r="U926" i="1"/>
  <c r="D1036" i="1"/>
  <c r="P1426" i="1"/>
  <c r="J243" i="1"/>
  <c r="I381" i="1"/>
  <c r="M2897" i="1"/>
  <c r="M2311" i="1"/>
  <c r="K290" i="1"/>
  <c r="J3102" i="1"/>
  <c r="J1923" i="1"/>
  <c r="H2687" i="1"/>
  <c r="J2314" i="1"/>
  <c r="I51" i="1"/>
  <c r="H3388" i="1"/>
  <c r="U300" i="1"/>
  <c r="H962" i="1"/>
  <c r="U3588" i="1"/>
  <c r="I1583" i="1"/>
  <c r="J303" i="1"/>
  <c r="H1872" i="1"/>
  <c r="K2790" i="1"/>
  <c r="O3325" i="1"/>
  <c r="M3531" i="1"/>
  <c r="O2794" i="1"/>
  <c r="I3013" i="1"/>
  <c r="O3555" i="1"/>
  <c r="I3477" i="1"/>
  <c r="O99" i="1"/>
  <c r="I2485" i="1"/>
  <c r="D1440" i="1"/>
  <c r="D656" i="1"/>
  <c r="N1854" i="1"/>
  <c r="D328" i="1"/>
  <c r="N2492" i="1"/>
  <c r="Q200" i="1"/>
  <c r="H177" i="1"/>
  <c r="J2311" i="1"/>
  <c r="O406" i="1"/>
  <c r="P388" i="1"/>
  <c r="O16" i="1"/>
  <c r="O1443" i="1"/>
  <c r="M2564" i="1"/>
  <c r="N3320" i="1"/>
  <c r="N3468" i="1"/>
  <c r="AT2247" i="1"/>
  <c r="N288" i="1"/>
  <c r="N657" i="1"/>
  <c r="M404" i="1"/>
  <c r="I2703" i="1"/>
  <c r="Q3285" i="1"/>
  <c r="J3008" i="1"/>
  <c r="U2869" i="1"/>
  <c r="U1277" i="1"/>
  <c r="Q3466" i="1"/>
  <c r="Q3608" i="1"/>
  <c r="Q1701" i="1"/>
  <c r="I1426" i="1"/>
  <c r="K2186" i="1"/>
  <c r="K1525" i="1"/>
  <c r="K2840" i="1"/>
  <c r="K252" i="1"/>
  <c r="U1342" i="1"/>
  <c r="K2734" i="1"/>
  <c r="P642" i="1"/>
  <c r="U2510" i="1"/>
  <c r="D1252" i="1"/>
  <c r="U384" i="1"/>
  <c r="K3432" i="1"/>
  <c r="Q2038" i="1"/>
  <c r="U2575" i="1"/>
  <c r="M1536" i="1"/>
  <c r="M650" i="1"/>
  <c r="Q241" i="1"/>
  <c r="P624" i="1"/>
  <c r="P2910" i="1"/>
  <c r="O1008" i="1"/>
  <c r="P530" i="1"/>
  <c r="P63" i="1"/>
  <c r="P3496" i="1"/>
  <c r="H3543" i="1"/>
  <c r="U1825" i="1"/>
  <c r="H1219" i="1"/>
  <c r="U115" i="1"/>
  <c r="AT2435" i="1"/>
  <c r="D3082" i="1"/>
  <c r="M1363" i="1"/>
  <c r="J928" i="1"/>
  <c r="P3041" i="1"/>
  <c r="U2700" i="1"/>
  <c r="M3153" i="1"/>
  <c r="U3096" i="1"/>
  <c r="P449" i="1"/>
  <c r="N3072" i="1"/>
  <c r="U3493" i="1"/>
  <c r="M2858" i="1"/>
  <c r="O2965" i="1"/>
  <c r="P2692" i="1"/>
  <c r="Q3290" i="1"/>
  <c r="O1568" i="1"/>
  <c r="N1015" i="1"/>
  <c r="O3106" i="1"/>
  <c r="K1610" i="1"/>
  <c r="U2308" i="1"/>
  <c r="M2463" i="1"/>
  <c r="N1644" i="1"/>
  <c r="I293" i="1"/>
  <c r="J336" i="1"/>
  <c r="M3281" i="1"/>
  <c r="M3247" i="1"/>
  <c r="AT2176" i="1"/>
  <c r="K793" i="1"/>
  <c r="I3009" i="1"/>
  <c r="K389" i="1"/>
  <c r="H3348" i="1"/>
  <c r="O1441" i="1"/>
  <c r="O1785" i="1"/>
  <c r="O2849" i="1"/>
  <c r="O1284" i="1"/>
  <c r="O2507" i="1"/>
  <c r="M177" i="1"/>
  <c r="I248" i="1"/>
  <c r="I3205" i="1"/>
  <c r="J1278" i="1"/>
  <c r="Q1304" i="1"/>
  <c r="N3254" i="1"/>
  <c r="U501" i="1"/>
  <c r="I146" i="1"/>
  <c r="I564" i="1"/>
  <c r="N1403" i="1"/>
  <c r="Q2357" i="1"/>
  <c r="J766" i="1"/>
  <c r="I2514" i="1"/>
  <c r="U1235" i="1"/>
  <c r="M3098" i="1"/>
  <c r="P2409" i="1"/>
  <c r="P12" i="1"/>
  <c r="N3343" i="1"/>
  <c r="N2677" i="1"/>
  <c r="H2913" i="1"/>
  <c r="Q1347" i="1"/>
  <c r="N1238" i="1"/>
  <c r="N1547" i="1"/>
  <c r="N2983" i="1"/>
  <c r="I3410" i="1"/>
  <c r="H1460" i="1"/>
  <c r="I1963" i="1"/>
  <c r="O1828" i="1"/>
  <c r="M2163" i="1"/>
  <c r="D2394" i="1"/>
  <c r="M697" i="1"/>
  <c r="O2864" i="1"/>
  <c r="N615" i="1"/>
  <c r="I240" i="1"/>
  <c r="P1222" i="1"/>
  <c r="N1529" i="1"/>
  <c r="O2498" i="1"/>
  <c r="O708" i="1"/>
  <c r="O1844" i="1"/>
  <c r="M710" i="1"/>
  <c r="M3596" i="1"/>
  <c r="D306" i="1"/>
  <c r="N1982" i="1"/>
  <c r="M3528" i="1"/>
  <c r="P2310" i="1"/>
  <c r="J2039" i="1"/>
  <c r="N521" i="1"/>
  <c r="O2513" i="1"/>
  <c r="O3190" i="1"/>
  <c r="J1988" i="1"/>
  <c r="O3235" i="1"/>
  <c r="P1984" i="1"/>
  <c r="K481" i="1"/>
  <c r="AT354" i="1"/>
  <c r="AT2316" i="1"/>
  <c r="AT382" i="1"/>
  <c r="N712" i="1"/>
  <c r="K3353" i="1"/>
  <c r="N239" i="1"/>
  <c r="Q1885" i="1"/>
  <c r="AT1696" i="1"/>
  <c r="D1755" i="1"/>
  <c r="I1385" i="1"/>
  <c r="U12" i="1"/>
  <c r="P3335" i="1"/>
  <c r="O947" i="1"/>
  <c r="H3345" i="1"/>
  <c r="J665" i="1"/>
  <c r="Q1265" i="1"/>
  <c r="N1605" i="1"/>
  <c r="Q1130" i="1"/>
  <c r="I2882" i="1"/>
  <c r="H915" i="1"/>
  <c r="Q845" i="1"/>
  <c r="M540" i="1"/>
  <c r="I2979" i="1"/>
  <c r="H3471" i="1"/>
  <c r="D538" i="1"/>
  <c r="U1494" i="1"/>
  <c r="H2598" i="1"/>
  <c r="U2766" i="1"/>
  <c r="Q2078" i="1"/>
  <c r="P680" i="1"/>
  <c r="Q1458" i="1"/>
  <c r="AT2639" i="1"/>
  <c r="P165" i="1"/>
  <c r="Q1373" i="1"/>
  <c r="O2553" i="1"/>
  <c r="M3269" i="1"/>
  <c r="AT3033" i="1"/>
  <c r="AT920" i="1"/>
  <c r="P759" i="1"/>
  <c r="D35" i="1"/>
  <c r="M1726" i="1"/>
  <c r="Q735" i="1"/>
  <c r="O3630" i="1"/>
  <c r="Q1930" i="1"/>
  <c r="H290" i="1"/>
  <c r="H3063" i="1"/>
  <c r="J2702" i="1"/>
  <c r="Q3475" i="1"/>
  <c r="K508" i="1"/>
  <c r="J1779" i="1"/>
  <c r="H274" i="1"/>
  <c r="U1996" i="1"/>
  <c r="I3392" i="1"/>
  <c r="I1104" i="1"/>
  <c r="AT754" i="1"/>
  <c r="U605" i="1"/>
  <c r="Q3505" i="1"/>
  <c r="P2796" i="1"/>
  <c r="AT2918" i="1"/>
  <c r="AT2676" i="1"/>
  <c r="K1734" i="1"/>
  <c r="H701" i="1"/>
  <c r="O2921" i="1"/>
  <c r="AT3392" i="1"/>
  <c r="M1232" i="1"/>
  <c r="M1142" i="1"/>
  <c r="N1708" i="1"/>
  <c r="N2115" i="1"/>
  <c r="I860" i="1"/>
  <c r="H2257" i="1"/>
  <c r="O1747" i="1"/>
  <c r="I776" i="1"/>
  <c r="K3133" i="1"/>
  <c r="I1014" i="1"/>
  <c r="H504" i="1"/>
  <c r="U2708" i="1"/>
  <c r="U982" i="1"/>
  <c r="H996" i="1"/>
  <c r="U447" i="1"/>
  <c r="D1148" i="1"/>
  <c r="Q1106" i="1"/>
  <c r="Q1229" i="1"/>
  <c r="U1944" i="1"/>
  <c r="O2742" i="1"/>
  <c r="I996" i="1"/>
  <c r="N813" i="1"/>
  <c r="H148" i="1"/>
  <c r="Q2649" i="1"/>
  <c r="P282" i="1"/>
  <c r="N205" i="1"/>
  <c r="P3262" i="1"/>
  <c r="I1873" i="1"/>
  <c r="O1217" i="1"/>
  <c r="I2138" i="1"/>
  <c r="M3631" i="1"/>
  <c r="I2671" i="1"/>
  <c r="I3372" i="1"/>
  <c r="H1034" i="1"/>
  <c r="O1772" i="1"/>
  <c r="U1941" i="1"/>
  <c r="O3262" i="1"/>
  <c r="Q2098" i="1"/>
  <c r="O1150" i="1"/>
  <c r="U2641" i="1"/>
  <c r="I1220" i="1"/>
  <c r="M469" i="1"/>
  <c r="D182" i="1"/>
  <c r="M2295" i="1"/>
  <c r="D2275" i="1"/>
  <c r="D917" i="1"/>
  <c r="D3056" i="1"/>
  <c r="D434" i="1"/>
  <c r="J1180" i="1"/>
  <c r="P2122" i="1"/>
  <c r="N1406" i="1"/>
  <c r="D1509" i="1"/>
  <c r="H2114" i="1"/>
  <c r="H3035" i="1"/>
  <c r="D1179" i="1"/>
  <c r="AT405" i="1"/>
  <c r="Q2807" i="1"/>
  <c r="I2978" i="1"/>
  <c r="I896" i="1"/>
  <c r="H1278" i="1"/>
  <c r="AT1229" i="1"/>
  <c r="AT2641" i="1"/>
  <c r="U2856" i="1"/>
  <c r="Q648" i="1"/>
  <c r="P917" i="1"/>
  <c r="K2264" i="1"/>
  <c r="U2973" i="1"/>
  <c r="U1152" i="1"/>
  <c r="AT781" i="1"/>
  <c r="Q513" i="1"/>
  <c r="P96" i="1"/>
  <c r="M3156" i="1"/>
  <c r="I1481" i="1"/>
  <c r="D1694" i="1"/>
  <c r="O3451" i="1"/>
  <c r="Q1698" i="1"/>
  <c r="O2561" i="1"/>
  <c r="M1153" i="1"/>
  <c r="M3174" i="1"/>
  <c r="D1446" i="1"/>
  <c r="M3181" i="1"/>
  <c r="D2620" i="1"/>
  <c r="N3498" i="1"/>
  <c r="U2882" i="1"/>
  <c r="U3318" i="1"/>
  <c r="N1124" i="1"/>
  <c r="P3367" i="1"/>
  <c r="U1765" i="1"/>
  <c r="O2836" i="1"/>
  <c r="K1716" i="1"/>
  <c r="K736" i="1"/>
  <c r="P2085" i="1"/>
  <c r="AT2642" i="1"/>
  <c r="O592" i="1"/>
  <c r="N3302" i="1"/>
  <c r="N96" i="1"/>
  <c r="O2574" i="1"/>
  <c r="K745" i="1"/>
  <c r="Q3571" i="1"/>
  <c r="I876" i="1"/>
  <c r="K988" i="1"/>
  <c r="N711" i="1"/>
  <c r="I3203" i="1"/>
  <c r="AT2687" i="1"/>
  <c r="K3289" i="1"/>
  <c r="H690" i="1"/>
  <c r="K2208" i="1"/>
  <c r="H2056" i="1"/>
  <c r="AT1273" i="1"/>
  <c r="AT2385" i="1"/>
  <c r="H1104" i="1"/>
  <c r="U1346" i="1"/>
  <c r="Q2638" i="1"/>
  <c r="P2059" i="1"/>
  <c r="O1829" i="1"/>
  <c r="M1515" i="1"/>
  <c r="I2353" i="1"/>
  <c r="N686" i="1"/>
  <c r="U2400" i="1"/>
  <c r="D1348" i="1"/>
  <c r="I3042" i="1"/>
  <c r="D3302" i="1"/>
  <c r="D2614" i="1"/>
  <c r="O2661" i="1"/>
  <c r="D3205" i="1"/>
  <c r="O722" i="1"/>
  <c r="D3597" i="1"/>
  <c r="O2433" i="1"/>
  <c r="K365" i="1"/>
  <c r="P192" i="1"/>
  <c r="M952" i="1"/>
  <c r="N1173" i="1"/>
  <c r="D3426" i="1"/>
  <c r="D3167" i="1"/>
  <c r="N414" i="1"/>
  <c r="N2147" i="1"/>
  <c r="I2269" i="1"/>
  <c r="P3417" i="1"/>
  <c r="U489" i="1"/>
  <c r="M719" i="1"/>
  <c r="O3574" i="1"/>
  <c r="O2883" i="1"/>
  <c r="U1362" i="1"/>
  <c r="D3249" i="1"/>
  <c r="N1518" i="1"/>
  <c r="N2606" i="1"/>
  <c r="M2254" i="1"/>
  <c r="U1860" i="1"/>
  <c r="U1568" i="1"/>
  <c r="H2852" i="1"/>
  <c r="P239" i="1"/>
  <c r="Q2971" i="1"/>
  <c r="H1051" i="1"/>
  <c r="K2015" i="1"/>
  <c r="Q390" i="1"/>
  <c r="H3112" i="1"/>
  <c r="Q262" i="1"/>
  <c r="U573" i="1"/>
  <c r="Q1606" i="1"/>
  <c r="Q3294" i="1"/>
  <c r="J1893" i="1"/>
  <c r="J1151" i="1"/>
  <c r="P816" i="1"/>
  <c r="O1001" i="1"/>
  <c r="O292" i="1"/>
  <c r="M3481" i="1"/>
  <c r="P2326" i="1"/>
  <c r="P788" i="1"/>
  <c r="I778" i="1"/>
  <c r="U2493" i="1"/>
  <c r="O1706" i="1"/>
  <c r="Q3592" i="1"/>
  <c r="P1397" i="1"/>
  <c r="Q1329" i="1"/>
  <c r="O971" i="1"/>
  <c r="N2727" i="1"/>
  <c r="K1376" i="1"/>
  <c r="H3149" i="1"/>
  <c r="I441" i="1"/>
  <c r="M869" i="1"/>
  <c r="M784" i="1"/>
  <c r="D2584" i="1"/>
  <c r="I2847" i="1"/>
  <c r="D885" i="1"/>
  <c r="Q2127" i="1"/>
  <c r="J1663" i="1"/>
  <c r="U3025" i="1"/>
  <c r="P3562" i="1"/>
  <c r="Q186" i="1"/>
  <c r="J3600" i="1"/>
  <c r="Q45" i="1"/>
  <c r="O2007" i="1"/>
  <c r="N744" i="1"/>
  <c r="J3084" i="1"/>
  <c r="Q3573" i="1"/>
  <c r="J3033" i="1"/>
  <c r="P2839" i="1"/>
  <c r="H2674" i="1"/>
  <c r="J2046" i="1"/>
  <c r="J1704" i="1"/>
  <c r="K3546" i="1"/>
  <c r="J226" i="1"/>
  <c r="K499" i="1"/>
  <c r="Q1920" i="1"/>
  <c r="M2681" i="1"/>
  <c r="N3190" i="1"/>
  <c r="D3352" i="1"/>
  <c r="M3367" i="1"/>
  <c r="D2527" i="1"/>
  <c r="AT1360" i="1"/>
  <c r="AT582" i="1"/>
  <c r="N2345" i="1"/>
  <c r="I3044" i="1"/>
  <c r="U892" i="1"/>
  <c r="U1674" i="1"/>
  <c r="D2619" i="1"/>
  <c r="M1623" i="1"/>
  <c r="D1968" i="1"/>
  <c r="D556" i="1"/>
  <c r="K734" i="1"/>
  <c r="I1996" i="1"/>
  <c r="AT2734" i="1"/>
  <c r="D3223" i="1"/>
  <c r="AT485" i="1"/>
  <c r="AT2392" i="1"/>
  <c r="H2930" i="1"/>
  <c r="U808" i="1"/>
  <c r="U1138" i="1"/>
  <c r="O1324" i="1"/>
  <c r="N1373" i="1"/>
  <c r="J1068" i="1"/>
  <c r="H935" i="1"/>
  <c r="I1178" i="1"/>
  <c r="I2056" i="1"/>
  <c r="K2216" i="1"/>
  <c r="D2590" i="1"/>
  <c r="J1397" i="1"/>
  <c r="U1432" i="1"/>
  <c r="O2020" i="1"/>
  <c r="O2929" i="1"/>
  <c r="M3411" i="1"/>
  <c r="M1596" i="1"/>
  <c r="I3617" i="1"/>
  <c r="I1792" i="1"/>
  <c r="P1509" i="1"/>
  <c r="J2745" i="1"/>
  <c r="M2060" i="1"/>
  <c r="P1830" i="1"/>
  <c r="J3529" i="1"/>
  <c r="K2277" i="1"/>
  <c r="M2227" i="1"/>
  <c r="U246" i="1"/>
  <c r="O2775" i="1"/>
  <c r="P121" i="1"/>
  <c r="O3365" i="1"/>
  <c r="M1022" i="1"/>
  <c r="H609" i="1"/>
  <c r="I3020" i="1"/>
  <c r="N2682" i="1"/>
  <c r="P1781" i="1"/>
  <c r="N3598" i="1"/>
  <c r="O1343" i="1"/>
  <c r="N848" i="1"/>
  <c r="D406" i="1"/>
  <c r="J3361" i="1"/>
  <c r="Q1369" i="1"/>
  <c r="J491" i="1"/>
  <c r="H471" i="1"/>
  <c r="J245" i="1"/>
  <c r="Q2992" i="1"/>
  <c r="J2590" i="1"/>
  <c r="I480" i="1"/>
  <c r="H2741" i="1"/>
  <c r="D1221" i="1"/>
  <c r="I3017" i="1"/>
  <c r="I1062" i="1"/>
  <c r="N3286" i="1"/>
  <c r="Q2018" i="1"/>
  <c r="AT3168" i="1"/>
  <c r="I2613" i="1"/>
  <c r="M2345" i="1"/>
  <c r="M388" i="1"/>
  <c r="D2901" i="1"/>
  <c r="I3284" i="1"/>
  <c r="AT1312" i="1"/>
  <c r="H921" i="1"/>
  <c r="D2433" i="1"/>
  <c r="Q2743" i="1"/>
  <c r="H3024" i="1"/>
  <c r="Q2552" i="1"/>
  <c r="D2033" i="1"/>
  <c r="U341" i="1"/>
  <c r="AT3462" i="1"/>
  <c r="J1240" i="1"/>
  <c r="AT949" i="1"/>
  <c r="P2486" i="1"/>
  <c r="Q2212" i="1"/>
  <c r="O3295" i="1"/>
  <c r="H2516" i="1"/>
  <c r="H2052" i="1"/>
  <c r="U795" i="1"/>
  <c r="I1440" i="1"/>
  <c r="U2726" i="1"/>
  <c r="O2649" i="1"/>
  <c r="N1832" i="1"/>
  <c r="N102" i="1"/>
  <c r="O2134" i="1"/>
  <c r="D3050" i="1"/>
  <c r="M2716" i="1"/>
  <c r="U1053" i="1"/>
  <c r="N1270" i="1"/>
  <c r="D633" i="1"/>
  <c r="P1283" i="1"/>
  <c r="P1653" i="1"/>
  <c r="Q1503" i="1"/>
  <c r="P2290" i="1"/>
  <c r="P2731" i="1"/>
  <c r="N1018" i="1"/>
  <c r="O2632" i="1"/>
  <c r="AT3056" i="1"/>
  <c r="N2928" i="1"/>
  <c r="N421" i="1"/>
  <c r="O3602" i="1"/>
  <c r="U1925" i="1"/>
  <c r="U3281" i="1"/>
  <c r="O892" i="1"/>
  <c r="M1395" i="1"/>
  <c r="O3613" i="1"/>
  <c r="Q2703" i="1"/>
  <c r="M770" i="1"/>
  <c r="M1321" i="1"/>
  <c r="Q2715" i="1"/>
  <c r="K28" i="1"/>
  <c r="K1985" i="1"/>
  <c r="K1446" i="1"/>
  <c r="H2879" i="1"/>
  <c r="AT658" i="1"/>
  <c r="I1572" i="1"/>
  <c r="P1006" i="1"/>
  <c r="H802" i="1"/>
  <c r="D543" i="1"/>
  <c r="P2637" i="1"/>
  <c r="H1730" i="1"/>
  <c r="J151" i="1"/>
  <c r="K5" i="1"/>
  <c r="K786" i="1"/>
  <c r="K2172" i="1"/>
  <c r="Q3311" i="1"/>
  <c r="J2295" i="1"/>
  <c r="P942" i="1"/>
  <c r="O1094" i="1"/>
  <c r="J909" i="1"/>
  <c r="K1329" i="1"/>
  <c r="O2367" i="1"/>
  <c r="AT1712" i="1"/>
  <c r="AT2576" i="1"/>
  <c r="AT550" i="1"/>
  <c r="U1148" i="1"/>
  <c r="U406" i="1"/>
  <c r="AT779" i="1"/>
  <c r="N3138" i="1"/>
  <c r="J2709" i="1"/>
  <c r="N1947" i="1"/>
  <c r="D3532" i="1"/>
  <c r="P2503" i="1"/>
  <c r="U1904" i="1"/>
  <c r="P2899" i="1"/>
  <c r="O1366" i="1"/>
  <c r="O2668" i="1"/>
  <c r="P2371" i="1"/>
  <c r="M551" i="1"/>
  <c r="N166" i="1"/>
  <c r="M2426" i="1"/>
  <c r="O1123" i="1"/>
  <c r="AT3507" i="1"/>
  <c r="M2050" i="1"/>
  <c r="M2741" i="1"/>
  <c r="U96" i="1"/>
  <c r="AT1782" i="1"/>
  <c r="AT2715" i="1"/>
  <c r="M250" i="1"/>
  <c r="Q1617" i="1"/>
  <c r="M1753" i="1"/>
  <c r="O2686" i="1"/>
  <c r="O1667" i="1"/>
  <c r="D3501" i="1"/>
  <c r="AT739" i="1"/>
  <c r="M525" i="1"/>
  <c r="N125" i="1"/>
  <c r="M2512" i="1"/>
  <c r="O2863" i="1"/>
  <c r="O3082" i="1"/>
  <c r="O1614" i="1"/>
  <c r="N898" i="1"/>
  <c r="N1450" i="1"/>
  <c r="O2180" i="1"/>
  <c r="I1273" i="1"/>
  <c r="H1155" i="1"/>
  <c r="P2169" i="1"/>
  <c r="M1031" i="1"/>
  <c r="AT2660" i="1"/>
  <c r="Q3061" i="1"/>
  <c r="H1119" i="1"/>
  <c r="H761" i="1"/>
  <c r="K2750" i="1"/>
  <c r="P2391" i="1"/>
  <c r="U3463" i="1"/>
  <c r="M3559" i="1"/>
  <c r="D2203" i="1"/>
  <c r="U126" i="1"/>
  <c r="Q2372" i="1"/>
  <c r="I3249" i="1"/>
  <c r="Q3230" i="1"/>
  <c r="M261" i="1"/>
  <c r="Q327" i="1"/>
  <c r="O2536" i="1"/>
  <c r="M3541" i="1"/>
  <c r="O1279" i="1"/>
  <c r="M463" i="1"/>
  <c r="AT2328" i="1"/>
  <c r="D709" i="1"/>
  <c r="O1930" i="1"/>
  <c r="AT1159" i="1"/>
  <c r="K2841" i="1"/>
  <c r="J3433" i="1"/>
  <c r="O3377" i="1"/>
  <c r="O764" i="1"/>
  <c r="K2380" i="1"/>
  <c r="J641" i="1"/>
  <c r="N3117" i="1"/>
  <c r="M204" i="1"/>
  <c r="AT3169" i="1"/>
  <c r="D1843" i="1"/>
  <c r="P3087" i="1"/>
  <c r="O1520" i="1"/>
  <c r="N2519" i="1"/>
  <c r="N2197" i="1"/>
  <c r="O1042" i="1"/>
  <c r="Q1916" i="1"/>
  <c r="H2014" i="1"/>
  <c r="J3047" i="1"/>
  <c r="O3319" i="1"/>
  <c r="Q2560" i="1"/>
  <c r="I531" i="1"/>
  <c r="H243" i="1"/>
  <c r="M703" i="1"/>
  <c r="K1023" i="1"/>
  <c r="P2352" i="1"/>
  <c r="P2703" i="1"/>
  <c r="D3639" i="1"/>
  <c r="AT158" i="1"/>
  <c r="P2804" i="1"/>
  <c r="AT153" i="1"/>
  <c r="U2437" i="1"/>
  <c r="K2681" i="1"/>
  <c r="P2471" i="1"/>
  <c r="I97" i="1"/>
  <c r="I2500" i="1"/>
  <c r="P1814" i="1"/>
  <c r="J1261" i="1"/>
  <c r="Q3218" i="1"/>
  <c r="J721" i="1"/>
  <c r="U2141" i="1"/>
  <c r="H2185" i="1"/>
  <c r="P350" i="1"/>
  <c r="P1433" i="1"/>
  <c r="M435" i="1"/>
  <c r="D1720" i="1"/>
  <c r="D2635" i="1"/>
  <c r="P486" i="1"/>
  <c r="M614" i="1"/>
  <c r="AT466" i="1"/>
  <c r="AT1219" i="1"/>
  <c r="I2198" i="1"/>
  <c r="H926" i="1"/>
  <c r="K1893" i="1"/>
  <c r="I3094" i="1"/>
  <c r="P556" i="1"/>
  <c r="AT3161" i="1"/>
  <c r="M2224" i="1"/>
  <c r="N2108" i="1"/>
  <c r="Q2413" i="1"/>
  <c r="O839" i="1"/>
  <c r="AT1299" i="1"/>
  <c r="D1976" i="1"/>
  <c r="O2535" i="1"/>
  <c r="O1765" i="1"/>
  <c r="I179" i="1"/>
  <c r="M1052" i="1"/>
  <c r="O1553" i="1"/>
  <c r="D1892" i="1"/>
  <c r="K3416" i="1"/>
  <c r="K1354" i="1"/>
  <c r="J2050" i="1"/>
  <c r="Q2989" i="1"/>
  <c r="M116" i="1"/>
  <c r="N3428" i="1"/>
  <c r="N1588" i="1"/>
  <c r="AT3215" i="1"/>
  <c r="AT2647" i="1"/>
  <c r="AT838" i="1"/>
  <c r="AT1514" i="1"/>
  <c r="M295" i="1"/>
  <c r="J3504" i="1"/>
  <c r="J1787" i="1"/>
  <c r="AT2044" i="1"/>
  <c r="I1605" i="1"/>
  <c r="J1754" i="1"/>
  <c r="J2732" i="1"/>
  <c r="M2348" i="1"/>
  <c r="AT1451" i="1"/>
  <c r="P2374" i="1"/>
  <c r="O376" i="1"/>
  <c r="M3102" i="1"/>
  <c r="O3076" i="1"/>
  <c r="O621" i="1"/>
  <c r="U156" i="1"/>
  <c r="O1010" i="1"/>
  <c r="Q3616" i="1"/>
  <c r="K188" i="1"/>
  <c r="O3487" i="1"/>
  <c r="Q1134" i="1"/>
  <c r="J107" i="1"/>
  <c r="O1652" i="1"/>
  <c r="N3079" i="1"/>
  <c r="M1481" i="1"/>
  <c r="D3255" i="1"/>
  <c r="U1844" i="1"/>
  <c r="M1213" i="1"/>
  <c r="J1474" i="1"/>
  <c r="D1708" i="1"/>
  <c r="K517" i="1"/>
  <c r="Q621" i="1"/>
  <c r="P3176" i="1"/>
  <c r="P1614" i="1"/>
  <c r="I1495" i="1"/>
  <c r="M269" i="1"/>
  <c r="O413" i="1"/>
  <c r="O2264" i="1"/>
  <c r="J2171" i="1"/>
  <c r="H1876" i="1"/>
  <c r="N749" i="1"/>
  <c r="D2130" i="1"/>
  <c r="O2945" i="1"/>
  <c r="N751" i="1"/>
  <c r="U3504" i="1"/>
  <c r="I2587" i="1"/>
  <c r="H2226" i="1"/>
  <c r="I3186" i="1"/>
  <c r="J1742" i="1"/>
  <c r="P1199" i="1"/>
  <c r="N1959" i="1"/>
  <c r="M751" i="1"/>
  <c r="U3592" i="1"/>
  <c r="D2602" i="1"/>
  <c r="I1757" i="1"/>
  <c r="AT1977" i="1"/>
  <c r="H928" i="1"/>
  <c r="D965" i="1"/>
  <c r="M2557" i="1"/>
  <c r="O2974" i="1"/>
  <c r="N1884" i="1"/>
  <c r="J2886" i="1"/>
  <c r="N1339" i="1"/>
  <c r="N2442" i="1"/>
  <c r="O166" i="1"/>
  <c r="P593" i="1"/>
  <c r="O3269" i="1"/>
  <c r="U1130" i="1"/>
  <c r="O2006" i="1"/>
  <c r="M677" i="1"/>
  <c r="N34" i="1"/>
  <c r="O1209" i="1"/>
  <c r="D1121" i="1"/>
  <c r="I3338" i="1"/>
  <c r="J31" i="1"/>
  <c r="P1694" i="1"/>
  <c r="AT2977" i="1"/>
  <c r="H2384" i="1"/>
  <c r="H559" i="1"/>
  <c r="H1851" i="1"/>
  <c r="P2010" i="1"/>
  <c r="I574" i="1"/>
  <c r="K719" i="1"/>
  <c r="U3214" i="1"/>
  <c r="J1890" i="1"/>
  <c r="Q2522" i="1"/>
  <c r="K3409" i="1"/>
  <c r="Q1298" i="1"/>
  <c r="P968" i="1"/>
  <c r="Q1931" i="1"/>
  <c r="U365" i="1"/>
  <c r="I3046" i="1"/>
  <c r="D1318" i="1"/>
  <c r="H2497" i="1"/>
  <c r="U556" i="1"/>
  <c r="O738" i="1"/>
  <c r="AT998" i="1"/>
  <c r="N2584" i="1"/>
  <c r="M2658" i="1"/>
  <c r="M1048" i="1"/>
  <c r="N1783" i="1"/>
  <c r="N2979" i="1"/>
  <c r="I998" i="1"/>
  <c r="J1507" i="1"/>
  <c r="N3060" i="1"/>
  <c r="P3344" i="1"/>
  <c r="AT1082" i="1"/>
  <c r="N985" i="1"/>
  <c r="P2317" i="1"/>
  <c r="K1792" i="1"/>
  <c r="O1702" i="1"/>
  <c r="O2120" i="1"/>
  <c r="U1912" i="1"/>
  <c r="AT2716" i="1"/>
  <c r="Q1737" i="1"/>
  <c r="U2681" i="1"/>
  <c r="I3270" i="1"/>
  <c r="AT2712" i="1"/>
  <c r="H2447" i="1"/>
  <c r="N2247" i="1"/>
  <c r="O2138" i="1"/>
  <c r="O2470" i="1"/>
  <c r="M627" i="1"/>
  <c r="O1896" i="1"/>
  <c r="O3378" i="1"/>
  <c r="M1716" i="1"/>
  <c r="M3074" i="1"/>
  <c r="N3035" i="1"/>
  <c r="U1783" i="1"/>
  <c r="N976" i="1"/>
  <c r="D788" i="1"/>
  <c r="P3635" i="1"/>
  <c r="D934" i="1"/>
  <c r="P1366" i="1"/>
  <c r="D2637" i="1"/>
  <c r="Q1543" i="1"/>
  <c r="P929" i="1"/>
  <c r="Q1097" i="1"/>
  <c r="O3578" i="1"/>
  <c r="N2892" i="1"/>
  <c r="I1674" i="1"/>
  <c r="AT1491" i="1"/>
  <c r="H3487" i="1"/>
  <c r="U1700" i="1"/>
  <c r="Q485" i="1"/>
  <c r="M1960" i="1"/>
  <c r="H2950" i="1"/>
  <c r="O1650" i="1"/>
  <c r="P2999" i="1"/>
  <c r="M1307" i="1"/>
  <c r="P433" i="1"/>
  <c r="H2131" i="1"/>
  <c r="I2339" i="1"/>
  <c r="H2449" i="1"/>
  <c r="P2442" i="1"/>
  <c r="U777" i="1"/>
  <c r="Q522" i="1"/>
  <c r="J2234" i="1"/>
  <c r="J1241" i="1"/>
  <c r="O158" i="1"/>
  <c r="AT2956" i="1"/>
  <c r="M160" i="1"/>
  <c r="Q2988" i="1"/>
  <c r="M2000" i="1"/>
  <c r="P1080" i="1"/>
  <c r="P617" i="1"/>
  <c r="N1635" i="1"/>
  <c r="N83" i="1"/>
  <c r="U1551" i="1"/>
  <c r="AT1278" i="1"/>
  <c r="J1299" i="1"/>
  <c r="U1970" i="1"/>
  <c r="AT713" i="1"/>
  <c r="D1038" i="1"/>
  <c r="U1573" i="1"/>
  <c r="U2269" i="1"/>
  <c r="D391" i="1"/>
  <c r="AT1304" i="1"/>
  <c r="M2701" i="1"/>
  <c r="P2763" i="1"/>
  <c r="O828" i="1"/>
  <c r="U3252" i="1"/>
  <c r="O3605" i="1"/>
  <c r="AT3640" i="1"/>
  <c r="N426" i="1"/>
  <c r="U937" i="1"/>
  <c r="I1144" i="1"/>
  <c r="D2328" i="1"/>
  <c r="P2036" i="1"/>
  <c r="U3167" i="1"/>
  <c r="AT2493" i="1"/>
  <c r="AT3066" i="1"/>
  <c r="N825" i="1"/>
  <c r="H1754" i="1"/>
  <c r="N593" i="1"/>
  <c r="M782" i="1"/>
  <c r="Q3204" i="1"/>
  <c r="P95" i="1"/>
  <c r="N1446" i="1"/>
  <c r="M2453" i="1"/>
  <c r="U2326" i="1"/>
  <c r="O1331" i="1"/>
  <c r="I2578" i="1"/>
  <c r="D11" i="1"/>
  <c r="M740" i="1"/>
  <c r="N1674" i="1"/>
  <c r="H1763" i="1"/>
  <c r="O690" i="1"/>
  <c r="I2609" i="1"/>
  <c r="K3155" i="1"/>
  <c r="K667" i="1"/>
  <c r="H2782" i="1"/>
  <c r="Q38" i="1"/>
  <c r="Q3435" i="1"/>
  <c r="K3600" i="1"/>
  <c r="P2451" i="1"/>
  <c r="K2564" i="1"/>
  <c r="J2360" i="1"/>
  <c r="Q357" i="1"/>
  <c r="J2015" i="1"/>
  <c r="K2813" i="1"/>
  <c r="U1734" i="1"/>
  <c r="H2957" i="1"/>
  <c r="M674" i="1"/>
  <c r="M2645" i="1"/>
  <c r="N3568" i="1"/>
  <c r="U193" i="1"/>
  <c r="N319" i="1"/>
  <c r="M500" i="1"/>
  <c r="O3379" i="1"/>
  <c r="D395" i="1"/>
  <c r="AT1320" i="1"/>
  <c r="D1276" i="1"/>
  <c r="J1917" i="1"/>
  <c r="I2757" i="1"/>
  <c r="D287" i="1"/>
  <c r="U2371" i="1"/>
  <c r="P1171" i="1"/>
  <c r="K1464" i="1"/>
  <c r="J560" i="1"/>
  <c r="H3095" i="1"/>
  <c r="AT3302" i="1"/>
  <c r="P100" i="1"/>
  <c r="I1023" i="1"/>
  <c r="AT1292" i="1"/>
  <c r="D2153" i="1"/>
  <c r="O717" i="1"/>
  <c r="D3020" i="1"/>
  <c r="H311" i="1"/>
  <c r="K2450" i="1"/>
  <c r="K1672" i="1"/>
  <c r="J808" i="1"/>
  <c r="P56" i="1"/>
  <c r="D2737" i="1"/>
  <c r="J2248" i="1"/>
  <c r="J3184" i="1"/>
  <c r="AT741" i="1"/>
  <c r="D529" i="1"/>
  <c r="N90" i="1"/>
  <c r="H954" i="1"/>
  <c r="AT2417" i="1"/>
  <c r="U1888" i="1"/>
  <c r="AT1037" i="1"/>
  <c r="D2562" i="1"/>
  <c r="AT613" i="1"/>
  <c r="J1587" i="1"/>
  <c r="H2221" i="1"/>
  <c r="I799" i="1"/>
  <c r="H1804" i="1"/>
  <c r="D1015" i="1"/>
  <c r="U106" i="1"/>
  <c r="I1081" i="1"/>
  <c r="U2739" i="1"/>
  <c r="I1311" i="1"/>
  <c r="U860" i="1"/>
  <c r="I2223" i="1"/>
  <c r="P2452" i="1"/>
  <c r="P1973" i="1"/>
  <c r="AT3480" i="1"/>
  <c r="Q2660" i="1"/>
  <c r="Q56" i="1"/>
  <c r="P3157" i="1"/>
  <c r="U3440" i="1"/>
  <c r="O3616" i="1"/>
  <c r="K2539" i="1"/>
  <c r="O1399" i="1"/>
  <c r="K1715" i="1"/>
  <c r="M2729" i="1"/>
  <c r="I442" i="1"/>
  <c r="D3319" i="1"/>
  <c r="J2669" i="1"/>
  <c r="AT3594" i="1"/>
  <c r="Q1795" i="1"/>
  <c r="U1495" i="1"/>
  <c r="AT1405" i="1"/>
  <c r="K3603" i="1"/>
  <c r="P677" i="1"/>
  <c r="N1041" i="1"/>
  <c r="H2030" i="1"/>
  <c r="O73" i="1"/>
  <c r="M423" i="1"/>
  <c r="D1255" i="1"/>
  <c r="I2043" i="1"/>
  <c r="H2592" i="1"/>
  <c r="H1296" i="1"/>
  <c r="H3300" i="1"/>
  <c r="Q826" i="1"/>
  <c r="O1666" i="1"/>
  <c r="Q1913" i="1"/>
  <c r="K2751" i="1"/>
  <c r="H2485" i="1"/>
  <c r="P1864" i="1"/>
  <c r="Q198" i="1"/>
  <c r="O254" i="1"/>
  <c r="H1846" i="1"/>
  <c r="U3464" i="1"/>
  <c r="P1779" i="1"/>
  <c r="P3603" i="1"/>
  <c r="Q2303" i="1"/>
  <c r="P2377" i="1"/>
  <c r="Q1882" i="1"/>
  <c r="P630" i="1"/>
  <c r="Q640" i="1"/>
  <c r="N2537" i="1"/>
  <c r="H3240" i="1"/>
  <c r="P2762" i="1"/>
  <c r="Q3105" i="1"/>
  <c r="I1096" i="1"/>
  <c r="N704" i="1"/>
  <c r="N342" i="1"/>
  <c r="I1457" i="1"/>
  <c r="H2722" i="1"/>
  <c r="AT127" i="1"/>
  <c r="U2415" i="1"/>
  <c r="J1586" i="1"/>
  <c r="Q2764" i="1"/>
  <c r="U3550" i="1"/>
  <c r="H3129" i="1"/>
  <c r="I2113" i="1"/>
  <c r="O3091" i="1"/>
  <c r="J519" i="1"/>
  <c r="H1934" i="1"/>
  <c r="J1881" i="1"/>
  <c r="AT1489" i="1"/>
  <c r="AT884" i="1"/>
  <c r="AT1509" i="1"/>
  <c r="I445" i="1"/>
  <c r="N545" i="1"/>
  <c r="H1551" i="1"/>
  <c r="AT2912" i="1"/>
  <c r="J2440" i="1"/>
  <c r="U167" i="1"/>
  <c r="U669" i="1"/>
  <c r="P48" i="1"/>
  <c r="J2490" i="1"/>
  <c r="O3305" i="1"/>
  <c r="Q249" i="1"/>
  <c r="P3219" i="1"/>
  <c r="N2741" i="1"/>
  <c r="M2123" i="1"/>
  <c r="K1084" i="1"/>
  <c r="K1407" i="1"/>
  <c r="H2942" i="1"/>
  <c r="K2489" i="1"/>
  <c r="AT1952" i="1"/>
  <c r="Q3342" i="1"/>
  <c r="AT2544" i="1"/>
  <c r="AT2875" i="1"/>
  <c r="U699" i="1"/>
  <c r="H281" i="1"/>
  <c r="P2811" i="1"/>
  <c r="AT3150" i="1"/>
  <c r="N2377" i="1"/>
  <c r="O1900" i="1"/>
  <c r="P3178" i="1"/>
  <c r="M115" i="1"/>
  <c r="AT1142" i="1"/>
  <c r="M2219" i="1"/>
  <c r="O1425" i="1"/>
  <c r="U2573" i="1"/>
  <c r="H1891" i="1"/>
  <c r="H164" i="1"/>
  <c r="M3292" i="1"/>
  <c r="I2506" i="1"/>
  <c r="D970" i="1"/>
  <c r="Q394" i="1"/>
  <c r="AT1373" i="1"/>
  <c r="H568" i="1"/>
  <c r="P462" i="1"/>
  <c r="P2407" i="1"/>
  <c r="H2007" i="1"/>
  <c r="P2135" i="1"/>
  <c r="I953" i="1"/>
  <c r="M990" i="1"/>
  <c r="K1217" i="1"/>
  <c r="N2452" i="1"/>
  <c r="M3406" i="1"/>
  <c r="P2960" i="1"/>
  <c r="AT591" i="1"/>
  <c r="H3165" i="1"/>
  <c r="Q209" i="1"/>
  <c r="U707" i="1"/>
  <c r="H2959" i="1"/>
  <c r="D3599" i="1"/>
  <c r="M1338" i="1"/>
  <c r="U31" i="1"/>
  <c r="D2202" i="1"/>
  <c r="N3477" i="1"/>
  <c r="Q2010" i="1"/>
  <c r="AT826" i="1"/>
  <c r="M2724" i="1"/>
  <c r="N2629" i="1"/>
  <c r="AT3255" i="1"/>
  <c r="J377" i="1"/>
  <c r="J2477" i="1"/>
  <c r="H2451" i="1"/>
  <c r="P1948" i="1"/>
  <c r="N2731" i="1"/>
  <c r="U657" i="1"/>
  <c r="N73" i="1"/>
  <c r="N514" i="1"/>
  <c r="AT2007" i="1"/>
  <c r="AT30" i="1"/>
  <c r="H2736" i="1"/>
  <c r="M1526" i="1"/>
  <c r="I2254" i="1"/>
  <c r="Q2107" i="1"/>
  <c r="P843" i="1"/>
  <c r="H2916" i="1"/>
  <c r="P2338" i="1"/>
  <c r="U2668" i="1"/>
  <c r="M3310" i="1"/>
  <c r="J1389" i="1"/>
  <c r="U1389" i="1"/>
  <c r="M1959" i="1"/>
  <c r="N3174" i="1"/>
  <c r="P1131" i="1"/>
  <c r="U2730" i="1"/>
  <c r="AT2043" i="1"/>
  <c r="P897" i="1"/>
  <c r="H165" i="1"/>
  <c r="AT617" i="1"/>
  <c r="U3599" i="1"/>
  <c r="P3469" i="1"/>
  <c r="M853" i="1"/>
  <c r="D413" i="1"/>
  <c r="I3292" i="1"/>
  <c r="AT2540" i="1"/>
  <c r="P2561" i="1"/>
  <c r="AT398" i="1"/>
  <c r="M906" i="1"/>
  <c r="M3095" i="1"/>
  <c r="P25" i="1"/>
  <c r="O762" i="1"/>
  <c r="M1054" i="1"/>
  <c r="N1934" i="1"/>
  <c r="D3391" i="1"/>
  <c r="U2472" i="1"/>
  <c r="M2083" i="1"/>
  <c r="O2824" i="1"/>
  <c r="D908" i="1"/>
  <c r="D3622" i="1"/>
  <c r="N1281" i="1"/>
  <c r="N2391" i="1"/>
  <c r="D3415" i="1"/>
  <c r="AT2098" i="1"/>
  <c r="U772" i="1"/>
  <c r="P999" i="1"/>
  <c r="H791" i="1"/>
  <c r="O1287" i="1"/>
  <c r="O2062" i="1"/>
  <c r="H1453" i="1"/>
  <c r="N3349" i="1"/>
  <c r="D3448" i="1"/>
  <c r="P735" i="1"/>
  <c r="N890" i="1"/>
  <c r="J440" i="1"/>
  <c r="O2522" i="1"/>
  <c r="K634" i="1"/>
  <c r="AT795" i="1"/>
  <c r="I2023" i="1"/>
  <c r="N2415" i="1"/>
  <c r="H3197" i="1"/>
  <c r="O3117" i="1"/>
  <c r="D2818" i="1"/>
  <c r="M3198" i="1"/>
  <c r="D2627" i="1"/>
  <c r="N1678" i="1"/>
  <c r="D1203" i="1"/>
  <c r="AT2523" i="1"/>
  <c r="H2416" i="1"/>
  <c r="J3125" i="1"/>
  <c r="J2045" i="1"/>
  <c r="N2713" i="1"/>
  <c r="K23" i="1"/>
  <c r="K3093" i="1"/>
  <c r="P2195" i="1"/>
  <c r="I270" i="1"/>
  <c r="N2250" i="1"/>
  <c r="M1144" i="1"/>
  <c r="AT1926" i="1"/>
  <c r="M194" i="1"/>
  <c r="Q328" i="1"/>
  <c r="P3381" i="1"/>
  <c r="AT2199" i="1"/>
  <c r="M2773" i="1"/>
  <c r="I3592" i="1"/>
  <c r="AT1377" i="1"/>
  <c r="N2196" i="1"/>
  <c r="O888" i="1"/>
  <c r="I2357" i="1"/>
  <c r="N896" i="1"/>
  <c r="K509" i="1"/>
  <c r="D1095" i="1"/>
  <c r="I424" i="1"/>
  <c r="Q164" i="1"/>
  <c r="O2915" i="1"/>
  <c r="N2129" i="1"/>
  <c r="P301" i="1"/>
  <c r="O2446" i="1"/>
  <c r="J3579" i="1"/>
  <c r="AT3634" i="1"/>
  <c r="N427" i="1"/>
  <c r="D2647" i="1"/>
  <c r="Q2500" i="1"/>
  <c r="AT1392" i="1"/>
  <c r="U2742" i="1"/>
  <c r="I1228" i="1"/>
  <c r="P1834" i="1"/>
  <c r="I1592" i="1"/>
  <c r="P1573" i="1"/>
  <c r="AT1147" i="1"/>
  <c r="U2550" i="1"/>
  <c r="N1426" i="1"/>
  <c r="P2363" i="1"/>
  <c r="U882" i="1"/>
  <c r="D3067" i="1"/>
  <c r="P372" i="1"/>
  <c r="D1126" i="1"/>
  <c r="AT844" i="1"/>
  <c r="I304" i="1"/>
  <c r="M3231" i="1"/>
  <c r="M3036" i="1"/>
  <c r="D1299" i="1"/>
  <c r="D1320" i="1"/>
  <c r="AT452" i="1"/>
  <c r="H2258" i="1"/>
  <c r="N1366" i="1"/>
  <c r="I3279" i="1"/>
  <c r="I3333" i="1"/>
  <c r="N430" i="1"/>
  <c r="P393" i="1"/>
  <c r="U1095" i="1"/>
  <c r="N1873" i="1"/>
  <c r="N1154" i="1"/>
  <c r="Q860" i="1"/>
  <c r="U1164" i="1"/>
  <c r="O1683" i="1"/>
  <c r="O542" i="1"/>
  <c r="P875" i="1"/>
  <c r="M1346" i="1"/>
  <c r="D1396" i="1"/>
  <c r="K1458" i="1"/>
  <c r="O2444" i="1"/>
  <c r="M1972" i="1"/>
  <c r="P1901" i="1"/>
  <c r="M2102" i="1"/>
  <c r="D3620" i="1"/>
  <c r="D491" i="1"/>
  <c r="N975" i="1"/>
  <c r="Q108" i="1"/>
  <c r="AT1141" i="1"/>
  <c r="N156" i="1"/>
  <c r="U263" i="1"/>
  <c r="AT1226" i="1"/>
  <c r="AT3240" i="1"/>
  <c r="M3608" i="1"/>
  <c r="D1622" i="1"/>
  <c r="AT1093" i="1"/>
  <c r="Q550" i="1"/>
  <c r="U2690" i="1"/>
  <c r="J2299" i="1"/>
  <c r="O1482" i="1"/>
  <c r="D1151" i="1"/>
  <c r="D2189" i="1"/>
  <c r="H396" i="1"/>
  <c r="M1575" i="1"/>
  <c r="Q445" i="1"/>
  <c r="O2999" i="1"/>
  <c r="Q1772" i="1"/>
  <c r="Q277" i="1"/>
  <c r="O90" i="1"/>
  <c r="J3247" i="1"/>
  <c r="H3447" i="1"/>
  <c r="K778" i="1"/>
  <c r="J366" i="1"/>
  <c r="K2961" i="1"/>
  <c r="K2185" i="1"/>
  <c r="Q3382" i="1"/>
  <c r="U2732" i="1"/>
  <c r="K3125" i="1"/>
  <c r="J2249" i="1"/>
  <c r="P2571" i="1"/>
  <c r="I434" i="1"/>
  <c r="Q1444" i="1"/>
  <c r="U2272" i="1"/>
  <c r="J2687" i="1"/>
  <c r="U3587" i="1"/>
  <c r="D247" i="1"/>
  <c r="Q1129" i="1"/>
  <c r="I2327" i="1"/>
  <c r="Q2066" i="1"/>
  <c r="D1886" i="1"/>
  <c r="D2538" i="1"/>
  <c r="I2366" i="1"/>
  <c r="M1222" i="1"/>
  <c r="AT1983" i="1"/>
  <c r="AT2228" i="1"/>
  <c r="U470" i="1"/>
  <c r="AT77" i="1"/>
  <c r="P1659" i="1"/>
  <c r="D3495" i="1"/>
  <c r="AT1026" i="1"/>
  <c r="D2736" i="1"/>
  <c r="Q2234" i="1"/>
  <c r="U6" i="1"/>
  <c r="Q2390" i="1"/>
  <c r="AT642" i="1"/>
  <c r="I1229" i="1"/>
  <c r="D2626" i="1"/>
  <c r="AT3396" i="1"/>
  <c r="P3451" i="1"/>
  <c r="M2173" i="1"/>
  <c r="M1299" i="1"/>
  <c r="D2434" i="1"/>
  <c r="H2487" i="1"/>
  <c r="N19" i="1"/>
  <c r="O1555" i="1"/>
  <c r="N3512" i="1"/>
  <c r="M1311" i="1"/>
  <c r="U2064" i="1"/>
  <c r="O2149" i="1"/>
  <c r="AT794" i="1"/>
  <c r="H1247" i="1"/>
  <c r="D1378" i="1"/>
  <c r="D603" i="1"/>
  <c r="M1902" i="1"/>
  <c r="I549" i="1"/>
  <c r="Q2290" i="1"/>
  <c r="Q1519" i="1"/>
  <c r="P1290" i="1"/>
  <c r="H2992" i="1"/>
  <c r="N2740" i="1"/>
  <c r="D1472" i="1"/>
  <c r="J3055" i="1"/>
  <c r="P2893" i="1"/>
  <c r="N2009" i="1"/>
  <c r="I3098" i="1"/>
  <c r="U116" i="1"/>
  <c r="H1120" i="1"/>
  <c r="P3426" i="1"/>
  <c r="P1053" i="1"/>
  <c r="J1815" i="1"/>
  <c r="AT599" i="1"/>
  <c r="AT1637" i="1"/>
  <c r="D2787" i="1"/>
  <c r="M720" i="1"/>
  <c r="H3179" i="1"/>
  <c r="N3046" i="1"/>
  <c r="N1354" i="1"/>
  <c r="U451" i="1"/>
  <c r="N2458" i="1"/>
  <c r="AT686" i="1"/>
  <c r="D677" i="1"/>
  <c r="P3565" i="1"/>
  <c r="AT1763" i="1"/>
  <c r="K2249" i="1"/>
  <c r="K2587" i="1"/>
  <c r="AT925" i="1"/>
  <c r="AT2085" i="1"/>
  <c r="I2894" i="1"/>
  <c r="AT1300" i="1"/>
  <c r="Q1836" i="1"/>
  <c r="I161" i="1"/>
  <c r="I3391" i="1"/>
  <c r="O2762" i="1"/>
  <c r="I2998" i="1"/>
  <c r="I1971" i="1"/>
  <c r="AT948" i="1"/>
  <c r="N2570" i="1"/>
  <c r="O2723" i="1"/>
  <c r="O536" i="1"/>
  <c r="M2914" i="1"/>
  <c r="H3032" i="1"/>
  <c r="AT3422" i="1"/>
  <c r="Q3251" i="1"/>
  <c r="D1577" i="1"/>
  <c r="K3589" i="1"/>
  <c r="I2317" i="1"/>
  <c r="H2589" i="1"/>
  <c r="AT2381" i="1"/>
  <c r="AT243" i="1"/>
  <c r="H2940" i="1"/>
  <c r="I423" i="1"/>
  <c r="D2134" i="1"/>
  <c r="J2757" i="1"/>
  <c r="D2401" i="1"/>
  <c r="O753" i="1"/>
  <c r="K3487" i="1"/>
  <c r="N1628" i="1"/>
  <c r="P3465" i="1"/>
  <c r="K1120" i="1"/>
  <c r="H423" i="1"/>
  <c r="P2385" i="1"/>
  <c r="H205" i="1"/>
  <c r="J3467" i="1"/>
  <c r="O3440" i="1"/>
  <c r="O907" i="1"/>
  <c r="O3024" i="1"/>
  <c r="U617" i="1"/>
  <c r="J1660" i="1"/>
  <c r="P1458" i="1"/>
  <c r="H3413" i="1"/>
  <c r="M3632" i="1"/>
  <c r="O1899" i="1"/>
  <c r="I2218" i="1"/>
  <c r="M580" i="1"/>
  <c r="O3054" i="1"/>
  <c r="M212" i="1"/>
  <c r="O2895" i="1"/>
  <c r="H426" i="1"/>
  <c r="U1337" i="1"/>
  <c r="AT3306" i="1"/>
  <c r="O849" i="1"/>
  <c r="D3250" i="1"/>
  <c r="D1416" i="1"/>
  <c r="O991" i="1"/>
  <c r="D161" i="1"/>
  <c r="AT2173" i="1"/>
  <c r="AT3434" i="1"/>
  <c r="K2322" i="1"/>
  <c r="K1325" i="1"/>
  <c r="O3263" i="1"/>
  <c r="P3291" i="1"/>
  <c r="K338" i="1"/>
  <c r="J2878" i="1"/>
  <c r="I1077" i="1"/>
  <c r="K2569" i="1"/>
  <c r="M1815" i="1"/>
  <c r="U457" i="1"/>
  <c r="P978" i="1"/>
  <c r="P2956" i="1"/>
  <c r="I3538" i="1"/>
  <c r="I1063" i="1"/>
  <c r="Q101" i="1"/>
  <c r="H2905" i="1"/>
  <c r="H3152" i="1"/>
  <c r="Q3103" i="1"/>
  <c r="P2522" i="1"/>
  <c r="Q566" i="1"/>
  <c r="D1340" i="1"/>
  <c r="P2545" i="1"/>
  <c r="M2486" i="1"/>
  <c r="D2598" i="1"/>
  <c r="U2821" i="1"/>
  <c r="P527" i="1"/>
  <c r="N3062" i="1"/>
  <c r="D1581" i="1"/>
  <c r="AT2758" i="1"/>
  <c r="N2404" i="1"/>
  <c r="M253" i="1"/>
  <c r="H2147" i="1"/>
  <c r="M3456" i="1"/>
  <c r="AT293" i="1"/>
  <c r="N2581" i="1"/>
  <c r="M1756" i="1"/>
  <c r="AT549" i="1"/>
  <c r="U1085" i="1"/>
  <c r="P424" i="1"/>
  <c r="P1343" i="1"/>
  <c r="P3625" i="1"/>
  <c r="P960" i="1"/>
  <c r="P1642" i="1"/>
  <c r="I1148" i="1"/>
  <c r="J276" i="1"/>
  <c r="I3059" i="1"/>
  <c r="M511" i="1"/>
  <c r="N938" i="1"/>
  <c r="N1273" i="1"/>
  <c r="N217" i="1"/>
  <c r="P736" i="1"/>
  <c r="P750" i="1"/>
  <c r="P29" i="1"/>
  <c r="P1829" i="1"/>
  <c r="H38" i="1"/>
  <c r="P2673" i="1"/>
  <c r="N1430" i="1"/>
  <c r="M905" i="1"/>
  <c r="K1778" i="1"/>
  <c r="N1086" i="1"/>
  <c r="P293" i="1"/>
  <c r="H2266" i="1"/>
  <c r="K2703" i="1"/>
  <c r="J493" i="1"/>
  <c r="O3572" i="1"/>
  <c r="O1195" i="1"/>
  <c r="H729" i="1"/>
  <c r="J3585" i="1"/>
  <c r="N784" i="1"/>
  <c r="AT2569" i="1"/>
  <c r="J3341" i="1"/>
  <c r="N2954" i="1"/>
  <c r="H3624" i="1"/>
  <c r="K3342" i="1"/>
  <c r="N3164" i="1"/>
  <c r="N375" i="1"/>
  <c r="H1913" i="1"/>
  <c r="H2818" i="1"/>
  <c r="J1949" i="1"/>
  <c r="AT4" i="1"/>
  <c r="P492" i="1"/>
  <c r="U1237" i="1"/>
  <c r="P1513" i="1"/>
  <c r="O215" i="1"/>
  <c r="Q2584" i="1"/>
  <c r="K2562" i="1"/>
  <c r="U627" i="1"/>
  <c r="Q3384" i="1"/>
  <c r="U2807" i="1"/>
  <c r="Q2519" i="1"/>
  <c r="P1936" i="1"/>
  <c r="P2595" i="1"/>
  <c r="Q1124" i="1"/>
  <c r="I3479" i="1"/>
  <c r="J774" i="1"/>
  <c r="D728" i="1"/>
  <c r="U743" i="1"/>
  <c r="J2850" i="1"/>
  <c r="I523" i="1"/>
  <c r="P2513" i="1"/>
  <c r="N988" i="1"/>
  <c r="M3075" i="1"/>
  <c r="J855" i="1"/>
  <c r="D2879" i="1"/>
  <c r="J931" i="1"/>
  <c r="I632" i="1"/>
  <c r="H850" i="1"/>
  <c r="O548" i="1"/>
  <c r="I1838" i="1"/>
  <c r="H768" i="1"/>
  <c r="AT1829" i="1"/>
  <c r="AT2952" i="1"/>
  <c r="I3469" i="1"/>
  <c r="Q1341" i="1"/>
  <c r="K2776" i="1"/>
  <c r="H1484" i="1"/>
  <c r="H1591" i="1"/>
  <c r="U3394" i="1"/>
  <c r="H779" i="1"/>
  <c r="U2315" i="1"/>
  <c r="D1878" i="1"/>
  <c r="O2957" i="1"/>
  <c r="U1567" i="1"/>
  <c r="N1298" i="1"/>
  <c r="D53" i="1"/>
  <c r="D332" i="1"/>
  <c r="I2259" i="1"/>
  <c r="U1229" i="1"/>
  <c r="N3149" i="1"/>
  <c r="D101" i="1"/>
  <c r="Q911" i="1"/>
  <c r="K3540" i="1"/>
  <c r="H2162" i="1"/>
  <c r="D3138" i="1"/>
  <c r="AT1397" i="1"/>
  <c r="U569" i="1"/>
  <c r="I1502" i="1"/>
  <c r="H3188" i="1"/>
  <c r="M1792" i="1"/>
  <c r="O2888" i="1"/>
  <c r="U1606" i="1"/>
  <c r="J813" i="1"/>
  <c r="P323" i="1"/>
  <c r="AT3361" i="1"/>
  <c r="N728" i="1"/>
  <c r="O2355" i="1"/>
  <c r="AT1955" i="1"/>
  <c r="AT915" i="1"/>
  <c r="P132" i="1"/>
  <c r="O817" i="1"/>
  <c r="U2424" i="1"/>
  <c r="H1616" i="1"/>
  <c r="P2013" i="1"/>
  <c r="Q542" i="1"/>
  <c r="O2178" i="1"/>
  <c r="P2961" i="1"/>
  <c r="N3140" i="1"/>
  <c r="K2262" i="1"/>
  <c r="K158" i="1"/>
  <c r="N2284" i="1"/>
  <c r="U1438" i="1"/>
  <c r="I3597" i="1"/>
  <c r="O3074" i="1"/>
  <c r="I1555" i="1"/>
  <c r="D3214" i="1"/>
  <c r="Q371" i="1"/>
  <c r="K2782" i="1"/>
  <c r="M300" i="1"/>
  <c r="M1856" i="1"/>
  <c r="Q1736" i="1"/>
  <c r="J809" i="1"/>
  <c r="N1846" i="1"/>
  <c r="AT2603" i="1"/>
  <c r="M2358" i="1"/>
  <c r="Q998" i="1"/>
  <c r="O2807" i="1"/>
  <c r="Q3096" i="1"/>
  <c r="M1159" i="1"/>
  <c r="M2907" i="1"/>
  <c r="D2020" i="1"/>
  <c r="I2749" i="1"/>
  <c r="Q3155" i="1"/>
  <c r="N2459" i="1"/>
  <c r="M3363" i="1"/>
  <c r="AT525" i="1"/>
  <c r="O2855" i="1"/>
  <c r="H2215" i="1"/>
  <c r="Q3558" i="1"/>
  <c r="I3609" i="1"/>
  <c r="N3029" i="1"/>
  <c r="Q2531" i="1"/>
  <c r="O2673" i="1"/>
  <c r="I2518" i="1"/>
  <c r="M3517" i="1"/>
  <c r="N2508" i="1"/>
  <c r="M89" i="1"/>
  <c r="H1306" i="1"/>
  <c r="H3220" i="1"/>
  <c r="N1080" i="1"/>
  <c r="U1294" i="1"/>
  <c r="M1157" i="1"/>
  <c r="D90" i="1"/>
  <c r="J2237" i="1"/>
  <c r="U138" i="1"/>
  <c r="N29" i="1"/>
  <c r="P607" i="1"/>
  <c r="M3106" i="1"/>
  <c r="J2169" i="1"/>
  <c r="O993" i="1"/>
  <c r="N82" i="1"/>
  <c r="M3344" i="1"/>
  <c r="D1119" i="1"/>
  <c r="I168" i="1"/>
  <c r="Q582" i="1"/>
  <c r="D2479" i="1"/>
  <c r="Q1744" i="1"/>
  <c r="D2000" i="1"/>
  <c r="M394" i="1"/>
  <c r="I1257" i="1"/>
  <c r="O1748" i="1"/>
  <c r="AT899" i="1"/>
  <c r="U769" i="1"/>
  <c r="O1771" i="1"/>
  <c r="P2639" i="1"/>
  <c r="P2789" i="1"/>
  <c r="O1313" i="1"/>
  <c r="N3630" i="1"/>
  <c r="AT2724" i="1"/>
  <c r="N2624" i="1"/>
  <c r="P676" i="1"/>
  <c r="O3527" i="1"/>
  <c r="H3567" i="1"/>
  <c r="D144" i="1"/>
  <c r="K1577" i="1"/>
  <c r="AT2854" i="1"/>
  <c r="N3218" i="1"/>
  <c r="M2239" i="1"/>
  <c r="N1631" i="1"/>
  <c r="O686" i="1"/>
  <c r="Q1840" i="1"/>
  <c r="U1752" i="1"/>
  <c r="D1417" i="1"/>
  <c r="AT3077" i="1"/>
  <c r="D1256" i="1"/>
  <c r="AT2774" i="1"/>
  <c r="J1665" i="1"/>
  <c r="P2881" i="1"/>
  <c r="O1959" i="1"/>
  <c r="P1635" i="1"/>
  <c r="U940" i="1"/>
  <c r="I370" i="1"/>
  <c r="O3036" i="1"/>
  <c r="Q43" i="1"/>
  <c r="AT3162" i="1"/>
  <c r="P3564" i="1"/>
  <c r="D876" i="1"/>
  <c r="AT1658" i="1"/>
  <c r="M832" i="1"/>
  <c r="P2608" i="1"/>
  <c r="M2802" i="1"/>
  <c r="O2098" i="1"/>
  <c r="N2455" i="1"/>
  <c r="K950" i="1"/>
  <c r="H3365" i="1"/>
  <c r="U3446" i="1"/>
  <c r="U3575" i="1"/>
  <c r="P2642" i="1"/>
  <c r="P3410" i="1"/>
  <c r="AT3351" i="1"/>
  <c r="U374" i="1"/>
  <c r="P1589" i="1"/>
  <c r="K2656" i="1"/>
  <c r="D1635" i="1"/>
  <c r="M2033" i="1"/>
  <c r="Q2388" i="1"/>
  <c r="AT1963" i="1"/>
  <c r="Q977" i="1"/>
  <c r="N1659" i="1"/>
  <c r="O1288" i="1"/>
  <c r="P2254" i="1"/>
  <c r="O1902" i="1"/>
  <c r="M3417" i="1"/>
  <c r="H3551" i="1"/>
  <c r="U2327" i="1"/>
  <c r="O1665" i="1"/>
  <c r="O3392" i="1"/>
  <c r="J1948" i="1"/>
  <c r="J84" i="1"/>
  <c r="H2282" i="1"/>
  <c r="Q3300" i="1"/>
  <c r="I3303" i="1"/>
  <c r="I1212" i="1"/>
  <c r="J1322" i="1"/>
  <c r="N2449" i="1"/>
  <c r="N2226" i="1"/>
  <c r="O2283" i="1"/>
  <c r="O282" i="1"/>
  <c r="N1478" i="1"/>
  <c r="N1151" i="1"/>
  <c r="I2025" i="1"/>
  <c r="N2660" i="1"/>
  <c r="M332" i="1"/>
  <c r="J2435" i="1"/>
  <c r="O3641" i="1"/>
  <c r="N3233" i="1"/>
  <c r="J329" i="1"/>
  <c r="H3532" i="1"/>
  <c r="Q1655" i="1"/>
  <c r="O187" i="1"/>
  <c r="AT1848" i="1"/>
  <c r="K185" i="1"/>
  <c r="K1782" i="1"/>
  <c r="I3058" i="1"/>
  <c r="J1996" i="1"/>
  <c r="U1302" i="1"/>
  <c r="U248" i="1"/>
  <c r="D174" i="1"/>
  <c r="O319" i="1"/>
  <c r="Q2168" i="1"/>
  <c r="Q1972" i="1"/>
  <c r="J192" i="1"/>
  <c r="J2416" i="1"/>
  <c r="D2234" i="1"/>
  <c r="P951" i="1"/>
  <c r="Q2848" i="1"/>
  <c r="U2217" i="1"/>
  <c r="U2044" i="1"/>
  <c r="P2274" i="1"/>
  <c r="U3390" i="1"/>
  <c r="O1698" i="1"/>
  <c r="M851" i="1"/>
  <c r="O994" i="1"/>
  <c r="M911" i="1"/>
  <c r="P1126" i="1"/>
  <c r="M241" i="1"/>
  <c r="AT1801" i="1"/>
  <c r="N2098" i="1"/>
  <c r="AT32" i="1"/>
  <c r="Q633" i="1"/>
  <c r="D1995" i="1"/>
  <c r="AT187" i="1"/>
  <c r="D2500" i="1"/>
  <c r="I3536" i="1"/>
  <c r="H2460" i="1"/>
  <c r="N981" i="1"/>
  <c r="AT429" i="1"/>
  <c r="AT570" i="1"/>
  <c r="AT3088" i="1"/>
  <c r="M3548" i="1"/>
  <c r="P2511" i="1"/>
  <c r="D2043" i="1"/>
  <c r="P1796" i="1"/>
  <c r="Q297" i="1"/>
  <c r="U690" i="1"/>
  <c r="Q1841" i="1"/>
  <c r="P3611" i="1"/>
  <c r="N3416" i="1"/>
  <c r="M606" i="1"/>
  <c r="M2959" i="1"/>
  <c r="Q1663" i="1"/>
  <c r="P198" i="1"/>
  <c r="U2795" i="1"/>
  <c r="I2926" i="1"/>
  <c r="U732" i="1"/>
  <c r="O1840" i="1"/>
  <c r="J1207" i="1"/>
  <c r="J2914" i="1"/>
  <c r="M739" i="1"/>
  <c r="I1529" i="1"/>
  <c r="J1048" i="1"/>
  <c r="K611" i="1"/>
  <c r="Q466" i="1"/>
  <c r="P3403" i="1"/>
  <c r="O2752" i="1"/>
  <c r="H702" i="1"/>
  <c r="U1247" i="1"/>
  <c r="D3602" i="1"/>
  <c r="H228" i="1"/>
  <c r="U3458" i="1"/>
  <c r="O2898" i="1"/>
  <c r="D222" i="1"/>
  <c r="M1529" i="1"/>
  <c r="I2969" i="1"/>
  <c r="N789" i="1"/>
  <c r="D478" i="1"/>
  <c r="N2693" i="1"/>
  <c r="N2424" i="1"/>
  <c r="AT3390" i="1"/>
  <c r="P1078" i="1"/>
  <c r="AT3581" i="1"/>
  <c r="Q2194" i="1"/>
  <c r="P1301" i="1"/>
  <c r="AT2880" i="1"/>
  <c r="J3121" i="1"/>
  <c r="O1561" i="1"/>
  <c r="P777" i="1"/>
  <c r="M1225" i="1"/>
  <c r="M1012" i="1"/>
  <c r="D3483" i="1"/>
  <c r="U1289" i="1"/>
  <c r="N715" i="1"/>
  <c r="O1258" i="1"/>
  <c r="Q3333" i="1"/>
  <c r="N2484" i="1"/>
  <c r="D1747" i="1"/>
  <c r="N3001" i="1"/>
  <c r="D1376" i="1"/>
  <c r="I1423" i="1"/>
  <c r="K1171" i="1"/>
  <c r="I2432" i="1"/>
  <c r="U1962" i="1"/>
  <c r="U1401" i="1"/>
  <c r="H2349" i="1"/>
  <c r="M229" i="1"/>
  <c r="D3473" i="1"/>
  <c r="Q3499" i="1"/>
  <c r="O1725" i="1"/>
  <c r="AT2521" i="1"/>
  <c r="P3135" i="1"/>
  <c r="P1552" i="1"/>
  <c r="O3193" i="1"/>
  <c r="J1576" i="1"/>
  <c r="J997" i="1"/>
  <c r="N3100" i="1"/>
  <c r="I2570" i="1"/>
  <c r="U1412" i="1"/>
  <c r="P2027" i="1"/>
  <c r="I516" i="1"/>
  <c r="P1887" i="1"/>
  <c r="K3210" i="1"/>
  <c r="O932" i="1"/>
  <c r="J1554" i="1"/>
  <c r="N2094" i="1"/>
  <c r="H3361" i="1"/>
  <c r="P2707" i="1"/>
  <c r="H1356" i="1"/>
  <c r="H1325" i="1"/>
  <c r="U1332" i="1"/>
  <c r="K2647" i="1"/>
  <c r="U1178" i="1"/>
  <c r="Q3320" i="1"/>
  <c r="I2679" i="1"/>
  <c r="M1761" i="1"/>
  <c r="M904" i="1"/>
  <c r="AT3038" i="1"/>
  <c r="M2730" i="1"/>
  <c r="Q257" i="1"/>
  <c r="H1615" i="1"/>
  <c r="O2440" i="1"/>
  <c r="O1432" i="1"/>
  <c r="U1177" i="1"/>
  <c r="I3553" i="1"/>
  <c r="N1997" i="1"/>
  <c r="K265" i="1"/>
  <c r="Q1694" i="1"/>
  <c r="N1170" i="1"/>
  <c r="H2201" i="1"/>
  <c r="U2591" i="1"/>
  <c r="D706" i="1"/>
  <c r="N381" i="1"/>
  <c r="U2811" i="1"/>
  <c r="O2250" i="1"/>
  <c r="J1964" i="1"/>
  <c r="M3446" i="1"/>
  <c r="P694" i="1"/>
  <c r="M1853" i="1"/>
  <c r="M2220" i="1"/>
  <c r="U2925" i="1"/>
  <c r="D3337" i="1"/>
  <c r="H78" i="1"/>
  <c r="Q1038" i="1"/>
  <c r="P3434" i="1"/>
  <c r="Q1128" i="1"/>
  <c r="Q1455" i="1"/>
  <c r="P3204" i="1"/>
  <c r="P2386" i="1"/>
  <c r="N1716" i="1"/>
  <c r="P62" i="1"/>
  <c r="AT2255" i="1"/>
  <c r="P2845" i="1"/>
  <c r="K3521" i="1"/>
  <c r="D1587" i="1"/>
  <c r="O1965" i="1"/>
  <c r="N799" i="1"/>
  <c r="H2632" i="1"/>
  <c r="H2042" i="1"/>
  <c r="Q2457" i="1"/>
  <c r="D881" i="1"/>
  <c r="Q274" i="1"/>
  <c r="O3455" i="1"/>
  <c r="K2549" i="1"/>
  <c r="K3598" i="1"/>
  <c r="H461" i="1"/>
  <c r="P3293" i="1"/>
  <c r="H2884" i="1"/>
  <c r="I1944" i="1"/>
  <c r="I187" i="1"/>
  <c r="U625" i="1"/>
  <c r="K304" i="1"/>
  <c r="N516" i="1"/>
  <c r="N847" i="1"/>
  <c r="N644" i="1"/>
  <c r="P774" i="1"/>
  <c r="H2584" i="1"/>
  <c r="K1345" i="1"/>
  <c r="U2329" i="1"/>
  <c r="U10" i="1"/>
  <c r="M1078" i="1"/>
  <c r="M591" i="1"/>
  <c r="M1394" i="1"/>
  <c r="Q1053" i="1"/>
  <c r="P586" i="1"/>
  <c r="J3081" i="1"/>
  <c r="J817" i="1"/>
  <c r="M305" i="1"/>
  <c r="J3210" i="1"/>
  <c r="U2450" i="1"/>
  <c r="O2695" i="1"/>
  <c r="O674" i="1"/>
  <c r="U3323" i="1"/>
  <c r="I2175" i="1"/>
  <c r="O748" i="1"/>
  <c r="N986" i="1"/>
  <c r="N2137" i="1"/>
  <c r="H3497" i="1"/>
  <c r="M1755" i="1"/>
  <c r="P413" i="1"/>
  <c r="J617" i="1"/>
  <c r="H1597" i="1"/>
  <c r="AT2468" i="1"/>
  <c r="M72" i="1"/>
  <c r="P1216" i="1"/>
  <c r="N1049" i="1"/>
  <c r="P3330" i="1"/>
  <c r="M175" i="1"/>
  <c r="U1750" i="1"/>
  <c r="N364" i="1"/>
  <c r="K1286" i="1"/>
  <c r="O790" i="1"/>
  <c r="P1092" i="1"/>
  <c r="AT3114" i="1"/>
  <c r="D371" i="1"/>
  <c r="AT2987" i="1"/>
  <c r="N1692" i="1"/>
  <c r="M2124" i="1"/>
  <c r="U1410" i="1"/>
  <c r="K261" i="1"/>
  <c r="M357" i="1"/>
  <c r="AT3362" i="1"/>
  <c r="U1839" i="1"/>
  <c r="P268" i="1"/>
  <c r="AT294" i="1"/>
  <c r="P442" i="1"/>
  <c r="O1986" i="1"/>
  <c r="I1841" i="1"/>
  <c r="I465" i="1"/>
  <c r="K702" i="1"/>
  <c r="N1600" i="1"/>
  <c r="D2392" i="1"/>
  <c r="D2698" i="1"/>
  <c r="D217" i="1"/>
  <c r="N1097" i="1"/>
  <c r="AT671" i="1"/>
  <c r="Q346" i="1"/>
  <c r="Q1898" i="1"/>
  <c r="Q2308" i="1"/>
  <c r="U793" i="1"/>
  <c r="K2760" i="1"/>
  <c r="J394" i="1"/>
  <c r="J556" i="1"/>
  <c r="K815" i="1"/>
  <c r="H1576" i="1"/>
  <c r="I2611" i="1"/>
  <c r="J699" i="1"/>
  <c r="J2321" i="1"/>
  <c r="U2701" i="1"/>
  <c r="D1085" i="1"/>
  <c r="N3288" i="1"/>
  <c r="Q3053" i="1"/>
  <c r="P850" i="1"/>
  <c r="H3262" i="1"/>
  <c r="D3581" i="1"/>
  <c r="J1334" i="1"/>
  <c r="H1942" i="1"/>
  <c r="O3513" i="1"/>
  <c r="O1101" i="1"/>
  <c r="U2932" i="1"/>
  <c r="U459" i="1"/>
  <c r="H1733" i="1"/>
  <c r="AT1123" i="1"/>
  <c r="M459" i="1"/>
  <c r="K3396" i="1"/>
  <c r="P1888" i="1"/>
  <c r="AT2886" i="1"/>
  <c r="AT2497" i="1"/>
  <c r="K2605" i="1"/>
  <c r="Q3205" i="1"/>
  <c r="K557" i="1"/>
  <c r="H419" i="1"/>
  <c r="D872" i="1"/>
  <c r="N2987" i="1"/>
  <c r="N1342" i="1"/>
  <c r="AT1855" i="1"/>
  <c r="AT974" i="1"/>
  <c r="Q1470" i="1"/>
  <c r="U1089" i="1"/>
  <c r="D441" i="1"/>
  <c r="U1086" i="1"/>
  <c r="U1120" i="1"/>
  <c r="H1830" i="1"/>
  <c r="N530" i="1"/>
  <c r="H2602" i="1"/>
  <c r="N612" i="1"/>
  <c r="M1366" i="1"/>
  <c r="J2153" i="1"/>
  <c r="D2102" i="1"/>
  <c r="P719" i="1"/>
  <c r="P1751" i="1"/>
  <c r="Q2724" i="1"/>
  <c r="N1120" i="1"/>
  <c r="Q177" i="1"/>
  <c r="D2028" i="1"/>
  <c r="AT2745" i="1"/>
  <c r="AT3541" i="1"/>
  <c r="H1407" i="1"/>
  <c r="K428" i="1"/>
  <c r="J672" i="1"/>
  <c r="Q3280" i="1"/>
  <c r="P1303" i="1"/>
  <c r="P418" i="1"/>
  <c r="I3282" i="1"/>
  <c r="I116" i="1"/>
  <c r="H1577" i="1"/>
  <c r="H2798" i="1"/>
  <c r="I2980" i="1"/>
  <c r="U242" i="1"/>
  <c r="H1243" i="1"/>
  <c r="H3254" i="1"/>
  <c r="I3496" i="1"/>
  <c r="O2666" i="1"/>
  <c r="O2603" i="1"/>
  <c r="O894" i="1"/>
  <c r="N2736" i="1"/>
  <c r="N3078" i="1"/>
  <c r="M1537" i="1"/>
  <c r="N1415" i="1"/>
  <c r="D1639" i="1"/>
  <c r="N3257" i="1"/>
  <c r="N705" i="1"/>
  <c r="U3124" i="1"/>
  <c r="D167" i="1"/>
  <c r="AT1901" i="1"/>
  <c r="U1963" i="1"/>
  <c r="O3105" i="1"/>
  <c r="O1906" i="1"/>
  <c r="AT2914" i="1"/>
  <c r="D240" i="1"/>
  <c r="P2381" i="1"/>
  <c r="AT3307" i="1"/>
  <c r="D2837" i="1"/>
  <c r="M780" i="1"/>
  <c r="J3398" i="1"/>
  <c r="M148" i="1"/>
  <c r="I133" i="1"/>
  <c r="P1394" i="1"/>
  <c r="M1830" i="1"/>
  <c r="M2373" i="1"/>
  <c r="U635" i="1"/>
  <c r="D2001" i="1"/>
  <c r="K2934" i="1"/>
  <c r="Q2984" i="1"/>
  <c r="P3431" i="1"/>
  <c r="P2550" i="1"/>
  <c r="H3548" i="1"/>
  <c r="O3233" i="1"/>
  <c r="U1586" i="1"/>
  <c r="AT1440" i="1"/>
  <c r="H1336" i="1"/>
  <c r="K3102" i="1"/>
  <c r="Q448" i="1"/>
  <c r="O3274" i="1"/>
  <c r="K3631" i="1"/>
  <c r="P3395" i="1"/>
  <c r="D599" i="1"/>
  <c r="Q1344" i="1"/>
  <c r="I1395" i="1"/>
  <c r="P3267" i="1"/>
  <c r="O3083" i="1"/>
  <c r="I981" i="1"/>
  <c r="H1205" i="1"/>
  <c r="K2082" i="1"/>
  <c r="N3224" i="1"/>
  <c r="I3027" i="1"/>
  <c r="I1527" i="1"/>
  <c r="H1642" i="1"/>
  <c r="P1058" i="1"/>
  <c r="H1847" i="1"/>
  <c r="U496" i="1"/>
  <c r="M2319" i="1"/>
  <c r="Q3132" i="1"/>
  <c r="I2735" i="1"/>
  <c r="D2047" i="1"/>
  <c r="M239" i="1"/>
  <c r="N808" i="1"/>
  <c r="U676" i="1"/>
  <c r="D1753" i="1"/>
  <c r="Q1616" i="1"/>
  <c r="Q2706" i="1"/>
  <c r="D616" i="1"/>
  <c r="D583" i="1"/>
  <c r="H2346" i="1"/>
  <c r="M1284" i="1"/>
  <c r="I2764" i="1"/>
  <c r="AT3177" i="1"/>
  <c r="N1785" i="1"/>
  <c r="M314" i="1"/>
  <c r="N746" i="1"/>
  <c r="AT3538" i="1"/>
  <c r="AT2471" i="1"/>
  <c r="P766" i="1"/>
  <c r="O777" i="1"/>
  <c r="J1087" i="1"/>
  <c r="M3574" i="1"/>
  <c r="D3179" i="1"/>
  <c r="AT769" i="1"/>
  <c r="D2084" i="1"/>
  <c r="K1249" i="1"/>
  <c r="D712" i="1"/>
  <c r="K311" i="1"/>
  <c r="K1989" i="1"/>
  <c r="I2880" i="1"/>
  <c r="P3638" i="1"/>
  <c r="P3614" i="1"/>
  <c r="P2560" i="1"/>
  <c r="M2567" i="1"/>
  <c r="Q2175" i="1"/>
  <c r="O2799" i="1"/>
  <c r="M2068" i="1"/>
  <c r="O1663" i="1"/>
  <c r="AT483" i="1"/>
  <c r="M1511" i="1"/>
  <c r="Q1052" i="1"/>
  <c r="J563" i="1"/>
  <c r="M672" i="1"/>
  <c r="U2348" i="1"/>
  <c r="D913" i="1"/>
  <c r="J29" i="1"/>
  <c r="AT3444" i="1"/>
  <c r="U3371" i="1"/>
  <c r="D2199" i="1"/>
  <c r="M2214" i="1"/>
  <c r="Q1907" i="1"/>
  <c r="K2781" i="1"/>
  <c r="N1799" i="1"/>
  <c r="N1816" i="1"/>
  <c r="AT2311" i="1"/>
  <c r="J768" i="1"/>
  <c r="O918" i="1"/>
  <c r="M3135" i="1"/>
  <c r="U2556" i="1"/>
  <c r="P2042" i="1"/>
  <c r="U667" i="1"/>
  <c r="AT3201" i="1"/>
  <c r="Q1083" i="1"/>
  <c r="I1350" i="1"/>
  <c r="U3088" i="1"/>
  <c r="U1628" i="1"/>
  <c r="D3109" i="1"/>
  <c r="K3577" i="1"/>
  <c r="I1199" i="1"/>
  <c r="AT2308" i="1"/>
  <c r="U1749" i="1"/>
  <c r="M771" i="1"/>
  <c r="I515" i="1"/>
  <c r="D1039" i="1"/>
  <c r="J910" i="1"/>
  <c r="U3127" i="1"/>
  <c r="Q369" i="1"/>
  <c r="D2683" i="1"/>
  <c r="AT2386" i="1"/>
  <c r="D2339" i="1"/>
  <c r="I754" i="1"/>
  <c r="M3421" i="1"/>
  <c r="J3522" i="1"/>
  <c r="U227" i="1"/>
  <c r="M3551" i="1"/>
  <c r="Q1544" i="1"/>
  <c r="Q2920" i="1"/>
  <c r="P3456" i="1"/>
  <c r="J2452" i="1"/>
  <c r="I357" i="1"/>
  <c r="P2913" i="1"/>
  <c r="J2499" i="1"/>
  <c r="I2782" i="1"/>
  <c r="K1906" i="1"/>
  <c r="I138" i="1"/>
  <c r="K1191" i="1"/>
  <c r="O2587" i="1"/>
  <c r="O3214" i="1"/>
  <c r="H3346" i="1"/>
  <c r="Q3015" i="1"/>
  <c r="U2456" i="1"/>
  <c r="M3418" i="1"/>
  <c r="U3385" i="1"/>
  <c r="I522" i="1"/>
  <c r="M3336" i="1"/>
  <c r="M2097" i="1"/>
  <c r="D3397" i="1"/>
  <c r="N126" i="1"/>
  <c r="Q673" i="1"/>
  <c r="AT672" i="1"/>
  <c r="K1372" i="1"/>
  <c r="N637" i="1"/>
  <c r="P1844" i="1"/>
  <c r="M2943" i="1"/>
  <c r="M827" i="1"/>
  <c r="U1317" i="1"/>
  <c r="I2493" i="1"/>
  <c r="Q733" i="1"/>
  <c r="O3144" i="1"/>
  <c r="H2844" i="1"/>
  <c r="H2075" i="1"/>
  <c r="H2637" i="1"/>
  <c r="P745" i="1"/>
  <c r="H2590" i="1"/>
  <c r="Q2960" i="1"/>
  <c r="N1589" i="1"/>
  <c r="Q2261" i="1"/>
  <c r="AT3278" i="1"/>
  <c r="K2247" i="1"/>
  <c r="AT2906" i="1"/>
  <c r="AT1672" i="1"/>
  <c r="R2271" i="1"/>
  <c r="I2458" i="1"/>
  <c r="D1386" i="1"/>
  <c r="M2165" i="1"/>
  <c r="J1861" i="1"/>
  <c r="Q2108" i="1"/>
  <c r="M2230" i="1"/>
  <c r="O506" i="1"/>
  <c r="U687" i="1"/>
  <c r="U2855" i="1"/>
  <c r="U993" i="1"/>
  <c r="M2887" i="1"/>
  <c r="O1056" i="1"/>
  <c r="H3116" i="1"/>
  <c r="I1172" i="1"/>
  <c r="M132" i="1"/>
  <c r="Q2287" i="1"/>
  <c r="AT2320" i="1"/>
  <c r="H433" i="1"/>
  <c r="H2370" i="1"/>
  <c r="D853" i="1"/>
  <c r="H638" i="1"/>
  <c r="D1108" i="1"/>
  <c r="P229" i="1"/>
  <c r="O1859" i="1"/>
  <c r="U711" i="1"/>
  <c r="Q850" i="1"/>
  <c r="M2100" i="1"/>
  <c r="Q1911" i="1"/>
  <c r="D2908" i="1"/>
  <c r="H3557" i="1"/>
  <c r="Q528" i="1"/>
  <c r="D971" i="1"/>
  <c r="H1003" i="1"/>
  <c r="H1330" i="1"/>
  <c r="N1043" i="1"/>
  <c r="O2589" i="1"/>
  <c r="N476" i="1"/>
  <c r="K298" i="1"/>
  <c r="I633" i="1"/>
  <c r="U2377" i="1"/>
  <c r="K707" i="1"/>
  <c r="U2100" i="1"/>
  <c r="U154" i="1"/>
  <c r="H2092" i="1"/>
  <c r="H1313" i="1"/>
  <c r="U2226" i="1"/>
  <c r="I388" i="1"/>
  <c r="Q3615" i="1"/>
  <c r="Q949" i="1"/>
  <c r="O1909" i="1"/>
  <c r="O341" i="1"/>
  <c r="J1624" i="1"/>
  <c r="K440" i="1"/>
  <c r="I109" i="1"/>
  <c r="Q1132" i="1"/>
  <c r="Q2634" i="1"/>
  <c r="U37" i="1"/>
  <c r="U1169" i="1"/>
  <c r="D1969" i="1"/>
  <c r="P330" i="1"/>
  <c r="U3094" i="1"/>
  <c r="J2014" i="1"/>
  <c r="Q516" i="1"/>
  <c r="Q1112" i="1"/>
  <c r="J1131" i="1"/>
  <c r="K2796" i="1"/>
  <c r="P2299" i="1"/>
  <c r="AT1958" i="1"/>
  <c r="Q1276" i="1"/>
  <c r="O3248" i="1"/>
  <c r="I755" i="1"/>
  <c r="U2060" i="1"/>
  <c r="AT2671" i="1"/>
  <c r="AT188" i="1"/>
  <c r="N3507" i="1"/>
  <c r="M2551" i="1"/>
  <c r="AT1985" i="1"/>
  <c r="O1266" i="1"/>
  <c r="D2978" i="1"/>
  <c r="O3042" i="1"/>
  <c r="D336" i="1"/>
  <c r="O575" i="1"/>
  <c r="D2176" i="1"/>
  <c r="J1045" i="1"/>
  <c r="Q3212" i="1"/>
  <c r="P2774" i="1"/>
  <c r="O2563" i="1"/>
  <c r="N3322" i="1"/>
  <c r="M1291" i="1"/>
  <c r="M2077" i="1"/>
  <c r="H1343" i="1"/>
  <c r="M858" i="1"/>
  <c r="O1928" i="1"/>
  <c r="Q2089" i="1"/>
  <c r="M2181" i="1"/>
  <c r="D3065" i="1"/>
  <c r="U721" i="1"/>
  <c r="M1060" i="1"/>
  <c r="O565" i="1"/>
  <c r="J3419" i="1"/>
  <c r="J2653" i="1"/>
  <c r="AT8" i="1"/>
  <c r="Q1150" i="1"/>
  <c r="P2966" i="1"/>
  <c r="I947" i="1"/>
  <c r="H3130" i="1"/>
  <c r="O3293" i="1"/>
  <c r="J256" i="1"/>
  <c r="J309" i="1"/>
  <c r="I510" i="1"/>
  <c r="H2889" i="1"/>
  <c r="H3491" i="1"/>
  <c r="I869" i="1"/>
  <c r="AT1635" i="1"/>
  <c r="AT1043" i="1"/>
  <c r="AT2951" i="1"/>
  <c r="M913" i="1"/>
  <c r="Q2985" i="1"/>
  <c r="D3124" i="1"/>
  <c r="N2683" i="1"/>
  <c r="U3280" i="1"/>
  <c r="D280" i="1"/>
  <c r="AT2461" i="1"/>
  <c r="H695" i="1"/>
  <c r="M3515" i="1"/>
  <c r="M837" i="1"/>
  <c r="AT1622" i="1"/>
  <c r="D525" i="1"/>
  <c r="M1724" i="1"/>
  <c r="M2466" i="1"/>
  <c r="K3183" i="1"/>
  <c r="U3424" i="1"/>
  <c r="Q3358" i="1"/>
  <c r="K1733" i="1"/>
  <c r="N2966" i="1"/>
  <c r="N52" i="1"/>
  <c r="Q2250" i="1"/>
  <c r="Q396" i="1"/>
  <c r="U768" i="1"/>
  <c r="AT1202" i="1"/>
  <c r="M3557" i="1"/>
  <c r="O2987" i="1"/>
  <c r="Q201" i="1"/>
  <c r="N409" i="1"/>
  <c r="D3457" i="1"/>
  <c r="H1669" i="1"/>
  <c r="D2775" i="1"/>
  <c r="H960" i="1"/>
  <c r="Q1538" i="1"/>
  <c r="N1745" i="1"/>
  <c r="P125" i="1"/>
  <c r="P2324" i="1"/>
  <c r="AT1174" i="1"/>
  <c r="AT2500" i="1"/>
  <c r="M757" i="1"/>
  <c r="N1441" i="1"/>
  <c r="M497" i="1"/>
  <c r="AT1600" i="1"/>
  <c r="K2278" i="1"/>
  <c r="P3641" i="1"/>
  <c r="D2743" i="1"/>
  <c r="AT810" i="1"/>
  <c r="I3258" i="1"/>
  <c r="U1918" i="1"/>
  <c r="Q261" i="1"/>
  <c r="AT3449" i="1"/>
  <c r="M604" i="1"/>
  <c r="N2774" i="1"/>
  <c r="J2383" i="1"/>
  <c r="H3305" i="1"/>
  <c r="P1484" i="1"/>
  <c r="H3626" i="1"/>
  <c r="I3519" i="1"/>
  <c r="H2850" i="1"/>
  <c r="H1344" i="1"/>
  <c r="H1298" i="1"/>
  <c r="O509" i="1"/>
  <c r="K3134" i="1"/>
  <c r="J901" i="1"/>
  <c r="I3178" i="1"/>
  <c r="H1158" i="1"/>
  <c r="U2532" i="1"/>
  <c r="AT622" i="1"/>
  <c r="P3207" i="1"/>
  <c r="N277" i="1"/>
  <c r="N1399" i="1"/>
  <c r="O1109" i="1"/>
  <c r="D3530" i="1"/>
  <c r="AT3230" i="1"/>
  <c r="I2728" i="1"/>
  <c r="M1580" i="1"/>
  <c r="M3437" i="1"/>
  <c r="H2280" i="1"/>
  <c r="H1812" i="1"/>
  <c r="M1476" i="1"/>
  <c r="O152" i="1"/>
  <c r="O857" i="1"/>
  <c r="M673" i="1"/>
  <c r="U124" i="1"/>
  <c r="M452" i="1"/>
  <c r="D129" i="1"/>
  <c r="N2667" i="1"/>
  <c r="H2732" i="1"/>
  <c r="N2148" i="1"/>
  <c r="M637" i="1"/>
  <c r="J635" i="1"/>
  <c r="H3090" i="1"/>
  <c r="M3323" i="1"/>
  <c r="D2220" i="1"/>
  <c r="D685" i="1"/>
  <c r="H2031" i="1"/>
  <c r="P1944" i="1"/>
  <c r="U1773" i="1"/>
  <c r="U3293" i="1"/>
  <c r="AT1286" i="1"/>
  <c r="AT3191" i="1"/>
  <c r="P1101" i="1"/>
  <c r="P1185" i="1"/>
  <c r="AT2879" i="1"/>
  <c r="N2045" i="1"/>
  <c r="P3390" i="1"/>
  <c r="J2815" i="1"/>
  <c r="M1087" i="1"/>
  <c r="M193" i="1"/>
  <c r="M1214" i="1"/>
  <c r="D3477" i="1"/>
  <c r="U13" i="1"/>
  <c r="U2191" i="1"/>
  <c r="AT2722" i="1"/>
  <c r="D2488" i="1"/>
  <c r="U1297" i="1"/>
  <c r="Q2845" i="1"/>
  <c r="P2979" i="1"/>
  <c r="U1532" i="1"/>
  <c r="O2912" i="1"/>
  <c r="D314" i="1"/>
  <c r="M417" i="1"/>
  <c r="O1809" i="1"/>
  <c r="M1010" i="1"/>
  <c r="M2609" i="1"/>
  <c r="O453" i="1"/>
  <c r="H919" i="1"/>
  <c r="K2964" i="1"/>
  <c r="D1714" i="1"/>
  <c r="U1739" i="1"/>
  <c r="N130" i="1"/>
  <c r="K3493" i="1"/>
  <c r="N1943" i="1"/>
  <c r="K1255" i="1"/>
  <c r="Q562" i="1"/>
  <c r="P2037" i="1"/>
  <c r="O1271" i="1"/>
  <c r="J2109" i="1"/>
  <c r="U838" i="1"/>
  <c r="H1797" i="1"/>
  <c r="H2207" i="1"/>
  <c r="I198" i="1"/>
  <c r="U2965" i="1"/>
  <c r="J1829" i="1"/>
  <c r="AT3522" i="1"/>
  <c r="O1474" i="1"/>
  <c r="P319" i="1"/>
  <c r="Q1884" i="1"/>
  <c r="P3561" i="1"/>
  <c r="M1804" i="1"/>
  <c r="M1277" i="1"/>
  <c r="H418" i="1"/>
  <c r="O591" i="1"/>
  <c r="Q401" i="1"/>
  <c r="M2621" i="1"/>
  <c r="Q3262" i="1"/>
  <c r="M3249" i="1"/>
  <c r="Q441" i="1"/>
  <c r="AT3421" i="1"/>
  <c r="D1895" i="1"/>
  <c r="K984" i="1"/>
  <c r="AT3185" i="1"/>
  <c r="AT3004" i="1"/>
  <c r="D133" i="1"/>
  <c r="AT2356" i="1"/>
  <c r="N1797" i="1"/>
  <c r="N2181" i="1"/>
  <c r="Q28" i="1"/>
  <c r="AT481" i="1"/>
  <c r="AT1341" i="1"/>
  <c r="M336" i="1"/>
  <c r="H215" i="1"/>
  <c r="N2462" i="1"/>
  <c r="AT3619" i="1"/>
  <c r="H2229" i="1"/>
  <c r="H2987" i="1"/>
  <c r="M3341" i="1"/>
  <c r="AT911" i="1"/>
  <c r="AT1982" i="1"/>
  <c r="N2656" i="1"/>
  <c r="N1457" i="1"/>
  <c r="M3577" i="1"/>
  <c r="P3141" i="1"/>
  <c r="D743" i="1"/>
  <c r="AT3147" i="1"/>
  <c r="D156" i="1"/>
  <c r="D722" i="1"/>
  <c r="I2257" i="1"/>
  <c r="Q824" i="1"/>
  <c r="K1833" i="1"/>
  <c r="H457" i="1"/>
  <c r="K2706" i="1"/>
  <c r="AT3412" i="1"/>
  <c r="K2576" i="1"/>
  <c r="N2387" i="1"/>
  <c r="Q1996" i="1"/>
  <c r="AT2857" i="1"/>
  <c r="U1357" i="1"/>
  <c r="N2653" i="1"/>
  <c r="AT2427" i="1"/>
  <c r="Q3625" i="1"/>
  <c r="H3437" i="1"/>
  <c r="M725" i="1"/>
  <c r="M1574" i="1"/>
  <c r="D837" i="1"/>
  <c r="M1696" i="1"/>
  <c r="N2493" i="1"/>
  <c r="O2407" i="1"/>
  <c r="D2173" i="1"/>
  <c r="AT3370" i="1"/>
  <c r="AT532" i="1"/>
  <c r="M351" i="1"/>
  <c r="D315" i="1"/>
  <c r="Q234" i="1"/>
  <c r="Q2201" i="1"/>
  <c r="Q872" i="1"/>
  <c r="U143" i="1"/>
  <c r="P820" i="1"/>
  <c r="D1674" i="1"/>
  <c r="AT877" i="1"/>
  <c r="N431" i="1"/>
  <c r="AT901" i="1"/>
  <c r="J2145" i="1"/>
  <c r="M1714" i="1"/>
  <c r="AT2139" i="1"/>
  <c r="P2106" i="1"/>
  <c r="H667" i="1"/>
  <c r="D2511" i="1"/>
  <c r="U3053" i="1"/>
  <c r="M2510" i="1"/>
  <c r="Q484" i="1"/>
  <c r="D271" i="1"/>
  <c r="N307" i="1"/>
  <c r="D3560" i="1"/>
  <c r="P1413" i="1"/>
  <c r="O3210" i="1"/>
  <c r="N3405" i="1"/>
  <c r="AT2858" i="1"/>
  <c r="Q814" i="1"/>
  <c r="AT2198" i="1"/>
  <c r="H1252" i="1"/>
  <c r="K2485" i="1"/>
  <c r="P3539" i="1"/>
  <c r="P1809" i="1"/>
  <c r="N1297" i="1"/>
  <c r="K3354" i="1"/>
  <c r="U1306" i="1"/>
  <c r="O2219" i="1"/>
  <c r="Q2640" i="1"/>
  <c r="H71" i="1"/>
  <c r="Q2832" i="1"/>
  <c r="I576" i="1"/>
  <c r="AT2191" i="1"/>
  <c r="P2278" i="1"/>
  <c r="I727" i="1"/>
  <c r="J1835" i="1"/>
  <c r="D2866" i="1"/>
  <c r="D2449" i="1"/>
  <c r="O2546" i="1"/>
  <c r="AT1015" i="1"/>
  <c r="P3042" i="1"/>
  <c r="D1507" i="1"/>
  <c r="Q18" i="1"/>
  <c r="H225" i="1"/>
  <c r="O2484" i="1"/>
  <c r="M864" i="1"/>
  <c r="J515" i="1"/>
  <c r="D2718" i="1"/>
  <c r="U1571" i="1"/>
  <c r="Q2409" i="1"/>
  <c r="O3469" i="1"/>
  <c r="AT3180" i="1"/>
  <c r="U439" i="1"/>
  <c r="N2931" i="1"/>
  <c r="N122" i="1"/>
  <c r="AT3401" i="1"/>
  <c r="U316" i="1"/>
  <c r="D120" i="1"/>
  <c r="AT2892" i="1"/>
  <c r="N1423" i="1"/>
  <c r="I3274" i="1"/>
  <c r="AT1993" i="1"/>
  <c r="K3381" i="1"/>
  <c r="M279" i="1"/>
  <c r="M2525" i="1"/>
  <c r="I484" i="1"/>
  <c r="D2525" i="1"/>
  <c r="O1011" i="1"/>
  <c r="N2216" i="1"/>
  <c r="N828" i="1"/>
  <c r="H2059" i="1"/>
  <c r="K2482" i="1"/>
  <c r="M1070" i="1"/>
  <c r="I1807" i="1"/>
  <c r="M3282" i="1"/>
  <c r="D1084" i="1"/>
  <c r="O860" i="1"/>
  <c r="M370" i="1"/>
  <c r="Q1010" i="1"/>
  <c r="O1416" i="1"/>
  <c r="M1372" i="1"/>
  <c r="AT368" i="1"/>
  <c r="N3235" i="1"/>
  <c r="M2829" i="1"/>
  <c r="N833" i="1"/>
  <c r="K266" i="1"/>
  <c r="P3522" i="1"/>
  <c r="O1556" i="1"/>
  <c r="I3123" i="1"/>
  <c r="I3394" i="1"/>
  <c r="AT871" i="1"/>
  <c r="U833" i="1"/>
  <c r="O1775" i="1"/>
  <c r="J2484" i="1"/>
  <c r="K1181" i="1"/>
  <c r="U19" i="1"/>
  <c r="J1531" i="1"/>
  <c r="J1424" i="1"/>
  <c r="AT2245" i="1"/>
  <c r="P566" i="1"/>
  <c r="U2705" i="1"/>
  <c r="P1041" i="1"/>
  <c r="Q2220" i="1"/>
  <c r="P2083" i="1"/>
  <c r="AT3118" i="1"/>
  <c r="M3315" i="1"/>
  <c r="N1809" i="1"/>
  <c r="D1248" i="1"/>
  <c r="AT3121" i="1"/>
  <c r="H1583" i="1"/>
  <c r="D1723" i="1"/>
  <c r="M1199" i="1"/>
  <c r="H917" i="1"/>
  <c r="M2035" i="1"/>
  <c r="AT3137" i="1"/>
  <c r="N2150" i="1"/>
  <c r="D1236" i="1"/>
  <c r="Q1095" i="1"/>
  <c r="J885" i="1"/>
  <c r="U3310" i="1"/>
  <c r="I3271" i="1"/>
  <c r="D2034" i="1"/>
  <c r="D1734" i="1"/>
  <c r="AT93" i="1"/>
  <c r="Q3250" i="1"/>
  <c r="O920" i="1"/>
  <c r="J434" i="1"/>
  <c r="Q2461" i="1"/>
  <c r="M908" i="1"/>
  <c r="Q634" i="1"/>
  <c r="M779" i="1"/>
  <c r="O952" i="1"/>
  <c r="M2873" i="1"/>
  <c r="N1520" i="1"/>
  <c r="N108" i="1"/>
  <c r="O3000" i="1"/>
  <c r="H2809" i="1"/>
  <c r="U3122" i="1"/>
  <c r="U86" i="1"/>
  <c r="O2026" i="1"/>
  <c r="AT2190" i="1"/>
  <c r="I3383" i="1"/>
  <c r="U2218" i="1"/>
  <c r="N672" i="1"/>
  <c r="J3190" i="1"/>
  <c r="M2518" i="1"/>
  <c r="P3257" i="1"/>
  <c r="H26" i="1"/>
  <c r="O1143" i="1"/>
  <c r="N538" i="1"/>
  <c r="M3143" i="1"/>
  <c r="Q1801" i="1"/>
  <c r="D2990" i="1"/>
  <c r="N2720" i="1"/>
  <c r="O3256" i="1"/>
  <c r="H1956" i="1"/>
  <c r="AT1945" i="1"/>
  <c r="O3369" i="1"/>
  <c r="AT1660" i="1"/>
  <c r="D2793" i="1"/>
  <c r="AT3290" i="1"/>
  <c r="P2761" i="1"/>
  <c r="J1162" i="1"/>
  <c r="O1189" i="1"/>
  <c r="O628" i="1"/>
  <c r="O1155" i="1"/>
  <c r="H2476" i="1"/>
  <c r="O2425" i="1"/>
  <c r="AT1168" i="1"/>
  <c r="D1863" i="1"/>
  <c r="Q3470" i="1"/>
  <c r="O1457" i="1"/>
  <c r="O2406" i="1"/>
  <c r="J1195" i="1"/>
  <c r="O1744" i="1"/>
  <c r="O2764" i="1"/>
  <c r="I369" i="1"/>
  <c r="K3298" i="1"/>
  <c r="N2496" i="1"/>
  <c r="I751" i="1"/>
  <c r="Q3445" i="1"/>
  <c r="N1045" i="1"/>
  <c r="I1329" i="1"/>
  <c r="H2087" i="1"/>
  <c r="H3387" i="1"/>
  <c r="H3315" i="1"/>
  <c r="Q2765" i="1"/>
  <c r="Q1431" i="1"/>
  <c r="I654" i="1"/>
  <c r="Q1611" i="1"/>
  <c r="I1554" i="1"/>
  <c r="AT889" i="1"/>
  <c r="D2772" i="1"/>
  <c r="P1607" i="1"/>
  <c r="AT530" i="1"/>
  <c r="AT2349" i="1"/>
  <c r="K254" i="1"/>
  <c r="O1156" i="1"/>
  <c r="K2422" i="1"/>
  <c r="I789" i="1"/>
  <c r="N1179" i="1"/>
  <c r="N800" i="1"/>
  <c r="D290" i="1"/>
  <c r="D2903" i="1"/>
  <c r="O562" i="1"/>
  <c r="I2374" i="1"/>
  <c r="AT1716" i="1"/>
  <c r="H2325" i="1"/>
  <c r="M2592" i="1"/>
  <c r="H171" i="1"/>
  <c r="I2172" i="1"/>
  <c r="J2439" i="1"/>
  <c r="U3470" i="1"/>
  <c r="P2292" i="1"/>
  <c r="H3028" i="1"/>
  <c r="U1027" i="1"/>
  <c r="I889" i="1"/>
  <c r="N690" i="1"/>
  <c r="U2133" i="1"/>
  <c r="U760" i="1"/>
  <c r="U2744" i="1"/>
  <c r="Q1632" i="1"/>
  <c r="Q1119" i="1"/>
  <c r="P1145" i="1"/>
  <c r="J2473" i="1"/>
  <c r="AT2850" i="1"/>
  <c r="AT597" i="1"/>
  <c r="AT1719" i="1"/>
  <c r="K1291" i="1"/>
  <c r="P2593" i="1"/>
  <c r="D2696" i="1"/>
  <c r="H1660" i="1"/>
  <c r="U2086" i="1"/>
  <c r="O3505" i="1"/>
  <c r="D3057" i="1"/>
  <c r="N1817" i="1"/>
  <c r="H738" i="1"/>
  <c r="M395" i="1"/>
  <c r="N1372" i="1"/>
  <c r="N2562" i="1"/>
  <c r="N3071" i="1"/>
  <c r="I2041" i="1"/>
  <c r="N3277" i="1"/>
  <c r="U817" i="1"/>
  <c r="AT1886" i="1"/>
  <c r="D2966" i="1"/>
  <c r="H3124" i="1"/>
  <c r="J2346" i="1"/>
  <c r="M1286" i="1"/>
  <c r="M1820" i="1"/>
  <c r="M712" i="1"/>
  <c r="K1136" i="1"/>
  <c r="P3183" i="1"/>
  <c r="N1191" i="1"/>
  <c r="D3533" i="1"/>
  <c r="J911" i="1"/>
  <c r="U695" i="1"/>
  <c r="M3441" i="1"/>
  <c r="H776" i="1"/>
  <c r="J2761" i="1"/>
  <c r="O151" i="1"/>
  <c r="O191" i="1"/>
  <c r="O3326" i="1"/>
  <c r="M2206" i="1"/>
  <c r="N1590" i="1"/>
  <c r="M1946" i="1"/>
  <c r="H3402" i="1"/>
  <c r="O1263" i="1"/>
  <c r="O3177" i="1"/>
  <c r="D3447" i="1"/>
  <c r="M2381" i="1"/>
  <c r="I54" i="1"/>
  <c r="O2976" i="1"/>
  <c r="U57" i="1"/>
  <c r="U902" i="1"/>
  <c r="J3557" i="1"/>
  <c r="D1455" i="1"/>
  <c r="D1832" i="1"/>
  <c r="AT51" i="1"/>
  <c r="D2133" i="1"/>
  <c r="I1189" i="1"/>
  <c r="U611" i="1"/>
  <c r="O128" i="1"/>
  <c r="I2564" i="1"/>
  <c r="M1552" i="1"/>
  <c r="M176" i="1"/>
  <c r="M2953" i="1"/>
  <c r="M1883" i="1"/>
  <c r="O1617" i="1"/>
  <c r="H372" i="1"/>
  <c r="H473" i="1"/>
  <c r="P386" i="1"/>
  <c r="J2726" i="1"/>
  <c r="Q2369" i="1"/>
  <c r="P1338" i="1"/>
  <c r="O245" i="1"/>
  <c r="M660" i="1"/>
  <c r="AT1245" i="1"/>
  <c r="P1786" i="1"/>
  <c r="AT2020" i="1"/>
  <c r="P2848" i="1"/>
  <c r="N257" i="1"/>
  <c r="O1887" i="1"/>
  <c r="O3228" i="1"/>
  <c r="M2670" i="1"/>
  <c r="D2207" i="1"/>
  <c r="P672" i="1"/>
  <c r="U2746" i="1"/>
  <c r="U139" i="1"/>
  <c r="U3206" i="1"/>
  <c r="D1637" i="1"/>
  <c r="D3549" i="1"/>
  <c r="Q3426" i="1"/>
  <c r="U3338" i="1"/>
  <c r="U260" i="1"/>
  <c r="P1840" i="1"/>
  <c r="N719" i="1"/>
  <c r="O1103" i="1"/>
  <c r="Q2873" i="1"/>
  <c r="Q1096" i="1"/>
  <c r="AT2072" i="1"/>
  <c r="U3584" i="1"/>
  <c r="O844" i="1"/>
  <c r="H2575" i="1"/>
  <c r="AT2859" i="1"/>
  <c r="AT275" i="1"/>
  <c r="H2482" i="1"/>
  <c r="U1716" i="1"/>
  <c r="AT1928" i="1"/>
  <c r="AT302" i="1"/>
  <c r="M3128" i="1"/>
  <c r="O434" i="1"/>
  <c r="P2454" i="1"/>
  <c r="O363" i="1"/>
  <c r="K869" i="1"/>
  <c r="P1030" i="1"/>
  <c r="M893" i="1"/>
  <c r="M3069" i="1"/>
  <c r="U1640" i="1"/>
  <c r="U656" i="1"/>
  <c r="D1739" i="1"/>
  <c r="AT558" i="1"/>
  <c r="M1192" i="1"/>
  <c r="M1591" i="1"/>
  <c r="J1475" i="1"/>
  <c r="N3301" i="1"/>
  <c r="Q2358" i="1"/>
  <c r="H1404" i="1"/>
  <c r="H1331" i="1"/>
  <c r="U2013" i="1"/>
  <c r="U181" i="1"/>
  <c r="Q3512" i="1"/>
  <c r="K2192" i="1"/>
  <c r="I2358" i="1"/>
  <c r="H2904" i="1"/>
  <c r="U1959" i="1"/>
  <c r="P2087" i="1"/>
  <c r="K3123" i="1"/>
  <c r="P3063" i="1"/>
  <c r="U2899" i="1"/>
  <c r="Q423" i="1"/>
  <c r="M3092" i="1"/>
  <c r="P385" i="1"/>
  <c r="N2347" i="1"/>
  <c r="M1448" i="1"/>
  <c r="AT1779" i="1"/>
  <c r="O544" i="1"/>
  <c r="O2670" i="1"/>
  <c r="D2163" i="1"/>
  <c r="AT1465" i="1"/>
  <c r="P3477" i="1"/>
  <c r="O2606" i="1"/>
  <c r="D162" i="1"/>
  <c r="D784" i="1"/>
  <c r="Q1528" i="1"/>
  <c r="K2940" i="1"/>
  <c r="K1630" i="1"/>
  <c r="K8" i="1"/>
  <c r="H1092" i="1"/>
  <c r="K1710" i="1"/>
  <c r="U140" i="1"/>
  <c r="P305" i="1"/>
  <c r="H2659" i="1"/>
  <c r="J3107" i="1"/>
  <c r="Q2497" i="1"/>
  <c r="U1415" i="1"/>
  <c r="N3183" i="1"/>
  <c r="P1702" i="1"/>
  <c r="J2737" i="1"/>
  <c r="K1694" i="1"/>
  <c r="D2406" i="1"/>
  <c r="J257" i="1"/>
  <c r="J1723" i="1"/>
  <c r="H1541" i="1"/>
  <c r="AT976" i="1"/>
  <c r="J3188" i="1"/>
  <c r="Q2702" i="1"/>
  <c r="H959" i="1"/>
  <c r="M2988" i="1"/>
  <c r="J1595" i="1"/>
  <c r="O3556" i="1"/>
  <c r="P3374" i="1"/>
  <c r="K2755" i="1"/>
  <c r="U301" i="1"/>
  <c r="I1262" i="1"/>
  <c r="U2740" i="1"/>
  <c r="M1479" i="1"/>
  <c r="J449" i="1"/>
  <c r="O3145" i="1"/>
  <c r="H944" i="1"/>
  <c r="I3356" i="1"/>
  <c r="Q1359" i="1"/>
  <c r="P3382" i="1"/>
  <c r="Q1998" i="1"/>
  <c r="P2487" i="1"/>
  <c r="M2327" i="1"/>
  <c r="U2383" i="1"/>
  <c r="N459" i="1"/>
  <c r="D1116" i="1"/>
  <c r="M1333" i="1"/>
  <c r="Q3610" i="1"/>
  <c r="J474" i="1"/>
  <c r="J2876" i="1"/>
  <c r="J866" i="1"/>
  <c r="K2494" i="1"/>
  <c r="H2190" i="1"/>
  <c r="U2419" i="1"/>
  <c r="J1073" i="1"/>
  <c r="K3003" i="1"/>
  <c r="Q268" i="1"/>
  <c r="Q834" i="1"/>
  <c r="K1278" i="1"/>
  <c r="AT2120" i="1"/>
  <c r="P2540" i="1"/>
  <c r="H655" i="1"/>
  <c r="D1379" i="1"/>
  <c r="P2538" i="1"/>
  <c r="H1441" i="1"/>
  <c r="N3489" i="1"/>
  <c r="I330" i="1"/>
  <c r="I1344" i="1"/>
  <c r="M2017" i="1"/>
  <c r="J1394" i="1"/>
  <c r="J3607" i="1"/>
  <c r="I1151" i="1"/>
  <c r="K3357" i="1"/>
  <c r="K697" i="1"/>
  <c r="I76" i="1"/>
  <c r="J295" i="1"/>
  <c r="Q3197" i="1"/>
  <c r="AT3487" i="1"/>
  <c r="K2757" i="1"/>
  <c r="U3637" i="1"/>
  <c r="P197" i="1"/>
  <c r="Q1583" i="1"/>
  <c r="P2742" i="1"/>
  <c r="P1773" i="1"/>
  <c r="H1969" i="1"/>
  <c r="K90" i="1"/>
  <c r="U3324" i="1"/>
  <c r="P35" i="1"/>
  <c r="J3268" i="1"/>
  <c r="I2097" i="1"/>
  <c r="Q1940" i="1"/>
  <c r="M381" i="1"/>
  <c r="J725" i="1"/>
  <c r="M2243" i="1"/>
  <c r="N3609" i="1"/>
  <c r="H1705" i="1"/>
  <c r="I1383" i="1"/>
  <c r="AT1914" i="1"/>
  <c r="K384" i="1"/>
  <c r="D2019" i="1"/>
  <c r="N2194" i="1"/>
  <c r="Q788" i="1"/>
  <c r="AT3559" i="1"/>
  <c r="Q2967" i="1"/>
  <c r="K2713" i="1"/>
  <c r="Q2110" i="1"/>
  <c r="P2669" i="1"/>
  <c r="K1292" i="1"/>
  <c r="D2876" i="1"/>
  <c r="D749" i="1"/>
  <c r="D2559" i="1"/>
  <c r="H883" i="1"/>
  <c r="I2040" i="1"/>
  <c r="M3035" i="1"/>
  <c r="I3488" i="1"/>
  <c r="H2801" i="1"/>
  <c r="U475" i="1"/>
  <c r="I1869" i="1"/>
  <c r="I2524" i="1"/>
  <c r="H1557" i="1"/>
  <c r="Q970" i="1"/>
  <c r="Q2955" i="1"/>
  <c r="K3619" i="1"/>
  <c r="M1362" i="1"/>
  <c r="K1789" i="1"/>
  <c r="U3522" i="1"/>
  <c r="N3364" i="1"/>
  <c r="K1411" i="1"/>
  <c r="Q3591" i="1"/>
  <c r="U2774" i="1"/>
  <c r="P109" i="1"/>
  <c r="AT2849" i="1"/>
  <c r="D1858" i="1"/>
  <c r="Q2124" i="1"/>
  <c r="P3492" i="1"/>
  <c r="Q2921" i="1"/>
  <c r="M2776" i="1"/>
  <c r="U2095" i="1"/>
  <c r="AT1005" i="1"/>
  <c r="O3410" i="1"/>
  <c r="U1107" i="1"/>
  <c r="N1217" i="1"/>
  <c r="M3545" i="1"/>
  <c r="D2071" i="1"/>
  <c r="N1448" i="1"/>
  <c r="M1407" i="1"/>
  <c r="M2341" i="1"/>
  <c r="M347" i="1"/>
  <c r="P3235" i="1"/>
  <c r="D1947" i="1"/>
  <c r="N2192" i="1"/>
  <c r="J1136" i="1"/>
  <c r="H83" i="1"/>
  <c r="Q1427" i="1"/>
  <c r="H587" i="1"/>
  <c r="H831" i="1"/>
  <c r="Q1022" i="1"/>
  <c r="H1893" i="1"/>
  <c r="J471" i="1"/>
  <c r="N1062" i="1"/>
  <c r="N2472" i="1"/>
  <c r="M3455" i="1"/>
  <c r="J3042" i="1"/>
  <c r="U2148" i="1"/>
  <c r="U1190" i="1"/>
  <c r="H3202" i="1"/>
  <c r="H1575" i="1"/>
  <c r="N488" i="1"/>
  <c r="D2961" i="1"/>
  <c r="I553" i="1"/>
  <c r="AT2516" i="1"/>
  <c r="N1901" i="1"/>
  <c r="K2917" i="1"/>
  <c r="AT808" i="1"/>
  <c r="N2315" i="1"/>
  <c r="M2215" i="1"/>
  <c r="P1962" i="1"/>
  <c r="Q902" i="1"/>
  <c r="O1726" i="1"/>
  <c r="AT1150" i="1"/>
  <c r="O460" i="1"/>
  <c r="M1800" i="1"/>
  <c r="D2270" i="1"/>
  <c r="M1576" i="1"/>
  <c r="M1838" i="1"/>
  <c r="D2280" i="1"/>
  <c r="I842" i="1"/>
  <c r="AT1056" i="1"/>
  <c r="I1279" i="1"/>
  <c r="O1881" i="1"/>
  <c r="P3519" i="1"/>
  <c r="O3021" i="1"/>
  <c r="P2524" i="1"/>
  <c r="D2123" i="1"/>
  <c r="N781" i="1"/>
  <c r="I3354" i="1"/>
  <c r="D3488" i="1"/>
  <c r="U1978" i="1"/>
  <c r="O2155" i="1"/>
  <c r="M3043" i="1"/>
  <c r="D2758" i="1"/>
  <c r="M384" i="1"/>
  <c r="H893" i="1"/>
  <c r="D2937" i="1"/>
  <c r="Q1180" i="1"/>
  <c r="M1143" i="1"/>
  <c r="Q3235" i="1"/>
  <c r="H1448" i="1"/>
  <c r="H1049" i="1"/>
  <c r="I703" i="1"/>
  <c r="O2821" i="1"/>
  <c r="M474" i="1"/>
  <c r="N3041" i="1"/>
  <c r="O1462" i="1"/>
  <c r="I123" i="1"/>
  <c r="N3488" i="1"/>
  <c r="P2151" i="1"/>
  <c r="J1120" i="1"/>
  <c r="O826" i="1"/>
  <c r="M503" i="1"/>
  <c r="H1755" i="1"/>
  <c r="J1191" i="1"/>
  <c r="M3499" i="1"/>
  <c r="K314" i="1"/>
  <c r="N1608" i="1"/>
  <c r="U1650" i="1"/>
  <c r="D877" i="1"/>
  <c r="M3622" i="1"/>
  <c r="AT1832" i="1"/>
  <c r="D1384" i="1"/>
  <c r="Q215" i="1"/>
  <c r="O1152" i="1"/>
  <c r="P2000" i="1"/>
  <c r="J2647" i="1"/>
  <c r="O3620" i="1"/>
  <c r="O2260" i="1"/>
  <c r="D3439" i="1"/>
  <c r="J1498" i="1"/>
  <c r="P400" i="1"/>
  <c r="Q2835" i="1"/>
  <c r="Q503" i="1"/>
  <c r="P2200" i="1"/>
  <c r="D1377" i="1"/>
  <c r="AT2579" i="1"/>
  <c r="O2089" i="1"/>
  <c r="AT68" i="1"/>
  <c r="N1640" i="1"/>
  <c r="H541" i="1"/>
  <c r="O1705" i="1"/>
  <c r="P2668" i="1"/>
  <c r="O173" i="1"/>
  <c r="P1431" i="1"/>
  <c r="P1304" i="1"/>
  <c r="O518" i="1"/>
  <c r="N2602" i="1"/>
  <c r="P3409" i="1"/>
  <c r="J1960" i="1"/>
  <c r="N2145" i="1"/>
  <c r="K2947" i="1"/>
  <c r="K3050" i="1"/>
  <c r="I2135" i="1"/>
  <c r="AT421" i="1"/>
  <c r="Q2696" i="1"/>
  <c r="D1728" i="1"/>
  <c r="U2597" i="1"/>
  <c r="H170" i="1"/>
  <c r="M933" i="1"/>
  <c r="Q2378" i="1"/>
  <c r="U3250" i="1"/>
  <c r="O272" i="1"/>
  <c r="N3113" i="1"/>
  <c r="O3351" i="1"/>
  <c r="J3037" i="1"/>
  <c r="J1289" i="1"/>
  <c r="AT1192" i="1"/>
  <c r="K1419" i="1"/>
  <c r="H3058" i="1"/>
  <c r="K3121" i="1"/>
  <c r="D1504" i="1"/>
  <c r="D2295" i="1"/>
  <c r="U862" i="1"/>
  <c r="P1230" i="1"/>
  <c r="AT2108" i="1"/>
  <c r="Q2571" i="1"/>
  <c r="O3492" i="1"/>
  <c r="O2680" i="1"/>
  <c r="H2312" i="1"/>
  <c r="J915" i="1"/>
  <c r="I3305" i="1"/>
  <c r="D1806" i="1"/>
  <c r="AT1124" i="1"/>
  <c r="O676" i="1"/>
  <c r="H493" i="1"/>
  <c r="K1365" i="1"/>
  <c r="P1268" i="1"/>
  <c r="D91" i="1"/>
  <c r="D3275" i="1"/>
  <c r="Q1045" i="1"/>
  <c r="P370" i="1"/>
  <c r="N3139" i="1"/>
  <c r="P3338" i="1"/>
  <c r="O2901" i="1"/>
  <c r="D1403" i="1"/>
  <c r="AT3318" i="1"/>
  <c r="H2653" i="1"/>
  <c r="M1304" i="1"/>
  <c r="N3067" i="1"/>
  <c r="M299" i="1"/>
  <c r="O47" i="1"/>
  <c r="AT1068" i="1"/>
  <c r="J1173" i="1"/>
  <c r="Q374" i="1"/>
  <c r="I1057" i="1"/>
  <c r="I1959" i="1"/>
  <c r="P2088" i="1"/>
  <c r="Q789" i="1"/>
  <c r="U1878" i="1"/>
  <c r="O1778" i="1"/>
  <c r="AT1960" i="1"/>
  <c r="Q2017" i="1"/>
  <c r="M3400" i="1"/>
  <c r="M1149" i="1"/>
  <c r="O3089" i="1"/>
  <c r="P2632" i="1"/>
  <c r="P3446" i="1"/>
  <c r="U2654" i="1"/>
  <c r="D2249" i="1"/>
  <c r="Q1164" i="1"/>
  <c r="H114" i="1"/>
  <c r="Q1024" i="1"/>
  <c r="U3538" i="1"/>
  <c r="O1991" i="1"/>
  <c r="AT2246" i="1"/>
  <c r="M1231" i="1"/>
  <c r="K294" i="1"/>
  <c r="AT879" i="1"/>
  <c r="U2264" i="1"/>
  <c r="Q167" i="1"/>
  <c r="AT1846" i="1"/>
  <c r="D2668" i="1"/>
  <c r="N489" i="1"/>
  <c r="O2279" i="1"/>
  <c r="O268" i="1"/>
  <c r="AT1199" i="1"/>
  <c r="AT2787" i="1"/>
  <c r="N1907" i="1"/>
  <c r="P1952" i="1"/>
  <c r="D758" i="1"/>
  <c r="I1645" i="1"/>
  <c r="J993" i="1"/>
  <c r="U2170" i="1"/>
  <c r="P1323" i="1"/>
  <c r="Q2876" i="1"/>
  <c r="Q2422" i="1"/>
  <c r="I3167" i="1"/>
  <c r="N740" i="1"/>
  <c r="Q3302" i="1"/>
  <c r="U1029" i="1"/>
  <c r="K443" i="1"/>
  <c r="I1424" i="1"/>
  <c r="H1059" i="1"/>
  <c r="I2031" i="1"/>
  <c r="U1680" i="1"/>
  <c r="I414" i="1"/>
  <c r="U239" i="1"/>
  <c r="Q1986" i="1"/>
  <c r="J1428" i="1"/>
  <c r="Q2269" i="1"/>
  <c r="M1844" i="1"/>
  <c r="P2852" i="1"/>
  <c r="Q135" i="1"/>
  <c r="D2654" i="1"/>
  <c r="M3155" i="1"/>
  <c r="J2418" i="1"/>
  <c r="Q3124" i="1"/>
  <c r="N425" i="1"/>
  <c r="D3552" i="1"/>
  <c r="D868" i="1"/>
  <c r="M486" i="1"/>
  <c r="M2093" i="1"/>
  <c r="Q587" i="1"/>
  <c r="Q2591" i="1"/>
  <c r="AT1750" i="1"/>
  <c r="AT1313" i="1"/>
  <c r="D2984" i="1"/>
  <c r="D1926" i="1"/>
  <c r="AT2371" i="1"/>
  <c r="AT1437" i="1"/>
  <c r="M1020" i="1"/>
  <c r="P1961" i="1"/>
  <c r="H1145" i="1"/>
  <c r="J3263" i="1"/>
  <c r="D3085" i="1"/>
  <c r="U2522" i="1"/>
  <c r="J747" i="1"/>
  <c r="J1091" i="1"/>
  <c r="I3005" i="1"/>
  <c r="J583" i="1"/>
  <c r="I2100" i="1"/>
  <c r="H3174" i="1"/>
  <c r="P1045" i="1"/>
  <c r="N2632" i="1"/>
  <c r="N2418" i="1"/>
  <c r="M2538" i="1"/>
  <c r="H2096" i="1"/>
  <c r="U370" i="1"/>
  <c r="J2402" i="1"/>
  <c r="Q880" i="1"/>
  <c r="N2420" i="1"/>
  <c r="U1595" i="1"/>
  <c r="P2947" i="1"/>
  <c r="O469" i="1"/>
  <c r="M681" i="1"/>
  <c r="J1356" i="1"/>
  <c r="I3374" i="1"/>
  <c r="H3205" i="1"/>
  <c r="D2518" i="1"/>
  <c r="N2066" i="1"/>
  <c r="K699" i="1"/>
  <c r="M1141" i="1"/>
  <c r="N565" i="1"/>
  <c r="Q3456" i="1"/>
  <c r="J2766" i="1"/>
  <c r="Q1679" i="1"/>
  <c r="Q1390" i="1"/>
  <c r="O3234" i="1"/>
  <c r="H347" i="1"/>
  <c r="I354" i="1"/>
  <c r="U1589" i="1"/>
  <c r="Q662" i="1"/>
  <c r="N1676" i="1"/>
  <c r="D2236" i="1"/>
  <c r="H1492" i="1"/>
  <c r="I3344" i="1"/>
  <c r="U3593" i="1"/>
  <c r="AT194" i="1"/>
  <c r="N332" i="1"/>
  <c r="U392" i="1"/>
  <c r="O2796" i="1"/>
  <c r="J2602" i="1"/>
  <c r="K2873" i="1"/>
  <c r="H3423" i="1"/>
  <c r="D2062" i="1"/>
  <c r="I1160" i="1"/>
  <c r="O2205" i="1"/>
  <c r="U2112" i="1"/>
  <c r="I320" i="1"/>
  <c r="J476" i="1"/>
  <c r="P1225" i="1"/>
  <c r="I328" i="1"/>
  <c r="I1579" i="1"/>
  <c r="I3494" i="1"/>
  <c r="U542" i="1"/>
  <c r="I2756" i="1"/>
  <c r="H2204" i="1"/>
  <c r="Q2602" i="1"/>
  <c r="P515" i="1"/>
  <c r="J2710" i="1"/>
  <c r="U1428" i="1"/>
  <c r="U3076" i="1"/>
  <c r="Q1115" i="1"/>
  <c r="H1517" i="1"/>
  <c r="H3177" i="1"/>
  <c r="J3217" i="1"/>
  <c r="AT2035" i="1"/>
  <c r="H2297" i="1"/>
  <c r="H31" i="1"/>
  <c r="K578" i="1"/>
  <c r="N1158" i="1"/>
  <c r="H2857" i="1"/>
  <c r="N535" i="1"/>
  <c r="H3452" i="1"/>
  <c r="K206" i="1"/>
  <c r="J2995" i="1"/>
  <c r="Q1598" i="1"/>
  <c r="P1381" i="1"/>
  <c r="P2994" i="1"/>
  <c r="H3233" i="1"/>
  <c r="J2989" i="1"/>
  <c r="U831" i="1"/>
  <c r="P1522" i="1"/>
  <c r="H2180" i="1"/>
  <c r="H2880" i="1"/>
  <c r="U484" i="1"/>
  <c r="O3006" i="1"/>
  <c r="M691" i="1"/>
  <c r="O3171" i="1"/>
  <c r="AT1078" i="1"/>
  <c r="N2116" i="1"/>
  <c r="P2970" i="1"/>
  <c r="N177" i="1"/>
  <c r="Q3272" i="1"/>
  <c r="I2341" i="1"/>
  <c r="N93" i="1"/>
  <c r="H1850" i="1"/>
  <c r="D1900" i="1"/>
  <c r="P1256" i="1"/>
  <c r="M3537" i="1"/>
  <c r="D1284" i="1"/>
  <c r="P954" i="1"/>
  <c r="H1832" i="1"/>
  <c r="M1559" i="1"/>
  <c r="AT1833" i="1"/>
  <c r="K3039" i="1"/>
  <c r="K1929" i="1"/>
  <c r="J810" i="1"/>
  <c r="Q3461" i="1"/>
  <c r="K3088" i="1"/>
  <c r="AT115" i="1"/>
  <c r="O1290" i="1"/>
  <c r="J656" i="1"/>
  <c r="J1575" i="1"/>
  <c r="H2317" i="1"/>
  <c r="P2916" i="1"/>
  <c r="P2226" i="1"/>
  <c r="D3237" i="1"/>
  <c r="O1958" i="1"/>
  <c r="M3529" i="1"/>
  <c r="J2265" i="1"/>
  <c r="H448" i="1"/>
  <c r="N2957" i="1"/>
  <c r="D244" i="1"/>
  <c r="P405" i="1"/>
  <c r="U2452" i="1"/>
  <c r="D1173" i="1"/>
  <c r="K1638" i="1"/>
  <c r="D1114" i="1"/>
  <c r="J3204" i="1"/>
  <c r="Q368" i="1"/>
  <c r="D447" i="1"/>
  <c r="D1698" i="1"/>
  <c r="O3300" i="1"/>
  <c r="U1284" i="1"/>
  <c r="Q2284" i="1"/>
  <c r="D605" i="1"/>
  <c r="Q3414" i="1"/>
  <c r="O2653" i="1"/>
  <c r="O1691" i="1"/>
  <c r="Q3394" i="1"/>
  <c r="Q1748" i="1"/>
  <c r="I3463" i="1"/>
  <c r="D852" i="1"/>
  <c r="P2162" i="1"/>
  <c r="U1702" i="1"/>
  <c r="O3355" i="1"/>
  <c r="I3050" i="1"/>
  <c r="O289" i="1"/>
  <c r="U3614" i="1"/>
  <c r="K2337" i="1"/>
  <c r="P1530" i="1"/>
  <c r="N1424" i="1"/>
  <c r="J502" i="1"/>
  <c r="D2517" i="1"/>
  <c r="Q1197" i="1"/>
  <c r="P752" i="1"/>
  <c r="M11" i="1"/>
  <c r="M2179" i="1"/>
  <c r="O1773" i="1"/>
  <c r="J1585" i="1"/>
  <c r="N1648" i="1"/>
  <c r="O905" i="1"/>
  <c r="D2658" i="1"/>
  <c r="K2927" i="1"/>
  <c r="P335" i="1"/>
  <c r="J3302" i="1"/>
  <c r="O236" i="1"/>
  <c r="J1750" i="1"/>
  <c r="O2692" i="1"/>
  <c r="O3103" i="1"/>
  <c r="P2502" i="1"/>
  <c r="H2329" i="1"/>
  <c r="N3376" i="1"/>
  <c r="U1934" i="1"/>
  <c r="Q384" i="1"/>
  <c r="M1221" i="1"/>
  <c r="AT2445" i="1"/>
  <c r="H1471" i="1"/>
  <c r="N915" i="1"/>
  <c r="N470" i="1"/>
  <c r="U1851" i="1"/>
  <c r="O3406" i="1"/>
  <c r="M1024" i="1"/>
  <c r="O2071" i="1"/>
  <c r="K2218" i="1"/>
  <c r="N1490" i="1"/>
  <c r="N1965" i="1"/>
  <c r="AT2218" i="1"/>
  <c r="J2674" i="1"/>
  <c r="AT782" i="1"/>
  <c r="O2654" i="1"/>
  <c r="Q1478" i="1"/>
  <c r="J231" i="1"/>
  <c r="U149" i="1"/>
  <c r="P3172" i="1"/>
  <c r="P2137" i="1"/>
  <c r="J2334" i="1"/>
  <c r="AT2767" i="1"/>
  <c r="J2840" i="1"/>
  <c r="D1931" i="1"/>
  <c r="H41" i="1"/>
  <c r="P3164" i="1"/>
  <c r="P1598" i="1"/>
  <c r="I2400" i="1"/>
  <c r="J3237" i="1"/>
  <c r="K1454" i="1"/>
  <c r="Q2906" i="1"/>
  <c r="D2067" i="1"/>
  <c r="J2167" i="1"/>
  <c r="I43" i="1"/>
  <c r="I2865" i="1"/>
  <c r="I62" i="1"/>
  <c r="P1102" i="1"/>
  <c r="I1402" i="1"/>
  <c r="I2639" i="1"/>
  <c r="D177" i="1"/>
  <c r="I2658" i="1"/>
  <c r="U462" i="1"/>
  <c r="M1183" i="1"/>
  <c r="J348" i="1"/>
  <c r="O841" i="1"/>
  <c r="M2935" i="1"/>
  <c r="U2861" i="1"/>
  <c r="H1467" i="1"/>
  <c r="D2725" i="1"/>
  <c r="P1154" i="1"/>
  <c r="AT731" i="1"/>
  <c r="U1690" i="1"/>
  <c r="D38" i="1"/>
  <c r="N1758" i="1"/>
  <c r="Q391" i="1"/>
  <c r="U3631" i="1"/>
  <c r="N2480" i="1"/>
  <c r="D2456" i="1"/>
  <c r="K253" i="1"/>
  <c r="Q1595" i="1"/>
  <c r="H2634" i="1"/>
  <c r="U1213" i="1"/>
  <c r="P3439" i="1"/>
  <c r="H3265" i="1"/>
  <c r="J1827" i="1"/>
  <c r="H329" i="1"/>
  <c r="M1120" i="1"/>
  <c r="M3429" i="1"/>
  <c r="Q1857" i="1"/>
  <c r="I2182" i="1"/>
  <c r="H1290" i="1"/>
  <c r="J412" i="1"/>
  <c r="O2907" i="1"/>
  <c r="H391" i="1"/>
  <c r="U1726" i="1"/>
  <c r="D2897" i="1"/>
  <c r="I2481" i="1"/>
  <c r="N400" i="1"/>
  <c r="Q3438" i="1"/>
  <c r="M3594" i="1"/>
  <c r="P65" i="1"/>
  <c r="AT2982" i="1"/>
  <c r="AT3374" i="1"/>
  <c r="M1434" i="1"/>
  <c r="P3581" i="1"/>
  <c r="D995" i="1"/>
  <c r="M2876" i="1"/>
  <c r="Q2938" i="1"/>
  <c r="I2565" i="1"/>
  <c r="M1773" i="1"/>
  <c r="H636" i="1"/>
  <c r="U3536" i="1"/>
  <c r="P259" i="1"/>
  <c r="I130" i="1"/>
  <c r="M2847" i="1"/>
  <c r="O54" i="1"/>
  <c r="Q2052" i="1"/>
  <c r="M2899" i="1"/>
  <c r="Q11" i="1"/>
  <c r="U2312" i="1"/>
  <c r="Q896" i="1"/>
  <c r="N1094" i="1"/>
  <c r="Q1820" i="1"/>
  <c r="M1319" i="1"/>
  <c r="N2322" i="1"/>
  <c r="I1018" i="1"/>
  <c r="N616" i="1"/>
  <c r="P1798" i="1"/>
  <c r="I2546" i="1"/>
  <c r="U1757" i="1"/>
  <c r="N2401" i="1"/>
  <c r="M3227" i="1"/>
  <c r="O2171" i="1"/>
  <c r="D150" i="1"/>
  <c r="N1038" i="1"/>
  <c r="AT1190" i="1"/>
  <c r="Q190" i="1"/>
  <c r="M833" i="1"/>
  <c r="K2396" i="1"/>
  <c r="D3616" i="1"/>
  <c r="O3485" i="1"/>
  <c r="N2640" i="1"/>
  <c r="I1631" i="1"/>
  <c r="P2580" i="1"/>
  <c r="U955" i="1"/>
  <c r="N94" i="1"/>
  <c r="N32" i="1"/>
  <c r="O2232" i="1"/>
  <c r="Q2099" i="1"/>
  <c r="N651" i="1"/>
  <c r="D716" i="1"/>
  <c r="P67" i="1"/>
  <c r="AT3022" i="1"/>
  <c r="H2128" i="1"/>
  <c r="I3234" i="1"/>
  <c r="N2837" i="1"/>
  <c r="H3504" i="1"/>
  <c r="U3447" i="1"/>
  <c r="Q992" i="1"/>
  <c r="D466" i="1"/>
  <c r="P1467" i="1"/>
  <c r="N75" i="1"/>
  <c r="N2464" i="1"/>
  <c r="D3373" i="1"/>
  <c r="AT3540" i="1"/>
  <c r="N181" i="1"/>
  <c r="P1325" i="1"/>
  <c r="N2327" i="1"/>
  <c r="N48" i="1"/>
  <c r="AT1430" i="1"/>
  <c r="H422" i="1"/>
  <c r="M2062" i="1"/>
  <c r="P2535" i="1"/>
  <c r="N2149" i="1"/>
  <c r="M3603" i="1"/>
  <c r="D536" i="1"/>
  <c r="AT1570" i="1"/>
  <c r="AT3343" i="1"/>
  <c r="D316" i="1"/>
  <c r="P3210" i="1"/>
  <c r="M2430" i="1"/>
  <c r="O866" i="1"/>
  <c r="I3153" i="1"/>
  <c r="AT2290" i="1"/>
  <c r="N1780" i="1"/>
  <c r="O297" i="1"/>
  <c r="N2477" i="1"/>
  <c r="H3061" i="1"/>
  <c r="K2745" i="1"/>
  <c r="K2227" i="1"/>
  <c r="AT3636" i="1"/>
  <c r="D1228" i="1"/>
  <c r="D1745" i="1"/>
  <c r="M1358" i="1"/>
  <c r="AT1903" i="1"/>
  <c r="J3203" i="1"/>
  <c r="O2427" i="1"/>
  <c r="P465" i="1"/>
  <c r="Q1649" i="1"/>
  <c r="U1078" i="1"/>
  <c r="O2889" i="1"/>
  <c r="D1177" i="1"/>
  <c r="AT150" i="1"/>
  <c r="O1126" i="1"/>
  <c r="O2516" i="1"/>
  <c r="I413" i="1"/>
  <c r="J1319" i="1"/>
  <c r="H58" i="1"/>
  <c r="M2502" i="1"/>
  <c r="D767" i="1"/>
  <c r="U3187" i="1"/>
  <c r="Q2719" i="1"/>
  <c r="P560" i="1"/>
  <c r="H787" i="1"/>
  <c r="Q1069" i="1"/>
  <c r="P1889" i="1"/>
  <c r="O3260" i="1"/>
  <c r="I897" i="1"/>
  <c r="H1373" i="1"/>
  <c r="I840" i="1"/>
  <c r="M67" i="1"/>
  <c r="Q194" i="1"/>
  <c r="P946" i="1"/>
  <c r="D2694" i="1"/>
  <c r="I1342" i="1"/>
  <c r="M2323" i="1"/>
  <c r="N1870" i="1"/>
  <c r="O2463" i="1"/>
  <c r="U509" i="1"/>
  <c r="U3064" i="1"/>
  <c r="I1052" i="1"/>
  <c r="U1046" i="1"/>
  <c r="U2816" i="1"/>
  <c r="P2142" i="1"/>
  <c r="AT2499" i="1"/>
  <c r="J2067" i="1"/>
  <c r="J1137" i="1"/>
  <c r="N884" i="1"/>
  <c r="AT2205" i="1"/>
  <c r="Q2051" i="1"/>
  <c r="O2278" i="1"/>
  <c r="M3096" i="1"/>
  <c r="U978" i="1"/>
  <c r="O2230" i="1"/>
  <c r="M296" i="1"/>
  <c r="N2958" i="1"/>
  <c r="N718" i="1"/>
  <c r="I375" i="1"/>
  <c r="D1316" i="1"/>
  <c r="O2127" i="1"/>
  <c r="K1514" i="1"/>
  <c r="N673" i="1"/>
  <c r="I212" i="1"/>
  <c r="P1292" i="1"/>
  <c r="Q530" i="1"/>
  <c r="U2840" i="1"/>
  <c r="P2007" i="1"/>
  <c r="AT2552" i="1"/>
  <c r="J101" i="1"/>
  <c r="K2595" i="1"/>
  <c r="U1942" i="1"/>
  <c r="O479" i="1"/>
  <c r="D3286" i="1"/>
  <c r="I3160" i="1"/>
  <c r="I2398" i="1"/>
  <c r="I1510" i="1"/>
  <c r="H3321" i="1"/>
  <c r="U2358" i="1"/>
  <c r="J201" i="1"/>
  <c r="J2052" i="1"/>
  <c r="Q2373" i="1"/>
  <c r="P2841" i="1"/>
  <c r="P2416" i="1"/>
  <c r="O3197" i="1"/>
  <c r="Q2745" i="1"/>
  <c r="Q2776" i="1"/>
  <c r="O3063" i="1"/>
  <c r="M2751" i="1"/>
  <c r="M2961" i="1"/>
  <c r="O119" i="1"/>
  <c r="Q3390" i="1"/>
  <c r="U2465" i="1"/>
  <c r="H619" i="1"/>
  <c r="P1634" i="1"/>
  <c r="H2739" i="1"/>
  <c r="I1309" i="1"/>
  <c r="U352" i="1"/>
  <c r="N3073" i="1"/>
  <c r="O1501" i="1"/>
  <c r="N2243" i="1"/>
  <c r="H1827" i="1"/>
  <c r="H2049" i="1"/>
  <c r="AT942" i="1"/>
  <c r="AT229" i="1"/>
  <c r="AT201" i="1"/>
  <c r="AT2881" i="1"/>
  <c r="N198" i="1"/>
  <c r="I1661" i="1"/>
  <c r="N2307" i="1"/>
  <c r="I2133" i="1"/>
  <c r="AT1481" i="1"/>
  <c r="I2780" i="1"/>
  <c r="J1185" i="1"/>
  <c r="M1223" i="1"/>
  <c r="P3405" i="1"/>
  <c r="J3242" i="1"/>
  <c r="Q1357" i="1"/>
  <c r="Q2922" i="1"/>
  <c r="U1012" i="1"/>
  <c r="Q1693" i="1"/>
  <c r="U976" i="1"/>
  <c r="P2412" i="1"/>
  <c r="N708" i="1"/>
  <c r="M3042" i="1"/>
  <c r="O2971" i="1"/>
  <c r="D3450" i="1"/>
  <c r="M722" i="1"/>
  <c r="P1159" i="1"/>
  <c r="I2124" i="1"/>
  <c r="D871" i="1"/>
  <c r="D2554" i="1"/>
  <c r="D164" i="1"/>
  <c r="J373" i="1"/>
  <c r="D587" i="1"/>
  <c r="U2137" i="1"/>
  <c r="D2021" i="1"/>
  <c r="U1373" i="1"/>
  <c r="AT135" i="1"/>
  <c r="AT1540" i="1"/>
  <c r="N285" i="1"/>
  <c r="H1160" i="1"/>
  <c r="D2574" i="1"/>
  <c r="N2716" i="1"/>
  <c r="N2663" i="1"/>
  <c r="AT1989" i="1"/>
  <c r="J1303" i="1"/>
  <c r="P2433" i="1"/>
  <c r="Q113" i="1"/>
  <c r="P1260" i="1"/>
  <c r="O1861" i="1"/>
  <c r="K2596" i="1"/>
  <c r="O2130" i="1"/>
  <c r="O1021" i="1"/>
  <c r="D2411" i="1"/>
  <c r="K2990" i="1"/>
  <c r="U1192" i="1"/>
  <c r="D1078" i="1"/>
  <c r="J3226" i="1"/>
  <c r="Q828" i="1"/>
  <c r="O2543" i="1"/>
  <c r="P3370" i="1"/>
  <c r="Q1827" i="1"/>
  <c r="I274" i="1"/>
  <c r="J3054" i="1"/>
  <c r="I2548" i="1"/>
  <c r="H1287" i="1"/>
  <c r="J2037" i="1"/>
  <c r="U3175" i="1"/>
  <c r="U2647" i="1"/>
  <c r="H1273" i="1"/>
  <c r="N3613" i="1"/>
  <c r="D3254" i="1"/>
  <c r="N652" i="1"/>
  <c r="N2187" i="1"/>
  <c r="H712" i="1"/>
  <c r="Q3021" i="1"/>
  <c r="D1913" i="1"/>
  <c r="N1733" i="1"/>
  <c r="D2194" i="1"/>
  <c r="J1381" i="1"/>
  <c r="N871" i="1"/>
  <c r="U3174" i="1"/>
  <c r="H244" i="1"/>
  <c r="K2645" i="1"/>
  <c r="J2073" i="1"/>
  <c r="U1585" i="1"/>
  <c r="U615" i="1"/>
  <c r="H732" i="1"/>
  <c r="J143" i="1"/>
  <c r="M628" i="1"/>
  <c r="H922" i="1"/>
  <c r="K2778" i="1"/>
  <c r="U3201" i="1"/>
  <c r="I3299" i="1"/>
  <c r="I2680" i="1"/>
  <c r="U853" i="1"/>
  <c r="K322" i="1"/>
  <c r="Q389" i="1"/>
  <c r="Q60" i="1"/>
  <c r="O3428" i="1"/>
  <c r="I1447" i="1"/>
  <c r="AT2450" i="1"/>
  <c r="M2893" i="1"/>
  <c r="D2299" i="1"/>
  <c r="H929" i="1"/>
  <c r="O1728" i="1"/>
  <c r="O855" i="1"/>
  <c r="J2300" i="1"/>
  <c r="J834" i="1"/>
  <c r="N2848" i="1"/>
  <c r="O2991" i="1"/>
  <c r="M3516" i="1"/>
  <c r="N2554" i="1"/>
  <c r="Q3587" i="1"/>
  <c r="H2926" i="1"/>
  <c r="N2700" i="1"/>
  <c r="D1738" i="1"/>
  <c r="J1693" i="1"/>
  <c r="I2538" i="1"/>
  <c r="U1092" i="1"/>
  <c r="N689" i="1"/>
  <c r="U969" i="1"/>
  <c r="P74" i="1"/>
  <c r="O3090" i="1"/>
  <c r="D1726" i="1"/>
  <c r="M1915" i="1"/>
  <c r="P1727" i="1"/>
  <c r="O307" i="1"/>
  <c r="P2210" i="1"/>
  <c r="D486" i="1"/>
  <c r="Q2749" i="1"/>
  <c r="P219" i="1"/>
  <c r="P457" i="1"/>
  <c r="J274" i="1"/>
  <c r="D1933" i="1"/>
  <c r="D1057" i="1"/>
  <c r="P3386" i="1"/>
  <c r="I3277" i="1"/>
  <c r="U2395" i="1"/>
  <c r="P3326" i="1"/>
  <c r="M2130" i="1"/>
  <c r="J1850" i="1"/>
  <c r="O2212" i="1"/>
  <c r="D461" i="1"/>
  <c r="N419" i="1"/>
  <c r="D3099" i="1"/>
  <c r="P726" i="1"/>
  <c r="K2850" i="1"/>
  <c r="P3131" i="1"/>
  <c r="M2318" i="1"/>
  <c r="P640" i="1"/>
  <c r="H1327" i="1"/>
  <c r="I729" i="1"/>
  <c r="U1645" i="1"/>
  <c r="H2781" i="1"/>
  <c r="U357" i="1"/>
  <c r="M2362" i="1"/>
  <c r="P3420" i="1"/>
  <c r="K3515" i="1"/>
  <c r="J194" i="1"/>
  <c r="O2701" i="1"/>
  <c r="K1223" i="1"/>
  <c r="U851" i="1"/>
  <c r="U16" i="1"/>
  <c r="M2985" i="1"/>
  <c r="M1373" i="1"/>
  <c r="N2486" i="1"/>
  <c r="N3476" i="1"/>
  <c r="H2504" i="1"/>
  <c r="J1694" i="1"/>
  <c r="J919" i="1"/>
  <c r="U1531" i="1"/>
  <c r="O2021" i="1"/>
  <c r="U401" i="1"/>
  <c r="I2602" i="1"/>
  <c r="O1067" i="1"/>
  <c r="U386" i="1"/>
  <c r="U1004" i="1"/>
  <c r="O3124" i="1"/>
  <c r="N105" i="1"/>
  <c r="N2097" i="1"/>
  <c r="AT226" i="1"/>
  <c r="Q728" i="1"/>
  <c r="N1114" i="1"/>
  <c r="I3281" i="1"/>
  <c r="AT2047" i="1"/>
  <c r="I148" i="1"/>
  <c r="I2721" i="1"/>
  <c r="Q1450" i="1"/>
  <c r="AT2782" i="1"/>
  <c r="D2177" i="1"/>
  <c r="K2514" i="1"/>
  <c r="U688" i="1"/>
  <c r="U1958" i="1"/>
  <c r="N1920" i="1"/>
  <c r="O706" i="1"/>
  <c r="P380" i="1"/>
  <c r="AT91" i="1"/>
  <c r="P2055" i="1"/>
  <c r="O2788" i="1"/>
  <c r="AT3629" i="1"/>
  <c r="AT1592" i="1"/>
  <c r="J762" i="1"/>
  <c r="O1784" i="1"/>
  <c r="D1697" i="1"/>
  <c r="AT2137" i="1"/>
  <c r="P833" i="1"/>
  <c r="I1382" i="1"/>
  <c r="D2850" i="1"/>
  <c r="M973" i="1"/>
  <c r="O873" i="1"/>
  <c r="J718" i="1"/>
  <c r="K1041" i="1"/>
  <c r="J2601" i="1"/>
  <c r="N2376" i="1"/>
  <c r="U932" i="1"/>
  <c r="N1938" i="1"/>
  <c r="P37" i="1"/>
  <c r="N1638" i="1"/>
  <c r="Q1707" i="1"/>
  <c r="U2012" i="1"/>
  <c r="Q2836" i="1"/>
  <c r="Q2973" i="1"/>
  <c r="M1847" i="1"/>
  <c r="O2710" i="1"/>
  <c r="K224" i="1"/>
  <c r="O3307" i="1"/>
  <c r="H545" i="1"/>
  <c r="M1419" i="1"/>
  <c r="H920" i="1"/>
  <c r="N482" i="1"/>
  <c r="U2972" i="1"/>
  <c r="D2142" i="1"/>
  <c r="D266" i="1"/>
  <c r="N2498" i="1"/>
  <c r="O3275" i="1"/>
  <c r="P739" i="1"/>
  <c r="U2047" i="1"/>
  <c r="P2572" i="1"/>
  <c r="J2703" i="1"/>
  <c r="U3619" i="1"/>
  <c r="AT1770" i="1"/>
  <c r="P1824" i="1"/>
  <c r="U2435" i="1"/>
  <c r="U594" i="1"/>
  <c r="U388" i="1"/>
  <c r="P2645" i="1"/>
  <c r="D1836" i="1"/>
  <c r="M538" i="1"/>
  <c r="K628" i="1"/>
  <c r="P3247" i="1"/>
  <c r="D3013" i="1"/>
  <c r="D3183" i="1"/>
  <c r="K1270" i="1"/>
  <c r="D701" i="1"/>
  <c r="I1417" i="1"/>
  <c r="D1960" i="1"/>
  <c r="K2296" i="1"/>
  <c r="N1420" i="1"/>
  <c r="D2716" i="1"/>
  <c r="N2754" i="1"/>
  <c r="J2099" i="1"/>
  <c r="AT2762" i="1"/>
  <c r="Q263" i="1"/>
  <c r="P2984" i="1"/>
  <c r="U785" i="1"/>
  <c r="I3508" i="1"/>
  <c r="Q1902" i="1"/>
  <c r="D2054" i="1"/>
  <c r="I2633" i="1"/>
  <c r="J2227" i="1"/>
  <c r="K1225" i="1"/>
  <c r="D2679" i="1"/>
  <c r="J265" i="1"/>
  <c r="P3100" i="1"/>
  <c r="H2086" i="1"/>
  <c r="O851" i="1"/>
  <c r="J1297" i="1"/>
  <c r="AT2843" i="1"/>
  <c r="P1765" i="1"/>
  <c r="AT2533" i="1"/>
  <c r="J1632" i="1"/>
  <c r="U2008" i="1"/>
  <c r="J292" i="1"/>
  <c r="AT3481" i="1"/>
  <c r="D2510" i="1"/>
  <c r="AT815" i="1"/>
  <c r="P1960" i="1"/>
  <c r="M150" i="1"/>
  <c r="I2050" i="1"/>
  <c r="AT1413" i="1"/>
  <c r="U2042" i="1"/>
  <c r="U2489" i="1"/>
  <c r="U554" i="1"/>
  <c r="O2361" i="1"/>
  <c r="O391" i="1"/>
  <c r="P318" i="1"/>
  <c r="P1662" i="1"/>
  <c r="O2953" i="1"/>
  <c r="K2456" i="1"/>
  <c r="N3161" i="1"/>
  <c r="M2201" i="1"/>
  <c r="N1689" i="1"/>
  <c r="I2479" i="1"/>
  <c r="M3004" i="1"/>
  <c r="K3513" i="1"/>
  <c r="H3290" i="1"/>
  <c r="AT2462" i="1"/>
  <c r="AT1140" i="1"/>
  <c r="H199" i="1"/>
  <c r="J1067" i="1"/>
  <c r="Q2119" i="1"/>
  <c r="AT3259" i="1"/>
  <c r="O3414" i="1"/>
  <c r="AT1632" i="1"/>
  <c r="K1211" i="1"/>
  <c r="M3616" i="1"/>
  <c r="Q3050" i="1"/>
  <c r="N2320" i="1"/>
  <c r="M666" i="1"/>
  <c r="AT2747" i="1"/>
  <c r="U1786" i="1"/>
  <c r="N296" i="1"/>
  <c r="D2367" i="1"/>
  <c r="N1374" i="1"/>
  <c r="P990" i="1"/>
  <c r="AT409" i="1"/>
  <c r="D3290" i="1"/>
  <c r="H1223" i="1"/>
  <c r="Q2271" i="1"/>
  <c r="M3340" i="1"/>
  <c r="D524" i="1"/>
  <c r="Q3243" i="1"/>
  <c r="P687" i="1"/>
  <c r="J558" i="1"/>
  <c r="M170" i="1"/>
  <c r="Q2642" i="1"/>
  <c r="D1317" i="1"/>
  <c r="U855" i="1"/>
  <c r="Q3139" i="1"/>
  <c r="Q1098" i="1"/>
  <c r="Q3042" i="1"/>
  <c r="H689" i="1"/>
  <c r="H1221" i="1"/>
  <c r="O1400" i="1"/>
  <c r="N2522" i="1"/>
  <c r="K1358" i="1"/>
  <c r="K242" i="1"/>
  <c r="U1753" i="1"/>
  <c r="Q1243" i="1"/>
  <c r="AT573" i="1"/>
  <c r="H2254" i="1"/>
  <c r="H489" i="1"/>
  <c r="AT1620" i="1"/>
  <c r="M1182" i="1"/>
  <c r="J1938" i="1"/>
  <c r="Q130" i="1"/>
  <c r="Q2717" i="1"/>
  <c r="N927" i="1"/>
  <c r="I1379" i="1"/>
  <c r="M2852" i="1"/>
  <c r="N2343" i="1"/>
  <c r="U850" i="1"/>
  <c r="Q408" i="1"/>
  <c r="M22" i="1"/>
  <c r="O2386" i="1"/>
  <c r="P1182" i="1"/>
  <c r="J477" i="1"/>
  <c r="N3305" i="1"/>
  <c r="I1116" i="1"/>
  <c r="U1795" i="1"/>
  <c r="P928" i="1"/>
  <c r="O64" i="1"/>
  <c r="AT1145" i="1"/>
  <c r="U3567" i="1"/>
  <c r="N1133" i="1"/>
  <c r="U776" i="1"/>
  <c r="D442" i="1"/>
  <c r="Q995" i="1"/>
  <c r="O3633" i="1"/>
  <c r="O585" i="1"/>
  <c r="M100" i="1"/>
  <c r="O205" i="1"/>
  <c r="I2451" i="1"/>
  <c r="P438" i="1"/>
  <c r="Q2825" i="1"/>
  <c r="K1512" i="1"/>
  <c r="U2737" i="1"/>
  <c r="H2369" i="1"/>
  <c r="O1262" i="1"/>
  <c r="Q3459" i="1"/>
  <c r="J2862" i="1"/>
  <c r="I2027" i="1"/>
  <c r="Q3253" i="1"/>
  <c r="AT1500" i="1"/>
  <c r="M2104" i="1"/>
  <c r="I1633" i="1"/>
  <c r="J1774" i="1"/>
  <c r="J2457" i="1"/>
  <c r="P2172" i="1"/>
  <c r="M1778" i="1"/>
  <c r="N3057" i="1"/>
  <c r="Q1335" i="1"/>
  <c r="D3009" i="1"/>
  <c r="AT945" i="1"/>
  <c r="K971" i="1"/>
  <c r="O1687" i="1"/>
  <c r="O1877" i="1"/>
  <c r="H2082" i="1"/>
  <c r="P1632" i="1"/>
  <c r="H1507" i="1"/>
  <c r="N1531" i="1"/>
  <c r="D1737" i="1"/>
  <c r="N966" i="1"/>
  <c r="O2122" i="1"/>
  <c r="D1552" i="1"/>
  <c r="D1253" i="1"/>
  <c r="J2271" i="1"/>
  <c r="Q2601" i="1"/>
  <c r="D3499" i="1"/>
  <c r="K456" i="1"/>
  <c r="O1569" i="1"/>
  <c r="H646" i="1"/>
  <c r="U3617" i="1"/>
  <c r="AT3030" i="1"/>
  <c r="U1862" i="1"/>
  <c r="M2709" i="1"/>
  <c r="N491" i="1"/>
  <c r="J3067" i="1"/>
  <c r="AT3132" i="1"/>
  <c r="J3193" i="1"/>
  <c r="M2303" i="1"/>
  <c r="H537" i="1"/>
  <c r="K644" i="1"/>
  <c r="Q410" i="1"/>
  <c r="AT1775" i="1"/>
  <c r="AT2433" i="1"/>
  <c r="U1314" i="1"/>
  <c r="P2075" i="1"/>
  <c r="M66" i="1"/>
  <c r="U2515" i="1"/>
  <c r="J417" i="1"/>
  <c r="M1763" i="1"/>
  <c r="O3445" i="1"/>
  <c r="Q2021" i="1"/>
  <c r="R725" i="1"/>
  <c r="N1218" i="1"/>
  <c r="P1819" i="1"/>
  <c r="Q2463" i="1"/>
  <c r="O2415" i="1"/>
  <c r="K1826" i="1"/>
  <c r="H1315" i="1"/>
  <c r="K3444" i="1"/>
  <c r="K3490" i="1"/>
  <c r="K197" i="1"/>
  <c r="K1788" i="1"/>
  <c r="I2851" i="1"/>
  <c r="I3504" i="1"/>
  <c r="Q2129" i="1"/>
  <c r="H2542" i="1"/>
  <c r="M1145" i="1"/>
  <c r="P1677" i="1"/>
  <c r="K103" i="1"/>
  <c r="Q731" i="1"/>
  <c r="D1141" i="1"/>
  <c r="M3519" i="1"/>
  <c r="U865" i="1"/>
  <c r="AT702" i="1"/>
  <c r="N3260" i="1"/>
  <c r="P2894" i="1"/>
  <c r="J3314" i="1"/>
  <c r="P3300" i="1"/>
  <c r="M3462" i="1"/>
  <c r="U3007" i="1"/>
  <c r="D2580" i="1"/>
  <c r="N279" i="1"/>
  <c r="Q1731" i="1"/>
  <c r="D1576" i="1"/>
  <c r="O1640" i="1"/>
  <c r="H924" i="1"/>
  <c r="H2422" i="1"/>
  <c r="K3281" i="1"/>
  <c r="N2301" i="1"/>
  <c r="M1169" i="1"/>
  <c r="I2307" i="1"/>
  <c r="I1335" i="1"/>
  <c r="M1493" i="1"/>
  <c r="J1701" i="1"/>
  <c r="M2407" i="1"/>
  <c r="AT1275" i="1"/>
  <c r="AT857" i="1"/>
  <c r="D2104" i="1"/>
  <c r="D1357" i="1"/>
  <c r="N1017" i="1"/>
  <c r="M380" i="1"/>
  <c r="N201" i="1"/>
  <c r="N113" i="1"/>
  <c r="I1110" i="1"/>
  <c r="Q3065" i="1"/>
  <c r="U1896" i="1"/>
  <c r="U1416" i="1"/>
  <c r="P1226" i="1"/>
  <c r="D2081" i="1"/>
  <c r="P1223" i="1"/>
  <c r="J2079" i="1"/>
  <c r="H2745" i="1"/>
  <c r="I3037" i="1"/>
  <c r="Q2389" i="1"/>
  <c r="Q1490" i="1"/>
  <c r="D305" i="1"/>
  <c r="D3497" i="1"/>
  <c r="D2048" i="1"/>
  <c r="AT2234" i="1"/>
  <c r="O1541" i="1"/>
  <c r="M167" i="1"/>
  <c r="U1065" i="1"/>
  <c r="U415" i="1"/>
  <c r="N801" i="1"/>
  <c r="P1625" i="1"/>
  <c r="Q3345" i="1"/>
  <c r="M1263" i="1"/>
  <c r="AT364" i="1"/>
  <c r="K3609" i="1"/>
  <c r="I2367" i="1"/>
  <c r="I804" i="1"/>
  <c r="I3170" i="1"/>
  <c r="J1811" i="1"/>
  <c r="K278" i="1"/>
  <c r="K2802" i="1"/>
  <c r="U2243" i="1"/>
  <c r="J517" i="1"/>
  <c r="H2340" i="1"/>
  <c r="N2647" i="1"/>
  <c r="I2417" i="1"/>
  <c r="Q2881" i="1"/>
  <c r="U3305" i="1"/>
  <c r="I3247" i="1"/>
  <c r="Q1799" i="1"/>
  <c r="H2283" i="1"/>
  <c r="U3302" i="1"/>
  <c r="U153" i="1"/>
  <c r="K3159" i="1"/>
  <c r="I2356" i="1"/>
  <c r="Q2731" i="1"/>
  <c r="Q500" i="1"/>
  <c r="U2508" i="1"/>
  <c r="P1052" i="1"/>
  <c r="U3320" i="1"/>
  <c r="D1289" i="1"/>
  <c r="Q2318" i="1"/>
  <c r="J2178" i="1"/>
  <c r="AT496" i="1"/>
  <c r="Q1494" i="1"/>
  <c r="Q478" i="1"/>
  <c r="H602" i="1"/>
  <c r="I1367" i="1"/>
  <c r="P3155" i="1"/>
  <c r="O3073" i="1"/>
  <c r="P1907" i="1"/>
  <c r="P545" i="1"/>
  <c r="U216" i="1"/>
  <c r="H908" i="1"/>
  <c r="D2258" i="1"/>
  <c r="AT2058" i="1"/>
  <c r="U3557" i="1"/>
  <c r="AT1480" i="1"/>
  <c r="P1618" i="1"/>
  <c r="N2021" i="1"/>
  <c r="J2883" i="1"/>
  <c r="H569" i="1"/>
  <c r="O2639" i="1"/>
  <c r="D3078" i="1"/>
  <c r="O812" i="1"/>
  <c r="H89" i="1"/>
  <c r="Q3014" i="1"/>
  <c r="P1742" i="1"/>
  <c r="O1823" i="1"/>
  <c r="N541" i="1"/>
  <c r="M3136" i="1"/>
  <c r="M2643" i="1"/>
  <c r="H1379" i="1"/>
  <c r="I3273" i="1"/>
  <c r="Q26" i="1"/>
  <c r="N86" i="1"/>
  <c r="D1545" i="1"/>
  <c r="O2261" i="1"/>
  <c r="N1668" i="1"/>
  <c r="D2686" i="1"/>
  <c r="P2398" i="1"/>
  <c r="N3444" i="1"/>
  <c r="N763" i="1"/>
  <c r="D408" i="1"/>
  <c r="I3201" i="1"/>
  <c r="Q737" i="1"/>
  <c r="U533" i="1"/>
  <c r="H2138" i="1"/>
  <c r="M1393" i="1"/>
  <c r="M680" i="1"/>
  <c r="H2477" i="1"/>
  <c r="J3238" i="1"/>
  <c r="P1849" i="1"/>
  <c r="H173" i="1"/>
  <c r="U3388" i="1"/>
  <c r="AT2097" i="1"/>
  <c r="D2015" i="1"/>
  <c r="AT1327" i="1"/>
  <c r="U1358" i="1"/>
  <c r="I1353" i="1"/>
  <c r="N909" i="1"/>
  <c r="O3311" i="1"/>
  <c r="H3153" i="1"/>
  <c r="N1747" i="1"/>
  <c r="D2819" i="1"/>
  <c r="AT1014" i="1"/>
  <c r="U2029" i="1"/>
  <c r="AT171" i="1"/>
  <c r="AT1666" i="1"/>
  <c r="AT1798" i="1"/>
  <c r="N3482" i="1"/>
  <c r="N2534" i="1"/>
  <c r="K250" i="1"/>
  <c r="P2077" i="1"/>
  <c r="J2596" i="1"/>
  <c r="K2618" i="1"/>
  <c r="AT118" i="1"/>
  <c r="N1731" i="1"/>
  <c r="Q1952" i="1"/>
  <c r="Q1051" i="1"/>
  <c r="N54" i="1"/>
  <c r="Q2916" i="1"/>
  <c r="P297" i="1"/>
  <c r="D537" i="1"/>
  <c r="O1158" i="1"/>
  <c r="M96" i="1"/>
  <c r="AT1702" i="1"/>
  <c r="AT3281" i="1"/>
  <c r="O2704" i="1"/>
  <c r="M790" i="1"/>
  <c r="I1281" i="1"/>
  <c r="N972" i="1"/>
  <c r="Q1630" i="1"/>
  <c r="O1170" i="1"/>
  <c r="D3010" i="1"/>
  <c r="D3590" i="1"/>
  <c r="O2814" i="1"/>
  <c r="AT1269" i="1"/>
  <c r="Q1067" i="1"/>
  <c r="N1290" i="1"/>
  <c r="Q2039" i="1"/>
  <c r="AT2818" i="1"/>
  <c r="D1822" i="1"/>
  <c r="M1878" i="1"/>
  <c r="I2496" i="1"/>
  <c r="M3485" i="1"/>
  <c r="J2532" i="1"/>
  <c r="D1345" i="1"/>
  <c r="AT2327" i="1"/>
  <c r="N2616" i="1"/>
  <c r="U1754" i="1"/>
  <c r="U278" i="1"/>
  <c r="J2165" i="1"/>
  <c r="O3549" i="1"/>
  <c r="M137" i="1"/>
  <c r="H2432" i="1"/>
  <c r="Q2903" i="1"/>
  <c r="U713" i="1"/>
  <c r="K2132" i="1"/>
  <c r="M226" i="1"/>
  <c r="O1873" i="1"/>
  <c r="M3212" i="1"/>
  <c r="Q2826" i="1"/>
  <c r="U2482" i="1"/>
  <c r="D1610" i="1"/>
  <c r="Q1901" i="1"/>
  <c r="J706" i="1"/>
  <c r="N1237" i="1"/>
  <c r="P2437" i="1"/>
  <c r="N3313" i="1"/>
  <c r="J1872" i="1"/>
  <c r="AT2614" i="1"/>
  <c r="M2874" i="1"/>
  <c r="M3005" i="1"/>
  <c r="D3510" i="1"/>
  <c r="H130" i="1"/>
  <c r="M2653" i="1"/>
  <c r="U52" i="1"/>
  <c r="J1458" i="1"/>
  <c r="M1982" i="1"/>
  <c r="I566" i="1"/>
  <c r="P1990" i="1"/>
  <c r="D2596" i="1"/>
  <c r="D36" i="1"/>
  <c r="AT1427" i="1"/>
  <c r="D1531" i="1"/>
  <c r="Q2805" i="1"/>
  <c r="J522" i="1"/>
  <c r="AT576" i="1"/>
  <c r="U2165" i="1"/>
  <c r="M49" i="1"/>
  <c r="O3160" i="1"/>
  <c r="I3537" i="1"/>
  <c r="K3532" i="1"/>
  <c r="K2165" i="1"/>
  <c r="U20" i="1"/>
  <c r="U655" i="1"/>
  <c r="AT3405" i="1"/>
  <c r="P1689" i="1"/>
  <c r="P1661" i="1"/>
  <c r="AT1279" i="1"/>
  <c r="N2065" i="1"/>
  <c r="U723" i="1"/>
  <c r="D3424" i="1"/>
  <c r="D3053" i="1"/>
  <c r="M513" i="1"/>
  <c r="N290" i="1"/>
  <c r="M1382" i="1"/>
  <c r="AT2752" i="1"/>
  <c r="K2064" i="1"/>
  <c r="H1461" i="1"/>
  <c r="N1126" i="1"/>
  <c r="M2513" i="1"/>
  <c r="Q1179" i="1"/>
  <c r="J3589" i="1"/>
  <c r="M2997" i="1"/>
  <c r="Q2071" i="1"/>
  <c r="N3095" i="1"/>
  <c r="U797" i="1"/>
  <c r="O1083" i="1"/>
  <c r="P1728" i="1"/>
  <c r="N453" i="1"/>
  <c r="P1893" i="1"/>
  <c r="M1518" i="1"/>
  <c r="M2963" i="1"/>
  <c r="M3316" i="1"/>
  <c r="M1598" i="1"/>
  <c r="P1771" i="1"/>
  <c r="N1919" i="1"/>
  <c r="O3362" i="1"/>
  <c r="Q2785" i="1"/>
  <c r="N140" i="1"/>
  <c r="P977" i="1"/>
  <c r="I3006" i="1"/>
  <c r="P281" i="1"/>
  <c r="J208" i="1"/>
  <c r="U3526" i="1"/>
  <c r="U1211" i="1"/>
  <c r="O1073" i="1"/>
  <c r="H2917" i="1"/>
  <c r="O2465" i="1"/>
  <c r="M3432" i="1"/>
  <c r="H1489" i="1"/>
  <c r="O2896" i="1"/>
  <c r="AT1519" i="1"/>
  <c r="P3060" i="1"/>
  <c r="O1088" i="1"/>
  <c r="O579" i="1"/>
  <c r="Q986" i="1"/>
  <c r="M379" i="1"/>
  <c r="AT2153" i="1"/>
  <c r="N683" i="1"/>
  <c r="K519" i="1"/>
  <c r="N2446" i="1"/>
  <c r="M371" i="1"/>
  <c r="Q820" i="1"/>
  <c r="J700" i="1"/>
  <c r="P652" i="1"/>
  <c r="I1682" i="1"/>
  <c r="AT1264" i="1"/>
  <c r="J2217" i="1"/>
  <c r="AT3386" i="1"/>
  <c r="M1594" i="1"/>
  <c r="M2449" i="1"/>
  <c r="K949" i="1"/>
  <c r="D3351" i="1"/>
  <c r="M940" i="1"/>
  <c r="U2038" i="1"/>
  <c r="K391" i="1"/>
  <c r="U2699" i="1"/>
  <c r="M1165" i="1"/>
  <c r="P1791" i="1"/>
  <c r="H2403" i="1"/>
  <c r="N305" i="1"/>
  <c r="J1206" i="1"/>
  <c r="AT898" i="1"/>
  <c r="I3557" i="1"/>
  <c r="D2287" i="1"/>
  <c r="H2906" i="1"/>
  <c r="U2401" i="1"/>
  <c r="O136" i="1"/>
  <c r="AT1868" i="1"/>
  <c r="O3588" i="1"/>
  <c r="AT3090" i="1"/>
  <c r="J1251" i="1"/>
  <c r="H2673" i="1"/>
  <c r="K1539" i="1"/>
  <c r="O29" i="1"/>
  <c r="M2252" i="1"/>
  <c r="O3600" i="1"/>
  <c r="O540" i="1"/>
  <c r="U1533" i="1"/>
  <c r="N1365" i="1"/>
  <c r="P786" i="1"/>
  <c r="H442" i="1"/>
  <c r="N37" i="1"/>
  <c r="D2266" i="1"/>
  <c r="N3268" i="1"/>
  <c r="P1697" i="1"/>
  <c r="N571" i="1"/>
  <c r="D1383" i="1"/>
  <c r="D307" i="1"/>
  <c r="K2889" i="1"/>
  <c r="N2310" i="1"/>
  <c r="AT2714" i="1"/>
  <c r="M3209" i="1"/>
  <c r="H3143" i="1"/>
  <c r="D180" i="1"/>
  <c r="K80" i="1"/>
  <c r="D2222" i="1"/>
  <c r="Q376" i="1"/>
  <c r="P805" i="1"/>
  <c r="H1868" i="1"/>
  <c r="K3078" i="1"/>
  <c r="P1670" i="1"/>
  <c r="AT629" i="1"/>
  <c r="M1108" i="1"/>
  <c r="Q3406" i="1"/>
  <c r="M233" i="1"/>
  <c r="O635" i="1"/>
  <c r="AT2867" i="1"/>
  <c r="M3409" i="1"/>
  <c r="N599" i="1"/>
  <c r="H3602" i="1"/>
  <c r="Q2808" i="1"/>
  <c r="I2588" i="1"/>
  <c r="U1697" i="1"/>
  <c r="H429" i="1"/>
  <c r="D2962" i="1"/>
  <c r="Q1242" i="1"/>
  <c r="N167" i="1"/>
  <c r="H2294" i="1"/>
  <c r="P890" i="1"/>
  <c r="M1854" i="1"/>
  <c r="D3045" i="1"/>
  <c r="O89" i="1"/>
  <c r="P222" i="1"/>
  <c r="H3019" i="1"/>
  <c r="N3539" i="1"/>
  <c r="Q2228" i="1"/>
  <c r="H413" i="1"/>
  <c r="N3068" i="1"/>
  <c r="D345" i="1"/>
  <c r="N2261" i="1"/>
  <c r="D2022" i="1"/>
  <c r="N1798" i="1"/>
  <c r="Q3209" i="1"/>
  <c r="AT2791" i="1"/>
  <c r="Q2481" i="1"/>
  <c r="Q3" i="1"/>
  <c r="O1235" i="1"/>
  <c r="AT2177" i="1"/>
  <c r="I1137" i="1"/>
  <c r="Q1232" i="1"/>
  <c r="D1808" i="1"/>
  <c r="N212" i="1"/>
  <c r="AT3196" i="1"/>
  <c r="AT472" i="1"/>
  <c r="AT2638" i="1"/>
  <c r="D1052" i="1"/>
  <c r="Q1327" i="1"/>
  <c r="M2185" i="1"/>
  <c r="K453" i="1"/>
  <c r="H930" i="1"/>
  <c r="J1517" i="1"/>
  <c r="D1466" i="1"/>
  <c r="U698" i="1"/>
  <c r="U3006" i="1"/>
  <c r="Q652" i="1"/>
  <c r="J711" i="1"/>
  <c r="Q2332" i="1"/>
  <c r="D1683" i="1"/>
  <c r="D3467" i="1"/>
  <c r="AT3490" i="1"/>
  <c r="K316" i="1"/>
  <c r="D2789" i="1"/>
  <c r="D2760" i="1"/>
  <c r="H535" i="1"/>
  <c r="K3278" i="1"/>
  <c r="D2971" i="1"/>
  <c r="K595" i="1"/>
  <c r="P2224" i="1"/>
  <c r="AT1230" i="1"/>
  <c r="P3232" i="1"/>
  <c r="AT1434" i="1"/>
  <c r="I899" i="1"/>
  <c r="P1294" i="1"/>
  <c r="D1861" i="1"/>
  <c r="AT765" i="1"/>
  <c r="P723" i="1"/>
  <c r="I1135" i="1"/>
  <c r="AT3549" i="1"/>
  <c r="H481" i="1"/>
  <c r="M23" i="1"/>
  <c r="AT858" i="1"/>
  <c r="U2169" i="1"/>
  <c r="O300" i="1"/>
  <c r="D1408" i="1"/>
  <c r="M3197" i="1"/>
  <c r="I2881" i="1"/>
  <c r="N3186" i="1"/>
  <c r="D1292" i="1"/>
  <c r="M2909" i="1"/>
  <c r="N2512" i="1"/>
  <c r="O1026" i="1"/>
  <c r="M3239" i="1"/>
  <c r="H68" i="1"/>
  <c r="AT526" i="1"/>
  <c r="D2930" i="1"/>
  <c r="M959" i="1"/>
  <c r="N2154" i="1"/>
  <c r="I1667" i="1"/>
  <c r="K357" i="1"/>
  <c r="J2307" i="1"/>
  <c r="K286" i="1"/>
  <c r="I2836" i="1"/>
  <c r="D2446" i="1"/>
  <c r="H138" i="1"/>
  <c r="U1623" i="1"/>
  <c r="Q3217" i="1"/>
  <c r="K3456" i="1"/>
  <c r="I2869" i="1"/>
  <c r="J359" i="1"/>
  <c r="AT1064" i="1"/>
  <c r="I1974" i="1"/>
  <c r="P2577" i="1"/>
  <c r="H542" i="1"/>
  <c r="N2747" i="1"/>
  <c r="M2073" i="1"/>
  <c r="D2783" i="1"/>
  <c r="I324" i="1"/>
  <c r="P151" i="1"/>
  <c r="D225" i="1"/>
  <c r="J1148" i="1"/>
  <c r="Q481" i="1"/>
  <c r="P3558" i="1"/>
  <c r="K2806" i="1"/>
  <c r="J2625" i="1"/>
  <c r="D2824" i="1"/>
  <c r="AT386" i="1"/>
  <c r="Q3344" i="1"/>
  <c r="U3483" i="1"/>
  <c r="N282" i="1"/>
  <c r="Q2549" i="1"/>
  <c r="H625" i="1"/>
  <c r="O522" i="1"/>
  <c r="N1778" i="1"/>
  <c r="Q2285" i="1"/>
  <c r="D1615" i="1"/>
  <c r="M2736" i="1"/>
  <c r="D1600" i="1"/>
  <c r="D2141" i="1"/>
  <c r="AT1287" i="1"/>
  <c r="P3592" i="1"/>
  <c r="Q1338" i="1"/>
  <c r="K2313" i="1"/>
  <c r="P3083" i="1"/>
  <c r="AT3406" i="1"/>
  <c r="P2435" i="1"/>
  <c r="H1483" i="1"/>
  <c r="I1513" i="1"/>
  <c r="N484" i="1"/>
  <c r="H3247" i="1"/>
  <c r="M2290" i="1"/>
  <c r="Q136" i="1"/>
  <c r="M372" i="1"/>
  <c r="Q2611" i="1"/>
  <c r="P2372" i="1"/>
  <c r="Q1394" i="1"/>
  <c r="D2979" i="1"/>
  <c r="N2963" i="1"/>
  <c r="D3146" i="1"/>
  <c r="D160" i="1"/>
  <c r="O2938" i="1"/>
  <c r="K2830" i="1"/>
  <c r="O862" i="1"/>
  <c r="O3520" i="1"/>
  <c r="M2404" i="1"/>
  <c r="N877" i="1"/>
  <c r="K3021" i="1"/>
  <c r="O389" i="1"/>
  <c r="AT1699" i="1"/>
  <c r="O2494" i="1"/>
  <c r="O3066" i="1"/>
  <c r="K2521" i="1"/>
  <c r="U852" i="1"/>
  <c r="N3612" i="1"/>
  <c r="AT1246" i="1"/>
  <c r="J3392" i="1"/>
  <c r="AT1244" i="1"/>
  <c r="U866" i="1"/>
  <c r="Q3203" i="1"/>
  <c r="N3591" i="1"/>
  <c r="D549" i="1"/>
  <c r="AT829" i="1"/>
  <c r="Q2060" i="1"/>
  <c r="N1494" i="1"/>
  <c r="AT1227" i="1"/>
  <c r="AT3360" i="1"/>
  <c r="O3567" i="1"/>
  <c r="Q1451" i="1"/>
  <c r="U682" i="1"/>
  <c r="P377" i="1"/>
  <c r="O1807" i="1"/>
  <c r="D3008" i="1"/>
  <c r="K2398" i="1"/>
  <c r="J3421" i="1"/>
  <c r="O3570" i="1"/>
  <c r="O3323" i="1"/>
  <c r="U104" i="1"/>
  <c r="N2593" i="1"/>
  <c r="I2810" i="1"/>
  <c r="M619" i="1"/>
  <c r="N1289" i="1"/>
  <c r="U2860" i="1"/>
  <c r="I2304" i="1"/>
  <c r="D2397" i="1"/>
  <c r="P819" i="1"/>
  <c r="H2552" i="1"/>
  <c r="I1351" i="1"/>
  <c r="K1614" i="1"/>
  <c r="K2096" i="1"/>
  <c r="Q299" i="1"/>
  <c r="U2680" i="1"/>
  <c r="N91" i="1"/>
  <c r="O893" i="1"/>
  <c r="M1435" i="1"/>
  <c r="M1990" i="1"/>
  <c r="O1680" i="1"/>
  <c r="H2301" i="1"/>
  <c r="O2213" i="1"/>
  <c r="N816" i="1"/>
  <c r="O3563" i="1"/>
  <c r="M2226" i="1"/>
  <c r="D3036" i="1"/>
  <c r="O1149" i="1"/>
  <c r="M624" i="1"/>
  <c r="O3161" i="1"/>
  <c r="N950" i="1"/>
  <c r="J1886" i="1"/>
  <c r="AT1069" i="1"/>
  <c r="Q1642" i="1"/>
  <c r="U2595" i="1"/>
  <c r="Q2254" i="1"/>
  <c r="M12" i="1"/>
  <c r="P2304" i="1"/>
  <c r="Q2225" i="1"/>
  <c r="M3245" i="1"/>
  <c r="I2146" i="1"/>
  <c r="D2174" i="1"/>
  <c r="AT975" i="1"/>
  <c r="Q254" i="1"/>
  <c r="I2937" i="1"/>
  <c r="N2865" i="1"/>
  <c r="J1009" i="1"/>
  <c r="J889" i="1"/>
  <c r="P3549" i="1"/>
  <c r="P213" i="1"/>
  <c r="K2594" i="1"/>
  <c r="H1110" i="1"/>
  <c r="H513" i="1"/>
  <c r="U2857" i="1"/>
  <c r="J3379" i="1"/>
  <c r="AT1947" i="1"/>
  <c r="J805" i="1"/>
  <c r="I2192" i="1"/>
  <c r="D1125" i="1"/>
  <c r="D824" i="1"/>
  <c r="N2546" i="1"/>
  <c r="M3299" i="1"/>
  <c r="O3506" i="1"/>
  <c r="U339" i="1"/>
  <c r="I3152" i="1"/>
  <c r="Q2933" i="1"/>
  <c r="Q3071" i="1"/>
  <c r="U2270" i="1"/>
  <c r="O1996" i="1"/>
  <c r="I1978" i="1"/>
  <c r="H1111" i="1"/>
  <c r="Q316" i="1"/>
  <c r="U1011" i="1"/>
  <c r="O1414" i="1"/>
  <c r="H593" i="1"/>
  <c r="H2656" i="1"/>
  <c r="D1882" i="1"/>
  <c r="K168" i="1"/>
  <c r="K1193" i="1"/>
  <c r="J1187" i="1"/>
  <c r="Q1469" i="1"/>
  <c r="O2063" i="1"/>
  <c r="M2880" i="1"/>
  <c r="AT590" i="1"/>
  <c r="U3043" i="1"/>
  <c r="H970" i="1"/>
  <c r="AT3499" i="1"/>
  <c r="P3079" i="1"/>
  <c r="M264" i="1"/>
  <c r="P2308" i="1"/>
  <c r="D3294" i="1"/>
  <c r="O185" i="1"/>
  <c r="H937" i="1"/>
  <c r="P1916" i="1"/>
  <c r="O2656" i="1"/>
  <c r="H3134" i="1"/>
  <c r="H1510" i="1"/>
  <c r="I1907" i="1"/>
  <c r="M77" i="1"/>
  <c r="Q608" i="1"/>
  <c r="Q2757" i="1"/>
  <c r="J212" i="1"/>
  <c r="I687" i="1"/>
  <c r="I2628" i="1"/>
  <c r="Q2965" i="1"/>
  <c r="N2058" i="1"/>
  <c r="N635" i="1"/>
  <c r="J833" i="1"/>
  <c r="Q1864" i="1"/>
  <c r="J2558" i="1"/>
  <c r="D2044" i="1"/>
  <c r="M42" i="1"/>
  <c r="N1662" i="1"/>
  <c r="Q2775" i="1"/>
  <c r="H2915" i="1"/>
  <c r="P3353" i="1"/>
  <c r="P1140" i="1"/>
  <c r="N3465" i="1"/>
  <c r="N922" i="1"/>
  <c r="D3353" i="1"/>
  <c r="O3352" i="1"/>
  <c r="Q815" i="1"/>
  <c r="N3293" i="1"/>
  <c r="AT1364" i="1"/>
  <c r="AT1781" i="1"/>
  <c r="O3611" i="1"/>
  <c r="O816" i="1"/>
  <c r="AT418" i="1"/>
  <c r="N3470" i="1"/>
  <c r="N1682" i="1"/>
  <c r="AT360" i="1"/>
  <c r="I2696" i="1"/>
  <c r="H3282" i="1"/>
  <c r="D2429" i="1"/>
  <c r="U298" i="1"/>
  <c r="D3507" i="1"/>
  <c r="N1315" i="1"/>
  <c r="O2486" i="1"/>
  <c r="H2670" i="1"/>
  <c r="U1974" i="1"/>
  <c r="J743" i="1"/>
  <c r="P2783" i="1"/>
  <c r="P682" i="1"/>
  <c r="M2454" i="1"/>
  <c r="AT233" i="1"/>
  <c r="I912" i="1"/>
  <c r="O3504" i="1"/>
  <c r="M1471" i="1"/>
  <c r="M2125" i="1"/>
  <c r="N1611" i="1"/>
  <c r="Q1047" i="1"/>
  <c r="J1653" i="1"/>
  <c r="M3070" i="1"/>
  <c r="M852" i="1"/>
  <c r="AT1365" i="1"/>
  <c r="I1521" i="1"/>
  <c r="AT3424" i="1"/>
  <c r="U296" i="1"/>
  <c r="I3151" i="1"/>
  <c r="O1558" i="1"/>
  <c r="Q514" i="1"/>
  <c r="U50" i="1"/>
  <c r="P2244" i="1"/>
  <c r="O1822" i="1"/>
  <c r="Q366" i="1"/>
  <c r="P2548" i="1"/>
  <c r="AT3417" i="1"/>
  <c r="M1188" i="1"/>
  <c r="D3443" i="1"/>
  <c r="D3261" i="1"/>
  <c r="N374" i="1"/>
  <c r="N3546" i="1"/>
  <c r="I1293" i="1"/>
  <c r="U493" i="1"/>
  <c r="Q3022" i="1"/>
  <c r="N2153" i="1"/>
  <c r="O1845" i="1"/>
  <c r="O1315" i="1"/>
  <c r="N2244" i="1"/>
  <c r="Q1168" i="1"/>
  <c r="M1281" i="1"/>
  <c r="J1446" i="1"/>
  <c r="Q1763" i="1"/>
  <c r="D1134" i="1"/>
  <c r="Q1385" i="1"/>
  <c r="M1455" i="1"/>
  <c r="Q2297" i="1"/>
  <c r="J886" i="1"/>
  <c r="J2645" i="1"/>
  <c r="J1340" i="1"/>
  <c r="M2451" i="1"/>
  <c r="P1575" i="1"/>
  <c r="J1606" i="1"/>
  <c r="U1150" i="1"/>
  <c r="N1181" i="1"/>
  <c r="O2477" i="1"/>
  <c r="H1627" i="1"/>
  <c r="H257" i="1"/>
  <c r="N1185" i="1"/>
  <c r="P2627" i="1"/>
  <c r="I1834" i="1"/>
  <c r="P1371" i="1"/>
  <c r="D567" i="1"/>
  <c r="AT1938" i="1"/>
  <c r="H214" i="1"/>
  <c r="P1318" i="1"/>
  <c r="M1341" i="1"/>
  <c r="D3502" i="1"/>
  <c r="M2030" i="1"/>
  <c r="M499" i="1"/>
  <c r="D446" i="1"/>
  <c r="Q1075" i="1"/>
  <c r="D1813" i="1"/>
  <c r="D1492" i="1"/>
  <c r="Q3154" i="1"/>
  <c r="N1652" i="1"/>
  <c r="D1163" i="1"/>
  <c r="P2891" i="1"/>
  <c r="I1966" i="1"/>
  <c r="D458" i="1"/>
  <c r="N1883" i="1"/>
  <c r="U1615" i="1"/>
  <c r="K814" i="1"/>
  <c r="M659" i="1"/>
  <c r="J535" i="1"/>
  <c r="AT3531" i="1"/>
  <c r="M1731" i="1"/>
  <c r="O2859" i="1"/>
  <c r="K3037" i="1"/>
  <c r="H2448" i="1"/>
  <c r="U3134" i="1"/>
  <c r="U1870" i="1"/>
  <c r="Q1725" i="1"/>
  <c r="M1547" i="1"/>
  <c r="N3010" i="1"/>
  <c r="H2276" i="1"/>
  <c r="O630" i="1"/>
  <c r="P419" i="1"/>
  <c r="O2512" i="1"/>
  <c r="H2606" i="1"/>
  <c r="D1621" i="1"/>
  <c r="N1639" i="1"/>
  <c r="N1624" i="1"/>
  <c r="N3193" i="1"/>
  <c r="I2225" i="1"/>
  <c r="O622" i="1"/>
  <c r="D234" i="1"/>
  <c r="AT3083" i="1"/>
  <c r="N3471" i="1"/>
  <c r="D781" i="1"/>
  <c r="H1516" i="1"/>
  <c r="P324" i="1"/>
  <c r="N56" i="1"/>
  <c r="O1357" i="1"/>
  <c r="AT2733" i="1"/>
  <c r="Q2363" i="1"/>
  <c r="D1244" i="1"/>
  <c r="AT870" i="1"/>
  <c r="Q307" i="1"/>
  <c r="H232" i="1"/>
  <c r="K1508" i="1"/>
  <c r="O41" i="1"/>
  <c r="O382" i="1"/>
  <c r="O665" i="1"/>
  <c r="O657" i="1"/>
  <c r="P2613" i="1"/>
  <c r="D3598" i="1"/>
  <c r="O1863" i="1"/>
  <c r="N1921" i="1"/>
  <c r="K241" i="1"/>
  <c r="K2786" i="1"/>
  <c r="K40" i="1"/>
  <c r="U2318" i="1"/>
  <c r="K10" i="1"/>
  <c r="K2895" i="1"/>
  <c r="K846" i="1"/>
  <c r="M1583" i="1"/>
  <c r="Q2326" i="1"/>
  <c r="I2528" i="1"/>
  <c r="U2741" i="1"/>
  <c r="M2145" i="1"/>
  <c r="J2491" i="1"/>
  <c r="N1408" i="1"/>
  <c r="M1814" i="1"/>
  <c r="O1579" i="1"/>
  <c r="Q2163" i="1"/>
  <c r="D2060" i="1"/>
  <c r="P1969" i="1"/>
  <c r="O1107" i="1"/>
  <c r="I162" i="1"/>
  <c r="M154" i="1"/>
  <c r="M327" i="1"/>
  <c r="AT2410" i="1"/>
  <c r="Q1807" i="1"/>
  <c r="D2811" i="1"/>
  <c r="AT1531" i="1"/>
  <c r="AT3628" i="1"/>
  <c r="O3148" i="1"/>
  <c r="H2132" i="1"/>
  <c r="H2003" i="1"/>
  <c r="O2954" i="1"/>
  <c r="Q657" i="1"/>
  <c r="N663" i="1"/>
  <c r="P3120" i="1"/>
  <c r="O1502" i="1"/>
  <c r="N3255" i="1"/>
  <c r="P3017" i="1"/>
  <c r="M810" i="1"/>
  <c r="O226" i="1"/>
  <c r="N1384" i="1"/>
  <c r="J1154" i="1"/>
  <c r="U967" i="1"/>
  <c r="O3380" i="1"/>
  <c r="N679" i="1"/>
  <c r="U315" i="1"/>
  <c r="M128" i="1"/>
  <c r="N2634" i="1"/>
  <c r="N2174" i="1"/>
  <c r="D2917" i="1"/>
  <c r="M2291" i="1"/>
  <c r="N1265" i="1"/>
  <c r="U919" i="1"/>
  <c r="Q1624" i="1"/>
  <c r="M1877" i="1"/>
  <c r="Q2716" i="1"/>
  <c r="H790" i="1"/>
  <c r="P2279" i="1"/>
  <c r="D947" i="1"/>
  <c r="N2435" i="1"/>
  <c r="O2017" i="1"/>
  <c r="I208" i="1"/>
  <c r="O1968" i="1"/>
  <c r="I1763" i="1"/>
  <c r="P3555" i="1"/>
  <c r="H869" i="1"/>
  <c r="H2216" i="1"/>
  <c r="D46" i="1"/>
  <c r="N3545" i="1"/>
  <c r="K504" i="1"/>
  <c r="D1204" i="1"/>
  <c r="H499" i="1"/>
  <c r="J483" i="1"/>
  <c r="Q1272" i="1"/>
  <c r="U1016" i="1"/>
  <c r="Q2136" i="1"/>
  <c r="M622" i="1"/>
  <c r="Q2381" i="1"/>
  <c r="U610" i="1"/>
  <c r="K2379" i="1"/>
  <c r="K2599" i="1"/>
  <c r="H3076" i="1"/>
  <c r="O1409" i="1"/>
  <c r="AT2272" i="1"/>
  <c r="D3548" i="1"/>
  <c r="K1189" i="1"/>
  <c r="D45" i="1"/>
  <c r="M2330" i="1"/>
  <c r="J1224" i="1"/>
  <c r="M2800" i="1"/>
  <c r="K2827" i="1"/>
  <c r="M1707" i="1"/>
  <c r="N2441" i="1"/>
  <c r="J1730" i="1"/>
  <c r="O1827" i="1"/>
  <c r="H2925" i="1"/>
  <c r="M2781" i="1"/>
  <c r="O1329" i="1"/>
  <c r="H3082" i="1"/>
  <c r="H3162" i="1"/>
  <c r="AT2001" i="1"/>
  <c r="AT2556" i="1"/>
  <c r="D610" i="1"/>
  <c r="J2950" i="1"/>
  <c r="K3240" i="1"/>
  <c r="N106" i="1"/>
  <c r="D955" i="1"/>
  <c r="Q1860" i="1"/>
  <c r="M3248" i="1"/>
  <c r="K3036" i="1"/>
  <c r="AT3313" i="1"/>
  <c r="M502" i="1"/>
  <c r="AT1030" i="1"/>
  <c r="I1143" i="1"/>
  <c r="I1069" i="1"/>
  <c r="I1831" i="1"/>
  <c r="O374" i="1"/>
  <c r="M3048" i="1"/>
  <c r="M136" i="1"/>
  <c r="Q1278" i="1"/>
  <c r="P470" i="1"/>
  <c r="AT345" i="1"/>
  <c r="M777" i="1"/>
  <c r="M3471" i="1"/>
  <c r="N2119" i="1"/>
  <c r="I521" i="1"/>
  <c r="N3038" i="1"/>
  <c r="I165" i="1"/>
  <c r="P1000" i="1"/>
  <c r="D2561" i="1"/>
  <c r="D588" i="1"/>
  <c r="M106" i="1"/>
  <c r="I1378" i="1"/>
  <c r="J2662" i="1"/>
  <c r="P1628" i="1"/>
  <c r="H1925" i="1"/>
  <c r="K3000" i="1"/>
  <c r="M1061" i="1"/>
  <c r="Q1004" i="1"/>
  <c r="Q89" i="1"/>
  <c r="M630" i="1"/>
  <c r="D1445" i="1"/>
  <c r="U2841" i="1"/>
  <c r="I2251" i="1"/>
  <c r="I1809" i="1"/>
  <c r="H1885" i="1"/>
  <c r="M1733" i="1"/>
  <c r="J1069" i="1"/>
  <c r="D3282" i="1"/>
  <c r="M974" i="1"/>
  <c r="AT1281" i="1"/>
  <c r="N1310" i="1"/>
  <c r="Q858" i="1"/>
  <c r="N2412" i="1"/>
  <c r="O1481" i="1"/>
  <c r="D2994" i="1"/>
  <c r="J1724" i="1"/>
  <c r="U1866" i="1"/>
  <c r="Q2125" i="1"/>
  <c r="P51" i="1"/>
  <c r="D3453" i="1"/>
  <c r="AT1499" i="1"/>
  <c r="N1175" i="1"/>
  <c r="N3357" i="1"/>
  <c r="P3270" i="1"/>
  <c r="D909" i="1"/>
  <c r="Q611" i="1"/>
  <c r="M1128" i="1"/>
  <c r="M2259" i="1"/>
  <c r="N124" i="1"/>
  <c r="N2054" i="1"/>
  <c r="O2777" i="1"/>
  <c r="N1834" i="1"/>
  <c r="Q545" i="1"/>
  <c r="M203" i="1"/>
  <c r="I3019" i="1"/>
  <c r="D2360" i="1"/>
  <c r="AT1071" i="1"/>
  <c r="AT1080" i="1"/>
  <c r="I3033" i="1"/>
  <c r="O1447" i="1"/>
  <c r="J3337" i="1"/>
  <c r="O3329" i="1"/>
  <c r="D231" i="1"/>
  <c r="D3252" i="1"/>
  <c r="P2930" i="1"/>
  <c r="P1091" i="1"/>
  <c r="H314" i="1"/>
  <c r="I2469" i="1"/>
  <c r="AT2273" i="1"/>
  <c r="J3236" i="1"/>
  <c r="U672" i="1"/>
  <c r="AT2121" i="1"/>
  <c r="J3483" i="1"/>
  <c r="Q2047" i="1"/>
  <c r="J1824" i="1"/>
  <c r="H511" i="1"/>
  <c r="H684" i="1"/>
  <c r="O2077" i="1"/>
  <c r="P2569" i="1"/>
  <c r="AT1797" i="1"/>
  <c r="Q2969" i="1"/>
  <c r="U1980" i="1"/>
  <c r="M1459" i="1"/>
  <c r="AT1891" i="1"/>
  <c r="M1639" i="1"/>
  <c r="AT1561" i="1"/>
  <c r="N3392" i="1"/>
  <c r="O315" i="1"/>
  <c r="H3378" i="1"/>
  <c r="O1517" i="1"/>
  <c r="N3481" i="1"/>
  <c r="AT1878" i="1"/>
  <c r="D1329" i="1"/>
  <c r="O3114" i="1"/>
  <c r="I3135" i="1"/>
  <c r="Q2980" i="1"/>
  <c r="N1502" i="1"/>
  <c r="I60" i="1"/>
  <c r="D1133" i="1"/>
  <c r="J1562" i="1"/>
  <c r="P2294" i="1"/>
  <c r="AT2000" i="1"/>
  <c r="N3166" i="1"/>
  <c r="U2201" i="1"/>
  <c r="M2651" i="1"/>
  <c r="O2891" i="1"/>
  <c r="U1076" i="1"/>
  <c r="U3015" i="1"/>
  <c r="Q1005" i="1"/>
  <c r="Q1550" i="1"/>
  <c r="K923" i="1"/>
  <c r="M3034" i="1"/>
  <c r="N3052" i="1"/>
  <c r="U1632" i="1"/>
  <c r="N3197" i="1"/>
  <c r="AT2271" i="1"/>
  <c r="AT136" i="1"/>
  <c r="Q677" i="1"/>
  <c r="AT1447" i="1"/>
  <c r="O847" i="1"/>
  <c r="M1211" i="1"/>
  <c r="P2078" i="1"/>
  <c r="K2694" i="1"/>
  <c r="I3132" i="1"/>
  <c r="N1683" i="1"/>
  <c r="J1166" i="1"/>
  <c r="N1101" i="1"/>
  <c r="D1880" i="1"/>
  <c r="AT2890" i="1"/>
  <c r="M2269" i="1"/>
  <c r="AT1691" i="1"/>
  <c r="AT3184" i="1"/>
  <c r="D1657" i="1"/>
  <c r="H1586" i="1"/>
  <c r="N3338" i="1"/>
  <c r="I3604" i="1"/>
  <c r="H913" i="1"/>
  <c r="H570" i="1"/>
  <c r="AT813" i="1"/>
  <c r="P3161" i="1"/>
  <c r="N2815" i="1"/>
  <c r="AT2655" i="1"/>
  <c r="H2435" i="1"/>
  <c r="U2964" i="1"/>
  <c r="J1814" i="1"/>
  <c r="H1050" i="1"/>
  <c r="Q2572" i="1"/>
  <c r="N1032" i="1"/>
  <c r="M557" i="1"/>
  <c r="O1129" i="1"/>
  <c r="U1335" i="1"/>
  <c r="O1952" i="1"/>
  <c r="U1071" i="1"/>
  <c r="Q2015" i="1"/>
  <c r="AT3054" i="1"/>
  <c r="O2959" i="1"/>
  <c r="Q2247" i="1"/>
  <c r="Q463" i="1"/>
  <c r="O664" i="1"/>
  <c r="O490" i="1"/>
  <c r="Q1743" i="1"/>
  <c r="N3023" i="1"/>
  <c r="N1300" i="1"/>
  <c r="D2521" i="1"/>
  <c r="AT1569" i="1"/>
  <c r="O1346" i="1"/>
  <c r="AT3316" i="1"/>
  <c r="U1104" i="1"/>
  <c r="H3079" i="1"/>
  <c r="Q2139" i="1"/>
  <c r="AT2267" i="1"/>
  <c r="M1008" i="1"/>
  <c r="D3456" i="1"/>
  <c r="O2160" i="1"/>
  <c r="I1405" i="1"/>
  <c r="I2638" i="1"/>
  <c r="Q3418" i="1"/>
  <c r="O1669" i="1"/>
  <c r="N408" i="1"/>
  <c r="I532" i="1"/>
  <c r="D3159" i="1"/>
  <c r="AT3045" i="1"/>
  <c r="AT74" i="1"/>
  <c r="M2908" i="1"/>
  <c r="O1105" i="1"/>
  <c r="Q2227" i="1"/>
  <c r="J704" i="1"/>
  <c r="I1904" i="1"/>
  <c r="N256" i="1"/>
  <c r="U385" i="1"/>
  <c r="K379" i="1"/>
  <c r="H1227" i="1"/>
  <c r="M484" i="1"/>
  <c r="I2629" i="1"/>
  <c r="N706" i="1"/>
  <c r="O3467" i="1"/>
  <c r="U708" i="1"/>
  <c r="P3422" i="1"/>
  <c r="Q222" i="1"/>
  <c r="D2009" i="1"/>
  <c r="M1846" i="1"/>
  <c r="K359" i="1"/>
  <c r="P837" i="1"/>
  <c r="O559" i="1"/>
  <c r="H3403" i="1"/>
  <c r="H739" i="1"/>
  <c r="K1621" i="1"/>
  <c r="H2259" i="1"/>
  <c r="AT1337" i="1"/>
  <c r="P1029" i="1"/>
  <c r="N2558" i="1"/>
  <c r="O426" i="1"/>
  <c r="N2069" i="1"/>
  <c r="I3228" i="1"/>
  <c r="Q3550" i="1"/>
  <c r="I3533" i="1"/>
  <c r="H1620" i="1"/>
  <c r="U1635" i="1"/>
  <c r="H3326" i="1"/>
  <c r="H2490" i="1"/>
  <c r="D23" i="1"/>
  <c r="P1460" i="1"/>
  <c r="Q306" i="1"/>
  <c r="J3064" i="1"/>
  <c r="P1875" i="1"/>
  <c r="O2766" i="1"/>
  <c r="AT2529" i="1"/>
  <c r="Q2236" i="1"/>
  <c r="O2681" i="1"/>
  <c r="O3057" i="1"/>
  <c r="H1011" i="1"/>
  <c r="I3219" i="1"/>
  <c r="J2208" i="1"/>
  <c r="U665" i="1"/>
  <c r="U3198" i="1"/>
  <c r="Q1163" i="1"/>
  <c r="M1081" i="1"/>
  <c r="M159" i="1"/>
  <c r="P1977" i="1"/>
  <c r="Q2394" i="1"/>
  <c r="AT3003" i="1"/>
  <c r="M2103" i="1"/>
  <c r="P1794" i="1"/>
  <c r="O3564" i="1"/>
  <c r="I2196" i="1"/>
  <c r="P2128" i="1"/>
  <c r="AT1073" i="1"/>
  <c r="M1692" i="1"/>
  <c r="N634" i="1"/>
  <c r="P399" i="1"/>
  <c r="Q575" i="1"/>
  <c r="N328" i="1"/>
  <c r="D508" i="1"/>
  <c r="O1722" i="1"/>
  <c r="AT3439" i="1"/>
  <c r="AT432" i="1"/>
  <c r="D2164" i="1"/>
  <c r="D3462" i="1"/>
  <c r="M982" i="1"/>
  <c r="N1214" i="1"/>
  <c r="N2348" i="1"/>
  <c r="I1703" i="1"/>
  <c r="H174" i="1"/>
  <c r="I1835" i="1"/>
  <c r="U1468" i="1"/>
  <c r="N2759" i="1"/>
  <c r="AT650" i="1"/>
  <c r="J2622" i="1"/>
  <c r="D1549" i="1"/>
  <c r="AT3432" i="1"/>
  <c r="O3290" i="1"/>
  <c r="N745" i="1"/>
  <c r="U102" i="1"/>
  <c r="P459" i="1"/>
  <c r="H2486" i="1"/>
  <c r="Q1855" i="1"/>
  <c r="J2362" i="1"/>
  <c r="K330" i="1"/>
  <c r="M1975" i="1"/>
  <c r="K1313" i="1"/>
  <c r="H2105" i="1"/>
  <c r="O483" i="1"/>
  <c r="H1515" i="1"/>
  <c r="AT3304" i="1"/>
  <c r="Q2633" i="1"/>
  <c r="Q3397" i="1"/>
  <c r="P931" i="1"/>
  <c r="M2246" i="1"/>
  <c r="U1526" i="1"/>
  <c r="AT2636" i="1"/>
  <c r="N2357" i="1"/>
  <c r="D1558" i="1"/>
  <c r="AT1611" i="1"/>
  <c r="AT1686" i="1"/>
  <c r="Q2781" i="1"/>
  <c r="M526" i="1"/>
  <c r="N3261" i="1"/>
  <c r="I664" i="1"/>
  <c r="O1475" i="1"/>
  <c r="N2191" i="1"/>
  <c r="M991" i="1"/>
  <c r="D2676" i="1"/>
  <c r="J1029" i="1"/>
  <c r="U1772" i="1"/>
  <c r="M3521" i="1"/>
  <c r="N1376" i="1"/>
  <c r="Q946" i="1"/>
  <c r="U1268" i="1"/>
  <c r="J3496" i="1"/>
  <c r="K297" i="1"/>
  <c r="Q2926" i="1"/>
  <c r="U950" i="1"/>
  <c r="P425" i="1"/>
  <c r="P306" i="1"/>
  <c r="I1049" i="1"/>
  <c r="U3601" i="1"/>
  <c r="M1534" i="1"/>
  <c r="U1446" i="1"/>
  <c r="M3522" i="1"/>
  <c r="D746" i="1"/>
  <c r="Q2822" i="1"/>
  <c r="J2841" i="1"/>
  <c r="M5" i="1"/>
  <c r="H3244" i="1"/>
  <c r="I1938" i="1"/>
  <c r="Q1541" i="1"/>
  <c r="H1715" i="1"/>
  <c r="K1163" i="1"/>
  <c r="AT3535" i="1"/>
  <c r="I1448" i="1"/>
  <c r="K3486" i="1"/>
  <c r="Q1110" i="1"/>
  <c r="AT376" i="1"/>
  <c r="Q792" i="1"/>
  <c r="D2462" i="1"/>
  <c r="Q3367" i="1"/>
  <c r="I926" i="1"/>
  <c r="I698" i="1"/>
  <c r="AT1309" i="1"/>
  <c r="N3179" i="1"/>
  <c r="Q2683" i="1"/>
  <c r="M2067" i="1"/>
  <c r="H242" i="1"/>
  <c r="O1365" i="1"/>
  <c r="D2314" i="1"/>
  <c r="D1660" i="1"/>
  <c r="AT960" i="1"/>
  <c r="P3537" i="1"/>
  <c r="H1633" i="1"/>
  <c r="N402" i="1"/>
  <c r="O1505" i="1"/>
  <c r="I3038" i="1"/>
  <c r="Q2270" i="1"/>
  <c r="U2144" i="1"/>
  <c r="Q2317" i="1"/>
  <c r="D1106" i="1"/>
  <c r="P3266" i="1"/>
  <c r="I2685" i="1"/>
  <c r="U2121" i="1"/>
  <c r="P374" i="1"/>
  <c r="J162" i="1"/>
  <c r="U3358" i="1"/>
  <c r="AT2684" i="1"/>
  <c r="O3220" i="1"/>
  <c r="M2995" i="1"/>
  <c r="AT735" i="1"/>
  <c r="AT1175" i="1"/>
  <c r="H472" i="1"/>
  <c r="N2007" i="1"/>
  <c r="M2532" i="1"/>
  <c r="I2382" i="1"/>
  <c r="Q909" i="1"/>
  <c r="D850" i="1"/>
  <c r="M935" i="1"/>
  <c r="D3131" i="1"/>
  <c r="O1658" i="1"/>
  <c r="U1425" i="1"/>
  <c r="AT579" i="1"/>
  <c r="M3349" i="1"/>
  <c r="M1507" i="1"/>
  <c r="D2370" i="1"/>
  <c r="I2305" i="1"/>
  <c r="Q1922" i="1"/>
  <c r="D3128" i="1"/>
  <c r="O3215" i="1"/>
  <c r="U2294" i="1"/>
  <c r="D69" i="1"/>
  <c r="AT2756" i="1"/>
  <c r="P3327" i="1"/>
  <c r="M2700" i="1"/>
  <c r="D993" i="1"/>
  <c r="J1379" i="1"/>
  <c r="K2382" i="1"/>
  <c r="J2565" i="1"/>
  <c r="U1512" i="1"/>
  <c r="AT1288" i="1"/>
  <c r="J2696" i="1"/>
  <c r="P1116" i="1"/>
  <c r="O2070" i="1"/>
  <c r="D750" i="1"/>
  <c r="AT2682" i="1"/>
  <c r="Q439" i="1"/>
  <c r="D1705" i="1"/>
  <c r="D98" i="1"/>
  <c r="I98" i="1"/>
  <c r="D2800" i="1"/>
  <c r="N1283" i="1"/>
  <c r="D2749" i="1"/>
  <c r="H3006" i="1"/>
  <c r="N1654" i="1"/>
  <c r="AT2693" i="1"/>
  <c r="Q2013" i="1"/>
  <c r="U3594" i="1"/>
  <c r="H241" i="1"/>
  <c r="D1304" i="1"/>
  <c r="P1193" i="1"/>
  <c r="O3140" i="1"/>
  <c r="AT471" i="1"/>
  <c r="AT1641" i="1"/>
  <c r="M2106" i="1"/>
  <c r="I2143" i="1"/>
  <c r="D3431" i="1"/>
  <c r="I813" i="1"/>
  <c r="M2287" i="1"/>
  <c r="AT10" i="1"/>
  <c r="O1071" i="1"/>
  <c r="Q2126" i="1"/>
  <c r="J2162" i="1"/>
  <c r="I1038" i="1"/>
  <c r="AT3051" i="1"/>
  <c r="O2525" i="1"/>
  <c r="D2551" i="1"/>
  <c r="P1098" i="1"/>
  <c r="AT1799" i="1"/>
  <c r="M3601" i="1"/>
  <c r="M836" i="1"/>
  <c r="H2868" i="1"/>
  <c r="Q2083" i="1"/>
  <c r="M1195" i="1"/>
  <c r="AT796" i="1"/>
  <c r="O402" i="1"/>
  <c r="AT1203" i="1"/>
  <c r="AT804" i="1"/>
  <c r="N1570" i="1"/>
  <c r="H2220" i="1"/>
  <c r="N1695" i="1"/>
  <c r="AT3225" i="1"/>
  <c r="Q2046" i="1"/>
  <c r="H2611" i="1"/>
  <c r="O2964" i="1"/>
  <c r="M1564" i="1"/>
  <c r="P712" i="1"/>
  <c r="M3508" i="1"/>
  <c r="I1863" i="1"/>
  <c r="H2150" i="1"/>
  <c r="N1033" i="1"/>
  <c r="H63" i="1"/>
  <c r="O1948" i="1"/>
  <c r="M2039" i="1"/>
  <c r="Q2662" i="1"/>
  <c r="N2456" i="1"/>
  <c r="M2559" i="1"/>
  <c r="N2526" i="1"/>
  <c r="Q776" i="1"/>
  <c r="I2268" i="1"/>
  <c r="Q2259" i="1"/>
  <c r="H2792" i="1"/>
  <c r="N146" i="1"/>
  <c r="I1345" i="1"/>
  <c r="AT640" i="1"/>
  <c r="H2473" i="1"/>
  <c r="M1068" i="1"/>
  <c r="H1978" i="1"/>
  <c r="N3480" i="1"/>
  <c r="N1912" i="1"/>
  <c r="M571" i="1"/>
  <c r="U1379" i="1"/>
  <c r="K2982" i="1"/>
  <c r="M124" i="1"/>
  <c r="P3205" i="1"/>
  <c r="N1353" i="1"/>
  <c r="I1407" i="1"/>
  <c r="O162" i="1"/>
  <c r="M1219" i="1"/>
  <c r="D1303" i="1"/>
  <c r="K195" i="1"/>
  <c r="P18" i="1"/>
  <c r="O1323" i="1"/>
  <c r="M288" i="1"/>
  <c r="O3072" i="1"/>
  <c r="Q1676" i="1"/>
  <c r="P768" i="1"/>
  <c r="O2792" i="1"/>
  <c r="D3637" i="1"/>
  <c r="U1992" i="1"/>
  <c r="AT2757" i="1"/>
  <c r="O104" i="1"/>
  <c r="J2385" i="1"/>
  <c r="AT323" i="1"/>
  <c r="P2327" i="1"/>
  <c r="I2755" i="1"/>
  <c r="AT120" i="1"/>
  <c r="I3358" i="1"/>
  <c r="J3328" i="1"/>
  <c r="H2982" i="1"/>
  <c r="I488" i="1"/>
  <c r="I3628" i="1"/>
  <c r="N1210" i="1"/>
  <c r="D2893" i="1"/>
  <c r="D3613" i="1"/>
  <c r="J520" i="1"/>
  <c r="M362" i="1"/>
  <c r="I2330" i="1"/>
  <c r="O235" i="1"/>
  <c r="N1727" i="1"/>
  <c r="O1653" i="1"/>
  <c r="AT2946" i="1"/>
  <c r="D3304" i="1"/>
  <c r="J1348" i="1"/>
  <c r="U1689" i="1"/>
  <c r="J342" i="1"/>
  <c r="P1500" i="1"/>
  <c r="I498" i="1"/>
  <c r="J1432" i="1"/>
  <c r="D2841" i="1"/>
  <c r="O1118" i="1"/>
  <c r="O951" i="1"/>
  <c r="U1684" i="1"/>
  <c r="U1222" i="1"/>
  <c r="Q969" i="1"/>
  <c r="P1064" i="1"/>
  <c r="AT1083" i="1"/>
  <c r="M3586" i="1"/>
  <c r="O2039" i="1"/>
  <c r="N3629" i="1"/>
  <c r="M3550" i="1"/>
  <c r="I349" i="1"/>
  <c r="N2936" i="1"/>
  <c r="N2375" i="1"/>
  <c r="M3286" i="1"/>
  <c r="Q3514" i="1"/>
  <c r="J839" i="1"/>
  <c r="U3163" i="1"/>
  <c r="I1736" i="1"/>
  <c r="N3371" i="1"/>
  <c r="D608" i="1"/>
  <c r="I3586" i="1"/>
  <c r="U123" i="1"/>
  <c r="H3541" i="1"/>
  <c r="U3405" i="1"/>
  <c r="N2294" i="1"/>
  <c r="Q2192" i="1"/>
  <c r="P3016" i="1"/>
  <c r="D377" i="1"/>
  <c r="D84" i="1"/>
  <c r="N2863" i="1"/>
  <c r="J3473" i="1"/>
  <c r="AT3231" i="1"/>
  <c r="AT594" i="1"/>
  <c r="Q1354" i="1"/>
  <c r="O2877" i="1"/>
  <c r="O116" i="1"/>
  <c r="Q61" i="1"/>
  <c r="D436" i="1"/>
  <c r="J2802" i="1"/>
  <c r="O3320" i="1"/>
  <c r="J3516" i="1"/>
  <c r="AT3565" i="1"/>
  <c r="P174" i="1"/>
  <c r="N1212" i="1"/>
  <c r="M2182" i="1"/>
  <c r="AT467" i="1"/>
  <c r="M997" i="1"/>
  <c r="Q2612" i="1"/>
  <c r="O3628" i="1"/>
  <c r="D1434" i="1"/>
  <c r="AT1263" i="1"/>
  <c r="D2989" i="1"/>
  <c r="O3577" i="1"/>
  <c r="H2124" i="1"/>
  <c r="O577" i="1"/>
  <c r="Q548" i="1"/>
  <c r="D3387" i="1"/>
  <c r="Q544" i="1"/>
  <c r="M881" i="1"/>
  <c r="J632" i="1"/>
  <c r="I3506" i="1"/>
  <c r="P1332" i="1"/>
  <c r="U1885" i="1"/>
  <c r="Q2651" i="1"/>
  <c r="P2390" i="1"/>
  <c r="D747" i="1"/>
  <c r="P482" i="1"/>
  <c r="N43" i="1"/>
  <c r="O634" i="1"/>
  <c r="N1012" i="1"/>
  <c r="M1175" i="1"/>
  <c r="D2921" i="1"/>
  <c r="I2217" i="1"/>
  <c r="AT358" i="1"/>
  <c r="M2379" i="1"/>
  <c r="I2262" i="1"/>
  <c r="N2710" i="1"/>
  <c r="P33" i="1"/>
  <c r="D1086" i="1"/>
  <c r="AT1038" i="1"/>
  <c r="AT903" i="1"/>
  <c r="I815" i="1"/>
  <c r="D2769" i="1"/>
  <c r="M2577" i="1"/>
  <c r="P204" i="1"/>
  <c r="U650" i="1"/>
  <c r="H3148" i="1"/>
  <c r="AT2449" i="1"/>
  <c r="I3633" i="1"/>
  <c r="U799" i="1"/>
  <c r="AT3455" i="1"/>
  <c r="Q2820" i="1"/>
  <c r="M1637" i="1"/>
  <c r="Q2418" i="1"/>
  <c r="I2091" i="1"/>
  <c r="AT2201" i="1"/>
  <c r="P3028" i="1"/>
  <c r="H2713" i="1"/>
  <c r="K2366" i="1"/>
  <c r="P129" i="1"/>
  <c r="N3404" i="1"/>
  <c r="D2652" i="1"/>
  <c r="N3016" i="1"/>
  <c r="D424" i="1"/>
  <c r="D2005" i="1"/>
  <c r="O701" i="1"/>
  <c r="M994" i="1"/>
  <c r="O1889" i="1"/>
  <c r="AT1862" i="1"/>
  <c r="H3293" i="1"/>
  <c r="H1124" i="1"/>
  <c r="AT60" i="1"/>
  <c r="P2105" i="1"/>
  <c r="D193" i="1"/>
  <c r="M2770" i="1"/>
  <c r="D2355" i="1"/>
  <c r="D2120" i="1"/>
  <c r="D320" i="1"/>
  <c r="O2579" i="1"/>
  <c r="AT3427" i="1"/>
  <c r="D865" i="1"/>
  <c r="J1216" i="1"/>
  <c r="J300" i="1"/>
  <c r="J1543" i="1"/>
  <c r="AT1740" i="1"/>
  <c r="AT1178" i="1"/>
  <c r="D2798" i="1"/>
  <c r="H2586" i="1"/>
  <c r="J315" i="1"/>
  <c r="M401" i="1"/>
  <c r="Q2837" i="1"/>
  <c r="K2401" i="1"/>
  <c r="N371" i="1"/>
  <c r="N3567" i="1"/>
  <c r="N639" i="1"/>
  <c r="AT3037" i="1"/>
  <c r="P1093" i="1"/>
  <c r="N2942" i="1"/>
  <c r="D503" i="1"/>
  <c r="Q3183" i="1"/>
  <c r="U3467" i="1"/>
  <c r="Q2596" i="1"/>
  <c r="M3132" i="1"/>
  <c r="O2631" i="1"/>
  <c r="O1546" i="1"/>
  <c r="D337" i="1"/>
  <c r="K2317" i="1"/>
  <c r="U2649" i="1"/>
  <c r="N1601" i="1"/>
  <c r="D111" i="1"/>
  <c r="AT724" i="1"/>
  <c r="AT1075" i="1"/>
  <c r="M1612" i="1"/>
  <c r="P557" i="1"/>
  <c r="O1468" i="1"/>
  <c r="Q2739" i="1"/>
  <c r="N2024" i="1"/>
  <c r="D2571" i="1"/>
  <c r="P2875" i="1"/>
  <c r="I430" i="1"/>
  <c r="N700" i="1"/>
  <c r="N1334" i="1"/>
  <c r="D773" i="1"/>
  <c r="D187" i="1"/>
  <c r="AT1372" i="1"/>
  <c r="D2577" i="1"/>
  <c r="U938" i="1"/>
  <c r="U3204" i="1"/>
  <c r="M2827" i="1"/>
  <c r="U640" i="1"/>
  <c r="H2652" i="1"/>
  <c r="J2604" i="1"/>
  <c r="M2783" i="1"/>
  <c r="AT1384" i="1"/>
  <c r="D3152" i="1"/>
  <c r="H2275" i="1"/>
  <c r="U121" i="1"/>
  <c r="H1301" i="1"/>
  <c r="M1364" i="1"/>
  <c r="D760" i="1"/>
  <c r="Q1899" i="1"/>
  <c r="AT3043" i="1"/>
  <c r="O220" i="1"/>
  <c r="H906" i="1"/>
  <c r="D817" i="1"/>
  <c r="K2651" i="1"/>
  <c r="O3109" i="1"/>
  <c r="H1082" i="1"/>
  <c r="D2131" i="1"/>
  <c r="M3504" i="1"/>
  <c r="H3128" i="1"/>
  <c r="H1911" i="1"/>
  <c r="AT853" i="1"/>
  <c r="D1569" i="1"/>
  <c r="U1524" i="1"/>
  <c r="I962" i="1"/>
  <c r="M946" i="1"/>
  <c r="M706" i="1"/>
  <c r="P2532" i="1"/>
  <c r="U1634" i="1"/>
  <c r="P1403" i="1"/>
  <c r="J1856" i="1"/>
  <c r="O2776" i="1"/>
  <c r="N1739" i="1"/>
  <c r="I1260" i="1"/>
  <c r="I1848" i="1"/>
  <c r="Q246" i="1"/>
  <c r="N1992" i="1"/>
  <c r="O499" i="1"/>
  <c r="M3024" i="1"/>
  <c r="N1833" i="1"/>
  <c r="N2769" i="1"/>
  <c r="O2481" i="1"/>
  <c r="K145" i="1"/>
  <c r="AT682" i="1"/>
  <c r="O2405" i="1"/>
  <c r="M87" i="1"/>
  <c r="I348" i="1"/>
  <c r="Q2539" i="1"/>
  <c r="AT3148" i="1"/>
  <c r="M156" i="1"/>
  <c r="I2487" i="1"/>
  <c r="U324" i="1"/>
  <c r="N2086" i="1"/>
  <c r="N846" i="1"/>
  <c r="D1833" i="1"/>
  <c r="D2914" i="1"/>
  <c r="J816" i="1"/>
  <c r="N2467" i="1"/>
  <c r="O2637" i="1"/>
  <c r="D951" i="1"/>
  <c r="M268" i="1"/>
  <c r="U1530" i="1"/>
  <c r="O1297" i="1"/>
  <c r="M707" i="1"/>
  <c r="D1961" i="1"/>
  <c r="AT2911" i="1"/>
  <c r="U2085" i="1"/>
  <c r="P943" i="1"/>
  <c r="Q24" i="1"/>
  <c r="N1006" i="1"/>
  <c r="M80" i="1"/>
  <c r="M1103" i="1"/>
  <c r="K2479" i="1"/>
  <c r="M3195" i="1"/>
  <c r="D3120" i="1"/>
  <c r="O2112" i="1"/>
  <c r="J2343" i="1"/>
  <c r="K3250" i="1"/>
  <c r="P845" i="1"/>
  <c r="I2462" i="1"/>
  <c r="N3209" i="1"/>
  <c r="AT2259" i="1"/>
  <c r="AT2555" i="1"/>
  <c r="D2973" i="1"/>
  <c r="M2746" i="1"/>
  <c r="AT1216" i="1"/>
  <c r="N1808" i="1"/>
  <c r="AT1472" i="1"/>
  <c r="J1821" i="1"/>
  <c r="O427" i="1"/>
  <c r="O2483" i="1"/>
  <c r="D2680" i="1"/>
  <c r="K468" i="1"/>
  <c r="P2266" i="1"/>
  <c r="O2373" i="1"/>
  <c r="N2721" i="1"/>
  <c r="N2326" i="1"/>
  <c r="P2123" i="1"/>
  <c r="Q2654" i="1"/>
  <c r="M3226" i="1"/>
  <c r="M3066" i="1"/>
  <c r="P2810" i="1"/>
  <c r="Q2174" i="1"/>
  <c r="N499" i="1"/>
  <c r="D153" i="1"/>
  <c r="D2237" i="1"/>
  <c r="AT434" i="1"/>
  <c r="P3464" i="1"/>
  <c r="D2003" i="1"/>
  <c r="AT730" i="1"/>
  <c r="O2420" i="1"/>
  <c r="N3576" i="1"/>
  <c r="N2273" i="1"/>
  <c r="M766" i="1"/>
  <c r="D2004" i="1"/>
  <c r="O3183" i="1"/>
  <c r="Q2403" i="1"/>
  <c r="Q3040" i="1"/>
  <c r="D1893" i="1"/>
  <c r="P2248" i="1"/>
  <c r="D2983" i="1"/>
  <c r="Q2957" i="1"/>
  <c r="H2784" i="1"/>
  <c r="I1862" i="1"/>
  <c r="H1997" i="1"/>
  <c r="U155" i="1"/>
  <c r="H176" i="1"/>
  <c r="D2068" i="1"/>
  <c r="I2667" i="1"/>
  <c r="J1257" i="1"/>
  <c r="M728" i="1"/>
  <c r="P602" i="1"/>
  <c r="P72" i="1"/>
  <c r="Q3026" i="1"/>
  <c r="D1406" i="1"/>
  <c r="K2302" i="1"/>
  <c r="D1497" i="1"/>
  <c r="P3560" i="1"/>
  <c r="Q3434" i="1"/>
  <c r="I1439" i="1"/>
  <c r="D2265" i="1"/>
  <c r="H623" i="1"/>
  <c r="O2768" i="1"/>
  <c r="Q2803" i="1"/>
  <c r="O3188" i="1"/>
  <c r="D1432" i="1"/>
  <c r="J922" i="1"/>
  <c r="Q2878" i="1"/>
  <c r="AT2295" i="1"/>
  <c r="D977" i="1"/>
  <c r="P3034" i="1"/>
  <c r="AT718" i="1"/>
  <c r="M2262" i="1"/>
  <c r="I1894" i="1"/>
  <c r="D47" i="1"/>
  <c r="U1816" i="1"/>
  <c r="N3350" i="1"/>
  <c r="J2364" i="1"/>
  <c r="O2702" i="1"/>
  <c r="K388" i="1"/>
  <c r="D2675" i="1"/>
  <c r="Q2516" i="1"/>
  <c r="O588" i="1"/>
  <c r="K1398" i="1"/>
  <c r="U1777" i="1"/>
  <c r="K1187" i="1"/>
  <c r="AT3206" i="1"/>
  <c r="K939" i="1"/>
  <c r="K3046" i="1"/>
  <c r="O3416" i="1"/>
  <c r="H1522" i="1"/>
  <c r="N3042" i="1"/>
  <c r="O2011" i="1"/>
  <c r="U1204" i="1"/>
  <c r="Q2185" i="1"/>
  <c r="AT3217" i="1"/>
  <c r="M3258" i="1"/>
  <c r="U3548" i="1"/>
  <c r="N2626" i="1"/>
  <c r="AT2084" i="1"/>
  <c r="U750" i="1"/>
  <c r="D523" i="1"/>
  <c r="D2888" i="1"/>
  <c r="P368" i="1"/>
  <c r="Q3385" i="1"/>
  <c r="I3472" i="1"/>
  <c r="I3638" i="1"/>
  <c r="Q2213" i="1"/>
  <c r="H1888" i="1"/>
  <c r="D75" i="1"/>
  <c r="O1218" i="1"/>
  <c r="Q424" i="1"/>
  <c r="H1675" i="1"/>
  <c r="M1586" i="1"/>
  <c r="H260" i="1"/>
  <c r="H338" i="1"/>
  <c r="H3610" i="1"/>
  <c r="I2168" i="1"/>
  <c r="AT1486" i="1"/>
  <c r="AT449" i="1"/>
  <c r="M201" i="1"/>
  <c r="I3250" i="1"/>
  <c r="I2039" i="1"/>
  <c r="D2895" i="1"/>
  <c r="M174" i="1"/>
  <c r="P3572" i="1"/>
  <c r="K1973" i="1"/>
  <c r="M550" i="1"/>
  <c r="Q2238" i="1"/>
  <c r="I3526" i="1"/>
  <c r="M1189" i="1"/>
  <c r="M426" i="1"/>
  <c r="D3135" i="1"/>
  <c r="N1331" i="1"/>
  <c r="M3605" i="1"/>
  <c r="AT2252" i="1"/>
  <c r="P553" i="1"/>
  <c r="M382" i="1"/>
  <c r="K3625" i="1"/>
  <c r="M2839" i="1"/>
  <c r="AT2887" i="1"/>
  <c r="H1532" i="1"/>
  <c r="I1136" i="1"/>
  <c r="D3005" i="1"/>
  <c r="AT1412" i="1"/>
  <c r="O2282" i="1"/>
  <c r="I3187" i="1"/>
  <c r="H2923" i="1"/>
  <c r="H3098" i="1"/>
  <c r="AT2652" i="1"/>
  <c r="H2723" i="1"/>
  <c r="U3596" i="1"/>
  <c r="D3531" i="1"/>
  <c r="N76" i="1"/>
  <c r="AT1149" i="1"/>
  <c r="N3502" i="1"/>
  <c r="AT2565" i="1"/>
  <c r="U1938" i="1"/>
  <c r="O3127" i="1"/>
  <c r="Q1839" i="1"/>
  <c r="H870" i="1"/>
  <c r="M1502" i="1"/>
  <c r="J1065" i="1"/>
  <c r="I740" i="1"/>
  <c r="M1682" i="1"/>
  <c r="H72" i="1"/>
  <c r="M3185" i="1"/>
  <c r="J3220" i="1"/>
  <c r="Q2025" i="1"/>
  <c r="AT3453" i="1"/>
  <c r="U3286" i="1"/>
  <c r="Q3133" i="1"/>
  <c r="D3466" i="1"/>
  <c r="K2872" i="1"/>
  <c r="AT1645" i="1"/>
  <c r="O2281" i="1"/>
  <c r="U2125" i="1"/>
  <c r="U2574" i="1"/>
  <c r="U2805" i="1"/>
  <c r="M1751" i="1"/>
  <c r="I213" i="1"/>
  <c r="P291" i="1"/>
  <c r="AT3458" i="1"/>
  <c r="O3581" i="1"/>
  <c r="P3540" i="1"/>
  <c r="N1413" i="1"/>
  <c r="Q931" i="1"/>
  <c r="I3323" i="1"/>
  <c r="I14" i="1"/>
  <c r="H1231" i="1"/>
  <c r="N412" i="1"/>
  <c r="I828" i="1"/>
  <c r="I204" i="1"/>
  <c r="Q591" i="1"/>
  <c r="O1000" i="1"/>
  <c r="K1381" i="1"/>
  <c r="AT3014" i="1"/>
  <c r="N464" i="1"/>
  <c r="U3319" i="1"/>
  <c r="K2864" i="1"/>
  <c r="P1361" i="1"/>
  <c r="U2888" i="1"/>
  <c r="N738" i="1"/>
  <c r="O1593" i="1"/>
  <c r="I262" i="1"/>
  <c r="K1537" i="1"/>
  <c r="M545" i="1"/>
  <c r="K2655" i="1"/>
  <c r="O1577" i="1"/>
  <c r="I3582" i="1"/>
  <c r="N1053" i="1"/>
  <c r="D1955" i="1"/>
  <c r="D1676" i="1"/>
  <c r="J311" i="1"/>
  <c r="O171" i="1"/>
  <c r="J3152" i="1"/>
  <c r="U2585" i="1"/>
  <c r="M2599" i="1"/>
  <c r="AT2215" i="1"/>
  <c r="H1188" i="1"/>
  <c r="P2251" i="1"/>
  <c r="I342" i="1"/>
  <c r="P1215" i="1"/>
  <c r="O3249" i="1"/>
  <c r="U555" i="1"/>
  <c r="M3422" i="1"/>
  <c r="O59" i="1"/>
  <c r="N3278" i="1"/>
  <c r="N2609" i="1"/>
  <c r="J2373" i="1"/>
  <c r="I2583" i="1"/>
  <c r="U870" i="1"/>
  <c r="M3100" i="1"/>
  <c r="P1976" i="1"/>
  <c r="O3472" i="1"/>
  <c r="Q1324" i="1"/>
  <c r="N3031" i="1"/>
  <c r="P1306" i="1"/>
  <c r="U3054" i="1"/>
  <c r="D684" i="1"/>
  <c r="D3425" i="1"/>
  <c r="M2572" i="1"/>
  <c r="N3551" i="1"/>
  <c r="J371" i="1"/>
  <c r="P2808" i="1"/>
  <c r="I1419" i="1"/>
  <c r="U3013" i="1"/>
  <c r="N377" i="1"/>
  <c r="H441" i="1"/>
  <c r="J479" i="1"/>
  <c r="M94" i="1"/>
  <c r="J1646" i="1"/>
  <c r="AT3203" i="1"/>
  <c r="H3298" i="1"/>
  <c r="D695" i="1"/>
  <c r="I2625" i="1"/>
  <c r="H992" i="1"/>
  <c r="P104" i="1"/>
  <c r="D2223" i="1"/>
  <c r="J2754" i="1"/>
  <c r="U1000" i="1"/>
  <c r="AT2033" i="1"/>
  <c r="U26" i="1"/>
  <c r="I2002" i="1"/>
  <c r="D2498" i="1"/>
  <c r="P2771" i="1"/>
  <c r="M1906" i="1"/>
  <c r="K2158" i="1"/>
  <c r="O1901" i="1"/>
  <c r="I803" i="1"/>
  <c r="M3386" i="1"/>
  <c r="N2189" i="1"/>
  <c r="AT367" i="1"/>
  <c r="I1646" i="1"/>
  <c r="U3161" i="1"/>
  <c r="D915" i="1"/>
  <c r="N2305" i="1"/>
  <c r="AT1381" i="1"/>
  <c r="H1701" i="1"/>
  <c r="P1062" i="1"/>
  <c r="P1478" i="1"/>
  <c r="AT3085" i="1"/>
  <c r="O156" i="1"/>
  <c r="U1681" i="1"/>
  <c r="H1025" i="1"/>
  <c r="Q696" i="1"/>
  <c r="M2441" i="1"/>
  <c r="D1512" i="1"/>
  <c r="D2564" i="1"/>
  <c r="Q404" i="1"/>
  <c r="J1600" i="1"/>
  <c r="J419" i="1"/>
  <c r="Q3181" i="1"/>
  <c r="M420" i="1"/>
  <c r="K1561" i="1"/>
  <c r="U1740" i="1"/>
  <c r="P2257" i="1"/>
  <c r="D2829" i="1"/>
  <c r="U3580" i="1"/>
  <c r="I3196" i="1"/>
  <c r="D212" i="1"/>
  <c r="O729" i="1"/>
  <c r="M2232" i="1"/>
  <c r="P2759" i="1"/>
  <c r="P423" i="1"/>
  <c r="M3243" i="1"/>
  <c r="K616" i="1"/>
  <c r="U1461" i="1"/>
  <c r="Q1941" i="1"/>
  <c r="H2247" i="1"/>
  <c r="D2885" i="1"/>
  <c r="I3585" i="1"/>
  <c r="M1790" i="1"/>
  <c r="U2682" i="1"/>
  <c r="I362" i="1"/>
  <c r="Q1597" i="1"/>
  <c r="P49" i="1"/>
  <c r="Q1356" i="1"/>
  <c r="D670" i="1"/>
  <c r="M2517" i="1"/>
  <c r="P1355" i="1"/>
  <c r="N2911" i="1"/>
  <c r="P1423" i="1"/>
  <c r="I180" i="1"/>
  <c r="N3171" i="1"/>
  <c r="AT648" i="1"/>
  <c r="D79" i="1"/>
  <c r="J454" i="1"/>
  <c r="Q379" i="1"/>
  <c r="M1766" i="1"/>
  <c r="H116" i="1"/>
  <c r="O1187" i="1"/>
  <c r="O1613" i="1"/>
  <c r="Q1019" i="1"/>
  <c r="D1331" i="1"/>
  <c r="I3083" i="1"/>
  <c r="N3009" i="1"/>
  <c r="J2344" i="1"/>
  <c r="AT593" i="1"/>
  <c r="M2533" i="1"/>
  <c r="I2183" i="1"/>
  <c r="O2551" i="1"/>
  <c r="H2506" i="1"/>
  <c r="Q3639" i="1"/>
  <c r="O2568" i="1"/>
  <c r="I2055" i="1"/>
  <c r="U2703" i="1"/>
  <c r="M1367" i="1"/>
  <c r="N1268" i="1"/>
  <c r="U297" i="1"/>
  <c r="M3582" i="1"/>
  <c r="AT2594" i="1"/>
  <c r="I1227" i="1"/>
  <c r="Q415" i="1"/>
  <c r="P429" i="1"/>
  <c r="I1940" i="1"/>
  <c r="N1825" i="1"/>
  <c r="U337" i="1"/>
  <c r="K317" i="1"/>
  <c r="J1015" i="1"/>
  <c r="D2556" i="1"/>
  <c r="N3395" i="1"/>
  <c r="J3211" i="1"/>
  <c r="K2696" i="1"/>
  <c r="Q92" i="1"/>
  <c r="O1810" i="1"/>
  <c r="U2323" i="1"/>
  <c r="AT1884" i="1"/>
  <c r="N3346" i="1"/>
  <c r="O840" i="1"/>
  <c r="M2938" i="1"/>
  <c r="Q948" i="1"/>
  <c r="D1826" i="1"/>
  <c r="Q2383" i="1"/>
  <c r="K420" i="1"/>
  <c r="O350" i="1"/>
  <c r="N3370" i="1"/>
  <c r="U2441" i="1"/>
  <c r="D1975" i="1"/>
  <c r="P3569" i="1"/>
  <c r="AT372" i="1"/>
  <c r="Q2128" i="1"/>
  <c r="M2026" i="1"/>
  <c r="P3493" i="1"/>
  <c r="AT3256" i="1"/>
  <c r="M632" i="1"/>
  <c r="AT577" i="1"/>
  <c r="D3268" i="1"/>
  <c r="Q3487" i="1"/>
  <c r="O1003" i="1"/>
  <c r="N2985" i="1"/>
  <c r="Q719" i="1"/>
  <c r="Q1145" i="1"/>
  <c r="AT246" i="1"/>
  <c r="O646" i="1"/>
  <c r="D2555" i="1"/>
  <c r="D691" i="1"/>
  <c r="Q1432" i="1"/>
  <c r="I313" i="1"/>
  <c r="N2646" i="1"/>
  <c r="AT2473" i="1"/>
  <c r="M3617" i="1"/>
  <c r="AT500" i="1"/>
  <c r="AT580" i="1"/>
  <c r="O906" i="1"/>
  <c r="P734" i="1"/>
  <c r="P798" i="1"/>
  <c r="H3570" i="1"/>
  <c r="U3633" i="1"/>
  <c r="AT929" i="1"/>
  <c r="O3146" i="1"/>
  <c r="M2166" i="1"/>
  <c r="D658" i="1"/>
  <c r="AT3418" i="1"/>
  <c r="J2437" i="1"/>
  <c r="D1583" i="1"/>
  <c r="N3399" i="1"/>
  <c r="H2070" i="1"/>
  <c r="J2842" i="1"/>
  <c r="AT3220" i="1"/>
  <c r="M1254" i="1"/>
  <c r="D221" i="1"/>
  <c r="U163" i="1"/>
  <c r="AT2564" i="1"/>
  <c r="P3134" i="1"/>
  <c r="H1334" i="1"/>
  <c r="Q3584" i="1"/>
  <c r="Q44" i="1"/>
  <c r="K3246" i="1"/>
  <c r="M1977" i="1"/>
  <c r="U1742" i="1"/>
  <c r="AT196" i="1"/>
  <c r="M966" i="1"/>
  <c r="D2689" i="1"/>
  <c r="Q1918" i="1"/>
  <c r="D2430" i="1"/>
  <c r="H2454" i="1"/>
  <c r="H734" i="1"/>
  <c r="AT2203" i="1"/>
  <c r="U1363" i="1"/>
  <c r="D1866" i="1"/>
  <c r="I958" i="1"/>
  <c r="AT3086" i="1"/>
  <c r="Q75" i="1"/>
  <c r="P325" i="1"/>
  <c r="D1097" i="1"/>
  <c r="N1561" i="1"/>
  <c r="H458" i="1"/>
  <c r="I3602" i="1"/>
  <c r="O436" i="1"/>
  <c r="I1988" i="1"/>
  <c r="U2334" i="1"/>
  <c r="AT3011" i="1"/>
  <c r="AT3419" i="1"/>
  <c r="Q3156" i="1"/>
  <c r="M367" i="1"/>
  <c r="AT2296" i="1"/>
  <c r="M1614" i="1"/>
  <c r="AT2549" i="1"/>
  <c r="AT3020" i="1"/>
  <c r="AT628" i="1"/>
  <c r="M3081" i="1"/>
  <c r="U2194" i="1"/>
  <c r="N1842" i="1"/>
  <c r="P1818" i="1"/>
  <c r="I752" i="1"/>
  <c r="K3013" i="1"/>
  <c r="H2249" i="1"/>
  <c r="D764" i="1"/>
  <c r="D3361" i="1"/>
  <c r="H39" i="1"/>
  <c r="H2657" i="1"/>
  <c r="H2521" i="1"/>
  <c r="J3528" i="1"/>
  <c r="J3161" i="1"/>
  <c r="U2880" i="1"/>
  <c r="AT444" i="1"/>
  <c r="I1953" i="1"/>
  <c r="AT980" i="1"/>
  <c r="N3580" i="1"/>
  <c r="M1789" i="1"/>
  <c r="O564" i="1"/>
  <c r="M1467" i="1"/>
  <c r="N892" i="1"/>
  <c r="D703" i="1"/>
  <c r="N1211" i="1"/>
  <c r="AT3237" i="1"/>
  <c r="I2741" i="1"/>
  <c r="K1801" i="1"/>
  <c r="K2965" i="1"/>
  <c r="O3122" i="1"/>
  <c r="P2554" i="1"/>
  <c r="P68" i="1"/>
  <c r="O1717" i="1"/>
  <c r="O3393" i="1"/>
  <c r="Q79" i="1"/>
  <c r="AT1730" i="1"/>
  <c r="N3495" i="1"/>
  <c r="M1641" i="1"/>
  <c r="N1039" i="1"/>
  <c r="U2099" i="1"/>
  <c r="M2382" i="1"/>
  <c r="N1215" i="1"/>
  <c r="AT1724" i="1"/>
  <c r="J3560" i="1"/>
  <c r="J3569" i="1"/>
  <c r="O644" i="1"/>
  <c r="N1546" i="1"/>
  <c r="J581" i="1"/>
  <c r="U1290" i="1"/>
  <c r="D2308" i="1"/>
  <c r="N2940" i="1"/>
  <c r="D2886" i="1"/>
  <c r="M266" i="1"/>
  <c r="N3522" i="1"/>
  <c r="D1663" i="1"/>
  <c r="D1665" i="1"/>
  <c r="O2339" i="1"/>
  <c r="M1857" i="1"/>
  <c r="M1530" i="1"/>
  <c r="I1471" i="1"/>
  <c r="P690" i="1"/>
  <c r="J159" i="1"/>
  <c r="D1323" i="1"/>
  <c r="N2688" i="1"/>
  <c r="J625" i="1"/>
  <c r="P136" i="1"/>
  <c r="U1748" i="1"/>
  <c r="H2494" i="1"/>
  <c r="AT2836" i="1"/>
  <c r="O2237" i="1"/>
  <c r="M2371" i="1"/>
  <c r="P2335" i="1"/>
  <c r="O1239" i="1"/>
  <c r="P924" i="1"/>
  <c r="M2365" i="1"/>
  <c r="H2347" i="1"/>
  <c r="AT3597" i="1"/>
  <c r="D106" i="1"/>
  <c r="M135" i="1"/>
  <c r="N487" i="1"/>
  <c r="U29" i="1"/>
  <c r="N2748" i="1"/>
  <c r="P1981" i="1"/>
  <c r="M1098" i="1"/>
  <c r="N1123" i="1"/>
  <c r="J3179" i="1"/>
  <c r="J3417" i="1"/>
  <c r="N3424" i="1"/>
  <c r="AT1664" i="1"/>
  <c r="I2279" i="1"/>
  <c r="H1366" i="1"/>
  <c r="P1914" i="1"/>
  <c r="O3296" i="1"/>
  <c r="O766" i="1"/>
  <c r="O1927" i="1"/>
  <c r="Q1658" i="1"/>
  <c r="I2684" i="1"/>
  <c r="Q818" i="1"/>
  <c r="O3261" i="1"/>
  <c r="J1383" i="1"/>
  <c r="M73" i="1"/>
  <c r="U95" i="1"/>
  <c r="O2099" i="1"/>
  <c r="N14" i="1"/>
  <c r="D1994" i="1"/>
  <c r="P2685" i="1"/>
  <c r="U21" i="1"/>
  <c r="N1440" i="1"/>
  <c r="D3186" i="1"/>
  <c r="J1403" i="1"/>
  <c r="D1906" i="1"/>
  <c r="P1878" i="1"/>
  <c r="P573" i="1"/>
  <c r="H1367" i="1"/>
  <c r="AT3140" i="1"/>
  <c r="D3196" i="1"/>
  <c r="P3108" i="1"/>
  <c r="H1210" i="1"/>
  <c r="M1930" i="1"/>
  <c r="D3325" i="1"/>
  <c r="H764" i="1"/>
  <c r="AT1048" i="1"/>
  <c r="O1382" i="1"/>
  <c r="M1543" i="1"/>
  <c r="M2590" i="1"/>
  <c r="O1841" i="1"/>
  <c r="N441" i="1"/>
  <c r="N3526" i="1"/>
  <c r="M787" i="1"/>
  <c r="D3605" i="1"/>
  <c r="N1250" i="1"/>
  <c r="U2724" i="1"/>
  <c r="H1892" i="1"/>
  <c r="M2949" i="1"/>
  <c r="Q298" i="1"/>
  <c r="P825" i="1"/>
  <c r="I2498" i="1"/>
  <c r="J693" i="1"/>
  <c r="J1967" i="1"/>
  <c r="O3442" i="1"/>
  <c r="Q1078" i="1"/>
  <c r="U35" i="1"/>
  <c r="O2629" i="1"/>
  <c r="U3026" i="1"/>
  <c r="P1797" i="1"/>
  <c r="P1877" i="1"/>
  <c r="O432" i="1"/>
  <c r="O666" i="1"/>
  <c r="Q1866" i="1"/>
  <c r="P3640" i="1"/>
  <c r="P3252" i="1"/>
  <c r="Q1416" i="1"/>
  <c r="P2877" i="1"/>
  <c r="Q2221" i="1"/>
  <c r="Q1777" i="1"/>
  <c r="M1239" i="1"/>
  <c r="N3329" i="1"/>
  <c r="K2572" i="1"/>
  <c r="M785" i="1"/>
  <c r="AT3554" i="1"/>
  <c r="M2698" i="1"/>
  <c r="D642" i="1"/>
  <c r="D584" i="1"/>
  <c r="N451" i="1"/>
  <c r="O1332" i="1"/>
  <c r="D1047" i="1"/>
  <c r="O1905" i="1"/>
  <c r="P3609" i="1"/>
  <c r="U33" i="1"/>
  <c r="P312" i="1"/>
  <c r="N878" i="1"/>
  <c r="AT1021" i="1"/>
  <c r="D1950" i="1"/>
  <c r="K1037" i="1"/>
  <c r="M649" i="1"/>
  <c r="AT878" i="1"/>
  <c r="N1597" i="1"/>
  <c r="M2616" i="1"/>
  <c r="N2951" i="1"/>
  <c r="K1280" i="1"/>
  <c r="J2290" i="1"/>
  <c r="M1952" i="1"/>
  <c r="Q2042" i="1"/>
  <c r="P1565" i="1"/>
  <c r="Q1181" i="1"/>
  <c r="I1388" i="1"/>
  <c r="N2047" i="1"/>
  <c r="N3500" i="1"/>
  <c r="AT1108" i="1"/>
  <c r="H2510" i="1"/>
  <c r="AT2458" i="1"/>
  <c r="N3634" i="1"/>
  <c r="K2792" i="1"/>
  <c r="U2098" i="1"/>
  <c r="P1857" i="1"/>
  <c r="AT3614" i="1"/>
  <c r="Q1591" i="1"/>
  <c r="U2986" i="1"/>
  <c r="Q691" i="1"/>
  <c r="AT2117" i="1"/>
  <c r="N620" i="1"/>
  <c r="U579" i="1"/>
  <c r="S2271" i="1"/>
  <c r="D1072" i="1"/>
  <c r="Q255" i="1"/>
  <c r="N2049" i="1"/>
  <c r="N1483" i="1"/>
  <c r="U468" i="1"/>
  <c r="D3509" i="1"/>
  <c r="O421" i="1"/>
  <c r="H2419" i="1"/>
  <c r="Q576" i="1"/>
  <c r="J1685" i="1"/>
  <c r="J1352" i="1"/>
  <c r="N936" i="1"/>
  <c r="I1614" i="1"/>
  <c r="D3423" i="1"/>
  <c r="D3469" i="1"/>
  <c r="Q2966" i="1"/>
  <c r="AT2840" i="1"/>
  <c r="O448" i="1"/>
  <c r="H3249" i="1"/>
  <c r="K3051" i="1"/>
  <c r="U375" i="1"/>
  <c r="P2617" i="1"/>
  <c r="M2169" i="1"/>
  <c r="O3168" i="1"/>
  <c r="H2163" i="1"/>
  <c r="I2191" i="1"/>
  <c r="O2269" i="1"/>
  <c r="N3118" i="1"/>
  <c r="M876" i="1"/>
  <c r="Q774" i="1"/>
  <c r="D361" i="1"/>
  <c r="U3477" i="1"/>
  <c r="D1489" i="1"/>
  <c r="I1473" i="1"/>
  <c r="K751" i="1"/>
  <c r="I1986" i="1"/>
  <c r="Q2784" i="1"/>
  <c r="N2360" i="1"/>
  <c r="M3619" i="1"/>
  <c r="AT2360" i="1"/>
  <c r="K876" i="1"/>
  <c r="O186" i="1"/>
  <c r="N3222" i="1"/>
  <c r="O2161" i="1"/>
  <c r="M1880" i="1"/>
  <c r="N1394" i="1"/>
  <c r="I991" i="1"/>
  <c r="Q2339" i="1"/>
  <c r="AT670" i="1"/>
  <c r="I1975" i="1"/>
  <c r="M505" i="1"/>
  <c r="D1247" i="1"/>
  <c r="D1425" i="1"/>
  <c r="D3017" i="1"/>
  <c r="H22" i="1"/>
  <c r="N2434" i="1"/>
  <c r="AT2166" i="1"/>
  <c r="U351" i="1"/>
  <c r="U2056" i="1"/>
  <c r="P1812" i="1"/>
  <c r="I1082" i="1"/>
  <c r="U2210" i="1"/>
  <c r="D2315" i="1"/>
  <c r="Q2670" i="1"/>
  <c r="U1868" i="1"/>
  <c r="I567" i="1"/>
  <c r="N3475" i="1"/>
  <c r="N2276" i="1"/>
  <c r="Q1579" i="1"/>
  <c r="M2785" i="1"/>
  <c r="P3438" i="1"/>
  <c r="D932" i="1"/>
  <c r="Q2499" i="1"/>
  <c r="O1023" i="1"/>
  <c r="Q3307" i="1"/>
  <c r="D1776" i="1"/>
  <c r="Q388" i="1"/>
  <c r="Q740" i="1"/>
  <c r="U3300" i="1"/>
  <c r="O381" i="1"/>
  <c r="M3439" i="1"/>
  <c r="K2632" i="1"/>
  <c r="M3283" i="1"/>
  <c r="K1139" i="1"/>
  <c r="N260" i="1"/>
  <c r="N1379" i="1"/>
  <c r="Q3193" i="1"/>
  <c r="O1090" i="1"/>
  <c r="N2017" i="1"/>
  <c r="D2515" i="1"/>
  <c r="I1103" i="1"/>
  <c r="M3140" i="1"/>
  <c r="M467" i="1"/>
  <c r="H571" i="1"/>
  <c r="H2743" i="1"/>
  <c r="N185" i="1"/>
  <c r="D416" i="1"/>
  <c r="I748" i="1"/>
  <c r="U1173" i="1"/>
  <c r="P1019" i="1"/>
  <c r="U2149" i="1"/>
  <c r="N3581" i="1"/>
  <c r="Q2123" i="1"/>
  <c r="N2254" i="1"/>
  <c r="O1582" i="1"/>
  <c r="AT2091" i="1"/>
  <c r="D1713" i="1"/>
  <c r="N1864" i="1"/>
  <c r="AT307" i="1"/>
  <c r="J1017" i="1"/>
  <c r="K2348" i="1"/>
  <c r="AT66" i="1"/>
  <c r="AT2999" i="1"/>
  <c r="O3282" i="1"/>
  <c r="H2160" i="1"/>
  <c r="Q3185" i="1"/>
  <c r="AT536" i="1"/>
  <c r="I1715" i="1"/>
  <c r="U1121" i="1"/>
  <c r="Q42" i="1"/>
  <c r="U1909" i="1"/>
  <c r="I1187" i="1"/>
  <c r="M1597" i="1"/>
  <c r="M169" i="1"/>
  <c r="K842" i="1"/>
  <c r="M2316" i="1"/>
  <c r="AT3583" i="1"/>
  <c r="P3076" i="1"/>
  <c r="O442" i="1"/>
  <c r="U2833" i="1"/>
  <c r="U730" i="1"/>
  <c r="P2590" i="1"/>
  <c r="N1679" i="1"/>
  <c r="D726" i="1"/>
  <c r="Q1587" i="1"/>
  <c r="I2291" i="1"/>
  <c r="D1584" i="1"/>
  <c r="AT9" i="1"/>
  <c r="U819" i="1"/>
  <c r="N64" i="1"/>
  <c r="M2867" i="1"/>
  <c r="AT3117" i="1"/>
  <c r="P2997" i="1"/>
  <c r="D1667" i="1"/>
  <c r="K641" i="1"/>
  <c r="O1373" i="1"/>
  <c r="H745" i="1"/>
  <c r="D121" i="1"/>
  <c r="O660" i="1"/>
  <c r="AT1840" i="1"/>
  <c r="M1888" i="1"/>
  <c r="K972" i="1"/>
  <c r="U1384" i="1"/>
  <c r="Q1689" i="1"/>
  <c r="M2617" i="1"/>
  <c r="N447" i="1"/>
  <c r="I2285" i="1"/>
  <c r="N3542" i="1"/>
  <c r="H3261" i="1"/>
  <c r="O3418" i="1"/>
  <c r="O2647" i="1"/>
  <c r="Q400" i="1"/>
  <c r="J3325" i="1"/>
  <c r="N3316" i="1"/>
  <c r="Q678" i="1"/>
  <c r="AT610" i="1"/>
  <c r="P360" i="1"/>
  <c r="Q2800" i="1"/>
  <c r="J2205" i="1"/>
  <c r="O1893" i="1"/>
  <c r="U1482" i="1"/>
  <c r="P2235" i="1"/>
  <c r="N2861" i="1"/>
  <c r="AT1270" i="1"/>
  <c r="M3333" i="1"/>
  <c r="AT2092" i="1"/>
  <c r="Q541" i="1"/>
  <c r="D1815" i="1"/>
  <c r="Q3474" i="1"/>
  <c r="D1174" i="1"/>
  <c r="D2053" i="1"/>
  <c r="H1445" i="1"/>
  <c r="M1489" i="1"/>
  <c r="O697" i="1"/>
  <c r="Q53" i="1"/>
  <c r="O3336" i="1"/>
  <c r="U1105" i="1"/>
  <c r="N204" i="1"/>
  <c r="N2122" i="1"/>
  <c r="I3565" i="1"/>
  <c r="N788" i="1"/>
  <c r="U2466" i="1"/>
  <c r="M257" i="1"/>
  <c r="U2759" i="1"/>
  <c r="P3474" i="1"/>
  <c r="M2283" i="1"/>
  <c r="U1797" i="1"/>
  <c r="D1261" i="1"/>
  <c r="O3247" i="1"/>
  <c r="Q1259" i="1"/>
  <c r="U3556" i="1"/>
  <c r="O1619" i="1"/>
  <c r="M841" i="1"/>
  <c r="D1325" i="1"/>
  <c r="O3473" i="1"/>
  <c r="H2206" i="1"/>
  <c r="AT2976" i="1"/>
  <c r="O3497" i="1"/>
  <c r="M1176" i="1"/>
  <c r="Q2782" i="1"/>
  <c r="N2201" i="1"/>
  <c r="Q839" i="1"/>
  <c r="O2868" i="1"/>
  <c r="M3500" i="1"/>
  <c r="AT2377" i="1"/>
  <c r="D2875" i="1"/>
  <c r="M3124" i="1"/>
  <c r="AT3236" i="1"/>
  <c r="K731" i="1"/>
  <c r="N1355" i="1"/>
  <c r="U1574" i="1"/>
  <c r="J888" i="1"/>
  <c r="N577" i="1"/>
  <c r="M3520" i="1"/>
  <c r="N895" i="1"/>
  <c r="J1311" i="1"/>
  <c r="M2059" i="1"/>
  <c r="I3379" i="1"/>
  <c r="O2343" i="1"/>
  <c r="H2939" i="1"/>
  <c r="Q626" i="1"/>
  <c r="Q2007" i="1"/>
  <c r="U1295" i="1"/>
  <c r="D2400" i="1"/>
  <c r="Q3303" i="1"/>
  <c r="U98" i="1"/>
  <c r="U3342" i="1"/>
  <c r="N1116" i="1"/>
  <c r="AT2656" i="1"/>
  <c r="N2379" i="1"/>
  <c r="N1488" i="1"/>
  <c r="D3027" i="1"/>
  <c r="O3391" i="1"/>
  <c r="Q3198" i="1"/>
  <c r="Q211" i="1"/>
  <c r="AT1755" i="1"/>
  <c r="P993" i="1"/>
  <c r="H666" i="1"/>
  <c r="P2962" i="1"/>
  <c r="Q2694" i="1"/>
  <c r="Q76" i="1"/>
  <c r="O364" i="1"/>
  <c r="N145" i="1"/>
  <c r="AT3186" i="1"/>
  <c r="N316" i="1"/>
  <c r="J2658" i="1"/>
  <c r="Q2391" i="1"/>
  <c r="N1165" i="1"/>
  <c r="N842" i="1"/>
  <c r="Q3460" i="1"/>
  <c r="O206" i="1"/>
  <c r="Q1704" i="1"/>
  <c r="P3154" i="1"/>
  <c r="I3269" i="1"/>
  <c r="M2160" i="1"/>
  <c r="I145" i="1"/>
  <c r="H536" i="1"/>
  <c r="U430" i="1"/>
  <c r="U320" i="1"/>
  <c r="N3091" i="1"/>
  <c r="AT2566" i="1"/>
  <c r="O2403" i="1"/>
  <c r="D2704" i="1"/>
  <c r="D893" i="1"/>
  <c r="D2281" i="1"/>
  <c r="J3619" i="1"/>
  <c r="Q3433" i="1"/>
  <c r="P340" i="1"/>
  <c r="U2062" i="1"/>
  <c r="O1435" i="1"/>
  <c r="D2828" i="1"/>
  <c r="J3629" i="1"/>
  <c r="AT2969" i="1"/>
  <c r="I2904" i="1"/>
  <c r="H125" i="1"/>
  <c r="Q2435" i="1"/>
  <c r="M3588" i="1"/>
  <c r="J1918" i="1"/>
  <c r="O1824" i="1"/>
  <c r="D3149" i="1"/>
  <c r="Q1810" i="1"/>
  <c r="K2242" i="1"/>
  <c r="H3135" i="1"/>
  <c r="H2116" i="1"/>
  <c r="AT45" i="1"/>
  <c r="I1476" i="1"/>
  <c r="O2093" i="1"/>
  <c r="D252" i="1"/>
  <c r="P1021" i="1"/>
  <c r="AT3141" i="1"/>
  <c r="H741" i="1"/>
  <c r="U1079" i="1"/>
  <c r="P2382" i="1"/>
  <c r="O1341" i="1"/>
  <c r="D170" i="1"/>
  <c r="N1549" i="1"/>
  <c r="Q363" i="1"/>
  <c r="Q2233" i="1"/>
  <c r="I1798" i="1"/>
  <c r="O3219" i="1"/>
  <c r="Q1465" i="1"/>
  <c r="O713" i="1"/>
  <c r="O2582" i="1"/>
  <c r="AT1733" i="1"/>
  <c r="U1725" i="1"/>
  <c r="AT2685" i="1"/>
  <c r="M492" i="1"/>
  <c r="I3233" i="1"/>
  <c r="I689" i="1"/>
  <c r="H1538" i="1"/>
  <c r="O1210" i="1"/>
  <c r="Q1421" i="1"/>
  <c r="P3142" i="1"/>
  <c r="AT416" i="1"/>
  <c r="I3061" i="1"/>
  <c r="Q803" i="1"/>
  <c r="D680" i="1"/>
  <c r="P1533" i="1"/>
  <c r="M2870" i="1"/>
  <c r="AT2528" i="1"/>
  <c r="D2770" i="1"/>
  <c r="D2861" i="1"/>
  <c r="P984" i="1"/>
  <c r="Q1037" i="1"/>
  <c r="U3022" i="1"/>
  <c r="D1518" i="1"/>
  <c r="AT1937" i="1"/>
  <c r="N127" i="1"/>
  <c r="AT850" i="1"/>
  <c r="Q2812" i="1"/>
  <c r="M3442" i="1"/>
  <c r="H1232" i="1"/>
  <c r="N2205" i="1"/>
  <c r="K1011" i="1"/>
  <c r="U3451" i="1"/>
  <c r="N2082" i="1"/>
  <c r="Q3351" i="1"/>
  <c r="M509" i="1"/>
  <c r="M2437" i="1"/>
  <c r="Q1033" i="1"/>
  <c r="Q1682" i="1"/>
  <c r="AT442" i="1"/>
  <c r="K2665" i="1"/>
  <c r="K1334" i="1"/>
  <c r="M133" i="1"/>
  <c r="H675" i="1"/>
  <c r="O2291" i="1"/>
  <c r="D102" i="1"/>
  <c r="H2035" i="1"/>
  <c r="Q57" i="1"/>
  <c r="P1339" i="1"/>
  <c r="Q1484" i="1"/>
  <c r="N820" i="1"/>
  <c r="N1784" i="1"/>
  <c r="Q1099" i="1"/>
  <c r="U466" i="1"/>
  <c r="M1944" i="1"/>
  <c r="O1479" i="1"/>
  <c r="M903" i="1"/>
  <c r="D2836" i="1"/>
  <c r="M795" i="1"/>
  <c r="J2366" i="1"/>
  <c r="Q1360" i="1"/>
  <c r="M1504" i="1"/>
  <c r="H1233" i="1"/>
  <c r="O2797" i="1"/>
  <c r="Q144" i="1"/>
  <c r="O904" i="1"/>
  <c r="P1576" i="1"/>
  <c r="P2287" i="1"/>
  <c r="AT3631" i="1"/>
  <c r="K1257" i="1"/>
  <c r="O667" i="1"/>
  <c r="D2205" i="1"/>
  <c r="Q890" i="1"/>
  <c r="AT146" i="1"/>
  <c r="AT2697" i="1"/>
  <c r="M701" i="1"/>
  <c r="D1413" i="1"/>
  <c r="M2629" i="1"/>
  <c r="N2184" i="1"/>
  <c r="J168" i="1"/>
  <c r="K3269" i="1"/>
  <c r="U1848" i="1"/>
  <c r="M3191" i="1"/>
  <c r="M3228" i="1"/>
  <c r="M520" i="1"/>
  <c r="D2105" i="1"/>
  <c r="O2471" i="1"/>
  <c r="AT69" i="1"/>
  <c r="Q2237" i="1"/>
  <c r="J525" i="1"/>
  <c r="J545" i="1"/>
  <c r="Q232" i="1"/>
  <c r="K1560" i="1"/>
  <c r="P1419" i="1"/>
  <c r="K2832" i="1"/>
  <c r="H3546" i="1"/>
  <c r="O2842" i="1"/>
  <c r="P2461" i="1"/>
  <c r="K528" i="1"/>
  <c r="N3231" i="1"/>
  <c r="D2862" i="1"/>
  <c r="H1858" i="1"/>
  <c r="AT831" i="1"/>
  <c r="H3201" i="1"/>
  <c r="O139" i="1"/>
  <c r="J2041" i="1"/>
  <c r="J2224" i="1"/>
  <c r="O2975" i="1"/>
  <c r="AT2832" i="1"/>
  <c r="N2029" i="1"/>
  <c r="Q729" i="1"/>
  <c r="AT457" i="1"/>
  <c r="J3332" i="1"/>
  <c r="O77" i="1"/>
  <c r="M3566" i="1"/>
  <c r="D2774" i="1"/>
  <c r="M1079" i="1"/>
  <c r="I1776" i="1"/>
  <c r="H2095" i="1"/>
  <c r="Q1315" i="1"/>
  <c r="M2668" i="1"/>
  <c r="O2757" i="1"/>
  <c r="AT2041" i="1"/>
  <c r="J400" i="1"/>
  <c r="O3059" i="1"/>
  <c r="K2459" i="1"/>
  <c r="O3040" i="1"/>
  <c r="M1643" i="1"/>
  <c r="D648" i="1"/>
  <c r="O3470" i="1"/>
  <c r="J3434" i="1"/>
  <c r="K3374" i="1"/>
  <c r="AT1970" i="1"/>
  <c r="Q1146" i="1"/>
  <c r="U1056" i="1"/>
  <c r="P2066" i="1"/>
  <c r="N1928" i="1"/>
  <c r="D2032" i="1"/>
  <c r="H1473" i="1"/>
  <c r="J591" i="1"/>
  <c r="N2076" i="1"/>
  <c r="U3420" i="1"/>
  <c r="U781" i="1"/>
  <c r="O2147" i="1"/>
  <c r="AT2718" i="1"/>
  <c r="D535" i="1"/>
  <c r="I681" i="1"/>
  <c r="P3563" i="1"/>
  <c r="P1741" i="1"/>
  <c r="Q2465" i="1"/>
  <c r="I2300" i="1"/>
  <c r="Q3009" i="1"/>
  <c r="N2132" i="1"/>
  <c r="AT2146" i="1"/>
  <c r="Q3549" i="1"/>
  <c r="P989" i="1"/>
  <c r="U3031" i="1"/>
  <c r="H1860" i="1"/>
  <c r="P2353" i="1"/>
  <c r="H1533" i="1"/>
  <c r="AT227" i="1"/>
  <c r="M1406" i="1"/>
  <c r="K368" i="1"/>
  <c r="U2754" i="1"/>
  <c r="AT1576" i="1"/>
  <c r="U2519" i="1"/>
  <c r="AT2059" i="1"/>
  <c r="I2867" i="1"/>
  <c r="O2576" i="1"/>
  <c r="H2689" i="1"/>
  <c r="AT3209" i="1"/>
  <c r="P1187" i="1"/>
  <c r="M1833" i="1"/>
  <c r="D3485" i="1"/>
  <c r="D1050" i="1"/>
  <c r="K2622" i="1"/>
  <c r="P3240" i="1"/>
  <c r="M2901" i="1"/>
  <c r="H2322" i="1"/>
  <c r="H1513" i="1"/>
  <c r="O3280" i="1"/>
  <c r="D1607" i="1"/>
  <c r="AT2403" i="1"/>
  <c r="Q145" i="1"/>
  <c r="M1544" i="1"/>
  <c r="Q2898" i="1"/>
  <c r="I3149" i="1"/>
  <c r="N2773" i="1"/>
  <c r="J3506" i="1"/>
  <c r="M517" i="1"/>
  <c r="P2175" i="1"/>
  <c r="K3147" i="1"/>
  <c r="M2237" i="1"/>
  <c r="M1077" i="1"/>
  <c r="J1843" i="1"/>
  <c r="P1623" i="1"/>
  <c r="P271" i="1"/>
  <c r="Q2675" i="1"/>
  <c r="D1338" i="1"/>
  <c r="J1059" i="1"/>
  <c r="D3389" i="1"/>
  <c r="J2965" i="1"/>
  <c r="I499" i="1"/>
  <c r="N2362" i="1"/>
  <c r="P1881" i="1"/>
  <c r="I477" i="1"/>
  <c r="Q1270" i="1"/>
  <c r="D2955" i="1"/>
  <c r="H1134" i="1"/>
  <c r="I3590" i="1"/>
  <c r="P2222" i="1"/>
  <c r="U948" i="1"/>
  <c r="U1807" i="1"/>
  <c r="D1703" i="1"/>
  <c r="AT3336" i="1"/>
  <c r="D1219" i="1"/>
  <c r="H2133" i="1"/>
  <c r="J2451" i="1"/>
  <c r="D835" i="1"/>
  <c r="J2288" i="1"/>
  <c r="N946" i="1"/>
  <c r="U97" i="1"/>
  <c r="U1622" i="1"/>
  <c r="K1287" i="1"/>
  <c r="Q1280" i="1"/>
  <c r="D966" i="1"/>
  <c r="AT2288" i="1"/>
  <c r="H490" i="1"/>
  <c r="AT1325" i="1"/>
  <c r="AT3282" i="1"/>
  <c r="I466" i="1"/>
  <c r="N2380" i="1"/>
  <c r="U908" i="1"/>
  <c r="H3046" i="1"/>
  <c r="U3218" i="1"/>
  <c r="J840" i="1"/>
  <c r="AT1590" i="1"/>
  <c r="O2358" i="1"/>
  <c r="H3190" i="1"/>
  <c r="AT2893" i="1"/>
  <c r="M2882" i="1"/>
  <c r="H2576" i="1"/>
  <c r="U2765" i="1"/>
  <c r="O1394" i="1"/>
  <c r="O2288" i="1"/>
  <c r="U1001" i="1"/>
  <c r="U1436" i="1"/>
  <c r="Q151" i="1"/>
  <c r="D375" i="1"/>
  <c r="AT510" i="1"/>
  <c r="H2805" i="1"/>
  <c r="U2624" i="1"/>
  <c r="U2934" i="1"/>
  <c r="U1381" i="1"/>
  <c r="Q2476" i="1"/>
  <c r="AT3516" i="1"/>
  <c r="I3632" i="1"/>
  <c r="AT1999" i="1"/>
  <c r="H2480" i="1"/>
  <c r="N785" i="1"/>
  <c r="K2719" i="1"/>
  <c r="Q808" i="1"/>
  <c r="P2854" i="1"/>
  <c r="O192" i="1"/>
  <c r="I2826" i="1"/>
  <c r="U3229" i="1"/>
  <c r="O750" i="1"/>
  <c r="K397" i="1"/>
  <c r="J2520" i="1"/>
  <c r="AT1876" i="1"/>
  <c r="N1160" i="1"/>
  <c r="M1981" i="1"/>
  <c r="P1453" i="1"/>
  <c r="J2459" i="1"/>
  <c r="AT2372" i="1"/>
  <c r="J2254" i="1"/>
  <c r="Q2858" i="1"/>
  <c r="J282" i="1"/>
  <c r="P1275" i="1"/>
  <c r="AT2323" i="1"/>
  <c r="N524" i="1"/>
  <c r="D3115" i="1"/>
  <c r="H784" i="1"/>
  <c r="N3631" i="1"/>
  <c r="O326" i="1"/>
  <c r="M215" i="1"/>
  <c r="I3373" i="1"/>
  <c r="D224" i="1"/>
  <c r="AT2686" i="1"/>
  <c r="AT2869" i="1"/>
  <c r="D2166" i="1"/>
  <c r="AT1359" i="1"/>
  <c r="AT2865" i="1"/>
  <c r="I3613" i="1"/>
  <c r="Q3492" i="1"/>
  <c r="O694" i="1"/>
  <c r="K1774" i="1"/>
  <c r="U73" i="1"/>
  <c r="M2234" i="1"/>
  <c r="N2687" i="1"/>
  <c r="J2287" i="1"/>
  <c r="Q3112" i="1"/>
  <c r="I1558" i="1"/>
  <c r="M62" i="1"/>
  <c r="J822" i="1"/>
  <c r="U3409" i="1"/>
  <c r="J2683" i="1"/>
  <c r="K2876" i="1"/>
  <c r="N2252" i="1"/>
  <c r="D2279" i="1"/>
  <c r="Q1263" i="1"/>
  <c r="Q3107" i="1"/>
  <c r="N3578" i="1"/>
  <c r="P3595" i="1"/>
  <c r="I268" i="1"/>
  <c r="Q283" i="1"/>
  <c r="Q3201" i="1"/>
  <c r="P1070" i="1"/>
  <c r="O1868" i="1"/>
  <c r="N1107" i="1"/>
  <c r="K269" i="1"/>
  <c r="M573" i="1"/>
  <c r="J3120" i="1"/>
  <c r="J1036" i="1"/>
  <c r="J2698" i="1"/>
  <c r="M2218" i="1"/>
  <c r="N2188" i="1"/>
  <c r="O1087" i="1"/>
  <c r="K3080" i="1"/>
  <c r="K319" i="1"/>
  <c r="U1861" i="1"/>
  <c r="O648" i="1"/>
  <c r="J1895" i="1"/>
  <c r="D2702" i="1"/>
  <c r="D2391" i="1"/>
  <c r="AT778" i="1"/>
  <c r="D2286" i="1"/>
  <c r="K1008" i="1"/>
  <c r="M2156" i="1"/>
  <c r="J2042" i="1"/>
  <c r="Q3480" i="1"/>
  <c r="M575" i="1"/>
  <c r="Q2253" i="1"/>
  <c r="N69" i="1"/>
  <c r="M3364" i="1"/>
  <c r="N325" i="1"/>
  <c r="M46" i="1"/>
  <c r="Q3063" i="1"/>
  <c r="N3110" i="1"/>
  <c r="U1445" i="1"/>
  <c r="N2324" i="1"/>
  <c r="P2975" i="1"/>
  <c r="D3545" i="1"/>
  <c r="Q1342" i="1"/>
  <c r="D419" i="1"/>
  <c r="Q849" i="1"/>
  <c r="I1781" i="1"/>
  <c r="N1449" i="1"/>
  <c r="H213" i="1"/>
  <c r="M256" i="1"/>
  <c r="H291" i="1"/>
  <c r="U2509" i="1"/>
  <c r="J2881" i="1"/>
  <c r="P702" i="1"/>
  <c r="M1905" i="1"/>
  <c r="O1240" i="1"/>
  <c r="J1655" i="1"/>
  <c r="AT2297" i="1"/>
  <c r="O871" i="1"/>
  <c r="M1532" i="1"/>
  <c r="M283" i="1"/>
  <c r="I1431" i="1"/>
  <c r="O1736" i="1"/>
  <c r="H124" i="1"/>
  <c r="N2236" i="1"/>
  <c r="N1634" i="1"/>
  <c r="O2914" i="1"/>
  <c r="D39" i="1"/>
  <c r="M1312" i="1"/>
  <c r="U2859" i="1"/>
  <c r="Q237" i="1"/>
  <c r="H3473" i="1"/>
  <c r="I415" i="1"/>
  <c r="O253" i="1"/>
  <c r="P3622" i="1"/>
  <c r="O2557" i="1"/>
  <c r="U1407" i="1"/>
  <c r="O2072" i="1"/>
  <c r="P3053" i="1"/>
  <c r="P1240" i="1"/>
  <c r="U981" i="1"/>
  <c r="AT999" i="1"/>
  <c r="O1226" i="1"/>
  <c r="M945" i="1"/>
  <c r="U1099" i="1"/>
  <c r="Q332" i="1"/>
  <c r="P3360" i="1"/>
  <c r="I1650" i="1"/>
  <c r="U438" i="1"/>
  <c r="U3511" i="1"/>
  <c r="M413" i="1"/>
  <c r="M776" i="1"/>
  <c r="AT653" i="1"/>
  <c r="M270" i="1"/>
  <c r="U3401" i="1"/>
  <c r="N2453" i="1"/>
  <c r="O2335" i="1"/>
  <c r="M1881" i="1"/>
  <c r="U1602" i="1"/>
  <c r="O2812" i="1"/>
  <c r="J3376" i="1"/>
  <c r="H3312" i="1"/>
  <c r="U2594" i="1"/>
  <c r="I1094" i="1"/>
  <c r="K2695" i="1"/>
  <c r="D628" i="1"/>
  <c r="M2476" i="1"/>
  <c r="N3552" i="1"/>
  <c r="O2979" i="1"/>
  <c r="AT1859" i="1"/>
  <c r="H2144" i="1"/>
  <c r="M2355" i="1"/>
  <c r="N2090" i="1"/>
  <c r="AT47" i="1"/>
  <c r="H736" i="1"/>
  <c r="D553" i="1"/>
  <c r="AT1020" i="1"/>
  <c r="D1070" i="1"/>
  <c r="D2168" i="1"/>
  <c r="N1417" i="1"/>
  <c r="N772" i="1"/>
  <c r="P3429" i="1"/>
  <c r="D1539" i="1"/>
  <c r="P234" i="1"/>
  <c r="H2252" i="1"/>
  <c r="AT1649" i="1"/>
  <c r="K2090" i="1"/>
  <c r="D1970" i="1"/>
  <c r="Q153" i="1"/>
  <c r="AT1137" i="1"/>
  <c r="O1401" i="1"/>
  <c r="AT2076" i="1"/>
  <c r="H194" i="1"/>
  <c r="N655" i="1"/>
  <c r="U58" i="1"/>
  <c r="P3051" i="1"/>
  <c r="AT2147" i="1"/>
  <c r="N2973" i="1"/>
  <c r="Q2912" i="1"/>
  <c r="M3612" i="1"/>
  <c r="H3246" i="1"/>
  <c r="Q1412" i="1"/>
  <c r="M570" i="1"/>
  <c r="Q533" i="1"/>
  <c r="J3354" i="1"/>
  <c r="M1237" i="1"/>
  <c r="J2807" i="1"/>
  <c r="P1248" i="1"/>
  <c r="N775" i="1"/>
  <c r="I3627" i="1"/>
  <c r="I2395" i="1"/>
  <c r="U943" i="1"/>
  <c r="M2187" i="1"/>
  <c r="N893" i="1"/>
  <c r="O330" i="1"/>
  <c r="P148" i="1"/>
  <c r="AT2621" i="1"/>
  <c r="I1638" i="1"/>
  <c r="I1332" i="1"/>
  <c r="P1017" i="1"/>
  <c r="K1854" i="1"/>
  <c r="N1224" i="1"/>
  <c r="AT1976" i="1"/>
  <c r="AT1062" i="1"/>
  <c r="J2013" i="1"/>
  <c r="I3163" i="1"/>
  <c r="P2418" i="1"/>
  <c r="N2366" i="1"/>
  <c r="D1183" i="1"/>
  <c r="O707" i="1"/>
  <c r="D2297" i="1"/>
  <c r="AT3632" i="1"/>
  <c r="I613" i="1"/>
  <c r="I2888" i="1"/>
  <c r="N1312" i="1"/>
  <c r="H3137" i="1"/>
  <c r="Q2244" i="1"/>
  <c r="I1190" i="1"/>
  <c r="M922" i="1"/>
  <c r="U1404" i="1"/>
  <c r="AT2822" i="1"/>
  <c r="Q1377" i="1"/>
  <c r="N92" i="1"/>
  <c r="Q1928" i="1"/>
  <c r="H3613" i="1"/>
  <c r="M2157" i="1"/>
  <c r="H1834" i="1"/>
  <c r="P645" i="1"/>
  <c r="AT2346" i="1"/>
  <c r="M900" i="1"/>
  <c r="Q3249" i="1"/>
  <c r="M3614" i="1"/>
  <c r="N1988" i="1"/>
  <c r="AT874" i="1"/>
  <c r="M658" i="1"/>
  <c r="H3568" i="1"/>
  <c r="D1662" i="1"/>
  <c r="N2991" i="1"/>
  <c r="H1271" i="1"/>
  <c r="M1248" i="1"/>
  <c r="K3170" i="1"/>
  <c r="Q1422" i="1"/>
  <c r="D697" i="1"/>
  <c r="D2595" i="1"/>
  <c r="AT3123" i="1"/>
  <c r="H709" i="1"/>
  <c r="P169" i="1"/>
  <c r="P918" i="1"/>
  <c r="H1638" i="1"/>
  <c r="D97" i="1"/>
  <c r="P760" i="1"/>
  <c r="AT151" i="1"/>
  <c r="J753" i="1"/>
  <c r="N3472" i="1"/>
  <c r="P246" i="1"/>
  <c r="Q1447" i="1"/>
  <c r="H190" i="1"/>
  <c r="M1795" i="1"/>
  <c r="D357" i="1"/>
  <c r="O899" i="1"/>
  <c r="M1634" i="1"/>
  <c r="N1487" i="1"/>
  <c r="U322" i="1"/>
  <c r="D2276" i="1"/>
  <c r="N3358" i="1"/>
  <c r="H1668" i="1"/>
  <c r="D3174" i="1"/>
  <c r="Q660" i="1"/>
  <c r="O3531" i="1"/>
  <c r="U241" i="1"/>
  <c r="H1884" i="1"/>
  <c r="O1174" i="1"/>
  <c r="P110" i="1"/>
  <c r="I2533" i="1"/>
  <c r="M2582" i="1"/>
  <c r="M3337" i="1"/>
  <c r="D1925" i="1"/>
  <c r="O915" i="1"/>
  <c r="H2062" i="1"/>
  <c r="P2592" i="1"/>
  <c r="O864" i="1"/>
  <c r="N287" i="1"/>
  <c r="I2044" i="1"/>
  <c r="Q1787" i="1"/>
  <c r="K852" i="1"/>
  <c r="O1649" i="1"/>
  <c r="N3069" i="1"/>
  <c r="K2407" i="1"/>
  <c r="M749" i="1"/>
  <c r="I215" i="1"/>
  <c r="P920" i="1"/>
  <c r="U2893" i="1"/>
  <c r="N2913" i="1"/>
  <c r="I193" i="1"/>
  <c r="U1311" i="1"/>
  <c r="N3141" i="1"/>
  <c r="J2511" i="1"/>
  <c r="I623" i="1"/>
  <c r="Q2278" i="1"/>
  <c r="Q780" i="1"/>
  <c r="M1216" i="1"/>
  <c r="Q2222" i="1"/>
  <c r="J2255" i="1"/>
  <c r="H2533" i="1"/>
  <c r="H3547" i="1"/>
  <c r="Q1442" i="1"/>
  <c r="Q1244" i="1"/>
  <c r="J980" i="1"/>
  <c r="O999" i="1"/>
  <c r="N2269" i="1"/>
  <c r="N3547" i="1"/>
  <c r="N868" i="1"/>
  <c r="N2932" i="1"/>
  <c r="Q3407" i="1"/>
  <c r="K356" i="1"/>
  <c r="K2411" i="1"/>
  <c r="I1276" i="1"/>
  <c r="D1045" i="1"/>
  <c r="H3370" i="1"/>
  <c r="H1685" i="1"/>
  <c r="N845" i="1"/>
  <c r="AT1183" i="1"/>
  <c r="Q1292" i="1"/>
  <c r="O1518" i="1"/>
  <c r="U2858" i="1"/>
  <c r="H3015" i="1"/>
  <c r="N1436" i="1"/>
  <c r="AT1394" i="1"/>
  <c r="AT1978" i="1"/>
  <c r="P1374" i="1"/>
  <c r="K14" i="1"/>
  <c r="J2341" i="1"/>
  <c r="J970" i="1"/>
  <c r="I2016" i="1"/>
  <c r="M3110" i="1"/>
  <c r="Q721" i="1"/>
  <c r="D1400" i="1"/>
  <c r="M814" i="1"/>
  <c r="O2932" i="1"/>
  <c r="M1963" i="1"/>
  <c r="D1415" i="1"/>
  <c r="Q632" i="1"/>
  <c r="AT239" i="1"/>
  <c r="P3239" i="1"/>
  <c r="P3332" i="1"/>
  <c r="O2069" i="1"/>
  <c r="I2380" i="1"/>
  <c r="J437" i="1"/>
  <c r="P2217" i="1"/>
  <c r="O38" i="1"/>
  <c r="J2734" i="1"/>
  <c r="M1734" i="1"/>
  <c r="I9" i="1"/>
  <c r="P1451" i="1"/>
  <c r="M1464" i="1"/>
  <c r="D2790" i="1"/>
  <c r="H2405" i="1"/>
  <c r="U122" i="1"/>
  <c r="M1867" i="1"/>
  <c r="AT1501" i="1"/>
  <c r="AT1857" i="1"/>
  <c r="O1251" i="1"/>
  <c r="N2668" i="1"/>
  <c r="I355" i="1"/>
  <c r="M2177" i="1"/>
  <c r="O1888" i="1"/>
  <c r="D2940" i="1"/>
  <c r="D1903" i="1"/>
  <c r="O2248" i="1"/>
  <c r="N2872" i="1"/>
  <c r="P1848" i="1"/>
  <c r="U3356" i="1"/>
  <c r="P2809" i="1"/>
  <c r="H2023" i="1"/>
  <c r="U2721" i="1"/>
  <c r="Q3234" i="1"/>
  <c r="P3531" i="1"/>
  <c r="Q700" i="1"/>
  <c r="D1814" i="1"/>
  <c r="M2286" i="1"/>
  <c r="Q3258" i="1"/>
  <c r="N1667" i="1"/>
  <c r="J1194" i="1"/>
  <c r="D318" i="1"/>
  <c r="H1248" i="1"/>
  <c r="P355" i="1"/>
  <c r="D1542" i="1"/>
  <c r="N1955" i="1"/>
  <c r="J2466" i="1"/>
  <c r="J570" i="1"/>
  <c r="U2335" i="1"/>
  <c r="M2010" i="1"/>
  <c r="N2042" i="1"/>
  <c r="U2313" i="1"/>
  <c r="P3553" i="1"/>
  <c r="I3583" i="1"/>
  <c r="N844" i="1"/>
  <c r="P2825" i="1"/>
  <c r="U503" i="1"/>
  <c r="J2963" i="1"/>
  <c r="N618" i="1"/>
  <c r="O1805" i="1"/>
  <c r="P2264" i="1"/>
  <c r="D2252" i="1"/>
  <c r="K2037" i="1"/>
  <c r="K2044" i="1"/>
  <c r="D1540" i="1"/>
  <c r="H2754" i="1"/>
  <c r="D1889" i="1"/>
  <c r="AT824" i="1"/>
  <c r="U3154" i="1"/>
  <c r="AT2229" i="1"/>
  <c r="K2851" i="1"/>
  <c r="I3572" i="1"/>
  <c r="K2555" i="1"/>
  <c r="K1550" i="1"/>
  <c r="K655" i="1"/>
  <c r="P2049" i="1"/>
  <c r="O1362" i="1"/>
  <c r="O1776" i="1"/>
  <c r="Q768" i="1"/>
  <c r="D1371" i="1"/>
  <c r="O2610" i="1"/>
  <c r="P2689" i="1"/>
  <c r="Q913" i="1"/>
  <c r="I964" i="1"/>
  <c r="K521" i="1"/>
  <c r="H2088" i="1"/>
  <c r="N3044" i="1"/>
  <c r="AT3125" i="1"/>
  <c r="O1966" i="1"/>
  <c r="H497" i="1"/>
  <c r="M1160" i="1"/>
  <c r="H2986" i="1"/>
  <c r="H353" i="1"/>
  <c r="N1227" i="1"/>
  <c r="K3504" i="1"/>
  <c r="O2622" i="1"/>
  <c r="U1320" i="1"/>
  <c r="M2536" i="1"/>
  <c r="H3173" i="1"/>
  <c r="AT1551" i="1"/>
  <c r="I3267" i="1"/>
  <c r="I2060" i="1"/>
  <c r="N1247" i="1"/>
  <c r="D89" i="1"/>
  <c r="H526" i="1"/>
  <c r="I2181" i="1"/>
  <c r="AT710" i="1"/>
  <c r="N3484" i="1"/>
  <c r="O322" i="1"/>
  <c r="Q2513" i="1"/>
  <c r="AT3025" i="1"/>
  <c r="M1796" i="1"/>
  <c r="O1846" i="1"/>
  <c r="J499" i="1"/>
  <c r="AT2690" i="1"/>
  <c r="Q842" i="1"/>
  <c r="J508" i="1"/>
  <c r="AT2342" i="1"/>
  <c r="O3427" i="1"/>
  <c r="U3126" i="1"/>
  <c r="D2501" i="1"/>
  <c r="P203" i="1"/>
  <c r="D1213" i="1"/>
  <c r="Q2533" i="1"/>
  <c r="D2788" i="1"/>
  <c r="N411" i="1"/>
  <c r="D900" i="1"/>
  <c r="I2061" i="1"/>
  <c r="D2361" i="1"/>
  <c r="O2665" i="1"/>
  <c r="N1442" i="1"/>
  <c r="D3537" i="1"/>
  <c r="H3381" i="1"/>
  <c r="I1990" i="1"/>
  <c r="M245" i="1"/>
  <c r="AT325" i="1"/>
  <c r="N3205" i="1"/>
  <c r="O1220" i="1"/>
  <c r="H972" i="1"/>
  <c r="M3347" i="1"/>
  <c r="P171" i="1"/>
  <c r="D3551" i="1"/>
  <c r="H1779" i="1"/>
  <c r="M1472" i="1"/>
  <c r="H2608" i="1"/>
  <c r="AT1584" i="1"/>
  <c r="O1024" i="1"/>
  <c r="I2059" i="1"/>
  <c r="P1179" i="1"/>
  <c r="Q150" i="1"/>
  <c r="H613" i="1"/>
  <c r="Q2948" i="1"/>
  <c r="Q1101" i="1"/>
  <c r="V1889" i="1"/>
  <c r="AT3544" i="1"/>
  <c r="J1882" i="1"/>
  <c r="I1397" i="1"/>
  <c r="M1137" i="1"/>
  <c r="Q535" i="1"/>
  <c r="P1860" i="1"/>
  <c r="D3288" i="1"/>
  <c r="AT1156" i="1"/>
  <c r="I2156" i="1"/>
  <c r="I1790" i="1"/>
  <c r="I1804" i="1"/>
  <c r="H2047" i="1"/>
  <c r="P2357" i="1"/>
  <c r="J3069" i="1"/>
  <c r="J1658" i="1"/>
  <c r="O1849" i="1"/>
  <c r="D1399" i="1"/>
  <c r="N2230" i="1"/>
  <c r="AT3271" i="1"/>
  <c r="O2126" i="1"/>
  <c r="D2985" i="1"/>
  <c r="D8" i="1"/>
  <c r="O2005" i="1"/>
  <c r="H1849" i="1"/>
  <c r="AT753" i="1"/>
  <c r="P3447" i="1"/>
  <c r="N3638" i="1"/>
  <c r="O3199" i="1"/>
  <c r="P794" i="1"/>
  <c r="Q1669" i="1"/>
  <c r="D3341" i="1"/>
  <c r="N2882" i="1"/>
  <c r="U79" i="1"/>
  <c r="Q2199" i="1"/>
  <c r="O2904" i="1"/>
  <c r="J2924" i="1"/>
  <c r="D2129" i="1"/>
  <c r="D226" i="1"/>
  <c r="N345" i="1"/>
  <c r="Q2054" i="1"/>
  <c r="P134" i="1"/>
  <c r="J1051" i="1"/>
  <c r="U2657" i="1"/>
  <c r="Q1858" i="1"/>
  <c r="N2012" i="1"/>
  <c r="U1309" i="1"/>
  <c r="D2839" i="1"/>
  <c r="D2183" i="1"/>
  <c r="M2941" i="1"/>
  <c r="N835" i="1"/>
  <c r="O2460" i="1"/>
  <c r="N2489" i="1"/>
  <c r="H3590" i="1"/>
  <c r="AT3052" i="1"/>
  <c r="D2904" i="1"/>
  <c r="Q497" i="1"/>
  <c r="P3264" i="1"/>
  <c r="D564" i="1"/>
  <c r="P2126" i="1"/>
  <c r="U2802" i="1"/>
  <c r="AT3617" i="1"/>
  <c r="P139" i="1"/>
  <c r="H2041" i="1"/>
  <c r="AT1166" i="1"/>
  <c r="AT3426" i="1"/>
  <c r="P881" i="1"/>
  <c r="AT932" i="1"/>
  <c r="AT2930" i="1"/>
  <c r="Q3411" i="1"/>
  <c r="O1278" i="1"/>
  <c r="O594" i="1"/>
  <c r="Q912" i="1"/>
  <c r="M1287" i="1"/>
  <c r="N1416" i="1"/>
  <c r="N2891" i="1"/>
  <c r="J798" i="1"/>
  <c r="D3463" i="1"/>
  <c r="I1888" i="1"/>
  <c r="I275" i="1"/>
  <c r="N2234" i="1"/>
  <c r="O3156" i="1"/>
  <c r="H179" i="1"/>
  <c r="N1208" i="1"/>
  <c r="D2935" i="1"/>
  <c r="Q1887" i="1"/>
  <c r="Q3513" i="1"/>
  <c r="Q565" i="1"/>
  <c r="I1261" i="1"/>
  <c r="Q2972" i="1"/>
  <c r="K2196" i="1"/>
  <c r="N348" i="1"/>
  <c r="J3598" i="1"/>
  <c r="AT2635" i="1"/>
  <c r="Q146" i="1"/>
  <c r="D2305" i="1"/>
  <c r="I416" i="1"/>
  <c r="AT1601" i="1"/>
  <c r="N1658" i="1"/>
  <c r="Q2009" i="1"/>
  <c r="O1134" i="1"/>
  <c r="O174" i="1"/>
  <c r="K1569" i="1"/>
  <c r="N2170" i="1"/>
  <c r="O1916" i="1"/>
  <c r="I1718" i="1"/>
  <c r="Q3543" i="1"/>
  <c r="H3481" i="1"/>
  <c r="N3207" i="1"/>
  <c r="AT3600" i="1"/>
  <c r="AT830" i="1"/>
  <c r="J1228" i="1"/>
  <c r="U3337" i="1"/>
  <c r="H1228" i="1"/>
  <c r="U1563" i="1"/>
  <c r="Q2443" i="1"/>
  <c r="U1216" i="1"/>
  <c r="I3057" i="1"/>
  <c r="D840" i="1"/>
  <c r="D1869" i="1"/>
  <c r="K315" i="1"/>
  <c r="Q2043" i="1"/>
  <c r="H2820" i="1"/>
  <c r="AT1439" i="1"/>
  <c r="N2702" i="1"/>
  <c r="H1844" i="1"/>
  <c r="M472" i="1"/>
  <c r="O1924" i="1"/>
  <c r="K872" i="1"/>
  <c r="Q1628" i="1"/>
  <c r="O3488" i="1"/>
  <c r="Q919" i="1"/>
  <c r="N1469" i="1"/>
  <c r="P3378" i="1"/>
  <c r="AT2777" i="1"/>
  <c r="P1432" i="1"/>
  <c r="O745" i="1"/>
  <c r="J1869" i="1"/>
  <c r="I1390" i="1"/>
  <c r="U1641" i="1"/>
  <c r="M2650" i="1"/>
  <c r="N575" i="1"/>
  <c r="AT938" i="1"/>
  <c r="P327" i="1"/>
  <c r="H1412" i="1"/>
  <c r="J1476" i="1"/>
  <c r="Q2020" i="1"/>
  <c r="N2850" i="1"/>
  <c r="N3086" i="1"/>
  <c r="O1133" i="1"/>
  <c r="P3008" i="1"/>
  <c r="AT3623" i="1"/>
  <c r="AT1326" i="1"/>
  <c r="AT1721" i="1"/>
  <c r="D3379" i="1"/>
  <c r="M140" i="1"/>
  <c r="K2253" i="1"/>
  <c r="P1117" i="1"/>
  <c r="H877" i="1"/>
  <c r="N2059" i="1"/>
  <c r="N2096" i="1"/>
  <c r="U2578" i="1"/>
  <c r="Q1502" i="1"/>
  <c r="I2996" i="1"/>
  <c r="P1010" i="1"/>
  <c r="U1316" i="1"/>
  <c r="D1312" i="1"/>
  <c r="AT3329" i="1"/>
  <c r="N977" i="1"/>
  <c r="O314" i="1"/>
  <c r="J3168" i="1"/>
  <c r="M102" i="1"/>
  <c r="K2959" i="1"/>
  <c r="J3402" i="1"/>
  <c r="H1680" i="1"/>
  <c r="K2558" i="1"/>
  <c r="D3546" i="1"/>
  <c r="P245" i="1"/>
  <c r="N2099" i="1"/>
  <c r="Q2245" i="1"/>
  <c r="P3376" i="1"/>
  <c r="D333" i="1"/>
  <c r="P1228" i="1"/>
  <c r="U933" i="1"/>
  <c r="U3116" i="1"/>
  <c r="D3168" i="1"/>
  <c r="N1723" i="1"/>
  <c r="AT2484" i="1"/>
  <c r="N1970" i="1"/>
  <c r="AT480" i="1"/>
  <c r="Q1656" i="1"/>
  <c r="P30" i="1"/>
  <c r="O415" i="1"/>
  <c r="O709" i="1"/>
  <c r="M976" i="1"/>
  <c r="P2366" i="1"/>
  <c r="J2281" i="1"/>
  <c r="U945" i="1"/>
  <c r="D2057" i="1"/>
  <c r="O2615" i="1"/>
  <c r="I2292" i="1"/>
  <c r="M753" i="1"/>
  <c r="I2939" i="1"/>
  <c r="Q1339" i="1"/>
  <c r="D3394" i="1"/>
  <c r="P3324" i="1"/>
  <c r="H288" i="1"/>
  <c r="M196" i="1"/>
  <c r="AT1991" i="1"/>
  <c r="Q2289" i="1"/>
  <c r="O1612" i="1"/>
  <c r="U2229" i="1"/>
  <c r="D3208" i="1"/>
  <c r="AT873" i="1"/>
  <c r="J218" i="1"/>
  <c r="J3116" i="1"/>
  <c r="J3144" i="1"/>
  <c r="AT2182" i="1"/>
  <c r="U2245" i="1"/>
  <c r="H3358" i="1"/>
  <c r="O3284" i="1"/>
  <c r="U3274" i="1"/>
  <c r="H818" i="1"/>
  <c r="K3482" i="1"/>
  <c r="D2865" i="1"/>
  <c r="P1477" i="1"/>
  <c r="U1125" i="1"/>
  <c r="I864" i="1"/>
  <c r="I71" i="1"/>
  <c r="I1322" i="1"/>
  <c r="P119" i="1"/>
  <c r="I2873" i="1"/>
  <c r="M1063" i="1"/>
  <c r="Q1949" i="1"/>
  <c r="M1513" i="1"/>
  <c r="N3379" i="1"/>
  <c r="K1818" i="1"/>
  <c r="K2988" i="1"/>
  <c r="J916" i="1"/>
  <c r="M2395" i="1"/>
  <c r="K2329" i="1"/>
  <c r="M383" i="1"/>
  <c r="H2843" i="1"/>
  <c r="U119" i="1"/>
  <c r="J3408" i="1"/>
  <c r="U2378" i="1"/>
  <c r="O3412" i="1"/>
  <c r="I321" i="1"/>
  <c r="Q3296" i="1"/>
  <c r="O3627" i="1"/>
  <c r="AT2348" i="1"/>
  <c r="N1595" i="1"/>
  <c r="Q958" i="1"/>
  <c r="I1870" i="1"/>
  <c r="O3511" i="1"/>
  <c r="N1962" i="1"/>
  <c r="M1494" i="1"/>
  <c r="Q1612" i="1"/>
  <c r="Q212" i="1"/>
  <c r="D110" i="1"/>
  <c r="D2890" i="1"/>
  <c r="N454" i="1"/>
  <c r="D1192" i="1"/>
  <c r="D3061" i="1"/>
  <c r="H370" i="1"/>
  <c r="O144" i="1"/>
  <c r="O1426" i="1"/>
  <c r="O32" i="1"/>
  <c r="N41" i="1"/>
  <c r="D1453" i="1"/>
  <c r="U719" i="1"/>
  <c r="N3243" i="1"/>
  <c r="J2392" i="1"/>
  <c r="P1691" i="1"/>
  <c r="AT2806" i="1"/>
  <c r="U864" i="1"/>
  <c r="O352" i="1"/>
  <c r="M79" i="1"/>
  <c r="O582" i="1"/>
  <c r="J3209" i="1"/>
  <c r="M1516" i="1"/>
  <c r="D2958" i="1"/>
  <c r="D1534" i="1"/>
  <c r="N2585" i="1"/>
  <c r="P3221" i="1"/>
  <c r="P2981" i="1"/>
  <c r="M1769" i="1"/>
  <c r="Q3087" i="1"/>
  <c r="P3383" i="1"/>
  <c r="D3070" i="1"/>
  <c r="M1865" i="1"/>
  <c r="M317" i="1"/>
  <c r="Q3161" i="1"/>
  <c r="N1868" i="1"/>
  <c r="P54" i="1"/>
  <c r="J3517" i="1"/>
  <c r="M227" i="1"/>
  <c r="AT953" i="1"/>
  <c r="H1423" i="1"/>
  <c r="U1743" i="1"/>
  <c r="O723" i="1"/>
  <c r="H2534" i="1"/>
  <c r="O3112" i="1"/>
  <c r="N12" i="1"/>
  <c r="N1230" i="1"/>
  <c r="H3464" i="1"/>
  <c r="P570" i="1"/>
  <c r="N2311" i="1"/>
  <c r="N2785" i="1"/>
  <c r="D3579" i="1"/>
  <c r="P2342" i="1"/>
  <c r="J1451" i="1"/>
  <c r="N1444" i="1"/>
  <c r="AT1452" i="1"/>
  <c r="D2246" i="1"/>
  <c r="Q3618" i="1"/>
  <c r="O765" i="1"/>
  <c r="D2278" i="1"/>
  <c r="U747" i="1"/>
  <c r="U2989" i="1"/>
  <c r="H580" i="1"/>
  <c r="O1898" i="1"/>
  <c r="M1110" i="1"/>
  <c r="U540" i="1"/>
  <c r="U2792" i="1"/>
  <c r="P3608" i="1"/>
  <c r="AT1667" i="1"/>
  <c r="M2429" i="1"/>
  <c r="N944" i="1"/>
  <c r="P2479" i="1"/>
  <c r="J791" i="1"/>
  <c r="P3115" i="1"/>
  <c r="AT2251" i="1"/>
  <c r="I1814" i="1"/>
  <c r="H1480" i="1"/>
  <c r="AT1225" i="1"/>
  <c r="D264" i="1"/>
  <c r="O1321" i="1"/>
  <c r="D2139" i="1"/>
  <c r="AT997" i="1"/>
  <c r="P3276" i="1"/>
  <c r="I368" i="1"/>
  <c r="O198" i="1"/>
  <c r="J2555" i="1"/>
  <c r="AT2920" i="1"/>
  <c r="U3478" i="1"/>
  <c r="I3102" i="1"/>
  <c r="I2314" i="1"/>
  <c r="J2580" i="1"/>
  <c r="H2351" i="1"/>
  <c r="U2076" i="1"/>
  <c r="J97" i="1"/>
  <c r="D2483" i="1"/>
  <c r="M104" i="1"/>
  <c r="M411" i="1"/>
  <c r="N2896" i="1"/>
  <c r="I2229" i="1"/>
  <c r="J860" i="1"/>
  <c r="Q1496" i="1"/>
  <c r="O3395" i="1"/>
  <c r="N74" i="1"/>
  <c r="U683" i="1"/>
  <c r="AT792" i="1"/>
  <c r="H951" i="1"/>
  <c r="P2270" i="1"/>
  <c r="O61" i="1"/>
  <c r="J196" i="1"/>
  <c r="O1939" i="1"/>
  <c r="U2023" i="1"/>
  <c r="P2855" i="1"/>
  <c r="I2313" i="1"/>
  <c r="I140" i="1"/>
  <c r="AT297" i="1"/>
  <c r="P1827" i="1"/>
  <c r="M1635" i="1"/>
  <c r="K2423" i="1"/>
  <c r="I2771" i="1"/>
  <c r="K1125" i="1"/>
  <c r="U841" i="1"/>
  <c r="I3308" i="1"/>
  <c r="K1682" i="1"/>
  <c r="K568" i="1"/>
  <c r="I944" i="1"/>
  <c r="H561" i="1"/>
  <c r="H169" i="1"/>
  <c r="K2425" i="1"/>
  <c r="K2678" i="1"/>
  <c r="U1305" i="1"/>
  <c r="I826" i="1"/>
  <c r="K85" i="1"/>
  <c r="K1183" i="1"/>
  <c r="V715" i="1"/>
  <c r="U2999" i="1"/>
  <c r="Q1959" i="1"/>
  <c r="U114" i="1"/>
  <c r="Q1290" i="1"/>
  <c r="P2578" i="1"/>
  <c r="U788" i="1"/>
  <c r="P729" i="1"/>
  <c r="P2510" i="1"/>
  <c r="N2620" i="1"/>
  <c r="AT340" i="1"/>
  <c r="H2148" i="1"/>
  <c r="N3527" i="1"/>
  <c r="D2180" i="1"/>
  <c r="I3286" i="1"/>
  <c r="H2870" i="1"/>
  <c r="J137" i="1"/>
  <c r="AT3216" i="1"/>
  <c r="AT3501" i="1"/>
  <c r="Q496" i="1"/>
  <c r="N3191" i="1"/>
  <c r="D2106" i="1"/>
  <c r="AT209" i="1"/>
  <c r="P1783" i="1"/>
  <c r="D3165" i="1"/>
  <c r="U2445" i="1"/>
  <c r="O3606" i="1"/>
  <c r="O1495" i="1"/>
  <c r="D609" i="1"/>
  <c r="I509" i="1"/>
  <c r="U3109" i="1"/>
  <c r="N3050" i="1"/>
  <c r="Q3126" i="1"/>
  <c r="AT2729" i="1"/>
  <c r="N556" i="1"/>
  <c r="K512" i="1"/>
  <c r="U1112" i="1"/>
  <c r="K3542" i="1"/>
  <c r="P3423" i="1"/>
  <c r="U215" i="1"/>
  <c r="U3135" i="1"/>
  <c r="P1695" i="1"/>
  <c r="I412" i="1"/>
  <c r="H2395" i="1"/>
  <c r="M1720" i="1"/>
  <c r="U49" i="1"/>
  <c r="AT3496" i="1"/>
  <c r="N1257" i="1"/>
  <c r="M3294" i="1"/>
  <c r="K1456" i="1"/>
  <c r="M2178" i="1"/>
  <c r="M3253" i="1"/>
  <c r="D2747" i="1"/>
  <c r="O3067" i="1"/>
  <c r="P3138" i="1"/>
  <c r="J2258" i="1"/>
  <c r="P2515" i="1"/>
  <c r="J468" i="1"/>
  <c r="U806" i="1"/>
  <c r="U1145" i="1"/>
  <c r="N814" i="1"/>
  <c r="AT2601" i="1"/>
  <c r="I3133" i="1"/>
  <c r="D344" i="1"/>
  <c r="I668" i="1"/>
  <c r="O167" i="1"/>
  <c r="P3201" i="1"/>
  <c r="AT1442" i="1"/>
  <c r="N123" i="1"/>
  <c r="D2625" i="1"/>
  <c r="I2763" i="1"/>
  <c r="O2397" i="1"/>
  <c r="N169" i="1"/>
  <c r="N547" i="1"/>
  <c r="O3129" i="1"/>
  <c r="M2184" i="1"/>
  <c r="K1066" i="1"/>
  <c r="AT3294" i="1"/>
  <c r="J2635" i="1"/>
  <c r="M2684" i="1"/>
  <c r="O438" i="1"/>
  <c r="D1924" i="1"/>
  <c r="Q2599" i="1"/>
  <c r="O105" i="1"/>
  <c r="AT523" i="1"/>
  <c r="P52" i="1"/>
  <c r="D291" i="1"/>
  <c r="O3402" i="1"/>
  <c r="Q2266" i="1"/>
  <c r="M1250" i="1"/>
  <c r="M737" i="1"/>
  <c r="P3075" i="1"/>
  <c r="M1292" i="1"/>
  <c r="Q2313" i="1"/>
  <c r="N1586" i="1"/>
  <c r="H44" i="1"/>
  <c r="H48" i="1"/>
  <c r="O2784" i="1"/>
  <c r="P38" i="1"/>
  <c r="Q1508" i="1"/>
  <c r="N1898" i="1"/>
  <c r="P1652" i="1"/>
  <c r="O2502" i="1"/>
  <c r="M2464" i="1"/>
  <c r="D2856" i="1"/>
  <c r="N1236" i="1"/>
  <c r="K1384" i="1"/>
  <c r="O532" i="1"/>
  <c r="AT3238" i="1"/>
  <c r="I1320" i="1"/>
  <c r="H3064" i="1"/>
  <c r="Q1080" i="1"/>
  <c r="O1469" i="1"/>
  <c r="M9" i="1"/>
  <c r="Q3370" i="1"/>
  <c r="U3326" i="1"/>
  <c r="AT103" i="1"/>
  <c r="M3204" i="1"/>
  <c r="N2807" i="1"/>
  <c r="AT157" i="1"/>
  <c r="M2455" i="1"/>
  <c r="AT1456" i="1"/>
  <c r="N2158" i="1"/>
  <c r="K3622" i="1"/>
  <c r="U3039" i="1"/>
  <c r="O541" i="1"/>
  <c r="I3128" i="1"/>
  <c r="Q529" i="1"/>
  <c r="D2072" i="1"/>
  <c r="AT3373" i="1"/>
  <c r="D1725" i="1"/>
  <c r="Q2771" i="1"/>
  <c r="AT691" i="1"/>
  <c r="J2606" i="1"/>
  <c r="AT909" i="1"/>
  <c r="J2542" i="1"/>
  <c r="Q1580" i="1"/>
  <c r="D2445" i="1"/>
  <c r="I2910" i="1"/>
  <c r="M2885" i="1"/>
  <c r="AT840" i="1"/>
  <c r="M110" i="1"/>
  <c r="J28" i="1"/>
  <c r="Q1231" i="1"/>
  <c r="Q2460" i="1"/>
  <c r="J1617" i="1"/>
  <c r="I1883" i="1"/>
  <c r="AT973" i="1"/>
  <c r="AT470" i="1"/>
  <c r="J795" i="1"/>
  <c r="J2670" i="1"/>
  <c r="U390" i="1"/>
  <c r="Q2214" i="1"/>
  <c r="H1071" i="1"/>
  <c r="U1328" i="1"/>
  <c r="H3081" i="1"/>
  <c r="AT1618" i="1"/>
  <c r="P2905" i="1"/>
  <c r="H1771" i="1"/>
  <c r="O554" i="1"/>
  <c r="O1125" i="1"/>
  <c r="I2559" i="1"/>
  <c r="Q1878" i="1"/>
  <c r="Q3562" i="1"/>
  <c r="AT1375" i="1"/>
  <c r="M2562" i="1"/>
  <c r="D216" i="1"/>
  <c r="N3187" i="1"/>
  <c r="M1487" i="1"/>
  <c r="I1685" i="1"/>
  <c r="J667" i="1"/>
  <c r="M762" i="1"/>
  <c r="AT697" i="1"/>
  <c r="J379" i="1"/>
  <c r="N3356" i="1"/>
  <c r="M2366" i="1"/>
  <c r="AT809" i="1"/>
  <c r="Q1044" i="1"/>
  <c r="M796" i="1"/>
  <c r="H2410" i="1"/>
  <c r="I1660" i="1"/>
  <c r="O3037" i="1"/>
  <c r="Q1872" i="1"/>
  <c r="AT263" i="1"/>
  <c r="J3289" i="1"/>
  <c r="M2474" i="1"/>
  <c r="M495" i="1"/>
  <c r="O3597" i="1"/>
  <c r="H1230" i="1"/>
  <c r="D2366" i="1"/>
  <c r="N1232" i="1"/>
  <c r="D1672" i="1"/>
  <c r="N3304" i="1"/>
  <c r="D1089" i="1"/>
  <c r="D1524" i="1"/>
  <c r="O861" i="1"/>
  <c r="P2236" i="1"/>
  <c r="K1493" i="1"/>
  <c r="O1471" i="1"/>
  <c r="AT1604" i="1"/>
  <c r="D3335" i="1"/>
  <c r="N2304" i="1"/>
  <c r="K3150" i="1"/>
  <c r="N2291" i="1"/>
  <c r="M3122" i="1"/>
  <c r="Q2130" i="1"/>
  <c r="O923" i="1"/>
  <c r="O2696" i="1"/>
  <c r="Q3260" i="1"/>
  <c r="D2950" i="1"/>
  <c r="K3442" i="1"/>
  <c r="N2790" i="1"/>
  <c r="AT990" i="1"/>
  <c r="D1868" i="1"/>
  <c r="K2882" i="1"/>
  <c r="N2810" i="1"/>
  <c r="I2414" i="1"/>
  <c r="M516" i="1"/>
  <c r="D2080" i="1"/>
  <c r="N247" i="1"/>
  <c r="N492" i="1"/>
  <c r="N3027" i="1"/>
  <c r="N2507" i="1"/>
  <c r="Q715" i="1"/>
  <c r="H1503" i="1"/>
  <c r="I2316" i="1"/>
  <c r="I2293" i="1"/>
  <c r="P3494" i="1"/>
  <c r="U1696" i="1"/>
  <c r="Q1040" i="1"/>
  <c r="P2693" i="1"/>
  <c r="P2319" i="1"/>
  <c r="N1971" i="1"/>
  <c r="U1853" i="1"/>
  <c r="H3428" i="1"/>
  <c r="Q507" i="1"/>
  <c r="Q3404" i="1"/>
  <c r="M259" i="1"/>
  <c r="H2362" i="1"/>
  <c r="D1973" i="1"/>
  <c r="N2487" i="1"/>
  <c r="O3243" i="1"/>
  <c r="AT2244" i="1"/>
  <c r="P1252" i="1"/>
  <c r="R265" i="1"/>
  <c r="P2332" i="1"/>
  <c r="D2317" i="1"/>
  <c r="H873" i="1"/>
  <c r="H1159" i="1"/>
  <c r="AT1011" i="1"/>
  <c r="AT2838" i="1"/>
  <c r="M322" i="1"/>
  <c r="Q1749" i="1"/>
  <c r="AT3470" i="1"/>
  <c r="Q1312" i="1"/>
  <c r="N1047" i="1"/>
  <c r="P1345" i="1"/>
  <c r="Q3383" i="1"/>
  <c r="AT1823" i="1"/>
  <c r="M1869" i="1"/>
  <c r="AT2674" i="1"/>
  <c r="N2413" i="1"/>
  <c r="I673" i="1"/>
  <c r="N1096" i="1"/>
  <c r="U1847" i="1"/>
  <c r="K635" i="1"/>
  <c r="I562" i="1"/>
  <c r="AT1436" i="1"/>
  <c r="Q1710" i="1"/>
  <c r="O399" i="1"/>
  <c r="N2843" i="1"/>
  <c r="M1512" i="1"/>
  <c r="P338" i="1"/>
  <c r="U1503" i="1"/>
  <c r="K3279" i="1"/>
  <c r="Q2515" i="1"/>
  <c r="K3177" i="1"/>
  <c r="O969" i="1"/>
  <c r="K2127" i="1"/>
  <c r="AT2142" i="1"/>
  <c r="M1926" i="1"/>
  <c r="I89" i="1"/>
  <c r="I1621" i="1"/>
  <c r="H1266" i="1"/>
  <c r="I1027" i="1"/>
  <c r="U264" i="1"/>
  <c r="AT561" i="1"/>
  <c r="N2034" i="1"/>
  <c r="I3093" i="1"/>
  <c r="AT2442" i="1"/>
  <c r="K2273" i="1"/>
  <c r="M1200" i="1"/>
  <c r="I973" i="1"/>
  <c r="P2523" i="1"/>
  <c r="U1712" i="1"/>
  <c r="N1643" i="1"/>
  <c r="D753" i="1"/>
  <c r="P975" i="1"/>
  <c r="M2805" i="1"/>
  <c r="P912" i="1"/>
  <c r="P280" i="1"/>
  <c r="AT108" i="1"/>
  <c r="P1535" i="1"/>
  <c r="P3163" i="1"/>
  <c r="N2539" i="1"/>
  <c r="O1676" i="1"/>
  <c r="J1269" i="1"/>
  <c r="D573" i="1"/>
  <c r="N1862" i="1"/>
  <c r="U1678" i="1"/>
  <c r="P3088" i="1"/>
  <c r="Q3190" i="1"/>
  <c r="M1676" i="1"/>
  <c r="AT1894" i="1"/>
  <c r="D321" i="1"/>
  <c r="P2242" i="1"/>
  <c r="J3239" i="1"/>
  <c r="D2372" i="1"/>
  <c r="M2021" i="1"/>
  <c r="P2447" i="1"/>
  <c r="N1319" i="1"/>
  <c r="M781" i="1"/>
  <c r="N2857" i="1"/>
  <c r="O527" i="1"/>
  <c r="AT2708" i="1"/>
  <c r="H1189" i="1"/>
  <c r="K1960" i="1"/>
  <c r="Q427" i="1"/>
  <c r="J1354" i="1"/>
  <c r="J3015" i="1"/>
  <c r="H2085" i="1"/>
  <c r="P1285" i="1"/>
  <c r="U2152" i="1"/>
  <c r="D348" i="1"/>
  <c r="U499" i="1"/>
  <c r="D3386" i="1"/>
  <c r="I86" i="1"/>
  <c r="H3248" i="1"/>
  <c r="Q3313" i="1"/>
  <c r="Q3327" i="1"/>
  <c r="M3008" i="1"/>
  <c r="H2867" i="1"/>
  <c r="P1715" i="1"/>
  <c r="AT2543" i="1"/>
  <c r="D1405" i="1"/>
  <c r="P2430" i="1"/>
  <c r="U1174" i="1"/>
  <c r="I1287" i="1"/>
  <c r="O1985" i="1"/>
  <c r="J1760" i="1"/>
  <c r="Q2229" i="1"/>
  <c r="H331" i="1"/>
  <c r="H2785" i="1"/>
  <c r="Q1139" i="1"/>
  <c r="O71" i="1"/>
  <c r="Q3396" i="1"/>
  <c r="AT1820" i="1"/>
  <c r="K675" i="1"/>
  <c r="P428" i="1"/>
  <c r="H2236" i="1"/>
  <c r="U2072" i="1"/>
  <c r="I2765" i="1"/>
  <c r="M3475" i="1"/>
  <c r="H1384" i="1"/>
  <c r="I327" i="1"/>
  <c r="N691" i="1"/>
  <c r="P1069" i="1"/>
  <c r="N956" i="1"/>
  <c r="J2032" i="1"/>
  <c r="O2085" i="1"/>
  <c r="P44" i="1"/>
  <c r="D186" i="1"/>
  <c r="AT1052" i="1"/>
  <c r="N1485" i="1"/>
  <c r="H1590" i="1"/>
  <c r="M35" i="1"/>
  <c r="K706" i="1"/>
  <c r="O2038" i="1"/>
  <c r="K2730" i="1"/>
  <c r="D3315" i="1"/>
  <c r="D3256" i="1"/>
  <c r="U2731" i="1"/>
  <c r="H1981" i="1"/>
  <c r="O3257" i="1"/>
  <c r="I303" i="1"/>
  <c r="J1346" i="1"/>
  <c r="M914" i="1"/>
  <c r="Q3339" i="1"/>
  <c r="N1081" i="1"/>
  <c r="D48" i="1"/>
  <c r="M2101" i="1"/>
  <c r="O170" i="1"/>
  <c r="U735" i="1"/>
  <c r="O301" i="1"/>
  <c r="O1609" i="1"/>
  <c r="Q599" i="1"/>
  <c r="O769" i="1"/>
  <c r="M3061" i="1"/>
  <c r="D3506" i="1"/>
  <c r="AT3532" i="1"/>
  <c r="Q1594" i="1"/>
  <c r="D108" i="1"/>
  <c r="P3589" i="1"/>
  <c r="Q411" i="1"/>
  <c r="P1958" i="1"/>
  <c r="N2337" i="1"/>
  <c r="AT1581" i="1"/>
  <c r="D1551" i="1"/>
  <c r="O1132" i="1"/>
  <c r="D2948" i="1"/>
  <c r="P2138" i="1"/>
  <c r="D1080" i="1"/>
  <c r="D3194" i="1"/>
  <c r="D283" i="1"/>
  <c r="AT548" i="1"/>
  <c r="AT1532" i="1"/>
  <c r="P1417" i="1"/>
  <c r="D2578" i="1"/>
  <c r="I2905" i="1"/>
  <c r="I3095" i="1"/>
  <c r="M1069" i="1"/>
  <c r="O2624" i="1"/>
  <c r="N3332" i="1"/>
  <c r="O97" i="1"/>
  <c r="N3487" i="1"/>
  <c r="I2574" i="1"/>
  <c r="Q1199" i="1"/>
  <c r="D592" i="1"/>
  <c r="Z265" i="1"/>
  <c r="P787" i="1"/>
  <c r="J2508" i="1"/>
  <c r="H1026" i="1"/>
  <c r="U502" i="1"/>
  <c r="J1429" i="1"/>
  <c r="J241" i="1"/>
  <c r="J252" i="1"/>
  <c r="U3543" i="1"/>
  <c r="I1146" i="1"/>
  <c r="M747" i="1"/>
  <c r="Q3134" i="1"/>
  <c r="AT2673" i="1"/>
  <c r="O2640" i="1"/>
  <c r="M1156" i="1"/>
  <c r="Q1279" i="1"/>
  <c r="O607" i="1"/>
  <c r="AT798" i="1"/>
  <c r="O1596" i="1"/>
  <c r="AT3404" i="1"/>
  <c r="AT3062" i="1"/>
  <c r="M896" i="1"/>
  <c r="O2257" i="1"/>
  <c r="N945" i="1"/>
  <c r="V265" i="1"/>
  <c r="N3116" i="1"/>
  <c r="N3043" i="1"/>
  <c r="O3619" i="1"/>
  <c r="AT491" i="1"/>
  <c r="AT3109" i="1"/>
  <c r="D3486" i="1"/>
  <c r="O1171" i="1"/>
  <c r="AT94" i="1"/>
  <c r="J1864" i="1"/>
  <c r="AT633" i="1"/>
  <c r="Q1228" i="1"/>
  <c r="M3285" i="1"/>
  <c r="O1389" i="1"/>
  <c r="O1428" i="1"/>
  <c r="O2334" i="1"/>
  <c r="J1337" i="1"/>
  <c r="O3079" i="1"/>
  <c r="Q2327" i="1"/>
  <c r="K753" i="1"/>
  <c r="U3253" i="1"/>
  <c r="M3144" i="1"/>
  <c r="O428" i="1"/>
  <c r="O597" i="1"/>
  <c r="H1761" i="1"/>
  <c r="U2200" i="1"/>
  <c r="Q2556" i="1"/>
  <c r="O2238" i="1"/>
  <c r="O820" i="1"/>
  <c r="H477" i="1"/>
  <c r="Q2055" i="1"/>
  <c r="I291" i="1"/>
  <c r="K1496" i="1"/>
  <c r="K1288" i="1"/>
  <c r="N851" i="1"/>
  <c r="M1668" i="1"/>
  <c r="P2459" i="1"/>
  <c r="K2640" i="1"/>
  <c r="O2245" i="1"/>
  <c r="O2369" i="1"/>
  <c r="M2492" i="1"/>
  <c r="Q3067" i="1"/>
  <c r="M323" i="1"/>
  <c r="AT2588" i="1"/>
  <c r="Q2333" i="1"/>
  <c r="AT394" i="1"/>
  <c r="D358" i="1"/>
  <c r="M1817" i="1"/>
  <c r="H3637" i="1"/>
  <c r="D1971" i="1"/>
  <c r="O3175" i="1"/>
  <c r="AT3369" i="1"/>
  <c r="N1117" i="1"/>
  <c r="Q3136" i="1"/>
  <c r="Q3596" i="1"/>
  <c r="J2534" i="1"/>
  <c r="O3151" i="1"/>
  <c r="J1050" i="1"/>
  <c r="J2967" i="1"/>
  <c r="Q822" i="1"/>
  <c r="N2805" i="1"/>
  <c r="D1370" i="1"/>
  <c r="D444" i="1"/>
  <c r="Q593" i="1"/>
  <c r="P1212" i="1"/>
  <c r="M1453" i="1"/>
  <c r="O1300" i="1"/>
  <c r="J1350" i="1"/>
  <c r="N129" i="1"/>
  <c r="H2377" i="1"/>
  <c r="P1146" i="1"/>
  <c r="N720" i="1"/>
  <c r="Q1797" i="1"/>
  <c r="N280" i="1"/>
  <c r="Q482" i="1"/>
  <c r="P962" i="1"/>
  <c r="Q2520" i="1"/>
  <c r="I2351" i="1"/>
  <c r="K1138" i="1"/>
  <c r="AT2485" i="1"/>
  <c r="D1598" i="1"/>
  <c r="N2820" i="1"/>
  <c r="P1668" i="1"/>
  <c r="M2188" i="1"/>
  <c r="AT2629" i="1"/>
  <c r="H942" i="1"/>
  <c r="I1346" i="1"/>
  <c r="AT657" i="1"/>
  <c r="AT1738" i="1"/>
  <c r="M3369" i="1"/>
  <c r="I1551" i="1"/>
  <c r="M504" i="1"/>
  <c r="H592" i="1"/>
  <c r="Q1198" i="1"/>
  <c r="K3383" i="1"/>
  <c r="H3167" i="1"/>
  <c r="K256" i="1"/>
  <c r="Q1479" i="1"/>
  <c r="H2902" i="1"/>
  <c r="U1175" i="1"/>
  <c r="P2067" i="1"/>
  <c r="K858" i="1"/>
  <c r="AT3413" i="1"/>
  <c r="Q663" i="1"/>
  <c r="U2523" i="1"/>
  <c r="J184" i="1"/>
  <c r="H1927" i="1"/>
  <c r="N1729" i="1"/>
  <c r="D1025" i="1"/>
  <c r="I2162" i="1"/>
  <c r="O1013" i="1"/>
  <c r="H286" i="1"/>
  <c r="M1895" i="1"/>
  <c r="N471" i="1"/>
  <c r="O2197" i="1"/>
  <c r="AT85" i="1"/>
  <c r="Q2474" i="1"/>
  <c r="U157" i="1"/>
  <c r="Q765" i="1"/>
  <c r="N1900" i="1"/>
  <c r="M2012" i="1"/>
  <c r="N1598" i="1"/>
  <c r="AT1861" i="1"/>
  <c r="AT3575" i="1"/>
  <c r="M2013" i="1"/>
  <c r="O28" i="1"/>
  <c r="AT137" i="1"/>
  <c r="N2363" i="1"/>
  <c r="O2123" i="1"/>
  <c r="M2944" i="1"/>
  <c r="N899" i="1"/>
  <c r="D2826" i="1"/>
  <c r="N1969" i="1"/>
  <c r="D61" i="1"/>
  <c r="N1751" i="1"/>
  <c r="O3289" i="1"/>
  <c r="AT2431" i="1"/>
  <c r="U3301" i="1"/>
  <c r="D1996" i="1"/>
  <c r="O2191" i="1"/>
  <c r="N885" i="1"/>
  <c r="D2773" i="1"/>
  <c r="U1403" i="1"/>
  <c r="N2325" i="1"/>
  <c r="Q3222" i="1"/>
  <c r="O280" i="1"/>
  <c r="M848" i="1"/>
  <c r="N3377" i="1"/>
  <c r="D384" i="1"/>
  <c r="AT114" i="1"/>
  <c r="U1819" i="1"/>
  <c r="H699" i="1"/>
  <c r="J2340" i="1"/>
  <c r="H3286" i="1"/>
  <c r="N1027" i="1"/>
  <c r="M1207" i="1"/>
  <c r="P1027" i="1"/>
  <c r="D3035" i="1"/>
  <c r="P1964" i="1"/>
  <c r="J561" i="1"/>
  <c r="O437" i="1"/>
  <c r="Q2592" i="1"/>
  <c r="O2092" i="1"/>
  <c r="N3297" i="1"/>
  <c r="N3345" i="1"/>
  <c r="M1602" i="1"/>
  <c r="N2490" i="1"/>
  <c r="M1953" i="1"/>
  <c r="O1270" i="1"/>
  <c r="J3167" i="1"/>
  <c r="Q1971" i="1"/>
  <c r="M1001" i="1"/>
  <c r="U2202" i="1"/>
  <c r="H899" i="1"/>
  <c r="M2982" i="1"/>
  <c r="O819" i="1"/>
  <c r="P636" i="1"/>
  <c r="Q2768" i="1"/>
  <c r="J2069" i="1"/>
  <c r="N1493" i="1"/>
  <c r="D3091" i="1"/>
  <c r="AT2183" i="1"/>
  <c r="AT1090" i="1"/>
  <c r="N580" i="1"/>
  <c r="O3573" i="1"/>
  <c r="Q483" i="1"/>
  <c r="M2452" i="1"/>
  <c r="J1412" i="1"/>
  <c r="U1245" i="1"/>
  <c r="N519" i="1"/>
  <c r="N2845" i="1"/>
  <c r="I374" i="1"/>
  <c r="O445" i="1"/>
  <c r="O1458" i="1"/>
  <c r="AT3199" i="1"/>
  <c r="U1673" i="1"/>
  <c r="D1184" i="1"/>
  <c r="H2239" i="1"/>
  <c r="H2633" i="1"/>
  <c r="AT482" i="1"/>
  <c r="AT1953" i="1"/>
  <c r="AT2835" i="1"/>
  <c r="AT2990" i="1"/>
  <c r="D2636" i="1"/>
  <c r="D104" i="1"/>
  <c r="O1265" i="1"/>
  <c r="P1395" i="1"/>
  <c r="P1710" i="1"/>
  <c r="U3182" i="1"/>
  <c r="O2222" i="1"/>
  <c r="N30" i="1"/>
  <c r="O1169" i="1"/>
  <c r="U391" i="1"/>
  <c r="AT450" i="1"/>
  <c r="K2787" i="1"/>
  <c r="P2472" i="1"/>
  <c r="U389" i="1"/>
  <c r="I1175" i="1"/>
  <c r="AT3333" i="1"/>
  <c r="O3277" i="1"/>
  <c r="J3103" i="1"/>
  <c r="H3273" i="1"/>
  <c r="D752" i="1"/>
  <c r="K230" i="1"/>
  <c r="AT542" i="1"/>
  <c r="N1690" i="1"/>
  <c r="P408" i="1"/>
  <c r="Q2935" i="1"/>
  <c r="H3425" i="1"/>
  <c r="D1159" i="1"/>
  <c r="Q2987" i="1"/>
  <c r="I967" i="1"/>
  <c r="K51" i="1"/>
  <c r="K2820" i="1"/>
  <c r="K902" i="1"/>
  <c r="J3126" i="1"/>
  <c r="U782" i="1"/>
  <c r="O1112" i="1"/>
  <c r="H24" i="1"/>
  <c r="Q618" i="1"/>
  <c r="K2392" i="1"/>
  <c r="U1897" i="1"/>
  <c r="M1719" i="1"/>
  <c r="D289" i="1"/>
  <c r="O949" i="1"/>
  <c r="M872" i="1"/>
  <c r="O347" i="1"/>
  <c r="U2394" i="1"/>
  <c r="O2057" i="1"/>
  <c r="U2490" i="1"/>
  <c r="K3322" i="1"/>
  <c r="U922" i="1"/>
  <c r="O2488" i="1"/>
  <c r="AT865" i="1"/>
  <c r="D2835" i="1"/>
  <c r="P15" i="1"/>
  <c r="Q2956" i="1"/>
  <c r="P2741" i="1"/>
  <c r="J890" i="1"/>
  <c r="O2857" i="1"/>
  <c r="AT604" i="1"/>
  <c r="M3613" i="1"/>
  <c r="P891" i="1"/>
  <c r="J940" i="1"/>
  <c r="Q1805" i="1"/>
  <c r="O1470" i="1"/>
  <c r="AT3160" i="1"/>
  <c r="D126" i="1"/>
  <c r="K390" i="1"/>
  <c r="J965" i="1"/>
  <c r="AT185" i="1"/>
  <c r="D2111" i="1"/>
  <c r="N1903" i="1"/>
  <c r="D257" i="1"/>
  <c r="M2693" i="1"/>
  <c r="N392" i="1"/>
  <c r="M482" i="1"/>
  <c r="J1234" i="1"/>
  <c r="D3390" i="1"/>
  <c r="H2549" i="1"/>
  <c r="AT1634" i="1"/>
  <c r="N1694" i="1"/>
  <c r="P807" i="1"/>
  <c r="H750" i="1"/>
  <c r="I1396" i="1"/>
  <c r="H2896" i="1"/>
  <c r="K303" i="1"/>
  <c r="H2935" i="1"/>
  <c r="D1956" i="1"/>
  <c r="J1612" i="1"/>
  <c r="U987" i="1"/>
  <c r="AT505" i="1"/>
  <c r="Q3528" i="1"/>
  <c r="U3366" i="1"/>
  <c r="Q1981" i="1"/>
  <c r="H3306" i="1"/>
  <c r="D390" i="1"/>
  <c r="P1373" i="1"/>
  <c r="AT3172" i="1"/>
  <c r="Q1735" i="1"/>
  <c r="I3231" i="1"/>
  <c r="H2537" i="1"/>
  <c r="P1510" i="1"/>
  <c r="M263" i="1"/>
  <c r="D1448" i="1"/>
  <c r="AT2665" i="1"/>
  <c r="K363" i="1"/>
  <c r="AT1258" i="1"/>
  <c r="N1022" i="1"/>
  <c r="AT812" i="1"/>
  <c r="P2202" i="1"/>
  <c r="N2764" i="1"/>
  <c r="Q3121" i="1"/>
  <c r="M1533" i="1"/>
  <c r="Q2027" i="1"/>
  <c r="O3394" i="1"/>
  <c r="K1383" i="1"/>
  <c r="AT2376" i="1"/>
  <c r="O1620" i="1"/>
  <c r="O3200" i="1"/>
  <c r="N894" i="1"/>
  <c r="U2783" i="1"/>
  <c r="P1734" i="1"/>
  <c r="N2008" i="1"/>
  <c r="I2509" i="1"/>
  <c r="D568" i="1"/>
  <c r="N1562" i="1"/>
  <c r="O362" i="1"/>
  <c r="AT3170" i="1"/>
  <c r="P1908" i="1"/>
  <c r="O1246" i="1"/>
  <c r="Q1588" i="1"/>
  <c r="AT179" i="1"/>
  <c r="D2932" i="1"/>
  <c r="M972" i="1"/>
  <c r="M25" i="1"/>
  <c r="AT543" i="1"/>
  <c r="Q1070" i="1"/>
  <c r="I540" i="1"/>
  <c r="N2621" i="1"/>
  <c r="AT3324" i="1"/>
  <c r="O2958" i="1"/>
  <c r="M3420" i="1"/>
  <c r="M3165" i="1"/>
  <c r="P3107" i="1"/>
  <c r="H2583" i="1"/>
  <c r="J2409" i="1"/>
  <c r="P3314" i="1"/>
  <c r="P255" i="1"/>
  <c r="N1894" i="1"/>
  <c r="J1041" i="1"/>
  <c r="H1046" i="1"/>
  <c r="Q3236" i="1"/>
  <c r="H1692" i="1"/>
  <c r="P36" i="1"/>
  <c r="J62" i="1"/>
  <c r="Q71" i="1"/>
  <c r="P434" i="1"/>
  <c r="P2698" i="1"/>
  <c r="AT356" i="1"/>
  <c r="Q1160" i="1"/>
  <c r="N2485" i="1"/>
  <c r="U3348" i="1"/>
  <c r="I2804" i="1"/>
  <c r="M1050" i="1"/>
  <c r="J977" i="1"/>
  <c r="AT799" i="1"/>
  <c r="I1889" i="1"/>
  <c r="N2695" i="1"/>
  <c r="O1368" i="1"/>
  <c r="M439" i="1"/>
  <c r="O3254" i="1"/>
  <c r="M70" i="1"/>
  <c r="J3002" i="1"/>
  <c r="M2932" i="1"/>
  <c r="Q59" i="1"/>
  <c r="M2216" i="1"/>
  <c r="M2584" i="1"/>
  <c r="N619" i="1"/>
  <c r="U3502" i="1"/>
  <c r="O2307" i="1"/>
  <c r="U3207" i="1"/>
  <c r="P333" i="1"/>
  <c r="H7" i="1"/>
  <c r="I1992" i="1"/>
  <c r="N3024" i="1"/>
  <c r="H430" i="1"/>
  <c r="P3626" i="1"/>
  <c r="P164" i="1"/>
  <c r="N1234" i="1"/>
  <c r="D2724" i="1"/>
  <c r="U2673" i="1"/>
  <c r="J1407" i="1"/>
  <c r="Q1253" i="1"/>
  <c r="O416" i="1"/>
  <c r="Q1372" i="1"/>
  <c r="J649" i="1"/>
  <c r="O1294" i="1"/>
  <c r="D443" i="1"/>
  <c r="Q1785" i="1"/>
  <c r="H1258" i="1"/>
  <c r="J2857" i="1"/>
  <c r="N2077" i="1"/>
  <c r="H3420" i="1"/>
  <c r="N121" i="1"/>
  <c r="N369" i="1"/>
  <c r="J2304" i="1"/>
  <c r="AT1944" i="1"/>
  <c r="J2463" i="1"/>
  <c r="U3608" i="1"/>
  <c r="O3071" i="1"/>
  <c r="O1621" i="1"/>
  <c r="P1186" i="1"/>
  <c r="I2911" i="1"/>
  <c r="J3300" i="1"/>
  <c r="U994" i="1"/>
  <c r="Q1283" i="1"/>
  <c r="N379" i="1"/>
  <c r="H1161" i="1"/>
  <c r="Q2597" i="1"/>
  <c r="AT2889" i="1"/>
  <c r="U3285" i="1"/>
  <c r="I2668" i="1"/>
  <c r="AT3101" i="1"/>
  <c r="M1124" i="1"/>
  <c r="U1443" i="1"/>
  <c r="O194" i="1"/>
  <c r="U3164" i="1"/>
  <c r="N2339" i="1"/>
  <c r="N581" i="1"/>
  <c r="AT3618" i="1"/>
  <c r="Q903" i="1"/>
  <c r="D140" i="1"/>
  <c r="M2924" i="1"/>
  <c r="J2975" i="1"/>
  <c r="P708" i="1"/>
  <c r="P828" i="1"/>
  <c r="D1268" i="1"/>
  <c r="O2689" i="1"/>
  <c r="O1062" i="1"/>
  <c r="P1244" i="1"/>
  <c r="I496" i="1"/>
  <c r="N497" i="1"/>
  <c r="Q2368" i="1"/>
  <c r="N1115" i="1"/>
  <c r="D2417" i="1"/>
  <c r="U2108" i="1"/>
  <c r="N1306" i="1"/>
  <c r="I814" i="1"/>
  <c r="D2404" i="1"/>
  <c r="N1345" i="1"/>
  <c r="N2373" i="1"/>
  <c r="I2359" i="1"/>
  <c r="I3084" i="1"/>
  <c r="J2801" i="1"/>
  <c r="O878" i="1"/>
  <c r="AT3473" i="1"/>
  <c r="AT2428" i="1"/>
  <c r="I1095" i="1"/>
  <c r="N3126" i="1"/>
  <c r="AT2726" i="1"/>
  <c r="Q240" i="1"/>
  <c r="P604" i="1"/>
  <c r="J1556" i="1"/>
  <c r="O3423" i="1"/>
  <c r="D1016" i="1"/>
  <c r="M2064" i="1"/>
  <c r="I1726" i="1"/>
  <c r="M3379" i="1"/>
  <c r="K1021" i="1"/>
  <c r="D3525" i="1"/>
  <c r="J2398" i="1"/>
  <c r="I716" i="1"/>
  <c r="H1899" i="1"/>
  <c r="U2289" i="1"/>
  <c r="D2383" i="1"/>
  <c r="D3309" i="1"/>
  <c r="P609" i="1"/>
  <c r="J533" i="1"/>
  <c r="H1113" i="1"/>
  <c r="Q134" i="1"/>
  <c r="K2354" i="1"/>
  <c r="I2822" i="1"/>
  <c r="AT2227" i="1"/>
  <c r="P275" i="1"/>
  <c r="U253" i="1"/>
  <c r="O238" i="1"/>
  <c r="AT2366" i="1"/>
  <c r="N3394" i="1"/>
  <c r="U2298" i="1"/>
  <c r="AT2413" i="1"/>
  <c r="AT1036" i="1"/>
  <c r="U2672" i="1"/>
  <c r="N1953" i="1"/>
  <c r="P402" i="1"/>
  <c r="Q204" i="1"/>
  <c r="P591" i="1"/>
  <c r="M1914" i="1"/>
  <c r="D711" i="1"/>
  <c r="O2856" i="1"/>
  <c r="M2925" i="1"/>
  <c r="D3171" i="1"/>
  <c r="M2855" i="1"/>
  <c r="Q2442" i="1"/>
  <c r="M120" i="1"/>
  <c r="H611" i="1"/>
  <c r="J2668" i="1"/>
  <c r="O3539" i="1"/>
  <c r="AT1636" i="1"/>
  <c r="P1201" i="1"/>
  <c r="U1901" i="1"/>
  <c r="H447" i="1"/>
  <c r="D2692" i="1"/>
  <c r="AT2972" i="1"/>
  <c r="Q3504" i="1"/>
  <c r="M1414" i="1"/>
  <c r="D2592" i="1"/>
  <c r="J1643" i="1"/>
  <c r="K2839" i="1"/>
  <c r="U1593" i="1"/>
  <c r="Q1084" i="1"/>
  <c r="AT2325" i="1"/>
  <c r="N2367" i="1"/>
  <c r="M2400" i="1"/>
  <c r="AT138" i="1"/>
  <c r="M2546" i="1"/>
  <c r="H1874" i="1"/>
  <c r="Q3092" i="1"/>
  <c r="M310" i="1"/>
  <c r="I1272" i="1"/>
  <c r="D2999" i="1"/>
  <c r="Q278" i="1"/>
  <c r="M912" i="1"/>
  <c r="N3285" i="1"/>
  <c r="P547" i="1"/>
  <c r="K2925" i="1"/>
  <c r="AT3152" i="1"/>
  <c r="U2002" i="1"/>
  <c r="AT2068" i="1"/>
  <c r="N1016" i="1"/>
  <c r="N2430" i="1"/>
  <c r="I2889" i="1"/>
  <c r="K2123" i="1"/>
  <c r="I3124" i="1"/>
  <c r="Q68" i="1"/>
  <c r="N1486" i="1"/>
  <c r="P3454" i="1"/>
  <c r="AT338" i="1"/>
  <c r="M1059" i="1"/>
  <c r="M2118" i="1"/>
  <c r="AT600" i="1"/>
  <c r="P1231" i="1"/>
  <c r="AT234" i="1"/>
  <c r="D918" i="1"/>
  <c r="M1585" i="1"/>
  <c r="U1600" i="1"/>
  <c r="D2156" i="1"/>
  <c r="Q556" i="1"/>
  <c r="D2844" i="1"/>
  <c r="P792" i="1"/>
  <c r="AT3553" i="1"/>
  <c r="AT274" i="1"/>
  <c r="Q2553" i="1"/>
  <c r="P3098" i="1"/>
  <c r="D2211" i="1"/>
  <c r="H2882" i="1"/>
  <c r="D2964" i="1"/>
  <c r="N3365" i="1"/>
  <c r="Q639" i="1"/>
  <c r="O808" i="1"/>
  <c r="Q1079" i="1"/>
  <c r="M2352" i="1"/>
  <c r="D1326" i="1"/>
  <c r="AT2897" i="1"/>
  <c r="U1877" i="1"/>
  <c r="N3389" i="1"/>
  <c r="M1550" i="1"/>
  <c r="P1412" i="1"/>
  <c r="K2314" i="1"/>
  <c r="N3433" i="1"/>
  <c r="AT1760" i="1"/>
  <c r="N3590" i="1"/>
  <c r="M3210" i="1"/>
  <c r="M3635" i="1"/>
  <c r="M1782" i="1"/>
  <c r="U3373" i="1"/>
  <c r="AT1731" i="1"/>
  <c r="O671" i="1"/>
  <c r="D668" i="1"/>
  <c r="M1557" i="1"/>
  <c r="N3466" i="1"/>
  <c r="I3168" i="1"/>
  <c r="AT261" i="1"/>
  <c r="D2014" i="1"/>
  <c r="D2090" i="1"/>
  <c r="P1331" i="1"/>
  <c r="N2443" i="1"/>
  <c r="P2321" i="1"/>
  <c r="AT1967" i="1"/>
  <c r="K776" i="1"/>
  <c r="U2311" i="1"/>
  <c r="Q1483" i="1"/>
  <c r="O2181" i="1"/>
  <c r="M2485" i="1"/>
  <c r="D1195" i="1"/>
  <c r="O1312" i="1"/>
  <c r="O117" i="1"/>
  <c r="P1780" i="1"/>
  <c r="U404" i="1"/>
  <c r="U740" i="1"/>
  <c r="H3080" i="1"/>
  <c r="AT1874" i="1"/>
  <c r="O2725" i="1"/>
  <c r="D1290" i="1"/>
  <c r="Q1943" i="1"/>
  <c r="H2710" i="1"/>
  <c r="N1186" i="1"/>
  <c r="D3393" i="1"/>
  <c r="D1959" i="1"/>
  <c r="AT89" i="1"/>
  <c r="P446" i="1"/>
  <c r="K725" i="1"/>
  <c r="P1346" i="1"/>
  <c r="N2524" i="1"/>
  <c r="I1093" i="1"/>
  <c r="P3315" i="1"/>
  <c r="P647" i="1"/>
  <c r="I3367" i="1"/>
  <c r="Q2100" i="1"/>
  <c r="N3511" i="1"/>
  <c r="H3304" i="1"/>
  <c r="D1361" i="1"/>
  <c r="I1312" i="1"/>
  <c r="H2903" i="1"/>
  <c r="Q3114" i="1"/>
  <c r="U1808" i="1"/>
  <c r="J3350" i="1"/>
  <c r="D71" i="1"/>
  <c r="K3188" i="1"/>
  <c r="H323" i="1"/>
  <c r="P162" i="1"/>
  <c r="D2784" i="1"/>
  <c r="AT2919" i="1"/>
  <c r="J1292" i="1"/>
  <c r="AT880" i="1"/>
  <c r="M1057" i="1"/>
  <c r="O1960" i="1"/>
  <c r="D2231" i="1"/>
  <c r="AT2609" i="1"/>
  <c r="U311" i="1"/>
  <c r="K1087" i="1"/>
  <c r="N3026" i="1"/>
  <c r="N1152" i="1"/>
  <c r="M2268" i="1"/>
  <c r="AT3272" i="1"/>
  <c r="O1077" i="1"/>
  <c r="P1943" i="1"/>
  <c r="P3099" i="1"/>
  <c r="D2670" i="1"/>
  <c r="AT2567" i="1"/>
  <c r="AT3577" i="1"/>
  <c r="AT860" i="1"/>
  <c r="P2842" i="1"/>
  <c r="O520" i="1"/>
  <c r="AT1459" i="1"/>
  <c r="Q3186" i="1"/>
  <c r="H3102" i="1"/>
  <c r="M3205" i="1"/>
  <c r="I616" i="1"/>
  <c r="D1394" i="1"/>
  <c r="K2051" i="1"/>
  <c r="D459" i="1"/>
  <c r="AT2396" i="1"/>
  <c r="K1802" i="1"/>
  <c r="M3381" i="1"/>
  <c r="D1802" i="1"/>
  <c r="AT182" i="1"/>
  <c r="D335" i="1"/>
  <c r="M2377" i="1"/>
  <c r="D2575" i="1"/>
  <c r="J3056" i="1"/>
  <c r="D502" i="1"/>
  <c r="N38" i="1"/>
  <c r="I983" i="1"/>
  <c r="K1848" i="1"/>
  <c r="N2586" i="1"/>
  <c r="AT2873" i="1"/>
  <c r="M3111" i="1"/>
  <c r="M109" i="1"/>
  <c r="H3641" i="1"/>
  <c r="D2851" i="1"/>
  <c r="Q3620" i="1"/>
  <c r="P2807" i="1"/>
  <c r="N1136" i="1"/>
  <c r="P2715" i="1"/>
  <c r="M2419" i="1"/>
  <c r="Q2625" i="1"/>
  <c r="K2907" i="1"/>
  <c r="N1330" i="1"/>
  <c r="P3504" i="1"/>
  <c r="Q3057" i="1"/>
  <c r="M3350" i="1"/>
  <c r="O902" i="1"/>
  <c r="P2661" i="1"/>
  <c r="O2528" i="1"/>
  <c r="D6" i="1"/>
  <c r="P1471" i="1"/>
  <c r="H700" i="1"/>
  <c r="N2910" i="1"/>
  <c r="M1310" i="1"/>
  <c r="H2155" i="1"/>
  <c r="AT279" i="1"/>
  <c r="O830" i="1"/>
  <c r="AT3337" i="1"/>
  <c r="AT3389" i="1"/>
  <c r="J370" i="1"/>
  <c r="I2000" i="1"/>
  <c r="P2117" i="1"/>
  <c r="M2043" i="1"/>
  <c r="D646" i="1"/>
  <c r="O1645" i="1"/>
  <c r="AT3431" i="1"/>
  <c r="U2769" i="1"/>
  <c r="D1811" i="1"/>
  <c r="J3299" i="1"/>
  <c r="D1235" i="1"/>
  <c r="I2472" i="1"/>
  <c r="O2916" i="1"/>
  <c r="M1415" i="1"/>
  <c r="H562" i="1"/>
  <c r="P2489" i="1"/>
  <c r="H1524" i="1"/>
  <c r="D3022" i="1"/>
  <c r="AT3584" i="1"/>
  <c r="U1735" i="1"/>
  <c r="D1761" i="1"/>
  <c r="Q2320" i="1"/>
  <c r="N418" i="1"/>
  <c r="AT2315" i="1"/>
  <c r="D1608" i="1"/>
  <c r="M2481" i="1"/>
  <c r="H1457" i="1"/>
  <c r="AT1476" i="1"/>
  <c r="K3399" i="1"/>
  <c r="AT533" i="1"/>
  <c r="Q65" i="1"/>
  <c r="M1465" i="1"/>
  <c r="I560" i="1"/>
  <c r="AT509" i="1"/>
  <c r="K1709" i="1"/>
  <c r="M1410" i="1"/>
  <c r="H373" i="1"/>
  <c r="Q3131" i="1"/>
  <c r="I1028" i="1"/>
  <c r="M2307" i="1"/>
  <c r="D3257" i="1"/>
  <c r="U2565" i="1"/>
  <c r="P2728" i="1"/>
  <c r="P478" i="1"/>
  <c r="D3140" i="1"/>
  <c r="N1765" i="1"/>
  <c r="I2280" i="1"/>
  <c r="N3088" i="1"/>
  <c r="M405" i="1"/>
  <c r="P674" i="1"/>
  <c r="U2710" i="1"/>
  <c r="P2476" i="1"/>
  <c r="U2558" i="1"/>
  <c r="M1440" i="1"/>
  <c r="D657" i="1"/>
  <c r="AT2610" i="1"/>
  <c r="P3365" i="1"/>
  <c r="O1984" i="1"/>
  <c r="N2146" i="1"/>
  <c r="M3056" i="1"/>
  <c r="N2460" i="1"/>
  <c r="N854" i="1"/>
  <c r="P152" i="1"/>
  <c r="M1375" i="1"/>
  <c r="M923" i="1"/>
  <c r="D566" i="1"/>
  <c r="N2211" i="1"/>
  <c r="O3524" i="1"/>
  <c r="N3168" i="1"/>
  <c r="N1005" i="1"/>
  <c r="AT3108" i="1"/>
  <c r="H2774" i="1"/>
  <c r="Q924" i="1"/>
  <c r="N2826" i="1"/>
  <c r="O2064" i="1"/>
  <c r="D2269" i="1"/>
  <c r="P2041" i="1"/>
  <c r="N2300" i="1"/>
  <c r="AT978" i="1"/>
  <c r="Q1178" i="1"/>
  <c r="O2697" i="1"/>
  <c r="I1463" i="1"/>
  <c r="D3573" i="1"/>
  <c r="M40" i="1"/>
  <c r="D2740" i="1"/>
  <c r="P1085" i="1"/>
  <c r="O2404" i="1"/>
  <c r="Q1605" i="1"/>
  <c r="P55" i="1"/>
  <c r="M1985" i="1"/>
  <c r="O911" i="1"/>
  <c r="K3510" i="1"/>
  <c r="K729" i="1"/>
  <c r="M3428" i="1"/>
  <c r="N2867" i="1"/>
  <c r="K2115" i="1"/>
  <c r="I1107" i="1"/>
  <c r="AT1295" i="1"/>
  <c r="N1670" i="1"/>
  <c r="N53" i="1"/>
  <c r="M1253" i="1"/>
  <c r="Q233" i="1"/>
  <c r="AT539" i="1"/>
  <c r="I2644" i="1"/>
  <c r="H2824" i="1"/>
  <c r="M3161" i="1"/>
  <c r="D2169" i="1"/>
  <c r="P1264" i="1"/>
  <c r="U307" i="1"/>
  <c r="N823" i="1"/>
  <c r="J2820" i="1"/>
  <c r="H412" i="1"/>
  <c r="I646" i="1"/>
  <c r="N173" i="1"/>
  <c r="N3540" i="1"/>
  <c r="D218" i="1"/>
  <c r="Q504" i="1"/>
  <c r="AT1310" i="1"/>
  <c r="U1827" i="1"/>
  <c r="AT3476" i="1"/>
  <c r="H538" i="1"/>
  <c r="U645" i="1"/>
  <c r="S725" i="1"/>
  <c r="J716" i="1"/>
  <c r="AT2820" i="1"/>
  <c r="I1642" i="1"/>
  <c r="P1176" i="1"/>
  <c r="M704" i="1"/>
  <c r="Q2249" i="1"/>
  <c r="I1651" i="1"/>
  <c r="N2619" i="1"/>
  <c r="I1503" i="1"/>
  <c r="H204" i="1"/>
  <c r="U1127" i="1"/>
  <c r="O3599" i="1"/>
  <c r="U884" i="1"/>
  <c r="I206" i="1"/>
  <c r="P114" i="1"/>
  <c r="AT2230" i="1"/>
  <c r="U597" i="1"/>
  <c r="P1641" i="1"/>
  <c r="H2941" i="1"/>
  <c r="U408" i="1"/>
  <c r="H3117" i="1"/>
  <c r="O470" i="1"/>
  <c r="K674" i="1"/>
  <c r="Q1905" i="1"/>
  <c r="D3491" i="1"/>
  <c r="M273" i="1"/>
  <c r="O2758" i="1"/>
  <c r="H235" i="1"/>
  <c r="Q2582" i="1"/>
  <c r="D3562" i="1"/>
  <c r="O3373" i="1"/>
  <c r="P3070" i="1"/>
  <c r="AT1443" i="1"/>
  <c r="O176" i="1"/>
  <c r="P534" i="1"/>
  <c r="J2997" i="1"/>
  <c r="N1000" i="1"/>
  <c r="O1550" i="1"/>
  <c r="Q3539" i="1"/>
  <c r="M1131" i="1"/>
  <c r="H3501" i="1"/>
  <c r="AT519" i="1"/>
  <c r="M2029" i="1"/>
  <c r="H1269" i="1"/>
  <c r="D3236" i="1"/>
  <c r="H1504" i="1"/>
  <c r="M335" i="1"/>
  <c r="N347" i="1"/>
  <c r="U2990" i="1"/>
  <c r="M3487" i="1"/>
  <c r="P737" i="1"/>
  <c r="H1905" i="1"/>
  <c r="AT210" i="1"/>
  <c r="J1909" i="1"/>
  <c r="N65" i="1"/>
  <c r="Q3075" i="1"/>
  <c r="H1772" i="1"/>
  <c r="AT1880" i="1"/>
  <c r="M284" i="1"/>
  <c r="O979" i="1"/>
  <c r="Q2135" i="1"/>
  <c r="D3400" i="1"/>
  <c r="M843" i="1"/>
  <c r="P1547" i="1"/>
  <c r="K2018" i="1"/>
  <c r="N267" i="1"/>
  <c r="N1111" i="1"/>
  <c r="H927" i="1"/>
  <c r="D1754" i="1"/>
  <c r="H834" i="1"/>
  <c r="U3246" i="1"/>
  <c r="N1977" i="1"/>
  <c r="J2433" i="1"/>
  <c r="K804" i="1"/>
  <c r="J3344" i="1"/>
  <c r="H2430" i="1"/>
  <c r="H2391" i="1"/>
  <c r="AT1280" i="1"/>
  <c r="D1984" i="1"/>
  <c r="H1288" i="1"/>
  <c r="J2743" i="1"/>
  <c r="O900" i="1"/>
  <c r="O602" i="1"/>
  <c r="I35" i="1"/>
  <c r="U1272" i="1"/>
  <c r="K559" i="1"/>
  <c r="O2800" i="1"/>
  <c r="N323" i="1"/>
  <c r="U1037" i="1"/>
  <c r="D1730" i="1"/>
  <c r="U2745" i="1"/>
  <c r="I2750" i="1"/>
  <c r="P456" i="1"/>
  <c r="K623" i="1"/>
  <c r="D2848" i="1"/>
  <c r="Q213" i="1"/>
  <c r="M2294" i="1"/>
  <c r="Q3437" i="1"/>
  <c r="M2255" i="1"/>
  <c r="O1330" i="1"/>
  <c r="D742" i="1"/>
  <c r="M965" i="1"/>
  <c r="AT1382" i="1"/>
  <c r="Q342" i="1"/>
  <c r="O2081" i="1"/>
  <c r="U1940" i="1"/>
  <c r="N681" i="1"/>
  <c r="K2945" i="1"/>
  <c r="Q3335" i="1"/>
  <c r="U891" i="1"/>
  <c r="U511" i="1"/>
  <c r="U1144" i="1"/>
  <c r="AT1753" i="1"/>
  <c r="H2503" i="1"/>
  <c r="AT3195" i="1"/>
  <c r="M884" i="1"/>
  <c r="AT1040" i="1"/>
  <c r="O2227" i="1"/>
  <c r="H3502" i="1"/>
  <c r="D2726" i="1"/>
  <c r="N273" i="1"/>
  <c r="M3022" i="1"/>
  <c r="J135" i="1"/>
  <c r="N1606" i="1"/>
  <c r="N2873" i="1"/>
  <c r="O2084" i="1"/>
  <c r="AT3472" i="1"/>
  <c r="N33" i="1"/>
  <c r="I1163" i="1"/>
  <c r="I184" i="1"/>
  <c r="U637" i="1"/>
  <c r="H1498" i="1"/>
  <c r="H3510" i="1"/>
  <c r="D1477" i="1"/>
  <c r="M3562" i="1"/>
  <c r="D86" i="1"/>
  <c r="Q2725" i="1"/>
  <c r="D1636" i="1"/>
  <c r="Q114" i="1"/>
  <c r="N2809" i="1"/>
  <c r="O3058" i="1"/>
  <c r="AT1520" i="1"/>
  <c r="O689" i="1"/>
  <c r="AT2042" i="1"/>
  <c r="Q1122" i="1"/>
  <c r="P183" i="1"/>
  <c r="N2975" i="1"/>
  <c r="Q2155" i="1"/>
  <c r="D1800" i="1"/>
  <c r="D1224" i="1"/>
  <c r="D1585" i="1"/>
  <c r="P2640" i="1"/>
  <c r="I3598" i="1"/>
  <c r="N1063" i="1"/>
  <c r="U113" i="1"/>
  <c r="U2889" i="1"/>
  <c r="Q2689" i="1"/>
  <c r="I2530" i="1"/>
  <c r="O3456" i="1"/>
  <c r="U2104" i="1"/>
  <c r="N1282" i="1"/>
  <c r="D3076" i="1"/>
  <c r="AT2475" i="1"/>
  <c r="J3420" i="1"/>
  <c r="M2966" i="1"/>
  <c r="I699" i="1"/>
  <c r="AT1081" i="1"/>
  <c r="O1012" i="1"/>
  <c r="J2458" i="1"/>
  <c r="I3052" i="1"/>
  <c r="AT439" i="1"/>
  <c r="J1759" i="1"/>
  <c r="M2302" i="1"/>
  <c r="M648" i="1"/>
  <c r="Q2072" i="1"/>
  <c r="P315" i="1"/>
  <c r="I1036" i="1"/>
  <c r="K1707" i="1"/>
  <c r="H2171" i="1"/>
  <c r="U2659" i="1"/>
  <c r="I672" i="1"/>
  <c r="M1897" i="1"/>
  <c r="U3032" i="1"/>
  <c r="Q1326" i="1"/>
  <c r="AT1578" i="1"/>
  <c r="N2344" i="1"/>
  <c r="H837" i="1"/>
  <c r="H55" i="1"/>
  <c r="U2184" i="1"/>
  <c r="M3295" i="1"/>
  <c r="H3520" i="1"/>
  <c r="N1375" i="1"/>
  <c r="K1877" i="1"/>
  <c r="N3579" i="1"/>
  <c r="U2306" i="1"/>
  <c r="M3561" i="1"/>
  <c r="M2092" i="1"/>
  <c r="Q2187" i="1"/>
  <c r="N3632" i="1"/>
  <c r="AT2622" i="1"/>
  <c r="N3282" i="1"/>
  <c r="Q2546" i="1"/>
  <c r="U3243" i="1"/>
  <c r="P2652" i="1"/>
  <c r="H867" i="1"/>
  <c r="D1181" i="1"/>
  <c r="D1242" i="1"/>
  <c r="D802" i="1"/>
  <c r="N1646" i="1"/>
  <c r="M2109" i="1"/>
  <c r="N378" i="1"/>
  <c r="J247" i="1"/>
  <c r="P22" i="1"/>
  <c r="U3469" i="1"/>
  <c r="N2143" i="1"/>
  <c r="M8" i="1"/>
  <c r="J1490" i="1"/>
  <c r="U3202" i="1"/>
  <c r="M3532" i="1"/>
  <c r="Q2783" i="1"/>
  <c r="U2931" i="1"/>
  <c r="D2354" i="1"/>
  <c r="D783" i="1"/>
  <c r="M1918" i="1"/>
  <c r="P3092" i="1"/>
  <c r="D1234" i="1"/>
  <c r="O242" i="1"/>
  <c r="O2336" i="1"/>
  <c r="O240" i="1"/>
  <c r="O2108" i="1"/>
  <c r="N506" i="1"/>
  <c r="J1746" i="1"/>
  <c r="P2206" i="1"/>
  <c r="M1271" i="1"/>
  <c r="M3104" i="1"/>
  <c r="K2182" i="1"/>
  <c r="M1825" i="1"/>
  <c r="N762" i="1"/>
  <c r="AT238" i="1"/>
  <c r="I1051" i="1"/>
  <c r="H2729" i="1"/>
  <c r="M1088" i="1"/>
  <c r="K2814" i="1"/>
  <c r="J2112" i="1"/>
  <c r="J426" i="1"/>
  <c r="AT257" i="1"/>
  <c r="AT2926" i="1"/>
  <c r="AT383" i="1"/>
  <c r="I3616" i="1"/>
  <c r="P2850" i="1"/>
  <c r="Q2672" i="1"/>
  <c r="O1951" i="1"/>
  <c r="U2065" i="1"/>
  <c r="Q3080" i="1"/>
  <c r="AT991" i="1"/>
  <c r="D548" i="1"/>
  <c r="K2923" i="1"/>
  <c r="I1895" i="1"/>
  <c r="J102" i="1"/>
  <c r="K1852" i="1"/>
  <c r="J238" i="1"/>
  <c r="AT1388" i="1"/>
  <c r="P2097" i="1"/>
  <c r="N646" i="1"/>
  <c r="I1079" i="1"/>
  <c r="K748" i="1"/>
  <c r="K545" i="1"/>
  <c r="J3544" i="1"/>
  <c r="H3558" i="1"/>
  <c r="K1758" i="1"/>
  <c r="K1482" i="1"/>
  <c r="D3444" i="1"/>
  <c r="Q1955" i="1"/>
  <c r="K2793" i="1"/>
  <c r="Q2573" i="1"/>
  <c r="Q3341" i="1"/>
  <c r="Q1233" i="1"/>
  <c r="O3353" i="1"/>
  <c r="N2237" i="1"/>
  <c r="AT2899" i="1"/>
  <c r="J489" i="1"/>
  <c r="O589" i="1"/>
  <c r="P1282" i="1"/>
  <c r="J991" i="1"/>
  <c r="D2887" i="1"/>
  <c r="O2651" i="1"/>
  <c r="O153" i="1"/>
  <c r="D1160" i="1"/>
  <c r="H9" i="1"/>
  <c r="O696" i="1"/>
  <c r="N2383" i="1"/>
  <c r="J1145" i="1"/>
  <c r="D475" i="1"/>
  <c r="K2996" i="1"/>
  <c r="M3544" i="1"/>
  <c r="P936" i="1"/>
  <c r="M2889" i="1"/>
  <c r="AT1942" i="1"/>
  <c r="N2909" i="1"/>
  <c r="J875" i="1"/>
  <c r="AT1925" i="1"/>
  <c r="M882" i="1"/>
  <c r="D3563" i="1"/>
  <c r="U1292" i="1"/>
  <c r="N2799" i="1"/>
  <c r="O829" i="1"/>
  <c r="I2387" i="1"/>
  <c r="M1491" i="1"/>
  <c r="AT2156" i="1"/>
  <c r="H3227" i="1"/>
  <c r="AT258" i="1"/>
  <c r="D774" i="1"/>
  <c r="H3121" i="1"/>
  <c r="AT1055" i="1"/>
  <c r="P8" i="1"/>
  <c r="N2130" i="1"/>
  <c r="M1123" i="1"/>
  <c r="Q1255" i="1"/>
  <c r="N2615" i="1"/>
  <c r="I2180" i="1"/>
  <c r="K2515" i="1"/>
  <c r="U2491" i="1"/>
  <c r="O2618" i="1"/>
  <c r="M3080" i="1"/>
  <c r="M3560" i="1"/>
  <c r="AT848" i="1"/>
  <c r="O1034" i="1"/>
  <c r="O3047" i="1"/>
  <c r="O3435" i="1"/>
  <c r="I3498" i="1"/>
  <c r="U3442" i="1"/>
  <c r="AT3" i="1"/>
  <c r="J1052" i="1"/>
  <c r="I2085" i="1"/>
  <c r="H379" i="1"/>
  <c r="Q654" i="1"/>
  <c r="U3436" i="1"/>
  <c r="Q3532" i="1"/>
  <c r="N3134" i="1"/>
  <c r="M2723" i="1"/>
  <c r="P1051" i="1"/>
  <c r="AT2055" i="1"/>
  <c r="D3260" i="1"/>
  <c r="N196" i="1"/>
  <c r="H3074" i="1"/>
  <c r="J2666" i="1"/>
  <c r="N3325" i="1"/>
  <c r="AT2127" i="1"/>
  <c r="P813" i="1"/>
  <c r="M891" i="1"/>
  <c r="M3072" i="1"/>
  <c r="D2715" i="1"/>
  <c r="M1822" i="1"/>
  <c r="H2428" i="1"/>
  <c r="P1054" i="1"/>
  <c r="AT3159" i="1"/>
  <c r="U2120" i="1"/>
  <c r="N1851" i="1"/>
  <c r="D2476" i="1"/>
  <c r="O179" i="1"/>
  <c r="AT2322" i="1"/>
  <c r="M375" i="1"/>
  <c r="H3259" i="1"/>
  <c r="AT433" i="1"/>
  <c r="AT2482" i="1"/>
  <c r="Q3291" i="1"/>
  <c r="Q1522" i="1"/>
  <c r="N1192" i="1"/>
  <c r="H2763" i="1"/>
  <c r="P1077" i="1"/>
  <c r="O1532" i="1"/>
  <c r="U3582" i="1"/>
  <c r="J1018" i="1"/>
  <c r="D2161" i="1"/>
  <c r="D206" i="1"/>
  <c r="H685" i="1"/>
  <c r="U366" i="1"/>
  <c r="M3366" i="1"/>
  <c r="U3188" i="1"/>
  <c r="I1120" i="1"/>
  <c r="M3394" i="1"/>
  <c r="D1830" i="1"/>
  <c r="K1172" i="1"/>
  <c r="U44" i="1"/>
  <c r="Q2188" i="1"/>
  <c r="O1065" i="1"/>
  <c r="J1320" i="1"/>
  <c r="J2935" i="1"/>
  <c r="D3269" i="1"/>
  <c r="P214" i="1"/>
  <c r="Q2733" i="1"/>
  <c r="J3039" i="1"/>
  <c r="M3430" i="1"/>
  <c r="P1144" i="1"/>
  <c r="N2927" i="1"/>
  <c r="K2848" i="1"/>
  <c r="N2370" i="1"/>
  <c r="O879" i="1"/>
  <c r="AT1617" i="1"/>
  <c r="J550" i="1"/>
  <c r="O2495" i="1"/>
  <c r="M3511" i="1"/>
  <c r="N2214" i="1"/>
  <c r="N2806" i="1"/>
  <c r="P599" i="1"/>
  <c r="K2355" i="1"/>
  <c r="P2323" i="1"/>
  <c r="AT3000" i="1"/>
  <c r="U2433" i="1"/>
  <c r="H880" i="1"/>
  <c r="D3278" i="1"/>
  <c r="M985" i="1"/>
  <c r="AT1351" i="1"/>
  <c r="N1149" i="1"/>
  <c r="H1739" i="1"/>
  <c r="U651" i="1"/>
  <c r="H501" i="1"/>
  <c r="Q152" i="1"/>
  <c r="P217" i="1"/>
  <c r="O3609" i="1"/>
  <c r="U968" i="1"/>
  <c r="N2364" i="1"/>
  <c r="AT195" i="1"/>
  <c r="U3307" i="1"/>
  <c r="D3285" i="1"/>
  <c r="O418" i="1"/>
  <c r="U514" i="1"/>
  <c r="O1796" i="1"/>
  <c r="M812" i="1"/>
  <c r="U3597" i="1"/>
  <c r="P827" i="1"/>
  <c r="H453" i="1"/>
  <c r="AT634" i="1"/>
  <c r="Q2120" i="1"/>
  <c r="AT26" i="1"/>
  <c r="P3489" i="1"/>
  <c r="P206" i="1"/>
  <c r="D631" i="1"/>
  <c r="AT87" i="1"/>
  <c r="M690" i="1"/>
  <c r="N2200" i="1"/>
  <c r="Q686" i="1"/>
  <c r="I3343" i="1"/>
  <c r="Q2632" i="1"/>
  <c r="O638" i="1"/>
  <c r="M3233" i="1"/>
  <c r="D1207" i="1"/>
  <c r="AT176" i="1"/>
  <c r="K1052" i="1"/>
  <c r="N1770" i="1"/>
  <c r="U3354" i="1"/>
  <c r="K3223" i="1"/>
  <c r="I3091" i="1"/>
  <c r="Q805" i="1"/>
  <c r="U176" i="1"/>
  <c r="D683" i="1"/>
  <c r="P3442" i="1"/>
  <c r="O3357" i="1"/>
  <c r="AT3175" i="1"/>
  <c r="D2771" i="1"/>
  <c r="J780" i="1"/>
  <c r="AT199" i="1"/>
  <c r="M2081" i="1"/>
  <c r="P540" i="1"/>
  <c r="AT344" i="1"/>
  <c r="H163" i="1"/>
  <c r="N804" i="1"/>
  <c r="O2004" i="1"/>
  <c r="H301" i="1"/>
  <c r="Q228" i="1"/>
  <c r="Q2359" i="1"/>
  <c r="P2146" i="1"/>
  <c r="P211" i="1"/>
  <c r="J1553" i="1"/>
  <c r="M1571" i="1"/>
  <c r="O642" i="1"/>
  <c r="I279" i="1"/>
  <c r="Q3012" i="1"/>
  <c r="N1291" i="1"/>
  <c r="AT3048" i="1"/>
  <c r="AT3173" i="1"/>
  <c r="P983" i="1"/>
  <c r="AT3603" i="1"/>
  <c r="O2860" i="1"/>
  <c r="Q3593" i="1"/>
  <c r="Q3356" i="1"/>
  <c r="N632" i="1"/>
  <c r="AT1053" i="1"/>
  <c r="J2030" i="1"/>
  <c r="N602" i="1"/>
  <c r="I1557" i="1"/>
  <c r="N297" i="1"/>
  <c r="AT3093" i="1"/>
  <c r="M683" i="1"/>
  <c r="D1700" i="1"/>
  <c r="P144" i="1"/>
  <c r="D2384" i="1"/>
  <c r="N3212" i="1"/>
  <c r="D3181" i="1"/>
  <c r="AT760" i="1"/>
  <c r="U1242" i="1"/>
  <c r="M1039" i="1"/>
  <c r="P3495" i="1"/>
  <c r="P2090" i="1"/>
  <c r="N1458" i="1"/>
  <c r="O1674" i="1"/>
  <c r="O741" i="1"/>
  <c r="H2029" i="1"/>
  <c r="M2439" i="1"/>
  <c r="J845" i="1"/>
  <c r="I1500" i="1"/>
  <c r="O859" i="1"/>
  <c r="K2920" i="1"/>
  <c r="O3523" i="1"/>
  <c r="K1631" i="1"/>
  <c r="N1779" i="1"/>
  <c r="H1420" i="1"/>
  <c r="AT1916" i="1"/>
  <c r="M1353" i="1"/>
  <c r="H673" i="1"/>
  <c r="K1403" i="1"/>
  <c r="J1689" i="1"/>
  <c r="N3406" i="1"/>
  <c r="AT983" i="1"/>
  <c r="K991" i="1"/>
  <c r="I686" i="1"/>
  <c r="AT1628" i="1"/>
  <c r="I1434" i="1"/>
  <c r="I3471" i="1"/>
  <c r="I2952" i="1"/>
  <c r="P3287" i="1"/>
  <c r="H1818" i="1"/>
  <c r="J2853" i="1"/>
  <c r="M3530" i="1"/>
  <c r="P1495" i="1"/>
  <c r="K1667" i="1"/>
  <c r="H3155" i="1"/>
  <c r="U258" i="1"/>
  <c r="H236" i="1"/>
  <c r="O1540" i="1"/>
  <c r="N780" i="1"/>
  <c r="U421" i="1"/>
  <c r="O1198" i="1"/>
  <c r="Q2674" i="1"/>
  <c r="N1309" i="1"/>
  <c r="P1967" i="1"/>
  <c r="O501" i="1"/>
  <c r="O2326" i="1"/>
  <c r="N1957" i="1"/>
  <c r="P2152" i="1"/>
  <c r="O1418" i="1"/>
  <c r="N1370" i="1"/>
  <c r="D1872" i="1"/>
  <c r="AT609" i="1"/>
  <c r="N2995" i="1"/>
  <c r="H1351" i="1"/>
  <c r="O3324" i="1"/>
  <c r="U2970" i="1"/>
  <c r="D1686" i="1"/>
  <c r="K201" i="1"/>
  <c r="J626" i="1"/>
  <c r="AT3471" i="1"/>
  <c r="I93" i="1"/>
  <c r="O1296" i="1"/>
  <c r="P948" i="1"/>
  <c r="O1512" i="1"/>
  <c r="I1462" i="1"/>
  <c r="O2106" i="1"/>
  <c r="O211" i="1"/>
  <c r="I1452" i="1"/>
  <c r="H1698" i="1"/>
  <c r="H2685" i="1"/>
  <c r="D904" i="1"/>
  <c r="I1864" i="1"/>
  <c r="Q2699" i="1"/>
  <c r="D813" i="1"/>
  <c r="K1921" i="1"/>
  <c r="D262" i="1"/>
  <c r="N1510" i="1"/>
  <c r="I2338" i="1"/>
  <c r="H2421" i="1"/>
  <c r="Q1504" i="1"/>
  <c r="P2971" i="1"/>
  <c r="D2007" i="1"/>
  <c r="J1116" i="1"/>
  <c r="O3118" i="1"/>
  <c r="J1777" i="1"/>
  <c r="N3128" i="1"/>
  <c r="D1641" i="1"/>
  <c r="K1074" i="1"/>
  <c r="AT1807" i="1"/>
  <c r="U2387" i="1"/>
  <c r="U3120" i="1"/>
  <c r="H1674" i="1"/>
  <c r="U203" i="1"/>
  <c r="M494" i="1"/>
  <c r="N1509" i="1"/>
  <c r="O797" i="1"/>
  <c r="K1342" i="1"/>
  <c r="M3598" i="1"/>
  <c r="K3239" i="1"/>
  <c r="U1841" i="1"/>
  <c r="AT2455" i="1"/>
  <c r="Q895" i="1"/>
  <c r="J2722" i="1"/>
  <c r="O150" i="1"/>
  <c r="Q713" i="1"/>
  <c r="I2161" i="1"/>
  <c r="O1106" i="1"/>
  <c r="O474" i="1"/>
  <c r="M3640" i="1"/>
  <c r="P2229" i="1"/>
  <c r="P2922" i="1"/>
  <c r="D220" i="1"/>
  <c r="I933" i="1"/>
  <c r="M1345" i="1"/>
  <c r="N2303" i="1"/>
  <c r="H816" i="1"/>
  <c r="N1168" i="1"/>
  <c r="M2719" i="1"/>
  <c r="N1554" i="1"/>
  <c r="Q157" i="1"/>
  <c r="Q1601" i="1"/>
  <c r="D3047" i="1"/>
  <c r="D2468" i="1"/>
  <c r="N301" i="1"/>
  <c r="O1697" i="1"/>
  <c r="D1000" i="1"/>
  <c r="U2549" i="1"/>
  <c r="AT2116" i="1"/>
  <c r="N2862" i="1"/>
  <c r="Q1285" i="1"/>
  <c r="Q1567" i="1"/>
  <c r="M2639" i="1"/>
  <c r="N1511" i="1"/>
  <c r="D147" i="1"/>
  <c r="M2293" i="1"/>
  <c r="K3219" i="1"/>
  <c r="D2947" i="1"/>
  <c r="AT2659" i="1"/>
  <c r="J685" i="1"/>
  <c r="AT2542" i="1"/>
  <c r="U41" i="1"/>
  <c r="I236" i="1"/>
  <c r="Q2713" i="1"/>
  <c r="J790" i="1"/>
  <c r="P1251" i="1"/>
  <c r="Q2619" i="1"/>
  <c r="U680" i="1"/>
  <c r="P3472" i="1"/>
  <c r="P1692" i="1"/>
  <c r="K2715" i="1"/>
  <c r="Q2932" i="1"/>
  <c r="O1759" i="1"/>
  <c r="D3428" i="1"/>
  <c r="Q2841" i="1"/>
  <c r="U3513" i="1"/>
  <c r="D1881" i="1"/>
  <c r="N2893" i="1"/>
  <c r="N2293" i="1"/>
  <c r="H3456" i="1"/>
  <c r="D351" i="1"/>
  <c r="AT370" i="1"/>
  <c r="Q1414" i="1"/>
  <c r="H98" i="1"/>
  <c r="H289" i="1"/>
  <c r="D3429" i="1"/>
  <c r="O578" i="1"/>
  <c r="O195" i="1"/>
  <c r="AT1523" i="1"/>
  <c r="M219" i="1"/>
  <c r="O2847" i="1"/>
  <c r="M2712" i="1"/>
  <c r="H1808" i="1"/>
  <c r="U1908" i="1"/>
  <c r="K688" i="1"/>
  <c r="O3297" i="1"/>
  <c r="AT175" i="1"/>
  <c r="P233" i="1"/>
  <c r="U527" i="1"/>
  <c r="P1763" i="1"/>
  <c r="D848" i="1"/>
  <c r="Q725" i="1"/>
  <c r="P3470" i="1"/>
  <c r="AT3149" i="1"/>
  <c r="AT2009" i="1"/>
  <c r="Q2449" i="1"/>
  <c r="Q2195" i="1"/>
  <c r="D134" i="1"/>
  <c r="AT2222" i="1"/>
  <c r="AT2260" i="1"/>
  <c r="AT656" i="1"/>
  <c r="AT484" i="1"/>
  <c r="AT143" i="1"/>
  <c r="P2938" i="1"/>
  <c r="D924" i="1"/>
  <c r="D2477" i="1"/>
  <c r="D1565" i="1"/>
  <c r="U3075" i="1"/>
  <c r="AT821" i="1"/>
  <c r="I389" i="1"/>
  <c r="O2817" i="1"/>
  <c r="N13" i="1"/>
  <c r="M2942" i="1"/>
  <c r="K1154" i="1"/>
  <c r="D109" i="1"/>
  <c r="J51" i="1"/>
  <c r="K3530" i="1"/>
  <c r="O3253" i="1"/>
  <c r="N3491" i="1"/>
  <c r="P3459" i="1"/>
  <c r="O3259" i="1"/>
  <c r="N1762" i="1"/>
  <c r="Q247" i="1"/>
  <c r="P1180" i="1"/>
  <c r="P3116" i="1"/>
  <c r="D54" i="1"/>
  <c r="P2720" i="1"/>
  <c r="N1021" i="1"/>
  <c r="AT1463" i="1"/>
  <c r="AT1237" i="1"/>
  <c r="P3282" i="1"/>
  <c r="AT1826" i="1"/>
  <c r="AT262" i="1"/>
  <c r="D2586" i="1"/>
  <c r="O1016" i="1"/>
  <c r="N930" i="1"/>
  <c r="I246" i="1"/>
  <c r="H3042" i="1"/>
  <c r="I1683" i="1"/>
  <c r="N223" i="1"/>
  <c r="U2872" i="1"/>
  <c r="Q3088" i="1"/>
  <c r="O1580" i="1"/>
  <c r="I2776" i="1"/>
  <c r="AT1022" i="1"/>
  <c r="U2800" i="1"/>
  <c r="AT3435" i="1"/>
  <c r="M772" i="1"/>
  <c r="M3391" i="1"/>
  <c r="U778" i="1"/>
  <c r="U3456" i="1"/>
  <c r="J2001" i="1"/>
  <c r="AT1035" i="1"/>
  <c r="AT492" i="1"/>
  <c r="J3029" i="1"/>
  <c r="N349" i="1"/>
  <c r="P1899" i="1"/>
  <c r="N3344" i="1"/>
  <c r="N2835" i="1"/>
  <c r="O3065" i="1"/>
  <c r="P1910" i="1"/>
  <c r="Q2204" i="1"/>
  <c r="N1954" i="1"/>
  <c r="I2215" i="1"/>
  <c r="J1406" i="1"/>
  <c r="M444" i="1"/>
  <c r="K2052" i="1"/>
  <c r="AT3277" i="1"/>
  <c r="M2061" i="1"/>
  <c r="N3272" i="1"/>
  <c r="Q3020" i="1"/>
  <c r="D923" i="1"/>
  <c r="AT2679" i="1"/>
  <c r="D1606" i="1"/>
  <c r="M576" i="1"/>
  <c r="AT2200" i="1"/>
  <c r="N3403" i="1"/>
  <c r="N1260" i="1"/>
  <c r="H507" i="1"/>
  <c r="P1992" i="1"/>
  <c r="P1619" i="1"/>
  <c r="O654" i="1"/>
  <c r="D1514" i="1"/>
  <c r="M755" i="1"/>
  <c r="K2823" i="1"/>
  <c r="H2949" i="1"/>
  <c r="N2502" i="1"/>
  <c r="AT2695" i="1"/>
  <c r="Q1131" i="1"/>
  <c r="U2695" i="1"/>
  <c r="AT1994" i="1"/>
  <c r="D2319" i="1"/>
  <c r="U2094" i="1"/>
  <c r="N3000" i="1"/>
  <c r="H273" i="1"/>
  <c r="AT3124" i="1"/>
  <c r="M2041" i="1"/>
  <c r="D901" i="1"/>
  <c r="H303" i="1"/>
  <c r="N2625" i="1"/>
  <c r="AT875" i="1"/>
  <c r="U3336" i="1"/>
  <c r="O1326" i="1"/>
  <c r="O2575" i="1"/>
  <c r="I1540" i="1"/>
  <c r="Q2896" i="1"/>
  <c r="AT1552" i="1"/>
  <c r="M228" i="1"/>
  <c r="Q1627" i="1"/>
  <c r="U2225" i="1"/>
  <c r="N2555" i="1"/>
  <c r="Q1684" i="1"/>
  <c r="D796" i="1"/>
  <c r="O1754" i="1"/>
  <c r="O74" i="1"/>
  <c r="I1413" i="1"/>
  <c r="D2148" i="1"/>
  <c r="Q2485" i="1"/>
  <c r="J3083" i="1"/>
  <c r="U186" i="1"/>
  <c r="O1513" i="1"/>
  <c r="Q3377" i="1"/>
  <c r="U3574" i="1"/>
  <c r="N2429" i="1"/>
  <c r="O2641" i="1"/>
  <c r="N2540" i="1"/>
  <c r="K196" i="1"/>
  <c r="AT241" i="1"/>
  <c r="I2713" i="1"/>
  <c r="D1369" i="1"/>
  <c r="J2058" i="1"/>
  <c r="O2409" i="1"/>
  <c r="Q3293" i="1"/>
  <c r="P3632" i="1"/>
  <c r="P2143" i="1"/>
  <c r="M789" i="1"/>
  <c r="Q607" i="1"/>
  <c r="P185" i="1"/>
  <c r="Q2741" i="1"/>
  <c r="D3224" i="1"/>
  <c r="P2927" i="1"/>
  <c r="I61" i="1"/>
  <c r="P390" i="1"/>
  <c r="O3426" i="1"/>
  <c r="P1770" i="1"/>
  <c r="H1238" i="1"/>
  <c r="AT1800" i="1"/>
  <c r="M2031" i="1"/>
  <c r="Q1028" i="1"/>
  <c r="I2450" i="1"/>
  <c r="N118" i="1"/>
  <c r="M2082" i="1"/>
  <c r="M1523" i="1"/>
  <c r="H633" i="1"/>
  <c r="O1534" i="1"/>
  <c r="AT295" i="1"/>
  <c r="I3429" i="1"/>
  <c r="N3535" i="1"/>
  <c r="Q777" i="1"/>
  <c r="Q3373" i="1"/>
  <c r="Q1569" i="1"/>
  <c r="AT3348" i="1"/>
  <c r="H2364" i="1"/>
  <c r="D2146" i="1"/>
  <c r="Q3160" i="1"/>
  <c r="I1737" i="1"/>
  <c r="AT1882" i="1"/>
  <c r="M1442" i="1"/>
  <c r="AT1842" i="1"/>
  <c r="N178" i="1"/>
  <c r="O3191" i="1"/>
  <c r="D2609" i="1"/>
  <c r="O1256" i="1"/>
  <c r="K2609" i="1"/>
  <c r="N2638" i="1"/>
  <c r="I3599" i="1"/>
  <c r="P2803" i="1"/>
  <c r="N3636" i="1"/>
  <c r="P673" i="1"/>
  <c r="U1964" i="1"/>
  <c r="Q2814" i="1"/>
  <c r="D2711" i="1"/>
  <c r="Q2684" i="1"/>
  <c r="I3340" i="1"/>
  <c r="M418" i="1"/>
  <c r="N3082" i="1"/>
  <c r="D366" i="1"/>
  <c r="H1945" i="1"/>
  <c r="N1451" i="1"/>
  <c r="M3549" i="1"/>
  <c r="O91" i="1"/>
  <c r="O1538" i="1"/>
  <c r="AT3500" i="1"/>
  <c r="D1327" i="1"/>
  <c r="I1735" i="1"/>
  <c r="M901" i="1"/>
  <c r="Q603" i="1"/>
  <c r="H99" i="1"/>
  <c r="P2723" i="1"/>
  <c r="D474" i="1"/>
  <c r="P2134" i="1"/>
  <c r="M3159" i="1"/>
  <c r="N1859" i="1"/>
  <c r="O1165" i="1"/>
  <c r="AT3562" i="1"/>
  <c r="I1194" i="1"/>
  <c r="AT272" i="1"/>
  <c r="P3089" i="1"/>
  <c r="P3373" i="1"/>
  <c r="H923" i="1"/>
  <c r="D445" i="1"/>
  <c r="AT3482" i="1"/>
  <c r="D2634" i="1"/>
  <c r="N626" i="1"/>
  <c r="H874" i="1"/>
  <c r="D1063" i="1"/>
  <c r="H1286" i="1"/>
  <c r="N3045" i="1"/>
  <c r="Q869" i="1"/>
  <c r="Q1589" i="1"/>
  <c r="AT1642" i="1"/>
  <c r="H1209" i="1"/>
  <c r="P1821" i="1"/>
  <c r="O3403" i="1"/>
  <c r="U616" i="1"/>
  <c r="O3046" i="1"/>
  <c r="Q1456" i="1"/>
  <c r="AT1764" i="1"/>
  <c r="J3264" i="1"/>
  <c r="N540" i="1"/>
  <c r="N1968" i="1"/>
  <c r="M711" i="1"/>
  <c r="U1418" i="1"/>
  <c r="H450" i="1"/>
  <c r="O53" i="1"/>
  <c r="M3044" i="1"/>
  <c r="O3209" i="1"/>
  <c r="H1084" i="1"/>
  <c r="U2907" i="1"/>
  <c r="D1596" i="1"/>
  <c r="D3347" i="1"/>
  <c r="N3182" i="1"/>
  <c r="M809" i="1"/>
  <c r="D2143" i="1"/>
  <c r="AT1852" i="1"/>
  <c r="N1203" i="1"/>
  <c r="P2829" i="1"/>
  <c r="AT1851" i="1"/>
  <c r="H811" i="1"/>
  <c r="H2791" i="1"/>
  <c r="Q893" i="1"/>
  <c r="M3342" i="1"/>
  <c r="H647" i="1"/>
  <c r="J3129" i="1"/>
  <c r="P2504" i="1"/>
  <c r="AT2107" i="1"/>
  <c r="U1300" i="1"/>
  <c r="D3060" i="1"/>
  <c r="P1183" i="1"/>
  <c r="Q3556" i="1"/>
  <c r="O809" i="1"/>
  <c r="P1667" i="1"/>
  <c r="Q1434" i="1"/>
  <c r="N964" i="1"/>
  <c r="Q1939" i="1"/>
  <c r="Q865" i="1"/>
  <c r="N438" i="1"/>
  <c r="Q553" i="1"/>
  <c r="AT2375" i="1"/>
  <c r="U1422" i="1"/>
  <c r="N2528" i="1"/>
  <c r="P907" i="1"/>
  <c r="M2710" i="1"/>
  <c r="N2950" i="1"/>
  <c r="N468" i="1"/>
  <c r="O1564" i="1"/>
  <c r="AT2790" i="1"/>
  <c r="Q1463" i="1"/>
  <c r="P1401" i="1"/>
  <c r="N2039" i="1"/>
  <c r="AT11" i="1"/>
  <c r="N3151" i="1"/>
  <c r="D431" i="1"/>
  <c r="N2737" i="1"/>
  <c r="O1801" i="1"/>
  <c r="O435" i="1"/>
  <c r="U3101" i="1"/>
  <c r="AT3543" i="1"/>
  <c r="U1054" i="1"/>
  <c r="I2845" i="1"/>
  <c r="Q1523" i="1"/>
  <c r="N1098" i="1"/>
  <c r="O1052" i="1"/>
  <c r="O1033" i="1"/>
  <c r="D62" i="1"/>
  <c r="P3229" i="1"/>
  <c r="Q1049" i="1"/>
  <c r="Q3542" i="1"/>
  <c r="N832" i="1"/>
  <c r="AT583" i="1"/>
  <c r="AT589" i="1"/>
  <c r="J565" i="1"/>
  <c r="I2227" i="1"/>
  <c r="O2920" i="1"/>
  <c r="D1773" i="1"/>
  <c r="P53" i="1"/>
  <c r="Q1392" i="1"/>
  <c r="N1104" i="1"/>
  <c r="Q999" i="1"/>
  <c r="U2956" i="1"/>
  <c r="H3131" i="1"/>
  <c r="I2773" i="1"/>
  <c r="M1741" i="1"/>
  <c r="N1320" i="1"/>
  <c r="AT607" i="1"/>
  <c r="P2863" i="1"/>
  <c r="P1609" i="1"/>
  <c r="H43" i="1"/>
  <c r="AT852" i="1"/>
  <c r="N1763" i="1"/>
  <c r="O2140" i="1"/>
  <c r="D3240" i="1"/>
  <c r="O3134" i="1"/>
  <c r="I1745" i="1"/>
  <c r="D2140" i="1"/>
  <c r="D3329" i="1"/>
  <c r="O37" i="1"/>
  <c r="N1741" i="1"/>
  <c r="U697" i="1"/>
  <c r="P1048" i="1"/>
  <c r="H786" i="1"/>
  <c r="H3390" i="1"/>
  <c r="M118" i="1"/>
  <c r="P2670" i="1"/>
  <c r="U673" i="1"/>
  <c r="N456" i="1"/>
  <c r="H2720" i="1"/>
  <c r="D3246" i="1"/>
  <c r="H2005" i="1"/>
  <c r="I3569" i="1"/>
  <c r="AT2263" i="1"/>
  <c r="H531" i="1"/>
  <c r="N2961" i="1"/>
  <c r="Q3421" i="1"/>
  <c r="M1740" i="1"/>
  <c r="Q3522" i="1"/>
  <c r="D1028" i="1"/>
  <c r="P1714" i="1"/>
  <c r="N2974" i="1"/>
  <c r="N1949" i="1"/>
  <c r="U2814" i="1"/>
  <c r="AT757" i="1"/>
  <c r="D1473" i="1"/>
  <c r="U134" i="1"/>
  <c r="Q862" i="1"/>
  <c r="U234" i="1"/>
  <c r="J3546" i="1"/>
  <c r="P1562" i="1"/>
  <c r="AT2572" i="1"/>
  <c r="O3457" i="1"/>
  <c r="M831" i="1"/>
  <c r="Q3529" i="1"/>
  <c r="M3149" i="1"/>
  <c r="O2432" i="1"/>
  <c r="AT3342" i="1"/>
  <c r="Q1094" i="1"/>
  <c r="AT1929" i="1"/>
  <c r="O2648" i="1"/>
  <c r="P1380" i="1"/>
  <c r="Q885" i="1"/>
  <c r="K1822" i="1"/>
  <c r="Q3375" i="1"/>
  <c r="N2918" i="1"/>
  <c r="Q2868" i="1"/>
  <c r="O2785" i="1"/>
  <c r="N2781" i="1"/>
  <c r="P1938" i="1"/>
  <c r="M2063" i="1"/>
  <c r="I2652" i="1"/>
  <c r="M3067" i="1"/>
  <c r="D763" i="1"/>
  <c r="U970" i="1"/>
  <c r="AT207" i="1"/>
  <c r="M2688" i="1"/>
  <c r="O3317" i="1"/>
  <c r="D330" i="1"/>
  <c r="AT3497" i="1"/>
  <c r="M2396" i="1"/>
  <c r="D1491" i="1"/>
  <c r="N3017" i="1"/>
  <c r="I2706" i="1"/>
  <c r="N276" i="1"/>
  <c r="D3541" i="1"/>
  <c r="AT1267" i="1"/>
  <c r="AT2663" i="1"/>
  <c r="K2376" i="1"/>
  <c r="K3020" i="1"/>
  <c r="M2917" i="1"/>
  <c r="AT3494" i="1"/>
  <c r="M548" i="1"/>
  <c r="U443" i="1"/>
  <c r="M143" i="1"/>
  <c r="I1349" i="1"/>
  <c r="K287" i="1"/>
  <c r="N2422" i="1"/>
  <c r="H1438" i="1"/>
  <c r="N2641" i="1"/>
  <c r="J350" i="1"/>
  <c r="U2469" i="1"/>
  <c r="Q537" i="1"/>
  <c r="M10" i="1"/>
  <c r="AT1780" i="1"/>
  <c r="O898" i="1"/>
  <c r="I1749" i="1"/>
  <c r="D1157" i="1"/>
  <c r="N2067" i="1"/>
  <c r="J221" i="1"/>
  <c r="I2186" i="1"/>
  <c r="N1516" i="1"/>
  <c r="U1644" i="1"/>
  <c r="AT3249" i="1"/>
  <c r="U532" i="1"/>
  <c r="N3588" i="1"/>
  <c r="U830" i="1"/>
  <c r="M114" i="1"/>
  <c r="K1226" i="1"/>
  <c r="H102" i="1"/>
  <c r="AT2181" i="1"/>
  <c r="N2560" i="1"/>
  <c r="P2644" i="1"/>
  <c r="P3212" i="1"/>
  <c r="H3612" i="1"/>
  <c r="N3641" i="1"/>
  <c r="Q2406" i="1"/>
  <c r="U677" i="1"/>
  <c r="O100" i="1"/>
  <c r="M1085" i="1"/>
  <c r="U3211" i="1"/>
  <c r="N1787" i="1"/>
  <c r="D3365" i="1"/>
  <c r="N1400" i="1"/>
  <c r="M2764" i="1"/>
  <c r="J1547" i="1"/>
  <c r="M1112" i="1"/>
  <c r="M1627" i="1"/>
  <c r="H601" i="1"/>
  <c r="M222" i="1"/>
  <c r="P2597" i="1"/>
  <c r="K1886" i="1"/>
  <c r="Q2073" i="1"/>
  <c r="O3232" i="1"/>
  <c r="I377" i="1"/>
  <c r="N1439" i="1"/>
  <c r="H285" i="1"/>
  <c r="D1555" i="1"/>
  <c r="M1147" i="1"/>
  <c r="M429" i="1"/>
  <c r="AT18" i="1"/>
  <c r="Q1000" i="1"/>
  <c r="H1144" i="1"/>
  <c r="Q1041" i="1"/>
  <c r="U1014" i="1"/>
  <c r="AT2966" i="1"/>
  <c r="O3119" i="1"/>
  <c r="D2934" i="1"/>
  <c r="AT2049" i="1"/>
  <c r="J713" i="1"/>
  <c r="M1318" i="1"/>
  <c r="D959" i="1"/>
  <c r="N3452" i="1"/>
  <c r="M3540" i="1"/>
  <c r="P2081" i="1"/>
  <c r="D3523" i="1"/>
  <c r="AT3415" i="1"/>
  <c r="M3274" i="1"/>
  <c r="AT3089" i="1"/>
  <c r="H965" i="1"/>
  <c r="P3105" i="1"/>
  <c r="D1486" i="1"/>
  <c r="I1392" i="1"/>
  <c r="O2931" i="1"/>
  <c r="J1709" i="1"/>
  <c r="K633" i="1"/>
  <c r="N3462" i="1"/>
  <c r="Q2646" i="1"/>
  <c r="Q1408" i="1"/>
  <c r="AT2962" i="1"/>
  <c r="Q2688" i="1"/>
  <c r="D2435" i="1"/>
  <c r="Q2793" i="1"/>
  <c r="J2671" i="1"/>
  <c r="D1480" i="1"/>
  <c r="N3105" i="1"/>
  <c r="M2545" i="1"/>
  <c r="U2145" i="1"/>
  <c r="P856" i="1"/>
  <c r="M450" i="1"/>
  <c r="N3523" i="1"/>
  <c r="U3349" i="1"/>
  <c r="H502" i="1"/>
  <c r="P668" i="1"/>
  <c r="I229" i="1"/>
  <c r="M1173" i="1"/>
  <c r="Q3544" i="1"/>
  <c r="N1681" i="1"/>
  <c r="Q1355" i="1"/>
  <c r="P853" i="1"/>
  <c r="Q1983" i="1"/>
  <c r="N510" i="1"/>
  <c r="I2078" i="1"/>
  <c r="AT3430" i="1"/>
  <c r="AT603" i="1"/>
  <c r="I3080" i="1"/>
  <c r="U2414" i="1"/>
  <c r="N1879" i="1"/>
  <c r="U1917" i="1"/>
  <c r="U2683" i="1"/>
  <c r="O279" i="1"/>
  <c r="AT1784" i="1"/>
  <c r="AT203" i="1"/>
  <c r="Q279" i="1"/>
  <c r="J1998" i="1"/>
  <c r="D1823" i="1"/>
  <c r="Q600" i="1"/>
  <c r="Q16" i="1"/>
  <c r="O2167" i="1"/>
  <c r="U2906" i="1"/>
  <c r="AT1221" i="1"/>
  <c r="I1568" i="1"/>
  <c r="I278" i="1"/>
  <c r="H1442" i="1"/>
  <c r="J3301" i="1"/>
  <c r="O967" i="1"/>
  <c r="J1839" i="1"/>
  <c r="O2984" i="1"/>
  <c r="P485" i="1"/>
  <c r="D3360" i="1"/>
  <c r="M887" i="1"/>
  <c r="O958" i="1"/>
  <c r="K1250" i="1"/>
  <c r="H905" i="1"/>
  <c r="H238" i="1"/>
  <c r="M2813" i="1"/>
  <c r="H3569" i="1"/>
  <c r="K3595" i="1"/>
  <c r="U648" i="1"/>
  <c r="I171" i="1"/>
  <c r="D3242" i="1"/>
  <c r="M1998" i="1"/>
  <c r="Q3413" i="1"/>
  <c r="N1985" i="1"/>
  <c r="P3415" i="1"/>
  <c r="O1832" i="1"/>
  <c r="O1423" i="1"/>
  <c r="AT334" i="1"/>
  <c r="AT1094" i="1"/>
  <c r="P1137" i="1"/>
  <c r="Q2578" i="1"/>
  <c r="M326" i="1"/>
  <c r="M3298" i="1"/>
  <c r="O3626" i="1"/>
  <c r="AT1284" i="1"/>
  <c r="N1435" i="1"/>
  <c r="AT1453" i="1"/>
  <c r="AT1143" i="1"/>
  <c r="H2101" i="1"/>
  <c r="N493" i="1"/>
  <c r="O3273" i="1"/>
  <c r="N336" i="1"/>
  <c r="K3565" i="1"/>
  <c r="J3171" i="1"/>
  <c r="I408" i="1"/>
  <c r="O2968" i="1"/>
  <c r="AT2334" i="1"/>
  <c r="M221" i="1"/>
  <c r="AT2825" i="1"/>
  <c r="P2878" i="1"/>
  <c r="N1999" i="1"/>
  <c r="P605" i="1"/>
  <c r="Q2951" i="1"/>
  <c r="D2991" i="1"/>
  <c r="I3459" i="1"/>
  <c r="N3266" i="1"/>
  <c r="H487" i="1"/>
  <c r="P844" i="1"/>
  <c r="J1631" i="1"/>
  <c r="M2931" i="1"/>
  <c r="O3279" i="1"/>
  <c r="O3624" i="1"/>
  <c r="O3096" i="1"/>
  <c r="M3127" i="1"/>
  <c r="P2546" i="1"/>
  <c r="U2190" i="1"/>
  <c r="U3110" i="1"/>
  <c r="Q2325" i="1"/>
  <c r="J2796" i="1"/>
  <c r="D815" i="1"/>
  <c r="AT2299" i="1"/>
  <c r="O3413" i="1"/>
  <c r="O290" i="1"/>
  <c r="P3497" i="1"/>
  <c r="U1185" i="1"/>
  <c r="N214" i="1"/>
  <c r="U3028" i="1"/>
  <c r="I3143" i="1"/>
  <c r="K1665" i="1"/>
  <c r="O291" i="1"/>
  <c r="O3322" i="1"/>
  <c r="D2563" i="1"/>
  <c r="O189" i="1"/>
  <c r="O1199" i="1"/>
  <c r="I136" i="1"/>
  <c r="M1381" i="1"/>
  <c r="Q370" i="1"/>
  <c r="AT1012" i="1"/>
  <c r="D1513" i="1"/>
  <c r="Q216" i="1"/>
  <c r="Q1652" i="1"/>
  <c r="Q3246" i="1"/>
  <c r="D2653" i="1"/>
  <c r="H2017" i="1"/>
  <c r="Q601" i="1"/>
  <c r="AT3128" i="1"/>
  <c r="D1592" i="1"/>
  <c r="O33" i="1"/>
  <c r="H3444" i="1"/>
  <c r="O3448" i="1"/>
  <c r="N1979" i="1"/>
  <c r="AT2363" i="1"/>
  <c r="D1573" i="1"/>
  <c r="P3189" i="1"/>
  <c r="AT876" i="1"/>
  <c r="D2776" i="1"/>
  <c r="D1463" i="1"/>
  <c r="M1009" i="1"/>
  <c r="D2216" i="1"/>
  <c r="N978" i="1"/>
  <c r="I2695" i="1"/>
  <c r="I1994" i="1"/>
  <c r="K3202" i="1"/>
  <c r="O1618" i="1"/>
  <c r="D667" i="1"/>
  <c r="P2566" i="1"/>
  <c r="D2533" i="1"/>
  <c r="M2350" i="1"/>
  <c r="N2531" i="1"/>
  <c r="M105" i="1"/>
  <c r="AT1160" i="1"/>
  <c r="K436" i="1"/>
  <c r="H1912" i="1"/>
  <c r="P436" i="1"/>
  <c r="H978" i="1"/>
  <c r="U1818" i="1"/>
  <c r="I1030" i="1"/>
  <c r="D3367" i="1"/>
  <c r="O895" i="1"/>
  <c r="J2931" i="1"/>
  <c r="M3365" i="1"/>
  <c r="U2572" i="1"/>
  <c r="K1130" i="1"/>
  <c r="O2101" i="1"/>
  <c r="AT2896" i="1"/>
  <c r="M34" i="1"/>
  <c r="Q1958" i="1"/>
  <c r="N1540" i="1"/>
  <c r="Q1532" i="1"/>
  <c r="O2402" i="1"/>
  <c r="N1930" i="1"/>
  <c r="N880" i="1"/>
  <c r="M801" i="1"/>
  <c r="U1784" i="1"/>
  <c r="M1767" i="1"/>
  <c r="O1926" i="1"/>
  <c r="M1653" i="1"/>
  <c r="K973" i="1"/>
  <c r="P3460" i="1"/>
  <c r="AT1421" i="1"/>
  <c r="U2545" i="1"/>
  <c r="H3083" i="1"/>
  <c r="M1759" i="1"/>
  <c r="N2618" i="1"/>
  <c r="J2190" i="1"/>
  <c r="U2781" i="1"/>
  <c r="O1442" i="1"/>
  <c r="P1946" i="1"/>
  <c r="U513" i="1"/>
  <c r="N3004" i="1"/>
  <c r="O2083" i="1"/>
  <c r="Q2061" i="1"/>
  <c r="J3262" i="1"/>
  <c r="N72" i="1"/>
  <c r="D3311" i="1"/>
  <c r="D3604" i="1"/>
  <c r="H2628" i="1"/>
  <c r="D2543" i="1"/>
  <c r="N1106" i="1"/>
  <c r="H988" i="1"/>
  <c r="AT3166" i="1"/>
  <c r="N2685" i="1"/>
  <c r="AT1633" i="1"/>
  <c r="AT1104" i="1"/>
  <c r="H469" i="1"/>
  <c r="M2203" i="1"/>
  <c r="AT61" i="1"/>
  <c r="K2383" i="1"/>
  <c r="D718" i="1"/>
  <c r="J3621" i="1"/>
  <c r="AT1816" i="1"/>
  <c r="J2496" i="1"/>
  <c r="D1314" i="1"/>
  <c r="M2678" i="1"/>
  <c r="N252" i="1"/>
  <c r="N259" i="1"/>
  <c r="H2441" i="1"/>
  <c r="D451" i="1"/>
  <c r="D3116" i="1"/>
  <c r="D3464" i="1"/>
  <c r="I1750" i="1"/>
  <c r="AT2345" i="1"/>
  <c r="O125" i="1"/>
  <c r="M1589" i="1"/>
  <c r="H2927" i="1"/>
  <c r="AT2608" i="1"/>
  <c r="AT1964" i="1"/>
  <c r="M3489" i="1"/>
  <c r="D653" i="1"/>
  <c r="H990" i="1"/>
  <c r="M2332" i="1"/>
  <c r="N1724" i="1"/>
  <c r="AT2831" i="1"/>
  <c r="P1950" i="1"/>
  <c r="AT3027" i="1"/>
  <c r="K2590" i="1"/>
  <c r="N2583" i="1"/>
  <c r="AT529" i="1"/>
  <c r="D3039" i="1"/>
  <c r="H1115" i="1"/>
  <c r="AT1809" i="1"/>
  <c r="H771" i="1"/>
  <c r="I3315" i="1"/>
  <c r="J3603" i="1"/>
  <c r="AT1997" i="1"/>
  <c r="N1850" i="1"/>
  <c r="J68" i="1"/>
  <c r="P2775" i="1"/>
  <c r="AT469" i="1"/>
  <c r="O137" i="1"/>
  <c r="N2176" i="1"/>
  <c r="J120" i="1"/>
  <c r="K2301" i="1"/>
  <c r="Q2059" i="1"/>
  <c r="P1686" i="1"/>
  <c r="N3196" i="1"/>
  <c r="P261" i="1"/>
  <c r="N81" i="1"/>
  <c r="O1304" i="1"/>
  <c r="D1107" i="1"/>
  <c r="H777" i="1"/>
  <c r="N8" i="1"/>
  <c r="Q310" i="1"/>
  <c r="M3317" i="1"/>
  <c r="H1841" i="1"/>
  <c r="D1986" i="1"/>
  <c r="H3489" i="1"/>
  <c r="Q417" i="1"/>
  <c r="J1573" i="1"/>
  <c r="I358" i="1"/>
  <c r="I2154" i="1"/>
  <c r="Q3338" i="1"/>
  <c r="N2836" i="1"/>
  <c r="D1229" i="1"/>
  <c r="P3128" i="1"/>
  <c r="D1645" i="1"/>
  <c r="M3235" i="1"/>
  <c r="D3136" i="1"/>
  <c r="P1735" i="1"/>
  <c r="D70" i="1"/>
  <c r="P2964" i="1"/>
  <c r="U291" i="1"/>
  <c r="K2445" i="1"/>
  <c r="N1301" i="1"/>
  <c r="N3541" i="1"/>
  <c r="I3621" i="1"/>
  <c r="Q1402" i="1"/>
  <c r="N2783" i="1"/>
  <c r="AT2309" i="1"/>
  <c r="D797" i="1"/>
  <c r="AT3055" i="1"/>
  <c r="N2707" i="1"/>
  <c r="O2638" i="1"/>
  <c r="D1917" i="1"/>
  <c r="Q2834" i="1"/>
  <c r="P1991" i="1"/>
  <c r="U3362" i="1"/>
  <c r="D3004" i="1"/>
  <c r="I1047" i="1"/>
  <c r="M424" i="1"/>
  <c r="D833" i="1"/>
  <c r="I481" i="1"/>
  <c r="Q2730" i="1"/>
  <c r="D530" i="1"/>
  <c r="I454" i="1"/>
  <c r="U3312" i="1"/>
  <c r="Q2594" i="1"/>
  <c r="O836" i="1"/>
  <c r="P1982" i="1"/>
  <c r="Q3552" i="1"/>
  <c r="D789" i="1"/>
  <c r="U268" i="1"/>
  <c r="D1564" i="1"/>
  <c r="D2858" i="1"/>
  <c r="M2052" i="1"/>
  <c r="D1604" i="1"/>
  <c r="U3294" i="1"/>
  <c r="D279" i="1"/>
  <c r="K3187" i="1"/>
  <c r="AT3384" i="1"/>
  <c r="H639" i="1"/>
  <c r="U1801" i="1"/>
  <c r="N1939" i="1"/>
  <c r="I2986" i="1"/>
  <c r="N1427" i="1"/>
  <c r="K896" i="1"/>
  <c r="I2127" i="1"/>
  <c r="Q2569" i="1"/>
  <c r="N398" i="1"/>
  <c r="O1707" i="1"/>
  <c r="J541" i="1"/>
  <c r="O1651" i="1"/>
  <c r="D2678" i="1"/>
  <c r="N1975" i="1"/>
  <c r="U1898" i="1"/>
  <c r="P3407" i="1"/>
  <c r="U936" i="1"/>
  <c r="J3186" i="1"/>
  <c r="U336" i="1"/>
  <c r="M1247" i="1"/>
  <c r="U2317" i="1"/>
  <c r="N79" i="1"/>
  <c r="P3336" i="1"/>
  <c r="P1410" i="1"/>
  <c r="J1580" i="1"/>
  <c r="N771" i="1"/>
  <c r="P58" i="1"/>
  <c r="O2010" i="1"/>
  <c r="N765" i="1"/>
  <c r="H2594" i="1"/>
  <c r="U2161" i="1"/>
  <c r="AT720" i="1"/>
  <c r="H1321" i="1"/>
  <c r="Q3393" i="1"/>
  <c r="D3281" i="1"/>
  <c r="Q3207" i="1"/>
  <c r="P651" i="1"/>
  <c r="H1151" i="1"/>
  <c r="P178" i="1"/>
  <c r="N2504" i="1"/>
  <c r="N3054" i="1"/>
  <c r="H3203" i="1"/>
  <c r="N2574" i="1"/>
  <c r="D3586" i="1"/>
  <c r="O2715" i="1"/>
  <c r="AT1675" i="1"/>
  <c r="H1429" i="1"/>
  <c r="N640" i="1"/>
  <c r="I3541" i="1"/>
  <c r="P1615" i="1"/>
  <c r="M185" i="1"/>
  <c r="U2954" i="1"/>
  <c r="J1323" i="1"/>
  <c r="Q2314" i="1"/>
  <c r="M1951" i="1"/>
  <c r="Q3147" i="1"/>
  <c r="J2120" i="1"/>
  <c r="P3574" i="1"/>
  <c r="I479" i="1"/>
  <c r="Q2451" i="1"/>
  <c r="AT3604" i="1"/>
  <c r="P2154" i="1"/>
  <c r="D425" i="1"/>
  <c r="M119" i="1"/>
  <c r="AT3106" i="1"/>
  <c r="P894" i="1"/>
  <c r="Q2679" i="1"/>
  <c r="AT528" i="1"/>
  <c r="N2263" i="1"/>
  <c r="D3342" i="1"/>
  <c r="AT1105" i="1"/>
  <c r="D2852" i="1"/>
  <c r="P2635" i="1"/>
  <c r="D3414" i="1"/>
  <c r="AT3065" i="1"/>
  <c r="K3464" i="1"/>
  <c r="H830" i="1"/>
  <c r="AT1714" i="1"/>
  <c r="U1850" i="1"/>
  <c r="U810" i="1"/>
  <c r="D604" i="1"/>
  <c r="D3606" i="1"/>
  <c r="H1707" i="1"/>
  <c r="D3528" i="1"/>
  <c r="I3547" i="1"/>
  <c r="D2162" i="1"/>
  <c r="I1186" i="1"/>
  <c r="Q2296" i="1"/>
  <c r="N308" i="1"/>
  <c r="M1558" i="1"/>
  <c r="H1425" i="1"/>
  <c r="Q1784" i="1"/>
  <c r="I2282" i="1"/>
  <c r="N2476" i="1"/>
  <c r="M2789" i="1"/>
  <c r="J10" i="1"/>
  <c r="H8" i="1"/>
  <c r="U576" i="1"/>
  <c r="J3401" i="1"/>
  <c r="H398" i="1"/>
  <c r="I1884" i="1"/>
  <c r="U1929" i="1"/>
  <c r="Q2048" i="1"/>
  <c r="I223" i="1"/>
  <c r="O574" i="1"/>
  <c r="H2474" i="1"/>
  <c r="J2689" i="1"/>
  <c r="M2497" i="1"/>
  <c r="H803" i="1"/>
  <c r="AT1362" i="1"/>
  <c r="P1155" i="1"/>
  <c r="N68" i="1"/>
  <c r="U927" i="1"/>
  <c r="M1428" i="1"/>
  <c r="U1318" i="1"/>
  <c r="M3534" i="1"/>
  <c r="P2160" i="1"/>
  <c r="U3623" i="1"/>
  <c r="Q1025" i="1"/>
  <c r="M879" i="1"/>
  <c r="N42" i="1"/>
  <c r="AT1222" i="1"/>
  <c r="D1216" i="1"/>
  <c r="I719" i="1"/>
  <c r="N1951" i="1"/>
  <c r="D3614" i="1"/>
  <c r="I2859" i="1"/>
  <c r="I919" i="1"/>
  <c r="K550" i="1"/>
  <c r="Q1685" i="1"/>
  <c r="H2457" i="1"/>
  <c r="H3161" i="1"/>
  <c r="H544" i="1"/>
  <c r="AT1469" i="1"/>
  <c r="M3627" i="1"/>
  <c r="U705" i="1"/>
  <c r="J1966" i="1"/>
  <c r="O94" i="1"/>
  <c r="D28" i="1"/>
  <c r="H1096" i="1"/>
  <c r="P3552" i="1"/>
  <c r="O2960" i="1"/>
  <c r="U2198" i="1"/>
  <c r="M800" i="1"/>
  <c r="Q2251" i="1"/>
  <c r="J1831" i="1"/>
  <c r="O3595" i="1"/>
  <c r="M3014" i="1"/>
  <c r="D2585" i="1"/>
  <c r="M2364" i="1"/>
  <c r="AT2264" i="1"/>
  <c r="Q182" i="1"/>
  <c r="I244" i="1"/>
  <c r="H2444" i="1"/>
  <c r="I2523" i="1"/>
  <c r="H985" i="1"/>
  <c r="N3347" i="1"/>
  <c r="M2197" i="1"/>
  <c r="U1744" i="1"/>
  <c r="U3529" i="1"/>
  <c r="M3256" i="1"/>
  <c r="P514" i="1"/>
  <c r="U2087" i="1"/>
  <c r="I2981" i="1"/>
  <c r="N1492" i="1"/>
  <c r="N2530" i="1"/>
  <c r="Q2514" i="1"/>
  <c r="P1624" i="1"/>
  <c r="N1910" i="1"/>
  <c r="I512" i="1"/>
  <c r="H2502" i="1"/>
  <c r="AT320" i="1"/>
  <c r="O2595" i="1"/>
  <c r="P2625" i="1"/>
  <c r="D3344" i="1"/>
  <c r="AT2996" i="1"/>
  <c r="K1807" i="1"/>
  <c r="O1755" i="1"/>
  <c r="U3137" i="1"/>
  <c r="M2993" i="1"/>
  <c r="U1280" i="1"/>
  <c r="P2506" i="1"/>
  <c r="Q3405" i="1"/>
  <c r="N2085" i="1"/>
  <c r="M2727" i="1"/>
  <c r="AT2606" i="1"/>
  <c r="O3213" i="1"/>
  <c r="O224" i="1"/>
  <c r="P2439" i="1"/>
  <c r="D1387" i="1"/>
  <c r="J2342" i="1"/>
  <c r="J3016" i="1"/>
  <c r="I2515" i="1"/>
  <c r="Q3106" i="1"/>
  <c r="O2588" i="1"/>
  <c r="O1113" i="1"/>
  <c r="AT926" i="1"/>
  <c r="I2295" i="1"/>
  <c r="O728" i="1"/>
  <c r="D2119" i="1"/>
  <c r="I2852" i="1"/>
  <c r="AT417" i="1"/>
  <c r="K1717" i="1"/>
  <c r="D1435" i="1"/>
  <c r="H2145" i="1"/>
  <c r="M24" i="1"/>
  <c r="I2410" i="1"/>
  <c r="M2245" i="1"/>
  <c r="P725" i="1"/>
  <c r="H59" i="1"/>
  <c r="U2662" i="1"/>
  <c r="AT2535" i="1"/>
  <c r="D949" i="1"/>
  <c r="H608" i="1"/>
  <c r="AT2511" i="1"/>
  <c r="H1735" i="1"/>
  <c r="AT3414" i="1"/>
  <c r="Q1559" i="1"/>
  <c r="N306" i="1"/>
  <c r="H2956" i="1"/>
  <c r="H197" i="1"/>
  <c r="O1514" i="1"/>
  <c r="O609" i="1"/>
  <c r="P3612" i="1"/>
  <c r="N200" i="1"/>
  <c r="U725" i="1"/>
  <c r="Q3626" i="1"/>
  <c r="U2319" i="1"/>
  <c r="D2350" i="1"/>
  <c r="M331" i="1"/>
  <c r="I2842" i="1"/>
  <c r="U983" i="1"/>
  <c r="O6" i="1"/>
  <c r="N1034" i="1"/>
  <c r="D499" i="1"/>
  <c r="H2988" i="1"/>
  <c r="K2674" i="1"/>
  <c r="M2850" i="1"/>
  <c r="I1025" i="1"/>
  <c r="N2060" i="1"/>
  <c r="J2955" i="1"/>
  <c r="M3331" i="1"/>
  <c r="D3626" i="1"/>
  <c r="N1812" i="1"/>
  <c r="U332" i="1"/>
  <c r="K65" i="1"/>
  <c r="N1867" i="1"/>
  <c r="P3149" i="1"/>
  <c r="AT1067" i="1"/>
  <c r="D151" i="1"/>
  <c r="P221" i="1"/>
  <c r="AT3339" i="1"/>
  <c r="Q1634" i="1"/>
  <c r="N293" i="1"/>
  <c r="M2228" i="1"/>
  <c r="D925" i="1"/>
  <c r="M2038" i="1"/>
  <c r="P3224" i="1"/>
  <c r="Q110" i="1"/>
  <c r="U2633" i="1"/>
  <c r="U2337" i="1"/>
  <c r="I284" i="1"/>
  <c r="O1623" i="1"/>
  <c r="M1660" i="1"/>
  <c r="D3612" i="1"/>
  <c r="O317" i="1"/>
  <c r="AT1656" i="1"/>
  <c r="U528" i="1"/>
  <c r="O2150" i="1"/>
  <c r="M574" i="1"/>
  <c r="I3088" i="1"/>
  <c r="N3314" i="1"/>
  <c r="D1614" i="1"/>
  <c r="D312" i="1"/>
  <c r="N1019" i="1"/>
  <c r="N1577" i="1"/>
  <c r="U3406" i="1"/>
  <c r="O2385" i="1"/>
  <c r="P2872" i="1"/>
  <c r="M2368" i="1"/>
  <c r="I934" i="1"/>
  <c r="AT2423" i="1"/>
  <c r="M1102" i="1"/>
  <c r="U3189" i="1"/>
  <c r="I2443" i="1"/>
  <c r="M2007" i="1"/>
  <c r="AT2949" i="1"/>
  <c r="D1912" i="1"/>
  <c r="I704" i="1"/>
  <c r="H1955" i="1"/>
  <c r="P3525" i="1"/>
  <c r="M769" i="1"/>
  <c r="AT2750" i="1"/>
  <c r="O2676" i="1"/>
  <c r="U2627" i="1"/>
  <c r="J2306" i="1"/>
  <c r="AT3111" i="1"/>
  <c r="D1031" i="1"/>
  <c r="N1574" i="1"/>
  <c r="P2559" i="1"/>
  <c r="H2129" i="1"/>
  <c r="J1579" i="1"/>
  <c r="O909" i="1"/>
  <c r="U1070" i="1"/>
  <c r="M927" i="1"/>
  <c r="I772" i="1"/>
  <c r="U2706" i="1"/>
  <c r="H2319" i="1"/>
  <c r="AT1902" i="1"/>
  <c r="O747" i="1"/>
  <c r="Q2417" i="1"/>
  <c r="O601" i="1"/>
  <c r="M2571" i="1"/>
  <c r="Q3004" i="1"/>
  <c r="U3624" i="1"/>
  <c r="P1903" i="1"/>
  <c r="AT3359" i="1"/>
  <c r="U2653" i="1"/>
  <c r="D2390" i="1"/>
  <c r="P3468" i="1"/>
  <c r="D3405" i="1"/>
  <c r="AT912" i="1"/>
  <c r="I1920" i="1"/>
  <c r="O735" i="1"/>
  <c r="P1184" i="1"/>
  <c r="M975" i="1"/>
  <c r="AT859" i="1"/>
  <c r="Q1104" i="1"/>
  <c r="U2346" i="1"/>
  <c r="M18" i="1"/>
  <c r="D522" i="1"/>
  <c r="AT3349" i="1"/>
  <c r="Q1297" i="1"/>
  <c r="D2898" i="1"/>
  <c r="O3120" i="1"/>
  <c r="D2298" i="1"/>
  <c r="H492" i="1"/>
  <c r="M1139" i="1"/>
  <c r="J3292" i="1"/>
  <c r="AT1796" i="1"/>
  <c r="U1193" i="1"/>
  <c r="O4" i="1"/>
  <c r="D1642" i="1"/>
  <c r="AT1252" i="1"/>
  <c r="J2297" i="1"/>
  <c r="D2136" i="1"/>
  <c r="AT664" i="1"/>
  <c r="O3483" i="1"/>
  <c r="N2000" i="1"/>
  <c r="P93" i="1"/>
  <c r="D3320" i="1"/>
  <c r="K2831" i="1"/>
  <c r="U226" i="1"/>
  <c r="P2942" i="1"/>
  <c r="AT1002" i="1"/>
  <c r="I3378" i="1"/>
  <c r="U1378" i="1"/>
  <c r="Q1572" i="1"/>
  <c r="N3333" i="1"/>
  <c r="O3518" i="1"/>
  <c r="O1154" i="1"/>
  <c r="Q2816" i="1"/>
  <c r="D1135" i="1"/>
  <c r="N528" i="1"/>
  <c r="D3591" i="1"/>
  <c r="H1193" i="1"/>
  <c r="J3070" i="1"/>
  <c r="M2603" i="1"/>
  <c r="M763" i="1"/>
  <c r="O3603" i="1"/>
  <c r="D13" i="1"/>
  <c r="N1848" i="1"/>
  <c r="M1858" i="1"/>
  <c r="AT172" i="1"/>
  <c r="O2590" i="1"/>
  <c r="O1127" i="1"/>
  <c r="U80" i="1"/>
  <c r="AT3151" i="1"/>
  <c r="M1670" i="1"/>
  <c r="O320" i="1"/>
  <c r="Q519" i="1"/>
  <c r="O2015" i="1"/>
  <c r="D702" i="1"/>
  <c r="P1817" i="1"/>
  <c r="H1048" i="1"/>
  <c r="D389" i="1"/>
  <c r="U2579" i="1"/>
  <c r="H751" i="1"/>
  <c r="N2557" i="1"/>
  <c r="O1516" i="1"/>
  <c r="D81" i="1"/>
  <c r="H1721" i="1"/>
  <c r="O1430" i="1"/>
  <c r="K2316" i="1"/>
  <c r="O787" i="1"/>
  <c r="AT3244" i="1"/>
  <c r="O889" i="1"/>
  <c r="O1634" i="1"/>
  <c r="J923" i="1"/>
  <c r="U2824" i="1"/>
  <c r="H2878" i="1"/>
  <c r="O2370" i="1"/>
  <c r="I447" i="1"/>
  <c r="Q82" i="1"/>
  <c r="D2219" i="1"/>
  <c r="AT2080" i="1"/>
  <c r="D2513" i="1"/>
  <c r="K1855" i="1"/>
  <c r="P1236" i="1"/>
  <c r="N243" i="1"/>
  <c r="D1991" i="1"/>
  <c r="J1254" i="1"/>
  <c r="P2349" i="1"/>
  <c r="AT3639" i="1"/>
  <c r="J136" i="1"/>
  <c r="J2716" i="1"/>
  <c r="P817" i="1"/>
  <c r="U1995" i="1"/>
  <c r="J3001" i="1"/>
  <c r="Q1248" i="1"/>
  <c r="O2156" i="1"/>
  <c r="AT250" i="1"/>
  <c r="O1729" i="1"/>
  <c r="O1880" i="1"/>
  <c r="N292" i="1"/>
  <c r="P646" i="1"/>
  <c r="O2310" i="1"/>
  <c r="AT2017" i="1"/>
  <c r="D1741" i="1"/>
  <c r="P706" i="1"/>
  <c r="I2984" i="1"/>
  <c r="M2459" i="1"/>
  <c r="K1498" i="1"/>
  <c r="N1796" i="1"/>
  <c r="N2880" i="1"/>
  <c r="J1976" i="1"/>
  <c r="H2524" i="1"/>
  <c r="K3074" i="1"/>
  <c r="N2971" i="1"/>
  <c r="N249" i="1"/>
  <c r="AT1132" i="1"/>
  <c r="J333" i="1"/>
  <c r="U1984" i="1"/>
  <c r="J1670" i="1"/>
  <c r="J438" i="1"/>
  <c r="O1783" i="1"/>
  <c r="O504" i="1"/>
  <c r="I188" i="1"/>
  <c r="N2287" i="1"/>
  <c r="Q1540" i="1"/>
  <c r="O535" i="1"/>
  <c r="Q2223" i="1"/>
  <c r="P1525" i="1"/>
  <c r="N658" i="1"/>
  <c r="D2809" i="1"/>
  <c r="AT2558" i="1"/>
  <c r="I1512" i="1"/>
  <c r="M3368" i="1"/>
  <c r="O3337" i="1"/>
  <c r="P2360" i="1"/>
  <c r="J1684" i="1"/>
  <c r="M1936" i="1"/>
  <c r="D1775" i="1"/>
  <c r="J2593" i="1"/>
  <c r="M1438" i="1"/>
  <c r="D3316" i="1"/>
  <c r="AT412" i="1"/>
  <c r="D3074" i="1"/>
  <c r="AT1423" i="1"/>
  <c r="N1712" i="1"/>
  <c r="J2264" i="1"/>
  <c r="N172" i="1"/>
  <c r="O1197" i="1"/>
  <c r="O3224" i="1"/>
  <c r="AT2138" i="1"/>
  <c r="P2754" i="1"/>
  <c r="AT3463" i="1"/>
  <c r="M1269" i="1"/>
  <c r="D2677" i="1"/>
  <c r="N995" i="1"/>
  <c r="Q1951" i="1"/>
  <c r="J1377" i="1"/>
  <c r="P1386" i="1"/>
  <c r="D1870" i="1"/>
  <c r="Q3101" i="1"/>
  <c r="Q1804" i="1"/>
  <c r="K3131" i="1"/>
  <c r="O24" i="1"/>
  <c r="J898" i="1"/>
  <c r="J3339" i="1"/>
  <c r="M2191" i="1"/>
  <c r="N600" i="1"/>
  <c r="D189" i="1"/>
  <c r="I1032" i="1"/>
  <c r="D2691" i="1"/>
  <c r="N2295" i="1"/>
  <c r="AT327" i="1"/>
  <c r="P1130" i="1"/>
  <c r="N2745" i="1"/>
  <c r="J3304" i="1"/>
  <c r="O977" i="1"/>
  <c r="O270" i="1"/>
  <c r="AT2095" i="1"/>
  <c r="J2790" i="1"/>
  <c r="N2290" i="1"/>
  <c r="Q2063" i="1"/>
  <c r="Q588" i="1"/>
  <c r="M2406" i="1"/>
  <c r="AT122" i="1"/>
  <c r="Q3629" i="1"/>
  <c r="M2036" i="1"/>
  <c r="Q1610" i="1"/>
  <c r="Q3225" i="1"/>
  <c r="O758" i="1"/>
  <c r="P523" i="1"/>
  <c r="AT2742" i="1"/>
  <c r="Q868" i="1"/>
  <c r="U3381" i="1"/>
  <c r="P3466" i="1"/>
  <c r="P3513" i="1"/>
  <c r="D3162" i="1"/>
  <c r="I2821" i="1"/>
  <c r="D2025" i="1"/>
  <c r="I2477" i="1"/>
  <c r="AT571" i="1"/>
  <c r="Q2802" i="1"/>
  <c r="D96" i="1"/>
  <c r="D506" i="1"/>
  <c r="D624" i="1"/>
  <c r="M788" i="1"/>
  <c r="D889" i="1"/>
  <c r="D602" i="1"/>
  <c r="AT801" i="1"/>
  <c r="D3184" i="1"/>
  <c r="U1451" i="1"/>
  <c r="AT1819" i="1"/>
  <c r="P159" i="1"/>
  <c r="N2308" i="1"/>
  <c r="N1844" i="1"/>
  <c r="K1314" i="1"/>
  <c r="I2350" i="1"/>
  <c r="O1221" i="1"/>
  <c r="Q2502" i="1"/>
  <c r="O141" i="1"/>
  <c r="D811" i="1"/>
  <c r="I984" i="1"/>
  <c r="I1283" i="1"/>
  <c r="P987" i="1"/>
  <c r="N1118" i="1"/>
  <c r="K2761" i="1"/>
  <c r="N1204" i="1"/>
  <c r="M543" i="1"/>
  <c r="Q2191" i="1"/>
  <c r="J1012" i="1"/>
  <c r="D844" i="1"/>
  <c r="J3254" i="1"/>
  <c r="J1943" i="1"/>
  <c r="O299" i="1"/>
  <c r="N179" i="1"/>
  <c r="M2717" i="1"/>
  <c r="N2970" i="1"/>
  <c r="K3110" i="1"/>
  <c r="AT1715" i="1"/>
  <c r="D1943" i="1"/>
  <c r="J1374" i="1"/>
  <c r="I2834" i="1"/>
  <c r="I1466" i="1"/>
  <c r="Q614" i="1"/>
  <c r="N1838" i="1"/>
  <c r="I744" i="1"/>
  <c r="D612" i="1"/>
  <c r="AT1681" i="1"/>
  <c r="H856" i="1"/>
  <c r="K1157" i="1"/>
  <c r="U2500" i="1"/>
  <c r="J3446" i="1"/>
  <c r="AT453" i="1"/>
  <c r="H1682" i="1"/>
  <c r="M2176" i="1"/>
  <c r="N2798" i="1"/>
  <c r="H1542" i="1"/>
  <c r="J1987" i="1"/>
  <c r="P3259" i="1"/>
  <c r="K659" i="1"/>
  <c r="N560" i="1"/>
  <c r="D2311" i="1"/>
  <c r="O2416" i="1"/>
  <c r="D2796" i="1"/>
  <c r="Q1817" i="1"/>
  <c r="I203" i="1"/>
  <c r="M828" i="1"/>
  <c r="Q1358" i="1"/>
  <c r="H2886" i="1"/>
  <c r="Q3601" i="1"/>
  <c r="D3154" i="1"/>
  <c r="Q2536" i="1"/>
  <c r="M3023" i="1"/>
  <c r="M1212" i="1"/>
  <c r="O3149" i="1"/>
  <c r="J1176" i="1"/>
  <c r="I1301" i="1"/>
  <c r="Q347" i="1"/>
  <c r="D582" i="1"/>
  <c r="P2276" i="1"/>
  <c r="H452" i="1"/>
  <c r="P1089" i="1"/>
  <c r="N1877" i="1"/>
  <c r="M1994" i="1"/>
  <c r="AT217" i="1"/>
  <c r="U2448" i="1"/>
  <c r="M3451" i="1"/>
  <c r="K1825" i="1"/>
  <c r="H1989" i="1"/>
  <c r="D1820" i="1"/>
  <c r="H3416" i="1"/>
  <c r="I1550" i="1"/>
  <c r="Q226" i="1"/>
  <c r="U3159" i="1"/>
  <c r="Q1370" i="1"/>
  <c r="D3034" i="1"/>
  <c r="D2535" i="1"/>
  <c r="D51" i="1"/>
  <c r="M1689" i="1"/>
  <c r="U1951" i="1"/>
  <c r="I863" i="1"/>
  <c r="U775" i="1"/>
  <c r="Q451" i="1"/>
  <c r="P491" i="1"/>
  <c r="H512" i="1"/>
  <c r="AT2487" i="1"/>
  <c r="I3366" i="1"/>
  <c r="M412" i="1"/>
  <c r="P3391" i="1"/>
  <c r="N1935" i="1"/>
  <c r="M2768" i="1"/>
  <c r="D2013" i="1"/>
  <c r="AT3547" i="1"/>
  <c r="O2362" i="1"/>
  <c r="P1884" i="1"/>
  <c r="D1789" i="1"/>
  <c r="Q1013" i="1"/>
  <c r="AT928" i="1"/>
  <c r="N1843" i="1"/>
  <c r="O181" i="1"/>
  <c r="D1842" i="1"/>
  <c r="O1723" i="1"/>
  <c r="AT2654" i="1"/>
  <c r="K2978" i="1"/>
  <c r="D779" i="1"/>
  <c r="O2577" i="1"/>
  <c r="M3173" i="1"/>
  <c r="I707" i="1"/>
  <c r="M1417" i="1"/>
  <c r="H3439" i="1"/>
  <c r="M724" i="1"/>
  <c r="Q3111" i="1"/>
  <c r="M2392" i="1"/>
  <c r="J433" i="1"/>
  <c r="M1879" i="1"/>
  <c r="D2214" i="1"/>
  <c r="K347" i="1"/>
  <c r="M2134" i="1"/>
  <c r="D809" i="1"/>
  <c r="AT2602" i="1"/>
  <c r="P3616" i="1"/>
  <c r="I2103" i="1"/>
  <c r="AT283" i="1"/>
  <c r="J602" i="1"/>
  <c r="AT1271" i="1"/>
  <c r="H836" i="1"/>
  <c r="AT55" i="1"/>
  <c r="D14" i="1"/>
  <c r="P3366" i="1"/>
  <c r="U2155" i="1"/>
  <c r="H3426" i="1"/>
  <c r="D3243" i="1"/>
  <c r="P3490" i="1"/>
  <c r="P3094" i="1"/>
  <c r="P1466" i="1"/>
  <c r="M2112" i="1"/>
  <c r="M2999" i="1"/>
  <c r="I1628" i="1"/>
  <c r="U1820" i="1"/>
  <c r="I1714" i="1"/>
  <c r="J828" i="1"/>
  <c r="Q1537" i="1"/>
  <c r="U2874" i="1"/>
  <c r="O776" i="1"/>
  <c r="M682" i="1"/>
  <c r="Q1138" i="1"/>
  <c r="AT3041" i="1"/>
  <c r="D2049" i="1"/>
  <c r="J744" i="1"/>
  <c r="I316" i="1"/>
  <c r="AT2783" i="1"/>
  <c r="AT2452" i="1"/>
  <c r="D3484" i="1"/>
  <c r="P2121" i="1"/>
  <c r="N1213" i="1"/>
  <c r="Q2096" i="1"/>
  <c r="Q1829" i="1"/>
  <c r="P303" i="1"/>
  <c r="H2332" i="1"/>
  <c r="J1963" i="1"/>
  <c r="N463" i="1"/>
  <c r="D3521" i="1"/>
  <c r="Q399" i="1"/>
  <c r="Q133" i="1"/>
  <c r="P3003" i="1"/>
  <c r="I2464" i="1"/>
  <c r="P3125" i="1"/>
  <c r="J3630" i="1"/>
  <c r="O2489" i="1"/>
  <c r="AT766" i="1"/>
  <c r="AT2753" i="1"/>
  <c r="K1297" i="1"/>
  <c r="J1590" i="1"/>
  <c r="P2937" i="1"/>
  <c r="D2282" i="1"/>
  <c r="Q720" i="1"/>
  <c r="D2768" i="1"/>
  <c r="AT3387" i="1"/>
  <c r="D1324" i="1"/>
  <c r="P742" i="1"/>
  <c r="H2769" i="1"/>
  <c r="P2477" i="1"/>
  <c r="M669" i="1"/>
  <c r="J3215" i="1"/>
  <c r="Q2811" i="1"/>
  <c r="M537" i="1"/>
  <c r="D650" i="1"/>
  <c r="P2788" i="1"/>
  <c r="M3229" i="1"/>
  <c r="P2583" i="1"/>
  <c r="N3464" i="1"/>
  <c r="I3350" i="1"/>
  <c r="AT988" i="1"/>
  <c r="P635" i="1"/>
  <c r="H2560" i="1"/>
  <c r="AT1651" i="1"/>
  <c r="D1056" i="1"/>
  <c r="U2608" i="1"/>
  <c r="P1490" i="1"/>
  <c r="N1128" i="1"/>
  <c r="U23" i="1"/>
  <c r="D3363" i="1"/>
  <c r="AT972" i="1"/>
  <c r="AT2520" i="1"/>
  <c r="J1481" i="1"/>
  <c r="I3534" i="1"/>
  <c r="Q1935" i="1"/>
  <c r="M3514" i="1"/>
  <c r="Q2883" i="1"/>
  <c r="D2825" i="1"/>
  <c r="D2026" i="1"/>
  <c r="J2885" i="1"/>
  <c r="I1902" i="1"/>
  <c r="U1955" i="1"/>
  <c r="K2347" i="1"/>
  <c r="D29" i="1"/>
  <c r="AT2391" i="1"/>
  <c r="P3598" i="1"/>
  <c r="Q2998" i="1"/>
  <c r="Q1074" i="1"/>
  <c r="J160" i="1"/>
  <c r="AT1301" i="1"/>
  <c r="P2405" i="1"/>
  <c r="AT3486" i="1"/>
  <c r="H3389" i="1"/>
  <c r="I169" i="1"/>
  <c r="AT3286" i="1"/>
  <c r="N433" i="1"/>
  <c r="O1941" i="1"/>
  <c r="Q3001" i="1"/>
  <c r="D693" i="1"/>
  <c r="K3376" i="1"/>
  <c r="O70" i="1"/>
  <c r="H549" i="1"/>
  <c r="I2870" i="1"/>
  <c r="H3537" i="1"/>
  <c r="D175" i="1"/>
  <c r="P277" i="1"/>
  <c r="Q386" i="1"/>
  <c r="J2313" i="1"/>
  <c r="Q1216" i="1"/>
  <c r="Q925" i="1"/>
  <c r="D3633" i="1"/>
  <c r="N104" i="1"/>
  <c r="Q1001" i="1"/>
  <c r="U1869" i="1"/>
  <c r="U3577" i="1"/>
  <c r="D559" i="1"/>
  <c r="M258" i="1"/>
  <c r="P3243" i="1"/>
  <c r="I2258" i="1"/>
  <c r="D863" i="1"/>
  <c r="O1243" i="1"/>
  <c r="AT2924" i="1"/>
  <c r="AT2967" i="1"/>
  <c r="M1876" i="1"/>
  <c r="U1930" i="1"/>
  <c r="U2077" i="1"/>
  <c r="K791" i="1"/>
  <c r="J186" i="1"/>
  <c r="I1152" i="1"/>
  <c r="D1646" i="1"/>
  <c r="K2763" i="1"/>
  <c r="H3588" i="1"/>
  <c r="P900" i="1"/>
  <c r="M1791" i="1"/>
  <c r="J60" i="1"/>
  <c r="M3259" i="1"/>
  <c r="U1485" i="1"/>
  <c r="N2944" i="1"/>
  <c r="D2227" i="1"/>
  <c r="D3141" i="1"/>
  <c r="O10" i="1"/>
  <c r="P3590" i="1"/>
  <c r="K169" i="1"/>
  <c r="AT3513" i="1"/>
  <c r="I99" i="1"/>
  <c r="M3334" i="1"/>
  <c r="I112" i="1"/>
  <c r="J2337" i="1"/>
  <c r="I149" i="1"/>
  <c r="U2689" i="1"/>
  <c r="H344" i="1"/>
  <c r="AT1266" i="1"/>
  <c r="I3032" i="1"/>
  <c r="N2956" i="1"/>
  <c r="U934" i="1"/>
  <c r="I129" i="1"/>
  <c r="AT734" i="1"/>
  <c r="Q2697" i="1"/>
  <c r="AT1386" i="1"/>
  <c r="D123" i="1"/>
  <c r="Q3159" i="1"/>
  <c r="M825" i="1"/>
  <c r="M162" i="1"/>
  <c r="I3064" i="1"/>
  <c r="N539" i="1"/>
  <c r="I91" i="1"/>
  <c r="D2843" i="1"/>
  <c r="N3047" i="1"/>
  <c r="H2528" i="1"/>
  <c r="K2412" i="1"/>
  <c r="U2332" i="1"/>
  <c r="Q3143" i="1"/>
  <c r="Q1573" i="1"/>
  <c r="J2002" i="1"/>
  <c r="Q436" i="1"/>
  <c r="H1432" i="1"/>
  <c r="N1917" i="1"/>
  <c r="H2703" i="1"/>
  <c r="Q227" i="1"/>
  <c r="I2120" i="1"/>
  <c r="H2570" i="1"/>
  <c r="D1617" i="1"/>
  <c r="P2176" i="1"/>
  <c r="Q1865" i="1"/>
  <c r="M2522" i="1"/>
  <c r="D3517" i="1"/>
  <c r="O751" i="1"/>
  <c r="P170" i="1"/>
  <c r="P2904" i="1"/>
  <c r="N120" i="1"/>
  <c r="I3229" i="1"/>
  <c r="M1697" i="1"/>
  <c r="D2944" i="1"/>
  <c r="D3103" i="1"/>
  <c r="H1966" i="1"/>
  <c r="H2102" i="1"/>
  <c r="H3087" i="1"/>
  <c r="I1532" i="1"/>
  <c r="Q2430" i="1"/>
  <c r="I1328" i="1"/>
  <c r="H1204" i="1"/>
  <c r="U3443" i="1"/>
  <c r="AT1943" i="1"/>
  <c r="O3384" i="1"/>
  <c r="N2028" i="1"/>
  <c r="D1985" i="1"/>
  <c r="H3559" i="1"/>
  <c r="N622" i="1"/>
  <c r="I517" i="1"/>
  <c r="U2554" i="1"/>
  <c r="U2054" i="1"/>
  <c r="U1118" i="1"/>
  <c r="U293" i="1"/>
  <c r="O3244" i="1"/>
  <c r="Q512" i="1"/>
  <c r="H2660" i="1"/>
  <c r="P2721" i="1"/>
  <c r="U949" i="1"/>
  <c r="N1909" i="1"/>
  <c r="P326" i="1"/>
  <c r="O196" i="1"/>
  <c r="Q1850" i="1"/>
  <c r="D799" i="1"/>
  <c r="H3141" i="1"/>
  <c r="N914" i="1"/>
  <c r="M3236" i="1"/>
  <c r="Q1778" i="1"/>
  <c r="O1345" i="1"/>
  <c r="N271" i="1"/>
  <c r="O1515" i="1"/>
  <c r="N6" i="1"/>
  <c r="P2925" i="1"/>
  <c r="Q2034" i="1"/>
  <c r="O1934" i="1"/>
  <c r="D194" i="1"/>
  <c r="AT2598" i="1"/>
  <c r="D1877" i="1"/>
  <c r="D2993" i="1"/>
  <c r="M1437" i="1"/>
  <c r="H3051" i="1"/>
  <c r="M144" i="1"/>
  <c r="U2951" i="1"/>
  <c r="N1056" i="1"/>
  <c r="N2733" i="1"/>
  <c r="U1198" i="1"/>
  <c r="I671" i="1"/>
  <c r="H2151" i="1"/>
  <c r="O3009" i="1"/>
  <c r="K891" i="1"/>
  <c r="N3173" i="1"/>
  <c r="AT1996" i="1"/>
  <c r="H2928" i="1"/>
  <c r="P1406" i="1"/>
  <c r="N2088" i="1"/>
  <c r="P2177" i="1"/>
  <c r="O216" i="1"/>
  <c r="O2569" i="1"/>
  <c r="U2870" i="1"/>
  <c r="P381" i="1"/>
  <c r="I486" i="1"/>
  <c r="N462" i="1"/>
  <c r="Y265" i="1"/>
  <c r="M3091" i="1"/>
  <c r="K1563" i="1"/>
  <c r="O2992" i="1"/>
  <c r="AT400" i="1"/>
  <c r="P2862" i="1"/>
  <c r="AT3622" i="1"/>
  <c r="K3" i="1"/>
  <c r="K2942" i="1"/>
  <c r="D3640" i="1"/>
  <c r="O775" i="1"/>
  <c r="J3461" i="1"/>
  <c r="M3377" i="1"/>
  <c r="J1625" i="1"/>
  <c r="P561" i="1"/>
  <c r="O3264" i="1"/>
  <c r="N2544" i="1"/>
  <c r="O1104" i="1"/>
  <c r="I2062" i="1"/>
  <c r="H3440" i="1"/>
  <c r="H1637" i="1"/>
  <c r="N110" i="1"/>
  <c r="M2174" i="1"/>
  <c r="O34" i="1"/>
  <c r="M2777" i="1"/>
  <c r="N2408" i="1"/>
  <c r="AT846" i="1"/>
  <c r="N2288" i="1"/>
  <c r="P2924" i="1"/>
  <c r="D1164" i="1"/>
  <c r="I1729" i="1"/>
  <c r="D3122" i="1"/>
  <c r="AT1136" i="1"/>
  <c r="M3180" i="1"/>
  <c r="Q1267" i="1"/>
  <c r="N1286" i="1"/>
  <c r="N2384" i="1"/>
  <c r="O3398" i="1"/>
  <c r="Q3043" i="1"/>
  <c r="P1832" i="1"/>
  <c r="P1767" i="1"/>
  <c r="D3410" i="1"/>
  <c r="N190" i="1"/>
  <c r="D1648" i="1"/>
  <c r="O1842" i="1"/>
  <c r="H2651" i="1"/>
  <c r="O2910" i="1"/>
  <c r="H1537" i="1"/>
  <c r="M1573" i="1"/>
  <c r="H2869" i="1"/>
  <c r="P1308" i="1"/>
  <c r="AT2960" i="1"/>
  <c r="O799" i="1"/>
  <c r="O2303" i="1"/>
  <c r="N152" i="1"/>
  <c r="Q2629" i="1"/>
  <c r="D2579" i="1"/>
  <c r="D607" i="1"/>
  <c r="M3433" i="1"/>
  <c r="N2633" i="1"/>
  <c r="O1281" i="1"/>
  <c r="H3458" i="1"/>
  <c r="N2839" i="1"/>
  <c r="AT2550" i="1"/>
  <c r="O3271" i="1"/>
  <c r="AT2959" i="1"/>
  <c r="D2261" i="1"/>
  <c r="N1433" i="1"/>
  <c r="Q1361" i="1"/>
  <c r="J629" i="1"/>
  <c r="H2496" i="1"/>
  <c r="M3186" i="1"/>
  <c r="D2006" i="1"/>
  <c r="AT309" i="1"/>
  <c r="AT3397" i="1"/>
  <c r="U1117" i="1"/>
  <c r="Q264" i="1"/>
  <c r="H688" i="1"/>
  <c r="M2627" i="1"/>
  <c r="U1299" i="1"/>
  <c r="AT154" i="1"/>
  <c r="M2595" i="1"/>
  <c r="N2172" i="1"/>
  <c r="AT2632" i="1"/>
  <c r="O3424" i="1"/>
  <c r="N786" i="1"/>
  <c r="H2289" i="1"/>
  <c r="H728" i="1"/>
  <c r="M3401" i="1"/>
  <c r="M601" i="1"/>
  <c r="D2264" i="1"/>
  <c r="AT803" i="1"/>
  <c r="M149" i="1"/>
  <c r="O761" i="1"/>
  <c r="D2489" i="1"/>
  <c r="P3534" i="1"/>
  <c r="N294" i="1"/>
  <c r="N853" i="1"/>
  <c r="D2464" i="1"/>
  <c r="U1711" i="1"/>
  <c r="AT1253" i="1"/>
  <c r="N2107" i="1"/>
  <c r="D1715" i="1"/>
  <c r="J2576" i="1"/>
  <c r="N60" i="1"/>
  <c r="AT843" i="1"/>
  <c r="AT2965" i="1"/>
  <c r="N1326" i="1"/>
  <c r="AT1044" i="1"/>
  <c r="P1999" i="1"/>
  <c r="J3088" i="1"/>
  <c r="D40" i="1"/>
  <c r="I2033" i="1"/>
  <c r="N548" i="1"/>
  <c r="N3258" i="1"/>
  <c r="P445" i="1"/>
  <c r="O837" i="1"/>
  <c r="D1305" i="1"/>
  <c r="M3604" i="1"/>
  <c r="D1548" i="1"/>
  <c r="D1398" i="1"/>
  <c r="AT1025" i="1"/>
  <c r="J2181" i="1"/>
  <c r="Q1343" i="1"/>
  <c r="AT1224" i="1"/>
  <c r="AT2170" i="1"/>
  <c r="H3295" i="1"/>
  <c r="H882" i="1"/>
  <c r="D806" i="1"/>
  <c r="M1135" i="1"/>
  <c r="U3295" i="1"/>
  <c r="M246" i="1"/>
  <c r="M797" i="1"/>
  <c r="AT13" i="1"/>
  <c r="O2620" i="1"/>
  <c r="AT3120" i="1"/>
  <c r="H54" i="1"/>
  <c r="M1229" i="1"/>
  <c r="AT3400" i="1"/>
  <c r="H950" i="1"/>
  <c r="H1584" i="1"/>
  <c r="J174" i="1"/>
  <c r="N1338" i="1"/>
  <c r="K840" i="1"/>
  <c r="Q1273" i="1"/>
  <c r="P1008" i="1"/>
  <c r="J3500" i="1"/>
  <c r="M2665" i="1"/>
  <c r="M1810" i="1"/>
  <c r="Q1474" i="1"/>
  <c r="M3309" i="1"/>
  <c r="Q2171" i="1"/>
  <c r="M389" i="1"/>
  <c r="H3108" i="1"/>
  <c r="N1445" i="1"/>
  <c r="N3342" i="1"/>
  <c r="H2629" i="1"/>
  <c r="N165" i="1"/>
  <c r="N3528" i="1"/>
  <c r="AT1390" i="1"/>
  <c r="D1704" i="1"/>
  <c r="AT3297" i="1"/>
  <c r="I1610" i="1"/>
  <c r="I487" i="1"/>
  <c r="N3251" i="1"/>
  <c r="P1028" i="1"/>
  <c r="N3136" i="1"/>
  <c r="I2901" i="1"/>
  <c r="P1050" i="1"/>
  <c r="H1147" i="1"/>
  <c r="AT1354" i="1"/>
  <c r="N1584" i="1"/>
  <c r="Q2534" i="1"/>
  <c r="U1393" i="1"/>
  <c r="H1418" i="1"/>
  <c r="M3018" i="1"/>
  <c r="N1267" i="1"/>
  <c r="Q2976" i="1"/>
  <c r="AT1828" i="1"/>
  <c r="U3085" i="1"/>
  <c r="K102" i="1"/>
  <c r="P3341" i="1"/>
  <c r="I3393" i="1"/>
  <c r="U751" i="1"/>
  <c r="J406" i="1"/>
  <c r="I657" i="1"/>
  <c r="M2482" i="1"/>
  <c r="N881" i="1"/>
  <c r="AT3094" i="1"/>
  <c r="H2709" i="1"/>
  <c r="N3584" i="1"/>
  <c r="P1968" i="1"/>
  <c r="H3446" i="1"/>
  <c r="P3397" i="1"/>
  <c r="M1308" i="1"/>
  <c r="D1274" i="1"/>
  <c r="D1930" i="1"/>
  <c r="P1481" i="1"/>
  <c r="J2855" i="1"/>
  <c r="U1033" i="1"/>
  <c r="N2277" i="1"/>
  <c r="K222" i="1"/>
  <c r="H166" i="1"/>
  <c r="J451" i="1"/>
  <c r="U3638" i="1"/>
  <c r="U3445" i="1"/>
  <c r="O286" i="1"/>
  <c r="I1465" i="1"/>
  <c r="H292" i="1"/>
  <c r="P215" i="1"/>
  <c r="AT2469" i="1"/>
  <c r="J692" i="1"/>
  <c r="Q3051" i="1"/>
  <c r="U3183" i="1"/>
  <c r="O3281" i="1"/>
  <c r="N2964" i="1"/>
  <c r="N1205" i="1"/>
  <c r="P1898" i="1"/>
  <c r="D1764" i="1"/>
  <c r="J723" i="1"/>
  <c r="H2097" i="1"/>
  <c r="O1808" i="1"/>
  <c r="Q1407" i="1"/>
  <c r="AT1308" i="1"/>
  <c r="M2199" i="1"/>
  <c r="AT2731" i="1"/>
  <c r="P2344" i="1"/>
  <c r="O959" i="1"/>
  <c r="Q1892" i="1"/>
  <c r="J3115" i="1"/>
  <c r="M1700" i="1"/>
  <c r="M471" i="1"/>
  <c r="D2644" i="1"/>
  <c r="D1845" i="1"/>
  <c r="P2518" i="1"/>
  <c r="I2624" i="1"/>
  <c r="O2473" i="1"/>
  <c r="N1508" i="1"/>
  <c r="K3405" i="1"/>
  <c r="M760" i="1"/>
  <c r="AT2519" i="1"/>
  <c r="D2710" i="1"/>
  <c r="M237" i="1"/>
  <c r="N2827" i="1"/>
  <c r="Q2577" i="1"/>
  <c r="U662" i="1"/>
  <c r="O2685" i="1"/>
  <c r="H1005" i="1"/>
  <c r="M2807" i="1"/>
  <c r="H3189" i="1"/>
  <c r="N2105" i="1"/>
  <c r="U2438" i="1"/>
  <c r="N1405" i="1"/>
  <c r="P1075" i="1"/>
  <c r="H2572" i="1"/>
  <c r="D415" i="1"/>
  <c r="AT276" i="1"/>
  <c r="M1397" i="1"/>
  <c r="D2645" i="1"/>
  <c r="M1750" i="1"/>
  <c r="Q1721" i="1"/>
  <c r="I135" i="1"/>
  <c r="N1512" i="1"/>
  <c r="M3393" i="1"/>
  <c r="N63" i="1"/>
  <c r="P1150" i="1"/>
  <c r="H1605" i="1"/>
  <c r="O1390" i="1"/>
  <c r="AT1458" i="1"/>
  <c r="P1746" i="1"/>
  <c r="K1015" i="1"/>
  <c r="Q3546" i="1"/>
  <c r="O3178" i="1"/>
  <c r="D341" i="1"/>
  <c r="M3260" i="1"/>
  <c r="J2367" i="1"/>
  <c r="M2964" i="1"/>
  <c r="U995" i="1"/>
  <c r="M1698" i="1"/>
  <c r="M514" i="1"/>
  <c r="O404" i="1"/>
  <c r="AT891" i="1"/>
  <c r="N1369" i="1"/>
  <c r="H126" i="1"/>
  <c r="H2213" i="1"/>
  <c r="N2005" i="1"/>
  <c r="Q821" i="1"/>
  <c r="D754" i="1"/>
  <c r="N3280" i="1"/>
  <c r="AT2698" i="1"/>
  <c r="N2259" i="1"/>
  <c r="P2665" i="1"/>
  <c r="U2886" i="1"/>
  <c r="N2280" i="1"/>
  <c r="H588" i="1"/>
  <c r="I3072" i="1"/>
  <c r="Q2762" i="1"/>
  <c r="D3221" i="1"/>
  <c r="AT169" i="1"/>
  <c r="J3562" i="1"/>
  <c r="I1147" i="1"/>
  <c r="D1599" i="1"/>
  <c r="Q3376" i="1"/>
  <c r="I3307" i="1"/>
  <c r="D3266" i="1"/>
  <c r="Q3210" i="1"/>
  <c r="I1516" i="1"/>
  <c r="D759" i="1"/>
  <c r="M1784" i="1"/>
  <c r="M745" i="1"/>
  <c r="Q3489" i="1"/>
  <c r="I323" i="1"/>
  <c r="Q2931" i="1"/>
  <c r="K2276" i="1"/>
  <c r="O85" i="1"/>
  <c r="M2556" i="1"/>
  <c r="M3083" i="1"/>
  <c r="Q3585" i="1"/>
  <c r="M700" i="1"/>
  <c r="N1869" i="1"/>
  <c r="H976" i="1"/>
  <c r="K135" i="1"/>
  <c r="AT1495" i="1"/>
  <c r="H1280" i="1"/>
  <c r="AT3176" i="1"/>
  <c r="AT2306" i="1"/>
  <c r="Q2950" i="1"/>
  <c r="D213" i="1"/>
  <c r="U3636" i="1"/>
  <c r="K3419" i="1"/>
  <c r="H196" i="1"/>
  <c r="Q994" i="1"/>
  <c r="M2023" i="1"/>
  <c r="U1811" i="1"/>
  <c r="O922" i="1"/>
  <c r="U1049" i="1"/>
  <c r="D1083" i="1"/>
  <c r="N2613" i="1"/>
  <c r="N968" i="1"/>
  <c r="I2448" i="1"/>
  <c r="Q689" i="1"/>
  <c r="M345" i="1"/>
  <c r="O740" i="1"/>
  <c r="D933" i="1"/>
  <c r="O3580" i="1"/>
  <c r="M122" i="1"/>
  <c r="D3173" i="1"/>
  <c r="O785" i="1"/>
  <c r="H1879" i="1"/>
  <c r="I3549" i="1"/>
  <c r="Q771" i="1"/>
  <c r="O3108" i="1"/>
  <c r="N3148" i="1"/>
  <c r="D1401" i="1"/>
  <c r="K1619" i="1"/>
  <c r="O3528" i="1"/>
  <c r="M1499" i="1"/>
  <c r="H2808" i="1"/>
  <c r="M721" i="1"/>
  <c r="I3278" i="1"/>
  <c r="M2837" i="1"/>
  <c r="H987" i="1"/>
  <c r="Q2695" i="1"/>
  <c r="Q1330" i="1"/>
  <c r="O1388" i="1"/>
  <c r="U196" i="1"/>
  <c r="D2894" i="1"/>
  <c r="Q3586" i="1"/>
  <c r="H1464" i="1"/>
  <c r="J2429" i="1"/>
  <c r="AT916" i="1"/>
  <c r="AT197" i="1"/>
  <c r="P46" i="1"/>
  <c r="M2131" i="1"/>
  <c r="Q1376" i="1"/>
  <c r="M3293" i="1"/>
  <c r="O348" i="1"/>
  <c r="AT419" i="1"/>
  <c r="D827" i="1"/>
  <c r="U652" i="1"/>
  <c r="D3081" i="1"/>
  <c r="D1277" i="1"/>
  <c r="D1053" i="1"/>
  <c r="M1699" i="1"/>
  <c r="AT1462" i="1"/>
  <c r="U1491" i="1"/>
  <c r="AT1331" i="1"/>
  <c r="K2109" i="1"/>
  <c r="P417" i="1"/>
  <c r="U1670" i="1"/>
  <c r="Q438" i="1"/>
  <c r="J1572" i="1"/>
  <c r="AT827" i="1"/>
  <c r="N47" i="1"/>
  <c r="J3227" i="1"/>
  <c r="N361" i="1"/>
  <c r="P2664" i="1"/>
  <c r="P2028" i="1"/>
  <c r="J3343" i="1"/>
  <c r="P614" i="1"/>
  <c r="P1841" i="1"/>
  <c r="O2736" i="1"/>
  <c r="P1806" i="1"/>
  <c r="D2541" i="1"/>
  <c r="M2991" i="1"/>
  <c r="O419" i="1"/>
  <c r="M165" i="1"/>
  <c r="H20" i="1"/>
  <c r="O2154" i="1"/>
  <c r="U634" i="1"/>
  <c r="AT2291" i="1"/>
  <c r="N1896" i="1"/>
  <c r="H2933" i="1"/>
  <c r="P2901" i="1"/>
  <c r="Q3178" i="1"/>
  <c r="D184" i="1"/>
  <c r="Q2033" i="1"/>
  <c r="AT1433" i="1"/>
  <c r="I2211" i="1"/>
  <c r="Q3559" i="1"/>
  <c r="M1601" i="1"/>
  <c r="O3385" i="1"/>
  <c r="M2133" i="1"/>
  <c r="H2692" i="1"/>
  <c r="M640" i="1"/>
  <c r="O3195" i="1"/>
  <c r="M1678" i="1"/>
  <c r="I1138" i="1"/>
  <c r="U266" i="1"/>
  <c r="K170" i="1"/>
  <c r="M1956" i="1"/>
  <c r="K1750" i="1"/>
  <c r="M1354" i="1"/>
  <c r="Q3267" i="1"/>
  <c r="P3059" i="1"/>
  <c r="M1657" i="1"/>
  <c r="P1443" i="1"/>
  <c r="J3519" i="1"/>
  <c r="I1594" i="1"/>
  <c r="I46" i="1"/>
  <c r="I3570" i="1"/>
  <c r="AT688" i="1"/>
  <c r="AT930" i="1"/>
  <c r="P10" i="1"/>
  <c r="N2447" i="1"/>
  <c r="AT2223" i="1"/>
  <c r="AT2118" i="1"/>
  <c r="U2061" i="1"/>
  <c r="H3258" i="1"/>
  <c r="P2944" i="1"/>
  <c r="M1687" i="1"/>
  <c r="M1449" i="1"/>
  <c r="AT17" i="1"/>
  <c r="N2520" i="1"/>
  <c r="M1907" i="1"/>
  <c r="I2104" i="1"/>
  <c r="M2386" i="1"/>
  <c r="Q2070" i="1"/>
  <c r="M850" i="1"/>
  <c r="AT506" i="1"/>
  <c r="AT2761" i="1"/>
  <c r="O1903" i="1"/>
  <c r="N2525" i="1"/>
  <c r="P2824" i="1"/>
  <c r="O3408" i="1"/>
  <c r="U1061" i="1"/>
  <c r="Q2219" i="1"/>
  <c r="D1543" i="1"/>
  <c r="N1698" i="1"/>
  <c r="N1984" i="1"/>
  <c r="Q3194" i="1"/>
  <c r="I1070" i="1"/>
  <c r="AT1162" i="1"/>
  <c r="N2014" i="1"/>
  <c r="H3245" i="1"/>
  <c r="H2288" i="1"/>
  <c r="D907" i="1"/>
  <c r="H1565" i="1"/>
  <c r="AT665" i="1"/>
  <c r="U2375" i="1"/>
  <c r="I3400" i="1"/>
  <c r="M3510" i="1"/>
  <c r="P933" i="1"/>
  <c r="U3457" i="1"/>
  <c r="J3475" i="1"/>
  <c r="P2776" i="1"/>
  <c r="U3417" i="1"/>
  <c r="I2722" i="1"/>
  <c r="Q1137" i="1"/>
  <c r="AT3371" i="1"/>
  <c r="D1465" i="1"/>
  <c r="U1471" i="1"/>
  <c r="P1267" i="1"/>
  <c r="U575" i="1"/>
  <c r="M2671" i="1"/>
  <c r="U3505" i="1"/>
  <c r="H865" i="1"/>
  <c r="AT2525" i="1"/>
  <c r="AT88" i="1"/>
  <c r="K395" i="1"/>
  <c r="M2810" i="1"/>
  <c r="Q1571" i="1"/>
  <c r="O2903" i="1"/>
  <c r="P2699" i="1"/>
  <c r="N1046" i="1"/>
  <c r="Q953" i="1"/>
  <c r="I400" i="1"/>
  <c r="D1079" i="1"/>
  <c r="K554" i="1"/>
  <c r="I779" i="1"/>
  <c r="Q1305" i="1"/>
  <c r="D1339" i="1"/>
  <c r="K3107" i="1"/>
  <c r="AT896" i="1"/>
  <c r="AT818" i="1"/>
  <c r="U331" i="1"/>
  <c r="N609" i="1"/>
  <c r="N2156" i="1"/>
  <c r="N268" i="1"/>
  <c r="K3017" i="1"/>
  <c r="H1534" i="1"/>
  <c r="O3501" i="1"/>
  <c r="M1371" i="1"/>
  <c r="I1609" i="1"/>
  <c r="P809" i="1"/>
  <c r="K2604" i="1"/>
  <c r="O2384" i="1"/>
  <c r="AT3451" i="1"/>
  <c r="J1316" i="1"/>
  <c r="J2077" i="1"/>
  <c r="M1100" i="1"/>
  <c r="I3361" i="1"/>
  <c r="H1554" i="1"/>
  <c r="K3207" i="1"/>
  <c r="D3459" i="1"/>
  <c r="AT1756" i="1"/>
  <c r="Q1648" i="1"/>
  <c r="D2780" i="1"/>
  <c r="AT761" i="1"/>
  <c r="O3092" i="1"/>
  <c r="H1594" i="1"/>
  <c r="N1090" i="1"/>
  <c r="AT424" i="1"/>
  <c r="Q2527" i="1"/>
  <c r="M2844" i="1"/>
  <c r="N2178" i="1"/>
  <c r="M3621" i="1"/>
  <c r="N2925" i="1"/>
  <c r="P581" i="1"/>
  <c r="M3440" i="1"/>
  <c r="H2638" i="1"/>
  <c r="M1329" i="1"/>
  <c r="Q3233" i="1"/>
  <c r="K1160" i="1"/>
  <c r="M799" i="1"/>
  <c r="O1664" i="1"/>
  <c r="M607" i="1"/>
  <c r="O1850" i="1"/>
  <c r="M315" i="1"/>
  <c r="U3263" i="1"/>
  <c r="D2545" i="1"/>
  <c r="K588" i="1"/>
  <c r="H3097" i="1"/>
  <c r="D1979" i="1"/>
  <c r="U1383" i="1"/>
  <c r="U906" i="1"/>
  <c r="I2732" i="1"/>
  <c r="O1937" i="1"/>
  <c r="O2168" i="1"/>
  <c r="O1605" i="1"/>
  <c r="M1378" i="1"/>
  <c r="Q2440" i="1"/>
  <c r="Q2242" i="1"/>
  <c r="H3603" i="1"/>
  <c r="AT2645" i="1"/>
  <c r="I518" i="1"/>
  <c r="M1313" i="1"/>
  <c r="I1916" i="1"/>
  <c r="N366" i="1"/>
  <c r="H476" i="1"/>
  <c r="N2860" i="1"/>
  <c r="Q1811" i="1"/>
  <c r="N1685" i="1"/>
  <c r="K3085" i="1"/>
  <c r="N1987" i="1"/>
  <c r="O2354" i="1"/>
  <c r="M1293" i="1"/>
  <c r="AT2721" i="1"/>
  <c r="M2523" i="1"/>
  <c r="O2677" i="1"/>
  <c r="D3233" i="1"/>
  <c r="O2609" i="1"/>
  <c r="M1775" i="1"/>
  <c r="M1922" i="1"/>
  <c r="O2827" i="1"/>
  <c r="M98" i="1"/>
  <c r="D3512" i="1"/>
  <c r="N1141" i="1"/>
  <c r="D3527" i="1"/>
  <c r="M2072" i="1"/>
  <c r="K3251" i="1"/>
  <c r="AT3119" i="1"/>
  <c r="O774" i="1"/>
  <c r="N1398" i="1"/>
  <c r="P2061" i="1"/>
  <c r="O2619" i="1"/>
  <c r="J1214" i="1"/>
  <c r="Q816" i="1"/>
  <c r="O15" i="1"/>
  <c r="D1475" i="1"/>
  <c r="I2471" i="1"/>
  <c r="M2361" i="1"/>
  <c r="M1497" i="1"/>
  <c r="O517" i="1"/>
  <c r="N553" i="1"/>
  <c r="AT19" i="1"/>
  <c r="D1804" i="1"/>
  <c r="M2424" i="1"/>
  <c r="H2335" i="1"/>
  <c r="Q3641" i="1"/>
  <c r="AT36" i="1"/>
  <c r="M3345" i="1"/>
  <c r="M1911" i="1"/>
  <c r="D898" i="1"/>
  <c r="O3286" i="1"/>
  <c r="H1451" i="1"/>
  <c r="N2962" i="1"/>
  <c r="P2662" i="1"/>
  <c r="D1115" i="1"/>
  <c r="O466" i="1"/>
  <c r="N2516" i="1"/>
  <c r="U2892" i="1"/>
  <c r="D2723" i="1"/>
  <c r="H2470" i="1"/>
  <c r="I3035" i="1"/>
  <c r="O1690" i="1"/>
  <c r="U2945" i="1"/>
  <c r="O222" i="1"/>
  <c r="U2324" i="1"/>
  <c r="M1774" i="1"/>
  <c r="N990" i="1"/>
  <c r="I167" i="1"/>
  <c r="M989" i="1"/>
  <c r="I458" i="1"/>
  <c r="I3398" i="1"/>
  <c r="U354" i="1"/>
  <c r="AT2285" i="1"/>
  <c r="J80" i="1"/>
  <c r="M1590" i="1"/>
  <c r="N2078" i="1"/>
  <c r="O3131" i="1"/>
  <c r="P122" i="1"/>
  <c r="I617" i="1"/>
  <c r="M313" i="1"/>
  <c r="P1310" i="1"/>
  <c r="AT3557" i="1"/>
  <c r="D2313" i="1"/>
  <c r="N2478" i="1"/>
  <c r="D2346" i="1"/>
  <c r="O2173" i="1"/>
  <c r="O681" i="1"/>
  <c r="I2761" i="1"/>
  <c r="D2152" i="1"/>
  <c r="K2726" i="1"/>
  <c r="D2651" i="1"/>
  <c r="N1473" i="1"/>
  <c r="P1911" i="1"/>
  <c r="M1429" i="1"/>
  <c r="P2525" i="1"/>
  <c r="M3468" i="1"/>
  <c r="P756" i="1"/>
  <c r="H3482" i="1"/>
  <c r="D3524" i="1"/>
  <c r="AT2839" i="1"/>
  <c r="H2383" i="1"/>
  <c r="N2984" i="1"/>
  <c r="U910" i="1"/>
  <c r="D3310" i="1"/>
  <c r="N2767" i="1"/>
  <c r="U868" i="1"/>
  <c r="N1757" i="1"/>
  <c r="Q231" i="1"/>
  <c r="I2705" i="1"/>
  <c r="U2975" i="1"/>
  <c r="N3367" i="1"/>
  <c r="J1427" i="1"/>
  <c r="O1913" i="1"/>
  <c r="M2110" i="1"/>
  <c r="M3453" i="1"/>
  <c r="O296" i="1"/>
  <c r="O703" i="1"/>
  <c r="P1128" i="1"/>
  <c r="AT1765" i="1"/>
  <c r="H627" i="1"/>
  <c r="U3618" i="1"/>
  <c r="O890" i="1"/>
  <c r="O3582" i="1"/>
  <c r="N3361" i="1"/>
  <c r="Q2257" i="1"/>
  <c r="AT3265" i="1"/>
  <c r="M1034" i="1"/>
  <c r="J1533" i="1"/>
  <c r="P1921" i="1"/>
  <c r="M3408" i="1"/>
  <c r="AT3388" i="1"/>
  <c r="I611" i="1"/>
  <c r="M1230" i="1"/>
  <c r="AT2088" i="1"/>
  <c r="Q269" i="1"/>
  <c r="U1659" i="1"/>
  <c r="M767" i="1"/>
  <c r="J2137" i="1"/>
  <c r="Q1135" i="1"/>
  <c r="I2095" i="1"/>
  <c r="U3625" i="1"/>
  <c r="H3096" i="1"/>
  <c r="I2082" i="1"/>
  <c r="I1926" i="1"/>
  <c r="U2050" i="1"/>
  <c r="M1427" i="1"/>
  <c r="I3142" i="1"/>
  <c r="O1777" i="1"/>
  <c r="Q1696" i="1"/>
  <c r="O157" i="1"/>
  <c r="H132" i="1"/>
  <c r="P2528" i="1"/>
  <c r="I2159" i="1"/>
  <c r="P361" i="1"/>
  <c r="AT1556" i="1"/>
  <c r="D3362" i="1"/>
  <c r="M359" i="1"/>
  <c r="AT2100" i="1"/>
  <c r="Q2994" i="1"/>
  <c r="AT214" i="1"/>
  <c r="O1267" i="1"/>
  <c r="D1797" i="1"/>
  <c r="AT1366" i="1"/>
  <c r="H56" i="1"/>
  <c r="I1823" i="1"/>
  <c r="O86" i="1"/>
  <c r="Q1299" i="1"/>
  <c r="O1727" i="1"/>
  <c r="AT2885" i="1"/>
  <c r="H2683" i="1"/>
  <c r="P986" i="1"/>
  <c r="U2372" i="1"/>
  <c r="M1091" i="1"/>
  <c r="N3012" i="1"/>
  <c r="M3450" i="1"/>
  <c r="N724" i="1"/>
  <c r="H634" i="1"/>
  <c r="D2117" i="1"/>
  <c r="I1810" i="1"/>
  <c r="P489" i="1"/>
  <c r="N1875" i="1"/>
  <c r="D1605" i="1"/>
  <c r="K3527" i="1"/>
  <c r="Q1755" i="1"/>
  <c r="O244" i="1"/>
  <c r="AT1908" i="1"/>
  <c r="J1940" i="1"/>
  <c r="AT2265" i="1"/>
  <c r="Q2170" i="1"/>
  <c r="N3474" i="1"/>
  <c r="P2772" i="1"/>
  <c r="M1301" i="1"/>
  <c r="AT3279" i="1"/>
  <c r="Q1602" i="1"/>
  <c r="M2337" i="1"/>
  <c r="M2903" i="1"/>
  <c r="O1575" i="1"/>
  <c r="D611" i="1"/>
  <c r="K429" i="1"/>
  <c r="I1109" i="1"/>
  <c r="N1055" i="1"/>
  <c r="O502" i="1"/>
  <c r="N3048" i="1"/>
  <c r="I297" i="1"/>
  <c r="D2842" i="1"/>
  <c r="I3607" i="1"/>
  <c r="H1224" i="1"/>
  <c r="M2560" i="1"/>
  <c r="U638" i="1"/>
  <c r="M1730" i="1"/>
  <c r="D1692" i="1"/>
  <c r="Q2525" i="1"/>
  <c r="U483" i="1"/>
  <c r="Q1672" i="1"/>
  <c r="I963" i="1"/>
  <c r="M1852" i="1"/>
  <c r="O3196" i="1"/>
  <c r="J1871" i="1"/>
  <c r="I3630" i="1"/>
  <c r="N326" i="1"/>
  <c r="M3496" i="1"/>
  <c r="O1987" i="1"/>
  <c r="Q2526" i="1"/>
  <c r="P2791" i="1"/>
  <c r="P2978" i="1"/>
  <c r="I561" i="1"/>
  <c r="M1495" i="1"/>
  <c r="Q916" i="1"/>
  <c r="M3257" i="1"/>
  <c r="Q1353" i="1"/>
  <c r="O1879" i="1"/>
  <c r="O1069" i="1"/>
  <c r="N707" i="1"/>
  <c r="D310" i="1"/>
  <c r="D1034" i="1"/>
  <c r="D489" i="1"/>
  <c r="P1966" i="1"/>
  <c r="P2505" i="1"/>
  <c r="Q1172" i="1"/>
  <c r="O1703" i="1"/>
  <c r="Q628" i="1"/>
  <c r="N902" i="1"/>
  <c r="D1493" i="1"/>
  <c r="O1413" i="1"/>
  <c r="N2275" i="1"/>
  <c r="N3563" i="1"/>
  <c r="I350" i="1"/>
  <c r="U895" i="1"/>
  <c r="H237" i="1"/>
  <c r="N1612" i="1"/>
  <c r="H845" i="1"/>
  <c r="H431" i="1"/>
  <c r="Q141" i="1"/>
  <c r="N1272" i="1"/>
  <c r="O2137" i="1"/>
  <c r="K3069" i="1"/>
  <c r="AT611" i="1"/>
  <c r="M1104" i="1"/>
  <c r="AT1751" i="1"/>
  <c r="I1616" i="1"/>
  <c r="N302" i="1"/>
  <c r="K3591" i="1"/>
  <c r="I301" i="1"/>
  <c r="O3094" i="1"/>
  <c r="P3357" i="1"/>
  <c r="O1415" i="1"/>
  <c r="K1687" i="1"/>
  <c r="I1214" i="1"/>
  <c r="O202" i="1"/>
  <c r="M2433" i="1"/>
  <c r="J2873" i="1"/>
  <c r="I3257" i="1"/>
  <c r="M1882" i="1"/>
  <c r="Q472" i="1"/>
  <c r="J1118" i="1"/>
  <c r="P158" i="1"/>
  <c r="D1612" i="1"/>
  <c r="N1465" i="1"/>
  <c r="M1398" i="1"/>
  <c r="N677" i="1"/>
  <c r="AT557" i="1"/>
  <c r="H6" i="1"/>
  <c r="I2201" i="1"/>
  <c r="AT1054" i="1"/>
  <c r="AT2202" i="1"/>
  <c r="M3290" i="1"/>
  <c r="D1533" i="1"/>
  <c r="P1220" i="1"/>
  <c r="Q3410" i="1"/>
  <c r="O2263" i="1"/>
  <c r="P1265" i="1"/>
  <c r="Q3039" i="1"/>
  <c r="I3004" i="1"/>
  <c r="Q490" i="1"/>
  <c r="M1474" i="1"/>
  <c r="M2918" i="1"/>
  <c r="U2793" i="1"/>
  <c r="N1557" i="1"/>
  <c r="P2567" i="1"/>
  <c r="AT3416" i="1"/>
  <c r="U996" i="1"/>
  <c r="P2921" i="1"/>
  <c r="K763" i="1"/>
  <c r="Q3540" i="1"/>
  <c r="P3511" i="1"/>
  <c r="N3326" i="1"/>
  <c r="O1912" i="1"/>
  <c r="N1872" i="1"/>
  <c r="P698" i="1"/>
  <c r="H224" i="1"/>
  <c r="O3496" i="1"/>
  <c r="N3518" i="1"/>
  <c r="D274" i="1"/>
  <c r="H2995" i="1"/>
  <c r="I2121" i="1"/>
  <c r="M3026" i="1"/>
  <c r="Q349" i="1"/>
  <c r="P1392" i="1"/>
  <c r="D1393" i="1"/>
  <c r="Q746" i="1"/>
  <c r="I1499" i="1"/>
  <c r="P2286" i="1"/>
  <c r="J219" i="1"/>
  <c r="Q1251" i="1"/>
  <c r="U472" i="1"/>
  <c r="U1031" i="1"/>
  <c r="H3623" i="1"/>
  <c r="I3438" i="1"/>
  <c r="AT1661" i="1"/>
  <c r="AT2980" i="1"/>
  <c r="AT1353" i="1"/>
  <c r="H2046" i="1"/>
  <c r="I844" i="1"/>
  <c r="O1241" i="1"/>
  <c r="I865" i="1"/>
  <c r="M1322" i="1"/>
  <c r="M1447" i="1"/>
  <c r="H2199" i="1"/>
  <c r="P2584" i="1"/>
  <c r="O2765" i="1"/>
  <c r="AT1890" i="1"/>
  <c r="O1866" i="1"/>
  <c r="P580" i="1"/>
  <c r="Q1821" i="1"/>
  <c r="I2788" i="1"/>
  <c r="P2145" i="1"/>
  <c r="Q2184" i="1"/>
  <c r="N623" i="1"/>
  <c r="P2950" i="1"/>
  <c r="D2594" i="1"/>
  <c r="M3443" i="1"/>
  <c r="I231" i="1"/>
  <c r="Q2666" i="1"/>
  <c r="N143" i="1"/>
  <c r="D272" i="1"/>
  <c r="O2521" i="1"/>
  <c r="H3526" i="1"/>
  <c r="M1850" i="1"/>
  <c r="U623" i="1"/>
  <c r="M506" i="1"/>
  <c r="N653" i="1"/>
  <c r="P3156" i="1"/>
  <c r="AT2817" i="1"/>
  <c r="N2567" i="1"/>
  <c r="Q2412" i="1"/>
  <c r="N149" i="1"/>
  <c r="K480" i="1"/>
  <c r="D360" i="1"/>
  <c r="H2209" i="1"/>
  <c r="K3597" i="1"/>
  <c r="D2427" i="1"/>
  <c r="AT3560" i="1"/>
  <c r="K1952" i="1"/>
  <c r="U3260" i="1"/>
  <c r="U3170" i="1"/>
  <c r="Q168" i="1"/>
  <c r="U2928" i="1"/>
  <c r="U3230" i="1"/>
  <c r="I2224" i="1"/>
  <c r="N3390" i="1"/>
  <c r="P2178" i="1"/>
  <c r="M2531" i="1"/>
  <c r="U2569" i="1"/>
  <c r="D52" i="1"/>
  <c r="N3229" i="1"/>
  <c r="M292" i="1"/>
  <c r="U551" i="1"/>
  <c r="O293" i="1"/>
  <c r="K164" i="1"/>
  <c r="K1370" i="1"/>
  <c r="H754" i="1"/>
  <c r="P2413" i="1"/>
  <c r="N7" i="1"/>
  <c r="AT2510" i="1"/>
  <c r="O3387" i="1"/>
  <c r="J621" i="1"/>
  <c r="AT2766" i="1"/>
  <c r="AT706" i="1"/>
  <c r="P1164" i="1"/>
  <c r="U3199" i="1"/>
  <c r="D3480" i="1"/>
  <c r="P307" i="1"/>
  <c r="U2017" i="1"/>
  <c r="D1980" i="1"/>
  <c r="D737" i="1"/>
  <c r="D1138" i="1"/>
  <c r="N736" i="1"/>
  <c r="P3052" i="1"/>
  <c r="N1360" i="1"/>
  <c r="D1920" i="1"/>
  <c r="J181" i="1"/>
  <c r="Q1645" i="1"/>
  <c r="H231" i="1"/>
  <c r="P941" i="1"/>
  <c r="AT605" i="1"/>
  <c r="D643" i="1"/>
  <c r="P1341" i="1"/>
  <c r="D2731" i="1"/>
  <c r="I1174" i="1"/>
  <c r="P2408" i="1"/>
  <c r="O2581" i="1"/>
  <c r="D369" i="1"/>
  <c r="P2859" i="1"/>
  <c r="M1234" i="1"/>
  <c r="I195" i="1"/>
  <c r="N1148" i="1"/>
  <c r="N1776" i="1"/>
  <c r="J1193" i="1"/>
  <c r="N2229" i="1"/>
  <c r="J126" i="1"/>
  <c r="D346" i="1"/>
  <c r="U1184" i="1"/>
  <c r="U407" i="1"/>
  <c r="O2526" i="1"/>
  <c r="M2826" i="1"/>
  <c r="H2630" i="1"/>
  <c r="AT2154" i="1"/>
  <c r="H1476" i="1"/>
  <c r="Q1210" i="1"/>
  <c r="M1840" i="1"/>
  <c r="D3066" i="1"/>
  <c r="N3294" i="1"/>
  <c r="D2706" i="1"/>
  <c r="AT1109" i="1"/>
  <c r="O2890" i="1"/>
  <c r="AT2063" i="1"/>
  <c r="N527" i="1"/>
  <c r="M679" i="1"/>
  <c r="H2098" i="1"/>
  <c r="U3492" i="1"/>
  <c r="D2121" i="1"/>
  <c r="M218" i="1"/>
  <c r="D2756" i="1"/>
  <c r="Q830" i="1"/>
  <c r="Q2772" i="1"/>
  <c r="N2908" i="1"/>
  <c r="O3363" i="1"/>
  <c r="I2584" i="1"/>
  <c r="U2955" i="1"/>
  <c r="U3055" i="1"/>
  <c r="Q606" i="1"/>
  <c r="Q1592" i="1"/>
  <c r="I2941" i="1"/>
  <c r="I875" i="1"/>
  <c r="H3533" i="1"/>
  <c r="U3512" i="1"/>
  <c r="K1821" i="1"/>
  <c r="N1479" i="1"/>
  <c r="U1396" i="1"/>
  <c r="P3554" i="1"/>
  <c r="I1607" i="1"/>
  <c r="M368" i="1"/>
  <c r="M793" i="1"/>
  <c r="P451" i="1"/>
  <c r="I917" i="1"/>
  <c r="AT3586" i="1"/>
  <c r="N1317" i="1"/>
  <c r="I3355" i="1"/>
  <c r="AT2312" i="1"/>
  <c r="H2331" i="1"/>
  <c r="M3271" i="1"/>
  <c r="N2270" i="1"/>
  <c r="N1243" i="1"/>
  <c r="M304" i="1"/>
  <c r="J1733" i="1"/>
  <c r="U2676" i="1"/>
  <c r="P2663" i="1"/>
  <c r="AT1866" i="1"/>
  <c r="M2771" i="1"/>
  <c r="D782" i="1"/>
  <c r="M1027" i="1"/>
  <c r="Q894" i="1"/>
  <c r="Q2335" i="1"/>
  <c r="P3181" i="1"/>
  <c r="AT575" i="1"/>
  <c r="O1005" i="1"/>
  <c r="O2645" i="1"/>
  <c r="M1244" i="1"/>
  <c r="AT2421" i="1"/>
  <c r="D3641" i="1"/>
  <c r="O3070" i="1"/>
  <c r="O3246" i="1"/>
  <c r="U701" i="1"/>
  <c r="Q1381" i="1"/>
  <c r="H19" i="1"/>
  <c r="N3337" i="1"/>
  <c r="U1045" i="1"/>
  <c r="Q1175" i="1"/>
  <c r="P1372" i="1"/>
  <c r="P1119" i="1"/>
  <c r="D1874" i="1"/>
  <c r="O1487" i="1"/>
  <c r="P2735" i="1"/>
  <c r="O3207" i="1"/>
  <c r="U1248" i="1"/>
  <c r="N2282" i="1"/>
  <c r="U2542" i="1"/>
  <c r="N157" i="1"/>
  <c r="AT1679" i="1"/>
  <c r="P812" i="1"/>
  <c r="I1021" i="1"/>
  <c r="H973" i="1"/>
  <c r="D3435" i="1"/>
  <c r="M541" i="1"/>
  <c r="I1467" i="1"/>
  <c r="Q1934" i="1"/>
  <c r="N2943" i="1"/>
  <c r="D3219" i="1"/>
  <c r="N266" i="1"/>
  <c r="I1319" i="1"/>
  <c r="AT3303" i="1"/>
  <c r="U2961" i="1"/>
  <c r="U1509" i="1"/>
  <c r="Q1723" i="1"/>
  <c r="AT359" i="1"/>
  <c r="D2407" i="1"/>
  <c r="I2983" i="1"/>
  <c r="P1835" i="1"/>
  <c r="O2642" i="1"/>
  <c r="P626" i="1"/>
  <c r="H1239" i="1"/>
  <c r="Q3635" i="1"/>
  <c r="AT1614" i="1"/>
  <c r="N3368" i="1"/>
  <c r="AT783" i="1"/>
  <c r="AT544" i="1"/>
  <c r="D1562" i="1"/>
  <c r="O561" i="1"/>
  <c r="M318" i="1"/>
  <c r="Q1149" i="1"/>
  <c r="P2318" i="1"/>
  <c r="P2262" i="1"/>
  <c r="U893" i="1"/>
  <c r="Q2411" i="1"/>
  <c r="P344" i="1"/>
  <c r="U3566" i="1"/>
  <c r="P1919" i="1"/>
  <c r="Q3547" i="1"/>
  <c r="H2645" i="1"/>
  <c r="AT789" i="1"/>
  <c r="O1320" i="1"/>
  <c r="U1921" i="1"/>
  <c r="AT569" i="1"/>
  <c r="AT2075" i="1"/>
  <c r="N2553" i="1"/>
  <c r="K2746" i="1"/>
  <c r="U596" i="1"/>
  <c r="K2897" i="1"/>
  <c r="O2923" i="1"/>
  <c r="H2699" i="1"/>
  <c r="P3624" i="1"/>
  <c r="D3006" i="1"/>
  <c r="H911" i="1"/>
  <c r="AT149" i="1"/>
  <c r="N1071" i="1"/>
  <c r="N2766" i="1"/>
  <c r="D2333" i="1"/>
  <c r="I38" i="1"/>
  <c r="N2440" i="1"/>
  <c r="AT1173" i="1"/>
  <c r="D1043" i="1"/>
  <c r="U3258" i="1"/>
  <c r="N2734" i="1"/>
  <c r="K2973" i="1"/>
  <c r="U3459" i="1"/>
  <c r="P1544" i="1"/>
  <c r="M713" i="1"/>
  <c r="D296" i="1"/>
  <c r="Q2161" i="1"/>
  <c r="U1129" i="1"/>
  <c r="O1864" i="1"/>
  <c r="M3590" i="1"/>
  <c r="M3189" i="1"/>
  <c r="U2374" i="1"/>
  <c r="K1060" i="1"/>
  <c r="D3206" i="1"/>
  <c r="O1700" i="1"/>
  <c r="P3618" i="1"/>
  <c r="D487" i="1"/>
  <c r="M2001" i="1"/>
  <c r="N942" i="1"/>
  <c r="AT3429" i="1"/>
  <c r="AT1289" i="1"/>
  <c r="O3060" i="1"/>
  <c r="I2431" i="1"/>
  <c r="N2298" i="1"/>
  <c r="Q918" i="1"/>
  <c r="H357" i="1"/>
  <c r="P3005" i="1"/>
  <c r="Q716" i="1"/>
  <c r="N1788" i="1"/>
  <c r="AT2913" i="1"/>
  <c r="O398" i="1"/>
  <c r="D1428" i="1"/>
  <c r="AT1946" i="1"/>
  <c r="N3206" i="1"/>
  <c r="P2896" i="1"/>
  <c r="M1644" i="1"/>
  <c r="Q964" i="1"/>
  <c r="U1094" i="1"/>
  <c r="Q892" i="1"/>
  <c r="D1061" i="1"/>
  <c r="D496" i="1"/>
  <c r="N1201" i="1"/>
  <c r="D708" i="1"/>
  <c r="O2244" i="1"/>
  <c r="O2871" i="1"/>
  <c r="D2347" i="1"/>
  <c r="P2422" i="1"/>
  <c r="H2036" i="1"/>
  <c r="K2565" i="1"/>
  <c r="N1505" i="1"/>
  <c r="I209" i="1"/>
  <c r="Q354" i="1"/>
  <c r="U1208" i="1"/>
  <c r="I8" i="1"/>
  <c r="D3504" i="1"/>
  <c r="O2735" i="1"/>
  <c r="M123" i="1"/>
  <c r="I583" i="1"/>
  <c r="P3485" i="1"/>
  <c r="M74" i="1"/>
  <c r="I3092" i="1"/>
  <c r="O458" i="1"/>
  <c r="Q2587" i="1"/>
  <c r="M1047" i="1"/>
  <c r="U1200" i="1"/>
  <c r="Q2172" i="1"/>
  <c r="Q2111" i="1"/>
  <c r="D1437" i="1"/>
  <c r="Q932" i="1"/>
  <c r="M1155" i="1"/>
  <c r="D2909" i="1"/>
  <c r="P163" i="1"/>
  <c r="H697" i="1"/>
  <c r="J650" i="1"/>
  <c r="H1550" i="1"/>
  <c r="Q759" i="1"/>
  <c r="N910" i="1"/>
  <c r="D2781" i="1"/>
  <c r="O768" i="1"/>
  <c r="N1221" i="1"/>
  <c r="O3498" i="1"/>
  <c r="O3343" i="1"/>
  <c r="P61" i="1"/>
  <c r="M2369" i="1"/>
  <c r="H2890" i="1"/>
  <c r="U43" i="1"/>
  <c r="I1483" i="1"/>
  <c r="Q3417" i="1"/>
  <c r="M2367" i="1"/>
  <c r="N2104" i="1"/>
  <c r="N918" i="1"/>
  <c r="P2209" i="1"/>
  <c r="I1565" i="1"/>
  <c r="K1977" i="1"/>
  <c r="D3301" i="1"/>
  <c r="K2943" i="1"/>
  <c r="Q1620" i="1"/>
  <c r="P2600" i="1"/>
  <c r="M1572" i="1"/>
  <c r="D634" i="1"/>
  <c r="O342" i="1"/>
  <c r="U765" i="1"/>
  <c r="D826" i="1"/>
  <c r="P656" i="1"/>
  <c r="M1132" i="1"/>
  <c r="P1319" i="1"/>
  <c r="D1362" i="1"/>
  <c r="Q3277" i="1"/>
  <c r="O123" i="1"/>
  <c r="O2352" i="1"/>
  <c r="N1664" i="1"/>
  <c r="Q2593" i="1"/>
  <c r="J1040" i="1"/>
  <c r="O1535" i="1"/>
  <c r="N1166" i="1"/>
  <c r="O678" i="1"/>
  <c r="J785" i="1"/>
  <c r="N3291" i="1"/>
  <c r="AT3009" i="1"/>
  <c r="M2801" i="1"/>
  <c r="J2564" i="1"/>
  <c r="D3542" i="1"/>
  <c r="N1381" i="1"/>
  <c r="AT660" i="1"/>
  <c r="K3329" i="1"/>
  <c r="N1184" i="1"/>
  <c r="M1917" i="1"/>
  <c r="Q2860" i="1"/>
  <c r="I2109" i="1"/>
  <c r="I530" i="1"/>
  <c r="K1790" i="1"/>
  <c r="M3250" i="1"/>
  <c r="H3583" i="1"/>
  <c r="J20" i="1"/>
  <c r="D688" i="1"/>
  <c r="D2992" i="1"/>
  <c r="D964" i="1"/>
  <c r="AT2633" i="1"/>
  <c r="D1722" i="1"/>
  <c r="Q3430" i="1"/>
  <c r="H2971" i="1"/>
  <c r="O721" i="1"/>
  <c r="K2607" i="1"/>
  <c r="M1803" i="1"/>
  <c r="Q2019" i="1"/>
  <c r="O3133" i="1"/>
  <c r="M2561" i="1"/>
  <c r="N1083" i="1"/>
  <c r="M3040" i="1"/>
  <c r="N2611" i="1"/>
  <c r="AT1483" i="1"/>
  <c r="O2906" i="1"/>
  <c r="H1393" i="1"/>
  <c r="AT1234" i="1"/>
  <c r="D3018" i="1"/>
  <c r="D1154" i="1"/>
  <c r="O2315" i="1"/>
  <c r="AT236" i="1"/>
  <c r="Q2550" i="1"/>
  <c r="U2835" i="1"/>
  <c r="D2923" i="1"/>
  <c r="P3364" i="1"/>
  <c r="I2099" i="1"/>
  <c r="J1477" i="1"/>
  <c r="AT1778" i="1"/>
  <c r="J2476" i="1"/>
  <c r="D2238" i="1"/>
  <c r="P379" i="1"/>
  <c r="D2474" i="1"/>
  <c r="J638" i="1"/>
  <c r="U3507" i="1"/>
  <c r="M1446" i="1"/>
  <c r="AT2212" i="1"/>
  <c r="Q3196" i="1"/>
  <c r="Q965" i="1"/>
  <c r="D2497" i="1"/>
  <c r="U2279" i="1"/>
  <c r="AT2443" i="1"/>
  <c r="O1967" i="1"/>
  <c r="J2611" i="1"/>
  <c r="M1843" i="1"/>
  <c r="Q348" i="1"/>
  <c r="AT1869" i="1"/>
  <c r="O3093" i="1"/>
  <c r="H2352" i="1"/>
  <c r="N2601" i="1"/>
  <c r="D3198" i="1"/>
  <c r="AT1896" i="1"/>
  <c r="D990" i="1"/>
  <c r="D730" i="1"/>
  <c r="O219" i="1"/>
  <c r="P3455" i="1"/>
  <c r="U1275" i="1"/>
  <c r="I2835" i="1"/>
  <c r="I2077" i="1"/>
  <c r="M3454" i="1"/>
  <c r="O1739" i="1"/>
  <c r="Q3516" i="1"/>
  <c r="J1056" i="1"/>
  <c r="O3142" i="1"/>
  <c r="P1636" i="1"/>
  <c r="D1073" i="1"/>
  <c r="P2609" i="1"/>
  <c r="P2223" i="1"/>
  <c r="O2202" i="1"/>
  <c r="I1741" i="1"/>
  <c r="U2606" i="1"/>
  <c r="M1991" i="1"/>
  <c r="U276" i="1"/>
  <c r="O1369" i="1"/>
  <c r="O210" i="1"/>
  <c r="AT907" i="1"/>
  <c r="M2625" i="1"/>
  <c r="O394" i="1"/>
  <c r="Q1844" i="1"/>
  <c r="N3144" i="1"/>
  <c r="N1048" i="1"/>
  <c r="P1202" i="1"/>
  <c r="U112" i="1"/>
  <c r="M2705" i="1"/>
  <c r="I723" i="1"/>
  <c r="AT2700" i="1"/>
  <c r="Q96" i="1"/>
  <c r="P1776" i="1"/>
  <c r="N1596" i="1"/>
  <c r="Q160" i="1"/>
  <c r="D67" i="1"/>
  <c r="Q1530" i="1"/>
  <c r="N1076" i="1"/>
  <c r="O725" i="1"/>
  <c r="O716" i="1"/>
  <c r="U1950" i="1"/>
  <c r="AT224" i="1"/>
  <c r="I887" i="1"/>
  <c r="O3150" i="1"/>
  <c r="D2795" i="1"/>
  <c r="H1427" i="1"/>
  <c r="O1230" i="1"/>
  <c r="D851" i="1"/>
  <c r="O1552" i="1"/>
  <c r="M1569" i="1"/>
  <c r="Q2256" i="1"/>
  <c r="AT1051" i="1"/>
  <c r="Q3478" i="1"/>
  <c r="N3262" i="1"/>
  <c r="J3195" i="1"/>
  <c r="D281" i="1"/>
  <c r="U1625" i="1"/>
  <c r="P1707" i="1"/>
  <c r="H354" i="1"/>
  <c r="O2100" i="1"/>
  <c r="AT2354" i="1"/>
  <c r="M2605" i="1"/>
  <c r="I1866" i="1"/>
  <c r="N756" i="1"/>
  <c r="AT3378" i="1"/>
  <c r="D3143" i="1"/>
  <c r="AT2617" i="1"/>
  <c r="H3107" i="1"/>
  <c r="AT1076" i="1"/>
  <c r="D580" i="1"/>
  <c r="J351" i="1"/>
  <c r="O2347" i="1"/>
  <c r="J3377" i="1"/>
  <c r="N2977" i="1"/>
  <c r="O3330" i="1"/>
  <c r="AT1931" i="1"/>
  <c r="O1084" i="1"/>
  <c r="Q1113" i="1"/>
  <c r="M1478" i="1"/>
  <c r="U283" i="1"/>
  <c r="J2852" i="1"/>
  <c r="M726" i="1"/>
  <c r="M951" i="1"/>
  <c r="P1521" i="1"/>
  <c r="U2553" i="1"/>
  <c r="AT3029" i="1"/>
  <c r="K887" i="1"/>
  <c r="M488" i="1"/>
  <c r="N3457" i="1"/>
  <c r="N340" i="1"/>
  <c r="O3013" i="1"/>
  <c r="H1217" i="1"/>
  <c r="O1302" i="1"/>
  <c r="Q878" i="1"/>
  <c r="M361" i="1"/>
  <c r="N726" i="1"/>
  <c r="M1863" i="1"/>
  <c r="M3565" i="1"/>
  <c r="O2741" i="1"/>
  <c r="AT3608" i="1"/>
  <c r="Q3439" i="1"/>
  <c r="N1964" i="1"/>
  <c r="U1895" i="1"/>
  <c r="N3449" i="1"/>
  <c r="I1567" i="1"/>
  <c r="D2475" i="1"/>
  <c r="Q2467" i="1"/>
  <c r="Q449" i="1"/>
  <c r="P2448" i="1"/>
  <c r="AT601" i="1"/>
  <c r="M2865" i="1"/>
  <c r="N1560" i="1"/>
  <c r="N3101" i="1"/>
  <c r="M244" i="1"/>
  <c r="M561" i="1"/>
  <c r="O3185" i="1"/>
  <c r="N2318" i="1"/>
  <c r="AT3156" i="1"/>
  <c r="N3274" i="1"/>
  <c r="D143" i="1"/>
  <c r="I1673" i="1"/>
  <c r="AT3202" i="1"/>
  <c r="J1031" i="1"/>
  <c r="K339" i="1"/>
  <c r="AT1171" i="1"/>
  <c r="D498" i="1"/>
  <c r="N2439" i="1"/>
  <c r="AT3514" i="1"/>
  <c r="I367" i="1"/>
  <c r="N2595" i="1"/>
  <c r="P167" i="1"/>
  <c r="I1893" i="1"/>
  <c r="N1514" i="1"/>
  <c r="AT2827" i="1"/>
  <c r="O3374" i="1"/>
  <c r="AT2194" i="1"/>
  <c r="M2442" i="1"/>
  <c r="N1831" i="1"/>
  <c r="H1768" i="1"/>
  <c r="D1750" i="1"/>
  <c r="N2813" i="1"/>
  <c r="N598" i="1"/>
  <c r="D3289" i="1"/>
  <c r="N2419" i="1"/>
  <c r="P3106" i="1"/>
  <c r="I3041" i="1"/>
  <c r="U2189" i="1"/>
  <c r="AT1705" i="1"/>
  <c r="M2321" i="1"/>
  <c r="M1604" i="1"/>
  <c r="H345" i="1"/>
  <c r="AT3325" i="1"/>
  <c r="D875" i="1"/>
  <c r="D2371" i="1"/>
  <c r="AT128" i="1"/>
  <c r="AT253" i="1"/>
  <c r="P1287" i="1"/>
  <c r="AT2114" i="1"/>
  <c r="AT389" i="1"/>
  <c r="I155" i="1"/>
  <c r="O3087" i="1"/>
  <c r="P1414" i="1"/>
  <c r="N3228" i="1"/>
  <c r="I2271" i="1"/>
  <c r="I2152" i="1"/>
  <c r="Q2444" i="1"/>
  <c r="O685" i="1"/>
  <c r="P1557" i="1"/>
  <c r="U3210" i="1"/>
  <c r="P2604" i="1"/>
  <c r="N1157" i="1"/>
  <c r="J2461" i="1"/>
  <c r="Q3366" i="1"/>
  <c r="O115" i="1"/>
  <c r="U1506" i="1"/>
  <c r="M3158" i="1"/>
  <c r="O2952" i="1"/>
  <c r="J606" i="1"/>
  <c r="U756" i="1"/>
  <c r="P2605" i="1"/>
  <c r="H2851" i="1"/>
  <c r="P3245" i="1"/>
  <c r="D1827" i="1"/>
  <c r="M1626" i="1"/>
  <c r="J3213" i="1"/>
  <c r="U2067" i="1"/>
  <c r="AT1687" i="1"/>
  <c r="U267" i="1"/>
  <c r="AT2681" i="1"/>
  <c r="P852" i="1"/>
  <c r="D849" i="1"/>
  <c r="M599" i="1"/>
  <c r="O3002" i="1"/>
  <c r="O225" i="1"/>
  <c r="M1053" i="1"/>
  <c r="H2609" i="1"/>
  <c r="P3421" i="1"/>
  <c r="O3509" i="1"/>
  <c r="H1628" i="1"/>
  <c r="O1689" i="1"/>
  <c r="AT352" i="1"/>
  <c r="Q791" i="1"/>
  <c r="N2582" i="1"/>
  <c r="U1960" i="1"/>
  <c r="I3285" i="1"/>
  <c r="AT1296" i="1"/>
  <c r="H480" i="1"/>
  <c r="D821" i="1"/>
  <c r="Q418" i="1"/>
  <c r="O2527" i="1"/>
  <c r="AT1155" i="1"/>
  <c r="U2197" i="1"/>
  <c r="D1680" i="1"/>
  <c r="I661" i="1"/>
  <c r="Q3184" i="1"/>
  <c r="N2312" i="1"/>
  <c r="J781" i="1"/>
  <c r="O1124" i="1"/>
  <c r="Q1093" i="1"/>
  <c r="N3564" i="1"/>
  <c r="Q2949" i="1"/>
  <c r="Q2901" i="1"/>
  <c r="D1270" i="1"/>
  <c r="AT681" i="1"/>
  <c r="U1812" i="1"/>
  <c r="N1688" i="1"/>
  <c r="K957" i="1"/>
  <c r="N1401" i="1"/>
  <c r="D192" i="1"/>
  <c r="D2440" i="1"/>
  <c r="AT1311" i="1"/>
  <c r="H524" i="1"/>
  <c r="D1402" i="1"/>
  <c r="N1363" i="1"/>
  <c r="U452" i="1"/>
  <c r="AT123" i="1"/>
  <c r="I3574" i="1"/>
  <c r="D3519" i="1"/>
  <c r="O2810" i="1"/>
  <c r="N1911" i="1"/>
  <c r="M2862" i="1"/>
  <c r="J3132" i="1"/>
  <c r="J2251" i="1"/>
  <c r="U1976" i="1"/>
  <c r="N2538" i="1"/>
  <c r="AT962" i="1"/>
  <c r="AT2560" i="1"/>
  <c r="D1901" i="1"/>
  <c r="M3503" i="1"/>
  <c r="D83" i="1"/>
  <c r="O2060" i="1"/>
  <c r="D954" i="1"/>
  <c r="AT191" i="1"/>
  <c r="J1713" i="1"/>
  <c r="J2708" i="1"/>
  <c r="O2189" i="1"/>
  <c r="Q1441" i="1"/>
  <c r="M657" i="1"/>
  <c r="AT395" i="1"/>
  <c r="Q3241" i="1"/>
  <c r="K3308" i="1"/>
  <c r="J494" i="1"/>
  <c r="AT2112" i="1"/>
  <c r="D3416" i="1"/>
  <c r="O2290" i="1"/>
  <c r="H3118" i="1"/>
  <c r="M1884" i="1"/>
  <c r="AT2361" i="1"/>
  <c r="H2698" i="1"/>
  <c r="H698" i="1"/>
  <c r="M2890" i="1"/>
  <c r="H1781" i="1"/>
  <c r="M1771" i="1"/>
  <c r="P3069" i="1"/>
  <c r="U1159" i="1"/>
  <c r="K1641" i="1"/>
  <c r="N934" i="1"/>
  <c r="Q1662" i="1"/>
  <c r="M2761" i="1"/>
  <c r="P3233" i="1"/>
  <c r="D940" i="1"/>
  <c r="O2203" i="1"/>
  <c r="H1136" i="1"/>
  <c r="J1450" i="1"/>
  <c r="P3206" i="1"/>
  <c r="I3497" i="1"/>
  <c r="AT2119" i="1"/>
  <c r="AT2102" i="1"/>
  <c r="N758" i="1"/>
  <c r="D1451" i="1"/>
  <c r="M378" i="1"/>
  <c r="H2479" i="1"/>
  <c r="U93" i="1"/>
  <c r="H2067" i="1"/>
  <c r="D438" i="1"/>
  <c r="Q489" i="1"/>
  <c r="P528" i="1"/>
  <c r="AT2037" i="1"/>
  <c r="N2999" i="1"/>
  <c r="AT2809" i="1"/>
  <c r="P1278" i="1"/>
  <c r="O475" i="1"/>
  <c r="Q1144" i="1"/>
  <c r="M312" i="1"/>
  <c r="AT205" i="1"/>
  <c r="AT2596" i="1"/>
  <c r="D362" i="1"/>
  <c r="K1306" i="1"/>
  <c r="Q116" i="1"/>
  <c r="N562" i="1"/>
  <c r="K1723" i="1"/>
  <c r="AT183" i="1"/>
  <c r="O3069" i="1"/>
  <c r="D2550" i="1"/>
  <c r="Q1615" i="1"/>
  <c r="M2936" i="1"/>
  <c r="D1668" i="1"/>
  <c r="D3375" i="1"/>
  <c r="D2918" i="1"/>
  <c r="O1379" i="1"/>
  <c r="H1169" i="1"/>
  <c r="U2729" i="1"/>
  <c r="H18" i="1"/>
  <c r="H964" i="1"/>
  <c r="D2045" i="1"/>
  <c r="N1607" i="1"/>
  <c r="D1647" i="1"/>
  <c r="K2454" i="1"/>
  <c r="P1837" i="1"/>
  <c r="H1549" i="1"/>
  <c r="P1937" i="1"/>
  <c r="AT3131" i="1"/>
  <c r="M3130" i="1"/>
  <c r="D1609" i="1"/>
  <c r="H1352" i="1"/>
  <c r="M2374" i="1"/>
  <c r="I2265" i="1"/>
  <c r="M1650" i="1"/>
  <c r="P2570" i="1"/>
  <c r="H3596" i="1"/>
  <c r="Q77" i="1"/>
  <c r="M3163" i="1"/>
  <c r="K1019" i="1"/>
  <c r="M2900" i="1"/>
  <c r="D2552" i="1"/>
  <c r="AT2237" i="1"/>
  <c r="O13" i="1"/>
  <c r="J3515" i="1"/>
  <c r="P3103" i="1"/>
  <c r="D253" i="1"/>
  <c r="O2058" i="1"/>
  <c r="J3583" i="1"/>
  <c r="D761" i="1"/>
  <c r="H556" i="1"/>
  <c r="M3029" i="1"/>
  <c r="U608" i="1"/>
  <c r="O2917" i="1"/>
  <c r="N2874" i="1"/>
  <c r="U1982" i="1"/>
  <c r="O459" i="1"/>
  <c r="K2136" i="1"/>
  <c r="D2399" i="1"/>
  <c r="M2194" i="1"/>
  <c r="D251" i="1"/>
  <c r="D540" i="1"/>
  <c r="M3416" i="1"/>
  <c r="H2973" i="1"/>
  <c r="N2816" i="1"/>
  <c r="AT366" i="1"/>
  <c r="U1136" i="1"/>
  <c r="O1273" i="1"/>
  <c r="P612" i="1"/>
  <c r="AT1992" i="1"/>
  <c r="P3056" i="1"/>
  <c r="M1257" i="1"/>
  <c r="O433" i="1"/>
  <c r="AT1247" i="1"/>
  <c r="N1630" i="1"/>
  <c r="M1546" i="1"/>
  <c r="O2360" i="1"/>
  <c r="AT1805" i="1"/>
  <c r="D1965" i="1"/>
  <c r="K306" i="1"/>
  <c r="Q573" i="1"/>
  <c r="J1649" i="1"/>
  <c r="AT222" i="1"/>
  <c r="U1871" i="1"/>
  <c r="K1752" i="1"/>
  <c r="M3558" i="1"/>
  <c r="P407" i="1"/>
  <c r="N757" i="1"/>
  <c r="Q339" i="1"/>
  <c r="Q1306" i="1"/>
  <c r="P90" i="1"/>
  <c r="AT2351" i="1"/>
  <c r="J1816" i="1"/>
  <c r="N1980" i="1"/>
  <c r="AT566" i="1"/>
  <c r="J733" i="1"/>
  <c r="J1537" i="1"/>
  <c r="AT2619" i="1"/>
  <c r="K1771" i="1"/>
  <c r="P1942" i="1"/>
  <c r="P1564" i="1"/>
  <c r="Q3622" i="1"/>
  <c r="H727" i="1"/>
  <c r="M688" i="1"/>
  <c r="K1271" i="1"/>
  <c r="U3475" i="1"/>
  <c r="K1106" i="1"/>
  <c r="O2943" i="1"/>
  <c r="D2972" i="1"/>
  <c r="O779" i="1"/>
  <c r="I711" i="1"/>
  <c r="Q22" i="1"/>
  <c r="M2503" i="1"/>
  <c r="U946" i="1"/>
  <c r="AT2034" i="1"/>
  <c r="M329" i="1"/>
  <c r="D1111" i="1"/>
  <c r="N2651" i="1"/>
  <c r="H785" i="1"/>
  <c r="AT1177" i="1"/>
  <c r="AT2152" i="1"/>
  <c r="K1209" i="1"/>
  <c r="N1830" i="1"/>
  <c r="M1252" i="1"/>
  <c r="P1121" i="1"/>
  <c r="AT2370" i="1"/>
  <c r="H3457" i="1"/>
  <c r="O3493" i="1"/>
  <c r="N3070" i="1"/>
  <c r="N2210" i="1"/>
  <c r="D2167" i="1"/>
  <c r="I190" i="1"/>
  <c r="I658" i="1"/>
  <c r="O1712" i="1"/>
  <c r="H358" i="1"/>
  <c r="H3455" i="1"/>
  <c r="N16" i="1"/>
  <c r="M609" i="1"/>
  <c r="Q106" i="1"/>
  <c r="O569" i="1"/>
  <c r="AT1968" i="1"/>
  <c r="Q602" i="1"/>
  <c r="O1311" i="1"/>
  <c r="H3094" i="1"/>
  <c r="M558" i="1"/>
  <c r="AT1072" i="1"/>
  <c r="H2621" i="1"/>
  <c r="N1931" i="1"/>
  <c r="N2642" i="1"/>
  <c r="H2126" i="1"/>
  <c r="N219" i="1"/>
  <c r="I2324" i="1"/>
  <c r="D1626" i="1"/>
  <c r="K166" i="1"/>
  <c r="U2530" i="1"/>
  <c r="D16" i="1"/>
  <c r="M3009" i="1"/>
  <c r="J145" i="1"/>
  <c r="D2507" i="1"/>
  <c r="N3509" i="1"/>
  <c r="U132" i="1"/>
  <c r="AT2408" i="1"/>
  <c r="H91" i="1"/>
  <c r="J281" i="1"/>
  <c r="H3242" i="1"/>
  <c r="K2215" i="1"/>
  <c r="N3184" i="1"/>
  <c r="AT1921" i="1"/>
  <c r="M3384" i="1"/>
  <c r="O814" i="1"/>
  <c r="U1840" i="1"/>
  <c r="U2164" i="1"/>
  <c r="Q835" i="1"/>
  <c r="AT3452" i="1"/>
  <c r="N3296" i="1"/>
  <c r="D739" i="1"/>
  <c r="U3045" i="1"/>
  <c r="N363" i="1"/>
  <c r="U2616" i="1"/>
  <c r="K1230" i="1"/>
  <c r="O2055" i="1"/>
  <c r="H3405" i="1"/>
  <c r="O3101" i="1"/>
  <c r="Q2628" i="1"/>
  <c r="P3577" i="1"/>
  <c r="P1358" i="1"/>
  <c r="J2214" i="1"/>
  <c r="O126" i="1"/>
  <c r="U1751" i="1"/>
  <c r="AT1106" i="1"/>
  <c r="Q3268" i="1"/>
  <c r="AT269" i="1"/>
  <c r="D2241" i="1"/>
  <c r="H1614" i="1"/>
  <c r="O2935" i="1"/>
  <c r="N1666" i="1"/>
  <c r="D3011" i="1"/>
  <c r="M2965" i="1"/>
  <c r="P2834" i="1"/>
  <c r="O2712" i="1"/>
  <c r="N1332" i="1"/>
  <c r="P1023" i="1"/>
  <c r="M1636" i="1"/>
  <c r="D2565" i="1"/>
  <c r="M3486" i="1"/>
  <c r="AT1597" i="1"/>
  <c r="U3639" i="1"/>
  <c r="H2270" i="1"/>
  <c r="AT2128" i="1"/>
  <c r="Q904" i="1"/>
  <c r="H3291" i="1"/>
  <c r="P2717" i="1"/>
  <c r="AT700" i="1"/>
  <c r="N2996" i="1"/>
  <c r="M1267" i="1"/>
  <c r="Q3486" i="1"/>
  <c r="Q972" i="1"/>
  <c r="O511" i="1"/>
  <c r="N2358" i="1"/>
  <c r="N831" i="1"/>
  <c r="I1762" i="1"/>
  <c r="J2568" i="1"/>
  <c r="N742" i="1"/>
  <c r="N2100" i="1"/>
  <c r="Q2416" i="1"/>
  <c r="U223" i="1"/>
  <c r="J3623" i="1"/>
  <c r="I1197" i="1"/>
  <c r="O988" i="1"/>
  <c r="D2883" i="1"/>
  <c r="AT1217" i="1"/>
  <c r="H1604" i="1"/>
  <c r="H589" i="1"/>
  <c r="U2504" i="1"/>
  <c r="N2671" i="1"/>
  <c r="AT3611" i="1"/>
  <c r="U1132" i="1"/>
  <c r="N2022" i="1"/>
  <c r="P69" i="1"/>
  <c r="D2931" i="1"/>
  <c r="O896" i="1"/>
  <c r="J2146" i="1"/>
  <c r="N397" i="1"/>
  <c r="H2330" i="1"/>
  <c r="D173" i="1"/>
  <c r="D2409" i="1"/>
  <c r="P2870" i="1"/>
  <c r="P1929" i="1"/>
  <c r="H399" i="1"/>
  <c r="P242" i="1"/>
  <c r="D155" i="1"/>
  <c r="D3407" i="1"/>
  <c r="O3550" i="1"/>
  <c r="O212" i="1"/>
  <c r="M2877" i="1"/>
  <c r="M584" i="1"/>
  <c r="AT3579" i="1"/>
  <c r="M2775" i="1"/>
  <c r="M3114" i="1"/>
  <c r="N3635" i="1"/>
  <c r="P2033" i="1"/>
  <c r="AT3551" i="1"/>
  <c r="U1385" i="1"/>
  <c r="H216" i="1"/>
  <c r="P839" i="1"/>
  <c r="AT1745" i="1"/>
  <c r="U1541" i="1"/>
  <c r="H1743" i="1"/>
  <c r="K255" i="1"/>
  <c r="AT2953" i="1"/>
  <c r="AT847" i="1"/>
  <c r="O2170" i="1"/>
  <c r="P1558" i="1"/>
  <c r="P2347" i="1"/>
  <c r="N3240" i="1"/>
  <c r="Q156" i="1"/>
  <c r="K3023" i="1"/>
  <c r="Q1754" i="1"/>
  <c r="K3248" i="1"/>
  <c r="M3357" i="1"/>
  <c r="AT2612" i="1"/>
  <c r="M3479" i="1"/>
  <c r="N2509" i="1"/>
  <c r="Q2122" i="1"/>
  <c r="U835" i="1"/>
  <c r="N2044" i="1"/>
  <c r="O2534" i="1"/>
  <c r="H2040" i="1"/>
  <c r="U578" i="1"/>
  <c r="AT1646" i="1"/>
  <c r="O3250" i="1"/>
  <c r="P2659" i="1"/>
  <c r="H637" i="1"/>
  <c r="I81" i="1"/>
  <c r="Q132" i="1"/>
  <c r="O2242" i="1"/>
  <c r="AT647" i="1"/>
  <c r="AT1665" i="1"/>
  <c r="Q3565" i="1"/>
  <c r="M668" i="1"/>
  <c r="N335" i="1"/>
  <c r="N1805" i="1"/>
  <c r="J1982" i="1"/>
  <c r="D1461" i="1"/>
  <c r="D1990" i="1"/>
  <c r="J857" i="1"/>
  <c r="AT213" i="1"/>
  <c r="D3190" i="1"/>
  <c r="AT3599" i="1"/>
  <c r="P2484" i="1"/>
  <c r="K1086" i="1"/>
  <c r="N3617" i="1"/>
  <c r="O2592" i="1"/>
  <c r="P1546" i="1"/>
  <c r="Q1382" i="1"/>
  <c r="M2331" i="1"/>
  <c r="Q976" i="1"/>
  <c r="J3355" i="1"/>
  <c r="AT79" i="1"/>
  <c r="N2253" i="1"/>
  <c r="I2946" i="1"/>
  <c r="AT1352" i="1"/>
  <c r="N504" i="1"/>
  <c r="M1781" i="1"/>
  <c r="I2878" i="1"/>
  <c r="U2895" i="1"/>
  <c r="P311" i="1"/>
  <c r="D1166" i="1"/>
  <c r="U1717" i="1"/>
  <c r="D2922" i="1"/>
  <c r="D3235" i="1"/>
  <c r="N17" i="1"/>
  <c r="U2643" i="1"/>
  <c r="M2261" i="1"/>
  <c r="N255" i="1"/>
  <c r="D803" i="1"/>
  <c r="AT1693" i="1"/>
  <c r="N3037" i="1"/>
  <c r="AT451" i="1"/>
  <c r="AT2541" i="1"/>
  <c r="Q724" i="1"/>
  <c r="D1090" i="1"/>
  <c r="AT639" i="1"/>
  <c r="O2607" i="1"/>
  <c r="P1935" i="1"/>
  <c r="O93" i="1"/>
  <c r="D1768" i="1"/>
  <c r="N1346" i="1"/>
  <c r="J1396" i="1"/>
  <c r="Q987" i="1"/>
  <c r="O2400" i="1"/>
  <c r="J2888" i="1"/>
  <c r="I1922" i="1"/>
  <c r="Q3607" i="1"/>
  <c r="O2848" i="1"/>
  <c r="AT1579" i="1"/>
  <c r="D765" i="1"/>
  <c r="N3237" i="1"/>
  <c r="H1477" i="1"/>
  <c r="Q2272" i="1"/>
  <c r="O804" i="1"/>
  <c r="Q3538" i="1"/>
  <c r="I314" i="1"/>
  <c r="N1952" i="1"/>
  <c r="O1383" i="1"/>
  <c r="P3025" i="1"/>
  <c r="U1103" i="1"/>
  <c r="D3571" i="1"/>
  <c r="AT3112" i="1"/>
  <c r="J131" i="1"/>
  <c r="O615" i="1"/>
  <c r="AT2129" i="1"/>
  <c r="D471" i="1"/>
  <c r="D891" i="1"/>
  <c r="Q1626" i="1"/>
  <c r="AT817" i="1"/>
  <c r="P754" i="1"/>
  <c r="M2817" i="1"/>
  <c r="P3039" i="1"/>
  <c r="D2519" i="1"/>
  <c r="H3200" i="1"/>
  <c r="D1999" i="1"/>
  <c r="N675" i="1"/>
  <c r="AT2031" i="1"/>
  <c r="Q3120" i="1"/>
  <c r="P1912" i="1"/>
  <c r="U2101" i="1"/>
  <c r="H1163" i="1"/>
  <c r="D563" i="1"/>
  <c r="N3279" i="1"/>
  <c r="N3056" i="1"/>
  <c r="M1628" i="1"/>
  <c r="K762" i="1"/>
  <c r="H141" i="1"/>
  <c r="H3384" i="1"/>
  <c r="D376" i="1"/>
  <c r="AT2505" i="1"/>
  <c r="I3268" i="1"/>
  <c r="M1389" i="1"/>
  <c r="M1619" i="1"/>
  <c r="D3180" i="1"/>
  <c r="M3013" i="1"/>
  <c r="N3458" i="1"/>
  <c r="J2141" i="1"/>
  <c r="Q3379" i="1"/>
  <c r="J3530" i="1"/>
  <c r="O3565" i="1"/>
  <c r="Q250" i="1"/>
  <c r="H299" i="1"/>
  <c r="M3343" i="1"/>
  <c r="P207" i="1"/>
  <c r="K2870" i="1"/>
  <c r="Q1062" i="1"/>
  <c r="I289" i="1"/>
  <c r="O443" i="1"/>
  <c r="D197" i="1"/>
  <c r="H2020" i="1"/>
  <c r="O2687" i="1"/>
  <c r="D1782" i="1"/>
  <c r="D2122" i="1"/>
  <c r="AT357" i="1"/>
  <c r="D1120" i="1"/>
  <c r="D3307" i="1"/>
  <c r="D2490" i="1"/>
  <c r="H2436" i="1"/>
  <c r="M3482" i="1"/>
  <c r="D1392" i="1"/>
  <c r="O18" i="1"/>
  <c r="O2033" i="1"/>
  <c r="J789" i="1"/>
  <c r="AT2195" i="1"/>
  <c r="I411" i="1"/>
  <c r="U3058" i="1"/>
  <c r="P2655" i="1"/>
  <c r="P789" i="1"/>
  <c r="K3045" i="1"/>
  <c r="AT3602" i="1"/>
  <c r="D2815" i="1"/>
  <c r="AT3261" i="1"/>
  <c r="M3062" i="1"/>
  <c r="N3055" i="1"/>
  <c r="D3201" i="1"/>
  <c r="H2983" i="1"/>
  <c r="J2355" i="1"/>
  <c r="Q1391" i="1"/>
  <c r="AT1013" i="1"/>
  <c r="N2131" i="1"/>
  <c r="AT3326" i="1"/>
  <c r="N3519" i="1"/>
  <c r="M3533" i="1"/>
  <c r="D282" i="1"/>
  <c r="J1591" i="1"/>
  <c r="D723" i="1"/>
  <c r="I2562" i="1"/>
  <c r="AT1843" i="1"/>
  <c r="Q3494" i="1"/>
  <c r="Q831" i="1"/>
  <c r="H1545" i="1"/>
  <c r="N2371" i="1"/>
  <c r="M210" i="1"/>
  <c r="U254" i="1"/>
  <c r="H2664" i="1"/>
  <c r="J876" i="1"/>
  <c r="K838" i="1"/>
  <c r="N3493" i="1"/>
  <c r="Q2147" i="1"/>
  <c r="P3184" i="1"/>
  <c r="N2157" i="1"/>
  <c r="D3568" i="1"/>
  <c r="M3278" i="1"/>
  <c r="U2714" i="1"/>
  <c r="J3371" i="1"/>
  <c r="M3320" i="1"/>
  <c r="O1454" i="1"/>
  <c r="P608" i="1"/>
  <c r="N713" i="1"/>
  <c r="U1214" i="1"/>
  <c r="AT1900" i="1"/>
  <c r="D2086" i="1"/>
  <c r="AT1099" i="1"/>
  <c r="M3088" i="1"/>
  <c r="O2151" i="1"/>
  <c r="AT3357" i="1"/>
  <c r="D1319" i="1"/>
  <c r="M1958" i="1"/>
  <c r="AT1303" i="1"/>
  <c r="D960" i="1"/>
  <c r="O1371" i="1"/>
  <c r="M2692" i="1"/>
  <c r="N3529" i="1"/>
  <c r="Q3263" i="1"/>
  <c r="O278" i="1"/>
  <c r="D2965" i="1"/>
  <c r="P2099" i="1"/>
  <c r="AT1494" i="1"/>
  <c r="U108" i="1"/>
  <c r="J3150" i="1"/>
  <c r="I697" i="1"/>
  <c r="H744" i="1"/>
  <c r="O2737" i="1"/>
  <c r="I250" i="1"/>
  <c r="O2643" i="1"/>
  <c r="AT1085" i="1"/>
  <c r="Q978" i="1"/>
  <c r="AT401" i="1"/>
  <c r="H50" i="1"/>
  <c r="N3586" i="1"/>
  <c r="J2351" i="1"/>
  <c r="J1571" i="1"/>
  <c r="N941" i="1"/>
  <c r="AT292" i="1"/>
  <c r="P3551" i="1"/>
  <c r="Q3347" i="1"/>
  <c r="H3036" i="1"/>
  <c r="I3134" i="1"/>
  <c r="K2342" i="1"/>
  <c r="D3251" i="1"/>
  <c r="N2011" i="1"/>
  <c r="O1473" i="1"/>
  <c r="AT1524" i="1"/>
  <c r="H93" i="1"/>
  <c r="AT1163" i="1"/>
  <c r="D2413" i="1"/>
  <c r="U3195" i="1"/>
  <c r="D368" i="1"/>
  <c r="Q1200" i="1"/>
  <c r="N564" i="1"/>
  <c r="O3530" i="1"/>
  <c r="K199" i="1"/>
  <c r="U1323" i="1"/>
  <c r="AT2333" i="1"/>
  <c r="J2216" i="1"/>
  <c r="J3159" i="1"/>
  <c r="K2107" i="1"/>
  <c r="U1545" i="1"/>
  <c r="Q94" i="1"/>
  <c r="D3359" i="1"/>
  <c r="P265" i="1"/>
  <c r="AT2021" i="1"/>
  <c r="D1935" i="1"/>
  <c r="J2770" i="1"/>
  <c r="P1219" i="1"/>
  <c r="D1936" i="1"/>
  <c r="I3161" i="1"/>
  <c r="Q1962" i="1"/>
  <c r="Q304" i="1"/>
  <c r="AT2592" i="1"/>
  <c r="O3494" i="1"/>
  <c r="N3427" i="1"/>
  <c r="AT652" i="1"/>
  <c r="AT1791" i="1"/>
  <c r="O1509" i="1"/>
  <c r="Q1800" i="1"/>
  <c r="N1792" i="1"/>
  <c r="Q2361" i="1"/>
  <c r="N693" i="1"/>
  <c r="P3113" i="1"/>
  <c r="U458" i="1"/>
  <c r="O1982" i="1"/>
  <c r="J3485" i="1"/>
  <c r="H669" i="1"/>
  <c r="H1656" i="1"/>
  <c r="U3290" i="1"/>
  <c r="I878" i="1"/>
  <c r="M898" i="1"/>
  <c r="Q3102" i="1"/>
  <c r="O934" i="1"/>
  <c r="AT950" i="1"/>
  <c r="N999" i="1"/>
  <c r="P1465" i="1"/>
  <c r="D295" i="1"/>
  <c r="U362" i="1"/>
  <c r="Q2558" i="1"/>
  <c r="O265" i="1"/>
  <c r="D2387" i="1"/>
  <c r="I559" i="1"/>
  <c r="P2071" i="1"/>
  <c r="AT2704" i="1"/>
  <c r="K1184" i="1"/>
  <c r="U2638" i="1"/>
  <c r="D2831" i="1"/>
  <c r="P3004" i="1"/>
  <c r="U312" i="1"/>
  <c r="O1815" i="1"/>
  <c r="K268" i="1"/>
  <c r="M834" i="1"/>
  <c r="D2303" i="1"/>
  <c r="D3229" i="1"/>
  <c r="I2971" i="1"/>
  <c r="H2625" i="1"/>
  <c r="H3056" i="1"/>
  <c r="O2050" i="1"/>
  <c r="K2692" i="1"/>
  <c r="N2118" i="1"/>
  <c r="N1241" i="1"/>
  <c r="D1109" i="1"/>
  <c r="AT1098" i="1"/>
  <c r="I908" i="1"/>
  <c r="K1122" i="1"/>
  <c r="D1300" i="1"/>
  <c r="O3202" i="1"/>
  <c r="Q1699" i="1"/>
  <c r="O534" i="1"/>
  <c r="U1857" i="1"/>
  <c r="I2222" i="1"/>
  <c r="Q285" i="1"/>
  <c r="N3525" i="1"/>
  <c r="M410" i="1"/>
  <c r="I1031" i="1"/>
  <c r="Q3531" i="1"/>
  <c r="O870" i="1"/>
  <c r="D190" i="1"/>
  <c r="O2166" i="1"/>
  <c r="D1535" i="1"/>
  <c r="M1460" i="1"/>
  <c r="N3102" i="1"/>
  <c r="J2352" i="1"/>
  <c r="D488" i="1"/>
  <c r="M1278" i="1"/>
  <c r="P440" i="1"/>
  <c r="U1278" i="1"/>
  <c r="D1294" i="1"/>
  <c r="D1334" i="1"/>
  <c r="I2226" i="1"/>
  <c r="K2415" i="1"/>
  <c r="J1527" i="1"/>
  <c r="D2816" i="1"/>
  <c r="O2786" i="1"/>
  <c r="N3407" i="1"/>
  <c r="D15" i="1"/>
  <c r="N3115" i="1"/>
  <c r="U1021" i="1"/>
  <c r="U150" i="1"/>
  <c r="P2799" i="1"/>
  <c r="D1801" i="1"/>
  <c r="N2935" i="1"/>
  <c r="D1957" i="1"/>
  <c r="Q1153" i="1"/>
  <c r="N1226" i="1"/>
  <c r="O1548" i="1"/>
  <c r="Q2454" i="1"/>
  <c r="AT3524" i="1"/>
  <c r="AT3550" i="1"/>
  <c r="O493" i="1"/>
  <c r="Q1796" i="1"/>
  <c r="I20" i="1"/>
  <c r="N3323" i="1"/>
  <c r="K1206" i="1"/>
  <c r="U630" i="1"/>
  <c r="H355" i="1"/>
  <c r="N141" i="1"/>
  <c r="K209" i="1"/>
  <c r="P529" i="1"/>
  <c r="I3230" i="1"/>
  <c r="N1523" i="1"/>
  <c r="J2305" i="1"/>
  <c r="AT75" i="1"/>
  <c r="K1998" i="1"/>
  <c r="U1251" i="1"/>
  <c r="I288" i="1"/>
  <c r="D238" i="1"/>
  <c r="O106" i="1"/>
  <c r="Q1815" i="1"/>
  <c r="Q3604" i="1"/>
  <c r="K918" i="1"/>
  <c r="Q3148" i="1"/>
  <c r="AT675" i="1"/>
  <c r="Q510" i="1"/>
  <c r="M2947" i="1"/>
  <c r="Q1966" i="1"/>
  <c r="N3530" i="1"/>
  <c r="P2179" i="1"/>
  <c r="M2155" i="1"/>
  <c r="U2265" i="1"/>
  <c r="P3491" i="1"/>
  <c r="O1347" i="1"/>
  <c r="M3473" i="1"/>
  <c r="J1222" i="1"/>
  <c r="U3146" i="1"/>
  <c r="D215" i="1"/>
  <c r="AT2874" i="1"/>
  <c r="D378" i="1"/>
  <c r="D1835" i="1"/>
  <c r="M2832" i="1"/>
  <c r="D88" i="1"/>
  <c r="I3432" i="1"/>
  <c r="O3361" i="1"/>
  <c r="H661" i="1"/>
  <c r="O2353" i="1"/>
  <c r="D3569" i="1"/>
  <c r="O2078" i="1"/>
  <c r="AT1387" i="1"/>
  <c r="H3280" i="1"/>
  <c r="H2371" i="1"/>
  <c r="D2431" i="1"/>
  <c r="M1180" i="1"/>
  <c r="U2204" i="1"/>
  <c r="O1631" i="1"/>
  <c r="Q3597" i="1"/>
  <c r="U2687" i="1"/>
  <c r="O2380" i="1"/>
  <c r="I2024" i="1"/>
  <c r="P2835" i="1"/>
  <c r="M944" i="1"/>
  <c r="N148" i="1"/>
  <c r="O2809" i="1"/>
  <c r="M3101" i="1"/>
  <c r="K2505" i="1"/>
  <c r="O2966" i="1"/>
  <c r="N343" i="1"/>
  <c r="U3060" i="1"/>
  <c r="U745" i="1"/>
  <c r="D2817" i="1"/>
  <c r="J2325" i="1"/>
  <c r="P718" i="1"/>
  <c r="AT1097" i="1"/>
  <c r="D1751" i="1"/>
  <c r="P14" i="1"/>
  <c r="N1052" i="1"/>
  <c r="M3600" i="1"/>
  <c r="O1017" i="1"/>
  <c r="M2186" i="1"/>
  <c r="U2979" i="1"/>
  <c r="O50" i="1"/>
  <c r="U2244" i="1"/>
  <c r="M761" i="1"/>
  <c r="U3197" i="1"/>
  <c r="D2452" i="1"/>
  <c r="P521" i="1"/>
  <c r="D1215" i="1"/>
  <c r="M865" i="1"/>
  <c r="I3559" i="1"/>
  <c r="AT751" i="1"/>
  <c r="AT3081" i="1"/>
  <c r="U1730" i="1"/>
  <c r="D3455" i="1"/>
  <c r="J45" i="1"/>
  <c r="O2560" i="1"/>
  <c r="U2000" i="1"/>
  <c r="D1812" i="1"/>
  <c r="U622" i="1"/>
  <c r="AT3263" i="1"/>
  <c r="I1880" i="1"/>
  <c r="AT3047" i="1"/>
  <c r="P541" i="1"/>
  <c r="D866" i="1"/>
  <c r="I2920" i="1"/>
  <c r="J2578" i="1"/>
  <c r="I2319" i="1"/>
  <c r="M942" i="1"/>
  <c r="O3004" i="1"/>
  <c r="J2871" i="1"/>
  <c r="J1279" i="1"/>
  <c r="AT2797" i="1"/>
  <c r="Q2076" i="1"/>
  <c r="I1764" i="1"/>
  <c r="N3232" i="1"/>
  <c r="P2328" i="1"/>
  <c r="M1404" i="1"/>
  <c r="U1652" i="1"/>
  <c r="U1720" i="1"/>
  <c r="Q1790" i="1"/>
  <c r="J773" i="1"/>
  <c r="J655" i="1"/>
  <c r="H253" i="1"/>
  <c r="I2769" i="1"/>
  <c r="Q1711" i="1"/>
  <c r="J1734" i="1"/>
  <c r="U411" i="1"/>
  <c r="H2938" i="1"/>
  <c r="I2261" i="1"/>
  <c r="O2541" i="1"/>
  <c r="K1981" i="1"/>
  <c r="P1904" i="1"/>
  <c r="D2838" i="1"/>
  <c r="M1260" i="1"/>
  <c r="AT626" i="1"/>
  <c r="K2416" i="1"/>
  <c r="H3243" i="1"/>
  <c r="U1887" i="1"/>
  <c r="U2785" i="1"/>
  <c r="K2155" i="1"/>
  <c r="P2768" i="1"/>
  <c r="J2016" i="1"/>
  <c r="O563" i="1"/>
  <c r="P2982" i="1"/>
  <c r="J906" i="1"/>
  <c r="N218" i="1"/>
  <c r="D1278" i="1"/>
  <c r="AT2282" i="1"/>
  <c r="N1620" i="1"/>
  <c r="J1462" i="1"/>
  <c r="U1965" i="1"/>
  <c r="D201" i="1"/>
  <c r="D2607" i="1"/>
  <c r="N3152" i="1"/>
  <c r="D1354" i="1"/>
  <c r="Q1184" i="1"/>
  <c r="O161" i="1"/>
  <c r="Q2714" i="1"/>
  <c r="P748" i="1"/>
  <c r="D957" i="1"/>
  <c r="U2109" i="1"/>
  <c r="AT3465" i="1"/>
  <c r="Q1862" i="1"/>
  <c r="D2344" i="1"/>
  <c r="D2267" i="1"/>
  <c r="O2523" i="1"/>
  <c r="H254" i="1"/>
  <c r="J2663" i="1"/>
  <c r="M3527" i="1"/>
  <c r="D2951" i="1"/>
  <c r="N413" i="1"/>
  <c r="H872" i="1"/>
  <c r="O2218" i="1"/>
  <c r="I3182" i="1"/>
  <c r="J2138" i="1"/>
  <c r="J1159" i="1"/>
  <c r="N485" i="1"/>
  <c r="P1703" i="1"/>
  <c r="N641" i="1"/>
  <c r="Q787" i="1"/>
  <c r="M195" i="1"/>
  <c r="U1821" i="1"/>
  <c r="O3113" i="1"/>
  <c r="H3313" i="1"/>
  <c r="H356" i="1"/>
  <c r="J2207" i="1"/>
  <c r="M2314" i="1"/>
  <c r="AT3274" i="1"/>
  <c r="P1540" i="1"/>
  <c r="N1753" i="1"/>
  <c r="D2540" i="1"/>
  <c r="K479" i="1"/>
  <c r="Q2065" i="1"/>
  <c r="I2747" i="1"/>
  <c r="D3328" i="1"/>
  <c r="J2276" i="1"/>
  <c r="N390" i="1"/>
  <c r="AT245" i="1"/>
  <c r="Q1286" i="1"/>
  <c r="M3199" i="1"/>
  <c r="M1901" i="1"/>
  <c r="N2064" i="1"/>
  <c r="M2079" i="1"/>
  <c r="U1810" i="1"/>
  <c r="J2376" i="1"/>
  <c r="I1787" i="1"/>
  <c r="N2573" i="1"/>
  <c r="U304" i="1"/>
  <c r="M3046" i="1"/>
  <c r="O606" i="1"/>
  <c r="U480" i="1"/>
  <c r="Q1869" i="1"/>
  <c r="AT2026" i="1"/>
  <c r="D1044" i="1"/>
  <c r="AT2307" i="1"/>
  <c r="N830" i="1"/>
  <c r="AT308" i="1"/>
  <c r="N3401" i="1"/>
  <c r="N1102" i="1"/>
  <c r="AT728" i="1"/>
  <c r="U1916" i="1"/>
  <c r="U2670" i="1"/>
  <c r="P2773" i="1"/>
  <c r="O2944" i="1"/>
  <c r="O1485" i="1"/>
  <c r="D1762" i="1"/>
  <c r="AT2932" i="1"/>
  <c r="M2628" i="1"/>
  <c r="D1239" i="1"/>
  <c r="AT1605" i="1"/>
  <c r="K1382" i="1"/>
  <c r="D1949" i="1"/>
  <c r="N2083" i="1"/>
  <c r="D3153" i="1"/>
  <c r="U717" i="1"/>
  <c r="K2811" i="1"/>
  <c r="D2899" i="1"/>
  <c r="M3546" i="1"/>
  <c r="I629" i="1"/>
  <c r="P872" i="1"/>
  <c r="D3451" i="1"/>
  <c r="D1288" i="1"/>
  <c r="O2822" i="1"/>
  <c r="AT777" i="1"/>
  <c r="M2871" i="1"/>
  <c r="J2502" i="1"/>
  <c r="J1819" i="1"/>
  <c r="P536" i="1"/>
  <c r="N114" i="1"/>
  <c r="U2576" i="1"/>
  <c r="Q1646" i="1"/>
  <c r="M3372" i="1"/>
  <c r="AT3391" i="1"/>
  <c r="N1180" i="1"/>
  <c r="P1229" i="1"/>
  <c r="AT1962" i="1"/>
  <c r="D2720" i="1"/>
  <c r="D3117" i="1"/>
  <c r="O2623" i="1"/>
  <c r="U1476" i="1"/>
  <c r="J2400" i="1"/>
  <c r="O3115" i="1"/>
  <c r="AT2498" i="1"/>
  <c r="K1028" i="1"/>
  <c r="AT3174" i="1"/>
  <c r="O944" i="1"/>
  <c r="Q2581" i="1"/>
  <c r="M3461" i="1"/>
  <c r="D521" i="1"/>
  <c r="N1886" i="1"/>
  <c r="M1561" i="1"/>
  <c r="N3036" i="1"/>
  <c r="AT141" i="1"/>
  <c r="I3081" i="1"/>
  <c r="U3105" i="1"/>
  <c r="P2111" i="1"/>
  <c r="M1332" i="1"/>
  <c r="U2193" i="1"/>
  <c r="H989" i="1"/>
  <c r="P2998" i="1"/>
  <c r="P3368" i="1"/>
  <c r="H841" i="1"/>
  <c r="P3227" i="1"/>
  <c r="I591" i="1"/>
  <c r="U1060" i="1"/>
  <c r="O2346" i="1"/>
  <c r="AT3436" i="1"/>
  <c r="N1542" i="1"/>
  <c r="M2854" i="1"/>
  <c r="I2499" i="1"/>
  <c r="K2819" i="1"/>
  <c r="P1998" i="1"/>
  <c r="O1938" i="1"/>
  <c r="H1324" i="1"/>
  <c r="M978" i="1"/>
  <c r="AT1298" i="1"/>
  <c r="AT2293" i="1"/>
  <c r="M2679" i="1"/>
  <c r="D1368" i="1"/>
  <c r="P19" i="1"/>
  <c r="J1317" i="1"/>
  <c r="D1951" i="1"/>
  <c r="M3015" i="1"/>
  <c r="D1616" i="1"/>
  <c r="J2799" i="1"/>
  <c r="N761" i="1"/>
  <c r="AT2884" i="1"/>
  <c r="O1178" i="1"/>
  <c r="P1915" i="1"/>
  <c r="D736" i="1"/>
  <c r="U2362" i="1"/>
  <c r="AT3399" i="1"/>
  <c r="I1747" i="1"/>
  <c r="J2513" i="1"/>
  <c r="M3457" i="1"/>
  <c r="J846" i="1"/>
  <c r="D1496" i="1"/>
  <c r="O2453" i="1"/>
  <c r="D1719" i="1"/>
  <c r="D1093" i="1"/>
  <c r="P1865" i="1"/>
  <c r="P1757" i="1"/>
  <c r="O1318" i="1"/>
  <c r="AT1980" i="1"/>
  <c r="D1544" i="1"/>
  <c r="D405" i="1"/>
  <c r="M1315" i="1"/>
  <c r="M2427" i="1"/>
  <c r="M715" i="1"/>
  <c r="I904" i="1"/>
  <c r="M3145" i="1"/>
  <c r="P3033" i="1"/>
  <c r="K1987" i="1"/>
  <c r="H2188" i="1"/>
  <c r="D1353" i="1"/>
  <c r="U3276" i="1"/>
  <c r="D1483" i="1"/>
  <c r="I3113" i="1"/>
  <c r="AT1984" i="1"/>
  <c r="J2113" i="1"/>
  <c r="M2610" i="1"/>
  <c r="H566" i="1"/>
  <c r="M967" i="1"/>
  <c r="I2275" i="1"/>
  <c r="Q1722" i="1"/>
  <c r="Q2478" i="1"/>
  <c r="P1365" i="1"/>
  <c r="AT3273" i="1"/>
  <c r="N436" i="1"/>
  <c r="AT286" i="1"/>
  <c r="AT3068" i="1"/>
  <c r="M2495" i="1"/>
  <c r="Q1575" i="1"/>
  <c r="D3102" i="1"/>
  <c r="Q313" i="1"/>
  <c r="M1409" i="1"/>
  <c r="M3597" i="1"/>
  <c r="H1254" i="1"/>
  <c r="AT124" i="1"/>
  <c r="N2249" i="1"/>
  <c r="O1002" i="1"/>
  <c r="M308" i="1"/>
  <c r="I2422" i="1"/>
  <c r="P2724" i="1"/>
  <c r="J893" i="1"/>
  <c r="D2557" i="1"/>
  <c r="P1560" i="1"/>
  <c r="D1019" i="1"/>
  <c r="D3228" i="1"/>
  <c r="AT3402" i="1"/>
  <c r="N735" i="1"/>
  <c r="AT984" i="1"/>
  <c r="AT2131" i="1"/>
  <c r="AT3556" i="1"/>
  <c r="D1721" i="1"/>
  <c r="U3615" i="1"/>
  <c r="N2092" i="1"/>
  <c r="D2487" i="1"/>
  <c r="O963" i="1"/>
  <c r="M3167" i="1"/>
  <c r="Q1912" i="1"/>
  <c r="D2239" i="1"/>
  <c r="H582" i="1"/>
  <c r="D627" i="1"/>
  <c r="J2642" i="1"/>
  <c r="D1550" i="1"/>
  <c r="Q1133" i="1"/>
  <c r="K825" i="1"/>
  <c r="Q3242" i="1"/>
  <c r="O2552" i="1"/>
  <c r="O462" i="1"/>
  <c r="AT3503" i="1"/>
  <c r="AT703" i="1"/>
  <c r="O3270" i="1"/>
  <c r="Q941" i="1"/>
  <c r="N3520" i="1"/>
  <c r="N1349" i="1"/>
  <c r="AT3542" i="1"/>
  <c r="M2129" i="1"/>
  <c r="D3635" i="1"/>
  <c r="AT341" i="1"/>
  <c r="AT1647" i="1"/>
  <c r="M3626" i="1"/>
  <c r="AT1749" i="1"/>
  <c r="Q2196" i="1"/>
  <c r="I1915" i="1"/>
  <c r="O2393" i="1"/>
  <c r="O3238" i="1"/>
  <c r="P1348" i="1"/>
  <c r="D983" i="1"/>
  <c r="N2742" i="1"/>
  <c r="O355" i="1"/>
  <c r="P1501" i="1"/>
  <c r="N2494" i="1"/>
  <c r="N1790" i="1"/>
  <c r="I883" i="1"/>
  <c r="Q2850" i="1"/>
  <c r="J1209" i="1"/>
  <c r="I382" i="1"/>
  <c r="P2158" i="1"/>
  <c r="M1399" i="1"/>
  <c r="D2638" i="1"/>
  <c r="N1323" i="1"/>
  <c r="M2506" i="1"/>
  <c r="M2289" i="1"/>
  <c r="D1888" i="1"/>
  <c r="U2806" i="1"/>
  <c r="AT2942" i="1"/>
  <c r="M2328" i="1"/>
  <c r="O1721" i="1"/>
  <c r="N697" i="1"/>
  <c r="AT2172" i="1"/>
  <c r="M2986" i="1"/>
  <c r="K497" i="1"/>
  <c r="I2390" i="1"/>
  <c r="I2139" i="1"/>
  <c r="Q692" i="1"/>
  <c r="U135" i="1"/>
  <c r="AT3319" i="1"/>
  <c r="D1172" i="1"/>
  <c r="P1086" i="1"/>
  <c r="D2804" i="1"/>
  <c r="D131" i="1"/>
  <c r="P2139" i="1"/>
  <c r="N469" i="1"/>
  <c r="D1467" i="1"/>
  <c r="P3109" i="1"/>
  <c r="N222" i="1"/>
  <c r="Q3346" i="1"/>
  <c r="H183" i="1"/>
  <c r="J3578" i="1"/>
  <c r="I3172" i="1"/>
  <c r="U257" i="1"/>
  <c r="N2844" i="1"/>
  <c r="J2944" i="1"/>
  <c r="O87" i="1"/>
  <c r="Q1454" i="1"/>
  <c r="K1348" i="1"/>
  <c r="P2423" i="1"/>
  <c r="Q1542" i="1"/>
  <c r="M2473" i="1"/>
  <c r="J202" i="1"/>
  <c r="U90" i="1"/>
  <c r="M2689" i="1"/>
  <c r="M2680" i="1"/>
  <c r="K683" i="1"/>
  <c r="H405" i="1"/>
  <c r="H1936" i="1"/>
  <c r="D888" i="1"/>
  <c r="M1743" i="1"/>
  <c r="AT955" i="1"/>
  <c r="P1801" i="1"/>
  <c r="AT979" i="1"/>
  <c r="AT247" i="1"/>
  <c r="J872" i="1"/>
  <c r="D1104" i="1"/>
  <c r="O2401" i="1"/>
  <c r="K331" i="1"/>
  <c r="AT2303" i="1"/>
  <c r="I656" i="1"/>
  <c r="AT2851" i="1"/>
  <c r="P2239" i="1"/>
  <c r="H3562" i="1"/>
  <c r="D3042" i="1"/>
  <c r="P1769" i="1"/>
  <c r="U1172" i="1"/>
  <c r="K1490" i="1"/>
  <c r="Q230" i="1"/>
  <c r="N2604" i="1"/>
  <c r="O2734" i="1"/>
  <c r="P620" i="1"/>
  <c r="M1089" i="1"/>
  <c r="P838" i="1"/>
  <c r="U1902" i="1"/>
  <c r="H218" i="1"/>
  <c r="I1169" i="1"/>
  <c r="J681" i="1"/>
  <c r="N1548" i="1"/>
  <c r="D3515" i="1"/>
  <c r="P2194" i="1"/>
  <c r="H733" i="1"/>
  <c r="AT641" i="1"/>
  <c r="I2214" i="1"/>
  <c r="Q1886" i="1"/>
  <c r="AT1995" i="1"/>
  <c r="D3222" i="1"/>
  <c r="I2011" i="1"/>
  <c r="J155" i="1"/>
  <c r="I1795" i="1"/>
  <c r="M2655" i="1"/>
  <c r="N2822" i="1"/>
  <c r="M1645" i="1"/>
  <c r="Q456" i="1"/>
  <c r="U2894" i="1"/>
  <c r="J1679" i="1"/>
  <c r="M1401" i="1"/>
  <c r="O1696" i="1"/>
  <c r="Q975" i="1"/>
  <c r="H1723" i="1"/>
  <c r="D552" i="1"/>
  <c r="M3266" i="1"/>
  <c r="M309" i="1"/>
  <c r="Q324" i="1"/>
  <c r="P3594" i="1"/>
  <c r="P506" i="1"/>
  <c r="P1416" i="1"/>
  <c r="N1976" i="1"/>
  <c r="P3528" i="1"/>
  <c r="P1315" i="1"/>
  <c r="O2135" i="1"/>
  <c r="P1291" i="1"/>
  <c r="M2738" i="1"/>
  <c r="U432" i="1"/>
  <c r="J299" i="1"/>
  <c r="M178" i="1"/>
  <c r="N3532" i="1"/>
  <c r="O807" i="1"/>
  <c r="I2594" i="1"/>
  <c r="P28" i="1"/>
  <c r="K121" i="1"/>
  <c r="M583" i="1"/>
  <c r="N2812" i="1"/>
  <c r="AT1487" i="1"/>
  <c r="J3148" i="1"/>
  <c r="O3155" i="1"/>
  <c r="M53" i="1"/>
  <c r="D3123" i="1"/>
  <c r="AT802" i="1"/>
  <c r="H2522" i="1"/>
  <c r="D2078" i="1"/>
  <c r="D1441" i="1"/>
  <c r="D2868" i="1"/>
  <c r="H3611" i="1"/>
  <c r="D1709" i="1"/>
  <c r="AT2870" i="1"/>
  <c r="K1535" i="1"/>
  <c r="M886" i="1"/>
  <c r="I1015" i="1"/>
  <c r="Q23" i="1"/>
  <c r="U1966" i="1"/>
  <c r="P2654" i="1"/>
  <c r="I1275" i="1"/>
  <c r="AT2864" i="1"/>
  <c r="D3500" i="1"/>
  <c r="AT1527" i="1"/>
  <c r="O1522" i="1"/>
  <c r="Q2975" i="1"/>
  <c r="O1936" i="1"/>
  <c r="Q1203" i="1"/>
  <c r="I3215" i="1"/>
  <c r="J2163" i="1"/>
  <c r="I858" i="1"/>
  <c r="AT1239" i="1"/>
  <c r="AT970" i="1"/>
  <c r="U3562" i="1"/>
  <c r="M1055" i="1"/>
  <c r="U606" i="1"/>
  <c r="N128" i="1"/>
  <c r="Q3581" i="1"/>
  <c r="AT2823" i="1"/>
  <c r="O2808" i="1"/>
  <c r="K700" i="1"/>
  <c r="I1796" i="1"/>
  <c r="P509" i="1"/>
  <c r="O281" i="1"/>
  <c r="P619" i="1"/>
  <c r="P2001" i="1"/>
  <c r="M134" i="1"/>
  <c r="M2593" i="1"/>
  <c r="P2114" i="1"/>
  <c r="AT2090" i="1"/>
  <c r="U2084" i="1"/>
  <c r="Q543" i="1"/>
  <c r="U2560" i="1"/>
  <c r="AT3539" i="1"/>
  <c r="K3636" i="1"/>
  <c r="O2946" i="1"/>
  <c r="K445" i="1"/>
  <c r="N2981" i="1"/>
  <c r="O439" i="1"/>
  <c r="M685" i="1"/>
  <c r="I2525" i="1"/>
  <c r="M2946" i="1"/>
  <c r="P224" i="1"/>
  <c r="M909" i="1"/>
  <c r="H1383" i="1"/>
  <c r="D816" i="1"/>
  <c r="M50" i="1"/>
  <c r="K2646" i="1"/>
  <c r="P2216" i="1"/>
  <c r="O2324" i="1"/>
  <c r="M1971" i="1"/>
  <c r="H1734" i="1"/>
  <c r="J2438" i="1"/>
  <c r="O429" i="1"/>
  <c r="O159" i="1"/>
  <c r="P2708" i="1"/>
  <c r="AT890" i="1"/>
  <c r="Q1843" i="1"/>
  <c r="Q1812" i="1"/>
  <c r="P2056" i="1"/>
  <c r="AT3344" i="1"/>
  <c r="O441" i="1"/>
  <c r="AT64" i="1"/>
  <c r="D1450" i="1"/>
  <c r="U448" i="1"/>
  <c r="P2918" i="1"/>
  <c r="M2498" i="1"/>
  <c r="U25" i="1"/>
  <c r="D557" i="1"/>
  <c r="I1589" i="1"/>
  <c r="H2360" i="1"/>
  <c r="Q1183" i="1"/>
  <c r="N678" i="1"/>
  <c r="AT422" i="1"/>
  <c r="N3624" i="1"/>
  <c r="P3298" i="1"/>
  <c r="AT3338" i="1"/>
  <c r="O112" i="1"/>
  <c r="D998" i="1"/>
  <c r="D1302" i="1"/>
  <c r="M2122" i="1"/>
  <c r="K3583" i="1"/>
  <c r="O20" i="1"/>
  <c r="O1714" i="1"/>
  <c r="J2926" i="1"/>
  <c r="J269" i="1"/>
  <c r="O1998" i="1"/>
  <c r="O770" i="1"/>
  <c r="J941" i="1"/>
  <c r="AT1907" i="1"/>
  <c r="Q757" i="1"/>
  <c r="O941" i="1"/>
  <c r="H2337" i="1"/>
  <c r="U2163" i="1"/>
  <c r="M960" i="1"/>
  <c r="H804" i="1"/>
  <c r="P1716" i="1"/>
  <c r="D1988" i="1"/>
  <c r="P2072" i="1"/>
  <c r="K2097" i="1"/>
  <c r="M2894" i="1"/>
  <c r="Q2160" i="1"/>
  <c r="I1657" i="1"/>
  <c r="O663" i="1"/>
  <c r="Q561" i="1"/>
  <c r="N1313" i="1"/>
  <c r="D300" i="1"/>
  <c r="AT1685" i="1"/>
  <c r="D2928" i="1"/>
  <c r="K1143" i="1"/>
  <c r="D2159" i="1"/>
  <c r="Q1487" i="1"/>
  <c r="M2659" i="1"/>
  <c r="O1847" i="1"/>
  <c r="H2715" i="1"/>
  <c r="Q1783" i="1"/>
  <c r="H2356" i="1"/>
  <c r="AT1676" i="1"/>
  <c r="H2382" i="1"/>
  <c r="U2048" i="1"/>
  <c r="K1570" i="1"/>
  <c r="AT1414" i="1"/>
  <c r="U2632" i="1"/>
  <c r="O2142" i="1"/>
  <c r="I1839" i="1"/>
  <c r="I579" i="1"/>
  <c r="AT1754" i="1"/>
  <c r="O2268" i="1"/>
  <c r="N2314" i="1"/>
  <c r="J3272" i="1"/>
  <c r="P2908" i="1"/>
  <c r="J1190" i="1"/>
  <c r="N1288" i="1"/>
  <c r="H3218" i="1"/>
  <c r="U1518" i="1"/>
  <c r="D1529" i="1"/>
  <c r="H1828" i="1"/>
  <c r="D428" i="1"/>
  <c r="M355" i="1"/>
  <c r="K2315" i="1"/>
  <c r="O1821" i="1"/>
  <c r="J416" i="1"/>
  <c r="U1424" i="1"/>
  <c r="U1781" i="1"/>
  <c r="O1920" i="1"/>
  <c r="U2497" i="1"/>
  <c r="I376" i="1"/>
  <c r="Q2604" i="1"/>
  <c r="N2140" i="1"/>
  <c r="H496" i="1"/>
  <c r="N1703" i="1"/>
  <c r="U1774" i="1"/>
  <c r="O1336" i="1"/>
  <c r="D1470" i="1"/>
  <c r="O821" i="1"/>
  <c r="AT240" i="1"/>
  <c r="M1158" i="1"/>
  <c r="U1369" i="1"/>
  <c r="AT3605" i="1"/>
  <c r="AT3018" i="1"/>
  <c r="Q589" i="1"/>
  <c r="AT1003" i="1"/>
  <c r="AT560" i="1"/>
  <c r="H409" i="1"/>
  <c r="Q1497" i="1"/>
  <c r="M1672" i="1"/>
  <c r="I1087" i="1"/>
  <c r="K1095" i="1"/>
  <c r="U1913" i="1"/>
  <c r="D1520" i="1"/>
  <c r="H1870" i="1"/>
  <c r="M478" i="1"/>
  <c r="M2748" i="1"/>
  <c r="D1654" i="1"/>
  <c r="H1840" i="1"/>
  <c r="AT2900" i="1"/>
  <c r="P3610" i="1"/>
  <c r="M95" i="1"/>
  <c r="N1031" i="1"/>
  <c r="J279" i="1"/>
  <c r="U2281" i="1"/>
  <c r="U1985" i="1"/>
  <c r="N680" i="1"/>
  <c r="P1862" i="1"/>
  <c r="D2345" i="1"/>
  <c r="N1020" i="1"/>
  <c r="AT2737" i="1"/>
  <c r="U1264" i="1"/>
  <c r="K1954" i="1"/>
  <c r="D1250" i="1"/>
  <c r="N2576" i="1"/>
  <c r="I859" i="1"/>
  <c r="AT749" i="1"/>
  <c r="I3525" i="1"/>
  <c r="O2572" i="1"/>
  <c r="P2150" i="1"/>
  <c r="N1822" i="1"/>
  <c r="Q988" i="1"/>
  <c r="J1291" i="1"/>
  <c r="D507" i="1"/>
  <c r="P3299" i="1"/>
  <c r="P2057" i="1"/>
  <c r="M171" i="1"/>
  <c r="D2257" i="1"/>
  <c r="P2275" i="1"/>
  <c r="I456" i="1"/>
  <c r="D207" i="1"/>
  <c r="H1958" i="1"/>
  <c r="M977" i="1"/>
  <c r="AT1663" i="1"/>
  <c r="N753" i="1"/>
  <c r="U3142" i="1"/>
  <c r="O908" i="1"/>
  <c r="N2341" i="1"/>
  <c r="I1827" i="1"/>
  <c r="H3635" i="1"/>
  <c r="I3339" i="1"/>
  <c r="U1933" i="1"/>
  <c r="P662" i="1"/>
  <c r="AT3546" i="1"/>
  <c r="N254" i="1"/>
  <c r="AT3536" i="1"/>
  <c r="D3118" i="1"/>
  <c r="Q3523" i="1"/>
  <c r="O1976" i="1"/>
  <c r="D1322" i="1"/>
  <c r="P2306" i="1"/>
  <c r="H706" i="1"/>
  <c r="M2792" i="1"/>
  <c r="M2265" i="1"/>
  <c r="J3612" i="1"/>
  <c r="O2046" i="1"/>
  <c r="AT2727" i="1"/>
  <c r="Q1017" i="1"/>
  <c r="N229" i="1"/>
  <c r="M1174" i="1"/>
  <c r="H2090" i="1"/>
  <c r="D3238" i="1"/>
  <c r="H3066" i="1"/>
  <c r="AT2453" i="1"/>
  <c r="Q1225" i="1"/>
  <c r="U1892" i="1"/>
  <c r="Q3000" i="1"/>
  <c r="O1659" i="1"/>
  <c r="N180" i="1"/>
  <c r="O550" i="1"/>
  <c r="O2162" i="1"/>
  <c r="M1342" i="1"/>
  <c r="I3137" i="1"/>
  <c r="H326" i="1"/>
  <c r="H1823" i="1"/>
  <c r="AT2113" i="1"/>
  <c r="U3408" i="1"/>
  <c r="D1075" i="1"/>
  <c r="P454" i="1"/>
  <c r="O3135" i="1"/>
  <c r="AT1260" i="1"/>
  <c r="Q1964" i="1"/>
  <c r="O3173" i="1"/>
  <c r="D2218" i="1"/>
  <c r="P3334" i="1"/>
  <c r="H2399" i="1"/>
  <c r="U2873" i="1"/>
  <c r="D2092" i="1"/>
  <c r="P2339" i="1"/>
  <c r="I2076" i="1"/>
  <c r="M2391" i="1"/>
  <c r="O3206" i="1"/>
  <c r="N2199" i="1"/>
  <c r="Q62" i="1"/>
  <c r="K2575" i="1"/>
  <c r="D94" i="1"/>
  <c r="D2779" i="1"/>
  <c r="Q3117" i="1"/>
  <c r="D571" i="1"/>
  <c r="D2337" i="1"/>
  <c r="Q1925" i="1"/>
  <c r="P590" i="1"/>
  <c r="J43" i="1"/>
  <c r="O2165" i="1"/>
  <c r="M2409" i="1"/>
  <c r="D1989" i="1"/>
  <c r="AT3334" i="1"/>
  <c r="AT348" i="1"/>
  <c r="N2847" i="1"/>
  <c r="P1032" i="1"/>
  <c r="O2853" i="1"/>
  <c r="U3452" i="1"/>
  <c r="K3614" i="1"/>
  <c r="U991" i="1"/>
  <c r="H3465" i="1"/>
  <c r="M1190" i="1"/>
  <c r="M3563" i="1"/>
  <c r="M665" i="1"/>
  <c r="U3162" i="1"/>
  <c r="M303" i="1"/>
  <c r="P1892" i="1"/>
  <c r="K594" i="1"/>
  <c r="D2103" i="1"/>
  <c r="H1643" i="1"/>
  <c r="P720" i="1"/>
  <c r="M642" i="1"/>
  <c r="H1417" i="1"/>
  <c r="O3585" i="1"/>
  <c r="D2206" i="1"/>
  <c r="Q2518" i="1"/>
  <c r="I126" i="1"/>
  <c r="U1546" i="1"/>
  <c r="K1914" i="1"/>
  <c r="U1648" i="1"/>
  <c r="K2024" i="1"/>
  <c r="N2762" i="1"/>
  <c r="AT1507" i="1"/>
  <c r="K2900" i="1"/>
  <c r="N3627" i="1"/>
  <c r="O1592" i="1"/>
  <c r="U30" i="1"/>
  <c r="P274" i="1"/>
  <c r="P1941" i="1"/>
  <c r="D897" i="1"/>
  <c r="Q3508" i="1"/>
  <c r="AT2104" i="1"/>
  <c r="O2048" i="1"/>
  <c r="N162" i="1"/>
  <c r="N1882" i="1"/>
  <c r="Q437" i="1"/>
  <c r="H1402" i="1"/>
  <c r="H2532" i="1"/>
  <c r="M2733" i="1"/>
  <c r="H1399" i="1"/>
  <c r="AT2532" i="1"/>
  <c r="U816" i="1"/>
  <c r="N1752" i="1"/>
  <c r="P2464" i="1"/>
  <c r="P2188" i="1"/>
  <c r="I3387" i="1"/>
  <c r="U1515" i="1"/>
  <c r="H3563" i="1"/>
  <c r="O1200" i="1"/>
  <c r="P3241" i="1"/>
  <c r="U3093" i="1"/>
  <c r="AT1102" i="1"/>
  <c r="J3079" i="1"/>
  <c r="P567" i="1"/>
  <c r="N435" i="1"/>
  <c r="D2673" i="1"/>
  <c r="AT2834" i="1"/>
  <c r="P3317" i="1"/>
  <c r="D2589" i="1"/>
  <c r="O2621" i="1"/>
  <c r="AT747" i="1"/>
  <c r="P141" i="1"/>
  <c r="D128" i="1"/>
  <c r="M723" i="1"/>
  <c r="M3089" i="1"/>
  <c r="D3587" i="1"/>
  <c r="O1035" i="1"/>
  <c r="Q3119" i="1"/>
  <c r="M2740" i="1"/>
  <c r="O1061" i="1"/>
  <c r="J3373" i="1"/>
  <c r="Q2712" i="1"/>
  <c r="N385" i="1"/>
  <c r="U1157" i="1"/>
  <c r="P1989" i="1"/>
  <c r="O2368" i="1"/>
  <c r="P86" i="1"/>
  <c r="N2224" i="1"/>
  <c r="I1991" i="1"/>
  <c r="D733" i="1"/>
  <c r="P2256" i="1"/>
  <c r="D2196" i="1"/>
  <c r="D3199" i="1"/>
  <c r="AT1915" i="1"/>
  <c r="U1596" i="1"/>
  <c r="N3084" i="1"/>
  <c r="M2708" i="1"/>
  <c r="U497" i="1"/>
  <c r="D598" i="1"/>
  <c r="D755" i="1"/>
  <c r="N2405" i="1"/>
  <c r="N1960" i="1"/>
  <c r="N1359" i="1"/>
  <c r="O2510" i="1"/>
  <c r="I1482" i="1"/>
  <c r="M3423" i="1"/>
  <c r="N3119" i="1"/>
  <c r="P2370" i="1"/>
  <c r="U1733" i="1"/>
  <c r="AT2746" i="1"/>
  <c r="I1039" i="1"/>
  <c r="M3623" i="1"/>
  <c r="AT894" i="1"/>
  <c r="D1997" i="1"/>
  <c r="Q409" i="1"/>
  <c r="O3050" i="1"/>
  <c r="N2031" i="1"/>
  <c r="M1227" i="1"/>
  <c r="Q140" i="1"/>
  <c r="N607" i="1"/>
  <c r="Q580" i="1"/>
  <c r="I3056" i="1"/>
  <c r="Q2770" i="1"/>
  <c r="O2041" i="1"/>
  <c r="M2069" i="1"/>
  <c r="M1646" i="1"/>
  <c r="O2431" i="1"/>
  <c r="I1196" i="1"/>
  <c r="D2666" i="1"/>
  <c r="P2767" i="1"/>
  <c r="Q2336" i="1"/>
  <c r="O3607" i="1"/>
  <c r="N2111" i="1"/>
  <c r="H1070" i="1"/>
  <c r="P1099" i="1"/>
  <c r="P2596" i="1"/>
  <c r="M3218" i="1"/>
  <c r="K3592" i="1"/>
  <c r="H949" i="1"/>
  <c r="Q2310" i="1"/>
  <c r="D37" i="1"/>
  <c r="U901" i="1"/>
  <c r="D2312" i="1"/>
  <c r="O3141" i="1"/>
  <c r="M3289" i="1"/>
  <c r="P625" i="1"/>
  <c r="M33" i="1"/>
  <c r="I1159" i="1"/>
  <c r="H312" i="1"/>
  <c r="AT1409" i="1"/>
  <c r="AT3381" i="1"/>
  <c r="O1585" i="1"/>
  <c r="P3062" i="1"/>
  <c r="O2251" i="1"/>
  <c r="U1365" i="1"/>
  <c r="P2241" i="1"/>
  <c r="J1925" i="1"/>
  <c r="Q2258" i="1"/>
  <c r="N1455" i="1"/>
  <c r="D232" i="1"/>
  <c r="N1471" i="1"/>
  <c r="AT780" i="1"/>
  <c r="M1347" i="1"/>
  <c r="I1937" i="1"/>
  <c r="M2731" i="1"/>
  <c r="K1299" i="1"/>
  <c r="AT2811" i="1"/>
  <c r="AT478" i="1"/>
  <c r="D931" i="1"/>
  <c r="U2555" i="1"/>
  <c r="P2032" i="1"/>
  <c r="M1390" i="1"/>
  <c r="N1438" i="1"/>
  <c r="N1314" i="1"/>
  <c r="Q605" i="1"/>
  <c r="P479" i="1"/>
  <c r="P118" i="1"/>
  <c r="O411" i="1"/>
  <c r="P3236" i="1"/>
  <c r="AT2814" i="1"/>
  <c r="AT508" i="1"/>
  <c r="AT2010" i="1"/>
  <c r="M2960" i="1"/>
  <c r="H1012" i="1"/>
  <c r="AT1864" i="1"/>
  <c r="Q1837" i="1"/>
  <c r="K173" i="1"/>
  <c r="P992" i="1"/>
  <c r="AT2702" i="1"/>
  <c r="AT200" i="1"/>
  <c r="I1656" i="1"/>
  <c r="M1786" i="1"/>
  <c r="Q178" i="1"/>
  <c r="U1069" i="1"/>
  <c r="U3034" i="1"/>
  <c r="D2977" i="1"/>
  <c r="AT2239" i="1"/>
  <c r="D660" i="1"/>
  <c r="U1047" i="1"/>
  <c r="U1732" i="1"/>
  <c r="AT462" i="1"/>
  <c r="H1725" i="1"/>
  <c r="I2663" i="1"/>
  <c r="D1442" i="1"/>
  <c r="U2561" i="1"/>
  <c r="N3446" i="1"/>
  <c r="U1791" i="1"/>
  <c r="K2373" i="1"/>
  <c r="U3508" i="1"/>
  <c r="I142" i="1"/>
  <c r="U2640" i="1"/>
  <c r="I2445" i="1"/>
  <c r="M1893" i="1"/>
  <c r="N994" i="1"/>
  <c r="D1591" i="1"/>
  <c r="AT3641" i="1"/>
  <c r="Q2636" i="1"/>
  <c r="O2136" i="1"/>
  <c r="I3014" i="1"/>
  <c r="I3499" i="1"/>
  <c r="P3218" i="1"/>
  <c r="D3014" i="1"/>
  <c r="AT3438" i="1"/>
  <c r="D968" i="1"/>
  <c r="I3175" i="1"/>
  <c r="H3609" i="1"/>
  <c r="O1738" i="1"/>
  <c r="P1541" i="1"/>
  <c r="M180" i="1"/>
  <c r="N70" i="1"/>
  <c r="H519" i="1"/>
  <c r="AT448" i="1"/>
  <c r="O1066" i="1"/>
  <c r="P2316" i="1"/>
  <c r="K2981" i="1"/>
  <c r="J424" i="1"/>
  <c r="N1497" i="1"/>
  <c r="O2228" i="1"/>
  <c r="M291" i="1"/>
  <c r="AT2397" i="1"/>
  <c r="I2239" i="1"/>
  <c r="N617" i="1"/>
  <c r="AT2438" i="1"/>
  <c r="H3053" i="1"/>
  <c r="AT3243" i="1"/>
  <c r="J2010" i="1"/>
  <c r="K2744" i="1"/>
  <c r="AT343" i="1"/>
  <c r="AT362" i="1"/>
  <c r="N2756" i="1"/>
  <c r="N2922" i="1"/>
  <c r="D1419" i="1"/>
  <c r="P3524" i="1"/>
  <c r="AT3115" i="1"/>
  <c r="I2935" i="1"/>
  <c r="M2769" i="1"/>
  <c r="AT2477" i="1"/>
  <c r="Q2744" i="1"/>
  <c r="P208" i="1"/>
  <c r="AT2611" i="1"/>
  <c r="J2929" i="1"/>
  <c r="AT3181" i="1"/>
  <c r="O1633" i="1"/>
  <c r="M2074" i="1"/>
  <c r="P1620" i="1"/>
  <c r="AT842" i="1"/>
  <c r="I1438" i="1"/>
  <c r="AT1087" i="1"/>
  <c r="N912" i="1"/>
  <c r="O1758" i="1"/>
  <c r="Q3362" i="1"/>
  <c r="O533" i="1"/>
  <c r="O3182" i="1"/>
  <c r="P1917" i="1"/>
  <c r="AT2683" i="1"/>
  <c r="O1543" i="1"/>
  <c r="O2434" i="1"/>
  <c r="Q2032" i="1"/>
  <c r="D3217" i="1"/>
  <c r="M414" i="1"/>
  <c r="P3430" i="1"/>
  <c r="O3227" i="1"/>
  <c r="O1813" i="1"/>
  <c r="O2350" i="1"/>
  <c r="I1924" i="1"/>
  <c r="I2596" i="1"/>
  <c r="AT2997" i="1"/>
  <c r="N405" i="1"/>
  <c r="Q296" i="1"/>
  <c r="N360" i="1"/>
  <c r="N3560" i="1"/>
  <c r="N1823" i="1"/>
  <c r="O803" i="1"/>
  <c r="AT1461" i="1"/>
  <c r="AT2957" i="1"/>
  <c r="J2006" i="1"/>
  <c r="O3515" i="1"/>
  <c r="H3048" i="1"/>
  <c r="Q3239" i="1"/>
  <c r="U2974" i="1"/>
  <c r="M1970" i="1"/>
  <c r="U2551" i="1"/>
  <c r="P781" i="1"/>
  <c r="U875" i="1"/>
  <c r="AT3247" i="1"/>
  <c r="AT1416" i="1"/>
  <c r="D2762" i="1"/>
  <c r="I2277" i="1"/>
  <c r="U146" i="1"/>
  <c r="P3322" i="1"/>
  <c r="N2978" i="1"/>
  <c r="Q2867" i="1"/>
  <c r="U2339" i="1"/>
  <c r="K665" i="1"/>
  <c r="AT3144" i="1"/>
  <c r="I108" i="1"/>
  <c r="N443" i="1"/>
  <c r="P508" i="1"/>
  <c r="D3158" i="1"/>
  <c r="P2678" i="1"/>
  <c r="AT1818" i="1"/>
  <c r="AT365" i="1"/>
  <c r="AT1179" i="1"/>
  <c r="O1677" i="1"/>
  <c r="H322" i="1"/>
  <c r="P430" i="1"/>
  <c r="Q2298" i="1"/>
  <c r="N1559" i="1"/>
  <c r="M493" i="1"/>
  <c r="AT1515" i="1"/>
  <c r="D2334" i="1"/>
  <c r="Q2004" i="1"/>
  <c r="AT3495" i="1"/>
  <c r="Q447" i="1"/>
  <c r="N3436" i="1"/>
  <c r="Q1877" i="1"/>
  <c r="N2095" i="1"/>
  <c r="P1214" i="1"/>
  <c r="H1156" i="1"/>
  <c r="U1538" i="1"/>
  <c r="AT3257" i="1"/>
  <c r="AT2631" i="1"/>
  <c r="AT3569" i="1"/>
  <c r="AT820" i="1"/>
  <c r="Q615" i="1"/>
  <c r="M387" i="1"/>
  <c r="M2357" i="1"/>
  <c r="H377" i="1"/>
  <c r="AT1126" i="1"/>
  <c r="M641" i="1"/>
  <c r="H1061" i="1"/>
  <c r="AT2530" i="1"/>
  <c r="J3162" i="1"/>
  <c r="M2070" i="1"/>
  <c r="Q3254" i="1"/>
  <c r="U1255" i="1"/>
  <c r="P1261" i="1"/>
  <c r="M3032" i="1"/>
  <c r="M1680" i="1"/>
  <c r="I1454" i="1"/>
  <c r="I606" i="1"/>
  <c r="Q877" i="1"/>
  <c r="N3443" i="1"/>
  <c r="P2730" i="1"/>
  <c r="U3387" i="1"/>
  <c r="U2293" i="1"/>
  <c r="J1167" i="1"/>
  <c r="P3304" i="1"/>
  <c r="D3492" i="1"/>
  <c r="I1526" i="1"/>
  <c r="P3158" i="1"/>
  <c r="AT315" i="1"/>
  <c r="O1291" i="1"/>
  <c r="N3087" i="1"/>
  <c r="Q3519" i="1"/>
  <c r="D236" i="1"/>
  <c r="H868" i="1"/>
  <c r="N1696" i="1"/>
  <c r="P1083" i="1"/>
  <c r="D3478" i="1"/>
  <c r="K3232" i="1"/>
  <c r="I3601" i="1"/>
  <c r="P3457" i="1"/>
  <c r="Q266" i="1"/>
  <c r="O791" i="1"/>
  <c r="Q1464" i="1"/>
  <c r="D124" i="1"/>
  <c r="D1652" i="1"/>
  <c r="J504" i="1"/>
  <c r="N1269" i="1"/>
  <c r="D1113" i="1"/>
  <c r="Q1780" i="1"/>
  <c r="K1351" i="1"/>
  <c r="K592" i="1"/>
  <c r="N2289" i="1"/>
  <c r="D297" i="1"/>
  <c r="D899" i="1"/>
  <c r="M1787" i="1"/>
  <c r="J1942" i="1"/>
  <c r="H1176" i="1"/>
  <c r="N907" i="1"/>
  <c r="N3306" i="1"/>
  <c r="P1311" i="1"/>
  <c r="K177" i="1"/>
  <c r="O538" i="1"/>
  <c r="AT2143" i="1"/>
  <c r="P412" i="1"/>
  <c r="O1467" i="1"/>
  <c r="M1296" i="1"/>
  <c r="Q1756" i="1"/>
  <c r="AT1250" i="1"/>
  <c r="N1305" i="1"/>
  <c r="D2526" i="1"/>
  <c r="H2672" i="1"/>
  <c r="H2177" i="1"/>
  <c r="H1729" i="1"/>
  <c r="K3229" i="1"/>
  <c r="Q3391" i="1"/>
  <c r="AT3573" i="1"/>
  <c r="Q1284" i="1"/>
  <c r="O2683" i="1"/>
  <c r="P267" i="1"/>
  <c r="N3189" i="1"/>
  <c r="D3482" i="1"/>
  <c r="K3054" i="1"/>
  <c r="M1747" i="1"/>
  <c r="AT2799" i="1"/>
  <c r="P2329" i="1"/>
  <c r="H3175" i="1"/>
  <c r="Q2555" i="1"/>
  <c r="D1824" i="1"/>
  <c r="N3387" i="1"/>
  <c r="U348" i="1"/>
  <c r="P902" i="1"/>
  <c r="H2385" i="1"/>
  <c r="Q1764" i="1"/>
  <c r="J2980" i="1"/>
  <c r="M754" i="1"/>
  <c r="I2863" i="1"/>
  <c r="D1030" i="1"/>
  <c r="AT39" i="1"/>
  <c r="N281" i="1"/>
  <c r="Q1440" i="1"/>
  <c r="D2145" i="1"/>
  <c r="N2889" i="1"/>
  <c r="AT743" i="1"/>
  <c r="J2147" i="1"/>
  <c r="N1239" i="1"/>
  <c r="O831" i="1"/>
  <c r="Q2687" i="1"/>
  <c r="P2760" i="1"/>
  <c r="D3434" i="1"/>
  <c r="M1452" i="1"/>
  <c r="M1430" i="1"/>
  <c r="P2208" i="1"/>
  <c r="D2149" i="1"/>
  <c r="J585" i="1"/>
  <c r="M3196" i="1"/>
  <c r="J21" i="1"/>
  <c r="O2067" i="1"/>
  <c r="AT3366" i="1"/>
  <c r="H3307" i="1"/>
  <c r="D1772" i="1"/>
  <c r="D399" i="1"/>
  <c r="K2948" i="1"/>
  <c r="P1200" i="1"/>
  <c r="I1744" i="1"/>
  <c r="Q1903" i="1"/>
  <c r="AT1091" i="1"/>
  <c r="AT2022" i="1"/>
  <c r="H529" i="1"/>
  <c r="H28" i="1"/>
  <c r="M2457" i="1"/>
  <c r="D3438" i="1"/>
  <c r="Q3090" i="1"/>
  <c r="P2860" i="1"/>
  <c r="M16" i="1"/>
  <c r="D2224" i="1"/>
  <c r="Q2786" i="1"/>
  <c r="O3121" i="1"/>
  <c r="I3500" i="1"/>
  <c r="Q3579" i="1"/>
  <c r="K487" i="1"/>
  <c r="H3251" i="1"/>
  <c r="K1020" i="1"/>
  <c r="N275" i="1"/>
  <c r="P3600" i="1"/>
  <c r="O2300" i="1"/>
  <c r="M2408" i="1"/>
  <c r="U2588" i="1"/>
  <c r="P1792" i="1"/>
  <c r="M1466" i="1"/>
  <c r="N517" i="1"/>
  <c r="AT2536" i="1"/>
  <c r="O3474" i="1"/>
  <c r="N3242" i="1"/>
  <c r="U2439" i="1"/>
  <c r="Q46" i="1"/>
  <c r="J1934" i="1"/>
  <c r="D113" i="1"/>
  <c r="U77" i="1"/>
  <c r="AT1813" i="1"/>
  <c r="O2378" i="1"/>
  <c r="Q3226" i="1"/>
  <c r="D12" i="1"/>
  <c r="AT807" i="1"/>
  <c r="N3440" i="1"/>
  <c r="P824" i="1"/>
  <c r="K36" i="1"/>
  <c r="M311" i="1"/>
  <c r="P621" i="1"/>
  <c r="M255" i="1"/>
  <c r="H2796" i="1"/>
  <c r="N2068" i="1"/>
  <c r="N2760" i="1"/>
  <c r="N1078" i="1"/>
  <c r="AT677" i="1"/>
  <c r="N3021" i="1"/>
  <c r="J1775" i="1"/>
  <c r="K966" i="1"/>
  <c r="Q3052" i="1"/>
  <c r="J815" i="1"/>
  <c r="O1363" i="1"/>
  <c r="N3508" i="1"/>
  <c r="N85" i="1"/>
  <c r="AT1446" i="1"/>
  <c r="D884" i="1"/>
  <c r="O1339" i="1"/>
  <c r="J694" i="1"/>
  <c r="K2660" i="1"/>
  <c r="U1455" i="1"/>
  <c r="M2143" i="1"/>
  <c r="N531" i="1"/>
  <c r="O2934" i="1"/>
  <c r="Q207" i="1"/>
  <c r="D1363" i="1"/>
  <c r="K1147" i="1"/>
  <c r="P1956" i="1"/>
  <c r="N138" i="1"/>
  <c r="U3247" i="1"/>
  <c r="O3601" i="1"/>
  <c r="N2778" i="1"/>
  <c r="P811" i="1"/>
  <c r="U2421" i="1"/>
  <c r="U1663" i="1"/>
  <c r="O3495" i="1"/>
  <c r="U2341" i="1"/>
  <c r="Q2093" i="1"/>
  <c r="M2277" i="1"/>
  <c r="U1852" i="1"/>
  <c r="O1904" i="1"/>
  <c r="AT2018" i="1"/>
  <c r="U2091" i="1"/>
  <c r="AT2073" i="1"/>
  <c r="D2124" i="1"/>
  <c r="U2160" i="1"/>
  <c r="O2097" i="1"/>
  <c r="AT1608" i="1"/>
  <c r="AT2310" i="1"/>
  <c r="I386" i="1"/>
  <c r="D494" i="1"/>
  <c r="M3438" i="1"/>
  <c r="H104" i="1"/>
  <c r="Q1208" i="1"/>
  <c r="I1576" i="1"/>
  <c r="N1112" i="1"/>
  <c r="M3001" i="1"/>
  <c r="M3176" i="1"/>
  <c r="J799" i="1"/>
  <c r="Q1688" i="1"/>
  <c r="AT3208" i="1"/>
  <c r="Q574" i="1"/>
  <c r="I1983" i="1"/>
  <c r="Q1091" i="1"/>
  <c r="P2558" i="1"/>
  <c r="U3379" i="1"/>
  <c r="N925" i="1"/>
  <c r="AT2587" i="1"/>
  <c r="O45" i="1"/>
  <c r="Q2953" i="1"/>
  <c r="D664" i="1"/>
  <c r="AT190" i="1"/>
  <c r="N1651" i="1"/>
  <c r="U951" i="1"/>
  <c r="AT839" i="1"/>
  <c r="O1412" i="1"/>
  <c r="N544" i="1"/>
  <c r="AT996" i="1"/>
  <c r="U2969" i="1"/>
  <c r="Q1472" i="1"/>
  <c r="M2755" i="1"/>
  <c r="AT2324" i="1"/>
  <c r="K626" i="1"/>
  <c r="I1591" i="1"/>
  <c r="U3217" i="1"/>
  <c r="AT1969" i="1"/>
  <c r="I252" i="1"/>
  <c r="P2682" i="1"/>
  <c r="D1193" i="1"/>
  <c r="O3344" i="1"/>
  <c r="Q568" i="1"/>
  <c r="M2796" i="1"/>
  <c r="O1192" i="1"/>
  <c r="AT2110" i="1"/>
  <c r="AT3135" i="1"/>
  <c r="O1498" i="1"/>
  <c r="P2337" i="1"/>
  <c r="P877" i="1"/>
  <c r="M1013" i="1"/>
  <c r="D1225" i="1"/>
  <c r="O1954" i="1"/>
  <c r="N3170" i="1"/>
  <c r="D1471" i="1"/>
  <c r="K402" i="1"/>
  <c r="Q687" i="1"/>
  <c r="Q1331" i="1"/>
  <c r="O1562" i="1"/>
  <c r="AT2888" i="1"/>
  <c r="AT1692" i="1"/>
  <c r="N3121" i="1"/>
  <c r="O925" i="1"/>
  <c r="J1550" i="1"/>
  <c r="P3214" i="1"/>
  <c r="AT1385" i="1"/>
  <c r="O304" i="1"/>
  <c r="M57" i="1"/>
  <c r="N1500" i="1"/>
  <c r="Q3041" i="1"/>
  <c r="O3163" i="1"/>
  <c r="AT2605" i="1"/>
  <c r="AT1883" i="1"/>
  <c r="N1389" i="1"/>
  <c r="I1817" i="1"/>
  <c r="AT1932" i="1"/>
  <c r="AT904" i="1"/>
  <c r="I684" i="1"/>
  <c r="P3435" i="1"/>
  <c r="P2467" i="1"/>
  <c r="AT2941" i="1"/>
  <c r="Q2941" i="1"/>
  <c r="P1175" i="1"/>
  <c r="N351" i="1"/>
  <c r="Q555" i="1"/>
  <c r="D3406" i="1"/>
  <c r="O3458" i="1"/>
  <c r="H3193" i="1"/>
  <c r="D383" i="1"/>
  <c r="O631" i="1"/>
  <c r="M610" i="1"/>
  <c r="P2738" i="1"/>
  <c r="P2599" i="1"/>
  <c r="H1044" i="1"/>
  <c r="H1519" i="1"/>
  <c r="M2284" i="1"/>
  <c r="M1014" i="1"/>
  <c r="O1310" i="1"/>
  <c r="D1420" i="1"/>
  <c r="N2993" i="1"/>
  <c r="N3411" i="1"/>
  <c r="U1879" i="1"/>
  <c r="I1360" i="1"/>
  <c r="D1240" i="1"/>
  <c r="Q125" i="1"/>
  <c r="I3405" i="1"/>
  <c r="I548" i="1"/>
  <c r="M2696" i="1"/>
  <c r="N2712" i="1"/>
  <c r="N2803" i="1"/>
  <c r="H3170" i="1"/>
  <c r="H857" i="1"/>
  <c r="O1173" i="1"/>
  <c r="Q2036" i="1"/>
  <c r="U2483" i="1"/>
  <c r="M1320" i="1"/>
  <c r="P3160" i="1"/>
  <c r="M1383" i="1"/>
  <c r="D501" i="1"/>
  <c r="P91" i="1"/>
  <c r="N1677" i="1"/>
  <c r="D3498" i="1"/>
  <c r="M2749" i="1"/>
  <c r="P2626" i="1"/>
  <c r="M2475" i="1"/>
  <c r="I2170" i="1"/>
  <c r="P2853" i="1"/>
  <c r="U3448" i="1"/>
  <c r="O3335" i="1"/>
  <c r="K1840" i="1"/>
  <c r="J2102" i="1"/>
  <c r="U504" i="1"/>
  <c r="K327" i="1"/>
  <c r="AT2991" i="1"/>
  <c r="K1547" i="1"/>
  <c r="M1426" i="1"/>
  <c r="D2791" i="1"/>
  <c r="AT2794" i="1"/>
  <c r="D3130" i="1"/>
  <c r="AT534" i="1"/>
  <c r="I3000" i="1"/>
  <c r="Q1671" i="1"/>
  <c r="M2787" i="1"/>
  <c r="D1998" i="1"/>
  <c r="Q88" i="1"/>
  <c r="P2716" i="1"/>
  <c r="O261" i="1"/>
  <c r="D2834" i="1"/>
  <c r="P1679" i="1"/>
  <c r="J1907" i="1"/>
  <c r="H2461" i="1"/>
  <c r="O1072" i="1"/>
  <c r="O1557" i="1"/>
  <c r="AT2394" i="1"/>
  <c r="D825" i="1"/>
  <c r="I3468" i="1"/>
  <c r="H558" i="1"/>
  <c r="P3110" i="1"/>
  <c r="M620" i="1"/>
  <c r="P39" i="1"/>
  <c r="H2760" i="1"/>
  <c r="J1664" i="1"/>
  <c r="AT2444" i="1"/>
  <c r="Q1551" i="1"/>
  <c r="D687" i="1"/>
  <c r="O102" i="1"/>
  <c r="AT1867" i="1"/>
  <c r="AT1424" i="1"/>
  <c r="D2608" i="1"/>
  <c r="AT3104" i="1"/>
  <c r="U621" i="1"/>
  <c r="H3302" i="1"/>
  <c r="D1237" i="1"/>
  <c r="O1974" i="1"/>
  <c r="Q1515" i="1"/>
  <c r="I2567" i="1"/>
  <c r="M3152" i="1"/>
  <c r="I1219" i="1"/>
  <c r="Q2794" i="1"/>
  <c r="I3180" i="1"/>
  <c r="M496" i="1"/>
  <c r="Q1151" i="1"/>
  <c r="Q1220" i="1"/>
  <c r="M498" i="1"/>
  <c r="M1021" i="1"/>
  <c r="O1573" i="1"/>
  <c r="O3529" i="1"/>
  <c r="K3610" i="1"/>
  <c r="H2004" i="1"/>
  <c r="U32" i="1"/>
  <c r="N2123" i="1"/>
  <c r="K1739" i="1"/>
  <c r="K669" i="1"/>
  <c r="D490" i="1"/>
  <c r="O2780" i="1"/>
  <c r="D1100" i="1"/>
  <c r="N2607" i="1"/>
  <c r="O1283" i="1"/>
  <c r="Q199" i="1"/>
  <c r="O2948" i="1"/>
  <c r="N2698" i="1"/>
  <c r="Q2133" i="1"/>
  <c r="I1216" i="1"/>
  <c r="K2611" i="1"/>
  <c r="D820" i="1"/>
  <c r="N2831" i="1"/>
  <c r="P2551" i="1"/>
  <c r="AT885" i="1"/>
  <c r="D3324" i="1"/>
  <c r="D1346" i="1"/>
  <c r="H1501" i="1"/>
  <c r="I1700" i="1"/>
  <c r="D585" i="1"/>
  <c r="AT80" i="1"/>
  <c r="Q3583" i="1"/>
  <c r="I1965" i="1"/>
  <c r="P935" i="1"/>
  <c r="U2791" i="1"/>
  <c r="K1830" i="1"/>
  <c r="O249" i="1"/>
  <c r="N2732" i="1"/>
  <c r="N887" i="1"/>
  <c r="D2277" i="1"/>
  <c r="D963" i="1"/>
  <c r="N1622" i="1"/>
  <c r="D3211" i="1"/>
  <c r="O2669" i="1"/>
  <c r="P75" i="1"/>
  <c r="J3638" i="1"/>
  <c r="O1814" i="1"/>
  <c r="U666" i="1"/>
  <c r="D2191" i="1"/>
  <c r="H1443" i="1"/>
  <c r="J3281" i="1"/>
  <c r="P905" i="1"/>
  <c r="N3160" i="1"/>
  <c r="D686" i="1"/>
  <c r="P3285" i="1"/>
  <c r="I796" i="1"/>
  <c r="U437" i="1"/>
  <c r="H3351" i="1"/>
  <c r="J1628" i="1"/>
  <c r="O207" i="1"/>
  <c r="U1755" i="1"/>
  <c r="P1927" i="1"/>
  <c r="P3150" i="1"/>
  <c r="M2168" i="1"/>
  <c r="D1366" i="1"/>
  <c r="O114" i="1"/>
  <c r="M189" i="1"/>
  <c r="M2058" i="1"/>
  <c r="J3216" i="1"/>
  <c r="D3493" i="1"/>
  <c r="D2968" i="1"/>
  <c r="H2725" i="1"/>
  <c r="AT2902" i="1"/>
  <c r="M2704" i="1"/>
  <c r="H3275" i="1"/>
  <c r="AT14" i="1"/>
  <c r="M3459" i="1"/>
  <c r="AT2379" i="1"/>
  <c r="P3416" i="1"/>
  <c r="K2838" i="1"/>
  <c r="M932" i="1"/>
  <c r="O2922" i="1"/>
  <c r="O1429" i="1"/>
  <c r="P1142" i="1"/>
  <c r="K1423" i="1"/>
  <c r="M2329" i="1"/>
  <c r="N1675" i="1"/>
  <c r="U1687" i="1"/>
  <c r="Q398" i="1"/>
  <c r="N2750" i="1"/>
  <c r="J2540" i="1"/>
  <c r="D832" i="1"/>
  <c r="AT2207" i="1"/>
  <c r="D952" i="1"/>
  <c r="U3249" i="1"/>
  <c r="H677" i="1"/>
  <c r="O1316" i="1"/>
  <c r="O2556" i="1"/>
  <c r="N2330" i="1"/>
  <c r="K1813" i="1"/>
  <c r="P669" i="1"/>
  <c r="O1307" i="1"/>
  <c r="P1816" i="1"/>
  <c r="H2021" i="1"/>
  <c r="AT1940" i="1"/>
  <c r="AT3276" i="1"/>
  <c r="D2907" i="1"/>
  <c r="O2721" i="1"/>
  <c r="J800" i="1"/>
  <c r="K1264" i="1"/>
  <c r="P3010" i="1"/>
  <c r="AT1251" i="1"/>
  <c r="AT476" i="1"/>
  <c r="P1696" i="1"/>
  <c r="J2733" i="1"/>
  <c r="O2487" i="1"/>
  <c r="M1824" i="1"/>
  <c r="H2719" i="1"/>
  <c r="AT379" i="1"/>
  <c r="M732" i="1"/>
  <c r="O1116" i="1"/>
  <c r="AT2821" i="1"/>
  <c r="K34" i="1"/>
  <c r="O957" i="1"/>
  <c r="H2468" i="1"/>
  <c r="AT1274" i="1"/>
  <c r="J3577" i="1"/>
  <c r="O1018" i="1"/>
  <c r="U2079" i="1"/>
  <c r="I1265" i="1"/>
  <c r="M1443" i="1"/>
  <c r="M1539" i="1"/>
  <c r="K2010" i="1"/>
  <c r="O2413" i="1"/>
  <c r="J1447" i="1"/>
  <c r="O2464" i="1"/>
  <c r="AT2003" i="1"/>
  <c r="J577" i="1"/>
  <c r="N2231" i="1"/>
  <c r="D3419" i="1"/>
  <c r="Q197" i="1"/>
  <c r="O3345" i="1"/>
  <c r="D165" i="1"/>
  <c r="D3355" i="1"/>
  <c r="I2936" i="1"/>
  <c r="N2535" i="1"/>
  <c r="O2273" i="1"/>
  <c r="Q3533" i="1"/>
  <c r="M448" i="1"/>
  <c r="N3504" i="1"/>
  <c r="O1419" i="1"/>
  <c r="AT2481" i="1"/>
  <c r="H2061" i="1"/>
  <c r="O2187" i="1"/>
  <c r="AT1148" i="1"/>
  <c r="M2676" i="1"/>
  <c r="Q613" i="1"/>
  <c r="H746" i="1"/>
  <c r="P3604" i="1"/>
  <c r="M695" i="1"/>
  <c r="D409" i="1"/>
  <c r="U805" i="1"/>
  <c r="J1601" i="1"/>
  <c r="Q3496" i="1"/>
  <c r="U1937" i="1"/>
  <c r="AT1827" i="1"/>
  <c r="P6" i="1"/>
  <c r="D1476" i="1"/>
  <c r="I3514" i="1"/>
  <c r="Q2058" i="1"/>
  <c r="M2505" i="1"/>
  <c r="U398" i="1"/>
  <c r="H1226" i="1"/>
  <c r="AT3100" i="1"/>
  <c r="I1132" i="1"/>
  <c r="U2521" i="1"/>
  <c r="O3027" i="1"/>
  <c r="P1684" i="1"/>
  <c r="K1607" i="1"/>
  <c r="J409" i="1"/>
  <c r="D2380" i="1"/>
  <c r="H3629" i="1"/>
  <c r="K3489" i="1"/>
  <c r="P1638" i="1"/>
  <c r="M153" i="1"/>
  <c r="U1601" i="1"/>
  <c r="AT1812" i="1"/>
  <c r="P2086" i="1"/>
  <c r="O1452" i="1"/>
  <c r="O3166" i="1"/>
  <c r="D372" i="1"/>
  <c r="N3226" i="1"/>
  <c r="AT2030" i="1"/>
  <c r="K3016" i="1"/>
  <c r="P3584" i="1"/>
  <c r="M161" i="1"/>
  <c r="I3141" i="1"/>
  <c r="O1377" i="1"/>
  <c r="H1430" i="1"/>
  <c r="AT1441" i="1"/>
  <c r="J146" i="1"/>
  <c r="D1180" i="1"/>
  <c r="AT3296" i="1"/>
  <c r="O142" i="1"/>
  <c r="N1525" i="1"/>
  <c r="AT2454" i="1"/>
  <c r="O2255" i="1"/>
  <c r="P2828" i="1"/>
  <c r="O1710" i="1"/>
  <c r="O3018" i="1"/>
  <c r="J3252" i="1"/>
  <c r="N1671" i="1"/>
  <c r="M3148" i="1"/>
  <c r="K2117" i="1"/>
  <c r="D2503" i="1"/>
  <c r="U3514" i="1"/>
  <c r="N1627" i="1"/>
  <c r="J260" i="1"/>
  <c r="P2136" i="1"/>
  <c r="O1439" i="1"/>
  <c r="Q378" i="1"/>
  <c r="P886" i="1"/>
  <c r="H888" i="1"/>
  <c r="N696" i="1"/>
  <c r="AT742" i="1"/>
  <c r="I2692" i="1"/>
  <c r="H724" i="1"/>
  <c r="J2447" i="1"/>
  <c r="D3113" i="1"/>
  <c r="Q2246" i="1"/>
  <c r="AT1961" i="1"/>
  <c r="AT2554" i="1"/>
  <c r="N2654" i="1"/>
  <c r="D2204" i="1"/>
  <c r="I3177" i="1"/>
  <c r="K43" i="1"/>
  <c r="N2711" i="1"/>
  <c r="P3175" i="1"/>
  <c r="AT2643" i="1"/>
  <c r="AT1039" i="1"/>
  <c r="I775" i="1"/>
  <c r="I2541" i="1"/>
  <c r="AT2527" i="1"/>
  <c r="K1918" i="1"/>
  <c r="N2753" i="1"/>
  <c r="D2864" i="1"/>
  <c r="N2417" i="1"/>
  <c r="N1431" i="1"/>
  <c r="N1421" i="1"/>
  <c r="I294" i="1"/>
  <c r="U3355" i="1"/>
  <c r="AT2624" i="1"/>
  <c r="Q1035" i="1"/>
  <c r="Q684" i="1"/>
  <c r="P2400" i="1"/>
  <c r="O3436" i="1"/>
  <c r="Q1362" i="1"/>
  <c r="Q3392" i="1"/>
  <c r="P160" i="1"/>
  <c r="H2264" i="1"/>
  <c r="U871" i="1"/>
  <c r="Q3576" i="1"/>
  <c r="N246" i="1"/>
  <c r="U2172" i="1"/>
  <c r="U3223" i="1"/>
  <c r="U232" i="1"/>
  <c r="Q991" i="1"/>
  <c r="U1679" i="1"/>
  <c r="O2249" i="1"/>
  <c r="P1637" i="1"/>
  <c r="M1688" i="1"/>
  <c r="AT2071" i="1"/>
  <c r="I1073" i="1"/>
  <c r="D2522" i="1"/>
  <c r="O2474" i="1"/>
  <c r="D2448" i="1"/>
  <c r="D1669" i="1"/>
  <c r="U1348" i="1"/>
  <c r="M1242" i="1"/>
  <c r="N3" i="1"/>
  <c r="Q2295" i="1"/>
  <c r="K3470" i="1"/>
  <c r="U523" i="1"/>
  <c r="D1098" i="1"/>
  <c r="I1321" i="1"/>
  <c r="P3389" i="1"/>
  <c r="M875" i="1"/>
  <c r="J1417" i="1"/>
  <c r="D2023" i="1"/>
  <c r="D674" i="1"/>
  <c r="K590" i="1"/>
  <c r="Q1492" i="1"/>
  <c r="I861" i="1"/>
  <c r="U3256" i="1"/>
  <c r="K3047" i="1"/>
  <c r="M1150" i="1"/>
  <c r="J3441" i="1"/>
  <c r="D1281" i="1"/>
  <c r="Q1429" i="1"/>
  <c r="U2434" i="1"/>
  <c r="U2486" i="1"/>
  <c r="D860" i="1"/>
  <c r="I3610" i="1"/>
  <c r="P3310" i="1"/>
  <c r="AT2054" i="1"/>
  <c r="M236" i="1"/>
  <c r="Q2162" i="1"/>
  <c r="K151" i="1"/>
  <c r="I2945" i="1"/>
  <c r="N1880" i="1"/>
  <c r="O255" i="1"/>
  <c r="O2699" i="1"/>
  <c r="O3370" i="1"/>
  <c r="O3033" i="1"/>
  <c r="O2200" i="1"/>
  <c r="Q3473" i="1"/>
  <c r="J2497" i="1"/>
  <c r="H644" i="1"/>
  <c r="D2705" i="1"/>
  <c r="M2205" i="1"/>
  <c r="Q3237" i="1"/>
  <c r="N1216" i="1"/>
  <c r="P773" i="1"/>
  <c r="K1188" i="1"/>
  <c r="J2903" i="1"/>
  <c r="N3603" i="1"/>
  <c r="AT1125" i="1"/>
  <c r="O2275" i="1"/>
  <c r="P1639" i="1"/>
  <c r="P1022" i="1"/>
  <c r="J1388" i="1"/>
  <c r="H82" i="1"/>
  <c r="Q2681" i="1"/>
  <c r="N1162" i="1"/>
  <c r="J1626" i="1"/>
  <c r="N207" i="1"/>
  <c r="U2863" i="1"/>
  <c r="D890" i="1"/>
  <c r="AT951" i="1"/>
  <c r="U1167" i="1"/>
  <c r="AT2547" i="1"/>
  <c r="O3618" i="1"/>
  <c r="D618" i="1"/>
  <c r="M306" i="1"/>
  <c r="D3364" i="1"/>
  <c r="O2834" i="1"/>
  <c r="J2348" i="1"/>
  <c r="P3533" i="1"/>
  <c r="AT2292" i="1"/>
  <c r="N3150" i="1"/>
  <c r="H1123" i="1"/>
  <c r="M1074" i="1"/>
  <c r="P815" i="1"/>
  <c r="Q2398" i="1"/>
  <c r="AT1420" i="1"/>
  <c r="AT592" i="1"/>
  <c r="N28" i="1"/>
  <c r="Q2585" i="1"/>
  <c r="U3332" i="1"/>
  <c r="I1694" i="1"/>
  <c r="I2824" i="1"/>
  <c r="P231" i="1"/>
  <c r="U1758" i="1"/>
  <c r="O1460" i="1"/>
  <c r="J1633" i="1"/>
  <c r="AT2136" i="1"/>
  <c r="M1235" i="1"/>
  <c r="N3198" i="1"/>
  <c r="J289" i="1"/>
  <c r="I753" i="1"/>
  <c r="O645" i="1"/>
  <c r="M208" i="1"/>
  <c r="U450" i="1"/>
  <c r="M2434" i="1"/>
  <c r="AT1885" i="1"/>
  <c r="N3430" i="1"/>
  <c r="M1255" i="1"/>
  <c r="D2738" i="1"/>
  <c r="J1284" i="1"/>
  <c r="H2235" i="1"/>
  <c r="O1767" i="1"/>
  <c r="AT2123" i="1"/>
  <c r="Q1154" i="1"/>
  <c r="H1485" i="1"/>
  <c r="N2202" i="1"/>
  <c r="I1253" i="1"/>
  <c r="D1758" i="1"/>
  <c r="K1857" i="1"/>
  <c r="Q2904" i="1"/>
  <c r="D2418" i="1"/>
  <c r="P2478" i="1"/>
  <c r="Q800" i="1"/>
  <c r="Q48" i="1"/>
  <c r="N2306" i="1"/>
  <c r="M2333" i="1"/>
  <c r="H2121" i="1"/>
  <c r="AT1975" i="1"/>
  <c r="H2412" i="1"/>
  <c r="Q1520" i="1"/>
  <c r="P2973" i="1"/>
  <c r="U1218" i="1"/>
  <c r="O1242" i="1"/>
  <c r="I807" i="1"/>
  <c r="P1189" i="1"/>
  <c r="D1201" i="1"/>
  <c r="O2052" i="1"/>
  <c r="U2496" i="1"/>
  <c r="N1410" i="1"/>
  <c r="AT1735" i="1"/>
  <c r="D534" i="1"/>
  <c r="N2563" i="1"/>
  <c r="J480" i="1"/>
  <c r="H2184" i="1"/>
  <c r="P2989" i="1"/>
  <c r="D724" i="1"/>
  <c r="N186" i="1"/>
  <c r="O127" i="1"/>
  <c r="J2637" i="1"/>
  <c r="I2017" i="1"/>
  <c r="Q2521" i="1"/>
  <c r="Q775" i="1"/>
  <c r="Q2795" i="1"/>
  <c r="D867" i="1"/>
  <c r="AT335" i="1"/>
  <c r="H3362" i="1"/>
  <c r="O2617" i="1"/>
  <c r="U1948" i="1"/>
  <c r="P3634" i="1"/>
  <c r="D367" i="1"/>
  <c r="D2617" i="1"/>
  <c r="J2651" i="1"/>
  <c r="P320" i="1"/>
  <c r="M687" i="1"/>
  <c r="AT1111" i="1"/>
  <c r="U2642" i="1"/>
  <c r="H2557" i="1"/>
  <c r="O1769" i="1"/>
  <c r="U3288" i="1"/>
  <c r="K3190" i="1"/>
  <c r="O1581" i="1"/>
  <c r="M2699" i="1"/>
  <c r="I2999" i="1"/>
  <c r="M1545" i="1"/>
  <c r="O295" i="1"/>
  <c r="N549" i="1"/>
  <c r="M1783" i="1"/>
  <c r="I1723" i="1"/>
  <c r="U1561" i="1"/>
  <c r="N2369" i="1"/>
  <c r="I1806" i="1"/>
  <c r="M3581" i="1"/>
  <c r="M199" i="1"/>
  <c r="D2600" i="1"/>
  <c r="M2456" i="1"/>
  <c r="N2929" i="1"/>
  <c r="P2483" i="1"/>
  <c r="U3097" i="1"/>
  <c r="Q34" i="1"/>
  <c r="H1472" i="1"/>
  <c r="Q1987" i="1"/>
  <c r="I1343" i="1"/>
  <c r="H2961" i="1"/>
  <c r="U3147" i="1"/>
  <c r="U2464" i="1"/>
  <c r="Q855" i="1"/>
  <c r="K3561" i="1"/>
  <c r="P892" i="1"/>
  <c r="J3450" i="1"/>
  <c r="AT2694" i="1"/>
  <c r="D1307" i="1"/>
  <c r="O3638" i="1"/>
  <c r="K1725" i="1"/>
  <c r="P1970" i="1"/>
  <c r="J2867" i="1"/>
  <c r="I596" i="1"/>
  <c r="U552" i="1"/>
  <c r="O2802" i="1"/>
  <c r="P869" i="1"/>
  <c r="D2807" i="1"/>
  <c r="H2471" i="1"/>
  <c r="N1135" i="1"/>
  <c r="Q770" i="1"/>
  <c r="N3559" i="1"/>
  <c r="U2828" i="1"/>
  <c r="U3481" i="1"/>
  <c r="M3469" i="1"/>
  <c r="U2185" i="1"/>
  <c r="O2492" i="1"/>
  <c r="AT3013" i="1"/>
  <c r="AT2441" i="1"/>
  <c r="H276" i="1"/>
  <c r="N1067" i="1"/>
  <c r="AT772" i="1"/>
  <c r="J18" i="1"/>
  <c r="J2922" i="1"/>
  <c r="Q2347" i="1"/>
  <c r="D2263" i="1"/>
  <c r="I53" i="1"/>
  <c r="P2215" i="1"/>
  <c r="M2742" i="1"/>
  <c r="P2394" i="1"/>
  <c r="H3463" i="1"/>
  <c r="U1188" i="1"/>
  <c r="P1422" i="1"/>
  <c r="K2442" i="1"/>
  <c r="AT1047" i="1"/>
  <c r="U2275" i="1"/>
  <c r="H584" i="1"/>
  <c r="I1962" i="1"/>
  <c r="P448" i="1"/>
  <c r="N1860" i="1"/>
  <c r="O58" i="1"/>
  <c r="U1025" i="1"/>
  <c r="P835" i="1"/>
  <c r="Q2887" i="1"/>
  <c r="M243" i="1"/>
  <c r="AT1184" i="1"/>
  <c r="N1348" i="1"/>
  <c r="N1140" i="1"/>
  <c r="D288" i="1"/>
  <c r="M3618" i="1"/>
  <c r="J684" i="1"/>
  <c r="N232" i="1"/>
  <c r="AT3341" i="1"/>
  <c r="U1805" i="1"/>
  <c r="P50" i="1"/>
  <c r="O1955" i="1"/>
  <c r="N790" i="1"/>
  <c r="U2253" i="1"/>
  <c r="Q3630" i="1"/>
  <c r="U3370" i="1"/>
  <c r="Q407" i="1"/>
  <c r="AT2414" i="1"/>
  <c r="AT581" i="1"/>
  <c r="Q3600" i="1"/>
  <c r="P3425" i="1"/>
  <c r="N344" i="1"/>
  <c r="O1232" i="1"/>
  <c r="D2485" i="1"/>
  <c r="Q9" i="1"/>
  <c r="Q3191" i="1"/>
  <c r="AT563" i="1"/>
  <c r="D1407" i="1"/>
  <c r="N2121" i="1"/>
  <c r="Q610" i="1"/>
  <c r="U1119" i="1"/>
  <c r="U2345" i="1"/>
  <c r="J1690" i="1"/>
  <c r="U920" i="1"/>
  <c r="Q2541" i="1"/>
  <c r="D617" i="1"/>
  <c r="O3187" i="1"/>
  <c r="AT2860" i="1"/>
  <c r="K885" i="1"/>
  <c r="N3429" i="1"/>
  <c r="D727" i="1"/>
  <c r="Q2869" i="1"/>
  <c r="N1371" i="1"/>
  <c r="AT2789" i="1"/>
  <c r="O3302" i="1"/>
  <c r="AT2938" i="1"/>
  <c r="O2375" i="1"/>
  <c r="J603" i="1"/>
  <c r="M3413" i="1"/>
  <c r="M3355" i="1"/>
  <c r="D3621" i="1"/>
  <c r="O2357" i="1"/>
  <c r="J2018" i="1"/>
  <c r="N2817" i="1"/>
  <c r="H910" i="1"/>
  <c r="P3337" i="1"/>
  <c r="P1813" i="1"/>
  <c r="K1093" i="1"/>
  <c r="Q1813" i="1"/>
  <c r="O2977" i="1"/>
  <c r="D479" i="1"/>
  <c r="U2826" i="1"/>
  <c r="M2912" i="1"/>
  <c r="N2749" i="1"/>
  <c r="N1079" i="1"/>
  <c r="I1421" i="1"/>
  <c r="D1023" i="1"/>
  <c r="N2879" i="1"/>
  <c r="O2391" i="1"/>
  <c r="Q2613" i="1"/>
  <c r="V1370" i="1"/>
  <c r="O917" i="1"/>
  <c r="N3159" i="1"/>
  <c r="U2113" i="1"/>
  <c r="O772" i="1"/>
  <c r="AT3509" i="1"/>
  <c r="M3472" i="1"/>
  <c r="Q1565" i="1"/>
  <c r="Q49" i="1"/>
  <c r="U696" i="1"/>
  <c r="I2428" i="1"/>
  <c r="P728" i="1"/>
  <c r="I2013" i="1"/>
  <c r="M2231" i="1"/>
  <c r="H3092" i="1"/>
  <c r="O668" i="1"/>
  <c r="I172" i="1"/>
  <c r="U3153" i="1"/>
  <c r="Q1923" i="1"/>
  <c r="I1101" i="1"/>
  <c r="O3569" i="1"/>
  <c r="D1202" i="1"/>
  <c r="M206" i="1"/>
  <c r="H2224" i="1"/>
  <c r="D805" i="1"/>
  <c r="M1197" i="1"/>
  <c r="AT2057" i="1"/>
  <c r="AT3300" i="1"/>
  <c r="K1751" i="1"/>
  <c r="M1900" i="1"/>
  <c r="K3094" i="1"/>
  <c r="D1706" i="1"/>
  <c r="M1130" i="1"/>
  <c r="D1856" i="1"/>
  <c r="D1014" i="1"/>
  <c r="AT1004" i="1"/>
  <c r="O1857" i="1"/>
  <c r="P3249" i="1"/>
  <c r="Q863" i="1"/>
  <c r="D302" i="1"/>
  <c r="Q3006" i="1"/>
  <c r="N11" i="1"/>
  <c r="D645" i="1"/>
  <c r="I1665" i="1"/>
  <c r="AT1138" i="1"/>
  <c r="U1392" i="1"/>
  <c r="N3615" i="1"/>
  <c r="D1146" i="1"/>
  <c r="U598" i="1"/>
  <c r="AT1979" i="1"/>
  <c r="N3415" i="1"/>
  <c r="N1804" i="1"/>
  <c r="H2350" i="1"/>
  <c r="Q2190" i="1"/>
  <c r="AT465" i="1"/>
  <c r="I2844" i="1"/>
  <c r="P444" i="1"/>
  <c r="U2755" i="1"/>
  <c r="AT3526" i="1"/>
  <c r="D1578" i="1"/>
  <c r="O824" i="1"/>
  <c r="Q453" i="1"/>
  <c r="K3533" i="1"/>
  <c r="U222" i="1"/>
  <c r="U360" i="1"/>
  <c r="J392" i="1"/>
  <c r="D1757" i="1"/>
  <c r="O2450" i="1"/>
  <c r="AT822" i="1"/>
  <c r="M240" i="1"/>
  <c r="N171" i="1"/>
  <c r="M3033" i="1"/>
  <c r="Q350" i="1"/>
  <c r="D3376" i="1"/>
  <c r="P964" i="1"/>
  <c r="M207" i="1"/>
  <c r="O417" i="1"/>
  <c r="M3188" i="1"/>
  <c r="J2326" i="1"/>
  <c r="Q259" i="1"/>
  <c r="P1328" i="1"/>
  <c r="H1526" i="1"/>
  <c r="D2593" i="1"/>
  <c r="N1617" i="1"/>
  <c r="O9" i="1"/>
  <c r="I1608" i="1"/>
  <c r="I1358" i="1"/>
  <c r="N668" i="1"/>
  <c r="AT2150" i="1"/>
  <c r="K3611" i="1"/>
  <c r="M1898" i="1"/>
  <c r="P2017" i="1"/>
  <c r="P3046" i="1"/>
  <c r="I1376" i="1"/>
  <c r="H2483" i="1"/>
  <c r="J3520" i="1"/>
  <c r="H2186" i="1"/>
  <c r="O3449" i="1"/>
  <c r="M888" i="1"/>
  <c r="AT1875" i="1"/>
  <c r="AT1411" i="1"/>
  <c r="AT1084" i="1"/>
  <c r="M2547" i="1"/>
  <c r="U1715" i="1"/>
  <c r="H1691" i="1"/>
  <c r="D2118" i="1"/>
  <c r="J93" i="1"/>
  <c r="H3556" i="1"/>
  <c r="U3438" i="1"/>
  <c r="AT2974" i="1"/>
  <c r="I1644" i="1"/>
  <c r="M2141" i="1"/>
  <c r="N1711" i="1"/>
  <c r="Q532" i="1"/>
  <c r="U1142" i="1"/>
  <c r="U280" i="1"/>
  <c r="J741" i="1"/>
  <c r="O1472" i="1"/>
  <c r="J660" i="1"/>
  <c r="D3382" i="1"/>
  <c r="I1712" i="1"/>
  <c r="AT3024" i="1"/>
  <c r="AT2331" i="1"/>
  <c r="O3547" i="1"/>
  <c r="AT2776" i="1"/>
  <c r="N1721" i="1"/>
  <c r="AT1276" i="1"/>
  <c r="J2283" i="1"/>
  <c r="P887" i="1"/>
  <c r="AT2713" i="1"/>
  <c r="U1939" i="1"/>
  <c r="Q3261" i="1"/>
  <c r="N870" i="1"/>
  <c r="O3056" i="1"/>
  <c r="O409" i="1"/>
  <c r="AT3525" i="1"/>
  <c r="D317" i="1"/>
  <c r="U2803" i="1"/>
  <c r="P1621" i="1"/>
  <c r="N1642" i="1"/>
  <c r="N2676" i="1"/>
  <c r="AT3506" i="1"/>
  <c r="J2943" i="1"/>
  <c r="I1437" i="1"/>
  <c r="AT3182" i="1"/>
  <c r="N1740" i="1"/>
  <c r="O1878" i="1"/>
  <c r="U2162" i="1"/>
  <c r="AT2478" i="1"/>
  <c r="N2751" i="1"/>
  <c r="M3263" i="1"/>
  <c r="J1555" i="1"/>
  <c r="U164" i="1"/>
  <c r="I854" i="1"/>
  <c r="AT1371" i="1"/>
  <c r="O960" i="1"/>
  <c r="Q1995" i="1"/>
  <c r="D2808" i="1"/>
  <c r="U3542" i="1"/>
  <c r="O1130" i="1"/>
  <c r="O852" i="1"/>
  <c r="I326" i="1"/>
  <c r="M2811" i="1"/>
  <c r="D298" i="1"/>
  <c r="U3539" i="1"/>
  <c r="P272" i="1"/>
  <c r="I508" i="1"/>
  <c r="N2568" i="1"/>
  <c r="D1142" i="1"/>
  <c r="M699" i="1"/>
  <c r="N2900" i="1"/>
  <c r="AT1400" i="1"/>
  <c r="H2222" i="1"/>
  <c r="M1788" i="1"/>
  <c r="N3341" i="1"/>
  <c r="N3253" i="1"/>
  <c r="I3317" i="1"/>
  <c r="I1543" i="1"/>
  <c r="N2905" i="1"/>
  <c r="O3475" i="1"/>
  <c r="M2860" i="1"/>
  <c r="N2628" i="1"/>
  <c r="I1371" i="1"/>
  <c r="M2095" i="1"/>
  <c r="AT1550" i="1"/>
  <c r="U2021" i="1"/>
  <c r="O2564" i="1"/>
  <c r="Q2224" i="1"/>
  <c r="D1246" i="1"/>
  <c r="U1180" i="1"/>
  <c r="M1469" i="1"/>
  <c r="N131" i="1"/>
  <c r="P1839" i="1"/>
  <c r="AT504" i="1"/>
  <c r="Q1061" i="1"/>
  <c r="D1077" i="1"/>
  <c r="AT2908" i="1"/>
  <c r="H2306" i="1"/>
  <c r="K2074" i="1"/>
  <c r="M883" i="1"/>
  <c r="N2102" i="1"/>
  <c r="Q2331" i="1"/>
  <c r="M428" i="1"/>
  <c r="I3119" i="1"/>
  <c r="O2550" i="1"/>
  <c r="H1908" i="1"/>
  <c r="H3049" i="1"/>
  <c r="AT410" i="1"/>
  <c r="H2194" i="1"/>
  <c r="AT2185" i="1"/>
  <c r="Q90" i="1"/>
  <c r="AT2792" i="1"/>
  <c r="J2183" i="1"/>
  <c r="AT486" i="1"/>
  <c r="K1968" i="1"/>
  <c r="N3281" i="1"/>
  <c r="M1722" i="1"/>
  <c r="M3495" i="1"/>
  <c r="M3425" i="1"/>
  <c r="P2044" i="1"/>
  <c r="M2411" i="1"/>
  <c r="D1189" i="1"/>
  <c r="AT1713" i="1"/>
  <c r="N3393" i="1"/>
  <c r="I2557" i="1"/>
  <c r="M129" i="1"/>
  <c r="M164" i="1"/>
  <c r="P979" i="1"/>
  <c r="U964" i="1"/>
  <c r="D500" i="1"/>
  <c r="M334" i="1"/>
  <c r="D2349" i="1"/>
  <c r="D2113" i="1"/>
  <c r="D364" i="1"/>
  <c r="U2015" i="1"/>
  <c r="H1196" i="1"/>
  <c r="I965" i="1"/>
  <c r="O2732" i="1"/>
  <c r="N2272" i="1"/>
  <c r="AT944" i="1"/>
  <c r="AT3548" i="1"/>
  <c r="M2120" i="1"/>
  <c r="Q258" i="1"/>
  <c r="P2180" i="1"/>
  <c r="P2816" i="1"/>
  <c r="AT994" i="1"/>
  <c r="M1690" i="1"/>
  <c r="I1318" i="1"/>
  <c r="O854" i="1"/>
  <c r="J1129" i="1"/>
  <c r="H2499" i="1"/>
  <c r="Q64" i="1"/>
  <c r="I2311" i="1"/>
  <c r="P497" i="1"/>
  <c r="AT3335" i="1"/>
  <c r="U91" i="1"/>
  <c r="O3571" i="1"/>
  <c r="AT837" i="1"/>
  <c r="U2832" i="1"/>
  <c r="AT2464" i="1"/>
  <c r="M3477" i="1"/>
  <c r="AT2406" i="1"/>
  <c r="AT1845" i="1"/>
  <c r="O2034" i="1"/>
  <c r="U1828" i="1"/>
  <c r="I3614" i="1"/>
  <c r="D323" i="1"/>
  <c r="I3214" i="1"/>
  <c r="P1206" i="1"/>
  <c r="M2417" i="1"/>
  <c r="I2933" i="1"/>
  <c r="AT833" i="1"/>
  <c r="I578" i="1"/>
  <c r="H304" i="1"/>
  <c r="P1503" i="1"/>
  <c r="O1695" i="1"/>
  <c r="U815" i="1"/>
  <c r="U3309" i="1"/>
  <c r="AT2258" i="1"/>
  <c r="U519" i="1"/>
  <c r="N2457" i="1"/>
  <c r="AT2378" i="1"/>
  <c r="N642" i="1"/>
  <c r="N3051" i="1"/>
  <c r="N3565" i="1"/>
  <c r="Q1410" i="1"/>
  <c r="N2013" i="1"/>
  <c r="AT142" i="1"/>
  <c r="U1799" i="1"/>
  <c r="D2011" i="1"/>
  <c r="AT2613" i="1"/>
  <c r="Q40" i="1"/>
  <c r="H1305" i="1"/>
  <c r="AT2786" i="1"/>
  <c r="D1421" i="1"/>
  <c r="D980" i="1"/>
  <c r="Q3325" i="1"/>
  <c r="AT3598" i="1"/>
  <c r="H1242" i="1"/>
  <c r="J110" i="1"/>
  <c r="N2451" i="1"/>
  <c r="Q655" i="1"/>
  <c r="M1405" i="1"/>
  <c r="M563" i="1"/>
  <c r="H1262" i="1"/>
  <c r="O1292" i="1"/>
  <c r="AT3171" i="1"/>
  <c r="AT3200" i="1"/>
  <c r="Q314" i="1"/>
  <c r="J2966" i="1"/>
  <c r="AT1704" i="1"/>
  <c r="M2721" i="1"/>
  <c r="O2119" i="1"/>
  <c r="J214" i="1"/>
  <c r="U221" i="1"/>
  <c r="U894" i="1"/>
  <c r="H2345" i="1"/>
  <c r="H1140" i="1"/>
  <c r="H1496" i="1"/>
  <c r="O3350" i="1"/>
  <c r="M822" i="1"/>
  <c r="P3242" i="1"/>
  <c r="P870" i="1"/>
  <c r="O3404" i="1"/>
  <c r="I2736" i="1"/>
  <c r="P1141" i="1"/>
  <c r="P1604" i="1"/>
  <c r="H3068" i="1"/>
  <c r="I471" i="1"/>
  <c r="K19" i="1"/>
  <c r="H37" i="1"/>
  <c r="Q256" i="1"/>
  <c r="D3340" i="1"/>
  <c r="I700" i="1"/>
  <c r="U3287" i="1"/>
  <c r="N2982" i="1"/>
  <c r="U2252" i="1"/>
  <c r="J3404" i="1"/>
  <c r="N567" i="1"/>
  <c r="H2161" i="1"/>
  <c r="U1903" i="1"/>
  <c r="D1046" i="1"/>
  <c r="P958" i="1"/>
  <c r="N2336" i="1"/>
  <c r="K1870" i="1"/>
  <c r="H1991" i="1"/>
  <c r="J3228" i="1"/>
  <c r="M225" i="1"/>
  <c r="D2193" i="1"/>
  <c r="Q2342" i="1"/>
  <c r="D136" i="1"/>
  <c r="N3310" i="1"/>
  <c r="U3314" i="1"/>
  <c r="D1629" i="1"/>
  <c r="N439" i="1"/>
  <c r="J2116" i="1"/>
  <c r="M1365" i="1"/>
  <c r="N2359" i="1"/>
  <c r="P2185" i="1"/>
  <c r="M3246" i="1"/>
  <c r="N3355" i="1"/>
  <c r="P2043" i="1"/>
  <c r="D418" i="1"/>
  <c r="O2811" i="1"/>
  <c r="D798" i="1"/>
  <c r="Q1675" i="1"/>
  <c r="D2382" i="1"/>
  <c r="K3534" i="1"/>
  <c r="P1129" i="1"/>
  <c r="Q2397" i="1"/>
  <c r="AT1794" i="1"/>
  <c r="P3234" i="1"/>
  <c r="AT2387" i="1"/>
  <c r="AT1045" i="1"/>
  <c r="Q2106" i="1"/>
  <c r="U3104" i="1"/>
  <c r="K225" i="1"/>
  <c r="AT2115" i="1"/>
  <c r="M294" i="1"/>
  <c r="M1071" i="1"/>
  <c r="K2798" i="1"/>
  <c r="AT1200" i="1"/>
  <c r="Q2791" i="1"/>
  <c r="N3238" i="1"/>
  <c r="I3442" i="1"/>
  <c r="O653" i="1"/>
  <c r="P1831" i="1"/>
  <c r="AT48" i="1"/>
  <c r="N1391" i="1"/>
  <c r="N286" i="1"/>
  <c r="N572" i="1"/>
  <c r="AT1788" i="1"/>
  <c r="U2083" i="1"/>
  <c r="AT2496" i="1"/>
  <c r="O2835" i="1"/>
  <c r="P2892" i="1"/>
  <c r="M3556" i="1"/>
  <c r="I3079" i="1"/>
  <c r="N1422" i="1"/>
  <c r="I1509" i="1"/>
  <c r="AT1723" i="1"/>
  <c r="J2047" i="1"/>
  <c r="D3436" i="1"/>
  <c r="J856" i="1"/>
  <c r="N2331" i="1"/>
  <c r="D3475" i="1"/>
  <c r="D303" i="1"/>
  <c r="N3616" i="1"/>
  <c r="O449" i="1"/>
  <c r="M1501" i="1"/>
  <c r="M1162" i="1"/>
  <c r="O2337" i="1"/>
  <c r="AT488" i="1"/>
  <c r="K1346" i="1"/>
  <c r="M1649" i="1"/>
  <c r="AT2925" i="1"/>
  <c r="I2597" i="1"/>
  <c r="O2042" i="1"/>
  <c r="U347" i="1"/>
  <c r="N2037" i="1"/>
  <c r="D1436" i="1"/>
  <c r="Q3097" i="1"/>
  <c r="O422" i="1"/>
  <c r="AT1987" i="1"/>
  <c r="J2573" i="1"/>
  <c r="AT72" i="1"/>
  <c r="K2525" i="1"/>
  <c r="AT1209" i="1"/>
  <c r="U3257" i="1"/>
  <c r="D699" i="1"/>
  <c r="I1303" i="1"/>
  <c r="AT3440" i="1"/>
  <c r="N2786" i="1"/>
  <c r="M1396" i="1"/>
  <c r="U1691" i="1"/>
  <c r="AT2815" i="1"/>
  <c r="P3277" i="1"/>
  <c r="M3137" i="1"/>
  <c r="U3299" i="1"/>
  <c r="J331" i="1"/>
  <c r="J3348" i="1"/>
  <c r="I3150" i="1"/>
  <c r="AT2703" i="1"/>
  <c r="N883" i="1"/>
  <c r="P2676" i="1"/>
  <c r="U162" i="1"/>
  <c r="I715" i="1"/>
  <c r="H436" i="1"/>
  <c r="O928" i="1"/>
  <c r="N2063" i="1"/>
  <c r="M3230" i="1"/>
  <c r="D514" i="1"/>
  <c r="N529" i="1"/>
  <c r="D2916" i="1"/>
  <c r="U1633" i="1"/>
  <c r="D1092" i="1"/>
  <c r="O1594" i="1"/>
  <c r="J261" i="1"/>
  <c r="N695" i="1"/>
  <c r="N3499" i="1"/>
  <c r="D339" i="1"/>
  <c r="Q225" i="1"/>
  <c r="U3468" i="1"/>
  <c r="H3014" i="1"/>
  <c r="M2669" i="1"/>
  <c r="P1945" i="1"/>
  <c r="AT2326" i="1"/>
  <c r="O2035" i="1"/>
  <c r="N819" i="1"/>
  <c r="AT3289" i="1"/>
  <c r="H3196" i="1"/>
  <c r="P909" i="1"/>
  <c r="D2453" i="1"/>
  <c r="AT2407" i="1"/>
  <c r="AT1089" i="1"/>
  <c r="Q1014" i="1"/>
  <c r="D2877" i="1"/>
  <c r="AT3512" i="1"/>
  <c r="AT2459" i="1"/>
  <c r="N1397" i="1"/>
  <c r="N1818" i="1"/>
  <c r="I1771" i="1"/>
  <c r="N1295" i="1"/>
  <c r="U3497" i="1"/>
  <c r="O2075" i="1"/>
  <c r="D34" i="1"/>
  <c r="AT2188" i="1"/>
  <c r="I2046" i="1"/>
  <c r="M2116" i="1"/>
  <c r="U580" i="1"/>
  <c r="U1858" i="1"/>
  <c r="Q1294" i="1"/>
  <c r="M738" i="1"/>
  <c r="P1148" i="1"/>
  <c r="U1006" i="1"/>
  <c r="D407" i="1"/>
  <c r="N1585" i="1"/>
  <c r="N2704" i="1"/>
  <c r="P2047" i="1"/>
  <c r="U3074" i="1"/>
  <c r="D790" i="1"/>
  <c r="O2118" i="1"/>
  <c r="O2299" i="1"/>
  <c r="AT1734" i="1"/>
  <c r="U202" i="1"/>
  <c r="U954" i="1"/>
  <c r="U900" i="1"/>
  <c r="M1377" i="1"/>
  <c r="D422" i="1"/>
  <c r="P2365" i="1"/>
  <c r="AT555" i="1"/>
  <c r="AT1541" i="1"/>
  <c r="AT564" i="1"/>
  <c r="D2215" i="1"/>
  <c r="AT2261" i="1"/>
  <c r="Q3259" i="1"/>
  <c r="D1238" i="1"/>
  <c r="O3538" i="1"/>
  <c r="Q2337" i="1"/>
  <c r="D771" i="1"/>
  <c r="M223" i="1"/>
  <c r="P1866" i="1"/>
  <c r="M1607" i="1"/>
  <c r="M2970" i="1"/>
  <c r="P1312" i="1"/>
  <c r="Q1659" i="1"/>
  <c r="J1385" i="1"/>
  <c r="D2029" i="1"/>
  <c r="AT2755" i="1"/>
  <c r="P2039" i="1"/>
  <c r="P1732" i="1"/>
  <c r="N2264" i="1"/>
  <c r="N3354" i="1"/>
  <c r="K586" i="1"/>
  <c r="AT390" i="1"/>
  <c r="N1110" i="1"/>
  <c r="M276" i="1"/>
  <c r="H2837" i="1"/>
  <c r="Q752" i="1"/>
  <c r="N638" i="1"/>
  <c r="M3547" i="1"/>
  <c r="M1272" i="1"/>
  <c r="N1895" i="1"/>
  <c r="P1096" i="1"/>
  <c r="I1960" i="1"/>
  <c r="Q961" i="1"/>
  <c r="U2631" i="1"/>
  <c r="K1951" i="1"/>
  <c r="M1987" i="1"/>
  <c r="U2485" i="1"/>
  <c r="H1057" i="1"/>
  <c r="O2349" i="1"/>
  <c r="U1747" i="1"/>
  <c r="N2719" i="1"/>
  <c r="AT2086" i="1"/>
  <c r="D1547" i="1"/>
  <c r="M3390" i="1"/>
  <c r="O122" i="1"/>
  <c r="P2537" i="1"/>
  <c r="Q2132" i="1"/>
  <c r="N55" i="1"/>
  <c r="N299" i="1"/>
  <c r="N3315" i="1"/>
  <c r="M3474" i="1"/>
  <c r="U1649" i="1"/>
  <c r="M2511" i="1"/>
  <c r="N2953" i="1"/>
  <c r="D1359" i="1"/>
  <c r="D3001" i="1"/>
  <c r="I449" i="1"/>
  <c r="O2714" i="1"/>
  <c r="D1054" i="1"/>
  <c r="Q3364" i="1"/>
  <c r="I2737" i="1"/>
  <c r="Q2145" i="1"/>
  <c r="AT3574" i="1"/>
  <c r="J1799" i="1"/>
  <c r="D311" i="1"/>
  <c r="M39" i="1"/>
  <c r="U1364" i="1"/>
  <c r="M1240" i="1"/>
  <c r="J1466" i="1"/>
  <c r="K3118" i="1"/>
  <c r="N2921" i="1"/>
  <c r="D2472" i="1"/>
  <c r="J3048" i="1"/>
  <c r="AT800" i="1"/>
  <c r="M1503" i="1"/>
  <c r="M3200" i="1"/>
  <c r="N2091" i="1"/>
  <c r="AT1803" i="1"/>
  <c r="M3498" i="1"/>
  <c r="I418" i="1"/>
  <c r="J3158" i="1"/>
  <c r="M626" i="1"/>
  <c r="D2905" i="1"/>
  <c r="H3475" i="1"/>
  <c r="P1044" i="1"/>
  <c r="D1495" i="1"/>
  <c r="N1839" i="1"/>
  <c r="K3620" i="1"/>
  <c r="P2556" i="1"/>
  <c r="P1768" i="1"/>
  <c r="H2972" i="1"/>
  <c r="AT193" i="1"/>
  <c r="P854" i="1"/>
  <c r="M2945" i="1"/>
  <c r="I1248" i="1"/>
  <c r="M2687" i="1"/>
  <c r="N3374" i="1"/>
  <c r="Q2428" i="1"/>
  <c r="U1168" i="1"/>
  <c r="D3446" i="1"/>
  <c r="D1220" i="1"/>
  <c r="H614" i="1"/>
  <c r="P808" i="1"/>
  <c r="I3302" i="1"/>
  <c r="O248" i="1"/>
  <c r="M2799" i="1"/>
  <c r="I3455" i="1"/>
  <c r="O2586" i="1"/>
  <c r="N2571" i="1"/>
  <c r="N494" i="1"/>
  <c r="O877" i="1"/>
  <c r="Q2074" i="1"/>
  <c r="AT1129" i="1"/>
  <c r="U151" i="1"/>
  <c r="D2661" i="1"/>
  <c r="D1422" i="1"/>
  <c r="U2997" i="1"/>
  <c r="H617" i="1"/>
  <c r="U2764" i="1"/>
  <c r="U941" i="1"/>
  <c r="U2789" i="1"/>
  <c r="J1552" i="1"/>
  <c r="H3109" i="1"/>
  <c r="D1742" i="1"/>
  <c r="M616" i="1"/>
  <c r="AT3352" i="1"/>
  <c r="AT1655" i="1"/>
  <c r="AT1773" i="1"/>
  <c r="K1307" i="1"/>
  <c r="N401" i="1"/>
  <c r="AT130" i="1"/>
  <c r="U1257" i="1"/>
  <c r="N3460" i="1"/>
  <c r="M1274" i="1"/>
  <c r="N1657" i="1"/>
  <c r="D2244" i="1"/>
  <c r="AT144" i="1"/>
  <c r="D1460" i="1"/>
  <c r="U3121" i="1"/>
  <c r="D2250" i="1"/>
  <c r="I3322" i="1"/>
  <c r="U1822" i="1"/>
  <c r="AT2975" i="1"/>
  <c r="Q2157" i="1"/>
  <c r="M2274" i="1"/>
  <c r="I2762" i="1"/>
  <c r="M1256" i="1"/>
  <c r="N2775" i="1"/>
  <c r="AT1007" i="1"/>
  <c r="D3225" i="1"/>
  <c r="P1555" i="1"/>
  <c r="M2915" i="1"/>
  <c r="P2696" i="1"/>
  <c r="M1245" i="1"/>
  <c r="D1212" i="1"/>
  <c r="K219" i="1"/>
  <c r="P2727" i="1"/>
  <c r="H1371" i="1"/>
  <c r="H2943" i="1"/>
  <c r="J3547" i="1"/>
  <c r="I3596" i="1"/>
  <c r="M396" i="1"/>
  <c r="K3607" i="1"/>
  <c r="P533" i="1"/>
  <c r="O1201" i="1"/>
  <c r="AT1113" i="1"/>
  <c r="H670" i="1"/>
  <c r="P934" i="1"/>
  <c r="K55" i="1"/>
  <c r="H11" i="1"/>
  <c r="M278" i="1"/>
  <c r="N2353" i="1"/>
  <c r="U3453" i="1"/>
  <c r="P2987" i="1"/>
  <c r="Q428" i="1"/>
  <c r="D921" i="1"/>
  <c r="AT259" i="1"/>
  <c r="Q3468" i="1"/>
  <c r="Q1188" i="1"/>
  <c r="AT1521" i="1"/>
  <c r="P2109" i="1"/>
  <c r="N1777" i="1"/>
  <c r="D919" i="1"/>
  <c r="AT553" i="1"/>
  <c r="O620" i="1"/>
  <c r="D432" i="1"/>
  <c r="O805" i="1"/>
  <c r="D229" i="1"/>
  <c r="M1562" i="1"/>
  <c r="I306" i="1"/>
  <c r="I476" i="1"/>
  <c r="N298" i="1"/>
  <c r="M3324" i="1"/>
  <c r="H2622" i="1"/>
  <c r="U2770" i="1"/>
  <c r="U890" i="1"/>
  <c r="D690" i="1"/>
  <c r="AT1785" i="1"/>
  <c r="O1140" i="1"/>
  <c r="P249" i="1"/>
  <c r="N1380" i="1"/>
  <c r="O3532" i="1"/>
  <c r="P1449" i="1"/>
  <c r="U2340" i="1"/>
  <c r="I1089" i="1"/>
  <c r="P414" i="1"/>
  <c r="P1774" i="1"/>
  <c r="AT1548" i="1"/>
  <c r="O30" i="1"/>
  <c r="M2637" i="1"/>
  <c r="H707" i="1"/>
  <c r="U2656" i="1"/>
  <c r="Q1108" i="1"/>
  <c r="M1369" i="1"/>
  <c r="K1705" i="1"/>
  <c r="M867" i="1"/>
  <c r="Q3554" i="1"/>
  <c r="O3097" i="1"/>
  <c r="AT895" i="1"/>
  <c r="AT1333" i="1"/>
  <c r="N1147" i="1"/>
  <c r="O755" i="1"/>
  <c r="M988" i="1"/>
  <c r="P2260" i="1"/>
  <c r="M1273" i="1"/>
  <c r="M2574" i="1"/>
  <c r="Q3033" i="1"/>
  <c r="U2885" i="1"/>
  <c r="N1432" i="1"/>
  <c r="D3592" i="1"/>
  <c r="U1719" i="1"/>
  <c r="K3105" i="1"/>
  <c r="O2562" i="1"/>
  <c r="Q2450" i="1"/>
  <c r="M734" i="1"/>
  <c r="N671" i="1"/>
  <c r="P1247" i="1"/>
  <c r="U1100" i="1"/>
  <c r="P339" i="1"/>
  <c r="D3037" i="1"/>
  <c r="D1309" i="1"/>
  <c r="P2542" i="1"/>
  <c r="U809" i="1"/>
  <c r="N1351" i="1"/>
  <c r="N2479" i="1"/>
  <c r="I822" i="1"/>
  <c r="I1641" i="1"/>
  <c r="M3371" i="1"/>
  <c r="N3108" i="1"/>
  <c r="M65" i="1"/>
  <c r="I308" i="1"/>
  <c r="P2614" i="1"/>
  <c r="H884" i="1"/>
  <c r="U737" i="1"/>
  <c r="J1217" i="1"/>
  <c r="O2418" i="1"/>
  <c r="P2221" i="1"/>
  <c r="H1749" i="1"/>
  <c r="D2096" i="1"/>
  <c r="H2718" i="1"/>
  <c r="O733" i="1"/>
  <c r="Q1366" i="1"/>
  <c r="D2424" i="1"/>
  <c r="K1772" i="1"/>
  <c r="AT1215" i="1"/>
  <c r="J3424" i="1"/>
  <c r="J87" i="1"/>
  <c r="M2158" i="1"/>
  <c r="M2580" i="1"/>
  <c r="AT384" i="1"/>
  <c r="AT2266" i="1"/>
  <c r="P1539" i="1"/>
  <c r="J3196" i="1"/>
  <c r="P126" i="1"/>
  <c r="K2748" i="1"/>
  <c r="Q358" i="1"/>
  <c r="D1152" i="1"/>
  <c r="M1995" i="1"/>
  <c r="I1998" i="1"/>
  <c r="O263" i="1"/>
  <c r="P3255" i="1"/>
  <c r="D1850" i="1"/>
  <c r="O3265" i="1"/>
  <c r="O1097" i="1"/>
  <c r="K273" i="1"/>
  <c r="H1681" i="1"/>
  <c r="P1390" i="1"/>
  <c r="U1186" i="1"/>
  <c r="O1756" i="1"/>
  <c r="AT1139" i="1"/>
  <c r="U1271" i="1"/>
  <c r="I2951" i="1"/>
  <c r="M386" i="1"/>
  <c r="U2059" i="1"/>
  <c r="H860" i="1"/>
  <c r="P487" i="1"/>
  <c r="H1511" i="1"/>
  <c r="O3590" i="1"/>
  <c r="P2582" i="1"/>
  <c r="H1063" i="1"/>
  <c r="Q1746" i="1"/>
  <c r="D772" i="1"/>
  <c r="P1885" i="1"/>
  <c r="N1009" i="1"/>
  <c r="U2692" i="1"/>
  <c r="N2279" i="1"/>
  <c r="M1962" i="1"/>
  <c r="P1097" i="1"/>
  <c r="N2527" i="1"/>
  <c r="AT1114" i="1"/>
  <c r="M247" i="1"/>
  <c r="M2096" i="1"/>
  <c r="K2390" i="1"/>
  <c r="H1150" i="1"/>
  <c r="AT1678" i="1"/>
  <c r="J3165" i="1"/>
  <c r="I741" i="1"/>
  <c r="AT2950" i="1"/>
  <c r="Q2248" i="1"/>
  <c r="U800" i="1"/>
  <c r="H2077" i="1"/>
  <c r="M2418" i="1"/>
  <c r="M2528" i="1"/>
  <c r="P823" i="1"/>
  <c r="I2522" i="1"/>
  <c r="U1830" i="1"/>
  <c r="D3474" i="1"/>
  <c r="N2598" i="1"/>
  <c r="I2187" i="1"/>
  <c r="U1313" i="1"/>
  <c r="P1663" i="1"/>
  <c r="D1574" i="1"/>
  <c r="M3251" i="1"/>
  <c r="P432" i="1"/>
  <c r="D2812" i="1"/>
  <c r="AT216" i="1"/>
  <c r="P1534" i="1"/>
  <c r="D269" i="1"/>
  <c r="M2250" i="1"/>
  <c r="M1422" i="1"/>
  <c r="AT1603" i="1"/>
  <c r="D1805" i="1"/>
  <c r="U1195" i="1"/>
  <c r="AT2062" i="1"/>
  <c r="K2869" i="1"/>
  <c r="K108" i="1"/>
  <c r="H1748" i="1"/>
  <c r="P1434" i="1"/>
  <c r="J616" i="1"/>
  <c r="M2076" i="1"/>
  <c r="U821" i="1"/>
  <c r="I3454" i="1"/>
  <c r="P2268" i="1"/>
  <c r="M425" i="1"/>
  <c r="Q3308" i="1"/>
  <c r="AT3019" i="1"/>
  <c r="Q1893" i="1"/>
  <c r="N1404" i="1"/>
  <c r="M1355" i="1"/>
  <c r="U3315" i="1"/>
  <c r="O1597" i="1"/>
  <c r="J2918" i="1"/>
  <c r="N2722" i="1"/>
  <c r="H1987" i="1"/>
  <c r="O1715" i="1"/>
  <c r="N230" i="1"/>
  <c r="P1906" i="1"/>
  <c r="P337" i="1"/>
  <c r="N592" i="1"/>
  <c r="O2390" i="1"/>
  <c r="O1661" i="1"/>
  <c r="O1004" i="1"/>
  <c r="Q3360" i="1"/>
  <c r="J99" i="1"/>
  <c r="P1611" i="1"/>
  <c r="O700" i="1"/>
  <c r="Q873" i="1"/>
  <c r="H720" i="1"/>
  <c r="I436" i="1"/>
  <c r="K2849" i="1"/>
  <c r="I2545" i="1"/>
  <c r="AT1555" i="1"/>
  <c r="Q3125" i="1"/>
  <c r="U2563" i="1"/>
  <c r="J1621" i="1"/>
  <c r="M2534" i="1"/>
  <c r="M464" i="1"/>
  <c r="U811" i="1"/>
  <c r="O360" i="1"/>
  <c r="D3465" i="1"/>
  <c r="K3393" i="1"/>
  <c r="M1656" i="1"/>
  <c r="I1266" i="1"/>
  <c r="J2900" i="1"/>
  <c r="N330" i="1"/>
  <c r="D1894" i="1"/>
  <c r="P2553" i="1"/>
  <c r="U2727" i="1"/>
  <c r="N3621" i="1"/>
  <c r="H1283" i="1"/>
  <c r="K3199" i="1"/>
  <c r="AT1049" i="1"/>
  <c r="H704" i="1"/>
  <c r="D250" i="1"/>
  <c r="AT2249" i="1"/>
  <c r="D2587" i="1"/>
  <c r="P3296" i="1"/>
  <c r="P2933" i="1"/>
  <c r="O767" i="1"/>
  <c r="N597" i="1"/>
  <c r="U2658" i="1"/>
  <c r="D2010" i="1"/>
  <c r="I2850" i="1"/>
  <c r="U3284" i="1"/>
  <c r="AT3626" i="1"/>
  <c r="AT2184" i="1"/>
  <c r="M1577" i="1"/>
  <c r="M432" i="1"/>
  <c r="D856" i="1"/>
  <c r="D3356" i="1"/>
  <c r="D273" i="1"/>
  <c r="AT2380" i="1"/>
  <c r="N2655" i="1"/>
  <c r="AT1282" i="1"/>
  <c r="Q486" i="1"/>
  <c r="Q531" i="1"/>
  <c r="J1885" i="1"/>
  <c r="H1365" i="1"/>
  <c r="N203" i="1"/>
  <c r="D1206" i="1"/>
  <c r="AT1949" i="1"/>
  <c r="M1819" i="1"/>
  <c r="H2682" i="1"/>
  <c r="U2381" i="1"/>
  <c r="I2501" i="1"/>
  <c r="AT1121" i="1"/>
  <c r="P1859" i="1"/>
  <c r="D468" i="1"/>
  <c r="M1828" i="1"/>
  <c r="U3165" i="1"/>
  <c r="M586" i="1"/>
  <c r="M562" i="1"/>
  <c r="H1083" i="1"/>
  <c r="H1166" i="1"/>
  <c r="D1785" i="1"/>
  <c r="D1397" i="1"/>
  <c r="O3548" i="1"/>
  <c r="M807" i="1"/>
  <c r="AT1204" i="1"/>
  <c r="P1494" i="1"/>
  <c r="D910" i="1"/>
  <c r="N984" i="1"/>
  <c r="Q2893" i="1"/>
  <c r="Q2097" i="1"/>
  <c r="I3505" i="1"/>
  <c r="U1163" i="1"/>
  <c r="M352" i="1"/>
  <c r="I1855" i="1"/>
  <c r="M3375" i="1"/>
  <c r="AT2409" i="1"/>
  <c r="M3399" i="1"/>
  <c r="M1046" i="1"/>
  <c r="J3308" i="1"/>
  <c r="U1662" i="1"/>
  <c r="N3447" i="1"/>
  <c r="I1692" i="1"/>
  <c r="N1386" i="1"/>
  <c r="I1955" i="1"/>
  <c r="U749" i="1"/>
  <c r="P1493" i="1"/>
  <c r="P2161" i="1"/>
  <c r="AT1924" i="1"/>
  <c r="O310" i="1"/>
  <c r="U2849" i="1"/>
  <c r="N1109" i="1"/>
  <c r="I3575" i="1"/>
  <c r="Q340" i="1"/>
  <c r="U2629" i="1"/>
  <c r="O3491" i="1"/>
  <c r="P3333" i="1"/>
  <c r="N754" i="1"/>
  <c r="O2284" i="1"/>
  <c r="M112" i="1"/>
  <c r="M2213" i="1"/>
  <c r="Q352" i="1"/>
  <c r="P88" i="1"/>
  <c r="M3414" i="1"/>
  <c r="AT784" i="1"/>
  <c r="N1482" i="1"/>
  <c r="H2527" i="1"/>
  <c r="Q1215" i="1"/>
  <c r="O1732" i="1"/>
  <c r="M929" i="1"/>
  <c r="D3080" i="1"/>
  <c r="D3287" i="1"/>
  <c r="P1804" i="1"/>
  <c r="O298" i="1"/>
  <c r="N1495" i="1"/>
  <c r="N1463" i="1"/>
  <c r="J850" i="1"/>
  <c r="O2316" i="1"/>
  <c r="M1500" i="1"/>
  <c r="U1831" i="1"/>
  <c r="J3542" i="1"/>
  <c r="Q3005" i="1"/>
  <c r="O140" i="1"/>
  <c r="M1439" i="1"/>
  <c r="O1977" i="1"/>
  <c r="H2678" i="1"/>
  <c r="N2967" i="1"/>
  <c r="Q1250" i="1"/>
  <c r="AT1630" i="1"/>
  <c r="Q2693" i="1"/>
  <c r="N1304" i="1"/>
  <c r="K349" i="1"/>
  <c r="J1921" i="1"/>
  <c r="Q3510" i="1"/>
  <c r="AT498" i="1"/>
  <c r="N3080" i="1"/>
  <c r="D1360" i="1"/>
  <c r="N153" i="1"/>
  <c r="AT1370" i="1"/>
  <c r="AT2355" i="1"/>
  <c r="AT2741" i="1"/>
  <c r="D2604" i="1"/>
  <c r="J2825" i="1"/>
  <c r="K956" i="1"/>
  <c r="U456" i="1"/>
  <c r="Q305" i="1"/>
  <c r="U2379" i="1"/>
  <c r="I2449" i="1"/>
  <c r="J2987" i="1"/>
  <c r="D3072" i="1"/>
  <c r="AT986" i="1"/>
  <c r="Q1114" i="1"/>
  <c r="J1680" i="1"/>
  <c r="M2270" i="1"/>
  <c r="M1758" i="1"/>
  <c r="M1567" i="1"/>
  <c r="J2235" i="1"/>
  <c r="O1489" i="1"/>
  <c r="M3151" i="1"/>
  <c r="AT2286" i="1"/>
  <c r="AT3376" i="1"/>
  <c r="P660" i="1"/>
  <c r="H2285" i="1"/>
  <c r="P1074" i="1"/>
  <c r="Q1733" i="1"/>
  <c r="D1821" i="1"/>
  <c r="D1570" i="1"/>
  <c r="M1749" i="1"/>
  <c r="AT3353" i="1"/>
  <c r="H351" i="1"/>
  <c r="M3211" i="1"/>
  <c r="H1446" i="1"/>
  <c r="M2440" i="1"/>
  <c r="P2282" i="1"/>
  <c r="D1618" i="1"/>
  <c r="K1509" i="1"/>
  <c r="O737" i="1"/>
  <c r="P2079" i="1"/>
  <c r="H1807" i="1"/>
  <c r="U999" i="1"/>
  <c r="I1088" i="1"/>
  <c r="U2355" i="1"/>
  <c r="N238" i="1"/>
  <c r="D3292" i="1"/>
  <c r="M1171" i="1"/>
  <c r="M390" i="1"/>
  <c r="K861" i="1"/>
  <c r="I3620" i="1"/>
  <c r="D2794" i="1"/>
  <c r="O2175" i="1"/>
  <c r="O856" i="1"/>
  <c r="P1326" i="1"/>
  <c r="Q1895" i="1"/>
  <c r="Q3062" i="1"/>
  <c r="M2857" i="1"/>
  <c r="N2258" i="1"/>
  <c r="O154" i="1"/>
  <c r="Q1383" i="1"/>
  <c r="Q2780" i="1"/>
  <c r="M490" i="1"/>
  <c r="O823" i="1"/>
  <c r="Q727" i="1"/>
  <c r="N2135" i="1"/>
  <c r="M2280" i="1"/>
  <c r="D1530" i="1"/>
  <c r="Q590" i="1"/>
  <c r="M1233" i="1"/>
  <c r="U2817" i="1"/>
  <c r="D769" i="1"/>
  <c r="N2195" i="1"/>
  <c r="I1472" i="1"/>
  <c r="Q206" i="1"/>
  <c r="AT2211" i="1"/>
  <c r="AT1767" i="1"/>
  <c r="P3377" i="1"/>
  <c r="M1204" i="1"/>
  <c r="I1002" i="1"/>
  <c r="Q1596" i="1"/>
  <c r="I2661" i="1"/>
  <c r="K3346" i="1"/>
  <c r="H3320" i="1"/>
  <c r="O2437" i="1"/>
  <c r="J1866" i="1"/>
  <c r="N1592" i="1"/>
  <c r="N1811" i="1"/>
  <c r="Q1769" i="1"/>
  <c r="D1611" i="1"/>
  <c r="U1710" i="1"/>
  <c r="U1339" i="1"/>
  <c r="D3155" i="1"/>
  <c r="I2704" i="1"/>
  <c r="N3133" i="1"/>
  <c r="J2503" i="1"/>
  <c r="M3058" i="1"/>
  <c r="AT3356" i="1"/>
  <c r="AT797" i="1"/>
  <c r="D777" i="1"/>
  <c r="H1167" i="1"/>
  <c r="AT513" i="1"/>
  <c r="O1817" i="1"/>
  <c r="AT1795" i="1"/>
  <c r="N1774" i="1"/>
  <c r="D3625" i="1"/>
  <c r="M1892" i="1"/>
  <c r="M2824" i="1"/>
  <c r="N84" i="1"/>
  <c r="M377" i="1"/>
  <c r="N2514" i="1"/>
  <c r="P1879" i="1"/>
  <c r="Q2193" i="1"/>
  <c r="N3441" i="1"/>
  <c r="U2416" i="1"/>
  <c r="J85" i="1"/>
  <c r="AT2169" i="1"/>
  <c r="O897" i="1"/>
  <c r="AT2347" i="1"/>
  <c r="M3182" i="1"/>
  <c r="AT1502" i="1"/>
  <c r="K2688" i="1"/>
  <c r="M2195" i="1"/>
  <c r="D1883" i="1"/>
  <c r="H1839" i="1"/>
  <c r="P2424" i="1"/>
  <c r="Q464" i="1"/>
  <c r="I2918" i="1"/>
  <c r="U1688" i="1"/>
  <c r="N2256" i="1"/>
  <c r="N155" i="1"/>
  <c r="H3296" i="1"/>
  <c r="O573" i="1"/>
  <c r="Q2180" i="1"/>
  <c r="N798" i="1"/>
  <c r="O107" i="1"/>
  <c r="J2350" i="1"/>
  <c r="P1321" i="1"/>
  <c r="AT3079" i="1"/>
  <c r="P351" i="1"/>
  <c r="U1260" i="1"/>
  <c r="K1529" i="1"/>
  <c r="I2811" i="1"/>
  <c r="Q509" i="1"/>
  <c r="M3307" i="1"/>
  <c r="I1801" i="1"/>
  <c r="I45" i="1"/>
  <c r="M577" i="1"/>
  <c r="O3239" i="1"/>
  <c r="D2616" i="1"/>
  <c r="O1086" i="1"/>
  <c r="H1265" i="1"/>
  <c r="I3206" i="1"/>
  <c r="O1075" i="1"/>
  <c r="O623" i="1"/>
  <c r="O3136" i="1"/>
  <c r="AT939" i="1"/>
  <c r="I2289" i="1"/>
  <c r="Q1924" i="1"/>
  <c r="I1767" i="1"/>
  <c r="J1314" i="1"/>
  <c r="M2343" i="1"/>
  <c r="K801" i="1"/>
  <c r="P2951" i="1"/>
  <c r="AT1586" i="1"/>
  <c r="Q2353" i="1"/>
  <c r="D1196" i="1"/>
  <c r="I1932" i="1"/>
  <c r="M2153" i="1"/>
  <c r="N1794" i="1"/>
  <c r="Q649" i="1"/>
  <c r="P3064" i="1"/>
  <c r="O338" i="1"/>
  <c r="P244" i="1"/>
  <c r="AT2719" i="1"/>
  <c r="N1750" i="1"/>
  <c r="D509" i="1"/>
  <c r="M251" i="1"/>
  <c r="D2150" i="1"/>
  <c r="AT3183" i="1"/>
  <c r="O3313" i="1"/>
  <c r="AT3242" i="1"/>
  <c r="D338" i="1"/>
  <c r="AT971" i="1"/>
  <c r="K877" i="1"/>
  <c r="M2794" i="1"/>
  <c r="D1210" i="1"/>
  <c r="Q1016" i="1"/>
  <c r="Q3216" i="1"/>
  <c r="U1695" i="1"/>
  <c r="P349" i="1"/>
  <c r="U1018" i="1"/>
  <c r="O2000" i="1"/>
  <c r="N1826" i="1"/>
  <c r="M1154" i="1"/>
  <c r="I1202" i="1"/>
  <c r="AT2973" i="1"/>
  <c r="M1490" i="1"/>
  <c r="O997" i="1"/>
  <c r="J2456" i="1"/>
  <c r="D576" i="1"/>
  <c r="AT3322" i="1"/>
  <c r="AT3578" i="1"/>
  <c r="AT2781" i="1"/>
  <c r="AT905" i="1"/>
  <c r="AT1415" i="1"/>
  <c r="P1947" i="1"/>
  <c r="M2251" i="1"/>
  <c r="P1233" i="1"/>
  <c r="U744" i="1"/>
  <c r="O802" i="1"/>
  <c r="D2085" i="1"/>
  <c r="N2551" i="1"/>
  <c r="U2353" i="1"/>
  <c r="H1961" i="1"/>
  <c r="O2256" i="1"/>
  <c r="AT3098" i="1"/>
  <c r="Q577" i="1"/>
  <c r="M2317" i="1"/>
  <c r="N2980" i="1"/>
  <c r="I3252" i="1"/>
  <c r="Q3323" i="1"/>
  <c r="Q2283" i="1"/>
  <c r="N1961" i="1"/>
  <c r="AT493" i="1"/>
  <c r="AT908" i="1"/>
  <c r="J2719" i="1"/>
  <c r="K1108" i="1"/>
  <c r="H1979" i="1"/>
  <c r="M1807" i="1"/>
  <c r="D596" i="1"/>
  <c r="M145" i="1"/>
  <c r="P3313" i="1"/>
  <c r="N3360" i="1"/>
  <c r="U2498" i="1"/>
  <c r="N815" i="1"/>
  <c r="Q317" i="1"/>
  <c r="D386" i="1"/>
  <c r="Q2709" i="1"/>
  <c r="H1062" i="1"/>
  <c r="P263" i="1"/>
  <c r="N1697" i="1"/>
  <c r="AT2971" i="1"/>
  <c r="M3003" i="1"/>
  <c r="H3522" i="1"/>
  <c r="N2179" i="1"/>
  <c r="P2793" i="1"/>
  <c r="D976" i="1"/>
  <c r="AT2699" i="1"/>
  <c r="D1522" i="1"/>
  <c r="H3222" i="1"/>
  <c r="N2242" i="1"/>
  <c r="M874" i="1"/>
  <c r="O1603" i="1"/>
  <c r="AT277" i="1"/>
  <c r="N1687" i="1"/>
  <c r="M1084" i="1"/>
  <c r="H2100" i="1"/>
  <c r="AT816" i="1"/>
  <c r="P1657" i="1"/>
  <c r="M2589" i="1"/>
  <c r="M2816" i="1"/>
  <c r="N1092" i="1"/>
  <c r="O62" i="1"/>
  <c r="AT1539" i="1"/>
  <c r="P3308" i="1"/>
  <c r="O2875" i="1"/>
  <c r="D2210" i="1"/>
  <c r="AT3510" i="1"/>
  <c r="D2065" i="1"/>
  <c r="D292" i="1"/>
  <c r="O608" i="1"/>
  <c r="U921" i="1"/>
  <c r="Q2101" i="1"/>
  <c r="Q2763" i="1"/>
  <c r="M2144" i="1"/>
  <c r="Q265" i="1"/>
  <c r="M1568" i="1"/>
  <c r="N659" i="1"/>
  <c r="D2128" i="1"/>
  <c r="AT3568" i="1"/>
  <c r="N970" i="1"/>
  <c r="M1640" i="1"/>
  <c r="D2690" i="1"/>
  <c r="P366" i="1"/>
  <c r="M2956" i="1"/>
  <c r="P576" i="1"/>
  <c r="U748" i="1"/>
  <c r="M1017" i="1"/>
  <c r="D2126" i="1"/>
  <c r="AT708" i="1"/>
  <c r="D3496" i="1"/>
  <c r="I543" i="1"/>
  <c r="U1922" i="1"/>
  <c r="I605" i="1"/>
  <c r="Q3206" i="1"/>
  <c r="M1049" i="1"/>
  <c r="M2750" i="1"/>
  <c r="H1506" i="1"/>
  <c r="M231" i="1"/>
  <c r="P2443" i="1"/>
  <c r="I1730" i="1"/>
  <c r="N2765" i="1"/>
  <c r="N1734" i="1"/>
  <c r="AT2096" i="1"/>
  <c r="P1646" i="1"/>
  <c r="O3298" i="1"/>
  <c r="K2067" i="1"/>
  <c r="D3333" i="1"/>
  <c r="D1929" i="1"/>
  <c r="I40" i="1"/>
  <c r="U2773" i="1"/>
  <c r="N248" i="1"/>
  <c r="I16" i="1"/>
  <c r="O2652" i="1"/>
  <c r="O1719" i="1"/>
  <c r="H1670" i="1"/>
  <c r="M1316" i="1"/>
  <c r="D3121" i="1"/>
  <c r="D3418" i="1"/>
  <c r="P583" i="1"/>
  <c r="AT3264" i="1"/>
  <c r="P287" i="1"/>
  <c r="O2025" i="1"/>
  <c r="U1243" i="1"/>
  <c r="M646" i="1"/>
  <c r="H953" i="1"/>
  <c r="D1655" i="1"/>
  <c r="M465" i="1"/>
  <c r="H2978" i="1"/>
  <c r="N1499" i="1"/>
  <c r="O672" i="1"/>
  <c r="AT2440" i="1"/>
  <c r="N723" i="1"/>
  <c r="J2034" i="1"/>
  <c r="AT33" i="1"/>
  <c r="AT2069" i="1"/>
  <c r="K1839" i="1"/>
  <c r="D943" i="1"/>
  <c r="J3489" i="1"/>
  <c r="K2480" i="1"/>
  <c r="P2343" i="1"/>
  <c r="Q3059" i="1"/>
  <c r="AT786" i="1"/>
  <c r="O927" i="1"/>
  <c r="D334" i="1"/>
  <c r="D1500" i="1"/>
  <c r="D1628" i="1"/>
  <c r="M1654" i="1"/>
  <c r="M1483" i="1"/>
  <c r="M1433" i="1"/>
  <c r="U387" i="1"/>
  <c r="O3417" i="1"/>
  <c r="O2065" i="1"/>
  <c r="AT2175" i="1"/>
  <c r="U474" i="1"/>
  <c r="I3518" i="1"/>
  <c r="I1182" i="1"/>
  <c r="M594" i="1"/>
  <c r="N1122" i="1"/>
  <c r="U664" i="1"/>
  <c r="K3637" i="1"/>
  <c r="AT1786" i="1"/>
  <c r="H1047" i="1"/>
  <c r="AT2910" i="1"/>
  <c r="Q1235" i="1"/>
  <c r="Q1435" i="1"/>
  <c r="U1269" i="1"/>
  <c r="Q1977" i="1"/>
  <c r="D157" i="1"/>
  <c r="U572" i="1"/>
  <c r="D2422" i="1"/>
  <c r="O989" i="1"/>
  <c r="AT3042" i="1"/>
  <c r="Q1186" i="1"/>
  <c r="N3556" i="1"/>
  <c r="Q2493" i="1"/>
  <c r="M238" i="1"/>
  <c r="Q3035" i="1"/>
  <c r="D63" i="1"/>
  <c r="D2757" i="1"/>
  <c r="N3571" i="1"/>
  <c r="AT1957" i="1"/>
  <c r="O793" i="1"/>
  <c r="D2566" i="1"/>
  <c r="AT460" i="1"/>
  <c r="N1248" i="1"/>
  <c r="N3533" i="1"/>
  <c r="N1075" i="1"/>
  <c r="M3224" i="1"/>
  <c r="D3267" i="1"/>
  <c r="AT1474" i="1"/>
  <c r="N1264" i="1"/>
  <c r="N245" i="1"/>
  <c r="AT1720" i="1"/>
  <c r="H3499" i="1"/>
  <c r="K2941" i="1"/>
  <c r="P889" i="1"/>
  <c r="O1622" i="1"/>
  <c r="O1477" i="1"/>
  <c r="K1980" i="1"/>
  <c r="Q642" i="1"/>
  <c r="U3414" i="1"/>
  <c r="M1062" i="1"/>
  <c r="H952" i="1"/>
  <c r="K2333" i="1"/>
  <c r="I3540" i="1"/>
  <c r="M1201" i="1"/>
  <c r="I2792" i="1"/>
  <c r="I124" i="1"/>
  <c r="M2843" i="1"/>
  <c r="P940" i="1"/>
  <c r="J3250" i="1"/>
  <c r="Q129" i="1"/>
  <c r="M2507" i="1"/>
  <c r="H1299" i="1"/>
  <c r="N3154" i="1"/>
  <c r="AT2512" i="1"/>
  <c r="K3044" i="1"/>
  <c r="P3230" i="1"/>
  <c r="M3054" i="1"/>
  <c r="P3054" i="1"/>
  <c r="N1453" i="1"/>
  <c r="Q2748" i="1"/>
  <c r="AT3227" i="1"/>
  <c r="J2469" i="1"/>
  <c r="H1612" i="1"/>
  <c r="M2432" i="1"/>
  <c r="D2259" i="1"/>
  <c r="I2825" i="1"/>
  <c r="H1924" i="1"/>
  <c r="U1832" i="1"/>
  <c r="Q3595" i="1"/>
  <c r="H1960" i="1"/>
  <c r="U310" i="1"/>
  <c r="D644" i="1"/>
  <c r="P1719" i="1"/>
  <c r="M1665" i="1"/>
  <c r="M1686" i="1"/>
  <c r="N331" i="1"/>
  <c r="O2258" i="1"/>
  <c r="H2860" i="1"/>
  <c r="O3110" i="1"/>
  <c r="O2518" i="1"/>
  <c r="J2771" i="1"/>
  <c r="N1914" i="1"/>
  <c r="N475" i="1"/>
  <c r="U935" i="1"/>
  <c r="AT2463" i="1"/>
  <c r="N3236" i="1"/>
  <c r="M48" i="1"/>
  <c r="O1141" i="1"/>
  <c r="I11" i="1"/>
  <c r="O2549" i="1"/>
  <c r="AT2197" i="1"/>
  <c r="AT3284" i="1"/>
  <c r="P1925" i="1"/>
  <c r="M2806" i="1"/>
  <c r="N346" i="1"/>
  <c r="N1131" i="1"/>
  <c r="N649" i="1"/>
  <c r="U3521" i="1"/>
  <c r="M1334" i="1"/>
  <c r="D3508" i="1"/>
  <c r="D2622" i="1"/>
  <c r="U1620" i="1"/>
  <c r="N1251" i="1"/>
  <c r="O2820" i="1"/>
  <c r="U1926" i="1"/>
  <c r="D939" i="1"/>
  <c r="J132" i="1"/>
  <c r="P1793" i="1"/>
  <c r="O2949" i="1"/>
  <c r="J3136" i="1"/>
  <c r="O2599" i="1"/>
  <c r="D3142" i="1"/>
  <c r="O1654" i="1"/>
  <c r="D3111" i="1"/>
  <c r="P1452" i="1"/>
  <c r="N512" i="1"/>
  <c r="AT1766" i="1"/>
  <c r="P1468" i="1"/>
  <c r="M2389" i="1"/>
  <c r="D80" i="1"/>
  <c r="K341" i="1"/>
  <c r="O209" i="1"/>
  <c r="I1985" i="1"/>
  <c r="U431" i="1"/>
  <c r="J1510" i="1"/>
  <c r="Q2049" i="1"/>
  <c r="Q937" i="1"/>
  <c r="M943" i="1"/>
  <c r="N961" i="1"/>
  <c r="U3368" i="1"/>
  <c r="U1798" i="1"/>
  <c r="O2014" i="1"/>
  <c r="Q3452" i="1"/>
  <c r="D3441" i="1"/>
  <c r="O3062" i="1"/>
  <c r="H287" i="1"/>
  <c r="I396" i="1"/>
  <c r="N2010" i="1"/>
  <c r="M816" i="1"/>
  <c r="O576" i="1"/>
  <c r="M3359" i="1"/>
  <c r="Q1554" i="1"/>
  <c r="N1194" i="1"/>
  <c r="AT168" i="1"/>
  <c r="D2613" i="1"/>
  <c r="D20" i="1"/>
  <c r="D1526" i="1"/>
  <c r="AT669" i="1"/>
  <c r="Q202" i="1"/>
  <c r="I938" i="1"/>
  <c r="M1859" i="1"/>
  <c r="I2071" i="1"/>
  <c r="H404" i="1"/>
  <c r="N722" i="1"/>
  <c r="I759" i="1"/>
  <c r="K76" i="1"/>
  <c r="D2744" i="1"/>
  <c r="N532" i="1"/>
  <c r="AT514" i="1"/>
  <c r="AT249" i="1"/>
  <c r="J1651" i="1"/>
  <c r="Q2102" i="1"/>
  <c r="K3221" i="1"/>
  <c r="M29" i="1"/>
  <c r="U1427" i="1"/>
  <c r="AT329" i="1"/>
  <c r="M324" i="1"/>
  <c r="N2699" i="1"/>
  <c r="M2334" i="1"/>
  <c r="N3153" i="1"/>
  <c r="M7" i="1"/>
  <c r="J264" i="1"/>
  <c r="Q3551" i="1"/>
  <c r="U1584" i="1"/>
  <c r="J2160" i="1"/>
  <c r="H2911" i="1"/>
  <c r="J1265" i="1"/>
  <c r="AT2048" i="1"/>
  <c r="J973" i="1"/>
  <c r="AT637" i="1"/>
  <c r="AT447" i="1"/>
  <c r="H2137" i="1"/>
  <c r="D2170" i="1"/>
  <c r="J1410" i="1"/>
  <c r="Q3490" i="1"/>
  <c r="H659" i="1"/>
  <c r="I307" i="1"/>
  <c r="I194" i="1"/>
  <c r="AT961" i="1"/>
  <c r="AT3275" i="1"/>
  <c r="J1333" i="1"/>
  <c r="N1418" i="1"/>
  <c r="K2954" i="1"/>
  <c r="U1034" i="1"/>
  <c r="AT111" i="1"/>
  <c r="H894" i="1"/>
  <c r="AT3189" i="1"/>
  <c r="M3589" i="1"/>
  <c r="N1993" i="1"/>
  <c r="N1568" i="1"/>
  <c r="J197" i="1"/>
  <c r="AT845" i="1"/>
  <c r="Q395" i="1"/>
  <c r="M849" i="1"/>
  <c r="P596" i="1"/>
  <c r="O2831" i="1"/>
  <c r="N1496" i="1"/>
  <c r="N160" i="1"/>
  <c r="AT2219" i="1"/>
  <c r="I735" i="1"/>
  <c r="Q1614" i="1"/>
  <c r="U1920" i="1"/>
  <c r="M1548" i="1"/>
  <c r="P3406" i="1"/>
  <c r="O408" i="1"/>
  <c r="Q1471" i="1"/>
  <c r="P1376" i="1"/>
  <c r="AT2852" i="1"/>
  <c r="M3452" i="1"/>
  <c r="P218" i="1"/>
  <c r="U1397" i="1"/>
  <c r="N211" i="1"/>
  <c r="U755" i="1"/>
  <c r="O149" i="1"/>
  <c r="U1344" i="1"/>
  <c r="M267" i="1"/>
  <c r="N515" i="1"/>
  <c r="AT388" i="1"/>
  <c r="D1619" i="1"/>
  <c r="AT232" i="1"/>
  <c r="H2984" i="1"/>
  <c r="K3070" i="1"/>
  <c r="AT2337" i="1"/>
  <c r="N608" i="1"/>
  <c r="N380" i="1"/>
  <c r="H1693" i="1"/>
  <c r="Q2661" i="1"/>
  <c r="O2128" i="1"/>
  <c r="O138" i="1"/>
  <c r="N1061" i="1"/>
  <c r="P2923" i="1"/>
  <c r="P342" i="1"/>
  <c r="D1035" i="1"/>
  <c r="I2383" i="1"/>
  <c r="H152" i="1"/>
  <c r="O378" i="1"/>
  <c r="M1746" i="1"/>
  <c r="D1849" i="1"/>
  <c r="N733" i="1"/>
  <c r="AT737" i="1"/>
  <c r="N3221" i="1"/>
  <c r="P1370" i="1"/>
  <c r="Q1590" i="1"/>
  <c r="O3025" i="1"/>
  <c r="D1153" i="1"/>
  <c r="J2323" i="1"/>
  <c r="O1177" i="1"/>
  <c r="N2690" i="1"/>
  <c r="D1306" i="1"/>
  <c r="U849" i="1"/>
  <c r="AT1575" i="1"/>
  <c r="Q907" i="1"/>
  <c r="H3133" i="1"/>
  <c r="AT1001" i="1"/>
  <c r="AT2353" i="1"/>
  <c r="K2239" i="1"/>
  <c r="I1740" i="1"/>
  <c r="D804" i="1"/>
  <c r="M2654" i="1"/>
  <c r="Q1100" i="1"/>
  <c r="M64" i="1"/>
  <c r="D635" i="1"/>
  <c r="AT461" i="1"/>
  <c r="U2208" i="1"/>
  <c r="N3485" i="1"/>
  <c r="AT1639" i="1"/>
  <c r="O2602" i="1"/>
  <c r="M729" i="1"/>
  <c r="AT2810" i="1"/>
  <c r="P2068" i="1"/>
  <c r="I2751" i="1"/>
  <c r="U2196" i="1"/>
  <c r="Q86" i="1"/>
  <c r="M1584" i="1"/>
  <c r="AT2978" i="1"/>
  <c r="N1876" i="1"/>
  <c r="N1195" i="1"/>
  <c r="O2693" i="1"/>
  <c r="M1117" i="1"/>
  <c r="D412" i="1"/>
  <c r="P2818" i="1"/>
  <c r="AT1831" i="1"/>
  <c r="D3574" i="1"/>
  <c r="U2146" i="1"/>
  <c r="AT3016" i="1"/>
  <c r="P1873" i="1"/>
  <c r="U2212" i="1"/>
  <c r="Q2299" i="1"/>
  <c r="D3550" i="1"/>
  <c r="U481" i="1"/>
  <c r="AT3099" i="1"/>
  <c r="I2898" i="1"/>
  <c r="D1862" i="1"/>
  <c r="Q2040" i="1"/>
  <c r="H2459" i="1"/>
  <c r="K1429" i="1"/>
  <c r="AT2793" i="1"/>
  <c r="P1633" i="1"/>
  <c r="AT38" i="1"/>
  <c r="M1553" i="1"/>
  <c r="Q102" i="1"/>
  <c r="Q122" i="1"/>
  <c r="O2049" i="1"/>
  <c r="Q2874" i="1"/>
  <c r="AT676" i="1"/>
  <c r="U704" i="1"/>
  <c r="K1735" i="1"/>
  <c r="J475" i="1"/>
  <c r="J3641" i="1"/>
  <c r="P1807" i="1"/>
  <c r="AT494" i="1"/>
  <c r="I3365" i="1"/>
  <c r="M3633" i="1"/>
  <c r="P3501" i="1"/>
  <c r="AT156" i="1"/>
  <c r="J461" i="1"/>
  <c r="O924" i="1"/>
  <c r="K3387" i="1"/>
  <c r="N2703" i="1"/>
  <c r="N2468" i="1"/>
  <c r="O525" i="1"/>
  <c r="M2660" i="1"/>
  <c r="M533" i="1"/>
  <c r="I921" i="1"/>
  <c r="N2684" i="1"/>
  <c r="J1395" i="1"/>
  <c r="Q1296" i="1"/>
  <c r="O1942" i="1"/>
  <c r="Q763" i="1"/>
  <c r="O1172" i="1"/>
  <c r="D188" i="1"/>
  <c r="M2743" i="1"/>
  <c r="D978" i="1"/>
  <c r="N1849" i="1"/>
  <c r="D1178" i="1"/>
  <c r="K2438" i="1"/>
  <c r="D396" i="1"/>
  <c r="I2630" i="1"/>
  <c r="P2781" i="1"/>
  <c r="U2808" i="1"/>
  <c r="O1043" i="1"/>
  <c r="O2379" i="1"/>
  <c r="K2173" i="1"/>
  <c r="O901" i="1"/>
  <c r="K2418" i="1"/>
  <c r="H2997" i="1"/>
  <c r="N3639" i="1"/>
  <c r="U2089" i="1"/>
  <c r="M2200" i="1"/>
  <c r="Q683" i="1"/>
  <c r="M191" i="1"/>
  <c r="Q2542" i="1"/>
  <c r="N1183" i="1"/>
  <c r="O3591" i="1"/>
  <c r="I2595" i="1"/>
  <c r="AT673" i="1"/>
  <c r="AT1619" i="1"/>
  <c r="P1105" i="1"/>
  <c r="J1243" i="1"/>
  <c r="I462" i="1"/>
  <c r="I3280" i="1"/>
  <c r="M894" i="1"/>
  <c r="AT3253" i="1"/>
  <c r="Q3030" i="1"/>
  <c r="H1645" i="1"/>
  <c r="Q126" i="1"/>
  <c r="M786" i="1"/>
  <c r="O1053" i="1"/>
  <c r="U1767" i="1"/>
  <c r="H3186" i="1"/>
  <c r="P1001" i="1"/>
  <c r="J3075" i="1"/>
  <c r="P757" i="1"/>
  <c r="D241" i="1"/>
  <c r="M302" i="1"/>
  <c r="K2774" i="1"/>
  <c r="U2030" i="1"/>
  <c r="D2699" i="1"/>
  <c r="K1736" i="1"/>
  <c r="J1497" i="1"/>
  <c r="Q747" i="1"/>
  <c r="P439" i="1"/>
  <c r="D1819" i="1"/>
  <c r="I74" i="1"/>
  <c r="Q3141" i="1"/>
  <c r="AT2939" i="1"/>
  <c r="Q1008" i="1"/>
  <c r="I3618" i="1"/>
  <c r="O2194" i="1"/>
  <c r="D2733" i="1"/>
  <c r="H1539" i="1"/>
  <c r="P2102" i="1"/>
  <c r="M596" i="1"/>
  <c r="N2495" i="1"/>
  <c r="H3231" i="1"/>
  <c r="J1483" i="1"/>
  <c r="M572" i="1"/>
  <c r="N479" i="1"/>
  <c r="AT3380" i="1"/>
  <c r="I2440" i="1"/>
  <c r="N410" i="1"/>
  <c r="J634" i="1"/>
  <c r="O2980" i="1"/>
  <c r="I332" i="1"/>
  <c r="AT709" i="1"/>
  <c r="Q945" i="1"/>
  <c r="O872" i="1"/>
  <c r="I3239" i="1"/>
  <c r="K2444" i="1"/>
  <c r="U2492" i="1"/>
  <c r="U3213" i="1"/>
  <c r="H590" i="1"/>
  <c r="K1460" i="1"/>
  <c r="Q2022" i="1"/>
  <c r="AT2425" i="1"/>
  <c r="U56" i="1"/>
  <c r="I55" i="1"/>
  <c r="O2153" i="1"/>
  <c r="N812" i="1"/>
  <c r="H1289" i="1"/>
  <c r="Q1516" i="1"/>
  <c r="O2672" i="1"/>
  <c r="H1102" i="1"/>
  <c r="D2018" i="1"/>
  <c r="N1760" i="1"/>
  <c r="M1076" i="1"/>
  <c r="AT3620" i="1"/>
  <c r="P3097" i="1"/>
  <c r="D1623" i="1"/>
  <c r="I922" i="1"/>
  <c r="O2306" i="1"/>
  <c r="AT20" i="1"/>
  <c r="I1444" i="1"/>
  <c r="K236" i="1"/>
  <c r="U1376" i="1"/>
  <c r="Q1170" i="1"/>
  <c r="AT2225" i="1"/>
  <c r="D3227" i="1"/>
  <c r="K1696" i="1"/>
  <c r="M1737" i="1"/>
  <c r="K1439" i="1"/>
  <c r="O2852" i="1"/>
  <c r="I1635" i="1"/>
  <c r="I1306" i="1"/>
  <c r="N2335" i="1"/>
  <c r="U2723" i="1"/>
  <c r="K3201" i="1"/>
  <c r="H1712" i="1"/>
  <c r="K3062" i="1"/>
  <c r="P2118" i="1"/>
  <c r="N3366" i="1"/>
  <c r="Q1851" i="1"/>
  <c r="AT3157" i="1"/>
  <c r="M2979" i="1"/>
  <c r="I28" i="1"/>
  <c r="N2627" i="1"/>
  <c r="M1599" i="1"/>
  <c r="AT790" i="1"/>
  <c r="K62" i="1"/>
  <c r="K1904" i="1"/>
  <c r="AT2358" i="1"/>
  <c r="M1630" i="1"/>
  <c r="O3035" i="1"/>
  <c r="Q248" i="1"/>
  <c r="N606" i="1"/>
  <c r="AT3314" i="1"/>
  <c r="I1778" i="1"/>
  <c r="U931" i="1"/>
  <c r="D1424" i="1"/>
  <c r="U2625" i="1"/>
  <c r="H842" i="1"/>
  <c r="H1020" i="1"/>
  <c r="O736" i="1"/>
  <c r="J1156" i="1"/>
  <c r="J3418" i="1"/>
  <c r="K2804" i="1"/>
  <c r="I974" i="1"/>
  <c r="AT861" i="1"/>
  <c r="N730" i="1"/>
  <c r="D969" i="1"/>
  <c r="D163" i="1"/>
  <c r="U3578" i="1"/>
  <c r="M2472" i="1"/>
  <c r="I1065" i="1"/>
  <c r="AT273" i="1"/>
  <c r="M76" i="1"/>
  <c r="O1963" i="1"/>
  <c r="U522" i="1"/>
  <c r="M1717" i="1"/>
  <c r="M647" i="1"/>
  <c r="U2511" i="1"/>
  <c r="O3205" i="1"/>
  <c r="H3176" i="1"/>
  <c r="K2836" i="1"/>
  <c r="AT212" i="1"/>
  <c r="D3038" i="1"/>
  <c r="N533" i="1"/>
  <c r="I1843" i="1"/>
  <c r="N227" i="1"/>
  <c r="M433" i="1"/>
  <c r="D3404" i="1"/>
  <c r="U2291" i="1"/>
  <c r="AT1988" i="1"/>
  <c r="K2799" i="1"/>
  <c r="D3024" i="1"/>
  <c r="I1029" i="1"/>
  <c r="O2087" i="1"/>
  <c r="H488" i="1"/>
  <c r="D2188" i="1"/>
  <c r="Q1275" i="1"/>
  <c r="N2992" i="1"/>
  <c r="AT2317" i="1"/>
  <c r="U171" i="1"/>
  <c r="U1460" i="1"/>
  <c r="AT3073" i="1"/>
  <c r="AT3084" i="1"/>
  <c r="P2098" i="1"/>
  <c r="H705" i="1"/>
  <c r="H2846" i="1"/>
  <c r="I584" i="1"/>
  <c r="P1250" i="1"/>
  <c r="AT2011" i="1"/>
  <c r="H1033" i="1"/>
  <c r="O256" i="1"/>
  <c r="I3028" i="1"/>
  <c r="AT1144" i="1"/>
  <c r="D1784" i="1"/>
  <c r="D3291" i="1"/>
  <c r="AT2193" i="1"/>
  <c r="P2345" i="1"/>
  <c r="O1616" i="1"/>
  <c r="N2572" i="1"/>
  <c r="Q2116" i="1"/>
  <c r="D3296" i="1"/>
  <c r="D2385" i="1"/>
  <c r="O2504" i="1"/>
  <c r="D1010" i="1"/>
  <c r="D2179" i="1"/>
  <c r="K2610" i="1"/>
  <c r="D731" i="1"/>
  <c r="AT2574" i="1"/>
  <c r="M2948" i="1"/>
  <c r="N1329" i="1"/>
  <c r="M3525" i="1"/>
  <c r="D2187" i="1"/>
  <c r="H2519" i="1"/>
  <c r="AT2855" i="1"/>
  <c r="P1660" i="1"/>
  <c r="P397" i="1"/>
  <c r="P3354" i="1"/>
  <c r="I2435" i="1"/>
  <c r="O560" i="1"/>
  <c r="M2845" i="1"/>
  <c r="M2803" i="1"/>
  <c r="J1212" i="1"/>
  <c r="N1963" i="1"/>
  <c r="Q2370" i="1"/>
  <c r="AT1759" i="1"/>
  <c r="D864" i="1"/>
  <c r="P1583" i="1"/>
  <c r="U1293" i="1"/>
  <c r="M534" i="1"/>
  <c r="N2182" i="1"/>
  <c r="M3319" i="1"/>
  <c r="N2866" i="1"/>
  <c r="U1387" i="1"/>
  <c r="N88" i="1"/>
  <c r="AT924" i="1"/>
  <c r="M1350" i="1"/>
  <c r="D3322" i="1"/>
  <c r="N1863" i="1"/>
  <c r="M71" i="1"/>
  <c r="D906" i="1"/>
  <c r="P2701" i="1"/>
  <c r="P885" i="1"/>
  <c r="O916" i="1"/>
  <c r="K2195" i="1"/>
  <c r="I2634" i="1"/>
  <c r="Q730" i="1"/>
  <c r="I1721" i="1"/>
  <c r="K2022" i="1"/>
  <c r="O2996" i="1"/>
  <c r="U1413" i="1"/>
  <c r="Q674" i="1"/>
  <c r="Q3229" i="1"/>
  <c r="AT1213" i="1"/>
  <c r="P2232" i="1"/>
  <c r="M3086" i="1"/>
  <c r="J3399" i="1"/>
  <c r="D1182" i="1"/>
  <c r="I2243" i="1"/>
  <c r="K83" i="1"/>
  <c r="Q2477" i="1"/>
  <c r="P251" i="1"/>
  <c r="P2671" i="1"/>
  <c r="M2385" i="1"/>
  <c r="N367" i="1"/>
  <c r="N2876" i="1"/>
  <c r="P2233" i="1"/>
  <c r="U2707" i="1"/>
  <c r="AT632" i="1"/>
  <c r="D3388" i="1"/>
  <c r="M1198" i="1"/>
  <c r="AT2678" i="1"/>
  <c r="D1831" i="1"/>
  <c r="M2309" i="1"/>
  <c r="O2086" i="1"/>
  <c r="J1672" i="1"/>
  <c r="H1766" i="1"/>
  <c r="AT1838" i="1"/>
  <c r="P2587" i="1"/>
  <c r="M1101" i="1"/>
  <c r="AT863" i="1"/>
  <c r="N949" i="1"/>
  <c r="O3594" i="1"/>
  <c r="D1341" i="1"/>
  <c r="P157" i="1"/>
  <c r="Q764" i="1"/>
  <c r="J1578" i="1"/>
  <c r="AT2989" i="1"/>
  <c r="U992" i="1"/>
  <c r="P147" i="1"/>
  <c r="N2268" i="1"/>
  <c r="J2406" i="1"/>
  <c r="K3529" i="1"/>
  <c r="AT2171" i="1"/>
  <c r="M2431" i="1"/>
  <c r="U1587" i="1"/>
  <c r="O961" i="1"/>
  <c r="N2730" i="1"/>
  <c r="U1636" i="1"/>
  <c r="D2672" i="1"/>
  <c r="M3060" i="1"/>
  <c r="H316" i="1"/>
  <c r="D3021" i="1"/>
  <c r="K2542" i="1"/>
  <c r="J3394" i="1"/>
  <c r="M2378" i="1"/>
  <c r="Q1214" i="1"/>
  <c r="U1329" i="1"/>
  <c r="N782" i="1"/>
  <c r="U129" i="1"/>
  <c r="D3377" i="1"/>
  <c r="P880" i="1"/>
  <c r="D1265" i="1"/>
  <c r="AT1231" i="1"/>
  <c r="M2180" i="1"/>
  <c r="D239" i="1"/>
  <c r="AT3537" i="1"/>
  <c r="J2720" i="1"/>
  <c r="AT1624" i="1"/>
  <c r="O2182" i="1"/>
  <c r="D403" i="1"/>
  <c r="M3305" i="1"/>
  <c r="P1455" i="1"/>
  <c r="P2873" i="1"/>
  <c r="D1336" i="1"/>
  <c r="I1006" i="1"/>
  <c r="D2631" i="1"/>
  <c r="H1508" i="1"/>
  <c r="P270" i="1"/>
  <c r="P1297" i="1"/>
  <c r="U2750" i="1"/>
  <c r="O464" i="1"/>
  <c r="M2980" i="1"/>
  <c r="D2528" i="1"/>
  <c r="P849" i="1"/>
  <c r="M3480" i="1"/>
  <c r="P127" i="1"/>
  <c r="N3451" i="1"/>
  <c r="AT1479" i="1"/>
  <c r="AT993" i="1"/>
  <c r="AT2634" i="1"/>
  <c r="N354" i="1"/>
  <c r="U2431" i="1"/>
  <c r="Q749" i="1"/>
  <c r="O810" i="1"/>
  <c r="J1916" i="1"/>
  <c r="U3569" i="1"/>
  <c r="AT2278" i="1"/>
  <c r="P1081" i="1"/>
  <c r="D2949" i="1"/>
  <c r="AT2065" i="1"/>
  <c r="U3092" i="1"/>
  <c r="Q3309" i="1"/>
  <c r="K435" i="1"/>
  <c r="P3339" i="1"/>
  <c r="O3434" i="1"/>
  <c r="D1344" i="1"/>
  <c r="D2954" i="1"/>
  <c r="D3554" i="1"/>
  <c r="O3490" i="1"/>
  <c r="P3602" i="1"/>
  <c r="D1911" i="1"/>
  <c r="O2769" i="1"/>
  <c r="J1978" i="1"/>
  <c r="P1537" i="1"/>
  <c r="M968" i="1"/>
  <c r="N2151" i="1"/>
  <c r="O1268" i="1"/>
  <c r="D1005" i="1"/>
  <c r="AT2765" i="1"/>
  <c r="H2946" i="1"/>
  <c r="O2172" i="1"/>
  <c r="N595" i="1"/>
  <c r="P1488" i="1"/>
  <c r="M510" i="1"/>
  <c r="D1666" i="1"/>
  <c r="I1420" i="1"/>
  <c r="I2336" i="1"/>
  <c r="D149" i="1"/>
  <c r="Q2586" i="1"/>
  <c r="D7" i="1"/>
  <c r="M1226" i="1"/>
  <c r="M3120" i="1"/>
  <c r="P2778" i="1"/>
  <c r="Q2548" i="1"/>
  <c r="AT679" i="1"/>
  <c r="AT1814" i="1"/>
  <c r="P3348" i="1"/>
  <c r="D3490" i="1"/>
  <c r="P403" i="1"/>
  <c r="AT312" i="1"/>
  <c r="M530" i="1"/>
  <c r="AT162" i="1"/>
  <c r="H835" i="1"/>
  <c r="Q1300" i="1"/>
  <c r="H2834" i="1"/>
  <c r="N1225" i="1"/>
  <c r="Q353" i="1"/>
  <c r="AT392" i="1"/>
  <c r="Q2804" i="1"/>
  <c r="H2168" i="1"/>
  <c r="Q435" i="1"/>
  <c r="P1762" i="1"/>
  <c r="P4" i="1"/>
  <c r="N1986" i="1"/>
  <c r="P2018" i="1"/>
  <c r="U363" i="1"/>
  <c r="D3253" i="1"/>
  <c r="D597" i="1"/>
  <c r="D2262" i="1"/>
  <c r="M1215" i="1"/>
  <c r="M1742" i="1"/>
  <c r="K372" i="1"/>
  <c r="Q1346" i="1"/>
  <c r="P460" i="1"/>
  <c r="I731" i="1"/>
  <c r="N3194" i="1"/>
  <c r="O2254" i="1"/>
  <c r="AT3096" i="1"/>
  <c r="O19" i="1"/>
  <c r="M636" i="1"/>
  <c r="Q2166" i="1"/>
  <c r="U2830" i="1"/>
  <c r="M1827" i="1"/>
  <c r="M3512" i="1"/>
  <c r="O412" i="1"/>
  <c r="O2198" i="1"/>
  <c r="U2215" i="1"/>
  <c r="D2172" i="1"/>
  <c r="AT2648" i="1"/>
  <c r="U848" i="1"/>
  <c r="N1089" i="1"/>
  <c r="N2855" i="1"/>
  <c r="Q536" i="1"/>
  <c r="M664" i="1"/>
  <c r="J2889" i="1"/>
  <c r="U3304" i="1"/>
  <c r="M1380" i="1"/>
  <c r="AT3530" i="1"/>
  <c r="J962" i="1"/>
  <c r="D3449" i="1"/>
  <c r="P3356" i="1"/>
  <c r="D319" i="1"/>
  <c r="P1778" i="1"/>
  <c r="D1291" i="1"/>
  <c r="O3222" i="1"/>
  <c r="Q1593" i="1"/>
  <c r="AT1577" i="1"/>
  <c r="AT2304" i="1"/>
  <c r="M3378" i="1"/>
  <c r="K1118" i="1"/>
  <c r="N1276" i="1"/>
  <c r="N601" i="1"/>
  <c r="H1523" i="1"/>
  <c r="K2077" i="1"/>
  <c r="M3301" i="1"/>
  <c r="O1980" i="1"/>
  <c r="I2985" i="1"/>
  <c r="H1198" i="1"/>
  <c r="O260" i="1"/>
  <c r="H1270" i="1"/>
  <c r="P2428" i="1"/>
  <c r="D2746" i="1"/>
  <c r="J2369" i="1"/>
  <c r="J1528" i="1"/>
  <c r="O1085" i="1"/>
  <c r="N1150" i="1"/>
  <c r="AT3633" i="1"/>
  <c r="Q702" i="1"/>
  <c r="AT1042" i="1"/>
  <c r="AT53" i="1"/>
  <c r="Q1997" i="1"/>
  <c r="P2563" i="1"/>
  <c r="AT2013" i="1"/>
  <c r="P1749" i="1"/>
  <c r="D1771" i="1"/>
  <c r="M918" i="1"/>
  <c r="N3386" i="1"/>
  <c r="I1625" i="1"/>
  <c r="U2153" i="1"/>
  <c r="AT3248" i="1"/>
  <c r="P2253" i="1"/>
  <c r="J3249" i="1"/>
  <c r="J3594" i="1"/>
  <c r="J376" i="1"/>
  <c r="J3597" i="1"/>
  <c r="K419" i="1"/>
  <c r="K2630" i="1"/>
  <c r="J3488" i="1"/>
  <c r="AT219" i="1"/>
  <c r="P476" i="1"/>
  <c r="O3048" i="1"/>
  <c r="U3590" i="1"/>
  <c r="U2949" i="1"/>
  <c r="P1402" i="1"/>
  <c r="K2617" i="1"/>
  <c r="O1099" i="1"/>
  <c r="U2220" i="1"/>
  <c r="M588" i="1"/>
  <c r="J3635" i="1"/>
  <c r="P2470" i="1"/>
  <c r="Q2265" i="1"/>
  <c r="M2305" i="1"/>
  <c r="P341" i="1"/>
  <c r="Q1803" i="1"/>
  <c r="Q527" i="1"/>
  <c r="P2073" i="1"/>
  <c r="M3052" i="1"/>
  <c r="M3031" i="1"/>
  <c r="M59" i="1"/>
  <c r="N1253" i="1"/>
  <c r="H360" i="1"/>
  <c r="H3157" i="1"/>
  <c r="M2828" i="1"/>
  <c r="H1303" i="1"/>
  <c r="U1191" i="1"/>
  <c r="U663" i="1"/>
  <c r="K1132" i="1"/>
  <c r="Q2978" i="1"/>
  <c r="M1359" i="1"/>
  <c r="P2144" i="1"/>
  <c r="P829" i="1"/>
  <c r="P1617" i="1"/>
  <c r="O2918" i="1"/>
  <c r="O3460" i="1"/>
  <c r="N710" i="1"/>
  <c r="K3055" i="1"/>
  <c r="O2978" i="1"/>
  <c r="N2030" i="1"/>
  <c r="AT1383" i="1"/>
  <c r="H2655" i="1"/>
  <c r="K50" i="1"/>
  <c r="O3268" i="1"/>
  <c r="D2912" i="1"/>
  <c r="D2632" i="1"/>
  <c r="AT981" i="1"/>
  <c r="M863" i="1"/>
  <c r="H1801" i="1"/>
  <c r="O3390" i="1"/>
  <c r="U3369" i="1"/>
  <c r="N240" i="1"/>
  <c r="Q2011" i="1"/>
  <c r="J1898" i="1"/>
  <c r="Q643" i="1"/>
  <c r="Q3173" i="1"/>
  <c r="P2026" i="1"/>
  <c r="U2037" i="1"/>
  <c r="J2462" i="1"/>
  <c r="O190" i="1"/>
  <c r="M2388" i="1"/>
  <c r="J549" i="1"/>
  <c r="AT6" i="1"/>
  <c r="J1736" i="1"/>
  <c r="D325" i="1"/>
  <c r="P1015" i="1"/>
  <c r="O1961" i="1"/>
  <c r="M2490" i="1"/>
  <c r="P3467" i="1"/>
  <c r="N2878" i="1"/>
  <c r="P629" i="1"/>
  <c r="M2515" i="1"/>
  <c r="O1826" i="1"/>
  <c r="Q3275" i="1"/>
  <c r="O935" i="1"/>
  <c r="M1167" i="1"/>
  <c r="H1318" i="1"/>
  <c r="AT1065" i="1"/>
  <c r="Q3162" i="1"/>
  <c r="D1914" i="1"/>
  <c r="Q183" i="1"/>
  <c r="M2622" i="1"/>
  <c r="D2869" i="1"/>
  <c r="J1767" i="1"/>
  <c r="J49" i="1"/>
  <c r="D1066" i="1"/>
  <c r="AT1396" i="1"/>
  <c r="O2396" i="1"/>
  <c r="AT704" i="1"/>
  <c r="N291" i="1"/>
  <c r="I3451" i="1"/>
  <c r="D2255" i="1"/>
  <c r="N339" i="1"/>
  <c r="N2349" i="1"/>
  <c r="P3146" i="1"/>
  <c r="D1890" i="1"/>
  <c r="D1096" i="1"/>
  <c r="U3226" i="1"/>
  <c r="AT623" i="1"/>
  <c r="P1930" i="1"/>
  <c r="U1867" i="1"/>
  <c r="H325" i="1"/>
  <c r="M3049" i="1"/>
  <c r="O2554" i="1"/>
  <c r="D82" i="1"/>
  <c r="P1957" i="1"/>
  <c r="AT3165" i="1"/>
  <c r="H795" i="1"/>
  <c r="O2839" i="1"/>
  <c r="P1760" i="1"/>
  <c r="K3216" i="1"/>
  <c r="N1364" i="1"/>
  <c r="U3016" i="1"/>
  <c r="Q2267" i="1"/>
  <c r="O976" i="1"/>
  <c r="D3396" i="1"/>
  <c r="Q72" i="1"/>
  <c r="D2509" i="1"/>
  <c r="Q2895" i="1"/>
  <c r="AT2935" i="1"/>
  <c r="I3002" i="1"/>
  <c r="U1394" i="1"/>
  <c r="N4" i="1"/>
  <c r="H103" i="1"/>
  <c r="H3607" i="1"/>
  <c r="O1403" i="1"/>
  <c r="J2233" i="1"/>
  <c r="U965" i="1"/>
  <c r="H654" i="1"/>
  <c r="J756" i="1"/>
  <c r="D3577" i="1"/>
  <c r="Q1269" i="1"/>
  <c r="D2461" i="1"/>
  <c r="K569" i="1"/>
  <c r="AT1259" i="1"/>
  <c r="O3226" i="1"/>
  <c r="AT1445" i="1"/>
  <c r="P3066" i="1"/>
  <c r="K860" i="1"/>
  <c r="U2506" i="1"/>
  <c r="I272" i="1"/>
  <c r="D1910" i="1"/>
  <c r="AT2284" i="1"/>
  <c r="N278" i="1"/>
  <c r="M1625" i="1"/>
  <c r="AT933" i="1"/>
  <c r="O2053" i="1"/>
  <c r="H17" i="1"/>
  <c r="P2277" i="1"/>
  <c r="H318" i="1"/>
  <c r="P1993" i="1"/>
  <c r="D1593" i="1"/>
  <c r="O323" i="1"/>
  <c r="AT3250" i="1"/>
  <c r="AT1935" i="1"/>
  <c r="J1249" i="1"/>
  <c r="O3360" i="1"/>
  <c r="K2094" i="1"/>
  <c r="O1160" i="1"/>
  <c r="P2212" i="1"/>
  <c r="AT3533" i="1"/>
  <c r="P2900" i="1"/>
  <c r="N669" i="1"/>
  <c r="U2518" i="1"/>
  <c r="AT2024" i="1"/>
  <c r="I1409" i="1"/>
  <c r="D1841" i="1"/>
  <c r="AT65" i="1"/>
  <c r="K3517" i="1"/>
  <c r="D1689" i="1"/>
  <c r="O1196" i="1"/>
  <c r="AT3321" i="1"/>
  <c r="AT1732" i="1"/>
  <c r="AT2778" i="1"/>
  <c r="D812" i="1"/>
  <c r="D1308" i="1"/>
  <c r="AT463" i="1"/>
  <c r="O1606" i="1"/>
  <c r="O2116" i="1"/>
  <c r="M107" i="1"/>
  <c r="K1787" i="1"/>
  <c r="K920" i="1"/>
  <c r="K2491" i="1"/>
  <c r="K681" i="1"/>
  <c r="I852" i="1"/>
  <c r="H1696" i="1"/>
  <c r="I631" i="1"/>
  <c r="Q2294" i="1"/>
  <c r="P1254" i="1"/>
  <c r="I2640" i="1"/>
  <c r="P1084" i="1"/>
  <c r="O321" i="1"/>
  <c r="O1688" i="1"/>
  <c r="D1748" i="1"/>
  <c r="Q238" i="1"/>
  <c r="P3570" i="1"/>
  <c r="P2295" i="1"/>
  <c r="M897" i="1"/>
  <c r="J405" i="1"/>
  <c r="J2422" i="1"/>
  <c r="Q2231" i="1"/>
  <c r="P1543" i="1"/>
  <c r="AT306" i="1"/>
  <c r="U3313" i="1"/>
  <c r="M3139" i="1"/>
  <c r="O2192" i="1"/>
  <c r="N1714" i="1"/>
  <c r="I2270" i="1"/>
  <c r="D2138" i="1"/>
  <c r="J3627" i="1"/>
  <c r="Q668" i="1"/>
  <c r="Q3638" i="1"/>
  <c r="P3303" i="1"/>
  <c r="N209" i="1"/>
  <c r="J1160" i="1"/>
  <c r="I1522" i="1"/>
  <c r="U3630" i="1"/>
  <c r="O2455" i="1"/>
  <c r="D1222" i="1"/>
  <c r="K642" i="1"/>
  <c r="U2116" i="1"/>
  <c r="P2330" i="1"/>
  <c r="I3117" i="1"/>
  <c r="AT2995" i="1"/>
  <c r="N147" i="1"/>
  <c r="K2122" i="1"/>
  <c r="D3378" i="1"/>
  <c r="U2883" i="1"/>
  <c r="U3108" i="1"/>
  <c r="N578" i="1"/>
  <c r="AT2165" i="1"/>
  <c r="H84" i="1"/>
  <c r="O3396" i="1"/>
  <c r="U3605" i="1"/>
  <c r="U678" i="1"/>
  <c r="Q2276" i="1"/>
  <c r="Q1107" i="1"/>
  <c r="J3366" i="1"/>
  <c r="O2412" i="1"/>
  <c r="M146" i="1"/>
  <c r="I1122" i="1"/>
  <c r="AT2253" i="1"/>
  <c r="I261" i="1"/>
  <c r="AT615" i="1"/>
  <c r="O2188" i="1"/>
  <c r="H2420" i="1"/>
  <c r="H984" i="1"/>
  <c r="N1719" i="1"/>
  <c r="U1874" i="1"/>
  <c r="P3408" i="1"/>
  <c r="AT2998" i="1"/>
  <c r="K2346" i="1"/>
  <c r="U1983" i="1"/>
  <c r="M1706" i="1"/>
  <c r="N100" i="1"/>
  <c r="J1789" i="1"/>
  <c r="D2326" i="1"/>
  <c r="D1273" i="1"/>
  <c r="N1535" i="1"/>
  <c r="M1335" i="1"/>
  <c r="N455" i="1"/>
  <c r="Q2524" i="1"/>
  <c r="U3261" i="1"/>
  <c r="H451" i="1"/>
  <c r="Q3388" i="1"/>
  <c r="AT989" i="1"/>
  <c r="D1923" i="1"/>
  <c r="D429" i="1"/>
  <c r="Q3598" i="1"/>
  <c r="O3433" i="1"/>
  <c r="I1117" i="1"/>
  <c r="U3264" i="1"/>
  <c r="D3090" i="1"/>
  <c r="K767" i="1"/>
  <c r="D3609" i="1"/>
  <c r="I1315" i="1"/>
  <c r="AT104" i="1"/>
  <c r="D1875" i="1"/>
  <c r="N3335" i="1"/>
  <c r="N1178" i="1"/>
  <c r="AT913" i="1"/>
  <c r="M2919" i="1"/>
  <c r="N2811" i="1"/>
  <c r="D3178" i="1"/>
  <c r="D2243" i="1"/>
  <c r="D223" i="1"/>
  <c r="AT685" i="1"/>
  <c r="D370" i="1"/>
  <c r="O368" i="1"/>
  <c r="O2584" i="1"/>
  <c r="D672" i="1"/>
  <c r="I360" i="1"/>
  <c r="O1327" i="1"/>
  <c r="U3087" i="1"/>
  <c r="D1523" i="1"/>
  <c r="Q3202" i="1"/>
  <c r="N1065" i="1"/>
  <c r="P2674" i="1"/>
  <c r="P2843" i="1"/>
  <c r="O447" i="1"/>
  <c r="M3214" i="1"/>
  <c r="U3027" i="1"/>
  <c r="U2678" i="1"/>
  <c r="D2539" i="1"/>
  <c r="P3305" i="1"/>
  <c r="H2353" i="1"/>
  <c r="M638" i="1"/>
  <c r="D589" i="1"/>
  <c r="Q2001" i="1"/>
  <c r="AT351" i="1"/>
  <c r="D3054" i="1"/>
  <c r="H683" i="1"/>
  <c r="O3015" i="1"/>
  <c r="AT1700" i="1"/>
  <c r="U1605" i="1"/>
  <c r="O835" i="1"/>
  <c r="AT3330" i="1"/>
  <c r="D2458" i="1"/>
  <c r="D3058" i="1"/>
  <c r="Q29" i="1"/>
  <c r="O3400" i="1"/>
  <c r="M1336" i="1"/>
  <c r="P1042" i="1"/>
  <c r="P3499" i="1"/>
  <c r="I2553" i="1"/>
  <c r="P2196" i="1"/>
  <c r="M3470" i="1"/>
  <c r="U3555" i="1"/>
  <c r="J578" i="1"/>
  <c r="I2801" i="1"/>
  <c r="O25" i="1"/>
  <c r="O2322" i="1"/>
  <c r="N2725" i="1"/>
  <c r="N312" i="1"/>
  <c r="I2909" i="1"/>
  <c r="AT3320" i="1"/>
  <c r="O3420" i="1"/>
  <c r="Q3066" i="1"/>
  <c r="D929" i="1"/>
  <c r="U3277" i="1"/>
  <c r="P3165" i="1"/>
  <c r="P455" i="1"/>
  <c r="U1097" i="1"/>
  <c r="M2921" i="1"/>
  <c r="P2736" i="1"/>
  <c r="D267" i="1"/>
  <c r="Q3019" i="1"/>
  <c r="O1794" i="1"/>
  <c r="H692" i="1"/>
  <c r="Q1768" i="1"/>
  <c r="H2043" i="1"/>
  <c r="N210" i="1"/>
  <c r="AT2691" i="1"/>
  <c r="D3137" i="1"/>
  <c r="AT2735" i="1"/>
  <c r="N630" i="1"/>
  <c r="Q460" i="1"/>
  <c r="D2115" i="1"/>
  <c r="K3369" i="1"/>
  <c r="H940" i="1"/>
  <c r="H2323" i="1"/>
  <c r="I701" i="1"/>
  <c r="H2965" i="1"/>
  <c r="D720" i="1"/>
  <c r="O3534" i="1"/>
  <c r="H282" i="1"/>
  <c r="P697" i="1"/>
  <c r="U2096" i="1"/>
  <c r="M3554" i="1"/>
  <c r="D661" i="1"/>
  <c r="P1118" i="1"/>
  <c r="H843" i="1"/>
  <c r="AT721" i="1"/>
  <c r="Q1476" i="1"/>
  <c r="D652" i="1"/>
  <c r="I2063" i="1"/>
  <c r="D114" i="1"/>
  <c r="K3205" i="1"/>
  <c r="H2758" i="1"/>
  <c r="D1156" i="1"/>
  <c r="P3290" i="1"/>
  <c r="U3254" i="1"/>
  <c r="P2752" i="1"/>
  <c r="U2176" i="1"/>
  <c r="M817" i="1"/>
  <c r="D26" i="1"/>
  <c r="O1855" i="1"/>
  <c r="H146" i="1"/>
  <c r="M1624" i="1"/>
  <c r="I1765" i="1"/>
  <c r="M2968" i="1"/>
  <c r="P1654" i="1"/>
  <c r="D681" i="1"/>
  <c r="H2315" i="1"/>
  <c r="P2159" i="1"/>
  <c r="D2160" i="1"/>
  <c r="D981" i="1"/>
  <c r="D2012" i="1"/>
  <c r="M1694" i="1"/>
  <c r="K2045" i="1"/>
  <c r="P1288" i="1"/>
  <c r="N182" i="1"/>
  <c r="Q1332" i="1"/>
  <c r="U1345" i="1"/>
  <c r="AT1116" i="1"/>
  <c r="Q3400" i="1"/>
  <c r="D638" i="1"/>
  <c r="I2346" i="1"/>
  <c r="O373" i="1"/>
  <c r="P310" i="1"/>
  <c r="O2988" i="1"/>
  <c r="N737" i="1"/>
  <c r="O1095" i="1"/>
  <c r="M1066" i="1"/>
  <c r="O1032" i="1"/>
  <c r="P2568" i="1"/>
  <c r="K1738" i="1"/>
  <c r="D2778" i="1"/>
  <c r="O1838" i="1"/>
  <c r="I3073" i="1"/>
  <c r="D3489" i="1"/>
  <c r="J2583" i="1"/>
  <c r="D569" i="1"/>
  <c r="H1678" i="1"/>
  <c r="M1908" i="1"/>
  <c r="I505" i="1"/>
  <c r="U1975" i="1"/>
  <c r="O3466" i="1"/>
  <c r="I3208" i="1"/>
  <c r="P1584" i="1"/>
  <c r="M369" i="1"/>
  <c r="P463" i="1"/>
  <c r="N826" i="1"/>
  <c r="P847" i="1"/>
  <c r="O2079" i="1"/>
  <c r="O1935" i="1"/>
  <c r="AT2667" i="1"/>
  <c r="D626" i="1"/>
  <c r="K396" i="1"/>
  <c r="M1872" i="1"/>
  <c r="M1075" i="1"/>
  <c r="O677" i="1"/>
  <c r="D57" i="1"/>
  <c r="Q1039" i="1"/>
  <c r="N3626" i="1"/>
  <c r="AT1910" i="1"/>
  <c r="K1841" i="1"/>
  <c r="N3614" i="1"/>
  <c r="Q2473" i="1"/>
  <c r="AT1193" i="1"/>
  <c r="O2605" i="1"/>
  <c r="I2943" i="1"/>
  <c r="O680" i="1"/>
  <c r="D2253" i="1"/>
  <c r="H3277" i="1"/>
  <c r="D792" i="1"/>
  <c r="K11" i="1"/>
  <c r="K1251" i="1"/>
  <c r="M857" i="1"/>
  <c r="O3372" i="1"/>
  <c r="Q2005" i="1"/>
  <c r="N582" i="1"/>
  <c r="U2905" i="1"/>
  <c r="I1785" i="1"/>
  <c r="AT2281" i="1"/>
  <c r="I2724" i="1"/>
  <c r="D2419" i="1"/>
  <c r="U3106" i="1"/>
  <c r="K2033" i="1"/>
  <c r="J1559" i="1"/>
  <c r="O2342" i="1"/>
  <c r="N2319" i="1"/>
  <c r="U3565" i="1"/>
  <c r="D2439" i="1"/>
  <c r="AT1029" i="1"/>
  <c r="H2908" i="1"/>
  <c r="D1459" i="1"/>
  <c r="AT2826" i="1"/>
  <c r="Q3343" i="1"/>
  <c r="M2926" i="1"/>
  <c r="N274" i="1"/>
  <c r="P2312" i="1"/>
  <c r="I2140" i="1"/>
  <c r="D1560" i="1"/>
  <c r="D732" i="1"/>
  <c r="O480" i="1"/>
  <c r="M1083" i="1"/>
  <c r="N1198" i="1"/>
  <c r="O1424" i="1"/>
  <c r="Q2617" i="1"/>
  <c r="D2873" i="1"/>
  <c r="I909" i="1"/>
  <c r="M2819" i="1"/>
  <c r="Q2909" i="1"/>
  <c r="U1007" i="1"/>
  <c r="J1668" i="1"/>
  <c r="AT1154" i="1"/>
  <c r="U2479" i="1"/>
  <c r="H2016" i="1"/>
  <c r="P1959" i="1"/>
  <c r="I1599" i="1"/>
  <c r="P3061" i="1"/>
  <c r="AT1488" i="1"/>
  <c r="P1369" i="1"/>
  <c r="AT1095" i="1"/>
  <c r="N159" i="1"/>
  <c r="D125" i="1"/>
  <c r="M2078" i="1"/>
  <c r="AT2196" i="1"/>
  <c r="D1673" i="1"/>
  <c r="AT787" i="1"/>
  <c r="P944" i="1"/>
  <c r="O2341" i="1"/>
  <c r="N300" i="1"/>
  <c r="Q886" i="1"/>
  <c r="I3443" i="1"/>
  <c r="Q2346" i="1"/>
  <c r="AT705" i="1"/>
  <c r="M2868" i="1"/>
  <c r="H2944" i="1"/>
  <c r="P2115" i="1"/>
  <c r="U3395" i="1"/>
  <c r="J1764" i="1"/>
  <c r="M202" i="1"/>
  <c r="D2099" i="1"/>
  <c r="D2827" i="1"/>
  <c r="H2268" i="1"/>
  <c r="AT3127" i="1"/>
  <c r="P133" i="1"/>
  <c r="P1063" i="1"/>
  <c r="O2837" i="1"/>
  <c r="U2071" i="1"/>
  <c r="N1159" i="1"/>
  <c r="Q1773" i="1"/>
  <c r="N579" i="1"/>
  <c r="O484" i="1"/>
  <c r="O1566" i="1"/>
  <c r="P763" i="1"/>
  <c r="N2952" i="1"/>
  <c r="U2333" i="1"/>
  <c r="M2975" i="1"/>
  <c r="N849" i="1"/>
  <c r="H1212" i="1"/>
  <c r="H2690" i="1"/>
  <c r="I1432" i="1"/>
  <c r="M2349" i="1"/>
  <c r="I2460" i="1"/>
  <c r="D168" i="1"/>
  <c r="Q321" i="1"/>
  <c r="D2492" i="1"/>
  <c r="Q762" i="1"/>
  <c r="AT1134" i="1"/>
  <c r="D1695" i="1"/>
  <c r="AT887" i="1"/>
  <c r="O3176" i="1"/>
  <c r="D138" i="1"/>
  <c r="O919" i="1"/>
  <c r="U3364" i="1"/>
  <c r="O2023" i="1"/>
  <c r="D457" i="1"/>
  <c r="O400" i="1"/>
  <c r="P1133" i="1"/>
  <c r="H229" i="1"/>
  <c r="J2779" i="1"/>
  <c r="I2534" i="1"/>
  <c r="N674" i="1"/>
  <c r="AT2012" i="1"/>
  <c r="M397" i="1"/>
  <c r="M3050" i="1"/>
  <c r="M1738" i="1"/>
  <c r="O2961" i="1"/>
  <c r="AT919" i="1"/>
  <c r="AT2495" i="1"/>
  <c r="J2598" i="1"/>
  <c r="AT1334" i="1"/>
  <c r="N3223" i="1"/>
  <c r="D615" i="1"/>
  <c r="P78" i="1"/>
  <c r="I1327" i="1"/>
  <c r="U338" i="1"/>
  <c r="N603" i="1"/>
  <c r="P2544" i="1"/>
  <c r="AT2628" i="1"/>
  <c r="AT3368" i="1"/>
  <c r="O3157" i="1"/>
  <c r="O1076" i="1"/>
  <c r="D734" i="1"/>
  <c r="M1885" i="1"/>
  <c r="U7" i="1"/>
  <c r="H3620" i="1"/>
  <c r="P2610" i="1"/>
  <c r="U1701" i="1"/>
  <c r="U2182" i="1"/>
  <c r="U261" i="1"/>
  <c r="M1611" i="1"/>
  <c r="M1305" i="1"/>
  <c r="O3001" i="1"/>
  <c r="O3211" i="1"/>
  <c r="AT109" i="1"/>
  <c r="J3525" i="1"/>
  <c r="D2524" i="1"/>
  <c r="O367" i="1"/>
  <c r="O3340" i="1"/>
  <c r="I2030" i="1"/>
  <c r="N2001" i="1"/>
  <c r="U2677" i="1"/>
  <c r="AT2630" i="1"/>
  <c r="N2316" i="1"/>
  <c r="Q722" i="1"/>
  <c r="Q761" i="1"/>
  <c r="J2240" i="1"/>
  <c r="O2531" i="1"/>
  <c r="H3410" i="1"/>
  <c r="N1686" i="1"/>
  <c r="AT1454" i="1"/>
  <c r="O942" i="1"/>
  <c r="M3002" i="1"/>
  <c r="N3264" i="1"/>
  <c r="AT1329" i="1"/>
  <c r="Q1547" i="1"/>
  <c r="D2987" i="1"/>
  <c r="Q3055" i="1"/>
  <c r="AT578" i="1"/>
  <c r="O2448" i="1"/>
  <c r="O2003" i="1"/>
  <c r="P3186" i="1"/>
  <c r="N716" i="1"/>
  <c r="D946" i="1"/>
  <c r="M885" i="1"/>
  <c r="I2797" i="1"/>
  <c r="N424" i="1"/>
  <c r="N3034" i="1"/>
  <c r="J1037" i="1"/>
  <c r="N3566" i="1"/>
  <c r="K525" i="1"/>
  <c r="J95" i="1"/>
  <c r="N2796" i="1"/>
  <c r="M1249" i="1"/>
  <c r="P2967" i="1"/>
  <c r="D426" i="1"/>
  <c r="M2267" i="1"/>
  <c r="U2473" i="1"/>
  <c r="D2110" i="1"/>
  <c r="D1538" i="1"/>
  <c r="N1176" i="1"/>
  <c r="N2173" i="1"/>
  <c r="AT1404" i="1"/>
  <c r="J2206" i="1"/>
  <c r="N1299" i="1"/>
  <c r="AT2158" i="1"/>
  <c r="D838" i="1"/>
  <c r="O929" i="1"/>
  <c r="H349" i="1"/>
  <c r="Q362" i="1"/>
  <c r="U2566" i="1"/>
  <c r="M3287" i="1"/>
  <c r="AT336" i="1"/>
  <c r="O711" i="1"/>
  <c r="U1181" i="1"/>
  <c r="N3011" i="1"/>
  <c r="H149" i="1"/>
  <c r="O3502" i="1"/>
  <c r="N3450" i="1"/>
  <c r="AT2856" i="1"/>
  <c r="J251" i="1"/>
  <c r="I2326" i="1"/>
  <c r="AT3561" i="1"/>
  <c r="D972" i="1"/>
  <c r="O3170" i="1"/>
  <c r="Q3266" i="1"/>
  <c r="AT3489" i="1"/>
  <c r="H2887" i="1"/>
  <c r="AT1918" i="1"/>
  <c r="P1766" i="1"/>
  <c r="O1353" i="1"/>
  <c r="AT1948" i="1"/>
  <c r="P2917" i="1"/>
  <c r="O3051" i="1"/>
  <c r="K1326" i="1"/>
  <c r="P3605" i="1"/>
  <c r="U1642" i="1"/>
  <c r="I3329" i="1"/>
  <c r="Q2562" i="1"/>
  <c r="AT1972" i="1"/>
  <c r="AT251" i="1"/>
  <c r="M764" i="1"/>
  <c r="H1835" i="1"/>
  <c r="Q1833" i="1"/>
  <c r="H1208" i="1"/>
  <c r="N821" i="1"/>
  <c r="N1263" i="1"/>
  <c r="Q604" i="1"/>
  <c r="H2544" i="1"/>
  <c r="AT178" i="1"/>
  <c r="AT619" i="1"/>
  <c r="P2191" i="1"/>
  <c r="D210" i="1"/>
  <c r="D3634" i="1"/>
  <c r="U2432" i="1"/>
  <c r="U3193" i="1"/>
  <c r="M1912" i="1"/>
  <c r="D2077" i="1"/>
  <c r="Q1196" i="1"/>
  <c r="U36" i="1"/>
  <c r="J708" i="1"/>
  <c r="U903" i="1"/>
  <c r="D2415" i="1"/>
  <c r="J936" i="1"/>
  <c r="D1264" i="1"/>
  <c r="M581" i="1"/>
  <c r="N2166" i="1"/>
  <c r="AT2221" i="1"/>
  <c r="AT378" i="1"/>
  <c r="I959" i="1"/>
  <c r="Q461" i="1"/>
  <c r="D179" i="1"/>
  <c r="P1704" i="1"/>
  <c r="N242" i="1"/>
  <c r="D1942" i="1"/>
  <c r="U3095" i="1"/>
  <c r="P467" i="1"/>
  <c r="Q667" i="1"/>
  <c r="Q3464" i="1"/>
  <c r="O1142" i="1"/>
  <c r="K2708" i="1"/>
  <c r="Q1303" i="1"/>
  <c r="AT1726" i="1"/>
  <c r="U720" i="1"/>
  <c r="I425" i="1"/>
  <c r="D3600" i="1"/>
  <c r="J978" i="1"/>
  <c r="I2452" i="1"/>
  <c r="H3216" i="1"/>
  <c r="D1891" i="1"/>
  <c r="Q3247" i="1"/>
  <c r="I2029" i="1"/>
  <c r="K3095" i="1"/>
  <c r="O3029" i="1"/>
  <c r="N1746" i="1"/>
  <c r="D532" i="1"/>
  <c r="P2293" i="1"/>
  <c r="M2410" i="1"/>
  <c r="Q1477" i="1"/>
  <c r="Q1189" i="1"/>
  <c r="H2123" i="1"/>
  <c r="H2686" i="1"/>
  <c r="I3552" i="1"/>
  <c r="M2192" i="1"/>
  <c r="J2927" i="1"/>
  <c r="J2082" i="1"/>
  <c r="J1113" i="1"/>
  <c r="K3495" i="1"/>
  <c r="P2031" i="1"/>
  <c r="O647" i="1"/>
  <c r="M964" i="1"/>
  <c r="O2727" i="1"/>
  <c r="P143" i="1"/>
  <c r="M794" i="1"/>
  <c r="D1130" i="1"/>
  <c r="O2312" i="1"/>
  <c r="J2324" i="1"/>
  <c r="D2605" i="1"/>
  <c r="M1408" i="1"/>
  <c r="Q312" i="1"/>
  <c r="H2691" i="1"/>
  <c r="N2791" i="1"/>
  <c r="M2488" i="1"/>
  <c r="N407" i="1"/>
  <c r="K136" i="1"/>
  <c r="AT3211" i="1"/>
  <c r="N2223" i="1"/>
  <c r="P2785" i="1"/>
  <c r="O2630" i="1"/>
  <c r="D476" i="1"/>
  <c r="M2524" i="1"/>
  <c r="AT1748" i="1"/>
  <c r="P101" i="1"/>
  <c r="O2472" i="1"/>
  <c r="O1660" i="1"/>
  <c r="N891" i="1"/>
  <c r="N3412" i="1"/>
  <c r="I2775" i="1"/>
  <c r="H1890" i="1"/>
  <c r="Q208" i="1"/>
  <c r="J1506" i="1"/>
  <c r="N2386" i="1"/>
  <c r="O1269" i="1"/>
  <c r="O771" i="1"/>
  <c r="P518" i="1"/>
  <c r="U2936" i="1"/>
  <c r="K2773" i="1"/>
  <c r="D1017" i="1"/>
  <c r="I1252" i="1"/>
  <c r="P2171" i="1"/>
  <c r="D3175" i="1"/>
  <c r="J761" i="1"/>
  <c r="H2355" i="1"/>
  <c r="H1246" i="1"/>
  <c r="O2519" i="1"/>
  <c r="N636" i="1"/>
  <c r="U3004" i="1"/>
  <c r="D1688" i="1"/>
  <c r="H1613" i="1"/>
  <c r="H686" i="1"/>
  <c r="I2923" i="1"/>
  <c r="P532" i="1"/>
  <c r="D1902" i="1"/>
  <c r="D1885" i="1"/>
  <c r="M1540" i="1"/>
  <c r="H3284" i="1"/>
  <c r="J765" i="1"/>
  <c r="AT1100" i="1"/>
  <c r="U233" i="1"/>
  <c r="K2330" i="1"/>
  <c r="I2760" i="1"/>
  <c r="U2513" i="1"/>
  <c r="AT1783" i="1"/>
  <c r="D3578" i="1"/>
  <c r="J390" i="1"/>
  <c r="J2498" i="1"/>
  <c r="N2397" i="1"/>
  <c r="P3216" i="1"/>
  <c r="J381" i="1"/>
  <c r="U1554" i="1"/>
  <c r="J1984" i="1"/>
  <c r="H2684" i="1"/>
  <c r="N776" i="1"/>
  <c r="M364" i="1"/>
  <c r="I745" i="1"/>
  <c r="AT3002" i="1"/>
  <c r="N2600" i="1"/>
  <c r="O1795" i="1"/>
  <c r="N1545" i="1"/>
  <c r="AT1206" i="1"/>
  <c r="P769" i="1"/>
  <c r="U1508" i="1"/>
  <c r="Q454" i="1"/>
  <c r="U3236" i="1"/>
  <c r="D1482" i="1"/>
  <c r="M3339" i="1"/>
  <c r="Q220" i="1"/>
  <c r="J3543" i="1"/>
  <c r="I500" i="1"/>
  <c r="AT2813" i="1"/>
  <c r="D2820" i="1"/>
  <c r="P2272" i="1"/>
  <c r="Q2882" i="1"/>
  <c r="AT2457" i="1"/>
  <c r="O515" i="1"/>
  <c r="D544" i="1"/>
  <c r="D662" i="1"/>
  <c r="AT2418" i="1"/>
  <c r="K3257" i="1"/>
  <c r="K1511" i="1"/>
  <c r="O1586" i="1"/>
  <c r="U3303" i="1"/>
  <c r="N1803" i="1"/>
  <c r="K812" i="1"/>
  <c r="D2591" i="1"/>
  <c r="P2438" i="1"/>
  <c r="U88" i="1"/>
  <c r="I3546" i="1"/>
  <c r="I1441" i="1"/>
  <c r="N1367" i="1"/>
  <c r="D2171" i="1"/>
  <c r="P1836" i="1"/>
  <c r="AT3103" i="1"/>
  <c r="N2644" i="1"/>
  <c r="Q3240" i="1"/>
  <c r="M1860" i="1"/>
  <c r="D2982" i="1"/>
  <c r="AT1752" i="1"/>
  <c r="D927" i="1"/>
  <c r="J1828" i="1"/>
  <c r="M2853" i="1"/>
  <c r="M3291" i="1"/>
  <c r="P2830" i="1"/>
  <c r="O1604" i="1"/>
  <c r="O2056" i="1"/>
  <c r="AT2517" i="1"/>
  <c r="J666" i="1"/>
  <c r="K1161" i="1"/>
  <c r="M3237" i="1"/>
  <c r="Q3299" i="1"/>
  <c r="J1735" i="1"/>
  <c r="Q2851" i="1"/>
  <c r="J3021" i="1"/>
  <c r="J100" i="1"/>
  <c r="O2707" i="1"/>
  <c r="U3460" i="1"/>
  <c r="J653" i="1"/>
  <c r="M3194" i="1"/>
  <c r="Q3580" i="1"/>
  <c r="AT540" i="1"/>
  <c r="AT3012" i="1"/>
  <c r="N2356" i="1"/>
  <c r="Q2944" i="1"/>
  <c r="U2908" i="1"/>
  <c r="S265" i="1"/>
  <c r="M870" i="1"/>
  <c r="D1191" i="1"/>
  <c r="I2729" i="1"/>
  <c r="J3340" i="1"/>
  <c r="N2193" i="1"/>
  <c r="N969" i="1"/>
  <c r="P575" i="1"/>
  <c r="N3158" i="1"/>
  <c r="AT21" i="1"/>
  <c r="Q3348" i="1"/>
  <c r="D2088" i="1"/>
  <c r="U3139" i="1"/>
  <c r="D1027" i="1"/>
  <c r="U2952" i="1"/>
  <c r="M2694" i="1"/>
  <c r="H1481" i="1"/>
  <c r="P1532" i="1"/>
  <c r="AT3218" i="1"/>
  <c r="N3513" i="1"/>
  <c r="N2795" i="1"/>
  <c r="D1087" i="1"/>
  <c r="I538" i="1"/>
  <c r="K871" i="1"/>
  <c r="K245" i="1"/>
  <c r="M2994" i="1"/>
  <c r="AT531" i="1"/>
  <c r="D2310" i="1"/>
  <c r="D2365" i="1"/>
  <c r="P2519" i="1"/>
  <c r="U2016" i="1"/>
  <c r="J391" i="1"/>
  <c r="O485" i="1"/>
  <c r="K677" i="1"/>
  <c r="Q1462" i="1"/>
  <c r="N518" i="1"/>
  <c r="D3392" i="1"/>
  <c r="J731" i="1"/>
  <c r="AT763" i="1"/>
  <c r="N2238" i="1"/>
  <c r="AT3197" i="1"/>
  <c r="M556" i="1"/>
  <c r="I2323" i="1"/>
  <c r="M127" i="1"/>
  <c r="U424" i="1"/>
  <c r="N2603" i="1"/>
  <c r="U980" i="1"/>
  <c r="U877" i="1"/>
  <c r="D2548" i="1"/>
  <c r="N2649" i="1"/>
  <c r="U51" i="1"/>
  <c r="J382" i="1"/>
  <c r="U3103" i="1"/>
  <c r="M1754" i="1"/>
  <c r="P1364" i="1"/>
  <c r="M696" i="1"/>
  <c r="AT1023" i="1"/>
  <c r="M1056" i="1"/>
  <c r="U2365" i="1"/>
  <c r="P3043" i="1"/>
  <c r="M142" i="1"/>
  <c r="U3131" i="1"/>
  <c r="AT1650" i="1"/>
  <c r="H1560" i="1"/>
  <c r="J176" i="1"/>
  <c r="M2470" i="1"/>
  <c r="M979" i="1"/>
  <c r="U2274" i="1"/>
  <c r="J1540" i="1"/>
  <c r="AT2916" i="1"/>
  <c r="N1174" i="1"/>
  <c r="AT70" i="1"/>
  <c r="AT967" i="1"/>
  <c r="P2968" i="1"/>
  <c r="M2288" i="1"/>
  <c r="D453" i="1"/>
  <c r="J752" i="1"/>
  <c r="P409" i="1"/>
  <c r="D1579" i="1"/>
  <c r="O2351" i="1"/>
  <c r="U460" i="1"/>
  <c r="D1462" i="1"/>
  <c r="U1694" i="1"/>
  <c r="P649" i="1"/>
  <c r="AT1393" i="1"/>
  <c r="H3033" i="1"/>
  <c r="H3633" i="1"/>
  <c r="P3361" i="1"/>
  <c r="AT620" i="1"/>
  <c r="Q308" i="1"/>
  <c r="U2390" i="1"/>
  <c r="P2404" i="1"/>
  <c r="P1420" i="1"/>
  <c r="O387" i="1"/>
  <c r="U2475" i="1"/>
  <c r="Q2274" i="1"/>
  <c r="Q2665" i="1"/>
  <c r="H2990" i="1"/>
  <c r="AT881" i="1"/>
  <c r="H1726" i="1"/>
  <c r="N2823" i="1"/>
  <c r="N2946" i="1"/>
  <c r="O2747" i="1"/>
  <c r="N2907" i="1"/>
  <c r="P205" i="1"/>
  <c r="O617" i="1"/>
  <c r="N2818" i="1"/>
  <c r="AT2568" i="1"/>
  <c r="H1795" i="1"/>
  <c r="U3241" i="1"/>
  <c r="J2266" i="1"/>
  <c r="N3324" i="1"/>
  <c r="D2109" i="1"/>
  <c r="O2411" i="1"/>
  <c r="U2209" i="1"/>
  <c r="J557" i="1"/>
  <c r="AT2872" i="1"/>
  <c r="N183" i="1"/>
  <c r="O2110" i="1"/>
  <c r="H153" i="1"/>
  <c r="P2536" i="1"/>
  <c r="D2854" i="1"/>
  <c r="N437" i="1"/>
  <c r="U2082" i="1"/>
  <c r="AT3213" i="1"/>
  <c r="N2403" i="1"/>
  <c r="U3579" i="1"/>
  <c r="U915" i="1"/>
  <c r="P3286" i="1"/>
  <c r="M3575" i="1"/>
  <c r="O2729" i="1"/>
  <c r="AT3529" i="1"/>
  <c r="AT3285" i="1"/>
  <c r="O3431" i="1"/>
  <c r="Q336" i="1"/>
  <c r="K3180" i="1"/>
  <c r="N295" i="1"/>
  <c r="D2089" i="1"/>
  <c r="U361" i="1"/>
  <c r="AT2853" i="1"/>
  <c r="AT318" i="1"/>
  <c r="AT44" i="1"/>
  <c r="H875" i="1"/>
  <c r="P284" i="1"/>
  <c r="O1185" i="1"/>
  <c r="O2280" i="1"/>
  <c r="U18" i="1"/>
  <c r="M2351" i="1"/>
  <c r="Q74" i="1"/>
  <c r="N806" i="1"/>
  <c r="I1361" i="1"/>
  <c r="J2242" i="1"/>
  <c r="M3476" i="1"/>
  <c r="P2182" i="1"/>
  <c r="J2650" i="1"/>
  <c r="O2029" i="1"/>
  <c r="O3328" i="1"/>
  <c r="AT1406" i="1"/>
  <c r="O1478" i="1"/>
  <c r="D975" i="1"/>
  <c r="O2772" i="1"/>
  <c r="P2496" i="1"/>
  <c r="M844" i="1"/>
  <c r="O3554" i="1"/>
  <c r="M3535" i="1"/>
  <c r="U343" i="1"/>
  <c r="N289" i="1"/>
  <c r="N3107" i="1"/>
  <c r="M2614" i="1"/>
  <c r="M3629" i="1"/>
  <c r="N1858" i="1"/>
  <c r="N2260" i="1"/>
  <c r="Q619" i="1"/>
  <c r="M1210" i="1"/>
  <c r="J14" i="1"/>
  <c r="O965" i="1"/>
  <c r="AT2125" i="1"/>
  <c r="P1631" i="1"/>
  <c r="N1807" i="1"/>
  <c r="H460" i="1"/>
  <c r="D2421" i="1"/>
  <c r="P2184" i="1"/>
  <c r="J2380" i="1"/>
  <c r="O1293" i="1"/>
  <c r="N1819" i="1"/>
  <c r="O571" i="1"/>
  <c r="D404" i="1"/>
  <c r="P2795" i="1"/>
  <c r="AT1998" i="1"/>
  <c r="N2074" i="1"/>
  <c r="D1557" i="1"/>
  <c r="M1000" i="1"/>
  <c r="K1827" i="1"/>
  <c r="AT393" i="1"/>
  <c r="I3457" i="1"/>
  <c r="U2402" i="1"/>
  <c r="P2361" i="1"/>
  <c r="U422" i="1"/>
  <c r="N963" i="1"/>
  <c r="D3366" i="1"/>
  <c r="P1599" i="1"/>
  <c r="O410" i="1"/>
  <c r="D3610" i="1"/>
  <c r="AT289" i="1"/>
  <c r="P3177" i="1"/>
  <c r="Q2210" i="1"/>
  <c r="Q2567" i="1"/>
  <c r="U3255" i="1"/>
  <c r="D1137" i="1"/>
  <c r="AT3031" i="1"/>
  <c r="M2569" i="1"/>
  <c r="O1529" i="1"/>
  <c r="M1113" i="1"/>
  <c r="U2454" i="1"/>
  <c r="V725" i="1"/>
  <c r="AT3136" i="1"/>
  <c r="D1082" i="1"/>
  <c r="H3119" i="1"/>
  <c r="M1064" i="1"/>
  <c r="N1193" i="1"/>
  <c r="P1870" i="1"/>
  <c r="D2184" i="1"/>
  <c r="Q1288" i="1"/>
  <c r="AT2280" i="1"/>
  <c r="O455" i="1"/>
  <c r="U251" i="1"/>
  <c r="M2652" i="1"/>
  <c r="J2175" i="1"/>
  <c r="M859" i="1"/>
  <c r="D1478" i="1"/>
  <c r="D200" i="1"/>
  <c r="N933" i="1"/>
  <c r="U878" i="1"/>
  <c r="M37" i="1"/>
  <c r="U413" i="1"/>
  <c r="O980" i="1"/>
  <c r="M3387" i="1"/>
  <c r="N420" i="1"/>
  <c r="N2903" i="1"/>
  <c r="H2339" i="1"/>
  <c r="D3408" i="1"/>
  <c r="Q870" i="1"/>
  <c r="U823" i="1"/>
  <c r="D2336" i="1"/>
  <c r="AT2623" i="1"/>
  <c r="AT3198" i="1"/>
  <c r="H2387" i="1"/>
  <c r="N2219" i="1"/>
  <c r="Q3150" i="1"/>
  <c r="Q3525" i="1"/>
  <c r="H3103" i="1"/>
  <c r="AT2848" i="1"/>
  <c r="M217" i="1"/>
  <c r="U929" i="1"/>
  <c r="D956" i="1"/>
  <c r="AT2060" i="1"/>
  <c r="H100" i="1"/>
  <c r="H3111" i="1"/>
  <c r="O440" i="1"/>
  <c r="AT995" i="1"/>
  <c r="D2995" i="1"/>
  <c r="P2983" i="1"/>
  <c r="Q2667" i="1"/>
  <c r="AT527" i="1"/>
  <c r="M3141" i="1"/>
  <c r="H909" i="1"/>
  <c r="M3491" i="1"/>
  <c r="AT714" i="1"/>
  <c r="N1343" i="1"/>
  <c r="K1956" i="1"/>
  <c r="M1492" i="1"/>
  <c r="N10" i="1"/>
  <c r="M1016" i="1"/>
  <c r="O1918" i="1"/>
  <c r="Q2664" i="1"/>
  <c r="K413" i="1"/>
  <c r="M2221" i="1"/>
  <c r="AT2162" i="1"/>
  <c r="O1766" i="1"/>
  <c r="O3116" i="1"/>
  <c r="U1296" i="1"/>
  <c r="I1428" i="1"/>
  <c r="P2170" i="1"/>
  <c r="M2612" i="1"/>
  <c r="U1505" i="1"/>
  <c r="M2863" i="1"/>
  <c r="M121" i="1"/>
  <c r="H1547" i="1"/>
  <c r="Q2777" i="1"/>
  <c r="M321" i="1"/>
  <c r="I706" i="1"/>
  <c r="P2871" i="1"/>
  <c r="I2415" i="1"/>
  <c r="M2647" i="1"/>
  <c r="AT2522" i="1"/>
  <c r="U2898" i="1"/>
  <c r="D1699" i="1"/>
  <c r="N874" i="1"/>
  <c r="AT1482" i="1"/>
  <c r="I2907" i="1"/>
  <c r="N2292" i="1"/>
  <c r="U2941" i="1"/>
  <c r="N1517" i="1"/>
  <c r="AT1438" i="1"/>
  <c r="AT958" i="1"/>
  <c r="Q1921" i="1"/>
  <c r="AT3572" i="1"/>
  <c r="P9" i="1"/>
  <c r="H788" i="1"/>
  <c r="O3128" i="1"/>
  <c r="I1822" i="1"/>
  <c r="Q2671" i="1"/>
  <c r="P1135" i="1"/>
  <c r="M3392" i="1"/>
  <c r="I2956" i="1"/>
  <c r="I2861" i="1"/>
  <c r="P683" i="1"/>
  <c r="O2452" i="1"/>
  <c r="I1708" i="1"/>
  <c r="H2996" i="1"/>
  <c r="D3615" i="1"/>
  <c r="Q3011" i="1"/>
  <c r="U2587" i="1"/>
  <c r="N2589" i="1"/>
  <c r="AT479" i="1"/>
  <c r="P3220" i="1"/>
  <c r="D3303" i="1"/>
  <c r="O2604" i="1"/>
  <c r="J341" i="1"/>
  <c r="U2300" i="1"/>
  <c r="D1707" i="1"/>
  <c r="H440" i="1"/>
  <c r="I101" i="1"/>
  <c r="P2148" i="1"/>
  <c r="Q957" i="1"/>
  <c r="D2271" i="1"/>
  <c r="O1431" i="1"/>
  <c r="P2534" i="1"/>
  <c r="D883" i="1"/>
  <c r="O858" i="1"/>
  <c r="M280" i="1"/>
  <c r="Q572" i="1"/>
  <c r="M3232" i="1"/>
  <c r="D1867" i="1"/>
  <c r="J1023" i="1"/>
  <c r="H1764" i="1"/>
  <c r="M99" i="1"/>
  <c r="H1630" i="1"/>
  <c r="M569" i="1"/>
  <c r="J959" i="1"/>
  <c r="M6" i="1"/>
  <c r="AT407" i="1"/>
  <c r="H1731" i="1"/>
  <c r="P2864" i="1"/>
  <c r="Q3189" i="1"/>
  <c r="Q1703" i="1"/>
  <c r="U2679" i="1"/>
  <c r="J1682" i="1"/>
  <c r="N1489" i="1"/>
  <c r="O2133" i="1"/>
  <c r="P1479" i="1"/>
  <c r="D1186" i="1"/>
  <c r="N1377" i="1"/>
  <c r="D630" i="1"/>
  <c r="U2233" i="1"/>
  <c r="N3496" i="1"/>
  <c r="J2074" i="1"/>
  <c r="Q2364" i="1"/>
  <c r="O1587" i="1"/>
  <c r="AT717" i="1"/>
  <c r="H1887" i="1"/>
  <c r="AT3488" i="1"/>
  <c r="M2264" i="1"/>
  <c r="H1869" i="1"/>
  <c r="N3633" i="1"/>
  <c r="O789" i="1"/>
  <c r="N1274" i="1"/>
  <c r="I1946" i="1"/>
  <c r="M1947" i="1"/>
  <c r="N1407" i="1"/>
  <c r="M2233" i="1"/>
  <c r="P539" i="1"/>
  <c r="J2407" i="1"/>
  <c r="D1190" i="1"/>
  <c r="U1665" i="1"/>
  <c r="D202" i="1"/>
  <c r="P475" i="1"/>
  <c r="N2232" i="1"/>
  <c r="Q3283" i="1"/>
  <c r="M3220" i="1"/>
  <c r="O2690" i="1"/>
  <c r="I2686" i="1"/>
  <c r="P969" i="1"/>
  <c r="P2695" i="1"/>
  <c r="O2626" i="1"/>
  <c r="J3334" i="1"/>
  <c r="J465" i="1"/>
  <c r="M1605" i="1"/>
  <c r="O2210" i="1"/>
  <c r="P2245" i="1"/>
  <c r="Q1640" i="1"/>
  <c r="D3279" i="1"/>
  <c r="O2633" i="1"/>
  <c r="D1505" i="1"/>
  <c r="AT2023" i="1"/>
  <c r="AT662" i="1"/>
  <c r="I3520" i="1"/>
  <c r="H2866" i="1"/>
  <c r="O331" i="1"/>
  <c r="M1606" i="1"/>
  <c r="P2297" i="1"/>
  <c r="U2140" i="1"/>
  <c r="AT1870" i="1"/>
  <c r="P1600" i="1"/>
  <c r="M1779" i="1"/>
  <c r="Q3248" i="1"/>
  <c r="O395" i="1"/>
  <c r="U1553" i="1"/>
  <c r="U287" i="1"/>
  <c r="N2916" i="1"/>
  <c r="M2149" i="1"/>
  <c r="J284" i="1"/>
  <c r="O1204" i="1"/>
  <c r="AT2620" i="1"/>
  <c r="P1177" i="1"/>
  <c r="U145" i="1"/>
  <c r="M3447" i="1"/>
  <c r="K2720" i="1"/>
  <c r="D3216" i="1"/>
  <c r="N2469" i="1"/>
  <c r="M2697" i="1"/>
  <c r="O1806" i="1"/>
  <c r="D349" i="1"/>
  <c r="D1499" i="1"/>
  <c r="U2154" i="1"/>
  <c r="M126" i="1"/>
  <c r="AT1223" i="1"/>
  <c r="D2721" i="1"/>
  <c r="AT1508" i="1"/>
  <c r="H2011" i="1"/>
  <c r="P2480" i="1"/>
  <c r="U2590" i="1"/>
  <c r="AT1358" i="1"/>
  <c r="M2300" i="1"/>
  <c r="O1812" i="1"/>
  <c r="O1876" i="1"/>
  <c r="Q627" i="1"/>
  <c r="N836" i="1"/>
  <c r="D988" i="1"/>
  <c r="Q1619" i="1"/>
  <c r="N3030" i="1"/>
  <c r="M1664" i="1"/>
  <c r="D1390" i="1"/>
  <c r="K932" i="1"/>
  <c r="D2549" i="1"/>
  <c r="D1262" i="1"/>
  <c r="M1744" i="1"/>
  <c r="P1630" i="1"/>
  <c r="D3402" i="1"/>
  <c r="O1151" i="1"/>
  <c r="D3481" i="1"/>
  <c r="M2257" i="1"/>
  <c r="D2186" i="1"/>
  <c r="J2680" i="1"/>
  <c r="J172" i="1"/>
  <c r="M3389" i="1"/>
  <c r="O2928" i="1"/>
  <c r="Q898" i="1"/>
  <c r="M3624" i="1"/>
  <c r="I610" i="1"/>
  <c r="Q2023" i="1"/>
  <c r="AT1000" i="1"/>
  <c r="K1159" i="1"/>
  <c r="M1514" i="1"/>
  <c r="AT3154" i="1"/>
  <c r="AT12" i="1"/>
  <c r="J2765" i="1"/>
  <c r="H2909" i="1"/>
  <c r="M2508" i="1"/>
  <c r="P1777" i="1"/>
  <c r="D353" i="1"/>
  <c r="P1463" i="1"/>
  <c r="O3223" i="1"/>
  <c r="J1928" i="1"/>
  <c r="P746" i="1"/>
  <c r="O482" i="1"/>
  <c r="AT41" i="1"/>
  <c r="M2686" i="1"/>
  <c r="U2055" i="1"/>
  <c r="M172" i="1"/>
  <c r="U888" i="1"/>
  <c r="J217" i="1"/>
  <c r="H247" i="1"/>
  <c r="N1279" i="1"/>
  <c r="D2933" i="1"/>
  <c r="H852" i="1"/>
  <c r="D1444" i="1"/>
  <c r="AT1741" i="1"/>
  <c r="O512" i="1"/>
  <c r="U1523" i="1"/>
  <c r="D2902" i="1"/>
  <c r="J230" i="1"/>
  <c r="U1817" i="1"/>
  <c r="D2302" i="1"/>
  <c r="O2365" i="1"/>
  <c r="N1013" i="1"/>
  <c r="D44" i="1"/>
  <c r="N1103" i="1"/>
  <c r="AT587" i="1"/>
  <c r="M3602" i="1"/>
  <c r="M829" i="1"/>
  <c r="Q928" i="1"/>
  <c r="J399" i="1"/>
  <c r="M917" i="1"/>
  <c r="D2035" i="1"/>
  <c r="P2436" i="1"/>
  <c r="O1306" i="1"/>
  <c r="H175" i="1"/>
  <c r="U1122" i="1"/>
  <c r="N3574" i="1"/>
  <c r="Q1334" i="1"/>
  <c r="Q540" i="1"/>
  <c r="J2212" i="1"/>
  <c r="Q1252" i="1"/>
  <c r="O1120" i="1"/>
  <c r="AT1623" i="1"/>
  <c r="U101" i="1"/>
  <c r="D2801" i="1"/>
  <c r="M2005" i="1"/>
  <c r="M78" i="1"/>
  <c r="U961" i="1"/>
  <c r="AT3423" i="1"/>
  <c r="J69" i="1"/>
  <c r="U1483" i="1"/>
  <c r="M2558" i="1"/>
  <c r="O2722" i="1"/>
  <c r="H308" i="1"/>
  <c r="Q2431" i="1"/>
  <c r="I2256" i="1"/>
  <c r="D3188" i="1"/>
  <c r="N1513" i="1"/>
  <c r="J2019" i="1"/>
  <c r="P1759" i="1"/>
  <c r="N3227" i="1"/>
  <c r="AT1449" i="1"/>
  <c r="H3407" i="1"/>
  <c r="P3068" i="1"/>
  <c r="N99" i="1"/>
  <c r="U2838" i="1"/>
  <c r="O1816" i="1"/>
  <c r="M2983" i="1"/>
  <c r="O124" i="1"/>
  <c r="H2279" i="1"/>
  <c r="AT2064" i="1"/>
  <c r="H3634" i="1"/>
  <c r="U2369" i="1"/>
  <c r="I1860" i="1"/>
  <c r="AT1769" i="1"/>
  <c r="Q2496" i="1"/>
  <c r="P3498" i="1"/>
  <c r="N585" i="1"/>
  <c r="J671" i="1"/>
  <c r="K1001" i="1"/>
  <c r="I3465" i="1"/>
  <c r="AT547" i="1"/>
  <c r="Q1706" i="1"/>
  <c r="Q2203" i="1"/>
  <c r="Q736" i="1"/>
  <c r="M1475" i="1"/>
  <c r="O1627" i="1"/>
  <c r="H1455" i="1"/>
  <c r="Q2708" i="1"/>
  <c r="O876" i="1"/>
  <c r="J2910" i="1"/>
  <c r="K3336" i="1"/>
  <c r="U2897" i="1"/>
  <c r="D3472" i="1"/>
  <c r="I1223" i="1"/>
  <c r="H180" i="1"/>
  <c r="M1114" i="1"/>
  <c r="AT3310" i="1"/>
  <c r="D1602" i="1"/>
  <c r="AT1981" i="1"/>
  <c r="P1673" i="1"/>
  <c r="J1408" i="1"/>
  <c r="AT2015" i="1"/>
  <c r="H2727" i="1"/>
  <c r="AT969" i="1"/>
  <c r="N1602" i="1"/>
  <c r="AT694" i="1"/>
  <c r="O2121" i="1"/>
  <c r="Q25" i="1"/>
  <c r="K3337" i="1"/>
  <c r="O3635" i="1"/>
  <c r="Q624" i="1"/>
  <c r="P1606" i="1"/>
  <c r="Q2323" i="1"/>
  <c r="D495" i="1"/>
  <c r="M889" i="1"/>
  <c r="D1795" i="1"/>
  <c r="AT668" i="1"/>
  <c r="N3456" i="1"/>
  <c r="D59" i="1"/>
  <c r="D472" i="1"/>
  <c r="M2842" i="1"/>
  <c r="D1516" i="1"/>
  <c r="AT699" i="1"/>
  <c r="J907" i="1"/>
  <c r="O1254" i="1"/>
  <c r="D276" i="1"/>
  <c r="M2462" i="1"/>
  <c r="U2718" i="1"/>
  <c r="J200" i="1"/>
  <c r="Q2607" i="1"/>
  <c r="P1895" i="1"/>
  <c r="M1693" i="1"/>
  <c r="N897" i="1"/>
  <c r="AT2439" i="1"/>
  <c r="Q85" i="1"/>
  <c r="O1047" i="1"/>
  <c r="P543" i="1"/>
  <c r="D1546" i="1"/>
  <c r="O147" i="1"/>
  <c r="O1219" i="1"/>
  <c r="AT1324" i="1"/>
  <c r="O1163" i="1"/>
  <c r="N647" i="1"/>
  <c r="O940" i="1"/>
  <c r="U1019" i="1"/>
  <c r="D619" i="1"/>
  <c r="AT1533" i="1"/>
  <c r="K3403" i="1"/>
  <c r="J2361" i="1"/>
  <c r="AT869" i="1"/>
  <c r="I3312" i="1"/>
  <c r="K3481" i="1"/>
  <c r="O497" i="1"/>
  <c r="U3192" i="1"/>
  <c r="AT1689" i="1"/>
  <c r="J1619" i="1"/>
  <c r="AT2373" i="1"/>
  <c r="D768" i="1"/>
  <c r="Q1608" i="1"/>
  <c r="K928" i="1"/>
  <c r="M1935" i="1"/>
  <c r="O718" i="1"/>
  <c r="M1193" i="1"/>
  <c r="U914" i="1"/>
  <c r="AT1112" i="1"/>
  <c r="O1153" i="1"/>
  <c r="P2350" i="1"/>
  <c r="Q1147" i="1"/>
  <c r="P2575" i="1"/>
  <c r="M1208" i="1"/>
  <c r="N1155" i="1"/>
  <c r="U3143" i="1"/>
  <c r="U2944" i="1"/>
  <c r="K2894" i="1"/>
  <c r="D1855" i="1"/>
  <c r="O2044" i="1"/>
  <c r="AT3437" i="1"/>
  <c r="D1029" i="1"/>
  <c r="P2943" i="1"/>
  <c r="N170" i="1"/>
  <c r="Q3316" i="1"/>
  <c r="H2166" i="1"/>
  <c r="Q1989" i="1"/>
  <c r="Q1779" i="1"/>
  <c r="AT50" i="1"/>
  <c r="N35" i="1"/>
  <c r="J1479" i="1"/>
  <c r="P2539" i="1"/>
  <c r="M2248" i="1"/>
  <c r="Q3431" i="1"/>
  <c r="D3371" i="1"/>
  <c r="J3468" i="1"/>
  <c r="P1383" i="1"/>
  <c r="AT202" i="1"/>
  <c r="AT3158" i="1"/>
  <c r="O679" i="1"/>
  <c r="N3425" i="1"/>
  <c r="M986" i="1"/>
  <c r="U130" i="1"/>
  <c r="AT910" i="1"/>
  <c r="P1658" i="1"/>
  <c r="J1076" i="1"/>
  <c r="I3634" i="1"/>
  <c r="K3448" i="1"/>
  <c r="U2983" i="1"/>
  <c r="D707" i="1"/>
  <c r="AT612" i="1"/>
  <c r="P2867" i="1"/>
  <c r="D1347" i="1"/>
  <c r="AT1596" i="1"/>
  <c r="AT3072" i="1"/>
  <c r="N2997" i="1"/>
  <c r="Q2006" i="1"/>
  <c r="AT1118" i="1"/>
  <c r="Q1256" i="1"/>
  <c r="I378" i="1"/>
  <c r="D2030" i="1"/>
  <c r="D1158" i="1"/>
  <c r="N2672" i="1"/>
  <c r="O3576" i="1"/>
  <c r="AT1238" i="1"/>
  <c r="AT1131" i="1"/>
  <c r="J847" i="1"/>
  <c r="M431" i="1"/>
  <c r="O328" i="1"/>
  <c r="M3567" i="1"/>
  <c r="Q2637" i="1"/>
  <c r="N917" i="1"/>
  <c r="M971" i="1"/>
  <c r="O172" i="1"/>
  <c r="O1647" i="1"/>
  <c r="D255" i="1"/>
  <c r="U2391" i="1"/>
  <c r="K1961" i="1"/>
  <c r="P2414" i="1"/>
  <c r="K3501" i="1"/>
  <c r="N3501" i="1"/>
  <c r="AT1621" i="1"/>
  <c r="N955" i="1"/>
  <c r="AT1879" i="1"/>
  <c r="H2724" i="1"/>
  <c r="P1127" i="1"/>
  <c r="N962" i="1"/>
  <c r="U764" i="1"/>
  <c r="Q1888" i="1"/>
  <c r="P3173" i="1"/>
  <c r="N39" i="1"/>
  <c r="K532" i="1"/>
  <c r="U2984" i="1"/>
  <c r="Q2614" i="1"/>
  <c r="I468" i="1"/>
  <c r="D1412" i="1"/>
  <c r="M211" i="1"/>
  <c r="P1351" i="1"/>
  <c r="N25" i="1"/>
  <c r="D2374" i="1"/>
  <c r="K1580" i="1"/>
  <c r="K3029" i="1"/>
  <c r="AT2921" i="1"/>
  <c r="Q1566" i="1"/>
  <c r="Q41" i="1"/>
  <c r="Q658" i="1"/>
  <c r="K1963" i="1"/>
  <c r="I3121" i="1"/>
  <c r="AT2883" i="1"/>
  <c r="AT2578" i="1"/>
  <c r="M1588" i="1"/>
  <c r="H1585" i="1"/>
  <c r="N3129" i="1"/>
  <c r="P3582" i="1"/>
  <c r="J1034" i="1"/>
  <c r="D1958" i="1"/>
  <c r="N163" i="1"/>
  <c r="N2635" i="1"/>
  <c r="M1259" i="1"/>
  <c r="U1766" i="1"/>
  <c r="D555" i="1"/>
  <c r="D1749" i="1"/>
  <c r="D793" i="1"/>
  <c r="AT2016" i="1"/>
  <c r="D795" i="1"/>
  <c r="P3225" i="1"/>
  <c r="H1717" i="1"/>
  <c r="D1844" i="1"/>
  <c r="AT2448" i="1"/>
  <c r="P1441" i="1"/>
  <c r="P601" i="1"/>
  <c r="M2146" i="1"/>
  <c r="M97" i="1"/>
  <c r="N393" i="1"/>
  <c r="O491" i="1"/>
  <c r="AT1863" i="1"/>
  <c r="N403" i="1"/>
  <c r="N2020" i="1"/>
  <c r="Q3146" i="1"/>
  <c r="N2689" i="1"/>
  <c r="AT3246" i="1"/>
  <c r="D1040" i="1"/>
  <c r="M2613" i="1"/>
  <c r="D2655" i="1"/>
  <c r="AT2582" i="1"/>
  <c r="O2538" i="1"/>
  <c r="N1913" i="1"/>
  <c r="O1022" i="1"/>
  <c r="AT2238" i="1"/>
  <c r="N2071" i="1"/>
  <c r="D493" i="1"/>
  <c r="P1629" i="1"/>
  <c r="P513" i="1"/>
  <c r="O305" i="1"/>
  <c r="Q1968" i="1"/>
  <c r="D2748" i="1"/>
  <c r="P89" i="1"/>
  <c r="N792" i="1"/>
  <c r="K3621" i="1"/>
  <c r="I154" i="1"/>
  <c r="O3514" i="1"/>
  <c r="O551" i="1"/>
  <c r="M585" i="1"/>
  <c r="P3566" i="1"/>
  <c r="O1128" i="1"/>
  <c r="Q947" i="1"/>
  <c r="H2873" i="1"/>
  <c r="H3529" i="1"/>
  <c r="K2949" i="1"/>
  <c r="U2618" i="1"/>
  <c r="Q3130" i="1"/>
  <c r="D2970" i="1"/>
  <c r="O1096" i="1"/>
  <c r="U1398" i="1"/>
  <c r="U1303" i="1"/>
  <c r="M1620" i="1"/>
  <c r="Q3306" i="1"/>
  <c r="H1463" i="1"/>
  <c r="U3317" i="1"/>
  <c r="N1477" i="1"/>
  <c r="U3040" i="1"/>
  <c r="AT2518" i="1"/>
  <c r="K2931" i="1"/>
  <c r="O2650" i="1"/>
  <c r="O1999" i="1"/>
  <c r="H1126" i="1"/>
  <c r="Q1136" i="1"/>
  <c r="O1216" i="1"/>
  <c r="AT1057" i="1"/>
  <c r="H770" i="1"/>
  <c r="AT872" i="1"/>
  <c r="Q1562" i="1"/>
  <c r="AT3245" i="1"/>
  <c r="AT2186" i="1"/>
  <c r="D2998" i="1"/>
  <c r="I927" i="1"/>
  <c r="M1920" i="1"/>
  <c r="I874" i="1"/>
  <c r="M1349" i="1"/>
  <c r="I2868" i="1"/>
  <c r="O2767" i="1"/>
  <c r="P714" i="1"/>
  <c r="Q1194" i="1"/>
  <c r="O1038" i="1"/>
  <c r="K2845" i="1"/>
  <c r="P994" i="1"/>
  <c r="Q1396" i="1"/>
  <c r="D435" i="1"/>
  <c r="N537" i="1"/>
  <c r="H2243" i="1"/>
  <c r="K1663" i="1"/>
  <c r="D531" i="1"/>
  <c r="D2373" i="1"/>
  <c r="N876" i="1"/>
  <c r="D1740" i="1"/>
  <c r="O1539" i="1"/>
  <c r="D1983" i="1"/>
  <c r="M2298" i="1"/>
  <c r="AT1585" i="1"/>
  <c r="O1743" i="1"/>
  <c r="K2741" i="1"/>
  <c r="Q1709" i="1"/>
  <c r="D1128" i="1"/>
  <c r="N391" i="1"/>
  <c r="I2348" i="1"/>
  <c r="AT346" i="1"/>
  <c r="D256" i="1"/>
  <c r="U3038" i="1"/>
  <c r="N3137" i="1"/>
  <c r="Q2226" i="1"/>
  <c r="AT106" i="1"/>
  <c r="N613" i="1"/>
  <c r="J873" i="1"/>
  <c r="AT2862" i="1"/>
  <c r="O2846" i="1"/>
  <c r="D3628" i="1"/>
  <c r="O3558" i="1"/>
  <c r="P1876" i="1"/>
  <c r="N1459" i="1"/>
  <c r="I2786" i="1"/>
  <c r="O3546" i="1"/>
  <c r="K1168" i="1"/>
  <c r="U3035" i="1"/>
  <c r="H864" i="1"/>
  <c r="J369" i="1"/>
  <c r="P3515" i="1"/>
  <c r="D3314" i="1"/>
  <c r="N1881" i="1"/>
  <c r="K3220" i="1"/>
  <c r="O12" i="1"/>
  <c r="AT2148" i="1"/>
  <c r="AT1892" i="1"/>
  <c r="I3226" i="1"/>
  <c r="H184" i="1"/>
  <c r="M2240" i="1"/>
  <c r="P1923" i="1"/>
  <c r="AT572" i="1"/>
  <c r="I3606" i="1"/>
  <c r="Q3278" i="1"/>
  <c r="H200" i="1"/>
  <c r="AT687" i="1"/>
  <c r="N3270" i="1"/>
  <c r="Q375" i="1"/>
  <c r="I1689" i="1"/>
  <c r="J788" i="1"/>
  <c r="Q3503" i="1"/>
  <c r="O2392" i="1"/>
  <c r="N3391" i="1"/>
  <c r="M2814" i="1"/>
  <c r="M1816" i="1"/>
  <c r="U396" i="1"/>
  <c r="O1375" i="1"/>
  <c r="U1225" i="1"/>
  <c r="N2338" i="1"/>
  <c r="I265" i="1"/>
  <c r="H824" i="1"/>
  <c r="U3487" i="1"/>
  <c r="H1479" i="1"/>
  <c r="M399" i="1"/>
  <c r="M2888" i="1"/>
  <c r="P2744" i="1"/>
  <c r="M3431" i="1"/>
  <c r="P632" i="1"/>
  <c r="J584" i="1"/>
  <c r="M1984" i="1"/>
  <c r="I773" i="1"/>
  <c r="D3588" i="1"/>
  <c r="Q1337" i="1"/>
  <c r="O188" i="1"/>
  <c r="M1125" i="1"/>
  <c r="P2565" i="1"/>
  <c r="I979" i="1"/>
  <c r="I24" i="1"/>
  <c r="I440" i="1"/>
  <c r="O1444" i="1"/>
  <c r="D762" i="1"/>
  <c r="K2311" i="1"/>
  <c r="AT2904" i="1"/>
  <c r="J588" i="1"/>
  <c r="H2895" i="1"/>
  <c r="D590" i="1"/>
  <c r="P3575" i="1"/>
  <c r="M3241" i="1"/>
  <c r="M539" i="1"/>
  <c r="D2913" i="1"/>
  <c r="D839" i="1"/>
  <c r="D2331" i="1"/>
  <c r="P294" i="1"/>
  <c r="I2539" i="1"/>
  <c r="I2376" i="1"/>
  <c r="AT119" i="1"/>
  <c r="O465" i="1"/>
  <c r="U543" i="1"/>
  <c r="O3242" i="1"/>
  <c r="N2483" i="1"/>
  <c r="AT180" i="1"/>
  <c r="Q2996" i="1"/>
  <c r="AT425" i="1"/>
  <c r="P2787" i="1"/>
  <c r="P2953" i="1"/>
  <c r="N2399" i="1"/>
  <c r="M1275" i="1"/>
  <c r="D3370" i="1"/>
  <c r="P711" i="1"/>
  <c r="AT1096" i="1"/>
  <c r="M3275" i="1"/>
  <c r="AT456" i="1"/>
  <c r="AT1936" i="1"/>
  <c r="Q3401" i="1"/>
  <c r="K3313" i="1"/>
  <c r="H494" i="1"/>
  <c r="N1378" i="1"/>
  <c r="M416" i="1"/>
  <c r="Q1904" i="1"/>
  <c r="AT1422" i="1"/>
  <c r="AT1858" i="1"/>
  <c r="Q1417" i="1"/>
  <c r="N2239" i="1"/>
  <c r="P2733" i="1"/>
  <c r="J3076" i="1"/>
  <c r="M2425" i="1"/>
  <c r="J1452" i="1"/>
  <c r="AT107" i="1"/>
  <c r="P832" i="1"/>
  <c r="Q2309" i="1"/>
  <c r="Q2913" i="1"/>
  <c r="O1289" i="1"/>
  <c r="M1999" i="1"/>
  <c r="J3380" i="1"/>
  <c r="H1403" i="1"/>
  <c r="U2696" i="1"/>
  <c r="AT1475" i="1"/>
  <c r="U1661" i="1"/>
  <c r="AT1512" i="1"/>
  <c r="U1987" i="1"/>
  <c r="O2467" i="1"/>
  <c r="AT57" i="1"/>
  <c r="J11" i="1"/>
  <c r="I2092" i="1"/>
  <c r="M3129" i="1"/>
  <c r="U2206" i="1"/>
  <c r="Q1932" i="1"/>
  <c r="D504" i="1"/>
  <c r="O1949" i="1"/>
  <c r="O2493" i="1"/>
  <c r="AT2847" i="1"/>
  <c r="M2020" i="1"/>
  <c r="AT1930" i="1"/>
  <c r="I1950" i="1"/>
  <c r="M1887" i="1"/>
  <c r="D176" i="1"/>
  <c r="M555" i="1"/>
  <c r="O2993" i="1"/>
  <c r="M1092" i="1"/>
  <c r="M470" i="1"/>
  <c r="U1881" i="1"/>
  <c r="U1764" i="1"/>
  <c r="AT2476" i="1"/>
  <c r="N2497" i="1"/>
  <c r="M1035" i="1"/>
  <c r="AT267" i="1"/>
  <c r="AT1516" i="1"/>
  <c r="U3024" i="1"/>
  <c r="P743" i="1"/>
  <c r="O3315" i="1"/>
  <c r="D3395" i="1"/>
  <c r="N935" i="1"/>
  <c r="I2582" i="1"/>
  <c r="AT1572" i="1"/>
  <c r="D2599" i="1"/>
  <c r="O267" i="1"/>
  <c r="N1924" i="1"/>
  <c r="I1282" i="1"/>
  <c r="U288" i="1"/>
  <c r="U1643" i="1"/>
  <c r="U2040" i="1"/>
  <c r="H324" i="1"/>
  <c r="H266" i="1"/>
  <c r="Q3172" i="1"/>
  <c r="H2744" i="1"/>
  <c r="U1135" i="1"/>
  <c r="P1811" i="1"/>
  <c r="H2748" i="1"/>
  <c r="D3331" i="1"/>
  <c r="M2818" i="1"/>
  <c r="J1063" i="1"/>
  <c r="D679" i="1"/>
  <c r="N3127" i="1"/>
  <c r="D1710" i="1"/>
  <c r="O1108" i="1"/>
  <c r="Q1322" i="1"/>
  <c r="M826" i="1"/>
  <c r="Q1847" i="1"/>
  <c r="O780" i="1"/>
  <c r="M3358" i="1"/>
  <c r="K2335" i="1"/>
  <c r="D1954" i="1"/>
  <c r="AT1594" i="1"/>
  <c r="I2385" i="1"/>
  <c r="M2299" i="1"/>
  <c r="Q2088" i="1"/>
  <c r="D2742" i="1"/>
  <c r="U962" i="1"/>
  <c r="I191" i="1"/>
  <c r="M2006" i="1"/>
  <c r="AT2657" i="1"/>
  <c r="AT2014" i="1"/>
  <c r="O2537" i="1"/>
  <c r="O1393" i="1"/>
  <c r="Q2472" i="1"/>
  <c r="P2929" i="1"/>
  <c r="O377" i="1"/>
  <c r="N993" i="1"/>
  <c r="AT917" i="1"/>
  <c r="H971" i="1"/>
  <c r="N586" i="1"/>
  <c r="D1783" i="1"/>
  <c r="Q63" i="1"/>
  <c r="P2876" i="1"/>
  <c r="N2134" i="1"/>
  <c r="Q193" i="1"/>
  <c r="N699" i="1"/>
  <c r="N631" i="1"/>
  <c r="N767" i="1"/>
  <c r="U2926" i="1"/>
  <c r="K2921" i="1"/>
  <c r="K1578" i="1"/>
  <c r="D1589" i="1"/>
  <c r="P2468" i="1"/>
  <c r="P99" i="1"/>
  <c r="D1681" i="1"/>
  <c r="P2501" i="1"/>
  <c r="U1631" i="1"/>
  <c r="AT892" i="1"/>
  <c r="AT1187" i="1"/>
  <c r="P3514" i="1"/>
  <c r="I2012" i="1"/>
  <c r="N1524" i="1"/>
  <c r="AT3630" i="1"/>
  <c r="H2179" i="1"/>
  <c r="M2812" i="1"/>
  <c r="O1571" i="1"/>
  <c r="D3139" i="1"/>
  <c r="U783" i="1"/>
  <c r="AT1830" i="1"/>
  <c r="O2806" i="1"/>
  <c r="O796" i="1"/>
  <c r="D1685" i="1"/>
  <c r="D3471" i="1"/>
  <c r="D2956" i="1"/>
  <c r="M1122" i="1"/>
  <c r="Q563" i="1"/>
  <c r="AT426" i="1"/>
  <c r="D2583" i="1"/>
  <c r="N2591" i="1"/>
  <c r="Q798" i="1"/>
  <c r="M1603" i="1"/>
  <c r="P3571" i="1"/>
  <c r="P1706" i="1"/>
  <c r="AT2132" i="1"/>
  <c r="AT1188" i="1"/>
  <c r="AT3007" i="1"/>
  <c r="N1177" i="1"/>
  <c r="P1191" i="1"/>
  <c r="N71" i="1"/>
  <c r="AT116" i="1"/>
  <c r="N3372" i="1"/>
  <c r="P684" i="1"/>
  <c r="N2109" i="1"/>
  <c r="I3427" i="1"/>
  <c r="J3182" i="1"/>
  <c r="Q1211" i="1"/>
  <c r="Q3047" i="1"/>
  <c r="AT2805" i="1"/>
  <c r="O1064" i="1"/>
  <c r="D3129" i="1"/>
  <c r="P230" i="1"/>
  <c r="D828" i="1"/>
  <c r="AT3467" i="1"/>
  <c r="O3484" i="1"/>
  <c r="AT313" i="1"/>
  <c r="O2858" i="1"/>
  <c r="J397" i="1"/>
  <c r="U1090" i="1"/>
  <c r="P1971" i="1"/>
  <c r="N2296" i="1"/>
  <c r="O2252" i="1"/>
  <c r="N2883" i="1"/>
  <c r="D31" i="1"/>
  <c r="M958" i="1"/>
  <c r="P3271" i="1"/>
  <c r="O1249" i="1"/>
  <c r="N1322" i="1"/>
  <c r="U628" i="1"/>
  <c r="O2220" i="1"/>
  <c r="AT3075" i="1"/>
  <c r="N755" i="1"/>
  <c r="AT968" i="1"/>
  <c r="J410" i="1"/>
  <c r="N1072" i="1"/>
  <c r="J642" i="1"/>
  <c r="Q597" i="1"/>
  <c r="U265" i="1"/>
  <c r="AT1670" i="1"/>
  <c r="H1995" i="1"/>
  <c r="N3263" i="1"/>
  <c r="AT1669" i="1"/>
  <c r="AT2830" i="1"/>
  <c r="AT2429" i="1"/>
  <c r="D2437" i="1"/>
  <c r="P1245" i="1"/>
  <c r="Q2710" i="1"/>
  <c r="H1973" i="1"/>
  <c r="O2422" i="1"/>
  <c r="D3576" i="1"/>
  <c r="N1981" i="1"/>
  <c r="Q55" i="1"/>
  <c r="M1809" i="1"/>
  <c r="Q2080" i="1"/>
  <c r="N3439" i="1"/>
  <c r="H3421" i="1"/>
  <c r="AT3403" i="1"/>
  <c r="I1113" i="1"/>
  <c r="U1579" i="1"/>
  <c r="AT1033" i="1"/>
  <c r="D2833" i="1"/>
  <c r="H1468" i="1"/>
  <c r="H1993" i="1"/>
  <c r="N2427" i="1"/>
  <c r="N3053" i="1"/>
  <c r="P115" i="1"/>
  <c r="O938" i="1"/>
  <c r="Q243" i="1"/>
  <c r="H658" i="1"/>
  <c r="N1573" i="1"/>
  <c r="I1706" i="1"/>
  <c r="H1075" i="1"/>
  <c r="AT2844" i="1"/>
  <c r="P3" i="1"/>
  <c r="P3185" i="1"/>
  <c r="D3248" i="1"/>
  <c r="N1732" i="1"/>
  <c r="AT2943" i="1"/>
  <c r="D1716" i="1"/>
  <c r="M2249" i="1"/>
  <c r="H1309" i="1"/>
  <c r="N3287" i="1"/>
  <c r="D1556" i="1"/>
  <c r="N404" i="1"/>
  <c r="M2790" i="1"/>
  <c r="N1821" i="1"/>
  <c r="N886" i="1"/>
  <c r="P210" i="1"/>
  <c r="H680" i="1"/>
  <c r="N1528" i="1"/>
  <c r="U1793" i="1"/>
  <c r="U2909" i="1"/>
  <c r="H1395" i="1"/>
  <c r="N940" i="1"/>
  <c r="Q3170" i="1"/>
  <c r="K547" i="1"/>
  <c r="I2461" i="1"/>
  <c r="O3411" i="1"/>
  <c r="H3441" i="1"/>
  <c r="I2547" i="1"/>
  <c r="H2233" i="1"/>
  <c r="D2516" i="1"/>
  <c r="O3634" i="1"/>
  <c r="P387" i="1"/>
  <c r="Q1387" i="1"/>
  <c r="Q21" i="1"/>
  <c r="U1133" i="1"/>
  <c r="U2321" i="1"/>
  <c r="N1336" i="1"/>
  <c r="I139" i="1"/>
  <c r="P762" i="1"/>
  <c r="O488" i="1"/>
  <c r="O2611" i="1"/>
  <c r="D482" i="1"/>
  <c r="AT3420" i="1"/>
  <c r="O2826" i="1"/>
  <c r="O2840" i="1"/>
  <c r="I451" i="1"/>
  <c r="P177" i="1"/>
  <c r="N358" i="1"/>
  <c r="P1353" i="1"/>
  <c r="J1270" i="1"/>
  <c r="P2104" i="1"/>
  <c r="N24" i="1"/>
  <c r="I75" i="1"/>
  <c r="P2186" i="1"/>
  <c r="U872" i="1"/>
  <c r="U358" i="1"/>
  <c r="N1735" i="1"/>
  <c r="D462" i="1"/>
  <c r="O2774" i="1"/>
  <c r="K1556" i="1"/>
  <c r="M536" i="1"/>
  <c r="N1649" i="1"/>
  <c r="X265" i="1"/>
  <c r="U544" i="1"/>
  <c r="J2521" i="1"/>
  <c r="N2789" i="1"/>
  <c r="U646" i="1"/>
  <c r="Q2086" i="1"/>
  <c r="J396" i="1"/>
  <c r="M1940" i="1"/>
  <c r="O756" i="1"/>
  <c r="Q2857" i="1"/>
  <c r="P3445" i="1"/>
  <c r="P574" i="1"/>
  <c r="O2438" i="1"/>
  <c r="H2830" i="1"/>
  <c r="H2819" i="1"/>
  <c r="D3150" i="1"/>
  <c r="D1214" i="1"/>
  <c r="O2377" i="1"/>
  <c r="U2303" i="1"/>
  <c r="M3579" i="1"/>
  <c r="H3027" i="1"/>
  <c r="AT126" i="1"/>
  <c r="U2552" i="1"/>
  <c r="M2310" i="1"/>
  <c r="H3600" i="1"/>
  <c r="Q2939" i="1"/>
  <c r="M689" i="1"/>
  <c r="Q3398" i="1"/>
  <c r="Q2535" i="1"/>
  <c r="U1813" i="1"/>
  <c r="AT2220" i="1"/>
  <c r="D2952" i="1"/>
  <c r="M3445" i="1"/>
  <c r="P963" i="1"/>
  <c r="D1103" i="1"/>
  <c r="M2027" i="1"/>
  <c r="N840" i="1"/>
  <c r="N2709" i="1"/>
  <c r="J3346" i="1"/>
  <c r="AT2773" i="1"/>
  <c r="P1506" i="1"/>
  <c r="O361" i="1"/>
  <c r="D606" i="1"/>
  <c r="Q2854" i="1"/>
  <c r="D3564" i="1"/>
  <c r="N253" i="1"/>
  <c r="O1708" i="1"/>
  <c r="M3513" i="1"/>
  <c r="I2371" i="1"/>
  <c r="M481" i="1"/>
  <c r="Q2886" i="1"/>
  <c r="N760" i="1"/>
  <c r="I3584" i="1"/>
  <c r="I1793" i="1"/>
  <c r="AT2717" i="1"/>
  <c r="I57" i="1"/>
  <c r="H2008" i="1"/>
  <c r="D1088" i="1"/>
  <c r="U726" i="1"/>
  <c r="Q926" i="1"/>
  <c r="N1235" i="1"/>
  <c r="M1184" i="1"/>
  <c r="AT2025" i="1"/>
  <c r="M920" i="1"/>
  <c r="I2708" i="1"/>
  <c r="U2322" i="1"/>
  <c r="N2465" i="1"/>
  <c r="M1666" i="1"/>
  <c r="M1482" i="1"/>
  <c r="D3513" i="1"/>
  <c r="N2899" i="1"/>
  <c r="P2650" i="1"/>
  <c r="K2439" i="1"/>
  <c r="H696" i="1"/>
  <c r="M1723" i="1"/>
  <c r="M838" i="1"/>
  <c r="N2297" i="1"/>
  <c r="N1028" i="1"/>
  <c r="AT2157" i="1"/>
  <c r="D1266" i="1"/>
  <c r="I421" i="1"/>
  <c r="N2543" i="1"/>
  <c r="D1487" i="1"/>
  <c r="J1596" i="1"/>
  <c r="AT3179" i="1"/>
  <c r="D2641" i="1"/>
  <c r="U2780" i="1"/>
  <c r="D1851" i="1"/>
  <c r="U1932" i="1"/>
  <c r="AT2087" i="1"/>
  <c r="N1737" i="1"/>
  <c r="AT1717" i="1"/>
  <c r="N2824" i="1"/>
  <c r="N3549" i="1"/>
  <c r="I3096" i="1"/>
  <c r="O2345" i="1"/>
  <c r="O921" i="1"/>
  <c r="D637" i="1"/>
  <c r="P1104" i="1"/>
  <c r="AT3028" i="1"/>
  <c r="Q3553" i="1"/>
  <c r="O3614" i="1"/>
  <c r="P501" i="1"/>
  <c r="AT3518" i="1"/>
  <c r="I489" i="1"/>
  <c r="N542" i="1"/>
  <c r="J592" i="1"/>
  <c r="AT2078" i="1"/>
  <c r="AT2270" i="1"/>
  <c r="N432" i="1"/>
  <c r="M1831" i="1"/>
  <c r="D2534" i="1"/>
  <c r="J2742" i="1"/>
  <c r="D2041" i="1"/>
  <c r="AT1536" i="1"/>
  <c r="M3038" i="1"/>
  <c r="D3627" i="1"/>
  <c r="AT2352" i="1"/>
  <c r="O21" i="1"/>
  <c r="M1993" i="1"/>
  <c r="Q707" i="1"/>
  <c r="U282" i="1"/>
  <c r="D2378" i="1"/>
  <c r="D3572" i="1"/>
  <c r="U1039" i="1"/>
  <c r="Q1507" i="1"/>
  <c r="O1530" i="1"/>
  <c r="N997" i="1"/>
  <c r="AT2393" i="1"/>
  <c r="O3099" i="1"/>
  <c r="J266" i="1"/>
  <c r="N1475" i="1"/>
  <c r="M608" i="1"/>
  <c r="I1842" i="1"/>
  <c r="O1122" i="1"/>
  <c r="J1457" i="1"/>
  <c r="AT2580" i="1"/>
  <c r="I1035" i="1"/>
  <c r="D1907" i="1"/>
  <c r="D268" i="1"/>
  <c r="O3312" i="1"/>
  <c r="AT2940" i="1"/>
  <c r="K1221" i="1"/>
  <c r="M549" i="1"/>
  <c r="H434" i="1"/>
  <c r="K1420" i="1"/>
  <c r="U2442" i="1"/>
  <c r="AT411" i="1"/>
  <c r="D2657" i="1"/>
  <c r="AT3312" i="1"/>
  <c r="H16" i="1"/>
  <c r="AT167" i="1"/>
  <c r="J203" i="1"/>
  <c r="O51" i="1"/>
  <c r="D463" i="1"/>
  <c r="K84" i="1"/>
  <c r="M1691" i="1"/>
  <c r="D3055" i="1"/>
  <c r="O2578" i="1"/>
  <c r="Q2186" i="1"/>
  <c r="N2278" i="1"/>
  <c r="D961" i="1"/>
  <c r="M1823" i="1"/>
  <c r="U604" i="1"/>
  <c r="H2648" i="1"/>
  <c r="P1833" i="1"/>
  <c r="D2959" i="1"/>
  <c r="AT2692" i="1"/>
  <c r="M235" i="1"/>
  <c r="D2560" i="1"/>
  <c r="O784" i="1"/>
  <c r="P1271" i="1"/>
  <c r="N2389" i="1"/>
  <c r="M468" i="1"/>
  <c r="M2747" i="1"/>
  <c r="U886" i="1"/>
  <c r="Q2441" i="1"/>
  <c r="N3162" i="1"/>
  <c r="I2632" i="1"/>
  <c r="H3429" i="1"/>
  <c r="O3267" i="1"/>
  <c r="Q2092" i="1"/>
  <c r="U319" i="1"/>
  <c r="AT596" i="1"/>
  <c r="U1005" i="1"/>
  <c r="K45" i="1"/>
  <c r="I2710" i="1"/>
  <c r="N1983" i="1"/>
  <c r="P3072" i="1"/>
  <c r="N2126" i="1"/>
  <c r="J902" i="1"/>
  <c r="U526" i="1"/>
  <c r="O1391" i="1"/>
  <c r="N1057" i="1"/>
  <c r="D785" i="1"/>
  <c r="Q1308" i="1"/>
  <c r="P552" i="1"/>
  <c r="D1175" i="1"/>
  <c r="U2007" i="1"/>
  <c r="J2397" i="1"/>
  <c r="N1593" i="1"/>
  <c r="Q3281" i="1"/>
  <c r="M2279" i="1"/>
  <c r="N1070" i="1"/>
  <c r="P2745" i="1"/>
  <c r="N3382" i="1"/>
  <c r="D2531" i="1"/>
  <c r="I137" i="1"/>
  <c r="H1413" i="1"/>
  <c r="P3023" i="1"/>
  <c r="AT635" i="1"/>
  <c r="D10" i="1"/>
  <c r="O101" i="1"/>
  <c r="P1293" i="1"/>
  <c r="AT1120" i="1"/>
  <c r="U2235" i="1"/>
  <c r="H2080" i="1"/>
  <c r="M3162" i="1"/>
  <c r="M183" i="1"/>
  <c r="K2972" i="1"/>
  <c r="Q906" i="1"/>
  <c r="U1170" i="1"/>
  <c r="AT3138" i="1"/>
  <c r="H2488" i="1"/>
  <c r="O995" i="1"/>
  <c r="D1712" i="1"/>
  <c r="P437" i="1"/>
  <c r="I3111" i="1"/>
  <c r="AT7" i="1"/>
  <c r="M3178" i="1"/>
  <c r="O739" i="1"/>
  <c r="O3397" i="1"/>
  <c r="N2770" i="1"/>
  <c r="H3178" i="1"/>
  <c r="D3195" i="1"/>
  <c r="N3307" i="1"/>
  <c r="N350" i="1"/>
  <c r="M730" i="1"/>
  <c r="N805" i="1"/>
  <c r="D2621" i="1"/>
  <c r="D1367" i="1"/>
  <c r="Q968" i="1"/>
  <c r="AT1248" i="1"/>
  <c r="O2305" i="1"/>
  <c r="H997" i="1"/>
  <c r="H60" i="1"/>
  <c r="H384" i="1"/>
  <c r="M1282" i="1"/>
  <c r="N2529" i="1"/>
  <c r="AT152" i="1"/>
  <c r="P1274" i="1"/>
  <c r="Q281" i="1"/>
  <c r="Q2517" i="1"/>
  <c r="AT1530" i="1"/>
  <c r="N1706" i="1"/>
  <c r="N862" i="1"/>
  <c r="H1190" i="1"/>
  <c r="O2443" i="1"/>
  <c r="N1707" i="1"/>
  <c r="P1551" i="1"/>
  <c r="AT511" i="1"/>
  <c r="I1111" i="1"/>
  <c r="O2745" i="1"/>
  <c r="K2261" i="1"/>
  <c r="J2394" i="1"/>
  <c r="AT415" i="1"/>
  <c r="H2836" i="1"/>
  <c r="P411" i="1"/>
  <c r="N362" i="1"/>
  <c r="AT2451" i="1"/>
  <c r="Q3603" i="1"/>
  <c r="N193" i="1"/>
  <c r="O3383" i="1"/>
  <c r="I2303" i="1"/>
  <c r="M3203" i="1"/>
  <c r="AT545" i="1"/>
  <c r="AT867" i="1"/>
  <c r="U2538" i="1"/>
  <c r="K552" i="1"/>
  <c r="Q2387" i="1"/>
  <c r="H1191" i="1"/>
  <c r="I79" i="1"/>
  <c r="N3328" i="1"/>
  <c r="M2937" i="1"/>
  <c r="I2676" i="1"/>
  <c r="D1233" i="1"/>
  <c r="U1263" i="1"/>
  <c r="D1024" i="1"/>
  <c r="I1930" i="1"/>
  <c r="N811" i="1"/>
  <c r="M2054" i="1"/>
  <c r="J1380" i="1"/>
  <c r="K3301" i="1"/>
  <c r="O371" i="1"/>
  <c r="N3583" i="1"/>
  <c r="H2165" i="1"/>
  <c r="O3454" i="1"/>
  <c r="AT3015" i="1"/>
  <c r="N2482" i="1"/>
  <c r="U3222" i="1"/>
  <c r="O2659" i="1"/>
  <c r="AT1208" i="1"/>
  <c r="O1630" i="1"/>
  <c r="P2307" i="1"/>
  <c r="K3466" i="1"/>
  <c r="U1794" i="1"/>
  <c r="H805" i="1"/>
  <c r="U3598" i="1"/>
  <c r="D740" i="1"/>
  <c r="U2942" i="1"/>
  <c r="D3145" i="1"/>
  <c r="N3577" i="1"/>
  <c r="I1380" i="1"/>
  <c r="D676" i="1"/>
  <c r="H1192" i="1"/>
  <c r="P1627" i="1"/>
  <c r="N334" i="1"/>
  <c r="U476" i="1"/>
  <c r="AT819" i="1"/>
  <c r="M878" i="1"/>
  <c r="U2650" i="1"/>
  <c r="O3598" i="1"/>
  <c r="U2449" i="1"/>
  <c r="O2296" i="1"/>
  <c r="H30" i="1"/>
  <c r="N23" i="1"/>
  <c r="D3200" i="1"/>
  <c r="O2457" i="1"/>
  <c r="Q1665" i="1"/>
  <c r="Q2273" i="1"/>
  <c r="O403" i="1"/>
  <c r="D647" i="1"/>
  <c r="U1785" i="1"/>
  <c r="AT3305" i="1"/>
  <c r="D2830" i="1"/>
  <c r="O2591" i="1"/>
  <c r="D1485" i="1"/>
  <c r="O2111" i="1"/>
  <c r="I3532" i="1"/>
  <c r="N1775" i="1"/>
  <c r="N838" i="1"/>
  <c r="O2867" i="1"/>
  <c r="Q2600" i="1"/>
  <c r="M3010" i="1"/>
  <c r="I3193" i="1"/>
  <c r="U1343" i="1"/>
  <c r="M512" i="1"/>
  <c r="M716" i="1"/>
  <c r="N352" i="1"/>
  <c r="D2754" i="1"/>
  <c r="Q2997" i="1"/>
  <c r="P383" i="1"/>
  <c r="P2426" i="1"/>
  <c r="N2947" i="1"/>
  <c r="D1848" i="1"/>
  <c r="N1293" i="1"/>
  <c r="N1995" i="1"/>
  <c r="AT3133" i="1"/>
  <c r="D1068" i="1"/>
  <c r="D3470" i="1"/>
  <c r="O1800" i="1"/>
  <c r="AT3447" i="1"/>
  <c r="P336" i="1"/>
  <c r="N3381" i="1"/>
  <c r="K2299" i="1"/>
  <c r="AT2730" i="1"/>
  <c r="D3384" i="1"/>
  <c r="D3023" i="1"/>
  <c r="K3196" i="1"/>
  <c r="D3308" i="1"/>
  <c r="N2678" i="1"/>
  <c r="N818" i="1"/>
  <c r="I2125" i="1"/>
  <c r="H2326" i="1"/>
  <c r="P2465" i="1"/>
  <c r="H1444" i="1"/>
  <c r="U3152" i="1"/>
  <c r="H397" i="1"/>
  <c r="J1342" i="1"/>
  <c r="O2028" i="1"/>
  <c r="AT2545" i="1"/>
  <c r="J2711" i="1"/>
  <c r="U1778" i="1"/>
  <c r="U1973" i="1"/>
  <c r="P1545" i="1"/>
  <c r="D1431" i="1"/>
  <c r="I277" i="1"/>
  <c r="M3219" i="1"/>
  <c r="Q1401" i="1"/>
  <c r="P2054" i="1"/>
  <c r="I1225" i="1"/>
  <c r="D1671" i="1"/>
  <c r="AT2503" i="1"/>
  <c r="N1715" i="1"/>
  <c r="N1693" i="1"/>
  <c r="U127" i="1"/>
  <c r="I638" i="1"/>
  <c r="N2536" i="1"/>
  <c r="U3415" i="1"/>
  <c r="K1127" i="1"/>
  <c r="O1780" i="1"/>
  <c r="AT3508" i="1"/>
  <c r="I3542" i="1"/>
  <c r="N2240" i="1"/>
  <c r="D786" i="1"/>
  <c r="U2192" i="1"/>
  <c r="O3008" i="1"/>
  <c r="O1891" i="1"/>
  <c r="D3516" i="1"/>
  <c r="P1273" i="1"/>
  <c r="U2836" i="1"/>
  <c r="D545" i="1"/>
  <c r="U305" i="1"/>
  <c r="D2767" i="1"/>
  <c r="P2725" i="1"/>
  <c r="D3032" i="1"/>
  <c r="M2732" i="1"/>
  <c r="P2619" i="1"/>
  <c r="D3565" i="1"/>
  <c r="M260" i="1"/>
  <c r="N1626" i="1"/>
  <c r="AT1379" i="1"/>
  <c r="O2963" i="1"/>
  <c r="N1352" i="1"/>
  <c r="D3215" i="1"/>
  <c r="I283" i="1"/>
  <c r="K1053" i="1"/>
  <c r="P2378" i="1"/>
  <c r="U3392" i="1"/>
  <c r="O2447" i="1"/>
  <c r="AT1729" i="1"/>
  <c r="N2569" i="1"/>
  <c r="M1560" i="1"/>
  <c r="N1569" i="1"/>
  <c r="N1138" i="1"/>
  <c r="H1080" i="1"/>
  <c r="Q1127" i="1"/>
  <c r="H3180" i="1"/>
  <c r="N356" i="1"/>
  <c r="N3216" i="1"/>
  <c r="M2757" i="1"/>
  <c r="Q335" i="1"/>
  <c r="U2052" i="1"/>
  <c r="O1037" i="1"/>
  <c r="M552" i="1"/>
  <c r="P616" i="1"/>
  <c r="H3267" i="1"/>
  <c r="I433" i="1"/>
  <c r="O1933" i="1"/>
  <c r="O2262" i="1"/>
  <c r="D327" i="1"/>
  <c r="D115" i="1"/>
  <c r="Q2942" i="1"/>
  <c r="I1022" i="1"/>
  <c r="N2056" i="1"/>
  <c r="O611" i="1"/>
  <c r="U524" i="1"/>
  <c r="AT893" i="1"/>
  <c r="D2687" i="1"/>
  <c r="N605" i="1"/>
  <c r="D2352" i="1"/>
  <c r="I720" i="1"/>
  <c r="AT1573" i="1"/>
  <c r="H2593" i="1"/>
  <c r="M1073" i="1"/>
  <c r="H773" i="1"/>
  <c r="O1682" i="1"/>
  <c r="I1590" i="1"/>
  <c r="M1992" i="1"/>
  <c r="Q3304" i="1"/>
  <c r="I1003" i="1"/>
  <c r="AT3466" i="1"/>
  <c r="I2794" i="1"/>
  <c r="AT2833" i="1"/>
  <c r="Q1406" i="1"/>
  <c r="O1245" i="1"/>
  <c r="K1544" i="1"/>
  <c r="D3454" i="1"/>
  <c r="J3428" i="1"/>
  <c r="Q3182" i="1"/>
  <c r="P1536" i="1"/>
  <c r="N1806" i="1"/>
  <c r="K1624" i="1"/>
  <c r="D794" i="1"/>
  <c r="I383" i="1"/>
  <c r="M3078" i="1"/>
  <c r="Q2432" i="1"/>
  <c r="J1638" i="1"/>
  <c r="M579" i="1"/>
  <c r="AT92" i="1"/>
  <c r="AT663" i="1"/>
  <c r="I2733" i="1"/>
  <c r="U2988" i="1"/>
  <c r="N1491" i="1"/>
  <c r="P945" i="1"/>
  <c r="N1923" i="1"/>
  <c r="D397" i="1"/>
  <c r="N2103" i="1"/>
  <c r="Q2723" i="1"/>
  <c r="N3259" i="1"/>
  <c r="U14" i="1"/>
  <c r="N2267" i="1"/>
  <c r="D2063" i="1"/>
  <c r="I1620" i="1"/>
  <c r="M2383" i="1"/>
  <c r="AT1697" i="1"/>
  <c r="M1388" i="1"/>
  <c r="U3583" i="1"/>
  <c r="Q1570" i="1"/>
  <c r="Q81" i="1"/>
  <c r="M1218" i="1"/>
  <c r="J2664" i="1"/>
  <c r="O1092" i="1"/>
  <c r="D1171" i="1"/>
  <c r="Q2447" i="1"/>
  <c r="H3606" i="1"/>
  <c r="M45" i="1"/>
  <c r="I2631" i="1"/>
  <c r="AT3515" i="1"/>
  <c r="M1090" i="1"/>
  <c r="N1625" i="1"/>
  <c r="J1535" i="1"/>
  <c r="N1621" i="1"/>
  <c r="H1695" i="1"/>
  <c r="N1725" i="1"/>
  <c r="I39" i="1"/>
  <c r="P2769" i="1"/>
  <c r="N573" i="1"/>
  <c r="K2285" i="1"/>
  <c r="P3301" i="1"/>
  <c r="P3487" i="1"/>
  <c r="N1447" i="1"/>
  <c r="J3149" i="1"/>
  <c r="O2755" i="1"/>
  <c r="AT744" i="1"/>
  <c r="I1941" i="1"/>
  <c r="N810" i="1"/>
  <c r="AT1297" i="1"/>
  <c r="D1145" i="1"/>
  <c r="U1084" i="1"/>
  <c r="AT1431" i="1"/>
  <c r="U803" i="1"/>
  <c r="Q1697" i="1"/>
  <c r="J1500" i="1"/>
  <c r="M3620" i="1"/>
  <c r="D2198" i="1"/>
  <c r="H2892" i="1"/>
  <c r="H3241" i="1"/>
  <c r="P1253" i="1"/>
  <c r="M282" i="1"/>
  <c r="M3348" i="1"/>
  <c r="P2690" i="1"/>
  <c r="D3334" i="1"/>
  <c r="U518" i="1"/>
  <c r="Q3157" i="1"/>
  <c r="U3527" i="1"/>
  <c r="M815" i="1"/>
  <c r="O604" i="1"/>
  <c r="O495" i="1"/>
  <c r="AT1682" i="1"/>
  <c r="J67" i="1"/>
  <c r="AT328" i="1"/>
  <c r="N629" i="1"/>
  <c r="U1259" i="1"/>
  <c r="M2037" i="1"/>
  <c r="U1386" i="1"/>
  <c r="Q2362" i="1"/>
  <c r="J1196" i="1"/>
  <c r="O336" i="1"/>
  <c r="U977" i="1"/>
  <c r="O1993" i="1"/>
  <c r="O1146" i="1"/>
  <c r="D3380" i="1"/>
  <c r="H2302" i="1"/>
  <c r="N1383" i="1"/>
  <c r="P256" i="1"/>
  <c r="M2032" i="1"/>
  <c r="M2493" i="1"/>
  <c r="M2446" i="1"/>
  <c r="J1152" i="1"/>
  <c r="D2520" i="1"/>
  <c r="Q1511" i="1"/>
  <c r="U185" i="1"/>
  <c r="I945" i="1"/>
  <c r="Q2488" i="1"/>
  <c r="J1674" i="1"/>
  <c r="J1546" i="1"/>
  <c r="J777" i="1"/>
  <c r="O3447" i="1"/>
  <c r="K1851" i="1"/>
  <c r="U3056" i="1"/>
  <c r="H2495" i="1"/>
  <c r="I2325" i="1"/>
  <c r="N2780" i="1"/>
  <c r="M343" i="1"/>
  <c r="D454" i="1"/>
  <c r="N2976" i="1"/>
  <c r="K740" i="1"/>
  <c r="U1254" i="1"/>
  <c r="U3275" i="1"/>
  <c r="Q1085" i="1"/>
  <c r="I1142" i="1"/>
  <c r="D1469" i="1"/>
  <c r="H1302" i="1"/>
  <c r="U2639" i="1"/>
  <c r="D3585" i="1"/>
  <c r="U1030" i="1"/>
  <c r="M2798" i="1"/>
  <c r="P1610" i="1"/>
  <c r="J804" i="1"/>
  <c r="AT851" i="1"/>
  <c r="D2402" i="1"/>
  <c r="D2529" i="1"/>
  <c r="N1553" i="1"/>
  <c r="P637" i="1"/>
  <c r="J457" i="1"/>
  <c r="O2909" i="1"/>
  <c r="Q148" i="1"/>
  <c r="N2398" i="1"/>
  <c r="N855" i="1"/>
  <c r="N1978" i="1"/>
  <c r="O3011" i="1"/>
  <c r="AT3214" i="1"/>
  <c r="AT2382" i="1"/>
  <c r="N3299" i="1"/>
  <c r="D394" i="1"/>
  <c r="Q330" i="1"/>
  <c r="M436" i="1"/>
  <c r="N3490" i="1"/>
  <c r="U279" i="1"/>
  <c r="J1992" i="1"/>
  <c r="M1424" i="1"/>
  <c r="AT841" i="1"/>
  <c r="Q1125" i="1"/>
  <c r="N265" i="1"/>
  <c r="Q2064" i="1"/>
  <c r="M2049" i="1"/>
  <c r="O1655" i="1"/>
  <c r="M1711" i="1"/>
  <c r="N2087" i="1"/>
  <c r="M1942" i="1"/>
  <c r="AT2111" i="1"/>
  <c r="O2770" i="1"/>
  <c r="O169" i="1"/>
  <c r="N2897" i="1"/>
  <c r="H723" i="1"/>
  <c r="AT27" i="1"/>
  <c r="H1752" i="1"/>
  <c r="J526" i="1"/>
  <c r="N1575" i="1"/>
  <c r="AT722" i="1"/>
  <c r="D2291" i="1"/>
  <c r="P1803" i="1"/>
  <c r="D3276" i="1"/>
  <c r="P3246" i="1"/>
  <c r="J1863" i="1"/>
  <c r="AT1205" i="1"/>
  <c r="U1486" i="1"/>
  <c r="D2569" i="1"/>
  <c r="AT396" i="1"/>
  <c r="AT689" i="1"/>
  <c r="AT2571" i="1"/>
  <c r="I624" i="1"/>
  <c r="AT3258" i="1"/>
  <c r="K1204" i="1"/>
  <c r="U166" i="1"/>
  <c r="D2482" i="1"/>
  <c r="M981" i="1"/>
  <c r="U3553" i="1"/>
  <c r="U3377" i="1"/>
  <c r="H3062" i="1"/>
  <c r="U1408" i="1"/>
  <c r="AT1746" i="1"/>
  <c r="N2015" i="1"/>
  <c r="H1434" i="1"/>
  <c r="N2041" i="1"/>
  <c r="Q3627" i="1"/>
  <c r="Q221" i="1"/>
  <c r="J2117" i="1"/>
  <c r="H2055" i="1"/>
  <c r="N2235" i="1"/>
  <c r="AT2651" i="1"/>
  <c r="AT501" i="1"/>
  <c r="D1809" i="1"/>
  <c r="I2228" i="1"/>
  <c r="M698" i="1"/>
  <c r="M1178" i="1"/>
  <c r="Q966" i="1"/>
  <c r="N2580" i="1"/>
  <c r="O43" i="1"/>
  <c r="I2992" i="1"/>
  <c r="AT2206" i="1"/>
  <c r="D1857" i="1"/>
  <c r="AT339" i="1"/>
  <c r="J8" i="1"/>
  <c r="D3518" i="1"/>
  <c r="D248" i="1"/>
  <c r="Q1578" i="1"/>
  <c r="U2559" i="1"/>
  <c r="D243" i="1"/>
  <c r="K522" i="1"/>
  <c r="P701" i="1"/>
  <c r="O537" i="1"/>
  <c r="H3250" i="1"/>
  <c r="N2342" i="1"/>
  <c r="I2375" i="1"/>
  <c r="H1811" i="1"/>
  <c r="AT965" i="1"/>
  <c r="Q2650" i="1"/>
  <c r="I3238" i="1"/>
  <c r="P1590" i="1"/>
  <c r="O160" i="1"/>
  <c r="Q498" i="1"/>
  <c r="O3180" i="1"/>
  <c r="AT2796" i="1"/>
  <c r="O973" i="1"/>
  <c r="D2154" i="1"/>
  <c r="U435" i="1"/>
  <c r="P3007" i="1"/>
  <c r="J1330" i="1"/>
  <c r="Q871" i="1"/>
  <c r="M182" i="1"/>
  <c r="D3172" i="1"/>
  <c r="O1973" i="1"/>
  <c r="P848" i="1"/>
  <c r="M743" i="1"/>
  <c r="M3117" i="1"/>
  <c r="P1685" i="1"/>
  <c r="D1727" i="1"/>
  <c r="N1387" i="1"/>
  <c r="P3349" i="1"/>
  <c r="O652" i="1"/>
  <c r="O414" i="1"/>
  <c r="AT1939" i="1"/>
  <c r="K757" i="1"/>
  <c r="Q2727" i="1"/>
  <c r="H586" i="1"/>
  <c r="I1100" i="1"/>
  <c r="D1388" i="1"/>
  <c r="O1639" i="1"/>
  <c r="N982" i="1"/>
  <c r="D632" i="1"/>
  <c r="U2403" i="1"/>
  <c r="AT1330" i="1"/>
  <c r="M2126" i="1"/>
  <c r="D2797" i="1"/>
  <c r="P3009" i="1"/>
  <c r="K1862" i="1"/>
  <c r="AT161" i="1"/>
  <c r="D2697" i="1"/>
  <c r="K3203" i="1"/>
  <c r="H1202" i="1"/>
  <c r="U618" i="1"/>
  <c r="O203" i="1"/>
  <c r="I3573" i="1"/>
  <c r="D1981" i="1"/>
  <c r="H961" i="1"/>
  <c r="H2587" i="1"/>
  <c r="M82" i="1"/>
  <c r="D2786" i="1"/>
  <c r="D778" i="1"/>
  <c r="Q1963" i="1"/>
  <c r="AT2424" i="1"/>
  <c r="AT1182" i="1"/>
  <c r="P102" i="1"/>
  <c r="M1370" i="1"/>
  <c r="U1353" i="1"/>
  <c r="N496" i="1"/>
  <c r="K3538" i="1"/>
  <c r="P3483" i="1"/>
  <c r="O3012" i="1"/>
  <c r="AT266" i="1"/>
  <c r="O3303" i="1"/>
  <c r="O887" i="1"/>
  <c r="D3357" i="1"/>
  <c r="P1825" i="1"/>
  <c r="D2451" i="1"/>
  <c r="U1447" i="1"/>
  <c r="P3180" i="1"/>
  <c r="P3182" i="1"/>
  <c r="N1669" i="1"/>
  <c r="Q1828" i="1"/>
  <c r="D1352" i="1"/>
  <c r="K1424" i="1"/>
  <c r="O584" i="1"/>
  <c r="AT1616" i="1"/>
  <c r="M2335" i="1"/>
  <c r="Q876" i="1"/>
  <c r="D595" i="1"/>
  <c r="AT2262" i="1"/>
  <c r="D77" i="1"/>
  <c r="K3596" i="1"/>
  <c r="P550" i="1"/>
  <c r="J2381" i="1"/>
  <c r="M1168" i="1"/>
  <c r="M289" i="1"/>
  <c r="P1100" i="1"/>
  <c r="M2972" i="1"/>
  <c r="AT1477" i="1"/>
  <c r="O444" i="1"/>
  <c r="P2181" i="1"/>
  <c r="M2494" i="1"/>
  <c r="J3605" i="1"/>
  <c r="D1690" i="1"/>
  <c r="M3351" i="1"/>
  <c r="D3293" i="1"/>
  <c r="P772" i="1"/>
  <c r="AT235" i="1"/>
  <c r="O2088" i="1"/>
  <c r="U2507" i="1"/>
  <c r="I2008" i="1"/>
  <c r="N3437" i="1"/>
  <c r="I1504" i="1"/>
  <c r="P1024" i="1"/>
  <c r="O233" i="1"/>
  <c r="J2522" i="1"/>
  <c r="I2925" i="1"/>
  <c r="O3481" i="1"/>
  <c r="O778" i="1"/>
  <c r="P3048" i="1"/>
  <c r="K2557" i="1"/>
  <c r="J521" i="1"/>
  <c r="O2331" i="1"/>
  <c r="N1503" i="1"/>
  <c r="N3201" i="1"/>
  <c r="H3349" i="1"/>
  <c r="I70" i="1"/>
  <c r="AT1777" i="1"/>
  <c r="D2260" i="1"/>
  <c r="Q1726" i="1"/>
  <c r="M3097" i="1"/>
  <c r="Q2792" i="1"/>
  <c r="I3335" i="1"/>
  <c r="J3509" i="1"/>
  <c r="U290" i="1"/>
  <c r="I2476" i="1"/>
  <c r="J2872" i="1"/>
  <c r="P1733" i="1"/>
  <c r="N3461" i="1"/>
  <c r="J676" i="1"/>
  <c r="I718" i="1"/>
  <c r="AT1543" i="1"/>
  <c r="Q271" i="1"/>
  <c r="Q3211" i="1"/>
  <c r="D1259" i="1"/>
  <c r="N1550" i="1"/>
  <c r="Q1042" i="1"/>
  <c r="H2747" i="1"/>
  <c r="M2879" i="1"/>
  <c r="P2955" i="1"/>
  <c r="AT3484" i="1"/>
  <c r="N233" i="1"/>
  <c r="D2639" i="1"/>
  <c r="P77" i="1"/>
  <c r="AT3327" i="1"/>
  <c r="D169" i="1"/>
  <c r="I2296" i="1"/>
  <c r="D3033" i="1"/>
  <c r="P535" i="1"/>
  <c r="O3499" i="1"/>
  <c r="M1875" i="1"/>
  <c r="O3557" i="1"/>
  <c r="D1972" i="1"/>
  <c r="J1189" i="1"/>
  <c r="N481" i="1"/>
  <c r="D689" i="1"/>
  <c r="O1922" i="1"/>
  <c r="AT3126" i="1"/>
  <c r="K1727" i="1"/>
  <c r="M1258" i="1"/>
  <c r="H1077" i="1"/>
  <c r="AT1455" i="1"/>
  <c r="H2173" i="1"/>
  <c r="H694" i="1"/>
  <c r="D1245" i="1"/>
  <c r="O3586" i="1"/>
  <c r="H3408" i="1"/>
  <c r="Q856" i="1"/>
  <c r="H879" i="1"/>
  <c r="D3313" i="1"/>
  <c r="K2784" i="1"/>
  <c r="H421" i="1"/>
  <c r="P1931" i="1"/>
  <c r="P1043" i="1"/>
  <c r="N2355" i="1"/>
  <c r="N1082" i="1"/>
  <c r="K580" i="1"/>
  <c r="N2323" i="1"/>
  <c r="AT3592" i="1"/>
  <c r="O3610" i="1"/>
  <c r="D421" i="1"/>
  <c r="P3548" i="1"/>
  <c r="P369" i="1"/>
  <c r="U2903" i="1"/>
  <c r="P2591" i="1"/>
  <c r="O2790" i="1"/>
  <c r="H3022" i="1"/>
  <c r="AT2430" i="1"/>
  <c r="O1746" i="1"/>
  <c r="M1036" i="1"/>
  <c r="D3445" i="1"/>
  <c r="D1404" i="1"/>
  <c r="M3465" i="1"/>
  <c r="AT1210" i="1"/>
  <c r="O273" i="1"/>
  <c r="U2078" i="1"/>
  <c r="O583" i="1"/>
  <c r="Q1879" i="1"/>
  <c r="D2860" i="1"/>
  <c r="O3367" i="1"/>
  <c r="N228" i="1"/>
  <c r="AT773" i="1"/>
  <c r="AT2038" i="1"/>
  <c r="J2170" i="1"/>
  <c r="AT522" i="1"/>
  <c r="U2331" i="1"/>
  <c r="Q440" i="1"/>
  <c r="M3354" i="1"/>
  <c r="P1314" i="1"/>
  <c r="AT1339" i="1"/>
  <c r="P1955" i="1"/>
  <c r="D64" i="1"/>
  <c r="N905" i="1"/>
  <c r="J3036" i="1"/>
  <c r="O2787" i="1"/>
  <c r="K689" i="1"/>
  <c r="U3248" i="1"/>
  <c r="Q2983" i="1"/>
  <c r="I1887" i="1"/>
  <c r="D1541" i="1"/>
  <c r="J2261" i="1"/>
  <c r="N3199" i="1"/>
  <c r="AT3134" i="1"/>
  <c r="H411" i="1"/>
  <c r="I2954" i="1"/>
  <c r="H2806" i="1"/>
  <c r="D1349" i="1"/>
  <c r="N2792" i="1"/>
  <c r="O636" i="1"/>
  <c r="U2634" i="1"/>
  <c r="AT2275" i="1"/>
  <c r="Q2798" i="1"/>
  <c r="J1765" i="1"/>
  <c r="Q2620" i="1"/>
  <c r="O1572" i="1"/>
  <c r="U990" i="1"/>
  <c r="K775" i="1"/>
  <c r="K765" i="1"/>
  <c r="AT2187" i="1"/>
  <c r="O2461" i="1"/>
  <c r="U2039" i="1"/>
  <c r="P1894" i="1"/>
  <c r="AT1161" i="1"/>
  <c r="U546" i="1"/>
  <c r="AT690" i="1"/>
  <c r="D22" i="1"/>
  <c r="O1054" i="1"/>
  <c r="M820" i="1"/>
  <c r="AT1638" i="1"/>
  <c r="N1922" i="1"/>
  <c r="Q2905" i="1"/>
  <c r="Q2181" i="1"/>
  <c r="J3051" i="1"/>
  <c r="O806" i="1"/>
  <c r="I2453" i="1"/>
  <c r="I1297" i="1"/>
  <c r="P190" i="1"/>
  <c r="N2612" i="1"/>
  <c r="N1915" i="1"/>
  <c r="O2139" i="1"/>
  <c r="P519" i="1"/>
  <c r="N495" i="1"/>
  <c r="D1627" i="1"/>
  <c r="H632" i="1"/>
  <c r="P3117" i="1"/>
  <c r="U1288" i="1"/>
  <c r="P2641" i="1"/>
  <c r="I1811" i="1"/>
  <c r="U1770" i="1"/>
  <c r="N2073" i="1"/>
  <c r="D3618" i="1"/>
  <c r="AT2696" i="1"/>
  <c r="Q3310" i="1"/>
  <c r="H3476" i="1"/>
  <c r="M2581" i="1"/>
  <c r="P2322" i="1"/>
  <c r="P2116" i="1"/>
  <c r="AT1839" i="1"/>
  <c r="N2396" i="1"/>
  <c r="U2214" i="1"/>
  <c r="O3617" i="1"/>
  <c r="J1634" i="1"/>
  <c r="AT2599" i="1"/>
  <c r="D3338" i="1"/>
  <c r="M773" i="1"/>
  <c r="N3217" i="1"/>
  <c r="O1466" i="1"/>
  <c r="U1490" i="1"/>
  <c r="AT584" i="1"/>
  <c r="U1205" i="1"/>
  <c r="N2679" i="1"/>
  <c r="Q1834" i="1"/>
  <c r="K1615" i="1"/>
  <c r="I2188" i="1"/>
  <c r="D2734" i="1"/>
  <c r="H2538" i="1"/>
  <c r="P3001" i="1"/>
  <c r="P2846" i="1"/>
  <c r="Q2341" i="1"/>
  <c r="K2624" i="1"/>
  <c r="M2016" i="1"/>
  <c r="U54" i="1"/>
  <c r="O2096" i="1"/>
  <c r="H305" i="1"/>
  <c r="M597" i="1"/>
  <c r="J2953" i="1"/>
  <c r="O2995" i="1"/>
  <c r="D1964" i="1"/>
  <c r="AT1428" i="1"/>
  <c r="D3636" i="1"/>
  <c r="I2497" i="1"/>
  <c r="P3359" i="1"/>
  <c r="M2856" i="1"/>
  <c r="AT1644" i="1"/>
  <c r="J187" i="1"/>
  <c r="D2863" i="1"/>
  <c r="P1605" i="1"/>
  <c r="N2089" i="1"/>
  <c r="P1708" i="1"/>
  <c r="N1196" i="1"/>
  <c r="O3245" i="1"/>
  <c r="Q2618" i="1"/>
  <c r="M489" i="1"/>
  <c r="AT2167" i="1"/>
  <c r="D2846" i="1"/>
  <c r="D379" i="1"/>
  <c r="H2733" i="1"/>
  <c r="K3025" i="1"/>
  <c r="AT2426" i="1"/>
  <c r="M2573" i="1"/>
  <c r="O2705" i="1"/>
  <c r="O936" i="1"/>
  <c r="O1724" i="1"/>
  <c r="U1946" i="1"/>
  <c r="D2871" i="1"/>
  <c r="P627" i="1"/>
  <c r="D1176" i="1"/>
  <c r="O1563" i="1"/>
  <c r="Q1897" i="1"/>
  <c r="M445" i="1"/>
  <c r="P1454" i="1"/>
  <c r="O1257" i="1"/>
  <c r="D3409" i="1"/>
  <c r="AT1340" i="1"/>
  <c r="O3192" i="1"/>
  <c r="AT2646" i="1"/>
  <c r="M3427" i="1"/>
  <c r="Q2559" i="1"/>
  <c r="Q1692" i="1"/>
  <c r="P2602" i="1"/>
  <c r="AT785" i="1"/>
  <c r="M3463" i="1"/>
  <c r="AT2383" i="1"/>
  <c r="I1728" i="1"/>
  <c r="H615" i="1"/>
  <c r="U3081" i="1"/>
  <c r="N3435" i="1"/>
  <c r="N220" i="1"/>
  <c r="Q3455" i="1"/>
  <c r="O3278" i="1"/>
  <c r="M155" i="1"/>
  <c r="H2839" i="1"/>
  <c r="N2421" i="1"/>
  <c r="P1664" i="1"/>
  <c r="N1393" i="1"/>
  <c r="M2204" i="1"/>
  <c r="M3335" i="1"/>
  <c r="Q2529" i="1"/>
  <c r="Q2968" i="1"/>
  <c r="J258" i="1"/>
  <c r="H1975" i="1"/>
  <c r="P1788" i="1"/>
  <c r="O2287" i="1"/>
  <c r="D2114" i="1"/>
  <c r="U2273" i="1"/>
  <c r="N3378" i="1"/>
  <c r="AT1497" i="1"/>
  <c r="K352" i="1"/>
  <c r="I625" i="1"/>
  <c r="AT726" i="1"/>
  <c r="O1745" i="1"/>
  <c r="AT3267" i="1"/>
  <c r="AT1990" i="1"/>
  <c r="N546" i="1"/>
  <c r="AT3122" i="1"/>
  <c r="J79" i="1"/>
  <c r="D666" i="1"/>
  <c r="H88" i="1"/>
  <c r="D814" i="1"/>
  <c r="AT503" i="1"/>
  <c r="M1238" i="1"/>
  <c r="AT1708" i="1"/>
  <c r="D719" i="1"/>
  <c r="P3209" i="1"/>
  <c r="M3190" i="1"/>
  <c r="O3158" i="1"/>
  <c r="N1748" i="1"/>
  <c r="AT2268" i="1"/>
  <c r="P1983" i="1"/>
  <c r="J2546" i="1"/>
  <c r="D3476" i="1"/>
  <c r="P926" i="1"/>
  <c r="AT3609" i="1"/>
  <c r="H925" i="1"/>
  <c r="O3152" i="1"/>
  <c r="AT228" i="1"/>
  <c r="M3542" i="1"/>
  <c r="AT140" i="1"/>
  <c r="M1041" i="1"/>
  <c r="M1119" i="1"/>
  <c r="O481" i="1"/>
  <c r="N850" i="1"/>
  <c r="O3348" i="1"/>
  <c r="U2938" i="1"/>
  <c r="O1207" i="1"/>
  <c r="P966" i="1"/>
  <c r="I427" i="1"/>
  <c r="P1985" i="1"/>
  <c r="M1600" i="1"/>
  <c r="O1039" i="1"/>
  <c r="N1396" i="1"/>
  <c r="I461" i="1"/>
  <c r="N2299" i="1"/>
  <c r="AT2302" i="1"/>
  <c r="O1286" i="1"/>
  <c r="M2167" i="1"/>
  <c r="Q245" i="1"/>
  <c r="P3538" i="1"/>
  <c r="I2965" i="1"/>
  <c r="N1958" i="1"/>
  <c r="AT1954" i="1"/>
  <c r="Q3187" i="1"/>
  <c r="P2719" i="1"/>
  <c r="Q3315" i="1"/>
  <c r="Q2759" i="1"/>
  <c r="U1834" i="1"/>
  <c r="N1950" i="1"/>
  <c r="AT1419" i="1"/>
  <c r="Q1439" i="1"/>
  <c r="D66" i="1"/>
  <c r="AT1070" i="1"/>
  <c r="AT3428" i="1"/>
  <c r="U1372" i="1"/>
  <c r="I3287" i="1"/>
  <c r="N2630" i="1"/>
  <c r="P1949" i="1"/>
  <c r="M1357" i="1"/>
  <c r="P1934" i="1"/>
  <c r="U2428" i="1"/>
  <c r="D347" i="1"/>
  <c r="M3435" i="1"/>
  <c r="N2368" i="1"/>
  <c r="I1071" i="1"/>
  <c r="Q3574" i="1"/>
  <c r="O1102" i="1"/>
  <c r="M477" i="1"/>
  <c r="M2090" i="1"/>
  <c r="P3596" i="1"/>
  <c r="O2080" i="1"/>
  <c r="AT3129" i="1"/>
  <c r="P2630" i="1"/>
  <c r="D1041" i="1"/>
  <c r="O610" i="1"/>
  <c r="Q2574" i="1"/>
  <c r="D2919" i="1"/>
  <c r="AT2369" i="1"/>
  <c r="Q3330" i="1"/>
  <c r="AT192" i="1"/>
  <c r="I1237" i="1"/>
  <c r="P906" i="1"/>
  <c r="AT2467" i="1"/>
  <c r="P1444" i="1"/>
  <c r="J2563" i="1"/>
  <c r="Q3451" i="1"/>
  <c r="K367" i="1"/>
  <c r="O1020" i="1"/>
  <c r="D1817" i="1"/>
  <c r="J3245" i="1"/>
  <c r="D1864" i="1"/>
  <c r="P2263" i="1"/>
  <c r="D2375" i="1"/>
  <c r="D2221" i="1"/>
  <c r="M2394" i="1"/>
  <c r="Q2870" i="1"/>
  <c r="P2207" i="1"/>
  <c r="N1998" i="1"/>
  <c r="M1289" i="1"/>
  <c r="U434" i="1"/>
  <c r="P2004" i="1"/>
  <c r="Q2940" i="1"/>
  <c r="I3255" i="1"/>
  <c r="Q1745" i="1"/>
  <c r="M1764" i="1"/>
  <c r="D2294" i="1"/>
  <c r="M792" i="1"/>
  <c r="AT3046" i="1"/>
  <c r="P1699" i="1"/>
  <c r="N643" i="1"/>
  <c r="D3041" i="1"/>
  <c r="P1739" i="1"/>
  <c r="K2918" i="1"/>
  <c r="P3516" i="1"/>
  <c r="P84" i="1"/>
  <c r="AT2837" i="1"/>
  <c r="AT1046" i="1"/>
  <c r="I2581" i="1"/>
  <c r="N2227" i="1"/>
  <c r="AT2584" i="1"/>
  <c r="P1224" i="1"/>
  <c r="P321" i="1"/>
  <c r="J1229" i="1"/>
  <c r="Q392" i="1"/>
  <c r="N236" i="1"/>
  <c r="K2453" i="1"/>
  <c r="P252" i="1"/>
  <c r="U2277" i="1"/>
  <c r="N49" i="1"/>
  <c r="D331" i="1"/>
  <c r="O8" i="1"/>
  <c r="U1803" i="1"/>
  <c r="N174" i="1"/>
  <c r="AT3355" i="1"/>
  <c r="K1489" i="1"/>
  <c r="D2714" i="1"/>
  <c r="Q1081" i="1"/>
  <c r="Q2494" i="1"/>
  <c r="H2012" i="1"/>
  <c r="N317" i="1"/>
  <c r="J1079" i="1"/>
  <c r="D3374" i="1"/>
  <c r="K2591" i="1"/>
  <c r="AT3394" i="1"/>
  <c r="M2483" i="1"/>
  <c r="I600" i="1"/>
  <c r="D1208" i="1"/>
  <c r="I946" i="1"/>
  <c r="O2919" i="1"/>
  <c r="I2657" i="1"/>
  <c r="U2919" i="1"/>
  <c r="K922" i="1"/>
  <c r="K1090" i="1"/>
  <c r="I1751" i="1"/>
  <c r="D558" i="1"/>
  <c r="P156" i="1"/>
  <c r="P1031" i="1"/>
  <c r="M1647" i="1"/>
  <c r="Q477" i="1"/>
  <c r="D2881" i="1"/>
  <c r="J1820" i="1"/>
  <c r="P2660" i="1"/>
  <c r="M2009" i="1"/>
  <c r="D5" i="1"/>
  <c r="P2543" i="1"/>
  <c r="N2959" i="1"/>
  <c r="N310" i="1"/>
  <c r="D3401" i="1"/>
  <c r="Q2240" i="1"/>
  <c r="J1155" i="1"/>
  <c r="I1818" i="1"/>
  <c r="I2550" i="1"/>
  <c r="N3276" i="1"/>
  <c r="AT3345" i="1"/>
  <c r="Q361" i="1"/>
  <c r="D1853" i="1"/>
  <c r="M2878" i="1"/>
  <c r="N2933" i="1"/>
  <c r="M1685" i="1"/>
  <c r="P34" i="1"/>
  <c r="I2364" i="1"/>
  <c r="AT1612" i="1"/>
  <c r="Q2824" i="1"/>
  <c r="I3047" i="1"/>
  <c r="M1045" i="1"/>
  <c r="I3385" i="1"/>
  <c r="J1434" i="1"/>
  <c r="I402" i="1"/>
  <c r="D967" i="1"/>
  <c r="N2842" i="1"/>
  <c r="Q3449" i="1"/>
  <c r="D2316" i="1"/>
  <c r="P831" i="1"/>
  <c r="D1781" i="1"/>
  <c r="O2115" i="1"/>
  <c r="O221" i="1"/>
  <c r="J1329" i="1"/>
  <c r="AT296" i="1"/>
  <c r="M2906" i="1"/>
  <c r="P2988" i="1"/>
  <c r="AT2279" i="1"/>
  <c r="O2318" i="1"/>
  <c r="AT3080" i="1"/>
  <c r="H1716" i="1"/>
  <c r="D1828" i="1"/>
  <c r="Q458" i="1"/>
  <c r="AT1235" i="1"/>
  <c r="J1698" i="1"/>
  <c r="AT752" i="1"/>
  <c r="AT3601" i="1"/>
  <c r="I2392" i="1"/>
  <c r="H53" i="1"/>
  <c r="O392" i="1"/>
  <c r="P343" i="1"/>
  <c r="H1122" i="1"/>
  <c r="U3454" i="1"/>
  <c r="U1160" i="1"/>
  <c r="AT625" i="1"/>
  <c r="J1784" i="1"/>
  <c r="H1022" i="1"/>
  <c r="D2212" i="1"/>
  <c r="U1686" i="1"/>
  <c r="O2389" i="1"/>
  <c r="O1119" i="1"/>
  <c r="K282" i="1"/>
  <c r="Q2923" i="1"/>
  <c r="I2916" i="1"/>
  <c r="K3339" i="1"/>
  <c r="AT2491" i="1"/>
  <c r="U684" i="1"/>
  <c r="J1184" i="1"/>
  <c r="U1399" i="1"/>
  <c r="N852" i="1"/>
  <c r="H3238" i="1"/>
  <c r="N1616" i="1"/>
  <c r="M663" i="1"/>
  <c r="N109" i="1"/>
  <c r="I1274" i="1"/>
  <c r="U1108" i="1"/>
  <c r="D477" i="1"/>
  <c r="J2262" i="1"/>
  <c r="Q1910" i="1"/>
  <c r="U2180" i="1"/>
  <c r="P3583" i="1"/>
  <c r="I1580" i="1"/>
  <c r="M3221" i="1"/>
  <c r="AT3057" i="1"/>
  <c r="P526" i="1"/>
  <c r="O794" i="1"/>
  <c r="I419" i="1"/>
  <c r="P3412" i="1"/>
  <c r="Q3563" i="1"/>
  <c r="P1296" i="1"/>
  <c r="AT3450" i="1"/>
  <c r="I765" i="1"/>
  <c r="P2941" i="1"/>
  <c r="O3132" i="1"/>
  <c r="O2529" i="1"/>
  <c r="P2879" i="1"/>
  <c r="N911" i="1"/>
  <c r="D1147" i="1"/>
  <c r="K2508" i="1"/>
  <c r="O507" i="1"/>
  <c r="U958" i="1"/>
  <c r="Q1032" i="1"/>
  <c r="P1082" i="1"/>
  <c r="H394" i="1"/>
  <c r="AT1061" i="1"/>
  <c r="AT1711" i="1"/>
  <c r="M3580" i="1"/>
  <c r="I2504" i="1"/>
  <c r="AT806" i="1"/>
  <c r="O1493" i="1"/>
  <c r="Q1488" i="1"/>
  <c r="U1002" i="1"/>
  <c r="P1784" i="1"/>
  <c r="N1350" i="1"/>
  <c r="U2605" i="1"/>
  <c r="P82" i="1"/>
  <c r="M1521" i="1"/>
  <c r="AT1119" i="1"/>
  <c r="P1139" i="1"/>
  <c r="U741" i="1"/>
  <c r="O3545" i="1"/>
  <c r="D382" i="1"/>
  <c r="Q813" i="1"/>
  <c r="O2635" i="1"/>
  <c r="I1964" i="1"/>
  <c r="Q1948" i="1"/>
  <c r="O2743" i="1"/>
  <c r="J1930" i="1"/>
  <c r="Q1518" i="1"/>
  <c r="N3555" i="1"/>
  <c r="Q2354" i="1"/>
  <c r="U2748" i="1"/>
  <c r="M1587" i="1"/>
  <c r="M1306" i="1"/>
  <c r="U3612" i="1"/>
  <c r="H2359" i="1"/>
  <c r="P2895" i="1"/>
  <c r="D2151" i="1"/>
  <c r="J3532" i="1"/>
  <c r="U2978" i="1"/>
  <c r="N2637" i="1"/>
  <c r="AT886" i="1"/>
  <c r="U2921" i="1"/>
  <c r="K2861" i="1"/>
  <c r="U2222" i="1"/>
  <c r="D3044" i="1"/>
  <c r="N2825" i="1"/>
  <c r="P3049" i="1"/>
  <c r="K711" i="1"/>
  <c r="AT554" i="1"/>
  <c r="U873" i="1"/>
  <c r="D1760" i="1"/>
  <c r="AT1135" i="1"/>
  <c r="M3578" i="1"/>
  <c r="Q1468" i="1"/>
  <c r="M88" i="1"/>
  <c r="AT331" i="1"/>
  <c r="D3125" i="1"/>
  <c r="H2455" i="1"/>
  <c r="AT3589" i="1"/>
  <c r="AT1201" i="1"/>
  <c r="I1731" i="1"/>
  <c r="N3167" i="1"/>
  <c r="D2504" i="1"/>
  <c r="M3424" i="1"/>
  <c r="I3283" i="1"/>
  <c r="O600" i="1"/>
  <c r="P1979" i="1"/>
  <c r="M213" i="1"/>
  <c r="AT2575" i="1"/>
  <c r="M1283" i="1"/>
  <c r="H668" i="1"/>
  <c r="P1852" i="1"/>
  <c r="U2917" i="1"/>
  <c r="AT489" i="1"/>
  <c r="M1903" i="1"/>
  <c r="J2156" i="1"/>
  <c r="N702" i="1"/>
  <c r="M3011" i="1"/>
  <c r="I3289" i="1"/>
  <c r="U409" i="1"/>
  <c r="U2601" i="1"/>
  <c r="M2380" i="1"/>
  <c r="I366" i="1"/>
  <c r="O407" i="1"/>
  <c r="AT1185" i="1"/>
  <c r="M2190" i="1"/>
  <c r="D1634" i="1"/>
  <c r="Q520" i="1"/>
  <c r="AT2775" i="1"/>
  <c r="H167" i="1"/>
  <c r="I1972" i="1"/>
  <c r="I2072" i="1"/>
  <c r="D3413" i="1"/>
  <c r="I372" i="1"/>
  <c r="N3250" i="1"/>
  <c r="D3638" i="1"/>
  <c r="U787" i="1"/>
  <c r="Q2419" i="1"/>
  <c r="AT73" i="1"/>
  <c r="O2209" i="1"/>
  <c r="M2471" i="1"/>
  <c r="N1897" i="1"/>
  <c r="N2212" i="1"/>
  <c r="Q1510" i="1"/>
  <c r="D95" i="1"/>
  <c r="D2597" i="1"/>
  <c r="AT2330" i="1"/>
  <c r="P2419" i="1"/>
  <c r="U1891" i="1"/>
  <c r="P622" i="1"/>
  <c r="U1646" i="1"/>
  <c r="N1940" i="1"/>
  <c r="M2644" i="1"/>
  <c r="K2526" i="1"/>
  <c r="I545" i="1"/>
  <c r="N2006" i="1"/>
  <c r="Q1603" i="1"/>
  <c r="O370" i="1"/>
  <c r="N664" i="1"/>
  <c r="N1673" i="1"/>
  <c r="N213" i="1"/>
  <c r="H2164" i="1"/>
  <c r="M2238" i="1"/>
  <c r="P3342" i="1"/>
  <c r="D3263" i="1"/>
  <c r="U822" i="1"/>
  <c r="O3568" i="1"/>
  <c r="M1675" i="1"/>
  <c r="AT3146" i="1"/>
  <c r="P1055" i="1"/>
  <c r="AT2754" i="1"/>
  <c r="D146" i="1"/>
  <c r="I3090" i="1"/>
  <c r="P707" i="1"/>
  <c r="H2018" i="1"/>
  <c r="P1404" i="1"/>
  <c r="H245" i="1"/>
  <c r="J2189" i="1"/>
  <c r="O547" i="1"/>
  <c r="M2372" i="1"/>
  <c r="D1502" i="1"/>
  <c r="D1002" i="1"/>
  <c r="P2475" i="1"/>
  <c r="O308" i="1"/>
  <c r="K1605" i="1"/>
  <c r="K3306" i="1"/>
  <c r="D2663" i="1"/>
  <c r="O3566" i="1"/>
  <c r="M1950" i="1"/>
  <c r="AT3061" i="1"/>
  <c r="I3139" i="1"/>
  <c r="O2613" i="1"/>
  <c r="H435" i="1"/>
  <c r="Q723" i="1"/>
  <c r="U2697" i="1"/>
  <c r="K328" i="1"/>
  <c r="Q1043" i="1"/>
  <c r="Q2704" i="1"/>
  <c r="P1309" i="1"/>
  <c r="AT1357" i="1"/>
  <c r="I2837" i="1"/>
  <c r="O1186" i="1"/>
  <c r="M3419" i="1"/>
  <c r="Q3038" i="1"/>
  <c r="I1341" i="1"/>
  <c r="D2368" i="1"/>
  <c r="D520" i="1"/>
  <c r="AT2994" i="1"/>
  <c r="Q2330" i="1"/>
  <c r="I2748" i="1"/>
  <c r="D233" i="1"/>
  <c r="D87" i="1"/>
  <c r="H142" i="1"/>
  <c r="D2805" i="1"/>
  <c r="N353" i="1"/>
  <c r="K2727" i="1"/>
  <c r="H716" i="1"/>
  <c r="U2178" i="1"/>
  <c r="AT1518" i="1"/>
  <c r="Q462" i="1"/>
  <c r="D401" i="1"/>
  <c r="O3443" i="1"/>
  <c r="AT2082" i="1"/>
  <c r="I980" i="1"/>
  <c r="O531" i="1"/>
  <c r="U2093" i="1"/>
  <c r="N2614" i="1"/>
  <c r="AT2141" i="1"/>
  <c r="D449" i="1"/>
  <c r="P921" i="1"/>
  <c r="O3382" i="1"/>
  <c r="I128" i="1"/>
  <c r="D2132" i="1"/>
  <c r="H1447" i="1"/>
  <c r="I1267" i="1"/>
  <c r="I339" i="1"/>
  <c r="O2330" i="1"/>
  <c r="D2499" i="1"/>
  <c r="P2684" i="1"/>
  <c r="P555" i="1"/>
  <c r="D116" i="1"/>
  <c r="Q1582" i="1"/>
  <c r="P3169" i="1"/>
  <c r="H92" i="1"/>
  <c r="P1880" i="1"/>
  <c r="J760" i="1"/>
  <c r="J3396" i="1"/>
  <c r="O2571" i="1"/>
  <c r="N3317" i="1"/>
  <c r="AT1220" i="1"/>
  <c r="I1017" i="1"/>
  <c r="P2006" i="1"/>
  <c r="H3332" i="1"/>
  <c r="U2111" i="1"/>
  <c r="O3154" i="1"/>
  <c r="H3026" i="1"/>
  <c r="U3595" i="1"/>
  <c r="P2108" i="1"/>
  <c r="U2722" i="1"/>
  <c r="Q2668" i="1"/>
  <c r="I189" i="1"/>
  <c r="H258" i="1"/>
  <c r="J2220" i="1"/>
  <c r="Q917" i="1"/>
  <c r="N694" i="1"/>
  <c r="AT1834" i="1"/>
  <c r="Q1984" i="1"/>
  <c r="O2059" i="1"/>
  <c r="M2791" i="1"/>
  <c r="I1240" i="1"/>
  <c r="K1903" i="1"/>
  <c r="M1309" i="1"/>
  <c r="U2261" i="1"/>
  <c r="AT2947" i="1"/>
  <c r="D293" i="1"/>
  <c r="D2465" i="1"/>
  <c r="I2549" i="1"/>
  <c r="H3480" i="1"/>
  <c r="U2090" i="1"/>
  <c r="O2514" i="1"/>
  <c r="AT1212" i="1"/>
  <c r="H1187" i="1"/>
  <c r="N2329" i="1"/>
  <c r="AT1402" i="1"/>
  <c r="O1229" i="1"/>
  <c r="H1607" i="1"/>
  <c r="AT1889" i="1"/>
  <c r="AT2562" i="1"/>
  <c r="AT1031" i="1"/>
  <c r="K1487" i="1"/>
  <c r="O264" i="1"/>
  <c r="M3572" i="1"/>
  <c r="M1096" i="1"/>
  <c r="M36" i="1"/>
  <c r="P3114" i="1"/>
  <c r="N3234" i="1"/>
  <c r="U780" i="1"/>
  <c r="AT3226" i="1"/>
  <c r="N2723" i="1"/>
  <c r="AT2243" i="1"/>
  <c r="M1631" i="1"/>
  <c r="D613" i="1"/>
  <c r="I3263" i="1"/>
  <c r="I403" i="1"/>
  <c r="AT832" i="1"/>
  <c r="I829" i="1"/>
  <c r="Q1350" i="1"/>
  <c r="M2370" i="1"/>
  <c r="O1040" i="1"/>
  <c r="H1006" i="1"/>
  <c r="AT2388" i="1"/>
  <c r="N58" i="1"/>
  <c r="AT565" i="1"/>
  <c r="D1966" i="1"/>
  <c r="AT3204" i="1"/>
  <c r="O2022" i="1"/>
  <c r="N3557" i="1"/>
  <c r="O658" i="1"/>
  <c r="D3212" i="1"/>
  <c r="O1049" i="1"/>
  <c r="M1948" i="1"/>
  <c r="M2822" i="1"/>
  <c r="AT1626" i="1"/>
  <c r="O2713" i="1"/>
  <c r="J2080" i="1"/>
  <c r="J622" i="1"/>
  <c r="N1956" i="1"/>
  <c r="K2036" i="1"/>
  <c r="J1369" i="1"/>
  <c r="P1748" i="1"/>
  <c r="D2911" i="1"/>
  <c r="Q3048" i="1"/>
  <c r="M3599" i="1"/>
  <c r="I3216" i="1"/>
  <c r="AT608" i="1"/>
  <c r="Q2627" i="1"/>
  <c r="J452" i="1"/>
  <c r="H3353" i="1"/>
  <c r="N2902" i="1"/>
  <c r="J1186" i="1"/>
  <c r="J924" i="1"/>
  <c r="D1717" i="1"/>
  <c r="Q3368" i="1"/>
  <c r="U3220" i="1"/>
  <c r="H1392" i="1"/>
  <c r="D2867" i="1"/>
  <c r="N461" i="1"/>
  <c r="N1007" i="1"/>
  <c r="I1313" i="1"/>
  <c r="P1963" i="1"/>
  <c r="P2131" i="1"/>
  <c r="O1720" i="1"/>
  <c r="D2553" i="1"/>
  <c r="M2209" i="1"/>
  <c r="I175" i="1"/>
  <c r="N2870" i="1"/>
  <c r="U1409" i="1"/>
  <c r="D1091" i="1"/>
  <c r="I1105" i="1"/>
  <c r="Q955" i="1"/>
  <c r="P1750" i="1"/>
  <c r="N1296" i="1"/>
  <c r="O1070" i="1"/>
  <c r="M1522" i="1"/>
  <c r="K3167" i="1"/>
  <c r="O1179" i="1"/>
  <c r="M2673" i="1"/>
  <c r="K1392" i="1"/>
  <c r="P3269" i="1"/>
  <c r="O2193" i="1"/>
  <c r="D2542" i="1"/>
  <c r="AT437" i="1"/>
  <c r="J1454" i="1"/>
  <c r="D2094" i="1"/>
  <c r="D713" i="1"/>
  <c r="D393" i="1"/>
  <c r="H755" i="1"/>
  <c r="J1361" i="1"/>
  <c r="Q3113" i="1"/>
  <c r="H1090" i="1"/>
  <c r="K125" i="1"/>
  <c r="D1527" i="1"/>
  <c r="AT1180" i="1"/>
  <c r="N523" i="1"/>
  <c r="O1932" i="1"/>
  <c r="Q705" i="1"/>
  <c r="N509" i="1"/>
  <c r="O1860" i="1"/>
  <c r="M320" i="1"/>
  <c r="N628" i="1"/>
  <c r="AT3332" i="1"/>
  <c r="D2547" i="1"/>
  <c r="N3076" i="1"/>
  <c r="M1485" i="1"/>
  <c r="J2543" i="1"/>
  <c r="O3429" i="1"/>
  <c r="P2533" i="1"/>
  <c r="K2206" i="1"/>
  <c r="N2033" i="1"/>
  <c r="J3358" i="1"/>
  <c r="D1313" i="1"/>
  <c r="M2830" i="1"/>
  <c r="M1432" i="1"/>
  <c r="M2848" i="1"/>
  <c r="AT464" i="1"/>
  <c r="J688" i="1"/>
  <c r="K3310" i="1"/>
  <c r="N1665" i="1"/>
  <c r="P2679" i="1"/>
  <c r="Q2311" i="1"/>
  <c r="D1332" i="1"/>
  <c r="AT1850" i="1"/>
  <c r="N457" i="1"/>
  <c r="O1494" i="1"/>
  <c r="Q1980" i="1"/>
  <c r="H1750" i="1"/>
  <c r="O3446" i="1"/>
  <c r="H2624" i="1"/>
  <c r="O1583" i="1"/>
  <c r="AT165" i="1"/>
  <c r="H2793" i="1"/>
  <c r="N250" i="1"/>
  <c r="AT2480" i="1"/>
  <c r="D1458" i="1"/>
  <c r="D2036" i="1"/>
  <c r="U588" i="1"/>
  <c r="AT125" i="1"/>
  <c r="O2449" i="1"/>
  <c r="U710" i="1"/>
  <c r="D3440" i="1"/>
  <c r="M542" i="1"/>
  <c r="Q3594" i="1"/>
  <c r="D285" i="1"/>
  <c r="M427" i="1"/>
  <c r="O2779" i="1"/>
  <c r="P1754" i="1"/>
  <c r="H969" i="1"/>
  <c r="H86" i="1"/>
  <c r="H336" i="1"/>
  <c r="AT1574" i="1"/>
  <c r="I2535" i="1"/>
  <c r="AT2680" i="1"/>
  <c r="M941" i="1"/>
  <c r="D423" i="1"/>
  <c r="D1049" i="1"/>
  <c r="AT1408" i="1"/>
  <c r="K491" i="1"/>
  <c r="D139" i="1"/>
  <c r="AT408" i="1"/>
  <c r="U2753" i="1"/>
  <c r="I1658" i="1"/>
  <c r="H1895" i="1"/>
  <c r="I2827" i="1"/>
  <c r="K1884" i="1"/>
  <c r="U559" i="1"/>
  <c r="M2544" i="1"/>
  <c r="O1786" i="1"/>
  <c r="N1068" i="1"/>
  <c r="AT3288" i="1"/>
  <c r="H2022" i="1"/>
  <c r="Q891" i="1"/>
  <c r="N446" i="1"/>
  <c r="M2649" i="1"/>
  <c r="AT1571" i="1"/>
  <c r="O626" i="1"/>
  <c r="D2882" i="1"/>
  <c r="N258" i="1"/>
  <c r="D551" i="1"/>
  <c r="P703" i="1"/>
  <c r="D2192" i="1"/>
  <c r="Q3536" i="1"/>
  <c r="H671" i="1"/>
  <c r="J1174" i="1"/>
  <c r="O1576" i="1"/>
  <c r="AT490" i="1"/>
  <c r="D2074" i="1"/>
  <c r="AT2936" i="1"/>
  <c r="N919" i="1"/>
  <c r="AT2189" i="1"/>
  <c r="Q1260" i="1"/>
  <c r="M3593" i="1"/>
  <c r="M330" i="1"/>
  <c r="O943" i="1"/>
  <c r="AT298" i="1"/>
  <c r="M560" i="1"/>
  <c r="P1196" i="1"/>
  <c r="H3234" i="1"/>
  <c r="H403" i="1"/>
  <c r="H3484" i="1"/>
  <c r="D2926" i="1"/>
  <c r="AT835" i="1"/>
  <c r="D1810" i="1"/>
  <c r="P855" i="1"/>
  <c r="AT2801" i="1"/>
  <c r="K3237" i="1"/>
  <c r="O56" i="1"/>
  <c r="U429" i="1"/>
  <c r="J1656" i="1"/>
  <c r="Q882" i="1"/>
  <c r="P3166" i="1"/>
  <c r="AT693" i="1"/>
  <c r="O3459" i="1"/>
  <c r="AT1787" i="1"/>
  <c r="M3460" i="1"/>
  <c r="P2586" i="1"/>
  <c r="P140" i="1"/>
  <c r="N132" i="1"/>
  <c r="P490" i="1"/>
  <c r="I1876" i="1"/>
  <c r="H1787" i="1"/>
  <c r="P1322" i="1"/>
  <c r="H449" i="1"/>
  <c r="M2401" i="1"/>
  <c r="Q769" i="1"/>
  <c r="AT2027" i="1"/>
  <c r="D2386" i="1"/>
  <c r="J1727" i="1"/>
  <c r="P375" i="1"/>
  <c r="U619" i="1"/>
  <c r="U224" i="1"/>
  <c r="P2341" i="1"/>
  <c r="Q1635" i="1"/>
  <c r="D2455" i="1"/>
  <c r="K2160" i="1"/>
  <c r="J2289" i="1"/>
  <c r="D1286" i="1"/>
  <c r="U1956" i="1"/>
  <c r="I473" i="1"/>
  <c r="H1056" i="1"/>
  <c r="M3501" i="1"/>
  <c r="K3181" i="1"/>
  <c r="O1191" i="1"/>
  <c r="O1595" i="1"/>
  <c r="M3166" i="1"/>
  <c r="U791" i="1"/>
  <c r="N322" i="1"/>
  <c r="AT3493" i="1"/>
  <c r="M179" i="1"/>
  <c r="AT3395" i="1"/>
  <c r="I1800" i="1"/>
  <c r="H1815" i="1"/>
  <c r="N2856" i="1"/>
  <c r="H1200" i="1"/>
  <c r="P2880" i="1"/>
  <c r="M188" i="1"/>
  <c r="N2466" i="1"/>
  <c r="I263" i="1"/>
  <c r="O2865" i="1"/>
  <c r="Q3359" i="1"/>
  <c r="O867" i="1"/>
  <c r="M2210" i="1"/>
  <c r="I2488" i="1"/>
  <c r="AT24" i="1"/>
  <c r="D1871" i="1"/>
  <c r="P1736" i="1"/>
  <c r="N164" i="1"/>
  <c r="D2660" i="1"/>
  <c r="Q1077" i="1"/>
  <c r="U355" i="1"/>
  <c r="J854" i="1"/>
  <c r="U2018" i="1"/>
  <c r="P2722" i="1"/>
  <c r="AT1747" i="1"/>
  <c r="D2674" i="1"/>
  <c r="Q2872" i="1"/>
  <c r="P502" i="1"/>
  <c r="P2857" i="1"/>
  <c r="M3382" i="1"/>
  <c r="O2132" i="1"/>
  <c r="Q1548" i="1"/>
  <c r="O603" i="1"/>
  <c r="Q2570" i="1"/>
  <c r="N1172" i="1"/>
  <c r="P3014" i="1"/>
  <c r="O2717" i="1"/>
  <c r="M1146" i="1"/>
  <c r="AT683" i="1"/>
  <c r="AT1050" i="1"/>
  <c r="D3110" i="1"/>
  <c r="D3157" i="1"/>
  <c r="P1276" i="1"/>
  <c r="J2896" i="1"/>
  <c r="O1041" i="1"/>
  <c r="H3523" i="1"/>
  <c r="D2157" i="1"/>
  <c r="AT758" i="1"/>
  <c r="H90" i="1"/>
  <c r="M2271" i="1"/>
  <c r="D78" i="1"/>
  <c r="K1711" i="1"/>
  <c r="J1782" i="1"/>
  <c r="P3197" i="1"/>
  <c r="AT1557" i="1"/>
  <c r="K1714" i="1"/>
  <c r="P3129" i="1"/>
  <c r="M453" i="1"/>
  <c r="P3012" i="1"/>
  <c r="H1456" i="1"/>
  <c r="D1058" i="1"/>
  <c r="H156" i="1"/>
  <c r="M346" i="1"/>
  <c r="AT556" i="1"/>
  <c r="D994" i="1"/>
  <c r="M1873" i="1"/>
  <c r="P1854" i="1"/>
  <c r="J2902" i="1"/>
  <c r="Q2701" i="1"/>
  <c r="AT964" i="1"/>
  <c r="AT659" i="1"/>
  <c r="I446" i="1"/>
  <c r="K2535" i="1"/>
  <c r="D1069" i="1"/>
  <c r="D484" i="1"/>
  <c r="I1853" i="1"/>
  <c r="O1486" i="1"/>
  <c r="O396" i="1"/>
  <c r="O1184" i="1"/>
  <c r="AT3638" i="1"/>
  <c r="N783" i="1"/>
  <c r="P1235" i="1"/>
  <c r="N3503" i="1"/>
  <c r="AT148" i="1"/>
  <c r="M3583" i="1"/>
  <c r="N1655" i="1"/>
  <c r="U1824" i="1"/>
  <c r="M3373" i="1"/>
  <c r="N3090" i="1"/>
  <c r="N5" i="1"/>
  <c r="N2407" i="1"/>
  <c r="N2517" i="1"/>
  <c r="K1883" i="1"/>
  <c r="H3138" i="1"/>
  <c r="M1565" i="1"/>
  <c r="Q506" i="1"/>
  <c r="P3091" i="1"/>
  <c r="AT768" i="1"/>
  <c r="O1648" i="1"/>
  <c r="AT2538" i="1"/>
  <c r="AT2829" i="1"/>
  <c r="J679" i="1"/>
  <c r="AT3621" i="1"/>
  <c r="P3111" i="1"/>
  <c r="M3380" i="1"/>
  <c r="M2779" i="1"/>
  <c r="Q1891" i="1"/>
  <c r="Q322" i="1"/>
  <c r="O2148" i="1"/>
  <c r="P1528" i="1"/>
  <c r="U1042" i="1"/>
  <c r="AT3298" i="1"/>
  <c r="I2022" i="1"/>
  <c r="V2271" i="1"/>
  <c r="U1227" i="1"/>
  <c r="O2570" i="1"/>
  <c r="D3589" i="1"/>
  <c r="I2778" i="1"/>
  <c r="P802" i="1"/>
  <c r="N3318" i="1"/>
  <c r="D2494" i="1"/>
  <c r="P23" i="1"/>
  <c r="M1808" i="1"/>
  <c r="O629" i="1"/>
  <c r="AT2513" i="1"/>
  <c r="M3300" i="1"/>
  <c r="P818" i="1"/>
  <c r="I2302" i="1"/>
  <c r="I317" i="1"/>
  <c r="D2185" i="1"/>
  <c r="AT3235" i="1"/>
  <c r="AT374" i="1"/>
  <c r="I966" i="1"/>
  <c r="D2878" i="1"/>
  <c r="N559" i="1"/>
  <c r="U2768" i="1"/>
  <c r="K1879" i="1"/>
  <c r="O683" i="1"/>
  <c r="P3086" i="1"/>
  <c r="AT3347" i="1"/>
  <c r="I2738" i="1"/>
  <c r="M1776" i="1"/>
  <c r="O1875" i="1"/>
  <c r="H2955" i="1"/>
  <c r="P613" i="1"/>
  <c r="M2398" i="1"/>
  <c r="N1200" i="1"/>
  <c r="I835" i="1"/>
  <c r="N1476" i="1"/>
  <c r="O1964" i="1"/>
  <c r="Q2501" i="1"/>
  <c r="Q1340" i="1"/>
  <c r="H371" i="1"/>
  <c r="AT2861" i="1"/>
  <c r="AT2736" i="1"/>
  <c r="D2588" i="1"/>
  <c r="P3294" i="1"/>
  <c r="M3099" i="1"/>
  <c r="N1358" i="1"/>
  <c r="U2878" i="1"/>
  <c r="D1048" i="1"/>
  <c r="D2444" i="1"/>
  <c r="N3473" i="1"/>
  <c r="AT2954" i="1"/>
  <c r="AT1332" i="1"/>
  <c r="AT2763" i="1"/>
  <c r="M823" i="1"/>
  <c r="O2596" i="1"/>
  <c r="M3405" i="1"/>
  <c r="I286" i="1"/>
  <c r="D2630" i="1"/>
  <c r="H2045" i="1"/>
  <c r="I1879" i="1"/>
  <c r="M1595" i="1"/>
  <c r="M2834" i="1"/>
  <c r="N1190" i="1"/>
  <c r="D715" i="1"/>
  <c r="N2400" i="1"/>
  <c r="U210" i="1"/>
  <c r="P709" i="1"/>
  <c r="J2395" i="1"/>
  <c r="N3192" i="1"/>
  <c r="J3112" i="1"/>
  <c r="AT2931" i="1"/>
  <c r="O3479" i="1"/>
  <c r="I3600" i="1"/>
  <c r="D2364" i="1"/>
  <c r="U728" i="1"/>
  <c r="AT223" i="1"/>
  <c r="M2403" i="1"/>
  <c r="M1236" i="1"/>
  <c r="N1527" i="1"/>
  <c r="K3275" i="1"/>
  <c r="D2612" i="1"/>
  <c r="Q944" i="1"/>
  <c r="M2183" i="1"/>
  <c r="U1044" i="1"/>
  <c r="M2244" i="1"/>
  <c r="J703" i="1"/>
  <c r="D914" i="1"/>
  <c r="AT1328" i="1"/>
  <c r="N460" i="1"/>
  <c r="I200" i="1"/>
  <c r="K2041" i="1"/>
  <c r="AT2339" i="1"/>
  <c r="N3605" i="1"/>
  <c r="Q564" i="1"/>
  <c r="Q717" i="1"/>
  <c r="N490" i="1"/>
  <c r="U1624" i="1"/>
  <c r="AT2209" i="1"/>
  <c r="U1166" i="1"/>
  <c r="J1047" i="1"/>
  <c r="H3327" i="1"/>
  <c r="N3123" i="1"/>
  <c r="AT2180" i="1"/>
  <c r="AT59" i="1"/>
  <c r="D1650" i="1"/>
  <c r="H2893" i="1"/>
  <c r="Q1581" i="1"/>
  <c r="H2367" i="1"/>
  <c r="Q2487" i="1"/>
  <c r="O1831" i="1"/>
  <c r="D1774" i="1"/>
  <c r="I955" i="1"/>
  <c r="P471" i="1"/>
  <c r="AT2335" i="1"/>
  <c r="I1404" i="1"/>
  <c r="Q2740" i="1"/>
  <c r="AT1198" i="1"/>
  <c r="M1616" i="1"/>
  <c r="AT918" i="1"/>
  <c r="U752" i="1"/>
  <c r="P2225" i="1"/>
  <c r="U2847" i="1"/>
  <c r="P1671" i="1"/>
  <c r="N1759" i="1"/>
  <c r="Q1994" i="1"/>
  <c r="N685" i="1"/>
  <c r="M141" i="1"/>
  <c r="O2107" i="1"/>
  <c r="N1134" i="1"/>
  <c r="M248" i="1"/>
  <c r="J205" i="1"/>
  <c r="K1701" i="1"/>
  <c r="AT3049" i="1"/>
  <c r="Q333" i="1"/>
  <c r="Q852" i="1"/>
  <c r="AT84" i="1"/>
  <c r="D1249" i="1"/>
  <c r="P2084" i="1"/>
  <c r="U492" i="1"/>
  <c r="AT3340" i="1"/>
  <c r="AT420" i="1"/>
  <c r="J3378" i="1"/>
  <c r="AT2743" i="1"/>
  <c r="D2463" i="1"/>
  <c r="M1412" i="1"/>
  <c r="U530" i="1"/>
  <c r="J2176" i="1"/>
  <c r="I3486" i="1"/>
  <c r="H209" i="1"/>
  <c r="O1524" i="1"/>
  <c r="K3215" i="1"/>
  <c r="I758" i="1"/>
  <c r="H220" i="1"/>
  <c r="I260" i="1"/>
  <c r="Q2399" i="1"/>
  <c r="Q1875" i="1"/>
  <c r="K1594" i="1"/>
  <c r="I939" i="1"/>
  <c r="N3330" i="1"/>
  <c r="N1749" i="1"/>
  <c r="N2617" i="1"/>
  <c r="D579" i="1"/>
  <c r="K2163" i="1"/>
  <c r="H340" i="1"/>
  <c r="Q1845" i="1"/>
  <c r="N795" i="1"/>
  <c r="D2763" i="1"/>
  <c r="D452" i="1"/>
  <c r="U2406" i="1"/>
  <c r="I2070" i="1"/>
  <c r="H2770" i="1"/>
  <c r="H621" i="1"/>
  <c r="O2844" i="1"/>
  <c r="K899" i="1"/>
  <c r="AT3266" i="1"/>
  <c r="P1165" i="1"/>
  <c r="D1295" i="1"/>
  <c r="D1948" i="1"/>
  <c r="O2873" i="1"/>
  <c r="AT746" i="1"/>
  <c r="H2573" i="1"/>
  <c r="U2547" i="1"/>
  <c r="N1119" i="1"/>
  <c r="D2379" i="1"/>
  <c r="U589" i="1"/>
  <c r="M984" i="1"/>
  <c r="O1264" i="1"/>
  <c r="N1142" i="1"/>
  <c r="AT943" i="1"/>
  <c r="N314" i="1"/>
  <c r="AT2585" i="1"/>
  <c r="I1355" i="1"/>
  <c r="H3460" i="1"/>
  <c r="U736" i="1"/>
  <c r="AT1290" i="1"/>
  <c r="D1724" i="1"/>
  <c r="P2096" i="1"/>
  <c r="P598" i="1"/>
  <c r="N2198" i="1"/>
  <c r="U3350" i="1"/>
  <c r="O2783" i="1"/>
  <c r="M731" i="1"/>
  <c r="Q2281" i="1"/>
  <c r="AT1563" i="1"/>
  <c r="J1932" i="1"/>
  <c r="M2137" i="1"/>
  <c r="J2309" i="1"/>
  <c r="Q2655" i="1"/>
  <c r="Q2041" i="1"/>
  <c r="N2547" i="1"/>
  <c r="D1735" i="1"/>
  <c r="AT2670" i="1"/>
  <c r="Q50" i="1"/>
  <c r="J3232" i="1"/>
  <c r="H1982" i="1"/>
  <c r="D2254" i="1"/>
  <c r="P3350" i="1"/>
  <c r="AT2364" i="1"/>
  <c r="M341" i="1"/>
  <c r="M1261" i="1"/>
  <c r="O3364" i="1"/>
  <c r="P866" i="1"/>
  <c r="D2268" i="1"/>
  <c r="J732" i="1"/>
  <c r="N1827" i="1"/>
  <c r="U1804" i="1"/>
  <c r="N3094" i="1"/>
  <c r="K1990" i="1"/>
  <c r="P247" i="1"/>
  <c r="AT1951" i="1"/>
  <c r="O1504" i="1"/>
  <c r="K2309" i="1"/>
  <c r="D1787" i="1"/>
  <c r="D1328" i="1"/>
  <c r="M2047" i="1"/>
  <c r="N2533" i="1"/>
  <c r="D3332" i="1"/>
  <c r="M3079" i="1"/>
  <c r="Q1761" i="1"/>
  <c r="P3630" i="1"/>
  <c r="H881" i="1"/>
  <c r="P643" i="1"/>
  <c r="AT2019" i="1"/>
  <c r="AT3039" i="1"/>
  <c r="O2082" i="1"/>
  <c r="O1752" i="1"/>
  <c r="D870" i="1"/>
  <c r="O3338" i="1"/>
  <c r="N1362" i="1"/>
  <c r="P3544" i="1"/>
  <c r="M1652" i="1"/>
  <c r="AT337" i="1"/>
  <c r="D159" i="1"/>
  <c r="D1012" i="1"/>
  <c r="N2390" i="1"/>
  <c r="Q3140" i="1"/>
  <c r="H3544" i="1"/>
  <c r="P2095" i="1"/>
  <c r="M566" i="1"/>
  <c r="N2431" i="1"/>
  <c r="D1364" i="1"/>
  <c r="AT1757" i="1"/>
  <c r="D2283" i="1"/>
  <c r="O3088" i="1"/>
  <c r="K2199" i="1"/>
  <c r="N1556" i="1"/>
  <c r="AT2785" i="1"/>
  <c r="I159" i="1"/>
  <c r="M1715" i="1"/>
  <c r="N1702" i="1"/>
  <c r="M2412" i="1"/>
  <c r="J1877" i="1"/>
  <c r="O1869" i="1"/>
  <c r="M2015" i="1"/>
  <c r="J1823" i="1"/>
  <c r="N943" i="1"/>
  <c r="D2532" i="1"/>
  <c r="D3079" i="1"/>
  <c r="N731" i="1"/>
  <c r="D836" i="1"/>
  <c r="K1162" i="1"/>
  <c r="M2745" i="1"/>
  <c r="Q2595" i="1"/>
  <c r="H783" i="1"/>
  <c r="P3637" i="1"/>
  <c r="P2797" i="1"/>
  <c r="I216" i="1"/>
  <c r="O1544" i="1"/>
  <c r="O1374" i="1"/>
  <c r="O1464" i="1"/>
  <c r="U1420" i="1"/>
  <c r="Q2401" i="1"/>
  <c r="N3049" i="1"/>
  <c r="O84" i="1"/>
  <c r="H2066" i="1"/>
  <c r="U3563" i="1"/>
  <c r="O983" i="1"/>
  <c r="K2121" i="1"/>
  <c r="D710" i="1"/>
  <c r="H1177" i="1"/>
  <c r="J2582" i="1"/>
  <c r="K1860" i="1"/>
  <c r="J1598" i="1"/>
  <c r="I1333" i="1"/>
  <c r="P2062" i="1"/>
  <c r="O2597" i="1"/>
  <c r="N3109" i="1"/>
  <c r="P2959" i="1"/>
  <c r="K548" i="1"/>
  <c r="N624" i="1"/>
  <c r="O1551" i="1"/>
  <c r="M2996" i="1"/>
  <c r="N829" i="1"/>
  <c r="Q3288" i="1"/>
  <c r="M1498" i="1"/>
  <c r="K2709" i="1"/>
  <c r="P1572" i="1"/>
  <c r="M475" i="1"/>
  <c r="H3012" i="1"/>
  <c r="M1352" i="1"/>
  <c r="O3153" i="1"/>
  <c r="N1810" i="1"/>
  <c r="M1681" i="1"/>
  <c r="U500" i="1"/>
  <c r="AT1897" i="1"/>
  <c r="AT1956" i="1"/>
  <c r="AT1698" i="1"/>
  <c r="J2808" i="1"/>
  <c r="O3477" i="1"/>
  <c r="J3460" i="1"/>
  <c r="U3011" i="1"/>
  <c r="J917" i="1"/>
  <c r="D841" i="1"/>
  <c r="O1946" i="1"/>
  <c r="Q971" i="1"/>
  <c r="N2491" i="1"/>
  <c r="AT631" i="1"/>
  <c r="H2366" i="1"/>
  <c r="O2113" i="1"/>
  <c r="U1519" i="1"/>
  <c r="Q2641" i="1"/>
  <c r="I2858" i="1"/>
  <c r="D2309" i="1"/>
  <c r="D665" i="1"/>
  <c r="Q289" i="1"/>
  <c r="Q2528" i="1"/>
  <c r="U505" i="1"/>
  <c r="Q2639" i="1"/>
  <c r="U1591" i="1"/>
  <c r="Q1336" i="1"/>
  <c r="K2669" i="1"/>
  <c r="Q2008" i="1"/>
  <c r="Q1428" i="1"/>
  <c r="AT1450" i="1"/>
  <c r="I3376" i="1"/>
  <c r="M1097" i="1"/>
  <c r="N960" i="1"/>
  <c r="O3026" i="1"/>
  <c r="D2376" i="1"/>
  <c r="AT163" i="1"/>
  <c r="U1540" i="1"/>
  <c r="AT2711" i="1"/>
  <c r="I3421" i="1"/>
  <c r="N478" i="1"/>
  <c r="M32" i="1"/>
  <c r="AT1710" i="1"/>
  <c r="K3075" i="1"/>
  <c r="O1182" i="1"/>
  <c r="D3064" i="1"/>
  <c r="D1940" i="1"/>
  <c r="O2309" i="1"/>
  <c r="J439" i="1"/>
  <c r="U2122" i="1"/>
  <c r="P111" i="1"/>
  <c r="AT1802" i="1"/>
  <c r="U147" i="1"/>
  <c r="O590" i="1"/>
  <c r="I1449" i="1"/>
  <c r="M1701" i="1"/>
  <c r="AT1361" i="1"/>
  <c r="D1532" i="1"/>
  <c r="M676" i="1"/>
  <c r="U2316" i="1"/>
  <c r="N1591" i="1"/>
  <c r="U1298" i="1"/>
  <c r="D2447" i="1"/>
  <c r="I1901" i="1"/>
  <c r="O2655" i="1"/>
  <c r="U1304" i="1"/>
  <c r="AT630" i="1"/>
  <c r="P3617" i="1"/>
  <c r="AT2045" i="1"/>
  <c r="D2242" i="1"/>
  <c r="P1729" i="1"/>
  <c r="AT649" i="1"/>
  <c r="U356" i="1"/>
  <c r="N2392" i="1"/>
  <c r="D1736" i="1"/>
  <c r="Q2423" i="1"/>
  <c r="AT2508" i="1"/>
  <c r="P2765" i="1"/>
  <c r="N1044" i="1"/>
  <c r="AT2416" i="1"/>
  <c r="M1030" i="1"/>
  <c r="Q2930" i="1"/>
  <c r="H2463" i="1"/>
  <c r="O379" i="1"/>
  <c r="U507" i="1"/>
  <c r="N406" i="1"/>
  <c r="D594" i="1"/>
  <c r="AT3210" i="1"/>
  <c r="M1133" i="1"/>
  <c r="AT2159" i="1"/>
  <c r="M2623" i="1"/>
  <c r="U359" i="1"/>
  <c r="P803" i="1"/>
  <c r="Q295" i="1"/>
  <c r="M2549" i="1"/>
  <c r="P3536" i="1"/>
  <c r="D118" i="1"/>
  <c r="P761" i="1"/>
  <c r="O687" i="1"/>
  <c r="M2656" i="1"/>
  <c r="O3405" i="1"/>
  <c r="N2026" i="1"/>
  <c r="N3619" i="1"/>
  <c r="D920" i="1"/>
  <c r="H3050" i="1"/>
  <c r="P1112" i="1"/>
  <c r="AT3010" i="1"/>
  <c r="AT538" i="1"/>
  <c r="M2018" i="1"/>
  <c r="P120" i="1"/>
  <c r="O3579" i="1"/>
  <c r="N3319" i="1"/>
  <c r="AT255" i="1"/>
  <c r="D3258" i="1"/>
  <c r="M568" i="1"/>
  <c r="N1127" i="1"/>
  <c r="AT985" i="1"/>
  <c r="O549" i="1"/>
  <c r="I1433" i="1"/>
  <c r="D547" i="1"/>
  <c r="M1527" i="1"/>
  <c r="O2628" i="1"/>
  <c r="U545" i="1"/>
  <c r="AT377" i="1"/>
  <c r="M2108" i="1"/>
  <c r="P3127" i="1"/>
  <c r="U1052" i="1"/>
  <c r="J363" i="1"/>
  <c r="Q3151" i="1"/>
  <c r="P1181" i="1"/>
  <c r="N2206" i="1"/>
  <c r="AT2812" i="1"/>
  <c r="I2908" i="1"/>
  <c r="N2728" i="1"/>
  <c r="U1374" i="1"/>
  <c r="U1126" i="1"/>
  <c r="N2596" i="1"/>
  <c r="Q3027" i="1"/>
  <c r="AT2739" i="1"/>
  <c r="D953" i="1"/>
  <c r="M2797" i="1"/>
  <c r="M3277" i="1"/>
  <c r="I732" i="1"/>
  <c r="Q2839" i="1"/>
  <c r="H848" i="1"/>
  <c r="P1004" i="1"/>
  <c r="I3207" i="1"/>
  <c r="H1530" i="1"/>
  <c r="H2481" i="1"/>
  <c r="D846" i="1"/>
  <c r="U636" i="1"/>
  <c r="K2228" i="1"/>
  <c r="AT2365" i="1"/>
  <c r="P1020" i="1"/>
  <c r="U3367" i="1"/>
  <c r="N1481" i="1"/>
  <c r="AT698" i="1"/>
  <c r="D1897" i="1"/>
  <c r="N1129" i="1"/>
  <c r="H1203" i="1"/>
  <c r="O3639" i="1"/>
  <c r="M2596" i="1"/>
  <c r="AT2056" i="1"/>
  <c r="D2481" i="1"/>
  <c r="H1053" i="1"/>
  <c r="O1100" i="1"/>
  <c r="D2181" i="1"/>
  <c r="N338" i="1"/>
  <c r="AT2289" i="1"/>
  <c r="D60" i="1"/>
  <c r="N604" i="1"/>
  <c r="I603" i="1"/>
  <c r="M3591" i="1"/>
  <c r="N473" i="1"/>
  <c r="H2800" i="1"/>
  <c r="D2713" i="1"/>
  <c r="J3135" i="1"/>
  <c r="M2957" i="1"/>
  <c r="AT1690" i="1"/>
  <c r="U3052" i="1"/>
  <c r="AT1151" i="1"/>
  <c r="O2511" i="1"/>
  <c r="N611" i="1"/>
  <c r="M2420" i="1"/>
  <c r="P1340" i="1"/>
  <c r="AT265" i="1"/>
  <c r="O972" i="1"/>
  <c r="O3468" i="1"/>
  <c r="J3305" i="1"/>
  <c r="K2437" i="1"/>
  <c r="H3272" i="1"/>
  <c r="P503" i="1"/>
  <c r="H1362" i="1"/>
  <c r="Q171" i="1"/>
  <c r="K2326" i="1"/>
  <c r="U1513" i="1"/>
  <c r="J2847" i="1"/>
  <c r="AT1804" i="1"/>
  <c r="H2375" i="1"/>
  <c r="D2098" i="1"/>
  <c r="M63" i="1"/>
  <c r="P3272" i="1"/>
  <c r="U117" i="1"/>
  <c r="AT281" i="1"/>
  <c r="U2776" i="1"/>
  <c r="P2495" i="1"/>
  <c r="P2817" i="1"/>
  <c r="O1437" i="1"/>
  <c r="P2726" i="1"/>
  <c r="O3137" i="1"/>
  <c r="AT1522" i="1"/>
  <c r="Q3010" i="1"/>
  <c r="P3256" i="1"/>
  <c r="AT1130" i="1"/>
  <c r="N534" i="1"/>
  <c r="M1772" i="1"/>
  <c r="J994" i="1"/>
  <c r="D3461" i="1"/>
  <c r="P2488" i="1"/>
  <c r="N1918" i="1"/>
  <c r="D2441" i="1"/>
  <c r="H2404" i="1"/>
  <c r="N3445" i="1"/>
  <c r="U956" i="1"/>
  <c r="U2725" i="1"/>
  <c r="AT81" i="1"/>
  <c r="N2016" i="1"/>
  <c r="H2453" i="1"/>
  <c r="U3353" i="1"/>
  <c r="O1628" i="1"/>
  <c r="O2886" i="1"/>
  <c r="P1568" i="1"/>
  <c r="Q495" i="1"/>
  <c r="I497" i="1"/>
  <c r="K3019" i="1"/>
  <c r="D2425" i="1"/>
  <c r="U377" i="1"/>
  <c r="P3427" i="1"/>
  <c r="M998" i="1"/>
  <c r="Q1193" i="1"/>
  <c r="O2941" i="1"/>
  <c r="AT1485" i="1"/>
  <c r="AT1432" i="1"/>
  <c r="AT2626" i="1"/>
  <c r="D1055" i="1"/>
  <c r="AT1256" i="1"/>
  <c r="AT1562" i="1"/>
  <c r="H3380" i="1"/>
  <c r="Q1741" i="1"/>
  <c r="AT1534" i="1"/>
  <c r="AT959" i="1"/>
  <c r="O1175" i="1"/>
  <c r="U842" i="1"/>
  <c r="M2375" i="1"/>
  <c r="Q1728" i="1"/>
  <c r="N188" i="1"/>
  <c r="M2461" i="1"/>
  <c r="U2614" i="1"/>
  <c r="AT1758" i="1"/>
  <c r="U2276" i="1"/>
  <c r="Q560" i="1"/>
  <c r="P2052" i="1"/>
  <c r="D107" i="1"/>
  <c r="N3620" i="1"/>
  <c r="M1303" i="1"/>
  <c r="D3226" i="1"/>
  <c r="U1542" i="1"/>
  <c r="P1149" i="1"/>
  <c r="K495" i="1"/>
  <c r="AT2489" i="1"/>
  <c r="P657" i="1"/>
  <c r="I786" i="1"/>
  <c r="I1632" i="1"/>
  <c r="D751" i="1"/>
  <c r="U2462" i="1"/>
  <c r="I3106" i="1"/>
  <c r="P352" i="1"/>
  <c r="P1648" i="1"/>
  <c r="M2597" i="1"/>
  <c r="U2255" i="1"/>
  <c r="K1554" i="1"/>
  <c r="AT3595" i="1"/>
  <c r="M3576" i="1"/>
  <c r="AT2507" i="1"/>
  <c r="N3211" i="1"/>
  <c r="I3240" i="1"/>
  <c r="K57" i="1"/>
  <c r="AT3364" i="1"/>
  <c r="K2336" i="1"/>
  <c r="M1340" i="1"/>
  <c r="K2518" i="1"/>
  <c r="AT627" i="1"/>
  <c r="P3543" i="1"/>
  <c r="D1170" i="1"/>
  <c r="I226" i="1"/>
  <c r="N557" i="1"/>
  <c r="N2924" i="1"/>
  <c r="D1554" i="1"/>
  <c r="O1730" i="1"/>
  <c r="O332" i="1"/>
  <c r="H780" i="1"/>
  <c r="D1217" i="1"/>
  <c r="Q1159" i="1"/>
  <c r="AT1232" i="1"/>
  <c r="O2520" i="1"/>
  <c r="J1752" i="1"/>
  <c r="O3019" i="1"/>
  <c r="K3562" i="1"/>
  <c r="J2070" i="1"/>
  <c r="H1793" i="1"/>
  <c r="O143" i="1"/>
  <c r="D76" i="1"/>
  <c r="N2163" i="1"/>
  <c r="M125" i="1"/>
  <c r="K3101" i="1"/>
  <c r="J2423" i="1"/>
  <c r="AT755" i="1"/>
  <c r="U531" i="1"/>
  <c r="U2881" i="1"/>
  <c r="AT256" i="1"/>
  <c r="Q2884" i="1"/>
  <c r="I721" i="1"/>
  <c r="P3261" i="1"/>
  <c r="O1741" i="1"/>
  <c r="P2074" i="1"/>
  <c r="N1325" i="1"/>
  <c r="H810" i="1"/>
  <c r="I3026" i="1"/>
  <c r="J1721" i="1"/>
  <c r="K897" i="1"/>
  <c r="H2398" i="1"/>
  <c r="K2913" i="1"/>
  <c r="U1197" i="1"/>
  <c r="P2527" i="1"/>
  <c r="P60" i="1"/>
  <c r="V1466" i="1"/>
  <c r="O3615" i="1"/>
  <c r="P240" i="1"/>
  <c r="M2804" i="1"/>
  <c r="U275" i="1"/>
  <c r="P2729" i="1"/>
  <c r="O247" i="1"/>
  <c r="M3543" i="1"/>
  <c r="O309" i="1"/>
  <c r="M3125" i="1"/>
  <c r="U3149" i="1"/>
  <c r="O2223" i="1"/>
  <c r="P7" i="1"/>
  <c r="AT3393" i="1"/>
  <c r="P1448" i="1"/>
  <c r="AT1426" i="1"/>
  <c r="P2356" i="1"/>
  <c r="N569" i="1"/>
  <c r="Q444" i="1"/>
  <c r="P458" i="1"/>
  <c r="P693" i="1"/>
  <c r="D1658" i="1"/>
  <c r="J2371" i="1"/>
  <c r="AT535" i="1"/>
  <c r="D2900" i="1"/>
  <c r="M3030" i="1"/>
  <c r="O2333" i="1"/>
  <c r="O985" i="1"/>
  <c r="Q571" i="1"/>
  <c r="H1686" i="1"/>
  <c r="AT651" i="1"/>
  <c r="U110" i="1"/>
  <c r="Q2853" i="1"/>
  <c r="K630" i="1"/>
  <c r="M3179" i="1"/>
  <c r="O1608" i="1"/>
  <c r="M1006" i="1"/>
  <c r="Q3224" i="1"/>
  <c r="O2190" i="1"/>
  <c r="AT515" i="1"/>
  <c r="M2281" i="1"/>
  <c r="O558" i="1"/>
  <c r="M2537" i="1"/>
  <c r="D2272" i="1"/>
  <c r="O3332" i="1"/>
  <c r="N875" i="1"/>
  <c r="AT2570" i="1"/>
  <c r="U2911" i="1"/>
  <c r="D2300" i="1"/>
  <c r="AT37" i="1"/>
  <c r="D1807" i="1"/>
  <c r="K3145" i="1"/>
  <c r="Q98" i="1"/>
  <c r="I3256" i="1"/>
  <c r="Q2104" i="1"/>
  <c r="P3118" i="1"/>
  <c r="D242" i="1"/>
  <c r="P2301" i="1"/>
  <c r="AT3478" i="1"/>
  <c r="J593" i="1"/>
  <c r="M655" i="1"/>
  <c r="Q432" i="1"/>
  <c r="H2246" i="1"/>
  <c r="H1744" i="1"/>
  <c r="J63" i="1"/>
  <c r="I1535" i="1"/>
  <c r="D3262" i="1"/>
  <c r="P228" i="1"/>
  <c r="Q229" i="1"/>
  <c r="N957" i="1"/>
  <c r="M2967" i="1"/>
  <c r="M1217" i="1"/>
  <c r="D2450" i="1"/>
  <c r="P3437" i="1"/>
  <c r="N3019" i="1"/>
  <c r="D2248" i="1"/>
  <c r="H1569" i="1"/>
  <c r="P2469" i="1"/>
  <c r="M3192" i="1"/>
  <c r="N676" i="1"/>
  <c r="D1945" i="1"/>
  <c r="O3415" i="1"/>
  <c r="N954" i="1"/>
  <c r="Q1919" i="1"/>
  <c r="D3197" i="1"/>
  <c r="N2285" i="1"/>
  <c r="D1536" i="1"/>
  <c r="D2087" i="1"/>
  <c r="K2193" i="1"/>
  <c r="AT3517" i="1"/>
  <c r="N221" i="1"/>
  <c r="D2195" i="1"/>
  <c r="U286" i="1"/>
  <c r="O2292" i="1"/>
  <c r="M406" i="1"/>
  <c r="M617" i="1"/>
  <c r="H2761" i="1"/>
  <c r="O815" i="1"/>
  <c r="D2112" i="1"/>
  <c r="P3193" i="1"/>
  <c r="AT2944" i="1"/>
  <c r="O788" i="1"/>
  <c r="O2499" i="1"/>
  <c r="Q2490" i="1"/>
  <c r="M1904" i="1"/>
  <c r="P266" i="1"/>
  <c r="D830" i="1"/>
  <c r="U1209" i="1"/>
  <c r="U1352" i="1"/>
  <c r="Q170" i="1"/>
  <c r="O1421" i="1"/>
  <c r="M2363" i="1"/>
  <c r="H2825" i="1"/>
  <c r="AT2502" i="1"/>
  <c r="H123" i="1"/>
  <c r="D857" i="1"/>
  <c r="U3176" i="1"/>
  <c r="M455" i="1"/>
  <c r="N1614" i="1"/>
  <c r="N2416" i="1"/>
  <c r="I3403" i="1"/>
  <c r="I65" i="1"/>
  <c r="I1929" i="1"/>
  <c r="O2297" i="1"/>
  <c r="P1485" i="1"/>
  <c r="M950" i="1"/>
  <c r="I2208" i="1"/>
  <c r="D17" i="1"/>
  <c r="Q706" i="1"/>
  <c r="M774" i="1"/>
  <c r="AT3407" i="1"/>
  <c r="D2629" i="1"/>
  <c r="O2207" i="1"/>
  <c r="AT3635" i="1"/>
  <c r="Q645" i="1"/>
  <c r="K888" i="1"/>
  <c r="D2428" i="1"/>
  <c r="M3193" i="1"/>
  <c r="I585" i="1"/>
  <c r="H714" i="1"/>
  <c r="J1250" i="1"/>
  <c r="J3273" i="1"/>
  <c r="P1918" i="1"/>
  <c r="I1150" i="1"/>
  <c r="O1602" i="1"/>
  <c r="K1675" i="1"/>
  <c r="O763" i="1"/>
  <c r="K406" i="1"/>
  <c r="AT1349" i="1"/>
  <c r="K2974" i="1"/>
  <c r="D3210" i="1"/>
  <c r="P1327" i="1"/>
  <c r="AT2465" i="1"/>
  <c r="O2286" i="1"/>
  <c r="H1396" i="1"/>
  <c r="D2040" i="1"/>
  <c r="Q1759" i="1"/>
  <c r="M2344" i="1"/>
  <c r="U426" i="1"/>
  <c r="AT2161" i="1"/>
  <c r="O2109" i="1"/>
  <c r="O356" i="1"/>
  <c r="D3632" i="1"/>
  <c r="N3104" i="1"/>
  <c r="M3564" i="1"/>
  <c r="D385" i="1"/>
  <c r="D574" i="1"/>
  <c r="N1025" i="1"/>
  <c r="M340" i="1"/>
  <c r="K2637" i="1"/>
  <c r="O586" i="1"/>
  <c r="K59" i="1"/>
  <c r="U2398" i="1"/>
  <c r="O346" i="1"/>
  <c r="N1361" i="1"/>
  <c r="D1155" i="1"/>
  <c r="D2051" i="1"/>
  <c r="O714" i="1"/>
  <c r="M2759" i="1"/>
  <c r="J1741" i="1"/>
  <c r="P2458" i="1"/>
  <c r="M461" i="1"/>
  <c r="O705" i="1"/>
  <c r="N2904" i="1"/>
  <c r="N2185" i="1"/>
  <c r="M1003" i="1"/>
  <c r="H1264" i="1"/>
  <c r="N1615" i="1"/>
  <c r="I1739" i="1"/>
  <c r="J1762" i="1"/>
  <c r="Q2729" i="1"/>
  <c r="Q650" i="1"/>
  <c r="U3551" i="1"/>
  <c r="U2715" i="1"/>
  <c r="M2088" i="1"/>
  <c r="I2900" i="1"/>
  <c r="Q117" i="1"/>
  <c r="O1972" i="1"/>
  <c r="N1054" i="1"/>
  <c r="N525" i="1"/>
  <c r="D3062" i="1"/>
  <c r="I66" i="1"/>
  <c r="AT3050" i="1"/>
  <c r="AT2277" i="1"/>
  <c r="D181" i="1"/>
  <c r="P304" i="1"/>
  <c r="AT3328" i="1"/>
  <c r="K2139" i="1"/>
  <c r="N3469" i="1"/>
  <c r="J775" i="1"/>
  <c r="N1470" i="1"/>
  <c r="M1704" i="1"/>
  <c r="AT2876" i="1"/>
  <c r="U2884" i="1"/>
  <c r="H1650" i="1"/>
  <c r="O496" i="1"/>
  <c r="U568" i="1"/>
  <c r="P2601" i="1"/>
  <c r="O3251" i="1"/>
  <c r="N3308" i="1"/>
  <c r="P1683" i="1"/>
  <c r="N3074" i="1"/>
  <c r="U1201" i="1"/>
  <c r="U2533" i="1"/>
  <c r="N3075" i="1"/>
  <c r="U2126" i="1"/>
  <c r="M1298" i="1"/>
  <c r="AT2985" i="1"/>
  <c r="Q3228" i="1"/>
  <c r="I1743" i="1"/>
  <c r="K1215" i="1"/>
  <c r="O1886" i="1"/>
  <c r="AT2368" i="1"/>
  <c r="M2308" i="1"/>
  <c r="M890" i="1"/>
  <c r="P3198" i="1"/>
  <c r="M1106" i="1"/>
  <c r="D2480" i="1"/>
  <c r="P3019" i="1"/>
  <c r="M602" i="1"/>
  <c r="U1073" i="1"/>
  <c r="J2226" i="1"/>
  <c r="Q1395" i="1"/>
  <c r="O1871" i="1"/>
  <c r="K1863" i="1"/>
  <c r="Q1036" i="1"/>
  <c r="J2068" i="1"/>
  <c r="M593" i="1"/>
  <c r="I724" i="1"/>
  <c r="D2974" i="1"/>
  <c r="H1600" i="1"/>
  <c r="Q595" i="1"/>
  <c r="D2016" i="1"/>
  <c r="AT3454" i="1"/>
  <c r="J1175" i="1"/>
  <c r="U3328" i="1"/>
  <c r="O3388" i="1"/>
  <c r="M1360" i="1"/>
  <c r="Q2306" i="1"/>
  <c r="AT897" i="1"/>
  <c r="N333" i="1"/>
  <c r="AT43" i="1"/>
  <c r="AT2732" i="1"/>
  <c r="AT3566" i="1"/>
  <c r="P2868" i="1"/>
  <c r="H552" i="1"/>
  <c r="Q3485" i="1"/>
  <c r="N2801" i="1"/>
  <c r="O1978" i="1"/>
  <c r="N1836" i="1"/>
  <c r="D2939" i="1"/>
  <c r="P2585" i="1"/>
  <c r="K705" i="1"/>
  <c r="N698" i="1"/>
  <c r="AT3442" i="1"/>
  <c r="J2104" i="1"/>
  <c r="AT701" i="1"/>
  <c r="P1519" i="1"/>
  <c r="U3021" i="1"/>
  <c r="AT2664" i="1"/>
  <c r="D3300" i="1"/>
  <c r="D1506" i="1"/>
  <c r="P2431" i="1"/>
  <c r="K868" i="1"/>
  <c r="M702" i="1"/>
  <c r="Q2623" i="1"/>
  <c r="M1967" i="1"/>
  <c r="J1382" i="1"/>
  <c r="AT1181" i="1"/>
  <c r="P3443" i="1"/>
  <c r="U3344" i="1"/>
  <c r="U189" i="1"/>
  <c r="N1889" i="1"/>
  <c r="M1018" i="1"/>
  <c r="H1690" i="1"/>
  <c r="Q2880" i="1"/>
  <c r="AT1836" i="1"/>
  <c r="J2882" i="1"/>
  <c r="Q1802" i="1"/>
  <c r="AT2937" i="1"/>
  <c r="P3168" i="1"/>
  <c r="N1567" i="1"/>
  <c r="N2333" i="1"/>
  <c r="D3561" i="1"/>
  <c r="J1095" i="1"/>
  <c r="I1442" i="1"/>
  <c r="AT441" i="1"/>
  <c r="Q511" i="1"/>
  <c r="K3382" i="1"/>
  <c r="D3177" i="1"/>
  <c r="AT695" i="1"/>
  <c r="P1713" i="1"/>
  <c r="Q3537" i="1"/>
  <c r="Q1425" i="1"/>
  <c r="K3168" i="1"/>
  <c r="Q773" i="1"/>
  <c r="D1993" i="1"/>
  <c r="H557" i="1"/>
  <c r="P1411" i="1"/>
  <c r="O60" i="1"/>
  <c r="AT474" i="1"/>
  <c r="AT2901" i="1"/>
  <c r="AT2074" i="1"/>
  <c r="N2948" i="1"/>
  <c r="AT3519" i="1"/>
  <c r="P1972" i="1"/>
  <c r="AT2094" i="1"/>
  <c r="AT2882" i="1"/>
  <c r="M605" i="1"/>
  <c r="M768" i="1"/>
  <c r="I806" i="1"/>
  <c r="U2846" i="1"/>
  <c r="D1640" i="1"/>
  <c r="Q1793" i="1"/>
  <c r="Q2037" i="1"/>
  <c r="N916" i="1"/>
  <c r="N2203" i="1"/>
  <c r="Q1969" i="1"/>
  <c r="K1799" i="1"/>
  <c r="D119" i="1"/>
  <c r="O103" i="1"/>
  <c r="M3412" i="1"/>
  <c r="D456" i="1"/>
  <c r="P2249" i="1"/>
  <c r="P2594" i="1"/>
  <c r="AT3477" i="1"/>
  <c r="D2285" i="1"/>
  <c r="K755" i="1"/>
  <c r="AT1027" i="1"/>
  <c r="D2728" i="1"/>
  <c r="N2657" i="1"/>
  <c r="K2957" i="1"/>
  <c r="AT680" i="1"/>
  <c r="D714" i="1"/>
  <c r="AT3287" i="1"/>
  <c r="K620" i="1"/>
  <c r="M1868" i="1"/>
  <c r="H2828" i="1"/>
  <c r="P2648" i="1"/>
  <c r="P783" i="1"/>
  <c r="U2844" i="1"/>
  <c r="D3274" i="1"/>
  <c r="H158" i="1"/>
  <c r="O1420" i="1"/>
  <c r="M1136" i="1"/>
  <c r="Q1527" i="1"/>
  <c r="U2001" i="1"/>
  <c r="P299" i="1"/>
  <c r="H1714" i="1"/>
  <c r="AT3130" i="1"/>
  <c r="H1599" i="1"/>
  <c r="O2051" i="1"/>
  <c r="P3288" i="1"/>
  <c r="Q570" i="1"/>
  <c r="AT254" i="1"/>
  <c r="D427" i="1"/>
  <c r="M1938" i="1"/>
  <c r="D3458" i="1"/>
  <c r="O2990" i="1"/>
  <c r="AT49" i="1"/>
  <c r="AT1017" i="1"/>
  <c r="N3124" i="1"/>
  <c r="N645" i="1"/>
  <c r="P3211" i="1"/>
  <c r="H1439" i="1"/>
  <c r="AT2367" i="1"/>
  <c r="N1925" i="1"/>
  <c r="Q3232" i="1"/>
  <c r="P1207" i="1"/>
  <c r="P226" i="1"/>
  <c r="M319" i="1"/>
  <c r="D738" i="1"/>
  <c r="U3190" i="1"/>
  <c r="K3479" i="1"/>
  <c r="U2993" i="1"/>
  <c r="N2217" i="1"/>
  <c r="I2701" i="1"/>
  <c r="P1342" i="1"/>
  <c r="J3013" i="1"/>
  <c r="P257" i="1"/>
  <c r="D1693" i="1"/>
  <c r="AT2411" i="1"/>
  <c r="D1620" i="1"/>
  <c r="N1385" i="1"/>
  <c r="Q3046" i="1"/>
  <c r="O2558" i="1"/>
  <c r="Q935" i="1"/>
  <c r="M1400" i="1"/>
  <c r="M1228" i="1"/>
  <c r="H2788" i="1"/>
  <c r="O1314" i="1"/>
  <c r="P722" i="1"/>
  <c r="P1026" i="1"/>
  <c r="U2413" i="1"/>
  <c r="P1158" i="1"/>
  <c r="N3398" i="1"/>
  <c r="O1202" i="1"/>
  <c r="AT621" i="1"/>
  <c r="Q982" i="1"/>
  <c r="AT132" i="1"/>
  <c r="P2743" i="1"/>
  <c r="M307" i="1"/>
  <c r="D3399" i="1"/>
  <c r="Q143" i="1"/>
  <c r="Q2819" i="1"/>
  <c r="N752" i="1"/>
  <c r="AT1153" i="1"/>
  <c r="Q19" i="1"/>
  <c r="U1693" i="1"/>
  <c r="N2871" i="1"/>
  <c r="AT1538" i="1"/>
  <c r="U692" i="1"/>
  <c r="O1237" i="1"/>
  <c r="N2821" i="1"/>
  <c r="J2133" i="1"/>
  <c r="O3489" i="1"/>
  <c r="I2626" i="1"/>
  <c r="H1648" i="1"/>
  <c r="H827" i="1"/>
  <c r="J2714" i="1"/>
  <c r="K1730" i="1"/>
  <c r="O3039" i="1"/>
  <c r="P1650" i="1"/>
  <c r="J3393" i="1"/>
  <c r="D355" i="1"/>
  <c r="P3202" i="1"/>
  <c r="N1010" i="1"/>
  <c r="U3382" i="1"/>
  <c r="O1681" i="1"/>
  <c r="AT1191" i="1"/>
  <c r="D1454" i="1"/>
  <c r="O2804" i="1"/>
  <c r="M2423" i="1"/>
  <c r="M1712" i="1"/>
  <c r="M2325" i="1"/>
  <c r="O2658" i="1"/>
  <c r="M652" i="1"/>
  <c r="D2927" i="1"/>
  <c r="K1941" i="1"/>
  <c r="N1754" i="1"/>
  <c r="M2725" i="1"/>
  <c r="N355" i="1"/>
  <c r="U2918" i="1"/>
  <c r="AT1965" i="1"/>
  <c r="AT2404" i="1"/>
  <c r="O333" i="1"/>
  <c r="J1496" i="1"/>
  <c r="M1566" i="1"/>
  <c r="M821" i="1"/>
  <c r="U1498" i="1"/>
  <c r="H2417" i="1"/>
  <c r="U1106" i="1"/>
  <c r="Q1854" i="1"/>
  <c r="I3461" i="1"/>
  <c r="M1457" i="1"/>
  <c r="J229" i="1"/>
  <c r="N861" i="1"/>
  <c r="AT3113" i="1"/>
  <c r="AT5" i="1"/>
  <c r="AT729" i="1"/>
  <c r="K1881" i="1"/>
  <c r="N3417" i="1"/>
  <c r="P2931" i="1"/>
  <c r="N1468" i="1"/>
  <c r="N2659" i="1"/>
  <c r="M1107" i="1"/>
  <c r="K3509" i="1"/>
  <c r="N150" i="1"/>
  <c r="P2298" i="1"/>
  <c r="D649" i="1"/>
  <c r="M2990" i="1"/>
  <c r="O1280" i="1"/>
  <c r="U1321" i="1"/>
  <c r="U1654" i="1"/>
  <c r="N2334" i="1"/>
  <c r="U3083" i="1"/>
  <c r="M366" i="1"/>
  <c r="U3289" i="1"/>
  <c r="P1838" i="1"/>
  <c r="I3025" i="1"/>
  <c r="U1196" i="1"/>
  <c r="Q3177" i="1"/>
  <c r="P2948" i="1"/>
  <c r="H1854" i="1"/>
  <c r="O2967" i="1"/>
  <c r="O834" i="1"/>
  <c r="K542" i="1"/>
  <c r="U2384" i="1"/>
  <c r="U2571" i="1"/>
  <c r="D3073" i="1"/>
  <c r="K1958" i="1"/>
  <c r="I1075" i="1"/>
  <c r="I2308" i="1"/>
  <c r="I2205" i="1"/>
  <c r="D1223" i="1"/>
  <c r="P1867" i="1"/>
  <c r="P260" i="1"/>
  <c r="AT1680" i="1"/>
  <c r="P2928" i="1"/>
  <c r="AT1510" i="1"/>
  <c r="O3236" i="1"/>
  <c r="D3193" i="1"/>
  <c r="D1139" i="1"/>
  <c r="N1974" i="1"/>
  <c r="I3369" i="1"/>
  <c r="D1978" i="1"/>
  <c r="O2869" i="1"/>
  <c r="I49" i="1"/>
  <c r="AT1913" i="1"/>
  <c r="AT711" i="1"/>
  <c r="D2659" i="1"/>
  <c r="O2548" i="1"/>
  <c r="J275" i="1"/>
  <c r="M61" i="1"/>
  <c r="U1283" i="1"/>
  <c r="M2162" i="1"/>
  <c r="Q149" i="1"/>
  <c r="N670" i="1"/>
  <c r="N486" i="1"/>
  <c r="N627" i="1"/>
  <c r="N216" i="1"/>
  <c r="N1632" i="1"/>
  <c r="Q1636" i="1"/>
  <c r="M2984" i="1"/>
  <c r="M1777" i="1"/>
  <c r="I232" i="1"/>
  <c r="U654" i="1"/>
  <c r="P568" i="1"/>
  <c r="O1790" i="1"/>
  <c r="N3432" i="1"/>
  <c r="N983" i="1"/>
  <c r="P332" i="1"/>
  <c r="N684" i="1"/>
  <c r="D2761" i="1"/>
  <c r="AT2795" i="1"/>
  <c r="M2898" i="1"/>
  <c r="K113" i="1"/>
  <c r="O2986" i="1"/>
  <c r="N2777" i="1"/>
  <c r="Q1258" i="1"/>
  <c r="P1953" i="1"/>
  <c r="O3376" i="1"/>
  <c r="N1085" i="1"/>
  <c r="M2416" i="1"/>
  <c r="U928" i="1"/>
  <c r="Q2453" i="1"/>
  <c r="O744" i="1"/>
  <c r="AT301" i="1"/>
  <c r="AT284" i="1"/>
  <c r="I1687" i="1"/>
  <c r="N2787" i="1"/>
  <c r="O3471" i="1"/>
  <c r="N1144" i="1"/>
  <c r="D1200" i="1"/>
  <c r="P3307" i="1"/>
  <c r="O1750" i="1"/>
  <c r="U1449" i="1"/>
  <c r="M1978" i="1"/>
  <c r="P2046" i="1"/>
  <c r="O423" i="1"/>
  <c r="U2399" i="1"/>
  <c r="N2257" i="1"/>
  <c r="H1220" i="1"/>
  <c r="P603" i="1"/>
  <c r="D2853" i="1"/>
  <c r="P2683" i="1"/>
  <c r="Q738" i="1"/>
  <c r="O2881" i="1"/>
  <c r="D944" i="1"/>
  <c r="AT477" i="1"/>
  <c r="P1496" i="1"/>
  <c r="D1939" i="1"/>
  <c r="D3028" i="1"/>
  <c r="M2514" i="1"/>
  <c r="D410" i="1"/>
  <c r="AT2933" i="1"/>
  <c r="M483" i="1"/>
  <c r="P1705" i="1"/>
  <c r="U2848" i="1"/>
  <c r="N1899" i="1"/>
  <c r="O5" i="1"/>
  <c r="N2715" i="1"/>
  <c r="M2555" i="1"/>
  <c r="U3635" i="1"/>
  <c r="N1266" i="1"/>
  <c r="AT931" i="1"/>
  <c r="D3161" i="1"/>
  <c r="M449" i="1"/>
  <c r="M360" i="1"/>
  <c r="D1633" i="1"/>
  <c r="P1872" i="1"/>
  <c r="P373" i="1"/>
  <c r="N1347" i="1"/>
  <c r="U825" i="1"/>
  <c r="I2274" i="1"/>
  <c r="H2555" i="1"/>
  <c r="K527" i="1"/>
  <c r="K2899" i="1"/>
  <c r="AT3502" i="1"/>
  <c r="K2334" i="1"/>
  <c r="M198" i="1"/>
  <c r="Q914" i="1"/>
  <c r="P1900" i="1"/>
  <c r="P3546" i="1"/>
  <c r="M3376" i="1"/>
  <c r="Q2277" i="1"/>
  <c r="N2438" i="1"/>
  <c r="M271" i="1"/>
  <c r="AT1305" i="1"/>
  <c r="O1981" i="1"/>
  <c r="H226" i="1"/>
  <c r="N9" i="1"/>
  <c r="M2977" i="1"/>
  <c r="P804" i="1"/>
  <c r="O2295" i="1"/>
  <c r="Q2962" i="1"/>
  <c r="O3537" i="1"/>
  <c r="M1105" i="1"/>
  <c r="I3581" i="1"/>
  <c r="P784" i="1"/>
  <c r="J2585" i="1"/>
  <c r="J3575" i="1"/>
  <c r="D2523" i="1"/>
  <c r="U1375" i="1"/>
  <c r="U907" i="1"/>
  <c r="H2861" i="1"/>
  <c r="AT644" i="1"/>
  <c r="I1588" i="1"/>
  <c r="Q3336" i="1"/>
  <c r="U2529" i="1"/>
  <c r="O2927" i="1"/>
  <c r="D546" i="1"/>
  <c r="AT866" i="1"/>
  <c r="AT811" i="1"/>
  <c r="O2850" i="1"/>
  <c r="N3214" i="1"/>
  <c r="U378" i="1"/>
  <c r="M675" i="1"/>
  <c r="Q515" i="1"/>
  <c r="D3126" i="1"/>
  <c r="D1372" i="1"/>
  <c r="P2313" i="1"/>
  <c r="N365" i="1"/>
  <c r="N2599" i="1"/>
  <c r="M3395" i="1"/>
  <c r="M3625" i="1"/>
  <c r="P551" i="1"/>
  <c r="D1711" i="1"/>
  <c r="J782" i="1"/>
  <c r="D1563" i="1"/>
  <c r="Q2045" i="1"/>
  <c r="P953" i="1"/>
  <c r="D1963" i="1"/>
  <c r="Q2981" i="1"/>
  <c r="N709" i="1"/>
  <c r="M480" i="1"/>
  <c r="N3040" i="1"/>
  <c r="M1058" i="1"/>
  <c r="N1275" i="1"/>
  <c r="P1298" i="1"/>
  <c r="U2603" i="1"/>
  <c r="Q1116" i="1"/>
  <c r="M2648" i="1"/>
  <c r="Q1318" i="1"/>
  <c r="N3249" i="1"/>
  <c r="O811" i="1"/>
  <c r="D2745" i="1"/>
  <c r="U3267" i="1"/>
  <c r="U1189" i="1"/>
  <c r="N2697" i="1"/>
  <c r="M544" i="1"/>
  <c r="U1359" i="1"/>
  <c r="N3517" i="1"/>
  <c r="AT900" i="1"/>
  <c r="N2043" i="1"/>
  <c r="I898" i="1"/>
  <c r="M2823" i="1"/>
  <c r="O251" i="1"/>
  <c r="N882" i="1"/>
  <c r="I361" i="1"/>
  <c r="O1372" i="1"/>
  <c r="H2588" i="1"/>
  <c r="AT468" i="1"/>
  <c r="Q1087" i="1"/>
  <c r="AT3317" i="1"/>
  <c r="P2658" i="1"/>
  <c r="AT1709" i="1"/>
  <c r="D1525" i="1"/>
  <c r="N2664" i="1"/>
  <c r="M752" i="1"/>
  <c r="AT595" i="1"/>
  <c r="H1474" i="1"/>
  <c r="U1527" i="1"/>
  <c r="M3488" i="1"/>
  <c r="J3449" i="1"/>
  <c r="O1793" i="1"/>
  <c r="D1457" i="1"/>
  <c r="Q1535" i="1"/>
  <c r="AT3625" i="1"/>
  <c r="N1764" i="1"/>
  <c r="N2708" i="1"/>
  <c r="D2957" i="1"/>
  <c r="N237" i="1"/>
  <c r="D2083" i="1"/>
  <c r="H110" i="1"/>
  <c r="N3165" i="1"/>
  <c r="U2425" i="1"/>
  <c r="O2103" i="1"/>
  <c r="I1603" i="1"/>
  <c r="AT1743" i="1"/>
  <c r="Q1205" i="1"/>
  <c r="H767" i="1"/>
  <c r="O2179" i="1"/>
  <c r="Q695" i="1"/>
  <c r="H417" i="1"/>
  <c r="U1024" i="1"/>
  <c r="D235" i="1"/>
  <c r="J881" i="1"/>
  <c r="H1045" i="1"/>
  <c r="O2969" i="1"/>
  <c r="D185" i="1"/>
  <c r="P124" i="1"/>
  <c r="U371" i="1"/>
  <c r="M1032" i="1"/>
  <c r="N241" i="1"/>
  <c r="U2231" i="1"/>
  <c r="P2228" i="1"/>
  <c r="M3108" i="1"/>
  <c r="I2529" i="1"/>
  <c r="Q1388" i="1"/>
  <c r="U68" i="1"/>
  <c r="N1604" i="1"/>
  <c r="P199" i="1"/>
  <c r="AT1399" i="1"/>
  <c r="D1067" i="1"/>
  <c r="Q2156" i="1"/>
  <c r="N2548" i="1"/>
  <c r="D3052" i="1"/>
  <c r="AT403" i="1"/>
  <c r="D1474" i="1"/>
  <c r="O2253" i="1"/>
  <c r="I273" i="1"/>
  <c r="H968" i="1"/>
  <c r="D675" i="1"/>
  <c r="N3351" i="1"/>
  <c r="AT1207" i="1"/>
  <c r="P64" i="1"/>
  <c r="U3435" i="1"/>
  <c r="U3485" i="1"/>
  <c r="M2662" i="1"/>
  <c r="I977" i="1"/>
  <c r="AT936" i="1"/>
  <c r="O975" i="1"/>
  <c r="U839" i="1"/>
  <c r="P3627" i="1"/>
  <c r="O2076" i="1"/>
  <c r="AT674" i="1"/>
  <c r="Q2177" i="1"/>
  <c r="AT1345" i="1"/>
  <c r="U2837" i="1"/>
  <c r="U3524" i="1"/>
  <c r="Q3135" i="1"/>
  <c r="D1433" i="1"/>
  <c r="AT399" i="1"/>
  <c r="Q2852" i="1"/>
  <c r="O1858" i="1"/>
  <c r="M1615" i="1"/>
  <c r="M2707" i="1"/>
  <c r="I2238" i="1"/>
  <c r="D2200" i="1"/>
  <c r="P1313" i="1"/>
  <c r="J783" i="1"/>
  <c r="U1256" i="1"/>
  <c r="M2774" i="1"/>
  <c r="D1498" i="1"/>
  <c r="AT1117" i="1"/>
  <c r="P1856" i="1"/>
  <c r="Q1230" i="1"/>
  <c r="AT134" i="1"/>
  <c r="D1778" i="1"/>
  <c r="N2840" i="1"/>
  <c r="Q3215" i="1"/>
  <c r="N315" i="1"/>
  <c r="Q2491" i="1"/>
  <c r="I52" i="1"/>
  <c r="P3015" i="1"/>
  <c r="AT361" i="1"/>
  <c r="P937" i="1"/>
  <c r="O2870" i="1"/>
  <c r="N1800" i="1"/>
  <c r="H1416" i="1"/>
  <c r="AT52" i="1"/>
  <c r="N1743" i="1"/>
  <c r="P2444" i="1"/>
  <c r="D3170" i="1"/>
  <c r="U2503" i="1"/>
  <c r="H1625" i="1"/>
  <c r="J964" i="1"/>
  <c r="M880" i="1"/>
  <c r="D2460" i="1"/>
  <c r="AT2903" i="1"/>
  <c r="Q1088" i="1"/>
  <c r="P2516" i="1"/>
  <c r="U2436" i="1"/>
  <c r="D1391" i="1"/>
  <c r="K2068" i="1"/>
  <c r="N1533" i="1"/>
  <c r="N1434" i="1"/>
  <c r="H1531" i="1"/>
  <c r="K2915" i="1"/>
  <c r="U2129" i="1"/>
  <c r="M925" i="1"/>
  <c r="Q2705" i="1"/>
  <c r="D2506" i="1"/>
  <c r="M3492" i="1"/>
  <c r="P2305" i="1"/>
  <c r="Q751" i="1"/>
  <c r="D3452" i="1"/>
  <c r="AT2474" i="1"/>
  <c r="H1495" i="1"/>
  <c r="I2720" i="1"/>
  <c r="M3252" i="1"/>
  <c r="N3155" i="1"/>
  <c r="N2426" i="1"/>
  <c r="AT2135" i="1"/>
  <c r="P391" i="1"/>
  <c r="N1037" i="1"/>
  <c r="K3243" i="1"/>
  <c r="D1916" i="1"/>
  <c r="D2889" i="1"/>
  <c r="P1281" i="1"/>
  <c r="O2711" i="1"/>
  <c r="P1475" i="1"/>
  <c r="N505" i="1"/>
  <c r="P2340" i="1"/>
  <c r="P483" i="1"/>
  <c r="Q1708" i="1"/>
  <c r="N139" i="1"/>
  <c r="D2996" i="1"/>
  <c r="AT435" i="1"/>
  <c r="M993" i="1"/>
  <c r="P549" i="1"/>
  <c r="J2979" i="1"/>
  <c r="D721" i="1"/>
  <c r="O2308" i="1"/>
  <c r="AT3520" i="1"/>
  <c r="K2583" i="1"/>
  <c r="AT2287" i="1"/>
  <c r="O968" i="1"/>
  <c r="O1638" i="1"/>
  <c r="J1225" i="1"/>
  <c r="AT1302" i="1"/>
  <c r="M1896" i="1"/>
  <c r="P237" i="1"/>
  <c r="M2808" i="1"/>
  <c r="K3433" i="1"/>
  <c r="I956" i="1"/>
  <c r="J559" i="1"/>
  <c r="M735" i="1"/>
  <c r="N522" i="1"/>
  <c r="P328" i="1"/>
  <c r="K1571" i="1"/>
  <c r="P3567" i="1"/>
  <c r="D3203" i="1"/>
  <c r="I2930" i="1"/>
  <c r="I3232" i="1"/>
  <c r="J3052" i="1"/>
  <c r="O68" i="1"/>
  <c r="P796" i="1"/>
  <c r="H113" i="1"/>
  <c r="M3360" i="1"/>
  <c r="U1414" i="1"/>
  <c r="AT3207" i="1"/>
  <c r="D2986" i="1"/>
  <c r="J514" i="1"/>
  <c r="D2467" i="1"/>
  <c r="K358" i="1"/>
  <c r="H1065" i="1"/>
  <c r="J2772" i="1"/>
  <c r="Q612" i="1"/>
  <c r="N2180" i="1"/>
  <c r="U2248" i="1"/>
  <c r="O1818" i="1"/>
  <c r="M2911" i="1"/>
  <c r="D1788" i="1"/>
  <c r="M521" i="1"/>
  <c r="P181" i="1"/>
  <c r="H3490" i="1"/>
  <c r="M3398" i="1"/>
  <c r="AT1631" i="1"/>
  <c r="N3585" i="1"/>
  <c r="O3111" i="1"/>
  <c r="D511" i="1"/>
  <c r="Q3045" i="1"/>
  <c r="D3049" i="1"/>
  <c r="O2019" i="1"/>
  <c r="O1214" i="1"/>
  <c r="Q2400" i="1"/>
  <c r="D2058" i="1"/>
  <c r="M349" i="1"/>
  <c r="Q1433" i="1"/>
  <c r="N3385" i="1"/>
  <c r="AT2079" i="1"/>
  <c r="Q2855" i="1"/>
  <c r="AT2053" i="1"/>
  <c r="Q2344" i="1"/>
  <c r="AT2573" i="1"/>
  <c r="Q252" i="1"/>
  <c r="D1452" i="1"/>
  <c r="D3003" i="1"/>
  <c r="I472" i="1"/>
  <c r="AT3036" i="1"/>
  <c r="N3028" i="1"/>
  <c r="M3187" i="1"/>
  <c r="O2854" i="1"/>
  <c r="P1747" i="1"/>
  <c r="D3207" i="1"/>
  <c r="J2143" i="1"/>
  <c r="P1858" i="1"/>
  <c r="N466" i="1"/>
  <c r="J1365" i="1"/>
  <c r="P1418" i="1"/>
  <c r="U2762" i="1"/>
  <c r="I802" i="1"/>
  <c r="I717" i="1"/>
  <c r="I529" i="1"/>
  <c r="O48" i="1"/>
  <c r="P2025" i="1"/>
  <c r="U1802" i="1"/>
  <c r="Q2200" i="1"/>
  <c r="U2630" i="1"/>
  <c r="H2605" i="1"/>
  <c r="N1791" i="1"/>
  <c r="P2957" i="1"/>
  <c r="Q2859" i="1"/>
  <c r="N1579" i="1"/>
  <c r="P3238" i="1"/>
  <c r="H2631" i="1"/>
  <c r="Q412" i="1"/>
  <c r="D2233" i="1"/>
  <c r="AT3262" i="1"/>
  <c r="I551" i="1"/>
  <c r="P3280" i="1"/>
  <c r="P1270" i="1"/>
  <c r="N1534" i="1"/>
  <c r="P2252" i="1"/>
  <c r="AT3006" i="1"/>
  <c r="U1224" i="1"/>
  <c r="O1110" i="1"/>
  <c r="M1851" i="1"/>
  <c r="H1881" i="1"/>
  <c r="N3204" i="1"/>
  <c r="D3567" i="1"/>
  <c r="O2566" i="1"/>
  <c r="N1672" i="1"/>
  <c r="AT332" i="1"/>
  <c r="M2576" i="1"/>
  <c r="O1213" i="1"/>
  <c r="U1040" i="1"/>
  <c r="P3396" i="1"/>
  <c r="D2442" i="1"/>
  <c r="M3146" i="1"/>
  <c r="M2414" i="1"/>
  <c r="Q661" i="1"/>
  <c r="D363" i="1"/>
  <c r="P1385" i="1"/>
  <c r="N1866" i="1"/>
  <c r="P1669" i="1"/>
  <c r="H2716" i="1"/>
  <c r="U1543" i="1"/>
  <c r="I928" i="1"/>
  <c r="D85" i="1"/>
  <c r="Q3024" i="1"/>
  <c r="H2196" i="1"/>
  <c r="M337" i="1"/>
  <c r="N337" i="1"/>
  <c r="H3039" i="1"/>
  <c r="Q162" i="1"/>
  <c r="D1018" i="1"/>
  <c r="J2239" i="1"/>
  <c r="AT537" i="1"/>
  <c r="H1819" i="1"/>
  <c r="O1507" i="1"/>
  <c r="P2364" i="1"/>
  <c r="D1678" i="1"/>
  <c r="N3606" i="1"/>
  <c r="O3266" i="1"/>
  <c r="I3578" i="1"/>
  <c r="N1411" i="1"/>
  <c r="O883" i="1"/>
  <c r="D1381" i="1"/>
  <c r="P2945" i="1"/>
  <c r="D1537" i="1"/>
  <c r="I1840" i="1"/>
  <c r="P83" i="1"/>
  <c r="O3005" i="1"/>
  <c r="Q2456" i="1"/>
  <c r="D1553" i="1"/>
  <c r="P1258" i="1"/>
  <c r="M473" i="1"/>
  <c r="I812" i="1"/>
  <c r="AT3564" i="1"/>
  <c r="Q1529" i="1"/>
  <c r="K2297" i="1"/>
  <c r="Q867" i="1"/>
  <c r="AT2563" i="1"/>
  <c r="AT2986" i="1"/>
  <c r="K1779" i="1"/>
  <c r="M633" i="1"/>
  <c r="D2454" i="1"/>
  <c r="AT2583" i="1"/>
  <c r="I87" i="1"/>
  <c r="N1769" i="1"/>
  <c r="J683" i="1"/>
  <c r="P2110" i="1"/>
  <c r="J404" i="1"/>
  <c r="Q3072" i="1"/>
  <c r="O1276" i="1"/>
  <c r="I952" i="1"/>
  <c r="U2711" i="1"/>
  <c r="J3157" i="1"/>
  <c r="O1250" i="1"/>
  <c r="M2390" i="1"/>
  <c r="Q3200" i="1"/>
  <c r="O2989" i="1"/>
  <c r="AT914" i="1"/>
  <c r="P517" i="1"/>
  <c r="I156" i="1"/>
  <c r="I1298" i="1"/>
  <c r="N434" i="1"/>
  <c r="J1830" i="1"/>
  <c r="N3353" i="1"/>
  <c r="H1041" i="1"/>
  <c r="M2387" i="1"/>
  <c r="D2880" i="1"/>
  <c r="H2309" i="1"/>
  <c r="O1525" i="1"/>
  <c r="P441" i="1"/>
  <c r="M252" i="1"/>
  <c r="O2145" i="1"/>
  <c r="H774" i="1"/>
  <c r="O1791" i="1"/>
  <c r="N747" i="1"/>
  <c r="Q1563" i="1"/>
  <c r="D3298" i="1"/>
  <c r="M840" i="1"/>
  <c r="AT3372" i="1"/>
  <c r="K1483" i="1"/>
  <c r="D2546" i="1"/>
  <c r="O933" i="1"/>
  <c r="P248" i="1"/>
  <c r="D2751" i="1"/>
  <c r="AT2948" i="1"/>
  <c r="AT947" i="1"/>
  <c r="M2920" i="1"/>
  <c r="P2530" i="1"/>
  <c r="Q3453" i="1"/>
  <c r="H468" i="1"/>
  <c r="AT1492" i="1"/>
  <c r="N1815" i="1"/>
  <c r="U3100" i="1"/>
  <c r="AT2437" i="1"/>
  <c r="N2262" i="1"/>
  <c r="N1908" i="1"/>
  <c r="U395" i="1"/>
  <c r="P3302" i="1"/>
  <c r="J3109" i="1"/>
  <c r="M3202" i="1"/>
  <c r="N2846" i="1"/>
  <c r="O3533" i="1"/>
  <c r="D878" i="1"/>
  <c r="AT2109" i="1"/>
  <c r="N1865" i="1"/>
  <c r="P666" i="1"/>
  <c r="D263" i="1"/>
  <c r="N1927" i="1"/>
  <c r="D2640" i="1"/>
  <c r="P2280" i="1"/>
  <c r="K2344" i="1"/>
  <c r="Q236" i="1"/>
  <c r="P105" i="1"/>
  <c r="D1456" i="1"/>
  <c r="O2376" i="1"/>
  <c r="D100" i="1"/>
  <c r="I1451" i="1"/>
  <c r="D560" i="1"/>
  <c r="H342" i="1"/>
  <c r="U2916" i="1"/>
  <c r="O1225" i="1"/>
  <c r="U177" i="1"/>
  <c r="P2603" i="1"/>
  <c r="J3411" i="1"/>
  <c r="J1104" i="1"/>
  <c r="J652" i="1"/>
  <c r="N3420" i="1"/>
  <c r="N2631" i="1"/>
  <c r="AT849" i="1"/>
  <c r="D3231" i="1"/>
  <c r="AT1610" i="1"/>
  <c r="U2396" i="1"/>
  <c r="J2327" i="1"/>
  <c r="D987" i="1"/>
  <c r="U779" i="1"/>
  <c r="K2788" i="1"/>
  <c r="U1668" i="1"/>
  <c r="P27" i="1"/>
  <c r="Q1643" i="1"/>
  <c r="AT1920" i="1"/>
  <c r="P193" i="1"/>
  <c r="O539" i="1"/>
  <c r="I2636" i="1"/>
  <c r="D2648" i="1"/>
  <c r="J658" i="1"/>
  <c r="D3526" i="1"/>
  <c r="Q1826" i="1"/>
  <c r="P1094" i="1"/>
  <c r="I1377" i="1"/>
  <c r="D1580" i="1"/>
  <c r="N1428" i="1"/>
  <c r="D258" i="1"/>
  <c r="O2243" i="1"/>
  <c r="U330" i="1"/>
  <c r="I1085" i="1"/>
  <c r="Q3331" i="1"/>
  <c r="H1825" i="1"/>
  <c r="D1840" i="1"/>
  <c r="AT3331" i="1"/>
  <c r="O1574" i="1"/>
  <c r="J2130" i="1"/>
  <c r="D2802" i="1"/>
  <c r="Q356" i="1"/>
  <c r="O2731" i="1"/>
  <c r="P704" i="1"/>
  <c r="D2508" i="1"/>
  <c r="N1051" i="1"/>
  <c r="D3343" i="1"/>
  <c r="P1405" i="1"/>
  <c r="Q2767" i="1"/>
  <c r="K276" i="1"/>
  <c r="D1232" i="1"/>
  <c r="P2089" i="1"/>
  <c r="O825" i="1"/>
  <c r="M3630" i="1"/>
  <c r="I794" i="1"/>
  <c r="I2379" i="1"/>
  <c r="P176" i="1"/>
  <c r="U1669" i="1"/>
  <c r="M939" i="1"/>
  <c r="AT1912" i="1"/>
  <c r="P2034" i="1"/>
  <c r="AT3110" i="1"/>
  <c r="N3007" i="1"/>
  <c r="O2482" i="1"/>
  <c r="D3088" i="1"/>
  <c r="I3640" i="1"/>
  <c r="N2920" i="1"/>
  <c r="M1444" i="1"/>
  <c r="H2568" i="1"/>
  <c r="M3175" i="1"/>
  <c r="N739" i="1"/>
  <c r="P965" i="1"/>
  <c r="Q745" i="1"/>
  <c r="N2433" i="1"/>
  <c r="AT2548" i="1"/>
  <c r="D1490" i="1"/>
  <c r="N368" i="1"/>
  <c r="M113" i="1"/>
  <c r="U1380" i="1"/>
  <c r="H1143" i="1"/>
  <c r="J3587" i="1"/>
  <c r="D528" i="1"/>
  <c r="M2211" i="1"/>
  <c r="D2284" i="1"/>
  <c r="D1746" i="1"/>
  <c r="O1228" i="1"/>
  <c r="D3084" i="1"/>
  <c r="H2380" i="1"/>
  <c r="P1445" i="1"/>
  <c r="M2107" i="1"/>
  <c r="M408" i="1"/>
  <c r="D2755" i="1"/>
  <c r="O3356" i="1"/>
  <c r="N2841" i="1"/>
  <c r="O1364" i="1"/>
  <c r="O3359" i="1"/>
  <c r="P2421" i="1"/>
  <c r="H3417" i="1"/>
  <c r="O2970" i="1"/>
  <c r="J1362" i="1"/>
  <c r="AT568" i="1"/>
  <c r="J2759" i="1"/>
  <c r="N906" i="1"/>
  <c r="O3078" i="1"/>
  <c r="Q2603" i="1"/>
  <c r="AT1133" i="1"/>
  <c r="D1601" i="1"/>
  <c r="M2111" i="1"/>
  <c r="M2460" i="1"/>
  <c r="D2845" i="1"/>
  <c r="M2891" i="1"/>
  <c r="J2191" i="1"/>
  <c r="D869" i="1"/>
  <c r="U1682" i="1"/>
  <c r="M2477" i="1"/>
  <c r="D1243" i="1"/>
  <c r="O1349" i="1"/>
  <c r="O503" i="1"/>
  <c r="D278" i="1"/>
  <c r="U2535" i="1"/>
  <c r="P3319" i="1"/>
  <c r="D450" i="1"/>
  <c r="D1127" i="1"/>
  <c r="K3514" i="1"/>
  <c r="O3327" i="1"/>
  <c r="N1539" i="1"/>
  <c r="O992" i="1"/>
  <c r="M931" i="1"/>
  <c r="O1668" i="1"/>
  <c r="D2732" i="1"/>
  <c r="H1753" i="1"/>
  <c r="Q2030" i="1"/>
  <c r="D3273" i="1"/>
  <c r="M3171" i="1"/>
  <c r="N2394" i="1"/>
  <c r="AT3383" i="1"/>
  <c r="J1560" i="1"/>
  <c r="D2671" i="1"/>
  <c r="H1009" i="1"/>
  <c r="O2851" i="1"/>
  <c r="O1480" i="1"/>
  <c r="D2082" i="1"/>
  <c r="J463" i="1"/>
  <c r="D2603" i="1"/>
  <c r="I1868" i="1"/>
  <c r="AT2338" i="1"/>
  <c r="N2587" i="1"/>
  <c r="M1265" i="1"/>
  <c r="U3099" i="1"/>
  <c r="AT3223" i="1"/>
  <c r="P2132" i="1"/>
  <c r="N2945" i="1"/>
  <c r="J3624" i="1"/>
  <c r="Q1245" i="1"/>
  <c r="AT546" i="1"/>
  <c r="AT1844" i="1"/>
  <c r="Q3073" i="1"/>
  <c r="Q1853" i="1"/>
  <c r="M3426" i="1"/>
  <c r="H3586" i="1"/>
  <c r="D2289" i="1"/>
  <c r="U393" i="1"/>
  <c r="Q973" i="1"/>
  <c r="P2969" i="1"/>
  <c r="N1937" i="1"/>
  <c r="U103" i="1"/>
  <c r="U3046" i="1"/>
  <c r="M274" i="1"/>
  <c r="N1581" i="1"/>
  <c r="N3448" i="1"/>
  <c r="H656" i="1"/>
  <c r="U3042" i="1"/>
  <c r="N2890" i="1"/>
  <c r="U2645" i="1"/>
  <c r="AT2688" i="1"/>
  <c r="N1700" i="1"/>
  <c r="M1423" i="1"/>
  <c r="J3312" i="1"/>
  <c r="N661" i="1"/>
  <c r="AT2784" i="1"/>
  <c r="N1287" i="1"/>
  <c r="N2127" i="1"/>
  <c r="Q623" i="1"/>
  <c r="AT1565" i="1"/>
  <c r="K2598" i="1"/>
  <c r="U3215" i="1"/>
  <c r="J2817" i="1"/>
  <c r="M1721" i="1"/>
  <c r="Q1413" i="1"/>
  <c r="M1194" i="1"/>
  <c r="H3226" i="1"/>
  <c r="P2777" i="1"/>
  <c r="D3611" i="1"/>
  <c r="I3316" i="1"/>
  <c r="I2418" i="1"/>
  <c r="P2814" i="1"/>
  <c r="O79" i="1"/>
  <c r="O287" i="1"/>
  <c r="U2407" i="1"/>
  <c r="D381" i="1"/>
  <c r="Q1102" i="1"/>
  <c r="I2155" i="1"/>
  <c r="H202" i="1"/>
  <c r="P2977" i="1"/>
  <c r="N2941" i="1"/>
  <c r="D1260" i="1"/>
  <c r="N959" i="1"/>
  <c r="H1129" i="1"/>
  <c r="P2130" i="1"/>
  <c r="H307" i="1"/>
  <c r="AT46" i="1"/>
  <c r="AT3076" i="1"/>
  <c r="N1145" i="1"/>
  <c r="J1608" i="1"/>
  <c r="AT791" i="1"/>
  <c r="H2333" i="1"/>
  <c r="P235" i="1"/>
  <c r="Q2292" i="1"/>
  <c r="D916" i="1"/>
  <c r="U1081" i="1"/>
  <c r="J2843" i="1"/>
  <c r="I1155" i="1"/>
  <c r="H2354" i="1"/>
  <c r="O3179" i="1"/>
  <c r="M1187" i="1"/>
  <c r="N2793" i="1"/>
  <c r="Q879" i="1"/>
  <c r="N1029" i="1"/>
  <c r="Q1310" i="1"/>
  <c r="P2173" i="1"/>
  <c r="M1080" i="1"/>
  <c r="D2688" i="1"/>
  <c r="P2802" i="1"/>
  <c r="H1740" i="1"/>
  <c r="M1179" i="1"/>
  <c r="U2081" i="1"/>
  <c r="Q3208" i="1"/>
  <c r="K636" i="1"/>
  <c r="AT2993" i="1"/>
  <c r="J2105" i="1"/>
  <c r="AT3260" i="1"/>
  <c r="I3352" i="1"/>
  <c r="O727" i="1"/>
  <c r="K350" i="1"/>
  <c r="M19" i="1"/>
  <c r="M2273" i="1"/>
  <c r="D741" i="1"/>
  <c r="U1582" i="1"/>
  <c r="Q2732" i="1"/>
  <c r="M2735" i="1"/>
  <c r="O2583" i="1"/>
  <c r="Q302" i="1"/>
  <c r="D3417" i="1"/>
  <c r="AT776" i="1"/>
  <c r="K264" i="1"/>
  <c r="N3283" i="1"/>
  <c r="N796" i="1"/>
  <c r="M3206" i="1"/>
  <c r="AT99" i="1"/>
  <c r="AT678" i="1"/>
  <c r="AT1088" i="1"/>
  <c r="O987" i="1"/>
  <c r="Q1564" i="1"/>
  <c r="AT353" i="1"/>
  <c r="M3573" i="1"/>
  <c r="AT3291" i="1"/>
  <c r="M2677" i="1"/>
  <c r="P3628" i="1"/>
  <c r="P1553" i="1"/>
  <c r="M451" i="1"/>
  <c r="AT147" i="1"/>
  <c r="D2810" i="1"/>
  <c r="M1933" i="1"/>
  <c r="H1758" i="1"/>
  <c r="N1035" i="1"/>
  <c r="Q2616" i="1"/>
  <c r="M670" i="1"/>
  <c r="P431" i="1"/>
  <c r="N2321" i="1"/>
  <c r="AT1058" i="1"/>
  <c r="M3123" i="1"/>
  <c r="O1027" i="1"/>
  <c r="D614" i="1"/>
  <c r="H2278" i="1"/>
  <c r="AT2961" i="1"/>
  <c r="O2225" i="1"/>
  <c r="O2398" i="1"/>
  <c r="H255" i="1"/>
  <c r="O1554" i="1"/>
  <c r="M3027" i="1"/>
  <c r="N3247" i="1"/>
  <c r="AT1389" i="1"/>
  <c r="U3397" i="1"/>
  <c r="O2700" i="1"/>
  <c r="H2450" i="1"/>
  <c r="J2854" i="1"/>
  <c r="U2977" i="1"/>
  <c r="M3076" i="1"/>
  <c r="P3024" i="1"/>
  <c r="O1328" i="1"/>
  <c r="O3521" i="1"/>
  <c r="O2441" i="1"/>
  <c r="D663" i="1"/>
  <c r="P378" i="1"/>
  <c r="J2589" i="1"/>
  <c r="Q1389" i="1"/>
  <c r="AT3409" i="1"/>
  <c r="D1887" i="1"/>
  <c r="P685" i="1"/>
  <c r="H2193" i="1"/>
  <c r="D992" i="1"/>
  <c r="N2245" i="1"/>
  <c r="D3534" i="1"/>
  <c r="I3243" i="1"/>
  <c r="AT497" i="1"/>
  <c r="N1726" i="1"/>
  <c r="P3488" i="1"/>
  <c r="J118" i="1"/>
  <c r="J1026" i="1"/>
  <c r="P1336" i="1"/>
  <c r="I837" i="1"/>
  <c r="D1140" i="1"/>
  <c r="M926" i="1"/>
  <c r="N773" i="1"/>
  <c r="D1829" i="1"/>
  <c r="U1262" i="1"/>
  <c r="J3324" i="1"/>
  <c r="H2730" i="1"/>
  <c r="P1197" i="1"/>
  <c r="AT391" i="1"/>
  <c r="H2536" i="1"/>
  <c r="O637" i="1"/>
  <c r="AT2649" i="1"/>
  <c r="M2958" i="1"/>
  <c r="M895" i="1"/>
  <c r="K2325" i="1"/>
  <c r="P548" i="1"/>
  <c r="K828" i="1"/>
  <c r="O1867" i="1"/>
  <c r="I3531" i="1"/>
  <c r="AT2446" i="1"/>
  <c r="Q2392" i="1"/>
  <c r="AT2537" i="1"/>
  <c r="D3218" i="1"/>
  <c r="D309" i="1"/>
  <c r="D3442" i="1"/>
  <c r="K1156" i="1"/>
  <c r="D2037" i="1"/>
  <c r="AT299" i="1"/>
  <c r="D3185" i="1"/>
  <c r="M47" i="1"/>
  <c r="O1531" i="1"/>
  <c r="N3622" i="1"/>
  <c r="U1581" i="1"/>
  <c r="O2177" i="1"/>
  <c r="P2784" i="1"/>
  <c r="U858" i="1"/>
  <c r="U1474" i="1"/>
  <c r="J2746" i="1"/>
  <c r="D2814" i="1"/>
  <c r="O148" i="1"/>
  <c r="M1932" i="1"/>
  <c r="AT3082" i="1"/>
  <c r="D1561" i="1"/>
  <c r="AT1905" i="1"/>
  <c r="D1638" i="1"/>
  <c r="D402" i="1"/>
  <c r="I464" i="1"/>
  <c r="P2588" i="1"/>
  <c r="N1240" i="1"/>
  <c r="AT3005" i="1"/>
  <c r="J1431" i="1"/>
  <c r="P2220" i="1"/>
  <c r="N1871" i="1"/>
  <c r="AT588" i="1"/>
  <c r="D3503" i="1"/>
  <c r="Q2566" i="1"/>
  <c r="N2388" i="1"/>
  <c r="N1409" i="1"/>
  <c r="D1962" i="1"/>
  <c r="AT661" i="1"/>
  <c r="P842" i="1"/>
  <c r="Q1720" i="1"/>
  <c r="Q938" i="1"/>
  <c r="D3107" i="1"/>
  <c r="P3636" i="1"/>
  <c r="O749" i="1"/>
  <c r="J1594" i="1"/>
  <c r="M1748" i="1"/>
  <c r="Q887" i="1"/>
  <c r="J3198" i="1"/>
  <c r="U213" i="1"/>
  <c r="P2333" i="1"/>
  <c r="I1553" i="1"/>
  <c r="AT3228" i="1"/>
  <c r="D1271" i="1"/>
  <c r="AT3232" i="1"/>
  <c r="P589" i="1"/>
  <c r="J1913" i="1"/>
  <c r="P1272" i="1"/>
  <c r="H3356" i="1"/>
  <c r="D1101" i="1"/>
  <c r="D2190" i="1"/>
  <c r="K488" i="1"/>
  <c r="M2884" i="1"/>
  <c r="I1130" i="1"/>
  <c r="AT2217" i="1"/>
  <c r="U1154" i="1"/>
  <c r="D2618" i="1"/>
  <c r="H112" i="1"/>
  <c r="N2475" i="1"/>
  <c r="D2650" i="1"/>
  <c r="I2207" i="1"/>
  <c r="M523" i="1"/>
  <c r="I999" i="1"/>
  <c r="N589" i="1"/>
  <c r="J1055" i="1"/>
  <c r="I439" i="1"/>
  <c r="O641" i="1"/>
  <c r="N3459" i="1"/>
  <c r="Q3412" i="1"/>
  <c r="AT1466" i="1"/>
  <c r="D1664" i="1"/>
  <c r="N508" i="1"/>
  <c r="K717" i="1"/>
  <c r="P3065" i="1"/>
  <c r="P778" i="1"/>
  <c r="M3105" i="1"/>
  <c r="K3297" i="1"/>
  <c r="I21" i="1"/>
  <c r="AT923" i="1"/>
  <c r="M2886" i="1"/>
  <c r="M1391" i="1"/>
  <c r="M138" i="1"/>
  <c r="K1057" i="1"/>
  <c r="D3043" i="1"/>
  <c r="D516" i="1"/>
  <c r="H3371" i="1"/>
  <c r="H1938" i="1"/>
  <c r="Q1311" i="1"/>
  <c r="Q2821" i="1"/>
  <c r="M2114" i="1"/>
  <c r="M2583" i="1"/>
  <c r="D145" i="1"/>
  <c r="AT2828" i="1"/>
  <c r="I620" i="1"/>
  <c r="J1539" i="1"/>
  <c r="H2778" i="1"/>
  <c r="H2976" i="1"/>
  <c r="J3626" i="1"/>
  <c r="N2714" i="1"/>
  <c r="M2685" i="1"/>
  <c r="M434" i="1"/>
  <c r="Q3167" i="1"/>
  <c r="Q2557" i="1"/>
  <c r="Q1398" i="1"/>
  <c r="M3313" i="1"/>
  <c r="AT1854" i="1"/>
  <c r="D55" i="1"/>
  <c r="H1459" i="1"/>
  <c r="M2003" i="1"/>
  <c r="I1141" i="1"/>
  <c r="Q3176" i="1"/>
  <c r="O1836" i="1"/>
  <c r="D2849" i="1"/>
  <c r="U767" i="1"/>
  <c r="J41" i="1"/>
  <c r="Q596" i="1"/>
  <c r="D1701" i="1"/>
  <c r="O1450" i="1"/>
  <c r="O3174" i="1"/>
  <c r="AT2374" i="1"/>
  <c r="P2972" i="1"/>
  <c r="D745" i="1"/>
  <c r="M1864" i="1"/>
  <c r="O1637" i="1"/>
  <c r="O1787" i="1"/>
  <c r="K2223" i="1"/>
  <c r="M1556" i="1"/>
  <c r="P47" i="1"/>
  <c r="Q682" i="1"/>
  <c r="O3512" i="1"/>
  <c r="N666" i="1"/>
  <c r="D2332" i="1"/>
  <c r="D1928" i="1"/>
  <c r="N827" i="1"/>
  <c r="AT2738" i="1"/>
  <c r="O3023" i="1"/>
  <c r="M2393" i="1"/>
  <c r="AT1971" i="1"/>
  <c r="D2924" i="1"/>
  <c r="Q480" i="1"/>
  <c r="AT129" i="1"/>
  <c r="D1350" i="1"/>
  <c r="Q2915" i="1"/>
  <c r="O1625" i="1"/>
  <c r="AT1158" i="1"/>
  <c r="O2141" i="1"/>
  <c r="I3304" i="1"/>
  <c r="P565" i="1"/>
  <c r="D2855" i="1"/>
  <c r="H1127" i="1"/>
  <c r="D2232" i="1"/>
  <c r="N2317" i="1"/>
  <c r="M877" i="1"/>
  <c r="AT3026" i="1"/>
  <c r="AT2669" i="1"/>
  <c r="D1374" i="1"/>
  <c r="AT2350" i="1"/>
  <c r="N2755" i="1"/>
  <c r="D2002" i="1"/>
  <c r="Q286" i="1"/>
  <c r="N1153" i="1"/>
  <c r="Q1561" i="1"/>
  <c r="AT1355" i="1"/>
  <c r="O96" i="1"/>
  <c r="O197" i="1"/>
  <c r="J1227" i="1"/>
  <c r="AT1257" i="1"/>
  <c r="O3" i="1"/>
  <c r="AT1728" i="1"/>
  <c r="D3046" i="1"/>
  <c r="O2259" i="1"/>
  <c r="P2450" i="1"/>
  <c r="N2597" i="1"/>
  <c r="I176" i="1"/>
  <c r="M1973" i="1"/>
  <c r="AT2002" i="1"/>
  <c r="H2962" i="1"/>
  <c r="AT2720" i="1"/>
  <c r="I1056" i="1"/>
  <c r="P873" i="1"/>
  <c r="P896" i="1"/>
  <c r="D2182" i="1"/>
  <c r="O2475" i="1"/>
  <c r="D1559" i="1"/>
  <c r="N235" i="1"/>
  <c r="P3428" i="1"/>
  <c r="P488" i="1"/>
  <c r="Q1152" i="1"/>
  <c r="P187" i="1"/>
  <c r="M1519" i="1"/>
  <c r="D2125" i="1"/>
  <c r="N1388" i="1"/>
  <c r="M166" i="1"/>
  <c r="U323" i="1"/>
  <c r="Q1348" i="1"/>
  <c r="K2410" i="1"/>
  <c r="AT2644" i="1"/>
  <c r="Q630" i="1"/>
  <c r="J1188" i="1"/>
  <c r="J2035" i="1"/>
  <c r="AT1860" i="1"/>
  <c r="J3521" i="1"/>
  <c r="U1957" i="1"/>
  <c r="U1604" i="1"/>
  <c r="N2048" i="1"/>
  <c r="J1931" i="1"/>
  <c r="Q2508" i="1"/>
  <c r="J1542" i="1"/>
  <c r="M130" i="1"/>
  <c r="N3637" i="1"/>
  <c r="O528" i="1"/>
  <c r="M1770" i="1"/>
  <c r="AT3241" i="1"/>
  <c r="M613" i="1"/>
  <c r="D1839" i="1"/>
  <c r="U2283" i="1"/>
  <c r="J1231" i="1"/>
  <c r="O2428" i="1"/>
  <c r="I1043" i="1"/>
  <c r="P538" i="1"/>
  <c r="AT1101" i="1"/>
  <c r="AT31" i="1"/>
  <c r="M1632" i="1"/>
  <c r="AT363" i="1"/>
  <c r="P3620" i="1"/>
  <c r="N1966" i="1"/>
  <c r="D2505" i="1"/>
  <c r="M1955" i="1"/>
  <c r="M2014" i="1"/>
  <c r="N1656" i="1"/>
  <c r="N2228" i="1"/>
  <c r="O3165" i="1"/>
  <c r="K1144" i="1"/>
  <c r="AT2666" i="1"/>
  <c r="U3140" i="1"/>
  <c r="N2432" i="1"/>
  <c r="M528" i="1"/>
  <c r="AT1028" i="1"/>
  <c r="O2364" i="1"/>
  <c r="Q1680" i="1"/>
  <c r="H3424" i="1"/>
  <c r="N387" i="1"/>
  <c r="D2753" i="1"/>
  <c r="N2518" i="1"/>
  <c r="O2012" i="1"/>
  <c r="Q2338" i="1"/>
  <c r="M750" i="1"/>
  <c r="N1701" i="1"/>
  <c r="M476" i="1"/>
  <c r="I730" i="1"/>
  <c r="P2491" i="1"/>
  <c r="D1385" i="1"/>
  <c r="Q3564" i="1"/>
  <c r="D275" i="1"/>
  <c r="N1504" i="1"/>
  <c r="U2105" i="1"/>
  <c r="D1515" i="1"/>
  <c r="N1419" i="1"/>
  <c r="P2460" i="1"/>
  <c r="O1325" i="1"/>
  <c r="K3478" i="1"/>
  <c r="P3503" i="1"/>
  <c r="AT2905" i="1"/>
  <c r="AT2460" i="1"/>
  <c r="N1710" i="1"/>
  <c r="D880" i="1"/>
  <c r="K2349" i="1"/>
  <c r="Q3541" i="1"/>
  <c r="D158" i="1"/>
  <c r="N2506" i="1"/>
  <c r="N422" i="1"/>
  <c r="M409" i="1"/>
  <c r="AT2802" i="1"/>
  <c r="M2087" i="1"/>
  <c r="P3145" i="1"/>
  <c r="I1134" i="1"/>
  <c r="P688" i="1"/>
  <c r="AT311" i="1"/>
  <c r="N20" i="1"/>
  <c r="H3029" i="1"/>
  <c r="O110" i="1"/>
  <c r="P3251" i="1"/>
  <c r="I1602" i="1"/>
  <c r="Q552" i="1"/>
  <c r="P639" i="1"/>
  <c r="Q827" i="1"/>
  <c r="Q2598" i="1"/>
  <c r="AT3456" i="1"/>
  <c r="P899" i="1"/>
  <c r="I3346" i="1"/>
  <c r="J1339" i="1"/>
  <c r="N2706" i="1"/>
  <c r="J1013" i="1"/>
  <c r="P558" i="1"/>
  <c r="O954" i="1"/>
  <c r="U2123" i="1"/>
  <c r="D1112" i="1"/>
  <c r="AT291" i="1"/>
  <c r="D2765" i="1"/>
  <c r="U1544" i="1"/>
  <c r="J2988" i="1"/>
  <c r="I784" i="1"/>
  <c r="K1056" i="1"/>
  <c r="Q2779" i="1"/>
  <c r="O2073" i="1"/>
  <c r="Q2809" i="1"/>
  <c r="M443" i="1"/>
  <c r="O2947" i="1"/>
  <c r="J3291" i="1"/>
  <c r="U1231" i="1"/>
  <c r="P2291" i="1"/>
  <c r="P2589" i="1"/>
  <c r="M2601" i="1"/>
  <c r="O1157" i="1"/>
  <c r="P1168" i="1"/>
  <c r="D3134" i="1"/>
  <c r="AT552" i="1"/>
  <c r="D2847" i="1"/>
  <c r="H1759" i="1"/>
  <c r="P2952" i="1"/>
  <c r="O2833" i="1"/>
  <c r="H106" i="1"/>
  <c r="P1439" i="1"/>
  <c r="M595" i="1"/>
  <c r="P862" i="1"/>
  <c r="U61" i="1"/>
  <c r="K1800" i="1"/>
  <c r="M232" i="1"/>
  <c r="D1373" i="1"/>
  <c r="I918" i="1"/>
  <c r="D3132" i="1"/>
  <c r="I1865" i="1"/>
  <c r="O598" i="1"/>
  <c r="U843" i="1"/>
  <c r="P1447" i="1"/>
  <c r="K2175" i="1"/>
  <c r="U3629" i="1"/>
  <c r="N779" i="1"/>
  <c r="O1139" i="1"/>
  <c r="P1221" i="1"/>
  <c r="N2461" i="1"/>
  <c r="D3596" i="1"/>
  <c r="P41" i="1"/>
  <c r="M1093" i="1"/>
  <c r="D1410" i="1"/>
  <c r="P2764" i="1"/>
  <c r="O1686" i="1"/>
  <c r="N1730" i="1"/>
  <c r="M2815" i="1"/>
  <c r="J631" i="1"/>
  <c r="N2213" i="1"/>
  <c r="M2467" i="1"/>
  <c r="K2449" i="1"/>
  <c r="P1740" i="1"/>
  <c r="P3045" i="1"/>
  <c r="M531" i="1"/>
  <c r="N2578" i="1"/>
  <c r="N1902" i="1"/>
  <c r="M1082" i="1"/>
  <c r="H76" i="1"/>
  <c r="O1626" i="1"/>
  <c r="J3270" i="1"/>
  <c r="O910" i="1"/>
  <c r="M590" i="1"/>
  <c r="N1572" i="1"/>
  <c r="D2443" i="1"/>
  <c r="U1737" i="1"/>
  <c r="AT1810" i="1"/>
  <c r="M969" i="1"/>
  <c r="K1518" i="1"/>
  <c r="U299" i="1"/>
  <c r="J1776" i="1"/>
  <c r="N3093" i="1"/>
  <c r="AT1853" i="1"/>
  <c r="O351" i="1"/>
  <c r="M1976" i="1"/>
  <c r="M460" i="1"/>
  <c r="Q2538" i="1"/>
  <c r="I988" i="1"/>
  <c r="D166" i="1"/>
  <c r="AT1648" i="1"/>
  <c r="N3505" i="1"/>
  <c r="M671" i="1"/>
  <c r="N3570" i="1"/>
  <c r="Q442" i="1"/>
  <c r="D1915" i="1"/>
  <c r="D481" i="1"/>
  <c r="J1386" i="1"/>
  <c r="J2570" i="1"/>
  <c r="K310" i="1"/>
  <c r="H2200" i="1"/>
  <c r="P904" i="1"/>
  <c r="H2776" i="1"/>
  <c r="P2367" i="1"/>
  <c r="N2169" i="1"/>
  <c r="K3411" i="1"/>
  <c r="AT902" i="1"/>
  <c r="D1744" i="1"/>
  <c r="U3078" i="1"/>
  <c r="H2740" i="1"/>
  <c r="AT2504" i="1"/>
  <c r="P1211" i="1"/>
  <c r="U3177" i="1"/>
  <c r="J3470" i="1"/>
  <c r="M2969" i="1"/>
  <c r="AT828" i="1"/>
  <c r="O2221" i="1"/>
  <c r="M1266" i="1"/>
  <c r="H3206" i="1"/>
  <c r="U517" i="1"/>
  <c r="D1837" i="1"/>
  <c r="I1666" i="1"/>
  <c r="N2549" i="1"/>
  <c r="AT3441" i="1"/>
  <c r="Q2067" i="1"/>
  <c r="AT475" i="1"/>
  <c r="D3381" i="1"/>
  <c r="Q2079" i="1"/>
  <c r="P2141" i="1"/>
  <c r="H2069" i="1"/>
  <c r="D3631" i="1"/>
  <c r="K2690" i="1"/>
  <c r="P3449" i="1"/>
  <c r="N1014" i="1"/>
  <c r="AT2597" i="1"/>
  <c r="U2366" i="1"/>
  <c r="I2610" i="1"/>
  <c r="AT716" i="1"/>
  <c r="I295" i="1"/>
  <c r="N359" i="1"/>
  <c r="N2650" i="1"/>
  <c r="Q3446" i="1"/>
  <c r="P317" i="1"/>
  <c r="O55" i="1"/>
  <c r="O743" i="1"/>
  <c r="N3008" i="1"/>
  <c r="Q1437" i="1"/>
  <c r="AT1595" i="1"/>
  <c r="M3325" i="1"/>
  <c r="AT1367" i="1"/>
  <c r="D3630" i="1"/>
  <c r="AT1673" i="1"/>
  <c r="D1767" i="1"/>
  <c r="H1117" i="1"/>
  <c r="P154" i="1"/>
  <c r="N1526" i="1"/>
  <c r="D2576" i="1"/>
  <c r="O818" i="1"/>
  <c r="N2772" i="1"/>
  <c r="I68" i="1"/>
  <c r="H2265" i="1"/>
  <c r="Q2482" i="1"/>
  <c r="AT954" i="1"/>
  <c r="AT2506" i="1"/>
  <c r="J2061" i="1"/>
  <c r="M85" i="1"/>
  <c r="D1011" i="1"/>
  <c r="N859" i="1"/>
  <c r="M1661" i="1"/>
  <c r="O752" i="1"/>
  <c r="N2969" i="1"/>
  <c r="O3020" i="1"/>
  <c r="AT2089" i="1"/>
  <c r="M3047" i="1"/>
  <c r="P161" i="1"/>
  <c r="AT1653" i="1"/>
  <c r="D3106" i="1"/>
  <c r="J312" i="1"/>
  <c r="D2158" i="1"/>
  <c r="U1285" i="1"/>
  <c r="N251" i="1"/>
  <c r="D350" i="1"/>
  <c r="M1812" i="1"/>
  <c r="N526" i="1"/>
  <c r="P2974" i="1"/>
  <c r="O2730" i="1"/>
  <c r="AT427" i="1"/>
  <c r="P846" i="1"/>
  <c r="Q3363" i="1"/>
  <c r="Q3265" i="1"/>
  <c r="N3142" i="1"/>
  <c r="Q10" i="1"/>
  <c r="Q2209" i="1"/>
  <c r="AT3558" i="1"/>
  <c r="Q2511" i="1"/>
  <c r="H1946" i="1"/>
  <c r="O1456" i="1"/>
  <c r="K3018" i="1"/>
  <c r="U571" i="1"/>
  <c r="N2124" i="1"/>
  <c r="M1418" i="1"/>
  <c r="K2088" i="1"/>
  <c r="D2470" i="1"/>
  <c r="D1060" i="1"/>
  <c r="N3506" i="1"/>
  <c r="M746" i="1"/>
  <c r="Q3274" i="1"/>
  <c r="O1014" i="1"/>
  <c r="O2338" i="1"/>
  <c r="AT3295" i="1"/>
  <c r="M3041" i="1"/>
  <c r="N26" i="1"/>
  <c r="N1443" i="1"/>
  <c r="Q2861" i="1"/>
  <c r="N2218" i="1"/>
  <c r="AT2877" i="1"/>
  <c r="O199" i="1"/>
  <c r="P123" i="1"/>
  <c r="K42" i="1"/>
  <c r="P1790" i="1"/>
  <c r="P2874" i="1"/>
  <c r="Q2321" i="1"/>
  <c r="N2113" i="1"/>
  <c r="M3410" i="1"/>
  <c r="I3576" i="1"/>
  <c r="AT1877" i="1"/>
  <c r="Q2680" i="1"/>
  <c r="AT1467" i="1"/>
  <c r="U909" i="1"/>
  <c r="N1594" i="1"/>
  <c r="P2494" i="1"/>
  <c r="Q754" i="1"/>
  <c r="M2913" i="1"/>
  <c r="U3404" i="1"/>
  <c r="D2322" i="1"/>
  <c r="D2069" i="1"/>
  <c r="D473" i="1"/>
  <c r="O1856" i="1"/>
  <c r="N1633" i="1"/>
  <c r="H2571" i="1"/>
  <c r="AT3354" i="1"/>
  <c r="Q1637" i="1"/>
  <c r="O344" i="1"/>
  <c r="I1314" i="1"/>
  <c r="D903" i="1"/>
  <c r="Q967" i="1"/>
  <c r="AT2749" i="1"/>
  <c r="AT2768" i="1"/>
  <c r="O1884" i="1"/>
  <c r="M1794" i="1"/>
  <c r="M2971" i="1"/>
  <c r="P2500" i="1"/>
  <c r="O2542" i="1"/>
  <c r="O3276" i="1"/>
  <c r="Q119" i="1"/>
  <c r="M600" i="1"/>
  <c r="D1992" i="1"/>
  <c r="D3385" i="1"/>
  <c r="D24" i="1"/>
  <c r="I850" i="1"/>
  <c r="U2242" i="1"/>
  <c r="N3438" i="1"/>
  <c r="J608" i="1"/>
  <c r="U2487" i="1"/>
  <c r="K664" i="1"/>
  <c r="M1735" i="1"/>
  <c r="K2556" i="1"/>
  <c r="N2542" i="1"/>
  <c r="H1245" i="1"/>
  <c r="M3113" i="1"/>
  <c r="O946" i="1"/>
  <c r="N502" i="1"/>
  <c r="Q2044" i="1"/>
  <c r="J2814" i="1"/>
  <c r="N591" i="1"/>
  <c r="N513" i="1"/>
  <c r="J2541" i="1"/>
  <c r="M3352" i="1"/>
  <c r="P3067" i="1"/>
  <c r="O2144" i="1"/>
  <c r="AT3627" i="1"/>
  <c r="N803" i="1"/>
  <c r="U3117" i="1"/>
  <c r="I1324" i="1"/>
  <c r="I1680" i="1"/>
  <c r="Q1514" i="1"/>
  <c r="Q1638" i="1"/>
  <c r="N231" i="1"/>
  <c r="O3541" i="1"/>
  <c r="P867" i="1"/>
  <c r="Q1424" i="1"/>
  <c r="M491" i="1"/>
  <c r="D1342" i="1"/>
  <c r="Q812" i="1"/>
  <c r="K471" i="1"/>
  <c r="D3536" i="1"/>
  <c r="P1800" i="1"/>
  <c r="M2586" i="1"/>
  <c r="AT3116" i="1"/>
  <c r="O2024" i="1"/>
  <c r="H3323" i="1"/>
  <c r="U2174" i="1"/>
  <c r="D2943" i="1"/>
  <c r="H2822" i="1"/>
  <c r="I1255" i="1"/>
  <c r="Q2202" i="1"/>
  <c r="D2717" i="1"/>
  <c r="Q5" i="1"/>
  <c r="J1975" i="1"/>
  <c r="M1945" i="1"/>
  <c r="Q414" i="1"/>
  <c r="M3261" i="1"/>
  <c r="O3587" i="1"/>
  <c r="U45" i="1"/>
  <c r="P1169" i="1"/>
  <c r="M230" i="1"/>
  <c r="P496" i="1"/>
  <c r="P2368" i="1"/>
  <c r="Q2182" i="1"/>
  <c r="D3015" i="1"/>
  <c r="O1333" i="1"/>
  <c r="U478" i="1"/>
  <c r="Q3457" i="1"/>
  <c r="O2002" i="1"/>
  <c r="K944" i="1"/>
  <c r="D1597" i="1"/>
  <c r="O754" i="1"/>
  <c r="M2339" i="1"/>
  <c r="U340" i="1"/>
  <c r="AT574" i="1"/>
  <c r="Q1856" i="1"/>
  <c r="P3194" i="1"/>
  <c r="M2841" i="1"/>
  <c r="N1515" i="1"/>
  <c r="Q1206" i="1"/>
  <c r="U2131" i="1"/>
  <c r="H2445" i="1"/>
  <c r="N1480" i="1"/>
  <c r="D2568" i="1"/>
  <c r="U1480" i="1"/>
  <c r="M1629" i="1"/>
  <c r="N2694" i="1"/>
  <c r="D1321" i="1"/>
  <c r="Q1012" i="1"/>
  <c r="AT15" i="1"/>
  <c r="U1429" i="1"/>
  <c r="M2976" i="1"/>
  <c r="O1236" i="1"/>
  <c r="AT2422" i="1"/>
  <c r="N3309" i="1"/>
  <c r="O2746" i="1"/>
  <c r="I2236" i="1"/>
  <c r="U2866" i="1"/>
  <c r="D3321" i="1"/>
  <c r="D2469" i="1"/>
  <c r="N357" i="1"/>
  <c r="N3419" i="1"/>
  <c r="D230" i="1"/>
  <c r="Q672" i="1"/>
  <c r="D1013" i="1"/>
  <c r="I2818" i="1"/>
  <c r="M3109" i="1"/>
  <c r="U2839" i="1"/>
  <c r="Q1846" i="1"/>
  <c r="O2565" i="1"/>
  <c r="M1023" i="1"/>
  <c r="H343" i="1"/>
  <c r="P2485" i="1"/>
  <c r="I1317" i="1"/>
  <c r="P3462" i="1"/>
  <c r="D1852" i="1"/>
  <c r="Q1120" i="1"/>
  <c r="D2681" i="1"/>
  <c r="U2971" i="1"/>
  <c r="Q3144" i="1"/>
  <c r="Q939" i="1"/>
  <c r="N2912" i="1"/>
  <c r="P1782" i="1"/>
  <c r="N116" i="1"/>
  <c r="N1042" i="1"/>
  <c r="U1091" i="1"/>
  <c r="N3640" i="1"/>
  <c r="AT1376" i="1"/>
  <c r="U3212" i="1"/>
  <c r="AT2553" i="1"/>
  <c r="I525" i="1"/>
  <c r="N2160" i="1"/>
  <c r="H2212" i="1"/>
  <c r="P2507" i="1"/>
  <c r="Q3082" i="1"/>
  <c r="AT3448" i="1"/>
  <c r="P364" i="1"/>
  <c r="J88" i="1"/>
  <c r="M2526" i="1"/>
  <c r="D1675" i="1"/>
  <c r="M2496" i="1"/>
  <c r="M1413" i="1"/>
  <c r="U1093" i="1"/>
  <c r="U1276" i="1"/>
  <c r="P2008" i="1"/>
  <c r="O1030" i="1"/>
  <c r="D3487" i="1"/>
  <c r="AT667" i="1"/>
  <c r="N107" i="1"/>
  <c r="I1911" i="1"/>
  <c r="J575" i="1"/>
  <c r="AT614" i="1"/>
  <c r="H756" i="1"/>
  <c r="O1833" i="1"/>
  <c r="D2735" i="1"/>
  <c r="D2147" i="1"/>
  <c r="O1448" i="1"/>
  <c r="AT2046" i="1"/>
  <c r="AT2788" i="1"/>
  <c r="H598" i="1"/>
  <c r="Q2137" i="1"/>
  <c r="P665" i="1"/>
  <c r="N1209" i="1"/>
  <c r="P562" i="1"/>
  <c r="M1376" i="1"/>
  <c r="H3269" i="1"/>
  <c r="P447" i="1"/>
  <c r="AT2051" i="1"/>
  <c r="N2152" i="1"/>
  <c r="O2567" i="1"/>
  <c r="H3285" i="1"/>
  <c r="K3398" i="1"/>
  <c r="P2445" i="1"/>
  <c r="N2222" i="1"/>
  <c r="D2066" i="1"/>
  <c r="I914" i="1"/>
  <c r="Q3555" i="1"/>
  <c r="I937" i="1"/>
  <c r="H2675" i="1"/>
  <c r="AT413" i="1"/>
  <c r="Q99" i="1"/>
  <c r="Q2659" i="1"/>
  <c r="K2231" i="1"/>
  <c r="U538" i="1"/>
  <c r="D692" i="1"/>
  <c r="H520" i="1"/>
  <c r="U238" i="1"/>
  <c r="N2470" i="1"/>
  <c r="AT1887" i="1"/>
  <c r="AT2242" i="1"/>
  <c r="J1435" i="1"/>
  <c r="P771" i="1"/>
  <c r="M2501" i="1"/>
  <c r="AT759" i="1"/>
  <c r="I3089" i="1"/>
  <c r="Q1513" i="1"/>
  <c r="D1613" i="1"/>
  <c r="N2794" i="1"/>
  <c r="AT3585" i="1"/>
  <c r="J2869" i="1"/>
  <c r="N879" i="1"/>
  <c r="P1882" i="1"/>
  <c r="M3330" i="1"/>
  <c r="D822" i="1"/>
  <c r="M1339" i="1"/>
  <c r="P641" i="1"/>
  <c r="H3057" i="1"/>
  <c r="M2025" i="1"/>
  <c r="Q2492" i="1"/>
  <c r="Q1838" i="1"/>
  <c r="AT83" i="1"/>
  <c r="M916" i="1"/>
  <c r="U2258" i="1"/>
  <c r="I1697" i="1"/>
  <c r="Q2945" i="1"/>
  <c r="M353" i="1"/>
  <c r="AT1176" i="1"/>
  <c r="Q1937" i="1"/>
  <c r="Q3575" i="1"/>
  <c r="AT2008" i="1"/>
  <c r="O2094" i="1"/>
  <c r="M910" i="1"/>
  <c r="M1317" i="1"/>
  <c r="N2960" i="1"/>
  <c r="U3535" i="1"/>
  <c r="I2718" i="1"/>
  <c r="K1756" i="1"/>
  <c r="Q191" i="1"/>
  <c r="Q3471" i="1"/>
  <c r="D3556" i="1"/>
  <c r="Q1700" i="1"/>
  <c r="N2832" i="1"/>
  <c r="M3085" i="1"/>
  <c r="U691" i="1"/>
  <c r="AT2436" i="1"/>
  <c r="D928" i="1"/>
  <c r="Q3068" i="1"/>
  <c r="K362" i="1"/>
  <c r="D1293" i="1"/>
  <c r="P2800" i="1"/>
  <c r="U3506" i="1"/>
  <c r="O1463" i="1"/>
  <c r="N2681" i="1"/>
  <c r="D2403" i="1"/>
  <c r="U1618" i="1"/>
  <c r="K1484" i="1"/>
  <c r="M2521" i="1"/>
  <c r="I3220" i="1"/>
  <c r="O22" i="1"/>
  <c r="N1024" i="1"/>
  <c r="U3559" i="1"/>
  <c r="N1840" i="1"/>
  <c r="N979" i="1"/>
  <c r="D527" i="1"/>
  <c r="M1563" i="1"/>
  <c r="U3432" i="1"/>
  <c r="O1159" i="1"/>
  <c r="O1611" i="1"/>
  <c r="D3505" i="1"/>
  <c r="M2664" i="1"/>
  <c r="I1630" i="1"/>
  <c r="H1067" i="1"/>
  <c r="O2829" i="1"/>
  <c r="I177" i="1"/>
  <c r="P2069" i="1"/>
  <c r="J3181" i="1"/>
  <c r="N3156" i="1"/>
  <c r="O1121" i="1"/>
  <c r="J637" i="1"/>
  <c r="AT1240" i="1"/>
  <c r="D1468" i="1"/>
  <c r="U2736" i="1"/>
  <c r="N1647" i="1"/>
  <c r="D208" i="1"/>
  <c r="D3204" i="1"/>
  <c r="D2395" i="1"/>
  <c r="M592" i="1"/>
  <c r="I2273" i="1"/>
  <c r="D1008" i="1"/>
  <c r="D2963" i="1"/>
  <c r="U1552" i="1"/>
  <c r="D2643" i="1"/>
  <c r="N2241" i="1"/>
  <c r="O2359" i="1"/>
  <c r="AT355" i="1"/>
  <c r="Q2410" i="1"/>
  <c r="M1874" i="1"/>
  <c r="I3204" i="1"/>
  <c r="I3492" i="1"/>
  <c r="J954" i="1"/>
  <c r="Q1254" i="1"/>
  <c r="J1878" i="1"/>
  <c r="P1037" i="1"/>
  <c r="K3067" i="1"/>
  <c r="AT2145" i="1"/>
  <c r="AT2300" i="1"/>
  <c r="P2612" i="1"/>
  <c r="P1152" i="1"/>
  <c r="N57" i="1"/>
  <c r="P2155" i="1"/>
  <c r="M356" i="1"/>
  <c r="D1310" i="1"/>
  <c r="O2660" i="1"/>
  <c r="O3366" i="1"/>
  <c r="U593" i="1"/>
  <c r="D3166" i="1"/>
  <c r="Q1668" i="1"/>
  <c r="D329" i="1"/>
  <c r="AT2301" i="1"/>
  <c r="J709" i="1"/>
  <c r="H797" i="1"/>
  <c r="U3" i="1"/>
  <c r="AT2163" i="1"/>
  <c r="AT1350" i="1"/>
  <c r="AT40" i="1"/>
  <c r="O2902" i="1"/>
  <c r="P2646" i="1"/>
  <c r="N206" i="1"/>
  <c r="O2018" i="1"/>
  <c r="P1965" i="1"/>
  <c r="Q1473" i="1"/>
  <c r="P628" i="1"/>
  <c r="Q1729" i="1"/>
  <c r="P1672" i="1"/>
  <c r="J2408" i="1"/>
  <c r="D1074" i="1"/>
  <c r="D3025" i="1"/>
  <c r="N3039" i="1"/>
  <c r="M1386" i="1"/>
  <c r="N2552" i="1"/>
  <c r="M2241" i="1"/>
  <c r="K1488" i="1"/>
  <c r="Q1092" i="1"/>
  <c r="N2052" i="1"/>
  <c r="D1022" i="1"/>
  <c r="Q3269" i="1"/>
  <c r="P1592" i="1"/>
  <c r="M3328" i="1"/>
  <c r="P939" i="1"/>
  <c r="D1566" i="1"/>
  <c r="D132" i="1"/>
  <c r="Q2115" i="1"/>
  <c r="M3065" i="1"/>
  <c r="Q2315" i="1"/>
  <c r="U2527" i="1"/>
  <c r="N2081" i="1"/>
  <c r="D1279" i="1"/>
  <c r="U2607" i="1"/>
  <c r="N1219" i="1"/>
  <c r="U70" i="1"/>
  <c r="P3090" i="1"/>
  <c r="O2201" i="1"/>
  <c r="N2125" i="1"/>
  <c r="P717" i="1"/>
  <c r="AT541" i="1"/>
  <c r="O693" i="1"/>
  <c r="P2792" i="1"/>
  <c r="M2258" i="1"/>
  <c r="N872" i="1"/>
  <c r="Q203" i="1"/>
  <c r="AT375" i="1"/>
  <c r="N1199" i="1"/>
  <c r="AT1335" i="1"/>
  <c r="P2837" i="1"/>
  <c r="M1732" i="1"/>
  <c r="J3124" i="1"/>
  <c r="H321" i="1"/>
  <c r="AT270" i="1"/>
  <c r="M1957" i="1"/>
  <c r="K2059" i="1"/>
  <c r="AT117" i="1"/>
  <c r="N2901" i="1"/>
  <c r="AT2917" i="1"/>
  <c r="N1252" i="1"/>
  <c r="M1648" i="1"/>
  <c r="M158" i="1"/>
  <c r="O2646" i="1"/>
  <c r="D1779" i="1"/>
  <c r="O1395" i="1"/>
  <c r="U1833" i="1"/>
  <c r="N3572" i="1"/>
  <c r="AT2798" i="1"/>
  <c r="I1867" i="1"/>
  <c r="U1110" i="1"/>
  <c r="O2479" i="1"/>
  <c r="I312" i="1"/>
  <c r="AT3375" i="1"/>
  <c r="U2691" i="1"/>
  <c r="U3322" i="1"/>
  <c r="P345" i="1"/>
  <c r="H284" i="1"/>
  <c r="N3244" i="1"/>
  <c r="AT1517" i="1"/>
  <c r="N320" i="1"/>
  <c r="AT507" i="1"/>
  <c r="H2225" i="1"/>
  <c r="AT2928" i="1"/>
  <c r="N2575" i="1"/>
  <c r="N1892" i="1"/>
  <c r="J422" i="1"/>
  <c r="M3133" i="1"/>
  <c r="N3125" i="1"/>
  <c r="D58" i="1"/>
  <c r="N3020" i="1"/>
  <c r="AT2400" i="1"/>
  <c r="K3292" i="1"/>
  <c r="D1105" i="1"/>
  <c r="K2975" i="1"/>
  <c r="D1297" i="1"/>
  <c r="N3611" i="1"/>
  <c r="AT3194" i="1"/>
  <c r="J3062" i="1"/>
  <c r="N1530" i="1"/>
  <c r="M2405" i="1"/>
  <c r="M103" i="1"/>
  <c r="J2676" i="1"/>
  <c r="U1708" i="1"/>
  <c r="AT23" i="1"/>
  <c r="O882" i="1"/>
  <c r="P1785" i="1"/>
  <c r="O2754" i="1"/>
  <c r="H3418" i="1"/>
  <c r="I1310" i="1"/>
  <c r="O3162" i="1"/>
  <c r="J2906" i="1"/>
  <c r="D3629" i="1"/>
  <c r="AT1019" i="1"/>
  <c r="N1994" i="1"/>
  <c r="D3570" i="1"/>
  <c r="D3031" i="1"/>
  <c r="N311" i="1"/>
  <c r="AT2618" i="1"/>
  <c r="H567" i="1"/>
  <c r="O1882" i="1"/>
  <c r="D3096" i="1"/>
  <c r="D845" i="1"/>
  <c r="H934" i="1"/>
  <c r="U2963" i="1"/>
  <c r="M1043" i="1"/>
  <c r="H1253" i="1"/>
  <c r="M1285" i="1"/>
  <c r="M1461" i="1"/>
  <c r="D2709" i="1"/>
  <c r="AT139" i="1"/>
  <c r="D834" i="1"/>
  <c r="P1687" i="1"/>
  <c r="J2316" i="1"/>
  <c r="O2503" i="1"/>
  <c r="M2413" i="1"/>
  <c r="M1007" i="1"/>
  <c r="H2749" i="1"/>
  <c r="P2265" i="1"/>
  <c r="I2604" i="1"/>
  <c r="N2084" i="1"/>
  <c r="N750" i="1"/>
  <c r="AT1599" i="1"/>
  <c r="U1377" i="1"/>
  <c r="I2802" i="1"/>
  <c r="K1895" i="1"/>
  <c r="I3446" i="1"/>
  <c r="O1028" i="1"/>
  <c r="AT2028" i="1"/>
  <c r="N692" i="1"/>
  <c r="O1007" i="1"/>
  <c r="D1382" i="1"/>
  <c r="M1718" i="1"/>
  <c r="H1316" i="1"/>
  <c r="O885" i="1"/>
  <c r="AT1060" i="1"/>
  <c r="M2354" i="1"/>
  <c r="U2985" i="1"/>
  <c r="AT2675" i="1"/>
  <c r="U306" i="1"/>
  <c r="I22" i="1"/>
  <c r="M1968" i="1"/>
  <c r="Q3179" i="1"/>
  <c r="P1302" i="1"/>
  <c r="H1774" i="1"/>
  <c r="D2920" i="1"/>
  <c r="M1509" i="1"/>
  <c r="D3422" i="1"/>
  <c r="D2432" i="1"/>
  <c r="N1789" i="1"/>
  <c r="P3527" i="1"/>
  <c r="AT2640" i="1"/>
  <c r="M3021" i="1"/>
  <c r="Q12" i="1"/>
  <c r="M835" i="1"/>
  <c r="AT350" i="1"/>
  <c r="U107" i="1"/>
  <c r="U3221" i="1"/>
  <c r="AT1157" i="1"/>
  <c r="Q1015" i="1"/>
  <c r="N2025" i="1"/>
  <c r="N2112" i="1"/>
  <c r="U1149" i="1"/>
  <c r="AT2668" i="1"/>
  <c r="D510" i="1"/>
  <c r="AT2637" i="1"/>
  <c r="N2972" i="1"/>
  <c r="K263" i="1"/>
  <c r="M1899" i="1"/>
  <c r="H2511" i="1"/>
  <c r="N3321" i="1"/>
  <c r="N2117" i="1"/>
  <c r="Q251" i="1"/>
  <c r="I2035" i="1"/>
  <c r="J1677" i="1"/>
  <c r="U1550" i="1"/>
  <c r="I1284" i="1"/>
  <c r="I550" i="1"/>
  <c r="AT3457" i="1"/>
  <c r="AT3580" i="1"/>
  <c r="Q3287" i="1"/>
  <c r="D1094" i="1"/>
  <c r="Q1002" i="1"/>
  <c r="D2217" i="1"/>
  <c r="H1608" i="1"/>
  <c r="O1693" i="1"/>
  <c r="AT3192" i="1"/>
  <c r="K3519" i="1"/>
  <c r="AT2231" i="1"/>
  <c r="O63" i="1"/>
  <c r="H2418" i="1"/>
  <c r="Q1445" i="1"/>
  <c r="U1402" i="1"/>
  <c r="M2175" i="1"/>
  <c r="P3500" i="1"/>
  <c r="P3573" i="1"/>
  <c r="P1550" i="1"/>
  <c r="D2318" i="1"/>
  <c r="U1971" i="1"/>
  <c r="M3082" i="1"/>
  <c r="I1622" i="1"/>
  <c r="AT1865" i="1"/>
  <c r="AT1546" i="1"/>
  <c r="O3201" i="1"/>
  <c r="AT82" i="1"/>
  <c r="U2976" i="1"/>
  <c r="H2814" i="1"/>
  <c r="D2662" i="1"/>
  <c r="I1408" i="1"/>
  <c r="D3247" i="1"/>
  <c r="U2671" i="1"/>
  <c r="P755" i="1"/>
  <c r="U658" i="1"/>
  <c r="AT428" i="1"/>
  <c r="M342" i="1"/>
  <c r="H1900" i="1"/>
  <c r="P1136" i="1"/>
  <c r="AT1464" i="1"/>
  <c r="AT2929" i="1"/>
  <c r="U2758" i="1"/>
  <c r="K2951" i="1"/>
  <c r="P3461" i="1"/>
  <c r="O875" i="1"/>
  <c r="P16" i="1"/>
  <c r="J984" i="1"/>
  <c r="O2277" i="1"/>
  <c r="N176" i="1"/>
  <c r="AT2922" i="1"/>
  <c r="M181" i="1"/>
  <c r="D3030" i="1"/>
  <c r="AT3308" i="1"/>
  <c r="O1636" i="1"/>
  <c r="Q688" i="1"/>
  <c r="N67" i="1"/>
  <c r="AT987" i="1"/>
  <c r="AT1917" i="1"/>
  <c r="D578" i="1"/>
  <c r="J1968" i="1"/>
  <c r="D1661" i="1"/>
  <c r="O492" i="1"/>
  <c r="J2195" i="1"/>
  <c r="P658" i="1"/>
  <c r="P2739" i="1"/>
  <c r="O557" i="1"/>
  <c r="M3215" i="1"/>
  <c r="U836" i="1"/>
  <c r="D744" i="1"/>
  <c r="N1302" i="1"/>
  <c r="D1794" i="1"/>
  <c r="N924" i="1"/>
  <c r="N3595" i="1"/>
  <c r="N791" i="1"/>
  <c r="J879" i="1"/>
  <c r="D1818" i="1"/>
  <c r="O1449" i="1"/>
  <c r="I3188" i="1"/>
  <c r="D682" i="1"/>
  <c r="O3421" i="1"/>
  <c r="P3144" i="1"/>
  <c r="D1479" i="1"/>
  <c r="O1162" i="1"/>
  <c r="Q1123" i="1"/>
  <c r="M328" i="1"/>
  <c r="P3275" i="1"/>
  <c r="M3483" i="1"/>
  <c r="O1417" i="1"/>
  <c r="D1679" i="1"/>
  <c r="AT2945" i="1"/>
  <c r="N2564" i="1"/>
  <c r="N80" i="1"/>
  <c r="AT1346" i="1"/>
  <c r="D2960" i="1"/>
  <c r="AT2029" i="1"/>
  <c r="K2419" i="1"/>
  <c r="U2237" i="1"/>
  <c r="Q1644" i="1"/>
  <c r="I2232" i="1"/>
  <c r="K529" i="1"/>
  <c r="Q1609" i="1"/>
  <c r="Q1365" i="1"/>
  <c r="AT78" i="1"/>
  <c r="Q196" i="1"/>
  <c r="I23" i="1"/>
  <c r="Q1942" i="1"/>
  <c r="M2849" i="1"/>
  <c r="M1337" i="1"/>
  <c r="M2121" i="1"/>
  <c r="Q3286" i="1"/>
  <c r="P1409" i="1"/>
  <c r="I3105" i="1"/>
  <c r="H1829" i="1"/>
  <c r="Q2404" i="1"/>
  <c r="O1181" i="1"/>
  <c r="N555" i="1"/>
  <c r="U2946" i="1"/>
  <c r="J75" i="1"/>
  <c r="I992" i="1"/>
  <c r="M363" i="1"/>
  <c r="O65" i="1"/>
  <c r="N3363" i="1"/>
  <c r="P860" i="1"/>
  <c r="U3072" i="1"/>
  <c r="AT1369" i="1"/>
  <c r="D696" i="1"/>
  <c r="I636" i="1"/>
  <c r="P1717" i="1"/>
  <c r="M522" i="1"/>
  <c r="Q508" i="1"/>
  <c r="U2525" i="1"/>
  <c r="U165" i="1"/>
  <c r="H1361" i="1"/>
  <c r="Q739" i="1"/>
  <c r="D705" i="1"/>
  <c r="D2573" i="1"/>
  <c r="K1542" i="1"/>
  <c r="M1302" i="1"/>
  <c r="O508" i="1"/>
  <c r="H2635" i="1"/>
  <c r="AT1008" i="1"/>
  <c r="I3040" i="1"/>
  <c r="P2618" i="1"/>
  <c r="O2667" i="1"/>
  <c r="N2541" i="1"/>
  <c r="AT436" i="1"/>
  <c r="AT381" i="1"/>
  <c r="AT3190" i="1"/>
  <c r="J2783" i="1"/>
  <c r="H3235" i="1"/>
  <c r="D3318" i="1"/>
  <c r="N2136" i="1"/>
  <c r="Q1058" i="1"/>
  <c r="I1903" i="1"/>
  <c r="Q620" i="1"/>
  <c r="M55" i="1"/>
  <c r="AT1395" i="1"/>
  <c r="AT3587" i="1"/>
  <c r="I2659" i="1"/>
  <c r="I2416" i="1"/>
  <c r="U367" i="1"/>
  <c r="N78" i="1"/>
  <c r="N729" i="1"/>
  <c r="K343" i="1"/>
  <c r="N3596" i="1"/>
  <c r="N3414" i="1"/>
  <c r="AT2662" i="1"/>
  <c r="U557" i="1"/>
  <c r="O3044" i="1"/>
  <c r="N3602" i="1"/>
  <c r="I1326" i="1"/>
  <c r="N2674" i="1"/>
  <c r="P3411" i="1"/>
  <c r="M1848" i="1"/>
  <c r="D1603" i="1"/>
  <c r="D1595" i="1"/>
  <c r="AT1294" i="1"/>
  <c r="M1356" i="1"/>
  <c r="M803" i="1"/>
  <c r="O3055" i="1"/>
  <c r="P1210" i="1"/>
  <c r="N2833" i="1"/>
  <c r="P1249" i="1"/>
  <c r="D3372" i="1"/>
  <c r="D2288" i="1"/>
  <c r="H1889" i="1"/>
  <c r="P631" i="1"/>
  <c r="D2486" i="1"/>
  <c r="AT2800" i="1"/>
  <c r="Q2268" i="1"/>
  <c r="N1566" i="1"/>
  <c r="H1099" i="1"/>
  <c r="I2753" i="1"/>
  <c r="I241" i="1"/>
  <c r="O2740" i="1"/>
  <c r="D859" i="1"/>
  <c r="K464" i="1"/>
  <c r="O2884" i="1"/>
  <c r="U2669" i="1"/>
  <c r="AT2124" i="1"/>
  <c r="I3158" i="1"/>
  <c r="N1967" i="1"/>
  <c r="O2478" i="1"/>
  <c r="M1484" i="1"/>
  <c r="AT2276" i="1"/>
  <c r="P3203" i="1"/>
  <c r="K2887" i="1"/>
  <c r="U2779" i="1"/>
  <c r="H2439" i="1"/>
  <c r="M2933" i="1"/>
  <c r="M1134" i="1"/>
  <c r="Q840" i="1"/>
  <c r="N3112" i="1"/>
  <c r="O2936" i="1"/>
  <c r="J859" i="1"/>
  <c r="M1067" i="1"/>
  <c r="N1278" i="1"/>
  <c r="O2726" i="1"/>
  <c r="K2016" i="1"/>
  <c r="N417" i="1"/>
  <c r="M937" i="1"/>
  <c r="H2600" i="1"/>
  <c r="D3241" i="1"/>
  <c r="D554" i="1"/>
  <c r="O3450" i="1"/>
  <c r="I3048" i="1"/>
  <c r="J1074" i="1"/>
  <c r="Q2322" i="1"/>
  <c r="J39" i="1"/>
  <c r="O2423" i="1"/>
  <c r="D433" i="1"/>
  <c r="AT86" i="1"/>
  <c r="Q372" i="1"/>
  <c r="M3225" i="1"/>
  <c r="P1400" i="1"/>
  <c r="N384" i="1"/>
  <c r="O3461" i="1"/>
  <c r="AT282" i="1"/>
  <c r="H3059" i="1"/>
  <c r="M92" i="1"/>
  <c r="H3509" i="1"/>
  <c r="I347" i="1"/>
  <c r="O1646" i="1"/>
  <c r="O1711" i="1"/>
  <c r="O1234" i="1"/>
  <c r="D962" i="1"/>
  <c r="I1783" i="1"/>
  <c r="H2755" i="1"/>
  <c r="D1335" i="1"/>
  <c r="I3253" i="1"/>
  <c r="N920" i="1"/>
  <c r="O1672" i="1"/>
  <c r="N660" i="1"/>
  <c r="U2940" i="1"/>
  <c r="K285" i="1"/>
  <c r="O2505" i="1"/>
  <c r="AT3153" i="1"/>
  <c r="I985" i="1"/>
  <c r="D1793" i="1"/>
  <c r="AT2066" i="1"/>
  <c r="AT645" i="1"/>
  <c r="N2004" i="1"/>
  <c r="P1040" i="1"/>
  <c r="AT834" i="1"/>
  <c r="M3569" i="1"/>
  <c r="O2739" i="1"/>
  <c r="N2761" i="1"/>
  <c r="O2600" i="1"/>
  <c r="O2016" i="1"/>
  <c r="N3628" i="1"/>
  <c r="H851" i="1"/>
  <c r="N1853" i="1"/>
  <c r="AT2709" i="1"/>
  <c r="M2695" i="1"/>
  <c r="Q275" i="1"/>
  <c r="D3543" i="1"/>
  <c r="AT1262" i="1"/>
  <c r="D1625" i="1"/>
  <c r="Q2069" i="1"/>
  <c r="AT2174" i="1"/>
  <c r="P200" i="1"/>
  <c r="D2436" i="1"/>
  <c r="O2872" i="1"/>
  <c r="M3223" i="1"/>
  <c r="H3172" i="1"/>
  <c r="N2139" i="1"/>
  <c r="AT1233" i="1"/>
  <c r="AT1189" i="1"/>
  <c r="K2058" i="1"/>
  <c r="AT655" i="1"/>
  <c r="J2390" i="1"/>
  <c r="M2881" i="1"/>
  <c r="H1240" i="1"/>
  <c r="D497" i="1"/>
  <c r="M565" i="1"/>
  <c r="J2012" i="1"/>
  <c r="J2810" i="1"/>
  <c r="P644" i="1"/>
  <c r="AT1218" i="1"/>
  <c r="J456" i="1"/>
  <c r="H3236" i="1"/>
  <c r="D542" i="1"/>
  <c r="H1018" i="1"/>
  <c r="U1856" i="1"/>
  <c r="K2478" i="1"/>
  <c r="P758" i="1"/>
  <c r="D2874" i="1"/>
  <c r="AT1545" i="1"/>
  <c r="D3544" i="1"/>
  <c r="H1272" i="1"/>
  <c r="I693" i="1"/>
  <c r="U549" i="1"/>
  <c r="H2921" i="1"/>
  <c r="U3552" i="1"/>
  <c r="M1436" i="1"/>
  <c r="U2512" i="1"/>
  <c r="N1001" i="1"/>
  <c r="M2955" i="1"/>
  <c r="H1180" i="1"/>
  <c r="U960" i="1"/>
  <c r="Q195" i="1"/>
  <c r="N394" i="1"/>
  <c r="N590" i="1"/>
  <c r="M644" i="1"/>
  <c r="Q282" i="1"/>
  <c r="H2099" i="1"/>
  <c r="AT2384" i="1"/>
  <c r="P1442" i="1"/>
  <c r="H726" i="1"/>
  <c r="U2516" i="1"/>
  <c r="I769" i="1"/>
  <c r="D2362" i="1"/>
  <c r="M1832" i="1"/>
  <c r="O1851" i="1"/>
  <c r="I2007" i="1"/>
  <c r="J420" i="1"/>
  <c r="M643" i="1"/>
  <c r="U1266" i="1"/>
  <c r="U1466" i="1"/>
  <c r="P2819" i="1"/>
  <c r="O2823" i="1"/>
  <c r="D2381" i="1"/>
  <c r="I593" i="1"/>
  <c r="U2114" i="1"/>
  <c r="U2009" i="1"/>
  <c r="U1035" i="1"/>
  <c r="AT1167" i="1"/>
  <c r="P1269" i="1"/>
  <c r="H2484" i="1"/>
  <c r="D2942" i="1"/>
  <c r="Q329" i="1"/>
  <c r="Q884" i="1"/>
  <c r="AT221" i="1"/>
  <c r="O986" i="1"/>
  <c r="Q173" i="1"/>
  <c r="U738" i="1"/>
  <c r="P1764" i="1"/>
  <c r="D1651" i="1"/>
  <c r="U183" i="1"/>
  <c r="O759" i="1"/>
  <c r="N2877" i="1"/>
  <c r="H2827" i="1"/>
  <c r="J3260" i="1"/>
  <c r="P1367" i="1"/>
  <c r="Q2974" i="1"/>
  <c r="U2564" i="1"/>
  <c r="N1088" i="1"/>
  <c r="U84" i="1"/>
  <c r="M1351" i="1"/>
  <c r="P2694" i="1"/>
  <c r="P1978" i="1"/>
  <c r="M2618" i="1"/>
  <c r="AT2591" i="1"/>
  <c r="K2307" i="1"/>
  <c r="P795" i="1"/>
  <c r="M645" i="1"/>
  <c r="M3311" i="1"/>
  <c r="Q959" i="1"/>
  <c r="P2755" i="1"/>
  <c r="D3312" i="1"/>
  <c r="D3623" i="1"/>
  <c r="AT1103" i="1"/>
  <c r="P353" i="1"/>
  <c r="P98" i="1"/>
  <c r="D249" i="1"/>
  <c r="N386" i="1"/>
  <c r="O2066" i="1"/>
  <c r="D3232" i="1"/>
  <c r="N551" i="1"/>
  <c r="U1855" i="1"/>
  <c r="AT521" i="1"/>
  <c r="M2711" i="1"/>
  <c r="Q174" i="1"/>
  <c r="M147" i="1"/>
  <c r="N2726" i="1"/>
  <c r="U591" i="1"/>
  <c r="D2484" i="1"/>
  <c r="H3088" i="1"/>
  <c r="Q154" i="1"/>
  <c r="AT166" i="1"/>
  <c r="M454" i="1"/>
  <c r="U2994" i="1"/>
  <c r="J3128" i="1"/>
  <c r="AT1236" i="1"/>
  <c r="Q3493" i="1"/>
  <c r="O3138" i="1"/>
  <c r="D1743" i="1"/>
  <c r="D3411" i="1"/>
  <c r="D414" i="1"/>
  <c r="I3259" i="1"/>
  <c r="AT2233" i="1"/>
  <c r="AT3408" i="1"/>
  <c r="AT2077" i="1"/>
  <c r="J2185" i="1"/>
  <c r="P2849" i="1"/>
  <c r="M3464" i="1"/>
  <c r="Q3534" i="1"/>
  <c r="O1644" i="1"/>
  <c r="AT2490" i="1"/>
  <c r="O842" i="1"/>
  <c r="M2151" i="1"/>
  <c r="N1467" i="1"/>
  <c r="AT3588" i="1"/>
  <c r="K1763" i="1"/>
  <c r="M2530" i="1"/>
  <c r="P600" i="1"/>
  <c r="AT3233" i="1"/>
  <c r="D103" i="1"/>
  <c r="AT2401" i="1"/>
  <c r="AT684" i="1"/>
  <c r="AT1893" i="1"/>
  <c r="M1965" i="1"/>
  <c r="K1386" i="1"/>
  <c r="N1318" i="1"/>
  <c r="N1551" i="1"/>
  <c r="O587" i="1"/>
  <c r="P2051" i="1"/>
  <c r="M1703" i="1"/>
  <c r="I491" i="1"/>
  <c r="P3346" i="1"/>
  <c r="D2228" i="1"/>
  <c r="O1519" i="1"/>
  <c r="P469" i="1"/>
  <c r="N1878" i="1"/>
  <c r="J1846" i="1"/>
  <c r="P664" i="1"/>
  <c r="N2511" i="1"/>
  <c r="I675" i="1"/>
  <c r="AT268" i="1"/>
  <c r="N3092" i="1"/>
  <c r="J1472" i="1"/>
  <c r="H1651" i="1"/>
  <c r="J2887" i="1"/>
  <c r="M1752" i="1"/>
  <c r="AT2983" i="1"/>
  <c r="D398" i="1"/>
  <c r="H261" i="1"/>
  <c r="O1176" i="1"/>
  <c r="U2287" i="1"/>
  <c r="M69" i="1"/>
  <c r="D1439" i="1"/>
  <c r="J3197" i="1"/>
  <c r="D1834" i="1"/>
  <c r="M2927" i="1"/>
  <c r="D3160" i="1"/>
  <c r="P3226" i="1"/>
  <c r="I2123" i="1"/>
  <c r="U3501" i="1"/>
  <c r="I609" i="1"/>
  <c r="P830" i="1"/>
  <c r="M281" i="1"/>
  <c r="I3024" i="1"/>
  <c r="Q1868" i="1"/>
  <c r="N2819" i="1"/>
  <c r="M3039" i="1"/>
  <c r="O1742" i="1"/>
  <c r="M2714" i="1"/>
  <c r="Q2722" i="1"/>
  <c r="I3458" i="1"/>
  <c r="N2670" i="1"/>
  <c r="AT1821" i="1"/>
  <c r="D2872" i="1"/>
  <c r="O258" i="1"/>
  <c r="D847" i="1"/>
  <c r="D1168" i="1"/>
  <c r="AT2515" i="1"/>
  <c r="I2199" i="1"/>
  <c r="Q3099" i="1"/>
  <c r="H2406" i="1"/>
  <c r="I614" i="1"/>
  <c r="AT3067" i="1"/>
  <c r="Q1021" i="1"/>
  <c r="AT937" i="1"/>
  <c r="N1229" i="1"/>
  <c r="P2912" i="1"/>
  <c r="AT3612" i="1"/>
  <c r="Q2806" i="1"/>
  <c r="P1843" i="1"/>
  <c r="M612" i="1"/>
  <c r="U2224" i="1"/>
  <c r="Q2486" i="1"/>
  <c r="O2090" i="1"/>
  <c r="D1254" i="1"/>
  <c r="Q3386" i="1"/>
  <c r="N2923" i="1"/>
  <c r="I3466" i="1"/>
  <c r="M1837" i="1"/>
  <c r="O2900" i="1"/>
  <c r="O3014" i="1"/>
  <c r="P346" i="1"/>
  <c r="AT2689" i="1"/>
  <c r="O2458" i="1"/>
  <c r="AT2402" i="1"/>
  <c r="O1971" i="1"/>
  <c r="M2324" i="1"/>
  <c r="N667" i="1"/>
  <c r="I1794" i="1"/>
  <c r="D2398" i="1"/>
  <c r="I1411" i="1"/>
  <c r="Q2866" i="1"/>
  <c r="P776" i="1"/>
  <c r="N3421" i="1"/>
  <c r="U2150" i="1"/>
  <c r="K2711" i="1"/>
  <c r="P3020" i="1"/>
  <c r="Q636" i="1"/>
  <c r="U2619" i="1"/>
  <c r="AT3163" i="1"/>
  <c r="M2276" i="1"/>
  <c r="N3303" i="1"/>
  <c r="Q3326" i="1"/>
  <c r="D3087" i="1"/>
  <c r="P3385" i="1"/>
  <c r="H1014" i="1"/>
  <c r="J2412" i="1"/>
  <c r="H193" i="1"/>
  <c r="M3539" i="1"/>
  <c r="I2660" i="1"/>
  <c r="U847" i="1"/>
  <c r="M2591" i="1"/>
  <c r="O2037" i="1"/>
  <c r="N2853" i="1"/>
  <c r="H386" i="1"/>
  <c r="O1050" i="1"/>
  <c r="D561" i="1"/>
  <c r="D2304" i="1"/>
  <c r="N3169" i="1"/>
  <c r="K2856" i="1"/>
  <c r="AT1625" i="1"/>
  <c r="D1333" i="1"/>
  <c r="J663" i="1"/>
  <c r="O2061" i="1"/>
  <c r="AT2329" i="1"/>
  <c r="U1017" i="1"/>
  <c r="AT3563" i="1"/>
  <c r="H1639" i="1"/>
  <c r="Q2862" i="1"/>
  <c r="AT3097" i="1"/>
  <c r="AT1761" i="1"/>
  <c r="U3641" i="1"/>
  <c r="N921" i="1"/>
  <c r="O1144" i="1"/>
  <c r="D818" i="1"/>
  <c r="U520" i="1"/>
  <c r="I2377" i="1"/>
  <c r="U2142" i="1"/>
  <c r="K2635" i="1"/>
  <c r="Q3018" i="1"/>
  <c r="P2751" i="1"/>
  <c r="O3169" i="1"/>
  <c r="J111" i="1"/>
  <c r="AT2232" i="1"/>
  <c r="D2496" i="1"/>
  <c r="U1653" i="1"/>
  <c r="D2420" i="1"/>
  <c r="AT598" i="1"/>
  <c r="O1865" i="1"/>
  <c r="O1599" i="1"/>
  <c r="AT324" i="1"/>
  <c r="D354" i="1"/>
  <c r="Q2532" i="1"/>
  <c r="H2865" i="1"/>
  <c r="O3462" i="1"/>
  <c r="O3589" i="1"/>
  <c r="N2207" i="1"/>
  <c r="J830" i="1"/>
  <c r="J157" i="1"/>
  <c r="P365" i="1"/>
  <c r="M1805" i="1"/>
  <c r="K3618" i="1"/>
  <c r="K1824" i="1"/>
  <c r="K2705" i="1"/>
  <c r="P2373" i="1"/>
  <c r="D32" i="1"/>
  <c r="M3553" i="1"/>
  <c r="N1256" i="1"/>
  <c r="M3397" i="1"/>
  <c r="P3517" i="1"/>
  <c r="J86" i="1"/>
  <c r="H3154" i="1"/>
  <c r="O632" i="1"/>
  <c r="M3007" i="1"/>
  <c r="U3429" i="1"/>
  <c r="M485" i="1"/>
  <c r="O2013" i="1"/>
  <c r="U1431" i="1"/>
  <c r="D673" i="1"/>
  <c r="Q2738" i="1"/>
  <c r="D3259" i="1"/>
  <c r="J767" i="1"/>
  <c r="Q1195" i="1"/>
  <c r="AT2968" i="1"/>
  <c r="O912" i="1"/>
  <c r="H885" i="1"/>
  <c r="N3284" i="1"/>
  <c r="M3116" i="1"/>
  <c r="P1218" i="1"/>
  <c r="D2646" i="1"/>
  <c r="N2949" i="1"/>
  <c r="N932" i="1"/>
  <c r="P997" i="1"/>
  <c r="N3537" i="1"/>
  <c r="H1236" i="1"/>
  <c r="AT1835" i="1"/>
  <c r="U1667" i="1"/>
  <c r="M1331" i="1"/>
  <c r="Q1819" i="1"/>
  <c r="P3112" i="1"/>
  <c r="O2328" i="1"/>
  <c r="N1835" i="1"/>
  <c r="AT1444" i="1"/>
  <c r="D340" i="1"/>
  <c r="O274" i="1"/>
  <c r="H3601" i="1"/>
  <c r="P916" i="1"/>
  <c r="AT1553" i="1"/>
  <c r="O1378" i="1"/>
  <c r="N3402" i="1"/>
  <c r="P1464" i="1"/>
  <c r="I2073" i="1"/>
  <c r="Q3432" i="1"/>
  <c r="AT2122" i="1"/>
  <c r="M2479" i="1"/>
  <c r="P2255" i="1"/>
  <c r="P1198" i="1"/>
  <c r="P2813" i="1"/>
  <c r="U464" i="1"/>
  <c r="M907" i="1"/>
  <c r="P1234" i="1"/>
  <c r="O1734" i="1"/>
  <c r="U184" i="1"/>
  <c r="M3272" i="1"/>
  <c r="O1788" i="1"/>
  <c r="N61" i="1"/>
  <c r="M2602" i="1"/>
  <c r="P3199" i="1"/>
  <c r="P1071" i="1"/>
  <c r="AT2283" i="1"/>
  <c r="O1402" i="1"/>
  <c r="AT3035" i="1"/>
  <c r="D373" i="1"/>
  <c r="M1441" i="1"/>
  <c r="D469" i="1"/>
  <c r="M3609" i="1"/>
  <c r="O2720" i="1"/>
  <c r="N1582" i="1"/>
  <c r="I2466" i="1"/>
  <c r="P1487" i="1"/>
  <c r="AT2895" i="1"/>
  <c r="M3087" i="1"/>
  <c r="AT2650" i="1"/>
  <c r="Q2833" i="1"/>
  <c r="M955" i="1"/>
  <c r="H15" i="1"/>
  <c r="N474" i="1"/>
  <c r="AT3142" i="1"/>
  <c r="D56" i="1"/>
  <c r="AT1544" i="1"/>
  <c r="U3591" i="1"/>
  <c r="N2834" i="1"/>
  <c r="AT326" i="1"/>
  <c r="D1231" i="1"/>
  <c r="P3362" i="1"/>
  <c r="K3384" i="1"/>
  <c r="N1718" i="1"/>
  <c r="K1091" i="1"/>
  <c r="N3265" i="1"/>
  <c r="O3575" i="1"/>
  <c r="O649" i="1"/>
  <c r="I482" i="1"/>
  <c r="U2867" i="1"/>
  <c r="P137" i="1"/>
  <c r="N913" i="1"/>
  <c r="N3015" i="1"/>
  <c r="AT160" i="1"/>
  <c r="N1564" i="1"/>
  <c r="O2117" i="1"/>
  <c r="D3593" i="1"/>
  <c r="O543" i="1"/>
  <c r="D1003" i="1"/>
  <c r="Q2947" i="1"/>
  <c r="U3245" i="1"/>
  <c r="U1274" i="1"/>
  <c r="U1502" i="1"/>
  <c r="AT2179" i="1"/>
  <c r="M625" i="1"/>
  <c r="M919" i="1"/>
  <c r="U2875" i="1"/>
  <c r="AT764" i="1"/>
  <c r="AT3613" i="1"/>
  <c r="K1625" i="1"/>
  <c r="M93" i="1"/>
  <c r="P2402" i="1"/>
  <c r="N1261" i="1"/>
  <c r="K3164" i="1"/>
  <c r="M2478" i="1"/>
  <c r="I1097" i="1"/>
  <c r="U1723" i="1"/>
  <c r="M3611" i="1"/>
  <c r="N372" i="1"/>
  <c r="M744" i="1"/>
  <c r="O695" i="1"/>
  <c r="AT2871" i="1"/>
  <c r="P1591" i="1"/>
  <c r="N3600" i="1"/>
  <c r="AT300" i="1"/>
  <c r="M717" i="1"/>
  <c r="D2235" i="1"/>
  <c r="M1739" i="1"/>
  <c r="N3380" i="1"/>
  <c r="Q980" i="1"/>
  <c r="AT3032" i="1"/>
  <c r="I2068" i="1"/>
  <c r="AT1255" i="1"/>
  <c r="O306" i="1"/>
  <c r="P3559" i="1"/>
  <c r="U515" i="1"/>
  <c r="I164" i="1"/>
  <c r="P3414" i="1"/>
  <c r="O3386" i="1"/>
  <c r="J297" i="1"/>
  <c r="AT719" i="1"/>
  <c r="O3401" i="1"/>
  <c r="H3264" i="1"/>
  <c r="J2460" i="1"/>
  <c r="K1677" i="1"/>
  <c r="P1012" i="1"/>
  <c r="H150" i="1"/>
  <c r="D2050" i="1"/>
  <c r="O853" i="1"/>
  <c r="M3507" i="1"/>
  <c r="AT1228" i="1"/>
  <c r="U2132" i="1"/>
  <c r="O2104" i="1"/>
  <c r="Q402" i="1"/>
  <c r="U373" i="1"/>
  <c r="AT2600" i="1"/>
  <c r="J2312" i="1"/>
  <c r="Q469" i="1"/>
  <c r="U1146" i="1"/>
  <c r="Q3557" i="1"/>
  <c r="N3163" i="1"/>
  <c r="M2152" i="1"/>
  <c r="P2358" i="1"/>
  <c r="H2970" i="1"/>
  <c r="M2739" i="1"/>
  <c r="N951" i="1"/>
  <c r="Q2844" i="1"/>
  <c r="P2284" i="1"/>
  <c r="AT231" i="1"/>
  <c r="O2761" i="1"/>
  <c r="U1760" i="1"/>
  <c r="P2636" i="1"/>
  <c r="O1994" i="1"/>
  <c r="O3102" i="1"/>
  <c r="M3467" i="1"/>
  <c r="N2141" i="1"/>
  <c r="AT3021" i="1"/>
  <c r="Q586" i="1"/>
  <c r="H2175" i="1"/>
  <c r="J210" i="1"/>
  <c r="O863" i="1"/>
  <c r="M1025" i="1"/>
  <c r="O1740" i="1"/>
  <c r="N929" i="1"/>
  <c r="I3556" i="1"/>
  <c r="D33" i="1"/>
  <c r="AT1315" i="1"/>
  <c r="D2165" i="1"/>
  <c r="D1588" i="1"/>
  <c r="AT2004" i="1"/>
  <c r="O2719" i="1"/>
  <c r="O964" i="1"/>
  <c r="N1099" i="1"/>
  <c r="O3559" i="1"/>
  <c r="Q58" i="1"/>
  <c r="P2063" i="1"/>
  <c r="P686" i="1"/>
  <c r="N2128" i="1"/>
  <c r="M1710" i="1"/>
  <c r="AT3534" i="1"/>
  <c r="I311" i="1"/>
  <c r="H815" i="1"/>
  <c r="M168" i="1"/>
  <c r="N1308" i="1"/>
  <c r="Q2366" i="1"/>
  <c r="K1205" i="1"/>
  <c r="Q3334" i="1"/>
  <c r="U2494" i="1"/>
  <c r="AT2214" i="1"/>
  <c r="AT95" i="1"/>
  <c r="P913" i="1"/>
  <c r="P879" i="1"/>
  <c r="AT935" i="1"/>
  <c r="N1793" i="1"/>
  <c r="H1848" i="1"/>
  <c r="J467" i="1"/>
  <c r="J518" i="1"/>
  <c r="AT431" i="1"/>
  <c r="M1618" i="1"/>
  <c r="H67" i="1"/>
  <c r="O163" i="1"/>
  <c r="AT1319" i="1"/>
  <c r="U3291" i="1"/>
  <c r="H2182" i="1"/>
  <c r="P901" i="1"/>
  <c r="M2737" i="1"/>
  <c r="N3573" i="1"/>
  <c r="H2491" i="1"/>
  <c r="I3077" i="1"/>
  <c r="Q2952" i="1"/>
  <c r="N2665" i="1"/>
  <c r="AT2344" i="1"/>
  <c r="N415" i="1"/>
  <c r="M1026" i="1"/>
  <c r="H1091" i="1"/>
  <c r="J2667" i="1"/>
  <c r="M684" i="1"/>
  <c r="D1896" i="1"/>
  <c r="H612" i="1"/>
  <c r="O950" i="1"/>
  <c r="N1885" i="1"/>
  <c r="AT1249" i="1"/>
  <c r="N3099" i="1"/>
  <c r="AT940" i="1"/>
  <c r="O3231" i="1"/>
  <c r="M2304" i="1"/>
  <c r="O3389" i="1"/>
  <c r="U2299" i="1"/>
  <c r="M3168" i="1"/>
  <c r="I335" i="1"/>
  <c r="Q3498" i="1"/>
  <c r="U27" i="1"/>
  <c r="U441" i="1"/>
  <c r="I3390" i="1"/>
  <c r="D1967" i="1"/>
  <c r="I158" i="1"/>
  <c r="O2942" i="1"/>
  <c r="N1742" i="1"/>
  <c r="N2588" i="1"/>
  <c r="I2439" i="1"/>
  <c r="O2325" i="1"/>
  <c r="P3433" i="1"/>
  <c r="AT712" i="1"/>
  <c r="Q2875" i="1"/>
  <c r="D2038" i="1"/>
  <c r="U1250" i="1"/>
  <c r="P2201" i="1"/>
  <c r="N2648" i="1"/>
  <c r="O1277" i="1"/>
  <c r="H1490" i="1"/>
  <c r="AT316" i="1"/>
  <c r="I867" i="1"/>
  <c r="AT495" i="1"/>
  <c r="Q3441" i="1"/>
  <c r="M862" i="1"/>
  <c r="Q1325" i="1"/>
  <c r="Q638" i="1"/>
  <c r="M350" i="1"/>
  <c r="P1344" i="1"/>
  <c r="K105" i="1"/>
  <c r="U3005" i="1"/>
  <c r="D304" i="1"/>
  <c r="K355" i="1"/>
  <c r="Q2647" i="1"/>
  <c r="O1193" i="1"/>
  <c r="P1593" i="1"/>
  <c r="J2549" i="1"/>
  <c r="M1454" i="1"/>
  <c r="U3416" i="1"/>
  <c r="J3442" i="1"/>
  <c r="K299" i="1"/>
  <c r="M1622" i="1"/>
  <c r="I2772" i="1"/>
  <c r="O2861" i="1"/>
  <c r="O250" i="1"/>
  <c r="N3006" i="1"/>
  <c r="D420" i="1"/>
  <c r="M1979" i="1"/>
  <c r="U1308" i="1"/>
  <c r="D3176" i="1"/>
  <c r="O3478" i="1"/>
  <c r="J1868" i="1"/>
  <c r="AT3474" i="1"/>
  <c r="AT3350" i="1"/>
  <c r="M2548" i="1"/>
  <c r="D2155" i="1"/>
  <c r="N1285" i="1"/>
  <c r="P2758" i="1"/>
  <c r="AT58" i="1"/>
  <c r="H2556" i="1"/>
  <c r="O1338" i="1"/>
  <c r="U1565" i="1"/>
  <c r="D1644" i="1"/>
  <c r="AT2419" i="1"/>
  <c r="P21" i="1"/>
  <c r="N442" i="1"/>
  <c r="U1685" i="1"/>
  <c r="AT606" i="1"/>
  <c r="N1705" i="1"/>
  <c r="AT2357" i="1"/>
  <c r="N2283" i="1"/>
  <c r="D1919" i="1"/>
  <c r="Q981" i="1"/>
  <c r="K3218" i="1"/>
  <c r="M2928" i="1"/>
  <c r="J2587" i="1"/>
  <c r="Q2350" i="1"/>
  <c r="J607" i="1"/>
  <c r="M441" i="1"/>
  <c r="M430" i="1"/>
  <c r="D979" i="1"/>
  <c r="O334" i="1"/>
  <c r="O108" i="1"/>
  <c r="U1270" i="1"/>
  <c r="U3375" i="1"/>
  <c r="U1782" i="1"/>
  <c r="N837" i="1"/>
  <c r="N399" i="1"/>
  <c r="O3167" i="1"/>
  <c r="O3010" i="1"/>
  <c r="H1337" i="1"/>
  <c r="I2793" i="1"/>
  <c r="J3351" i="1"/>
  <c r="D171" i="1"/>
  <c r="AT1873" i="1"/>
  <c r="M2869" i="1"/>
  <c r="M2821" i="1"/>
  <c r="I2589" i="1"/>
  <c r="N97" i="1"/>
  <c r="U2301" i="1"/>
  <c r="U1202" i="1"/>
  <c r="N682" i="1"/>
  <c r="O3441" i="1"/>
  <c r="AT1318" i="1"/>
  <c r="P2156" i="1"/>
  <c r="M2222" i="1"/>
  <c r="I2725" i="1"/>
  <c r="I131" i="1"/>
  <c r="N1233" i="1"/>
  <c r="O2501" i="1"/>
  <c r="J2322" i="1"/>
  <c r="Q2235" i="1"/>
  <c r="U3490" i="1"/>
  <c r="M2691" i="1"/>
  <c r="U2175" i="1"/>
  <c r="M1799" i="1"/>
  <c r="I1092" i="1"/>
  <c r="U170" i="1"/>
  <c r="N197" i="1"/>
  <c r="M2682" i="1"/>
  <c r="D1860" i="1"/>
  <c r="M2296" i="1"/>
  <c r="P468" i="1"/>
  <c r="AT825" i="1"/>
  <c r="D948" i="1"/>
  <c r="I2590" i="1"/>
  <c r="U1792" i="1"/>
  <c r="O2749" i="1"/>
  <c r="M2820" i="1"/>
  <c r="AT237" i="1"/>
  <c r="D260" i="1"/>
  <c r="P1440" i="1"/>
  <c r="AT1115" i="1"/>
  <c r="AT3063" i="1"/>
  <c r="D2530" i="1"/>
  <c r="N1610" i="1"/>
  <c r="P145" i="1"/>
  <c r="H1322" i="1"/>
  <c r="AT1429" i="1"/>
  <c r="H2875" i="1"/>
  <c r="O2040" i="1"/>
  <c r="U1207" i="1"/>
  <c r="O2348" i="1"/>
  <c r="D440" i="1"/>
  <c r="N561" i="1"/>
  <c r="O2791" i="1"/>
  <c r="AT186" i="1"/>
  <c r="P1088" i="1"/>
  <c r="O276" i="1"/>
  <c r="I1716" i="1"/>
  <c r="O1670" i="1"/>
  <c r="O1970" i="1"/>
  <c r="H262" i="1"/>
  <c r="Q1978" i="1"/>
  <c r="J2103" i="1"/>
  <c r="U3423" i="1"/>
  <c r="U3430" i="1"/>
  <c r="AT2103" i="1"/>
  <c r="AT314" i="1"/>
  <c r="U1943" i="1"/>
  <c r="AT2841" i="1"/>
  <c r="O3480" i="1"/>
  <c r="J1781" i="1"/>
  <c r="H678" i="1"/>
  <c r="M1821" i="1"/>
  <c r="AT97" i="1"/>
  <c r="I110" i="1"/>
  <c r="O193" i="1"/>
  <c r="D930" i="1"/>
  <c r="J1039" i="1"/>
  <c r="P3458" i="1"/>
  <c r="Q2580" i="1"/>
  <c r="O2691" i="1"/>
  <c r="D2079" i="1"/>
  <c r="P531" i="1"/>
  <c r="Q2230" i="1"/>
  <c r="D3" i="1"/>
  <c r="M1294" i="1"/>
  <c r="AT1774" i="1"/>
  <c r="H208" i="1"/>
  <c r="M2127" i="1"/>
  <c r="N1506" i="1"/>
  <c r="D581" i="1"/>
  <c r="D1409" i="1"/>
  <c r="N3516" i="1"/>
  <c r="U880" i="1"/>
  <c r="AT288" i="1"/>
  <c r="AT888" i="1"/>
  <c r="P2388" i="1"/>
  <c r="M692" i="1"/>
  <c r="D2976" i="1"/>
  <c r="I2195" i="1"/>
  <c r="P1656" i="1"/>
  <c r="AT3521" i="1"/>
  <c r="M2626" i="1"/>
  <c r="N1855" i="1"/>
  <c r="Q784" i="1"/>
  <c r="M2987" i="1"/>
  <c r="U989" i="1"/>
  <c r="D873" i="1"/>
  <c r="AT2039" i="1"/>
  <c r="N858" i="1"/>
  <c r="M108" i="1"/>
  <c r="AT1172" i="1"/>
  <c r="P3355" i="1"/>
  <c r="M2553" i="1"/>
  <c r="M634" i="1"/>
  <c r="Q2165" i="1"/>
  <c r="P1389" i="1"/>
  <c r="U1594" i="1"/>
  <c r="M3279" i="1"/>
  <c r="P3130" i="1"/>
  <c r="Q2879" i="1"/>
  <c r="N3369" i="1"/>
  <c r="I848" i="1"/>
  <c r="D2582" i="1"/>
  <c r="I2813" i="1"/>
  <c r="P967" i="1"/>
  <c r="H711" i="1"/>
  <c r="H956" i="1"/>
  <c r="D1211" i="1"/>
  <c r="O3399" i="1"/>
  <c r="N3408" i="1"/>
  <c r="U912" i="1"/>
  <c r="O1496" i="1"/>
  <c r="AT1511" i="1"/>
  <c r="K56" i="1"/>
  <c r="K3535" i="1"/>
  <c r="I2287" i="1"/>
  <c r="O1098" i="1"/>
  <c r="U3065" i="1"/>
  <c r="D586" i="1"/>
  <c r="M2422" i="1"/>
  <c r="M1002" i="1"/>
  <c r="Q3128" i="1"/>
  <c r="M2754" i="1"/>
  <c r="U2823" i="1"/>
  <c r="H85" i="1"/>
  <c r="M3077" i="1"/>
  <c r="J103" i="1"/>
  <c r="O822" i="1"/>
  <c r="H2119" i="1"/>
  <c r="U828" i="1"/>
  <c r="P2732" i="1"/>
  <c r="D2945" i="1"/>
  <c r="N1303" i="1"/>
  <c r="N1717" i="1"/>
  <c r="N2361" i="1"/>
  <c r="P1608" i="1"/>
  <c r="P655" i="1"/>
  <c r="D2727" i="1"/>
  <c r="I2003" i="1"/>
  <c r="U2904" i="1"/>
  <c r="AT3251" i="1"/>
  <c r="N2221" i="1"/>
  <c r="AT2160" i="1"/>
  <c r="N1284" i="1"/>
  <c r="Q609" i="1"/>
  <c r="M2646" i="1"/>
  <c r="AT1214" i="1"/>
  <c r="N3290" i="1"/>
  <c r="U2351" i="1"/>
  <c r="J1933" i="1"/>
  <c r="N1786" i="1"/>
  <c r="J1170" i="1"/>
  <c r="N1188" i="1"/>
  <c r="N158" i="1"/>
  <c r="H932" i="1"/>
  <c r="M1931" i="1"/>
  <c r="O52" i="1"/>
  <c r="M1801" i="1"/>
  <c r="D1020" i="1"/>
  <c r="D2741" i="1"/>
  <c r="AT170" i="1"/>
  <c r="N2382" i="1"/>
  <c r="N2352" i="1"/>
  <c r="O2435" i="1"/>
  <c r="D3608" i="1"/>
  <c r="O7" i="1"/>
  <c r="J3413" i="1"/>
  <c r="Q1155" i="1"/>
  <c r="M2762" i="1"/>
  <c r="U2536" i="1"/>
  <c r="I300" i="1"/>
  <c r="Q425" i="1"/>
  <c r="O1751" i="1"/>
  <c r="H2392" i="1"/>
  <c r="Q585" i="1"/>
  <c r="D905" i="1"/>
  <c r="D73" i="1"/>
  <c r="O3064" i="1"/>
  <c r="I2373" i="1"/>
  <c r="Q273" i="1"/>
  <c r="N2114" i="1"/>
  <c r="O712" i="1"/>
  <c r="D2750" i="1"/>
  <c r="Q2384" i="1"/>
  <c r="H280" i="1"/>
  <c r="AT3527" i="1"/>
  <c r="Q416" i="1"/>
  <c r="P2633" i="1"/>
  <c r="Q883" i="1"/>
  <c r="N991" i="1"/>
  <c r="N1814" i="1"/>
  <c r="O2981" i="1"/>
  <c r="Q1321" i="1"/>
  <c r="AT303" i="1"/>
  <c r="D973" i="1"/>
  <c r="I1479" i="1"/>
  <c r="D2936" i="1"/>
  <c r="N1704" i="1"/>
  <c r="J1273" i="1"/>
  <c r="K1054" i="1"/>
  <c r="J543" i="1"/>
  <c r="N1108" i="1"/>
  <c r="M2282" i="1"/>
  <c r="D1879" i="1"/>
  <c r="H577" i="1"/>
  <c r="AT1272" i="1"/>
  <c r="M714" i="1"/>
  <c r="Q2239" i="1"/>
  <c r="P186" i="1"/>
  <c r="AT2248" i="1"/>
  <c r="H3281" i="1"/>
  <c r="N2938" i="1"/>
  <c r="AT1899" i="1"/>
  <c r="I1133" i="1"/>
  <c r="AT1554" i="1"/>
  <c r="M3025" i="1"/>
  <c r="D517" i="1"/>
  <c r="N1916" i="1"/>
  <c r="D2320" i="1"/>
  <c r="AT2061" i="1"/>
  <c r="J209" i="1"/>
  <c r="P450" i="1"/>
  <c r="O2383" i="1"/>
  <c r="P1597" i="1"/>
  <c r="D3354" i="1"/>
  <c r="H1497" i="1"/>
  <c r="U2207" i="1"/>
  <c r="U3224" i="1"/>
  <c r="J903" i="1"/>
  <c r="K3507" i="1"/>
  <c r="H107" i="1"/>
  <c r="M358" i="1"/>
  <c r="J2879" i="1"/>
  <c r="O2894" i="1"/>
  <c r="U1340" i="1"/>
  <c r="O2125" i="1"/>
  <c r="N928" i="1"/>
  <c r="H3340" i="1"/>
  <c r="D3112" i="1"/>
  <c r="M1140" i="1"/>
  <c r="J2370" i="1"/>
  <c r="U3079" i="1"/>
  <c r="P3038" i="1"/>
  <c r="AT707" i="1"/>
  <c r="P1651" i="1"/>
  <c r="D2792" i="1"/>
  <c r="N309" i="1"/>
  <c r="D214" i="1"/>
  <c r="I1877" i="1"/>
  <c r="I696" i="1"/>
  <c r="D2108" i="1"/>
  <c r="H3435" i="1"/>
  <c r="N87" i="1"/>
  <c r="P107" i="1"/>
  <c r="D1659" i="1"/>
  <c r="Q103" i="1"/>
  <c r="N2481" i="1"/>
  <c r="M3607" i="1"/>
  <c r="M1969" i="1"/>
  <c r="Q2982" i="1"/>
  <c r="AT512" i="1"/>
  <c r="H1172" i="1"/>
  <c r="D2803" i="1"/>
  <c r="O246" i="1"/>
  <c r="D1488" i="1"/>
  <c r="N1713" i="1"/>
  <c r="N3143" i="1"/>
  <c r="N429" i="1"/>
  <c r="D2338" i="1"/>
  <c r="O702" i="1"/>
  <c r="M1592" i="1"/>
  <c r="N867" i="1"/>
  <c r="I2386" i="1"/>
  <c r="H3104" i="1"/>
  <c r="AT3596" i="1"/>
  <c r="M839" i="1"/>
  <c r="H1139" i="1"/>
  <c r="M2744" i="1"/>
  <c r="H2559" i="1"/>
  <c r="AT2661" i="1"/>
  <c r="O2750" i="1"/>
  <c r="D541" i="1"/>
  <c r="D1218" i="1"/>
  <c r="K1534" i="1"/>
  <c r="J96" i="1"/>
  <c r="N36" i="1"/>
  <c r="N1395" i="1"/>
  <c r="M272" i="1"/>
  <c r="M3" i="1"/>
  <c r="U256" i="1"/>
  <c r="Q2891" i="1"/>
  <c r="D2256" i="1"/>
  <c r="M866" i="1"/>
  <c r="K1796" i="1"/>
  <c r="AT3299" i="1"/>
  <c r="M3494" i="1"/>
  <c r="N1187" i="1"/>
  <c r="Q2057" i="1"/>
  <c r="H1857" i="1"/>
  <c r="AT3001" i="1"/>
  <c r="M559" i="1"/>
  <c r="AT2040" i="1"/>
  <c r="H446" i="1"/>
  <c r="D130" i="1"/>
  <c r="H52" i="1"/>
  <c r="AT2144" i="1"/>
  <c r="N50" i="1"/>
  <c r="M855" i="1"/>
  <c r="D2178" i="1"/>
  <c r="P1489" i="1"/>
  <c r="M275" i="1"/>
  <c r="J3592" i="1"/>
  <c r="Q1767" i="1"/>
  <c r="N3553" i="1"/>
  <c r="M3615" i="1"/>
  <c r="U974" i="1"/>
  <c r="U1310" i="1"/>
  <c r="U1395" i="1"/>
  <c r="U169" i="1"/>
  <c r="AT3469" i="1"/>
  <c r="AT1789" i="1"/>
  <c r="N1100" i="1"/>
  <c r="AT2470" i="1"/>
  <c r="N2763" i="1"/>
  <c r="M2713" i="1"/>
  <c r="Q3602" i="1"/>
  <c r="O340" i="1"/>
  <c r="M440" i="1"/>
  <c r="O468" i="1"/>
  <c r="O1036" i="1"/>
  <c r="U3585" i="1"/>
  <c r="Q666" i="1"/>
  <c r="D9" i="1"/>
  <c r="U3399" i="1"/>
  <c r="O1344" i="1"/>
  <c r="N3453" i="1"/>
  <c r="D105" i="1"/>
  <c r="H3230" i="1"/>
  <c r="D227" i="1"/>
  <c r="J1478" i="1"/>
  <c r="P2786" i="1"/>
  <c r="N3538" i="1"/>
  <c r="J620" i="1"/>
  <c r="U3489" i="1"/>
  <c r="N3524" i="1"/>
  <c r="D2896" i="1"/>
  <c r="P1143" i="1"/>
  <c r="N621" i="1"/>
  <c r="O3632" i="1"/>
  <c r="N2869" i="1"/>
  <c r="N1852" i="1"/>
  <c r="P1492" i="1"/>
  <c r="D3098" i="1"/>
  <c r="O3316" i="1"/>
  <c r="AT1771" i="1"/>
  <c r="M727" i="1"/>
  <c r="P594" i="1"/>
  <c r="H895" i="1"/>
  <c r="K3613" i="1"/>
  <c r="O715" i="1"/>
  <c r="D1438" i="1"/>
  <c r="AT2362" i="1"/>
  <c r="I34" i="1"/>
  <c r="AT2241" i="1"/>
  <c r="AT177" i="1"/>
  <c r="K137" i="1"/>
  <c r="H1042" i="1"/>
  <c r="Q3145" i="1"/>
  <c r="O1405" i="1"/>
  <c r="K2005" i="1"/>
  <c r="U1234" i="1"/>
  <c r="AT1024" i="1"/>
  <c r="U3321" i="1"/>
  <c r="M830" i="1"/>
  <c r="U703" i="1"/>
  <c r="D1510" i="1"/>
  <c r="D2416" i="1"/>
  <c r="P2869" i="1"/>
  <c r="M373" i="1"/>
  <c r="D135" i="1"/>
  <c r="K3638" i="1"/>
  <c r="J2413" i="1"/>
  <c r="P241" i="1"/>
  <c r="U206" i="1"/>
  <c r="D669" i="1"/>
  <c r="AT750" i="1"/>
  <c r="K2777" i="1"/>
  <c r="P910" i="1"/>
  <c r="AT1986" i="1"/>
  <c r="Q1213" i="1"/>
  <c r="P216" i="1"/>
  <c r="O2267" i="1"/>
  <c r="AT921" i="1"/>
  <c r="M2606" i="1"/>
  <c r="I2913" i="1"/>
  <c r="N45" i="1"/>
  <c r="J432" i="1"/>
  <c r="O1757" i="1"/>
  <c r="K936" i="1"/>
  <c r="K1273" i="1"/>
  <c r="P347" i="1"/>
  <c r="H3528" i="1"/>
  <c r="U1080" i="1"/>
  <c r="AT2590" i="1"/>
  <c r="M1927" i="1"/>
  <c r="M325" i="1"/>
  <c r="O865" i="1"/>
  <c r="D2685" i="1"/>
  <c r="I3353" i="1"/>
  <c r="P2396" i="1"/>
  <c r="O311" i="1"/>
  <c r="H3091" i="1"/>
  <c r="D199" i="1"/>
  <c r="AT1772" i="1"/>
  <c r="J34" i="1"/>
  <c r="D3514" i="1"/>
  <c r="J367" i="1"/>
  <c r="P3192" i="1"/>
  <c r="Q2143" i="1"/>
  <c r="M1677" i="1"/>
  <c r="AT1401" i="1"/>
  <c r="P2410" i="1"/>
  <c r="AT1535" i="1"/>
  <c r="N3064" i="1"/>
  <c r="U1905" i="1"/>
  <c r="D437" i="1"/>
  <c r="J2393" i="1"/>
  <c r="H2084" i="1"/>
  <c r="O1947" i="1"/>
  <c r="Q1625" i="1"/>
  <c r="AT868" i="1"/>
  <c r="D1571" i="1"/>
  <c r="Q799" i="1"/>
  <c r="M501" i="1"/>
  <c r="U558" i="1"/>
  <c r="O832" i="1"/>
  <c r="U1454" i="1"/>
  <c r="I1813" i="1"/>
  <c r="M2450" i="1"/>
  <c r="AT3224" i="1"/>
  <c r="P2082" i="1"/>
  <c r="P3502" i="1"/>
  <c r="U1487" i="1"/>
  <c r="P2466" i="1"/>
  <c r="J1025" i="1"/>
  <c r="I3440" i="1"/>
  <c r="J1321" i="1"/>
  <c r="M3131" i="1"/>
  <c r="J1147" i="1"/>
  <c r="AT1344" i="1"/>
  <c r="D2870" i="1"/>
  <c r="P1034" i="1"/>
  <c r="M2683" i="1"/>
  <c r="M2384" i="1"/>
  <c r="N3248" i="1"/>
  <c r="O3084" i="1"/>
  <c r="I563" i="1"/>
  <c r="N1536" i="1"/>
  <c r="D3540" i="1"/>
  <c r="P2906" i="1"/>
  <c r="J1252" i="1"/>
  <c r="N2986" i="1"/>
  <c r="H320" i="1"/>
  <c r="D2351" i="1"/>
  <c r="AT438" i="1"/>
  <c r="Q635" i="1"/>
  <c r="U2338" i="1"/>
  <c r="D74" i="1"/>
  <c r="D1987" i="1"/>
  <c r="K925" i="1"/>
  <c r="U1979" i="1"/>
  <c r="D3348" i="1"/>
  <c r="M422" i="1"/>
  <c r="H2336" i="1"/>
  <c r="AT1338" i="1"/>
  <c r="M2438" i="1"/>
  <c r="Q1212" i="1"/>
  <c r="AT1662" i="1"/>
  <c r="U100" i="1"/>
  <c r="O510" i="1"/>
  <c r="U2937" i="1"/>
  <c r="U159" i="1"/>
  <c r="N3246" i="1"/>
  <c r="U2330" i="1"/>
  <c r="M339" i="1"/>
  <c r="I987" i="1"/>
  <c r="Q1766" i="1"/>
  <c r="P3509" i="1"/>
  <c r="H2344" i="1"/>
  <c r="U1676" i="1"/>
  <c r="M2611" i="1"/>
  <c r="AT1059" i="1"/>
  <c r="M1593" i="1"/>
  <c r="U2713" i="1"/>
  <c r="P947" i="1"/>
  <c r="K847" i="1"/>
  <c r="P243" i="1"/>
  <c r="M2040" i="1"/>
  <c r="O1781" i="1"/>
  <c r="M3356" i="1"/>
  <c r="O2773" i="1"/>
  <c r="N1066" i="1"/>
  <c r="M847" i="1"/>
  <c r="Q2959" i="1"/>
  <c r="K3271" i="1"/>
  <c r="D2981" i="1"/>
  <c r="U3107" i="1"/>
  <c r="J2125" i="1"/>
  <c r="N3400" i="1"/>
  <c r="AT3078" i="1"/>
  <c r="Q2645" i="1"/>
  <c r="O838" i="1"/>
  <c r="P2831" i="1"/>
  <c r="H2616" i="1"/>
  <c r="D600" i="1"/>
  <c r="N1720" i="1"/>
  <c r="M2019" i="1"/>
  <c r="U2850" i="1"/>
  <c r="D3368" i="1"/>
  <c r="Q1368" i="1"/>
  <c r="AT2488" i="1"/>
  <c r="AT159" i="1"/>
  <c r="N2930" i="1"/>
  <c r="D2042" i="1"/>
  <c r="P443" i="1"/>
  <c r="K2524" i="1"/>
  <c r="P1002" i="1"/>
  <c r="AT423" i="1"/>
  <c r="Q1109" i="1"/>
  <c r="N2864" i="1"/>
  <c r="D2213" i="1"/>
  <c r="AT1739" i="1"/>
  <c r="H2640" i="1"/>
  <c r="N2652" i="1"/>
  <c r="Q2468" i="1"/>
  <c r="AT1194" i="1"/>
  <c r="H3592" i="1"/>
  <c r="P209" i="1"/>
  <c r="Q584" i="1"/>
  <c r="AT2164" i="1"/>
  <c r="H95" i="1"/>
  <c r="AT2589" i="1"/>
  <c r="Q1933" i="1"/>
  <c r="AT2748" i="1"/>
  <c r="D3169" i="1"/>
  <c r="P2579" i="1"/>
  <c r="O945" i="1"/>
  <c r="D448" i="1"/>
  <c r="O786" i="1"/>
  <c r="AT174" i="1"/>
  <c r="D3432" i="1"/>
  <c r="I2655" i="1"/>
  <c r="O2905" i="1"/>
  <c r="AT524" i="1"/>
  <c r="Q2902" i="1"/>
  <c r="P2643" i="1"/>
  <c r="AT3505" i="1"/>
  <c r="N967" i="1"/>
  <c r="P2384" i="1"/>
  <c r="M190" i="1"/>
  <c r="D43" i="1"/>
  <c r="P94" i="1"/>
  <c r="P3615" i="1"/>
  <c r="U3411" i="1"/>
  <c r="N926" i="1"/>
  <c r="U1077" i="1"/>
  <c r="AT208" i="1"/>
  <c r="AT1793" i="1"/>
  <c r="P2334" i="1"/>
  <c r="D3557" i="1"/>
  <c r="H743" i="1"/>
  <c r="O2759" i="1"/>
  <c r="U1718" i="1"/>
  <c r="O456" i="1"/>
  <c r="Q950" i="1"/>
  <c r="M1496" i="1"/>
  <c r="M924" i="1"/>
  <c r="I3183" i="1"/>
  <c r="P592" i="1"/>
  <c r="O1224" i="1"/>
  <c r="O1138" i="1"/>
  <c r="Q2396" i="1"/>
  <c r="D1071" i="1"/>
  <c r="M2266" i="1"/>
  <c r="O2559" i="1"/>
  <c r="P2420" i="1"/>
  <c r="D2682" i="1"/>
  <c r="H2083" i="1"/>
  <c r="U2887" i="1"/>
  <c r="U1714" i="1"/>
  <c r="U3008" i="1"/>
  <c r="N2313" i="1"/>
  <c r="O494" i="1"/>
  <c r="H2146" i="1"/>
  <c r="Q2095" i="1"/>
  <c r="H819" i="1"/>
  <c r="M2147" i="1"/>
  <c r="H610" i="1"/>
  <c r="U1671" i="1"/>
  <c r="D1649" i="1"/>
  <c r="AT946" i="1"/>
  <c r="N3081" i="1"/>
  <c r="H2321" i="1"/>
  <c r="H2284" i="1"/>
  <c r="N1772" i="1"/>
  <c r="J2431" i="1"/>
  <c r="U3547" i="1"/>
  <c r="I2459" i="1"/>
  <c r="AT1582" i="1"/>
  <c r="D2290" i="1"/>
  <c r="D1004" i="1"/>
  <c r="D270" i="1"/>
  <c r="M1330" i="1"/>
  <c r="U2962" i="1"/>
  <c r="O2241" i="1"/>
  <c r="H1308" i="1"/>
  <c r="D1411" i="1"/>
  <c r="N1684" i="1"/>
  <c r="AT3485" i="1"/>
  <c r="D2695" i="1"/>
  <c r="N903" i="1"/>
  <c r="J1199" i="1"/>
  <c r="AT2816" i="1"/>
  <c r="D892" i="1"/>
  <c r="N2062" i="1"/>
  <c r="P3530" i="1"/>
  <c r="O2585" i="1"/>
  <c r="H296" i="1"/>
  <c r="I3402" i="1"/>
  <c r="H2427" i="1"/>
  <c r="H2015" i="1"/>
  <c r="J2436" i="1"/>
  <c r="Q1555" i="1"/>
  <c r="D342" i="1"/>
  <c r="P3482" i="1"/>
  <c r="AT3167" i="1"/>
  <c r="M2468" i="1"/>
  <c r="I3296" i="1"/>
  <c r="H3614" i="1"/>
  <c r="I3306" i="1"/>
  <c r="D950" i="1"/>
  <c r="D455" i="1"/>
  <c r="U2186" i="1"/>
  <c r="AT2447" i="1"/>
  <c r="D997" i="1"/>
  <c r="Q3152" i="1"/>
  <c r="H3352" i="1"/>
  <c r="J2657" i="1"/>
  <c r="AT2389" i="1"/>
  <c r="P1920" i="1"/>
  <c r="U2393" i="1"/>
  <c r="AT1063" i="1"/>
  <c r="P1996" i="1"/>
  <c r="AT922" i="1"/>
  <c r="M756" i="1"/>
  <c r="N594" i="1"/>
  <c r="P1585" i="1"/>
  <c r="O868" i="1"/>
  <c r="H3360" i="1"/>
  <c r="M686" i="1"/>
  <c r="AT1241" i="1"/>
  <c r="Q2999" i="1"/>
  <c r="K2725" i="1"/>
  <c r="O3181" i="1"/>
  <c r="M667" i="1"/>
  <c r="K1939" i="1"/>
  <c r="AT1018" i="1"/>
  <c r="U2328" i="1"/>
  <c r="M2895" i="1"/>
  <c r="J2631" i="1"/>
  <c r="Q1082" i="1"/>
  <c r="M1015" i="1"/>
  <c r="U2621" i="1"/>
  <c r="N701" i="1"/>
  <c r="J979" i="1"/>
  <c r="I839" i="1"/>
  <c r="M1116" i="1"/>
  <c r="M2529" i="1"/>
  <c r="D3234" i="1"/>
  <c r="P2140" i="1"/>
  <c r="P2710" i="1"/>
  <c r="Q2576" i="1"/>
  <c r="O467" i="1"/>
  <c r="M1886" i="1"/>
  <c r="N869" i="1"/>
  <c r="M2028" i="1"/>
  <c r="J680" i="1"/>
  <c r="AT736" i="1"/>
  <c r="D3305" i="1"/>
  <c r="H137" i="1"/>
  <c r="H162" i="1"/>
  <c r="J1718" i="1"/>
  <c r="AT2706" i="1"/>
  <c r="O1484" i="1"/>
  <c r="I520" i="1"/>
  <c r="D3000" i="1"/>
  <c r="U1165" i="1"/>
  <c r="N2797" i="1"/>
  <c r="I1789" i="1"/>
  <c r="AT1547" i="1"/>
  <c r="M3523" i="1"/>
  <c r="I2982" i="1"/>
  <c r="O903" i="1"/>
  <c r="P1980" i="1"/>
  <c r="AT2803" i="1"/>
  <c r="P1289" i="1"/>
  <c r="N1766" i="1"/>
  <c r="H3513" i="1"/>
  <c r="O2459" i="1"/>
  <c r="AT3570" i="1"/>
  <c r="N382" i="1"/>
  <c r="I1859" i="1"/>
  <c r="N2209" i="1"/>
  <c r="I669" i="1"/>
  <c r="Q581" i="1"/>
  <c r="U1612" i="1"/>
  <c r="P3084" i="1"/>
  <c r="AT2395" i="1"/>
  <c r="J459" i="1"/>
  <c r="U477" i="1"/>
  <c r="AT1923" i="1"/>
  <c r="D2363" i="1"/>
  <c r="AT1927" i="1"/>
  <c r="H808" i="1"/>
  <c r="M421" i="1"/>
  <c r="M1849" i="1"/>
  <c r="N3610" i="1"/>
  <c r="K1888" i="1"/>
  <c r="U583" i="1"/>
  <c r="AT1306" i="1"/>
  <c r="D3220" i="1"/>
  <c r="AT3268" i="1"/>
  <c r="H2465" i="1"/>
  <c r="H1040" i="1"/>
  <c r="I1575" i="1"/>
  <c r="O3629" i="1"/>
  <c r="U3251" i="1"/>
  <c r="P1111" i="1"/>
  <c r="H319" i="1"/>
  <c r="I1791" i="1"/>
  <c r="D2209" i="1"/>
  <c r="N656" i="1"/>
  <c r="O283" i="1"/>
  <c r="P1640" i="1"/>
  <c r="AT1122" i="1"/>
  <c r="D2823" i="1"/>
  <c r="O801" i="1"/>
  <c r="Q665" i="1"/>
  <c r="M806" i="1"/>
  <c r="I2368" i="1"/>
  <c r="Q3244" i="1"/>
  <c r="Q1020" i="1"/>
  <c r="M1385" i="1"/>
  <c r="M2952" i="1"/>
  <c r="AT2492" i="1"/>
  <c r="M1582" i="1"/>
  <c r="AT2759" i="1"/>
  <c r="N520" i="1"/>
  <c r="D1429" i="1"/>
  <c r="M242" i="1"/>
  <c r="H2025" i="1"/>
  <c r="I2857" i="1"/>
  <c r="P2911" i="1"/>
  <c r="P254" i="1"/>
  <c r="N1661" i="1"/>
  <c r="M2346" i="1"/>
  <c r="P2273" i="1"/>
  <c r="P1114" i="1"/>
  <c r="D1251" i="1"/>
  <c r="Q2692" i="1"/>
  <c r="N703" i="1"/>
  <c r="P2395" i="1"/>
  <c r="N2884" i="1"/>
  <c r="H3474" i="1"/>
  <c r="N554" i="1"/>
  <c r="N841" i="1"/>
  <c r="O472" i="1"/>
  <c r="O3452" i="1"/>
  <c r="O984" i="1"/>
  <c r="I3295" i="1"/>
  <c r="AT1285" i="1"/>
  <c r="U3352" i="1"/>
  <c r="P1775" i="1"/>
  <c r="U2953" i="1"/>
  <c r="N2027" i="1"/>
  <c r="AT2804" i="1"/>
  <c r="N2859" i="1"/>
  <c r="K914" i="1"/>
  <c r="M2541" i="1"/>
  <c r="N865" i="1"/>
  <c r="O1662" i="1"/>
  <c r="M277" i="1"/>
  <c r="P1846" i="1"/>
  <c r="H2900" i="1"/>
  <c r="M1431" i="1"/>
  <c r="O1244" i="1"/>
  <c r="AT1498" i="1"/>
  <c r="J415" i="1"/>
  <c r="O3592" i="1"/>
  <c r="AT455" i="1"/>
  <c r="D2693" i="1"/>
  <c r="O783" i="1"/>
  <c r="O1797" i="1"/>
  <c r="Q2148" i="1"/>
  <c r="N650" i="1"/>
  <c r="K2911" i="1"/>
  <c r="M2726" i="1"/>
  <c r="Q3436" i="1"/>
  <c r="P269" i="1"/>
  <c r="O843" i="1"/>
  <c r="N3409" i="1"/>
  <c r="D1162" i="1"/>
  <c r="K1637" i="1"/>
  <c r="J3259" i="1"/>
  <c r="D326" i="1"/>
  <c r="AT2005" i="1"/>
  <c r="N2566" i="1"/>
  <c r="O1545" i="1"/>
  <c r="Q2433" i="1"/>
  <c r="Q3298" i="1"/>
  <c r="D1275" i="1"/>
  <c r="Q3570" i="1"/>
  <c r="P108" i="1"/>
  <c r="P971" i="1"/>
  <c r="D1227" i="1"/>
  <c r="M2782" i="1"/>
  <c r="D654" i="1"/>
  <c r="AT2067" i="1"/>
  <c r="AT215" i="1"/>
  <c r="U1580" i="1"/>
  <c r="AT252" i="1"/>
  <c r="D879" i="1"/>
  <c r="AT2963" i="1"/>
  <c r="J3604" i="1"/>
  <c r="H2051" i="1"/>
  <c r="AT2581" i="1"/>
  <c r="N199" i="1"/>
  <c r="D1702" i="1"/>
  <c r="O1009" i="1"/>
  <c r="N225" i="1"/>
  <c r="D460" i="1"/>
  <c r="O833" i="1"/>
  <c r="D3147" i="1"/>
  <c r="O3371" i="1"/>
  <c r="H1984" i="1"/>
  <c r="M3306" i="1"/>
  <c r="H1673" i="1"/>
  <c r="O2271" i="1"/>
  <c r="AT2988" i="1"/>
  <c r="N1008" i="1"/>
  <c r="O1578" i="1"/>
  <c r="H2759" i="1"/>
  <c r="P882" i="1"/>
  <c r="D219" i="1"/>
  <c r="AT1110" i="1"/>
  <c r="D1124" i="1"/>
  <c r="U1440" i="1"/>
  <c r="Q1480" i="1"/>
  <c r="H3072" i="1"/>
  <c r="AT25" i="1"/>
  <c r="I3424" i="1"/>
  <c r="AT3023" i="1"/>
  <c r="O884" i="1"/>
  <c r="M1705" i="1"/>
  <c r="I2526" i="1"/>
  <c r="M3458" i="1"/>
  <c r="Q2925" i="1"/>
  <c r="I220" i="1"/>
  <c r="K3394" i="1"/>
  <c r="P1438" i="1"/>
  <c r="K478" i="1"/>
  <c r="I737" i="1"/>
  <c r="O2129" i="1"/>
  <c r="Q1493" i="1"/>
  <c r="J2958" i="1"/>
  <c r="I1478" i="1"/>
  <c r="O1584" i="1"/>
  <c r="I1492" i="1"/>
  <c r="O2663" i="1"/>
  <c r="M1328" i="1"/>
  <c r="U8" i="1"/>
  <c r="K3465" i="1"/>
  <c r="K1520" i="1"/>
  <c r="M2962" i="1"/>
  <c r="N3058" i="1"/>
  <c r="AT1727" i="1"/>
  <c r="D3280" i="1"/>
  <c r="U2075" i="1"/>
  <c r="P864" i="1"/>
  <c r="O2625" i="1"/>
  <c r="Q1553" i="1"/>
  <c r="Q841" i="1"/>
  <c r="U423" i="1"/>
  <c r="O35" i="1"/>
  <c r="H1722" i="1"/>
  <c r="D894" i="1"/>
  <c r="D3323" i="1"/>
  <c r="M842" i="1"/>
  <c r="N2532" i="1"/>
  <c r="N1254" i="1"/>
  <c r="AT2866" i="1"/>
  <c r="AT3059" i="1"/>
  <c r="U614" i="1"/>
  <c r="D2544" i="1"/>
  <c r="Q3064" i="1"/>
  <c r="N2968" i="1"/>
  <c r="O1367" i="1"/>
  <c r="U2213" i="1"/>
  <c r="O1057" i="1"/>
  <c r="I941" i="1"/>
  <c r="N1691" i="1"/>
  <c r="D3594" i="1"/>
  <c r="P2167" i="1"/>
  <c r="D1838" i="1"/>
  <c r="O1166" i="1"/>
  <c r="M3017" i="1"/>
  <c r="N40" i="1"/>
  <c r="AT762" i="1"/>
  <c r="J794" i="1"/>
  <c r="M1181" i="1"/>
  <c r="U1453" i="1"/>
  <c r="P2038" i="1"/>
  <c r="D2712" i="1"/>
  <c r="H2237" i="1"/>
  <c r="AT1776" i="1"/>
  <c r="AT3105" i="1"/>
  <c r="J880" i="1"/>
  <c r="U3244" i="1"/>
  <c r="P2656" i="1"/>
  <c r="J864" i="1"/>
  <c r="D365" i="1"/>
  <c r="AT230" i="1"/>
  <c r="N2002" i="1"/>
  <c r="H2566" i="1"/>
  <c r="O3621" i="1"/>
  <c r="O1006" i="1"/>
  <c r="H402" i="1"/>
  <c r="AT715" i="1"/>
  <c r="D1798" i="1"/>
  <c r="AT1933" i="1"/>
  <c r="J1710" i="1"/>
  <c r="AT1197" i="1"/>
  <c r="U1548" i="1"/>
  <c r="M748" i="1"/>
  <c r="AT1588" i="1"/>
  <c r="M2989" i="1"/>
  <c r="P3613" i="1"/>
  <c r="D2356" i="1"/>
  <c r="N1169" i="1"/>
  <c r="N318" i="1"/>
  <c r="P290" i="1"/>
  <c r="N1344" i="1"/>
  <c r="H1587" i="1"/>
  <c r="O98" i="1"/>
  <c r="H3334" i="1"/>
  <c r="U1575" i="1"/>
  <c r="P2281" i="1"/>
  <c r="AT1490" i="1"/>
  <c r="I1582" i="1"/>
  <c r="D505" i="1"/>
  <c r="N3066" i="1"/>
  <c r="AT2615" i="1"/>
  <c r="M2142" i="1"/>
  <c r="M15" i="1"/>
  <c r="I2886" i="1"/>
  <c r="M2939" i="1"/>
  <c r="M1570" i="1"/>
  <c r="AT1092" i="1"/>
  <c r="D480" i="1"/>
  <c r="M1729" i="1"/>
  <c r="H2159" i="1"/>
  <c r="N958" i="1"/>
  <c r="U1988" i="1"/>
  <c r="M1939" i="1"/>
  <c r="M3112" i="1"/>
  <c r="AT1314" i="1"/>
  <c r="Q2504" i="1"/>
  <c r="Q1914" i="1"/>
  <c r="N3188" i="1"/>
  <c r="K2613" i="1"/>
  <c r="D2017" i="1"/>
  <c r="Q1871" i="1"/>
  <c r="P128" i="1"/>
  <c r="J877" i="1"/>
  <c r="O2157" i="1"/>
  <c r="H463" i="1"/>
  <c r="Q559" i="1"/>
  <c r="D211" i="1"/>
  <c r="J3512" i="1"/>
  <c r="AT1513" i="1"/>
  <c r="Q2483" i="1"/>
  <c r="D322" i="1"/>
  <c r="D766" i="1"/>
  <c r="D2739" i="1"/>
  <c r="M2624" i="1"/>
  <c r="Q52" i="1"/>
  <c r="N1583" i="1"/>
  <c r="D196" i="1"/>
  <c r="J1965" i="1"/>
  <c r="H3115" i="1"/>
  <c r="O1352" i="1"/>
  <c r="O2795" i="1"/>
  <c r="P474" i="1"/>
  <c r="M948" i="1"/>
  <c r="N2691" i="1"/>
  <c r="P2362" i="1"/>
  <c r="N2705" i="1"/>
  <c r="D1631" i="1"/>
  <c r="P1847" i="1"/>
  <c r="J3004" i="1"/>
  <c r="O2674" i="1"/>
  <c r="H2665" i="1"/>
  <c r="O1749" i="1"/>
  <c r="P3399" i="1"/>
  <c r="O2043" i="1"/>
  <c r="U2325" i="1"/>
  <c r="K892" i="1"/>
  <c r="N3130" i="1"/>
  <c r="N194" i="1"/>
  <c r="AT567" i="1"/>
  <c r="K434" i="1"/>
  <c r="M2509" i="1"/>
  <c r="D2438" i="1"/>
  <c r="P1868" i="1"/>
  <c r="I2924" i="1"/>
  <c r="N3494" i="1"/>
  <c r="Q2652" i="1"/>
  <c r="O2246" i="1"/>
  <c r="AT927" i="1"/>
  <c r="N117" i="1"/>
  <c r="Q3425" i="1"/>
  <c r="P1909" i="1"/>
  <c r="D1099" i="1"/>
  <c r="Q1849" i="1"/>
  <c r="K2200" i="1"/>
  <c r="D2466" i="1"/>
  <c r="AT1652" i="1"/>
  <c r="AT1950" i="1"/>
  <c r="D2091" i="1"/>
  <c r="AT1558" i="1"/>
  <c r="J3497" i="1"/>
  <c r="M1555" i="1"/>
  <c r="U1488" i="1"/>
  <c r="I2927" i="1"/>
  <c r="M442" i="1"/>
  <c r="H2627" i="1"/>
  <c r="AT3498" i="1"/>
  <c r="D1032" i="1"/>
  <c r="M1785" i="1"/>
  <c r="N2175" i="1"/>
  <c r="Q1323" i="1"/>
  <c r="AT1659" i="1"/>
  <c r="P1721" i="1"/>
  <c r="H3530" i="1"/>
  <c r="K3193" i="1"/>
  <c r="AT1694" i="1"/>
  <c r="J3003" i="1"/>
  <c r="AT1525" i="1"/>
  <c r="O2838" i="1"/>
  <c r="AT1398" i="1"/>
  <c r="Q1534" i="1"/>
  <c r="N3336" i="1"/>
  <c r="O1753" i="1"/>
  <c r="K1846" i="1"/>
  <c r="D3559" i="1"/>
  <c r="N1944" i="1"/>
  <c r="O2706" i="1"/>
  <c r="Q83" i="1"/>
  <c r="N2208" i="1"/>
  <c r="I843" i="1"/>
  <c r="Q3037" i="1"/>
  <c r="M1964" i="1"/>
  <c r="U111" i="1"/>
  <c r="D3097" i="1"/>
  <c r="P1232" i="1"/>
  <c r="O2332" i="1"/>
  <c r="K3153" i="1"/>
  <c r="P2101" i="1"/>
  <c r="H1949" i="1"/>
  <c r="H3159" i="1"/>
  <c r="D2358" i="1"/>
  <c r="AT3379" i="1"/>
  <c r="M2491" i="1"/>
  <c r="K3629" i="1"/>
  <c r="Q2588" i="1"/>
  <c r="H3341" i="1"/>
  <c r="P2629" i="1"/>
  <c r="O1305" i="1"/>
  <c r="AT1580" i="1"/>
  <c r="P2616" i="1"/>
  <c r="M2229" i="1"/>
  <c r="H1036" i="1"/>
  <c r="J2816" i="1"/>
  <c r="AT371" i="1"/>
  <c r="Q1375" i="1"/>
  <c r="M38" i="1"/>
  <c r="P2234" i="1"/>
  <c r="U2719" i="1"/>
  <c r="U372" i="1"/>
  <c r="U3374" i="1"/>
  <c r="Q3545" i="1"/>
  <c r="Q2626" i="1"/>
  <c r="Q2726" i="1"/>
  <c r="O2825" i="1"/>
  <c r="Q2686" i="1"/>
  <c r="H1095" i="1"/>
  <c r="J3595" i="1"/>
  <c r="P302" i="1"/>
  <c r="D2502" i="1"/>
  <c r="AT2340" i="1"/>
  <c r="H3093" i="1"/>
  <c r="O498" i="1"/>
  <c r="N583" i="1"/>
  <c r="U2611" i="1"/>
  <c r="M1095" i="1"/>
  <c r="P3022" i="1"/>
  <c r="AT244" i="1"/>
  <c r="J1238" i="1"/>
  <c r="D515" i="1"/>
  <c r="M1524" i="1"/>
  <c r="U2862" i="1"/>
  <c r="J609" i="1"/>
  <c r="N904" i="1"/>
  <c r="J2763" i="1"/>
  <c r="P495" i="1"/>
  <c r="M2992" i="1"/>
  <c r="U3351" i="1"/>
  <c r="D2137" i="1"/>
  <c r="D2353" i="1"/>
  <c r="I2897" i="1"/>
  <c r="I3436" i="1"/>
  <c r="J2639" i="1"/>
  <c r="J3440" i="1"/>
  <c r="O2329" i="1"/>
  <c r="N3005" i="1"/>
  <c r="D1825" i="1"/>
  <c r="AT3555" i="1"/>
  <c r="D3494" i="1"/>
  <c r="H2230" i="1"/>
  <c r="Q1400" i="1"/>
  <c r="AT3270" i="1"/>
  <c r="M996" i="1"/>
  <c r="M1094" i="1"/>
  <c r="P1204" i="1"/>
  <c r="AT385" i="1"/>
  <c r="N1454" i="1"/>
  <c r="Q3613" i="1"/>
  <c r="O223" i="1"/>
  <c r="P2697" i="1"/>
  <c r="O2509" i="1"/>
  <c r="K563" i="1"/>
  <c r="U561" i="1"/>
  <c r="O183" i="1"/>
  <c r="AT774" i="1"/>
  <c r="D3420" i="1"/>
  <c r="AT440" i="1"/>
  <c r="Q2761" i="1"/>
  <c r="U1203" i="1"/>
  <c r="AT2824" i="1"/>
  <c r="N1857" i="1"/>
  <c r="N1368" i="1"/>
  <c r="H1174" i="1"/>
  <c r="I1530" i="1"/>
  <c r="Q3429" i="1"/>
  <c r="M936" i="1"/>
  <c r="Q864" i="1"/>
  <c r="J3032" i="1"/>
  <c r="Q97" i="1"/>
  <c r="N226" i="1"/>
  <c r="N570" i="1"/>
  <c r="AT310" i="1"/>
  <c r="D1944" i="1"/>
  <c r="O2276" i="1"/>
  <c r="N2474" i="1"/>
  <c r="N1991" i="1"/>
  <c r="U2948" i="1"/>
  <c r="P1073" i="1"/>
  <c r="N3467" i="1"/>
  <c r="AT2769" i="1"/>
  <c r="J3609" i="1"/>
  <c r="D127" i="1"/>
  <c r="U3186" i="1"/>
  <c r="H378" i="1"/>
  <c r="N2144" i="1"/>
  <c r="P569" i="1"/>
  <c r="H61" i="1"/>
  <c r="I1544" i="1"/>
  <c r="AT814" i="1"/>
  <c r="D1447" i="1"/>
  <c r="U1111" i="1"/>
  <c r="M2638" i="1"/>
  <c r="H957" i="1"/>
  <c r="AT3468" i="1"/>
  <c r="O1508" i="1"/>
  <c r="P2882" i="1"/>
  <c r="N1328" i="1"/>
  <c r="I1600" i="1"/>
  <c r="N2622" i="1"/>
  <c r="D621" i="1"/>
  <c r="O2239" i="1"/>
  <c r="N142" i="1"/>
  <c r="D1977" i="1"/>
  <c r="M783" i="1"/>
  <c r="D2857" i="1"/>
  <c r="N2381" i="1"/>
  <c r="Q468" i="1"/>
  <c r="N2286" i="1"/>
  <c r="M2667" i="1"/>
  <c r="P2238" i="1"/>
  <c r="P2474" i="1"/>
  <c r="P2718" i="1"/>
  <c r="P396" i="1"/>
  <c r="N3177" i="1"/>
  <c r="U3518" i="1"/>
  <c r="D2719" i="1"/>
  <c r="H1606" i="1"/>
  <c r="O2394" i="1"/>
  <c r="N3300" i="1"/>
  <c r="I1933" i="1"/>
  <c r="U668" i="1"/>
  <c r="O1615" i="1"/>
  <c r="I103" i="1"/>
  <c r="O1433" i="1"/>
  <c r="U2646" i="1"/>
  <c r="Q3387" i="1"/>
  <c r="O3052" i="1"/>
  <c r="O939" i="1"/>
  <c r="J3388" i="1"/>
  <c r="AT1316" i="1"/>
  <c r="AT3606" i="1"/>
  <c r="H2790" i="1"/>
  <c r="D1144" i="1"/>
  <c r="M2542" i="1"/>
  <c r="N154" i="1"/>
  <c r="N1801" i="1"/>
  <c r="N1472" i="1"/>
  <c r="D2491" i="1"/>
  <c r="H1382" i="1"/>
  <c r="P2187" i="1"/>
  <c r="D2408" i="1"/>
  <c r="M3059" i="1"/>
  <c r="O1731" i="1"/>
  <c r="O526" i="1"/>
  <c r="N1709" i="1"/>
  <c r="J2571" i="1"/>
  <c r="U2058" i="1"/>
  <c r="O724" i="1"/>
  <c r="Q3083" i="1"/>
  <c r="N1271" i="1"/>
  <c r="D1846" i="1"/>
  <c r="O1384" i="1"/>
  <c r="U309" i="1"/>
  <c r="N3271" i="1"/>
  <c r="I1690" i="1"/>
  <c r="H3287" i="1"/>
  <c r="AT3624" i="1"/>
  <c r="N1202" i="1"/>
  <c r="N1650" i="1"/>
  <c r="D2410" i="1"/>
  <c r="M2690" i="1"/>
  <c r="Q2205" i="1"/>
  <c r="H2539" i="1"/>
  <c r="N3157" i="1"/>
  <c r="K1589" i="1"/>
  <c r="U469" i="1"/>
  <c r="M1109" i="1"/>
  <c r="U344" i="1"/>
  <c r="U418" i="1"/>
  <c r="O1334" i="1"/>
  <c r="P2011" i="1"/>
  <c r="Q2260" i="1"/>
  <c r="J1937" i="1"/>
  <c r="N3618" i="1"/>
  <c r="D1136" i="1"/>
  <c r="N2177" i="1"/>
  <c r="D704" i="1"/>
  <c r="M297" i="1"/>
  <c r="U3282" i="1"/>
  <c r="D874" i="1"/>
  <c r="O2224" i="1"/>
  <c r="N1058" i="1"/>
  <c r="D3100" i="1"/>
  <c r="O241" i="1"/>
  <c r="AT2771" i="1"/>
  <c r="P2712" i="1"/>
  <c r="D1230" i="1"/>
  <c r="AT956" i="1"/>
  <c r="I29" i="1"/>
  <c r="J2024" i="1"/>
  <c r="O1497" i="1"/>
  <c r="AT218" i="1"/>
  <c r="D3105" i="1"/>
  <c r="P922" i="1"/>
  <c r="D3068" i="1"/>
  <c r="D519" i="1"/>
  <c r="J803" i="1"/>
  <c r="J2794" i="1"/>
  <c r="AT1909" i="1"/>
  <c r="U709" i="1"/>
  <c r="N3202" i="1"/>
  <c r="I2018" i="1"/>
  <c r="K1266" i="1"/>
  <c r="M2292" i="1"/>
  <c r="Q1466" i="1"/>
  <c r="Q1223" i="1"/>
  <c r="Q1282" i="1"/>
  <c r="M2929" i="1"/>
  <c r="U9" i="1"/>
  <c r="N2830" i="1"/>
  <c r="U191" i="1"/>
  <c r="P3593" i="1"/>
  <c r="U1499" i="1"/>
  <c r="Q1185" i="1"/>
  <c r="I2891" i="1"/>
  <c r="O760" i="1"/>
  <c r="U550" i="1"/>
  <c r="M86" i="1"/>
  <c r="O2293" i="1"/>
  <c r="O1643" i="1"/>
  <c r="M2212" i="1"/>
  <c r="P826" i="1"/>
  <c r="H1064" i="1"/>
  <c r="P974" i="1"/>
  <c r="AT2254" i="1"/>
  <c r="Q2243" i="1"/>
  <c r="D2667" i="1"/>
  <c r="AT2677" i="1"/>
  <c r="P1330" i="1"/>
  <c r="J2591" i="1"/>
  <c r="H2469" i="1"/>
  <c r="U626" i="1"/>
  <c r="H1405" i="1"/>
  <c r="D3270" i="1"/>
  <c r="D1150" i="1"/>
  <c r="U2922" i="1"/>
  <c r="P59" i="1"/>
  <c r="U1562" i="1"/>
  <c r="M1669" i="1"/>
  <c r="AT805" i="1"/>
  <c r="N1841" i="1"/>
  <c r="U979" i="1"/>
  <c r="N665" i="1"/>
  <c r="O375" i="1"/>
  <c r="U1183" i="1"/>
  <c r="N1059" i="1"/>
  <c r="U1087" i="1"/>
  <c r="K1650" i="1"/>
  <c r="M987" i="1"/>
  <c r="Q457" i="1"/>
  <c r="K344" i="1"/>
  <c r="AT3323" i="1"/>
  <c r="U486" i="1"/>
  <c r="AT1478" i="1"/>
  <c r="K1361" i="1"/>
  <c r="P2833" i="1"/>
  <c r="U3145" i="1"/>
  <c r="P2529" i="1"/>
  <c r="AT2236" i="1"/>
  <c r="H2424" i="1"/>
  <c r="AT2894" i="1"/>
  <c r="J2475" i="1"/>
  <c r="Q697" i="1"/>
  <c r="P1059" i="1"/>
  <c r="P2847" i="1"/>
  <c r="U2260" i="1"/>
  <c r="D2633" i="1"/>
  <c r="D254" i="1"/>
  <c r="I868" i="1"/>
  <c r="O420" i="1"/>
  <c r="O313" i="1"/>
  <c r="N1137" i="1"/>
  <c r="D3089" i="1"/>
  <c r="Q3578" i="1"/>
  <c r="P732" i="1"/>
  <c r="O1782" i="1"/>
  <c r="I1183" i="1"/>
  <c r="K1889" i="1"/>
  <c r="J2197" i="1"/>
  <c r="M705" i="1"/>
  <c r="N1244" i="1"/>
  <c r="M2056" i="1"/>
  <c r="O1642" i="1"/>
  <c r="H1983" i="1"/>
  <c r="O476" i="1"/>
  <c r="H3364" i="1"/>
  <c r="O930" i="1"/>
  <c r="D3522" i="1"/>
  <c r="N1929" i="1"/>
  <c r="AT3252" i="1"/>
  <c r="M1842" i="1"/>
  <c r="N889" i="1"/>
  <c r="D324" i="1"/>
  <c r="N1845" i="1"/>
  <c r="P1595" i="1"/>
  <c r="U1692" i="1"/>
  <c r="D148" i="1"/>
  <c r="O2131" i="1"/>
  <c r="I1086" i="1"/>
  <c r="I2987" i="1"/>
  <c r="N3033" i="1"/>
  <c r="Q851" i="1"/>
  <c r="Q2087" i="1"/>
  <c r="N2768" i="1"/>
  <c r="M52" i="1"/>
  <c r="O1408" i="1"/>
  <c r="N2395" i="1"/>
  <c r="N3423" i="1"/>
  <c r="P2197" i="1"/>
  <c r="P2259" i="1"/>
  <c r="U3086" i="1"/>
  <c r="Q699" i="1"/>
  <c r="I2622" i="1"/>
  <c r="J2086" i="1"/>
  <c r="AT1473" i="1"/>
  <c r="D2405" i="1"/>
  <c r="M3403" i="1"/>
  <c r="K2686" i="1"/>
  <c r="J1114" i="1"/>
  <c r="O214" i="1"/>
  <c r="N2738" i="1"/>
  <c r="N1756" i="1"/>
  <c r="J2387" i="1"/>
  <c r="AT823" i="1"/>
  <c r="U3308" i="1"/>
  <c r="J953" i="1"/>
  <c r="M2117" i="1"/>
  <c r="AT76" i="1"/>
  <c r="N2101" i="1"/>
  <c r="AT3377" i="1"/>
  <c r="M2140" i="1"/>
  <c r="P1174" i="1"/>
  <c r="AT3511" i="1"/>
  <c r="U925" i="1"/>
  <c r="H2191" i="1"/>
  <c r="M1702" i="1"/>
  <c r="D3553" i="1"/>
  <c r="U2777" i="1"/>
  <c r="Q1786" i="1"/>
  <c r="J388" i="1"/>
  <c r="U2357" i="1"/>
  <c r="AT1677" i="1"/>
  <c r="P2574" i="1"/>
  <c r="M1525" i="1"/>
  <c r="U2376" i="1"/>
  <c r="Q3477" i="1"/>
  <c r="U99" i="1"/>
  <c r="D3520" i="1"/>
  <c r="H3274" i="1"/>
  <c r="U327" i="1"/>
  <c r="M1811" i="1"/>
  <c r="D1427" i="1"/>
  <c r="Q3093" i="1"/>
  <c r="D3026" i="1"/>
  <c r="N3185" i="1"/>
  <c r="I2808" i="1"/>
  <c r="P2320" i="1"/>
  <c r="AT3382" i="1"/>
  <c r="N727" i="1"/>
  <c r="J3065" i="1"/>
  <c r="D775" i="1"/>
  <c r="P2296" i="1"/>
  <c r="AT347" i="1"/>
  <c r="U2026" i="1"/>
  <c r="AT2557" i="1"/>
  <c r="AT2213" i="1"/>
  <c r="Q434" i="1"/>
  <c r="U2045" i="1"/>
  <c r="J2978" i="1"/>
  <c r="AT2907" i="1"/>
  <c r="M2954" i="1"/>
  <c r="N2503" i="1"/>
  <c r="N1146" i="1"/>
  <c r="AT1643" i="1"/>
  <c r="J1637" i="1"/>
  <c r="H1369" i="1"/>
  <c r="D3075" i="1"/>
  <c r="D810" i="1"/>
  <c r="J639" i="1"/>
  <c r="O2940" i="1"/>
  <c r="O1301" i="1"/>
  <c r="N989" i="1"/>
  <c r="M2119" i="1"/>
  <c r="M3585" i="1"/>
  <c r="Q1162" i="1"/>
  <c r="D3156" i="1"/>
  <c r="P1299" i="1"/>
  <c r="J2089" i="1"/>
  <c r="P3329" i="1"/>
  <c r="N3587" i="1"/>
  <c r="N329" i="1"/>
  <c r="K937" i="1"/>
  <c r="H1250" i="1"/>
  <c r="M535" i="1"/>
  <c r="O324" i="1"/>
  <c r="AT2923" i="1"/>
  <c r="AT1744" i="1"/>
  <c r="Q1870" i="1"/>
  <c r="J2952" i="1"/>
  <c r="AT454" i="1"/>
  <c r="H2753" i="1"/>
  <c r="N1026" i="1"/>
  <c r="N1893" i="1"/>
  <c r="Q1730" i="1"/>
  <c r="D942" i="1"/>
  <c r="D1484" i="1"/>
  <c r="H2677" i="1"/>
  <c r="Q80" i="1"/>
  <c r="AT1528" i="1"/>
  <c r="P800" i="1"/>
  <c r="U2810" i="1"/>
  <c r="O1381" i="1"/>
  <c r="U262" i="1"/>
  <c r="AT3212" i="1"/>
  <c r="I971" i="1"/>
  <c r="M3538" i="1"/>
  <c r="D2324" i="1"/>
  <c r="Q3032" i="1"/>
  <c r="Q2673" i="1"/>
  <c r="N44" i="1"/>
  <c r="K890" i="1"/>
  <c r="AT1904" i="1"/>
  <c r="AT3576" i="1"/>
  <c r="P1974" i="1"/>
  <c r="D1129" i="1"/>
  <c r="O2426" i="1"/>
  <c r="M1300" i="1"/>
  <c r="AT1077" i="1"/>
  <c r="J3222" i="1"/>
  <c r="M2275" i="1"/>
  <c r="M961" i="1"/>
  <c r="O2068" i="1"/>
  <c r="H2650" i="1"/>
  <c r="N2423" i="1"/>
  <c r="D3297" i="1"/>
  <c r="I3162" i="1"/>
  <c r="I2340" i="1"/>
  <c r="I3251" i="1"/>
  <c r="N3384" i="1"/>
  <c r="P2883" i="1"/>
  <c r="M631" i="1"/>
  <c r="J787" i="1"/>
  <c r="M2543" i="1"/>
  <c r="AT2151" i="1"/>
  <c r="AT2269" i="1"/>
  <c r="D533" i="1"/>
  <c r="Q319" i="1"/>
  <c r="AT2701" i="1"/>
  <c r="N2488" i="1"/>
  <c r="O1354" i="1"/>
  <c r="AT2483" i="1"/>
  <c r="D1582" i="1"/>
  <c r="D1226" i="1"/>
  <c r="AT3365" i="1"/>
  <c r="N587" i="1"/>
  <c r="M2519" i="1"/>
  <c r="AT2964" i="1"/>
  <c r="AT1583" i="1"/>
  <c r="U2230" i="1"/>
  <c r="H759" i="1"/>
  <c r="AT1973" i="1"/>
  <c r="P1789" i="1"/>
  <c r="AT1898" i="1"/>
  <c r="AT1165" i="1"/>
  <c r="M2715" i="1"/>
  <c r="M1323" i="1"/>
  <c r="N452" i="1"/>
  <c r="AT3358" i="1"/>
  <c r="U1479" i="1"/>
  <c r="M68" i="1"/>
  <c r="O3186" i="1"/>
  <c r="I1295" i="1"/>
  <c r="O1852" i="1"/>
  <c r="M582" i="1"/>
  <c r="N809" i="1"/>
  <c r="D205" i="1"/>
  <c r="O1117" i="1"/>
  <c r="D2664" i="1"/>
  <c r="H521" i="1"/>
  <c r="N3561" i="1"/>
  <c r="J1842" i="1"/>
  <c r="N2142" i="1"/>
  <c r="Q1690" i="1"/>
  <c r="AT2878" i="1"/>
  <c r="U1756" i="1"/>
  <c r="N1755" i="1"/>
  <c r="P578" i="1"/>
  <c r="AT2210" i="1"/>
  <c r="O446" i="1"/>
  <c r="J2267" i="1"/>
  <c r="M603" i="1"/>
  <c r="H2771" i="1"/>
  <c r="N3375" i="1"/>
  <c r="U3534" i="1"/>
  <c r="M3327" i="1"/>
  <c r="D2537" i="1"/>
  <c r="P1257" i="1"/>
  <c r="N135" i="1"/>
  <c r="N2374" i="1"/>
  <c r="J3096" i="1"/>
  <c r="H1500" i="1"/>
  <c r="O44" i="1"/>
  <c r="O3125" i="1"/>
  <c r="M209" i="1"/>
  <c r="K132" i="1"/>
  <c r="K2471" i="1"/>
  <c r="U3157" i="1"/>
  <c r="D2061" i="1"/>
  <c r="Q267" i="1"/>
  <c r="U2288" i="1"/>
  <c r="H1329" i="1"/>
  <c r="D2393" i="1"/>
  <c r="O734" i="1"/>
  <c r="D3330" i="1"/>
  <c r="M3090" i="1"/>
  <c r="U3311" i="1"/>
  <c r="AT2101" i="1"/>
  <c r="M963" i="1"/>
  <c r="N3396" i="1"/>
  <c r="Q1246" i="1"/>
  <c r="O3310" i="1"/>
  <c r="O175" i="1"/>
  <c r="O2694" i="1"/>
  <c r="D1752" i="1"/>
  <c r="U2570" i="1"/>
  <c r="P3448" i="1"/>
  <c r="AT2318" i="1"/>
  <c r="I227" i="1"/>
  <c r="N2994" i="1"/>
  <c r="AT35" i="1"/>
  <c r="U1226" i="1"/>
  <c r="Q2530" i="1"/>
  <c r="N3097" i="1"/>
  <c r="Q2152" i="1"/>
  <c r="H2816" i="1"/>
  <c r="AT992" i="1"/>
  <c r="O1737" i="1"/>
  <c r="P2576" i="1"/>
  <c r="AT2432" i="1"/>
  <c r="M1890" i="1"/>
  <c r="U3067" i="1"/>
  <c r="Q670" i="1"/>
  <c r="I652" i="1"/>
  <c r="J1857" i="1"/>
  <c r="M1813" i="1"/>
  <c r="Q3091" i="1"/>
  <c r="U3123" i="1"/>
  <c r="P2688" i="1"/>
  <c r="U3434" i="1"/>
  <c r="D299" i="1"/>
  <c r="M457" i="1"/>
  <c r="M709" i="1"/>
  <c r="Q1774" i="1"/>
  <c r="D356" i="1"/>
  <c r="M2702" i="1"/>
  <c r="I1773" i="1"/>
  <c r="N3111" i="1"/>
  <c r="M2172" i="1"/>
  <c r="N2309" i="1"/>
  <c r="K1747" i="1"/>
  <c r="M3388" i="1"/>
  <c r="AT1654" i="1"/>
  <c r="M1862" i="1"/>
  <c r="O229" i="1"/>
  <c r="O3229" i="1"/>
  <c r="N449" i="1"/>
  <c r="I746" i="1"/>
  <c r="J739" i="1"/>
  <c r="AT2595" i="1"/>
  <c r="Q3085" i="1"/>
  <c r="O1161" i="1"/>
  <c r="M214" i="1"/>
  <c r="D776" i="1"/>
  <c r="P2288" i="1"/>
  <c r="H1376" i="1"/>
  <c r="Q2206" i="1"/>
  <c r="Q3491" i="1"/>
  <c r="M3217" i="1"/>
  <c r="D228" i="1"/>
  <c r="U1928" i="1"/>
  <c r="N1077" i="1"/>
  <c r="H1788" i="1"/>
  <c r="N3252" i="1"/>
  <c r="N59" i="1"/>
  <c r="M758" i="1"/>
  <c r="H1255" i="1"/>
  <c r="K2997" i="1"/>
  <c r="O294" i="1"/>
  <c r="P2019" i="1"/>
  <c r="AT2593" i="1"/>
  <c r="I2964" i="1"/>
  <c r="Q1271" i="1"/>
  <c r="P1049" i="1"/>
  <c r="U2879" i="1"/>
  <c r="P925" i="1"/>
  <c r="N2729" i="1"/>
  <c r="M2767" i="1"/>
  <c r="K749" i="1"/>
  <c r="N313" i="1"/>
  <c r="U2652" i="1"/>
  <c r="H27" i="1"/>
  <c r="Q1946" i="1"/>
  <c r="M111" i="1"/>
  <c r="O1837" i="1"/>
  <c r="N1636" i="1"/>
  <c r="M4" i="1"/>
  <c r="H2153" i="1"/>
  <c r="AT321" i="1"/>
  <c r="Q704" i="1"/>
  <c r="J3231" i="1"/>
  <c r="J1597" i="1"/>
  <c r="O372" i="1"/>
  <c r="AT2526" i="1"/>
  <c r="N866" i="1"/>
  <c r="J1826" i="1"/>
  <c r="D922" i="1"/>
  <c r="Q3444" i="1"/>
  <c r="Q2663" i="1"/>
  <c r="N873" i="1"/>
  <c r="N1578" i="1"/>
  <c r="D526" i="1"/>
  <c r="AT1856" i="1"/>
  <c r="N2302" i="1"/>
  <c r="I3181" i="1"/>
  <c r="O3637" i="1"/>
  <c r="O618" i="1"/>
  <c r="AT1374" i="1"/>
  <c r="D3346" i="1"/>
  <c r="D1873" i="1"/>
  <c r="P3372" i="1"/>
  <c r="H2501" i="1"/>
  <c r="O1533" i="1"/>
  <c r="D678" i="1"/>
  <c r="I841" i="1"/>
  <c r="N2814" i="1"/>
  <c r="D3398" i="1"/>
  <c r="P700" i="1"/>
  <c r="N3575" i="1"/>
  <c r="I2343" i="1"/>
  <c r="Q1861" i="1"/>
  <c r="P2702" i="1"/>
  <c r="M1166" i="1"/>
  <c r="AT2808" i="1"/>
  <c r="D2423" i="1"/>
  <c r="P1523" i="1"/>
  <c r="N778" i="1"/>
  <c r="M508" i="1"/>
  <c r="M3234" i="1"/>
  <c r="U402" i="1"/>
  <c r="D3016" i="1"/>
  <c r="M1674" i="1"/>
  <c r="N1392" i="1"/>
  <c r="U1265" i="1"/>
  <c r="N1414" i="1"/>
  <c r="M524" i="1"/>
  <c r="P516" i="1"/>
  <c r="N596" i="1"/>
  <c r="Q1239" i="1"/>
  <c r="D791" i="1"/>
  <c r="J387" i="1"/>
  <c r="M3606" i="1"/>
  <c r="Q1775" i="1"/>
  <c r="P1399" i="1"/>
  <c r="M3436" i="1"/>
  <c r="H681" i="1"/>
  <c r="Q3520" i="1"/>
  <c r="M2443" i="1"/>
  <c r="M2940" i="1"/>
  <c r="M2217" i="1"/>
  <c r="D3077" i="1"/>
  <c r="P464" i="1"/>
  <c r="K1350" i="1"/>
  <c r="AT1347" i="1"/>
  <c r="O3444" i="1"/>
  <c r="U1489" i="1"/>
  <c r="I881" i="1"/>
  <c r="P2705" i="1"/>
  <c r="N1189" i="1"/>
  <c r="I951" i="1"/>
  <c r="M2148" i="1"/>
  <c r="D1528" i="1"/>
  <c r="N27" i="1"/>
  <c r="AT101" i="1"/>
  <c r="K1022" i="1"/>
  <c r="P3208" i="1"/>
  <c r="D3437" i="1"/>
  <c r="H1260" i="1"/>
  <c r="M184" i="1"/>
  <c r="M3019" i="1"/>
  <c r="N1327" i="1"/>
  <c r="N1402" i="1"/>
  <c r="P3040" i="1"/>
  <c r="P1354" i="1"/>
  <c r="N1004" i="1"/>
  <c r="N1989" i="1"/>
  <c r="K114" i="1"/>
  <c r="N743" i="1"/>
  <c r="N2885" i="1"/>
  <c r="Q2365" i="1"/>
  <c r="AT1079" i="1"/>
  <c r="D2100" i="1"/>
  <c r="Q343" i="1"/>
  <c r="O926" i="1"/>
  <c r="P264" i="1"/>
  <c r="U1469" i="1"/>
  <c r="D3051" i="1"/>
  <c r="O425" i="1"/>
  <c r="P278" i="1"/>
  <c r="M3172" i="1"/>
  <c r="K2229" i="1"/>
  <c r="J1463" i="1"/>
  <c r="D1283" i="1"/>
  <c r="D3479" i="1"/>
  <c r="N168" i="1"/>
  <c r="M1870" i="1"/>
  <c r="AT28" i="1"/>
  <c r="D2473" i="1"/>
  <c r="J2641" i="1"/>
  <c r="M2630" i="1"/>
  <c r="O14" i="1"/>
  <c r="D3403" i="1"/>
  <c r="U1448" i="1"/>
  <c r="U763" i="1"/>
  <c r="U2612" i="1"/>
  <c r="I475" i="1"/>
  <c r="AT2604" i="1"/>
  <c r="N2661" i="1"/>
  <c r="M2301" i="1"/>
  <c r="P3508" i="1"/>
  <c r="O218" i="1"/>
  <c r="Q377" i="1"/>
  <c r="U2147" i="1"/>
  <c r="M791" i="1"/>
  <c r="Q647" i="1"/>
  <c r="I2580" i="1"/>
  <c r="U1463" i="1"/>
  <c r="M1798" i="1"/>
  <c r="AT2274" i="1"/>
  <c r="M316" i="1"/>
  <c r="Q2885" i="1"/>
  <c r="AT1567" i="1"/>
  <c r="H2954" i="1"/>
  <c r="AT770" i="1"/>
  <c r="AT836" i="1"/>
  <c r="N1324" i="1"/>
  <c r="D2601" i="1"/>
  <c r="O3476" i="1"/>
  <c r="M2778" i="1"/>
  <c r="N3230" i="1"/>
  <c r="D2572" i="1"/>
  <c r="P2667" i="1"/>
  <c r="D3094" i="1"/>
  <c r="P2457" i="1"/>
  <c r="H46" i="1"/>
  <c r="M1818" i="1"/>
  <c r="D3617" i="1"/>
  <c r="D2039" i="1"/>
  <c r="M1943" i="1"/>
  <c r="U812" i="1"/>
  <c r="O1303" i="1"/>
  <c r="O1675" i="1"/>
  <c r="I1528" i="1"/>
  <c r="N2743" i="1"/>
  <c r="M21" i="1"/>
  <c r="H1592" i="1"/>
  <c r="D1430" i="1"/>
  <c r="AT473" i="1"/>
  <c r="Q293" i="1"/>
  <c r="O2500" i="1"/>
  <c r="N195" i="1"/>
  <c r="J113" i="1"/>
  <c r="P1616" i="1"/>
  <c r="P654" i="1"/>
  <c r="D882" i="1"/>
  <c r="AT1742" i="1"/>
  <c r="M1458" i="1"/>
  <c r="N3014" i="1"/>
  <c r="H1257" i="1"/>
  <c r="P927" i="1"/>
  <c r="O962" i="1"/>
  <c r="M3020" i="1"/>
  <c r="J2291" i="1"/>
  <c r="N3558" i="1"/>
  <c r="Q844" i="1"/>
  <c r="O3507" i="1"/>
  <c r="J1177" i="1"/>
  <c r="AT1703" i="1"/>
  <c r="D2127" i="1"/>
  <c r="P1502" i="1"/>
  <c r="AT1725" i="1"/>
  <c r="U3433" i="1"/>
  <c r="AT1825" i="1"/>
  <c r="P1357" i="1"/>
  <c r="Q2888" i="1"/>
  <c r="Q39" i="1"/>
  <c r="M1839" i="1"/>
  <c r="N111" i="1"/>
  <c r="H1760" i="1"/>
  <c r="O1387" i="1"/>
  <c r="Q2264" i="1"/>
  <c r="U417" i="1"/>
  <c r="J1678" i="1"/>
  <c r="Q2436" i="1"/>
  <c r="O2866" i="1"/>
  <c r="AT2235" i="1"/>
  <c r="U986" i="1"/>
  <c r="O1764" i="1"/>
  <c r="N1294" i="1"/>
  <c r="U2865" i="1"/>
  <c r="D1426" i="1"/>
  <c r="N2692" i="1"/>
  <c r="AT100" i="1"/>
  <c r="U53" i="1"/>
  <c r="U1354" i="1"/>
  <c r="AT1410" i="1"/>
  <c r="Q2402" i="1"/>
  <c r="Q494" i="1"/>
  <c r="U2786" i="1"/>
  <c r="Q443" i="1"/>
  <c r="J3318" i="1"/>
  <c r="M1205" i="1"/>
  <c r="D1766" i="1"/>
  <c r="AT2751" i="1"/>
  <c r="M2892" i="1"/>
  <c r="Q3518" i="1"/>
  <c r="O1212" i="1"/>
  <c r="D717" i="1"/>
  <c r="N383" i="1"/>
  <c r="H3110" i="1"/>
  <c r="AT666" i="1"/>
  <c r="D380" i="1"/>
  <c r="AT2083" i="1"/>
  <c r="M2598" i="1"/>
  <c r="O259" i="1"/>
  <c r="AT29" i="1"/>
  <c r="P2392" i="1"/>
  <c r="H575" i="1"/>
  <c r="D887" i="1"/>
  <c r="U766" i="1"/>
  <c r="D3127" i="1"/>
  <c r="Q1956" i="1"/>
  <c r="AT2780" i="1"/>
  <c r="Q1266" i="1"/>
  <c r="Q899" i="1"/>
  <c r="I2608" i="1"/>
  <c r="N3298" i="1"/>
  <c r="U3014" i="1"/>
  <c r="K1506" i="1"/>
  <c r="M3326" i="1"/>
  <c r="D246" i="1"/>
  <c r="Q475" i="1"/>
  <c r="AT1822" i="1"/>
  <c r="P2093" i="1"/>
  <c r="O2381" i="1"/>
  <c r="O2545" i="1"/>
  <c r="U3537" i="1"/>
  <c r="D313" i="1"/>
  <c r="AT3460" i="1"/>
  <c r="D93" i="1"/>
  <c r="K2116" i="1"/>
  <c r="AT2772" i="1"/>
  <c r="H2423" i="1"/>
  <c r="Q470" i="1"/>
  <c r="U566" i="1"/>
  <c r="M1757" i="1"/>
  <c r="N2914" i="1"/>
  <c r="J1473" i="1"/>
  <c r="P2526" i="1"/>
  <c r="N467" i="1"/>
  <c r="J2215" i="1"/>
  <c r="H943" i="1"/>
  <c r="D575" i="1"/>
  <c r="D1169" i="1"/>
  <c r="D518" i="1"/>
  <c r="D183" i="1"/>
  <c r="AT225" i="1"/>
  <c r="M742" i="1"/>
  <c r="D640" i="1"/>
  <c r="N536" i="1"/>
  <c r="U3298" i="1"/>
  <c r="N734" i="1"/>
  <c r="H1996" i="1"/>
  <c r="D1799" i="1"/>
  <c r="H3105" i="1"/>
  <c r="P584" i="1"/>
  <c r="P2351" i="1"/>
  <c r="M1528" i="1"/>
  <c r="AT285" i="1"/>
  <c r="Q1936" i="1"/>
  <c r="U1520" i="1"/>
  <c r="N2266" i="1"/>
  <c r="I3085" i="1"/>
  <c r="O1233" i="1"/>
  <c r="O3184" i="1"/>
  <c r="M31" i="1"/>
  <c r="H1363" i="1"/>
  <c r="D137" i="1"/>
  <c r="O316" i="1"/>
  <c r="M519" i="1"/>
  <c r="M3055" i="1"/>
  <c r="M3184" i="1"/>
  <c r="H2157" i="1"/>
  <c r="D2478" i="1"/>
  <c r="M3071" i="1"/>
  <c r="AT3219" i="1"/>
  <c r="O386" i="1"/>
  <c r="U2004" i="1"/>
  <c r="Q1732" i="1"/>
  <c r="J1516" i="1"/>
  <c r="O1803" i="1"/>
  <c r="N2499" i="1"/>
  <c r="AT1128" i="1"/>
  <c r="P3629" i="1"/>
  <c r="AT1593" i="1"/>
  <c r="J1802" i="1"/>
  <c r="D1934" i="1"/>
  <c r="M301" i="1"/>
  <c r="J1215" i="1"/>
  <c r="D2341" i="1"/>
  <c r="N3208" i="1"/>
  <c r="O848" i="1"/>
  <c r="U3136" i="1"/>
  <c r="K2235" i="1"/>
  <c r="H747" i="1"/>
  <c r="K110" i="1"/>
  <c r="D2910" i="1"/>
  <c r="D3284" i="1"/>
  <c r="N2906" i="1"/>
  <c r="D2493" i="1"/>
  <c r="M3383" i="1"/>
  <c r="O131" i="1"/>
  <c r="J2682" i="1"/>
  <c r="D1209" i="1"/>
  <c r="K3084" i="1"/>
  <c r="AT3398" i="1"/>
  <c r="P2346" i="1"/>
  <c r="N1722" i="1"/>
  <c r="K2339" i="1"/>
  <c r="M1411" i="1"/>
  <c r="P857" i="1"/>
  <c r="O1411" i="1"/>
  <c r="O1559" i="1"/>
  <c r="D1517" i="1"/>
  <c r="AT3475" i="1"/>
  <c r="O1957" i="1"/>
  <c r="D1519" i="1"/>
  <c r="U1884" i="1"/>
  <c r="AT3483" i="1"/>
  <c r="M3268" i="1"/>
  <c r="P359" i="1"/>
  <c r="AT3283" i="1"/>
  <c r="AT1701" i="1"/>
  <c r="AT443" i="1"/>
  <c r="N321" i="1"/>
  <c r="N824" i="1"/>
  <c r="M1797" i="1"/>
  <c r="AT3637" i="1"/>
  <c r="P2520" i="1"/>
  <c r="I2806" i="1"/>
  <c r="D3529" i="1"/>
  <c r="M3288" i="1"/>
  <c r="Q1486" i="1"/>
  <c r="P1239" i="1"/>
  <c r="D2703" i="1"/>
  <c r="Q2523" i="1"/>
  <c r="M2922" i="1"/>
  <c r="O2124" i="1"/>
  <c r="M1463" i="1"/>
  <c r="I2090" i="1"/>
  <c r="O2532" i="1"/>
  <c r="I3213" i="1"/>
  <c r="O974" i="1"/>
  <c r="AT518" i="1"/>
  <c r="N2577" i="1"/>
  <c r="D3019" i="1"/>
  <c r="M934" i="1"/>
  <c r="H2993" i="1"/>
  <c r="H2110" i="1"/>
  <c r="N2411" i="1"/>
  <c r="O1610" i="1"/>
  <c r="D286" i="1"/>
  <c r="U733" i="1"/>
  <c r="AT3479" i="1"/>
  <c r="J2359" i="1"/>
  <c r="Q1397" i="1"/>
  <c r="U896" i="1"/>
  <c r="O1537" i="1"/>
  <c r="Q1313" i="1"/>
  <c r="U3510" i="1"/>
  <c r="N202" i="1"/>
  <c r="P401" i="1"/>
  <c r="H620" i="1"/>
  <c r="U87" i="1"/>
  <c r="M1280" i="1"/>
  <c r="AT1657" i="1"/>
  <c r="K3461" i="1"/>
  <c r="O682" i="1"/>
  <c r="U1598" i="1"/>
  <c r="I604" i="1"/>
  <c r="M2594" i="1"/>
  <c r="N2409" i="1"/>
  <c r="O95" i="1"/>
  <c r="H1919" i="1"/>
  <c r="D984" i="1"/>
  <c r="M515" i="1"/>
  <c r="O1872" i="1"/>
  <c r="AT3060" i="1"/>
  <c r="O2760" i="1"/>
  <c r="J1293" i="1"/>
  <c r="P1188" i="1"/>
  <c r="AT725" i="1"/>
  <c r="O567" i="1"/>
  <c r="J1371" i="1"/>
  <c r="P3078" i="1"/>
  <c r="P2521" i="1"/>
  <c r="N2998" i="1"/>
  <c r="H2912" i="1"/>
  <c r="O2533" i="1"/>
  <c r="K2732" i="1"/>
  <c r="P2838" i="1"/>
  <c r="Q756" i="1"/>
  <c r="N3601" i="1"/>
  <c r="H3038" i="1"/>
  <c r="Q491" i="1"/>
  <c r="Q431" i="1"/>
  <c r="M1111" i="1"/>
  <c r="O1762" i="1"/>
  <c r="U3084" i="1"/>
  <c r="N465" i="1"/>
  <c r="D1927" i="1"/>
  <c r="N2782" i="1"/>
  <c r="I1366" i="1"/>
  <c r="AT732" i="1"/>
  <c r="O1322" i="1"/>
  <c r="P3547" i="1"/>
  <c r="N2608" i="1"/>
  <c r="D2623" i="1"/>
  <c r="M2758" i="1"/>
  <c r="M1996" i="1"/>
  <c r="AT3385" i="1"/>
  <c r="O2164" i="1"/>
  <c r="M3208" i="1"/>
  <c r="N2886" i="1"/>
  <c r="AT2842" i="1"/>
  <c r="AT952" i="1"/>
  <c r="Q1056" i="1"/>
  <c r="D3213" i="1"/>
  <c r="U63" i="1"/>
  <c r="H3278" i="1"/>
  <c r="D1729" i="1"/>
  <c r="M1279" i="1"/>
  <c r="U292" i="1"/>
  <c r="J1134" i="1"/>
  <c r="P2492" i="1"/>
  <c r="AT3008" i="1"/>
  <c r="AT2486" i="1"/>
  <c r="Q2455" i="1"/>
  <c r="D1952" i="1"/>
  <c r="U923" i="1"/>
  <c r="N2372" i="1"/>
  <c r="P3171" i="1"/>
  <c r="N3388" i="1"/>
  <c r="AT98" i="1"/>
  <c r="Q2774" i="1"/>
  <c r="U548" i="1"/>
  <c r="M598" i="1"/>
  <c r="M1578" i="1"/>
  <c r="D1859" i="1"/>
  <c r="U3422" i="1"/>
  <c r="P865" i="1"/>
  <c r="I2551" i="1"/>
  <c r="K658" i="1"/>
  <c r="U1713" i="1"/>
  <c r="AT16" i="1"/>
  <c r="M1983" i="1"/>
  <c r="O2580" i="1"/>
  <c r="AT349" i="1"/>
  <c r="M2046" i="1"/>
  <c r="AT3074" i="1"/>
  <c r="Q1623" i="1"/>
  <c r="D1395" i="1"/>
  <c r="AT1671" i="1"/>
  <c r="AT3040" i="1"/>
  <c r="Q767" i="1"/>
  <c r="D3336" i="1"/>
  <c r="D2144" i="1"/>
  <c r="P1243" i="1"/>
  <c r="I393" i="1"/>
  <c r="P2555" i="1"/>
  <c r="H1558" i="1"/>
  <c r="AT3616" i="1"/>
  <c r="I3431" i="1"/>
  <c r="N1429" i="1"/>
  <c r="Q960" i="1"/>
  <c r="I1177" i="1"/>
  <c r="I359" i="1"/>
  <c r="H1922" i="1"/>
  <c r="N1156" i="1"/>
  <c r="U1139" i="1"/>
  <c r="I1875" i="1"/>
  <c r="O3294" i="1"/>
  <c r="O2266" i="1"/>
  <c r="U1528" i="1"/>
  <c r="J462" i="1"/>
  <c r="N1143" i="1"/>
  <c r="AT264" i="1"/>
  <c r="U1464" i="1"/>
  <c r="N3426" i="1"/>
  <c r="N483" i="1"/>
  <c r="D2031" i="1"/>
  <c r="K1002" i="1"/>
  <c r="M1835" i="1"/>
  <c r="D464" i="1"/>
  <c r="AT2819" i="1"/>
  <c r="AT1922" i="1"/>
  <c r="U1935" i="1"/>
  <c r="Q3199" i="1"/>
  <c r="AT745" i="1"/>
  <c r="U273" i="1"/>
  <c r="U218" i="1"/>
  <c r="N2120" i="1"/>
  <c r="N563" i="1"/>
  <c r="M1921" i="1"/>
  <c r="K2260" i="1"/>
  <c r="D1780" i="1"/>
  <c r="AT105" i="1"/>
  <c r="M2916" i="1"/>
  <c r="D756" i="1"/>
  <c r="N748" i="1"/>
  <c r="K1473" i="1"/>
  <c r="D203" i="1"/>
  <c r="P283" i="1"/>
  <c r="D277" i="1"/>
  <c r="P1869" i="1"/>
  <c r="M2421" i="1"/>
  <c r="I287" i="1"/>
  <c r="K3588" i="1"/>
  <c r="N3599" i="1"/>
  <c r="Q1293" i="1"/>
  <c r="H2885" i="1"/>
  <c r="AT616" i="1"/>
  <c r="M3045" i="1"/>
  <c r="N477" i="1"/>
  <c r="H2269" i="1"/>
  <c r="Q1426" i="1"/>
  <c r="I453" i="1"/>
  <c r="H2292" i="1"/>
  <c r="I3171" i="1"/>
  <c r="K226" i="1"/>
  <c r="O3098" i="1"/>
  <c r="O2926" i="1"/>
  <c r="AT1242" i="1"/>
  <c r="O1894" i="1"/>
  <c r="P1408" i="1"/>
  <c r="AT3087" i="1"/>
  <c r="Q1380" i="1"/>
  <c r="AT1847" i="1"/>
  <c r="H279" i="1"/>
  <c r="K1836" i="1"/>
  <c r="P955" i="1"/>
  <c r="Q579" i="1"/>
  <c r="I242" i="1"/>
  <c r="U67" i="1"/>
  <c r="H3003" i="1"/>
  <c r="H1864" i="1"/>
  <c r="O3028" i="1"/>
  <c r="U2543" i="1"/>
  <c r="D659" i="1"/>
  <c r="Q1221" i="1"/>
  <c r="J2809" i="1"/>
  <c r="N66" i="1"/>
  <c r="AT3269" i="1"/>
  <c r="AT2807" i="1"/>
  <c r="P3074" i="1"/>
  <c r="O1799" i="1"/>
  <c r="I1846" i="1"/>
  <c r="P2672" i="1"/>
  <c r="Q2510" i="1"/>
  <c r="M2272" i="1"/>
  <c r="U1854" i="1"/>
  <c r="U2249" i="1"/>
  <c r="AT2343" i="1"/>
  <c r="P1799" i="1"/>
  <c r="D2197" i="1"/>
  <c r="M1836" i="1"/>
  <c r="Q3621" i="1"/>
  <c r="U3461" i="1"/>
  <c r="D562" i="1"/>
  <c r="I725" i="1"/>
  <c r="AT2979" i="1"/>
  <c r="N2167" i="1"/>
  <c r="N939" i="1"/>
  <c r="O2671" i="1"/>
  <c r="H2341" i="1"/>
  <c r="M2089" i="1"/>
  <c r="J627" i="1"/>
  <c r="P1922" i="1"/>
  <c r="D30" i="1"/>
  <c r="M3012" i="1"/>
  <c r="P744" i="1"/>
  <c r="O452" i="1"/>
  <c r="AT71" i="1"/>
  <c r="O2233" i="1"/>
  <c r="I2126" i="1"/>
  <c r="H1980" i="1"/>
  <c r="H470" i="1"/>
  <c r="M1538" i="1"/>
  <c r="K2020" i="1"/>
  <c r="AT3069" i="1"/>
  <c r="O1870" i="1"/>
  <c r="N1645" i="1"/>
  <c r="D2581" i="1"/>
  <c r="U2738" i="1"/>
  <c r="H2112" i="1"/>
  <c r="N2075" i="1"/>
  <c r="I1191" i="1"/>
  <c r="Q3374" i="1"/>
  <c r="P3352" i="1"/>
  <c r="J66" i="1"/>
  <c r="D2988" i="1"/>
  <c r="P3279" i="1"/>
  <c r="P2832" i="1"/>
  <c r="N1948" i="1"/>
  <c r="O1476" i="1"/>
  <c r="AT1811" i="1"/>
  <c r="K446" i="1"/>
  <c r="U826" i="1"/>
  <c r="O1451" i="1"/>
  <c r="O1931" i="1"/>
  <c r="O2105" i="1"/>
  <c r="O2388" i="1"/>
  <c r="D823" i="1"/>
  <c r="N1223" i="1"/>
  <c r="I2614" i="1"/>
  <c r="D2208" i="1"/>
  <c r="M3526" i="1"/>
  <c r="H2208" i="1"/>
  <c r="O1885" i="1"/>
  <c r="K3288" i="1"/>
  <c r="P2740" i="1"/>
  <c r="Q625" i="1"/>
  <c r="N1580" i="1"/>
  <c r="O612" i="1"/>
  <c r="U1931" i="1"/>
  <c r="K3195" i="1"/>
  <c r="O3164" i="1"/>
  <c r="D2274" i="1"/>
  <c r="H3168" i="1"/>
  <c r="AT2314" i="1"/>
  <c r="AT1684" i="1"/>
  <c r="O2908" i="1"/>
  <c r="J630" i="1"/>
  <c r="M1019" i="1"/>
  <c r="J1455" i="1"/>
  <c r="AT271" i="1"/>
  <c r="J2819" i="1"/>
  <c r="P1720" i="1"/>
  <c r="D3345" i="1"/>
  <c r="Q17" i="1"/>
  <c r="Q2405" i="1"/>
  <c r="H1837" i="1"/>
  <c r="N2057" i="1"/>
  <c r="P92" i="1"/>
  <c r="N843" i="1"/>
  <c r="P2230" i="1"/>
  <c r="O145" i="1"/>
  <c r="N1888" i="1"/>
  <c r="U1610" i="1"/>
  <c r="N2939" i="1"/>
  <c r="U1219" i="1"/>
  <c r="O1890" i="1"/>
  <c r="D3547" i="1"/>
  <c r="Q3314" i="1"/>
  <c r="AT387" i="1"/>
  <c r="J1743" i="1"/>
  <c r="M3264" i="1"/>
  <c r="I2442" i="1"/>
  <c r="P1060" i="1"/>
  <c r="D2059" i="1"/>
  <c r="M1243" i="1"/>
  <c r="U2057" i="1"/>
  <c r="J1711" i="1"/>
  <c r="P1851" i="1"/>
  <c r="N1736" i="1"/>
  <c r="H2050" i="1"/>
  <c r="N1507" i="1"/>
  <c r="D2759" i="1"/>
  <c r="K2935" i="1"/>
  <c r="H1939" i="1"/>
  <c r="U2310" i="1"/>
  <c r="Q3220" i="1"/>
  <c r="M861" i="1"/>
  <c r="U427" i="1"/>
  <c r="K3103" i="1"/>
  <c r="J225" i="1"/>
  <c r="K394" i="1"/>
  <c r="P1514" i="1"/>
  <c r="D3163" i="1"/>
  <c r="I2653" i="1"/>
  <c r="J37" i="1"/>
  <c r="P384" i="1"/>
  <c r="O2399" i="1"/>
  <c r="Q433" i="1"/>
  <c r="Q3029" i="1"/>
  <c r="Q1059" i="1"/>
  <c r="O1360" i="1"/>
  <c r="O2880" i="1"/>
  <c r="U784" i="1"/>
  <c r="D3317" i="1"/>
  <c r="D2656" i="1"/>
  <c r="AT1356" i="1"/>
  <c r="AT3091" i="1"/>
  <c r="AT2032" i="1"/>
  <c r="O1406" i="1"/>
  <c r="P2040" i="1"/>
  <c r="P3512" i="1"/>
  <c r="Q819" i="1"/>
  <c r="Q956" i="1"/>
  <c r="U60" i="1"/>
  <c r="Q3352" i="1"/>
  <c r="N1996" i="1"/>
  <c r="J2230" i="1"/>
  <c r="J268" i="1"/>
  <c r="N654" i="1"/>
  <c r="N112" i="1"/>
  <c r="M415" i="1"/>
  <c r="Q2000" i="1"/>
  <c r="M3107" i="1"/>
  <c r="P3133" i="1"/>
  <c r="K879" i="1"/>
  <c r="AT723" i="1"/>
  <c r="O431" i="1"/>
</calcChain>
</file>

<file path=xl/sharedStrings.xml><?xml version="1.0" encoding="utf-8"?>
<sst xmlns="http://schemas.openxmlformats.org/spreadsheetml/2006/main" count="18374" uniqueCount="8741">
  <si>
    <t>序</t>
  </si>
  <si>
    <t>代码</t>
  </si>
  <si>
    <t>名称</t>
  </si>
  <si>
    <t>更新日期</t>
  </si>
  <si>
    <t>总股本</t>
  </si>
  <si>
    <t>流通A股</t>
  </si>
  <si>
    <t>人均持股数</t>
  </si>
  <si>
    <t>每股收益</t>
  </si>
  <si>
    <t>每股净资产</t>
  </si>
  <si>
    <t>加权净资产收益率</t>
  </si>
  <si>
    <t>营业总收入</t>
  </si>
  <si>
    <t>营业总收入同比</t>
  </si>
  <si>
    <t>营业利润</t>
  </si>
  <si>
    <t>投资收益</t>
  </si>
  <si>
    <t>利润总额</t>
  </si>
  <si>
    <t>归属净利润</t>
  </si>
  <si>
    <t>归属净利润同比</t>
  </si>
  <si>
    <t>未分配利润</t>
  </si>
  <si>
    <t>每股未分配利润</t>
  </si>
  <si>
    <t>销售毛利率</t>
  </si>
  <si>
    <t>总资产</t>
  </si>
  <si>
    <t>流动资产</t>
  </si>
  <si>
    <t>固定资产</t>
  </si>
  <si>
    <t>加权净资产收益率1</t>
  </si>
  <si>
    <t>总负债</t>
  </si>
  <si>
    <t>流动负债</t>
  </si>
  <si>
    <t>长期负债</t>
  </si>
  <si>
    <t>市净率</t>
  </si>
  <si>
    <t>股东权益</t>
  </si>
  <si>
    <t>股东权益比</t>
  </si>
  <si>
    <t>公积金</t>
  </si>
  <si>
    <t>每股公积金</t>
  </si>
  <si>
    <t>流通B股</t>
  </si>
  <si>
    <t>H股</t>
  </si>
  <si>
    <t>上市日期</t>
  </si>
  <si>
    <t>*ST巴士</t>
  </si>
  <si>
    <t>*ST成城</t>
  </si>
  <si>
    <t>退市昆机</t>
  </si>
  <si>
    <t>锐科激光</t>
  </si>
  <si>
    <t>*ST新能</t>
  </si>
  <si>
    <t>奥赛康</t>
  </si>
  <si>
    <t>开能环保</t>
  </si>
  <si>
    <t>科沃斯</t>
  </si>
  <si>
    <t>亚星化学</t>
  </si>
  <si>
    <t>彤程新材</t>
  </si>
  <si>
    <t>立立电子</t>
  </si>
  <si>
    <t>天目药业</t>
  </si>
  <si>
    <t>韶钢松山</t>
  </si>
  <si>
    <t>光线传媒</t>
  </si>
  <si>
    <t>寒锐钴业</t>
  </si>
  <si>
    <t>*ST柳化</t>
  </si>
  <si>
    <t>东方环宇</t>
  </si>
  <si>
    <t>鸿特科技</t>
  </si>
  <si>
    <t>方大炭素</t>
  </si>
  <si>
    <t>鑫广绿环</t>
  </si>
  <si>
    <t>四川金顶</t>
  </si>
  <si>
    <t>天赐材料</t>
  </si>
  <si>
    <t>世荣兆业</t>
  </si>
  <si>
    <t>侨源气体</t>
  </si>
  <si>
    <t>华菱钢铁</t>
  </si>
  <si>
    <t>柳钢股份</t>
  </si>
  <si>
    <t>沧州大化</t>
  </si>
  <si>
    <t>万华化学</t>
  </si>
  <si>
    <t>福建水泥</t>
  </si>
  <si>
    <t>华友钴业</t>
  </si>
  <si>
    <t>平治信息</t>
  </si>
  <si>
    <t>华通热力</t>
  </si>
  <si>
    <t>金达威</t>
  </si>
  <si>
    <t>西藏珠峰</t>
  </si>
  <si>
    <t>山西汾酒</t>
  </si>
  <si>
    <t>东尼电子</t>
  </si>
  <si>
    <t>洋河股份</t>
  </si>
  <si>
    <t>合盛硅业</t>
  </si>
  <si>
    <t>分众传媒</t>
  </si>
  <si>
    <t>建新股份</t>
  </si>
  <si>
    <t>深圳惠程</t>
  </si>
  <si>
    <t>海尔施</t>
  </si>
  <si>
    <t>方大特钢</t>
  </si>
  <si>
    <t>广济药业</t>
  </si>
  <si>
    <t>三超新材</t>
  </si>
  <si>
    <t>*ST准油</t>
  </si>
  <si>
    <t>养元饮品</t>
  </si>
  <si>
    <t>XD文山电</t>
  </si>
  <si>
    <t>沙隆达Ａ</t>
  </si>
  <si>
    <t>承德露露</t>
  </si>
  <si>
    <t>*ST钒钛</t>
  </si>
  <si>
    <t>地素时尚</t>
  </si>
  <si>
    <t>新 和 成</t>
  </si>
  <si>
    <t>济川药业</t>
  </si>
  <si>
    <t>鲁西化工</t>
  </si>
  <si>
    <t>重庆百货</t>
  </si>
  <si>
    <t>千禾味业</t>
  </si>
  <si>
    <t>海天味业</t>
  </si>
  <si>
    <t>神州长城</t>
  </si>
  <si>
    <t>海澜之家</t>
  </si>
  <si>
    <t>欧浦智网</t>
  </si>
  <si>
    <t>康泰生物</t>
  </si>
  <si>
    <t>水井坊</t>
  </si>
  <si>
    <t>万业企业</t>
  </si>
  <si>
    <t>今世缘</t>
  </si>
  <si>
    <t>广宇发展</t>
  </si>
  <si>
    <t>横店影视</t>
  </si>
  <si>
    <t>花园生物</t>
  </si>
  <si>
    <t>东旭蓝天</t>
  </si>
  <si>
    <t>迅游科技</t>
  </si>
  <si>
    <t>五 粮 液</t>
  </si>
  <si>
    <t>贵州茅台</t>
  </si>
  <si>
    <t>罗 牛 山</t>
  </si>
  <si>
    <t>博信股份</t>
  </si>
  <si>
    <t>双杰电气</t>
  </si>
  <si>
    <t>元力股份</t>
  </si>
  <si>
    <t>古井贡酒</t>
  </si>
  <si>
    <t>赣锋锂业</t>
  </si>
  <si>
    <t>阳谷华泰</t>
  </si>
  <si>
    <t>智飞生物</t>
  </si>
  <si>
    <t>口子窖</t>
  </si>
  <si>
    <t>正虹科技</t>
  </si>
  <si>
    <t>三钢闽光</t>
  </si>
  <si>
    <t>南钢股份</t>
  </si>
  <si>
    <t>格力电器</t>
  </si>
  <si>
    <t>金禾实业</t>
  </si>
  <si>
    <t>招商蛇口</t>
  </si>
  <si>
    <t>伊利股份</t>
  </si>
  <si>
    <t>联美控股</t>
  </si>
  <si>
    <t>苏 泊 尔</t>
  </si>
  <si>
    <t>青松股份</t>
  </si>
  <si>
    <t>中国国旅</t>
  </si>
  <si>
    <t>诺 普 信</t>
  </si>
  <si>
    <t>雪榕生物</t>
  </si>
  <si>
    <t>泸州老窖</t>
  </si>
  <si>
    <t>片仔癀</t>
  </si>
  <si>
    <t>伯特利</t>
  </si>
  <si>
    <t>华鲁恒升</t>
  </si>
  <si>
    <t>迎驾贡酒</t>
  </si>
  <si>
    <t>XD华夏幸</t>
  </si>
  <si>
    <t>华东医药</t>
  </si>
  <si>
    <t>华电能源</t>
  </si>
  <si>
    <t>海德股份</t>
  </si>
  <si>
    <t>韵达股份</t>
  </si>
  <si>
    <t>伟明环保</t>
  </si>
  <si>
    <t>泛海控股</t>
  </si>
  <si>
    <t>信维通信</t>
  </si>
  <si>
    <t>沃格光电</t>
  </si>
  <si>
    <t>中源协和</t>
  </si>
  <si>
    <t>弘亚数控</t>
  </si>
  <si>
    <t>雏鹰农牧</t>
  </si>
  <si>
    <t>沙钢股份</t>
  </si>
  <si>
    <t>百川能源</t>
  </si>
  <si>
    <t>天齐锂业</t>
  </si>
  <si>
    <t>上峰水泥</t>
  </si>
  <si>
    <t>金杯汽车</t>
  </si>
  <si>
    <t>岱勒新材</t>
  </si>
  <si>
    <t>汤臣倍健</t>
  </si>
  <si>
    <t>新集能源</t>
  </si>
  <si>
    <t>星源材质</t>
  </si>
  <si>
    <t>双汇发展</t>
  </si>
  <si>
    <t>大连热电</t>
  </si>
  <si>
    <t>万年青</t>
  </si>
  <si>
    <t>小天鹅Ａ</t>
  </si>
  <si>
    <t>飞科电器</t>
  </si>
  <si>
    <t>晨光文具</t>
  </si>
  <si>
    <t>安琪酵母</t>
  </si>
  <si>
    <t>皖新传媒</t>
  </si>
  <si>
    <t>美的集团</t>
  </si>
  <si>
    <t>华域汽车</t>
  </si>
  <si>
    <t>开润股份</t>
  </si>
  <si>
    <t>广宇集团</t>
  </si>
  <si>
    <t>扬农化工</t>
  </si>
  <si>
    <t>露天煤业</t>
  </si>
  <si>
    <t>同力水泥</t>
  </si>
  <si>
    <t>慈铭体检</t>
  </si>
  <si>
    <t>信立泰</t>
  </si>
  <si>
    <t>亿联网络</t>
  </si>
  <si>
    <t>天地数码</t>
  </si>
  <si>
    <t>宁波中百</t>
  </si>
  <si>
    <t>三聚环保</t>
  </si>
  <si>
    <t>台海核电</t>
  </si>
  <si>
    <t>顾家家居</t>
  </si>
  <si>
    <t>金能科技</t>
  </si>
  <si>
    <t>吉比特</t>
  </si>
  <si>
    <t>恒信东方</t>
  </si>
  <si>
    <t>三七互娱</t>
  </si>
  <si>
    <t>金徽酒</t>
  </si>
  <si>
    <t>生物股份</t>
  </si>
  <si>
    <t>富祥股份</t>
  </si>
  <si>
    <t>永东股份</t>
  </si>
  <si>
    <t>安信信托</t>
  </si>
  <si>
    <t>新钢股份</t>
  </si>
  <si>
    <t>重庆啤酒</t>
  </si>
  <si>
    <t>我武生物</t>
  </si>
  <si>
    <t>小商品城</t>
  </si>
  <si>
    <t>凯乐科技</t>
  </si>
  <si>
    <t>健帆生物</t>
  </si>
  <si>
    <t>卓郎智能</t>
  </si>
  <si>
    <t>顺发恒业</t>
  </si>
  <si>
    <t>陕西煤业</t>
  </si>
  <si>
    <t>浙江医药</t>
  </si>
  <si>
    <t>天常股份</t>
  </si>
  <si>
    <t>设计总院</t>
  </si>
  <si>
    <t>卧龙地产</t>
  </si>
  <si>
    <t>盈趣科技</t>
  </si>
  <si>
    <t>先导智能</t>
  </si>
  <si>
    <t>通策医疗</t>
  </si>
  <si>
    <t>东阿阿胶</t>
  </si>
  <si>
    <t>青岛海尔</t>
  </si>
  <si>
    <t>恒瑞医药</t>
  </si>
  <si>
    <t>天邑股份</t>
  </si>
  <si>
    <t>武汉中商</t>
  </si>
  <si>
    <t>艾迪精密</t>
  </si>
  <si>
    <t>通化东宝</t>
  </si>
  <si>
    <t>上海石化</t>
  </si>
  <si>
    <t>汇洁股份</t>
  </si>
  <si>
    <t>太阳纸业</t>
  </si>
  <si>
    <t>海康威视</t>
  </si>
  <si>
    <t>涪陵榨菜</t>
  </si>
  <si>
    <t>老凤祥</t>
  </si>
  <si>
    <t>健友股份</t>
  </si>
  <si>
    <t>马钢股份</t>
  </si>
  <si>
    <t>康普顿</t>
  </si>
  <si>
    <t>恒逸石化</t>
  </si>
  <si>
    <t>比音勒芬</t>
  </si>
  <si>
    <t>三一重工</t>
  </si>
  <si>
    <t>柯利达</t>
  </si>
  <si>
    <t>绝味食品</t>
  </si>
  <si>
    <t>新奥股份</t>
  </si>
  <si>
    <t>浙江龙盛</t>
  </si>
  <si>
    <t>华夏航空</t>
  </si>
  <si>
    <t>山鹰纸业</t>
  </si>
  <si>
    <t>氯碱化工</t>
  </si>
  <si>
    <t>恒力股份</t>
  </si>
  <si>
    <t>基蛋生物</t>
  </si>
  <si>
    <t>康弘药业</t>
  </si>
  <si>
    <t>瀚蓝环境</t>
  </si>
  <si>
    <t>新安股份</t>
  </si>
  <si>
    <t>安图生物</t>
  </si>
  <si>
    <t>国光股份</t>
  </si>
  <si>
    <t>集友股份</t>
  </si>
  <si>
    <t>老板电器</t>
  </si>
  <si>
    <t>宝馨科技</t>
  </si>
  <si>
    <t>新泉股份</t>
  </si>
  <si>
    <t>凯众股份</t>
  </si>
  <si>
    <t>*ST安泰</t>
  </si>
  <si>
    <t>荣晟环保</t>
  </si>
  <si>
    <t>金正大</t>
  </si>
  <si>
    <t>陕天然气</t>
  </si>
  <si>
    <t>海利尔</t>
  </si>
  <si>
    <t>广汽集团</t>
  </si>
  <si>
    <t>大博医疗</t>
  </si>
  <si>
    <t>绿地控股</t>
  </si>
  <si>
    <t>申通快递</t>
  </si>
  <si>
    <t>伊力特</t>
  </si>
  <si>
    <t>游族网络</t>
  </si>
  <si>
    <t>宁波银行</t>
  </si>
  <si>
    <t>北玻股份</t>
  </si>
  <si>
    <t>*ST友好</t>
  </si>
  <si>
    <t>浙江交科</t>
  </si>
  <si>
    <t>风语筑</t>
  </si>
  <si>
    <t>茂业商业</t>
  </si>
  <si>
    <t>中国医药</t>
  </si>
  <si>
    <t>杰克股份</t>
  </si>
  <si>
    <t>东风股份</t>
  </si>
  <si>
    <t>鲁银投资</t>
  </si>
  <si>
    <t>中国平安</t>
  </si>
  <si>
    <t>涪陵电力</t>
  </si>
  <si>
    <t>太钢不锈</t>
  </si>
  <si>
    <t>潍柴动力</t>
  </si>
  <si>
    <t>中兴通讯</t>
  </si>
  <si>
    <t>乐凯新材</t>
  </si>
  <si>
    <t>德赛电池</t>
  </si>
  <si>
    <t>江山股份</t>
  </si>
  <si>
    <t>中炬高新</t>
  </si>
  <si>
    <t>跨境通</t>
  </si>
  <si>
    <t>安通控股</t>
  </si>
  <si>
    <t>张 裕Ａ</t>
  </si>
  <si>
    <t>海螺水泥</t>
  </si>
  <si>
    <t>万孚生物</t>
  </si>
  <si>
    <t>XD大参林</t>
  </si>
  <si>
    <t>威唐工业</t>
  </si>
  <si>
    <t>*ST龙力</t>
  </si>
  <si>
    <t>兆易创新</t>
  </si>
  <si>
    <t>威孚高科</t>
  </si>
  <si>
    <t>顺网科技</t>
  </si>
  <si>
    <t>华帝股份</t>
  </si>
  <si>
    <t>长城科技</t>
  </si>
  <si>
    <t>嘉友国际</t>
  </si>
  <si>
    <t>博世科</t>
  </si>
  <si>
    <t>珠江实业</t>
  </si>
  <si>
    <t>顺鑫农业</t>
  </si>
  <si>
    <t>南京银行</t>
  </si>
  <si>
    <t>深振业Ａ</t>
  </si>
  <si>
    <t>航锦科技</t>
  </si>
  <si>
    <t>大豪科技</t>
  </si>
  <si>
    <t>招商银行</t>
  </si>
  <si>
    <t>恺英网络</t>
  </si>
  <si>
    <t>南方航空</t>
  </si>
  <si>
    <t>建新矿业</t>
  </si>
  <si>
    <t>迪森股份</t>
  </si>
  <si>
    <t>视源股份</t>
  </si>
  <si>
    <t>崇达技术</t>
  </si>
  <si>
    <t>恒顺众昇</t>
  </si>
  <si>
    <t>万兴科技</t>
  </si>
  <si>
    <t>璞泰来</t>
  </si>
  <si>
    <t>亿帆医药</t>
  </si>
  <si>
    <t>山东海化</t>
  </si>
  <si>
    <t>吉祥航空</t>
  </si>
  <si>
    <t>福晶科技</t>
  </si>
  <si>
    <t>瑞茂通</t>
  </si>
  <si>
    <t>大族激光</t>
  </si>
  <si>
    <t>中鼎股份</t>
  </si>
  <si>
    <t>君正集团</t>
  </si>
  <si>
    <t>中国巨石</t>
  </si>
  <si>
    <t>道氏技术</t>
  </si>
  <si>
    <t>光明地产</t>
  </si>
  <si>
    <t>杭州园林</t>
  </si>
  <si>
    <t>天虹股份</t>
  </si>
  <si>
    <t>国联水产</t>
  </si>
  <si>
    <t>冠福股份</t>
  </si>
  <si>
    <t>莱绅通灵</t>
  </si>
  <si>
    <t>江特电机</t>
  </si>
  <si>
    <t>山大华特</t>
  </si>
  <si>
    <t>家家悦</t>
  </si>
  <si>
    <t>三安光电</t>
  </si>
  <si>
    <t>康美药业</t>
  </si>
  <si>
    <t>葵花药业</t>
  </si>
  <si>
    <t>新洋丰</t>
  </si>
  <si>
    <t>万向钱潮</t>
  </si>
  <si>
    <t>新华百货</t>
  </si>
  <si>
    <t>华发股份</t>
  </si>
  <si>
    <t>利尔化学</t>
  </si>
  <si>
    <t>万和电气</t>
  </si>
  <si>
    <t>海亮股份</t>
  </si>
  <si>
    <t>中粮糖业</t>
  </si>
  <si>
    <t>金 螳 螂</t>
  </si>
  <si>
    <t>赢合科技</t>
  </si>
  <si>
    <t>ST生化</t>
  </si>
  <si>
    <t>岱美股份</t>
  </si>
  <si>
    <t>珀莱雅</t>
  </si>
  <si>
    <t>渤海轮渡</t>
  </si>
  <si>
    <t>白云山</t>
  </si>
  <si>
    <t>领益智造</t>
  </si>
  <si>
    <t>大商股份</t>
  </si>
  <si>
    <t>五洲交通</t>
  </si>
  <si>
    <t>景旺电子</t>
  </si>
  <si>
    <t>北大荒</t>
  </si>
  <si>
    <t>太空智造</t>
  </si>
  <si>
    <t>旭升股份</t>
  </si>
  <si>
    <t>利亚德</t>
  </si>
  <si>
    <t>周大生</t>
  </si>
  <si>
    <t>长春高新</t>
  </si>
  <si>
    <t>扬帆新材</t>
  </si>
  <si>
    <t>罗莱生活</t>
  </si>
  <si>
    <t>亨通光电</t>
  </si>
  <si>
    <t>荣盛石化</t>
  </si>
  <si>
    <t>上海梅林</t>
  </si>
  <si>
    <t>浙江美大</t>
  </si>
  <si>
    <t>小康股份</t>
  </si>
  <si>
    <t>华铭智能</t>
  </si>
  <si>
    <t>贵阳银行</t>
  </si>
  <si>
    <t>康恩贝</t>
  </si>
  <si>
    <t>新光药业</t>
  </si>
  <si>
    <t>乐普医疗</t>
  </si>
  <si>
    <t>万达电影</t>
  </si>
  <si>
    <t>滨化股份</t>
  </si>
  <si>
    <t>鲁抗医药</t>
  </si>
  <si>
    <t>龙蟒佰利</t>
  </si>
  <si>
    <t>药明康德</t>
  </si>
  <si>
    <t>伊之密</t>
  </si>
  <si>
    <t>名家汇</t>
  </si>
  <si>
    <t>天保基建</t>
  </si>
  <si>
    <t>继峰股份</t>
  </si>
  <si>
    <t>嘉化能源</t>
  </si>
  <si>
    <t>安奈儿</t>
  </si>
  <si>
    <t>旗滨集团</t>
  </si>
  <si>
    <t>塔牌集团</t>
  </si>
  <si>
    <t>三祥新材</t>
  </si>
  <si>
    <t>正海生物</t>
  </si>
  <si>
    <t>完美世界</t>
  </si>
  <si>
    <t>长航凤凰</t>
  </si>
  <si>
    <t>南京证券</t>
  </si>
  <si>
    <t>兴业银行</t>
  </si>
  <si>
    <t>锋龙股份</t>
  </si>
  <si>
    <t>盐津铺子</t>
  </si>
  <si>
    <t>新坐标</t>
  </si>
  <si>
    <t>王府井</t>
  </si>
  <si>
    <t>拉夏贝尔</t>
  </si>
  <si>
    <t>维业股份</t>
  </si>
  <si>
    <t>东华能源</t>
  </si>
  <si>
    <t>众应互联</t>
  </si>
  <si>
    <t>南都物业</t>
  </si>
  <si>
    <t>杰恩设计</t>
  </si>
  <si>
    <t>海信科龙</t>
  </si>
  <si>
    <t>老百姓</t>
  </si>
  <si>
    <t>华新水泥</t>
  </si>
  <si>
    <t>牧高笛</t>
  </si>
  <si>
    <t>宁波高发</t>
  </si>
  <si>
    <t>杭萧钢构</t>
  </si>
  <si>
    <t>中颖电子</t>
  </si>
  <si>
    <t>华兰生物</t>
  </si>
  <si>
    <t>云南白药</t>
  </si>
  <si>
    <t>三孚股份</t>
  </si>
  <si>
    <t>海达股份</t>
  </si>
  <si>
    <t>国恩股份</t>
  </si>
  <si>
    <t>拓斯达</t>
  </si>
  <si>
    <t>宋城演艺</t>
  </si>
  <si>
    <t>农业银行</t>
  </si>
  <si>
    <t>大东方</t>
  </si>
  <si>
    <t>欧普康视</t>
  </si>
  <si>
    <t>XD好太太</t>
  </si>
  <si>
    <t>老白干酒</t>
  </si>
  <si>
    <t>三友化工</t>
  </si>
  <si>
    <t>优博讯</t>
  </si>
  <si>
    <t>三诺生物</t>
  </si>
  <si>
    <t>闰土股份</t>
  </si>
  <si>
    <t>建设银行</t>
  </si>
  <si>
    <t>广汇能源</t>
  </si>
  <si>
    <t>华宝股份</t>
  </si>
  <si>
    <t>以岭药业</t>
  </si>
  <si>
    <t>贵州百灵</t>
  </si>
  <si>
    <t>鸿达兴业</t>
  </si>
  <si>
    <t>中天金融</t>
  </si>
  <si>
    <t>物产中大</t>
  </si>
  <si>
    <t>八一钢铁</t>
  </si>
  <si>
    <t>宜华健康</t>
  </si>
  <si>
    <t>君禾股份</t>
  </si>
  <si>
    <t>人民同泰</t>
  </si>
  <si>
    <t>桂冠电力</t>
  </si>
  <si>
    <t>上汽集团</t>
  </si>
  <si>
    <t>德赛西威</t>
  </si>
  <si>
    <t>安 纳 达</t>
  </si>
  <si>
    <t>当代东方</t>
  </si>
  <si>
    <t>江苏租赁</t>
  </si>
  <si>
    <t>华润三九</t>
  </si>
  <si>
    <t>天士力</t>
  </si>
  <si>
    <t>温氏股份</t>
  </si>
  <si>
    <t>紫光学大</t>
  </si>
  <si>
    <t>石大胜华</t>
  </si>
  <si>
    <t>中国人寿</t>
  </si>
  <si>
    <t>汉鼎宇佑</t>
  </si>
  <si>
    <t>盘江股份</t>
  </si>
  <si>
    <t>双鹭药业</t>
  </si>
  <si>
    <t>贝瑞基因</t>
  </si>
  <si>
    <t>荣泰健康</t>
  </si>
  <si>
    <t>法拉电子</t>
  </si>
  <si>
    <t>宁沪高速</t>
  </si>
  <si>
    <t>东方金钰</t>
  </si>
  <si>
    <t>东方嘉盛</t>
  </si>
  <si>
    <t>黑猫股份</t>
  </si>
  <si>
    <t>长城汽车</t>
  </si>
  <si>
    <t>宏发股份</t>
  </si>
  <si>
    <t>海越股份</t>
  </si>
  <si>
    <t>上海凯宝</t>
  </si>
  <si>
    <t>富森美</t>
  </si>
  <si>
    <t>永吉股份</t>
  </si>
  <si>
    <t>中洲控股</t>
  </si>
  <si>
    <t>寿仙谷</t>
  </si>
  <si>
    <t>民生银行</t>
  </si>
  <si>
    <t>爱尔眼科</t>
  </si>
  <si>
    <t>大元泵业</t>
  </si>
  <si>
    <t>振华股份</t>
  </si>
  <si>
    <t>生益科技</t>
  </si>
  <si>
    <t>普利制药</t>
  </si>
  <si>
    <t>恩华药业</t>
  </si>
  <si>
    <t>仙鹤股份</t>
  </si>
  <si>
    <t>大有能源</t>
  </si>
  <si>
    <t>三环集团</t>
  </si>
  <si>
    <t>新华保险</t>
  </si>
  <si>
    <t>大秦铁路</t>
  </si>
  <si>
    <t>博汇纸业</t>
  </si>
  <si>
    <t>亚翔集成</t>
  </si>
  <si>
    <t>九阳股份</t>
  </si>
  <si>
    <t>洛阳钼业</t>
  </si>
  <si>
    <t>奇正藏药</t>
  </si>
  <si>
    <t>广州酒家</t>
  </si>
  <si>
    <t>兖州煤业</t>
  </si>
  <si>
    <t>华森制药</t>
  </si>
  <si>
    <t>蓝帆医疗</t>
  </si>
  <si>
    <t>恒立液压</t>
  </si>
  <si>
    <t>康欣新材</t>
  </si>
  <si>
    <t>龙大肉食</t>
  </si>
  <si>
    <t>长生生物</t>
  </si>
  <si>
    <t>鱼跃医疗</t>
  </si>
  <si>
    <t>东方能源</t>
  </si>
  <si>
    <t>印纪传媒</t>
  </si>
  <si>
    <t>长江通信</t>
  </si>
  <si>
    <t>药石科技</t>
  </si>
  <si>
    <t>索通发展</t>
  </si>
  <si>
    <t>山西焦化</t>
  </si>
  <si>
    <t>上海机场</t>
  </si>
  <si>
    <t>劲拓股份</t>
  </si>
  <si>
    <t>睿能科技</t>
  </si>
  <si>
    <t>华润双鹤</t>
  </si>
  <si>
    <t>美锦能源</t>
  </si>
  <si>
    <t>淳中科技</t>
  </si>
  <si>
    <t>神马股份</t>
  </si>
  <si>
    <t>欣锐科技</t>
  </si>
  <si>
    <t>美晨生态</t>
  </si>
  <si>
    <t>新 大 陆</t>
  </si>
  <si>
    <t>快克股份</t>
  </si>
  <si>
    <t>春秋航空</t>
  </si>
  <si>
    <t>迈克生物</t>
  </si>
  <si>
    <t>太平鸟</t>
  </si>
  <si>
    <t>新凤鸣</t>
  </si>
  <si>
    <t>华统股份</t>
  </si>
  <si>
    <t>智度股份</t>
  </si>
  <si>
    <t>辅仁药业</t>
  </si>
  <si>
    <t>凌钢股份</t>
  </si>
  <si>
    <t>吉宏股份</t>
  </si>
  <si>
    <t>金安国纪</t>
  </si>
  <si>
    <t>巨人网络</t>
  </si>
  <si>
    <t>富奥股份</t>
  </si>
  <si>
    <t>百傲化学</t>
  </si>
  <si>
    <t>江中药业</t>
  </si>
  <si>
    <t>嘉事堂</t>
  </si>
  <si>
    <t>东港股份</t>
  </si>
  <si>
    <t>尖峰集团</t>
  </si>
  <si>
    <t>精锻科技</t>
  </si>
  <si>
    <t>康得新</t>
  </si>
  <si>
    <t>常熟汽饰</t>
  </si>
  <si>
    <t>利安隆</t>
  </si>
  <si>
    <t>国瓷材料</t>
  </si>
  <si>
    <t>鄂武商Ａ</t>
  </si>
  <si>
    <t>永辉超市</t>
  </si>
  <si>
    <t>巨化股份</t>
  </si>
  <si>
    <t>北新建材</t>
  </si>
  <si>
    <t>工商银行</t>
  </si>
  <si>
    <t>东莞控股</t>
  </si>
  <si>
    <t>卫信康</t>
  </si>
  <si>
    <t>德展健康</t>
  </si>
  <si>
    <t>永艺股份</t>
  </si>
  <si>
    <t>苏利股份</t>
  </si>
  <si>
    <t>浙江仙通</t>
  </si>
  <si>
    <t>青岛啤酒</t>
  </si>
  <si>
    <t>东风科技</t>
  </si>
  <si>
    <t>成都银行</t>
  </si>
  <si>
    <t>中新药业</t>
  </si>
  <si>
    <t>川环科技</t>
  </si>
  <si>
    <t>歌力思</t>
  </si>
  <si>
    <t>中粮地产</t>
  </si>
  <si>
    <t>湘油泵</t>
  </si>
  <si>
    <t>奥拓电子</t>
  </si>
  <si>
    <t>中国神华</t>
  </si>
  <si>
    <t>欣旺达</t>
  </si>
  <si>
    <t>惠威科技</t>
  </si>
  <si>
    <t>艾德生物</t>
  </si>
  <si>
    <t>隆基股份</t>
  </si>
  <si>
    <t>泰格医药</t>
  </si>
  <si>
    <t>元隆雅图</t>
  </si>
  <si>
    <t>佳力图</t>
  </si>
  <si>
    <t>飞凯材料</t>
  </si>
  <si>
    <t>红 太 阳</t>
  </si>
  <si>
    <t>精测电子</t>
  </si>
  <si>
    <t>星帅尔</t>
  </si>
  <si>
    <t>新天然气</t>
  </si>
  <si>
    <t>朗迪集团</t>
  </si>
  <si>
    <t>上海能源</t>
  </si>
  <si>
    <t>晶盛机电</t>
  </si>
  <si>
    <t>隆平高科</t>
  </si>
  <si>
    <t>保隆科技</t>
  </si>
  <si>
    <t>冠农股份</t>
  </si>
  <si>
    <t>九强生物</t>
  </si>
  <si>
    <t>粤高速Ａ</t>
  </si>
  <si>
    <t>中闽能源</t>
  </si>
  <si>
    <t>中国建筑</t>
  </si>
  <si>
    <t>同仁堂</t>
  </si>
  <si>
    <t>齐翔腾达</t>
  </si>
  <si>
    <t>数据港</t>
  </si>
  <si>
    <t>奥瑞金</t>
  </si>
  <si>
    <t>青青稞酒</t>
  </si>
  <si>
    <t>桐昆股份</t>
  </si>
  <si>
    <t>万丰奥威</t>
  </si>
  <si>
    <t>天创时尚</t>
  </si>
  <si>
    <t>京投发展</t>
  </si>
  <si>
    <t>GQY视讯</t>
  </si>
  <si>
    <t>同济科技</t>
  </si>
  <si>
    <t>宝莱特</t>
  </si>
  <si>
    <t>云海金属</t>
  </si>
  <si>
    <t>文灿股份</t>
  </si>
  <si>
    <t>九牧王</t>
  </si>
  <si>
    <t>外高桥</t>
  </si>
  <si>
    <t>东方航空</t>
  </si>
  <si>
    <t>和而泰</t>
  </si>
  <si>
    <t>西王食品</t>
  </si>
  <si>
    <t>川投能源</t>
  </si>
  <si>
    <t>中文传媒</t>
  </si>
  <si>
    <t>英搏尔</t>
  </si>
  <si>
    <t>深南电路</t>
  </si>
  <si>
    <t>中际旭创</t>
  </si>
  <si>
    <t>华懋科技</t>
  </si>
  <si>
    <t>北京银行</t>
  </si>
  <si>
    <t>鹏辉能源</t>
  </si>
  <si>
    <t>好想你</t>
  </si>
  <si>
    <t>贵人鸟</t>
  </si>
  <si>
    <t>龙元建设</t>
  </si>
  <si>
    <t>御家汇</t>
  </si>
  <si>
    <t>澳洋顺昌</t>
  </si>
  <si>
    <t>富满电子</t>
  </si>
  <si>
    <t>西泵股份</t>
  </si>
  <si>
    <t>新疆天业</t>
  </si>
  <si>
    <t>华灿光电</t>
  </si>
  <si>
    <t>同兴达</t>
  </si>
  <si>
    <t>杭州银行</t>
  </si>
  <si>
    <t>长春一东</t>
  </si>
  <si>
    <t>掌阅科技</t>
  </si>
  <si>
    <t>江苏银行</t>
  </si>
  <si>
    <t>天坛生物</t>
  </si>
  <si>
    <t>天奇股份</t>
  </si>
  <si>
    <t>醋化股份</t>
  </si>
  <si>
    <t>龙马环卫</t>
  </si>
  <si>
    <t>昊华能源</t>
  </si>
  <si>
    <t>瑞康医药</t>
  </si>
  <si>
    <t>维格娜丝</t>
  </si>
  <si>
    <t>新经典</t>
  </si>
  <si>
    <t>倍加洁</t>
  </si>
  <si>
    <t>山河药辅</t>
  </si>
  <si>
    <t>清水源</t>
  </si>
  <si>
    <t>宏良股份</t>
  </si>
  <si>
    <t>安正时尚</t>
  </si>
  <si>
    <t>汇川技术</t>
  </si>
  <si>
    <t>水星家纺</t>
  </si>
  <si>
    <t>韦尔股份</t>
  </si>
  <si>
    <t>安科生物</t>
  </si>
  <si>
    <t>一心堂</t>
  </si>
  <si>
    <t>中国银行</t>
  </si>
  <si>
    <t>华光股份</t>
  </si>
  <si>
    <t>佩蒂股份</t>
  </si>
  <si>
    <t>远兴能源</t>
  </si>
  <si>
    <t>仁和药业</t>
  </si>
  <si>
    <t>美康生物</t>
  </si>
  <si>
    <t>振德医疗</t>
  </si>
  <si>
    <t>亚邦股份</t>
  </si>
  <si>
    <t>浦发银行</t>
  </si>
  <si>
    <t>鲁亿通</t>
  </si>
  <si>
    <t>利民股份</t>
  </si>
  <si>
    <t>一品红</t>
  </si>
  <si>
    <t>华谊嘉信</t>
  </si>
  <si>
    <t>中再资环</t>
  </si>
  <si>
    <t>苏奥传感</t>
  </si>
  <si>
    <t>怡 亚 通</t>
  </si>
  <si>
    <t>山东钢铁</t>
  </si>
  <si>
    <t>三星新材</t>
  </si>
  <si>
    <t>吉艾科技</t>
  </si>
  <si>
    <t>京华激光</t>
  </si>
  <si>
    <t>利群股份</t>
  </si>
  <si>
    <t>赛意信息</t>
  </si>
  <si>
    <t>强力新材</t>
  </si>
  <si>
    <t>上海银行</t>
  </si>
  <si>
    <t>华东电脑</t>
  </si>
  <si>
    <t>蓝焰控股</t>
  </si>
  <si>
    <t>瑞丰高材</t>
  </si>
  <si>
    <t>佛燃股份</t>
  </si>
  <si>
    <t>克明面业</t>
  </si>
  <si>
    <t>千红制药</t>
  </si>
  <si>
    <t>今创集团</t>
  </si>
  <si>
    <t>杭叉集团</t>
  </si>
  <si>
    <t>中信银行</t>
  </si>
  <si>
    <t>城市传媒</t>
  </si>
  <si>
    <t>中国重汽</t>
  </si>
  <si>
    <t>桃李面包</t>
  </si>
  <si>
    <t>亚普股份</t>
  </si>
  <si>
    <t>南方传媒</t>
  </si>
  <si>
    <t>兰太实业</t>
  </si>
  <si>
    <t>圆通速递</t>
  </si>
  <si>
    <t>鸿利智汇</t>
  </si>
  <si>
    <t>台华新材</t>
  </si>
  <si>
    <t>光库科技</t>
  </si>
  <si>
    <t>中航光电</t>
  </si>
  <si>
    <t>华菱精工</t>
  </si>
  <si>
    <t>羚锐制药</t>
  </si>
  <si>
    <t>西藏药业</t>
  </si>
  <si>
    <t>兄弟科技</t>
  </si>
  <si>
    <t>友阿股份</t>
  </si>
  <si>
    <t>光大银行</t>
  </si>
  <si>
    <t>中牧股份</t>
  </si>
  <si>
    <t>科林环保</t>
  </si>
  <si>
    <t>克来机电</t>
  </si>
  <si>
    <t>畅联股份</t>
  </si>
  <si>
    <t>天孚通信</t>
  </si>
  <si>
    <t>哈三联</t>
  </si>
  <si>
    <t>常熟银行</t>
  </si>
  <si>
    <t>盛屯矿业</t>
  </si>
  <si>
    <t>奥联电子</t>
  </si>
  <si>
    <t>杭氧股份</t>
  </si>
  <si>
    <t>永安药业</t>
  </si>
  <si>
    <t>晨鸣纸业</t>
  </si>
  <si>
    <t>珍宝岛</t>
  </si>
  <si>
    <t>陆家嘴</t>
  </si>
  <si>
    <t>天润乳业</t>
  </si>
  <si>
    <t>通鼎互联</t>
  </si>
  <si>
    <t>伟星新材</t>
  </si>
  <si>
    <t>四川双马</t>
  </si>
  <si>
    <t>苏宁环球</t>
  </si>
  <si>
    <t>潞安环能</t>
  </si>
  <si>
    <t>光威复材</t>
  </si>
  <si>
    <t>中旗股份</t>
  </si>
  <si>
    <t>濮阳惠成</t>
  </si>
  <si>
    <t>众兴菌业</t>
  </si>
  <si>
    <t>舍得酒业</t>
  </si>
  <si>
    <t>飞荣达</t>
  </si>
  <si>
    <t>回天新材</t>
  </si>
  <si>
    <t>神州数码</t>
  </si>
  <si>
    <t>宁波富达</t>
  </si>
  <si>
    <t>爱柯迪</t>
  </si>
  <si>
    <t>华海药业</t>
  </si>
  <si>
    <t>大禹节水</t>
  </si>
  <si>
    <t>凌霄泵业</t>
  </si>
  <si>
    <t>辉丰股份</t>
  </si>
  <si>
    <t>众生药业</t>
  </si>
  <si>
    <t>航民股份</t>
  </si>
  <si>
    <t>中国电影</t>
  </si>
  <si>
    <t>润建通信</t>
  </si>
  <si>
    <t>劲嘉股份</t>
  </si>
  <si>
    <t>紫鑫药业</t>
  </si>
  <si>
    <t>交通银行</t>
  </si>
  <si>
    <t>德宏股份</t>
  </si>
  <si>
    <t>厦门空港</t>
  </si>
  <si>
    <t>科达洁能</t>
  </si>
  <si>
    <t>阿石创</t>
  </si>
  <si>
    <t>海辰药业</t>
  </si>
  <si>
    <t>帝龙文化</t>
  </si>
  <si>
    <t>恒顺醋业</t>
  </si>
  <si>
    <t>胜宏科技</t>
  </si>
  <si>
    <t>四通新材</t>
  </si>
  <si>
    <t>普路通</t>
  </si>
  <si>
    <t>星宇股份</t>
  </si>
  <si>
    <t>长信科技</t>
  </si>
  <si>
    <t>东江环保</t>
  </si>
  <si>
    <t>徐家汇</t>
  </si>
  <si>
    <t>科伦药业</t>
  </si>
  <si>
    <t>柳药股份</t>
  </si>
  <si>
    <t>爱婴室</t>
  </si>
  <si>
    <t>国投电力</t>
  </si>
  <si>
    <t>中顺洁柔</t>
  </si>
  <si>
    <t>欧菲科技</t>
  </si>
  <si>
    <t>华峰氨纶</t>
  </si>
  <si>
    <t>中曼石油</t>
  </si>
  <si>
    <t>抚顺特钢</t>
  </si>
  <si>
    <t>凯中精密</t>
  </si>
  <si>
    <t>慈文传媒</t>
  </si>
  <si>
    <t>永太科技</t>
  </si>
  <si>
    <t>丽珠集团</t>
  </si>
  <si>
    <t>深圳华强</t>
  </si>
  <si>
    <t>辰欣药业</t>
  </si>
  <si>
    <t>华达科技</t>
  </si>
  <si>
    <t>易见股份</t>
  </si>
  <si>
    <t>岷江水电</t>
  </si>
  <si>
    <t>优德精密</t>
  </si>
  <si>
    <t>金龙羽</t>
  </si>
  <si>
    <t>南方轴承</t>
  </si>
  <si>
    <t>中国海诚</t>
  </si>
  <si>
    <t>江苏国泰</t>
  </si>
  <si>
    <t>哈森股份</t>
  </si>
  <si>
    <t>安井食品</t>
  </si>
  <si>
    <t>益丰药房</t>
  </si>
  <si>
    <t>赛腾股份</t>
  </si>
  <si>
    <t>隆鑫通用</t>
  </si>
  <si>
    <t>浙江鼎力</t>
  </si>
  <si>
    <t>人人乐</t>
  </si>
  <si>
    <t>华孚时尚</t>
  </si>
  <si>
    <t>鞍钢股份</t>
  </si>
  <si>
    <t>恒通股份</t>
  </si>
  <si>
    <t>今天国际</t>
  </si>
  <si>
    <t>红相股份</t>
  </si>
  <si>
    <t>曲江文旅</t>
  </si>
  <si>
    <t>广汇汽车</t>
  </si>
  <si>
    <t>三花智控</t>
  </si>
  <si>
    <t>九 芝 堂</t>
  </si>
  <si>
    <t>豪能股份</t>
  </si>
  <si>
    <t>江苏新能</t>
  </si>
  <si>
    <t>桂林三金</t>
  </si>
  <si>
    <t>安科瑞</t>
  </si>
  <si>
    <t>沃华医药</t>
  </si>
  <si>
    <t>圣达生物</t>
  </si>
  <si>
    <t>安靠智电</t>
  </si>
  <si>
    <t>雄塑科技</t>
  </si>
  <si>
    <t>神宇股份</t>
  </si>
  <si>
    <t>紫金矿业</t>
  </si>
  <si>
    <t>马应龙</t>
  </si>
  <si>
    <t>国药股份</t>
  </si>
  <si>
    <t>中国国贸</t>
  </si>
  <si>
    <t>中设股份</t>
  </si>
  <si>
    <t>酒鬼酒</t>
  </si>
  <si>
    <t>国药一致</t>
  </si>
  <si>
    <t>兰州民百</t>
  </si>
  <si>
    <t>金太阳</t>
  </si>
  <si>
    <t>日机密封</t>
  </si>
  <si>
    <t>天银机电</t>
  </si>
  <si>
    <t>中金岭南</t>
  </si>
  <si>
    <t>易德龙</t>
  </si>
  <si>
    <t>怡球资源</t>
  </si>
  <si>
    <t>宏达电子</t>
  </si>
  <si>
    <t>森马服饰</t>
  </si>
  <si>
    <t>合肥百货</t>
  </si>
  <si>
    <t>拓普集团</t>
  </si>
  <si>
    <t>宝信软件</t>
  </si>
  <si>
    <t>金科文化</t>
  </si>
  <si>
    <t>金通灵</t>
  </si>
  <si>
    <t>凯莱英</t>
  </si>
  <si>
    <t>富安娜</t>
  </si>
  <si>
    <t>兴业股份</t>
  </si>
  <si>
    <t>华东重机</t>
  </si>
  <si>
    <t>烯碳退</t>
  </si>
  <si>
    <t>正泰电器</t>
  </si>
  <si>
    <t>厦门国贸</t>
  </si>
  <si>
    <t>富临运业</t>
  </si>
  <si>
    <t>健康元</t>
  </si>
  <si>
    <t>吉华集团</t>
  </si>
  <si>
    <t>东珠景观</t>
  </si>
  <si>
    <t>中国国航</t>
  </si>
  <si>
    <t>宝钢股份</t>
  </si>
  <si>
    <t>银轮股份</t>
  </si>
  <si>
    <t>顺丰控股</t>
  </si>
  <si>
    <t>海峡股份</t>
  </si>
  <si>
    <t>杭钢股份</t>
  </si>
  <si>
    <t>方大集团</t>
  </si>
  <si>
    <t>长久物流</t>
  </si>
  <si>
    <t>东阳光科</t>
  </si>
  <si>
    <t>柳 工</t>
  </si>
  <si>
    <t>四通股份</t>
  </si>
  <si>
    <t>海思科</t>
  </si>
  <si>
    <t>新北洋</t>
  </si>
  <si>
    <t>安徽合力</t>
  </si>
  <si>
    <t>百华悦邦</t>
  </si>
  <si>
    <t>南兴装备</t>
  </si>
  <si>
    <t>中远海科</t>
  </si>
  <si>
    <t>西部矿业</t>
  </si>
  <si>
    <t>博雅生物</t>
  </si>
  <si>
    <t>中农立华</t>
  </si>
  <si>
    <t>德邦股份</t>
  </si>
  <si>
    <t>张江高科</t>
  </si>
  <si>
    <t>金逸影视</t>
  </si>
  <si>
    <t>汉森制药</t>
  </si>
  <si>
    <t>诚意药业</t>
  </si>
  <si>
    <t>东睦股份</t>
  </si>
  <si>
    <t>长鹰信质</t>
  </si>
  <si>
    <t>世纪华通</t>
  </si>
  <si>
    <t>九华旅游</t>
  </si>
  <si>
    <t>福耀玻璃</t>
  </si>
  <si>
    <t>振芯科技</t>
  </si>
  <si>
    <t>道恩股份</t>
  </si>
  <si>
    <t>思美传媒</t>
  </si>
  <si>
    <t>楚江新材</t>
  </si>
  <si>
    <t>宏润建设</t>
  </si>
  <si>
    <t>科森科技</t>
  </si>
  <si>
    <t>威帝股份</t>
  </si>
  <si>
    <t>中化国际</t>
  </si>
  <si>
    <t>中亚股份</t>
  </si>
  <si>
    <t>南极电商</t>
  </si>
  <si>
    <t>现代投资</t>
  </si>
  <si>
    <t>深赤湾Ａ</t>
  </si>
  <si>
    <t>长江传媒</t>
  </si>
  <si>
    <t>复星医药</t>
  </si>
  <si>
    <t>设研院</t>
  </si>
  <si>
    <t>银河磁体</t>
  </si>
  <si>
    <t>众信旅游</t>
  </si>
  <si>
    <t>信捷电气</t>
  </si>
  <si>
    <t>节能风电</t>
  </si>
  <si>
    <t>驰宏锌锗</t>
  </si>
  <si>
    <t>阳泉煤业</t>
  </si>
  <si>
    <t>中威电子</t>
  </si>
  <si>
    <t>洲明科技</t>
  </si>
  <si>
    <t>百利科技</t>
  </si>
  <si>
    <t>百合花</t>
  </si>
  <si>
    <t>奥康国际</t>
  </si>
  <si>
    <t>恒源煤电</t>
  </si>
  <si>
    <t>金卡智能</t>
  </si>
  <si>
    <t>传艺科技</t>
  </si>
  <si>
    <t>煌上煌</t>
  </si>
  <si>
    <t>恒邦股份</t>
  </si>
  <si>
    <t>长安汽车</t>
  </si>
  <si>
    <t>美凯龙</t>
  </si>
  <si>
    <t>新世界</t>
  </si>
  <si>
    <t>勘设股份</t>
  </si>
  <si>
    <t>上海物贸</t>
  </si>
  <si>
    <t>深高速</t>
  </si>
  <si>
    <t>恒为科技</t>
  </si>
  <si>
    <t>科创新源</t>
  </si>
  <si>
    <t>晨光生物</t>
  </si>
  <si>
    <t>合力泰</t>
  </si>
  <si>
    <t>新 希 望</t>
  </si>
  <si>
    <t>深信服</t>
  </si>
  <si>
    <t>三六零</t>
  </si>
  <si>
    <t>洪城水业</t>
  </si>
  <si>
    <t>未名医药</t>
  </si>
  <si>
    <t>华建集团</t>
  </si>
  <si>
    <t>海 利 得</t>
  </si>
  <si>
    <t>金海环境</t>
  </si>
  <si>
    <t>上海医药</t>
  </si>
  <si>
    <t>四川成渝</t>
  </si>
  <si>
    <t>皖通高速</t>
  </si>
  <si>
    <t>白云机场</t>
  </si>
  <si>
    <t>博天环境</t>
  </si>
  <si>
    <t>阳光电源</t>
  </si>
  <si>
    <t>兔 宝 宝</t>
  </si>
  <si>
    <t>西山煤电</t>
  </si>
  <si>
    <t>百达精工</t>
  </si>
  <si>
    <t>露笑科技</t>
  </si>
  <si>
    <t>二三四五</t>
  </si>
  <si>
    <t>鲁阳节能</t>
  </si>
  <si>
    <t>XD重庆燃</t>
  </si>
  <si>
    <t>中航资本</t>
  </si>
  <si>
    <t>天地源</t>
  </si>
  <si>
    <t>三峡新材</t>
  </si>
  <si>
    <t>扬子新材</t>
  </si>
  <si>
    <t>平安银行</t>
  </si>
  <si>
    <t>中原高速</t>
  </si>
  <si>
    <t>木林森</t>
  </si>
  <si>
    <t>搜于特</t>
  </si>
  <si>
    <t>大华股份</t>
  </si>
  <si>
    <t>中钢天源</t>
  </si>
  <si>
    <t>苏州科达</t>
  </si>
  <si>
    <t>金石资源</t>
  </si>
  <si>
    <t>大业股份</t>
  </si>
  <si>
    <t>现代制药</t>
  </si>
  <si>
    <t>扬杰科技</t>
  </si>
  <si>
    <t>桂发祥</t>
  </si>
  <si>
    <t>龙星化工</t>
  </si>
  <si>
    <t>中粮生化</t>
  </si>
  <si>
    <t>中国核电</t>
  </si>
  <si>
    <t>会稽山</t>
  </si>
  <si>
    <t>深圳燃气</t>
  </si>
  <si>
    <t>光大嘉宝</t>
  </si>
  <si>
    <t>道道全</t>
  </si>
  <si>
    <t>豪迈科技</t>
  </si>
  <si>
    <t>湖北能源</t>
  </si>
  <si>
    <t>艾华集团</t>
  </si>
  <si>
    <t>联明股份</t>
  </si>
  <si>
    <t>厦工股份</t>
  </si>
  <si>
    <t>上海家化</t>
  </si>
  <si>
    <t>格力地产</t>
  </si>
  <si>
    <t>迪瑞医疗</t>
  </si>
  <si>
    <t>裕同科技</t>
  </si>
  <si>
    <t>楚天高速</t>
  </si>
  <si>
    <t>森霸传感</t>
  </si>
  <si>
    <t>润都股份</t>
  </si>
  <si>
    <t>亚太药业</t>
  </si>
  <si>
    <t>多伦科技</t>
  </si>
  <si>
    <t>中设集团</t>
  </si>
  <si>
    <t>台基股份</t>
  </si>
  <si>
    <t>海王生物</t>
  </si>
  <si>
    <t>苏垦农发</t>
  </si>
  <si>
    <t>无锡银行</t>
  </si>
  <si>
    <t>新天药业</t>
  </si>
  <si>
    <t>清新环境</t>
  </si>
  <si>
    <t>盛达矿业</t>
  </si>
  <si>
    <t>朗博科技</t>
  </si>
  <si>
    <t>翔鹭钨业</t>
  </si>
  <si>
    <t>新华制药</t>
  </si>
  <si>
    <t>英特集团</t>
  </si>
  <si>
    <t>皇马科技</t>
  </si>
  <si>
    <t>中国太保</t>
  </si>
  <si>
    <t>开滦股份</t>
  </si>
  <si>
    <t>长盛轴承</t>
  </si>
  <si>
    <t>三联虹普</t>
  </si>
  <si>
    <t>张家港行</t>
  </si>
  <si>
    <t>洽洽食品</t>
  </si>
  <si>
    <t>广信股份</t>
  </si>
  <si>
    <t>上海环境</t>
  </si>
  <si>
    <t>梅花生物</t>
  </si>
  <si>
    <t>华谊集团</t>
  </si>
  <si>
    <t>粤泰股份</t>
  </si>
  <si>
    <t>网宿科技</t>
  </si>
  <si>
    <t>潮宏基</t>
  </si>
  <si>
    <t>航天电器</t>
  </si>
  <si>
    <t>康缘药业</t>
  </si>
  <si>
    <t>德尔股份</t>
  </si>
  <si>
    <t>迪安诊断</t>
  </si>
  <si>
    <t>安诺其</t>
  </si>
  <si>
    <t>永兴特钢</t>
  </si>
  <si>
    <t>禾丰牧业</t>
  </si>
  <si>
    <t>中天能源</t>
  </si>
  <si>
    <t>世名科技</t>
  </si>
  <si>
    <t>晨鑫科技</t>
  </si>
  <si>
    <t>中油资本</t>
  </si>
  <si>
    <t>广誉远</t>
  </si>
  <si>
    <t>金地集团</t>
  </si>
  <si>
    <t>国机汽车</t>
  </si>
  <si>
    <t>捷捷微电</t>
  </si>
  <si>
    <t>瑞特股份</t>
  </si>
  <si>
    <t>东音股份</t>
  </si>
  <si>
    <t>多氟多</t>
  </si>
  <si>
    <t>靖远煤电</t>
  </si>
  <si>
    <t>安迪苏</t>
  </si>
  <si>
    <t>润欣科技</t>
  </si>
  <si>
    <t>旋极信息</t>
  </si>
  <si>
    <t>北陆药业</t>
  </si>
  <si>
    <t>步 步 高</t>
  </si>
  <si>
    <t>恒润股份</t>
  </si>
  <si>
    <t>杭州解百</t>
  </si>
  <si>
    <t>凯伦股份</t>
  </si>
  <si>
    <t>华谊兄弟</t>
  </si>
  <si>
    <t>景兴纸业</t>
  </si>
  <si>
    <t>中水渔业</t>
  </si>
  <si>
    <t>众源新材</t>
  </si>
  <si>
    <t>万向德农</t>
  </si>
  <si>
    <t>绿康生化</t>
  </si>
  <si>
    <t>再升科技</t>
  </si>
  <si>
    <t>健民集团</t>
  </si>
  <si>
    <t>鄂尔多斯</t>
  </si>
  <si>
    <t>中泰股份</t>
  </si>
  <si>
    <t>中金环境</t>
  </si>
  <si>
    <t>莱美药业</t>
  </si>
  <si>
    <t>拉芳家化</t>
  </si>
  <si>
    <t>红蜻蜓</t>
  </si>
  <si>
    <t>中工国际</t>
  </si>
  <si>
    <t>中国电建</t>
  </si>
  <si>
    <t>三爱富</t>
  </si>
  <si>
    <t>国立科技</t>
  </si>
  <si>
    <t>加加食品</t>
  </si>
  <si>
    <t>精华制药</t>
  </si>
  <si>
    <t>金路集团</t>
  </si>
  <si>
    <t>鲍斯股份</t>
  </si>
  <si>
    <t>银信科技</t>
  </si>
  <si>
    <t>红日药业</t>
  </si>
  <si>
    <t>孚日股份</t>
  </si>
  <si>
    <t>翔港科技</t>
  </si>
  <si>
    <t>浙江东日</t>
  </si>
  <si>
    <t>博士眼镜</t>
  </si>
  <si>
    <t>金一文化</t>
  </si>
  <si>
    <t>秦港股份</t>
  </si>
  <si>
    <t>德艺文创</t>
  </si>
  <si>
    <t>风华高科</t>
  </si>
  <si>
    <t>司太立</t>
  </si>
  <si>
    <t>先达股份</t>
  </si>
  <si>
    <t>中国石化</t>
  </si>
  <si>
    <t>海顺新材</t>
  </si>
  <si>
    <t>赛升药业</t>
  </si>
  <si>
    <t>力源信息</t>
  </si>
  <si>
    <t>杭锅股份</t>
  </si>
  <si>
    <t>山河智能</t>
  </si>
  <si>
    <t>东宏股份</t>
  </si>
  <si>
    <t>常青股份</t>
  </si>
  <si>
    <t>中国中冶</t>
  </si>
  <si>
    <t>唐山港</t>
  </si>
  <si>
    <t>硕贝德</t>
  </si>
  <si>
    <t>立讯精密</t>
  </si>
  <si>
    <t>科华控股</t>
  </si>
  <si>
    <t>康尼机电</t>
  </si>
  <si>
    <t>绿色动力</t>
  </si>
  <si>
    <t>S佳通</t>
  </si>
  <si>
    <t>彩讯股份</t>
  </si>
  <si>
    <t>安车检测</t>
  </si>
  <si>
    <t>梦洁股份</t>
  </si>
  <si>
    <t>大东海A</t>
  </si>
  <si>
    <t>特发信息</t>
  </si>
  <si>
    <t>深圳新星</t>
  </si>
  <si>
    <t>大丰实业</t>
  </si>
  <si>
    <t>玲珑轮胎</t>
  </si>
  <si>
    <t>山东药玻</t>
  </si>
  <si>
    <t>中天科技</t>
  </si>
  <si>
    <t>泰嘉股份</t>
  </si>
  <si>
    <t>珠江钢琴</t>
  </si>
  <si>
    <t>华锦股份</t>
  </si>
  <si>
    <t>XD圣龙股</t>
  </si>
  <si>
    <t>翰宇药业</t>
  </si>
  <si>
    <t>奥马电器</t>
  </si>
  <si>
    <t>国星光电</t>
  </si>
  <si>
    <t>顺络电子</t>
  </si>
  <si>
    <t>中南建设</t>
  </si>
  <si>
    <t>恒锋工具</t>
  </si>
  <si>
    <t>昆仑万维</t>
  </si>
  <si>
    <t>蓝色光标</t>
  </si>
  <si>
    <t>江苏国信</t>
  </si>
  <si>
    <t>中核钛白</t>
  </si>
  <si>
    <t>中国铁建</t>
  </si>
  <si>
    <t>舒泰神</t>
  </si>
  <si>
    <t>中科电气</t>
  </si>
  <si>
    <t>灵康药业</t>
  </si>
  <si>
    <t>宁波建工</t>
  </si>
  <si>
    <t>一汽富维</t>
  </si>
  <si>
    <t>贝斯特</t>
  </si>
  <si>
    <t>建艺集团</t>
  </si>
  <si>
    <t>光迅科技</t>
  </si>
  <si>
    <t>中泰化学</t>
  </si>
  <si>
    <t>坤彩科技</t>
  </si>
  <si>
    <t>腾龙股份</t>
  </si>
  <si>
    <t>华夏银行</t>
  </si>
  <si>
    <t>富邦股份</t>
  </si>
  <si>
    <t>洪汇新材</t>
  </si>
  <si>
    <t>创维数字</t>
  </si>
  <si>
    <t>鼎胜新材</t>
  </si>
  <si>
    <t>外运发展</t>
  </si>
  <si>
    <t>道明光学</t>
  </si>
  <si>
    <t>莎普爱思</t>
  </si>
  <si>
    <t>润达医疗</t>
  </si>
  <si>
    <t>光明乳业</t>
  </si>
  <si>
    <t>电工合金</t>
  </si>
  <si>
    <t>蓝晓科技</t>
  </si>
  <si>
    <t>当升科技</t>
  </si>
  <si>
    <t>浙商中拓</t>
  </si>
  <si>
    <t>葛洲坝</t>
  </si>
  <si>
    <t>诺力股份</t>
  </si>
  <si>
    <t>精达股份</t>
  </si>
  <si>
    <t>建发股份</t>
  </si>
  <si>
    <t>上海钢联</t>
  </si>
  <si>
    <t>全 聚 德</t>
  </si>
  <si>
    <t>茂业通信</t>
  </si>
  <si>
    <t>时代出版</t>
  </si>
  <si>
    <t>铁龙物流</t>
  </si>
  <si>
    <t>明泰铝业</t>
  </si>
  <si>
    <t>华信新材</t>
  </si>
  <si>
    <t>华大基因</t>
  </si>
  <si>
    <t>三圣股份</t>
  </si>
  <si>
    <t>普莱柯</t>
  </si>
  <si>
    <t>东方银星</t>
  </si>
  <si>
    <t>ST岩石</t>
  </si>
  <si>
    <t>新湖中宝</t>
  </si>
  <si>
    <t>科锐国际</t>
  </si>
  <si>
    <t>江苏雷利</t>
  </si>
  <si>
    <t>尚荣医疗</t>
  </si>
  <si>
    <t>科华生物</t>
  </si>
  <si>
    <t>永新股份</t>
  </si>
  <si>
    <t>深 赛 格</t>
  </si>
  <si>
    <t>首商股份</t>
  </si>
  <si>
    <t>岭南股份</t>
  </si>
  <si>
    <t>滨江集团</t>
  </si>
  <si>
    <t>银亿股份</t>
  </si>
  <si>
    <t>凯利泰</t>
  </si>
  <si>
    <t>海兰信</t>
  </si>
  <si>
    <t>光华科技</t>
  </si>
  <si>
    <t>恒宝股份</t>
  </si>
  <si>
    <t>TCL 集团</t>
  </si>
  <si>
    <t>飞亚达Ａ</t>
  </si>
  <si>
    <t>通威股份</t>
  </si>
  <si>
    <t>华业资本</t>
  </si>
  <si>
    <t>*ST佳电</t>
  </si>
  <si>
    <t>天永智能</t>
  </si>
  <si>
    <t>海立股份</t>
  </si>
  <si>
    <t>汉得信息</t>
  </si>
  <si>
    <t>高新兴</t>
  </si>
  <si>
    <t>同花顺</t>
  </si>
  <si>
    <t>亿纬锂能</t>
  </si>
  <si>
    <t>伟隆股份</t>
  </si>
  <si>
    <t>兴蓉环境</t>
  </si>
  <si>
    <t>华联控股</t>
  </si>
  <si>
    <t>国电电力</t>
  </si>
  <si>
    <t>方盛制药</t>
  </si>
  <si>
    <t>上海亚虹</t>
  </si>
  <si>
    <t>京运通</t>
  </si>
  <si>
    <t>骆驼股份</t>
  </si>
  <si>
    <t>山东出版</t>
  </si>
  <si>
    <t>中石科技</t>
  </si>
  <si>
    <t>中大力德</t>
  </si>
  <si>
    <t>特一药业</t>
  </si>
  <si>
    <t>盛路通信</t>
  </si>
  <si>
    <t>必康股份</t>
  </si>
  <si>
    <t>京东方Ａ</t>
  </si>
  <si>
    <t>上港集团</t>
  </si>
  <si>
    <t>菲林格尔</t>
  </si>
  <si>
    <t>乐惠国际</t>
  </si>
  <si>
    <t>上海机电</t>
  </si>
  <si>
    <t>益民集团</t>
  </si>
  <si>
    <t>益佰制药</t>
  </si>
  <si>
    <t>国祯环保</t>
  </si>
  <si>
    <t>康强电子</t>
  </si>
  <si>
    <t>南京公用</t>
  </si>
  <si>
    <t>泛微网络</t>
  </si>
  <si>
    <t>湖南盐业</t>
  </si>
  <si>
    <t>红旗连锁</t>
  </si>
  <si>
    <t>誉衡药业</t>
  </si>
  <si>
    <t>川化股份</t>
  </si>
  <si>
    <t>三江购物</t>
  </si>
  <si>
    <t>华泰股份</t>
  </si>
  <si>
    <t>天目湖</t>
  </si>
  <si>
    <t>中材国际</t>
  </si>
  <si>
    <t>浦东金桥</t>
  </si>
  <si>
    <t>幸福蓝海</t>
  </si>
  <si>
    <t>瑞丰光电</t>
  </si>
  <si>
    <t>威星智能</t>
  </si>
  <si>
    <t>立霸股份</t>
  </si>
  <si>
    <t>吴江银行</t>
  </si>
  <si>
    <t>宜华生活</t>
  </si>
  <si>
    <t>海航控股</t>
  </si>
  <si>
    <t>奇信股份</t>
  </si>
  <si>
    <t>濮耐股份</t>
  </si>
  <si>
    <t>中国长城</t>
  </si>
  <si>
    <t>金枫酒业</t>
  </si>
  <si>
    <t>九鼎投资</t>
  </si>
  <si>
    <t>江丰电子</t>
  </si>
  <si>
    <t>光莆股份</t>
  </si>
  <si>
    <t>菲利华</t>
  </si>
  <si>
    <t>云内动力</t>
  </si>
  <si>
    <t>金鸿顺</t>
  </si>
  <si>
    <t>皖天然气</t>
  </si>
  <si>
    <t>XD金辰股</t>
  </si>
  <si>
    <t>绿城水务</t>
  </si>
  <si>
    <t>锦江投资</t>
  </si>
  <si>
    <t>索菲亚</t>
  </si>
  <si>
    <t>南卫股份</t>
  </si>
  <si>
    <t>泰瑞机器</t>
  </si>
  <si>
    <t>圣邦股份</t>
  </si>
  <si>
    <t>联得装备</t>
  </si>
  <si>
    <t>和佳股份</t>
  </si>
  <si>
    <t>宝通科技</t>
  </si>
  <si>
    <t>奥士康</t>
  </si>
  <si>
    <t>横店东磁</t>
  </si>
  <si>
    <t>浙江东方</t>
  </si>
  <si>
    <t>同济堂</t>
  </si>
  <si>
    <t>博创科技</t>
  </si>
  <si>
    <t>格林美</t>
  </si>
  <si>
    <t>杭电股份</t>
  </si>
  <si>
    <t>秀强股份</t>
  </si>
  <si>
    <t>双塔食品</t>
  </si>
  <si>
    <t>韶能股份</t>
  </si>
  <si>
    <t>起步股份</t>
  </si>
  <si>
    <t>厦门象屿</t>
  </si>
  <si>
    <t>激智科技</t>
  </si>
  <si>
    <t>腾邦国际</t>
  </si>
  <si>
    <t>朗姿股份</t>
  </si>
  <si>
    <t>福星股份</t>
  </si>
  <si>
    <t>徐工机械</t>
  </si>
  <si>
    <t>龙蟠科技</t>
  </si>
  <si>
    <t>思维列控</t>
  </si>
  <si>
    <t>莱克电气</t>
  </si>
  <si>
    <t>重庆水务</t>
  </si>
  <si>
    <t>中铁工业</t>
  </si>
  <si>
    <t>昆药集团</t>
  </si>
  <si>
    <t>润禾材料</t>
  </si>
  <si>
    <t>新文化</t>
  </si>
  <si>
    <t>银禧科技</t>
  </si>
  <si>
    <t>宏川智慧</t>
  </si>
  <si>
    <t>京新药业</t>
  </si>
  <si>
    <t>大冶特钢</t>
  </si>
  <si>
    <t>大同煤业</t>
  </si>
  <si>
    <t>中视传媒</t>
  </si>
  <si>
    <t>新疆浩源</t>
  </si>
  <si>
    <t>来伊份</t>
  </si>
  <si>
    <t>华瑞股份</t>
  </si>
  <si>
    <t>南都电源</t>
  </si>
  <si>
    <t>金信诺</t>
  </si>
  <si>
    <t>京山轻机</t>
  </si>
  <si>
    <t>华体科技</t>
  </si>
  <si>
    <t>日科化学</t>
  </si>
  <si>
    <t>普洛药业</t>
  </si>
  <si>
    <t>鲁 泰Ａ</t>
  </si>
  <si>
    <t>兴业矿业</t>
  </si>
  <si>
    <t>新疆火炬</t>
  </si>
  <si>
    <t>华钰矿业</t>
  </si>
  <si>
    <t>广生堂</t>
  </si>
  <si>
    <t>温州宏丰</t>
  </si>
  <si>
    <t>微光股份</t>
  </si>
  <si>
    <t>拓邦股份</t>
  </si>
  <si>
    <t>弘讯科技</t>
  </si>
  <si>
    <t>华泰证券</t>
  </si>
  <si>
    <t>天通股份</t>
  </si>
  <si>
    <t>当代明诚</t>
  </si>
  <si>
    <t>洁美科技</t>
  </si>
  <si>
    <t>鹭燕医药</t>
  </si>
  <si>
    <t>长青股份</t>
  </si>
  <si>
    <t>荣盛发展</t>
  </si>
  <si>
    <t>正川股份</t>
  </si>
  <si>
    <t>城地股份</t>
  </si>
  <si>
    <t>火炬电子</t>
  </si>
  <si>
    <t>环旭电子</t>
  </si>
  <si>
    <t>西菱动力</t>
  </si>
  <si>
    <t>顺灏股份</t>
  </si>
  <si>
    <t>辉隆股份</t>
  </si>
  <si>
    <t>银座股份</t>
  </si>
  <si>
    <t>新华文轩</t>
  </si>
  <si>
    <t>爱建集团</t>
  </si>
  <si>
    <t>创业软件</t>
  </si>
  <si>
    <t>可立克</t>
  </si>
  <si>
    <t>天润曲轴</t>
  </si>
  <si>
    <t>合兴包装</t>
  </si>
  <si>
    <t>浩物股份</t>
  </si>
  <si>
    <t>通程控股</t>
  </si>
  <si>
    <t>引力传媒</t>
  </si>
  <si>
    <t>凤凰传媒</t>
  </si>
  <si>
    <t>广州港</t>
  </si>
  <si>
    <t>鲁北化工</t>
  </si>
  <si>
    <t>联诚精密</t>
  </si>
  <si>
    <t>帝欧家居</t>
  </si>
  <si>
    <t>凯美特气</t>
  </si>
  <si>
    <t>本钢板材</t>
  </si>
  <si>
    <t>金牌厨柜</t>
  </si>
  <si>
    <t>国芳集团</t>
  </si>
  <si>
    <t>祥龙电业</t>
  </si>
  <si>
    <t>亚宝药业</t>
  </si>
  <si>
    <t>中央商场</t>
  </si>
  <si>
    <t>光环新网</t>
  </si>
  <si>
    <t>万里扬</t>
  </si>
  <si>
    <t>嘉欣丝绸</t>
  </si>
  <si>
    <t>东北制药</t>
  </si>
  <si>
    <t>园城黄金</t>
  </si>
  <si>
    <t>阳光照明</t>
  </si>
  <si>
    <t>盛弘股份</t>
  </si>
  <si>
    <t>容大感光</t>
  </si>
  <si>
    <t>蓝黛传动</t>
  </si>
  <si>
    <t>广电运通</t>
  </si>
  <si>
    <t>国脉科技</t>
  </si>
  <si>
    <t>宝鹰股份</t>
  </si>
  <si>
    <t>华茂股份</t>
  </si>
  <si>
    <t>上海雅仕</t>
  </si>
  <si>
    <t>山东黄金</t>
  </si>
  <si>
    <t>蓝光发展</t>
  </si>
  <si>
    <t>艾比森</t>
  </si>
  <si>
    <t>福安药业</t>
  </si>
  <si>
    <t>纳思达</t>
  </si>
  <si>
    <t>上工申贝</t>
  </si>
  <si>
    <t>中恒集团</t>
  </si>
  <si>
    <t>福建高速</t>
  </si>
  <si>
    <t>美格智能</t>
  </si>
  <si>
    <t>天圣制药</t>
  </si>
  <si>
    <t>艾格拉斯</t>
  </si>
  <si>
    <t>长江电力</t>
  </si>
  <si>
    <t>创业环保</t>
  </si>
  <si>
    <t>上海建工</t>
  </si>
  <si>
    <t>永泰能源</t>
  </si>
  <si>
    <t>新宙邦</t>
  </si>
  <si>
    <t>奇精机械</t>
  </si>
  <si>
    <t>天马科技</t>
  </si>
  <si>
    <t>全筑股份</t>
  </si>
  <si>
    <t>重庆钢铁</t>
  </si>
  <si>
    <t>雅戈尔</t>
  </si>
  <si>
    <t>达安股份</t>
  </si>
  <si>
    <t>贝达药业</t>
  </si>
  <si>
    <t>盛天网络</t>
  </si>
  <si>
    <t>蒙娜丽莎</t>
  </si>
  <si>
    <t>雅化集团</t>
  </si>
  <si>
    <t>亚联发展</t>
  </si>
  <si>
    <t>天威视讯</t>
  </si>
  <si>
    <t>中国交建</t>
  </si>
  <si>
    <t>兰花科创</t>
  </si>
  <si>
    <t>海信电器</t>
  </si>
  <si>
    <t>电连技术</t>
  </si>
  <si>
    <t>晶瑞股份</t>
  </si>
  <si>
    <t>绿茵生态</t>
  </si>
  <si>
    <t>盈峰环境</t>
  </si>
  <si>
    <t>北部湾港</t>
  </si>
  <si>
    <t>龙江交通</t>
  </si>
  <si>
    <t>新华锦</t>
  </si>
  <si>
    <t>城投控股</t>
  </si>
  <si>
    <t>英科医疗</t>
  </si>
  <si>
    <t>理邦仪器</t>
  </si>
  <si>
    <t>华峰超纤</t>
  </si>
  <si>
    <t>中原内配</t>
  </si>
  <si>
    <t>建研集团</t>
  </si>
  <si>
    <t>千方科技</t>
  </si>
  <si>
    <t>普利特</t>
  </si>
  <si>
    <t>振华科技</t>
  </si>
  <si>
    <t>华侨城Ａ</t>
  </si>
  <si>
    <t>中国中铁</t>
  </si>
  <si>
    <t>宁波港</t>
  </si>
  <si>
    <t>龙净环保</t>
  </si>
  <si>
    <t>永福股份</t>
  </si>
  <si>
    <t>会畅通讯</t>
  </si>
  <si>
    <t>捷成股份</t>
  </si>
  <si>
    <t>卫光生物</t>
  </si>
  <si>
    <t>兆驰股份</t>
  </si>
  <si>
    <t>晨丰科技</t>
  </si>
  <si>
    <t>中国汽研</t>
  </si>
  <si>
    <t>雷迪克</t>
  </si>
  <si>
    <t>东方财富</t>
  </si>
  <si>
    <t>广百股份</t>
  </si>
  <si>
    <t>华贸物流</t>
  </si>
  <si>
    <t>隧道股份</t>
  </si>
  <si>
    <t>卧龙电气</t>
  </si>
  <si>
    <t>英可瑞</t>
  </si>
  <si>
    <t>全信股份</t>
  </si>
  <si>
    <t>*ST建峰</t>
  </si>
  <si>
    <t>嘉泽新能</t>
  </si>
  <si>
    <t>上海电影</t>
  </si>
  <si>
    <t>博威合金</t>
  </si>
  <si>
    <t>奥飞数据</t>
  </si>
  <si>
    <t>瑞和股份</t>
  </si>
  <si>
    <t>圣农发展</t>
  </si>
  <si>
    <t>招商公路</t>
  </si>
  <si>
    <t>福斯特</t>
  </si>
  <si>
    <t>广东骏亚</t>
  </si>
  <si>
    <t>银都股份</t>
  </si>
  <si>
    <t>赛轮金宇</t>
  </si>
  <si>
    <t>古越龙山</t>
  </si>
  <si>
    <t>达志科技</t>
  </si>
  <si>
    <t>聚飞光电</t>
  </si>
  <si>
    <t>金河生物</t>
  </si>
  <si>
    <t>佛山照明</t>
  </si>
  <si>
    <t>恒银金融</t>
  </si>
  <si>
    <t>奥瑞德</t>
  </si>
  <si>
    <t>福能股份</t>
  </si>
  <si>
    <t>唐德影视</t>
  </si>
  <si>
    <t>沪电股份</t>
  </si>
  <si>
    <t>塞力斯</t>
  </si>
  <si>
    <t>吉翔股份</t>
  </si>
  <si>
    <t>国泰君安</t>
  </si>
  <si>
    <t>安阳钢铁</t>
  </si>
  <si>
    <t>乐歌股份</t>
  </si>
  <si>
    <t>美联新材</t>
  </si>
  <si>
    <t>江阴银行</t>
  </si>
  <si>
    <t>青岛金王</t>
  </si>
  <si>
    <t>中钢国际</t>
  </si>
  <si>
    <t>云南铜业</t>
  </si>
  <si>
    <t>康德莱</t>
  </si>
  <si>
    <t>泰晶科技</t>
  </si>
  <si>
    <t>新宏泰</t>
  </si>
  <si>
    <t>哈药股份</t>
  </si>
  <si>
    <t>XD东风汽</t>
  </si>
  <si>
    <t>金发拉比</t>
  </si>
  <si>
    <t>丽江旅游</t>
  </si>
  <si>
    <t>中南传媒</t>
  </si>
  <si>
    <t>汉嘉设计</t>
  </si>
  <si>
    <t>开立医疗</t>
  </si>
  <si>
    <t>宇环数控</t>
  </si>
  <si>
    <t>美亚光电</t>
  </si>
  <si>
    <t>豫园股份</t>
  </si>
  <si>
    <t>南京医药</t>
  </si>
  <si>
    <t>金诚信</t>
  </si>
  <si>
    <t>民德电子</t>
  </si>
  <si>
    <t>同益股份</t>
  </si>
  <si>
    <t>新美星</t>
  </si>
  <si>
    <t>科恒股份</t>
  </si>
  <si>
    <t>瑞普生物</t>
  </si>
  <si>
    <t>德尔未来</t>
  </si>
  <si>
    <t>同德化工</t>
  </si>
  <si>
    <t>金鸿控股</t>
  </si>
  <si>
    <t>天安新材</t>
  </si>
  <si>
    <t>福成股份</t>
  </si>
  <si>
    <t>英唐智控</t>
  </si>
  <si>
    <t>巨星科技</t>
  </si>
  <si>
    <t>威海广泰</t>
  </si>
  <si>
    <t>松发股份</t>
  </si>
  <si>
    <t>岳阳林纸</t>
  </si>
  <si>
    <t>苏美达</t>
  </si>
  <si>
    <t>易事特</t>
  </si>
  <si>
    <t>爱仕达</t>
  </si>
  <si>
    <t>兴化股份</t>
  </si>
  <si>
    <t>国轩高科</t>
  </si>
  <si>
    <t>铁流股份</t>
  </si>
  <si>
    <t>嘉诚国际</t>
  </si>
  <si>
    <t>喜临门</t>
  </si>
  <si>
    <t>文峰股份</t>
  </si>
  <si>
    <t>九典制药</t>
  </si>
  <si>
    <t>尔康制药</t>
  </si>
  <si>
    <t>金贵银业</t>
  </si>
  <si>
    <t>苏州高新</t>
  </si>
  <si>
    <t>海利生物</t>
  </si>
  <si>
    <t>欧普照明</t>
  </si>
  <si>
    <t>九洲药业</t>
  </si>
  <si>
    <t>交大昂立</t>
  </si>
  <si>
    <t>太辰光</t>
  </si>
  <si>
    <t>远东传动</t>
  </si>
  <si>
    <t>新兴铸管</t>
  </si>
  <si>
    <t>中源家居</t>
  </si>
  <si>
    <t>新力金融</t>
  </si>
  <si>
    <t>戴维医疗</t>
  </si>
  <si>
    <t>慈星股份</t>
  </si>
  <si>
    <t>常山药业</t>
  </si>
  <si>
    <t>特锐德</t>
  </si>
  <si>
    <t>东山精密</t>
  </si>
  <si>
    <t>北方国际</t>
  </si>
  <si>
    <t>丽岛新材</t>
  </si>
  <si>
    <t>宏辉果蔬</t>
  </si>
  <si>
    <t>金石东方</t>
  </si>
  <si>
    <t>苏交科</t>
  </si>
  <si>
    <t>中青宝</t>
  </si>
  <si>
    <t>美盈森</t>
  </si>
  <si>
    <t>吉电股份</t>
  </si>
  <si>
    <t>四方冷链</t>
  </si>
  <si>
    <t>山东高速</t>
  </si>
  <si>
    <t>宇通客车</t>
  </si>
  <si>
    <t>黄山旅游</t>
  </si>
  <si>
    <t>昊志机电</t>
  </si>
  <si>
    <t>永利股份</t>
  </si>
  <si>
    <t>柏堡龙</t>
  </si>
  <si>
    <t>麦达数字</t>
  </si>
  <si>
    <t>首钢股份</t>
  </si>
  <si>
    <t>XD国检集</t>
  </si>
  <si>
    <t>ST山水</t>
  </si>
  <si>
    <t>赞宇科技</t>
  </si>
  <si>
    <t>国际医学</t>
  </si>
  <si>
    <t>森特股份</t>
  </si>
  <si>
    <t>百联股份</t>
  </si>
  <si>
    <t>轻纺城</t>
  </si>
  <si>
    <t>青海春天</t>
  </si>
  <si>
    <t>中富通</t>
  </si>
  <si>
    <t>康斯特</t>
  </si>
  <si>
    <t>金城医药</t>
  </si>
  <si>
    <t>利君股份</t>
  </si>
  <si>
    <t>建投能源</t>
  </si>
  <si>
    <t>南 玻Ａ</t>
  </si>
  <si>
    <t>大理药业</t>
  </si>
  <si>
    <t>天龙股份</t>
  </si>
  <si>
    <t>恒生电子</t>
  </si>
  <si>
    <t>XD瑞贝卡</t>
  </si>
  <si>
    <t>金发科技</t>
  </si>
  <si>
    <t>雪浪环境</t>
  </si>
  <si>
    <t>新开源</t>
  </si>
  <si>
    <t>科士达</t>
  </si>
  <si>
    <t>北京利尔</t>
  </si>
  <si>
    <t>天神娱乐</t>
  </si>
  <si>
    <t>联泰环保</t>
  </si>
  <si>
    <t>石英股份</t>
  </si>
  <si>
    <t>依顿电子</t>
  </si>
  <si>
    <t>麦格米特</t>
  </si>
  <si>
    <t>启迪桑德</t>
  </si>
  <si>
    <t>中钨高新</t>
  </si>
  <si>
    <t>金 融 街</t>
  </si>
  <si>
    <t>华正新材</t>
  </si>
  <si>
    <t>吉林高速</t>
  </si>
  <si>
    <t>康拓红外</t>
  </si>
  <si>
    <t>赛为智能</t>
  </si>
  <si>
    <t>广联达</t>
  </si>
  <si>
    <t>天康生物</t>
  </si>
  <si>
    <t>广弘控股</t>
  </si>
  <si>
    <t>五洲新春</t>
  </si>
  <si>
    <t>福达股份</t>
  </si>
  <si>
    <t>XD锦江股</t>
  </si>
  <si>
    <t>百花村</t>
  </si>
  <si>
    <t>永悦科技</t>
  </si>
  <si>
    <t>新日股份</t>
  </si>
  <si>
    <t>海量数据</t>
  </si>
  <si>
    <t>红星发展</t>
  </si>
  <si>
    <t>鹏鹞环保</t>
  </si>
  <si>
    <t>吉药控股</t>
  </si>
  <si>
    <t>中宠股份</t>
  </si>
  <si>
    <t>智能自控</t>
  </si>
  <si>
    <t>深物业A</t>
  </si>
  <si>
    <t>康隆达</t>
  </si>
  <si>
    <t>宏昌电子</t>
  </si>
  <si>
    <t>南京高科</t>
  </si>
  <si>
    <t>浙江广厦</t>
  </si>
  <si>
    <t>澄天伟业</t>
  </si>
  <si>
    <t>广和通</t>
  </si>
  <si>
    <t>新宏泽</t>
  </si>
  <si>
    <t>金智科技</t>
  </si>
  <si>
    <t>金陵药业</t>
  </si>
  <si>
    <t>四川美丰</t>
  </si>
  <si>
    <t>航天工程</t>
  </si>
  <si>
    <t>百大集团</t>
  </si>
  <si>
    <t>刚泰控股</t>
  </si>
  <si>
    <t>联环药业</t>
  </si>
  <si>
    <t>千金药业</t>
  </si>
  <si>
    <t>维维股份</t>
  </si>
  <si>
    <t>亚星客车</t>
  </si>
  <si>
    <t>双一科技</t>
  </si>
  <si>
    <t>长川科技</t>
  </si>
  <si>
    <t>吴通控股</t>
  </si>
  <si>
    <t>良信电器</t>
  </si>
  <si>
    <t>广发证券</t>
  </si>
  <si>
    <t>中色股份</t>
  </si>
  <si>
    <t>熊猫金控</t>
  </si>
  <si>
    <t>中信证券</t>
  </si>
  <si>
    <t>史丹利</t>
  </si>
  <si>
    <t>原尚股份</t>
  </si>
  <si>
    <t>日播时尚</t>
  </si>
  <si>
    <t>凌云股份</t>
  </si>
  <si>
    <t>新界泵业</t>
  </si>
  <si>
    <t>摩恩电气</t>
  </si>
  <si>
    <t>营口港</t>
  </si>
  <si>
    <t>上海洗霸</t>
  </si>
  <si>
    <t>志邦股份</t>
  </si>
  <si>
    <t>宁波精达</t>
  </si>
  <si>
    <t>朗玛信息</t>
  </si>
  <si>
    <t>亚太科技</t>
  </si>
  <si>
    <t>美邦服饰</t>
  </si>
  <si>
    <t>中青旅</t>
  </si>
  <si>
    <t>曲美家居</t>
  </si>
  <si>
    <t>日月股份</t>
  </si>
  <si>
    <t>联创光电</t>
  </si>
  <si>
    <t>保利地产</t>
  </si>
  <si>
    <t>炬华科技</t>
  </si>
  <si>
    <t>长缆科技</t>
  </si>
  <si>
    <t>百川股份</t>
  </si>
  <si>
    <t>大北农</t>
  </si>
  <si>
    <t>飞马国际</t>
  </si>
  <si>
    <t>经纬纺机</t>
  </si>
  <si>
    <t>天茂集团</t>
  </si>
  <si>
    <t>赣粤高速</t>
  </si>
  <si>
    <t>兆丰股份</t>
  </si>
  <si>
    <t>东方网力</t>
  </si>
  <si>
    <t>金运激光</t>
  </si>
  <si>
    <t>天顺风能</t>
  </si>
  <si>
    <t>泰和新材</t>
  </si>
  <si>
    <t>沧州明珠</t>
  </si>
  <si>
    <t>哈工智能</t>
  </si>
  <si>
    <t>上海九百</t>
  </si>
  <si>
    <t>晨化股份</t>
  </si>
  <si>
    <t>赛托生物</t>
  </si>
  <si>
    <t>永贵电器</t>
  </si>
  <si>
    <t>乾照光电</t>
  </si>
  <si>
    <t>万安科技</t>
  </si>
  <si>
    <t>众业达</t>
  </si>
  <si>
    <t>胜利精密</t>
  </si>
  <si>
    <t>新 华 都</t>
  </si>
  <si>
    <t>莱茵生物</t>
  </si>
  <si>
    <t>渤海金控</t>
  </si>
  <si>
    <t>新城控股</t>
  </si>
  <si>
    <t>*ST安煤</t>
  </si>
  <si>
    <t>五矿资本</t>
  </si>
  <si>
    <t>银江股份</t>
  </si>
  <si>
    <t>盘龙药业</t>
  </si>
  <si>
    <t>华宏科技</t>
  </si>
  <si>
    <t>山东章鼓</t>
  </si>
  <si>
    <t>旷达科技</t>
  </si>
  <si>
    <t>好莱客</t>
  </si>
  <si>
    <t>诚邦股份</t>
  </si>
  <si>
    <t>三六五网</t>
  </si>
  <si>
    <t>泰永长征</t>
  </si>
  <si>
    <t>仙琚制药</t>
  </si>
  <si>
    <t>海峡环保</t>
  </si>
  <si>
    <t>日盈电子</t>
  </si>
  <si>
    <t>春风动力</t>
  </si>
  <si>
    <t>汇嘉时代</t>
  </si>
  <si>
    <t>北特科技</t>
  </si>
  <si>
    <t>中远海发</t>
  </si>
  <si>
    <t>大众交通</t>
  </si>
  <si>
    <t>特变电工</t>
  </si>
  <si>
    <t>富瀚微</t>
  </si>
  <si>
    <t>海伦钢琴</t>
  </si>
  <si>
    <t>钧达股份</t>
  </si>
  <si>
    <t>爱施德</t>
  </si>
  <si>
    <t>北讯集团</t>
  </si>
  <si>
    <t>通宝能源</t>
  </si>
  <si>
    <t>欧亚集团</t>
  </si>
  <si>
    <t>广汇物流</t>
  </si>
  <si>
    <t>天房发展</t>
  </si>
  <si>
    <t>西水股份</t>
  </si>
  <si>
    <t>依米康</t>
  </si>
  <si>
    <t>万润科技</t>
  </si>
  <si>
    <t>茂化实华</t>
  </si>
  <si>
    <t>迪贝电气</t>
  </si>
  <si>
    <t>澳柯玛</t>
  </si>
  <si>
    <t>友讯达</t>
  </si>
  <si>
    <t>海航基础</t>
  </si>
  <si>
    <t>傲农生物</t>
  </si>
  <si>
    <t>保税科技</t>
  </si>
  <si>
    <t>飞利信</t>
  </si>
  <si>
    <t>汉威科技</t>
  </si>
  <si>
    <t>华西证券</t>
  </si>
  <si>
    <t>水晶光电</t>
  </si>
  <si>
    <t>中材科技</t>
  </si>
  <si>
    <t>宁德时代</t>
  </si>
  <si>
    <t>长海股份</t>
  </si>
  <si>
    <t>双林股份</t>
  </si>
  <si>
    <t>惠博普</t>
  </si>
  <si>
    <t>海源机械</t>
  </si>
  <si>
    <t>深桑达Ａ</t>
  </si>
  <si>
    <t>特 力Ａ</t>
  </si>
  <si>
    <t>茶花股份</t>
  </si>
  <si>
    <t>财通证券</t>
  </si>
  <si>
    <t>第一医药</t>
  </si>
  <si>
    <t>电子城</t>
  </si>
  <si>
    <t>太龙照明</t>
  </si>
  <si>
    <t>云意电气</t>
  </si>
  <si>
    <t>同有科技</t>
  </si>
  <si>
    <t>山东矿机</t>
  </si>
  <si>
    <t>久立特材</t>
  </si>
  <si>
    <t>永安行</t>
  </si>
  <si>
    <t>纽威股份</t>
  </si>
  <si>
    <t>广东明珠</t>
  </si>
  <si>
    <t>地尔汉宇</t>
  </si>
  <si>
    <t>云图控股</t>
  </si>
  <si>
    <t>双环传动</t>
  </si>
  <si>
    <t>森源电气</t>
  </si>
  <si>
    <t>中科新材</t>
  </si>
  <si>
    <t>汇鸿集团</t>
  </si>
  <si>
    <t>华电国际</t>
  </si>
  <si>
    <t>科斯伍德</t>
  </si>
  <si>
    <t>智云股份</t>
  </si>
  <si>
    <t>朗科科技</t>
  </si>
  <si>
    <t>奥特佳</t>
  </si>
  <si>
    <t>汉钟精机</t>
  </si>
  <si>
    <t>大亚圣象</t>
  </si>
  <si>
    <t>我爱我家</t>
  </si>
  <si>
    <t>阿科力</t>
  </si>
  <si>
    <t>江西铜业</t>
  </si>
  <si>
    <t>佛慈制药</t>
  </si>
  <si>
    <t>得邦照明</t>
  </si>
  <si>
    <t>钱江水利</t>
  </si>
  <si>
    <t>和晶科技</t>
  </si>
  <si>
    <t>金浦钛业</t>
  </si>
  <si>
    <t>ST云维</t>
  </si>
  <si>
    <t>开开实业</t>
  </si>
  <si>
    <t>华能国际</t>
  </si>
  <si>
    <t>三雄极光</t>
  </si>
  <si>
    <t>名臣健康</t>
  </si>
  <si>
    <t>富春环保</t>
  </si>
  <si>
    <t>新野纺织</t>
  </si>
  <si>
    <t>达安基因</t>
  </si>
  <si>
    <t>长源电力</t>
  </si>
  <si>
    <t>中航善达</t>
  </si>
  <si>
    <t>武进不锈</t>
  </si>
  <si>
    <t>花王股份</t>
  </si>
  <si>
    <t>日照港</t>
  </si>
  <si>
    <t>博腾股份</t>
  </si>
  <si>
    <t>沃特股份</t>
  </si>
  <si>
    <t>黄山胶囊</t>
  </si>
  <si>
    <t>海欣食品</t>
  </si>
  <si>
    <t>合众思壮</t>
  </si>
  <si>
    <t>锡业股份</t>
  </si>
  <si>
    <t>吉林敖东</t>
  </si>
  <si>
    <t>博敏电子</t>
  </si>
  <si>
    <t>苏博特</t>
  </si>
  <si>
    <t>新澳股份</t>
  </si>
  <si>
    <t>正平股份</t>
  </si>
  <si>
    <t>武汉控股</t>
  </si>
  <si>
    <t>永鼎股份</t>
  </si>
  <si>
    <t>鹏翎股份</t>
  </si>
  <si>
    <t>东软载波</t>
  </si>
  <si>
    <t>中航电测</t>
  </si>
  <si>
    <t>豫金刚石</t>
  </si>
  <si>
    <t>凯撒文化</t>
  </si>
  <si>
    <t>宗申动力</t>
  </si>
  <si>
    <t>国农科技</t>
  </si>
  <si>
    <t>东方明珠</t>
  </si>
  <si>
    <t>健盛集团</t>
  </si>
  <si>
    <t>中煤能源</t>
  </si>
  <si>
    <t>天宇股份</t>
  </si>
  <si>
    <t>蓝盾股份</t>
  </si>
  <si>
    <t>今飞凯达</t>
  </si>
  <si>
    <t>摩登大道</t>
  </si>
  <si>
    <t>万润股份</t>
  </si>
  <si>
    <t>省广集团</t>
  </si>
  <si>
    <t>国创高新</t>
  </si>
  <si>
    <t>海宁皮城</t>
  </si>
  <si>
    <t>中山公用</t>
  </si>
  <si>
    <t>步长制药</t>
  </si>
  <si>
    <t>昭衍新药</t>
  </si>
  <si>
    <t>中国银河</t>
  </si>
  <si>
    <t>林洋能源</t>
  </si>
  <si>
    <t>云赛智联</t>
  </si>
  <si>
    <t>福日电子</t>
  </si>
  <si>
    <t>山东赫达</t>
  </si>
  <si>
    <t>卫星石化</t>
  </si>
  <si>
    <t>生 意 宝</t>
  </si>
  <si>
    <t>云南能投</t>
  </si>
  <si>
    <t>湖北广电</t>
  </si>
  <si>
    <t>天夏智慧</t>
  </si>
  <si>
    <t>申万宏源</t>
  </si>
  <si>
    <t>深天马Ａ</t>
  </si>
  <si>
    <t>广深铁路</t>
  </si>
  <si>
    <t>红阳能源</t>
  </si>
  <si>
    <t>卫宁健康</t>
  </si>
  <si>
    <t>视觉中国</t>
  </si>
  <si>
    <t>广电网络</t>
  </si>
  <si>
    <t>英飞特</t>
  </si>
  <si>
    <t>维宏股份</t>
  </si>
  <si>
    <t>掌趣科技</t>
  </si>
  <si>
    <t>洪涛股份</t>
  </si>
  <si>
    <t>海大集团</t>
  </si>
  <si>
    <t>汇通能源</t>
  </si>
  <si>
    <t>中广天择</t>
  </si>
  <si>
    <t>迪马股份</t>
  </si>
  <si>
    <t>鹏欣资源</t>
  </si>
  <si>
    <t>青山纸业</t>
  </si>
  <si>
    <t>力星股份</t>
  </si>
  <si>
    <t>富春股份</t>
  </si>
  <si>
    <t>方直科技</t>
  </si>
  <si>
    <t>意华股份</t>
  </si>
  <si>
    <t>新纶科技</t>
  </si>
  <si>
    <t>陕国投Ａ</t>
  </si>
  <si>
    <t>振静股份</t>
  </si>
  <si>
    <t>美思德</t>
  </si>
  <si>
    <t>丰林集团</t>
  </si>
  <si>
    <t>万邦达</t>
  </si>
  <si>
    <t>创新股份</t>
  </si>
  <si>
    <t>七 匹 狼</t>
  </si>
  <si>
    <t>合力科技</t>
  </si>
  <si>
    <t>安记食品</t>
  </si>
  <si>
    <t>泰禾光电</t>
  </si>
  <si>
    <t>翠微股份</t>
  </si>
  <si>
    <t>申达股份</t>
  </si>
  <si>
    <t>华测导航</t>
  </si>
  <si>
    <t>三利谱</t>
  </si>
  <si>
    <t>精艺股份</t>
  </si>
  <si>
    <t>华天科技</t>
  </si>
  <si>
    <t>美达股份</t>
  </si>
  <si>
    <t>海南海药</t>
  </si>
  <si>
    <t>江淮汽车</t>
  </si>
  <si>
    <t>中潜股份</t>
  </si>
  <si>
    <t>斯莱克</t>
  </si>
  <si>
    <t>世纪瑞尔</t>
  </si>
  <si>
    <t>索菱股份</t>
  </si>
  <si>
    <t>杰赛科技</t>
  </si>
  <si>
    <t>神州易桥</t>
  </si>
  <si>
    <t>光大证券</t>
  </si>
  <si>
    <t>贵州燃气</t>
  </si>
  <si>
    <t>三丰智能</t>
  </si>
  <si>
    <t>天舟文化</t>
  </si>
  <si>
    <t>星普医科</t>
  </si>
  <si>
    <t>数码科技</t>
  </si>
  <si>
    <t>钢研高纳</t>
  </si>
  <si>
    <t>东诚药业</t>
  </si>
  <si>
    <t>宁波东力</t>
  </si>
  <si>
    <t>岭南控股</t>
  </si>
  <si>
    <t>胜利股份</t>
  </si>
  <si>
    <t>华数传媒</t>
  </si>
  <si>
    <t>华荣股份</t>
  </si>
  <si>
    <t>惠达卫浴</t>
  </si>
  <si>
    <t>紫江企业</t>
  </si>
  <si>
    <t>南华仪器</t>
  </si>
  <si>
    <t>高盟新材</t>
  </si>
  <si>
    <t>中装建设</t>
  </si>
  <si>
    <t>博彦科技</t>
  </si>
  <si>
    <t>永创智能</t>
  </si>
  <si>
    <t>浙商证券</t>
  </si>
  <si>
    <t>惠而浦</t>
  </si>
  <si>
    <t>海通证券</t>
  </si>
  <si>
    <t>天津港</t>
  </si>
  <si>
    <t>广信材料</t>
  </si>
  <si>
    <t>正业科技</t>
  </si>
  <si>
    <t>科力尔</t>
  </si>
  <si>
    <t>弘宇股份</t>
  </si>
  <si>
    <t>亚泰国际</t>
  </si>
  <si>
    <t>安洁科技</t>
  </si>
  <si>
    <t>哈尔斯</t>
  </si>
  <si>
    <t>中京电子</t>
  </si>
  <si>
    <t>长江润发</t>
  </si>
  <si>
    <t>澳洋科技</t>
  </si>
  <si>
    <t>冀中能源</t>
  </si>
  <si>
    <t>泰禾集团</t>
  </si>
  <si>
    <t>京粮控股</t>
  </si>
  <si>
    <t>沈阳机床</t>
  </si>
  <si>
    <t>井神股份</t>
  </si>
  <si>
    <t>香飘飘</t>
  </si>
  <si>
    <t>交运股份</t>
  </si>
  <si>
    <t>*ST富控</t>
  </si>
  <si>
    <t>重庆路桥</t>
  </si>
  <si>
    <t>东杰智能</t>
  </si>
  <si>
    <t>天瑞仪器</t>
  </si>
  <si>
    <t>联络互动</t>
  </si>
  <si>
    <t>东方雨虹</t>
  </si>
  <si>
    <t>旺能环境</t>
  </si>
  <si>
    <t>凯迪生态</t>
  </si>
  <si>
    <t>航天发展</t>
  </si>
  <si>
    <t>鹏起科技</t>
  </si>
  <si>
    <t>海汽集团</t>
  </si>
  <si>
    <t>音飞储存</t>
  </si>
  <si>
    <t>烽火通信</t>
  </si>
  <si>
    <t>易华录</t>
  </si>
  <si>
    <t>红墙股份</t>
  </si>
  <si>
    <t>昇兴股份</t>
  </si>
  <si>
    <t>瑞泰科技</t>
  </si>
  <si>
    <t>银泰资源</t>
  </si>
  <si>
    <t>深科技</t>
  </si>
  <si>
    <t>深中华A</t>
  </si>
  <si>
    <t>至正股份</t>
  </si>
  <si>
    <t>瑞斯康达</t>
  </si>
  <si>
    <t>电魂网络</t>
  </si>
  <si>
    <t>科达股份</t>
  </si>
  <si>
    <t>申通地铁</t>
  </si>
  <si>
    <t>国金证券</t>
  </si>
  <si>
    <t>海特生物</t>
  </si>
  <si>
    <t>沃施股份</t>
  </si>
  <si>
    <t>英联股份</t>
  </si>
  <si>
    <t>仙坛股份</t>
  </si>
  <si>
    <t>联发股份</t>
  </si>
  <si>
    <t>利欧股份</t>
  </si>
  <si>
    <t>徕木股份</t>
  </si>
  <si>
    <t>祥和实业</t>
  </si>
  <si>
    <t>东兴证券</t>
  </si>
  <si>
    <t>金奥博</t>
  </si>
  <si>
    <t>东华软件</t>
  </si>
  <si>
    <t>鼎信通讯</t>
  </si>
  <si>
    <t>北辰实业</t>
  </si>
  <si>
    <t>金晶科技</t>
  </si>
  <si>
    <t>宜通世纪</t>
  </si>
  <si>
    <t>光韵达</t>
  </si>
  <si>
    <t>皮阿诺</t>
  </si>
  <si>
    <t>报 喜 鸟</t>
  </si>
  <si>
    <t>海鸥股份</t>
  </si>
  <si>
    <t>郑煤机</t>
  </si>
  <si>
    <t>游久游戏</t>
  </si>
  <si>
    <t>国信证券</t>
  </si>
  <si>
    <t>锌业股份</t>
  </si>
  <si>
    <t>高能环境</t>
  </si>
  <si>
    <t>华铁科技</t>
  </si>
  <si>
    <t>济民制药</t>
  </si>
  <si>
    <t>三维股份</t>
  </si>
  <si>
    <t>中国化学</t>
  </si>
  <si>
    <t>陕西黑猫</t>
  </si>
  <si>
    <t>瀚叶股份</t>
  </si>
  <si>
    <t>云天化</t>
  </si>
  <si>
    <t>透景生命</t>
  </si>
  <si>
    <t>景嘉微</t>
  </si>
  <si>
    <t>美盛文化</t>
  </si>
  <si>
    <t>三全食品</t>
  </si>
  <si>
    <t>岳阳兴长</t>
  </si>
  <si>
    <t>深圳机场</t>
  </si>
  <si>
    <t>江河集团</t>
  </si>
  <si>
    <t>新余国科</t>
  </si>
  <si>
    <t>利德曼</t>
  </si>
  <si>
    <t>森远股份</t>
  </si>
  <si>
    <t>北纬科技</t>
  </si>
  <si>
    <t>爱普股份</t>
  </si>
  <si>
    <t>中国核建</t>
  </si>
  <si>
    <t>招商证券</t>
  </si>
  <si>
    <t>中航高科</t>
  </si>
  <si>
    <t>汉商集团</t>
  </si>
  <si>
    <t>汇金科技</t>
  </si>
  <si>
    <t>四方精创</t>
  </si>
  <si>
    <t>巴安水务</t>
  </si>
  <si>
    <t>百润股份</t>
  </si>
  <si>
    <t>杉杉股份</t>
  </si>
  <si>
    <t>新疆众和</t>
  </si>
  <si>
    <t>安徽水利</t>
  </si>
  <si>
    <t>黄河旋风</t>
  </si>
  <si>
    <t>国投资本</t>
  </si>
  <si>
    <t>启迪设计</t>
  </si>
  <si>
    <t>东南网架</t>
  </si>
  <si>
    <t>得润电子</t>
  </si>
  <si>
    <t>凯撒旅游</t>
  </si>
  <si>
    <t>江南水务</t>
  </si>
  <si>
    <t>海川智能</t>
  </si>
  <si>
    <t>华宇软件</t>
  </si>
  <si>
    <t>兆新股份</t>
  </si>
  <si>
    <t>东旭光电</t>
  </si>
  <si>
    <t>中集集团</t>
  </si>
  <si>
    <t>东百集团</t>
  </si>
  <si>
    <t>盛和资源</t>
  </si>
  <si>
    <t>西南证券</t>
  </si>
  <si>
    <t>正丹股份</t>
  </si>
  <si>
    <t>中光防雷</t>
  </si>
  <si>
    <t>鼎龙股份</t>
  </si>
  <si>
    <t>庄园牧场</t>
  </si>
  <si>
    <t>环球印务</t>
  </si>
  <si>
    <t>海联金汇</t>
  </si>
  <si>
    <t>紫光国微</t>
  </si>
  <si>
    <t>威龙股份</t>
  </si>
  <si>
    <t>豫光金铅</t>
  </si>
  <si>
    <t>人福医药</t>
  </si>
  <si>
    <t>歌华有线</t>
  </si>
  <si>
    <t>海鸥住工</t>
  </si>
  <si>
    <t>春兰股份</t>
  </si>
  <si>
    <t>鸣志电器</t>
  </si>
  <si>
    <t>川仪股份</t>
  </si>
  <si>
    <t>飞力达</t>
  </si>
  <si>
    <t>量子生物</t>
  </si>
  <si>
    <t>英威腾</t>
  </si>
  <si>
    <t>东华科技</t>
  </si>
  <si>
    <t>五矿稀土</t>
  </si>
  <si>
    <t>中兴商业</t>
  </si>
  <si>
    <t>东方材料</t>
  </si>
  <si>
    <t>皖江物流</t>
  </si>
  <si>
    <t>浦东建设</t>
  </si>
  <si>
    <t>佳创视讯</t>
  </si>
  <si>
    <t>四方达</t>
  </si>
  <si>
    <t>九洲电气</t>
  </si>
  <si>
    <t>华通医药</t>
  </si>
  <si>
    <t>亚威股份</t>
  </si>
  <si>
    <t>力生制药</t>
  </si>
  <si>
    <t>智慧能源</t>
  </si>
  <si>
    <t>上实发展</t>
  </si>
  <si>
    <t>申能股份</t>
  </si>
  <si>
    <t>维尔利</t>
  </si>
  <si>
    <t>宁波华翔</t>
  </si>
  <si>
    <t>潍柴重机</t>
  </si>
  <si>
    <t>通化金马</t>
  </si>
  <si>
    <t>万林股份</t>
  </si>
  <si>
    <t>大唐发电</t>
  </si>
  <si>
    <t>三星医疗</t>
  </si>
  <si>
    <t>陕鼓动力</t>
  </si>
  <si>
    <t>贵广网络</t>
  </si>
  <si>
    <t>龙溪股份</t>
  </si>
  <si>
    <t>明星电力</t>
  </si>
  <si>
    <t>创力集团</t>
  </si>
  <si>
    <t>广安爱众</t>
  </si>
  <si>
    <t>华安证券</t>
  </si>
  <si>
    <t>中华企业</t>
  </si>
  <si>
    <t>太极实业</t>
  </si>
  <si>
    <t>乐山电力</t>
  </si>
  <si>
    <t>龙头股份</t>
  </si>
  <si>
    <t>爱乐达</t>
  </si>
  <si>
    <t>三德科技</t>
  </si>
  <si>
    <t>联建光电</t>
  </si>
  <si>
    <t>亿利达</t>
  </si>
  <si>
    <t>江苏神通</t>
  </si>
  <si>
    <t>南方汇通</t>
  </si>
  <si>
    <t>海南高速</t>
  </si>
  <si>
    <t>瑞尔特</t>
  </si>
  <si>
    <t>唐人神</t>
  </si>
  <si>
    <t>鸿路钢构</t>
  </si>
  <si>
    <t>天汽模</t>
  </si>
  <si>
    <t>藏格控股</t>
  </si>
  <si>
    <t>东方电缆</t>
  </si>
  <si>
    <t>祥源文化</t>
  </si>
  <si>
    <t>美克家居</t>
  </si>
  <si>
    <t>酒钢宏兴</t>
  </si>
  <si>
    <t>包钢股份</t>
  </si>
  <si>
    <t>凯普生物</t>
  </si>
  <si>
    <t>科大智能</t>
  </si>
  <si>
    <t>久远银海</t>
  </si>
  <si>
    <t>利源精制</t>
  </si>
  <si>
    <t>赫美集团</t>
  </si>
  <si>
    <t>华明装备</t>
  </si>
  <si>
    <t>石基信息</t>
  </si>
  <si>
    <t>宏达高科</t>
  </si>
  <si>
    <t>建研院</t>
  </si>
  <si>
    <t>鹏博士</t>
  </si>
  <si>
    <t>莫高股份</t>
  </si>
  <si>
    <t>美力科技</t>
  </si>
  <si>
    <t>海南瑞泽</t>
  </si>
  <si>
    <t>常宝股份</t>
  </si>
  <si>
    <t>松芝股份</t>
  </si>
  <si>
    <t>山推股份</t>
  </si>
  <si>
    <t>长荣股份</t>
  </si>
  <si>
    <t>中海达</t>
  </si>
  <si>
    <t>中化岩土</t>
  </si>
  <si>
    <t>东方锆业</t>
  </si>
  <si>
    <t>广东鸿图</t>
  </si>
  <si>
    <t>中马传动</t>
  </si>
  <si>
    <t>通用股份</t>
  </si>
  <si>
    <t>同达创业</t>
  </si>
  <si>
    <t>东方创业</t>
  </si>
  <si>
    <t>全柴动力</t>
  </si>
  <si>
    <t>川金诺</t>
  </si>
  <si>
    <t>蓝英装备</t>
  </si>
  <si>
    <t>王子新材</t>
  </si>
  <si>
    <t>漫步者</t>
  </si>
  <si>
    <t>北大医药</t>
  </si>
  <si>
    <t>漳州发展</t>
  </si>
  <si>
    <t>三角轮胎</t>
  </si>
  <si>
    <t>郑州煤电</t>
  </si>
  <si>
    <t>北方稀土</t>
  </si>
  <si>
    <t>华伍股份</t>
  </si>
  <si>
    <t>德生科技</t>
  </si>
  <si>
    <t>司尔特</t>
  </si>
  <si>
    <t>金字火腿</t>
  </si>
  <si>
    <t>歌尔股份</t>
  </si>
  <si>
    <t>中成股份</t>
  </si>
  <si>
    <t>上柴股份</t>
  </si>
  <si>
    <t>文投控股</t>
  </si>
  <si>
    <t>神奇制药</t>
  </si>
  <si>
    <t>冰川网络</t>
  </si>
  <si>
    <t>中电环保</t>
  </si>
  <si>
    <t>经纬电材</t>
  </si>
  <si>
    <t>丰元股份</t>
  </si>
  <si>
    <t>永和智控</t>
  </si>
  <si>
    <t>金轮股份</t>
  </si>
  <si>
    <t>鞍重股份</t>
  </si>
  <si>
    <t>齐心集团</t>
  </si>
  <si>
    <t>恒康医疗</t>
  </si>
  <si>
    <t>百隆东方</t>
  </si>
  <si>
    <t>泰豪科技</t>
  </si>
  <si>
    <t>达威股份</t>
  </si>
  <si>
    <t>恒通科技</t>
  </si>
  <si>
    <t>麦捷科技</t>
  </si>
  <si>
    <t>上海新阳</t>
  </si>
  <si>
    <t>易世达</t>
  </si>
  <si>
    <t>科迪乳业</t>
  </si>
  <si>
    <t>利达光电</t>
  </si>
  <si>
    <t>长江证券</t>
  </si>
  <si>
    <t>江铃汽车</t>
  </si>
  <si>
    <t>世纪星源</t>
  </si>
  <si>
    <t>嘉澳环保</t>
  </si>
  <si>
    <t>九州通</t>
  </si>
  <si>
    <t>新农开发</t>
  </si>
  <si>
    <t>新元科技</t>
  </si>
  <si>
    <t>博济医药</t>
  </si>
  <si>
    <t>东方电热</t>
  </si>
  <si>
    <t>梅泰诺</t>
  </si>
  <si>
    <t>华源控股</t>
  </si>
  <si>
    <t>兴民智通</t>
  </si>
  <si>
    <t>中持股份</t>
  </si>
  <si>
    <t>中衡设计</t>
  </si>
  <si>
    <t>创业黑马</t>
  </si>
  <si>
    <t>奥普光电</t>
  </si>
  <si>
    <t>华讯方舟</t>
  </si>
  <si>
    <t>龙韵股份</t>
  </si>
  <si>
    <t>海天精工</t>
  </si>
  <si>
    <t>上海电气</t>
  </si>
  <si>
    <t>沪宁股份</t>
  </si>
  <si>
    <t>安妮股份</t>
  </si>
  <si>
    <t>三维通信</t>
  </si>
  <si>
    <t>联创电子</t>
  </si>
  <si>
    <t>精功科技</t>
  </si>
  <si>
    <t>鑫茂科技</t>
  </si>
  <si>
    <t>贵糖股份</t>
  </si>
  <si>
    <t>欧派家居</t>
  </si>
  <si>
    <t>苏大维格</t>
  </si>
  <si>
    <t>先河环保</t>
  </si>
  <si>
    <t>埃斯顿</t>
  </si>
  <si>
    <t>润邦股份</t>
  </si>
  <si>
    <t>创新医疗</t>
  </si>
  <si>
    <t>雪 莱 特</t>
  </si>
  <si>
    <t>阳 光 城</t>
  </si>
  <si>
    <t>太阳能</t>
  </si>
  <si>
    <t>宜宾纸业</t>
  </si>
  <si>
    <t>昌红科技</t>
  </si>
  <si>
    <t>三川智慧</t>
  </si>
  <si>
    <t>三五互联</t>
  </si>
  <si>
    <t>中科金财</t>
  </si>
  <si>
    <t>明牌珠宝</t>
  </si>
  <si>
    <t>华工科技</t>
  </si>
  <si>
    <t>铜陵有色</t>
  </si>
  <si>
    <t>创元科技</t>
  </si>
  <si>
    <t>国泰集团</t>
  </si>
  <si>
    <t>天成自控</t>
  </si>
  <si>
    <t>新南洋</t>
  </si>
  <si>
    <t>中国卫星</t>
  </si>
  <si>
    <t>中环环保</t>
  </si>
  <si>
    <t>东方中科</t>
  </si>
  <si>
    <t>路畅科技</t>
  </si>
  <si>
    <t>多喜爱</t>
  </si>
  <si>
    <t>新宝股份</t>
  </si>
  <si>
    <t>达实智能</t>
  </si>
  <si>
    <t>汉王科技</t>
  </si>
  <si>
    <t>丰乐种业</t>
  </si>
  <si>
    <t>诺德股份</t>
  </si>
  <si>
    <t>亚通股份</t>
  </si>
  <si>
    <t>XD应流股</t>
  </si>
  <si>
    <t>江化微</t>
  </si>
  <si>
    <t>新通联</t>
  </si>
  <si>
    <t>国美通讯</t>
  </si>
  <si>
    <t>世茂股份</t>
  </si>
  <si>
    <t>南京新百</t>
  </si>
  <si>
    <t>三鑫医疗</t>
  </si>
  <si>
    <t>德威新材</t>
  </si>
  <si>
    <t>聚光科技</t>
  </si>
  <si>
    <t>信邦制药</t>
  </si>
  <si>
    <t>天富能源</t>
  </si>
  <si>
    <t>华联综超</t>
  </si>
  <si>
    <t>超频三</t>
  </si>
  <si>
    <t>星辉娱乐</t>
  </si>
  <si>
    <t>金新农</t>
  </si>
  <si>
    <t>太安堂</t>
  </si>
  <si>
    <t>航发控制</t>
  </si>
  <si>
    <t>洛凯股份</t>
  </si>
  <si>
    <t>康惠制药</t>
  </si>
  <si>
    <t>赤峰黄金</t>
  </si>
  <si>
    <t>浙数文化</t>
  </si>
  <si>
    <t>天能重工</t>
  </si>
  <si>
    <t>天龙集团</t>
  </si>
  <si>
    <t>龙津药业</t>
  </si>
  <si>
    <t>益盛药业</t>
  </si>
  <si>
    <t>三 力 士</t>
  </si>
  <si>
    <t>山东威达</t>
  </si>
  <si>
    <t>中兵红箭</t>
  </si>
  <si>
    <t>数字认证</t>
  </si>
  <si>
    <t>佳发安泰</t>
  </si>
  <si>
    <t>金杯电工</t>
  </si>
  <si>
    <t>日发精机</t>
  </si>
  <si>
    <t>湖南黄金</t>
  </si>
  <si>
    <t>通润装备</t>
  </si>
  <si>
    <t>美菱电器</t>
  </si>
  <si>
    <t>风范股份</t>
  </si>
  <si>
    <t>宏图高科</t>
  </si>
  <si>
    <t>明阳电路</t>
  </si>
  <si>
    <t>京泉华</t>
  </si>
  <si>
    <t>乔治白</t>
  </si>
  <si>
    <t>雅克科技</t>
  </si>
  <si>
    <t>四维图新</t>
  </si>
  <si>
    <t>亚厦股份</t>
  </si>
  <si>
    <t>诺邦股份</t>
  </si>
  <si>
    <t>兴业证券</t>
  </si>
  <si>
    <t>康跃科技</t>
  </si>
  <si>
    <t>麦迪电气</t>
  </si>
  <si>
    <t>思创医惠</t>
  </si>
  <si>
    <t>欧比特</t>
  </si>
  <si>
    <t>银河电子</t>
  </si>
  <si>
    <t>联化科技</t>
  </si>
  <si>
    <t>福达合金</t>
  </si>
  <si>
    <t>延长化建</t>
  </si>
  <si>
    <t>科信技术</t>
  </si>
  <si>
    <t>佳云科技</t>
  </si>
  <si>
    <t>康芝药业</t>
  </si>
  <si>
    <t>南 京 港</t>
  </si>
  <si>
    <t>邦宝益智</t>
  </si>
  <si>
    <t>金陵饭店</t>
  </si>
  <si>
    <t>东方日升</t>
  </si>
  <si>
    <t>达刚路机</t>
  </si>
  <si>
    <t>金利华电</t>
  </si>
  <si>
    <t>博实股份</t>
  </si>
  <si>
    <t>天广中茂</t>
  </si>
  <si>
    <t>中原传媒</t>
  </si>
  <si>
    <t>英 力 特</t>
  </si>
  <si>
    <t>号百控股</t>
  </si>
  <si>
    <t>秋林集团</t>
  </si>
  <si>
    <t>广东榕泰</t>
  </si>
  <si>
    <t>天华超净</t>
  </si>
  <si>
    <t>润和软件</t>
  </si>
  <si>
    <t>裕兴股份</t>
  </si>
  <si>
    <t>永清环保</t>
  </si>
  <si>
    <t>奥克股份</t>
  </si>
  <si>
    <t>和胜股份</t>
  </si>
  <si>
    <t>牧原股份</t>
  </si>
  <si>
    <t>蓝丰生化</t>
  </si>
  <si>
    <t>江海股份</t>
  </si>
  <si>
    <t>科大讯飞</t>
  </si>
  <si>
    <t>沃尔核材</t>
  </si>
  <si>
    <t>天邦股份</t>
  </si>
  <si>
    <t>金洲慈航</t>
  </si>
  <si>
    <t>世运电路</t>
  </si>
  <si>
    <t>DR海兴电</t>
  </si>
  <si>
    <t>宝泰隆</t>
  </si>
  <si>
    <t>阳煤化工</t>
  </si>
  <si>
    <t>中珠医疗</t>
  </si>
  <si>
    <t>南京聚隆</t>
  </si>
  <si>
    <t>辰安科技</t>
  </si>
  <si>
    <t>田中精机</t>
  </si>
  <si>
    <t>文科园林</t>
  </si>
  <si>
    <t>勤上股份</t>
  </si>
  <si>
    <t>广田集团</t>
  </si>
  <si>
    <t>中环股份</t>
  </si>
  <si>
    <t>浙江震元</t>
  </si>
  <si>
    <t>渝三峡Ａ</t>
  </si>
  <si>
    <t>乐凯胶片</t>
  </si>
  <si>
    <t>艾艾精工</t>
  </si>
  <si>
    <t>中国中车</t>
  </si>
  <si>
    <t>广西广电</t>
  </si>
  <si>
    <t>首开股份</t>
  </si>
  <si>
    <t>真视通</t>
  </si>
  <si>
    <t>双箭股份</t>
  </si>
  <si>
    <t>星期六</t>
  </si>
  <si>
    <t>金风科技</t>
  </si>
  <si>
    <t>新 海 宜</t>
  </si>
  <si>
    <t>楚天科技</t>
  </si>
  <si>
    <t>世龙实业</t>
  </si>
  <si>
    <t>海印股份</t>
  </si>
  <si>
    <t>汇金通</t>
  </si>
  <si>
    <t>展鹏科技</t>
  </si>
  <si>
    <t>上海临港</t>
  </si>
  <si>
    <t>华银电力</t>
  </si>
  <si>
    <t>长园集团</t>
  </si>
  <si>
    <t>贵研铂业</t>
  </si>
  <si>
    <t>红豆股份</t>
  </si>
  <si>
    <t>华微电子</t>
  </si>
  <si>
    <t>首旅酒店</t>
  </si>
  <si>
    <t>乐金健康</t>
  </si>
  <si>
    <t>机器人</t>
  </si>
  <si>
    <t>榕基软件</t>
  </si>
  <si>
    <t>海特高新</t>
  </si>
  <si>
    <t>江苏有线</t>
  </si>
  <si>
    <t>怡达股份</t>
  </si>
  <si>
    <t>朗科智能</t>
  </si>
  <si>
    <t>佳士科技</t>
  </si>
  <si>
    <t>易明医药</t>
  </si>
  <si>
    <t>好利来</t>
  </si>
  <si>
    <t>海洋王</t>
  </si>
  <si>
    <t>友邦吊顶</t>
  </si>
  <si>
    <t>正邦科技</t>
  </si>
  <si>
    <t>华邦健康</t>
  </si>
  <si>
    <t>国海证券</t>
  </si>
  <si>
    <t>中原证券</t>
  </si>
  <si>
    <t>*ST油服</t>
  </si>
  <si>
    <t>士兰微</t>
  </si>
  <si>
    <t>华能水电</t>
  </si>
  <si>
    <t>光弘科技</t>
  </si>
  <si>
    <t>大烨智能</t>
  </si>
  <si>
    <t>高科石化</t>
  </si>
  <si>
    <t>锦龙股份</t>
  </si>
  <si>
    <t>中联重科</t>
  </si>
  <si>
    <t>皇庭国际</t>
  </si>
  <si>
    <t>华鼎股份</t>
  </si>
  <si>
    <t>一拖股份</t>
  </si>
  <si>
    <t>新雷能</t>
  </si>
  <si>
    <t>中欣氟材</t>
  </si>
  <si>
    <t>先锋电子</t>
  </si>
  <si>
    <t>燕塘乳业</t>
  </si>
  <si>
    <t>国睿科技</t>
  </si>
  <si>
    <t>天药股份</t>
  </si>
  <si>
    <t>航天信息</t>
  </si>
  <si>
    <t>三峡水利</t>
  </si>
  <si>
    <t>科达利</t>
  </si>
  <si>
    <t>华锋股份</t>
  </si>
  <si>
    <t>易尚展示</t>
  </si>
  <si>
    <t>奥佳华</t>
  </si>
  <si>
    <t>佳隆股份</t>
  </si>
  <si>
    <t>嘉应制药</t>
  </si>
  <si>
    <t>中科三环</t>
  </si>
  <si>
    <t>紫光股份</t>
  </si>
  <si>
    <t>泰合健康</t>
  </si>
  <si>
    <t>东方电气</t>
  </si>
  <si>
    <t>远方信息</t>
  </si>
  <si>
    <t>新天科技</t>
  </si>
  <si>
    <t>快意电梯</t>
  </si>
  <si>
    <t>中直股份</t>
  </si>
  <si>
    <t>旭光股份</t>
  </si>
  <si>
    <t>宝光股份</t>
  </si>
  <si>
    <t>碳元科技</t>
  </si>
  <si>
    <t>科顺股份</t>
  </si>
  <si>
    <t>长青集团</t>
  </si>
  <si>
    <t>海陆重工</t>
  </si>
  <si>
    <t>铁岭新城</t>
  </si>
  <si>
    <t>江山欧派</t>
  </si>
  <si>
    <t>华脉科技</t>
  </si>
  <si>
    <t>中国联通</t>
  </si>
  <si>
    <t>同和药业</t>
  </si>
  <si>
    <t>纳尔股份</t>
  </si>
  <si>
    <t>大连电瓷</t>
  </si>
  <si>
    <t>中南文化</t>
  </si>
  <si>
    <t>深大通</t>
  </si>
  <si>
    <t>浪莎股份</t>
  </si>
  <si>
    <t>浙能电力</t>
  </si>
  <si>
    <t>金银河</t>
  </si>
  <si>
    <t>赢时胜</t>
  </si>
  <si>
    <t>任子行</t>
  </si>
  <si>
    <t>东宝生物</t>
  </si>
  <si>
    <t>保龄宝</t>
  </si>
  <si>
    <t>宝塔实业</t>
  </si>
  <si>
    <t>丰原药业</t>
  </si>
  <si>
    <t>中电电机</t>
  </si>
  <si>
    <t>浪潮软件</t>
  </si>
  <si>
    <t>亿利洁能</t>
  </si>
  <si>
    <t>赤天化</t>
  </si>
  <si>
    <t>太阳电缆</t>
  </si>
  <si>
    <t>湘潭电化</t>
  </si>
  <si>
    <t>东信和平</t>
  </si>
  <si>
    <t>启迪古汉</t>
  </si>
  <si>
    <t>恒林股份</t>
  </si>
  <si>
    <t>上海天洋</t>
  </si>
  <si>
    <t>耀皮玻璃</t>
  </si>
  <si>
    <t>鲁商置业</t>
  </si>
  <si>
    <t>西部证券</t>
  </si>
  <si>
    <t>中电鑫龙</t>
  </si>
  <si>
    <t>天润数娱</t>
  </si>
  <si>
    <t>东方市场</t>
  </si>
  <si>
    <t>安德利</t>
  </si>
  <si>
    <t>佳都科技</t>
  </si>
  <si>
    <t>百利电气</t>
  </si>
  <si>
    <t>南山铝业</t>
  </si>
  <si>
    <t>横河模具</t>
  </si>
  <si>
    <t>嘉寓股份</t>
  </si>
  <si>
    <t>睿康股份</t>
  </si>
  <si>
    <t>恒基达鑫</t>
  </si>
  <si>
    <t>*ST尤夫</t>
  </si>
  <si>
    <t>盾安环境</t>
  </si>
  <si>
    <t>神农基因</t>
  </si>
  <si>
    <t>中国西电</t>
  </si>
  <si>
    <t>中新科技</t>
  </si>
  <si>
    <t>华立股份</t>
  </si>
  <si>
    <t>中远海控</t>
  </si>
  <si>
    <t>宝胜股份</t>
  </si>
  <si>
    <t>陇神戎发</t>
  </si>
  <si>
    <t>振东制药</t>
  </si>
  <si>
    <t>神剑股份</t>
  </si>
  <si>
    <t>超华科技</t>
  </si>
  <si>
    <t>河钢股份</t>
  </si>
  <si>
    <t>三木集团</t>
  </si>
  <si>
    <t>盐 田 港</t>
  </si>
  <si>
    <t>派思股份</t>
  </si>
  <si>
    <t>出版传媒</t>
  </si>
  <si>
    <t>联合光电</t>
  </si>
  <si>
    <t>必创科技</t>
  </si>
  <si>
    <t>仟源医药</t>
  </si>
  <si>
    <t>姚记扑克</t>
  </si>
  <si>
    <t>隆基机械</t>
  </si>
  <si>
    <t>威创股份</t>
  </si>
  <si>
    <t>奥飞娱乐</t>
  </si>
  <si>
    <t>中国中期</t>
  </si>
  <si>
    <t>陕西金叶</t>
  </si>
  <si>
    <t>重庆建工</t>
  </si>
  <si>
    <t>冠豪高新</t>
  </si>
  <si>
    <t>东方新星</t>
  </si>
  <si>
    <t>浙江永强</t>
  </si>
  <si>
    <t>金固股份</t>
  </si>
  <si>
    <t>航天电子</t>
  </si>
  <si>
    <t>新华网</t>
  </si>
  <si>
    <t>能科股份</t>
  </si>
  <si>
    <t>宏盛股份</t>
  </si>
  <si>
    <t>宁波海运</t>
  </si>
  <si>
    <t>复旦复华</t>
  </si>
  <si>
    <t>恒丰纸业</t>
  </si>
  <si>
    <t>四川路桥</t>
  </si>
  <si>
    <t>南大光电</t>
  </si>
  <si>
    <t>探路者</t>
  </si>
  <si>
    <t>电光科技</t>
  </si>
  <si>
    <t>光洋股份</t>
  </si>
  <si>
    <t>奋达科技</t>
  </si>
  <si>
    <t>围海股份</t>
  </si>
  <si>
    <t>双星新材</t>
  </si>
  <si>
    <t>新联电子</t>
  </si>
  <si>
    <t>林州重机</t>
  </si>
  <si>
    <t>益生股份</t>
  </si>
  <si>
    <t>海翔药业</t>
  </si>
  <si>
    <t>传化智联</t>
  </si>
  <si>
    <t>神火股份</t>
  </si>
  <si>
    <t>禾望电气</t>
  </si>
  <si>
    <t>星湖科技</t>
  </si>
  <si>
    <t>新华医疗</t>
  </si>
  <si>
    <t>农尚环境</t>
  </si>
  <si>
    <t>中来股份</t>
  </si>
  <si>
    <t>实丰文化</t>
  </si>
  <si>
    <t>美芝股份</t>
  </si>
  <si>
    <t>汉缆股份</t>
  </si>
  <si>
    <t>兴森科技</t>
  </si>
  <si>
    <t>越秀金控</t>
  </si>
  <si>
    <t>中原环保</t>
  </si>
  <si>
    <t>白云电器</t>
  </si>
  <si>
    <t>力帆股份</t>
  </si>
  <si>
    <t>晋亿实业</t>
  </si>
  <si>
    <t>江苏舜天</t>
  </si>
  <si>
    <t>兴发集团</t>
  </si>
  <si>
    <t>汇中股份</t>
  </si>
  <si>
    <t>金力泰</t>
  </si>
  <si>
    <t>正海磁材</t>
  </si>
  <si>
    <t>天喻信息</t>
  </si>
  <si>
    <t>碧水源</t>
  </si>
  <si>
    <t>*ST宝鼎</t>
  </si>
  <si>
    <t>新亚制程</t>
  </si>
  <si>
    <t>梦网集团</t>
  </si>
  <si>
    <t>东北证券</t>
  </si>
  <si>
    <t>皖能电力</t>
  </si>
  <si>
    <t>凤竹纺织</t>
  </si>
  <si>
    <t>方正证券</t>
  </si>
  <si>
    <t>路通视信</t>
  </si>
  <si>
    <t>通产丽星</t>
  </si>
  <si>
    <t>宏达新材</t>
  </si>
  <si>
    <t>黔源电力</t>
  </si>
  <si>
    <t>众泰汽车</t>
  </si>
  <si>
    <t>东方证券</t>
  </si>
  <si>
    <t>东方集团</t>
  </si>
  <si>
    <t>北巴传媒</t>
  </si>
  <si>
    <t>兴源环境</t>
  </si>
  <si>
    <t>新莱应材</t>
  </si>
  <si>
    <t>数字政通</t>
  </si>
  <si>
    <t>峨眉山Ａ</t>
  </si>
  <si>
    <t>沈阳化工</t>
  </si>
  <si>
    <t>青岛双星</t>
  </si>
  <si>
    <t>新大洲Ａ</t>
  </si>
  <si>
    <t>天健集团</t>
  </si>
  <si>
    <t>际华集团</t>
  </si>
  <si>
    <t>国新能源</t>
  </si>
  <si>
    <t>金雷风电</t>
  </si>
  <si>
    <t>东方国信</t>
  </si>
  <si>
    <t>新研股份</t>
  </si>
  <si>
    <t>荃银高科</t>
  </si>
  <si>
    <t>卓翼科技</t>
  </si>
  <si>
    <t>钱江摩托</t>
  </si>
  <si>
    <t>英洛华</t>
  </si>
  <si>
    <t>波导股份</t>
  </si>
  <si>
    <t>东方时尚</t>
  </si>
  <si>
    <t>中国石油</t>
  </si>
  <si>
    <t>浙江富润</t>
  </si>
  <si>
    <t>延江股份</t>
  </si>
  <si>
    <t>恒锋信息</t>
  </si>
  <si>
    <t>开山股份</t>
  </si>
  <si>
    <t>科华恒盛</t>
  </si>
  <si>
    <t>皖通科技</t>
  </si>
  <si>
    <t>财信发展</t>
  </si>
  <si>
    <t>金科股份</t>
  </si>
  <si>
    <t>山东路桥</t>
  </si>
  <si>
    <t>东湖高新</t>
  </si>
  <si>
    <t>香溢融通</t>
  </si>
  <si>
    <t>中国动力</t>
  </si>
  <si>
    <t>新劲刚</t>
  </si>
  <si>
    <t>快乐购</t>
  </si>
  <si>
    <t>华鹏飞</t>
  </si>
  <si>
    <t>开元股份</t>
  </si>
  <si>
    <t>三维工程</t>
  </si>
  <si>
    <t>亚太股份</t>
  </si>
  <si>
    <t>国光电器</t>
  </si>
  <si>
    <t>莱茵体育</t>
  </si>
  <si>
    <t>浙大网新</t>
  </si>
  <si>
    <t>南京熊猫</t>
  </si>
  <si>
    <t>洲际油气</t>
  </si>
  <si>
    <t>西藏天路</t>
  </si>
  <si>
    <t>诚益通</t>
  </si>
  <si>
    <t>金明精机</t>
  </si>
  <si>
    <t>华昌达</t>
  </si>
  <si>
    <t>赛隆药业</t>
  </si>
  <si>
    <t>第一创业</t>
  </si>
  <si>
    <t>猛狮科技</t>
  </si>
  <si>
    <t>雷柏科技</t>
  </si>
  <si>
    <t>长城影视</t>
  </si>
  <si>
    <t>宁波热电</t>
  </si>
  <si>
    <t>内蒙一机</t>
  </si>
  <si>
    <t>界龙实业</t>
  </si>
  <si>
    <t>鲁信创投</t>
  </si>
  <si>
    <t>上海贝岭</t>
  </si>
  <si>
    <t>五洋停车</t>
  </si>
  <si>
    <t>荣科科技</t>
  </si>
  <si>
    <t>梅安森</t>
  </si>
  <si>
    <t>铭普光磁</t>
  </si>
  <si>
    <t>麦趣尔</t>
  </si>
  <si>
    <t>二六三</t>
  </si>
  <si>
    <t>雷科防务</t>
  </si>
  <si>
    <t>新朋股份</t>
  </si>
  <si>
    <t>丰华股份</t>
  </si>
  <si>
    <t>春秋电子</t>
  </si>
  <si>
    <t>雷鸣科化</t>
  </si>
  <si>
    <t>渤海汽车</t>
  </si>
  <si>
    <t>北京城乡</t>
  </si>
  <si>
    <t>兰生股份</t>
  </si>
  <si>
    <t>华自科技</t>
  </si>
  <si>
    <t>环能科技</t>
  </si>
  <si>
    <t>创意信息</t>
  </si>
  <si>
    <t>沃森生物</t>
  </si>
  <si>
    <t>柘中股份</t>
  </si>
  <si>
    <t>博深工具</t>
  </si>
  <si>
    <t>珠海港</t>
  </si>
  <si>
    <t>中国天楹</t>
  </si>
  <si>
    <t>湖南海利</t>
  </si>
  <si>
    <t>三盛教育</t>
  </si>
  <si>
    <t>香雪制药</t>
  </si>
  <si>
    <t>方正电机</t>
  </si>
  <si>
    <t>粤 水 电</t>
  </si>
  <si>
    <t>浪潮信息</t>
  </si>
  <si>
    <t>宝新能源</t>
  </si>
  <si>
    <t>大冷股份</t>
  </si>
  <si>
    <t>金瑞矿业</t>
  </si>
  <si>
    <t>吉林森工</t>
  </si>
  <si>
    <t>移为通信</t>
  </si>
  <si>
    <t>金冠电气</t>
  </si>
  <si>
    <t>中科创达</t>
  </si>
  <si>
    <t>棒杰股份</t>
  </si>
  <si>
    <t>得利斯</t>
  </si>
  <si>
    <t>广博股份</t>
  </si>
  <si>
    <t>诚志股份</t>
  </si>
  <si>
    <t>中交地产</t>
  </si>
  <si>
    <t>三元股份</t>
  </si>
  <si>
    <t>梅轮电梯</t>
  </si>
  <si>
    <t>西藏城投</t>
  </si>
  <si>
    <t>中航重机</t>
  </si>
  <si>
    <t>辽宁成大</t>
  </si>
  <si>
    <t>锦州港</t>
  </si>
  <si>
    <t>康旗股份</t>
  </si>
  <si>
    <t>凯龙股份</t>
  </si>
  <si>
    <t>德联集团</t>
  </si>
  <si>
    <t>中科曙光</t>
  </si>
  <si>
    <t>合锻智能</t>
  </si>
  <si>
    <t>东富龙</t>
  </si>
  <si>
    <t>中坚科技</t>
  </si>
  <si>
    <t>江苏吴中</t>
  </si>
  <si>
    <t>万顺股份</t>
  </si>
  <si>
    <t>天桥起重</t>
  </si>
  <si>
    <t>中国武夷</t>
  </si>
  <si>
    <t>镇海股份</t>
  </si>
  <si>
    <t>美诺华</t>
  </si>
  <si>
    <t>星星科技</t>
  </si>
  <si>
    <t>超图软件</t>
  </si>
  <si>
    <t>龙洲股份</t>
  </si>
  <si>
    <t>山西证券</t>
  </si>
  <si>
    <t>佛塑科技</t>
  </si>
  <si>
    <t>法 尔 胜</t>
  </si>
  <si>
    <t>深康佳Ａ</t>
  </si>
  <si>
    <t>维力医疗</t>
  </si>
  <si>
    <t>中国铝业</t>
  </si>
  <si>
    <t>时代新材</t>
  </si>
  <si>
    <t>三房巷</t>
  </si>
  <si>
    <t>ST昌九</t>
  </si>
  <si>
    <t>首创股份</t>
  </si>
  <si>
    <t>集智股份</t>
  </si>
  <si>
    <t>银邦股份</t>
  </si>
  <si>
    <t>太极股份</t>
  </si>
  <si>
    <t>登海种业</t>
  </si>
  <si>
    <t>湖南发展</t>
  </si>
  <si>
    <t>上海电力</t>
  </si>
  <si>
    <t>元成股份</t>
  </si>
  <si>
    <t>北矿科技</t>
  </si>
  <si>
    <t>东方通信</t>
  </si>
  <si>
    <t>宣亚国际</t>
  </si>
  <si>
    <t>瑞凌股份</t>
  </si>
  <si>
    <t>长盈精密</t>
  </si>
  <si>
    <t>捷荣技术</t>
  </si>
  <si>
    <t>伟星股份</t>
  </si>
  <si>
    <t>新黄浦</t>
  </si>
  <si>
    <t>鹿港文化</t>
  </si>
  <si>
    <t>悦达投资</t>
  </si>
  <si>
    <t>中飞股份</t>
  </si>
  <si>
    <t>安硕信息</t>
  </si>
  <si>
    <t>福瑞股份</t>
  </si>
  <si>
    <t>金溢科技</t>
  </si>
  <si>
    <t>世嘉科技</t>
  </si>
  <si>
    <t>盛通股份</t>
  </si>
  <si>
    <t>广州发展</t>
  </si>
  <si>
    <t>赛福天</t>
  </si>
  <si>
    <t>京能电力</t>
  </si>
  <si>
    <t>山煤国际</t>
  </si>
  <si>
    <t>黑牡丹</t>
  </si>
  <si>
    <t>联创互联</t>
  </si>
  <si>
    <t>佐力药业</t>
  </si>
  <si>
    <t>中信国安</t>
  </si>
  <si>
    <t>万 科Ａ</t>
  </si>
  <si>
    <t>蓝思科技</t>
  </si>
  <si>
    <t>佳讯飞鸿</t>
  </si>
  <si>
    <t>齐峰新材</t>
  </si>
  <si>
    <t>康力电梯</t>
  </si>
  <si>
    <t>万邦德</t>
  </si>
  <si>
    <t>一汽轿车</t>
  </si>
  <si>
    <t>国元证券</t>
  </si>
  <si>
    <t>金健米业</t>
  </si>
  <si>
    <t>神力股份</t>
  </si>
  <si>
    <t>振江股份</t>
  </si>
  <si>
    <t>精工钢构</t>
  </si>
  <si>
    <t>天科股份</t>
  </si>
  <si>
    <t>世纪天鸿</t>
  </si>
  <si>
    <t>海波重科</t>
  </si>
  <si>
    <t>恒华科技</t>
  </si>
  <si>
    <t>冠昊生物</t>
  </si>
  <si>
    <t>科陆电子</t>
  </si>
  <si>
    <t>吉视传媒</t>
  </si>
  <si>
    <t>新潮能源</t>
  </si>
  <si>
    <t>中昌数据</t>
  </si>
  <si>
    <t>富临精工</t>
  </si>
  <si>
    <t>英派斯</t>
  </si>
  <si>
    <t>香山股份</t>
  </si>
  <si>
    <t>浙江众成</t>
  </si>
  <si>
    <t>景峰医药</t>
  </si>
  <si>
    <t>*ST金岭</t>
  </si>
  <si>
    <t>江南高纤</t>
  </si>
  <si>
    <t>泰胜风能</t>
  </si>
  <si>
    <t>通富微电</t>
  </si>
  <si>
    <t>苏州固锝</t>
  </si>
  <si>
    <t>大恒科技</t>
  </si>
  <si>
    <t>欣天科技</t>
  </si>
  <si>
    <t>乐心医疗</t>
  </si>
  <si>
    <t>山鼎设计</t>
  </si>
  <si>
    <t>苏州恒久</t>
  </si>
  <si>
    <t>爱迪尔</t>
  </si>
  <si>
    <t>百洋股份</t>
  </si>
  <si>
    <t>供销大集</t>
  </si>
  <si>
    <t>晶华新材</t>
  </si>
  <si>
    <t>和仁科技</t>
  </si>
  <si>
    <t>久之洋</t>
  </si>
  <si>
    <t>光力科技</t>
  </si>
  <si>
    <t>智慧松德</t>
  </si>
  <si>
    <t>万里石</t>
  </si>
  <si>
    <t>康达新材</t>
  </si>
  <si>
    <t>金财互联</t>
  </si>
  <si>
    <t>中百集团</t>
  </si>
  <si>
    <t>神州信息</t>
  </si>
  <si>
    <t>金自天正</t>
  </si>
  <si>
    <t>溢多利</t>
  </si>
  <si>
    <t>大富科技</t>
  </si>
  <si>
    <t>民盛金科</t>
  </si>
  <si>
    <t>新华联</t>
  </si>
  <si>
    <t>广聚能源</t>
  </si>
  <si>
    <t>晶方科技</t>
  </si>
  <si>
    <t>凯盛科技</t>
  </si>
  <si>
    <t>国民技术</t>
  </si>
  <si>
    <t>康盛股份</t>
  </si>
  <si>
    <t>迪生力</t>
  </si>
  <si>
    <t>北方股份</t>
  </si>
  <si>
    <t>华西能源</t>
  </si>
  <si>
    <t>山东墨龙</t>
  </si>
  <si>
    <t>华金资本</t>
  </si>
  <si>
    <t>四环生物</t>
  </si>
  <si>
    <t>振华重工</t>
  </si>
  <si>
    <t>大湖股份</t>
  </si>
  <si>
    <t>浩云科技</t>
  </si>
  <si>
    <t>东土科技</t>
  </si>
  <si>
    <t>佳沃股份</t>
  </si>
  <si>
    <t>恒大高新</t>
  </si>
  <si>
    <t>西陇科学</t>
  </si>
  <si>
    <t>海普瑞</t>
  </si>
  <si>
    <t>金域医学</t>
  </si>
  <si>
    <t>汇顶科技</t>
  </si>
  <si>
    <t>XD重庆港</t>
  </si>
  <si>
    <t>智动力</t>
  </si>
  <si>
    <t>浙富控股</t>
  </si>
  <si>
    <t>川大智胜</t>
  </si>
  <si>
    <t>数源科技</t>
  </si>
  <si>
    <t>*ST船舶</t>
  </si>
  <si>
    <t>亚盛集团</t>
  </si>
  <si>
    <t>宜昌交运</t>
  </si>
  <si>
    <t>亚夏汽车</t>
  </si>
  <si>
    <t>万泽股份</t>
  </si>
  <si>
    <t>平煤股份</t>
  </si>
  <si>
    <t>上海三毛</t>
  </si>
  <si>
    <t>久吾高科</t>
  </si>
  <si>
    <t>萃华珠宝</t>
  </si>
  <si>
    <t>通达动力</t>
  </si>
  <si>
    <t>启明星辰</t>
  </si>
  <si>
    <t>北京科锐</t>
  </si>
  <si>
    <t>博云新材</t>
  </si>
  <si>
    <t>滨海能源</t>
  </si>
  <si>
    <t>西部创业</t>
  </si>
  <si>
    <t>万 家 乐</t>
  </si>
  <si>
    <t>中材节能</t>
  </si>
  <si>
    <t>蓝海华腾</t>
  </si>
  <si>
    <t>珈伟股份</t>
  </si>
  <si>
    <t>电科院</t>
  </si>
  <si>
    <t>华策影视</t>
  </si>
  <si>
    <t>富煌钢构</t>
  </si>
  <si>
    <t>日上集团</t>
  </si>
  <si>
    <t>天马精化</t>
  </si>
  <si>
    <t>华铁股份</t>
  </si>
  <si>
    <t>民丰特纸</t>
  </si>
  <si>
    <t>郴电国际</t>
  </si>
  <si>
    <t>贵航股份</t>
  </si>
  <si>
    <t>北京城建</t>
  </si>
  <si>
    <t>博晖创新</t>
  </si>
  <si>
    <t>隆华节能</t>
  </si>
  <si>
    <t>华英农业</t>
  </si>
  <si>
    <t>焦点科技</t>
  </si>
  <si>
    <t>河北宣工</t>
  </si>
  <si>
    <t>苏常柴Ａ</t>
  </si>
  <si>
    <t>至纯科技</t>
  </si>
  <si>
    <t>金钼股份</t>
  </si>
  <si>
    <t>华北制药</t>
  </si>
  <si>
    <t>爱司凯</t>
  </si>
  <si>
    <t>浩丰科技</t>
  </si>
  <si>
    <t>新宁物流</t>
  </si>
  <si>
    <t>瀛通通讯</t>
  </si>
  <si>
    <t>中 关 村</t>
  </si>
  <si>
    <t>赣能股份</t>
  </si>
  <si>
    <t>银星能源</t>
  </si>
  <si>
    <t>广州浪奇</t>
  </si>
  <si>
    <t>海欣股份</t>
  </si>
  <si>
    <t>国电南瑞</t>
  </si>
  <si>
    <t>远达环保</t>
  </si>
  <si>
    <t>海泰发展</t>
  </si>
  <si>
    <t>隆盛科技</t>
  </si>
  <si>
    <t>高争民爆</t>
  </si>
  <si>
    <t>丽鹏股份</t>
  </si>
  <si>
    <t>中广核技</t>
  </si>
  <si>
    <t>黑芝麻</t>
  </si>
  <si>
    <t>中信海直</t>
  </si>
  <si>
    <t>科林电气</t>
  </si>
  <si>
    <t>金山股份</t>
  </si>
  <si>
    <t>宋都股份</t>
  </si>
  <si>
    <t>万讯自控</t>
  </si>
  <si>
    <t>星网宇达</t>
  </si>
  <si>
    <t>智光电气</t>
  </si>
  <si>
    <t>四川长虹</t>
  </si>
  <si>
    <t>万盛股份</t>
  </si>
  <si>
    <t>蒙草生态</t>
  </si>
  <si>
    <t>兆日科技</t>
  </si>
  <si>
    <t>跃岭股份</t>
  </si>
  <si>
    <t>高升控股</t>
  </si>
  <si>
    <t>苏试试验</t>
  </si>
  <si>
    <t>天玑科技</t>
  </si>
  <si>
    <t>大金重工</t>
  </si>
  <si>
    <t>北方华创</t>
  </si>
  <si>
    <t>中恒电气</t>
  </si>
  <si>
    <t>大西洋</t>
  </si>
  <si>
    <t>美都能源</t>
  </si>
  <si>
    <t>和邦生物</t>
  </si>
  <si>
    <t>曙光股份</t>
  </si>
  <si>
    <t>皖维高新</t>
  </si>
  <si>
    <t>新国都</t>
  </si>
  <si>
    <t>登云股份</t>
  </si>
  <si>
    <t>金洲管道</t>
  </si>
  <si>
    <t>凯恩股份</t>
  </si>
  <si>
    <t>美利云</t>
  </si>
  <si>
    <t>合诚股份</t>
  </si>
  <si>
    <t>空港股份</t>
  </si>
  <si>
    <t>宝硕股份</t>
  </si>
  <si>
    <t>金花股份</t>
  </si>
  <si>
    <t>耐威科技</t>
  </si>
  <si>
    <t>金盾股份</t>
  </si>
  <si>
    <t>理工环科</t>
  </si>
  <si>
    <t>奥维通信</t>
  </si>
  <si>
    <t>厦门港务</t>
  </si>
  <si>
    <t>东方电子</t>
  </si>
  <si>
    <t>大连友谊</t>
  </si>
  <si>
    <t>ST宏盛</t>
  </si>
  <si>
    <t>DR厦门钨</t>
  </si>
  <si>
    <t>中金黄金</t>
  </si>
  <si>
    <t>腾信股份</t>
  </si>
  <si>
    <t>世纪鼎利</t>
  </si>
  <si>
    <t>荣之联</t>
  </si>
  <si>
    <t>罗平锌电</t>
  </si>
  <si>
    <t>渤海股份</t>
  </si>
  <si>
    <t>如通股份</t>
  </si>
  <si>
    <t>龙宇燃油</t>
  </si>
  <si>
    <t>洛阳玻璃</t>
  </si>
  <si>
    <t>海航创新</t>
  </si>
  <si>
    <t>新赛股份</t>
  </si>
  <si>
    <t>宁波韵升</t>
  </si>
  <si>
    <t>通裕重工</t>
  </si>
  <si>
    <t>文化长城</t>
  </si>
  <si>
    <t>*ST因美</t>
  </si>
  <si>
    <t>杰瑞股份</t>
  </si>
  <si>
    <t>西藏发展</t>
  </si>
  <si>
    <t>燕京啤酒</t>
  </si>
  <si>
    <t>沙河股份</t>
  </si>
  <si>
    <t>美尚生态</t>
  </si>
  <si>
    <t>赛摩电气</t>
  </si>
  <si>
    <t>亚光科技</t>
  </si>
  <si>
    <t>科远股份</t>
  </si>
  <si>
    <t>雅百特</t>
  </si>
  <si>
    <t>荣丰控股</t>
  </si>
  <si>
    <t>华意压缩</t>
  </si>
  <si>
    <t>华凯创意</t>
  </si>
  <si>
    <t>纳川股份</t>
  </si>
  <si>
    <t>兴业科技</t>
  </si>
  <si>
    <t>通达股份</t>
  </si>
  <si>
    <t>模塑科技</t>
  </si>
  <si>
    <t>*ST狮头</t>
  </si>
  <si>
    <t>天华院</t>
  </si>
  <si>
    <t>通葡股份</t>
  </si>
  <si>
    <t>吉大通信</t>
  </si>
  <si>
    <t>宜安科技</t>
  </si>
  <si>
    <t>科新机电</t>
  </si>
  <si>
    <t>贵绳股份</t>
  </si>
  <si>
    <t>中公高科</t>
  </si>
  <si>
    <t>大众公用</t>
  </si>
  <si>
    <t>华胜天成</t>
  </si>
  <si>
    <t>东方铁塔</t>
  </si>
  <si>
    <t>如意集团</t>
  </si>
  <si>
    <t>民生控股</t>
  </si>
  <si>
    <t>上海凤凰</t>
  </si>
  <si>
    <t>金牛化工</t>
  </si>
  <si>
    <t>太极集团</t>
  </si>
  <si>
    <t>中国应急</t>
  </si>
  <si>
    <t>亿通科技</t>
  </si>
  <si>
    <t>潜能恒信</t>
  </si>
  <si>
    <t>英维克</t>
  </si>
  <si>
    <t>吉林化纤</t>
  </si>
  <si>
    <t>中路股份</t>
  </si>
  <si>
    <t>华扬联众</t>
  </si>
  <si>
    <t>奥翔药业</t>
  </si>
  <si>
    <t>中国重工</t>
  </si>
  <si>
    <t>西宁特钢</t>
  </si>
  <si>
    <t>神思电子</t>
  </si>
  <si>
    <t>迦南科技</t>
  </si>
  <si>
    <t>阳普医疗</t>
  </si>
  <si>
    <t>中元股份</t>
  </si>
  <si>
    <t>巨力索具</t>
  </si>
  <si>
    <t>西仪股份</t>
  </si>
  <si>
    <t>常铝股份</t>
  </si>
  <si>
    <t>许继电气</t>
  </si>
  <si>
    <t>大晟文化</t>
  </si>
  <si>
    <t>华菱星马</t>
  </si>
  <si>
    <t>惠伦晶体</t>
  </si>
  <si>
    <t>天泽信息</t>
  </si>
  <si>
    <t>易成新能</t>
  </si>
  <si>
    <t>雪迪龙</t>
  </si>
  <si>
    <t>亚玛顿</t>
  </si>
  <si>
    <t>泰尔股份</t>
  </si>
  <si>
    <t>皇氏集团</t>
  </si>
  <si>
    <t>软控股份</t>
  </si>
  <si>
    <t>中国宝安</t>
  </si>
  <si>
    <t>庞大集团</t>
  </si>
  <si>
    <t>万里股份</t>
  </si>
  <si>
    <t>聚灿光电</t>
  </si>
  <si>
    <t>金陵体育</t>
  </si>
  <si>
    <t>盛讯达</t>
  </si>
  <si>
    <t>运达科技</t>
  </si>
  <si>
    <t>章源钨业</t>
  </si>
  <si>
    <t>大洋电机</t>
  </si>
  <si>
    <t>商赢环球</t>
  </si>
  <si>
    <t>顶点软件</t>
  </si>
  <si>
    <t>白银有色</t>
  </si>
  <si>
    <t>新华传媒</t>
  </si>
  <si>
    <t>强生控股</t>
  </si>
  <si>
    <t>华鑫股份</t>
  </si>
  <si>
    <t>天地科技</t>
  </si>
  <si>
    <t>金种子酒</t>
  </si>
  <si>
    <t>聚龙股份</t>
  </si>
  <si>
    <t>圣阳股份</t>
  </si>
  <si>
    <t>大康农业</t>
  </si>
  <si>
    <t>中超控股</t>
  </si>
  <si>
    <t>海格通信</t>
  </si>
  <si>
    <t>北新路桥</t>
  </si>
  <si>
    <t>金鹰股份</t>
  </si>
  <si>
    <t>惠发股份</t>
  </si>
  <si>
    <t>东软集团</t>
  </si>
  <si>
    <t>大名城</t>
  </si>
  <si>
    <t>星云股份</t>
  </si>
  <si>
    <t>长亮科技</t>
  </si>
  <si>
    <t>立思辰</t>
  </si>
  <si>
    <t>招商轮船</t>
  </si>
  <si>
    <t>ST大控</t>
  </si>
  <si>
    <t>凤形股份</t>
  </si>
  <si>
    <t>中船科技</t>
  </si>
  <si>
    <t>五矿发展</t>
  </si>
  <si>
    <t>梦百合</t>
  </si>
  <si>
    <t>正裕工业</t>
  </si>
  <si>
    <t>广日股份</t>
  </si>
  <si>
    <t>丹化科技</t>
  </si>
  <si>
    <t>创源文化</t>
  </si>
  <si>
    <t>宏大爆破</t>
  </si>
  <si>
    <t>八菱科技</t>
  </si>
  <si>
    <t>天原集团</t>
  </si>
  <si>
    <t>远光软件</t>
  </si>
  <si>
    <t>轴研科技</t>
  </si>
  <si>
    <t>博闻科技</t>
  </si>
  <si>
    <t>东材科技</t>
  </si>
  <si>
    <t>博瑞传播</t>
  </si>
  <si>
    <t>福鞍股份</t>
  </si>
  <si>
    <t>格尔软件</t>
  </si>
  <si>
    <t>东吴证券</t>
  </si>
  <si>
    <t>菲达环保</t>
  </si>
  <si>
    <t>全通教育</t>
  </si>
  <si>
    <t>永高股份</t>
  </si>
  <si>
    <t>久其软件</t>
  </si>
  <si>
    <t>天宝食品</t>
  </si>
  <si>
    <t>巨轮智能</t>
  </si>
  <si>
    <t>华西股份</t>
  </si>
  <si>
    <t>冀东装备</t>
  </si>
  <si>
    <t>深圳能源</t>
  </si>
  <si>
    <t>国投中鲁</t>
  </si>
  <si>
    <t>中国海防</t>
  </si>
  <si>
    <t>江西长运</t>
  </si>
  <si>
    <t>华丽家族</t>
  </si>
  <si>
    <t>普丽盛</t>
  </si>
  <si>
    <t>天翔环境</t>
  </si>
  <si>
    <t>合康新能</t>
  </si>
  <si>
    <t>闽发铝业</t>
  </si>
  <si>
    <t>双象股份</t>
  </si>
  <si>
    <t>九鼎新材</t>
  </si>
  <si>
    <t>浔兴股份</t>
  </si>
  <si>
    <t>欢瑞世纪</t>
  </si>
  <si>
    <t>超声电子</t>
  </si>
  <si>
    <t>北京文化</t>
  </si>
  <si>
    <t>乾景园林</t>
  </si>
  <si>
    <t>信雅达</t>
  </si>
  <si>
    <t>国旅联合</t>
  </si>
  <si>
    <t>合纵科技</t>
  </si>
  <si>
    <t>汇金股份</t>
  </si>
  <si>
    <t>通光线缆</t>
  </si>
  <si>
    <t>北京君正</t>
  </si>
  <si>
    <t>中新赛克</t>
  </si>
  <si>
    <t>天际股份</t>
  </si>
  <si>
    <t>达 意 隆</t>
  </si>
  <si>
    <t>均胜电子</t>
  </si>
  <si>
    <t>中能电气</t>
  </si>
  <si>
    <t>天海防务</t>
  </si>
  <si>
    <t>丹邦科技</t>
  </si>
  <si>
    <t>爱康科技</t>
  </si>
  <si>
    <t>天业通联</t>
  </si>
  <si>
    <t>中国高科</t>
  </si>
  <si>
    <t>中国一重</t>
  </si>
  <si>
    <t>读者传媒</t>
  </si>
  <si>
    <t>法兰泰克</t>
  </si>
  <si>
    <t>银鸽投资</t>
  </si>
  <si>
    <t>邦讯技术</t>
  </si>
  <si>
    <t>三夫户外</t>
  </si>
  <si>
    <t>成都路桥</t>
  </si>
  <si>
    <t>中利集团</t>
  </si>
  <si>
    <t>延华智能</t>
  </si>
  <si>
    <t>久联发展</t>
  </si>
  <si>
    <t>铜峰电子</t>
  </si>
  <si>
    <t>恒泰实达</t>
  </si>
  <si>
    <t>科隆股份</t>
  </si>
  <si>
    <t>东方通</t>
  </si>
  <si>
    <t>鼎捷软件</t>
  </si>
  <si>
    <t>通源石油</t>
  </si>
  <si>
    <t>吉峰农机</t>
  </si>
  <si>
    <t>南洋科技</t>
  </si>
  <si>
    <t>御银股份</t>
  </si>
  <si>
    <t>深纺织Ａ</t>
  </si>
  <si>
    <t>哈投股份</t>
  </si>
  <si>
    <t>中船防务</t>
  </si>
  <si>
    <t>宏达股份</t>
  </si>
  <si>
    <t>香江控股</t>
  </si>
  <si>
    <t>航新科技</t>
  </si>
  <si>
    <t>美亚柏科</t>
  </si>
  <si>
    <t>珠江啤酒</t>
  </si>
  <si>
    <t>辉煌科技</t>
  </si>
  <si>
    <t>中远海特</t>
  </si>
  <si>
    <t>万隆光电</t>
  </si>
  <si>
    <t>科泰电源</t>
  </si>
  <si>
    <t>盛运环保</t>
  </si>
  <si>
    <t>川恒股份</t>
  </si>
  <si>
    <t>福建金森</t>
  </si>
  <si>
    <t>新筑股份</t>
  </si>
  <si>
    <t>南国置业</t>
  </si>
  <si>
    <t>大立科技</t>
  </si>
  <si>
    <t>安泰科技</t>
  </si>
  <si>
    <t>华闻传媒</t>
  </si>
  <si>
    <t>大千生态</t>
  </si>
  <si>
    <t>山东华鹏</t>
  </si>
  <si>
    <t>杭齿前进</t>
  </si>
  <si>
    <t>东安动力</t>
  </si>
  <si>
    <t>精研科技</t>
  </si>
  <si>
    <t>锦富技术</t>
  </si>
  <si>
    <t>普邦股份</t>
  </si>
  <si>
    <t>威华股份</t>
  </si>
  <si>
    <t>拓日新能</t>
  </si>
  <si>
    <t>国风塑业</t>
  </si>
  <si>
    <t>穗恒运Ａ</t>
  </si>
  <si>
    <t>七一二</t>
  </si>
  <si>
    <t>玉龙股份</t>
  </si>
  <si>
    <t>京能置业</t>
  </si>
  <si>
    <t>万东医疗</t>
  </si>
  <si>
    <t>恒泰艾普</t>
  </si>
  <si>
    <t>宝利国际</t>
  </si>
  <si>
    <t>江南化工</t>
  </si>
  <si>
    <t>红 宝 丽</t>
  </si>
  <si>
    <t>湖南投资</t>
  </si>
  <si>
    <t>银龙股份</t>
  </si>
  <si>
    <t>好当家</t>
  </si>
  <si>
    <t>广晟有色</t>
  </si>
  <si>
    <t>南通锻压</t>
  </si>
  <si>
    <t>万达信息</t>
  </si>
  <si>
    <t>天源迪科</t>
  </si>
  <si>
    <t>骅威文化</t>
  </si>
  <si>
    <t>四川九洲</t>
  </si>
  <si>
    <t>三毛派神</t>
  </si>
  <si>
    <t>中航飞机</t>
  </si>
  <si>
    <t>精准信息</t>
  </si>
  <si>
    <t>华阳集团</t>
  </si>
  <si>
    <t>金圆股份</t>
  </si>
  <si>
    <t>中储股份</t>
  </si>
  <si>
    <t>九有股份</t>
  </si>
  <si>
    <t>海正药业</t>
  </si>
  <si>
    <t>光启技术</t>
  </si>
  <si>
    <t>东方精工</t>
  </si>
  <si>
    <t>合肥城建</t>
  </si>
  <si>
    <t>德美化工</t>
  </si>
  <si>
    <t>渝 开 发</t>
  </si>
  <si>
    <t>航天动力</t>
  </si>
  <si>
    <t>韩建河山</t>
  </si>
  <si>
    <t>上海沪工</t>
  </si>
  <si>
    <t>亿晶光电</t>
  </si>
  <si>
    <t>长方集团</t>
  </si>
  <si>
    <t>和顺电气</t>
  </si>
  <si>
    <t>伊戈尔</t>
  </si>
  <si>
    <t>龙泉股份</t>
  </si>
  <si>
    <t>三垒股份</t>
  </si>
  <si>
    <t>证通电子</t>
  </si>
  <si>
    <t>中航机电</t>
  </si>
  <si>
    <t>秦川机床</t>
  </si>
  <si>
    <t>广东甘化</t>
  </si>
  <si>
    <t>神州高铁</t>
  </si>
  <si>
    <t>金麒麟</t>
  </si>
  <si>
    <t>西昌电力</t>
  </si>
  <si>
    <t>太龙药业</t>
  </si>
  <si>
    <t>光电股份</t>
  </si>
  <si>
    <t>澄星股份</t>
  </si>
  <si>
    <t>冀凯股份</t>
  </si>
  <si>
    <t>毅昌股份</t>
  </si>
  <si>
    <t>贤丰控股</t>
  </si>
  <si>
    <t>苏宁易购</t>
  </si>
  <si>
    <t>天音控股</t>
  </si>
  <si>
    <t>天鹅股份</t>
  </si>
  <si>
    <t>飞天诚信</t>
  </si>
  <si>
    <t>华仁药业</t>
  </si>
  <si>
    <t>劲胜智能</t>
  </si>
  <si>
    <t>华斯股份</t>
  </si>
  <si>
    <t>长城电工</t>
  </si>
  <si>
    <t>连云港</t>
  </si>
  <si>
    <t>云煤能源</t>
  </si>
  <si>
    <t>华纺股份</t>
  </si>
  <si>
    <t>万通地产</t>
  </si>
  <si>
    <t>宁波联合</t>
  </si>
  <si>
    <t>高伟达</t>
  </si>
  <si>
    <t>春兴精工</t>
  </si>
  <si>
    <t>华昌化工</t>
  </si>
  <si>
    <t>恒星科技</t>
  </si>
  <si>
    <t>黔轮胎Ａ</t>
  </si>
  <si>
    <t>南威软件</t>
  </si>
  <si>
    <t>中通国脉</t>
  </si>
  <si>
    <t>华仪电气</t>
  </si>
  <si>
    <t>长江投资</t>
  </si>
  <si>
    <t>中科信息</t>
  </si>
  <si>
    <t>万通智控</t>
  </si>
  <si>
    <t>云南锗业</t>
  </si>
  <si>
    <t>启明信息</t>
  </si>
  <si>
    <t>大智慧</t>
  </si>
  <si>
    <t>*ST正源</t>
  </si>
  <si>
    <t>江泉实业</t>
  </si>
  <si>
    <t>中矿资源</t>
  </si>
  <si>
    <t>东方海洋</t>
  </si>
  <si>
    <t>深华发Ａ</t>
  </si>
  <si>
    <t>秦安股份</t>
  </si>
  <si>
    <t>广电电气</t>
  </si>
  <si>
    <t>综艺股份</t>
  </si>
  <si>
    <t>ST新梅</t>
  </si>
  <si>
    <t>科大国创</t>
  </si>
  <si>
    <t>拓尔思</t>
  </si>
  <si>
    <t>雪人股份</t>
  </si>
  <si>
    <t>棕榈股份</t>
  </si>
  <si>
    <t>宏创控股</t>
  </si>
  <si>
    <t>东方园林</t>
  </si>
  <si>
    <t>北斗星通</t>
  </si>
  <si>
    <t>梅雁吉祥</t>
  </si>
  <si>
    <t>航天晨光</t>
  </si>
  <si>
    <t>有研新材</t>
  </si>
  <si>
    <t>天铁股份</t>
  </si>
  <si>
    <t>比亚迪</t>
  </si>
  <si>
    <t>华联股份</t>
  </si>
  <si>
    <t>太原重工</t>
  </si>
  <si>
    <t>初灵信息</t>
  </si>
  <si>
    <t>拓维信息</t>
  </si>
  <si>
    <t>金桥信息</t>
  </si>
  <si>
    <t>清源股份</t>
  </si>
  <si>
    <t>长电科技</t>
  </si>
  <si>
    <t>北信源</t>
  </si>
  <si>
    <t>雷曼股份</t>
  </si>
  <si>
    <t>西部材料</t>
  </si>
  <si>
    <t>新乡化纤</t>
  </si>
  <si>
    <t>农 产 品</t>
  </si>
  <si>
    <t>新日恒力</t>
  </si>
  <si>
    <t>同大股份</t>
  </si>
  <si>
    <t>高德红外</t>
  </si>
  <si>
    <t>内蒙华电</t>
  </si>
  <si>
    <t>德新交运</t>
  </si>
  <si>
    <t>太平洋</t>
  </si>
  <si>
    <t>市北高新</t>
  </si>
  <si>
    <t>中通客车</t>
  </si>
  <si>
    <t>众合科技</t>
  </si>
  <si>
    <t>厦门信达</t>
  </si>
  <si>
    <t>襄阳轴承</t>
  </si>
  <si>
    <t>红宇新材</t>
  </si>
  <si>
    <t>群兴玩具</t>
  </si>
  <si>
    <t>德豪润达</t>
  </si>
  <si>
    <t>金刚玻璃</t>
  </si>
  <si>
    <t>共进股份</t>
  </si>
  <si>
    <t>中信重工</t>
  </si>
  <si>
    <t>中毅达</t>
  </si>
  <si>
    <t>国发股份</t>
  </si>
  <si>
    <t>高鸿股份</t>
  </si>
  <si>
    <t>泰山石油</t>
  </si>
  <si>
    <t>粤电力Ａ</t>
  </si>
  <si>
    <t>梦舟股份</t>
  </si>
  <si>
    <t>林海股份</t>
  </si>
  <si>
    <t>亿嘉和</t>
  </si>
  <si>
    <t>芯能科技</t>
  </si>
  <si>
    <t>中国北车</t>
  </si>
  <si>
    <t>*ST二重</t>
  </si>
  <si>
    <t>工业富联</t>
  </si>
  <si>
    <t>中信建投</t>
  </si>
  <si>
    <t>广汽长丰</t>
  </si>
  <si>
    <t>*ST信联</t>
  </si>
  <si>
    <t>*ST北科</t>
  </si>
  <si>
    <t>ST嘉陵</t>
  </si>
  <si>
    <t>*ST中川</t>
  </si>
  <si>
    <t>上药转换</t>
  </si>
  <si>
    <t>中西药业</t>
  </si>
  <si>
    <t>新湖创业</t>
  </si>
  <si>
    <t>ST鞍一工</t>
  </si>
  <si>
    <t>*ST龙科</t>
  </si>
  <si>
    <t>*ST达曼</t>
  </si>
  <si>
    <t>东方锅炉</t>
  </si>
  <si>
    <t>S*ST龙昌</t>
  </si>
  <si>
    <t>S*ST金荔</t>
  </si>
  <si>
    <t>*ST哈慈</t>
  </si>
  <si>
    <t>ST生态</t>
  </si>
  <si>
    <t>*ST数码</t>
  </si>
  <si>
    <t>*ST华圣</t>
  </si>
  <si>
    <t>*ST斯达</t>
  </si>
  <si>
    <t>*ST鞍成</t>
  </si>
  <si>
    <t>*ST花雕</t>
  </si>
  <si>
    <t>退市博元</t>
  </si>
  <si>
    <t>ST国嘉</t>
  </si>
  <si>
    <t>华联商厦</t>
  </si>
  <si>
    <t>上电股份</t>
  </si>
  <si>
    <t>PT水仙</t>
  </si>
  <si>
    <t>上实医药</t>
  </si>
  <si>
    <t>*ST上航</t>
  </si>
  <si>
    <t>太行水泥</t>
  </si>
  <si>
    <t>包头铝业</t>
  </si>
  <si>
    <t>承德钒钛</t>
  </si>
  <si>
    <t>富通昭和</t>
  </si>
  <si>
    <t>荣华实业</t>
  </si>
  <si>
    <t>S兰铝</t>
  </si>
  <si>
    <t>S*ST国瓷</t>
  </si>
  <si>
    <t>路桥建设</t>
  </si>
  <si>
    <t>天方药业</t>
  </si>
  <si>
    <t>S山东铝</t>
  </si>
  <si>
    <t>*ST大唐</t>
  </si>
  <si>
    <t>S*ST云大</t>
  </si>
  <si>
    <t>莱钢股份</t>
  </si>
  <si>
    <t>S*ST精密</t>
  </si>
  <si>
    <t>退市长油</t>
  </si>
  <si>
    <t>*ST保千</t>
  </si>
  <si>
    <t>*ST联谊</t>
  </si>
  <si>
    <t>武钢股份</t>
  </si>
  <si>
    <t>ST东北高</t>
  </si>
  <si>
    <t>齐鲁石化</t>
  </si>
  <si>
    <t>邯郸钢铁</t>
  </si>
  <si>
    <t>聚隆科技</t>
  </si>
  <si>
    <t>欣泰退</t>
  </si>
  <si>
    <t>雅本化学</t>
  </si>
  <si>
    <t>大华农</t>
  </si>
  <si>
    <t>胜景山河</t>
  </si>
  <si>
    <t>高乐股份</t>
  </si>
  <si>
    <t>*ST皇台</t>
  </si>
  <si>
    <t>通海高科</t>
  </si>
  <si>
    <t>中原油气</t>
  </si>
  <si>
    <t>ST河化</t>
  </si>
  <si>
    <t>华北高速</t>
  </si>
  <si>
    <t>扬子石化</t>
  </si>
  <si>
    <t>*ST龙涤</t>
  </si>
  <si>
    <t>*ST长兴</t>
  </si>
  <si>
    <t>辽河油田</t>
  </si>
  <si>
    <t>*ST炎黄</t>
  </si>
  <si>
    <t>*ST创智</t>
  </si>
  <si>
    <t>*ST大菲</t>
  </si>
  <si>
    <t>*ST华信</t>
  </si>
  <si>
    <t>锦州石化</t>
  </si>
  <si>
    <t>长城信息</t>
  </si>
  <si>
    <t>*ST南风</t>
  </si>
  <si>
    <t>*ST环保</t>
  </si>
  <si>
    <t>S*ST佳纸</t>
  </si>
  <si>
    <t>ST宏业</t>
  </si>
  <si>
    <t>ST银山</t>
  </si>
  <si>
    <t>*ST南华</t>
  </si>
  <si>
    <t>ST海洋</t>
  </si>
  <si>
    <t>ST九州</t>
  </si>
  <si>
    <t>*ST比特</t>
  </si>
  <si>
    <t>吉林化工</t>
  </si>
  <si>
    <t>金马集团</t>
  </si>
  <si>
    <t>国恒退</t>
  </si>
  <si>
    <t>PT粤金曼</t>
  </si>
  <si>
    <t>S*ST托普</t>
  </si>
  <si>
    <t>盐湖集团</t>
  </si>
  <si>
    <t>长城股份</t>
  </si>
  <si>
    <t>宏源证券</t>
  </si>
  <si>
    <t>PT南洋</t>
  </si>
  <si>
    <t>S湘火炬</t>
  </si>
  <si>
    <t>TCL通讯</t>
  </si>
  <si>
    <t>*ST猴王</t>
  </si>
  <si>
    <t>美的电器</t>
  </si>
  <si>
    <t>白云山A</t>
  </si>
  <si>
    <t>攀渝钛业</t>
  </si>
  <si>
    <t>琼民源A</t>
  </si>
  <si>
    <t>ST五环</t>
  </si>
  <si>
    <t>石油大明</t>
  </si>
  <si>
    <t>ST鑫光</t>
  </si>
  <si>
    <t>ST中侨</t>
  </si>
  <si>
    <t>新都退</t>
  </si>
  <si>
    <t>招商地产</t>
  </si>
  <si>
    <t>PT中浩A</t>
  </si>
  <si>
    <t>*ST石化A</t>
  </si>
  <si>
    <t>PT金田A</t>
  </si>
  <si>
    <t>*ST蓝科</t>
  </si>
  <si>
    <t>华远地产</t>
  </si>
  <si>
    <t>南宁百货</t>
  </si>
  <si>
    <t>杭州高新</t>
  </si>
  <si>
    <t>英飞拓</t>
  </si>
  <si>
    <t>华虹计通</t>
  </si>
  <si>
    <t>北部湾旅</t>
  </si>
  <si>
    <t>国中水务</t>
  </si>
  <si>
    <t>日海通讯</t>
  </si>
  <si>
    <t>富瑞特装</t>
  </si>
  <si>
    <t>汇纳科技</t>
  </si>
  <si>
    <t>鼎汉技术</t>
  </si>
  <si>
    <t>平庄能源</t>
  </si>
  <si>
    <t>粤 传 媒</t>
  </si>
  <si>
    <t>长春经开</t>
  </si>
  <si>
    <t>中国科传</t>
  </si>
  <si>
    <t>道森股份</t>
  </si>
  <si>
    <t>宝钢包装</t>
  </si>
  <si>
    <t>彩虹股份</t>
  </si>
  <si>
    <t>北化股份</t>
  </si>
  <si>
    <t>开尔新材</t>
  </si>
  <si>
    <t>津膜科技</t>
  </si>
  <si>
    <t>桂林旅游</t>
  </si>
  <si>
    <t>*ST宜化</t>
  </si>
  <si>
    <t>平潭发展</t>
  </si>
  <si>
    <t>株冶集团</t>
  </si>
  <si>
    <t>天宸股份</t>
  </si>
  <si>
    <t>硅宝科技</t>
  </si>
  <si>
    <t>思源电气</t>
  </si>
  <si>
    <t>中油工程</t>
  </si>
  <si>
    <t>*ST新亿</t>
  </si>
  <si>
    <t>恒天海龙</t>
  </si>
  <si>
    <t>建设机械</t>
  </si>
  <si>
    <t>星网锐捷</t>
  </si>
  <si>
    <t>南洋股份</t>
  </si>
  <si>
    <t>深深房Ａ</t>
  </si>
  <si>
    <t>航发动力</t>
  </si>
  <si>
    <t>金龙汽车</t>
  </si>
  <si>
    <t>两面针</t>
  </si>
  <si>
    <t>天山股份</t>
  </si>
  <si>
    <t>宝钛股份</t>
  </si>
  <si>
    <t>博通股份</t>
  </si>
  <si>
    <t>首航节能</t>
  </si>
  <si>
    <t>特 尔 佳</t>
  </si>
  <si>
    <t>晨曦航空</t>
  </si>
  <si>
    <t>航天科技</t>
  </si>
  <si>
    <t>迪威迅</t>
  </si>
  <si>
    <t>亚星锚链</t>
  </si>
  <si>
    <t>*ST东南</t>
  </si>
  <si>
    <t>中航沈飞</t>
  </si>
  <si>
    <t>中远海能</t>
  </si>
  <si>
    <t>新易盛</t>
  </si>
  <si>
    <t>高新发展</t>
  </si>
  <si>
    <t>通合科技</t>
  </si>
  <si>
    <t>大连港</t>
  </si>
  <si>
    <t>安居宝</t>
  </si>
  <si>
    <t>*ST东凌</t>
  </si>
  <si>
    <t>泰达股份</t>
  </si>
  <si>
    <t>天域生态</t>
  </si>
  <si>
    <t>平高电气</t>
  </si>
  <si>
    <t>神开股份</t>
  </si>
  <si>
    <t>常山北明</t>
  </si>
  <si>
    <t>栖霞建设</t>
  </si>
  <si>
    <t>晋西车轴</t>
  </si>
  <si>
    <t>集泰股份</t>
  </si>
  <si>
    <t>浙江世宝</t>
  </si>
  <si>
    <t>海航科技</t>
  </si>
  <si>
    <t>香梨股份</t>
  </si>
  <si>
    <t>新五丰</t>
  </si>
  <si>
    <t>湖南天雁</t>
  </si>
  <si>
    <t>航天通信</t>
  </si>
  <si>
    <t>维科技术</t>
  </si>
  <si>
    <t>天晟新材</t>
  </si>
  <si>
    <t>金隅集团</t>
  </si>
  <si>
    <t>ST明科</t>
  </si>
  <si>
    <t>冠城大通</t>
  </si>
  <si>
    <t>*ST海投</t>
  </si>
  <si>
    <t>洪都航空</t>
  </si>
  <si>
    <t>龙源技术</t>
  </si>
  <si>
    <t>海联讯</t>
  </si>
  <si>
    <t>三晖电气</t>
  </si>
  <si>
    <t>万马科技</t>
  </si>
  <si>
    <t>希努尔</t>
  </si>
  <si>
    <t>川润股份</t>
  </si>
  <si>
    <t>日出东方</t>
  </si>
  <si>
    <t>四方股份</t>
  </si>
  <si>
    <t>兴齐眼药</t>
  </si>
  <si>
    <t>天壕环境</t>
  </si>
  <si>
    <t>*ST天马</t>
  </si>
  <si>
    <t>科力远</t>
  </si>
  <si>
    <t>北方导航</t>
  </si>
  <si>
    <t>大港股份</t>
  </si>
  <si>
    <t>飞鹿股份</t>
  </si>
  <si>
    <t>金龙机电</t>
  </si>
  <si>
    <t>通宇通讯</t>
  </si>
  <si>
    <t>大通燃气</t>
  </si>
  <si>
    <t>我乐家居</t>
  </si>
  <si>
    <t>明星电缆</t>
  </si>
  <si>
    <t>京威股份</t>
  </si>
  <si>
    <t>纵横通信</t>
  </si>
  <si>
    <t>茂硕电源</t>
  </si>
  <si>
    <t>融捷股份</t>
  </si>
  <si>
    <t>电广传媒</t>
  </si>
  <si>
    <t>凤凰光学</t>
  </si>
  <si>
    <t>朗源股份</t>
  </si>
  <si>
    <t>华力创通</t>
  </si>
  <si>
    <t>新时达</t>
  </si>
  <si>
    <t>龙建股份</t>
  </si>
  <si>
    <t>世联行</t>
  </si>
  <si>
    <t>安彩高科</t>
  </si>
  <si>
    <t>江龙船艇</t>
  </si>
  <si>
    <t>南风股份</t>
  </si>
  <si>
    <t>莱宝高科</t>
  </si>
  <si>
    <t>深南电A</t>
  </si>
  <si>
    <t>国机通用</t>
  </si>
  <si>
    <t>双成药业</t>
  </si>
  <si>
    <t>鸿博股份</t>
  </si>
  <si>
    <t>雄帝科技</t>
  </si>
  <si>
    <t>和科达</t>
  </si>
  <si>
    <t>青龙管业</t>
  </si>
  <si>
    <t>南山控股</t>
  </si>
  <si>
    <t>江苏阳光</t>
  </si>
  <si>
    <t>正元智慧</t>
  </si>
  <si>
    <t>先进数通</t>
  </si>
  <si>
    <t>海螺型材</t>
  </si>
  <si>
    <t>全志科技</t>
  </si>
  <si>
    <t>航发科技</t>
  </si>
  <si>
    <t>中体产业</t>
  </si>
  <si>
    <t>深冷股份</t>
  </si>
  <si>
    <t>升达林业</t>
  </si>
  <si>
    <t>西安旅游</t>
  </si>
  <si>
    <t>融钰集团</t>
  </si>
  <si>
    <t>江苏索普</t>
  </si>
  <si>
    <t>三棵树</t>
  </si>
  <si>
    <t>雄韬股份</t>
  </si>
  <si>
    <t>中迪投资</t>
  </si>
  <si>
    <t>国际实业</t>
  </si>
  <si>
    <t>万马股份</t>
  </si>
  <si>
    <t>粤宏远Ａ</t>
  </si>
  <si>
    <t>京天利</t>
  </si>
  <si>
    <t>华录百纳</t>
  </si>
  <si>
    <t>申科股份</t>
  </si>
  <si>
    <t>华媒控股</t>
  </si>
  <si>
    <t>哈高科</t>
  </si>
  <si>
    <t>*ST工新</t>
  </si>
  <si>
    <t>农发种业</t>
  </si>
  <si>
    <t>贝肯能源</t>
  </si>
  <si>
    <t>兰州黄河</t>
  </si>
  <si>
    <t>华平股份</t>
  </si>
  <si>
    <t>西藏矿业</t>
  </si>
  <si>
    <t>冰轮环境</t>
  </si>
  <si>
    <t>宏达矿业</t>
  </si>
  <si>
    <t>中航电子</t>
  </si>
  <si>
    <t>网达软件</t>
  </si>
  <si>
    <t>钱江生化</t>
  </si>
  <si>
    <t>惠泉啤酒</t>
  </si>
  <si>
    <t>宝德股份</t>
  </si>
  <si>
    <t>国盛金控</t>
  </si>
  <si>
    <t>新光圆成</t>
  </si>
  <si>
    <t>乐通股份</t>
  </si>
  <si>
    <t>津滨发展</t>
  </si>
  <si>
    <t>神州泰岳</t>
  </si>
  <si>
    <t>亚泰集团</t>
  </si>
  <si>
    <t>华资实业</t>
  </si>
  <si>
    <t>亚振家居</t>
  </si>
  <si>
    <t>安利股份</t>
  </si>
  <si>
    <t>云南城投</t>
  </si>
  <si>
    <t>张家界</t>
  </si>
  <si>
    <t>盛洋科技</t>
  </si>
  <si>
    <t>中国出版</t>
  </si>
  <si>
    <t>新开普</t>
  </si>
  <si>
    <t>荣安地产</t>
  </si>
  <si>
    <t>华测检测</t>
  </si>
  <si>
    <t>银河生物</t>
  </si>
  <si>
    <t>阳光股份</t>
  </si>
  <si>
    <t>标准股份</t>
  </si>
  <si>
    <t>绿盟科技</t>
  </si>
  <si>
    <t>长春燃气</t>
  </si>
  <si>
    <t>华电重工</t>
  </si>
  <si>
    <t>美尔雅</t>
  </si>
  <si>
    <t>信达地产</t>
  </si>
  <si>
    <t>大连重工</t>
  </si>
  <si>
    <t>信隆健康</t>
  </si>
  <si>
    <t>六国化工</t>
  </si>
  <si>
    <t>安达维尔</t>
  </si>
  <si>
    <t>海默科技</t>
  </si>
  <si>
    <t>同方股份</t>
  </si>
  <si>
    <t>德力股份</t>
  </si>
  <si>
    <t>实达集团</t>
  </si>
  <si>
    <t>广哈通信</t>
  </si>
  <si>
    <t>天和防务</t>
  </si>
  <si>
    <t>云铝股份</t>
  </si>
  <si>
    <t>时代万恒</t>
  </si>
  <si>
    <t>万里马</t>
  </si>
  <si>
    <t>科融环境</t>
  </si>
  <si>
    <t>双良节能</t>
  </si>
  <si>
    <t>霞客环保</t>
  </si>
  <si>
    <t>西部黄金</t>
  </si>
  <si>
    <t>南岭民爆</t>
  </si>
  <si>
    <t>永安林业</t>
  </si>
  <si>
    <t>中航三鑫</t>
  </si>
  <si>
    <t>华映科技</t>
  </si>
  <si>
    <t>坚朗五金</t>
  </si>
  <si>
    <t>捷顺科技</t>
  </si>
  <si>
    <t>天津普林</t>
  </si>
  <si>
    <t>麦迪科技</t>
  </si>
  <si>
    <t>*ST中基</t>
  </si>
  <si>
    <t>汉邦高科</t>
  </si>
  <si>
    <t>远大控股</t>
  </si>
  <si>
    <t>深深宝Ａ</t>
  </si>
  <si>
    <t>长高集团</t>
  </si>
  <si>
    <t>大龙地产</t>
  </si>
  <si>
    <t>中文在线</t>
  </si>
  <si>
    <t>*ST罗顿</t>
  </si>
  <si>
    <t>SST前锋</t>
  </si>
  <si>
    <t>东华测试</t>
  </si>
  <si>
    <t>深天地Ａ</t>
  </si>
  <si>
    <t>铁汉生态</t>
  </si>
  <si>
    <t>步森股份</t>
  </si>
  <si>
    <t>银之杰</t>
  </si>
  <si>
    <t>西安饮食</t>
  </si>
  <si>
    <t>海伦哲</t>
  </si>
  <si>
    <t>奥 特 迅</t>
  </si>
  <si>
    <t>力盛赛车</t>
  </si>
  <si>
    <t>中核科技</t>
  </si>
  <si>
    <t>新晨科技</t>
  </si>
  <si>
    <t>赛象科技</t>
  </si>
  <si>
    <t>三湘印象</t>
  </si>
  <si>
    <t>锐奇股份</t>
  </si>
  <si>
    <t>中捷资源</t>
  </si>
  <si>
    <t>尚品宅配</t>
  </si>
  <si>
    <t>宝莫股份</t>
  </si>
  <si>
    <t>中葡股份</t>
  </si>
  <si>
    <t>立昂技术</t>
  </si>
  <si>
    <t>星光农机</t>
  </si>
  <si>
    <t>高澜股份</t>
  </si>
  <si>
    <t>成飞集成</t>
  </si>
  <si>
    <t>海马汽车</t>
  </si>
  <si>
    <t>亚士创能</t>
  </si>
  <si>
    <t>欣龙控股</t>
  </si>
  <si>
    <t>海航投资</t>
  </si>
  <si>
    <t>同为股份</t>
  </si>
  <si>
    <t>XD金证股</t>
  </si>
  <si>
    <t>云南旅游</t>
  </si>
  <si>
    <t>大庆华科</t>
  </si>
  <si>
    <t>盐湖股份</t>
  </si>
  <si>
    <t>恒立实业</t>
  </si>
  <si>
    <t>德创环保</t>
  </si>
  <si>
    <t>远 望 谷</t>
  </si>
  <si>
    <t>弘业股份</t>
  </si>
  <si>
    <t>精伦电子</t>
  </si>
  <si>
    <t>凯文教育</t>
  </si>
  <si>
    <t>超讯通信</t>
  </si>
  <si>
    <t>华中数控</t>
  </si>
  <si>
    <t>悦心健康</t>
  </si>
  <si>
    <t>安控科技</t>
  </si>
  <si>
    <t>国统股份</t>
  </si>
  <si>
    <t>东晶电子</t>
  </si>
  <si>
    <t>ST坊展</t>
  </si>
  <si>
    <t>芭田股份</t>
  </si>
  <si>
    <t>凤凰股份</t>
  </si>
  <si>
    <t>诚迈科技</t>
  </si>
  <si>
    <t>越博动力</t>
  </si>
  <si>
    <t>ST南化</t>
  </si>
  <si>
    <t>烽火电子</t>
  </si>
  <si>
    <t>银宝山新</t>
  </si>
  <si>
    <t>光正集团</t>
  </si>
  <si>
    <t>美年健康</t>
  </si>
  <si>
    <t>京蓝科技</t>
  </si>
  <si>
    <t>亚太实业</t>
  </si>
  <si>
    <t>海油工程</t>
  </si>
  <si>
    <t>星徽精密</t>
  </si>
  <si>
    <t>雪峰科技</t>
  </si>
  <si>
    <t>兰石重装</t>
  </si>
  <si>
    <t>闻泰科技</t>
  </si>
  <si>
    <t>开创国际</t>
  </si>
  <si>
    <t>博迈科</t>
  </si>
  <si>
    <t>天山生物</t>
  </si>
  <si>
    <t>顺威股份</t>
  </si>
  <si>
    <t>甘肃电投</t>
  </si>
  <si>
    <t>南京化纤</t>
  </si>
  <si>
    <t>青海华鼎</t>
  </si>
  <si>
    <t>华星创业</t>
  </si>
  <si>
    <t>炼石有色</t>
  </si>
  <si>
    <t>广泽股份</t>
  </si>
  <si>
    <t>斯太尔</t>
  </si>
  <si>
    <t>珠海中富</t>
  </si>
  <si>
    <t>天首发展</t>
  </si>
  <si>
    <t>顾地科技</t>
  </si>
  <si>
    <t>用友网络</t>
  </si>
  <si>
    <t>先锋新材</t>
  </si>
  <si>
    <t>华升股份</t>
  </si>
  <si>
    <t>嘉凯城</t>
  </si>
  <si>
    <t>天成控股</t>
  </si>
  <si>
    <t>*ST慧业</t>
  </si>
  <si>
    <t>金莱特</t>
  </si>
  <si>
    <t>海能达</t>
  </si>
  <si>
    <t>威 尔 泰</t>
  </si>
  <si>
    <t>朗新科技</t>
  </si>
  <si>
    <t>九安医疗</t>
  </si>
  <si>
    <t>ST沪科</t>
  </si>
  <si>
    <t>光一科技</t>
  </si>
  <si>
    <t>仁智股份</t>
  </si>
  <si>
    <t>中海油服</t>
  </si>
  <si>
    <t>置信电气</t>
  </si>
  <si>
    <t>汇源通信</t>
  </si>
  <si>
    <t>罗普斯金</t>
  </si>
  <si>
    <t>*ST创兴</t>
  </si>
  <si>
    <t>宁夏建材</t>
  </si>
  <si>
    <t>中环装备</t>
  </si>
  <si>
    <t>天顺股份</t>
  </si>
  <si>
    <t>海得控制</t>
  </si>
  <si>
    <t>西部建设</t>
  </si>
  <si>
    <t>焦作万方</t>
  </si>
  <si>
    <t>嘉麟杰</t>
  </si>
  <si>
    <t>文一科技</t>
  </si>
  <si>
    <t>青松建化</t>
  </si>
  <si>
    <t>卫 士 通</t>
  </si>
  <si>
    <t>美好置业</t>
  </si>
  <si>
    <t>全新好</t>
  </si>
  <si>
    <t>天沃科技</t>
  </si>
  <si>
    <t>大连圣亚</t>
  </si>
  <si>
    <t>三变科技</t>
  </si>
  <si>
    <t>人民网</t>
  </si>
  <si>
    <t>中孚信息</t>
  </si>
  <si>
    <t>民和股份</t>
  </si>
  <si>
    <t>神雾环保</t>
  </si>
  <si>
    <t>中原特钢</t>
  </si>
  <si>
    <t>太化股份</t>
  </si>
  <si>
    <t>万集科技</t>
  </si>
  <si>
    <t>宝色股份</t>
  </si>
  <si>
    <t>吉鑫科技</t>
  </si>
  <si>
    <t>海南矿业</t>
  </si>
  <si>
    <t>华东科技</t>
  </si>
  <si>
    <t>华控赛格</t>
  </si>
  <si>
    <t>京汉股份</t>
  </si>
  <si>
    <t>*ST东电</t>
  </si>
  <si>
    <t>动力源</t>
  </si>
  <si>
    <t>航天机电</t>
  </si>
  <si>
    <t>金亚科技</t>
  </si>
  <si>
    <t>厚普股份</t>
  </si>
  <si>
    <t>航天长峰</t>
  </si>
  <si>
    <t>晓程科技</t>
  </si>
  <si>
    <t>ST运盛</t>
  </si>
  <si>
    <t>方正科技</t>
  </si>
  <si>
    <t>古鳌科技</t>
  </si>
  <si>
    <t>华天酒店</t>
  </si>
  <si>
    <t>宇顺电子</t>
  </si>
  <si>
    <t>獐子岛</t>
  </si>
  <si>
    <t>三泰控股</t>
  </si>
  <si>
    <t>祁连山</t>
  </si>
  <si>
    <t>*ST哈空</t>
  </si>
  <si>
    <t>东方钽业</t>
  </si>
  <si>
    <t>科创信息</t>
  </si>
  <si>
    <t>博思软件</t>
  </si>
  <si>
    <t>达华智能</t>
  </si>
  <si>
    <t>绿庭投资</t>
  </si>
  <si>
    <t>ST中安</t>
  </si>
  <si>
    <t>四创电子</t>
  </si>
  <si>
    <t>暴风集团</t>
  </si>
  <si>
    <t>易联众</t>
  </si>
  <si>
    <t>闽东电力</t>
  </si>
  <si>
    <t>熙菱信息</t>
  </si>
  <si>
    <t>湘电股份</t>
  </si>
  <si>
    <t>*ST凡谷</t>
  </si>
  <si>
    <t>三维丝</t>
  </si>
  <si>
    <t>同洲电子</t>
  </si>
  <si>
    <t>腾达建设</t>
  </si>
  <si>
    <t>科蓝软件</t>
  </si>
  <si>
    <t>*ST圣莱</t>
  </si>
  <si>
    <t>向日葵</t>
  </si>
  <si>
    <t>名雕股份</t>
  </si>
  <si>
    <t>积成电子</t>
  </si>
  <si>
    <t>海南橡胶</t>
  </si>
  <si>
    <t>万方发展</t>
  </si>
  <si>
    <t>中房股份</t>
  </si>
  <si>
    <t>共达电声</t>
  </si>
  <si>
    <t>理工光科</t>
  </si>
  <si>
    <t>湘邮科技</t>
  </si>
  <si>
    <t>豫能控股</t>
  </si>
  <si>
    <t>福田汽车</t>
  </si>
  <si>
    <t>元祖股份</t>
  </si>
  <si>
    <t>中孚实业</t>
  </si>
  <si>
    <t>三特索道</t>
  </si>
  <si>
    <t>维信诺</t>
  </si>
  <si>
    <t>长白山</t>
  </si>
  <si>
    <t>远大智能</t>
  </si>
  <si>
    <t>协鑫集成</t>
  </si>
  <si>
    <t>山东金泰</t>
  </si>
  <si>
    <t>合金投资</t>
  </si>
  <si>
    <t>弘信电子</t>
  </si>
  <si>
    <t>桂东电力</t>
  </si>
  <si>
    <t>南天信息</t>
  </si>
  <si>
    <t>长城动漫</t>
  </si>
  <si>
    <t>京城股份</t>
  </si>
  <si>
    <t>高斯贝尔</t>
  </si>
  <si>
    <t>剑桥科技</t>
  </si>
  <si>
    <t>深南股份</t>
  </si>
  <si>
    <t>东方网络</t>
  </si>
  <si>
    <t>ST慧球</t>
  </si>
  <si>
    <t>千山药机</t>
  </si>
  <si>
    <t>国科微</t>
  </si>
  <si>
    <t>美丽生态</t>
  </si>
  <si>
    <t>宁波富邦</t>
  </si>
  <si>
    <t>国新健康</t>
  </si>
  <si>
    <t>中弘股份</t>
  </si>
  <si>
    <t>*ST三维</t>
  </si>
  <si>
    <t>信息发展</t>
  </si>
  <si>
    <t>凯发电气</t>
  </si>
  <si>
    <t>国电南自</t>
  </si>
  <si>
    <t>华东数控</t>
  </si>
  <si>
    <t>敦煌种业</t>
  </si>
  <si>
    <t>丝路视觉</t>
  </si>
  <si>
    <t>中润资源</t>
  </si>
  <si>
    <t>盈方微</t>
  </si>
  <si>
    <t>东易日盛</t>
  </si>
  <si>
    <t>惠天热电</t>
  </si>
  <si>
    <t>漳泽电力</t>
  </si>
  <si>
    <t>天龙光电</t>
  </si>
  <si>
    <t>石化机械</t>
  </si>
  <si>
    <t>信威集团</t>
  </si>
  <si>
    <t>冀东水泥</t>
  </si>
  <si>
    <t>*ST藏旅</t>
  </si>
  <si>
    <t>中国软件</t>
  </si>
  <si>
    <t>风神股份</t>
  </si>
  <si>
    <t>*ST上普</t>
  </si>
  <si>
    <t>上海莱士</t>
  </si>
  <si>
    <t>*ST天业</t>
  </si>
  <si>
    <t>西部牧业</t>
  </si>
  <si>
    <t>飞乐音响</t>
  </si>
  <si>
    <t>*ST金宇</t>
  </si>
  <si>
    <t>*ST天化</t>
  </si>
  <si>
    <t>ST锐电</t>
  </si>
  <si>
    <t>神雾节能</t>
  </si>
  <si>
    <t>康达尔</t>
  </si>
  <si>
    <t>建科院</t>
  </si>
  <si>
    <t>弘高创意</t>
  </si>
  <si>
    <t>津劝业</t>
  </si>
  <si>
    <t>西部资源</t>
  </si>
  <si>
    <t>申华控股</t>
  </si>
  <si>
    <t>ST昌鱼</t>
  </si>
  <si>
    <t>安凯客车</t>
  </si>
  <si>
    <t>思特奇</t>
  </si>
  <si>
    <t>绿景控股</t>
  </si>
  <si>
    <t>坚瑞沃能</t>
  </si>
  <si>
    <t>凯瑞德</t>
  </si>
  <si>
    <t>*ST 中绒</t>
  </si>
  <si>
    <t>*ST众和</t>
  </si>
  <si>
    <t>云投生态</t>
  </si>
  <si>
    <t>南纺股份</t>
  </si>
  <si>
    <t>华塑控股</t>
  </si>
  <si>
    <t>天津松江</t>
  </si>
  <si>
    <t>*ST椰岛</t>
  </si>
  <si>
    <t>保变电气</t>
  </si>
  <si>
    <t>*ST华泽</t>
  </si>
  <si>
    <t>*ST德奥</t>
  </si>
  <si>
    <t>山东地矿</t>
  </si>
  <si>
    <t>南宁糖业</t>
  </si>
  <si>
    <t>商业城</t>
  </si>
  <si>
    <t>*ST信通</t>
  </si>
  <si>
    <t>*ST海润</t>
  </si>
  <si>
    <t>ST景谷</t>
  </si>
  <si>
    <t>天津磁卡</t>
  </si>
  <si>
    <t>*ST双环</t>
  </si>
  <si>
    <t>南华生物</t>
  </si>
  <si>
    <t>ST仰帆</t>
  </si>
  <si>
    <t>*ST云网</t>
  </si>
  <si>
    <t>乐视网</t>
  </si>
  <si>
    <t>退市吉恩</t>
  </si>
  <si>
    <t>莲花健康</t>
  </si>
  <si>
    <t>*ST厦华</t>
  </si>
  <si>
    <t>一汽夏利</t>
  </si>
  <si>
    <t>行业</t>
    <phoneticPr fontId="3" type="noConversion"/>
  </si>
  <si>
    <t>市盈率</t>
    <phoneticPr fontId="3" type="noConversion"/>
  </si>
  <si>
    <t>市销率</t>
    <phoneticPr fontId="3" type="noConversion"/>
  </si>
  <si>
    <t>市现率</t>
    <phoneticPr fontId="3" type="noConversion"/>
  </si>
  <si>
    <t>股息率</t>
    <phoneticPr fontId="3" type="noConversion"/>
  </si>
  <si>
    <t>3521选股方法</t>
    <phoneticPr fontId="3" type="noConversion"/>
  </si>
  <si>
    <t>收入同比增长率大于30</t>
    <phoneticPr fontId="3" type="noConversion"/>
  </si>
  <si>
    <t>收入的毛利率大于50%。</t>
    <phoneticPr fontId="3" type="noConversion"/>
  </si>
  <si>
    <t>净利润率大于20%。</t>
    <phoneticPr fontId="3" type="noConversion"/>
  </si>
  <si>
    <t>总资产周转率要达到100%左右</t>
    <phoneticPr fontId="3" type="noConversion"/>
  </si>
  <si>
    <t>总资产周转率</t>
    <phoneticPr fontId="3" type="noConversion"/>
  </si>
  <si>
    <t>营业收入同比增长率</t>
    <phoneticPr fontId="3" type="noConversion"/>
  </si>
  <si>
    <t>销售净利率</t>
    <phoneticPr fontId="3" type="noConversion"/>
  </si>
  <si>
    <t>日期</t>
    <phoneticPr fontId="3" type="noConversion"/>
  </si>
  <si>
    <t>市值</t>
  </si>
  <si>
    <t>2019年涨幅</t>
  </si>
  <si>
    <t>2018年涨幅</t>
  </si>
  <si>
    <t>注意：这里有些公式不适合银行和保险公司</t>
  </si>
  <si>
    <t>快速选股策略表</t>
  </si>
  <si>
    <t>罗斌方法</t>
  </si>
  <si>
    <t>市值小，100亿</t>
  </si>
  <si>
    <t>北上广深、江浙</t>
  </si>
  <si>
    <t>民企或国企、管理规范</t>
  </si>
  <si>
    <t>地点</t>
  </si>
  <si>
    <t>性质</t>
  </si>
  <si>
    <t>以每年的指标为基准：</t>
  </si>
  <si>
    <t>000022</t>
  </si>
  <si>
    <t>--</t>
  </si>
  <si>
    <t>1993-05-05</t>
  </si>
  <si>
    <t>000043</t>
  </si>
  <si>
    <t>1994-09-28</t>
  </si>
  <si>
    <t>002257</t>
  </si>
  <si>
    <t>002525</t>
  </si>
  <si>
    <t>002710</t>
  </si>
  <si>
    <t>002720</t>
  </si>
  <si>
    <t>300361</t>
  </si>
  <si>
    <t>300646</t>
  </si>
  <si>
    <t>300728</t>
  </si>
  <si>
    <t>600349</t>
  </si>
  <si>
    <t>601206</t>
  </si>
  <si>
    <t>603302</t>
  </si>
  <si>
    <t>300552</t>
  </si>
  <si>
    <t>信息技术</t>
  </si>
  <si>
    <t>2016-10-21</t>
  </si>
  <si>
    <t>300598</t>
  </si>
  <si>
    <t>2017-01-20</t>
  </si>
  <si>
    <t>002552</t>
  </si>
  <si>
    <t>机械设备</t>
  </si>
  <si>
    <t>2011-02-25</t>
  </si>
  <si>
    <t>603501</t>
  </si>
  <si>
    <t>电子设备</t>
  </si>
  <si>
    <t>2017-05-04</t>
  </si>
  <si>
    <t>300661</t>
  </si>
  <si>
    <t>2017-06-06</t>
  </si>
  <si>
    <t>300223</t>
  </si>
  <si>
    <t>2011-05-31</t>
  </si>
  <si>
    <t>300526</t>
  </si>
  <si>
    <t>纺织服装</t>
  </si>
  <si>
    <t>2016-08-02</t>
  </si>
  <si>
    <t>002351</t>
  </si>
  <si>
    <t>2010-02-05</t>
  </si>
  <si>
    <t>002600</t>
  </si>
  <si>
    <t>2011-07-15</t>
  </si>
  <si>
    <t>600745</t>
  </si>
  <si>
    <t>1996-08-28</t>
  </si>
  <si>
    <t>300573</t>
  </si>
  <si>
    <t>医药生物</t>
  </si>
  <si>
    <t>2016-12-08</t>
  </si>
  <si>
    <t>002869</t>
  </si>
  <si>
    <t>2017-05-15</t>
  </si>
  <si>
    <t>300220</t>
  </si>
  <si>
    <t>2011-05-25</t>
  </si>
  <si>
    <t>002291</t>
  </si>
  <si>
    <t>2009-09-03</t>
  </si>
  <si>
    <t>603222</t>
  </si>
  <si>
    <t>2015-02-17</t>
  </si>
  <si>
    <t>300709</t>
  </si>
  <si>
    <t>2017-10-19</t>
  </si>
  <si>
    <t>600536</t>
  </si>
  <si>
    <t>2002-05-17</t>
  </si>
  <si>
    <t>002201</t>
  </si>
  <si>
    <t>基础化工</t>
  </si>
  <si>
    <t>2007-12-26</t>
  </si>
  <si>
    <t>000066</t>
  </si>
  <si>
    <t>1997-06-26</t>
  </si>
  <si>
    <t>603986</t>
  </si>
  <si>
    <t>2016-08-18</t>
  </si>
  <si>
    <t>300379</t>
  </si>
  <si>
    <t>2014-01-28</t>
  </si>
  <si>
    <t>300341</t>
  </si>
  <si>
    <t>电气设备</t>
  </si>
  <si>
    <t>2012-07-26</t>
  </si>
  <si>
    <t>600131</t>
  </si>
  <si>
    <t>公用事业</t>
  </si>
  <si>
    <t>1998-04-02</t>
  </si>
  <si>
    <t>300659</t>
  </si>
  <si>
    <t>2017-05-26</t>
  </si>
  <si>
    <t>300014</t>
  </si>
  <si>
    <t>有色金属</t>
  </si>
  <si>
    <t>2009-10-30</t>
  </si>
  <si>
    <t>300397</t>
  </si>
  <si>
    <t>2014-09-10</t>
  </si>
  <si>
    <t>002463</t>
  </si>
  <si>
    <t>2010-08-18</t>
  </si>
  <si>
    <t>002791</t>
  </si>
  <si>
    <t>2016-03-29</t>
  </si>
  <si>
    <t>000723</t>
  </si>
  <si>
    <t>化石能源</t>
  </si>
  <si>
    <t>1997-05-15</t>
  </si>
  <si>
    <t>002157</t>
  </si>
  <si>
    <t>农林牧渔</t>
  </si>
  <si>
    <t>2007-08-17</t>
  </si>
  <si>
    <t>002714</t>
  </si>
  <si>
    <t>002568</t>
  </si>
  <si>
    <t>食品饮料</t>
  </si>
  <si>
    <t>2011-03-25</t>
  </si>
  <si>
    <t>002194</t>
  </si>
  <si>
    <t>2007-12-07</t>
  </si>
  <si>
    <t>300033</t>
  </si>
  <si>
    <t>互联网</t>
  </si>
  <si>
    <t>2009-12-25</t>
  </si>
  <si>
    <t>002555</t>
  </si>
  <si>
    <t>2011-03-02</t>
  </si>
  <si>
    <t>603360</t>
  </si>
  <si>
    <t>2017-02-06</t>
  </si>
  <si>
    <t>002241</t>
  </si>
  <si>
    <t>2008-05-22</t>
  </si>
  <si>
    <t>600592</t>
  </si>
  <si>
    <t>2002-08-05</t>
  </si>
  <si>
    <t>002100</t>
  </si>
  <si>
    <t>2006-12-26</t>
  </si>
  <si>
    <t>300468</t>
  </si>
  <si>
    <t>2015-05-27</t>
  </si>
  <si>
    <t>300417</t>
  </si>
  <si>
    <t>2015-01-23</t>
  </si>
  <si>
    <t>002481</t>
  </si>
  <si>
    <t>2010-09-21</t>
  </si>
  <si>
    <t>002234</t>
  </si>
  <si>
    <t>2008-05-16</t>
  </si>
  <si>
    <t>600712</t>
  </si>
  <si>
    <t>商贸零售</t>
  </si>
  <si>
    <t>1996-06-26</t>
  </si>
  <si>
    <t>603536</t>
  </si>
  <si>
    <t>2017-06-13</t>
  </si>
  <si>
    <t>603000</t>
  </si>
  <si>
    <t>2012-04-27</t>
  </si>
  <si>
    <t>600584</t>
  </si>
  <si>
    <t>2003-06-03</t>
  </si>
  <si>
    <t>002045</t>
  </si>
  <si>
    <t>2005-05-23</t>
  </si>
  <si>
    <t>000876</t>
  </si>
  <si>
    <t>1998-03-11</t>
  </si>
  <si>
    <t>000858</t>
  </si>
  <si>
    <t>1998-04-27</t>
  </si>
  <si>
    <t>600640</t>
  </si>
  <si>
    <t>1993-04-07</t>
  </si>
  <si>
    <t>002733</t>
  </si>
  <si>
    <t>2014-12-03</t>
  </si>
  <si>
    <t>000037</t>
  </si>
  <si>
    <t>1994-07-01</t>
  </si>
  <si>
    <t>300492</t>
  </si>
  <si>
    <t>休闲、生活及专业服务</t>
  </si>
  <si>
    <t>2015-12-23</t>
  </si>
  <si>
    <t>603160</t>
  </si>
  <si>
    <t>2016-10-17</t>
  </si>
  <si>
    <t>600696</t>
  </si>
  <si>
    <t>金融</t>
  </si>
  <si>
    <t>1993-12-06</t>
  </si>
  <si>
    <t>600517</t>
  </si>
  <si>
    <t>2003-10-10</t>
  </si>
  <si>
    <t>000708</t>
  </si>
  <si>
    <t>钢铁</t>
  </si>
  <si>
    <t>1997-03-26</t>
  </si>
  <si>
    <t>002605</t>
  </si>
  <si>
    <t>2011-08-05</t>
  </si>
  <si>
    <t>600809</t>
  </si>
  <si>
    <t>1994-01-06</t>
  </si>
  <si>
    <t>603129</t>
  </si>
  <si>
    <t>交运设备</t>
  </si>
  <si>
    <t>2017-08-18</t>
  </si>
  <si>
    <t>000596</t>
  </si>
  <si>
    <t>1996-09-27</t>
  </si>
  <si>
    <t>002123</t>
  </si>
  <si>
    <t>2007-03-28</t>
  </si>
  <si>
    <t>601100</t>
  </si>
  <si>
    <t>2011-10-28</t>
  </si>
  <si>
    <t>002323</t>
  </si>
  <si>
    <t>建筑</t>
  </si>
  <si>
    <t>2009-12-18</t>
  </si>
  <si>
    <t>002475</t>
  </si>
  <si>
    <t>2010-09-15</t>
  </si>
  <si>
    <t>603186</t>
  </si>
  <si>
    <t>2017-01-03</t>
  </si>
  <si>
    <t>600218</t>
  </si>
  <si>
    <t>1998-12-03</t>
  </si>
  <si>
    <t>002079</t>
  </si>
  <si>
    <t>2006-11-16</t>
  </si>
  <si>
    <t>000661</t>
  </si>
  <si>
    <t>1996-12-18</t>
  </si>
  <si>
    <t>600223</t>
  </si>
  <si>
    <t>房地产</t>
  </si>
  <si>
    <t>2000-01-13</t>
  </si>
  <si>
    <t>002850</t>
  </si>
  <si>
    <t>2017-03-02</t>
  </si>
  <si>
    <t>603383</t>
  </si>
  <si>
    <t>2017-05-22</t>
  </si>
  <si>
    <t>002353</t>
  </si>
  <si>
    <t>603079</t>
  </si>
  <si>
    <t>2017-08-23</t>
  </si>
  <si>
    <t>300118</t>
  </si>
  <si>
    <t>2010-09-02</t>
  </si>
  <si>
    <t>002729</t>
  </si>
  <si>
    <t>2014-09-12</t>
  </si>
  <si>
    <t>300601</t>
  </si>
  <si>
    <t>2017-02-07</t>
  </si>
  <si>
    <t>300655</t>
  </si>
  <si>
    <t>2017-05-23</t>
  </si>
  <si>
    <t>002607</t>
  </si>
  <si>
    <t>文化传媒</t>
  </si>
  <si>
    <t>2011-08-10</t>
  </si>
  <si>
    <t>300088</t>
  </si>
  <si>
    <t>2010-05-26</t>
  </si>
  <si>
    <t>300328</t>
  </si>
  <si>
    <t>2012-06-19</t>
  </si>
  <si>
    <t>603005</t>
  </si>
  <si>
    <t>2014-02-10</t>
  </si>
  <si>
    <t>601519</t>
  </si>
  <si>
    <t>2011-01-28</t>
  </si>
  <si>
    <t>600095</t>
  </si>
  <si>
    <t>1997-07-08</t>
  </si>
  <si>
    <t>002395</t>
  </si>
  <si>
    <t>2010-04-29</t>
  </si>
  <si>
    <t>002156</t>
  </si>
  <si>
    <t>2007-08-16</t>
  </si>
  <si>
    <t>002371</t>
  </si>
  <si>
    <t>2010-03-16</t>
  </si>
  <si>
    <t>300303</t>
  </si>
  <si>
    <t>2012-03-19</t>
  </si>
  <si>
    <t>300702</t>
  </si>
  <si>
    <t>2017-09-19</t>
  </si>
  <si>
    <t>600975</t>
  </si>
  <si>
    <t>2004-06-09</t>
  </si>
  <si>
    <t>600812</t>
  </si>
  <si>
    <t>1994-01-14</t>
  </si>
  <si>
    <t>300207</t>
  </si>
  <si>
    <t>2011-04-21</t>
  </si>
  <si>
    <t>603369</t>
  </si>
  <si>
    <t>2014-07-03</t>
  </si>
  <si>
    <t>300638</t>
  </si>
  <si>
    <t>2017-04-13</t>
  </si>
  <si>
    <t>002683</t>
  </si>
  <si>
    <t>2012-06-12</t>
  </si>
  <si>
    <t>300012</t>
  </si>
  <si>
    <t>300551</t>
  </si>
  <si>
    <t>2016-10-18</t>
  </si>
  <si>
    <t>000799</t>
  </si>
  <si>
    <t>1997-07-18</t>
  </si>
  <si>
    <t>300345</t>
  </si>
  <si>
    <t>2012-08-01</t>
  </si>
  <si>
    <t>603882</t>
  </si>
  <si>
    <t>2017-09-08</t>
  </si>
  <si>
    <t>300586</t>
  </si>
  <si>
    <t>2017-01-04</t>
  </si>
  <si>
    <t>002063</t>
  </si>
  <si>
    <t>2006-08-23</t>
  </si>
  <si>
    <t>601808</t>
  </si>
  <si>
    <t>2007-09-28</t>
  </si>
  <si>
    <t>002524</t>
  </si>
  <si>
    <t>2010-12-17</t>
  </si>
  <si>
    <t>002750</t>
  </si>
  <si>
    <t>2015-03-24</t>
  </si>
  <si>
    <t>300352</t>
  </si>
  <si>
    <t>2012-09-12</t>
  </si>
  <si>
    <t>300322</t>
  </si>
  <si>
    <t>2012-06-08</t>
  </si>
  <si>
    <t>603737</t>
  </si>
  <si>
    <t>2016-06-03</t>
  </si>
  <si>
    <t>300115</t>
  </si>
  <si>
    <t>603456</t>
  </si>
  <si>
    <t>2014-10-10</t>
  </si>
  <si>
    <t>600446</t>
  </si>
  <si>
    <t>2003-12-24</t>
  </si>
  <si>
    <t>300319</t>
  </si>
  <si>
    <t>2012-05-23</t>
  </si>
  <si>
    <t>000568</t>
  </si>
  <si>
    <t>1994-05-09</t>
  </si>
  <si>
    <t>601231</t>
  </si>
  <si>
    <t>2012-02-20</t>
  </si>
  <si>
    <t>603707</t>
  </si>
  <si>
    <t>2017-07-19</t>
  </si>
  <si>
    <t>600378</t>
  </si>
  <si>
    <t>2001-01-11</t>
  </si>
  <si>
    <t>603690</t>
  </si>
  <si>
    <t>2017-01-13</t>
  </si>
  <si>
    <t>000021</t>
  </si>
  <si>
    <t>1994-02-02</t>
  </si>
  <si>
    <t>002387</t>
  </si>
  <si>
    <t>2010-04-13</t>
  </si>
  <si>
    <t>600763</t>
  </si>
  <si>
    <t>1996-10-30</t>
  </si>
  <si>
    <t>601872</t>
  </si>
  <si>
    <t>交通运输</t>
  </si>
  <si>
    <t>2006-12-01</t>
  </si>
  <si>
    <t>600183</t>
  </si>
  <si>
    <t>1998-10-28</t>
  </si>
  <si>
    <t>000810</t>
  </si>
  <si>
    <t>家电</t>
  </si>
  <si>
    <t>1998-06-02</t>
  </si>
  <si>
    <t>300433</t>
  </si>
  <si>
    <t>2015-03-18</t>
  </si>
  <si>
    <t>603444</t>
  </si>
  <si>
    <t>300537</t>
  </si>
  <si>
    <t>2016-08-30</t>
  </si>
  <si>
    <t>300369</t>
  </si>
  <si>
    <t>2014-01-29</t>
  </si>
  <si>
    <t>002402</t>
  </si>
  <si>
    <t>2010-05-11</t>
  </si>
  <si>
    <t>300136</t>
  </si>
  <si>
    <t>2010-11-05</t>
  </si>
  <si>
    <t>600505</t>
  </si>
  <si>
    <t>2002-05-30</t>
  </si>
  <si>
    <t>600641</t>
  </si>
  <si>
    <t>600031</t>
  </si>
  <si>
    <t>2003-07-03</t>
  </si>
  <si>
    <t>300643</t>
  </si>
  <si>
    <t>2017-05-05</t>
  </si>
  <si>
    <t>000672</t>
  </si>
  <si>
    <t>建材</t>
  </si>
  <si>
    <t>000859</t>
  </si>
  <si>
    <t>1998-11-19</t>
  </si>
  <si>
    <t>002271</t>
  </si>
  <si>
    <t>2008-09-10</t>
  </si>
  <si>
    <t>002655</t>
  </si>
  <si>
    <t>2012-02-17</t>
  </si>
  <si>
    <t>300256</t>
  </si>
  <si>
    <t>2011-08-19</t>
  </si>
  <si>
    <t>002396</t>
  </si>
  <si>
    <t>2010-06-23</t>
  </si>
  <si>
    <t>300496</t>
  </si>
  <si>
    <t>2015-12-10</t>
  </si>
  <si>
    <t>300558</t>
  </si>
  <si>
    <t>2016-11-07</t>
  </si>
  <si>
    <t>000032</t>
  </si>
  <si>
    <t>1993-10-28</t>
  </si>
  <si>
    <t>600984</t>
  </si>
  <si>
    <t>2004-07-07</t>
  </si>
  <si>
    <t>600519</t>
  </si>
  <si>
    <t>2001-08-27</t>
  </si>
  <si>
    <t>300576</t>
  </si>
  <si>
    <t>2016-12-20</t>
  </si>
  <si>
    <t>000338</t>
  </si>
  <si>
    <t>2007-04-30</t>
  </si>
  <si>
    <t>000951</t>
  </si>
  <si>
    <t>1999-11-25</t>
  </si>
  <si>
    <t>002261</t>
  </si>
  <si>
    <t>2008-07-23</t>
  </si>
  <si>
    <t>300113</t>
  </si>
  <si>
    <t>2010-08-27</t>
  </si>
  <si>
    <t>601799</t>
  </si>
  <si>
    <t>2011-02-01</t>
  </si>
  <si>
    <t>601058</t>
  </si>
  <si>
    <t>2011-06-30</t>
  </si>
  <si>
    <t>600309</t>
  </si>
  <si>
    <t>2001-01-05</t>
  </si>
  <si>
    <t>603605</t>
  </si>
  <si>
    <t>2017-11-15</t>
  </si>
  <si>
    <t>300460</t>
  </si>
  <si>
    <t>2015-05-15</t>
  </si>
  <si>
    <t>300502</t>
  </si>
  <si>
    <t>2016-03-03</t>
  </si>
  <si>
    <t>002384</t>
  </si>
  <si>
    <t>2010-04-09</t>
  </si>
  <si>
    <t>300234</t>
  </si>
  <si>
    <t>2011-06-22</t>
  </si>
  <si>
    <t>600862</t>
  </si>
  <si>
    <t>国防与装备</t>
  </si>
  <si>
    <t>1994-05-20</t>
  </si>
  <si>
    <t>300085</t>
  </si>
  <si>
    <t>000818</t>
  </si>
  <si>
    <t>1997-10-17</t>
  </si>
  <si>
    <t>002675</t>
  </si>
  <si>
    <t>2012-05-25</t>
  </si>
  <si>
    <t>002131</t>
  </si>
  <si>
    <t>2007-04-27</t>
  </si>
  <si>
    <t>300238</t>
  </si>
  <si>
    <t>2011-07-06</t>
  </si>
  <si>
    <t>300432</t>
  </si>
  <si>
    <t>2015-03-19</t>
  </si>
  <si>
    <t>603208</t>
  </si>
  <si>
    <t>轻工制造</t>
  </si>
  <si>
    <t>2017-02-10</t>
  </si>
  <si>
    <t>002169</t>
  </si>
  <si>
    <t>2007-09-19</t>
  </si>
  <si>
    <t>300482</t>
  </si>
  <si>
    <t>2015-06-30</t>
  </si>
  <si>
    <t>002901</t>
  </si>
  <si>
    <t>2017-09-22</t>
  </si>
  <si>
    <t>603022</t>
  </si>
  <si>
    <t>2015-05-18</t>
  </si>
  <si>
    <t>600580</t>
  </si>
  <si>
    <t>2002-06-06</t>
  </si>
  <si>
    <t>300360</t>
  </si>
  <si>
    <t>2014-01-21</t>
  </si>
  <si>
    <t>603658</t>
  </si>
  <si>
    <t>2016-09-01</t>
  </si>
  <si>
    <t>002214</t>
  </si>
  <si>
    <t>2008-02-18</t>
  </si>
  <si>
    <t>002458</t>
  </si>
  <si>
    <t>2010-08-10</t>
  </si>
  <si>
    <t>600546</t>
  </si>
  <si>
    <t>2003-07-31</t>
  </si>
  <si>
    <t>600146</t>
  </si>
  <si>
    <t>1999-07-07</t>
  </si>
  <si>
    <t>600371</t>
  </si>
  <si>
    <t>2002-09-16</t>
  </si>
  <si>
    <t>300162</t>
  </si>
  <si>
    <t>2011-01-13</t>
  </si>
  <si>
    <t>300464</t>
  </si>
  <si>
    <t>2015-06-10</t>
  </si>
  <si>
    <t>603333</t>
  </si>
  <si>
    <t>2012-05-07</t>
  </si>
  <si>
    <t>002216</t>
  </si>
  <si>
    <t>2008-02-20</t>
  </si>
  <si>
    <t>600072</t>
  </si>
  <si>
    <t>1997-06-03</t>
  </si>
  <si>
    <t>300548</t>
  </si>
  <si>
    <t>2016-10-12</t>
  </si>
  <si>
    <t>600460</t>
  </si>
  <si>
    <t>2003-03-11</t>
  </si>
  <si>
    <t>600720</t>
  </si>
  <si>
    <t>1996-07-16</t>
  </si>
  <si>
    <t>600363</t>
  </si>
  <si>
    <t>2001-03-29</t>
  </si>
  <si>
    <t>600610</t>
  </si>
  <si>
    <t>1992-08-05</t>
  </si>
  <si>
    <t>000523</t>
  </si>
  <si>
    <t>1993-11-08</t>
  </si>
  <si>
    <t>300686</t>
  </si>
  <si>
    <t>2017-08-04</t>
  </si>
  <si>
    <t>000977</t>
  </si>
  <si>
    <t>2000-06-08</t>
  </si>
  <si>
    <t>000961</t>
  </si>
  <si>
    <t>2000-03-01</t>
  </si>
  <si>
    <t>300331</t>
  </si>
  <si>
    <t>2012-06-28</t>
  </si>
  <si>
    <t>002821</t>
  </si>
  <si>
    <t>2016-11-18</t>
  </si>
  <si>
    <t>600556</t>
  </si>
  <si>
    <t>综合</t>
  </si>
  <si>
    <t>2001-08-07</t>
  </si>
  <si>
    <t>600882</t>
  </si>
  <si>
    <t>1995-12-06</t>
  </si>
  <si>
    <t>000100</t>
  </si>
  <si>
    <t>2004-01-30</t>
  </si>
  <si>
    <t>300480</t>
  </si>
  <si>
    <t>2015-07-02</t>
  </si>
  <si>
    <t>300346</t>
  </si>
  <si>
    <t>2012-08-07</t>
  </si>
  <si>
    <t>300566</t>
  </si>
  <si>
    <t>2016-11-15</t>
  </si>
  <si>
    <t>000786</t>
  </si>
  <si>
    <t>1997-06-06</t>
  </si>
  <si>
    <t>300119</t>
  </si>
  <si>
    <t>2010-09-17</t>
  </si>
  <si>
    <t>603308</t>
  </si>
  <si>
    <t>2014-01-22</t>
  </si>
  <si>
    <t>002822</t>
  </si>
  <si>
    <t>2016-11-29</t>
  </si>
  <si>
    <t>603026</t>
  </si>
  <si>
    <t>2015-05-29</t>
  </si>
  <si>
    <t>002436</t>
  </si>
  <si>
    <t>2010-06-18</t>
  </si>
  <si>
    <t>600864</t>
  </si>
  <si>
    <t>1994-08-09</t>
  </si>
  <si>
    <t>000157</t>
  </si>
  <si>
    <t>2000-10-12</t>
  </si>
  <si>
    <t>300663</t>
  </si>
  <si>
    <t>2017-06-08</t>
  </si>
  <si>
    <t>603031</t>
  </si>
  <si>
    <t>2016-08-22</t>
  </si>
  <si>
    <t>300034</t>
  </si>
  <si>
    <t>600093</t>
  </si>
  <si>
    <t>000070</t>
  </si>
  <si>
    <t>2000-05-11</t>
  </si>
  <si>
    <t>000651</t>
  </si>
  <si>
    <t>1996-11-18</t>
  </si>
  <si>
    <t>603363</t>
  </si>
  <si>
    <t>2017-09-26</t>
  </si>
  <si>
    <t>002798</t>
  </si>
  <si>
    <t>2016-05-25</t>
  </si>
  <si>
    <t>600206</t>
  </si>
  <si>
    <t>1999-03-19</t>
  </si>
  <si>
    <t>002690</t>
  </si>
  <si>
    <t>2012-07-31</t>
  </si>
  <si>
    <t>600155</t>
  </si>
  <si>
    <t>1998-09-18</t>
  </si>
  <si>
    <t>600486</t>
  </si>
  <si>
    <t>2002-04-25</t>
  </si>
  <si>
    <t>300079</t>
  </si>
  <si>
    <t>2010-04-30</t>
  </si>
  <si>
    <t>002846</t>
  </si>
  <si>
    <t>300463</t>
  </si>
  <si>
    <t>2015-05-28</t>
  </si>
  <si>
    <t>300093</t>
  </si>
  <si>
    <t>2010-07-08</t>
  </si>
  <si>
    <t>002705</t>
  </si>
  <si>
    <t>603659</t>
  </si>
  <si>
    <t>2017-11-03</t>
  </si>
  <si>
    <t>002429</t>
  </si>
  <si>
    <t>2010-06-10</t>
  </si>
  <si>
    <t>002185</t>
  </si>
  <si>
    <t>2007-11-20</t>
  </si>
  <si>
    <t>002783</t>
  </si>
  <si>
    <t>2015-12-09</t>
  </si>
  <si>
    <t>000063</t>
  </si>
  <si>
    <t>1997-11-18</t>
  </si>
  <si>
    <t>300200</t>
  </si>
  <si>
    <t>2011-04-07</t>
  </si>
  <si>
    <t>603679</t>
  </si>
  <si>
    <t>2017-06-21</t>
  </si>
  <si>
    <t>600585</t>
  </si>
  <si>
    <t>2002-02-07</t>
  </si>
  <si>
    <t>603806</t>
  </si>
  <si>
    <t>2014-09-05</t>
  </si>
  <si>
    <t>002530</t>
  </si>
  <si>
    <t>2010-12-31</t>
  </si>
  <si>
    <t>300127</t>
  </si>
  <si>
    <t>2010-10-13</t>
  </si>
  <si>
    <t>000713</t>
  </si>
  <si>
    <t>1997-04-22</t>
  </si>
  <si>
    <t>002330</t>
  </si>
  <si>
    <t>2010-01-06</t>
  </si>
  <si>
    <t>300315</t>
  </si>
  <si>
    <t>2012-05-11</t>
  </si>
  <si>
    <t>600776</t>
  </si>
  <si>
    <t>1996-11-26</t>
  </si>
  <si>
    <t>600933</t>
  </si>
  <si>
    <t>2017-11-17</t>
  </si>
  <si>
    <t>002803</t>
  </si>
  <si>
    <t>2016-07-12</t>
  </si>
  <si>
    <t>300613</t>
  </si>
  <si>
    <t>2017-02-20</t>
  </si>
  <si>
    <t>300004</t>
  </si>
  <si>
    <t>600837</t>
  </si>
  <si>
    <t>1994-02-24</t>
  </si>
  <si>
    <t>603118</t>
  </si>
  <si>
    <t>2015-02-25</t>
  </si>
  <si>
    <t>002049</t>
  </si>
  <si>
    <t>2005-06-06</t>
  </si>
  <si>
    <t>300035</t>
  </si>
  <si>
    <t>002916</t>
  </si>
  <si>
    <t>2017-12-13</t>
  </si>
  <si>
    <t>000001</t>
  </si>
  <si>
    <t>1991-04-03</t>
  </si>
  <si>
    <t>600004</t>
  </si>
  <si>
    <t>2003-04-28</t>
  </si>
  <si>
    <t>000823</t>
  </si>
  <si>
    <t>1997-10-08</t>
  </si>
  <si>
    <t>002428</t>
  </si>
  <si>
    <t>2010-06-08</t>
  </si>
  <si>
    <t>002920</t>
  </si>
  <si>
    <t>2017-12-26</t>
  </si>
  <si>
    <t>300069</t>
  </si>
  <si>
    <t>2010-04-21</t>
  </si>
  <si>
    <t>002250</t>
  </si>
  <si>
    <t>2008-06-19</t>
  </si>
  <si>
    <t>600410</t>
  </si>
  <si>
    <t>2004-04-27</t>
  </si>
  <si>
    <t>603598</t>
  </si>
  <si>
    <t>603229</t>
  </si>
  <si>
    <t>2017-05-09</t>
  </si>
  <si>
    <t>002078</t>
  </si>
  <si>
    <t>002557</t>
  </si>
  <si>
    <t>603721</t>
  </si>
  <si>
    <t>2017-08-11</t>
  </si>
  <si>
    <t>002161</t>
  </si>
  <si>
    <t>2007-08-21</t>
  </si>
  <si>
    <t>002152</t>
  </si>
  <si>
    <t>2007-08-13</t>
  </si>
  <si>
    <t>300010</t>
  </si>
  <si>
    <t>600732</t>
  </si>
  <si>
    <t>1996-08-16</t>
  </si>
  <si>
    <t>002292</t>
  </si>
  <si>
    <t>2009-09-10</t>
  </si>
  <si>
    <t>002236</t>
  </si>
  <si>
    <t>2008-05-20</t>
  </si>
  <si>
    <t>002177</t>
  </si>
  <si>
    <t>2007-11-01</t>
  </si>
  <si>
    <t>603939</t>
  </si>
  <si>
    <t>002861</t>
  </si>
  <si>
    <t>603998</t>
  </si>
  <si>
    <t>2014-12-05</t>
  </si>
  <si>
    <t>603283</t>
  </si>
  <si>
    <t>2017-12-25</t>
  </si>
  <si>
    <t>000958</t>
  </si>
  <si>
    <t>1999-12-23</t>
  </si>
  <si>
    <t>300585</t>
  </si>
  <si>
    <t>2016-12-29</t>
  </si>
  <si>
    <t>000725</t>
  </si>
  <si>
    <t>2001-01-12</t>
  </si>
  <si>
    <t>000795</t>
  </si>
  <si>
    <t>1997-08-08</t>
  </si>
  <si>
    <t>603887</t>
  </si>
  <si>
    <t>2016-10-10</t>
  </si>
  <si>
    <t>002409</t>
  </si>
  <si>
    <t>2010-05-25</t>
  </si>
  <si>
    <t>000009</t>
  </si>
  <si>
    <t>1991-06-25</t>
  </si>
  <si>
    <t>600731</t>
  </si>
  <si>
    <t>1996-08-02</t>
  </si>
  <si>
    <t>601700</t>
  </si>
  <si>
    <t>2011-01-18</t>
  </si>
  <si>
    <t>600171</t>
  </si>
  <si>
    <t>1998-09-24</t>
  </si>
  <si>
    <t>300202</t>
  </si>
  <si>
    <t>2011-04-15</t>
  </si>
  <si>
    <t>300306</t>
  </si>
  <si>
    <t>2012-03-29</t>
  </si>
  <si>
    <t>300416</t>
  </si>
  <si>
    <t>2015-01-22</t>
  </si>
  <si>
    <t>600621</t>
  </si>
  <si>
    <t>1992-12-02</t>
  </si>
  <si>
    <t>002142</t>
  </si>
  <si>
    <t>2007-07-19</t>
  </si>
  <si>
    <t>300387</t>
  </si>
  <si>
    <t>2014-07-02</t>
  </si>
  <si>
    <t>002212</t>
  </si>
  <si>
    <t>2008-02-01</t>
  </si>
  <si>
    <t>002058</t>
  </si>
  <si>
    <t>2006-08-02</t>
  </si>
  <si>
    <t>600695</t>
  </si>
  <si>
    <t>1993-11-22</t>
  </si>
  <si>
    <t>601628</t>
  </si>
  <si>
    <t>2007-01-09</t>
  </si>
  <si>
    <t>002648</t>
  </si>
  <si>
    <t>2011-12-28</t>
  </si>
  <si>
    <t>300129</t>
  </si>
  <si>
    <t>2010-10-19</t>
  </si>
  <si>
    <t>603600</t>
  </si>
  <si>
    <t>300271</t>
  </si>
  <si>
    <t>2011-10-26</t>
  </si>
  <si>
    <t>600132</t>
  </si>
  <si>
    <t>1997-10-30</t>
  </si>
  <si>
    <t>300445</t>
  </si>
  <si>
    <t>2015-04-24</t>
  </si>
  <si>
    <t>002368</t>
  </si>
  <si>
    <t>2010-03-12</t>
  </si>
  <si>
    <t>002456</t>
  </si>
  <si>
    <t>2010-08-03</t>
  </si>
  <si>
    <t>300489</t>
  </si>
  <si>
    <t>2015-07-01</t>
  </si>
  <si>
    <t>002273</t>
  </si>
  <si>
    <t>2008-09-19</t>
  </si>
  <si>
    <t>000425</t>
  </si>
  <si>
    <t>300632</t>
  </si>
  <si>
    <t>2017-04-06</t>
  </si>
  <si>
    <t>002835</t>
  </si>
  <si>
    <t>2016-12-28</t>
  </si>
  <si>
    <t>603823</t>
  </si>
  <si>
    <t>300529</t>
  </si>
  <si>
    <t>600288</t>
  </si>
  <si>
    <t>2000-11-29</t>
  </si>
  <si>
    <t>000526</t>
  </si>
  <si>
    <t>1993-11-01</t>
  </si>
  <si>
    <t>600966</t>
  </si>
  <si>
    <t>2004-06-08</t>
  </si>
  <si>
    <t>600063</t>
  </si>
  <si>
    <t>1997-05-28</t>
  </si>
  <si>
    <t>000988</t>
  </si>
  <si>
    <t>002138</t>
  </si>
  <si>
    <t>2007-06-13</t>
  </si>
  <si>
    <t>300579</t>
  </si>
  <si>
    <t>2016-12-23</t>
  </si>
  <si>
    <t>000862</t>
  </si>
  <si>
    <t>1998-09-15</t>
  </si>
  <si>
    <t>002508</t>
  </si>
  <si>
    <t>2010-11-23</t>
  </si>
  <si>
    <t>600422</t>
  </si>
  <si>
    <t>2000-12-06</t>
  </si>
  <si>
    <t>300194</t>
  </si>
  <si>
    <t>2011-03-22</t>
  </si>
  <si>
    <t>603505</t>
  </si>
  <si>
    <t>2017-05-03</t>
  </si>
  <si>
    <t>002565</t>
  </si>
  <si>
    <t>2011-03-18</t>
  </si>
  <si>
    <t>002653</t>
  </si>
  <si>
    <t>2012-01-17</t>
  </si>
  <si>
    <t>601881</t>
  </si>
  <si>
    <t>2017-01-23</t>
  </si>
  <si>
    <t>300211</t>
  </si>
  <si>
    <t>2011-05-05</t>
  </si>
  <si>
    <t>000739</t>
  </si>
  <si>
    <t>1997-05-09</t>
  </si>
  <si>
    <t>300471</t>
  </si>
  <si>
    <t>2015-06-11</t>
  </si>
  <si>
    <t>603688</t>
  </si>
  <si>
    <t>2014-10-31</t>
  </si>
  <si>
    <t>300302</t>
  </si>
  <si>
    <t>2012-03-21</t>
  </si>
  <si>
    <t>000921</t>
  </si>
  <si>
    <t>1999-07-13</t>
  </si>
  <si>
    <t>002801</t>
  </si>
  <si>
    <t>2016-06-22</t>
  </si>
  <si>
    <t>002084</t>
  </si>
  <si>
    <t>2006-11-24</t>
  </si>
  <si>
    <t>603703</t>
  </si>
  <si>
    <t>2015-04-23</t>
  </si>
  <si>
    <t>000050</t>
  </si>
  <si>
    <t>1995-03-15</t>
  </si>
  <si>
    <t>002439</t>
  </si>
  <si>
    <t>300226</t>
  </si>
  <si>
    <t>2011-06-08</t>
  </si>
  <si>
    <t>603345</t>
  </si>
  <si>
    <t>2017-02-22</t>
  </si>
  <si>
    <t>300007</t>
  </si>
  <si>
    <t>600602</t>
  </si>
  <si>
    <t>1990-12-19</t>
  </si>
  <si>
    <t>603920</t>
  </si>
  <si>
    <t>2017-04-26</t>
  </si>
  <si>
    <t>600779</t>
  </si>
  <si>
    <t>1996-12-06</t>
  </si>
  <si>
    <t>601137</t>
  </si>
  <si>
    <t>2011-01-27</t>
  </si>
  <si>
    <t>603378</t>
  </si>
  <si>
    <t>2017-09-28</t>
  </si>
  <si>
    <t>300481</t>
  </si>
  <si>
    <t>002235</t>
  </si>
  <si>
    <t>300142</t>
  </si>
  <si>
    <t>2010-11-12</t>
  </si>
  <si>
    <t>002276</t>
  </si>
  <si>
    <t>2009-07-10</t>
  </si>
  <si>
    <t>300311</t>
  </si>
  <si>
    <t>2012-04-25</t>
  </si>
  <si>
    <t>002800</t>
  </si>
  <si>
    <t>2016-05-30</t>
  </si>
  <si>
    <t>300438</t>
  </si>
  <si>
    <t>300527</t>
  </si>
  <si>
    <t>2016-08-05</t>
  </si>
  <si>
    <t>300134</t>
  </si>
  <si>
    <t>2010-10-26</t>
  </si>
  <si>
    <t>002847</t>
  </si>
  <si>
    <t>2017-02-08</t>
  </si>
  <si>
    <t>300462</t>
  </si>
  <si>
    <t>603300</t>
  </si>
  <si>
    <t>000860</t>
  </si>
  <si>
    <t>1998-11-04</t>
  </si>
  <si>
    <t>300224</t>
  </si>
  <si>
    <t>000671</t>
  </si>
  <si>
    <t>300415</t>
  </si>
  <si>
    <t>600703</t>
  </si>
  <si>
    <t>1996-05-28</t>
  </si>
  <si>
    <t>603008</t>
  </si>
  <si>
    <t>2012-07-17</t>
  </si>
  <si>
    <t>300083</t>
  </si>
  <si>
    <t>2010-05-20</t>
  </si>
  <si>
    <t>300151</t>
  </si>
  <si>
    <t>2010-12-22</t>
  </si>
  <si>
    <t>002373</t>
  </si>
  <si>
    <t>2010-03-18</t>
  </si>
  <si>
    <t>002289</t>
  </si>
  <si>
    <t>300525</t>
  </si>
  <si>
    <t>2016-07-26</t>
  </si>
  <si>
    <t>002237</t>
  </si>
  <si>
    <t>603028</t>
  </si>
  <si>
    <t>2016-03-31</t>
  </si>
  <si>
    <t>002129</t>
  </si>
  <si>
    <t>2007-04-20</t>
  </si>
  <si>
    <t>601966</t>
  </si>
  <si>
    <t>2016-07-06</t>
  </si>
  <si>
    <t>300275</t>
  </si>
  <si>
    <t>2011-11-02</t>
  </si>
  <si>
    <t>600593</t>
  </si>
  <si>
    <t>2002-07-11</t>
  </si>
  <si>
    <t>300455</t>
  </si>
  <si>
    <t>002627</t>
  </si>
  <si>
    <t>2011-11-03</t>
  </si>
  <si>
    <t>300019</t>
  </si>
  <si>
    <t>600078</t>
  </si>
  <si>
    <t>1997-06-27</t>
  </si>
  <si>
    <t>300474</t>
  </si>
  <si>
    <t>600456</t>
  </si>
  <si>
    <t>2002-04-12</t>
  </si>
  <si>
    <t>300735</t>
  </si>
  <si>
    <t>2017-12-29</t>
  </si>
  <si>
    <t>600150</t>
  </si>
  <si>
    <t>1998-05-20</t>
  </si>
  <si>
    <t>002579</t>
  </si>
  <si>
    <t>2011-05-06</t>
  </si>
  <si>
    <t>601155</t>
  </si>
  <si>
    <t>2015-12-04</t>
  </si>
  <si>
    <t>600667</t>
  </si>
  <si>
    <t>1993-07-28</t>
  </si>
  <si>
    <t>300259</t>
  </si>
  <si>
    <t>2011-08-31</t>
  </si>
  <si>
    <t>300406</t>
  </si>
  <si>
    <t>2014-10-30</t>
  </si>
  <si>
    <t>600276</t>
  </si>
  <si>
    <t>2000-10-18</t>
  </si>
  <si>
    <t>603888</t>
  </si>
  <si>
    <t>2016-10-28</t>
  </si>
  <si>
    <t>002315</t>
  </si>
  <si>
    <t>2009-12-09</t>
  </si>
  <si>
    <t>300494</t>
  </si>
  <si>
    <t>2015-12-31</t>
  </si>
  <si>
    <t>600081</t>
  </si>
  <si>
    <t>1997-07-03</t>
  </si>
  <si>
    <t>002181</t>
  </si>
  <si>
    <t>2007-11-16</t>
  </si>
  <si>
    <t>000877</t>
  </si>
  <si>
    <t>1999-01-07</t>
  </si>
  <si>
    <t>601901</t>
  </si>
  <si>
    <t>002189</t>
  </si>
  <si>
    <t>2007-12-03</t>
  </si>
  <si>
    <t>601890</t>
  </si>
  <si>
    <t>2010-12-28</t>
  </si>
  <si>
    <t>002870</t>
  </si>
  <si>
    <t>600088</t>
  </si>
  <si>
    <t>1997-06-16</t>
  </si>
  <si>
    <t>300192</t>
  </si>
  <si>
    <t>002626</t>
  </si>
  <si>
    <t>603901</t>
  </si>
  <si>
    <t>600198</t>
  </si>
  <si>
    <t>1998-10-21</t>
  </si>
  <si>
    <t>600426</t>
  </si>
  <si>
    <t>2002-06-20</t>
  </si>
  <si>
    <t>603738</t>
  </si>
  <si>
    <t>2016-09-28</t>
  </si>
  <si>
    <t>603520</t>
  </si>
  <si>
    <t>2016-03-09</t>
  </si>
  <si>
    <t>600552</t>
  </si>
  <si>
    <t>2002-11-08</t>
  </si>
  <si>
    <t>002111</t>
  </si>
  <si>
    <t>2007-01-26</t>
  </si>
  <si>
    <t>002587</t>
  </si>
  <si>
    <t>2011-06-10</t>
  </si>
  <si>
    <t>600030</t>
  </si>
  <si>
    <t>2003-01-06</t>
  </si>
  <si>
    <t>002134</t>
  </si>
  <si>
    <t>2007-05-16</t>
  </si>
  <si>
    <t>300458</t>
  </si>
  <si>
    <t>300212</t>
  </si>
  <si>
    <t>002410</t>
  </si>
  <si>
    <t>002461</t>
  </si>
  <si>
    <t>300639</t>
  </si>
  <si>
    <t>2017-04-12</t>
  </si>
  <si>
    <t>002695</t>
  </si>
  <si>
    <t>2012-09-05</t>
  </si>
  <si>
    <t>300235</t>
  </si>
  <si>
    <t>2011-06-29</t>
  </si>
  <si>
    <t>000720</t>
  </si>
  <si>
    <t>300114</t>
  </si>
  <si>
    <t>002639</t>
  </si>
  <si>
    <t>2011-12-05</t>
  </si>
  <si>
    <t>002171</t>
  </si>
  <si>
    <t>2007-09-21</t>
  </si>
  <si>
    <t>300685</t>
  </si>
  <si>
    <t>2017-08-02</t>
  </si>
  <si>
    <t>600624</t>
  </si>
  <si>
    <t>1993-01-05</t>
  </si>
  <si>
    <t>000632</t>
  </si>
  <si>
    <t>1996-11-21</t>
  </si>
  <si>
    <t>603899</t>
  </si>
  <si>
    <t>2015-01-27</t>
  </si>
  <si>
    <t>600455</t>
  </si>
  <si>
    <t>2004-03-29</t>
  </si>
  <si>
    <t>600850</t>
  </si>
  <si>
    <t>1994-03-24</t>
  </si>
  <si>
    <t>600845</t>
  </si>
  <si>
    <t>1994-03-11</t>
  </si>
  <si>
    <t>603859</t>
  </si>
  <si>
    <t>000333</t>
  </si>
  <si>
    <t>2013-09-18</t>
  </si>
  <si>
    <t>002479</t>
  </si>
  <si>
    <t>601633</t>
  </si>
  <si>
    <t>2011-09-28</t>
  </si>
  <si>
    <t>300383</t>
  </si>
  <si>
    <t>600438</t>
  </si>
  <si>
    <t>2004-03-02</t>
  </si>
  <si>
    <t>002624</t>
  </si>
  <si>
    <t>300173</t>
  </si>
  <si>
    <t>600094</t>
  </si>
  <si>
    <t>002489</t>
  </si>
  <si>
    <t>2010-10-21</t>
  </si>
  <si>
    <t>603110</t>
  </si>
  <si>
    <t>2017-10-13</t>
  </si>
  <si>
    <t>603589</t>
  </si>
  <si>
    <t>2015-06-29</t>
  </si>
  <si>
    <t>300333</t>
  </si>
  <si>
    <t>300636</t>
  </si>
  <si>
    <t>2017-03-31</t>
  </si>
  <si>
    <t>002296</t>
  </si>
  <si>
    <t>2009-09-29</t>
  </si>
  <si>
    <t>002332</t>
  </si>
  <si>
    <t>2010-01-12</t>
  </si>
  <si>
    <t>300486</t>
  </si>
  <si>
    <t>002057</t>
  </si>
  <si>
    <t>300006</t>
  </si>
  <si>
    <t>000026</t>
  </si>
  <si>
    <t>1993-06-03</t>
  </si>
  <si>
    <t>300541</t>
  </si>
  <si>
    <t>2016-09-13</t>
  </si>
  <si>
    <t>603069</t>
  </si>
  <si>
    <t>000831</t>
  </si>
  <si>
    <t>1998-09-11</t>
  </si>
  <si>
    <t>601878</t>
  </si>
  <si>
    <t>2017-06-26</t>
  </si>
  <si>
    <t>600844</t>
  </si>
  <si>
    <t>300450</t>
  </si>
  <si>
    <t>603288</t>
  </si>
  <si>
    <t>2014-02-11</t>
  </si>
  <si>
    <t>002756</t>
  </si>
  <si>
    <t>601108</t>
  </si>
  <si>
    <t>2017-10-24</t>
  </si>
  <si>
    <t>300399</t>
  </si>
  <si>
    <t>2014-10-09</t>
  </si>
  <si>
    <t>603999</t>
  </si>
  <si>
    <t>002106</t>
  </si>
  <si>
    <t>2007-01-12</t>
  </si>
  <si>
    <t>002855</t>
  </si>
  <si>
    <t>2017-03-21</t>
  </si>
  <si>
    <t>002311</t>
  </si>
  <si>
    <t>2009-11-27</t>
  </si>
  <si>
    <t>300465</t>
  </si>
  <si>
    <t>300130</t>
  </si>
  <si>
    <t>000090</t>
  </si>
  <si>
    <t>1999-07-21</t>
  </si>
  <si>
    <t>300316</t>
  </si>
  <si>
    <t>600052</t>
  </si>
  <si>
    <t>1997-04-15</t>
  </si>
  <si>
    <t>603566</t>
  </si>
  <si>
    <t>300326</t>
  </si>
  <si>
    <t>2012-06-13</t>
  </si>
  <si>
    <t>300607</t>
  </si>
  <si>
    <t>2017-02-09</t>
  </si>
  <si>
    <t>002567</t>
  </si>
  <si>
    <t>600259</t>
  </si>
  <si>
    <t>2000-05-25</t>
  </si>
  <si>
    <t>002876</t>
  </si>
  <si>
    <t>2017-05-25</t>
  </si>
  <si>
    <t>300669</t>
  </si>
  <si>
    <t>2017-06-29</t>
  </si>
  <si>
    <t>600521</t>
  </si>
  <si>
    <t>2003-03-04</t>
  </si>
  <si>
    <t>002460</t>
  </si>
  <si>
    <t>300043</t>
  </si>
  <si>
    <t>2010-01-20</t>
  </si>
  <si>
    <t>300277</t>
  </si>
  <si>
    <t>2011-11-23</t>
  </si>
  <si>
    <t>002119</t>
  </si>
  <si>
    <t>2007-03-02</t>
  </si>
  <si>
    <t>002912</t>
  </si>
  <si>
    <t>2017-11-21</t>
  </si>
  <si>
    <t>600246</t>
  </si>
  <si>
    <t>2000-09-22</t>
  </si>
  <si>
    <t>603477</t>
  </si>
  <si>
    <t>2017-12-18</t>
  </si>
  <si>
    <t>600885</t>
  </si>
  <si>
    <t>1996-02-05</t>
  </si>
  <si>
    <t>002099</t>
  </si>
  <si>
    <t>601377</t>
  </si>
  <si>
    <t>002785</t>
  </si>
  <si>
    <t>300251</t>
  </si>
  <si>
    <t>2011-08-03</t>
  </si>
  <si>
    <t>600909</t>
  </si>
  <si>
    <t>2016-12-06</t>
  </si>
  <si>
    <t>603811</t>
  </si>
  <si>
    <t>2017-03-15</t>
  </si>
  <si>
    <t>002242</t>
  </si>
  <si>
    <t>2008-05-28</t>
  </si>
  <si>
    <t>002797</t>
  </si>
  <si>
    <t>2016-05-11</t>
  </si>
  <si>
    <t>603133</t>
  </si>
  <si>
    <t>2017-03-20</t>
  </si>
  <si>
    <t>002609</t>
  </si>
  <si>
    <t>2011-08-15</t>
  </si>
  <si>
    <t>300003</t>
  </si>
  <si>
    <t>300052</t>
  </si>
  <si>
    <t>2010-02-11</t>
  </si>
  <si>
    <t>002048</t>
  </si>
  <si>
    <t>2005-06-03</t>
  </si>
  <si>
    <t>600009</t>
  </si>
  <si>
    <t>1998-02-18</t>
  </si>
  <si>
    <t>600685</t>
  </si>
  <si>
    <t>603881</t>
  </si>
  <si>
    <t>300124</t>
  </si>
  <si>
    <t>2010-09-28</t>
  </si>
  <si>
    <t>000682</t>
  </si>
  <si>
    <t>1997-01-21</t>
  </si>
  <si>
    <t>601318</t>
  </si>
  <si>
    <t>2007-03-01</t>
  </si>
  <si>
    <t>002130</t>
  </si>
  <si>
    <t>600061</t>
  </si>
  <si>
    <t>1997-05-19</t>
  </si>
  <si>
    <t>000555</t>
  </si>
  <si>
    <t>1994-04-08</t>
  </si>
  <si>
    <t>300338</t>
  </si>
  <si>
    <t>601233</t>
  </si>
  <si>
    <t>2011-05-18</t>
  </si>
  <si>
    <t>300198</t>
  </si>
  <si>
    <t>600071</t>
  </si>
  <si>
    <t>002547</t>
  </si>
  <si>
    <t>2011-02-18</t>
  </si>
  <si>
    <t>002487</t>
  </si>
  <si>
    <t>2010-10-15</t>
  </si>
  <si>
    <t>601099</t>
  </si>
  <si>
    <t>2007-12-28</t>
  </si>
  <si>
    <t>002035</t>
  </si>
  <si>
    <t>2004-09-01</t>
  </si>
  <si>
    <t>300053</t>
  </si>
  <si>
    <t>300229</t>
  </si>
  <si>
    <t>2011-06-15</t>
  </si>
  <si>
    <t>300384</t>
  </si>
  <si>
    <t>2014-08-01</t>
  </si>
  <si>
    <t>603519</t>
  </si>
  <si>
    <t>300041</t>
  </si>
  <si>
    <t>2010-01-08</t>
  </si>
  <si>
    <t>300037</t>
  </si>
  <si>
    <t>002881</t>
  </si>
  <si>
    <t>2017-06-22</t>
  </si>
  <si>
    <t>603429</t>
  </si>
  <si>
    <t>2017-01-24</t>
  </si>
  <si>
    <t>002681</t>
  </si>
  <si>
    <t>2012-06-05</t>
  </si>
  <si>
    <t>002541</t>
  </si>
  <si>
    <t>300653</t>
  </si>
  <si>
    <t>2017-05-16</t>
  </si>
  <si>
    <t>603919</t>
  </si>
  <si>
    <t>2016-03-10</t>
  </si>
  <si>
    <t>002153</t>
  </si>
  <si>
    <t>300354</t>
  </si>
  <si>
    <t>2012-09-20</t>
  </si>
  <si>
    <t>300578</t>
  </si>
  <si>
    <t>2017-01-25</t>
  </si>
  <si>
    <t>002498</t>
  </si>
  <si>
    <t>2010-11-09</t>
  </si>
  <si>
    <t>603197</t>
  </si>
  <si>
    <t>2017-05-19</t>
  </si>
  <si>
    <t>000529</t>
  </si>
  <si>
    <t>1993-11-18</t>
  </si>
  <si>
    <t>002635</t>
  </si>
  <si>
    <t>2011-11-25</t>
  </si>
  <si>
    <t>603609</t>
  </si>
  <si>
    <t>2014-08-08</t>
  </si>
  <si>
    <t>002736</t>
  </si>
  <si>
    <t>2014-12-29</t>
  </si>
  <si>
    <t>300562</t>
  </si>
  <si>
    <t>2016-11-16</t>
  </si>
  <si>
    <t>300099</t>
  </si>
  <si>
    <t>2010-08-06</t>
  </si>
  <si>
    <t>300378</t>
  </si>
  <si>
    <t>2014-01-27</t>
  </si>
  <si>
    <t>002056</t>
  </si>
  <si>
    <t>300394</t>
  </si>
  <si>
    <t>600571</t>
  </si>
  <si>
    <t>2002-11-01</t>
  </si>
  <si>
    <t>002623</t>
  </si>
  <si>
    <t>2011-10-13</t>
  </si>
  <si>
    <t>002064</t>
  </si>
  <si>
    <t>002182</t>
  </si>
  <si>
    <t>2007-11-13</t>
  </si>
  <si>
    <t>600369</t>
  </si>
  <si>
    <t>2001-01-09</t>
  </si>
  <si>
    <t>000785</t>
  </si>
  <si>
    <t>1997-07-11</t>
  </si>
  <si>
    <t>002643</t>
  </si>
  <si>
    <t>2011-12-20</t>
  </si>
  <si>
    <t>600036</t>
  </si>
  <si>
    <t>2002-04-09</t>
  </si>
  <si>
    <t>002841</t>
  </si>
  <si>
    <t>2017-01-19</t>
  </si>
  <si>
    <t>000034</t>
  </si>
  <si>
    <t>002001</t>
  </si>
  <si>
    <t>2004-06-25</t>
  </si>
  <si>
    <t>002318</t>
  </si>
  <si>
    <t>2009-12-11</t>
  </si>
  <si>
    <t>600380</t>
  </si>
  <si>
    <t>2001-06-08</t>
  </si>
  <si>
    <t>002660</t>
  </si>
  <si>
    <t>2012-03-16</t>
  </si>
  <si>
    <t>000031</t>
  </si>
  <si>
    <t>1993-10-08</t>
  </si>
  <si>
    <t>002913</t>
  </si>
  <si>
    <t>2017-12-01</t>
  </si>
  <si>
    <t>600136</t>
  </si>
  <si>
    <t>1998-03-03</t>
  </si>
  <si>
    <t>600352</t>
  </si>
  <si>
    <t>2003-08-01</t>
  </si>
  <si>
    <t>000970</t>
  </si>
  <si>
    <t>2000-04-20</t>
  </si>
  <si>
    <t>300395</t>
  </si>
  <si>
    <t>601788</t>
  </si>
  <si>
    <t>2009-08-18</t>
  </si>
  <si>
    <t>300363</t>
  </si>
  <si>
    <t>603661</t>
  </si>
  <si>
    <t>300112</t>
  </si>
  <si>
    <t>002019</t>
  </si>
  <si>
    <t>2004-07-13</t>
  </si>
  <si>
    <t>601555</t>
  </si>
  <si>
    <t>2011-12-12</t>
  </si>
  <si>
    <t>600570</t>
  </si>
  <si>
    <t>2003-12-16</t>
  </si>
  <si>
    <t>600710</t>
  </si>
  <si>
    <t>1996-07-01</t>
  </si>
  <si>
    <t>600801</t>
  </si>
  <si>
    <t>1994-01-03</t>
  </si>
  <si>
    <t>603508</t>
  </si>
  <si>
    <t>2015-12-24</t>
  </si>
  <si>
    <t>600597</t>
  </si>
  <si>
    <t>2002-08-28</t>
  </si>
  <si>
    <t>002518</t>
  </si>
  <si>
    <t>2010-12-07</t>
  </si>
  <si>
    <t>600529</t>
  </si>
  <si>
    <t>2002-06-03</t>
  </si>
  <si>
    <t>300214</t>
  </si>
  <si>
    <t>2011-05-11</t>
  </si>
  <si>
    <t>603189</t>
  </si>
  <si>
    <t>2016-09-14</t>
  </si>
  <si>
    <t>603727</t>
  </si>
  <si>
    <t>2016-11-22</t>
  </si>
  <si>
    <t>600383</t>
  </si>
  <si>
    <t>2001-04-12</t>
  </si>
  <si>
    <t>300076</t>
  </si>
  <si>
    <t>300046</t>
  </si>
  <si>
    <t>300179</t>
  </si>
  <si>
    <t>2011-02-15</t>
  </si>
  <si>
    <t>600216</t>
  </si>
  <si>
    <t>1999-10-21</t>
  </si>
  <si>
    <t>600876</t>
  </si>
  <si>
    <t>1995-10-31</t>
  </si>
  <si>
    <t>002080</t>
  </si>
  <si>
    <t>2006-11-20</t>
  </si>
  <si>
    <t>002496</t>
  </si>
  <si>
    <t>601888</t>
  </si>
  <si>
    <t>2009-10-15</t>
  </si>
  <si>
    <t>300191</t>
  </si>
  <si>
    <t>2011-03-16</t>
  </si>
  <si>
    <t>600628</t>
  </si>
  <si>
    <t>1993-01-19</t>
  </si>
  <si>
    <t>603655</t>
  </si>
  <si>
    <t>600202</t>
  </si>
  <si>
    <t>1999-06-03</t>
  </si>
  <si>
    <t>002654</t>
  </si>
  <si>
    <t>300015</t>
  </si>
  <si>
    <t>002012</t>
  </si>
  <si>
    <t>2004-07-05</t>
  </si>
  <si>
    <t>300590</t>
  </si>
  <si>
    <t>2017-01-11</t>
  </si>
  <si>
    <t>600143</t>
  </si>
  <si>
    <t>2004-06-23</t>
  </si>
  <si>
    <t>002511</t>
  </si>
  <si>
    <t>2010-11-25</t>
  </si>
  <si>
    <t>300487</t>
  </si>
  <si>
    <t>300726</t>
  </si>
  <si>
    <t>300353</t>
  </si>
  <si>
    <t>2012-09-27</t>
  </si>
  <si>
    <t>600600</t>
  </si>
  <si>
    <t>1993-08-27</t>
  </si>
  <si>
    <t>600583</t>
  </si>
  <si>
    <t>2002-02-05</t>
  </si>
  <si>
    <t>603081</t>
  </si>
  <si>
    <t>2017-04-20</t>
  </si>
  <si>
    <t>002149</t>
  </si>
  <si>
    <t>2007-08-10</t>
  </si>
  <si>
    <t>002065</t>
  </si>
  <si>
    <t>603309</t>
  </si>
  <si>
    <t>2015-03-02</t>
  </si>
  <si>
    <t>600449</t>
  </si>
  <si>
    <t>2003-08-29</t>
  </si>
  <si>
    <t>002674</t>
  </si>
  <si>
    <t>002326</t>
  </si>
  <si>
    <t>2009-12-22</t>
  </si>
  <si>
    <t>300189</t>
  </si>
  <si>
    <t>000603</t>
  </si>
  <si>
    <t>1996-08-23</t>
  </si>
  <si>
    <t>002191</t>
  </si>
  <si>
    <t>2007-12-05</t>
  </si>
  <si>
    <t>600794</t>
  </si>
  <si>
    <t>1997-03-06</t>
  </si>
  <si>
    <t>002657</t>
  </si>
  <si>
    <t>2012-02-28</t>
  </si>
  <si>
    <t>002697</t>
  </si>
  <si>
    <t>300175</t>
  </si>
  <si>
    <t>603678</t>
  </si>
  <si>
    <t>2015-01-26</t>
  </si>
  <si>
    <t>002758</t>
  </si>
  <si>
    <t>603833</t>
  </si>
  <si>
    <t>2017-03-28</t>
  </si>
  <si>
    <t>300054</t>
  </si>
  <si>
    <t>603063</t>
  </si>
  <si>
    <t>2017-07-28</t>
  </si>
  <si>
    <t>600368</t>
  </si>
  <si>
    <t>2000-12-21</t>
  </si>
  <si>
    <t>002032</t>
  </si>
  <si>
    <t>2004-08-17</t>
  </si>
  <si>
    <t>603916</t>
  </si>
  <si>
    <t>2017-11-10</t>
  </si>
  <si>
    <t>002637</t>
  </si>
  <si>
    <t>000520</t>
  </si>
  <si>
    <t>1993-10-25</t>
  </si>
  <si>
    <t>600739</t>
  </si>
  <si>
    <t>1996-08-19</t>
  </si>
  <si>
    <t>002014</t>
  </si>
  <si>
    <t>2004-07-08</t>
  </si>
  <si>
    <t>002299</t>
  </si>
  <si>
    <t>2009-10-21</t>
  </si>
  <si>
    <t>002127</t>
  </si>
  <si>
    <t>2007-04-18</t>
  </si>
  <si>
    <t>601038</t>
  </si>
  <si>
    <t>2012-08-08</t>
  </si>
  <si>
    <t>002777</t>
  </si>
  <si>
    <t>300723</t>
  </si>
  <si>
    <t>2017-11-16</t>
  </si>
  <si>
    <t>601139</t>
  </si>
  <si>
    <t>300339</t>
  </si>
  <si>
    <t>2012-07-18</t>
  </si>
  <si>
    <t>600601</t>
  </si>
  <si>
    <t>002816</t>
  </si>
  <si>
    <t>2016-10-25</t>
  </si>
  <si>
    <t>002317</t>
  </si>
  <si>
    <t>600330</t>
  </si>
  <si>
    <t>2001-01-18</t>
  </si>
  <si>
    <t>600203</t>
  </si>
  <si>
    <t>1999-05-14</t>
  </si>
  <si>
    <t>002043</t>
  </si>
  <si>
    <t>2005-05-10</t>
  </si>
  <si>
    <t>002799</t>
  </si>
  <si>
    <t>2016-06-08</t>
  </si>
  <si>
    <t>000973</t>
  </si>
  <si>
    <t>300227</t>
  </si>
  <si>
    <t>002476</t>
  </si>
  <si>
    <t>002780</t>
  </si>
  <si>
    <t>603787</t>
  </si>
  <si>
    <t>2017-04-27</t>
  </si>
  <si>
    <t>300030</t>
  </si>
  <si>
    <t>300144</t>
  </si>
  <si>
    <t>2010-12-09</t>
  </si>
  <si>
    <t>002528</t>
  </si>
  <si>
    <t>2010-12-24</t>
  </si>
  <si>
    <t>601636</t>
  </si>
  <si>
    <t>2011-08-12</t>
  </si>
  <si>
    <t>600070</t>
  </si>
  <si>
    <t>1997-06-04</t>
  </si>
  <si>
    <t>600213</t>
  </si>
  <si>
    <t>1999-08-31</t>
  </si>
  <si>
    <t>600980</t>
  </si>
  <si>
    <t>2004-05-12</t>
  </si>
  <si>
    <t>000949</t>
  </si>
  <si>
    <t>300244</t>
  </si>
  <si>
    <t>2011-07-19</t>
  </si>
  <si>
    <t>300347</t>
  </si>
  <si>
    <t>2012-08-17</t>
  </si>
  <si>
    <t>603722</t>
  </si>
  <si>
    <t>2017-10-25</t>
  </si>
  <si>
    <t>300570</t>
  </si>
  <si>
    <t>300440</t>
  </si>
  <si>
    <t>600305</t>
  </si>
  <si>
    <t>2001-02-06</t>
  </si>
  <si>
    <t>603730</t>
  </si>
  <si>
    <t>000049</t>
  </si>
  <si>
    <t>1995-03-20</t>
  </si>
  <si>
    <t>300241</t>
  </si>
  <si>
    <t>2011-07-12</t>
  </si>
  <si>
    <t>603232</t>
  </si>
  <si>
    <t>2017-04-21</t>
  </si>
  <si>
    <t>601949</t>
  </si>
  <si>
    <t>2017-08-21</t>
  </si>
  <si>
    <t>601012</t>
  </si>
  <si>
    <t>2012-04-11</t>
  </si>
  <si>
    <t>600167</t>
  </si>
  <si>
    <t>1999-01-28</t>
  </si>
  <si>
    <t>002139</t>
  </si>
  <si>
    <t>2007-06-29</t>
  </si>
  <si>
    <t>300441</t>
  </si>
  <si>
    <t>300368</t>
  </si>
  <si>
    <t>2014-01-23</t>
  </si>
  <si>
    <t>300533</t>
  </si>
  <si>
    <t>600523</t>
  </si>
  <si>
    <t>2001-12-27</t>
  </si>
  <si>
    <t>002638</t>
  </si>
  <si>
    <t>300327</t>
  </si>
  <si>
    <t>002268</t>
  </si>
  <si>
    <t>2008-08-11</t>
  </si>
  <si>
    <t>601608</t>
  </si>
  <si>
    <t>2012-07-06</t>
  </si>
  <si>
    <t>601128</t>
  </si>
  <si>
    <t>2016-09-30</t>
  </si>
  <si>
    <t>300233</t>
  </si>
  <si>
    <t>600769</t>
  </si>
  <si>
    <t>1996-11-01</t>
  </si>
  <si>
    <t>300386</t>
  </si>
  <si>
    <t>2014-06-26</t>
  </si>
  <si>
    <t>002678</t>
  </si>
  <si>
    <t>2012-05-30</t>
  </si>
  <si>
    <t>603586</t>
  </si>
  <si>
    <t>000677</t>
  </si>
  <si>
    <t>1996-12-26</t>
  </si>
  <si>
    <t>002180</t>
  </si>
  <si>
    <t>300174</t>
  </si>
  <si>
    <t>300366</t>
  </si>
  <si>
    <t>600026</t>
  </si>
  <si>
    <t>2002-05-23</t>
  </si>
  <si>
    <t>603198</t>
  </si>
  <si>
    <t>300161</t>
  </si>
  <si>
    <t>002434</t>
  </si>
  <si>
    <t>002385</t>
  </si>
  <si>
    <t>002712</t>
  </si>
  <si>
    <t>600186</t>
  </si>
  <si>
    <t>1998-08-25</t>
  </si>
  <si>
    <t>300066</t>
  </si>
  <si>
    <t>2010-03-26</t>
  </si>
  <si>
    <t>603385</t>
  </si>
  <si>
    <t>2017-04-05</t>
  </si>
  <si>
    <t>600356</t>
  </si>
  <si>
    <t>2001-04-19</t>
  </si>
  <si>
    <t>002634</t>
  </si>
  <si>
    <t>000636</t>
  </si>
  <si>
    <t>1996-11-29</t>
  </si>
  <si>
    <t>000004</t>
  </si>
  <si>
    <t>1991-01-14</t>
  </si>
  <si>
    <t>600353</t>
  </si>
  <si>
    <t>2002-11-20</t>
  </si>
  <si>
    <t>603021</t>
  </si>
  <si>
    <t>002641</t>
  </si>
  <si>
    <t>2011-12-08</t>
  </si>
  <si>
    <t>600797</t>
  </si>
  <si>
    <t>1997-04-18</t>
  </si>
  <si>
    <t>000931</t>
  </si>
  <si>
    <t>1999-07-12</t>
  </si>
  <si>
    <t>002534</t>
  </si>
  <si>
    <t>2011-01-10</t>
  </si>
  <si>
    <t>600007</t>
  </si>
  <si>
    <t>1999-03-12</t>
  </si>
  <si>
    <t>300396</t>
  </si>
  <si>
    <t>603599</t>
  </si>
  <si>
    <t>2015-05-13</t>
  </si>
  <si>
    <t>000002</t>
  </si>
  <si>
    <t>1991-01-29</t>
  </si>
  <si>
    <t>002438</t>
  </si>
  <si>
    <t>603258</t>
  </si>
  <si>
    <t>2016-10-26</t>
  </si>
  <si>
    <t>601811</t>
  </si>
  <si>
    <t>2016-08-08</t>
  </si>
  <si>
    <t>600114</t>
  </si>
  <si>
    <t>2004-05-11</t>
  </si>
  <si>
    <t>300718</t>
  </si>
  <si>
    <t>2017-11-06</t>
  </si>
  <si>
    <t>002500</t>
  </si>
  <si>
    <t>2010-11-15</t>
  </si>
  <si>
    <t>002301</t>
  </si>
  <si>
    <t>002164</t>
  </si>
  <si>
    <t>2007-08-23</t>
  </si>
  <si>
    <t>002230</t>
  </si>
  <si>
    <t>2008-05-12</t>
  </si>
  <si>
    <t>300690</t>
  </si>
  <si>
    <t>2017-08-08</t>
  </si>
  <si>
    <t>600866</t>
  </si>
  <si>
    <t>1994-08-18</t>
  </si>
  <si>
    <t>600557</t>
  </si>
  <si>
    <t>2002-09-18</t>
  </si>
  <si>
    <t>002465</t>
  </si>
  <si>
    <t>2010-08-31</t>
  </si>
  <si>
    <t>300679</t>
  </si>
  <si>
    <t>2017-07-31</t>
  </si>
  <si>
    <t>300246</t>
  </si>
  <si>
    <t>000012</t>
  </si>
  <si>
    <t>1992-02-28</t>
  </si>
  <si>
    <t>300298</t>
  </si>
  <si>
    <t>002028</t>
  </si>
  <si>
    <t>2004-08-05</t>
  </si>
  <si>
    <t>300476</t>
  </si>
  <si>
    <t>603416</t>
  </si>
  <si>
    <t>2016-12-21</t>
  </si>
  <si>
    <t>300190</t>
  </si>
  <si>
    <t>300286</t>
  </si>
  <si>
    <t>2012-01-13</t>
  </si>
  <si>
    <t>600690</t>
  </si>
  <si>
    <t>1993-11-19</t>
  </si>
  <si>
    <t>600469</t>
  </si>
  <si>
    <t>2003-10-21</t>
  </si>
  <si>
    <t>300285</t>
  </si>
  <si>
    <t>002430</t>
  </si>
  <si>
    <t>000759</t>
  </si>
  <si>
    <t>600261</t>
  </si>
  <si>
    <t>2000-07-20</t>
  </si>
  <si>
    <t>002118</t>
  </si>
  <si>
    <t>600459</t>
  </si>
  <si>
    <t>2003-05-16</t>
  </si>
  <si>
    <t>002890</t>
  </si>
  <si>
    <t>002724</t>
  </si>
  <si>
    <t>2014-11-04</t>
  </si>
  <si>
    <t>300330</t>
  </si>
  <si>
    <t>300543</t>
  </si>
  <si>
    <t>2016-09-08</t>
  </si>
  <si>
    <t>002617</t>
  </si>
  <si>
    <t>2011-09-20</t>
  </si>
  <si>
    <t>603203</t>
  </si>
  <si>
    <t>2016-11-08</t>
  </si>
  <si>
    <t>600127</t>
  </si>
  <si>
    <t>1998-05-06</t>
  </si>
  <si>
    <t>002452</t>
  </si>
  <si>
    <t>2010-07-20</t>
  </si>
  <si>
    <t>600999</t>
  </si>
  <si>
    <t>2009-11-17</t>
  </si>
  <si>
    <t>002597</t>
  </si>
  <si>
    <t>2011-07-07</t>
  </si>
  <si>
    <t>600741</t>
  </si>
  <si>
    <t>1996-08-26</t>
  </si>
  <si>
    <t>000016</t>
  </si>
  <si>
    <t>1992-03-27</t>
  </si>
  <si>
    <t>600613</t>
  </si>
  <si>
    <t>1992-08-20</t>
  </si>
  <si>
    <t>601198</t>
  </si>
  <si>
    <t>2015-02-26</t>
  </si>
  <si>
    <t>603626</t>
  </si>
  <si>
    <t>600048</t>
  </si>
  <si>
    <t>2006-07-31</t>
  </si>
  <si>
    <t>300697</t>
  </si>
  <si>
    <t>2017-09-07</t>
  </si>
  <si>
    <t>002367</t>
  </si>
  <si>
    <t>002886</t>
  </si>
  <si>
    <t>2017-06-27</t>
  </si>
  <si>
    <t>002685</t>
  </si>
  <si>
    <t>000796</t>
  </si>
  <si>
    <t>601021</t>
  </si>
  <si>
    <t>2015-01-21</t>
  </si>
  <si>
    <t>002706</t>
  </si>
  <si>
    <t>002474</t>
  </si>
  <si>
    <t>603978</t>
  </si>
  <si>
    <t>2017-08-07</t>
  </si>
  <si>
    <t>600199</t>
  </si>
  <si>
    <t>1998-08-12</t>
  </si>
  <si>
    <t>300682</t>
  </si>
  <si>
    <t>2017-08-01</t>
  </si>
  <si>
    <t>603027</t>
  </si>
  <si>
    <t>2016-03-07</t>
  </si>
  <si>
    <t>300609</t>
  </si>
  <si>
    <t>2017-02-15</t>
  </si>
  <si>
    <t>002786</t>
  </si>
  <si>
    <t>600173</t>
  </si>
  <si>
    <t>1999-04-15</t>
  </si>
  <si>
    <t>002531</t>
  </si>
  <si>
    <t>600831</t>
  </si>
  <si>
    <t>600754</t>
  </si>
  <si>
    <t>1996-10-11</t>
  </si>
  <si>
    <t>000547</t>
  </si>
  <si>
    <t>1993-11-30</t>
  </si>
  <si>
    <t>002050</t>
  </si>
  <si>
    <t>2005-06-07</t>
  </si>
  <si>
    <t>300356</t>
  </si>
  <si>
    <t>2012-10-09</t>
  </si>
  <si>
    <t>603517</t>
  </si>
  <si>
    <t>2017-03-17</t>
  </si>
  <si>
    <t>600728</t>
  </si>
  <si>
    <t>600416</t>
  </si>
  <si>
    <t>2002-07-18</t>
  </si>
  <si>
    <t>002866</t>
  </si>
  <si>
    <t>002473</t>
  </si>
  <si>
    <t>2010-09-10</t>
  </si>
  <si>
    <t>603326</t>
  </si>
  <si>
    <t>2017-06-16</t>
  </si>
  <si>
    <t>601958</t>
  </si>
  <si>
    <t>2008-04-17</t>
  </si>
  <si>
    <t>300568</t>
  </si>
  <si>
    <t>2016-12-01</t>
  </si>
  <si>
    <t>300005</t>
  </si>
  <si>
    <t>600894</t>
  </si>
  <si>
    <t>1996-03-28</t>
  </si>
  <si>
    <t>603108</t>
  </si>
  <si>
    <t>600354</t>
  </si>
  <si>
    <t>2004-01-15</t>
  </si>
  <si>
    <t>002145</t>
  </si>
  <si>
    <t>2007-08-03</t>
  </si>
  <si>
    <t>000531</t>
  </si>
  <si>
    <t>002649</t>
  </si>
  <si>
    <t>2012-01-06</t>
  </si>
  <si>
    <t>300291</t>
  </si>
  <si>
    <t>2012-02-09</t>
  </si>
  <si>
    <t>002688</t>
  </si>
  <si>
    <t>2012-07-13</t>
  </si>
  <si>
    <t>600651</t>
  </si>
  <si>
    <t>600958</t>
  </si>
  <si>
    <t>2015-03-23</t>
  </si>
  <si>
    <t>000716</t>
  </si>
  <si>
    <t>601009</t>
  </si>
  <si>
    <t>002591</t>
  </si>
  <si>
    <t>2011-06-21</t>
  </si>
  <si>
    <t>600393</t>
  </si>
  <si>
    <t>2001-03-19</t>
  </si>
  <si>
    <t>600860</t>
  </si>
  <si>
    <t>1994-05-06</t>
  </si>
  <si>
    <t>600855</t>
  </si>
  <si>
    <t>1994-04-25</t>
  </si>
  <si>
    <t>600589</t>
  </si>
  <si>
    <t>2001-06-12</t>
  </si>
  <si>
    <t>603883</t>
  </si>
  <si>
    <t>002324</t>
  </si>
  <si>
    <t>603169</t>
  </si>
  <si>
    <t>002211</t>
  </si>
  <si>
    <t>600439</t>
  </si>
  <si>
    <t>2003-07-10</t>
  </si>
  <si>
    <t>300205</t>
  </si>
  <si>
    <t>603611</t>
  </si>
  <si>
    <t>2015-01-28</t>
  </si>
  <si>
    <t>600887</t>
  </si>
  <si>
    <t>1996-03-12</t>
  </si>
  <si>
    <t>601163</t>
  </si>
  <si>
    <t>2016-09-09</t>
  </si>
  <si>
    <t>600756</t>
  </si>
  <si>
    <t>1996-09-23</t>
  </si>
  <si>
    <t>002669</t>
  </si>
  <si>
    <t>2012-04-16</t>
  </si>
  <si>
    <t>600525</t>
  </si>
  <si>
    <t>2002-12-02</t>
  </si>
  <si>
    <t>300281</t>
  </si>
  <si>
    <t>2011-12-29</t>
  </si>
  <si>
    <t>600258</t>
  </si>
  <si>
    <t>2000-06-01</t>
  </si>
  <si>
    <t>000156</t>
  </si>
  <si>
    <t>2000-09-06</t>
  </si>
  <si>
    <t>600025</t>
  </si>
  <si>
    <t>2017-12-15</t>
  </si>
  <si>
    <t>601601</t>
  </si>
  <si>
    <t>2007-12-25</t>
  </si>
  <si>
    <t>300263</t>
  </si>
  <si>
    <t>2011-09-16</t>
  </si>
  <si>
    <t>601899</t>
  </si>
  <si>
    <t>2008-04-25</t>
  </si>
  <si>
    <t>002677</t>
  </si>
  <si>
    <t>600289</t>
  </si>
  <si>
    <t>300125</t>
  </si>
  <si>
    <t>002190</t>
  </si>
  <si>
    <t>000811</t>
  </si>
  <si>
    <t>1998-05-28</t>
  </si>
  <si>
    <t>603358</t>
  </si>
  <si>
    <t>600565</t>
  </si>
  <si>
    <t>2002-07-23</t>
  </si>
  <si>
    <t>600366</t>
  </si>
  <si>
    <t>2000-10-30</t>
  </si>
  <si>
    <t>000159</t>
  </si>
  <si>
    <t>2000-09-26</t>
  </si>
  <si>
    <t>002793</t>
  </si>
  <si>
    <t>2016-04-15</t>
  </si>
  <si>
    <t>000401</t>
  </si>
  <si>
    <t>1996-06-14</t>
  </si>
  <si>
    <t>002398</t>
  </si>
  <si>
    <t>2010-05-06</t>
  </si>
  <si>
    <t>002817</t>
  </si>
  <si>
    <t>603299</t>
  </si>
  <si>
    <t>002380</t>
  </si>
  <si>
    <t>2010-03-31</t>
  </si>
  <si>
    <t>000700</t>
  </si>
  <si>
    <t>1997-02-28</t>
  </si>
  <si>
    <t>600531</t>
  </si>
  <si>
    <t>2002-07-30</t>
  </si>
  <si>
    <t>600375</t>
  </si>
  <si>
    <t>2003-04-01</t>
  </si>
  <si>
    <t>600836</t>
  </si>
  <si>
    <t>300408</t>
  </si>
  <si>
    <t>600673</t>
  </si>
  <si>
    <t>1993-09-17</t>
  </si>
  <si>
    <t>002167</t>
  </si>
  <si>
    <t>2007-09-13</t>
  </si>
  <si>
    <t>300342</t>
  </si>
  <si>
    <t>002747</t>
  </si>
  <si>
    <t>2015-03-20</t>
  </si>
  <si>
    <t>001696</t>
  </si>
  <si>
    <t>300475</t>
  </si>
  <si>
    <t>600466</t>
  </si>
  <si>
    <t>2001-02-12</t>
  </si>
  <si>
    <t>300209</t>
  </si>
  <si>
    <t>2011-04-26</t>
  </si>
  <si>
    <t>600765</t>
  </si>
  <si>
    <t>1996-11-06</t>
  </si>
  <si>
    <t>600588</t>
  </si>
  <si>
    <t>2001-05-18</t>
  </si>
  <si>
    <t>000966</t>
  </si>
  <si>
    <t>2000-03-16</t>
  </si>
  <si>
    <t>000418</t>
  </si>
  <si>
    <t>1997-03-28</t>
  </si>
  <si>
    <t>002459</t>
  </si>
  <si>
    <t>002042</t>
  </si>
  <si>
    <t>2005-04-27</t>
  </si>
  <si>
    <t>300058</t>
  </si>
  <si>
    <t>2010-02-26</t>
  </si>
  <si>
    <t>601208</t>
  </si>
  <si>
    <t>2011-05-20</t>
  </si>
  <si>
    <t>002734</t>
  </si>
  <si>
    <t>002312</t>
  </si>
  <si>
    <t>2009-12-03</t>
  </si>
  <si>
    <t>601166</t>
  </si>
  <si>
    <t>2007-02-05</t>
  </si>
  <si>
    <t>603798</t>
  </si>
  <si>
    <t>2016-04-06</t>
  </si>
  <si>
    <t>300436</t>
  </si>
  <si>
    <t>2015-04-22</t>
  </si>
  <si>
    <t>000910</t>
  </si>
  <si>
    <t>1999-06-30</t>
  </si>
  <si>
    <t>002379</t>
  </si>
  <si>
    <t>600702</t>
  </si>
  <si>
    <t>1996-05-24</t>
  </si>
  <si>
    <t>000030</t>
  </si>
  <si>
    <t>1993-09-29</t>
  </si>
  <si>
    <t>600758</t>
  </si>
  <si>
    <t>1996-10-29</t>
  </si>
  <si>
    <t>600191</t>
  </si>
  <si>
    <t>1998-12-10</t>
  </si>
  <si>
    <t>300658</t>
  </si>
  <si>
    <t>2017-06-02</t>
  </si>
  <si>
    <t>002897</t>
  </si>
  <si>
    <t>300370</t>
  </si>
  <si>
    <t>300418</t>
  </si>
  <si>
    <t>603040</t>
  </si>
  <si>
    <t>600129</t>
  </si>
  <si>
    <t>300260</t>
  </si>
  <si>
    <t>2011-09-06</t>
  </si>
  <si>
    <t>300292</t>
  </si>
  <si>
    <t>2012-02-29</t>
  </si>
  <si>
    <t>002388</t>
  </si>
  <si>
    <t>600137</t>
  </si>
  <si>
    <t>1998-04-16</t>
  </si>
  <si>
    <t>300152</t>
  </si>
  <si>
    <t>2010-12-29</t>
  </si>
  <si>
    <t>300473</t>
  </si>
  <si>
    <t>2015-06-12</t>
  </si>
  <si>
    <t>000099</t>
  </si>
  <si>
    <t>2000-07-31</t>
  </si>
  <si>
    <t>600362</t>
  </si>
  <si>
    <t>2002-01-11</t>
  </si>
  <si>
    <t>603825</t>
  </si>
  <si>
    <t>600399</t>
  </si>
  <si>
    <t>2000-12-29</t>
  </si>
  <si>
    <t>600331</t>
  </si>
  <si>
    <t>2001-12-20</t>
  </si>
  <si>
    <t>300196</t>
  </si>
  <si>
    <t>2011-03-29</t>
  </si>
  <si>
    <t>300147</t>
  </si>
  <si>
    <t>2010-12-15</t>
  </si>
  <si>
    <t>300188</t>
  </si>
  <si>
    <t>002329</t>
  </si>
  <si>
    <t>300627</t>
  </si>
  <si>
    <t>600872</t>
  </si>
  <si>
    <t>1995-01-24</t>
  </si>
  <si>
    <t>300680</t>
  </si>
  <si>
    <t>2017-07-25</t>
  </si>
  <si>
    <t>300116</t>
  </si>
  <si>
    <t>603799</t>
  </si>
  <si>
    <t>2015-01-29</t>
  </si>
  <si>
    <t>000513</t>
  </si>
  <si>
    <t>600768</t>
  </si>
  <si>
    <t>1996-11-11</t>
  </si>
  <si>
    <t>601969</t>
  </si>
  <si>
    <t>2014-12-09</t>
  </si>
  <si>
    <t>300059</t>
  </si>
  <si>
    <t>2010-03-19</t>
  </si>
  <si>
    <t>000153</t>
  </si>
  <si>
    <t>2000-09-20</t>
  </si>
  <si>
    <t>600109</t>
  </si>
  <si>
    <t>1997-08-07</t>
  </si>
  <si>
    <t>002577</t>
  </si>
  <si>
    <t>2011-04-28</t>
  </si>
  <si>
    <t>600360</t>
  </si>
  <si>
    <t>2001-03-16</t>
  </si>
  <si>
    <t>600668</t>
  </si>
  <si>
    <t>300255</t>
  </si>
  <si>
    <t>600278</t>
  </si>
  <si>
    <t>2000-07-12</t>
  </si>
  <si>
    <t>002213</t>
  </si>
  <si>
    <t>601677</t>
  </si>
  <si>
    <t>2011-09-19</t>
  </si>
  <si>
    <t>000561</t>
  </si>
  <si>
    <t>300020</t>
  </si>
  <si>
    <t>300267</t>
  </si>
  <si>
    <t>2011-09-27</t>
  </si>
  <si>
    <t>300671</t>
  </si>
  <si>
    <t>2017-07-05</t>
  </si>
  <si>
    <t>000975</t>
  </si>
  <si>
    <t>601567</t>
  </si>
  <si>
    <t>002322</t>
  </si>
  <si>
    <t>601919</t>
  </si>
  <si>
    <t>2007-06-26</t>
  </si>
  <si>
    <t>600990</t>
  </si>
  <si>
    <t>2004-05-10</t>
  </si>
  <si>
    <t>600425</t>
  </si>
  <si>
    <t>2003-07-24</t>
  </si>
  <si>
    <t>600336</t>
  </si>
  <si>
    <t>600316</t>
  </si>
  <si>
    <t>2000-12-15</t>
  </si>
  <si>
    <t>002548</t>
  </si>
  <si>
    <t>300571</t>
  </si>
  <si>
    <t>2016-12-13</t>
  </si>
  <si>
    <t>300225</t>
  </si>
  <si>
    <t>300138</t>
  </si>
  <si>
    <t>600232</t>
  </si>
  <si>
    <t>2000-06-02</t>
  </si>
  <si>
    <t>300231</t>
  </si>
  <si>
    <t>300029</t>
  </si>
  <si>
    <t>000756</t>
  </si>
  <si>
    <t>1997-08-06</t>
  </si>
  <si>
    <t>002727</t>
  </si>
  <si>
    <t>600512</t>
  </si>
  <si>
    <t>2002-12-26</t>
  </si>
  <si>
    <t>603111</t>
  </si>
  <si>
    <t>300304</t>
  </si>
  <si>
    <t>300095</t>
  </si>
  <si>
    <t>2010-07-28</t>
  </si>
  <si>
    <t>002203</t>
  </si>
  <si>
    <t>2008-01-16</t>
  </si>
  <si>
    <t>600792</t>
  </si>
  <si>
    <t>1997-01-23</t>
  </si>
  <si>
    <t>000936</t>
  </si>
  <si>
    <t>1999-08-10</t>
  </si>
  <si>
    <t>600716</t>
  </si>
  <si>
    <t>1996-07-02</t>
  </si>
  <si>
    <t>600609</t>
  </si>
  <si>
    <t>1992-07-24</t>
  </si>
  <si>
    <t>300110</t>
  </si>
  <si>
    <t>2010-08-25</t>
  </si>
  <si>
    <t>600208</t>
  </si>
  <si>
    <t>1999-06-23</t>
  </si>
  <si>
    <t>603233</t>
  </si>
  <si>
    <t>600846</t>
  </si>
  <si>
    <t>300168</t>
  </si>
  <si>
    <t>2011-01-25</t>
  </si>
  <si>
    <t>002809</t>
  </si>
  <si>
    <t>2016-08-23</t>
  </si>
  <si>
    <t>002104</t>
  </si>
  <si>
    <t>2007-01-10</t>
  </si>
  <si>
    <t>002647</t>
  </si>
  <si>
    <t>600727</t>
  </si>
  <si>
    <t>002484</t>
  </si>
  <si>
    <t>2010-09-29</t>
  </si>
  <si>
    <t>300270</t>
  </si>
  <si>
    <t>2011-10-12</t>
  </si>
  <si>
    <t>000045</t>
  </si>
  <si>
    <t>1994-08-15</t>
  </si>
  <si>
    <t>002207</t>
  </si>
  <si>
    <t>2008-01-28</t>
  </si>
  <si>
    <t>000920</t>
  </si>
  <si>
    <t>1999-06-16</t>
  </si>
  <si>
    <t>300218</t>
  </si>
  <si>
    <t>300427</t>
  </si>
  <si>
    <t>600501</t>
  </si>
  <si>
    <t>2001-06-15</t>
  </si>
  <si>
    <t>600993</t>
  </si>
  <si>
    <t>2004-05-17</t>
  </si>
  <si>
    <t>000657</t>
  </si>
  <si>
    <t>1996-12-05</t>
  </si>
  <si>
    <t>300308</t>
  </si>
  <si>
    <t>2012-04-10</t>
  </si>
  <si>
    <t>002416</t>
  </si>
  <si>
    <t>2010-05-28</t>
  </si>
  <si>
    <t>300689</t>
  </si>
  <si>
    <t>2017-08-09</t>
  </si>
  <si>
    <t>300503</t>
  </si>
  <si>
    <t>600059</t>
  </si>
  <si>
    <t>1997-05-16</t>
  </si>
  <si>
    <t>002905</t>
  </si>
  <si>
    <t>2017-10-16</t>
  </si>
  <si>
    <t>300443</t>
  </si>
  <si>
    <t>002515</t>
  </si>
  <si>
    <t>2010-12-03</t>
  </si>
  <si>
    <t>300239</t>
  </si>
  <si>
    <t>002664</t>
  </si>
  <si>
    <t>000069</t>
  </si>
  <si>
    <t>1997-09-10</t>
  </si>
  <si>
    <t>300032</t>
  </si>
  <si>
    <t>002192</t>
  </si>
  <si>
    <t>300581</t>
  </si>
  <si>
    <t>600735</t>
  </si>
  <si>
    <t>1996-07-26</t>
  </si>
  <si>
    <t>002728</t>
  </si>
  <si>
    <t>2014-07-31</t>
  </si>
  <si>
    <t>002732</t>
  </si>
  <si>
    <t>300016</t>
  </si>
  <si>
    <t>002510</t>
  </si>
  <si>
    <t>300699</t>
  </si>
  <si>
    <t>2017-09-01</t>
  </si>
  <si>
    <t>002545</t>
  </si>
  <si>
    <t>2011-02-11</t>
  </si>
  <si>
    <t>600359</t>
  </si>
  <si>
    <t>1999-04-29</t>
  </si>
  <si>
    <t>002673</t>
  </si>
  <si>
    <t>2012-05-03</t>
  </si>
  <si>
    <t>002274</t>
  </si>
  <si>
    <t>2008-09-25</t>
  </si>
  <si>
    <t>601968</t>
  </si>
  <si>
    <t>002262</t>
  </si>
  <si>
    <t>002298</t>
  </si>
  <si>
    <t>600285</t>
  </si>
  <si>
    <t>002232</t>
  </si>
  <si>
    <t>2008-05-09</t>
  </si>
  <si>
    <t>002340</t>
  </si>
  <si>
    <t>2010-01-22</t>
  </si>
  <si>
    <t>300380</t>
  </si>
  <si>
    <t>603227</t>
  </si>
  <si>
    <t>002593</t>
  </si>
  <si>
    <t>2011-06-28</t>
  </si>
  <si>
    <t>603368</t>
  </si>
  <si>
    <t>2014-12-04</t>
  </si>
  <si>
    <t>600079</t>
  </si>
  <si>
    <t>600161</t>
  </si>
  <si>
    <t>1998-06-16</t>
  </si>
  <si>
    <t>300557</t>
  </si>
  <si>
    <t>2016-11-01</t>
  </si>
  <si>
    <t>601688</t>
  </si>
  <si>
    <t>002390</t>
  </si>
  <si>
    <t>2010-04-16</t>
  </si>
  <si>
    <t>600222</t>
  </si>
  <si>
    <t>1999-11-05</t>
  </si>
  <si>
    <t>300602</t>
  </si>
  <si>
    <t>2017-01-26</t>
  </si>
  <si>
    <t>300498</t>
  </si>
  <si>
    <t>2015-11-02</t>
  </si>
  <si>
    <t>600284</t>
  </si>
  <si>
    <t>2004-03-16</t>
  </si>
  <si>
    <t>603638</t>
  </si>
  <si>
    <t>600135</t>
  </si>
  <si>
    <t>1998-01-22</t>
  </si>
  <si>
    <t>002478</t>
  </si>
  <si>
    <t>300279</t>
  </si>
  <si>
    <t>600819</t>
  </si>
  <si>
    <t>1994-01-28</t>
  </si>
  <si>
    <t>000576</t>
  </si>
  <si>
    <t>1994-09-07</t>
  </si>
  <si>
    <t>002699</t>
  </si>
  <si>
    <t>2012-09-11</t>
  </si>
  <si>
    <t>300592</t>
  </si>
  <si>
    <t>300404</t>
  </si>
  <si>
    <t>603338</t>
  </si>
  <si>
    <t>2015-03-25</t>
  </si>
  <si>
    <t>600238</t>
  </si>
  <si>
    <t>2000-01-20</t>
  </si>
  <si>
    <t>002343</t>
  </si>
  <si>
    <t>2010-01-26</t>
  </si>
  <si>
    <t>600233</t>
  </si>
  <si>
    <t>300321</t>
  </si>
  <si>
    <t>600678</t>
  </si>
  <si>
    <t>000089</t>
  </si>
  <si>
    <t>1998-04-20</t>
  </si>
  <si>
    <t>000875</t>
  </si>
  <si>
    <t>2002-09-26</t>
  </si>
  <si>
    <t>300208</t>
  </si>
  <si>
    <t>002415</t>
  </si>
  <si>
    <t>600038</t>
  </si>
  <si>
    <t>2000-12-18</t>
  </si>
  <si>
    <t>603803</t>
  </si>
  <si>
    <t>002222</t>
  </si>
  <si>
    <t>2008-03-19</t>
  </si>
  <si>
    <t>601798</t>
  </si>
  <si>
    <t>600996</t>
  </si>
  <si>
    <t>2016-12-26</t>
  </si>
  <si>
    <t>002522</t>
  </si>
  <si>
    <t>2010-12-10</t>
  </si>
  <si>
    <t>600391</t>
  </si>
  <si>
    <t>2001-12-12</t>
  </si>
  <si>
    <t>002544</t>
  </si>
  <si>
    <t>300183</t>
  </si>
  <si>
    <t>2011-02-22</t>
  </si>
  <si>
    <t>600970</t>
  </si>
  <si>
    <t>2005-04-12</t>
  </si>
  <si>
    <t>000850</t>
  </si>
  <si>
    <t>1998-10-07</t>
  </si>
  <si>
    <t>600249</t>
  </si>
  <si>
    <t>300428</t>
  </si>
  <si>
    <t>600648</t>
  </si>
  <si>
    <t>1993-05-04</t>
  </si>
  <si>
    <t>600548</t>
  </si>
  <si>
    <t>2001-12-25</t>
  </si>
  <si>
    <t>600006</t>
  </si>
  <si>
    <t>1999-07-27</t>
  </si>
  <si>
    <t>002363</t>
  </si>
  <si>
    <t>2010-03-05</t>
  </si>
  <si>
    <t>600883</t>
  </si>
  <si>
    <t>1995-12-08</t>
  </si>
  <si>
    <t>300268</t>
  </si>
  <si>
    <t>300021</t>
  </si>
  <si>
    <t>600719</t>
  </si>
  <si>
    <t>600436</t>
  </si>
  <si>
    <t>2003-06-16</t>
  </si>
  <si>
    <t>300166</t>
  </si>
  <si>
    <t>600000</t>
  </si>
  <si>
    <t>1999-11-10</t>
  </si>
  <si>
    <t>600313</t>
  </si>
  <si>
    <t>2001-01-19</t>
  </si>
  <si>
    <t>000078</t>
  </si>
  <si>
    <t>1998-12-18</t>
  </si>
  <si>
    <t>002088</t>
  </si>
  <si>
    <t>2006-11-30</t>
  </si>
  <si>
    <t>300650</t>
  </si>
  <si>
    <t>601008</t>
  </si>
  <si>
    <t>2007-04-26</t>
  </si>
  <si>
    <t>300710</t>
  </si>
  <si>
    <t>600252</t>
  </si>
  <si>
    <t>2000-11-30</t>
  </si>
  <si>
    <t>002572</t>
  </si>
  <si>
    <t>2011-04-12</t>
  </si>
  <si>
    <t>300545</t>
  </si>
  <si>
    <t>000062</t>
  </si>
  <si>
    <t>1997-01-30</t>
  </si>
  <si>
    <t>300708</t>
  </si>
  <si>
    <t>300630</t>
  </si>
  <si>
    <t>002302</t>
  </si>
  <si>
    <t>2009-11-03</t>
  </si>
  <si>
    <t>002601</t>
  </si>
  <si>
    <t>603090</t>
  </si>
  <si>
    <t>2016-08-31</t>
  </si>
  <si>
    <t>300520</t>
  </si>
  <si>
    <t>2016-07-08</t>
  </si>
  <si>
    <t>603168</t>
  </si>
  <si>
    <t>002162</t>
  </si>
  <si>
    <t>600325</t>
  </si>
  <si>
    <t>2004-02-25</t>
  </si>
  <si>
    <t>002631</t>
  </si>
  <si>
    <t>2011-11-11</t>
  </si>
  <si>
    <t>603377</t>
  </si>
  <si>
    <t>2016-02-05</t>
  </si>
  <si>
    <t>603199</t>
  </si>
  <si>
    <t>2015-03-26</t>
  </si>
  <si>
    <t>002443</t>
  </si>
  <si>
    <t>2010-07-06</t>
  </si>
  <si>
    <t>002880</t>
  </si>
  <si>
    <t>601375</t>
  </si>
  <si>
    <t>601212</t>
  </si>
  <si>
    <t>002381</t>
  </si>
  <si>
    <t>2010-04-02</t>
  </si>
  <si>
    <t>603002</t>
  </si>
  <si>
    <t>2012-05-18</t>
  </si>
  <si>
    <t>300616</t>
  </si>
  <si>
    <t>2017-03-07</t>
  </si>
  <si>
    <t>300155</t>
  </si>
  <si>
    <t>2011-01-07</t>
  </si>
  <si>
    <t>300348</t>
  </si>
  <si>
    <t>300483</t>
  </si>
  <si>
    <t>603399</t>
  </si>
  <si>
    <t>2012-08-24</t>
  </si>
  <si>
    <t>603818</t>
  </si>
  <si>
    <t>600775</t>
  </si>
  <si>
    <t>002401</t>
  </si>
  <si>
    <t>002449</t>
  </si>
  <si>
    <t>2010-07-16</t>
  </si>
  <si>
    <t>600153</t>
  </si>
  <si>
    <t>300122</t>
  </si>
  <si>
    <t>601111</t>
  </si>
  <si>
    <t>2006-08-18</t>
  </si>
  <si>
    <t>000403</t>
  </si>
  <si>
    <t>1996-06-28</t>
  </si>
  <si>
    <t>603366</t>
  </si>
  <si>
    <t>2012-05-21</t>
  </si>
  <si>
    <t>600217</t>
  </si>
  <si>
    <t>1999-12-16</t>
  </si>
  <si>
    <t>601218</t>
  </si>
  <si>
    <t>000055</t>
  </si>
  <si>
    <t>1996-04-15</t>
  </si>
  <si>
    <t>601858</t>
  </si>
  <si>
    <t>2017-01-18</t>
  </si>
  <si>
    <t>002369</t>
  </si>
  <si>
    <t>600323</t>
  </si>
  <si>
    <t>2000-12-25</t>
  </si>
  <si>
    <t>002083</t>
  </si>
  <si>
    <t>600060</t>
  </si>
  <si>
    <t>000996</t>
  </si>
  <si>
    <t>2000-07-18</t>
  </si>
  <si>
    <t>300193</t>
  </si>
  <si>
    <t>300103</t>
  </si>
  <si>
    <t>2010-08-12</t>
  </si>
  <si>
    <t>600273</t>
  </si>
  <si>
    <t>2003-06-27</t>
  </si>
  <si>
    <t>603987</t>
  </si>
  <si>
    <t>2016-11-21</t>
  </si>
  <si>
    <t>600111</t>
  </si>
  <si>
    <t>1997-09-24</t>
  </si>
  <si>
    <t>603906</t>
  </si>
  <si>
    <t>2017-04-10</t>
  </si>
  <si>
    <t>002244</t>
  </si>
  <si>
    <t>2008-05-29</t>
  </si>
  <si>
    <t>002165</t>
  </si>
  <si>
    <t>600397</t>
  </si>
  <si>
    <t>2002-07-02</t>
  </si>
  <si>
    <t>002393</t>
  </si>
  <si>
    <t>2010-04-23</t>
  </si>
  <si>
    <t>002158</t>
  </si>
  <si>
    <t>300106</t>
  </si>
  <si>
    <t>2010-08-20</t>
  </si>
  <si>
    <t>603855</t>
  </si>
  <si>
    <t>2017-05-24</t>
  </si>
  <si>
    <t>000058</t>
  </si>
  <si>
    <t>002074</t>
  </si>
  <si>
    <t>2006-10-18</t>
  </si>
  <si>
    <t>600118</t>
  </si>
  <si>
    <t>1997-09-08</t>
  </si>
  <si>
    <t>600389</t>
  </si>
  <si>
    <t>2001-01-10</t>
  </si>
  <si>
    <t>000801</t>
  </si>
  <si>
    <t>600476</t>
  </si>
  <si>
    <t>2003-12-10</t>
  </si>
  <si>
    <t>002440</t>
  </si>
  <si>
    <t>603060</t>
  </si>
  <si>
    <t>2016-11-09</t>
  </si>
  <si>
    <t>600287</t>
  </si>
  <si>
    <t>2000-09-01</t>
  </si>
  <si>
    <t>002107</t>
  </si>
  <si>
    <t>2007-01-24</t>
  </si>
  <si>
    <t>002205</t>
  </si>
  <si>
    <t>2008-01-23</t>
  </si>
  <si>
    <t>002174</t>
  </si>
  <si>
    <t>2007-09-25</t>
  </si>
  <si>
    <t>600839</t>
  </si>
  <si>
    <t>300254</t>
  </si>
  <si>
    <t>300045</t>
  </si>
  <si>
    <t>600926</t>
  </si>
  <si>
    <t>2016-10-27</t>
  </si>
  <si>
    <t>600644</t>
  </si>
  <si>
    <t>1993-04-26</t>
  </si>
  <si>
    <t>600064</t>
  </si>
  <si>
    <t>1997-05-06</t>
  </si>
  <si>
    <t>000788</t>
  </si>
  <si>
    <t>000096</t>
  </si>
  <si>
    <t>2000-07-24</t>
  </si>
  <si>
    <t>002829</t>
  </si>
  <si>
    <t>002840</t>
  </si>
  <si>
    <t>2017-01-10</t>
  </si>
  <si>
    <t>000768</t>
  </si>
  <si>
    <t>603538</t>
  </si>
  <si>
    <t>2017-04-07</t>
  </si>
  <si>
    <t>600861</t>
  </si>
  <si>
    <t>603839</t>
  </si>
  <si>
    <t>2017-02-14</t>
  </si>
  <si>
    <t>000990</t>
  </si>
  <si>
    <t>2000-07-06</t>
  </si>
  <si>
    <t>300479</t>
  </si>
  <si>
    <t>601989</t>
  </si>
  <si>
    <t>2009-12-16</t>
  </si>
  <si>
    <t>002025</t>
  </si>
  <si>
    <t>2004-07-26</t>
  </si>
  <si>
    <t>002233</t>
  </si>
  <si>
    <t>603556</t>
  </si>
  <si>
    <t>2016-11-10</t>
  </si>
  <si>
    <t>000851</t>
  </si>
  <si>
    <t>1998-06-09</t>
  </si>
  <si>
    <t>000544</t>
  </si>
  <si>
    <t>1993-12-08</t>
  </si>
  <si>
    <t>300091</t>
  </si>
  <si>
    <t>2010-06-25</t>
  </si>
  <si>
    <t>300381</t>
  </si>
  <si>
    <t>000999</t>
  </si>
  <si>
    <t>2000-03-09</t>
  </si>
  <si>
    <t>002915</t>
  </si>
  <si>
    <t>2017-12-05</t>
  </si>
  <si>
    <t>002745</t>
  </si>
  <si>
    <t>002507</t>
  </si>
  <si>
    <t>000582</t>
  </si>
  <si>
    <t>1995-11-02</t>
  </si>
  <si>
    <t>002906</t>
  </si>
  <si>
    <t>300215</t>
  </si>
  <si>
    <t>000591</t>
  </si>
  <si>
    <t>1996-02-08</t>
  </si>
  <si>
    <t>600193</t>
  </si>
  <si>
    <t>1999-05-27</t>
  </si>
  <si>
    <t>600115</t>
  </si>
  <si>
    <t>1997-11-05</t>
  </si>
  <si>
    <t>002146</t>
  </si>
  <si>
    <t>2007-08-08</t>
  </si>
  <si>
    <t>300329</t>
  </si>
  <si>
    <t>600877</t>
  </si>
  <si>
    <t>1995-10-13</t>
  </si>
  <si>
    <t>300206</t>
  </si>
  <si>
    <t>000048</t>
  </si>
  <si>
    <t>1994-11-01</t>
  </si>
  <si>
    <t>600871</t>
  </si>
  <si>
    <t>1995-04-11</t>
  </si>
  <si>
    <t>603936</t>
  </si>
  <si>
    <t>000532</t>
  </si>
  <si>
    <t>002636</t>
  </si>
  <si>
    <t>000656</t>
  </si>
  <si>
    <t>1996-11-28</t>
  </si>
  <si>
    <t>600567</t>
  </si>
  <si>
    <t>2001-12-18</t>
  </si>
  <si>
    <t>603885</t>
  </si>
  <si>
    <t>600764</t>
  </si>
  <si>
    <t>1996-11-04</t>
  </si>
  <si>
    <t>300657</t>
  </si>
  <si>
    <t>002020</t>
  </si>
  <si>
    <t>2004-07-15</t>
  </si>
  <si>
    <t>601211</t>
  </si>
  <si>
    <t>2015-06-26</t>
  </si>
  <si>
    <t>002493</t>
  </si>
  <si>
    <t>2010-11-02</t>
  </si>
  <si>
    <t>002666</t>
  </si>
  <si>
    <t>2012-03-27</t>
  </si>
  <si>
    <t>002860</t>
  </si>
  <si>
    <t>002347</t>
  </si>
  <si>
    <t>2010-01-28</t>
  </si>
  <si>
    <t>600192</t>
  </si>
  <si>
    <t>1998-12-24</t>
  </si>
  <si>
    <t>002140</t>
  </si>
  <si>
    <t>2007-07-12</t>
  </si>
  <si>
    <t>600268</t>
  </si>
  <si>
    <t>1999-11-18</t>
  </si>
  <si>
    <t>002238</t>
  </si>
  <si>
    <t>2008-05-26</t>
  </si>
  <si>
    <t>600742</t>
  </si>
  <si>
    <t>600197</t>
  </si>
  <si>
    <t>1999-09-16</t>
  </si>
  <si>
    <t>300080</t>
  </si>
  <si>
    <t>002091</t>
  </si>
  <si>
    <t>2006-12-08</t>
  </si>
  <si>
    <t>300056</t>
  </si>
  <si>
    <t>601678</t>
  </si>
  <si>
    <t>2010-02-23</t>
  </si>
  <si>
    <t>002263</t>
  </si>
  <si>
    <t>2008-07-28</t>
  </si>
  <si>
    <t>002760</t>
  </si>
  <si>
    <t>600823</t>
  </si>
  <si>
    <t>1994-02-04</t>
  </si>
  <si>
    <t>300165</t>
  </si>
  <si>
    <t>603488</t>
  </si>
  <si>
    <t>002128</t>
  </si>
  <si>
    <t>601225</t>
  </si>
  <si>
    <t>000610</t>
  </si>
  <si>
    <t>1996-09-26</t>
  </si>
  <si>
    <t>603777</t>
  </si>
  <si>
    <t>603218</t>
  </si>
  <si>
    <t>600679</t>
  </si>
  <si>
    <t>300017</t>
  </si>
  <si>
    <t>002730</t>
  </si>
  <si>
    <t>603003</t>
  </si>
  <si>
    <t>603041</t>
  </si>
  <si>
    <t>2017-03-30</t>
  </si>
  <si>
    <t>603181</t>
  </si>
  <si>
    <t>2017-08-24</t>
  </si>
  <si>
    <t>600475</t>
  </si>
  <si>
    <t>2003-07-21</t>
  </si>
  <si>
    <t>002879</t>
  </si>
  <si>
    <t>2017-07-07</t>
  </si>
  <si>
    <t>603708</t>
  </si>
  <si>
    <t>000519</t>
  </si>
  <si>
    <t>000652</t>
  </si>
  <si>
    <t>600343</t>
  </si>
  <si>
    <t>2003-04-08</t>
  </si>
  <si>
    <t>002284</t>
  </si>
  <si>
    <t>2009-08-28</t>
  </si>
  <si>
    <t>600395</t>
  </si>
  <si>
    <t>2001-05-31</t>
  </si>
  <si>
    <t>600976</t>
  </si>
  <si>
    <t>2004-04-19</t>
  </si>
  <si>
    <t>600575</t>
  </si>
  <si>
    <t>2003-03-28</t>
  </si>
  <si>
    <t>002725</t>
  </si>
  <si>
    <t>300725</t>
  </si>
  <si>
    <t>300442</t>
  </si>
  <si>
    <t>002670</t>
  </si>
  <si>
    <t>300078</t>
  </si>
  <si>
    <t>603167</t>
  </si>
  <si>
    <t>2012-09-06</t>
  </si>
  <si>
    <t>300158</t>
  </si>
  <si>
    <t>002151</t>
  </si>
  <si>
    <t>600107</t>
  </si>
  <si>
    <t>1997-11-06</t>
  </si>
  <si>
    <t>600185</t>
  </si>
  <si>
    <t>1999-06-11</t>
  </si>
  <si>
    <t>600321</t>
  </si>
  <si>
    <t>2001-05-24</t>
  </si>
  <si>
    <t>002300</t>
  </si>
  <si>
    <t>002819</t>
  </si>
  <si>
    <t>2016-11-11</t>
  </si>
  <si>
    <t>603178</t>
  </si>
  <si>
    <t>300470</t>
  </si>
  <si>
    <t>600919</t>
  </si>
  <si>
    <t>600986</t>
  </si>
  <si>
    <t>2004-04-26</t>
  </si>
  <si>
    <t>603667</t>
  </si>
  <si>
    <t>600868</t>
  </si>
  <si>
    <t>1994-09-12</t>
  </si>
  <si>
    <t>002824</t>
  </si>
  <si>
    <t>2017-01-12</t>
  </si>
  <si>
    <t>002455</t>
  </si>
  <si>
    <t>603879</t>
  </si>
  <si>
    <t>2017-06-14</t>
  </si>
  <si>
    <t>600346</t>
  </si>
  <si>
    <t>2001-08-20</t>
  </si>
  <si>
    <t>300293</t>
  </si>
  <si>
    <t>2012-03-08</t>
  </si>
  <si>
    <t>600746</t>
  </si>
  <si>
    <t>1996-09-18</t>
  </si>
  <si>
    <t>600988</t>
  </si>
  <si>
    <t>2004-04-14</t>
  </si>
  <si>
    <t>603607</t>
  </si>
  <si>
    <t>002200</t>
  </si>
  <si>
    <t>2007-12-21</t>
  </si>
  <si>
    <t>300521</t>
  </si>
  <si>
    <t>2016-07-05</t>
  </si>
  <si>
    <t>000777</t>
  </si>
  <si>
    <t>1997-07-10</t>
  </si>
  <si>
    <t>603078</t>
  </si>
  <si>
    <t>002512</t>
  </si>
  <si>
    <t>601789</t>
  </si>
  <si>
    <t>2011-08-16</t>
  </si>
  <si>
    <t>000155</t>
  </si>
  <si>
    <t>603606</t>
  </si>
  <si>
    <t>2014-10-15</t>
  </si>
  <si>
    <t>002740</t>
  </si>
  <si>
    <t>002027</t>
  </si>
  <si>
    <t>2004-08-04</t>
  </si>
  <si>
    <t>002526</t>
  </si>
  <si>
    <t>600151</t>
  </si>
  <si>
    <t>1998-06-05</t>
  </si>
  <si>
    <t>600058</t>
  </si>
  <si>
    <t>601595</t>
  </si>
  <si>
    <t>2016-08-17</t>
  </si>
  <si>
    <t>600603</t>
  </si>
  <si>
    <t>1992-01-13</t>
  </si>
  <si>
    <t>002918</t>
  </si>
  <si>
    <t>2017-12-19</t>
  </si>
  <si>
    <t>600298</t>
  </si>
  <si>
    <t>2000-08-18</t>
  </si>
  <si>
    <t>300131</t>
  </si>
  <si>
    <t>002532</t>
  </si>
  <si>
    <t>300248</t>
  </si>
  <si>
    <t>2011-07-29</t>
  </si>
  <si>
    <t>002362</t>
  </si>
  <si>
    <t>2010-03-03</t>
  </si>
  <si>
    <t>300402</t>
  </si>
  <si>
    <t>601117</t>
  </si>
  <si>
    <t>2010-01-07</t>
  </si>
  <si>
    <t>002251</t>
  </si>
  <si>
    <t>002665</t>
  </si>
  <si>
    <t>002166</t>
  </si>
  <si>
    <t>300274</t>
  </si>
  <si>
    <t>600721</t>
  </si>
  <si>
    <t>000630</t>
  </si>
  <si>
    <t>1996-11-20</t>
  </si>
  <si>
    <t>300595</t>
  </si>
  <si>
    <t>2017-01-17</t>
  </si>
  <si>
    <t>600639</t>
  </si>
  <si>
    <t>1993-03-26</t>
  </si>
  <si>
    <t>000703</t>
  </si>
  <si>
    <t>002755</t>
  </si>
  <si>
    <t>300388</t>
  </si>
  <si>
    <t>000906</t>
  </si>
  <si>
    <t>600020</t>
  </si>
  <si>
    <t>2003-08-08</t>
  </si>
  <si>
    <t>300373</t>
  </si>
  <si>
    <t>601116</t>
  </si>
  <si>
    <t>600328</t>
  </si>
  <si>
    <t>2000-12-22</t>
  </si>
  <si>
    <t>600066</t>
  </si>
  <si>
    <t>1997-05-08</t>
  </si>
  <si>
    <t>603979</t>
  </si>
  <si>
    <t>603711</t>
  </si>
  <si>
    <t>2017-11-30</t>
  </si>
  <si>
    <t>600778</t>
  </si>
  <si>
    <t>1996-12-03</t>
  </si>
  <si>
    <t>002397</t>
  </si>
  <si>
    <t>002698</t>
  </si>
  <si>
    <t>002420</t>
  </si>
  <si>
    <t>2010-06-01</t>
  </si>
  <si>
    <t>600310</t>
  </si>
  <si>
    <t>2001-02-28</t>
  </si>
  <si>
    <t>603588</t>
  </si>
  <si>
    <t>601999</t>
  </si>
  <si>
    <t>300092</t>
  </si>
  <si>
    <t>603127</t>
  </si>
  <si>
    <t>2017-08-25</t>
  </si>
  <si>
    <t>300582</t>
  </si>
  <si>
    <t>002693</t>
  </si>
  <si>
    <t>000027</t>
  </si>
  <si>
    <t>1993-09-03</t>
  </si>
  <si>
    <t>002338</t>
  </si>
  <si>
    <t>2010-01-15</t>
  </si>
  <si>
    <t>002404</t>
  </si>
  <si>
    <t>002868</t>
  </si>
  <si>
    <t>002815</t>
  </si>
  <si>
    <t>002361</t>
  </si>
  <si>
    <t>002407</t>
  </si>
  <si>
    <t>2010-05-18</t>
  </si>
  <si>
    <t>000538</t>
  </si>
  <si>
    <t>1993-12-15</t>
  </si>
  <si>
    <t>300139</t>
  </si>
  <si>
    <t>603966</t>
  </si>
  <si>
    <t>002249</t>
  </si>
  <si>
    <t>601216</t>
  </si>
  <si>
    <t>600295</t>
  </si>
  <si>
    <t>2001-04-26</t>
  </si>
  <si>
    <t>000913</t>
  </si>
  <si>
    <t>600513</t>
  </si>
  <si>
    <t>2003-03-19</t>
  </si>
  <si>
    <t>603316</t>
  </si>
  <si>
    <t>2017-06-19</t>
  </si>
  <si>
    <t>603277</t>
  </si>
  <si>
    <t>2017-09-11</t>
  </si>
  <si>
    <t>002454</t>
  </si>
  <si>
    <t>600826</t>
  </si>
  <si>
    <t>600188</t>
  </si>
  <si>
    <t>1998-07-01</t>
  </si>
  <si>
    <t>300549</t>
  </si>
  <si>
    <t>002778</t>
  </si>
  <si>
    <t>2016-01-06</t>
  </si>
  <si>
    <t>002539</t>
  </si>
  <si>
    <t>600825</t>
  </si>
  <si>
    <t>300446</t>
  </si>
  <si>
    <t>600563</t>
  </si>
  <si>
    <t>2002-12-10</t>
  </si>
  <si>
    <t>300253</t>
  </si>
  <si>
    <t>2011-08-18</t>
  </si>
  <si>
    <t>300065</t>
  </si>
  <si>
    <t>002550</t>
  </si>
  <si>
    <t>300561</t>
  </si>
  <si>
    <t>2016-11-17</t>
  </si>
  <si>
    <t>002022</t>
  </si>
  <si>
    <t>2004-07-21</t>
  </si>
  <si>
    <t>000035</t>
  </si>
  <si>
    <t>601818</t>
  </si>
  <si>
    <t>600642</t>
  </si>
  <si>
    <t>1993-04-16</t>
  </si>
  <si>
    <t>600863</t>
  </si>
  <si>
    <t>603500</t>
  </si>
  <si>
    <t>2017-09-04</t>
  </si>
  <si>
    <t>300518</t>
  </si>
  <si>
    <t>2016-06-24</t>
  </si>
  <si>
    <t>603166</t>
  </si>
  <si>
    <t>2014-11-27</t>
  </si>
  <si>
    <t>300419</t>
  </si>
  <si>
    <t>300530</t>
  </si>
  <si>
    <t>2016-08-09</t>
  </si>
  <si>
    <t>300596</t>
  </si>
  <si>
    <t>601965</t>
  </si>
  <si>
    <t>2012-06-11</t>
  </si>
  <si>
    <t>300023</t>
  </si>
  <si>
    <t>000685</t>
  </si>
  <si>
    <t>002595</t>
  </si>
  <si>
    <t>002468</t>
  </si>
  <si>
    <t>2010-09-08</t>
  </si>
  <si>
    <t>300039</t>
  </si>
  <si>
    <t>603100</t>
  </si>
  <si>
    <t>2014-08-05</t>
  </si>
  <si>
    <t>002506</t>
  </si>
  <si>
    <t>2010-11-18</t>
  </si>
  <si>
    <t>300096</t>
  </si>
  <si>
    <t>600139</t>
  </si>
  <si>
    <t>1998-02-25</t>
  </si>
  <si>
    <t>601588</t>
  </si>
  <si>
    <t>2006-10-16</t>
  </si>
  <si>
    <t>603822</t>
  </si>
  <si>
    <t>2016-04-28</t>
  </si>
  <si>
    <t>002604</t>
  </si>
  <si>
    <t>2011-07-28</t>
  </si>
  <si>
    <t>300109</t>
  </si>
  <si>
    <t>603226</t>
  </si>
  <si>
    <t>2017-06-15</t>
  </si>
  <si>
    <t>300540</t>
  </si>
  <si>
    <t>000779</t>
  </si>
  <si>
    <t>002645</t>
  </si>
  <si>
    <t>300622</t>
  </si>
  <si>
    <t>000007</t>
  </si>
  <si>
    <t>1992-04-13</t>
  </si>
  <si>
    <t>603006</t>
  </si>
  <si>
    <t>2014-06-30</t>
  </si>
  <si>
    <t>000761</t>
  </si>
  <si>
    <t>1998-01-15</t>
  </si>
  <si>
    <t>600995</t>
  </si>
  <si>
    <t>2004-06-15</t>
  </si>
  <si>
    <t>600620</t>
  </si>
  <si>
    <t>1992-11-17</t>
  </si>
  <si>
    <t>601689</t>
  </si>
  <si>
    <t>600152</t>
  </si>
  <si>
    <t>603636</t>
  </si>
  <si>
    <t>2014-12-30</t>
  </si>
  <si>
    <t>603800</t>
  </si>
  <si>
    <t>600538</t>
  </si>
  <si>
    <t>2003-01-14</t>
  </si>
  <si>
    <t>603128</t>
  </si>
  <si>
    <t>2012-05-29</t>
  </si>
  <si>
    <t>000546</t>
  </si>
  <si>
    <t>603977</t>
  </si>
  <si>
    <t>002651</t>
  </si>
  <si>
    <t>002406</t>
  </si>
  <si>
    <t>300508</t>
  </si>
  <si>
    <t>2016-04-19</t>
  </si>
  <si>
    <t>300042</t>
  </si>
  <si>
    <t>600626</t>
  </si>
  <si>
    <t>1993-01-07</t>
  </si>
  <si>
    <t>002447</t>
  </si>
  <si>
    <t>2010-07-13</t>
  </si>
  <si>
    <t>600390</t>
  </si>
  <si>
    <t>2001-01-15</t>
  </si>
  <si>
    <t>600759</t>
  </si>
  <si>
    <t>1996-10-08</t>
  </si>
  <si>
    <t>600358</t>
  </si>
  <si>
    <t>300169</t>
  </si>
  <si>
    <t>600822</t>
  </si>
  <si>
    <t>002751</t>
  </si>
  <si>
    <t>603699</t>
  </si>
  <si>
    <t>2014-01-17</t>
  </si>
  <si>
    <t>603123</t>
  </si>
  <si>
    <t>600105</t>
  </si>
  <si>
    <t>1997-09-29</t>
  </si>
  <si>
    <t>300615</t>
  </si>
  <si>
    <t>300662</t>
  </si>
  <si>
    <t>002304</t>
  </si>
  <si>
    <t>2009-11-06</t>
  </si>
  <si>
    <t>600099</t>
  </si>
  <si>
    <t>1997-07-04</t>
  </si>
  <si>
    <t>300580</t>
  </si>
  <si>
    <t>300111</t>
  </si>
  <si>
    <t>002217</t>
  </si>
  <si>
    <t>603968</t>
  </si>
  <si>
    <t>601168</t>
  </si>
  <si>
    <t>601717</t>
  </si>
  <si>
    <t>002202</t>
  </si>
  <si>
    <t>300357</t>
  </si>
  <si>
    <t>600576</t>
  </si>
  <si>
    <t>2003-02-20</t>
  </si>
  <si>
    <t>002392</t>
  </si>
  <si>
    <t>603789</t>
  </si>
  <si>
    <t>2015-04-27</t>
  </si>
  <si>
    <t>600170</t>
  </si>
  <si>
    <t>1998-06-23</t>
  </si>
  <si>
    <t>603993</t>
  </si>
  <si>
    <t>600055</t>
  </si>
  <si>
    <t>600848</t>
  </si>
  <si>
    <t>300678</t>
  </si>
  <si>
    <t>300140</t>
  </si>
  <si>
    <t>603960</t>
  </si>
  <si>
    <t>2017-03-14</t>
  </si>
  <si>
    <t>600184</t>
  </si>
  <si>
    <t>2003-11-06</t>
  </si>
  <si>
    <t>300457</t>
  </si>
  <si>
    <t>2015-05-14</t>
  </si>
  <si>
    <t>603577</t>
  </si>
  <si>
    <t>2016-12-22</t>
  </si>
  <si>
    <t>300105</t>
  </si>
  <si>
    <t>600875</t>
  </si>
  <si>
    <t>1995-10-10</t>
  </si>
  <si>
    <t>000039</t>
  </si>
  <si>
    <t>601336</t>
  </si>
  <si>
    <t>2011-12-16</t>
  </si>
  <si>
    <t>600452</t>
  </si>
  <si>
    <t>2004-03-03</t>
  </si>
  <si>
    <t>600604</t>
  </si>
  <si>
    <t>300081</t>
  </si>
  <si>
    <t>603826</t>
  </si>
  <si>
    <t>2017-04-14</t>
  </si>
  <si>
    <t>300606</t>
  </si>
  <si>
    <t>300154</t>
  </si>
  <si>
    <t>600110</t>
  </si>
  <si>
    <t>1997-10-07</t>
  </si>
  <si>
    <t>600647</t>
  </si>
  <si>
    <t>000025</t>
  </si>
  <si>
    <t>1993-06-21</t>
  </si>
  <si>
    <t>300213</t>
  </si>
  <si>
    <t>300555</t>
  </si>
  <si>
    <t>300589</t>
  </si>
  <si>
    <t>300706</t>
  </si>
  <si>
    <t>300018</t>
  </si>
  <si>
    <t>002888</t>
  </si>
  <si>
    <t>2017-07-21</t>
  </si>
  <si>
    <t>600168</t>
  </si>
  <si>
    <t>002668</t>
  </si>
  <si>
    <t>603179</t>
  </si>
  <si>
    <t>300250</t>
  </si>
  <si>
    <t>600900</t>
  </si>
  <si>
    <t>2003-11-18</t>
  </si>
  <si>
    <t>600830</t>
  </si>
  <si>
    <t>600802</t>
  </si>
  <si>
    <t>600511</t>
  </si>
  <si>
    <t>2002-11-27</t>
  </si>
  <si>
    <t>603289</t>
  </si>
  <si>
    <t>2017-10-31</t>
  </si>
  <si>
    <t>600035</t>
  </si>
  <si>
    <t>2004-03-10</t>
  </si>
  <si>
    <t>002179</t>
  </si>
  <si>
    <t>002269</t>
  </si>
  <si>
    <t>2008-08-28</t>
  </si>
  <si>
    <t>600098</t>
  </si>
  <si>
    <t>600711</t>
  </si>
  <si>
    <t>1996-05-31</t>
  </si>
  <si>
    <t>300424</t>
  </si>
  <si>
    <t>603180</t>
  </si>
  <si>
    <t>2017-05-12</t>
  </si>
  <si>
    <t>002738</t>
  </si>
  <si>
    <t>000061</t>
  </si>
  <si>
    <t>1997-01-10</t>
  </si>
  <si>
    <t>002132</t>
  </si>
  <si>
    <t>300074</t>
  </si>
  <si>
    <t>2010-04-27</t>
  </si>
  <si>
    <t>603011</t>
  </si>
  <si>
    <t>2014-11-07</t>
  </si>
  <si>
    <t>603328</t>
  </si>
  <si>
    <t>2014-07-01</t>
  </si>
  <si>
    <t>300625</t>
  </si>
  <si>
    <t>000005</t>
  </si>
  <si>
    <t>1990-12-10</t>
  </si>
  <si>
    <t>600770</t>
  </si>
  <si>
    <t>600403</t>
  </si>
  <si>
    <t>2003-10-09</t>
  </si>
  <si>
    <t>000729</t>
  </si>
  <si>
    <t>1997-07-16</t>
  </si>
  <si>
    <t>002759</t>
  </si>
  <si>
    <t>600406</t>
  </si>
  <si>
    <t>2003-10-16</t>
  </si>
  <si>
    <t>600405</t>
  </si>
  <si>
    <t>2004-04-01</t>
  </si>
  <si>
    <t>001979</t>
  </si>
  <si>
    <t>2015-12-30</t>
  </si>
  <si>
    <t>002197</t>
  </si>
  <si>
    <t>2007-12-18</t>
  </si>
  <si>
    <t>002352</t>
  </si>
  <si>
    <t>600633</t>
  </si>
  <si>
    <t>1993-03-04</t>
  </si>
  <si>
    <t>600428</t>
  </si>
  <si>
    <t>2002-04-18</t>
  </si>
  <si>
    <t>002483</t>
  </si>
  <si>
    <t>601360</t>
  </si>
  <si>
    <t>2012-01-16</t>
  </si>
  <si>
    <t>300295</t>
  </si>
  <si>
    <t>2012-03-15</t>
  </si>
  <si>
    <t>300707</t>
  </si>
  <si>
    <t>2017-10-10</t>
  </si>
  <si>
    <t>601007</t>
  </si>
  <si>
    <t>2007-04-06</t>
  </si>
  <si>
    <t>603321</t>
  </si>
  <si>
    <t>2017-09-15</t>
  </si>
  <si>
    <t>600737</t>
  </si>
  <si>
    <t>1996-07-31</t>
  </si>
  <si>
    <t>600829</t>
  </si>
  <si>
    <t>601226</t>
  </si>
  <si>
    <t>2014-12-11</t>
  </si>
  <si>
    <t>000922</t>
  </si>
  <si>
    <t>1999-06-18</t>
  </si>
  <si>
    <t>600605</t>
  </si>
  <si>
    <t>000623</t>
  </si>
  <si>
    <t>1996-10-28</t>
  </si>
  <si>
    <t>300719</t>
  </si>
  <si>
    <t>2017-11-09</t>
  </si>
  <si>
    <t>002375</t>
  </si>
  <si>
    <t>2010-03-23</t>
  </si>
  <si>
    <t>000521</t>
  </si>
  <si>
    <t>1993-10-18</t>
  </si>
  <si>
    <t>000692</t>
  </si>
  <si>
    <t>1997-02-27</t>
  </si>
  <si>
    <t>600083</t>
  </si>
  <si>
    <t>600243</t>
  </si>
  <si>
    <t>2000-11-20</t>
  </si>
  <si>
    <t>002446</t>
  </si>
  <si>
    <t>300126</t>
  </si>
  <si>
    <t>601107</t>
  </si>
  <si>
    <t>2009-07-27</t>
  </si>
  <si>
    <t>000566</t>
  </si>
  <si>
    <t>1994-05-25</t>
  </si>
  <si>
    <t>002224</t>
  </si>
  <si>
    <t>600705</t>
  </si>
  <si>
    <t>1996-05-16</t>
  </si>
  <si>
    <t>600365</t>
  </si>
  <si>
    <t>600281</t>
  </si>
  <si>
    <t>2000-11-09</t>
  </si>
  <si>
    <t>600320</t>
  </si>
  <si>
    <t>000551</t>
  </si>
  <si>
    <t>300569</t>
  </si>
  <si>
    <t>2016-11-25</t>
  </si>
  <si>
    <t>000598</t>
  </si>
  <si>
    <t>1996-05-29</t>
  </si>
  <si>
    <t>600302</t>
  </si>
  <si>
    <t>2000-12-13</t>
  </si>
  <si>
    <t>300715</t>
  </si>
  <si>
    <t>2017-10-26</t>
  </si>
  <si>
    <t>002622</t>
  </si>
  <si>
    <t>2011-10-18</t>
  </si>
  <si>
    <t>600896</t>
  </si>
  <si>
    <t>1996-05-03</t>
  </si>
  <si>
    <t>300517</t>
  </si>
  <si>
    <t>2016-07-19</t>
  </si>
  <si>
    <t>600267</t>
  </si>
  <si>
    <t>2000-07-25</t>
  </si>
  <si>
    <t>002566</t>
  </si>
  <si>
    <t>600166</t>
  </si>
  <si>
    <t>600821</t>
  </si>
  <si>
    <t>600201</t>
  </si>
  <si>
    <t>1999-01-15</t>
  </si>
  <si>
    <t>603527</t>
  </si>
  <si>
    <t>300466</t>
  </si>
  <si>
    <t>000803</t>
  </si>
  <si>
    <t>000962</t>
  </si>
  <si>
    <t>600704</t>
  </si>
  <si>
    <t>1996-06-06</t>
  </si>
  <si>
    <t>000925</t>
  </si>
  <si>
    <t>002663</t>
  </si>
  <si>
    <t>600843</t>
  </si>
  <si>
    <t>300717</t>
  </si>
  <si>
    <t>600643</t>
  </si>
  <si>
    <t>300677</t>
  </si>
  <si>
    <t>601018</t>
  </si>
  <si>
    <t>300294</t>
  </si>
  <si>
    <t>000751</t>
  </si>
  <si>
    <t>002781</t>
  </si>
  <si>
    <t>2015-12-22</t>
  </si>
  <si>
    <t>600292</t>
  </si>
  <si>
    <t>2000-11-01</t>
  </si>
  <si>
    <t>300563</t>
  </si>
  <si>
    <t>2016-11-14</t>
  </si>
  <si>
    <t>600533</t>
  </si>
  <si>
    <t>2002-03-28</t>
  </si>
  <si>
    <t>600050</t>
  </si>
  <si>
    <t>2002-10-09</t>
  </si>
  <si>
    <t>600835</t>
  </si>
  <si>
    <t>300667</t>
  </si>
  <si>
    <t>002611</t>
  </si>
  <si>
    <t>2011-08-30</t>
  </si>
  <si>
    <t>600470</t>
  </si>
  <si>
    <t>2004-03-05</t>
  </si>
  <si>
    <t>600190</t>
  </si>
  <si>
    <t>1999-06-09</t>
  </si>
  <si>
    <t>000528</t>
  </si>
  <si>
    <t>600234</t>
  </si>
  <si>
    <t>2000-06-15</t>
  </si>
  <si>
    <t>600526</t>
  </si>
  <si>
    <t>2002-07-22</t>
  </si>
  <si>
    <t>603030</t>
  </si>
  <si>
    <t>002116</t>
  </si>
  <si>
    <t>2007-02-15</t>
  </si>
  <si>
    <t>603955</t>
  </si>
  <si>
    <t>2017-03-10</t>
  </si>
  <si>
    <t>600886</t>
  </si>
  <si>
    <t>1996-01-18</t>
  </si>
  <si>
    <t>000065</t>
  </si>
  <si>
    <t>600178</t>
  </si>
  <si>
    <t>1998-10-14</t>
  </si>
  <si>
    <t>600077</t>
  </si>
  <si>
    <t>1997-05-20</t>
  </si>
  <si>
    <t>002378</t>
  </si>
  <si>
    <t>002833</t>
  </si>
  <si>
    <t>601939</t>
  </si>
  <si>
    <t>603668</t>
  </si>
  <si>
    <t>600502</t>
  </si>
  <si>
    <t>2003-04-15</t>
  </si>
  <si>
    <t>002246</t>
  </si>
  <si>
    <t>2008-06-05</t>
  </si>
  <si>
    <t>603165</t>
  </si>
  <si>
    <t>002405</t>
  </si>
  <si>
    <t>300611</t>
  </si>
  <si>
    <t>002441</t>
  </si>
  <si>
    <t>000883</t>
  </si>
  <si>
    <t>1998-05-19</t>
  </si>
  <si>
    <t>600865</t>
  </si>
  <si>
    <t>600435</t>
  </si>
  <si>
    <t>2003-07-04</t>
  </si>
  <si>
    <t>600315</t>
  </si>
  <si>
    <t>2001-03-15</t>
  </si>
  <si>
    <t>000088</t>
  </si>
  <si>
    <t>1997-07-28</t>
  </si>
  <si>
    <t>601998</t>
  </si>
  <si>
    <t>002743</t>
  </si>
  <si>
    <t>600598</t>
  </si>
  <si>
    <t>2002-03-29</t>
  </si>
  <si>
    <t>300297</t>
  </si>
  <si>
    <t>000417</t>
  </si>
  <si>
    <t>1996-08-12</t>
  </si>
  <si>
    <t>002163</t>
  </si>
  <si>
    <t>603829</t>
  </si>
  <si>
    <t>2017-10-17</t>
  </si>
  <si>
    <t>002023</t>
  </si>
  <si>
    <t>002549</t>
  </si>
  <si>
    <t>300026</t>
  </si>
  <si>
    <t>600386</t>
  </si>
  <si>
    <t>2001-02-16</t>
  </si>
  <si>
    <t>000950</t>
  </si>
  <si>
    <t>002746</t>
  </si>
  <si>
    <t>2015-02-16</t>
  </si>
  <si>
    <t>300617</t>
  </si>
  <si>
    <t>2017-02-28</t>
  </si>
  <si>
    <t>002533</t>
  </si>
  <si>
    <t>601238</t>
  </si>
  <si>
    <t>002095</t>
  </si>
  <si>
    <t>2006-12-15</t>
  </si>
  <si>
    <t>600682</t>
  </si>
  <si>
    <t>002615</t>
  </si>
  <si>
    <t>2011-09-09</t>
  </si>
  <si>
    <t>300553</t>
  </si>
  <si>
    <t>002178</t>
  </si>
  <si>
    <t>600674</t>
  </si>
  <si>
    <t>1993-09-24</t>
  </si>
  <si>
    <t>601666</t>
  </si>
  <si>
    <t>2006-11-23</t>
  </si>
  <si>
    <t>600606</t>
  </si>
  <si>
    <t>000617</t>
  </si>
  <si>
    <t>1996-10-22</t>
  </si>
  <si>
    <t>300612</t>
  </si>
  <si>
    <t>600694</t>
  </si>
  <si>
    <t>300511</t>
  </si>
  <si>
    <t>2016-05-04</t>
  </si>
  <si>
    <t>600176</t>
  </si>
  <si>
    <t>1999-04-22</t>
  </si>
  <si>
    <t>601866</t>
  </si>
  <si>
    <t>2007-12-12</t>
  </si>
  <si>
    <t>002562</t>
  </si>
  <si>
    <t>2011-03-10</t>
  </si>
  <si>
    <t>600962</t>
  </si>
  <si>
    <t>2004-06-22</t>
  </si>
  <si>
    <t>600377</t>
  </si>
  <si>
    <t>2001-01-16</t>
  </si>
  <si>
    <t>600618</t>
  </si>
  <si>
    <t>1992-11-13</t>
  </si>
  <si>
    <t>300584</t>
  </si>
  <si>
    <t>000420</t>
  </si>
  <si>
    <t>600196</t>
  </si>
  <si>
    <t>1998-08-07</t>
  </si>
  <si>
    <t>603896</t>
  </si>
  <si>
    <t>2017-05-10</t>
  </si>
  <si>
    <t>603012</t>
  </si>
  <si>
    <t>002357</t>
  </si>
  <si>
    <t>2010-02-10</t>
  </si>
  <si>
    <t>002184</t>
  </si>
  <si>
    <t>603528</t>
  </si>
  <si>
    <t>2016-05-03</t>
  </si>
  <si>
    <t>603557</t>
  </si>
  <si>
    <t>002303</t>
  </si>
  <si>
    <t>300128</t>
  </si>
  <si>
    <t>603701</t>
  </si>
  <si>
    <t>2016-04-12</t>
  </si>
  <si>
    <t>002422</t>
  </si>
  <si>
    <t>2010-06-03</t>
  </si>
  <si>
    <t>300515</t>
  </si>
  <si>
    <t>000650</t>
  </si>
  <si>
    <t>1996-12-10</t>
  </si>
  <si>
    <t>600724</t>
  </si>
  <si>
    <t>600510</t>
  </si>
  <si>
    <t>2002-06-18</t>
  </si>
  <si>
    <t>300631</t>
  </si>
  <si>
    <t>2017-03-23</t>
  </si>
  <si>
    <t>600595</t>
  </si>
  <si>
    <t>2002-06-26</t>
  </si>
  <si>
    <t>603331</t>
  </si>
  <si>
    <t>300236</t>
  </si>
  <si>
    <t>000619</t>
  </si>
  <si>
    <t>1996-10-23</t>
  </si>
  <si>
    <t>002444</t>
  </si>
  <si>
    <t>603099</t>
  </si>
  <si>
    <t>2014-08-22</t>
  </si>
  <si>
    <t>300040</t>
  </si>
  <si>
    <t>603860</t>
  </si>
  <si>
    <t>300629</t>
  </si>
  <si>
    <t>2017-03-24</t>
  </si>
  <si>
    <t>002837</t>
  </si>
  <si>
    <t>603086</t>
  </si>
  <si>
    <t>2017-05-11</t>
  </si>
  <si>
    <t>600615</t>
  </si>
  <si>
    <t>1992-09-10</t>
  </si>
  <si>
    <t>000900</t>
  </si>
  <si>
    <t>002582</t>
  </si>
  <si>
    <t>600317</t>
  </si>
  <si>
    <t>2002-01-31</t>
  </si>
  <si>
    <t>300623</t>
  </si>
  <si>
    <t>600301</t>
  </si>
  <si>
    <t>300676</t>
  </si>
  <si>
    <t>2017-07-14</t>
  </si>
  <si>
    <t>603817</t>
  </si>
  <si>
    <t>600760</t>
  </si>
  <si>
    <t>002272</t>
  </si>
  <si>
    <t>600340</t>
  </si>
  <si>
    <t>2003-12-30</t>
  </si>
  <si>
    <t>600149</t>
  </si>
  <si>
    <t>1999-10-14</t>
  </si>
  <si>
    <t>600326</t>
  </si>
  <si>
    <t>600158</t>
  </si>
  <si>
    <t>1998-03-27</t>
  </si>
  <si>
    <t>002859</t>
  </si>
  <si>
    <t>300245</t>
  </si>
  <si>
    <t>600818</t>
  </si>
  <si>
    <t>300008</t>
  </si>
  <si>
    <t>600376</t>
  </si>
  <si>
    <t>2001-03-12</t>
  </si>
  <si>
    <t>000960</t>
  </si>
  <si>
    <t>2000-02-21</t>
  </si>
  <si>
    <t>600851</t>
  </si>
  <si>
    <t>1994-04-04</t>
  </si>
  <si>
    <t>600279</t>
  </si>
  <si>
    <t>300546</t>
  </si>
  <si>
    <t>000983</t>
  </si>
  <si>
    <t>2000-07-26</t>
  </si>
  <si>
    <t>002554</t>
  </si>
  <si>
    <t>300672</t>
  </si>
  <si>
    <t>2017-07-12</t>
  </si>
  <si>
    <t>300320</t>
  </si>
  <si>
    <t>2012-06-01</t>
  </si>
  <si>
    <t>603083</t>
  </si>
  <si>
    <t>300009</t>
  </si>
  <si>
    <t>002616</t>
  </si>
  <si>
    <t>601398</t>
  </si>
  <si>
    <t>2006-10-27</t>
  </si>
  <si>
    <t>002150</t>
  </si>
  <si>
    <t>000722</t>
  </si>
  <si>
    <t>1997-05-22</t>
  </si>
  <si>
    <t>002055</t>
  </si>
  <si>
    <t>2006-07-25</t>
  </si>
  <si>
    <t>600540</t>
  </si>
  <si>
    <t>2004-01-07</t>
  </si>
  <si>
    <t>300731</t>
  </si>
  <si>
    <t>2017-12-08</t>
  </si>
  <si>
    <t>300031</t>
  </si>
  <si>
    <t>002703</t>
  </si>
  <si>
    <t>2012-11-02</t>
  </si>
  <si>
    <t>002519</t>
  </si>
  <si>
    <t>603043</t>
  </si>
  <si>
    <t>002015</t>
  </si>
  <si>
    <t>600879</t>
  </si>
  <si>
    <t>1995-11-15</t>
  </si>
  <si>
    <t>300593</t>
  </si>
  <si>
    <t>600370</t>
  </si>
  <si>
    <t>2003-03-06</t>
  </si>
  <si>
    <t>002060</t>
  </si>
  <si>
    <t>2006-08-10</t>
  </si>
  <si>
    <t>300314</t>
  </si>
  <si>
    <t>2012-05-08</t>
  </si>
  <si>
    <t>601877</t>
  </si>
  <si>
    <t>2010-01-21</t>
  </si>
  <si>
    <t>603177</t>
  </si>
  <si>
    <t>600969</t>
  </si>
  <si>
    <t>2004-04-08</t>
  </si>
  <si>
    <t>600562</t>
  </si>
  <si>
    <t>2003-01-28</t>
  </si>
  <si>
    <t>600479</t>
  </si>
  <si>
    <t>2004-03-12</t>
  </si>
  <si>
    <t>000710</t>
  </si>
  <si>
    <t>600415</t>
  </si>
  <si>
    <t>2002-05-09</t>
  </si>
  <si>
    <t>300461</t>
  </si>
  <si>
    <t>2015-05-19</t>
  </si>
  <si>
    <t>600337</t>
  </si>
  <si>
    <t>2000-11-27</t>
  </si>
  <si>
    <t>002892</t>
  </si>
  <si>
    <t>2017-08-17</t>
  </si>
  <si>
    <t>600248</t>
  </si>
  <si>
    <t>2000-06-22</t>
  </si>
  <si>
    <t>000899</t>
  </si>
  <si>
    <t>1997-11-26</t>
  </si>
  <si>
    <t>300577</t>
  </si>
  <si>
    <t>002689</t>
  </si>
  <si>
    <t>002715</t>
  </si>
  <si>
    <t>2014-02-19</t>
  </si>
  <si>
    <t>600748</t>
  </si>
  <si>
    <t>1996-09-25</t>
  </si>
  <si>
    <t>603029</t>
  </si>
  <si>
    <t>2016-04-27</t>
  </si>
  <si>
    <t>002066</t>
  </si>
  <si>
    <t>002423</t>
  </si>
  <si>
    <t>002170</t>
  </si>
  <si>
    <t>002848</t>
  </si>
  <si>
    <t>2017-02-13</t>
  </si>
  <si>
    <t>300163</t>
  </si>
  <si>
    <t>600857</t>
  </si>
  <si>
    <t>600444</t>
  </si>
  <si>
    <t>2004-02-19</t>
  </si>
  <si>
    <t>600051</t>
  </si>
  <si>
    <t>1997-04-10</t>
  </si>
  <si>
    <t>000028</t>
  </si>
  <si>
    <t>1993-08-09</t>
  </si>
  <si>
    <t>300185</t>
  </si>
  <si>
    <t>2011-03-08</t>
  </si>
  <si>
    <t>002590</t>
  </si>
  <si>
    <t>000833</t>
  </si>
  <si>
    <t>1998-11-11</t>
  </si>
  <si>
    <t>600156</t>
  </si>
  <si>
    <t>1998-05-27</t>
  </si>
  <si>
    <t>601028</t>
  </si>
  <si>
    <t>2011-11-07</t>
  </si>
  <si>
    <t>000060</t>
  </si>
  <si>
    <t>000828</t>
  </si>
  <si>
    <t>1997-06-17</t>
  </si>
  <si>
    <t>300160</t>
  </si>
  <si>
    <t>000869</t>
  </si>
  <si>
    <t>2000-10-26</t>
  </si>
  <si>
    <t>600075</t>
  </si>
  <si>
    <t>002331</t>
  </si>
  <si>
    <t>000948</t>
  </si>
  <si>
    <t>603020</t>
  </si>
  <si>
    <t>600226</t>
  </si>
  <si>
    <t>1999-11-16</t>
  </si>
  <si>
    <t>600361</t>
  </si>
  <si>
    <t>2001-11-29</t>
  </si>
  <si>
    <t>300665</t>
  </si>
  <si>
    <t>300567</t>
  </si>
  <si>
    <t>002839</t>
  </si>
  <si>
    <t>300456</t>
  </si>
  <si>
    <t>601118</t>
  </si>
  <si>
    <t>600018</t>
  </si>
  <si>
    <t>2006-10-26</t>
  </si>
  <si>
    <t>603989</t>
  </si>
  <si>
    <t>600963</t>
  </si>
  <si>
    <t>2004-05-25</t>
  </si>
  <si>
    <t>600725</t>
  </si>
  <si>
    <t>600800</t>
  </si>
  <si>
    <t>600016</t>
  </si>
  <si>
    <t>2000-12-19</t>
  </si>
  <si>
    <t>600251</t>
  </si>
  <si>
    <t>2003-06-09</t>
  </si>
  <si>
    <t>300221</t>
  </si>
  <si>
    <t>603615</t>
  </si>
  <si>
    <t>600888</t>
  </si>
  <si>
    <t>1996-02-15</t>
  </si>
  <si>
    <t>603788</t>
  </si>
  <si>
    <t>2015-01-20</t>
  </si>
  <si>
    <t>600372</t>
  </si>
  <si>
    <t>2001-07-06</t>
  </si>
  <si>
    <t>002281</t>
  </si>
  <si>
    <t>2009-08-21</t>
  </si>
  <si>
    <t>600160</t>
  </si>
  <si>
    <t>1998-06-26</t>
  </si>
  <si>
    <t>300452</t>
  </si>
  <si>
    <t>002307</t>
  </si>
  <si>
    <t>2009-11-11</t>
  </si>
  <si>
    <t>600348</t>
  </si>
  <si>
    <t>2003-08-21</t>
  </si>
  <si>
    <t>603139</t>
  </si>
  <si>
    <t>300257</t>
  </si>
  <si>
    <t>600537</t>
  </si>
  <si>
    <t>2003-01-23</t>
  </si>
  <si>
    <t>002492</t>
  </si>
  <si>
    <t>002283</t>
  </si>
  <si>
    <t>300420</t>
  </si>
  <si>
    <t>002218</t>
  </si>
  <si>
    <t>2008-02-28</t>
  </si>
  <si>
    <t>002676</t>
  </si>
  <si>
    <t>600409</t>
  </si>
  <si>
    <t>2003-06-18</t>
  </si>
  <si>
    <t>603305</t>
  </si>
  <si>
    <t>2017-07-10</t>
  </si>
  <si>
    <t>002671</t>
  </si>
  <si>
    <t>2012-04-26</t>
  </si>
  <si>
    <t>000967</t>
  </si>
  <si>
    <t>2000-03-30</t>
  </si>
  <si>
    <t>002722</t>
  </si>
  <si>
    <t>002286</t>
  </si>
  <si>
    <t>002135</t>
  </si>
  <si>
    <t>2007-05-30</t>
  </si>
  <si>
    <t>603311</t>
  </si>
  <si>
    <t>002563</t>
  </si>
  <si>
    <t>2011-03-11</t>
  </si>
  <si>
    <t>002882</t>
  </si>
  <si>
    <t>2017-07-17</t>
  </si>
  <si>
    <t>002325</t>
  </si>
  <si>
    <t>600761</t>
  </si>
  <si>
    <t>1996-10-09</t>
  </si>
  <si>
    <t>600805</t>
  </si>
  <si>
    <t>002546</t>
  </si>
  <si>
    <t>600736</t>
  </si>
  <si>
    <t>1996-08-15</t>
  </si>
  <si>
    <t>600530</t>
  </si>
  <si>
    <t>2001-07-02</t>
  </si>
  <si>
    <t>600854</t>
  </si>
  <si>
    <t>000680</t>
  </si>
  <si>
    <t>1997-01-22</t>
  </si>
  <si>
    <t>002589</t>
  </si>
  <si>
    <t>603355</t>
  </si>
  <si>
    <t>002137</t>
  </si>
  <si>
    <t>600777</t>
  </si>
  <si>
    <t>300062</t>
  </si>
  <si>
    <t>002253</t>
  </si>
  <si>
    <t>2008-06-23</t>
  </si>
  <si>
    <t>002403</t>
  </si>
  <si>
    <t>600448</t>
  </si>
  <si>
    <t>2001-09-03</t>
  </si>
  <si>
    <t>002386</t>
  </si>
  <si>
    <t>601369</t>
  </si>
  <si>
    <t>2010-04-28</t>
  </si>
  <si>
    <t>002810</t>
  </si>
  <si>
    <t>2016-08-26</t>
  </si>
  <si>
    <t>002227</t>
  </si>
  <si>
    <t>2008-05-06</t>
  </si>
  <si>
    <t>000928</t>
  </si>
  <si>
    <t>601880</t>
  </si>
  <si>
    <t>2010-12-06</t>
  </si>
  <si>
    <t>600662</t>
  </si>
  <si>
    <t>1993-06-14</t>
  </si>
  <si>
    <t>300542</t>
  </si>
  <si>
    <t>2016-09-20</t>
  </si>
  <si>
    <t>002852</t>
  </si>
  <si>
    <t>600713</t>
  </si>
  <si>
    <t>002120</t>
  </si>
  <si>
    <t>2007-03-06</t>
  </si>
  <si>
    <t>600488</t>
  </si>
  <si>
    <t>2001-06-18</t>
  </si>
  <si>
    <t>600549</t>
  </si>
  <si>
    <t>2002-11-07</t>
  </si>
  <si>
    <t>603628</t>
  </si>
  <si>
    <t>600108</t>
  </si>
  <si>
    <t>1997-08-18</t>
  </si>
  <si>
    <t>600329</t>
  </si>
  <si>
    <t>2001-06-06</t>
  </si>
  <si>
    <t>002513</t>
  </si>
  <si>
    <t>601126</t>
  </si>
  <si>
    <t>300435</t>
  </si>
  <si>
    <t>002462</t>
  </si>
  <si>
    <t>600798</t>
  </si>
  <si>
    <t>1997-04-23</t>
  </si>
  <si>
    <t>600478</t>
  </si>
  <si>
    <t>2003-09-18</t>
  </si>
  <si>
    <t>300036</t>
  </si>
  <si>
    <t>300332</t>
  </si>
  <si>
    <t>600182</t>
  </si>
  <si>
    <t>1999-05-07</t>
  </si>
  <si>
    <t>300145</t>
  </si>
  <si>
    <t>600608</t>
  </si>
  <si>
    <t>600961</t>
  </si>
  <si>
    <t>2004-08-30</t>
  </si>
  <si>
    <t>000838</t>
  </si>
  <si>
    <t>600237</t>
  </si>
  <si>
    <t>2000-06-09</t>
  </si>
  <si>
    <t>002204</t>
  </si>
  <si>
    <t>600207</t>
  </si>
  <si>
    <t>1999-07-14</t>
  </si>
  <si>
    <t>001965</t>
  </si>
  <si>
    <t>601699</t>
  </si>
  <si>
    <t>2006-09-22</t>
  </si>
  <si>
    <t>002596</t>
  </si>
  <si>
    <t>300621</t>
  </si>
  <si>
    <t>2017-03-16</t>
  </si>
  <si>
    <t>603286</t>
  </si>
  <si>
    <t>601179</t>
  </si>
  <si>
    <t>000997</t>
  </si>
  <si>
    <t>2000-08-07</t>
  </si>
  <si>
    <t>601002</t>
  </si>
  <si>
    <t>002858</t>
  </si>
  <si>
    <t>000705</t>
  </si>
  <si>
    <t>600587</t>
  </si>
  <si>
    <t>2002-09-27</t>
  </si>
  <si>
    <t>601611</t>
  </si>
  <si>
    <t>2016-06-06</t>
  </si>
  <si>
    <t>300516</t>
  </si>
  <si>
    <t>2016-06-02</t>
  </si>
  <si>
    <t>603767</t>
  </si>
  <si>
    <t>300376</t>
  </si>
  <si>
    <t>601900</t>
  </si>
  <si>
    <t>2016-02-15</t>
  </si>
  <si>
    <t>000738</t>
  </si>
  <si>
    <t>002243</t>
  </si>
  <si>
    <t>601020</t>
  </si>
  <si>
    <t>2016-03-16</t>
  </si>
  <si>
    <t>002335</t>
  </si>
  <si>
    <t>2010-01-13</t>
  </si>
  <si>
    <t>600751</t>
  </si>
  <si>
    <t>1996-09-09</t>
  </si>
  <si>
    <t>600653</t>
  </si>
  <si>
    <t>002514</t>
  </si>
  <si>
    <t>600496</t>
  </si>
  <si>
    <t>2002-06-05</t>
  </si>
  <si>
    <t>000524</t>
  </si>
  <si>
    <t>601000</t>
  </si>
  <si>
    <t>2010-07-05</t>
  </si>
  <si>
    <t>300025</t>
  </si>
  <si>
    <t>600590</t>
  </si>
  <si>
    <t>2002-07-03</t>
  </si>
  <si>
    <t>002126</t>
  </si>
  <si>
    <t>300522</t>
  </si>
  <si>
    <t>300371</t>
  </si>
  <si>
    <t>300290</t>
  </si>
  <si>
    <t>2012-02-16</t>
  </si>
  <si>
    <t>002258</t>
  </si>
  <si>
    <t>2008-07-08</t>
  </si>
  <si>
    <t>600985</t>
  </si>
  <si>
    <t>2004-04-28</t>
  </si>
  <si>
    <t>002889</t>
  </si>
  <si>
    <t>600793</t>
  </si>
  <si>
    <t>1997-02-20</t>
  </si>
  <si>
    <t>601106</t>
  </si>
  <si>
    <t>2010-02-09</t>
  </si>
  <si>
    <t>603066</t>
  </si>
  <si>
    <t>002556</t>
  </si>
  <si>
    <t>002787</t>
  </si>
  <si>
    <t>002497</t>
  </si>
  <si>
    <t>000790</t>
  </si>
  <si>
    <t>600734</t>
  </si>
  <si>
    <t>1996-08-08</t>
  </si>
  <si>
    <t>002400</t>
  </si>
  <si>
    <t>600880</t>
  </si>
  <si>
    <t>600780</t>
  </si>
  <si>
    <t>600497</t>
  </si>
  <si>
    <t>2004-04-20</t>
  </si>
  <si>
    <t>002603</t>
  </si>
  <si>
    <t>002081</t>
  </si>
  <si>
    <t>601599</t>
  </si>
  <si>
    <t>2011-05-27</t>
  </si>
  <si>
    <t>600461</t>
  </si>
  <si>
    <t>2004-06-01</t>
  </si>
  <si>
    <t>600029</t>
  </si>
  <si>
    <t>2003-07-25</t>
  </si>
  <si>
    <t>601898</t>
  </si>
  <si>
    <t>002154</t>
  </si>
  <si>
    <t>300061</t>
  </si>
  <si>
    <t>300572</t>
  </si>
  <si>
    <t>000880</t>
  </si>
  <si>
    <t>600126</t>
  </si>
  <si>
    <t>300683</t>
  </si>
  <si>
    <t>603656</t>
  </si>
  <si>
    <t>603578</t>
  </si>
  <si>
    <t>2017-03-06</t>
  </si>
  <si>
    <t>603938</t>
  </si>
  <si>
    <t>2017-06-28</t>
  </si>
  <si>
    <t>300351</t>
  </si>
  <si>
    <t>600491</t>
  </si>
  <si>
    <t>2004-05-24</t>
  </si>
  <si>
    <t>600220</t>
  </si>
  <si>
    <t>1999-09-27</t>
  </si>
  <si>
    <t>300044</t>
  </si>
  <si>
    <t>603009</t>
  </si>
  <si>
    <t>2014-07-18</t>
  </si>
  <si>
    <t>300618</t>
  </si>
  <si>
    <t>002702</t>
  </si>
  <si>
    <t>2012-10-11</t>
  </si>
  <si>
    <t>600650</t>
  </si>
  <si>
    <t>1993-06-07</t>
  </si>
  <si>
    <t>300325</t>
  </si>
  <si>
    <t>603976</t>
  </si>
  <si>
    <t>2017-08-22</t>
  </si>
  <si>
    <t>002612</t>
  </si>
  <si>
    <t>002667</t>
  </si>
  <si>
    <t>600560</t>
  </si>
  <si>
    <t>2002-09-19</t>
  </si>
  <si>
    <t>600421</t>
  </si>
  <si>
    <t>2004-06-07</t>
  </si>
  <si>
    <t>600499</t>
  </si>
  <si>
    <t>2002-10-10</t>
  </si>
  <si>
    <t>300729</t>
  </si>
  <si>
    <t>002875</t>
  </si>
  <si>
    <t>2017-06-01</t>
  </si>
  <si>
    <t>002467</t>
  </si>
  <si>
    <t>000006</t>
  </si>
  <si>
    <t>1992-04-27</t>
  </si>
  <si>
    <t>300695</t>
  </si>
  <si>
    <t>002632</t>
  </si>
  <si>
    <t>2011-11-22</t>
  </si>
  <si>
    <t>600483</t>
  </si>
  <si>
    <t>2004-05-31</t>
  </si>
  <si>
    <t>600195</t>
  </si>
  <si>
    <t>002297</t>
  </si>
  <si>
    <t>002767</t>
  </si>
  <si>
    <t>600350</t>
  </si>
  <si>
    <t>2002-03-18</t>
  </si>
  <si>
    <t>002321</t>
  </si>
  <si>
    <t>600803</t>
  </si>
  <si>
    <t>002845</t>
  </si>
  <si>
    <t>002488</t>
  </si>
  <si>
    <t>300642</t>
  </si>
  <si>
    <t>002578</t>
  </si>
  <si>
    <t>002521</t>
  </si>
  <si>
    <t>600307</t>
  </si>
  <si>
    <t>2000-12-20</t>
  </si>
  <si>
    <t>002772</t>
  </si>
  <si>
    <t>000553</t>
  </si>
  <si>
    <t>1993-12-03</t>
  </si>
  <si>
    <t>603579</t>
  </si>
  <si>
    <t>600753</t>
  </si>
  <si>
    <t>002316</t>
  </si>
  <si>
    <t>600067</t>
  </si>
  <si>
    <t>600157</t>
  </si>
  <si>
    <t>1998-05-13</t>
  </si>
  <si>
    <t>603035</t>
  </si>
  <si>
    <t>2017-01-05</t>
  </si>
  <si>
    <t>603997</t>
  </si>
  <si>
    <t>601918</t>
  </si>
  <si>
    <t>2007-12-19</t>
  </si>
  <si>
    <t>600219</t>
  </si>
  <si>
    <t>300022</t>
  </si>
  <si>
    <t>002314</t>
  </si>
  <si>
    <t>600272</t>
  </si>
  <si>
    <t>601311</t>
  </si>
  <si>
    <t>2011-06-02</t>
  </si>
  <si>
    <t>002560</t>
  </si>
  <si>
    <t>2011-03-03</t>
  </si>
  <si>
    <t>002469</t>
  </si>
  <si>
    <t>000059</t>
  </si>
  <si>
    <t>601199</t>
  </si>
  <si>
    <t>2011-03-17</t>
  </si>
  <si>
    <t>002013</t>
  </si>
  <si>
    <t>002570</t>
  </si>
  <si>
    <t>600561</t>
  </si>
  <si>
    <t>2002-07-16</t>
  </si>
  <si>
    <t>002288</t>
  </si>
  <si>
    <t>600539</t>
  </si>
  <si>
    <t>2001-08-24</t>
  </si>
  <si>
    <t>600971</t>
  </si>
  <si>
    <t>600796</t>
  </si>
  <si>
    <t>1997-04-08</t>
  </si>
  <si>
    <t>600841</t>
  </si>
  <si>
    <t>603015</t>
  </si>
  <si>
    <t>2015-03-03</t>
  </si>
  <si>
    <t>300305</t>
  </si>
  <si>
    <t>002240</t>
  </si>
  <si>
    <t>2008-05-23</t>
  </si>
  <si>
    <t>300273</t>
  </si>
  <si>
    <t>600211</t>
  </si>
  <si>
    <t>600062</t>
  </si>
  <si>
    <t>603298</t>
  </si>
  <si>
    <t>2016-12-27</t>
  </si>
  <si>
    <t>000903</t>
  </si>
  <si>
    <t>002878</t>
  </si>
  <si>
    <t>600547</t>
  </si>
  <si>
    <t>2003-08-28</t>
  </si>
  <si>
    <t>600827</t>
  </si>
  <si>
    <t>600977</t>
  </si>
  <si>
    <t>603017</t>
  </si>
  <si>
    <t>2014-12-31</t>
  </si>
  <si>
    <t>002097</t>
  </si>
  <si>
    <t>2006-12-22</t>
  </si>
  <si>
    <t>603085</t>
  </si>
  <si>
    <t>300535</t>
  </si>
  <si>
    <t>2016-08-12</t>
  </si>
  <si>
    <t>600392</t>
  </si>
  <si>
    <t>2003-05-29</t>
  </si>
  <si>
    <t>002010</t>
  </si>
  <si>
    <t>2004-06-29</t>
  </si>
  <si>
    <t>000592</t>
  </si>
  <si>
    <t>1996-03-27</t>
  </si>
  <si>
    <t>002046</t>
  </si>
  <si>
    <t>2005-05-26</t>
  </si>
  <si>
    <t>300024</t>
  </si>
  <si>
    <t>002583</t>
  </si>
  <si>
    <t>603117</t>
  </si>
  <si>
    <t>002187</t>
  </si>
  <si>
    <t>2007-11-22</t>
  </si>
  <si>
    <t>603239</t>
  </si>
  <si>
    <t>2016-12-30</t>
  </si>
  <si>
    <t>002004</t>
  </si>
  <si>
    <t>002561</t>
  </si>
  <si>
    <t>300447</t>
  </si>
  <si>
    <t>600159</t>
  </si>
  <si>
    <t>1998-05-26</t>
  </si>
  <si>
    <t>600578</t>
  </si>
  <si>
    <t>2002-05-10</t>
  </si>
  <si>
    <t>603367</t>
  </si>
  <si>
    <t>2017-09-29</t>
  </si>
  <si>
    <t>600367</t>
  </si>
  <si>
    <t>2001-03-20</t>
  </si>
  <si>
    <t>600908</t>
  </si>
  <si>
    <t>2016-09-23</t>
  </si>
  <si>
    <t>002196</t>
  </si>
  <si>
    <t>300532</t>
  </si>
  <si>
    <t>600163</t>
  </si>
  <si>
    <t>000666</t>
  </si>
  <si>
    <t>600838</t>
  </si>
  <si>
    <t>002708</t>
  </si>
  <si>
    <t>600269</t>
  </si>
  <si>
    <t>2000-05-18</t>
  </si>
  <si>
    <t>600073</t>
  </si>
  <si>
    <t>002773</t>
  </si>
  <si>
    <t>002505</t>
  </si>
  <si>
    <t>300232</t>
  </si>
  <si>
    <t>002580</t>
  </si>
  <si>
    <t>300317</t>
  </si>
  <si>
    <t>601607</t>
  </si>
  <si>
    <t>603380</t>
  </si>
  <si>
    <t>601010</t>
  </si>
  <si>
    <t>2011-06-03</t>
  </si>
  <si>
    <t>600791</t>
  </si>
  <si>
    <t>000011</t>
  </si>
  <si>
    <t>1992-03-30</t>
  </si>
  <si>
    <t>600387</t>
  </si>
  <si>
    <t>2004-02-18</t>
  </si>
  <si>
    <t>000559</t>
  </si>
  <si>
    <t>1994-01-10</t>
  </si>
  <si>
    <t>600017</t>
  </si>
  <si>
    <t>2006-10-17</t>
  </si>
  <si>
    <t>600884</t>
  </si>
  <si>
    <t>1996-01-30</t>
  </si>
  <si>
    <t>600101</t>
  </si>
  <si>
    <t>002339</t>
  </si>
  <si>
    <t>600834</t>
  </si>
  <si>
    <t>300228</t>
  </si>
  <si>
    <t>002437</t>
  </si>
  <si>
    <t>000510</t>
  </si>
  <si>
    <t>1993-05-07</t>
  </si>
  <si>
    <t>002031</t>
  </si>
  <si>
    <t>2004-08-16</t>
  </si>
  <si>
    <t>600300</t>
  </si>
  <si>
    <t>2000-06-30</t>
  </si>
  <si>
    <t>002293</t>
  </si>
  <si>
    <t>002226</t>
  </si>
  <si>
    <t>600755</t>
  </si>
  <si>
    <t>1996-10-03</t>
  </si>
  <si>
    <t>600308</t>
  </si>
  <si>
    <t>2000-09-28</t>
  </si>
  <si>
    <t>000415</t>
  </si>
  <si>
    <t>603898</t>
  </si>
  <si>
    <t>600873</t>
  </si>
  <si>
    <t>1995-02-17</t>
  </si>
  <si>
    <t>600630</t>
  </si>
  <si>
    <t>1993-02-09</t>
  </si>
  <si>
    <t>600229</t>
  </si>
  <si>
    <t>600096</t>
  </si>
  <si>
    <t>1997-07-09</t>
  </si>
  <si>
    <t>600212</t>
  </si>
  <si>
    <t>1999-08-17</t>
  </si>
  <si>
    <t>600076</t>
  </si>
  <si>
    <t>1997-05-26</t>
  </si>
  <si>
    <t>600649</t>
  </si>
  <si>
    <t>1993-05-18</t>
  </si>
  <si>
    <t>002836</t>
  </si>
  <si>
    <t>600655</t>
  </si>
  <si>
    <t>1992-09-02</t>
  </si>
  <si>
    <t>603990</t>
  </si>
  <si>
    <t>601952</t>
  </si>
  <si>
    <t>000537</t>
  </si>
  <si>
    <t>1993-12-10</t>
  </si>
  <si>
    <t>600503</t>
  </si>
  <si>
    <t>2002-07-09</t>
  </si>
  <si>
    <t>600787</t>
  </si>
  <si>
    <t>300051</t>
  </si>
  <si>
    <t>002270</t>
  </si>
  <si>
    <t>2008-09-05</t>
  </si>
  <si>
    <t>600784</t>
  </si>
  <si>
    <t>1996-12-25</t>
  </si>
  <si>
    <t>002408</t>
  </si>
  <si>
    <t>600262</t>
  </si>
  <si>
    <t>600729</t>
  </si>
  <si>
    <t>002245</t>
  </si>
  <si>
    <t>002620</t>
  </si>
  <si>
    <t>2011-09-29</t>
  </si>
  <si>
    <t>300120</t>
  </si>
  <si>
    <t>603618</t>
  </si>
  <si>
    <t>002812</t>
  </si>
  <si>
    <t>300264</t>
  </si>
  <si>
    <t>603612</t>
  </si>
  <si>
    <t>2017-07-18</t>
  </si>
  <si>
    <t>002723</t>
  </si>
  <si>
    <t>600037</t>
  </si>
  <si>
    <t>2001-02-08</t>
  </si>
  <si>
    <t>000789</t>
  </si>
  <si>
    <t>1997-09-23</t>
  </si>
  <si>
    <t>300422</t>
  </si>
  <si>
    <t>002633</t>
  </si>
  <si>
    <t>002277</t>
  </si>
  <si>
    <t>2009-07-17</t>
  </si>
  <si>
    <t>600616</t>
  </si>
  <si>
    <t>1992-09-29</t>
  </si>
  <si>
    <t>000830</t>
  </si>
  <si>
    <t>300666</t>
  </si>
  <si>
    <t>603689</t>
  </si>
  <si>
    <t>000010</t>
  </si>
  <si>
    <t>1995-10-27</t>
  </si>
  <si>
    <t>603023</t>
  </si>
  <si>
    <t>000151</t>
  </si>
  <si>
    <t>603729</t>
  </si>
  <si>
    <t>600612</t>
  </si>
  <si>
    <t>1992-08-14</t>
  </si>
  <si>
    <t>002748</t>
  </si>
  <si>
    <t>600979</t>
  </si>
  <si>
    <t>2004-09-06</t>
  </si>
  <si>
    <t>002909</t>
  </si>
  <si>
    <t>002348</t>
  </si>
  <si>
    <t>2010-02-03</t>
  </si>
  <si>
    <t>600722</t>
  </si>
  <si>
    <t>600973</t>
  </si>
  <si>
    <t>2004-08-02</t>
  </si>
  <si>
    <t>600707</t>
  </si>
  <si>
    <t>1996-05-20</t>
  </si>
  <si>
    <t>603633</t>
  </si>
  <si>
    <t>002569</t>
  </si>
  <si>
    <t>300497</t>
  </si>
  <si>
    <t>002523</t>
  </si>
  <si>
    <t>002553</t>
  </si>
  <si>
    <t>603315</t>
  </si>
  <si>
    <t>002453</t>
  </si>
  <si>
    <t>600169</t>
  </si>
  <si>
    <t>1998-09-04</t>
  </si>
  <si>
    <t>600373</t>
  </si>
  <si>
    <t>2002-03-04</t>
  </si>
  <si>
    <t>300407</t>
  </si>
  <si>
    <t>600897</t>
  </si>
  <si>
    <t>601929</t>
  </si>
  <si>
    <t>2012-02-23</t>
  </si>
  <si>
    <t>002768</t>
  </si>
  <si>
    <t>600824</t>
  </si>
  <si>
    <t>300217</t>
  </si>
  <si>
    <t>600663</t>
  </si>
  <si>
    <t>1993-06-28</t>
  </si>
  <si>
    <t>300301</t>
  </si>
  <si>
    <t>600117</t>
  </si>
  <si>
    <t>1997-10-15</t>
  </si>
  <si>
    <t>600528</t>
  </si>
  <si>
    <t>2001-05-28</t>
  </si>
  <si>
    <t>002862</t>
  </si>
  <si>
    <t>2017-04-11</t>
  </si>
  <si>
    <t>000715</t>
  </si>
  <si>
    <t>002613</t>
  </si>
  <si>
    <t>300556</t>
  </si>
  <si>
    <t>2016-11-04</t>
  </si>
  <si>
    <t>600458</t>
  </si>
  <si>
    <t>2002-12-19</t>
  </si>
  <si>
    <t>600130</t>
  </si>
  <si>
    <t>000017</t>
  </si>
  <si>
    <t>1992-03-31</t>
  </si>
  <si>
    <t>300075</t>
  </si>
  <si>
    <t>600162</t>
  </si>
  <si>
    <t>300652</t>
  </si>
  <si>
    <t>300583</t>
  </si>
  <si>
    <t>2017-01-06</t>
  </si>
  <si>
    <t>601258</t>
  </si>
  <si>
    <t>002198</t>
  </si>
  <si>
    <t>600015</t>
  </si>
  <si>
    <t>2003-09-12</t>
  </si>
  <si>
    <t>600527</t>
  </si>
  <si>
    <t>2003-11-27</t>
  </si>
  <si>
    <t>600573</t>
  </si>
  <si>
    <t>2003-02-26</t>
  </si>
  <si>
    <t>600859</t>
  </si>
  <si>
    <t>300201</t>
  </si>
  <si>
    <t>600858</t>
  </si>
  <si>
    <t>002503</t>
  </si>
  <si>
    <t>2010-11-17</t>
  </si>
  <si>
    <t>601288</t>
  </si>
  <si>
    <t>2010-07-15</t>
  </si>
  <si>
    <t>600210</t>
  </si>
  <si>
    <t>1999-08-24</t>
  </si>
  <si>
    <t>000721</t>
  </si>
  <si>
    <t>1997-04-30</t>
  </si>
  <si>
    <t>300599</t>
  </si>
  <si>
    <t>600645</t>
  </si>
  <si>
    <t>002574</t>
  </si>
  <si>
    <t>2011-04-22</t>
  </si>
  <si>
    <t>600665</t>
  </si>
  <si>
    <t>1993-07-09</t>
  </si>
  <si>
    <t>002895</t>
  </si>
  <si>
    <t>002308</t>
  </si>
  <si>
    <t>601992</t>
  </si>
  <si>
    <t>2011-03-01</t>
  </si>
  <si>
    <t>603922</t>
  </si>
  <si>
    <t>2017-10-23</t>
  </si>
  <si>
    <t>300167</t>
  </si>
  <si>
    <t>000620</t>
  </si>
  <si>
    <t>300505</t>
  </si>
  <si>
    <t>2016-03-15</t>
  </si>
  <si>
    <t>600939</t>
  </si>
  <si>
    <t>2017-02-21</t>
  </si>
  <si>
    <t>600033</t>
  </si>
  <si>
    <t>2001-02-09</t>
  </si>
  <si>
    <t>002426</t>
  </si>
  <si>
    <t>000731</t>
  </si>
  <si>
    <t>000881</t>
  </si>
  <si>
    <t>1998-09-02</t>
  </si>
  <si>
    <t>000023</t>
  </si>
  <si>
    <t>1993-04-29</t>
  </si>
  <si>
    <t>600833</t>
  </si>
  <si>
    <t>600418</t>
  </si>
  <si>
    <t>002762</t>
  </si>
  <si>
    <t>000717</t>
  </si>
  <si>
    <t>600490</t>
  </si>
  <si>
    <t>2003-06-26</t>
  </si>
  <si>
    <t>600558</t>
  </si>
  <si>
    <t>2001-02-27</t>
  </si>
  <si>
    <t>603912</t>
  </si>
  <si>
    <t>2017-11-01</t>
  </si>
  <si>
    <t>600187</t>
  </si>
  <si>
    <t>600586</t>
  </si>
  <si>
    <t>2002-08-15</t>
  </si>
  <si>
    <t>603637</t>
  </si>
  <si>
    <t>601988</t>
  </si>
  <si>
    <t>2006-07-05</t>
  </si>
  <si>
    <t>300143</t>
  </si>
  <si>
    <t>002763</t>
  </si>
  <si>
    <t>600116</t>
  </si>
  <si>
    <t>1997-08-04</t>
  </si>
  <si>
    <t>002199</t>
  </si>
  <si>
    <t>603585</t>
  </si>
  <si>
    <t>2016-12-14</t>
  </si>
  <si>
    <t>600817</t>
  </si>
  <si>
    <t>600936</t>
  </si>
  <si>
    <t>2016-08-15</t>
  </si>
  <si>
    <t>600599</t>
  </si>
  <si>
    <t>2001-08-28</t>
  </si>
  <si>
    <t>600266</t>
  </si>
  <si>
    <t>1999-02-03</t>
  </si>
  <si>
    <t>002796</t>
  </si>
  <si>
    <t>2016-05-10</t>
  </si>
  <si>
    <t>002413</t>
  </si>
  <si>
    <t>600506</t>
  </si>
  <si>
    <t>2001-12-26</t>
  </si>
  <si>
    <t>601016</t>
  </si>
  <si>
    <t>2014-09-29</t>
  </si>
  <si>
    <t>002682</t>
  </si>
  <si>
    <t>002610</t>
  </si>
  <si>
    <t>002024</t>
  </si>
  <si>
    <t>600816</t>
  </si>
  <si>
    <t>600743</t>
  </si>
  <si>
    <t>600895</t>
  </si>
  <si>
    <t>1996-04-22</t>
  </si>
  <si>
    <t>002857</t>
  </si>
  <si>
    <t>300534</t>
  </si>
  <si>
    <t>300377</t>
  </si>
  <si>
    <t>300132</t>
  </si>
  <si>
    <t>601882</t>
  </si>
  <si>
    <t>002007</t>
  </si>
  <si>
    <t>601188</t>
  </si>
  <si>
    <t>600635</t>
  </si>
  <si>
    <t>603365</t>
  </si>
  <si>
    <t>2017-11-20</t>
  </si>
  <si>
    <t>300296</t>
  </si>
  <si>
    <t>603937</t>
  </si>
  <si>
    <t>2017-11-02</t>
  </si>
  <si>
    <t>002719</t>
  </si>
  <si>
    <t>300299</t>
  </si>
  <si>
    <t>603813</t>
  </si>
  <si>
    <t>2017-09-18</t>
  </si>
  <si>
    <t>300318</t>
  </si>
  <si>
    <t>002112</t>
  </si>
  <si>
    <t>2007-02-08</t>
  </si>
  <si>
    <t>600231</t>
  </si>
  <si>
    <t>603768</t>
  </si>
  <si>
    <t>600660</t>
  </si>
  <si>
    <t>1993-06-10</t>
  </si>
  <si>
    <t>002209</t>
  </si>
  <si>
    <t>2008-01-30</t>
  </si>
  <si>
    <t>600686</t>
  </si>
  <si>
    <t>601177</t>
  </si>
  <si>
    <t>2010-10-11</t>
  </si>
  <si>
    <t>600917</t>
  </si>
  <si>
    <t>2014-09-30</t>
  </si>
  <si>
    <t>000020</t>
  </si>
  <si>
    <t>1992-04-28</t>
  </si>
  <si>
    <t>600056</t>
  </si>
  <si>
    <t>600257</t>
  </si>
  <si>
    <t>2000-06-12</t>
  </si>
  <si>
    <t>002231</t>
  </si>
  <si>
    <t>600189</t>
  </si>
  <si>
    <t>601001</t>
  </si>
  <si>
    <t>2006-06-23</t>
  </si>
  <si>
    <t>002581</t>
  </si>
  <si>
    <t>000822</t>
  </si>
  <si>
    <t>1998-07-03</t>
  </si>
  <si>
    <t>300287</t>
  </si>
  <si>
    <t>2012-02-01</t>
  </si>
  <si>
    <t>002779</t>
  </si>
  <si>
    <t>002771</t>
  </si>
  <si>
    <t>600611</t>
  </si>
  <si>
    <t>1992-08-07</t>
  </si>
  <si>
    <t>002223</t>
  </si>
  <si>
    <t>2008-04-18</t>
  </si>
  <si>
    <t>000978</t>
  </si>
  <si>
    <t>603507</t>
  </si>
  <si>
    <t>600572</t>
  </si>
  <si>
    <t>2004-04-12</t>
  </si>
  <si>
    <t>600463</t>
  </si>
  <si>
    <t>2004-03-18</t>
  </si>
  <si>
    <t>601088</t>
  </si>
  <si>
    <t>2007-10-09</t>
  </si>
  <si>
    <t>002652</t>
  </si>
  <si>
    <t>2012-01-19</t>
  </si>
  <si>
    <t>601518</t>
  </si>
  <si>
    <t>600967</t>
  </si>
  <si>
    <t>2004-05-18</t>
  </si>
  <si>
    <t>603758</t>
  </si>
  <si>
    <t>2017-05-17</t>
  </si>
  <si>
    <t>000815</t>
  </si>
  <si>
    <t>002266</t>
  </si>
  <si>
    <t>2008-08-06</t>
  </si>
  <si>
    <t>600085</t>
  </si>
  <si>
    <t>1997-06-25</t>
  </si>
  <si>
    <t>603908</t>
  </si>
  <si>
    <t>600068</t>
  </si>
  <si>
    <t>002658</t>
  </si>
  <si>
    <t>2012-03-09</t>
  </si>
  <si>
    <t>002009</t>
  </si>
  <si>
    <t>600106</t>
  </si>
  <si>
    <t>1997-06-18</t>
  </si>
  <si>
    <t>000404</t>
  </si>
  <si>
    <t>1996-06-19</t>
  </si>
  <si>
    <t>600657</t>
  </si>
  <si>
    <t>1993-05-24</t>
  </si>
  <si>
    <t>000912</t>
  </si>
  <si>
    <t>300307</t>
  </si>
  <si>
    <t>603386</t>
  </si>
  <si>
    <t>2017-09-12</t>
  </si>
  <si>
    <t>600467</t>
  </si>
  <si>
    <t>2004-04-05</t>
  </si>
  <si>
    <t>600351</t>
  </si>
  <si>
    <t>600522</t>
  </si>
  <si>
    <t>2002-10-24</t>
  </si>
  <si>
    <t>002144</t>
  </si>
  <si>
    <t>300150</t>
  </si>
  <si>
    <t>601368</t>
  </si>
  <si>
    <t>002873</t>
  </si>
  <si>
    <t>600509</t>
  </si>
  <si>
    <t>2002-02-28</t>
  </si>
  <si>
    <t>002789</t>
  </si>
  <si>
    <t>2016-03-11</t>
  </si>
  <si>
    <t>600507</t>
  </si>
  <si>
    <t>2003-09-30</t>
  </si>
  <si>
    <t>002275</t>
  </si>
  <si>
    <t>600767</t>
  </si>
  <si>
    <t>1996-11-15</t>
  </si>
  <si>
    <t>600714</t>
  </si>
  <si>
    <t>002295</t>
  </si>
  <si>
    <t>002280</t>
  </si>
  <si>
    <t>300696</t>
  </si>
  <si>
    <t>002883</t>
  </si>
  <si>
    <t>2017-06-20</t>
  </si>
  <si>
    <t>300656</t>
  </si>
  <si>
    <t>600495</t>
  </si>
  <si>
    <t>2004-05-26</t>
  </si>
  <si>
    <t>000014</t>
  </si>
  <si>
    <t>1992-06-02</t>
  </si>
  <si>
    <t>603929</t>
  </si>
  <si>
    <t>300701</t>
  </si>
  <si>
    <t>000882</t>
  </si>
  <si>
    <t>601169</t>
  </si>
  <si>
    <t>603555</t>
  </si>
  <si>
    <t>2014-01-24</t>
  </si>
  <si>
    <t>600708</t>
  </si>
  <si>
    <t>300705</t>
  </si>
  <si>
    <t>002087</t>
  </si>
  <si>
    <t>000616</t>
  </si>
  <si>
    <t>1996-11-08</t>
  </si>
  <si>
    <t>603686</t>
  </si>
  <si>
    <t>603816</t>
  </si>
  <si>
    <t>2016-10-14</t>
  </si>
  <si>
    <t>300310</t>
  </si>
  <si>
    <t>300401</t>
  </si>
  <si>
    <t>002853</t>
  </si>
  <si>
    <t>002334</t>
  </si>
  <si>
    <t>603630</t>
  </si>
  <si>
    <t>2017-03-13</t>
  </si>
  <si>
    <t>300283</t>
  </si>
  <si>
    <t>2012-01-10</t>
  </si>
  <si>
    <t>300439</t>
  </si>
  <si>
    <t>300082</t>
  </si>
  <si>
    <t>000573</t>
  </si>
  <si>
    <t>600319</t>
  </si>
  <si>
    <t>2001-03-26</t>
  </si>
  <si>
    <t>300027</t>
  </si>
  <si>
    <t>600730</t>
  </si>
  <si>
    <t>300412</t>
  </si>
  <si>
    <t>601069</t>
  </si>
  <si>
    <t>600028</t>
  </si>
  <si>
    <t>2001-08-08</t>
  </si>
  <si>
    <t>601086</t>
  </si>
  <si>
    <t>603515</t>
  </si>
  <si>
    <t>2016-08-19</t>
  </si>
  <si>
    <t>002608</t>
  </si>
  <si>
    <t>600345</t>
  </si>
  <si>
    <t>300514</t>
  </si>
  <si>
    <t>600869</t>
  </si>
  <si>
    <t>1995-02-06</t>
  </si>
  <si>
    <t>300403</t>
  </si>
  <si>
    <t>603568</t>
  </si>
  <si>
    <t>002646</t>
  </si>
  <si>
    <t>2011-12-22</t>
  </si>
  <si>
    <t>002457</t>
  </si>
  <si>
    <t>600239</t>
  </si>
  <si>
    <t>1999-12-02</t>
  </si>
  <si>
    <t>000753</t>
  </si>
  <si>
    <t>600749</t>
  </si>
  <si>
    <t>1996-10-15</t>
  </si>
  <si>
    <t>601326</t>
  </si>
  <si>
    <t>2017-08-16</t>
  </si>
  <si>
    <t>600039</t>
  </si>
  <si>
    <t>2003-03-25</t>
  </si>
  <si>
    <t>600282</t>
  </si>
  <si>
    <t>2000-09-19</t>
  </si>
  <si>
    <t>300171</t>
  </si>
  <si>
    <t>002282</t>
  </si>
  <si>
    <t>603778</t>
  </si>
  <si>
    <t>600828</t>
  </si>
  <si>
    <t>000426</t>
  </si>
  <si>
    <t>600814</t>
  </si>
  <si>
    <t>600113</t>
  </si>
  <si>
    <t>1997-10-21</t>
  </si>
  <si>
    <t>600141</t>
  </si>
  <si>
    <t>000046</t>
  </si>
  <si>
    <t>000003</t>
  </si>
  <si>
    <t>1991-07-03</t>
  </si>
  <si>
    <t>000013</t>
  </si>
  <si>
    <t>1992-05-06</t>
  </si>
  <si>
    <t>000015</t>
  </si>
  <si>
    <t>1992-06-25</t>
  </si>
  <si>
    <t>000024</t>
  </si>
  <si>
    <t>000033</t>
  </si>
  <si>
    <t>000047</t>
  </si>
  <si>
    <t>1994-10-21</t>
  </si>
  <si>
    <t>000557</t>
  </si>
  <si>
    <t>1994-06-17</t>
  </si>
  <si>
    <t>000730</t>
  </si>
  <si>
    <t>000769</t>
  </si>
  <si>
    <t>1997-05-30</t>
  </si>
  <si>
    <t>300028</t>
  </si>
  <si>
    <t>300186</t>
  </si>
  <si>
    <t>002849</t>
  </si>
  <si>
    <t>2017-02-17</t>
  </si>
  <si>
    <t>300372</t>
  </si>
  <si>
    <t>300073</t>
  </si>
  <si>
    <t>600001</t>
  </si>
  <si>
    <t>600002</t>
  </si>
  <si>
    <t>1998-04-08</t>
  </si>
  <si>
    <t>600003</t>
  </si>
  <si>
    <t>600005</t>
  </si>
  <si>
    <t>1999-08-03</t>
  </si>
  <si>
    <t>600065</t>
  </si>
  <si>
    <t>1997-05-23</t>
  </si>
  <si>
    <t>600087</t>
  </si>
  <si>
    <t>1997-06-12</t>
  </si>
  <si>
    <t>600092</t>
  </si>
  <si>
    <t>600102</t>
  </si>
  <si>
    <t>1997-08-28</t>
  </si>
  <si>
    <t>600145</t>
  </si>
  <si>
    <t>1999-09-23</t>
  </si>
  <si>
    <t>600181</t>
  </si>
  <si>
    <t>1998-09-28</t>
  </si>
  <si>
    <t>600205</t>
  </si>
  <si>
    <t>600253</t>
  </si>
  <si>
    <t>2000-12-27</t>
  </si>
  <si>
    <t>600263</t>
  </si>
  <si>
    <t>600270</t>
  </si>
  <si>
    <t>2000-12-28</t>
  </si>
  <si>
    <t>600286</t>
  </si>
  <si>
    <t>1999-12-09</t>
  </si>
  <si>
    <t>600296</t>
  </si>
  <si>
    <t>2000-07-19</t>
  </si>
  <si>
    <t>600357</t>
  </si>
  <si>
    <t>2002-09-06</t>
  </si>
  <si>
    <t>600432</t>
  </si>
  <si>
    <t>2003-09-05</t>
  </si>
  <si>
    <t>600472</t>
  </si>
  <si>
    <t>2005-05-09</t>
  </si>
  <si>
    <t>600553</t>
  </si>
  <si>
    <t>2002-08-22</t>
  </si>
  <si>
    <t>600591</t>
  </si>
  <si>
    <t>2002-10-11</t>
  </si>
  <si>
    <t>600607</t>
  </si>
  <si>
    <t>600625</t>
  </si>
  <si>
    <t>1993-01-06</t>
  </si>
  <si>
    <t>600627</t>
  </si>
  <si>
    <t>1993-01-18</t>
  </si>
  <si>
    <t>600631</t>
  </si>
  <si>
    <t>1993-02-19</t>
  </si>
  <si>
    <t>600632</t>
  </si>
  <si>
    <t>600646</t>
  </si>
  <si>
    <t>600656</t>
  </si>
  <si>
    <t>600669</t>
  </si>
  <si>
    <t>1993-08-06</t>
  </si>
  <si>
    <t>600670</t>
  </si>
  <si>
    <t>600672</t>
  </si>
  <si>
    <t>600680</t>
  </si>
  <si>
    <t>600700</t>
  </si>
  <si>
    <t>1996-04-30</t>
  </si>
  <si>
    <t>600709</t>
  </si>
  <si>
    <t>1996-06-18</t>
  </si>
  <si>
    <t>600752</t>
  </si>
  <si>
    <t>600762</t>
  </si>
  <si>
    <t>1996-10-25</t>
  </si>
  <si>
    <t>600772</t>
  </si>
  <si>
    <t>600786</t>
  </si>
  <si>
    <t>1996-12-27</t>
  </si>
  <si>
    <t>600788</t>
  </si>
  <si>
    <t>1996-12-30</t>
  </si>
  <si>
    <t>600659</t>
  </si>
  <si>
    <t>1993-05-28</t>
  </si>
  <si>
    <t>600799</t>
  </si>
  <si>
    <t>1997-04-16</t>
  </si>
  <si>
    <t>600806</t>
  </si>
  <si>
    <t>600813</t>
  </si>
  <si>
    <t>600832</t>
  </si>
  <si>
    <t>600840</t>
  </si>
  <si>
    <t>600842</t>
  </si>
  <si>
    <t>600852</t>
  </si>
  <si>
    <t>600878</t>
  </si>
  <si>
    <t>600899</t>
  </si>
  <si>
    <t>1996-04-26</t>
  </si>
  <si>
    <t>600991</t>
  </si>
  <si>
    <t>2004-06-14</t>
  </si>
  <si>
    <t>600849</t>
  </si>
  <si>
    <t>601299</t>
  </si>
  <si>
    <t>2009-12-29</t>
  </si>
  <si>
    <t>601158</t>
  </si>
  <si>
    <t>2010-03-29</t>
  </si>
  <si>
    <t>601268</t>
  </si>
  <si>
    <t>2010-02-02</t>
  </si>
  <si>
    <t>601727</t>
  </si>
  <si>
    <t>2008-12-05</t>
  </si>
  <si>
    <t>601996</t>
  </si>
  <si>
    <t>000029</t>
  </si>
  <si>
    <t>1993-09-15</t>
  </si>
  <si>
    <t>000938</t>
  </si>
  <si>
    <t>1999-11-04</t>
  </si>
  <si>
    <t>601006</t>
  </si>
  <si>
    <t>2006-08-01</t>
  </si>
  <si>
    <t>600889</t>
  </si>
  <si>
    <t>1996-03-08</t>
  </si>
  <si>
    <t>600676</t>
  </si>
  <si>
    <t>1993-09-28</t>
  </si>
  <si>
    <t>601600</t>
  </si>
  <si>
    <t>600180</t>
  </si>
  <si>
    <t>600271</t>
  </si>
  <si>
    <t>2003-07-11</t>
  </si>
  <si>
    <t>300374</t>
  </si>
  <si>
    <t>000422</t>
  </si>
  <si>
    <t>300382</t>
  </si>
  <si>
    <t>000552</t>
  </si>
  <si>
    <t>300641</t>
  </si>
  <si>
    <t>2017-04-18</t>
  </si>
  <si>
    <t>002094</t>
  </si>
  <si>
    <t>300048</t>
  </si>
  <si>
    <t>000809</t>
  </si>
  <si>
    <t>002628</t>
  </si>
  <si>
    <t>300001</t>
  </si>
  <si>
    <t>603718</t>
  </si>
  <si>
    <t>300216</t>
  </si>
  <si>
    <t>603313</t>
  </si>
  <si>
    <t>2016-10-13</t>
  </si>
  <si>
    <t>603878</t>
  </si>
  <si>
    <t>2016-12-19</t>
  </si>
  <si>
    <t>600981</t>
  </si>
  <si>
    <t>2004-06-30</t>
  </si>
  <si>
    <t>300323</t>
  </si>
  <si>
    <t>600355</t>
  </si>
  <si>
    <t>2002-06-13</t>
  </si>
  <si>
    <t>002707</t>
  </si>
  <si>
    <t>002155</t>
  </si>
  <si>
    <t>600057</t>
  </si>
  <si>
    <t>300141</t>
  </si>
  <si>
    <t>300135</t>
  </si>
  <si>
    <t>600693</t>
  </si>
  <si>
    <t>600782</t>
  </si>
  <si>
    <t>300204</t>
  </si>
  <si>
    <t>300170</t>
  </si>
  <si>
    <t>300409</t>
  </si>
  <si>
    <t>300266</t>
  </si>
  <si>
    <t>601558</t>
  </si>
  <si>
    <t>603886</t>
  </si>
  <si>
    <t>600318</t>
  </si>
  <si>
    <t>2000-12-08</t>
  </si>
  <si>
    <t>603076</t>
  </si>
  <si>
    <t>2017-11-13</t>
  </si>
  <si>
    <t>600992</t>
  </si>
  <si>
    <t>2004-05-14</t>
  </si>
  <si>
    <t>600893</t>
  </si>
  <si>
    <t>1996-04-08</t>
  </si>
  <si>
    <t>600683</t>
  </si>
  <si>
    <t>300591</t>
  </si>
  <si>
    <t>603042</t>
  </si>
  <si>
    <t>600898</t>
  </si>
  <si>
    <t>1996-04-18</t>
  </si>
  <si>
    <t>002588</t>
  </si>
  <si>
    <t>002551</t>
  </si>
  <si>
    <t>002871</t>
  </si>
  <si>
    <t>002650</t>
  </si>
  <si>
    <t>300324</t>
  </si>
  <si>
    <t>600429</t>
  </si>
  <si>
    <t>2003-09-15</t>
  </si>
  <si>
    <t>600847</t>
  </si>
  <si>
    <t>002448</t>
  </si>
  <si>
    <t>600481</t>
  </si>
  <si>
    <t>2003-04-22</t>
  </si>
  <si>
    <t>300002</t>
  </si>
  <si>
    <t>600123</t>
  </si>
  <si>
    <t>1998-12-17</t>
  </si>
  <si>
    <t>600138</t>
  </si>
  <si>
    <t>1997-12-03</t>
  </si>
  <si>
    <t>300425</t>
  </si>
  <si>
    <t>600091</t>
  </si>
  <si>
    <t>000584</t>
  </si>
  <si>
    <t>1995-11-28</t>
  </si>
  <si>
    <t>600723</t>
  </si>
  <si>
    <t>002851</t>
  </si>
  <si>
    <t>000825</t>
  </si>
  <si>
    <t>600480</t>
  </si>
  <si>
    <t>2003-08-15</t>
  </si>
  <si>
    <t>002902</t>
  </si>
  <si>
    <t>600053</t>
  </si>
  <si>
    <t>600021</t>
  </si>
  <si>
    <t>2003-10-29</t>
  </si>
  <si>
    <t>600617</t>
  </si>
  <si>
    <t>1992-10-13</t>
  </si>
  <si>
    <t>002364</t>
  </si>
  <si>
    <t>000068</t>
  </si>
  <si>
    <t>1997-06-11</t>
  </si>
  <si>
    <t>300172</t>
  </si>
  <si>
    <t>600744</t>
  </si>
  <si>
    <t>1996-09-05</t>
  </si>
  <si>
    <t>300681</t>
  </si>
  <si>
    <t>603116</t>
  </si>
  <si>
    <t>600532</t>
  </si>
  <si>
    <t>2002-10-31</t>
  </si>
  <si>
    <t>603535</t>
  </si>
  <si>
    <t>601222</t>
  </si>
  <si>
    <t>2011-08-08</t>
  </si>
  <si>
    <t>600396</t>
  </si>
  <si>
    <t>2001-03-28</t>
  </si>
  <si>
    <t>601388</t>
  </si>
  <si>
    <t>2012-04-23</t>
  </si>
  <si>
    <t>002172</t>
  </si>
  <si>
    <t>002188</t>
  </si>
  <si>
    <t>002265</t>
  </si>
  <si>
    <t>000848</t>
  </si>
  <si>
    <t>1997-11-13</t>
  </si>
  <si>
    <t>002820</t>
  </si>
  <si>
    <t>002215</t>
  </si>
  <si>
    <t>300359</t>
  </si>
  <si>
    <t>000042</t>
  </si>
  <si>
    <t>1994-09-21</t>
  </si>
  <si>
    <t>002737</t>
  </si>
  <si>
    <t>600419</t>
  </si>
  <si>
    <t>2001-06-28</t>
  </si>
  <si>
    <t>300057</t>
  </si>
  <si>
    <t>601500</t>
  </si>
  <si>
    <t>2016-09-19</t>
  </si>
  <si>
    <t>603683</t>
  </si>
  <si>
    <t>2017-10-20</t>
  </si>
  <si>
    <t>000629</t>
  </si>
  <si>
    <t>300472</t>
  </si>
  <si>
    <t>600508</t>
  </si>
  <si>
    <t>2001-08-29</t>
  </si>
  <si>
    <t>300157</t>
  </si>
  <si>
    <t>000767</t>
  </si>
  <si>
    <t>1997-06-09</t>
  </si>
  <si>
    <t>603868</t>
  </si>
  <si>
    <t>2016-04-18</t>
  </si>
  <si>
    <t>601668</t>
  </si>
  <si>
    <t>2009-07-29</t>
  </si>
  <si>
    <t>000917</t>
  </si>
  <si>
    <t>1999-03-25</t>
  </si>
  <si>
    <t>300011</t>
  </si>
  <si>
    <t>600089</t>
  </si>
  <si>
    <t>603037</t>
  </si>
  <si>
    <t>300392</t>
  </si>
  <si>
    <t>002044</t>
  </si>
  <si>
    <t>2005-05-18</t>
  </si>
  <si>
    <t>600054</t>
  </si>
  <si>
    <t>002360</t>
  </si>
  <si>
    <t>300070</t>
  </si>
  <si>
    <t>600489</t>
  </si>
  <si>
    <t>2003-08-14</t>
  </si>
  <si>
    <t>300430</t>
  </si>
  <si>
    <t>000600</t>
  </si>
  <si>
    <t>601328</t>
  </si>
  <si>
    <t>2007-05-15</t>
  </si>
  <si>
    <t>002576</t>
  </si>
  <si>
    <t>002802</t>
  </si>
  <si>
    <t>2016-06-29</t>
  </si>
  <si>
    <t>300608</t>
  </si>
  <si>
    <t>000937</t>
  </si>
  <si>
    <t>1999-09-09</t>
  </si>
  <si>
    <t>600783</t>
  </si>
  <si>
    <t>000543</t>
  </si>
  <si>
    <t>1993-12-20</t>
  </si>
  <si>
    <t>002432</t>
  </si>
  <si>
    <t>000429</t>
  </si>
  <si>
    <t>1998-02-20</t>
  </si>
  <si>
    <t>300519</t>
  </si>
  <si>
    <t>002260</t>
  </si>
  <si>
    <t>2008-07-16</t>
  </si>
  <si>
    <t>603306</t>
  </si>
  <si>
    <t>2014-09-26</t>
  </si>
  <si>
    <t>300243</t>
  </si>
  <si>
    <t>600012</t>
  </si>
  <si>
    <t>2003-01-07</t>
  </si>
  <si>
    <t>601333</t>
  </si>
  <si>
    <t>002538</t>
  </si>
  <si>
    <t>002826</t>
  </si>
  <si>
    <t>2016-12-09</t>
  </si>
  <si>
    <t>002424</t>
  </si>
  <si>
    <t>603113</t>
  </si>
  <si>
    <t>600815</t>
  </si>
  <si>
    <t>300393</t>
  </si>
  <si>
    <t>300610</t>
  </si>
  <si>
    <t>601886</t>
  </si>
  <si>
    <t>600581</t>
  </si>
  <si>
    <t>2002-08-16</t>
  </si>
  <si>
    <t>300531</t>
  </si>
  <si>
    <t>002466</t>
  </si>
  <si>
    <t>600773</t>
  </si>
  <si>
    <t>002527</t>
  </si>
  <si>
    <t>600515</t>
  </si>
  <si>
    <t>2002-08-06</t>
  </si>
  <si>
    <t>000545</t>
  </si>
  <si>
    <t>600177</t>
  </si>
  <si>
    <t>600718</t>
  </si>
  <si>
    <t>600498</t>
  </si>
  <si>
    <t>2001-08-23</t>
  </si>
  <si>
    <t>300411</t>
  </si>
  <si>
    <t>002344</t>
  </si>
  <si>
    <t>603567</t>
  </si>
  <si>
    <t>002377</t>
  </si>
  <si>
    <t>300648</t>
  </si>
  <si>
    <t>2017-04-25</t>
  </si>
  <si>
    <t>002206</t>
  </si>
  <si>
    <t>603019</t>
  </si>
  <si>
    <t>2014-11-06</t>
  </si>
  <si>
    <t>002267</t>
  </si>
  <si>
    <t>2008-08-13</t>
  </si>
  <si>
    <t>601228</t>
  </si>
  <si>
    <t>2017-03-29</t>
  </si>
  <si>
    <t>002092</t>
  </si>
  <si>
    <t>002433</t>
  </si>
  <si>
    <t>002899</t>
  </si>
  <si>
    <t>603269</t>
  </si>
  <si>
    <t>000628</t>
  </si>
  <si>
    <t>002254</t>
  </si>
  <si>
    <t>2008-06-25</t>
  </si>
  <si>
    <t>603466</t>
  </si>
  <si>
    <t>300184</t>
  </si>
  <si>
    <t>601933</t>
  </si>
  <si>
    <t>002225</t>
  </si>
  <si>
    <t>600959</t>
  </si>
  <si>
    <t>2015-04-28</t>
  </si>
  <si>
    <t>603569</t>
  </si>
  <si>
    <t>2016-08-10</t>
  </si>
  <si>
    <t>300400</t>
  </si>
  <si>
    <t>002775</t>
  </si>
  <si>
    <t>600619</t>
  </si>
  <si>
    <t>1992-11-16</t>
  </si>
  <si>
    <t>002059</t>
  </si>
  <si>
    <t>300181</t>
  </si>
  <si>
    <t>601616</t>
  </si>
  <si>
    <t>000676</t>
  </si>
  <si>
    <t>1996-12-24</t>
  </si>
  <si>
    <t>000411</t>
  </si>
  <si>
    <t>002294</t>
  </si>
  <si>
    <t>603016</t>
  </si>
  <si>
    <t>2016-07-01</t>
  </si>
  <si>
    <t>600820</t>
  </si>
  <si>
    <t>002825</t>
  </si>
  <si>
    <t>300146</t>
  </si>
  <si>
    <t>601718</t>
  </si>
  <si>
    <t>2010-08-16</t>
  </si>
  <si>
    <t>002782</t>
  </si>
  <si>
    <t>002016</t>
  </si>
  <si>
    <t>000968</t>
  </si>
  <si>
    <t>002887</t>
  </si>
  <si>
    <t>603268</t>
  </si>
  <si>
    <t>600420</t>
  </si>
  <si>
    <t>2004-06-16</t>
  </si>
  <si>
    <t>002067</t>
  </si>
  <si>
    <t>2006-09-15</t>
  </si>
  <si>
    <t>601579</t>
  </si>
  <si>
    <t>2014-08-25</t>
  </si>
  <si>
    <t>002709</t>
  </si>
  <si>
    <t>000836</t>
  </si>
  <si>
    <t>002419</t>
  </si>
  <si>
    <t>300493</t>
  </si>
  <si>
    <t>300242</t>
  </si>
  <si>
    <t>600388</t>
  </si>
  <si>
    <t>601908</t>
  </si>
  <si>
    <t>2011-09-08</t>
  </si>
  <si>
    <t>600097</t>
  </si>
  <si>
    <t>1997-06-19</t>
  </si>
  <si>
    <t>002910</t>
  </si>
  <si>
    <t>600997</t>
  </si>
  <si>
    <t>2004-06-02</t>
  </si>
  <si>
    <t>002221</t>
  </si>
  <si>
    <t>2008-03-06</t>
  </si>
  <si>
    <t>603988</t>
  </si>
  <si>
    <t>002374</t>
  </si>
  <si>
    <t>002133</t>
  </si>
  <si>
    <t>601005</t>
  </si>
  <si>
    <t>2007-02-28</t>
  </si>
  <si>
    <t>601928</t>
  </si>
  <si>
    <t>2011-11-30</t>
  </si>
  <si>
    <t>603126</t>
  </si>
  <si>
    <t>600008</t>
  </si>
  <si>
    <t>2000-04-27</t>
  </si>
  <si>
    <t>600299</t>
  </si>
  <si>
    <t>300265</t>
  </si>
  <si>
    <t>002472</t>
  </si>
  <si>
    <t>300512</t>
  </si>
  <si>
    <t>2016-05-26</t>
  </si>
  <si>
    <t>300626</t>
  </si>
  <si>
    <t>002684</t>
  </si>
  <si>
    <t>300249</t>
  </si>
  <si>
    <t>002337</t>
  </si>
  <si>
    <t>601515</t>
  </si>
  <si>
    <t>002109</t>
  </si>
  <si>
    <t>600881</t>
  </si>
  <si>
    <t>002029</t>
  </si>
  <si>
    <t>2004-08-06</t>
  </si>
  <si>
    <t>601098</t>
  </si>
  <si>
    <t>2010-10-28</t>
  </si>
  <si>
    <t>000554</t>
  </si>
  <si>
    <t>601985</t>
  </si>
  <si>
    <t>002813</t>
  </si>
  <si>
    <t>002900</t>
  </si>
  <si>
    <t>600654</t>
  </si>
  <si>
    <t>603533</t>
  </si>
  <si>
    <t>2017-09-21</t>
  </si>
  <si>
    <t>600807</t>
  </si>
  <si>
    <t>600215</t>
  </si>
  <si>
    <t>603033</t>
  </si>
  <si>
    <t>2016-12-07</t>
  </si>
  <si>
    <t>300398</t>
  </si>
  <si>
    <t>600551</t>
  </si>
  <si>
    <t>2002-09-05</t>
  </si>
  <si>
    <t>600172</t>
  </si>
  <si>
    <t>1998-11-26</t>
  </si>
  <si>
    <t>002278</t>
  </si>
  <si>
    <t>2009-08-11</t>
  </si>
  <si>
    <t>002828</t>
  </si>
  <si>
    <t>300349</t>
  </si>
  <si>
    <t>002571</t>
  </si>
  <si>
    <t>000301</t>
  </si>
  <si>
    <t>2000-05-29</t>
  </si>
  <si>
    <t>603801</t>
  </si>
  <si>
    <t>2017-06-30</t>
  </si>
  <si>
    <t>300668</t>
  </si>
  <si>
    <t>600128</t>
  </si>
  <si>
    <t>1997-09-01</t>
  </si>
  <si>
    <t>002679</t>
  </si>
  <si>
    <t>603918</t>
  </si>
  <si>
    <t>000541</t>
  </si>
  <si>
    <t>1993-11-23</t>
  </si>
  <si>
    <t>603558</t>
  </si>
  <si>
    <t>002516</t>
  </si>
  <si>
    <t>603601</t>
  </si>
  <si>
    <t>603991</t>
  </si>
  <si>
    <t>2017-03-08</t>
  </si>
  <si>
    <t>600148</t>
  </si>
  <si>
    <t>000766</t>
  </si>
  <si>
    <t>000952</t>
  </si>
  <si>
    <t>1999-11-12</t>
  </si>
  <si>
    <t>002342</t>
  </si>
  <si>
    <t>600332</t>
  </si>
  <si>
    <t>603648</t>
  </si>
  <si>
    <t>2017-09-13</t>
  </si>
  <si>
    <t>300692</t>
  </si>
  <si>
    <t>300721</t>
  </si>
  <si>
    <t>300137</t>
  </si>
  <si>
    <t>000407</t>
  </si>
  <si>
    <t>1996-07-03</t>
  </si>
  <si>
    <t>000959</t>
  </si>
  <si>
    <t>002642</t>
  </si>
  <si>
    <t>600487</t>
  </si>
  <si>
    <t>2003-08-22</t>
  </si>
  <si>
    <t>300101</t>
  </si>
  <si>
    <t>000726</t>
  </si>
  <si>
    <t>002687</t>
  </si>
  <si>
    <t>603717</t>
  </si>
  <si>
    <t>2017-03-27</t>
  </si>
  <si>
    <t>300288</t>
  </si>
  <si>
    <t>000736</t>
  </si>
  <si>
    <t>1997-04-25</t>
  </si>
  <si>
    <t>002136</t>
  </si>
  <si>
    <t>300413</t>
  </si>
  <si>
    <t>600757</t>
  </si>
  <si>
    <t>300336</t>
  </si>
  <si>
    <t>2012-07-10</t>
  </si>
  <si>
    <t>603685</t>
  </si>
  <si>
    <t>2017-11-27</t>
  </si>
  <si>
    <t>600697</t>
  </si>
  <si>
    <t>603963</t>
  </si>
  <si>
    <t>600636</t>
  </si>
  <si>
    <t>1993-03-16</t>
  </si>
  <si>
    <t>600677</t>
  </si>
  <si>
    <t>002619</t>
  </si>
  <si>
    <t>002414</t>
  </si>
  <si>
    <t>002774</t>
  </si>
  <si>
    <t>002026</t>
  </si>
  <si>
    <t>2004-07-27</t>
  </si>
  <si>
    <t>000812</t>
  </si>
  <si>
    <t>600433</t>
  </si>
  <si>
    <t>2003-06-19</t>
  </si>
  <si>
    <t>300628</t>
  </si>
  <si>
    <t>000008</t>
  </si>
  <si>
    <t>1992-05-07</t>
  </si>
  <si>
    <t>300013</t>
  </si>
  <si>
    <t>002425</t>
  </si>
  <si>
    <t>002625</t>
  </si>
  <si>
    <t>002575</t>
  </si>
  <si>
    <t>002830</t>
  </si>
  <si>
    <t>600335</t>
  </si>
  <si>
    <t>2001-03-05</t>
  </si>
  <si>
    <t>002594</t>
  </si>
  <si>
    <t>603797</t>
  </si>
  <si>
    <t>002394</t>
  </si>
  <si>
    <t>000507</t>
  </si>
  <si>
    <t>300084</t>
  </si>
  <si>
    <t>603639</t>
  </si>
  <si>
    <t>600582</t>
  </si>
  <si>
    <t>2002-05-15</t>
  </si>
  <si>
    <t>002228</t>
  </si>
  <si>
    <t>2008-05-08</t>
  </si>
  <si>
    <t>002418</t>
  </si>
  <si>
    <t>600664</t>
  </si>
  <si>
    <t>1993-06-29</t>
  </si>
  <si>
    <t>600983</t>
  </si>
  <si>
    <t>600689</t>
  </si>
  <si>
    <t>600790</t>
  </si>
  <si>
    <t>300038</t>
  </si>
  <si>
    <t>000889</t>
  </si>
  <si>
    <t>1997-12-18</t>
  </si>
  <si>
    <t>600069</t>
  </si>
  <si>
    <t>603036</t>
  </si>
  <si>
    <t>000606</t>
  </si>
  <si>
    <t>1996-10-04</t>
  </si>
  <si>
    <t>603158</t>
  </si>
  <si>
    <t>002494</t>
  </si>
  <si>
    <t>603866</t>
  </si>
  <si>
    <t>300050</t>
  </si>
  <si>
    <t>002540</t>
  </si>
  <si>
    <t>002259</t>
  </si>
  <si>
    <t>300335</t>
  </si>
  <si>
    <t>002520</t>
  </si>
  <si>
    <t>000635</t>
  </si>
  <si>
    <t>300087</t>
  </si>
  <si>
    <t>000038</t>
  </si>
  <si>
    <t>1994-08-08</t>
  </si>
  <si>
    <t>600381</t>
  </si>
  <si>
    <t>2001-05-08</t>
  </si>
  <si>
    <t>601186</t>
  </si>
  <si>
    <t>2008-03-10</t>
  </si>
  <si>
    <t>002485</t>
  </si>
  <si>
    <t>603398</t>
  </si>
  <si>
    <t>002421</t>
  </si>
  <si>
    <t>600333</t>
  </si>
  <si>
    <t>2000-12-11</t>
  </si>
  <si>
    <t>600766</t>
  </si>
  <si>
    <t>002327</t>
  </si>
  <si>
    <t>2009-12-30</t>
  </si>
  <si>
    <t>603676</t>
  </si>
  <si>
    <t>603318</t>
  </si>
  <si>
    <t>600998</t>
  </si>
  <si>
    <t>002558</t>
  </si>
  <si>
    <t>603958</t>
  </si>
  <si>
    <t>603238</t>
  </si>
  <si>
    <t>600221</t>
  </si>
  <si>
    <t>600740</t>
  </si>
  <si>
    <t>600082</t>
  </si>
  <si>
    <t>1997-06-20</t>
  </si>
  <si>
    <t>603320</t>
  </si>
  <si>
    <t>2017-05-02</t>
  </si>
  <si>
    <t>603089</t>
  </si>
  <si>
    <t>002350</t>
  </si>
  <si>
    <t>002795</t>
  </si>
  <si>
    <t>000498</t>
  </si>
  <si>
    <t>300350</t>
  </si>
  <si>
    <t>2012-08-21</t>
  </si>
  <si>
    <t>000560</t>
  </si>
  <si>
    <t>300716</t>
  </si>
  <si>
    <t>600811</t>
  </si>
  <si>
    <t>300426</t>
  </si>
  <si>
    <t>002365</t>
  </si>
  <si>
    <t>300451</t>
  </si>
  <si>
    <t>000819</t>
  </si>
  <si>
    <t>002692</t>
  </si>
  <si>
    <t>300588</t>
  </si>
  <si>
    <t>600283</t>
  </si>
  <si>
    <t>300153</t>
  </si>
  <si>
    <t>600853</t>
  </si>
  <si>
    <t>300063</t>
  </si>
  <si>
    <t>600577</t>
  </si>
  <si>
    <t>2002-09-11</t>
  </si>
  <si>
    <t>600408</t>
  </si>
  <si>
    <t>2003-02-12</t>
  </si>
  <si>
    <t>603848</t>
  </si>
  <si>
    <t>600559</t>
  </si>
  <si>
    <t>2002-10-29</t>
  </si>
  <si>
    <t>300258</t>
  </si>
  <si>
    <t>2011-08-26</t>
  </si>
  <si>
    <t>600339</t>
  </si>
  <si>
    <t>002495</t>
  </si>
  <si>
    <t>002389</t>
  </si>
  <si>
    <t>600785</t>
  </si>
  <si>
    <t>1997-01-08</t>
  </si>
  <si>
    <t>002644</t>
  </si>
  <si>
    <t>002661</t>
  </si>
  <si>
    <t>002564</t>
  </si>
  <si>
    <t>002898</t>
  </si>
  <si>
    <t>603808</t>
  </si>
  <si>
    <t>002807</t>
  </si>
  <si>
    <t>2016-09-02</t>
  </si>
  <si>
    <t>603359</t>
  </si>
  <si>
    <t>002229</t>
  </si>
  <si>
    <t>002355</t>
  </si>
  <si>
    <t>603766</t>
  </si>
  <si>
    <t>2012-08-10</t>
  </si>
  <si>
    <t>600960</t>
  </si>
  <si>
    <t>2004-04-07</t>
  </si>
  <si>
    <t>300337</t>
  </si>
  <si>
    <t>300195</t>
  </si>
  <si>
    <t>600322</t>
  </si>
  <si>
    <t>2001-09-10</t>
  </si>
  <si>
    <t>603496</t>
  </si>
  <si>
    <t>2017-06-07</t>
  </si>
  <si>
    <t>002911</t>
  </si>
  <si>
    <t>2017-11-22</t>
  </si>
  <si>
    <t>000719</t>
  </si>
  <si>
    <t>1997-03-31</t>
  </si>
  <si>
    <t>600637</t>
  </si>
  <si>
    <t>002598</t>
  </si>
  <si>
    <t>600982</t>
  </si>
  <si>
    <t>2004-07-06</t>
  </si>
  <si>
    <t>000633</t>
  </si>
  <si>
    <t>1996-11-12</t>
  </si>
  <si>
    <t>600795</t>
  </si>
  <si>
    <t>1997-03-18</t>
  </si>
  <si>
    <t>600227</t>
  </si>
  <si>
    <t>600382</t>
  </si>
  <si>
    <t>603619</t>
  </si>
  <si>
    <t>603393</t>
  </si>
  <si>
    <t>2016-09-12</t>
  </si>
  <si>
    <t>000709</t>
  </si>
  <si>
    <t>300340</t>
  </si>
  <si>
    <t>600022</t>
  </si>
  <si>
    <t>002618</t>
  </si>
  <si>
    <t>002062</t>
  </si>
  <si>
    <t>2006-08-16</t>
  </si>
  <si>
    <t>000963</t>
  </si>
  <si>
    <t>2000-01-27</t>
  </si>
  <si>
    <t>000998</t>
  </si>
  <si>
    <t>600265</t>
  </si>
  <si>
    <t>2000-08-25</t>
  </si>
  <si>
    <t>300647</t>
  </si>
  <si>
    <t>600241</t>
  </si>
  <si>
    <t>2000-11-28</t>
  </si>
  <si>
    <t>002248</t>
  </si>
  <si>
    <t>2008-06-12</t>
  </si>
  <si>
    <t>600338</t>
  </si>
  <si>
    <t>002585</t>
  </si>
  <si>
    <t>002085</t>
  </si>
  <si>
    <t>2006-11-28</t>
  </si>
  <si>
    <t>002320</t>
  </si>
  <si>
    <t>300269</t>
  </si>
  <si>
    <t>002252</t>
  </si>
  <si>
    <t>002823</t>
  </si>
  <si>
    <t>2016-11-24</t>
  </si>
  <si>
    <t>603890</t>
  </si>
  <si>
    <t>2017-12-12</t>
  </si>
  <si>
    <t>002115</t>
  </si>
  <si>
    <t>300344</t>
  </si>
  <si>
    <t>603096</t>
  </si>
  <si>
    <t>300620</t>
  </si>
  <si>
    <t>603969</t>
  </si>
  <si>
    <t>2015-02-27</t>
  </si>
  <si>
    <t>300358</t>
  </si>
  <si>
    <t>300587</t>
  </si>
  <si>
    <t>002346</t>
  </si>
  <si>
    <t>600596</t>
  </si>
  <si>
    <t>2001-09-06</t>
  </si>
  <si>
    <t>600303</t>
  </si>
  <si>
    <t>2000-12-26</t>
  </si>
  <si>
    <t>300405</t>
  </si>
  <si>
    <t>300539</t>
  </si>
  <si>
    <t>002040</t>
  </si>
  <si>
    <t>2005-03-25</t>
  </si>
  <si>
    <t>300117</t>
  </si>
  <si>
    <t>603339</t>
  </si>
  <si>
    <t>2016-05-19</t>
  </si>
  <si>
    <t>002186</t>
  </si>
  <si>
    <t>002193</t>
  </si>
  <si>
    <t>603880</t>
  </si>
  <si>
    <t>002490</t>
  </si>
  <si>
    <t>300149</t>
  </si>
  <si>
    <t>600482</t>
  </si>
  <si>
    <t>2004-07-14</t>
  </si>
  <si>
    <t>603077</t>
  </si>
  <si>
    <t>600398</t>
  </si>
  <si>
    <t>600104</t>
  </si>
  <si>
    <t>1997-11-25</t>
  </si>
  <si>
    <t>600692</t>
  </si>
  <si>
    <t>601618</t>
  </si>
  <si>
    <t>2009-09-21</t>
  </si>
  <si>
    <t>002686</t>
  </si>
  <si>
    <t>2012-07-03</t>
  </si>
  <si>
    <t>002573</t>
  </si>
  <si>
    <t>603677</t>
  </si>
  <si>
    <t>300437</t>
  </si>
  <si>
    <t>603136</t>
  </si>
  <si>
    <t>2017-09-27</t>
  </si>
  <si>
    <t>601997</t>
  </si>
  <si>
    <t>2016-08-16</t>
  </si>
  <si>
    <t>300187</t>
  </si>
  <si>
    <t>300148</t>
  </si>
  <si>
    <t>600100</t>
  </si>
  <si>
    <t>600010</t>
  </si>
  <si>
    <t>2001-03-09</t>
  </si>
  <si>
    <t>300698</t>
  </si>
  <si>
    <t>2017-08-31</t>
  </si>
  <si>
    <t>000887</t>
  </si>
  <si>
    <t>603001</t>
  </si>
  <si>
    <t>002811</t>
  </si>
  <si>
    <t>000930</t>
  </si>
  <si>
    <t>002117</t>
  </si>
  <si>
    <t>002345</t>
  </si>
  <si>
    <t>600291</t>
  </si>
  <si>
    <t>600306</t>
  </si>
  <si>
    <t>603319</t>
  </si>
  <si>
    <t>2016-11-30</t>
  </si>
  <si>
    <t>000826</t>
  </si>
  <si>
    <t>603228</t>
  </si>
  <si>
    <t>600717</t>
  </si>
  <si>
    <t>603617</t>
  </si>
  <si>
    <t>2017-07-03</t>
  </si>
  <si>
    <t>002721</t>
  </si>
  <si>
    <t>600867</t>
  </si>
  <si>
    <t>1994-08-24</t>
  </si>
  <si>
    <t>300485</t>
  </si>
  <si>
    <t>000852</t>
  </si>
  <si>
    <t>600400</t>
  </si>
  <si>
    <t>2001-01-08</t>
  </si>
  <si>
    <t>600493</t>
  </si>
  <si>
    <t>2004-04-21</t>
  </si>
  <si>
    <t>601019</t>
  </si>
  <si>
    <t>600019</t>
  </si>
  <si>
    <t>2000-12-12</t>
  </si>
  <si>
    <t>603188</t>
  </si>
  <si>
    <t>2014-09-09</t>
  </si>
  <si>
    <t>600084</t>
  </si>
  <si>
    <t>603131</t>
  </si>
  <si>
    <t>2016-06-07</t>
  </si>
  <si>
    <t>603336</t>
  </si>
  <si>
    <t>600311</t>
  </si>
  <si>
    <t>2001-06-26</t>
  </si>
  <si>
    <t>300098</t>
  </si>
  <si>
    <t>300219</t>
  </si>
  <si>
    <t>300262</t>
  </si>
  <si>
    <t>300300</t>
  </si>
  <si>
    <t>600543</t>
  </si>
  <si>
    <t>2004-03-24</t>
  </si>
  <si>
    <t>000902</t>
  </si>
  <si>
    <t>1999-04-08</t>
  </si>
  <si>
    <t>000056</t>
  </si>
  <si>
    <t>1996-07-08</t>
  </si>
  <si>
    <t>300334</t>
  </si>
  <si>
    <t>2012-07-05</t>
  </si>
  <si>
    <t>600658</t>
  </si>
  <si>
    <t>600870</t>
  </si>
  <si>
    <t>1995-02-28</t>
  </si>
  <si>
    <t>002606</t>
  </si>
  <si>
    <t>000539</t>
  </si>
  <si>
    <t>1993-11-26</t>
  </si>
  <si>
    <t>603038</t>
  </si>
  <si>
    <t>2017-01-16</t>
  </si>
  <si>
    <t>002101</t>
  </si>
  <si>
    <t>2006-12-29</t>
  </si>
  <si>
    <t>000757</t>
  </si>
  <si>
    <t>000701</t>
  </si>
  <si>
    <t>1997-02-26</t>
  </si>
  <si>
    <t>600256</t>
  </si>
  <si>
    <t>2000-05-26</t>
  </si>
  <si>
    <t>603716</t>
  </si>
  <si>
    <t>2016-10-31</t>
  </si>
  <si>
    <t>300554</t>
  </si>
  <si>
    <t>300240</t>
  </si>
  <si>
    <t>600423</t>
  </si>
  <si>
    <t>2003-07-17</t>
  </si>
  <si>
    <t>300693</t>
  </si>
  <si>
    <t>002842</t>
  </si>
  <si>
    <t>002726</t>
  </si>
  <si>
    <t>002313</t>
  </si>
  <si>
    <t>002863</t>
  </si>
  <si>
    <t>603303</t>
  </si>
  <si>
    <t>600804</t>
  </si>
  <si>
    <t>000711</t>
  </si>
  <si>
    <t>1997-04-11</t>
  </si>
  <si>
    <t>002003</t>
  </si>
  <si>
    <t>603917</t>
  </si>
  <si>
    <t>2017-12-04</t>
  </si>
  <si>
    <t>603696</t>
  </si>
  <si>
    <t>600684</t>
  </si>
  <si>
    <t>603728</t>
  </si>
  <si>
    <t>600594</t>
  </si>
  <si>
    <t>2004-03-23</t>
  </si>
  <si>
    <t>002195</t>
  </si>
  <si>
    <t>000534</t>
  </si>
  <si>
    <t>300055</t>
  </si>
  <si>
    <t>600255</t>
  </si>
  <si>
    <t>2000-11-22</t>
  </si>
  <si>
    <t>300640</t>
  </si>
  <si>
    <t>2017-04-17</t>
  </si>
  <si>
    <t>300390</t>
  </si>
  <si>
    <t>300289</t>
  </si>
  <si>
    <t>300177</t>
  </si>
  <si>
    <t>600661</t>
  </si>
  <si>
    <t>002239</t>
  </si>
  <si>
    <t>600808</t>
  </si>
  <si>
    <t>002856</t>
  </si>
  <si>
    <t>002471</t>
  </si>
  <si>
    <t>600225</t>
  </si>
  <si>
    <t>603698</t>
  </si>
  <si>
    <t>002701</t>
  </si>
  <si>
    <t>600789</t>
  </si>
  <si>
    <t>600074</t>
  </si>
  <si>
    <t>1997-06-23</t>
  </si>
  <si>
    <t>300355</t>
  </si>
  <si>
    <t>603928</t>
  </si>
  <si>
    <t>2016-12-12</t>
  </si>
  <si>
    <t>600874</t>
  </si>
  <si>
    <t>1995-06-30</t>
  </si>
  <si>
    <t>603838</t>
  </si>
  <si>
    <t>002173</t>
  </si>
  <si>
    <t>600236</t>
  </si>
  <si>
    <t>2000-03-23</t>
  </si>
  <si>
    <t>600691</t>
  </si>
  <si>
    <t>002922</t>
  </si>
  <si>
    <t>002148</t>
  </si>
  <si>
    <t>601366</t>
  </si>
  <si>
    <t>601669</t>
  </si>
  <si>
    <t>603323</t>
  </si>
  <si>
    <t>002770</t>
  </si>
  <si>
    <t>603776</t>
  </si>
  <si>
    <t>000019</t>
  </si>
  <si>
    <t>1992-10-12</t>
  </si>
  <si>
    <t>603819</t>
  </si>
  <si>
    <t>002504</t>
  </si>
  <si>
    <t>002542</t>
  </si>
  <si>
    <t>603329</t>
  </si>
  <si>
    <t>002753</t>
  </si>
  <si>
    <t>002279</t>
  </si>
  <si>
    <t>300067</t>
  </si>
  <si>
    <t>603933</t>
  </si>
  <si>
    <t>2017-07-06</t>
  </si>
  <si>
    <t>002535</t>
  </si>
  <si>
    <t>2011-01-11</t>
  </si>
  <si>
    <t>300605</t>
  </si>
  <si>
    <t>600125</t>
  </si>
  <si>
    <t>1998-05-11</t>
  </si>
  <si>
    <t>002907</t>
  </si>
  <si>
    <t>600200</t>
  </si>
  <si>
    <t>1999-04-01</t>
  </si>
  <si>
    <t>603926</t>
  </si>
  <si>
    <t>002287</t>
  </si>
  <si>
    <t>300159</t>
  </si>
  <si>
    <t>300490</t>
  </si>
  <si>
    <t>300097</t>
  </si>
  <si>
    <t>600706</t>
  </si>
  <si>
    <t>000697</t>
  </si>
  <si>
    <t>1997-03-25</t>
  </si>
  <si>
    <t>603007</t>
  </si>
  <si>
    <t>002256</t>
  </si>
  <si>
    <t>002529</t>
  </si>
  <si>
    <t>300364</t>
  </si>
  <si>
    <t>000409</t>
  </si>
  <si>
    <t>1996-06-27</t>
  </si>
  <si>
    <t>603387</t>
  </si>
  <si>
    <t>601566</t>
  </si>
  <si>
    <t>2011-05-30</t>
  </si>
  <si>
    <t>603602</t>
  </si>
  <si>
    <t>2017-08-10</t>
  </si>
  <si>
    <t>002486</t>
  </si>
  <si>
    <t>603106</t>
  </si>
  <si>
    <t>2017-09-20</t>
  </si>
  <si>
    <t>600235</t>
  </si>
  <si>
    <t>601003</t>
  </si>
  <si>
    <t>2007-02-27</t>
  </si>
  <si>
    <t>600133</t>
  </si>
  <si>
    <t>1998-02-12</t>
  </si>
  <si>
    <t>601229</t>
  </si>
  <si>
    <t>002006</t>
  </si>
  <si>
    <t>300536</t>
  </si>
  <si>
    <t>600327</t>
  </si>
  <si>
    <t>2002-06-25</t>
  </si>
  <si>
    <t>600280</t>
  </si>
  <si>
    <t>002735</t>
  </si>
  <si>
    <t>002792</t>
  </si>
  <si>
    <t>2016-03-28</t>
  </si>
  <si>
    <t>002431</t>
  </si>
  <si>
    <t>000821</t>
  </si>
  <si>
    <t>603138</t>
  </si>
  <si>
    <t>300313</t>
  </si>
  <si>
    <t>300467</t>
  </si>
  <si>
    <t>002559</t>
  </si>
  <si>
    <t>300559</t>
  </si>
  <si>
    <t>601390</t>
  </si>
  <si>
    <t>300495</t>
  </si>
  <si>
    <t>002141</t>
  </si>
  <si>
    <t>2007-07-20</t>
  </si>
  <si>
    <t>002903</t>
  </si>
  <si>
    <t>603266</t>
  </si>
  <si>
    <t>002183</t>
  </si>
  <si>
    <t>603050</t>
  </si>
  <si>
    <t>603025</t>
  </si>
  <si>
    <t>300619</t>
  </si>
  <si>
    <t>2017-03-01</t>
  </si>
  <si>
    <t>002752</t>
  </si>
  <si>
    <t>002630</t>
  </si>
  <si>
    <t>600738</t>
  </si>
  <si>
    <t>300385</t>
  </si>
  <si>
    <t>000690</t>
  </si>
  <si>
    <t>1997-01-28</t>
  </si>
  <si>
    <t>300230</t>
  </si>
  <si>
    <t>002264</t>
  </si>
  <si>
    <t>2008-07-31</t>
  </si>
  <si>
    <t>002336</t>
  </si>
  <si>
    <t>300491</t>
  </si>
  <si>
    <t>603608</t>
  </si>
  <si>
    <t>2016-02-18</t>
  </si>
  <si>
    <t>002037</t>
  </si>
  <si>
    <t>2004-09-08</t>
  </si>
  <si>
    <t>300660</t>
  </si>
  <si>
    <t>300252</t>
  </si>
  <si>
    <t>600675</t>
  </si>
  <si>
    <t>300469</t>
  </si>
  <si>
    <t>002491</t>
  </si>
  <si>
    <t>300538</t>
  </si>
  <si>
    <t>300633</t>
  </si>
  <si>
    <t>002399</t>
  </si>
  <si>
    <t>300691</t>
  </si>
  <si>
    <t>002739</t>
  </si>
  <si>
    <t>600379</t>
  </si>
  <si>
    <t>2002-01-16</t>
  </si>
  <si>
    <t>600023</t>
  </si>
  <si>
    <t>2013-12-19</t>
  </si>
  <si>
    <t>300684</t>
  </si>
  <si>
    <t>2017-12-27</t>
  </si>
  <si>
    <t>601200</t>
  </si>
  <si>
    <t>300434</t>
  </si>
  <si>
    <t>600175</t>
  </si>
  <si>
    <t>600550</t>
  </si>
  <si>
    <t>300247</t>
  </si>
  <si>
    <t>002584</t>
  </si>
  <si>
    <t>603103</t>
  </si>
  <si>
    <t>2017-10-12</t>
  </si>
  <si>
    <t>300164</t>
  </si>
  <si>
    <t>002769</t>
  </si>
  <si>
    <t>603877</t>
  </si>
  <si>
    <t>2017-01-09</t>
  </si>
  <si>
    <t>002372</t>
  </si>
  <si>
    <t>000695</t>
  </si>
  <si>
    <t>1997-02-18</t>
  </si>
  <si>
    <t>600080</t>
  </si>
  <si>
    <t>300123</t>
  </si>
  <si>
    <t>002864</t>
  </si>
  <si>
    <t>603856</t>
  </si>
  <si>
    <t>002502</t>
  </si>
  <si>
    <t>300094</t>
  </si>
  <si>
    <t>300261</t>
  </si>
  <si>
    <t>000615</t>
  </si>
  <si>
    <t>1996-10-16</t>
  </si>
  <si>
    <t>603665</t>
  </si>
  <si>
    <t>300507</t>
  </si>
  <si>
    <t>2016-04-29</t>
  </si>
  <si>
    <t>601011</t>
  </si>
  <si>
    <t>2011-03-09</t>
  </si>
  <si>
    <t>300478</t>
  </si>
  <si>
    <t>002765</t>
  </si>
  <si>
    <t>300102</t>
  </si>
  <si>
    <t>300121</t>
  </si>
  <si>
    <t>000908</t>
  </si>
  <si>
    <t>002160</t>
  </si>
  <si>
    <t>601801</t>
  </si>
  <si>
    <t>2010-01-18</t>
  </si>
  <si>
    <t>300635</t>
  </si>
  <si>
    <t>600569</t>
  </si>
  <si>
    <t>603595</t>
  </si>
  <si>
    <t>603396</t>
  </si>
  <si>
    <t>2017-10-18</t>
  </si>
  <si>
    <t>601619</t>
  </si>
  <si>
    <t>2017-07-20</t>
  </si>
  <si>
    <t>603970</t>
  </si>
  <si>
    <t>000965</t>
  </si>
  <si>
    <t>2000-04-06</t>
  </si>
  <si>
    <t>600103</t>
  </si>
  <si>
    <t>603757</t>
  </si>
  <si>
    <t>2017-07-11</t>
  </si>
  <si>
    <t>300477</t>
  </si>
  <si>
    <t>002168</t>
  </si>
  <si>
    <t>600209</t>
  </si>
  <si>
    <t>600520</t>
  </si>
  <si>
    <t>2002-01-08</t>
  </si>
  <si>
    <t>600623</t>
  </si>
  <si>
    <t>1992-12-04</t>
  </si>
  <si>
    <t>002891</t>
  </si>
  <si>
    <t>600638</t>
  </si>
  <si>
    <t>002865</t>
  </si>
  <si>
    <t>002255</t>
  </si>
  <si>
    <t>300182</t>
  </si>
  <si>
    <t>600385</t>
  </si>
  <si>
    <t>2001-07-23</t>
  </si>
  <si>
    <t>300484</t>
  </si>
  <si>
    <t>2016-03-22</t>
  </si>
  <si>
    <t>000782</t>
  </si>
  <si>
    <t>002382</t>
  </si>
  <si>
    <t>002068</t>
  </si>
  <si>
    <t>600545</t>
  </si>
  <si>
    <t>2003-12-03</t>
  </si>
  <si>
    <t>600121</t>
  </si>
  <si>
    <t>1998-01-07</t>
  </si>
  <si>
    <t>601777</t>
  </si>
  <si>
    <t>601101</t>
  </si>
  <si>
    <t>300649</t>
  </si>
  <si>
    <t>300133</t>
  </si>
  <si>
    <t>300700</t>
  </si>
  <si>
    <t>600250</t>
  </si>
  <si>
    <t>2001-03-06</t>
  </si>
  <si>
    <t>300528</t>
  </si>
  <si>
    <t>600555</t>
  </si>
  <si>
    <t>300597</t>
  </si>
  <si>
    <t>603421</t>
  </si>
  <si>
    <t>2016-10-11</t>
  </si>
  <si>
    <t>601857</t>
  </si>
  <si>
    <t>2007-11-05</t>
  </si>
  <si>
    <t>603010</t>
  </si>
  <si>
    <t>300703</t>
  </si>
  <si>
    <t>603388</t>
  </si>
  <si>
    <t>600293</t>
  </si>
  <si>
    <t>300180</t>
  </si>
  <si>
    <t>603098</t>
  </si>
  <si>
    <t>2016-12-16</t>
  </si>
  <si>
    <t>600277</t>
  </si>
  <si>
    <t>300077</t>
  </si>
  <si>
    <t>600297</t>
  </si>
  <si>
    <t>2000-11-16</t>
  </si>
  <si>
    <t>300210</t>
  </si>
  <si>
    <t>603858</t>
  </si>
  <si>
    <t>002691</t>
  </si>
  <si>
    <t>300654</t>
  </si>
  <si>
    <t>002805</t>
  </si>
  <si>
    <t>2016-07-07</t>
  </si>
  <si>
    <t>002480</t>
  </si>
  <si>
    <t>000613</t>
  </si>
  <si>
    <t>300730</t>
  </si>
  <si>
    <t>600701</t>
  </si>
  <si>
    <t>600312</t>
  </si>
  <si>
    <t>2001-02-21</t>
  </si>
  <si>
    <t>300712</t>
  </si>
  <si>
    <t>300086</t>
  </si>
  <si>
    <t>603335</t>
  </si>
  <si>
    <t>600579</t>
  </si>
  <si>
    <t>2002-08-09</t>
  </si>
  <si>
    <t>300197</t>
  </si>
  <si>
    <t>603869</t>
  </si>
  <si>
    <t>002383</t>
  </si>
  <si>
    <t>601766</t>
  </si>
  <si>
    <t>2008-08-18</t>
  </si>
  <si>
    <t>600165</t>
  </si>
  <si>
    <t>1998-05-29</t>
  </si>
  <si>
    <t>002417</t>
  </si>
  <si>
    <t>300499</t>
  </si>
  <si>
    <t>2016-02-02</t>
  </si>
  <si>
    <t>600535</t>
  </si>
  <si>
    <t>2002-08-23</t>
  </si>
  <si>
    <t>600275</t>
  </si>
  <si>
    <t>2000-08-10</t>
  </si>
  <si>
    <t>603900</t>
  </si>
  <si>
    <t>2016-11-23</t>
  </si>
  <si>
    <t>603663</t>
  </si>
  <si>
    <t>2016-08-01</t>
  </si>
  <si>
    <t>300604</t>
  </si>
  <si>
    <t>601800</t>
  </si>
  <si>
    <t>603088</t>
  </si>
  <si>
    <t>2014-11-11</t>
  </si>
  <si>
    <t>603058</t>
  </si>
  <si>
    <t>300414</t>
  </si>
  <si>
    <t>002885</t>
  </si>
  <si>
    <t>603499</t>
  </si>
  <si>
    <t>300276</t>
  </si>
  <si>
    <t>2011-11-15</t>
  </si>
  <si>
    <t>002672</t>
  </si>
  <si>
    <t>603580</t>
  </si>
  <si>
    <t>002451</t>
  </si>
  <si>
    <t>000932</t>
  </si>
  <si>
    <t>002376</t>
  </si>
  <si>
    <t>600477</t>
  </si>
  <si>
    <t>2003-11-10</t>
  </si>
  <si>
    <t>603067</t>
  </si>
  <si>
    <t>300284</t>
  </si>
  <si>
    <t>002442</t>
  </si>
  <si>
    <t>600987</t>
  </si>
  <si>
    <t>2004-08-09</t>
  </si>
  <si>
    <t>600247</t>
  </si>
  <si>
    <t>2000-11-23</t>
  </si>
  <si>
    <t>300687</t>
  </si>
  <si>
    <t>2017-08-03</t>
  </si>
  <si>
    <t>002333</t>
  </si>
  <si>
    <t>002391</t>
  </si>
  <si>
    <t>002741</t>
  </si>
  <si>
    <t>600260</t>
  </si>
  <si>
    <t>600500</t>
  </si>
  <si>
    <t>601991</t>
  </si>
  <si>
    <t>2006-12-20</t>
  </si>
  <si>
    <t>002306</t>
  </si>
  <si>
    <t>600810</t>
  </si>
  <si>
    <t>002694</t>
  </si>
  <si>
    <t>2012-08-16</t>
  </si>
  <si>
    <t>600688</t>
  </si>
  <si>
    <t>300560</t>
  </si>
  <si>
    <t>603032</t>
  </si>
  <si>
    <t>600774</t>
  </si>
  <si>
    <t>600715</t>
  </si>
  <si>
    <t>600629</t>
  </si>
  <si>
    <t>002125</t>
  </si>
  <si>
    <t>2007-04-03</t>
  </si>
  <si>
    <t>300071</t>
  </si>
  <si>
    <t>000036</t>
  </si>
  <si>
    <t>002832</t>
  </si>
  <si>
    <t>600027</t>
  </si>
  <si>
    <t>2005-02-03</t>
  </si>
  <si>
    <t>600699</t>
  </si>
  <si>
    <t>002349</t>
  </si>
  <si>
    <t>000797</t>
  </si>
  <si>
    <t>1997-07-15</t>
  </si>
  <si>
    <t>300444</t>
  </si>
  <si>
    <t>603039</t>
  </si>
  <si>
    <t>300068</t>
  </si>
  <si>
    <t>600671</t>
  </si>
  <si>
    <t>1993-08-23</t>
  </si>
  <si>
    <t>002806</t>
  </si>
  <si>
    <t>002482</t>
  </si>
  <si>
    <t>600890</t>
  </si>
  <si>
    <t>1996-03-18</t>
  </si>
  <si>
    <t>600568</t>
  </si>
  <si>
    <t>002893</t>
  </si>
  <si>
    <t>600726</t>
  </si>
  <si>
    <t>600090</t>
  </si>
  <si>
    <t>002075</t>
  </si>
  <si>
    <t>2006-10-25</t>
  </si>
  <si>
    <t>002305</t>
  </si>
  <si>
    <t>300565</t>
  </si>
  <si>
    <t>000413</t>
  </si>
  <si>
    <t>300523</t>
  </si>
  <si>
    <t>300727</t>
  </si>
  <si>
    <t>300278</t>
  </si>
  <si>
    <t>600011</t>
  </si>
  <si>
    <t>2001-12-06</t>
  </si>
  <si>
    <t>002285</t>
  </si>
  <si>
    <t>300509</t>
  </si>
  <si>
    <t>2016-04-25</t>
  </si>
  <si>
    <t>300108</t>
  </si>
  <si>
    <t>603330</t>
  </si>
  <si>
    <t>300423</t>
  </si>
  <si>
    <t>603861</t>
  </si>
  <si>
    <t>300391</t>
  </si>
  <si>
    <t>300107</t>
  </si>
  <si>
    <t>000665</t>
  </si>
  <si>
    <t>000856</t>
  </si>
  <si>
    <t>1998-08-13</t>
  </si>
  <si>
    <t>603196</t>
  </si>
  <si>
    <t>2017-05-31</t>
  </si>
  <si>
    <t>002919</t>
  </si>
  <si>
    <t>603985</t>
  </si>
  <si>
    <t>002808</t>
  </si>
  <si>
    <t>002435</t>
  </si>
  <si>
    <t>600516</t>
  </si>
  <si>
    <t>2002-08-30</t>
  </si>
  <si>
    <t>002411</t>
  </si>
  <si>
    <t>002464</t>
  </si>
  <si>
    <t>300049</t>
  </si>
  <si>
    <t>002543</t>
  </si>
  <si>
    <t>002366</t>
  </si>
  <si>
    <t>600228</t>
  </si>
  <si>
    <t>1999-01-19</t>
  </si>
  <si>
    <t>300064</t>
  </si>
  <si>
    <t>300603</t>
  </si>
  <si>
    <t>002749</t>
  </si>
  <si>
    <t>002659</t>
  </si>
  <si>
    <t>600119</t>
  </si>
  <si>
    <t>300711</t>
  </si>
  <si>
    <t>002884</t>
  </si>
  <si>
    <t>300448</t>
  </si>
  <si>
    <t>002309</t>
  </si>
  <si>
    <t>603559</t>
  </si>
  <si>
    <t>2016-12-02</t>
  </si>
  <si>
    <t>600750</t>
  </si>
  <si>
    <t>600733</t>
  </si>
  <si>
    <t>002896</t>
  </si>
  <si>
    <t>2017-08-29</t>
  </si>
  <si>
    <t>300510</t>
  </si>
  <si>
    <t>2016-05-06</t>
  </si>
  <si>
    <t>300272</t>
  </si>
  <si>
    <t>600122</t>
  </si>
  <si>
    <t>002917</t>
  </si>
  <si>
    <t>000791</t>
  </si>
  <si>
    <t>1997-10-14</t>
  </si>
  <si>
    <t>002742</t>
  </si>
  <si>
    <t>600978</t>
  </si>
  <si>
    <t>2004-08-24</t>
  </si>
  <si>
    <t>601339</t>
  </si>
  <si>
    <t>603669</t>
  </si>
  <si>
    <t>002310</t>
  </si>
  <si>
    <t>002328</t>
  </si>
  <si>
    <t>300047</t>
  </si>
  <si>
    <t>002908</t>
  </si>
  <si>
    <t>002110</t>
  </si>
  <si>
    <t>300389</t>
  </si>
  <si>
    <t>002700</t>
  </si>
  <si>
    <t>2012-09-21</t>
  </si>
  <si>
    <t>300237</t>
  </si>
  <si>
    <t>300501</t>
  </si>
  <si>
    <t>2016-02-04</t>
  </si>
  <si>
    <t>002921</t>
  </si>
  <si>
    <t>000681</t>
  </si>
  <si>
    <t>603616</t>
  </si>
  <si>
    <t>600120</t>
  </si>
  <si>
    <t>1997-12-01</t>
  </si>
  <si>
    <t>000639</t>
  </si>
  <si>
    <t>002159</t>
  </si>
  <si>
    <t>002586</t>
  </si>
  <si>
    <t>600698</t>
  </si>
  <si>
    <t>002517</t>
  </si>
  <si>
    <t>600903</t>
  </si>
  <si>
    <t>2017-11-07</t>
  </si>
  <si>
    <t>002662</t>
  </si>
  <si>
    <t>600666</t>
  </si>
  <si>
    <t>1993-07-12</t>
  </si>
  <si>
    <t>002640</t>
  </si>
  <si>
    <t>002629</t>
  </si>
  <si>
    <t>600566</t>
  </si>
  <si>
    <t>2001-08-22</t>
  </si>
  <si>
    <t>600965</t>
  </si>
  <si>
    <t>600179</t>
  </si>
  <si>
    <t>002867</t>
  </si>
  <si>
    <t>603903</t>
  </si>
  <si>
    <t>600892</t>
  </si>
  <si>
    <t>1996-03-15</t>
  </si>
  <si>
    <t>002445</t>
  </si>
  <si>
    <t>002827</t>
  </si>
  <si>
    <t>603725</t>
  </si>
  <si>
    <t>2017-09-06</t>
  </si>
  <si>
    <t>000525</t>
  </si>
  <si>
    <t>002219</t>
  </si>
  <si>
    <t>600468</t>
  </si>
  <si>
    <t>002537</t>
  </si>
  <si>
    <t>300500</t>
  </si>
  <si>
    <t>000813</t>
  </si>
  <si>
    <t>603828</t>
  </si>
  <si>
    <t>603980</t>
  </si>
  <si>
    <t>002843</t>
  </si>
  <si>
    <t>603157</t>
  </si>
  <si>
    <t>2017-09-25</t>
  </si>
  <si>
    <t>300104</t>
  </si>
  <si>
    <t>002696</t>
  </si>
  <si>
    <t>603996</t>
  </si>
  <si>
    <t>002147</t>
  </si>
  <si>
    <t>603260</t>
  </si>
  <si>
    <t>2017-10-30</t>
  </si>
  <si>
    <t>600622</t>
  </si>
  <si>
    <t>1992-12-03</t>
  </si>
  <si>
    <t>300453</t>
  </si>
  <si>
    <t>300449</t>
  </si>
  <si>
    <t>002208</t>
  </si>
  <si>
    <t>300722</t>
  </si>
  <si>
    <t>002831</t>
  </si>
  <si>
    <t>300089</t>
  </si>
  <si>
    <t>603278</t>
  </si>
  <si>
    <t>000597</t>
  </si>
  <si>
    <t>1996-05-23</t>
  </si>
  <si>
    <t>002614</t>
  </si>
  <si>
    <t>601127</t>
  </si>
  <si>
    <t>2016-06-15</t>
  </si>
  <si>
    <t>603660</t>
  </si>
  <si>
    <t>002427</t>
  </si>
  <si>
    <t>000659</t>
  </si>
  <si>
    <t>603225</t>
  </si>
  <si>
    <t>300673</t>
  </si>
  <si>
    <t>603889</t>
  </si>
  <si>
    <t>603055</t>
  </si>
  <si>
    <t>300375</t>
  </si>
  <si>
    <t>300282</t>
  </si>
  <si>
    <t>300575</t>
  </si>
  <si>
    <t>300488</t>
  </si>
  <si>
    <t>002621</t>
  </si>
  <si>
    <t>600230</t>
  </si>
  <si>
    <t>300203</t>
  </si>
  <si>
    <t>603959</t>
  </si>
  <si>
    <t>2016-05-17</t>
  </si>
  <si>
    <t>603159</t>
  </si>
  <si>
    <t>600290</t>
  </si>
  <si>
    <t>2000-11-06</t>
  </si>
  <si>
    <t>600856</t>
  </si>
  <si>
    <t>000622</t>
  </si>
  <si>
    <t>1996-11-07</t>
  </si>
  <si>
    <t>000898</t>
  </si>
  <si>
    <t>1997-12-25</t>
  </si>
  <si>
    <t>002090</t>
  </si>
  <si>
    <t>300072</t>
  </si>
  <si>
    <t>300651</t>
  </si>
  <si>
    <t>603809</t>
  </si>
  <si>
    <t>2017-11-28</t>
  </si>
  <si>
    <t>002176</t>
  </si>
  <si>
    <t>2007-10-12</t>
  </si>
  <si>
    <t>002499</t>
  </si>
  <si>
    <t>002788</t>
  </si>
  <si>
    <t>002656</t>
  </si>
  <si>
    <t>603458</t>
  </si>
  <si>
    <t>603726</t>
  </si>
  <si>
    <t>2016-04-21</t>
  </si>
  <si>
    <t>300713</t>
  </si>
  <si>
    <t>600634</t>
  </si>
  <si>
    <t>300090</t>
  </si>
  <si>
    <t>002872</t>
  </si>
  <si>
    <t>002761</t>
  </si>
  <si>
    <t>300600</t>
  </si>
  <si>
    <t>300312</t>
  </si>
  <si>
    <t>300365</t>
  </si>
  <si>
    <t>002818</t>
  </si>
  <si>
    <t>002247</t>
  </si>
  <si>
    <t>300199</t>
  </si>
  <si>
    <t>002838</t>
  </si>
  <si>
    <t>002790</t>
  </si>
  <si>
    <t>2016-03-08</t>
  </si>
  <si>
    <t>002766</t>
  </si>
  <si>
    <t>002412</t>
  </si>
  <si>
    <t>603223</t>
  </si>
  <si>
    <t>603322</t>
  </si>
  <si>
    <t>2016-07-28</t>
  </si>
  <si>
    <t>300222</t>
  </si>
  <si>
    <t>002718</t>
  </si>
  <si>
    <t>300720</t>
  </si>
  <si>
    <t>300513</t>
  </si>
  <si>
    <t>002509</t>
  </si>
  <si>
    <t>603603</t>
  </si>
  <si>
    <t>002877</t>
  </si>
  <si>
    <t>2017-06-05</t>
  </si>
  <si>
    <t>603843</t>
  </si>
  <si>
    <t>2016-09-05</t>
  </si>
  <si>
    <t>601015</t>
  </si>
  <si>
    <t>2014-11-05</t>
  </si>
  <si>
    <t>603183</t>
  </si>
  <si>
    <t>2017-09-05</t>
  </si>
  <si>
    <t>600086</t>
  </si>
  <si>
    <t>300506</t>
  </si>
  <si>
    <t>2016-03-24</t>
  </si>
  <si>
    <t>300309</t>
  </si>
  <si>
    <t>002757</t>
  </si>
  <si>
    <t>002319</t>
  </si>
  <si>
    <t>002592</t>
  </si>
  <si>
    <t>603018</t>
  </si>
  <si>
    <t>2014-10-13</t>
  </si>
  <si>
    <t>300100</t>
  </si>
  <si>
    <t>000040</t>
  </si>
  <si>
    <t>300547</t>
  </si>
  <si>
    <t>300688</t>
  </si>
  <si>
    <t>002501</t>
  </si>
  <si>
    <t>002602</t>
  </si>
  <si>
    <t>600681</t>
  </si>
  <si>
    <t>002175</t>
  </si>
  <si>
    <t>002220</t>
  </si>
  <si>
    <t>002061</t>
  </si>
  <si>
    <t>603337</t>
  </si>
  <si>
    <t>300675</t>
  </si>
  <si>
    <t>603101</t>
  </si>
  <si>
    <t>600771</t>
  </si>
  <si>
    <t>1996-11-05</t>
  </si>
  <si>
    <t>603200</t>
  </si>
  <si>
    <t>603389</t>
  </si>
  <si>
    <t>2016-12-15</t>
  </si>
  <si>
    <t>002354</t>
  </si>
  <si>
    <t>300178</t>
  </si>
  <si>
    <t>600112</t>
  </si>
  <si>
    <t>1997-11-27</t>
  </si>
  <si>
    <t>300421</t>
  </si>
  <si>
    <t>300550</t>
  </si>
  <si>
    <t>002536</t>
  </si>
  <si>
    <t>300429</t>
  </si>
  <si>
    <t>002113</t>
  </si>
  <si>
    <t>603357</t>
  </si>
  <si>
    <t>002717</t>
  </si>
  <si>
    <t>603909</t>
  </si>
  <si>
    <t>2016-06-28</t>
  </si>
  <si>
    <t>002290</t>
  </si>
  <si>
    <t>300362</t>
  </si>
  <si>
    <t>600242</t>
  </si>
  <si>
    <t>2000-12-07</t>
  </si>
  <si>
    <t>002038</t>
  </si>
  <si>
    <t>2004-09-09</t>
  </si>
  <si>
    <t>300670</t>
  </si>
  <si>
    <t>300280</t>
  </si>
  <si>
    <t>300732</t>
  </si>
  <si>
    <t>300637</t>
  </si>
  <si>
    <t>603518</t>
  </si>
  <si>
    <t>600652</t>
  </si>
  <si>
    <t>600462</t>
  </si>
  <si>
    <t>2003-09-03</t>
  </si>
  <si>
    <t>002599</t>
  </si>
  <si>
    <t>300367</t>
  </si>
  <si>
    <t>600614</t>
  </si>
  <si>
    <t>1992-08-28</t>
  </si>
  <si>
    <t>300645</t>
  </si>
  <si>
    <t>002716</t>
  </si>
  <si>
    <t>002341</t>
  </si>
  <si>
    <t>002776</t>
  </si>
  <si>
    <t>600781</t>
  </si>
  <si>
    <t>002450</t>
  </si>
  <si>
    <t>300156</t>
  </si>
  <si>
    <t>002713</t>
  </si>
  <si>
    <t>603779</t>
  </si>
  <si>
    <t>2016-05-16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</si>
</sst>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);[Red]\(0.00\)"/>
    <numFmt numFmtId="165" formatCode="0.00\%"/>
  </numFmts>
  <fonts count="9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Calibri"/>
      <family val="3"/>
      <charset val="134"/>
      <scheme val="minor"/>
    </font>
    <font>
      <sz val="11"/>
      <color theme="1"/>
      <name val="Calibri"/>
      <family val="3"/>
      <charset val="134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</borders>
  <cellStyleXfs count="4">
    <xf numFmtId="0" fontId="0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6" fillId="0" borderId="1" applyNumberFormat="0" applyFill="0" applyAlignment="0" applyProtection="0"/>
    <xf numFmtId="0" fontId="7" fillId="0" borderId="2" applyNumberFormat="0" applyFill="0" applyAlignment="0" applyProtection="0"/>
  </cellStyleXfs>
  <cellXfs count="25">
    <xf numFmtId="0" fontId="0" fillId="0" borderId="0" xfId="0">
      <alignment vertical="center"/>
    </xf>
    <xf numFmtId="0" fontId="2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  <xf numFmtId="164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9" fontId="0" fillId="0" borderId="0" xfId="1" applyFont="1">
      <alignment vertical="center"/>
    </xf>
    <xf numFmtId="165" fontId="0" fillId="0" borderId="0" xfId="0" applyNumberFormat="1">
      <alignment vertical="center"/>
    </xf>
    <xf numFmtId="0" fontId="0" fillId="0" borderId="0" xfId="1" applyNumberFormat="1" applyFont="1">
      <alignment vertical="center"/>
    </xf>
    <xf numFmtId="0" fontId="1" fillId="0" borderId="0" xfId="0" applyFont="1">
      <alignment vertical="center"/>
    </xf>
    <xf numFmtId="0" fontId="6" fillId="0" borderId="1" xfId="2" applyAlignment="1">
      <alignment vertical="center"/>
    </xf>
    <xf numFmtId="0" fontId="7" fillId="0" borderId="2" xfId="3" applyAlignment="1">
      <alignment vertical="center"/>
    </xf>
    <xf numFmtId="0" fontId="2" fillId="2" borderId="0" xfId="0" applyFont="1" applyFill="1">
      <alignment vertical="center"/>
    </xf>
    <xf numFmtId="0" fontId="0" fillId="2" borderId="0" xfId="0" applyFill="1">
      <alignment vertical="center"/>
    </xf>
    <xf numFmtId="14" fontId="0" fillId="2" borderId="0" xfId="0" applyNumberFormat="1" applyFill="1">
      <alignment vertical="center"/>
    </xf>
    <xf numFmtId="165" fontId="0" fillId="2" borderId="0" xfId="0" applyNumberFormat="1" applyFill="1">
      <alignment vertical="center"/>
    </xf>
    <xf numFmtId="9" fontId="0" fillId="2" borderId="0" xfId="1" applyFont="1" applyFill="1">
      <alignment vertical="center"/>
    </xf>
    <xf numFmtId="0" fontId="8" fillId="0" borderId="0" xfId="0" applyFont="1">
      <alignment vertical="center"/>
    </xf>
    <xf numFmtId="14" fontId="8" fillId="0" borderId="0" xfId="0" applyNumberFormat="1" applyFont="1">
      <alignment vertical="center"/>
    </xf>
    <xf numFmtId="165" fontId="8" fillId="0" borderId="0" xfId="0" applyNumberFormat="1" applyFont="1">
      <alignment vertical="center"/>
    </xf>
    <xf numFmtId="9" fontId="8" fillId="0" borderId="0" xfId="1" applyFont="1">
      <alignment vertical="center"/>
    </xf>
  </cellXfs>
  <cellStyles count="4">
    <cellStyle name="Heading 1" xfId="2" builtinId="16"/>
    <cellStyle name="Heading 2" xfId="3" builtinId="17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em.rtf">
      <tp>
        <v>1.0573235136000001</v>
        <stp/>
        <stp>EM_S_FA_NETPROFITMARGIN</stp>
        <stp>3</stp>
        <stp>002889</stp>
        <stp>12/31/2018</stp>
        <stp>1</stp>
        <tr r="J1842" s="1"/>
      </tp>
      <tp>
        <v>6.4501839532999998</v>
        <stp/>
        <stp>EM_S_FA_NETPROFITMARGIN</stp>
        <stp>3</stp>
        <stp>002189</stp>
        <stp>12/31/2018</stp>
        <stp>1</stp>
        <tr r="J409" s="1"/>
      </tp>
      <tp>
        <v>-60.978575430699998</v>
        <stp/>
        <stp>EM_S_FA_NETPROFITMARGIN</stp>
        <stp>3</stp>
        <stp>002089</stp>
        <stp>12/31/2018</stp>
        <stp>1</stp>
        <tr r="J3630" s="1"/>
      </tp>
      <tp>
        <v>9.6977899253000004</v>
        <stp/>
        <stp>EM_S_FA_NETPROFITMARGIN</stp>
        <stp>3</stp>
        <stp>002389</stp>
        <stp>12/31/2018</stp>
        <stp>1</stp>
        <tr r="J2708" s="1"/>
      </tp>
      <tp>
        <v>-47.5830755928</v>
        <stp/>
        <stp>EM_S_FA_NETPROFITMARGIN</stp>
        <stp>3</stp>
        <stp>002289</stp>
        <stp>12/31/2018</stp>
        <stp>1</stp>
        <tr r="J380" s="1"/>
      </tp>
      <tp>
        <v>3.7672791238999999</v>
        <stp/>
        <stp>EM_S_FA_NETPROFITMARGIN</stp>
        <stp>3</stp>
        <stp>002589</stp>
        <stp>12/31/2018</stp>
        <stp>1</stp>
        <tr r="J1768" s="1"/>
      </tp>
      <tp>
        <v>-1.9819131477</v>
        <stp/>
        <stp>EM_S_FA_NETPROFITMARGIN</stp>
        <stp>3</stp>
        <stp>002489</stp>
        <stp>12/31/2018</stp>
        <stp>1</stp>
        <tr r="J452" s="1"/>
      </tp>
      <tp>
        <v>3.0732692389</v>
        <stp/>
        <stp>EM_S_FA_NETPROFITMARGIN</stp>
        <stp>3</stp>
        <stp>002789</stp>
        <stp>12/31/2018</stp>
        <stp>1</stp>
        <tr r="J2208" s="1"/>
      </tp>
      <tp>
        <v>0.67903146079999999</v>
        <stp/>
        <stp>EM_S_FA_NETPROFITMARGIN</stp>
        <stp>3</stp>
        <stp>002689</stp>
        <stp>12/31/2018</stp>
        <stp>1</stp>
        <tr r="J1692" s="1"/>
      </tp>
      <tp>
        <v>10.3571504209</v>
        <stp/>
        <stp>EM_S_FA_NETPROFITMARGIN</stp>
        <stp>3</stp>
        <stp>000989</stp>
        <stp>12/31/2018</stp>
        <stp>1</stp>
        <tr r="J3598" s="1"/>
      </tp>
      <tp>
        <v>8.3439011505000007</v>
        <stp/>
        <stp>EM_S_FA_NETPROFITMARGIN</stp>
        <stp>3</stp>
        <stp>000889</stp>
        <stp>12/31/2018</stp>
        <stp>1</stp>
        <tr r="J2649" s="1"/>
      </tp>
      <tp>
        <v>18.943159362100001</v>
        <stp/>
        <stp>EM_S_FA_NETPROFITMARGIN</stp>
        <stp>3</stp>
        <stp>000089</stp>
        <stp>12/31/2018</stp>
        <stp>1</stp>
        <tr r="J1035" s="1"/>
      </tp>
      <tp>
        <v>1.2918526929</v>
        <stp/>
        <stp>EM_S_FA_NETPROFITMARGIN</stp>
        <stp>3</stp>
        <stp>000589</stp>
        <stp>12/31/2018</stp>
        <stp>1</stp>
        <tr r="J3471" s="1"/>
      </tp>
      <tp>
        <v>18.0043006571</v>
        <stp/>
        <stp>EM_S_FA_NETPROFITMARGIN</stp>
        <stp>3</stp>
        <stp>000789</stp>
        <stp>12/31/2018</stp>
        <stp>1</stp>
        <tr r="J2031" s="1"/>
      </tp>
      <tp>
        <v>0</v>
        <stp/>
        <stp>EM_S_FA_NETPROFITMARGIN</stp>
        <stp>3</stp>
        <stp>000689</stp>
        <stp>12/31/2018</stp>
        <stp>1</stp>
        <tr r="J3511" s="1"/>
      </tp>
      <tp>
        <v>10.5866609414</v>
        <stp/>
        <stp>EM_S_FA_NETPROFITMARGIN</stp>
        <stp>3</stp>
        <stp>002888</stp>
        <stp>12/31/2018</stp>
        <stp>1</stp>
        <tr r="J1442" s="1"/>
      </tp>
      <tp>
        <v>-444.35997277500002</v>
        <stp/>
        <stp>EM_S_FA_NETPROFITMARGIN</stp>
        <stp>3</stp>
        <stp>002188</stp>
        <stp>12/31/2018</stp>
        <stp>1</stp>
        <tr r="J2426" s="1"/>
      </tp>
      <tp>
        <v>16.672645952900002</v>
        <stp/>
        <stp>EM_S_FA_NETPROFITMARGIN</stp>
        <stp>3</stp>
        <stp>002088</stp>
        <stp>12/31/2018</stp>
        <stp>1</stp>
        <tr r="J1065" s="1"/>
      </tp>
      <tp>
        <v>2.6096181254999999</v>
        <stp/>
        <stp>EM_S_FA_NETPROFITMARGIN</stp>
        <stp>3</stp>
        <stp>002388</stp>
        <stp>12/31/2018</stp>
        <stp>1</stp>
        <tr r="J895" s="1"/>
      </tp>
      <tp>
        <v>2.4682352547000002</v>
        <stp/>
        <stp>EM_S_FA_NETPROFITMARGIN</stp>
        <stp>3</stp>
        <stp>002288</stp>
        <stp>12/31/2018</stp>
        <stp>1</stp>
        <tr r="J1928" s="1"/>
      </tp>
      <tp>
        <v>3.3428279052000001</v>
        <stp/>
        <stp>EM_S_FA_NETPROFITMARGIN</stp>
        <stp>3</stp>
        <stp>002588</stp>
        <stp>12/31/2018</stp>
        <stp>1</stp>
        <tr r="J2389" s="1"/>
      </tp>
      <tp>
        <v>5.9890472048000003</v>
        <stp/>
        <stp>EM_S_FA_NETPROFITMARGIN</stp>
        <stp>3</stp>
        <stp>002488</stp>
        <stp>12/31/2018</stp>
        <stp>1</stp>
        <tr r="J1900" s="1"/>
      </tp>
      <tp>
        <v>1.6049277288999999</v>
        <stp/>
        <stp>EM_S_FA_NETPROFITMARGIN</stp>
        <stp>3</stp>
        <stp>002788</stp>
        <stp>12/31/2018</stp>
        <stp>1</stp>
        <tr r="J3288" s="1"/>
      </tp>
      <tp>
        <v>10.092978328999999</v>
        <stp/>
        <stp>EM_S_FA_NETPROFITMARGIN</stp>
        <stp>3</stp>
        <stp>002688</stp>
        <stp>12/31/2018</stp>
        <stp>1</stp>
        <tr r="J809" s="1"/>
      </tp>
      <tp>
        <v>5.1667700098999996</v>
        <stp/>
        <stp>EM_S_FA_NETPROFITMARGIN</stp>
        <stp>3</stp>
        <stp>000988</stp>
        <stp>12/31/2018</stp>
        <stp>1</stp>
        <tr r="J328" s="1"/>
      </tp>
      <tp>
        <v>19.471160094399998</v>
        <stp/>
        <stp>EM_S_FA_NETPROFITMARGIN</stp>
        <stp>3</stp>
        <stp>000888</stp>
        <stp>12/31/2018</stp>
        <stp>1</stp>
        <tr r="J3563" s="1"/>
      </tp>
      <tp>
        <v>120.3818242052</v>
        <stp/>
        <stp>EM_S_FA_NETPROFITMARGIN</stp>
        <stp>3</stp>
        <stp>000088</stp>
        <stp>12/31/2018</stp>
        <stp>1</stp>
        <tr r="J1566" s="1"/>
      </tp>
      <tp>
        <v>113.62121731240001</v>
        <stp/>
        <stp>EM_S_FA_NETPROFITMARGIN</stp>
        <stp>3</stp>
        <stp>000588</stp>
        <stp>12/31/2018</stp>
        <stp>1</stp>
        <tr r="J3470" s="1"/>
      </tp>
      <tp>
        <v>8.8819790787000006</v>
        <stp/>
        <stp>EM_S_FA_NETPROFITMARGIN</stp>
        <stp>3</stp>
        <stp>000488</stp>
        <stp>12/31/2018</stp>
        <stp>1</stp>
        <tr r="J3427" s="1"/>
      </tp>
      <tp>
        <v>1.9440404781</v>
        <stp/>
        <stp>EM_S_FA_NETPROFITMARGIN</stp>
        <stp>3</stp>
        <stp>000788</stp>
        <stp>12/31/2018</stp>
        <stp>1</stp>
        <tr r="J1145" s="1"/>
      </tp>
      <tp>
        <v>32.893330416600001</v>
        <stp/>
        <stp>EM_S_FA_NETPROFITMARGIN</stp>
        <stp>3</stp>
        <stp>000688</stp>
        <stp>12/31/2018</stp>
        <stp>1</stp>
        <tr r="J3510" s="1"/>
      </tp>
      <tp>
        <v>4.7135033784000004</v>
        <stp/>
        <stp>EM_S_FA_NETPROFITMARGIN</stp>
        <stp>3</stp>
        <stp>002881</stp>
        <stp>12/31/2018</stp>
        <stp>1</stp>
        <tr r="J534" s="1"/>
      </tp>
      <tp>
        <v>6.3300232138999997</v>
        <stp/>
        <stp>EM_S_FA_NETPROFITMARGIN</stp>
        <stp>3</stp>
        <stp>002181</stp>
        <stp>12/31/2018</stp>
        <stp>1</stp>
        <tr r="J406" s="1"/>
      </tp>
      <tp>
        <v>8.6555539756000002</v>
        <stp/>
        <stp>EM_S_FA_NETPROFITMARGIN</stp>
        <stp>3</stp>
        <stp>002081</stp>
        <stp>12/31/2018</stp>
        <stp>1</stp>
        <tr r="J1856" s="1"/>
      </tp>
      <tp>
        <v>11.2654054982</v>
        <stp/>
        <stp>EM_S_FA_NETPROFITMARGIN</stp>
        <stp>3</stp>
        <stp>002381</stp>
        <stp>12/31/2018</stp>
        <stp>1</stp>
        <tr r="J1089" s="1"/>
      </tp>
      <tp>
        <v>6.2837809884000002</v>
        <stp/>
        <stp>EM_S_FA_NETPROFITMARGIN</stp>
        <stp>3</stp>
        <stp>002281</stp>
        <stp>12/31/2018</stp>
        <stp>1</stp>
        <tr r="J1737" s="1"/>
      </tp>
      <tp>
        <v>-13.9268262507</v>
        <stp/>
        <stp>EM_S_FA_NETPROFITMARGIN</stp>
        <stp>3</stp>
        <stp>002581</stp>
        <stp>12/31/2018</stp>
        <stp>1</stp>
        <tr r="J2170" s="1"/>
      </tp>
      <tp>
        <v>3.8575915376999999</v>
        <stp/>
        <stp>EM_S_FA_NETPROFITMARGIN</stp>
        <stp>3</stp>
        <stp>002481</stp>
        <stp>12/31/2018</stp>
        <stp>1</stp>
        <tr r="J57" s="1"/>
      </tp>
      <tp>
        <v>3.1926931588</v>
        <stp/>
        <stp>EM_S_FA_NETPROFITMARGIN</stp>
        <stp>3</stp>
        <stp>002781</stp>
        <stp>12/31/2018</stp>
        <stp>1</stp>
        <tr r="J1532" s="1"/>
      </tp>
      <tp>
        <v>-23.3656760762</v>
        <stp/>
        <stp>EM_S_FA_NETPROFITMARGIN</stp>
        <stp>3</stp>
        <stp>002681</stp>
        <stp>12/31/2018</stp>
        <stp>1</stp>
        <tr r="J536" s="1"/>
      </tp>
      <tp>
        <v>-5.2823575490000003</v>
        <stp/>
        <stp>EM_S_FA_NETPROFITMARGIN</stp>
        <stp>3</stp>
        <stp>000981</stp>
        <stp>12/31/2018</stp>
        <stp>1</stp>
        <tr r="J3594" s="1"/>
      </tp>
      <tp>
        <v>5.5676206230999998</v>
        <stp/>
        <stp>EM_S_FA_NETPROFITMARGIN</stp>
        <stp>3</stp>
        <stp>000881</stp>
        <stp>12/31/2018</stp>
        <stp>1</stp>
        <tr r="J2108" s="1"/>
      </tp>
      <tp>
        <v>28.277765411499999</v>
        <stp/>
        <stp>EM_S_FA_NETPROFITMARGIN</stp>
        <stp>3</stp>
        <stp>000581</stp>
        <stp>12/31/2018</stp>
        <stp>1</stp>
        <tr r="J3465" s="1"/>
      </tp>
      <tp>
        <v>33.937792838900002</v>
        <stp/>
        <stp>EM_S_FA_NETPROFITMARGIN</stp>
        <stp>3</stp>
        <stp>000681</stp>
        <stp>12/31/2018</stp>
        <stp>1</stp>
        <tr r="J3208" s="1"/>
      </tp>
      <tp>
        <v>22.768665806200001</v>
        <stp/>
        <stp>EM_S_FA_NETPROFITMARGIN</stp>
        <stp>3</stp>
        <stp>002880</stp>
        <stp>12/31/2018</stp>
        <stp>1</stp>
        <tr r="J1086" s="1"/>
      </tp>
      <tp>
        <v>5.5548754647000003</v>
        <stp/>
        <stp>EM_S_FA_NETPROFITMARGIN</stp>
        <stp>3</stp>
        <stp>002180</stp>
        <stp>12/31/2018</stp>
        <stp>1</stp>
        <tr r="J700" s="1"/>
      </tp>
      <tp>
        <v>8.6628190706999995</v>
        <stp/>
        <stp>EM_S_FA_NETPROFITMARGIN</stp>
        <stp>3</stp>
        <stp>002080</stp>
        <stp>12/31/2018</stp>
        <stp>1</stp>
        <tr r="J599" s="1"/>
      </tp>
      <tp>
        <v>18.9436184039</v>
        <stp/>
        <stp>EM_S_FA_NETPROFITMARGIN</stp>
        <stp>3</stp>
        <stp>002380</stp>
        <stp>12/31/2018</stp>
        <stp>1</stp>
        <tr r="J853" s="1"/>
      </tp>
      <tp>
        <v>-6.9884333717000002</v>
        <stp/>
        <stp>EM_S_FA_NETPROFITMARGIN</stp>
        <stp>3</stp>
        <stp>002280</stp>
        <stp>12/31/2018</stp>
        <stp>1</stp>
        <tr r="J2214" s="1"/>
      </tp>
      <tp>
        <v>0.95859487980000002</v>
        <stp/>
        <stp>EM_S_FA_NETPROFITMARGIN</stp>
        <stp>3</stp>
        <stp>002580</stp>
        <stp>12/31/2018</stp>
        <stp>1</stp>
        <tr r="J1977" s="1"/>
      </tp>
      <tp>
        <v>1.4337402501000001</v>
        <stp/>
        <stp>EM_S_FA_NETPROFITMARGIN</stp>
        <stp>3</stp>
        <stp>002480</stp>
        <stp>12/31/2018</stp>
        <stp>1</stp>
        <tr r="J3063" s="1"/>
      </tp>
      <tp>
        <v>1.123050635</v>
        <stp/>
        <stp>EM_S_FA_NETPROFITMARGIN</stp>
        <stp>3</stp>
        <stp>002780</stp>
        <stp>12/31/2018</stp>
        <stp>1</stp>
        <tr r="J661" s="1"/>
      </tp>
      <tp>
        <v>0</v>
        <stp/>
        <stp>EM_S_FA_NETPROFITMARGIN</stp>
        <stp>3</stp>
        <stp>002680</stp>
        <stp>12/31/2018</stp>
        <stp>1</stp>
        <tr r="J3406" s="1"/>
      </tp>
      <tp>
        <v>5.4236050223000003</v>
        <stp/>
        <stp>EM_S_FA_NETPROFITMARGIN</stp>
        <stp>3</stp>
        <stp>000980</stp>
        <stp>12/31/2018</stp>
        <stp>1</stp>
        <tr r="J3593" s="1"/>
      </tp>
      <tp>
        <v>1.7559249595999999</v>
        <stp/>
        <stp>EM_S_FA_NETPROFITMARGIN</stp>
        <stp>3</stp>
        <stp>000880</stp>
        <stp>12/31/2018</stp>
        <stp>1</stp>
        <tr r="J1865" s="1"/>
      </tp>
      <tp>
        <v>-11.285309618399999</v>
        <stp/>
        <stp>EM_S_FA_NETPROFITMARGIN</stp>
        <stp>3</stp>
        <stp>000780</stp>
        <stp>12/31/2018</stp>
        <stp>1</stp>
        <tr r="J3536" s="1"/>
      </tp>
      <tp>
        <v>1.0627119216000001</v>
        <stp/>
        <stp>EM_S_FA_NETPROFITMARGIN</stp>
        <stp>3</stp>
        <stp>000680</stp>
        <stp>12/31/2018</stp>
        <stp>1</stp>
        <tr r="J1767" s="1"/>
      </tp>
      <tp>
        <v>21.928877768300001</v>
        <stp/>
        <stp>EM_S_FA_NETPROFITMARGIN</stp>
        <stp>3</stp>
        <stp>002883</stp>
        <stp>12/31/2018</stp>
        <stp>1</stp>
        <tr r="J2216" s="1"/>
      </tp>
      <tp>
        <v>0.2265799879</v>
        <stp/>
        <stp>EM_S_FA_NETPROFITMARGIN</stp>
        <stp>3</stp>
        <stp>002183</stp>
        <stp>12/31/2018</stp>
        <stp>1</stp>
        <tr r="J2949" s="1"/>
      </tp>
      <tp>
        <v>8.4223545046999995</v>
        <stp/>
        <stp>EM_S_FA_NETPROFITMARGIN</stp>
        <stp>3</stp>
        <stp>002083</stp>
        <stp>12/31/2018</stp>
        <stp>1</stp>
        <tr r="J1111" s="1"/>
      </tp>
      <tp>
        <v>8.2792592509999992</v>
        <stp/>
        <stp>EM_S_FA_NETPROFITMARGIN</stp>
        <stp>3</stp>
        <stp>002383</stp>
        <stp>12/31/2018</stp>
        <stp>1</stp>
        <tr r="J3075" s="1"/>
      </tp>
      <tp>
        <v>10.1161191836</v>
        <stp/>
        <stp>EM_S_FA_NETPROFITMARGIN</stp>
        <stp>3</stp>
        <stp>002283</stp>
        <stp>12/31/2018</stp>
        <stp>1</stp>
        <tr r="J1746" s="1"/>
      </tp>
      <tp>
        <v>6.8758019628999998</v>
        <stp/>
        <stp>EM_S_FA_NETPROFITMARGIN</stp>
        <stp>3</stp>
        <stp>002583</stp>
        <stp>12/31/2018</stp>
        <stp>1</stp>
        <tr r="J1954" s="1"/>
      </tp>
      <tp>
        <v>4.6238905414999998</v>
        <stp/>
        <stp>EM_S_FA_NETPROFITMARGIN</stp>
        <stp>3</stp>
        <stp>002483</stp>
        <stp>12/31/2018</stp>
        <stp>1</stp>
        <tr r="J1478" s="1"/>
      </tp>
      <tp>
        <v>7.0807130350999996</v>
        <stp/>
        <stp>EM_S_FA_NETPROFITMARGIN</stp>
        <stp>3</stp>
        <stp>002783</stp>
        <stp>12/31/2018</stp>
        <stp>1</stp>
        <tr r="J244" s="1"/>
      </tp>
      <tp>
        <v>5.7847565181</v>
        <stp/>
        <stp>EM_S_FA_NETPROFITMARGIN</stp>
        <stp>3</stp>
        <stp>002683</stp>
        <stp>12/31/2018</stp>
        <stp>1</stp>
        <tr r="J111" s="1"/>
      </tp>
      <tp>
        <v>6.6594736366999996</v>
        <stp/>
        <stp>EM_S_FA_NETPROFITMARGIN</stp>
        <stp>3</stp>
        <stp>000983</stp>
        <stp>12/31/2018</stp>
        <stp>1</stp>
        <tr r="J1655" s="1"/>
      </tp>
      <tp>
        <v>15.509935948300001</v>
        <stp/>
        <stp>EM_S_FA_NETPROFITMARGIN</stp>
        <stp>3</stp>
        <stp>000883</stp>
        <stp>12/31/2018</stp>
        <stp>1</stp>
        <tr r="J1562" s="1"/>
      </tp>
      <tp>
        <v>0</v>
        <stp/>
        <stp>EM_S_FA_NETPROFITMARGIN</stp>
        <stp>3</stp>
        <stp>000583</stp>
        <stp>12/31/2018</stp>
        <stp>1</stp>
        <tr r="J3466" s="1"/>
      </tp>
      <tp>
        <v>5.1947573370000004</v>
        <stp/>
        <stp>EM_S_FA_NETPROFITMARGIN</stp>
        <stp>3</stp>
        <stp>000783</stp>
        <stp>12/31/2018</stp>
        <stp>1</stp>
        <tr r="J3537" s="1"/>
      </tp>
      <tp>
        <v>18.360988733900001</v>
        <stp/>
        <stp>EM_S_FA_NETPROFITMARGIN</stp>
        <stp>3</stp>
        <stp>000683</stp>
        <stp>12/31/2018</stp>
        <stp>1</stp>
        <tr r="J3507" s="1"/>
      </tp>
      <tp>
        <v>7.3195840267000003</v>
        <stp/>
        <stp>EM_S_FA_NETPROFITMARGIN</stp>
        <stp>3</stp>
        <stp>002882</stp>
        <stp>12/31/2018</stp>
        <stp>1</stp>
        <tr r="J1759" s="1"/>
      </tp>
      <tp>
        <v>6.4413325312999996</v>
        <stp/>
        <stp>EM_S_FA_NETPROFITMARGIN</stp>
        <stp>3</stp>
        <stp>002182</stp>
        <stp>12/31/2018</stp>
        <stp>1</stp>
        <tr r="J558" s="1"/>
      </tp>
      <tp>
        <v>0.87329213189999999</v>
        <stp/>
        <stp>EM_S_FA_NETPROFITMARGIN</stp>
        <stp>3</stp>
        <stp>002082</stp>
        <stp>12/31/2018</stp>
        <stp>1</stp>
        <tr r="J3628" s="1"/>
      </tp>
      <tp>
        <v>13.3931991221</v>
        <stp/>
        <stp>EM_S_FA_NETPROFITMARGIN</stp>
        <stp>3</stp>
        <stp>002382</stp>
        <stp>12/31/2018</stp>
        <stp>1</stp>
        <tr r="J3033" s="1"/>
      </tp>
      <tp>
        <v>8.1754276931999996</v>
        <stp/>
        <stp>EM_S_FA_NETPROFITMARGIN</stp>
        <stp>3</stp>
        <stp>002282</stp>
        <stp>12/31/2018</stp>
        <stp>1</stp>
        <tr r="J2263" s="1"/>
      </tp>
      <tp>
        <v>2.2020876057000001</v>
        <stp/>
        <stp>EM_S_FA_NETPROFITMARGIN</stp>
        <stp>3</stp>
        <stp>002582</stp>
        <stp>12/31/2018</stp>
        <stp>1</stp>
        <tr r="J1633" s="1"/>
      </tp>
      <tp>
        <v>2.2101332092999999</v>
        <stp/>
        <stp>EM_S_FA_NETPROFITMARGIN</stp>
        <stp>3</stp>
        <stp>002482</stp>
        <stp>12/31/2018</stp>
        <stp>1</stp>
        <tr r="J3133" s="1"/>
      </tp>
      <tp>
        <v>7.7727105560999998</v>
        <stp/>
        <stp>EM_S_FA_NETPROFITMARGIN</stp>
        <stp>3</stp>
        <stp>002782</stp>
        <stp>12/31/2018</stp>
        <stp>1</stp>
        <tr r="J2525" s="1"/>
      </tp>
      <tp>
        <v>3.6543566791000002</v>
        <stp/>
        <stp>EM_S_FA_NETPROFITMARGIN</stp>
        <stp>3</stp>
        <stp>002682</stp>
        <stp>12/31/2018</stp>
        <stp>1</stp>
        <tr r="J2134" s="1"/>
      </tp>
      <tp>
        <v>-148.06290050679999</v>
        <stp/>
        <stp>EM_S_FA_NETPROFITMARGIN</stp>
        <stp>3</stp>
        <stp>000982</stp>
        <stp>12/31/2018</stp>
        <stp>1</stp>
        <tr r="J3595" s="1"/>
      </tp>
      <tp>
        <v>2.3111745264999999</v>
        <stp/>
        <stp>EM_S_FA_NETPROFITMARGIN</stp>
        <stp>3</stp>
        <stp>000882</stp>
        <stp>12/31/2018</stp>
        <stp>1</stp>
        <tr r="J2222" s="1"/>
      </tp>
      <tp>
        <v>16.887401752700001</v>
        <stp/>
        <stp>EM_S_FA_NETPROFITMARGIN</stp>
        <stp>3</stp>
        <stp>000582</stp>
        <stp>12/31/2018</stp>
        <stp>1</stp>
        <tr r="J1167" s="1"/>
      </tp>
      <tp>
        <v>1.0020532257999999</v>
        <stp/>
        <stp>EM_S_FA_NETPROFITMARGIN</stp>
        <stp>3</stp>
        <stp>000782</stp>
        <stp>12/31/2018</stp>
        <stp>1</stp>
        <tr r="J3032" s="1"/>
      </tp>
      <tp>
        <v>7.3371160710999996</v>
        <stp/>
        <stp>EM_S_FA_NETPROFITMARGIN</stp>
        <stp>3</stp>
        <stp>000682</stp>
        <stp>12/31/2018</stp>
        <stp>1</stp>
        <tr r="J515" s="1"/>
      </tp>
      <tp>
        <v>6.6419499626</v>
        <stp/>
        <stp>EM_S_FA_NETPROFITMARGIN</stp>
        <stp>3</stp>
        <stp>002885</stp>
        <stp>12/31/2018</stp>
        <stp>1</stp>
        <tr r="J3090" s="1"/>
      </tp>
      <tp>
        <v>6.0271671366000001</v>
        <stp/>
        <stp>EM_S_FA_NETPROFITMARGIN</stp>
        <stp>3</stp>
        <stp>002185</stp>
        <stp>12/31/2018</stp>
        <stp>1</stp>
        <tr r="J243" s="1"/>
      </tp>
      <tp>
        <v>9.1154438703</v>
        <stp/>
        <stp>EM_S_FA_NETPROFITMARGIN</stp>
        <stp>3</stp>
        <stp>002085</stp>
        <stp>12/31/2018</stp>
        <stp>1</stp>
        <tr r="J2749" s="1"/>
      </tp>
      <tp>
        <v>2.5177198717999998</v>
        <stp/>
        <stp>EM_S_FA_NETPROFITMARGIN</stp>
        <stp>3</stp>
        <stp>002385</stp>
        <stp>12/31/2018</stp>
        <stp>1</stp>
        <tr r="J707" s="1"/>
      </tp>
      <tp>
        <v>6.0220903781999997</v>
        <stp/>
        <stp>EM_S_FA_NETPROFITMARGIN</stp>
        <stp>3</stp>
        <stp>002285</stp>
        <stp>12/31/2018</stp>
        <stp>1</stp>
        <tr r="J3147" s="1"/>
      </tp>
      <tp>
        <v>8.3303432385999994</v>
        <stp/>
        <stp>EM_S_FA_NETPROFITMARGIN</stp>
        <stp>3</stp>
        <stp>002585</stp>
        <stp>12/31/2018</stp>
        <stp>1</stp>
        <tr r="J2748" s="1"/>
      </tp>
      <tp>
        <v>8.3940826917999996</v>
        <stp/>
        <stp>EM_S_FA_NETPROFITMARGIN</stp>
        <stp>3</stp>
        <stp>002485</stp>
        <stp>12/31/2018</stp>
        <stp>1</stp>
        <tr r="J2666" s="1"/>
      </tp>
      <tp>
        <v>0.81826837799999996</v>
        <stp/>
        <stp>EM_S_FA_NETPROFITMARGIN</stp>
        <stp>3</stp>
        <stp>002785</stp>
        <stp>12/31/2018</stp>
        <stp>1</stp>
        <tr r="J500" s="1"/>
      </tp>
      <tp>
        <v>3.2465671406999999</v>
        <stp/>
        <stp>EM_S_FA_NETPROFITMARGIN</stp>
        <stp>3</stp>
        <stp>002685</stp>
        <stp>12/31/2018</stp>
        <stp>1</stp>
        <tr r="J775" s="1"/>
      </tp>
      <tp>
        <v>-0.1703986562</v>
        <stp/>
        <stp>EM_S_FA_NETPROFITMARGIN</stp>
        <stp>3</stp>
        <stp>000985</stp>
        <stp>12/31/2018</stp>
        <stp>1</stp>
        <tr r="J3596" s="1"/>
      </tp>
      <tp>
        <v>29.057319522899999</v>
        <stp/>
        <stp>EM_S_FA_NETPROFITMARGIN</stp>
        <stp>3</stp>
        <stp>000885</stp>
        <stp>12/31/2018</stp>
        <stp>1</stp>
        <tr r="J3561" s="1"/>
      </tp>
      <tp>
        <v>43.632178516000003</v>
        <stp/>
        <stp>EM_S_FA_NETPROFITMARGIN</stp>
        <stp>3</stp>
        <stp>000585</stp>
        <stp>12/31/2018</stp>
        <stp>1</stp>
        <tr r="J3467" s="1"/>
      </tp>
      <tp>
        <v>2.7233938905000001</v>
        <stp/>
        <stp>EM_S_FA_NETPROFITMARGIN</stp>
        <stp>3</stp>
        <stp>000785</stp>
        <stp>12/31/2018</stp>
        <stp>1</stp>
        <tr r="J560" s="1"/>
      </tp>
      <tp>
        <v>35.803465748800001</v>
        <stp/>
        <stp>EM_S_FA_NETPROFITMARGIN</stp>
        <stp>3</stp>
        <stp>000685</stp>
        <stp>12/31/2018</stp>
        <stp>1</stp>
        <tr r="J1353" s="1"/>
      </tp>
      <tp>
        <v>20.207102725799999</v>
        <stp/>
        <stp>EM_S_FA_NETPROFITMARGIN</stp>
        <stp>3</stp>
        <stp>002884</stp>
        <stp>12/31/2018</stp>
        <stp>1</stp>
        <tr r="J3180" s="1"/>
      </tp>
      <tp>
        <v>-9.5937976153999998</v>
        <stp/>
        <stp>EM_S_FA_NETPROFITMARGIN</stp>
        <stp>3</stp>
        <stp>002184</stp>
        <stp>12/31/2018</stp>
        <stp>1</stp>
        <tr r="J1608" s="1"/>
      </tp>
      <tp>
        <v>1.8790671611</v>
        <stp/>
        <stp>EM_S_FA_NETPROFITMARGIN</stp>
        <stp>3</stp>
        <stp>002084</stp>
        <stp>12/31/2018</stp>
        <stp>1</stp>
        <tr r="J346" s="1"/>
      </tp>
      <tp>
        <v>4.0909382387999997</v>
        <stp/>
        <stp>EM_S_FA_NETPROFITMARGIN</stp>
        <stp>3</stp>
        <stp>002384</stp>
        <stp>12/31/2018</stp>
        <stp>1</stp>
        <tr r="J172" s="1"/>
      </tp>
      <tp>
        <v>0.3247929584</v>
        <stp/>
        <stp>EM_S_FA_NETPROFITMARGIN</stp>
        <stp>3</stp>
        <stp>002284</stp>
        <stp>12/31/2018</stp>
        <stp>1</stp>
        <tr r="J1226" s="1"/>
      </tp>
      <tp>
        <v>1.9068270373</v>
        <stp/>
        <stp>EM_S_FA_NETPROFITMARGIN</stp>
        <stp>3</stp>
        <stp>002584</stp>
        <stp>12/31/2018</stp>
        <stp>1</stp>
        <tr r="J2985" s="1"/>
      </tp>
      <tp>
        <v>13.150932793500001</v>
        <stp/>
        <stp>EM_S_FA_NETPROFITMARGIN</stp>
        <stp>3</stp>
        <stp>002484</stp>
        <stp>12/31/2018</stp>
        <stp>1</stp>
        <tr r="J965" s="1"/>
      </tp>
      <tp>
        <v>-259.88693592869998</v>
        <stp/>
        <stp>EM_S_FA_NETPROFITMARGIN</stp>
        <stp>3</stp>
        <stp>002684</stp>
        <stp>12/31/2018</stp>
        <stp>1</stp>
        <tr r="J2556" s="1"/>
      </tp>
      <tp>
        <v>5.0095040801000001</v>
        <stp/>
        <stp>EM_S_FA_NETPROFITMARGIN</stp>
        <stp>3</stp>
        <stp>000584</stp>
        <stp>12/31/2018</stp>
        <stp>1</stp>
        <tr r="J2403" s="1"/>
      </tp>
      <tp>
        <v>30.4082216366</v>
        <stp/>
        <stp>EM_S_FA_NETPROFITMARGIN</stp>
        <stp>3</stp>
        <stp>002887</stp>
        <stp>12/31/2018</stp>
        <stp>1</stp>
        <tr r="J2528" s="1"/>
      </tp>
      <tp>
        <v>2.6590593971000001</v>
        <stp/>
        <stp>EM_S_FA_NETPROFITMARGIN</stp>
        <stp>3</stp>
        <stp>002187</stp>
        <stp>12/31/2018</stp>
        <stp>1</stp>
        <tr r="J1956" s="1"/>
      </tp>
      <tp>
        <v>6.4170911757000004</v>
        <stp/>
        <stp>EM_S_FA_NETPROFITMARGIN</stp>
        <stp>3</stp>
        <stp>002087</stp>
        <stp>12/31/2018</stp>
        <stp>1</stp>
        <tr r="J2227" s="1"/>
      </tp>
      <tp>
        <v>1.7160599227</v>
        <stp/>
        <stp>EM_S_FA_NETPROFITMARGIN</stp>
        <stp>3</stp>
        <stp>002387</stp>
        <stp>12/31/2018</stp>
        <stp>1</stp>
        <tr r="J135" s="1"/>
      </tp>
      <tp>
        <v>26.165425868100002</v>
        <stp/>
        <stp>EM_S_FA_NETPROFITMARGIN</stp>
        <stp>3</stp>
        <stp>002287</stp>
        <stp>12/31/2018</stp>
        <stp>1</stp>
        <tr r="J2908" s="1"/>
      </tp>
      <tp>
        <v>11.7132315694</v>
        <stp/>
        <stp>EM_S_FA_NETPROFITMARGIN</stp>
        <stp>3</stp>
        <stp>002587</stp>
        <stp>12/31/2018</stp>
        <stp>1</stp>
        <tr r="J422" s="1"/>
      </tp>
      <tp>
        <v>6.4701107442000003</v>
        <stp/>
        <stp>EM_S_FA_NETPROFITMARGIN</stp>
        <stp>3</stp>
        <stp>002487</stp>
        <stp>12/31/2018</stp>
        <stp>1</stp>
        <tr r="J525" s="1"/>
      </tp>
      <tp>
        <v>3.8963140856999998</v>
        <stp/>
        <stp>EM_S_FA_NETPROFITMARGIN</stp>
        <stp>3</stp>
        <stp>002787</stp>
        <stp>12/31/2018</stp>
        <stp>1</stp>
        <tr r="J1847" s="1"/>
      </tp>
      <tp>
        <v>11.633214322700001</v>
        <stp/>
        <stp>EM_S_FA_NETPROFITMARGIN</stp>
        <stp>3</stp>
        <stp>002687</stp>
        <stp>12/31/2018</stp>
        <stp>1</stp>
        <tr r="J2607" s="1"/>
      </tp>
      <tp>
        <v>9.1095725129999998</v>
        <stp/>
        <stp>EM_S_FA_NETPROFITMARGIN</stp>
        <stp>3</stp>
        <stp>000987</stp>
        <stp>12/31/2018</stp>
        <stp>1</stp>
        <tr r="J3597" s="1"/>
      </tp>
      <tp>
        <v>9.2005748711000006</v>
        <stp/>
        <stp>EM_S_FA_NETPROFITMARGIN</stp>
        <stp>3</stp>
        <stp>000887</stp>
        <stp>12/31/2018</stp>
        <stp>1</stp>
        <tr r="J2794" s="1"/>
      </tp>
      <tp>
        <v>-29.3191873128</v>
        <stp/>
        <stp>EM_S_FA_NETPROFITMARGIN</stp>
        <stp>3</stp>
        <stp>000587</stp>
        <stp>12/31/2018</stp>
        <stp>1</stp>
        <tr r="J3469" s="1"/>
      </tp>
      <tp>
        <v>2.5263509141</v>
        <stp/>
        <stp>EM_S_FA_NETPROFITMARGIN</stp>
        <stp>3</stp>
        <stp>000787</stp>
        <stp>12/31/2018</stp>
        <stp>1</stp>
        <tr r="J3538" s="1"/>
      </tp>
      <tp>
        <v>-32.796755943199997</v>
        <stp/>
        <stp>EM_S_FA_NETPROFITMARGIN</stp>
        <stp>3</stp>
        <stp>000687</stp>
        <stp>12/31/2018</stp>
        <stp>1</stp>
        <tr r="J3509" s="1"/>
      </tp>
      <tp>
        <v>4.3366824606999996</v>
        <stp/>
        <stp>EM_S_FA_NETPROFITMARGIN</stp>
        <stp>3</stp>
        <stp>002886</stp>
        <stp>12/31/2018</stp>
        <stp>1</stp>
        <tr r="J774" s="1"/>
      </tp>
      <tp>
        <v>4.6188511142999999</v>
        <stp/>
        <stp>EM_S_FA_NETPROFITMARGIN</stp>
        <stp>3</stp>
        <stp>002186</stp>
        <stp>12/31/2018</stp>
        <stp>1</stp>
        <tr r="J2772" s="1"/>
      </tp>
      <tp>
        <v>-109.1222288069</v>
        <stp/>
        <stp>EM_S_FA_NETPROFITMARGIN</stp>
        <stp>3</stp>
        <stp>002086</stp>
        <stp>12/31/2018</stp>
        <stp>1</stp>
        <tr r="J3629" s="1"/>
      </tp>
      <tp>
        <v>0.68255328540000004</v>
        <stp/>
        <stp>EM_S_FA_NETPROFITMARGIN</stp>
        <stp>3</stp>
        <stp>002386</stp>
        <stp>12/31/2018</stp>
        <stp>1</stp>
        <tr r="J1776" s="1"/>
      </tp>
      <tp>
        <v>2.4648283093000001</v>
        <stp/>
        <stp>EM_S_FA_NETPROFITMARGIN</stp>
        <stp>3</stp>
        <stp>002286</stp>
        <stp>12/31/2018</stp>
        <stp>1</stp>
        <tr r="J1755" s="1"/>
      </tp>
      <tp>
        <v>7.3873994016999998</v>
        <stp/>
        <stp>EM_S_FA_NETPROFITMARGIN</stp>
        <stp>3</stp>
        <stp>002586</stp>
        <stp>12/31/2018</stp>
        <stp>1</stp>
        <tr r="J3213" s="1"/>
      </tp>
      <tp>
        <v>2.0226296960000001</v>
        <stp/>
        <stp>EM_S_FA_NETPROFITMARGIN</stp>
        <stp>3</stp>
        <stp>002486</stp>
        <stp>12/31/2018</stp>
        <stp>1</stp>
        <tr r="J2922" s="1"/>
      </tp>
      <tp>
        <v>1.4012615745000001</v>
        <stp/>
        <stp>EM_S_FA_NETPROFITMARGIN</stp>
        <stp>3</stp>
        <stp>002786</stp>
        <stp>12/31/2018</stp>
        <stp>1</stp>
        <tr r="J785" s="1"/>
      </tp>
      <tp>
        <v>0.25879746770000001</v>
        <stp/>
        <stp>EM_S_FA_NETPROFITMARGIN</stp>
        <stp>3</stp>
        <stp>002686</stp>
        <stp>12/31/2018</stp>
        <stp>1</stp>
        <tr r="J2783" s="1"/>
      </tp>
      <tp>
        <v>35.960154262800003</v>
        <stp/>
        <stp>EM_S_FA_NETPROFITMARGIN</stp>
        <stp>3</stp>
        <stp>000886</stp>
        <stp>12/31/2018</stp>
        <stp>1</stp>
        <tr r="J3562" s="1"/>
      </tp>
      <tp>
        <v>-0.43771631449999998</v>
        <stp/>
        <stp>EM_S_FA_NETPROFITMARGIN</stp>
        <stp>3</stp>
        <stp>000586</stp>
        <stp>12/31/2018</stp>
        <stp>1</stp>
        <tr r="J3468" s="1"/>
      </tp>
      <tp>
        <v>19.742833130299999</v>
        <stp/>
        <stp>EM_S_FA_NETPROFITMARGIN</stp>
        <stp>3</stp>
        <stp>000786</stp>
        <stp>12/31/2018</stp>
        <stp>1</stp>
        <tr r="J216" s="1"/>
      </tp>
      <tp>
        <v>4.6010279391999998</v>
        <stp/>
        <stp>EM_S_FA_NETPROFITMARGIN</stp>
        <stp>3</stp>
        <stp>000686</stp>
        <stp>12/31/2018</stp>
        <stp>1</stp>
        <tr r="J3508" s="1"/>
      </tp>
      <tp>
        <v>6.9063774395999999</v>
        <stp/>
        <stp>EM_S_FA_NETPROFITMARGIN</stp>
        <stp>3</stp>
        <stp>002899</stp>
        <stp>12/31/2018</stp>
        <stp>1</stp>
        <tr r="J2501" s="1"/>
      </tp>
      <tp>
        <v>-44.353006616400002</v>
        <stp/>
        <stp>EM_S_FA_NETPROFITMARGIN</stp>
        <stp>3</stp>
        <stp>002199</stp>
        <stp>12/31/2018</stp>
        <stp>1</stp>
        <tr r="J2124" s="1"/>
      </tp>
      <tp>
        <v>22.254169910600002</v>
        <stp/>
        <stp>EM_S_FA_NETPROFITMARGIN</stp>
        <stp>3</stp>
        <stp>002099</stp>
        <stp>12/31/2018</stp>
        <stp>1</stp>
        <tr r="J498" s="1"/>
      </tp>
      <tp>
        <v>12.2988281416</v>
        <stp/>
        <stp>EM_S_FA_NETPROFITMARGIN</stp>
        <stp>3</stp>
        <stp>002399</stp>
        <stp>12/31/2018</stp>
        <stp>1</stp>
        <tr r="J2973" s="1"/>
      </tp>
      <tp>
        <v>13.433800904</v>
        <stp/>
        <stp>EM_S_FA_NETPROFITMARGIN</stp>
        <stp>3</stp>
        <stp>002299</stp>
        <stp>12/31/2018</stp>
        <stp>1</stp>
        <tr r="J644" s="1"/>
      </tp>
      <tp>
        <v>6.8068833863</v>
        <stp/>
        <stp>EM_S_FA_NETPROFITMARGIN</stp>
        <stp>3</stp>
        <stp>002599</stp>
        <stp>12/31/2018</stp>
        <stp>1</stp>
        <tr r="J3370" s="1"/>
      </tp>
      <tp>
        <v>-654.73464724739995</v>
        <stp/>
        <stp>EM_S_FA_NETPROFITMARGIN</stp>
        <stp>3</stp>
        <stp>002499</stp>
        <stp>12/31/2018</stp>
        <stp>1</stp>
        <tr r="J3287" s="1"/>
      </tp>
      <tp>
        <v>5.5935239769000002</v>
        <stp/>
        <stp>EM_S_FA_NETPROFITMARGIN</stp>
        <stp>3</stp>
        <stp>002799</stp>
        <stp>12/31/2018</stp>
        <stp>1</stp>
        <tr r="J657" s="1"/>
      </tp>
      <tp>
        <v>-30.617242832500001</v>
        <stp/>
        <stp>EM_S_FA_NETPROFITMARGIN</stp>
        <stp>3</stp>
        <stp>002699</stp>
        <stp>12/31/2018</stp>
        <stp>1</stp>
        <tr r="J1025" s="1"/>
      </tp>
      <tp>
        <v>10.9837618065</v>
        <stp/>
        <stp>EM_S_FA_NETPROFITMARGIN</stp>
        <stp>3</stp>
        <stp>000999</stp>
        <stp>12/31/2018</stp>
        <stp>1</stp>
        <tr r="J1163" s="1"/>
      </tp>
      <tp>
        <v>7.3415058596999998</v>
        <stp/>
        <stp>EM_S_FA_NETPROFITMARGIN</stp>
        <stp>3</stp>
        <stp>000899</stp>
        <stp>12/31/2018</stp>
        <stp>1</stp>
        <tr r="J1690" s="1"/>
      </tp>
      <tp>
        <v>11.1618104031</v>
        <stp/>
        <stp>EM_S_FA_NETPROFITMARGIN</stp>
        <stp>3</stp>
        <stp>000099</stp>
        <stp>12/31/2018</stp>
        <stp>1</stp>
        <tr r="J899" s="1"/>
      </tp>
      <tp>
        <v>0.77108831119999999</v>
        <stp/>
        <stp>EM_S_FA_NETPROFITMARGIN</stp>
        <stp>3</stp>
        <stp>000599</stp>
        <stp>12/31/2018</stp>
        <stp>1</stp>
        <tr r="J3476" s="1"/>
      </tp>
      <tp>
        <v>18.7616367848</v>
        <stp/>
        <stp>EM_S_FA_NETPROFITMARGIN</stp>
        <stp>3</stp>
        <stp>000799</stp>
        <stp>12/31/2018</stp>
        <stp>1</stp>
        <tr r="J114" s="1"/>
      </tp>
      <tp>
        <v>0</v>
        <stp/>
        <stp>EM_S_FA_NETPROFITMARGIN</stp>
        <stp>3</stp>
        <stp>000699</stp>
        <stp>12/31/2018</stp>
        <stp>1</stp>
        <tr r="J3515" s="1"/>
      </tp>
      <tp>
        <v>13.960267462399999</v>
        <stp/>
        <stp>EM_S_FA_NETPROFITMARGIN</stp>
        <stp>3</stp>
        <stp>002898</stp>
        <stp>12/31/2018</stp>
        <stp>1</stp>
        <tr r="J2713" s="1"/>
      </tp>
      <tp>
        <v>6.6815086228</v>
        <stp/>
        <stp>EM_S_FA_NETPROFITMARGIN</stp>
        <stp>3</stp>
        <stp>002198</stp>
        <stp>12/31/2018</stp>
        <stp>1</stp>
        <tr r="J2082" s="1"/>
      </tp>
      <tp>
        <v>-29.794733968700001</v>
        <stp/>
        <stp>EM_S_FA_NETPROFITMARGIN</stp>
        <stp>3</stp>
        <stp>002098</stp>
        <stp>12/31/2018</stp>
        <stp>1</stp>
        <tr r="J3633" s="1"/>
      </tp>
      <tp>
        <v>9.3683382062000007</v>
        <stp/>
        <stp>EM_S_FA_NETPROFITMARGIN</stp>
        <stp>3</stp>
        <stp>002398</stp>
        <stp>12/31/2018</stp>
        <stp>1</stp>
        <tr r="J850" s="1"/>
      </tp>
      <tp>
        <v>7.6697360719000001</v>
        <stp/>
        <stp>EM_S_FA_NETPROFITMARGIN</stp>
        <stp>3</stp>
        <stp>002298</stp>
        <stp>12/31/2018</stp>
        <stp>1</stp>
        <tr r="J1002" s="1"/>
      </tp>
      <tp>
        <v>8.8197698448999997</v>
        <stp/>
        <stp>EM_S_FA_NETPROFITMARGIN</stp>
        <stp>3</stp>
        <stp>002598</stp>
        <stp>12/31/2018</stp>
        <stp>1</stp>
        <tr r="J2728" s="1"/>
      </tp>
      <tp>
        <v>3.9702076435000002</v>
        <stp/>
        <stp>EM_S_FA_NETPROFITMARGIN</stp>
        <stp>3</stp>
        <stp>002498</stp>
        <stp>12/31/2018</stp>
        <stp>1</stp>
        <tr r="J544" s="1"/>
      </tp>
      <tp>
        <v>8.7211194602000006</v>
        <stp/>
        <stp>EM_S_FA_NETPROFITMARGIN</stp>
        <stp>3</stp>
        <stp>002798</stp>
        <stp>12/31/2018</stp>
        <stp>1</stp>
        <tr r="J231" s="1"/>
      </tp>
      <tp>
        <v>17.889544599000001</v>
        <stp/>
        <stp>EM_S_FA_NETPROFITMARGIN</stp>
        <stp>3</stp>
        <stp>002698</stp>
        <stp>12/31/2018</stp>
        <stp>1</stp>
        <tr r="J1301" s="1"/>
      </tp>
      <tp>
        <v>25.2306692947</v>
        <stp/>
        <stp>EM_S_FA_NETPROFITMARGIN</stp>
        <stp>3</stp>
        <stp>000998</stp>
        <stp>12/31/2018</stp>
        <stp>1</stp>
        <tr r="J2742" s="1"/>
      </tp>
      <tp>
        <v>7.5620263034999997</v>
        <stp/>
        <stp>EM_S_FA_NETPROFITMARGIN</stp>
        <stp>3</stp>
        <stp>000898</stp>
        <stp>12/31/2018</stp>
        <stp>1</stp>
        <tr r="J3280" s="1"/>
      </tp>
      <tp>
        <v>24.249996743400001</v>
        <stp/>
        <stp>EM_S_FA_NETPROFITMARGIN</stp>
        <stp>3</stp>
        <stp>000598</stp>
        <stp>12/31/2018</stp>
        <stp>1</stp>
        <tr r="J1507" s="1"/>
      </tp>
      <tp>
        <v>4.5847919467000002</v>
        <stp/>
        <stp>EM_S_FA_NETPROFITMARGIN</stp>
        <stp>3</stp>
        <stp>000498</stp>
        <stp>12/31/2018</stp>
        <stp>1</stp>
        <tr r="J2686" s="1"/>
      </tp>
      <tp>
        <v>8.6558121065000009</v>
        <stp/>
        <stp>EM_S_FA_NETPROFITMARGIN</stp>
        <stp>3</stp>
        <stp>000798</stp>
        <stp>12/31/2018</stp>
        <stp>1</stp>
        <tr r="J3541" s="1"/>
      </tp>
      <tp>
        <v>1.0991404492000001</v>
        <stp/>
        <stp>EM_S_FA_NETPROFITMARGIN</stp>
        <stp>3</stp>
        <stp>000698</stp>
        <stp>12/31/2018</stp>
        <stp>1</stp>
        <tr r="J3514" s="1"/>
      </tp>
      <tp>
        <v>4.3574175180000001</v>
        <stp/>
        <stp>EM_S_FA_NETPROFITMARGIN</stp>
        <stp>3</stp>
        <stp>002891</stp>
        <stp>12/31/2018</stp>
        <stp>1</stp>
        <tr r="J3025" s="1"/>
      </tp>
      <tp>
        <v>24.167887308899999</v>
        <stp/>
        <stp>EM_S_FA_NETPROFITMARGIN</stp>
        <stp>3</stp>
        <stp>002191</stp>
        <stp>12/31/2018</stp>
        <stp>1</stp>
        <tr r="J626" s="1"/>
      </tp>
      <tp>
        <v>4.5318108412999996</v>
        <stp/>
        <stp>EM_S_FA_NETPROFITMARGIN</stp>
        <stp>3</stp>
        <stp>002091</stp>
        <stp>12/31/2018</stp>
        <stp>1</stp>
        <tr r="J1200" s="1"/>
      </tp>
      <tp>
        <v>10.6868617275</v>
        <stp/>
        <stp>EM_S_FA_NETPROFITMARGIN</stp>
        <stp>3</stp>
        <stp>002391</stp>
        <stp>12/31/2018</stp>
        <stp>1</stp>
        <tr r="J3106" s="1"/>
      </tp>
      <tp>
        <v>1.1304444781</v>
        <stp/>
        <stp>EM_S_FA_NETPROFITMARGIN</stp>
        <stp>3</stp>
        <stp>002291</stp>
        <stp>12/31/2018</stp>
        <stp>1</stp>
        <tr r="J28" s="1"/>
      </tp>
      <tp>
        <v>9.1347702004000002</v>
        <stp/>
        <stp>EM_S_FA_NETPROFITMARGIN</stp>
        <stp>3</stp>
        <stp>002591</stp>
        <stp>12/31/2018</stp>
        <stp>1</stp>
        <tr r="J814" s="1"/>
      </tp>
      <tp>
        <v>12.739232943099999</v>
        <stp/>
        <stp>EM_S_FA_NETPROFITMARGIN</stp>
        <stp>3</stp>
        <stp>002491</stp>
        <stp>12/31/2018</stp>
        <stp>1</stp>
        <tr r="J2970" s="1"/>
      </tp>
      <tp>
        <v>4.3913019996999996</v>
        <stp/>
        <stp>EM_S_FA_NETPROFITMARGIN</stp>
        <stp>3</stp>
        <stp>002791</stp>
        <stp>12/31/2018</stp>
        <stp>1</stp>
        <tr r="J43" s="1"/>
      </tp>
      <tp>
        <v>3.6163693341999998</v>
        <stp/>
        <stp>EM_S_FA_NETPROFITMARGIN</stp>
        <stp>3</stp>
        <stp>002691</stp>
        <stp>12/31/2018</stp>
        <stp>1</stp>
        <tr r="J3060" s="1"/>
      </tp>
      <tp>
        <v>0</v>
        <stp/>
        <stp>EM_S_FA_NETPROFITMARGIN</stp>
        <stp>3</stp>
        <stp>000991</stp>
        <stp>12/31/2018</stp>
        <stp>1</stp>
        <tr r="J3599" s="1"/>
      </tp>
      <tp>
        <v>16.982147223399998</v>
        <stp/>
        <stp>EM_S_FA_NETPROFITMARGIN</stp>
        <stp>3</stp>
        <stp>000591</stp>
        <stp>12/31/2018</stp>
        <stp>1</stp>
        <tr r="J1170" s="1"/>
      </tp>
      <tp>
        <v>22.0317269405</v>
        <stp/>
        <stp>EM_S_FA_NETPROFITMARGIN</stp>
        <stp>3</stp>
        <stp>000791</stp>
        <stp>12/31/2018</stp>
        <stp>1</stp>
        <tr r="J3193" s="1"/>
      </tp>
      <tp>
        <v>28.524509471999998</v>
        <stp/>
        <stp>EM_S_FA_NETPROFITMARGIN</stp>
        <stp>3</stp>
        <stp>000691</stp>
        <stp>12/31/2018</stp>
        <stp>1</stp>
        <tr r="J3512" s="1"/>
      </tp>
      <tp>
        <v>11.7512508121</v>
        <stp/>
        <stp>EM_S_FA_NETPROFITMARGIN</stp>
        <stp>3</stp>
        <stp>002890</stp>
        <stp>12/31/2018</stp>
        <stp>1</stp>
        <tr r="J756" s="1"/>
      </tp>
      <tp>
        <v>-30.1055839747</v>
        <stp/>
        <stp>EM_S_FA_NETPROFITMARGIN</stp>
        <stp>3</stp>
        <stp>002190</stp>
        <stp>12/31/2018</stp>
        <stp>1</stp>
        <tr r="J842" s="1"/>
      </tp>
      <tp>
        <v>5.3729897892</v>
        <stp/>
        <stp>EM_S_FA_NETPROFITMARGIN</stp>
        <stp>3</stp>
        <stp>002090</stp>
        <stp>12/31/2018</stp>
        <stp>1</stp>
        <tr r="J3281" s="1"/>
      </tp>
      <tp>
        <v>-19.5004391467</v>
        <stp/>
        <stp>EM_S_FA_NETPROFITMARGIN</stp>
        <stp>3</stp>
        <stp>002390</stp>
        <stp>12/31/2018</stp>
        <stp>1</stp>
        <tr r="J1014" s="1"/>
      </tp>
      <tp>
        <v>3.6231808374000001</v>
        <stp/>
        <stp>EM_S_FA_NETPROFITMARGIN</stp>
        <stp>3</stp>
        <stp>002290</stp>
        <stp>12/31/2018</stp>
        <stp>1</stp>
        <tr r="J3357" s="1"/>
      </tp>
      <tp>
        <v>-1.5469184365999999</v>
        <stp/>
        <stp>EM_S_FA_NETPROFITMARGIN</stp>
        <stp>3</stp>
        <stp>002590</stp>
        <stp>12/31/2018</stp>
        <stp>1</stp>
        <tr r="J1706" s="1"/>
      </tp>
      <tp>
        <v>2.3002274475000002</v>
        <stp/>
        <stp>EM_S_FA_NETPROFITMARGIN</stp>
        <stp>3</stp>
        <stp>002490</stp>
        <stp>12/31/2018</stp>
        <stp>1</stp>
        <tr r="J2775" s="1"/>
      </tp>
      <tp>
        <v>16.2052799756</v>
        <stp/>
        <stp>EM_S_FA_NETPROFITMARGIN</stp>
        <stp>3</stp>
        <stp>002790</stp>
        <stp>12/31/2018</stp>
        <stp>1</stp>
        <tr r="J3304" s="1"/>
      </tp>
      <tp>
        <v>36.112579553300002</v>
        <stp/>
        <stp>EM_S_FA_NETPROFITMARGIN</stp>
        <stp>3</stp>
        <stp>002690</stp>
        <stp>12/31/2018</stp>
        <stp>1</stp>
        <tr r="J233" s="1"/>
      </tp>
      <tp>
        <v>14.3602781121</v>
        <stp/>
        <stp>EM_S_FA_NETPROFITMARGIN</stp>
        <stp>3</stp>
        <stp>000990</stp>
        <stp>12/31/2018</stp>
        <stp>1</stp>
        <tr r="J1153" s="1"/>
      </tp>
      <tp>
        <v>-8.5524674116000003</v>
        <stp/>
        <stp>EM_S_FA_NETPROFITMARGIN</stp>
        <stp>3</stp>
        <stp>000890</stp>
        <stp>12/31/2018</stp>
        <stp>1</stp>
        <tr r="J3564" s="1"/>
      </tp>
      <tp>
        <v>7.5947055427999999</v>
        <stp/>
        <stp>EM_S_FA_NETPROFITMARGIN</stp>
        <stp>3</stp>
        <stp>000090</stp>
        <stp>12/31/2018</stp>
        <stp>1</stp>
        <tr r="J479" s="1"/>
      </tp>
      <tp>
        <v>-20.547977935999999</v>
        <stp/>
        <stp>EM_S_FA_NETPROFITMARGIN</stp>
        <stp>3</stp>
        <stp>000590</stp>
        <stp>12/31/2018</stp>
        <stp>1</stp>
        <tr r="J3472" s="1"/>
      </tp>
      <tp>
        <v>4.9208213293999998</v>
        <stp/>
        <stp>EM_S_FA_NETPROFITMARGIN</stp>
        <stp>3</stp>
        <stp>000790</stp>
        <stp>12/31/2018</stp>
        <stp>1</stp>
        <tr r="J1849" s="1"/>
      </tp>
      <tp>
        <v>12.056450853499999</v>
        <stp/>
        <stp>EM_S_FA_NETPROFITMARGIN</stp>
        <stp>3</stp>
        <stp>000690</stp>
        <stp>12/31/2018</stp>
        <stp>1</stp>
        <tr r="J2957" s="1"/>
      </tp>
      <tp>
        <v>3.9597832212999999</v>
        <stp/>
        <stp>EM_S_FA_NETPROFITMARGIN</stp>
        <stp>3</stp>
        <stp>002893</stp>
        <stp>12/31/2018</stp>
        <stp>1</stp>
        <tr r="J3136" s="1"/>
      </tp>
      <tp>
        <v>8.4145058065999994</v>
        <stp/>
        <stp>EM_S_FA_NETPROFITMARGIN</stp>
        <stp>3</stp>
        <stp>002193</stp>
        <stp>12/31/2018</stp>
        <stp>1</stp>
        <tr r="J2773" s="1"/>
      </tp>
      <tp>
        <v>10.643931067500001</v>
        <stp/>
        <stp>EM_S_FA_NETPROFITMARGIN</stp>
        <stp>3</stp>
        <stp>002093</stp>
        <stp>12/31/2018</stp>
        <stp>1</stp>
        <tr r="J3631" s="1"/>
      </tp>
      <tp>
        <v>12.302250964300001</v>
        <stp/>
        <stp>EM_S_FA_NETPROFITMARGIN</stp>
        <stp>3</stp>
        <stp>002393</stp>
        <stp>12/31/2018</stp>
        <stp>1</stp>
        <tr r="J1123" s="1"/>
      </tp>
      <tp>
        <v>11.3210103341</v>
        <stp/>
        <stp>EM_S_FA_NETPROFITMARGIN</stp>
        <stp>3</stp>
        <stp>002293</stp>
        <stp>12/31/2018</stp>
        <stp>1</stp>
        <tr r="J1996" s="1"/>
      </tp>
      <tp>
        <v>2.7552534640999999</v>
        <stp/>
        <stp>EM_S_FA_NETPROFITMARGIN</stp>
        <stp>3</stp>
        <stp>002593</stp>
        <stp>12/31/2018</stp>
        <stp>1</stp>
        <tr r="J1008" s="1"/>
      </tp>
      <tp>
        <v>2.1521580369</v>
        <stp/>
        <stp>EM_S_FA_NETPROFITMARGIN</stp>
        <stp>3</stp>
        <stp>002493</stp>
        <stp>12/31/2018</stp>
        <stp>1</stp>
        <tr r="J1189" s="1"/>
      </tp>
      <tp>
        <v>11.9029493755</v>
        <stp/>
        <stp>EM_S_FA_NETPROFITMARGIN</stp>
        <stp>3</stp>
        <stp>002793</stp>
        <stp>12/31/2018</stp>
        <stp>1</stp>
        <tr r="J848" s="1"/>
      </tp>
      <tp>
        <v>-27.323958370900002</v>
        <stp/>
        <stp>EM_S_FA_NETPROFITMARGIN</stp>
        <stp>3</stp>
        <stp>002693</stp>
        <stp>12/31/2018</stp>
        <stp>1</stp>
        <tr r="J1309" s="1"/>
      </tp>
      <tp>
        <v>-71.307115366399998</v>
        <stp/>
        <stp>EM_S_FA_NETPROFITMARGIN</stp>
        <stp>3</stp>
        <stp>000993</stp>
        <stp>12/31/2018</stp>
        <stp>1</stp>
        <tr r="J3600" s="1"/>
      </tp>
      <tp>
        <v>-0.30004237610000001</v>
        <stp/>
        <stp>EM_S_FA_NETPROFITMARGIN</stp>
        <stp>3</stp>
        <stp>000893</stp>
        <stp>12/31/2018</stp>
        <stp>1</stp>
        <tr r="J3566" s="1"/>
      </tp>
      <tp>
        <v>-29.5358700932</v>
        <stp/>
        <stp>EM_S_FA_NETPROFITMARGIN</stp>
        <stp>3</stp>
        <stp>000593</stp>
        <stp>12/31/2018</stp>
        <stp>1</stp>
        <tr r="J3473" s="1"/>
      </tp>
      <tp>
        <v>-130.37286855439999</v>
        <stp/>
        <stp>EM_S_FA_NETPROFITMARGIN</stp>
        <stp>3</stp>
        <stp>000793</stp>
        <stp>12/31/2018</stp>
        <stp>1</stp>
        <tr r="J3540" s="1"/>
      </tp>
      <tp>
        <v>0</v>
        <stp/>
        <stp>EM_S_FA_NETPROFITMARGIN</stp>
        <stp>3</stp>
        <stp>000693</stp>
        <stp>12/31/2018</stp>
        <stp>1</stp>
        <tr r="J3513" s="1"/>
      </tp>
      <tp>
        <v>9.6483751729999998</v>
        <stp/>
        <stp>EM_S_FA_NETPROFITMARGIN</stp>
        <stp>3</stp>
        <stp>002892</stp>
        <stp>12/31/2018</stp>
        <stp>1</stp>
        <tr r="J1688" s="1"/>
      </tp>
      <tp>
        <v>-1.1345814911000001</v>
        <stp/>
        <stp>EM_S_FA_NETPROFITMARGIN</stp>
        <stp>3</stp>
        <stp>002192</stp>
        <stp>12/31/2018</stp>
        <stp>1</stp>
        <tr r="J988" s="1"/>
      </tp>
      <tp>
        <v>3.6472692489999998</v>
        <stp/>
        <stp>EM_S_FA_NETPROFITMARGIN</stp>
        <stp>3</stp>
        <stp>002092</stp>
        <stp>12/31/2018</stp>
        <stp>1</stp>
        <tr r="J2499" s="1"/>
      </tp>
      <tp>
        <v>10.4392594957</v>
        <stp/>
        <stp>EM_S_FA_NETPROFITMARGIN</stp>
        <stp>3</stp>
        <stp>002392</stp>
        <stp>12/31/2018</stp>
        <stp>1</stp>
        <tr r="J1412" s="1"/>
      </tp>
      <tp>
        <v>-59.5713162407</v>
        <stp/>
        <stp>EM_S_FA_NETPROFITMARGIN</stp>
        <stp>3</stp>
        <stp>002292</stp>
        <stp>12/31/2018</stp>
        <stp>1</stp>
        <tr r="J282" s="1"/>
      </tp>
      <tp>
        <v>1.0149896343</v>
        <stp/>
        <stp>EM_S_FA_NETPROFITMARGIN</stp>
        <stp>3</stp>
        <stp>002592</stp>
        <stp>12/31/2018</stp>
        <stp>1</stp>
        <tr r="J3324" s="1"/>
      </tp>
      <tp>
        <v>20.635780673500001</v>
        <stp/>
        <stp>EM_S_FA_NETPROFITMARGIN</stp>
        <stp>3</stp>
        <stp>002492</stp>
        <stp>12/31/2018</stp>
        <stp>1</stp>
        <tr r="J1745" s="1"/>
      </tp>
      <tp>
        <v>4.0181885793000003</v>
        <stp/>
        <stp>EM_S_FA_NETPROFITMARGIN</stp>
        <stp>3</stp>
        <stp>002792</stp>
        <stp>12/31/2018</stp>
        <stp>1</stp>
        <tr r="J2935" s="1"/>
      </tp>
      <tp>
        <v>-12.299690761900001</v>
        <stp/>
        <stp>EM_S_FA_NETPROFITMARGIN</stp>
        <stp>3</stp>
        <stp>002692</stp>
        <stp>12/31/2018</stp>
        <stp>1</stp>
        <tr r="J2695" s="1"/>
      </tp>
      <tp>
        <v>24.335250498699999</v>
        <stp/>
        <stp>EM_S_FA_NETPROFITMARGIN</stp>
        <stp>3</stp>
        <stp>000892</stp>
        <stp>12/31/2018</stp>
        <stp>1</stp>
        <tr r="J3565" s="1"/>
      </tp>
      <tp>
        <v>3.3580930081</v>
        <stp/>
        <stp>EM_S_FA_NETPROFITMARGIN</stp>
        <stp>3</stp>
        <stp>000592</stp>
        <stp>12/31/2018</stp>
        <stp>1</stp>
        <tr r="J1951" s="1"/>
      </tp>
      <tp>
        <v>-20.126395181300001</v>
        <stp/>
        <stp>EM_S_FA_NETPROFITMARGIN</stp>
        <stp>3</stp>
        <stp>000792</stp>
        <stp>12/31/2018</stp>
        <stp>1</stp>
        <tr r="J3539" s="1"/>
      </tp>
      <tp>
        <v>1.2032943652000001</v>
        <stp/>
        <stp>EM_S_FA_NETPROFITMARGIN</stp>
        <stp>3</stp>
        <stp>000692</stp>
        <stp>12/31/2018</stp>
        <stp>1</stp>
        <tr r="J1493" s="1"/>
      </tp>
      <tp>
        <v>5.9406998089999998</v>
        <stp/>
        <stp>EM_S_FA_NETPROFITMARGIN</stp>
        <stp>3</stp>
        <stp>002895</stp>
        <stp>12/31/2018</stp>
        <stp>1</stp>
        <tr r="J2097" s="1"/>
      </tp>
      <tp>
        <v>36.359588443699998</v>
        <stp/>
        <stp>EM_S_FA_NETPROFITMARGIN</stp>
        <stp>3</stp>
        <stp>002195</stp>
        <stp>12/31/2018</stp>
        <stp>1</stp>
        <tr r="J2857" s="1"/>
      </tp>
      <tp>
        <v>8.9778527227999998</v>
        <stp/>
        <stp>EM_S_FA_NETPROFITMARGIN</stp>
        <stp>3</stp>
        <stp>002095</stp>
        <stp>12/31/2018</stp>
        <stp>1</stp>
        <tr r="J1584" s="1"/>
      </tp>
      <tp>
        <v>2.5722898105000001</v>
        <stp/>
        <stp>EM_S_FA_NETPROFITMARGIN</stp>
        <stp>3</stp>
        <stp>002395</stp>
        <stp>12/31/2018</stp>
        <stp>1</stp>
        <tr r="J101" s="1"/>
      </tp>
      <tp>
        <v>0.83011202930000005</v>
        <stp/>
        <stp>EM_S_FA_NETPROFITMARGIN</stp>
        <stp>3</stp>
        <stp>002295</stp>
        <stp>12/31/2018</stp>
        <stp>1</stp>
        <tr r="J2213" s="1"/>
      </tp>
      <tp>
        <v>19.8384337432</v>
        <stp/>
        <stp>EM_S_FA_NETPROFITMARGIN</stp>
        <stp>3</stp>
        <stp>002595</stp>
        <stp>12/31/2018</stp>
        <stp>1</stp>
        <tr r="J1354" s="1"/>
      </tp>
      <tp>
        <v>11.0339716111</v>
        <stp/>
        <stp>EM_S_FA_NETPROFITMARGIN</stp>
        <stp>3</stp>
        <stp>002495</stp>
        <stp>12/31/2018</stp>
        <stp>1</stp>
        <tr r="J2707" s="1"/>
      </tp>
      <tp>
        <v>12.622067962399999</v>
        <stp/>
        <stp>EM_S_FA_NETPROFITMARGIN</stp>
        <stp>3</stp>
        <stp>002795</stp>
        <stp>12/31/2018</stp>
        <stp>1</stp>
        <tr r="J2685" s="1"/>
      </tp>
      <tp>
        <v>9.4826992254999993</v>
        <stp/>
        <stp>EM_S_FA_NETPROFITMARGIN</stp>
        <stp>3</stp>
        <stp>002695</stp>
        <stp>12/31/2018</stp>
        <stp>1</stp>
        <tr r="J430" s="1"/>
      </tp>
      <tp>
        <v>-374.70757579420001</v>
        <stp/>
        <stp>EM_S_FA_NETPROFITMARGIN</stp>
        <stp>3</stp>
        <stp>000995</stp>
        <stp>12/31/2018</stp>
        <stp>1</stp>
        <tr r="J3601" s="1"/>
      </tp>
      <tp>
        <v>10.4094209965</v>
        <stp/>
        <stp>EM_S_FA_NETPROFITMARGIN</stp>
        <stp>3</stp>
        <stp>000895</stp>
        <stp>12/31/2018</stp>
        <stp>1</stp>
        <tr r="J3567" s="1"/>
      </tp>
      <tp>
        <v>-22.46686412</v>
        <stp/>
        <stp>EM_S_FA_NETPROFITMARGIN</stp>
        <stp>3</stp>
        <stp>000595</stp>
        <stp>12/31/2018</stp>
        <stp>1</stp>
        <tr r="J3475" s="1"/>
      </tp>
      <tp>
        <v>5.6784074806999998</v>
        <stp/>
        <stp>EM_S_FA_NETPROFITMARGIN</stp>
        <stp>3</stp>
        <stp>000795</stp>
        <stp>12/31/2018</stp>
        <stp>1</stp>
        <tr r="J292" s="1"/>
      </tp>
      <tp>
        <v>5.3754016692000004</v>
        <stp/>
        <stp>EM_S_FA_NETPROFITMARGIN</stp>
        <stp>3</stp>
        <stp>000695</stp>
        <stp>12/31/2018</stp>
        <stp>1</stp>
        <tr r="J2992" s="1"/>
      </tp>
      <tp>
        <v>15.7989572814</v>
        <stp/>
        <stp>EM_S_FA_NETPROFITMARGIN</stp>
        <stp>3</stp>
        <stp>002194</stp>
        <stp>12/31/2018</stp>
        <stp>1</stp>
        <tr r="J48" s="1"/>
      </tp>
      <tp>
        <v>2.8420012477999999</v>
        <stp/>
        <stp>EM_S_FA_NETPROFITMARGIN</stp>
        <stp>3</stp>
        <stp>002094</stp>
        <stp>12/31/2018</stp>
        <stp>1</stp>
        <tr r="J2354" s="1"/>
      </tp>
      <tp>
        <v>9.3689887914999996</v>
        <stp/>
        <stp>EM_S_FA_NETPROFITMARGIN</stp>
        <stp>3</stp>
        <stp>002394</stp>
        <stp>12/31/2018</stp>
        <stp>1</stp>
        <tr r="J2636" s="1"/>
      </tp>
      <tp>
        <v>31.268692575100001</v>
        <stp/>
        <stp>EM_S_FA_NETPROFITMARGIN</stp>
        <stp>3</stp>
        <stp>002294</stp>
        <stp>12/31/2018</stp>
        <stp>1</stp>
        <tr r="J2519" s="1"/>
      </tp>
      <tp>
        <v>2.7343823857</v>
        <stp/>
        <stp>EM_S_FA_NETPROFITMARGIN</stp>
        <stp>3</stp>
        <stp>002594</stp>
        <stp>12/31/2018</stp>
        <stp>1</stp>
        <tr r="J2634" s="1"/>
      </tp>
      <tp>
        <v>2.6310552735999999</v>
        <stp/>
        <stp>EM_S_FA_NETPROFITMARGIN</stp>
        <stp>3</stp>
        <stp>002494</stp>
        <stp>12/31/2018</stp>
        <stp>1</stp>
        <tr r="J2654" s="1"/>
      </tp>
      <tp>
        <v>-8.3448868503</v>
        <stp/>
        <stp>EM_S_FA_NETPROFITMARGIN</stp>
        <stp>3</stp>
        <stp>002694</stp>
        <stp>12/31/2018</stp>
        <stp>1</stp>
        <tr r="J3113" s="1"/>
      </tp>
      <tp>
        <v>-119630.4547419656</v>
        <stp/>
        <stp>EM_S_FA_NETPROFITMARGIN</stp>
        <stp>3</stp>
        <stp>000594</stp>
        <stp>12/31/2018</stp>
        <stp>1</stp>
        <tr r="J3474" s="1"/>
      </tp>
      <tp>
        <v>5.3385620376</v>
        <stp/>
        <stp>EM_S_FA_NETPROFITMARGIN</stp>
        <stp>3</stp>
        <stp>002897</stp>
        <stp>12/31/2018</stp>
        <stp>1</stp>
        <tr r="J887" s="1"/>
      </tp>
      <tp>
        <v>-19.092710999800001</v>
        <stp/>
        <stp>EM_S_FA_NETPROFITMARGIN</stp>
        <stp>3</stp>
        <stp>002197</stp>
        <stp>12/31/2018</stp>
        <stp>1</stp>
        <tr r="J1474" s="1"/>
      </tp>
      <tp>
        <v>8.0030946887999992</v>
        <stp/>
        <stp>EM_S_FA_NETPROFITMARGIN</stp>
        <stp>3</stp>
        <stp>002097</stp>
        <stp>12/31/2018</stp>
        <stp>1</stp>
        <tr r="J1946" s="1"/>
      </tp>
      <tp>
        <v>4.0156636559000001</v>
        <stp/>
        <stp>EM_S_FA_NETPROFITMARGIN</stp>
        <stp>3</stp>
        <stp>002397</stp>
        <stp>12/31/2018</stp>
        <stp>1</stp>
        <tr r="J1300" s="1"/>
      </tp>
      <tp>
        <v>5.4364349313</v>
        <stp/>
        <stp>EM_S_FA_NETPROFITMARGIN</stp>
        <stp>3</stp>
        <stp>002297</stp>
        <stp>12/31/2018</stp>
        <stp>1</stp>
        <tr r="J1894" s="1"/>
      </tp>
      <tp>
        <v>22.057198523699999</v>
        <stp/>
        <stp>EM_S_FA_NETPROFITMARGIN</stp>
        <stp>3</stp>
        <stp>002597</stp>
        <stp>12/31/2018</stp>
        <stp>1</stp>
        <tr r="J765" s="1"/>
      </tp>
      <tp>
        <v>7.4628600216000001</v>
        <stp/>
        <stp>EM_S_FA_NETPROFITMARGIN</stp>
        <stp>3</stp>
        <stp>002497</stp>
        <stp>12/31/2018</stp>
        <stp>1</stp>
        <tr r="J1848" s="1"/>
      </tp>
      <tp>
        <v>7.4362105270000001</v>
        <stp/>
        <stp>EM_S_FA_NETPROFITMARGIN</stp>
        <stp>3</stp>
        <stp>002797</stp>
        <stp>12/31/2018</stp>
        <stp>1</stp>
        <tr r="J505" s="1"/>
      </tp>
      <tp>
        <v>4.4586035166000002</v>
        <stp/>
        <stp>EM_S_FA_NETPROFITMARGIN</stp>
        <stp>3</stp>
        <stp>002697</stp>
        <stp>12/31/2018</stp>
        <stp>1</stp>
        <tr r="J629" s="1"/>
      </tp>
      <tp>
        <v>10.5177091546</v>
        <stp/>
        <stp>EM_S_FA_NETPROFITMARGIN</stp>
        <stp>3</stp>
        <stp>000997</stp>
        <stp>12/31/2018</stp>
        <stp>1</stp>
        <tr r="J1814" s="1"/>
      </tp>
      <tp>
        <v>-96.522900029300004</v>
        <stp/>
        <stp>EM_S_FA_NETPROFITMARGIN</stp>
        <stp>3</stp>
        <stp>000897</stp>
        <stp>12/31/2018</stp>
        <stp>1</stp>
        <tr r="J3568" s="1"/>
      </tp>
      <tp>
        <v>2.6969473106000001</v>
        <stp/>
        <stp>EM_S_FA_NETPROFITMARGIN</stp>
        <stp>3</stp>
        <stp>000597</stp>
        <stp>12/31/2018</stp>
        <stp>1</stp>
        <tr r="J3256" s="1"/>
      </tp>
      <tp>
        <v>8.7615629290000001</v>
        <stp/>
        <stp>EM_S_FA_NETPROFITMARGIN</stp>
        <stp>3</stp>
        <stp>000797</stp>
        <stp>12/31/2018</stp>
        <stp>1</stp>
        <tr r="J3127" s="1"/>
      </tp>
      <tp>
        <v>1.3681486802</v>
        <stp/>
        <stp>EM_S_FA_NETPROFITMARGIN</stp>
        <stp>3</stp>
        <stp>000697</stp>
        <stp>12/31/2018</stp>
        <stp>1</stp>
        <tr r="J2913" s="1"/>
      </tp>
      <tp>
        <v>12.157502514600001</v>
        <stp/>
        <stp>EM_S_FA_NETPROFITMARGIN</stp>
        <stp>3</stp>
        <stp>002896</stp>
        <stp>12/31/2018</stp>
        <stp>1</stp>
        <tr r="J3187" s="1"/>
      </tp>
      <tp>
        <v>-32.608622774300002</v>
        <stp/>
        <stp>EM_S_FA_NETPROFITMARGIN</stp>
        <stp>3</stp>
        <stp>002196</stp>
        <stp>12/31/2018</stp>
        <stp>1</stp>
        <tr r="J1966" s="1"/>
      </tp>
      <tp>
        <v>1.0763049169000001</v>
        <stp/>
        <stp>EM_S_FA_NETPROFITMARGIN</stp>
        <stp>3</stp>
        <stp>002096</stp>
        <stp>12/31/2018</stp>
        <stp>1</stp>
        <tr r="J3632" s="1"/>
      </tp>
      <tp>
        <v>9.0756198057000006</v>
        <stp/>
        <stp>EM_S_FA_NETPROFITMARGIN</stp>
        <stp>3</stp>
        <stp>002396</stp>
        <stp>12/31/2018</stp>
        <stp>1</stp>
        <tr r="J155" s="1"/>
      </tp>
      <tp>
        <v>6.5167265822999996</v>
        <stp/>
        <stp>EM_S_FA_NETPROFITMARGIN</stp>
        <stp>3</stp>
        <stp>002296</stp>
        <stp>12/31/2018</stp>
        <stp>1</stp>
        <tr r="J457" s="1"/>
      </tp>
      <tp>
        <v>3.9530902390999998</v>
        <stp/>
        <stp>EM_S_FA_NETPROFITMARGIN</stp>
        <stp>3</stp>
        <stp>002596</stp>
        <stp>12/31/2018</stp>
        <stp>1</stp>
        <tr r="J1810" s="1"/>
      </tp>
      <tp>
        <v>-23.314957518100002</v>
        <stp/>
        <stp>EM_S_FA_NETPROFITMARGIN</stp>
        <stp>3</stp>
        <stp>002496</stp>
        <stp>12/31/2018</stp>
        <stp>1</stp>
        <tr r="J600" s="1"/>
      </tp>
      <tp>
        <v>3.9938172286000002</v>
        <stp/>
        <stp>EM_S_FA_NETPROFITMARGIN</stp>
        <stp>3</stp>
        <stp>002796</stp>
        <stp>12/31/2018</stp>
        <stp>1</stp>
        <tr r="J2130" s="1"/>
      </tp>
      <tp>
        <v>2.3143092458000001</v>
        <stp/>
        <stp>EM_S_FA_NETPROFITMARGIN</stp>
        <stp>3</stp>
        <stp>002696</stp>
        <stp>12/31/2018</stp>
        <stp>1</stp>
        <tr r="J3242" s="1"/>
      </tp>
      <tp>
        <v>-10.7937243109</v>
        <stp/>
        <stp>EM_S_FA_NETPROFITMARGIN</stp>
        <stp>3</stp>
        <stp>001896</stp>
        <stp>12/31/2018</stp>
        <stp>1</stp>
        <tr r="J3602" s="1"/>
      </tp>
      <tp>
        <v>7.1790100098999998</v>
        <stp/>
        <stp>EM_S_FA_NETPROFITMARGIN</stp>
        <stp>3</stp>
        <stp>001696</stp>
        <stp>12/31/2018</stp>
        <stp>1</stp>
        <tr r="J863" s="1"/>
      </tp>
      <tp>
        <v>22.817307987500001</v>
        <stp/>
        <stp>EM_S_FA_NETPROFITMARGIN</stp>
        <stp>3</stp>
        <stp>000996</stp>
        <stp>12/31/2018</stp>
        <stp>1</stp>
        <tr r="J1113" s="1"/>
      </tp>
      <tp>
        <v>6.7531533160999997</v>
        <stp/>
        <stp>EM_S_FA_NETPROFITMARGIN</stp>
        <stp>3</stp>
        <stp>000096</stp>
        <stp>12/31/2018</stp>
        <stp>1</stp>
        <tr r="J1146" s="1"/>
      </tp>
      <tp>
        <v>20.0424307386</v>
        <stp/>
        <stp>EM_S_FA_NETPROFITMARGIN</stp>
        <stp>3</stp>
        <stp>000596</stp>
        <stp>12/31/2018</stp>
        <stp>1</stp>
        <tr r="J77" s="1"/>
      </tp>
      <tp>
        <v>2.6725751018000001</v>
        <stp/>
        <stp>EM_S_FA_NETPROFITMARGIN</stp>
        <stp>3</stp>
        <stp>000796</stp>
        <stp>12/31/2018</stp>
        <stp>1</stp>
        <tr r="J776" s="1"/>
      </tp>
      <tp>
        <v>-26.950913580200002</v>
        <stp/>
        <stp>EM_S_FA_NETPROFITMARGIN</stp>
        <stp>3</stp>
        <stp>300199</stp>
        <stp>12/31/2018</stp>
        <stp>1</stp>
        <tr r="J3302" s="1"/>
      </tp>
      <tp>
        <v>19.3701425014</v>
        <stp/>
        <stp>EM_S_FA_NETPROFITMARGIN</stp>
        <stp>3</stp>
        <stp>300099</stp>
        <stp>12/31/2018</stp>
        <stp>1</stp>
        <tr r="J551" s="1"/>
      </tp>
      <tp>
        <v>7.5935609944999998</v>
        <stp/>
        <stp>EM_S_FA_NETPROFITMARGIN</stp>
        <stp>3</stp>
        <stp>300399</stp>
        <stp>12/31/2018</stp>
        <stp>1</stp>
        <tr r="J472" s="1"/>
      </tp>
      <tp>
        <v>10.4060081302</v>
        <stp/>
        <stp>EM_S_FA_NETPROFITMARGIN</stp>
        <stp>3</stp>
        <stp>300299</stp>
        <stp>12/31/2018</stp>
        <stp>1</stp>
        <tr r="J2152" s="1"/>
      </tp>
      <tp>
        <v>10.8904054115</v>
        <stp/>
        <stp>EM_S_FA_NETPROFITMARGIN</stp>
        <stp>3</stp>
        <stp>300599</stp>
        <stp>12/31/2018</stp>
        <stp>1</stp>
        <tr r="J2093" s="1"/>
      </tp>
      <tp>
        <v>8.7994330950999995</v>
        <stp/>
        <stp>EM_S_FA_NETPROFITMARGIN</stp>
        <stp>3</stp>
        <stp>300499</stp>
        <stp>12/31/2018</stp>
        <stp>1</stp>
        <tr r="J3080" s="1"/>
      </tp>
      <tp>
        <v>27.617539563800001</v>
        <stp/>
        <stp>EM_S_FA_NETPROFITMARGIN</stp>
        <stp>3</stp>
        <stp>300699</stp>
        <stp>12/31/2018</stp>
        <stp>1</stp>
        <tr r="J995" s="1"/>
      </tp>
      <tp>
        <v>-35.412410027200004</v>
        <stp/>
        <stp>EM_S_FA_NETPROFITMARGIN</stp>
        <stp>3</stp>
        <stp>300198</stp>
        <stp>12/31/2018</stp>
        <stp>1</stp>
        <tr r="J522" s="1"/>
      </tp>
      <tp>
        <v>15.3453789209</v>
        <stp/>
        <stp>EM_S_FA_NETPROFITMARGIN</stp>
        <stp>3</stp>
        <stp>300098</stp>
        <stp>12/31/2018</stp>
        <stp>1</stp>
        <tr r="J2821" s="1"/>
      </tp>
      <tp>
        <v>19.943994464700001</v>
        <stp/>
        <stp>EM_S_FA_NETPROFITMARGIN</stp>
        <stp>3</stp>
        <stp>300398</stp>
        <stp>12/31/2018</stp>
        <stp>1</stp>
        <tr r="J2573" s="1"/>
      </tp>
      <tp>
        <v>20.022295080100001</v>
        <stp/>
        <stp>EM_S_FA_NETPROFITMARGIN</stp>
        <stp>3</stp>
        <stp>300298</stp>
        <stp>12/31/2018</stp>
        <stp>1</stp>
        <tr r="J742" s="1"/>
      </tp>
      <tp>
        <v>2.7382040621999999</v>
        <stp/>
        <stp>EM_S_FA_NETPROFITMARGIN</stp>
        <stp>3</stp>
        <stp>300598</stp>
        <stp>12/31/2018</stp>
        <stp>1</stp>
        <tr r="J16" s="1"/>
      </tp>
      <tp>
        <v>7.4360955365999999</v>
        <stp/>
        <stp>EM_S_FA_NETPROFITMARGIN</stp>
        <stp>3</stp>
        <stp>300498</stp>
        <stp>12/31/2018</stp>
        <stp>1</stp>
        <tr r="J1017" s="1"/>
      </tp>
      <tp>
        <v>1.4357201851000001</v>
        <stp/>
        <stp>EM_S_FA_NETPROFITMARGIN</stp>
        <stp>3</stp>
        <stp>300698</stp>
        <stp>12/31/2018</stp>
        <stp>1</stp>
        <tr r="J2793" s="1"/>
      </tp>
      <tp>
        <v>64.151458156800004</v>
        <stp/>
        <stp>EM_S_FA_NETPROFITMARGIN</stp>
        <stp>3</stp>
        <stp>300191</stp>
        <stp>12/31/2018</stp>
        <stp>1</stp>
        <tr r="J602" s="1"/>
      </tp>
      <tp>
        <v>4.8048151773000001</v>
        <stp/>
        <stp>EM_S_FA_NETPROFITMARGIN</stp>
        <stp>3</stp>
        <stp>300091</stp>
        <stp>12/31/2018</stp>
        <stp>1</stp>
        <tr r="J1161" s="1"/>
      </tp>
      <tp>
        <v>11.307898660999999</v>
        <stp/>
        <stp>EM_S_FA_NETPROFITMARGIN</stp>
        <stp>3</stp>
        <stp>300391</stp>
        <stp>12/31/2018</stp>
        <stp>1</stp>
        <tr r="J3154" s="1"/>
      </tp>
      <tp>
        <v>-543.12467502250001</v>
        <stp/>
        <stp>EM_S_FA_NETPROFITMARGIN</stp>
        <stp>3</stp>
        <stp>300291</stp>
        <stp>12/31/2018</stp>
        <stp>1</stp>
        <tr r="J808" s="1"/>
      </tp>
      <tp>
        <v>6.1637243919999998</v>
        <stp/>
        <stp>EM_S_FA_NETPROFITMARGIN</stp>
        <stp>3</stp>
        <stp>300591</stp>
        <stp>12/31/2018</stp>
        <stp>1</stp>
        <tr r="J2386" s="1"/>
      </tp>
      <tp>
        <v>-8.7446403781999997</v>
        <stp/>
        <stp>EM_S_FA_NETPROFITMARGIN</stp>
        <stp>3</stp>
        <stp>300491</stp>
        <stp>12/31/2018</stp>
        <stp>1</stp>
        <tr r="J2962" s="1"/>
      </tp>
      <tp>
        <v>6.1880724594999998</v>
        <stp/>
        <stp>EM_S_FA_NETPROFITMARGIN</stp>
        <stp>3</stp>
        <stp>300691</stp>
        <stp>12/31/2018</stp>
        <stp>1</stp>
        <tr r="J2974" s="1"/>
      </tp>
      <tp>
        <v>11.962471534300001</v>
        <stp/>
        <stp>EM_S_FA_NETPROFITMARGIN</stp>
        <stp>3</stp>
        <stp>300190</stp>
        <stp>12/31/2018</stp>
        <stp>1</stp>
        <tr r="J746" s="1"/>
      </tp>
      <tp>
        <v>-605.9579336882</v>
        <stp/>
        <stp>EM_S_FA_NETPROFITMARGIN</stp>
        <stp>3</stp>
        <stp>300090</stp>
        <stp>12/31/2018</stp>
        <stp>1</stp>
        <tr r="J3294" s="1"/>
      </tp>
      <tp>
        <v>6.8382161158999999</v>
        <stp/>
        <stp>EM_S_FA_NETPROFITMARGIN</stp>
        <stp>3</stp>
        <stp>300390</stp>
        <stp>12/31/2018</stp>
        <stp>1</stp>
        <tr r="J2862" s="1"/>
      </tp>
      <tp>
        <v>3.4317611841</v>
        <stp/>
        <stp>EM_S_FA_NETPROFITMARGIN</stp>
        <stp>3</stp>
        <stp>300290</stp>
        <stp>12/31/2018</stp>
        <stp>1</stp>
        <tr r="J1839" s="1"/>
      </tp>
      <tp>
        <v>26.164351595999999</v>
        <stp/>
        <stp>EM_S_FA_NETPROFITMARGIN</stp>
        <stp>3</stp>
        <stp>300590</stp>
        <stp>12/31/2018</stp>
        <stp>1</stp>
        <tr r="J609" s="1"/>
      </tp>
      <tp>
        <v>7.1541181051000002</v>
        <stp/>
        <stp>EM_S_FA_NETPROFITMARGIN</stp>
        <stp>3</stp>
        <stp>300490</stp>
        <stp>12/31/2018</stp>
        <stp>1</stp>
        <tr r="J2910" s="1"/>
      </tp>
      <tp>
        <v>16.133929488500002</v>
        <stp/>
        <stp>EM_S_FA_NETPROFITMARGIN</stp>
        <stp>3</stp>
        <stp>300690</stp>
        <stp>12/31/2018</stp>
        <stp>1</stp>
        <tr r="J735" s="1"/>
      </tp>
      <tp>
        <v>21.909972494000002</v>
        <stp/>
        <stp>EM_S_FA_NETPROFITMARGIN</stp>
        <stp>3</stp>
        <stp>300193</stp>
        <stp>12/31/2018</stp>
        <stp>1</stp>
        <tr r="J1114" s="1"/>
      </tp>
      <tp>
        <v>1.7189273416999999</v>
        <stp/>
        <stp>EM_S_FA_NETPROFITMARGIN</stp>
        <stp>3</stp>
        <stp>300093</stp>
        <stp>12/31/2018</stp>
        <stp>1</stp>
        <tr r="J239" s="1"/>
      </tp>
      <tp>
        <v>4.8504135409</v>
        <stp/>
        <stp>EM_S_FA_NETPROFITMARGIN</stp>
        <stp>3</stp>
        <stp>300393</stp>
        <stp>12/31/2018</stp>
        <stp>1</stp>
        <tr r="J2477" s="1"/>
      </tp>
      <tp>
        <v>1.3147894687999999</v>
        <stp/>
        <stp>EM_S_FA_NETPROFITMARGIN</stp>
        <stp>3</stp>
        <stp>300293</stp>
        <stp>12/31/2018</stp>
        <stp>1</stp>
        <tr r="J1253" s="1"/>
      </tp>
      <tp>
        <v>7.8435259508000001</v>
        <stp/>
        <stp>EM_S_FA_NETPROFITMARGIN</stp>
        <stp>3</stp>
        <stp>300593</stp>
        <stp>12/31/2018</stp>
        <stp>1</stp>
        <tr r="J1675" s="1"/>
      </tp>
      <tp>
        <v>0.95714460599999995</v>
        <stp/>
        <stp>EM_S_FA_NETPROFITMARGIN</stp>
        <stp>3</stp>
        <stp>300493</stp>
        <stp>12/31/2018</stp>
        <stp>1</stp>
        <tr r="J2536" s="1"/>
      </tp>
      <tp>
        <v>9.1258281094000004</v>
        <stp/>
        <stp>EM_S_FA_NETPROFITMARGIN</stp>
        <stp>3</stp>
        <stp>300693</stp>
        <stp>12/31/2018</stp>
        <stp>1</stp>
        <tr r="J2842" s="1"/>
      </tp>
      <tp>
        <v>9.3193636409000007</v>
        <stp/>
        <stp>EM_S_FA_NETPROFITMARGIN</stp>
        <stp>3</stp>
        <stp>300192</stp>
        <stp>12/31/2018</stp>
        <stp>1</stp>
        <tr r="J413" s="1"/>
      </tp>
      <tp>
        <v>1.4381241478</v>
        <stp/>
        <stp>EM_S_FA_NETPROFITMARGIN</stp>
        <stp>3</stp>
        <stp>300092</stp>
        <stp>12/31/2018</stp>
        <stp>1</stp>
        <tr r="J1306" s="1"/>
      </tp>
      <tp>
        <v>1.5583056038</v>
        <stp/>
        <stp>EM_S_FA_NETPROFITMARGIN</stp>
        <stp>3</stp>
        <stp>300392</stp>
        <stp>12/31/2018</stp>
        <stp>1</stp>
        <tr r="J2449" s="1"/>
      </tp>
      <tp>
        <v>-38.200314694699998</v>
        <stp/>
        <stp>EM_S_FA_NETPROFITMARGIN</stp>
        <stp>3</stp>
        <stp>300292</stp>
        <stp>12/31/2018</stp>
        <stp>1</stp>
        <tr r="J894" s="1"/>
      </tp>
      <tp>
        <v>3.4987871099999999</v>
        <stp/>
        <stp>EM_S_FA_NETPROFITMARGIN</stp>
        <stp>3</stp>
        <stp>300592</stp>
        <stp>12/31/2018</stp>
        <stp>1</stp>
        <tr r="J1026" s="1"/>
      </tp>
      <tp>
        <v>12.357316513000001</v>
        <stp/>
        <stp>EM_S_FA_NETPROFITMARGIN</stp>
        <stp>3</stp>
        <stp>300492</stp>
        <stp>12/31/2018</stp>
        <stp>1</stp>
        <tr r="J69" s="1"/>
      </tp>
      <tp>
        <v>16.416828860700001</v>
        <stp/>
        <stp>EM_S_FA_NETPROFITMARGIN</stp>
        <stp>3</stp>
        <stp>300692</stp>
        <stp>12/31/2018</stp>
        <stp>1</stp>
        <tr r="J2598" s="1"/>
      </tp>
      <tp>
        <v>6.3210761282999997</v>
        <stp/>
        <stp>EM_S_FA_NETPROFITMARGIN</stp>
        <stp>3</stp>
        <stp>300195</stp>
        <stp>12/31/2018</stp>
        <stp>1</stp>
        <tr r="J2722" s="1"/>
      </tp>
      <tp>
        <v>-9.7033261740000007</v>
        <stp/>
        <stp>EM_S_FA_NETPROFITMARGIN</stp>
        <stp>3</stp>
        <stp>300095</stp>
        <stp>12/31/2018</stp>
        <stp>1</stp>
        <tr r="J950" s="1"/>
      </tp>
      <tp>
        <v>22.376869481</v>
        <stp/>
        <stp>EM_S_FA_NETPROFITMARGIN</stp>
        <stp>3</stp>
        <stp>300395</stp>
        <stp>12/31/2018</stp>
        <stp>1</stp>
        <tr r="J574" s="1"/>
      </tp>
      <tp>
        <v>23.340728050999999</v>
        <stp/>
        <stp>EM_S_FA_NETPROFITMARGIN</stp>
        <stp>3</stp>
        <stp>300295</stp>
        <stp>12/31/2018</stp>
        <stp>1</stp>
        <tr r="J1480" s="1"/>
      </tp>
      <tp>
        <v>45.758997447200002</v>
        <stp/>
        <stp>EM_S_FA_NETPROFITMARGIN</stp>
        <stp>3</stp>
        <stp>300595</stp>
        <stp>12/31/2018</stp>
        <stp>1</stp>
        <tr r="J1286" s="1"/>
      </tp>
      <tp>
        <v>16.823628603300001</v>
        <stp/>
        <stp>EM_S_FA_NETPROFITMARGIN</stp>
        <stp>3</stp>
        <stp>300495</stp>
        <stp>12/31/2018</stp>
        <stp>1</stp>
        <tr r="J2945" s="1"/>
      </tp>
      <tp>
        <v>39.394024701799999</v>
        <stp/>
        <stp>EM_S_FA_NETPROFITMARGIN</stp>
        <stp>3</stp>
        <stp>300695</stp>
        <stp>12/31/2018</stp>
        <stp>1</stp>
        <tr r="J1890" s="1"/>
      </tp>
      <tp>
        <v>-13.484166957899999</v>
        <stp/>
        <stp>EM_S_FA_NETPROFITMARGIN</stp>
        <stp>3</stp>
        <stp>300194</stp>
        <stp>12/31/2018</stp>
        <stp>1</stp>
        <tr r="J334" s="1"/>
      </tp>
      <tp>
        <v>4.8717947637999997</v>
        <stp/>
        <stp>EM_S_FA_NETPROFITMARGIN</stp>
        <stp>3</stp>
        <stp>300094</stp>
        <stp>12/31/2018</stp>
        <stp>1</stp>
        <tr r="J2998" s="1"/>
      </tp>
      <tp>
        <v>30.728705204499999</v>
        <stp/>
        <stp>EM_S_FA_NETPROFITMARGIN</stp>
        <stp>3</stp>
        <stp>300394</stp>
        <stp>12/31/2018</stp>
        <stp>1</stp>
        <tr r="J554" s="1"/>
      </tp>
      <tp>
        <v>19.7886296175</v>
        <stp/>
        <stp>EM_S_FA_NETPROFITMARGIN</stp>
        <stp>3</stp>
        <stp>300294</stp>
        <stp>12/31/2018</stp>
        <stp>1</stp>
        <tr r="J1530" s="1"/>
      </tp>
      <tp>
        <v>10.802398389</v>
        <stp/>
        <stp>EM_S_FA_NETPROFITMARGIN</stp>
        <stp>3</stp>
        <stp>300494</stp>
        <stp>12/31/2018</stp>
        <stp>1</stp>
        <tr r="J404" s="1"/>
      </tp>
      <tp>
        <v>3.8673380608999999</v>
        <stp/>
        <stp>EM_S_FA_NETPROFITMARGIN</stp>
        <stp>3</stp>
        <stp>300197</stp>
        <stp>12/31/2018</stp>
        <stp>1</stp>
        <tr r="J3073" s="1"/>
      </tp>
      <tp>
        <v>12.370938838300001</v>
        <stp/>
        <stp>EM_S_FA_NETPROFITMARGIN</stp>
        <stp>3</stp>
        <stp>300097</stp>
        <stp>12/31/2018</stp>
        <stp>1</stp>
        <tr r="J2911" s="1"/>
      </tp>
      <tp>
        <v>-64.260464718899996</v>
        <stp/>
        <stp>EM_S_FA_NETPROFITMARGIN</stp>
        <stp>3</stp>
        <stp>300397</stp>
        <stp>12/31/2018</stp>
        <stp>1</stp>
        <tr r="J41" s="1"/>
      </tp>
      <tp>
        <v>18.486132309799999</v>
        <stp/>
        <stp>EM_S_FA_NETPROFITMARGIN</stp>
        <stp>3</stp>
        <stp>300297</stp>
        <stp>12/31/2018</stp>
        <stp>1</stp>
        <tr r="J1570" s="1"/>
      </tp>
      <tp>
        <v>10.209977328900001</v>
        <stp/>
        <stp>EM_S_FA_NETPROFITMARGIN</stp>
        <stp>3</stp>
        <stp>300597</stp>
        <stp>12/31/2018</stp>
        <stp>1</stp>
        <tr r="J3046" s="1"/>
      </tp>
      <tp>
        <v>16.533978058199999</v>
        <stp/>
        <stp>EM_S_FA_NETPROFITMARGIN</stp>
        <stp>3</stp>
        <stp>300497</stp>
        <stp>12/31/2018</stp>
        <stp>1</stp>
        <tr r="J2053" s="1"/>
      </tp>
      <tp>
        <v>4.6993559986999998</v>
        <stp/>
        <stp>EM_S_FA_NETPROFITMARGIN</stp>
        <stp>3</stp>
        <stp>300697</stp>
        <stp>12/31/2018</stp>
        <stp>1</stp>
        <tr r="J772" s="1"/>
      </tp>
      <tp>
        <v>11.933365994900001</v>
        <stp/>
        <stp>EM_S_FA_NETPROFITMARGIN</stp>
        <stp>3</stp>
        <stp>300196</stp>
        <stp>12/31/2018</stp>
        <stp>1</stp>
        <tr r="J904" s="1"/>
      </tp>
      <tp>
        <v>5.2249495289999999</v>
        <stp/>
        <stp>EM_S_FA_NETPROFITMARGIN</stp>
        <stp>3</stp>
        <stp>300096</stp>
        <stp>12/31/2018</stp>
        <stp>1</stp>
        <tr r="J1359" s="1"/>
      </tp>
      <tp>
        <v>25.707398815800001</v>
        <stp/>
        <stp>EM_S_FA_NETPROFITMARGIN</stp>
        <stp>3</stp>
        <stp>300396</stp>
        <stp>12/31/2018</stp>
        <stp>1</stp>
        <tr r="J723" s="1"/>
      </tp>
      <tp>
        <v>16.4123376513</v>
        <stp/>
        <stp>EM_S_FA_NETPROFITMARGIN</stp>
        <stp>3</stp>
        <stp>300296</stp>
        <stp>12/31/2018</stp>
        <stp>1</stp>
        <tr r="J2149" s="1"/>
      </tp>
      <tp>
        <v>13.178673696600001</v>
        <stp/>
        <stp>EM_S_FA_NETPROFITMARGIN</stp>
        <stp>3</stp>
        <stp>300596</stp>
        <stp>12/31/2018</stp>
        <stp>1</stp>
        <tr r="J1350" s="1"/>
      </tp>
      <tp>
        <v>11.3930396822</v>
        <stp/>
        <stp>EM_S_FA_NETPROFITMARGIN</stp>
        <stp>3</stp>
        <stp>300496</stp>
        <stp>12/31/2018</stp>
        <stp>1</stp>
        <tr r="J156" s="1"/>
      </tp>
      <tp>
        <v>53.438961158300003</v>
        <stp/>
        <stp>EM_S_FA_NETPROFITMARGIN</stp>
        <stp>3</stp>
        <stp>300696</stp>
        <stp>12/31/2018</stp>
        <stp>1</stp>
        <tr r="J2215" s="1"/>
      </tp>
      <tp>
        <v>9.9056534971999994</v>
        <stp/>
        <stp>EM_S_FA_NETPROFITMARGIN</stp>
        <stp>3</stp>
        <stp>300189</stp>
        <stp>12/31/2018</stp>
        <stp>1</stp>
        <tr r="J624" s="1"/>
      </tp>
      <tp>
        <v>18.614925173300001</v>
        <stp/>
        <stp>EM_S_FA_NETPROFITMARGIN</stp>
        <stp>3</stp>
        <stp>300089</stp>
        <stp>12/31/2018</stp>
        <stp>1</stp>
        <tr r="J3253" s="1"/>
      </tp>
      <tp>
        <v>11.838940818999999</v>
        <stp/>
        <stp>EM_S_FA_NETPROFITMARGIN</stp>
        <stp>3</stp>
        <stp>300389</stp>
        <stp>12/31/2018</stp>
        <stp>1</stp>
        <tr r="J3203" s="1"/>
      </tp>
      <tp>
        <v>9.4928812465999997</v>
        <stp/>
        <stp>EM_S_FA_NETPROFITMARGIN</stp>
        <stp>3</stp>
        <stp>300289</stp>
        <stp>12/31/2018</stp>
        <stp>1</stp>
        <tr r="J2864" s="1"/>
      </tp>
      <tp>
        <v>6.6327512554999997</v>
        <stp/>
        <stp>EM_S_FA_NETPROFITMARGIN</stp>
        <stp>3</stp>
        <stp>300589</stp>
        <stp>12/31/2018</stp>
        <stp>1</stp>
        <tr r="J1439" s="1"/>
      </tp>
      <tp>
        <v>0.93983568129999995</v>
        <stp/>
        <stp>EM_S_FA_NETPROFITMARGIN</stp>
        <stp>3</stp>
        <stp>300489</stp>
        <stp>12/31/2018</stp>
        <stp>1</stp>
        <tr r="J317" s="1"/>
      </tp>
      <tp>
        <v>15.436118035</v>
        <stp/>
        <stp>EM_S_FA_NETPROFITMARGIN</stp>
        <stp>3</stp>
        <stp>300689</stp>
        <stp>12/31/2018</stp>
        <stp>1</stp>
        <tr r="J977" s="1"/>
      </tp>
      <tp>
        <v>18.874125055699999</v>
        <stp/>
        <stp>EM_S_FA_NETPROFITMARGIN</stp>
        <stp>3</stp>
        <stp>300188</stp>
        <stp>12/31/2018</stp>
        <stp>1</stp>
        <tr r="J906" s="1"/>
      </tp>
      <tp>
        <v>7.5485410484999997</v>
        <stp/>
        <stp>EM_S_FA_NETPROFITMARGIN</stp>
        <stp>3</stp>
        <stp>300088</stp>
        <stp>12/31/2018</stp>
        <stp>1</stp>
        <tr r="J96" s="1"/>
      </tp>
      <tp>
        <v>7.7562069849000004</v>
        <stp/>
        <stp>EM_S_FA_NETPROFITMARGIN</stp>
        <stp>3</stp>
        <stp>300388</stp>
        <stp>12/31/2018</stp>
        <stp>1</stp>
        <tr r="J1290" s="1"/>
      </tp>
      <tp>
        <v>21.973609762700001</v>
        <stp/>
        <stp>EM_S_FA_NETPROFITMARGIN</stp>
        <stp>3</stp>
        <stp>300288</stp>
        <stp>12/31/2018</stp>
        <stp>1</stp>
        <tr r="J2609" s="1"/>
      </tp>
      <tp>
        <v>3.1281346350999999</v>
        <stp/>
        <stp>EM_S_FA_NETPROFITMARGIN</stp>
        <stp>3</stp>
        <stp>300588</stp>
        <stp>12/31/2018</stp>
        <stp>1</stp>
        <tr r="J2696" s="1"/>
      </tp>
      <tp>
        <v>19.158800336599999</v>
        <stp/>
        <stp>EM_S_FA_NETPROFITMARGIN</stp>
        <stp>3</stp>
        <stp>300488</stp>
        <stp>12/31/2018</stp>
        <stp>1</stp>
        <tr r="J3270" s="1"/>
      </tp>
      <tp>
        <v>1.2922060710000001</v>
        <stp/>
        <stp>EM_S_FA_NETPROFITMARGIN</stp>
        <stp>3</stp>
        <stp>300688</stp>
        <stp>12/31/2018</stp>
        <stp>1</stp>
        <tr r="J3329" s="1"/>
      </tp>
      <tp>
        <v>3.5858922269</v>
        <stp/>
        <stp>EM_S_FA_NETPROFITMARGIN</stp>
        <stp>3</stp>
        <stp>300181</stp>
        <stp>12/31/2018</stp>
        <stp>1</stp>
        <tr r="J2515" s="1"/>
      </tp>
      <tp>
        <v>27.9914039881</v>
        <stp/>
        <stp>EM_S_FA_NETPROFITMARGIN</stp>
        <stp>3</stp>
        <stp>300081</stp>
        <stp>12/31/2018</stp>
        <stp>1</stp>
        <tr r="J1430" s="1"/>
      </tp>
      <tp>
        <v>8.5163241963999994</v>
        <stp/>
        <stp>EM_S_FA_NETPROFITMARGIN</stp>
        <stp>3</stp>
        <stp>300381</stp>
        <stp>12/31/2018</stp>
        <stp>1</stp>
        <tr r="J1162" s="1"/>
      </tp>
      <tp>
        <v>5.3190317213</v>
        <stp/>
        <stp>EM_S_FA_NETPROFITMARGIN</stp>
        <stp>3</stp>
        <stp>300281</stp>
        <stp>12/31/2018</stp>
        <stp>1</stp>
        <tr r="J832" s="1"/>
      </tp>
      <tp>
        <v>37.119396184899998</v>
        <stp/>
        <stp>EM_S_FA_NETPROFITMARGIN</stp>
        <stp>3</stp>
        <stp>300581</stp>
        <stp>12/31/2018</stp>
        <stp>1</stp>
        <tr r="J989" s="1"/>
      </tp>
      <tp>
        <v>16.630901441999999</v>
        <stp/>
        <stp>EM_S_FA_NETPROFITMARGIN</stp>
        <stp>3</stp>
        <stp>300481</stp>
        <stp>12/31/2018</stp>
        <stp>1</stp>
        <tr r="J358" s="1"/>
      </tp>
      <tp>
        <v>8.1071345892999993</v>
        <stp/>
        <stp>EM_S_FA_NETPROFITMARGIN</stp>
        <stp>3</stp>
        <stp>300681</stp>
        <stp>12/31/2018</stp>
        <stp>1</stp>
        <tr r="J2417" s="1"/>
      </tp>
      <tp>
        <v>9.8369393523999999</v>
        <stp/>
        <stp>EM_S_FA_NETPROFITMARGIN</stp>
        <stp>3</stp>
        <stp>300180</stp>
        <stp>12/31/2018</stp>
        <stp>1</stp>
        <tr r="J3053" s="1"/>
      </tp>
      <tp>
        <v>-9.0382647705999997</v>
        <stp/>
        <stp>EM_S_FA_NETPROFITMARGIN</stp>
        <stp>3</stp>
        <stp>300080</stp>
        <stp>12/31/2018</stp>
        <stp>1</stp>
        <tr r="J1199" s="1"/>
      </tp>
      <tp>
        <v>4.9150386049000003</v>
        <stp/>
        <stp>EM_S_FA_NETPROFITMARGIN</stp>
        <stp>3</stp>
        <stp>300380</stp>
        <stp>12/31/2018</stp>
        <stp>1</stp>
        <tr r="J1006" s="1"/>
      </tp>
      <tp>
        <v>17.000953295999999</v>
        <stp/>
        <stp>EM_S_FA_NETPROFITMARGIN</stp>
        <stp>3</stp>
        <stp>300280</stp>
        <stp>12/31/2018</stp>
        <stp>1</stp>
        <tr r="J3363" s="1"/>
      </tp>
      <tp>
        <v>21.319507344000002</v>
        <stp/>
        <stp>EM_S_FA_NETPROFITMARGIN</stp>
        <stp>3</stp>
        <stp>300580</stp>
        <stp>12/31/2018</stp>
        <stp>1</stp>
        <tr r="J1402" s="1"/>
      </tp>
      <tp>
        <v>16.386740764700001</v>
        <stp/>
        <stp>EM_S_FA_NETPROFITMARGIN</stp>
        <stp>3</stp>
        <stp>300480</stp>
        <stp>12/31/2018</stp>
        <stp>1</stp>
        <tr r="J213" s="1"/>
      </tp>
      <tp>
        <v>2.6138675451000002</v>
        <stp/>
        <stp>EM_S_FA_NETPROFITMARGIN</stp>
        <stp>3</stp>
        <stp>300680</stp>
        <stp>12/31/2018</stp>
        <stp>1</stp>
        <tr r="J910" s="1"/>
      </tp>
      <tp>
        <v>17.620822036300002</v>
        <stp/>
        <stp>EM_S_FA_NETPROFITMARGIN</stp>
        <stp>3</stp>
        <stp>300183</stp>
        <stp>12/31/2018</stp>
        <stp>1</stp>
        <tr r="J1047" s="1"/>
      </tp>
      <tp>
        <v>-52.082104538099998</v>
        <stp/>
        <stp>EM_S_FA_NETPROFITMARGIN</stp>
        <stp>3</stp>
        <stp>300083</stp>
        <stp>12/31/2018</stp>
        <stp>1</stp>
        <tr r="J377" s="1"/>
      </tp>
      <tp>
        <v>11.355674156699999</v>
        <stp/>
        <stp>EM_S_FA_NETPROFITMARGIN</stp>
        <stp>3</stp>
        <stp>300383</stp>
        <stp>12/31/2018</stp>
        <stp>1</stp>
        <tr r="J447" s="1"/>
      </tp>
      <tp>
        <v>1.526124314</v>
        <stp/>
        <stp>EM_S_FA_NETPROFITMARGIN</stp>
        <stp>3</stp>
        <stp>300283</stp>
        <stp>12/31/2018</stp>
        <stp>1</stp>
        <tr r="J2236" s="1"/>
      </tp>
      <tp>
        <v>12.064260707500001</v>
        <stp/>
        <stp>EM_S_FA_NETPROFITMARGIN</stp>
        <stp>3</stp>
        <stp>300583</stp>
        <stp>12/31/2018</stp>
        <stp>1</stp>
        <tr r="J2080" s="1"/>
      </tp>
      <tp>
        <v>11.67865937</v>
        <stp/>
        <stp>EM_S_FA_NETPROFITMARGIN</stp>
        <stp>3</stp>
        <stp>300483</stp>
        <stp>12/31/2018</stp>
        <stp>1</stp>
        <tr r="J1094" s="1"/>
      </tp>
      <tp>
        <v>15.4794599795</v>
        <stp/>
        <stp>EM_S_FA_NETPROFITMARGIN</stp>
        <stp>3</stp>
        <stp>300683</stp>
        <stp>12/31/2018</stp>
        <stp>1</stp>
        <tr r="J1867" s="1"/>
      </tp>
      <tp>
        <v>1.8106248417999999</v>
        <stp/>
        <stp>EM_S_FA_NETPROFITMARGIN</stp>
        <stp>3</stp>
        <stp>300182</stp>
        <stp>12/31/2018</stp>
        <stp>1</stp>
        <tr r="J3029" s="1"/>
      </tp>
      <tp>
        <v>4.5521054997999997</v>
        <stp/>
        <stp>EM_S_FA_NETPROFITMARGIN</stp>
        <stp>3</stp>
        <stp>300082</stp>
        <stp>12/31/2018</stp>
        <stp>1</stp>
        <tr r="J2238" s="1"/>
      </tp>
      <tp>
        <v>17.679371618400001</v>
        <stp/>
        <stp>EM_S_FA_NETPROFITMARGIN</stp>
        <stp>3</stp>
        <stp>300382</stp>
        <stp>12/31/2018</stp>
        <stp>1</stp>
        <tr r="J2351" s="1"/>
      </tp>
      <tp>
        <v>14.7681184534</v>
        <stp/>
        <stp>EM_S_FA_NETPROFITMARGIN</stp>
        <stp>3</stp>
        <stp>300282</stp>
        <stp>12/31/2018</stp>
        <stp>1</stp>
        <tr r="J3268" s="1"/>
      </tp>
      <tp>
        <v>7.2807645532</v>
        <stp/>
        <stp>EM_S_FA_NETPROFITMARGIN</stp>
        <stp>3</stp>
        <stp>300582</stp>
        <stp>12/31/2018</stp>
        <stp>1</stp>
        <tr r="J1308" s="1"/>
      </tp>
      <tp>
        <v>21.004402085999999</v>
        <stp/>
        <stp>EM_S_FA_NETPROFITMARGIN</stp>
        <stp>3</stp>
        <stp>300482</stp>
        <stp>12/31/2018</stp>
        <stp>1</stp>
        <tr r="J183" s="1"/>
      </tp>
      <tp>
        <v>11.0260015667</v>
        <stp/>
        <stp>EM_S_FA_NETPROFITMARGIN</stp>
        <stp>3</stp>
        <stp>300682</stp>
        <stp>12/31/2018</stp>
        <stp>1</stp>
        <tr r="J782" s="1"/>
      </tp>
      <tp>
        <v>6.8039260747999997</v>
        <stp/>
        <stp>EM_S_FA_NETPROFITMARGIN</stp>
        <stp>3</stp>
        <stp>300185</stp>
        <stp>12/31/2018</stp>
        <stp>1</stp>
        <tr r="J1705" s="1"/>
      </tp>
      <tp>
        <v>1.6681765769000001</v>
        <stp/>
        <stp>EM_S_FA_NETPROFITMARGIN</stp>
        <stp>3</stp>
        <stp>300085</stp>
        <stp>12/31/2018</stp>
        <stp>1</stp>
        <tr r="J175" s="1"/>
      </tp>
      <tp>
        <v>3.9713016039000002</v>
        <stp/>
        <stp>EM_S_FA_NETPROFITMARGIN</stp>
        <stp>3</stp>
        <stp>300385</stp>
        <stp>12/31/2018</stp>
        <stp>1</stp>
        <tr r="J2956" s="1"/>
      </tp>
      <tp>
        <v>31.0524507262</v>
        <stp/>
        <stp>EM_S_FA_NETPROFITMARGIN</stp>
        <stp>3</stp>
        <stp>300285</stp>
        <stp>12/31/2018</stp>
        <stp>1</stp>
        <tr r="J750" s="1"/>
      </tp>
      <tp>
        <v>13.128637576599999</v>
        <stp/>
        <stp>EM_S_FA_NETPROFITMARGIN</stp>
        <stp>3</stp>
        <stp>300585</stp>
        <stp>12/31/2018</stp>
        <stp>1</stp>
        <tr r="J290" s="1"/>
      </tp>
      <tp>
        <v>19.8326933538</v>
        <stp/>
        <stp>EM_S_FA_NETPROFITMARGIN</stp>
        <stp>3</stp>
        <stp>300485</stp>
        <stp>12/31/2018</stp>
        <stp>1</stp>
        <tr r="J2810" s="1"/>
      </tp>
      <tp>
        <v>28.867614233000001</v>
        <stp/>
        <stp>EM_S_FA_NETPROFITMARGIN</stp>
        <stp>3</stp>
        <stp>300685</stp>
        <stp>12/31/2018</stp>
        <stp>1</stp>
        <tr r="J436" s="1"/>
      </tp>
      <tp>
        <v>3.3101645795999999</v>
        <stp/>
        <stp>EM_S_FA_NETPROFITMARGIN</stp>
        <stp>3</stp>
        <stp>300184</stp>
        <stp>12/31/2018</stp>
        <stp>1</stp>
        <tr r="J2506" s="1"/>
      </tp>
      <tp>
        <v>9.1207622180999994</v>
        <stp/>
        <stp>EM_S_FA_NETPROFITMARGIN</stp>
        <stp>3</stp>
        <stp>300084</stp>
        <stp>12/31/2018</stp>
        <stp>1</stp>
        <tr r="J2639" s="1"/>
      </tp>
      <tp>
        <v>18.490211778700001</v>
        <stp/>
        <stp>EM_S_FA_NETPROFITMARGIN</stp>
        <stp>3</stp>
        <stp>300384</stp>
        <stp>12/31/2018</stp>
        <stp>1</stp>
        <tr r="J530" s="1"/>
      </tp>
      <tp>
        <v>9.1578022083999997</v>
        <stp/>
        <stp>EM_S_FA_NETPROFITMARGIN</stp>
        <stp>3</stp>
        <stp>300284</stp>
        <stp>12/31/2018</stp>
        <stp>1</stp>
        <tr r="J3100" s="1"/>
      </tp>
      <tp>
        <v>11.6901666106</v>
        <stp/>
        <stp>EM_S_FA_NETPROFITMARGIN</stp>
        <stp>3</stp>
        <stp>300584</stp>
        <stp>12/31/2018</stp>
        <stp>1</stp>
        <tr r="J1602" s="1"/>
      </tp>
      <tp>
        <v>6.1018586388999996</v>
        <stp/>
        <stp>EM_S_FA_NETPROFITMARGIN</stp>
        <stp>3</stp>
        <stp>300484</stp>
        <stp>12/31/2018</stp>
        <stp>1</stp>
        <tr r="J3031" s="1"/>
      </tp>
      <tp>
        <v>18.4972541898</v>
        <stp/>
        <stp>EM_S_FA_NETPROFITMARGIN</stp>
        <stp>3</stp>
        <stp>300684</stp>
        <stp>12/31/2018</stp>
        <stp>1</stp>
        <tr r="J2979" s="1"/>
      </tp>
      <tp>
        <v>-18.203679885</v>
        <stp/>
        <stp>EM_S_FA_NETPROFITMARGIN</stp>
        <stp>3</stp>
        <stp>300187</stp>
        <stp>12/31/2018</stp>
        <stp>1</stp>
        <tr r="J2789" s="1"/>
      </tp>
      <tp>
        <v>10.178311183</v>
        <stp/>
        <stp>EM_S_FA_NETPROFITMARGIN</stp>
        <stp>3</stp>
        <stp>300087</stp>
        <stp>12/31/2018</stp>
        <stp>1</stp>
        <tr r="J2662" s="1"/>
      </tp>
      <tp>
        <v>10.4576924947</v>
        <stp/>
        <stp>EM_S_FA_NETPROFITMARGIN</stp>
        <stp>3</stp>
        <stp>300387</stp>
        <stp>12/31/2018</stp>
        <stp>1</stp>
        <tr r="J304" s="1"/>
      </tp>
      <tp>
        <v>-137.82130792320001</v>
        <stp/>
        <stp>EM_S_FA_NETPROFITMARGIN</stp>
        <stp>3</stp>
        <stp>300287</stp>
        <stp>12/31/2018</stp>
        <stp>1</stp>
        <tr r="J2172" s="1"/>
      </tp>
      <tp>
        <v>16.8783593896</v>
        <stp/>
        <stp>EM_S_FA_NETPROFITMARGIN</stp>
        <stp>3</stp>
        <stp>300587</stp>
        <stp>12/31/2018</stp>
        <stp>1</stp>
        <tr r="J2762" s="1"/>
      </tp>
      <tp>
        <v>22.421424415499999</v>
        <stp/>
        <stp>EM_S_FA_NETPROFITMARGIN</stp>
        <stp>3</stp>
        <stp>300487</stp>
        <stp>12/31/2018</stp>
        <stp>1</stp>
        <tr r="J612" s="1"/>
      </tp>
      <tp>
        <v>13.1412226923</v>
        <stp/>
        <stp>EM_S_FA_NETPROFITMARGIN</stp>
        <stp>3</stp>
        <stp>300687</stp>
        <stp>12/31/2018</stp>
        <stp>1</stp>
        <tr r="J3104" s="1"/>
      </tp>
      <tp>
        <v>0</v>
        <stp/>
        <stp>EM_S_FA_NETPROFITMARGIN</stp>
        <stp>3</stp>
        <stp>300186</stp>
        <stp>12/31/2018</stp>
        <stp>1</stp>
        <tr r="J2281" s="1"/>
      </tp>
      <tp>
        <v>2.3811963273000001</v>
        <stp/>
        <stp>EM_S_FA_NETPROFITMARGIN</stp>
        <stp>3</stp>
        <stp>300086</stp>
        <stp>12/31/2018</stp>
        <stp>1</stp>
        <tr r="J3069" s="1"/>
      </tp>
      <tp>
        <v>12.5069631261</v>
        <stp/>
        <stp>EM_S_FA_NETPROFITMARGIN</stp>
        <stp>3</stp>
        <stp>300386</stp>
        <stp>12/31/2018</stp>
        <stp>1</stp>
        <tr r="J696" s="1"/>
      </tp>
      <tp>
        <v>21.2067932432</v>
        <stp/>
        <stp>EM_S_FA_NETPROFITMARGIN</stp>
        <stp>3</stp>
        <stp>300286</stp>
        <stp>12/31/2018</stp>
        <stp>1</stp>
        <tr r="J747" s="1"/>
      </tp>
      <tp>
        <v>10.843574669600001</v>
        <stp/>
        <stp>EM_S_FA_NETPROFITMARGIN</stp>
        <stp>3</stp>
        <stp>300586</stp>
        <stp>12/31/2018</stp>
        <stp>1</stp>
        <tr r="J117" s="1"/>
      </tp>
      <tp>
        <v>9.0635698869999999</v>
        <stp/>
        <stp>EM_S_FA_NETPROFITMARGIN</stp>
        <stp>3</stp>
        <stp>300486</stp>
        <stp>12/31/2018</stp>
        <stp>1</stp>
        <tr r="J459" s="1"/>
      </tp>
      <tp>
        <v>1.0490843269000001</v>
        <stp/>
        <stp>EM_S_FA_NETPROFITMARGIN</stp>
        <stp>3</stp>
        <stp>300686</stp>
        <stp>12/31/2018</stp>
        <stp>1</stp>
        <tr r="J205" s="1"/>
      </tp>
      <tp>
        <v>116716000000</v>
        <stp/>
        <stp>EM_S_STM07_IS</stp>
        <stp>4</stp>
        <stp>000001</stp>
        <stp>83</stp>
        <stp>12/31/2018</stp>
        <stp>1</stp>
        <tr r="X265" s="1"/>
      </tp>
      <tp>
        <v>13.823167179</v>
        <stp/>
        <stp>EM_S_FA_NETPROFITMARGIN</stp>
        <stp>3</stp>
        <stp>603989</stp>
        <stp>12/31/2018</stp>
        <stp>1</stp>
        <tr r="J1726" s="1"/>
      </tp>
      <tp>
        <v>7.8170136529000001</v>
        <stp/>
        <stp>EM_S_FA_NETPROFITMARGIN</stp>
        <stp>3</stp>
        <stp>603889</stp>
        <stp>12/31/2018</stp>
        <stp>1</stp>
        <tr r="J3265" s="1"/>
      </tp>
      <tp>
        <v>3.9611893944999998</v>
        <stp/>
        <stp>EM_S_FA_NETPROFITMARGIN</stp>
        <stp>3</stp>
        <stp>603189</stp>
        <stp>12/31/2018</stp>
        <stp>1</stp>
        <tr r="J591" s="1"/>
      </tp>
      <tp>
        <v>9.8778282225999998</v>
        <stp/>
        <stp>EM_S_FA_NETPROFITMARGIN</stp>
        <stp>3</stp>
        <stp>603089</stp>
        <stp>12/31/2018</stp>
        <stp>1</stp>
        <tr r="J2683" s="1"/>
      </tp>
      <tp>
        <v>-22.528306261299999</v>
        <stp/>
        <stp>EM_S_FA_NETPROFITMARGIN</stp>
        <stp>3</stp>
        <stp>603389</stp>
        <stp>12/31/2018</stp>
        <stp>1</stp>
        <tr r="J3343" s="1"/>
      </tp>
      <tp>
        <v>12.693062701900001</v>
        <stp/>
        <stp>EM_S_FA_NETPROFITMARGIN</stp>
        <stp>3</stp>
        <stp>603289</stp>
        <stp>12/31/2018</stp>
        <stp>1</stp>
        <tr r="J1451" s="1"/>
      </tp>
      <tp>
        <v>35.902464795100002</v>
        <stp/>
        <stp>EM_S_FA_NETPROFITMARGIN</stp>
        <stp>3</stp>
        <stp>603589</stp>
        <stp>12/31/2018</stp>
        <stp>1</stp>
        <tr r="J454" s="1"/>
      </tp>
      <tp>
        <v>-7.2451183066000002</v>
        <stp/>
        <stp>EM_S_FA_NETPROFITMARGIN</stp>
        <stp>3</stp>
        <stp>603789</stp>
        <stp>12/31/2018</stp>
        <stp>1</stp>
        <tr r="J1413" s="1"/>
      </tp>
      <tp>
        <v>5.1186836563</v>
        <stp/>
        <stp>EM_S_FA_NETPROFITMARGIN</stp>
        <stp>3</stp>
        <stp>603689</stp>
        <stp>12/31/2018</stp>
        <stp>1</stp>
        <tr r="J2038" s="1"/>
      </tp>
      <tp>
        <v>-0.40521107519999999</v>
        <stp/>
        <stp>EM_S_FA_NETPROFITMARGIN</stp>
        <stp>3</stp>
        <stp>601989</stp>
        <stp>12/31/2018</stp>
        <stp>1</stp>
        <tr r="J1155" s="1"/>
      </tp>
      <tp>
        <v>1.4143190964000001</v>
        <stp/>
        <stp>EM_S_FA_NETPROFITMARGIN</stp>
        <stp>3</stp>
        <stp>601789</stp>
        <stp>12/31/2018</stp>
        <stp>1</stp>
        <tr r="J1262" s="1"/>
      </tp>
      <tp>
        <v>12.622316675900001</v>
        <stp/>
        <stp>EM_S_FA_NETPROFITMARGIN</stp>
        <stp>3</stp>
        <stp>601689</stp>
        <stp>12/31/2018</stp>
        <stp>1</stp>
        <tr r="J1375" s="1"/>
      </tp>
      <tp>
        <v>0.66218836380000001</v>
        <stp/>
        <stp>EM_S_FA_NETPROFITMARGIN</stp>
        <stp>3</stp>
        <stp>600889</stp>
        <stp>12/31/2018</stp>
        <stp>1</stp>
        <tr r="J2344" s="1"/>
      </tp>
      <tp>
        <v>3.1378556508000002</v>
        <stp/>
        <stp>EM_S_FA_NETPROFITMARGIN</stp>
        <stp>3</stp>
        <stp>600189</stp>
        <stp>12/31/2018</stp>
        <stp>1</stp>
        <tr r="J2168" s="1"/>
      </tp>
      <tp>
        <v>6.3904765924999998</v>
        <stp/>
        <stp>EM_S_FA_NETPROFITMARGIN</stp>
        <stp>3</stp>
        <stp>600089</stp>
        <stp>12/31/2018</stp>
        <stp>1</stp>
        <tr r="J2447" s="1"/>
      </tp>
      <tp>
        <v>9.9995486129</v>
        <stp/>
        <stp>EM_S_FA_NETPROFITMARGIN</stp>
        <stp>3</stp>
        <stp>600389</stp>
        <stp>12/31/2018</stp>
        <stp>1</stp>
        <tr r="J1130" s="1"/>
      </tp>
      <tp>
        <v>-117.63832993779999</v>
        <stp/>
        <stp>EM_S_FA_NETPROFITMARGIN</stp>
        <stp>3</stp>
        <stp>600289</stp>
        <stp>12/31/2018</stp>
        <stp>1</stp>
        <tr r="J840" s="1"/>
      </tp>
      <tp>
        <v>9.0338626786000003</v>
        <stp/>
        <stp>EM_S_FA_NETPROFITMARGIN</stp>
        <stp>3</stp>
        <stp>600589</stp>
        <stp>12/31/2018</stp>
        <stp>1</stp>
        <tr r="J818" s="1"/>
      </tp>
      <tp>
        <v>1.0924346436000001</v>
        <stp/>
        <stp>EM_S_FA_NETPROFITMARGIN</stp>
        <stp>3</stp>
        <stp>600489</stp>
        <stp>12/31/2018</stp>
        <stp>1</stp>
        <tr r="J2454" s="1"/>
      </tp>
      <tp>
        <v>5.2087902740000001</v>
        <stp/>
        <stp>EM_S_FA_NETPROFITMARGIN</stp>
        <stp>3</stp>
        <stp>600789</stp>
        <stp>12/31/2018</stp>
        <stp>1</stp>
        <tr r="J2875" s="1"/>
      </tp>
      <tp>
        <v>0.81006259650000001</v>
        <stp/>
        <stp>EM_S_FA_NETPROFITMARGIN</stp>
        <stp>3</stp>
        <stp>600689</stp>
        <stp>12/31/2018</stp>
        <stp>1</stp>
        <tr r="J2646" s="1"/>
      </tp>
      <tp>
        <v>11.254323644699999</v>
        <stp/>
        <stp>EM_S_FA_NETPROFITMARGIN</stp>
        <stp>3</stp>
        <stp>603988</stp>
        <stp>12/31/2018</stp>
        <stp>1</stp>
        <tr r="J2544" s="1"/>
      </tp>
      <tp>
        <v>18.024772126999999</v>
        <stp/>
        <stp>EM_S_FA_NETPROFITMARGIN</stp>
        <stp>3</stp>
        <stp>603888</stp>
        <stp>12/31/2018</stp>
        <stp>1</stp>
        <tr r="J402" s="1"/>
      </tp>
      <tp>
        <v>5.6904777985999999</v>
        <stp/>
        <stp>EM_S_FA_NETPROFITMARGIN</stp>
        <stp>3</stp>
        <stp>603188</stp>
        <stp>12/31/2018</stp>
        <stp>1</stp>
        <tr r="J2816" s="1"/>
      </tp>
      <tp>
        <v>11.8352614846</v>
        <stp/>
        <stp>EM_S_FA_NETPROFITMARGIN</stp>
        <stp>3</stp>
        <stp>603088</stp>
        <stp>12/31/2018</stp>
        <stp>1</stp>
        <tr r="J3087" s="1"/>
      </tp>
      <tp>
        <v>10.880162780099999</v>
        <stp/>
        <stp>EM_S_FA_NETPROFITMARGIN</stp>
        <stp>3</stp>
        <stp>603388</stp>
        <stp>12/31/2018</stp>
        <stp>1</stp>
        <tr r="J3051" s="1"/>
      </tp>
      <tp>
        <v>25.6343306427</v>
        <stp/>
        <stp>EM_S_FA_NETPROFITMARGIN</stp>
        <stp>3</stp>
        <stp>603288</stp>
        <stp>12/31/2018</stp>
        <stp>1</stp>
        <tr r="J469" s="1"/>
      </tp>
      <tp>
        <v>10.546876917000001</v>
        <stp/>
        <stp>EM_S_FA_NETPROFITMARGIN</stp>
        <stp>3</stp>
        <stp>603588</stp>
        <stp>12/31/2018</stp>
        <stp>1</stp>
        <tr r="J1304" s="1"/>
      </tp>
      <tp>
        <v>23.534190819199999</v>
        <stp/>
        <stp>EM_S_FA_NETPROFITMARGIN</stp>
        <stp>3</stp>
        <stp>603488</stp>
        <stp>12/31/2018</stp>
        <stp>1</stp>
        <tr r="J1208" s="1"/>
      </tp>
      <tp>
        <v>16.884130535899999</v>
        <stp/>
        <stp>EM_S_FA_NETPROFITMARGIN</stp>
        <stp>3</stp>
        <stp>603788</stp>
        <stp>12/31/2018</stp>
        <stp>1</stp>
        <tr r="J1735" s="1"/>
      </tp>
      <tp>
        <v>22.477796852200001</v>
        <stp/>
        <stp>EM_S_FA_NETPROFITMARGIN</stp>
        <stp>3</stp>
        <stp>603688</stp>
        <stp>12/31/2018</stp>
        <stp>1</stp>
        <tr r="J342" s="1"/>
      </tp>
      <tp>
        <v>38.173443336399998</v>
        <stp/>
        <stp>EM_S_FA_NETPROFITMARGIN</stp>
        <stp>3</stp>
        <stp>601988</stp>
        <stp>12/31/2018</stp>
        <stp>1</stp>
        <tr r="J2120" s="1"/>
      </tp>
      <tp>
        <v>8.3713770820000004</v>
        <stp/>
        <stp>EM_S_FA_NETPROFITMARGIN</stp>
        <stp>3</stp>
        <stp>601888</stp>
        <stp>12/31/2018</stp>
        <stp>1</stp>
        <tr r="J601" s="1"/>
      </tp>
      <tp>
        <v>45.725800805900001</v>
        <stp/>
        <stp>EM_S_FA_NETPROFITMARGIN</stp>
        <stp>3</stp>
        <stp>601188</stp>
        <stp>12/31/2018</stp>
        <stp>1</stp>
        <tr r="J2146" s="1"/>
      </tp>
      <tp>
        <v>20.462247397799999</v>
        <stp/>
        <stp>EM_S_FA_NETPROFITMARGIN</stp>
        <stp>3</stp>
        <stp>601088</stp>
        <stp>12/31/2018</stp>
        <stp>1</stp>
        <tr r="J2181" s="1"/>
      </tp>
      <tp>
        <v>1.5488356688</v>
        <stp/>
        <stp>EM_S_FA_NETPROFITMARGIN</stp>
        <stp>3</stp>
        <stp>601388</stp>
        <stp>12/31/2018</stp>
        <stp>1</stp>
        <tr r="J2423" s="1"/>
      </tp>
      <tp>
        <v>33.851497190099998</v>
        <stp/>
        <stp>EM_S_FA_NETPROFITMARGIN</stp>
        <stp>3</stp>
        <stp>601288</stp>
        <stp>12/31/2018</stp>
        <stp>1</stp>
        <tr r="J2090" s="1"/>
      </tp>
      <tp>
        <v>11.157206489</v>
        <stp/>
        <stp>EM_S_FA_NETPROFITMARGIN</stp>
        <stp>3</stp>
        <stp>601588</stp>
        <stp>12/31/2018</stp>
        <stp>1</stp>
        <tr r="J1361" s="1"/>
      </tp>
      <tp>
        <v>3.1618084412999998</v>
        <stp/>
        <stp>EM_S_FA_NETPROFITMARGIN</stp>
        <stp>3</stp>
        <stp>601788</stp>
        <stp>12/31/2018</stp>
        <stp>1</stp>
        <tr r="J576" s="1"/>
      </tp>
      <tp>
        <v>32.038755706899998</v>
        <stp/>
        <stp>EM_S_FA_NETPROFITMARGIN</stp>
        <stp>3</stp>
        <stp>601688</stp>
        <stp>12/31/2018</stp>
        <stp>1</stp>
        <tr r="J1013" s="1"/>
      </tp>
      <tp>
        <v>-5.2761685011999999</v>
        <stp/>
        <stp>EM_S_FA_NETPROFITMARGIN</stp>
        <stp>3</stp>
        <stp>600988</stp>
        <stp>12/31/2018</stp>
        <stp>1</stp>
        <tr r="J1255" s="1"/>
      </tp>
      <tp>
        <v>3.7900483390000002</v>
        <stp/>
        <stp>EM_S_FA_NETPROFITMARGIN</stp>
        <stp>3</stp>
        <stp>600888</stp>
        <stp>12/31/2018</stp>
        <stp>1</stp>
        <tr r="J1734" s="1"/>
      </tp>
      <tp>
        <v>6.5370442832000002</v>
        <stp/>
        <stp>EM_S_FA_NETPROFITMARGIN</stp>
        <stp>3</stp>
        <stp>600188</stp>
        <stp>12/31/2018</stp>
        <stp>1</stp>
        <tr r="J1329" s="1"/>
      </tp>
      <tp>
        <v>15.328927825699999</v>
        <stp/>
        <stp>EM_S_FA_NETPROFITMARGIN</stp>
        <stp>3</stp>
        <stp>600088</stp>
        <stp>12/31/2018</stp>
        <stp>1</stp>
        <tr r="J412" s="1"/>
      </tp>
      <tp>
        <v>8.5660212729000005</v>
        <stp/>
        <stp>EM_S_FA_NETPROFITMARGIN</stp>
        <stp>3</stp>
        <stp>600388</stp>
        <stp>12/31/2018</stp>
        <stp>1</stp>
        <tr r="J2538" s="1"/>
      </tp>
      <tp>
        <v>2.1397762954999999</v>
        <stp/>
        <stp>EM_S_FA_NETPROFITMARGIN</stp>
        <stp>3</stp>
        <stp>600288</stp>
        <stp>12/31/2018</stp>
        <stp>1</stp>
        <tr r="J324" s="1"/>
      </tp>
      <tp>
        <v>10.517136366800001</v>
        <stp/>
        <stp>EM_S_FA_NETPROFITMARGIN</stp>
        <stp>3</stp>
        <stp>600588</stp>
        <stp>12/31/2018</stp>
        <stp>1</stp>
        <tr r="J868" s="1"/>
      </tp>
      <tp>
        <v>8.1126173595999997</v>
        <stp/>
        <stp>EM_S_FA_NETPROFITMARGIN</stp>
        <stp>3</stp>
        <stp>600488</stp>
        <stp>12/31/2018</stp>
        <stp>1</stp>
        <tr r="J1787" s="1"/>
      </tp>
      <tp>
        <v>-0.49005022079999999</v>
        <stp/>
        <stp>EM_S_FA_NETPROFITMARGIN</stp>
        <stp>3</stp>
        <stp>600788</stp>
        <stp>12/31/2018</stp>
        <stp>1</stp>
        <tr r="J2323" s="1"/>
      </tp>
      <tp>
        <v>4.8968380318999998</v>
        <stp/>
        <stp>EM_S_FA_NETPROFITMARGIN</stp>
        <stp>3</stp>
        <stp>600688</stp>
        <stp>12/31/2018</stp>
        <stp>1</stp>
        <tr r="J3114" s="1"/>
      </tp>
      <tp>
        <v>15.746094428799999</v>
        <stp/>
        <stp>EM_S_FA_NETPROFITMARGIN</stp>
        <stp>3</stp>
        <stp>603881</stp>
        <stp>12/31/2018</stp>
        <stp>1</stp>
        <tr r="J513" s="1"/>
      </tp>
      <tp>
        <v>11.4627481767</v>
        <stp/>
        <stp>EM_S_FA_NETPROFITMARGIN</stp>
        <stp>3</stp>
        <stp>603181</stp>
        <stp>12/31/2018</stp>
        <stp>1</stp>
        <tr r="J1219" s="1"/>
      </tp>
      <tp>
        <v>12.7970465618</v>
        <stp/>
        <stp>EM_S_FA_NETPROFITMARGIN</stp>
        <stp>3</stp>
        <stp>603081</stp>
        <stp>12/31/2018</stp>
        <stp>1</stp>
        <tr r="J617" s="1"/>
      </tp>
      <tp>
        <v>29.537701627699999</v>
        <stp/>
        <stp>EM_S_FA_NETPROFITMARGIN</stp>
        <stp>3</stp>
        <stp>601881</stp>
        <stp>12/31/2018</stp>
        <stp>1</stp>
        <tr r="J338" s="1"/>
      </tp>
      <tp>
        <v>3.4078116267</v>
        <stp/>
        <stp>EM_S_FA_NETPROFITMARGIN</stp>
        <stp>3</stp>
        <stp>600981</stp>
        <stp>12/31/2018</stp>
        <stp>1</stp>
        <tr r="J2364" s="1"/>
      </tp>
      <tp>
        <v>-1.5029015084999999</v>
        <stp/>
        <stp>EM_S_FA_NETPROFITMARGIN</stp>
        <stp>3</stp>
        <stp>600881</stp>
        <stp>12/31/2018</stp>
        <stp>1</stp>
        <tr r="J2561" s="1"/>
      </tp>
      <tp>
        <v>0</v>
        <stp/>
        <stp>EM_S_FA_NETPROFITMARGIN</stp>
        <stp>3</stp>
        <stp>600181</stp>
        <stp>12/31/2018</stp>
        <stp>1</stp>
        <tr r="J2294" s="1"/>
      </tp>
      <tp>
        <v>4.3101074557999999</v>
        <stp/>
        <stp>EM_S_FA_NETPROFITMARGIN</stp>
        <stp>3</stp>
        <stp>600081</stp>
        <stp>12/31/2018</stp>
        <stp>1</stp>
        <tr r="J405" s="1"/>
      </tp>
      <tp>
        <v>20.6156434418</v>
        <stp/>
        <stp>EM_S_FA_NETPROFITMARGIN</stp>
        <stp>3</stp>
        <stp>600381</stp>
        <stp>12/31/2018</stp>
        <stp>1</stp>
        <tr r="J2664" s="1"/>
      </tp>
      <tp>
        <v>-16.773663845400002</v>
        <stp/>
        <stp>EM_S_FA_NETPROFITMARGIN</stp>
        <stp>3</stp>
        <stp>600281</stp>
        <stp>12/31/2018</stp>
        <stp>1</stp>
        <tr r="J1503" s="1"/>
      </tp>
      <tp>
        <v>3.4842301086999998</v>
        <stp/>
        <stp>EM_S_FA_NETPROFITMARGIN</stp>
        <stp>3</stp>
        <stp>600581</stp>
        <stp>12/31/2018</stp>
        <stp>1</stp>
        <tr r="J2480" s="1"/>
      </tp>
      <tp>
        <v>10.226888414599999</v>
        <stp/>
        <stp>EM_S_FA_NETPROFITMARGIN</stp>
        <stp>3</stp>
        <stp>600481</stp>
        <stp>12/31/2018</stp>
        <stp>1</stp>
        <tr r="J2397" s="1"/>
      </tp>
      <tp>
        <v>14.1396377077</v>
        <stp/>
        <stp>EM_S_FA_NETPROFITMARGIN</stp>
        <stp>3</stp>
        <stp>600781</stp>
        <stp>12/31/2018</stp>
        <stp>1</stp>
        <tr r="J3379" s="1"/>
      </tp>
      <tp>
        <v>21.266141790999999</v>
        <stp/>
        <stp>EM_S_FA_NETPROFITMARGIN</stp>
        <stp>3</stp>
        <stp>600681</stp>
        <stp>12/31/2018</stp>
        <stp>1</stp>
        <tr r="J3333" s="1"/>
      </tp>
      <tp>
        <v>25.724165419599998</v>
        <stp/>
        <stp>EM_S_FA_NETPROFITMARGIN</stp>
        <stp>3</stp>
        <stp>603980</stp>
        <stp>12/31/2018</stp>
        <stp>1</stp>
        <tr r="J3238" s="1"/>
      </tp>
      <tp>
        <v>7.6707274615000003</v>
        <stp/>
        <stp>EM_S_FA_NETPROFITMARGIN</stp>
        <stp>3</stp>
        <stp>603880</stp>
        <stp>12/31/2018</stp>
        <stp>1</stp>
        <tr r="J2774" s="1"/>
      </tp>
      <tp>
        <v>12.347917924300001</v>
        <stp/>
        <stp>EM_S_FA_NETPROFITMARGIN</stp>
        <stp>3</stp>
        <stp>603180</stp>
        <stp>12/31/2018</stp>
        <stp>1</stp>
        <tr r="J1458" s="1"/>
      </tp>
      <tp>
        <v>23.662061363999999</v>
        <stp/>
        <stp>EM_S_FA_NETPROFITMARGIN</stp>
        <stp>3</stp>
        <stp>603080</stp>
        <stp>12/31/2018</stp>
        <stp>1</stp>
        <tr r="J3079" s="1"/>
      </tp>
      <tp>
        <v>10.722020670899999</v>
        <stp/>
        <stp>EM_S_FA_NETPROFITMARGIN</stp>
        <stp>3</stp>
        <stp>603380</stp>
        <stp>12/31/2018</stp>
        <stp>1</stp>
        <tr r="J1980" s="1"/>
      </tp>
      <tp>
        <v>19.545162476600002</v>
        <stp/>
        <stp>EM_S_FA_NETPROFITMARGIN</stp>
        <stp>3</stp>
        <stp>603580</stp>
        <stp>12/31/2018</stp>
        <stp>1</stp>
        <tr r="J3094" s="1"/>
      </tp>
      <tp>
        <v>13.963866142800001</v>
        <stp/>
        <stp>EM_S_FA_NETPROFITMARGIN</stp>
        <stp>3</stp>
        <stp>603680</stp>
        <stp>12/31/2018</stp>
        <stp>1</stp>
        <tr r="J3264" s="1"/>
      </tp>
      <tp>
        <v>10.096778652799999</v>
        <stp/>
        <stp>EM_S_FA_NETPROFITMARGIN</stp>
        <stp>3</stp>
        <stp>601880</stp>
        <stp>12/31/2018</stp>
        <stp>1</stp>
        <tr r="J1781" s="1"/>
      </tp>
      <tp>
        <v>7.1715397222000004</v>
        <stp/>
        <stp>EM_S_FA_NETPROFITMARGIN</stp>
        <stp>3</stp>
        <stp>600980</stp>
        <stp>12/31/2018</stp>
        <stp>1</stp>
        <tr r="J669" s="1"/>
      </tp>
      <tp>
        <v>-154.35346755270001</v>
        <stp/>
        <stp>EM_S_FA_NETPROFITMARGIN</stp>
        <stp>3</stp>
        <stp>600880</stp>
        <stp>12/31/2018</stp>
        <stp>1</stp>
        <tr r="J1852" s="1"/>
      </tp>
      <tp>
        <v>1.2495855518000001</v>
        <stp/>
        <stp>EM_S_FA_NETPROFITMARGIN</stp>
        <stp>3</stp>
        <stp>600180</stp>
        <stp>12/31/2018</stp>
        <stp>1</stp>
        <tr r="J2347" s="1"/>
      </tp>
      <tp>
        <v>4.9502709829000002</v>
        <stp/>
        <stp>EM_S_FA_NETPROFITMARGIN</stp>
        <stp>3</stp>
        <stp>600080</stp>
        <stp>12/31/2018</stp>
        <stp>1</stp>
        <tr r="J2993" s="1"/>
      </tp>
      <tp>
        <v>13.027528241800001</v>
        <stp/>
        <stp>EM_S_FA_NETPROFITMARGIN</stp>
        <stp>3</stp>
        <stp>600380</stp>
        <stp>12/31/2018</stp>
        <stp>1</stp>
        <tr r="J567" s="1"/>
      </tp>
      <tp>
        <v>-4.2061700073999999</v>
        <stp/>
        <stp>EM_S_FA_NETPROFITMARGIN</stp>
        <stp>3</stp>
        <stp>600280</stp>
        <stp>12/31/2018</stp>
        <stp>1</stp>
        <tr r="J2933" s="1"/>
      </tp>
      <tp>
        <v>6.2118127850000002</v>
        <stp/>
        <stp>EM_S_FA_NETPROFITMARGIN</stp>
        <stp>3</stp>
        <stp>600580</stp>
        <stp>12/31/2018</stp>
        <stp>1</stp>
        <tr r="J186" s="1"/>
      </tp>
      <tp>
        <v>4.5245270583000003</v>
        <stp/>
        <stp>EM_S_FA_NETPROFITMARGIN</stp>
        <stp>3</stp>
        <stp>600480</stp>
        <stp>12/31/2018</stp>
        <stp>1</stp>
        <tr r="J2408" s="1"/>
      </tp>
      <tp>
        <v>3.648982341</v>
        <stp/>
        <stp>EM_S_FA_NETPROFITMARGIN</stp>
        <stp>3</stp>
        <stp>600780</stp>
        <stp>12/31/2018</stp>
        <stp>1</stp>
        <tr r="J1853" s="1"/>
      </tp>
      <tp>
        <v>-76.542208767700004</v>
        <stp/>
        <stp>EM_S_FA_NETPROFITMARGIN</stp>
        <stp>3</stp>
        <stp>600680</stp>
        <stp>12/31/2018</stp>
        <stp>1</stp>
        <tr r="J2316" s="1"/>
      </tp>
      <tp>
        <v>5.3215032998999998</v>
        <stp/>
        <stp>EM_S_FA_NETPROFITMARGIN</stp>
        <stp>3</stp>
        <stp>603883</stp>
        <stp>12/31/2018</stp>
        <stp>1</stp>
        <tr r="J819" s="1"/>
      </tp>
      <tp>
        <v>12.7851358337</v>
        <stp/>
        <stp>EM_S_FA_NETPROFITMARGIN</stp>
        <stp>3</stp>
        <stp>603183</stp>
        <stp>12/31/2018</stp>
        <stp>1</stp>
        <tr r="J3318" s="1"/>
      </tp>
      <tp>
        <v>2.4324977256000002</v>
        <stp/>
        <stp>EM_S_FA_NETPROFITMARGIN</stp>
        <stp>3</stp>
        <stp>603083</stp>
        <stp>12/31/2018</stp>
        <stp>1</stp>
        <tr r="J1659" s="1"/>
      </tp>
      <tp>
        <v>39.620335195400003</v>
        <stp/>
        <stp>EM_S_FA_NETPROFITMARGIN</stp>
        <stp>3</stp>
        <stp>603383</stp>
        <stp>12/31/2018</stp>
        <stp>1</stp>
        <tr r="J88" s="1"/>
      </tp>
      <tp>
        <v>13.4088244424</v>
        <stp/>
        <stp>EM_S_FA_NETPROFITMARGIN</stp>
        <stp>3</stp>
        <stp>603283</stp>
        <stp>12/31/2018</stp>
        <stp>1</stp>
        <tr r="J288" s="1"/>
      </tp>
      <tp>
        <v>2.87919846</v>
        <stp/>
        <stp>EM_S_FA_NETPROFITMARGIN</stp>
        <stp>3</stp>
        <stp>603683</stp>
        <stp>12/31/2018</stp>
        <stp>1</stp>
        <tr r="J2437" s="1"/>
      </tp>
      <tp>
        <v>4.1656818333999999</v>
        <stp/>
        <stp>EM_S_FA_NETPROFITMARGIN</stp>
        <stp>3</stp>
        <stp>600983</stp>
        <stp>12/31/2018</stp>
        <stp>1</stp>
        <tr r="J2645" s="1"/>
      </tp>
      <tp>
        <v>35.7001166103</v>
        <stp/>
        <stp>EM_S_FA_NETPROFITMARGIN</stp>
        <stp>3</stp>
        <stp>600883</stp>
        <stp>12/31/2018</stp>
        <stp>1</stp>
        <tr r="J1056" s="1"/>
      </tp>
      <tp>
        <v>8.8886939600999995</v>
        <stp/>
        <stp>EM_S_FA_NETPROFITMARGIN</stp>
        <stp>3</stp>
        <stp>600183</stp>
        <stp>12/31/2018</stp>
        <stp>1</stp>
        <tr r="J138" s="1"/>
      </tp>
      <tp>
        <v>-3.3487819815000002</v>
        <stp/>
        <stp>EM_S_FA_NETPROFITMARGIN</stp>
        <stp>3</stp>
        <stp>600083</stp>
        <stp>12/31/2018</stp>
        <stp>1</stp>
        <tr r="J1494" s="1"/>
      </tp>
      <tp>
        <v>24.059278368299999</v>
        <stp/>
        <stp>EM_S_FA_NETPROFITMARGIN</stp>
        <stp>3</stp>
        <stp>600383</stp>
        <stp>12/31/2018</stp>
        <stp>1</stp>
        <tr r="J593" s="1"/>
      </tp>
      <tp>
        <v>8.5029355176999992</v>
        <stp/>
        <stp>EM_S_FA_NETPROFITMARGIN</stp>
        <stp>3</stp>
        <stp>600283</stp>
        <stp>12/31/2018</stp>
        <stp>1</stp>
        <tr r="J2697" s="1"/>
      </tp>
      <tp>
        <v>0.72238507969999999</v>
        <stp/>
        <stp>EM_S_FA_NETPROFITMARGIN</stp>
        <stp>3</stp>
        <stp>600583</stp>
        <stp>12/31/2018</stp>
        <stp>1</stp>
        <tr r="J616" s="1"/>
      </tp>
      <tp>
        <v>11.569541580799999</v>
        <stp/>
        <stp>EM_S_FA_NETPROFITMARGIN</stp>
        <stp>3</stp>
        <stp>600483</stp>
        <stp>12/31/2018</stp>
        <stp>1</stp>
        <tr r="J1892" s="1"/>
      </tp>
      <tp>
        <v>91.500456879599994</v>
        <stp/>
        <stp>EM_S_FA_NETPROFITMARGIN</stp>
        <stp>3</stp>
        <stp>600783</stp>
        <stp>12/31/2018</stp>
        <stp>1</stp>
        <tr r="J2462" s="1"/>
      </tp>
      <tp>
        <v>11.4085086722</v>
        <stp/>
        <stp>EM_S_FA_NETPROFITMARGIN</stp>
        <stp>3</stp>
        <stp>600683</stp>
        <stp>12/31/2018</stp>
        <stp>1</stp>
        <tr r="J2385" s="1"/>
      </tp>
      <tp>
        <v>5.6437473922999999</v>
        <stp/>
        <stp>EM_S_FA_NETPROFITMARGIN</stp>
        <stp>3</stp>
        <stp>603882</stp>
        <stp>12/31/2018</stp>
        <stp>1</stp>
        <tr r="J116" s="1"/>
      </tp>
      <tp>
        <v>8.0317162822999997</v>
        <stp/>
        <stp>EM_S_FA_NETPROFITMARGIN</stp>
        <stp>3</stp>
        <stp>601882</stp>
        <stp>12/31/2018</stp>
        <stp>1</stp>
        <tr r="J2144" s="1"/>
      </tp>
      <tp>
        <v>9.8506274034000008</v>
        <stp/>
        <stp>EM_S_FA_NETPROFITMARGIN</stp>
        <stp>3</stp>
        <stp>600982</stp>
        <stp>12/31/2018</stp>
        <stp>1</stp>
        <tr r="J2729" s="1"/>
      </tp>
      <tp>
        <v>0.86813327250000005</v>
        <stp/>
        <stp>EM_S_FA_NETPROFITMARGIN</stp>
        <stp>3</stp>
        <stp>600882</stp>
        <stp>12/31/2018</stp>
        <stp>1</stp>
        <tr r="J211" s="1"/>
      </tp>
      <tp>
        <v>5.4678073474</v>
        <stp/>
        <stp>EM_S_FA_NETPROFITMARGIN</stp>
        <stp>3</stp>
        <stp>600182</stp>
        <stp>12/31/2018</stp>
        <stp>1</stp>
        <tr r="J1800" s="1"/>
      </tp>
      <tp>
        <v>1.8759090755000001</v>
        <stp/>
        <stp>EM_S_FA_NETPROFITMARGIN</stp>
        <stp>3</stp>
        <stp>600082</stp>
        <stp>12/31/2018</stp>
        <stp>1</stp>
        <tr r="J2681" s="1"/>
      </tp>
      <tp>
        <v>60.734994221699999</v>
        <stp/>
        <stp>EM_S_FA_NETPROFITMARGIN</stp>
        <stp>3</stp>
        <stp>600382</stp>
        <stp>12/31/2018</stp>
        <stp>1</stp>
        <tr r="J2733" s="1"/>
      </tp>
      <tp>
        <v>10.861946680999999</v>
        <stp/>
        <stp>EM_S_FA_NETPROFITMARGIN</stp>
        <stp>3</stp>
        <stp>600282</stp>
        <stp>12/31/2018</stp>
        <stp>1</stp>
        <tr r="J2261" s="1"/>
      </tp>
      <tp>
        <v>7.5308732705999999</v>
        <stp/>
        <stp>EM_S_FA_NETPROFITMARGIN</stp>
        <stp>3</stp>
        <stp>600582</stp>
        <stp>12/31/2018</stp>
        <stp>1</stp>
        <tr r="J2641" s="1"/>
      </tp>
      <tp>
        <v>5.2576179015999998</v>
        <stp/>
        <stp>EM_S_FA_NETPROFITMARGIN</stp>
        <stp>3</stp>
        <stp>600482</stp>
        <stp>12/31/2018</stp>
        <stp>1</stp>
        <tr r="J2777" s="1"/>
      </tp>
      <tp>
        <v>10.3808215626</v>
        <stp/>
        <stp>EM_S_FA_NETPROFITMARGIN</stp>
        <stp>3</stp>
        <stp>600782</stp>
        <stp>12/31/2018</stp>
        <stp>1</stp>
        <tr r="J2374" s="1"/>
      </tp>
      <tp>
        <v>-5.5024603387999997</v>
        <stp/>
        <stp>EM_S_FA_NETPROFITMARGIN</stp>
        <stp>3</stp>
        <stp>600682</stp>
        <stp>12/31/2018</stp>
        <stp>1</stp>
        <tr r="J1585" s="1"/>
      </tp>
      <tp>
        <v>10.7268150031</v>
        <stp/>
        <stp>EM_S_FA_NETPROFITMARGIN</stp>
        <stp>3</stp>
        <stp>603985</stp>
        <stp>12/31/2018</stp>
        <stp>1</stp>
        <tr r="J3160" s="1"/>
      </tp>
      <tp>
        <v>8.6285093546000002</v>
        <stp/>
        <stp>EM_S_FA_NETPROFITMARGIN</stp>
        <stp>3</stp>
        <stp>603885</stp>
        <stp>12/31/2018</stp>
        <stp>1</stp>
        <tr r="J1184" s="1"/>
      </tp>
      <tp>
        <v>3.8149473898999999</v>
        <stp/>
        <stp>EM_S_FA_NETPROFITMARGIN</stp>
        <stp>3</stp>
        <stp>603085</stp>
        <stp>12/31/2018</stp>
        <stp>1</stp>
        <tr r="J1947" s="1"/>
      </tp>
      <tp>
        <v>8.9375783866000003</v>
        <stp/>
        <stp>EM_S_FA_NETPROFITMARGIN</stp>
        <stp>3</stp>
        <stp>603385</stp>
        <stp>12/31/2018</stp>
        <stp>1</stp>
        <tr r="J711" s="1"/>
      </tp>
      <tp>
        <v>25.893213952499998</v>
        <stp/>
        <stp>EM_S_FA_NETPROFITMARGIN</stp>
        <stp>3</stp>
        <stp>603585</stp>
        <stp>12/31/2018</stp>
        <stp>1</stp>
        <tr r="J2125" s="1"/>
      </tp>
      <tp>
        <v>12.0472322719</v>
        <stp/>
        <stp>EM_S_FA_NETPROFITMARGIN</stp>
        <stp>3</stp>
        <stp>603685</stp>
        <stp>12/31/2018</stp>
        <stp>1</stp>
        <tr r="J2615" s="1"/>
      </tp>
      <tp>
        <v>21.718160016999999</v>
        <stp/>
        <stp>EM_S_FA_NETPROFITMARGIN</stp>
        <stp>3</stp>
        <stp>601985</stp>
        <stp>12/31/2018</stp>
        <stp>1</stp>
        <tr r="J2565" s="1"/>
      </tp>
      <tp>
        <v>7.2177090137000004</v>
        <stp/>
        <stp>EM_S_FA_NETPROFITMARGIN</stp>
        <stp>3</stp>
        <stp>600985</stp>
        <stp>12/31/2018</stp>
        <stp>1</stp>
        <tr r="J1841" s="1"/>
      </tp>
      <tp>
        <v>13.9587910061</v>
        <stp/>
        <stp>EM_S_FA_NETPROFITMARGIN</stp>
        <stp>3</stp>
        <stp>600885</stp>
        <stp>12/31/2018</stp>
        <stp>1</stp>
        <tr r="J497" s="1"/>
      </tp>
      <tp>
        <v>16.625560019600002</v>
        <stp/>
        <stp>EM_S_FA_NETPROFITMARGIN</stp>
        <stp>3</stp>
        <stp>600185</stp>
        <stp>12/31/2018</stp>
        <stp>1</stp>
        <tr r="J1239" s="1"/>
      </tp>
      <tp>
        <v>12.826945248299999</v>
        <stp/>
        <stp>EM_S_FA_NETPROFITMARGIN</stp>
        <stp>3</stp>
        <stp>600085</stp>
        <stp>12/31/2018</stp>
        <stp>1</stp>
        <tr r="J2188" s="1"/>
      </tp>
      <tp>
        <v>-189.9301899564</v>
        <stp/>
        <stp>EM_S_FA_NETPROFITMARGIN</stp>
        <stp>3</stp>
        <stp>600385</stp>
        <stp>12/31/2018</stp>
        <stp>1</stp>
        <tr r="J3030" s="1"/>
      </tp>
      <tp>
        <v>11.9703927448</v>
        <stp/>
        <stp>EM_S_FA_NETPROFITMARGIN</stp>
        <stp>3</stp>
        <stp>600285</stp>
        <stp>12/31/2018</stp>
        <stp>1</stp>
        <tr r="J1003" s="1"/>
      </tp>
      <tp>
        <v>23.859336438</v>
        <stp/>
        <stp>EM_S_FA_NETPROFITMARGIN</stp>
        <stp>3</stp>
        <stp>600585</stp>
        <stp>12/31/2018</stp>
        <stp>1</stp>
        <tr r="J248" s="1"/>
      </tp>
      <tp>
        <v>-591.71741198840004</v>
        <stp/>
        <stp>EM_S_FA_NETPROFITMARGIN</stp>
        <stp>3</stp>
        <stp>600485</stp>
        <stp>12/31/2018</stp>
        <stp>1</stp>
        <tr r="J3405" s="1"/>
      </tp>
      <tp>
        <v>1.4743691876</v>
        <stp/>
        <stp>EM_S_FA_NETPROFITMARGIN</stp>
        <stp>3</stp>
        <stp>600785</stp>
        <stp>12/31/2018</stp>
        <stp>1</stp>
        <tr r="J2709" s="1"/>
      </tp>
      <tp>
        <v>-12.8770798528</v>
        <stp/>
        <stp>EM_S_FA_NETPROFITMARGIN</stp>
        <stp>3</stp>
        <stp>600685</stp>
        <stp>12/31/2018</stp>
        <stp>1</stp>
        <tr r="J512" s="1"/>
      </tp>
      <tp>
        <v>6.8825635529999998</v>
        <stp/>
        <stp>EM_S_FA_NETPROFITMARGIN</stp>
        <stp>3</stp>
        <stp>600984</stp>
        <stp>12/31/2018</stp>
        <stp>1</stp>
        <tr r="J159" s="1"/>
      </tp>
      <tp>
        <v>14.0910170757</v>
        <stp/>
        <stp>EM_S_FA_NETPROFITMARGIN</stp>
        <stp>3</stp>
        <stp>600884</stp>
        <stp>12/31/2018</stp>
        <stp>1</stp>
        <tr r="J1987" s="1"/>
      </tp>
      <tp>
        <v>2.3883446998000002</v>
        <stp/>
        <stp>EM_S_FA_NETPROFITMARGIN</stp>
        <stp>3</stp>
        <stp>600184</stp>
        <stp>12/31/2018</stp>
        <stp>1</stp>
        <tr r="J1421" s="1"/>
      </tp>
      <tp>
        <v>-46.353302642800003</v>
        <stp/>
        <stp>EM_S_FA_NETPROFITMARGIN</stp>
        <stp>3</stp>
        <stp>600084</stp>
        <stp>12/31/2018</stp>
        <stp>1</stp>
        <tr r="J2817" s="1"/>
      </tp>
      <tp>
        <v>12.5681125704</v>
        <stp/>
        <stp>EM_S_FA_NETPROFITMARGIN</stp>
        <stp>3</stp>
        <stp>600284</stp>
        <stp>12/31/2018</stp>
        <stp>1</stp>
        <tr r="J1018" s="1"/>
      </tp>
      <tp>
        <v>-3.8842285664</v>
        <stp/>
        <stp>EM_S_FA_NETPROFITMARGIN</stp>
        <stp>3</stp>
        <stp>600584</stp>
        <stp>12/31/2018</stp>
        <stp>1</stp>
        <tr r="J62" s="1"/>
      </tp>
      <tp>
        <v>3.1492422575000001</v>
        <stp/>
        <stp>EM_S_FA_NETPROFITMARGIN</stp>
        <stp>3</stp>
        <stp>600784</stp>
        <stp>12/31/2018</stp>
        <stp>1</stp>
        <tr r="J2018" s="1"/>
      </tp>
      <tp>
        <v>8.1155313196000005</v>
        <stp/>
        <stp>EM_S_FA_NETPROFITMARGIN</stp>
        <stp>3</stp>
        <stp>600684</stp>
        <stp>12/31/2018</stp>
        <stp>1</stp>
        <tr r="J2854" s="1"/>
      </tp>
      <tp>
        <v>12.444703599</v>
        <stp/>
        <stp>EM_S_FA_NETPROFITMARGIN</stp>
        <stp>3</stp>
        <stp>603987</stp>
        <stp>12/31/2018</stp>
        <stp>1</stp>
        <tr r="J1117" s="1"/>
      </tp>
      <tp>
        <v>5.7269080022000001</v>
        <stp/>
        <stp>EM_S_FA_NETPROFITMARGIN</stp>
        <stp>3</stp>
        <stp>603887</stp>
        <stp>12/31/2018</stp>
        <stp>1</stp>
        <tr r="J293" s="1"/>
      </tp>
      <tp>
        <v>36.5243925742</v>
        <stp/>
        <stp>EM_S_FA_NETPROFITMARGIN</stp>
        <stp>3</stp>
        <stp>603387</stp>
        <stp>12/31/2018</stp>
        <stp>1</stp>
        <tr r="J2919" s="1"/>
      </tp>
      <tp>
        <v>27.332811787600001</v>
        <stp/>
        <stp>EM_S_FA_NETPROFITMARGIN</stp>
        <stp>3</stp>
        <stp>603587</stp>
        <stp>12/31/2018</stp>
        <stp>1</stp>
        <tr r="J1574" s="1"/>
      </tp>
      <tp>
        <v>2.9062266848</v>
        <stp/>
        <stp>EM_S_FA_NETPROFITMARGIN</stp>
        <stp>3</stp>
        <stp>603787</stp>
        <stp>12/31/2018</stp>
        <stp>1</stp>
        <tr r="J662" s="1"/>
      </tp>
      <tp>
        <v>10.6075550945</v>
        <stp/>
        <stp>EM_S_FA_NETPROFITMARGIN</stp>
        <stp>3</stp>
        <stp>600987</stp>
        <stp>12/31/2018</stp>
        <stp>1</stp>
        <tr r="J3102" s="1"/>
      </tp>
      <tp>
        <v>8.1695253677000004</v>
        <stp/>
        <stp>EM_S_FA_NETPROFITMARGIN</stp>
        <stp>3</stp>
        <stp>600887</stp>
        <stp>12/31/2018</stp>
        <stp>1</stp>
        <tr r="J827" s="1"/>
      </tp>
      <tp>
        <v>1.9053298277999999</v>
        <stp/>
        <stp>EM_S_FA_NETPROFITMARGIN</stp>
        <stp>3</stp>
        <stp>600187</stp>
        <stp>12/31/2018</stp>
        <stp>1</stp>
        <tr r="J2117" s="1"/>
      </tp>
      <tp>
        <v>10.7811573027</v>
        <stp/>
        <stp>EM_S_FA_NETPROFITMARGIN</stp>
        <stp>3</stp>
        <stp>600087</stp>
        <stp>12/31/2018</stp>
        <stp>1</stp>
        <tr r="J2290" s="1"/>
      </tp>
      <tp>
        <v>1.9433952144</v>
        <stp/>
        <stp>EM_S_FA_NETPROFITMARGIN</stp>
        <stp>3</stp>
        <stp>600387</stp>
        <stp>12/31/2018</stp>
        <stp>1</stp>
        <tr r="J1984" s="1"/>
      </tp>
      <tp>
        <v>2.2088902423999999</v>
        <stp/>
        <stp>EM_S_FA_NETPROFITMARGIN</stp>
        <stp>3</stp>
        <stp>600287</stp>
        <stp>12/31/2018</stp>
        <stp>1</stp>
        <tr r="J1135" s="1"/>
      </tp>
      <tp>
        <v>1.1884280006000001</v>
        <stp/>
        <stp>EM_S_FA_NETPROFITMARGIN</stp>
        <stp>3</stp>
        <stp>600587</stp>
        <stp>12/31/2018</stp>
        <stp>1</stp>
        <tr r="J1818" s="1"/>
      </tp>
      <tp>
        <v>7.8172369957000001</v>
        <stp/>
        <stp>EM_S_FA_NETPROFITMARGIN</stp>
        <stp>3</stp>
        <stp>600487</stp>
        <stp>12/31/2018</stp>
        <stp>1</stp>
        <tr r="J2604" s="1"/>
      </tp>
      <tp>
        <v>1.2036714946</v>
        <stp/>
        <stp>EM_S_FA_NETPROFITMARGIN</stp>
        <stp>3</stp>
        <stp>600787</stp>
        <stp>12/31/2018</stp>
        <stp>1</stp>
        <tr r="J2015" s="1"/>
      </tp>
      <tp>
        <v>-10.640428372800001</v>
        <stp/>
        <stp>EM_S_FA_NETPROFITMARGIN</stp>
        <stp>3</stp>
        <stp>600687</stp>
        <stp>12/31/2018</stp>
        <stp>1</stp>
        <tr r="J3392" s="1"/>
      </tp>
      <tp>
        <v>17.988248935400001</v>
        <stp/>
        <stp>EM_S_FA_NETPROFITMARGIN</stp>
        <stp>3</stp>
        <stp>603986</stp>
        <stp>12/31/2018</stp>
        <stp>1</stp>
        <tr r="J35" s="1"/>
      </tp>
      <tp>
        <v>12.339049066099999</v>
        <stp/>
        <stp>EM_S_FA_NETPROFITMARGIN</stp>
        <stp>3</stp>
        <stp>603886</stp>
        <stp>12/31/2018</stp>
        <stp>1</stp>
        <tr r="J2380" s="1"/>
      </tp>
      <tp>
        <v>4.4911817117000004</v>
        <stp/>
        <stp>EM_S_FA_NETPROFITMARGIN</stp>
        <stp>3</stp>
        <stp>603186</stp>
        <stp>12/31/2018</stp>
        <stp>1</stp>
        <tr r="J82" s="1"/>
      </tp>
      <tp>
        <v>15.346225501199999</v>
        <stp/>
        <stp>EM_S_FA_NETPROFITMARGIN</stp>
        <stp>3</stp>
        <stp>603086</stp>
        <stp>12/31/2018</stp>
        <stp>1</stp>
        <tr r="J1630" s="1"/>
      </tp>
      <tp>
        <v>6.1597996086000002</v>
        <stp/>
        <stp>EM_S_FA_NETPROFITMARGIN</stp>
        <stp>3</stp>
        <stp>603386</stp>
        <stp>12/31/2018</stp>
        <stp>1</stp>
        <tr r="J2198" s="1"/>
      </tp>
      <tp>
        <v>6.2012718743999997</v>
        <stp/>
        <stp>EM_S_FA_NETPROFITMARGIN</stp>
        <stp>3</stp>
        <stp>603286</stp>
        <stp>12/31/2018</stp>
        <stp>1</stp>
        <tr r="J1812" s="1"/>
      </tp>
      <tp>
        <v>6.3085014825999997</v>
        <stp/>
        <stp>EM_S_FA_NETPROFITMARGIN</stp>
        <stp>3</stp>
        <stp>603586</stp>
        <stp>12/31/2018</stp>
        <stp>1</stp>
        <tr r="J698" s="1"/>
      </tp>
      <tp>
        <v>8.5209172046999999</v>
        <stp/>
        <stp>EM_S_FA_NETPROFITMARGIN</stp>
        <stp>3</stp>
        <stp>603486</stp>
        <stp>12/31/2018</stp>
        <stp>1</stp>
        <tr r="J3384" s="1"/>
      </tp>
      <tp>
        <v>7.4522581178999996</v>
        <stp/>
        <stp>EM_S_FA_NETPROFITMARGIN</stp>
        <stp>3</stp>
        <stp>603686</stp>
        <stp>12/31/2018</stp>
        <stp>1</stp>
        <tr r="J2229" s="1"/>
      </tp>
      <tp>
        <v>4.6055611727999999</v>
        <stp/>
        <stp>EM_S_FA_NETPROFITMARGIN</stp>
        <stp>3</stp>
        <stp>601886</stp>
        <stp>12/31/2018</stp>
        <stp>1</stp>
        <tr r="J2479" s="1"/>
      </tp>
      <tp>
        <v>2.7171321513</v>
        <stp/>
        <stp>EM_S_FA_NETPROFITMARGIN</stp>
        <stp>3</stp>
        <stp>601186</stp>
        <stp>12/31/2018</stp>
        <stp>1</stp>
        <tr r="J2665" s="1"/>
      </tp>
      <tp>
        <v>4.4990078694999998</v>
        <stp/>
        <stp>EM_S_FA_NETPROFITMARGIN</stp>
        <stp>3</stp>
        <stp>601086</stp>
        <stp>12/31/2018</stp>
        <stp>1</stp>
        <tr r="J2246" s="1"/>
      </tp>
      <tp>
        <v>2.0141039924999999</v>
        <stp/>
        <stp>EM_S_FA_NETPROFITMARGIN</stp>
        <stp>3</stp>
        <stp>600986</stp>
        <stp>12/31/2018</stp>
        <stp>1</stp>
        <tr r="J1246" s="1"/>
      </tp>
      <tp>
        <v>20.4256811602</v>
        <stp/>
        <stp>EM_S_FA_NETPROFITMARGIN</stp>
        <stp>3</stp>
        <stp>600886</stp>
        <stp>12/31/2018</stp>
        <stp>1</stp>
        <tr r="J1548" s="1"/>
      </tp>
      <tp>
        <v>-22.2197765821</v>
        <stp/>
        <stp>EM_S_FA_NETPROFITMARGIN</stp>
        <stp>3</stp>
        <stp>600186</stp>
        <stp>12/31/2018</stp>
        <stp>1</stp>
        <tr r="J709" s="1"/>
      </tp>
      <tp>
        <v>-58.038161203400001</v>
        <stp/>
        <stp>EM_S_FA_NETPROFITMARGIN</stp>
        <stp>3</stp>
        <stp>600086</stp>
        <stp>12/31/2018</stp>
        <stp>1</stp>
        <tr r="J3319" s="1"/>
      </tp>
      <tp>
        <v>2.7274811581999998</v>
        <stp/>
        <stp>EM_S_FA_NETPROFITMARGIN</stp>
        <stp>3</stp>
        <stp>600386</stp>
        <stp>12/31/2018</stp>
        <stp>1</stp>
        <tr r="J1578" s="1"/>
      </tp>
      <tp>
        <v>23.373759825800001</v>
        <stp/>
        <stp>EM_S_FA_NETPROFITMARGIN</stp>
        <stp>3</stp>
        <stp>600286</stp>
        <stp>12/31/2018</stp>
        <stp>1</stp>
        <tr r="J2299" s="1"/>
      </tp>
      <tp>
        <v>1.6410785423000001</v>
        <stp/>
        <stp>EM_S_FA_NETPROFITMARGIN</stp>
        <stp>3</stp>
        <stp>600586</stp>
        <stp>12/31/2018</stp>
        <stp>1</stp>
        <tr r="J2118" s="1"/>
      </tp>
      <tp>
        <v>17.7543640807</v>
        <stp/>
        <stp>EM_S_FA_NETPROFITMARGIN</stp>
        <stp>3</stp>
        <stp>600486</stp>
        <stp>12/31/2018</stp>
        <stp>1</stp>
        <tr r="J235" s="1"/>
      </tp>
      <tp>
        <v>0</v>
        <stp/>
        <stp>EM_S_FA_NETPROFITMARGIN</stp>
        <stp>3</stp>
        <stp>600786</stp>
        <stp>12/31/2018</stp>
        <stp>1</stp>
        <tr r="J2322" s="1"/>
      </tp>
      <tp>
        <v>1.1239780069</v>
        <stp/>
        <stp>EM_S_FA_NETPROFITMARGIN</stp>
        <stp>3</stp>
        <stp>600686</stp>
        <stp>12/31/2018</stp>
        <stp>1</stp>
        <tr r="J2161" s="1"/>
      </tp>
      <tp>
        <v>5.3148143496999998</v>
        <stp/>
        <stp>EM_S_FA_NETPROFITMARGIN</stp>
        <stp>3</stp>
        <stp>603999</stp>
        <stp>12/31/2018</stp>
        <stp>1</stp>
        <tr r="J473" s="1"/>
      </tp>
      <tp>
        <v>9.4649969917999996</v>
        <stp/>
        <stp>EM_S_FA_NETPROFITMARGIN</stp>
        <stp>3</stp>
        <stp>603899</stp>
        <stp>12/31/2018</stp>
        <stp>1</stp>
        <tr r="J439" s="1"/>
      </tp>
      <tp>
        <v>18.9745401373</v>
        <stp/>
        <stp>EM_S_FA_NETPROFITMARGIN</stp>
        <stp>3</stp>
        <stp>603199</stp>
        <stp>12/31/2018</stp>
        <stp>1</stp>
        <tr r="J1084" s="1"/>
      </tp>
      <tp>
        <v>14.570987200399999</v>
        <stp/>
        <stp>EM_S_FA_NETPROFITMARGIN</stp>
        <stp>3</stp>
        <stp>603099</stp>
        <stp>12/31/2018</stp>
        <stp>1</stp>
        <tr r="J1625" s="1"/>
      </tp>
      <tp>
        <v>5.0818968214</v>
        <stp/>
        <stp>EM_S_FA_NETPROFITMARGIN</stp>
        <stp>3</stp>
        <stp>603399</stp>
        <stp>12/31/2018</stp>
        <stp>1</stp>
        <tr r="J1095" s="1"/>
      </tp>
      <tp>
        <v>5.2861083653999996</v>
        <stp/>
        <stp>EM_S_FA_NETPROFITMARGIN</stp>
        <stp>3</stp>
        <stp>603299</stp>
        <stp>12/31/2018</stp>
        <stp>1</stp>
        <tr r="J852" s="1"/>
      </tp>
      <tp>
        <v>16.4758532737</v>
        <stp/>
        <stp>EM_S_FA_NETPROFITMARGIN</stp>
        <stp>3</stp>
        <stp>603599</stp>
        <stp>12/31/2018</stp>
        <stp>1</stp>
        <tr r="J724" s="1"/>
      </tp>
      <tp>
        <v>13.4473419665</v>
        <stp/>
        <stp>EM_S_FA_NETPROFITMARGIN</stp>
        <stp>3</stp>
        <stp>603499</stp>
        <stp>12/31/2018</stp>
        <stp>1</stp>
        <tr r="J3091" s="1"/>
      </tp>
      <tp>
        <v>10.550761275399999</v>
        <stp/>
        <stp>EM_S_FA_NETPROFITMARGIN</stp>
        <stp>3</stp>
        <stp>603799</stp>
        <stp>12/31/2018</stp>
        <stp>1</stp>
        <tr r="J912" s="1"/>
      </tp>
      <tp>
        <v>9.7632644842000005</v>
        <stp/>
        <stp>EM_S_FA_NETPROFITMARGIN</stp>
        <stp>3</stp>
        <stp>603699</stp>
        <stp>12/31/2018</stp>
        <stp>1</stp>
        <tr r="J1395" s="1"/>
      </tp>
      <tp>
        <v>7.5988474442999996</v>
        <stp/>
        <stp>EM_S_FA_NETPROFITMARGIN</stp>
        <stp>3</stp>
        <stp>601999</stp>
        <stp>12/31/2018</stp>
        <stp>1</stp>
        <tr r="J1305" s="1"/>
      </tp>
      <tp>
        <v>4.4178591991999996</v>
        <stp/>
        <stp>EM_S_FA_NETPROFITMARGIN</stp>
        <stp>3</stp>
        <stp>601899</stp>
        <stp>12/31/2018</stp>
        <stp>1</stp>
        <tr r="J838" s="1"/>
      </tp>
      <tp>
        <v>21.497072427399999</v>
        <stp/>
        <stp>EM_S_FA_NETPROFITMARGIN</stp>
        <stp>3</stp>
        <stp>601199</stp>
        <stp>12/31/2018</stp>
        <stp>1</stp>
        <tr r="J1924" s="1"/>
      </tp>
      <tp>
        <v>-337.68246956799999</v>
        <stp/>
        <stp>EM_S_FA_NETPROFITMARGIN</stp>
        <stp>3</stp>
        <stp>601099</stp>
        <stp>12/31/2018</stp>
        <stp>1</stp>
        <tr r="J526" s="1"/>
      </tp>
      <tp>
        <v>0</v>
        <stp/>
        <stp>EM_S_FA_NETPROFITMARGIN</stp>
        <stp>3</stp>
        <stp>601299</stp>
        <stp>12/31/2018</stp>
        <stp>1</stp>
        <tr r="J2336" s="1"/>
      </tp>
      <tp>
        <v>1.4854677234</v>
        <stp/>
        <stp>EM_S_FA_NETPROFITMARGIN</stp>
        <stp>3</stp>
        <stp>601599</stp>
        <stp>12/31/2018</stp>
        <stp>1</stp>
        <tr r="J1857" s="1"/>
      </tp>
      <tp>
        <v>11.9878232533</v>
        <stp/>
        <stp>EM_S_FA_NETPROFITMARGIN</stp>
        <stp>3</stp>
        <stp>601799</stp>
        <stp>12/31/2018</stp>
        <stp>1</stp>
        <tr r="J166" s="1"/>
      </tp>
      <tp>
        <v>7.7223735377000002</v>
        <stp/>
        <stp>EM_S_FA_NETPROFITMARGIN</stp>
        <stp>3</stp>
        <stp>601699</stp>
        <stp>12/31/2018</stp>
        <stp>1</stp>
        <tr r="J1809" s="1"/>
      </tp>
      <tp>
        <v>39.272336160000002</v>
        <stp/>
        <stp>EM_S_FA_NETPROFITMARGIN</stp>
        <stp>3</stp>
        <stp>600999</stp>
        <stp>12/31/2018</stp>
        <stp>1</stp>
        <tr r="J764" s="1"/>
      </tp>
      <tp>
        <v>0</v>
        <stp/>
        <stp>EM_S_FA_NETPROFITMARGIN</stp>
        <stp>3</stp>
        <stp>600899</stp>
        <stp>12/31/2018</stp>
        <stp>1</stp>
        <tr r="J2333" s="1"/>
      </tp>
      <tp>
        <v>7.8172221151999999</v>
        <stp/>
        <stp>EM_S_FA_NETPROFITMARGIN</stp>
        <stp>3</stp>
        <stp>600199</stp>
        <stp>12/31/2018</stp>
        <stp>1</stp>
        <tr r="J781" s="1"/>
      </tp>
      <tp>
        <v>0.50329576949999999</v>
        <stp/>
        <stp>EM_S_FA_NETPROFITMARGIN</stp>
        <stp>3</stp>
        <stp>600099</stp>
        <stp>12/31/2018</stp>
        <stp>1</stp>
        <tr r="J1401" s="1"/>
      </tp>
      <tp>
        <v>44.5866602957</v>
        <stp/>
        <stp>EM_S_FA_NETPROFITMARGIN</stp>
        <stp>3</stp>
        <stp>600399</stp>
        <stp>12/31/2018</stp>
        <stp>1</stp>
        <tr r="J902" s="1"/>
      </tp>
      <tp>
        <v>10.6471278867</v>
        <stp/>
        <stp>EM_S_FA_NETPROFITMARGIN</stp>
        <stp>3</stp>
        <stp>600299</stp>
        <stp>12/31/2018</stp>
        <stp>1</stp>
        <tr r="J2551" s="1"/>
      </tp>
      <tp>
        <v>-21.663127462799999</v>
        <stp/>
        <stp>EM_S_FA_NETPROFITMARGIN</stp>
        <stp>3</stp>
        <stp>600599</stp>
        <stp>12/31/2018</stp>
        <stp>1</stp>
        <tr r="J2128" s="1"/>
      </tp>
      <tp>
        <v>-8.4726047585999993</v>
        <stp/>
        <stp>EM_S_FA_NETPROFITMARGIN</stp>
        <stp>3</stp>
        <stp>600499</stp>
        <stp>12/31/2018</stp>
        <stp>1</stp>
        <tr r="J1885" s="1"/>
      </tp>
      <tp>
        <v>0</v>
        <stp/>
        <stp>EM_S_FA_NETPROFITMARGIN</stp>
        <stp>3</stp>
        <stp>600799</stp>
        <stp>12/31/2018</stp>
        <stp>1</stp>
        <tr r="J2325" s="1"/>
      </tp>
      <tp>
        <v>3.7855163909999998</v>
        <stp/>
        <stp>EM_S_FA_NETPROFITMARGIN</stp>
        <stp>3</stp>
        <stp>600699</stp>
        <stp>12/31/2018</stp>
        <stp>1</stp>
        <tr r="J3125" s="1"/>
      </tp>
      <tp>
        <v>7.5928660411999997</v>
        <stp/>
        <stp>EM_S_FA_NETPROFITMARGIN</stp>
        <stp>3</stp>
        <stp>603998</stp>
        <stp>12/31/2018</stp>
        <stp>1</stp>
        <tr r="J287" s="1"/>
      </tp>
      <tp>
        <v>17.922727155299999</v>
        <stp/>
        <stp>EM_S_FA_NETPROFITMARGIN</stp>
        <stp>3</stp>
        <stp>603898</stp>
        <stp>12/31/2018</stp>
        <stp>1</stp>
        <tr r="J2001" s="1"/>
      </tp>
      <tp>
        <v>22.337716122500002</v>
        <stp/>
        <stp>EM_S_FA_NETPROFITMARGIN</stp>
        <stp>3</stp>
        <stp>603198</stp>
        <stp>12/31/2018</stp>
        <stp>1</stp>
        <tr r="J704" s="1"/>
      </tp>
      <tp>
        <v>7.500492328</v>
        <stp/>
        <stp>EM_S_FA_NETPROFITMARGIN</stp>
        <stp>3</stp>
        <stp>603098</stp>
        <stp>12/31/2018</stp>
        <stp>1</stp>
        <tr r="J3054" s="1"/>
      </tp>
      <tp>
        <v>10.8215601934</v>
        <stp/>
        <stp>EM_S_FA_NETPROFITMARGIN</stp>
        <stp>3</stp>
        <stp>603398</stp>
        <stp>12/31/2018</stp>
        <stp>1</stp>
        <tr r="J2667" s="1"/>
      </tp>
      <tp>
        <v>7.2506203916</v>
        <stp/>
        <stp>EM_S_FA_NETPROFITMARGIN</stp>
        <stp>3</stp>
        <stp>603298</stp>
        <stp>12/31/2018</stp>
        <stp>1</stp>
        <tr r="J1939" s="1"/>
      </tp>
      <tp>
        <v>1.9429545579</v>
        <stp/>
        <stp>EM_S_FA_NETPROFITMARGIN</stp>
        <stp>3</stp>
        <stp>603598</stp>
        <stp>12/31/2018</stp>
        <stp>1</stp>
        <tr r="J273" s="1"/>
      </tp>
      <tp>
        <v>8.9547489558999995</v>
        <stp/>
        <stp>EM_S_FA_NETPROFITMARGIN</stp>
        <stp>3</stp>
        <stp>603798</stp>
        <stp>12/31/2018</stp>
        <stp>1</stp>
        <tr r="J878" s="1"/>
      </tp>
      <tp>
        <v>14.000298733799999</v>
        <stp/>
        <stp>EM_S_FA_NETPROFITMARGIN</stp>
        <stp>3</stp>
        <stp>603698</stp>
        <stp>12/31/2018</stp>
        <stp>1</stp>
        <tr r="J2873" s="1"/>
      </tp>
      <tp>
        <v>27.5249614811</v>
        <stp/>
        <stp>EM_S_FA_NETPROFITMARGIN</stp>
        <stp>3</stp>
        <stp>601998</stp>
        <stp>12/31/2018</stp>
        <stp>1</stp>
        <tr r="J1567" s="1"/>
      </tp>
      <tp>
        <v>5.9800096534999998</v>
        <stp/>
        <stp>EM_S_FA_NETPROFITMARGIN</stp>
        <stp>3</stp>
        <stp>601898</stp>
        <stp>12/31/2018</stp>
        <stp>1</stp>
        <tr r="J1860" s="1"/>
      </tp>
      <tp>
        <v>30.423454823699998</v>
        <stp/>
        <stp>EM_S_FA_NETPROFITMARGIN</stp>
        <stp>3</stp>
        <stp>601198</stp>
        <stp>12/31/2018</stp>
        <stp>1</stp>
        <tr r="J769" s="1"/>
      </tp>
      <tp>
        <v>14.317321741200001</v>
        <stp/>
        <stp>EM_S_FA_NETPROFITMARGIN</stp>
        <stp>3</stp>
        <stp>601098</stp>
        <stp>12/31/2018</stp>
        <stp>1</stp>
        <tr r="J2563" s="1"/>
      </tp>
      <tp>
        <v>38.605227006299998</v>
        <stp/>
        <stp>EM_S_FA_NETPROFITMARGIN</stp>
        <stp>3</stp>
        <stp>601398</stp>
        <stp>12/31/2018</stp>
        <stp>1</stp>
        <tr r="J1662" s="1"/>
      </tp>
      <tp>
        <v>6.9050480744999998</v>
        <stp/>
        <stp>EM_S_FA_NETPROFITMARGIN</stp>
        <stp>3</stp>
        <stp>601798</stp>
        <stp>12/31/2018</stp>
        <stp>1</stp>
        <tr r="J1042" s="1"/>
      </tp>
      <tp>
        <v>1.5854133139</v>
        <stp/>
        <stp>EM_S_FA_NETPROFITMARGIN</stp>
        <stp>3</stp>
        <stp>600998</stp>
        <stp>12/31/2018</stp>
        <stp>1</stp>
        <tr r="J2675" s="1"/>
      </tp>
      <tp>
        <v>-22.6416128161</v>
        <stp/>
        <stp>EM_S_FA_NETPROFITMARGIN</stp>
        <stp>3</stp>
        <stp>600898</stp>
        <stp>12/31/2018</stp>
        <stp>1</stp>
        <tr r="J2388" s="1"/>
      </tp>
      <tp>
        <v>23.672785630900002</v>
        <stp/>
        <stp>EM_S_FA_NETPROFITMARGIN</stp>
        <stp>3</stp>
        <stp>600198</stp>
        <stp>12/31/2018</stp>
        <stp>1</stp>
        <tr r="J416" s="1"/>
      </tp>
      <tp>
        <v>3.0558770490999998</v>
        <stp/>
        <stp>EM_S_FA_NETPROFITMARGIN</stp>
        <stp>3</stp>
        <stp>600098</stp>
        <stp>12/31/2018</stp>
        <stp>1</stp>
        <tr r="J1455" s="1"/>
      </tp>
      <tp>
        <v>18.103593856700002</v>
        <stp/>
        <stp>EM_S_FA_NETPROFITMARGIN</stp>
        <stp>3</stp>
        <stp>600398</stp>
        <stp>12/31/2018</stp>
        <stp>1</stp>
        <tr r="J2779" s="1"/>
      </tp>
      <tp>
        <v>13.457395824300001</v>
        <stp/>
        <stp>EM_S_FA_NETPROFITMARGIN</stp>
        <stp>3</stp>
        <stp>600298</stp>
        <stp>12/31/2018</stp>
        <stp>1</stp>
        <tr r="J1273" s="1"/>
      </tp>
      <tp>
        <v>28.035470291199999</v>
        <stp/>
        <stp>EM_S_FA_NETPROFITMARGIN</stp>
        <stp>3</stp>
        <stp>600598</stp>
        <stp>12/31/2018</stp>
        <stp>1</stp>
        <tr r="J1569" s="1"/>
      </tp>
      <tp>
        <v>3.7420232757999998</v>
        <stp/>
        <stp>EM_S_FA_NETPROFITMARGIN</stp>
        <stp>3</stp>
        <stp>600498</stp>
        <stp>12/31/2018</stp>
        <stp>1</stp>
        <tr r="J2489" s="1"/>
      </tp>
      <tp>
        <v>14.572285109099999</v>
        <stp/>
        <stp>EM_S_FA_NETPROFITMARGIN</stp>
        <stp>3</stp>
        <stp>600798</stp>
        <stp>12/31/2018</stp>
        <stp>1</stp>
        <tr r="J1796" s="1"/>
      </tp>
      <tp>
        <v>-18.9568920864</v>
        <stp/>
        <stp>EM_S_FA_NETPROFITMARGIN</stp>
        <stp>3</stp>
        <stp>600698</stp>
        <stp>12/31/2018</stp>
        <stp>1</stp>
        <tr r="J3214" s="1"/>
      </tp>
      <tp>
        <v>6.6701495459000002</v>
        <stp/>
        <stp>EM_S_FA_NETPROFITMARGIN</stp>
        <stp>3</stp>
        <stp>603991</stp>
        <stp>12/31/2018</stp>
        <stp>1</stp>
        <tr r="J2590" s="1"/>
      </tp>
      <tp>
        <v>2.9875781169</v>
        <stp/>
        <stp>EM_S_FA_NETPROFITMARGIN</stp>
        <stp>3</stp>
        <stp>601991</stp>
        <stp>12/31/2018</stp>
        <stp>1</stp>
        <tr r="J3110" s="1"/>
      </tp>
      <tp>
        <v>0</v>
        <stp/>
        <stp>EM_S_FA_NETPROFITMARGIN</stp>
        <stp>3</stp>
        <stp>600991</stp>
        <stp>12/31/2018</stp>
        <stp>1</stp>
        <tr r="J2334" s="1"/>
      </tp>
      <tp>
        <v>-87.698008326099995</v>
        <stp/>
        <stp>EM_S_FA_NETPROFITMARGIN</stp>
        <stp>3</stp>
        <stp>600891</stp>
        <stp>12/31/2018</stp>
        <stp>1</stp>
        <tr r="J3403" s="1"/>
      </tp>
      <tp>
        <v>-178.2769165544</v>
        <stp/>
        <stp>EM_S_FA_NETPROFITMARGIN</stp>
        <stp>3</stp>
        <stp>600191</stp>
        <stp>12/31/2018</stp>
        <stp>1</stp>
        <tr r="J885" s="1"/>
      </tp>
      <tp>
        <v>7.2286275331000001</v>
        <stp/>
        <stp>EM_S_FA_NETPROFITMARGIN</stp>
        <stp>3</stp>
        <stp>600091</stp>
        <stp>12/31/2018</stp>
        <stp>1</stp>
        <tr r="J2402" s="1"/>
      </tp>
      <tp>
        <v>-12.291083091899999</v>
        <stp/>
        <stp>EM_S_FA_NETPROFITMARGIN</stp>
        <stp>3</stp>
        <stp>600391</stp>
        <stp>12/31/2018</stp>
        <stp>1</stp>
        <tr r="J1045" s="1"/>
      </tp>
      <tp>
        <v>1.9004988997000001</v>
        <stp/>
        <stp>EM_S_FA_NETPROFITMARGIN</stp>
        <stp>3</stp>
        <stp>600291</stp>
        <stp>12/31/2018</stp>
        <stp>1</stp>
        <tr r="J2800" s="1"/>
      </tp>
      <tp>
        <v>0</v>
        <stp/>
        <stp>EM_S_FA_NETPROFITMARGIN</stp>
        <stp>3</stp>
        <stp>600591</stp>
        <stp>12/31/2018</stp>
        <stp>1</stp>
        <tr r="J2305" s="1"/>
      </tp>
      <tp>
        <v>4.6649730473000002</v>
        <stp/>
        <stp>EM_S_FA_NETPROFITMARGIN</stp>
        <stp>3</stp>
        <stp>600491</stp>
        <stp>12/31/2018</stp>
        <stp>1</stp>
        <tr r="J1872" s="1"/>
      </tp>
      <tp>
        <v>3.6961139208999998</v>
        <stp/>
        <stp>EM_S_FA_NETPROFITMARGIN</stp>
        <stp>3</stp>
        <stp>600791</stp>
        <stp>12/31/2018</stp>
        <stp>1</stp>
        <tr r="J1982" s="1"/>
      </tp>
      <tp>
        <v>0.57445894590000002</v>
        <stp/>
        <stp>EM_S_FA_NETPROFITMARGIN</stp>
        <stp>3</stp>
        <stp>600691</stp>
        <stp>12/31/2018</stp>
        <stp>1</stp>
        <tr r="J2883" s="1"/>
      </tp>
      <tp>
        <v>19.369274556699999</v>
        <stp/>
        <stp>EM_S_FA_NETPROFITMARGIN</stp>
        <stp>3</stp>
        <stp>603990</stp>
        <stp>12/31/2018</stp>
        <stp>1</stp>
        <tr r="J2011" s="1"/>
      </tp>
      <tp>
        <v>6.1207438519000004</v>
        <stp/>
        <stp>EM_S_FA_NETPROFITMARGIN</stp>
        <stp>3</stp>
        <stp>603890</stp>
        <stp>12/31/2018</stp>
        <stp>1</stp>
        <tr r="J2755" s="1"/>
      </tp>
      <tp>
        <v>8.2339729732000002</v>
        <stp/>
        <stp>EM_S_FA_NETPROFITMARGIN</stp>
        <stp>3</stp>
        <stp>603090</stp>
        <stp>12/31/2018</stp>
        <stp>1</stp>
        <tr r="J1077" s="1"/>
      </tp>
      <tp>
        <v>4.6723661290000003</v>
        <stp/>
        <stp>EM_S_FA_NETPROFITMARGIN</stp>
        <stp>3</stp>
        <stp>603690</stp>
        <stp>12/31/2018</stp>
        <stp>1</stp>
        <tr r="J133" s="1"/>
      </tp>
      <tp>
        <v>19.1001950962</v>
        <stp/>
        <stp>EM_S_FA_NETPROFITMARGIN</stp>
        <stp>3</stp>
        <stp>601990</stp>
        <stp>12/31/2018</stp>
        <stp>1</stp>
        <tr r="J632" s="1"/>
      </tp>
      <tp>
        <v>-2.2982640127999998</v>
        <stp/>
        <stp>EM_S_FA_NETPROFITMARGIN</stp>
        <stp>3</stp>
        <stp>601890</stp>
        <stp>12/31/2018</stp>
        <stp>1</stp>
        <tr r="J410" s="1"/>
      </tp>
      <tp>
        <v>2.3635557304999999</v>
        <stp/>
        <stp>EM_S_FA_NETPROFITMARGIN</stp>
        <stp>3</stp>
        <stp>601390</stp>
        <stp>12/31/2018</stp>
        <stp>1</stp>
        <tr r="J2944" s="1"/>
      </tp>
      <tp>
        <v>4.9888232348999999</v>
        <stp/>
        <stp>EM_S_FA_NETPROFITMARGIN</stp>
        <stp>3</stp>
        <stp>600990</stp>
        <stp>12/31/2018</stp>
        <stp>1</stp>
        <tr r="J934" s="1"/>
      </tp>
      <tp>
        <v>-343.7322466155</v>
        <stp/>
        <stp>EM_S_FA_NETPROFITMARGIN</stp>
        <stp>3</stp>
        <stp>600890</stp>
        <stp>12/31/2018</stp>
        <stp>1</stp>
        <tr r="J3134" s="1"/>
      </tp>
      <tp>
        <v>4.1622848375999997</v>
        <stp/>
        <stp>EM_S_FA_NETPROFITMARGIN</stp>
        <stp>3</stp>
        <stp>600190</stp>
        <stp>12/31/2018</stp>
        <stp>1</stp>
        <tr r="J1541" s="1"/>
      </tp>
      <tp>
        <v>5.2079133892999998</v>
        <stp/>
        <stp>EM_S_FA_NETPROFITMARGIN</stp>
        <stp>3</stp>
        <stp>600090</stp>
        <stp>12/31/2018</stp>
        <stp>1</stp>
        <tr r="J3138" s="1"/>
      </tp>
      <tp>
        <v>32.495808709800002</v>
        <stp/>
        <stp>EM_S_FA_NETPROFITMARGIN</stp>
        <stp>3</stp>
        <stp>600390</stp>
        <stp>12/31/2018</stp>
        <stp>1</stp>
        <tr r="J1389" s="1"/>
      </tp>
      <tp>
        <v>-5.1754678225999999</v>
        <stp/>
        <stp>EM_S_FA_NETPROFITMARGIN</stp>
        <stp>3</stp>
        <stp>600290</stp>
        <stp>12/31/2018</stp>
        <stp>1</stp>
        <tr r="J3277" s="1"/>
      </tp>
      <tp>
        <v>4.4744068214999997</v>
        <stp/>
        <stp>EM_S_FA_NETPROFITMARGIN</stp>
        <stp>3</stp>
        <stp>600590</stp>
        <stp>12/31/2018</stp>
        <stp>1</stp>
        <tr r="J1835" s="1"/>
      </tp>
      <tp>
        <v>1.4312754030999999</v>
        <stp/>
        <stp>EM_S_FA_NETPROFITMARGIN</stp>
        <stp>3</stp>
        <stp>600490</stp>
        <stp>12/31/2018</stp>
        <stp>1</stp>
        <tr r="J2114" s="1"/>
      </tp>
      <tp>
        <v>54.167029541799998</v>
        <stp/>
        <stp>EM_S_FA_NETPROFITMARGIN</stp>
        <stp>3</stp>
        <stp>600790</stp>
        <stp>12/31/2018</stp>
        <stp>1</stp>
        <tr r="J2647" s="1"/>
      </tp>
      <tp>
        <v>5.3299057371999998</v>
        <stp/>
        <stp>EM_S_FA_NETPROFITMARGIN</stp>
        <stp>3</stp>
        <stp>600690</stp>
        <stp>12/31/2018</stp>
        <stp>1</stp>
        <tr r="J748" s="1"/>
      </tp>
      <tp>
        <v>19.8361850583</v>
        <stp/>
        <stp>EM_S_FA_NETPROFITMARGIN</stp>
        <stp>3</stp>
        <stp>603993</stp>
        <stp>12/31/2018</stp>
        <stp>1</stp>
        <tr r="J1415" s="1"/>
      </tp>
      <tp>
        <v>25.752844934500001</v>
        <stp/>
        <stp>EM_S_FA_NETPROFITMARGIN</stp>
        <stp>3</stp>
        <stp>603393</stp>
        <stp>12/31/2018</stp>
        <stp>1</stp>
        <tr r="J2735" s="1"/>
      </tp>
      <tp>
        <v>24.520445812199998</v>
        <stp/>
        <stp>EM_S_FA_NETPROFITMARGIN</stp>
        <stp>3</stp>
        <stp>603693</stp>
        <stp>12/31/2018</stp>
        <stp>1</stp>
        <tr r="J3179" s="1"/>
      </tp>
      <tp>
        <v>7.4883993622</v>
        <stp/>
        <stp>EM_S_FA_NETPROFITMARGIN</stp>
        <stp>3</stp>
        <stp>600993</stp>
        <stp>12/31/2018</stp>
        <stp>1</stp>
        <tr r="J973" s="1"/>
      </tp>
      <tp>
        <v>4.6902861878</v>
        <stp/>
        <stp>EM_S_FA_NETPROFITMARGIN</stp>
        <stp>3</stp>
        <stp>600893</stp>
        <stp>12/31/2018</stp>
        <stp>1</stp>
        <tr r="J2384" s="1"/>
      </tp>
      <tp>
        <v>12.9392902831</v>
        <stp/>
        <stp>EM_S_FA_NETPROFITMARGIN</stp>
        <stp>3</stp>
        <stp>600193</stp>
        <stp>12/31/2018</stp>
        <stp>1</stp>
        <tr r="J1171" s="1"/>
      </tp>
      <tp>
        <v>6.2831673618000004</v>
        <stp/>
        <stp>EM_S_FA_NETPROFITMARGIN</stp>
        <stp>3</stp>
        <stp>600093</stp>
        <stp>12/31/2018</stp>
        <stp>1</stp>
        <tr r="J227" s="1"/>
      </tp>
      <tp>
        <v>7.4421739103000002</v>
        <stp/>
        <stp>EM_S_FA_NETPROFITMARGIN</stp>
        <stp>3</stp>
        <stp>600393</stp>
        <stp>12/31/2018</stp>
        <stp>1</stp>
        <tr r="J815" s="1"/>
      </tp>
      <tp>
        <v>2.5407212271000001</v>
        <stp/>
        <stp>EM_S_FA_NETPROFITMARGIN</stp>
        <stp>3</stp>
        <stp>600293</stp>
        <stp>12/31/2018</stp>
        <stp>1</stp>
        <tr r="J3052" s="1"/>
      </tp>
      <tp>
        <v>15.278402312900001</v>
        <stp/>
        <stp>EM_S_FA_NETPROFITMARGIN</stp>
        <stp>3</stp>
        <stp>600593</stp>
        <stp>12/31/2018</stp>
        <stp>1</stp>
        <tr r="J387" s="1"/>
      </tp>
      <tp>
        <v>3.0456677094</v>
        <stp/>
        <stp>EM_S_FA_NETPROFITMARGIN</stp>
        <stp>3</stp>
        <stp>600493</stp>
        <stp>12/31/2018</stp>
        <stp>1</stp>
        <tr r="J2813" s="1"/>
      </tp>
      <tp>
        <v>13.494952617299999</v>
        <stp/>
        <stp>EM_S_FA_NETPROFITMARGIN</stp>
        <stp>3</stp>
        <stp>600793</stp>
        <stp>12/31/2018</stp>
        <stp>1</stp>
        <tr r="J1843" s="1"/>
      </tp>
      <tp>
        <v>9.2206634892999997</v>
        <stp/>
        <stp>EM_S_FA_NETPROFITMARGIN</stp>
        <stp>3</stp>
        <stp>600693</stp>
        <stp>12/31/2018</stp>
        <stp>1</stp>
        <tr r="J2373" s="1"/>
      </tp>
      <tp>
        <v>5.1510990333000004</v>
        <stp/>
        <stp>EM_S_FA_NETPROFITMARGIN</stp>
        <stp>3</stp>
        <stp>601992</stp>
        <stp>12/31/2018</stp>
        <stp>1</stp>
        <tr r="J2099" s="1"/>
      </tp>
      <tp>
        <v>1.2337654301000001</v>
        <stp/>
        <stp>EM_S_FA_NETPROFITMARGIN</stp>
        <stp>3</stp>
        <stp>600992</stp>
        <stp>12/31/2018</stp>
        <stp>1</stp>
        <tr r="J2383" s="1"/>
      </tp>
      <tp>
        <v>-562.98588544790005</v>
        <stp/>
        <stp>EM_S_FA_NETPROFITMARGIN</stp>
        <stp>3</stp>
        <stp>600892</stp>
        <stp>12/31/2018</stp>
        <stp>1</stp>
        <tr r="J3227" s="1"/>
      </tp>
      <tp>
        <v>1.1272191024</v>
        <stp/>
        <stp>EM_S_FA_NETPROFITMARGIN</stp>
        <stp>3</stp>
        <stp>600192</stp>
        <stp>12/31/2018</stp>
        <stp>1</stp>
        <tr r="J1193" s="1"/>
      </tp>
      <tp>
        <v>-450.1305614291</v>
        <stp/>
        <stp>EM_S_FA_NETPROFITMARGIN</stp>
        <stp>3</stp>
        <stp>600092</stp>
        <stp>12/31/2018</stp>
        <stp>1</stp>
        <tr r="J2291" s="1"/>
      </tp>
      <tp>
        <v>4.3730396343000004</v>
        <stp/>
        <stp>EM_S_FA_NETPROFITMARGIN</stp>
        <stp>3</stp>
        <stp>600392</stp>
        <stp>12/31/2018</stp>
        <stp>1</stp>
        <tr r="J1949" s="1"/>
      </tp>
      <tp>
        <v>3.6842104839999998</v>
        <stp/>
        <stp>EM_S_FA_NETPROFITMARGIN</stp>
        <stp>3</stp>
        <stp>600292</stp>
        <stp>12/31/2018</stp>
        <stp>1</stp>
        <tr r="J1533" s="1"/>
      </tp>
      <tp>
        <v>8.2410532487000001</v>
        <stp/>
        <stp>EM_S_FA_NETPROFITMARGIN</stp>
        <stp>3</stp>
        <stp>600592</stp>
        <stp>12/31/2018</stp>
        <stp>1</stp>
        <tr r="J53" s="1"/>
      </tp>
      <tp>
        <v>3.6486823605000001</v>
        <stp/>
        <stp>EM_S_FA_NETPROFITMARGIN</stp>
        <stp>3</stp>
        <stp>600792</stp>
        <stp>12/31/2018</stp>
        <stp>1</stp>
        <tr r="J952" s="1"/>
      </tp>
      <tp>
        <v>7.0509441645999997</v>
        <stp/>
        <stp>EM_S_FA_NETPROFITMARGIN</stp>
        <stp>3</stp>
        <stp>600692</stp>
        <stp>12/31/2018</stp>
        <stp>1</stp>
        <tr r="J2781" s="1"/>
      </tp>
      <tp>
        <v>7.1092392028000004</v>
        <stp/>
        <stp>EM_S_FA_NETPROFITMARGIN</stp>
        <stp>3</stp>
        <stp>603895</stp>
        <stp>12/31/2018</stp>
        <stp>1</stp>
        <tr r="J2804" s="1"/>
      </tp>
      <tp>
        <v>13.226138477399999</v>
        <stp/>
        <stp>EM_S_FA_NETPROFITMARGIN</stp>
        <stp>3</stp>
        <stp>603595</stp>
        <stp>12/31/2018</stp>
        <stp>1</stp>
        <tr r="J3013" s="1"/>
      </tp>
      <tp>
        <v>21.8449321901</v>
        <stp/>
        <stp>EM_S_FA_NETPROFITMARGIN</stp>
        <stp>3</stp>
        <stp>601595</stp>
        <stp>12/31/2018</stp>
        <stp>1</stp>
        <tr r="J1270" s="1"/>
      </tp>
      <tp>
        <v>14.6221059046</v>
        <stp/>
        <stp>EM_S_FA_NETPROFITMARGIN</stp>
        <stp>3</stp>
        <stp>600995</stp>
        <stp>12/31/2018</stp>
        <stp>1</stp>
        <tr r="J1373" s="1"/>
      </tp>
      <tp>
        <v>43.366277917700003</v>
        <stp/>
        <stp>EM_S_FA_NETPROFITMARGIN</stp>
        <stp>3</stp>
        <stp>600895</stp>
        <stp>12/31/2018</stp>
        <stp>1</stp>
        <tr r="J2139" s="1"/>
      </tp>
      <tp>
        <v>10.1490208807</v>
        <stp/>
        <stp>EM_S_FA_NETPROFITMARGIN</stp>
        <stp>3</stp>
        <stp>600195</stp>
        <stp>12/31/2018</stp>
        <stp>1</stp>
        <tr r="J1893" s="1"/>
      </tp>
      <tp>
        <v>5.9700556379999998</v>
        <stp/>
        <stp>EM_S_FA_NETPROFITMARGIN</stp>
        <stp>3</stp>
        <stp>600095</stp>
        <stp>12/31/2018</stp>
        <stp>1</stp>
        <tr r="J100" s="1"/>
      </tp>
      <tp>
        <v>15.5070203331</v>
        <stp/>
        <stp>EM_S_FA_NETPROFITMARGIN</stp>
        <stp>3</stp>
        <stp>600395</stp>
        <stp>12/31/2018</stp>
        <stp>1</stp>
        <tr r="J1227" s="1"/>
      </tp>
      <tp>
        <v>6.5000998253000004</v>
        <stp/>
        <stp>EM_S_FA_NETPROFITMARGIN</stp>
        <stp>3</stp>
        <stp>600295</stp>
        <stp>12/31/2018</stp>
        <stp>1</stp>
        <tr r="J1322" s="1"/>
      </tp>
      <tp>
        <v>-35.446551053999997</v>
        <stp/>
        <stp>EM_S_FA_NETPROFITMARGIN</stp>
        <stp>3</stp>
        <stp>600595</stp>
        <stp>12/31/2018</stp>
        <stp>1</stp>
        <tr r="J1620" s="1"/>
      </tp>
      <tp>
        <v>2.5990413555999998</v>
        <stp/>
        <stp>EM_S_FA_NETPROFITMARGIN</stp>
        <stp>3</stp>
        <stp>600495</stp>
        <stp>12/31/2018</stp>
        <stp>1</stp>
        <tr r="J2218" s="1"/>
      </tp>
      <tp>
        <v>2.7619577496000001</v>
        <stp/>
        <stp>EM_S_FA_NETPROFITMARGIN</stp>
        <stp>3</stp>
        <stp>600795</stp>
        <stp>12/31/2018</stp>
        <stp>1</stp>
        <tr r="J2731" s="1"/>
      </tp>
      <tp>
        <v>135.87799335989999</v>
        <stp/>
        <stp>EM_S_FA_NETPROFITMARGIN</stp>
        <stp>3</stp>
        <stp>600695</stp>
        <stp>12/31/2018</stp>
        <stp>1</stp>
        <tr r="J307" s="1"/>
      </tp>
      <tp>
        <v>2.5219473447</v>
        <stp/>
        <stp>EM_S_FA_NETPROFITMARGIN</stp>
        <stp>3</stp>
        <stp>600894</stp>
        <stp>12/31/2018</stp>
        <stp>1</stp>
        <tr r="J802" s="1"/>
      </tp>
      <tp>
        <v>5.6980458144000004</v>
        <stp/>
        <stp>EM_S_FA_NETPROFITMARGIN</stp>
        <stp>3</stp>
        <stp>600094</stp>
        <stp>12/31/2018</stp>
        <stp>1</stp>
        <tr r="J451" s="1"/>
      </tp>
      <tp>
        <v>-17.6284049649</v>
        <stp/>
        <stp>EM_S_FA_NETPROFITMARGIN</stp>
        <stp>3</stp>
        <stp>600594</stp>
        <stp>12/31/2018</stp>
        <stp>1</stp>
        <tr r="J2856" s="1"/>
      </tp>
      <tp>
        <v>3.3153247372000001</v>
        <stp/>
        <stp>EM_S_FA_NETPROFITMARGIN</stp>
        <stp>3</stp>
        <stp>600794</stp>
        <stp>12/31/2018</stp>
        <stp>1</stp>
        <tr r="J627" s="1"/>
      </tp>
      <tp>
        <v>4.4035203374999998</v>
        <stp/>
        <stp>EM_S_FA_NETPROFITMARGIN</stp>
        <stp>3</stp>
        <stp>600694</stp>
        <stp>12/31/2018</stp>
        <stp>1</stp>
        <tr r="J1594" s="1"/>
      </tp>
      <tp>
        <v>14.676887237900001</v>
        <stp/>
        <stp>EM_S_FA_NETPROFITMARGIN</stp>
        <stp>3</stp>
        <stp>603997</stp>
        <stp>12/31/2018</stp>
        <stp>1</stp>
        <tr r="J1914" s="1"/>
      </tp>
      <tp>
        <v>3.6308999397999999</v>
        <stp/>
        <stp>EM_S_FA_NETPROFITMARGIN</stp>
        <stp>3</stp>
        <stp>603897</stp>
        <stp>12/31/2018</stp>
        <stp>1</stp>
        <tr r="J2927" s="1"/>
      </tp>
      <tp>
        <v>8.7907185385000002</v>
        <stp/>
        <stp>EM_S_FA_NETPROFITMARGIN</stp>
        <stp>3</stp>
        <stp>603197</stp>
        <stp>12/31/2018</stp>
        <stp>1</stp>
        <tr r="J545" s="1"/>
      </tp>
      <tp>
        <v>29.2387402572</v>
        <stp/>
        <stp>EM_S_FA_NETPROFITMARGIN</stp>
        <stp>3</stp>
        <stp>603797</stp>
        <stp>12/31/2018</stp>
        <stp>1</stp>
        <tr r="J2635" s="1"/>
      </tp>
      <tp>
        <v>41.348830125100001</v>
        <stp/>
        <stp>EM_S_FA_NETPROFITMARGIN</stp>
        <stp>3</stp>
        <stp>601997</stp>
        <stp>12/31/2018</stp>
        <stp>1</stp>
        <tr r="J2788" s="1"/>
      </tp>
      <tp>
        <v>7.8886228262999998</v>
        <stp/>
        <stp>EM_S_FA_NETPROFITMARGIN</stp>
        <stp>3</stp>
        <stp>600997</stp>
        <stp>12/31/2018</stp>
        <stp>1</stp>
        <tr r="J2542" s="1"/>
      </tp>
      <tp>
        <v>29.642503832700001</v>
        <stp/>
        <stp>EM_S_FA_NETPROFITMARGIN</stp>
        <stp>3</stp>
        <stp>600897</stp>
        <stp>12/31/2018</stp>
        <stp>1</stp>
        <tr r="J2061" s="1"/>
      </tp>
      <tp>
        <v>20.421785287100001</v>
        <stp/>
        <stp>EM_S_FA_NETPROFITMARGIN</stp>
        <stp>3</stp>
        <stp>600197</stp>
        <stp>12/31/2018</stp>
        <stp>1</stp>
        <tr r="J1198" s="1"/>
      </tp>
      <tp>
        <v>7.6445718145999999</v>
        <stp/>
        <stp>EM_S_FA_NETPROFITMARGIN</stp>
        <stp>3</stp>
        <stp>600097</stp>
        <stp>12/31/2018</stp>
        <stp>1</stp>
        <tr r="J2540" s="1"/>
      </tp>
      <tp>
        <v>1.2174897028</v>
        <stp/>
        <stp>EM_S_FA_NETPROFITMARGIN</stp>
        <stp>3</stp>
        <stp>600397</stp>
        <stp>12/31/2018</stp>
        <stp>1</stp>
        <tr r="J1122" s="1"/>
      </tp>
      <tp>
        <v>2.3914374450999998</v>
        <stp/>
        <stp>EM_S_FA_NETPROFITMARGIN</stp>
        <stp>3</stp>
        <stp>600297</stp>
        <stp>12/31/2018</stp>
        <stp>1</stp>
        <tr r="J3057" s="1"/>
      </tp>
      <tp>
        <v>2.5093158820000001</v>
        <stp/>
        <stp>EM_S_FA_NETPROFITMARGIN</stp>
        <stp>3</stp>
        <stp>600597</stp>
        <stp>12/31/2018</stp>
        <stp>1</stp>
        <tr r="J587" s="1"/>
      </tp>
      <tp>
        <v>3.2208354953999998</v>
        <stp/>
        <stp>EM_S_FA_NETPROFITMARGIN</stp>
        <stp>3</stp>
        <stp>600497</stp>
        <stp>12/31/2018</stp>
        <stp>1</stp>
        <tr r="J1854" s="1"/>
      </tp>
      <tp>
        <v>5.8207578667000002</v>
        <stp/>
        <stp>EM_S_FA_NETPROFITMARGIN</stp>
        <stp>3</stp>
        <stp>600797</stp>
        <stp>12/31/2018</stp>
        <stp>1</stp>
        <tr r="J719" s="1"/>
      </tp>
      <tp>
        <v>3.907516159</v>
        <stp/>
        <stp>EM_S_FA_NETPROFITMARGIN</stp>
        <stp>3</stp>
        <stp>600697</stp>
        <stp>12/31/2018</stp>
        <stp>1</stp>
        <tr r="J2616" s="1"/>
      </tp>
      <tp>
        <v>-1.1657341729999999</v>
        <stp/>
        <stp>EM_S_FA_NETPROFITMARGIN</stp>
        <stp>3</stp>
        <stp>603996</stp>
        <stp>12/31/2018</stp>
        <stp>1</stp>
        <tr r="J3243" s="1"/>
      </tp>
      <tp>
        <v>21.048488168999999</v>
        <stp/>
        <stp>EM_S_FA_NETPROFITMARGIN</stp>
        <stp>3</stp>
        <stp>603896</stp>
        <stp>12/31/2018</stp>
        <stp>1</stp>
        <tr r="J1605" s="1"/>
      </tp>
      <tp>
        <v>2.4954201200999999</v>
        <stp/>
        <stp>EM_S_FA_NETPROFITMARGIN</stp>
        <stp>3</stp>
        <stp>603196</stp>
        <stp>12/31/2018</stp>
        <stp>1</stp>
        <tr r="J3158" s="1"/>
      </tp>
      <tp>
        <v>26.575930426500001</v>
        <stp/>
        <stp>EM_S_FA_NETPROFITMARGIN</stp>
        <stp>3</stp>
        <stp>603096</stp>
        <stp>12/31/2018</stp>
        <stp>1</stp>
        <tr r="J2758" s="1"/>
      </tp>
      <tp>
        <v>11.934072474200001</v>
        <stp/>
        <stp>EM_S_FA_NETPROFITMARGIN</stp>
        <stp>3</stp>
        <stp>603396</stp>
        <stp>12/31/2018</stp>
        <stp>1</stp>
        <tr r="J3014" s="1"/>
      </tp>
      <tp>
        <v>11.594123891600001</v>
        <stp/>
        <stp>EM_S_FA_NETPROFITMARGIN</stp>
        <stp>3</stp>
        <stp>603596</stp>
        <stp>12/31/2018</stp>
        <stp>1</stp>
        <tr r="J2425" s="1"/>
      </tp>
      <tp>
        <v>23.878721186300002</v>
        <stp/>
        <stp>EM_S_FA_NETPROFITMARGIN</stp>
        <stp>3</stp>
        <stp>603496</stp>
        <stp>12/31/2018</stp>
        <stp>1</stp>
        <tr r="J2724" s="1"/>
      </tp>
      <tp>
        <v>11.6463598095</v>
        <stp/>
        <stp>EM_S_FA_NETPROFITMARGIN</stp>
        <stp>3</stp>
        <stp>603696</stp>
        <stp>12/31/2018</stp>
        <stp>1</stp>
        <tr r="J2853" s="1"/>
      </tp>
      <tp>
        <v>8.7869005409999996</v>
        <stp/>
        <stp>EM_S_FA_NETPROFITMARGIN</stp>
        <stp>3</stp>
        <stp>601996</stp>
        <stp>12/31/2018</stp>
        <stp>1</stp>
        <tr r="J2340" s="1"/>
      </tp>
      <tp>
        <v>9.6821009628999999</v>
        <stp/>
        <stp>EM_S_FA_NETPROFITMARGIN</stp>
        <stp>3</stp>
        <stp>600996</stp>
        <stp>12/31/2018</stp>
        <stp>1</stp>
        <tr r="J1043" s="1"/>
      </tp>
      <tp>
        <v>222.203584302</v>
        <stp/>
        <stp>EM_S_FA_NETPROFITMARGIN</stp>
        <stp>3</stp>
        <stp>600896</stp>
        <stp>12/31/2018</stp>
        <stp>1</stp>
        <tr r="J1511" s="1"/>
      </tp>
      <tp>
        <v>12.1191467227</v>
        <stp/>
        <stp>EM_S_FA_NETPROFITMARGIN</stp>
        <stp>3</stp>
        <stp>600196</stp>
        <stp>12/31/2018</stp>
        <stp>1</stp>
        <tr r="J1604" s="1"/>
      </tp>
      <tp>
        <v>0.47463520660000003</v>
        <stp/>
        <stp>EM_S_FA_NETPROFITMARGIN</stp>
        <stp>3</stp>
        <stp>600096</stp>
        <stp>12/31/2018</stp>
        <stp>1</stp>
        <tr r="J2005" s="1"/>
      </tp>
      <tp>
        <v>-12.454872485699999</v>
        <stp/>
        <stp>EM_S_FA_NETPROFITMARGIN</stp>
        <stp>3</stp>
        <stp>600396</stp>
        <stp>12/31/2018</stp>
        <stp>1</stp>
        <tr r="J2422" s="1"/>
      </tp>
      <tp>
        <v>0</v>
        <stp/>
        <stp>EM_S_FA_NETPROFITMARGIN</stp>
        <stp>3</stp>
        <stp>600296</stp>
        <stp>12/31/2018</stp>
        <stp>1</stp>
        <tr r="J2300" s="1"/>
      </tp>
      <tp>
        <v>11.3701500381</v>
        <stp/>
        <stp>EM_S_FA_NETPROFITMARGIN</stp>
        <stp>3</stp>
        <stp>600596</stp>
        <stp>12/31/2018</stp>
        <stp>1</stp>
        <tr r="J2764" s="1"/>
      </tp>
      <tp>
        <v>2.0989813517</v>
        <stp/>
        <stp>EM_S_FA_NETPROFITMARGIN</stp>
        <stp>3</stp>
        <stp>600496</stp>
        <stp>12/31/2018</stp>
        <stp>1</stp>
        <tr r="J1831" s="1"/>
      </tp>
      <tp>
        <v>-8.8288934142999995</v>
        <stp/>
        <stp>EM_S_FA_NETPROFITMARGIN</stp>
        <stp>3</stp>
        <stp>600796</stp>
        <stp>12/31/2018</stp>
        <stp>1</stp>
        <tr r="J1931" s="1"/>
      </tp>
      <tp>
        <v>1.8300531262999999</v>
        <stp/>
        <stp>EM_S_FA_NETPROFITMARGIN</stp>
        <stp>3</stp>
        <stp>600696</stp>
        <stp>12/31/2018</stp>
        <stp>1</stp>
        <tr r="J71" s="1"/>
      </tp>
      <tp>
        <v>2.9318747346744898</v>
        <stp/>
        <stp>EM_S_VAL_PS_TTM</stp>
        <stp>2</stp>
        <stp>603396</stp>
        <stp>12/31/2018</stp>
        <tr r="O3014" s="1"/>
      </tp>
      <tp>
        <v>3.9015305302460499</v>
        <stp/>
        <stp>EM_S_VAL_PS_TTM</stp>
        <stp>2</stp>
        <stp>603393</stp>
        <stp>12/31/2018</stp>
        <tr r="O2735" s="1"/>
      </tp>
      <tp>
        <v>1.5993346904399599</v>
        <stp/>
        <stp>EM_S_VAL_PS_TTM</stp>
        <stp>2</stp>
        <stp>603399</stp>
        <stp>12/31/2018</stp>
        <tr r="O1095" s="1"/>
      </tp>
      <tp>
        <v>6.6888081931878602</v>
        <stp/>
        <stp>EM_S_VAL_PS_TTM</stp>
        <stp>2</stp>
        <stp>603398</stp>
        <stp>12/31/2018</stp>
        <tr r="O2667" s="1"/>
      </tp>
      <tp>
        <v>8.0756807637938799</v>
        <stp/>
        <stp>EM_S_VAL_PS_TTM</stp>
        <stp>2</stp>
        <stp>603387</stp>
        <stp>12/31/2018</stp>
        <tr r="O2919" s="1"/>
      </tp>
      <tp>
        <v>2.8660278387851701</v>
        <stp/>
        <stp>EM_S_VAL_PS_TTM</stp>
        <stp>2</stp>
        <stp>603386</stp>
        <stp>12/31/2018</stp>
        <tr r="O2198" s="1"/>
      </tp>
      <tp>
        <v>1.0410641011577899</v>
        <stp/>
        <stp>EM_S_VAL_PS_TTM</stp>
        <stp>2</stp>
        <stp>603385</stp>
        <stp>12/31/2018</stp>
        <tr r="O711" s="1"/>
      </tp>
      <tp>
        <v>12.7212332546792</v>
        <stp/>
        <stp>EM_S_VAL_PS_TTM</stp>
        <stp>2</stp>
        <stp>603383</stp>
        <stp>12/31/2018</stp>
        <tr r="O88" s="1"/>
      </tp>
      <tp>
        <v>2.6245058633670699</v>
        <stp/>
        <stp>EM_S_VAL_PS_TTM</stp>
        <stp>2</stp>
        <stp>603380</stp>
        <stp>12/31/2018</stp>
        <tr r="O1980" s="1"/>
      </tp>
      <tp>
        <v>4.6864363055005498</v>
        <stp/>
        <stp>EM_S_VAL_PS_TTM</stp>
        <stp>2</stp>
        <stp>603389</stp>
        <stp>12/31/2018</stp>
        <tr r="O3343" s="1"/>
      </tp>
      <tp>
        <v>1.86739511733174</v>
        <stp/>
        <stp>EM_S_VAL_PS_TTM</stp>
        <stp>2</stp>
        <stp>603388</stp>
        <stp>12/31/2018</stp>
        <tr r="O3051" s="1"/>
      </tp>
      <tp>
        <v>3.74012102607549</v>
        <stp/>
        <stp>EM_S_VAL_PS_TTM</stp>
        <stp>2</stp>
        <stp>603357</stp>
        <stp>12/31/2018</stp>
        <tr r="O3354" s="1"/>
      </tp>
      <tp>
        <v>2.3619993958588701</v>
        <stp/>
        <stp>EM_S_VAL_PS_TTM</stp>
        <stp>2</stp>
        <stp>603356</stp>
        <stp>12/31/2018</stp>
        <tr r="O3040" s="1"/>
      </tp>
      <tp>
        <v>1.44993067258429</v>
        <stp/>
        <stp>EM_S_VAL_PS_TTM</stp>
        <stp>2</stp>
        <stp>603355</stp>
        <stp>12/31/2018</stp>
        <tr r="O1769" s="1"/>
      </tp>
      <tp>
        <v>3.3710068326395599</v>
        <stp/>
        <stp>EM_S_VAL_PS_TTM</stp>
        <stp>2</stp>
        <stp>603359</stp>
        <stp>12/31/2018</stp>
        <tr r="O2716" s="1"/>
      </tp>
      <tp>
        <v>0.91927437499260301</v>
        <stp/>
        <stp>EM_S_VAL_PS_TTM</stp>
        <stp>2</stp>
        <stp>603358</stp>
        <stp>12/31/2018</stp>
        <tr r="O844" s="1"/>
      </tp>
      <tp>
        <v>1.9944917105805799</v>
        <stp/>
        <stp>EM_S_VAL_PS_TTM</stp>
        <stp>2</stp>
        <stp>603345</stp>
        <stp>12/31/2018</stp>
        <tr r="O351" s="1"/>
      </tp>
      <tp>
        <v>2.93582819256009</v>
        <stp/>
        <stp>EM_S_VAL_PS_TTM</stp>
        <stp>2</stp>
        <stp>603348</stp>
        <stp>12/31/2018</stp>
        <tr r="O2404" s="1"/>
      </tp>
      <tp>
        <v>8.2230420604351906</v>
        <stp/>
        <stp>EM_S_VAL_PS_TTM</stp>
        <stp>2</stp>
        <stp>603377</stp>
        <stp>12/31/2018</stp>
        <tr r="O1083" s="1"/>
      </tp>
      <tp>
        <v>1.6862306883025</v>
        <stp/>
        <stp>EM_S_VAL_PS_TTM</stp>
        <stp>2</stp>
        <stp>603378</stp>
        <stp>12/31/2018</stp>
        <tr r="O357" s="1"/>
      </tp>
      <tp>
        <v>1.8158817714236299</v>
        <stp/>
        <stp>EM_S_VAL_PS_TTM</stp>
        <stp>2</stp>
        <stp>603367</stp>
        <stp>12/31/2018</stp>
        <tr r="O1963" s="1"/>
      </tp>
      <tp>
        <v>1.0651647403661599</v>
        <stp/>
        <stp>EM_S_VAL_PS_TTM</stp>
        <stp>2</stp>
        <stp>603366</stp>
        <stp>12/31/2018</stp>
        <tr r="O1104" s="1"/>
      </tp>
      <tp>
        <v>1.48665925534105</v>
        <stp/>
        <stp>EM_S_VAL_PS_TTM</stp>
        <stp>2</stp>
        <stp>603365</stp>
        <stp>12/31/2018</stp>
        <tr r="O2148" s="1"/>
      </tp>
      <tp>
        <v>0.63053331676693802</v>
        <stp/>
        <stp>EM_S_VAL_PS_TTM</stp>
        <stp>2</stp>
        <stp>603363</stp>
        <stp>12/31/2018</stp>
        <tr r="O230" s="1"/>
      </tp>
      <tp>
        <v>4.4643656873138298</v>
        <stp/>
        <stp>EM_S_VAL_PS_TTM</stp>
        <stp>2</stp>
        <stp>603360</stp>
        <stp>12/31/2018</stp>
        <tr r="O51" s="1"/>
      </tp>
      <tp>
        <v>4.8818735322795499</v>
        <stp/>
        <stp>EM_S_VAL_PS_TTM</stp>
        <stp>2</stp>
        <stp>603369</stp>
        <stp>12/31/2018</stp>
        <tr r="O109" s="1"/>
      </tp>
      <tp>
        <v>0.60970907010103303</v>
        <stp/>
        <stp>EM_S_VAL_PS_TTM</stp>
        <stp>2</stp>
        <stp>603368</stp>
        <stp>12/31/2018</stp>
        <tr r="O1009" s="1"/>
      </tp>
      <tp>
        <v>2.08878402239973</v>
        <stp/>
        <stp>EM_S_VAL_PS_TTM</stp>
        <stp>2</stp>
        <stp>603316</stp>
        <stp>12/31/2018</stp>
        <tr r="O1325" s="1"/>
      </tp>
      <tp>
        <v>7.2342197323034902</v>
        <stp/>
        <stp>EM_S_VAL_PS_TTM</stp>
        <stp>2</stp>
        <stp>603315</stp>
        <stp>12/31/2018</stp>
        <tr r="O2056" s="1"/>
      </tp>
      <tp>
        <v>1.81110427997521</v>
        <stp/>
        <stp>EM_S_VAL_PS_TTM</stp>
        <stp>2</stp>
        <stp>603313</stp>
        <stp>12/31/2018</stp>
        <tr r="O2362" s="1"/>
      </tp>
      <tp>
        <v>3.8699746609564198</v>
        <stp/>
        <stp>EM_S_VAL_PS_TTM</stp>
        <stp>2</stp>
        <stp>603311</stp>
        <stp>12/31/2018</stp>
        <tr r="O1757" s="1"/>
      </tp>
      <tp>
        <v>1.8271812246333701</v>
        <stp/>
        <stp>EM_S_VAL_PS_TTM</stp>
        <stp>2</stp>
        <stp>603319</stp>
        <stp>12/31/2018</stp>
        <tr r="O2802" s="1"/>
      </tp>
      <tp>
        <v>10.8026402680354</v>
        <stp/>
        <stp>EM_S_VAL_PS_TTM</stp>
        <stp>2</stp>
        <stp>603318</stp>
        <stp>12/31/2018</stp>
        <tr r="O2674" s="1"/>
      </tp>
      <tp>
        <v>4.2298799318851996</v>
        <stp/>
        <stp>EM_S_VAL_PS_TTM</stp>
        <stp>2</stp>
        <stp>603306</stp>
        <stp>12/31/2018</stp>
        <tr r="O2468" s="1"/>
      </tp>
      <tp>
        <v>11.8819372969106</v>
        <stp/>
        <stp>EM_S_VAL_PS_TTM</stp>
        <stp>2</stp>
        <stp>603305</stp>
        <stp>12/31/2018</stp>
        <tr r="O1751" s="1"/>
      </tp>
      <tp>
        <v>1.25518333939896</v>
        <stp/>
        <stp>EM_S_VAL_PS_TTM</stp>
        <stp>2</stp>
        <stp>603303</stp>
        <stp>12/31/2018</stp>
        <tr r="O2847" s="1"/>
      </tp>
      <tp>
        <v>0</v>
        <stp/>
        <stp>EM_S_VAL_PS_TTM</stp>
        <stp>2</stp>
        <stp>603302</stp>
        <stp>12/31/2018</stp>
        <tr r="O14" s="1"/>
      </tp>
      <tp>
        <v>2.2881532566549798</v>
        <stp/>
        <stp>EM_S_VAL_PS_TTM</stp>
        <stp>2</stp>
        <stp>603301</stp>
        <stp>12/31/2018</stp>
        <tr r="O3245" s="1"/>
      </tp>
      <tp>
        <v>2.7376115022791101</v>
        <stp/>
        <stp>EM_S_VAL_PS_TTM</stp>
        <stp>2</stp>
        <stp>603300</stp>
        <stp>12/31/2018</stp>
        <tr r="O370" s="1"/>
      </tp>
      <tp>
        <v>2.8158786310542601</v>
        <stp/>
        <stp>EM_S_VAL_PS_TTM</stp>
        <stp>2</stp>
        <stp>603309</stp>
        <stp>12/31/2018</stp>
        <tr r="O620" s="1"/>
      </tp>
      <tp>
        <v>2.1714372555105301</v>
        <stp/>
        <stp>EM_S_VAL_PS_TTM</stp>
        <stp>2</stp>
        <stp>603308</stp>
        <stp>12/31/2018</stp>
        <tr r="O218" s="1"/>
      </tp>
      <tp>
        <v>2.8948865889510298</v>
        <stp/>
        <stp>EM_S_VAL_PS_TTM</stp>
        <stp>2</stp>
        <stp>603337</stp>
        <stp>12/31/2018</stp>
        <tr r="O3338" s="1"/>
      </tp>
      <tp>
        <v>3.8668038313009601</v>
        <stp/>
        <stp>EM_S_VAL_PS_TTM</stp>
        <stp>2</stp>
        <stp>603336</stp>
        <stp>12/31/2018</stp>
        <tr r="O2819" s="1"/>
      </tp>
      <tp>
        <v>2.5240051292672199</v>
        <stp/>
        <stp>EM_S_VAL_PS_TTM</stp>
        <stp>2</stp>
        <stp>603335</stp>
        <stp>12/31/2018</stp>
        <tr r="O3070" s="1"/>
      </tp>
      <tp>
        <v>1.92136415947905</v>
        <stp/>
        <stp>EM_S_VAL_PS_TTM</stp>
        <stp>2</stp>
        <stp>603333</stp>
        <stp>12/31/2018</stp>
        <tr r="O196" s="1"/>
      </tp>
      <tp>
        <v>2.4101095444935101</v>
        <stp/>
        <stp>EM_S_VAL_PS_TTM</stp>
        <stp>2</stp>
        <stp>603331</stp>
        <stp>12/31/2018</stp>
        <tr r="O1621" s="1"/>
      </tp>
      <tp>
        <v>2.89505782459536</v>
        <stp/>
        <stp>EM_S_VAL_PS_TTM</stp>
        <stp>2</stp>
        <stp>603330</stp>
        <stp>12/31/2018</stp>
        <tr r="O3151" s="1"/>
      </tp>
      <tp>
        <v>2.6803300634048299</v>
        <stp/>
        <stp>EM_S_VAL_PS_TTM</stp>
        <stp>2</stp>
        <stp>603339</stp>
        <stp>12/31/2018</stp>
        <tr r="O2771" s="1"/>
      </tp>
      <tp>
        <v>8.7231353040716701</v>
        <stp/>
        <stp>EM_S_VAL_PS_TTM</stp>
        <stp>2</stp>
        <stp>603338</stp>
        <stp>12/31/2018</stp>
        <tr r="O1029" s="1"/>
      </tp>
      <tp>
        <v>2.3676846606042501</v>
        <stp/>
        <stp>EM_S_VAL_PS_TTM</stp>
        <stp>2</stp>
        <stp>603326</stp>
        <stp>12/31/2018</stp>
        <tr r="O798" s="1"/>
      </tp>
      <tp>
        <v>2.9860280594114501</v>
        <stp/>
        <stp>EM_S_VAL_PS_TTM</stp>
        <stp>2</stp>
        <stp>603323</stp>
        <stp>12/31/2018</stp>
        <tr r="O2888" s="1"/>
      </tp>
      <tp>
        <v>3.1081043376760999</v>
        <stp/>
        <stp>EM_S_VAL_PS_TTM</stp>
        <stp>2</stp>
        <stp>603322</stp>
        <stp>12/31/2018</stp>
        <tr r="O3308" s="1"/>
      </tp>
      <tp>
        <v>3.1709992794848199</v>
        <stp/>
        <stp>EM_S_VAL_PS_TTM</stp>
        <stp>2</stp>
        <stp>603321</stp>
        <stp>12/31/2018</stp>
        <tr r="O1483" s="1"/>
      </tp>
      <tp>
        <v>2.8050689035382499</v>
        <stp/>
        <stp>EM_S_VAL_PS_TTM</stp>
        <stp>2</stp>
        <stp>603320</stp>
        <stp>12/31/2018</stp>
        <tr r="O2682" s="1"/>
      </tp>
      <tp>
        <v>1.22380675761721</v>
        <stp/>
        <stp>EM_S_VAL_PS_TTM</stp>
        <stp>2</stp>
        <stp>603329</stp>
        <stp>12/31/2018</stp>
        <tr r="O2895" s="1"/>
      </tp>
      <tp>
        <v>3.0491342046265002</v>
        <stp/>
        <stp>EM_S_VAL_PS_TTM</stp>
        <stp>2</stp>
        <stp>603328</stp>
        <stp>12/31/2018</stp>
        <tr r="O1464" s="1"/>
      </tp>
      <tp>
        <v>1.0539499782778601</v>
        <stp/>
        <stp>EM_S_VAL_PS_TTM</stp>
        <stp>2</stp>
        <stp>603299</stp>
        <stp>12/31/2018</stp>
        <tr r="O852" s="1"/>
      </tp>
      <tp>
        <v>0.88166141286093802</v>
        <stp/>
        <stp>EM_S_VAL_PS_TTM</stp>
        <stp>2</stp>
        <stp>603298</stp>
        <stp>12/31/2018</stp>
        <tr r="O1939" s="1"/>
      </tp>
      <tp>
        <v>3.6252073070815198</v>
        <stp/>
        <stp>EM_S_VAL_PS_TTM</stp>
        <stp>2</stp>
        <stp>603286</stp>
        <stp>12/31/2018</stp>
        <tr r="O1812" s="1"/>
      </tp>
      <tp>
        <v>3.3578432289845401</v>
        <stp/>
        <stp>EM_S_VAL_PS_TTM</stp>
        <stp>2</stp>
        <stp>603283</stp>
        <stp>12/31/2018</stp>
        <tr r="O288" s="1"/>
      </tp>
      <tp>
        <v>2.8043213145287602</v>
        <stp/>
        <stp>EM_S_VAL_PS_TTM</stp>
        <stp>2</stp>
        <stp>603289</stp>
        <stp>12/31/2018</stp>
        <tr r="O1451" s="1"/>
      </tp>
      <tp>
        <v>11.2937677889736</v>
        <stp/>
        <stp>EM_S_VAL_PS_TTM</stp>
        <stp>2</stp>
        <stp>603288</stp>
        <stp>12/31/2018</stp>
        <tr r="O469" s="1"/>
      </tp>
      <tp>
        <v>9.6788991667161408</v>
        <stp/>
        <stp>EM_S_VAL_PS_TTM</stp>
        <stp>2</stp>
        <stp>603259</stp>
        <stp>12/31/2018</stp>
        <tr r="O1205" s="1"/>
      </tp>
      <tp>
        <v>9.0689037380646802</v>
        <stp/>
        <stp>EM_S_VAL_PS_TTM</stp>
        <stp>2</stp>
        <stp>603258</stp>
        <stp>12/31/2018</stp>
        <tr r="O727" s="1"/>
      </tp>
      <tp>
        <v>2.5272895885061</v>
        <stp/>
        <stp>EM_S_VAL_PS_TTM</stp>
        <stp>2</stp>
        <stp>603277</stp>
        <stp>12/31/2018</stp>
        <tr r="O1326" s="1"/>
      </tp>
      <tp>
        <v>1.32456191048467</v>
        <stp/>
        <stp>EM_S_VAL_PS_TTM</stp>
        <stp>2</stp>
        <stp>603278</stp>
        <stp>12/31/2018</stp>
        <tr r="O3255" s="1"/>
      </tp>
      <tp>
        <v>2.1066859322734102</v>
        <stp/>
        <stp>EM_S_VAL_PS_TTM</stp>
        <stp>2</stp>
        <stp>603266</stp>
        <stp>12/31/2018</stp>
        <tr r="O2948" s="1"/>
      </tp>
      <tp>
        <v>2.80302951303113</v>
        <stp/>
        <stp>EM_S_VAL_PS_TTM</stp>
        <stp>2</stp>
        <stp>603260</stp>
        <stp>12/31/2018</stp>
        <tr r="O3246" s="1"/>
      </tp>
      <tp>
        <v>2.3713904494282798</v>
        <stp/>
        <stp>EM_S_VAL_PS_TTM</stp>
        <stp>2</stp>
        <stp>603269</stp>
        <stp>12/31/2018</stp>
        <tr r="O2502" s="1"/>
      </tp>
      <tp>
        <v>3.3885418736995301</v>
        <stp/>
        <stp>EM_S_VAL_PS_TTM</stp>
        <stp>2</stp>
        <stp>603268</stp>
        <stp>12/31/2018</stp>
        <tr r="O2529" s="1"/>
      </tp>
      <tp>
        <v>1.8167835063478699</v>
        <stp/>
        <stp>EM_S_VAL_PS_TTM</stp>
        <stp>2</stp>
        <stp>603214</stp>
        <stp>12/31/2018</stp>
        <tr r="O1650" s="1"/>
      </tp>
      <tp>
        <v>3.1185971452689101</v>
        <stp/>
        <stp>EM_S_VAL_PS_TTM</stp>
        <stp>2</stp>
        <stp>603218</stp>
        <stp>12/31/2018</stp>
        <tr r="O1213" s="1"/>
      </tp>
      <tp>
        <v>7.54389204821471</v>
        <stp/>
        <stp>EM_S_VAL_PS_TTM</stp>
        <stp>2</stp>
        <stp>603203</stp>
        <stp>12/31/2018</stp>
        <tr r="O761" s="1"/>
      </tp>
      <tp>
        <v>7.3415697105167101</v>
        <stp/>
        <stp>EM_S_VAL_PS_TTM</stp>
        <stp>2</stp>
        <stp>603200</stp>
        <stp>12/31/2018</stp>
        <tr r="O3342" s="1"/>
      </tp>
      <tp>
        <v>1.81302759580771</v>
        <stp/>
        <stp>EM_S_VAL_PS_TTM</stp>
        <stp>2</stp>
        <stp>603208</stp>
        <stp>12/31/2018</stp>
        <tr r="O181" s="1"/>
      </tp>
      <tp>
        <v>1.8934682827838201</v>
        <stp/>
        <stp>EM_S_VAL_PS_TTM</stp>
        <stp>2</stp>
        <stp>603233</stp>
        <stp>12/31/2018</stp>
        <tr r="O958" s="1"/>
      </tp>
      <tp>
        <v>6.4550857486026398</v>
        <stp/>
        <stp>EM_S_VAL_PS_TTM</stp>
        <stp>2</stp>
        <stp>603232</stp>
        <stp>12/31/2018</stp>
        <tr r="O680" s="1"/>
      </tp>
      <tp>
        <v>3.6491823493267699</v>
        <stp/>
        <stp>EM_S_VAL_PS_TTM</stp>
        <stp>2</stp>
        <stp>603239</stp>
        <stp>12/31/2018</stp>
        <tr r="O1957" s="1"/>
      </tp>
      <tp>
        <v>2.4814762898712499</v>
        <stp/>
        <stp>EM_S_VAL_PS_TTM</stp>
        <stp>2</stp>
        <stp>603238</stp>
        <stp>12/31/2018</stp>
        <tr r="O2678" s="1"/>
      </tp>
      <tp>
        <v>1.2976746330828599</v>
        <stp/>
        <stp>EM_S_VAL_PS_TTM</stp>
        <stp>2</stp>
        <stp>603227</stp>
        <stp>12/31/2018</stp>
        <tr r="O1007" s="1"/>
      </tp>
      <tp>
        <v>2.2559586642067901</v>
        <stp/>
        <stp>EM_S_VAL_PS_TTM</stp>
        <stp>2</stp>
        <stp>603226</stp>
        <stp>12/31/2018</stp>
        <tr r="O1365" s="1"/>
      </tp>
      <tp>
        <v>0.53249409686103399</v>
        <stp/>
        <stp>EM_S_VAL_PS_TTM</stp>
        <stp>2</stp>
        <stp>603225</stp>
        <stp>12/31/2018</stp>
        <tr r="O3262" s="1"/>
      </tp>
      <tp>
        <v>0.39327942047549702</v>
        <stp/>
        <stp>EM_S_VAL_PS_TTM</stp>
        <stp>2</stp>
        <stp>603223</stp>
        <stp>12/31/2018</stp>
        <tr r="O3307" s="1"/>
      </tp>
      <tp>
        <v>6.2821406181220398</v>
        <stp/>
        <stp>EM_S_VAL_PS_TTM</stp>
        <stp>2</stp>
        <stp>603222</stp>
        <stp>12/31/2018</stp>
        <tr r="O29" s="1"/>
      </tp>
      <tp>
        <v>7.1852439147055298</v>
        <stp/>
        <stp>EM_S_VAL_PS_TTM</stp>
        <stp>2</stp>
        <stp>603229</stp>
        <stp>12/31/2018</stp>
        <tr r="O274" s="1"/>
      </tp>
      <tp>
        <v>4.3256802442061</v>
        <stp/>
        <stp>EM_S_VAL_PS_TTM</stp>
        <stp>2</stp>
        <stp>603228</stp>
        <stp>12/31/2018</stp>
        <tr r="O2805" s="1"/>
      </tp>
      <tp>
        <v>1.5251005241553</v>
        <stp/>
        <stp>EM_S_VAL_PS_TTM</stp>
        <stp>2</stp>
        <stp>603197</stp>
        <stp>12/31/2018</stp>
        <tr r="O545" s="1"/>
      </tp>
      <tp>
        <v>2.5963228643571301</v>
        <stp/>
        <stp>EM_S_VAL_PS_TTM</stp>
        <stp>2</stp>
        <stp>603196</stp>
        <stp>12/31/2018</stp>
        <tr r="O3158" s="1"/>
      </tp>
      <tp>
        <v>4.5390610130220601</v>
        <stp/>
        <stp>EM_S_VAL_PS_TTM</stp>
        <stp>2</stp>
        <stp>603199</stp>
        <stp>12/31/2018</stp>
        <tr r="O1084" s="1"/>
      </tp>
      <tp>
        <v>3.3286214547054702</v>
        <stp/>
        <stp>EM_S_VAL_PS_TTM</stp>
        <stp>2</stp>
        <stp>603198</stp>
        <stp>12/31/2018</stp>
        <tr r="O704" s="1"/>
      </tp>
      <tp>
        <v>1.2268452901161899</v>
        <stp/>
        <stp>EM_S_VAL_PS_TTM</stp>
        <stp>2</stp>
        <stp>603186</stp>
        <stp>12/31/2018</stp>
        <tr r="O82" s="1"/>
      </tp>
      <tp>
        <v>4.6395185423235397</v>
        <stp/>
        <stp>EM_S_VAL_PS_TTM</stp>
        <stp>2</stp>
        <stp>603183</stp>
        <stp>12/31/2018</stp>
        <tr r="O3318" s="1"/>
      </tp>
      <tp>
        <v>1.63918955620114</v>
        <stp/>
        <stp>EM_S_VAL_PS_TTM</stp>
        <stp>2</stp>
        <stp>603181</stp>
        <stp>12/31/2018</stp>
        <tr r="O1219" s="1"/>
      </tp>
      <tp>
        <v>2.4405465452427899</v>
        <stp/>
        <stp>EM_S_VAL_PS_TTM</stp>
        <stp>2</stp>
        <stp>603180</stp>
        <stp>12/31/2018</stp>
        <tr r="O1458" s="1"/>
      </tp>
      <tp>
        <v>13.1849489923618</v>
        <stp/>
        <stp>EM_S_VAL_PS_TTM</stp>
        <stp>2</stp>
        <stp>603189</stp>
        <stp>12/31/2018</stp>
        <tr r="O591" s="1"/>
      </tp>
      <tp>
        <v>2.6057351820338099</v>
        <stp/>
        <stp>EM_S_VAL_PS_TTM</stp>
        <stp>2</stp>
        <stp>603188</stp>
        <stp>12/31/2018</stp>
        <tr r="O2816" s="1"/>
      </tp>
      <tp>
        <v>0.52279642615932997</v>
        <stp/>
        <stp>EM_S_VAL_PS_TTM</stp>
        <stp>2</stp>
        <stp>603157</stp>
        <stp>12/31/2018</stp>
        <tr r="O3240" s="1"/>
      </tp>
      <tp>
        <v>3.89728276209624</v>
        <stp/>
        <stp>EM_S_VAL_PS_TTM</stp>
        <stp>2</stp>
        <stp>603156</stp>
        <stp>12/31/2018</stp>
        <tr r="O3226" s="1"/>
      </tp>
      <tp>
        <v>2.8732289301977501</v>
        <stp/>
        <stp>EM_S_VAL_PS_TTM</stp>
        <stp>2</stp>
        <stp>603159</stp>
        <stp>12/31/2018</stp>
        <tr r="O3276" s="1"/>
      </tp>
      <tp>
        <v>3.5654971268537499</v>
        <stp/>
        <stp>EM_S_VAL_PS_TTM</stp>
        <stp>2</stp>
        <stp>603158</stp>
        <stp>12/31/2018</stp>
        <tr r="O2653" s="1"/>
      </tp>
      <tp>
        <v>2.4962522362250898</v>
        <stp/>
        <stp>EM_S_VAL_PS_TTM</stp>
        <stp>2</stp>
        <stp>603177</stp>
        <stp>12/31/2018</stp>
        <tr r="O1680" s="1"/>
      </tp>
      <tp>
        <v>1.0532891777073901</v>
        <stp/>
        <stp>EM_S_VAL_PS_TTM</stp>
        <stp>2</stp>
        <stp>603179</stp>
        <stp>12/31/2018</stp>
        <tr r="O1445" s="1"/>
      </tp>
      <tp>
        <v>1.3394790187549299</v>
        <stp/>
        <stp>EM_S_VAL_PS_TTM</stp>
        <stp>2</stp>
        <stp>603178</stp>
        <stp>12/31/2018</stp>
        <tr r="O1243" s="1"/>
      </tp>
      <tp>
        <v>2.63302428101747</v>
        <stp/>
        <stp>EM_S_VAL_PS_TTM</stp>
        <stp>2</stp>
        <stp>603167</stp>
        <stp>12/31/2018</stp>
        <tr r="O1235" s="1"/>
      </tp>
      <tp>
        <v>2.1443389487225</v>
        <stp/>
        <stp>EM_S_VAL_PS_TTM</stp>
        <stp>2</stp>
        <stp>603166</stp>
        <stp>12/31/2018</stp>
        <tr r="O1347" s="1"/>
      </tp>
      <tp>
        <v>1.2686642494411999</v>
        <stp/>
        <stp>EM_S_VAL_PS_TTM</stp>
        <stp>2</stp>
        <stp>603165</stp>
        <stp>12/31/2018</stp>
        <tr r="O1558" s="1"/>
      </tp>
      <tp>
        <v>1.6929167247889301</v>
        <stp/>
        <stp>EM_S_VAL_PS_TTM</stp>
        <stp>2</stp>
        <stp>603161</stp>
        <stp>12/31/2018</stp>
        <tr r="O2902" s="1"/>
      </tp>
      <tp>
        <v>11.261695492112199</v>
        <stp/>
        <stp>EM_S_VAL_PS_TTM</stp>
        <stp>2</stp>
        <stp>603160</stp>
        <stp>12/31/2018</stp>
        <tr r="O70" s="1"/>
      </tp>
      <tp>
        <v>1.49469695112712</v>
        <stp/>
        <stp>EM_S_VAL_PS_TTM</stp>
        <stp>2</stp>
        <stp>603169</stp>
        <stp>12/31/2018</stp>
        <tr r="O821" s="1"/>
      </tp>
      <tp>
        <v>3.0156641415085002</v>
        <stp/>
        <stp>EM_S_VAL_PS_TTM</stp>
        <stp>2</stp>
        <stp>603168</stp>
        <stp>12/31/2018</stp>
        <tr r="O1079" s="1"/>
      </tp>
      <tp>
        <v>2.5360698218083901</v>
        <stp/>
        <stp>EM_S_VAL_PS_TTM</stp>
        <stp>2</stp>
        <stp>603117</stp>
        <stp>12/31/2018</stp>
        <tr r="O1955" s="1"/>
      </tp>
      <tp>
        <v>1.24821081263168</v>
        <stp/>
        <stp>EM_S_VAL_PS_TTM</stp>
        <stp>2</stp>
        <stp>603116</stp>
        <stp>12/31/2018</stp>
        <tr r="O2418" s="1"/>
      </tp>
      <tp>
        <v>0.908622572066075</v>
        <stp/>
        <stp>EM_S_VAL_PS_TTM</stp>
        <stp>2</stp>
        <stp>603113</stp>
        <stp>12/31/2018</stp>
        <tr r="O2475" s="1"/>
      </tp>
      <tp>
        <v>1.11388689539671</v>
        <stp/>
        <stp>EM_S_VAL_PS_TTM</stp>
        <stp>2</stp>
        <stp>603111</stp>
        <stp>12/31/2018</stp>
        <tr r="O948" s="1"/>
      </tp>
      <tp>
        <v>4.1334090533699701</v>
        <stp/>
        <stp>EM_S_VAL_PS_TTM</stp>
        <stp>2</stp>
        <stp>603110</stp>
        <stp>12/31/2018</stp>
        <tr r="O453" s="1"/>
      </tp>
      <tp>
        <v>0.60961882562599701</v>
        <stp/>
        <stp>EM_S_VAL_PS_TTM</stp>
        <stp>2</stp>
        <stp>603118</stp>
        <stp>12/31/2018</stp>
        <tr r="O261" s="1"/>
      </tp>
      <tp>
        <v>2.9390400072573701</v>
        <stp/>
        <stp>EM_S_VAL_PS_TTM</stp>
        <stp>2</stp>
        <stp>603106</stp>
        <stp>12/31/2018</stp>
        <tr r="O2923" s="1"/>
      </tp>
      <tp>
        <v>11.1407167385234</v>
        <stp/>
        <stp>EM_S_VAL_PS_TTM</stp>
        <stp>2</stp>
        <stp>603105</stp>
        <stp>12/31/2018</stp>
        <tr r="O3344" s="1"/>
      </tp>
      <tp>
        <v>3.6232121898892902</v>
        <stp/>
        <stp>EM_S_VAL_PS_TTM</stp>
        <stp>2</stp>
        <stp>603103</stp>
        <stp>12/31/2018</stp>
        <tr r="O2987" s="1"/>
      </tp>
      <tp>
        <v>1.1169497122850101</v>
        <stp/>
        <stp>EM_S_VAL_PS_TTM</stp>
        <stp>2</stp>
        <stp>603101</stp>
        <stp>12/31/2018</stp>
        <tr r="O3340" s="1"/>
      </tp>
      <tp>
        <v>0.89900023284309405</v>
        <stp/>
        <stp>EM_S_VAL_PS_TTM</stp>
        <stp>2</stp>
        <stp>603100</stp>
        <stp>12/31/2018</stp>
        <tr r="O1357" s="1"/>
      </tp>
      <tp>
        <v>0.72737307697102904</v>
        <stp/>
        <stp>EM_S_VAL_PS_TTM</stp>
        <stp>2</stp>
        <stp>603108</stp>
        <stp>12/31/2018</stp>
        <tr r="O803" s="1"/>
      </tp>
      <tp>
        <v>4.9178338761960703</v>
        <stp/>
        <stp>EM_S_VAL_PS_TTM</stp>
        <stp>2</stp>
        <stp>603136</stp>
        <stp>12/31/2018</stp>
        <tr r="O2787" s="1"/>
      </tp>
      <tp>
        <v>6.1871752281404504</v>
        <stp/>
        <stp>EM_S_VAL_PS_TTM</stp>
        <stp>2</stp>
        <stp>603133</stp>
        <stp>12/31/2018</stp>
        <tr r="O506" s="1"/>
      </tp>
      <tp>
        <v>4.4676531740701497</v>
        <stp/>
        <stp>EM_S_VAL_PS_TTM</stp>
        <stp>2</stp>
        <stp>603131</stp>
        <stp>12/31/2018</stp>
        <tr r="O2818" s="1"/>
      </tp>
      <tp>
        <v>4.0266534609672604</v>
        <stp/>
        <stp>EM_S_VAL_PS_TTM</stp>
        <stp>2</stp>
        <stp>603139</stp>
        <stp>12/31/2018</stp>
        <tr r="O1742" s="1"/>
      </tp>
      <tp>
        <v>5.3281878647465799</v>
        <stp/>
        <stp>EM_S_VAL_PS_TTM</stp>
        <stp>2</stp>
        <stp>603138</stp>
        <stp>12/31/2018</stp>
        <tr r="O2938" s="1"/>
      </tp>
      <tp>
        <v>14.5862233381125</v>
        <stp/>
        <stp>EM_S_VAL_PS_TTM</stp>
        <stp>2</stp>
        <stp>603127</stp>
        <stp>12/31/2018</stp>
        <tr r="O1307" s="1"/>
      </tp>
      <tp>
        <v>1.7783112580067</v>
        <stp/>
        <stp>EM_S_VAL_PS_TTM</stp>
        <stp>2</stp>
        <stp>603126</stp>
        <stp>12/31/2018</stp>
        <tr r="O2549" s="1"/>
      </tp>
      <tp>
        <v>0.61258807493586498</v>
        <stp/>
        <stp>EM_S_VAL_PS_TTM</stp>
        <stp>2</stp>
        <stp>603123</stp>
        <stp>12/31/2018</stp>
        <tr r="O1396" s="1"/>
      </tp>
      <tp>
        <v>0.91070437369419899</v>
        <stp/>
        <stp>EM_S_VAL_PS_TTM</stp>
        <stp>2</stp>
        <stp>603129</stp>
        <stp>12/31/2018</stp>
        <tr r="O76" s="1"/>
      </tp>
      <tp>
        <v>0.58031706366024005</v>
        <stp/>
        <stp>EM_S_VAL_PS_TTM</stp>
        <stp>2</stp>
        <stp>603128</stp>
        <stp>12/31/2018</stp>
        <tr r="O1380" s="1"/>
      </tp>
      <tp>
        <v>9.0162384643073707</v>
        <stp/>
        <stp>EM_S_VAL_PS_TTM</stp>
        <stp>2</stp>
        <stp>603096</stp>
        <stp>12/31/2018</stp>
        <tr r="O2758" s="1"/>
      </tp>
      <tp>
        <v>3.08082007908971</v>
        <stp/>
        <stp>EM_S_VAL_PS_TTM</stp>
        <stp>2</stp>
        <stp>603090</stp>
        <stp>12/31/2018</stp>
        <tr r="O1077" s="1"/>
      </tp>
      <tp>
        <v>5.1317876440860797</v>
        <stp/>
        <stp>EM_S_VAL_PS_TTM</stp>
        <stp>2</stp>
        <stp>603099</stp>
        <stp>12/31/2018</stp>
        <tr r="O1625" s="1"/>
      </tp>
      <tp>
        <v>2.36368195592306</v>
        <stp/>
        <stp>EM_S_VAL_PS_TTM</stp>
        <stp>2</stp>
        <stp>603098</stp>
        <stp>12/31/2018</stp>
        <tr r="O3054" s="1"/>
      </tp>
      <tp>
        <v>1.7678508832449</v>
        <stp/>
        <stp>EM_S_VAL_PS_TTM</stp>
        <stp>2</stp>
        <stp>603086</stp>
        <stp>12/31/2018</stp>
        <tr r="O1630" s="1"/>
      </tp>
      <tp>
        <v>2.50358670907625</v>
        <stp/>
        <stp>EM_S_VAL_PS_TTM</stp>
        <stp>2</stp>
        <stp>603085</stp>
        <stp>12/31/2018</stp>
        <tr r="O1947" s="1"/>
      </tp>
      <tp>
        <v>1.08653564573962</v>
        <stp/>
        <stp>EM_S_VAL_PS_TTM</stp>
        <stp>2</stp>
        <stp>603083</stp>
        <stp>12/31/2018</stp>
        <tr r="O1659" s="1"/>
      </tp>
      <tp>
        <v>2.6362453982916101</v>
        <stp/>
        <stp>EM_S_VAL_PS_TTM</stp>
        <stp>2</stp>
        <stp>603081</stp>
        <stp>12/31/2018</stp>
        <tr r="O617" s="1"/>
      </tp>
      <tp>
        <v>7.5584024398098801</v>
        <stp/>
        <stp>EM_S_VAL_PS_TTM</stp>
        <stp>2</stp>
        <stp>603080</stp>
        <stp>12/31/2018</stp>
        <tr r="O3079" s="1"/>
      </tp>
      <tp>
        <v>1.80873450930862</v>
        <stp/>
        <stp>EM_S_VAL_PS_TTM</stp>
        <stp>2</stp>
        <stp>603089</stp>
        <stp>12/31/2018</stp>
        <tr r="O2683" s="1"/>
      </tp>
      <tp>
        <v>3.8760336679923699</v>
        <stp/>
        <stp>EM_S_VAL_PS_TTM</stp>
        <stp>2</stp>
        <stp>603088</stp>
        <stp>12/31/2018</stp>
        <tr r="O3087" s="1"/>
      </tp>
      <tp>
        <v>0.73027022630124905</v>
        <stp/>
        <stp>EM_S_VAL_PS_TTM</stp>
        <stp>2</stp>
        <stp>603056</stp>
        <stp>12/31/2018</stp>
        <tr r="O3254" s="1"/>
      </tp>
      <tp>
        <v>1.94975325168111</v>
        <stp/>
        <stp>EM_S_VAL_PS_TTM</stp>
        <stp>2</stp>
        <stp>603055</stp>
        <stp>12/31/2018</stp>
        <tr r="O3266" s="1"/>
      </tp>
      <tp>
        <v>1.85943142967865</v>
        <stp/>
        <stp>EM_S_VAL_PS_TTM</stp>
        <stp>2</stp>
        <stp>603050</stp>
        <stp>12/31/2018</stp>
        <tr r="O2950" s="1"/>
      </tp>
      <tp>
        <v>3.47329979732354</v>
        <stp/>
        <stp>EM_S_VAL_PS_TTM</stp>
        <stp>2</stp>
        <stp>603059</stp>
        <stp>12/31/2018</stp>
        <tr r="O2986" s="1"/>
      </tp>
      <tp>
        <v>9.4634922655584894</v>
        <stp/>
        <stp>EM_S_VAL_PS_TTM</stp>
        <stp>2</stp>
        <stp>603058</stp>
        <stp>12/31/2018</stp>
        <tr r="O3088" s="1"/>
      </tp>
      <tp>
        <v>2.2145645817439399</v>
        <stp/>
        <stp>EM_S_VAL_PS_TTM</stp>
        <stp>2</stp>
        <stp>603045</stp>
        <stp>12/31/2018</stp>
        <tr r="O3358" s="1"/>
      </tp>
      <tp>
        <v>4.3536730085929003</v>
        <stp/>
        <stp>EM_S_VAL_PS_TTM</stp>
        <stp>2</stp>
        <stp>603043</stp>
        <stp>12/31/2018</stp>
        <tr r="O1672" s="1"/>
      </tp>
      <tp>
        <v>1.73480878295985</v>
        <stp/>
        <stp>EM_S_VAL_PS_TTM</stp>
        <stp>2</stp>
        <stp>603042</stp>
        <stp>12/31/2018</stp>
        <tr r="O2387" s="1"/>
      </tp>
      <tp>
        <v>4.8509296207112396</v>
        <stp/>
        <stp>EM_S_VAL_PS_TTM</stp>
        <stp>2</stp>
        <stp>603041</stp>
        <stp>12/31/2018</stp>
        <tr r="O1218" s="1"/>
      </tp>
      <tp>
        <v>7.0085545979822399</v>
        <stp/>
        <stp>EM_S_VAL_PS_TTM</stp>
        <stp>2</stp>
        <stp>603040</stp>
        <stp>12/31/2018</stp>
        <tr r="O891" s="1"/>
      </tp>
      <tp>
        <v>2.3885710424401099</v>
        <stp/>
        <stp>EM_S_VAL_PS_TTM</stp>
        <stp>2</stp>
        <stp>603077</stp>
        <stp>12/31/2018</stp>
        <tr r="O2778" s="1"/>
      </tp>
      <tp>
        <v>2.0262959460149301</v>
        <stp/>
        <stp>EM_S_VAL_PS_TTM</stp>
        <stp>2</stp>
        <stp>603076</stp>
        <stp>12/31/2018</stp>
        <tr r="O2382" s="1"/>
      </tp>
      <tp>
        <v>3.6623674278979701</v>
        <stp/>
        <stp>EM_S_VAL_PS_TTM</stp>
        <stp>2</stp>
        <stp>603079</stp>
        <stp>12/31/2018</stp>
        <tr r="O90" s="1"/>
      </tp>
      <tp>
        <v>6.58918772554469</v>
        <stp/>
        <stp>EM_S_VAL_PS_TTM</stp>
        <stp>2</stp>
        <stp>603078</stp>
        <stp>12/31/2018</stp>
        <tr r="O1260" s="1"/>
      </tp>
      <tp>
        <v>1.73069456212428</v>
        <stp/>
        <stp>EM_S_VAL_PS_TTM</stp>
        <stp>2</stp>
        <stp>603067</stp>
        <stp>12/31/2018</stp>
        <tr r="O3099" s="1"/>
      </tp>
      <tp>
        <v>3.2032932456324401</v>
        <stp/>
        <stp>EM_S_VAL_PS_TTM</stp>
        <stp>2</stp>
        <stp>603066</stp>
        <stp>12/31/2018</stp>
        <tr r="O1845" s="1"/>
      </tp>
      <tp>
        <v>3.8142852110681398</v>
        <stp/>
        <stp>EM_S_VAL_PS_TTM</stp>
        <stp>2</stp>
        <stp>603063</stp>
        <stp>12/31/2018</stp>
        <tr r="O636" s="1"/>
      </tp>
      <tp>
        <v>5.02762604322883</v>
        <stp/>
        <stp>EM_S_VAL_PS_TTM</stp>
        <stp>2</stp>
        <stp>603060</stp>
        <stp>12/31/2018</stp>
        <tr r="O1134" s="1"/>
      </tp>
      <tp>
        <v>1.8990014179404699</v>
        <stp/>
        <stp>EM_S_VAL_PS_TTM</stp>
        <stp>2</stp>
        <stp>603069</stp>
        <stp>12/31/2018</stp>
        <tr r="O464" s="1"/>
      </tp>
      <tp>
        <v>1.6390765620972301</v>
        <stp/>
        <stp>EM_S_VAL_PS_TTM</stp>
        <stp>2</stp>
        <stp>603017</stp>
        <stp>12/31/2018</stp>
        <tr r="O1945" s="1"/>
      </tp>
      <tp>
        <v>6.0917147914452396</v>
        <stp/>
        <stp>EM_S_VAL_PS_TTM</stp>
        <stp>2</stp>
        <stp>603016</stp>
        <stp>12/31/2018</stp>
        <tr r="O2520" s="1"/>
      </tp>
      <tp>
        <v>3.3101830647139598</v>
        <stp/>
        <stp>EM_S_VAL_PS_TTM</stp>
        <stp>2</stp>
        <stp>603015</stp>
        <stp>12/31/2018</stp>
        <tr r="O1933" s="1"/>
      </tp>
      <tp>
        <v>1.16081592050886</v>
        <stp/>
        <stp>EM_S_VAL_PS_TTM</stp>
        <stp>2</stp>
        <stp>603013</stp>
        <stp>12/31/2018</stp>
        <tr r="O2867" s="1"/>
      </tp>
      <tp>
        <v>3.66000604113461</v>
        <stp/>
        <stp>EM_S_VAL_PS_TTM</stp>
        <stp>2</stp>
        <stp>603012</stp>
        <stp>12/31/2018</stp>
        <tr r="O1606" s="1"/>
      </tp>
      <tp>
        <v>2.5791417697104699</v>
        <stp/>
        <stp>EM_S_VAL_PS_TTM</stp>
        <stp>2</stp>
        <stp>603011</stp>
        <stp>12/31/2018</stp>
        <tr r="O1463" s="1"/>
      </tp>
      <tp>
        <v>2.34089648918496</v>
        <stp/>
        <stp>EM_S_VAL_PS_TTM</stp>
        <stp>2</stp>
        <stp>603010</stp>
        <stp>12/31/2018</stp>
        <tr r="O3049" s="1"/>
      </tp>
      <tp>
        <v>2.89725253194191</v>
        <stp/>
        <stp>EM_S_VAL_PS_TTM</stp>
        <stp>2</stp>
        <stp>603019</stp>
        <stp>12/31/2018</stp>
        <tr r="O2496" s="1"/>
      </tp>
      <tp>
        <v>1.4387661080073499</v>
        <stp/>
        <stp>EM_S_VAL_PS_TTM</stp>
        <stp>2</stp>
        <stp>603018</stp>
        <stp>12/31/2018</stp>
        <tr r="O3325" s="1"/>
      </tp>
      <tp>
        <v>2.00930578853011</v>
        <stp/>
        <stp>EM_S_VAL_PS_TTM</stp>
        <stp>2</stp>
        <stp>603007</stp>
        <stp>12/31/2018</stp>
        <tr r="O2914" s="1"/>
      </tp>
      <tp>
        <v>1.6985560928986301</v>
        <stp/>
        <stp>EM_S_VAL_PS_TTM</stp>
        <stp>2</stp>
        <stp>603006</stp>
        <stp>12/31/2018</stp>
        <tr r="O1371" s="1"/>
      </tp>
      <tp>
        <v>6.4024080822613101</v>
        <stp/>
        <stp>EM_S_VAL_PS_TTM</stp>
        <stp>2</stp>
        <stp>603005</stp>
        <stp>12/31/2018</stp>
        <tr r="O98" s="1"/>
      </tp>
      <tp>
        <v>0.16728234022278601</v>
        <stp/>
        <stp>EM_S_VAL_PS_TTM</stp>
        <stp>2</stp>
        <stp>603003</stp>
        <stp>12/31/2018</stp>
        <tr r="O1217" s="1"/>
      </tp>
      <tp>
        <v>1.21820540828752</v>
        <stp/>
        <stp>EM_S_VAL_PS_TTM</stp>
        <stp>2</stp>
        <stp>603002</stp>
        <stp>12/31/2018</stp>
        <tr r="O1090" s="1"/>
      </tp>
      <tp>
        <v>1.27884368016678</v>
        <stp/>
        <stp>EM_S_VAL_PS_TTM</stp>
        <stp>2</stp>
        <stp>603001</stp>
        <stp>12/31/2018</stp>
        <tr r="O2795" s="1"/>
      </tp>
      <tp>
        <v>5.49443930598449</v>
        <stp/>
        <stp>EM_S_VAL_PS_TTM</stp>
        <stp>2</stp>
        <stp>603000</stp>
        <stp>12/31/2018</stp>
        <tr r="O61" s="1"/>
      </tp>
      <tp>
        <v>1.77640271227657</v>
        <stp/>
        <stp>EM_S_VAL_PS_TTM</stp>
        <stp>2</stp>
        <stp>603009</stp>
        <stp>12/31/2018</stp>
        <tr r="O1875" s="1"/>
      </tp>
      <tp>
        <v>0.88704582629803996</v>
        <stp/>
        <stp>EM_S_VAL_PS_TTM</stp>
        <stp>2</stp>
        <stp>603008</stp>
        <stp>12/31/2018</stp>
        <tr r="O376" s="1"/>
      </tp>
      <tp>
        <v>3.5745778527687602</v>
        <stp/>
        <stp>EM_S_VAL_PS_TTM</stp>
        <stp>2</stp>
        <stp>603037</stp>
        <stp>12/31/2018</stp>
        <tr r="O2448" s="1"/>
      </tp>
      <tp>
        <v>11.4082138689865</v>
        <stp/>
        <stp>EM_S_VAL_PS_TTM</stp>
        <stp>2</stp>
        <stp>603036</stp>
        <stp>12/31/2018</stp>
        <tr r="O2651" s="1"/>
      </tp>
      <tp>
        <v>2.2822313632464799</v>
        <stp/>
        <stp>EM_S_VAL_PS_TTM</stp>
        <stp>2</stp>
        <stp>603035</stp>
        <stp>12/31/2018</stp>
        <tr r="O1913" s="1"/>
      </tp>
      <tp>
        <v>2.1866637292707298</v>
        <stp/>
        <stp>EM_S_VAL_PS_TTM</stp>
        <stp>2</stp>
        <stp>603033</stp>
        <stp>12/31/2018</stp>
        <tr r="O2572" s="1"/>
      </tp>
      <tp>
        <v>32.177139425808399</v>
        <stp/>
        <stp>EM_S_VAL_PS_TTM</stp>
        <stp>2</stp>
        <stp>603032</stp>
        <stp>12/31/2018</stp>
        <tr r="O3116" s="1"/>
      </tp>
      <tp>
        <v>0.72928809025216701</v>
        <stp/>
        <stp>EM_S_VAL_PS_TTM</stp>
        <stp>2</stp>
        <stp>603031</stp>
        <stp>12/31/2018</stp>
        <tr r="O225" s="1"/>
      </tp>
      <tp>
        <v>0.44521308395400899</v>
        <stp/>
        <stp>EM_S_VAL_PS_TTM</stp>
        <stp>2</stp>
        <stp>603030</stp>
        <stp>12/31/2018</stp>
        <tr r="O1545" s="1"/>
      </tp>
      <tp>
        <v>8.4393417849875405</v>
        <stp/>
        <stp>EM_S_VAL_PS_TTM</stp>
        <stp>2</stp>
        <stp>603039</stp>
        <stp>12/31/2018</stp>
        <tr r="O3129" s="1"/>
      </tp>
      <tp>
        <v>2.1727449699168</v>
        <stp/>
        <stp>EM_S_VAL_PS_TTM</stp>
        <stp>2</stp>
        <stp>603038</stp>
        <stp>12/31/2018</stp>
        <tr r="O2833" s="1"/>
      </tp>
      <tp>
        <v>4.9945033426274996</v>
        <stp/>
        <stp>EM_S_VAL_PS_TTM</stp>
        <stp>2</stp>
        <stp>603027</stp>
        <stp>12/31/2018</stp>
        <tr r="O783" s="1"/>
      </tp>
      <tp>
        <v>0.74547081342517496</v>
        <stp/>
        <stp>EM_S_VAL_PS_TTM</stp>
        <stp>2</stp>
        <stp>603026</stp>
        <stp>12/31/2018</stp>
        <tr r="O220" s="1"/>
      </tp>
      <tp>
        <v>8.9110015887050107</v>
        <stp/>
        <stp>EM_S_VAL_PS_TTM</stp>
        <stp>2</stp>
        <stp>603025</stp>
        <stp>12/31/2018</stp>
        <tr r="O2951" s="1"/>
      </tp>
      <tp>
        <v>7.7982737547096503</v>
        <stp/>
        <stp>EM_S_VAL_PS_TTM</stp>
        <stp>2</stp>
        <stp>603023</stp>
        <stp>12/31/2018</stp>
        <tr r="O2040" s="1"/>
      </tp>
      <tp>
        <v>2.0603900814020601</v>
        <stp/>
        <stp>EM_S_VAL_PS_TTM</stp>
        <stp>2</stp>
        <stp>603022</stp>
        <stp>12/31/2018</stp>
        <tr r="O185" s="1"/>
      </tp>
      <tp>
        <v>2.2331296741821598</v>
        <stp/>
        <stp>EM_S_VAL_PS_TTM</stp>
        <stp>2</stp>
        <stp>603021</stp>
        <stp>12/31/2018</stp>
        <tr r="O717" s="1"/>
      </tp>
      <tp>
        <v>0.978181180525308</v>
        <stp/>
        <stp>EM_S_VAL_PS_TTM</stp>
        <stp>2</stp>
        <stp>603020</stp>
        <stp>12/31/2018</stp>
        <tr r="O1717" s="1"/>
      </tp>
      <tp>
        <v>3.7316360401778699</v>
        <stp/>
        <stp>EM_S_VAL_PS_TTM</stp>
        <stp>2</stp>
        <stp>603029</stp>
        <stp>12/31/2018</stp>
        <tr r="O1695" s="1"/>
      </tp>
      <tp>
        <v>2.54969853709839</v>
        <stp/>
        <stp>EM_S_VAL_PS_TTM</stp>
        <stp>2</stp>
        <stp>603028</stp>
        <stp>12/31/2018</stp>
        <tr r="O383" s="1"/>
      </tp>
      <tp>
        <v>11.293543573370201</v>
        <stp/>
        <stp>EM_S_VAL_PS_TTM</stp>
        <stp>2</stp>
        <stp>603797</stp>
        <stp>12/31/2018</stp>
        <tr r="O2635" s="1"/>
      </tp>
      <tp>
        <v>1.83962085548335</v>
        <stp/>
        <stp>EM_S_VAL_PS_TTM</stp>
        <stp>2</stp>
        <stp>603799</stp>
        <stp>12/31/2018</stp>
        <tr r="O912" s="1"/>
      </tp>
      <tp>
        <v>2.34328991477719</v>
        <stp/>
        <stp>EM_S_VAL_PS_TTM</stp>
        <stp>2</stp>
        <stp>603798</stp>
        <stp>12/31/2018</stp>
        <tr r="O878" s="1"/>
      </tp>
      <tp>
        <v>0.66810450431843105</v>
        <stp/>
        <stp>EM_S_VAL_PS_TTM</stp>
        <stp>2</stp>
        <stp>603787</stp>
        <stp>12/31/2018</stp>
        <tr r="O662" s="1"/>
      </tp>
      <tp>
        <v>5.2237176199284603</v>
        <stp/>
        <stp>EM_S_VAL_PS_TTM</stp>
        <stp>2</stp>
        <stp>603789</stp>
        <stp>12/31/2018</stp>
        <tr r="O1413" s="1"/>
      </tp>
      <tp>
        <v>2.4343322403352099</v>
        <stp/>
        <stp>EM_S_VAL_PS_TTM</stp>
        <stp>2</stp>
        <stp>603788</stp>
        <stp>12/31/2018</stp>
        <tr r="O1735" s="1"/>
      </tp>
      <tp>
        <v>1.8345795499561099</v>
        <stp/>
        <stp>EM_S_VAL_PS_TTM</stp>
        <stp>2</stp>
        <stp>603757</stp>
        <stp>12/31/2018</stp>
        <tr r="O3019" s="1"/>
      </tp>
      <tp>
        <v>3.2990248442514698</v>
        <stp/>
        <stp>EM_S_VAL_PS_TTM</stp>
        <stp>2</stp>
        <stp>603758</stp>
        <stp>12/31/2018</stp>
        <tr r="O2185" s="1"/>
      </tp>
      <tp>
        <v>0.83859671537103597</v>
        <stp/>
        <stp>EM_S_VAL_PS_TTM</stp>
        <stp>2</stp>
        <stp>603777</stp>
        <stp>12/31/2018</stp>
        <tr r="O1212" s="1"/>
      </tp>
      <tp>
        <v>2.8954917964029998</v>
        <stp/>
        <stp>EM_S_VAL_PS_TTM</stp>
        <stp>2</stp>
        <stp>603776</stp>
        <stp>12/31/2018</stp>
        <tr r="O2890" s="1"/>
      </tp>
      <tp>
        <v>5.6376891758018202</v>
        <stp/>
        <stp>EM_S_VAL_PS_TTM</stp>
        <stp>2</stp>
        <stp>603773</stp>
        <stp>12/31/2018</stp>
        <tr r="O3149" s="1"/>
      </tp>
      <tp>
        <v>3.6870748616430302</v>
        <stp/>
        <stp>EM_S_VAL_PS_TTM</stp>
        <stp>2</stp>
        <stp>603779</stp>
        <stp>12/31/2018</stp>
        <tr r="O3383" s="1"/>
      </tp>
      <tp>
        <v>4.5561533885640797</v>
        <stp/>
        <stp>EM_S_VAL_PS_TTM</stp>
        <stp>2</stp>
        <stp>603778</stp>
        <stp>12/31/2018</stp>
        <tr r="O2264" s="1"/>
      </tp>
      <tp>
        <v>2.2577986830008001</v>
        <stp/>
        <stp>EM_S_VAL_PS_TTM</stp>
        <stp>2</stp>
        <stp>603767</stp>
        <stp>12/31/2018</stp>
        <tr r="O1821" s="1"/>
      </tp>
      <tp>
        <v>0.744239940855696</v>
        <stp/>
        <stp>EM_S_VAL_PS_TTM</stp>
        <stp>2</stp>
        <stp>603766</stp>
        <stp>12/31/2018</stp>
        <tr r="O2719" s="1"/>
      </tp>
      <tp>
        <v>1.09263272554827</v>
        <stp/>
        <stp>EM_S_VAL_PS_TTM</stp>
        <stp>2</stp>
        <stp>603768</stp>
        <stp>12/31/2018</stp>
        <tr r="O2158" s="1"/>
      </tp>
      <tp>
        <v>1.91037049360492</v>
        <stp/>
        <stp>EM_S_VAL_PS_TTM</stp>
        <stp>2</stp>
        <stp>603717</stp>
        <stp>12/31/2018</stp>
        <tr r="O2608" s="1"/>
      </tp>
      <tp>
        <v>3.1716532322973001</v>
        <stp/>
        <stp>EM_S_VAL_PS_TTM</stp>
        <stp>2</stp>
        <stp>603716</stp>
        <stp>12/31/2018</stp>
        <tr r="O2838" s="1"/>
      </tp>
      <tp>
        <v>9.0543776704711796</v>
        <stp/>
        <stp>EM_S_VAL_PS_TTM</stp>
        <stp>2</stp>
        <stp>603712</stp>
        <stp>12/31/2018</stp>
        <tr r="O824" s="1"/>
      </tp>
      <tp>
        <v>2.9903079083138802</v>
        <stp/>
        <stp>EM_S_VAL_PS_TTM</stp>
        <stp>2</stp>
        <stp>603711</stp>
        <stp>12/31/2018</stp>
        <tr r="O1298" s="1"/>
      </tp>
      <tp>
        <v>31.2508264797839</v>
        <stp/>
        <stp>EM_S_VAL_PS_TTM</stp>
        <stp>2</stp>
        <stp>603718</stp>
        <stp>12/31/2018</stp>
        <tr r="O2359" s="1"/>
      </tp>
      <tp>
        <v>6.3489393201300803</v>
        <stp/>
        <stp>EM_S_VAL_PS_TTM</stp>
        <stp>2</stp>
        <stp>603707</stp>
        <stp>12/31/2018</stp>
        <tr r="O131" s="1"/>
      </tp>
      <tp>
        <v>10.7930046067115</v>
        <stp/>
        <stp>EM_S_VAL_PS_TTM</stp>
        <stp>2</stp>
        <stp>603706</stp>
        <stp>12/31/2018</stp>
        <tr r="O3177" s="1"/>
      </tp>
      <tp>
        <v>3.2852320676172702</v>
        <stp/>
        <stp>EM_S_VAL_PS_TTM</stp>
        <stp>2</stp>
        <stp>603703</stp>
        <stp>12/31/2018</stp>
        <tr r="O347" s="1"/>
      </tp>
      <tp>
        <v>3.4603130861298999</v>
        <stp/>
        <stp>EM_S_VAL_PS_TTM</stp>
        <stp>2</stp>
        <stp>603701</stp>
        <stp>12/31/2018</stp>
        <tr r="O1613" s="1"/>
      </tp>
      <tp>
        <v>2.4041161683682799</v>
        <stp/>
        <stp>EM_S_VAL_PS_TTM</stp>
        <stp>2</stp>
        <stp>603709</stp>
        <stp>12/31/2018</stp>
        <tr r="O2206" s="1"/>
      </tp>
      <tp>
        <v>0.75214946337995303</v>
        <stp/>
        <stp>EM_S_VAL_PS_TTM</stp>
        <stp>2</stp>
        <stp>603708</stp>
        <stp>12/31/2018</stp>
        <tr r="O1222" s="1"/>
      </tp>
      <tp>
        <v>1.51229033627861</v>
        <stp/>
        <stp>EM_S_VAL_PS_TTM</stp>
        <stp>2</stp>
        <stp>603737</stp>
        <stp>12/31/2018</stp>
        <tr r="O124" s="1"/>
      </tp>
      <tp>
        <v>2.4058269594570398</v>
        <stp/>
        <stp>EM_S_VAL_PS_TTM</stp>
        <stp>2</stp>
        <stp>603733</stp>
        <stp>12/31/2018</stp>
        <tr r="O2668" s="1"/>
      </tp>
      <tp>
        <v>2.2197958459863201</v>
        <stp/>
        <stp>EM_S_VAL_PS_TTM</stp>
        <stp>2</stp>
        <stp>603730</stp>
        <stp>12/31/2018</stp>
        <tr r="O677" s="1"/>
      </tp>
      <tp>
        <v>3.0735787545265398</v>
        <stp/>
        <stp>EM_S_VAL_PS_TTM</stp>
        <stp>2</stp>
        <stp>603738</stp>
        <stp>12/31/2018</stp>
        <tr r="O418" s="1"/>
      </tp>
      <tp>
        <v>10.7786640448588</v>
        <stp/>
        <stp>EM_S_VAL_PS_TTM</stp>
        <stp>2</stp>
        <stp>603727</stp>
        <stp>12/31/2018</stp>
        <tr r="O592" s="1"/>
      </tp>
      <tp>
        <v>1.57181837206839</v>
        <stp/>
        <stp>EM_S_VAL_PS_TTM</stp>
        <stp>2</stp>
        <stp>603726</stp>
        <stp>12/31/2018</stp>
        <tr r="O3291" s="1"/>
      </tp>
      <tp>
        <v>1.60510267495401</v>
        <stp/>
        <stp>EM_S_VAL_PS_TTM</stp>
        <stp>2</stp>
        <stp>603725</stp>
        <stp>12/31/2018</stp>
        <tr r="O3230" s="1"/>
      </tp>
      <tp>
        <v>4.8680995244669498</v>
        <stp/>
        <stp>EM_S_VAL_PS_TTM</stp>
        <stp>2</stp>
        <stp>603722</stp>
        <stp>12/31/2018</stp>
        <tr r="O673" s="1"/>
      </tp>
      <tp>
        <v>4.2339671307354401</v>
        <stp/>
        <stp>EM_S_VAL_PS_TTM</stp>
        <stp>2</stp>
        <stp>603721</stp>
        <stp>12/31/2018</stp>
        <tr r="O277" s="1"/>
      </tp>
      <tp>
        <v>1.0332720982242301</v>
        <stp/>
        <stp>EM_S_VAL_PS_TTM</stp>
        <stp>2</stp>
        <stp>603729</stp>
        <stp>12/31/2018</stp>
        <tr r="O2042" s="1"/>
      </tp>
      <tp>
        <v>2.88261565257835</v>
        <stp/>
        <stp>EM_S_VAL_PS_TTM</stp>
        <stp>2</stp>
        <stp>603728</stp>
        <stp>12/31/2018</stp>
        <tr r="O2855" s="1"/>
      </tp>
      <tp>
        <v>5.3639550148805597</v>
        <stp/>
        <stp>EM_S_VAL_PS_TTM</stp>
        <stp>2</stp>
        <stp>603696</stp>
        <stp>12/31/2018</stp>
        <tr r="O2853" s="1"/>
      </tp>
      <tp>
        <v>5.6512097870337996</v>
        <stp/>
        <stp>EM_S_VAL_PS_TTM</stp>
        <stp>2</stp>
        <stp>603693</stp>
        <stp>12/31/2018</stp>
        <tr r="O3179" s="1"/>
      </tp>
      <tp>
        <v>6.9026435415122602</v>
        <stp/>
        <stp>EM_S_VAL_PS_TTM</stp>
        <stp>2</stp>
        <stp>603690</stp>
        <stp>12/31/2018</stp>
        <tr r="O133" s="1"/>
      </tp>
      <tp>
        <v>3.2905365608042501</v>
        <stp/>
        <stp>EM_S_VAL_PS_TTM</stp>
        <stp>2</stp>
        <stp>603699</stp>
        <stp>12/31/2018</stp>
        <tr r="O1395" s="1"/>
      </tp>
      <tp>
        <v>4.4928980061048902</v>
        <stp/>
        <stp>EM_S_VAL_PS_TTM</stp>
        <stp>2</stp>
        <stp>603698</stp>
        <stp>12/31/2018</stp>
        <tr r="O2873" s="1"/>
      </tp>
      <tp>
        <v>0.98381985901795299</v>
        <stp/>
        <stp>EM_S_VAL_PS_TTM</stp>
        <stp>2</stp>
        <stp>603686</stp>
        <stp>12/31/2018</stp>
        <tr r="O2229" s="1"/>
      </tp>
      <tp>
        <v>2.2922923018225401</v>
        <stp/>
        <stp>EM_S_VAL_PS_TTM</stp>
        <stp>2</stp>
        <stp>603685</stp>
        <stp>12/31/2018</stp>
        <tr r="O2615" s="1"/>
      </tp>
      <tp>
        <v>2.20164967343498</v>
        <stp/>
        <stp>EM_S_VAL_PS_TTM</stp>
        <stp>2</stp>
        <stp>603683</stp>
        <stp>12/31/2018</stp>
        <tr r="O2437" s="1"/>
      </tp>
      <tp>
        <v>3.0996981821968399</v>
        <stp/>
        <stp>EM_S_VAL_PS_TTM</stp>
        <stp>2</stp>
        <stp>603680</stp>
        <stp>12/31/2018</stp>
        <tr r="O3264" s="1"/>
      </tp>
      <tp>
        <v>1.21212636186534</v>
        <stp/>
        <stp>EM_S_VAL_PS_TTM</stp>
        <stp>2</stp>
        <stp>603689</stp>
        <stp>12/31/2018</stp>
        <tr r="O2038" s="1"/>
      </tp>
      <tp>
        <v>5.9875877159306397</v>
        <stp/>
        <stp>EM_S_VAL_PS_TTM</stp>
        <stp>2</stp>
        <stp>603688</stp>
        <stp>12/31/2018</stp>
        <tr r="O342" s="1"/>
      </tp>
      <tp>
        <v>5.1175626770583298</v>
        <stp/>
        <stp>EM_S_VAL_PS_TTM</stp>
        <stp>2</stp>
        <stp>603656</stp>
        <stp>12/31/2018</stp>
        <tr r="O1868" s="1"/>
      </tp>
      <tp>
        <v>8.9244678715722294</v>
        <stp/>
        <stp>EM_S_VAL_PS_TTM</stp>
        <stp>2</stp>
        <stp>603655</stp>
        <stp>12/31/2018</stp>
        <tr r="O604" s="1"/>
      </tp>
      <tp>
        <v>5.4357766247215702</v>
        <stp/>
        <stp>EM_S_VAL_PS_TTM</stp>
        <stp>2</stp>
        <stp>603650</stp>
        <stp>12/31/2018</stp>
        <tr r="O2848" s="1"/>
      </tp>
      <tp>
        <v>6.8911518282620703</v>
        <stp/>
        <stp>EM_S_VAL_PS_TTM</stp>
        <stp>2</stp>
        <stp>603659</stp>
        <stp>12/31/2018</stp>
        <tr r="O241" s="1"/>
      </tp>
      <tp>
        <v>11.552376860453601</v>
        <stp/>
        <stp>EM_S_VAL_PS_TTM</stp>
        <stp>2</stp>
        <stp>603658</stp>
        <stp>12/31/2018</stp>
        <tr r="O188" s="1"/>
      </tp>
      <tp>
        <v>3.2422649791637799</v>
        <stp/>
        <stp>EM_S_VAL_PS_TTM</stp>
        <stp>2</stp>
        <stp>603648</stp>
        <stp>12/31/2018</stp>
        <tr r="O2597" s="1"/>
      </tp>
      <tp>
        <v>2.0341656322594299</v>
        <stp/>
        <stp>EM_S_VAL_PS_TTM</stp>
        <stp>2</stp>
        <stp>603677</stp>
        <stp>12/31/2018</stp>
        <tr r="O2785" s="1"/>
      </tp>
      <tp>
        <v>7.7333065097430902</v>
        <stp/>
        <stp>EM_S_VAL_PS_TTM</stp>
        <stp>2</stp>
        <stp>603676</stp>
        <stp>12/31/2018</stp>
        <tr r="O2673" s="1"/>
      </tp>
      <tp>
        <v>4.0337295263467201</v>
        <stp/>
        <stp>EM_S_VAL_PS_TTM</stp>
        <stp>2</stp>
        <stp>603679</stp>
        <stp>12/31/2018</stp>
        <tr r="O247" s="1"/>
      </tp>
      <tp>
        <v>3.55454895764607</v>
        <stp/>
        <stp>EM_S_VAL_PS_TTM</stp>
        <stp>2</stp>
        <stp>603678</stp>
        <stp>12/31/2018</stp>
        <tr r="O631" s="1"/>
      </tp>
      <tp>
        <v>1.62650634058829</v>
        <stp/>
        <stp>EM_S_VAL_PS_TTM</stp>
        <stp>2</stp>
        <stp>603667</stp>
        <stp>12/31/2018</stp>
        <tr r="O1247" s="1"/>
      </tp>
      <tp>
        <v>9.9941526616034295</v>
        <stp/>
        <stp>EM_S_VAL_PS_TTM</stp>
        <stp>2</stp>
        <stp>603666</stp>
        <stp>12/31/2018</stp>
        <tr r="O575" s="1"/>
      </tp>
      <tp>
        <v>3.1171447329375099</v>
        <stp/>
        <stp>EM_S_VAL_PS_TTM</stp>
        <stp>2</stp>
        <stp>603665</stp>
        <stp>12/31/2018</stp>
        <tr r="O3001" s="1"/>
      </tp>
      <tp>
        <v>4.1143654367484297</v>
        <stp/>
        <stp>EM_S_VAL_PS_TTM</stp>
        <stp>2</stp>
        <stp>603663</stp>
        <stp>12/31/2018</stp>
        <tr r="O3084" s="1"/>
      </tp>
      <tp>
        <v>1.3779718966202199</v>
        <stp/>
        <stp>EM_S_VAL_PS_TTM</stp>
        <stp>2</stp>
        <stp>603661</stp>
        <stp>12/31/2018</stp>
        <tr r="O578" s="1"/>
      </tp>
      <tp>
        <v>2.6338616906267398</v>
        <stp/>
        <stp>EM_S_VAL_PS_TTM</stp>
        <stp>2</stp>
        <stp>603660</stp>
        <stp>12/31/2018</stp>
        <tr r="O3259" s="1"/>
      </tp>
      <tp>
        <v>2.23868261820959</v>
        <stp/>
        <stp>EM_S_VAL_PS_TTM</stp>
        <stp>2</stp>
        <stp>603669</stp>
        <stp>12/31/2018</stp>
        <tr r="O3197" s="1"/>
      </tp>
      <tp>
        <v>1.58951564795148</v>
        <stp/>
        <stp>EM_S_VAL_PS_TTM</stp>
        <stp>2</stp>
        <stp>603668</stp>
        <stp>12/31/2018</stp>
        <tr r="O1555" s="1"/>
      </tp>
      <tp>
        <v>2.7374967605307901</v>
        <stp/>
        <stp>EM_S_VAL_PS_TTM</stp>
        <stp>2</stp>
        <stp>603617</stp>
        <stp>12/31/2018</stp>
        <tr r="O2807" s="1"/>
      </tp>
      <tp>
        <v>3.84955121204296</v>
        <stp/>
        <stp>EM_S_VAL_PS_TTM</stp>
        <stp>2</stp>
        <stp>603616</stp>
        <stp>12/31/2018</stp>
        <tr r="O3209" s="1"/>
      </tp>
      <tp>
        <v>2.7257585629804302</v>
        <stp/>
        <stp>EM_S_VAL_PS_TTM</stp>
        <stp>2</stp>
        <stp>603615</stp>
        <stp>12/31/2018</stp>
        <tr r="O1733" s="1"/>
      </tp>
      <tp>
        <v>1.1168345330838101</v>
        <stp/>
        <stp>EM_S_VAL_PS_TTM</stp>
        <stp>2</stp>
        <stp>603612</stp>
        <stp>12/31/2018</stp>
        <tr r="O2028" s="1"/>
      </tp>
      <tp>
        <v>1.36121782718801</v>
        <stp/>
        <stp>EM_S_VAL_PS_TTM</stp>
        <stp>2</stp>
        <stp>603611</stp>
        <stp>12/31/2018</stp>
        <tr r="O826" s="1"/>
      </tp>
      <tp>
        <v>4.2321054772298199</v>
        <stp/>
        <stp>EM_S_VAL_PS_TTM</stp>
        <stp>2</stp>
        <stp>603619</stp>
        <stp>12/31/2018</stp>
        <tr r="O2734" s="1"/>
      </tp>
      <tp>
        <v>0.84375340767509299</v>
        <stp/>
        <stp>EM_S_VAL_PS_TTM</stp>
        <stp>2</stp>
        <stp>603618</stp>
        <stp>12/31/2018</stp>
        <tr r="O2025" s="1"/>
      </tp>
      <tp>
        <v>4.32732357093409</v>
        <stp/>
        <stp>EM_S_VAL_PS_TTM</stp>
        <stp>2</stp>
        <stp>603607</stp>
        <stp>12/31/2018</stp>
        <tr r="O1256" s="1"/>
      </tp>
      <tp>
        <v>1.69428644186043</v>
        <stp/>
        <stp>EM_S_VAL_PS_TTM</stp>
        <stp>2</stp>
        <stp>603606</stp>
        <stp>12/31/2018</stp>
        <tr r="O1264" s="1"/>
      </tp>
      <tp>
        <v>4.1667022491978498</v>
        <stp/>
        <stp>EM_S_VAL_PS_TTM</stp>
        <stp>2</stp>
        <stp>603605</stp>
        <stp>12/31/2018</stp>
        <tr r="O169" s="1"/>
      </tp>
      <tp>
        <v>1.33611747889065</v>
        <stp/>
        <stp>EM_S_VAL_PS_TTM</stp>
        <stp>2</stp>
        <stp>603603</stp>
        <stp>12/31/2018</stp>
        <tr r="O3314" s="1"/>
      </tp>
      <tp>
        <v>5.0452823430349003</v>
        <stp/>
        <stp>EM_S_VAL_PS_TTM</stp>
        <stp>2</stp>
        <stp>603602</stp>
        <stp>12/31/2018</stp>
        <tr r="O2921" s="1"/>
      </tp>
      <tp>
        <v>3.8826506629335999</v>
        <stp/>
        <stp>EM_S_VAL_PS_TTM</stp>
        <stp>2</stp>
        <stp>603601</stp>
        <stp>12/31/2018</stp>
        <tr r="O2589" s="1"/>
      </tp>
      <tp>
        <v>0.94897490082258096</v>
        <stp/>
        <stp>EM_S_VAL_PS_TTM</stp>
        <stp>2</stp>
        <stp>603600</stp>
        <stp>12/31/2018</stp>
        <tr r="O311" s="1"/>
      </tp>
      <tp>
        <v>0.42433915185474702</v>
        <stp/>
        <stp>EM_S_VAL_PS_TTM</stp>
        <stp>2</stp>
        <stp>603609</stp>
        <stp>12/31/2018</stp>
        <tr r="O548" s="1"/>
      </tp>
      <tp>
        <v>2.3885577196900201</v>
        <stp/>
        <stp>EM_S_VAL_PS_TTM</stp>
        <stp>2</stp>
        <stp>603608</stp>
        <stp>12/31/2018</stp>
        <tr r="O2963" s="1"/>
      </tp>
      <tp>
        <v>4.8926315636288997</v>
        <stp/>
        <stp>EM_S_VAL_PS_TTM</stp>
        <stp>2</stp>
        <stp>603637</stp>
        <stp>12/31/2018</stp>
        <tr r="O2119" s="1"/>
      </tp>
      <tp>
        <v>4.8348415214614198</v>
        <stp/>
        <stp>EM_S_VAL_PS_TTM</stp>
        <stp>2</stp>
        <stp>603636</stp>
        <stp>12/31/2018</stp>
        <tr r="O1377" s="1"/>
      </tp>
      <tp>
        <v>3.61467383323959</v>
        <stp/>
        <stp>EM_S_VAL_PS_TTM</stp>
        <stp>2</stp>
        <stp>603633</stp>
        <stp>12/31/2018</stp>
        <tr r="O2051" s="1"/>
      </tp>
      <tp>
        <v>3.0632568593962501</v>
        <stp/>
        <stp>EM_S_VAL_PS_TTM</stp>
        <stp>2</stp>
        <stp>603630</stp>
        <stp>12/31/2018</stp>
        <tr r="O2235" s="1"/>
      </tp>
      <tp>
        <v>2.1501066646467102</v>
        <stp/>
        <stp>EM_S_VAL_PS_TTM</stp>
        <stp>2</stp>
        <stp>603639</stp>
        <stp>12/31/2018</stp>
        <tr r="O2640" s="1"/>
      </tp>
      <tp>
        <v>6.84821414888851</v>
        <stp/>
        <stp>EM_S_VAL_PS_TTM</stp>
        <stp>2</stp>
        <stp>603638</stp>
        <stp>12/31/2018</stp>
        <tr r="O1019" s="1"/>
      </tp>
      <tp>
        <v>1.4226231624971899</v>
        <stp/>
        <stp>EM_S_VAL_PS_TTM</stp>
        <stp>2</stp>
        <stp>603626</stp>
        <stp>12/31/2018</stp>
        <tr r="O770" s="1"/>
      </tp>
      <tp>
        <v>2.55936159765997</v>
        <stp/>
        <stp>EM_S_VAL_PS_TTM</stp>
        <stp>2</stp>
        <stp>603628</stp>
        <stp>12/31/2018</stp>
        <tr r="O1789" s="1"/>
      </tp>
      <tp>
        <v>3.4291503744711198</v>
        <stp/>
        <stp>EM_S_VAL_PS_TTM</stp>
        <stp>2</stp>
        <stp>603596</stp>
        <stp>12/31/2018</stp>
        <tr r="O2425" s="1"/>
      </tp>
      <tp>
        <v>4.3802713423561404</v>
        <stp/>
        <stp>EM_S_VAL_PS_TTM</stp>
        <stp>2</stp>
        <stp>603595</stp>
        <stp>12/31/2018</stp>
        <tr r="O3013" s="1"/>
      </tp>
      <tp>
        <v>1.75513027760469</v>
        <stp/>
        <stp>EM_S_VAL_PS_TTM</stp>
        <stp>2</stp>
        <stp>603599</stp>
        <stp>12/31/2018</stp>
        <tr r="O724" s="1"/>
      </tp>
      <tp>
        <v>0.67130253990816402</v>
        <stp/>
        <stp>EM_S_VAL_PS_TTM</stp>
        <stp>2</stp>
        <stp>603598</stp>
        <stp>12/31/2018</stp>
        <tr r="O273" s="1"/>
      </tp>
      <tp>
        <v>4.3353246755533998</v>
        <stp/>
        <stp>EM_S_VAL_PS_TTM</stp>
        <stp>2</stp>
        <stp>603587</stp>
        <stp>12/31/2018</stp>
        <tr r="O1574" s="1"/>
      </tp>
      <tp>
        <v>1.9226952936331501</v>
        <stp/>
        <stp>EM_S_VAL_PS_TTM</stp>
        <stp>2</stp>
        <stp>603586</stp>
        <stp>12/31/2018</stp>
        <tr r="O698" s="1"/>
      </tp>
      <tp>
        <v>2.3211440083074701</v>
        <stp/>
        <stp>EM_S_VAL_PS_TTM</stp>
        <stp>2</stp>
        <stp>603585</stp>
        <stp>12/31/2018</stp>
        <tr r="O2125" s="1"/>
      </tp>
      <tp>
        <v>8.1058662021806391</v>
        <stp/>
        <stp>EM_S_VAL_PS_TTM</stp>
        <stp>2</stp>
        <stp>603580</stp>
        <stp>12/31/2018</stp>
        <tr r="O3094" s="1"/>
      </tp>
      <tp>
        <v>5.1385741415487898</v>
        <stp/>
        <stp>EM_S_VAL_PS_TTM</stp>
        <stp>2</stp>
        <stp>603589</stp>
        <stp>12/31/2018</stp>
        <tr r="O454" s="1"/>
      </tp>
      <tp>
        <v>1.71636165001314</v>
        <stp/>
        <stp>EM_S_VAL_PS_TTM</stp>
        <stp>2</stp>
        <stp>603588</stp>
        <stp>12/31/2018</stp>
        <tr r="O1304" s="1"/>
      </tp>
      <tp>
        <v>2.5501249841118798</v>
        <stp/>
        <stp>EM_S_VAL_PS_TTM</stp>
        <stp>2</stp>
        <stp>603557</stp>
        <stp>12/31/2018</stp>
        <tr r="O1610" s="1"/>
      </tp>
      <tp>
        <v>2.2951788791910701</v>
        <stp/>
        <stp>EM_S_VAL_PS_TTM</stp>
        <stp>2</stp>
        <stp>603556</stp>
        <stp>12/31/2018</stp>
        <tr r="O1158" s="1"/>
      </tp>
      <tp>
        <v>1.11941217125476</v>
        <stp/>
        <stp>EM_S_VAL_PS_TTM</stp>
        <stp>2</stp>
        <stp>603555</stp>
        <stp>12/31/2018</stp>
        <tr r="O2224" s="1"/>
      </tp>
      <tp>
        <v>5.8095076733478299</v>
        <stp/>
        <stp>EM_S_VAL_PS_TTM</stp>
        <stp>2</stp>
        <stp>603559</stp>
        <stp>12/31/2018</stp>
        <tr r="O3183" s="1"/>
      </tp>
      <tp>
        <v>2.9692266093529498</v>
        <stp/>
        <stp>EM_S_VAL_PS_TTM</stp>
        <stp>2</stp>
        <stp>603558</stp>
        <stp>12/31/2018</stp>
        <tr r="O2587" s="1"/>
      </tp>
      <tp>
        <v>1.8026162573059299</v>
        <stp/>
        <stp>EM_S_VAL_PS_TTM</stp>
        <stp>2</stp>
        <stp>603577</stp>
        <stp>12/31/2018</stp>
        <tr r="O1423" s="1"/>
      </tp>
      <tp>
        <v>1.6553276979582301</v>
        <stp/>
        <stp>EM_S_VAL_PS_TTM</stp>
        <stp>2</stp>
        <stp>603579</stp>
        <stp>12/31/2018</stp>
        <tr r="O1908" s="1"/>
      </tp>
      <tp>
        <v>5.0212817730401902</v>
        <stp/>
        <stp>EM_S_VAL_PS_TTM</stp>
        <stp>2</stp>
        <stp>603578</stp>
        <stp>12/31/2018</stp>
        <tr r="O1869" s="1"/>
      </tp>
      <tp>
        <v>3.18543372298782</v>
        <stp/>
        <stp>EM_S_VAL_PS_TTM</stp>
        <stp>2</stp>
        <stp>603567</stp>
        <stp>12/31/2018</stp>
        <tr r="O2492" s="1"/>
      </tp>
      <tp>
        <v>6.5949661565214504</v>
        <stp/>
        <stp>EM_S_VAL_PS_TTM</stp>
        <stp>2</stp>
        <stp>603566</stp>
        <stp>12/31/2018</stp>
        <tr r="O482" s="1"/>
      </tp>
      <tp>
        <v>1.1267842629725</v>
        <stp/>
        <stp>EM_S_VAL_PS_TTM</stp>
        <stp>2</stp>
        <stp>603569</stp>
        <stp>12/31/2018</stp>
        <tr r="O2510" s="1"/>
      </tp>
      <tp>
        <v>10.636460453001799</v>
        <stp/>
        <stp>EM_S_VAL_PS_TTM</stp>
        <stp>2</stp>
        <stp>603568</stp>
        <stp>12/31/2018</stp>
        <tr r="O2253" s="1"/>
      </tp>
      <tp>
        <v>3.21175431978389</v>
        <stp/>
        <stp>EM_S_VAL_PS_TTM</stp>
        <stp>2</stp>
        <stp>603517</stp>
        <stp>12/31/2018</stp>
        <tr r="O793" s="1"/>
      </tp>
      <tp>
        <v>11.5256808328754</v>
        <stp/>
        <stp>EM_S_VAL_PS_TTM</stp>
        <stp>2</stp>
        <stp>603516</stp>
        <stp>12/31/2018</stp>
        <tr r="O366" s="1"/>
      </tp>
      <tp>
        <v>2.7294484185203198</v>
        <stp/>
        <stp>EM_S_VAL_PS_TTM</stp>
        <stp>2</stp>
        <stp>603515</stp>
        <stp>12/31/2018</stp>
        <tr r="O2247" s="1"/>
      </tp>
      <tp>
        <v>1.62721515643467</v>
        <stp/>
        <stp>EM_S_VAL_PS_TTM</stp>
        <stp>2</stp>
        <stp>603519</stp>
        <stp>12/31/2018</stp>
        <tr r="O531" s="1"/>
      </tp>
      <tp>
        <v>0.83838347539547098</v>
        <stp/>
        <stp>EM_S_VAL_PS_TTM</stp>
        <stp>2</stp>
        <stp>603518</stp>
        <stp>12/31/2018</stp>
        <tr r="O3366" s="1"/>
      </tp>
      <tp>
        <v>3.32368787839482</v>
        <stp/>
        <stp>EM_S_VAL_PS_TTM</stp>
        <stp>2</stp>
        <stp>603507</stp>
        <stp>12/31/2018</stp>
        <tr r="O2178" s="1"/>
      </tp>
      <tp>
        <v>2.34589596703346</v>
        <stp/>
        <stp>EM_S_VAL_PS_TTM</stp>
        <stp>2</stp>
        <stp>603506</stp>
        <stp>12/31/2018</stp>
        <tr r="O2595" s="1"/>
      </tp>
      <tp>
        <v>5.82819048576214</v>
        <stp/>
        <stp>EM_S_VAL_PS_TTM</stp>
        <stp>2</stp>
        <stp>603505</stp>
        <stp>12/31/2018</stp>
        <tr r="O335" s="1"/>
      </tp>
      <tp>
        <v>3.4339845965756801</v>
        <stp/>
        <stp>EM_S_VAL_PS_TTM</stp>
        <stp>2</stp>
        <stp>603501</stp>
        <stp>12/31/2018</stp>
        <tr r="O18" s="1"/>
      </tp>
      <tp>
        <v>6.1500477592147096</v>
        <stp/>
        <stp>EM_S_VAL_PS_TTM</stp>
        <stp>2</stp>
        <stp>603500</stp>
        <stp>12/31/2018</stp>
        <tr r="O1345" s="1"/>
      </tp>
      <tp>
        <v>11.826669783922499</v>
        <stp/>
        <stp>EM_S_VAL_PS_TTM</stp>
        <stp>2</stp>
        <stp>603508</stp>
        <stp>12/31/2018</stp>
        <tr r="O586" s="1"/>
      </tp>
      <tp>
        <v>1.3758787804927</v>
        <stp/>
        <stp>EM_S_VAL_PS_TTM</stp>
        <stp>2</stp>
        <stp>603536</stp>
        <stp>12/31/2018</stp>
        <tr r="O60" s="1"/>
      </tp>
      <tp>
        <v>2.5077543502802402</v>
        <stp/>
        <stp>EM_S_VAL_PS_TTM</stp>
        <stp>2</stp>
        <stp>603535</stp>
        <stp>12/31/2018</stp>
        <tr r="O2420" s="1"/>
      </tp>
      <tp>
        <v>3.8409092717532798</v>
        <stp/>
        <stp>EM_S_VAL_PS_TTM</stp>
        <stp>2</stp>
        <stp>603533</stp>
        <stp>12/31/2018</stp>
        <tr r="O2569" s="1"/>
      </tp>
      <tp>
        <v>3.9978080855426898</v>
        <stp/>
        <stp>EM_S_VAL_PS_TTM</stp>
        <stp>2</stp>
        <stp>603538</stp>
        <stp>12/31/2018</stp>
        <tr r="O1150" s="1"/>
      </tp>
      <tp>
        <v>0.55969691918002196</v>
        <stp/>
        <stp>EM_S_VAL_PS_TTM</stp>
        <stp>2</stp>
        <stp>603527</stp>
        <stp>12/31/2018</stp>
        <tr r="O1518" s="1"/>
      </tp>
      <tp>
        <v>3.9893335069337001</v>
        <stp/>
        <stp>EM_S_VAL_PS_TTM</stp>
        <stp>2</stp>
        <stp>603520</stp>
        <stp>12/31/2018</stp>
        <tr r="O419" s="1"/>
      </tp>
      <tp>
        <v>7.1602133087801896</v>
        <stp/>
        <stp>EM_S_VAL_PS_TTM</stp>
        <stp>2</stp>
        <stp>603528</stp>
        <stp>12/31/2018</stp>
        <tr r="O1609" s="1"/>
      </tp>
      <tp>
        <v>8.0475786692582894</v>
        <stp/>
        <stp>EM_S_VAL_PS_TTM</stp>
        <stp>2</stp>
        <stp>603496</stp>
        <stp>12/31/2018</stp>
        <tr r="O2724" s="1"/>
      </tp>
      <tp>
        <v>5.4741336532752403</v>
        <stp/>
        <stp>EM_S_VAL_PS_TTM</stp>
        <stp>2</stp>
        <stp>603499</stp>
        <stp>12/31/2018</stp>
        <tr r="O3091" s="1"/>
      </tp>
      <tp>
        <v>3.42553922856635</v>
        <stp/>
        <stp>EM_S_VAL_PS_TTM</stp>
        <stp>2</stp>
        <stp>603486</stp>
        <stp>12/31/2018</stp>
        <tr r="O3384" s="1"/>
      </tp>
      <tp>
        <v>5.1466859471433901</v>
        <stp/>
        <stp>EM_S_VAL_PS_TTM</stp>
        <stp>2</stp>
        <stp>603488</stp>
        <stp>12/31/2018</stp>
        <tr r="O1208" s="1"/>
      </tp>
      <tp>
        <v>2.9253463315202901</v>
        <stp/>
        <stp>EM_S_VAL_PS_TTM</stp>
        <stp>2</stp>
        <stp>603456</stp>
        <stp>12/31/2018</stp>
        <tr r="O126" s="1"/>
      </tp>
      <tp>
        <v>1.8492954628968401</v>
        <stp/>
        <stp>EM_S_VAL_PS_TTM</stp>
        <stp>2</stp>
        <stp>603458</stp>
        <stp>12/31/2018</stp>
        <tr r="O3290" s="1"/>
      </tp>
      <tp>
        <v>6.9317587647050001</v>
        <stp/>
        <stp>EM_S_VAL_PS_TTM</stp>
        <stp>2</stp>
        <stp>603444</stp>
        <stp>12/31/2018</stp>
        <tr r="O141" s="1"/>
      </tp>
      <tp>
        <v>2.7399407936067801</v>
        <stp/>
        <stp>EM_S_VAL_PS_TTM</stp>
        <stp>2</stp>
        <stp>603477</stp>
        <stp>12/31/2018</stp>
        <tr r="O496" s="1"/>
      </tp>
      <tp>
        <v>2.8479261852409299</v>
        <stp/>
        <stp>EM_S_VAL_PS_TTM</stp>
        <stp>2</stp>
        <stp>603466</stp>
        <stp>12/31/2018</stp>
        <tr r="O2505" s="1"/>
      </tp>
      <tp>
        <v>4.88815134798676</v>
        <stp/>
        <stp>EM_S_VAL_PS_TTM</stp>
        <stp>2</stp>
        <stp>603416</stp>
        <stp>12/31/2018</stp>
        <tr r="O745" s="1"/>
      </tp>
      <tp>
        <v>5.5222890702910803</v>
        <stp/>
        <stp>EM_S_VAL_PS_TTM</stp>
        <stp>2</stp>
        <stp>603421</stp>
        <stp>12/31/2018</stp>
        <tr r="O3047" s="1"/>
      </tp>
      <tp>
        <v>12.0710744184549</v>
        <stp/>
        <stp>EM_S_VAL_PS_TTM</stp>
        <stp>2</stp>
        <stp>603429</stp>
        <stp>12/31/2018</stp>
        <tr r="O535" s="1"/>
      </tp>
      <tp>
        <v>2.2719862656950198</v>
        <stp/>
        <stp>EM_S_VAL_PS_TTM</stp>
        <stp>2</stp>
        <stp>603997</stp>
        <stp>12/31/2018</stp>
        <tr r="O1914" s="1"/>
      </tp>
      <tp>
        <v>0.27494332340497901</v>
        <stp/>
        <stp>EM_S_VAL_PS_TTM</stp>
        <stp>2</stp>
        <stp>603996</stp>
        <stp>12/31/2018</stp>
        <tr r="O3243" s="1"/>
      </tp>
      <tp>
        <v>3.0617770103176198</v>
        <stp/>
        <stp>EM_S_VAL_PS_TTM</stp>
        <stp>2</stp>
        <stp>603993</stp>
        <stp>12/31/2018</stp>
        <tr r="O1415" s="1"/>
      </tp>
      <tp>
        <v>2.3827188538229298</v>
        <stp/>
        <stp>EM_S_VAL_PS_TTM</stp>
        <stp>2</stp>
        <stp>603991</stp>
        <stp>12/31/2018</stp>
        <tr r="O2590" s="1"/>
      </tp>
      <tp>
        <v>10.092078373967899</v>
        <stp/>
        <stp>EM_S_VAL_PS_TTM</stp>
        <stp>2</stp>
        <stp>603990</stp>
        <stp>12/31/2018</stp>
        <tr r="O2011" s="1"/>
      </tp>
      <tp>
        <v>3.8029073945150702</v>
        <stp/>
        <stp>EM_S_VAL_PS_TTM</stp>
        <stp>2</stp>
        <stp>603999</stp>
        <stp>12/31/2018</stp>
        <tr r="O473" s="1"/>
      </tp>
      <tp>
        <v>2.0023203874295499</v>
        <stp/>
        <stp>EM_S_VAL_PS_TTM</stp>
        <stp>2</stp>
        <stp>603998</stp>
        <stp>12/31/2018</stp>
        <tr r="O287" s="1"/>
      </tp>
      <tp>
        <v>2.0415288603045401</v>
        <stp/>
        <stp>EM_S_VAL_PS_TTM</stp>
        <stp>2</stp>
        <stp>603987</stp>
        <stp>12/31/2018</stp>
        <tr r="O1117" s="1"/>
      </tp>
      <tp>
        <v>7.94132521231161</v>
        <stp/>
        <stp>EM_S_VAL_PS_TTM</stp>
        <stp>2</stp>
        <stp>603986</stp>
        <stp>12/31/2018</stp>
        <tr r="O35" s="1"/>
      </tp>
      <tp>
        <v>2.1717894325422198</v>
        <stp/>
        <stp>EM_S_VAL_PS_TTM</stp>
        <stp>2</stp>
        <stp>603985</stp>
        <stp>12/31/2018</stp>
        <tr r="O3160" s="1"/>
      </tp>
      <tp>
        <v>2.1619495869551302</v>
        <stp/>
        <stp>EM_S_VAL_PS_TTM</stp>
        <stp>2</stp>
        <stp>603980</stp>
        <stp>12/31/2018</stp>
        <tr r="O3238" s="1"/>
      </tp>
      <tp>
        <v>3.6780140221928699</v>
        <stp/>
        <stp>EM_S_VAL_PS_TTM</stp>
        <stp>2</stp>
        <stp>603989</stp>
        <stp>12/31/2018</stp>
        <tr r="O1726" s="1"/>
      </tp>
      <tp>
        <v>5.5891388156625199</v>
        <stp/>
        <stp>EM_S_VAL_PS_TTM</stp>
        <stp>2</stp>
        <stp>603988</stp>
        <stp>12/31/2018</stp>
        <tr r="O2544" s="1"/>
      </tp>
      <tp>
        <v>2.0540426700828398</v>
        <stp/>
        <stp>EM_S_VAL_PS_TTM</stp>
        <stp>2</stp>
        <stp>603955</stp>
        <stp>12/31/2018</stp>
        <tr r="O1547" s="1"/>
      </tp>
      <tp>
        <v>6.41511812426711</v>
        <stp/>
        <stp>EM_S_VAL_PS_TTM</stp>
        <stp>2</stp>
        <stp>603959</stp>
        <stp>12/31/2018</stp>
        <tr r="O3275" s="1"/>
      </tp>
      <tp>
        <v>1.23593552452766</v>
        <stp/>
        <stp>EM_S_VAL_PS_TTM</stp>
        <stp>2</stp>
        <stp>603958</stp>
        <stp>12/31/2018</stp>
        <tr r="O2677" s="1"/>
      </tp>
      <tp>
        <v>4.0679190173611497</v>
        <stp/>
        <stp>EM_S_VAL_PS_TTM</stp>
        <stp>2</stp>
        <stp>603977</stp>
        <stp>12/31/2018</stp>
        <tr r="O1382" s="1"/>
      </tp>
      <tp>
        <v>4.2427419109801896</v>
        <stp/>
        <stp>EM_S_VAL_PS_TTM</stp>
        <stp>2</stp>
        <stp>603976</stp>
        <stp>12/31/2018</stp>
        <tr r="O1880" s="1"/>
      </tp>
      <tp>
        <v>0.69462026802371601</v>
        <stp/>
        <stp>EM_S_VAL_PS_TTM</stp>
        <stp>2</stp>
        <stp>603970</stp>
        <stp>12/31/2018</stp>
        <tr r="O3016" s="1"/>
      </tp>
      <tp>
        <v>1.51368834770418</v>
        <stp/>
        <stp>EM_S_VAL_PS_TTM</stp>
        <stp>2</stp>
        <stp>603979</stp>
        <stp>12/31/2018</stp>
        <tr r="O1297" s="1"/>
      </tp>
      <tp>
        <v>2.8872121131031201</v>
        <stp/>
        <stp>EM_S_VAL_PS_TTM</stp>
        <stp>2</stp>
        <stp>603978</stp>
        <stp>12/31/2018</stp>
        <tr r="O780" s="1"/>
      </tp>
      <tp>
        <v>2.5003658254453698</v>
        <stp/>
        <stp>EM_S_VAL_PS_TTM</stp>
        <stp>2</stp>
        <stp>603966</stp>
        <stp>12/31/2018</stp>
        <tr r="O1319" s="1"/>
      </tp>
      <tp>
        <v>3.9754693011475499</v>
        <stp/>
        <stp>EM_S_VAL_PS_TTM</stp>
        <stp>2</stp>
        <stp>603963</stp>
        <stp>12/31/2018</stp>
        <tr r="O2617" s="1"/>
      </tp>
      <tp>
        <v>8.0853898707617606</v>
        <stp/>
        <stp>EM_S_VAL_PS_TTM</stp>
        <stp>2</stp>
        <stp>603960</stp>
        <stp>12/31/2018</stp>
        <tr r="O1420" s="1"/>
      </tp>
      <tp>
        <v>1.6891313100796199</v>
        <stp/>
        <stp>EM_S_VAL_PS_TTM</stp>
        <stp>2</stp>
        <stp>603969</stp>
        <stp>12/31/2018</stp>
        <tr r="O2760" s="1"/>
      </tp>
      <tp>
        <v>1.2910580163847301</v>
        <stp/>
        <stp>EM_S_VAL_PS_TTM</stp>
        <stp>2</stp>
        <stp>603968</stp>
        <stp>12/31/2018</stp>
        <tr r="O1405" s="1"/>
      </tp>
      <tp>
        <v>3.1555549507092899</v>
        <stp/>
        <stp>EM_S_VAL_PS_TTM</stp>
        <stp>2</stp>
        <stp>603917</stp>
        <stp>12/31/2018</stp>
        <tr r="O2852" s="1"/>
      </tp>
      <tp>
        <v>1.6463224015778699</v>
        <stp/>
        <stp>EM_S_VAL_PS_TTM</stp>
        <stp>2</stp>
        <stp>603916</stp>
        <stp>12/31/2018</stp>
        <tr r="O639" s="1"/>
      </tp>
      <tp>
        <v>5.35595528585743</v>
        <stp/>
        <stp>EM_S_VAL_PS_TTM</stp>
        <stp>2</stp>
        <stp>603912</stp>
        <stp>12/31/2018</stp>
        <tr r="O2116" s="1"/>
      </tp>
      <tp>
        <v>3.1343295738566299</v>
        <stp/>
        <stp>EM_S_VAL_PS_TTM</stp>
        <stp>2</stp>
        <stp>603919</stp>
        <stp>12/31/2018</stp>
        <tr r="O540" s="1"/>
      </tp>
      <tp>
        <v>2.7511007792213902</v>
        <stp/>
        <stp>EM_S_VAL_PS_TTM</stp>
        <stp>2</stp>
        <stp>603918</stp>
        <stp>12/31/2018</stp>
        <tr r="O2585" s="1"/>
      </tp>
      <tp>
        <v>1.5135343634543399</v>
        <stp/>
        <stp>EM_S_VAL_PS_TTM</stp>
        <stp>2</stp>
        <stp>603906</stp>
        <stp>12/31/2018</stp>
        <tr r="O1119" s="1"/>
      </tp>
      <tp>
        <v>2.2739274517477099</v>
        <stp/>
        <stp>EM_S_VAL_PS_TTM</stp>
        <stp>2</stp>
        <stp>603903</stp>
        <stp>12/31/2018</stp>
        <tr r="O3225" s="1"/>
      </tp>
      <tp>
        <v>1.83640619559826</v>
        <stp/>
        <stp>EM_S_VAL_PS_TTM</stp>
        <stp>2</stp>
        <stp>603901</stp>
        <stp>12/31/2018</stp>
        <tr r="O415" s="1"/>
      </tp>
      <tp>
        <v>2.2105658887546</v>
        <stp/>
        <stp>EM_S_VAL_PS_TTM</stp>
        <stp>2</stp>
        <stp>603900</stp>
        <stp>12/31/2018</stp>
        <tr r="O3083" s="1"/>
      </tp>
      <tp>
        <v>5.7283396492954202</v>
        <stp/>
        <stp>EM_S_VAL_PS_TTM</stp>
        <stp>2</stp>
        <stp>603909</stp>
        <stp>12/31/2018</stp>
        <tr r="O3356" s="1"/>
      </tp>
      <tp>
        <v>2.9180685983151702</v>
        <stp/>
        <stp>EM_S_VAL_PS_TTM</stp>
        <stp>2</stp>
        <stp>603908</stp>
        <stp>12/31/2018</stp>
        <tr r="O2189" s="1"/>
      </tp>
      <tp>
        <v>1.7660527721605299</v>
        <stp/>
        <stp>EM_S_VAL_PS_TTM</stp>
        <stp>2</stp>
        <stp>603937</stp>
        <stp>12/31/2018</stp>
        <tr r="O2150" s="1"/>
      </tp>
      <tp>
        <v>1.53984997820873</v>
        <stp/>
        <stp>EM_S_VAL_PS_TTM</stp>
        <stp>2</stp>
        <stp>603936</stp>
        <stp>12/31/2018</stp>
        <tr r="O1179" s="1"/>
      </tp>
      <tp>
        <v>1.41660134069947</v>
        <stp/>
        <stp>EM_S_VAL_PS_TTM</stp>
        <stp>2</stp>
        <stp>603933</stp>
        <stp>12/31/2018</stp>
        <tr r="O2900" s="1"/>
      </tp>
      <tp>
        <v>2.5954791640137902</v>
        <stp/>
        <stp>EM_S_VAL_PS_TTM</stp>
        <stp>2</stp>
        <stp>603939</stp>
        <stp>12/31/2018</stp>
        <tr r="O285" s="1"/>
      </tp>
      <tp>
        <v>2.5662310059972002</v>
        <stp/>
        <stp>EM_S_VAL_PS_TTM</stp>
        <stp>2</stp>
        <stp>603938</stp>
        <stp>12/31/2018</stp>
        <tr r="O1870" s="1"/>
      </tp>
      <tp>
        <v>1.93127443819439</v>
        <stp/>
        <stp>EM_S_VAL_PS_TTM</stp>
        <stp>2</stp>
        <stp>603926</stp>
        <stp>12/31/2018</stp>
        <tr r="O2907" s="1"/>
      </tp>
      <tp>
        <v>1.85386603978749</v>
        <stp/>
        <stp>EM_S_VAL_PS_TTM</stp>
        <stp>2</stp>
        <stp>603922</stp>
        <stp>12/31/2018</stp>
        <tr r="O2100" s="1"/>
      </tp>
      <tp>
        <v>2.3218274411180602</v>
        <stp/>
        <stp>EM_S_VAL_PS_TTM</stp>
        <stp>2</stp>
        <stp>603920</stp>
        <stp>12/31/2018</stp>
        <tr r="O354" s="1"/>
      </tp>
      <tp>
        <v>1.33767093872348</v>
        <stp/>
        <stp>EM_S_VAL_PS_TTM</stp>
        <stp>2</stp>
        <stp>603929</stp>
        <stp>12/31/2018</stp>
        <tr r="O2220" s="1"/>
      </tp>
      <tp>
        <v>1.88941431394441</v>
        <stp/>
        <stp>EM_S_VAL_PS_TTM</stp>
        <stp>2</stp>
        <stp>603928</stp>
        <stp>12/31/2018</stp>
        <tr r="O2878" s="1"/>
      </tp>
      <tp>
        <v>0.80274244806633899</v>
        <stp/>
        <stp>EM_S_VAL_PS_TTM</stp>
        <stp>2</stp>
        <stp>603897</stp>
        <stp>12/31/2018</stp>
        <tr r="O2927" s="1"/>
      </tp>
      <tp>
        <v>8.2343748159842196</v>
        <stp/>
        <stp>EM_S_VAL_PS_TTM</stp>
        <stp>2</stp>
        <stp>603896</stp>
        <stp>12/31/2018</stp>
        <tr r="O1605" s="1"/>
      </tp>
      <tp>
        <v>5.45065639506943</v>
        <stp/>
        <stp>EM_S_VAL_PS_TTM</stp>
        <stp>2</stp>
        <stp>603895</stp>
        <stp>12/31/2018</stp>
        <tr r="O2804" s="1"/>
      </tp>
      <tp>
        <v>1.29519974035163</v>
        <stp/>
        <stp>EM_S_VAL_PS_TTM</stp>
        <stp>2</stp>
        <stp>603890</stp>
        <stp>12/31/2018</stp>
        <tr r="O2755" s="1"/>
      </tp>
      <tp>
        <v>3.48410865224609</v>
        <stp/>
        <stp>EM_S_VAL_PS_TTM</stp>
        <stp>2</stp>
        <stp>603899</stp>
        <stp>12/31/2018</stp>
        <tr r="O439" s="1"/>
      </tp>
      <tp>
        <v>2.3039212946888501</v>
        <stp/>
        <stp>EM_S_VAL_PS_TTM</stp>
        <stp>2</stp>
        <stp>603898</stp>
        <stp>12/31/2018</stp>
        <tr r="O2001" s="1"/>
      </tp>
      <tp>
        <v>1.6478372866292801</v>
        <stp/>
        <stp>EM_S_VAL_PS_TTM</stp>
        <stp>2</stp>
        <stp>603887</stp>
        <stp>12/31/2018</stp>
        <tr r="O293" s="1"/>
      </tp>
      <tp>
        <v>2.0916756805673802</v>
        <stp/>
        <stp>EM_S_VAL_PS_TTM</stp>
        <stp>2</stp>
        <stp>603886</stp>
        <stp>12/31/2018</stp>
        <tr r="O2380" s="1"/>
      </tp>
      <tp>
        <v>1.6265139308602099</v>
        <stp/>
        <stp>EM_S_VAL_PS_TTM</stp>
        <stp>2</stp>
        <stp>603885</stp>
        <stp>12/31/2018</stp>
        <tr r="O1184" s="1"/>
      </tp>
      <tp>
        <v>1.4922704289092401</v>
        <stp/>
        <stp>EM_S_VAL_PS_TTM</stp>
        <stp>2</stp>
        <stp>603883</stp>
        <stp>12/31/2018</stp>
        <tr r="O819" s="1"/>
      </tp>
      <tp>
        <v>2.36739666999856</v>
        <stp/>
        <stp>EM_S_VAL_PS_TTM</stp>
        <stp>2</stp>
        <stp>603882</stp>
        <stp>12/31/2018</stp>
        <tr r="O116" s="1"/>
      </tp>
      <tp>
        <v>8.0473480545172293</v>
        <stp/>
        <stp>EM_S_VAL_PS_TTM</stp>
        <stp>2</stp>
        <stp>603881</stp>
        <stp>12/31/2018</stp>
        <tr r="O513" s="1"/>
      </tp>
      <tp>
        <v>3.2238879260920599</v>
        <stp/>
        <stp>EM_S_VAL_PS_TTM</stp>
        <stp>2</stp>
        <stp>603880</stp>
        <stp>12/31/2018</stp>
        <tr r="O2774" s="1"/>
      </tp>
      <tp>
        <v>1.37489498462788</v>
        <stp/>
        <stp>EM_S_VAL_PS_TTM</stp>
        <stp>2</stp>
        <stp>603889</stp>
        <stp>12/31/2018</stp>
        <tr r="O3265" s="1"/>
      </tp>
      <tp>
        <v>4.2536500750810404</v>
        <stp/>
        <stp>EM_S_VAL_PS_TTM</stp>
        <stp>2</stp>
        <stp>603888</stp>
        <stp>12/31/2018</stp>
        <tr r="O402" s="1"/>
      </tp>
      <tp>
        <v>1.85252726023587</v>
        <stp/>
        <stp>EM_S_VAL_PS_TTM</stp>
        <stp>2</stp>
        <stp>603856</stp>
        <stp>12/31/2018</stp>
        <tr r="O2996" s="1"/>
      </tp>
      <tp>
        <v>1.5822961437443299</v>
        <stp/>
        <stp>EM_S_VAL_PS_TTM</stp>
        <stp>2</stp>
        <stp>603855</stp>
        <stp>12/31/2018</stp>
        <tr r="O1126" s="1"/>
      </tp>
      <tp>
        <v>5.3282894623103196</v>
        <stp/>
        <stp>EM_S_VAL_PS_TTM</stp>
        <stp>2</stp>
        <stp>603859</stp>
        <stp>12/31/2018</stp>
        <tr r="O443" s="1"/>
      </tp>
      <tp>
        <v>1.6349659429091801</v>
        <stp/>
        <stp>EM_S_VAL_PS_TTM</stp>
        <stp>2</stp>
        <stp>603858</stp>
        <stp>12/31/2018</stp>
        <tr r="O3059" s="1"/>
      </tp>
      <tp>
        <v>1.4061813275414901</v>
        <stp/>
        <stp>EM_S_VAL_PS_TTM</stp>
        <stp>2</stp>
        <stp>603843</stp>
        <stp>12/31/2018</stp>
        <tr r="O3316" s="1"/>
      </tp>
      <tp>
        <v>4.8419315584415399</v>
        <stp/>
        <stp>EM_S_VAL_PS_TTM</stp>
        <stp>2</stp>
        <stp>603848</stp>
        <stp>12/31/2018</stp>
        <tr r="O2703" s="1"/>
      </tp>
      <tp>
        <v>1.17176725293874</v>
        <stp/>
        <stp>EM_S_VAL_PS_TTM</stp>
        <stp>2</stp>
        <stp>603877</stp>
        <stp>12/31/2018</stp>
        <tr r="O2990" s="1"/>
      </tp>
      <tp>
        <v>0.77725274066775996</v>
        <stp/>
        <stp>EM_S_VAL_PS_TTM</stp>
        <stp>2</stp>
        <stp>603876</stp>
        <stp>12/31/2018</stp>
        <tr r="O2926" s="1"/>
      </tp>
      <tp>
        <v>0.99856026274796805</v>
        <stp/>
        <stp>EM_S_VAL_PS_TTM</stp>
        <stp>2</stp>
        <stp>603871</stp>
        <stp>12/31/2018</stp>
        <tr r="O2770" s="1"/>
      </tp>
      <tp>
        <v>2.3499524535552299</v>
        <stp/>
        <stp>EM_S_VAL_PS_TTM</stp>
        <stp>2</stp>
        <stp>603879</stp>
        <stp>12/31/2018</stp>
        <tr r="O1251" s="1"/>
      </tp>
      <tp>
        <v>1.2260269718919701</v>
        <stp/>
        <stp>EM_S_VAL_PS_TTM</stp>
        <stp>2</stp>
        <stp>603878</stp>
        <stp>12/31/2018</stp>
        <tr r="O2363" s="1"/>
      </tp>
      <tp>
        <v>4.5718098652918204</v>
        <stp/>
        <stp>EM_S_VAL_PS_TTM</stp>
        <stp>2</stp>
        <stp>603866</stp>
        <stp>12/31/2018</stp>
        <tr r="O2655" s="1"/>
      </tp>
      <tp>
        <v>2.8110108616046698</v>
        <stp/>
        <stp>EM_S_VAL_PS_TTM</stp>
        <stp>2</stp>
        <stp>603861</stp>
        <stp>12/31/2018</stp>
        <tr r="O3153" s="1"/>
      </tp>
      <tp>
        <v>7.9001765875732799</v>
        <stp/>
        <stp>EM_S_VAL_PS_TTM</stp>
        <stp>2</stp>
        <stp>603860</stp>
        <stp>12/31/2018</stp>
        <tr r="O1627" s="1"/>
      </tp>
      <tp>
        <v>1.8242423108655601</v>
        <stp/>
        <stp>EM_S_VAL_PS_TTM</stp>
        <stp>2</stp>
        <stp>603869</stp>
        <stp>12/31/2018</stp>
        <tr r="O3074" s="1"/>
      </tp>
      <tp>
        <v>4.1482471335545199</v>
        <stp/>
        <stp>EM_S_VAL_PS_TTM</stp>
        <stp>2</stp>
        <stp>603868</stp>
        <stp>12/31/2018</stp>
        <tr r="O2443" s="1"/>
      </tp>
      <tp>
        <v>6.6732415189358196</v>
        <stp/>
        <stp>EM_S_VAL_PS_TTM</stp>
        <stp>2</stp>
        <stp>603817</stp>
        <stp>12/31/2018</stp>
        <tr r="O1638" s="1"/>
      </tp>
      <tp>
        <v>2.3579444765411401</v>
        <stp/>
        <stp>EM_S_VAL_PS_TTM</stp>
        <stp>2</stp>
        <stp>603816</stp>
        <stp>12/31/2018</stp>
        <tr r="O2230" s="1"/>
      </tp>
      <tp>
        <v>2.28978943617585</v>
        <stp/>
        <stp>EM_S_VAL_PS_TTM</stp>
        <stp>2</stp>
        <stp>603813</stp>
        <stp>12/31/2018</stp>
        <tr r="O2153" s="1"/>
      </tp>
      <tp>
        <v>3.7683393864446901</v>
        <stp/>
        <stp>EM_S_VAL_PS_TTM</stp>
        <stp>2</stp>
        <stp>603811</stp>
        <stp>12/31/2018</stp>
        <tr r="O503" s="1"/>
      </tp>
      <tp>
        <v>2.2188841453372201</v>
        <stp/>
        <stp>EM_S_VAL_PS_TTM</stp>
        <stp>2</stp>
        <stp>603819</stp>
        <stp>12/31/2018</stp>
        <tr r="O2892" s="1"/>
      </tp>
      <tp>
        <v>1.3984090279141901</v>
        <stp/>
        <stp>EM_S_VAL_PS_TTM</stp>
        <stp>2</stp>
        <stp>603818</stp>
        <stp>12/31/2018</stp>
        <tr r="O1096" s="1"/>
      </tp>
      <tp>
        <v>3.0471043422140802</v>
        <stp/>
        <stp>EM_S_VAL_PS_TTM</stp>
        <stp>2</stp>
        <stp>603806</stp>
        <stp>12/31/2018</stp>
        <tr r="O249" s="1"/>
      </tp>
      <tp>
        <v>1.8618149265666399</v>
        <stp/>
        <stp>EM_S_VAL_PS_TTM</stp>
        <stp>2</stp>
        <stp>603803</stp>
        <stp>12/31/2018</stp>
        <tr r="O1040" s="1"/>
      </tp>
      <tp>
        <v>1.5966037417458301</v>
        <stp/>
        <stp>EM_S_VAL_PS_TTM</stp>
        <stp>2</stp>
        <stp>603801</stp>
        <stp>12/31/2018</stp>
        <tr r="O2581" s="1"/>
      </tp>
      <tp>
        <v>2.19842771027619</v>
        <stp/>
        <stp>EM_S_VAL_PS_TTM</stp>
        <stp>2</stp>
        <stp>603800</stp>
        <stp>12/31/2018</stp>
        <tr r="O1378" s="1"/>
      </tp>
      <tp>
        <v>2.3644139612512798</v>
        <stp/>
        <stp>EM_S_VAL_PS_TTM</stp>
        <stp>2</stp>
        <stp>603809</stp>
        <stp>12/31/2018</stp>
        <tr r="O3285" s="1"/>
      </tp>
      <tp>
        <v>2.27103025813715</v>
        <stp/>
        <stp>EM_S_VAL_PS_TTM</stp>
        <stp>2</stp>
        <stp>603808</stp>
        <stp>12/31/2018</stp>
        <tr r="O2714" s="1"/>
      </tp>
      <tp>
        <v>3.0449073486627798</v>
        <stp/>
        <stp>EM_S_VAL_PS_TTM</stp>
        <stp>2</stp>
        <stp>603833</stp>
        <stp>12/31/2018</stp>
        <tr r="O634" s="1"/>
      </tp>
      <tp>
        <v>2.72649547846544</v>
        <stp/>
        <stp>EM_S_VAL_PS_TTM</stp>
        <stp>2</stp>
        <stp>603839</stp>
        <stp>12/31/2018</stp>
        <tr r="O1152" s="1"/>
      </tp>
      <tp>
        <v>5.7703019830416604</v>
        <stp/>
        <stp>EM_S_VAL_PS_TTM</stp>
        <stp>2</stp>
        <stp>603838</stp>
        <stp>12/31/2018</stp>
        <tr r="O2880" s="1"/>
      </tp>
      <tp>
        <v>11.504870580281301</v>
        <stp/>
        <stp>EM_S_VAL_PS_TTM</stp>
        <stp>2</stp>
        <stp>603826</stp>
        <stp>12/31/2018</stp>
        <tr r="O1431" s="1"/>
      </tp>
      <tp>
        <v>0.31516544021922299</v>
        <stp/>
        <stp>EM_S_VAL_PS_TTM</stp>
        <stp>2</stp>
        <stp>603825</stp>
        <stp>12/31/2018</stp>
        <tr r="O901" s="1"/>
      </tp>
      <tp>
        <v>1.9336590894119201</v>
        <stp/>
        <stp>EM_S_VAL_PS_TTM</stp>
        <stp>2</stp>
        <stp>603823</stp>
        <stp>12/31/2018</stp>
        <tr r="O322" s="1"/>
      </tp>
      <tp>
        <v>1.65892742791551</v>
        <stp/>
        <stp>EM_S_VAL_PS_TTM</stp>
        <stp>2</stp>
        <stp>603822</stp>
        <stp>12/31/2018</stp>
        <tr r="O1362" s="1"/>
      </tp>
      <tp>
        <v>2.9383608581895699</v>
        <stp/>
        <stp>EM_S_VAL_PS_TTM</stp>
        <stp>2</stp>
        <stp>603829</stp>
        <stp>12/31/2018</stp>
        <tr r="O1573" s="1"/>
      </tp>
      <tp>
        <v>1.5654929062824701</v>
        <stp/>
        <stp>EM_S_VAL_PS_TTM</stp>
        <stp>2</stp>
        <stp>603828</stp>
        <stp>12/31/2018</stp>
        <tr r="O3237" s="1"/>
      </tp>
      <tp>
        <v>6.4925909696000002</v>
        <stp/>
        <stp>EM_S_FA_NETPROFITMARGIN</stp>
        <stp>3</stp>
        <stp>603969</stp>
        <stp>12/31/2018</stp>
        <stp>1</stp>
        <tr r="J2760" s="1"/>
      </tp>
      <tp>
        <v>12.081081131199999</v>
        <stp/>
        <stp>EM_S_FA_NETPROFITMARGIN</stp>
        <stp>3</stp>
        <stp>603869</stp>
        <stp>12/31/2018</stp>
        <stp>1</stp>
        <tr r="J3074" s="1"/>
      </tp>
      <tp>
        <v>-58.2804638502</v>
        <stp/>
        <stp>EM_S_FA_NETPROFITMARGIN</stp>
        <stp>3</stp>
        <stp>603169</stp>
        <stp>12/31/2018</stp>
        <stp>1</stp>
        <tr r="J821" s="1"/>
      </tp>
      <tp>
        <v>5.4023743112</v>
        <stp/>
        <stp>EM_S_FA_NETPROFITMARGIN</stp>
        <stp>3</stp>
        <stp>603069</stp>
        <stp>12/31/2018</stp>
        <stp>1</stp>
        <tr r="J464" s="1"/>
      </tp>
      <tp>
        <v>30.801120480800002</v>
        <stp/>
        <stp>EM_S_FA_NETPROFITMARGIN</stp>
        <stp>3</stp>
        <stp>603369</stp>
        <stp>12/31/2018</stp>
        <stp>1</stp>
        <tr r="J109" s="1"/>
      </tp>
      <tp>
        <v>5.5590891303000003</v>
        <stp/>
        <stp>EM_S_FA_NETPROFITMARGIN</stp>
        <stp>3</stp>
        <stp>603269</stp>
        <stp>12/31/2018</stp>
        <stp>1</stp>
        <tr r="J2502" s="1"/>
      </tp>
      <tp>
        <v>7.3187793868000002</v>
        <stp/>
        <stp>EM_S_FA_NETPROFITMARGIN</stp>
        <stp>3</stp>
        <stp>603569</stp>
        <stp>12/31/2018</stp>
        <stp>1</stp>
        <tr r="J2510" s="1"/>
      </tp>
      <tp>
        <v>10.9440694894</v>
        <stp/>
        <stp>EM_S_FA_NETPROFITMARGIN</stp>
        <stp>3</stp>
        <stp>603669</stp>
        <stp>12/31/2018</stp>
        <stp>1</stp>
        <tr r="J3197" s="1"/>
      </tp>
      <tp>
        <v>2.009610495</v>
        <stp/>
        <stp>EM_S_FA_NETPROFITMARGIN</stp>
        <stp>3</stp>
        <stp>002909</stp>
        <stp>12/31/2018</stp>
        <stp>1</stp>
        <tr r="J2046" s="1"/>
      </tp>
      <tp>
        <v>7.3316377252000002</v>
        <stp/>
        <stp>EM_S_FA_NETPROFITMARGIN</stp>
        <stp>3</stp>
        <stp>002809</stp>
        <stp>12/31/2018</stp>
        <stp>1</stp>
        <tr r="J961" s="1"/>
      </tp>
      <tp>
        <v>11.5964131666</v>
        <stp/>
        <stp>EM_S_FA_NETPROFITMARGIN</stp>
        <stp>3</stp>
        <stp>002109</stp>
        <stp>12/31/2018</stp>
        <stp>1</stp>
        <tr r="J2560" s="1"/>
      </tp>
      <tp>
        <v>4.0236372653999997</v>
        <stp/>
        <stp>EM_S_FA_NETPROFITMARGIN</stp>
        <stp>3</stp>
        <stp>002009</stp>
        <stp>12/31/2018</stp>
        <stp>1</stp>
        <tr r="J2192" s="1"/>
      </tp>
      <tp>
        <v>-1.2407733620000001</v>
        <stp/>
        <stp>EM_S_FA_NETPROFITMARGIN</stp>
        <stp>3</stp>
        <stp>002309</stp>
        <stp>12/31/2018</stp>
        <stp>1</stp>
        <tr r="J3182" s="1"/>
      </tp>
      <tp>
        <v>1.0498102772</v>
        <stp/>
        <stp>EM_S_FA_NETPROFITMARGIN</stp>
        <stp>3</stp>
        <stp>002209</stp>
        <stp>12/31/2018</stp>
        <stp>1</stp>
        <tr r="J2160" s="1"/>
      </tp>
      <tp>
        <v>-21.0240717816</v>
        <stp/>
        <stp>EM_S_FA_NETPROFITMARGIN</stp>
        <stp>3</stp>
        <stp>002509</stp>
        <stp>12/31/2018</stp>
        <stp>1</stp>
        <tr r="J3313" s="1"/>
      </tp>
      <tp>
        <v>9.1458741628000002</v>
        <stp/>
        <stp>EM_S_FA_NETPROFITMARGIN</stp>
        <stp>3</stp>
        <stp>002409</stp>
        <stp>12/31/2018</stp>
        <stp>1</stp>
        <tr r="J294" s="1"/>
      </tp>
      <tp>
        <v>21.495994104200001</v>
        <stp/>
        <stp>EM_S_FA_NETPROFITMARGIN</stp>
        <stp>3</stp>
        <stp>002709</stp>
        <stp>12/31/2018</stp>
        <stp>1</stp>
        <tr r="J2533" s="1"/>
      </tp>
      <tp>
        <v>10.6874635434</v>
        <stp/>
        <stp>EM_S_FA_NETPROFITMARGIN</stp>
        <stp>3</stp>
        <stp>002609</stp>
        <stp>12/31/2018</stp>
        <stp>1</stp>
        <tr r="J507" s="1"/>
      </tp>
      <tp>
        <v>-55.234198095799997</v>
        <stp/>
        <stp>EM_S_FA_NETPROFITMARGIN</stp>
        <stp>3</stp>
        <stp>601969</stp>
        <stp>12/31/2018</stp>
        <stp>1</stp>
        <tr r="J915" s="1"/>
      </tp>
      <tp>
        <v>36.290729527099998</v>
        <stp/>
        <stp>EM_S_FA_NETPROFITMARGIN</stp>
        <stp>3</stp>
        <stp>601169</stp>
        <stp>12/31/2018</stp>
        <stp>1</stp>
        <tr r="J2223" s="1"/>
      </tp>
      <tp>
        <v>0.97030944340000003</v>
        <stp/>
        <stp>EM_S_FA_NETPROFITMARGIN</stp>
        <stp>3</stp>
        <stp>601069</stp>
        <stp>12/31/2018</stp>
        <stp>1</stp>
        <tr r="J2244" s="1"/>
      </tp>
      <tp>
        <v>7.4283195956999997</v>
        <stp/>
        <stp>EM_S_FA_NETPROFITMARGIN</stp>
        <stp>3</stp>
        <stp>601369</stp>
        <stp>12/31/2018</stp>
        <stp>1</stp>
        <tr r="J1777" s="1"/>
      </tp>
      <tp>
        <v>3.3676187479999999</v>
        <stp/>
        <stp>EM_S_FA_NETPROFITMARGIN</stp>
        <stp>3</stp>
        <stp>601669</stp>
        <stp>12/31/2018</stp>
        <stp>1</stp>
        <tr r="J2887" s="1"/>
      </tp>
      <tp>
        <v>4.1746601075000003</v>
        <stp/>
        <stp>EM_S_FA_NETPROFITMARGIN</stp>
        <stp>3</stp>
        <stp>000909</stp>
        <stp>12/31/2018</stp>
        <stp>1</stp>
        <tr r="J3571" s="1"/>
      </tp>
      <tp>
        <v>4.0365373843999999</v>
        <stp/>
        <stp>EM_S_FA_NETPROFITMARGIN</stp>
        <stp>3</stp>
        <stp>600969</stp>
        <stp>12/31/2018</stp>
        <stp>1</stp>
        <tr r="J1681" s="1"/>
      </tp>
      <tp>
        <v>6.2262169732999997</v>
        <stp/>
        <stp>EM_S_FA_NETPROFITMARGIN</stp>
        <stp>3</stp>
        <stp>000809</stp>
        <stp>12/31/2018</stp>
        <stp>1</stp>
        <tr r="J2356" s="1"/>
      </tp>
      <tp>
        <v>1.0675369827000001</v>
        <stp/>
        <stp>EM_S_FA_NETPROFITMARGIN</stp>
        <stp>3</stp>
        <stp>600869</stp>
        <stp>12/31/2018</stp>
        <stp>1</stp>
        <tr r="J2251" s="1"/>
      </tp>
      <tp>
        <v>1.6508812004</v>
        <stp/>
        <stp>EM_S_FA_NETPROFITMARGIN</stp>
        <stp>3</stp>
        <stp>300139</stp>
        <stp>12/31/2018</stp>
        <stp>1</stp>
        <tr r="J1318" s="1"/>
      </tp>
      <tp>
        <v>0.62170884660000003</v>
        <stp/>
        <stp>EM_S_FA_NETPROFITMARGIN</stp>
        <stp>3</stp>
        <stp>600169</stp>
        <stp>12/31/2018</stp>
        <stp>1</stp>
        <tr r="J2058" s="1"/>
      </tp>
      <tp>
        <v>5.6768201854000004</v>
        <stp/>
        <stp>EM_S_FA_NETPROFITMARGIN</stp>
        <stp>3</stp>
        <stp>000009</stp>
        <stp>12/31/2018</stp>
        <stp>1</stp>
        <tr r="J295" s="1"/>
      </tp>
      <tp>
        <v>15.1140131744</v>
        <stp/>
        <stp>EM_S_FA_NETPROFITMARGIN</stp>
        <stp>3</stp>
        <stp>300039</stp>
        <stp>12/31/2018</stp>
        <stp>1</stp>
        <tr r="J1356" s="1"/>
      </tp>
      <tp>
        <v>-3.5689983565999999</v>
        <stp/>
        <stp>EM_S_FA_NETPROFITMARGIN</stp>
        <stp>3</stp>
        <stp>600069</stp>
        <stp>12/31/2018</stp>
        <stp>1</stp>
        <tr r="J2650" s="1"/>
      </tp>
      <tp>
        <v>15.110590417099999</v>
        <stp/>
        <stp>EM_S_FA_NETPROFITMARGIN</stp>
        <stp>3</stp>
        <stp>300339</stp>
        <stp>12/31/2018</stp>
        <stp>1</stp>
        <tr r="J650" s="1"/>
      </tp>
      <tp>
        <v>7.8430562301000002</v>
        <stp/>
        <stp>EM_S_FA_NETPROFITMARGIN</stp>
        <stp>3</stp>
        <stp>600369</stp>
        <stp>12/31/2018</stp>
        <stp>1</stp>
        <tr r="J559" s="1"/>
      </tp>
      <tp>
        <v>7.5046469591999996</v>
        <stp/>
        <stp>EM_S_FA_NETPROFITMARGIN</stp>
        <stp>3</stp>
        <stp>300239</stp>
        <stp>12/31/2018</stp>
        <stp>1</stp>
        <tr r="J984" s="1"/>
      </tp>
      <tp>
        <v>24.483627909300001</v>
        <stp/>
        <stp>EM_S_FA_NETPROFITMARGIN</stp>
        <stp>3</stp>
        <stp>600269</stp>
        <stp>12/31/2018</stp>
        <stp>1</stp>
        <tr r="J1972" s="1"/>
      </tp>
      <tp>
        <v>-4.2096671444</v>
        <stp/>
        <stp>EM_S_FA_NETPROFITMARGIN</stp>
        <stp>3</stp>
        <stp>000509</stp>
        <stp>12/31/2018</stp>
        <stp>1</stp>
        <tr r="J3435" s="1"/>
      </tp>
      <tp>
        <v>1.7981373297000001</v>
        <stp/>
        <stp>EM_S_FA_NETPROFITMARGIN</stp>
        <stp>3</stp>
        <stp>300539</stp>
        <stp>12/31/2018</stp>
        <stp>1</stp>
        <tr r="J2767" s="1"/>
      </tp>
      <tp>
        <v>5.6077813056999997</v>
        <stp/>
        <stp>EM_S_FA_NETPROFITMARGIN</stp>
        <stp>3</stp>
        <stp>600569</stp>
        <stp>12/31/2018</stp>
        <stp>1</stp>
        <tr r="J3012" s="1"/>
      </tp>
      <tp>
        <v>4.1546111580999998</v>
        <stp/>
        <stp>EM_S_FA_NETPROFITMARGIN</stp>
        <stp>3</stp>
        <stp>000409</stp>
        <stp>12/31/2018</stp>
        <stp>1</stp>
        <tr r="J2918" s="1"/>
      </tp>
      <tp>
        <v>7.9320672119999998</v>
        <stp/>
        <stp>EM_S_FA_NETPROFITMARGIN</stp>
        <stp>3</stp>
        <stp>300439</stp>
        <stp>12/31/2018</stp>
        <stp>1</stp>
        <tr r="J2237" s="1"/>
      </tp>
      <tp>
        <v>0.29380829419999999</v>
        <stp/>
        <stp>EM_S_FA_NETPROFITMARGIN</stp>
        <stp>3</stp>
        <stp>600469</stp>
        <stp>12/31/2018</stp>
        <stp>1</stp>
        <tr r="J749" s="1"/>
      </tp>
      <tp>
        <v>3.6221796460000002</v>
        <stp/>
        <stp>EM_S_FA_NETPROFITMARGIN</stp>
        <stp>3</stp>
        <stp>000709</stp>
        <stp>12/31/2018</stp>
        <stp>1</stp>
        <tr r="J2736" s="1"/>
      </tp>
      <tp>
        <v>10.717469683099999</v>
        <stp/>
        <stp>EM_S_FA_NETPROFITMARGIN</stp>
        <stp>3</stp>
        <stp>300739</stp>
        <stp>12/31/2018</stp>
        <stp>1</stp>
        <tr r="J2754" s="1"/>
      </tp>
      <tp>
        <v>13.648915024300001</v>
        <stp/>
        <stp>EM_S_FA_NETPROFITMARGIN</stp>
        <stp>3</stp>
        <stp>600769</stp>
        <stp>12/31/2018</stp>
        <stp>1</stp>
        <tr r="J695" s="1"/>
      </tp>
      <tp>
        <v>-208.83208148790001</v>
        <stp/>
        <stp>EM_S_FA_NETPROFITMARGIN</stp>
        <stp>3</stp>
        <stp>000609</stp>
        <stp>12/31/2018</stp>
        <stp>1</stp>
        <tr r="J3482" s="1"/>
      </tp>
      <tp>
        <v>18.3928602899</v>
        <stp/>
        <stp>EM_S_FA_NETPROFITMARGIN</stp>
        <stp>3</stp>
        <stp>300639</stp>
        <stp>12/31/2018</stp>
        <stp>1</stp>
        <tr r="J429" s="1"/>
      </tp>
      <tp>
        <v>0</v>
        <stp/>
        <stp>EM_S_FA_NETPROFITMARGIN</stp>
        <stp>3</stp>
        <stp>600669</stp>
        <stp>12/31/2018</stp>
        <stp>1</stp>
        <tr r="J2313" s="1"/>
      </tp>
      <tp>
        <v>9.9041926319000009</v>
        <stp/>
        <stp>EM_S_FA_NETPROFITMARGIN</stp>
        <stp>3</stp>
        <stp>603968</stp>
        <stp>12/31/2018</stp>
        <stp>1</stp>
        <tr r="J1405" s="1"/>
      </tp>
      <tp>
        <v>21.215736998299999</v>
        <stp/>
        <stp>EM_S_FA_NETPROFITMARGIN</stp>
        <stp>3</stp>
        <stp>603868</stp>
        <stp>12/31/2018</stp>
        <stp>1</stp>
        <tr r="J2443" s="1"/>
      </tp>
      <tp>
        <v>-20.820944330900002</v>
        <stp/>
        <stp>EM_S_FA_NETPROFITMARGIN</stp>
        <stp>3</stp>
        <stp>603168</stp>
        <stp>12/31/2018</stp>
        <stp>1</stp>
        <tr r="J1079" s="1"/>
      </tp>
      <tp>
        <v>4.8501589574999997</v>
        <stp/>
        <stp>EM_S_FA_NETPROFITMARGIN</stp>
        <stp>3</stp>
        <stp>603368</stp>
        <stp>12/31/2018</stp>
        <stp>1</stp>
        <tr r="J1009" s="1"/>
      </tp>
      <tp>
        <v>9.3165469765999998</v>
        <stp/>
        <stp>EM_S_FA_NETPROFITMARGIN</stp>
        <stp>3</stp>
        <stp>603268</stp>
        <stp>12/31/2018</stp>
        <stp>1</stp>
        <tr r="J2529" s="1"/>
      </tp>
      <tp>
        <v>47.705337243400002</v>
        <stp/>
        <stp>EM_S_FA_NETPROFITMARGIN</stp>
        <stp>3</stp>
        <stp>603568</stp>
        <stp>12/31/2018</stp>
        <stp>1</stp>
        <tr r="J2253" s="1"/>
      </tp>
      <tp>
        <v>4.1758065360999996</v>
        <stp/>
        <stp>EM_S_FA_NETPROFITMARGIN</stp>
        <stp>3</stp>
        <stp>603768</stp>
        <stp>12/31/2018</stp>
        <stp>1</stp>
        <tr r="J2158" s="1"/>
      </tp>
      <tp>
        <v>4.8887528392000004</v>
        <stp/>
        <stp>EM_S_FA_NETPROFITMARGIN</stp>
        <stp>3</stp>
        <stp>603668</stp>
        <stp>12/31/2018</stp>
        <stp>1</stp>
        <tr r="J1555" s="1"/>
      </tp>
      <tp>
        <v>15.691215140000001</v>
        <stp/>
        <stp>EM_S_FA_NETPROFITMARGIN</stp>
        <stp>3</stp>
        <stp>002908</stp>
        <stp>12/31/2018</stp>
        <stp>1</stp>
        <tr r="J3201" s="1"/>
      </tp>
      <tp>
        <v>10.8714754738</v>
        <stp/>
        <stp>EM_S_FA_NETPROFITMARGIN</stp>
        <stp>3</stp>
        <stp>002808</stp>
        <stp>12/31/2018</stp>
        <stp>1</stp>
        <tr r="J3161" s="1"/>
      </tp>
      <tp>
        <v>8.8034688132000003</v>
        <stp/>
        <stp>EM_S_FA_NETPROFITMARGIN</stp>
        <stp>3</stp>
        <stp>002108</stp>
        <stp>12/31/2018</stp>
        <stp>1</stp>
        <tr r="J3637" s="1"/>
      </tp>
      <tp>
        <v>15.6410245332</v>
        <stp/>
        <stp>EM_S_FA_NETPROFITMARGIN</stp>
        <stp>3</stp>
        <stp>002008</stp>
        <stp>12/31/2018</stp>
        <stp>1</stp>
        <tr r="J3605" s="1"/>
      </tp>
      <tp>
        <v>14.516980607200001</v>
        <stp/>
        <stp>EM_S_FA_NETPROFITMARGIN</stp>
        <stp>3</stp>
        <stp>002308</stp>
        <stp>12/31/2018</stp>
        <stp>1</stp>
        <tr r="J2098" s="1"/>
      </tp>
      <tp>
        <v>14.9201786028</v>
        <stp/>
        <stp>EM_S_FA_NETPROFITMARGIN</stp>
        <stp>3</stp>
        <stp>002208</stp>
        <stp>12/31/2018</stp>
        <stp>1</stp>
        <tr r="J3250" s="1"/>
      </tp>
      <tp>
        <v>19.984792344399999</v>
        <stp/>
        <stp>EM_S_FA_NETPROFITMARGIN</stp>
        <stp>3</stp>
        <stp>002508</stp>
        <stp>12/31/2018</stp>
        <stp>1</stp>
        <tr r="J332" s="1"/>
      </tp>
      <tp>
        <v>3.025415712</v>
        <stp/>
        <stp>EM_S_FA_NETPROFITMARGIN</stp>
        <stp>3</stp>
        <stp>002408</stp>
        <stp>12/31/2018</stp>
        <stp>1</stp>
        <tr r="J2019" s="1"/>
      </tp>
      <tp>
        <v>-6.6727882107000003</v>
        <stp/>
        <stp>EM_S_FA_NETPROFITMARGIN</stp>
        <stp>3</stp>
        <stp>002708</stp>
        <stp>12/31/2018</stp>
        <stp>1</stp>
        <tr r="J1971" s="1"/>
      </tp>
      <tp>
        <v>15.6025695867</v>
        <stp/>
        <stp>EM_S_FA_NETPROFITMARGIN</stp>
        <stp>3</stp>
        <stp>002608</stp>
        <stp>12/31/2018</stp>
        <stp>1</stp>
        <tr r="J2248" s="1"/>
      </tp>
      <tp>
        <v>0.88945197369999995</v>
        <stp/>
        <stp>EM_S_FA_NETPROFITMARGIN</stp>
        <stp>3</stp>
        <stp>601968</stp>
        <stp>12/31/2018</stp>
        <stp>1</stp>
        <tr r="J1000" s="1"/>
      </tp>
      <tp>
        <v>-6.3173011911000003</v>
        <stp/>
        <stp>EM_S_FA_NETPROFITMARGIN</stp>
        <stp>3</stp>
        <stp>601168</stp>
        <stp>12/31/2018</stp>
        <stp>1</stp>
        <tr r="J1406" s="1"/>
      </tp>
      <tp>
        <v>20.894976772300001</v>
        <stp/>
        <stp>EM_S_FA_NETPROFITMARGIN</stp>
        <stp>3</stp>
        <stp>601368</stp>
        <stp>12/31/2018</stp>
        <stp>1</stp>
        <tr r="J2204" s="1"/>
      </tp>
      <tp>
        <v>5.3307836541000002</v>
        <stp/>
        <stp>EM_S_FA_NETPROFITMARGIN</stp>
        <stp>3</stp>
        <stp>601268</stp>
        <stp>12/31/2018</stp>
        <stp>1</stp>
        <tr r="J2338" s="1"/>
      </tp>
      <tp>
        <v>4.6151144954000003</v>
        <stp/>
        <stp>EM_S_FA_NETPROFITMARGIN</stp>
        <stp>3</stp>
        <stp>601668</stp>
        <stp>12/31/2018</stp>
        <stp>1</stp>
        <tr r="J2444" s="1"/>
      </tp>
      <tp>
        <v>7.6782441385000002</v>
        <stp/>
        <stp>EM_S_FA_NETPROFITMARGIN</stp>
        <stp>3</stp>
        <stp>000908</stp>
        <stp>12/31/2018</stp>
        <stp>1</stp>
        <tr r="J3008" s="1"/>
      </tp>
      <tp>
        <v>11.970611809799999</v>
        <stp/>
        <stp>EM_S_FA_NETPROFITMARGIN</stp>
        <stp>3</stp>
        <stp>600868</stp>
        <stp>12/31/2018</stp>
        <stp>1</stp>
        <tr r="J1248" s="1"/>
      </tp>
      <tp>
        <v>4.6491890702000003</v>
        <stp/>
        <stp>EM_S_FA_NETPROFITMARGIN</stp>
        <stp>3</stp>
        <stp>300138</stp>
        <stp>12/31/2018</stp>
        <stp>1</stp>
        <tr r="J941" s="1"/>
      </tp>
      <tp>
        <v>19.381729307299999</v>
        <stp/>
        <stp>EM_S_FA_NETPROFITMARGIN</stp>
        <stp>3</stp>
        <stp>600168</stp>
        <stp>12/31/2018</stp>
        <stp>1</stp>
        <tr r="J1443" s="1"/>
      </tp>
      <tp>
        <v>13.3295461381</v>
        <stp/>
        <stp>EM_S_FA_NETPROFITMARGIN</stp>
        <stp>3</stp>
        <stp>000008</stp>
        <stp>12/31/2018</stp>
        <stp>1</stp>
        <tr r="J2627" s="1"/>
      </tp>
      <tp>
        <v>11.7142488629</v>
        <stp/>
        <stp>EM_S_FA_NETPROFITMARGIN</stp>
        <stp>3</stp>
        <stp>300038</stp>
        <stp>12/31/2018</stp>
        <stp>1</stp>
        <tr r="J2648" s="1"/>
      </tp>
      <tp>
        <v>5.9228361735000004</v>
        <stp/>
        <stp>EM_S_FA_NETPROFITMARGIN</stp>
        <stp>3</stp>
        <stp>600068</stp>
        <stp>12/31/2018</stp>
        <stp>1</stp>
        <tr r="J2190" s="1"/>
      </tp>
      <tp>
        <v>7.2364578500999999</v>
        <stp/>
        <stp>EM_S_FA_NETPROFITMARGIN</stp>
        <stp>3</stp>
        <stp>300338</stp>
        <stp>12/31/2018</stp>
        <stp>1</stp>
        <tr r="J520" s="1"/>
      </tp>
      <tp>
        <v>22.280322304999999</v>
        <stp/>
        <stp>EM_S_FA_NETPROFITMARGIN</stp>
        <stp>3</stp>
        <stp>600368</stp>
        <stp>12/31/2018</stp>
        <stp>1</stp>
        <tr r="J637" s="1"/>
      </tp>
      <tp>
        <v>7.6590445570999997</v>
        <stp/>
        <stp>EM_S_FA_NETPROFITMARGIN</stp>
        <stp>3</stp>
        <stp>300238</stp>
        <stp>12/31/2018</stp>
        <stp>1</stp>
        <tr r="J179" s="1"/>
      </tp>
      <tp>
        <v>3.9971881878</v>
        <stp/>
        <stp>EM_S_FA_NETPROFITMARGIN</stp>
        <stp>3</stp>
        <stp>600268</stp>
        <stp>12/31/2018</stp>
        <stp>1</stp>
        <tr r="J1195" s="1"/>
      </tp>
      <tp>
        <v>0</v>
        <stp/>
        <stp>EM_S_FA_NETPROFITMARGIN</stp>
        <stp>3</stp>
        <stp>000508</stp>
        <stp>12/31/2018</stp>
        <stp>1</stp>
        <tr r="J3434" s="1"/>
      </tp>
      <tp>
        <v>2.2842479446000001</v>
        <stp/>
        <stp>EM_S_FA_NETPROFITMARGIN</stp>
        <stp>3</stp>
        <stp>300538</stp>
        <stp>12/31/2018</stp>
        <stp>1</stp>
        <tr r="J2971" s="1"/>
      </tp>
      <tp>
        <v>-334.273613173</v>
        <stp/>
        <stp>EM_S_FA_NETPROFITMARGIN</stp>
        <stp>3</stp>
        <stp>600568</stp>
        <stp>12/31/2018</stp>
        <stp>1</stp>
        <tr r="J3135" s="1"/>
      </tp>
      <tp>
        <v>31.716015808800002</v>
        <stp/>
        <stp>EM_S_FA_NETPROFITMARGIN</stp>
        <stp>3</stp>
        <stp>000408</stp>
        <stp>12/31/2018</stp>
        <stp>1</stp>
        <tr r="J3418" s="1"/>
      </tp>
      <tp>
        <v>10.624200694600001</v>
        <stp/>
        <stp>EM_S_FA_NETPROFITMARGIN</stp>
        <stp>3</stp>
        <stp>300438</stp>
        <stp>12/31/2018</stp>
        <stp>1</stp>
        <tr r="J364" s="1"/>
      </tp>
      <tp>
        <v>4.0112039319999999</v>
        <stp/>
        <stp>EM_S_FA_NETPROFITMARGIN</stp>
        <stp>3</stp>
        <stp>600468</stp>
        <stp>12/31/2018</stp>
        <stp>1</stp>
        <tr r="J3233" s="1"/>
      </tp>
      <tp>
        <v>4.0577077552</v>
        <stp/>
        <stp>EM_S_FA_NETPROFITMARGIN</stp>
        <stp>3</stp>
        <stp>000708</stp>
        <stp>12/31/2018</stp>
        <stp>1</stp>
        <tr r="J73" s="1"/>
      </tp>
      <tp>
        <v>14.0936155421</v>
        <stp/>
        <stp>EM_S_FA_NETPROFITMARGIN</stp>
        <stp>3</stp>
        <stp>300738</stp>
        <stp>12/31/2018</stp>
        <stp>1</stp>
        <tr r="J2898" s="1"/>
      </tp>
      <tp>
        <v>-4.2077485607999998</v>
        <stp/>
        <stp>EM_S_FA_NETPROFITMARGIN</stp>
        <stp>3</stp>
        <stp>600768</stp>
        <stp>12/31/2018</stp>
        <stp>1</stp>
        <tr r="J914" s="1"/>
      </tp>
      <tp>
        <v>29.334358090199999</v>
        <stp/>
        <stp>EM_S_FA_NETPROFITMARGIN</stp>
        <stp>3</stp>
        <stp>000608</stp>
        <stp>12/31/2018</stp>
        <stp>1</stp>
        <tr r="J3481" s="1"/>
      </tp>
      <tp>
        <v>6.9487496289999999</v>
        <stp/>
        <stp>EM_S_FA_NETPROFITMARGIN</stp>
        <stp>3</stp>
        <stp>300638</stp>
        <stp>12/31/2018</stp>
        <stp>1</stp>
        <tr r="J110" s="1"/>
      </tp>
      <tp>
        <v>20.004687743200002</v>
        <stp/>
        <stp>EM_S_FA_NETPROFITMARGIN</stp>
        <stp>3</stp>
        <stp>600668</stp>
        <stp>12/31/2018</stp>
        <stp>1</stp>
        <tr r="J921" s="1"/>
      </tp>
      <tp>
        <v>6.9229521266000003</v>
        <stp/>
        <stp>EM_S_FA_NETPROFITMARGIN</stp>
        <stp>3</stp>
        <stp>603861</stp>
        <stp>12/31/2018</stp>
        <stp>1</stp>
        <tr r="J3153" s="1"/>
      </tp>
      <tp>
        <v>7.5991220652000004</v>
        <stp/>
        <stp>EM_S_FA_NETPROFITMARGIN</stp>
        <stp>3</stp>
        <stp>603161</stp>
        <stp>12/31/2018</stp>
        <stp>1</stp>
        <tr r="J2902" s="1"/>
      </tp>
      <tp>
        <v>7.4582676332000002</v>
        <stp/>
        <stp>EM_S_FA_NETPROFITMARGIN</stp>
        <stp>3</stp>
        <stp>603661</stp>
        <stp>12/31/2018</stp>
        <stp>1</stp>
        <tr r="J578" s="1"/>
      </tp>
      <tp>
        <v>48.944967655200003</v>
        <stp/>
        <stp>EM_S_FA_NETPROFITMARGIN</stp>
        <stp>3</stp>
        <stp>002901</stp>
        <stp>12/31/2018</stp>
        <stp>1</stp>
        <tr r="J184" s="1"/>
      </tp>
      <tp>
        <v>15.2471614322</v>
        <stp/>
        <stp>EM_S_FA_NETPROFITMARGIN</stp>
        <stp>3</stp>
        <stp>002801</stp>
        <stp>12/31/2018</stp>
        <stp>1</stp>
        <tr r="J345" s="1"/>
      </tp>
      <tp>
        <v>6.8078045814000001</v>
        <stp/>
        <stp>EM_S_FA_NETPROFITMARGIN</stp>
        <stp>3</stp>
        <stp>002101</stp>
        <stp>12/31/2018</stp>
        <stp>1</stp>
        <tr r="J2834" s="1"/>
      </tp>
      <tp>
        <v>35.6823936328</v>
        <stp/>
        <stp>EM_S_FA_NETPROFITMARGIN</stp>
        <stp>3</stp>
        <stp>002001</stp>
        <stp>12/31/2018</stp>
        <stp>1</stp>
        <tr r="J565" s="1"/>
      </tp>
      <tp>
        <v>4.560727193</v>
        <stp/>
        <stp>EM_S_FA_NETPROFITMARGIN</stp>
        <stp>3</stp>
        <stp>002301</stp>
        <stp>12/31/2018</stp>
        <stp>1</stp>
        <tr r="J732" s="1"/>
      </tp>
      <tp>
        <v>1.7369807177000001</v>
        <stp/>
        <stp>EM_S_FA_NETPROFITMARGIN</stp>
        <stp>3</stp>
        <stp>002201</stp>
        <stp>12/31/2018</stp>
        <stp>1</stp>
        <tr r="J33" s="1"/>
      </tp>
      <tp>
        <v>-845.36273719530004</v>
        <stp/>
        <stp>EM_S_FA_NETPROFITMARGIN</stp>
        <stp>3</stp>
        <stp>002501</stp>
        <stp>12/31/2018</stp>
        <stp>1</stp>
        <tr r="J3330" s="1"/>
      </tp>
      <tp>
        <v>9.1884992747999998</v>
        <stp/>
        <stp>EM_S_FA_NETPROFITMARGIN</stp>
        <stp>3</stp>
        <stp>002401</stp>
        <stp>12/31/2018</stp>
        <stp>1</stp>
        <tr r="J1098" s="1"/>
      </tp>
      <tp>
        <v>2.7354307304000001</v>
        <stp/>
        <stp>EM_S_FA_NETPROFITMARGIN</stp>
        <stp>3</stp>
        <stp>002701</stp>
        <stp>12/31/2018</stp>
        <stp>1</stp>
        <tr r="J2874" s="1"/>
      </tp>
      <tp>
        <v>22.223244035499999</v>
        <stp/>
        <stp>EM_S_FA_NETPROFITMARGIN</stp>
        <stp>3</stp>
        <stp>002601</stp>
        <stp>12/31/2018</stp>
        <stp>1</stp>
        <tr r="J1076" s="1"/>
      </tp>
      <tp>
        <v>2.9792465155999999</v>
        <stp/>
        <stp>EM_S_FA_NETPROFITMARGIN</stp>
        <stp>3</stp>
        <stp>000901</stp>
        <stp>12/31/2018</stp>
        <stp>1</stp>
        <tr r="J3569" s="1"/>
      </tp>
      <tp>
        <v>-12.5443176472</v>
        <stp/>
        <stp>EM_S_FA_NETPROFITMARGIN</stp>
        <stp>3</stp>
        <stp>600961</stp>
        <stp>12/31/2018</stp>
        <stp>1</stp>
        <tr r="J1803" s="1"/>
      </tp>
      <tp>
        <v>2.3871428615000001</v>
        <stp/>
        <stp>EM_S_FA_NETPROFITMARGIN</stp>
        <stp>3</stp>
        <stp>000801</stp>
        <stp>12/31/2018</stp>
        <stp>1</stp>
        <tr r="J1131" s="1"/>
      </tp>
      <tp>
        <v>2.3185530955</v>
        <stp/>
        <stp>EM_S_FA_NETPROFITMARGIN</stp>
        <stp>3</stp>
        <stp>600861</stp>
        <stp>12/31/2018</stp>
        <stp>1</stp>
        <tr r="J1151" s="1"/>
      </tp>
      <tp>
        <v>1.6391015954000001</v>
        <stp/>
        <stp>EM_S_FA_NETPROFITMARGIN</stp>
        <stp>3</stp>
        <stp>300131</stp>
        <stp>12/31/2018</stp>
        <stp>1</stp>
        <tr r="J1274" s="1"/>
      </tp>
      <tp>
        <v>25.106849382699998</v>
        <stp/>
        <stp>EM_S_FA_NETPROFITMARGIN</stp>
        <stp>3</stp>
        <stp>600161</stp>
        <stp>12/31/2018</stp>
        <stp>1</stp>
        <tr r="J1011" s="1"/>
      </tp>
      <tp>
        <v>21.2635799719</v>
        <stp/>
        <stp>EM_S_FA_NETPROFITMARGIN</stp>
        <stp>3</stp>
        <stp>000001</stp>
        <stp>12/31/2018</stp>
        <stp>1</stp>
        <tr r="J265" s="1"/>
      </tp>
      <tp>
        <v>13.3413383861</v>
        <stp/>
        <stp>EM_S_FA_NETPROFITMARGIN</stp>
        <stp>3</stp>
        <stp>300031</stp>
        <stp>12/31/2018</stp>
        <stp>1</stp>
        <tr r="J1669" s="1"/>
      </tp>
      <tp>
        <v>85.657781815600003</v>
        <stp/>
        <stp>EM_S_FA_NETPROFITMARGIN</stp>
        <stp>3</stp>
        <stp>600061</stp>
        <stp>12/31/2018</stp>
        <stp>1</stp>
        <tr r="J518" s="1"/>
      </tp>
      <tp>
        <v>4.5910761231999997</v>
        <stp/>
        <stp>EM_S_FA_NETPROFITMARGIN</stp>
        <stp>3</stp>
        <stp>000301</stp>
        <stp>12/31/2018</stp>
        <stp>1</stp>
        <tr r="J2580" s="1"/>
      </tp>
      <tp>
        <v>4.9790784579</v>
        <stp/>
        <stp>EM_S_FA_NETPROFITMARGIN</stp>
        <stp>3</stp>
        <stp>300331</stp>
        <stp>12/31/2018</stp>
        <stp>1</stp>
        <tr r="J208" s="1"/>
      </tp>
      <tp>
        <v>0.69725592420000004</v>
        <stp/>
        <stp>EM_S_FA_NETPROFITMARGIN</stp>
        <stp>3</stp>
        <stp>600361</stp>
        <stp>12/31/2018</stp>
        <stp>1</stp>
        <tr r="J1719" s="1"/>
      </tp>
      <tp>
        <v>9.2242937906000009</v>
        <stp/>
        <stp>EM_S_FA_NETPROFITMARGIN</stp>
        <stp>3</stp>
        <stp>300231</stp>
        <stp>12/31/2018</stp>
        <stp>1</stp>
        <tr r="J943" s="1"/>
      </tp>
      <tp>
        <v>7.0576257332000001</v>
        <stp/>
        <stp>EM_S_FA_NETPROFITMARGIN</stp>
        <stp>3</stp>
        <stp>600261</stp>
        <stp>12/31/2018</stp>
        <stp>1</stp>
        <tr r="J753" s="1"/>
      </tp>
      <tp>
        <v>5.9300366823999999</v>
        <stp/>
        <stp>EM_S_FA_NETPROFITMARGIN</stp>
        <stp>3</stp>
        <stp>000501</stp>
        <stp>12/31/2018</stp>
        <stp>1</stp>
        <tr r="J3428" s="1"/>
      </tp>
      <tp>
        <v>13.7112123872</v>
        <stp/>
        <stp>EM_S_FA_NETPROFITMARGIN</stp>
        <stp>3</stp>
        <stp>300531</stp>
        <stp>12/31/2018</stp>
        <stp>1</stp>
        <tr r="J2481" s="1"/>
      </tp>
      <tp>
        <v>1.7094142766</v>
        <stp/>
        <stp>EM_S_FA_NETPROFITMARGIN</stp>
        <stp>3</stp>
        <stp>600561</stp>
        <stp>12/31/2018</stp>
        <stp>1</stp>
        <tr r="J1927" s="1"/>
      </tp>
      <tp>
        <v>8.2973739119999994</v>
        <stp/>
        <stp>EM_S_FA_NETPROFITMARGIN</stp>
        <stp>3</stp>
        <stp>000401</stp>
        <stp>12/31/2018</stp>
        <stp>1</stp>
        <tr r="J849" s="1"/>
      </tp>
      <tp>
        <v>-179.5560658011</v>
        <stp/>
        <stp>EM_S_FA_NETPROFITMARGIN</stp>
        <stp>3</stp>
        <stp>300431</stp>
        <stp>12/31/2018</stp>
        <stp>1</stp>
        <tr r="J3388" s="1"/>
      </tp>
      <tp>
        <v>9.5497096424999999</v>
        <stp/>
        <stp>EM_S_FA_NETPROFITMARGIN</stp>
        <stp>3</stp>
        <stp>600461</stp>
        <stp>12/31/2018</stp>
        <stp>1</stp>
        <tr r="J1858" s="1"/>
      </tp>
      <tp>
        <v>7.2999438599999994E-2</v>
        <stp/>
        <stp>EM_S_FA_NETPROFITMARGIN</stp>
        <stp>3</stp>
        <stp>000701</stp>
        <stp>12/31/2018</stp>
        <stp>1</stp>
        <tr r="J2836" s="1"/>
      </tp>
      <tp>
        <v>12.4159034513</v>
        <stp/>
        <stp>EM_S_FA_NETPROFITMARGIN</stp>
        <stp>3</stp>
        <stp>300731</stp>
        <stp>12/31/2018</stp>
        <stp>1</stp>
        <tr r="J1668" s="1"/>
      </tp>
      <tp>
        <v>7.3624640265999997</v>
        <stp/>
        <stp>EM_S_FA_NETPROFITMARGIN</stp>
        <stp>3</stp>
        <stp>600761</stp>
        <stp>12/31/2018</stp>
        <stp>1</stp>
        <tr r="J1761" s="1"/>
      </tp>
      <tp>
        <v>9.2420451393</v>
        <stp/>
        <stp>EM_S_FA_NETPROFITMARGIN</stp>
        <stp>3</stp>
        <stp>000601</stp>
        <stp>12/31/2018</stp>
        <stp>1</stp>
        <tr r="J3477" s="1"/>
      </tp>
      <tp>
        <v>12.1945932009</v>
        <stp/>
        <stp>EM_S_FA_NETPROFITMARGIN</stp>
        <stp>3</stp>
        <stp>300631</stp>
        <stp>12/31/2018</stp>
        <stp>1</stp>
        <tr r="J1619" s="1"/>
      </tp>
      <tp>
        <v>-15.370596146500001</v>
        <stp/>
        <stp>EM_S_FA_NETPROFITMARGIN</stp>
        <stp>3</stp>
        <stp>600661</stp>
        <stp>12/31/2018</stp>
        <stp>1</stp>
        <tr r="J2866" s="1"/>
      </tp>
      <tp>
        <v>13.3760428647</v>
        <stp/>
        <stp>EM_S_FA_NETPROFITMARGIN</stp>
        <stp>3</stp>
        <stp>603960</stp>
        <stp>12/31/2018</stp>
        <stp>1</stp>
        <tr r="J1420" s="1"/>
      </tp>
      <tp>
        <v>22.976432678999998</v>
        <stp/>
        <stp>EM_S_FA_NETPROFITMARGIN</stp>
        <stp>3</stp>
        <stp>603860</stp>
        <stp>12/31/2018</stp>
        <stp>1</stp>
        <tr r="J1627" s="1"/>
      </tp>
      <tp>
        <v>19.952712895400001</v>
        <stp/>
        <stp>EM_S_FA_NETPROFITMARGIN</stp>
        <stp>3</stp>
        <stp>603160</stp>
        <stp>12/31/2018</stp>
        <stp>1</stp>
        <tr r="J70" s="1"/>
      </tp>
      <tp>
        <v>22.106171815</v>
        <stp/>
        <stp>EM_S_FA_NETPROFITMARGIN</stp>
        <stp>3</stp>
        <stp>603060</stp>
        <stp>12/31/2018</stp>
        <stp>1</stp>
        <tr r="J1134" s="1"/>
      </tp>
      <tp>
        <v>27.4655151957</v>
        <stp/>
        <stp>EM_S_FA_NETPROFITMARGIN</stp>
        <stp>3</stp>
        <stp>603360</stp>
        <stp>12/31/2018</stp>
        <stp>1</stp>
        <tr r="J51" s="1"/>
      </tp>
      <tp>
        <v>25.744773949999999</v>
        <stp/>
        <stp>EM_S_FA_NETPROFITMARGIN</stp>
        <stp>3</stp>
        <stp>603260</stp>
        <stp>12/31/2018</stp>
        <stp>1</stp>
        <tr r="J3246" s="1"/>
      </tp>
      <tp>
        <v>13.098225794499999</v>
        <stp/>
        <stp>EM_S_FA_NETPROFITMARGIN</stp>
        <stp>3</stp>
        <stp>603660</stp>
        <stp>12/31/2018</stp>
        <stp>1</stp>
        <tr r="J3259" s="1"/>
      </tp>
      <tp>
        <v>9.4078262218000006</v>
        <stp/>
        <stp>EM_S_FA_NETPROFITMARGIN</stp>
        <stp>3</stp>
        <stp>002900</stp>
        <stp>12/31/2018</stp>
        <stp>1</stp>
        <tr r="J2567" s="1"/>
      </tp>
      <tp>
        <v>-9.0654147899999996E-2</v>
        <stp/>
        <stp>EM_S_FA_NETPROFITMARGIN</stp>
        <stp>3</stp>
        <stp>002800</stp>
        <stp>12/31/2018</stp>
        <stp>1</stp>
        <tr r="J363" s="1"/>
      </tp>
      <tp>
        <v>5.7093837078999998</v>
        <stp/>
        <stp>EM_S_FA_NETPROFITMARGIN</stp>
        <stp>3</stp>
        <stp>002100</stp>
        <stp>12/31/2018</stp>
        <stp>1</stp>
        <tr r="J54" s="1"/>
      </tp>
      <tp>
        <v>2.3903080699000001</v>
        <stp/>
        <stp>EM_S_FA_NETPROFITMARGIN</stp>
        <stp>3</stp>
        <stp>002300</stp>
        <stp>12/31/2018</stp>
        <stp>1</stp>
        <tr r="J1241" s="1"/>
      </tp>
      <tp>
        <v>-29.9823516728</v>
        <stp/>
        <stp>EM_S_FA_NETPROFITMARGIN</stp>
        <stp>3</stp>
        <stp>002200</stp>
        <stp>12/31/2018</stp>
        <stp>1</stp>
        <tr r="J1257" s="1"/>
      </tp>
      <tp>
        <v>3.1999887751</v>
        <stp/>
        <stp>EM_S_FA_NETPROFITMARGIN</stp>
        <stp>3</stp>
        <stp>002500</stp>
        <stp>12/31/2018</stp>
        <stp>1</stp>
        <tr r="J731" s="1"/>
      </tp>
      <tp>
        <v>2.0851650571000002</v>
        <stp/>
        <stp>EM_S_FA_NETPROFITMARGIN</stp>
        <stp>3</stp>
        <stp>002400</stp>
        <stp>12/31/2018</stp>
        <stp>1</stp>
        <tr r="J1851" s="1"/>
      </tp>
      <tp>
        <v>17.004041066300001</v>
        <stp/>
        <stp>EM_S_FA_NETPROFITMARGIN</stp>
        <stp>3</stp>
        <stp>002700</stp>
        <stp>12/31/2018</stp>
        <stp>1</stp>
        <tr r="J3204" s="1"/>
      </tp>
      <tp>
        <v>-3.3140861951999998</v>
        <stp/>
        <stp>EM_S_FA_NETPROFITMARGIN</stp>
        <stp>3</stp>
        <stp>002600</stp>
        <stp>12/31/2018</stp>
        <stp>1</stp>
        <tr r="J23" s="1"/>
      </tp>
      <tp>
        <v>26.721210474599999</v>
        <stp/>
        <stp>EM_S_FA_NETPROFITMARGIN</stp>
        <stp>3</stp>
        <stp>601360</stp>
        <stp>12/31/2018</stp>
        <stp>1</stp>
        <tr r="J1479" s="1"/>
      </tp>
      <tp>
        <v>8.0609606394999993</v>
        <stp/>
        <stp>EM_S_FA_NETPROFITMARGIN</stp>
        <stp>3</stp>
        <stp>000900</stp>
        <stp>12/31/2018</stp>
        <stp>1</stp>
        <tr r="J1632" s="1"/>
      </tp>
      <tp>
        <v>3.2029399406999999</v>
        <stp/>
        <stp>EM_S_FA_NETPROFITMARGIN</stp>
        <stp>3</stp>
        <stp>600960</stp>
        <stp>12/31/2018</stp>
        <stp>1</stp>
        <tr r="J2720" s="1"/>
      </tp>
      <tp>
        <v>1.0793639468</v>
        <stp/>
        <stp>EM_S_FA_NETPROFITMARGIN</stp>
        <stp>3</stp>
        <stp>000800</stp>
        <stp>12/31/2018</stp>
        <stp>1</stp>
        <tr r="J3542" s="1"/>
      </tp>
      <tp>
        <v>-11.826752842799999</v>
        <stp/>
        <stp>EM_S_FA_NETPROFITMARGIN</stp>
        <stp>3</stp>
        <stp>600860</stp>
        <stp>12/31/2018</stp>
        <stp>1</stp>
        <tr r="J816" s="1"/>
      </tp>
      <tp>
        <v>3.5860932203</v>
        <stp/>
        <stp>EM_S_FA_NETPROFITMARGIN</stp>
        <stp>3</stp>
        <stp>000100</stp>
        <stp>12/31/2018</stp>
        <stp>1</stp>
        <tr r="J212" s="1"/>
      </tp>
      <tp>
        <v>10.6930336061</v>
        <stp/>
        <stp>EM_S_FA_NETPROFITMARGIN</stp>
        <stp>3</stp>
        <stp>300130</stp>
        <stp>12/31/2018</stp>
        <stp>1</stp>
        <tr r="J478" s="1"/>
      </tp>
      <tp>
        <v>13.942917275699999</v>
        <stp/>
        <stp>EM_S_FA_NETPROFITMARGIN</stp>
        <stp>3</stp>
        <stp>600160</stp>
        <stp>12/31/2018</stp>
        <stp>1</stp>
        <tr r="J1738" s="1"/>
      </tp>
      <tp>
        <v>-25.636641236700001</v>
        <stp/>
        <stp>EM_S_FA_NETPROFITMARGIN</stp>
        <stp>3</stp>
        <stp>300030</stp>
        <stp>12/31/2018</stp>
        <stp>1</stp>
        <tr r="J663" s="1"/>
      </tp>
      <tp>
        <v>1.5564876371</v>
        <stp/>
        <stp>EM_S_FA_NETPROFITMARGIN</stp>
        <stp>3</stp>
        <stp>600060</stp>
        <stp>12/31/2018</stp>
        <stp>1</stp>
        <tr r="J1112" s="1"/>
      </tp>
      <tp>
        <v>-9.3172696981000005</v>
        <stp/>
        <stp>EM_S_FA_NETPROFITMARGIN</stp>
        <stp>3</stp>
        <stp>300330</stp>
        <stp>12/31/2018</stp>
        <stp>1</stp>
        <tr r="J758" s="1"/>
      </tp>
      <tp>
        <v>6.2603783615999999</v>
        <stp/>
        <stp>EM_S_FA_NETPROFITMARGIN</stp>
        <stp>3</stp>
        <stp>600360</stp>
        <stp>12/31/2018</stp>
        <stp>1</stp>
        <tr r="J920" s="1"/>
      </tp>
      <tp>
        <v>11.7659864903</v>
        <stp/>
        <stp>EM_S_FA_NETPROFITMARGIN</stp>
        <stp>3</stp>
        <stp>300230</stp>
        <stp>12/31/2018</stp>
        <stp>1</stp>
        <tr r="J2958" s="1"/>
      </tp>
      <tp>
        <v>5.3989625063000002</v>
        <stp/>
        <stp>EM_S_FA_NETPROFITMARGIN</stp>
        <stp>3</stp>
        <stp>600260</stp>
        <stp>12/31/2018</stp>
        <stp>1</stp>
        <tr r="J3108" s="1"/>
      </tp>
      <tp>
        <v>31.021960795199998</v>
        <stp/>
        <stp>EM_S_FA_NETPROFITMARGIN</stp>
        <stp>3</stp>
        <stp>300530</stp>
        <stp>12/31/2018</stp>
        <stp>1</stp>
        <tr r="J1349" s="1"/>
      </tp>
      <tp>
        <v>4.1648303562000004</v>
        <stp/>
        <stp>EM_S_FA_NETPROFITMARGIN</stp>
        <stp>3</stp>
        <stp>600560</stp>
        <stp>12/31/2018</stp>
        <stp>1</stp>
        <tr r="J1883" s="1"/>
      </tp>
      <tp>
        <v>3.331196641</v>
        <stp/>
        <stp>EM_S_FA_NETPROFITMARGIN</stp>
        <stp>3</stp>
        <stp>000400</stp>
        <stp>12/31/2018</stp>
        <stp>1</stp>
        <tr r="J3414" s="1"/>
      </tp>
      <tp>
        <v>15.0770686359</v>
        <stp/>
        <stp>EM_S_FA_NETPROFITMARGIN</stp>
        <stp>3</stp>
        <stp>300430</stp>
        <stp>12/31/2018</stp>
        <stp>1</stp>
        <tr r="J2455" s="1"/>
      </tp>
      <tp>
        <v>2.4540519799</v>
        <stp/>
        <stp>EM_S_FA_NETPROFITMARGIN</stp>
        <stp>3</stp>
        <stp>600460</stp>
        <stp>12/31/2018</stp>
        <stp>1</stp>
        <tr r="J200" s="1"/>
      </tp>
      <tp>
        <v>0.20518389400000001</v>
        <stp/>
        <stp>EM_S_FA_NETPROFITMARGIN</stp>
        <stp>3</stp>
        <stp>000700</stp>
        <stp>12/31/2018</stp>
        <stp>1</stp>
        <tr r="J854" s="1"/>
      </tp>
      <tp>
        <v>10.613976932</v>
        <stp/>
        <stp>EM_S_FA_NETPROFITMARGIN</stp>
        <stp>3</stp>
        <stp>300730</stp>
        <stp>12/31/2018</stp>
        <stp>1</stp>
        <tr r="J3065" s="1"/>
      </tp>
      <tp>
        <v>3.6996162830000001</v>
        <stp/>
        <stp>EM_S_FA_NETPROFITMARGIN</stp>
        <stp>3</stp>
        <stp>600760</stp>
        <stp>12/31/2018</stp>
        <stp>1</stp>
        <tr r="J1639" s="1"/>
      </tp>
      <tp>
        <v>4.7340473270999999</v>
        <stp/>
        <stp>EM_S_FA_NETPROFITMARGIN</stp>
        <stp>3</stp>
        <stp>000600</stp>
        <stp>12/31/2018</stp>
        <stp>1</stp>
        <tr r="J2456" s="1"/>
      </tp>
      <tp>
        <v>29.079356012400002</v>
        <stp/>
        <stp>EM_S_FA_NETPROFITMARGIN</stp>
        <stp>3</stp>
        <stp>300630</stp>
        <stp>12/31/2018</stp>
        <stp>1</stp>
        <tr r="J1074" s="1"/>
      </tp>
      <tp>
        <v>20.307419277600001</v>
        <stp/>
        <stp>EM_S_FA_NETPROFITMARGIN</stp>
        <stp>3</stp>
        <stp>600660</stp>
        <stp>12/31/2018</stp>
        <stp>1</stp>
        <tr r="J2159" s="1"/>
      </tp>
      <tp>
        <v>2.6652348401000001</v>
        <stp/>
        <stp>EM_S_FA_NETPROFITMARGIN</stp>
        <stp>3</stp>
        <stp>603963</stp>
        <stp>12/31/2018</stp>
        <stp>1</stp>
        <tr r="J2617" s="1"/>
      </tp>
      <tp>
        <v>8.8910298247000004</v>
        <stp/>
        <stp>EM_S_FA_NETPROFITMARGIN</stp>
        <stp>3</stp>
        <stp>603063</stp>
        <stp>12/31/2018</stp>
        <stp>1</stp>
        <tr r="J636" s="1"/>
      </tp>
      <tp>
        <v>0.17776253189999999</v>
        <stp/>
        <stp>EM_S_FA_NETPROFITMARGIN</stp>
        <stp>3</stp>
        <stp>603363</stp>
        <stp>12/31/2018</stp>
        <stp>1</stp>
        <tr r="J230" s="1"/>
      </tp>
      <tp>
        <v>12.242200376</v>
        <stp/>
        <stp>EM_S_FA_NETPROFITMARGIN</stp>
        <stp>3</stp>
        <stp>603663</stp>
        <stp>12/31/2018</stp>
        <stp>1</stp>
        <tr r="J3084" s="1"/>
      </tp>
      <tp>
        <v>17.519326295199999</v>
        <stp/>
        <stp>EM_S_FA_NETPROFITMARGIN</stp>
        <stp>3</stp>
        <stp>002903</stp>
        <stp>12/31/2018</stp>
        <stp>1</stp>
        <tr r="J2947" s="1"/>
      </tp>
      <tp>
        <v>10.0637928028</v>
        <stp/>
        <stp>EM_S_FA_NETPROFITMARGIN</stp>
        <stp>3</stp>
        <stp>002803</stp>
        <stp>12/31/2018</stp>
        <stp>1</stp>
        <tr r="J257" s="1"/>
      </tp>
      <tp>
        <v>-33.0982619754</v>
        <stp/>
        <stp>EM_S_FA_NETPROFITMARGIN</stp>
        <stp>3</stp>
        <stp>002103</stp>
        <stp>12/31/2018</stp>
        <stp>1</stp>
        <tr r="J3635" s="1"/>
      </tp>
      <tp>
        <v>12.0554699792</v>
        <stp/>
        <stp>EM_S_FA_NETPROFITMARGIN</stp>
        <stp>3</stp>
        <stp>002003</stp>
        <stp>12/31/2018</stp>
        <stp>1</stp>
        <tr r="J2851" s="1"/>
      </tp>
      <tp>
        <v>12.0794860301</v>
        <stp/>
        <stp>EM_S_FA_NETPROFITMARGIN</stp>
        <stp>3</stp>
        <stp>002303</stp>
        <stp>12/31/2018</stp>
        <stp>1</stp>
        <tr r="J1611" s="1"/>
      </tp>
      <tp>
        <v>2.2765415457999998</v>
        <stp/>
        <stp>EM_S_FA_NETPROFITMARGIN</stp>
        <stp>3</stp>
        <stp>002203</stp>
        <stp>12/31/2018</stp>
        <stp>1</stp>
        <tr r="J951" s="1"/>
      </tp>
      <tp>
        <v>2.5340497746000001</v>
        <stp/>
        <stp>EM_S_FA_NETPROFITMARGIN</stp>
        <stp>3</stp>
        <stp>002503</stp>
        <stp>12/31/2018</stp>
        <stp>1</stp>
        <tr r="J2089" s="1"/>
      </tp>
      <tp>
        <v>4.0893612706000004</v>
        <stp/>
        <stp>EM_S_FA_NETPROFITMARGIN</stp>
        <stp>3</stp>
        <stp>002403</stp>
        <stp>12/31/2018</stp>
        <stp>1</stp>
        <tr r="J1774" s="1"/>
      </tp>
      <tp>
        <v>0.1734867618</v>
        <stp/>
        <stp>EM_S_FA_NETPROFITMARGIN</stp>
        <stp>3</stp>
        <stp>002703</stp>
        <stp>12/31/2018</stp>
        <stp>1</stp>
        <tr r="J1670" s="1"/>
      </tp>
      <tp>
        <v>12.315883482</v>
        <stp/>
        <stp>EM_S_FA_NETPROFITMARGIN</stp>
        <stp>3</stp>
        <stp>002603</stp>
        <stp>12/31/2018</stp>
        <stp>1</stp>
        <tr r="J1855" s="1"/>
      </tp>
      <tp>
        <v>6.4321087355</v>
        <stp/>
        <stp>EM_S_FA_NETPROFITMARGIN</stp>
        <stp>3</stp>
        <stp>601163</stp>
        <stp>12/31/2018</stp>
        <stp>1</stp>
        <tr r="J828" s="1"/>
      </tp>
      <tp>
        <v>3.5145533205000001</v>
        <stp/>
        <stp>EM_S_FA_NETPROFITMARGIN</stp>
        <stp>3</stp>
        <stp>000903</stp>
        <stp>12/31/2018</stp>
        <stp>1</stp>
        <tr r="J1940" s="1"/>
      </tp>
      <tp>
        <v>5.2170483644000001</v>
        <stp/>
        <stp>EM_S_FA_NETPROFITMARGIN</stp>
        <stp>3</stp>
        <stp>600963</stp>
        <stp>12/31/2018</stp>
        <stp>1</stp>
        <tr r="J1727" s="1"/>
      </tp>
      <tp>
        <v>1.3071554869999999</v>
        <stp/>
        <stp>EM_S_FA_NETPROFITMARGIN</stp>
        <stp>3</stp>
        <stp>000803</stp>
        <stp>12/31/2018</stp>
        <stp>1</stp>
        <tr r="J1520" s="1"/>
      </tp>
      <tp>
        <v>7.9567642368999998</v>
        <stp/>
        <stp>EM_S_FA_NETPROFITMARGIN</stp>
        <stp>3</stp>
        <stp>600863</stp>
        <stp>12/31/2018</stp>
        <stp>1</stp>
        <tr r="J1344" s="1"/>
      </tp>
      <tp>
        <v>4.3135263009000004</v>
        <stp/>
        <stp>EM_S_FA_NETPROFITMARGIN</stp>
        <stp>3</stp>
        <stp>300133</stp>
        <stp>12/31/2018</stp>
        <stp>1</stp>
        <tr r="J3041" s="1"/>
      </tp>
      <tp>
        <v>27.607706950200001</v>
        <stp/>
        <stp>EM_S_FA_NETPROFITMARGIN</stp>
        <stp>3</stp>
        <stp>600163</stp>
        <stp>12/31/2018</stp>
        <stp>1</stp>
        <tr r="J1968" s="1"/>
      </tp>
      <tp>
        <v>14.724133459200001</v>
        <stp/>
        <stp>EM_S_FA_NETPROFITMARGIN</stp>
        <stp>3</stp>
        <stp>000003</stp>
        <stp>12/31/2018</stp>
        <stp>1</stp>
        <tr r="J2271" s="1"/>
      </tp>
      <tp>
        <v>45.709146580199999</v>
        <stp/>
        <stp>EM_S_FA_NETPROFITMARGIN</stp>
        <stp>3</stp>
        <stp>300033</stp>
        <stp>12/31/2018</stp>
        <stp>1</stp>
        <tr r="J49" s="1"/>
      </tp>
      <tp>
        <v>2.2218319209000001</v>
        <stp/>
        <stp>EM_S_FA_NETPROFITMARGIN</stp>
        <stp>3</stp>
        <stp>600063</stp>
        <stp>12/31/2018</stp>
        <stp>1</stp>
        <tr r="J327" s="1"/>
      </tp>
      <tp>
        <v>14.6709115124</v>
        <stp/>
        <stp>EM_S_FA_NETPROFITMARGIN</stp>
        <stp>3</stp>
        <stp>300333</stp>
        <stp>12/31/2018</stp>
        <stp>1</stp>
        <tr r="J455" s="1"/>
      </tp>
      <tp>
        <v>7.3646702745999999</v>
        <stp/>
        <stp>EM_S_FA_NETPROFITMARGIN</stp>
        <stp>3</stp>
        <stp>600363</stp>
        <stp>12/31/2018</stp>
        <stp>1</stp>
        <tr r="J202" s="1"/>
      </tp>
      <tp>
        <v>9.3855318494999995</v>
        <stp/>
        <stp>EM_S_FA_NETPROFITMARGIN</stp>
        <stp>3</stp>
        <stp>300233</stp>
        <stp>12/31/2018</stp>
        <stp>1</stp>
        <tr r="J694" s="1"/>
      </tp>
      <tp>
        <v>0</v>
        <stp/>
        <stp>EM_S_FA_NETPROFITMARGIN</stp>
        <stp>3</stp>
        <stp>600263</stp>
        <stp>12/31/2018</stp>
        <stp>1</stp>
        <tr r="J2297" s="1"/>
      </tp>
      <tp>
        <v>-197.6448708787</v>
        <stp/>
        <stp>EM_S_FA_NETPROFITMARGIN</stp>
        <stp>3</stp>
        <stp>000503</stp>
        <stp>12/31/2018</stp>
        <stp>1</stp>
        <tr r="J3430" s="1"/>
      </tp>
      <tp>
        <v>34.258238897799998</v>
        <stp/>
        <stp>EM_S_FA_NETPROFITMARGIN</stp>
        <stp>3</stp>
        <stp>300533</stp>
        <stp>12/31/2018</stp>
        <stp>1</stp>
        <tr r="J687" s="1"/>
      </tp>
      <tp>
        <v>26.726225984100001</v>
        <stp/>
        <stp>EM_S_FA_NETPROFITMARGIN</stp>
        <stp>3</stp>
        <stp>600563</stp>
        <stp>12/31/2018</stp>
        <stp>1</stp>
        <tr r="J1335" s="1"/>
      </tp>
      <tp>
        <v>8.7155193318999995</v>
        <stp/>
        <stp>EM_S_FA_NETPROFITMARGIN</stp>
        <stp>3</stp>
        <stp>000403</stp>
        <stp>12/31/2018</stp>
        <stp>1</stp>
        <tr r="J1103" s="1"/>
      </tp>
      <tp>
        <v>2.1668740877000001</v>
        <stp/>
        <stp>EM_S_FA_NETPROFITMARGIN</stp>
        <stp>3</stp>
        <stp>300433</stp>
        <stp>12/31/2018</stp>
        <stp>1</stp>
        <tr r="J140" s="1"/>
      </tp>
      <tp>
        <v>0.76794761079999996</v>
        <stp/>
        <stp>EM_S_FA_NETPROFITMARGIN</stp>
        <stp>3</stp>
        <stp>600463</stp>
        <stp>12/31/2018</stp>
        <stp>1</stp>
        <tr r="J2180" s="1"/>
      </tp>
      <tp>
        <v>2.6409448922999998</v>
        <stp/>
        <stp>EM_S_FA_NETPROFITMARGIN</stp>
        <stp>3</stp>
        <stp>000703</stp>
        <stp>12/31/2018</stp>
        <stp>1</stp>
        <tr r="J1288" s="1"/>
      </tp>
      <tp>
        <v>12.7987514124</v>
        <stp/>
        <stp>EM_S_FA_NETPROFITMARGIN</stp>
        <stp>3</stp>
        <stp>300733</stp>
        <stp>12/31/2018</stp>
        <stp>1</stp>
        <tr r="J3184" s="1"/>
      </tp>
      <tp>
        <v>23.233588121</v>
        <stp/>
        <stp>EM_S_FA_NETPROFITMARGIN</stp>
        <stp>3</stp>
        <stp>600763</stp>
        <stp>12/31/2018</stp>
        <stp>1</stp>
        <tr r="J136" s="1"/>
      </tp>
      <tp>
        <v>23.210908594300001</v>
        <stp/>
        <stp>EM_S_FA_NETPROFITMARGIN</stp>
        <stp>3</stp>
        <stp>000603</stp>
        <stp>12/31/2018</stp>
        <stp>1</stp>
        <tr r="J625" s="1"/>
      </tp>
      <tp>
        <v>20.591269740400001</v>
        <stp/>
        <stp>EM_S_FA_NETPROFITMARGIN</stp>
        <stp>3</stp>
        <stp>300633</stp>
        <stp>12/31/2018</stp>
        <stp>1</stp>
        <tr r="J2972" s="1"/>
      </tp>
      <tp>
        <v>32.480084360699998</v>
        <stp/>
        <stp>EM_S_FA_NETPROFITMARGIN</stp>
        <stp>3</stp>
        <stp>600663</stp>
        <stp>12/31/2018</stp>
        <stp>1</stp>
        <tr r="J2066" s="1"/>
      </tp>
      <tp>
        <v>1.5827965769000001</v>
        <stp/>
        <stp>EM_S_FA_NETPROFITMARGIN</stp>
        <stp>3</stp>
        <stp>002902</stp>
        <stp>12/31/2018</stp>
        <stp>1</stp>
        <tr r="J2409" s="1"/>
      </tp>
      <tp>
        <v>14.1615692789</v>
        <stp/>
        <stp>EM_S_FA_NETPROFITMARGIN</stp>
        <stp>3</stp>
        <stp>002802</stp>
        <stp>12/31/2018</stp>
        <stp>1</stp>
        <tr r="J2459" s="1"/>
      </tp>
      <tp>
        <v>-19.353843856200001</v>
        <stp/>
        <stp>EM_S_FA_NETPROFITMARGIN</stp>
        <stp>3</stp>
        <stp>002102</stp>
        <stp>12/31/2018</stp>
        <stp>1</stp>
        <tr r="J3634" s="1"/>
      </tp>
      <tp>
        <v>10.123684413499999</v>
        <stp/>
        <stp>EM_S_FA_NETPROFITMARGIN</stp>
        <stp>3</stp>
        <stp>002002</stp>
        <stp>12/31/2018</stp>
        <stp>1</stp>
        <tr r="J3603" s="1"/>
      </tp>
      <tp>
        <v>1.7948412985</v>
        <stp/>
        <stp>EM_S_FA_NETPROFITMARGIN</stp>
        <stp>3</stp>
        <stp>002302</stp>
        <stp>12/31/2018</stp>
        <stp>1</stp>
        <tr r="J1075" s="1"/>
      </tp>
      <tp>
        <v>11.4254387558</v>
        <stp/>
        <stp>EM_S_FA_NETPROFITMARGIN</stp>
        <stp>3</stp>
        <stp>002202</stp>
        <stp>12/31/2018</stp>
        <stp>1</stp>
        <tr r="J1408" s="1"/>
      </tp>
      <tp>
        <v>-170.08569010439999</v>
        <stp/>
        <stp>EM_S_FA_NETPROFITMARGIN</stp>
        <stp>3</stp>
        <stp>002502</stp>
        <stp>12/31/2018</stp>
        <stp>1</stp>
        <tr r="J2997" s="1"/>
      </tp>
      <tp>
        <v>8.8239173902000001</v>
        <stp/>
        <stp>EM_S_FA_NETPROFITMARGIN</stp>
        <stp>3</stp>
        <stp>002402</stp>
        <stp>12/31/2018</stp>
        <stp>1</stp>
        <tr r="J144" s="1"/>
      </tp>
      <tp>
        <v>3.0488511495999999</v>
        <stp/>
        <stp>EM_S_FA_NETPROFITMARGIN</stp>
        <stp>3</stp>
        <stp>002702</stp>
        <stp>12/31/2018</stp>
        <stp>1</stp>
        <tr r="J1877" s="1"/>
      </tp>
      <tp>
        <v>11.8360408909</v>
        <stp/>
        <stp>EM_S_FA_NETPROFITMARGIN</stp>
        <stp>3</stp>
        <stp>002602</stp>
        <stp>12/31/2018</stp>
        <stp>1</stp>
        <tr r="J3332" s="1"/>
      </tp>
      <tp>
        <v>8.2614719429000001</v>
        <stp/>
        <stp>EM_S_FA_NETPROFITMARGIN</stp>
        <stp>3</stp>
        <stp>000902</stp>
        <stp>12/31/2018</stp>
        <stp>1</stp>
        <tr r="J2826" s="1"/>
      </tp>
      <tp>
        <v>1.0579222557000001</v>
        <stp/>
        <stp>EM_S_FA_NETPROFITMARGIN</stp>
        <stp>3</stp>
        <stp>600962</stp>
        <stp>12/31/2018</stp>
        <stp>1</stp>
        <tr r="J1599" s="1"/>
      </tp>
      <tp>
        <v>26.904530327300002</v>
        <stp/>
        <stp>EM_S_FA_NETPROFITMARGIN</stp>
        <stp>3</stp>
        <stp>000802</stp>
        <stp>12/31/2018</stp>
        <stp>1</stp>
        <tr r="J3543" s="1"/>
      </tp>
      <tp>
        <v>13.614880631</v>
        <stp/>
        <stp>EM_S_FA_NETPROFITMARGIN</stp>
        <stp>3</stp>
        <stp>600862</stp>
        <stp>12/31/2018</stp>
        <stp>1</stp>
        <tr r="J174" s="1"/>
      </tp>
      <tp>
        <v>28.162694576300002</v>
        <stp/>
        <stp>EM_S_FA_NETPROFITMARGIN</stp>
        <stp>3</stp>
        <stp>300132</stp>
        <stp>12/31/2018</stp>
        <stp>1</stp>
        <tr r="J2143" s="1"/>
      </tp>
      <tp>
        <v>9.8302211150000005</v>
        <stp/>
        <stp>EM_S_FA_NETPROFITMARGIN</stp>
        <stp>3</stp>
        <stp>600162</stp>
        <stp>12/31/2018</stp>
        <stp>1</stp>
        <tr r="J2078" s="1"/>
      </tp>
      <tp>
        <v>16.5521382865</v>
        <stp/>
        <stp>EM_S_FA_NETPROFITMARGIN</stp>
        <stp>3</stp>
        <stp>000002</stp>
        <stp>12/31/2018</stp>
        <stp>1</stp>
        <tr r="J725" s="1"/>
      </tp>
      <tp>
        <v>-75.570507819499994</v>
        <stp/>
        <stp>EM_S_FA_NETPROFITMARGIN</stp>
        <stp>3</stp>
        <stp>300032</stp>
        <stp>12/31/2018</stp>
        <stp>1</stp>
        <tr r="J987" s="1"/>
      </tp>
      <tp>
        <v>12.029696313200001</v>
        <stp/>
        <stp>EM_S_FA_NETPROFITMARGIN</stp>
        <stp>3</stp>
        <stp>600062</stp>
        <stp>12/31/2018</stp>
        <stp>1</stp>
        <tr r="J1938" s="1"/>
      </tp>
      <tp>
        <v>0.98434520280000004</v>
        <stp/>
        <stp>EM_S_FA_NETPROFITMARGIN</stp>
        <stp>3</stp>
        <stp>300332</stp>
        <stp>12/31/2018</stp>
        <stp>1</stp>
        <tr r="J1799" s="1"/>
      </tp>
      <tp>
        <v>1.1400026852</v>
        <stp/>
        <stp>EM_S_FA_NETPROFITMARGIN</stp>
        <stp>3</stp>
        <stp>600362</stp>
        <stp>12/31/2018</stp>
        <stp>1</stp>
        <tr r="J900" s="1"/>
      </tp>
      <tp>
        <v>9.4237724265999994</v>
        <stp/>
        <stp>EM_S_FA_NETPROFITMARGIN</stp>
        <stp>3</stp>
        <stp>300232</stp>
        <stp>12/31/2018</stp>
        <stp>1</stp>
        <tr r="J1976" s="1"/>
      </tp>
      <tp>
        <v>18.1491528643</v>
        <stp/>
        <stp>EM_S_FA_NETPROFITMARGIN</stp>
        <stp>3</stp>
        <stp>600262</stp>
        <stp>12/31/2018</stp>
        <stp>1</stp>
        <tr r="J2020" s="1"/>
      </tp>
      <tp>
        <v>438.21328491029999</v>
        <stp/>
        <stp>EM_S_FA_NETPROFITMARGIN</stp>
        <stp>3</stp>
        <stp>000502</stp>
        <stp>12/31/2018</stp>
        <stp>1</stp>
        <tr r="J3429" s="1"/>
      </tp>
      <tp>
        <v>4.1741481608999997</v>
        <stp/>
        <stp>EM_S_FA_NETPROFITMARGIN</stp>
        <stp>3</stp>
        <stp>300532</stp>
        <stp>12/31/2018</stp>
        <stp>1</stp>
        <tr r="J1967" s="1"/>
      </tp>
      <tp>
        <v>3.6234941104999998</v>
        <stp/>
        <stp>EM_S_FA_NETPROFITMARGIN</stp>
        <stp>3</stp>
        <stp>600562</stp>
        <stp>12/31/2018</stp>
        <stp>1</stp>
        <tr r="J1682" s="1"/>
      </tp>
      <tp>
        <v>18.258141177900001</v>
        <stp/>
        <stp>EM_S_FA_NETPROFITMARGIN</stp>
        <stp>3</stp>
        <stp>000402</stp>
        <stp>12/31/2018</stp>
        <stp>1</stp>
        <tr r="J3415" s="1"/>
      </tp>
      <tp>
        <v>-157.47969977689999</v>
        <stp/>
        <stp>EM_S_FA_NETPROFITMARGIN</stp>
        <stp>3</stp>
        <stp>300432</stp>
        <stp>12/31/2018</stp>
        <stp>1</stp>
        <tr r="J180" s="1"/>
      </tp>
      <tp>
        <v>-12.6374539959</v>
        <stp/>
        <stp>EM_S_FA_NETPROFITMARGIN</stp>
        <stp>3</stp>
        <stp>600462</stp>
        <stp>12/31/2018</stp>
        <stp>1</stp>
        <tr r="J3369" s="1"/>
      </tp>
      <tp>
        <v>3.9331104681000002</v>
        <stp/>
        <stp>EM_S_FA_NETPROFITMARGIN</stp>
        <stp>3</stp>
        <stp>000702</stp>
        <stp>12/31/2018</stp>
        <stp>1</stp>
        <tr r="J3516" s="1"/>
      </tp>
      <tp>
        <v>26.514043569199998</v>
        <stp/>
        <stp>EM_S_FA_NETPROFITMARGIN</stp>
        <stp>3</stp>
        <stp>300732</stp>
        <stp>12/31/2018</stp>
        <stp>1</stp>
        <tr r="J3364" s="1"/>
      </tp>
      <tp>
        <v>0</v>
        <stp/>
        <stp>EM_S_FA_NETPROFITMARGIN</stp>
        <stp>3</stp>
        <stp>600762</stp>
        <stp>12/31/2018</stp>
        <stp>1</stp>
        <tr r="J2320" s="1"/>
      </tp>
      <tp>
        <v>0</v>
        <stp/>
        <stp>EM_S_FA_NETPROFITMARGIN</stp>
        <stp>3</stp>
        <stp>000602</stp>
        <stp>12/31/2018</stp>
        <stp>1</stp>
        <tr r="J3478" s="1"/>
      </tp>
      <tp>
        <v>15.516755076200001</v>
        <stp/>
        <stp>EM_S_FA_NETPROFITMARGIN</stp>
        <stp>3</stp>
        <stp>300632</stp>
        <stp>12/31/2018</stp>
        <stp>1</stp>
        <tr r="J320" s="1"/>
      </tp>
      <tp>
        <v>1.6076441126000001</v>
        <stp/>
        <stp>EM_S_FA_NETPROFITMARGIN</stp>
        <stp>3</stp>
        <stp>600662</stp>
        <stp>12/31/2018</stp>
        <stp>1</stp>
        <tr r="J1782" s="1"/>
      </tp>
      <tp>
        <v>9.9557959260000004</v>
        <stp/>
        <stp>EM_S_FA_NETPROFITMARGIN</stp>
        <stp>3</stp>
        <stp>603165</stp>
        <stp>12/31/2018</stp>
        <stp>1</stp>
        <tr r="J1558" s="1"/>
      </tp>
      <tp>
        <v>10.484873032799999</v>
        <stp/>
        <stp>EM_S_FA_NETPROFITMARGIN</stp>
        <stp>3</stp>
        <stp>603365</stp>
        <stp>12/31/2018</stp>
        <stp>1</stp>
        <tr r="J2148" s="1"/>
      </tp>
      <tp>
        <v>9.4141540260000003</v>
        <stp/>
        <stp>EM_S_FA_NETPROFITMARGIN</stp>
        <stp>3</stp>
        <stp>603665</stp>
        <stp>12/31/2018</stp>
        <stp>1</stp>
        <tr r="J3001" s="1"/>
      </tp>
      <tp>
        <v>7.8205439964999997</v>
        <stp/>
        <stp>EM_S_FA_NETPROFITMARGIN</stp>
        <stp>3</stp>
        <stp>002905</stp>
        <stp>12/31/2018</stp>
        <stp>1</stp>
        <tr r="J980" s="1"/>
      </tp>
      <tp>
        <v>6.1586960166000004</v>
        <stp/>
        <stp>EM_S_FA_NETPROFITMARGIN</stp>
        <stp>3</stp>
        <stp>002805</stp>
        <stp>12/31/2018</stp>
        <stp>1</stp>
        <tr r="J3062" s="1"/>
      </tp>
      <tp>
        <v>-0.51761315490000004</v>
        <stp/>
        <stp>EM_S_FA_NETPROFITMARGIN</stp>
        <stp>3</stp>
        <stp>002105</stp>
        <stp>12/31/2018</stp>
        <stp>1</stp>
        <tr r="J3636" s="1"/>
      </tp>
      <tp>
        <v>-101.30082019149999</v>
        <stp/>
        <stp>EM_S_FA_NETPROFITMARGIN</stp>
        <stp>3</stp>
        <stp>002005</stp>
        <stp>12/31/2018</stp>
        <stp>1</stp>
        <tr r="J3604" s="1"/>
      </tp>
      <tp>
        <v>2.7836617569</v>
        <stp/>
        <stp>EM_S_FA_NETPROFITMARGIN</stp>
        <stp>3</stp>
        <stp>002305</stp>
        <stp>12/31/2018</stp>
        <stp>1</stp>
        <tr r="J3140" s="1"/>
      </tp>
      <tp>
        <v>0.37526041259999998</v>
        <stp/>
        <stp>EM_S_FA_NETPROFITMARGIN</stp>
        <stp>3</stp>
        <stp>002205</stp>
        <stp>12/31/2018</stp>
        <stp>1</stp>
        <tr r="J1137" s="1"/>
      </tp>
      <tp>
        <v>-4.6018422823999998</v>
        <stp/>
        <stp>EM_S_FA_NETPROFITMARGIN</stp>
        <stp>3</stp>
        <stp>002505</stp>
        <stp>12/31/2018</stp>
        <stp>1</stp>
        <tr r="J1975" s="1"/>
      </tp>
      <tp>
        <v>17.688778060099999</v>
        <stp/>
        <stp>EM_S_FA_NETPROFITMARGIN</stp>
        <stp>3</stp>
        <stp>002405</stp>
        <stp>12/31/2018</stp>
        <stp>1</stp>
        <tr r="J1559" s="1"/>
      </tp>
      <tp>
        <v>5.9635786854999999</v>
        <stp/>
        <stp>EM_S_FA_NETPROFITMARGIN</stp>
        <stp>3</stp>
        <stp>002705</stp>
        <stp>12/31/2018</stp>
        <stp>1</stp>
        <tr r="J240" s="1"/>
      </tp>
      <tp>
        <v>20.4556559219</v>
        <stp/>
        <stp>EM_S_FA_NETPROFITMARGIN</stp>
        <stp>3</stp>
        <stp>002605</stp>
        <stp>12/31/2018</stp>
        <stp>1</stp>
        <tr r="J74" s="1"/>
      </tp>
      <tp>
        <v>14.6594858626</v>
        <stp/>
        <stp>EM_S_FA_NETPROFITMARGIN</stp>
        <stp>3</stp>
        <stp>601965</stp>
        <stp>12/31/2018</stp>
        <stp>1</stp>
        <tr r="J1351" s="1"/>
      </tp>
      <tp>
        <v>0.79954824930000001</v>
        <stp/>
        <stp>EM_S_FA_NETPROFITMARGIN</stp>
        <stp>3</stp>
        <stp>000905</stp>
        <stp>12/31/2018</stp>
        <stp>1</stp>
        <tr r="J3570" s="1"/>
      </tp>
      <tp>
        <v>11.063660086600001</v>
        <stp/>
        <stp>EM_S_FA_NETPROFITMARGIN</stp>
        <stp>3</stp>
        <stp>600965</stp>
        <stp>12/31/2018</stp>
        <stp>1</stp>
        <tr r="J3222" s="1"/>
      </tp>
      <tp>
        <v>0</v>
        <stp/>
        <stp>EM_S_FA_NETPROFITMARGIN</stp>
        <stp>3</stp>
        <stp>000805</stp>
        <stp>12/31/2018</stp>
        <stp>1</stp>
        <tr r="J3544" s="1"/>
      </tp>
      <tp>
        <v>14.3427113966</v>
        <stp/>
        <stp>EM_S_FA_NETPROFITMARGIN</stp>
        <stp>3</stp>
        <stp>600865</stp>
        <stp>12/31/2018</stp>
        <stp>1</stp>
        <tr r="J1563" s="1"/>
      </tp>
      <tp>
        <v>1.9804595653999999</v>
        <stp/>
        <stp>EM_S_FA_NETPROFITMARGIN</stp>
        <stp>3</stp>
        <stp>300135</stp>
        <stp>12/31/2018</stp>
        <stp>1</stp>
        <tr r="J2372" s="1"/>
      </tp>
      <tp>
        <v>2.0961893125</v>
        <stp/>
        <stp>EM_S_FA_NETPROFITMARGIN</stp>
        <stp>3</stp>
        <stp>600165</stp>
        <stp>12/31/2018</stp>
        <stp>1</stp>
        <tr r="J3077" s="1"/>
      </tp>
      <tp>
        <v>32.2407979535</v>
        <stp/>
        <stp>EM_S_FA_NETPROFITMARGIN</stp>
        <stp>3</stp>
        <stp>000005</stp>
        <stp>12/31/2018</stp>
        <stp>1</stp>
        <tr r="J1466" s="1"/>
      </tp>
      <tp>
        <v>21.049195681200001</v>
        <stp/>
        <stp>EM_S_FA_NETPROFITMARGIN</stp>
        <stp>3</stp>
        <stp>300035</stp>
        <stp>12/31/2018</stp>
        <stp>1</stp>
        <tr r="J263" s="1"/>
      </tp>
      <tp>
        <v>-0.3904763128</v>
        <stp/>
        <stp>EM_S_FA_NETPROFITMARGIN</stp>
        <stp>3</stp>
        <stp>600065</stp>
        <stp>12/31/2018</stp>
        <stp>1</stp>
        <tr r="J2289" s="1"/>
      </tp>
      <tp>
        <v>11.728500154500001</v>
        <stp/>
        <stp>EM_S_FA_NETPROFITMARGIN</stp>
        <stp>3</stp>
        <stp>300335</stp>
        <stp>12/31/2018</stp>
        <stp>1</stp>
        <tr r="J2659" s="1"/>
      </tp>
      <tp>
        <v>3.2302569554999998</v>
        <stp/>
        <stp>EM_S_FA_NETPROFITMARGIN</stp>
        <stp>3</stp>
        <stp>600365</stp>
        <stp>12/31/2018</stp>
        <stp>1</stp>
        <tr r="J1502" s="1"/>
      </tp>
      <tp>
        <v>11.2919740017</v>
        <stp/>
        <stp>EM_S_FA_NETPROFITMARGIN</stp>
        <stp>3</stp>
        <stp>300235</stp>
        <stp>12/31/2018</stp>
        <stp>1</stp>
        <tr r="J431" s="1"/>
      </tp>
      <tp>
        <v>4.8040676208999997</v>
        <stp/>
        <stp>EM_S_FA_NETPROFITMARGIN</stp>
        <stp>3</stp>
        <stp>600265</stp>
        <stp>12/31/2018</stp>
        <stp>1</stp>
        <tr r="J2743" s="1"/>
      </tp>
      <tp>
        <v>2.8495421847000002</v>
        <stp/>
        <stp>EM_S_FA_NETPROFITMARGIN</stp>
        <stp>3</stp>
        <stp>000505</stp>
        <stp>12/31/2018</stp>
        <stp>1</stp>
        <tr r="J3432" s="1"/>
      </tp>
      <tp>
        <v>11.579376677100001</v>
        <stp/>
        <stp>EM_S_FA_NETPROFITMARGIN</stp>
        <stp>3</stp>
        <stp>300535</stp>
        <stp>12/31/2018</stp>
        <stp>1</stp>
        <tr r="J1948" s="1"/>
      </tp>
      <tp>
        <v>7.9578118246000003</v>
        <stp/>
        <stp>EM_S_FA_NETPROFITMARGIN</stp>
        <stp>3</stp>
        <stp>600565</stp>
        <stp>12/31/2018</stp>
        <stp>1</stp>
        <tr r="J845" s="1"/>
      </tp>
      <tp>
        <v>13.970134869400001</v>
        <stp/>
        <stp>EM_S_FA_NETPROFITMARGIN</stp>
        <stp>3</stp>
        <stp>000405</stp>
        <stp>12/31/2018</stp>
        <stp>1</stp>
        <tr r="J3416" s="1"/>
      </tp>
      <tp>
        <v>10.8488379654</v>
        <stp/>
        <stp>EM_S_FA_NETPROFITMARGIN</stp>
        <stp>3</stp>
        <stp>300435</stp>
        <stp>12/31/2018</stp>
        <stp>1</stp>
        <tr r="J1794" s="1"/>
      </tp>
      <tp>
        <v>2.5133927170999999</v>
        <stp/>
        <stp>EM_S_FA_NETPROFITMARGIN</stp>
        <stp>3</stp>
        <stp>000705</stp>
        <stp>12/31/2018</stp>
        <stp>1</stp>
        <tr r="J1817" s="1"/>
      </tp>
      <tp>
        <v>17.1335366705</v>
        <stp/>
        <stp>EM_S_FA_NETPROFITMARGIN</stp>
        <stp>3</stp>
        <stp>300735</stp>
        <stp>12/31/2018</stp>
        <stp>1</stp>
        <tr r="J394" s="1"/>
      </tp>
      <tp>
        <v>4.2035137175999999</v>
        <stp/>
        <stp>EM_S_FA_NETPROFITMARGIN</stp>
        <stp>3</stp>
        <stp>600765</stp>
        <stp>12/31/2018</stp>
        <stp>1</stp>
        <tr r="J867" s="1"/>
      </tp>
      <tp>
        <v>5.8711403721000002</v>
        <stp/>
        <stp>EM_S_FA_NETPROFITMARGIN</stp>
        <stp>3</stp>
        <stp>000605</stp>
        <stp>12/31/2018</stp>
        <stp>1</stp>
        <tr r="J3479" s="1"/>
      </tp>
      <tp>
        <v>13.1823569643</v>
        <stp/>
        <stp>EM_S_FA_NETPROFITMARGIN</stp>
        <stp>3</stp>
        <stp>300635</stp>
        <stp>12/31/2018</stp>
        <stp>1</stp>
        <tr r="J3011" s="1"/>
      </tp>
      <tp>
        <v>7.6085327939000003</v>
        <stp/>
        <stp>EM_S_FA_NETPROFITMARGIN</stp>
        <stp>3</stp>
        <stp>600665</stp>
        <stp>12/31/2018</stp>
        <stp>1</stp>
        <tr r="J2096" s="1"/>
      </tp>
      <tp>
        <v>8.7340591767000006</v>
        <stp/>
        <stp>EM_S_FA_NETPROFITMARGIN</stp>
        <stp>3</stp>
        <stp>002104</stp>
        <stp>12/31/2018</stp>
        <stp>1</stp>
        <tr r="J962" s="1"/>
      </tp>
      <tp>
        <v>7.781789764</v>
        <stp/>
        <stp>EM_S_FA_NETPROFITMARGIN</stp>
        <stp>3</stp>
        <stp>002004</stp>
        <stp>12/31/2018</stp>
        <stp>1</stp>
        <tr r="J1958" s="1"/>
      </tp>
      <tp>
        <v>33.590216907799999</v>
        <stp/>
        <stp>EM_S_FA_NETPROFITMARGIN</stp>
        <stp>3</stp>
        <stp>002304</stp>
        <stp>12/31/2018</stp>
        <stp>1</stp>
        <tr r="J1400" s="1"/>
      </tp>
      <tp>
        <v>3.5222504299999999E-2</v>
        <stp/>
        <stp>EM_S_FA_NETPROFITMARGIN</stp>
        <stp>3</stp>
        <stp>002204</stp>
        <stp>12/31/2018</stp>
        <stp>1</stp>
        <tr r="J1806" s="1"/>
      </tp>
      <tp>
        <v>0.50329023360000003</v>
        <stp/>
        <stp>EM_S_FA_NETPROFITMARGIN</stp>
        <stp>3</stp>
        <stp>002504</stp>
        <stp>12/31/2018</stp>
        <stp>1</stp>
        <tr r="J2893" s="1"/>
      </tp>
      <tp>
        <v>4.8143267983999998</v>
        <stp/>
        <stp>EM_S_FA_NETPROFITMARGIN</stp>
        <stp>3</stp>
        <stp>002404</stp>
        <stp>12/31/2018</stp>
        <stp>1</stp>
        <tr r="J1312" s="1"/>
      </tp>
      <tp>
        <v>-328.11234171519999</v>
        <stp/>
        <stp>EM_S_FA_NETPROFITMARGIN</stp>
        <stp>3</stp>
        <stp>002604</stp>
        <stp>12/31/2018</stp>
        <stp>1</stp>
        <tr r="J1363" s="1"/>
      </tp>
      <tp>
        <v>-14.603518792999999</v>
        <stp/>
        <stp>EM_S_FA_NETPROFITMARGIN</stp>
        <stp>3</stp>
        <stp>600864</stp>
        <stp>12/31/2018</stp>
        <stp>1</stp>
        <tr r="J222" s="1"/>
      </tp>
      <tp>
        <v>-0.12588505429999999</v>
        <stp/>
        <stp>EM_S_FA_NETPROFITMARGIN</stp>
        <stp>3</stp>
        <stp>300134</stp>
        <stp>12/31/2018</stp>
        <stp>1</stp>
        <tr r="J367" s="1"/>
      </tp>
      <tp>
        <v>-5.8911201561000004</v>
        <stp/>
        <stp>EM_S_FA_NETPROFITMARGIN</stp>
        <stp>3</stp>
        <stp>000004</stp>
        <stp>12/31/2018</stp>
        <stp>1</stp>
        <tr r="J715" s="1"/>
      </tp>
      <tp>
        <v>13.482579916400001</v>
        <stp/>
        <stp>EM_S_FA_NETPROFITMARGIN</stp>
        <stp>3</stp>
        <stp>300034</stp>
        <stp>12/31/2018</stp>
        <stp>1</stp>
        <tr r="J226" s="1"/>
      </tp>
      <tp>
        <v>31.4816775695</v>
        <stp/>
        <stp>EM_S_FA_NETPROFITMARGIN</stp>
        <stp>3</stp>
        <stp>600064</stp>
        <stp>12/31/2018</stp>
        <stp>1</stp>
        <tr r="J1144" s="1"/>
      </tp>
      <tp>
        <v>2.4986545233999999</v>
        <stp/>
        <stp>EM_S_FA_NETPROFITMARGIN</stp>
        <stp>3</stp>
        <stp>300334</stp>
        <stp>12/31/2018</stp>
        <stp>1</stp>
        <tr r="J2828" s="1"/>
      </tp>
      <tp>
        <v>-28.497813221299999</v>
        <stp/>
        <stp>EM_S_FA_NETPROFITMARGIN</stp>
        <stp>3</stp>
        <stp>300234</stp>
        <stp>12/31/2018</stp>
        <stp>1</stp>
        <tr r="J173" s="1"/>
      </tp>
      <tp>
        <v>-39.892317212099996</v>
        <stp/>
        <stp>EM_S_FA_NETPROFITMARGIN</stp>
        <stp>3</stp>
        <stp>000504</stp>
        <stp>12/31/2018</stp>
        <stp>1</stp>
        <tr r="J3431" s="1"/>
      </tp>
      <tp>
        <v>6.0432620904999999</v>
        <stp/>
        <stp>EM_S_FA_NETPROFITMARGIN</stp>
        <stp>3</stp>
        <stp>300534</stp>
        <stp>12/31/2018</stp>
        <stp>1</stp>
        <tr r="J2141" s="1"/>
      </tp>
      <tp>
        <v>1.8380536387999999</v>
        <stp/>
        <stp>EM_S_FA_NETPROFITMARGIN</stp>
        <stp>3</stp>
        <stp>000404</stp>
        <stp>12/31/2018</stp>
        <stp>1</stp>
        <tr r="J2194" s="1"/>
      </tp>
      <tp>
        <v>15.7939010439</v>
        <stp/>
        <stp>EM_S_FA_NETPROFITMARGIN</stp>
        <stp>3</stp>
        <stp>300434</stp>
        <stp>12/31/2018</stp>
        <stp>1</stp>
        <tr r="J2981" s="1"/>
      </tp>
      <tp>
        <v>19.253033793899998</v>
        <stp/>
        <stp>EM_S_FA_NETPROFITMARGIN</stp>
        <stp>3</stp>
        <stp>600764</stp>
        <stp>12/31/2018</stp>
        <stp>1</stp>
        <tr r="J1185" s="1"/>
      </tp>
      <tp>
        <v>21.921630972199999</v>
        <stp/>
        <stp>EM_S_FA_NETPROFITMARGIN</stp>
        <stp>3</stp>
        <stp>300634</stp>
        <stp>12/31/2018</stp>
        <stp>1</stp>
        <tr r="J3171" s="1"/>
      </tp>
      <tp>
        <v>3.7326556692000001</v>
        <stp/>
        <stp>EM_S_FA_NETPROFITMARGIN</stp>
        <stp>3</stp>
        <stp>600664</stp>
        <stp>12/31/2018</stp>
        <stp>1</stp>
        <tr r="J2644" s="1"/>
      </tp>
      <tp>
        <v>25.434083191900001</v>
        <stp/>
        <stp>EM_S_FA_NETPROFITMARGIN</stp>
        <stp>3</stp>
        <stp>603167</stp>
        <stp>12/31/2018</stp>
        <stp>1</stp>
        <tr r="J1235" s="1"/>
      </tp>
      <tp>
        <v>10.4560223161</v>
        <stp/>
        <stp>EM_S_FA_NETPROFITMARGIN</stp>
        <stp>3</stp>
        <stp>603067</stp>
        <stp>12/31/2018</stp>
        <stp>1</stp>
        <tr r="J3099" s="1"/>
      </tp>
      <tp>
        <v>13.2101874991</v>
        <stp/>
        <stp>EM_S_FA_NETPROFITMARGIN</stp>
        <stp>3</stp>
        <stp>603367</stp>
        <stp>12/31/2018</stp>
        <stp>1</stp>
        <tr r="J1963" s="1"/>
      </tp>
      <tp>
        <v>16.663682903200002</v>
        <stp/>
        <stp>EM_S_FA_NETPROFITMARGIN</stp>
        <stp>3</stp>
        <stp>603567</stp>
        <stp>12/31/2018</stp>
        <stp>1</stp>
        <tr r="J2492" s="1"/>
      </tp>
      <tp>
        <v>6.3399401737999996</v>
        <stp/>
        <stp>EM_S_FA_NETPROFITMARGIN</stp>
        <stp>3</stp>
        <stp>603767</stp>
        <stp>12/31/2018</stp>
        <stp>1</stp>
        <tr r="J1821" s="1"/>
      </tp>
      <tp>
        <v>7.4313746050000002</v>
        <stp/>
        <stp>EM_S_FA_NETPROFITMARGIN</stp>
        <stp>3</stp>
        <stp>603667</stp>
        <stp>12/31/2018</stp>
        <stp>1</stp>
        <tr r="J1247" s="1"/>
      </tp>
      <tp>
        <v>19.529261437500001</v>
        <stp/>
        <stp>EM_S_FA_NETPROFITMARGIN</stp>
        <stp>3</stp>
        <stp>002907</stp>
        <stp>12/31/2018</stp>
        <stp>1</stp>
        <tr r="J2905" s="1"/>
      </tp>
      <tp>
        <v>24.4867160278</v>
        <stp/>
        <stp>EM_S_FA_NETPROFITMARGIN</stp>
        <stp>3</stp>
        <stp>002807</stp>
        <stp>12/31/2018</stp>
        <stp>1</stp>
        <tr r="J2715" s="1"/>
      </tp>
      <tp>
        <v>5.1646645439999999</v>
        <stp/>
        <stp>EM_S_FA_NETPROFITMARGIN</stp>
        <stp>3</stp>
        <stp>002107</stp>
        <stp>12/31/2018</stp>
        <stp>1</stp>
        <tr r="J1136" s="1"/>
      </tp>
      <tp>
        <v>37.599496348099997</v>
        <stp/>
        <stp>EM_S_FA_NETPROFITMARGIN</stp>
        <stp>3</stp>
        <stp>002007</stp>
        <stp>12/31/2018</stp>
        <stp>1</stp>
        <tr r="J2145" s="1"/>
      </tp>
      <tp>
        <v>0.62319959400000002</v>
        <stp/>
        <stp>EM_S_FA_NETPROFITMARGIN</stp>
        <stp>3</stp>
        <stp>002307</stp>
        <stp>12/31/2018</stp>
        <stp>1</stp>
        <tr r="J1740" s="1"/>
      </tp>
      <tp>
        <v>-130.60445092449999</v>
        <stp/>
        <stp>EM_S_FA_NETPROFITMARGIN</stp>
        <stp>3</stp>
        <stp>002207</stp>
        <stp>12/31/2018</stp>
        <stp>1</stp>
        <tr r="J968" s="1"/>
      </tp>
      <tp>
        <v>34.566212029100001</v>
        <stp/>
        <stp>EM_S_FA_NETPROFITMARGIN</stp>
        <stp>3</stp>
        <stp>002507</stp>
        <stp>12/31/2018</stp>
        <stp>1</stp>
        <tr r="J1166" s="1"/>
      </tp>
      <tp>
        <v>3.3657912237000001</v>
        <stp/>
        <stp>EM_S_FA_NETPROFITMARGIN</stp>
        <stp>3</stp>
        <stp>002407</stp>
        <stp>12/31/2018</stp>
        <stp>1</stp>
        <tr r="J1316" s="1"/>
      </tp>
      <tp>
        <v>0.406088175</v>
        <stp/>
        <stp>EM_S_FA_NETPROFITMARGIN</stp>
        <stp>3</stp>
        <stp>002707</stp>
        <stp>12/31/2018</stp>
        <stp>1</stp>
        <tr r="J2368" s="1"/>
      </tp>
      <tp>
        <v>18.484682844799998</v>
        <stp/>
        <stp>EM_S_FA_NETPROFITMARGIN</stp>
        <stp>3</stp>
        <stp>002607</stp>
        <stp>12/31/2018</stp>
        <stp>1</stp>
        <tr r="J95" s="1"/>
      </tp>
      <tp>
        <v>8.6755411904000006</v>
        <stp/>
        <stp>EM_S_FA_NETPROFITMARGIN</stp>
        <stp>3</stp>
        <stp>601567</stp>
        <stp>12/31/2018</stp>
        <stp>1</stp>
        <tr r="J931" s="1"/>
      </tp>
      <tp>
        <v>4.3769646891000002</v>
        <stp/>
        <stp>EM_S_FA_NETPROFITMARGIN</stp>
        <stp>3</stp>
        <stp>600967</stp>
        <stp>12/31/2018</stp>
        <stp>1</stp>
        <tr r="J2184" s="1"/>
      </tp>
      <tp>
        <v>-8.0485244734000005</v>
        <stp/>
        <stp>EM_S_FA_NETPROFITMARGIN</stp>
        <stp>3</stp>
        <stp>000807</stp>
        <stp>12/31/2018</stp>
        <stp>1</stp>
        <tr r="J3546" s="1"/>
      </tp>
      <tp>
        <v>31.152877248799999</v>
        <stp/>
        <stp>EM_S_FA_NETPROFITMARGIN</stp>
        <stp>3</stp>
        <stp>600867</stp>
        <stp>12/31/2018</stp>
        <stp>1</stp>
        <tr r="J2809" s="1"/>
      </tp>
      <tp>
        <v>19.446993647799999</v>
        <stp/>
        <stp>EM_S_FA_NETPROFITMARGIN</stp>
        <stp>3</stp>
        <stp>300137</stp>
        <stp>12/31/2018</stp>
        <stp>1</stp>
        <tr r="J2600" s="1"/>
      </tp>
      <tp>
        <v>44.420061783400001</v>
        <stp/>
        <stp>EM_S_FA_NETPROFITMARGIN</stp>
        <stp>3</stp>
        <stp>600167</stp>
        <stp>12/31/2018</stp>
        <stp>1</stp>
        <tr r="J683" s="1"/>
      </tp>
      <tp>
        <v>-462.25834369030002</v>
        <stp/>
        <stp>EM_S_FA_NETPROFITMARGIN</stp>
        <stp>3</stp>
        <stp>000007</stp>
        <stp>12/31/2018</stp>
        <stp>1</stp>
        <tr r="J1370" s="1"/>
      </tp>
      <tp>
        <v>15.2149950618</v>
        <stp/>
        <stp>EM_S_FA_NETPROFITMARGIN</stp>
        <stp>3</stp>
        <stp>300037</stp>
        <stp>12/31/2018</stp>
        <stp>1</stp>
        <tr r="J533" s="1"/>
      </tp>
      <tp>
        <v>10.744962018700001</v>
        <stp/>
        <stp>EM_S_FA_NETPROFITMARGIN</stp>
        <stp>3</stp>
        <stp>600067</stp>
        <stp>12/31/2018</stp>
        <stp>1</stp>
        <tr r="J1911" s="1"/>
      </tp>
      <tp>
        <v>-3.4751747202000001</v>
        <stp/>
        <stp>EM_S_FA_NETPROFITMARGIN</stp>
        <stp>3</stp>
        <stp>300337</stp>
        <stp>12/31/2018</stp>
        <stp>1</stp>
        <tr r="J2721" s="1"/>
      </tp>
      <tp>
        <v>8.0427582353999991</v>
        <stp/>
        <stp>EM_S_FA_NETPROFITMARGIN</stp>
        <stp>3</stp>
        <stp>600367</stp>
        <stp>12/31/2018</stp>
        <stp>1</stp>
        <tr r="J1964" s="1"/>
      </tp>
      <tp>
        <v>10.860796023300001</v>
        <stp/>
        <stp>EM_S_FA_NETPROFITMARGIN</stp>
        <stp>3</stp>
        <stp>300237</stp>
        <stp>12/31/2018</stp>
        <stp>1</stp>
        <tr r="J3205" s="1"/>
      </tp>
      <tp>
        <v>-2.3261149635999998</v>
        <stp/>
        <stp>EM_S_FA_NETPROFITMARGIN</stp>
        <stp>3</stp>
        <stp>600267</stp>
        <stp>12/31/2018</stp>
        <stp>1</stp>
        <tr r="J1513" s="1"/>
      </tp>
      <tp>
        <v>7.3808917775999996</v>
        <stp/>
        <stp>EM_S_FA_NETPROFITMARGIN</stp>
        <stp>3</stp>
        <stp>000507</stp>
        <stp>12/31/2018</stp>
        <stp>1</stp>
        <tr r="J2637" s="1"/>
      </tp>
      <tp>
        <v>8.5170814531999994</v>
        <stp/>
        <stp>EM_S_FA_NETPROFITMARGIN</stp>
        <stp>3</stp>
        <stp>300537</stp>
        <stp>12/31/2018</stp>
        <stp>1</stp>
        <tr r="J142" s="1"/>
      </tp>
      <tp>
        <v>14.1041832012</v>
        <stp/>
        <stp>EM_S_FA_NETPROFITMARGIN</stp>
        <stp>3</stp>
        <stp>600567</stp>
        <stp>12/31/2018</stp>
        <stp>1</stp>
        <tr r="J1183" s="1"/>
      </tp>
      <tp>
        <v>3.8900339925999998</v>
        <stp/>
        <stp>EM_S_FA_NETPROFITMARGIN</stp>
        <stp>3</stp>
        <stp>000407</stp>
        <stp>12/31/2018</stp>
        <stp>1</stp>
        <tr r="J2601" s="1"/>
      </tp>
      <tp>
        <v>16.610820216499999</v>
        <stp/>
        <stp>EM_S_FA_NETPROFITMARGIN</stp>
        <stp>3</stp>
        <stp>300437</stp>
        <stp>12/31/2018</stp>
        <stp>1</stp>
        <tr r="J2786" s="1"/>
      </tp>
      <tp>
        <v>5.5336602408999997</v>
        <stp/>
        <stp>EM_S_FA_NETPROFITMARGIN</stp>
        <stp>3</stp>
        <stp>600467</stp>
        <stp>12/31/2018</stp>
        <stp>1</stp>
        <tr r="J2199" s="1"/>
      </tp>
      <tp>
        <v>2.0868175120000001</v>
        <stp/>
        <stp>EM_S_FA_NETPROFITMARGIN</stp>
        <stp>3</stp>
        <stp>000707</stp>
        <stp>12/31/2018</stp>
        <stp>1</stp>
        <tr r="J3517" s="1"/>
      </tp>
      <tp>
        <v>5.9826363039999997</v>
        <stp/>
        <stp>EM_S_FA_NETPROFITMARGIN</stp>
        <stp>3</stp>
        <stp>300737</stp>
        <stp>12/31/2018</stp>
        <stp>1</stp>
        <tr r="J983" s="1"/>
      </tp>
      <tp>
        <v>8.2825587183000007</v>
        <stp/>
        <stp>EM_S_FA_NETPROFITMARGIN</stp>
        <stp>3</stp>
        <stp>600767</stp>
        <stp>12/31/2018</stp>
        <stp>1</stp>
        <tr r="J2211" s="1"/>
      </tp>
      <tp>
        <v>8.9597833336000008</v>
        <stp/>
        <stp>EM_S_FA_NETPROFITMARGIN</stp>
        <stp>3</stp>
        <stp>000607</stp>
        <stp>12/31/2018</stp>
        <stp>1</stp>
        <tr r="J3480" s="1"/>
      </tp>
      <tp>
        <v>26.1389702315</v>
        <stp/>
        <stp>EM_S_FA_NETPROFITMARGIN</stp>
        <stp>3</stp>
        <stp>300637</stp>
        <stp>12/31/2018</stp>
        <stp>1</stp>
        <tr r="J3365" s="1"/>
      </tp>
      <tp>
        <v>4.3104037817999998</v>
        <stp/>
        <stp>EM_S_FA_NETPROFITMARGIN</stp>
        <stp>3</stp>
        <stp>600667</stp>
        <stp>12/31/2018</stp>
        <stp>1</stp>
        <tr r="J398" s="1"/>
      </tp>
      <tp>
        <v>8.6321780409999995</v>
        <stp/>
        <stp>EM_S_FA_NETPROFITMARGIN</stp>
        <stp>3</stp>
        <stp>603966</stp>
        <stp>12/31/2018</stp>
        <stp>1</stp>
        <tr r="J1319" s="1"/>
      </tp>
      <tp>
        <v>13.286160392799999</v>
        <stp/>
        <stp>EM_S_FA_NETPROFITMARGIN</stp>
        <stp>3</stp>
        <stp>603866</stp>
        <stp>12/31/2018</stp>
        <stp>1</stp>
        <tr r="J2655" s="1"/>
      </tp>
      <tp>
        <v>7.9811362709999996</v>
        <stp/>
        <stp>EM_S_FA_NETPROFITMARGIN</stp>
        <stp>3</stp>
        <stp>603166</stp>
        <stp>12/31/2018</stp>
        <stp>1</stp>
        <tr r="J1347" s="1"/>
      </tp>
      <tp>
        <v>13.304565588399999</v>
        <stp/>
        <stp>EM_S_FA_NETPROFITMARGIN</stp>
        <stp>3</stp>
        <stp>603066</stp>
        <stp>12/31/2018</stp>
        <stp>1</stp>
        <tr r="J1845" s="1"/>
      </tp>
      <tp>
        <v>-15.890079435300001</v>
        <stp/>
        <stp>EM_S_FA_NETPROFITMARGIN</stp>
        <stp>3</stp>
        <stp>603366</stp>
        <stp>12/31/2018</stp>
        <stp>1</stp>
        <tr r="J1104" s="1"/>
      </tp>
      <tp>
        <v>7.7278856975999997</v>
        <stp/>
        <stp>EM_S_FA_NETPROFITMARGIN</stp>
        <stp>3</stp>
        <stp>603266</stp>
        <stp>12/31/2018</stp>
        <stp>1</stp>
        <tr r="J2948" s="1"/>
      </tp>
      <tp>
        <v>22.302896098000002</v>
        <stp/>
        <stp>EM_S_FA_NETPROFITMARGIN</stp>
        <stp>3</stp>
        <stp>603566</stp>
        <stp>12/31/2018</stp>
        <stp>1</stp>
        <tr r="J482" s="1"/>
      </tp>
      <tp>
        <v>12.348463794300001</v>
        <stp/>
        <stp>EM_S_FA_NETPROFITMARGIN</stp>
        <stp>3</stp>
        <stp>603466</stp>
        <stp>12/31/2018</stp>
        <stp>1</stp>
        <tr r="J2505" s="1"/>
      </tp>
      <tp>
        <v>8.9190341673999995</v>
        <stp/>
        <stp>EM_S_FA_NETPROFITMARGIN</stp>
        <stp>3</stp>
        <stp>603766</stp>
        <stp>12/31/2018</stp>
        <stp>1</stp>
        <tr r="J2719" s="1"/>
      </tp>
      <tp>
        <v>36.434174124400002</v>
        <stp/>
        <stp>EM_S_FA_NETPROFITMARGIN</stp>
        <stp>3</stp>
        <stp>603666</stp>
        <stp>12/31/2018</stp>
        <stp>1</stp>
        <tr r="J575" s="1"/>
      </tp>
      <tp>
        <v>0.51958480910000004</v>
        <stp/>
        <stp>EM_S_FA_NETPROFITMARGIN</stp>
        <stp>3</stp>
        <stp>002906</stp>
        <stp>12/31/2018</stp>
        <stp>1</stp>
        <tr r="J1168" s="1"/>
      </tp>
      <tp>
        <v>12.167906411500001</v>
        <stp/>
        <stp>EM_S_FA_NETPROFITMARGIN</stp>
        <stp>3</stp>
        <stp>002806</stp>
        <stp>12/31/2018</stp>
        <stp>1</stp>
        <tr r="J3132" s="1"/>
      </tp>
      <tp>
        <v>5.1520408661000001</v>
        <stp/>
        <stp>EM_S_FA_NETPROFITMARGIN</stp>
        <stp>3</stp>
        <stp>002106</stp>
        <stp>12/31/2018</stp>
        <stp>1</stp>
        <tr r="J474" s="1"/>
      </tp>
      <tp>
        <v>0.66590317450000003</v>
        <stp/>
        <stp>EM_S_FA_NETPROFITMARGIN</stp>
        <stp>3</stp>
        <stp>002006</stp>
        <stp>12/31/2018</stp>
        <stp>1</stp>
        <tr r="J2930" s="1"/>
      </tp>
      <tp>
        <v>9.6143865533999993</v>
        <stp/>
        <stp>EM_S_FA_NETPROFITMARGIN</stp>
        <stp>3</stp>
        <stp>002306</stp>
        <stp>12/31/2018</stp>
        <stp>1</stp>
        <tr r="J3111" s="1"/>
      </tp>
      <tp>
        <v>9.9308250804</v>
        <stp/>
        <stp>EM_S_FA_NETPROFITMARGIN</stp>
        <stp>3</stp>
        <stp>002206</stp>
        <stp>12/31/2018</stp>
        <stp>1</stp>
        <tr r="J2495" s="1"/>
      </tp>
      <tp>
        <v>0.50474722999999999</v>
        <stp/>
        <stp>EM_S_FA_NETPROFITMARGIN</stp>
        <stp>3</stp>
        <stp>002506</stp>
        <stp>12/31/2018</stp>
        <stp>1</stp>
        <tr r="J1358" s="1"/>
      </tp>
      <tp>
        <v>15.784904664400001</v>
        <stp/>
        <stp>EM_S_FA_NETPROFITMARGIN</stp>
        <stp>3</stp>
        <stp>002406</stp>
        <stp>12/31/2018</stp>
        <stp>1</stp>
        <tr r="J1384" s="1"/>
      </tp>
      <tp>
        <v>14.1038962069</v>
        <stp/>
        <stp>EM_S_FA_NETPROFITMARGIN</stp>
        <stp>3</stp>
        <stp>002706</stp>
        <stp>12/31/2018</stp>
        <stp>1</stp>
        <tr r="J778" s="1"/>
      </tp>
      <tp>
        <v>-3.3605985146999999</v>
        <stp/>
        <stp>EM_S_FA_NETPROFITMARGIN</stp>
        <stp>3</stp>
        <stp>002606</stp>
        <stp>12/31/2018</stp>
        <stp>1</stp>
        <tr r="J2831" s="1"/>
      </tp>
      <tp>
        <v>7.7205024066999997</v>
        <stp/>
        <stp>EM_S_FA_NETPROFITMARGIN</stp>
        <stp>3</stp>
        <stp>601966</stp>
        <stp>12/31/2018</stp>
        <stp>1</stp>
        <tr r="J385" s="1"/>
      </tp>
      <tp>
        <v>8.8027984829000001</v>
        <stp/>
        <stp>EM_S_FA_NETPROFITMARGIN</stp>
        <stp>3</stp>
        <stp>601866</stp>
        <stp>12/31/2018</stp>
        <stp>1</stp>
        <tr r="J1597" s="1"/>
      </tp>
      <tp>
        <v>38.692375242399997</v>
        <stp/>
        <stp>EM_S_FA_NETPROFITMARGIN</stp>
        <stp>3</stp>
        <stp>601166</stp>
        <stp>12/31/2018</stp>
        <stp>1</stp>
        <tr r="J877" s="1"/>
      </tp>
      <tp>
        <v>28.4531052735</v>
        <stp/>
        <stp>EM_S_FA_NETPROFITMARGIN</stp>
        <stp>3</stp>
        <stp>601066</stp>
        <stp>12/31/2018</stp>
        <stp>1</stp>
        <tr r="J31" s="1"/>
      </tp>
      <tp>
        <v>1.7702802844000001</v>
        <stp/>
        <stp>EM_S_FA_NETPROFITMARGIN</stp>
        <stp>3</stp>
        <stp>601366</stp>
        <stp>12/31/2018</stp>
        <stp>1</stp>
        <tr r="J2886" s="1"/>
      </tp>
      <tp>
        <v>19.2707935402</v>
        <stp/>
        <stp>EM_S_FA_NETPROFITMARGIN</stp>
        <stp>3</stp>
        <stp>601566</stp>
        <stp>12/31/2018</stp>
        <stp>1</stp>
        <tr r="J2920" s="1"/>
      </tp>
      <tp>
        <v>5.9331524126000001</v>
        <stp/>
        <stp>EM_S_FA_NETPROFITMARGIN</stp>
        <stp>3</stp>
        <stp>601766</stp>
        <stp>12/31/2018</stp>
        <stp>1</stp>
        <tr r="J3076" s="1"/>
      </tp>
      <tp>
        <v>4.3799529171999998</v>
        <stp/>
        <stp>EM_S_FA_NETPROFITMARGIN</stp>
        <stp>3</stp>
        <stp>601666</stp>
        <stp>12/31/2018</stp>
        <stp>1</stp>
        <tr r="J1590" s="1"/>
      </tp>
      <tp>
        <v>0.48605544270000001</v>
        <stp/>
        <stp>EM_S_FA_NETPROFITMARGIN</stp>
        <stp>3</stp>
        <stp>000906</stp>
        <stp>12/31/2018</stp>
        <stp>1</stp>
        <tr r="J1291" s="1"/>
      </tp>
      <tp>
        <v>3.0697283027000002</v>
        <stp/>
        <stp>EM_S_FA_NETPROFITMARGIN</stp>
        <stp>3</stp>
        <stp>600966</stp>
        <stp>12/31/2018</stp>
        <stp>1</stp>
        <tr r="J326" s="1"/>
      </tp>
      <tp>
        <v>-96.726875565100002</v>
        <stp/>
        <stp>EM_S_FA_NETPROFITMARGIN</stp>
        <stp>3</stp>
        <stp>000806</stp>
        <stp>12/31/2018</stp>
        <stp>1</stp>
        <tr r="J3545" s="1"/>
      </tp>
      <tp>
        <v>4.9214107792000004</v>
        <stp/>
        <stp>EM_S_FA_NETPROFITMARGIN</stp>
        <stp>3</stp>
        <stp>600866</stp>
        <stp>12/31/2018</stp>
        <stp>1</stp>
        <tr r="J736" s="1"/>
      </tp>
      <tp>
        <v>21.030730646599999</v>
        <stp/>
        <stp>EM_S_FA_NETPROFITMARGIN</stp>
        <stp>3</stp>
        <stp>300136</stp>
        <stp>12/31/2018</stp>
        <stp>1</stp>
        <tr r="J145" s="1"/>
      </tp>
      <tp>
        <v>-8.8637576635999995</v>
        <stp/>
        <stp>EM_S_FA_NETPROFITMARGIN</stp>
        <stp>3</stp>
        <stp>600166</stp>
        <stp>12/31/2018</stp>
        <stp>1</stp>
        <tr r="J1515" s="1"/>
      </tp>
      <tp>
        <v>36.750978100399998</v>
        <stp/>
        <stp>EM_S_FA_NETPROFITMARGIN</stp>
        <stp>3</stp>
        <stp>000006</stp>
        <stp>12/31/2018</stp>
        <stp>1</stp>
        <tr r="J1889" s="1"/>
      </tp>
      <tp>
        <v>10.291458221699999</v>
        <stp/>
        <stp>EM_S_FA_NETPROFITMARGIN</stp>
        <stp>3</stp>
        <stp>300036</stp>
        <stp>12/31/2018</stp>
        <stp>1</stp>
        <tr r="J1798" s="1"/>
      </tp>
      <tp>
        <v>7.3344410211</v>
        <stp/>
        <stp>EM_S_FA_NETPROFITMARGIN</stp>
        <stp>3</stp>
        <stp>600066</stp>
        <stp>12/31/2018</stp>
        <stp>1</stp>
        <tr r="J1296" s="1"/>
      </tp>
      <tp>
        <v>3.6182245358</v>
        <stp/>
        <stp>EM_S_FA_NETPROFITMARGIN</stp>
        <stp>3</stp>
        <stp>300336</stp>
        <stp>12/31/2018</stp>
        <stp>1</stp>
        <tr r="J2614" s="1"/>
      </tp>
      <tp>
        <v>4.4979729209999997</v>
        <stp/>
        <stp>EM_S_FA_NETPROFITMARGIN</stp>
        <stp>3</stp>
        <stp>600366</stp>
        <stp>12/31/2018</stp>
        <stp>1</stp>
        <tr r="J846" s="1"/>
      </tp>
      <tp>
        <v>1.0968702079999999</v>
        <stp/>
        <stp>EM_S_FA_NETPROFITMARGIN</stp>
        <stp>3</stp>
        <stp>300236</stp>
        <stp>12/31/2018</stp>
        <stp>1</stp>
        <tr r="J1622" s="1"/>
      </tp>
      <tp>
        <v>10.1087910613</v>
        <stp/>
        <stp>EM_S_FA_NETPROFITMARGIN</stp>
        <stp>3</stp>
        <stp>600266</stp>
        <stp>12/31/2018</stp>
        <stp>1</stp>
        <tr r="J2129" s="1"/>
      </tp>
      <tp>
        <v>6.0135021674000004</v>
        <stp/>
        <stp>EM_S_FA_NETPROFITMARGIN</stp>
        <stp>3</stp>
        <stp>000506</stp>
        <stp>12/31/2018</stp>
        <stp>1</stp>
        <tr r="J3433" s="1"/>
      </tp>
      <tp>
        <v>11.351342065400001</v>
        <stp/>
        <stp>EM_S_FA_NETPROFITMARGIN</stp>
        <stp>3</stp>
        <stp>300536</stp>
        <stp>12/31/2018</stp>
        <stp>1</stp>
        <tr r="J2931" s="1"/>
      </tp>
      <tp>
        <v>23.415858398499999</v>
        <stp/>
        <stp>EM_S_FA_NETPROFITMARGIN</stp>
        <stp>3</stp>
        <stp>600566</stp>
        <stp>12/31/2018</stp>
        <stp>1</stp>
        <tr r="J3221" s="1"/>
      </tp>
      <tp>
        <v>0</v>
        <stp/>
        <stp>EM_S_FA_NETPROFITMARGIN</stp>
        <stp>3</stp>
        <stp>000406</stp>
        <stp>12/31/2018</stp>
        <stp>1</stp>
        <tr r="J3417" s="1"/>
      </tp>
      <tp>
        <v>4.1598633682999999</v>
        <stp/>
        <stp>EM_S_FA_NETPROFITMARGIN</stp>
        <stp>3</stp>
        <stp>300436</stp>
        <stp>12/31/2018</stp>
        <stp>1</stp>
        <tr r="J879" s="1"/>
      </tp>
      <tp>
        <v>8.0986546830999995</v>
        <stp/>
        <stp>EM_S_FA_NETPROFITMARGIN</stp>
        <stp>3</stp>
        <stp>600466</stp>
        <stp>12/31/2018</stp>
        <stp>1</stp>
        <tr r="J865" s="1"/>
      </tp>
      <tp>
        <v>4.2865062951999997</v>
        <stp/>
        <stp>EM_S_FA_NETPROFITMARGIN</stp>
        <stp>3</stp>
        <stp>300736</stp>
        <stp>12/31/2018</stp>
        <stp>1</stp>
        <tr r="J3372" s="1"/>
      </tp>
      <tp>
        <v>-19.449825440200001</v>
        <stp/>
        <stp>EM_S_FA_NETPROFITMARGIN</stp>
        <stp>3</stp>
        <stp>600766</stp>
        <stp>12/31/2018</stp>
        <stp>1</stp>
        <tr r="J2671" s="1"/>
      </tp>
      <tp>
        <v>15.105786890299999</v>
        <stp/>
        <stp>EM_S_FA_NETPROFITMARGIN</stp>
        <stp>3</stp>
        <stp>000606</stp>
        <stp>12/31/2018</stp>
        <stp>1</stp>
        <tr r="J2652" s="1"/>
      </tp>
      <tp>
        <v>9.1833053206000006</v>
        <stp/>
        <stp>EM_S_FA_NETPROFITMARGIN</stp>
        <stp>3</stp>
        <stp>300636</stp>
        <stp>12/31/2018</stp>
        <stp>1</stp>
        <tr r="J456" s="1"/>
      </tp>
      <tp>
        <v>-155.6155347449</v>
        <stp/>
        <stp>EM_S_FA_NETPROFITMARGIN</stp>
        <stp>3</stp>
        <stp>600666</stp>
        <stp>12/31/2018</stp>
        <stp>1</stp>
        <tr r="J3218" s="1"/>
      </tp>
      <tp>
        <v>1.4630402742681401</v>
        <stp/>
        <stp>EM_S_VAL_PS_TTM</stp>
        <stp>2</stp>
        <stp>002397</stp>
        <stp>12/31/2018</stp>
        <tr r="O1300" s="1"/>
      </tp>
      <tp>
        <v>1.0818228284308</v>
        <stp/>
        <stp>EM_S_VAL_PS_TTM</stp>
        <stp>2</stp>
        <stp>002396</stp>
        <stp>12/31/2018</stp>
        <tr r="O155" s="1"/>
      </tp>
      <tp>
        <v>1.4353128257305801</v>
        <stp/>
        <stp>EM_S_VAL_PS_TTM</stp>
        <stp>2</stp>
        <stp>002395</stp>
        <stp>12/31/2018</stp>
        <tr r="O101" s="1"/>
      </tp>
      <tp>
        <v>0.76658292183556997</v>
        <stp/>
        <stp>EM_S_VAL_PS_TTM</stp>
        <stp>2</stp>
        <stp>002394</stp>
        <stp>12/31/2018</stp>
        <tr r="O2636" s="1"/>
      </tp>
      <tp>
        <v>2.8759900396231202</v>
        <stp/>
        <stp>EM_S_VAL_PS_TTM</stp>
        <stp>2</stp>
        <stp>002393</stp>
        <stp>12/31/2018</stp>
        <tr r="O1123" s="1"/>
      </tp>
      <tp>
        <v>1.2271980356232099</v>
        <stp/>
        <stp>EM_S_VAL_PS_TTM</stp>
        <stp>2</stp>
        <stp>002392</stp>
        <stp>12/31/2018</stp>
        <tr r="O1412" s="1"/>
      </tp>
      <tp>
        <v>1.26289113456531</v>
        <stp/>
        <stp>EM_S_VAL_PS_TTM</stp>
        <stp>2</stp>
        <stp>002391</stp>
        <stp>12/31/2018</stp>
        <tr r="O3106" s="1"/>
      </tp>
      <tp>
        <v>1.0252098623474599</v>
        <stp/>
        <stp>EM_S_VAL_PS_TTM</stp>
        <stp>2</stp>
        <stp>002390</stp>
        <stp>12/31/2018</stp>
        <tr r="O1014" s="1"/>
      </tp>
      <tp>
        <v>6.9539939884272197</v>
        <stp/>
        <stp>EM_S_VAL_PS_TTM</stp>
        <stp>2</stp>
        <stp>002399</stp>
        <stp>12/31/2018</stp>
        <tr r="O2973" s="1"/>
      </tp>
      <tp>
        <v>1.2191372231605599</v>
        <stp/>
        <stp>EM_S_VAL_PS_TTM</stp>
        <stp>2</stp>
        <stp>002398</stp>
        <stp>12/31/2018</stp>
        <tr r="O850" s="1"/>
      </tp>
      <tp>
        <v>11.066260873209499</v>
        <stp/>
        <stp>EM_S_VAL_PS_TTM</stp>
        <stp>2</stp>
        <stp>002387</stp>
        <stp>12/31/2018</stp>
        <tr r="O135" s="1"/>
      </tp>
      <tp>
        <v>0.219616166344274</v>
        <stp/>
        <stp>EM_S_VAL_PS_TTM</stp>
        <stp>2</stp>
        <stp>002386</stp>
        <stp>12/31/2018</stp>
        <tr r="O1776" s="1"/>
      </tp>
      <tp>
        <v>0.69362767844073003</v>
        <stp/>
        <stp>EM_S_VAL_PS_TTM</stp>
        <stp>2</stp>
        <stp>002385</stp>
        <stp>12/31/2018</stp>
        <tr r="O707" s="1"/>
      </tp>
      <tp>
        <v>0.98780796712918195</v>
        <stp/>
        <stp>EM_S_VAL_PS_TTM</stp>
        <stp>2</stp>
        <stp>002384</stp>
        <stp>12/31/2018</stp>
        <tr r="O172" s="1"/>
      </tp>
      <tp>
        <v>1.7565138980675301</v>
        <stp/>
        <stp>EM_S_VAL_PS_TTM</stp>
        <stp>2</stp>
        <stp>002383</stp>
        <stp>12/31/2018</stp>
        <tr r="O3075" s="1"/>
      </tp>
      <tp>
        <v>6.4797577757598797</v>
        <stp/>
        <stp>EM_S_VAL_PS_TTM</stp>
        <stp>2</stp>
        <stp>002382</stp>
        <stp>12/31/2018</stp>
        <tr r="O3033" s="1"/>
      </tp>
      <tp>
        <v>2.1578434647502198</v>
        <stp/>
        <stp>EM_S_VAL_PS_TTM</stp>
        <stp>2</stp>
        <stp>002381</stp>
        <stp>12/31/2018</stp>
        <tr r="O1089" s="1"/>
      </tp>
      <tp>
        <v>4.18911487178275</v>
        <stp/>
        <stp>EM_S_VAL_PS_TTM</stp>
        <stp>2</stp>
        <stp>002380</stp>
        <stp>12/31/2018</stp>
        <tr r="O853" s="1"/>
      </tp>
      <tp>
        <v>4.6228559400629203</v>
        <stp/>
        <stp>EM_S_VAL_PS_TTM</stp>
        <stp>2</stp>
        <stp>002389</stp>
        <stp>12/31/2018</stp>
        <tr r="O2708" s="1"/>
      </tp>
      <tp>
        <v>3.1297481418909099</v>
        <stp/>
        <stp>EM_S_VAL_PS_TTM</stp>
        <stp>2</stp>
        <stp>002388</stp>
        <stp>12/31/2018</stp>
        <tr r="O895" s="1"/>
      </tp>
      <tp>
        <v>4.9270095057648398</v>
        <stp/>
        <stp>EM_S_VAL_PS_TTM</stp>
        <stp>2</stp>
        <stp>002337</stp>
        <stp>12/31/2018</stp>
        <tr r="O2558" s="1"/>
      </tp>
      <tp>
        <v>0.30490846341670902</v>
        <stp/>
        <stp>EM_S_VAL_PS_TTM</stp>
        <stp>2</stp>
        <stp>002336</stp>
        <stp>12/31/2018</stp>
        <tr r="O2961" s="1"/>
      </tp>
      <tp>
        <v>1.3412931360332301</v>
        <stp/>
        <stp>EM_S_VAL_PS_TTM</stp>
        <stp>2</stp>
        <stp>002335</stp>
        <stp>12/31/2018</stp>
        <tr r="O1827" s="1"/>
      </tp>
      <tp>
        <v>1.3735911789596</v>
        <stp/>
        <stp>EM_S_VAL_PS_TTM</stp>
        <stp>2</stp>
        <stp>002334</stp>
        <stp>12/31/2018</stp>
        <tr r="O2234" s="1"/>
      </tp>
      <tp>
        <v>2.75849279856067</v>
        <stp/>
        <stp>EM_S_VAL_PS_TTM</stp>
        <stp>2</stp>
        <stp>002333</stp>
        <stp>12/31/2018</stp>
        <tr r="O3105" s="1"/>
      </tp>
      <tp>
        <v>1.5983281470188899</v>
        <stp/>
        <stp>EM_S_VAL_PS_TTM</stp>
        <stp>2</stp>
        <stp>002332</stp>
        <stp>12/31/2018</stp>
        <tr r="O458" s="1"/>
      </tp>
      <tp>
        <v>3.52042654022567</v>
        <stp/>
        <stp>EM_S_VAL_PS_TTM</stp>
        <stp>2</stp>
        <stp>002331</stp>
        <stp>12/31/2018</stp>
        <tr r="O1715" s="1"/>
      </tp>
      <tp>
        <v>1.1050793880462599</v>
        <stp/>
        <stp>EM_S_VAL_PS_TTM</stp>
        <stp>2</stp>
        <stp>002330</stp>
        <stp>12/31/2018</stp>
        <tr r="O253" s="1"/>
      </tp>
      <tp>
        <v>1.2492332989116099</v>
        <stp/>
        <stp>EM_S_VAL_PS_TTM</stp>
        <stp>2</stp>
        <stp>002339</stp>
        <stp>12/31/2018</stp>
        <tr r="O1989" s="1"/>
      </tp>
      <tp>
        <v>7.1010244634331396</v>
        <stp/>
        <stp>EM_S_VAL_PS_TTM</stp>
        <stp>2</stp>
        <stp>002338</stp>
        <stp>12/31/2018</stp>
        <tr r="O1311" s="1"/>
      </tp>
      <tp>
        <v>2.3029536380218198</v>
        <stp/>
        <stp>EM_S_VAL_PS_TTM</stp>
        <stp>2</stp>
        <stp>002327</stp>
        <stp>12/31/2018</stp>
        <tr r="O2672" s="1"/>
      </tp>
      <tp>
        <v>1.92718536345219</v>
        <stp/>
        <stp>EM_S_VAL_PS_TTM</stp>
        <stp>2</stp>
        <stp>002326</stp>
        <stp>12/31/2018</stp>
        <tr r="O623" s="1"/>
      </tp>
      <tp>
        <v>0.94904889297124395</v>
        <stp/>
        <stp>EM_S_VAL_PS_TTM</stp>
        <stp>2</stp>
        <stp>002325</stp>
        <stp>12/31/2018</stp>
        <tr r="O1760" s="1"/>
      </tp>
      <tp>
        <v>1.1015296589041601</v>
        <stp/>
        <stp>EM_S_VAL_PS_TTM</stp>
        <stp>2</stp>
        <stp>002324</stp>
        <stp>12/31/2018</stp>
        <tr r="O820" s="1"/>
      </tp>
      <tp>
        <v>1.36467374959127</v>
        <stp/>
        <stp>EM_S_VAL_PS_TTM</stp>
        <stp>2</stp>
        <stp>002323</stp>
        <stp>12/31/2018</stp>
        <tr r="O80" s="1"/>
      </tp>
      <tp>
        <v>3.9874122727610399</v>
        <stp/>
        <stp>EM_S_VAL_PS_TTM</stp>
        <stp>2</stp>
        <stp>002322</stp>
        <stp>12/31/2018</stp>
        <tr r="O932" s="1"/>
      </tp>
      <tp>
        <v>0.512017677243922</v>
        <stp/>
        <stp>EM_S_VAL_PS_TTM</stp>
        <stp>2</stp>
        <stp>002321</stp>
        <stp>12/31/2018</stp>
        <tr r="O1897" s="1"/>
      </tp>
      <tp>
        <v>8.45184169948533</v>
        <stp/>
        <stp>EM_S_VAL_PS_TTM</stp>
        <stp>2</stp>
        <stp>002320</stp>
        <stp>12/31/2018</stp>
        <tr r="O2750" s="1"/>
      </tp>
      <tp>
        <v>1.1044213380880501</v>
        <stp/>
        <stp>EM_S_VAL_PS_TTM</stp>
        <stp>2</stp>
        <stp>002329</stp>
        <stp>12/31/2018</stp>
        <tr r="O907" s="1"/>
      </tp>
      <tp>
        <v>0.65965952283105</v>
        <stp/>
        <stp>EM_S_VAL_PS_TTM</stp>
        <stp>2</stp>
        <stp>002328</stp>
        <stp>12/31/2018</stp>
        <tr r="O3199" s="1"/>
      </tp>
      <tp>
        <v>2.9488987138610501</v>
        <stp/>
        <stp>EM_S_VAL_PS_TTM</stp>
        <stp>2</stp>
        <stp>002317</stp>
        <stp>12/31/2018</stp>
        <tr r="O653" s="1"/>
      </tp>
      <tp>
        <v>0.78829205284839199</v>
        <stp/>
        <stp>EM_S_VAL_PS_TTM</stp>
        <stp>2</stp>
        <stp>002316</stp>
        <stp>12/31/2018</stp>
        <tr r="O1910" s="1"/>
      </tp>
      <tp>
        <v>3.03236538654583</v>
        <stp/>
        <stp>EM_S_VAL_PS_TTM</stp>
        <stp>2</stp>
        <stp>002315</stp>
        <stp>12/31/2018</stp>
        <tr r="O403" s="1"/>
      </tp>
      <tp>
        <v>1.02046026998397</v>
        <stp/>
        <stp>EM_S_VAL_PS_TTM</stp>
        <stp>2</stp>
        <stp>002314</stp>
        <stp>12/31/2018</stp>
        <tr r="O1918" s="1"/>
      </tp>
      <tp>
        <v>1.82206189344162</v>
        <stp/>
        <stp>EM_S_VAL_PS_TTM</stp>
        <stp>2</stp>
        <stp>002313</stp>
        <stp>12/31/2018</stp>
        <tr r="O2845" s="1"/>
      </tp>
      <tp>
        <v>5.6241057618986803</v>
        <stp/>
        <stp>EM_S_VAL_PS_TTM</stp>
        <stp>2</stp>
        <stp>002312</stp>
        <stp>12/31/2018</stp>
        <tr r="O876" s="1"/>
      </tp>
      <tp>
        <v>0.99310049972210801</v>
        <stp/>
        <stp>EM_S_VAL_PS_TTM</stp>
        <stp>2</stp>
        <stp>002311</stp>
        <stp>12/31/2018</stp>
        <tr r="O476" s="1"/>
      </tp>
      <tp>
        <v>1.1509388237965501</v>
        <stp/>
        <stp>EM_S_VAL_PS_TTM</stp>
        <stp>2</stp>
        <stp>002310</stp>
        <stp>12/31/2018</stp>
        <tr r="O3198" s="1"/>
      </tp>
      <tp>
        <v>6.2597436492160199</v>
        <stp/>
        <stp>EM_S_VAL_PS_TTM</stp>
        <stp>2</stp>
        <stp>002319</stp>
        <stp>12/31/2018</stp>
        <tr r="O3323" s="1"/>
      </tp>
      <tp>
        <v>1.3958841971828699</v>
        <stp/>
        <stp>EM_S_VAL_PS_TTM</stp>
        <stp>2</stp>
        <stp>002318</stp>
        <stp>12/31/2018</stp>
        <tr r="O566" s="1"/>
      </tp>
      <tp>
        <v>0.47792825345334999</v>
        <stp/>
        <stp>EM_S_VAL_PS_TTM</stp>
        <stp>2</stp>
        <stp>002307</stp>
        <stp>12/31/2018</stp>
        <tr r="O1740" s="1"/>
      </tp>
      <tp>
        <v>31.375746892590399</v>
        <stp/>
        <stp>EM_S_VAL_PS_TTM</stp>
        <stp>2</stp>
        <stp>002306</stp>
        <stp>12/31/2018</stp>
        <tr r="O3111" s="1"/>
      </tp>
      <tp>
        <v>1.4889892484435301</v>
        <stp/>
        <stp>EM_S_VAL_PS_TTM</stp>
        <stp>2</stp>
        <stp>002305</stp>
        <stp>12/31/2018</stp>
        <tr r="O3140" s="1"/>
      </tp>
      <tp>
        <v>5.9462719106145201</v>
        <stp/>
        <stp>EM_S_VAL_PS_TTM</stp>
        <stp>2</stp>
        <stp>002304</stp>
        <stp>12/31/2018</stp>
        <tr r="O1400" s="1"/>
      </tp>
      <tp>
        <v>2.2383218528647801</v>
        <stp/>
        <stp>EM_S_VAL_PS_TTM</stp>
        <stp>2</stp>
        <stp>002303</stp>
        <stp>12/31/2018</stp>
        <tr r="O1611" s="1"/>
      </tp>
      <tp>
        <v>0.62033897348198896</v>
        <stp/>
        <stp>EM_S_VAL_PS_TTM</stp>
        <stp>2</stp>
        <stp>002302</stp>
        <stp>12/31/2018</stp>
        <tr r="O1075" s="1"/>
      </tp>
      <tp>
        <v>1.45543448825932</v>
        <stp/>
        <stp>EM_S_VAL_PS_TTM</stp>
        <stp>2</stp>
        <stp>002301</stp>
        <stp>12/31/2018</stp>
        <tr r="O732" s="1"/>
      </tp>
      <tp>
        <v>0.59646376181564398</v>
        <stp/>
        <stp>EM_S_VAL_PS_TTM</stp>
        <stp>2</stp>
        <stp>002300</stp>
        <stp>12/31/2018</stp>
        <tr r="O1241" s="1"/>
      </tp>
      <tp>
        <v>0.37255350577162399</v>
        <stp/>
        <stp>EM_S_VAL_PS_TTM</stp>
        <stp>2</stp>
        <stp>002309</stp>
        <stp>12/31/2018</stp>
        <tr r="O3182" s="1"/>
      </tp>
      <tp>
        <v>3.4832645817250798</v>
        <stp/>
        <stp>EM_S_VAL_PS_TTM</stp>
        <stp>2</stp>
        <stp>002308</stp>
        <stp>12/31/2018</stp>
        <tr r="O2098" s="1"/>
      </tp>
      <tp>
        <v>0.825845114256607</v>
        <stp/>
        <stp>EM_S_VAL_PS_TTM</stp>
        <stp>2</stp>
        <stp>002377</stp>
        <stp>12/31/2018</stp>
        <tr r="O2493" s="1"/>
      </tp>
      <tp>
        <v>4.2764785033529202</v>
        <stp/>
        <stp>EM_S_VAL_PS_TTM</stp>
        <stp>2</stp>
        <stp>002376</stp>
        <stp>12/31/2018</stp>
        <tr r="O3097" s="1"/>
      </tp>
      <tp>
        <v>0.72266986560524304</v>
        <stp/>
        <stp>EM_S_VAL_PS_TTM</stp>
        <stp>2</stp>
        <stp>002375</stp>
        <stp>12/31/2018</stp>
        <tr r="O1491" s="1"/>
      </tp>
      <tp>
        <v>1.7315208728204099</v>
        <stp/>
        <stp>EM_S_VAL_PS_TTM</stp>
        <stp>2</stp>
        <stp>002374</stp>
        <stp>12/31/2018</stp>
        <tr r="O2545" s="1"/>
      </tp>
      <tp>
        <v>4.5236391960002802</v>
        <stp/>
        <stp>EM_S_VAL_PS_TTM</stp>
        <stp>2</stp>
        <stp>002373</stp>
        <stp>12/31/2018</stp>
        <tr r="O379" s="1"/>
      </tp>
      <tp>
        <v>4.7345337002575496</v>
        <stp/>
        <stp>EM_S_VAL_PS_TTM</stp>
        <stp>2</stp>
        <stp>002372</stp>
        <stp>12/31/2018</stp>
        <tr r="O2991" s="1"/>
      </tp>
      <tp>
        <v>6.2337801762655696</v>
        <stp/>
        <stp>EM_S_VAL_PS_TTM</stp>
        <stp>2</stp>
        <stp>002371</stp>
        <stp>12/31/2018</stp>
        <tr r="O103" s="1"/>
      </tp>
      <tp>
        <v>7.3211619209492396</v>
        <stp/>
        <stp>EM_S_VAL_PS_TTM</stp>
        <stp>2</stp>
        <stp>002370</stp>
        <stp>12/31/2018</stp>
        <tr r="O3395" s="1"/>
      </tp>
      <tp>
        <v>1.7364734795905199</v>
        <stp/>
        <stp>EM_S_VAL_PS_TTM</stp>
        <stp>2</stp>
        <stp>002379</stp>
        <stp>12/31/2018</stp>
        <tr r="O881" s="1"/>
      </tp>
      <tp>
        <v>2.4211420379425999</v>
        <stp/>
        <stp>EM_S_VAL_PS_TTM</stp>
        <stp>2</stp>
        <stp>002378</stp>
        <stp>12/31/2018</stp>
        <tr r="O1552" s="1"/>
      </tp>
      <tp>
        <v>1.4285277440439801</v>
        <stp/>
        <stp>EM_S_VAL_PS_TTM</stp>
        <stp>2</stp>
        <stp>002367</stp>
        <stp>12/31/2018</stp>
        <tr r="O773" s="1"/>
      </tp>
      <tp>
        <v>4.2766137686248404</v>
        <stp/>
        <stp>EM_S_VAL_PS_TTM</stp>
        <stp>2</stp>
        <stp>002366</stp>
        <stp>12/31/2018</stp>
        <tr r="O3168" s="1"/>
      </tp>
      <tp>
        <v>3.0290533734292602</v>
        <stp/>
        <stp>EM_S_VAL_PS_TTM</stp>
        <stp>2</stp>
        <stp>002365</stp>
        <stp>12/31/2018</stp>
        <tr r="O2692" s="1"/>
      </tp>
      <tp>
        <v>7.3824300751771803</v>
        <stp/>
        <stp>EM_S_VAL_PS_TTM</stp>
        <stp>2</stp>
        <stp>002364</stp>
        <stp>12/31/2018</stp>
        <tr r="O2413" s="1"/>
      </tp>
      <tp>
        <v>1.07882324007466</v>
        <stp/>
        <stp>EM_S_VAL_PS_TTM</stp>
        <stp>2</stp>
        <stp>002363</stp>
        <stp>12/31/2018</stp>
        <tr r="O1055" s="1"/>
      </tp>
      <tp>
        <v>4.3283946833782903</v>
        <stp/>
        <stp>EM_S_VAL_PS_TTM</stp>
        <stp>2</stp>
        <stp>002362</stp>
        <stp>12/31/2018</stp>
        <tr r="O1277" s="1"/>
      </tp>
      <tp>
        <v>1.5788337300578099</v>
        <stp/>
        <stp>EM_S_VAL_PS_TTM</stp>
        <stp>2</stp>
        <stp>002361</stp>
        <stp>12/31/2018</stp>
        <tr r="O1315" s="1"/>
      </tp>
      <tp>
        <v>2.4667324576584</v>
        <stp/>
        <stp>EM_S_VAL_PS_TTM</stp>
        <stp>2</stp>
        <stp>002360</stp>
        <stp>12/31/2018</stp>
        <tr r="O2452" s="1"/>
      </tp>
      <tp>
        <v>1.3589391182144701</v>
        <stp/>
        <stp>EM_S_VAL_PS_TTM</stp>
        <stp>2</stp>
        <stp>002369</stp>
        <stp>12/31/2018</stp>
        <tr r="O1109" s="1"/>
      </tp>
      <tp>
        <v>1.7372616685037501</v>
        <stp/>
        <stp>EM_S_VAL_PS_TTM</stp>
        <stp>2</stp>
        <stp>002368</stp>
        <stp>12/31/2018</stp>
        <tr r="O315" s="1"/>
      </tp>
      <tp>
        <v>1.7915565019486199</v>
        <stp/>
        <stp>EM_S_VAL_PS_TTM</stp>
        <stp>2</stp>
        <stp>002357</stp>
        <stp>12/31/2018</stp>
        <tr r="O1607" s="1"/>
      </tp>
      <tp>
        <v>1.83979934419701</v>
        <stp/>
        <stp>EM_S_VAL_PS_TTM</stp>
        <stp>2</stp>
        <stp>002356</stp>
        <stp>12/31/2018</stp>
        <tr r="O3400" s="1"/>
      </tp>
      <tp>
        <v>2.3995281333049898</v>
        <stp/>
        <stp>EM_S_VAL_PS_TTM</stp>
        <stp>2</stp>
        <stp>002355</stp>
        <stp>12/31/2018</stp>
        <tr r="O2718" s="1"/>
      </tp>
      <tp>
        <v>1.78745665564829</v>
        <stp/>
        <stp>EM_S_VAL_PS_TTM</stp>
        <stp>2</stp>
        <stp>002354</stp>
        <stp>12/31/2018</stp>
        <tr r="O3345" s="1"/>
      </tp>
      <tp>
        <v>3.55156768873591</v>
        <stp/>
        <stp>EM_S_VAL_PS_TTM</stp>
        <stp>2</stp>
        <stp>002353</stp>
        <stp>12/31/2018</stp>
        <tr r="O89" s="1"/>
      </tp>
      <tp>
        <v>1.6703721289179601</v>
        <stp/>
        <stp>EM_S_VAL_PS_TTM</stp>
        <stp>2</stp>
        <stp>002352</stp>
        <stp>12/31/2018</stp>
        <tr r="O1475" s="1"/>
      </tp>
      <tp>
        <v>3.3829711722810099</v>
        <stp/>
        <stp>EM_S_VAL_PS_TTM</stp>
        <stp>2</stp>
        <stp>002351</stp>
        <stp>12/31/2018</stp>
        <tr r="O22" s="1"/>
      </tp>
      <tp>
        <v>1.20574555617183</v>
        <stp/>
        <stp>EM_S_VAL_PS_TTM</stp>
        <stp>2</stp>
        <stp>002350</stp>
        <stp>12/31/2018</stp>
        <tr r="O2684" s="1"/>
      </tp>
      <tp>
        <v>2.590885688233</v>
        <stp/>
        <stp>EM_S_VAL_PS_TTM</stp>
        <stp>2</stp>
        <stp>002359</stp>
        <stp>12/31/2018</stp>
        <tr r="O3401" s="1"/>
      </tp>
      <tp>
        <v>5.2595473419173704</v>
        <stp/>
        <stp>EM_S_VAL_PS_TTM</stp>
        <stp>2</stp>
        <stp>002358</stp>
        <stp>12/31/2018</stp>
        <tr r="O3394" s="1"/>
      </tp>
      <tp>
        <v>2.4676241456536898</v>
        <stp/>
        <stp>EM_S_VAL_PS_TTM</stp>
        <stp>2</stp>
        <stp>002347</stp>
        <stp>12/31/2018</stp>
        <tr r="O1192" s="1"/>
      </tp>
      <tp>
        <v>8.1668664467392897</v>
        <stp/>
        <stp>EM_S_VAL_PS_TTM</stp>
        <stp>2</stp>
        <stp>002346</stp>
        <stp>12/31/2018</stp>
        <tr r="O2763" s="1"/>
      </tp>
      <tp>
        <v>1.2592739550930301</v>
        <stp/>
        <stp>EM_S_VAL_PS_TTM</stp>
        <stp>2</stp>
        <stp>002345</stp>
        <stp>12/31/2018</stp>
        <tr r="O2799" s="1"/>
      </tp>
      <tp>
        <v>3.30915228721324</v>
        <stp/>
        <stp>EM_S_VAL_PS_TTM</stp>
        <stp>2</stp>
        <stp>002344</stp>
        <stp>12/31/2018</stp>
        <tr r="O2491" s="1"/>
      </tp>
      <tp>
        <v>1.7604886656847201</v>
        <stp/>
        <stp>EM_S_VAL_PS_TTM</stp>
        <stp>2</stp>
        <stp>002343</stp>
        <stp>12/31/2018</stp>
        <tr r="O1031" s="1"/>
      </tp>
      <tp>
        <v>1.9670587218825499</v>
        <stp/>
        <stp>EM_S_VAL_PS_TTM</stp>
        <stp>2</stp>
        <stp>002342</stp>
        <stp>12/31/2018</stp>
        <tr r="O2594" s="1"/>
      </tp>
      <tp>
        <v>4.3462390434206402</v>
        <stp/>
        <stp>EM_S_VAL_PS_TTM</stp>
        <stp>2</stp>
        <stp>002341</stp>
        <stp>12/31/2018</stp>
        <tr r="O3376" s="1"/>
      </tp>
      <tp>
        <v>1.16214919243475</v>
        <stp/>
        <stp>EM_S_VAL_PS_TTM</stp>
        <stp>2</stp>
        <stp>002340</stp>
        <stp>12/31/2018</stp>
        <tr r="O1005" s="1"/>
      </tp>
      <tp>
        <v>3.8354691273822499</v>
        <stp/>
        <stp>EM_S_VAL_PS_TTM</stp>
        <stp>2</stp>
        <stp>002349</stp>
        <stp>12/31/2018</stp>
        <tr r="O3126" s="1"/>
      </tp>
      <tp>
        <v>3.35985440575014</v>
        <stp/>
        <stp>EM_S_VAL_PS_TTM</stp>
        <stp>2</stp>
        <stp>002348</stp>
        <stp>12/31/2018</stp>
        <tr r="O2047" s="1"/>
      </tp>
      <tp>
        <v>5.0287161107141998</v>
        <stp/>
        <stp>EM_S_VAL_PS_TTM</stp>
        <stp>2</stp>
        <stp>002297</stp>
        <stp>12/31/2018</stp>
        <tr r="O1894" s="1"/>
      </tp>
      <tp>
        <v>3.8617343955121699</v>
        <stp/>
        <stp>EM_S_VAL_PS_TTM</stp>
        <stp>2</stp>
        <stp>002296</stp>
        <stp>12/31/2018</stp>
        <tr r="O457" s="1"/>
      </tp>
      <tp>
        <v>0.32461869685131001</v>
        <stp/>
        <stp>EM_S_VAL_PS_TTM</stp>
        <stp>2</stp>
        <stp>002295</stp>
        <stp>12/31/2018</stp>
        <tr r="O2213" s="1"/>
      </tp>
      <tp>
        <v>4.7639337895170399</v>
        <stp/>
        <stp>EM_S_VAL_PS_TTM</stp>
        <stp>2</stp>
        <stp>002294</stp>
        <stp>12/31/2018</stp>
        <tr r="O2519" s="1"/>
      </tp>
      <tp>
        <v>1.3234275610939601</v>
        <stp/>
        <stp>EM_S_VAL_PS_TTM</stp>
        <stp>2</stp>
        <stp>002293</stp>
        <stp>12/31/2018</stp>
        <tr r="O1996" s="1"/>
      </tp>
      <tp>
        <v>2.4570151497480701</v>
        <stp/>
        <stp>EM_S_VAL_PS_TTM</stp>
        <stp>2</stp>
        <stp>002292</stp>
        <stp>12/31/2018</stp>
        <tr r="O282" s="1"/>
      </tp>
      <tp>
        <v>1.1890886130850999</v>
        <stp/>
        <stp>EM_S_VAL_PS_TTM</stp>
        <stp>2</stp>
        <stp>002291</stp>
        <stp>12/31/2018</stp>
        <tr r="O28" s="1"/>
      </tp>
      <tp>
        <v>1.4102643589267201</v>
        <stp/>
        <stp>EM_S_VAL_PS_TTM</stp>
        <stp>2</stp>
        <stp>002290</stp>
        <stp>12/31/2018</stp>
        <tr r="O3357" s="1"/>
      </tp>
      <tp>
        <v>1.89065179501823</v>
        <stp/>
        <stp>EM_S_VAL_PS_TTM</stp>
        <stp>2</stp>
        <stp>002299</stp>
        <stp>12/31/2018</stp>
        <tr r="O644" s="1"/>
      </tp>
      <tp>
        <v>1.7462910824231099</v>
        <stp/>
        <stp>EM_S_VAL_PS_TTM</stp>
        <stp>2</stp>
        <stp>002298</stp>
        <stp>12/31/2018</stp>
        <tr r="O1002" s="1"/>
      </tp>
      <tp>
        <v>8.3409657900197391</v>
        <stp/>
        <stp>EM_S_VAL_PS_TTM</stp>
        <stp>2</stp>
        <stp>002287</stp>
        <stp>12/31/2018</stp>
        <tr r="O2908" s="1"/>
      </tp>
      <tp>
        <v>1.2225438063114</v>
        <stp/>
        <stp>EM_S_VAL_PS_TTM</stp>
        <stp>2</stp>
        <stp>002286</stp>
        <stp>12/31/2018</stp>
        <tr r="O1755" s="1"/>
      </tp>
      <tp>
        <v>1.2358638754603399</v>
        <stp/>
        <stp>EM_S_VAL_PS_TTM</stp>
        <stp>2</stp>
        <stp>002285</stp>
        <stp>12/31/2018</stp>
        <tr r="O3147" s="1"/>
      </tp>
      <tp>
        <v>0.76343606435924605</v>
        <stp/>
        <stp>EM_S_VAL_PS_TTM</stp>
        <stp>2</stp>
        <stp>002284</stp>
        <stp>12/31/2018</stp>
        <tr r="O1226" s="1"/>
      </tp>
      <tp>
        <v>1.1040596763752599</v>
        <stp/>
        <stp>EM_S_VAL_PS_TTM</stp>
        <stp>2</stp>
        <stp>002283</stp>
        <stp>12/31/2018</stp>
        <tr r="O1746" s="1"/>
      </tp>
      <tp>
        <v>3.5963818043541198</v>
        <stp/>
        <stp>EM_S_VAL_PS_TTM</stp>
        <stp>2</stp>
        <stp>002282</stp>
        <stp>12/31/2018</stp>
        <tr r="O2263" s="1"/>
      </tp>
      <tp>
        <v>3.61029170371883</v>
        <stp/>
        <stp>EM_S_VAL_PS_TTM</stp>
        <stp>2</stp>
        <stp>002281</stp>
        <stp>12/31/2018</stp>
        <tr r="O1737" s="1"/>
      </tp>
      <tp>
        <v>0.53787852760991595</v>
        <stp/>
        <stp>EM_S_VAL_PS_TTM</stp>
        <stp>2</stp>
        <stp>002280</stp>
        <stp>12/31/2018</stp>
        <tr r="O2214" s="1"/>
      </tp>
      <tp>
        <v>4.2022185344668097</v>
        <stp/>
        <stp>EM_S_VAL_PS_TTM</stp>
        <stp>2</stp>
        <stp>002289</stp>
        <stp>12/31/2018</stp>
        <tr r="O380" s="1"/>
      </tp>
      <tp>
        <v>2.8803749180759501</v>
        <stp/>
        <stp>EM_S_VAL_PS_TTM</stp>
        <stp>2</stp>
        <stp>002288</stp>
        <stp>12/31/2018</stp>
        <tr r="O1928" s="1"/>
      </tp>
      <tp>
        <v>0.42106167103551001</v>
        <stp/>
        <stp>EM_S_VAL_PS_TTM</stp>
        <stp>2</stp>
        <stp>002237</stp>
        <stp>12/31/2018</stp>
        <tr r="O382" s="1"/>
      </tp>
      <tp>
        <v>1.5507816193598201</v>
        <stp/>
        <stp>EM_S_VAL_PS_TTM</stp>
        <stp>2</stp>
        <stp>002236</stp>
        <stp>12/31/2018</stp>
        <tr r="O283" s="1"/>
      </tp>
      <tp>
        <v>4.6444092619042099</v>
        <stp/>
        <stp>EM_S_VAL_PS_TTM</stp>
        <stp>2</stp>
        <stp>002235</stp>
        <stp>12/31/2018</stp>
        <tr r="O359" s="1"/>
      </tp>
      <tp>
        <v>2.3185227948759102</v>
        <stp/>
        <stp>EM_S_VAL_PS_TTM</stp>
        <stp>2</stp>
        <stp>002234</stp>
        <stp>12/31/2018</stp>
        <tr r="O58" s="1"/>
      </tp>
      <tp>
        <v>1.98415592808984</v>
        <stp/>
        <stp>EM_S_VAL_PS_TTM</stp>
        <stp>2</stp>
        <stp>002233</stp>
        <stp>12/31/2018</stp>
        <tr r="O1157" s="1"/>
      </tp>
      <tp>
        <v>1.62202157319172</v>
        <stp/>
        <stp>EM_S_VAL_PS_TTM</stp>
        <stp>2</stp>
        <stp>002232</stp>
        <stp>12/31/2018</stp>
        <tr r="O1004" s="1"/>
      </tp>
      <tp>
        <v>5.9025744800174103</v>
        <stp/>
        <stp>EM_S_VAL_PS_TTM</stp>
        <stp>2</stp>
        <stp>002231</stp>
        <stp>12/31/2018</stp>
        <tr r="O2167" s="1"/>
      </tp>
      <tp>
        <v>7.0232714062551098</v>
        <stp/>
        <stp>EM_S_VAL_PS_TTM</stp>
        <stp>2</stp>
        <stp>002230</stp>
        <stp>12/31/2018</stp>
        <tr r="O734" s="1"/>
      </tp>
      <tp>
        <v>1.39211821262783</v>
        <stp/>
        <stp>EM_S_VAL_PS_TTM</stp>
        <stp>2</stp>
        <stp>002239</stp>
        <stp>12/31/2018</stp>
        <tr r="O2868" s="1"/>
      </tp>
      <tp>
        <v>2.5657928507216199</v>
        <stp/>
        <stp>EM_S_VAL_PS_TTM</stp>
        <stp>2</stp>
        <stp>002238</stp>
        <stp>12/31/2018</stp>
        <tr r="O1196" s="1"/>
      </tp>
      <tp>
        <v>6.3799399660571297</v>
        <stp/>
        <stp>EM_S_VAL_PS_TTM</stp>
        <stp>2</stp>
        <stp>002227</stp>
        <stp>12/31/2018</stp>
        <tr r="O1779" s="1"/>
      </tp>
      <tp>
        <v>2.9585946847150302</v>
        <stp/>
        <stp>EM_S_VAL_PS_TTM</stp>
        <stp>2</stp>
        <stp>002226</stp>
        <stp>12/31/2018</stp>
        <tr r="O1997" s="1"/>
      </tp>
      <tp>
        <v>1.06781424692595</v>
        <stp/>
        <stp>EM_S_VAL_PS_TTM</stp>
        <stp>2</stp>
        <stp>002225</stp>
        <stp>12/31/2018</stp>
        <tr r="O2508" s="1"/>
      </tp>
      <tp>
        <v>3.8099747086889</v>
        <stp/>
        <stp>EM_S_VAL_PS_TTM</stp>
        <stp>2</stp>
        <stp>002224</stp>
        <stp>12/31/2018</stp>
        <tr r="O1500" s="1"/>
      </tp>
      <tp>
        <v>4.8786757131587004</v>
        <stp/>
        <stp>EM_S_VAL_PS_TTM</stp>
        <stp>2</stp>
        <stp>002223</stp>
        <stp>12/31/2018</stp>
        <tr r="O2176" s="1"/>
      </tp>
      <tp>
        <v>8.42234461717789</v>
        <stp/>
        <stp>EM_S_VAL_PS_TTM</stp>
        <stp>2</stp>
        <stp>002222</stp>
        <stp>12/31/2018</stp>
        <tr r="O1041" s="1"/>
      </tp>
      <tp>
        <v>0.30336679586480098</v>
        <stp/>
        <stp>EM_S_VAL_PS_TTM</stp>
        <stp>2</stp>
        <stp>002221</stp>
        <stp>12/31/2018</stp>
        <tr r="O2543" s="1"/>
      </tp>
      <tp>
        <v>1.5766962062731</v>
        <stp/>
        <stp>EM_S_VAL_PS_TTM</stp>
        <stp>2</stp>
        <stp>002220</stp>
        <stp>12/31/2018</stp>
        <tr r="O3336" s="1"/>
      </tp>
      <tp>
        <v>5.0513368631440896</v>
        <stp/>
        <stp>EM_S_VAL_PS_TTM</stp>
        <stp>2</stp>
        <stp>002229</stp>
        <stp>12/31/2018</stp>
        <tr r="O2717" s="1"/>
      </tp>
      <tp>
        <v>0.39789763263079703</v>
        <stp/>
        <stp>EM_S_VAL_PS_TTM</stp>
        <stp>2</stp>
        <stp>002228</stp>
        <stp>12/31/2018</stp>
        <tr r="O2642" s="1"/>
      </tp>
      <tp>
        <v>0.81431639980551696</v>
        <stp/>
        <stp>EM_S_VAL_PS_TTM</stp>
        <stp>2</stp>
        <stp>002217</stp>
        <stp>12/31/2018</stp>
        <tr r="O1404" s="1"/>
      </tp>
      <tp>
        <v>1.0596261144708601</v>
        <stp/>
        <stp>EM_S_VAL_PS_TTM</stp>
        <stp>2</stp>
        <stp>002216</stp>
        <stp>12/31/2018</stp>
        <tr r="O197" s="1"/>
      </tp>
      <tp>
        <v>1.6441505186965399</v>
        <stp/>
        <stp>EM_S_VAL_PS_TTM</stp>
        <stp>2</stp>
        <stp>002215</stp>
        <stp>12/31/2018</stp>
        <tr r="O2430" s="1"/>
      </tp>
      <tp>
        <v>6.8071814354087001</v>
        <stp/>
        <stp>EM_S_VAL_PS_TTM</stp>
        <stp>2</stp>
        <stp>002214</stp>
        <stp>12/31/2018</stp>
        <tr r="O189" s="1"/>
      </tp>
      <tp>
        <v>18.2480551206325</v>
        <stp/>
        <stp>EM_S_VAL_PS_TTM</stp>
        <stp>2</stp>
        <stp>002213</stp>
        <stp>12/31/2018</stp>
        <tr r="O924" s="1"/>
      </tp>
      <tp>
        <v>2.0199568712162002</v>
        <stp/>
        <stp>EM_S_VAL_PS_TTM</stp>
        <stp>2</stp>
        <stp>002212</stp>
        <stp>12/31/2018</stp>
        <tr r="O305" s="1"/>
      </tp>
      <tp>
        <v>1.8353316437325899</v>
        <stp/>
        <stp>EM_S_VAL_PS_TTM</stp>
        <stp>2</stp>
        <stp>002211</stp>
        <stp>12/31/2018</stp>
        <tr r="O822" s="1"/>
      </tp>
      <tp>
        <v>0.112895053062365</v>
        <stp/>
        <stp>EM_S_VAL_PS_TTM</stp>
        <stp>2</stp>
        <stp>002210</stp>
        <stp>12/31/2018</stp>
        <tr r="O3397" s="1"/>
      </tp>
      <tp>
        <v>1.5394271078997901</v>
        <stp/>
        <stp>EM_S_VAL_PS_TTM</stp>
        <stp>2</stp>
        <stp>002219</stp>
        <stp>12/31/2018</stp>
        <tr r="O3232" s="1"/>
      </tp>
      <tp>
        <v>3.1666179684591098</v>
        <stp/>
        <stp>EM_S_VAL_PS_TTM</stp>
        <stp>2</stp>
        <stp>002218</stp>
        <stp>12/31/2018</stp>
        <tr r="O1748" s="1"/>
      </tp>
      <tp>
        <v>4.38397998405115</v>
        <stp/>
        <stp>EM_S_VAL_PS_TTM</stp>
        <stp>2</stp>
        <stp>002207</stp>
        <stp>12/31/2018</stp>
        <tr r="O968" s="1"/>
      </tp>
      <tp>
        <v>1.3205751161508399</v>
        <stp/>
        <stp>EM_S_VAL_PS_TTM</stp>
        <stp>2</stp>
        <stp>002206</stp>
        <stp>12/31/2018</stp>
        <tr r="O2495" s="1"/>
      </tp>
      <tp>
        <v>1.79998413590602</v>
        <stp/>
        <stp>EM_S_VAL_PS_TTM</stp>
        <stp>2</stp>
        <stp>002205</stp>
        <stp>12/31/2018</stp>
        <tr r="O1137" s="1"/>
      </tp>
      <tp>
        <v>0.896046445030101</v>
        <stp/>
        <stp>EM_S_VAL_PS_TTM</stp>
        <stp>2</stp>
        <stp>002204</stp>
        <stp>12/31/2018</stp>
        <tr r="O1806" s="1"/>
      </tp>
      <tp>
        <v>0.37494481157335002</v>
        <stp/>
        <stp>EM_S_VAL_PS_TTM</stp>
        <stp>2</stp>
        <stp>002203</stp>
        <stp>12/31/2018</stp>
        <tr r="O951" s="1"/>
      </tp>
      <tp>
        <v>1.3696511965663001</v>
        <stp/>
        <stp>EM_S_VAL_PS_TTM</stp>
        <stp>2</stp>
        <stp>002202</stp>
        <stp>12/31/2018</stp>
        <tr r="O1408" s="1"/>
      </tp>
      <tp>
        <v>2.0273258326141299</v>
        <stp/>
        <stp>EM_S_VAL_PS_TTM</stp>
        <stp>2</stp>
        <stp>002201</stp>
        <stp>12/31/2018</stp>
        <tr r="O33" s="1"/>
      </tp>
      <tp>
        <v>2.18293284299649</v>
        <stp/>
        <stp>EM_S_VAL_PS_TTM</stp>
        <stp>2</stp>
        <stp>002200</stp>
        <stp>12/31/2018</stp>
        <tr r="O1257" s="1"/>
      </tp>
      <tp>
        <v>1.3489879148450401</v>
        <stp/>
        <stp>EM_S_VAL_PS_TTM</stp>
        <stp>2</stp>
        <stp>002209</stp>
        <stp>12/31/2018</stp>
        <tr r="O2160" s="1"/>
      </tp>
      <tp>
        <v>1.0832444831644901</v>
        <stp/>
        <stp>EM_S_VAL_PS_TTM</stp>
        <stp>2</stp>
        <stp>002208</stp>
        <stp>12/31/2018</stp>
        <tr r="O3250" s="1"/>
      </tp>
      <tp>
        <v>0.60063723836951199</v>
        <stp/>
        <stp>EM_S_VAL_PS_TTM</stp>
        <stp>2</stp>
        <stp>002277</stp>
        <stp>12/31/2018</stp>
        <tr r="O2034" s="1"/>
      </tp>
      <tp>
        <v>0.60982487059483004</v>
        <stp/>
        <stp>EM_S_VAL_PS_TTM</stp>
        <stp>2</stp>
        <stp>002276</stp>
        <stp>12/31/2018</stp>
        <tr r="O361" s="1"/>
      </tp>
      <tp>
        <v>4.5812226360552799</v>
        <stp/>
        <stp>EM_S_VAL_PS_TTM</stp>
        <stp>2</stp>
        <stp>002275</stp>
        <stp>12/31/2018</stp>
        <tr r="O2210" s="1"/>
      </tp>
      <tp>
        <v>0.52862516562900097</v>
        <stp/>
        <stp>EM_S_VAL_PS_TTM</stp>
        <stp>2</stp>
        <stp>002274</stp>
        <stp>12/31/2018</stp>
        <tr r="O999" s="1"/>
      </tp>
      <tp>
        <v>3.6462321311486998</v>
        <stp/>
        <stp>EM_S_VAL_PS_TTM</stp>
        <stp>2</stp>
        <stp>002273</stp>
        <stp>12/31/2018</stp>
        <tr r="O318" s="1"/>
      </tp>
      <tp>
        <v>3.16256040410715</v>
        <stp/>
        <stp>EM_S_VAL_PS_TTM</stp>
        <stp>2</stp>
        <stp>002272</stp>
        <stp>12/31/2018</stp>
        <tr r="O1640" s="1"/>
      </tp>
      <tp>
        <v>1.53073215070919</v>
        <stp/>
        <stp>EM_S_VAL_PS_TTM</stp>
        <stp>2</stp>
        <stp>002271</stp>
        <stp>12/31/2018</stp>
        <tr r="O152" s="1"/>
      </tp>
      <tp>
        <v>2.4209061480701299</v>
        <stp/>
        <stp>EM_S_VAL_PS_TTM</stp>
        <stp>2</stp>
        <stp>002270</stp>
        <stp>12/31/2018</stp>
        <tr r="O2017" s="1"/>
      </tp>
      <tp>
        <v>1.9193160659526101</v>
        <stp/>
        <stp>EM_S_VAL_PS_TTM</stp>
        <stp>2</stp>
        <stp>002279</stp>
        <stp>12/31/2018</stp>
        <tr r="O2897" s="1"/>
      </tp>
      <tp>
        <v>3.90943882877264</v>
        <stp/>
        <stp>EM_S_VAL_PS_TTM</stp>
        <stp>2</stp>
        <stp>002278</stp>
        <stp>12/31/2018</stp>
        <tr r="O2576" s="1"/>
      </tp>
      <tp>
        <v>1.0202875926382</v>
        <stp/>
        <stp>EM_S_VAL_PS_TTM</stp>
        <stp>2</stp>
        <stp>002267</stp>
        <stp>12/31/2018</stp>
        <tr r="O2497" s="1"/>
      </tp>
      <tp>
        <v>7.3459287130104496</v>
        <stp/>
        <stp>EM_S_VAL_PS_TTM</stp>
        <stp>2</stp>
        <stp>002266</stp>
        <stp>12/31/2018</stp>
        <tr r="O2187" s="1"/>
      </tp>
      <tp>
        <v>3.4964804675452199</v>
        <stp/>
        <stp>EM_S_VAL_PS_TTM</stp>
        <stp>2</stp>
        <stp>002265</stp>
        <stp>12/31/2018</stp>
        <tr r="O2427" s="1"/>
      </tp>
      <tp>
        <v>0.57176371233897705</v>
        <stp/>
        <stp>EM_S_VAL_PS_TTM</stp>
        <stp>2</stp>
        <stp>002264</stp>
        <stp>12/31/2018</stp>
        <tr r="O2960" s="1"/>
      </tp>
      <tp>
        <v>2.2918229277493598</v>
        <stp/>
        <stp>EM_S_VAL_PS_TTM</stp>
        <stp>2</stp>
        <stp>002263</stp>
        <stp>12/31/2018</stp>
        <tr r="O1203" s="1"/>
      </tp>
      <tp>
        <v>2.4443043251200498</v>
        <stp/>
        <stp>EM_S_VAL_PS_TTM</stp>
        <stp>2</stp>
        <stp>002262</stp>
        <stp>12/31/2018</stp>
        <tr r="O1001" s="1"/>
      </tp>
      <tp>
        <v>4.1351459417243701</v>
        <stp/>
        <stp>EM_S_VAL_PS_TTM</stp>
        <stp>2</stp>
        <stp>002261</stp>
        <stp>12/31/2018</stp>
        <tr r="O164" s="1"/>
      </tp>
      <tp>
        <v>1.1819553553472699</v>
        <stp/>
        <stp>EM_S_VAL_PS_TTM</stp>
        <stp>2</stp>
        <stp>002260</stp>
        <stp>12/31/2018</stp>
        <tr r="O2467" s="1"/>
      </tp>
      <tp>
        <v>0.76602166963463003</v>
        <stp/>
        <stp>EM_S_VAL_PS_TTM</stp>
        <stp>2</stp>
        <stp>002269</stp>
        <stp>12/31/2018</stp>
        <tr r="O1454" s="1"/>
      </tp>
      <tp>
        <v>6.9782240547211796</v>
        <stp/>
        <stp>EM_S_VAL_PS_TTM</stp>
        <stp>2</stp>
        <stp>002268</stp>
        <stp>12/31/2018</stp>
        <tr r="O691" s="1"/>
      </tp>
      <tp>
        <v>0</v>
        <stp/>
        <stp>EM_S_VAL_PS_TTM</stp>
        <stp>2</stp>
        <stp>002257</stp>
        <stp>12/31/2018</stp>
        <tr r="O5" s="1"/>
      </tp>
      <tp>
        <v>7.8132146090953203</v>
        <stp/>
        <stp>EM_S_VAL_PS_TTM</stp>
        <stp>2</stp>
        <stp>002256</stp>
        <stp>12/31/2018</stp>
        <tr r="O2915" s="1"/>
      </tp>
      <tp>
        <v>1.87092560540174</v>
        <stp/>
        <stp>EM_S_VAL_PS_TTM</stp>
        <stp>2</stp>
        <stp>002255</stp>
        <stp>12/31/2018</stp>
        <tr r="O3028" s="1"/>
      </tp>
      <tp>
        <v>3.5457385231997001</v>
        <stp/>
        <stp>EM_S_VAL_PS_TTM</stp>
        <stp>2</stp>
        <stp>002254</stp>
        <stp>12/31/2018</stp>
        <tr r="O2504" s="1"/>
      </tp>
      <tp>
        <v>9.8682455853334492</v>
        <stp/>
        <stp>EM_S_VAL_PS_TTM</stp>
        <stp>2</stp>
        <stp>002253</stp>
        <stp>12/31/2018</stp>
        <tr r="O1773" s="1"/>
      </tp>
      <tp>
        <v>21.3178913253528</v>
        <stp/>
        <stp>EM_S_VAL_PS_TTM</stp>
        <stp>2</stp>
        <stp>002252</stp>
        <stp>12/31/2018</stp>
        <tr r="O2752" s="1"/>
      </tp>
      <tp>
        <v>0.34759325446276501</v>
        <stp/>
        <stp>EM_S_VAL_PS_TTM</stp>
        <stp>2</stp>
        <stp>002251</stp>
        <stp>12/31/2018</stp>
        <tr r="O1280" s="1"/>
      </tp>
      <tp>
        <v>2.2930819094340702</v>
        <stp/>
        <stp>EM_S_VAL_PS_TTM</stp>
        <stp>2</stp>
        <stp>002250</stp>
        <stp>12/31/2018</stp>
        <tr r="O271" s="1"/>
      </tp>
      <tp>
        <v>1.5345075255618601</v>
        <stp/>
        <stp>EM_S_VAL_PS_TTM</stp>
        <stp>2</stp>
        <stp>002259</stp>
        <stp>12/31/2018</stp>
        <tr r="O2658" s="1"/>
      </tp>
      <tp>
        <v>1.76062556951347</v>
        <stp/>
        <stp>EM_S_VAL_PS_TTM</stp>
        <stp>2</stp>
        <stp>002258</stp>
        <stp>12/31/2018</stp>
        <tr r="O1840" s="1"/>
      </tp>
      <tp>
        <v>1.0008441460100399</v>
        <stp/>
        <stp>EM_S_VAL_PS_TTM</stp>
        <stp>2</stp>
        <stp>002247</stp>
        <stp>12/31/2018</stp>
        <tr r="O3301" s="1"/>
      </tp>
      <tp>
        <v>1.58376288339988</v>
        <stp/>
        <stp>EM_S_VAL_PS_TTM</stp>
        <stp>2</stp>
        <stp>002246</stp>
        <stp>12/31/2018</stp>
        <tr r="O1557" s="1"/>
      </tp>
      <tp>
        <v>0.89155509826731405</v>
        <stp/>
        <stp>EM_S_VAL_PS_TTM</stp>
        <stp>2</stp>
        <stp>002245</stp>
        <stp>12/31/2018</stp>
        <tr r="O2022" s="1"/>
      </tp>
      <tp>
        <v>0.63465496997701398</v>
        <stp/>
        <stp>EM_S_VAL_PS_TTM</stp>
        <stp>2</stp>
        <stp>002244</stp>
        <stp>12/31/2018</stp>
        <tr r="O1120" s="1"/>
      </tp>
      <tp>
        <v>3.7910366910556399</v>
        <stp/>
        <stp>EM_S_VAL_PS_TTM</stp>
        <stp>2</stp>
        <stp>002243</stp>
        <stp>12/31/2018</stp>
        <tr r="O1825" s="1"/>
      </tp>
      <tp>
        <v>1.6126266221461001</v>
        <stp/>
        <stp>EM_S_VAL_PS_TTM</stp>
        <stp>2</stp>
        <stp>002242</stp>
        <stp>12/31/2018</stp>
        <tr r="O504" s="1"/>
      </tp>
      <tp>
        <v>0.94106364722707403</v>
        <stp/>
        <stp>EM_S_VAL_PS_TTM</stp>
        <stp>2</stp>
        <stp>002241</stp>
        <stp>12/31/2018</stp>
        <tr r="O52" s="1"/>
      </tp>
      <tp>
        <v>1.6291295634326901</v>
        <stp/>
        <stp>EM_S_VAL_PS_TTM</stp>
        <stp>2</stp>
        <stp>002240</stp>
        <stp>12/31/2018</stp>
        <tr r="O1935" s="1"/>
      </tp>
      <tp>
        <v>0.87561273060393396</v>
        <stp/>
        <stp>EM_S_VAL_PS_TTM</stp>
        <stp>2</stp>
        <stp>002249</stp>
        <stp>12/31/2018</stp>
        <tr r="O1320" s="1"/>
      </tp>
      <tp>
        <v>31.940617406645298</v>
        <stp/>
        <stp>EM_S_VAL_PS_TTM</stp>
        <stp>2</stp>
        <stp>002248</stp>
        <stp>12/31/2018</stp>
        <tr r="O2746" s="1"/>
      </tp>
      <tp>
        <v>2.33558073032584</v>
        <stp/>
        <stp>EM_S_VAL_PS_TTM</stp>
        <stp>2</stp>
        <stp>002197</stp>
        <stp>12/31/2018</stp>
        <tr r="O1474" s="1"/>
      </tp>
      <tp>
        <v>1.6407391214731599</v>
        <stp/>
        <stp>EM_S_VAL_PS_TTM</stp>
        <stp>2</stp>
        <stp>002196</stp>
        <stp>12/31/2018</stp>
        <tr r="O1966" s="1"/>
      </tp>
      <tp>
        <v>4.4569323441156898</v>
        <stp/>
        <stp>EM_S_VAL_PS_TTM</stp>
        <stp>2</stp>
        <stp>002195</stp>
        <stp>12/31/2018</stp>
        <tr r="O2857" s="1"/>
      </tp>
      <tp>
        <v>3.1642930110246299</v>
        <stp/>
        <stp>EM_S_VAL_PS_TTM</stp>
        <stp>2</stp>
        <stp>002194</stp>
        <stp>12/31/2018</stp>
        <tr r="O48" s="1"/>
      </tp>
      <tp>
        <v>1.70128025923836</v>
        <stp/>
        <stp>EM_S_VAL_PS_TTM</stp>
        <stp>2</stp>
        <stp>002193</stp>
        <stp>12/31/2018</stp>
        <tr r="O2773" s="1"/>
      </tp>
      <tp>
        <v>12.7321238829363</v>
        <stp/>
        <stp>EM_S_VAL_PS_TTM</stp>
        <stp>2</stp>
        <stp>002192</stp>
        <stp>12/31/2018</stp>
        <tr r="O988" s="1"/>
      </tp>
      <tp>
        <v>3.6227381623374701</v>
        <stp/>
        <stp>EM_S_VAL_PS_TTM</stp>
        <stp>2</stp>
        <stp>002191</stp>
        <stp>12/31/2018</stp>
        <tr r="O626" s="1"/>
      </tp>
      <tp>
        <v>2.5589926305351001</v>
        <stp/>
        <stp>EM_S_VAL_PS_TTM</stp>
        <stp>2</stp>
        <stp>002190</stp>
        <stp>12/31/2018</stp>
        <tr r="O842" s="1"/>
      </tp>
      <tp>
        <v>11.147761132782501</v>
        <stp/>
        <stp>EM_S_VAL_PS_TTM</stp>
        <stp>2</stp>
        <stp>002199</stp>
        <stp>12/31/2018</stp>
        <tr r="O2124" s="1"/>
      </tp>
      <tp>
        <v>5.0684668920434097</v>
        <stp/>
        <stp>EM_S_VAL_PS_TTM</stp>
        <stp>2</stp>
        <stp>002198</stp>
        <stp>12/31/2018</stp>
        <tr r="O2082" s="1"/>
      </tp>
      <tp>
        <v>0.38790716154122001</v>
        <stp/>
        <stp>EM_S_VAL_PS_TTM</stp>
        <stp>2</stp>
        <stp>002187</stp>
        <stp>12/31/2018</stp>
        <tr r="O1956" s="1"/>
      </tp>
      <tp>
        <v>1.90779496470376</v>
        <stp/>
        <stp>EM_S_VAL_PS_TTM</stp>
        <stp>2</stp>
        <stp>002186</stp>
        <stp>12/31/2018</stp>
        <tr r="O2772" s="1"/>
      </tp>
      <tp>
        <v>1.1941937076304201</v>
        <stp/>
        <stp>EM_S_VAL_PS_TTM</stp>
        <stp>2</stp>
        <stp>002185</stp>
        <stp>12/31/2018</stp>
        <tr r="O243" s="1"/>
      </tp>
      <tp>
        <v>1.1864518766399601</v>
        <stp/>
        <stp>EM_S_VAL_PS_TTM</stp>
        <stp>2</stp>
        <stp>002184</stp>
        <stp>12/31/2018</stp>
        <tr r="O1608" s="1"/>
      </tp>
      <tp>
        <v>0.14205453251394701</v>
        <stp/>
        <stp>EM_S_VAL_PS_TTM</stp>
        <stp>2</stp>
        <stp>002183</stp>
        <stp>12/31/2018</stp>
        <tr r="O2949" s="1"/>
      </tp>
      <tp>
        <v>0.78477927267428205</v>
        <stp/>
        <stp>EM_S_VAL_PS_TTM</stp>
        <stp>2</stp>
        <stp>002182</stp>
        <stp>12/31/2018</stp>
        <tr r="O558" s="1"/>
      </tp>
      <tp>
        <v>5.1612925391364604</v>
        <stp/>
        <stp>EM_S_VAL_PS_TTM</stp>
        <stp>2</stp>
        <stp>002181</stp>
        <stp>12/31/2018</stp>
        <tr r="O406" s="1"/>
      </tp>
      <tp>
        <v>1.1627754673981501</v>
        <stp/>
        <stp>EM_S_VAL_PS_TTM</stp>
        <stp>2</stp>
        <stp>002180</stp>
        <stp>12/31/2018</stp>
        <tr r="O700" s="1"/>
      </tp>
      <tp>
        <v>3.05662833825262</v>
        <stp/>
        <stp>EM_S_VAL_PS_TTM</stp>
        <stp>2</stp>
        <stp>002189</stp>
        <stp>12/31/2018</stp>
        <tr r="O409" s="1"/>
      </tp>
      <tp>
        <v>5.5423756491296698</v>
        <stp/>
        <stp>EM_S_VAL_PS_TTM</stp>
        <stp>2</stp>
        <stp>002188</stp>
        <stp>12/31/2018</stp>
        <tr r="O2426" s="1"/>
      </tp>
      <tp>
        <v>3.5345322816058</v>
        <stp/>
        <stp>EM_S_VAL_PS_TTM</stp>
        <stp>2</stp>
        <stp>002137</stp>
        <stp>12/31/2018</stp>
        <tr r="O1770" s="1"/>
      </tp>
      <tp>
        <v>1.5418043102905099</v>
        <stp/>
        <stp>EM_S_VAL_PS_TTM</stp>
        <stp>2</stp>
        <stp>002136</stp>
        <stp>12/31/2018</stp>
        <tr r="O2611" s="1"/>
      </tp>
      <tp>
        <v>0.59688526301728095</v>
        <stp/>
        <stp>EM_S_VAL_PS_TTM</stp>
        <stp>2</stp>
        <stp>002135</stp>
        <stp>12/31/2018</stp>
        <tr r="O1756" s="1"/>
      </tp>
      <tp>
        <v>3.5649283786413899</v>
        <stp/>
        <stp>EM_S_VAL_PS_TTM</stp>
        <stp>2</stp>
        <stp>002134</stp>
        <stp>12/31/2018</stp>
        <tr r="O424" s="1"/>
      </tp>
      <tp>
        <v>0.76514394926795004</v>
        <stp/>
        <stp>EM_S_VAL_PS_TTM</stp>
        <stp>2</stp>
        <stp>002133</stp>
        <stp>12/31/2018</stp>
        <tr r="O2546" s="1"/>
      </tp>
      <tp>
        <v>1.07949421377651</v>
        <stp/>
        <stp>EM_S_VAL_PS_TTM</stp>
        <stp>2</stp>
        <stp>002132</stp>
        <stp>12/31/2018</stp>
        <tr r="O1461" s="1"/>
      </tp>
      <tp>
        <v>0.70155065044114895</v>
        <stp/>
        <stp>EM_S_VAL_PS_TTM</stp>
        <stp>2</stp>
        <stp>002131</stp>
        <stp>12/31/2018</stp>
        <tr r="O178" s="1"/>
      </tp>
      <tp>
        <v>1.27907223142811</v>
        <stp/>
        <stp>EM_S_VAL_PS_TTM</stp>
        <stp>2</stp>
        <stp>002130</stp>
        <stp>12/31/2018</stp>
        <tr r="O517" s="1"/>
      </tp>
      <tp>
        <v>1.22718148961607</v>
        <stp/>
        <stp>EM_S_VAL_PS_TTM</stp>
        <stp>2</stp>
        <stp>002139</stp>
        <stp>12/31/2018</stp>
        <tr r="O684" s="1"/>
      </tp>
      <tp>
        <v>4.7880074031271196</v>
        <stp/>
        <stp>EM_S_VAL_PS_TTM</stp>
        <stp>2</stp>
        <stp>002138</stp>
        <stp>12/31/2018</stp>
        <tr r="O329" s="1"/>
      </tp>
      <tp>
        <v>7.02150221996492</v>
        <stp/>
        <stp>EM_S_VAL_PS_TTM</stp>
        <stp>2</stp>
        <stp>002127</stp>
        <stp>12/31/2018</stp>
        <tr r="O645" s="1"/>
      </tp>
      <tp>
        <v>1.1809176553573599</v>
        <stp/>
        <stp>EM_S_VAL_PS_TTM</stp>
        <stp>2</stp>
        <stp>002126</stp>
        <stp>12/31/2018</stp>
        <tr r="O1836" s="1"/>
      </tp>
      <tp>
        <v>2.3605005824879099</v>
        <stp/>
        <stp>EM_S_VAL_PS_TTM</stp>
        <stp>2</stp>
        <stp>002125</stp>
        <stp>12/31/2018</stp>
        <tr r="O3120" s="1"/>
      </tp>
      <tp>
        <v>1.9832286322744299</v>
        <stp/>
        <stp>EM_S_VAL_PS_TTM</stp>
        <stp>2</stp>
        <stp>002124</stp>
        <stp>12/31/2018</stp>
        <tr r="O3641" s="1"/>
      </tp>
      <tp>
        <v>2.0033308937872101</v>
        <stp/>
        <stp>EM_S_VAL_PS_TTM</stp>
        <stp>2</stp>
        <stp>002123</stp>
        <stp>12/31/2018</stp>
        <tr r="O78" s="1"/>
      </tp>
      <tp>
        <v>0.97479538535682198</v>
        <stp/>
        <stp>EM_S_VAL_PS_TTM</stp>
        <stp>2</stp>
        <stp>002122</stp>
        <stp>12/31/2018</stp>
        <tr r="O3640" s="1"/>
      </tp>
      <tp>
        <v>1.4252956553018601</v>
        <stp/>
        <stp>EM_S_VAL_PS_TTM</stp>
        <stp>2</stp>
        <stp>002121</stp>
        <stp>12/31/2018</stp>
        <tr r="O3639" s="1"/>
      </tp>
      <tp>
        <v>4.1870262929430204</v>
        <stp/>
        <stp>EM_S_VAL_PS_TTM</stp>
        <stp>2</stp>
        <stp>002120</stp>
        <stp>12/31/2018</stp>
        <tr r="O1786" s="1"/>
      </tp>
      <tp>
        <v>1.6715085756464301</v>
        <stp/>
        <stp>EM_S_VAL_PS_TTM</stp>
        <stp>2</stp>
        <stp>002129</stp>
        <stp>12/31/2018</stp>
        <tr r="O384" s="1"/>
      </tp>
      <tp>
        <v>1.4447073068812599</v>
        <stp/>
        <stp>EM_S_VAL_PS_TTM</stp>
        <stp>2</stp>
        <stp>002128</stp>
        <stp>12/31/2018</stp>
        <tr r="O1209" s="1"/>
      </tp>
      <tp>
        <v>3.3185747547434898</v>
        <stp/>
        <stp>EM_S_VAL_PS_TTM</stp>
        <stp>2</stp>
        <stp>002117</stp>
        <stp>12/31/2018</stp>
        <tr r="O2798" s="1"/>
      </tp>
      <tp>
        <v>0.61384905604359297</v>
        <stp/>
        <stp>EM_S_VAL_PS_TTM</stp>
        <stp>2</stp>
        <stp>002116</stp>
        <stp>12/31/2018</stp>
        <tr r="O1546" s="1"/>
      </tp>
      <tp>
        <v>1.9269520773915401</v>
        <stp/>
        <stp>EM_S_VAL_PS_TTM</stp>
        <stp>2</stp>
        <stp>002115</stp>
        <stp>12/31/2018</stp>
        <tr r="O2756" s="1"/>
      </tp>
      <tp>
        <v>1.68332347609003</v>
        <stp/>
        <stp>EM_S_VAL_PS_TTM</stp>
        <stp>2</stp>
        <stp>002114</stp>
        <stp>12/31/2018</stp>
        <tr r="O3638" s="1"/>
      </tp>
      <tp>
        <v>12.640053734532</v>
        <stp/>
        <stp>EM_S_VAL_PS_TTM</stp>
        <stp>2</stp>
        <stp>002113</stp>
        <stp>12/31/2018</stp>
        <tr r="O3352" s="1"/>
      </tp>
      <tp>
        <v>2.3089844004885101</v>
        <stp/>
        <stp>EM_S_VAL_PS_TTM</stp>
        <stp>2</stp>
        <stp>002112</stp>
        <stp>12/31/2018</stp>
        <tr r="O2156" s="1"/>
      </tp>
      <tp>
        <v>1.8020741867560299</v>
        <stp/>
        <stp>EM_S_VAL_PS_TTM</stp>
        <stp>2</stp>
        <stp>002111</stp>
        <stp>12/31/2018</stp>
        <tr r="O421" s="1"/>
      </tp>
      <tp>
        <v>0.77486514419177699</v>
        <stp/>
        <stp>EM_S_VAL_PS_TTM</stp>
        <stp>2</stp>
        <stp>002110</stp>
        <stp>12/31/2018</stp>
        <tr r="O3202" s="1"/>
      </tp>
      <tp>
        <v>1.63765488064609</v>
        <stp/>
        <stp>EM_S_VAL_PS_TTM</stp>
        <stp>2</stp>
        <stp>002119</stp>
        <stp>12/31/2018</stp>
        <tr r="O493" s="1"/>
      </tp>
      <tp>
        <v>3.0111846308291499</v>
        <stp/>
        <stp>EM_S_VAL_PS_TTM</stp>
        <stp>2</stp>
        <stp>002118</stp>
        <stp>12/31/2018</stp>
        <tr r="O754" s="1"/>
      </tp>
      <tp>
        <v>3.0928953724352399</v>
        <stp/>
        <stp>EM_S_VAL_PS_TTM</stp>
        <stp>2</stp>
        <stp>002107</stp>
        <stp>12/31/2018</stp>
        <tr r="O1136" s="1"/>
      </tp>
      <tp>
        <v>0.99281744672452699</v>
        <stp/>
        <stp>EM_S_VAL_PS_TTM</stp>
        <stp>2</stp>
        <stp>002106</stp>
        <stp>12/31/2018</stp>
        <tr r="O474" s="1"/>
      </tp>
      <tp>
        <v>1.01125071701089</v>
        <stp/>
        <stp>EM_S_VAL_PS_TTM</stp>
        <stp>2</stp>
        <stp>002105</stp>
        <stp>12/31/2018</stp>
        <tr r="O3636" s="1"/>
      </tp>
      <tp>
        <v>2.5769033116789402</v>
        <stp/>
        <stp>EM_S_VAL_PS_TTM</stp>
        <stp>2</stp>
        <stp>002104</stp>
        <stp>12/31/2018</stp>
        <tr r="O962" s="1"/>
      </tp>
      <tp>
        <v>0.97379490065952801</v>
        <stp/>
        <stp>EM_S_VAL_PS_TTM</stp>
        <stp>2</stp>
        <stp>002103</stp>
        <stp>12/31/2018</stp>
        <tr r="O3635" s="1"/>
      </tp>
      <tp>
        <v>0.32406724953333399</v>
        <stp/>
        <stp>EM_S_VAL_PS_TTM</stp>
        <stp>2</stp>
        <stp>002102</stp>
        <stp>12/31/2018</stp>
        <tr r="O3634" s="1"/>
      </tp>
      <tp>
        <v>0.753195149488465</v>
        <stp/>
        <stp>EM_S_VAL_PS_TTM</stp>
        <stp>2</stp>
        <stp>002101</stp>
        <stp>12/31/2018</stp>
        <tr r="O2834" s="1"/>
      </tp>
      <tp>
        <v>0.83004897754345996</v>
        <stp/>
        <stp>EM_S_VAL_PS_TTM</stp>
        <stp>2</stp>
        <stp>002100</stp>
        <stp>12/31/2018</stp>
        <tr r="O54" s="1"/>
      </tp>
      <tp>
        <v>1.78734684105748</v>
        <stp/>
        <stp>EM_S_VAL_PS_TTM</stp>
        <stp>2</stp>
        <stp>002109</stp>
        <stp>12/31/2018</stp>
        <tr r="O2560" s="1"/>
      </tp>
      <tp>
        <v>1.76118079945488</v>
        <stp/>
        <stp>EM_S_VAL_PS_TTM</stp>
        <stp>2</stp>
        <stp>002108</stp>
        <stp>12/31/2018</stp>
        <tr r="O3637" s="1"/>
      </tp>
      <tp>
        <v>5.0166324159975497</v>
        <stp/>
        <stp>EM_S_VAL_PS_TTM</stp>
        <stp>2</stp>
        <stp>002177</stp>
        <stp>12/31/2018</stp>
        <tr r="O284" s="1"/>
      </tp>
      <tp>
        <v>2.67738924367002</v>
        <stp/>
        <stp>EM_S_VAL_PS_TTM</stp>
        <stp>2</stp>
        <stp>002176</stp>
        <stp>12/31/2018</stp>
        <tr r="O3286" s="1"/>
      </tp>
      <tp>
        <v>13.3874812602788</v>
        <stp/>
        <stp>EM_S_VAL_PS_TTM</stp>
        <stp>2</stp>
        <stp>002175</stp>
        <stp>12/31/2018</stp>
        <tr r="O3335" s="1"/>
      </tp>
      <tp>
        <v>4.8220687144870098</v>
        <stp/>
        <stp>EM_S_VAL_PS_TTM</stp>
        <stp>2</stp>
        <stp>002174</stp>
        <stp>12/31/2018</stp>
        <tr r="O1138" s="1"/>
      </tp>
      <tp>
        <v>3.0234892892278</v>
        <stp/>
        <stp>EM_S_VAL_PS_TTM</stp>
        <stp>2</stp>
        <stp>002173</stp>
        <stp>12/31/2018</stp>
        <tr r="O2881" s="1"/>
      </tp>
      <tp>
        <v>0.58228639762684897</v>
        <stp/>
        <stp>EM_S_VAL_PS_TTM</stp>
        <stp>2</stp>
        <stp>002172</stp>
        <stp>12/31/2018</stp>
        <tr r="O2424" s="1"/>
      </tp>
      <tp>
        <v>0.38231862861316801</v>
        <stp/>
        <stp>EM_S_VAL_PS_TTM</stp>
        <stp>2</stp>
        <stp>002171</stp>
        <stp>12/31/2018</stp>
        <tr r="O435" s="1"/>
      </tp>
      <tp>
        <v>1.17725593307267</v>
        <stp/>
        <stp>EM_S_VAL_PS_TTM</stp>
        <stp>2</stp>
        <stp>002170</stp>
        <stp>12/31/2018</stp>
        <tr r="O1698" s="1"/>
      </tp>
      <tp>
        <v>3.4880247913990101</v>
        <stp/>
        <stp>EM_S_VAL_PS_TTM</stp>
        <stp>2</stp>
        <stp>002179</stp>
        <stp>12/31/2018</stp>
        <tr r="O1453" s="1"/>
      </tp>
      <tp>
        <v>2.0845127547675899</v>
        <stp/>
        <stp>EM_S_VAL_PS_TTM</stp>
        <stp>2</stp>
        <stp>002178</stp>
        <stp>12/31/2018</stp>
        <tr r="O1588" s="1"/>
      </tp>
      <tp>
        <v>4.2956491865300599</v>
        <stp/>
        <stp>EM_S_VAL_PS_TTM</stp>
        <stp>2</stp>
        <stp>002167</stp>
        <stp>12/31/2018</stp>
        <tr r="O860" s="1"/>
      </tp>
      <tp>
        <v>3.7713386347795699</v>
        <stp/>
        <stp>EM_S_VAL_PS_TTM</stp>
        <stp>2</stp>
        <stp>002166</stp>
        <stp>12/31/2018</stp>
        <tr r="O1282" s="1"/>
      </tp>
      <tp>
        <v>0.87177203737047504</v>
        <stp/>
        <stp>EM_S_VAL_PS_TTM</stp>
        <stp>2</stp>
        <stp>002165</stp>
        <stp>12/31/2018</stp>
        <tr r="O1121" s="1"/>
      </tp>
      <tp>
        <v>9.8585346997762197E-2</v>
        <stp/>
        <stp>EM_S_VAL_PS_TTM</stp>
        <stp>2</stp>
        <stp>002164</stp>
        <stp>12/31/2018</stp>
        <tr r="O733" s="1"/>
      </tp>
      <tp>
        <v>0.82530787417285001</v>
        <stp/>
        <stp>EM_S_VAL_PS_TTM</stp>
        <stp>2</stp>
        <stp>002163</stp>
        <stp>12/31/2018</stp>
        <tr r="O1572" s="1"/>
      </tp>
      <tp>
        <v>2.58355719009757</v>
        <stp/>
        <stp>EM_S_VAL_PS_TTM</stp>
        <stp>2</stp>
        <stp>002162</stp>
        <stp>12/31/2018</stp>
        <tr r="O1080" s="1"/>
      </tp>
      <tp>
        <v>8.6983238220943999</v>
        <stp/>
        <stp>EM_S_VAL_PS_TTM</stp>
        <stp>2</stp>
        <stp>002161</stp>
        <stp>12/31/2018</stp>
        <tr r="O278" s="1"/>
      </tp>
      <tp>
        <v>0.64698358134692202</v>
        <stp/>
        <stp>EM_S_VAL_PS_TTM</stp>
        <stp>2</stp>
        <stp>002160</stp>
        <stp>12/31/2018</stp>
        <tr r="O3009" s="1"/>
      </tp>
      <tp>
        <v>1.03817306514235</v>
        <stp/>
        <stp>EM_S_VAL_PS_TTM</stp>
        <stp>2</stp>
        <stp>002169</stp>
        <stp>12/31/2018</stp>
        <tr r="O182" s="1"/>
      </tp>
      <tp>
        <v>4.8393241729492003</v>
        <stp/>
        <stp>EM_S_VAL_PS_TTM</stp>
        <stp>2</stp>
        <stp>002168</stp>
        <stp>12/31/2018</stp>
        <tr r="O3021" s="1"/>
      </tp>
      <tp>
        <v>0.53549522331780697</v>
        <stp/>
        <stp>EM_S_VAL_PS_TTM</stp>
        <stp>2</stp>
        <stp>002157</stp>
        <stp>12/31/2018</stp>
        <tr r="O45" s="1"/>
      </tp>
      <tp>
        <v>1.1508719702124699</v>
        <stp/>
        <stp>EM_S_VAL_PS_TTM</stp>
        <stp>2</stp>
        <stp>002156</stp>
        <stp>12/31/2018</stp>
        <tr r="O102" s="1"/>
      </tp>
      <tp>
        <v>0.78258827234578898</v>
        <stp/>
        <stp>EM_S_VAL_PS_TTM</stp>
        <stp>2</stp>
        <stp>002155</stp>
        <stp>12/31/2018</stp>
        <tr r="O2369" s="1"/>
      </tp>
      <tp>
        <v>1.2643284712455201</v>
        <stp/>
        <stp>EM_S_VAL_PS_TTM</stp>
        <stp>2</stp>
        <stp>002154</stp>
        <stp>12/31/2018</stp>
        <tr r="O1861" s="1"/>
      </tp>
      <tp>
        <v>9.2716949761407808</v>
        <stp/>
        <stp>EM_S_VAL_PS_TTM</stp>
        <stp>2</stp>
        <stp>002153</stp>
        <stp>12/31/2018</stp>
        <tr r="O541" s="1"/>
      </tp>
      <tp>
        <v>2.6171000617111901</v>
        <stp/>
        <stp>EM_S_VAL_PS_TTM</stp>
        <stp>2</stp>
        <stp>002152</stp>
        <stp>12/31/2018</stp>
        <tr r="O279" s="1"/>
      </tp>
      <tp>
        <v>3.6166852399179601</v>
        <stp/>
        <stp>EM_S_VAL_PS_TTM</stp>
        <stp>2</stp>
        <stp>002151</stp>
        <stp>12/31/2018</stp>
        <tr r="O1237" s="1"/>
      </tp>
      <tp>
        <v>1.35058150759039</v>
        <stp/>
        <stp>EM_S_VAL_PS_TTM</stp>
        <stp>2</stp>
        <stp>002150</stp>
        <stp>12/31/2018</stp>
        <tr r="O1664" s="1"/>
      </tp>
      <tp>
        <v>3.75496955843641</v>
        <stp/>
        <stp>EM_S_VAL_PS_TTM</stp>
        <stp>2</stp>
        <stp>002159</stp>
        <stp>12/31/2018</stp>
        <tr r="O3212" s="1"/>
      </tp>
      <tp>
        <v>2.2912990277768599</v>
        <stp/>
        <stp>EM_S_VAL_PS_TTM</stp>
        <stp>2</stp>
        <stp>002158</stp>
        <stp>12/31/2018</stp>
        <tr r="O1124" s="1"/>
      </tp>
      <tp>
        <v>3.0173385243862998</v>
        <stp/>
        <stp>EM_S_VAL_PS_TTM</stp>
        <stp>2</stp>
        <stp>002147</stp>
        <stp>12/31/2018</stp>
        <tr r="O3244" s="1"/>
      </tp>
      <tp>
        <v>0.726658795369576</v>
        <stp/>
        <stp>EM_S_VAL_PS_TTM</stp>
        <stp>2</stp>
        <stp>002146</stp>
        <stp>12/31/2018</stp>
        <tr r="O1173" s="1"/>
      </tp>
      <tp>
        <v>1.66221949650373</v>
        <stp/>
        <stp>EM_S_VAL_PS_TTM</stp>
        <stp>2</stp>
        <stp>002145</stp>
        <stp>12/31/2018</stp>
        <tr r="O805" s="1"/>
      </tp>
      <tp>
        <v>2.9773391516788799</v>
        <stp/>
        <stp>EM_S_VAL_PS_TTM</stp>
        <stp>2</stp>
        <stp>002144</stp>
        <stp>12/31/2018</stp>
        <tr r="O2202" s="1"/>
      </tp>
      <tp>
        <v>3.9785849533539701</v>
        <stp/>
        <stp>EM_S_VAL_PS_TTM</stp>
        <stp>2</stp>
        <stp>002143</stp>
        <stp>12/31/2018</stp>
        <tr r="O3411" s="1"/>
      </tp>
      <tp>
        <v>3.02359276971332</v>
        <stp/>
        <stp>EM_S_VAL_PS_TTM</stp>
        <stp>2</stp>
        <stp>002142</stp>
        <stp>12/31/2018</stp>
        <tr r="O303" s="1"/>
      </tp>
      <tp>
        <v>4.6535340797571001</v>
        <stp/>
        <stp>EM_S_VAL_PS_TTM</stp>
        <stp>2</stp>
        <stp>002141</stp>
        <stp>12/31/2018</stp>
        <tr r="O2946" s="1"/>
      </tp>
      <tp>
        <v>0.71440786026339398</v>
        <stp/>
        <stp>EM_S_VAL_PS_TTM</stp>
        <stp>2</stp>
        <stp>002140</stp>
        <stp>12/31/2018</stp>
        <tr r="O1194" s="1"/>
      </tp>
      <tp>
        <v>1.3188071989629899</v>
        <stp/>
        <stp>EM_S_VAL_PS_TTM</stp>
        <stp>2</stp>
        <stp>002149</stp>
        <stp>12/31/2018</stp>
        <tr r="O618" s="1"/>
      </tp>
      <tp>
        <v>10.654343766556099</v>
        <stp/>
        <stp>EM_S_VAL_PS_TTM</stp>
        <stp>2</stp>
        <stp>002148</stp>
        <stp>12/31/2018</stp>
        <tr r="O2885" s="1"/>
      </tp>
      <tp>
        <v>1.1008346771225099</v>
        <stp/>
        <stp>EM_S_VAL_PS_TTM</stp>
        <stp>2</stp>
        <stp>002097</stp>
        <stp>12/31/2018</stp>
        <tr r="O1946" s="1"/>
      </tp>
      <tp>
        <v>0.95195626570646596</v>
        <stp/>
        <stp>EM_S_VAL_PS_TTM</stp>
        <stp>2</stp>
        <stp>002096</stp>
        <stp>12/31/2018</stp>
        <tr r="O3632" s="1"/>
      </tp>
      <tp>
        <v>11.6892511271383</v>
        <stp/>
        <stp>EM_S_VAL_PS_TTM</stp>
        <stp>2</stp>
        <stp>002095</stp>
        <stp>12/31/2018</stp>
        <tr r="O1584" s="1"/>
      </tp>
      <tp>
        <v>0.61839827369211597</v>
        <stp/>
        <stp>EM_S_VAL_PS_TTM</stp>
        <stp>2</stp>
        <stp>002094</stp>
        <stp>12/31/2018</stp>
        <tr r="O2354" s="1"/>
      </tp>
      <tp>
        <v>5.7485181029848</v>
        <stp/>
        <stp>EM_S_VAL_PS_TTM</stp>
        <stp>2</stp>
        <stp>002093</stp>
        <stp>12/31/2018</stp>
        <tr r="O3631" s="1"/>
      </tp>
      <tp>
        <v>0.25495442528557899</v>
        <stp/>
        <stp>EM_S_VAL_PS_TTM</stp>
        <stp>2</stp>
        <stp>002092</stp>
        <stp>12/31/2018</stp>
        <tr r="O2499" s="1"/>
      </tp>
      <tp>
        <v>0.22903486816955501</v>
        <stp/>
        <stp>EM_S_VAL_PS_TTM</stp>
        <stp>2</stp>
        <stp>002091</stp>
        <stp>12/31/2018</stp>
        <tr r="O1200" s="1"/>
      </tp>
      <tp>
        <v>2.2862934481857198</v>
        <stp/>
        <stp>EM_S_VAL_PS_TTM</stp>
        <stp>2</stp>
        <stp>002090</stp>
        <stp>12/31/2018</stp>
        <tr r="O3281" s="1"/>
      </tp>
      <tp>
        <v>2.7598217334258899</v>
        <stp/>
        <stp>EM_S_VAL_PS_TTM</stp>
        <stp>2</stp>
        <stp>002099</stp>
        <stp>12/31/2018</stp>
        <tr r="O498" s="1"/>
      </tp>
      <tp>
        <v>1.1392814589131399</v>
        <stp/>
        <stp>EM_S_VAL_PS_TTM</stp>
        <stp>2</stp>
        <stp>002098</stp>
        <stp>12/31/2018</stp>
        <tr r="O3633" s="1"/>
      </tp>
      <tp>
        <v>0.47147429580137301</v>
        <stp/>
        <stp>EM_S_VAL_PS_TTM</stp>
        <stp>2</stp>
        <stp>002087</stp>
        <stp>12/31/2018</stp>
        <tr r="O2227" s="1"/>
      </tp>
      <tp>
        <v>4.09765449540755</v>
        <stp/>
        <stp>EM_S_VAL_PS_TTM</stp>
        <stp>2</stp>
        <stp>002086</stp>
        <stp>12/31/2018</stp>
        <tr r="O3629" s="1"/>
      </tp>
      <tp>
        <v>1.55475598400554</v>
        <stp/>
        <stp>EM_S_VAL_PS_TTM</stp>
        <stp>2</stp>
        <stp>002085</stp>
        <stp>12/31/2018</stp>
        <tr r="O2749" s="1"/>
      </tp>
      <tp>
        <v>0.923848681179958</v>
        <stp/>
        <stp>EM_S_VAL_PS_TTM</stp>
        <stp>2</stp>
        <stp>002084</stp>
        <stp>12/31/2018</stp>
        <tr r="O346" s="1"/>
      </tp>
      <tp>
        <v>0.87018980122533496</v>
        <stp/>
        <stp>EM_S_VAL_PS_TTM</stp>
        <stp>2</stp>
        <stp>002083</stp>
        <stp>12/31/2018</stp>
        <tr r="O1111" s="1"/>
      </tp>
      <tp>
        <v>0.118645110591192</v>
        <stp/>
        <stp>EM_S_VAL_PS_TTM</stp>
        <stp>2</stp>
        <stp>002082</stp>
        <stp>12/31/2018</stp>
        <tr r="O3628" s="1"/>
      </tp>
      <tp>
        <v>0.89945496134701997</v>
        <stp/>
        <stp>EM_S_VAL_PS_TTM</stp>
        <stp>2</stp>
        <stp>002081</stp>
        <stp>12/31/2018</stp>
        <tr r="O1856" s="1"/>
      </tp>
      <tp>
        <v>0.96355383734111499</v>
        <stp/>
        <stp>EM_S_VAL_PS_TTM</stp>
        <stp>2</stp>
        <stp>002080</stp>
        <stp>12/31/2018</stp>
        <tr r="O599" s="1"/>
      </tp>
      <tp>
        <v>9.0533439993806706</v>
        <stp/>
        <stp>EM_S_VAL_PS_TTM</stp>
        <stp>2</stp>
        <stp>002089</stp>
        <stp>12/31/2018</stp>
        <tr r="O3630" s="1"/>
      </tp>
      <tp>
        <v>1.7782731749396601</v>
        <stp/>
        <stp>EM_S_VAL_PS_TTM</stp>
        <stp>2</stp>
        <stp>002088</stp>
        <stp>12/31/2018</stp>
        <tr r="O1065" s="1"/>
      </tp>
      <tp>
        <v>0.78597704308417204</v>
        <stp/>
        <stp>EM_S_VAL_PS_TTM</stp>
        <stp>2</stp>
        <stp>002037</stp>
        <stp>12/31/2018</stp>
        <tr r="O2964" s="1"/>
      </tp>
      <tp>
        <v>0.95143145103851401</v>
        <stp/>
        <stp>EM_S_VAL_PS_TTM</stp>
        <stp>2</stp>
        <stp>002036</stp>
        <stp>12/31/2018</stp>
        <tr r="O3613" s="1"/>
      </tp>
      <tp>
        <v>1.2397530393291101</v>
        <stp/>
        <stp>EM_S_VAL_PS_TTM</stp>
        <stp>2</stp>
        <stp>002035</stp>
        <stp>12/31/2018</stp>
        <tr r="O527" s="1"/>
      </tp>
      <tp>
        <v>5.0363504948265501</v>
        <stp/>
        <stp>EM_S_VAL_PS_TTM</stp>
        <stp>2</stp>
        <stp>002034</stp>
        <stp>12/31/2018</stp>
        <tr r="O3612" s="1"/>
      </tp>
      <tp>
        <v>4.3893606736217299</v>
        <stp/>
        <stp>EM_S_VAL_PS_TTM</stp>
        <stp>2</stp>
        <stp>002033</stp>
        <stp>12/31/2018</stp>
        <tr r="O3611" s="1"/>
      </tp>
      <tp>
        <v>2.5601244402712702</v>
        <stp/>
        <stp>EM_S_VAL_PS_TTM</stp>
        <stp>2</stp>
        <stp>002032</stp>
        <stp>12/31/2018</stp>
        <tr r="O638" s="1"/>
      </tp>
      <tp>
        <v>3.1348989772392599</v>
        <stp/>
        <stp>EM_S_VAL_PS_TTM</stp>
        <stp>2</stp>
        <stp>002031</stp>
        <stp>12/31/2018</stp>
        <tr r="O1994" s="1"/>
      </tp>
      <tp>
        <v>5.1433729827047996</v>
        <stp/>
        <stp>EM_S_VAL_PS_TTM</stp>
        <stp>2</stp>
        <stp>002030</stp>
        <stp>12/31/2018</stp>
        <tr r="O3610" s="1"/>
      </tp>
      <tp>
        <v>1.8200568209508701</v>
        <stp/>
        <stp>EM_S_VAL_PS_TTM</stp>
        <stp>2</stp>
        <stp>002039</stp>
        <stp>12/31/2018</stp>
        <tr r="O3614" s="1"/>
      </tp>
      <tp>
        <v>8.4144710588537492</v>
        <stp/>
        <stp>EM_S_VAL_PS_TTM</stp>
        <stp>2</stp>
        <stp>002038</stp>
        <stp>12/31/2018</stp>
        <tr r="O3361" s="1"/>
      </tp>
      <tp>
        <v>5.4314270474630799</v>
        <stp/>
        <stp>EM_S_VAL_PS_TTM</stp>
        <stp>2</stp>
        <stp>002027</stp>
        <stp>12/31/2018</stp>
        <tr r="O1266" s="1"/>
      </tp>
      <tp>
        <v>1.41686523512183</v>
        <stp/>
        <stp>EM_S_VAL_PS_TTM</stp>
        <stp>2</stp>
        <stp>002026</stp>
        <stp>12/31/2018</stp>
        <tr r="O2623" s="1"/>
      </tp>
      <tp>
        <v>3.31658280769209</v>
        <stp/>
        <stp>EM_S_VAL_PS_TTM</stp>
        <stp>2</stp>
        <stp>002025</stp>
        <stp>12/31/2018</stp>
        <tr r="O1156" s="1"/>
      </tp>
      <tp>
        <v>0.40042729325777798</v>
        <stp/>
        <stp>EM_S_VAL_PS_TTM</stp>
        <stp>2</stp>
        <stp>002024</stp>
        <stp>12/31/2018</stp>
        <tr r="O2136" s="1"/>
      </tp>
      <tp>
        <v>16.4925813785811</v>
        <stp/>
        <stp>EM_S_VAL_PS_TTM</stp>
        <stp>2</stp>
        <stp>002023</stp>
        <stp>12/31/2018</stp>
        <tr r="O1575" s="1"/>
      </tp>
      <tp>
        <v>2.50969632354898</v>
        <stp/>
        <stp>EM_S_VAL_PS_TTM</stp>
        <stp>2</stp>
        <stp>002022</stp>
        <stp>12/31/2018</stp>
        <tr r="O1340" s="1"/>
      </tp>
      <tp>
        <v>1.7030447569673499</v>
        <stp/>
        <stp>EM_S_VAL_PS_TTM</stp>
        <stp>2</stp>
        <stp>002021</stp>
        <stp>12/31/2018</stp>
        <tr r="O3609" s="1"/>
      </tp>
      <tp>
        <v>2.1455442252938401</v>
        <stp/>
        <stp>EM_S_VAL_PS_TTM</stp>
        <stp>2</stp>
        <stp>002020</stp>
        <stp>12/31/2018</stp>
        <tr r="O1187" s="1"/>
      </tp>
      <tp>
        <v>1.38497743172879</v>
        <stp/>
        <stp>EM_S_VAL_PS_TTM</stp>
        <stp>2</stp>
        <stp>002029</stp>
        <stp>12/31/2018</stp>
        <tr r="O2562" s="1"/>
      </tp>
      <tp>
        <v>1.58930651338609</v>
        <stp/>
        <stp>EM_S_VAL_PS_TTM</stp>
        <stp>2</stp>
        <stp>002028</stp>
        <stp>12/31/2018</stp>
        <tr r="O743" s="1"/>
      </tp>
      <tp>
        <v>2.7957396239349199</v>
        <stp/>
        <stp>EM_S_VAL_PS_TTM</stp>
        <stp>2</stp>
        <stp>002017</stp>
        <stp>12/31/2018</stp>
        <tr r="O3607" s="1"/>
      </tp>
      <tp>
        <v>2.4685428327500598</v>
        <stp/>
        <stp>EM_S_VAL_PS_TTM</stp>
        <stp>2</stp>
        <stp>002016</stp>
        <stp>12/31/2018</stp>
        <tr r="O2526" s="1"/>
      </tp>
      <tp>
        <v>4.0150447609184301</v>
        <stp/>
        <stp>EM_S_VAL_PS_TTM</stp>
        <stp>2</stp>
        <stp>002015</stp>
        <stp>12/31/2018</stp>
        <tr r="O1673" s="1"/>
      </tp>
      <tp>
        <v>1.4798707290736199</v>
        <stp/>
        <stp>EM_S_VAL_PS_TTM</stp>
        <stp>2</stp>
        <stp>002014</stp>
        <stp>12/31/2018</stp>
        <tr r="O643" s="1"/>
      </tp>
      <tp>
        <v>2.3771614573010198</v>
        <stp/>
        <stp>EM_S_VAL_PS_TTM</stp>
        <stp>2</stp>
        <stp>002013</stp>
        <stp>12/31/2018</stp>
        <tr r="O1925" s="1"/>
      </tp>
      <tp>
        <v>1.6097998635294699</v>
        <stp/>
        <stp>EM_S_VAL_PS_TTM</stp>
        <stp>2</stp>
        <stp>002012</stp>
        <stp>12/31/2018</stp>
        <tr r="O608" s="1"/>
      </tp>
      <tp>
        <v>0.42339054989525798</v>
        <stp/>
        <stp>EM_S_VAL_PS_TTM</stp>
        <stp>2</stp>
        <stp>002011</stp>
        <stp>12/31/2018</stp>
        <tr r="O3606" s="1"/>
      </tp>
      <tp>
        <v>0.85068598158778796</v>
        <stp/>
        <stp>EM_S_VAL_PS_TTM</stp>
        <stp>2</stp>
        <stp>002010</stp>
        <stp>12/31/2018</stp>
        <tr r="O1950" s="1"/>
      </tp>
      <tp>
        <v>2.7235388284979098</v>
        <stp/>
        <stp>EM_S_VAL_PS_TTM</stp>
        <stp>2</stp>
        <stp>002019</stp>
        <stp>12/31/2018</stp>
        <tr r="O581" s="1"/>
      </tp>
      <tp>
        <v>0.68437031585683605</v>
        <stp/>
        <stp>EM_S_VAL_PS_TTM</stp>
        <stp>2</stp>
        <stp>002018</stp>
        <stp>12/31/2018</stp>
        <tr r="O3608" s="1"/>
      </tp>
      <tp>
        <v>11.1425022821499</v>
        <stp/>
        <stp>EM_S_VAL_PS_TTM</stp>
        <stp>2</stp>
        <stp>002007</stp>
        <stp>12/31/2018</stp>
        <tr r="O2145" s="1"/>
      </tp>
      <tp>
        <v>2.2371792605735101</v>
        <stp/>
        <stp>EM_S_VAL_PS_TTM</stp>
        <stp>2</stp>
        <stp>002006</stp>
        <stp>12/31/2018</stp>
        <tr r="O2930" s="1"/>
      </tp>
      <tp>
        <v>0.95837569045904902</v>
        <stp/>
        <stp>EM_S_VAL_PS_TTM</stp>
        <stp>2</stp>
        <stp>002005</stp>
        <stp>12/31/2018</stp>
        <tr r="O3604" s="1"/>
      </tp>
      <tp>
        <v>0.87167620808544299</v>
        <stp/>
        <stp>EM_S_VAL_PS_TTM</stp>
        <stp>2</stp>
        <stp>002004</stp>
        <stp>12/31/2018</stp>
        <tr r="O1958" s="1"/>
      </tp>
      <tp>
        <v>1.9280219410478801</v>
        <stp/>
        <stp>EM_S_VAL_PS_TTM</stp>
        <stp>2</stp>
        <stp>002003</stp>
        <stp>12/31/2018</stp>
        <tr r="O2851" s="1"/>
      </tp>
      <tp>
        <v>1.2340016443103901</v>
        <stp/>
        <stp>EM_S_VAL_PS_TTM</stp>
        <stp>2</stp>
        <stp>002002</stp>
        <stp>12/31/2018</stp>
        <tr r="O3603" s="1"/>
      </tp>
      <tp>
        <v>3.6391442558701699</v>
        <stp/>
        <stp>EM_S_VAL_PS_TTM</stp>
        <stp>2</stp>
        <stp>002001</stp>
        <stp>12/31/2018</stp>
        <tr r="O565" s="1"/>
      </tp>
      <tp>
        <v>0.86809376376465197</v>
        <stp/>
        <stp>EM_S_VAL_PS_TTM</stp>
        <stp>2</stp>
        <stp>002009</stp>
        <stp>12/31/2018</stp>
        <tr r="O2192" s="1"/>
      </tp>
      <tp>
        <v>2.8664491230350602</v>
        <stp/>
        <stp>EM_S_VAL_PS_TTM</stp>
        <stp>2</stp>
        <stp>002008</stp>
        <stp>12/31/2018</stp>
        <tr r="O3605" s="1"/>
      </tp>
      <tp>
        <v>1.73371851170921</v>
        <stp/>
        <stp>EM_S_VAL_PS_TTM</stp>
        <stp>2</stp>
        <stp>002077</stp>
        <stp>12/31/2018</stp>
        <tr r="O3627" s="1"/>
      </tp>
      <tp>
        <v>2.8448964426924199</v>
        <stp/>
        <stp>EM_S_VAL_PS_TTM</stp>
        <stp>2</stp>
        <stp>002076</stp>
        <stp>12/31/2018</stp>
        <tr r="O3626" s="1"/>
      </tp>
      <tp>
        <v>1.2187672499779101</v>
        <stp/>
        <stp>EM_S_VAL_PS_TTM</stp>
        <stp>2</stp>
        <stp>002075</stp>
        <stp>12/31/2018</stp>
        <tr r="O3139" s="1"/>
      </tp>
      <tp>
        <v>2.53656967255949</v>
        <stp/>
        <stp>EM_S_VAL_PS_TTM</stp>
        <stp>2</stp>
        <stp>002074</stp>
        <stp>12/31/2018</stp>
        <tr r="O1128" s="1"/>
      </tp>
      <tp>
        <v>1.57899068122259</v>
        <stp/>
        <stp>EM_S_VAL_PS_TTM</stp>
        <stp>2</stp>
        <stp>002073</stp>
        <stp>12/31/2018</stp>
        <tr r="O3625" s="1"/>
      </tp>
      <tp>
        <v>18.698274012714101</v>
        <stp/>
        <stp>EM_S_VAL_PS_TTM</stp>
        <stp>2</stp>
        <stp>002072</stp>
        <stp>12/31/2018</stp>
        <tr r="O3624" s="1"/>
      </tp>
      <tp>
        <v>1.6360811506116399</v>
        <stp/>
        <stp>EM_S_VAL_PS_TTM</stp>
        <stp>2</stp>
        <stp>002071</stp>
        <stp>12/31/2018</stp>
        <tr r="O3623" s="1"/>
      </tp>
      <tp>
        <v>7.6850650270015199</v>
        <stp/>
        <stp>EM_S_VAL_PS_TTM</stp>
        <stp>2</stp>
        <stp>002070</stp>
        <stp>12/31/2018</stp>
        <tr r="O3622" s="1"/>
      </tp>
      <tp>
        <v>1.7643713248923001</v>
        <stp/>
        <stp>EM_S_VAL_PS_TTM</stp>
        <stp>2</stp>
        <stp>002079</stp>
        <stp>12/31/2018</stp>
        <tr r="O84" s="1"/>
      </tp>
      <tp>
        <v>0.69385217320263204</v>
        <stp/>
        <stp>EM_S_VAL_PS_TTM</stp>
        <stp>2</stp>
        <stp>002078</stp>
        <stp>12/31/2018</stp>
        <tr r="O275" s="1"/>
      </tp>
      <tp>
        <v>0.66377207861404197</v>
        <stp/>
        <stp>EM_S_VAL_PS_TTM</stp>
        <stp>2</stp>
        <stp>002067</stp>
        <stp>12/31/2018</stp>
        <tr r="O2531" s="1"/>
      </tp>
      <tp>
        <v>0.47214116625744701</v>
        <stp/>
        <stp>EM_S_VAL_PS_TTM</stp>
        <stp>2</stp>
        <stp>002066</stp>
        <stp>12/31/2018</stp>
        <tr r="O1696" s="1"/>
      </tp>
      <tp>
        <v>2.68094553858008</v>
        <stp/>
        <stp>EM_S_VAL_PS_TTM</stp>
        <stp>2</stp>
        <stp>002065</stp>
        <stp>12/31/2018</stp>
        <tr r="O619" s="1"/>
      </tp>
      <tp>
        <v>1.5693016490874001</v>
        <stp/>
        <stp>EM_S_VAL_PS_TTM</stp>
        <stp>2</stp>
        <stp>002064</stp>
        <stp>12/31/2018</stp>
        <tr r="O557" s="1"/>
      </tp>
      <tp>
        <v>3.7397150332009899</v>
        <stp/>
        <stp>EM_S_VAL_PS_TTM</stp>
        <stp>2</stp>
        <stp>002063</stp>
        <stp>12/31/2018</stp>
        <tr r="O118" s="1"/>
      </tp>
      <tp>
        <v>0.46972694110216601</v>
        <stp/>
        <stp>EM_S_VAL_PS_TTM</stp>
        <stp>2</stp>
        <stp>002062</stp>
        <stp>12/31/2018</stp>
        <tr r="O2740" s="1"/>
      </tp>
      <tp>
        <v>0.53922179707367401</v>
        <stp/>
        <stp>EM_S_VAL_PS_TTM</stp>
        <stp>2</stp>
        <stp>002061</stp>
        <stp>12/31/2018</stp>
        <tr r="O3337" s="1"/>
      </tp>
      <tp>
        <v>0.46309429546019698</v>
        <stp/>
        <stp>EM_S_VAL_PS_TTM</stp>
        <stp>2</stp>
        <stp>002060</stp>
        <stp>12/31/2018</stp>
        <tr r="O1677" s="1"/>
      </tp>
      <tp>
        <v>0.77613134884979795</v>
        <stp/>
        <stp>EM_S_VAL_PS_TTM</stp>
        <stp>2</stp>
        <stp>002069</stp>
        <stp>12/31/2018</stp>
        <tr r="O3621" s="1"/>
      </tp>
      <tp>
        <v>0.53610831287077498</v>
        <stp/>
        <stp>EM_S_VAL_PS_TTM</stp>
        <stp>2</stp>
        <stp>002068</stp>
        <stp>12/31/2018</stp>
        <tr r="O3034" s="1"/>
      </tp>
      <tp>
        <v>1.77374356431823</v>
        <stp/>
        <stp>EM_S_VAL_PS_TTM</stp>
        <stp>2</stp>
        <stp>002057</stp>
        <stp>12/31/2018</stp>
        <tr r="O460" s="1"/>
      </tp>
      <tp>
        <v>1.4639195559098199</v>
        <stp/>
        <stp>EM_S_VAL_PS_TTM</stp>
        <stp>2</stp>
        <stp>002056</stp>
        <stp>12/31/2018</stp>
        <tr r="O553" s="1"/>
      </tp>
      <tp>
        <v>0.62690878051804999</v>
        <stp/>
        <stp>EM_S_VAL_PS_TTM</stp>
        <stp>2</stp>
        <stp>002055</stp>
        <stp>12/31/2018</stp>
        <tr r="O1666" s="1"/>
      </tp>
      <tp>
        <v>1.4916686352445401</v>
        <stp/>
        <stp>EM_S_VAL_PS_TTM</stp>
        <stp>2</stp>
        <stp>002054</stp>
        <stp>12/31/2018</stp>
        <tr r="O3620" s="1"/>
      </tp>
      <tp>
        <v>2.98158813610232</v>
        <stp/>
        <stp>EM_S_VAL_PS_TTM</stp>
        <stp>2</stp>
        <stp>002053</stp>
        <stp>12/31/2018</stp>
        <tr r="O3619" s="1"/>
      </tp>
      <tp>
        <v>4.0715398262601497</v>
        <stp/>
        <stp>EM_S_VAL_PS_TTM</stp>
        <stp>2</stp>
        <stp>002052</stp>
        <stp>12/31/2018</stp>
        <tr r="O3618" s="1"/>
      </tp>
      <tp>
        <v>0.98159407727718595</v>
        <stp/>
        <stp>EM_S_VAL_PS_TTM</stp>
        <stp>2</stp>
        <stp>002051</stp>
        <stp>12/31/2018</stp>
        <tr r="O3617" s="1"/>
      </tp>
      <tp>
        <v>2.5371546132518001</v>
        <stp/>
        <stp>EM_S_VAL_PS_TTM</stp>
        <stp>2</stp>
        <stp>002050</stp>
        <stp>12/31/2018</stp>
        <tr r="O791" s="1"/>
      </tp>
      <tp>
        <v>1.9980041444374099</v>
        <stp/>
        <stp>EM_S_VAL_PS_TTM</stp>
        <stp>2</stp>
        <stp>002059</stp>
        <stp>12/31/2018</stp>
        <tr r="O2514" s="1"/>
      </tp>
      <tp>
        <v>15.103843820068001</v>
        <stp/>
        <stp>EM_S_VAL_PS_TTM</stp>
        <stp>2</stp>
        <stp>002058</stp>
        <stp>12/31/2018</stp>
        <tr r="O306" s="1"/>
      </tp>
      <tp>
        <v>1.2308805752694501</v>
        <stp/>
        <stp>EM_S_VAL_PS_TTM</stp>
        <stp>2</stp>
        <stp>002047</stp>
        <stp>12/31/2018</stp>
        <tr r="O3616" s="1"/>
      </tp>
      <tp>
        <v>1.73950530176852</v>
        <stp/>
        <stp>EM_S_VAL_PS_TTM</stp>
        <stp>2</stp>
        <stp>002046</stp>
        <stp>12/31/2018</stp>
        <tr r="O1952" s="1"/>
      </tp>
      <tp>
        <v>0.48476343942572397</v>
        <stp/>
        <stp>EM_S_VAL_PS_TTM</stp>
        <stp>2</stp>
        <stp>002045</stp>
        <stp>12/31/2018</stp>
        <tr r="O63" s="1"/>
      </tp>
      <tp>
        <v>5.8452206672849103</v>
        <stp/>
        <stp>EM_S_VAL_PS_TTM</stp>
        <stp>2</stp>
        <stp>002044</stp>
        <stp>12/31/2018</stp>
        <tr r="O2450" s="1"/>
      </tp>
      <tp>
        <v>0.95495356863224801</v>
        <stp/>
        <stp>EM_S_VAL_PS_TTM</stp>
        <stp>2</stp>
        <stp>002043</stp>
        <stp>12/31/2018</stp>
        <tr r="O656" s="1"/>
      </tp>
      <tp>
        <v>0.57054900506105799</v>
        <stp/>
        <stp>EM_S_VAL_PS_TTM</stp>
        <stp>2</stp>
        <stp>002042</stp>
        <stp>12/31/2018</stp>
        <tr r="O872" s="1"/>
      </tp>
      <tp>
        <v>7.4083864720298296</v>
        <stp/>
        <stp>EM_S_VAL_PS_TTM</stp>
        <stp>2</stp>
        <stp>002041</stp>
        <stp>12/31/2018</stp>
        <tr r="O3615" s="1"/>
      </tp>
      <tp>
        <v>4.0287581042039502</v>
        <stp/>
        <stp>EM_S_VAL_PS_TTM</stp>
        <stp>2</stp>
        <stp>002040</stp>
        <stp>12/31/2018</stp>
        <tr r="O2768" s="1"/>
      </tp>
      <tp>
        <v>7.8560247504875402</v>
        <stp/>
        <stp>EM_S_VAL_PS_TTM</stp>
        <stp>2</stp>
        <stp>002049</stp>
        <stp>12/31/2018</stp>
        <tr r="O262" s="1"/>
      </tp>
      <tp>
        <v>0.44228674320370898</v>
        <stp/>
        <stp>EM_S_VAL_PS_TTM</stp>
        <stp>2</stp>
        <stp>002048</stp>
        <stp>12/31/2018</stp>
        <tr r="O510" s="1"/>
      </tp>
      <tp>
        <v>10.3052121565812</v>
        <stp/>
        <stp>EM_S_VAL_PS_TTM</stp>
        <stp>2</stp>
        <stp>002797</stp>
        <stp>12/31/2018</stp>
        <tr r="O505" s="1"/>
      </tp>
      <tp>
        <v>3.7440750122803301</v>
        <stp/>
        <stp>EM_S_VAL_PS_TTM</stp>
        <stp>2</stp>
        <stp>002796</stp>
        <stp>12/31/2018</stp>
        <tr r="O2130" s="1"/>
      </tp>
      <tp>
        <v>4.7285414900686904</v>
        <stp/>
        <stp>EM_S_VAL_PS_TTM</stp>
        <stp>2</stp>
        <stp>002795</stp>
        <stp>12/31/2018</stp>
        <tr r="O2685" s="1"/>
      </tp>
      <tp>
        <v>2.3638977413476301</v>
        <stp/>
        <stp>EM_S_VAL_PS_TTM</stp>
        <stp>2</stp>
        <stp>002793</stp>
        <stp>12/31/2018</stp>
        <tr r="O848" s="1"/>
      </tp>
      <tp>
        <v>5.2006231856160596</v>
        <stp/>
        <stp>EM_S_VAL_PS_TTM</stp>
        <stp>2</stp>
        <stp>002792</stp>
        <stp>12/31/2018</stp>
        <tr r="O2935" s="1"/>
      </tp>
      <tp>
        <v>0.87547863265185799</v>
        <stp/>
        <stp>EM_S_VAL_PS_TTM</stp>
        <stp>2</stp>
        <stp>002791</stp>
        <stp>12/31/2018</stp>
        <tr r="O43" s="1"/>
      </tp>
      <tp>
        <v>2.8592898706729999</v>
        <stp/>
        <stp>EM_S_VAL_PS_TTM</stp>
        <stp>2</stp>
        <stp>002790</stp>
        <stp>12/31/2018</stp>
        <tr r="O3304" s="1"/>
      </tp>
      <tp>
        <v>3.7641086542733899</v>
        <stp/>
        <stp>EM_S_VAL_PS_TTM</stp>
        <stp>2</stp>
        <stp>002799</stp>
        <stp>12/31/2018</stp>
        <tr r="O657" s="1"/>
      </tp>
      <tp>
        <v>1.5469388660663499</v>
        <stp/>
        <stp>EM_S_VAL_PS_TTM</stp>
        <stp>2</stp>
        <stp>002798</stp>
        <stp>12/31/2018</stp>
        <tr r="O231" s="1"/>
      </tp>
      <tp>
        <v>1.5978945368522299</v>
        <stp/>
        <stp>EM_S_VAL_PS_TTM</stp>
        <stp>2</stp>
        <stp>002787</stp>
        <stp>12/31/2018</stp>
        <tr r="O1847" s="1"/>
      </tp>
      <tp>
        <v>0.76701139741277402</v>
        <stp/>
        <stp>EM_S_VAL_PS_TTM</stp>
        <stp>2</stp>
        <stp>002786</stp>
        <stp>12/31/2018</stp>
        <tr r="O785" s="1"/>
      </tp>
      <tp>
        <v>1.9437823227020099</v>
        <stp/>
        <stp>EM_S_VAL_PS_TTM</stp>
        <stp>2</stp>
        <stp>002785</stp>
        <stp>12/31/2018</stp>
        <tr r="O500" s="1"/>
      </tp>
      <tp>
        <v>1.2789168787431799</v>
        <stp/>
        <stp>EM_S_VAL_PS_TTM</stp>
        <stp>2</stp>
        <stp>002783</stp>
        <stp>12/31/2018</stp>
        <tr r="O244" s="1"/>
      </tp>
      <tp>
        <v>4.3090026876261698</v>
        <stp/>
        <stp>EM_S_VAL_PS_TTM</stp>
        <stp>2</stp>
        <stp>002782</stp>
        <stp>12/31/2018</stp>
        <tr r="O2525" s="1"/>
      </tp>
      <tp>
        <v>0.68429578249258605</v>
        <stp/>
        <stp>EM_S_VAL_PS_TTM</stp>
        <stp>2</stp>
        <stp>002781</stp>
        <stp>12/31/2018</stp>
        <tr r="O1532" s="1"/>
      </tp>
      <tp>
        <v>3.5575355890584399</v>
        <stp/>
        <stp>EM_S_VAL_PS_TTM</stp>
        <stp>2</stp>
        <stp>002780</stp>
        <stp>12/31/2018</stp>
        <tr r="O661" s="1"/>
      </tp>
      <tp>
        <v>0.82199734265485602</v>
        <stp/>
        <stp>EM_S_VAL_PS_TTM</stp>
        <stp>2</stp>
        <stp>002789</stp>
        <stp>12/31/2018</stp>
        <tr r="O2208" s="1"/>
      </tp>
      <tp>
        <v>0.22558946550398401</v>
        <stp/>
        <stp>EM_S_VAL_PS_TTM</stp>
        <stp>2</stp>
        <stp>002788</stp>
        <stp>12/31/2018</stp>
        <tr r="O3288" s="1"/>
      </tp>
      <tp>
        <v>1.97554763668337</v>
        <stp/>
        <stp>EM_S_VAL_PS_TTM</stp>
        <stp>2</stp>
        <stp>002737</stp>
        <stp>12/31/2018</stp>
        <tr r="O2433" s="1"/>
      </tp>
      <tp>
        <v>7.2114201871833101</v>
        <stp/>
        <stp>EM_S_VAL_PS_TTM</stp>
        <stp>2</stp>
        <stp>002736</stp>
        <stp>12/31/2018</stp>
        <tr r="O549" s="1"/>
      </tp>
      <tp>
        <v>2.4026398818680001</v>
        <stp/>
        <stp>EM_S_VAL_PS_TTM</stp>
        <stp>2</stp>
        <stp>002735</stp>
        <stp>12/31/2018</stp>
        <tr r="O2934" s="1"/>
      </tp>
      <tp>
        <v>1.93199551381581</v>
        <stp/>
        <stp>EM_S_VAL_PS_TTM</stp>
        <stp>2</stp>
        <stp>002734</stp>
        <stp>12/31/2018</stp>
        <tr r="O875" s="1"/>
      </tp>
      <tp>
        <v>1.2235462331871501</v>
        <stp/>
        <stp>EM_S_VAL_PS_TTM</stp>
        <stp>2</stp>
        <stp>002733</stp>
        <stp>12/31/2018</stp>
        <tr r="O67" s="1"/>
      </tp>
      <tp>
        <v>2.0873861027873102</v>
        <stp/>
        <stp>EM_S_VAL_PS_TTM</stp>
        <stp>2</stp>
        <stp>002732</stp>
        <stp>12/31/2018</stp>
        <tr r="O992" s="1"/>
      </tp>
      <tp>
        <v>0.96303949615166695</v>
        <stp/>
        <stp>EM_S_VAL_PS_TTM</stp>
        <stp>2</stp>
        <stp>002731</stp>
        <stp>12/31/2018</stp>
        <tr r="O3386" s="1"/>
      </tp>
      <tp>
        <v>2.3022770557871302</v>
        <stp/>
        <stp>EM_S_VAL_PS_TTM</stp>
        <stp>2</stp>
        <stp>002730</stp>
        <stp>12/31/2018</stp>
        <tr r="O1216" s="1"/>
      </tp>
      <tp>
        <v>2.7566982410528902</v>
        <stp/>
        <stp>EM_S_VAL_PS_TTM</stp>
        <stp>2</stp>
        <stp>002739</stp>
        <stp>12/31/2018</stp>
        <tr r="O2975" s="1"/>
      </tp>
      <tp>
        <v>5.4162841990963502</v>
        <stp/>
        <stp>EM_S_VAL_PS_TTM</stp>
        <stp>2</stp>
        <stp>002738</stp>
        <stp>12/31/2018</stp>
        <tr r="O1459" s="1"/>
      </tp>
      <tp>
        <v>1.15135696451599</v>
        <stp/>
        <stp>EM_S_VAL_PS_TTM</stp>
        <stp>2</stp>
        <stp>002727</stp>
        <stp>12/31/2018</stp>
        <tr r="O946" s="1"/>
      </tp>
      <tp>
        <v>0.75504574302779903</v>
        <stp/>
        <stp>EM_S_VAL_PS_TTM</stp>
        <stp>2</stp>
        <stp>002726</stp>
        <stp>12/31/2018</stp>
        <tr r="O2844" s="1"/>
      </tp>
      <tp>
        <v>2.2829689291503001</v>
        <stp/>
        <stp>EM_S_VAL_PS_TTM</stp>
        <stp>2</stp>
        <stp>002725</stp>
        <stp>12/31/2018</stp>
        <tr r="O1230" s="1"/>
      </tp>
      <tp>
        <v>3.0312571854843702</v>
        <stp/>
        <stp>EM_S_VAL_PS_TTM</stp>
        <stp>2</stp>
        <stp>002724</stp>
        <stp>12/31/2018</stp>
        <tr r="O757" s="1"/>
      </tp>
      <tp>
        <v>1.97558626395349</v>
        <stp/>
        <stp>EM_S_VAL_PS_TTM</stp>
        <stp>2</stp>
        <stp>002723</stp>
        <stp>12/31/2018</stp>
        <tr r="O2029" s="1"/>
      </tp>
      <tp>
        <v>1.07664195993262</v>
        <stp/>
        <stp>EM_S_VAL_PS_TTM</stp>
        <stp>2</stp>
        <stp>002722</stp>
        <stp>12/31/2018</stp>
        <tr r="O1754" s="1"/>
      </tp>
      <tp>
        <v>0.31647425121651401</v>
        <stp/>
        <stp>EM_S_VAL_PS_TTM</stp>
        <stp>2</stp>
        <stp>002721</stp>
        <stp>12/31/2018</stp>
        <tr r="O2808" s="1"/>
      </tp>
      <tp>
        <v>0</v>
        <stp/>
        <stp>EM_S_VAL_PS_TTM</stp>
        <stp>2</stp>
        <stp>002720</stp>
        <stp>12/31/2018</stp>
        <tr r="O8" s="1"/>
      </tp>
      <tp>
        <v>8.04774783144358</v>
        <stp/>
        <stp>EM_S_VAL_PS_TTM</stp>
        <stp>2</stp>
        <stp>002729</stp>
        <stp>12/31/2018</stp>
        <tr r="O92" s="1"/>
      </tp>
      <tp>
        <v>3.16834682286914</v>
        <stp/>
        <stp>EM_S_VAL_PS_TTM</stp>
        <stp>2</stp>
        <stp>002728</stp>
        <stp>12/31/2018</stp>
        <tr r="O991" s="1"/>
      </tp>
      <tp>
        <v>1.1498088595626901</v>
        <stp/>
        <stp>EM_S_VAL_PS_TTM</stp>
        <stp>2</stp>
        <stp>002717</stp>
        <stp>12/31/2018</stp>
        <tr r="O3355" s="1"/>
      </tp>
      <tp>
        <v>0.49269936683863502</v>
        <stp/>
        <stp>EM_S_VAL_PS_TTM</stp>
        <stp>2</stp>
        <stp>002716</stp>
        <stp>12/31/2018</stp>
        <tr r="O3375" s="1"/>
      </tp>
      <tp>
        <v>4.1944467974679096</v>
        <stp/>
        <stp>EM_S_VAL_PS_TTM</stp>
        <stp>2</stp>
        <stp>002715</stp>
        <stp>12/31/2018</stp>
        <tr r="O1693" s="1"/>
      </tp>
      <tp>
        <v>4.9682555027889901</v>
        <stp/>
        <stp>EM_S_VAL_PS_TTM</stp>
        <stp>2</stp>
        <stp>002714</stp>
        <stp>12/31/2018</stp>
        <tr r="O46" s="1"/>
      </tp>
      <tp>
        <v>0.98708796540455301</v>
        <stp/>
        <stp>EM_S_VAL_PS_TTM</stp>
        <stp>2</stp>
        <stp>002713</stp>
        <stp>12/31/2018</stp>
        <tr r="O3382" s="1"/>
      </tp>
      <tp>
        <v>0.64659341863465603</v>
        <stp/>
        <stp>EM_S_VAL_PS_TTM</stp>
        <stp>2</stp>
        <stp>002712</stp>
        <stp>12/31/2018</stp>
        <tr r="O708" s="1"/>
      </tp>
      <tp>
        <v>0.59055102316833297</v>
        <stp/>
        <stp>EM_S_VAL_PS_TTM</stp>
        <stp>2</stp>
        <stp>002711</stp>
        <stp>12/31/2018</stp>
        <tr r="O3398" s="1"/>
      </tp>
      <tp>
        <v>0</v>
        <stp/>
        <stp>EM_S_VAL_PS_TTM</stp>
        <stp>2</stp>
        <stp>002710</stp>
        <stp>12/31/2018</stp>
        <tr r="O7" s="1"/>
      </tp>
      <tp>
        <v>3.0453403773633601</v>
        <stp/>
        <stp>EM_S_VAL_PS_TTM</stp>
        <stp>2</stp>
        <stp>002719</stp>
        <stp>12/31/2018</stp>
        <tr r="O2151" s="1"/>
      </tp>
      <tp>
        <v>3.2192469330728199</v>
        <stp/>
        <stp>EM_S_VAL_PS_TTM</stp>
        <stp>2</stp>
        <stp>002718</stp>
        <stp>12/31/2018</stp>
        <tr r="O3310" s="1"/>
      </tp>
      <tp>
        <v>0.43963616571556602</v>
        <stp/>
        <stp>EM_S_VAL_PS_TTM</stp>
        <stp>2</stp>
        <stp>002707</stp>
        <stp>12/31/2018</stp>
        <tr r="O2368" s="1"/>
      </tp>
      <tp>
        <v>3.0883318005934002</v>
        <stp/>
        <stp>EM_S_VAL_PS_TTM</stp>
        <stp>2</stp>
        <stp>002706</stp>
        <stp>12/31/2018</stp>
        <tr r="O778" s="1"/>
      </tp>
      <tp>
        <v>0.89986343833948601</v>
        <stp/>
        <stp>EM_S_VAL_PS_TTM</stp>
        <stp>2</stp>
        <stp>002705</stp>
        <stp>12/31/2018</stp>
        <tr r="O240" s="1"/>
      </tp>
      <tp>
        <v>2.6308838840095601</v>
        <stp/>
        <stp>EM_S_VAL_PS_TTM</stp>
        <stp>2</stp>
        <stp>002703</stp>
        <stp>12/31/2018</stp>
        <tr r="O1670" s="1"/>
      </tp>
      <tp>
        <v>1.7535100728031501</v>
        <stp/>
        <stp>EM_S_VAL_PS_TTM</stp>
        <stp>2</stp>
        <stp>002702</stp>
        <stp>12/31/2018</stp>
        <tr r="O1877" s="1"/>
      </tp>
      <tp>
        <v>1.47870173602099</v>
        <stp/>
        <stp>EM_S_VAL_PS_TTM</stp>
        <stp>2</stp>
        <stp>002701</stp>
        <stp>12/31/2018</stp>
        <tr r="O2874" s="1"/>
      </tp>
      <tp>
        <v>10.8860346378521</v>
        <stp/>
        <stp>EM_S_VAL_PS_TTM</stp>
        <stp>2</stp>
        <stp>002700</stp>
        <stp>12/31/2018</stp>
        <tr r="O3204" s="1"/>
      </tp>
      <tp>
        <v>3.6387482604916901</v>
        <stp/>
        <stp>EM_S_VAL_PS_TTM</stp>
        <stp>2</stp>
        <stp>002709</stp>
        <stp>12/31/2018</stp>
        <tr r="O2533" s="1"/>
      </tp>
      <tp>
        <v>2.4818359962605001</v>
        <stp/>
        <stp>EM_S_VAL_PS_TTM</stp>
        <stp>2</stp>
        <stp>002708</stp>
        <stp>12/31/2018</stp>
        <tr r="O1971" s="1"/>
      </tp>
      <tp>
        <v>5.3569821069605696</v>
        <stp/>
        <stp>EM_S_VAL_PS_TTM</stp>
        <stp>2</stp>
        <stp>002777</stp>
        <stp>12/31/2018</stp>
        <tr r="O647" s="1"/>
      </tp>
      <tp>
        <v>6.5796321280725296</v>
        <stp/>
        <stp>EM_S_VAL_PS_TTM</stp>
        <stp>2</stp>
        <stp>002776</stp>
        <stp>12/31/2018</stp>
        <tr r="O3377" s="1"/>
      </tp>
      <tp>
        <v>1.1147025534423001</v>
        <stp/>
        <stp>EM_S_VAL_PS_TTM</stp>
        <stp>2</stp>
        <stp>002775</stp>
        <stp>12/31/2018</stp>
        <tr r="O2512" s="1"/>
      </tp>
      <tp>
        <v>3.7017053750918798</v>
        <stp/>
        <stp>EM_S_VAL_PS_TTM</stp>
        <stp>2</stp>
        <stp>002774</stp>
        <stp>12/31/2018</stp>
        <tr r="O2622" s="1"/>
      </tp>
      <tp>
        <v>7.9969618209558098</v>
        <stp/>
        <stp>EM_S_VAL_PS_TTM</stp>
        <stp>2</stp>
        <stp>002773</stp>
        <stp>12/31/2018</stp>
        <tr r="O1974" s="1"/>
      </tp>
      <tp>
        <v>2.65430934876552</v>
        <stp/>
        <stp>EM_S_VAL_PS_TTM</stp>
        <stp>2</stp>
        <stp>002772</stp>
        <stp>12/31/2018</stp>
        <tr r="O1906" s="1"/>
      </tp>
      <tp>
        <v>2.1823458224688799</v>
        <stp/>
        <stp>EM_S_VAL_PS_TTM</stp>
        <stp>2</stp>
        <stp>002771</stp>
        <stp>12/31/2018</stp>
        <tr r="O2174" s="1"/>
      </tp>
      <tp>
        <v>2.3486126747601599</v>
        <stp/>
        <stp>EM_S_VAL_PS_TTM</stp>
        <stp>2</stp>
        <stp>002770</stp>
        <stp>12/31/2018</stp>
        <tr r="O2889" s="1"/>
      </tp>
      <tp>
        <v>5.32508667603323</v>
        <stp/>
        <stp>EM_S_VAL_PS_TTM</stp>
        <stp>2</stp>
        <stp>002779</stp>
        <stp>12/31/2018</stp>
        <tr r="O2173" s="1"/>
      </tp>
      <tp>
        <v>2.43314988055646</v>
        <stp/>
        <stp>EM_S_VAL_PS_TTM</stp>
        <stp>2</stp>
        <stp>002778</stp>
        <stp>12/31/2018</stp>
        <tr r="O1331" s="1"/>
      </tp>
      <tp>
        <v>6.9442576535811602</v>
        <stp/>
        <stp>EM_S_VAL_PS_TTM</stp>
        <stp>2</stp>
        <stp>002767</stp>
        <stp>12/31/2018</stp>
        <tr r="O1895" s="1"/>
      </tp>
      <tp>
        <v>1.3840755186502101</v>
        <stp/>
        <stp>EM_S_VAL_PS_TTM</stp>
        <stp>2</stp>
        <stp>002766</stp>
        <stp>12/31/2018</stp>
        <tr r="O3305" s="1"/>
      </tp>
      <tp>
        <v>2.29673776485118</v>
        <stp/>
        <stp>EM_S_VAL_PS_TTM</stp>
        <stp>2</stp>
        <stp>002765</stp>
        <stp>12/31/2018</stp>
        <tr r="O3005" s="1"/>
      </tp>
      <tp>
        <v>1.36516374208388</v>
        <stp/>
        <stp>EM_S_VAL_PS_TTM</stp>
        <stp>2</stp>
        <stp>002763</stp>
        <stp>12/31/2018</stp>
        <tr r="O2122" s="1"/>
      </tp>
      <tp>
        <v>3.99187246986792</v>
        <stp/>
        <stp>EM_S_VAL_PS_TTM</stp>
        <stp>2</stp>
        <stp>002762</stp>
        <stp>12/31/2018</stp>
        <tr r="O2112" s="1"/>
      </tp>
      <tp>
        <v>4.39409534172243</v>
        <stp/>
        <stp>EM_S_VAL_PS_TTM</stp>
        <stp>2</stp>
        <stp>002761</stp>
        <stp>12/31/2018</stp>
        <tr r="O3296" s="1"/>
      </tp>
      <tp>
        <v>2.97526795414083</v>
        <stp/>
        <stp>EM_S_VAL_PS_TTM</stp>
        <stp>2</stp>
        <stp>002760</stp>
        <stp>12/31/2018</stp>
        <tr r="O1204" s="1"/>
      </tp>
      <tp>
        <v>0.63772013263546401</v>
        <stp/>
        <stp>EM_S_VAL_PS_TTM</stp>
        <stp>2</stp>
        <stp>002769</stp>
        <stp>12/31/2018</stp>
        <tr r="O2989" s="1"/>
      </tp>
      <tp>
        <v>2.0073302941729398</v>
        <stp/>
        <stp>EM_S_VAL_PS_TTM</stp>
        <stp>2</stp>
        <stp>002768</stp>
        <stp>12/31/2018</stp>
        <tr r="O2063" s="1"/>
      </tp>
      <tp>
        <v>3.54151585721391</v>
        <stp/>
        <stp>EM_S_VAL_PS_TTM</stp>
        <stp>2</stp>
        <stp>002757</stp>
        <stp>12/31/2018</stp>
        <tr r="O3322" s="1"/>
      </tp>
      <tp>
        <v>0.90449676333958196</v>
        <stp/>
        <stp>EM_S_VAL_PS_TTM</stp>
        <stp>2</stp>
        <stp>002756</stp>
        <stp>12/31/2018</stp>
        <tr r="O470" s="1"/>
      </tp>
      <tp>
        <v>4.9314051468909703</v>
        <stp/>
        <stp>EM_S_VAL_PS_TTM</stp>
        <stp>2</stp>
        <stp>002755</stp>
        <stp>12/31/2018</stp>
        <tr r="O1289" s="1"/>
      </tp>
      <tp>
        <v>1.1885591921021299</v>
        <stp/>
        <stp>EM_S_VAL_PS_TTM</stp>
        <stp>2</stp>
        <stp>002753</stp>
        <stp>12/31/2018</stp>
        <tr r="O2896" s="1"/>
      </tp>
      <tp>
        <v>2.8963282143729301</v>
        <stp/>
        <stp>EM_S_VAL_PS_TTM</stp>
        <stp>2</stp>
        <stp>002752</stp>
        <stp>12/31/2018</stp>
        <tr r="O2953" s="1"/>
      </tp>
      <tp>
        <v>3.9403791750473198</v>
        <stp/>
        <stp>EM_S_VAL_PS_TTM</stp>
        <stp>2</stp>
        <stp>002751</stp>
        <stp>12/31/2018</stp>
        <tr r="O1394" s="1"/>
      </tp>
      <tp>
        <v>6.5750437048890804</v>
        <stp/>
        <stp>EM_S_VAL_PS_TTM</stp>
        <stp>2</stp>
        <stp>002750</stp>
        <stp>12/31/2018</stp>
        <tr r="O121" s="1"/>
      </tp>
      <tp>
        <v>4.3503831118699701</v>
        <stp/>
        <stp>EM_S_VAL_PS_TTM</stp>
        <stp>2</stp>
        <stp>002759</stp>
        <stp>12/31/2018</stp>
        <tr r="O1470" s="1"/>
      </tp>
      <tp>
        <v>1.0145541320803699</v>
        <stp/>
        <stp>EM_S_VAL_PS_TTM</stp>
        <stp>2</stp>
        <stp>002758</stp>
        <stp>12/31/2018</stp>
        <tr r="O633" s="1"/>
      </tp>
      <tp>
        <v>4.8280116619344904</v>
        <stp/>
        <stp>EM_S_VAL_PS_TTM</stp>
        <stp>2</stp>
        <stp>002747</stp>
        <stp>12/31/2018</stp>
        <tr r="O862" s="1"/>
      </tp>
      <tp>
        <v>1.79312747560241</v>
        <stp/>
        <stp>EM_S_VAL_PS_TTM</stp>
        <stp>2</stp>
        <stp>002746</stp>
        <stp>12/31/2018</stp>
        <tr r="O1580" s="1"/>
      </tp>
      <tp>
        <v>0.98358723482388</v>
        <stp/>
        <stp>EM_S_VAL_PS_TTM</stp>
        <stp>2</stp>
        <stp>002745</stp>
        <stp>12/31/2018</stp>
        <tr r="O1165" s="1"/>
      </tp>
      <tp>
        <v>0.61541482869999597</v>
        <stp/>
        <stp>EM_S_VAL_PS_TTM</stp>
        <stp>2</stp>
        <stp>002743</stp>
        <stp>12/31/2018</stp>
        <tr r="O1568" s="1"/>
      </tp>
      <tp>
        <v>1.4937788779679999</v>
        <stp/>
        <stp>EM_S_VAL_PS_TTM</stp>
        <stp>2</stp>
        <stp>002742</stp>
        <stp>12/31/2018</stp>
        <tr r="O3194" s="1"/>
      </tp>
      <tp>
        <v>3.7585679592087802</v>
        <stp/>
        <stp>EM_S_VAL_PS_TTM</stp>
        <stp>2</stp>
        <stp>002741</stp>
        <stp>12/31/2018</stp>
        <tr r="O3107" s="1"/>
      </tp>
      <tp>
        <v>0.93362294472738105</v>
        <stp/>
        <stp>EM_S_VAL_PS_TTM</stp>
        <stp>2</stp>
        <stp>002740</stp>
        <stp>12/31/2018</stp>
        <tr r="O1265" s="1"/>
      </tp>
      <tp>
        <v>4.62181132284603</v>
        <stp/>
        <stp>EM_S_VAL_PS_TTM</stp>
        <stp>2</stp>
        <stp>002749</stp>
        <stp>12/31/2018</stp>
        <tr r="O3174" s="1"/>
      </tp>
      <tp>
        <v>1.3647666920303301</v>
        <stp/>
        <stp>EM_S_VAL_PS_TTM</stp>
        <stp>2</stp>
        <stp>002748</stp>
        <stp>12/31/2018</stp>
        <tr r="O2044" s="1"/>
      </tp>
      <tp>
        <v>0.97099322860059001</v>
        <stp/>
        <stp>EM_S_VAL_PS_TTM</stp>
        <stp>2</stp>
        <stp>002697</stp>
        <stp>12/31/2018</stp>
        <tr r="O629" s="1"/>
      </tp>
      <tp>
        <v>1.1867305989066099</v>
        <stp/>
        <stp>EM_S_VAL_PS_TTM</stp>
        <stp>2</stp>
        <stp>002696</stp>
        <stp>12/31/2018</stp>
        <tr r="O3242" s="1"/>
      </tp>
      <tp>
        <v>2.83779353867294</v>
        <stp/>
        <stp>EM_S_VAL_PS_TTM</stp>
        <stp>2</stp>
        <stp>002695</stp>
        <stp>12/31/2018</stp>
        <tr r="O430" s="1"/>
      </tp>
      <tp>
        <v>1.3030334127791801</v>
        <stp/>
        <stp>EM_S_VAL_PS_TTM</stp>
        <stp>2</stp>
        <stp>002694</stp>
        <stp>12/31/2018</stp>
        <tr r="O3113" s="1"/>
      </tp>
      <tp>
        <v>4.5622596844642898</v>
        <stp/>
        <stp>EM_S_VAL_PS_TTM</stp>
        <stp>2</stp>
        <stp>002693</stp>
        <stp>12/31/2018</stp>
        <tr r="O1309" s="1"/>
      </tp>
      <tp>
        <v>0.97657449411387698</v>
        <stp/>
        <stp>EM_S_VAL_PS_TTM</stp>
        <stp>2</stp>
        <stp>002692</stp>
        <stp>12/31/2018</stp>
        <tr r="O2695" s="1"/>
      </tp>
      <tp>
        <v>5.4704676196694297</v>
        <stp/>
        <stp>EM_S_VAL_PS_TTM</stp>
        <stp>2</stp>
        <stp>002691</stp>
        <stp>12/31/2018</stp>
        <tr r="O3060" s="1"/>
      </tp>
      <tp>
        <v>12.2053601209627</v>
        <stp/>
        <stp>EM_S_VAL_PS_TTM</stp>
        <stp>2</stp>
        <stp>002690</stp>
        <stp>12/31/2018</stp>
        <tr r="O233" s="1"/>
      </tp>
      <tp>
        <v>5.8732969373033299</v>
        <stp/>
        <stp>EM_S_VAL_PS_TTM</stp>
        <stp>2</stp>
        <stp>002699</stp>
        <stp>12/31/2018</stp>
        <tr r="O1025" s="1"/>
      </tp>
      <tp>
        <v>6.7581213279580403</v>
        <stp/>
        <stp>EM_S_VAL_PS_TTM</stp>
        <stp>2</stp>
        <stp>002698</stp>
        <stp>12/31/2018</stp>
        <tr r="O1301" s="1"/>
      </tp>
      <tp>
        <v>2.4693243463708998</v>
        <stp/>
        <stp>EM_S_VAL_PS_TTM</stp>
        <stp>2</stp>
        <stp>002687</stp>
        <stp>12/31/2018</stp>
        <tr r="O2607" s="1"/>
      </tp>
      <tp>
        <v>2.06356996733544</v>
        <stp/>
        <stp>EM_S_VAL_PS_TTM</stp>
        <stp>2</stp>
        <stp>002686</stp>
        <stp>12/31/2018</stp>
        <tr r="O2783" s="1"/>
      </tp>
      <tp>
        <v>0.56916621051451999</v>
        <stp/>
        <stp>EM_S_VAL_PS_TTM</stp>
        <stp>2</stp>
        <stp>002685</stp>
        <stp>12/31/2018</stp>
        <tr r="O775" s="1"/>
      </tp>
      <tp>
        <v>1.3930381518897901</v>
        <stp/>
        <stp>EM_S_VAL_PS_TTM</stp>
        <stp>2</stp>
        <stp>002684</stp>
        <stp>12/31/2018</stp>
        <tr r="O2556" s="1"/>
      </tp>
      <tp>
        <v>1.2723735567594801</v>
        <stp/>
        <stp>EM_S_VAL_PS_TTM</stp>
        <stp>2</stp>
        <stp>002683</stp>
        <stp>12/31/2018</stp>
        <tr r="O111" s="1"/>
      </tp>
      <tp>
        <v>0.51016059954827198</v>
        <stp/>
        <stp>EM_S_VAL_PS_TTM</stp>
        <stp>2</stp>
        <stp>002682</stp>
        <stp>12/31/2018</stp>
        <tr r="O2134" s="1"/>
      </tp>
      <tp>
        <v>1.9743155546922</v>
        <stp/>
        <stp>EM_S_VAL_PS_TTM</stp>
        <stp>2</stp>
        <stp>002681</stp>
        <stp>12/31/2018</stp>
        <tr r="O536" s="1"/>
      </tp>
      <tp>
        <v>2.2904787019142399</v>
        <stp/>
        <stp>EM_S_VAL_PS_TTM</stp>
        <stp>2</stp>
        <stp>002680</stp>
        <stp>12/31/2018</stp>
        <tr r="O3406" s="1"/>
      </tp>
      <tp>
        <v>3.2525515223607702</v>
        <stp/>
        <stp>EM_S_VAL_PS_TTM</stp>
        <stp>2</stp>
        <stp>002689</stp>
        <stp>12/31/2018</stp>
        <tr r="O1692" s="1"/>
      </tp>
      <tp>
        <v>1.76704581926064</v>
        <stp/>
        <stp>EM_S_VAL_PS_TTM</stp>
        <stp>2</stp>
        <stp>002688</stp>
        <stp>12/31/2018</stp>
        <tr r="O809" s="1"/>
      </tp>
      <tp>
        <v>0.462967067064321</v>
        <stp/>
        <stp>EM_S_VAL_PS_TTM</stp>
        <stp>2</stp>
        <stp>002637</stp>
        <stp>12/31/2018</stp>
        <tr r="O640" s="1"/>
      </tp>
      <tp>
        <v>1.3216559718988501</v>
        <stp/>
        <stp>EM_S_VAL_PS_TTM</stp>
        <stp>2</stp>
        <stp>002636</stp>
        <stp>12/31/2018</stp>
        <tr r="O1181" s="1"/>
      </tp>
      <tp>
        <v>2.3495879140026101</v>
        <stp/>
        <stp>EM_S_VAL_PS_TTM</stp>
        <stp>2</stp>
        <stp>002635</stp>
        <stp>12/31/2018</stp>
        <tr r="O547" s="1"/>
      </tp>
      <tp>
        <v>5.3259627031689396</v>
        <stp/>
        <stp>EM_S_VAL_PS_TTM</stp>
        <stp>2</stp>
        <stp>002634</stp>
        <stp>12/31/2018</stp>
        <tr r="O713" s="1"/>
      </tp>
      <tp>
        <v>7.0362692314262798</v>
        <stp/>
        <stp>EM_S_VAL_PS_TTM</stp>
        <stp>2</stp>
        <stp>002633</stp>
        <stp>12/31/2018</stp>
        <tr r="O2033" s="1"/>
      </tp>
      <tp>
        <v>3.81717575274486</v>
        <stp/>
        <stp>EM_S_VAL_PS_TTM</stp>
        <stp>2</stp>
        <stp>002632</stp>
        <stp>12/31/2018</stp>
        <tr r="O1891" s="1"/>
      </tp>
      <tp>
        <v>2.4526990127757</v>
        <stp/>
        <stp>EM_S_VAL_PS_TTM</stp>
        <stp>2</stp>
        <stp>002631</stp>
        <stp>12/31/2018</stp>
        <tr r="O1082" s="1"/>
      </tp>
      <tp>
        <v>0.72003978887341502</v>
        <stp/>
        <stp>EM_S_VAL_PS_TTM</stp>
        <stp>2</stp>
        <stp>002630</stp>
        <stp>12/31/2018</stp>
        <tr r="O2954" s="1"/>
      </tp>
      <tp>
        <v>3.1309957558260502</v>
        <stp/>
        <stp>EM_S_VAL_PS_TTM</stp>
        <stp>2</stp>
        <stp>002639</stp>
        <stp>12/31/2018</stp>
        <tr r="O434" s="1"/>
      </tp>
      <tp>
        <v>2.8069014796692802</v>
        <stp/>
        <stp>EM_S_VAL_PS_TTM</stp>
        <stp>2</stp>
        <stp>002638</stp>
        <stp>12/31/2018</stp>
        <tr r="O689" s="1"/>
      </tp>
      <tp>
        <v>0.96215885884161101</v>
        <stp/>
        <stp>EM_S_VAL_PS_TTM</stp>
        <stp>2</stp>
        <stp>002627</stp>
        <stp>12/31/2018</stp>
        <tr r="O389" s="1"/>
      </tp>
      <tp>
        <v>2.6537147373325798</v>
        <stp/>
        <stp>EM_S_VAL_PS_TTM</stp>
        <stp>2</stp>
        <stp>002626</stp>
        <stp>12/31/2018</stp>
        <tr r="O414" s="1"/>
      </tp>
      <tp>
        <v>52.8560572144236</v>
        <stp/>
        <stp>EM_S_VAL_PS_TTM</stp>
        <stp>2</stp>
        <stp>002625</stp>
        <stp>12/31/2018</stp>
        <tr r="O2630" s="1"/>
      </tp>
      <tp>
        <v>4.6241740354901397</v>
        <stp/>
        <stp>EM_S_VAL_PS_TTM</stp>
        <stp>2</stp>
        <stp>002624</stp>
        <stp>12/31/2018</stp>
        <tr r="O449" s="1"/>
      </tp>
      <tp>
        <v>1.49509473339335</v>
        <stp/>
        <stp>EM_S_VAL_PS_TTM</stp>
        <stp>2</stp>
        <stp>002623</stp>
        <stp>12/31/2018</stp>
        <tr r="O556" s="1"/>
      </tp>
      <tp>
        <v>6.7408610544360403</v>
        <stp/>
        <stp>EM_S_VAL_PS_TTM</stp>
        <stp>2</stp>
        <stp>002622</stp>
        <stp>12/31/2018</stp>
        <tr r="O1510" s="1"/>
      </tp>
      <tp>
        <v>28.430467663561501</v>
        <stp/>
        <stp>EM_S_VAL_PS_TTM</stp>
        <stp>2</stp>
        <stp>002621</stp>
        <stp>12/31/2018</stp>
        <tr r="O3271" s="1"/>
      </tp>
      <tp>
        <v>0.602532336420876</v>
        <stp/>
        <stp>EM_S_VAL_PS_TTM</stp>
        <stp>2</stp>
        <stp>002620</stp>
        <stp>12/31/2018</stp>
        <tr r="O2023" s="1"/>
      </tp>
      <tp>
        <v>0.48800577879243001</v>
        <stp/>
        <stp>EM_S_VAL_PS_TTM</stp>
        <stp>2</stp>
        <stp>002629</stp>
        <stp>12/31/2018</stp>
        <tr r="O3220" s="1"/>
      </tp>
      <tp>
        <v>1.2284784360951999</v>
        <stp/>
        <stp>EM_S_VAL_PS_TTM</stp>
        <stp>2</stp>
        <stp>002628</stp>
        <stp>12/31/2018</stp>
        <tr r="O2357" s="1"/>
      </tp>
      <tp>
        <v>1.25950826298036</v>
        <stp/>
        <stp>EM_S_VAL_PS_TTM</stp>
        <stp>2</stp>
        <stp>002617</stp>
        <stp>12/31/2018</stp>
        <tr r="O760" s="1"/>
      </tp>
      <tp>
        <v>2.7398978842936499</v>
        <stp/>
        <stp>EM_S_VAL_PS_TTM</stp>
        <stp>2</stp>
        <stp>002616</stp>
        <stp>12/31/2018</stp>
        <tr r="O1661" s="1"/>
      </tp>
      <tp>
        <v>1.10910380027997</v>
        <stp/>
        <stp>EM_S_VAL_PS_TTM</stp>
        <stp>2</stp>
        <stp>002615</stp>
        <stp>12/31/2018</stp>
        <tr r="O1586" s="1"/>
      </tp>
      <tp>
        <v>1.72811311519865</v>
        <stp/>
        <stp>EM_S_VAL_PS_TTM</stp>
        <stp>2</stp>
        <stp>002614</stp>
        <stp>12/31/2018</stp>
        <tr r="O3257" s="1"/>
      </tp>
      <tp>
        <v>1.7883556302885799</v>
        <stp/>
        <stp>EM_S_VAL_PS_TTM</stp>
        <stp>2</stp>
        <stp>002613</stp>
        <stp>12/31/2018</stp>
        <tr r="O2072" s="1"/>
      </tp>
      <tp>
        <v>1.2984822615438001</v>
        <stp/>
        <stp>EM_S_VAL_PS_TTM</stp>
        <stp>2</stp>
        <stp>002612</stp>
        <stp>12/31/2018</stp>
        <tr r="O1881" s="1"/>
      </tp>
      <tp>
        <v>1.1581799102743</v>
        <stp/>
        <stp>EM_S_VAL_PS_TTM</stp>
        <stp>2</stp>
        <stp>002611</stp>
        <stp>12/31/2018</stp>
        <tr r="O1539" s="1"/>
      </tp>
      <tp>
        <v>1.42136016412465</v>
        <stp/>
        <stp>EM_S_VAL_PS_TTM</stp>
        <stp>2</stp>
        <stp>002610</stp>
        <stp>12/31/2018</stp>
        <tr r="O2135" s="1"/>
      </tp>
      <tp>
        <v>6.86574433066715</v>
        <stp/>
        <stp>EM_S_VAL_PS_TTM</stp>
        <stp>2</stp>
        <stp>002619</stp>
        <stp>12/31/2018</stp>
        <tr r="O2620" s="1"/>
      </tp>
      <tp>
        <v>22.3274535584269</v>
        <stp/>
        <stp>EM_S_VAL_PS_TTM</stp>
        <stp>2</stp>
        <stp>002618</stp>
        <stp>12/31/2018</stp>
        <tr r="O2739" s="1"/>
      </tp>
      <tp>
        <v>0.92233305520240805</v>
        <stp/>
        <stp>EM_S_VAL_PS_TTM</stp>
        <stp>2</stp>
        <stp>002607</stp>
        <stp>12/31/2018</stp>
        <tr r="O95" s="1"/>
      </tp>
      <tp>
        <v>3.7422410986530101</v>
        <stp/>
        <stp>EM_S_VAL_PS_TTM</stp>
        <stp>2</stp>
        <stp>002606</stp>
        <stp>12/31/2018</stp>
        <tr r="O2831" s="1"/>
      </tp>
      <tp>
        <v>3.82505405024573</v>
        <stp/>
        <stp>EM_S_VAL_PS_TTM</stp>
        <stp>2</stp>
        <stp>002605</stp>
        <stp>12/31/2018</stp>
        <tr r="O74" s="1"/>
      </tp>
      <tp>
        <v>0.63772520489368001</v>
        <stp/>
        <stp>EM_S_VAL_PS_TTM</stp>
        <stp>2</stp>
        <stp>002604</stp>
        <stp>12/31/2018</stp>
        <tr r="O1363" s="1"/>
      </tp>
      <tp>
        <v>2.60286451083162</v>
        <stp/>
        <stp>EM_S_VAL_PS_TTM</stp>
        <stp>2</stp>
        <stp>002603</stp>
        <stp>12/31/2018</stp>
        <tr r="O1855" s="1"/>
      </tp>
      <tp>
        <v>6.6428732136542497</v>
        <stp/>
        <stp>EM_S_VAL_PS_TTM</stp>
        <stp>2</stp>
        <stp>002602</stp>
        <stp>12/31/2018</stp>
        <tr r="O3332" s="1"/>
      </tp>
      <tp>
        <v>2.3050436246464101</v>
        <stp/>
        <stp>EM_S_VAL_PS_TTM</stp>
        <stp>2</stp>
        <stp>002601</stp>
        <stp>12/31/2018</stp>
        <tr r="O1076" s="1"/>
      </tp>
      <tp>
        <v>0.646570251401274</v>
        <stp/>
        <stp>EM_S_VAL_PS_TTM</stp>
        <stp>2</stp>
        <stp>002600</stp>
        <stp>12/31/2018</stp>
        <tr r="O23" s="1"/>
      </tp>
      <tp>
        <v>3.97996410089078</v>
        <stp/>
        <stp>EM_S_VAL_PS_TTM</stp>
        <stp>2</stp>
        <stp>002609</stp>
        <stp>12/31/2018</stp>
        <tr r="O507" s="1"/>
      </tp>
      <tp>
        <v>1.30572009725312</v>
        <stp/>
        <stp>EM_S_VAL_PS_TTM</stp>
        <stp>2</stp>
        <stp>002608</stp>
        <stp>12/31/2018</stp>
        <tr r="O2248" s="1"/>
      </tp>
      <tp>
        <v>4.9375629359828697</v>
        <stp/>
        <stp>EM_S_VAL_PS_TTM</stp>
        <stp>2</stp>
        <stp>002677</stp>
        <stp>12/31/2018</stp>
        <tr r="O839" s="1"/>
      </tp>
      <tp>
        <v>1.2683055197004101</v>
        <stp/>
        <stp>EM_S_VAL_PS_TTM</stp>
        <stp>2</stp>
        <stp>002676</stp>
        <stp>12/31/2018</stp>
        <tr r="O1749" s="1"/>
      </tp>
      <tp>
        <v>3.0088180555453499</v>
        <stp/>
        <stp>EM_S_VAL_PS_TTM</stp>
        <stp>2</stp>
        <stp>002675</stp>
        <stp>12/31/2018</stp>
        <tr r="O177" s="1"/>
      </tp>
      <tp>
        <v>1.1473976988632499</v>
        <stp/>
        <stp>EM_S_VAL_PS_TTM</stp>
        <stp>2</stp>
        <stp>002674</stp>
        <stp>12/31/2018</stp>
        <tr r="O622" s="1"/>
      </tp>
      <tp>
        <v>10.5185509549594</v>
        <stp/>
        <stp>EM_S_VAL_PS_TTM</stp>
        <stp>2</stp>
        <stp>002673</stp>
        <stp>12/31/2018</stp>
        <tr r="O998" s="1"/>
      </tp>
      <tp>
        <v>2.9738028829844199</v>
        <stp/>
        <stp>EM_S_VAL_PS_TTM</stp>
        <stp>2</stp>
        <stp>002672</stp>
        <stp>12/31/2018</stp>
        <tr r="O3093" s="1"/>
      </tp>
      <tp>
        <v>1.60311645932588</v>
        <stp/>
        <stp>EM_S_VAL_PS_TTM</stp>
        <stp>2</stp>
        <stp>002671</stp>
        <stp>12/31/2018</stp>
        <tr r="O1752" s="1"/>
      </tp>
      <tp>
        <v>16.137780043018701</v>
        <stp/>
        <stp>EM_S_VAL_PS_TTM</stp>
        <stp>2</stp>
        <stp>002670</stp>
        <stp>12/31/2018</stp>
        <tr r="O1233" s="1"/>
      </tp>
      <tp>
        <v>22.364433460649401</v>
        <stp/>
        <stp>EM_S_VAL_PS_TTM</stp>
        <stp>2</stp>
        <stp>002679</stp>
        <stp>12/31/2018</stp>
        <tr r="O2584" s="1"/>
      </tp>
      <tp>
        <v>3.8730154605299099</v>
        <stp/>
        <stp>EM_S_VAL_PS_TTM</stp>
        <stp>2</stp>
        <stp>002678</stp>
        <stp>12/31/2018</stp>
        <tr r="O697" s="1"/>
      </tp>
      <tp>
        <v>7.8913653285749401</v>
        <stp/>
        <stp>EM_S_VAL_PS_TTM</stp>
        <stp>2</stp>
        <stp>002667</stp>
        <stp>12/31/2018</stp>
        <tr r="O1882" s="1"/>
      </tp>
      <tp>
        <v>0.754133737242766</v>
        <stp/>
        <stp>EM_S_VAL_PS_TTM</stp>
        <stp>2</stp>
        <stp>002666</stp>
        <stp>12/31/2018</stp>
        <tr r="O1190" s="1"/>
      </tp>
      <tp>
        <v>10.8601260415371</v>
        <stp/>
        <stp>EM_S_VAL_PS_TTM</stp>
        <stp>2</stp>
        <stp>002665</stp>
        <stp>12/31/2018</stp>
        <tr r="O1281" s="1"/>
      </tp>
      <tp>
        <v>1.84193188013331</v>
        <stp/>
        <stp>EM_S_VAL_PS_TTM</stp>
        <stp>2</stp>
        <stp>002664</stp>
        <stp>12/31/2018</stp>
        <tr r="O985" s="1"/>
      </tp>
      <tp>
        <v>1.2066346653972999</v>
        <stp/>
        <stp>EM_S_VAL_PS_TTM</stp>
        <stp>2</stp>
        <stp>002663</stp>
        <stp>12/31/2018</stp>
        <tr r="O1524" s="1"/>
      </tp>
      <tp>
        <v>0.955726306991728</v>
        <stp/>
        <stp>EM_S_VAL_PS_TTM</stp>
        <stp>2</stp>
        <stp>002662</stp>
        <stp>12/31/2018</stp>
        <tr r="O3217" s="1"/>
      </tp>
      <tp>
        <v>1.5339876633549001</v>
        <stp/>
        <stp>EM_S_VAL_PS_TTM</stp>
        <stp>2</stp>
        <stp>002661</stp>
        <stp>12/31/2018</stp>
        <tr r="O2711" s="1"/>
      </tp>
      <tp>
        <v>1.2145850942041601</v>
        <stp/>
        <stp>EM_S_VAL_PS_TTM</stp>
        <stp>2</stp>
        <stp>002660</stp>
        <stp>12/31/2018</stp>
        <tr r="O568" s="1"/>
      </tp>
      <tp>
        <v>2.9030439000259398</v>
        <stp/>
        <stp>EM_S_VAL_PS_TTM</stp>
        <stp>2</stp>
        <stp>002669</stp>
        <stp>12/31/2018</stp>
        <tr r="O830" s="1"/>
      </tp>
      <tp>
        <v>0.67176907879819403</v>
        <stp/>
        <stp>EM_S_VAL_PS_TTM</stp>
        <stp>2</stp>
        <stp>002668</stp>
        <stp>12/31/2018</stp>
        <tr r="O1444" s="1"/>
      </tp>
      <tp>
        <v>3.2252385667498502</v>
        <stp/>
        <stp>EM_S_VAL_PS_TTM</stp>
        <stp>2</stp>
        <stp>002657</stp>
        <stp>12/31/2018</stp>
        <tr r="O628" s="1"/>
      </tp>
      <tp>
        <v>3.3623637147207899</v>
        <stp/>
        <stp>EM_S_VAL_PS_TTM</stp>
        <stp>2</stp>
        <stp>002656</stp>
        <stp>12/31/2018</stp>
        <tr r="O3289" s="1"/>
      </tp>
      <tp>
        <v>2.9353542412179099</v>
        <stp/>
        <stp>EM_S_VAL_PS_TTM</stp>
        <stp>2</stp>
        <stp>002655</stp>
        <stp>12/31/2018</stp>
        <tr r="O153" s="1"/>
      </tp>
      <tp>
        <v>0.81067123251812201</v>
        <stp/>
        <stp>EM_S_VAL_PS_TTM</stp>
        <stp>2</stp>
        <stp>002654</stp>
        <stp>12/31/2018</stp>
        <tr r="O606" s="1"/>
      </tp>
      <tp>
        <v>4.8940661169958704</v>
        <stp/>
        <stp>EM_S_VAL_PS_TTM</stp>
        <stp>2</stp>
        <stp>002653</stp>
        <stp>12/31/2018</stp>
        <tr r="O337" s="1"/>
      </tp>
      <tp>
        <v>0.74073525855439903</v>
        <stp/>
        <stp>EM_S_VAL_PS_TTM</stp>
        <stp>2</stp>
        <stp>002652</stp>
        <stp>12/31/2018</stp>
        <tr r="O2182" s="1"/>
      </tp>
      <tp>
        <v>7.39496539053133</v>
        <stp/>
        <stp>EM_S_VAL_PS_TTM</stp>
        <stp>2</stp>
        <stp>002651</stp>
        <stp>12/31/2018</stp>
        <tr r="O1383" s="1"/>
      </tp>
      <tp>
        <v>2.2485421707976201</v>
        <stp/>
        <stp>EM_S_VAL_PS_TTM</stp>
        <stp>2</stp>
        <stp>002650</stp>
        <stp>12/31/2018</stp>
        <tr r="O2392" s="1"/>
      </tp>
      <tp>
        <v>12.7365811104044</v>
        <stp/>
        <stp>EM_S_VAL_PS_TTM</stp>
        <stp>2</stp>
        <stp>002659</stp>
        <stp>12/31/2018</stp>
        <tr r="O3175" s="1"/>
      </tp>
      <tp>
        <v>3.37326912940348</v>
        <stp/>
        <stp>EM_S_VAL_PS_TTM</stp>
        <stp>2</stp>
        <stp>002658</stp>
        <stp>12/31/2018</stp>
        <tr r="O2191" s="1"/>
      </tp>
      <tp>
        <v>6.0829744548620202</v>
        <stp/>
        <stp>EM_S_VAL_PS_TTM</stp>
        <stp>2</stp>
        <stp>002647</stp>
        <stp>12/31/2018</stp>
        <tr r="O963" s="1"/>
      </tp>
      <tp>
        <v>3.6109268694001702</v>
        <stp/>
        <stp>EM_S_VAL_PS_TTM</stp>
        <stp>2</stp>
        <stp>002646</stp>
        <stp>12/31/2018</stp>
        <tr r="O2254" s="1"/>
      </tp>
      <tp>
        <v>1.4337975923141499</v>
        <stp/>
        <stp>EM_S_VAL_PS_TTM</stp>
        <stp>2</stp>
        <stp>002645</stp>
        <stp>12/31/2018</stp>
        <tr r="O1368" s="1"/>
      </tp>
      <tp>
        <v>6.8668642713842196</v>
        <stp/>
        <stp>EM_S_VAL_PS_TTM</stp>
        <stp>2</stp>
        <stp>002644</stp>
        <stp>12/31/2018</stp>
        <tr r="O2710" s="1"/>
      </tp>
      <tp>
        <v>3.6669381401310099</v>
        <stp/>
        <stp>EM_S_VAL_PS_TTM</stp>
        <stp>2</stp>
        <stp>002643</stp>
        <stp>12/31/2018</stp>
        <tr r="O561" s="1"/>
      </tp>
      <tp>
        <v>1.6623620749844099</v>
        <stp/>
        <stp>EM_S_VAL_PS_TTM</stp>
        <stp>2</stp>
        <stp>002642</stp>
        <stp>12/31/2018</stp>
        <tr r="O2603" s="1"/>
      </tp>
      <tp>
        <v>0.72215720110336101</v>
        <stp/>
        <stp>EM_S_VAL_PS_TTM</stp>
        <stp>2</stp>
        <stp>002641</stp>
        <stp>12/31/2018</stp>
        <tr r="O718" s="1"/>
      </tp>
      <tp>
        <v>0.79869013644116804</v>
        <stp/>
        <stp>EM_S_VAL_PS_TTM</stp>
        <stp>2</stp>
        <stp>002640</stp>
        <stp>12/31/2018</stp>
        <tr r="O3219" s="1"/>
      </tp>
      <tp>
        <v>1.4596794350928199</v>
        <stp/>
        <stp>EM_S_VAL_PS_TTM</stp>
        <stp>2</stp>
        <stp>002649</stp>
        <stp>12/31/2018</stp>
        <tr r="O807" s="1"/>
      </tp>
      <tp>
        <v>1.1461473947740499</v>
        <stp/>
        <stp>EM_S_VAL_PS_TTM</stp>
        <stp>2</stp>
        <stp>002648</stp>
        <stp>12/31/2018</stp>
        <tr r="O309" s="1"/>
      </tp>
      <tp>
        <v>1.9625672249680099</v>
        <stp/>
        <stp>EM_S_VAL_PS_TTM</stp>
        <stp>2</stp>
        <stp>002597</stp>
        <stp>12/31/2018</stp>
        <tr r="O765" s="1"/>
      </tp>
      <tp>
        <v>2.0387870716567802</v>
        <stp/>
        <stp>EM_S_VAL_PS_TTM</stp>
        <stp>2</stp>
        <stp>002596</stp>
        <stp>12/31/2018</stp>
        <tr r="O1810" s="1"/>
      </tp>
      <tp>
        <v>3.73762316934542</v>
        <stp/>
        <stp>EM_S_VAL_PS_TTM</stp>
        <stp>2</stp>
        <stp>002595</stp>
        <stp>12/31/2018</stp>
        <tr r="O1354" s="1"/>
      </tp>
      <tp>
        <v>1.15022885200072</v>
        <stp/>
        <stp>EM_S_VAL_PS_TTM</stp>
        <stp>2</stp>
        <stp>002594</stp>
        <stp>12/31/2018</stp>
        <tr r="O2634" s="1"/>
      </tp>
      <tp>
        <v>0.74632327072104299</v>
        <stp/>
        <stp>EM_S_VAL_PS_TTM</stp>
        <stp>2</stp>
        <stp>002593</stp>
        <stp>12/31/2018</stp>
        <tr r="O1008" s="1"/>
      </tp>
      <tp>
        <v>8.9837201861722509</v>
        <stp/>
        <stp>EM_S_VAL_PS_TTM</stp>
        <stp>2</stp>
        <stp>002592</stp>
        <stp>12/31/2018</stp>
        <tr r="O3324" s="1"/>
      </tp>
      <tp>
        <v>6.46382607828148</v>
        <stp/>
        <stp>EM_S_VAL_PS_TTM</stp>
        <stp>2</stp>
        <stp>002591</stp>
        <stp>12/31/2018</stp>
        <tr r="O814" s="1"/>
      </tp>
      <tp>
        <v>1.30491381697479</v>
        <stp/>
        <stp>EM_S_VAL_PS_TTM</stp>
        <stp>2</stp>
        <stp>002590</stp>
        <stp>12/31/2018</stp>
        <tr r="O1706" s="1"/>
      </tp>
      <tp>
        <v>1.7372060708192101</v>
        <stp/>
        <stp>EM_S_VAL_PS_TTM</stp>
        <stp>2</stp>
        <stp>002599</stp>
        <stp>12/31/2018</stp>
        <tr r="O3370" s="1"/>
      </tp>
      <tp>
        <v>2.34778599909429</v>
        <stp/>
        <stp>EM_S_VAL_PS_TTM</stp>
        <stp>2</stp>
        <stp>002598</stp>
        <stp>12/31/2018</stp>
        <tr r="O2728" s="1"/>
      </tp>
      <tp>
        <v>2.01225394689222</v>
        <stp/>
        <stp>EM_S_VAL_PS_TTM</stp>
        <stp>2</stp>
        <stp>002587</stp>
        <stp>12/31/2018</stp>
        <tr r="O422" s="1"/>
      </tp>
      <tp>
        <v>1.47543861263291</v>
        <stp/>
        <stp>EM_S_VAL_PS_TTM</stp>
        <stp>2</stp>
        <stp>002586</stp>
        <stp>12/31/2018</stp>
        <tr r="O3213" s="1"/>
      </tp>
      <tp>
        <v>1.55876119399576</v>
        <stp/>
        <stp>EM_S_VAL_PS_TTM</stp>
        <stp>2</stp>
        <stp>002585</stp>
        <stp>12/31/2018</stp>
        <tr r="O2748" s="1"/>
      </tp>
      <tp>
        <v>1.0049884870596799</v>
        <stp/>
        <stp>EM_S_VAL_PS_TTM</stp>
        <stp>2</stp>
        <stp>002584</stp>
        <stp>12/31/2018</stp>
        <tr r="O2985" s="1"/>
      </tp>
      <tp>
        <v>2.16066801854832</v>
        <stp/>
        <stp>EM_S_VAL_PS_TTM</stp>
        <stp>2</stp>
        <stp>002583</stp>
        <stp>12/31/2018</stp>
        <tr r="O1954" s="1"/>
      </tp>
      <tp>
        <v>0.80398243086126298</v>
        <stp/>
        <stp>EM_S_VAL_PS_TTM</stp>
        <stp>2</stp>
        <stp>002582</stp>
        <stp>12/31/2018</stp>
        <tr r="O1633" s="1"/>
      </tp>
      <tp>
        <v>4.7673500149023296</v>
        <stp/>
        <stp>EM_S_VAL_PS_TTM</stp>
        <stp>2</stp>
        <stp>002581</stp>
        <stp>12/31/2018</stp>
        <tr r="O2170" s="1"/>
      </tp>
      <tp>
        <v>0.98724982586596499</v>
        <stp/>
        <stp>EM_S_VAL_PS_TTM</stp>
        <stp>2</stp>
        <stp>002580</stp>
        <stp>12/31/2018</stp>
        <tr r="O1977" s="1"/>
      </tp>
      <tp>
        <v>0.33618941893210802</v>
        <stp/>
        <stp>EM_S_VAL_PS_TTM</stp>
        <stp>2</stp>
        <stp>002589</stp>
        <stp>12/31/2018</stp>
        <tr r="O1768" s="1"/>
      </tp>
      <tp>
        <v>0.80016876750622201</v>
        <stp/>
        <stp>EM_S_VAL_PS_TTM</stp>
        <stp>2</stp>
        <stp>002588</stp>
        <stp>12/31/2018</stp>
        <tr r="O2389" s="1"/>
      </tp>
      <tp>
        <v>2.51642157072938</v>
        <stp/>
        <stp>EM_S_VAL_PS_TTM</stp>
        <stp>2</stp>
        <stp>002537</stp>
        <stp>12/31/2018</stp>
        <tr r="O3234" s="1"/>
      </tp>
      <tp>
        <v>1.07299232032886</v>
        <stp/>
        <stp>EM_S_VAL_PS_TTM</stp>
        <stp>2</stp>
        <stp>002536</stp>
        <stp>12/31/2018</stp>
        <tr r="O3350" s="1"/>
      </tp>
      <tp>
        <v>1.13441654667056</v>
        <stp/>
        <stp>EM_S_VAL_PS_TTM</stp>
        <stp>2</stp>
        <stp>002535</stp>
        <stp>12/31/2018</stp>
        <tr r="O2901" s="1"/>
      </tp>
      <tp>
        <v>1.19711639325573</v>
        <stp/>
        <stp>EM_S_VAL_PS_TTM</stp>
        <stp>2</stp>
        <stp>002534</stp>
        <stp>12/31/2018</stp>
        <tr r="O721" s="1"/>
      </tp>
      <tp>
        <v>0.51812933210789802</v>
        <stp/>
        <stp>EM_S_VAL_PS_TTM</stp>
        <stp>2</stp>
        <stp>002533</stp>
        <stp>12/31/2018</stp>
        <tr r="O1582" s="1"/>
      </tp>
      <tp>
        <v>1.6229543638366699</v>
        <stp/>
        <stp>EM_S_VAL_PS_TTM</stp>
        <stp>2</stp>
        <stp>002532</stp>
        <stp>12/31/2018</stp>
        <tr r="O1275" s="1"/>
      </tp>
      <tp>
        <v>2.2787573291116598</v>
        <stp/>
        <stp>EM_S_VAL_PS_TTM</stp>
        <stp>2</stp>
        <stp>002531</stp>
        <stp>12/31/2018</stp>
        <tr r="O787" s="1"/>
      </tp>
      <tp>
        <v>4.3885364189579796</v>
        <stp/>
        <stp>EM_S_VAL_PS_TTM</stp>
        <stp>2</stp>
        <stp>002530</stp>
        <stp>12/31/2018</stp>
        <tr r="O250" s="1"/>
      </tp>
      <tp>
        <v>0.51612577114178904</v>
        <stp/>
        <stp>EM_S_VAL_PS_TTM</stp>
        <stp>2</stp>
        <stp>002539</stp>
        <stp>12/31/2018</stp>
        <tr r="O1332" s="1"/>
      </tp>
      <tp>
        <v>1.1727198159479399</v>
        <stp/>
        <stp>EM_S_VAL_PS_TTM</stp>
        <stp>2</stp>
        <stp>002538</stp>
        <stp>12/31/2018</stp>
        <tr r="O2472" s="1"/>
      </tp>
      <tp>
        <v>0.93611446921376795</v>
        <stp/>
        <stp>EM_S_VAL_PS_TTM</stp>
        <stp>2</stp>
        <stp>002527</stp>
        <stp>12/31/2018</stp>
        <tr r="O2484" s="1"/>
      </tp>
      <tp>
        <v>1.78284235632026</v>
        <stp/>
        <stp>EM_S_VAL_PS_TTM</stp>
        <stp>2</stp>
        <stp>002526</stp>
        <stp>12/31/2018</stp>
        <tr r="O1267" s="1"/>
      </tp>
      <tp>
        <v>0</v>
        <stp/>
        <stp>EM_S_VAL_PS_TTM</stp>
        <stp>2</stp>
        <stp>002525</stp>
        <stp>12/31/2018</stp>
        <tr r="O6" s="1"/>
      </tp>
      <tp>
        <v>2.4774499032900699</v>
        <stp/>
        <stp>EM_S_VAL_PS_TTM</stp>
        <stp>2</stp>
        <stp>002524</stp>
        <stp>12/31/2018</stp>
        <tr r="O120" s="1"/>
      </tp>
      <tp>
        <v>3.0938912547351398</v>
        <stp/>
        <stp>EM_S_VAL_PS_TTM</stp>
        <stp>2</stp>
        <stp>002523</stp>
        <stp>12/31/2018</stp>
        <tr r="O2054" s="1"/>
      </tp>
      <tp>
        <v>4.6683796220374401</v>
        <stp/>
        <stp>EM_S_VAL_PS_TTM</stp>
        <stp>2</stp>
        <stp>002522</stp>
        <stp>12/31/2018</stp>
        <tr r="O1044" s="1"/>
      </tp>
      <tp>
        <v>0.71638965443462599</v>
        <stp/>
        <stp>EM_S_VAL_PS_TTM</stp>
        <stp>2</stp>
        <stp>002521</stp>
        <stp>12/31/2018</stp>
        <tr r="O1904" s="1"/>
      </tp>
      <tp>
        <v>3.4674618843000502</v>
        <stp/>
        <stp>EM_S_VAL_PS_TTM</stp>
        <stp>2</stp>
        <stp>002520</stp>
        <stp>12/31/2018</stp>
        <tr r="O2660" s="1"/>
      </tp>
      <tp>
        <v>7.1451007541022502</v>
        <stp/>
        <stp>EM_S_VAL_PS_TTM</stp>
        <stp>2</stp>
        <stp>002529</stp>
        <stp>12/31/2018</stp>
        <tr r="O2916" s="1"/>
      </tp>
      <tp>
        <v>1.16508269081171</v>
        <stp/>
        <stp>EM_S_VAL_PS_TTM</stp>
        <stp>2</stp>
        <stp>002528</stp>
        <stp>12/31/2018</stp>
        <tr r="O665" s="1"/>
      </tp>
      <tp>
        <v>2.8787037610694099</v>
        <stp/>
        <stp>EM_S_VAL_PS_TTM</stp>
        <stp>2</stp>
        <stp>002517</stp>
        <stp>12/31/2018</stp>
        <tr r="O3215" s="1"/>
      </tp>
      <tp>
        <v>2.2412964458900899</v>
        <stp/>
        <stp>EM_S_VAL_PS_TTM</stp>
        <stp>2</stp>
        <stp>002516</stp>
        <stp>12/31/2018</stp>
        <tr r="O2588" s="1"/>
      </tp>
      <tp>
        <v>10.083416697776</v>
        <stp/>
        <stp>EM_S_VAL_PS_TTM</stp>
        <stp>2</stp>
        <stp>002515</stp>
        <stp>12/31/2018</stp>
        <tr r="O982" s="1"/>
      </tp>
      <tp>
        <v>4.07424665699968</v>
        <stp/>
        <stp>EM_S_VAL_PS_TTM</stp>
        <stp>2</stp>
        <stp>002514</stp>
        <stp>12/31/2018</stp>
        <tr r="O1830" s="1"/>
      </tp>
      <tp>
        <v>1.30309205009896</v>
        <stp/>
        <stp>EM_S_VAL_PS_TTM</stp>
        <stp>2</stp>
        <stp>002513</stp>
        <stp>12/31/2018</stp>
        <tr r="O1792" s="1"/>
      </tp>
      <tp>
        <v>1.77447736735476</v>
        <stp/>
        <stp>EM_S_VAL_PS_TTM</stp>
        <stp>2</stp>
        <stp>002512</stp>
        <stp>12/31/2018</stp>
        <tr r="O1261" s="1"/>
      </tp>
      <tp>
        <v>2.0425218055389398</v>
        <stp/>
        <stp>EM_S_VAL_PS_TTM</stp>
        <stp>2</stp>
        <stp>002511</stp>
        <stp>12/31/2018</stp>
        <tr r="O611" s="1"/>
      </tp>
      <tp>
        <v>1.6718049708275</v>
        <stp/>
        <stp>EM_S_VAL_PS_TTM</stp>
        <stp>2</stp>
        <stp>002510</stp>
        <stp>12/31/2018</stp>
        <tr r="O994" s="1"/>
      </tp>
      <tp>
        <v>2.4677808244828499</v>
        <stp/>
        <stp>EM_S_VAL_PS_TTM</stp>
        <stp>2</stp>
        <stp>002519</stp>
        <stp>12/31/2018</stp>
        <tr r="O1671" s="1"/>
      </tp>
      <tp>
        <v>1.4869745202260101</v>
        <stp/>
        <stp>EM_S_VAL_PS_TTM</stp>
        <stp>2</stp>
        <stp>002518</stp>
        <stp>12/31/2018</stp>
        <tr r="O588" s="1"/>
      </tp>
      <tp>
        <v>9.2739794139074103</v>
        <stp/>
        <stp>EM_S_VAL_PS_TTM</stp>
        <stp>2</stp>
        <stp>002507</stp>
        <stp>12/31/2018</stp>
        <tr r="O1166" s="1"/>
      </tp>
      <tp>
        <v>1.9122910315185699</v>
        <stp/>
        <stp>EM_S_VAL_PS_TTM</stp>
        <stp>2</stp>
        <stp>002506</stp>
        <stp>12/31/2018</stp>
        <tr r="O1358" s="1"/>
      </tp>
      <tp>
        <v>0.63838755839012495</v>
        <stp/>
        <stp>EM_S_VAL_PS_TTM</stp>
        <stp>2</stp>
        <stp>002505</stp>
        <stp>12/31/2018</stp>
        <tr r="O1975" s="1"/>
      </tp>
      <tp>
        <v>3.87902214299003</v>
        <stp/>
        <stp>EM_S_VAL_PS_TTM</stp>
        <stp>2</stp>
        <stp>002504</stp>
        <stp>12/31/2018</stp>
        <tr r="O2893" s="1"/>
      </tp>
      <tp>
        <v>0.34650143438125902</v>
        <stp/>
        <stp>EM_S_VAL_PS_TTM</stp>
        <stp>2</stp>
        <stp>002503</stp>
        <stp>12/31/2018</stp>
        <tr r="O2089" s="1"/>
      </tp>
      <tp>
        <v>14.7449776165919</v>
        <stp/>
        <stp>EM_S_VAL_PS_TTM</stp>
        <stp>2</stp>
        <stp>002502</stp>
        <stp>12/31/2018</stp>
        <tr r="O2997" s="1"/>
      </tp>
      <tp>
        <v>3.3132250116830799</v>
        <stp/>
        <stp>EM_S_VAL_PS_TTM</stp>
        <stp>2</stp>
        <stp>002501</stp>
        <stp>12/31/2018</stp>
        <tr r="O3330" s="1"/>
      </tp>
      <tp>
        <v>3.1344121259659401</v>
        <stp/>
        <stp>EM_S_VAL_PS_TTM</stp>
        <stp>2</stp>
        <stp>002500</stp>
        <stp>12/31/2018</stp>
        <tr r="O731" s="1"/>
      </tp>
      <tp>
        <v>2.0394506017649201</v>
        <stp/>
        <stp>EM_S_VAL_PS_TTM</stp>
        <stp>2</stp>
        <stp>002509</stp>
        <stp>12/31/2018</stp>
        <tr r="O3313" s="1"/>
      </tp>
      <tp>
        <v>2.5811736377534502</v>
        <stp/>
        <stp>EM_S_VAL_PS_TTM</stp>
        <stp>2</stp>
        <stp>002508</stp>
        <stp>12/31/2018</stp>
        <tr r="O332" s="1"/>
      </tp>
      <tp>
        <v>5.6147889707625396</v>
        <stp/>
        <stp>EM_S_VAL_PS_TTM</stp>
        <stp>2</stp>
        <stp>002577</stp>
        <stp>12/31/2018</stp>
        <tr r="O919" s="1"/>
      </tp>
      <tp>
        <v>1.456216235531</v>
        <stp/>
        <stp>EM_S_VAL_PS_TTM</stp>
        <stp>2</stp>
        <stp>002576</stp>
        <stp>12/31/2018</stp>
        <tr r="O2458" s="1"/>
      </tp>
      <tp>
        <v>328.87258638116299</v>
        <stp/>
        <stp>EM_S_VAL_PS_TTM</stp>
        <stp>2</stp>
        <stp>002575</stp>
        <stp>12/31/2018</stp>
        <tr r="O2631" s="1"/>
      </tp>
      <tp>
        <v>0.64133363611918004</v>
        <stp/>
        <stp>EM_S_VAL_PS_TTM</stp>
        <stp>2</stp>
        <stp>002574</stp>
        <stp>12/31/2018</stp>
        <tr r="O2095" s="1"/>
      </tp>
      <tp>
        <v>1.8468610950123101</v>
        <stp/>
        <stp>EM_S_VAL_PS_TTM</stp>
        <stp>2</stp>
        <stp>002573</stp>
        <stp>12/31/2018</stp>
        <tr r="O2784" s="1"/>
      </tp>
      <tp>
        <v>2.20446814560264</v>
        <stp/>
        <stp>EM_S_VAL_PS_TTM</stp>
        <stp>2</stp>
        <stp>002572</stp>
        <stp>12/31/2018</stp>
        <tr r="O1070" s="1"/>
      </tp>
      <tp>
        <v>2.61724483857361</v>
        <stp/>
        <stp>EM_S_VAL_PS_TTM</stp>
        <stp>2</stp>
        <stp>002571</stp>
        <stp>12/31/2018</stp>
        <tr r="O2579" s="1"/>
      </tp>
      <tp>
        <v>2.0587406843754499</v>
        <stp/>
        <stp>EM_S_VAL_PS_TTM</stp>
        <stp>2</stp>
        <stp>002570</stp>
        <stp>12/31/2018</stp>
        <tr r="O1926" s="1"/>
      </tp>
      <tp>
        <v>2.09537842755172</v>
        <stp/>
        <stp>EM_S_VAL_PS_TTM</stp>
        <stp>2</stp>
        <stp>002579</stp>
        <stp>12/31/2018</stp>
        <tr r="O396" s="1"/>
      </tp>
      <tp>
        <v>2.41212585683799</v>
        <stp/>
        <stp>EM_S_VAL_PS_TTM</stp>
        <stp>2</stp>
        <stp>002578</stp>
        <stp>12/31/2018</stp>
        <tr r="O1903" s="1"/>
      </tp>
      <tp>
        <v>0.328118643121733</v>
        <stp/>
        <stp>EM_S_VAL_PS_TTM</stp>
        <stp>2</stp>
        <stp>002567</stp>
        <stp>12/31/2018</stp>
        <tr r="O485" s="1"/>
      </tp>
      <tp>
        <v>1.8318675380329801</v>
        <stp/>
        <stp>EM_S_VAL_PS_TTM</stp>
        <stp>2</stp>
        <stp>002566</stp>
        <stp>12/31/2018</stp>
        <tr r="O1514" s="1"/>
      </tp>
      <tp>
        <v>1.2837047471376799</v>
        <stp/>
        <stp>EM_S_VAL_PS_TTM</stp>
        <stp>2</stp>
        <stp>002565</stp>
        <stp>12/31/2018</stp>
        <tr r="O336" s="1"/>
      </tp>
      <tp>
        <v>0.63869517785006402</v>
        <stp/>
        <stp>EM_S_VAL_PS_TTM</stp>
        <stp>2</stp>
        <stp>002564</stp>
        <stp>12/31/2018</stp>
        <tr r="O2712" s="1"/>
      </tp>
      <tp>
        <v>1.7516974136990799</v>
        <stp/>
        <stp>EM_S_VAL_PS_TTM</stp>
        <stp>2</stp>
        <stp>002563</stp>
        <stp>12/31/2018</stp>
        <tr r="O1758" s="1"/>
      </tp>
      <tp>
        <v>2.3905515702243099</v>
        <stp/>
        <stp>EM_S_VAL_PS_TTM</stp>
        <stp>2</stp>
        <stp>002562</stp>
        <stp>12/31/2018</stp>
        <tr r="O1598" s="1"/>
      </tp>
      <tp>
        <v>1.5193977995637999</v>
        <stp/>
        <stp>EM_S_VAL_PS_TTM</stp>
        <stp>2</stp>
        <stp>002561</stp>
        <stp>12/31/2018</stp>
        <tr r="O1959" s="1"/>
      </tp>
      <tp>
        <v>1.09307633955229</v>
        <stp/>
        <stp>EM_S_VAL_PS_TTM</stp>
        <stp>2</stp>
        <stp>002560</stp>
        <stp>12/31/2018</stp>
        <tr r="O1921" s="1"/>
      </tp>
      <tp>
        <v>3.39179905363505</v>
        <stp/>
        <stp>EM_S_VAL_PS_TTM</stp>
        <stp>2</stp>
        <stp>002569</stp>
        <stp>12/31/2018</stp>
        <tr r="O2052" s="1"/>
      </tp>
      <tp>
        <v>3.9795041501255302</v>
        <stp/>
        <stp>EM_S_VAL_PS_TTM</stp>
        <stp>2</stp>
        <stp>002568</stp>
        <stp>12/31/2018</stp>
        <tr r="O47" s="1"/>
      </tp>
      <tp>
        <v>2.4118726535207098</v>
        <stp/>
        <stp>EM_S_VAL_PS_TTM</stp>
        <stp>2</stp>
        <stp>002557</stp>
        <stp>12/31/2018</stp>
        <tr r="O276" s="1"/>
      </tp>
      <tp>
        <v>0.22120401480909799</v>
        <stp/>
        <stp>EM_S_VAL_PS_TTM</stp>
        <stp>2</stp>
        <stp>002556</stp>
        <stp>12/31/2018</stp>
        <tr r="O1846" s="1"/>
      </tp>
      <tp>
        <v>2.7632041274174699</v>
        <stp/>
        <stp>EM_S_VAL_PS_TTM</stp>
        <stp>2</stp>
        <stp>002555</stp>
        <stp>12/31/2018</stp>
        <tr r="O50" s="1"/>
      </tp>
      <tp>
        <v>1.85328678594322</v>
        <stp/>
        <stp>EM_S_VAL_PS_TTM</stp>
        <stp>2</stp>
        <stp>002554</stp>
        <stp>12/31/2018</stp>
        <tr r="O1656" s="1"/>
      </tp>
      <tp>
        <v>4.5516716406106204</v>
        <stp/>
        <stp>EM_S_VAL_PS_TTM</stp>
        <stp>2</stp>
        <stp>002553</stp>
        <stp>12/31/2018</stp>
        <tr r="O2055" s="1"/>
      </tp>
      <tp>
        <v>5.5327785723179401</v>
        <stp/>
        <stp>EM_S_VAL_PS_TTM</stp>
        <stp>2</stp>
        <stp>002552</stp>
        <stp>12/31/2018</stp>
        <tr r="O17" s="1"/>
      </tp>
      <tp>
        <v>1.76399338564431</v>
        <stp/>
        <stp>EM_S_VAL_PS_TTM</stp>
        <stp>2</stp>
        <stp>002551</stp>
        <stp>12/31/2018</stp>
        <tr r="O2390" s="1"/>
      </tp>
      <tp>
        <v>3.7060611741200402</v>
        <stp/>
        <stp>EM_S_VAL_PS_TTM</stp>
        <stp>2</stp>
        <stp>002550</stp>
        <stp>12/31/2018</stp>
        <tr r="O1338" s="1"/>
      </tp>
      <tp>
        <v>1.5106525021417101</v>
        <stp/>
        <stp>EM_S_VAL_PS_TTM</stp>
        <stp>2</stp>
        <stp>002559</stp>
        <stp>12/31/2018</stp>
        <tr r="O2941" s="1"/>
      </tp>
      <tp>
        <v>10.491819843152401</v>
        <stp/>
        <stp>EM_S_VAL_PS_TTM</stp>
        <stp>2</stp>
        <stp>002558</stp>
        <stp>12/31/2018</stp>
        <tr r="O2676" s="1"/>
      </tp>
      <tp>
        <v>1.22640633109663</v>
        <stp/>
        <stp>EM_S_VAL_PS_TTM</stp>
        <stp>2</stp>
        <stp>002547</stp>
        <stp>12/31/2018</stp>
        <tr r="O524" s="1"/>
      </tp>
      <tp>
        <v>4.47106902291039</v>
        <stp/>
        <stp>EM_S_VAL_PS_TTM</stp>
        <stp>2</stp>
        <stp>002546</stp>
        <stp>12/31/2018</stp>
        <tr r="O1763" s="1"/>
      </tp>
      <tp>
        <v>3.4001220773785898</v>
        <stp/>
        <stp>EM_S_VAL_PS_TTM</stp>
        <stp>2</stp>
        <stp>002545</stp>
        <stp>12/31/2018</stp>
        <tr r="O996" s="1"/>
      </tp>
      <tp>
        <v>1.0668229121805399</v>
        <stp/>
        <stp>EM_S_VAL_PS_TTM</stp>
        <stp>2</stp>
        <stp>002544</stp>
        <stp>12/31/2018</stp>
        <tr r="O1046" s="1"/>
      </tp>
      <tp>
        <v>1.0265792624623999</v>
        <stp/>
        <stp>EM_S_VAL_PS_TTM</stp>
        <stp>2</stp>
        <stp>002543</stp>
        <stp>12/31/2018</stp>
        <tr r="O3167" s="1"/>
      </tp>
      <tp>
        <v>2.2110215451005799</v>
        <stp/>
        <stp>EM_S_VAL_PS_TTM</stp>
        <stp>2</stp>
        <stp>002542</stp>
        <stp>12/31/2018</stp>
        <tr r="O2894" s="1"/>
      </tp>
      <tp>
        <v>0.54885427124300801</v>
        <stp/>
        <stp>EM_S_VAL_PS_TTM</stp>
        <stp>2</stp>
        <stp>002541</stp>
        <stp>12/31/2018</stp>
        <tr r="O538" s="1"/>
      </tp>
      <tp>
        <v>1.6034982687903201</v>
        <stp/>
        <stp>EM_S_VAL_PS_TTM</stp>
        <stp>2</stp>
        <stp>002540</stp>
        <stp>12/31/2018</stp>
        <tr r="O2657" s="1"/>
      </tp>
      <tp>
        <v>6.7824638325380002</v>
        <stp/>
        <stp>EM_S_VAL_PS_TTM</stp>
        <stp>2</stp>
        <stp>002549</stp>
        <stp>12/31/2018</stp>
        <tr r="O1576" s="1"/>
      </tp>
      <tp>
        <v>0.90991720364810502</v>
        <stp/>
        <stp>EM_S_VAL_PS_TTM</stp>
        <stp>2</stp>
        <stp>002548</stp>
        <stp>12/31/2018</stp>
        <tr r="O938" s="1"/>
      </tp>
      <tp>
        <v>2.2840696652015802</v>
        <stp/>
        <stp>EM_S_VAL_PS_TTM</stp>
        <stp>2</stp>
        <stp>002497</stp>
        <stp>12/31/2018</stp>
        <tr r="O1848" s="1"/>
      </tp>
      <tp>
        <v>0.83318637998549405</v>
        <stp/>
        <stp>EM_S_VAL_PS_TTM</stp>
        <stp>2</stp>
        <stp>002496</stp>
        <stp>12/31/2018</stp>
        <tr r="O600" s="1"/>
      </tp>
      <tp>
        <v>9.5161033351666706</v>
        <stp/>
        <stp>EM_S_VAL_PS_TTM</stp>
        <stp>2</stp>
        <stp>002495</stp>
        <stp>12/31/2018</stp>
        <tr r="O2707" s="1"/>
      </tp>
      <tp>
        <v>4.5079822850959896</v>
        <stp/>
        <stp>EM_S_VAL_PS_TTM</stp>
        <stp>2</stp>
        <stp>002494</stp>
        <stp>12/31/2018</stp>
        <tr r="O2654" s="1"/>
      </tp>
      <tp>
        <v>0.79494762393477802</v>
        <stp/>
        <stp>EM_S_VAL_PS_TTM</stp>
        <stp>2</stp>
        <stp>002493</stp>
        <stp>12/31/2018</stp>
        <tr r="O1189" s="1"/>
      </tp>
      <tp>
        <v>8.5330279978515104</v>
        <stp/>
        <stp>EM_S_VAL_PS_TTM</stp>
        <stp>2</stp>
        <stp>002492</stp>
        <stp>12/31/2018</stp>
        <tr r="O1745" s="1"/>
      </tp>
      <tp>
        <v>2.25643715650593</v>
        <stp/>
        <stp>EM_S_VAL_PS_TTM</stp>
        <stp>2</stp>
        <stp>002491</stp>
        <stp>12/31/2018</stp>
        <tr r="O2970" s="1"/>
      </tp>
      <tp>
        <v>0.79908106253817801</v>
        <stp/>
        <stp>EM_S_VAL_PS_TTM</stp>
        <stp>2</stp>
        <stp>002490</stp>
        <stp>12/31/2018</stp>
        <tr r="O2775" s="1"/>
      </tp>
      <tp>
        <v>11.657922978398901</v>
        <stp/>
        <stp>EM_S_VAL_PS_TTM</stp>
        <stp>2</stp>
        <stp>002499</stp>
        <stp>12/31/2018</stp>
        <tr r="O3287" s="1"/>
      </tp>
      <tp>
        <v>1.28424670363446</v>
        <stp/>
        <stp>EM_S_VAL_PS_TTM</stp>
        <stp>2</stp>
        <stp>002498</stp>
        <stp>12/31/2018</stp>
        <tr r="O544" s="1"/>
      </tp>
      <tp>
        <v>1.7415772984992799</v>
        <stp/>
        <stp>EM_S_VAL_PS_TTM</stp>
        <stp>2</stp>
        <stp>002487</stp>
        <stp>12/31/2018</stp>
        <tr r="O525" s="1"/>
      </tp>
      <tp>
        <v>3.6191029247221902</v>
        <stp/>
        <stp>EM_S_VAL_PS_TTM</stp>
        <stp>2</stp>
        <stp>002486</stp>
        <stp>12/31/2018</stp>
        <tr r="O2922" s="1"/>
      </tp>
      <tp>
        <v>3.3924494709145598</v>
        <stp/>
        <stp>EM_S_VAL_PS_TTM</stp>
        <stp>2</stp>
        <stp>002485</stp>
        <stp>12/31/2018</stp>
        <tr r="O2666" s="1"/>
      </tp>
      <tp>
        <v>2.6516890686104602</v>
        <stp/>
        <stp>EM_S_VAL_PS_TTM</stp>
        <stp>2</stp>
        <stp>002484</stp>
        <stp>12/31/2018</stp>
        <tr r="O965" s="1"/>
      </tp>
      <tp>
        <v>1.3836627227033</v>
        <stp/>
        <stp>EM_S_VAL_PS_TTM</stp>
        <stp>2</stp>
        <stp>002483</stp>
        <stp>12/31/2018</stp>
        <tr r="O1478" s="1"/>
      </tp>
      <tp>
        <v>0.641857369479789</v>
        <stp/>
        <stp>EM_S_VAL_PS_TTM</stp>
        <stp>2</stp>
        <stp>002482</stp>
        <stp>12/31/2018</stp>
        <tr r="O3133" s="1"/>
      </tp>
      <tp>
        <v>1.2841903639108001</v>
        <stp/>
        <stp>EM_S_VAL_PS_TTM</stp>
        <stp>2</stp>
        <stp>002481</stp>
        <stp>12/31/2018</stp>
        <tr r="O57" s="1"/>
      </tp>
      <tp>
        <v>1.50556198910834</v>
        <stp/>
        <stp>EM_S_VAL_PS_TTM</stp>
        <stp>2</stp>
        <stp>002480</stp>
        <stp>12/31/2018</stp>
        <tr r="O3063" s="1"/>
      </tp>
      <tp>
        <v>1.3962731637052499</v>
        <stp/>
        <stp>EM_S_VAL_PS_TTM</stp>
        <stp>2</stp>
        <stp>002489</stp>
        <stp>12/31/2018</stp>
        <tr r="O452" s="1"/>
      </tp>
      <tp>
        <v>2.0965061686258202</v>
        <stp/>
        <stp>EM_S_VAL_PS_TTM</stp>
        <stp>2</stp>
        <stp>002488</stp>
        <stp>12/31/2018</stp>
        <tr r="O1900" s="1"/>
      </tp>
      <tp>
        <v>1.22736608680897</v>
        <stp/>
        <stp>EM_S_VAL_PS_TTM</stp>
        <stp>2</stp>
        <stp>002437</stp>
        <stp>12/31/2018</stp>
        <tr r="O1992" s="1"/>
      </tp>
      <tp>
        <v>1.9725804504662501</v>
        <stp/>
        <stp>EM_S_VAL_PS_TTM</stp>
        <stp>2</stp>
        <stp>002436</stp>
        <stp>12/31/2018</stp>
        <tr r="O221" s="1"/>
      </tp>
      <tp>
        <v>1.010756943966</v>
        <stp/>
        <stp>EM_S_VAL_PS_TTM</stp>
        <stp>2</stp>
        <stp>002435</stp>
        <stp>12/31/2018</stp>
        <tr r="O3162" s="1"/>
      </tp>
      <tp>
        <v>1.9811976570148599</v>
        <stp/>
        <stp>EM_S_VAL_PS_TTM</stp>
        <stp>2</stp>
        <stp>002434</stp>
        <stp>12/31/2018</stp>
        <tr r="O706" s="1"/>
      </tp>
      <tp>
        <v>1.0736418883704399</v>
        <stp/>
        <stp>EM_S_VAL_PS_TTM</stp>
        <stp>2</stp>
        <stp>002433</stp>
        <stp>12/31/2018</stp>
        <tr r="O2500" s="1"/>
      </tp>
      <tp>
        <v>4.1924518857550703</v>
        <stp/>
        <stp>EM_S_VAL_PS_TTM</stp>
        <stp>2</stp>
        <stp>002432</stp>
        <stp>12/31/2018</stp>
        <tr r="O2464" s="1"/>
      </tp>
      <tp>
        <v>0.979165628411235</v>
        <stp/>
        <stp>EM_S_VAL_PS_TTM</stp>
        <stp>2</stp>
        <stp>002431</stp>
        <stp>12/31/2018</stp>
        <tr r="O2936" s="1"/>
      </tp>
      <tp>
        <v>1.1608572527660801</v>
        <stp/>
        <stp>EM_S_VAL_PS_TTM</stp>
        <stp>2</stp>
        <stp>002430</stp>
        <stp>12/31/2018</stp>
        <tr r="O751" s="1"/>
      </tp>
      <tp>
        <v>7.6657968752322301</v>
        <stp/>
        <stp>EM_S_VAL_PS_TTM</stp>
        <stp>2</stp>
        <stp>002439</stp>
        <stp>12/31/2018</stp>
        <tr r="O349" s="1"/>
      </tp>
      <tp>
        <v>2.5161239816621199</v>
        <stp/>
        <stp>EM_S_VAL_PS_TTM</stp>
        <stp>2</stp>
        <stp>002438</stp>
        <stp>12/31/2018</stp>
        <tr r="O726" s="1"/>
      </tp>
      <tp>
        <v>1.2625883370876201</v>
        <stp/>
        <stp>EM_S_VAL_PS_TTM</stp>
        <stp>2</stp>
        <stp>002427</stp>
        <stp>12/31/2018</stp>
        <tr r="O3260" s="1"/>
      </tp>
      <tp>
        <v>0.47498001730261202</v>
        <stp/>
        <stp>EM_S_VAL_PS_TTM</stp>
        <stp>2</stp>
        <stp>002426</stp>
        <stp>12/31/2018</stp>
        <tr r="O2106" s="1"/>
      </tp>
      <tp>
        <v>7.0221109794499501</v>
        <stp/>
        <stp>EM_S_VAL_PS_TTM</stp>
        <stp>2</stp>
        <stp>002425</stp>
        <stp>12/31/2018</stp>
        <tr r="O2629" s="1"/>
      </tp>
      <tp>
        <v>4.3419679397521902</v>
        <stp/>
        <stp>EM_S_VAL_PS_TTM</stp>
        <stp>2</stp>
        <stp>002424</stp>
        <stp>12/31/2018</stp>
        <tr r="O2474" s="1"/>
      </tp>
      <tp>
        <v>4.5078986023534098</v>
        <stp/>
        <stp>EM_S_VAL_PS_TTM</stp>
        <stp>2</stp>
        <stp>002423</stp>
        <stp>12/31/2018</stp>
        <tr r="O1697" s="1"/>
      </tp>
      <tp>
        <v>1.88701708299822</v>
        <stp/>
        <stp>EM_S_VAL_PS_TTM</stp>
        <stp>2</stp>
        <stp>002422</stp>
        <stp>12/31/2018</stp>
        <tr r="O1614" s="1"/>
      </tp>
      <tp>
        <v>2.9108357431631302</v>
        <stp/>
        <stp>EM_S_VAL_PS_TTM</stp>
        <stp>2</stp>
        <stp>002421</stp>
        <stp>12/31/2018</stp>
        <tr r="O2669" s="1"/>
      </tp>
      <tp>
        <v>0.23550828044208399</v>
        <stp/>
        <stp>EM_S_VAL_PS_TTM</stp>
        <stp>2</stp>
        <stp>002420</stp>
        <stp>12/31/2018</stp>
        <tr r="O1302" s="1"/>
      </tp>
      <tp>
        <v>0.68509825538855595</v>
        <stp/>
        <stp>EM_S_VAL_PS_TTM</stp>
        <stp>2</stp>
        <stp>002429</stp>
        <stp>12/31/2018</stp>
        <tr r="O242" s="1"/>
      </tp>
      <tp>
        <v>6.4381714208390202</v>
        <stp/>
        <stp>EM_S_VAL_PS_TTM</stp>
        <stp>2</stp>
        <stp>002428</stp>
        <stp>12/31/2018</stp>
        <tr r="O268" s="1"/>
      </tp>
      <tp>
        <v>23.854890375166899</v>
        <stp/>
        <stp>EM_S_VAL_PS_TTM</stp>
        <stp>2</stp>
        <stp>002417</stp>
        <stp>12/31/2018</stp>
        <tr r="O3078" s="1"/>
      </tp>
      <tp>
        <v>0.12079114969458001</v>
        <stp/>
        <stp>EM_S_VAL_PS_TTM</stp>
        <stp>2</stp>
        <stp>002416</stp>
        <stp>12/31/2018</stp>
        <tr r="O976" s="1"/>
      </tp>
      <tp>
        <v>4.9541952312450901</v>
        <stp/>
        <stp>EM_S_VAL_PS_TTM</stp>
        <stp>2</stp>
        <stp>002415</stp>
        <stp>12/31/2018</stp>
        <tr r="O1038" s="1"/>
      </tp>
      <tp>
        <v>12.5963032627226</v>
        <stp/>
        <stp>EM_S_VAL_PS_TTM</stp>
        <stp>2</stp>
        <stp>002414</stp>
        <stp>12/31/2018</stp>
        <tr r="O2621" s="1"/>
      </tp>
      <tp>
        <v>6.4234892495935796</v>
        <stp/>
        <stp>EM_S_VAL_PS_TTM</stp>
        <stp>2</stp>
        <stp>002413</stp>
        <stp>12/31/2018</stp>
        <tr r="O2131" s="1"/>
      </tp>
      <tp>
        <v>4.69348071921757</v>
        <stp/>
        <stp>EM_S_VAL_PS_TTM</stp>
        <stp>2</stp>
        <stp>002412</stp>
        <stp>12/31/2018</stp>
        <tr r="O3306" s="1"/>
      </tp>
      <tp>
        <v>4.1519889305870104</v>
        <stp/>
        <stp>EM_S_VAL_PS_TTM</stp>
        <stp>2</stp>
        <stp>002411</stp>
        <stp>12/31/2018</stp>
        <tr r="O3164" s="1"/>
      </tp>
      <tp>
        <v>8.5549889470098694</v>
        <stp/>
        <stp>EM_S_VAL_PS_TTM</stp>
        <stp>2</stp>
        <stp>002410</stp>
        <stp>12/31/2018</stp>
        <tr r="O427" s="1"/>
      </tp>
      <tp>
        <v>0.677620834815716</v>
        <stp/>
        <stp>EM_S_VAL_PS_TTM</stp>
        <stp>2</stp>
        <stp>002419</stp>
        <stp>12/31/2018</stp>
        <tr r="O2535" s="1"/>
      </tp>
      <tp>
        <v>1.2169881843282799</v>
        <stp/>
        <stp>EM_S_VAL_PS_TTM</stp>
        <stp>2</stp>
        <stp>002418</stp>
        <stp>12/31/2018</stp>
        <tr r="O2643" s="1"/>
      </tp>
      <tp>
        <v>1.94374281124124</v>
        <stp/>
        <stp>EM_S_VAL_PS_TTM</stp>
        <stp>2</stp>
        <stp>002407</stp>
        <stp>12/31/2018</stp>
        <tr r="O1316" s="1"/>
      </tp>
      <tp>
        <v>1.6758805820196301</v>
        <stp/>
        <stp>EM_S_VAL_PS_TTM</stp>
        <stp>2</stp>
        <stp>002406</stp>
        <stp>12/31/2018</stp>
        <tr r="O1384" s="1"/>
      </tp>
      <tp>
        <v>7.8464151282067496</v>
        <stp/>
        <stp>EM_S_VAL_PS_TTM</stp>
        <stp>2</stp>
        <stp>002405</stp>
        <stp>12/31/2018</stp>
        <tr r="O1559" s="1"/>
      </tp>
      <tp>
        <v>1.00132129126998</v>
        <stp/>
        <stp>EM_S_VAL_PS_TTM</stp>
        <stp>2</stp>
        <stp>002404</stp>
        <stp>12/31/2018</stp>
        <tr r="O1312" s="1"/>
      </tp>
      <tp>
        <v>0.85522484230795304</v>
        <stp/>
        <stp>EM_S_VAL_PS_TTM</stp>
        <stp>2</stp>
        <stp>002403</stp>
        <stp>12/31/2018</stp>
        <tr r="O1774" s="1"/>
      </tp>
      <tp>
        <v>2.1535268412491302</v>
        <stp/>
        <stp>EM_S_VAL_PS_TTM</stp>
        <stp>2</stp>
        <stp>002402</stp>
        <stp>12/31/2018</stp>
        <tr r="O144" s="1"/>
      </tp>
      <tp>
        <v>2.7385173066452002</v>
        <stp/>
        <stp>EM_S_VAL_PS_TTM</stp>
        <stp>2</stp>
        <stp>002401</stp>
        <stp>12/31/2018</stp>
        <tr r="O1098" s="1"/>
      </tp>
      <tp>
        <v>0.41171501581562198</v>
        <stp/>
        <stp>EM_S_VAL_PS_TTM</stp>
        <stp>2</stp>
        <stp>002400</stp>
        <stp>12/31/2018</stp>
        <tr r="O1851" s="1"/>
      </tp>
      <tp>
        <v>4.5588681640019901</v>
        <stp/>
        <stp>EM_S_VAL_PS_TTM</stp>
        <stp>2</stp>
        <stp>002409</stp>
        <stp>12/31/2018</stp>
        <tr r="O294" s="1"/>
      </tp>
      <tp>
        <v>0.48453657906425601</v>
        <stp/>
        <stp>EM_S_VAL_PS_TTM</stp>
        <stp>2</stp>
        <stp>002408</stp>
        <stp>12/31/2018</stp>
        <tr r="O2019" s="1"/>
      </tp>
      <tp>
        <v>0.94331203132487196</v>
        <stp/>
        <stp>EM_S_VAL_PS_TTM</stp>
        <stp>2</stp>
        <stp>002477</stp>
        <stp>12/31/2018</stp>
        <tr r="O3410" s="1"/>
      </tp>
      <tp>
        <v>5.6391715937778804</v>
        <stp/>
        <stp>EM_S_VAL_PS_TTM</stp>
        <stp>2</stp>
        <stp>002476</stp>
        <stp>12/31/2018</stp>
        <tr r="O660" s="1"/>
      </tp>
      <tp>
        <v>1.86264350851487</v>
        <stp/>
        <stp>EM_S_VAL_PS_TTM</stp>
        <stp>2</stp>
        <stp>002475</stp>
        <stp>12/31/2018</stp>
        <tr r="O81" s="1"/>
      </tp>
      <tp>
        <v>5.0421746829641902</v>
        <stp/>
        <stp>EM_S_VAL_PS_TTM</stp>
        <stp>2</stp>
        <stp>002474</stp>
        <stp>12/31/2018</stp>
        <tr r="O779" s="1"/>
      </tp>
      <tp>
        <v>7.17206320196708</v>
        <stp/>
        <stp>EM_S_VAL_PS_TTM</stp>
        <stp>2</stp>
        <stp>002473</stp>
        <stp>12/31/2018</stp>
        <tr r="O797" s="1"/>
      </tp>
      <tp>
        <v>1.2549792943373801</v>
        <stp/>
        <stp>EM_S_VAL_PS_TTM</stp>
        <stp>2</stp>
        <stp>002472</stp>
        <stp>12/31/2018</stp>
        <tr r="O2553" s="1"/>
      </tp>
      <tp>
        <v>0.42856017692032999</v>
        <stp/>
        <stp>EM_S_VAL_PS_TTM</stp>
        <stp>2</stp>
        <stp>002471</stp>
        <stp>12/31/2018</stp>
        <tr r="O2871" s="1"/>
      </tp>
      <tp>
        <v>0.93812667573082198</v>
        <stp/>
        <stp>EM_S_VAL_PS_TTM</stp>
        <stp>2</stp>
        <stp>002470</stp>
        <stp>12/31/2018</stp>
        <tr r="O3391" s="1"/>
      </tp>
      <tp>
        <v>1.3085890399586599</v>
        <stp/>
        <stp>EM_S_VAL_PS_TTM</stp>
        <stp>2</stp>
        <stp>002479</stp>
        <stp>12/31/2018</stp>
        <tr r="O445" s="1"/>
      </tp>
      <tp>
        <v>0.87885991714259304</v>
        <stp/>
        <stp>EM_S_VAL_PS_TTM</stp>
        <stp>2</stp>
        <stp>002478</stp>
        <stp>12/31/2018</stp>
        <tr r="O1021" s="1"/>
      </tp>
      <tp>
        <v>4.5503528790159402</v>
        <stp/>
        <stp>EM_S_VAL_PS_TTM</stp>
        <stp>2</stp>
        <stp>002467</stp>
        <stp>12/31/2018</stp>
        <tr r="O1888" s="1"/>
      </tp>
      <tp>
        <v>5.3415014107472398</v>
        <stp/>
        <stp>EM_S_VAL_PS_TTM</stp>
        <stp>2</stp>
        <stp>002466</stp>
        <stp>12/31/2018</stp>
        <tr r="O2482" s="1"/>
      </tp>
      <tp>
        <v>4.9135642751744797</v>
        <stp/>
        <stp>EM_S_VAL_PS_TTM</stp>
        <stp>2</stp>
        <stp>002465</stp>
        <stp>12/31/2018</stp>
        <tr r="O738" s="1"/>
      </tp>
      <tp>
        <v>3.4977969603060899</v>
        <stp/>
        <stp>EM_S_VAL_PS_TTM</stp>
        <stp>2</stp>
        <stp>002464</stp>
        <stp>12/31/2018</stp>
        <tr r="O3165" s="1"/>
      </tp>
      <tp>
        <v>2.4168521748892702</v>
        <stp/>
        <stp>EM_S_VAL_PS_TTM</stp>
        <stp>2</stp>
        <stp>002463</stp>
        <stp>12/31/2018</stp>
        <tr r="O42" s="1"/>
      </tp>
      <tp>
        <v>0.21070458725597699</v>
        <stp/>
        <stp>EM_S_VAL_PS_TTM</stp>
        <stp>2</stp>
        <stp>002462</stp>
        <stp>12/31/2018</stp>
        <tr r="O1795" s="1"/>
      </tp>
      <tp>
        <v>2.4486007962299601</v>
        <stp/>
        <stp>EM_S_VAL_PS_TTM</stp>
        <stp>2</stp>
        <stp>002461</stp>
        <stp>12/31/2018</stp>
        <tr r="O428" s="1"/>
      </tp>
      <tp>
        <v>5.6547783865979602</v>
        <stp/>
        <stp>EM_S_VAL_PS_TTM</stp>
        <stp>2</stp>
        <stp>002460</stp>
        <stp>12/31/2018</stp>
        <tr r="O490" s="1"/>
      </tp>
      <tp>
        <v>3.3915629081654002</v>
        <stp/>
        <stp>EM_S_VAL_PS_TTM</stp>
        <stp>2</stp>
        <stp>002469</stp>
        <stp>12/31/2018</stp>
        <tr r="O1922" s="1"/>
      </tp>
      <tp>
        <v>1.6571337597173701</v>
        <stp/>
        <stp>EM_S_VAL_PS_TTM</stp>
        <stp>2</stp>
        <stp>002468</stp>
        <stp>12/31/2018</stp>
        <tr r="O1355" s="1"/>
      </tp>
      <tp>
        <v>1.92974888432935</v>
        <stp/>
        <stp>EM_S_VAL_PS_TTM</stp>
        <stp>2</stp>
        <stp>002457</stp>
        <stp>12/31/2018</stp>
        <tr r="O2255" s="1"/>
      </tp>
      <tp>
        <v>0.615884612884668</v>
        <stp/>
        <stp>EM_S_VAL_PS_TTM</stp>
        <stp>2</stp>
        <stp>002456</stp>
        <stp>12/31/2018</stp>
        <tr r="O316" s="1"/>
      </tp>
      <tp>
        <v>0.87062384182822306</v>
        <stp/>
        <stp>EM_S_VAL_PS_TTM</stp>
        <stp>2</stp>
        <stp>002455</stp>
        <stp>12/31/2018</stp>
        <tr r="O1250" s="1"/>
      </tp>
      <tp>
        <v>0.60953021834949594</v>
        <stp/>
        <stp>EM_S_VAL_PS_TTM</stp>
        <stp>2</stp>
        <stp>002454</stp>
        <stp>12/31/2018</stp>
        <tr r="O1327" s="1"/>
      </tp>
      <tp>
        <v>1.6424453615122201</v>
        <stp/>
        <stp>EM_S_VAL_PS_TTM</stp>
        <stp>2</stp>
        <stp>002453</stp>
        <stp>12/31/2018</stp>
        <tr r="O2057" s="1"/>
      </tp>
      <tp>
        <v>1.83061282392875</v>
        <stp/>
        <stp>EM_S_VAL_PS_TTM</stp>
        <stp>2</stp>
        <stp>002452</stp>
        <stp>12/31/2018</stp>
        <tr r="O763" s="1"/>
      </tp>
      <tp>
        <v>9.1618644778927401</v>
        <stp/>
        <stp>EM_S_VAL_PS_TTM</stp>
        <stp>2</stp>
        <stp>002451</stp>
        <stp>12/31/2018</stp>
        <tr r="O3095" s="1"/>
      </tp>
      <tp>
        <v>2.0536008512005699</v>
        <stp/>
        <stp>EM_S_VAL_PS_TTM</stp>
        <stp>2</stp>
        <stp>002450</stp>
        <stp>12/31/2018</stp>
        <tr r="O3380" s="1"/>
      </tp>
      <tp>
        <v>8.1281026136848595</v>
        <stp/>
        <stp>EM_S_VAL_PS_TTM</stp>
        <stp>2</stp>
        <stp>002459</stp>
        <stp>12/31/2018</stp>
        <tr r="O871" s="1"/>
      </tp>
      <tp>
        <v>4.3145362893510901</v>
        <stp/>
        <stp>EM_S_VAL_PS_TTM</stp>
        <stp>2</stp>
        <stp>002458</stp>
        <stp>12/31/2018</stp>
        <tr r="O190" s="1"/>
      </tp>
      <tp>
        <v>11.1918765140276</v>
        <stp/>
        <stp>EM_S_VAL_PS_TTM</stp>
        <stp>2</stp>
        <stp>002447</stp>
        <stp>12/31/2018</stp>
        <tr r="O1388" s="1"/>
      </tp>
      <tp>
        <v>4.9420008319488504</v>
        <stp/>
        <stp>EM_S_VAL_PS_TTM</stp>
        <stp>2</stp>
        <stp>002446</stp>
        <stp>12/31/2018</stp>
        <tr r="O1496" s="1"/>
      </tp>
      <tp>
        <v>1.9975773317644201</v>
        <stp/>
        <stp>EM_S_VAL_PS_TTM</stp>
        <stp>2</stp>
        <stp>002445</stp>
        <stp>12/31/2018</stp>
        <tr r="O3228" s="1"/>
      </tp>
      <tp>
        <v>1.8805364258135899</v>
        <stp/>
        <stp>EM_S_VAL_PS_TTM</stp>
        <stp>2</stp>
        <stp>002444</stp>
        <stp>12/31/2018</stp>
        <tr r="O1624" s="1"/>
      </tp>
      <tp>
        <v>0.60698978397841696</v>
        <stp/>
        <stp>EM_S_VAL_PS_TTM</stp>
        <stp>2</stp>
        <stp>002443</stp>
        <stp>12/31/2018</stp>
        <tr r="O1085" s="1"/>
      </tp>
      <tp>
        <v>1.20255135165801</v>
        <stp/>
        <stp>EM_S_VAL_PS_TTM</stp>
        <stp>2</stp>
        <stp>002442</stp>
        <stp>12/31/2018</stp>
        <tr r="O3101" s="1"/>
      </tp>
      <tp>
        <v>0.43313285948162999</v>
        <stp/>
        <stp>EM_S_VAL_PS_TTM</stp>
        <stp>2</stp>
        <stp>002441</stp>
        <stp>12/31/2018</stp>
        <tr r="O1561" s="1"/>
      </tp>
      <tp>
        <v>1.5657814093149101</v>
        <stp/>
        <stp>EM_S_VAL_PS_TTM</stp>
        <stp>2</stp>
        <stp>002440</stp>
        <stp>12/31/2018</stp>
        <tr r="O1133" s="1"/>
      </tp>
      <tp>
        <v>1.7416293330478301</v>
        <stp/>
        <stp>EM_S_VAL_PS_TTM</stp>
        <stp>2</stp>
        <stp>002449</stp>
        <stp>12/31/2018</stp>
        <tr r="O1099" s="1"/>
      </tp>
      <tp>
        <v>2.0392536864028998</v>
        <stp/>
        <stp>EM_S_VAL_PS_TTM</stp>
        <stp>2</stp>
        <stp>002448</stp>
        <stp>12/31/2018</stp>
        <tr r="O2396" s="1"/>
      </tp>
      <tp>
        <v>8.9500963823590798</v>
        <stp/>
        <stp>EM_S_VAL_PS_TTM</stp>
        <stp>2</stp>
        <stp>002931</stp>
        <stp>12/31/2018</stp>
        <tr r="O2638" s="1"/>
      </tp>
      <tp>
        <v>16.239397221492599</v>
        <stp/>
        <stp>EM_S_VAL_PS_TTM</stp>
        <stp>2</stp>
        <stp>002930</stp>
        <stp>12/31/2018</stp>
        <tr r="O3331" s="1"/>
      </tp>
      <tp>
        <v>15.395968838462901</v>
        <stp/>
        <stp>EM_S_VAL_PS_TTM</stp>
        <stp>2</stp>
        <stp>002927</stp>
        <stp>12/31/2018</stp>
        <tr r="O3378" s="1"/>
      </tp>
      <tp>
        <v>8.2414522521395206</v>
        <stp/>
        <stp>EM_S_VAL_PS_TTM</stp>
        <stp>2</stp>
        <stp>002926</stp>
        <stp>12/31/2018</stp>
        <tr r="O890" s="1"/>
      </tp>
      <tp>
        <v>6.7701162340702501</v>
        <stp/>
        <stp>EM_S_VAL_PS_TTM</stp>
        <stp>2</stp>
        <stp>002925</stp>
        <stp>12/31/2018</stp>
        <tr r="O2367" s="1"/>
      </tp>
      <tp>
        <v>2.90858086398408</v>
        <stp/>
        <stp>EM_S_VAL_PS_TTM</stp>
        <stp>2</stp>
        <stp>002923</stp>
        <stp>12/31/2018</stp>
        <tr r="O3191" s="1"/>
      </tp>
      <tp>
        <v>2.00272449404808</v>
        <stp/>
        <stp>EM_S_VAL_PS_TTM</stp>
        <stp>2</stp>
        <stp>002922</stp>
        <stp>12/31/2018</stp>
        <tr r="O2884" s="1"/>
      </tp>
      <tp>
        <v>3.1755066939101799</v>
        <stp/>
        <stp>EM_S_VAL_PS_TTM</stp>
        <stp>2</stp>
        <stp>002921</stp>
        <stp>12/31/2018</stp>
        <tr r="O3207" s="1"/>
      </tp>
      <tp>
        <v>1.69656349341169</v>
        <stp/>
        <stp>EM_S_VAL_PS_TTM</stp>
        <stp>2</stp>
        <stp>002920</stp>
        <stp>12/31/2018</stp>
        <tr r="O269" s="1"/>
      </tp>
      <tp>
        <v>2.2407772731260698</v>
        <stp/>
        <stp>EM_S_VAL_PS_TTM</stp>
        <stp>2</stp>
        <stp>002929</stp>
        <stp>12/31/2018</stp>
        <tr r="O2978" s="1"/>
      </tp>
      <tp>
        <v>1.8290910084969501</v>
        <stp/>
        <stp>EM_S_VAL_PS_TTM</stp>
        <stp>2</stp>
        <stp>002928</stp>
        <stp>12/31/2018</stp>
        <tr r="O3274" s="1"/>
      </tp>
      <tp>
        <v>6.0811164572964103</v>
        <stp/>
        <stp>EM_S_VAL_PS_TTM</stp>
        <stp>2</stp>
        <stp>002917</stp>
        <stp>12/31/2018</stp>
        <tr r="O3192" s="1"/>
      </tp>
      <tp>
        <v>3.2965432563871002</v>
        <stp/>
        <stp>EM_S_VAL_PS_TTM</stp>
        <stp>2</stp>
        <stp>002916</stp>
        <stp>12/31/2018</stp>
        <tr r="O264" s="1"/>
      </tp>
      <tp>
        <v>5.4249387274715604</v>
        <stp/>
        <stp>EM_S_VAL_PS_TTM</stp>
        <stp>2</stp>
        <stp>002915</stp>
        <stp>12/31/2018</stp>
        <tr r="O1164" s="1"/>
      </tp>
      <tp>
        <v>2.7195650123822199</v>
        <stp/>
        <stp>EM_S_VAL_PS_TTM</stp>
        <stp>2</stp>
        <stp>002913</stp>
        <stp>12/31/2018</stp>
        <tr r="O570" s="1"/>
      </tp>
      <tp>
        <v>12.9165630348327</v>
        <stp/>
        <stp>EM_S_VAL_PS_TTM</stp>
        <stp>2</stp>
        <stp>002912</stp>
        <stp>12/31/2018</stp>
        <tr r="O494" s="1"/>
      </tp>
      <tp>
        <v>1.93690065570456</v>
        <stp/>
        <stp>EM_S_VAL_PS_TTM</stp>
        <stp>2</stp>
        <stp>002911</stp>
        <stp>12/31/2018</stp>
        <tr r="O2725" s="1"/>
      </tp>
      <tp>
        <v>3.5993089111318799</v>
        <stp/>
        <stp>EM_S_VAL_PS_TTM</stp>
        <stp>2</stp>
        <stp>002910</stp>
        <stp>12/31/2018</stp>
        <tr r="O2541" s="1"/>
      </tp>
      <tp>
        <v>2.9326216304666901</v>
        <stp/>
        <stp>EM_S_VAL_PS_TTM</stp>
        <stp>2</stp>
        <stp>002919</stp>
        <stp>12/31/2018</stp>
        <tr r="O3159" s="1"/>
      </tp>
      <tp>
        <v>1.26418386181711</v>
        <stp/>
        <stp>EM_S_VAL_PS_TTM</stp>
        <stp>2</stp>
        <stp>002918</stp>
        <stp>12/31/2018</stp>
        <tr r="O1272" s="1"/>
      </tp>
      <tp>
        <v>10.9941541234972</v>
        <stp/>
        <stp>EM_S_VAL_PS_TTM</stp>
        <stp>2</stp>
        <stp>002907</stp>
        <stp>12/31/2018</stp>
        <tr r="O2905" s="1"/>
      </tp>
      <tp>
        <v>1.29722214387615</v>
        <stp/>
        <stp>EM_S_VAL_PS_TTM</stp>
        <stp>2</stp>
        <stp>002906</stp>
        <stp>12/31/2018</stp>
        <tr r="O1168" s="1"/>
      </tp>
      <tp>
        <v>1.6622524562457801</v>
        <stp/>
        <stp>EM_S_VAL_PS_TTM</stp>
        <stp>2</stp>
        <stp>002905</stp>
        <stp>12/31/2018</stp>
        <tr r="O980" s="1"/>
      </tp>
      <tp>
        <v>11.9482979446752</v>
        <stp/>
        <stp>EM_S_VAL_PS_TTM</stp>
        <stp>2</stp>
        <stp>002903</stp>
        <stp>12/31/2018</stp>
        <tr r="O2947" s="1"/>
      </tp>
      <tp>
        <v>2.1267627929647999</v>
        <stp/>
        <stp>EM_S_VAL_PS_TTM</stp>
        <stp>2</stp>
        <stp>002902</stp>
        <stp>12/31/2018</stp>
        <tr r="O2409" s="1"/>
      </tp>
      <tp>
        <v>17.045948437012701</v>
        <stp/>
        <stp>EM_S_VAL_PS_TTM</stp>
        <stp>2</stp>
        <stp>002901</stp>
        <stp>12/31/2018</stp>
        <tr r="O184" s="1"/>
      </tp>
      <tp>
        <v>1.8595729661377201</v>
        <stp/>
        <stp>EM_S_VAL_PS_TTM</stp>
        <stp>2</stp>
        <stp>002900</stp>
        <stp>12/31/2018</stp>
        <tr r="O2567" s="1"/>
      </tp>
      <tp>
        <v>1.9136259866033001</v>
        <stp/>
        <stp>EM_S_VAL_PS_TTM</stp>
        <stp>2</stp>
        <stp>002909</stp>
        <stp>12/31/2018</stp>
        <tr r="O2046" s="1"/>
      </tp>
      <tp>
        <v>5.5210012846519003</v>
        <stp/>
        <stp>EM_S_VAL_PS_TTM</stp>
        <stp>2</stp>
        <stp>002908</stp>
        <stp>12/31/2018</stp>
        <tr r="O3201" s="1"/>
      </tp>
      <tp>
        <v>2.6185235597352499</v>
        <stp/>
        <stp>EM_S_VAL_PS_TTM</stp>
        <stp>2</stp>
        <stp>002897</stp>
        <stp>12/31/2018</stp>
        <tr r="O887" s="1"/>
      </tp>
      <tp>
        <v>4.3162065461691199</v>
        <stp/>
        <stp>EM_S_VAL_PS_TTM</stp>
        <stp>2</stp>
        <stp>002896</stp>
        <stp>12/31/2018</stp>
        <tr r="O3187" s="1"/>
      </tp>
      <tp>
        <v>3.85127696638434</v>
        <stp/>
        <stp>EM_S_VAL_PS_TTM</stp>
        <stp>2</stp>
        <stp>002895</stp>
        <stp>12/31/2018</stp>
        <tr r="O2097" s="1"/>
      </tp>
      <tp>
        <v>2.06886818945291</v>
        <stp/>
        <stp>EM_S_VAL_PS_TTM</stp>
        <stp>2</stp>
        <stp>002893</stp>
        <stp>12/31/2018</stp>
        <tr r="O3136" s="1"/>
      </tp>
      <tp>
        <v>3.2709855808728001</v>
        <stp/>
        <stp>EM_S_VAL_PS_TTM</stp>
        <stp>2</stp>
        <stp>002892</stp>
        <stp>12/31/2018</stp>
        <tr r="O1688" s="1"/>
      </tp>
      <tp>
        <v>2.5469619628385298</v>
        <stp/>
        <stp>EM_S_VAL_PS_TTM</stp>
        <stp>2</stp>
        <stp>002891</stp>
        <stp>12/31/2018</stp>
        <tr r="O3025" s="1"/>
      </tp>
      <tp>
        <v>5.6497171645864404</v>
        <stp/>
        <stp>EM_S_VAL_PS_TTM</stp>
        <stp>2</stp>
        <stp>002890</stp>
        <stp>12/31/2018</stp>
        <tr r="O756" s="1"/>
      </tp>
      <tp>
        <v>1.95359527134225</v>
        <stp/>
        <stp>EM_S_VAL_PS_TTM</stp>
        <stp>2</stp>
        <stp>002899</stp>
        <stp>12/31/2018</stp>
        <tr r="O2501" s="1"/>
      </tp>
      <tp>
        <v>5.46272721023829</v>
        <stp/>
        <stp>EM_S_VAL_PS_TTM</stp>
        <stp>2</stp>
        <stp>002898</stp>
        <stp>12/31/2018</stp>
        <tr r="O2713" s="1"/>
      </tp>
      <tp>
        <v>4.1608540038018997</v>
        <stp/>
        <stp>EM_S_VAL_PS_TTM</stp>
        <stp>2</stp>
        <stp>002887</stp>
        <stp>12/31/2018</stp>
        <tr r="O2528" s="1"/>
      </tp>
      <tp>
        <v>2.5738311839360599</v>
        <stp/>
        <stp>EM_S_VAL_PS_TTM</stp>
        <stp>2</stp>
        <stp>002886</stp>
        <stp>12/31/2018</stp>
        <tr r="O774" s="1"/>
      </tp>
      <tp>
        <v>1.9878300740600301</v>
        <stp/>
        <stp>EM_S_VAL_PS_TTM</stp>
        <stp>2</stp>
        <stp>002885</stp>
        <stp>12/31/2018</stp>
        <tr r="O3090" s="1"/>
      </tp>
      <tp>
        <v>2.3869993688553399</v>
        <stp/>
        <stp>EM_S_VAL_PS_TTM</stp>
        <stp>2</stp>
        <stp>002884</stp>
        <stp>12/31/2018</stp>
        <tr r="O3180" s="1"/>
      </tp>
      <tp>
        <v>6.4439260966565</v>
        <stp/>
        <stp>EM_S_VAL_PS_TTM</stp>
        <stp>2</stp>
        <stp>002883</stp>
        <stp>12/31/2018</stp>
        <tr r="O2216" s="1"/>
      </tp>
      <tp>
        <v>1.34396797704764</v>
        <stp/>
        <stp>EM_S_VAL_PS_TTM</stp>
        <stp>2</stp>
        <stp>002882</stp>
        <stp>12/31/2018</stp>
        <tr r="O1759" s="1"/>
      </tp>
      <tp>
        <v>4.00725727356894</v>
        <stp/>
        <stp>EM_S_VAL_PS_TTM</stp>
        <stp>2</stp>
        <stp>002881</stp>
        <stp>12/31/2018</stp>
        <tr r="O534" s="1"/>
      </tp>
      <tp>
        <v>6.6675536780984102</v>
        <stp/>
        <stp>EM_S_VAL_PS_TTM</stp>
        <stp>2</stp>
        <stp>002880</stp>
        <stp>12/31/2018</stp>
        <tr r="O1086" s="1"/>
      </tp>
      <tp>
        <v>0.26876974140978199</v>
        <stp/>
        <stp>EM_S_VAL_PS_TTM</stp>
        <stp>2</stp>
        <stp>002889</stp>
        <stp>12/31/2018</stp>
        <tr r="O1842" s="1"/>
      </tp>
      <tp>
        <v>8.7153969166621703</v>
        <stp/>
        <stp>EM_S_VAL_PS_TTM</stp>
        <stp>2</stp>
        <stp>002888</stp>
        <stp>12/31/2018</stp>
        <tr r="O1442" s="1"/>
      </tp>
      <tp>
        <v>3.2880585435304601</v>
        <stp/>
        <stp>EM_S_VAL_PS_TTM</stp>
        <stp>2</stp>
        <stp>002837</stp>
        <stp>12/31/2018</stp>
        <tr r="O1629" s="1"/>
      </tp>
      <tp>
        <v>6.6350539893464902</v>
        <stp/>
        <stp>EM_S_VAL_PS_TTM</stp>
        <stp>2</stp>
        <stp>002836</stp>
        <stp>12/31/2018</stp>
        <tr r="O2009" s="1"/>
      </tp>
      <tp>
        <v>2.76424769051382</v>
        <stp/>
        <stp>EM_S_VAL_PS_TTM</stp>
        <stp>2</stp>
        <stp>002835</stp>
        <stp>12/31/2018</stp>
        <tr r="O321" s="1"/>
      </tp>
      <tp>
        <v>4.0931312392202202</v>
        <stp/>
        <stp>EM_S_VAL_PS_TTM</stp>
        <stp>2</stp>
        <stp>002833</stp>
        <stp>12/31/2018</stp>
        <tr r="O1553" s="1"/>
      </tp>
      <tp>
        <v>4.4686189436773702</v>
        <stp/>
        <stp>EM_S_VAL_PS_TTM</stp>
        <stp>2</stp>
        <stp>002832</stp>
        <stp>12/31/2018</stp>
        <tr r="O3123" s="1"/>
      </tp>
      <tp>
        <v>2.0340037810411302</v>
        <stp/>
        <stp>EM_S_VAL_PS_TTM</stp>
        <stp>2</stp>
        <stp>002831</stp>
        <stp>12/31/2018</stp>
        <tr r="O3252" s="1"/>
      </tp>
      <tp>
        <v>2.6962524043326401</v>
        <stp/>
        <stp>EM_S_VAL_PS_TTM</stp>
        <stp>2</stp>
        <stp>002830</stp>
        <stp>12/31/2018</stp>
        <tr r="O2632" s="1"/>
      </tp>
      <tp>
        <v>3.5502535386717202</v>
        <stp/>
        <stp>EM_S_VAL_PS_TTM</stp>
        <stp>2</stp>
        <stp>002839</stp>
        <stp>12/31/2018</stp>
        <tr r="O1722" s="1"/>
      </tp>
      <tp>
        <v>4.0800297434445403</v>
        <stp/>
        <stp>EM_S_VAL_PS_TTM</stp>
        <stp>2</stp>
        <stp>002838</stp>
        <stp>12/31/2018</stp>
        <tr r="O3303" s="1"/>
      </tp>
      <tp>
        <v>6.5482416306414803</v>
        <stp/>
        <stp>EM_S_VAL_PS_TTM</stp>
        <stp>2</stp>
        <stp>002827</stp>
        <stp>12/31/2018</stp>
        <tr r="O3229" s="1"/>
      </tp>
      <tp>
        <v>4.2952524720047496</v>
        <stp/>
        <stp>EM_S_VAL_PS_TTM</stp>
        <stp>2</stp>
        <stp>002826</stp>
        <stp>12/31/2018</stp>
        <tr r="O2473" s="1"/>
      </tp>
      <tp>
        <v>2.5459522270281898</v>
        <stp/>
        <stp>EM_S_VAL_PS_TTM</stp>
        <stp>2</stp>
        <stp>002825</stp>
        <stp>12/31/2018</stp>
        <tr r="O2522" s="1"/>
      </tp>
      <tp>
        <v>1.6933970265064899</v>
        <stp/>
        <stp>EM_S_VAL_PS_TTM</stp>
        <stp>2</stp>
        <stp>002824</stp>
        <stp>12/31/2018</stp>
        <tr r="O1249" s="1"/>
      </tp>
      <tp>
        <v>1.99148173318983</v>
        <stp/>
        <stp>EM_S_VAL_PS_TTM</stp>
        <stp>2</stp>
        <stp>002823</stp>
        <stp>12/31/2018</stp>
        <tr r="O2753" s="1"/>
      </tp>
      <tp>
        <v>0.78353848679503202</v>
        <stp/>
        <stp>EM_S_VAL_PS_TTM</stp>
        <stp>2</stp>
        <stp>002822</stp>
        <stp>12/31/2018</stp>
        <tr r="O219" s="1"/>
      </tp>
      <tp>
        <v>9.0431953117825898</v>
        <stp/>
        <stp>EM_S_VAL_PS_TTM</stp>
        <stp>2</stp>
        <stp>002821</stp>
        <stp>12/31/2018</stp>
        <tr r="O209" s="1"/>
      </tp>
      <tp>
        <v>5.13114975807202</v>
        <stp/>
        <stp>EM_S_VAL_PS_TTM</stp>
        <stp>2</stp>
        <stp>002820</stp>
        <stp>12/31/2018</stp>
        <tr r="O2429" s="1"/>
      </tp>
      <tp>
        <v>5.9267820279685903</v>
        <stp/>
        <stp>EM_S_VAL_PS_TTM</stp>
        <stp>2</stp>
        <stp>002829</stp>
        <stp>12/31/2018</stp>
        <tr r="O1147" s="1"/>
      </tp>
      <tp>
        <v>2.9576177727055302</v>
        <stp/>
        <stp>EM_S_VAL_PS_TTM</stp>
        <stp>2</stp>
        <stp>002828</stp>
        <stp>12/31/2018</stp>
        <tr r="O2577" s="1"/>
      </tp>
      <tp>
        <v>5.21257510789117</v>
        <stp/>
        <stp>EM_S_VAL_PS_TTM</stp>
        <stp>2</stp>
        <stp>002817</stp>
        <stp>12/31/2018</stp>
        <tr r="O851" s="1"/>
      </tp>
      <tp>
        <v>4.67593308195754</v>
        <stp/>
        <stp>EM_S_VAL_PS_TTM</stp>
        <stp>2</stp>
        <stp>002816</stp>
        <stp>12/31/2018</stp>
        <tr r="O652" s="1"/>
      </tp>
      <tp>
        <v>3.3928278778158401</v>
        <stp/>
        <stp>EM_S_VAL_PS_TTM</stp>
        <stp>2</stp>
        <stp>002815</stp>
        <stp>12/31/2018</stp>
        <tr r="O1314" s="1"/>
      </tp>
      <tp>
        <v>3.9405398955159998</v>
        <stp/>
        <stp>EM_S_VAL_PS_TTM</stp>
        <stp>2</stp>
        <stp>002813</stp>
        <stp>12/31/2018</stp>
        <tr r="O2566" s="1"/>
      </tp>
      <tp>
        <v>18.525959875748999</v>
        <stp/>
        <stp>EM_S_VAL_PS_TTM</stp>
        <stp>2</stp>
        <stp>002812</stp>
        <stp>12/31/2018</stp>
        <tr r="O2026" s="1"/>
      </tp>
      <tp>
        <v>1.5714218087787899</v>
        <stp/>
        <stp>EM_S_VAL_PS_TTM</stp>
        <stp>2</stp>
        <stp>002811</stp>
        <stp>12/31/2018</stp>
        <tr r="O2796" s="1"/>
      </tp>
      <tp>
        <v>2.5347641593004302</v>
        <stp/>
        <stp>EM_S_VAL_PS_TTM</stp>
        <stp>2</stp>
        <stp>002810</stp>
        <stp>12/31/2018</stp>
        <tr r="O1778" s="1"/>
      </tp>
      <tp>
        <v>2.9381948908851401</v>
        <stp/>
        <stp>EM_S_VAL_PS_TTM</stp>
        <stp>2</stp>
        <stp>002819</stp>
        <stp>12/31/2018</stp>
        <tr r="O1242" s="1"/>
      </tp>
      <tp>
        <v>6.7212515609243901</v>
        <stp/>
        <stp>EM_S_VAL_PS_TTM</stp>
        <stp>2</stp>
        <stp>002818</stp>
        <stp>12/31/2018</stp>
        <tr r="O3300" s="1"/>
      </tp>
      <tp>
        <v>2.9753750129027101</v>
        <stp/>
        <stp>EM_S_VAL_PS_TTM</stp>
        <stp>2</stp>
        <stp>002807</stp>
        <stp>12/31/2018</stp>
        <tr r="O2715" s="1"/>
      </tp>
      <tp>
        <v>6.4926188132711999</v>
        <stp/>
        <stp>EM_S_VAL_PS_TTM</stp>
        <stp>2</stp>
        <stp>002806</stp>
        <stp>12/31/2018</stp>
        <tr r="O3132" s="1"/>
      </tp>
      <tp>
        <v>4.8423834881299399</v>
        <stp/>
        <stp>EM_S_VAL_PS_TTM</stp>
        <stp>2</stp>
        <stp>002805</stp>
        <stp>12/31/2018</stp>
        <tr r="O3062" s="1"/>
      </tp>
      <tp>
        <v>1.41670634633305</v>
        <stp/>
        <stp>EM_S_VAL_PS_TTM</stp>
        <stp>2</stp>
        <stp>002803</stp>
        <stp>12/31/2018</stp>
        <tr r="O257" s="1"/>
      </tp>
      <tp>
        <v>4.5288908389301099</v>
        <stp/>
        <stp>EM_S_VAL_PS_TTM</stp>
        <stp>2</stp>
        <stp>002802</stp>
        <stp>12/31/2018</stp>
        <tr r="O2459" s="1"/>
      </tp>
      <tp>
        <v>4.1090084396017099</v>
        <stp/>
        <stp>EM_S_VAL_PS_TTM</stp>
        <stp>2</stp>
        <stp>002801</stp>
        <stp>12/31/2018</stp>
        <tr r="O345" s="1"/>
      </tp>
      <tp>
        <v>1.66982118177905</v>
        <stp/>
        <stp>EM_S_VAL_PS_TTM</stp>
        <stp>2</stp>
        <stp>002800</stp>
        <stp>12/31/2018</stp>
        <tr r="O363" s="1"/>
      </tp>
      <tp>
        <v>2.2507217982956802</v>
        <stp/>
        <stp>EM_S_VAL_PS_TTM</stp>
        <stp>2</stp>
        <stp>002809</stp>
        <stp>12/31/2018</stp>
        <tr r="O961" s="1"/>
      </tp>
      <tp>
        <v>8.1233085683985298</v>
        <stp/>
        <stp>EM_S_VAL_PS_TTM</stp>
        <stp>2</stp>
        <stp>002808</stp>
        <stp>12/31/2018</stp>
        <tr r="O3161" s="1"/>
      </tp>
      <tp>
        <v>8.3340281160400593</v>
        <stp/>
        <stp>EM_S_VAL_PS_TTM</stp>
        <stp>2</stp>
        <stp>002877</stp>
        <stp>12/31/2018</stp>
        <tr r="O3315" s="1"/>
      </tp>
      <tp>
        <v>2.9996227907820501</v>
        <stp/>
        <stp>EM_S_VAL_PS_TTM</stp>
        <stp>2</stp>
        <stp>002876</stp>
        <stp>12/31/2018</stp>
        <tr r="O487" s="1"/>
      </tp>
      <tp>
        <v>1.6339734526479099</v>
        <stp/>
        <stp>EM_S_VAL_PS_TTM</stp>
        <stp>2</stp>
        <stp>002875</stp>
        <stp>12/31/2018</stp>
        <tr r="O1887" s="1"/>
      </tp>
      <tp>
        <v>2.80382645861186</v>
        <stp/>
        <stp>EM_S_VAL_PS_TTM</stp>
        <stp>2</stp>
        <stp>002873</stp>
        <stp>12/31/2018</stp>
        <tr r="O2205" s="1"/>
      </tp>
      <tp>
        <v>1.1691496161493</v>
        <stp/>
        <stp>EM_S_VAL_PS_TTM</stp>
        <stp>2</stp>
        <stp>002872</stp>
        <stp>12/31/2018</stp>
        <tr r="O3295" s="1"/>
      </tp>
      <tp>
        <v>7.17943486648754</v>
        <stp/>
        <stp>EM_S_VAL_PS_TTM</stp>
        <stp>2</stp>
        <stp>002871</stp>
        <stp>12/31/2018</stp>
        <tr r="O2391" s="1"/>
      </tp>
      <tp>
        <v>1.7618381212721199</v>
        <stp/>
        <stp>EM_S_VAL_PS_TTM</stp>
        <stp>2</stp>
        <stp>002870</stp>
        <stp>12/31/2018</stp>
        <tr r="O411" s="1"/>
      </tp>
      <tp>
        <v>4.0727449329357199</v>
        <stp/>
        <stp>EM_S_VAL_PS_TTM</stp>
        <stp>2</stp>
        <stp>002879</stp>
        <stp>12/31/2018</stp>
        <tr r="O1221" s="1"/>
      </tp>
      <tp>
        <v>3.5836490258312401</v>
        <stp/>
        <stp>EM_S_VAL_PS_TTM</stp>
        <stp>2</stp>
        <stp>002878</stp>
        <stp>12/31/2018</stp>
        <tr r="O1941" s="1"/>
      </tp>
      <tp>
        <v>2.89368812580142</v>
        <stp/>
        <stp>EM_S_VAL_PS_TTM</stp>
        <stp>2</stp>
        <stp>002867</stp>
        <stp>12/31/2018</stp>
        <tr r="O3224" s="1"/>
      </tp>
      <tp>
        <v>2.83556852032592</v>
        <stp/>
        <stp>EM_S_VAL_PS_TTM</stp>
        <stp>2</stp>
        <stp>002866</stp>
        <stp>12/31/2018</stp>
        <tr r="O796" s="1"/>
      </tp>
      <tp>
        <v>2.0780292450111202</v>
        <stp/>
        <stp>EM_S_VAL_PS_TTM</stp>
        <stp>2</stp>
        <stp>002865</stp>
        <stp>12/31/2018</stp>
        <tr r="O3027" s="1"/>
      </tp>
      <tp>
        <v>6.2556435321084303</v>
        <stp/>
        <stp>EM_S_VAL_PS_TTM</stp>
        <stp>2</stp>
        <stp>002864</stp>
        <stp>12/31/2018</stp>
        <tr r="O2995" s="1"/>
      </tp>
      <tp>
        <v>0.82884333610459004</v>
        <stp/>
        <stp>EM_S_VAL_PS_TTM</stp>
        <stp>2</stp>
        <stp>002863</stp>
        <stp>12/31/2018</stp>
        <tr r="O2846" s="1"/>
      </tp>
      <tp>
        <v>4.2039182904353201</v>
        <stp/>
        <stp>EM_S_VAL_PS_TTM</stp>
        <stp>2</stp>
        <stp>002862</stp>
        <stp>12/31/2018</stp>
        <tr r="O2070" s="1"/>
      </tp>
      <tp>
        <v>2.6286294150516198</v>
        <stp/>
        <stp>EM_S_VAL_PS_TTM</stp>
        <stp>2</stp>
        <stp>002861</stp>
        <stp>12/31/2018</stp>
        <tr r="O286" s="1"/>
      </tp>
      <tp>
        <v>5.3172128812798896</v>
        <stp/>
        <stp>EM_S_VAL_PS_TTM</stp>
        <stp>2</stp>
        <stp>002860</stp>
        <stp>12/31/2018</stp>
        <tr r="O1191" s="1"/>
      </tp>
      <tp>
        <v>3.45190080286168</v>
        <stp/>
        <stp>EM_S_VAL_PS_TTM</stp>
        <stp>2</stp>
        <stp>002869</stp>
        <stp>12/31/2018</stp>
        <tr r="O26" s="1"/>
      </tp>
      <tp>
        <v>5.2578790605762098</v>
        <stp/>
        <stp>EM_S_VAL_PS_TTM</stp>
        <stp>2</stp>
        <stp>002868</stp>
        <stp>12/31/2018</stp>
        <tr r="O1313" s="1"/>
      </tp>
      <tp>
        <v>7.4474138933945602</v>
        <stp/>
        <stp>EM_S_VAL_PS_TTM</stp>
        <stp>2</stp>
        <stp>002857</stp>
        <stp>12/31/2018</stp>
        <tr r="O2140" s="1"/>
      </tp>
      <tp>
        <v>2.6582077587225199</v>
        <stp/>
        <stp>EM_S_VAL_PS_TTM</stp>
        <stp>2</stp>
        <stp>002856</stp>
        <stp>12/31/2018</stp>
        <tr r="O2870" s="1"/>
      </tp>
      <tp>
        <v>0.99392048905071195</v>
        <stp/>
        <stp>EM_S_VAL_PS_TTM</stp>
        <stp>2</stp>
        <stp>002855</stp>
        <stp>12/31/2018</stp>
        <tr r="O475" s="1"/>
      </tp>
      <tp>
        <v>2.7195217773162002</v>
        <stp/>
        <stp>EM_S_VAL_PS_TTM</stp>
        <stp>2</stp>
        <stp>002853</stp>
        <stp>12/31/2018</stp>
        <tr r="O2233" s="1"/>
      </tp>
      <tp>
        <v>1.01085621192942</v>
        <stp/>
        <stp>EM_S_VAL_PS_TTM</stp>
        <stp>2</stp>
        <stp>002852</stp>
        <stp>12/31/2018</stp>
        <tr r="O1784" s="1"/>
      </tp>
      <tp>
        <v>3.1879048648931501</v>
        <stp/>
        <stp>EM_S_VAL_PS_TTM</stp>
        <stp>2</stp>
        <stp>002851</stp>
        <stp>12/31/2018</stp>
        <tr r="O2406" s="1"/>
      </tp>
      <tp>
        <v>2.4179643239798998</v>
        <stp/>
        <stp>EM_S_VAL_PS_TTM</stp>
        <stp>2</stp>
        <stp>002850</stp>
        <stp>12/31/2018</stp>
        <tr r="O87" s="1"/>
      </tp>
      <tp>
        <v>6.09395095795057</v>
        <stp/>
        <stp>EM_S_VAL_PS_TTM</stp>
        <stp>2</stp>
        <stp>002859</stp>
        <stp>12/31/2018</stp>
        <tr r="O1645" s="1"/>
      </tp>
      <tp>
        <v>4.50890474713069</v>
        <stp/>
        <stp>EM_S_VAL_PS_TTM</stp>
        <stp>2</stp>
        <stp>002858</stp>
        <stp>12/31/2018</stp>
        <tr r="O1816" s="1"/>
      </tp>
      <tp>
        <v>2.7691566930284202</v>
        <stp/>
        <stp>EM_S_VAL_PS_TTM</stp>
        <stp>2</stp>
        <stp>002847</stp>
        <stp>12/31/2018</stp>
        <tr r="O368" s="1"/>
      </tp>
      <tp>
        <v>3.1364559695993699</v>
        <stp/>
        <stp>EM_S_VAL_PS_TTM</stp>
        <stp>2</stp>
        <stp>002846</stp>
        <stp>12/31/2018</stp>
        <tr r="O237" s="1"/>
      </tp>
      <tp>
        <v>0.89877432123698997</v>
        <stp/>
        <stp>EM_S_VAL_PS_TTM</stp>
        <stp>2</stp>
        <stp>002845</stp>
        <stp>12/31/2018</stp>
        <tr r="O1899" s="1"/>
      </tp>
      <tp>
        <v>4.9395726896933096</v>
        <stp/>
        <stp>EM_S_VAL_PS_TTM</stp>
        <stp>2</stp>
        <stp>002843</stp>
        <stp>12/31/2018</stp>
        <tr r="O3239" s="1"/>
      </tp>
      <tp>
        <v>1.70862279143672</v>
        <stp/>
        <stp>EM_S_VAL_PS_TTM</stp>
        <stp>2</stp>
        <stp>002842</stp>
        <stp>12/31/2018</stp>
        <tr r="O2843" s="1"/>
      </tp>
      <tp>
        <v>2.42074440390211</v>
        <stp/>
        <stp>EM_S_VAL_PS_TTM</stp>
        <stp>2</stp>
        <stp>002841</stp>
        <stp>12/31/2018</stp>
        <tr r="O563" s="1"/>
      </tp>
      <tp>
        <v>0.68726911076921704</v>
        <stp/>
        <stp>EM_S_VAL_PS_TTM</stp>
        <stp>2</stp>
        <stp>002840</stp>
        <stp>12/31/2018</stp>
        <tr r="O1148" s="1"/>
      </tp>
      <tp>
        <v>2.4666977913578201</v>
        <stp/>
        <stp>EM_S_VAL_PS_TTM</stp>
        <stp>2</stp>
        <stp>002849</stp>
        <stp>12/31/2018</stp>
        <tr r="O2282" s="1"/>
      </tp>
      <tp>
        <v>2.04658900513774</v>
        <stp/>
        <stp>EM_S_VAL_PS_TTM</stp>
        <stp>2</stp>
        <stp>002848</stp>
        <stp>12/31/2018</stp>
        <tr r="O1699" s="1"/>
      </tp>
      <tp>
        <v>9.2949620591999995</v>
        <stp/>
        <stp>EM_S_FA_NETPROFITMARGIN</stp>
        <stp>3</stp>
        <stp>603979</stp>
        <stp>12/31/2018</stp>
        <stp>1</stp>
        <tr r="J1297" s="1"/>
      </tp>
      <tp>
        <v>6.1495053101000003</v>
        <stp/>
        <stp>EM_S_FA_NETPROFITMARGIN</stp>
        <stp>3</stp>
        <stp>603879</stp>
        <stp>12/31/2018</stp>
        <stp>1</stp>
        <tr r="J1251" s="1"/>
      </tp>
      <tp>
        <v>8.2832192648999996</v>
        <stp/>
        <stp>EM_S_FA_NETPROFITMARGIN</stp>
        <stp>3</stp>
        <stp>603179</stp>
        <stp>12/31/2018</stp>
        <stp>1</stp>
        <tr r="J1445" s="1"/>
      </tp>
      <tp>
        <v>8.6427662651000006</v>
        <stp/>
        <stp>EM_S_FA_NETPROFITMARGIN</stp>
        <stp>3</stp>
        <stp>603079</stp>
        <stp>12/31/2018</stp>
        <stp>1</stp>
        <tr r="J90" s="1"/>
      </tp>
      <tp>
        <v>10.8875406877</v>
        <stp/>
        <stp>EM_S_FA_NETPROFITMARGIN</stp>
        <stp>3</stp>
        <stp>603579</stp>
        <stp>12/31/2018</stp>
        <stp>1</stp>
        <tr r="J1908" s="1"/>
      </tp>
      <tp>
        <v>6.5533756163000003</v>
        <stp/>
        <stp>EM_S_FA_NETPROFITMARGIN</stp>
        <stp>3</stp>
        <stp>603779</stp>
        <stp>12/31/2018</stp>
        <stp>1</stp>
        <tr r="J3383" s="1"/>
      </tp>
      <tp>
        <v>13.399377011</v>
        <stp/>
        <stp>EM_S_FA_NETPROFITMARGIN</stp>
        <stp>3</stp>
        <stp>603679</stp>
        <stp>12/31/2018</stp>
        <stp>1</stp>
        <tr r="J247" s="1"/>
      </tp>
      <tp>
        <v>5.4296195110000003</v>
        <stp/>
        <stp>EM_S_FA_NETPROFITMARGIN</stp>
        <stp>3</stp>
        <stp>002919</stp>
        <stp>12/31/2018</stp>
        <stp>1</stp>
        <tr r="J3159" s="1"/>
      </tp>
      <tp>
        <v>6.0041905334000001</v>
        <stp/>
        <stp>EM_S_FA_NETPROFITMARGIN</stp>
        <stp>3</stp>
        <stp>002819</stp>
        <stp>12/31/2018</stp>
        <stp>1</stp>
        <tr r="J1242" s="1"/>
      </tp>
      <tp>
        <v>6.2280102053000004</v>
        <stp/>
        <stp>EM_S_FA_NETPROFITMARGIN</stp>
        <stp>3</stp>
        <stp>002119</stp>
        <stp>12/31/2018</stp>
        <stp>1</stp>
        <tr r="J493" s="1"/>
      </tp>
      <tp>
        <v>14.9763844767</v>
        <stp/>
        <stp>EM_S_FA_NETPROFITMARGIN</stp>
        <stp>3</stp>
        <stp>002019</stp>
        <stp>12/31/2018</stp>
        <stp>1</stp>
        <tr r="J581" s="1"/>
      </tp>
      <tp>
        <v>-6.9231304004999998</v>
        <stp/>
        <stp>EM_S_FA_NETPROFITMARGIN</stp>
        <stp>3</stp>
        <stp>002319</stp>
        <stp>12/31/2018</stp>
        <stp>1</stp>
        <tr r="J3323" s="1"/>
      </tp>
      <tp>
        <v>-36.152688044500003</v>
        <stp/>
        <stp>EM_S_FA_NETPROFITMARGIN</stp>
        <stp>3</stp>
        <stp>002219</stp>
        <stp>12/31/2018</stp>
        <stp>1</stp>
        <tr r="J3232" s="1"/>
      </tp>
      <tp>
        <v>-76.915332605700002</v>
        <stp/>
        <stp>EM_S_FA_NETPROFITMARGIN</stp>
        <stp>3</stp>
        <stp>002519</stp>
        <stp>12/31/2018</stp>
        <stp>1</stp>
        <tr r="J1671" s="1"/>
      </tp>
      <tp>
        <v>4.7269361103999996</v>
        <stp/>
        <stp>EM_S_FA_NETPROFITMARGIN</stp>
        <stp>3</stp>
        <stp>002419</stp>
        <stp>12/31/2018</stp>
        <stp>1</stp>
        <tr r="J2535" s="1"/>
      </tp>
      <tp>
        <v>-25.7760523828</v>
        <stp/>
        <stp>EM_S_FA_NETPROFITMARGIN</stp>
        <stp>3</stp>
        <stp>002719</stp>
        <stp>12/31/2018</stp>
        <stp>1</stp>
        <tr r="J2151" s="1"/>
      </tp>
      <tp>
        <v>80.755116793300004</v>
        <stp/>
        <stp>EM_S_FA_NETPROFITMARGIN</stp>
        <stp>3</stp>
        <stp>002619</stp>
        <stp>12/31/2018</stp>
        <stp>1</stp>
        <tr r="J2620" s="1"/>
      </tp>
      <tp>
        <v>3.9357590077000002</v>
        <stp/>
        <stp>EM_S_FA_NETPROFITMARGIN</stp>
        <stp>3</stp>
        <stp>601179</stp>
        <stp>12/31/2018</stp>
        <stp>1</stp>
        <tr r="J1813" s="1"/>
      </tp>
      <tp>
        <v>14.9339839056</v>
        <stp/>
        <stp>EM_S_FA_NETPROFITMARGIN</stp>
        <stp>3</stp>
        <stp>601579</stp>
        <stp>12/31/2018</stp>
        <stp>1</stp>
        <tr r="J2532" s="1"/>
      </tp>
      <tp>
        <v>9.9644802558999999</v>
        <stp/>
        <stp>EM_S_FA_NETPROFITMARGIN</stp>
        <stp>3</stp>
        <stp>000919</stp>
        <stp>12/31/2018</stp>
        <stp>1</stp>
        <tr r="J3576" s="1"/>
      </tp>
      <tp>
        <v>11.3933760274</v>
        <stp/>
        <stp>EM_S_FA_NETPROFITMARGIN</stp>
        <stp>3</stp>
        <stp>600979</stp>
        <stp>12/31/2018</stp>
        <stp>1</stp>
        <tr r="J2045" s="1"/>
      </tp>
      <tp>
        <v>2.3151350131999999</v>
        <stp/>
        <stp>EM_S_FA_NETPROFITMARGIN</stp>
        <stp>3</stp>
        <stp>000819</stp>
        <stp>12/31/2018</stp>
        <stp>1</stp>
        <tr r="J2694" s="1"/>
      </tp>
      <tp>
        <v>3.6855641826999999</v>
        <stp/>
        <stp>EM_S_FA_NETPROFITMARGIN</stp>
        <stp>3</stp>
        <stp>600879</stp>
        <stp>12/31/2018</stp>
        <stp>1</stp>
        <tr r="J1674" s="1"/>
      </tp>
      <tp>
        <v>0.62272774779999995</v>
        <stp/>
        <stp>EM_S_FA_NETPROFITMARGIN</stp>
        <stp>3</stp>
        <stp>300129</stp>
        <stp>12/31/2018</stp>
        <stp>1</stp>
        <tr r="J310" s="1"/>
      </tp>
      <tp>
        <v>4.8870183522000001</v>
        <stp/>
        <stp>EM_S_FA_NETPROFITMARGIN</stp>
        <stp>3</stp>
        <stp>600179</stp>
        <stp>12/31/2018</stp>
        <stp>1</stp>
        <tr r="J3223" s="1"/>
      </tp>
      <tp>
        <v>2.9822678754999998</v>
        <stp/>
        <stp>EM_S_FA_NETPROFITMARGIN</stp>
        <stp>3</stp>
        <stp>000019</stp>
        <stp>12/31/2018</stp>
        <stp>1</stp>
        <tr r="J2891" s="1"/>
      </tp>
      <tp>
        <v>-1522.6500685038</v>
        <stp/>
        <stp>EM_S_FA_NETPROFITMARGIN</stp>
        <stp>3</stp>
        <stp>300029</stp>
        <stp>12/31/2018</stp>
        <stp>1</stp>
        <tr r="J944" s="1"/>
      </tp>
      <tp>
        <v>-10.524742677100001</v>
        <stp/>
        <stp>EM_S_FA_NETPROFITMARGIN</stp>
        <stp>3</stp>
        <stp>600079</stp>
        <stp>12/31/2018</stp>
        <stp>1</stp>
        <tr r="J1010" s="1"/>
      </tp>
      <tp>
        <v>10.397899669499999</v>
        <stp/>
        <stp>EM_S_FA_NETPROFITMARGIN</stp>
        <stp>3</stp>
        <stp>300329</stp>
        <stp>12/31/2018</stp>
        <stp>1</stp>
        <tr r="J1174" s="1"/>
      </tp>
      <tp>
        <v>4.5288383649000004</v>
        <stp/>
        <stp>EM_S_FA_NETPROFITMARGIN</stp>
        <stp>3</stp>
        <stp>600379</stp>
        <stp>12/31/2018</stp>
        <stp>1</stp>
        <tr r="J2976" s="1"/>
      </tp>
      <tp>
        <v>8.7263129757000009</v>
        <stp/>
        <stp>EM_S_FA_NETPROFITMARGIN</stp>
        <stp>3</stp>
        <stp>300229</stp>
        <stp>12/31/2018</stp>
        <stp>1</stp>
        <tr r="J529" s="1"/>
      </tp>
      <tp>
        <v>2.7872448476999998</v>
        <stp/>
        <stp>EM_S_FA_NETPROFITMARGIN</stp>
        <stp>3</stp>
        <stp>600279</stp>
        <stp>12/31/2018</stp>
        <stp>1</stp>
        <tr r="J1653" s="1"/>
      </tp>
      <tp>
        <v>7.0184099873000001</v>
        <stp/>
        <stp>EM_S_FA_NETPROFITMARGIN</stp>
        <stp>3</stp>
        <stp>000519</stp>
        <stp>12/31/2018</stp>
        <stp>1</stp>
        <tr r="J1223" s="1"/>
      </tp>
      <tp>
        <v>39.443383346600001</v>
        <stp/>
        <stp>EM_S_FA_NETPROFITMARGIN</stp>
        <stp>3</stp>
        <stp>300529</stp>
        <stp>12/31/2018</stp>
        <stp>1</stp>
        <tr r="J323" s="1"/>
      </tp>
      <tp>
        <v>1.6871198774</v>
        <stp/>
        <stp>EM_S_FA_NETPROFITMARGIN</stp>
        <stp>3</stp>
        <stp>600579</stp>
        <stp>12/31/2018</stp>
        <stp>1</stp>
        <tr r="J3071" s="1"/>
      </tp>
      <tp>
        <v>4.4707726555000002</v>
        <stp/>
        <stp>EM_S_FA_NETPROFITMARGIN</stp>
        <stp>3</stp>
        <stp>000419</stp>
        <stp>12/31/2018</stp>
        <stp>1</stp>
        <tr r="J3422" s="1"/>
      </tp>
      <tp>
        <v>18.519776474</v>
        <stp/>
        <stp>EM_S_FA_NETPROFITMARGIN</stp>
        <stp>3</stp>
        <stp>300429</stp>
        <stp>12/31/2018</stp>
        <stp>1</stp>
        <tr r="J3351" s="1"/>
      </tp>
      <tp>
        <v>9.0897313363999999</v>
        <stp/>
        <stp>EM_S_FA_NETPROFITMARGIN</stp>
        <stp>3</stp>
        <stp>600479</stp>
        <stp>12/31/2018</stp>
        <stp>1</stp>
        <tr r="J1683" s="1"/>
      </tp>
      <tp>
        <v>8.2351816722999995</v>
        <stp/>
        <stp>EM_S_FA_NETPROFITMARGIN</stp>
        <stp>3</stp>
        <stp>000719</stp>
        <stp>12/31/2018</stp>
        <stp>1</stp>
        <tr r="J2726" s="1"/>
      </tp>
      <tp>
        <v>6.0828063915000001</v>
        <stp/>
        <stp>EM_S_FA_NETPROFITMARGIN</stp>
        <stp>3</stp>
        <stp>300729</stp>
        <stp>12/31/2018</stp>
        <stp>1</stp>
        <tr r="J1886" s="1"/>
      </tp>
      <tp>
        <v>20.5547015858</v>
        <stp/>
        <stp>EM_S_FA_NETPROFITMARGIN</stp>
        <stp>3</stp>
        <stp>600779</stp>
        <stp>12/31/2018</stp>
        <stp>1</stp>
        <tr r="J355" s="1"/>
      </tp>
      <tp>
        <v>0.1013474085</v>
        <stp/>
        <stp>EM_S_FA_NETPROFITMARGIN</stp>
        <stp>3</stp>
        <stp>000619</stp>
        <stp>12/31/2018</stp>
        <stp>1</stp>
        <tr r="J1623" s="1"/>
      </tp>
      <tp>
        <v>3.8758774549999999</v>
        <stp/>
        <stp>EM_S_FA_NETPROFITMARGIN</stp>
        <stp>3</stp>
        <stp>300629</stp>
        <stp>12/31/2018</stp>
        <stp>1</stp>
        <tr r="J1628" s="1"/>
      </tp>
      <tp>
        <v>1.7024411657</v>
        <stp/>
        <stp>EM_S_FA_NETPROFITMARGIN</stp>
        <stp>3</stp>
        <stp>600679</stp>
        <stp>12/31/2018</stp>
        <stp>1</stp>
        <tr r="J1214" s="1"/>
      </tp>
      <tp>
        <v>11.3728921244</v>
        <stp/>
        <stp>EM_S_FA_NETPROFITMARGIN</stp>
        <stp>3</stp>
        <stp>603978</stp>
        <stp>12/31/2018</stp>
        <stp>1</stp>
        <tr r="J780" s="1"/>
      </tp>
      <tp>
        <v>9.9562871674999993</v>
        <stp/>
        <stp>EM_S_FA_NETPROFITMARGIN</stp>
        <stp>3</stp>
        <stp>603878</stp>
        <stp>12/31/2018</stp>
        <stp>1</stp>
        <tr r="J2363" s="1"/>
      </tp>
      <tp>
        <v>2.7491691040999999</v>
        <stp/>
        <stp>EM_S_FA_NETPROFITMARGIN</stp>
        <stp>3</stp>
        <stp>603178</stp>
        <stp>12/31/2018</stp>
        <stp>1</stp>
        <tr r="J1243" s="1"/>
      </tp>
      <tp>
        <v>10.3354058457</v>
        <stp/>
        <stp>EM_S_FA_NETPROFITMARGIN</stp>
        <stp>3</stp>
        <stp>603078</stp>
        <stp>12/31/2018</stp>
        <stp>1</stp>
        <tr r="J1260" s="1"/>
      </tp>
      <tp>
        <v>3.5332782469000001</v>
        <stp/>
        <stp>EM_S_FA_NETPROFITMARGIN</stp>
        <stp>3</stp>
        <stp>603378</stp>
        <stp>12/31/2018</stp>
        <stp>1</stp>
        <tr r="J357" s="1"/>
      </tp>
      <tp>
        <v>8.4186613300000008</v>
        <stp/>
        <stp>EM_S_FA_NETPROFITMARGIN</stp>
        <stp>3</stp>
        <stp>603278</stp>
        <stp>12/31/2018</stp>
        <stp>1</stp>
        <tr r="J3255" s="1"/>
      </tp>
      <tp>
        <v>18.380739367</v>
        <stp/>
        <stp>EM_S_FA_NETPROFITMARGIN</stp>
        <stp>3</stp>
        <stp>603578</stp>
        <stp>12/31/2018</stp>
        <stp>1</stp>
        <tr r="J1869" s="1"/>
      </tp>
      <tp>
        <v>-6.2252328432999997</v>
        <stp/>
        <stp>EM_S_FA_NETPROFITMARGIN</stp>
        <stp>3</stp>
        <stp>603778</stp>
        <stp>12/31/2018</stp>
        <stp>1</stp>
        <tr r="J2264" s="1"/>
      </tp>
      <tp>
        <v>16.58489058</v>
        <stp/>
        <stp>EM_S_FA_NETPROFITMARGIN</stp>
        <stp>3</stp>
        <stp>603678</stp>
        <stp>12/31/2018</stp>
        <stp>1</stp>
        <tr r="J631" s="1"/>
      </tp>
      <tp>
        <v>11.294852343700001</v>
        <stp/>
        <stp>EM_S_FA_NETPROFITMARGIN</stp>
        <stp>3</stp>
        <stp>002918</stp>
        <stp>12/31/2018</stp>
        <stp>1</stp>
        <tr r="J1272" s="1"/>
      </tp>
      <tp>
        <v>51.731890582600002</v>
        <stp/>
        <stp>EM_S_FA_NETPROFITMARGIN</stp>
        <stp>3</stp>
        <stp>002818</stp>
        <stp>12/31/2018</stp>
        <stp>1</stp>
        <tr r="J3300" s="1"/>
      </tp>
      <tp>
        <v>13.131555308099999</v>
        <stp/>
        <stp>EM_S_FA_NETPROFITMARGIN</stp>
        <stp>3</stp>
        <stp>002118</stp>
        <stp>12/31/2018</stp>
        <stp>1</stp>
        <tr r="J754" s="1"/>
      </tp>
      <tp>
        <v>-118.34063284360001</v>
        <stp/>
        <stp>EM_S_FA_NETPROFITMARGIN</stp>
        <stp>3</stp>
        <stp>002018</stp>
        <stp>12/31/2018</stp>
        <stp>1</stp>
        <tr r="J3608" s="1"/>
      </tp>
      <tp>
        <v>7.5844854036999996</v>
        <stp/>
        <stp>EM_S_FA_NETPROFITMARGIN</stp>
        <stp>3</stp>
        <stp>002318</stp>
        <stp>12/31/2018</stp>
        <stp>1</stp>
        <tr r="J566" s="1"/>
      </tp>
      <tp>
        <v>7.9333336949</v>
        <stp/>
        <stp>EM_S_FA_NETPROFITMARGIN</stp>
        <stp>3</stp>
        <stp>002218</stp>
        <stp>12/31/2018</stp>
        <stp>1</stp>
        <tr r="J1748" s="1"/>
      </tp>
      <tp>
        <v>8.5299910979</v>
        <stp/>
        <stp>EM_S_FA_NETPROFITMARGIN</stp>
        <stp>3</stp>
        <stp>002518</stp>
        <stp>12/31/2018</stp>
        <stp>1</stp>
        <tr r="J588" s="1"/>
      </tp>
      <tp>
        <v>-42.906954540699999</v>
        <stp/>
        <stp>EM_S_FA_NETPROFITMARGIN</stp>
        <stp>3</stp>
        <stp>002418</stp>
        <stp>12/31/2018</stp>
        <stp>1</stp>
        <tr r="J2643" s="1"/>
      </tp>
      <tp>
        <v>14.0221104805</v>
        <stp/>
        <stp>EM_S_FA_NETPROFITMARGIN</stp>
        <stp>3</stp>
        <stp>002718</stp>
        <stp>12/31/2018</stp>
        <stp>1</stp>
        <tr r="J3310" s="1"/>
      </tp>
      <tp>
        <v>7.3970330875999997</v>
        <stp/>
        <stp>EM_S_FA_NETPROFITMARGIN</stp>
        <stp>3</stp>
        <stp>002618</stp>
        <stp>12/31/2018</stp>
        <stp>1</stp>
        <tr r="J2739" s="1"/>
      </tp>
      <tp>
        <v>19.945790960499998</v>
        <stp/>
        <stp>EM_S_FA_NETPROFITMARGIN</stp>
        <stp>3</stp>
        <stp>601878</stp>
        <stp>12/31/2018</stp>
        <stp>1</stp>
        <tr r="J466" s="1"/>
      </tp>
      <tp>
        <v>10.5370475826</v>
        <stp/>
        <stp>EM_S_FA_NETPROFITMARGIN</stp>
        <stp>3</stp>
        <stp>601678</stp>
        <stp>12/31/2018</stp>
        <stp>1</stp>
        <tr r="J1202" s="1"/>
      </tp>
      <tp>
        <v>-97.665555437699993</v>
        <stp/>
        <stp>EM_S_FA_NETPROFITMARGIN</stp>
        <stp>3</stp>
        <stp>000918</stp>
        <stp>12/31/2018</stp>
        <stp>1</stp>
        <tr r="J3575" s="1"/>
      </tp>
      <tp>
        <v>5.2095427790000004</v>
        <stp/>
        <stp>EM_S_FA_NETPROFITMARGIN</stp>
        <stp>3</stp>
        <stp>600978</stp>
        <stp>12/31/2018</stp>
        <stp>1</stp>
        <tr r="J3195" s="1"/>
      </tp>
      <tp>
        <v>13.515681943300001</v>
        <stp/>
        <stp>EM_S_FA_NETPROFITMARGIN</stp>
        <stp>3</stp>
        <stp>000818</stp>
        <stp>12/31/2018</stp>
        <stp>1</stp>
        <tr r="J176" s="1"/>
      </tp>
      <tp>
        <v>12.9782858639</v>
        <stp/>
        <stp>EM_S_FA_NETPROFITMARGIN</stp>
        <stp>3</stp>
        <stp>600878</stp>
        <stp>12/31/2018</stp>
        <stp>1</stp>
        <tr r="J2332" s="1"/>
      </tp>
      <tp>
        <v>-34.219194547000001</v>
        <stp/>
        <stp>EM_S_FA_NETPROFITMARGIN</stp>
        <stp>3</stp>
        <stp>300128</stp>
        <stp>12/31/2018</stp>
        <stp>1</stp>
        <tr r="J1612" s="1"/>
      </tp>
      <tp>
        <v>0.43075325549999999</v>
        <stp/>
        <stp>EM_S_FA_NETPROFITMARGIN</stp>
        <stp>3</stp>
        <stp>600178</stp>
        <stp>12/31/2018</stp>
        <stp>1</stp>
        <tr r="J1550" s="1"/>
      </tp>
      <tp>
        <v>-70.860039735599997</v>
        <stp/>
        <stp>EM_S_FA_NETPROFITMARGIN</stp>
        <stp>3</stp>
        <stp>000018</stp>
        <stp>12/31/2018</stp>
        <stp>1</stp>
        <tr r="J3409" s="1"/>
      </tp>
      <tp>
        <v>-176.37780264689999</v>
        <stp/>
        <stp>EM_S_FA_NETPROFITMARGIN</stp>
        <stp>3</stp>
        <stp>300028</stp>
        <stp>12/31/2018</stp>
        <stp>1</stp>
        <tr r="J2280" s="1"/>
      </tp>
      <tp>
        <v>2.4746412189</v>
        <stp/>
        <stp>EM_S_FA_NETPROFITMARGIN</stp>
        <stp>3</stp>
        <stp>600078</stp>
        <stp>12/31/2018</stp>
        <stp>1</stp>
        <tr r="J391" s="1"/>
      </tp>
      <tp>
        <v>4.0190950655000002</v>
        <stp/>
        <stp>EM_S_FA_NETPROFITMARGIN</stp>
        <stp>3</stp>
        <stp>300328</stp>
        <stp>12/31/2018</stp>
        <stp>1</stp>
        <tr r="J97" s="1"/>
      </tp>
      <tp>
        <v>12.789878378399999</v>
        <stp/>
        <stp>EM_S_FA_NETPROFITMARGIN</stp>
        <stp>3</stp>
        <stp>600378</stp>
        <stp>12/31/2018</stp>
        <stp>1</stp>
        <tr r="J132" s="1"/>
      </tp>
      <tp>
        <v>0.99203870859999999</v>
        <stp/>
        <stp>EM_S_FA_NETPROFITMARGIN</stp>
        <stp>3</stp>
        <stp>300228</stp>
        <stp>12/31/2018</stp>
        <stp>1</stp>
        <tr r="J1991" s="1"/>
      </tp>
      <tp>
        <v>1.1559611645000001</v>
        <stp/>
        <stp>EM_S_FA_NETPROFITMARGIN</stp>
        <stp>3</stp>
        <stp>600278</stp>
        <stp>12/31/2018</stp>
        <stp>1</stp>
        <tr r="J923" s="1"/>
      </tp>
      <tp>
        <v>-7.5134468145</v>
        <stp/>
        <stp>EM_S_FA_NETPROFITMARGIN</stp>
        <stp>3</stp>
        <stp>000518</stp>
        <stp>12/31/2018</stp>
        <stp>1</stp>
        <tr r="J3441" s="1"/>
      </tp>
      <tp>
        <v>-37.597465543699997</v>
        <stp/>
        <stp>EM_S_FA_NETPROFITMARGIN</stp>
        <stp>3</stp>
        <stp>300528</stp>
        <stp>12/31/2018</stp>
        <stp>1</stp>
        <tr r="J3044" s="1"/>
      </tp>
      <tp>
        <v>6.3640382671999998</v>
        <stp/>
        <stp>EM_S_FA_NETPROFITMARGIN</stp>
        <stp>3</stp>
        <stp>600578</stp>
        <stp>12/31/2018</stp>
        <stp>1</stp>
        <tr r="J1962" s="1"/>
      </tp>
      <tp>
        <v>9.0155319542000001</v>
        <stp/>
        <stp>EM_S_FA_NETPROFITMARGIN</stp>
        <stp>3</stp>
        <stp>000418</stp>
        <stp>12/31/2018</stp>
        <stp>1</stp>
        <tr r="J870" s="1"/>
      </tp>
      <tp>
        <v>6.0045915313</v>
        <stp/>
        <stp>EM_S_FA_NETPROFITMARGIN</stp>
        <stp>3</stp>
        <stp>300428</stp>
        <stp>12/31/2018</stp>
        <stp>1</stp>
        <tr r="J1051" s="1"/>
      </tp>
      <tp>
        <v>0.28091469000000002</v>
        <stp/>
        <stp>EM_S_FA_NETPROFITMARGIN</stp>
        <stp>3</stp>
        <stp>600478</stp>
        <stp>12/31/2018</stp>
        <stp>1</stp>
        <tr r="J1797" s="1"/>
      </tp>
      <tp>
        <v>30.174982832200001</v>
        <stp/>
        <stp>EM_S_FA_NETPROFITMARGIN</stp>
        <stp>3</stp>
        <stp>000718</stp>
        <stp>12/31/2018</stp>
        <stp>1</stp>
        <tr r="J3519" s="1"/>
      </tp>
      <tp>
        <v>0</v>
        <stp/>
        <stp>EM_S_FA_NETPROFITMARGIN</stp>
        <stp>3</stp>
        <stp>300728</stp>
        <stp>12/31/2018</stp>
        <stp>1</stp>
        <tr r="J11" s="1"/>
      </tp>
      <tp>
        <v>0.82613031270000004</v>
        <stp/>
        <stp>EM_S_FA_NETPROFITMARGIN</stp>
        <stp>3</stp>
        <stp>600778</stp>
        <stp>12/31/2018</stp>
        <stp>1</stp>
        <tr r="J1299" s="1"/>
      </tp>
      <tp>
        <v>0</v>
        <stp/>
        <stp>EM_S_FA_NETPROFITMARGIN</stp>
        <stp>3</stp>
        <stp>000618</stp>
        <stp>12/31/2018</stp>
        <stp>1</stp>
        <tr r="J3485" s="1"/>
      </tp>
      <tp>
        <v>46.904049759599999</v>
        <stp/>
        <stp>EM_S_FA_NETPROFITMARGIN</stp>
        <stp>3</stp>
        <stp>300628</stp>
        <stp>12/31/2018</stp>
        <stp>1</stp>
        <tr r="J2626" s="1"/>
      </tp>
      <tp>
        <v>7.4176382208999998</v>
        <stp/>
        <stp>EM_S_FA_NETPROFITMARGIN</stp>
        <stp>3</stp>
        <stp>600678</stp>
        <stp>12/31/2018</stp>
        <stp>1</stp>
        <tr r="J1034" s="1"/>
      </tp>
      <tp>
        <v>6.5797788373000001</v>
        <stp/>
        <stp>EM_S_FA_NETPROFITMARGIN</stp>
        <stp>3</stp>
        <stp>603871</stp>
        <stp>12/31/2018</stp>
        <stp>1</stp>
        <tr r="J2770" s="1"/>
      </tp>
      <tp>
        <v>9.0397784521000002</v>
        <stp/>
        <stp>EM_S_FA_NETPROFITMARGIN</stp>
        <stp>3</stp>
        <stp>002911</stp>
        <stp>12/31/2018</stp>
        <stp>1</stp>
        <tr r="J2725" s="1"/>
      </tp>
      <tp>
        <v>4.9650244058000004</v>
        <stp/>
        <stp>EM_S_FA_NETPROFITMARGIN</stp>
        <stp>3</stp>
        <stp>002811</stp>
        <stp>12/31/2018</stp>
        <stp>1</stp>
        <tr r="J2796" s="1"/>
      </tp>
      <tp>
        <v>10.7447288542</v>
        <stp/>
        <stp>EM_S_FA_NETPROFITMARGIN</stp>
        <stp>3</stp>
        <stp>002111</stp>
        <stp>12/31/2018</stp>
        <stp>1</stp>
        <tr r="J421" s="1"/>
      </tp>
      <tp>
        <v>-24.546679304000001</v>
        <stp/>
        <stp>EM_S_FA_NETPROFITMARGIN</stp>
        <stp>3</stp>
        <stp>002011</stp>
        <stp>12/31/2018</stp>
        <stp>1</stp>
        <tr r="J3606" s="1"/>
      </tp>
      <tp>
        <v>3.5200636367999998</v>
        <stp/>
        <stp>EM_S_FA_NETPROFITMARGIN</stp>
        <stp>3</stp>
        <stp>002311</stp>
        <stp>12/31/2018</stp>
        <stp>1</stp>
        <tr r="J476" s="1"/>
      </tp>
      <tp>
        <v>1.1794855213</v>
        <stp/>
        <stp>EM_S_FA_NETPROFITMARGIN</stp>
        <stp>3</stp>
        <stp>002211</stp>
        <stp>12/31/2018</stp>
        <stp>1</stp>
        <tr r="J822" s="1"/>
      </tp>
      <tp>
        <v>7.1672434766000004</v>
        <stp/>
        <stp>EM_S_FA_NETPROFITMARGIN</stp>
        <stp>3</stp>
        <stp>002511</stp>
        <stp>12/31/2018</stp>
        <stp>1</stp>
        <tr r="J611" s="1"/>
      </tp>
      <tp>
        <v>5.0425844437</v>
        <stp/>
        <stp>EM_S_FA_NETPROFITMARGIN</stp>
        <stp>3</stp>
        <stp>002411</stp>
        <stp>12/31/2018</stp>
        <stp>1</stp>
        <tr r="J3164" s="1"/>
      </tp>
      <tp>
        <v>-85.227162014000001</v>
        <stp/>
        <stp>EM_S_FA_NETPROFITMARGIN</stp>
        <stp>3</stp>
        <stp>002711</stp>
        <stp>12/31/2018</stp>
        <stp>1</stp>
        <tr r="J3398" s="1"/>
      </tp>
      <tp>
        <v>-58.432749464399997</v>
        <stp/>
        <stp>EM_S_FA_NETPROFITMARGIN</stp>
        <stp>3</stp>
        <stp>002611</stp>
        <stp>12/31/2018</stp>
        <stp>1</stp>
        <tr r="J1539" s="1"/>
      </tp>
      <tp>
        <v>-38.417841909300002</v>
        <stp/>
        <stp>EM_S_FA_NETPROFITMARGIN</stp>
        <stp>3</stp>
        <stp>000911</stp>
        <stp>12/31/2018</stp>
        <stp>1</stp>
        <tr r="J3572" s="1"/>
      </tp>
      <tp>
        <v>20.7305953943</v>
        <stp/>
        <stp>EM_S_FA_NETPROFITMARGIN</stp>
        <stp>3</stp>
        <stp>600971</stp>
        <stp>12/31/2018</stp>
        <stp>1</stp>
        <tr r="J1930" s="1"/>
      </tp>
      <tp>
        <v>8.3712702541000006</v>
        <stp/>
        <stp>EM_S_FA_NETPROFITMARGIN</stp>
        <stp>3</stp>
        <stp>000811</stp>
        <stp>12/31/2018</stp>
        <stp>1</stp>
        <tr r="J843" s="1"/>
      </tp>
      <tp>
        <v>0.24320876969999999</v>
        <stp/>
        <stp>EM_S_FA_NETPROFITMARGIN</stp>
        <stp>3</stp>
        <stp>600871</stp>
        <stp>12/31/2018</stp>
        <stp>1</stp>
        <tr r="J1178" s="1"/>
      </tp>
      <tp>
        <v>17.639851828400001</v>
        <stp/>
        <stp>EM_S_FA_NETPROFITMARGIN</stp>
        <stp>3</stp>
        <stp>300121</stp>
        <stp>12/31/2018</stp>
        <stp>1</stp>
        <tr r="J3007" s="1"/>
      </tp>
      <tp>
        <v>13.176006366199999</v>
        <stp/>
        <stp>EM_S_FA_NETPROFITMARGIN</stp>
        <stp>3</stp>
        <stp>600171</stp>
        <stp>12/31/2018</stp>
        <stp>1</stp>
        <tr r="J298" s="1"/>
      </tp>
      <tp>
        <v>21.263386630599999</v>
        <stp/>
        <stp>EM_S_FA_NETPROFITMARGIN</stp>
        <stp>3</stp>
        <stp>000011</stp>
        <stp>12/31/2018</stp>
        <stp>1</stp>
        <tr r="J1983" s="1"/>
      </tp>
      <tp>
        <v>6.1600677569000002</v>
        <stp/>
        <stp>EM_S_FA_NETPROFITMARGIN</stp>
        <stp>3</stp>
        <stp>300021</stp>
        <stp>12/31/2018</stp>
        <stp>1</stp>
        <tr r="J1058" s="1"/>
      </tp>
      <tp>
        <v>-1.1349543498000001</v>
        <stp/>
        <stp>EM_S_FA_NETPROFITMARGIN</stp>
        <stp>3</stp>
        <stp>600071</stp>
        <stp>12/31/2018</stp>
        <stp>1</stp>
        <tr r="J523" s="1"/>
      </tp>
      <tp>
        <v>6.1375421788000004</v>
        <stp/>
        <stp>EM_S_FA_NETPROFITMARGIN</stp>
        <stp>3</stp>
        <stp>300321</stp>
        <stp>12/31/2018</stp>
        <stp>1</stp>
        <tr r="J1033" s="1"/>
      </tp>
      <tp>
        <v>22.0518303592</v>
        <stp/>
        <stp>EM_S_FA_NETPROFITMARGIN</stp>
        <stp>3</stp>
        <stp>600371</stp>
        <stp>12/31/2018</stp>
        <stp>1</stp>
        <tr r="J193" s="1"/>
      </tp>
      <tp>
        <v>-35.945907123300003</v>
        <stp/>
        <stp>EM_S_FA_NETPROFITMARGIN</stp>
        <stp>3</stp>
        <stp>300221</stp>
        <stp>12/31/2018</stp>
        <stp>1</stp>
        <tr r="J1732" s="1"/>
      </tp>
      <tp>
        <v>9.9225421722</v>
        <stp/>
        <stp>EM_S_FA_NETPROFITMARGIN</stp>
        <stp>3</stp>
        <stp>600271</stp>
        <stp>12/31/2018</stp>
        <stp>1</stp>
        <tr r="J2348" s="1"/>
      </tp>
      <tp>
        <v>-16.0155564497</v>
        <stp/>
        <stp>EM_S_FA_NETPROFITMARGIN</stp>
        <stp>3</stp>
        <stp>000511</stp>
        <stp>12/31/2018</stp>
        <stp>1</stp>
        <tr r="J3436" s="1"/>
      </tp>
      <tp>
        <v>14.6290175458</v>
        <stp/>
        <stp>EM_S_FA_NETPROFITMARGIN</stp>
        <stp>3</stp>
        <stp>300521</stp>
        <stp>12/31/2018</stp>
        <stp>1</stp>
        <tr r="J1258" s="1"/>
      </tp>
      <tp>
        <v>-0.37606279390000003</v>
        <stp/>
        <stp>EM_S_FA_NETPROFITMARGIN</stp>
        <stp>3</stp>
        <stp>600571</stp>
        <stp>12/31/2018</stp>
        <stp>1</stp>
        <tr r="J555" s="1"/>
      </tp>
      <tp>
        <v>1.0924418686999999</v>
        <stp/>
        <stp>EM_S_FA_NETPROFITMARGIN</stp>
        <stp>3</stp>
        <stp>000411</stp>
        <stp>12/31/2018</stp>
        <stp>1</stp>
        <tr r="J2518" s="1"/>
      </tp>
      <tp>
        <v>10.345063894000001</v>
        <stp/>
        <stp>EM_S_FA_NETPROFITMARGIN</stp>
        <stp>3</stp>
        <stp>300421</stp>
        <stp>12/31/2018</stp>
        <stp>1</stp>
        <tr r="J3348" s="1"/>
      </tp>
      <tp>
        <v>4.2592194126000003</v>
        <stp/>
        <stp>EM_S_FA_NETPROFITMARGIN</stp>
        <stp>3</stp>
        <stp>000711</stp>
        <stp>12/31/2018</stp>
        <stp>1</stp>
        <tr r="J2850" s="1"/>
      </tp>
      <tp>
        <v>3.1801372457000001</v>
        <stp/>
        <stp>EM_S_FA_NETPROFITMARGIN</stp>
        <stp>3</stp>
        <stp>300721</stp>
        <stp>12/31/2018</stp>
        <stp>1</stp>
        <tr r="J2599" s="1"/>
      </tp>
      <tp>
        <v>24.342757814100001</v>
        <stp/>
        <stp>EM_S_FA_NETPROFITMARGIN</stp>
        <stp>3</stp>
        <stp>600771</stp>
        <stp>12/31/2018</stp>
        <stp>1</stp>
        <tr r="J3341" s="1"/>
      </tp>
      <tp>
        <v>-867.22388934280002</v>
        <stp/>
        <stp>EM_S_FA_NETPROFITMARGIN</stp>
        <stp>3</stp>
        <stp>000611</stp>
        <stp>12/31/2018</stp>
        <stp>1</stp>
        <tr r="J3483" s="1"/>
      </tp>
      <tp>
        <v>2.8029457511000002</v>
        <stp/>
        <stp>EM_S_FA_NETPROFITMARGIN</stp>
        <stp>3</stp>
        <stp>300621</stp>
        <stp>12/31/2018</stp>
        <stp>1</stp>
        <tr r="J1811" s="1"/>
      </tp>
      <tp>
        <v>-1.5817640909999999</v>
        <stp/>
        <stp>EM_S_FA_NETPROFITMARGIN</stp>
        <stp>3</stp>
        <stp>600671</stp>
        <stp>12/31/2018</stp>
        <stp>1</stp>
        <tr r="J3131" s="1"/>
      </tp>
      <tp>
        <v>3.0833024455000002</v>
        <stp/>
        <stp>EM_S_FA_NETPROFITMARGIN</stp>
        <stp>3</stp>
        <stp>603970</stp>
        <stp>12/31/2018</stp>
        <stp>1</stp>
        <tr r="J3016" s="1"/>
      </tp>
      <tp>
        <v>9.6594285831000004</v>
        <stp/>
        <stp>EM_S_FA_NETPROFITMARGIN</stp>
        <stp>3</stp>
        <stp>002910</stp>
        <stp>12/31/2018</stp>
        <stp>1</stp>
        <tr r="J2541" s="1"/>
      </tp>
      <tp>
        <v>8.4006264632000001</v>
        <stp/>
        <stp>EM_S_FA_NETPROFITMARGIN</stp>
        <stp>3</stp>
        <stp>002810</stp>
        <stp>12/31/2018</stp>
        <stp>1</stp>
        <tr r="J1778" s="1"/>
      </tp>
      <tp>
        <v>17.979427428200001</v>
        <stp/>
        <stp>EM_S_FA_NETPROFITMARGIN</stp>
        <stp>3</stp>
        <stp>002110</stp>
        <stp>12/31/2018</stp>
        <stp>1</stp>
        <tr r="J3202" s="1"/>
      </tp>
      <tp>
        <v>4.4609873135999996</v>
        <stp/>
        <stp>EM_S_FA_NETPROFITMARGIN</stp>
        <stp>3</stp>
        <stp>002010</stp>
        <stp>12/31/2018</stp>
        <stp>1</stp>
        <tr r="J1950" s="1"/>
      </tp>
      <tp>
        <v>11.9683604606</v>
        <stp/>
        <stp>EM_S_FA_NETPROFITMARGIN</stp>
        <stp>3</stp>
        <stp>002310</stp>
        <stp>12/31/2018</stp>
        <stp>1</stp>
        <tr r="J3198" s="1"/>
      </tp>
      <tp>
        <v>-5.9204253599000003</v>
        <stp/>
        <stp>EM_S_FA_NETPROFITMARGIN</stp>
        <stp>3</stp>
        <stp>002210</stp>
        <stp>12/31/2018</stp>
        <stp>1</stp>
        <tr r="J3397" s="1"/>
      </tp>
      <tp>
        <v>9.7642196931999994</v>
        <stp/>
        <stp>EM_S_FA_NETPROFITMARGIN</stp>
        <stp>3</stp>
        <stp>002510</stp>
        <stp>12/31/2018</stp>
        <stp>1</stp>
        <tr r="J994" s="1"/>
      </tp>
      <tp>
        <v>15.120650570800001</v>
        <stp/>
        <stp>EM_S_FA_NETPROFITMARGIN</stp>
        <stp>3</stp>
        <stp>002410</stp>
        <stp>12/31/2018</stp>
        <stp>1</stp>
        <tr r="J427" s="1"/>
      </tp>
      <tp>
        <v>0</v>
        <stp/>
        <stp>EM_S_FA_NETPROFITMARGIN</stp>
        <stp>3</stp>
        <stp>002710</stp>
        <stp>12/31/2018</stp>
        <stp>1</stp>
        <tr r="J7" s="1"/>
      </tp>
      <tp>
        <v>2.8481745755999999</v>
        <stp/>
        <stp>EM_S_FA_NETPROFITMARGIN</stp>
        <stp>3</stp>
        <stp>002610</stp>
        <stp>12/31/2018</stp>
        <stp>1</stp>
        <tr r="J2135" s="1"/>
      </tp>
      <tp>
        <v>10.5335915854</v>
        <stp/>
        <stp>EM_S_FA_NETPROFITMARGIN</stp>
        <stp>3</stp>
        <stp>000910</stp>
        <stp>12/31/2018</stp>
        <stp>1</stp>
        <tr r="J880" s="1"/>
      </tp>
      <tp>
        <v>6.5266088527999999</v>
        <stp/>
        <stp>EM_S_FA_NETPROFITMARGIN</stp>
        <stp>3</stp>
        <stp>600970</stp>
        <stp>12/31/2018</stp>
        <stp>1</stp>
        <tr r="J1048" s="1"/>
      </tp>
      <tp>
        <v>4.0729542149000002</v>
        <stp/>
        <stp>EM_S_FA_NETPROFITMARGIN</stp>
        <stp>3</stp>
        <stp>000810</stp>
        <stp>12/31/2018</stp>
        <stp>1</stp>
        <tr r="J139" s="1"/>
      </tp>
      <tp>
        <v>16.7513219995</v>
        <stp/>
        <stp>EM_S_FA_NETPROFITMARGIN</stp>
        <stp>3</stp>
        <stp>600870</stp>
        <stp>12/31/2018</stp>
        <stp>1</stp>
        <tr r="J2830" s="1"/>
      </tp>
      <tp>
        <v>6.6193635234999997</v>
        <stp/>
        <stp>EM_S_FA_NETPROFITMARGIN</stp>
        <stp>3</stp>
        <stp>300120</stp>
        <stp>12/31/2018</stp>
        <stp>1</stp>
        <tr r="J2024" s="1"/>
      </tp>
      <tp>
        <v>2.0108668003000001</v>
        <stp/>
        <stp>EM_S_FA_NETPROFITMARGIN</stp>
        <stp>3</stp>
        <stp>600170</stp>
        <stp>12/31/2018</stp>
        <stp>1</stp>
        <tr r="J1414" s="1"/>
      </tp>
      <tp>
        <v>-210.33319468100001</v>
        <stp/>
        <stp>EM_S_FA_NETPROFITMARGIN</stp>
        <stp>3</stp>
        <stp>000010</stp>
        <stp>12/31/2018</stp>
        <stp>1</stp>
        <tr r="J2039" s="1"/>
      </tp>
      <tp>
        <v>0.95602810979999997</v>
        <stp/>
        <stp>EM_S_FA_NETPROFITMARGIN</stp>
        <stp>3</stp>
        <stp>300020</stp>
        <stp>12/31/2018</stp>
        <stp>1</stp>
        <tr r="J927" s="1"/>
      </tp>
      <tp>
        <v>10.376648911</v>
        <stp/>
        <stp>EM_S_FA_NETPROFITMARGIN</stp>
        <stp>3</stp>
        <stp>600070</stp>
        <stp>12/31/2018</stp>
        <stp>1</stp>
        <tr r="J667" s="1"/>
      </tp>
      <tp>
        <v>8.2611085380000002</v>
        <stp/>
        <stp>EM_S_FA_NETPROFITMARGIN</stp>
        <stp>3</stp>
        <stp>300320</stp>
        <stp>12/31/2018</stp>
        <stp>1</stp>
        <tr r="J1658" s="1"/>
      </tp>
      <tp>
        <v>6.1136394306000001</v>
        <stp/>
        <stp>EM_S_FA_NETPROFITMARGIN</stp>
        <stp>3</stp>
        <stp>600370</stp>
        <stp>12/31/2018</stp>
        <stp>1</stp>
        <tr r="J1676" s="1"/>
      </tp>
      <tp>
        <v>3.6876493156999999</v>
        <stp/>
        <stp>EM_S_FA_NETPROFITMARGIN</stp>
        <stp>3</stp>
        <stp>300220</stp>
        <stp>12/31/2018</stp>
        <stp>1</stp>
        <tr r="J27" s="1"/>
      </tp>
      <tp>
        <v>0</v>
        <stp/>
        <stp>EM_S_FA_NETPROFITMARGIN</stp>
        <stp>3</stp>
        <stp>600270</stp>
        <stp>12/31/2018</stp>
        <stp>1</stp>
        <tr r="J2298" s="1"/>
      </tp>
      <tp>
        <v>4.9708322912999998</v>
        <stp/>
        <stp>EM_S_FA_NETPROFITMARGIN</stp>
        <stp>3</stp>
        <stp>000510</stp>
        <stp>12/31/2018</stp>
        <stp>1</stp>
        <tr r="J1993" s="1"/>
      </tp>
      <tp>
        <v>5.2160749663999999</v>
        <stp/>
        <stp>EM_S_FA_NETPROFITMARGIN</stp>
        <stp>3</stp>
        <stp>300520</stp>
        <stp>12/31/2018</stp>
        <stp>1</stp>
        <tr r="J1078" s="1"/>
      </tp>
      <tp>
        <v>20.790233743400002</v>
        <stp/>
        <stp>EM_S_FA_NETPROFITMARGIN</stp>
        <stp>3</stp>
        <stp>600570</stp>
        <stp>12/31/2018</stp>
        <stp>1</stp>
        <tr r="J583" s="1"/>
      </tp>
      <tp>
        <v>-17.2305490705</v>
        <stp/>
        <stp>EM_S_FA_NETPROFITMARGIN</stp>
        <stp>3</stp>
        <stp>000410</stp>
        <stp>12/31/2018</stp>
        <stp>1</stp>
        <tr r="J3419" s="1"/>
      </tp>
      <tp>
        <v>12.9015012012</v>
        <stp/>
        <stp>EM_S_FA_NETPROFITMARGIN</stp>
        <stp>3</stp>
        <stp>300420</stp>
        <stp>12/31/2018</stp>
        <stp>1</stp>
        <tr r="J1747" s="1"/>
      </tp>
      <tp>
        <v>-12.625894108800001</v>
        <stp/>
        <stp>EM_S_FA_NETPROFITMARGIN</stp>
        <stp>3</stp>
        <stp>600470</stp>
        <stp>12/31/2018</stp>
        <stp>1</stp>
        <tr r="J1540" s="1"/>
      </tp>
      <tp>
        <v>18.042290361999999</v>
        <stp/>
        <stp>EM_S_FA_NETPROFITMARGIN</stp>
        <stp>3</stp>
        <stp>000710</stp>
        <stp>12/31/2018</stp>
        <stp>1</stp>
        <tr r="J1684" s="1"/>
      </tp>
      <tp>
        <v>28.779663383399999</v>
        <stp/>
        <stp>EM_S_FA_NETPROFITMARGIN</stp>
        <stp>3</stp>
        <stp>300720</stp>
        <stp>12/31/2018</stp>
        <stp>1</stp>
        <tr r="J3311" s="1"/>
      </tp>
      <tp>
        <v>6.5544485042999998</v>
        <stp/>
        <stp>EM_S_FA_NETPROFITMARGIN</stp>
        <stp>3</stp>
        <stp>600770</stp>
        <stp>12/31/2018</stp>
        <stp>1</stp>
        <tr r="J1467" s="1"/>
      </tp>
      <tp>
        <v>9.7552263511999993</v>
        <stp/>
        <stp>EM_S_FA_NETPROFITMARGIN</stp>
        <stp>3</stp>
        <stp>000610</stp>
        <stp>12/31/2018</stp>
        <stp>1</stp>
        <tr r="J1211" s="1"/>
      </tp>
      <tp>
        <v>28.1592452772</v>
        <stp/>
        <stp>EM_S_FA_NETPROFITMARGIN</stp>
        <stp>3</stp>
        <stp>300620</stp>
        <stp>12/31/2018</stp>
        <stp>1</stp>
        <tr r="J2759" s="1"/>
      </tp>
      <tp>
        <v>33.963742799099997</v>
        <stp/>
        <stp>EM_S_FA_NETPROFITMARGIN</stp>
        <stp>3</stp>
        <stp>600670</stp>
        <stp>12/31/2018</stp>
        <stp>1</stp>
        <tr r="J2314" s="1"/>
      </tp>
      <tp>
        <v>22.584668066500001</v>
        <stp/>
        <stp>EM_S_FA_NETPROFITMARGIN</stp>
        <stp>3</stp>
        <stp>603773</stp>
        <stp>12/31/2018</stp>
        <stp>1</stp>
        <tr r="J3149" s="1"/>
      </tp>
      <tp>
        <v>10.689029062099999</v>
        <stp/>
        <stp>EM_S_FA_NETPROFITMARGIN</stp>
        <stp>3</stp>
        <stp>002913</stp>
        <stp>12/31/2018</stp>
        <stp>1</stp>
        <tr r="J570" s="1"/>
      </tp>
      <tp>
        <v>1.5362405391</v>
        <stp/>
        <stp>EM_S_FA_NETPROFITMARGIN</stp>
        <stp>3</stp>
        <stp>002813</stp>
        <stp>12/31/2018</stp>
        <stp>1</stp>
        <tr r="J2566" s="1"/>
      </tp>
      <tp>
        <v>-71.740502091699994</v>
        <stp/>
        <stp>EM_S_FA_NETPROFITMARGIN</stp>
        <stp>3</stp>
        <stp>002113</stp>
        <stp>12/31/2018</stp>
        <stp>1</stp>
        <tr r="J3352" s="1"/>
      </tp>
      <tp>
        <v>7.7971465858000002</v>
        <stp/>
        <stp>EM_S_FA_NETPROFITMARGIN</stp>
        <stp>3</stp>
        <stp>002013</stp>
        <stp>12/31/2018</stp>
        <stp>1</stp>
        <tr r="J1925" s="1"/>
      </tp>
      <tp>
        <v>1.5791481924999999</v>
        <stp/>
        <stp>EM_S_FA_NETPROFITMARGIN</stp>
        <stp>3</stp>
        <stp>002313</stp>
        <stp>12/31/2018</stp>
        <stp>1</stp>
        <tr r="J2845" s="1"/>
      </tp>
      <tp>
        <v>0.88138182600000003</v>
        <stp/>
        <stp>EM_S_FA_NETPROFITMARGIN</stp>
        <stp>3</stp>
        <stp>002213</stp>
        <stp>12/31/2018</stp>
        <stp>1</stp>
        <tr r="J924" s="1"/>
      </tp>
      <tp>
        <v>-59.062776285299996</v>
        <stp/>
        <stp>EM_S_FA_NETPROFITMARGIN</stp>
        <stp>3</stp>
        <stp>002513</stp>
        <stp>12/31/2018</stp>
        <stp>1</stp>
        <tr r="J1792" s="1"/>
      </tp>
      <tp>
        <v>14.9367302295</v>
        <stp/>
        <stp>EM_S_FA_NETPROFITMARGIN</stp>
        <stp>3</stp>
        <stp>002413</stp>
        <stp>12/31/2018</stp>
        <stp>1</stp>
        <tr r="J2131" s="1"/>
      </tp>
      <tp>
        <v>7.3244115312</v>
        <stp/>
        <stp>EM_S_FA_NETPROFITMARGIN</stp>
        <stp>3</stp>
        <stp>002713</stp>
        <stp>12/31/2018</stp>
        <stp>1</stp>
        <tr r="J3382" s="1"/>
      </tp>
      <tp>
        <v>3.1883170877999998</v>
        <stp/>
        <stp>EM_S_FA_NETPROFITMARGIN</stp>
        <stp>3</stp>
        <stp>002613</stp>
        <stp>12/31/2018</stp>
        <stp>1</stp>
        <tr r="J2072" s="1"/>
      </tp>
      <tp>
        <v>1.1914301899999999</v>
        <stp/>
        <stp>EM_S_FA_NETPROFITMARGIN</stp>
        <stp>3</stp>
        <stp>000913</stp>
        <stp>12/31/2018</stp>
        <stp>1</stp>
        <tr r="J1323" s="1"/>
      </tp>
      <tp>
        <v>0.45577568950000003</v>
        <stp/>
        <stp>EM_S_FA_NETPROFITMARGIN</stp>
        <stp>3</stp>
        <stp>600973</stp>
        <stp>12/31/2018</stp>
        <stp>1</stp>
        <tr r="J2049" s="1"/>
      </tp>
      <tp>
        <v>28.276342194000001</v>
        <stp/>
        <stp>EM_S_FA_NETPROFITMARGIN</stp>
        <stp>3</stp>
        <stp>000813</stp>
        <stp>12/31/2018</stp>
        <stp>1</stp>
        <tr r="J3236" s="1"/>
      </tp>
      <tp>
        <v>8.0650440365999998</v>
        <stp/>
        <stp>EM_S_FA_NETPROFITMARGIN</stp>
        <stp>3</stp>
        <stp>600873</stp>
        <stp>12/31/2018</stp>
        <stp>1</stp>
        <tr r="J2002" s="1"/>
      </tp>
      <tp>
        <v>11.958861538800001</v>
        <stp/>
        <stp>EM_S_FA_NETPROFITMARGIN</stp>
        <stp>3</stp>
        <stp>300123</stp>
        <stp>12/31/2018</stp>
        <stp>1</stp>
        <tr r="J2994" s="1"/>
      </tp>
      <tp>
        <v>23.819061896800001</v>
        <stp/>
        <stp>EM_S_FA_NETPROFITMARGIN</stp>
        <stp>3</stp>
        <stp>600173</stp>
        <stp>12/31/2018</stp>
        <stp>1</stp>
        <tr r="J786" s="1"/>
      </tp>
      <tp>
        <v>0</v>
        <stp/>
        <stp>EM_S_FA_NETPROFITMARGIN</stp>
        <stp>3</stp>
        <stp>000013</stp>
        <stp>12/31/2018</stp>
        <stp>1</stp>
        <tr r="J2272" s="1"/>
      </tp>
      <tp>
        <v>-145.40153509340001</v>
        <stp/>
        <stp>EM_S_FA_NETPROFITMARGIN</stp>
        <stp>3</stp>
        <stp>300023</stp>
        <stp>12/31/2018</stp>
        <stp>1</stp>
        <tr r="J1352" s="1"/>
      </tp>
      <tp>
        <v>1.7526300646999999</v>
        <stp/>
        <stp>EM_S_FA_NETPROFITMARGIN</stp>
        <stp>3</stp>
        <stp>600073</stp>
        <stp>12/31/2018</stp>
        <stp>1</stp>
        <tr r="J1973" s="1"/>
      </tp>
      <tp>
        <v>8.9274174182999992</v>
        <stp/>
        <stp>EM_S_FA_NETPROFITMARGIN</stp>
        <stp>3</stp>
        <stp>300323</stp>
        <stp>12/31/2018</stp>
        <stp>1</stp>
        <tr r="J2365" s="1"/>
      </tp>
      <tp>
        <v>14.125758082899999</v>
        <stp/>
        <stp>EM_S_FA_NETPROFITMARGIN</stp>
        <stp>3</stp>
        <stp>600373</stp>
        <stp>12/31/2018</stp>
        <stp>1</stp>
        <tr r="J2059" s="1"/>
      </tp>
      <tp>
        <v>5.2048523980999999</v>
        <stp/>
        <stp>EM_S_FA_NETPROFITMARGIN</stp>
        <stp>3</stp>
        <stp>300223</stp>
        <stp>12/31/2018</stp>
        <stp>1</stp>
        <tr r="J20" s="1"/>
      </tp>
      <tp>
        <v>19.703179227700002</v>
        <stp/>
        <stp>EM_S_FA_NETPROFITMARGIN</stp>
        <stp>3</stp>
        <stp>600273</stp>
        <stp>12/31/2018</stp>
        <stp>1</stp>
        <tr r="J1116" s="1"/>
      </tp>
      <tp>
        <v>13.3366509539</v>
        <stp/>
        <stp>EM_S_FA_NETPROFITMARGIN</stp>
        <stp>3</stp>
        <stp>000513</stp>
        <stp>12/31/2018</stp>
        <stp>1</stp>
        <tr r="J913" s="1"/>
      </tp>
      <tp>
        <v>17.2499237854</v>
        <stp/>
        <stp>EM_S_FA_NETPROFITMARGIN</stp>
        <stp>3</stp>
        <stp>300523</stp>
        <stp>12/31/2018</stp>
        <stp>1</stp>
        <tr r="J3143" s="1"/>
      </tp>
      <tp>
        <v>3.2946718291999999</v>
        <stp/>
        <stp>EM_S_FA_NETPROFITMARGIN</stp>
        <stp>3</stp>
        <stp>600573</stp>
        <stp>12/31/2018</stp>
        <stp>1</stp>
        <tr r="J2085" s="1"/>
      </tp>
      <tp>
        <v>8.0421530232999991</v>
        <stp/>
        <stp>EM_S_FA_NETPROFITMARGIN</stp>
        <stp>3</stp>
        <stp>000413</stp>
        <stp>12/31/2018</stp>
        <stp>1</stp>
        <tr r="J3142" s="1"/>
      </tp>
      <tp>
        <v>14.8637871205</v>
        <stp/>
        <stp>EM_S_FA_NETPROFITMARGIN</stp>
        <stp>3</stp>
        <stp>300423</stp>
        <stp>12/31/2018</stp>
        <stp>1</stp>
        <tr r="J3152" s="1"/>
      </tp>
      <tp>
        <v>2.9769263554999998</v>
        <stp/>
        <stp>EM_S_FA_NETPROFITMARGIN</stp>
        <stp>3</stp>
        <stp>000713</stp>
        <stp>12/31/2018</stp>
        <stp>1</stp>
        <tr r="J252" s="1"/>
      </tp>
      <tp>
        <v>14.528022851899999</v>
        <stp/>
        <stp>EM_S_FA_NETPROFITMARGIN</stp>
        <stp>3</stp>
        <stp>300723</stp>
        <stp>12/31/2018</stp>
        <stp>1</stp>
        <tr r="J648" s="1"/>
      </tp>
      <tp>
        <v>8.3009749335999992</v>
        <stp/>
        <stp>EM_S_FA_NETPROFITMARGIN</stp>
        <stp>3</stp>
        <stp>600773</stp>
        <stp>12/31/2018</stp>
        <stp>1</stp>
        <tr r="J2483" s="1"/>
      </tp>
      <tp>
        <v>2.2133460264</v>
        <stp/>
        <stp>EM_S_FA_NETPROFITMARGIN</stp>
        <stp>3</stp>
        <stp>000613</stp>
        <stp>12/31/2018</stp>
        <stp>1</stp>
        <tr r="J3064" s="1"/>
      </tp>
      <tp>
        <v>30.823752362699999</v>
        <stp/>
        <stp>EM_S_FA_NETPROFITMARGIN</stp>
        <stp>3</stp>
        <stp>300623</stp>
        <stp>12/31/2018</stp>
        <stp>1</stp>
        <tr r="J1635" s="1"/>
      </tp>
      <tp>
        <v>12.785293961000001</v>
        <stp/>
        <stp>EM_S_FA_NETPROFITMARGIN</stp>
        <stp>3</stp>
        <stp>600673</stp>
        <stp>12/31/2018</stp>
        <stp>1</stp>
        <tr r="J859" s="1"/>
      </tp>
      <tp>
        <v>29.622751677899998</v>
        <stp/>
        <stp>EM_S_FA_NETPROFITMARGIN</stp>
        <stp>3</stp>
        <stp>002912</stp>
        <stp>12/31/2018</stp>
        <stp>1</stp>
        <tr r="J494" s="1"/>
      </tp>
      <tp>
        <v>27.684469720599999</v>
        <stp/>
        <stp>EM_S_FA_NETPROFITMARGIN</stp>
        <stp>3</stp>
        <stp>002812</stp>
        <stp>12/31/2018</stp>
        <stp>1</stp>
        <tr r="J2026" s="1"/>
      </tp>
      <tp>
        <v>1.1015094123</v>
        <stp/>
        <stp>EM_S_FA_NETPROFITMARGIN</stp>
        <stp>3</stp>
        <stp>002112</stp>
        <stp>12/31/2018</stp>
        <stp>1</stp>
        <tr r="J2156" s="1"/>
      </tp>
      <tp>
        <v>3.4212808122</v>
        <stp/>
        <stp>EM_S_FA_NETPROFITMARGIN</stp>
        <stp>3</stp>
        <stp>002012</stp>
        <stp>12/31/2018</stp>
        <stp>1</stp>
        <tr r="J608" s="1"/>
      </tp>
      <tp>
        <v>-30.335929713999999</v>
        <stp/>
        <stp>EM_S_FA_NETPROFITMARGIN</stp>
        <stp>3</stp>
        <stp>002312</stp>
        <stp>12/31/2018</stp>
        <stp>1</stp>
        <tr r="J876" s="1"/>
      </tp>
      <tp>
        <v>7.7297806933000004</v>
        <stp/>
        <stp>EM_S_FA_NETPROFITMARGIN</stp>
        <stp>3</stp>
        <stp>002212</stp>
        <stp>12/31/2018</stp>
        <stp>1</stp>
        <tr r="J305" s="1"/>
      </tp>
      <tp>
        <v>-63.221404103099999</v>
        <stp/>
        <stp>EM_S_FA_NETPROFITMARGIN</stp>
        <stp>3</stp>
        <stp>002512</stp>
        <stp>12/31/2018</stp>
        <stp>1</stp>
        <tr r="J1261" s="1"/>
      </tp>
      <tp>
        <v>16.002696818099999</v>
        <stp/>
        <stp>EM_S_FA_NETPROFITMARGIN</stp>
        <stp>3</stp>
        <stp>002412</stp>
        <stp>12/31/2018</stp>
        <stp>1</stp>
        <tr r="J3306" s="1"/>
      </tp>
      <tp>
        <v>0.73661352030000005</v>
        <stp/>
        <stp>EM_S_FA_NETPROFITMARGIN</stp>
        <stp>3</stp>
        <stp>002712</stp>
        <stp>12/31/2018</stp>
        <stp>1</stp>
        <tr r="J708" s="1"/>
      </tp>
      <tp>
        <v>7.6774320484</v>
        <stp/>
        <stp>EM_S_FA_NETPROFITMARGIN</stp>
        <stp>3</stp>
        <stp>002612</stp>
        <stp>12/31/2018</stp>
        <stp>1</stp>
        <tr r="J1881" s="1"/>
      </tp>
      <tp>
        <v>9.9698598522000008</v>
        <stp/>
        <stp>EM_S_FA_NETPROFITMARGIN</stp>
        <stp>3</stp>
        <stp>601872</stp>
        <stp>12/31/2018</stp>
        <stp>1</stp>
        <tr r="J137" s="1"/>
      </tp>
      <tp>
        <v>7.9502002021999996</v>
        <stp/>
        <stp>EM_S_FA_NETPROFITMARGIN</stp>
        <stp>3</stp>
        <stp>000912</stp>
        <stp>12/31/2018</stp>
        <stp>1</stp>
        <tr r="J2196" s="1"/>
      </tp>
      <tp>
        <v>2.4260484355999998</v>
        <stp/>
        <stp>EM_S_FA_NETPROFITMARGIN</stp>
        <stp>3</stp>
        <stp>000812</stp>
        <stp>12/31/2018</stp>
        <stp>1</stp>
        <tr r="J2624" s="1"/>
      </tp>
      <tp>
        <v>16.350505199800001</v>
        <stp/>
        <stp>EM_S_FA_NETPROFITMARGIN</stp>
        <stp>3</stp>
        <stp>600872</stp>
        <stp>12/31/2018</stp>
        <stp>1</stp>
        <tr r="J909" s="1"/>
      </tp>
      <tp>
        <v>27.7597762718</v>
        <stp/>
        <stp>EM_S_FA_NETPROFITMARGIN</stp>
        <stp>3</stp>
        <stp>300122</stp>
        <stp>12/31/2018</stp>
        <stp>1</stp>
        <tr r="J1101" s="1"/>
      </tp>
      <tp>
        <v>-7.8852357397999997</v>
        <stp/>
        <stp>EM_S_FA_NETPROFITMARGIN</stp>
        <stp>3</stp>
        <stp>600172</stp>
        <stp>12/31/2018</stp>
        <stp>1</stp>
        <tr r="J2575" s="1"/>
      </tp>
      <tp>
        <v>4.4506148372999998</v>
        <stp/>
        <stp>EM_S_FA_NETPROFITMARGIN</stp>
        <stp>3</stp>
        <stp>000012</stp>
        <stp>12/31/2018</stp>
        <stp>1</stp>
        <tr r="J741" s="1"/>
      </tp>
      <tp>
        <v>1.0776500813000001</v>
        <stp/>
        <stp>EM_S_FA_NETPROFITMARGIN</stp>
        <stp>3</stp>
        <stp>300022</stp>
        <stp>12/31/2018</stp>
        <stp>1</stp>
        <tr r="J1917" s="1"/>
      </tp>
      <tp>
        <v>0.61668132220000005</v>
        <stp/>
        <stp>EM_S_FA_NETPROFITMARGIN</stp>
        <stp>3</stp>
        <stp>600072</stp>
        <stp>12/31/2018</stp>
        <stp>1</stp>
        <tr r="J198" s="1"/>
      </tp>
      <tp>
        <v>4.1290226963999999</v>
        <stp/>
        <stp>EM_S_FA_NETPROFITMARGIN</stp>
        <stp>3</stp>
        <stp>300322</stp>
        <stp>12/31/2018</stp>
        <stp>1</stp>
        <tr r="J123" s="1"/>
      </tp>
      <tp>
        <v>6.3129042394999999</v>
        <stp/>
        <stp>EM_S_FA_NETPROFITMARGIN</stp>
        <stp>3</stp>
        <stp>600372</stp>
        <stp>12/31/2018</stp>
        <stp>1</stp>
        <tr r="J1736" s="1"/>
      </tp>
      <tp>
        <v>11.310465434199999</v>
        <stp/>
        <stp>EM_S_FA_NETPROFITMARGIN</stp>
        <stp>3</stp>
        <stp>300222</stp>
        <stp>12/31/2018</stp>
        <stp>1</stp>
        <tr r="J3309" s="1"/>
      </tp>
      <tp>
        <v>4.0044847124</v>
        <stp/>
        <stp>EM_S_FA_NETPROFITMARGIN</stp>
        <stp>3</stp>
        <stp>600272</stp>
        <stp>12/31/2018</stp>
        <stp>1</stp>
        <tr r="J1919" s="1"/>
      </tp>
      <tp>
        <v>20.110468549299998</v>
        <stp/>
        <stp>EM_S_FA_NETPROFITMARGIN</stp>
        <stp>3</stp>
        <stp>300522</stp>
        <stp>12/31/2018</stp>
        <stp>1</stp>
        <tr r="J1837" s="1"/>
      </tp>
      <tp>
        <v>11.9107363211</v>
        <stp/>
        <stp>EM_S_FA_NETPROFITMARGIN</stp>
        <stp>3</stp>
        <stp>600572</stp>
        <stp>12/31/2018</stp>
        <stp>1</stp>
        <tr r="J2179" s="1"/>
      </tp>
      <tp>
        <v>0</v>
        <stp/>
        <stp>EM_S_FA_NETPROFITMARGIN</stp>
        <stp>3</stp>
        <stp>000412</stp>
        <stp>12/31/2018</stp>
        <stp>1</stp>
        <tr r="J3420" s="1"/>
      </tp>
      <tp>
        <v>8.4984725345999994</v>
        <stp/>
        <stp>EM_S_FA_NETPROFITMARGIN</stp>
        <stp>3</stp>
        <stp>300422</stp>
        <stp>12/31/2018</stp>
        <stp>1</stp>
        <tr r="J2032" s="1"/>
      </tp>
      <tp>
        <v>0</v>
        <stp/>
        <stp>EM_S_FA_NETPROFITMARGIN</stp>
        <stp>3</stp>
        <stp>600472</stp>
        <stp>12/31/2018</stp>
        <stp>1</stp>
        <tr r="J2303" s="1"/>
      </tp>
      <tp>
        <v>-15.856635179</v>
        <stp/>
        <stp>EM_S_FA_NETPROFITMARGIN</stp>
        <stp>3</stp>
        <stp>000712</stp>
        <stp>12/31/2018</stp>
        <stp>1</stp>
        <tr r="J3518" s="1"/>
      </tp>
      <tp>
        <v>34.769704953800002</v>
        <stp/>
        <stp>EM_S_FA_NETPROFITMARGIN</stp>
        <stp>3</stp>
        <stp>300722</stp>
        <stp>12/31/2018</stp>
        <stp>1</stp>
        <tr r="J3251" s="1"/>
      </tp>
      <tp>
        <v>0</v>
        <stp/>
        <stp>EM_S_FA_NETPROFITMARGIN</stp>
        <stp>3</stp>
        <stp>600772</stp>
        <stp>12/31/2018</stp>
        <stp>1</stp>
        <tr r="J2321" s="1"/>
      </tp>
      <tp>
        <v>-9.0063416383000003</v>
        <stp/>
        <stp>EM_S_FA_NETPROFITMARGIN</stp>
        <stp>3</stp>
        <stp>000612</stp>
        <stp>12/31/2018</stp>
        <stp>1</stp>
        <tr r="J3484" s="1"/>
      </tp>
      <tp>
        <v>10.3892035997</v>
        <stp/>
        <stp>EM_S_FA_NETPROFITMARGIN</stp>
        <stp>3</stp>
        <stp>300622</stp>
        <stp>12/31/2018</stp>
        <stp>1</stp>
        <tr r="J1369" s="1"/>
      </tp>
      <tp>
        <v>6.9009746649999997</v>
        <stp/>
        <stp>EM_S_FA_NETPROFITMARGIN</stp>
        <stp>3</stp>
        <stp>600672</stp>
        <stp>12/31/2018</stp>
        <stp>1</stp>
        <tr r="J2315" s="1"/>
      </tp>
      <tp>
        <v>8.2352823013999998</v>
        <stp/>
        <stp>EM_S_FA_NETPROFITMARGIN</stp>
        <stp>3</stp>
        <stp>002915</stp>
        <stp>12/31/2018</stp>
        <stp>1</stp>
        <tr r="J1164" s="1"/>
      </tp>
      <tp>
        <v>15.3324848217</v>
        <stp/>
        <stp>EM_S_FA_NETPROFITMARGIN</stp>
        <stp>3</stp>
        <stp>002815</stp>
        <stp>12/31/2018</stp>
        <stp>1</stp>
        <tr r="J1314" s="1"/>
      </tp>
      <tp>
        <v>6.4299062723000002</v>
        <stp/>
        <stp>EM_S_FA_NETPROFITMARGIN</stp>
        <stp>3</stp>
        <stp>002115</stp>
        <stp>12/31/2018</stp>
        <stp>1</stp>
        <tr r="J2756" s="1"/>
      </tp>
      <tp>
        <v>1.2574092699999999</v>
        <stp/>
        <stp>EM_S_FA_NETPROFITMARGIN</stp>
        <stp>3</stp>
        <stp>002015</stp>
        <stp>12/31/2018</stp>
        <stp>1</stp>
        <tr r="J1673" s="1"/>
      </tp>
      <tp>
        <v>6.1475078420999996</v>
        <stp/>
        <stp>EM_S_FA_NETPROFITMARGIN</stp>
        <stp>3</stp>
        <stp>002315</stp>
        <stp>12/31/2018</stp>
        <stp>1</stp>
        <tr r="J403" s="1"/>
      </tp>
      <tp>
        <v>8.5538088278999993</v>
        <stp/>
        <stp>EM_S_FA_NETPROFITMARGIN</stp>
        <stp>3</stp>
        <stp>002215</stp>
        <stp>12/31/2018</stp>
        <stp>1</stp>
        <tr r="J2430" s="1"/>
      </tp>
      <tp>
        <v>-22.691540825800001</v>
        <stp/>
        <stp>EM_S_FA_NETPROFITMARGIN</stp>
        <stp>3</stp>
        <stp>002515</stp>
        <stp>12/31/2018</stp>
        <stp>1</stp>
        <tr r="J982" s="1"/>
      </tp>
      <tp>
        <v>22.8377763686</v>
        <stp/>
        <stp>EM_S_FA_NETPROFITMARGIN</stp>
        <stp>3</stp>
        <stp>002415</stp>
        <stp>12/31/2018</stp>
        <stp>1</stp>
        <tr r="J1038" s="1"/>
      </tp>
      <tp>
        <v>2.8961889581000002</v>
        <stp/>
        <stp>EM_S_FA_NETPROFITMARGIN</stp>
        <stp>3</stp>
        <stp>002715</stp>
        <stp>12/31/2018</stp>
        <stp>1</stp>
        <tr r="J1693" s="1"/>
      </tp>
      <tp>
        <v>5.1377098995999999</v>
        <stp/>
        <stp>EM_S_FA_NETPROFITMARGIN</stp>
        <stp>3</stp>
        <stp>002615</stp>
        <stp>12/31/2018</stp>
        <stp>1</stp>
        <tr r="J1586" s="1"/>
      </tp>
      <tp>
        <v>5.8107373782999998</v>
        <stp/>
        <stp>EM_S_FA_NETPROFITMARGIN</stp>
        <stp>3</stp>
        <stp>601375</stp>
        <stp>12/31/2018</stp>
        <stp>1</stp>
        <tr r="J1087" s="1"/>
      </tp>
      <tp>
        <v>15.6958320039</v>
        <stp/>
        <stp>EM_S_FA_NETPROFITMARGIN</stp>
        <stp>3</stp>
        <stp>000915</stp>
        <stp>12/31/2018</stp>
        <stp>1</stp>
        <tr r="J3573" s="1"/>
      </tp>
      <tp>
        <v>-1.8326689976999999</v>
        <stp/>
        <stp>EM_S_FA_NETPROFITMARGIN</stp>
        <stp>3</stp>
        <stp>600975</stp>
        <stp>12/31/2018</stp>
        <stp>1</stp>
        <tr r="J106" s="1"/>
      </tp>
      <tp>
        <v>4.2783035562</v>
        <stp/>
        <stp>EM_S_FA_NETPROFITMARGIN</stp>
        <stp>3</stp>
        <stp>000815</stp>
        <stp>12/31/2018</stp>
        <stp>1</stp>
        <tr r="J2186" s="1"/>
      </tp>
      <tp>
        <v>3.8959943146999998</v>
        <stp/>
        <stp>EM_S_FA_NETPROFITMARGIN</stp>
        <stp>3</stp>
        <stp>600875</stp>
        <stp>12/31/2018</stp>
        <stp>1</stp>
        <tr r="J1425" s="1"/>
      </tp>
      <tp>
        <v>23.772079502899999</v>
        <stp/>
        <stp>EM_S_FA_NETPROFITMARGIN</stp>
        <stp>3</stp>
        <stp>300125</stp>
        <stp>12/31/2018</stp>
        <stp>1</stp>
        <tr r="J841" s="1"/>
      </tp>
      <tp>
        <v>-24.088688127400001</v>
        <stp/>
        <stp>EM_S_FA_NETPROFITMARGIN</stp>
        <stp>3</stp>
        <stp>600175</stp>
        <stp>12/31/2018</stp>
        <stp>1</stp>
        <tr r="J2982" s="1"/>
      </tp>
      <tp>
        <v>0</v>
        <stp/>
        <stp>EM_S_FA_NETPROFITMARGIN</stp>
        <stp>3</stp>
        <stp>000015</stp>
        <stp>12/31/2018</stp>
        <stp>1</stp>
        <tr r="J2273" s="1"/>
      </tp>
      <tp>
        <v>-1.1285444765999999</v>
        <stp/>
        <stp>EM_S_FA_NETPROFITMARGIN</stp>
        <stp>3</stp>
        <stp>300025</stp>
        <stp>12/31/2018</stp>
        <stp>1</stp>
        <tr r="J1834" s="1"/>
      </tp>
      <tp>
        <v>9.5834723212000004</v>
        <stp/>
        <stp>EM_S_FA_NETPROFITMARGIN</stp>
        <stp>3</stp>
        <stp>600075</stp>
        <stp>12/31/2018</stp>
        <stp>1</stp>
        <tr r="J1714" s="1"/>
      </tp>
      <tp>
        <v>-4.0620274833999996</v>
        <stp/>
        <stp>EM_S_FA_NETPROFITMARGIN</stp>
        <stp>3</stp>
        <stp>300325</stp>
        <stp>12/31/2018</stp>
        <stp>1</stp>
        <tr r="J1879" s="1"/>
      </tp>
      <tp>
        <v>0.84081365029999999</v>
        <stp/>
        <stp>EM_S_FA_NETPROFITMARGIN</stp>
        <stp>3</stp>
        <stp>600375</stp>
        <stp>12/31/2018</stp>
        <stp>1</stp>
        <tr r="J856" s="1"/>
      </tp>
      <tp>
        <v>1.162027318</v>
        <stp/>
        <stp>EM_S_FA_NETPROFITMARGIN</stp>
        <stp>3</stp>
        <stp>300225</stp>
        <stp>12/31/2018</stp>
        <stp>1</stp>
        <tr r="J940" s="1"/>
      </tp>
      <tp>
        <v>11.2938517559</v>
        <stp/>
        <stp>EM_S_FA_NETPROFITMARGIN</stp>
        <stp>3</stp>
        <stp>600275</stp>
        <stp>12/31/2018</stp>
        <stp>1</stp>
        <tr r="J3082" s="1"/>
      </tp>
      <tp>
        <v>0</v>
        <stp/>
        <stp>EM_S_FA_NETPROFITMARGIN</stp>
        <stp>3</stp>
        <stp>000515</stp>
        <stp>12/31/2018</stp>
        <stp>1</stp>
        <tr r="J3438" s="1"/>
      </tp>
      <tp>
        <v>17.516937715000001</v>
        <stp/>
        <stp>EM_S_FA_NETPROFITMARGIN</stp>
        <stp>3</stp>
        <stp>300525</stp>
        <stp>12/31/2018</stp>
        <stp>1</stp>
        <tr r="J381" s="1"/>
      </tp>
      <tp>
        <v>5.1391431361000004</v>
        <stp/>
        <stp>EM_S_FA_NETPROFITMARGIN</stp>
        <stp>3</stp>
        <stp>600575</stp>
        <stp>12/31/2018</stp>
        <stp>1</stp>
        <tr r="J1229" s="1"/>
      </tp>
      <tp>
        <v>6.4524846924999997</v>
        <stp/>
        <stp>EM_S_FA_NETPROFITMARGIN</stp>
        <stp>3</stp>
        <stp>000415</stp>
        <stp>12/31/2018</stp>
        <stp>1</stp>
        <tr r="J2000" s="1"/>
      </tp>
      <tp>
        <v>12.274320472399999</v>
        <stp/>
        <stp>EM_S_FA_NETPROFITMARGIN</stp>
        <stp>3</stp>
        <stp>300425</stp>
        <stp>12/31/2018</stp>
        <stp>1</stp>
        <tr r="J2401" s="1"/>
      </tp>
      <tp>
        <v>6.5805171311999997</v>
        <stp/>
        <stp>EM_S_FA_NETPROFITMARGIN</stp>
        <stp>3</stp>
        <stp>600475</stp>
        <stp>12/31/2018</stp>
        <stp>1</stp>
        <tr r="J1220" s="1"/>
      </tp>
      <tp>
        <v>3.5386375023999999</v>
        <stp/>
        <stp>EM_S_FA_NETPROFITMARGIN</stp>
        <stp>3</stp>
        <stp>000715</stp>
        <stp>12/31/2018</stp>
        <stp>1</stp>
        <tr r="J2071" s="1"/>
      </tp>
      <tp>
        <v>28.122808222300002</v>
        <stp/>
        <stp>EM_S_FA_NETPROFITMARGIN</stp>
        <stp>3</stp>
        <stp>300725</stp>
        <stp>12/31/2018</stp>
        <stp>1</stp>
        <tr r="J1231" s="1"/>
      </tp>
      <tp>
        <v>4.7224493568000003</v>
        <stp/>
        <stp>EM_S_FA_NETPROFITMARGIN</stp>
        <stp>3</stp>
        <stp>600775</stp>
        <stp>12/31/2018</stp>
        <stp>1</stp>
        <tr r="J1097" s="1"/>
      </tp>
      <tp>
        <v>4.4343086548999997</v>
        <stp/>
        <stp>EM_S_FA_NETPROFITMARGIN</stp>
        <stp>3</stp>
        <stp>000615</stp>
        <stp>12/31/2018</stp>
        <stp>1</stp>
        <tr r="J3000" s="1"/>
      </tp>
      <tp>
        <v>7.4107725847000001</v>
        <stp/>
        <stp>EM_S_FA_NETPROFITMARGIN</stp>
        <stp>3</stp>
        <stp>300625</stp>
        <stp>12/31/2018</stp>
        <stp>1</stp>
        <tr r="J1465" s="1"/>
      </tp>
      <tp>
        <v>16.860304359800001</v>
        <stp/>
        <stp>EM_S_FA_NETPROFITMARGIN</stp>
        <stp>3</stp>
        <stp>600675</stp>
        <stp>12/31/2018</stp>
        <stp>1</stp>
        <tr r="J2967" s="1"/>
      </tp>
      <tp>
        <v>-24.071023856</v>
        <stp/>
        <stp>EM_S_FA_NETPROFITMARGIN</stp>
        <stp>3</stp>
        <stp>002114</stp>
        <stp>12/31/2018</stp>
        <stp>1</stp>
        <tr r="J3638" s="1"/>
      </tp>
      <tp>
        <v>9.8866923701000005</v>
        <stp/>
        <stp>EM_S_FA_NETPROFITMARGIN</stp>
        <stp>3</stp>
        <stp>002014</stp>
        <stp>12/31/2018</stp>
        <stp>1</stp>
        <tr r="J643" s="1"/>
      </tp>
      <tp>
        <v>10.6874824195</v>
        <stp/>
        <stp>EM_S_FA_NETPROFITMARGIN</stp>
        <stp>3</stp>
        <stp>002314</stp>
        <stp>12/31/2018</stp>
        <stp>1</stp>
        <tr r="J1918" s="1"/>
      </tp>
      <tp>
        <v>13.145123852999999</v>
        <stp/>
        <stp>EM_S_FA_NETPROFITMARGIN</stp>
        <stp>3</stp>
        <stp>002214</stp>
        <stp>12/31/2018</stp>
        <stp>1</stp>
        <tr r="J189" s="1"/>
      </tp>
      <tp>
        <v>11.684996180400001</v>
        <stp/>
        <stp>EM_S_FA_NETPROFITMARGIN</stp>
        <stp>3</stp>
        <stp>002514</stp>
        <stp>12/31/2018</stp>
        <stp>1</stp>
        <tr r="J1830" s="1"/>
      </tp>
      <tp>
        <v>12.187917882000001</v>
        <stp/>
        <stp>EM_S_FA_NETPROFITMARGIN</stp>
        <stp>3</stp>
        <stp>002414</stp>
        <stp>12/31/2018</stp>
        <stp>1</stp>
        <tr r="J2621" s="1"/>
      </tp>
      <tp>
        <v>3.9443739150999999</v>
        <stp/>
        <stp>EM_S_FA_NETPROFITMARGIN</stp>
        <stp>3</stp>
        <stp>002714</stp>
        <stp>12/31/2018</stp>
        <stp>1</stp>
        <tr r="J46" s="1"/>
      </tp>
      <tp>
        <v>8.1293330200000007</v>
        <stp/>
        <stp>EM_S_FA_NETPROFITMARGIN</stp>
        <stp>3</stp>
        <stp>002614</stp>
        <stp>12/31/2018</stp>
        <stp>1</stp>
        <tr r="J3257" s="1"/>
      </tp>
      <tp>
        <v>21.523055017000001</v>
        <stp/>
        <stp>EM_S_FA_NETPROFITMARGIN</stp>
        <stp>3</stp>
        <stp>600874</stp>
        <stp>12/31/2018</stp>
        <stp>1</stp>
        <tr r="J2879" s="1"/>
      </tp>
      <tp>
        <v>20.576219889800001</v>
        <stp/>
        <stp>EM_S_FA_NETPROFITMARGIN</stp>
        <stp>3</stp>
        <stp>300124</stp>
        <stp>12/31/2018</stp>
        <stp>1</stp>
        <tr r="J514" s="1"/>
      </tp>
      <tp>
        <v>43.171114025199998</v>
        <stp/>
        <stp>EM_S_FA_NETPROFITMARGIN</stp>
        <stp>3</stp>
        <stp>000014</stp>
        <stp>12/31/2018</stp>
        <stp>1</stp>
        <tr r="J2219" s="1"/>
      </tp>
      <tp>
        <v>14.7020136922</v>
        <stp/>
        <stp>EM_S_FA_NETPROFITMARGIN</stp>
        <stp>3</stp>
        <stp>300024</stp>
        <stp>12/31/2018</stp>
        <stp>1</stp>
        <tr r="J1953" s="1"/>
      </tp>
      <tp>
        <v>-1222.1604312454999</v>
        <stp/>
        <stp>EM_S_FA_NETPROFITMARGIN</stp>
        <stp>3</stp>
        <stp>600074</stp>
        <stp>12/31/2018</stp>
        <stp>1</stp>
        <tr r="J2876" s="1"/>
      </tp>
      <tp>
        <v>1.8082072402</v>
        <stp/>
        <stp>EM_S_FA_NETPROFITMARGIN</stp>
        <stp>3</stp>
        <stp>300324</stp>
        <stp>12/31/2018</stp>
        <stp>1</stp>
        <tr r="J2393" s="1"/>
      </tp>
      <tp>
        <v>-5.2372285408000003</v>
        <stp/>
        <stp>EM_S_FA_NETPROFITMARGIN</stp>
        <stp>3</stp>
        <stp>300224</stp>
        <stp>12/31/2018</stp>
        <stp>1</stp>
        <tr r="J372" s="1"/>
      </tp>
      <tp>
        <v>8.0551878992999999</v>
        <stp/>
        <stp>EM_S_FA_NETPROFITMARGIN</stp>
        <stp>3</stp>
        <stp>000514</stp>
        <stp>12/31/2018</stp>
        <stp>1</stp>
        <tr r="J3437" s="1"/>
      </tp>
      <tp>
        <v>6.5717237188000004</v>
        <stp/>
        <stp>EM_S_FA_NETPROFITMARGIN</stp>
        <stp>3</stp>
        <stp>300424</stp>
        <stp>12/31/2018</stp>
        <stp>1</stp>
        <tr r="J1457" s="1"/>
      </tp>
      <tp>
        <v>2.4963262236000001</v>
        <stp/>
        <stp>EM_S_FA_NETPROFITMARGIN</stp>
        <stp>3</stp>
        <stp>600774</stp>
        <stp>12/31/2018</stp>
        <stp>1</stp>
        <tr r="J3117" s="1"/>
      </tp>
      <tp>
        <v>13.147724779800001</v>
        <stp/>
        <stp>EM_S_FA_NETPROFITMARGIN</stp>
        <stp>3</stp>
        <stp>300624</stp>
        <stp>12/31/2018</stp>
        <stp>1</stp>
        <tr r="J1409" s="1"/>
      </tp>
      <tp>
        <v>417.52197199810001</v>
        <stp/>
        <stp>EM_S_FA_NETPROFITMARGIN</stp>
        <stp>3</stp>
        <stp>600674</stp>
        <stp>12/31/2018</stp>
        <stp>1</stp>
        <tr r="J1589" s="1"/>
      </tp>
      <tp>
        <v>8.8102654699999992</v>
        <stp/>
        <stp>EM_S_FA_NETPROFITMARGIN</stp>
        <stp>3</stp>
        <stp>603977</stp>
        <stp>12/31/2018</stp>
        <stp>1</stp>
        <tr r="J1382" s="1"/>
      </tp>
      <tp>
        <v>7.2651347646</v>
        <stp/>
        <stp>EM_S_FA_NETPROFITMARGIN</stp>
        <stp>3</stp>
        <stp>603877</stp>
        <stp>12/31/2018</stp>
        <stp>1</stp>
        <tr r="J2990" s="1"/>
      </tp>
      <tp>
        <v>1.7226334992000001</v>
        <stp/>
        <stp>EM_S_FA_NETPROFITMARGIN</stp>
        <stp>3</stp>
        <stp>603177</stp>
        <stp>12/31/2018</stp>
        <stp>1</stp>
        <tr r="J1680" s="1"/>
      </tp>
      <tp>
        <v>4.9626221925999996</v>
        <stp/>
        <stp>EM_S_FA_NETPROFITMARGIN</stp>
        <stp>3</stp>
        <stp>603077</stp>
        <stp>12/31/2018</stp>
        <stp>1</stp>
        <tr r="J2778" s="1"/>
      </tp>
      <tp>
        <v>21.5602945666</v>
        <stp/>
        <stp>EM_S_FA_NETPROFITMARGIN</stp>
        <stp>3</stp>
        <stp>603377</stp>
        <stp>12/31/2018</stp>
        <stp>1</stp>
        <tr r="J1083" s="1"/>
      </tp>
      <tp>
        <v>16.718056482600002</v>
        <stp/>
        <stp>EM_S_FA_NETPROFITMARGIN</stp>
        <stp>3</stp>
        <stp>603277</stp>
        <stp>12/31/2018</stp>
        <stp>1</stp>
        <tr r="J1326" s="1"/>
      </tp>
      <tp>
        <v>3.2713790528</v>
        <stp/>
        <stp>EM_S_FA_NETPROFITMARGIN</stp>
        <stp>3</stp>
        <stp>603577</stp>
        <stp>12/31/2018</stp>
        <stp>1</stp>
        <tr r="J1423" s="1"/>
      </tp>
      <tp>
        <v>9.6906960252999994</v>
        <stp/>
        <stp>EM_S_FA_NETPROFITMARGIN</stp>
        <stp>3</stp>
        <stp>603477</stp>
        <stp>12/31/2018</stp>
        <stp>1</stp>
        <tr r="J496" s="1"/>
      </tp>
      <tp>
        <v>0.2597894617</v>
        <stp/>
        <stp>EM_S_FA_NETPROFITMARGIN</stp>
        <stp>3</stp>
        <stp>603777</stp>
        <stp>12/31/2018</stp>
        <stp>1</stp>
        <tr r="J1212" s="1"/>
      </tp>
      <tp>
        <v>5.6246253193999998</v>
        <stp/>
        <stp>EM_S_FA_NETPROFITMARGIN</stp>
        <stp>3</stp>
        <stp>603677</stp>
        <stp>12/31/2018</stp>
        <stp>1</stp>
        <tr r="J2785" s="1"/>
      </tp>
      <tp>
        <v>17.0881236245</v>
        <stp/>
        <stp>EM_S_FA_NETPROFITMARGIN</stp>
        <stp>3</stp>
        <stp>002917</stp>
        <stp>12/31/2018</stp>
        <stp>1</stp>
        <tr r="J3192" s="1"/>
      </tp>
      <tp>
        <v>11.5596289057</v>
        <stp/>
        <stp>EM_S_FA_NETPROFITMARGIN</stp>
        <stp>3</stp>
        <stp>002817</stp>
        <stp>12/31/2018</stp>
        <stp>1</stp>
        <tr r="J851" s="1"/>
      </tp>
      <tp>
        <v>16.6695194152</v>
        <stp/>
        <stp>EM_S_FA_NETPROFITMARGIN</stp>
        <stp>3</stp>
        <stp>002117</stp>
        <stp>12/31/2018</stp>
        <stp>1</stp>
        <tr r="J2798" s="1"/>
      </tp>
      <tp>
        <v>3.3703108538</v>
        <stp/>
        <stp>EM_S_FA_NETPROFITMARGIN</stp>
        <stp>3</stp>
        <stp>002017</stp>
        <stp>12/31/2018</stp>
        <stp>1</stp>
        <tr r="J3607" s="1"/>
      </tp>
      <tp>
        <v>18.229918445300001</v>
        <stp/>
        <stp>EM_S_FA_NETPROFITMARGIN</stp>
        <stp>3</stp>
        <stp>002317</stp>
        <stp>12/31/2018</stp>
        <stp>1</stp>
        <tr r="J653" s="1"/>
      </tp>
      <tp>
        <v>7.7180455776999999</v>
        <stp/>
        <stp>EM_S_FA_NETPROFITMARGIN</stp>
        <stp>3</stp>
        <stp>002217</stp>
        <stp>12/31/2018</stp>
        <stp>1</stp>
        <tr r="J1404" s="1"/>
      </tp>
      <tp>
        <v>12.985736576900001</v>
        <stp/>
        <stp>EM_S_FA_NETPROFITMARGIN</stp>
        <stp>3</stp>
        <stp>002517</stp>
        <stp>12/31/2018</stp>
        <stp>1</stp>
        <tr r="J3215" s="1"/>
      </tp>
      <tp>
        <v>-23.239986348399999</v>
        <stp/>
        <stp>EM_S_FA_NETPROFITMARGIN</stp>
        <stp>3</stp>
        <stp>002417</stp>
        <stp>12/31/2018</stp>
        <stp>1</stp>
        <tr r="J3078" s="1"/>
      </tp>
      <tp>
        <v>9.0400854439000007</v>
        <stp/>
        <stp>EM_S_FA_NETPROFITMARGIN</stp>
        <stp>3</stp>
        <stp>002717</stp>
        <stp>12/31/2018</stp>
        <stp>1</stp>
        <tr r="J3355" s="1"/>
      </tp>
      <tp>
        <v>-32.2346241941</v>
        <stp/>
        <stp>EM_S_FA_NETPROFITMARGIN</stp>
        <stp>3</stp>
        <stp>002617</stp>
        <stp>12/31/2018</stp>
        <stp>1</stp>
        <tr r="J760" s="1"/>
      </tp>
      <tp>
        <v>13.718610152</v>
        <stp/>
        <stp>EM_S_FA_NETPROFITMARGIN</stp>
        <stp>3</stp>
        <stp>601877</stp>
        <stp>12/31/2018</stp>
        <stp>1</stp>
        <tr r="J1679" s="1"/>
      </tp>
      <tp>
        <v>1.8722072642000001</v>
        <stp/>
        <stp>EM_S_FA_NETPROFITMARGIN</stp>
        <stp>3</stp>
        <stp>601177</stp>
        <stp>12/31/2018</stp>
        <stp>1</stp>
        <tr r="J2162" s="1"/>
      </tp>
      <tp>
        <v>8.8530629910999998</v>
        <stp/>
        <stp>EM_S_FA_NETPROFITMARGIN</stp>
        <stp>3</stp>
        <stp>601377</stp>
        <stp>12/31/2018</stp>
        <stp>1</stp>
        <tr r="J499" s="1"/>
      </tp>
      <tp>
        <v>2.2417062485999999</v>
        <stp/>
        <stp>EM_S_FA_NETPROFITMARGIN</stp>
        <stp>3</stp>
        <stp>601777</stp>
        <stp>12/31/2018</stp>
        <stp>1</stp>
        <tr r="J3037" s="1"/>
      </tp>
      <tp>
        <v>3.9629115646000002</v>
        <stp/>
        <stp>EM_S_FA_NETPROFITMARGIN</stp>
        <stp>3</stp>
        <stp>601677</stp>
        <stp>12/31/2018</stp>
        <stp>1</stp>
        <tr r="J925" s="1"/>
      </tp>
      <tp>
        <v>2.5856557677000001</v>
        <stp/>
        <stp>EM_S_FA_NETPROFITMARGIN</stp>
        <stp>3</stp>
        <stp>000917</stp>
        <stp>12/31/2018</stp>
        <stp>1</stp>
        <tr r="J2445" s="1"/>
      </tp>
      <tp>
        <v>17.944546946500001</v>
        <stp/>
        <stp>EM_S_FA_NETPROFITMARGIN</stp>
        <stp>3</stp>
        <stp>600977</stp>
        <stp>12/31/2018</stp>
        <stp>1</stp>
        <tr r="J1944" s="1"/>
      </tp>
      <tp>
        <v>0</v>
        <stp/>
        <stp>EM_S_FA_NETPROFITMARGIN</stp>
        <stp>3</stp>
        <stp>000817</stp>
        <stp>12/31/2018</stp>
        <stp>1</stp>
        <tr r="J3548" s="1"/>
      </tp>
      <tp>
        <v>-54.589305885800002</v>
        <stp/>
        <stp>EM_S_FA_NETPROFITMARGIN</stp>
        <stp>3</stp>
        <stp>600877</stp>
        <stp>12/31/2018</stp>
        <stp>1</stp>
        <tr r="J1175" s="1"/>
      </tp>
      <tp>
        <v>26.293112841999999</v>
        <stp/>
        <stp>EM_S_FA_NETPROFITMARGIN</stp>
        <stp>3</stp>
        <stp>300127</stp>
        <stp>12/31/2018</stp>
        <stp>1</stp>
        <tr r="J251" s="1"/>
      </tp>
      <tp>
        <v>38.176526860599999</v>
        <stp/>
        <stp>EM_S_FA_NETPROFITMARGIN</stp>
        <stp>3</stp>
        <stp>600177</stp>
        <stp>12/31/2018</stp>
        <stp>1</stp>
        <tr r="J2487" s="1"/>
      </tp>
      <tp>
        <v>-1.5683042348</v>
        <stp/>
        <stp>EM_S_FA_NETPROFITMARGIN</stp>
        <stp>3</stp>
        <stp>000017</stp>
        <stp>12/31/2018</stp>
        <stp>1</stp>
        <tr r="J2076" s="1"/>
      </tp>
      <tp>
        <v>-23.360452641599998</v>
        <stp/>
        <stp>EM_S_FA_NETPROFITMARGIN</stp>
        <stp>3</stp>
        <stp>300027</stp>
        <stp>12/31/2018</stp>
        <stp>1</stp>
        <tr r="J2241" s="1"/>
      </tp>
      <tp>
        <v>8.7055834654000002</v>
        <stp/>
        <stp>EM_S_FA_NETPROFITMARGIN</stp>
        <stp>3</stp>
        <stp>600077</stp>
        <stp>12/31/2018</stp>
        <stp>1</stp>
        <tr r="J1551" s="1"/>
      </tp>
      <tp>
        <v>21.293025415100001</v>
        <stp/>
        <stp>EM_S_FA_NETPROFITMARGIN</stp>
        <stp>3</stp>
        <stp>300327</stp>
        <stp>12/31/2018</stp>
        <stp>1</stp>
        <tr r="J690" s="1"/>
      </tp>
      <tp>
        <v>44.896237589899997</v>
        <stp/>
        <stp>EM_S_FA_NETPROFITMARGIN</stp>
        <stp>3</stp>
        <stp>600377</stp>
        <stp>12/31/2018</stp>
        <stp>1</stp>
        <tr r="J1600" s="1"/>
      </tp>
      <tp>
        <v>11.7123069511</v>
        <stp/>
        <stp>EM_S_FA_NETPROFITMARGIN</stp>
        <stp>3</stp>
        <stp>300227</stp>
        <stp>12/31/2018</stp>
        <stp>1</stp>
        <tr r="J659" s="1"/>
      </tp>
      <tp>
        <v>6.4757345431999997</v>
        <stp/>
        <stp>EM_S_FA_NETPROFITMARGIN</stp>
        <stp>3</stp>
        <stp>600277</stp>
        <stp>12/31/2018</stp>
        <stp>1</stp>
        <tr r="J3055" s="1"/>
      </tp>
      <tp>
        <v>13.8150278481</v>
        <stp/>
        <stp>EM_S_FA_NETPROFITMARGIN</stp>
        <stp>3</stp>
        <stp>000517</stp>
        <stp>12/31/2018</stp>
        <stp>1</stp>
        <tr r="J3440" s="1"/>
      </tp>
      <tp>
        <v>9.0339240569000001</v>
        <stp/>
        <stp>EM_S_FA_NETPROFITMARGIN</stp>
        <stp>3</stp>
        <stp>300527</stp>
        <stp>12/31/2018</stp>
        <stp>1</stp>
        <tr r="J365" s="1"/>
      </tp>
      <tp>
        <v>4.3284405308</v>
        <stp/>
        <stp>EM_S_FA_NETPROFITMARGIN</stp>
        <stp>3</stp>
        <stp>600577</stp>
        <stp>12/31/2018</stp>
        <stp>1</stp>
        <tr r="J2701" s="1"/>
      </tp>
      <tp>
        <v>2.9375139013</v>
        <stp/>
        <stp>EM_S_FA_NETPROFITMARGIN</stp>
        <stp>3</stp>
        <stp>000417</stp>
        <stp>12/31/2018</stp>
        <stp>1</stp>
        <tr r="J1571" s="1"/>
      </tp>
      <tp>
        <v>19.8362963567</v>
        <stp/>
        <stp>EM_S_FA_NETPROFITMARGIN</stp>
        <stp>3</stp>
        <stp>300427</stp>
        <stp>12/31/2018</stp>
        <stp>1</stp>
        <tr r="J971" s="1"/>
      </tp>
      <tp>
        <v>9.2902155856000004</v>
        <stp/>
        <stp>EM_S_FA_NETPROFITMARGIN</stp>
        <stp>3</stp>
        <stp>600477</stp>
        <stp>12/31/2018</stp>
        <stp>1</stp>
        <tr r="J3098" s="1"/>
      </tp>
      <tp>
        <v>12.195271180800001</v>
        <stp/>
        <stp>EM_S_FA_NETPROFITMARGIN</stp>
        <stp>3</stp>
        <stp>000717</stp>
        <stp>12/31/2018</stp>
        <stp>1</stp>
        <tr r="J2113" s="1"/>
      </tp>
      <tp>
        <v>10.150082378500001</v>
        <stp/>
        <stp>EM_S_FA_NETPROFITMARGIN</stp>
        <stp>3</stp>
        <stp>300727</stp>
        <stp>12/31/2018</stp>
        <stp>1</stp>
        <tr r="J3144" s="1"/>
      </tp>
      <tp>
        <v>12.566521679199999</v>
        <stp/>
        <stp>EM_S_FA_NETPROFITMARGIN</stp>
        <stp>3</stp>
        <stp>600777</stp>
        <stp>12/31/2018</stp>
        <stp>1</stp>
        <tr r="J1771" s="1"/>
      </tp>
      <tp>
        <v>2271.5708637934999</v>
        <stp/>
        <stp>EM_S_FA_NETPROFITMARGIN</stp>
        <stp>3</stp>
        <stp>000617</stp>
        <stp>12/31/2018</stp>
        <stp>1</stp>
        <tr r="J1592" s="1"/>
      </tp>
      <tp>
        <v>11.3303437578</v>
        <stp/>
        <stp>EM_S_FA_NETPROFITMARGIN</stp>
        <stp>3</stp>
        <stp>300627</stp>
        <stp>12/31/2018</stp>
        <stp>1</stp>
        <tr r="J908" s="1"/>
      </tp>
      <tp>
        <v>3.0337322088000001</v>
        <stp/>
        <stp>EM_S_FA_NETPROFITMARGIN</stp>
        <stp>3</stp>
        <stp>600677</stp>
        <stp>12/31/2018</stp>
        <stp>1</stp>
        <tr r="J2619" s="1"/>
      </tp>
      <tp>
        <v>13.8921156114</v>
        <stp/>
        <stp>EM_S_FA_NETPROFITMARGIN</stp>
        <stp>3</stp>
        <stp>603976</stp>
        <stp>12/31/2018</stp>
        <stp>1</stp>
        <tr r="J1880" s="1"/>
      </tp>
      <tp>
        <v>2.7462845160999998</v>
        <stp/>
        <stp>EM_S_FA_NETPROFITMARGIN</stp>
        <stp>3</stp>
        <stp>603876</stp>
        <stp>12/31/2018</stp>
        <stp>1</stp>
        <tr r="J2926" s="1"/>
      </tp>
      <tp>
        <v>4.0487167179999997</v>
        <stp/>
        <stp>EM_S_FA_NETPROFITMARGIN</stp>
        <stp>3</stp>
        <stp>603076</stp>
        <stp>12/31/2018</stp>
        <stp>1</stp>
        <tr r="J2382" s="1"/>
      </tp>
      <tp>
        <v>14.082579216499999</v>
        <stp/>
        <stp>EM_S_FA_NETPROFITMARGIN</stp>
        <stp>3</stp>
        <stp>603776</stp>
        <stp>12/31/2018</stp>
        <stp>1</stp>
        <tr r="J2890" s="1"/>
      </tp>
      <tp>
        <v>9.8396744721000005</v>
        <stp/>
        <stp>EM_S_FA_NETPROFITMARGIN</stp>
        <stp>3</stp>
        <stp>603676</stp>
        <stp>12/31/2018</stp>
        <stp>1</stp>
        <tr r="J2673" s="1"/>
      </tp>
      <tp>
        <v>9.1857826294000002</v>
        <stp/>
        <stp>EM_S_FA_NETPROFITMARGIN</stp>
        <stp>3</stp>
        <stp>002916</stp>
        <stp>12/31/2018</stp>
        <stp>1</stp>
        <tr r="J264" s="1"/>
      </tp>
      <tp>
        <v>1.8666128662999999</v>
        <stp/>
        <stp>EM_S_FA_NETPROFITMARGIN</stp>
        <stp>3</stp>
        <stp>002816</stp>
        <stp>12/31/2018</stp>
        <stp>1</stp>
        <tr r="J652" s="1"/>
      </tp>
      <tp>
        <v>4.0609489664999998</v>
        <stp/>
        <stp>EM_S_FA_NETPROFITMARGIN</stp>
        <stp>3</stp>
        <stp>002116</stp>
        <stp>12/31/2018</stp>
        <stp>1</stp>
        <tr r="J1546" s="1"/>
      </tp>
      <tp>
        <v>34.044486040400002</v>
        <stp/>
        <stp>EM_S_FA_NETPROFITMARGIN</stp>
        <stp>3</stp>
        <stp>002016</stp>
        <stp>12/31/2018</stp>
        <stp>1</stp>
        <tr r="J2526" s="1"/>
      </tp>
      <tp>
        <v>8.1063970841999993</v>
        <stp/>
        <stp>EM_S_FA_NETPROFITMARGIN</stp>
        <stp>3</stp>
        <stp>002316</stp>
        <stp>12/31/2018</stp>
        <stp>1</stp>
        <tr r="J1910" s="1"/>
      </tp>
      <tp>
        <v>1.8322458574</v>
        <stp/>
        <stp>EM_S_FA_NETPROFITMARGIN</stp>
        <stp>3</stp>
        <stp>002216</stp>
        <stp>12/31/2018</stp>
        <stp>1</stp>
        <tr r="J197" s="1"/>
      </tp>
      <tp>
        <v>12.827296502599999</v>
        <stp/>
        <stp>EM_S_FA_NETPROFITMARGIN</stp>
        <stp>3</stp>
        <stp>002516</stp>
        <stp>12/31/2018</stp>
        <stp>1</stp>
        <tr r="J2588" s="1"/>
      </tp>
      <tp>
        <v>-0.1230377101</v>
        <stp/>
        <stp>EM_S_FA_NETPROFITMARGIN</stp>
        <stp>3</stp>
        <stp>002416</stp>
        <stp>12/31/2018</stp>
        <stp>1</stp>
        <tr r="J976" s="1"/>
      </tp>
      <tp>
        <v>1.2441905950000001</v>
        <stp/>
        <stp>EM_S_FA_NETPROFITMARGIN</stp>
        <stp>3</stp>
        <stp>002716</stp>
        <stp>12/31/2018</stp>
        <stp>1</stp>
        <tr r="J3375" s="1"/>
      </tp>
      <tp>
        <v>8.1980999881999992</v>
        <stp/>
        <stp>EM_S_FA_NETPROFITMARGIN</stp>
        <stp>3</stp>
        <stp>002616</stp>
        <stp>12/31/2018</stp>
        <stp>1</stp>
        <tr r="J1661" s="1"/>
      </tp>
      <tp>
        <v>0</v>
        <stp/>
        <stp>EM_S_FA_NETPROFITMARGIN</stp>
        <stp>3</stp>
        <stp>000916</stp>
        <stp>12/31/2018</stp>
        <stp>1</stp>
        <tr r="J3574" s="1"/>
      </tp>
      <tp>
        <v>3.7612984673000001</v>
        <stp/>
        <stp>EM_S_FA_NETPROFITMARGIN</stp>
        <stp>3</stp>
        <stp>600976</stp>
        <stp>12/31/2018</stp>
        <stp>1</stp>
        <tr r="J1228" s="1"/>
      </tp>
      <tp>
        <v>0.15755825239999999</v>
        <stp/>
        <stp>EM_S_FA_NETPROFITMARGIN</stp>
        <stp>3</stp>
        <stp>000816</stp>
        <stp>12/31/2018</stp>
        <stp>1</stp>
        <tr r="J3547" s="1"/>
      </tp>
      <tp>
        <v>1.6529153823</v>
        <stp/>
        <stp>EM_S_FA_NETPROFITMARGIN</stp>
        <stp>3</stp>
        <stp>600876</stp>
        <stp>12/31/2018</stp>
        <stp>1</stp>
        <tr r="J598" s="1"/>
      </tp>
      <tp>
        <v>-7.7097933984999996</v>
        <stp/>
        <stp>EM_S_FA_NETPROFITMARGIN</stp>
        <stp>3</stp>
        <stp>300126</stp>
        <stp>12/31/2018</stp>
        <stp>1</stp>
        <tr r="J1497" s="1"/>
      </tp>
      <tp>
        <v>23.7712723295</v>
        <stp/>
        <stp>EM_S_FA_NETPROFITMARGIN</stp>
        <stp>3</stp>
        <stp>600176</stp>
        <stp>12/31/2018</stp>
        <stp>1</stp>
        <tr r="J1596" s="1"/>
      </tp>
      <tp>
        <v>1.4495227505999999</v>
        <stp/>
        <stp>EM_S_FA_NETPROFITMARGIN</stp>
        <stp>3</stp>
        <stp>000016</stp>
        <stp>12/31/2018</stp>
        <stp>1</stp>
        <tr r="J767" s="1"/>
      </tp>
      <tp>
        <v>5.111594964</v>
        <stp/>
        <stp>EM_S_FA_NETPROFITMARGIN</stp>
        <stp>3</stp>
        <stp>300026</stp>
        <stp>12/31/2018</stp>
        <stp>1</stp>
        <tr r="J1577" s="1"/>
      </tp>
      <tp>
        <v>20.385417174699999</v>
        <stp/>
        <stp>EM_S_FA_NETPROFITMARGIN</stp>
        <stp>3</stp>
        <stp>600076</stp>
        <stp>12/31/2018</stp>
        <stp>1</stp>
        <tr r="J2007" s="1"/>
      </tp>
      <tp>
        <v>49.4529564308</v>
        <stp/>
        <stp>EM_S_FA_NETPROFITMARGIN</stp>
        <stp>3</stp>
        <stp>300326</stp>
        <stp>12/31/2018</stp>
        <stp>1</stp>
        <tr r="J483" s="1"/>
      </tp>
      <tp>
        <v>10.0259477922</v>
        <stp/>
        <stp>EM_S_FA_NETPROFITMARGIN</stp>
        <stp>3</stp>
        <stp>600376</stp>
        <stp>12/31/2018</stp>
        <stp>1</stp>
        <tr r="J1649" s="1"/>
      </tp>
      <tp>
        <v>0.2103754763</v>
        <stp/>
        <stp>EM_S_FA_NETPROFITMARGIN</stp>
        <stp>3</stp>
        <stp>300226</stp>
        <stp>12/31/2018</stp>
        <stp>1</stp>
        <tr r="J350" s="1"/>
      </tp>
      <tp>
        <v>23.316152035199998</v>
        <stp/>
        <stp>EM_S_FA_NETPROFITMARGIN</stp>
        <stp>3</stp>
        <stp>600276</stp>
        <stp>12/31/2018</stp>
        <stp>1</stp>
        <tr r="J401" s="1"/>
      </tp>
      <tp>
        <v>109.9996921696</v>
        <stp/>
        <stp>EM_S_FA_NETPROFITMARGIN</stp>
        <stp>3</stp>
        <stp>000516</stp>
        <stp>12/31/2018</stp>
        <stp>1</stp>
        <tr r="J3439" s="1"/>
      </tp>
      <tp>
        <v>5.6626851208</v>
        <stp/>
        <stp>EM_S_FA_NETPROFITMARGIN</stp>
        <stp>3</stp>
        <stp>300526</stp>
        <stp>12/31/2018</stp>
        <stp>1</stp>
        <tr r="J21" s="1"/>
      </tp>
      <tp>
        <v>1.7664116140999999</v>
        <stp/>
        <stp>EM_S_FA_NETPROFITMARGIN</stp>
        <stp>3</stp>
        <stp>600576</stp>
        <stp>12/31/2018</stp>
        <stp>1</stp>
        <tr r="J1411" s="1"/>
      </tp>
      <tp>
        <v>223.757564766</v>
        <stp/>
        <stp>EM_S_FA_NETPROFITMARGIN</stp>
        <stp>3</stp>
        <stp>000416</stp>
        <stp>12/31/2018</stp>
        <stp>1</stp>
        <tr r="J3421" s="1"/>
      </tp>
      <tp>
        <v>-256.18002648769999</v>
        <stp/>
        <stp>EM_S_FA_NETPROFITMARGIN</stp>
        <stp>3</stp>
        <stp>300426</stp>
        <stp>12/31/2018</stp>
        <stp>1</stp>
        <tr r="J2691" s="1"/>
      </tp>
      <tp>
        <v>0.52160553099999996</v>
        <stp/>
        <stp>EM_S_FA_NETPROFITMARGIN</stp>
        <stp>3</stp>
        <stp>600476</stp>
        <stp>12/31/2018</stp>
        <stp>1</stp>
        <tr r="J1132" s="1"/>
      </tp>
      <tp>
        <v>0.61065726220000005</v>
        <stp/>
        <stp>EM_S_FA_NETPROFITMARGIN</stp>
        <stp>3</stp>
        <stp>000716</stp>
        <stp>12/31/2018</stp>
        <stp>1</stp>
        <tr r="J812" s="1"/>
      </tp>
      <tp>
        <v>34.413952639999998</v>
        <stp/>
        <stp>EM_S_FA_NETPROFITMARGIN</stp>
        <stp>3</stp>
        <stp>300726</stp>
        <stp>12/31/2018</stp>
        <stp>1</stp>
        <tr r="J613" s="1"/>
      </tp>
      <tp>
        <v>5.4194772596999998</v>
        <stp/>
        <stp>EM_S_FA_NETPROFITMARGIN</stp>
        <stp>3</stp>
        <stp>600776</stp>
        <stp>12/31/2018</stp>
        <stp>1</stp>
        <tr r="J255" s="1"/>
      </tp>
      <tp>
        <v>128.24010665259999</v>
        <stp/>
        <stp>EM_S_FA_NETPROFITMARGIN</stp>
        <stp>3</stp>
        <stp>000616</stp>
        <stp>12/31/2018</stp>
        <stp>1</stp>
        <tr r="J2228" s="1"/>
      </tp>
      <tp>
        <v>5.1889095992999996</v>
        <stp/>
        <stp>EM_S_FA_NETPROFITMARGIN</stp>
        <stp>3</stp>
        <stp>300626</stp>
        <stp>12/31/2018</stp>
        <stp>1</stp>
        <tr r="J2555" s="1"/>
      </tp>
      <tp>
        <v>3.8676276829999998</v>
        <stp/>
        <stp>EM_S_FA_NETPROFITMARGIN</stp>
        <stp>3</stp>
        <stp>600676</stp>
        <stp>12/31/2018</stp>
        <stp>1</stp>
        <tr r="J2345" s="1"/>
      </tp>
      <tp>
        <v>32305000000</v>
        <stp/>
        <stp>EM_S_STM07_IS</stp>
        <stp>4</stp>
        <stp>000001</stp>
        <stp>48</stp>
        <stp>12/31/2018</stp>
        <stp>1</stp>
        <tr r="Z265" s="1"/>
      </tp>
      <tp>
        <v>0.222756112739315</v>
        <stp/>
        <stp>EM_S_VAL_PS_TTM</stp>
        <stp>2</stp>
        <stp>601390</stp>
        <stp>12/31/2018</stp>
        <tr r="O2944" s="1"/>
      </tp>
      <tp>
        <v>2.4556243683129799</v>
        <stp/>
        <stp>EM_S_VAL_PS_TTM</stp>
        <stp>2</stp>
        <stp>601398</stp>
        <stp>12/31/2018</stp>
        <tr r="O1662" s="1"/>
      </tp>
      <tp>
        <v>0.62878174367688699</v>
        <stp/>
        <stp>EM_S_VAL_PS_TTM</stp>
        <stp>2</stp>
        <stp>601388</stp>
        <stp>12/31/2018</stp>
        <tr r="O2423" s="1"/>
      </tp>
      <tp>
        <v>4.32231337877574</v>
        <stp/>
        <stp>EM_S_VAL_PS_TTM</stp>
        <stp>2</stp>
        <stp>601377</stp>
        <stp>12/31/2018</stp>
        <tr r="O499" s="1"/>
      </tp>
      <tp>
        <v>8.9274367660778804</v>
        <stp/>
        <stp>EM_S_VAL_PS_TTM</stp>
        <stp>2</stp>
        <stp>601375</stp>
        <stp>12/31/2018</stp>
        <tr r="O1087" s="1"/>
      </tp>
      <tp>
        <v>0.50288432062150501</v>
        <stp/>
        <stp>EM_S_VAL_PS_TTM</stp>
        <stp>2</stp>
        <stp>601366</stp>
        <stp>12/31/2018</stp>
        <tr r="O2886" s="1"/>
      </tp>
      <tp>
        <v>43.337499261853502</v>
        <stp/>
        <stp>EM_S_VAL_PS_TTM</stp>
        <stp>2</stp>
        <stp>601360</stp>
        <stp>12/31/2018</stp>
        <tr r="O1479" s="1"/>
      </tp>
      <tp>
        <v>2.1008464314581001</v>
        <stp/>
        <stp>EM_S_VAL_PS_TTM</stp>
        <stp>2</stp>
        <stp>601369</stp>
        <stp>12/31/2018</stp>
        <tr r="O1777" s="1"/>
      </tp>
      <tp>
        <v>3.2898748290752202</v>
        <stp/>
        <stp>EM_S_VAL_PS_TTM</stp>
        <stp>2</stp>
        <stp>601368</stp>
        <stp>12/31/2018</stp>
        <tr r="O2204" s="1"/>
      </tp>
      <tp>
        <v>0.83901170667406499</v>
        <stp/>
        <stp>EM_S_VAL_PS_TTM</stp>
        <stp>2</stp>
        <stp>601311</stp>
        <stp>12/31/2018</stp>
        <tr r="O1920" s="1"/>
      </tp>
      <tp>
        <v>1.0482304066302399</v>
        <stp/>
        <stp>EM_S_VAL_PS_TTM</stp>
        <stp>2</stp>
        <stp>601318</stp>
        <stp>12/31/2018</stp>
        <tr r="O516" s="1"/>
      </tp>
      <tp>
        <v>0.86668890924637298</v>
        <stp/>
        <stp>EM_S_VAL_PS_TTM</stp>
        <stp>2</stp>
        <stp>601336</stp>
        <stp>12/31/2018</stp>
        <tr r="O1427" s="1"/>
      </tp>
      <tp>
        <v>1.1336136317405801</v>
        <stp/>
        <stp>EM_S_VAL_PS_TTM</stp>
        <stp>2</stp>
        <stp>601333</stp>
        <stp>12/31/2018</stp>
        <tr r="O2471" s="1"/>
      </tp>
      <tp>
        <v>14.698040531170999</v>
        <stp/>
        <stp>EM_S_VAL_PS_TTM</stp>
        <stp>2</stp>
        <stp>601330</stp>
        <stp>12/31/2018</stp>
        <tr r="O2943" s="1"/>
      </tp>
      <tp>
        <v>1.39518339909248</v>
        <stp/>
        <stp>EM_S_VAL_PS_TTM</stp>
        <stp>2</stp>
        <stp>601339</stp>
        <stp>12/31/2018</stp>
        <tr r="O3196" s="1"/>
      </tp>
      <tp>
        <v>2.4957360245120701</v>
        <stp/>
        <stp>EM_S_VAL_PS_TTM</stp>
        <stp>2</stp>
        <stp>601326</stp>
        <stp>12/31/2018</stp>
        <tr r="O2259" s="1"/>
      </tp>
      <tp>
        <v>2.1072034582904902</v>
        <stp/>
        <stp>EM_S_VAL_PS_TTM</stp>
        <stp>2</stp>
        <stp>601328</stp>
        <stp>12/31/2018</stp>
        <tr r="O2457" s="1"/>
      </tp>
      <tp>
        <v>3.4339591828774298</v>
        <stp/>
        <stp>EM_S_VAL_PS_TTM</stp>
        <stp>2</stp>
        <stp>601299</stp>
        <stp>12/31/2018</stp>
        <tr r="O2336" s="1"/>
      </tp>
      <tp>
        <v>2.1497032445760902</v>
        <stp/>
        <stp>EM_S_VAL_PS_TTM</stp>
        <stp>2</stp>
        <stp>601288</stp>
        <stp>12/31/2018</stp>
        <tr r="O2090" s="1"/>
      </tp>
      <tp>
        <v>0.165013087787753</v>
        <stp/>
        <stp>EM_S_VAL_PS_TTM</stp>
        <stp>2</stp>
        <stp>601258</stp>
        <stp>12/31/2018</stp>
        <tr r="O2081" s="1"/>
      </tp>
      <tp>
        <v>3.2906102474242598</v>
        <stp/>
        <stp>EM_S_VAL_PS_TTM</stp>
        <stp>2</stp>
        <stp>601268</stp>
        <stp>12/31/2018</stp>
        <tr r="O2338" s="1"/>
      </tp>
      <tp>
        <v>2.5949742839127601</v>
        <stp/>
        <stp>EM_S_VAL_PS_TTM</stp>
        <stp>2</stp>
        <stp>601216</stp>
        <stp>12/31/2018</stp>
        <tr r="O1321" s="1"/>
      </tp>
      <tp>
        <v>0.42408817672899002</v>
        <stp/>
        <stp>EM_S_VAL_PS_TTM</stp>
        <stp>2</stp>
        <stp>601212</stp>
        <stp>12/31/2018</stp>
        <tr r="O1088" s="1"/>
      </tp>
      <tp>
        <v>5.5677967705785498</v>
        <stp/>
        <stp>EM_S_VAL_PS_TTM</stp>
        <stp>2</stp>
        <stp>601211</stp>
        <stp>12/31/2018</stp>
        <tr r="O1188" s="1"/>
      </tp>
      <tp>
        <v>1.78889849901149</v>
        <stp/>
        <stp>EM_S_VAL_PS_TTM</stp>
        <stp>2</stp>
        <stp>601218</stp>
        <stp>12/31/2018</stp>
        <tr r="O1106" s="1"/>
      </tp>
      <tp>
        <v>0</v>
        <stp/>
        <stp>EM_S_VAL_PS_TTM</stp>
        <stp>2</stp>
        <stp>601206</stp>
        <stp>12/31/2018</stp>
        <tr r="O13" s="1"/>
      </tp>
      <tp>
        <v>3.5227102659096001</v>
        <stp/>
        <stp>EM_S_VAL_PS_TTM</stp>
        <stp>2</stp>
        <stp>601200</stp>
        <stp>12/31/2018</stp>
        <tr r="O2980" s="1"/>
      </tp>
      <tp>
        <v>1.35703252873951</v>
        <stp/>
        <stp>EM_S_VAL_PS_TTM</stp>
        <stp>2</stp>
        <stp>601208</stp>
        <stp>12/31/2018</stp>
        <tr r="O874" s="1"/>
      </tp>
      <tp>
        <v>0.44043018374137699</v>
        <stp/>
        <stp>EM_S_VAL_PS_TTM</stp>
        <stp>2</stp>
        <stp>601233</stp>
        <stp>12/31/2018</stp>
        <tr r="O521" s="1"/>
      </tp>
      <tp>
        <v>0.61849601750861105</v>
        <stp/>
        <stp>EM_S_VAL_PS_TTM</stp>
        <stp>2</stp>
        <stp>601231</stp>
        <stp>12/31/2018</stp>
        <tr r="O130" s="1"/>
      </tp>
      <tp>
        <v>1.43330187352256</v>
        <stp/>
        <stp>EM_S_VAL_PS_TTM</stp>
        <stp>2</stp>
        <stp>601238</stp>
        <stp>12/31/2018</stp>
        <tr r="O1583" s="1"/>
      </tp>
      <tp>
        <v>0.74325706044469897</v>
        <stp/>
        <stp>EM_S_VAL_PS_TTM</stp>
        <stp>2</stp>
        <stp>601226</stp>
        <stp>12/31/2018</stp>
        <tr r="O1486" s="1"/>
      </tp>
      <tp>
        <v>1.41297947080706</v>
        <stp/>
        <stp>EM_S_VAL_PS_TTM</stp>
        <stp>2</stp>
        <stp>601225</stp>
        <stp>12/31/2018</stp>
        <tr r="O1210" s="1"/>
      </tp>
      <tp>
        <v>2.2438278004423902</v>
        <stp/>
        <stp>EM_S_VAL_PS_TTM</stp>
        <stp>2</stp>
        <stp>601222</stp>
        <stp>12/31/2018</stp>
        <tr r="O2421" s="1"/>
      </tp>
      <tp>
        <v>3.0323861930485401</v>
        <stp/>
        <stp>EM_S_VAL_PS_TTM</stp>
        <stp>2</stp>
        <stp>601229</stp>
        <stp>12/31/2018</stp>
        <tr r="O2929" s="1"/>
      </tp>
      <tp>
        <v>2.69232575767189</v>
        <stp/>
        <stp>EM_S_VAL_PS_TTM</stp>
        <stp>2</stp>
        <stp>601228</stp>
        <stp>12/31/2018</stp>
        <tr r="O2498" s="1"/>
      </tp>
      <tp>
        <v>3.5655322861114298</v>
        <stp/>
        <stp>EM_S_VAL_PS_TTM</stp>
        <stp>2</stp>
        <stp>601199</stp>
        <stp>12/31/2018</stp>
        <tr r="O1924" s="1"/>
      </tp>
      <tp>
        <v>7.8158097606221899</v>
        <stp/>
        <stp>EM_S_VAL_PS_TTM</stp>
        <stp>2</stp>
        <stp>601198</stp>
        <stp>12/31/2018</stp>
        <tr r="O769" s="1"/>
      </tp>
      <tp>
        <v>0.207764150456379</v>
        <stp/>
        <stp>EM_S_VAL_PS_TTM</stp>
        <stp>2</stp>
        <stp>601186</stp>
        <stp>12/31/2018</stp>
        <tr r="O2665" s="1"/>
      </tp>
      <tp>
        <v>1.99985824978048</v>
        <stp/>
        <stp>EM_S_VAL_PS_TTM</stp>
        <stp>2</stp>
        <stp>601188</stp>
        <stp>12/31/2018</stp>
        <tr r="O2146" s="1"/>
      </tp>
      <tp>
        <v>1.1031202715972199</v>
        <stp/>
        <stp>EM_S_VAL_PS_TTM</stp>
        <stp>2</stp>
        <stp>601155</stp>
        <stp>12/31/2018</stp>
        <tr r="O397" s="1"/>
      </tp>
      <tp>
        <v>5.3671491173227297</v>
        <stp/>
        <stp>EM_S_VAL_PS_TTM</stp>
        <stp>2</stp>
        <stp>601158</stp>
        <stp>12/31/2018</stp>
        <tr r="O2337" s="1"/>
      </tp>
      <tp>
        <v>2.09368208920979</v>
        <stp/>
        <stp>EM_S_VAL_PS_TTM</stp>
        <stp>2</stp>
        <stp>601177</stp>
        <stp>12/31/2018</stp>
        <tr r="O2162" s="1"/>
      </tp>
      <tp>
        <v>1.2467125041331999</v>
        <stp/>
        <stp>EM_S_VAL_PS_TTM</stp>
        <stp>2</stp>
        <stp>601179</stp>
        <stp>12/31/2018</stp>
        <tr r="O1813" s="1"/>
      </tp>
      <tp>
        <v>2.0514667844533001</v>
        <stp/>
        <stp>EM_S_VAL_PS_TTM</stp>
        <stp>2</stp>
        <stp>601166</stp>
        <stp>12/31/2018</stp>
        <tr r="O877" s="1"/>
      </tp>
      <tp>
        <v>1.2006677680603</v>
        <stp/>
        <stp>EM_S_VAL_PS_TTM</stp>
        <stp>2</stp>
        <stp>601163</stp>
        <stp>12/31/2018</stp>
        <tr r="O828" s="1"/>
      </tp>
      <tp>
        <v>2.2525854938833199</v>
        <stp/>
        <stp>EM_S_VAL_PS_TTM</stp>
        <stp>2</stp>
        <stp>601169</stp>
        <stp>12/31/2018</stp>
        <tr r="O2223" s="1"/>
      </tp>
      <tp>
        <v>0.54257998456046297</v>
        <stp/>
        <stp>EM_S_VAL_PS_TTM</stp>
        <stp>2</stp>
        <stp>601168</stp>
        <stp>12/31/2018</stp>
        <tr r="O1406" s="1"/>
      </tp>
      <tp>
        <v>0.35804431535742398</v>
        <stp/>
        <stp>EM_S_VAL_PS_TTM</stp>
        <stp>2</stp>
        <stp>601117</stp>
        <stp>12/31/2018</stp>
        <tr r="O1279" s="1"/>
      </tp>
      <tp>
        <v>1.4571703330546699</v>
        <stp/>
        <stp>EM_S_VAL_PS_TTM</stp>
        <stp>2</stp>
        <stp>601116</stp>
        <stp>12/31/2018</stp>
        <tr r="O1294" s="1"/>
      </tp>
      <tp>
        <v>1.72037091718316</v>
        <stp/>
        <stp>EM_S_VAL_PS_TTM</stp>
        <stp>2</stp>
        <stp>601113</stp>
        <stp>12/31/2018</stp>
        <tr r="O3390" s="1"/>
      </tp>
      <tp>
        <v>0.83775344608936197</v>
        <stp/>
        <stp>EM_S_VAL_PS_TTM</stp>
        <stp>2</stp>
        <stp>601111</stp>
        <stp>12/31/2018</stp>
        <tr r="O1102" s="1"/>
      </tp>
      <tp>
        <v>3.0076428369491701</v>
        <stp/>
        <stp>EM_S_VAL_PS_TTM</stp>
        <stp>2</stp>
        <stp>601118</stp>
        <stp>12/31/2018</stp>
        <tr r="O1724" s="1"/>
      </tp>
      <tp>
        <v>1.63148829189561</v>
        <stp/>
        <stp>EM_S_VAL_PS_TTM</stp>
        <stp>2</stp>
        <stp>601107</stp>
        <stp>12/31/2018</stp>
        <tr r="O1498" s="1"/>
      </tp>
      <tp>
        <v>1.7580750294128999</v>
        <stp/>
        <stp>EM_S_VAL_PS_TTM</stp>
        <stp>2</stp>
        <stp>601106</stp>
        <stp>12/31/2018</stp>
        <tr r="O1844" s="1"/>
      </tp>
      <tp>
        <v>1.33770559981474</v>
        <stp/>
        <stp>EM_S_VAL_PS_TTM</stp>
        <stp>2</stp>
        <stp>601101</stp>
        <stp>12/31/2018</stp>
        <tr r="O3038" s="1"/>
      </tp>
      <tp>
        <v>4.4475618320281596</v>
        <stp/>
        <stp>EM_S_VAL_PS_TTM</stp>
        <stp>2</stp>
        <stp>601100</stp>
        <stp>12/31/2018</stp>
        <tr r="O79" s="1"/>
      </tp>
      <tp>
        <v>8.0103160301057095</v>
        <stp/>
        <stp>EM_S_VAL_PS_TTM</stp>
        <stp>2</stp>
        <stp>601108</stp>
        <stp>12/31/2018</stp>
        <tr r="O471" s="1"/>
      </tp>
      <tp>
        <v>0.60076813347383795</v>
        <stp/>
        <stp>EM_S_VAL_PS_TTM</stp>
        <stp>2</stp>
        <stp>601137</stp>
        <stp>12/31/2018</stp>
        <tr r="O356" s="1"/>
      </tp>
      <tp>
        <v>1.2160749617548301</v>
        <stp/>
        <stp>EM_S_VAL_PS_TTM</stp>
        <stp>2</stp>
        <stp>601139</stp>
        <stp>12/31/2018</stp>
        <tr r="O649" s="1"/>
      </tp>
      <tp>
        <v>0.538975793318898</v>
        <stp/>
        <stp>EM_S_VAL_PS_TTM</stp>
        <stp>2</stp>
        <stp>601138</stp>
        <stp>12/31/2018</stp>
        <tr r="O537" s="1"/>
      </tp>
      <tp>
        <v>0.74298833553423405</v>
        <stp/>
        <stp>EM_S_VAL_PS_TTM</stp>
        <stp>2</stp>
        <stp>601127</stp>
        <stp>12/31/2018</stp>
        <tr r="O3258" s="1"/>
      </tp>
      <tp>
        <v>1.2361962907897901</v>
        <stp/>
        <stp>EM_S_VAL_PS_TTM</stp>
        <stp>2</stp>
        <stp>601126</stp>
        <stp>12/31/2018</stp>
        <tr r="O1793" s="1"/>
      </tp>
      <tp>
        <v>2.4122515322405298</v>
        <stp/>
        <stp>EM_S_VAL_PS_TTM</stp>
        <stp>2</stp>
        <stp>601128</stp>
        <stp>12/31/2018</stp>
        <tr r="O693" s="1"/>
      </tp>
      <tp>
        <v>16.085212308033601</v>
        <stp/>
        <stp>EM_S_VAL_PS_TTM</stp>
        <stp>2</stp>
        <stp>601099</stp>
        <stp>12/31/2018</stp>
        <tr r="O526" s="1"/>
      </tp>
      <tp>
        <v>2.3601861581098298</v>
        <stp/>
        <stp>EM_S_VAL_PS_TTM</stp>
        <stp>2</stp>
        <stp>601098</stp>
        <stp>12/31/2018</stp>
        <tr r="O2563" s="1"/>
      </tp>
      <tp>
        <v>1.1487146412287701</v>
        <stp/>
        <stp>EM_S_VAL_PS_TTM</stp>
        <stp>2</stp>
        <stp>601086</stp>
        <stp>12/31/2018</stp>
        <tr r="O2246" s="1"/>
      </tp>
      <tp>
        <v>1.37235668519103</v>
        <stp/>
        <stp>EM_S_VAL_PS_TTM</stp>
        <stp>2</stp>
        <stp>601088</stp>
        <stp>12/31/2018</stp>
        <tr r="O2181" s="1"/>
      </tp>
      <tp>
        <v>0.435633828547484</v>
        <stp/>
        <stp>EM_S_VAL_PS_TTM</stp>
        <stp>2</stp>
        <stp>601058</stp>
        <stp>12/31/2018</stp>
        <tr r="O167" s="1"/>
      </tp>
      <tp>
        <v>6.1595030199361203</v>
        <stp/>
        <stp>EM_S_VAL_PS_TTM</stp>
        <stp>2</stp>
        <stp>601066</stp>
        <stp>12/31/2018</stp>
        <tr r="O31" s="1"/>
      </tp>
      <tp>
        <v>9.2146210379150304</v>
        <stp/>
        <stp>EM_S_VAL_PS_TTM</stp>
        <stp>2</stp>
        <stp>601069</stp>
        <stp>12/31/2018</stp>
        <tr r="O2244" s="1"/>
      </tp>
      <tp>
        <v>4.1268814060386703</v>
        <stp/>
        <stp>EM_S_VAL_PS_TTM</stp>
        <stp>2</stp>
        <stp>601016</stp>
        <stp>12/31/2018</stp>
        <tr r="O2133" s="1"/>
      </tp>
      <tp>
        <v>0.72406675091881001</v>
        <stp/>
        <stp>EM_S_VAL_PS_TTM</stp>
        <stp>2</stp>
        <stp>601015</stp>
        <stp>12/31/2018</stp>
        <tr r="O3317" s="1"/>
      </tp>
      <tp>
        <v>2.4109963939927899</v>
        <stp/>
        <stp>EM_S_VAL_PS_TTM</stp>
        <stp>2</stp>
        <stp>601012</stp>
        <stp>12/31/2018</stp>
        <tr r="O682" s="1"/>
      </tp>
      <tp>
        <v>2.5194078996583702</v>
        <stp/>
        <stp>EM_S_VAL_PS_TTM</stp>
        <stp>2</stp>
        <stp>601011</stp>
        <stp>12/31/2018</stp>
        <tr r="O3003" s="1"/>
      </tp>
      <tp>
        <v>0.81288170981934305</v>
        <stp/>
        <stp>EM_S_VAL_PS_TTM</stp>
        <stp>2</stp>
        <stp>601010</stp>
        <stp>12/31/2018</stp>
        <tr r="O1981" s="1"/>
      </tp>
      <tp>
        <v>1.7852062999812199</v>
        <stp/>
        <stp>EM_S_VAL_PS_TTM</stp>
        <stp>2</stp>
        <stp>601019</stp>
        <stp>12/31/2018</stp>
        <tr r="O2814" s="1"/>
      </tp>
      <tp>
        <v>2.03696303042969</v>
        <stp/>
        <stp>EM_S_VAL_PS_TTM</stp>
        <stp>2</stp>
        <stp>601018</stp>
        <stp>12/31/2018</stp>
        <tr r="O1529" s="1"/>
      </tp>
      <tp>
        <v>2.3218150628093999</v>
        <stp/>
        <stp>EM_S_VAL_PS_TTM</stp>
        <stp>2</stp>
        <stp>601007</stp>
        <stp>12/31/2018</stp>
        <tr r="O1482" s="1"/>
      </tp>
      <tp>
        <v>1.72919740472338</v>
        <stp/>
        <stp>EM_S_VAL_PS_TTM</stp>
        <stp>2</stp>
        <stp>601006</stp>
        <stp>12/31/2018</stp>
        <tr r="O2343" s="1"/>
      </tp>
      <tp>
        <v>0.76930392525207003</v>
        <stp/>
        <stp>EM_S_VAL_PS_TTM</stp>
        <stp>2</stp>
        <stp>601005</stp>
        <stp>12/31/2018</stp>
        <tr r="O2547" s="1"/>
      </tp>
      <tp>
        <v>0.36530819665290698</v>
        <stp/>
        <stp>EM_S_VAL_PS_TTM</stp>
        <stp>2</stp>
        <stp>601003</stp>
        <stp>12/31/2018</stp>
        <tr r="O2925" s="1"/>
      </tp>
      <tp>
        <v>1.2835195535280901</v>
        <stp/>
        <stp>EM_S_VAL_PS_TTM</stp>
        <stp>2</stp>
        <stp>601002</stp>
        <stp>12/31/2018</stp>
        <tr r="O1815" s="1"/>
      </tp>
      <tp>
        <v>0.71309675696159203</v>
        <stp/>
        <stp>EM_S_VAL_PS_TTM</stp>
        <stp>2</stp>
        <stp>601001</stp>
        <stp>12/31/2018</stp>
        <tr r="O2169" s="1"/>
      </tp>
      <tp>
        <v>1.42812093705951</v>
        <stp/>
        <stp>EM_S_VAL_PS_TTM</stp>
        <stp>2</stp>
        <stp>601000</stp>
        <stp>12/31/2018</stp>
        <tr r="O1833" s="1"/>
      </tp>
      <tp>
        <v>2.0706203808455799</v>
        <stp/>
        <stp>EM_S_VAL_PS_TTM</stp>
        <stp>2</stp>
        <stp>601009</stp>
        <stp>12/31/2018</stp>
        <tr r="O813" s="1"/>
      </tp>
      <tp>
        <v>2.4950770744917601</v>
        <stp/>
        <stp>EM_S_VAL_PS_TTM</stp>
        <stp>2</stp>
        <stp>601008</stp>
        <stp>12/31/2018</stp>
        <tr r="O1067" s="1"/>
      </tp>
      <tp>
        <v>0.77645894088796996</v>
        <stp/>
        <stp>EM_S_VAL_PS_TTM</stp>
        <stp>2</stp>
        <stp>601038</stp>
        <stp>12/31/2018</stp>
        <tr r="O646" s="1"/>
      </tp>
      <tp>
        <v>2.2917698758691998</v>
        <stp/>
        <stp>EM_S_VAL_PS_TTM</stp>
        <stp>2</stp>
        <stp>601021</stp>
        <stp>12/31/2018</stp>
        <tr r="O777" s="1"/>
      </tp>
      <tp>
        <v>3.6614480531453202</v>
        <stp/>
        <stp>EM_S_VAL_PS_TTM</stp>
        <stp>2</stp>
        <stp>601020</stp>
        <stp>12/31/2018</stp>
        <tr r="O1826" s="1"/>
      </tp>
      <tp>
        <v>2.29672852471503</v>
        <stp/>
        <stp>EM_S_VAL_PS_TTM</stp>
        <stp>2</stp>
        <stp>601028</stp>
        <stp>12/31/2018</stp>
        <tr r="O1709" s="1"/>
      </tp>
      <tp>
        <v>2.6380338677132502</v>
        <stp/>
        <stp>EM_S_VAL_PS_TTM</stp>
        <stp>2</stp>
        <stp>601799</stp>
        <stp>12/31/2018</stp>
        <tr r="O166" s="1"/>
      </tp>
      <tp>
        <v>2.2801288735829601</v>
        <stp/>
        <stp>EM_S_VAL_PS_TTM</stp>
        <stp>2</stp>
        <stp>601798</stp>
        <stp>12/31/2018</stp>
        <tr r="O1042" s="1"/>
      </tp>
      <tp>
        <v>0.19048629982424101</v>
        <stp/>
        <stp>EM_S_VAL_PS_TTM</stp>
        <stp>2</stp>
        <stp>601789</stp>
        <stp>12/31/2018</stp>
        <tr r="O1262" s="1"/>
      </tp>
      <tp>
        <v>4.4859774512936701</v>
        <stp/>
        <stp>EM_S_VAL_PS_TTM</stp>
        <stp>2</stp>
        <stp>601788</stp>
        <stp>12/31/2018</stp>
        <tr r="O576" s="1"/>
      </tp>
      <tp>
        <v>0.42321863405594701</v>
        <stp/>
        <stp>EM_S_VAL_PS_TTM</stp>
        <stp>2</stp>
        <stp>601777</stp>
        <stp>12/31/2018</stp>
        <tr r="O3037" s="1"/>
      </tp>
      <tp>
        <v>1.2583775874455301</v>
        <stp/>
        <stp>EM_S_VAL_PS_TTM</stp>
        <stp>2</stp>
        <stp>601766</stp>
        <stp>12/31/2018</stp>
        <tr r="O3076" s="1"/>
      </tp>
      <tp>
        <v>0.44902631789029601</v>
        <stp/>
        <stp>EM_S_VAL_PS_TTM</stp>
        <stp>2</stp>
        <stp>601717</stp>
        <stp>12/31/2018</stp>
        <tr r="O1407" s="1"/>
      </tp>
      <tp>
        <v>0.63437397769770298</v>
        <stp/>
        <stp>EM_S_VAL_PS_TTM</stp>
        <stp>2</stp>
        <stp>601718</stp>
        <stp>12/31/2018</stp>
        <tr r="O2524" s="1"/>
      </tp>
      <tp>
        <v>1.91141218016686</v>
        <stp/>
        <stp>EM_S_VAL_PS_TTM</stp>
        <stp>2</stp>
        <stp>601700</stp>
        <stp>12/31/2018</stp>
        <tr r="O297" s="1"/>
      </tp>
      <tp>
        <v>0.80111318627894401</v>
        <stp/>
        <stp>EM_S_VAL_PS_TTM</stp>
        <stp>2</stp>
        <stp>601727</stp>
        <stp>12/31/2018</stp>
        <tr r="O2339" s="1"/>
      </tp>
      <tp>
        <v>0.84766784148684904</v>
        <stp/>
        <stp>EM_S_VAL_PS_TTM</stp>
        <stp>2</stp>
        <stp>001696</stp>
        <stp>12/31/2018</stp>
        <tr r="O863" s="1"/>
      </tp>
      <tp>
        <v>0.83334648844005399</v>
        <stp/>
        <stp>EM_S_VAL_PS_TTM</stp>
        <stp>2</stp>
        <stp>601699</stp>
        <stp>12/31/2018</stp>
        <tr r="O1809" s="1"/>
      </tp>
      <tp>
        <v>1.7904060298701501</v>
        <stp/>
        <stp>EM_S_VAL_PS_TTM</stp>
        <stp>2</stp>
        <stp>601689</stp>
        <stp>12/31/2018</stp>
        <tr r="O1375" s="1"/>
      </tp>
      <tp>
        <v>6.41925055669339</v>
        <stp/>
        <stp>EM_S_VAL_PS_TTM</stp>
        <stp>2</stp>
        <stp>601688</stp>
        <stp>12/31/2018</stp>
        <tr r="O1013" s="1"/>
      </tp>
      <tp>
        <v>0.40542138946449702</v>
        <stp/>
        <stp>EM_S_VAL_PS_TTM</stp>
        <stp>2</stp>
        <stp>601677</stp>
        <stp>12/31/2018</stp>
        <tr r="O925" s="1"/>
      </tp>
      <tp>
        <v>0.92811358481670803</v>
        <stp/>
        <stp>EM_S_VAL_PS_TTM</stp>
        <stp>2</stp>
        <stp>601678</stp>
        <stp>12/31/2018</stp>
        <tr r="O1202" s="1"/>
      </tp>
      <tp>
        <v>0.44304721629302501</v>
        <stp/>
        <stp>EM_S_VAL_PS_TTM</stp>
        <stp>2</stp>
        <stp>601666</stp>
        <stp>12/31/2018</stp>
        <tr r="O1590" s="1"/>
      </tp>
      <tp>
        <v>0.26949495826537101</v>
        <stp/>
        <stp>EM_S_VAL_PS_TTM</stp>
        <stp>2</stp>
        <stp>601669</stp>
        <stp>12/31/2018</stp>
        <tr r="O2887" s="1"/>
      </tp>
      <tp>
        <v>0.212967728639993</v>
        <stp/>
        <stp>EM_S_VAL_PS_TTM</stp>
        <stp>2</stp>
        <stp>601668</stp>
        <stp>12/31/2018</stp>
        <tr r="O2444" s="1"/>
      </tp>
      <tp>
        <v>4.5436277623328198</v>
        <stp/>
        <stp>EM_S_VAL_PS_TTM</stp>
        <stp>2</stp>
        <stp>601616</stp>
        <stp>12/31/2018</stp>
        <tr r="O2516" s="1"/>
      </tp>
      <tp>
        <v>0.32659127473955002</v>
        <stp/>
        <stp>EM_S_VAL_PS_TTM</stp>
        <stp>2</stp>
        <stp>601611</stp>
        <stp>12/31/2018</stp>
        <tr r="O1819" s="1"/>
      </tp>
      <tp>
        <v>8.6336171058552296</v>
        <stp/>
        <stp>EM_S_VAL_PS_TTM</stp>
        <stp>2</stp>
        <stp>601619</stp>
        <stp>12/31/2018</stp>
        <tr r="O3015" s="1"/>
      </tp>
      <tp>
        <v>0.234877569679382</v>
        <stp/>
        <stp>EM_S_VAL_PS_TTM</stp>
        <stp>2</stp>
        <stp>601618</stp>
        <stp>12/31/2018</stp>
        <tr r="O2782" s="1"/>
      </tp>
      <tp>
        <v>0.32335958504816598</v>
        <stp/>
        <stp>EM_S_VAL_PS_TTM</stp>
        <stp>2</stp>
        <stp>601607</stp>
        <stp>12/31/2018</stp>
        <tr r="O1979" s="1"/>
      </tp>
      <tp>
        <v>0.73504115537473502</v>
        <stp/>
        <stp>EM_S_VAL_PS_TTM</stp>
        <stp>2</stp>
        <stp>601601</stp>
        <stp>12/31/2018</stp>
        <tr r="O836" s="1"/>
      </tp>
      <tp>
        <v>0.31926593244541102</v>
        <stp/>
        <stp>EM_S_VAL_PS_TTM</stp>
        <stp>2</stp>
        <stp>601600</stp>
        <stp>12/31/2018</stp>
        <tr r="O2346" s="1"/>
      </tp>
      <tp>
        <v>2.3092780610341102</v>
        <stp/>
        <stp>EM_S_VAL_PS_TTM</stp>
        <stp>2</stp>
        <stp>601608</stp>
        <stp>12/31/2018</stp>
        <tr r="O692" s="1"/>
      </tp>
      <tp>
        <v>1.2528597074499801</v>
        <stp/>
        <stp>EM_S_VAL_PS_TTM</stp>
        <stp>2</stp>
        <stp>601636</stp>
        <stp>12/31/2018</stp>
        <tr r="O666" s="1"/>
      </tp>
      <tp>
        <v>0.489652450557993</v>
        <stp/>
        <stp>EM_S_VAL_PS_TTM</stp>
        <stp>2</stp>
        <stp>601633</stp>
        <stp>12/31/2018</stp>
        <tr r="O446" s="1"/>
      </tp>
      <tp>
        <v>0.89144626340106803</v>
        <stp/>
        <stp>EM_S_VAL_PS_TTM</stp>
        <stp>2</stp>
        <stp>601628</stp>
        <stp>12/31/2018</stp>
        <tr r="O308" s="1"/>
      </tp>
      <tp>
        <v>4.0596197554017301</v>
        <stp/>
        <stp>EM_S_VAL_PS_TTM</stp>
        <stp>2</stp>
        <stp>601595</stp>
        <stp>12/31/2018</stp>
        <tr r="O1270" s="1"/>
      </tp>
      <tp>
        <v>0.60632131903798503</v>
        <stp/>
        <stp>EM_S_VAL_PS_TTM</stp>
        <stp>2</stp>
        <stp>601599</stp>
        <stp>12/31/2018</stp>
        <tr r="O1857" s="1"/>
      </tp>
      <tp>
        <v>0.56577209144623897</v>
        <stp/>
        <stp>EM_S_VAL_PS_TTM</stp>
        <stp>2</stp>
        <stp>601588</stp>
        <stp>12/31/2018</stp>
        <tr r="O1361" s="1"/>
      </tp>
      <tp>
        <v>5.8070754555059096</v>
        <stp/>
        <stp>EM_S_VAL_PS_TTM</stp>
        <stp>2</stp>
        <stp>601555</stp>
        <stp>12/31/2018</stp>
        <tr r="O582" s="1"/>
      </tp>
      <tp>
        <v>13.9609717591826</v>
        <stp/>
        <stp>EM_S_VAL_PS_TTM</stp>
        <stp>2</stp>
        <stp>601558</stp>
        <stp>12/31/2018</stp>
        <tr r="O2379" s="1"/>
      </tp>
      <tp>
        <v>3.3755866949058002</v>
        <stp/>
        <stp>EM_S_VAL_PS_TTM</stp>
        <stp>2</stp>
        <stp>601579</stp>
        <stp>12/31/2018</stp>
        <tr r="O2532" s="1"/>
      </tp>
      <tp>
        <v>1.3068097501754901</v>
        <stp/>
        <stp>EM_S_VAL_PS_TTM</stp>
        <stp>2</stp>
        <stp>601567</stp>
        <stp>12/31/2018</stp>
        <tr r="O931" s="1"/>
      </tp>
      <tp>
        <v>2.81675559927747</v>
        <stp/>
        <stp>EM_S_VAL_PS_TTM</stp>
        <stp>2</stp>
        <stp>601566</stp>
        <stp>12/31/2018</stp>
        <tr r="O2920" s="1"/>
      </tp>
      <tp>
        <v>2.6152706634173799</v>
        <stp/>
        <stp>EM_S_VAL_PS_TTM</stp>
        <stp>2</stp>
        <stp>601515</stp>
        <stp>12/31/2018</stp>
        <tr r="O2559" s="1"/>
      </tp>
      <tp>
        <v>11.4187342449918</v>
        <stp/>
        <stp>EM_S_VAL_PS_TTM</stp>
        <stp>2</stp>
        <stp>601519</stp>
        <stp>12/31/2018</stp>
        <tr r="O99" s="1"/>
      </tp>
      <tp>
        <v>4.0026197264150696</v>
        <stp/>
        <stp>EM_S_VAL_PS_TTM</stp>
        <stp>2</stp>
        <stp>601518</stp>
        <stp>12/31/2018</stp>
        <tr r="O2183" s="1"/>
      </tp>
      <tp>
        <v>1.18794342459175</v>
        <stp/>
        <stp>EM_S_VAL_PS_TTM</stp>
        <stp>2</stp>
        <stp>601500</stp>
        <stp>12/31/2018</stp>
        <tr r="O2436" s="1"/>
      </tp>
      <tp>
        <v>1.9442573665721701</v>
        <stp/>
        <stp>EM_S_VAL_PS_TTM</stp>
        <stp>2</stp>
        <stp>601997</stp>
        <stp>12/31/2018</stp>
        <tr r="O2788" s="1"/>
      </tp>
      <tp>
        <v>2.2734241296292699</v>
        <stp/>
        <stp>EM_S_VAL_PS_TTM</stp>
        <stp>2</stp>
        <stp>601996</stp>
        <stp>12/31/2018</stp>
        <tr r="O2340" s="1"/>
      </tp>
      <tp>
        <v>0.507661493389994</v>
        <stp/>
        <stp>EM_S_VAL_PS_TTM</stp>
        <stp>2</stp>
        <stp>601992</stp>
        <stp>12/31/2018</stp>
        <tr r="O2099" s="1"/>
      </tp>
      <tp>
        <v>0.807241288477341</v>
        <stp/>
        <stp>EM_S_VAL_PS_TTM</stp>
        <stp>2</stp>
        <stp>601991</stp>
        <stp>12/31/2018</stp>
        <tr r="O3110" s="1"/>
      </tp>
      <tp>
        <v>18.598354442407899</v>
        <stp/>
        <stp>EM_S_VAL_PS_TTM</stp>
        <stp>2</stp>
        <stp>601990</stp>
        <stp>12/31/2018</stp>
        <tr r="O632" s="1"/>
      </tp>
      <tp>
        <v>1.31893390217357</v>
        <stp/>
        <stp>EM_S_VAL_PS_TTM</stp>
        <stp>2</stp>
        <stp>601999</stp>
        <stp>12/31/2018</stp>
        <tr r="O1305" s="1"/>
      </tp>
      <tp>
        <v>1.63834455270421</v>
        <stp/>
        <stp>EM_S_VAL_PS_TTM</stp>
        <stp>2</stp>
        <stp>601998</stp>
        <stp>12/31/2018</stp>
        <tr r="O1567" s="1"/>
      </tp>
      <tp>
        <v>2.26325649377099</v>
        <stp/>
        <stp>EM_S_VAL_PS_TTM</stp>
        <stp>2</stp>
        <stp>601985</stp>
        <stp>12/31/2018</stp>
        <tr r="O2565" s="1"/>
      </tp>
      <tp>
        <v>2.27457215435986</v>
        <stp/>
        <stp>EM_S_VAL_PS_TTM</stp>
        <stp>2</stp>
        <stp>601989</stp>
        <stp>12/31/2018</stp>
        <tr r="O1155" s="1"/>
      </tp>
      <tp>
        <v>2.1454453673485698</v>
        <stp/>
        <stp>EM_S_VAL_PS_TTM</stp>
        <stp>2</stp>
        <stp>601988</stp>
        <stp>12/31/2018</stp>
        <tr r="O2120" s="1"/>
      </tp>
      <tp>
        <v>1.9327279182113</v>
        <stp/>
        <stp>EM_S_VAL_PS_TTM</stp>
        <stp>2</stp>
        <stp>601952</stp>
        <stp>12/31/2018</stp>
        <tr r="O2012" s="1"/>
      </tp>
      <tp>
        <v>2.2322470668985201</v>
        <stp/>
        <stp>EM_S_VAL_PS_TTM</stp>
        <stp>2</stp>
        <stp>601958</stp>
        <stp>12/31/2018</stp>
        <tr r="O799" s="1"/>
      </tp>
      <tp>
        <v>1.5516722445789399</v>
        <stp/>
        <stp>EM_S_VAL_PS_TTM</stp>
        <stp>2</stp>
        <stp>601949</stp>
        <stp>12/31/2018</stp>
        <tr r="O681" s="1"/>
      </tp>
      <tp>
        <v>1.1183350258914699</v>
        <stp/>
        <stp>EM_S_VAL_PS_TTM</stp>
        <stp>2</stp>
        <stp>601966</stp>
        <stp>12/31/2018</stp>
        <tr r="O385" s="1"/>
      </tp>
      <tp>
        <v>2.49046477085817</v>
        <stp/>
        <stp>EM_S_VAL_PS_TTM</stp>
        <stp>2</stp>
        <stp>601965</stp>
        <stp>12/31/2018</stp>
        <tr r="O1351" s="1"/>
      </tp>
      <tp>
        <v>4.26283159768965</v>
        <stp/>
        <stp>EM_S_VAL_PS_TTM</stp>
        <stp>2</stp>
        <stp>601969</stp>
        <stp>12/31/2018</stp>
        <tr r="O915" s="1"/>
      </tp>
      <tp>
        <v>0.68135017104242801</v>
        <stp/>
        <stp>EM_S_VAL_PS_TTM</stp>
        <stp>2</stp>
        <stp>601968</stp>
        <stp>12/31/2018</stp>
        <tr r="O1000" s="1"/>
      </tp>
      <tp>
        <v>1.6648142955766301</v>
        <stp/>
        <stp>EM_S_VAL_PS_TTM</stp>
        <stp>2</stp>
        <stp>001979</stp>
        <stp>12/31/2018</stp>
        <tr r="O1473" s="1"/>
      </tp>
      <tp>
        <v>0.39310101622168903</v>
        <stp/>
        <stp>EM_S_VAL_PS_TTM</stp>
        <stp>2</stp>
        <stp>601919</stp>
        <stp>12/31/2018</stp>
        <tr r="O933" s="1"/>
      </tp>
      <tp>
        <v>0.88937801998501798</v>
        <stp/>
        <stp>EM_S_VAL_PS_TTM</stp>
        <stp>2</stp>
        <stp>601918</stp>
        <stp>12/31/2018</stp>
        <tr r="O1915" s="1"/>
      </tp>
      <tp>
        <v>8.0958661995134005</v>
        <stp/>
        <stp>EM_S_VAL_PS_TTM</stp>
        <stp>2</stp>
        <stp>001965</stp>
        <stp>12/31/2018</stp>
        <tr r="O1808" s="1"/>
      </tp>
      <tp>
        <v>8.8326787701192302</v>
        <stp/>
        <stp>EM_S_VAL_PS_TTM</stp>
        <stp>2</stp>
        <stp>601901</stp>
        <stp>12/31/2018</stp>
        <tr r="O408" s="1"/>
      </tp>
      <tp>
        <v>1.39851999974303</v>
        <stp/>
        <stp>EM_S_VAL_PS_TTM</stp>
        <stp>2</stp>
        <stp>601900</stp>
        <stp>12/31/2018</stp>
        <tr r="O1823" s="1"/>
      </tp>
      <tp>
        <v>2.7322220937386499</v>
        <stp/>
        <stp>EM_S_VAL_PS_TTM</stp>
        <stp>2</stp>
        <stp>601908</stp>
        <stp>12/31/2018</stp>
        <tr r="O2539" s="1"/>
      </tp>
      <tp>
        <v>1.1080363479762401</v>
        <stp/>
        <stp>EM_S_VAL_PS_TTM</stp>
        <stp>2</stp>
        <stp>601933</stp>
        <stp>12/31/2018</stp>
        <tr r="O2507" s="1"/>
      </tp>
      <tp>
        <v>2.45119364670165</v>
        <stp/>
        <stp>EM_S_VAL_PS_TTM</stp>
        <stp>2</stp>
        <stp>601939</stp>
        <stp>12/31/2018</stp>
        <tr r="O1554" s="1"/>
      </tp>
      <tp>
        <v>3.1765866048306601</v>
        <stp/>
        <stp>EM_S_VAL_PS_TTM</stp>
        <stp>2</stp>
        <stp>601929</stp>
        <stp>12/31/2018</stp>
        <tr r="O2062" s="1"/>
      </tp>
      <tp>
        <v>1.7506752028141599</v>
        <stp/>
        <stp>EM_S_VAL_PS_TTM</stp>
        <stp>2</stp>
        <stp>601928</stp>
        <stp>12/31/2018</stp>
        <tr r="O2548" s="1"/>
      </tp>
      <tp>
        <v>0.37837479156159598</v>
        <stp/>
        <stp>EM_S_VAL_PS_TTM</stp>
        <stp>2</stp>
        <stp>001896</stp>
        <stp>12/31/2018</stp>
        <tr r="O3602" s="1"/>
      </tp>
      <tp>
        <v>3.3805377461093702</v>
        <stp/>
        <stp>EM_S_VAL_PS_TTM</stp>
        <stp>2</stp>
        <stp>601890</stp>
        <stp>12/31/2018</stp>
        <tr r="O410" s="1"/>
      </tp>
      <tp>
        <v>0.70738776001436698</v>
        <stp/>
        <stp>EM_S_VAL_PS_TTM</stp>
        <stp>2</stp>
        <stp>601899</stp>
        <stp>12/31/2018</stp>
        <tr r="O838" s="1"/>
      </tp>
      <tp>
        <v>0.62729593484198498</v>
        <stp/>
        <stp>EM_S_VAL_PS_TTM</stp>
        <stp>2</stp>
        <stp>601898</stp>
        <stp>12/31/2018</stp>
        <tr r="O1860" s="1"/>
      </tp>
      <tp>
        <v>0.55531856449032302</v>
        <stp/>
        <stp>EM_S_VAL_PS_TTM</stp>
        <stp>2</stp>
        <stp>601886</stp>
        <stp>12/31/2018</stp>
        <tr r="O2479" s="1"/>
      </tp>
      <tp>
        <v>2.68782119434931</v>
        <stp/>
        <stp>EM_S_VAL_PS_TTM</stp>
        <stp>2</stp>
        <stp>601882</stp>
        <stp>12/31/2018</stp>
        <tr r="O2144" s="1"/>
      </tp>
      <tp>
        <v>7.8969108685964198</v>
        <stp/>
        <stp>EM_S_VAL_PS_TTM</stp>
        <stp>2</stp>
        <stp>601881</stp>
        <stp>12/31/2018</stp>
        <tr r="O338" s="1"/>
      </tp>
      <tp>
        <v>2.90653827137425</v>
        <stp/>
        <stp>EM_S_VAL_PS_TTM</stp>
        <stp>2</stp>
        <stp>601880</stp>
        <stp>12/31/2018</stp>
        <tr r="O1781" s="1"/>
      </tp>
      <tp>
        <v>2.82280410919974</v>
        <stp/>
        <stp>EM_S_VAL_PS_TTM</stp>
        <stp>2</stp>
        <stp>601888</stp>
        <stp>12/31/2018</stp>
        <tr r="O601" s="1"/>
      </tp>
      <tp>
        <v>0.58179542169867604</v>
        <stp/>
        <stp>EM_S_VAL_PS_TTM</stp>
        <stp>2</stp>
        <stp>601857</stp>
        <stp>12/31/2018</stp>
        <tr r="O3048" s="1"/>
      </tp>
      <tp>
        <v>3.24649248217451</v>
        <stp/>
        <stp>EM_S_VAL_PS_TTM</stp>
        <stp>2</stp>
        <stp>601858</stp>
        <stp>12/31/2018</stp>
        <tr r="O1108" s="1"/>
      </tp>
      <tp>
        <v>1.96123043624414</v>
        <stp/>
        <stp>EM_S_VAL_PS_TTM</stp>
        <stp>2</stp>
        <stp>601877</stp>
        <stp>12/31/2018</stp>
        <tr r="O1679" s="1"/>
      </tp>
      <tp>
        <v>3.4664112589882001</v>
        <stp/>
        <stp>EM_S_VAL_PS_TTM</stp>
        <stp>2</stp>
        <stp>601872</stp>
        <stp>12/31/2018</stp>
        <tr r="O137" s="1"/>
      </tp>
      <tp>
        <v>6.1701086919294603</v>
        <stp/>
        <stp>EM_S_VAL_PS_TTM</stp>
        <stp>2</stp>
        <stp>601878</stp>
        <stp>12/31/2018</stp>
        <tr r="O466" s="1"/>
      </tp>
      <tp>
        <v>1.51221499835773</v>
        <stp/>
        <stp>EM_S_VAL_PS_TTM</stp>
        <stp>2</stp>
        <stp>601866</stp>
        <stp>12/31/2018</stp>
        <tr r="O1597" s="1"/>
      </tp>
      <tp>
        <v>1.4704776749221</v>
        <stp/>
        <stp>EM_S_VAL_PS_TTM</stp>
        <stp>2</stp>
        <stp>601811</stp>
        <stp>12/31/2018</stp>
        <tr r="O728" s="1"/>
      </tp>
      <tp>
        <v>1.8600023158752701</v>
        <stp/>
        <stp>EM_S_VAL_PS_TTM</stp>
        <stp>2</stp>
        <stp>601818</stp>
        <stp>12/31/2018</stp>
        <tr r="O1342" s="1"/>
      </tp>
      <tp>
        <v>1.36668610039986</v>
        <stp/>
        <stp>EM_S_VAL_PS_TTM</stp>
        <stp>2</stp>
        <stp>601801</stp>
        <stp>12/31/2018</stp>
        <tr r="O3010" s="1"/>
      </tp>
      <tp>
        <v>0.36132514019772</v>
        <stp/>
        <stp>EM_S_VAL_PS_TTM</stp>
        <stp>2</stp>
        <stp>601800</stp>
        <stp>12/31/2018</stp>
        <tr r="O3086" s="1"/>
      </tp>
      <tp>
        <v>2.1028292561319399</v>
        <stp/>
        <stp>EM_S_VAL_PS_TTM</stp>
        <stp>2</stp>
        <stp>601808</stp>
        <stp>12/31/2018</stp>
        <tr r="O119" s="1"/>
      </tp>
      <tp>
        <v>2.5229436266932099</v>
        <stp/>
        <stp>EM_S_VAL_PS_TTM</stp>
        <stp>2</stp>
        <stp>601838</stp>
        <stp>12/31/2018</stp>
        <tr r="O1663" s="1"/>
      </tp>
      <tp>
        <v>2.9624914698977198</v>
        <stp/>
        <stp>EM_S_VAL_PS_TTM</stp>
        <stp>2</stp>
        <stp>601828</stp>
        <stp>12/31/2018</stp>
        <tr r="O2154" s="1"/>
      </tp>
      <tp>
        <v>6.3706092469</v>
        <stp/>
        <stp>EM_S_FA_NETPROFITMARGIN</stp>
        <stp>3</stp>
        <stp>002929</stp>
        <stp>12/31/2018</stp>
        <stp>1</stp>
        <tr r="J2978" s="1"/>
      </tp>
      <tp>
        <v>10.8505798883</v>
        <stp/>
        <stp>EM_S_FA_NETPROFITMARGIN</stp>
        <stp>3</stp>
        <stp>002829</stp>
        <stp>12/31/2018</stp>
        <stp>1</stp>
        <tr r="J1147" s="1"/>
      </tp>
      <tp>
        <v>5.7359623622000004</v>
        <stp/>
        <stp>EM_S_FA_NETPROFITMARGIN</stp>
        <stp>3</stp>
        <stp>002129</stp>
        <stp>12/31/2018</stp>
        <stp>1</stp>
        <tr r="J384" s="1"/>
      </tp>
      <tp>
        <v>10.365104879</v>
        <stp/>
        <stp>EM_S_FA_NETPROFITMARGIN</stp>
        <stp>3</stp>
        <stp>002029</stp>
        <stp>12/31/2018</stp>
        <stp>1</stp>
        <tr r="J2562" s="1"/>
      </tp>
      <tp>
        <v>-25.595693933</v>
        <stp/>
        <stp>EM_S_FA_NETPROFITMARGIN</stp>
        <stp>3</stp>
        <stp>002329</stp>
        <stp>12/31/2018</stp>
        <stp>1</stp>
        <tr r="J907" s="1"/>
      </tp>
      <tp>
        <v>1.9816955279999999</v>
        <stp/>
        <stp>EM_S_FA_NETPROFITMARGIN</stp>
        <stp>3</stp>
        <stp>002229</stp>
        <stp>12/31/2018</stp>
        <stp>1</stp>
        <tr r="J2717" s="1"/>
      </tp>
      <tp>
        <v>-72.784462061100001</v>
        <stp/>
        <stp>EM_S_FA_NETPROFITMARGIN</stp>
        <stp>3</stp>
        <stp>002529</stp>
        <stp>12/31/2018</stp>
        <stp>1</stp>
        <tr r="J2916" s="1"/>
      </tp>
      <tp>
        <v>3.2359754019000002</v>
        <stp/>
        <stp>EM_S_FA_NETPROFITMARGIN</stp>
        <stp>3</stp>
        <stp>002429</stp>
        <stp>12/31/2018</stp>
        <stp>1</stp>
        <tr r="J242" s="1"/>
      </tp>
      <tp>
        <v>11.6626401546</v>
        <stp/>
        <stp>EM_S_FA_NETPROFITMARGIN</stp>
        <stp>3</stp>
        <stp>002729</stp>
        <stp>12/31/2018</stp>
        <stp>1</stp>
        <tr r="J92" s="1"/>
      </tp>
      <tp>
        <v>-24.465822273299999</v>
        <stp/>
        <stp>EM_S_FA_NETPROFITMARGIN</stp>
        <stp>3</stp>
        <stp>002629</stp>
        <stp>12/31/2018</stp>
        <stp>1</stp>
        <tr r="J3220" s="1"/>
      </tp>
      <tp>
        <v>11.604723888000001</v>
        <stp/>
        <stp>EM_S_FA_NETPROFITMARGIN</stp>
        <stp>3</stp>
        <stp>601949</stp>
        <stp>12/31/2018</stp>
        <stp>1</stp>
        <tr r="J681" s="1"/>
      </tp>
      <tp>
        <v>-12.921351656600001</v>
        <stp/>
        <stp>EM_S_FA_NETPROFITMARGIN</stp>
        <stp>3</stp>
        <stp>000929</stp>
        <stp>12/31/2018</stp>
        <stp>1</stp>
        <tr r="J3580" s="1"/>
      </tp>
      <tp>
        <v>-0.54305667909999999</v>
        <stp/>
        <stp>EM_S_FA_NETPROFITMARGIN</stp>
        <stp>3</stp>
        <stp>000829</stp>
        <stp>12/31/2018</stp>
        <stp>1</stp>
        <tr r="J3551" s="1"/>
      </tp>
      <tp>
        <v>2.8011929571</v>
        <stp/>
        <stp>EM_S_FA_NETPROFITMARGIN</stp>
        <stp>3</stp>
        <stp>600849</stp>
        <stp>12/31/2018</stp>
        <stp>1</stp>
        <tr r="J2335" s="1"/>
      </tp>
      <tp>
        <v>11.853837048899999</v>
        <stp/>
        <stp>EM_S_FA_NETPROFITMARGIN</stp>
        <stp>3</stp>
        <stp>300119</stp>
        <stp>12/31/2018</stp>
        <stp>1</stp>
        <tr r="J217" s="1"/>
      </tp>
      <tp>
        <v>5.7791772135999997</v>
        <stp/>
        <stp>EM_S_FA_NETPROFITMARGIN</stp>
        <stp>3</stp>
        <stp>600149</stp>
        <stp>12/31/2018</stp>
        <stp>1</stp>
        <tr r="J1642" s="1"/>
      </tp>
      <tp>
        <v>22.985219624700001</v>
        <stp/>
        <stp>EM_S_FA_NETPROFITMARGIN</stp>
        <stp>3</stp>
        <stp>000029</stp>
        <stp>12/31/2018</stp>
        <stp>1</stp>
        <tr r="J2341" s="1"/>
      </tp>
      <tp>
        <v>7.4828710252999997</v>
        <stp/>
        <stp>EM_S_FA_NETPROFITMARGIN</stp>
        <stp>3</stp>
        <stp>300019</stp>
        <stp>12/31/2018</stp>
        <stp>1</stp>
        <tr r="J390" s="1"/>
      </tp>
      <tp>
        <v>8.5100965995000006</v>
        <stp/>
        <stp>EM_S_FA_NETPROFITMARGIN</stp>
        <stp>3</stp>
        <stp>300319</stp>
        <stp>12/31/2018</stp>
        <stp>1</stp>
        <tr r="J128" s="1"/>
      </tp>
      <tp>
        <v>0</v>
        <stp/>
        <stp>EM_S_FA_NETPROFITMARGIN</stp>
        <stp>3</stp>
        <stp>600349</stp>
        <stp>12/31/2018</stp>
        <stp>1</stp>
        <tr r="J12" s="1"/>
      </tp>
      <tp>
        <v>4.6720280448000002</v>
        <stp/>
        <stp>EM_S_FA_NETPROFITMARGIN</stp>
        <stp>3</stp>
        <stp>300219</stp>
        <stp>12/31/2018</stp>
        <stp>1</stp>
        <tr r="J2822" s="1"/>
      </tp>
      <tp>
        <v>0.6340919304</v>
        <stp/>
        <stp>EM_S_FA_NETPROFITMARGIN</stp>
        <stp>3</stp>
        <stp>600249</stp>
        <stp>12/31/2018</stp>
        <stp>1</stp>
        <tr r="J1050" s="1"/>
      </tp>
      <tp>
        <v>7.6586639779999999</v>
        <stp/>
        <stp>EM_S_FA_NETPROFITMARGIN</stp>
        <stp>3</stp>
        <stp>000529</stp>
        <stp>12/31/2018</stp>
        <stp>1</stp>
        <tr r="J546" s="1"/>
      </tp>
      <tp>
        <v>31.852822399899999</v>
        <stp/>
        <stp>EM_S_FA_NETPROFITMARGIN</stp>
        <stp>3</stp>
        <stp>300519</stp>
        <stp>12/31/2018</stp>
        <stp>1</stp>
        <tr r="J2466" s="1"/>
      </tp>
      <tp>
        <v>4.0994849336000003</v>
        <stp/>
        <stp>EM_S_FA_NETPROFITMARGIN</stp>
        <stp>3</stp>
        <stp>600549</stp>
        <stp>12/31/2018</stp>
        <stp>1</stp>
        <tr r="J1788" s="1"/>
      </tp>
      <tp>
        <v>59.133932988799998</v>
        <stp/>
        <stp>EM_S_FA_NETPROFITMARGIN</stp>
        <stp>3</stp>
        <stp>000429</stp>
        <stp>12/31/2018</stp>
        <stp>1</stp>
        <tr r="J2465" s="1"/>
      </tp>
      <tp>
        <v>-115.4554126697</v>
        <stp/>
        <stp>EM_S_FA_NETPROFITMARGIN</stp>
        <stp>3</stp>
        <stp>300419</stp>
        <stp>12/31/2018</stp>
        <stp>1</stp>
        <tr r="J1348" s="1"/>
      </tp>
      <tp>
        <v>11.4899413695</v>
        <stp/>
        <stp>EM_S_FA_NETPROFITMARGIN</stp>
        <stp>3</stp>
        <stp>600449</stp>
        <stp>12/31/2018</stp>
        <stp>1</stp>
        <tr r="J621" s="1"/>
      </tp>
      <tp>
        <v>1.9750543537</v>
        <stp/>
        <stp>EM_S_FA_NETPROFITMARGIN</stp>
        <stp>3</stp>
        <stp>000729</stp>
        <stp>12/31/2018</stp>
        <stp>1</stp>
        <tr r="J1469" s="1"/>
      </tp>
      <tp>
        <v>11.102017162099999</v>
        <stp/>
        <stp>EM_S_FA_NETPROFITMARGIN</stp>
        <stp>3</stp>
        <stp>300719</stp>
        <stp>12/31/2018</stp>
        <stp>1</stp>
        <tr r="J1490" s="1"/>
      </tp>
      <tp>
        <v>12.2134328944</v>
        <stp/>
        <stp>EM_S_FA_NETPROFITMARGIN</stp>
        <stp>3</stp>
        <stp>600749</stp>
        <stp>12/31/2018</stp>
        <stp>1</stp>
        <tr r="J2258" s="1"/>
      </tp>
      <tp>
        <v>20.8626473568</v>
        <stp/>
        <stp>EM_S_FA_NETPROFITMARGIN</stp>
        <stp>3</stp>
        <stp>000629</stp>
        <stp>12/31/2018</stp>
        <stp>1</stp>
        <tr r="J2438" s="1"/>
      </tp>
      <tp>
        <v>7.2057098915999998</v>
        <stp/>
        <stp>EM_S_FA_NETPROFITMARGIN</stp>
        <stp>3</stp>
        <stp>300619</stp>
        <stp>12/31/2018</stp>
        <stp>1</stp>
        <tr r="J2952" s="1"/>
      </tp>
      <tp>
        <v>16.951105406700002</v>
        <stp/>
        <stp>EM_S_FA_NETPROFITMARGIN</stp>
        <stp>3</stp>
        <stp>600649</stp>
        <stp>12/31/2018</stp>
        <stp>1</stp>
        <tr r="J2008" s="1"/>
      </tp>
      <tp>
        <v>19.888455219800001</v>
        <stp/>
        <stp>EM_S_FA_NETPROFITMARGIN</stp>
        <stp>3</stp>
        <stp>603848</stp>
        <stp>12/31/2018</stp>
        <stp>1</stp>
        <tr r="J2703" s="1"/>
      </tp>
      <tp>
        <v>7.7298764685999997</v>
        <stp/>
        <stp>EM_S_FA_NETPROFITMARGIN</stp>
        <stp>3</stp>
        <stp>603348</stp>
        <stp>12/31/2018</stp>
        <stp>1</stp>
        <tr r="J2404" s="1"/>
      </tp>
      <tp>
        <v>11.4868110662</v>
        <stp/>
        <stp>EM_S_FA_NETPROFITMARGIN</stp>
        <stp>3</stp>
        <stp>603648</stp>
        <stp>12/31/2018</stp>
        <stp>1</stp>
        <tr r="J2597" s="1"/>
      </tp>
      <tp>
        <v>5.8088912827000003</v>
        <stp/>
        <stp>EM_S_FA_NETPROFITMARGIN</stp>
        <stp>3</stp>
        <stp>002928</stp>
        <stp>12/31/2018</stp>
        <stp>1</stp>
        <tr r="J3274" s="1"/>
      </tp>
      <tp>
        <v>5.0718653478000002</v>
        <stp/>
        <stp>EM_S_FA_NETPROFITMARGIN</stp>
        <stp>3</stp>
        <stp>002828</stp>
        <stp>12/31/2018</stp>
        <stp>1</stp>
        <tr r="J2577" s="1"/>
      </tp>
      <tp>
        <v>24.760146970400001</v>
        <stp/>
        <stp>EM_S_FA_NETPROFITMARGIN</stp>
        <stp>3</stp>
        <stp>002128</stp>
        <stp>12/31/2018</stp>
        <stp>1</stp>
        <tr r="J1209" s="1"/>
      </tp>
      <tp>
        <v>6.1161965661000002</v>
        <stp/>
        <stp>EM_S_FA_NETPROFITMARGIN</stp>
        <stp>3</stp>
        <stp>002028</stp>
        <stp>12/31/2018</stp>
        <stp>1</stp>
        <tr r="J743" s="1"/>
      </tp>
      <tp>
        <v>4.4334897062999996</v>
        <stp/>
        <stp>EM_S_FA_NETPROFITMARGIN</stp>
        <stp>3</stp>
        <stp>002328</stp>
        <stp>12/31/2018</stp>
        <stp>1</stp>
        <tr r="J3199" s="1"/>
      </tp>
      <tp>
        <v>2.3456134061</v>
        <stp/>
        <stp>EM_S_FA_NETPROFITMARGIN</stp>
        <stp>3</stp>
        <stp>002228</stp>
        <stp>12/31/2018</stp>
        <stp>1</stp>
        <tr r="J2642" s="1"/>
      </tp>
      <tp>
        <v>3.2698791437999999</v>
        <stp/>
        <stp>EM_S_FA_NETPROFITMARGIN</stp>
        <stp>3</stp>
        <stp>002528</stp>
        <stp>12/31/2018</stp>
        <stp>1</stp>
        <tr r="J665" s="1"/>
      </tp>
      <tp>
        <v>1.6365740481</v>
        <stp/>
        <stp>EM_S_FA_NETPROFITMARGIN</stp>
        <stp>3</stp>
        <stp>002428</stp>
        <stp>12/31/2018</stp>
        <stp>1</stp>
        <tr r="J268" s="1"/>
      </tp>
      <tp>
        <v>17.576355873299999</v>
        <stp/>
        <stp>EM_S_FA_NETPROFITMARGIN</stp>
        <stp>3</stp>
        <stp>002728</stp>
        <stp>12/31/2018</stp>
        <stp>1</stp>
        <tr r="J991" s="1"/>
      </tp>
      <tp>
        <v>0.76899885329999995</v>
        <stp/>
        <stp>EM_S_FA_NETPROFITMARGIN</stp>
        <stp>3</stp>
        <stp>002628</stp>
        <stp>12/31/2018</stp>
        <stp>1</stp>
        <tr r="J2357" s="1"/>
      </tp>
      <tp>
        <v>5.0949405499999996</v>
        <stp/>
        <stp>EM_S_FA_NETPROFITMARGIN</stp>
        <stp>3</stp>
        <stp>000928</stp>
        <stp>12/31/2018</stp>
        <stp>1</stp>
        <tr r="J1780" s="1"/>
      </tp>
      <tp>
        <v>64.794991233299996</v>
        <stp/>
        <stp>EM_S_FA_NETPROFITMARGIN</stp>
        <stp>3</stp>
        <stp>000828</stp>
        <stp>12/31/2018</stp>
        <stp>1</stp>
        <tr r="J1711" s="1"/>
      </tp>
      <tp>
        <v>22.166154420600002</v>
        <stp/>
        <stp>EM_S_FA_NETPROFITMARGIN</stp>
        <stp>3</stp>
        <stp>600848</stp>
        <stp>12/31/2018</stp>
        <stp>1</stp>
        <tr r="J1417" s="1"/>
      </tp>
      <tp>
        <v>2.3410404265000002</v>
        <stp/>
        <stp>EM_S_FA_NETPROFITMARGIN</stp>
        <stp>3</stp>
        <stp>300118</stp>
        <stp>12/31/2018</stp>
        <stp>1</stp>
        <tr r="J91" s="1"/>
      </tp>
      <tp>
        <v>6.6085976947000002</v>
        <stp/>
        <stp>EM_S_FA_NETPROFITMARGIN</stp>
        <stp>3</stp>
        <stp>600148</stp>
        <stp>12/31/2018</stp>
        <stp>1</stp>
        <tr r="J2591" s="1"/>
      </tp>
      <tp>
        <v>3.1269863564999998</v>
        <stp/>
        <stp>EM_S_FA_NETPROFITMARGIN</stp>
        <stp>3</stp>
        <stp>000028</stp>
        <stp>12/31/2018</stp>
        <stp>1</stp>
        <tr r="J1704" s="1"/>
      </tp>
      <tp>
        <v>-116.6200201103</v>
        <stp/>
        <stp>EM_S_FA_NETPROFITMARGIN</stp>
        <stp>3</stp>
        <stp>300018</stp>
        <stp>12/31/2018</stp>
        <stp>1</stp>
        <tr r="J1441" s="1"/>
      </tp>
      <tp>
        <v>13.443329397799999</v>
        <stp/>
        <stp>EM_S_FA_NETPROFITMARGIN</stp>
        <stp>3</stp>
        <stp>600048</stp>
        <stp>12/31/2018</stp>
        <stp>1</stp>
        <tr r="J771" s="1"/>
      </tp>
      <tp>
        <v>12.459274838400001</v>
        <stp/>
        <stp>EM_S_FA_NETPROFITMARGIN</stp>
        <stp>3</stp>
        <stp>300318</stp>
        <stp>12/31/2018</stp>
        <stp>1</stp>
        <tr r="J2155" s="1"/>
      </tp>
      <tp>
        <v>6.3977256973000003</v>
        <stp/>
        <stp>EM_S_FA_NETPROFITMARGIN</stp>
        <stp>3</stp>
        <stp>600348</stp>
        <stp>12/31/2018</stp>
        <stp>1</stp>
        <tr r="J1741" s="1"/>
      </tp>
      <tp>
        <v>1.2896584824999999</v>
        <stp/>
        <stp>EM_S_FA_NETPROFITMARGIN</stp>
        <stp>3</stp>
        <stp>300218</stp>
        <stp>12/31/2018</stp>
        <stp>1</stp>
        <tr r="J970" s="1"/>
      </tp>
      <tp>
        <v>4.5963918963000001</v>
        <stp/>
        <stp>EM_S_FA_NETPROFITMARGIN</stp>
        <stp>3</stp>
        <stp>600248</stp>
        <stp>12/31/2018</stp>
        <stp>1</stp>
        <tr r="J1689" s="1"/>
      </tp>
      <tp>
        <v>4.6501185980999997</v>
        <stp/>
        <stp>EM_S_FA_NETPROFITMARGIN</stp>
        <stp>3</stp>
        <stp>000528</stp>
        <stp>12/31/2018</stp>
        <stp>1</stp>
        <tr r="J1542" s="1"/>
      </tp>
      <tp>
        <v>4.9123464609000003</v>
        <stp/>
        <stp>EM_S_FA_NETPROFITMARGIN</stp>
        <stp>3</stp>
        <stp>300518</stp>
        <stp>12/31/2018</stp>
        <stp>1</stp>
        <tr r="J1346" s="1"/>
      </tp>
      <tp>
        <v>61.626726468599998</v>
        <stp/>
        <stp>EM_S_FA_NETPROFITMARGIN</stp>
        <stp>3</stp>
        <stp>600548</stp>
        <stp>12/31/2018</stp>
        <stp>1</stp>
        <tr r="J1053" s="1"/>
      </tp>
      <tp>
        <v>-72.880461279299993</v>
        <stp/>
        <stp>EM_S_FA_NETPROFITMARGIN</stp>
        <stp>3</stp>
        <stp>000428</stp>
        <stp>12/31/2018</stp>
        <stp>1</stp>
        <tr r="J3425" s="1"/>
      </tp>
      <tp>
        <v>41.861513302200002</v>
        <stp/>
        <stp>EM_S_FA_NETPROFITMARGIN</stp>
        <stp>3</stp>
        <stp>300418</stp>
        <stp>12/31/2018</stp>
        <stp>1</stp>
        <tr r="J889" s="1"/>
      </tp>
      <tp>
        <v>0.64250710079999995</v>
        <stp/>
        <stp>EM_S_FA_NETPROFITMARGIN</stp>
        <stp>3</stp>
        <stp>600448</stp>
        <stp>12/31/2018</stp>
        <stp>1</stp>
        <tr r="J1775" s="1"/>
      </tp>
      <tp>
        <v>26.420462300899999</v>
        <stp/>
        <stp>EM_S_FA_NETPROFITMARGIN</stp>
        <stp>3</stp>
        <stp>000728</stp>
        <stp>12/31/2018</stp>
        <stp>1</stp>
        <tr r="J3521" s="1"/>
      </tp>
      <tp>
        <v>22.5831051794</v>
        <stp/>
        <stp>EM_S_FA_NETPROFITMARGIN</stp>
        <stp>3</stp>
        <stp>300718</stp>
        <stp>12/31/2018</stp>
        <stp>1</stp>
        <tr r="J730" s="1"/>
      </tp>
      <tp>
        <v>10.6709237655</v>
        <stp/>
        <stp>EM_S_FA_NETPROFITMARGIN</stp>
        <stp>3</stp>
        <stp>600748</stp>
        <stp>12/31/2018</stp>
        <stp>1</stp>
        <tr r="J1694" s="1"/>
      </tp>
      <tp>
        <v>8.4359094396999996</v>
        <stp/>
        <stp>EM_S_FA_NETPROFITMARGIN</stp>
        <stp>3</stp>
        <stp>000628</stp>
        <stp>12/31/2018</stp>
        <stp>1</stp>
        <tr r="J2503" s="1"/>
      </tp>
      <tp>
        <v>25.307023174600001</v>
        <stp/>
        <stp>EM_S_FA_NETPROFITMARGIN</stp>
        <stp>3</stp>
        <stp>300618</stp>
        <stp>12/31/2018</stp>
        <stp>1</stp>
        <tr r="J1876" s="1"/>
      </tp>
      <tp>
        <v>11.4976851027</v>
        <stp/>
        <stp>EM_S_FA_NETPROFITMARGIN</stp>
        <stp>3</stp>
        <stp>600648</stp>
        <stp>12/31/2018</stp>
        <stp>1</stp>
        <tr r="J1052" s="1"/>
      </tp>
      <tp>
        <v>13.3775136177</v>
        <stp/>
        <stp>EM_S_FA_NETPROFITMARGIN</stp>
        <stp>3</stp>
        <stp>603041</stp>
        <stp>12/31/2018</stp>
        <stp>1</stp>
        <tr r="J1218" s="1"/>
      </tp>
      <tp>
        <v>6.6989043281000002</v>
        <stp/>
        <stp>EM_S_FA_NETPROFITMARGIN</stp>
        <stp>3</stp>
        <stp>002921</stp>
        <stp>12/31/2018</stp>
        <stp>1</stp>
        <tr r="J3207" s="1"/>
      </tp>
      <tp>
        <v>22.1513627213</v>
        <stp/>
        <stp>EM_S_FA_NETPROFITMARGIN</stp>
        <stp>3</stp>
        <stp>002821</stp>
        <stp>12/31/2018</stp>
        <stp>1</stp>
        <tr r="J209" s="1"/>
      </tp>
      <tp>
        <v>-32.090036075599997</v>
        <stp/>
        <stp>EM_S_FA_NETPROFITMARGIN</stp>
        <stp>3</stp>
        <stp>002121</stp>
        <stp>12/31/2018</stp>
        <stp>1</stp>
        <tr r="J3639" s="1"/>
      </tp>
      <tp>
        <v>-20.720268584300001</v>
        <stp/>
        <stp>EM_S_FA_NETPROFITMARGIN</stp>
        <stp>3</stp>
        <stp>002021</stp>
        <stp>12/31/2018</stp>
        <stp>1</stp>
        <tr r="J3609" s="1"/>
      </tp>
      <tp>
        <v>3.5844045127999999</v>
        <stp/>
        <stp>EM_S_FA_NETPROFITMARGIN</stp>
        <stp>3</stp>
        <stp>002321</stp>
        <stp>12/31/2018</stp>
        <stp>1</stp>
        <tr r="J1897" s="1"/>
      </tp>
      <tp>
        <v>2.2065249216999998</v>
        <stp/>
        <stp>EM_S_FA_NETPROFITMARGIN</stp>
        <stp>3</stp>
        <stp>002221</stp>
        <stp>12/31/2018</stp>
        <stp>1</stp>
        <tr r="J2543" s="1"/>
      </tp>
      <tp>
        <v>1.5860851389999999</v>
        <stp/>
        <stp>EM_S_FA_NETPROFITMARGIN</stp>
        <stp>3</stp>
        <stp>002521</stp>
        <stp>12/31/2018</stp>
        <stp>1</stp>
        <tr r="J1904" s="1"/>
      </tp>
      <tp>
        <v>8.4597334674999995</v>
        <stp/>
        <stp>EM_S_FA_NETPROFITMARGIN</stp>
        <stp>3</stp>
        <stp>002421</stp>
        <stp>12/31/2018</stp>
        <stp>1</stp>
        <tr r="J2669" s="1"/>
      </tp>
      <tp>
        <v>-0.63826165769999998</v>
        <stp/>
        <stp>EM_S_FA_NETPROFITMARGIN</stp>
        <stp>3</stp>
        <stp>002721</stp>
        <stp>12/31/2018</stp>
        <stp>1</stp>
        <tr r="J2808" s="1"/>
      </tp>
      <tp>
        <v>14.7097861388</v>
        <stp/>
        <stp>EM_S_FA_NETPROFITMARGIN</stp>
        <stp>3</stp>
        <stp>002621</stp>
        <stp>12/31/2018</stp>
        <stp>1</stp>
        <tr r="J3271" s="1"/>
      </tp>
      <tp>
        <v>3.9508335535999999</v>
        <stp/>
        <stp>EM_S_FA_NETPROFITMARGIN</stp>
        <stp>3</stp>
        <stp>000921</stp>
        <stp>12/31/2018</stp>
        <stp>1</stp>
        <tr r="J344" s="1"/>
      </tp>
      <tp>
        <v>6.9052617195000003</v>
        <stp/>
        <stp>EM_S_FA_NETPROFITMARGIN</stp>
        <stp>3</stp>
        <stp>000821</stp>
        <stp>12/31/2018</stp>
        <stp>1</stp>
        <tr r="J2937" s="1"/>
      </tp>
      <tp>
        <v>3.1561338608999998</v>
        <stp/>
        <stp>EM_S_FA_NETPROFITMARGIN</stp>
        <stp>3</stp>
        <stp>600841</stp>
        <stp>12/31/2018</stp>
        <stp>1</stp>
        <tr r="J1932" s="1"/>
      </tp>
      <tp>
        <v>-177.33086010950001</v>
        <stp/>
        <stp>EM_S_FA_NETPROFITMARGIN</stp>
        <stp>3</stp>
        <stp>300111</stp>
        <stp>12/31/2018</stp>
        <stp>1</stp>
        <tr r="J1403" s="1"/>
      </tp>
      <tp>
        <v>4.4514509531000002</v>
        <stp/>
        <stp>EM_S_FA_NETPROFITMARGIN</stp>
        <stp>3</stp>
        <stp>600141</stp>
        <stp>12/31/2018</stp>
        <stp>1</stp>
        <tr r="J2269" s="1"/>
      </tp>
      <tp>
        <v>3.5201530353999999</v>
        <stp/>
        <stp>EM_S_FA_NETPROFITMARGIN</stp>
        <stp>3</stp>
        <stp>000021</stp>
        <stp>12/31/2018</stp>
        <stp>1</stp>
        <tr r="J134" s="1"/>
      </tp>
      <tp>
        <v>-42.536906328900002</v>
        <stp/>
        <stp>EM_S_FA_NETPROFITMARGIN</stp>
        <stp>3</stp>
        <stp>300011</stp>
        <stp>12/31/2018</stp>
        <stp>1</stp>
        <tr r="J2446" s="1"/>
      </tp>
      <tp>
        <v>11.483545944899999</v>
        <stp/>
        <stp>EM_S_FA_NETPROFITMARGIN</stp>
        <stp>3</stp>
        <stp>300311</stp>
        <stp>12/31/2018</stp>
        <stp>1</stp>
        <tr r="J362" s="1"/>
      </tp>
      <tp>
        <v>3.8918622822</v>
        <stp/>
        <stp>EM_S_FA_NETPROFITMARGIN</stp>
        <stp>3</stp>
        <stp>300211</stp>
        <stp>12/31/2018</stp>
        <stp>1</stp>
        <tr r="J339" s="1"/>
      </tp>
      <tp>
        <v>-24.504874036</v>
        <stp/>
        <stp>EM_S_FA_NETPROFITMARGIN</stp>
        <stp>3</stp>
        <stp>600241</stp>
        <stp>12/31/2018</stp>
        <stp>1</stp>
        <tr r="J2745" s="1"/>
      </tp>
      <tp>
        <v>0.19940214689999999</v>
        <stp/>
        <stp>EM_S_FA_NETPROFITMARGIN</stp>
        <stp>3</stp>
        <stp>000521</stp>
        <stp>12/31/2018</stp>
        <stp>1</stp>
        <tr r="J1492" s="1"/>
      </tp>
      <tp>
        <v>6.7566829458999997</v>
        <stp/>
        <stp>EM_S_FA_NETPROFITMARGIN</stp>
        <stp>3</stp>
        <stp>300511</stp>
        <stp>12/31/2018</stp>
        <stp>1</stp>
        <tr r="J1595" s="1"/>
      </tp>
      <tp>
        <v>6.8707958586000002</v>
        <stp/>
        <stp>EM_S_FA_NETPROFITMARGIN</stp>
        <stp>3</stp>
        <stp>000421</stp>
        <stp>12/31/2018</stp>
        <stp>1</stp>
        <tr r="J3423" s="1"/>
      </tp>
      <tp>
        <v>-316.37422439810001</v>
        <stp/>
        <stp>EM_S_FA_NETPROFITMARGIN</stp>
        <stp>3</stp>
        <stp>300411</stp>
        <stp>12/31/2018</stp>
        <stp>1</stp>
        <tr r="J2490" s="1"/>
      </tp>
      <tp>
        <v>1.678163005</v>
        <stp/>
        <stp>EM_S_FA_NETPROFITMARGIN</stp>
        <stp>3</stp>
        <stp>000721</stp>
        <stp>12/31/2018</stp>
        <stp>1</stp>
        <tr r="J2092" s="1"/>
      </tp>
      <tp>
        <v>7.7819795546000003</v>
        <stp/>
        <stp>EM_S_FA_NETPROFITMARGIN</stp>
        <stp>3</stp>
        <stp>300711</stp>
        <stp>12/31/2018</stp>
        <stp>1</stp>
        <tr r="J3178" s="1"/>
      </tp>
      <tp>
        <v>6.6459846505</v>
        <stp/>
        <stp>EM_S_FA_NETPROFITMARGIN</stp>
        <stp>3</stp>
        <stp>600741</stp>
        <stp>12/31/2018</stp>
        <stp>1</stp>
        <tr r="J766" s="1"/>
      </tp>
      <tp>
        <v>0</v>
        <stp/>
        <stp>EM_S_FA_NETPROFITMARGIN</stp>
        <stp>3</stp>
        <stp>000621</stp>
        <stp>12/31/2018</stp>
        <stp>1</stp>
        <tr r="J3486" s="1"/>
      </tp>
      <tp>
        <v>3.3753863352</v>
        <stp/>
        <stp>EM_S_FA_NETPROFITMARGIN</stp>
        <stp>3</stp>
        <stp>300611</stp>
        <stp>12/31/2018</stp>
        <stp>1</stp>
        <tr r="J1560" s="1"/>
      </tp>
      <tp>
        <v>36.297810152499999</v>
        <stp/>
        <stp>EM_S_FA_NETPROFITMARGIN</stp>
        <stp>3</stp>
        <stp>600641</stp>
        <stp>12/31/2018</stp>
        <stp>1</stp>
        <tr r="J147" s="1"/>
      </tp>
      <tp>
        <v>34.5129231668</v>
        <stp/>
        <stp>EM_S_FA_NETPROFITMARGIN</stp>
        <stp>3</stp>
        <stp>603040</stp>
        <stp>12/31/2018</stp>
        <stp>1</stp>
        <tr r="J891" s="1"/>
      </tp>
      <tp>
        <v>7.6940506325999998</v>
        <stp/>
        <stp>EM_S_FA_NETPROFITMARGIN</stp>
        <stp>3</stp>
        <stp>002920</stp>
        <stp>12/31/2018</stp>
        <stp>1</stp>
        <tr r="J269" s="1"/>
      </tp>
      <tp>
        <v>17.500638713699999</v>
        <stp/>
        <stp>EM_S_FA_NETPROFITMARGIN</stp>
        <stp>3</stp>
        <stp>002820</stp>
        <stp>12/31/2018</stp>
        <stp>1</stp>
        <tr r="J2429" s="1"/>
      </tp>
      <tp>
        <v>18.780889929000001</v>
        <stp/>
        <stp>EM_S_FA_NETPROFITMARGIN</stp>
        <stp>3</stp>
        <stp>002120</stp>
        <stp>12/31/2018</stp>
        <stp>1</stp>
        <tr r="J1786" s="1"/>
      </tp>
      <tp>
        <v>12.619318642</v>
        <stp/>
        <stp>EM_S_FA_NETPROFITMARGIN</stp>
        <stp>3</stp>
        <stp>002020</stp>
        <stp>12/31/2018</stp>
        <stp>1</stp>
        <tr r="J1187" s="1"/>
      </tp>
      <tp>
        <v>20.062149122400001</v>
        <stp/>
        <stp>EM_S_FA_NETPROFITMARGIN</stp>
        <stp>3</stp>
        <stp>002320</stp>
        <stp>12/31/2018</stp>
        <stp>1</stp>
        <tr r="J2750" s="1"/>
      </tp>
      <tp>
        <v>-15.9047013895</v>
        <stp/>
        <stp>EM_S_FA_NETPROFITMARGIN</stp>
        <stp>3</stp>
        <stp>002220</stp>
        <stp>12/31/2018</stp>
        <stp>1</stp>
        <tr r="J3336" s="1"/>
      </tp>
      <tp>
        <v>9.5322360687999996</v>
        <stp/>
        <stp>EM_S_FA_NETPROFITMARGIN</stp>
        <stp>3</stp>
        <stp>002520</stp>
        <stp>12/31/2018</stp>
        <stp>1</stp>
        <tr r="J2660" s="1"/>
      </tp>
      <tp>
        <v>-16.655264656500002</v>
        <stp/>
        <stp>EM_S_FA_NETPROFITMARGIN</stp>
        <stp>3</stp>
        <stp>002420</stp>
        <stp>12/31/2018</stp>
        <stp>1</stp>
        <tr r="J1302" s="1"/>
      </tp>
      <tp>
        <v>0</v>
        <stp/>
        <stp>EM_S_FA_NETPROFITMARGIN</stp>
        <stp>3</stp>
        <stp>002720</stp>
        <stp>12/31/2018</stp>
        <stp>1</stp>
        <tr r="J8" s="1"/>
      </tp>
      <tp>
        <v>4.7387734818</v>
        <stp/>
        <stp>EM_S_FA_NETPROFITMARGIN</stp>
        <stp>3</stp>
        <stp>002620</stp>
        <stp>12/31/2018</stp>
        <stp>1</stp>
        <tr r="J2023" s="1"/>
      </tp>
      <tp>
        <v>9.4493737446000008</v>
        <stp/>
        <stp>EM_S_FA_NETPROFITMARGIN</stp>
        <stp>3</stp>
        <stp>000920</stp>
        <stp>12/31/2018</stp>
        <stp>1</stp>
        <tr r="J969" s="1"/>
      </tp>
      <tp>
        <v>-5432.6068593338996</v>
        <stp/>
        <stp>EM_S_FA_NETPROFITMARGIN</stp>
        <stp>3</stp>
        <stp>000820</stp>
        <stp>12/31/2018</stp>
        <stp>1</stp>
        <tr r="J3549" s="1"/>
      </tp>
      <tp>
        <v>0</v>
        <stp/>
        <stp>EM_S_FA_NETPROFITMARGIN</stp>
        <stp>3</stp>
        <stp>600840</stp>
        <stp>12/31/2018</stp>
        <stp>1</stp>
        <tr r="J2329" s="1"/>
      </tp>
      <tp>
        <v>2.7070075384000001</v>
        <stp/>
        <stp>EM_S_FA_NETPROFITMARGIN</stp>
        <stp>3</stp>
        <stp>300110</stp>
        <stp>12/31/2018</stp>
        <stp>1</stp>
        <tr r="J956" s="1"/>
      </tp>
      <tp>
        <v>0.51723408719999997</v>
        <stp/>
        <stp>EM_S_FA_NETPROFITMARGIN</stp>
        <stp>3</stp>
        <stp>000020</stp>
        <stp>12/31/2018</stp>
        <stp>1</stp>
        <tr r="J2164" s="1"/>
      </tp>
      <tp>
        <v>-71.384264030099999</v>
        <stp/>
        <stp>EM_S_FA_NETPROFITMARGIN</stp>
        <stp>3</stp>
        <stp>300010</stp>
        <stp>12/31/2018</stp>
        <stp>1</stp>
        <tr r="J280" s="1"/>
      </tp>
      <tp>
        <v>-77.193413248400006</v>
        <stp/>
        <stp>EM_S_FA_NETPROFITMARGIN</stp>
        <stp>3</stp>
        <stp>300310</stp>
        <stp>12/31/2018</stp>
        <stp>1</stp>
        <tr r="J2231" s="1"/>
      </tp>
      <tp>
        <v>14.084659415499999</v>
        <stp/>
        <stp>EM_S_FA_NETPROFITMARGIN</stp>
        <stp>3</stp>
        <stp>600340</stp>
        <stp>12/31/2018</stp>
        <stp>1</stp>
        <tr r="J1641" s="1"/>
      </tp>
      <tp>
        <v>-25.797876016699998</v>
        <stp/>
        <stp>EM_S_FA_NETPROFITMARGIN</stp>
        <stp>3</stp>
        <stp>300210</stp>
        <stp>12/31/2018</stp>
        <stp>1</stp>
        <tr r="J3058" s="1"/>
      </tp>
      <tp>
        <v>-132.34595740509999</v>
        <stp/>
        <stp>EM_S_FA_NETPROFITMARGIN</stp>
        <stp>3</stp>
        <stp>600240</stp>
        <stp>12/31/2018</stp>
        <stp>1</stp>
        <tr r="J3408" s="1"/>
      </tp>
      <tp>
        <v>7.2828083790999996</v>
        <stp/>
        <stp>EM_S_FA_NETPROFITMARGIN</stp>
        <stp>3</stp>
        <stp>000520</stp>
        <stp>12/31/2018</stp>
        <stp>1</stp>
        <tr r="J641" s="1"/>
      </tp>
      <tp>
        <v>15.9627672909</v>
        <stp/>
        <stp>EM_S_FA_NETPROFITMARGIN</stp>
        <stp>3</stp>
        <stp>300510</stp>
        <stp>12/31/2018</stp>
        <stp>1</stp>
        <tr r="J3188" s="1"/>
      </tp>
      <tp>
        <v>2.4671322388000001</v>
        <stp/>
        <stp>EM_S_FA_NETPROFITMARGIN</stp>
        <stp>3</stp>
        <stp>600540</stp>
        <stp>12/31/2018</stp>
        <stp>1</stp>
        <tr r="J1667" s="1"/>
      </tp>
      <tp>
        <v>5.4940779001999998</v>
        <stp/>
        <stp>EM_S_FA_NETPROFITMARGIN</stp>
        <stp>3</stp>
        <stp>000420</stp>
        <stp>12/31/2018</stp>
        <stp>1</stp>
        <tr r="J1603" s="1"/>
      </tp>
      <tp>
        <v>1.3238786196000001</v>
        <stp/>
        <stp>EM_S_FA_NETPROFITMARGIN</stp>
        <stp>3</stp>
        <stp>300410</stp>
        <stp>12/31/2018</stp>
        <stp>1</stp>
        <tr r="J3396" s="1"/>
      </tp>
      <tp>
        <v>41.6017026305</v>
        <stp/>
        <stp>EM_S_FA_NETPROFITMARGIN</stp>
        <stp>3</stp>
        <stp>000720</stp>
        <stp>12/31/2018</stp>
        <stp>1</stp>
        <tr r="J432" s="1"/>
      </tp>
      <tp>
        <v>4.7597057008999997</v>
        <stp/>
        <stp>EM_S_FA_NETPROFITMARGIN</stp>
        <stp>3</stp>
        <stp>300710</stp>
        <stp>12/31/2018</stp>
        <stp>1</stp>
        <tr r="J1068" s="1"/>
      </tp>
      <tp>
        <v>20.810792851999999</v>
        <stp/>
        <stp>EM_S_FA_NETPROFITMARGIN</stp>
        <stp>3</stp>
        <stp>600740</stp>
        <stp>12/31/2018</stp>
        <stp>1</stp>
        <tr r="J2680" s="1"/>
      </tp>
      <tp>
        <v>8.9254820903999992</v>
        <stp/>
        <stp>EM_S_FA_NETPROFITMARGIN</stp>
        <stp>3</stp>
        <stp>000620</stp>
        <stp>12/31/2018</stp>
        <stp>1</stp>
        <tr r="J2102" s="1"/>
      </tp>
      <tp>
        <v>10.955437053300001</v>
        <stp/>
        <stp>EM_S_FA_NETPROFITMARGIN</stp>
        <stp>3</stp>
        <stp>300610</stp>
        <stp>12/31/2018</stp>
        <stp>1</stp>
        <tr r="J2478" s="1"/>
      </tp>
      <tp>
        <v>6.0524340409999997</v>
        <stp/>
        <stp>EM_S_FA_NETPROFITMARGIN</stp>
        <stp>3</stp>
        <stp>600640</stp>
        <stp>12/31/2018</stp>
        <stp>1</stp>
        <tr r="J66" s="1"/>
      </tp>
      <tp>
        <v>3.3602049702999999</v>
        <stp/>
        <stp>EM_S_FA_NETPROFITMARGIN</stp>
        <stp>3</stp>
        <stp>603843</stp>
        <stp>12/31/2018</stp>
        <stp>1</stp>
        <tr r="J3316" s="1"/>
      </tp>
      <tp>
        <v>15.1100504588</v>
        <stp/>
        <stp>EM_S_FA_NETPROFITMARGIN</stp>
        <stp>3</stp>
        <stp>603043</stp>
        <stp>12/31/2018</stp>
        <stp>1</stp>
        <tr r="J1672" s="1"/>
      </tp>
      <tp>
        <v>10.235502398</v>
        <stp/>
        <stp>EM_S_FA_NETPROFITMARGIN</stp>
        <stp>3</stp>
        <stp>002923</stp>
        <stp>12/31/2018</stp>
        <stp>1</stp>
        <tr r="J3191" s="1"/>
      </tp>
      <tp>
        <v>6.7941532710999999</v>
        <stp/>
        <stp>EM_S_FA_NETPROFITMARGIN</stp>
        <stp>3</stp>
        <stp>002823</stp>
        <stp>12/31/2018</stp>
        <stp>1</stp>
        <tr r="J2753" s="1"/>
      </tp>
      <tp>
        <v>3.2763765868000001</v>
        <stp/>
        <stp>EM_S_FA_NETPROFITMARGIN</stp>
        <stp>3</stp>
        <stp>002123</stp>
        <stp>12/31/2018</stp>
        <stp>1</stp>
        <tr r="J78" s="1"/>
      </tp>
      <tp>
        <v>8.5395672241000007</v>
        <stp/>
        <stp>EM_S_FA_NETPROFITMARGIN</stp>
        <stp>3</stp>
        <stp>002023</stp>
        <stp>12/31/2018</stp>
        <stp>1</stp>
        <tr r="J1575" s="1"/>
      </tp>
      <tp>
        <v>-200.53854251050001</v>
        <stp/>
        <stp>EM_S_FA_NETPROFITMARGIN</stp>
        <stp>3</stp>
        <stp>002323</stp>
        <stp>12/31/2018</stp>
        <stp>1</stp>
        <tr r="J80" s="1"/>
      </tp>
      <tp>
        <v>17.949192160999999</v>
        <stp/>
        <stp>EM_S_FA_NETPROFITMARGIN</stp>
        <stp>3</stp>
        <stp>002223</stp>
        <stp>12/31/2018</stp>
        <stp>1</stp>
        <tr r="J2176" s="1"/>
      </tp>
      <tp>
        <v>7.9239804875999997</v>
        <stp/>
        <stp>EM_S_FA_NETPROFITMARGIN</stp>
        <stp>3</stp>
        <stp>002523</stp>
        <stp>12/31/2018</stp>
        <stp>1</stp>
        <tr r="J2054" s="1"/>
      </tp>
      <tp>
        <v>-10.989599141699999</v>
        <stp/>
        <stp>EM_S_FA_NETPROFITMARGIN</stp>
        <stp>3</stp>
        <stp>002423</stp>
        <stp>12/31/2018</stp>
        <stp>1</stp>
        <tr r="J1697" s="1"/>
      </tp>
      <tp>
        <v>-10.874286638099999</v>
        <stp/>
        <stp>EM_S_FA_NETPROFITMARGIN</stp>
        <stp>3</stp>
        <stp>002723</stp>
        <stp>12/31/2018</stp>
        <stp>1</stp>
        <tr r="J2029" s="1"/>
      </tp>
      <tp>
        <v>5.3866798361999999</v>
        <stp/>
        <stp>EM_S_FA_NETPROFITMARGIN</stp>
        <stp>3</stp>
        <stp>002623</stp>
        <stp>12/31/2018</stp>
        <stp>1</stp>
        <tr r="J556" s="1"/>
      </tp>
      <tp>
        <v>4.2697192114</v>
        <stp/>
        <stp>EM_S_FA_NETPROFITMARGIN</stp>
        <stp>3</stp>
        <stp>000923</stp>
        <stp>12/31/2018</stp>
        <stp>1</stp>
        <tr r="J3577" s="1"/>
      </tp>
      <tp>
        <v>6.6810806568999999</v>
        <stp/>
        <stp>EM_S_FA_NETPROFITMARGIN</stp>
        <stp>3</stp>
        <stp>000823</stp>
        <stp>12/31/2018</stp>
        <stp>1</stp>
        <tr r="J267" s="1"/>
      </tp>
      <tp>
        <v>4.9507349026999998</v>
        <stp/>
        <stp>EM_S_FA_NETPROFITMARGIN</stp>
        <stp>3</stp>
        <stp>600843</stp>
        <stp>12/31/2018</stp>
        <stp>1</stp>
        <tr r="J1525" s="1"/>
      </tp>
      <tp>
        <v>21.701486355</v>
        <stp/>
        <stp>EM_S_FA_NETPROFITMARGIN</stp>
        <stp>3</stp>
        <stp>300113</stp>
        <stp>12/31/2018</stp>
        <stp>1</stp>
        <tr r="J165" s="1"/>
      </tp>
      <tp>
        <v>2.4686749111999999</v>
        <stp/>
        <stp>EM_S_FA_NETPROFITMARGIN</stp>
        <stp>3</stp>
        <stp>600143</stp>
        <stp>12/31/2018</stp>
        <stp>1</stp>
        <tr r="J610" s="1"/>
      </tp>
      <tp>
        <v>2.1805869169999998</v>
        <stp/>
        <stp>EM_S_FA_NETPROFITMARGIN</stp>
        <stp>3</stp>
        <stp>000023</stp>
        <stp>12/31/2018</stp>
        <stp>1</stp>
        <tr r="J2109" s="1"/>
      </tp>
      <tp>
        <v>6.2631444454</v>
        <stp/>
        <stp>EM_S_FA_NETPROFITMARGIN</stp>
        <stp>3</stp>
        <stp>300013</stp>
        <stp>12/31/2018</stp>
        <stp>1</stp>
        <tr r="J2628" s="1"/>
      </tp>
      <tp>
        <v>-1849.8112961761001</v>
        <stp/>
        <stp>EM_S_FA_NETPROFITMARGIN</stp>
        <stp>3</stp>
        <stp>300313</stp>
        <stp>12/31/2018</stp>
        <stp>1</stp>
        <tr r="J2939" s="1"/>
      </tp>
      <tp>
        <v>1.7931181242000001</v>
        <stp/>
        <stp>EM_S_FA_NETPROFITMARGIN</stp>
        <stp>3</stp>
        <stp>600343</stp>
        <stp>12/31/2018</stp>
        <stp>1</stp>
        <tr r="J1225" s="1"/>
      </tp>
      <tp>
        <v>10.7961787632</v>
        <stp/>
        <stp>EM_S_FA_NETPROFITMARGIN</stp>
        <stp>3</stp>
        <stp>300213</stp>
        <stp>12/31/2018</stp>
        <stp>1</stp>
        <tr r="J1437" s="1"/>
      </tp>
      <tp>
        <v>-31.5113096756</v>
        <stp/>
        <stp>EM_S_FA_NETPROFITMARGIN</stp>
        <stp>3</stp>
        <stp>600243</stp>
        <stp>12/31/2018</stp>
        <stp>1</stp>
        <tr r="J1495" s="1"/>
      </tp>
      <tp>
        <v>0.2763036867</v>
        <stp/>
        <stp>EM_S_FA_NETPROFITMARGIN</stp>
        <stp>3</stp>
        <stp>000523</stp>
        <stp>12/31/2018</stp>
        <stp>1</stp>
        <tr r="J204" s="1"/>
      </tp>
      <tp>
        <v>11.099799605399999</v>
        <stp/>
        <stp>EM_S_FA_NETPROFITMARGIN</stp>
        <stp>3</stp>
        <stp>300513</stp>
        <stp>12/31/2018</stp>
        <stp>1</stp>
        <tr r="J3312" s="1"/>
      </tp>
      <tp>
        <v>8.1662152476000003</v>
        <stp/>
        <stp>EM_S_FA_NETPROFITMARGIN</stp>
        <stp>3</stp>
        <stp>600543</stp>
        <stp>12/31/2018</stp>
        <stp>1</stp>
        <tr r="J2825" s="1"/>
      </tp>
      <tp>
        <v>28.434394180200002</v>
        <stp/>
        <stp>EM_S_FA_NETPROFITMARGIN</stp>
        <stp>3</stp>
        <stp>000423</stp>
        <stp>12/31/2018</stp>
        <stp>1</stp>
        <tr r="J3424" s="1"/>
      </tp>
      <tp>
        <v>9.6015620160000008</v>
        <stp/>
        <stp>EM_S_FA_NETPROFITMARGIN</stp>
        <stp>3</stp>
        <stp>300413</stp>
        <stp>12/31/2018</stp>
        <stp>1</stp>
        <tr r="J2612" s="1"/>
      </tp>
      <tp>
        <v>13.6584359806</v>
        <stp/>
        <stp>EM_S_FA_NETPROFITMARGIN</stp>
        <stp>3</stp>
        <stp>000723</stp>
        <stp>12/31/2018</stp>
        <stp>1</stp>
        <tr r="J44" s="1"/>
      </tp>
      <tp>
        <v>5.0392858539000001</v>
        <stp/>
        <stp>EM_S_FA_NETPROFITMARGIN</stp>
        <stp>3</stp>
        <stp>300713</stp>
        <stp>12/31/2018</stp>
        <stp>1</stp>
        <tr r="J3292" s="1"/>
      </tp>
      <tp>
        <v>10.758680851399999</v>
        <stp/>
        <stp>EM_S_FA_NETPROFITMARGIN</stp>
        <stp>3</stp>
        <stp>600743</stp>
        <stp>12/31/2018</stp>
        <stp>1</stp>
        <tr r="J2138" s="1"/>
      </tp>
      <tp>
        <v>27.816918297899999</v>
        <stp/>
        <stp>EM_S_FA_NETPROFITMARGIN</stp>
        <stp>3</stp>
        <stp>000623</stp>
        <stp>12/31/2018</stp>
        <stp>1</stp>
        <tr r="J1489" s="1"/>
      </tp>
      <tp>
        <v>11.229111448099999</v>
        <stp/>
        <stp>EM_S_FA_NETPROFITMARGIN</stp>
        <stp>3</stp>
        <stp>300613</stp>
        <stp>12/31/2018</stp>
        <stp>1</stp>
        <tr r="J258" s="1"/>
      </tp>
      <tp>
        <v>122.1212895809</v>
        <stp/>
        <stp>EM_S_FA_NETPROFITMARGIN</stp>
        <stp>3</stp>
        <stp>600643</stp>
        <stp>12/31/2018</stp>
        <stp>1</stp>
        <tr r="J1527" s="1"/>
      </tp>
      <tp>
        <v>-10.3026036702</v>
        <stp/>
        <stp>EM_S_FA_NETPROFITMARGIN</stp>
        <stp>3</stp>
        <stp>603042</stp>
        <stp>12/31/2018</stp>
        <stp>1</stp>
        <tr r="J2387" s="1"/>
      </tp>
      <tp>
        <v>3.6612681907</v>
        <stp/>
        <stp>EM_S_FA_NETPROFITMARGIN</stp>
        <stp>3</stp>
        <stp>002922</stp>
        <stp>12/31/2018</stp>
        <stp>1</stp>
        <tr r="J2884" s="1"/>
      </tp>
      <tp>
        <v>3.9819201182000001</v>
        <stp/>
        <stp>EM_S_FA_NETPROFITMARGIN</stp>
        <stp>3</stp>
        <stp>002822</stp>
        <stp>12/31/2018</stp>
        <stp>1</stp>
        <tr r="J219" s="1"/>
      </tp>
      <tp>
        <v>-33.879052471000001</v>
        <stp/>
        <stp>EM_S_FA_NETPROFITMARGIN</stp>
        <stp>3</stp>
        <stp>002122</stp>
        <stp>12/31/2018</stp>
        <stp>1</stp>
        <tr r="J3640" s="1"/>
      </tp>
      <tp>
        <v>12.401436352299999</v>
        <stp/>
        <stp>EM_S_FA_NETPROFITMARGIN</stp>
        <stp>3</stp>
        <stp>002022</stp>
        <stp>12/31/2018</stp>
        <stp>1</stp>
        <tr r="J1340" s="1"/>
      </tp>
      <tp>
        <v>25.776897036499999</v>
        <stp/>
        <stp>EM_S_FA_NETPROFITMARGIN</stp>
        <stp>3</stp>
        <stp>002322</stp>
        <stp>12/31/2018</stp>
        <stp>1</stp>
        <tr r="J932" s="1"/>
      </tp>
      <tp>
        <v>31.228316749800001</v>
        <stp/>
        <stp>EM_S_FA_NETPROFITMARGIN</stp>
        <stp>3</stp>
        <stp>002222</stp>
        <stp>12/31/2018</stp>
        <stp>1</stp>
        <tr r="J1041" s="1"/>
      </tp>
      <tp>
        <v>-2.0956034257999998</v>
        <stp/>
        <stp>EM_S_FA_NETPROFITMARGIN</stp>
        <stp>3</stp>
        <stp>002522</stp>
        <stp>12/31/2018</stp>
        <stp>1</stp>
        <tr r="J1044" s="1"/>
      </tp>
      <tp>
        <v>7.7513472559999999</v>
        <stp/>
        <stp>EM_S_FA_NETPROFITMARGIN</stp>
        <stp>3</stp>
        <stp>002422</stp>
        <stp>12/31/2018</stp>
        <stp>1</stp>
        <tr r="J1614" s="1"/>
      </tp>
      <tp>
        <v>5.1779652644</v>
        <stp/>
        <stp>EM_S_FA_NETPROFITMARGIN</stp>
        <stp>3</stp>
        <stp>002722</stp>
        <stp>12/31/2018</stp>
        <stp>1</stp>
        <tr r="J1754" s="1"/>
      </tp>
      <tp>
        <v>8.4775893081000007</v>
        <stp/>
        <stp>EM_S_FA_NETPROFITMARGIN</stp>
        <stp>3</stp>
        <stp>002622</stp>
        <stp>12/31/2018</stp>
        <stp>1</stp>
        <tr r="J1510" s="1"/>
      </tp>
      <tp>
        <v>14.306141888399999</v>
        <stp/>
        <stp>EM_S_FA_NETPROFITMARGIN</stp>
        <stp>3</stp>
        <stp>000922</stp>
        <stp>12/31/2018</stp>
        <stp>1</stp>
        <tr r="J1487" s="1"/>
      </tp>
      <tp>
        <v>11.152802256299999</v>
        <stp/>
        <stp>EM_S_FA_NETPROFITMARGIN</stp>
        <stp>3</stp>
        <stp>000822</stp>
        <stp>12/31/2018</stp>
        <stp>1</stp>
        <tr r="J2171" s="1"/>
      </tp>
      <tp>
        <v>0</v>
        <stp/>
        <stp>EM_S_FA_NETPROFITMARGIN</stp>
        <stp>3</stp>
        <stp>600842</stp>
        <stp>12/31/2018</stp>
        <stp>1</stp>
        <tr r="J2330" s="1"/>
      </tp>
      <tp>
        <v>9.6717764143</v>
        <stp/>
        <stp>EM_S_FA_NETPROFITMARGIN</stp>
        <stp>3</stp>
        <stp>300112</stp>
        <stp>12/31/2018</stp>
        <stp>1</stp>
        <tr r="J580" s="1"/>
      </tp>
      <tp>
        <v>29.7412902001</v>
        <stp/>
        <stp>EM_S_FA_NETPROFITMARGIN</stp>
        <stp>3</stp>
        <stp>000022</stp>
        <stp>12/31/2018</stp>
        <stp>1</stp>
        <tr r="J3" s="1"/>
      </tp>
      <tp>
        <v>10.5401358413</v>
        <stp/>
        <stp>EM_S_FA_NETPROFITMARGIN</stp>
        <stp>3</stp>
        <stp>300012</stp>
        <stp>12/31/2018</stp>
        <stp>1</stp>
        <tr r="J112" s="1"/>
      </tp>
      <tp>
        <v>-253.68124915909999</v>
        <stp/>
        <stp>EM_S_FA_NETPROFITMARGIN</stp>
        <stp>3</stp>
        <stp>300312</stp>
        <stp>12/31/2018</stp>
        <stp>1</stp>
        <tr r="J3298" s="1"/>
      </tp>
      <tp>
        <v>12.100958522000001</v>
        <stp/>
        <stp>EM_S_FA_NETPROFITMARGIN</stp>
        <stp>3</stp>
        <stp>300212</stp>
        <stp>12/31/2018</stp>
        <stp>1</stp>
        <tr r="J426" s="1"/>
      </tp>
      <tp>
        <v>4.7086058388999996</v>
        <stp/>
        <stp>EM_S_FA_NETPROFITMARGIN</stp>
        <stp>3</stp>
        <stp>600242</stp>
        <stp>12/31/2018</stp>
        <stp>1</stp>
        <tr r="J3360" s="1"/>
      </tp>
      <tp>
        <v>0</v>
        <stp/>
        <stp>EM_S_FA_NETPROFITMARGIN</stp>
        <stp>3</stp>
        <stp>000522</stp>
        <stp>12/31/2018</stp>
        <stp>1</stp>
        <tr r="J3442" s="1"/>
      </tp>
      <tp>
        <v>25.817270977</v>
        <stp/>
        <stp>EM_S_FA_NETPROFITMARGIN</stp>
        <stp>3</stp>
        <stp>300512</stp>
        <stp>12/31/2018</stp>
        <stp>1</stp>
        <tr r="J2554" s="1"/>
      </tp>
      <tp>
        <v>2.4504355057999998</v>
        <stp/>
        <stp>EM_S_FA_NETPROFITMARGIN</stp>
        <stp>3</stp>
        <stp>000422</stp>
        <stp>12/31/2018</stp>
        <stp>1</stp>
        <tr r="J2350" s="1"/>
      </tp>
      <tp>
        <v>7.9173610817000002</v>
        <stp/>
        <stp>EM_S_FA_NETPROFITMARGIN</stp>
        <stp>3</stp>
        <stp>300412</stp>
        <stp>12/31/2018</stp>
        <stp>1</stp>
        <tr r="J2243" s="1"/>
      </tp>
      <tp>
        <v>27.7705571469</v>
        <stp/>
        <stp>EM_S_FA_NETPROFITMARGIN</stp>
        <stp>3</stp>
        <stp>000722</stp>
        <stp>12/31/2018</stp>
        <stp>1</stp>
        <tr r="J1665" s="1"/>
      </tp>
      <tp>
        <v>10.7197037853</v>
        <stp/>
        <stp>EM_S_FA_NETPROFITMARGIN</stp>
        <stp>3</stp>
        <stp>300712</stp>
        <stp>12/31/2018</stp>
        <stp>1</stp>
        <tr r="J3068" s="1"/>
      </tp>
      <tp>
        <v>4.4721870614999997</v>
        <stp/>
        <stp>EM_S_FA_NETPROFITMARGIN</stp>
        <stp>3</stp>
        <stp>600742</stp>
        <stp>12/31/2018</stp>
        <stp>1</stp>
        <tr r="J1197" s="1"/>
      </tp>
      <tp>
        <v>4.6653063412</v>
        <stp/>
        <stp>EM_S_FA_NETPROFITMARGIN</stp>
        <stp>3</stp>
        <stp>000622</stp>
        <stp>12/31/2018</stp>
        <stp>1</stp>
        <tr r="J3279" s="1"/>
      </tp>
      <tp>
        <v>5.8337379490999997</v>
        <stp/>
        <stp>EM_S_FA_NETPROFITMARGIN</stp>
        <stp>3</stp>
        <stp>300612</stp>
        <stp>12/31/2018</stp>
        <stp>1</stp>
        <tr r="J1593" s="1"/>
      </tp>
      <tp>
        <v>6.5360770993999999</v>
        <stp/>
        <stp>EM_S_FA_NETPROFITMARGIN</stp>
        <stp>3</stp>
        <stp>600642</stp>
        <stp>12/31/2018</stp>
        <stp>1</stp>
        <tr r="J1343" s="1"/>
      </tp>
      <tp>
        <v>4.3630040494999998</v>
        <stp/>
        <stp>EM_S_FA_NETPROFITMARGIN</stp>
        <stp>3</stp>
        <stp>603045</stp>
        <stp>12/31/2018</stp>
        <stp>1</stp>
        <tr r="J3358" s="1"/>
      </tp>
      <tp>
        <v>6.3453991715000004</v>
        <stp/>
        <stp>EM_S_FA_NETPROFITMARGIN</stp>
        <stp>3</stp>
        <stp>603345</stp>
        <stp>12/31/2018</stp>
        <stp>1</stp>
        <tr r="J351" s="1"/>
      </tp>
      <tp>
        <v>29.220266895799998</v>
        <stp/>
        <stp>EM_S_FA_NETPROFITMARGIN</stp>
        <stp>3</stp>
        <stp>002925</stp>
        <stp>12/31/2018</stp>
        <stp>1</stp>
        <tr r="J2367" s="1"/>
      </tp>
      <tp>
        <v>7.8611592813</v>
        <stp/>
        <stp>EM_S_FA_NETPROFITMARGIN</stp>
        <stp>3</stp>
        <stp>002825</stp>
        <stp>12/31/2018</stp>
        <stp>1</stp>
        <tr r="J2522" s="1"/>
      </tp>
      <tp>
        <v>6.9478030595</v>
        <stp/>
        <stp>EM_S_FA_NETPROFITMARGIN</stp>
        <stp>3</stp>
        <stp>002125</stp>
        <stp>12/31/2018</stp>
        <stp>1</stp>
        <tr r="J3120" s="1"/>
      </tp>
      <tp>
        <v>14.2516811552</v>
        <stp/>
        <stp>EM_S_FA_NETPROFITMARGIN</stp>
        <stp>3</stp>
        <stp>002025</stp>
        <stp>12/31/2018</stp>
        <stp>1</stp>
        <tr r="J1156" s="1"/>
      </tp>
      <tp>
        <v>-10.668334656300001</v>
        <stp/>
        <stp>EM_S_FA_NETPROFITMARGIN</stp>
        <stp>3</stp>
        <stp>002325</stp>
        <stp>12/31/2018</stp>
        <stp>1</stp>
        <tr r="J1760" s="1"/>
      </tp>
      <tp>
        <v>6.1137319689999998</v>
        <stp/>
        <stp>EM_S_FA_NETPROFITMARGIN</stp>
        <stp>3</stp>
        <stp>002225</stp>
        <stp>12/31/2018</stp>
        <stp>1</stp>
        <tr r="J2508" s="1"/>
      </tp>
      <tp>
        <v>0</v>
        <stp/>
        <stp>EM_S_FA_NETPROFITMARGIN</stp>
        <stp>3</stp>
        <stp>002525</stp>
        <stp>12/31/2018</stp>
        <stp>1</stp>
        <tr r="J6" s="1"/>
      </tp>
      <tp>
        <v>37.338826732599998</v>
        <stp/>
        <stp>EM_S_FA_NETPROFITMARGIN</stp>
        <stp>3</stp>
        <stp>002425</stp>
        <stp>12/31/2018</stp>
        <stp>1</stp>
        <tr r="J2629" s="1"/>
      </tp>
      <tp>
        <v>4.8272810216000002</v>
        <stp/>
        <stp>EM_S_FA_NETPROFITMARGIN</stp>
        <stp>3</stp>
        <stp>002725</stp>
        <stp>12/31/2018</stp>
        <stp>1</stp>
        <tr r="J1230" s="1"/>
      </tp>
      <tp>
        <v>15.2196020252</v>
        <stp/>
        <stp>EM_S_FA_NETPROFITMARGIN</stp>
        <stp>3</stp>
        <stp>002625</stp>
        <stp>12/31/2018</stp>
        <stp>1</stp>
        <tr r="J2630" s="1"/>
      </tp>
      <tp>
        <v>1.2649647572</v>
        <stp/>
        <stp>EM_S_FA_NETPROFITMARGIN</stp>
        <stp>3</stp>
        <stp>000925</stp>
        <stp>12/31/2018</stp>
        <stp>1</stp>
        <tr r="J1523" s="1"/>
      </tp>
      <tp>
        <v>6.7306143162999996</v>
        <stp/>
        <stp>EM_S_FA_NETPROFITMARGIN</stp>
        <stp>3</stp>
        <stp>000825</stp>
        <stp>12/31/2018</stp>
        <stp>1</stp>
        <tr r="J2407" s="1"/>
      </tp>
      <tp>
        <v>13.031274398000001</v>
        <stp/>
        <stp>EM_S_FA_NETPROFITMARGIN</stp>
        <stp>3</stp>
        <stp>600845</stp>
        <stp>12/31/2018</stp>
        <stp>1</stp>
        <tr r="J442" s="1"/>
      </tp>
      <tp>
        <v>0.1025050433</v>
        <stp/>
        <stp>EM_S_FA_NETPROFITMARGIN</stp>
        <stp>3</stp>
        <stp>300115</stp>
        <stp>12/31/2018</stp>
        <stp>1</stp>
        <tr r="J125" s="1"/>
      </tp>
      <tp>
        <v>73.635256559699997</v>
        <stp/>
        <stp>EM_S_FA_NETPROFITMARGIN</stp>
        <stp>3</stp>
        <stp>600145</stp>
        <stp>12/31/2018</stp>
        <stp>1</stp>
        <tr r="J2293" s="1"/>
      </tp>
      <tp>
        <v>20.794764695000001</v>
        <stp/>
        <stp>EM_S_FA_NETPROFITMARGIN</stp>
        <stp>3</stp>
        <stp>000025</stp>
        <stp>12/31/2018</stp>
        <stp>1</stp>
        <tr r="J1436" s="1"/>
      </tp>
      <tp>
        <v>13.308850488799999</v>
        <stp/>
        <stp>EM_S_FA_NETPROFITMARGIN</stp>
        <stp>3</stp>
        <stp>300015</stp>
        <stp>12/31/2018</stp>
        <stp>1</stp>
        <tr r="J607" s="1"/>
      </tp>
      <tp>
        <v>-157.103550219</v>
        <stp/>
        <stp>EM_S_FA_NETPROFITMARGIN</stp>
        <stp>3</stp>
        <stp>300315</stp>
        <stp>12/31/2018</stp>
        <stp>1</stp>
        <tr r="J254" s="1"/>
      </tp>
      <tp>
        <v>156.34898204340001</v>
        <stp/>
        <stp>EM_S_FA_NETPROFITMARGIN</stp>
        <stp>3</stp>
        <stp>600345</stp>
        <stp>12/31/2018</stp>
        <stp>1</stp>
        <tr r="J2249" s="1"/>
      </tp>
      <tp>
        <v>18.126555132099998</v>
        <stp/>
        <stp>EM_S_FA_NETPROFITMARGIN</stp>
        <stp>3</stp>
        <stp>300215</stp>
        <stp>12/31/2018</stp>
        <stp>1</stp>
        <tr r="J1169" s="1"/>
      </tp>
      <tp>
        <v>10.7847186631</v>
        <stp/>
        <stp>EM_S_FA_NETPROFITMARGIN</stp>
        <stp>3</stp>
        <stp>000525</stp>
        <stp>12/31/2018</stp>
        <stp>1</stp>
        <tr r="J3231" s="1"/>
      </tp>
      <tp>
        <v>13.6922078444</v>
        <stp/>
        <stp>EM_S_FA_NETPROFITMARGIN</stp>
        <stp>3</stp>
        <stp>300515</stp>
        <stp>12/31/2018</stp>
        <stp>1</stp>
        <tr r="J1615" s="1"/>
      </tp>
      <tp>
        <v>9.2947879886999996</v>
        <stp/>
        <stp>EM_S_FA_NETPROFITMARGIN</stp>
        <stp>3</stp>
        <stp>600545</stp>
        <stp>12/31/2018</stp>
        <stp>1</stp>
        <tr r="J3035" s="1"/>
      </tp>
      <tp>
        <v>4.6288020269999999</v>
        <stp/>
        <stp>EM_S_FA_NETPROFITMARGIN</stp>
        <stp>3</stp>
        <stp>000425</stp>
        <stp>12/31/2018</stp>
        <stp>1</stp>
        <tr r="J319" s="1"/>
      </tp>
      <tp>
        <v>8.9354150298999997</v>
        <stp/>
        <stp>EM_S_FA_NETPROFITMARGIN</stp>
        <stp>3</stp>
        <stp>300415</stp>
        <stp>12/31/2018</stp>
        <stp>1</stp>
        <tr r="J374" s="1"/>
      </tp>
      <tp>
        <v>2.9656139786</v>
        <stp/>
        <stp>EM_S_FA_NETPROFITMARGIN</stp>
        <stp>3</stp>
        <stp>000725</stp>
        <stp>12/31/2018</stp>
        <stp>1</stp>
        <tr r="J291" s="1"/>
      </tp>
      <tp>
        <v>10.512194175299999</v>
        <stp/>
        <stp>EM_S_FA_NETPROFITMARGIN</stp>
        <stp>3</stp>
        <stp>300715</stp>
        <stp>12/31/2018</stp>
        <stp>1</stp>
        <tr r="J1509" s="1"/>
      </tp>
      <tp>
        <v>0.41614815129999999</v>
        <stp/>
        <stp>EM_S_FA_NETPROFITMARGIN</stp>
        <stp>3</stp>
        <stp>600745</stp>
        <stp>12/31/2018</stp>
        <stp>1</stp>
        <tr r="J24" s="1"/>
      </tp>
      <tp>
        <v>1.0910682550999999</v>
        <stp/>
        <stp>EM_S_FA_NETPROFITMARGIN</stp>
        <stp>3</stp>
        <stp>000625</stp>
        <stp>12/31/2018</stp>
        <stp>1</stp>
        <tr r="J3487" s="1"/>
      </tp>
      <tp>
        <v>6.5729311389999996</v>
        <stp/>
        <stp>EM_S_FA_NETPROFITMARGIN</stp>
        <stp>3</stp>
        <stp>300615</stp>
        <stp>12/31/2018</stp>
        <stp>1</stp>
        <tr r="J1398" s="1"/>
      </tp>
      <tp>
        <v>4.9869125932999996</v>
        <stp/>
        <stp>EM_S_FA_NETPROFITMARGIN</stp>
        <stp>3</stp>
        <stp>600645</stp>
        <stp>12/31/2018</stp>
        <stp>1</stp>
        <tr r="J2094" s="1"/>
      </tp>
      <tp>
        <v>55.500228496399998</v>
        <stp/>
        <stp>EM_S_FA_NETPROFITMARGIN</stp>
        <stp>3</stp>
        <stp>603444</stp>
        <stp>12/31/2018</stp>
        <stp>1</stp>
        <tr r="J141" s="1"/>
      </tp>
      <tp>
        <v>1.7925482732</v>
        <stp/>
        <stp>EM_S_FA_NETPROFITMARGIN</stp>
        <stp>3</stp>
        <stp>002824</stp>
        <stp>12/31/2018</stp>
        <stp>1</stp>
        <tr r="J1249" s="1"/>
      </tp>
      <tp>
        <v>-12.727818258699999</v>
        <stp/>
        <stp>EM_S_FA_NETPROFITMARGIN</stp>
        <stp>3</stp>
        <stp>002124</stp>
        <stp>12/31/2018</stp>
        <stp>1</stp>
        <tr r="J3641" s="1"/>
      </tp>
      <tp>
        <v>5.1611385010999999</v>
        <stp/>
        <stp>EM_S_FA_NETPROFITMARGIN</stp>
        <stp>3</stp>
        <stp>002024</stp>
        <stp>12/31/2018</stp>
        <stp>1</stp>
        <tr r="J2136" s="1"/>
      </tp>
      <tp>
        <v>1.9324527462000001</v>
        <stp/>
        <stp>EM_S_FA_NETPROFITMARGIN</stp>
        <stp>3</stp>
        <stp>002324</stp>
        <stp>12/31/2018</stp>
        <stp>1</stp>
        <tr r="J820" s="1"/>
      </tp>
      <tp>
        <v>8.5979692672999999</v>
        <stp/>
        <stp>EM_S_FA_NETPROFITMARGIN</stp>
        <stp>3</stp>
        <stp>002224</stp>
        <stp>12/31/2018</stp>
        <stp>1</stp>
        <tr r="J1500" s="1"/>
      </tp>
      <tp>
        <v>-4.2823886479000004</v>
        <stp/>
        <stp>EM_S_FA_NETPROFITMARGIN</stp>
        <stp>3</stp>
        <stp>002524</stp>
        <stp>12/31/2018</stp>
        <stp>1</stp>
        <tr r="J120" s="1"/>
      </tp>
      <tp>
        <v>18.227475513400002</v>
        <stp/>
        <stp>EM_S_FA_NETPROFITMARGIN</stp>
        <stp>3</stp>
        <stp>002424</stp>
        <stp>12/31/2018</stp>
        <stp>1</stp>
        <tr r="J2474" s="1"/>
      </tp>
      <tp>
        <v>15.1572876635</v>
        <stp/>
        <stp>EM_S_FA_NETPROFITMARGIN</stp>
        <stp>3</stp>
        <stp>002724</stp>
        <stp>12/31/2018</stp>
        <stp>1</stp>
        <tr r="J757" s="1"/>
      </tp>
      <tp>
        <v>21.8998834452</v>
        <stp/>
        <stp>EM_S_FA_NETPROFITMARGIN</stp>
        <stp>3</stp>
        <stp>002624</stp>
        <stp>12/31/2018</stp>
        <stp>1</stp>
        <tr r="J449" s="1"/>
      </tp>
      <tp>
        <v>0.60507219960000003</v>
        <stp/>
        <stp>EM_S_FA_NETPROFITMARGIN</stp>
        <stp>3</stp>
        <stp>600844</stp>
        <stp>12/31/2018</stp>
        <stp>1</stp>
        <tr r="J467" s="1"/>
      </tp>
      <tp>
        <v>12.7683040099</v>
        <stp/>
        <stp>EM_S_FA_NETPROFITMARGIN</stp>
        <stp>3</stp>
        <stp>300114</stp>
        <stp>12/31/2018</stp>
        <stp>1</stp>
        <tr r="J433" s="1"/>
      </tp>
      <tp>
        <v>0</v>
        <stp/>
        <stp>EM_S_FA_NETPROFITMARGIN</stp>
        <stp>3</stp>
        <stp>000024</stp>
        <stp>12/31/2018</stp>
        <stp>1</stp>
        <tr r="J2274" s="1"/>
      </tp>
      <tp>
        <v>13.397214913099999</v>
        <stp/>
        <stp>EM_S_FA_NETPROFITMARGIN</stp>
        <stp>3</stp>
        <stp>300014</stp>
        <stp>12/31/2018</stp>
        <stp>1</stp>
        <tr r="J40" s="1"/>
      </tp>
      <tp>
        <v>9.5946766366999992</v>
        <stp/>
        <stp>EM_S_FA_NETPROFITMARGIN</stp>
        <stp>3</stp>
        <stp>300314</stp>
        <stp>12/31/2018</stp>
        <stp>1</stp>
        <tr r="J1678" s="1"/>
      </tp>
      <tp>
        <v>6.5508448945</v>
        <stp/>
        <stp>EM_S_FA_NETPROFITMARGIN</stp>
        <stp>3</stp>
        <stp>300214</stp>
        <stp>12/31/2018</stp>
        <stp>1</stp>
        <tr r="J590" s="1"/>
      </tp>
      <tp>
        <v>3.0796999623999999</v>
        <stp/>
        <stp>EM_S_FA_NETPROFITMARGIN</stp>
        <stp>3</stp>
        <stp>000524</stp>
        <stp>12/31/2018</stp>
        <stp>1</stp>
        <tr r="J1832" s="1"/>
      </tp>
      <tp>
        <v>7.5254375028</v>
        <stp/>
        <stp>EM_S_FA_NETPROFITMARGIN</stp>
        <stp>3</stp>
        <stp>300514</stp>
        <stp>12/31/2018</stp>
        <stp>1</stp>
        <tr r="J2250" s="1"/>
      </tp>
      <tp>
        <v>13.823547849300001</v>
        <stp/>
        <stp>EM_S_FA_NETPROFITMARGIN</stp>
        <stp>3</stp>
        <stp>300414</stp>
        <stp>12/31/2018</stp>
        <stp>1</stp>
        <tr r="J3089" s="1"/>
      </tp>
      <tp>
        <v>7.9213060720000001</v>
        <stp/>
        <stp>EM_S_FA_NETPROFITMARGIN</stp>
        <stp>3</stp>
        <stp>600444</stp>
        <stp>12/31/2018</stp>
        <stp>1</stp>
        <tr r="J1702" s="1"/>
      </tp>
      <tp>
        <v>0.59392599089999998</v>
        <stp/>
        <stp>EM_S_FA_NETPROFITMARGIN</stp>
        <stp>3</stp>
        <stp>600744</stp>
        <stp>12/31/2018</stp>
        <stp>1</stp>
        <tr r="J2416" s="1"/>
      </tp>
      <tp>
        <v>3.9057898584999999</v>
        <stp/>
        <stp>EM_S_FA_NETPROFITMARGIN</stp>
        <stp>3</stp>
        <stp>600644</stp>
        <stp>12/31/2018</stp>
        <stp>1</stp>
        <tr r="J1143" s="1"/>
      </tp>
      <tp>
        <v>21.056907414499999</v>
        <stp/>
        <stp>EM_S_FA_NETPROFITMARGIN</stp>
        <stp>3</stp>
        <stp>002927</stp>
        <stp>12/31/2018</stp>
        <stp>1</stp>
        <tr r="J3378" s="1"/>
      </tp>
      <tp>
        <v>17.3187710417</v>
        <stp/>
        <stp>EM_S_FA_NETPROFITMARGIN</stp>
        <stp>3</stp>
        <stp>002827</stp>
        <stp>12/31/2018</stp>
        <stp>1</stp>
        <tr r="J3229" s="1"/>
      </tp>
      <tp>
        <v>26.4633684376</v>
        <stp/>
        <stp>EM_S_FA_NETPROFITMARGIN</stp>
        <stp>3</stp>
        <stp>002127</stp>
        <stp>12/31/2018</stp>
        <stp>1</stp>
        <tr r="J645" s="1"/>
      </tp>
      <tp>
        <v>39.805605633299997</v>
        <stp/>
        <stp>EM_S_FA_NETPROFITMARGIN</stp>
        <stp>3</stp>
        <stp>002027</stp>
        <stp>12/31/2018</stp>
        <stp>1</stp>
        <tr r="J1266" s="1"/>
      </tp>
      <tp>
        <v>18.618294855999999</v>
        <stp/>
        <stp>EM_S_FA_NETPROFITMARGIN</stp>
        <stp>3</stp>
        <stp>002327</stp>
        <stp>12/31/2018</stp>
        <stp>1</stp>
        <tr r="J2672" s="1"/>
      </tp>
      <tp>
        <v>2.9442455242999999</v>
        <stp/>
        <stp>EM_S_FA_NETPROFITMARGIN</stp>
        <stp>3</stp>
        <stp>002227</stp>
        <stp>12/31/2018</stp>
        <stp>1</stp>
        <tr r="J1779" s="1"/>
      </tp>
      <tp>
        <v>-8.4127419429000003</v>
        <stp/>
        <stp>EM_S_FA_NETPROFITMARGIN</stp>
        <stp>3</stp>
        <stp>002527</stp>
        <stp>12/31/2018</stp>
        <stp>1</stp>
        <tr r="J2484" s="1"/>
      </tp>
      <tp>
        <v>-27.047091605199999</v>
        <stp/>
        <stp>EM_S_FA_NETPROFITMARGIN</stp>
        <stp>3</stp>
        <stp>002427</stp>
        <stp>12/31/2018</stp>
        <stp>1</stp>
        <tr r="J3260" s="1"/>
      </tp>
      <tp>
        <v>5.6643346716999998</v>
        <stp/>
        <stp>EM_S_FA_NETPROFITMARGIN</stp>
        <stp>3</stp>
        <stp>002727</stp>
        <stp>12/31/2018</stp>
        <stp>1</stp>
        <tr r="J946" s="1"/>
      </tp>
      <tp>
        <v>4.9834700855999996</v>
        <stp/>
        <stp>EM_S_FA_NETPROFITMARGIN</stp>
        <stp>3</stp>
        <stp>002627</stp>
        <stp>12/31/2018</stp>
        <stp>1</stp>
        <tr r="J389" s="1"/>
      </tp>
      <tp>
        <v>3.2536382696000001</v>
        <stp/>
        <stp>EM_S_FA_NETPROFITMARGIN</stp>
        <stp>3</stp>
        <stp>000927</stp>
        <stp>12/31/2018</stp>
        <stp>1</stp>
        <tr r="J3579" s="1"/>
      </tp>
      <tp>
        <v>0</v>
        <stp/>
        <stp>EM_S_FA_NETPROFITMARGIN</stp>
        <stp>3</stp>
        <stp>000827</stp>
        <stp>12/31/2018</stp>
        <stp>1</stp>
        <tr r="J3550" s="1"/>
      </tp>
      <tp>
        <v>-26.923305341300001</v>
        <stp/>
        <stp>EM_S_FA_NETPROFITMARGIN</stp>
        <stp>3</stp>
        <stp>600847</stp>
        <stp>12/31/2018</stp>
        <stp>1</stp>
        <tr r="J2395" s="1"/>
      </tp>
      <tp>
        <v>1.4319495727</v>
        <stp/>
        <stp>EM_S_FA_NETPROFITMARGIN</stp>
        <stp>3</stp>
        <stp>300117</stp>
        <stp>12/31/2018</stp>
        <stp>1</stp>
        <tr r="J2769" s="1"/>
      </tp>
      <tp>
        <v>3.8666339905</v>
        <stp/>
        <stp>EM_S_FA_NETPROFITMARGIN</stp>
        <stp>3</stp>
        <stp>000027</stp>
        <stp>12/31/2018</stp>
        <stp>1</stp>
        <tr r="J1310" s="1"/>
      </tp>
      <tp>
        <v>12.5834761002</v>
        <stp/>
        <stp>EM_S_FA_NETPROFITMARGIN</stp>
        <stp>3</stp>
        <stp>300017</stp>
        <stp>12/31/2018</stp>
        <stp>1</stp>
        <tr r="J1215" s="1"/>
      </tp>
      <tp>
        <v>-118.060956514</v>
        <stp/>
        <stp>EM_S_FA_NETPROFITMARGIN</stp>
        <stp>3</stp>
        <stp>300317</stp>
        <stp>12/31/2018</stp>
        <stp>1</stp>
        <tr r="J1978" s="1"/>
      </tp>
      <tp>
        <v>7.1884279724000004</v>
        <stp/>
        <stp>EM_S_FA_NETPROFITMARGIN</stp>
        <stp>3</stp>
        <stp>300217</stp>
        <stp>12/31/2018</stp>
        <stp>1</stp>
        <tr r="J2065" s="1"/>
      </tp>
      <tp>
        <v>27.338785745300001</v>
        <stp/>
        <stp>EM_S_FA_NETPROFITMARGIN</stp>
        <stp>3</stp>
        <stp>600247</stp>
        <stp>12/31/2018</stp>
        <stp>1</stp>
        <tr r="J3103" s="1"/>
      </tp>
      <tp>
        <v>0</v>
        <stp/>
        <stp>EM_S_FA_NETPROFITMARGIN</stp>
        <stp>3</stp>
        <stp>000527</stp>
        <stp>12/31/2018</stp>
        <stp>1</stp>
        <tr r="J3443" s="1"/>
      </tp>
      <tp>
        <v>4.8056936964999997</v>
        <stp/>
        <stp>EM_S_FA_NETPROFITMARGIN</stp>
        <stp>3</stp>
        <stp>300517</stp>
        <stp>12/31/2018</stp>
        <stp>1</stp>
        <tr r="J1512" s="1"/>
      </tp>
      <tp>
        <v>1.7103704120000001</v>
        <stp/>
        <stp>EM_S_FA_NETPROFITMARGIN</stp>
        <stp>3</stp>
        <stp>600547</stp>
        <stp>12/31/2018</stp>
        <stp>1</stp>
        <tr r="J1942" s="1"/>
      </tp>
      <tp>
        <v>18.271539518099999</v>
        <stp/>
        <stp>EM_S_FA_NETPROFITMARGIN</stp>
        <stp>3</stp>
        <stp>300417</stp>
        <stp>12/31/2018</stp>
        <stp>1</stp>
        <tr r="J56" s="1"/>
      </tp>
      <tp>
        <v>-28.579560467899999</v>
        <stp/>
        <stp>EM_S_FA_NETPROFITMARGIN</stp>
        <stp>3</stp>
        <stp>000727</stp>
        <stp>12/31/2018</stp>
        <stp>1</stp>
        <tr r="J3520" s="1"/>
      </tp>
      <tp>
        <v>15.226391101999999</v>
        <stp/>
        <stp>EM_S_FA_NETPROFITMARGIN</stp>
        <stp>3</stp>
        <stp>300717</stp>
        <stp>12/31/2018</stp>
        <stp>1</stp>
        <tr r="J1526" s="1"/>
      </tp>
      <tp>
        <v>-1421.2084869574001</v>
        <stp/>
        <stp>EM_S_FA_NETPROFITMARGIN</stp>
        <stp>3</stp>
        <stp>600747</stp>
        <stp>12/31/2018</stp>
        <stp>1</stp>
        <tr r="J3404" s="1"/>
      </tp>
      <tp>
        <v>7.6807609475999996</v>
        <stp/>
        <stp>EM_S_FA_NETPROFITMARGIN</stp>
        <stp>3</stp>
        <stp>000627</stp>
        <stp>12/31/2018</stp>
        <stp>1</stp>
        <tr r="J3489" s="1"/>
      </tp>
      <tp>
        <v>23.691458091699999</v>
        <stp/>
        <stp>EM_S_FA_NETPROFITMARGIN</stp>
        <stp>3</stp>
        <stp>300617</stp>
        <stp>12/31/2018</stp>
        <stp>1</stp>
        <tr r="J1581" s="1"/>
      </tp>
      <tp>
        <v>-293.55257290319997</v>
        <stp/>
        <stp>EM_S_FA_NETPROFITMARGIN</stp>
        <stp>3</stp>
        <stp>600647</stp>
        <stp>12/31/2018</stp>
        <stp>1</stp>
        <tr r="J1435" s="1"/>
      </tp>
      <tp>
        <v>33.203486574899998</v>
        <stp/>
        <stp>EM_S_FA_NETPROFITMARGIN</stp>
        <stp>3</stp>
        <stp>002926</stp>
        <stp>12/31/2018</stp>
        <stp>1</stp>
        <tr r="J890" s="1"/>
      </tp>
      <tp>
        <v>5.1670159373000004</v>
        <stp/>
        <stp>EM_S_FA_NETPROFITMARGIN</stp>
        <stp>3</stp>
        <stp>002826</stp>
        <stp>12/31/2018</stp>
        <stp>1</stp>
        <tr r="J2473" s="1"/>
      </tp>
      <tp>
        <v>7.9361634618999997</v>
        <stp/>
        <stp>EM_S_FA_NETPROFITMARGIN</stp>
        <stp>3</stp>
        <stp>002126</stp>
        <stp>12/31/2018</stp>
        <stp>1</stp>
        <tr r="J1836" s="1"/>
      </tp>
      <tp>
        <v>9.2872682655999999</v>
        <stp/>
        <stp>EM_S_FA_NETPROFITMARGIN</stp>
        <stp>3</stp>
        <stp>002026</stp>
        <stp>12/31/2018</stp>
        <stp>1</stp>
        <tr r="J2623" s="1"/>
      </tp>
      <tp>
        <v>13.078485128700001</v>
        <stp/>
        <stp>EM_S_FA_NETPROFITMARGIN</stp>
        <stp>3</stp>
        <stp>002326</stp>
        <stp>12/31/2018</stp>
        <stp>1</stp>
        <tr r="J623" s="1"/>
      </tp>
      <tp>
        <v>9.5027230695</v>
        <stp/>
        <stp>EM_S_FA_NETPROFITMARGIN</stp>
        <stp>3</stp>
        <stp>002226</stp>
        <stp>12/31/2018</stp>
        <stp>1</stp>
        <tr r="J1997" s="1"/>
      </tp>
      <tp>
        <v>9.2021964037000004</v>
        <stp/>
        <stp>EM_S_FA_NETPROFITMARGIN</stp>
        <stp>3</stp>
        <stp>002526</stp>
        <stp>12/31/2018</stp>
        <stp>1</stp>
        <tr r="J1267" s="1"/>
      </tp>
      <tp>
        <v>-4.2260120360000002</v>
        <stp/>
        <stp>EM_S_FA_NETPROFITMARGIN</stp>
        <stp>3</stp>
        <stp>002426</stp>
        <stp>12/31/2018</stp>
        <stp>1</stp>
        <tr r="J2106" s="1"/>
      </tp>
      <tp>
        <v>2.3430954194</v>
        <stp/>
        <stp>EM_S_FA_NETPROFITMARGIN</stp>
        <stp>3</stp>
        <stp>002726</stp>
        <stp>12/31/2018</stp>
        <stp>1</stp>
        <tr r="J2844" s="1"/>
      </tp>
      <tp>
        <v>23.886350826299999</v>
        <stp/>
        <stp>EM_S_FA_NETPROFITMARGIN</stp>
        <stp>3</stp>
        <stp>002626</stp>
        <stp>12/31/2018</stp>
        <stp>1</stp>
        <tr r="J414" s="1"/>
      </tp>
      <tp>
        <v>11.0452483571</v>
        <stp/>
        <stp>EM_S_FA_NETPROFITMARGIN</stp>
        <stp>3</stp>
        <stp>000926</stp>
        <stp>12/31/2018</stp>
        <stp>1</stp>
        <tr r="J3578" s="1"/>
      </tp>
      <tp>
        <v>6.2705702947999997</v>
        <stp/>
        <stp>EM_S_FA_NETPROFITMARGIN</stp>
        <stp>3</stp>
        <stp>000826</stp>
        <stp>12/31/2018</stp>
        <stp>1</stp>
        <tr r="J2803" s="1"/>
      </tp>
      <tp>
        <v>11.5027349449</v>
        <stp/>
        <stp>EM_S_FA_NETPROFITMARGIN</stp>
        <stp>3</stp>
        <stp>600846</stp>
        <stp>12/31/2018</stp>
        <stp>1</stp>
        <tr r="J959" s="1"/>
      </tp>
      <tp>
        <v>-98.694136515699995</v>
        <stp/>
        <stp>EM_S_FA_NETPROFITMARGIN</stp>
        <stp>3</stp>
        <stp>300116</stp>
        <stp>12/31/2018</stp>
        <stp>1</stp>
        <tr r="J911" s="1"/>
      </tp>
      <tp>
        <v>-84.650295833499996</v>
        <stp/>
        <stp>EM_S_FA_NETPROFITMARGIN</stp>
        <stp>3</stp>
        <stp>600146</stp>
        <stp>12/31/2018</stp>
        <stp>1</stp>
        <tr r="J192" s="1"/>
      </tp>
      <tp>
        <v>5.4061980873</v>
        <stp/>
        <stp>EM_S_FA_NETPROFITMARGIN</stp>
        <stp>3</stp>
        <stp>000026</stp>
        <stp>12/31/2018</stp>
        <stp>1</stp>
        <tr r="J462" s="1"/>
      </tp>
      <tp>
        <v>24.300800120600002</v>
        <stp/>
        <stp>EM_S_FA_NETPROFITMARGIN</stp>
        <stp>3</stp>
        <stp>300016</stp>
        <stp>12/31/2018</stp>
        <stp>1</stp>
        <tr r="J993" s="1"/>
      </tp>
      <tp>
        <v>22.415618408</v>
        <stp/>
        <stp>EM_S_FA_NETPROFITMARGIN</stp>
        <stp>3</stp>
        <stp>300316</stp>
        <stp>12/31/2018</stp>
        <stp>1</stp>
        <tr r="J480" s="1"/>
      </tp>
      <tp>
        <v>5.6644282617000004</v>
        <stp/>
        <stp>EM_S_FA_NETPROFITMARGIN</stp>
        <stp>3</stp>
        <stp>600346</stp>
        <stp>12/31/2018</stp>
        <stp>1</stp>
        <tr r="J1252" s="1"/>
      </tp>
      <tp>
        <v>-1242.6804718471999</v>
        <stp/>
        <stp>EM_S_FA_NETPROFITMARGIN</stp>
        <stp>3</stp>
        <stp>300216</stp>
        <stp>12/31/2018</stp>
        <stp>1</stp>
        <tr r="J2361" s="1"/>
      </tp>
      <tp>
        <v>11.821771032999999</v>
        <stp/>
        <stp>EM_S_FA_NETPROFITMARGIN</stp>
        <stp>3</stp>
        <stp>600246</stp>
        <stp>12/31/2018</stp>
        <stp>1</stp>
        <tr r="J495" s="1"/>
      </tp>
      <tp>
        <v>0.35479467869999998</v>
        <stp/>
        <stp>EM_S_FA_NETPROFITMARGIN</stp>
        <stp>3</stp>
        <stp>000526</stp>
        <stp>12/31/2018</stp>
        <stp>1</stp>
        <tr r="J325" s="1"/>
      </tp>
      <tp>
        <v>9.8014658109999999</v>
        <stp/>
        <stp>EM_S_FA_NETPROFITMARGIN</stp>
        <stp>3</stp>
        <stp>300516</stp>
        <stp>12/31/2018</stp>
        <stp>1</stp>
        <tr r="J1820" s="1"/>
      </tp>
      <tp>
        <v>3.7020481452</v>
        <stp/>
        <stp>EM_S_FA_NETPROFITMARGIN</stp>
        <stp>3</stp>
        <stp>600546</stp>
        <stp>12/31/2018</stp>
        <stp>1</stp>
        <tr r="J191" s="1"/>
      </tp>
      <tp>
        <v>-6.9963296443000003</v>
        <stp/>
        <stp>EM_S_FA_NETPROFITMARGIN</stp>
        <stp>3</stp>
        <stp>000426</stp>
        <stp>12/31/2018</stp>
        <stp>1</stp>
        <tr r="J2266" s="1"/>
      </tp>
      <tp>
        <v>13.6673489356</v>
        <stp/>
        <stp>EM_S_FA_NETPROFITMARGIN</stp>
        <stp>3</stp>
        <stp>300416</stp>
        <stp>12/31/2018</stp>
        <stp>1</stp>
        <tr r="J301" s="1"/>
      </tp>
      <tp>
        <v>-2.5983769124</v>
        <stp/>
        <stp>EM_S_FA_NETPROFITMARGIN</stp>
        <stp>3</stp>
        <stp>600446</stp>
        <stp>12/31/2018</stp>
        <stp>1</stp>
        <tr r="J127" s="1"/>
      </tp>
      <tp>
        <v>12.4754504259</v>
        <stp/>
        <stp>EM_S_FA_NETPROFITMARGIN</stp>
        <stp>3</stp>
        <stp>000726</stp>
        <stp>12/31/2018</stp>
        <stp>1</stp>
        <tr r="J2606" s="1"/>
      </tp>
      <tp>
        <v>4.7221065619000004</v>
        <stp/>
        <stp>EM_S_FA_NETPROFITMARGIN</stp>
        <stp>3</stp>
        <stp>300716</stp>
        <stp>12/31/2018</stp>
        <stp>1</stp>
        <tr r="J2689" s="1"/>
      </tp>
      <tp>
        <v>0.75542394800000001</v>
        <stp/>
        <stp>EM_S_FA_NETPROFITMARGIN</stp>
        <stp>3</stp>
        <stp>600746</stp>
        <stp>12/31/2018</stp>
        <stp>1</stp>
        <tr r="J1254" s="1"/>
      </tp>
      <tp>
        <v>0.1412067078</v>
        <stp/>
        <stp>EM_S_FA_NETPROFITMARGIN</stp>
        <stp>3</stp>
        <stp>000626</stp>
        <stp>12/31/2018</stp>
        <stp>1</stp>
        <tr r="J3488" s="1"/>
      </tp>
      <tp>
        <v>7.1791863031999998</v>
        <stp/>
        <stp>EM_S_FA_NETPROFITMARGIN</stp>
        <stp>3</stp>
        <stp>300616</stp>
        <stp>12/31/2018</stp>
        <stp>1</stp>
        <tr r="J1091" s="1"/>
      </tp>
      <tp>
        <v>0</v>
        <stp/>
        <stp>EM_S_FA_NETPROFITMARGIN</stp>
        <stp>3</stp>
        <stp>600646</stp>
        <stp>12/31/2018</stp>
        <stp>1</stp>
        <tr r="J2311" s="1"/>
      </tp>
      <tp>
        <v>2.4905730722516899</v>
        <stp/>
        <stp>EM_S_VAL_PS_TTM</stp>
        <stp>2</stp>
        <stp>300387</stp>
        <stp>12/31/2018</stp>
        <tr r="O304" s="1"/>
      </tp>
      <tp>
        <v>3.8243555028592202</v>
        <stp/>
        <stp>EM_S_VAL_PS_TTM</stp>
        <stp>2</stp>
        <stp>300386</stp>
        <stp>12/31/2018</stp>
        <tr r="O696" s="1"/>
      </tp>
      <tp>
        <v>2.0616223435888101</v>
        <stp/>
        <stp>EM_S_VAL_PS_TTM</stp>
        <stp>2</stp>
        <stp>300385</stp>
        <stp>12/31/2018</stp>
        <tr r="O2956" s="1"/>
      </tp>
      <tp>
        <v>7.0389995316827001</v>
        <stp/>
        <stp>EM_S_VAL_PS_TTM</stp>
        <stp>2</stp>
        <stp>300384</stp>
        <stp>12/31/2018</stp>
        <tr r="O530" s="1"/>
      </tp>
      <tp>
        <v>3.4445724488449301</v>
        <stp/>
        <stp>EM_S_VAL_PS_TTM</stp>
        <stp>2</stp>
        <stp>300383</stp>
        <stp>12/31/2018</stp>
        <tr r="O447" s="1"/>
      </tp>
      <tp>
        <v>4.4393802031012504</v>
        <stp/>
        <stp>EM_S_VAL_PS_TTM</stp>
        <stp>2</stp>
        <stp>300382</stp>
        <stp>12/31/2018</stp>
        <tr r="O2351" s="1"/>
      </tp>
      <tp>
        <v>1.8984054983543901</v>
        <stp/>
        <stp>EM_S_VAL_PS_TTM</stp>
        <stp>2</stp>
        <stp>300381</stp>
        <stp>12/31/2018</stp>
        <tr r="O1162" s="1"/>
      </tp>
      <tp>
        <v>3.91417267580443</v>
        <stp/>
        <stp>EM_S_VAL_PS_TTM</stp>
        <stp>2</stp>
        <stp>300380</stp>
        <stp>12/31/2018</stp>
        <tr r="O1006" s="1"/>
      </tp>
      <tp>
        <v>2.5005540611494301</v>
        <stp/>
        <stp>EM_S_VAL_PS_TTM</stp>
        <stp>2</stp>
        <stp>300389</stp>
        <stp>12/31/2018</stp>
        <tr r="O3203" s="1"/>
      </tp>
      <tp>
        <v>1.31829934886936</v>
        <stp/>
        <stp>EM_S_VAL_PS_TTM</stp>
        <stp>2</stp>
        <stp>300388</stp>
        <stp>12/31/2018</stp>
        <tr r="O1290" s="1"/>
      </tp>
      <tp>
        <v>9.0596284267616696</v>
        <stp/>
        <stp>EM_S_VAL_PS_TTM</stp>
        <stp>2</stp>
        <stp>300397</stp>
        <stp>12/31/2018</stp>
        <tr r="O41" s="1"/>
      </tp>
      <tp>
        <v>3.5359218368576202</v>
        <stp/>
        <stp>EM_S_VAL_PS_TTM</stp>
        <stp>2</stp>
        <stp>300396</stp>
        <stp>12/31/2018</stp>
        <tr r="O723" s="1"/>
      </tp>
      <tp>
        <v>6.2626010095039</v>
        <stp/>
        <stp>EM_S_VAL_PS_TTM</stp>
        <stp>2</stp>
        <stp>300395</stp>
        <stp>12/31/2018</stp>
        <tr r="O574" s="1"/>
      </tp>
      <tp>
        <v>11.7044884817079</v>
        <stp/>
        <stp>EM_S_VAL_PS_TTM</stp>
        <stp>2</stp>
        <stp>300394</stp>
        <stp>12/31/2018</stp>
        <tr r="O554" s="1"/>
      </tp>
      <tp>
        <v>1.47342823281629</v>
        <stp/>
        <stp>EM_S_VAL_PS_TTM</stp>
        <stp>2</stp>
        <stp>300393</stp>
        <stp>12/31/2018</stp>
        <tr r="O2477" s="1"/>
      </tp>
      <tp>
        <v>1.9603932406486999</v>
        <stp/>
        <stp>EM_S_VAL_PS_TTM</stp>
        <stp>2</stp>
        <stp>300392</stp>
        <stp>12/31/2018</stp>
        <tr r="O2449" s="1"/>
      </tp>
      <tp>
        <v>2.39660443721966</v>
        <stp/>
        <stp>EM_S_VAL_PS_TTM</stp>
        <stp>2</stp>
        <stp>300391</stp>
        <stp>12/31/2018</stp>
        <tr r="O3154" s="1"/>
      </tp>
      <tp>
        <v>3.2000566487844901</v>
        <stp/>
        <stp>EM_S_VAL_PS_TTM</stp>
        <stp>2</stp>
        <stp>300390</stp>
        <stp>12/31/2018</stp>
        <tr r="O2862" s="1"/>
      </tp>
      <tp>
        <v>5.2401822047588302</v>
        <stp/>
        <stp>EM_S_VAL_PS_TTM</stp>
        <stp>2</stp>
        <stp>300399</stp>
        <stp>12/31/2018</stp>
        <tr r="O472" s="1"/>
      </tp>
      <tp>
        <v>4.6441797521566501</v>
        <stp/>
        <stp>EM_S_VAL_PS_TTM</stp>
        <stp>2</stp>
        <stp>300398</stp>
        <stp>12/31/2018</stp>
        <tr r="O2573" s="1"/>
      </tp>
      <tp>
        <v>0.44539587345637599</v>
        <stp/>
        <stp>EM_S_VAL_PS_TTM</stp>
        <stp>2</stp>
        <stp>600397</stp>
        <stp>12/31/2018</stp>
        <tr r="O1122" s="1"/>
      </tp>
      <tp>
        <v>0.39078188626149002</v>
        <stp/>
        <stp>EM_S_VAL_PS_TTM</stp>
        <stp>2</stp>
        <stp>600396</stp>
        <stp>12/31/2018</stp>
        <tr r="O2422" s="1"/>
      </tp>
      <tp>
        <v>1.3430592724358601</v>
        <stp/>
        <stp>EM_S_VAL_PS_TTM</stp>
        <stp>2</stp>
        <stp>600395</stp>
        <stp>12/31/2018</stp>
        <tr r="O1227" s="1"/>
      </tp>
      <tp>
        <v>1.75552495673775</v>
        <stp/>
        <stp>EM_S_VAL_PS_TTM</stp>
        <stp>2</stp>
        <stp>600393</stp>
        <stp>12/31/2018</stp>
        <tr r="O815" s="1"/>
      </tp>
      <tp>
        <v>2.3084777858626699</v>
        <stp/>
        <stp>EM_S_VAL_PS_TTM</stp>
        <stp>2</stp>
        <stp>600392</stp>
        <stp>12/31/2018</stp>
        <tr r="O1949" s="1"/>
      </tp>
      <tp>
        <v>1.54527566643722</v>
        <stp/>
        <stp>EM_S_VAL_PS_TTM</stp>
        <stp>2</stp>
        <stp>600391</stp>
        <stp>12/31/2018</stp>
        <tr r="O1045" s="1"/>
      </tp>
      <tp>
        <v>1.99458882268046</v>
        <stp/>
        <stp>EM_S_VAL_PS_TTM</stp>
        <stp>2</stp>
        <stp>600390</stp>
        <stp>12/31/2018</stp>
        <tr r="O1389" s="1"/>
      </tp>
      <tp>
        <v>0.94539878897196905</v>
        <stp/>
        <stp>EM_S_VAL_PS_TTM</stp>
        <stp>2</stp>
        <stp>600399</stp>
        <stp>12/31/2018</stp>
        <tr r="O902" s="1"/>
      </tp>
      <tp>
        <v>2.0302739953748299</v>
        <stp/>
        <stp>EM_S_VAL_PS_TTM</stp>
        <stp>2</stp>
        <stp>600398</stp>
        <stp>12/31/2018</stp>
        <tr r="O2779" s="1"/>
      </tp>
      <tp>
        <v>0.180041430765112</v>
        <stp/>
        <stp>EM_S_VAL_PS_TTM</stp>
        <stp>2</stp>
        <stp>600387</stp>
        <stp>12/31/2018</stp>
        <tr r="O1984" s="1"/>
      </tp>
      <tp>
        <v>0.58896422713386598</v>
        <stp/>
        <stp>EM_S_VAL_PS_TTM</stp>
        <stp>2</stp>
        <stp>600386</stp>
        <stp>12/31/2018</stp>
        <tr r="O1578" s="1"/>
      </tp>
      <tp>
        <v>62.348698566628798</v>
        <stp/>
        <stp>EM_S_VAL_PS_TTM</stp>
        <stp>2</stp>
        <stp>600385</stp>
        <stp>12/31/2018</stp>
        <tr r="O3030" s="1"/>
      </tp>
      <tp>
        <v>0.864021787699355</v>
        <stp/>
        <stp>EM_S_VAL_PS_TTM</stp>
        <stp>2</stp>
        <stp>600383</stp>
        <stp>12/31/2018</stp>
        <tr r="O593" s="1"/>
      </tp>
      <tp>
        <v>4.8907655195088902</v>
        <stp/>
        <stp>EM_S_VAL_PS_TTM</stp>
        <stp>2</stp>
        <stp>600382</stp>
        <stp>12/31/2018</stp>
        <tr r="O2733" s="1"/>
      </tp>
      <tp>
        <v>9.4163148593246504</v>
        <stp/>
        <stp>EM_S_VAL_PS_TTM</stp>
        <stp>2</stp>
        <stp>600381</stp>
        <stp>12/31/2018</stp>
        <tr r="O2664" s="1"/>
      </tp>
      <tp>
        <v>1.15338092256753</v>
        <stp/>
        <stp>EM_S_VAL_PS_TTM</stp>
        <stp>2</stp>
        <stp>600380</stp>
        <stp>12/31/2018</stp>
        <tr r="O567" s="1"/>
      </tp>
      <tp>
        <v>1.2243969830819299</v>
        <stp/>
        <stp>EM_S_VAL_PS_TTM</stp>
        <stp>2</stp>
        <stp>600389</stp>
        <stp>12/31/2018</stp>
        <tr r="O1130" s="1"/>
      </tp>
      <tp>
        <v>1.2332301447473499</v>
        <stp/>
        <stp>EM_S_VAL_PS_TTM</stp>
        <stp>2</stp>
        <stp>600388</stp>
        <stp>12/31/2018</stp>
        <tr r="O2538" s="1"/>
      </tp>
      <tp>
        <v>2.2106910078717101</v>
        <stp/>
        <stp>EM_S_VAL_PS_TTM</stp>
        <stp>2</stp>
        <stp>300307</stp>
        <stp>12/31/2018</stp>
        <tr r="O2197" s="1"/>
      </tp>
      <tp>
        <v>0.46940918826380401</v>
        <stp/>
        <stp>EM_S_VAL_PS_TTM</stp>
        <stp>2</stp>
        <stp>600357</stp>
        <stp>12/31/2018</stp>
        <tr r="O2301" s="1"/>
      </tp>
      <tp>
        <v>3.9944328232961599</v>
        <stp/>
        <stp>EM_S_VAL_PS_TTM</stp>
        <stp>2</stp>
        <stp>300306</stp>
        <stp>12/31/2018</stp>
        <tr r="O300" s="1"/>
      </tp>
      <tp>
        <v>1.06734725353246</v>
        <stp/>
        <stp>EM_S_VAL_PS_TTM</stp>
        <stp>2</stp>
        <stp>600356</stp>
        <stp>12/31/2018</stp>
        <tr r="O712" s="1"/>
      </tp>
      <tp>
        <v>3.3704553208358798</v>
        <stp/>
        <stp>EM_S_VAL_PS_TTM</stp>
        <stp>2</stp>
        <stp>300305</stp>
        <stp>12/31/2018</stp>
        <tr r="O1934" s="1"/>
      </tp>
      <tp>
        <v>4.3875302279410402</v>
        <stp/>
        <stp>EM_S_VAL_PS_TTM</stp>
        <stp>2</stp>
        <stp>600355</stp>
        <stp>12/31/2018</stp>
        <tr r="O2366" s="1"/>
      </tp>
      <tp>
        <v>4.5715276753928098</v>
        <stp/>
        <stp>EM_S_VAL_PS_TTM</stp>
        <stp>2</stp>
        <stp>300304</stp>
        <stp>12/31/2018</stp>
        <tr r="O949" s="1"/>
      </tp>
      <tp>
        <v>2.9665253315469902</v>
        <stp/>
        <stp>EM_S_VAL_PS_TTM</stp>
        <stp>2</stp>
        <stp>600354</stp>
        <stp>12/31/2018</stp>
        <tr r="O804" s="1"/>
      </tp>
      <tp>
        <v>0.93898180169035095</v>
        <stp/>
        <stp>EM_S_VAL_PS_TTM</stp>
        <stp>2</stp>
        <stp>000333</stp>
        <stp>12/31/2018</stp>
        <tr r="O444" s="1"/>
      </tp>
      <tp>
        <v>1.3033333947961701</v>
        <stp/>
        <stp>EM_S_VAL_PS_TTM</stp>
        <stp>2</stp>
        <stp>300303</stp>
        <stp>12/31/2018</stp>
        <tr r="O104" s="1"/>
      </tp>
      <tp>
        <v>2.0878570640954801</v>
        <stp/>
        <stp>EM_S_VAL_PS_TTM</stp>
        <stp>2</stp>
        <stp>600353</stp>
        <stp>12/31/2018</stp>
        <tr r="O716" s="1"/>
      </tp>
      <tp>
        <v>6.56031726414838</v>
        <stp/>
        <stp>EM_S_VAL_PS_TTM</stp>
        <stp>2</stp>
        <stp>300302</stp>
        <stp>12/31/2018</stp>
        <tr r="O343" s="1"/>
      </tp>
      <tp>
        <v>1.7014783762369701</v>
        <stp/>
        <stp>EM_S_VAL_PS_TTM</stp>
        <stp>2</stp>
        <stp>600352</stp>
        <stp>12/31/2018</stp>
        <tr r="O572" s="1"/>
      </tp>
      <tp>
        <v>1.7980530910334001</v>
        <stp/>
        <stp>EM_S_VAL_PS_TTM</stp>
        <stp>2</stp>
        <stp>300301</stp>
        <stp>12/31/2018</stp>
        <tr r="O2067" s="1"/>
      </tp>
      <tp>
        <v>1.4996571171559301</v>
        <stp/>
        <stp>EM_S_VAL_PS_TTM</stp>
        <stp>2</stp>
        <stp>600351</stp>
        <stp>12/31/2018</stp>
        <tr r="O2200" s="1"/>
      </tp>
      <tp>
        <v>16.383552189009102</v>
        <stp/>
        <stp>EM_S_VAL_PS_TTM</stp>
        <stp>2</stp>
        <stp>300300</stp>
        <stp>12/31/2018</stp>
        <tr r="O2824" s="1"/>
      </tp>
      <tp>
        <v>3.3639151621391199</v>
        <stp/>
        <stp>EM_S_VAL_PS_TTM</stp>
        <stp>2</stp>
        <stp>600350</stp>
        <stp>12/31/2018</stp>
        <tr r="O1896" s="1"/>
      </tp>
      <tp>
        <v>7.8340067447516804</v>
        <stp/>
        <stp>EM_S_VAL_PS_TTM</stp>
        <stp>2</stp>
        <stp>300309</stp>
        <stp>12/31/2018</stp>
        <tr r="O3321" s="1"/>
      </tp>
      <tp>
        <v>2.6429582649774401</v>
        <stp/>
        <stp>EM_S_VAL_PS_TTM</stp>
        <stp>2</stp>
        <stp>600359</stp>
        <stp>12/31/2018</stp>
        <tr r="O997" s="1"/>
      </tp>
      <tp>
        <v>0.38924323140233003</v>
        <stp/>
        <stp>EM_S_VAL_PS_TTM</stp>
        <stp>2</stp>
        <stp>000338</stp>
        <stp>12/31/2018</stp>
        <tr r="O162" s="1"/>
      </tp>
      <tp>
        <v>3.5691433907828101</v>
        <stp/>
        <stp>EM_S_VAL_PS_TTM</stp>
        <stp>2</stp>
        <stp>300308</stp>
        <stp>12/31/2018</stp>
        <tr r="O975" s="1"/>
      </tp>
      <tp>
        <v>5.5932058830878804</v>
        <stp/>
        <stp>EM_S_VAL_PS_TTM</stp>
        <stp>2</stp>
        <stp>600358</stp>
        <stp>12/31/2018</stp>
        <tr r="O1391" s="1"/>
      </tp>
      <tp>
        <v>1.87607986967455</v>
        <stp/>
        <stp>EM_S_VAL_PS_TTM</stp>
        <stp>2</stp>
        <stp>300317</stp>
        <stp>12/31/2018</stp>
        <tr r="O1978" s="1"/>
      </tp>
      <tp>
        <v>4.9871554629788397</v>
        <stp/>
        <stp>EM_S_VAL_PS_TTM</stp>
        <stp>2</stp>
        <stp>300316</stp>
        <stp>12/31/2018</stp>
        <tr r="O480" s="1"/>
      </tp>
      <tp>
        <v>1.99769985547033</v>
        <stp/>
        <stp>EM_S_VAL_PS_TTM</stp>
        <stp>2</stp>
        <stp>600346</stp>
        <stp>12/31/2018</stp>
        <tr r="O1252" s="1"/>
      </tp>
      <tp>
        <v>4.6997320368703202</v>
        <stp/>
        <stp>EM_S_VAL_PS_TTM</stp>
        <stp>2</stp>
        <stp>300315</stp>
        <stp>12/31/2018</stp>
        <tr r="O254" s="1"/>
      </tp>
      <tp>
        <v>24.567859404062101</v>
        <stp/>
        <stp>EM_S_VAL_PS_TTM</stp>
        <stp>2</stp>
        <stp>600345</stp>
        <stp>12/31/2018</stp>
        <tr r="O2249" s="1"/>
      </tp>
      <tp>
        <v>8.3832381306292891</v>
        <stp/>
        <stp>EM_S_VAL_PS_TTM</stp>
        <stp>2</stp>
        <stp>300314</stp>
        <stp>12/31/2018</stp>
        <tr r="O1678" s="1"/>
      </tp>
      <tp>
        <v>15.781306159899501</v>
        <stp/>
        <stp>EM_S_VAL_PS_TTM</stp>
        <stp>2</stp>
        <stp>300313</stp>
        <stp>12/31/2018</stp>
        <tr r="O2939" s="1"/>
      </tp>
      <tp>
        <v>2.8900445970297199</v>
        <stp/>
        <stp>EM_S_VAL_PS_TTM</stp>
        <stp>2</stp>
        <stp>600343</stp>
        <stp>12/31/2018</stp>
        <tr r="O1225" s="1"/>
      </tp>
      <tp>
        <v>11.7545082403826</v>
        <stp/>
        <stp>EM_S_VAL_PS_TTM</stp>
        <stp>2</stp>
        <stp>300312</stp>
        <stp>12/31/2018</stp>
        <tr r="O3298" s="1"/>
      </tp>
      <tp>
        <v>3.1091744363979701</v>
        <stp/>
        <stp>EM_S_VAL_PS_TTM</stp>
        <stp>2</stp>
        <stp>300311</stp>
        <stp>12/31/2018</stp>
        <tr r="O362" s="1"/>
      </tp>
      <tp>
        <v>1.6285363869860201</v>
        <stp/>
        <stp>EM_S_VAL_PS_TTM</stp>
        <stp>2</stp>
        <stp>300310</stp>
        <stp>12/31/2018</stp>
        <tr r="O2231" s="1"/>
      </tp>
      <tp>
        <v>1.0344553884119601</v>
        <stp/>
        <stp>EM_S_VAL_PS_TTM</stp>
        <stp>2</stp>
        <stp>600340</stp>
        <stp>12/31/2018</stp>
        <tr r="O1641" s="1"/>
      </tp>
      <tp>
        <v>2.5673481527528201</v>
        <stp/>
        <stp>EM_S_VAL_PS_TTM</stp>
        <stp>2</stp>
        <stp>300319</stp>
        <stp>12/31/2018</stp>
        <tr r="O128" s="1"/>
      </tp>
      <tp>
        <v>0</v>
        <stp/>
        <stp>EM_S_VAL_PS_TTM</stp>
        <stp>2</stp>
        <stp>600349</stp>
        <stp>12/31/2018</stp>
        <tr r="O12" s="1"/>
      </tp>
      <tp>
        <v>5.6965807360776202</v>
        <stp/>
        <stp>EM_S_VAL_PS_TTM</stp>
        <stp>2</stp>
        <stp>300318</stp>
        <stp>12/31/2018</stp>
        <tr r="O2155" s="1"/>
      </tp>
      <tp>
        <v>0.39079914033441798</v>
        <stp/>
        <stp>EM_S_VAL_PS_TTM</stp>
        <stp>2</stp>
        <stp>600348</stp>
        <stp>12/31/2018</stp>
        <tr r="O1741" s="1"/>
      </tp>
      <tp>
        <v>5.5490238465876098</v>
        <stp/>
        <stp>EM_S_VAL_PS_TTM</stp>
        <stp>2</stp>
        <stp>300327</stp>
        <stp>12/31/2018</stp>
        <tr r="O690" s="1"/>
      </tp>
      <tp>
        <v>4.8846961189894902</v>
        <stp/>
        <stp>EM_S_VAL_PS_TTM</stp>
        <stp>2</stp>
        <stp>600377</stp>
        <stp>12/31/2018</stp>
        <tr r="O1600" s="1"/>
      </tp>
      <tp>
        <v>6.6621768513806803</v>
        <stp/>
        <stp>EM_S_VAL_PS_TTM</stp>
        <stp>2</stp>
        <stp>300326</stp>
        <stp>12/31/2018</stp>
        <tr r="O483" s="1"/>
      </tp>
      <tp>
        <v>0.43975577535795601</v>
        <stp/>
        <stp>EM_S_VAL_PS_TTM</stp>
        <stp>2</stp>
        <stp>600376</stp>
        <stp>12/31/2018</stp>
        <tr r="O1649" s="1"/>
      </tp>
      <tp>
        <v>1.39656222918438</v>
        <stp/>
        <stp>EM_S_VAL_PS_TTM</stp>
        <stp>2</stp>
        <stp>300325</stp>
        <stp>12/31/2018</stp>
        <tr r="O1879" s="1"/>
      </tp>
      <tp>
        <v>0.295341735090145</v>
        <stp/>
        <stp>EM_S_VAL_PS_TTM</stp>
        <stp>2</stp>
        <stp>600375</stp>
        <stp>12/31/2018</stp>
        <tr r="O856" s="1"/>
      </tp>
      <tp>
        <v>2.5577472156762999</v>
        <stp/>
        <stp>EM_S_VAL_PS_TTM</stp>
        <stp>2</stp>
        <stp>300324</stp>
        <stp>12/31/2018</stp>
        <tr r="O2393" s="1"/>
      </tp>
      <tp>
        <v>2.5683062856899501</v>
        <stp/>
        <stp>EM_S_VAL_PS_TTM</stp>
        <stp>2</stp>
        <stp>300323</stp>
        <stp>12/31/2018</stp>
        <tr r="O2365" s="1"/>
      </tp>
      <tp>
        <v>1.3474779997700801</v>
        <stp/>
        <stp>EM_S_VAL_PS_TTM</stp>
        <stp>2</stp>
        <stp>600373</stp>
        <stp>12/31/2018</stp>
        <tr r="O2059" s="1"/>
      </tp>
      <tp>
        <v>2.0730087560000499</v>
        <stp/>
        <stp>EM_S_VAL_PS_TTM</stp>
        <stp>2</stp>
        <stp>300322</stp>
        <stp>12/31/2018</stp>
        <tr r="O123" s="1"/>
      </tp>
      <tp>
        <v>3.0091342072332901</v>
        <stp/>
        <stp>EM_S_VAL_PS_TTM</stp>
        <stp>2</stp>
        <stp>600372</stp>
        <stp>12/31/2018</stp>
        <tr r="O1736" s="1"/>
      </tp>
      <tp>
        <v>2.5085286343042199</v>
        <stp/>
        <stp>EM_S_VAL_PS_TTM</stp>
        <stp>2</stp>
        <stp>300321</stp>
        <stp>12/31/2018</stp>
        <tr r="O1033" s="1"/>
      </tp>
      <tp>
        <v>5.1799155651185398</v>
        <stp/>
        <stp>EM_S_VAL_PS_TTM</stp>
        <stp>2</stp>
        <stp>600371</stp>
        <stp>12/31/2018</stp>
        <tr r="O193" s="1"/>
      </tp>
      <tp>
        <v>1.3357014299613399</v>
        <stp/>
        <stp>EM_S_VAL_PS_TTM</stp>
        <stp>2</stp>
        <stp>300320</stp>
        <stp>12/31/2018</stp>
        <tr r="O1658" s="1"/>
      </tp>
      <tp>
        <v>1.9733015574775801</v>
        <stp/>
        <stp>EM_S_VAL_PS_TTM</stp>
        <stp>2</stp>
        <stp>600370</stp>
        <stp>12/31/2018</stp>
        <tr r="O1676" s="1"/>
      </tp>
      <tp>
        <v>3.4447953334760202</v>
        <stp/>
        <stp>EM_S_VAL_PS_TTM</stp>
        <stp>2</stp>
        <stp>300329</stp>
        <stp>12/31/2018</stp>
        <tr r="O1174" s="1"/>
      </tp>
      <tp>
        <v>1.8345288462309299</v>
        <stp/>
        <stp>EM_S_VAL_PS_TTM</stp>
        <stp>2</stp>
        <stp>600379</stp>
        <stp>12/31/2018</stp>
        <tr r="O2976" s="1"/>
      </tp>
      <tp>
        <v>2.9990461618453201</v>
        <stp/>
        <stp>EM_S_VAL_PS_TTM</stp>
        <stp>2</stp>
        <stp>300328</stp>
        <stp>12/31/2018</stp>
        <tr r="O97" s="1"/>
      </tp>
      <tp>
        <v>12.868914903132501</v>
        <stp/>
        <stp>EM_S_VAL_PS_TTM</stp>
        <stp>2</stp>
        <stp>600378</stp>
        <stp>12/31/2018</stp>
        <tr r="O132" s="1"/>
      </tp>
      <tp>
        <v>1.4023222239483499</v>
        <stp/>
        <stp>EM_S_VAL_PS_TTM</stp>
        <stp>2</stp>
        <stp>300337</stp>
        <stp>12/31/2018</stp>
        <tr r="O2721" s="1"/>
      </tp>
      <tp>
        <v>1.4328793080973099</v>
        <stp/>
        <stp>EM_S_VAL_PS_TTM</stp>
        <stp>2</stp>
        <stp>600367</stp>
        <stp>12/31/2018</stp>
        <tr r="O1964" s="1"/>
      </tp>
      <tp>
        <v>4.0075081410082198</v>
        <stp/>
        <stp>EM_S_VAL_PS_TTM</stp>
        <stp>2</stp>
        <stp>300336</stp>
        <stp>12/31/2018</stp>
        <tr r="O2614" s="1"/>
      </tp>
      <tp>
        <v>2.4366382751938298</v>
        <stp/>
        <stp>EM_S_VAL_PS_TTM</stp>
        <stp>2</stp>
        <stp>600366</stp>
        <stp>12/31/2018</stp>
        <tr r="O846" s="1"/>
      </tp>
      <tp>
        <v>1.17056226862623</v>
        <stp/>
        <stp>EM_S_VAL_PS_TTM</stp>
        <stp>2</stp>
        <stp>300335</stp>
        <stp>12/31/2018</stp>
        <tr r="O2659" s="1"/>
      </tp>
      <tp>
        <v>1.43634762466698</v>
        <stp/>
        <stp>EM_S_VAL_PS_TTM</stp>
        <stp>2</stp>
        <stp>600365</stp>
        <stp>12/31/2018</stp>
        <tr r="O1502" s="1"/>
      </tp>
      <tp>
        <v>4.1113662673492497</v>
        <stp/>
        <stp>EM_S_VAL_PS_TTM</stp>
        <stp>2</stp>
        <stp>300334</stp>
        <stp>12/31/2018</stp>
        <tr r="O2828" s="1"/>
      </tp>
      <tp>
        <v>9.8922239821874403</v>
        <stp/>
        <stp>EM_S_VAL_PS_TTM</stp>
        <stp>2</stp>
        <stp>300333</stp>
        <stp>12/31/2018</stp>
        <tr r="O455" s="1"/>
      </tp>
      <tp>
        <v>1.0628636423571001</v>
        <stp/>
        <stp>EM_S_VAL_PS_TTM</stp>
        <stp>2</stp>
        <stp>600363</stp>
        <stp>12/31/2018</stp>
        <tr r="O202" s="1"/>
      </tp>
      <tp>
        <v>1.62520392523299</v>
        <stp/>
        <stp>EM_S_VAL_PS_TTM</stp>
        <stp>2</stp>
        <stp>300332</stp>
        <stp>12/31/2018</stp>
        <tr r="O1799" s="1"/>
      </tp>
      <tp>
        <v>0.21465812565300599</v>
        <stp/>
        <stp>EM_S_VAL_PS_TTM</stp>
        <stp>2</stp>
        <stp>600362</stp>
        <stp>12/31/2018</stp>
        <tr r="O900" s="1"/>
      </tp>
      <tp>
        <v>8.9888492731830993</v>
        <stp/>
        <stp>EM_S_VAL_PS_TTM</stp>
        <stp>2</stp>
        <stp>000301</stp>
        <stp>12/31/2018</stp>
        <tr r="O2580" s="1"/>
      </tp>
      <tp>
        <v>2.2760851511572802</v>
        <stp/>
        <stp>EM_S_VAL_PS_TTM</stp>
        <stp>2</stp>
        <stp>300331</stp>
        <stp>12/31/2018</stp>
        <tr r="O208" s="1"/>
      </tp>
      <tp>
        <v>0.19095817522769601</v>
        <stp/>
        <stp>EM_S_VAL_PS_TTM</stp>
        <stp>2</stp>
        <stp>600361</stp>
        <stp>12/31/2018</stp>
        <tr r="O1719" s="1"/>
      </tp>
      <tp>
        <v>6.3690921770880999</v>
        <stp/>
        <stp>EM_S_VAL_PS_TTM</stp>
        <stp>2</stp>
        <stp>300330</stp>
        <stp>12/31/2018</stp>
        <tr r="O758" s="1"/>
      </tp>
      <tp>
        <v>2.1876688487842602</v>
        <stp/>
        <stp>EM_S_VAL_PS_TTM</stp>
        <stp>2</stp>
        <stp>600360</stp>
        <stp>12/31/2018</stp>
        <tr r="O920" s="1"/>
      </tp>
      <tp>
        <v>3.5335539158210101</v>
        <stp/>
        <stp>EM_S_VAL_PS_TTM</stp>
        <stp>2</stp>
        <stp>300339</stp>
        <stp>12/31/2018</stp>
        <tr r="O650" s="1"/>
      </tp>
      <tp>
        <v>7.3796498112589699</v>
        <stp/>
        <stp>EM_S_VAL_PS_TTM</stp>
        <stp>2</stp>
        <stp>600369</stp>
        <stp>12/31/2018</stp>
        <tr r="O559" s="1"/>
      </tp>
      <tp>
        <v>1.7323203497458699</v>
        <stp/>
        <stp>EM_S_VAL_PS_TTM</stp>
        <stp>2</stp>
        <stp>300338</stp>
        <stp>12/31/2018</stp>
        <tr r="O520" s="1"/>
      </tp>
      <tp>
        <v>1.8636941874797599</v>
        <stp/>
        <stp>EM_S_VAL_PS_TTM</stp>
        <stp>2</stp>
        <stp>600368</stp>
        <stp>12/31/2018</stp>
        <tr r="O637" s="1"/>
      </tp>
      <tp>
        <v>10.1505863838807</v>
        <stp/>
        <stp>EM_S_VAL_PS_TTM</stp>
        <stp>2</stp>
        <stp>300347</stp>
        <stp>12/31/2018</stp>
        <tr r="O672" s="1"/>
      </tp>
      <tp>
        <v>3.4825629581603201</v>
        <stp/>
        <stp>EM_S_VAL_PS_TTM</stp>
        <stp>2</stp>
        <stp>600317</stp>
        <stp>12/31/2018</stp>
        <tr r="O1634" s="1"/>
      </tp>
      <tp>
        <v>9.9635029524414502</v>
        <stp/>
        <stp>EM_S_VAL_PS_TTM</stp>
        <stp>2</stp>
        <stp>300346</stp>
        <stp>12/31/2018</stp>
        <tr r="O214" s="1"/>
      </tp>
      <tp>
        <v>3.5304581992144999</v>
        <stp/>
        <stp>EM_S_VAL_PS_TTM</stp>
        <stp>2</stp>
        <stp>600316</stp>
        <stp>12/31/2018</stp>
        <tr r="O937" s="1"/>
      </tp>
      <tp>
        <v>12.9134327647579</v>
        <stp/>
        <stp>EM_S_VAL_PS_TTM</stp>
        <stp>2</stp>
        <stp>300345</stp>
        <stp>12/31/2018</stp>
        <tr r="O115" s="1"/>
      </tp>
      <tp>
        <v>2.6334319926603902</v>
        <stp/>
        <stp>EM_S_VAL_PS_TTM</stp>
        <stp>2</stp>
        <stp>600315</stp>
        <stp>12/31/2018</stp>
        <tr r="O1565" s="1"/>
      </tp>
      <tp>
        <v>4.5004937353361596</v>
        <stp/>
        <stp>EM_S_VAL_PS_TTM</stp>
        <stp>2</stp>
        <stp>300344</stp>
        <stp>12/31/2018</stp>
        <tr r="O2757" s="1"/>
      </tp>
      <tp>
        <v>1.2160479613475199</v>
        <stp/>
        <stp>EM_S_VAL_PS_TTM</stp>
        <stp>2</stp>
        <stp>300343</stp>
        <stp>12/31/2018</stp>
        <tr r="O3389" s="1"/>
      </tp>
      <tp>
        <v>0.62563850337691596</v>
        <stp/>
        <stp>EM_S_VAL_PS_TTM</stp>
        <stp>2</stp>
        <stp>600313</stp>
        <stp>12/31/2018</stp>
        <tr r="O1063" s="1"/>
      </tp>
      <tp>
        <v>3.9389358847033198</v>
        <stp/>
        <stp>EM_S_VAL_PS_TTM</stp>
        <stp>2</stp>
        <stp>300342</stp>
        <stp>12/31/2018</stp>
        <tr r="O861" s="1"/>
      </tp>
      <tp>
        <v>1.3710299806600901</v>
        <stp/>
        <stp>EM_S_VAL_PS_TTM</stp>
        <stp>2</stp>
        <stp>600312</stp>
        <stp>12/31/2018</stp>
        <tr r="O3067" s="1"/>
      </tp>
      <tp>
        <v>2.72847733319123</v>
        <stp/>
        <stp>EM_S_VAL_PS_TTM</stp>
        <stp>2</stp>
        <stp>300341</stp>
        <stp>12/31/2018</stp>
        <tr r="O37" s="1"/>
      </tp>
      <tp>
        <v>27.250464669493599</v>
        <stp/>
        <stp>EM_S_VAL_PS_TTM</stp>
        <stp>2</stp>
        <stp>600311</stp>
        <stp>12/31/2018</stp>
        <tr r="O2820" s="1"/>
      </tp>
      <tp>
        <v>1.2472943819192199</v>
        <stp/>
        <stp>EM_S_VAL_PS_TTM</stp>
        <stp>2</stp>
        <stp>300340</stp>
        <stp>12/31/2018</stp>
        <tr r="O2737" s="1"/>
      </tp>
      <tp>
        <v>0.238272383154194</v>
        <stp/>
        <stp>EM_S_VAL_PS_TTM</stp>
        <stp>2</stp>
        <stp>600310</stp>
        <stp>12/31/2018</stp>
        <tr r="O1303" s="1"/>
      </tp>
      <tp>
        <v>3.2974603630758899</v>
        <stp/>
        <stp>EM_S_VAL_PS_TTM</stp>
        <stp>2</stp>
        <stp>300349</stp>
        <stp>12/31/2018</stp>
        <tr r="O2578" s="1"/>
      </tp>
      <tp>
        <v>0.69676793109345703</v>
        <stp/>
        <stp>EM_S_VAL_PS_TTM</stp>
        <stp>2</stp>
        <stp>600319</stp>
        <stp>12/31/2018</stp>
        <tr r="O2240" s="1"/>
      </tp>
      <tp>
        <v>5.3314440424902596</v>
        <stp/>
        <stp>EM_S_VAL_PS_TTM</stp>
        <stp>2</stp>
        <stp>300348</stp>
        <stp>12/31/2018</stp>
        <tr r="O1093" s="1"/>
      </tp>
      <tp>
        <v>6.0756108822245896</v>
        <stp/>
        <stp>EM_S_VAL_PS_TTM</stp>
        <stp>2</stp>
        <stp>600318</stp>
        <stp>12/31/2018</stp>
        <tr r="O2381" s="1"/>
      </tp>
      <tp>
        <v>22.526311783613799</v>
        <stp/>
        <stp>EM_S_VAL_PS_TTM</stp>
        <stp>2</stp>
        <stp>300357</stp>
        <stp>12/31/2018</stp>
        <tr r="O1410" s="1"/>
      </tp>
      <tp>
        <v>0.25595355656138902</v>
        <stp/>
        <stp>EM_S_VAL_PS_TTM</stp>
        <stp>2</stp>
        <stp>600307</stp>
        <stp>12/31/2018</stp>
        <tr r="O1905" s="1"/>
      </tp>
      <tp>
        <v>4.61017699297369</v>
        <stp/>
        <stp>EM_S_VAL_PS_TTM</stp>
        <stp>2</stp>
        <stp>300356</stp>
        <stp>12/31/2018</stp>
        <tr r="O792" s="1"/>
      </tp>
      <tp>
        <v>1.1402507371555399</v>
        <stp/>
        <stp>EM_S_VAL_PS_TTM</stp>
        <stp>2</stp>
        <stp>600306</stp>
        <stp>12/31/2018</stp>
        <tr r="O2801" s="1"/>
      </tp>
      <tp>
        <v>1.69574561834825</v>
        <stp/>
        <stp>EM_S_VAL_PS_TTM</stp>
        <stp>2</stp>
        <stp>300355</stp>
        <stp>12/31/2018</stp>
        <tr r="O2877" s="1"/>
      </tp>
      <tp>
        <v>4.90200499770188</v>
        <stp/>
        <stp>EM_S_VAL_PS_TTM</stp>
        <stp>2</stp>
        <stp>600305</stp>
        <stp>12/31/2018</stp>
        <tr r="O676" s="1"/>
      </tp>
      <tp>
        <v>8.6727392306750701</v>
        <stp/>
        <stp>EM_S_VAL_PS_TTM</stp>
        <stp>2</stp>
        <stp>300354</stp>
        <stp>12/31/2018</stp>
        <tr r="O542" s="1"/>
      </tp>
      <tp>
        <v>5.2730031744574797</v>
        <stp/>
        <stp>EM_S_VAL_PS_TTM</stp>
        <stp>2</stp>
        <stp>300353</stp>
        <stp>12/31/2018</stp>
        <tr r="O614" s="1"/>
      </tp>
      <tp>
        <v>0.788245333983837</v>
        <stp/>
        <stp>EM_S_VAL_PS_TTM</stp>
        <stp>2</stp>
        <stp>600303</stp>
        <stp>12/31/2018</stp>
        <tr r="O2765" s="1"/>
      </tp>
      <tp>
        <v>8.8326492833856793</v>
        <stp/>
        <stp>EM_S_VAL_PS_TTM</stp>
        <stp>2</stp>
        <stp>300352</stp>
        <stp>12/31/2018</stp>
        <tr r="O122" s="1"/>
      </tp>
      <tp>
        <v>2.1738903661070901</v>
        <stp/>
        <stp>EM_S_VAL_PS_TTM</stp>
        <stp>2</stp>
        <stp>600302</stp>
        <stp>12/31/2018</stp>
        <tr r="O1508" s="1"/>
      </tp>
      <tp>
        <v>2.3742331578909899</v>
        <stp/>
        <stp>EM_S_VAL_PS_TTM</stp>
        <stp>2</stp>
        <stp>300351</stp>
        <stp>12/31/2018</stp>
        <tr r="O1871" s="1"/>
      </tp>
      <tp>
        <v>10.7064267210678</v>
        <stp/>
        <stp>EM_S_VAL_PS_TTM</stp>
        <stp>2</stp>
        <stp>600301</stp>
        <stp>12/31/2018</stp>
        <tr r="O1636" s="1"/>
      </tp>
      <tp>
        <v>2.8933812488433599</v>
        <stp/>
        <stp>EM_S_VAL_PS_TTM</stp>
        <stp>2</stp>
        <stp>300350</stp>
        <stp>12/31/2018</stp>
        <tr r="O2687" s="1"/>
      </tp>
      <tp>
        <v>0.95088997584942703</v>
        <stp/>
        <stp>EM_S_VAL_PS_TTM</stp>
        <stp>2</stp>
        <stp>600300</stp>
        <stp>12/31/2018</stp>
        <tr r="O1995" s="1"/>
      </tp>
      <tp>
        <v>4.5413815859742099</v>
        <stp/>
        <stp>EM_S_VAL_PS_TTM</stp>
        <stp>2</stp>
        <stp>300359</stp>
        <stp>12/31/2018</stp>
        <tr r="O2431" s="1"/>
      </tp>
      <tp>
        <v>1.2736571155843699</v>
        <stp/>
        <stp>EM_S_VAL_PS_TTM</stp>
        <stp>2</stp>
        <stp>600309</stp>
        <stp>12/31/2018</stp>
        <tr r="O168" s="1"/>
      </tp>
      <tp>
        <v>2.3389354883842999</v>
        <stp/>
        <stp>EM_S_VAL_PS_TTM</stp>
        <stp>2</stp>
        <stp>300358</stp>
        <stp>12/31/2018</stp>
        <tr r="O2761" s="1"/>
      </tp>
      <tp>
        <v>0.34105195940548</v>
        <stp/>
        <stp>EM_S_VAL_PS_TTM</stp>
        <stp>2</stp>
        <stp>600308</stp>
        <stp>12/31/2018</stp>
        <tr r="O1999" s="1"/>
      </tp>
      <tp>
        <v>3.66507690542739</v>
        <stp/>
        <stp>EM_S_VAL_PS_TTM</stp>
        <stp>2</stp>
        <stp>300367</stp>
        <stp>12/31/2018</stp>
        <tr r="O3371" s="1"/>
      </tp>
      <tp>
        <v>1.3353532080177699</v>
        <stp/>
        <stp>EM_S_VAL_PS_TTM</stp>
        <stp>2</stp>
        <stp>600337</stp>
        <stp>12/31/2018</stp>
        <tr r="O1687" s="1"/>
      </tp>
      <tp>
        <v>2.4511247676574701</v>
        <stp/>
        <stp>EM_S_VAL_PS_TTM</stp>
        <stp>2</stp>
        <stp>300366</stp>
        <stp>12/31/2018</stp>
        <tr r="O702" s="1"/>
      </tp>
      <tp>
        <v>0.49395284967290998</v>
        <stp/>
        <stp>EM_S_VAL_PS_TTM</stp>
        <stp>2</stp>
        <stp>600336</stp>
        <stp>12/31/2018</stp>
        <tr r="O936" s="1"/>
      </tp>
      <tp>
        <v>7.6675772368715798</v>
        <stp/>
        <stp>EM_S_VAL_PS_TTM</stp>
        <stp>2</stp>
        <stp>300365</stp>
        <stp>12/31/2018</stp>
        <tr r="O3299" s="1"/>
      </tp>
      <tp>
        <v>0.14144907316007599</v>
        <stp/>
        <stp>EM_S_VAL_PS_TTM</stp>
        <stp>2</stp>
        <stp>600335</stp>
        <stp>12/31/2018</stp>
        <tr r="O2633" s="1"/>
      </tp>
      <tp>
        <v>3.9154570763251799</v>
        <stp/>
        <stp>EM_S_VAL_PS_TTM</stp>
        <stp>2</stp>
        <stp>300364</stp>
        <stp>12/31/2018</stp>
        <tr r="O2917" s="1"/>
      </tp>
      <tp>
        <v>4.0371230430078704</v>
        <stp/>
        <stp>EM_S_VAL_PS_TTM</stp>
        <stp>2</stp>
        <stp>300363</stp>
        <stp>12/31/2018</stp>
        <tr r="O577" s="1"/>
      </tp>
      <tp>
        <v>2.1647123062675599</v>
        <stp/>
        <stp>EM_S_VAL_PS_TTM</stp>
        <stp>2</stp>
        <stp>600333</stp>
        <stp>12/31/2018</stp>
        <tr r="O2670" s="1"/>
      </tp>
      <tp>
        <v>4.8632716395905202</v>
        <stp/>
        <stp>EM_S_VAL_PS_TTM</stp>
        <stp>2</stp>
        <stp>300362</stp>
        <stp>12/31/2018</stp>
        <tr r="O3359" s="1"/>
      </tp>
      <tp>
        <v>1.66761574015225</v>
        <stp/>
        <stp>EM_S_VAL_PS_TTM</stp>
        <stp>2</stp>
        <stp>600332</stp>
        <stp>12/31/2018</stp>
        <tr r="O2596" s="1"/>
      </tp>
      <tp>
        <v>0</v>
        <stp/>
        <stp>EM_S_VAL_PS_TTM</stp>
        <stp>2</stp>
        <stp>300361</stp>
        <stp>12/31/2018</stp>
        <tr r="O9" s="1"/>
      </tp>
      <tp>
        <v>0.863280232077131</v>
        <stp/>
        <stp>EM_S_VAL_PS_TTM</stp>
        <stp>2</stp>
        <stp>600331</stp>
        <stp>12/31/2018</stp>
        <tr r="O903" s="1"/>
      </tp>
      <tp>
        <v>2.97078951324136</v>
        <stp/>
        <stp>EM_S_VAL_PS_TTM</stp>
        <stp>2</stp>
        <stp>300360</stp>
        <stp>12/31/2018</stp>
        <tr r="O187" s="1"/>
      </tp>
      <tp>
        <v>2.1784769425364598</v>
        <stp/>
        <stp>EM_S_VAL_PS_TTM</stp>
        <stp>2</stp>
        <stp>600330</stp>
        <stp>12/31/2018</stp>
        <tr r="O654" s="1"/>
      </tp>
      <tp>
        <v>4.9900238207576004</v>
        <stp/>
        <stp>EM_S_VAL_PS_TTM</stp>
        <stp>2</stp>
        <stp>300369</stp>
        <stp>12/31/2018</stp>
        <tr r="O143" s="1"/>
      </tp>
      <tp>
        <v>0.34689844182609902</v>
        <stp/>
        <stp>EM_S_VAL_PS_TTM</stp>
        <stp>2</stp>
        <stp>600339</stp>
        <stp>12/31/2018</stp>
        <tr r="O2706" s="1"/>
      </tp>
      <tp>
        <v>3.1692597575404999</v>
        <stp/>
        <stp>EM_S_VAL_PS_TTM</stp>
        <stp>2</stp>
        <stp>300368</stp>
        <stp>12/31/2018</stp>
        <tr r="O686" s="1"/>
      </tp>
      <tp>
        <v>5.6038900761750998</v>
        <stp/>
        <stp>EM_S_VAL_PS_TTM</stp>
        <stp>2</stp>
        <stp>600338</stp>
        <stp>12/31/2018</stp>
        <tr r="O2747" s="1"/>
      </tp>
      <tp>
        <v>11.7521238802052</v>
        <stp/>
        <stp>EM_S_VAL_PS_TTM</stp>
        <stp>2</stp>
        <stp>300377</stp>
        <stp>12/31/2018</stp>
        <tr r="O2142" s="1"/>
      </tp>
      <tp>
        <v>0.32059931087684701</v>
        <stp/>
        <stp>EM_S_VAL_PS_TTM</stp>
        <stp>2</stp>
        <stp>600327</stp>
        <stp>12/31/2018</stp>
        <tr r="O2932" s="1"/>
      </tp>
      <tp>
        <v>1.6414765178211901</v>
        <stp/>
        <stp>EM_S_VAL_PS_TTM</stp>
        <stp>2</stp>
        <stp>300376</stp>
        <stp>12/31/2018</stp>
        <tr r="O1822" s="1"/>
      </tp>
      <tp>
        <v>1.1982884053398799</v>
        <stp/>
        <stp>EM_S_VAL_PS_TTM</stp>
        <stp>2</stp>
        <stp>600326</stp>
        <stp>12/31/2018</stp>
        <tr r="O1643" s="1"/>
      </tp>
      <tp>
        <v>1.57247755794459</v>
        <stp/>
        <stp>EM_S_VAL_PS_TTM</stp>
        <stp>2</stp>
        <stp>300375</stp>
        <stp>12/31/2018</stp>
        <tr r="O3267" s="1"/>
      </tp>
      <tp>
        <v>0.64798518480449996</v>
        <stp/>
        <stp>EM_S_VAL_PS_TTM</stp>
        <stp>2</stp>
        <stp>600325</stp>
        <stp>12/31/2018</stp>
        <tr r="O1081" s="1"/>
      </tp>
      <tp>
        <v>2.6597435586747</v>
        <stp/>
        <stp>EM_S_VAL_PS_TTM</stp>
        <stp>2</stp>
        <stp>300374</stp>
        <stp>12/31/2018</stp>
        <tr r="O2349" s="1"/>
      </tp>
      <tp>
        <v>3.9132338987022899</v>
        <stp/>
        <stp>EM_S_VAL_PS_TTM</stp>
        <stp>2</stp>
        <stp>300373</stp>
        <stp>12/31/2018</stp>
        <tr r="O1293" s="1"/>
      </tp>
      <tp>
        <v>2.27424319051305</v>
        <stp/>
        <stp>EM_S_VAL_PS_TTM</stp>
        <stp>2</stp>
        <stp>600323</stp>
        <stp>12/31/2018</stp>
        <tr r="O1110" s="1"/>
      </tp>
      <tp>
        <v>9.1692176440934894</v>
        <stp/>
        <stp>EM_S_VAL_PS_TTM</stp>
        <stp>2</stp>
        <stp>300372</stp>
        <stp>12/31/2018</stp>
        <tr r="O2283" s="1"/>
      </tp>
      <tp>
        <v>0.62363364571384206</v>
        <stp/>
        <stp>EM_S_VAL_PS_TTM</stp>
        <stp>2</stp>
        <stp>600322</stp>
        <stp>12/31/2018</stp>
        <tr r="O2723" s="1"/>
      </tp>
      <tp>
        <v>5.6198622643903997</v>
        <stp/>
        <stp>EM_S_VAL_PS_TTM</stp>
        <stp>2</stp>
        <stp>300371</stp>
        <stp>12/31/2018</stp>
        <tr r="O1838" s="1"/>
      </tp>
      <tp>
        <v>1.34480299258953</v>
        <stp/>
        <stp>EM_S_VAL_PS_TTM</stp>
        <stp>2</stp>
        <stp>600321</stp>
        <stp>12/31/2018</stp>
        <tr r="O1240" s="1"/>
      </tp>
      <tp>
        <v>1.4570723706617701</v>
        <stp/>
        <stp>EM_S_VAL_PS_TTM</stp>
        <stp>2</stp>
        <stp>300370</stp>
        <stp>12/31/2018</stp>
        <tr r="O888" s="1"/>
      </tp>
      <tp>
        <v>0.77889377840068696</v>
        <stp/>
        <stp>EM_S_VAL_PS_TTM</stp>
        <stp>2</stp>
        <stp>600320</stp>
        <stp>12/31/2018</stp>
        <tr r="O1504" s="1"/>
      </tp>
      <tp>
        <v>13.233617039237901</v>
        <stp/>
        <stp>EM_S_VAL_PS_TTM</stp>
        <stp>2</stp>
        <stp>300379</stp>
        <stp>12/31/2018</stp>
        <tr r="O36" s="1"/>
      </tp>
      <tp>
        <v>1.57199693848789</v>
        <stp/>
        <stp>EM_S_VAL_PS_TTM</stp>
        <stp>2</stp>
        <stp>600329</stp>
        <stp>12/31/2018</stp>
        <tr r="O1791" s="1"/>
      </tp>
      <tp>
        <v>1.99887611483983</v>
        <stp/>
        <stp>EM_S_VAL_PS_TTM</stp>
        <stp>2</stp>
        <stp>300378</stp>
        <stp>12/31/2018</stp>
        <tr r="O552" s="1"/>
      </tp>
      <tp>
        <v>0.82070829682670998</v>
        <stp/>
        <stp>EM_S_VAL_PS_TTM</stp>
        <stp>2</stp>
        <stp>600328</stp>
        <stp>12/31/2018</stp>
        <tr r="O1295" s="1"/>
      </tp>
      <tp>
        <v>2.01278921978792</v>
        <stp/>
        <stp>EM_S_VAL_PS_TTM</stp>
        <stp>2</stp>
        <stp>300287</stp>
        <stp>12/31/2018</stp>
        <tr r="O2172" s="1"/>
      </tp>
      <tp>
        <v>4.0902791805198602</v>
        <stp/>
        <stp>EM_S_VAL_PS_TTM</stp>
        <stp>2</stp>
        <stp>300286</stp>
        <stp>12/31/2018</stp>
        <tr r="O747" s="1"/>
      </tp>
      <tp>
        <v>6.7411885864344301</v>
        <stp/>
        <stp>EM_S_VAL_PS_TTM</stp>
        <stp>2</stp>
        <stp>300285</stp>
        <stp>12/31/2018</stp>
        <tr r="O750" s="1"/>
      </tp>
      <tp>
        <v>1.1721687560567899</v>
        <stp/>
        <stp>EM_S_VAL_PS_TTM</stp>
        <stp>2</stp>
        <stp>300284</stp>
        <stp>12/31/2018</stp>
        <tr r="O3100" s="1"/>
      </tp>
      <tp>
        <v>1.6287636190162</v>
        <stp/>
        <stp>EM_S_VAL_PS_TTM</stp>
        <stp>2</stp>
        <stp>300283</stp>
        <stp>12/31/2018</stp>
        <tr r="O2236" s="1"/>
      </tp>
      <tp>
        <v>6.11152227674157</v>
        <stp/>
        <stp>EM_S_VAL_PS_TTM</stp>
        <stp>2</stp>
        <stp>300282</stp>
        <stp>12/31/2018</stp>
        <tr r="O3268" s="1"/>
      </tp>
      <tp>
        <v>4.3427283805047496</v>
        <stp/>
        <stp>EM_S_VAL_PS_TTM</stp>
        <stp>2</stp>
        <stp>300281</stp>
        <stp>12/31/2018</stp>
        <tr r="O832" s="1"/>
      </tp>
      <tp>
        <v>7.7504638223485003</v>
        <stp/>
        <stp>EM_S_VAL_PS_TTM</stp>
        <stp>2</stp>
        <stp>300280</stp>
        <stp>12/31/2018</stp>
        <tr r="O3363" s="1"/>
      </tp>
      <tp>
        <v>3.9304399385659301</v>
        <stp/>
        <stp>EM_S_VAL_PS_TTM</stp>
        <stp>2</stp>
        <stp>300289</stp>
        <stp>12/31/2018</stp>
        <tr r="O2864" s="1"/>
      </tp>
      <tp>
        <v>9.6449568131603591</v>
        <stp/>
        <stp>EM_S_VAL_PS_TTM</stp>
        <stp>2</stp>
        <stp>300288</stp>
        <stp>12/31/2018</stp>
        <tr r="O2609" s="1"/>
      </tp>
      <tp>
        <v>2.77249772325764</v>
        <stp/>
        <stp>EM_S_VAL_PS_TTM</stp>
        <stp>2</stp>
        <stp>300297</stp>
        <stp>12/31/2018</stp>
        <tr r="O1570" s="1"/>
      </tp>
      <tp>
        <v>2.5668828218072299</v>
        <stp/>
        <stp>EM_S_VAL_PS_TTM</stp>
        <stp>2</stp>
        <stp>300296</stp>
        <stp>12/31/2018</stp>
        <tr r="O2149" s="1"/>
      </tp>
      <tp>
        <v>4.6756531841743501</v>
        <stp/>
        <stp>EM_S_VAL_PS_TTM</stp>
        <stp>2</stp>
        <stp>300295</stp>
        <stp>12/31/2018</stp>
        <tr r="O1480" s="1"/>
      </tp>
      <tp>
        <v>5.06859530524705</v>
        <stp/>
        <stp>EM_S_VAL_PS_TTM</stp>
        <stp>2</stp>
        <stp>300294</stp>
        <stp>12/31/2018</stp>
        <tr r="O1530" s="1"/>
      </tp>
      <tp>
        <v>1.0807069685823301</v>
        <stp/>
        <stp>EM_S_VAL_PS_TTM</stp>
        <stp>2</stp>
        <stp>300293</stp>
        <stp>12/31/2018</stp>
        <tr r="O1253" s="1"/>
      </tp>
      <tp>
        <v>1.7233171540004699</v>
        <stp/>
        <stp>EM_S_VAL_PS_TTM</stp>
        <stp>2</stp>
        <stp>300292</stp>
        <stp>12/31/2018</stp>
        <tr r="O894" s="1"/>
      </tp>
      <tp>
        <v>3.00035958797619</v>
        <stp/>
        <stp>EM_S_VAL_PS_TTM</stp>
        <stp>2</stp>
        <stp>300291</stp>
        <stp>12/31/2018</stp>
        <tr r="O808" s="1"/>
      </tp>
      <tp>
        <v>3.73073871711743</v>
        <stp/>
        <stp>EM_S_VAL_PS_TTM</stp>
        <stp>2</stp>
        <stp>300290</stp>
        <stp>12/31/2018</stp>
        <tr r="O1839" s="1"/>
      </tp>
      <tp>
        <v>6.4850929170244198</v>
        <stp/>
        <stp>EM_S_VAL_PS_TTM</stp>
        <stp>2</stp>
        <stp>300299</stp>
        <stp>12/31/2018</stp>
        <tr r="O2152" s="1"/>
      </tp>
      <tp>
        <v>4.1946393444802297</v>
        <stp/>
        <stp>EM_S_VAL_PS_TTM</stp>
        <stp>2</stp>
        <stp>300298</stp>
        <stp>12/31/2018</stp>
        <tr r="O742" s="1"/>
      </tp>
      <tp>
        <v>0.197436512053379</v>
        <stp/>
        <stp>EM_S_VAL_PS_TTM</stp>
        <stp>2</stp>
        <stp>600297</stp>
        <stp>12/31/2018</stp>
        <tr r="O3057" s="1"/>
      </tp>
      <tp>
        <v>0</v>
        <stp/>
        <stp>EM_S_VAL_PS_TTM</stp>
        <stp>2</stp>
        <stp>600296</stp>
        <stp>12/31/2018</stp>
        <tr r="O2300" s="1"/>
      </tp>
      <tp>
        <v>0.31205267224298899</v>
        <stp/>
        <stp>EM_S_VAL_PS_TTM</stp>
        <stp>2</stp>
        <stp>600295</stp>
        <stp>12/31/2018</stp>
        <tr r="O1322" s="1"/>
      </tp>
      <tp>
        <v>0.37346456380075099</v>
        <stp/>
        <stp>EM_S_VAL_PS_TTM</stp>
        <stp>2</stp>
        <stp>600293</stp>
        <stp>12/31/2018</stp>
        <tr r="O3052" s="1"/>
      </tp>
      <tp>
        <v>1.0853408187198901</v>
        <stp/>
        <stp>EM_S_VAL_PS_TTM</stp>
        <stp>2</stp>
        <stp>600292</stp>
        <stp>12/31/2018</stp>
        <tr r="O1533" s="1"/>
      </tp>
      <tp>
        <v>0.43554839377226101</v>
        <stp/>
        <stp>EM_S_VAL_PS_TTM</stp>
        <stp>2</stp>
        <stp>600291</stp>
        <stp>12/31/2018</stp>
        <tr r="O2800" s="1"/>
      </tp>
      <tp>
        <v>1.7263244874794801</v>
        <stp/>
        <stp>EM_S_VAL_PS_TTM</stp>
        <stp>2</stp>
        <stp>600290</stp>
        <stp>12/31/2018</stp>
        <tr r="O3277" s="1"/>
      </tp>
      <tp>
        <v>2.7232940786083102</v>
        <stp/>
        <stp>EM_S_VAL_PS_TTM</stp>
        <stp>2</stp>
        <stp>600299</stp>
        <stp>12/31/2018</stp>
        <tr r="O2551" s="1"/>
      </tp>
      <tp>
        <v>3.2027217090798299</v>
        <stp/>
        <stp>EM_S_VAL_PS_TTM</stp>
        <stp>2</stp>
        <stp>600298</stp>
        <stp>12/31/2018</stp>
        <tr r="O1273" s="1"/>
      </tp>
      <tp>
        <v>0.38430412612895798</v>
        <stp/>
        <stp>EM_S_VAL_PS_TTM</stp>
        <stp>2</stp>
        <stp>600287</stp>
        <stp>12/31/2018</stp>
        <tr r="O1135" s="1"/>
      </tp>
      <tp>
        <v>3.6830244259542799</v>
        <stp/>
        <stp>EM_S_VAL_PS_TTM</stp>
        <stp>2</stp>
        <stp>600286</stp>
        <stp>12/31/2018</stp>
        <tr r="O2299" s="1"/>
      </tp>
      <tp>
        <v>2.0619785075051702</v>
        <stp/>
        <stp>EM_S_VAL_PS_TTM</stp>
        <stp>2</stp>
        <stp>600285</stp>
        <stp>12/31/2018</stp>
        <tr r="O1003" s="1"/>
      </tp>
      <tp>
        <v>1.3701702486354099</v>
        <stp/>
        <stp>EM_S_VAL_PS_TTM</stp>
        <stp>2</stp>
        <stp>600284</stp>
        <stp>12/31/2018</stp>
        <tr r="O1018" s="1"/>
      </tp>
      <tp>
        <v>3.7889297149097598</v>
        <stp/>
        <stp>EM_S_VAL_PS_TTM</stp>
        <stp>2</stp>
        <stp>600283</stp>
        <stp>12/31/2018</stp>
        <tr r="O2697" s="1"/>
      </tp>
      <tp>
        <v>0.34230932788083601</v>
        <stp/>
        <stp>EM_S_VAL_PS_TTM</stp>
        <stp>2</stp>
        <stp>600282</stp>
        <stp>12/31/2018</stp>
        <tr r="O2261" s="1"/>
      </tp>
      <tp>
        <v>2.5972996664528201</v>
        <stp/>
        <stp>EM_S_VAL_PS_TTM</stp>
        <stp>2</stp>
        <stp>600281</stp>
        <stp>12/31/2018</stp>
        <tr r="O1503" s="1"/>
      </tp>
      <tp>
        <v>0.46927005321740001</v>
        <stp/>
        <stp>EM_S_VAL_PS_TTM</stp>
        <stp>2</stp>
        <stp>600280</stp>
        <stp>12/31/2018</stp>
        <tr r="O2933" s="1"/>
      </tp>
      <tp>
        <v>1.34286340416561</v>
        <stp/>
        <stp>EM_S_VAL_PS_TTM</stp>
        <stp>2</stp>
        <stp>600289</stp>
        <stp>12/31/2018</stp>
        <tr r="O840" s="1"/>
      </tp>
      <tp>
        <v>0.93309167382147296</v>
        <stp/>
        <stp>EM_S_VAL_PS_TTM</stp>
        <stp>2</stp>
        <stp>600288</stp>
        <stp>12/31/2018</stp>
        <tr r="O324" s="1"/>
      </tp>
      <tp>
        <v>0.73400629121489602</v>
        <stp/>
        <stp>EM_S_VAL_PS_TTM</stp>
        <stp>2</stp>
        <stp>300207</stp>
        <stp>12/31/2018</stp>
        <tr r="O108" s="1"/>
      </tp>
      <tp>
        <v>1.86769350991118</v>
        <stp/>
        <stp>EM_S_VAL_PS_TTM</stp>
        <stp>2</stp>
        <stp>600257</stp>
        <stp>12/31/2018</stp>
        <tr r="O2166" s="1"/>
      </tp>
      <tp>
        <v>3.6233596897128399</v>
        <stp/>
        <stp>EM_S_VAL_PS_TTM</stp>
        <stp>2</stp>
        <stp>300206</stp>
        <stp>12/31/2018</stp>
        <tr r="O1176" s="1"/>
      </tp>
      <tp>
        <v>1.9815376478231399</v>
        <stp/>
        <stp>EM_S_VAL_PS_TTM</stp>
        <stp>2</stp>
        <stp>600256</stp>
        <stp>12/31/2018</stp>
        <tr r="O2837" s="1"/>
      </tp>
      <tp>
        <v>1.6597104760170001</v>
        <stp/>
        <stp>EM_S_VAL_PS_TTM</stp>
        <stp>2</stp>
        <stp>300205</stp>
        <stp>12/31/2018</stp>
        <tr r="O825" s="1"/>
      </tp>
      <tp>
        <v>0.55251904944987196</v>
        <stp/>
        <stp>EM_S_VAL_PS_TTM</stp>
        <stp>2</stp>
        <stp>600255</stp>
        <stp>12/31/2018</stp>
        <tr r="O2860" s="1"/>
      </tp>
      <tp>
        <v>5.6359691209379701</v>
        <stp/>
        <stp>EM_S_VAL_PS_TTM</stp>
        <stp>2</stp>
        <stp>300204</stp>
        <stp>12/31/2018</stp>
        <tr r="O2375" s="1"/>
      </tp>
      <tp>
        <v>3.3761604756883798</v>
        <stp/>
        <stp>EM_S_VAL_PS_TTM</stp>
        <stp>2</stp>
        <stp>300203</stp>
        <stp>12/31/2018</stp>
        <tr r="O3273" s="1"/>
      </tp>
      <tp>
        <v>0.79129900997988001</v>
        <stp/>
        <stp>EM_S_VAL_PS_TTM</stp>
        <stp>2</stp>
        <stp>600253</stp>
        <stp>12/31/2018</stp>
        <tr r="O2296" s="1"/>
      </tp>
      <tp>
        <v>4.5816466984043904</v>
        <stp/>
        <stp>EM_S_VAL_PS_TTM</stp>
        <stp>2</stp>
        <stp>300202</stp>
        <stp>12/31/2018</stp>
        <tr r="O299" s="1"/>
      </tp>
      <tp>
        <v>3.0657122658912499</v>
        <stp/>
        <stp>EM_S_VAL_PS_TTM</stp>
        <stp>2</stp>
        <stp>600252</stp>
        <stp>12/31/2018</stp>
        <tr r="O1069" s="1"/>
      </tp>
      <tp>
        <v>2.4973890693829199</v>
        <stp/>
        <stp>EM_S_VAL_PS_TTM</stp>
        <stp>2</stp>
        <stp>300201</stp>
        <stp>12/31/2018</stp>
        <tr r="O2087" s="1"/>
      </tp>
      <tp>
        <v>1.75572132646134</v>
        <stp/>
        <stp>EM_S_VAL_PS_TTM</stp>
        <stp>2</stp>
        <stp>600251</stp>
        <stp>12/31/2018</stp>
        <tr r="O1731" s="1"/>
      </tp>
      <tp>
        <v>1.7767093811061401</v>
        <stp/>
        <stp>EM_S_VAL_PS_TTM</stp>
        <stp>2</stp>
        <stp>300200</stp>
        <stp>12/31/2018</stp>
        <tr r="O246" s="1"/>
      </tp>
      <tp>
        <v>1.8215695620519901</v>
        <stp/>
        <stp>EM_S_VAL_PS_TTM</stp>
        <stp>2</stp>
        <stp>600250</stp>
        <stp>12/31/2018</stp>
        <tr r="O3043" s="1"/>
      </tp>
      <tp>
        <v>3.2471087951775099</v>
        <stp/>
        <stp>EM_S_VAL_PS_TTM</stp>
        <stp>2</stp>
        <stp>300209</stp>
        <stp>12/31/2018</stp>
        <tr r="O866" s="1"/>
      </tp>
      <tp>
        <v>2.1982270058942901</v>
        <stp/>
        <stp>EM_S_VAL_PS_TTM</stp>
        <stp>2</stp>
        <stp>600259</stp>
        <stp>12/31/2018</stp>
        <tr r="O486" s="1"/>
      </tp>
      <tp>
        <v>3.0091823115591398</v>
        <stp/>
        <stp>EM_S_VAL_PS_TTM</stp>
        <stp>2</stp>
        <stp>300208</stp>
        <stp>12/31/2018</stp>
        <tr r="O1037" s="1"/>
      </tp>
      <tp>
        <v>1.8437443612578199</v>
        <stp/>
        <stp>EM_S_VAL_PS_TTM</stp>
        <stp>2</stp>
        <stp>600258</stp>
        <stp>12/31/2018</stp>
        <tr r="O833" s="1"/>
      </tp>
      <tp>
        <v>1.2676707900506301</v>
        <stp/>
        <stp>EM_S_VAL_PS_TTM</stp>
        <stp>2</stp>
        <stp>300217</stp>
        <stp>12/31/2018</stp>
        <tr r="O2065" s="1"/>
      </tp>
      <tp>
        <v>34.659225455827404</v>
        <stp/>
        <stp>EM_S_VAL_PS_TTM</stp>
        <stp>2</stp>
        <stp>600247</stp>
        <stp>12/31/2018</stp>
        <tr r="O3103" s="1"/>
      </tp>
      <tp>
        <v>6.2142477401362202</v>
        <stp/>
        <stp>EM_S_VAL_PS_TTM</stp>
        <stp>2</stp>
        <stp>300216</stp>
        <stp>12/31/2018</stp>
        <tr r="O2361" s="1"/>
      </tp>
      <tp>
        <v>1.4317112885144301</v>
        <stp/>
        <stp>EM_S_VAL_PS_TTM</stp>
        <stp>2</stp>
        <stp>600246</stp>
        <stp>12/31/2018</stp>
        <tr r="O495" s="1"/>
      </tp>
      <tp>
        <v>5.77661836667163</v>
        <stp/>
        <stp>EM_S_VAL_PS_TTM</stp>
        <stp>2</stp>
        <stp>300215</stp>
        <stp>12/31/2018</stp>
        <tr r="O1169" s="1"/>
      </tp>
      <tp>
        <v>1.47947560659156</v>
        <stp/>
        <stp>EM_S_VAL_PS_TTM</stp>
        <stp>2</stp>
        <stp>300214</stp>
        <stp>12/31/2018</stp>
        <tr r="O590" s="1"/>
      </tp>
      <tp>
        <v>2.6055026607712399</v>
        <stp/>
        <stp>EM_S_VAL_PS_TTM</stp>
        <stp>2</stp>
        <stp>300213</stp>
        <stp>12/31/2018</stp>
        <tr r="O1437" s="1"/>
      </tp>
      <tp>
        <v>2.1620216912013599</v>
        <stp/>
        <stp>EM_S_VAL_PS_TTM</stp>
        <stp>2</stp>
        <stp>600243</stp>
        <stp>12/31/2018</stp>
        <tr r="O1495" s="1"/>
      </tp>
      <tp>
        <v>2.91649248583593</v>
        <stp/>
        <stp>EM_S_VAL_PS_TTM</stp>
        <stp>2</stp>
        <stp>300212</stp>
        <stp>12/31/2018</stp>
        <tr r="O426" s="1"/>
      </tp>
      <tp>
        <v>2.59662342367234</v>
        <stp/>
        <stp>EM_S_VAL_PS_TTM</stp>
        <stp>2</stp>
        <stp>600242</stp>
        <stp>12/31/2018</stp>
        <tr r="O3360" s="1"/>
      </tp>
      <tp>
        <v>9.7361980644129993</v>
        <stp/>
        <stp>EM_S_VAL_PS_TTM</stp>
        <stp>2</stp>
        <stp>300211</stp>
        <stp>12/31/2018</stp>
        <tr r="O339" s="1"/>
      </tp>
      <tp>
        <v>1.44853461106571</v>
        <stp/>
        <stp>EM_S_VAL_PS_TTM</stp>
        <stp>2</stp>
        <stp>600241</stp>
        <stp>12/31/2018</stp>
        <tr r="O2745" s="1"/>
      </tp>
      <tp>
        <v>5.1852015627810699</v>
        <stp/>
        <stp>EM_S_VAL_PS_TTM</stp>
        <stp>2</stp>
        <stp>300210</stp>
        <stp>12/31/2018</stp>
        <tr r="O3058" s="1"/>
      </tp>
      <tp>
        <v>0.70560811234154397</v>
        <stp/>
        <stp>EM_S_VAL_PS_TTM</stp>
        <stp>2</stp>
        <stp>600240</stp>
        <stp>12/31/2018</stp>
        <tr r="O3408" s="1"/>
      </tp>
      <tp>
        <v>1.34569453097382</v>
        <stp/>
        <stp>EM_S_VAL_PS_TTM</stp>
        <stp>2</stp>
        <stp>300219</stp>
        <stp>12/31/2018</stp>
        <tr r="O2822" s="1"/>
      </tp>
      <tp>
        <v>1.5443031718801099</v>
        <stp/>
        <stp>EM_S_VAL_PS_TTM</stp>
        <stp>2</stp>
        <stp>600249</stp>
        <stp>12/31/2018</stp>
        <tr r="O1050" s="1"/>
      </tp>
      <tp>
        <v>0.80859567635282703</v>
        <stp/>
        <stp>EM_S_VAL_PS_TTM</stp>
        <stp>2</stp>
        <stp>300218</stp>
        <stp>12/31/2018</stp>
        <tr r="O970" s="1"/>
      </tp>
      <tp>
        <v>0.81926550071057103</v>
        <stp/>
        <stp>EM_S_VAL_PS_TTM</stp>
        <stp>2</stp>
        <stp>600248</stp>
        <stp>12/31/2018</stp>
        <tr r="O1689" s="1"/>
      </tp>
      <tp>
        <v>3.5061867914626701</v>
        <stp/>
        <stp>EM_S_VAL_PS_TTM</stp>
        <stp>2</stp>
        <stp>300227</stp>
        <stp>12/31/2018</stp>
        <tr r="O659" s="1"/>
      </tp>
      <tp>
        <v>0.91906568377478104</v>
        <stp/>
        <stp>EM_S_VAL_PS_TTM</stp>
        <stp>2</stp>
        <stp>600277</stp>
        <stp>12/31/2018</stp>
        <tr r="O3055" s="1"/>
      </tp>
      <tp>
        <v>7.6982579373990001E-2</v>
        <stp/>
        <stp>EM_S_VAL_PS_TTM</stp>
        <stp>2</stp>
        <stp>300226</stp>
        <stp>12/31/2018</stp>
        <tr r="O350" s="1"/>
      </tp>
      <tp>
        <v>11.968587318753</v>
        <stp/>
        <stp>EM_S_VAL_PS_TTM</stp>
        <stp>2</stp>
        <stp>600276</stp>
        <stp>12/31/2018</stp>
        <tr r="O401" s="1"/>
      </tp>
      <tp>
        <v>2.6342616740931599</v>
        <stp/>
        <stp>EM_S_VAL_PS_TTM</stp>
        <stp>2</stp>
        <stp>300225</stp>
        <stp>12/31/2018</stp>
        <tr r="O940" s="1"/>
      </tp>
      <tp>
        <v>58.3550689544835</v>
        <stp/>
        <stp>EM_S_VAL_PS_TTM</stp>
        <stp>2</stp>
        <stp>600275</stp>
        <stp>12/31/2018</stp>
        <tr r="O3082" s="1"/>
      </tp>
      <tp>
        <v>2.9976758153352998</v>
        <stp/>
        <stp>EM_S_VAL_PS_TTM</stp>
        <stp>2</stp>
        <stp>300224</stp>
        <stp>12/31/2018</stp>
        <tr r="O372" s="1"/>
      </tp>
      <tp>
        <v>16.506021113312599</v>
        <stp/>
        <stp>EM_S_VAL_PS_TTM</stp>
        <stp>2</stp>
        <stp>300223</stp>
        <stp>12/31/2018</stp>
        <tr r="O20" s="1"/>
      </tp>
      <tp>
        <v>2.2373462248826201</v>
        <stp/>
        <stp>EM_S_VAL_PS_TTM</stp>
        <stp>2</stp>
        <stp>600273</stp>
        <stp>12/31/2018</stp>
        <tr r="O1116" s="1"/>
      </tp>
      <tp>
        <v>3.69522767060589</v>
        <stp/>
        <stp>EM_S_VAL_PS_TTM</stp>
        <stp>2</stp>
        <stp>300222</stp>
        <stp>12/31/2018</stp>
        <tr r="O3309" s="1"/>
      </tp>
      <tp>
        <v>1.9414123938174801</v>
        <stp/>
        <stp>EM_S_VAL_PS_TTM</stp>
        <stp>2</stp>
        <stp>600272</stp>
        <stp>12/31/2018</stp>
        <tr r="O1919" s="1"/>
      </tp>
      <tp>
        <v>1.00841317773171</v>
        <stp/>
        <stp>EM_S_VAL_PS_TTM</stp>
        <stp>2</stp>
        <stp>300221</stp>
        <stp>12/31/2018</stp>
        <tr r="O1732" s="1"/>
      </tp>
      <tp>
        <v>1.31718228036301</v>
        <stp/>
        <stp>EM_S_VAL_PS_TTM</stp>
        <stp>2</stp>
        <stp>600271</stp>
        <stp>12/31/2018</stp>
        <tr r="O2348" s="1"/>
      </tp>
      <tp>
        <v>6.4253405780317401</v>
        <stp/>
        <stp>EM_S_VAL_PS_TTM</stp>
        <stp>2</stp>
        <stp>300220</stp>
        <stp>12/31/2018</stp>
        <tr r="O27" s="1"/>
      </tp>
      <tp>
        <v>2.7360286874917499</v>
        <stp/>
        <stp>EM_S_VAL_PS_TTM</stp>
        <stp>2</stp>
        <stp>600270</stp>
        <stp>12/31/2018</stp>
        <tr r="O2298" s="1"/>
      </tp>
      <tp>
        <v>4.9482643512345996</v>
        <stp/>
        <stp>EM_S_VAL_PS_TTM</stp>
        <stp>2</stp>
        <stp>300229</stp>
        <stp>12/31/2018</stp>
        <tr r="O529" s="1"/>
      </tp>
      <tp>
        <v>0.40699078568632802</v>
        <stp/>
        <stp>EM_S_VAL_PS_TTM</stp>
        <stp>2</stp>
        <stp>600279</stp>
        <stp>12/31/2018</stp>
        <tr r="O1653" s="1"/>
      </tp>
      <tp>
        <v>1.56468088400655</v>
        <stp/>
        <stp>EM_S_VAL_PS_TTM</stp>
        <stp>2</stp>
        <stp>300228</stp>
        <stp>12/31/2018</stp>
        <tr r="O1991" s="1"/>
      </tp>
      <tp>
        <v>0.24780195789536799</v>
        <stp/>
        <stp>EM_S_VAL_PS_TTM</stp>
        <stp>2</stp>
        <stp>600278</stp>
        <stp>12/31/2018</stp>
        <tr r="O923" s="1"/>
      </tp>
      <tp>
        <v>1.3210129301913001</v>
        <stp/>
        <stp>EM_S_VAL_PS_TTM</stp>
        <stp>2</stp>
        <stp>300237</stp>
        <stp>12/31/2018</stp>
        <tr r="O3205" s="1"/>
      </tp>
      <tp>
        <v>0.79420423686845498</v>
        <stp/>
        <stp>EM_S_VAL_PS_TTM</stp>
        <stp>2</stp>
        <stp>600267</stp>
        <stp>12/31/2018</stp>
        <tr r="O1513" s="1"/>
      </tp>
      <tp>
        <v>9.5702452578145305</v>
        <stp/>
        <stp>EM_S_VAL_PS_TTM</stp>
        <stp>2</stp>
        <stp>300236</stp>
        <stp>12/31/2018</stp>
        <tr r="O1622" s="1"/>
      </tp>
      <tp>
        <v>0.84759846928475802</v>
        <stp/>
        <stp>EM_S_VAL_PS_TTM</stp>
        <stp>2</stp>
        <stp>600266</stp>
        <stp>12/31/2018</stp>
        <tr r="O2129" s="1"/>
      </tp>
      <tp>
        <v>12.055522436477</v>
        <stp/>
        <stp>EM_S_VAL_PS_TTM</stp>
        <stp>2</stp>
        <stp>300235</stp>
        <stp>12/31/2018</stp>
        <tr r="O431" s="1"/>
      </tp>
      <tp>
        <v>46.811541820141798</v>
        <stp/>
        <stp>EM_S_VAL_PS_TTM</stp>
        <stp>2</stp>
        <stp>600265</stp>
        <stp>12/31/2018</stp>
        <tr r="O2743" s="1"/>
      </tp>
      <tp>
        <v>4.6477644895170602</v>
        <stp/>
        <stp>EM_S_VAL_PS_TTM</stp>
        <stp>2</stp>
        <stp>300234</stp>
        <stp>12/31/2018</stp>
        <tr r="O173" s="1"/>
      </tp>
      <tp>
        <v>1.741521822505</v>
        <stp/>
        <stp>EM_S_VAL_PS_TTM</stp>
        <stp>2</stp>
        <stp>300233</stp>
        <stp>12/31/2018</stp>
        <tr r="O694" s="1"/>
      </tp>
      <tp>
        <v>0.50026295353183903</v>
        <stp/>
        <stp>EM_S_VAL_PS_TTM</stp>
        <stp>2</stp>
        <stp>600263</stp>
        <stp>12/31/2018</stp>
        <tr r="O2297" s="1"/>
      </tp>
      <tp>
        <v>1.70802573190484</v>
        <stp/>
        <stp>EM_S_VAL_PS_TTM</stp>
        <stp>2</stp>
        <stp>300232</stp>
        <stp>12/31/2018</stp>
        <tr r="O1976" s="1"/>
      </tp>
      <tp>
        <v>2.1399229276457699</v>
        <stp/>
        <stp>EM_S_VAL_PS_TTM</stp>
        <stp>2</stp>
        <stp>600262</stp>
        <stp>12/31/2018</stp>
        <tr r="O2020" s="1"/>
      </tp>
      <tp>
        <v>2.48079933714576</v>
        <stp/>
        <stp>EM_S_VAL_PS_TTM</stp>
        <stp>2</stp>
        <stp>300231</stp>
        <stp>12/31/2018</stp>
        <tr r="O943" s="1"/>
      </tp>
      <tp>
        <v>0.89288649906554896</v>
        <stp/>
        <stp>EM_S_VAL_PS_TTM</stp>
        <stp>2</stp>
        <stp>600261</stp>
        <stp>12/31/2018</stp>
        <tr r="O753" s="1"/>
      </tp>
      <tp>
        <v>1.1603226416319401</v>
        <stp/>
        <stp>EM_S_VAL_PS_TTM</stp>
        <stp>2</stp>
        <stp>300230</stp>
        <stp>12/31/2018</stp>
        <tr r="O2958" s="1"/>
      </tp>
      <tp>
        <v>0.77229329971182303</v>
        <stp/>
        <stp>EM_S_VAL_PS_TTM</stp>
        <stp>2</stp>
        <stp>600260</stp>
        <stp>12/31/2018</stp>
        <tr r="O3108" s="1"/>
      </tp>
      <tp>
        <v>3.9374401209466798</v>
        <stp/>
        <stp>EM_S_VAL_PS_TTM</stp>
        <stp>2</stp>
        <stp>300239</stp>
        <stp>12/31/2018</stp>
        <tr r="O984" s="1"/>
      </tp>
      <tp>
        <v>2.1590313944424899</v>
        <stp/>
        <stp>EM_S_VAL_PS_TTM</stp>
        <stp>2</stp>
        <stp>600269</stp>
        <stp>12/31/2018</stp>
        <tr r="O1972" s="1"/>
      </tp>
      <tp>
        <v>5.7915689234113303</v>
        <stp/>
        <stp>EM_S_VAL_PS_TTM</stp>
        <stp>2</stp>
        <stp>300238</stp>
        <stp>12/31/2018</stp>
        <tr r="O179" s="1"/>
      </tp>
      <tp>
        <v>0.55885832906794697</v>
        <stp/>
        <stp>EM_S_VAL_PS_TTM</stp>
        <stp>2</stp>
        <stp>600268</stp>
        <stp>12/31/2018</stp>
        <tr r="O1195" s="1"/>
      </tp>
      <tp>
        <v>2.33066716122095</v>
        <stp/>
        <stp>EM_S_VAL_PS_TTM</stp>
        <stp>2</stp>
        <stp>300247</stp>
        <stp>12/31/2018</stp>
        <tr r="O2984" s="1"/>
      </tp>
      <tp>
        <v>2.2171322213432298</v>
        <stp/>
        <stp>EM_S_VAL_PS_TTM</stp>
        <stp>2</stp>
        <stp>600217</stp>
        <stp>12/31/2018</stp>
        <tr r="O1105" s="1"/>
      </tp>
      <tp>
        <v>2.03023048647453</v>
        <stp/>
        <stp>EM_S_VAL_PS_TTM</stp>
        <stp>2</stp>
        <stp>300246</stp>
        <stp>12/31/2018</stp>
        <tr r="O740" s="1"/>
      </tp>
      <tp>
        <v>1.2179708194679799</v>
        <stp/>
        <stp>EM_S_VAL_PS_TTM</stp>
        <stp>2</stp>
        <stp>600216</stp>
        <stp>12/31/2018</stp>
        <tr r="O597" s="1"/>
      </tp>
      <tp>
        <v>7.7504105288745002</v>
        <stp/>
        <stp>EM_S_VAL_PS_TTM</stp>
        <stp>2</stp>
        <stp>300245</stp>
        <stp>12/31/2018</stp>
        <tr r="O1646" s="1"/>
      </tp>
      <tp>
        <v>4.3335227300972399</v>
        <stp/>
        <stp>EM_S_VAL_PS_TTM</stp>
        <stp>2</stp>
        <stp>600215</stp>
        <stp>12/31/2018</stp>
        <tr r="O2571" s="1"/>
      </tp>
      <tp>
        <v>1.34513697896177</v>
        <stp/>
        <stp>EM_S_VAL_PS_TTM</stp>
        <stp>2</stp>
        <stp>300244</stp>
        <stp>12/31/2018</stp>
        <tr r="O671" s="1"/>
      </tp>
      <tp>
        <v>1.20848588889312</v>
        <stp/>
        <stp>EM_S_VAL_PS_TTM</stp>
        <stp>2</stp>
        <stp>300243</stp>
        <stp>12/31/2018</stp>
        <tr r="O2469" s="1"/>
      </tp>
      <tp>
        <v>0.49913402859497003</v>
        <stp/>
        <stp>EM_S_VAL_PS_TTM</stp>
        <stp>2</stp>
        <stp>600213</stp>
        <stp>12/31/2018</stp>
        <tr r="O668" s="1"/>
      </tp>
      <tp>
        <v>0.60228634008212001</v>
        <stp/>
        <stp>EM_S_VAL_PS_TTM</stp>
        <stp>2</stp>
        <stp>300242</stp>
        <stp>12/31/2018</stp>
        <tr r="O2537" s="1"/>
      </tp>
      <tp>
        <v>8.5403466670799606</v>
        <stp/>
        <stp>EM_S_VAL_PS_TTM</stp>
        <stp>2</stp>
        <stp>600212</stp>
        <stp>12/31/2018</stp>
        <tr r="O2006" s="1"/>
      </tp>
      <tp>
        <v>1.6894633430780901</v>
        <stp/>
        <stp>EM_S_VAL_PS_TTM</stp>
        <stp>2</stp>
        <stp>300241</stp>
        <stp>12/31/2018</stp>
        <tr r="O679" s="1"/>
      </tp>
      <tp>
        <v>5.2261457654476304</v>
        <stp/>
        <stp>EM_S_VAL_PS_TTM</stp>
        <stp>2</stp>
        <stp>600211</stp>
        <stp>12/31/2018</stp>
        <tr r="O1937" s="1"/>
      </tp>
      <tp>
        <v>0.83628692699254503</v>
        <stp/>
        <stp>EM_S_VAL_PS_TTM</stp>
        <stp>2</stp>
        <stp>300240</stp>
        <stp>12/31/2018</stp>
        <tr r="O2840" s="1"/>
      </tp>
      <tp>
        <v>0.61359011509043904</v>
        <stp/>
        <stp>EM_S_VAL_PS_TTM</stp>
        <stp>2</stp>
        <stp>600210</stp>
        <stp>12/31/2018</stp>
        <tr r="O2091" s="1"/>
      </tp>
      <tp>
        <v>1.8646201466154699</v>
        <stp/>
        <stp>EM_S_VAL_PS_TTM</stp>
        <stp>2</stp>
        <stp>300249</stp>
        <stp>12/31/2018</stp>
        <tr r="O2557" s="1"/>
      </tp>
      <tp>
        <v>1.25651578226355</v>
        <stp/>
        <stp>EM_S_VAL_PS_TTM</stp>
        <stp>2</stp>
        <stp>600219</stp>
        <stp>12/31/2018</stp>
        <tr r="O1916" s="1"/>
      </tp>
      <tp>
        <v>4.0346208107377404</v>
        <stp/>
        <stp>EM_S_VAL_PS_TTM</stp>
        <stp>2</stp>
        <stp>300248</stp>
        <stp>12/31/2018</stp>
        <tr r="O1276" s="1"/>
      </tp>
      <tp>
        <v>0.48141455694104202</v>
        <stp/>
        <stp>EM_S_VAL_PS_TTM</stp>
        <stp>2</stp>
        <stp>600218</stp>
        <stp>12/31/2018</stp>
        <tr r="O83" s="1"/>
      </tp>
      <tp>
        <v>3.4367060327444201</v>
        <stp/>
        <stp>EM_S_VAL_PS_TTM</stp>
        <stp>2</stp>
        <stp>300257</stp>
        <stp>12/31/2018</stp>
        <tr r="O1743" s="1"/>
      </tp>
      <tp>
        <v>1.7198982039017701</v>
        <stp/>
        <stp>EM_S_VAL_PS_TTM</stp>
        <stp>2</stp>
        <stp>600207</stp>
        <stp>12/31/2018</stp>
        <tr r="O1807" s="1"/>
      </tp>
      <tp>
        <v>0.58568428108264403</v>
        <stp/>
        <stp>EM_S_VAL_PS_TTM</stp>
        <stp>2</stp>
        <stp>300256</stp>
        <stp>12/31/2018</stp>
        <tr r="O154" s="1"/>
      </tp>
      <tp>
        <v>1.2407370398612001</v>
        <stp/>
        <stp>EM_S_VAL_PS_TTM</stp>
        <stp>2</stp>
        <stp>600206</stp>
        <stp>12/31/2018</stp>
        <tr r="O232" s="1"/>
      </tp>
      <tp>
        <v>2.2618536788358599</v>
        <stp/>
        <stp>EM_S_VAL_PS_TTM</stp>
        <stp>2</stp>
        <stp>300255</stp>
        <stp>12/31/2018</stp>
        <tr r="O922" s="1"/>
      </tp>
      <tp>
        <v>0</v>
        <stp/>
        <stp>EM_S_VAL_PS_TTM</stp>
        <stp>2</stp>
        <stp>600205</stp>
        <stp>12/31/2018</stp>
        <tr r="O2295" s="1"/>
      </tp>
      <tp>
        <v>1.2358381550269699</v>
        <stp/>
        <stp>EM_S_VAL_PS_TTM</stp>
        <stp>2</stp>
        <stp>300254</stp>
        <stp>12/31/2018</stp>
        <tr r="O1140" s="1"/>
      </tp>
      <tp>
        <v>14.0421968777454</v>
        <stp/>
        <stp>EM_S_VAL_PS_TTM</stp>
        <stp>2</stp>
        <stp>300253</stp>
        <stp>12/31/2018</stp>
        <tr r="O1336" s="1"/>
      </tp>
      <tp>
        <v>0.20928233345585601</v>
        <stp/>
        <stp>EM_S_VAL_PS_TTM</stp>
        <stp>2</stp>
        <stp>600203</stp>
        <stp>12/31/2018</stp>
        <tr r="O655" s="1"/>
      </tp>
      <tp>
        <v>2.4255241548631199</v>
        <stp/>
        <stp>EM_S_VAL_PS_TTM</stp>
        <stp>2</stp>
        <stp>300252</stp>
        <stp>12/31/2018</stp>
        <tr r="O2966" s="1"/>
      </tp>
      <tp>
        <v>2.9117003892407798</v>
        <stp/>
        <stp>EM_S_VAL_PS_TTM</stp>
        <stp>2</stp>
        <stp>600202</stp>
        <stp>12/31/2018</stp>
        <tr r="O605" s="1"/>
      </tp>
      <tp>
        <v>14.1170853118153</v>
        <stp/>
        <stp>EM_S_VAL_PS_TTM</stp>
        <stp>2</stp>
        <stp>300251</stp>
        <stp>12/31/2018</stp>
        <tr r="O501" s="1"/>
      </tp>
      <tp>
        <v>9.6757609314602</v>
        <stp/>
        <stp>EM_S_VAL_PS_TTM</stp>
        <stp>2</stp>
        <stp>600201</stp>
        <stp>12/31/2018</stp>
        <tr r="O1517" s="1"/>
      </tp>
      <tp>
        <v>5.2965198054839799</v>
        <stp/>
        <stp>EM_S_VAL_PS_TTM</stp>
        <stp>2</stp>
        <stp>300250</stp>
        <stp>12/31/2018</stp>
        <tr r="O1446" s="1"/>
      </tp>
      <tp>
        <v>2.1615799931522099</v>
        <stp/>
        <stp>EM_S_VAL_PS_TTM</stp>
        <stp>2</stp>
        <stp>600200</stp>
        <stp>12/31/2018</stp>
        <tr r="O2906" s="1"/>
      </tp>
      <tp>
        <v>3.95091832248163</v>
        <stp/>
        <stp>EM_S_VAL_PS_TTM</stp>
        <stp>2</stp>
        <stp>300259</stp>
        <stp>12/31/2018</stp>
        <tr r="O399" s="1"/>
      </tp>
      <tp>
        <v>12.9982629425587</v>
        <stp/>
        <stp>EM_S_VAL_PS_TTM</stp>
        <stp>2</stp>
        <stp>600209</stp>
        <stp>12/31/2018</stp>
        <tr r="O3022" s="1"/>
      </tp>
      <tp>
        <v>3.8658918592600799</v>
        <stp/>
        <stp>EM_S_VAL_PS_TTM</stp>
        <stp>2</stp>
        <stp>300258</stp>
        <stp>12/31/2018</stp>
        <tr r="O2705" s="1"/>
      </tp>
      <tp>
        <v>1.6345063445002199</v>
        <stp/>
        <stp>EM_S_VAL_PS_TTM</stp>
        <stp>2</stp>
        <stp>600208</stp>
        <stp>12/31/2018</stp>
        <tr r="O957" s="1"/>
      </tp>
      <tp>
        <v>3.7823153497259701</v>
        <stp/>
        <stp>EM_S_VAL_PS_TTM</stp>
        <stp>2</stp>
        <stp>300267</stp>
        <stp>12/31/2018</stp>
        <tr r="O928" s="1"/>
      </tp>
      <tp>
        <v>2.1412282437824302</v>
        <stp/>
        <stp>EM_S_VAL_PS_TTM</stp>
        <stp>2</stp>
        <stp>600237</stp>
        <stp>12/31/2018</stp>
        <tr r="O1805" s="1"/>
      </tp>
      <tp>
        <v>2.1490646031376999</v>
        <stp/>
        <stp>EM_S_VAL_PS_TTM</stp>
        <stp>2</stp>
        <stp>300266</stp>
        <stp>12/31/2018</stp>
        <tr r="O2378" s="1"/>
      </tp>
      <tp>
        <v>3.8997416634999298</v>
        <stp/>
        <stp>EM_S_VAL_PS_TTM</stp>
        <stp>2</stp>
        <stp>600236</stp>
        <stp>12/31/2018</stp>
        <tr r="O2882" s="1"/>
      </tp>
      <tp>
        <v>1.74727071019167</v>
        <stp/>
        <stp>EM_S_VAL_PS_TTM</stp>
        <stp>2</stp>
        <stp>300265</stp>
        <stp>12/31/2018</stp>
        <tr r="O2552" s="1"/>
      </tp>
      <tp>
        <v>1.3942965452801499</v>
        <stp/>
        <stp>EM_S_VAL_PS_TTM</stp>
        <stp>2</stp>
        <stp>600235</stp>
        <stp>12/31/2018</stp>
        <tr r="O2924" s="1"/>
      </tp>
      <tp>
        <v>6.4492300943438297</v>
        <stp/>
        <stp>EM_S_VAL_PS_TTM</stp>
        <stp>2</stp>
        <stp>300264</stp>
        <stp>12/31/2018</stp>
        <tr r="O2027" s="1"/>
      </tp>
      <tp>
        <v>13.424552791934699</v>
        <stp/>
        <stp>EM_S_VAL_PS_TTM</stp>
        <stp>2</stp>
        <stp>600234</stp>
        <stp>12/31/2018</stp>
        <tr r="O1543" s="1"/>
      </tp>
      <tp>
        <v>2.6338958459803798</v>
        <stp/>
        <stp>EM_S_VAL_PS_TTM</stp>
        <stp>2</stp>
        <stp>300263</stp>
        <stp>12/31/2018</stp>
        <tr r="O837" s="1"/>
      </tp>
      <tp>
        <v>1.09899456520712</v>
        <stp/>
        <stp>EM_S_VAL_PS_TTM</stp>
        <stp>2</stp>
        <stp>600233</stp>
        <stp>12/31/2018</stp>
        <tr r="O1032" s="1"/>
      </tp>
      <tp>
        <v>4.7996773086563902</v>
        <stp/>
        <stp>EM_S_VAL_PS_TTM</stp>
        <stp>2</stp>
        <stp>300262</stp>
        <stp>12/31/2018</stp>
        <tr r="O2823" s="1"/>
      </tp>
      <tp>
        <v>1.4531183824917899</v>
        <stp/>
        <stp>EM_S_VAL_PS_TTM</stp>
        <stp>2</stp>
        <stp>600232</stp>
        <stp>12/31/2018</stp>
        <tr r="O942" s="1"/>
      </tp>
      <tp>
        <v>2.98341724961828</v>
        <stp/>
        <stp>EM_S_VAL_PS_TTM</stp>
        <stp>2</stp>
        <stp>300261</stp>
        <stp>12/31/2018</stp>
        <tr r="O2999" s="1"/>
      </tp>
      <tp>
        <v>0.362942585684426</v>
        <stp/>
        <stp>EM_S_VAL_PS_TTM</stp>
        <stp>2</stp>
        <stp>600231</stp>
        <stp>12/31/2018</stp>
        <tr r="O2157" s="1"/>
      </tp>
      <tp>
        <v>1.8147439094314901</v>
        <stp/>
        <stp>EM_S_VAL_PS_TTM</stp>
        <stp>2</stp>
        <stp>300260</stp>
        <stp>12/31/2018</stp>
        <tr r="O893" s="1"/>
      </tp>
      <tp>
        <v>1.37469298532763</v>
        <stp/>
        <stp>EM_S_VAL_PS_TTM</stp>
        <stp>2</stp>
        <stp>600230</stp>
        <stp>12/31/2018</stp>
        <tr r="O3272" s="1"/>
      </tp>
      <tp>
        <v>0.81494103101973103</v>
        <stp/>
        <stp>EM_S_VAL_PS_TTM</stp>
        <stp>2</stp>
        <stp>300269</stp>
        <stp>12/31/2018</stp>
        <tr r="O2751" s="1"/>
      </tp>
      <tp>
        <v>0.30844887672853299</v>
        <stp/>
        <stp>EM_S_VAL_PS_TTM</stp>
        <stp>2</stp>
        <stp>600239</stp>
        <stp>12/31/2018</stp>
        <tr r="O2256" s="1"/>
      </tp>
      <tp>
        <v>0.970473206058035</v>
        <stp/>
        <stp>EM_S_VAL_PS_TTM</stp>
        <stp>2</stp>
        <stp>300268</stp>
        <stp>12/31/2018</stp>
        <tr r="O1057" s="1"/>
      </tp>
      <tp>
        <v>2.64551304526085</v>
        <stp/>
        <stp>EM_S_VAL_PS_TTM</stp>
        <stp>2</stp>
        <stp>600238</stp>
        <stp>12/31/2018</stp>
        <tr r="O1030" s="1"/>
      </tp>
      <tp>
        <v>6.9530939077880198</v>
        <stp/>
        <stp>EM_S_VAL_PS_TTM</stp>
        <stp>2</stp>
        <stp>300277</stp>
        <stp>12/31/2018</stp>
        <tr r="O492" s="1"/>
      </tp>
      <tp>
        <v>2.0097030728697098</v>
        <stp/>
        <stp>EM_S_VAL_PS_TTM</stp>
        <stp>2</stp>
        <stp>600227</stp>
        <stp>12/31/2018</stp>
        <tr r="O2732" s="1"/>
      </tp>
      <tp>
        <v>3.4283923039271502</v>
        <stp/>
        <stp>EM_S_VAL_PS_TTM</stp>
        <stp>2</stp>
        <stp>300276</stp>
        <stp>12/31/2018</stp>
        <tr r="O3092" s="1"/>
      </tp>
      <tp>
        <v>8.4450720178443195</v>
        <stp/>
        <stp>EM_S_VAL_PS_TTM</stp>
        <stp>2</stp>
        <stp>600226</stp>
        <stp>12/31/2018</stp>
        <tr r="O1718" s="1"/>
      </tp>
      <tp>
        <v>7.2064213784255804</v>
        <stp/>
        <stp>EM_S_VAL_PS_TTM</stp>
        <stp>2</stp>
        <stp>300275</stp>
        <stp>12/31/2018</stp>
        <tr r="O386" s="1"/>
      </tp>
      <tp>
        <v>1.1641534983858099</v>
        <stp/>
        <stp>EM_S_VAL_PS_TTM</stp>
        <stp>2</stp>
        <stp>600225</stp>
        <stp>12/31/2018</stp>
        <tr r="O2872" s="1"/>
      </tp>
      <tp>
        <v>1.6412142320428</v>
        <stp/>
        <stp>EM_S_VAL_PS_TTM</stp>
        <stp>2</stp>
        <stp>300274</stp>
        <stp>12/31/2018</stp>
        <tr r="O1283" s="1"/>
      </tp>
      <tp>
        <v>3.0654746501929502</v>
        <stp/>
        <stp>EM_S_VAL_PS_TTM</stp>
        <stp>2</stp>
        <stp>300273</stp>
        <stp>12/31/2018</stp>
        <tr r="O1936" s="1"/>
      </tp>
      <tp>
        <v>0.352344192784044</v>
        <stp/>
        <stp>EM_S_VAL_PS_TTM</stp>
        <stp>2</stp>
        <stp>600223</stp>
        <stp>12/31/2018</stp>
        <tr r="O86" s="1"/>
      </tp>
      <tp>
        <v>3.69651682943684</v>
        <stp/>
        <stp>EM_S_VAL_PS_TTM</stp>
        <stp>2</stp>
        <stp>300272</stp>
        <stp>12/31/2018</stp>
        <tr r="O3189" s="1"/>
      </tp>
      <tp>
        <v>1.5972930592637899</v>
        <stp/>
        <stp>EM_S_VAL_PS_TTM</stp>
        <stp>2</stp>
        <stp>600222</stp>
        <stp>12/31/2018</stp>
        <tr r="O1015" s="1"/>
      </tp>
      <tp>
        <v>4.3560231618412901</v>
        <stp/>
        <stp>EM_S_VAL_PS_TTM</stp>
        <stp>2</stp>
        <stp>300271</stp>
        <stp>12/31/2018</stp>
        <tr r="O312" s="1"/>
      </tp>
      <tp>
        <v>0.47103403590747001</v>
        <stp/>
        <stp>EM_S_VAL_PS_TTM</stp>
        <stp>2</stp>
        <stp>600221</stp>
        <stp>12/31/2018</stp>
        <tr r="O2679" s="1"/>
      </tp>
      <tp>
        <v>5.0855644596757399</v>
        <stp/>
        <stp>EM_S_VAL_PS_TTM</stp>
        <stp>2</stp>
        <stp>300270</stp>
        <stp>12/31/2018</stp>
        <tr r="O966" s="1"/>
      </tp>
      <tp>
        <v>1.60829201638787</v>
        <stp/>
        <stp>EM_S_VAL_PS_TTM</stp>
        <stp>2</stp>
        <stp>600220</stp>
        <stp>12/31/2018</stp>
        <tr r="O1873" s="1"/>
      </tp>
      <tp>
        <v>1.7262111446631501</v>
        <stp/>
        <stp>EM_S_VAL_PS_TTM</stp>
        <stp>2</stp>
        <stp>300279</stp>
        <stp>12/31/2018</stp>
        <tr r="O1022" s="1"/>
      </tp>
      <tp>
        <v>2.1865814374036399</v>
        <stp/>
        <stp>EM_S_VAL_PS_TTM</stp>
        <stp>2</stp>
        <stp>600229</stp>
        <stp>12/31/2018</stp>
        <tr r="O2004" s="1"/>
      </tp>
      <tp>
        <v>1.3005969049236901</v>
        <stp/>
        <stp>EM_S_VAL_PS_TTM</stp>
        <stp>2</stp>
        <stp>300278</stp>
        <stp>12/31/2018</stp>
        <tr r="O3145" s="1"/>
      </tp>
      <tp>
        <v>3.6303336131415298</v>
        <stp/>
        <stp>EM_S_VAL_PS_TTM</stp>
        <stp>2</stp>
        <stp>600228</stp>
        <stp>12/31/2018</stp>
        <tr r="O3169" s="1"/>
      </tp>
      <tp>
        <v>3.0376494163967802</v>
        <stp/>
        <stp>EM_S_VAL_PS_TTM</stp>
        <stp>2</stp>
        <stp>300187</stp>
        <stp>12/31/2018</stp>
        <tr r="O2789" s="1"/>
      </tp>
      <tp>
        <v>18.8802228489781</v>
        <stp/>
        <stp>EM_S_VAL_PS_TTM</stp>
        <stp>2</stp>
        <stp>300186</stp>
        <stp>12/31/2018</stp>
        <tr r="O2281" s="1"/>
      </tp>
      <tp>
        <v>1.4952344482922799</v>
        <stp/>
        <stp>EM_S_VAL_PS_TTM</stp>
        <stp>2</stp>
        <stp>300185</stp>
        <stp>12/31/2018</stp>
        <tr r="O1705" s="1"/>
      </tp>
      <tp>
        <v>0.47788571919843997</v>
        <stp/>
        <stp>EM_S_VAL_PS_TTM</stp>
        <stp>2</stp>
        <stp>300184</stp>
        <stp>12/31/2018</stp>
        <tr r="O2506" s="1"/>
      </tp>
      <tp>
        <v>5.9609857443565604</v>
        <stp/>
        <stp>EM_S_VAL_PS_TTM</stp>
        <stp>2</stp>
        <stp>300183</stp>
        <stp>12/31/2018</stp>
        <tr r="O1047" s="1"/>
      </tp>
      <tp>
        <v>2.2012940455159602</v>
        <stp/>
        <stp>EM_S_VAL_PS_TTM</stp>
        <stp>2</stp>
        <stp>300182</stp>
        <stp>12/31/2018</stp>
        <tr r="O3029" s="1"/>
      </tp>
      <tp>
        <v>4.3491270192522702</v>
        <stp/>
        <stp>EM_S_VAL_PS_TTM</stp>
        <stp>2</stp>
        <stp>300181</stp>
        <stp>12/31/2018</stp>
        <tr r="O2515" s="1"/>
      </tp>
      <tp>
        <v>4.1566851283533399</v>
        <stp/>
        <stp>EM_S_VAL_PS_TTM</stp>
        <stp>2</stp>
        <stp>300180</stp>
        <stp>12/31/2018</stp>
        <tr r="O3053" s="1"/>
      </tp>
      <tp>
        <v>8.0567625513441694</v>
        <stp/>
        <stp>EM_S_VAL_PS_TTM</stp>
        <stp>2</stp>
        <stp>300189</stp>
        <stp>12/31/2018</stp>
        <tr r="O624" s="1"/>
      </tp>
      <tp>
        <v>7.0506134427504703</v>
        <stp/>
        <stp>EM_S_VAL_PS_TTM</stp>
        <stp>2</stp>
        <stp>300188</stp>
        <stp>12/31/2018</stp>
        <tr r="O906" s="1"/>
      </tp>
      <tp>
        <v>0.88443374840236499</v>
        <stp/>
        <stp>EM_S_VAL_PS_TTM</stp>
        <stp>2</stp>
        <stp>300197</stp>
        <stp>12/31/2018</stp>
        <tr r="O3073" s="1"/>
      </tp>
      <tp>
        <v>1.7823742833195699</v>
        <stp/>
        <stp>EM_S_VAL_PS_TTM</stp>
        <stp>2</stp>
        <stp>300196</stp>
        <stp>12/31/2018</stp>
        <tr r="O904" s="1"/>
      </tp>
      <tp>
        <v>2.6805527534092799</v>
        <stp/>
        <stp>EM_S_VAL_PS_TTM</stp>
        <stp>2</stp>
        <stp>300195</stp>
        <stp>12/31/2018</stp>
        <tr r="O2722" s="1"/>
      </tp>
      <tp>
        <v>1.43529908116687</v>
        <stp/>
        <stp>EM_S_VAL_PS_TTM</stp>
        <stp>2</stp>
        <stp>300194</stp>
        <stp>12/31/2018</stp>
        <tr r="O334" s="1"/>
      </tp>
      <tp>
        <v>4.0644528480561304</v>
        <stp/>
        <stp>EM_S_VAL_PS_TTM</stp>
        <stp>2</stp>
        <stp>300193</stp>
        <stp>12/31/2018</stp>
        <tr r="O1114" s="1"/>
      </tp>
      <tp>
        <v>2.5270565790464601</v>
        <stp/>
        <stp>EM_S_VAL_PS_TTM</stp>
        <stp>2</stp>
        <stp>300192</stp>
        <stp>12/31/2018</stp>
        <tr r="O413" s="1"/>
      </tp>
      <tp>
        <v>38.3547298696027</v>
        <stp/>
        <stp>EM_S_VAL_PS_TTM</stp>
        <stp>2</stp>
        <stp>300191</stp>
        <stp>12/31/2018</stp>
        <tr r="O602" s="1"/>
      </tp>
      <tp>
        <v>2.1227538306484002</v>
        <stp/>
        <stp>EM_S_VAL_PS_TTM</stp>
        <stp>2</stp>
        <stp>300190</stp>
        <stp>12/31/2018</stp>
        <tr r="O746" s="1"/>
      </tp>
      <tp>
        <v>6.0351678713394596</v>
        <stp/>
        <stp>EM_S_VAL_PS_TTM</stp>
        <stp>2</stp>
        <stp>300199</stp>
        <stp>12/31/2018</stp>
        <tr r="O3302" s="1"/>
      </tp>
      <tp>
        <v>1.97448005542796</v>
        <stp/>
        <stp>EM_S_VAL_PS_TTM</stp>
        <stp>2</stp>
        <stp>300198</stp>
        <stp>12/31/2018</stp>
        <tr r="O522" s="1"/>
      </tp>
      <tp>
        <v>2.6965593616936001</v>
        <stp/>
        <stp>EM_S_VAL_PS_TTM</stp>
        <stp>2</stp>
        <stp>600197</stp>
        <stp>12/31/2018</stp>
        <tr r="O1198" s="1"/>
      </tp>
      <tp>
        <v>2.5148467999810098</v>
        <stp/>
        <stp>EM_S_VAL_PS_TTM</stp>
        <stp>2</stp>
        <stp>600196</stp>
        <stp>12/31/2018</stp>
        <tr r="O1604" s="1"/>
      </tp>
      <tp>
        <v>1.3789483302535701</v>
        <stp/>
        <stp>EM_S_VAL_PS_TTM</stp>
        <stp>2</stp>
        <stp>600195</stp>
        <stp>12/31/2018</stp>
        <tr r="O1893" s="1"/>
      </tp>
      <tp>
        <v>11.8879590520076</v>
        <stp/>
        <stp>EM_S_VAL_PS_TTM</stp>
        <stp>2</stp>
        <stp>600193</stp>
        <stp>12/31/2018</stp>
        <tr r="O1171" s="1"/>
      </tp>
      <tp>
        <v>1.01276337534279</v>
        <stp/>
        <stp>EM_S_VAL_PS_TTM</stp>
        <stp>2</stp>
        <stp>600192</stp>
        <stp>12/31/2018</stp>
        <tr r="O1193" s="1"/>
      </tp>
      <tp>
        <v>227.443391146355</v>
        <stp/>
        <stp>EM_S_VAL_PS_TTM</stp>
        <stp>2</stp>
        <stp>600191</stp>
        <stp>12/31/2018</stp>
        <tr r="O885" s="1"/>
      </tp>
      <tp>
        <v>0.92871784108411803</v>
        <stp/>
        <stp>EM_S_VAL_PS_TTM</stp>
        <stp>2</stp>
        <stp>600190</stp>
        <stp>12/31/2018</stp>
        <tr r="O1541" s="1"/>
      </tp>
      <tp>
        <v>2.0202018144361902</v>
        <stp/>
        <stp>EM_S_VAL_PS_TTM</stp>
        <stp>2</stp>
        <stp>600199</stp>
        <stp>12/31/2018</stp>
        <tr r="O781" s="1"/>
      </tp>
      <tp>
        <v>2.9063018593448802</v>
        <stp/>
        <stp>EM_S_VAL_PS_TTM</stp>
        <stp>2</stp>
        <stp>600198</stp>
        <stp>12/31/2018</stp>
        <tr r="O416" s="1"/>
      </tp>
      <tp>
        <v>9.6016732018329805</v>
        <stp/>
        <stp>EM_S_VAL_PS_TTM</stp>
        <stp>2</stp>
        <stp>600187</stp>
        <stp>12/31/2018</stp>
        <tr r="O2117" s="1"/>
      </tp>
      <tp>
        <v>1.1358343574884</v>
        <stp/>
        <stp>EM_S_VAL_PS_TTM</stp>
        <stp>2</stp>
        <stp>600186</stp>
        <stp>12/31/2018</stp>
        <tr r="O709" s="1"/>
      </tp>
      <tp>
        <v>3.0318825126551601</v>
        <stp/>
        <stp>EM_S_VAL_PS_TTM</stp>
        <stp>2</stp>
        <stp>600185</stp>
        <stp>12/31/2018</stp>
        <tr r="O1239" s="1"/>
      </tp>
      <tp>
        <v>2.2367979783224401</v>
        <stp/>
        <stp>EM_S_VAL_PS_TTM</stp>
        <stp>2</stp>
        <stp>600184</stp>
        <stp>12/31/2018</stp>
        <tr r="O1421" s="1"/>
      </tp>
      <tp>
        <v>1.7755308193419801</v>
        <stp/>
        <stp>EM_S_VAL_PS_TTM</stp>
        <stp>2</stp>
        <stp>600183</stp>
        <stp>12/31/2018</stp>
        <tr r="O138" s="1"/>
      </tp>
      <tp>
        <v>1.4856148463622101</v>
        <stp/>
        <stp>EM_S_VAL_PS_TTM</stp>
        <stp>2</stp>
        <stp>600182</stp>
        <stp>12/31/2018</stp>
        <tr r="O1800" s="1"/>
      </tp>
      <tp>
        <v>-22.422463336085599</v>
        <stp/>
        <stp>EM_S_VAL_PS_TTM</stp>
        <stp>2</stp>
        <stp>600181</stp>
        <stp>12/31/2018</stp>
        <tr r="O2294" s="1"/>
      </tp>
      <tp>
        <v>0.17306216339293501</v>
        <stp/>
        <stp>EM_S_VAL_PS_TTM</stp>
        <stp>2</stp>
        <stp>600180</stp>
        <stp>12/31/2018</stp>
        <tr r="O2347" s="1"/>
      </tp>
      <tp>
        <v>1.8255989426671999</v>
        <stp/>
        <stp>EM_S_VAL_PS_TTM</stp>
        <stp>2</stp>
        <stp>600189</stp>
        <stp>12/31/2018</stp>
        <tr r="O2168" s="1"/>
      </tp>
      <tp>
        <v>0.285656660323657</v>
        <stp/>
        <stp>EM_S_VAL_PS_TTM</stp>
        <stp>2</stp>
        <stp>600188</stp>
        <stp>12/31/2018</stp>
        <tr r="O1329" s="1"/>
      </tp>
      <tp>
        <v>4.2113421218516898</v>
        <stp/>
        <stp>EM_S_VAL_PS_TTM</stp>
        <stp>2</stp>
        <stp>300107</stp>
        <stp>12/31/2018</stp>
        <tr r="O3155" s="1"/>
      </tp>
      <tp>
        <v>0.76139765974223395</v>
        <stp/>
        <stp>EM_S_VAL_PS_TTM</stp>
        <stp>2</stp>
        <stp>600157</stp>
        <stp>12/31/2018</stp>
        <tr r="O1912" s="1"/>
      </tp>
      <tp>
        <v>1.6200868554869801</v>
        <stp/>
        <stp>EM_S_VAL_PS_TTM</stp>
        <stp>2</stp>
        <stp>300106</stp>
        <stp>12/31/2018</stp>
        <tr r="O1125" s="1"/>
      </tp>
      <tp>
        <v>1.8896204555751299</v>
        <stp/>
        <stp>EM_S_VAL_PS_TTM</stp>
        <stp>2</stp>
        <stp>600156</stp>
        <stp>12/31/2018</stp>
        <tr r="O1708" s="1"/>
      </tp>
      <tp>
        <v>3.8958310406882499</v>
        <stp/>
        <stp>EM_S_VAL_PS_TTM</stp>
        <stp>2</stp>
        <stp>300105</stp>
        <stp>12/31/2018</stp>
        <tr r="O1424" s="1"/>
      </tp>
      <tp>
        <v>6.7416671342458603</v>
        <stp/>
        <stp>EM_S_VAL_PS_TTM</stp>
        <stp>2</stp>
        <stp>600155</stp>
        <stp>12/31/2018</stp>
        <tr r="O234" s="1"/>
      </tp>
      <tp>
        <v>4.2915622306427297</v>
        <stp/>
        <stp>EM_S_VAL_PS_TTM</stp>
        <stp>2</stp>
        <stp>300104</stp>
        <stp>12/31/2018</stp>
        <tr r="O3241" s="1"/>
      </tp>
      <tp>
        <v>9.1437490060862601</v>
        <stp/>
        <stp>EM_S_VAL_PS_TTM</stp>
        <stp>2</stp>
        <stp>300103</stp>
        <stp>12/31/2018</stp>
        <tr r="O1115" s="1"/>
      </tp>
      <tp>
        <v>7.7570188918915997E-2</v>
        <stp/>
        <stp>EM_S_VAL_PS_TTM</stp>
        <stp>2</stp>
        <stp>600153</stp>
        <stp>12/31/2018</stp>
        <tr r="O1100" s="1"/>
      </tp>
      <tp>
        <v>3.9760964745343998</v>
        <stp/>
        <stp>EM_S_VAL_PS_TTM</stp>
        <stp>2</stp>
        <stp>300102</stp>
        <stp>12/31/2018</stp>
        <tr r="O3006" s="1"/>
      </tp>
      <tp>
        <v>1.5960864446462799</v>
        <stp/>
        <stp>EM_S_VAL_PS_TTM</stp>
        <stp>2</stp>
        <stp>600152</stp>
        <stp>12/31/2018</stp>
        <tr r="O1376" s="1"/>
      </tp>
      <tp>
        <v>11.596911307681101</v>
        <stp/>
        <stp>EM_S_VAL_PS_TTM</stp>
        <stp>2</stp>
        <stp>300101</stp>
        <stp>12/31/2018</stp>
        <tr r="O2605" s="1"/>
      </tp>
      <tp>
        <v>0.77564683066018003</v>
        <stp/>
        <stp>EM_S_VAL_PS_TTM</stp>
        <stp>2</stp>
        <stp>600151</stp>
        <stp>12/31/2018</stp>
        <tr r="O1268" s="1"/>
      </tp>
      <tp>
        <v>1.22024549005633</v>
        <stp/>
        <stp>EM_S_VAL_PS_TTM</stp>
        <stp>2</stp>
        <stp>300100</stp>
        <stp>12/31/2018</stp>
        <tr r="O3326" s="1"/>
      </tp>
      <tp>
        <v>1.1584752223738299</v>
        <stp/>
        <stp>EM_S_VAL_PS_TTM</stp>
        <stp>2</stp>
        <stp>600150</stp>
        <stp>12/31/2018</stp>
        <tr r="O395" s="1"/>
      </tp>
      <tp>
        <v>4.8263726549760397</v>
        <stp/>
        <stp>EM_S_VAL_PS_TTM</stp>
        <stp>2</stp>
        <stp>300109</stp>
        <stp>12/31/2018</stp>
        <tr r="O1364" s="1"/>
      </tp>
      <tp>
        <v>2.8549101408183799</v>
        <stp/>
        <stp>EM_S_VAL_PS_TTM</stp>
        <stp>2</stp>
        <stp>600159</stp>
        <stp>12/31/2018</stp>
        <tr r="O1961" s="1"/>
      </tp>
      <tp>
        <v>4.2913074543647598</v>
        <stp/>
        <stp>EM_S_VAL_PS_TTM</stp>
        <stp>2</stp>
        <stp>300108</stp>
        <stp>12/31/2018</stp>
        <tr r="O3150" s="1"/>
      </tp>
      <tp>
        <v>6.5417521767149198</v>
        <stp/>
        <stp>EM_S_VAL_PS_TTM</stp>
        <stp>2</stp>
        <stp>600158</stp>
        <stp>12/31/2018</stp>
        <tr r="O1644" s="1"/>
      </tp>
      <tp>
        <v>0.78755497823472898</v>
        <stp/>
        <stp>EM_S_VAL_PS_TTM</stp>
        <stp>2</stp>
        <stp>300117</stp>
        <stp>12/31/2018</stp>
        <tr r="O2769" s="1"/>
      </tp>
      <tp>
        <v>0.72049529596250805</v>
        <stp/>
        <stp>EM_S_VAL_PS_TTM</stp>
        <stp>2</stp>
        <stp>300116</stp>
        <stp>12/31/2018</stp>
        <tr r="O911" s="1"/>
      </tp>
      <tp>
        <v>1.1774282598235599</v>
        <stp/>
        <stp>EM_S_VAL_PS_TTM</stp>
        <stp>2</stp>
        <stp>600146</stp>
        <stp>12/31/2018</stp>
        <tr r="O192" s="1"/>
      </tp>
      <tp>
        <v>0.87717598076227599</v>
        <stp/>
        <stp>EM_S_VAL_PS_TTM</stp>
        <stp>2</stp>
        <stp>300115</stp>
        <stp>12/31/2018</stp>
        <tr r="O125" s="1"/>
      </tp>
      <tp>
        <v>176.82478948353099</v>
        <stp/>
        <stp>EM_S_VAL_PS_TTM</stp>
        <stp>2</stp>
        <stp>600145</stp>
        <stp>12/31/2018</stp>
        <tr r="O2293" s="1"/>
      </tp>
      <tp>
        <v>3.0940665967840801</v>
        <stp/>
        <stp>EM_S_VAL_PS_TTM</stp>
        <stp>2</stp>
        <stp>300114</stp>
        <stp>12/31/2018</stp>
        <tr r="O433" s="1"/>
      </tp>
      <tp>
        <v>4.0903214490389397</v>
        <stp/>
        <stp>EM_S_VAL_PS_TTM</stp>
        <stp>2</stp>
        <stp>300113</stp>
        <stp>12/31/2018</stp>
        <tr r="O165" s="1"/>
      </tp>
      <tp>
        <v>0.53577052411438497</v>
        <stp/>
        <stp>EM_S_VAL_PS_TTM</stp>
        <stp>2</stp>
        <stp>600143</stp>
        <stp>12/31/2018</stp>
        <tr r="O610" s="1"/>
      </tp>
      <tp>
        <v>3.112469080456</v>
        <stp/>
        <stp>EM_S_VAL_PS_TTM</stp>
        <stp>2</stp>
        <stp>300112</stp>
        <stp>12/31/2018</stp>
        <tr r="O580" s="1"/>
      </tp>
      <tp>
        <v>2.0371213871366201</v>
        <stp/>
        <stp>EM_S_VAL_PS_TTM</stp>
        <stp>2</stp>
        <stp>300111</stp>
        <stp>12/31/2018</stp>
        <tr r="O1403" s="1"/>
      </tp>
      <tp>
        <v>0.41222581674166198</v>
        <stp/>
        <stp>EM_S_VAL_PS_TTM</stp>
        <stp>2</stp>
        <stp>600141</stp>
        <stp>12/31/2018</stp>
        <tr r="O2269" s="1"/>
      </tp>
      <tp>
        <v>2.70222944588118</v>
        <stp/>
        <stp>EM_S_VAL_PS_TTM</stp>
        <stp>2</stp>
        <stp>300110</stp>
        <stp>12/31/2018</stp>
        <tr r="O956" s="1"/>
      </tp>
      <tp>
        <v>2.57551331983603</v>
        <stp/>
        <stp>EM_S_VAL_PS_TTM</stp>
        <stp>2</stp>
        <stp>300119</stp>
        <stp>12/31/2018</stp>
        <tr r="O217" s="1"/>
      </tp>
      <tp>
        <v>28.903261386164299</v>
        <stp/>
        <stp>EM_S_VAL_PS_TTM</stp>
        <stp>2</stp>
        <stp>600149</stp>
        <stp>12/31/2018</stp>
        <tr r="O1642" s="1"/>
      </tp>
      <tp>
        <v>0.47568833506233699</v>
        <stp/>
        <stp>EM_S_VAL_PS_TTM</stp>
        <stp>2</stp>
        <stp>300118</stp>
        <stp>12/31/2018</stp>
        <tr r="O91" s="1"/>
      </tp>
      <tp>
        <v>2.41198249318591</v>
        <stp/>
        <stp>EM_S_VAL_PS_TTM</stp>
        <stp>2</stp>
        <stp>600148</stp>
        <stp>12/31/2018</stp>
        <tr r="O2591" s="1"/>
      </tp>
      <tp>
        <v>5.6602790491133401</v>
        <stp/>
        <stp>EM_S_VAL_PS_TTM</stp>
        <stp>2</stp>
        <stp>300127</stp>
        <stp>12/31/2018</stp>
        <tr r="O251" s="1"/>
      </tp>
      <tp>
        <v>3.5821678455937498</v>
        <stp/>
        <stp>EM_S_VAL_PS_TTM</stp>
        <stp>2</stp>
        <stp>600177</stp>
        <stp>12/31/2018</stp>
        <tr r="O2487" s="1"/>
      </tp>
      <tp>
        <v>2.4267269604464201</v>
        <stp/>
        <stp>EM_S_VAL_PS_TTM</stp>
        <stp>2</stp>
        <stp>300126</stp>
        <stp>12/31/2018</stp>
        <tr r="O1497" s="1"/>
      </tp>
      <tp>
        <v>3.4412462681029701</v>
        <stp/>
        <stp>EM_S_VAL_PS_TTM</stp>
        <stp>2</stp>
        <stp>600176</stp>
        <stp>12/31/2018</stp>
        <tr r="O1596" s="1"/>
      </tp>
      <tp>
        <v>15.3130528666372</v>
        <stp/>
        <stp>EM_S_VAL_PS_TTM</stp>
        <stp>2</stp>
        <stp>300125</stp>
        <stp>12/31/2018</stp>
        <tr r="O841" s="1"/>
      </tp>
      <tp>
        <v>1.2582424935270899</v>
        <stp/>
        <stp>EM_S_VAL_PS_TTM</stp>
        <stp>2</stp>
        <stp>600175</stp>
        <stp>12/31/2018</stp>
        <tr r="O2982" s="1"/>
      </tp>
      <tp>
        <v>5.99928851878171</v>
        <stp/>
        <stp>EM_S_VAL_PS_TTM</stp>
        <stp>2</stp>
        <stp>300124</stp>
        <stp>12/31/2018</stp>
        <tr r="O514" s="1"/>
      </tp>
      <tp>
        <v>3.5234600600557</v>
        <stp/>
        <stp>EM_S_VAL_PS_TTM</stp>
        <stp>2</stp>
        <stp>300123</stp>
        <stp>12/31/2018</stp>
        <tr r="O2994" s="1"/>
      </tp>
      <tp>
        <v>1.09629630810982</v>
        <stp/>
        <stp>EM_S_VAL_PS_TTM</stp>
        <stp>2</stp>
        <stp>600173</stp>
        <stp>12/31/2018</stp>
        <tr r="O786" s="1"/>
      </tp>
      <tp>
        <v>15.2433647139892</v>
        <stp/>
        <stp>EM_S_VAL_PS_TTM</stp>
        <stp>2</stp>
        <stp>300122</stp>
        <stp>12/31/2018</stp>
        <tr r="O1101" s="1"/>
      </tp>
      <tp>
        <v>1.3327530257985001</v>
        <stp/>
        <stp>EM_S_VAL_PS_TTM</stp>
        <stp>2</stp>
        <stp>600172</stp>
        <stp>12/31/2018</stp>
        <tr r="O2575" s="1"/>
      </tp>
      <tp>
        <v>1.5892684220264399</v>
        <stp/>
        <stp>EM_S_VAL_PS_TTM</stp>
        <stp>2</stp>
        <stp>300121</stp>
        <stp>12/31/2018</stp>
        <tr r="O3007" s="1"/>
      </tp>
      <tp>
        <v>8.6903883290631594</v>
        <stp/>
        <stp>EM_S_VAL_PS_TTM</stp>
        <stp>2</stp>
        <stp>600171</stp>
        <stp>12/31/2018</stp>
        <tr r="O298" s="1"/>
      </tp>
      <tp>
        <v>1.2262579672462799</v>
        <stp/>
        <stp>EM_S_VAL_PS_TTM</stp>
        <stp>2</stp>
        <stp>300120</stp>
        <stp>12/31/2018</stp>
        <tr r="O2024" s="1"/>
      </tp>
      <tp>
        <v>0.17083340446600501</v>
        <stp/>
        <stp>EM_S_VAL_PS_TTM</stp>
        <stp>2</stp>
        <stp>600170</stp>
        <stp>12/31/2018</stp>
        <tr r="O1414" s="1"/>
      </tp>
      <tp>
        <v>1.7651079936381799</v>
        <stp/>
        <stp>EM_S_VAL_PS_TTM</stp>
        <stp>2</stp>
        <stp>300129</stp>
        <stp>12/31/2018</stp>
        <tr r="O310" s="1"/>
      </tp>
      <tp>
        <v>1.02581389201053</v>
        <stp/>
        <stp>EM_S_VAL_PS_TTM</stp>
        <stp>2</stp>
        <stp>600179</stp>
        <stp>12/31/2018</stp>
        <tr r="O3223" s="1"/>
      </tp>
      <tp>
        <v>1.31149209748801</v>
        <stp/>
        <stp>EM_S_VAL_PS_TTM</stp>
        <stp>2</stp>
        <stp>300128</stp>
        <stp>12/31/2018</stp>
        <tr r="O1612" s="1"/>
      </tp>
      <tp>
        <v>1.3190920372694701</v>
        <stp/>
        <stp>EM_S_VAL_PS_TTM</stp>
        <stp>2</stp>
        <stp>600178</stp>
        <stp>12/31/2018</stp>
        <tr r="O1550" s="1"/>
      </tp>
      <tp>
        <v>3.6264285334581401</v>
        <stp/>
        <stp>EM_S_VAL_PS_TTM</stp>
        <stp>2</stp>
        <stp>300137</stp>
        <stp>12/31/2018</stp>
        <tr r="O2600" s="1"/>
      </tp>
      <tp>
        <v>6.2812560961420596</v>
        <stp/>
        <stp>EM_S_VAL_PS_TTM</stp>
        <stp>2</stp>
        <stp>600167</stp>
        <stp>12/31/2018</stp>
        <tr r="O683" s="1"/>
      </tp>
      <tp>
        <v>4.8907420097779797</v>
        <stp/>
        <stp>EM_S_VAL_PS_TTM</stp>
        <stp>2</stp>
        <stp>300136</stp>
        <stp>12/31/2018</stp>
        <tr r="O145" s="1"/>
      </tp>
      <tp>
        <v>0.26138904910470501</v>
        <stp/>
        <stp>EM_S_VAL_PS_TTM</stp>
        <stp>2</stp>
        <stp>600166</stp>
        <stp>12/31/2018</stp>
        <tr r="O1515" s="1"/>
      </tp>
      <tp>
        <v>1.16429224694796</v>
        <stp/>
        <stp>EM_S_VAL_PS_TTM</stp>
        <stp>2</stp>
        <stp>300135</stp>
        <stp>12/31/2018</stp>
        <tr r="O2372" s="1"/>
      </tp>
      <tp>
        <v>5.69290947817501</v>
        <stp/>
        <stp>EM_S_VAL_PS_TTM</stp>
        <stp>2</stp>
        <stp>600165</stp>
        <stp>12/31/2018</stp>
        <tr r="O3077" s="1"/>
      </tp>
      <tp>
        <v>3.99611099625458</v>
        <stp/>
        <stp>EM_S_VAL_PS_TTM</stp>
        <stp>2</stp>
        <stp>300134</stp>
        <stp>12/31/2018</stp>
        <tr r="O367" s="1"/>
      </tp>
      <tp>
        <v>2.5102616100757</v>
        <stp/>
        <stp>EM_S_VAL_PS_TTM</stp>
        <stp>2</stp>
        <stp>300133</stp>
        <stp>12/31/2018</stp>
        <tr r="O3041" s="1"/>
      </tp>
      <tp>
        <v>5.4479417063589404</v>
        <stp/>
        <stp>EM_S_VAL_PS_TTM</stp>
        <stp>2</stp>
        <stp>600163</stp>
        <stp>12/31/2018</stp>
        <tr r="O1968" s="1"/>
      </tp>
      <tp>
        <v>3.3667776493108201</v>
        <stp/>
        <stp>EM_S_VAL_PS_TTM</stp>
        <stp>2</stp>
        <stp>300132</stp>
        <stp>12/31/2018</stp>
        <tr r="O2143" s="1"/>
      </tp>
      <tp>
        <v>1.7213817252033401</v>
        <stp/>
        <stp>EM_S_VAL_PS_TTM</stp>
        <stp>2</stp>
        <stp>600162</stp>
        <stp>12/31/2018</stp>
        <tr r="O2078" s="1"/>
      </tp>
      <tp>
        <v>0.44134833557641701</v>
        <stp/>
        <stp>EM_S_VAL_PS_TTM</stp>
        <stp>2</stp>
        <stp>300131</stp>
        <stp>12/31/2018</stp>
        <tr r="O1274" s="1"/>
      </tp>
      <tp>
        <v>8.3726712432946009</v>
        <stp/>
        <stp>EM_S_VAL_PS_TTM</stp>
        <stp>2</stp>
        <stp>600161</stp>
        <stp>12/31/2018</stp>
        <tr r="O1011" s="1"/>
      </tp>
      <tp>
        <v>0.29718921766182099</v>
        <stp/>
        <stp>EM_S_VAL_PS_TTM</stp>
        <stp>2</stp>
        <stp>000100</stp>
        <stp>12/31/2018</stp>
        <tr r="O212" s="1"/>
      </tp>
      <tp>
        <v>2.6896321106960301</v>
        <stp/>
        <stp>EM_S_VAL_PS_TTM</stp>
        <stp>2</stp>
        <stp>300130</stp>
        <stp>12/31/2018</stp>
        <tr r="O478" s="1"/>
      </tp>
      <tp>
        <v>1.15780771527326</v>
        <stp/>
        <stp>EM_S_VAL_PS_TTM</stp>
        <stp>2</stp>
        <stp>600160</stp>
        <stp>12/31/2018</stp>
        <tr r="O1738" s="1"/>
      </tp>
      <tp>
        <v>15.327567301139601</v>
        <stp/>
        <stp>EM_S_VAL_PS_TTM</stp>
        <stp>2</stp>
        <stp>300139</stp>
        <stp>12/31/2018</stp>
        <tr r="O1318" s="1"/>
      </tp>
      <tp>
        <v>0.84723741026831101</v>
        <stp/>
        <stp>EM_S_VAL_PS_TTM</stp>
        <stp>2</stp>
        <stp>600169</stp>
        <stp>12/31/2018</stp>
        <tr r="O2058" s="1"/>
      </tp>
      <tp>
        <v>1.0572278405051201</v>
        <stp/>
        <stp>EM_S_VAL_PS_TTM</stp>
        <stp>2</stp>
        <stp>300138</stp>
        <stp>12/31/2018</stp>
        <tr r="O941" s="1"/>
      </tp>
      <tp>
        <v>2.8983516852457201</v>
        <stp/>
        <stp>EM_S_VAL_PS_TTM</stp>
        <stp>2</stp>
        <stp>600168</stp>
        <stp>12/31/2018</stp>
        <tr r="O1443" s="1"/>
      </tp>
      <tp>
        <v>1.69253127117691</v>
        <stp/>
        <stp>EM_S_VAL_PS_TTM</stp>
        <stp>2</stp>
        <stp>300147</stp>
        <stp>12/31/2018</stp>
        <tr r="O905" s="1"/>
      </tp>
      <tp>
        <v>0.42615401962145899</v>
        <stp/>
        <stp>EM_S_VAL_PS_TTM</stp>
        <stp>2</stp>
        <stp>600117</stp>
        <stp>12/31/2018</stp>
        <tr r="O2068" s="1"/>
      </tp>
      <tp>
        <v>5.9672458913149198</v>
        <stp/>
        <stp>EM_S_VAL_PS_TTM</stp>
        <stp>2</stp>
        <stp>300146</stp>
        <stp>12/31/2018</stp>
        <tr r="O2523" s="1"/>
      </tp>
      <tp>
        <v>5.6761417495637003</v>
        <stp/>
        <stp>EM_S_VAL_PS_TTM</stp>
        <stp>2</stp>
        <stp>600116</stp>
        <stp>12/31/2018</stp>
        <tr r="O2123" s="1"/>
      </tp>
      <tp>
        <v>1.4314923381892699</v>
        <stp/>
        <stp>EM_S_VAL_PS_TTM</stp>
        <stp>2</stp>
        <stp>300145</stp>
        <stp>12/31/2018</stp>
        <tr r="O1801" s="1"/>
      </tp>
      <tp>
        <v>0.61306610513943605</v>
        <stp/>
        <stp>EM_S_VAL_PS_TTM</stp>
        <stp>2</stp>
        <stp>600115</stp>
        <stp>12/31/2018</stp>
        <tr r="O1172" s="1"/>
      </tp>
      <tp>
        <v>9.7512899532691808</v>
        <stp/>
        <stp>EM_S_VAL_PS_TTM</stp>
        <stp>2</stp>
        <stp>300144</stp>
        <stp>12/31/2018</stp>
        <tr r="O664" s="1"/>
      </tp>
      <tp>
        <v>2.0388730110855202</v>
        <stp/>
        <stp>EM_S_VAL_PS_TTM</stp>
        <stp>2</stp>
        <stp>600114</stp>
        <stp>12/31/2018</stp>
        <tr r="O729" s="1"/>
      </tp>
      <tp>
        <v>10.5521963212435</v>
        <stp/>
        <stp>EM_S_VAL_PS_TTM</stp>
        <stp>2</stp>
        <stp>300143</stp>
        <stp>12/31/2018</stp>
        <tr r="O2121" s="1"/>
      </tp>
      <tp>
        <v>5.5992629734450299</v>
        <stp/>
        <stp>EM_S_VAL_PS_TTM</stp>
        <stp>2</stp>
        <stp>600113</stp>
        <stp>12/31/2018</stp>
        <tr r="O2268" s="1"/>
      </tp>
      <tp>
        <v>36.405783434928203</v>
        <stp/>
        <stp>EM_S_VAL_PS_TTM</stp>
        <stp>2</stp>
        <stp>300142</stp>
        <stp>12/31/2018</stp>
        <tr r="O360" s="1"/>
      </tp>
      <tp>
        <v>3.9000884534477498</v>
        <stp/>
        <stp>EM_S_VAL_PS_TTM</stp>
        <stp>2</stp>
        <stp>600112</stp>
        <stp>12/31/2018</stp>
        <tr r="O3347" s="1"/>
      </tp>
      <tp>
        <v>2.70957118611227</v>
        <stp/>
        <stp>EM_S_VAL_PS_TTM</stp>
        <stp>2</stp>
        <stp>300141</stp>
        <stp>12/31/2018</stp>
        <tr r="O2371" s="1"/>
      </tp>
      <tp>
        <v>2.5639135377094999</v>
        <stp/>
        <stp>EM_S_VAL_PS_TTM</stp>
        <stp>2</stp>
        <stp>600111</stp>
        <stp>12/31/2018</stp>
        <tr r="O1118" s="1"/>
      </tp>
      <tp>
        <v>2.0888260602900299</v>
        <stp/>
        <stp>EM_S_VAL_PS_TTM</stp>
        <stp>2</stp>
        <stp>300140</stp>
        <stp>12/31/2018</stp>
        <tr r="O1419" s="1"/>
      </tp>
      <tp>
        <v>1.9454334062984699</v>
        <stp/>
        <stp>EM_S_VAL_PS_TTM</stp>
        <stp>2</stp>
        <stp>600110</stp>
        <stp>12/31/2018</stp>
        <tr r="O1434" s="1"/>
      </tp>
      <tp>
        <v>10.424339708724199</v>
        <stp/>
        <stp>EM_S_VAL_PS_TTM</stp>
        <stp>2</stp>
        <stp>300149</stp>
        <stp>12/31/2018</stp>
        <tr r="O2776" s="1"/>
      </tp>
      <tp>
        <v>1.5935514059767499</v>
        <stp/>
        <stp>EM_S_VAL_PS_TTM</stp>
        <stp>2</stp>
        <stp>600119</stp>
        <stp>12/31/2018</stp>
        <tr r="O3176" s="1"/>
      </tp>
      <tp>
        <v>3.4027473894415001</v>
        <stp/>
        <stp>EM_S_VAL_PS_TTM</stp>
        <stp>2</stp>
        <stp>300148</stp>
        <stp>12/31/2018</stp>
        <tr r="O2790" s="1"/>
      </tp>
      <tp>
        <v>2.5855384665562799</v>
        <stp/>
        <stp>EM_S_VAL_PS_TTM</stp>
        <stp>2</stp>
        <stp>600118</stp>
        <stp>12/31/2018</stp>
        <tr r="O1129" s="1"/>
      </tp>
      <tp>
        <v>2.00447562740445</v>
        <stp/>
        <stp>EM_S_VAL_PS_TTM</stp>
        <stp>2</stp>
        <stp>300157</stp>
        <stp>12/31/2018</stp>
        <tr r="O2441" s="1"/>
      </tp>
      <tp>
        <v>4.4745405513258998</v>
        <stp/>
        <stp>EM_S_VAL_PS_TTM</stp>
        <stp>2</stp>
        <stp>600107</stp>
        <stp>12/31/2018</stp>
        <tr r="O1238" s="1"/>
      </tp>
      <tp>
        <v>7.0020019786762102</v>
        <stp/>
        <stp>EM_S_VAL_PS_TTM</stp>
        <stp>2</stp>
        <stp>000166</stp>
        <stp>12/31/2018</stp>
        <tr r="O3413" s="1"/>
      </tp>
      <tp>
        <v>9.4818496647814996</v>
        <stp/>
        <stp>EM_S_VAL_PS_TTM</stp>
        <stp>2</stp>
        <stp>300156</stp>
        <stp>12/31/2018</stp>
        <tr r="O3381" s="1"/>
      </tp>
      <tp>
        <v>13.8908194021708</v>
        <stp/>
        <stp>EM_S_VAL_PS_TTM</stp>
        <stp>2</stp>
        <stp>600106</stp>
        <stp>12/31/2018</stp>
        <tr r="O2193" s="1"/>
      </tp>
      <tp>
        <v>2.80500245194292</v>
        <stp/>
        <stp>EM_S_VAL_PS_TTM</stp>
        <stp>2</stp>
        <stp>300155</stp>
        <stp>12/31/2018</stp>
        <tr r="O1092" s="1"/>
      </tp>
      <tp>
        <v>1.4152149341864999</v>
        <stp/>
        <stp>EM_S_VAL_PS_TTM</stp>
        <stp>2</stp>
        <stp>600105</stp>
        <stp>12/31/2018</stp>
        <tr r="O1397" s="1"/>
      </tp>
      <tp>
        <v>3.51808512825176</v>
        <stp/>
        <stp>EM_S_VAL_PS_TTM</stp>
        <stp>2</stp>
        <stp>300154</stp>
        <stp>12/31/2018</stp>
        <tr r="O1433" s="1"/>
      </tp>
      <tp>
        <v>0.33243122185283502</v>
        <stp/>
        <stp>EM_S_VAL_PS_TTM</stp>
        <stp>2</stp>
        <stp>600104</stp>
        <stp>12/31/2018</stp>
        <tr r="O2780" s="1"/>
      </tp>
      <tp>
        <v>1.9409077650109401</v>
        <stp/>
        <stp>EM_S_VAL_PS_TTM</stp>
        <stp>2</stp>
        <stp>300153</stp>
        <stp>12/31/2018</stp>
        <tr r="O2698" s="1"/>
      </tp>
      <tp>
        <v>1.54844312241051</v>
        <stp/>
        <stp>EM_S_VAL_PS_TTM</stp>
        <stp>2</stp>
        <stp>600103</stp>
        <stp>12/31/2018</stp>
        <tr r="O3018" s="1"/>
      </tp>
      <tp>
        <v>3.54415437409933</v>
        <stp/>
        <stp>EM_S_VAL_PS_TTM</stp>
        <stp>2</stp>
        <stp>300152</stp>
        <stp>12/31/2018</stp>
        <tr r="O897" s="1"/>
      </tp>
      <tp>
        <v>0.14213933785313401</v>
        <stp/>
        <stp>EM_S_VAL_PS_TTM</stp>
        <stp>2</stp>
        <stp>600102</stp>
        <stp>12/31/2018</stp>
        <tr r="O2292" s="1"/>
      </tp>
      <tp>
        <v>3.9232463522796901</v>
        <stp/>
        <stp>EM_S_VAL_PS_TTM</stp>
        <stp>2</stp>
        <stp>300151</stp>
        <stp>12/31/2018</stp>
        <tr r="O378" s="1"/>
      </tp>
      <tp>
        <v>1.3393451480751299</v>
        <stp/>
        <stp>EM_S_VAL_PS_TTM</stp>
        <stp>2</stp>
        <stp>600101</stp>
        <stp>12/31/2018</stp>
        <tr r="O1988" s="1"/>
      </tp>
      <tp>
        <v>3.8507955379234802</v>
        <stp/>
        <stp>EM_S_VAL_PS_TTM</stp>
        <stp>2</stp>
        <stp>300150</stp>
        <stp>12/31/2018</stp>
        <tr r="O2203" s="1"/>
      </tp>
      <tp>
        <v>1.1050495976050201</v>
        <stp/>
        <stp>EM_S_VAL_PS_TTM</stp>
        <stp>2</stp>
        <stp>600100</stp>
        <stp>12/31/2018</stp>
        <tr r="O2791" s="1"/>
      </tp>
      <tp>
        <v>2.97598771529311</v>
        <stp/>
        <stp>EM_S_VAL_PS_TTM</stp>
        <stp>2</stp>
        <stp>300159</stp>
        <stp>12/31/2018</stp>
        <tr r="O2909" s="1"/>
      </tp>
      <tp>
        <v>5.8428394614815904</v>
        <stp/>
        <stp>EM_S_VAL_PS_TTM</stp>
        <stp>2</stp>
        <stp>600109</stp>
        <stp>12/31/2018</stp>
        <tr r="O918" s="1"/>
      </tp>
      <tp>
        <v>1.05073473425915</v>
        <stp/>
        <stp>EM_S_VAL_PS_TTM</stp>
        <stp>2</stp>
        <stp>300158</stp>
        <stp>12/31/2018</stp>
        <tr r="O1236" s="1"/>
      </tp>
      <tp>
        <v>2.3160657256343198</v>
        <stp/>
        <stp>EM_S_VAL_PS_TTM</stp>
        <stp>2</stp>
        <stp>600108</stp>
        <stp>12/31/2018</stp>
        <tr r="O1790" s="1"/>
      </tp>
      <tp>
        <v>1.0510678932281901</v>
        <stp/>
        <stp>EM_S_VAL_PS_TTM</stp>
        <stp>2</stp>
        <stp>000157</stp>
        <stp>12/31/2018</stp>
        <tr r="O223" s="1"/>
      </tp>
      <tp>
        <v>3.4111182519328702</v>
        <stp/>
        <stp>EM_S_VAL_PS_TTM</stp>
        <stp>2</stp>
        <stp>300167</stp>
        <stp>12/31/2018</stp>
        <tr r="O2101" s="1"/>
      </tp>
      <tp>
        <v>3.40142585795543</v>
        <stp/>
        <stp>EM_S_VAL_PS_TTM</stp>
        <stp>2</stp>
        <stp>600137</stp>
        <stp>12/31/2018</stp>
        <tr r="O896" s="1"/>
      </tp>
      <tp>
        <v>3.3867351006414301</v>
        <stp/>
        <stp>EM_S_VAL_PS_TTM</stp>
        <stp>2</stp>
        <stp>000156</stp>
        <stp>12/31/2018</stp>
        <tr r="O834" s="1"/>
      </tp>
      <tp>
        <v>6.5933557655333503</v>
        <stp/>
        <stp>EM_S_VAL_PS_TTM</stp>
        <stp>2</stp>
        <stp>300166</stp>
        <stp>12/31/2018</stp>
        <tr r="O1061" s="1"/>
      </tp>
      <tp>
        <v>2.16688331433688</v>
        <stp/>
        <stp>EM_S_VAL_PS_TTM</stp>
        <stp>2</stp>
        <stp>600136</stp>
        <stp>12/31/2018</stp>
        <tr r="O571" s="1"/>
      </tp>
      <tp>
        <v>0.84288225756593504</v>
        <stp/>
        <stp>EM_S_VAL_PS_TTM</stp>
        <stp>2</stp>
        <stp>000155</stp>
        <stp>12/31/2018</stp>
        <tr r="O1263" s="1"/>
      </tp>
      <tp>
        <v>1.79726888620292</v>
        <stp/>
        <stp>EM_S_VAL_PS_TTM</stp>
        <stp>2</stp>
        <stp>300165</stp>
        <stp>12/31/2018</stp>
        <tr r="O1207" s="1"/>
      </tp>
      <tp>
        <v>1.13675125725335</v>
        <stp/>
        <stp>EM_S_VAL_PS_TTM</stp>
        <stp>2</stp>
        <stp>600135</stp>
        <stp>12/31/2018</stp>
        <tr r="O1020" s="1"/>
      </tp>
      <tp>
        <v>1.8700228430175401</v>
        <stp/>
        <stp>EM_S_VAL_PS_TTM</stp>
        <stp>2</stp>
        <stp>300164</stp>
        <stp>12/31/2018</stp>
        <tr r="O2988" s="1"/>
      </tp>
      <tp>
        <v>0.54105006216784801</v>
        <stp/>
        <stp>EM_S_VAL_PS_TTM</stp>
        <stp>2</stp>
        <stp>000153</stp>
        <stp>12/31/2018</stp>
        <tr r="O917" s="1"/>
      </tp>
      <tp>
        <v>2.6050134861390801</v>
        <stp/>
        <stp>EM_S_VAL_PS_TTM</stp>
        <stp>2</stp>
        <stp>300163</stp>
        <stp>12/31/2018</stp>
        <tr r="O1700" s="1"/>
      </tp>
      <tp>
        <v>0.51611741184559401</v>
        <stp/>
        <stp>EM_S_VAL_PS_TTM</stp>
        <stp>2</stp>
        <stp>600133</stp>
        <stp>12/31/2018</stp>
        <tr r="O2928" s="1"/>
      </tp>
      <tp>
        <v>2.4281172309586698</v>
        <stp/>
        <stp>EM_S_VAL_PS_TTM</stp>
        <stp>2</stp>
        <stp>300162</stp>
        <stp>12/31/2018</stp>
        <tr r="O194" s="1"/>
      </tp>
      <tp>
        <v>4.3584272017074701</v>
        <stp/>
        <stp>EM_S_VAL_PS_TTM</stp>
        <stp>2</stp>
        <stp>600132</stp>
        <stp>12/31/2018</stp>
        <tr r="O313" s="1"/>
      </tp>
      <tp>
        <v>1.99465798841969</v>
        <stp/>
        <stp>EM_S_VAL_PS_TTM</stp>
        <stp>2</stp>
        <stp>000151</stp>
        <stp>12/31/2018</stp>
        <tr r="O2041" s="1"/>
      </tp>
      <tp>
        <v>2.2431517547258801</v>
        <stp/>
        <stp>EM_S_VAL_PS_TTM</stp>
        <stp>2</stp>
        <stp>300161</stp>
        <stp>12/31/2018</stp>
        <tr r="O705" s="1"/>
      </tp>
      <tp>
        <v>2.90123159226123</v>
        <stp/>
        <stp>EM_S_VAL_PS_TTM</stp>
        <stp>2</stp>
        <stp>600131</stp>
        <stp>12/31/2018</stp>
        <tr r="O38" s="1"/>
      </tp>
      <tp>
        <v>3.8422880582446801</v>
        <stp/>
        <stp>EM_S_VAL_PS_TTM</stp>
        <stp>2</stp>
        <stp>000150</stp>
        <stp>12/31/2018</stp>
        <tr r="O3399" s="1"/>
      </tp>
      <tp>
        <v>1.48109511048314</v>
        <stp/>
        <stp>EM_S_VAL_PS_TTM</stp>
        <stp>2</stp>
        <stp>300160</stp>
        <stp>12/31/2018</stp>
        <tr r="O1712" s="1"/>
      </tp>
      <tp>
        <v>3.36128735344092</v>
        <stp/>
        <stp>EM_S_VAL_PS_TTM</stp>
        <stp>2</stp>
        <stp>600130</stp>
        <stp>12/31/2018</stp>
        <tr r="O2075" s="1"/>
      </tp>
      <tp>
        <v>3.47620828019231</v>
        <stp/>
        <stp>EM_S_VAL_PS_TTM</stp>
        <stp>2</stp>
        <stp>000159</stp>
        <stp>12/31/2018</stp>
        <tr r="O847" s="1"/>
      </tp>
      <tp>
        <v>1.8479122527249601</v>
        <stp/>
        <stp>EM_S_VAL_PS_TTM</stp>
        <stp>2</stp>
        <stp>300169</stp>
        <stp>12/31/2018</stp>
        <tr r="O1392" s="1"/>
      </tp>
      <tp>
        <v>6.3406741277503702</v>
        <stp/>
        <stp>EM_S_VAL_PS_TTM</stp>
        <stp>2</stp>
        <stp>600139</stp>
        <stp>12/31/2018</stp>
        <tr r="O1360" s="1"/>
      </tp>
      <tp>
        <v>0.79967949116190795</v>
        <stp/>
        <stp>EM_S_VAL_PS_TTM</stp>
        <stp>2</stp>
        <stp>000158</stp>
        <stp>12/31/2018</stp>
        <tr r="O3412" s="1"/>
      </tp>
      <tp>
        <v>5.0510472047600796</v>
        <stp/>
        <stp>EM_S_VAL_PS_TTM</stp>
        <stp>2</stp>
        <stp>300168</stp>
        <stp>12/31/2018</stp>
        <tr r="O960" s="1"/>
      </tp>
      <tp>
        <v>0.76246602362705096</v>
        <stp/>
        <stp>EM_S_VAL_PS_TTM</stp>
        <stp>2</stp>
        <stp>600138</stp>
        <stp>12/31/2018</stp>
        <tr r="O2400" s="1"/>
      </tp>
      <tp>
        <v>3.7716579269939299</v>
        <stp/>
        <stp>EM_S_VAL_PS_TTM</stp>
        <stp>2</stp>
        <stp>300177</stp>
        <stp>12/31/2018</stp>
        <tr r="O2865" s="1"/>
      </tp>
      <tp>
        <v>0.619354476302034</v>
        <stp/>
        <stp>EM_S_VAL_PS_TTM</stp>
        <stp>2</stp>
        <stp>600127</stp>
        <stp>12/31/2018</stp>
        <tr r="O762" s="1"/>
      </tp>
      <tp>
        <v>3.8498091243799899</v>
        <stp/>
        <stp>EM_S_VAL_PS_TTM</stp>
        <stp>2</stp>
        <stp>300176</stp>
        <stp>12/31/2018</stp>
        <tr r="O3402" s="1"/>
      </tp>
      <tp>
        <v>0.56105092813011903</v>
        <stp/>
        <stp>EM_S_VAL_PS_TTM</stp>
        <stp>2</stp>
        <stp>600126</stp>
        <stp>12/31/2018</stp>
        <tr r="O1866" s="1"/>
      </tp>
      <tp>
        <v>6.0432326975571096</v>
        <stp/>
        <stp>EM_S_VAL_PS_TTM</stp>
        <stp>2</stp>
        <stp>300175</stp>
        <stp>12/31/2018</stp>
        <tr r="O630" s="1"/>
      </tp>
      <tp>
        <v>0.60198377648999002</v>
        <stp/>
        <stp>EM_S_VAL_PS_TTM</stp>
        <stp>2</stp>
        <stp>600125</stp>
        <stp>12/31/2018</stp>
        <tr r="O2904" s="1"/>
      </tp>
      <tp>
        <v>1.7756484767115099</v>
        <stp/>
        <stp>EM_S_VAL_PS_TTM</stp>
        <stp>2</stp>
        <stp>300174</stp>
        <stp>12/31/2018</stp>
        <tr r="O701" s="1"/>
      </tp>
      <tp>
        <v>4.2856978858882897</v>
        <stp/>
        <stp>EM_S_VAL_PS_TTM</stp>
        <stp>2</stp>
        <stp>300173</stp>
        <stp>12/31/2018</stp>
        <tr r="O450" s="1"/>
      </tp>
      <tp>
        <v>0.93675193803950196</v>
        <stp/>
        <stp>EM_S_VAL_PS_TTM</stp>
        <stp>2</stp>
        <stp>600123</stp>
        <stp>12/31/2018</stp>
        <tr r="O2399" s="1"/>
      </tp>
      <tp>
        <v>3.3194471825694398</v>
        <stp/>
        <stp>EM_S_VAL_PS_TTM</stp>
        <stp>2</stp>
        <stp>300172</stp>
        <stp>12/31/2018</stp>
        <tr r="O2415" s="1"/>
      </tp>
      <tp>
        <v>0.245206414437144</v>
        <stp/>
        <stp>EM_S_VAL_PS_TTM</stp>
        <stp>2</stp>
        <stp>600122</stp>
        <stp>12/31/2018</stp>
        <tr r="O3190" s="1"/>
      </tp>
      <tp>
        <v>2.33590847329268</v>
        <stp/>
        <stp>EM_S_VAL_PS_TTM</stp>
        <stp>2</stp>
        <stp>300171</stp>
        <stp>12/31/2018</stp>
        <tr r="O2262" s="1"/>
      </tp>
      <tp>
        <v>0.60544550070755798</v>
        <stp/>
        <stp>EM_S_VAL_PS_TTM</stp>
        <stp>2</stp>
        <stp>600121</stp>
        <stp>12/31/2018</stp>
        <tr r="O3036" s="1"/>
      </tp>
      <tp>
        <v>3.0057213296409802</v>
        <stp/>
        <stp>EM_S_VAL_PS_TTM</stp>
        <stp>2</stp>
        <stp>300170</stp>
        <stp>12/31/2018</stp>
        <tr r="O2376" s="1"/>
      </tp>
      <tp>
        <v>1.1761247608794201</v>
        <stp/>
        <stp>EM_S_VAL_PS_TTM</stp>
        <stp>2</stp>
        <stp>600120</stp>
        <stp>12/31/2018</stp>
        <tr r="O3210" s="1"/>
      </tp>
      <tp>
        <v>5.7121497605891802</v>
        <stp/>
        <stp>EM_S_VAL_PS_TTM</stp>
        <stp>2</stp>
        <stp>300179</stp>
        <stp>12/31/2018</stp>
        <tr r="O596" s="1"/>
      </tp>
      <tp>
        <v>0.47186963098147999</v>
        <stp/>
        <stp>EM_S_VAL_PS_TTM</stp>
        <stp>2</stp>
        <stp>600129</stp>
        <stp>12/31/2018</stp>
        <tr r="O892" s="1"/>
      </tp>
      <tp>
        <v>1.06910627930347</v>
        <stp/>
        <stp>EM_S_VAL_PS_TTM</stp>
        <stp>2</stp>
        <stp>300178</stp>
        <stp>12/31/2018</stp>
        <tr r="O3346" s="1"/>
      </tp>
      <tp>
        <v>0.42619967170387302</v>
        <stp/>
        <stp>EM_S_VAL_PS_TTM</stp>
        <stp>2</stp>
        <stp>600128</stp>
        <stp>12/31/2018</stp>
        <tr r="O2583" s="1"/>
      </tp>
      <tp>
        <v>4.6957121384652298</v>
        <stp/>
        <stp>EM_S_VAL_PS_TTM</stp>
        <stp>2</stp>
        <stp>300087</stp>
        <stp>12/31/2018</stp>
        <tr r="O2662" s="1"/>
      </tp>
      <tp>
        <v>3.4416885537358599</v>
        <stp/>
        <stp>EM_S_VAL_PS_TTM</stp>
        <stp>2</stp>
        <stp>300086</stp>
        <stp>12/31/2018</stp>
        <tr r="O3069" s="1"/>
      </tp>
      <tp>
        <v>4.2125376496763698</v>
        <stp/>
        <stp>EM_S_VAL_PS_TTM</stp>
        <stp>2</stp>
        <stp>300085</stp>
        <stp>12/31/2018</stp>
        <tr r="O175" s="1"/>
      </tp>
      <tp>
        <v>3.1296805311722702</v>
        <stp/>
        <stp>EM_S_VAL_PS_TTM</stp>
        <stp>2</stp>
        <stp>300084</stp>
        <stp>12/31/2018</stp>
        <tr r="O2639" s="1"/>
      </tp>
      <tp>
        <v>0.57077083169471199</v>
        <stp/>
        <stp>EM_S_VAL_PS_TTM</stp>
        <stp>2</stp>
        <stp>300083</stp>
        <stp>12/31/2018</stp>
        <tr r="O377" s="1"/>
      </tp>
      <tp>
        <v>0.55040624593711396</v>
        <stp/>
        <stp>EM_S_VAL_PS_TTM</stp>
        <stp>2</stp>
        <stp>300082</stp>
        <stp>12/31/2018</stp>
        <tr r="O2238" s="1"/>
      </tp>
      <tp>
        <v>7.4473266779815503</v>
        <stp/>
        <stp>EM_S_VAL_PS_TTM</stp>
        <stp>2</stp>
        <stp>300081</stp>
        <stp>12/31/2018</stp>
        <tr r="O1430" s="1"/>
      </tp>
      <tp>
        <v>0.74667092275648295</v>
        <stp/>
        <stp>EM_S_VAL_PS_TTM</stp>
        <stp>2</stp>
        <stp>300080</stp>
        <stp>12/31/2018</stp>
        <tr r="O1199" s="1"/>
      </tp>
      <tp>
        <v>2.7225288786186899</v>
        <stp/>
        <stp>EM_S_VAL_PS_TTM</stp>
        <stp>2</stp>
        <stp>300089</stp>
        <stp>12/31/2018</stp>
        <tr r="O3253" s="1"/>
      </tp>
      <tp>
        <v>1.0314765124366401</v>
        <stp/>
        <stp>EM_S_VAL_PS_TTM</stp>
        <stp>2</stp>
        <stp>300088</stp>
        <stp>12/31/2018</stp>
        <tr r="O96" s="1"/>
      </tp>
      <tp>
        <v>3.2219683691325098</v>
        <stp/>
        <stp>EM_S_VAL_PS_TTM</stp>
        <stp>2</stp>
        <stp>300097</stp>
        <stp>12/31/2018</stp>
        <tr r="O2911" s="1"/>
      </tp>
      <tp>
        <v>4.7252908024910996</v>
        <stp/>
        <stp>EM_S_VAL_PS_TTM</stp>
        <stp>2</stp>
        <stp>300096</stp>
        <stp>12/31/2018</stp>
        <tr r="O1359" s="1"/>
      </tp>
      <tp>
        <v>1.9961563014218799</v>
        <stp/>
        <stp>EM_S_VAL_PS_TTM</stp>
        <stp>2</stp>
        <stp>300095</stp>
        <stp>12/31/2018</stp>
        <tr r="O950" s="1"/>
      </tp>
      <tp>
        <v>0.87726084890018496</v>
        <stp/>
        <stp>EM_S_VAL_PS_TTM</stp>
        <stp>2</stp>
        <stp>300094</stp>
        <stp>12/31/2018</stp>
        <tr r="O2998" s="1"/>
      </tp>
      <tp>
        <v>1.9159266213750801</v>
        <stp/>
        <stp>EM_S_VAL_PS_TTM</stp>
        <stp>2</stp>
        <stp>300093</stp>
        <stp>12/31/2018</stp>
        <tr r="O239" s="1"/>
      </tp>
      <tp>
        <v>2.9346342226130799</v>
        <stp/>
        <stp>EM_S_VAL_PS_TTM</stp>
        <stp>2</stp>
        <stp>300092</stp>
        <stp>12/31/2018</stp>
        <tr r="O1306" s="1"/>
      </tp>
      <tp>
        <v>1.9844155513402499</v>
        <stp/>
        <stp>EM_S_VAL_PS_TTM</stp>
        <stp>2</stp>
        <stp>300091</stp>
        <stp>12/31/2018</stp>
        <tr r="O1161" s="1"/>
      </tp>
      <tp>
        <v>4.0014617106058497</v>
        <stp/>
        <stp>EM_S_VAL_PS_TTM</stp>
        <stp>2</stp>
        <stp>300090</stp>
        <stp>12/31/2018</stp>
        <tr r="O3294" s="1"/>
      </tp>
      <tp>
        <v>6.2799091377994998</v>
        <stp/>
        <stp>EM_S_VAL_PS_TTM</stp>
        <stp>2</stp>
        <stp>300099</stp>
        <stp>12/31/2018</stp>
        <tr r="O551" s="1"/>
      </tp>
      <tp>
        <v>3.4772096768460901</v>
        <stp/>
        <stp>EM_S_VAL_PS_TTM</stp>
        <stp>2</stp>
        <stp>300098</stp>
        <stp>12/31/2018</stp>
        <tr r="O2821" s="1"/>
      </tp>
      <tp>
        <v>3.0123761522647499</v>
        <stp/>
        <stp>EM_S_VAL_PS_TTM</stp>
        <stp>2</stp>
        <stp>000096</stp>
        <stp>12/31/2018</stp>
        <tr r="O1146" s="1"/>
      </tp>
      <tp>
        <v>0.96557759901837403</v>
        <stp/>
        <stp>EM_S_VAL_PS_TTM</stp>
        <stp>2</stp>
        <stp>000090</stp>
        <stp>12/31/2018</stp>
        <tr r="O479" s="1"/>
      </tp>
      <tp>
        <v>2.4964037249528501</v>
        <stp/>
        <stp>EM_S_VAL_PS_TTM</stp>
        <stp>2</stp>
        <stp>000099</stp>
        <stp>12/31/2018</stp>
        <tr r="O899" s="1"/>
      </tp>
      <tp>
        <v>4.4953038007960799</v>
        <stp/>
        <stp>EM_S_VAL_PS_TTM</stp>
        <stp>2</stp>
        <stp>000089</stp>
        <stp>12/31/2018</stp>
        <tr r="O1035" s="1"/>
      </tp>
      <tp>
        <v>25.175611876596399</v>
        <stp/>
        <stp>EM_S_VAL_PS_TTM</stp>
        <stp>2</stp>
        <stp>000088</stp>
        <stp>12/31/2018</stp>
        <tr r="O1566" s="1"/>
      </tp>
      <tp>
        <v>1.28294972062642</v>
        <stp/>
        <stp>EM_S_VAL_PS_TTM</stp>
        <stp>2</stp>
        <stp>600097</stp>
        <stp>12/31/2018</stp>
        <tr r="O2540" s="1"/>
      </tp>
      <tp>
        <v>0.14169218182445301</v>
        <stp/>
        <stp>EM_S_VAL_PS_TTM</stp>
        <stp>2</stp>
        <stp>600096</stp>
        <stp>12/31/2018</stp>
        <tr r="O2005" s="1"/>
      </tp>
      <tp>
        <v>5.7513816035737104</v>
        <stp/>
        <stp>EM_S_VAL_PS_TTM</stp>
        <stp>2</stp>
        <stp>600095</stp>
        <stp>12/31/2018</stp>
        <tr r="O100" s="1"/>
      </tp>
      <tp>
        <v>0.68662561498303498</v>
        <stp/>
        <stp>EM_S_VAL_PS_TTM</stp>
        <stp>2</stp>
        <stp>600094</stp>
        <stp>12/31/2018</stp>
        <tr r="O451" s="1"/>
      </tp>
      <tp>
        <v>0.46637087807464001</v>
        <stp/>
        <stp>EM_S_VAL_PS_TTM</stp>
        <stp>2</stp>
        <stp>600093</stp>
        <stp>12/31/2018</stp>
        <tr r="O227" s="1"/>
      </tp>
      <tp>
        <v>36383.104199283502</v>
        <stp/>
        <stp>EM_S_VAL_PS_TTM</stp>
        <stp>2</stp>
        <stp>600092</stp>
        <stp>12/31/2018</stp>
        <tr r="O2291" s="1"/>
      </tp>
      <tp>
        <v>23.164491674780599</v>
        <stp/>
        <stp>EM_S_VAL_PS_TTM</stp>
        <stp>2</stp>
        <stp>600091</stp>
        <stp>12/31/2018</stp>
        <tr r="O2402" s="1"/>
      </tp>
      <tp>
        <v>0.71949393859007305</v>
        <stp/>
        <stp>EM_S_VAL_PS_TTM</stp>
        <stp>2</stp>
        <stp>600090</stp>
        <stp>12/31/2018</stp>
        <tr r="O3138" s="1"/>
      </tp>
      <tp>
        <v>2.4957633042459899</v>
        <stp/>
        <stp>EM_S_VAL_PS_TTM</stp>
        <stp>2</stp>
        <stp>600099</stp>
        <stp>12/31/2018</stp>
        <tr r="O1401" s="1"/>
      </tp>
      <tp>
        <v>0.59244137788990403</v>
        <stp/>
        <stp>EM_S_VAL_PS_TTM</stp>
        <stp>2</stp>
        <stp>600098</stp>
        <stp>12/31/2018</stp>
        <tr r="O1455" s="1"/>
      </tp>
      <tp>
        <v>1.19914194186915</v>
        <stp/>
        <stp>EM_S_VAL_PS_TTM</stp>
        <stp>2</stp>
        <stp>600087</stp>
        <stp>12/31/2018</stp>
        <tr r="O2290" s="1"/>
      </tp>
      <tp>
        <v>1.29303105741827</v>
        <stp/>
        <stp>EM_S_VAL_PS_TTM</stp>
        <stp>2</stp>
        <stp>600086</stp>
        <stp>12/31/2018</stp>
        <tr r="O3319" s="1"/>
      </tp>
      <tp>
        <v>2.68065018460078</v>
        <stp/>
        <stp>EM_S_VAL_PS_TTM</stp>
        <stp>2</stp>
        <stp>600085</stp>
        <stp>12/31/2018</stp>
        <tr r="O2188" s="1"/>
      </tp>
      <tp>
        <v>8.4988545634638797</v>
        <stp/>
        <stp>EM_S_VAL_PS_TTM</stp>
        <stp>2</stp>
        <stp>600084</stp>
        <stp>12/31/2018</stp>
        <tr r="O2817" s="1"/>
      </tp>
      <tp>
        <v>3.02920545801449</v>
        <stp/>
        <stp>EM_S_VAL_PS_TTM</stp>
        <stp>2</stp>
        <stp>600083</stp>
        <stp>12/31/2018</stp>
        <tr r="O1494" s="1"/>
      </tp>
      <tp>
        <v>5.0999225660085097</v>
        <stp/>
        <stp>EM_S_VAL_PS_TTM</stp>
        <stp>2</stp>
        <stp>600082</stp>
        <stp>12/31/2018</stp>
        <tr r="O2681" s="1"/>
      </tp>
      <tp>
        <v>0.35923078229238498</v>
        <stp/>
        <stp>EM_S_VAL_PS_TTM</stp>
        <stp>2</stp>
        <stp>600081</stp>
        <stp>12/31/2018</stp>
        <tr r="O405" s="1"/>
      </tp>
      <tp>
        <v>3.5410792424117798</v>
        <stp/>
        <stp>EM_S_VAL_PS_TTM</stp>
        <stp>2</stp>
        <stp>600080</stp>
        <stp>12/31/2018</stp>
        <tr r="O2993" s="1"/>
      </tp>
      <tp>
        <v>0.65718199742301198</v>
        <stp/>
        <stp>EM_S_VAL_PS_TTM</stp>
        <stp>2</stp>
        <stp>600089</stp>
        <stp>12/31/2018</stp>
        <tr r="O2447" s="1"/>
      </tp>
      <tp>
        <v>4.6392420820869598</v>
        <stp/>
        <stp>EM_S_VAL_PS_TTM</stp>
        <stp>2</stp>
        <stp>600088</stp>
        <stp>12/31/2018</stp>
        <tr r="O412" s="1"/>
      </tp>
      <tp>
        <v>1.3696840803667101</v>
        <stp/>
        <stp>EM_S_VAL_PS_TTM</stp>
        <stp>2</stp>
        <stp>000037</stp>
        <stp>12/31/2018</stp>
        <tr r="O68" s="1"/>
      </tp>
      <tp>
        <v>1.8901055655852199</v>
        <stp/>
        <stp>EM_S_VAL_PS_TTM</stp>
        <stp>2</stp>
        <stp>300007</stp>
        <stp>12/31/2018</stp>
        <tr r="O352" s="1"/>
      </tp>
      <tp>
        <v>3.9219481879425998E-2</v>
        <stp/>
        <stp>EM_S_VAL_PS_TTM</stp>
        <stp>2</stp>
        <stp>600057</stp>
        <stp>12/31/2018</stp>
        <tr r="O2370" s="1"/>
      </tp>
      <tp>
        <v>1.72231514857462</v>
        <stp/>
        <stp>EM_S_VAL_PS_TTM</stp>
        <stp>2</stp>
        <stp>000036</stp>
        <stp>12/31/2018</stp>
        <tr r="O3122" s="1"/>
      </tp>
      <tp>
        <v>1.98005759872698</v>
        <stp/>
        <stp>EM_S_VAL_PS_TTM</stp>
        <stp>2</stp>
        <stp>300006</stp>
        <stp>12/31/2018</stp>
        <tr r="O461" s="1"/>
      </tp>
      <tp>
        <v>0.437646836077551</v>
        <stp/>
        <stp>EM_S_VAL_PS_TTM</stp>
        <stp>2</stp>
        <stp>600056</stp>
        <stp>12/31/2018</stp>
        <tr r="O2165" s="1"/>
      </tp>
      <tp>
        <v>3.5391791187455501</v>
        <stp/>
        <stp>EM_S_VAL_PS_TTM</stp>
        <stp>2</stp>
        <stp>000035</stp>
        <stp>12/31/2018</stp>
        <tr r="O1341" s="1"/>
      </tp>
      <tp>
        <v>1.2560408084317101</v>
        <stp/>
        <stp>EM_S_VAL_PS_TTM</stp>
        <stp>2</stp>
        <stp>300005</stp>
        <stp>12/31/2018</stp>
        <tr r="O801" s="1"/>
      </tp>
      <tp>
        <v>4.8491540099220201</v>
        <stp/>
        <stp>EM_S_VAL_PS_TTM</stp>
        <stp>2</stp>
        <stp>600055</stp>
        <stp>12/31/2018</stp>
        <tr r="O1416" s="1"/>
      </tp>
      <tp>
        <v>0.116718530685456</v>
        <stp/>
        <stp>EM_S_VAL_PS_TTM</stp>
        <stp>2</stp>
        <stp>000034</stp>
        <stp>12/31/2018</stp>
        <tr r="O564" s="1"/>
      </tp>
      <tp>
        <v>1.9904128597453601</v>
        <stp/>
        <stp>EM_S_VAL_PS_TTM</stp>
        <stp>2</stp>
        <stp>300004</stp>
        <stp>12/31/2018</stp>
        <tr r="O259" s="1"/>
      </tp>
      <tp>
        <v>4.23073828843419</v>
        <stp/>
        <stp>EM_S_VAL_PS_TTM</stp>
        <stp>2</stp>
        <stp>600054</stp>
        <stp>12/31/2018</stp>
        <tr r="O2451" s="1"/>
      </tp>
      <tp>
        <v>8.4991529961426409</v>
        <stp/>
        <stp>EM_S_VAL_PS_TTM</stp>
        <stp>2</stp>
        <stp>000033</stp>
        <stp>12/31/2018</stp>
        <tr r="O2275" s="1"/>
      </tp>
      <tp>
        <v>6.3576206534750099</v>
        <stp/>
        <stp>EM_S_VAL_PS_TTM</stp>
        <stp>2</stp>
        <stp>300003</stp>
        <stp>12/31/2018</stp>
        <tr r="O508" s="1"/>
      </tp>
      <tp>
        <v>11.390457749225</v>
        <stp/>
        <stp>EM_S_VAL_PS_TTM</stp>
        <stp>2</stp>
        <stp>600053</stp>
        <stp>12/31/2018</stp>
        <tr r="O2410" s="1"/>
      </tp>
      <tp>
        <v>1.7513436083601099</v>
        <stp/>
        <stp>EM_S_VAL_PS_TTM</stp>
        <stp>2</stp>
        <stp>000032</stp>
        <stp>12/31/2018</stp>
        <tr r="O158" s="1"/>
      </tp>
      <tp>
        <v>4.5470778503034097</v>
        <stp/>
        <stp>EM_S_VAL_PS_TTM</stp>
        <stp>2</stp>
        <stp>300002</stp>
        <stp>12/31/2018</stp>
        <tr r="O2398" s="1"/>
      </tp>
      <tp>
        <v>2.23016392853128</v>
        <stp/>
        <stp>EM_S_VAL_PS_TTM</stp>
        <stp>2</stp>
        <stp>600052</stp>
        <stp>12/31/2018</stp>
        <tr r="O481" s="1"/>
      </tp>
      <tp>
        <v>0.65981375021560695</v>
        <stp/>
        <stp>EM_S_VAL_PS_TTM</stp>
        <stp>2</stp>
        <stp>000031</stp>
        <stp>12/31/2018</stp>
        <tr r="O569" s="1"/>
      </tp>
      <tp>
        <v>3.3658004415586098</v>
        <stp/>
        <stp>EM_S_VAL_PS_TTM</stp>
        <stp>2</stp>
        <stp>300001</stp>
        <stp>12/31/2018</stp>
        <tr r="O2358" s="1"/>
      </tp>
      <tp>
        <v>0.30153727319461998</v>
        <stp/>
        <stp>EM_S_VAL_PS_TTM</stp>
        <stp>2</stp>
        <stp>600051</stp>
        <stp>12/31/2018</stp>
        <tr r="O1703" s="1"/>
      </tp>
      <tp>
        <v>0.86262874481533902</v>
        <stp/>
        <stp>EM_S_VAL_PS_TTM</stp>
        <stp>2</stp>
        <stp>000030</stp>
        <stp>12/31/2018</stp>
        <tr r="O883" s="1"/>
      </tp>
      <tp>
        <v>0.555520740943383</v>
        <stp/>
        <stp>EM_S_VAL_PS_TTM</stp>
        <stp>2</stp>
        <stp>600050</stp>
        <stp>12/31/2018</stp>
        <tr r="O1536" s="1"/>
      </tp>
      <tp>
        <v>0.35387381313599198</v>
        <stp/>
        <stp>EM_S_VAL_PS_TTM</stp>
        <stp>2</stp>
        <stp>000039</stp>
        <stp>12/31/2018</stp>
        <tr r="O1426" s="1"/>
      </tp>
      <tp>
        <v>9.6392067925361999</v>
        <stp/>
        <stp>EM_S_VAL_PS_TTM</stp>
        <stp>2</stp>
        <stp>300009</stp>
        <stp>12/31/2018</stp>
        <tr r="O1660" s="1"/>
      </tp>
      <tp>
        <v>3.0929144524005001</v>
        <stp/>
        <stp>EM_S_VAL_PS_TTM</stp>
        <stp>2</stp>
        <stp>600059</stp>
        <stp>12/31/2018</stp>
        <tr r="O979" s="1"/>
      </tp>
      <tp>
        <v>2.6263118155652498</v>
        <stp/>
        <stp>EM_S_VAL_PS_TTM</stp>
        <stp>2</stp>
        <stp>000038</stp>
        <stp>12/31/2018</stp>
        <tr r="O2663" s="1"/>
      </tp>
      <tp>
        <v>1.79605175475904</v>
        <stp/>
        <stp>EM_S_VAL_PS_TTM</stp>
        <stp>2</stp>
        <stp>300008</stp>
        <stp>12/31/2018</stp>
        <tr r="O1648" s="1"/>
      </tp>
      <tp>
        <v>0.124720765236117</v>
        <stp/>
        <stp>EM_S_VAL_PS_TTM</stp>
        <stp>2</stp>
        <stp>600058</stp>
        <stp>12/31/2018</stp>
        <tr r="O1269" s="1"/>
      </tp>
      <tp>
        <v>1.1909288705833001</v>
        <stp/>
        <stp>EM_S_VAL_PS_TTM</stp>
        <stp>2</stp>
        <stp>000027</stp>
        <stp>12/31/2018</stp>
        <tr r="O1310" s="1"/>
      </tp>
      <tp>
        <v>3.06882722999317</v>
        <stp/>
        <stp>EM_S_VAL_PS_TTM</stp>
        <stp>2</stp>
        <stp>300017</stp>
        <stp>12/31/2018</stp>
        <tr r="O1215" s="1"/>
      </tp>
      <tp>
        <v>0.93117794967371703</v>
        <stp/>
        <stp>EM_S_VAL_PS_TTM</stp>
        <stp>2</stp>
        <stp>000026</stp>
        <stp>12/31/2018</stp>
        <tr r="O462" s="1"/>
      </tp>
      <tp>
        <v>6.0225783755177904</v>
        <stp/>
        <stp>EM_S_VAL_PS_TTM</stp>
        <stp>2</stp>
        <stp>300016</stp>
        <stp>12/31/2018</stp>
        <tr r="O993" s="1"/>
      </tp>
      <tp>
        <v>19.7370061779583</v>
        <stp/>
        <stp>EM_S_VAL_PS_TTM</stp>
        <stp>2</stp>
        <stp>000025</stp>
        <stp>12/31/2018</stp>
        <tr r="O1436" s="1"/>
      </tp>
      <tp>
        <v>8.1356514096489896</v>
        <stp/>
        <stp>EM_S_VAL_PS_TTM</stp>
        <stp>2</stp>
        <stp>300015</stp>
        <stp>12/31/2018</stp>
        <tr r="O607" s="1"/>
      </tp>
      <tp>
        <v>2.3962093223638901</v>
        <stp/>
        <stp>EM_S_VAL_PS_TTM</stp>
        <stp>2</stp>
        <stp>000024</stp>
        <stp>12/31/2018</stp>
        <tr r="O2274" s="1"/>
      </tp>
      <tp>
        <v>3.35840557195875</v>
        <stp/>
        <stp>EM_S_VAL_PS_TTM</stp>
        <stp>2</stp>
        <stp>300014</stp>
        <stp>12/31/2018</stp>
        <tr r="O40" s="1"/>
      </tp>
      <tp>
        <v>1.2947786225262601</v>
        <stp/>
        <stp>EM_S_VAL_PS_TTM</stp>
        <stp>2</stp>
        <stp>000023</stp>
        <stp>12/31/2018</stp>
        <tr r="O2109" s="1"/>
      </tp>
      <tp>
        <v>2.8608657799775798</v>
        <stp/>
        <stp>EM_S_VAL_PS_TTM</stp>
        <stp>2</stp>
        <stp>300013</stp>
        <stp>12/31/2018</stp>
        <tr r="O2628" s="1"/>
      </tp>
      <tp>
        <v>0</v>
        <stp/>
        <stp>EM_S_VAL_PS_TTM</stp>
        <stp>2</stp>
        <stp>000022</stp>
        <stp>12/31/2018</stp>
        <tr r="O3" s="1"/>
      </tp>
      <tp>
        <v>4.2768811869205896</v>
        <stp/>
        <stp>EM_S_VAL_PS_TTM</stp>
        <stp>2</stp>
        <stp>300012</stp>
        <stp>12/31/2018</stp>
        <tr r="O112" s="1"/>
      </tp>
      <tp>
        <v>0.52560199413651398</v>
        <stp/>
        <stp>EM_S_VAL_PS_TTM</stp>
        <stp>2</stp>
        <stp>000021</stp>
        <stp>12/31/2018</stp>
        <tr r="O134" s="1"/>
      </tp>
      <tp>
        <v>2.5376330594376002</v>
        <stp/>
        <stp>EM_S_VAL_PS_TTM</stp>
        <stp>2</stp>
        <stp>300011</stp>
        <stp>12/31/2018</stp>
        <tr r="O2446" s="1"/>
      </tp>
      <tp>
        <v>4.3837978374197597</v>
        <stp/>
        <stp>EM_S_VAL_PS_TTM</stp>
        <stp>2</stp>
        <stp>000020</stp>
        <stp>12/31/2018</stp>
        <tr r="O2164" s="1"/>
      </tp>
      <tp>
        <v>2.8781961386587001</v>
        <stp/>
        <stp>EM_S_VAL_PS_TTM</stp>
        <stp>2</stp>
        <stp>300010</stp>
        <stp>12/31/2018</stp>
        <tr r="O280" s="1"/>
      </tp>
      <tp>
        <v>5.7030220798551898</v>
        <stp/>
        <stp>EM_S_VAL_PS_TTM</stp>
        <stp>2</stp>
        <stp>000029</stp>
        <stp>12/31/2018</stp>
        <tr r="O2341" s="1"/>
      </tp>
      <tp>
        <v>2.4187116709184502</v>
        <stp/>
        <stp>EM_S_VAL_PS_TTM</stp>
        <stp>2</stp>
        <stp>300019</stp>
        <stp>12/31/2018</stp>
        <tr r="O390" s="1"/>
      </tp>
      <tp>
        <v>0.42493161411049502</v>
        <stp/>
        <stp>EM_S_VAL_PS_TTM</stp>
        <stp>2</stp>
        <stp>000028</stp>
        <stp>12/31/2018</stp>
        <tr r="O1704" s="1"/>
      </tp>
      <tp>
        <v>5.2745639100760897</v>
        <stp/>
        <stp>EM_S_VAL_PS_TTM</stp>
        <stp>2</stp>
        <stp>300018</stp>
        <stp>12/31/2018</stp>
        <tr r="O1441" s="1"/>
      </tp>
      <tp>
        <v>0.846181308940538</v>
        <stp/>
        <stp>EM_S_VAL_PS_TTM</stp>
        <stp>2</stp>
        <stp>600048</stp>
        <stp>12/31/2018</stp>
        <tr r="O771" s="1"/>
      </tp>
      <tp>
        <v>16.784036191624502</v>
        <stp/>
        <stp>EM_S_VAL_PS_TTM</stp>
        <stp>2</stp>
        <stp>000017</stp>
        <stp>12/31/2018</stp>
        <tr r="O2076" s="1"/>
      </tp>
      <tp>
        <v>2.7828564277285399</v>
        <stp/>
        <stp>EM_S_VAL_PS_TTM</stp>
        <stp>2</stp>
        <stp>300027</stp>
        <stp>12/31/2018</stp>
        <tr r="O2241" s="1"/>
      </tp>
      <tp>
        <v>1.03427998511551</v>
        <stp/>
        <stp>EM_S_VAL_PS_TTM</stp>
        <stp>2</stp>
        <stp>600077</stp>
        <stp>12/31/2018</stp>
        <tr r="O1551" s="1"/>
      </tp>
      <tp>
        <v>0.19109800541526001</v>
        <stp/>
        <stp>EM_S_VAL_PS_TTM</stp>
        <stp>2</stp>
        <stp>000016</stp>
        <stp>12/31/2018</stp>
        <tr r="O767" s="1"/>
      </tp>
      <tp>
        <v>2.28736443914126</v>
        <stp/>
        <stp>EM_S_VAL_PS_TTM</stp>
        <stp>2</stp>
        <stp>300026</stp>
        <stp>12/31/2018</stp>
        <tr r="O1577" s="1"/>
      </tp>
      <tp>
        <v>1.75047929491701</v>
        <stp/>
        <stp>EM_S_VAL_PS_TTM</stp>
        <stp>2</stp>
        <stp>600076</stp>
        <stp>12/31/2018</stp>
        <tr r="O2007" s="1"/>
      </tp>
      <tp>
        <v>16.104441454915001</v>
        <stp/>
        <stp>EM_S_VAL_PS_TTM</stp>
        <stp>2</stp>
        <stp>000015</stp>
        <stp>12/31/2018</stp>
        <tr r="O2273" s="1"/>
      </tp>
      <tp>
        <v>1.42467553797891</v>
        <stp/>
        <stp>EM_S_VAL_PS_TTM</stp>
        <stp>2</stp>
        <stp>300025</stp>
        <stp>12/31/2018</stp>
        <tr r="O1834" s="1"/>
      </tp>
      <tp>
        <v>0.87276878046620798</v>
        <stp/>
        <stp>EM_S_VAL_PS_TTM</stp>
        <stp>2</stp>
        <stp>600075</stp>
        <stp>12/31/2018</stp>
        <tr r="O1714" s="1"/>
      </tp>
      <tp>
        <v>6.9214590003825203</v>
        <stp/>
        <stp>EM_S_VAL_PS_TTM</stp>
        <stp>2</stp>
        <stp>000014</stp>
        <stp>12/31/2018</stp>
        <tr r="O2219" s="1"/>
      </tp>
      <tp>
        <v>7.2314848080357503</v>
        <stp/>
        <stp>EM_S_VAL_PS_TTM</stp>
        <stp>2</stp>
        <stp>300024</stp>
        <stp>12/31/2018</stp>
        <tr r="O1953" s="1"/>
      </tp>
      <tp>
        <v>8511.2474800169293</v>
        <stp/>
        <stp>EM_S_VAL_PS_TTM</stp>
        <stp>2</stp>
        <stp>600074</stp>
        <stp>12/31/2018</stp>
        <tr r="O2876" s="1"/>
      </tp>
      <tp>
        <v>0</v>
        <stp/>
        <stp>EM_S_VAL_PS_TTM</stp>
        <stp>2</stp>
        <stp>000013</stp>
        <stp>12/31/2018</stp>
        <tr r="O2272" s="1"/>
      </tp>
      <tp>
        <v>3.34814165709839</v>
        <stp/>
        <stp>EM_S_VAL_PS_TTM</stp>
        <stp>2</stp>
        <stp>300023</stp>
        <stp>12/31/2018</stp>
        <tr r="O1352" s="1"/>
      </tp>
      <tp>
        <v>0.31577898007548</v>
        <stp/>
        <stp>EM_S_VAL_PS_TTM</stp>
        <stp>2</stp>
        <stp>600073</stp>
        <stp>12/31/2018</stp>
        <tr r="O1973" s="1"/>
      </tp>
      <tp>
        <v>1.0163780197854499</v>
        <stp/>
        <stp>EM_S_VAL_PS_TTM</stp>
        <stp>2</stp>
        <stp>000012</stp>
        <stp>12/31/2018</stp>
        <tr r="O741" s="1"/>
      </tp>
      <tp>
        <v>0.47743595445582399</v>
        <stp/>
        <stp>EM_S_VAL_PS_TTM</stp>
        <stp>2</stp>
        <stp>300022</stp>
        <stp>12/31/2018</stp>
        <tr r="O1917" s="1"/>
      </tp>
      <tp>
        <v>1.3539630517783401</v>
        <stp/>
        <stp>EM_S_VAL_PS_TTM</stp>
        <stp>2</stp>
        <stp>600072</stp>
        <stp>12/31/2018</stp>
        <tr r="O198" s="1"/>
      </tp>
      <tp>
        <v>3.7706506917723601</v>
        <stp/>
        <stp>EM_S_VAL_PS_TTM</stp>
        <stp>2</stp>
        <stp>000011</stp>
        <stp>12/31/2018</stp>
        <tr r="O1983" s="1"/>
      </tp>
      <tp>
        <v>2.1838735841477401</v>
        <stp/>
        <stp>EM_S_VAL_PS_TTM</stp>
        <stp>2</stp>
        <stp>300021</stp>
        <stp>12/31/2018</stp>
        <tr r="O1058" s="1"/>
      </tp>
      <tp>
        <v>2.2542383238095201</v>
        <stp/>
        <stp>EM_S_VAL_PS_TTM</stp>
        <stp>2</stp>
        <stp>600071</stp>
        <stp>12/31/2018</stp>
        <tr r="O523" s="1"/>
      </tp>
      <tp>
        <v>8.7561670008164292</v>
        <stp/>
        <stp>EM_S_VAL_PS_TTM</stp>
        <stp>2</stp>
        <stp>000010</stp>
        <stp>12/31/2018</stp>
        <tr r="O2039" s="1"/>
      </tp>
      <tp>
        <v>1.96717510886169</v>
        <stp/>
        <stp>EM_S_VAL_PS_TTM</stp>
        <stp>2</stp>
        <stp>300020</stp>
        <stp>12/31/2018</stp>
        <tr r="O927" s="1"/>
      </tp>
      <tp>
        <v>1.48630829903035</v>
        <stp/>
        <stp>EM_S_VAL_PS_TTM</stp>
        <stp>2</stp>
        <stp>600070</stp>
        <stp>12/31/2018</stp>
        <tr r="O667" s="1"/>
      </tp>
      <tp>
        <v>27.268083842602501</v>
        <stp/>
        <stp>EM_S_VAL_PS_TTM</stp>
        <stp>2</stp>
        <stp>000019</stp>
        <stp>12/31/2018</stp>
        <tr r="O2891" s="1"/>
      </tp>
      <tp>
        <v>4.3150479323634796</v>
        <stp/>
        <stp>EM_S_VAL_PS_TTM</stp>
        <stp>2</stp>
        <stp>300029</stp>
        <stp>12/31/2018</stp>
        <tr r="O944" s="1"/>
      </tp>
      <tp>
        <v>0.75011960932220501</v>
        <stp/>
        <stp>EM_S_VAL_PS_TTM</stp>
        <stp>2</stp>
        <stp>600079</stp>
        <stp>12/31/2018</stp>
        <tr r="O1010" s="1"/>
      </tp>
      <tp>
        <v>0.88437819136160301</v>
        <stp/>
        <stp>EM_S_VAL_PS_TTM</stp>
        <stp>2</stp>
        <stp>000018</stp>
        <stp>12/31/2018</stp>
        <tr r="O3409" s="1"/>
      </tp>
      <tp>
        <v>12.808654802526499</v>
        <stp/>
        <stp>EM_S_VAL_PS_TTM</stp>
        <stp>2</stp>
        <stp>300028</stp>
        <stp>12/31/2018</stp>
        <tr r="O2280" s="1"/>
      </tp>
      <tp>
        <v>0.70741972884311199</v>
        <stp/>
        <stp>EM_S_VAL_PS_TTM</stp>
        <stp>2</stp>
        <stp>600078</stp>
        <stp>12/31/2018</stp>
        <tr r="O391" s="1"/>
      </tp>
      <tp>
        <v>73.783270425700607</v>
        <stp/>
        <stp>EM_S_VAL_PS_TTM</stp>
        <stp>2</stp>
        <stp>000007</stp>
        <stp>12/31/2018</stp>
        <tr r="O1370" s="1"/>
      </tp>
      <tp>
        <v>4.36114284971692</v>
        <stp/>
        <stp>EM_S_VAL_PS_TTM</stp>
        <stp>2</stp>
        <stp>300037</stp>
        <stp>12/31/2018</stp>
        <tr r="O533" s="1"/>
      </tp>
      <tp>
        <v>0.79307613453232195</v>
        <stp/>
        <stp>EM_S_VAL_PS_TTM</stp>
        <stp>2</stp>
        <stp>600067</stp>
        <stp>12/31/2018</stp>
        <tr r="O1911" s="1"/>
      </tp>
      <tp>
        <v>3.1301336617361999</v>
        <stp/>
        <stp>EM_S_VAL_PS_TTM</stp>
        <stp>2</stp>
        <stp>000006</stp>
        <stp>12/31/2018</stp>
        <tr r="O1889" s="1"/>
      </tp>
      <tp>
        <v>5.6905293403367398</v>
        <stp/>
        <stp>EM_S_VAL_PS_TTM</stp>
        <stp>2</stp>
        <stp>300036</stp>
        <stp>12/31/2018</stp>
        <tr r="O1798" s="1"/>
      </tp>
      <tp>
        <v>0.78078056051580802</v>
        <stp/>
        <stp>EM_S_VAL_PS_TTM</stp>
        <stp>2</stp>
        <stp>600066</stp>
        <stp>12/31/2018</stp>
        <tr r="O1296" s="1"/>
      </tp>
      <tp>
        <v>4.7305357582951997</v>
        <stp/>
        <stp>EM_S_VAL_PS_TTM</stp>
        <stp>2</stp>
        <stp>000005</stp>
        <stp>12/31/2018</stp>
        <tr r="O1466" s="1"/>
      </tp>
      <tp>
        <v>4.10316225258412</v>
        <stp/>
        <stp>EM_S_VAL_PS_TTM</stp>
        <stp>2</stp>
        <stp>300035</stp>
        <stp>12/31/2018</stp>
        <tr r="O263" s="1"/>
      </tp>
      <tp>
        <v>0.38405201254767302</v>
        <stp/>
        <stp>EM_S_VAL_PS_TTM</stp>
        <stp>2</stp>
        <stp>600065</stp>
        <stp>12/31/2018</stp>
        <tr r="O2289" s="1"/>
      </tp>
      <tp>
        <v>4.1575100673054504</v>
        <stp/>
        <stp>EM_S_VAL_PS_TTM</stp>
        <stp>2</stp>
        <stp>000004</stp>
        <stp>12/31/2018</stp>
        <tr r="O715" s="1"/>
      </tp>
      <tp>
        <v>5.3328126490995098</v>
        <stp/>
        <stp>EM_S_VAL_PS_TTM</stp>
        <stp>2</stp>
        <stp>300034</stp>
        <stp>12/31/2018</stp>
        <tr r="O226" s="1"/>
      </tp>
      <tp>
        <v>2.2537177564438902</v>
        <stp/>
        <stp>EM_S_VAL_PS_TTM</stp>
        <stp>2</stp>
        <stp>600064</stp>
        <stp>12/31/2018</stp>
        <tr r="O1144" s="1"/>
      </tp>
      <tp>
        <v>14.991566465911999</v>
        <stp/>
        <stp>EM_S_VAL_PS_TTM</stp>
        <stp>2</stp>
        <stp>000003</stp>
        <stp>12/31/2018</stp>
        <tr r="O2271" s="1"/>
      </tp>
      <tp>
        <v>15.4046079507365</v>
        <stp/>
        <stp>EM_S_VAL_PS_TTM</stp>
        <stp>2</stp>
        <stp>300033</stp>
        <stp>12/31/2018</stp>
        <tr r="O49" s="1"/>
      </tp>
      <tp>
        <v>0.79458315184600103</v>
        <stp/>
        <stp>EM_S_VAL_PS_TTM</stp>
        <stp>2</stp>
        <stp>600063</stp>
        <stp>12/31/2018</stp>
        <tr r="O327" s="1"/>
      </tp>
      <tp>
        <v>0.87122686832229601</v>
        <stp/>
        <stp>EM_S_VAL_PS_TTM</stp>
        <stp>2</stp>
        <stp>000002</stp>
        <stp>12/31/2018</stp>
        <tr r="O725" s="1"/>
      </tp>
      <tp>
        <v>0.70086322131715395</v>
        <stp/>
        <stp>EM_S_VAL_PS_TTM</stp>
        <stp>2</stp>
        <stp>300032</stp>
        <stp>12/31/2018</stp>
        <tr r="O987" s="1"/>
      </tp>
      <tp>
        <v>1.5814723361927201</v>
        <stp/>
        <stp>EM_S_VAL_PS_TTM</stp>
        <stp>2</stp>
        <stp>600062</stp>
        <stp>12/31/2018</stp>
        <tr r="O1938" s="1"/>
      </tp>
      <tp>
        <v>1.4301306950317001</v>
        <stp/>
        <stp>EM_S_VAL_PS_TTM</stp>
        <stp>2</stp>
        <stp>000001</stp>
        <stp>12/31/2018</stp>
        <tr r="O265" s="1"/>
      </tp>
      <tp>
        <v>2.6745810517932802</v>
        <stp/>
        <stp>EM_S_VAL_PS_TTM</stp>
        <stp>2</stp>
        <stp>300031</stp>
        <stp>12/31/2018</stp>
        <tr r="O1669" s="1"/>
      </tp>
      <tp>
        <v>3.4301502473143399</v>
        <stp/>
        <stp>EM_S_VAL_PS_TTM</stp>
        <stp>2</stp>
        <stp>600061</stp>
        <stp>12/31/2018</stp>
        <tr r="O518" s="1"/>
      </tp>
      <tp>
        <v>2.80766719588717</v>
        <stp/>
        <stp>EM_S_VAL_PS_TTM</stp>
        <stp>2</stp>
        <stp>300030</stp>
        <stp>12/31/2018</stp>
        <tr r="O663" s="1"/>
      </tp>
      <tp>
        <v>0.33786435001781001</v>
        <stp/>
        <stp>EM_S_VAL_PS_TTM</stp>
        <stp>2</stp>
        <stp>600060</stp>
        <stp>12/31/2018</stp>
        <tr r="O1112" s="1"/>
      </tp>
      <tp>
        <v>1.0461504535049599</v>
        <stp/>
        <stp>EM_S_VAL_PS_TTM</stp>
        <stp>2</stp>
        <stp>000009</stp>
        <stp>12/31/2018</stp>
        <tr r="O295" s="1"/>
      </tp>
      <tp>
        <v>2.9666445606290499</v>
        <stp/>
        <stp>EM_S_VAL_PS_TTM</stp>
        <stp>2</stp>
        <stp>300039</stp>
        <stp>12/31/2018</stp>
        <tr r="O1356" s="1"/>
      </tp>
      <tp>
        <v>1.5920002304727401</v>
        <stp/>
        <stp>EM_S_VAL_PS_TTM</stp>
        <stp>2</stp>
        <stp>600069</stp>
        <stp>12/31/2018</stp>
        <tr r="O2650" s="1"/>
      </tp>
      <tp>
        <v>4.1507096641189003</v>
        <stp/>
        <stp>EM_S_VAL_PS_TTM</stp>
        <stp>2</stp>
        <stp>000008</stp>
        <stp>12/31/2018</stp>
        <tr r="O2627" s="1"/>
      </tp>
      <tp>
        <v>2.5759246978797701</v>
        <stp/>
        <stp>EM_S_VAL_PS_TTM</stp>
        <stp>2</stp>
        <stp>300038</stp>
        <stp>12/31/2018</stp>
        <tr r="O2648" s="1"/>
      </tp>
      <tp>
        <v>0.291252519470451</v>
        <stp/>
        <stp>EM_S_VAL_PS_TTM</stp>
        <stp>2</stp>
        <stp>600068</stp>
        <stp>12/31/2018</stp>
        <tr r="O2190" s="1"/>
      </tp>
      <tp>
        <v>1.34714388010166</v>
        <stp/>
        <stp>EM_S_VAL_PS_TTM</stp>
        <stp>2</stp>
        <stp>300047</stp>
        <stp>12/31/2018</stp>
        <tr r="O3200" s="1"/>
      </tp>
      <tp>
        <v>1.6533588328805899</v>
        <stp/>
        <stp>EM_S_VAL_PS_TTM</stp>
        <stp>2</stp>
        <stp>600017</stp>
        <stp>12/31/2018</stp>
        <tr r="O1986" s="1"/>
      </tp>
      <tp>
        <v>7.6337324091462104</v>
        <stp/>
        <stp>EM_S_VAL_PS_TTM</stp>
        <stp>2</stp>
        <stp>300046</stp>
        <stp>12/31/2018</stp>
        <tr r="O595" s="1"/>
      </tp>
      <tp>
        <v>1.63161109026171</v>
        <stp/>
        <stp>EM_S_VAL_PS_TTM</stp>
        <stp>2</stp>
        <stp>600016</stp>
        <stp>12/31/2018</stp>
        <tr r="O1730" s="1"/>
      </tp>
      <tp>
        <v>7.1748952924118701</v>
        <stp/>
        <stp>EM_S_VAL_PS_TTM</stp>
        <stp>2</stp>
        <stp>300045</stp>
        <stp>12/31/2018</stp>
        <tr r="O1141" s="1"/>
      </tp>
      <tp>
        <v>1.4160139624278201</v>
        <stp/>
        <stp>EM_S_VAL_PS_TTM</stp>
        <stp>2</stp>
        <stp>600015</stp>
        <stp>12/31/2018</stp>
        <tr r="O2083" s="1"/>
      </tp>
      <tp>
        <v>3.34728681086257</v>
        <stp/>
        <stp>EM_S_VAL_PS_TTM</stp>
        <stp>2</stp>
        <stp>300044</stp>
        <stp>12/31/2018</stp>
        <tr r="O1874" s="1"/>
      </tp>
      <tp>
        <v>1.4120523160914999</v>
        <stp/>
        <stp>EM_S_VAL_PS_TTM</stp>
        <stp>2</stp>
        <stp>300043</stp>
        <stp>12/31/2018</stp>
        <tr r="O491" s="1"/>
      </tp>
      <tp>
        <v>1.9384808572249399</v>
        <stp/>
        <stp>EM_S_VAL_PS_TTM</stp>
        <stp>2</stp>
        <stp>300042</stp>
        <stp>12/31/2018</stp>
        <tr r="O1386" s="1"/>
      </tp>
      <tp>
        <v>3.3753582093066701</v>
        <stp/>
        <stp>EM_S_VAL_PS_TTM</stp>
        <stp>2</stp>
        <stp>600012</stp>
        <stp>12/31/2018</stp>
        <tr r="O2470" s="1"/>
      </tp>
      <tp>
        <v>1.63064289441891</v>
        <stp/>
        <stp>EM_S_VAL_PS_TTM</stp>
        <stp>2</stp>
        <stp>300041</stp>
        <stp>12/31/2018</stp>
        <tr r="O532" s="1"/>
      </tp>
      <tp>
        <v>0.69357178892123705</v>
        <stp/>
        <stp>EM_S_VAL_PS_TTM</stp>
        <stp>2</stp>
        <stp>600011</stp>
        <stp>12/31/2018</stp>
        <tr r="O3146" s="1"/>
      </tp>
      <tp>
        <v>0.77482459924755598</v>
        <stp/>
        <stp>EM_S_VAL_PS_TTM</stp>
        <stp>2</stp>
        <stp>000070</stp>
        <stp>12/31/2018</stp>
        <tr r="O228" s="1"/>
      </tp>
      <tp>
        <v>1.4666291392667701</v>
        <stp/>
        <stp>EM_S_VAL_PS_TTM</stp>
        <stp>2</stp>
        <stp>300040</stp>
        <stp>12/31/2018</stp>
        <tr r="O1626" s="1"/>
      </tp>
      <tp>
        <v>1.0059234121094101</v>
        <stp/>
        <stp>EM_S_VAL_PS_TTM</stp>
        <stp>2</stp>
        <stp>600010</stp>
        <stp>12/31/2018</stp>
        <tr r="O2792" s="1"/>
      </tp>
      <tp>
        <v>3.1357339751664002</v>
        <stp/>
        <stp>EM_S_VAL_PS_TTM</stp>
        <stp>2</stp>
        <stp>300049</stp>
        <stp>12/31/2018</stp>
        <tr r="O3166" s="1"/>
      </tp>
      <tp>
        <v>0.49601792109656101</v>
        <stp/>
        <stp>EM_S_VAL_PS_TTM</stp>
        <stp>2</stp>
        <stp>600019</stp>
        <stp>12/31/2018</stp>
        <tr r="O2815" s="1"/>
      </tp>
      <tp>
        <v>0.21544058350557299</v>
        <stp/>
        <stp>EM_S_VAL_PS_TTM</stp>
        <stp>2</stp>
        <stp>000078</stp>
        <stp>12/31/2018</stp>
        <tr r="O1064" s="1"/>
      </tp>
      <tp>
        <v>1.8544976380907301</v>
        <stp/>
        <stp>EM_S_VAL_PS_TTM</stp>
        <stp>2</stp>
        <stp>300048</stp>
        <stp>12/31/2018</stp>
        <tr r="O2355" s="1"/>
      </tp>
      <tp>
        <v>3.1348090207327699</v>
        <stp/>
        <stp>EM_S_VAL_PS_TTM</stp>
        <stp>2</stp>
        <stp>600018</stp>
        <stp>12/31/2018</stp>
        <tr r="O1725" s="1"/>
      </tp>
      <tp>
        <v>0.67011333428531095</v>
        <stp/>
        <stp>EM_S_VAL_PS_TTM</stp>
        <stp>2</stp>
        <stp>300057</stp>
        <stp>12/31/2018</stp>
        <tr r="O2435" s="1"/>
      </tp>
      <tp>
        <v>4.1446425411094703</v>
        <stp/>
        <stp>EM_S_VAL_PS_TTM</stp>
        <stp>2</stp>
        <stp>600007</stp>
        <stp>12/31/2018</stp>
        <tr r="O722" s="1"/>
      </tp>
      <tp>
        <v>1.51283653730017</v>
        <stp/>
        <stp>EM_S_VAL_PS_TTM</stp>
        <stp>2</stp>
        <stp>000066</stp>
        <stp>12/31/2018</stp>
        <tr r="O34" s="1"/>
      </tp>
      <tp>
        <v>1.54995704157464</v>
        <stp/>
        <stp>EM_S_VAL_PS_TTM</stp>
        <stp>2</stp>
        <stp>300056</stp>
        <stp>12/31/2018</stp>
        <tr r="O1201" s="1"/>
      </tp>
      <tp>
        <v>0.49493753535642199</v>
        <stp/>
        <stp>EM_S_VAL_PS_TTM</stp>
        <stp>2</stp>
        <stp>600006</stp>
        <stp>12/31/2018</stp>
        <tr r="O1054" s="1"/>
      </tp>
      <tp>
        <v>0.62038688657887298</v>
        <stp/>
        <stp>EM_S_VAL_PS_TTM</stp>
        <stp>2</stp>
        <stp>000065</stp>
        <stp>12/31/2018</stp>
        <tr r="O1549" s="1"/>
      </tp>
      <tp>
        <v>4.0515469822766299</v>
        <stp/>
        <stp>EM_S_VAL_PS_TTM</stp>
        <stp>2</stp>
        <stp>300055</stp>
        <stp>12/31/2018</stp>
        <tr r="O2859" s="1"/>
      </tp>
      <tp>
        <v>0.71604903963005895</v>
        <stp/>
        <stp>EM_S_VAL_PS_TTM</stp>
        <stp>2</stp>
        <stp>600005</stp>
        <stp>12/31/2018</stp>
        <tr r="O2288" s="1"/>
      </tp>
      <tp>
        <v>4.2394858936654298</v>
        <stp/>
        <stp>EM_S_VAL_PS_TTM</stp>
        <stp>2</stp>
        <stp>300054</stp>
        <stp>12/31/2018</stp>
        <tr r="O635" s="1"/>
      </tp>
      <tp>
        <v>2.7197788736409798</v>
        <stp/>
        <stp>EM_S_VAL_PS_TTM</stp>
        <stp>2</stp>
        <stp>600004</stp>
        <stp>12/31/2018</stp>
        <tr r="O266" s="1"/>
      </tp>
      <tp>
        <v>0.90255921980782305</v>
        <stp/>
        <stp>EM_S_VAL_PS_TTM</stp>
        <stp>2</stp>
        <stp>000063</stp>
        <stp>12/31/2018</stp>
        <tr r="O245" s="1"/>
      </tp>
      <tp>
        <v>6.8431339904183197</v>
        <stp/>
        <stp>EM_S_VAL_PS_TTM</stp>
        <stp>2</stp>
        <stp>300053</stp>
        <stp>12/31/2018</stp>
        <tr r="O528" s="1"/>
      </tp>
      <tp>
        <v>6.2898964648776197</v>
        <stp/>
        <stp>EM_S_VAL_PS_TTM</stp>
        <stp>2</stp>
        <stp>600003</stp>
        <stp>12/31/2018</stp>
        <tr r="O2287" s="1"/>
      </tp>
      <tp>
        <v>1.0902105441568899</v>
        <stp/>
        <stp>EM_S_VAL_PS_TTM</stp>
        <stp>2</stp>
        <stp>000062</stp>
        <stp>12/31/2018</stp>
        <tr r="O1072" s="1"/>
      </tp>
      <tp>
        <v>9.4445187511082604</v>
        <stp/>
        <stp>EM_S_VAL_PS_TTM</stp>
        <stp>2</stp>
        <stp>300052</stp>
        <stp>12/31/2018</stp>
        <tr r="O509" s="1"/>
      </tp>
      <tp>
        <v>1.0072391909343701</v>
        <stp/>
        <stp>EM_S_VAL_PS_TTM</stp>
        <stp>2</stp>
        <stp>600002</stp>
        <stp>12/31/2018</stp>
        <tr r="O2286" s="1"/>
      </tp>
      <tp>
        <v>3.3699733678287802</v>
        <stp/>
        <stp>EM_S_VAL_PS_TTM</stp>
        <stp>2</stp>
        <stp>000061</stp>
        <stp>12/31/2018</stp>
        <tr r="O1460" s="1"/>
      </tp>
      <tp>
        <v>8.4846383479753502</v>
        <stp/>
        <stp>EM_S_VAL_PS_TTM</stp>
        <stp>2</stp>
        <stp>300051</stp>
        <stp>12/31/2018</stp>
        <tr r="O2016" s="1"/>
      </tp>
      <tp>
        <v>0.46057300956077502</v>
        <stp/>
        <stp>EM_S_VAL_PS_TTM</stp>
        <stp>2</stp>
        <stp>600001</stp>
        <stp>12/31/2018</stp>
        <tr r="O2285" s="1"/>
      </tp>
      <tp>
        <v>0.667055394030309</v>
        <stp/>
        <stp>EM_S_VAL_PS_TTM</stp>
        <stp>2</stp>
        <stp>000060</stp>
        <stp>12/31/2018</stp>
        <tr r="O1710" s="1"/>
      </tp>
      <tp>
        <v>3.2962475821882302</v>
        <stp/>
        <stp>EM_S_VAL_PS_TTM</stp>
        <stp>2</stp>
        <stp>300050</stp>
        <stp>12/31/2018</stp>
        <tr r="O2656" s="1"/>
      </tp>
      <tp>
        <v>1.6895069682339101</v>
        <stp/>
        <stp>EM_S_VAL_PS_TTM</stp>
        <stp>2</stp>
        <stp>600000</stp>
        <stp>12/31/2018</stp>
        <tr r="O1062" s="1"/>
      </tp>
      <tp>
        <v>1.0962237050867101</v>
        <stp/>
        <stp>EM_S_VAL_PS_TTM</stp>
        <stp>2</stp>
        <stp>000069</stp>
        <stp>12/31/2018</stp>
        <tr r="O986" s="1"/>
      </tp>
      <tp>
        <v>19.787975945325599</v>
        <stp/>
        <stp>EM_S_VAL_PS_TTM</stp>
        <stp>2</stp>
        <stp>300059</stp>
        <stp>12/31/2018</stp>
        <tr r="O916" s="1"/>
      </tp>
      <tp>
        <v>10.923795062882901</v>
        <stp/>
        <stp>EM_S_VAL_PS_TTM</stp>
        <stp>2</stp>
        <stp>600009</stp>
        <stp>12/31/2018</stp>
        <tr r="O511" s="1"/>
      </tp>
      <tp>
        <v>11.1802315339987</v>
        <stp/>
        <stp>EM_S_VAL_PS_TTM</stp>
        <stp>2</stp>
        <stp>000068</stp>
        <stp>12/31/2018</stp>
        <tr r="O2414" s="1"/>
      </tp>
      <tp>
        <v>0.43518307928212002</v>
        <stp/>
        <stp>EM_S_VAL_PS_TTM</stp>
        <stp>2</stp>
        <stp>300058</stp>
        <stp>12/31/2018</stp>
        <tr r="O873" s="1"/>
      </tp>
      <tp>
        <v>1.8434587939821701</v>
        <stp/>
        <stp>EM_S_VAL_PS_TTM</stp>
        <stp>2</stp>
        <stp>600008</stp>
        <stp>12/31/2018</stp>
        <tr r="O2550" s="1"/>
      </tp>
      <tp>
        <v>2.8452507839694099</v>
        <stp/>
        <stp>EM_S_VAL_PS_TTM</stp>
        <stp>2</stp>
        <stp>300067</stp>
        <stp>12/31/2018</stp>
        <tr r="O2899" s="1"/>
      </tp>
      <tp>
        <v>4.4516188656111604</v>
        <stp/>
        <stp>EM_S_VAL_PS_TTM</stp>
        <stp>2</stp>
        <stp>600037</stp>
        <stp>12/31/2018</stp>
        <tr r="O2030" s="1"/>
      </tp>
      <tp>
        <v>6.7204676611826004</v>
        <stp/>
        <stp>EM_S_VAL_PS_TTM</stp>
        <stp>2</stp>
        <stp>000056</stp>
        <stp>12/31/2018</stp>
        <tr r="O2827" s="1"/>
      </tp>
      <tp>
        <v>5.0644750637026501</v>
        <stp/>
        <stp>EM_S_VAL_PS_TTM</stp>
        <stp>2</stp>
        <stp>300066</stp>
        <stp>12/31/2018</stp>
        <tr r="O710" s="1"/>
      </tp>
      <tp>
        <v>2.6169529519474599</v>
        <stp/>
        <stp>EM_S_VAL_PS_TTM</stp>
        <stp>2</stp>
        <stp>600036</stp>
        <stp>12/31/2018</stp>
        <tr r="O562" s="1"/>
      </tp>
      <tp>
        <v>1.4766431184515401</v>
        <stp/>
        <stp>EM_S_VAL_PS_TTM</stp>
        <stp>2</stp>
        <stp>000055</stp>
        <stp>12/31/2018</stp>
        <tr r="O1107" s="1"/>
      </tp>
      <tp>
        <v>4.8782752752004503</v>
        <stp/>
        <stp>EM_S_VAL_PS_TTM</stp>
        <stp>2</stp>
        <stp>300065</stp>
        <stp>12/31/2018</stp>
        <tr r="O1337" s="1"/>
      </tp>
      <tp>
        <v>1.6621594277804801</v>
        <stp/>
        <stp>EM_S_VAL_PS_TTM</stp>
        <stp>2</stp>
        <stp>600035</stp>
        <stp>12/31/2018</stp>
        <tr r="O1452" s="1"/>
      </tp>
      <tp>
        <v>3.3008519299015799</v>
        <stp/>
        <stp>EM_S_VAL_PS_TTM</stp>
        <stp>2</stp>
        <stp>300064</stp>
        <stp>12/31/2018</stp>
        <tr r="O3172" s="1"/>
      </tp>
      <tp>
        <v>0.30485443410131402</v>
        <stp/>
        <stp>EM_S_VAL_PS_TTM</stp>
        <stp>2</stp>
        <stp>300063</stp>
        <stp>12/31/2018</stp>
        <tr r="O2700" s="1"/>
      </tp>
      <tp>
        <v>3.13801639634343</v>
        <stp/>
        <stp>EM_S_VAL_PS_TTM</stp>
        <stp>2</stp>
        <stp>600033</stp>
        <stp>12/31/2018</stp>
        <tr r="O2105" s="1"/>
      </tp>
      <tp>
        <v>1.5635821030888899</v>
        <stp/>
        <stp>EM_S_VAL_PS_TTM</stp>
        <stp>2</stp>
        <stp>300062</stp>
        <stp>12/31/2018</stp>
        <tr r="O1772" s="1"/>
      </tp>
      <tp>
        <v>1.8747318501194601</v>
        <stp/>
        <stp>EM_S_VAL_PS_TTM</stp>
        <stp>2</stp>
        <stp>300061</stp>
        <stp>12/31/2018</stp>
        <tr r="O1862" s="1"/>
      </tp>
      <tp>
        <v>1.26898358209743</v>
        <stp/>
        <stp>EM_S_VAL_PS_TTM</stp>
        <stp>2</stp>
        <stp>600031</stp>
        <stp>12/31/2018</stp>
        <tr r="O148" s="1"/>
      </tp>
      <tp>
        <v>1.04366229481121</v>
        <stp/>
        <stp>EM_S_VAL_PS_TTM</stp>
        <stp>2</stp>
        <stp>000050</stp>
        <stp>12/31/2018</stp>
        <tr r="O348" s="1"/>
      </tp>
      <tp>
        <v>4.6187302830696897</v>
        <stp/>
        <stp>EM_S_VAL_PS_TTM</stp>
        <stp>2</stp>
        <stp>600030</stp>
        <stp>12/31/2018</stp>
        <tr r="O423" s="1"/>
      </tp>
      <tp>
        <v>0.26792958559846303</v>
        <stp/>
        <stp>EM_S_VAL_PS_TTM</stp>
        <stp>2</stp>
        <stp>000059</stp>
        <stp>12/31/2018</stp>
        <tr r="O1923" s="1"/>
      </tp>
      <tp>
        <v>6.0202668519994704</v>
        <stp/>
        <stp>EM_S_VAL_PS_TTM</stp>
        <stp>2</stp>
        <stp>300069</stp>
        <stp>12/31/2018</stp>
        <tr r="O270" s="1"/>
      </tp>
      <tp>
        <v>0.33005671942355003</v>
        <stp/>
        <stp>EM_S_VAL_PS_TTM</stp>
        <stp>2</stp>
        <stp>600039</stp>
        <stp>12/31/2018</stp>
        <tr r="O2260" s="1"/>
      </tp>
      <tp>
        <v>2.8483311311628698</v>
        <stp/>
        <stp>EM_S_VAL_PS_TTM</stp>
        <stp>2</stp>
        <stp>000058</stp>
        <stp>12/31/2018</stp>
        <tr r="O1127" s="1"/>
      </tp>
      <tp>
        <v>1.4064857933154999</v>
        <stp/>
        <stp>EM_S_VAL_PS_TTM</stp>
        <stp>2</stp>
        <stp>300068</stp>
        <stp>12/31/2018</stp>
        <tr r="O3130" s="1"/>
      </tp>
      <tp>
        <v>1.7713297572643401</v>
        <stp/>
        <stp>EM_S_VAL_PS_TTM</stp>
        <stp>2</stp>
        <stp>600038</stp>
        <stp>12/31/2018</stp>
        <tr r="O1039" s="1"/>
      </tp>
      <tp>
        <v>0</v>
        <stp/>
        <stp>EM_S_VAL_PS_TTM</stp>
        <stp>2</stp>
        <stp>000047</stp>
        <stp>12/31/2018</stp>
        <tr r="O2276" s="1"/>
      </tp>
      <tp>
        <v>6.26661259657127</v>
        <stp/>
        <stp>EM_S_VAL_PS_TTM</stp>
        <stp>2</stp>
        <stp>300077</stp>
        <stp>12/31/2018</stp>
        <tr r="O3056" s="1"/>
      </tp>
      <tp>
        <v>0.54969380321252603</v>
        <stp/>
        <stp>EM_S_VAL_PS_TTM</stp>
        <stp>2</stp>
        <stp>600027</stp>
        <stp>12/31/2018</stp>
        <tr r="O3124" s="1"/>
      </tp>
      <tp>
        <v>1.51291083929907</v>
        <stp/>
        <stp>EM_S_VAL_PS_TTM</stp>
        <stp>2</stp>
        <stp>000046</stp>
        <stp>12/31/2018</stp>
        <tr r="O2270" s="1"/>
      </tp>
      <tp>
        <v>8.2615329540509208</v>
        <stp/>
        <stp>EM_S_VAL_PS_TTM</stp>
        <stp>2</stp>
        <stp>300076</stp>
        <stp>12/31/2018</stp>
        <tr r="O594" s="1"/>
      </tp>
      <tp>
        <v>1.6612838312757101</v>
        <stp/>
        <stp>EM_S_VAL_PS_TTM</stp>
        <stp>2</stp>
        <stp>600026</stp>
        <stp>12/31/2018</stp>
        <tr r="O703" s="1"/>
      </tp>
      <tp>
        <v>2.0045694703973198</v>
        <stp/>
        <stp>EM_S_VAL_PS_TTM</stp>
        <stp>2</stp>
        <stp>000045</stp>
        <stp>12/31/2018</stp>
        <tr r="O967" s="1"/>
      </tp>
      <tp>
        <v>3.60253045309436</v>
        <stp/>
        <stp>EM_S_VAL_PS_TTM</stp>
        <stp>2</stp>
        <stp>300075</stp>
        <stp>12/31/2018</stp>
        <tr r="O2077" s="1"/>
      </tp>
      <tp>
        <v>3.7662840828410502</v>
        <stp/>
        <stp>EM_S_VAL_PS_TTM</stp>
        <stp>2</stp>
        <stp>600025</stp>
        <stp>12/31/2018</stp>
        <tr r="O835" s="1"/>
      </tp>
      <tp>
        <v>4.8788889368341799</v>
        <stp/>
        <stp>EM_S_VAL_PS_TTM</stp>
        <stp>2</stp>
        <stp>300074</stp>
        <stp>12/31/2018</stp>
        <tr r="O1462" s="1"/>
      </tp>
      <tp>
        <v>0.81013323118601699</v>
        <stp/>
        <stp>EM_S_VAL_PS_TTM</stp>
        <stp>2</stp>
        <stp>000043</stp>
        <stp>12/31/2018</stp>
        <tr r="O4" s="1"/>
      </tp>
      <tp>
        <v>3.77866455265496</v>
        <stp/>
        <stp>EM_S_VAL_PS_TTM</stp>
        <stp>2</stp>
        <stp>300073</stp>
        <stp>12/31/2018</stp>
        <tr r="O2284" s="1"/>
      </tp>
      <tp>
        <v>1.13568722799322</v>
        <stp/>
        <stp>EM_S_VAL_PS_TTM</stp>
        <stp>2</stp>
        <stp>600023</stp>
        <stp>12/31/2018</stp>
        <tr r="O2977" s="1"/>
      </tp>
      <tp>
        <v>0.63782871462717705</v>
        <stp/>
        <stp>EM_S_VAL_PS_TTM</stp>
        <stp>2</stp>
        <stp>000042</stp>
        <stp>12/31/2018</stp>
        <tr r="O2432" s="1"/>
      </tp>
      <tp>
        <v>1.28471937634108</v>
        <stp/>
        <stp>EM_S_VAL_PS_TTM</stp>
        <stp>2</stp>
        <stp>300072</stp>
        <stp>12/31/2018</stp>
        <tr r="O3283" s="1"/>
      </tp>
      <tp>
        <v>0.32317223027888797</v>
        <stp/>
        <stp>EM_S_VAL_PS_TTM</stp>
        <stp>2</stp>
        <stp>600022</stp>
        <stp>12/31/2018</stp>
        <tr r="O2738" s="1"/>
      </tp>
      <tp>
        <v>0.76791112547562002</v>
        <stp/>
        <stp>EM_S_VAL_PS_TTM</stp>
        <stp>2</stp>
        <stp>300071</stp>
        <stp>12/31/2018</stp>
        <tr r="O3121" s="1"/>
      </tp>
      <tp>
        <v>1.0219190042764199</v>
        <stp/>
        <stp>EM_S_VAL_PS_TTM</stp>
        <stp>2</stp>
        <stp>600021</stp>
        <stp>12/31/2018</stp>
        <tr r="O2411" s="1"/>
      </tp>
      <tp>
        <v>1.3037332055450901</v>
        <stp/>
        <stp>EM_S_VAL_PS_TTM</stp>
        <stp>2</stp>
        <stp>000040</stp>
        <stp>12/31/2018</stp>
        <tr r="O3327" s="1"/>
      </tp>
      <tp>
        <v>1.7052965501753801</v>
        <stp/>
        <stp>EM_S_VAL_PS_TTM</stp>
        <stp>2</stp>
        <stp>300070</stp>
        <stp>12/31/2018</stp>
        <tr r="O2453" s="1"/>
      </tp>
      <tp>
        <v>1.49891572614428</v>
        <stp/>
        <stp>EM_S_VAL_PS_TTM</stp>
        <stp>2</stp>
        <stp>600020</stp>
        <stp>12/31/2018</stp>
        <tr r="O1292" s="1"/>
      </tp>
      <tp>
        <v>0.35907507480298101</v>
        <stp/>
        <stp>EM_S_VAL_PS_TTM</stp>
        <stp>2</stp>
        <stp>000049</stp>
        <stp>12/31/2018</stp>
        <tr r="O678" s="1"/>
      </tp>
      <tp>
        <v>3.4252049162183198</v>
        <stp/>
        <stp>EM_S_VAL_PS_TTM</stp>
        <stp>2</stp>
        <stp>300079</stp>
        <stp>12/31/2018</stp>
        <tr r="O236" s="1"/>
      </tp>
      <tp>
        <v>0.58079806038746495</v>
        <stp/>
        <stp>EM_S_VAL_PS_TTM</stp>
        <stp>2</stp>
        <stp>600029</stp>
        <stp>12/31/2018</stp>
        <tr r="O1859" s="1"/>
      </tp>
      <tp>
        <v>3.45027261702386</v>
        <stp/>
        <stp>EM_S_VAL_PS_TTM</stp>
        <stp>2</stp>
        <stp>000048</stp>
        <stp>12/31/2018</stp>
        <tr r="O1177" s="1"/>
      </tp>
      <tp>
        <v>6.4007822930598497</v>
        <stp/>
        <stp>EM_S_VAL_PS_TTM</stp>
        <stp>2</stp>
        <stp>300078</stp>
        <stp>12/31/2018</stp>
        <tr r="O1234" s="1"/>
      </tp>
      <tp>
        <v>0.22744133218571599</v>
        <stp/>
        <stp>EM_S_VAL_PS_TTM</stp>
        <stp>2</stp>
        <stp>600028</stp>
        <stp>12/31/2018</stp>
        <tr r="O2245" s="1"/>
      </tp>
      <tp>
        <v>1.4455765556098701</v>
        <stp/>
        <stp>EM_S_VAL_PS_TTM</stp>
        <stp>2</stp>
        <stp>000797</stp>
        <stp>12/31/2018</stp>
        <tr r="O3127" s="1"/>
      </tp>
      <tp>
        <v>0.61056849568607197</v>
        <stp/>
        <stp>EM_S_VAL_PS_TTM</stp>
        <stp>2</stp>
        <stp>000796</stp>
        <stp>12/31/2018</stp>
        <tr r="O776" s="1"/>
      </tp>
      <tp>
        <v>1.9856509014380099</v>
        <stp/>
        <stp>EM_S_VAL_PS_TTM</stp>
        <stp>2</stp>
        <stp>000795</stp>
        <stp>12/31/2018</stp>
        <tr r="O292" s="1"/>
      </tp>
      <tp>
        <v>1.64331288210529</v>
        <stp/>
        <stp>EM_S_VAL_PS_TTM</stp>
        <stp>2</stp>
        <stp>000793</stp>
        <stp>12/31/2018</stp>
        <tr r="O3540" s="1"/>
      </tp>
      <tp>
        <v>1.1659435983909701</v>
        <stp/>
        <stp>EM_S_VAL_PS_TTM</stp>
        <stp>2</stp>
        <stp>000792</stp>
        <stp>12/31/2018</stp>
        <tr r="O3539" s="1"/>
      </tp>
      <tp>
        <v>2.20660788532772</v>
        <stp/>
        <stp>EM_S_VAL_PS_TTM</stp>
        <stp>2</stp>
        <stp>000791</stp>
        <stp>12/31/2018</stp>
        <tr r="O3193" s="1"/>
      </tp>
      <tp>
        <v>3.6952556862853898</v>
        <stp/>
        <stp>EM_S_VAL_PS_TTM</stp>
        <stp>2</stp>
        <stp>000790</stp>
        <stp>12/31/2018</stp>
        <tr r="O1849" s="1"/>
      </tp>
      <tp>
        <v>4.7769276855666103</v>
        <stp/>
        <stp>EM_S_VAL_PS_TTM</stp>
        <stp>2</stp>
        <stp>000799</stp>
        <stp>12/31/2018</stp>
        <tr r="O114" s="1"/>
      </tp>
      <tp>
        <v>2.8469392382966499</v>
        <stp/>
        <stp>EM_S_VAL_PS_TTM</stp>
        <stp>2</stp>
        <stp>000798</stp>
        <stp>12/31/2018</stp>
        <tr r="O3541" s="1"/>
      </tp>
      <tp>
        <v>1.2542346092159899</v>
        <stp/>
        <stp>EM_S_VAL_PS_TTM</stp>
        <stp>2</stp>
        <stp>000787</stp>
        <stp>12/31/2018</stp>
        <tr r="O3538" s="1"/>
      </tp>
      <tp>
        <v>1.8495080175601299</v>
        <stp/>
        <stp>EM_S_VAL_PS_TTM</stp>
        <stp>2</stp>
        <stp>000786</stp>
        <stp>12/31/2018</stp>
        <tr r="O216" s="1"/>
      </tp>
      <tp>
        <v>0.403520612309196</v>
        <stp/>
        <stp>EM_S_VAL_PS_TTM</stp>
        <stp>2</stp>
        <stp>000785</stp>
        <stp>12/31/2018</stp>
        <tr r="O560" s="1"/>
      </tp>
      <tp>
        <v>5.8705949426905804</v>
        <stp/>
        <stp>EM_S_VAL_PS_TTM</stp>
        <stp>2</stp>
        <stp>000783</stp>
        <stp>12/31/2018</stp>
        <tr r="O3537" s="1"/>
      </tp>
      <tp>
        <v>0.57564788155537405</v>
        <stp/>
        <stp>EM_S_VAL_PS_TTM</stp>
        <stp>2</stp>
        <stp>000782</stp>
        <stp>12/31/2018</stp>
        <tr r="O3032" s="1"/>
      </tp>
      <tp>
        <v>1.32214307956698</v>
        <stp/>
        <stp>EM_S_VAL_PS_TTM</stp>
        <stp>2</stp>
        <stp>000780</stp>
        <stp>12/31/2018</stp>
        <tr r="O3536" s="1"/>
      </tp>
      <tp>
        <v>0.70338486366863995</v>
        <stp/>
        <stp>EM_S_VAL_PS_TTM</stp>
        <stp>2</stp>
        <stp>000789</stp>
        <stp>12/31/2018</stp>
        <tr r="O2031" s="1"/>
      </tp>
      <tp>
        <v>1.44911285661837</v>
        <stp/>
        <stp>EM_S_VAL_PS_TTM</stp>
        <stp>2</stp>
        <stp>000788</stp>
        <stp>12/31/2018</stp>
        <tr r="O1145" s="1"/>
      </tp>
      <tp>
        <v>2.1302669538779999</v>
        <stp/>
        <stp>EM_S_VAL_PS_TTM</stp>
        <stp>2</stp>
        <stp>600797</stp>
        <stp>12/31/2018</stp>
        <tr r="O719" s="1"/>
      </tp>
      <tp>
        <v>3.41391921571946</v>
        <stp/>
        <stp>EM_S_VAL_PS_TTM</stp>
        <stp>2</stp>
        <stp>600796</stp>
        <stp>12/31/2018</stp>
        <tr r="O1931" s="1"/>
      </tp>
      <tp>
        <v>0.79083441489428297</v>
        <stp/>
        <stp>EM_S_VAL_PS_TTM</stp>
        <stp>2</stp>
        <stp>600795</stp>
        <stp>12/31/2018</stp>
        <tr r="O2731" s="1"/>
      </tp>
      <tp>
        <v>2.1387070756811402</v>
        <stp/>
        <stp>EM_S_VAL_PS_TTM</stp>
        <stp>2</stp>
        <stp>600794</stp>
        <stp>12/31/2018</stp>
        <tr r="O627" s="1"/>
      </tp>
      <tp>
        <v>1.07989658845416</v>
        <stp/>
        <stp>EM_S_VAL_PS_TTM</stp>
        <stp>2</stp>
        <stp>600793</stp>
        <stp>12/31/2018</stp>
        <tr r="O1843" s="1"/>
      </tp>
      <tp>
        <v>0.50603111637855502</v>
        <stp/>
        <stp>EM_S_VAL_PS_TTM</stp>
        <stp>2</stp>
        <stp>600792</stp>
        <stp>12/31/2018</stp>
        <tr r="O952" s="1"/>
      </tp>
      <tp>
        <v>2.05954599116951</v>
        <stp/>
        <stp>EM_S_VAL_PS_TTM</stp>
        <stp>2</stp>
        <stp>600791</stp>
        <stp>12/31/2018</stp>
        <tr r="O1982" s="1"/>
      </tp>
      <tp>
        <v>5.5886167409113998</v>
        <stp/>
        <stp>EM_S_VAL_PS_TTM</stp>
        <stp>2</stp>
        <stp>600790</stp>
        <stp>12/31/2018</stp>
        <tr r="O2647" s="1"/>
      </tp>
      <tp>
        <v>62.341997263713999</v>
        <stp/>
        <stp>EM_S_VAL_PS_TTM</stp>
        <stp>2</stp>
        <stp>600799</stp>
        <stp>12/31/2018</stp>
        <tr r="O2325" s="1"/>
      </tp>
      <tp>
        <v>2.07178767630286</v>
        <stp/>
        <stp>EM_S_VAL_PS_TTM</stp>
        <stp>2</stp>
        <stp>600798</stp>
        <stp>12/31/2018</stp>
        <tr r="O1796" s="1"/>
      </tp>
      <tp>
        <v>0.38946979023060901</v>
        <stp/>
        <stp>EM_S_VAL_PS_TTM</stp>
        <stp>2</stp>
        <stp>600787</stp>
        <stp>12/31/2018</stp>
        <tr r="O2015" s="1"/>
      </tp>
      <tp>
        <v>-148.178525302856</v>
        <stp/>
        <stp>EM_S_VAL_PS_TTM</stp>
        <stp>2</stp>
        <stp>600786</stp>
        <stp>12/31/2018</stp>
        <tr r="O2322" s="1"/>
      </tp>
      <tp>
        <v>0.47827330711669802</v>
        <stp/>
        <stp>EM_S_VAL_PS_TTM</stp>
        <stp>2</stp>
        <stp>600785</stp>
        <stp>12/31/2018</stp>
        <tr r="O2709" s="1"/>
      </tp>
      <tp>
        <v>1.4781968493945901</v>
        <stp/>
        <stp>EM_S_VAL_PS_TTM</stp>
        <stp>2</stp>
        <stp>600784</stp>
        <stp>12/31/2018</stp>
        <tr r="O2018" s="1"/>
      </tp>
      <tp>
        <v>54.513165968038997</v>
        <stp/>
        <stp>EM_S_VAL_PS_TTM</stp>
        <stp>2</stp>
        <stp>600783</stp>
        <stp>12/31/2018</stp>
        <tr r="O2462" s="1"/>
      </tp>
      <tp>
        <v>0.29379464158031998</v>
        <stp/>
        <stp>EM_S_VAL_PS_TTM</stp>
        <stp>2</stp>
        <stp>600782</stp>
        <stp>12/31/2018</stp>
        <tr r="O2374" s="1"/>
      </tp>
      <tp>
        <v>1.2537134218860799</v>
        <stp/>
        <stp>EM_S_VAL_PS_TTM</stp>
        <stp>2</stp>
        <stp>600781</stp>
        <stp>12/31/2018</stp>
        <tr r="O3379" s="1"/>
      </tp>
      <tp>
        <v>0.63943582248861797</v>
        <stp/>
        <stp>EM_S_VAL_PS_TTM</stp>
        <stp>2</stp>
        <stp>600780</stp>
        <stp>12/31/2018</stp>
        <tr r="O1853" s="1"/>
      </tp>
      <tp>
        <v>1.6550451679768201</v>
        <stp/>
        <stp>EM_S_VAL_PS_TTM</stp>
        <stp>2</stp>
        <stp>600789</stp>
        <stp>12/31/2018</stp>
        <tr r="O2875" s="1"/>
      </tp>
      <tp>
        <v>0</v>
        <stp/>
        <stp>EM_S_VAL_PS_TTM</stp>
        <stp>2</stp>
        <stp>600788</stp>
        <stp>12/31/2018</stp>
        <tr r="O2323" s="1"/>
      </tp>
      <tp>
        <v>0.80427614546098203</v>
        <stp/>
        <stp>EM_S_VAL_PS_TTM</stp>
        <stp>2</stp>
        <stp>000737</stp>
        <stp>12/31/2018</stp>
        <tr r="O3524" s="1"/>
      </tp>
      <tp>
        <v>5.1571522172657804</v>
        <stp/>
        <stp>EM_S_VAL_PS_TTM</stp>
        <stp>2</stp>
        <stp>300707</stp>
        <stp>12/31/2018</stp>
        <tr r="O1481" s="1"/>
      </tp>
      <tp>
        <v>0.64778639731268794</v>
        <stp/>
        <stp>EM_S_VAL_PS_TTM</stp>
        <stp>2</stp>
        <stp>600757</stp>
        <stp>12/31/2018</stp>
        <tr r="O2613" s="1"/>
      </tp>
      <tp>
        <v>0.41650978406373201</v>
        <stp/>
        <stp>EM_S_VAL_PS_TTM</stp>
        <stp>2</stp>
        <stp>000736</stp>
        <stp>12/31/2018</stp>
        <tr r="O2610" s="1"/>
      </tp>
      <tp>
        <v>14.2063434132584</v>
        <stp/>
        <stp>EM_S_VAL_PS_TTM</stp>
        <stp>2</stp>
        <stp>300706</stp>
        <stp>12/31/2018</stp>
        <tr r="O1440" s="1"/>
      </tp>
      <tp>
        <v>4.0407660139941202</v>
        <stp/>
        <stp>EM_S_VAL_PS_TTM</stp>
        <stp>2</stp>
        <stp>600756</stp>
        <stp>12/31/2018</stp>
        <tr r="O829" s="1"/>
      </tp>
      <tp>
        <v>9.7745599309372206</v>
        <stp/>
        <stp>EM_S_VAL_PS_TTM</stp>
        <stp>2</stp>
        <stp>000735</stp>
        <stp>12/31/2018</stp>
        <tr r="O3523" s="1"/>
      </tp>
      <tp>
        <v>3.69050854107806</v>
        <stp/>
        <stp>EM_S_VAL_PS_TTM</stp>
        <stp>2</stp>
        <stp>300705</stp>
        <stp>12/31/2018</stp>
        <tr r="O2226" s="1"/>
      </tp>
      <tp>
        <v>6.3194359989215604E-2</v>
        <stp/>
        <stp>EM_S_VAL_PS_TTM</stp>
        <stp>2</stp>
        <stp>600755</stp>
        <stp>12/31/2018</stp>
        <tr r="O1998" s="1"/>
      </tp>
      <tp>
        <v>1.4063271017143699</v>
        <stp/>
        <stp>EM_S_VAL_PS_TTM</stp>
        <stp>2</stp>
        <stp>600754</stp>
        <stp>12/31/2018</stp>
        <tr r="O789" s="1"/>
      </tp>
      <tp>
        <v>0.92314039929262404</v>
        <stp/>
        <stp>EM_S_VAL_PS_TTM</stp>
        <stp>2</stp>
        <stp>000733</stp>
        <stp>12/31/2018</stp>
        <tr r="O3522" s="1"/>
      </tp>
      <tp>
        <v>2.2489270741513199</v>
        <stp/>
        <stp>EM_S_VAL_PS_TTM</stp>
        <stp>2</stp>
        <stp>300703</stp>
        <stp>12/31/2018</stp>
        <tr r="O3050" s="1"/>
      </tp>
      <tp>
        <v>1.1007331688367401</v>
        <stp/>
        <stp>EM_S_VAL_PS_TTM</stp>
        <stp>2</stp>
        <stp>600753</stp>
        <stp>12/31/2018</stp>
        <tr r="O1909" s="1"/>
      </tp>
      <tp>
        <v>0.62469666684023395</v>
        <stp/>
        <stp>EM_S_VAL_PS_TTM</stp>
        <stp>2</stp>
        <stp>000732</stp>
        <stp>12/31/2018</stp>
        <tr r="O3385" s="1"/>
      </tp>
      <tp>
        <v>3.0383368702497102</v>
        <stp/>
        <stp>EM_S_VAL_PS_TTM</stp>
        <stp>2</stp>
        <stp>300702</stp>
        <stp>12/31/2018</stp>
        <tr r="O105" s="1"/>
      </tp>
      <tp>
        <v>0</v>
        <stp/>
        <stp>EM_S_VAL_PS_TTM</stp>
        <stp>2</stp>
        <stp>600752</stp>
        <stp>12/31/2018</stp>
        <tr r="O2319" s="1"/>
      </tp>
      <tp>
        <v>1.20719936224823</v>
        <stp/>
        <stp>EM_S_VAL_PS_TTM</stp>
        <stp>2</stp>
        <stp>000731</stp>
        <stp>12/31/2018</stp>
        <tr r="O2107" s="1"/>
      </tp>
      <tp>
        <v>13.5864312214875</v>
        <stp/>
        <stp>EM_S_VAL_PS_TTM</stp>
        <stp>2</stp>
        <stp>300701</stp>
        <stp>12/31/2018</stp>
        <tr r="O2221" s="1"/>
      </tp>
      <tp>
        <v>2.42390718136428E-2</v>
        <stp/>
        <stp>EM_S_VAL_PS_TTM</stp>
        <stp>2</stp>
        <stp>600751</stp>
        <stp>12/31/2018</stp>
        <tr r="O1828" s="1"/>
      </tp>
      <tp>
        <v>1.91880201287786</v>
        <stp/>
        <stp>EM_S_VAL_PS_TTM</stp>
        <stp>2</stp>
        <stp>000730</stp>
        <stp>12/31/2018</stp>
        <tr r="O2278" s="1"/>
      </tp>
      <tp>
        <v>4.8835092955118</v>
        <stp/>
        <stp>EM_S_VAL_PS_TTM</stp>
        <stp>2</stp>
        <stp>300700</stp>
        <stp>12/31/2018</stp>
        <tr r="O3042" s="1"/>
      </tp>
      <tp>
        <v>4.1088756886391504</v>
        <stp/>
        <stp>EM_S_VAL_PS_TTM</stp>
        <stp>2</stp>
        <stp>600750</stp>
        <stp>12/31/2018</stp>
        <tr r="O3185" s="1"/>
      </tp>
      <tp>
        <v>1.4037403724216699</v>
        <stp/>
        <stp>EM_S_VAL_PS_TTM</stp>
        <stp>2</stp>
        <stp>000739</stp>
        <stp>12/31/2018</stp>
        <tr r="O340" s="1"/>
      </tp>
      <tp>
        <v>2.8435601385634799</v>
        <stp/>
        <stp>EM_S_VAL_PS_TTM</stp>
        <stp>2</stp>
        <stp>300709</stp>
        <stp>12/31/2018</stp>
        <tr r="O30" s="1"/>
      </tp>
      <tp>
        <v>1.54645393174398</v>
        <stp/>
        <stp>EM_S_VAL_PS_TTM</stp>
        <stp>2</stp>
        <stp>600759</stp>
        <stp>12/31/2018</stp>
        <tr r="O1390" s="1"/>
      </tp>
      <tp>
        <v>5.3651733309219303</v>
        <stp/>
        <stp>EM_S_VAL_PS_TTM</stp>
        <stp>2</stp>
        <stp>000738</stp>
        <stp>12/31/2018</stp>
        <tr r="O1824" s="1"/>
      </tp>
      <tp>
        <v>5.3143334470106103</v>
        <stp/>
        <stp>EM_S_VAL_PS_TTM</stp>
        <stp>2</stp>
        <stp>300708</stp>
        <stp>12/31/2018</stp>
        <tr r="O1073" s="1"/>
      </tp>
      <tp>
        <v>0.58366150481548595</v>
        <stp/>
        <stp>EM_S_VAL_PS_TTM</stp>
        <stp>2</stp>
        <stp>600758</stp>
        <stp>12/31/2018</stp>
        <tr r="O884" s="1"/>
      </tp>
      <tp>
        <v>1.2978456578436901</v>
        <stp/>
        <stp>EM_S_VAL_PS_TTM</stp>
        <stp>2</stp>
        <stp>000727</stp>
        <stp>12/31/2018</stp>
        <tr r="O3520" s="1"/>
      </tp>
      <tp>
        <v>4.6668491137739299</v>
        <stp/>
        <stp>EM_S_VAL_PS_TTM</stp>
        <stp>2</stp>
        <stp>300717</stp>
        <stp>12/31/2018</stp>
        <tr r="O1526" s="1"/>
      </tp>
      <tp>
        <v>3.3199312801857301</v>
        <stp/>
        <stp>EM_S_VAL_PS_TTM</stp>
        <stp>2</stp>
        <stp>600747</stp>
        <stp>12/31/2018</stp>
        <tr r="O3404" s="1"/>
      </tp>
      <tp>
        <v>1.3175271514754801</v>
        <stp/>
        <stp>EM_S_VAL_PS_TTM</stp>
        <stp>2</stp>
        <stp>000726</stp>
        <stp>12/31/2018</stp>
        <tr r="O2606" s="1"/>
      </tp>
      <tp>
        <v>1.78997041906295</v>
        <stp/>
        <stp>EM_S_VAL_PS_TTM</stp>
        <stp>2</stp>
        <stp>300716</stp>
        <stp>12/31/2018</stp>
        <tr r="O2689" s="1"/>
      </tp>
      <tp>
        <v>3.1397830676480001</v>
        <stp/>
        <stp>EM_S_VAL_PS_TTM</stp>
        <stp>2</stp>
        <stp>600746</stp>
        <stp>12/31/2018</stp>
        <tr r="O1254" s="1"/>
      </tp>
      <tp>
        <v>0.97510298479002999</v>
        <stp/>
        <stp>EM_S_VAL_PS_TTM</stp>
        <stp>2</stp>
        <stp>000725</stp>
        <stp>12/31/2018</stp>
        <tr r="O291" s="1"/>
      </tp>
      <tp>
        <v>4.4293180745789602</v>
        <stp/>
        <stp>EM_S_VAL_PS_TTM</stp>
        <stp>2</stp>
        <stp>300715</stp>
        <stp>12/31/2018</stp>
        <tr r="O1509" s="1"/>
      </tp>
      <tp>
        <v>0.87642275306489004</v>
        <stp/>
        <stp>EM_S_VAL_PS_TTM</stp>
        <stp>2</stp>
        <stp>600745</stp>
        <stp>12/31/2018</stp>
        <tr r="O24" s="1"/>
      </tp>
      <tp>
        <v>0.54193314607069998</v>
        <stp/>
        <stp>EM_S_VAL_PS_TTM</stp>
        <stp>2</stp>
        <stp>600744</stp>
        <stp>12/31/2018</stp>
        <tr r="O2416" s="1"/>
      </tp>
      <tp>
        <v>0.98784104570509201</v>
        <stp/>
        <stp>EM_S_VAL_PS_TTM</stp>
        <stp>2</stp>
        <stp>000723</stp>
        <stp>12/31/2018</stp>
        <tr r="O44" s="1"/>
      </tp>
      <tp>
        <v>6.5935769578455501</v>
        <stp/>
        <stp>EM_S_VAL_PS_TTM</stp>
        <stp>2</stp>
        <stp>300713</stp>
        <stp>12/31/2018</stp>
        <tr r="O3292" s="1"/>
      </tp>
      <tp>
        <v>0.77013681972285997</v>
        <stp/>
        <stp>EM_S_VAL_PS_TTM</stp>
        <stp>2</stp>
        <stp>600743</stp>
        <stp>12/31/2018</stp>
        <tr r="O2138" s="1"/>
      </tp>
      <tp>
        <v>12.152330068696999</v>
        <stp/>
        <stp>EM_S_VAL_PS_TTM</stp>
        <stp>2</stp>
        <stp>000722</stp>
        <stp>12/31/2018</stp>
        <tr r="O1665" s="1"/>
      </tp>
      <tp>
        <v>3.21872424903844</v>
        <stp/>
        <stp>EM_S_VAL_PS_TTM</stp>
        <stp>2</stp>
        <stp>300712</stp>
        <stp>12/31/2018</stp>
        <tr r="O3068" s="1"/>
      </tp>
      <tp>
        <v>0.37660165881143298</v>
        <stp/>
        <stp>EM_S_VAL_PS_TTM</stp>
        <stp>2</stp>
        <stp>600742</stp>
        <stp>12/31/2018</stp>
        <tr r="O1197" s="1"/>
      </tp>
      <tp>
        <v>3.9568608275430801</v>
        <stp/>
        <stp>EM_S_VAL_PS_TTM</stp>
        <stp>2</stp>
        <stp>000721</stp>
        <stp>12/31/2018</stp>
        <tr r="O2092" s="1"/>
      </tp>
      <tp>
        <v>13.086502790080401</v>
        <stp/>
        <stp>EM_S_VAL_PS_TTM</stp>
        <stp>2</stp>
        <stp>300711</stp>
        <stp>12/31/2018</stp>
        <tr r="O3178" s="1"/>
      </tp>
      <tp>
        <v>0.37295883165357702</v>
        <stp/>
        <stp>EM_S_VAL_PS_TTM</stp>
        <stp>2</stp>
        <stp>600741</stp>
        <stp>12/31/2018</stp>
        <tr r="O766" s="1"/>
      </tp>
      <tp>
        <v>2.3399493578918702</v>
        <stp/>
        <stp>EM_S_VAL_PS_TTM</stp>
        <stp>2</stp>
        <stp>000720</stp>
        <stp>12/31/2018</stp>
        <tr r="O432" s="1"/>
      </tp>
      <tp>
        <v>4.7237939361311101</v>
        <stp/>
        <stp>EM_S_VAL_PS_TTM</stp>
        <stp>2</stp>
        <stp>300710</stp>
        <stp>12/31/2018</stp>
        <tr r="O1068" s="1"/>
      </tp>
      <tp>
        <v>1.6222822296803301</v>
        <stp/>
        <stp>EM_S_VAL_PS_TTM</stp>
        <stp>2</stp>
        <stp>600740</stp>
        <stp>12/31/2018</stp>
        <tr r="O2680" s="1"/>
      </tp>
      <tp>
        <v>1.41481228019482</v>
        <stp/>
        <stp>EM_S_VAL_PS_TTM</stp>
        <stp>2</stp>
        <stp>000729</stp>
        <stp>12/31/2018</stp>
        <tr r="O1469" s="1"/>
      </tp>
      <tp>
        <v>5.8268596912140804</v>
        <stp/>
        <stp>EM_S_VAL_PS_TTM</stp>
        <stp>2</stp>
        <stp>300719</stp>
        <stp>12/31/2018</stp>
        <tr r="O1490" s="1"/>
      </tp>
      <tp>
        <v>13.146746266082801</v>
        <stp/>
        <stp>EM_S_VAL_PS_TTM</stp>
        <stp>2</stp>
        <stp>600749</stp>
        <stp>12/31/2018</stp>
        <tr r="O2258" s="1"/>
      </tp>
      <tp>
        <v>8.9045777372301007</v>
        <stp/>
        <stp>EM_S_VAL_PS_TTM</stp>
        <stp>2</stp>
        <stp>000728</stp>
        <stp>12/31/2018</stp>
        <tr r="O3521" s="1"/>
      </tp>
      <tp>
        <v>4.4172489916980897</v>
        <stp/>
        <stp>EM_S_VAL_PS_TTM</stp>
        <stp>2</stp>
        <stp>300718</stp>
        <stp>12/31/2018</stp>
        <tr r="O730" s="1"/>
      </tp>
      <tp>
        <v>1.2120702710285101</v>
        <stp/>
        <stp>EM_S_VAL_PS_TTM</stp>
        <stp>2</stp>
        <stp>600748</stp>
        <stp>12/31/2018</stp>
        <tr r="O1694" s="1"/>
      </tp>
      <tp>
        <v>0.399925616485518</v>
        <stp/>
        <stp>EM_S_VAL_PS_TTM</stp>
        <stp>2</stp>
        <stp>000717</stp>
        <stp>12/31/2018</stp>
        <tr r="O2113" s="1"/>
      </tp>
      <tp>
        <v>4.0036654248798396</v>
        <stp/>
        <stp>EM_S_VAL_PS_TTM</stp>
        <stp>2</stp>
        <stp>300727</stp>
        <stp>12/31/2018</stp>
        <tr r="O3144" s="1"/>
      </tp>
      <tp>
        <v>2.8889561914921602</v>
        <stp/>
        <stp>EM_S_VAL_PS_TTM</stp>
        <stp>2</stp>
        <stp>600777</stp>
        <stp>12/31/2018</stp>
        <tr r="O1771" s="1"/>
      </tp>
      <tp>
        <v>0.58517378698855704</v>
        <stp/>
        <stp>EM_S_VAL_PS_TTM</stp>
        <stp>2</stp>
        <stp>000716</stp>
        <stp>12/31/2018</stp>
        <tr r="O812" s="1"/>
      </tp>
      <tp>
        <v>11.6980335873301</v>
        <stp/>
        <stp>EM_S_VAL_PS_TTM</stp>
        <stp>2</stp>
        <stp>300726</stp>
        <stp>12/31/2018</stp>
        <tr r="O613" s="1"/>
      </tp>
      <tp>
        <v>5.9957411321795204</v>
        <stp/>
        <stp>EM_S_VAL_PS_TTM</stp>
        <stp>2</stp>
        <stp>600776</stp>
        <stp>12/31/2018</stp>
        <tr r="O255" s="1"/>
      </tp>
      <tp>
        <v>0.63649058284687898</v>
        <stp/>
        <stp>EM_S_VAL_PS_TTM</stp>
        <stp>2</stp>
        <stp>000715</stp>
        <stp>12/31/2018</stp>
        <tr r="O2071" s="1"/>
      </tp>
      <tp>
        <v>14.2129114304024</v>
        <stp/>
        <stp>EM_S_VAL_PS_TTM</stp>
        <stp>2</stp>
        <stp>300725</stp>
        <stp>12/31/2018</stp>
        <tr r="O1231" s="1"/>
      </tp>
      <tp>
        <v>1.6773413094548399</v>
        <stp/>
        <stp>EM_S_VAL_PS_TTM</stp>
        <stp>2</stp>
        <stp>600775</stp>
        <stp>12/31/2018</stp>
        <tr r="O1097" s="1"/>
      </tp>
      <tp>
        <v>2.9811699470408</v>
        <stp/>
        <stp>EM_S_VAL_PS_TTM</stp>
        <stp>2</stp>
        <stp>600774</stp>
        <stp>12/31/2018</stp>
        <tr r="O3117" s="1"/>
      </tp>
      <tp>
        <v>0.84141264571587704</v>
        <stp/>
        <stp>EM_S_VAL_PS_TTM</stp>
        <stp>2</stp>
        <stp>000713</stp>
        <stp>12/31/2018</stp>
        <tr r="O252" s="1"/>
      </tp>
      <tp>
        <v>3.0229165517707401</v>
        <stp/>
        <stp>EM_S_VAL_PS_TTM</stp>
        <stp>2</stp>
        <stp>300723</stp>
        <stp>12/31/2018</stp>
        <tr r="O648" s="1"/>
      </tp>
      <tp>
        <v>4.7922940838902797</v>
        <stp/>
        <stp>EM_S_VAL_PS_TTM</stp>
        <stp>2</stp>
        <stp>600773</stp>
        <stp>12/31/2018</stp>
        <tr r="O2483" s="1"/>
      </tp>
      <tp>
        <v>7.3207623944873399</v>
        <stp/>
        <stp>EM_S_VAL_PS_TTM</stp>
        <stp>2</stp>
        <stp>000712</stp>
        <stp>12/31/2018</stp>
        <tr r="O3518" s="1"/>
      </tp>
      <tp>
        <v>11.7388487109158</v>
        <stp/>
        <stp>EM_S_VAL_PS_TTM</stp>
        <stp>2</stp>
        <stp>300722</stp>
        <stp>12/31/2018</stp>
        <tr r="O3251" s="1"/>
      </tp>
      <tp>
        <v>-3.45342156485823</v>
        <stp/>
        <stp>EM_S_VAL_PS_TTM</stp>
        <stp>2</stp>
        <stp>600772</stp>
        <stp>12/31/2018</stp>
        <tr r="O2321" s="1"/>
      </tp>
      <tp>
        <v>2.1293039675668299</v>
        <stp/>
        <stp>EM_S_VAL_PS_TTM</stp>
        <stp>2</stp>
        <stp>000711</stp>
        <stp>12/31/2018</stp>
        <tr r="O2850" s="1"/>
      </tp>
      <tp>
        <v>1.3643513589788601</v>
        <stp/>
        <stp>EM_S_VAL_PS_TTM</stp>
        <stp>2</stp>
        <stp>300721</stp>
        <stp>12/31/2018</stp>
        <tr r="O2599" s="1"/>
      </tp>
      <tp>
        <v>7.0136186880824303</v>
        <stp/>
        <stp>EM_S_VAL_PS_TTM</stp>
        <stp>2</stp>
        <stp>600771</stp>
        <stp>12/31/2018</stp>
        <tr r="O3341" s="1"/>
      </tp>
      <tp>
        <v>8.1552300206607402</v>
        <stp/>
        <stp>EM_S_VAL_PS_TTM</stp>
        <stp>2</stp>
        <stp>000710</stp>
        <stp>12/31/2018</stp>
        <tr r="O1684" s="1"/>
      </tp>
      <tp>
        <v>11.139255126364301</v>
        <stp/>
        <stp>EM_S_VAL_PS_TTM</stp>
        <stp>2</stp>
        <stp>300720</stp>
        <stp>12/31/2018</stp>
        <tr r="O3311" s="1"/>
      </tp>
      <tp>
        <v>10.842991043107601</v>
        <stp/>
        <stp>EM_S_VAL_PS_TTM</stp>
        <stp>2</stp>
        <stp>600770</stp>
        <stp>12/31/2018</stp>
        <tr r="O1467" s="1"/>
      </tp>
      <tp>
        <v>0.93372659295258298</v>
        <stp/>
        <stp>EM_S_VAL_PS_TTM</stp>
        <stp>2</stp>
        <stp>000719</stp>
        <stp>12/31/2018</stp>
        <tr r="O2726" s="1"/>
      </tp>
      <tp>
        <v>2.1797212451077401</v>
        <stp/>
        <stp>EM_S_VAL_PS_TTM</stp>
        <stp>2</stp>
        <stp>300729</stp>
        <stp>12/31/2018</stp>
        <tr r="O1886" s="1"/>
      </tp>
      <tp>
        <v>5.6972793357185703</v>
        <stp/>
        <stp>EM_S_VAL_PS_TTM</stp>
        <stp>2</stp>
        <stp>600779</stp>
        <stp>12/31/2018</stp>
        <tr r="O355" s="1"/>
      </tp>
      <tp>
        <v>1.95158966014028</v>
        <stp/>
        <stp>EM_S_VAL_PS_TTM</stp>
        <stp>2</stp>
        <stp>000718</stp>
        <stp>12/31/2018</stp>
        <tr r="O3519" s="1"/>
      </tp>
      <tp>
        <v>0</v>
        <stp/>
        <stp>EM_S_VAL_PS_TTM</stp>
        <stp>2</stp>
        <stp>300728</stp>
        <stp>12/31/2018</stp>
        <tr r="O11" s="1"/>
      </tp>
      <tp>
        <v>0.24132834685065399</v>
        <stp/>
        <stp>EM_S_VAL_PS_TTM</stp>
        <stp>2</stp>
        <stp>600778</stp>
        <stp>12/31/2018</stp>
        <tr r="O1299" s="1"/>
      </tp>
      <tp>
        <v>0.33340574581358701</v>
        <stp/>
        <stp>EM_S_VAL_PS_TTM</stp>
        <stp>2</stp>
        <stp>000707</stp>
        <stp>12/31/2018</stp>
        <tr r="O3517" s="1"/>
      </tp>
      <tp>
        <v>2.0292121388951601</v>
        <stp/>
        <stp>EM_S_VAL_PS_TTM</stp>
        <stp>2</stp>
        <stp>300737</stp>
        <stp>12/31/2018</stp>
        <tr r="O983" s="1"/>
      </tp>
      <tp>
        <v>10.680566377921</v>
        <stp/>
        <stp>EM_S_VAL_PS_TTM</stp>
        <stp>2</stp>
        <stp>600767</stp>
        <stp>12/31/2018</stp>
        <tr r="O2211" s="1"/>
      </tp>
      <tp>
        <v>3.68815180649931</v>
        <stp/>
        <stp>EM_S_VAL_PS_TTM</stp>
        <stp>2</stp>
        <stp>300736</stp>
        <stp>12/31/2018</stp>
        <tr r="O3372" s="1"/>
      </tp>
      <tp>
        <v>176.20109286454999</v>
        <stp/>
        <stp>EM_S_VAL_PS_TTM</stp>
        <stp>2</stp>
        <stp>600766</stp>
        <stp>12/31/2018</stp>
        <tr r="O2671" s="1"/>
      </tp>
      <tp>
        <v>0.73639134478384705</v>
        <stp/>
        <stp>EM_S_VAL_PS_TTM</stp>
        <stp>2</stp>
        <stp>000705</stp>
        <stp>12/31/2018</stp>
        <tr r="O1817" s="1"/>
      </tp>
      <tp>
        <v>4.0076880984573</v>
        <stp/>
        <stp>EM_S_VAL_PS_TTM</stp>
        <stp>2</stp>
        <stp>300735</stp>
        <stp>12/31/2018</stp>
        <tr r="O394" s="1"/>
      </tp>
      <tp>
        <v>1.07489842845696</v>
        <stp/>
        <stp>EM_S_VAL_PS_TTM</stp>
        <stp>2</stp>
        <stp>600765</stp>
        <stp>12/31/2018</stp>
        <tr r="O867" s="1"/>
      </tp>
      <tp>
        <v>26.529961566463701</v>
        <stp/>
        <stp>EM_S_VAL_PS_TTM</stp>
        <stp>2</stp>
        <stp>600764</stp>
        <stp>12/31/2018</stp>
        <tr r="O1185" s="1"/>
      </tp>
      <tp>
        <v>0.38801413501508403</v>
        <stp/>
        <stp>EM_S_VAL_PS_TTM</stp>
        <stp>2</stp>
        <stp>000703</stp>
        <stp>12/31/2018</stp>
        <tr r="O1288" s="1"/>
      </tp>
      <tp>
        <v>4.3823432988604702</v>
        <stp/>
        <stp>EM_S_VAL_PS_TTM</stp>
        <stp>2</stp>
        <stp>300733</stp>
        <stp>12/31/2018</stp>
        <tr r="O3184" s="1"/>
      </tp>
      <tp>
        <v>10.332861710298699</v>
        <stp/>
        <stp>EM_S_VAL_PS_TTM</stp>
        <stp>2</stp>
        <stp>600763</stp>
        <stp>12/31/2018</stp>
        <tr r="O136" s="1"/>
      </tp>
      <tp>
        <v>1.0409286562765601</v>
        <stp/>
        <stp>EM_S_VAL_PS_TTM</stp>
        <stp>2</stp>
        <stp>000702</stp>
        <stp>12/31/2018</stp>
        <tr r="O3516" s="1"/>
      </tp>
      <tp>
        <v>4.1933973135607001</v>
        <stp/>
        <stp>EM_S_VAL_PS_TTM</stp>
        <stp>2</stp>
        <stp>300732</stp>
        <stp>12/31/2018</stp>
        <tr r="O3364" s="1"/>
      </tp>
      <tp>
        <v>17.073322639591499</v>
        <stp/>
        <stp>EM_S_VAL_PS_TTM</stp>
        <stp>2</stp>
        <stp>600762</stp>
        <stp>12/31/2018</stp>
        <tr r="O2320" s="1"/>
      </tp>
      <tp>
        <v>4.3592809784703798E-2</v>
        <stp/>
        <stp>EM_S_VAL_PS_TTM</stp>
        <stp>2</stp>
        <stp>000701</stp>
        <stp>12/31/2018</stp>
        <tr r="O2836" s="1"/>
      </tp>
      <tp>
        <v>8.0236720305675107</v>
        <stp/>
        <stp>EM_S_VAL_PS_TTM</stp>
        <stp>2</stp>
        <stp>300731</stp>
        <stp>12/31/2018</stp>
        <tr r="O1668" s="1"/>
      </tp>
      <tp>
        <v>0.68245664423937002</v>
        <stp/>
        <stp>EM_S_VAL_PS_TTM</stp>
        <stp>2</stp>
        <stp>600761</stp>
        <stp>12/31/2018</stp>
        <tr r="O1761" s="1"/>
      </tp>
      <tp>
        <v>0.50688989929924499</v>
        <stp/>
        <stp>EM_S_VAL_PS_TTM</stp>
        <stp>2</stp>
        <stp>000700</stp>
        <stp>12/31/2018</stp>
        <tr r="O854" s="1"/>
      </tp>
      <tp>
        <v>8.1788590336919107</v>
        <stp/>
        <stp>EM_S_VAL_PS_TTM</stp>
        <stp>2</stp>
        <stp>300730</stp>
        <stp>12/31/2018</stp>
        <tr r="O3065" s="1"/>
      </tp>
      <tp>
        <v>1.37780454339346</v>
        <stp/>
        <stp>EM_S_VAL_PS_TTM</stp>
        <stp>2</stp>
        <stp>600760</stp>
        <stp>12/31/2018</stp>
        <tr r="O1639" s="1"/>
      </tp>
      <tp>
        <v>0.26762028540281102</v>
        <stp/>
        <stp>EM_S_VAL_PS_TTM</stp>
        <stp>2</stp>
        <stp>000709</stp>
        <stp>12/31/2018</stp>
        <tr r="O2736" s="1"/>
      </tp>
      <tp>
        <v>3.48643689740322</v>
        <stp/>
        <stp>EM_S_VAL_PS_TTM</stp>
        <stp>2</stp>
        <stp>300739</stp>
        <stp>12/31/2018</stp>
        <tr r="O2754" s="1"/>
      </tp>
      <tp>
        <v>43.445058095464098</v>
        <stp/>
        <stp>EM_S_VAL_PS_TTM</stp>
        <stp>2</stp>
        <stp>600769</stp>
        <stp>12/31/2018</stp>
        <tr r="O695" s="1"/>
      </tp>
      <tp>
        <v>0.321780431488775</v>
        <stp/>
        <stp>EM_S_VAL_PS_TTM</stp>
        <stp>2</stp>
        <stp>000708</stp>
        <stp>12/31/2018</stp>
        <tr r="O73" s="1"/>
      </tp>
      <tp>
        <v>5.4941165564296401</v>
        <stp/>
        <stp>EM_S_VAL_PS_TTM</stp>
        <stp>2</stp>
        <stp>300738</stp>
        <stp>12/31/2018</stp>
        <tr r="O2898" s="1"/>
      </tp>
      <tp>
        <v>1.6752352666592201</v>
        <stp/>
        <stp>EM_S_VAL_PS_TTM</stp>
        <stp>2</stp>
        <stp>600768</stp>
        <stp>12/31/2018</stp>
        <tr r="O914" s="1"/>
      </tp>
      <tp>
        <v>3.3103560005735102</v>
        <stp/>
        <stp>EM_S_VAL_PS_TTM</stp>
        <stp>2</stp>
        <stp>000777</stp>
        <stp>12/31/2018</stp>
        <tr r="O1259" s="1"/>
      </tp>
      <tp>
        <v>12.7289808042436</v>
        <stp/>
        <stp>EM_S_VAL_PS_TTM</stp>
        <stp>2</stp>
        <stp>300747</stp>
        <stp>12/31/2018</stp>
        <tr r="O2959" s="1"/>
      </tp>
      <tp>
        <v>0.91820069399079296</v>
        <stp/>
        <stp>EM_S_VAL_PS_TTM</stp>
        <stp>2</stp>
        <stp>600717</stp>
        <stp>12/31/2018</stp>
        <tr r="O2806" s="1"/>
      </tp>
      <tp>
        <v>5.4696375916224804</v>
        <stp/>
        <stp>EM_S_VAL_PS_TTM</stp>
        <stp>2</stp>
        <stp>000776</stp>
        <stp>12/31/2018</stp>
        <tr r="O3534" s="1"/>
      </tp>
      <tp>
        <v>4.285117533697</v>
        <stp/>
        <stp>EM_S_VAL_PS_TTM</stp>
        <stp>2</stp>
        <stp>300746</stp>
        <stp>12/31/2018</stp>
        <tr r="O3170" s="1"/>
      </tp>
      <tp>
        <v>1.92700787267416</v>
        <stp/>
        <stp>EM_S_VAL_PS_TTM</stp>
        <stp>2</stp>
        <stp>600716</stp>
        <stp>12/31/2018</stp>
        <tr r="O954" s="1"/>
      </tp>
      <tp>
        <v>6.6808585064356798</v>
        <stp/>
        <stp>EM_S_VAL_PS_TTM</stp>
        <stp>2</stp>
        <stp>300745</stp>
        <stp>12/31/2018</stp>
        <tr r="O3282" s="1"/>
      </tp>
      <tp>
        <v>4.0034948818646701</v>
        <stp/>
        <stp>EM_S_VAL_PS_TTM</stp>
        <stp>2</stp>
        <stp>600715</stp>
        <stp>12/31/2018</stp>
        <tr r="O3118" s="1"/>
      </tp>
      <tp>
        <v>13.4013896838714</v>
        <stp/>
        <stp>EM_S_VAL_PS_TTM</stp>
        <stp>2</stp>
        <stp>600714</stp>
        <stp>12/31/2018</stp>
        <tr r="O2212" s="1"/>
      </tp>
      <tp>
        <v>6.9870767353422796</v>
        <stp/>
        <stp>EM_S_VAL_PS_TTM</stp>
        <stp>2</stp>
        <stp>300743</stp>
        <stp>12/31/2018</stp>
        <tr r="O3368" s="1"/>
      </tp>
      <tp>
        <v>0.14982428224215599</v>
        <stp/>
        <stp>EM_S_VAL_PS_TTM</stp>
        <stp>2</stp>
        <stp>600713</stp>
        <stp>12/31/2018</stp>
        <tr r="O1785" s="1"/>
      </tp>
      <tp>
        <v>3.84458938675616</v>
        <stp/>
        <stp>EM_S_VAL_PS_TTM</stp>
        <stp>2</stp>
        <stp>300742</stp>
        <stp>12/31/2018</stp>
        <tr r="O3334" s="1"/>
      </tp>
      <tp>
        <v>0.84882724759603101</v>
        <stp/>
        <stp>EM_S_VAL_PS_TTM</stp>
        <stp>2</stp>
        <stp>600712</stp>
        <stp>12/31/2018</stp>
        <tr r="O59" s="1"/>
      </tp>
      <tp>
        <v>8.6419027769884806</v>
        <stp/>
        <stp>EM_S_VAL_PS_TTM</stp>
        <stp>2</stp>
        <stp>300741</stp>
        <stp>12/31/2018</stp>
        <tr r="O2360" s="1"/>
      </tp>
      <tp>
        <v>0.26992509721070801</v>
        <stp/>
        <stp>EM_S_VAL_PS_TTM</stp>
        <stp>2</stp>
        <stp>600711</stp>
        <stp>12/31/2018</stp>
        <tr r="O1456" s="1"/>
      </tp>
      <tp>
        <v>2.2424446470294002</v>
        <stp/>
        <stp>EM_S_VAL_PS_TTM</stp>
        <stp>2</stp>
        <stp>300740</stp>
        <stp>12/31/2018</stp>
        <tr r="O3353" s="1"/>
      </tp>
      <tp>
        <v>5.91243725744343E-2</v>
        <stp/>
        <stp>EM_S_VAL_PS_TTM</stp>
        <stp>2</stp>
        <stp>600710</stp>
        <stp>12/31/2018</stp>
        <tr r="O584" s="1"/>
      </tp>
      <tp>
        <v>5.5527015007226899</v>
        <stp/>
        <stp>EM_S_VAL_PS_TTM</stp>
        <stp>2</stp>
        <stp>000779</stp>
        <stp>12/31/2018</stp>
        <tr r="O1367" s="1"/>
      </tp>
      <tp>
        <v>2.0358198124435098</v>
        <stp/>
        <stp>EM_S_VAL_PS_TTM</stp>
        <stp>2</stp>
        <stp>600719</stp>
        <stp>12/31/2018</stp>
        <tr r="O1059" s="1"/>
      </tp>
      <tp>
        <v>0.45688285847823201</v>
        <stp/>
        <stp>EM_S_VAL_PS_TTM</stp>
        <stp>2</stp>
        <stp>000778</stp>
        <stp>12/31/2018</stp>
        <tr r="O3535" s="1"/>
      </tp>
      <tp>
        <v>1.9968788001370901</v>
        <stp/>
        <stp>EM_S_VAL_PS_TTM</stp>
        <stp>2</stp>
        <stp>600718</stp>
        <stp>12/31/2018</stp>
        <tr r="O2488" s="1"/>
      </tp>
      <tp>
        <v>0.70469735090284802</v>
        <stp/>
        <stp>EM_S_VAL_PS_TTM</stp>
        <stp>2</stp>
        <stp>000767</stp>
        <stp>12/31/2018</stp>
        <tr r="O2442" s="1"/>
      </tp>
      <tp>
        <v>15.395735206922801</v>
        <stp/>
        <stp>EM_S_VAL_PS_TTM</stp>
        <stp>2</stp>
        <stp>600707</stp>
        <stp>12/31/2018</stp>
        <tr r="O2050" s="1"/>
      </tp>
      <tp>
        <v>3.3447446310502098</v>
        <stp/>
        <stp>EM_S_VAL_PS_TTM</stp>
        <stp>2</stp>
        <stp>000766</stp>
        <stp>12/31/2018</stp>
        <tr r="O2592" s="1"/>
      </tp>
      <tp>
        <v>1.3875863220442499</v>
        <stp/>
        <stp>EM_S_VAL_PS_TTM</stp>
        <stp>2</stp>
        <stp>600706</stp>
        <stp>12/31/2018</stp>
        <tr r="O2912" s="1"/>
      </tp>
      <tp>
        <v>2.3643716750615602</v>
        <stp/>
        <stp>EM_S_VAL_PS_TTM</stp>
        <stp>2</stp>
        <stp>000765</stp>
        <stp>12/31/2018</stp>
        <tr r="O3533" s="1"/>
      </tp>
      <tp>
        <v>2.8375698152280999</v>
        <stp/>
        <stp>EM_S_VAL_PS_TTM</stp>
        <stp>2</stp>
        <stp>600705</stp>
        <stp>12/31/2018</stp>
        <tr r="O1501" s="1"/>
      </tp>
      <tp>
        <v>6.6494716025096198E-2</v>
        <stp/>
        <stp>EM_S_VAL_PS_TTM</stp>
        <stp>2</stp>
        <stp>600704</stp>
        <stp>12/31/2018</stp>
        <tr r="O1522" s="1"/>
      </tp>
      <tp>
        <v>0</v>
        <stp/>
        <stp>EM_S_VAL_PS_TTM</stp>
        <stp>2</stp>
        <stp>000763</stp>
        <stp>12/31/2018</stp>
        <tr r="O3532" s="1"/>
      </tp>
      <tp>
        <v>5.4238163467228997</v>
        <stp/>
        <stp>EM_S_VAL_PS_TTM</stp>
        <stp>2</stp>
        <stp>600703</stp>
        <stp>12/31/2018</stp>
        <tr r="O375" s="1"/>
      </tp>
      <tp>
        <v>5.8377013546594103</v>
        <stp/>
        <stp>EM_S_VAL_PS_TTM</stp>
        <stp>2</stp>
        <stp>000762</stp>
        <stp>12/31/2018</stp>
        <tr r="O3531" s="1"/>
      </tp>
      <tp>
        <v>3.8790726798118</v>
        <stp/>
        <stp>EM_S_VAL_PS_TTM</stp>
        <stp>2</stp>
        <stp>600702</stp>
        <stp>12/31/2018</stp>
        <tr r="O882" s="1"/>
      </tp>
      <tp>
        <v>0.27772540392664502</v>
        <stp/>
        <stp>EM_S_VAL_PS_TTM</stp>
        <stp>2</stp>
        <stp>000761</stp>
        <stp>12/31/2018</stp>
        <tr r="O1372" s="1"/>
      </tp>
      <tp>
        <v>1.4470402044922801</v>
        <stp/>
        <stp>EM_S_VAL_PS_TTM</stp>
        <stp>2</stp>
        <stp>600701</stp>
        <stp>12/31/2018</stp>
        <tr r="O3066" s="1"/>
      </tp>
      <tp>
        <v>12.0051508835726</v>
        <stp/>
        <stp>EM_S_VAL_PS_TTM</stp>
        <stp>2</stp>
        <stp>000760</stp>
        <stp>12/31/2018</stp>
        <tr r="O3530" s="1"/>
      </tp>
      <tp>
        <v>5.9639559664031596</v>
        <stp/>
        <stp>EM_S_VAL_PS_TTM</stp>
        <stp>2</stp>
        <stp>300750</stp>
        <stp>12/31/2018</stp>
        <tr r="O579" s="1"/>
      </tp>
      <tp>
        <v>68.265757013679305</v>
        <stp/>
        <stp>EM_S_VAL_PS_TTM</stp>
        <stp>2</stp>
        <stp>600700</stp>
        <stp>12/31/2018</stp>
        <tr r="O2317" s="1"/>
      </tp>
      <tp>
        <v>118.35440394247399</v>
        <stp/>
        <stp>EM_S_VAL_PS_TTM</stp>
        <stp>2</stp>
        <stp>000769</stp>
        <stp>12/31/2018</stp>
        <tr r="O2279" s="1"/>
      </tp>
      <tp>
        <v>88.216631595716706</v>
        <stp/>
        <stp>EM_S_VAL_PS_TTM</stp>
        <stp>2</stp>
        <stp>600709</stp>
        <stp>12/31/2018</stp>
        <tr r="O2318" s="1"/>
      </tp>
      <tp>
        <v>1.1459420119218999</v>
        <stp/>
        <stp>EM_S_VAL_PS_TTM</stp>
        <stp>2</stp>
        <stp>000768</stp>
        <stp>12/31/2018</stp>
        <tr r="O1149" s="1"/>
      </tp>
      <tp>
        <v>0.40220516497379699</v>
        <stp/>
        <stp>EM_S_VAL_PS_TTM</stp>
        <stp>2</stp>
        <stp>600708</stp>
        <stp>12/31/2018</stp>
        <tr r="O2225" s="1"/>
      </tp>
      <tp>
        <v>3.5948459495315102</v>
        <stp/>
        <stp>EM_S_VAL_PS_TTM</stp>
        <stp>2</stp>
        <stp>000757</stp>
        <stp>12/31/2018</stp>
        <tr r="O2835" s="1"/>
      </tp>
      <tp>
        <v>0.81740291544152899</v>
        <stp/>
        <stp>EM_S_VAL_PS_TTM</stp>
        <stp>2</stp>
        <stp>600737</stp>
        <stp>12/31/2018</stp>
        <tr r="O1484" s="1"/>
      </tp>
      <tp>
        <v>0.68714374781571397</v>
        <stp/>
        <stp>EM_S_VAL_PS_TTM</stp>
        <stp>2</stp>
        <stp>000756</stp>
        <stp>12/31/2018</stp>
        <tr r="O945" s="1"/>
      </tp>
      <tp>
        <v>0.79465517711598199</v>
        <stp/>
        <stp>EM_S_VAL_PS_TTM</stp>
        <stp>2</stp>
        <stp>600736</stp>
        <stp>12/31/2018</stp>
        <tr r="O1764" s="1"/>
      </tp>
      <tp>
        <v>1.7153919489842899</v>
        <stp/>
        <stp>EM_S_VAL_PS_TTM</stp>
        <stp>2</stp>
        <stp>000755</stp>
        <stp>12/31/2018</stp>
        <tr r="O3528" s="1"/>
      </tp>
      <tp>
        <v>1.4074243030612399</v>
        <stp/>
        <stp>EM_S_VAL_PS_TTM</stp>
        <stp>2</stp>
        <stp>600735</stp>
        <stp>12/31/2018</stp>
        <tr r="O990" s="1"/>
      </tp>
      <tp>
        <v>0.58207589951777805</v>
        <stp/>
        <stp>EM_S_VAL_PS_TTM</stp>
        <stp>2</stp>
        <stp>600734</stp>
        <stp>12/31/2018</stp>
        <tr r="O1850" s="1"/>
      </tp>
      <tp>
        <v>1.1148923946839999</v>
        <stp/>
        <stp>EM_S_VAL_PS_TTM</stp>
        <stp>2</stp>
        <stp>000753</stp>
        <stp>12/31/2018</stp>
        <tr r="O2257" s="1"/>
      </tp>
      <tp>
        <v>6.9757367896702496</v>
        <stp/>
        <stp>EM_S_VAL_PS_TTM</stp>
        <stp>2</stp>
        <stp>600733</stp>
        <stp>12/31/2018</stp>
        <tr r="O3186" s="1"/>
      </tp>
      <tp>
        <v>5.1759043393267898</v>
        <stp/>
        <stp>EM_S_VAL_PS_TTM</stp>
        <stp>2</stp>
        <stp>000752</stp>
        <stp>12/31/2018</stp>
        <tr r="O3527" s="1"/>
      </tp>
      <tp>
        <v>56.022863337417398</v>
        <stp/>
        <stp>EM_S_VAL_PS_TTM</stp>
        <stp>2</stp>
        <stp>600732</stp>
        <stp>12/31/2018</stp>
        <tr r="O281" s="1"/>
      </tp>
      <tp>
        <v>0.51264078445414996</v>
        <stp/>
        <stp>EM_S_VAL_PS_TTM</stp>
        <stp>2</stp>
        <stp>000751</stp>
        <stp>12/31/2018</stp>
        <tr r="O1531" s="1"/>
      </tp>
      <tp>
        <v>1.0776963387996099</v>
        <stp/>
        <stp>EM_S_VAL_PS_TTM</stp>
        <stp>2</stp>
        <stp>600731</stp>
        <stp>12/31/2018</stp>
        <tr r="O296" s="1"/>
      </tp>
      <tp>
        <v>9.7504188055228003</v>
        <stp/>
        <stp>EM_S_VAL_PS_TTM</stp>
        <stp>2</stp>
        <stp>000750</stp>
        <stp>12/31/2018</stp>
        <tr r="O3526" s="1"/>
      </tp>
      <tp>
        <v>33.478207195330498</v>
        <stp/>
        <stp>EM_S_VAL_PS_TTM</stp>
        <stp>2</stp>
        <stp>600730</stp>
        <stp>12/31/2018</stp>
        <tr r="O2242" s="1"/>
      </tp>
      <tp>
        <v>0.23262211216568901</v>
        <stp/>
        <stp>EM_S_VAL_PS_TTM</stp>
        <stp>2</stp>
        <stp>000759</stp>
        <stp>12/31/2018</stp>
        <tr r="O752" s="1"/>
      </tp>
      <tp>
        <v>0.87096374859004499</v>
        <stp/>
        <stp>EM_S_VAL_PS_TTM</stp>
        <stp>2</stp>
        <stp>600739</stp>
        <stp>12/31/2018</stp>
        <tr r="O642" s="1"/>
      </tp>
      <tp>
        <v>0.47403880737938298</v>
        <stp/>
        <stp>EM_S_VAL_PS_TTM</stp>
        <stp>2</stp>
        <stp>000758</stp>
        <stp>12/31/2018</stp>
        <tr r="O3529" s="1"/>
      </tp>
      <tp>
        <v>3.17773157122644</v>
        <stp/>
        <stp>EM_S_VAL_PS_TTM</stp>
        <stp>2</stp>
        <stp>600738</stp>
        <stp>12/31/2018</stp>
        <tr r="O2955" s="1"/>
      </tp>
      <tp>
        <v>2.7317754033522301</v>
        <stp/>
        <stp>EM_S_VAL_PS_TTM</stp>
        <stp>2</stp>
        <stp>600727</stp>
        <stp>12/31/2018</stp>
        <tr r="O964" s="1"/>
      </tp>
      <tp>
        <v>0.46977931135724998</v>
        <stp/>
        <stp>EM_S_VAL_PS_TTM</stp>
        <stp>2</stp>
        <stp>600726</stp>
        <stp>12/31/2018</stp>
        <tr r="O3137" s="1"/>
      </tp>
      <tp>
        <v>3.2152275002101298</v>
        <stp/>
        <stp>EM_S_VAL_PS_TTM</stp>
        <stp>2</stp>
        <stp>600725</stp>
        <stp>12/31/2018</stp>
        <tr r="O1728" s="1"/>
      </tp>
      <tp>
        <v>0.92232463725867797</v>
        <stp/>
        <stp>EM_S_VAL_PS_TTM</stp>
        <stp>2</stp>
        <stp>600724</stp>
        <stp>12/31/2018</stp>
        <tr r="O1617" s="1"/>
      </tp>
      <tp>
        <v>0.40313900858755097</v>
        <stp/>
        <stp>EM_S_VAL_PS_TTM</stp>
        <stp>2</stp>
        <stp>600723</stp>
        <stp>12/31/2018</stp>
        <tr r="O2405" s="1"/>
      </tp>
      <tp>
        <v>3.54587466872113</v>
        <stp/>
        <stp>EM_S_VAL_PS_TTM</stp>
        <stp>2</stp>
        <stp>600722</stp>
        <stp>12/31/2018</stp>
        <tr r="O2048" s="1"/>
      </tp>
      <tp>
        <v>4.6041446754297697</v>
        <stp/>
        <stp>EM_S_VAL_PS_TTM</stp>
        <stp>2</stp>
        <stp>600721</stp>
        <stp>12/31/2018</stp>
        <tr r="O1284" s="1"/>
      </tp>
      <tp>
        <v>0.88495698507392095</v>
        <stp/>
        <stp>EM_S_VAL_PS_TTM</stp>
        <stp>2</stp>
        <stp>600720</stp>
        <stp>12/31/2018</stp>
        <tr r="O201" s="1"/>
      </tp>
      <tp>
        <v>0.33494650676059001</v>
        <stp/>
        <stp>EM_S_VAL_PS_TTM</stp>
        <stp>2</stp>
        <stp>600729</stp>
        <stp>12/31/2018</stp>
        <tr r="O2021" s="1"/>
      </tp>
      <tp>
        <v>8.1075880141597896</v>
        <stp/>
        <stp>EM_S_VAL_PS_TTM</stp>
        <stp>2</stp>
        <stp>000748</stp>
        <stp>12/31/2018</stp>
        <tr r="O3525" s="1"/>
      </tp>
      <tp>
        <v>2.36141691985484</v>
        <stp/>
        <stp>EM_S_VAL_PS_TTM</stp>
        <stp>2</stp>
        <stp>600728</stp>
        <stp>12/31/2018</stp>
        <tr r="O794" s="1"/>
      </tp>
      <tp>
        <v>3.5216578034084902</v>
        <stp/>
        <stp>EM_S_VAL_PS_TTM</stp>
        <stp>2</stp>
        <stp>300687</stp>
        <stp>12/31/2018</stp>
        <tr r="O3104" s="1"/>
      </tp>
      <tp>
        <v>3.8121570792969299</v>
        <stp/>
        <stp>EM_S_VAL_PS_TTM</stp>
        <stp>2</stp>
        <stp>300686</stp>
        <stp>12/31/2018</stp>
        <tr r="O205" s="1"/>
      </tp>
      <tp>
        <v>14.7934370294752</v>
        <stp/>
        <stp>EM_S_VAL_PS_TTM</stp>
        <stp>2</stp>
        <stp>300685</stp>
        <stp>12/31/2018</stp>
        <tr r="O436" s="1"/>
      </tp>
      <tp>
        <v>5.6709589072915101</v>
        <stp/>
        <stp>EM_S_VAL_PS_TTM</stp>
        <stp>2</stp>
        <stp>300684</stp>
        <stp>12/31/2018</stp>
        <tr r="O2979" s="1"/>
      </tp>
      <tp>
        <v>4.8117994563284601</v>
        <stp/>
        <stp>EM_S_VAL_PS_TTM</stp>
        <stp>2</stp>
        <stp>300683</stp>
        <stp>12/31/2018</stp>
        <tr r="O1867" s="1"/>
      </tp>
      <tp>
        <v>9.1495149743631803</v>
        <stp/>
        <stp>EM_S_VAL_PS_TTM</stp>
        <stp>2</stp>
        <stp>300682</stp>
        <stp>12/31/2018</stp>
        <tr r="O782" s="1"/>
      </tp>
      <tp>
        <v>4.1199359846119998</v>
        <stp/>
        <stp>EM_S_VAL_PS_TTM</stp>
        <stp>2</stp>
        <stp>300681</stp>
        <stp>12/31/2018</stp>
        <tr r="O2417" s="1"/>
      </tp>
      <tp>
        <v>8.3080642901638697</v>
        <stp/>
        <stp>EM_S_VAL_PS_TTM</stp>
        <stp>2</stp>
        <stp>300680</stp>
        <stp>12/31/2018</stp>
        <tr r="O910" s="1"/>
      </tp>
      <tp>
        <v>6.6734788556290399</v>
        <stp/>
        <stp>EM_S_VAL_PS_TTM</stp>
        <stp>2</stp>
        <stp>300689</stp>
        <stp>12/31/2018</stp>
        <tr r="O977" s="1"/>
      </tp>
      <tp>
        <v>9.7030515694680304</v>
        <stp/>
        <stp>EM_S_VAL_PS_TTM</stp>
        <stp>2</stp>
        <stp>300688</stp>
        <stp>12/31/2018</stp>
        <tr r="O3329" s="1"/>
      </tp>
      <tp>
        <v>1.6350715987574</v>
        <stp/>
        <stp>EM_S_VAL_PS_TTM</stp>
        <stp>2</stp>
        <stp>300697</stp>
        <stp>12/31/2018</stp>
        <tr r="O772" s="1"/>
      </tp>
      <tp>
        <v>17.2187645625065</v>
        <stp/>
        <stp>EM_S_VAL_PS_TTM</stp>
        <stp>2</stp>
        <stp>300696</stp>
        <stp>12/31/2018</stp>
        <tr r="O2215" s="1"/>
      </tp>
      <tp>
        <v>7.3126652891985104</v>
        <stp/>
        <stp>EM_S_VAL_PS_TTM</stp>
        <stp>2</stp>
        <stp>300695</stp>
        <stp>12/31/2018</stp>
        <tr r="O1890" s="1"/>
      </tp>
      <tp>
        <v>4.0048914592612501</v>
        <stp/>
        <stp>EM_S_VAL_PS_TTM</stp>
        <stp>2</stp>
        <stp>300693</stp>
        <stp>12/31/2018</stp>
        <tr r="O2842" s="1"/>
      </tp>
      <tp>
        <v>5.9196547826433497</v>
        <stp/>
        <stp>EM_S_VAL_PS_TTM</stp>
        <stp>2</stp>
        <stp>300692</stp>
        <stp>12/31/2018</stp>
        <tr r="O2598" s="1"/>
      </tp>
      <tp>
        <v>2.8764268241709998</v>
        <stp/>
        <stp>EM_S_VAL_PS_TTM</stp>
        <stp>2</stp>
        <stp>300691</stp>
        <stp>12/31/2018</stp>
        <tr r="O2974" s="1"/>
      </tp>
      <tp>
        <v>3.9317925765203601</v>
        <stp/>
        <stp>EM_S_VAL_PS_TTM</stp>
        <stp>2</stp>
        <stp>300690</stp>
        <stp>12/31/2018</stp>
        <tr r="O735" s="1"/>
      </tp>
      <tp>
        <v>11.080091595430799</v>
        <stp/>
        <stp>EM_S_VAL_PS_TTM</stp>
        <stp>2</stp>
        <stp>300699</stp>
        <stp>12/31/2018</stp>
        <tr r="O995" s="1"/>
      </tp>
      <tp>
        <v>8.9459359468523001</v>
        <stp/>
        <stp>EM_S_VAL_PS_TTM</stp>
        <stp>2</stp>
        <stp>300698</stp>
        <stp>12/31/2018</stp>
        <tr r="O2793" s="1"/>
      </tp>
      <tp>
        <v>5.8636668944743997</v>
        <stp/>
        <stp>EM_S_VAL_PS_TTM</stp>
        <stp>2</stp>
        <stp>000697</stp>
        <stp>12/31/2018</stp>
        <tr r="O2913" s="1"/>
      </tp>
      <tp>
        <v>1.5320790714329</v>
        <stp/>
        <stp>EM_S_VAL_PS_TTM</stp>
        <stp>2</stp>
        <stp>000695</stp>
        <stp>12/31/2018</stp>
        <tr r="O2992" s="1"/>
      </tp>
      <tp>
        <v>42.405244803340999</v>
        <stp/>
        <stp>EM_S_VAL_PS_TTM</stp>
        <stp>2</stp>
        <stp>000693</stp>
        <stp>12/31/2018</stp>
        <tr r="O3513" s="1"/>
      </tp>
      <tp>
        <v>0.75217521942018795</v>
        <stp/>
        <stp>EM_S_VAL_PS_TTM</stp>
        <stp>2</stp>
        <stp>000692</stp>
        <stp>12/31/2018</stp>
        <tr r="O1493" s="1"/>
      </tp>
      <tp>
        <v>78.195267214061005</v>
        <stp/>
        <stp>EM_S_VAL_PS_TTM</stp>
        <stp>2</stp>
        <stp>000691</stp>
        <stp>12/31/2018</stp>
        <tr r="O3512" s="1"/>
      </tp>
      <tp>
        <v>4.2058615941670903</v>
        <stp/>
        <stp>EM_S_VAL_PS_TTM</stp>
        <stp>2</stp>
        <stp>000690</stp>
        <stp>12/31/2018</stp>
        <tr r="O2957" s="1"/>
      </tp>
      <tp>
        <v>0</v>
        <stp/>
        <stp>EM_S_VAL_PS_TTM</stp>
        <stp>2</stp>
        <stp>000699</stp>
        <stp>12/31/2018</stp>
        <tr r="O3515" s="1"/>
      </tp>
      <tp>
        <v>0.30507972946045397</v>
        <stp/>
        <stp>EM_S_VAL_PS_TTM</stp>
        <stp>2</stp>
        <stp>000698</stp>
        <stp>12/31/2018</stp>
        <tr r="O3514" s="1"/>
      </tp>
      <tp>
        <v>2.5118964856972799</v>
        <stp/>
        <stp>EM_S_VAL_PS_TTM</stp>
        <stp>2</stp>
        <stp>000687</stp>
        <stp>12/31/2018</stp>
        <tr r="O3509" s="1"/>
      </tp>
      <tp>
        <v>2.6622045669591201</v>
        <stp/>
        <stp>EM_S_VAL_PS_TTM</stp>
        <stp>2</stp>
        <stp>000686</stp>
        <stp>12/31/2018</stp>
        <tr r="O3508" s="1"/>
      </tp>
      <tp>
        <v>5.8527502659791502</v>
        <stp/>
        <stp>EM_S_VAL_PS_TTM</stp>
        <stp>2</stp>
        <stp>000685</stp>
        <stp>12/31/2018</stp>
        <tr r="O1353" s="1"/>
      </tp>
      <tp>
        <v>1.0605429520367899</v>
        <stp/>
        <stp>EM_S_VAL_PS_TTM</stp>
        <stp>2</stp>
        <stp>000683</stp>
        <stp>12/31/2018</stp>
        <tr r="O3507" s="1"/>
      </tp>
      <tp>
        <v>1.56026699074025</v>
        <stp/>
        <stp>EM_S_VAL_PS_TTM</stp>
        <stp>2</stp>
        <stp>000682</stp>
        <stp>12/31/2018</stp>
        <tr r="O515" s="1"/>
      </tp>
      <tp>
        <v>17.452425710344102</v>
        <stp/>
        <stp>EM_S_VAL_PS_TTM</stp>
        <stp>2</stp>
        <stp>000681</stp>
        <stp>12/31/2018</stp>
        <tr r="O3208" s="1"/>
      </tp>
      <tp>
        <v>0.53117610548150695</v>
        <stp/>
        <stp>EM_S_VAL_PS_TTM</stp>
        <stp>2</stp>
        <stp>000680</stp>
        <stp>12/31/2018</stp>
        <tr r="O1767" s="1"/>
      </tp>
      <tp>
        <v>0</v>
        <stp/>
        <stp>EM_S_VAL_PS_TTM</stp>
        <stp>2</stp>
        <stp>000689</stp>
        <stp>12/31/2018</stp>
        <tr r="O3511" s="1"/>
      </tp>
      <tp>
        <v>10.855963720801601</v>
        <stp/>
        <stp>EM_S_VAL_PS_TTM</stp>
        <stp>2</stp>
        <stp>000688</stp>
        <stp>12/31/2018</stp>
        <tr r="O3510" s="1"/>
      </tp>
      <tp>
        <v>0.19058376489131801</v>
        <stp/>
        <stp>EM_S_VAL_PS_TTM</stp>
        <stp>2</stp>
        <stp>600697</stp>
        <stp>12/31/2018</stp>
        <tr r="O2616" s="1"/>
      </tp>
      <tp>
        <v>3.7939074149128298</v>
        <stp/>
        <stp>EM_S_VAL_PS_TTM</stp>
        <stp>2</stp>
        <stp>600696</stp>
        <stp>12/31/2018</stp>
        <tr r="O71" s="1"/>
      </tp>
      <tp>
        <v>77.5558309175087</v>
        <stp/>
        <stp>EM_S_VAL_PS_TTM</stp>
        <stp>2</stp>
        <stp>600695</stp>
        <stp>12/31/2018</stp>
        <tr r="O307" s="1"/>
      </tp>
      <tp>
        <v>0.28641151167894402</v>
        <stp/>
        <stp>EM_S_VAL_PS_TTM</stp>
        <stp>2</stp>
        <stp>600694</stp>
        <stp>12/31/2018</stp>
        <tr r="O1594" s="1"/>
      </tp>
      <tp>
        <v>1.56091937365088</v>
        <stp/>
        <stp>EM_S_VAL_PS_TTM</stp>
        <stp>2</stp>
        <stp>600693</stp>
        <stp>12/31/2018</stp>
        <tr r="O2373" s="1"/>
      </tp>
      <tp>
        <v>3.0568079691144399</v>
        <stp/>
        <stp>EM_S_VAL_PS_TTM</stp>
        <stp>2</stp>
        <stp>600692</stp>
        <stp>12/31/2018</stp>
        <tr r="O2781" s="1"/>
      </tp>
      <tp>
        <v>0.29525240340293402</v>
        <stp/>
        <stp>EM_S_VAL_PS_TTM</stp>
        <stp>2</stp>
        <stp>600691</stp>
        <stp>12/31/2018</stp>
        <tr r="O2883" s="1"/>
      </tp>
      <tp>
        <v>0.50430546625705697</v>
        <stp/>
        <stp>EM_S_VAL_PS_TTM</stp>
        <stp>2</stp>
        <stp>600690</stp>
        <stp>12/31/2018</stp>
        <tr r="O748" s="1"/>
      </tp>
      <tp>
        <v>0.475711325424934</v>
        <stp/>
        <stp>EM_S_VAL_PS_TTM</stp>
        <stp>2</stp>
        <stp>600699</stp>
        <stp>12/31/2018</stp>
        <tr r="O3125" s="1"/>
      </tp>
      <tp>
        <v>7.9878166858363597</v>
        <stp/>
        <stp>EM_S_VAL_PS_TTM</stp>
        <stp>2</stp>
        <stp>600698</stp>
        <stp>12/31/2018</stp>
        <tr r="O3214" s="1"/>
      </tp>
      <tp>
        <v>0.58795578648017499</v>
        <stp/>
        <stp>EM_S_VAL_PS_TTM</stp>
        <stp>2</stp>
        <stp>600687</stp>
        <stp>12/31/2018</stp>
        <tr r="O3392" s="1"/>
      </tp>
      <tp>
        <v>0.20615097534253099</v>
        <stp/>
        <stp>EM_S_VAL_PS_TTM</stp>
        <stp>2</stp>
        <stp>600686</stp>
        <stp>12/31/2018</stp>
        <tr r="O2161" s="1"/>
      </tp>
      <tp>
        <v>0.72717988894004904</v>
        <stp/>
        <stp>EM_S_VAL_PS_TTM</stp>
        <stp>2</stp>
        <stp>600685</stp>
        <stp>12/31/2018</stp>
        <tr r="O512" s="1"/>
      </tp>
      <tp>
        <v>0.98202822204004603</v>
        <stp/>
        <stp>EM_S_VAL_PS_TTM</stp>
        <stp>2</stp>
        <stp>600684</stp>
        <stp>12/31/2018</stp>
        <tr r="O2854" s="1"/>
      </tp>
      <tp>
        <v>0.50105300638843098</v>
        <stp/>
        <stp>EM_S_VAL_PS_TTM</stp>
        <stp>2</stp>
        <stp>600683</stp>
        <stp>12/31/2018</stp>
        <tr r="O2385" s="1"/>
      </tp>
      <tp>
        <v>0.70159667524451397</v>
        <stp/>
        <stp>EM_S_VAL_PS_TTM</stp>
        <stp>2</stp>
        <stp>600682</stp>
        <stp>12/31/2018</stp>
        <tr r="O1585" s="1"/>
      </tp>
      <tp>
        <v>2.7021385282224699</v>
        <stp/>
        <stp>EM_S_VAL_PS_TTM</stp>
        <stp>2</stp>
        <stp>600681</stp>
        <stp>12/31/2018</stp>
        <tr r="O3333" s="1"/>
      </tp>
      <tp>
        <v>5.83648861039363</v>
        <stp/>
        <stp>EM_S_VAL_PS_TTM</stp>
        <stp>2</stp>
        <stp>600680</stp>
        <stp>12/31/2018</stp>
        <tr r="O2316" s="1"/>
      </tp>
      <tp>
        <v>1.49695863307167</v>
        <stp/>
        <stp>EM_S_VAL_PS_TTM</stp>
        <stp>2</stp>
        <stp>600689</stp>
        <stp>12/31/2018</stp>
        <tr r="O2646" s="1"/>
      </tp>
      <tp>
        <v>0.515979276131456</v>
        <stp/>
        <stp>EM_S_VAL_PS_TTM</stp>
        <stp>2</stp>
        <stp>600688</stp>
        <stp>12/31/2018</stp>
        <tr r="O3114" s="1"/>
      </tp>
      <tp>
        <v>0.46211550648194799</v>
        <stp/>
        <stp>EM_S_VAL_PS_TTM</stp>
        <stp>2</stp>
        <stp>000637</stp>
        <stp>12/31/2018</stp>
        <tr r="O3491" s="1"/>
      </tp>
      <tp>
        <v>3.6215797809154902</v>
        <stp/>
        <stp>EM_S_VAL_PS_TTM</stp>
        <stp>2</stp>
        <stp>300607</stp>
        <stp>12/31/2018</stp>
        <tr r="O484" s="1"/>
      </tp>
      <tp>
        <v>0.81873570997993494</v>
        <stp/>
        <stp>EM_S_VAL_PS_TTM</stp>
        <stp>2</stp>
        <stp>600657</stp>
        <stp>12/31/2018</stp>
        <tr r="O2195" s="1"/>
      </tp>
      <tp>
        <v>2.10132659691262</v>
        <stp/>
        <stp>EM_S_VAL_PS_TTM</stp>
        <stp>2</stp>
        <stp>000636</stp>
        <stp>12/31/2018</stp>
        <tr r="O714" s="1"/>
      </tp>
      <tp>
        <v>4.3844439478383999</v>
        <stp/>
        <stp>EM_S_VAL_PS_TTM</stp>
        <stp>2</stp>
        <stp>300606</stp>
        <stp>12/31/2018</stp>
        <tr r="O1432" s="1"/>
      </tp>
      <tp>
        <v>0</v>
        <stp/>
        <stp>EM_S_VAL_PS_TTM</stp>
        <stp>2</stp>
        <stp>600656</stp>
        <stp>12/31/2018</stp>
        <tr r="O2312" s="1"/>
      </tp>
      <tp>
        <v>1.36990978887001</v>
        <stp/>
        <stp>EM_S_VAL_PS_TTM</stp>
        <stp>2</stp>
        <stp>000635</stp>
        <stp>12/31/2018</stp>
        <tr r="O2661" s="1"/>
      </tp>
      <tp>
        <v>3.7374551793566302</v>
        <stp/>
        <stp>EM_S_VAL_PS_TTM</stp>
        <stp>2</stp>
        <stp>300605</stp>
        <stp>12/31/2018</stp>
        <tr r="O2903" s="1"/>
      </tp>
      <tp>
        <v>1.3891134298332799</v>
        <stp/>
        <stp>EM_S_VAL_PS_TTM</stp>
        <stp>2</stp>
        <stp>600655</stp>
        <stp>12/31/2018</stp>
        <tr r="O2010" s="1"/>
      </tp>
      <tp>
        <v>18.054558769452999</v>
        <stp/>
        <stp>EM_S_VAL_PS_TTM</stp>
        <stp>2</stp>
        <stp>300604</stp>
        <stp>12/31/2018</stp>
        <tr r="O3085" s="1"/>
      </tp>
      <tp>
        <v>0.67944449651786898</v>
        <stp/>
        <stp>EM_S_VAL_PS_TTM</stp>
        <stp>2</stp>
        <stp>600654</stp>
        <stp>12/31/2018</stp>
        <tr r="O2568" s="1"/>
      </tp>
      <tp>
        <v>20.765296825206001</v>
        <stp/>
        <stp>EM_S_VAL_PS_TTM</stp>
        <stp>2</stp>
        <stp>000633</stp>
        <stp>12/31/2018</stp>
        <tr r="O2730" s="1"/>
      </tp>
      <tp>
        <v>3.21577164728251</v>
        <stp/>
        <stp>EM_S_VAL_PS_TTM</stp>
        <stp>2</stp>
        <stp>300603</stp>
        <stp>12/31/2018</stp>
        <tr r="O3173" s="1"/>
      </tp>
      <tp>
        <v>0.50687105224557305</v>
        <stp/>
        <stp>EM_S_VAL_PS_TTM</stp>
        <stp>2</stp>
        <stp>600653</stp>
        <stp>12/31/2018</stp>
        <tr r="O1829" s="1"/>
      </tp>
      <tp>
        <v>0.2398146847598</v>
        <stp/>
        <stp>EM_S_VAL_PS_TTM</stp>
        <stp>2</stp>
        <stp>000632</stp>
        <stp>12/31/2018</stp>
        <tr r="O438" s="1"/>
      </tp>
      <tp>
        <v>5.6715865764004896</v>
        <stp/>
        <stp>EM_S_VAL_PS_TTM</stp>
        <stp>2</stp>
        <stp>300602</stp>
        <stp>12/31/2018</stp>
        <tr r="O1016" s="1"/>
      </tp>
      <tp>
        <v>30.346904478914698</v>
        <stp/>
        <stp>EM_S_VAL_PS_TTM</stp>
        <stp>2</stp>
        <stp>600652</stp>
        <stp>12/31/2018</stp>
        <tr r="O3367" s="1"/>
      </tp>
      <tp>
        <v>2.5578526247634001</v>
        <stp/>
        <stp>EM_S_VAL_PS_TTM</stp>
        <stp>2</stp>
        <stp>000631</stp>
        <stp>12/31/2018</stp>
        <tr r="O3490" s="1"/>
      </tp>
      <tp>
        <v>12.239106263728999</v>
        <stp/>
        <stp>EM_S_VAL_PS_TTM</stp>
        <stp>2</stp>
        <stp>300601</stp>
        <stp>12/31/2018</stp>
        <tr r="O93" s="1"/>
      </tp>
      <tp>
        <v>0.90214188791322403</v>
        <stp/>
        <stp>EM_S_VAL_PS_TTM</stp>
        <stp>2</stp>
        <stp>600651</stp>
        <stp>12/31/2018</stp>
        <tr r="O810" s="1"/>
      </tp>
      <tp>
        <v>0.24944475440724201</v>
        <stp/>
        <stp>EM_S_VAL_PS_TTM</stp>
        <stp>2</stp>
        <stp>000630</stp>
        <stp>12/31/2018</stp>
        <tr r="O1285" s="1"/>
      </tp>
      <tp>
        <v>6.3206229957923199</v>
        <stp/>
        <stp>EM_S_VAL_PS_TTM</stp>
        <stp>2</stp>
        <stp>300600</stp>
        <stp>12/31/2018</stp>
        <tr r="O3297" s="1"/>
      </tp>
      <tp>
        <v>2.21572027506501</v>
        <stp/>
        <stp>EM_S_VAL_PS_TTM</stp>
        <stp>2</stp>
        <stp>600650</stp>
        <stp>12/31/2018</stp>
        <tr r="O1878" s="1"/>
      </tp>
      <tp>
        <v>0.88458566552594697</v>
        <stp/>
        <stp>EM_S_VAL_PS_TTM</stp>
        <stp>2</stp>
        <stp>000639</stp>
        <stp>12/31/2018</stp>
        <tr r="O3211" s="1"/>
      </tp>
      <tp>
        <v>11.889661377751599</v>
        <stp/>
        <stp>EM_S_VAL_PS_TTM</stp>
        <stp>2</stp>
        <stp>300609</stp>
        <stp>12/31/2018</stp>
        <tr r="O784" s="1"/>
      </tp>
      <tp>
        <v>30.567098125740301</v>
        <stp/>
        <stp>EM_S_VAL_PS_TTM</stp>
        <stp>2</stp>
        <stp>600659</stp>
        <stp>12/31/2018</stp>
        <tr r="O2324" s="1"/>
      </tp>
      <tp>
        <v>25.039632370292299</v>
        <stp/>
        <stp>EM_S_VAL_PS_TTM</stp>
        <stp>2</stp>
        <stp>000638</stp>
        <stp>12/31/2018</stp>
        <tr r="O3492" s="1"/>
      </tp>
      <tp>
        <v>2.3684401413168201</v>
        <stp/>
        <stp>EM_S_VAL_PS_TTM</stp>
        <stp>2</stp>
        <stp>300608</stp>
        <stp>12/31/2018</stp>
        <tr r="O2460" s="1"/>
      </tp>
      <tp>
        <v>2.4670387151970701</v>
        <stp/>
        <stp>EM_S_VAL_PS_TTM</stp>
        <stp>2</stp>
        <stp>600658</stp>
        <stp>12/31/2018</stp>
        <tr r="O2829" s="1"/>
      </tp>
      <tp>
        <v>0.893613042468131</v>
        <stp/>
        <stp>EM_S_VAL_PS_TTM</stp>
        <stp>2</stp>
        <stp>000627</stp>
        <stp>12/31/2018</stp>
        <tr r="O3489" s="1"/>
      </tp>
      <tp>
        <v>5.6634499084276602</v>
        <stp/>
        <stp>EM_S_VAL_PS_TTM</stp>
        <stp>2</stp>
        <stp>300617</stp>
        <stp>12/31/2018</stp>
        <tr r="O1581" s="1"/>
      </tp>
      <tp>
        <v>81.278034649602205</v>
        <stp/>
        <stp>EM_S_VAL_PS_TTM</stp>
        <stp>2</stp>
        <stp>600647</stp>
        <stp>12/31/2018</stp>
        <tr r="O1435" s="1"/>
      </tp>
      <tp>
        <v>4.9717512439533103E-2</v>
        <stp/>
        <stp>EM_S_VAL_PS_TTM</stp>
        <stp>2</stp>
        <stp>000626</stp>
        <stp>12/31/2018</stp>
        <tr r="O3488" s="1"/>
      </tp>
      <tp>
        <v>1.8945504974068399</v>
        <stp/>
        <stp>EM_S_VAL_PS_TTM</stp>
        <stp>2</stp>
        <stp>300616</stp>
        <stp>12/31/2018</stp>
        <tr r="O1091" s="1"/>
      </tp>
      <tp>
        <v>2112.3309588736602</v>
        <stp/>
        <stp>EM_S_VAL_PS_TTM</stp>
        <stp>2</stp>
        <stp>600646</stp>
        <stp>12/31/2018</stp>
        <tr r="O2311" s="1"/>
      </tp>
      <tp>
        <v>0.40352379426249402</v>
        <stp/>
        <stp>EM_S_VAL_PS_TTM</stp>
        <stp>2</stp>
        <stp>000625</stp>
        <stp>12/31/2018</stp>
        <tr r="O3487" s="1"/>
      </tp>
      <tp>
        <v>10.589019579625701</v>
        <stp/>
        <stp>EM_S_VAL_PS_TTM</stp>
        <stp>2</stp>
        <stp>300615</stp>
        <stp>12/31/2018</stp>
        <tr r="O1398" s="1"/>
      </tp>
      <tp>
        <v>8.0983696674603394</v>
        <stp/>
        <stp>EM_S_VAL_PS_TTM</stp>
        <stp>2</stp>
        <stp>600645</stp>
        <stp>12/31/2018</stp>
        <tr r="O2094" s="1"/>
      </tp>
      <tp>
        <v>1.10775724813105</v>
        <stp/>
        <stp>EM_S_VAL_PS_TTM</stp>
        <stp>2</stp>
        <stp>600644</stp>
        <stp>12/31/2018</stp>
        <tr r="O1143" s="1"/>
      </tp>
      <tp>
        <v>4.9550898156077903</v>
        <stp/>
        <stp>EM_S_VAL_PS_TTM</stp>
        <stp>2</stp>
        <stp>000623</stp>
        <stp>12/31/2018</stp>
        <tr r="O1489" s="1"/>
      </tp>
      <tp>
        <v>9.5362444147911596</v>
        <stp/>
        <stp>EM_S_VAL_PS_TTM</stp>
        <stp>2</stp>
        <stp>300613</stp>
        <stp>12/31/2018</stp>
        <tr r="O258" s="1"/>
      </tp>
      <tp>
        <v>5.1652106121347403</v>
        <stp/>
        <stp>EM_S_VAL_PS_TTM</stp>
        <stp>2</stp>
        <stp>600643</stp>
        <stp>12/31/2018</stp>
        <tr r="O1527" s="1"/>
      </tp>
      <tp>
        <v>43.144033724299597</v>
        <stp/>
        <stp>EM_S_VAL_PS_TTM</stp>
        <stp>2</stp>
        <stp>000622</stp>
        <stp>12/31/2018</stp>
        <tr r="O3279" s="1"/>
      </tp>
      <tp>
        <v>5.12855375223024</v>
        <stp/>
        <stp>EM_S_VAL_PS_TTM</stp>
        <stp>2</stp>
        <stp>300612</stp>
        <stp>12/31/2018</stp>
        <tr r="O1593" s="1"/>
      </tp>
      <tp>
        <v>0.62123250726388102</v>
        <stp/>
        <stp>EM_S_VAL_PS_TTM</stp>
        <stp>2</stp>
        <stp>600642</stp>
        <stp>12/31/2018</stp>
        <tr r="O1343" s="1"/>
      </tp>
      <tp>
        <v>0</v>
        <stp/>
        <stp>EM_S_VAL_PS_TTM</stp>
        <stp>2</stp>
        <stp>000621</stp>
        <stp>12/31/2018</stp>
        <tr r="O3486" s="1"/>
      </tp>
      <tp>
        <v>2.9564710647162</v>
        <stp/>
        <stp>EM_S_VAL_PS_TTM</stp>
        <stp>2</stp>
        <stp>300611</stp>
        <stp>12/31/2018</stp>
        <tr r="O1560" s="1"/>
      </tp>
      <tp>
        <v>2.7166005046300898</v>
        <stp/>
        <stp>EM_S_VAL_PS_TTM</stp>
        <stp>2</stp>
        <stp>600641</stp>
        <stp>12/31/2018</stp>
        <tr r="O147" s="1"/>
      </tp>
      <tp>
        <v>0.74872420571491405</v>
        <stp/>
        <stp>EM_S_VAL_PS_TTM</stp>
        <stp>2</stp>
        <stp>000620</stp>
        <stp>12/31/2018</stp>
        <tr r="O2102" s="1"/>
      </tp>
      <tp>
        <v>2.4340609413623699</v>
        <stp/>
        <stp>EM_S_VAL_PS_TTM</stp>
        <stp>2</stp>
        <stp>300610</stp>
        <stp>12/31/2018</stp>
        <tr r="O2478" s="1"/>
      </tp>
      <tp>
        <v>1.82046423754607</v>
        <stp/>
        <stp>EM_S_VAL_PS_TTM</stp>
        <stp>2</stp>
        <stp>600640</stp>
        <stp>12/31/2018</stp>
        <tr r="O66" s="1"/>
      </tp>
      <tp>
        <v>1.89137143172853</v>
        <stp/>
        <stp>EM_S_VAL_PS_TTM</stp>
        <stp>2</stp>
        <stp>000629</stp>
        <stp>12/31/2018</stp>
        <tr r="O2438" s="1"/>
      </tp>
      <tp>
        <v>3.2003460529371801</v>
        <stp/>
        <stp>EM_S_VAL_PS_TTM</stp>
        <stp>2</stp>
        <stp>300619</stp>
        <stp>12/31/2018</stp>
        <tr r="O2952" s="1"/>
      </tp>
      <tp>
        <v>2.032495720035</v>
        <stp/>
        <stp>EM_S_VAL_PS_TTM</stp>
        <stp>2</stp>
        <stp>600649</stp>
        <stp>12/31/2018</stp>
        <tr r="O2008" s="1"/>
      </tp>
      <tp>
        <v>4.5780343077526302</v>
        <stp/>
        <stp>EM_S_VAL_PS_TTM</stp>
        <stp>2</stp>
        <stp>000628</stp>
        <stp>12/31/2018</stp>
        <tr r="O2503" s="1"/>
      </tp>
      <tp>
        <v>5.3250536057416102</v>
        <stp/>
        <stp>EM_S_VAL_PS_TTM</stp>
        <stp>2</stp>
        <stp>300618</stp>
        <stp>12/31/2018</stp>
        <tr r="O1876" s="1"/>
      </tp>
      <tp>
        <v>1.7202799920786001</v>
        <stp/>
        <stp>EM_S_VAL_PS_TTM</stp>
        <stp>2</stp>
        <stp>600648</stp>
        <stp>12/31/2018</stp>
        <tr r="O1052" s="1"/>
      </tp>
      <tp>
        <v>2.90115481766431</v>
        <stp/>
        <stp>EM_S_VAL_PS_TTM</stp>
        <stp>2</stp>
        <stp>000617</stp>
        <stp>12/31/2018</stp>
        <tr r="O1592" s="1"/>
      </tp>
      <tp>
        <v>4.8467489615777</v>
        <stp/>
        <stp>EM_S_VAL_PS_TTM</stp>
        <stp>2</stp>
        <stp>300627</stp>
        <stp>12/31/2018</stp>
        <tr r="O908" s="1"/>
      </tp>
      <tp>
        <v>0.378265745485454</v>
        <stp/>
        <stp>EM_S_VAL_PS_TTM</stp>
        <stp>2</stp>
        <stp>600677</stp>
        <stp>12/31/2018</stp>
        <tr r="O2619" s="1"/>
      </tp>
      <tp>
        <v>26.2696290658991</v>
        <stp/>
        <stp>EM_S_VAL_PS_TTM</stp>
        <stp>2</stp>
        <stp>000616</stp>
        <stp>12/31/2018</stp>
        <tr r="O2228" s="1"/>
      </tp>
      <tp>
        <v>1.8184436864773801</v>
        <stp/>
        <stp>EM_S_VAL_PS_TTM</stp>
        <stp>2</stp>
        <stp>300626</stp>
        <stp>12/31/2018</stp>
        <tr r="O2555" s="1"/>
      </tp>
      <tp>
        <v>0.44248939249886499</v>
        <stp/>
        <stp>EM_S_VAL_PS_TTM</stp>
        <stp>2</stp>
        <stp>600676</stp>
        <stp>12/31/2018</stp>
        <tr r="O2345" s="1"/>
      </tp>
      <tp>
        <v>1.17401588047037</v>
        <stp/>
        <stp>EM_S_VAL_PS_TTM</stp>
        <stp>2</stp>
        <stp>000615</stp>
        <stp>12/31/2018</stp>
        <tr r="O3000" s="1"/>
      </tp>
      <tp>
        <v>1.6175146936499101</v>
        <stp/>
        <stp>EM_S_VAL_PS_TTM</stp>
        <stp>2</stp>
        <stp>300625</stp>
        <stp>12/31/2018</stp>
        <tr r="O1465" s="1"/>
      </tp>
      <tp>
        <v>2.9176013453010201</v>
        <stp/>
        <stp>EM_S_VAL_PS_TTM</stp>
        <stp>2</stp>
        <stp>600675</stp>
        <stp>12/31/2018</stp>
        <tr r="O2967" s="1"/>
      </tp>
      <tp>
        <v>8.5476684461246109</v>
        <stp/>
        <stp>EM_S_VAL_PS_TTM</stp>
        <stp>2</stp>
        <stp>300624</stp>
        <stp>12/31/2018</stp>
        <tr r="O1409" s="1"/>
      </tp>
      <tp>
        <v>45.040379827969097</v>
        <stp/>
        <stp>EM_S_VAL_PS_TTM</stp>
        <stp>2</stp>
        <stp>600674</stp>
        <stp>12/31/2018</stp>
        <tr r="O1589" s="1"/>
      </tp>
      <tp>
        <v>92.058707134638098</v>
        <stp/>
        <stp>EM_S_VAL_PS_TTM</stp>
        <stp>2</stp>
        <stp>000613</stp>
        <stp>12/31/2018</stp>
        <tr r="O3064" s="1"/>
      </tp>
      <tp>
        <v>8.1473777979649498</v>
        <stp/>
        <stp>EM_S_VAL_PS_TTM</stp>
        <stp>2</stp>
        <stp>300623</stp>
        <stp>12/31/2018</stp>
        <tr r="O1635" s="1"/>
      </tp>
      <tp>
        <v>2.3050147786230601</v>
        <stp/>
        <stp>EM_S_VAL_PS_TTM</stp>
        <stp>2</stp>
        <stp>600673</stp>
        <stp>12/31/2018</stp>
        <tr r="O859" s="1"/>
      </tp>
      <tp>
        <v>0.98960629424699198</v>
        <stp/>
        <stp>EM_S_VAL_PS_TTM</stp>
        <stp>2</stp>
        <stp>000612</stp>
        <stp>12/31/2018</stp>
        <tr r="O3484" s="1"/>
      </tp>
      <tp>
        <v>2.68709029846588</v>
        <stp/>
        <stp>EM_S_VAL_PS_TTM</stp>
        <stp>2</stp>
        <stp>300622</stp>
        <stp>12/31/2018</stp>
        <tr r="O1369" s="1"/>
      </tp>
      <tp>
        <v>1.4115339714785999</v>
        <stp/>
        <stp>EM_S_VAL_PS_TTM</stp>
        <stp>2</stp>
        <stp>600672</stp>
        <stp>12/31/2018</stp>
        <tr r="O2315" s="1"/>
      </tp>
      <tp>
        <v>86.366179827890306</v>
        <stp/>
        <stp>EM_S_VAL_PS_TTM</stp>
        <stp>2</stp>
        <stp>000611</stp>
        <stp>12/31/2018</stp>
        <tr r="O3483" s="1"/>
      </tp>
      <tp>
        <v>0.85927046190188605</v>
        <stp/>
        <stp>EM_S_VAL_PS_TTM</stp>
        <stp>2</stp>
        <stp>300621</stp>
        <stp>12/31/2018</stp>
        <tr r="O1811" s="1"/>
      </tp>
      <tp>
        <v>5.0992380112922602</v>
        <stp/>
        <stp>EM_S_VAL_PS_TTM</stp>
        <stp>2</stp>
        <stp>600671</stp>
        <stp>12/31/2018</stp>
        <tr r="O3131" s="1"/>
      </tp>
      <tp>
        <v>2.1741522413558498</v>
        <stp/>
        <stp>EM_S_VAL_PS_TTM</stp>
        <stp>2</stp>
        <stp>000610</stp>
        <stp>12/31/2018</stp>
        <tr r="O1211" s="1"/>
      </tp>
      <tp>
        <v>14.5525485650252</v>
        <stp/>
        <stp>EM_S_VAL_PS_TTM</stp>
        <stp>2</stp>
        <stp>300620</stp>
        <stp>12/31/2018</stp>
        <tr r="O2759" s="1"/>
      </tp>
      <tp>
        <v>17.242567757596099</v>
        <stp/>
        <stp>EM_S_VAL_PS_TTM</stp>
        <stp>2</stp>
        <stp>600670</stp>
        <stp>12/31/2018</stp>
        <tr r="O2314" s="1"/>
      </tp>
      <tp>
        <v>0.61635926566271904</v>
        <stp/>
        <stp>EM_S_VAL_PS_TTM</stp>
        <stp>2</stp>
        <stp>000619</stp>
        <stp>12/31/2018</stp>
        <tr r="O1623" s="1"/>
      </tp>
      <tp>
        <v>6.1475283049865102</v>
        <stp/>
        <stp>EM_S_VAL_PS_TTM</stp>
        <stp>2</stp>
        <stp>300629</stp>
        <stp>12/31/2018</stp>
        <tr r="O1628" s="1"/>
      </tp>
      <tp>
        <v>4.2526120366330398</v>
        <stp/>
        <stp>EM_S_VAL_PS_TTM</stp>
        <stp>2</stp>
        <stp>600679</stp>
        <stp>12/31/2018</stp>
        <tr r="O1214" s="1"/>
      </tp>
      <tp>
        <v>0</v>
        <stp/>
        <stp>EM_S_VAL_PS_TTM</stp>
        <stp>2</stp>
        <stp>000618</stp>
        <stp>12/31/2018</stp>
        <tr r="O3485" s="1"/>
      </tp>
      <tp>
        <v>14.1597369608559</v>
        <stp/>
        <stp>EM_S_VAL_PS_TTM</stp>
        <stp>2</stp>
        <stp>300628</stp>
        <stp>12/31/2018</stp>
        <tr r="O2626" s="1"/>
      </tp>
      <tp>
        <v>4.7111408301889703</v>
        <stp/>
        <stp>EM_S_VAL_PS_TTM</stp>
        <stp>2</stp>
        <stp>600678</stp>
        <stp>12/31/2018</stp>
        <tr r="O1034" s="1"/>
      </tp>
      <tp>
        <v>2.2939036951885399</v>
        <stp/>
        <stp>EM_S_VAL_PS_TTM</stp>
        <stp>2</stp>
        <stp>000607</stp>
        <stp>12/31/2018</stp>
        <tr r="O3480" s="1"/>
      </tp>
      <tp>
        <v>6.0095715496395901</v>
        <stp/>
        <stp>EM_S_VAL_PS_TTM</stp>
        <stp>2</stp>
        <stp>300637</stp>
        <stp>12/31/2018</stp>
        <tr r="O3365" s="1"/>
      </tp>
      <tp>
        <v>0.71963010388605497</v>
        <stp/>
        <stp>EM_S_VAL_PS_TTM</stp>
        <stp>2</stp>
        <stp>600667</stp>
        <stp>12/31/2018</stp>
        <tr r="O398" s="1"/>
      </tp>
      <tp>
        <v>6.3507692378912797</v>
        <stp/>
        <stp>EM_S_VAL_PS_TTM</stp>
        <stp>2</stp>
        <stp>000606</stp>
        <stp>12/31/2018</stp>
        <tr r="O2652" s="1"/>
      </tp>
      <tp>
        <v>5.5447564550213801</v>
        <stp/>
        <stp>EM_S_VAL_PS_TTM</stp>
        <stp>2</stp>
        <stp>300636</stp>
        <stp>12/31/2018</stp>
        <tr r="O456" s="1"/>
      </tp>
      <tp>
        <v>2.8114809383815298</v>
        <stp/>
        <stp>EM_S_VAL_PS_TTM</stp>
        <stp>2</stp>
        <stp>600666</stp>
        <stp>12/31/2018</stp>
        <tr r="O3218" s="1"/>
      </tp>
      <tp>
        <v>2.0463499953582298</v>
        <stp/>
        <stp>EM_S_VAL_PS_TTM</stp>
        <stp>2</stp>
        <stp>000605</stp>
        <stp>12/31/2018</stp>
        <tr r="O3479" s="1"/>
      </tp>
      <tp>
        <v>5.6312669737847898</v>
        <stp/>
        <stp>EM_S_VAL_PS_TTM</stp>
        <stp>2</stp>
        <stp>300635</stp>
        <stp>12/31/2018</stp>
        <tr r="O3011" s="1"/>
      </tp>
      <tp>
        <v>0.55953351058820999</v>
        <stp/>
        <stp>EM_S_VAL_PS_TTM</stp>
        <stp>2</stp>
        <stp>600665</stp>
        <stp>12/31/2018</stp>
        <tr r="O2096" s="1"/>
      </tp>
      <tp>
        <v>12.830638118231199</v>
        <stp/>
        <stp>EM_S_VAL_PS_TTM</stp>
        <stp>2</stp>
        <stp>300634</stp>
        <stp>12/31/2018</stp>
        <tr r="O3171" s="1"/>
      </tp>
      <tp>
        <v>0.92145019020673602</v>
        <stp/>
        <stp>EM_S_VAL_PS_TTM</stp>
        <stp>2</stp>
        <stp>600664</stp>
        <stp>12/31/2018</stp>
        <tr r="O2644" s="1"/>
      </tp>
      <tp>
        <v>3.7921039043284899</v>
        <stp/>
        <stp>EM_S_VAL_PS_TTM</stp>
        <stp>2</stp>
        <stp>000603</stp>
        <stp>12/31/2018</stp>
        <tr r="O625" s="1"/>
      </tp>
      <tp>
        <v>9.6369945579887499</v>
        <stp/>
        <stp>EM_S_VAL_PS_TTM</stp>
        <stp>2</stp>
        <stp>300633</stp>
        <stp>12/31/2018</stp>
        <tr r="O2972" s="1"/>
      </tp>
      <tp>
        <v>4.1273369541651199</v>
        <stp/>
        <stp>EM_S_VAL_PS_TTM</stp>
        <stp>2</stp>
        <stp>600663</stp>
        <stp>12/31/2018</stp>
        <tr r="O2066" s="1"/>
      </tp>
      <tp>
        <v>2.8862450662083501</v>
        <stp/>
        <stp>EM_S_VAL_PS_TTM</stp>
        <stp>2</stp>
        <stp>000602</stp>
        <stp>12/31/2018</stp>
        <tr r="O3478" s="1"/>
      </tp>
      <tp>
        <v>3.3797081372042799</v>
        <stp/>
        <stp>EM_S_VAL_PS_TTM</stp>
        <stp>2</stp>
        <stp>300632</stp>
        <stp>12/31/2018</stp>
        <tr r="O320" s="1"/>
      </tp>
      <tp>
        <v>1.0451482909857801</v>
        <stp/>
        <stp>EM_S_VAL_PS_TTM</stp>
        <stp>2</stp>
        <stp>600662</stp>
        <stp>12/31/2018</stp>
        <tr r="O1782" s="1"/>
      </tp>
      <tp>
        <v>1.1853174253851699</v>
        <stp/>
        <stp>EM_S_VAL_PS_TTM</stp>
        <stp>2</stp>
        <stp>000601</stp>
        <stp>12/31/2018</stp>
        <tr r="O3477" s="1"/>
      </tp>
      <tp>
        <v>4.17285684902944</v>
        <stp/>
        <stp>EM_S_VAL_PS_TTM</stp>
        <stp>2</stp>
        <stp>300631</stp>
        <stp>12/31/2018</stp>
        <tr r="O1619" s="1"/>
      </tp>
      <tp>
        <v>2.8039105610054502</v>
        <stp/>
        <stp>EM_S_VAL_PS_TTM</stp>
        <stp>2</stp>
        <stp>600661</stp>
        <stp>12/31/2018</stp>
        <tr r="O2866" s="1"/>
      </tp>
      <tp>
        <v>0.66613401644366099</v>
        <stp/>
        <stp>EM_S_VAL_PS_TTM</stp>
        <stp>2</stp>
        <stp>000600</stp>
        <stp>12/31/2018</stp>
        <tr r="O2456" s="1"/>
      </tp>
      <tp>
        <v>15.273771933581701</v>
        <stp/>
        <stp>EM_S_VAL_PS_TTM</stp>
        <stp>2</stp>
        <stp>300630</stp>
        <stp>12/31/2018</stp>
        <tr r="O1074" s="1"/>
      </tp>
      <tp>
        <v>2.7956600245074799</v>
        <stp/>
        <stp>EM_S_VAL_PS_TTM</stp>
        <stp>2</stp>
        <stp>600660</stp>
        <stp>12/31/2018</stp>
        <tr r="O2159" s="1"/>
      </tp>
      <tp>
        <v>31.422916062735698</v>
        <stp/>
        <stp>EM_S_VAL_PS_TTM</stp>
        <stp>2</stp>
        <stp>000609</stp>
        <stp>12/31/2018</stp>
        <tr r="O3482" s="1"/>
      </tp>
      <tp>
        <v>4.87897164904322</v>
        <stp/>
        <stp>EM_S_VAL_PS_TTM</stp>
        <stp>2</stp>
        <stp>300639</stp>
        <stp>12/31/2018</stp>
        <tr r="O429" s="1"/>
      </tp>
      <tp>
        <v>0</v>
        <stp/>
        <stp>EM_S_VAL_PS_TTM</stp>
        <stp>2</stp>
        <stp>600669</stp>
        <stp>12/31/2018</stp>
        <tr r="O2313" s="1"/>
      </tp>
      <tp>
        <v>11.7386942957726</v>
        <stp/>
        <stp>EM_S_VAL_PS_TTM</stp>
        <stp>2</stp>
        <stp>000608</stp>
        <stp>12/31/2018</stp>
        <tr r="O3481" s="1"/>
      </tp>
      <tp>
        <v>3.0014369754874002</v>
        <stp/>
        <stp>EM_S_VAL_PS_TTM</stp>
        <stp>2</stp>
        <stp>300638</stp>
        <stp>12/31/2018</stp>
        <tr r="O110" s="1"/>
      </tp>
      <tp>
        <v>1.28132996751228</v>
        <stp/>
        <stp>EM_S_VAL_PS_TTM</stp>
        <stp>2</stp>
        <stp>600668</stp>
        <stp>12/31/2018</stp>
        <tr r="O921" s="1"/>
      </tp>
      <tp>
        <v>3.4422873298021299</v>
        <stp/>
        <stp>EM_S_VAL_PS_TTM</stp>
        <stp>2</stp>
        <stp>000677</stp>
        <stp>12/31/2018</stp>
        <tr r="O699" s="1"/>
      </tp>
      <tp>
        <v>6.3062175100406703</v>
        <stp/>
        <stp>EM_S_VAL_PS_TTM</stp>
        <stp>2</stp>
        <stp>300647</stp>
        <stp>12/31/2018</stp>
        <tr r="O2744" s="1"/>
      </tp>
      <tp>
        <v>0.53452356749763397</v>
        <stp/>
        <stp>EM_S_VAL_PS_TTM</stp>
        <stp>2</stp>
        <stp>600617</stp>
        <stp>12/31/2018</stp>
        <tr r="O2412" s="1"/>
      </tp>
      <tp>
        <v>1.20464802084461</v>
        <stp/>
        <stp>EM_S_VAL_PS_TTM</stp>
        <stp>2</stp>
        <stp>000676</stp>
        <stp>12/31/2018</stp>
        <tr r="O2517" s="1"/>
      </tp>
      <tp>
        <v>0</v>
        <stp/>
        <stp>EM_S_VAL_PS_TTM</stp>
        <stp>2</stp>
        <stp>300646</stp>
        <stp>12/31/2018</stp>
        <tr r="O10" s="1"/>
      </tp>
      <tp>
        <v>2.7279174683429601</v>
        <stp/>
        <stp>EM_S_VAL_PS_TTM</stp>
        <stp>2</stp>
        <stp>600616</stp>
        <stp>12/31/2018</stp>
        <tr r="O2035" s="1"/>
      </tp>
      <tp>
        <v>866.66837365597803</v>
        <stp/>
        <stp>EM_S_VAL_PS_TTM</stp>
        <stp>2</stp>
        <stp>000675</stp>
        <stp>12/31/2018</stp>
        <tr r="O3504" s="1"/>
      </tp>
      <tp>
        <v>4.1592313179414901</v>
        <stp/>
        <stp>EM_S_VAL_PS_TTM</stp>
        <stp>2</stp>
        <stp>300645</stp>
        <stp>12/31/2018</stp>
        <tr r="O3374" s="1"/>
      </tp>
      <tp>
        <v>22.704679867437001</v>
        <stp/>
        <stp>EM_S_VAL_PS_TTM</stp>
        <stp>2</stp>
        <stp>600615</stp>
        <stp>12/31/2018</stp>
        <tr r="O1631" s="1"/>
      </tp>
      <tp>
        <v>2.07939749031266</v>
        <stp/>
        <stp>EM_S_VAL_PS_TTM</stp>
        <stp>2</stp>
        <stp>300644</stp>
        <stp>12/31/2018</stp>
        <tr r="O2969" s="1"/>
      </tp>
      <tp>
        <v>2.9522393079524099</v>
        <stp/>
        <stp>EM_S_VAL_PS_TTM</stp>
        <stp>2</stp>
        <stp>600614</stp>
        <stp>12/31/2018</stp>
        <tr r="O3373" s="1"/>
      </tp>
      <tp>
        <v>4.4634719556271998</v>
        <stp/>
        <stp>EM_S_VAL_PS_TTM</stp>
        <stp>2</stp>
        <stp>000673</stp>
        <stp>12/31/2018</stp>
        <tr r="O3503" s="1"/>
      </tp>
      <tp>
        <v>6.8697459041528397</v>
        <stp/>
        <stp>EM_S_VAL_PS_TTM</stp>
        <stp>2</stp>
        <stp>300643</stp>
        <stp>12/31/2018</stp>
        <tr r="O149" s="1"/>
      </tp>
      <tp>
        <v>1.3928298919915001</v>
        <stp/>
        <stp>EM_S_VAL_PS_TTM</stp>
        <stp>2</stp>
        <stp>600613</stp>
        <stp>12/31/2018</stp>
        <tr r="O768" s="1"/>
      </tp>
      <tp>
        <v>1.3022388651704899</v>
        <stp/>
        <stp>EM_S_VAL_PS_TTM</stp>
        <stp>2</stp>
        <stp>000672</stp>
        <stp>12/31/2018</stp>
        <tr r="O150" s="1"/>
      </tp>
      <tp>
        <v>9.8666258503223307</v>
        <stp/>
        <stp>EM_S_VAL_PS_TTM</stp>
        <stp>2</stp>
        <stp>300642</stp>
        <stp>12/31/2018</stp>
        <tr r="O1902" s="1"/>
      </tp>
      <tp>
        <v>0.54304845376336497</v>
        <stp/>
        <stp>EM_S_VAL_PS_TTM</stp>
        <stp>2</stp>
        <stp>600612</stp>
        <stp>12/31/2018</stp>
        <tr r="O2043" s="1"/>
      </tp>
      <tp>
        <v>0.48231119976443898</v>
        <stp/>
        <stp>EM_S_VAL_PS_TTM</stp>
        <stp>2</stp>
        <stp>000671</stp>
        <stp>12/31/2018</stp>
        <tr r="O373" s="1"/>
      </tp>
      <tp>
        <v>2.0247232192351099</v>
        <stp/>
        <stp>EM_S_VAL_PS_TTM</stp>
        <stp>2</stp>
        <stp>300641</stp>
        <stp>12/31/2018</stp>
        <tr r="O2353" s="1"/>
      </tp>
      <tp>
        <v>3.0215670017242302</v>
        <stp/>
        <stp>EM_S_VAL_PS_TTM</stp>
        <stp>2</stp>
        <stp>600611</stp>
        <stp>12/31/2018</stp>
        <tr r="O2175" s="1"/>
      </tp>
      <tp>
        <v>18.126216678209101</v>
        <stp/>
        <stp>EM_S_VAL_PS_TTM</stp>
        <stp>2</stp>
        <stp>000670</stp>
        <stp>12/31/2018</stp>
        <tr r="O3502" s="1"/>
      </tp>
      <tp>
        <v>2.6050551510280102</v>
        <stp/>
        <stp>EM_S_VAL_PS_TTM</stp>
        <stp>2</stp>
        <stp>300640</stp>
        <stp>12/31/2018</stp>
        <tr r="O2861" s="1"/>
      </tp>
      <tp>
        <v>-4.4921889810976801</v>
        <stp/>
        <stp>EM_S_VAL_PS_TTM</stp>
        <stp>2</stp>
        <stp>600610</stp>
        <stp>12/31/2018</stp>
        <tr r="O203" s="1"/>
      </tp>
      <tp>
        <v>1.0395348085946801</v>
        <stp/>
        <stp>EM_S_VAL_PS_TTM</stp>
        <stp>2</stp>
        <stp>000679</stp>
        <stp>12/31/2018</stp>
        <tr r="O3506" s="1"/>
      </tp>
      <tp>
        <v>6.6992546305947798</v>
        <stp/>
        <stp>EM_S_VAL_PS_TTM</stp>
        <stp>2</stp>
        <stp>300649</stp>
        <stp>12/31/2018</stp>
        <tr r="O3039" s="1"/>
      </tp>
      <tp>
        <v>0.60415392712173399</v>
        <stp/>
        <stp>EM_S_VAL_PS_TTM</stp>
        <stp>2</stp>
        <stp>600619</stp>
        <stp>12/31/2018</stp>
        <tr r="O2513" s="1"/>
      </tp>
      <tp>
        <v>1.5208694136024601</v>
        <stp/>
        <stp>EM_S_VAL_PS_TTM</stp>
        <stp>2</stp>
        <stp>000678</stp>
        <stp>12/31/2018</stp>
        <tr r="O3505" s="1"/>
      </tp>
      <tp>
        <v>6.3450781905216003</v>
        <stp/>
        <stp>EM_S_VAL_PS_TTM</stp>
        <stp>2</stp>
        <stp>300648</stp>
        <stp>12/31/2018</stp>
        <tr r="O2494" s="1"/>
      </tp>
      <tp>
        <v>1.0680479507148</v>
        <stp/>
        <stp>EM_S_VAL_PS_TTM</stp>
        <stp>2</stp>
        <stp>600618</stp>
        <stp>12/31/2018</stp>
        <tr r="O1601" s="1"/>
      </tp>
      <tp>
        <v>2.2833829701304</v>
        <stp/>
        <stp>EM_S_VAL_PS_TTM</stp>
        <stp>2</stp>
        <stp>000667</stp>
        <stp>12/31/2018</stp>
        <tr r="O3499" s="1"/>
      </tp>
      <tp>
        <v>1.5814310751232801</v>
        <stp/>
        <stp>EM_S_VAL_PS_TTM</stp>
        <stp>2</stp>
        <stp>300657</stp>
        <stp>12/31/2018</stp>
        <tr r="O1186" s="1"/>
      </tp>
      <tp>
        <v>2.5220216821418102</v>
        <stp/>
        <stp>EM_S_VAL_PS_TTM</stp>
        <stp>2</stp>
        <stp>600607</stp>
        <stp>12/31/2018</stp>
        <tr r="O2306" s="1"/>
      </tp>
      <tp>
        <v>0.76855644736977902</v>
        <stp/>
        <stp>EM_S_VAL_PS_TTM</stp>
        <stp>2</stp>
        <stp>000666</stp>
        <stp>12/31/2018</stp>
        <tr r="O1969" s="1"/>
      </tp>
      <tp>
        <v>7.8064470724258701</v>
        <stp/>
        <stp>EM_S_VAL_PS_TTM</stp>
        <stp>2</stp>
        <stp>300656</stp>
        <stp>12/31/2018</stp>
        <tr r="O2217" s="1"/>
      </tp>
      <tp>
        <v>0.216660719668822</v>
        <stp/>
        <stp>EM_S_VAL_PS_TTM</stp>
        <stp>2</stp>
        <stp>600606</stp>
        <stp>12/31/2018</stp>
        <tr r="O1591" s="1"/>
      </tp>
      <tp>
        <v>1.64640650095081</v>
        <stp/>
        <stp>EM_S_VAL_PS_TTM</stp>
        <stp>2</stp>
        <stp>000665</stp>
        <stp>12/31/2018</stp>
        <tr r="O3156" s="1"/>
      </tp>
      <tp>
        <v>2.76856143327216</v>
        <stp/>
        <stp>EM_S_VAL_PS_TTM</stp>
        <stp>2</stp>
        <stp>300655</stp>
        <stp>12/31/2018</stp>
        <tr r="O94" s="1"/>
      </tp>
      <tp>
        <v>0.60894096685903798</v>
        <stp/>
        <stp>EM_S_VAL_PS_TTM</stp>
        <stp>2</stp>
        <stp>600605</stp>
        <stp>12/31/2018</stp>
        <tr r="O1488" s="1"/>
      </tp>
      <tp>
        <v>4.9136811952196799</v>
        <stp/>
        <stp>EM_S_VAL_PS_TTM</stp>
        <stp>2</stp>
        <stp>300654</stp>
        <stp>12/31/2018</stp>
        <tr r="O3061" s="1"/>
      </tp>
      <tp>
        <v>7.1963458542783396</v>
        <stp/>
        <stp>EM_S_VAL_PS_TTM</stp>
        <stp>2</stp>
        <stp>600604</stp>
        <stp>12/31/2018</stp>
        <tr r="O1429" s="1"/>
      </tp>
      <tp>
        <v>2.05894734797165</v>
        <stp/>
        <stp>EM_S_VAL_PS_TTM</stp>
        <stp>2</stp>
        <stp>000663</stp>
        <stp>12/31/2018</stp>
        <tr r="O3498" s="1"/>
      </tp>
      <tp>
        <v>17.134225451045999</v>
        <stp/>
        <stp>EM_S_VAL_PS_TTM</stp>
        <stp>2</stp>
        <stp>300653</stp>
        <stp>12/31/2018</stp>
        <tr r="O539" s="1"/>
      </tp>
      <tp>
        <v>3.0180049541439602</v>
        <stp/>
        <stp>EM_S_VAL_PS_TTM</stp>
        <stp>2</stp>
        <stp>600603</stp>
        <stp>12/31/2018</stp>
        <tr r="O1271" s="1"/>
      </tp>
      <tp>
        <v>4.1074420203919102</v>
        <stp/>
        <stp>EM_S_VAL_PS_TTM</stp>
        <stp>2</stp>
        <stp>000662</stp>
        <stp>12/31/2018</stp>
        <tr r="O3497" s="1"/>
      </tp>
      <tp>
        <v>3.49815424186774</v>
        <stp/>
        <stp>EM_S_VAL_PS_TTM</stp>
        <stp>2</stp>
        <stp>300652</stp>
        <stp>12/31/2018</stp>
        <tr r="O2079" s="1"/>
      </tp>
      <tp>
        <v>1.4627401941195799</v>
        <stp/>
        <stp>EM_S_VAL_PS_TTM</stp>
        <stp>2</stp>
        <stp>600602</stp>
        <stp>12/31/2018</stp>
        <tr r="O353" s="1"/>
      </tp>
      <tp>
        <v>5.3213951067390797</v>
        <stp/>
        <stp>EM_S_VAL_PS_TTM</stp>
        <stp>2</stp>
        <stp>000661</stp>
        <stp>12/31/2018</stp>
        <tr r="O85" s="1"/>
      </tp>
      <tp>
        <v>8.3331149139872203</v>
        <stp/>
        <stp>EM_S_VAL_PS_TTM</stp>
        <stp>2</stp>
        <stp>300651</stp>
        <stp>12/31/2018</stp>
        <tr r="O3284" s="1"/>
      </tp>
      <tp>
        <v>1.09138083066206</v>
        <stp/>
        <stp>EM_S_VAL_PS_TTM</stp>
        <stp>2</stp>
        <stp>600601</stp>
        <stp>12/31/2018</stp>
        <tr r="O651" s="1"/>
      </tp>
      <tp>
        <v>0.76636225781593004</v>
        <stp/>
        <stp>EM_S_VAL_PS_TTM</stp>
        <stp>2</stp>
        <stp>000660</stp>
        <stp>12/31/2018</stp>
        <tr r="O3496" s="1"/>
      </tp>
      <tp>
        <v>3.2972591115327301</v>
        <stp/>
        <stp>EM_S_VAL_PS_TTM</stp>
        <stp>2</stp>
        <stp>300650</stp>
        <stp>12/31/2018</stp>
        <tr r="O1066" s="1"/>
      </tp>
      <tp>
        <v>1.77497651761255</v>
        <stp/>
        <stp>EM_S_VAL_PS_TTM</stp>
        <stp>2</stp>
        <stp>600600</stp>
        <stp>12/31/2018</stp>
        <tr r="O615" s="1"/>
      </tp>
      <tp>
        <v>0.88353273975845803</v>
        <stp/>
        <stp>EM_S_VAL_PS_TTM</stp>
        <stp>2</stp>
        <stp>000669</stp>
        <stp>12/31/2018</stp>
        <tr r="O3501" s="1"/>
      </tp>
      <tp>
        <v>8.3341558565649603</v>
        <stp/>
        <stp>EM_S_VAL_PS_TTM</stp>
        <stp>2</stp>
        <stp>300659</stp>
        <stp>12/31/2018</stp>
        <tr r="O39" s="1"/>
      </tp>
      <tp>
        <v>0.56240648052158704</v>
        <stp/>
        <stp>EM_S_VAL_PS_TTM</stp>
        <stp>2</stp>
        <stp>600609</stp>
        <stp>12/31/2018</stp>
        <tr r="O955" s="1"/>
      </tp>
      <tp>
        <v>3.5776500862470599</v>
        <stp/>
        <stp>EM_S_VAL_PS_TTM</stp>
        <stp>2</stp>
        <stp>000668</stp>
        <stp>12/31/2018</stp>
        <tr r="O3500" s="1"/>
      </tp>
      <tp>
        <v>2.3614148801319299</v>
        <stp/>
        <stp>EM_S_VAL_PS_TTM</stp>
        <stp>2</stp>
        <stp>300658</stp>
        <stp>12/31/2018</stp>
        <tr r="O886" s="1"/>
      </tp>
      <tp>
        <v>1.4160974873838399</v>
        <stp/>
        <stp>EM_S_VAL_PS_TTM</stp>
        <stp>2</stp>
        <stp>600608</stp>
        <stp>12/31/2018</stp>
        <tr r="O1802" s="1"/>
      </tp>
      <tp>
        <v>0.61445297075197303</v>
        <stp/>
        <stp>EM_S_VAL_PS_TTM</stp>
        <stp>2</stp>
        <stp>000657</stp>
        <stp>12/31/2018</stp>
        <tr r="O974" s="1"/>
      </tp>
      <tp>
        <v>14.9194339156933</v>
        <stp/>
        <stp>EM_S_VAL_PS_TTM</stp>
        <stp>2</stp>
        <stp>300667</stp>
        <stp>12/31/2018</stp>
        <tr r="O1538" s="1"/>
      </tp>
      <tp>
        <v>2.6349203900596199</v>
        <stp/>
        <stp>EM_S_VAL_PS_TTM</stp>
        <stp>2</stp>
        <stp>600637</stp>
        <stp>12/31/2018</stp>
        <tr r="O2727" s="1"/>
      </tp>
      <tp>
        <v>0.75850649525676594</v>
        <stp/>
        <stp>EM_S_VAL_PS_TTM</stp>
        <stp>2</stp>
        <stp>000656</stp>
        <stp>12/31/2018</stp>
        <tr r="O1182" s="1"/>
      </tp>
      <tp>
        <v>14.3516145317029</v>
        <stp/>
        <stp>EM_S_VAL_PS_TTM</stp>
        <stp>2</stp>
        <stp>300666</stp>
        <stp>12/31/2018</stp>
        <tr r="O2037" s="1"/>
      </tp>
      <tp>
        <v>1.9758667842972699</v>
        <stp/>
        <stp>EM_S_VAL_PS_TTM</stp>
        <stp>2</stp>
        <stp>600636</stp>
        <stp>12/31/2018</stp>
        <tr r="O2618" s="1"/>
      </tp>
      <tp>
        <v>2.1435079149002298</v>
        <stp/>
        <stp>EM_S_VAL_PS_TTM</stp>
        <stp>2</stp>
        <stp>000655</stp>
        <stp>12/31/2018</stp>
        <tr r="O3494" s="1"/>
      </tp>
      <tp>
        <v>3.2459531338085501</v>
        <stp/>
        <stp>EM_S_VAL_PS_TTM</stp>
        <stp>2</stp>
        <stp>300665</stp>
        <stp>12/31/2018</stp>
        <tr r="O1720" s="1"/>
      </tp>
      <tp>
        <v>2.67937459114771</v>
        <stp/>
        <stp>EM_S_VAL_PS_TTM</stp>
        <stp>2</stp>
        <stp>600635</stp>
        <stp>12/31/2018</stp>
        <tr r="O2147" s="1"/>
      </tp>
      <tp>
        <v>7.8784043421319598</v>
        <stp/>
        <stp>EM_S_VAL_PS_TTM</stp>
        <stp>2</stp>
        <stp>300664</stp>
        <stp>12/31/2018</stp>
        <tr r="O1901" s="1"/>
      </tp>
      <tp>
        <v>1.8811867706538901</v>
        <stp/>
        <stp>EM_S_VAL_PS_TTM</stp>
        <stp>2</stp>
        <stp>600634</stp>
        <stp>12/31/2018</stp>
        <tr r="O3293" s="1"/>
      </tp>
      <tp>
        <v>0</v>
        <stp/>
        <stp>EM_S_VAL_PS_TTM</stp>
        <stp>2</stp>
        <stp>000653</stp>
        <stp>12/31/2018</stp>
        <tr r="O3493" s="1"/>
      </tp>
      <tp>
        <v>4.0139659156188197</v>
        <stp/>
        <stp>EM_S_VAL_PS_TTM</stp>
        <stp>2</stp>
        <stp>300663</stp>
        <stp>12/31/2018</stp>
        <tr r="O224" s="1"/>
      </tp>
      <tp>
        <v>5.9479728462269197</v>
        <stp/>
        <stp>EM_S_VAL_PS_TTM</stp>
        <stp>2</stp>
        <stp>600633</stp>
        <stp>12/31/2018</stp>
        <tr r="O1476" s="1"/>
      </tp>
      <tp>
        <v>0.25097063596925201</v>
        <stp/>
        <stp>EM_S_VAL_PS_TTM</stp>
        <stp>2</stp>
        <stp>000652</stp>
        <stp>12/31/2018</stp>
        <tr r="O1224" s="1"/>
      </tp>
      <tp>
        <v>2.7171719294290599</v>
        <stp/>
        <stp>EM_S_VAL_PS_TTM</stp>
        <stp>2</stp>
        <stp>300662</stp>
        <stp>12/31/2018</stp>
        <tr r="O1399" s="1"/>
      </tp>
      <tp>
        <v>0</v>
        <stp/>
        <stp>EM_S_VAL_PS_TTM</stp>
        <stp>2</stp>
        <stp>600632</stp>
        <stp>12/31/2018</stp>
        <tr r="O2310" s="1"/>
      </tp>
      <tp>
        <v>1.14176764818762</v>
        <stp/>
        <stp>EM_S_VAL_PS_TTM</stp>
        <stp>2</stp>
        <stp>000651</stp>
        <stp>12/31/2018</stp>
        <tr r="O229" s="1"/>
      </tp>
      <tp>
        <v>9.1253133920952703</v>
        <stp/>
        <stp>EM_S_VAL_PS_TTM</stp>
        <stp>2</stp>
        <stp>300661</stp>
        <stp>12/31/2018</stp>
        <tr r="O19" s="1"/>
      </tp>
      <tp>
        <v>1.23957537305546</v>
        <stp/>
        <stp>EM_S_VAL_PS_TTM</stp>
        <stp>2</stp>
        <stp>600631</stp>
        <stp>12/31/2018</stp>
        <tr r="O2309" s="1"/>
      </tp>
      <tp>
        <v>1.5198168219649599</v>
        <stp/>
        <stp>EM_S_VAL_PS_TTM</stp>
        <stp>2</stp>
        <stp>000650</stp>
        <stp>12/31/2018</stp>
        <tr r="O1616" s="1"/>
      </tp>
      <tp>
        <v>1.6323545740311001</v>
        <stp/>
        <stp>EM_S_VAL_PS_TTM</stp>
        <stp>2</stp>
        <stp>300660</stp>
        <stp>12/31/2018</stp>
        <tr r="O2965" s="1"/>
      </tp>
      <tp>
        <v>0.653712706131092</v>
        <stp/>
        <stp>EM_S_VAL_PS_TTM</stp>
        <stp>2</stp>
        <stp>600630</stp>
        <stp>12/31/2018</stp>
        <tr r="O2003" s="1"/>
      </tp>
      <tp>
        <v>3.2010169390665499</v>
        <stp/>
        <stp>EM_S_VAL_PS_TTM</stp>
        <stp>2</stp>
        <stp>000659</stp>
        <stp>12/31/2018</stp>
        <tr r="O3261" s="1"/>
      </tp>
      <tp>
        <v>5.7258903760364301</v>
        <stp/>
        <stp>EM_S_VAL_PS_TTM</stp>
        <stp>2</stp>
        <stp>300669</stp>
        <stp>12/31/2018</stp>
        <tr r="O488" s="1"/>
      </tp>
      <tp>
        <v>7.0324979688132201</v>
        <stp/>
        <stp>EM_S_VAL_PS_TTM</stp>
        <stp>2</stp>
        <stp>600639</stp>
        <stp>12/31/2018</stp>
        <tr r="O1287" s="1"/>
      </tp>
      <tp>
        <v>5285.1842334433204</v>
        <stp/>
        <stp>EM_S_VAL_PS_TTM</stp>
        <stp>2</stp>
        <stp>000658</stp>
        <stp>12/31/2018</stp>
        <tr r="O3495" s="1"/>
      </tp>
      <tp>
        <v>6.13950571773728</v>
        <stp/>
        <stp>EM_S_VAL_PS_TTM</stp>
        <stp>2</stp>
        <stp>300668</stp>
        <stp>12/31/2018</stp>
        <tr r="O2582" s="1"/>
      </tp>
      <tp>
        <v>4.63321020646731</v>
        <stp/>
        <stp>EM_S_VAL_PS_TTM</stp>
        <stp>2</stp>
        <stp>600638</stp>
        <stp>12/31/2018</stp>
        <tr r="O3026" s="1"/>
      </tp>
      <tp>
        <v>1.5898469094746699</v>
        <stp/>
        <stp>EM_S_VAL_PS_TTM</stp>
        <stp>2</stp>
        <stp>300677</stp>
        <stp>12/31/2018</stp>
        <tr r="O1528" s="1"/>
      </tp>
      <tp>
        <v>4.7803238553513498</v>
        <stp/>
        <stp>EM_S_VAL_PS_TTM</stp>
        <stp>2</stp>
        <stp>600627</stp>
        <stp>12/31/2018</stp>
        <tr r="O2308" s="1"/>
      </tp>
      <tp>
        <v>9.7474339114728004</v>
        <stp/>
        <stp>EM_S_VAL_PS_TTM</stp>
        <stp>2</stp>
        <stp>300676</stp>
        <stp>12/31/2018</stp>
        <tr r="O1637" s="1"/>
      </tp>
      <tp>
        <v>0.25237922772070798</v>
        <stp/>
        <stp>EM_S_VAL_PS_TTM</stp>
        <stp>2</stp>
        <stp>600626</stp>
        <stp>12/31/2018</stp>
        <tr r="O1387" s="1"/>
      </tp>
      <tp>
        <v>9.1649405894603895</v>
        <stp/>
        <stp>EM_S_VAL_PS_TTM</stp>
        <stp>2</stp>
        <stp>300675</stp>
        <stp>12/31/2018</stp>
        <tr r="O3339" s="1"/>
      </tp>
      <tp>
        <v>43.4800707322485</v>
        <stp/>
        <stp>EM_S_VAL_PS_TTM</stp>
        <stp>2</stp>
        <stp>600625</stp>
        <stp>12/31/2018</stp>
        <tr r="O2307" s="1"/>
      </tp>
      <tp>
        <v>4.4504553731084604</v>
        <stp/>
        <stp>EM_S_VAL_PS_TTM</stp>
        <stp>2</stp>
        <stp>600624</stp>
        <stp>12/31/2018</stp>
        <tr r="O437" s="1"/>
      </tp>
      <tp>
        <v>6.3015547912461098</v>
        <stp/>
        <stp>EM_S_VAL_PS_TTM</stp>
        <stp>2</stp>
        <stp>300673</stp>
        <stp>12/31/2018</stp>
        <tr r="O3263" s="1"/>
      </tp>
      <tp>
        <v>0.415875469792442</v>
        <stp/>
        <stp>EM_S_VAL_PS_TTM</stp>
        <stp>2</stp>
        <stp>600623</stp>
        <stp>12/31/2018</stp>
        <tr r="O3024" s="1"/>
      </tp>
      <tp>
        <v>9.9900671784464503</v>
        <stp/>
        <stp>EM_S_VAL_PS_TTM</stp>
        <stp>2</stp>
        <stp>300672</stp>
        <stp>12/31/2018</stp>
        <tr r="O1657" s="1"/>
      </tp>
      <tp>
        <v>1.41142257775365</v>
        <stp/>
        <stp>EM_S_VAL_PS_TTM</stp>
        <stp>2</stp>
        <stp>600622</stp>
        <stp>12/31/2018</stp>
        <tr r="O3247" s="1"/>
      </tp>
      <tp>
        <v>4.69540507592962</v>
        <stp/>
        <stp>EM_S_VAL_PS_TTM</stp>
        <stp>2</stp>
        <stp>300671</stp>
        <stp>12/31/2018</stp>
        <tr r="O929" s="1"/>
      </tp>
      <tp>
        <v>2.8255148570919202</v>
        <stp/>
        <stp>EM_S_VAL_PS_TTM</stp>
        <stp>2</stp>
        <stp>600621</stp>
        <stp>12/31/2018</stp>
        <tr r="O302" s="1"/>
      </tp>
      <tp>
        <v>9.1154969449895091</v>
        <stp/>
        <stp>EM_S_VAL_PS_TTM</stp>
        <stp>2</stp>
        <stp>300670</stp>
        <stp>12/31/2018</stp>
        <tr r="O3362" s="1"/>
      </tp>
      <tp>
        <v>75.645885152874897</v>
        <stp/>
        <stp>EM_S_VAL_PS_TTM</stp>
        <stp>2</stp>
        <stp>600620</stp>
        <stp>12/31/2018</stp>
        <tr r="O1374" s="1"/>
      </tp>
      <tp>
        <v>4.48299526279611</v>
        <stp/>
        <stp>EM_S_VAL_PS_TTM</stp>
        <stp>2</stp>
        <stp>300679</stp>
        <stp>12/31/2018</stp>
        <tr r="O739" s="1"/>
      </tp>
      <tp>
        <v>0.80199259951996005</v>
        <stp/>
        <stp>EM_S_VAL_PS_TTM</stp>
        <stp>2</stp>
        <stp>600629</stp>
        <stp>12/31/2018</stp>
        <tr r="O3119" s="1"/>
      </tp>
      <tp>
        <v>10.738760872467299</v>
        <stp/>
        <stp>EM_S_VAL_PS_TTM</stp>
        <stp>2</stp>
        <stp>300678</stp>
        <stp>12/31/2018</stp>
        <tr r="O1418" s="1"/>
      </tp>
      <tp>
        <v>1.44374750678986</v>
        <stp/>
        <stp>EM_S_VAL_PS_TTM</stp>
        <stp>2</stp>
        <stp>600628</stp>
        <stp>12/31/2018</stp>
        <tr r="O603" s="1"/>
      </tp>
      <tp>
        <v>4.2222518961638196</v>
        <stp/>
        <stp>EM_S_VAL_PS_TTM</stp>
        <stp>2</stp>
        <stp>300587</stp>
        <stp>12/31/2018</stp>
        <tr r="O2762" s="1"/>
      </tp>
      <tp>
        <v>4.4454887478154799</v>
        <stp/>
        <stp>EM_S_VAL_PS_TTM</stp>
        <stp>2</stp>
        <stp>300586</stp>
        <stp>12/31/2018</stp>
        <tr r="O117" s="1"/>
      </tp>
      <tp>
        <v>4.0331283145838199</v>
        <stp/>
        <stp>EM_S_VAL_PS_TTM</stp>
        <stp>2</stp>
        <stp>300585</stp>
        <stp>12/31/2018</stp>
        <tr r="O290" s="1"/>
      </tp>
      <tp>
        <v>4.2669006129517904</v>
        <stp/>
        <stp>EM_S_VAL_PS_TTM</stp>
        <stp>2</stp>
        <stp>300584</stp>
        <stp>12/31/2018</stp>
        <tr r="O1602" s="1"/>
      </tp>
      <tp>
        <v>3.1695517481757198</v>
        <stp/>
        <stp>EM_S_VAL_PS_TTM</stp>
        <stp>2</stp>
        <stp>300583</stp>
        <stp>12/31/2018</stp>
        <tr r="O2080" s="1"/>
      </tp>
      <tp>
        <v>2.1677762509299798</v>
        <stp/>
        <stp>EM_S_VAL_PS_TTM</stp>
        <stp>2</stp>
        <stp>300582</stp>
        <stp>12/31/2018</stp>
        <tr r="O1308" s="1"/>
      </tp>
      <tp>
        <v>14.1181378979649</v>
        <stp/>
        <stp>EM_S_VAL_PS_TTM</stp>
        <stp>2</stp>
        <stp>300581</stp>
        <stp>12/31/2018</stp>
        <tr r="O989" s="1"/>
      </tp>
      <tp>
        <v>3.6291574683591401</v>
        <stp/>
        <stp>EM_S_VAL_PS_TTM</stp>
        <stp>2</stp>
        <stp>300580</stp>
        <stp>12/31/2018</stp>
        <tr r="O1402" s="1"/>
      </tp>
      <tp>
        <v>5.3231258780505097</v>
        <stp/>
        <stp>EM_S_VAL_PS_TTM</stp>
        <stp>2</stp>
        <stp>300589</stp>
        <stp>12/31/2018</stp>
        <tr r="O1439" s="1"/>
      </tp>
      <tp>
        <v>2.1277834487326199</v>
        <stp/>
        <stp>EM_S_VAL_PS_TTM</stp>
        <stp>2</stp>
        <stp>300588</stp>
        <stp>12/31/2018</stp>
        <tr r="O2696" s="1"/>
      </tp>
      <tp>
        <v>8.1165594035652493</v>
        <stp/>
        <stp>EM_S_VAL_PS_TTM</stp>
        <stp>2</stp>
        <stp>300597</stp>
        <stp>12/31/2018</stp>
        <tr r="O3046" s="1"/>
      </tp>
      <tp>
        <v>3.9818015892302001</v>
        <stp/>
        <stp>EM_S_VAL_PS_TTM</stp>
        <stp>2</stp>
        <stp>300596</stp>
        <stp>12/31/2018</stp>
        <tr r="O1350" s="1"/>
      </tp>
      <tp>
        <v>20.724884033992499</v>
        <stp/>
        <stp>EM_S_VAL_PS_TTM</stp>
        <stp>2</stp>
        <stp>300595</stp>
        <stp>12/31/2018</stp>
        <tr r="O1286" s="1"/>
      </tp>
      <tp>
        <v>4.7037187400141098</v>
        <stp/>
        <stp>EM_S_VAL_PS_TTM</stp>
        <stp>2</stp>
        <stp>300593</stp>
        <stp>12/31/2018</stp>
        <tr r="O1675" s="1"/>
      </tp>
      <tp>
        <v>2.2042904322086301</v>
        <stp/>
        <stp>EM_S_VAL_PS_TTM</stp>
        <stp>2</stp>
        <stp>300592</stp>
        <stp>12/31/2018</stp>
        <tr r="O1026" s="1"/>
      </tp>
      <tp>
        <v>2.6896692213222702</v>
        <stp/>
        <stp>EM_S_VAL_PS_TTM</stp>
        <stp>2</stp>
        <stp>300591</stp>
        <stp>12/31/2018</stp>
        <tr r="O2386" s="1"/>
      </tp>
      <tp>
        <v>8.7923477004169701</v>
        <stp/>
        <stp>EM_S_VAL_PS_TTM</stp>
        <stp>2</stp>
        <stp>300590</stp>
        <stp>12/31/2018</stp>
        <tr r="O609" s="1"/>
      </tp>
      <tp>
        <v>1.71778481886107</v>
        <stp/>
        <stp>EM_S_VAL_PS_TTM</stp>
        <stp>2</stp>
        <stp>300599</stp>
        <stp>12/31/2018</stp>
        <tr r="O2093" s="1"/>
      </tp>
      <tp>
        <v>3.4790013501039398</v>
        <stp/>
        <stp>EM_S_VAL_PS_TTM</stp>
        <stp>2</stp>
        <stp>300598</stp>
        <stp>12/31/2018</stp>
        <tr r="O16" s="1"/>
      </tp>
      <tp>
        <v>0.81481211747030002</v>
        <stp/>
        <stp>EM_S_VAL_PS_TTM</stp>
        <stp>2</stp>
        <stp>000597</stp>
        <stp>12/31/2018</stp>
        <tr r="O3256" s="1"/>
      </tp>
      <tp>
        <v>3.2401491382510201</v>
        <stp/>
        <stp>EM_S_VAL_PS_TTM</stp>
        <stp>2</stp>
        <stp>000596</stp>
        <stp>12/31/2018</stp>
        <tr r="O77" s="1"/>
      </tp>
      <tp>
        <v>4.1515927221125004</v>
        <stp/>
        <stp>EM_S_VAL_PS_TTM</stp>
        <stp>2</stp>
        <stp>000595</stp>
        <stp>12/31/2018</stp>
        <tr r="O3475" s="1"/>
      </tp>
      <tp>
        <v>230.17110198837199</v>
        <stp/>
        <stp>EM_S_VAL_PS_TTM</stp>
        <stp>2</stp>
        <stp>000594</stp>
        <stp>12/31/2018</stp>
        <tr r="O3474" s="1"/>
      </tp>
      <tp>
        <v>3.7336843527080799</v>
        <stp/>
        <stp>EM_S_VAL_PS_TTM</stp>
        <stp>2</stp>
        <stp>000593</stp>
        <stp>12/31/2018</stp>
        <tr r="O3473" s="1"/>
      </tp>
      <tp>
        <v>5.0478281532443603</v>
        <stp/>
        <stp>EM_S_VAL_PS_TTM</stp>
        <stp>2</stp>
        <stp>000592</stp>
        <stp>12/31/2018</stp>
        <tr r="O1951" s="1"/>
      </tp>
      <tp>
        <v>2.0004090855276599</v>
        <stp/>
        <stp>EM_S_VAL_PS_TTM</stp>
        <stp>2</stp>
        <stp>000591</stp>
        <stp>12/31/2018</stp>
        <tr r="O1170" s="1"/>
      </tp>
      <tp>
        <v>7.1827101745439297</v>
        <stp/>
        <stp>EM_S_VAL_PS_TTM</stp>
        <stp>2</stp>
        <stp>000590</stp>
        <stp>12/31/2018</stp>
        <tr r="O3472" s="1"/>
      </tp>
      <tp>
        <v>0.79987821404385795</v>
        <stp/>
        <stp>EM_S_VAL_PS_TTM</stp>
        <stp>2</stp>
        <stp>000599</stp>
        <stp>12/31/2018</stp>
        <tr r="O3476" s="1"/>
      </tp>
      <tp>
        <v>2.9987427462278</v>
        <stp/>
        <stp>EM_S_VAL_PS_TTM</stp>
        <stp>2</stp>
        <stp>000598</stp>
        <stp>12/31/2018</stp>
        <tr r="O1507" s="1"/>
      </tp>
      <tp>
        <v>0.33475688078184701</v>
        <stp/>
        <stp>EM_S_VAL_PS_TTM</stp>
        <stp>2</stp>
        <stp>000587</stp>
        <stp>12/31/2018</stp>
        <tr r="O3469" s="1"/>
      </tp>
      <tp>
        <v>6.3575460134177799</v>
        <stp/>
        <stp>EM_S_VAL_PS_TTM</stp>
        <stp>2</stp>
        <stp>000586</stp>
        <stp>12/31/2018</stp>
        <tr r="O3468" s="1"/>
      </tp>
      <tp>
        <v>55.397288901103899</v>
        <stp/>
        <stp>EM_S_VAL_PS_TTM</stp>
        <stp>2</stp>
        <stp>000585</stp>
        <stp>12/31/2018</stp>
        <tr r="O3467" s="1"/>
      </tp>
      <tp>
        <v>1.58020485182002</v>
        <stp/>
        <stp>EM_S_VAL_PS_TTM</stp>
        <stp>2</stp>
        <stp>000584</stp>
        <stp>12/31/2018</stp>
        <tr r="O2403" s="1"/>
      </tp>
      <tp>
        <v>0</v>
        <stp/>
        <stp>EM_S_VAL_PS_TTM</stp>
        <stp>2</stp>
        <stp>000583</stp>
        <stp>12/31/2018</stp>
        <tr r="O3466" s="1"/>
      </tp>
      <tp>
        <v>3.0994354156153698</v>
        <stp/>
        <stp>EM_S_VAL_PS_TTM</stp>
        <stp>2</stp>
        <stp>000582</stp>
        <stp>12/31/2018</stp>
        <tr r="O1167" s="1"/>
      </tp>
      <tp>
        <v>1.9126567192339099</v>
        <stp/>
        <stp>EM_S_VAL_PS_TTM</stp>
        <stp>2</stp>
        <stp>000581</stp>
        <stp>12/31/2018</stp>
        <tr r="O3465" s="1"/>
      </tp>
      <tp>
        <v>0.36622524985358901</v>
        <stp/>
        <stp>EM_S_VAL_PS_TTM</stp>
        <stp>2</stp>
        <stp>000589</stp>
        <stp>12/31/2018</stp>
        <tr r="O3471" s="1"/>
      </tp>
      <tp>
        <v>11.745106400150901</v>
        <stp/>
        <stp>EM_S_VAL_PS_TTM</stp>
        <stp>2</stp>
        <stp>000588</stp>
        <stp>12/31/2018</stp>
        <tr r="O3470" s="1"/>
      </tp>
      <tp>
        <v>0.49382581101491702</v>
        <stp/>
        <stp>EM_S_VAL_PS_TTM</stp>
        <stp>2</stp>
        <stp>600597</stp>
        <stp>12/31/2018</stp>
        <tr r="O587" s="1"/>
      </tp>
      <tp>
        <v>0.71681633457167704</v>
        <stp/>
        <stp>EM_S_VAL_PS_TTM</stp>
        <stp>2</stp>
        <stp>600596</stp>
        <stp>12/31/2018</stp>
        <tr r="O2764" s="1"/>
      </tp>
      <tp>
        <v>0.281755693393827</v>
        <stp/>
        <stp>EM_S_VAL_PS_TTM</stp>
        <stp>2</stp>
        <stp>600595</stp>
        <stp>12/31/2018</stp>
        <tr r="O1620" s="1"/>
      </tp>
      <tp>
        <v>1.1370184121517199</v>
        <stp/>
        <stp>EM_S_VAL_PS_TTM</stp>
        <stp>2</stp>
        <stp>600594</stp>
        <stp>12/31/2018</stp>
        <tr r="O2856" s="1"/>
      </tp>
      <tp>
        <v>9.7730631911970498</v>
        <stp/>
        <stp>EM_S_VAL_PS_TTM</stp>
        <stp>2</stp>
        <stp>600593</stp>
        <stp>12/31/2018</stp>
        <tr r="O387" s="1"/>
      </tp>
      <tp>
        <v>2.0787118763332599</v>
        <stp/>
        <stp>EM_S_VAL_PS_TTM</stp>
        <stp>2</stp>
        <stp>600592</stp>
        <stp>12/31/2018</stp>
        <tr r="O53" s="1"/>
      </tp>
      <tp>
        <v>0.77290253978305501</v>
        <stp/>
        <stp>EM_S_VAL_PS_TTM</stp>
        <stp>2</stp>
        <stp>600591</stp>
        <stp>12/31/2018</stp>
        <tr r="O2305" s="1"/>
      </tp>
      <tp>
        <v>0.764485269733719</v>
        <stp/>
        <stp>EM_S_VAL_PS_TTM</stp>
        <stp>2</stp>
        <stp>600590</stp>
        <stp>12/31/2018</stp>
        <tr r="O1835" s="1"/>
      </tp>
      <tp>
        <v>5.5328811057679799</v>
        <stp/>
        <stp>EM_S_VAL_PS_TTM</stp>
        <stp>2</stp>
        <stp>600599</stp>
        <stp>12/31/2018</stp>
        <tr r="O2128" s="1"/>
      </tp>
      <tp>
        <v>4.5874792702989797</v>
        <stp/>
        <stp>EM_S_VAL_PS_TTM</stp>
        <stp>2</stp>
        <stp>600598</stp>
        <stp>12/31/2018</stp>
        <tr r="O1569" s="1"/>
      </tp>
      <tp>
        <v>0.52325421920995197</v>
        <stp/>
        <stp>EM_S_VAL_PS_TTM</stp>
        <stp>2</stp>
        <stp>600587</stp>
        <stp>12/31/2018</stp>
        <tr r="O1818" s="1"/>
      </tp>
      <tp>
        <v>0.81149575115929495</v>
        <stp/>
        <stp>EM_S_VAL_PS_TTM</stp>
        <stp>2</stp>
        <stp>600586</stp>
        <stp>12/31/2018</stp>
        <tr r="O2118" s="1"/>
      </tp>
      <tp>
        <v>1.5055034714307001</v>
        <stp/>
        <stp>EM_S_VAL_PS_TTM</stp>
        <stp>2</stp>
        <stp>600585</stp>
        <stp>12/31/2018</stp>
        <tr r="O248" s="1"/>
      </tp>
      <tp>
        <v>0.52660021539934299</v>
        <stp/>
        <stp>EM_S_VAL_PS_TTM</stp>
        <stp>2</stp>
        <stp>600584</stp>
        <stp>12/31/2018</stp>
        <tr r="O62" s="1"/>
      </tp>
      <tp>
        <v>2.1544830075468102</v>
        <stp/>
        <stp>EM_S_VAL_PS_TTM</stp>
        <stp>2</stp>
        <stp>600583</stp>
        <stp>12/31/2018</stp>
        <tr r="O616" s="1"/>
      </tp>
      <tp>
        <v>0.74894946475589297</v>
        <stp/>
        <stp>EM_S_VAL_PS_TTM</stp>
        <stp>2</stp>
        <stp>600582</stp>
        <stp>12/31/2018</stp>
        <tr r="O2641" s="1"/>
      </tp>
      <tp>
        <v>0.27895979197181298</v>
        <stp/>
        <stp>EM_S_VAL_PS_TTM</stp>
        <stp>2</stp>
        <stp>600581</stp>
        <stp>12/31/2018</stp>
        <tr r="O2480" s="1"/>
      </tp>
      <tp>
        <v>0.760507368301369</v>
        <stp/>
        <stp>EM_S_VAL_PS_TTM</stp>
        <stp>2</stp>
        <stp>600580</stp>
        <stp>12/31/2018</stp>
        <tr r="O186" s="1"/>
      </tp>
      <tp>
        <v>1.6165197071770601</v>
        <stp/>
        <stp>EM_S_VAL_PS_TTM</stp>
        <stp>2</stp>
        <stp>600589</stp>
        <stp>12/31/2018</stp>
        <tr r="O818" s="1"/>
      </tp>
      <tp>
        <v>5.3583186559651903</v>
        <stp/>
        <stp>EM_S_VAL_PS_TTM</stp>
        <stp>2</stp>
        <stp>600588</stp>
        <stp>12/31/2018</stp>
        <tr r="O868" s="1"/>
      </tp>
      <tp>
        <v>0.52739380872187702</v>
        <stp/>
        <stp>EM_S_VAL_PS_TTM</stp>
        <stp>2</stp>
        <stp>000537</stp>
        <stp>12/31/2018</stp>
        <tr r="O2013" s="1"/>
      </tp>
      <tp>
        <v>3.3191036269110898</v>
        <stp/>
        <stp>EM_S_VAL_PS_TTM</stp>
        <stp>2</stp>
        <stp>300507</stp>
        <stp>12/31/2018</stp>
        <tr r="O3002" s="1"/>
      </tp>
      <tp>
        <v>1.75178365035718</v>
        <stp/>
        <stp>EM_S_VAL_PS_TTM</stp>
        <stp>2</stp>
        <stp>600557</stp>
        <stp>12/31/2018</stp>
        <tr r="O737" s="1"/>
      </tp>
      <tp>
        <v>1.0181389436263999</v>
        <stp/>
        <stp>EM_S_VAL_PS_TTM</stp>
        <stp>2</stp>
        <stp>000536</stp>
        <stp>12/31/2018</stp>
        <tr r="O3447" s="1"/>
      </tp>
      <tp>
        <v>3.9944746035729199</v>
        <stp/>
        <stp>EM_S_VAL_PS_TTM</stp>
        <stp>2</stp>
        <stp>300506</stp>
        <stp>12/31/2018</stp>
        <tr r="O3320" s="1"/>
      </tp>
      <tp>
        <v>31.589472779121401</v>
        <stp/>
        <stp>EM_S_VAL_PS_TTM</stp>
        <stp>2</stp>
        <stp>600556</stp>
        <stp>12/31/2018</stp>
        <tr r="O210" s="1"/>
      </tp>
      <tp>
        <v>2.1691577718089499</v>
        <stp/>
        <stp>EM_S_VAL_PS_TTM</stp>
        <stp>2</stp>
        <stp>000535</stp>
        <stp>12/31/2018</stp>
        <tr r="O3446" s="1"/>
      </tp>
      <tp>
        <v>2.3211349636245</v>
        <stp/>
        <stp>EM_S_VAL_PS_TTM</stp>
        <stp>2</stp>
        <stp>300505</stp>
        <stp>12/31/2018</stp>
        <tr r="O2103" s="1"/>
      </tp>
      <tp>
        <v>446.36160078019998</v>
        <stp/>
        <stp>EM_S_VAL_PS_TTM</stp>
        <stp>2</stp>
        <stp>600555</stp>
        <stp>12/31/2018</stp>
        <tr r="O3045" s="1"/>
      </tp>
      <tp>
        <v>97.581771710750701</v>
        <stp/>
        <stp>EM_S_VAL_PS_TTM</stp>
        <stp>2</stp>
        <stp>000534</stp>
        <stp>12/31/2018</stp>
        <tr r="O2858" s="1"/>
      </tp>
      <tp>
        <v>2.4866238794434201</v>
        <stp/>
        <stp>EM_S_VAL_PS_TTM</stp>
        <stp>2</stp>
        <stp>300504</stp>
        <stp>12/31/2018</stp>
        <tr r="O2863" s="1"/>
      </tp>
      <tp>
        <v>0.13833482523368401</v>
        <stp/>
        <stp>EM_S_VAL_PS_TTM</stp>
        <stp>2</stp>
        <stp>000533</stp>
        <stp>12/31/2018</stp>
        <tr r="O3445" s="1"/>
      </tp>
      <tp>
        <v>4.8934521586098398</v>
        <stp/>
        <stp>EM_S_VAL_PS_TTM</stp>
        <stp>2</stp>
        <stp>300503</stp>
        <stp>12/31/2018</stp>
        <tr r="O978" s="1"/>
      </tp>
      <tp>
        <v>2.0240833241872598</v>
        <stp/>
        <stp>EM_S_VAL_PS_TTM</stp>
        <stp>2</stp>
        <stp>600553</stp>
        <stp>12/31/2018</stp>
        <tr r="O2304" s="1"/>
      </tp>
      <tp>
        <v>6.7974789514092899</v>
        <stp/>
        <stp>EM_S_VAL_PS_TTM</stp>
        <stp>2</stp>
        <stp>000532</stp>
        <stp>12/31/2018</stp>
        <tr r="O1180" s="1"/>
      </tp>
      <tp>
        <v>6.2492125314614198</v>
        <stp/>
        <stp>EM_S_VAL_PS_TTM</stp>
        <stp>2</stp>
        <stp>300502</stp>
        <stp>12/31/2018</stp>
        <tr r="O171" s="1"/>
      </tp>
      <tp>
        <v>0.91227974539699697</v>
        <stp/>
        <stp>EM_S_VAL_PS_TTM</stp>
        <stp>2</stp>
        <stp>600552</stp>
        <stp>12/31/2018</stp>
        <tr r="O420" s="1"/>
      </tp>
      <tp>
        <v>1.1124332528679399</v>
        <stp/>
        <stp>EM_S_VAL_PS_TTM</stp>
        <stp>2</stp>
        <stp>000531</stp>
        <stp>12/31/2018</stp>
        <tr r="O806" s="1"/>
      </tp>
      <tp>
        <v>3.63491114703054</v>
        <stp/>
        <stp>EM_S_VAL_PS_TTM</stp>
        <stp>2</stp>
        <stp>300501</stp>
        <stp>12/31/2018</stp>
        <tr r="O3206" s="1"/>
      </tp>
      <tp>
        <v>0.70513679379781902</v>
        <stp/>
        <stp>EM_S_VAL_PS_TTM</stp>
        <stp>2</stp>
        <stp>600551</stp>
        <stp>12/31/2018</stp>
        <tr r="O2574" s="1"/>
      </tp>
      <tp>
        <v>1.33098651329341</v>
        <stp/>
        <stp>EM_S_VAL_PS_TTM</stp>
        <stp>2</stp>
        <stp>000530</stp>
        <stp>12/31/2018</stp>
        <tr r="O3444" s="1"/>
      </tp>
      <tp>
        <v>3.7549681653034002</v>
        <stp/>
        <stp>EM_S_VAL_PS_TTM</stp>
        <stp>2</stp>
        <stp>300500</stp>
        <stp>12/31/2018</stp>
        <tr r="O3235" s="1"/>
      </tp>
      <tp>
        <v>1.66248998207257</v>
        <stp/>
        <stp>EM_S_VAL_PS_TTM</stp>
        <stp>2</stp>
        <stp>600550</stp>
        <stp>12/31/2018</stp>
        <tr r="O2983" s="1"/>
      </tp>
      <tp>
        <v>0.87861333554057197</v>
        <stp/>
        <stp>EM_S_VAL_PS_TTM</stp>
        <stp>2</stp>
        <stp>000539</stp>
        <stp>12/31/2018</stp>
        <tr r="O2832" s="1"/>
      </tp>
      <tp>
        <v>3.6121218679087499</v>
        <stp/>
        <stp>EM_S_VAL_PS_TTM</stp>
        <stp>2</stp>
        <stp>300509</stp>
        <stp>12/31/2018</stp>
        <tr r="O3148" s="1"/>
      </tp>
      <tp>
        <v>2.54338779202376</v>
        <stp/>
        <stp>EM_S_VAL_PS_TTM</stp>
        <stp>2</stp>
        <stp>600559</stp>
        <stp>12/31/2018</stp>
        <tr r="O2704" s="1"/>
      </tp>
      <tp>
        <v>2.9589123176041299</v>
        <stp/>
        <stp>EM_S_VAL_PS_TTM</stp>
        <stp>2</stp>
        <stp>000538</stp>
        <stp>12/31/2018</stp>
        <tr r="O1317" s="1"/>
      </tp>
      <tp>
        <v>10.148166555445</v>
        <stp/>
        <stp>EM_S_VAL_PS_TTM</stp>
        <stp>2</stp>
        <stp>300508</stp>
        <stp>12/31/2018</stp>
        <tr r="O1385" s="1"/>
      </tp>
      <tp>
        <v>1.1328796516389601</v>
        <stp/>
        <stp>EM_S_VAL_PS_TTM</stp>
        <stp>2</stp>
        <stp>600558</stp>
        <stp>12/31/2018</stp>
        <tr r="O2115" s="1"/>
      </tp>
      <tp>
        <v>0.62955478185324498</v>
        <stp/>
        <stp>EM_S_VAL_PS_TTM</stp>
        <stp>2</stp>
        <stp>000527</stp>
        <stp>12/31/2018</stp>
        <tr r="O3443" s="1"/>
      </tp>
      <tp>
        <v>3.0785603357223401</v>
        <stp/>
        <stp>EM_S_VAL_PS_TTM</stp>
        <stp>2</stp>
        <stp>300517</stp>
        <stp>12/31/2018</stp>
        <tr r="O1512" s="1"/>
      </tp>
      <tp>
        <v>1.34490558028205</v>
        <stp/>
        <stp>EM_S_VAL_PS_TTM</stp>
        <stp>2</stp>
        <stp>600547</stp>
        <stp>12/31/2018</stp>
        <tr r="O1942" s="1"/>
      </tp>
      <tp>
        <v>0.61096923620237298</v>
        <stp/>
        <stp>EM_S_VAL_PS_TTM</stp>
        <stp>2</stp>
        <stp>000526</stp>
        <stp>12/31/2018</stp>
        <tr r="O325" s="1"/>
      </tp>
      <tp>
        <v>7.5746020012010202</v>
        <stp/>
        <stp>EM_S_VAL_PS_TTM</stp>
        <stp>2</stp>
        <stp>300516</stp>
        <stp>12/31/2018</stp>
        <tr r="O1820" s="1"/>
      </tp>
      <tp>
        <v>0.169981882050387</v>
        <stp/>
        <stp>EM_S_VAL_PS_TTM</stp>
        <stp>2</stp>
        <stp>600546</stp>
        <stp>12/31/2018</stp>
        <tr r="O191" s="1"/>
      </tp>
      <tp>
        <v>1.5003239602318399</v>
        <stp/>
        <stp>EM_S_VAL_PS_TTM</stp>
        <stp>2</stp>
        <stp>000525</stp>
        <stp>12/31/2018</stp>
        <tr r="O3231" s="1"/>
      </tp>
      <tp>
        <v>7.1940227170134596</v>
        <stp/>
        <stp>EM_S_VAL_PS_TTM</stp>
        <stp>2</stp>
        <stp>300515</stp>
        <stp>12/31/2018</stp>
        <tr r="O1615" s="1"/>
      </tp>
      <tp>
        <v>1.50354393330063</v>
        <stp/>
        <stp>EM_S_VAL_PS_TTM</stp>
        <stp>2</stp>
        <stp>600545</stp>
        <stp>12/31/2018</stp>
        <tr r="O3035" s="1"/>
      </tp>
      <tp>
        <v>0.67356083928388299</v>
        <stp/>
        <stp>EM_S_VAL_PS_TTM</stp>
        <stp>2</stp>
        <stp>000524</stp>
        <stp>12/31/2018</stp>
        <tr r="O1832" s="1"/>
      </tp>
      <tp>
        <v>3.7226435127436699</v>
        <stp/>
        <stp>EM_S_VAL_PS_TTM</stp>
        <stp>2</stp>
        <stp>300514</stp>
        <stp>12/31/2018</stp>
        <tr r="O2250" s="1"/>
      </tp>
      <tp>
        <v>0.20087184821843301</v>
        <stp/>
        <stp>EM_S_VAL_PS_TTM</stp>
        <stp>2</stp>
        <stp>000523</stp>
        <stp>12/31/2018</stp>
        <tr r="O204" s="1"/>
      </tp>
      <tp>
        <v>4.4487105743971496</v>
        <stp/>
        <stp>EM_S_VAL_PS_TTM</stp>
        <stp>2</stp>
        <stp>300513</stp>
        <stp>12/31/2018</stp>
        <tr r="O3312" s="1"/>
      </tp>
      <tp>
        <v>9.7995154838042904</v>
        <stp/>
        <stp>EM_S_VAL_PS_TTM</stp>
        <stp>2</stp>
        <stp>600543</stp>
        <stp>12/31/2018</stp>
        <tr r="O2825" s="1"/>
      </tp>
      <tp>
        <v>2.53200783717825</v>
        <stp/>
        <stp>EM_S_VAL_PS_TTM</stp>
        <stp>2</stp>
        <stp>000522</stp>
        <stp>12/31/2018</stp>
        <tr r="O3442" s="1"/>
      </tp>
      <tp>
        <v>4.6408351842714799</v>
        <stp/>
        <stp>EM_S_VAL_PS_TTM</stp>
        <stp>2</stp>
        <stp>300512</stp>
        <stp>12/31/2018</stp>
        <tr r="O2554" s="1"/>
      </tp>
      <tp>
        <v>0.18331800350786601</v>
        <stp/>
        <stp>EM_S_VAL_PS_TTM</stp>
        <stp>2</stp>
        <stp>000521</stp>
        <stp>12/31/2018</stp>
        <tr r="O1492" s="1"/>
      </tp>
      <tp>
        <v>1.4085196086074101</v>
        <stp/>
        <stp>EM_S_VAL_PS_TTM</stp>
        <stp>2</stp>
        <stp>300511</stp>
        <stp>12/31/2018</stp>
        <tr r="O1595" s="1"/>
      </tp>
      <tp>
        <v>3.3138376551661302</v>
        <stp/>
        <stp>EM_S_VAL_PS_TTM</stp>
        <stp>2</stp>
        <stp>000520</stp>
        <stp>12/31/2018</stp>
        <tr r="O641" s="1"/>
      </tp>
      <tp>
        <v>4.42346764329693</v>
        <stp/>
        <stp>EM_S_VAL_PS_TTM</stp>
        <stp>2</stp>
        <stp>300510</stp>
        <stp>12/31/2018</stp>
        <tr r="O3188" s="1"/>
      </tp>
      <tp>
        <v>2.5522482427096902</v>
        <stp/>
        <stp>EM_S_VAL_PS_TTM</stp>
        <stp>2</stp>
        <stp>600540</stp>
        <stp>12/31/2018</stp>
        <tr r="O1667" s="1"/>
      </tp>
      <tp>
        <v>1.0776760005883399</v>
        <stp/>
        <stp>EM_S_VAL_PS_TTM</stp>
        <stp>2</stp>
        <stp>000529</stp>
        <stp>12/31/2018</stp>
        <tr r="O546" s="1"/>
      </tp>
      <tp>
        <v>7.5759531694005098</v>
        <stp/>
        <stp>EM_S_VAL_PS_TTM</stp>
        <stp>2</stp>
        <stp>300519</stp>
        <stp>12/31/2018</stp>
        <tr r="O2466" s="1"/>
      </tp>
      <tp>
        <v>0.93880515948604604</v>
        <stp/>
        <stp>EM_S_VAL_PS_TTM</stp>
        <stp>2</stp>
        <stp>600549</stp>
        <stp>12/31/2018</stp>
        <tr r="O1788" s="1"/>
      </tp>
      <tp>
        <v>0.55408655184598099</v>
        <stp/>
        <stp>EM_S_VAL_PS_TTM</stp>
        <stp>2</stp>
        <stp>000528</stp>
        <stp>12/31/2018</stp>
        <tr r="O1542" s="1"/>
      </tp>
      <tp>
        <v>5.6027441087790004</v>
        <stp/>
        <stp>EM_S_VAL_PS_TTM</stp>
        <stp>2</stp>
        <stp>300518</stp>
        <stp>12/31/2018</stp>
        <tr r="O1346" s="1"/>
      </tp>
      <tp>
        <v>3.67899023012545</v>
        <stp/>
        <stp>EM_S_VAL_PS_TTM</stp>
        <stp>2</stp>
        <stp>600548</stp>
        <stp>12/31/2018</stp>
        <tr r="O1053" s="1"/>
      </tp>
      <tp>
        <v>2.7250491449784202</v>
        <stp/>
        <stp>EM_S_VAL_PS_TTM</stp>
        <stp>2</stp>
        <stp>000517</stp>
        <stp>12/31/2018</stp>
        <tr r="O3440" s="1"/>
      </tp>
      <tp>
        <v>2.6887593094936202</v>
        <stp/>
        <stp>EM_S_VAL_PS_TTM</stp>
        <stp>2</stp>
        <stp>300527</stp>
        <stp>12/31/2018</stp>
        <tr r="O365" s="1"/>
      </tp>
      <tp>
        <v>0.46775963149715799</v>
        <stp/>
        <stp>EM_S_VAL_PS_TTM</stp>
        <stp>2</stp>
        <stp>600577</stp>
        <stp>12/31/2018</stp>
        <tr r="O2701" s="1"/>
      </tp>
      <tp>
        <v>3.2820390945695599</v>
        <stp/>
        <stp>EM_S_VAL_PS_TTM</stp>
        <stp>2</stp>
        <stp>000516</stp>
        <stp>12/31/2018</stp>
        <tr r="O3439" s="1"/>
      </tp>
      <tp>
        <v>4.7780006485424202</v>
        <stp/>
        <stp>EM_S_VAL_PS_TTM</stp>
        <stp>2</stp>
        <stp>300526</stp>
        <stp>12/31/2018</stp>
        <tr r="O21" s="1"/>
      </tp>
      <tp>
        <v>3.87752302195545</v>
        <stp/>
        <stp>EM_S_VAL_PS_TTM</stp>
        <stp>2</stp>
        <stp>600576</stp>
        <stp>12/31/2018</stp>
        <tr r="O1411" s="1"/>
      </tp>
      <tp>
        <v>4.2328614911479097</v>
        <stp/>
        <stp>EM_S_VAL_PS_TTM</stp>
        <stp>2</stp>
        <stp>000515</stp>
        <stp>12/31/2018</stp>
        <tr r="O3438" s="1"/>
      </tp>
      <tp>
        <v>7.5981085906230499</v>
        <stp/>
        <stp>EM_S_VAL_PS_TTM</stp>
        <stp>2</stp>
        <stp>300525</stp>
        <stp>12/31/2018</stp>
        <tr r="O381" s="1"/>
      </tp>
      <tp>
        <v>0.78081260390992502</v>
        <stp/>
        <stp>EM_S_VAL_PS_TTM</stp>
        <stp>2</stp>
        <stp>600575</stp>
        <stp>12/31/2018</stp>
        <tr r="O1229" s="1"/>
      </tp>
      <tp>
        <v>4.4399944066881103</v>
        <stp/>
        <stp>EM_S_VAL_PS_TTM</stp>
        <stp>2</stp>
        <stp>000514</stp>
        <stp>12/31/2018</stp>
        <tr r="O3437" s="1"/>
      </tp>
      <tp>
        <v>2.0432503627632399</v>
        <stp/>
        <stp>EM_S_VAL_PS_TTM</stp>
        <stp>2</stp>
        <stp>000513</stp>
        <stp>12/31/2018</stp>
        <tr r="O913" s="1"/>
      </tp>
      <tp>
        <v>9.6646325909400002</v>
        <stp/>
        <stp>EM_S_VAL_PS_TTM</stp>
        <stp>2</stp>
        <stp>300523</stp>
        <stp>12/31/2018</stp>
        <tr r="O3143" s="1"/>
      </tp>
      <tp>
        <v>2.7658523637814301</v>
        <stp/>
        <stp>EM_S_VAL_PS_TTM</stp>
        <stp>2</stp>
        <stp>600573</stp>
        <stp>12/31/2018</stp>
        <tr r="O2085" s="1"/>
      </tp>
      <tp>
        <v>6.4985963302981302</v>
        <stp/>
        <stp>EM_S_VAL_PS_TTM</stp>
        <stp>2</stp>
        <stp>300522</stp>
        <stp>12/31/2018</stp>
        <tr r="O1837" s="1"/>
      </tp>
      <tp>
        <v>2.2907839566164401</v>
        <stp/>
        <stp>EM_S_VAL_PS_TTM</stp>
        <stp>2</stp>
        <stp>600572</stp>
        <stp>12/31/2018</stp>
        <tr r="O2179" s="1"/>
      </tp>
      <tp>
        <v>0.24619725121033501</v>
        <stp/>
        <stp>EM_S_VAL_PS_TTM</stp>
        <stp>2</stp>
        <stp>000511</stp>
        <stp>12/31/2018</stp>
        <tr r="O3436" s="1"/>
      </tp>
      <tp>
        <v>7.4235535563650696</v>
        <stp/>
        <stp>EM_S_VAL_PS_TTM</stp>
        <stp>2</stp>
        <stp>300521</stp>
        <stp>12/31/2018</stp>
        <tr r="O1258" s="1"/>
      </tp>
      <tp>
        <v>2.1028152518790799</v>
        <stp/>
        <stp>EM_S_VAL_PS_TTM</stp>
        <stp>2</stp>
        <stp>600571</stp>
        <stp>12/31/2018</stp>
        <tr r="O555" s="1"/>
      </tp>
      <tp>
        <v>1.1389425054476401</v>
        <stp/>
        <stp>EM_S_VAL_PS_TTM</stp>
        <stp>2</stp>
        <stp>000510</stp>
        <stp>12/31/2018</stp>
        <tr r="O1993" s="1"/>
      </tp>
      <tp>
        <v>4.9248121869565402</v>
        <stp/>
        <stp>EM_S_VAL_PS_TTM</stp>
        <stp>2</stp>
        <stp>300520</stp>
        <stp>12/31/2018</stp>
        <tr r="O1078" s="1"/>
      </tp>
      <tp>
        <v>10.7813545491922</v>
        <stp/>
        <stp>EM_S_VAL_PS_TTM</stp>
        <stp>2</stp>
        <stp>600570</stp>
        <stp>12/31/2018</stp>
        <tr r="O583" s="1"/>
      </tp>
      <tp>
        <v>1.6872369977039099</v>
        <stp/>
        <stp>EM_S_VAL_PS_TTM</stp>
        <stp>2</stp>
        <stp>000519</stp>
        <stp>12/31/2018</stp>
        <tr r="O1223" s="1"/>
      </tp>
      <tp>
        <v>18.725010910030701</v>
        <stp/>
        <stp>EM_S_VAL_PS_TTM</stp>
        <stp>2</stp>
        <stp>300529</stp>
        <stp>12/31/2018</stp>
        <tr r="O323" s="1"/>
      </tp>
      <tp>
        <v>5.4327413134604203</v>
        <stp/>
        <stp>EM_S_VAL_PS_TTM</stp>
        <stp>2</stp>
        <stp>600579</stp>
        <stp>12/31/2018</stp>
        <tr r="O3071" s="1"/>
      </tp>
      <tp>
        <v>10.4437899317</v>
        <stp/>
        <stp>EM_S_VAL_PS_TTM</stp>
        <stp>2</stp>
        <stp>000518</stp>
        <stp>12/31/2018</stp>
        <tr r="O3441" s="1"/>
      </tp>
      <tp>
        <v>1.7439564195528501</v>
        <stp/>
        <stp>EM_S_VAL_PS_TTM</stp>
        <stp>2</stp>
        <stp>300528</stp>
        <stp>12/31/2018</stp>
        <tr r="O3044" s="1"/>
      </tp>
      <tp>
        <v>1.5564888948584099</v>
        <stp/>
        <stp>EM_S_VAL_PS_TTM</stp>
        <stp>2</stp>
        <stp>600578</stp>
        <stp>12/31/2018</stp>
        <tr r="O1962" s="1"/>
      </tp>
      <tp>
        <v>2.2838050642539001</v>
        <stp/>
        <stp>EM_S_VAL_PS_TTM</stp>
        <stp>2</stp>
        <stp>000507</stp>
        <stp>12/31/2018</stp>
        <tr r="O2637" s="1"/>
      </tp>
      <tp>
        <v>2.9596260264380798</v>
        <stp/>
        <stp>EM_S_VAL_PS_TTM</stp>
        <stp>2</stp>
        <stp>300537</stp>
        <stp>12/31/2018</stp>
        <tr r="O142" s="1"/>
      </tp>
      <tp>
        <v>0.61938913661778505</v>
        <stp/>
        <stp>EM_S_VAL_PS_TTM</stp>
        <stp>2</stp>
        <stp>600567</stp>
        <stp>12/31/2018</stp>
        <tr r="O1183" s="1"/>
      </tp>
      <tp>
        <v>5.02404259321826</v>
        <stp/>
        <stp>EM_S_VAL_PS_TTM</stp>
        <stp>2</stp>
        <stp>000506</stp>
        <stp>12/31/2018</stp>
        <tr r="O3433" s="1"/>
      </tp>
      <tp>
        <v>3.2098250185152701</v>
        <stp/>
        <stp>EM_S_VAL_PS_TTM</stp>
        <stp>2</stp>
        <stp>300536</stp>
        <stp>12/31/2018</stp>
        <tr r="O2931" s="1"/>
      </tp>
      <tp>
        <v>3.9184364088987502</v>
        <stp/>
        <stp>EM_S_VAL_PS_TTM</stp>
        <stp>2</stp>
        <stp>600566</stp>
        <stp>12/31/2018</stp>
        <tr r="O3221" s="1"/>
      </tp>
      <tp>
        <v>0.47666258215821</v>
        <stp/>
        <stp>EM_S_VAL_PS_TTM</stp>
        <stp>2</stp>
        <stp>000505</stp>
        <stp>12/31/2018</stp>
        <tr r="O3432" s="1"/>
      </tp>
      <tp>
        <v>3.6957468836498899</v>
        <stp/>
        <stp>EM_S_VAL_PS_TTM</stp>
        <stp>2</stp>
        <stp>300535</stp>
        <stp>12/31/2018</stp>
        <tr r="O1948" s="1"/>
      </tp>
      <tp>
        <v>0.80316817271583696</v>
        <stp/>
        <stp>EM_S_VAL_PS_TTM</stp>
        <stp>2</stp>
        <stp>600565</stp>
        <stp>12/31/2018</stp>
        <tr r="O845" s="1"/>
      </tp>
      <tp>
        <v>36.802319547237502</v>
        <stp/>
        <stp>EM_S_VAL_PS_TTM</stp>
        <stp>2</stp>
        <stp>000504</stp>
        <stp>12/31/2018</stp>
        <tr r="O3431" s="1"/>
      </tp>
      <tp>
        <v>7.5526727349671603</v>
        <stp/>
        <stp>EM_S_VAL_PS_TTM</stp>
        <stp>2</stp>
        <stp>300534</stp>
        <stp>12/31/2018</stp>
        <tr r="O2141" s="1"/>
      </tp>
      <tp>
        <v>120.45981847421</v>
        <stp/>
        <stp>EM_S_VAL_PS_TTM</stp>
        <stp>2</stp>
        <stp>000503</stp>
        <stp>12/31/2018</stp>
        <tr r="O3430" s="1"/>
      </tp>
      <tp>
        <v>11.644405236036899</v>
        <stp/>
        <stp>EM_S_VAL_PS_TTM</stp>
        <stp>2</stp>
        <stp>300533</stp>
        <stp>12/31/2018</stp>
        <tr r="O687" s="1"/>
      </tp>
      <tp>
        <v>5.4818476896224997</v>
        <stp/>
        <stp>EM_S_VAL_PS_TTM</stp>
        <stp>2</stp>
        <stp>600563</stp>
        <stp>12/31/2018</stp>
        <tr r="O1335" s="1"/>
      </tp>
      <tp>
        <v>81.361498690574706</v>
        <stp/>
        <stp>EM_S_VAL_PS_TTM</stp>
        <stp>2</stp>
        <stp>000502</stp>
        <stp>12/31/2018</stp>
        <tr r="O3429" s="1"/>
      </tp>
      <tp>
        <v>5.5071028187304503</v>
        <stp/>
        <stp>EM_S_VAL_PS_TTM</stp>
        <stp>2</stp>
        <stp>300532</stp>
        <stp>12/31/2018</stp>
        <tr r="O1967" s="1"/>
      </tp>
      <tp>
        <v>7.1231315641562096</v>
        <stp/>
        <stp>EM_S_VAL_PS_TTM</stp>
        <stp>2</stp>
        <stp>600562</stp>
        <stp>12/31/2018</stp>
        <tr r="O1682" s="1"/>
      </tp>
      <tp>
        <v>0.40415190290472502</v>
        <stp/>
        <stp>EM_S_VAL_PS_TTM</stp>
        <stp>2</stp>
        <stp>000501</stp>
        <stp>12/31/2018</stp>
        <tr r="O3428" s="1"/>
      </tp>
      <tp>
        <v>5.4853709216409303</v>
        <stp/>
        <stp>EM_S_VAL_PS_TTM</stp>
        <stp>2</stp>
        <stp>300531</stp>
        <stp>12/31/2018</stp>
        <tr r="O2481" s="1"/>
      </tp>
      <tp>
        <v>0.47256156709597502</v>
        <stp/>
        <stp>EM_S_VAL_PS_TTM</stp>
        <stp>2</stp>
        <stp>600561</stp>
        <stp>12/31/2018</stp>
        <tr r="O1927" s="1"/>
      </tp>
      <tp>
        <v>14.633998398877001</v>
        <stp/>
        <stp>EM_S_VAL_PS_TTM</stp>
        <stp>2</stp>
        <stp>300530</stp>
        <stp>12/31/2018</stp>
        <tr r="O1349" s="1"/>
      </tp>
      <tp>
        <v>3.1797983118014801</v>
        <stp/>
        <stp>EM_S_VAL_PS_TTM</stp>
        <stp>2</stp>
        <stp>600560</stp>
        <stp>12/31/2018</stp>
        <tr r="O1883" s="1"/>
      </tp>
      <tp>
        <v>1.1635607115634601</v>
        <stp/>
        <stp>EM_S_VAL_PS_TTM</stp>
        <stp>2</stp>
        <stp>000509</stp>
        <stp>12/31/2018</stp>
        <tr r="O3435" s="1"/>
      </tp>
      <tp>
        <v>3.1529472449194298</v>
        <stp/>
        <stp>EM_S_VAL_PS_TTM</stp>
        <stp>2</stp>
        <stp>300539</stp>
        <stp>12/31/2018</stp>
        <tr r="O2767" s="1"/>
      </tp>
      <tp>
        <v>0.22206830627806501</v>
        <stp/>
        <stp>EM_S_VAL_PS_TTM</stp>
        <stp>2</stp>
        <stp>600569</stp>
        <stp>12/31/2018</stp>
        <tr r="O3012" s="1"/>
      </tp>
      <tp>
        <v>0</v>
        <stp/>
        <stp>EM_S_VAL_PS_TTM</stp>
        <stp>2</stp>
        <stp>000508</stp>
        <stp>12/31/2018</stp>
        <tr r="O3434" s="1"/>
      </tp>
      <tp>
        <v>1.4365650038450599</v>
        <stp/>
        <stp>EM_S_VAL_PS_TTM</stp>
        <stp>2</stp>
        <stp>300538</stp>
        <stp>12/31/2018</stp>
        <tr r="O2971" s="1"/>
      </tp>
      <tp>
        <v>5.1840919501319798</v>
        <stp/>
        <stp>EM_S_VAL_PS_TTM</stp>
        <stp>2</stp>
        <stp>600568</stp>
        <stp>12/31/2018</stp>
        <tr r="O3135" s="1"/>
      </tp>
      <tp>
        <v>3.0347386901132598</v>
        <stp/>
        <stp>EM_S_VAL_PS_TTM</stp>
        <stp>2</stp>
        <stp>300547</stp>
        <stp>12/31/2018</stp>
        <tr r="O3328" s="1"/>
      </tp>
      <tp>
        <v>0.92289501542435504</v>
        <stp/>
        <stp>EM_S_VAL_PS_TTM</stp>
        <stp>2</stp>
        <stp>600517</stp>
        <stp>12/31/2018</stp>
        <tr r="O72" s="1"/>
      </tp>
      <tp>
        <v>9.5310241718003397</v>
        <stp/>
        <stp>EM_S_VAL_PS_TTM</stp>
        <stp>2</stp>
        <stp>000576</stp>
        <stp>12/31/2018</stp>
        <tr r="O1024" s="1"/>
      </tp>
      <tp>
        <v>6.8485615969542497</v>
        <stp/>
        <stp>EM_S_VAL_PS_TTM</stp>
        <stp>2</stp>
        <stp>300546</stp>
        <stp>12/31/2018</stp>
        <tr r="O1654" s="1"/>
      </tp>
      <tp>
        <v>2.45600130579097</v>
        <stp/>
        <stp>EM_S_VAL_PS_TTM</stp>
        <stp>2</stp>
        <stp>600516</stp>
        <stp>12/31/2018</stp>
        <tr r="O3163" s="1"/>
      </tp>
      <tp>
        <v>4.8974791620731999</v>
        <stp/>
        <stp>EM_S_VAL_PS_TTM</stp>
        <stp>2</stp>
        <stp>300545</stp>
        <stp>12/31/2018</stp>
        <tr r="O1071" s="1"/>
      </tp>
      <tp>
        <v>1.95579476903328</v>
        <stp/>
        <stp>EM_S_VAL_PS_TTM</stp>
        <stp>2</stp>
        <stp>600515</stp>
        <stp>12/31/2018</stp>
        <tr r="O2485" s="1"/>
      </tp>
      <tp>
        <v>4.48581060006698</v>
        <stp/>
        <stp>EM_S_VAL_PS_TTM</stp>
        <stp>2</stp>
        <stp>000573</stp>
        <stp>12/31/2018</stp>
        <tr r="O2239" s="1"/>
      </tp>
      <tp>
        <v>1.6123861873766101</v>
        <stp/>
        <stp>EM_S_VAL_PS_TTM</stp>
        <stp>2</stp>
        <stp>300543</stp>
        <stp>12/31/2018</stp>
        <tr r="O759" s="1"/>
      </tp>
      <tp>
        <v>1.81505180031361</v>
        <stp/>
        <stp>EM_S_VAL_PS_TTM</stp>
        <stp>2</stp>
        <stp>600513</stp>
        <stp>12/31/2018</stp>
        <tr r="O1324" s="1"/>
      </tp>
      <tp>
        <v>0.49257401451555999</v>
        <stp/>
        <stp>EM_S_VAL_PS_TTM</stp>
        <stp>2</stp>
        <stp>000572</stp>
        <stp>12/31/2018</stp>
        <tr r="O3463" s="1"/>
      </tp>
      <tp>
        <v>3.69067602550381</v>
        <stp/>
        <stp>EM_S_VAL_PS_TTM</stp>
        <stp>2</stp>
        <stp>300542</stp>
        <stp>12/31/2018</stp>
        <tr r="O1783" s="1"/>
      </tp>
      <tp>
        <v>0.93298222490674898</v>
        <stp/>
        <stp>EM_S_VAL_PS_TTM</stp>
        <stp>2</stp>
        <stp>600512</stp>
        <stp>12/31/2018</stp>
        <tr r="O947" s="1"/>
      </tp>
      <tp>
        <v>1.4078093799334801</v>
        <stp/>
        <stp>EM_S_VAL_PS_TTM</stp>
        <stp>2</stp>
        <stp>000571</stp>
        <stp>12/31/2018</stp>
        <tr r="O3462" s="1"/>
      </tp>
      <tp>
        <v>1.86999774535487</v>
        <stp/>
        <stp>EM_S_VAL_PS_TTM</stp>
        <stp>2</stp>
        <stp>300541</stp>
        <stp>12/31/2018</stp>
        <tr r="O463" s="1"/>
      </tp>
      <tp>
        <v>0.46776611126259199</v>
        <stp/>
        <stp>EM_S_VAL_PS_TTM</stp>
        <stp>2</stp>
        <stp>600511</stp>
        <stp>12/31/2018</stp>
        <tr r="O1450" s="1"/>
      </tp>
      <tp>
        <v>0.961808850045206</v>
        <stp/>
        <stp>EM_S_VAL_PS_TTM</stp>
        <stp>2</stp>
        <stp>000570</stp>
        <stp>12/31/2018</stp>
        <tr r="O3461" s="1"/>
      </tp>
      <tp>
        <v>5.3129929261758502</v>
        <stp/>
        <stp>EM_S_VAL_PS_TTM</stp>
        <stp>2</stp>
        <stp>300540</stp>
        <stp>12/31/2018</stp>
        <tr r="O1366" s="1"/>
      </tp>
      <tp>
        <v>1.40228251470722</v>
        <stp/>
        <stp>EM_S_VAL_PS_TTM</stp>
        <stp>2</stp>
        <stp>600510</stp>
        <stp>12/31/2018</stp>
        <tr r="O1618" s="1"/>
      </tp>
      <tp>
        <v>3.8228449608858202</v>
        <stp/>
        <stp>EM_S_VAL_PS_TTM</stp>
        <stp>2</stp>
        <stp>300549</stp>
        <stp>12/31/2018</stp>
        <tr r="O1330" s="1"/>
      </tp>
      <tp>
        <v>10.3595345978687</v>
        <stp/>
        <stp>EM_S_VAL_PS_TTM</stp>
        <stp>2</stp>
        <stp>600519</stp>
        <stp>12/31/2018</stp>
        <tr r="O160" s="1"/>
      </tp>
      <tp>
        <v>12.714612073958801</v>
        <stp/>
        <stp>EM_S_VAL_PS_TTM</stp>
        <stp>2</stp>
        <stp>000578</stp>
        <stp>12/31/2018</stp>
        <tr r="O3464" s="1"/>
      </tp>
      <tp>
        <v>10.756994527581</v>
        <stp/>
        <stp>EM_S_VAL_PS_TTM</stp>
        <stp>2</stp>
        <stp>300548</stp>
        <stp>12/31/2018</stp>
        <tr r="O199" s="1"/>
      </tp>
      <tp>
        <v>1.41426452896278</v>
        <stp/>
        <stp>EM_S_VAL_PS_TTM</stp>
        <stp>2</stp>
        <stp>600518</stp>
        <stp>12/31/2018</stp>
        <tr r="O3393" s="1"/>
      </tp>
      <tp>
        <v>15.3971581328393</v>
        <stp/>
        <stp>EM_S_VAL_PS_TTM</stp>
        <stp>2</stp>
        <stp>000567</stp>
        <stp>12/31/2018</stp>
        <tr r="O3459" s="1"/>
      </tp>
      <tp>
        <v>9.9153494767024206</v>
        <stp/>
        <stp>EM_S_VAL_PS_TTM</stp>
        <stp>2</stp>
        <stp>300557</stp>
        <stp>12/31/2018</stp>
        <tr r="O1012" s="1"/>
      </tp>
      <tp>
        <v>0.87255288235562301</v>
        <stp/>
        <stp>EM_S_VAL_PS_TTM</stp>
        <stp>2</stp>
        <stp>600507</stp>
        <stp>12/31/2018</stp>
        <tr r="O2209" s="1"/>
      </tp>
      <tp>
        <v>2.6142911429820899</v>
        <stp/>
        <stp>EM_S_VAL_PS_TTM</stp>
        <stp>2</stp>
        <stp>000566</stp>
        <stp>12/31/2018</stp>
        <tr r="O1499" s="1"/>
      </tp>
      <tp>
        <v>2.9657018173249399</v>
        <stp/>
        <stp>EM_S_VAL_PS_TTM</stp>
        <stp>2</stp>
        <stp>300556</stp>
        <stp>12/31/2018</stp>
        <tr r="O2073" s="1"/>
      </tp>
      <tp>
        <v>31.739371129551099</v>
        <stp/>
        <stp>EM_S_VAL_PS_TTM</stp>
        <stp>2</stp>
        <stp>600506</stp>
        <stp>12/31/2018</stp>
        <tr r="O2132" s="1"/>
      </tp>
      <tp>
        <v>1.9120547723651899</v>
        <stp/>
        <stp>EM_S_VAL_PS_TTM</stp>
        <stp>2</stp>
        <stp>000565</stp>
        <stp>12/31/2018</stp>
        <tr r="O3458" s="1"/>
      </tp>
      <tp>
        <v>4.4967275661205601</v>
        <stp/>
        <stp>EM_S_VAL_PS_TTM</stp>
        <stp>2</stp>
        <stp>300555</stp>
        <stp>12/31/2018</stp>
        <tr r="O1438" s="1"/>
      </tp>
      <tp>
        <v>1.7697284185400199</v>
        <stp/>
        <stp>EM_S_VAL_PS_TTM</stp>
        <stp>2</stp>
        <stp>600505</stp>
        <stp>12/31/2018</stp>
        <tr r="O146" s="1"/>
      </tp>
      <tp>
        <v>0.58438352024145401</v>
        <stp/>
        <stp>EM_S_VAL_PS_TTM</stp>
        <stp>2</stp>
        <stp>000564</stp>
        <stp>12/31/2018</stp>
        <tr r="O3457" s="1"/>
      </tp>
      <tp>
        <v>4.4369096320441601</v>
        <stp/>
        <stp>EM_S_VAL_PS_TTM</stp>
        <stp>2</stp>
        <stp>300554</stp>
        <stp>12/31/2018</stp>
        <tr r="O2839" s="1"/>
      </tp>
      <tp>
        <v>10.6855375933954</v>
        <stp/>
        <stp>EM_S_VAL_PS_TTM</stp>
        <stp>2</stp>
        <stp>000563</stp>
        <stp>12/31/2018</stp>
        <tr r="O3456" s="1"/>
      </tp>
      <tp>
        <v>11.2113949762081</v>
        <stp/>
        <stp>EM_S_VAL_PS_TTM</stp>
        <stp>2</stp>
        <stp>300553</stp>
        <stp>12/31/2018</stp>
        <tr r="O1587" s="1"/>
      </tp>
      <tp>
        <v>3.9432851400127702</v>
        <stp/>
        <stp>EM_S_VAL_PS_TTM</stp>
        <stp>2</stp>
        <stp>600503</stp>
        <stp>12/31/2018</stp>
        <tr r="O2014" s="1"/>
      </tp>
      <tp>
        <v>21.633506673689801</v>
        <stp/>
        <stp>EM_S_VAL_PS_TTM</stp>
        <stp>2</stp>
        <stp>000562</stp>
        <stp>12/31/2018</stp>
        <tr r="O3455" s="1"/>
      </tp>
      <tp>
        <v>2.3364676630787602</v>
        <stp/>
        <stp>EM_S_VAL_PS_TTM</stp>
        <stp>2</stp>
        <stp>300552</stp>
        <stp>12/31/2018</stp>
        <tr r="O15" s="1"/>
      </tp>
      <tp>
        <v>0.16499553814277901</v>
        <stp/>
        <stp>EM_S_VAL_PS_TTM</stp>
        <stp>2</stp>
        <stp>600502</stp>
        <stp>12/31/2018</stp>
        <tr r="O1556" s="1"/>
      </tp>
      <tp>
        <v>2.6159483826791998</v>
        <stp/>
        <stp>EM_S_VAL_PS_TTM</stp>
        <stp>2</stp>
        <stp>000561</stp>
        <stp>12/31/2018</stp>
        <tr r="O926" s="1"/>
      </tp>
      <tp>
        <v>5.6573152054270599</v>
        <stp/>
        <stp>EM_S_VAL_PS_TTM</stp>
        <stp>2</stp>
        <stp>300551</stp>
        <stp>12/31/2018</stp>
        <tr r="O113" s="1"/>
      </tp>
      <tp>
        <v>0.95717293481993904</v>
        <stp/>
        <stp>EM_S_VAL_PS_TTM</stp>
        <stp>2</stp>
        <stp>600501</stp>
        <stp>12/31/2018</stp>
        <tr r="O972" s="1"/>
      </tp>
      <tp>
        <v>1.25132393852742</v>
        <stp/>
        <stp>EM_S_VAL_PS_TTM</stp>
        <stp>2</stp>
        <stp>000560</stp>
        <stp>12/31/2018</stp>
        <tr r="O2688" s="1"/>
      </tp>
      <tp>
        <v>13.0933366139966</v>
        <stp/>
        <stp>EM_S_VAL_PS_TTM</stp>
        <stp>2</stp>
        <stp>300550</stp>
        <stp>12/31/2018</stp>
        <tr r="O3349" s="1"/>
      </tp>
      <tp>
        <v>0.238265523596429</v>
        <stp/>
        <stp>EM_S_VAL_PS_TTM</stp>
        <stp>2</stp>
        <stp>600500</stp>
        <stp>12/31/2018</stp>
        <tr r="O3109" s="1"/>
      </tp>
      <tp>
        <v>1.62893057446278</v>
        <stp/>
        <stp>EM_S_VAL_PS_TTM</stp>
        <stp>2</stp>
        <stp>000569</stp>
        <stp>12/31/2018</stp>
        <tr r="O3460" s="1"/>
      </tp>
      <tp>
        <v>14.484315794895601</v>
        <stp/>
        <stp>EM_S_VAL_PS_TTM</stp>
        <stp>2</stp>
        <stp>300559</stp>
        <stp>12/31/2018</stp>
        <tr r="O2942" s="1"/>
      </tp>
      <tp>
        <v>0.84578101975585496</v>
        <stp/>
        <stp>EM_S_VAL_PS_TTM</stp>
        <stp>2</stp>
        <stp>600509</stp>
        <stp>12/31/2018</stp>
        <tr r="O2207" s="1"/>
      </tp>
      <tp>
        <v>4.8116098745646001</v>
        <stp/>
        <stp>EM_S_VAL_PS_TTM</stp>
        <stp>2</stp>
        <stp>000568</stp>
        <stp>12/31/2018</stp>
        <tr r="O129" s="1"/>
      </tp>
      <tp>
        <v>10.8123917410038</v>
        <stp/>
        <stp>EM_S_VAL_PS_TTM</stp>
        <stp>2</stp>
        <stp>300558</stp>
        <stp>12/31/2018</stp>
        <tr r="O157" s="1"/>
      </tp>
      <tp>
        <v>1.0355158325343901</v>
        <stp/>
        <stp>EM_S_VAL_PS_TTM</stp>
        <stp>2</stp>
        <stp>600508</stp>
        <stp>12/31/2018</stp>
        <tr r="O2440" s="1"/>
      </tp>
      <tp>
        <v>6.7870465480495703</v>
        <stp/>
        <stp>EM_S_VAL_PS_TTM</stp>
        <stp>2</stp>
        <stp>000557</stp>
        <stp>12/31/2018</stp>
        <tr r="O2277" s="1"/>
      </tp>
      <tp>
        <v>6.5658184797191996</v>
        <stp/>
        <stp>EM_S_VAL_PS_TTM</stp>
        <stp>2</stp>
        <stp>300567</stp>
        <stp>12/31/2018</stp>
        <tr r="O1721" s="1"/>
      </tp>
      <tp>
        <v>1.0379050740187299</v>
        <stp/>
        <stp>EM_S_VAL_PS_TTM</stp>
        <stp>2</stp>
        <stp>600537</stp>
        <stp>12/31/2018</stp>
        <tr r="O1744" s="1"/>
      </tp>
      <tp>
        <v>2.6372974322309299</v>
        <stp/>
        <stp>EM_S_VAL_PS_TTM</stp>
        <stp>2</stp>
        <stp>000556</stp>
        <stp>12/31/2018</stp>
        <tr r="O3453" s="1"/>
      </tp>
      <tp>
        <v>2.32419354500857</v>
        <stp/>
        <stp>EM_S_VAL_PS_TTM</stp>
        <stp>2</stp>
        <stp>300566</stp>
        <stp>12/31/2018</stp>
        <tr r="O215" s="1"/>
      </tp>
      <tp>
        <v>2.2915123793007202</v>
        <stp/>
        <stp>EM_S_VAL_PS_TTM</stp>
        <stp>2</stp>
        <stp>600536</stp>
        <stp>12/31/2018</stp>
        <tr r="O32" s="1"/>
      </tp>
      <tp>
        <v>1.0108480151358601</v>
        <stp/>
        <stp>EM_S_VAL_PS_TTM</stp>
        <stp>2</stp>
        <stp>000555</stp>
        <stp>12/31/2018</stp>
        <tr r="O519" s="1"/>
      </tp>
      <tp>
        <v>4.9085561904815203</v>
        <stp/>
        <stp>EM_S_VAL_PS_TTM</stp>
        <stp>2</stp>
        <stp>300565</stp>
        <stp>12/31/2018</stp>
        <tr r="O3141" s="1"/>
      </tp>
      <tp>
        <v>1.6173740709151101</v>
        <stp/>
        <stp>EM_S_VAL_PS_TTM</stp>
        <stp>2</stp>
        <stp>600535</stp>
        <stp>12/31/2018</stp>
        <tr r="O3081" s="1"/>
      </tp>
      <tp>
        <v>0.81708990313223895</v>
        <stp/>
        <stp>EM_S_VAL_PS_TTM</stp>
        <stp>2</stp>
        <stp>000554</stp>
        <stp>12/31/2018</stp>
        <tr r="O2564" s="1"/>
      </tp>
      <tp>
        <v>0.91619516562323899</v>
        <stp/>
        <stp>EM_S_VAL_PS_TTM</stp>
        <stp>2</stp>
        <stp>000553</stp>
        <stp>12/31/2018</stp>
        <tr r="O1907" s="1"/>
      </tp>
      <tp>
        <v>5.4009106547965198</v>
        <stp/>
        <stp>EM_S_VAL_PS_TTM</stp>
        <stp>2</stp>
        <stp>300563</stp>
        <stp>12/31/2018</stp>
        <tr r="O1534" s="1"/>
      </tp>
      <tp>
        <v>1.93044747442799</v>
        <stp/>
        <stp>EM_S_VAL_PS_TTM</stp>
        <stp>2</stp>
        <stp>600533</stp>
        <stp>12/31/2018</stp>
        <tr r="O1535" s="1"/>
      </tp>
      <tp>
        <v>1.4351002636180199</v>
        <stp/>
        <stp>EM_S_VAL_PS_TTM</stp>
        <stp>2</stp>
        <stp>000552</stp>
        <stp>12/31/2018</stp>
        <tr r="O2352" s="1"/>
      </tp>
      <tp>
        <v>2.4690940877274201</v>
        <stp/>
        <stp>EM_S_VAL_PS_TTM</stp>
        <stp>2</stp>
        <stp>300562</stp>
        <stp>12/31/2018</stp>
        <tr r="O550" s="1"/>
      </tp>
      <tp>
        <v>1.43590694278637</v>
        <stp/>
        <stp>EM_S_VAL_PS_TTM</stp>
        <stp>2</stp>
        <stp>600532</stp>
        <stp>12/31/2018</stp>
        <tr r="O2419" s="1"/>
      </tp>
      <tp>
        <v>0.79893657733234602</v>
        <stp/>
        <stp>EM_S_VAL_PS_TTM</stp>
        <stp>2</stp>
        <stp>000551</stp>
        <stp>12/31/2018</stp>
        <tr r="O1505" s="1"/>
      </tp>
      <tp>
        <v>9.2109482304260304</v>
        <stp/>
        <stp>EM_S_VAL_PS_TTM</stp>
        <stp>2</stp>
        <stp>300561</stp>
        <stp>12/31/2018</stp>
        <tr r="O1339" s="1"/>
      </tp>
      <tp>
        <v>0.20124110186782901</v>
        <stp/>
        <stp>EM_S_VAL_PS_TTM</stp>
        <stp>2</stp>
        <stp>600531</stp>
        <stp>12/31/2018</stp>
        <tr r="O855" s="1"/>
      </tp>
      <tp>
        <v>0.378499992117317</v>
        <stp/>
        <stp>EM_S_VAL_PS_TTM</stp>
        <stp>2</stp>
        <stp>000550</stp>
        <stp>12/31/2018</stp>
        <tr r="O3452" s="1"/>
      </tp>
      <tp>
        <v>7.1475263465005998</v>
        <stp/>
        <stp>EM_S_VAL_PS_TTM</stp>
        <stp>2</stp>
        <stp>300560</stp>
        <stp>12/31/2018</stp>
        <tr r="O3115" s="1"/>
      </tp>
      <tp>
        <v>12.488092561543301</v>
        <stp/>
        <stp>EM_S_VAL_PS_TTM</stp>
        <stp>2</stp>
        <stp>600530</stp>
        <stp>12/31/2018</stp>
        <tr r="O1765" s="1"/>
      </tp>
      <tp>
        <v>1.2061889880752801</v>
        <stp/>
        <stp>EM_S_VAL_PS_TTM</stp>
        <stp>2</stp>
        <stp>000559</stp>
        <stp>12/31/2018</stp>
        <tr r="O1985" s="1"/>
      </tp>
      <tp>
        <v>1.8523199939782</v>
        <stp/>
        <stp>EM_S_VAL_PS_TTM</stp>
        <stp>2</stp>
        <stp>300569</stp>
        <stp>12/31/2018</stp>
        <tr r="O1506" s="1"/>
      </tp>
      <tp>
        <v>18.924918885187999</v>
        <stp/>
        <stp>EM_S_VAL_PS_TTM</stp>
        <stp>2</stp>
        <stp>600539</stp>
        <stp>12/31/2018</stp>
        <tr r="O1929" s="1"/>
      </tp>
      <tp>
        <v>4.9752697553198502</v>
        <stp/>
        <stp>EM_S_VAL_PS_TTM</stp>
        <stp>2</stp>
        <stp>000558</stp>
        <stp>12/31/2018</stp>
        <tr r="O3454" s="1"/>
      </tp>
      <tp>
        <v>7.6352103159122899</v>
        <stp/>
        <stp>EM_S_VAL_PS_TTM</stp>
        <stp>2</stp>
        <stp>300568</stp>
        <stp>12/31/2018</stp>
        <tr r="O800" s="1"/>
      </tp>
      <tp>
        <v>6.8725550818924601</v>
        <stp/>
        <stp>EM_S_VAL_PS_TTM</stp>
        <stp>2</stp>
        <stp>600538</stp>
        <stp>12/31/2018</stp>
        <tr r="O1379" s="1"/>
      </tp>
      <tp>
        <v>4.7219945314454499</v>
        <stp/>
        <stp>EM_S_VAL_PS_TTM</stp>
        <stp>2</stp>
        <stp>000547</stp>
        <stp>12/31/2018</stp>
        <tr r="O790" s="1"/>
      </tp>
      <tp>
        <v>3.7468846224549202</v>
        <stp/>
        <stp>EM_S_VAL_PS_TTM</stp>
        <stp>2</stp>
        <stp>300577</stp>
        <stp>12/31/2018</stp>
        <tr r="O1691" s="1"/>
      </tp>
      <tp>
        <v>2.0399069749043002</v>
        <stp/>
        <stp>EM_S_VAL_PS_TTM</stp>
        <stp>2</stp>
        <stp>600527</stp>
        <stp>12/31/2018</stp>
        <tr r="O2084" s="1"/>
      </tp>
      <tp>
        <v>0.77913785953382197</v>
        <stp/>
        <stp>EM_S_VAL_PS_TTM</stp>
        <stp>2</stp>
        <stp>000546</stp>
        <stp>12/31/2018</stp>
        <tr r="O1381" s="1"/>
      </tp>
      <tp>
        <v>4.0338330176697097</v>
        <stp/>
        <stp>EM_S_VAL_PS_TTM</stp>
        <stp>2</stp>
        <stp>300576</stp>
        <stp>12/31/2018</stp>
        <tr r="O161" s="1"/>
      </tp>
      <tp>
        <v>0.59289850599069105</v>
        <stp/>
        <stp>EM_S_VAL_PS_TTM</stp>
        <stp>2</stp>
        <stp>600526</stp>
        <stp>12/31/2018</stp>
        <tr r="O1544" s="1"/>
      </tp>
      <tp>
        <v>1.6458874252634901</v>
        <stp/>
        <stp>EM_S_VAL_PS_TTM</stp>
        <stp>2</stp>
        <stp>000545</stp>
        <stp>12/31/2018</stp>
        <tr r="O2486" s="1"/>
      </tp>
      <tp>
        <v>2.00316878393348</v>
        <stp/>
        <stp>EM_S_VAL_PS_TTM</stp>
        <stp>2</stp>
        <stp>300575</stp>
        <stp>12/31/2018</stp>
        <tr r="O3269" s="1"/>
      </tp>
      <tp>
        <v>0.97937116560067095</v>
        <stp/>
        <stp>EM_S_VAL_PS_TTM</stp>
        <stp>2</stp>
        <stp>600525</stp>
        <stp>12/31/2018</stp>
        <tr r="O831" s="1"/>
      </tp>
      <tp>
        <v>5.0089933015208699</v>
        <stp/>
        <stp>EM_S_VAL_PS_TTM</stp>
        <stp>2</stp>
        <stp>000544</stp>
        <stp>12/31/2018</stp>
        <tr r="O1160" s="1"/>
      </tp>
      <tp>
        <v>0.648818623385225</v>
        <stp/>
        <stp>EM_S_VAL_PS_TTM</stp>
        <stp>2</stp>
        <stp>000543</stp>
        <stp>12/31/2018</stp>
        <tr r="O2463" s="1"/>
      </tp>
      <tp>
        <v>3.3328215664669099</v>
        <stp/>
        <stp>EM_S_VAL_PS_TTM</stp>
        <stp>2</stp>
        <stp>300573</stp>
        <stp>12/31/2018</stp>
        <tr r="O25" s="1"/>
      </tp>
      <tp>
        <v>1.23760105539069</v>
        <stp/>
        <stp>EM_S_VAL_PS_TTM</stp>
        <stp>2</stp>
        <stp>600523</stp>
        <stp>12/31/2018</stp>
        <tr r="O688" s="1"/>
      </tp>
      <tp>
        <v>0</v>
        <stp/>
        <stp>EM_S_VAL_PS_TTM</stp>
        <stp>2</stp>
        <stp>000542</stp>
        <stp>12/31/2018</stp>
        <tr r="O3449" s="1"/>
      </tp>
      <tp>
        <v>10.822124603193499</v>
        <stp/>
        <stp>EM_S_VAL_PS_TTM</stp>
        <stp>2</stp>
        <stp>300572</stp>
        <stp>12/31/2018</stp>
        <tr r="O1863" s="1"/>
      </tp>
      <tp>
        <v>0.79586343378443103</v>
        <stp/>
        <stp>EM_S_VAL_PS_TTM</stp>
        <stp>2</stp>
        <stp>600522</stp>
        <stp>12/31/2018</stp>
        <tr r="O2201" s="1"/>
      </tp>
      <tp>
        <v>1.9404928803319099</v>
        <stp/>
        <stp>EM_S_VAL_PS_TTM</stp>
        <stp>2</stp>
        <stp>000541</stp>
        <stp>12/31/2018</stp>
        <tr r="O2586" s="1"/>
      </tp>
      <tp>
        <v>5.4432278829255898</v>
        <stp/>
        <stp>EM_S_VAL_PS_TTM</stp>
        <stp>2</stp>
        <stp>300571</stp>
        <stp>12/31/2018</stp>
        <tr r="O939" s="1"/>
      </tp>
      <tp>
        <v>2.59320012161779</v>
        <stp/>
        <stp>EM_S_VAL_PS_TTM</stp>
        <stp>2</stp>
        <stp>600521</stp>
        <stp>12/31/2018</stp>
        <tr r="O489" s="1"/>
      </tp>
      <tp>
        <v>2.3648039398999199</v>
        <stp/>
        <stp>EM_S_VAL_PS_TTM</stp>
        <stp>2</stp>
        <stp>000540</stp>
        <stp>12/31/2018</stp>
        <tr r="O3448" s="1"/>
      </tp>
      <tp>
        <v>6.8837472470450498</v>
        <stp/>
        <stp>EM_S_VAL_PS_TTM</stp>
        <stp>2</stp>
        <stp>300570</stp>
        <stp>12/31/2018</stp>
        <tr r="O674" s="1"/>
      </tp>
      <tp>
        <v>6.8736667049069897</v>
        <stp/>
        <stp>EM_S_VAL_PS_TTM</stp>
        <stp>2</stp>
        <stp>600520</stp>
        <stp>12/31/2018</stp>
        <tr r="O3023" s="1"/>
      </tp>
      <tp>
        <v>3.39896779953281</v>
        <stp/>
        <stp>EM_S_VAL_PS_TTM</stp>
        <stp>2</stp>
        <stp>000549</stp>
        <stp>12/31/2018</stp>
        <tr r="O3451" s="1"/>
      </tp>
      <tp>
        <v>4.7412328780879598</v>
        <stp/>
        <stp>EM_S_VAL_PS_TTM</stp>
        <stp>2</stp>
        <stp>300579</stp>
        <stp>12/31/2018</stp>
        <tr r="O330" s="1"/>
      </tp>
      <tp>
        <v>3.1709096489706599</v>
        <stp/>
        <stp>EM_S_VAL_PS_TTM</stp>
        <stp>2</stp>
        <stp>600529</stp>
        <stp>12/31/2018</stp>
        <tr r="O589" s="1"/>
      </tp>
      <tp>
        <v>8.57900067174117</v>
        <stp/>
        <stp>EM_S_VAL_PS_TTM</stp>
        <stp>2</stp>
        <stp>000548</stp>
        <stp>12/31/2018</stp>
        <tr r="O3450" s="1"/>
      </tp>
      <tp>
        <v>9.4570333018123396</v>
        <stp/>
        <stp>EM_S_VAL_PS_TTM</stp>
        <stp>2</stp>
        <stp>300578</stp>
        <stp>12/31/2018</stp>
        <tr r="O543" s="1"/>
      </tp>
      <tp>
        <v>1.42828313820819</v>
        <stp/>
        <stp>EM_S_VAL_PS_TTM</stp>
        <stp>2</stp>
        <stp>600528</stp>
        <stp>12/31/2018</stp>
        <tr r="O2069" s="1"/>
      </tp>
      <tp>
        <v>9.3895019594431108</v>
        <stp/>
        <stp>EM_S_VAL_PS_TTM</stp>
        <stp>2</stp>
        <stp>300487</stp>
        <stp>12/31/2018</stp>
        <tr r="O612" s="1"/>
      </tp>
      <tp>
        <v>4.2135619222345602</v>
        <stp/>
        <stp>EM_S_VAL_PS_TTM</stp>
        <stp>2</stp>
        <stp>300486</stp>
        <stp>12/31/2018</stp>
        <tr r="O459" s="1"/>
      </tp>
      <tp>
        <v>3.9399694525197599</v>
        <stp/>
        <stp>EM_S_VAL_PS_TTM</stp>
        <stp>2</stp>
        <stp>300485</stp>
        <stp>12/31/2018</stp>
        <tr r="O2810" s="1"/>
      </tp>
      <tp>
        <v>5.7924713657893898</v>
        <stp/>
        <stp>EM_S_VAL_PS_TTM</stp>
        <stp>2</stp>
        <stp>300484</stp>
        <stp>12/31/2018</stp>
        <tr r="O3031" s="1"/>
      </tp>
      <tp>
        <v>5.8246968048609</v>
        <stp/>
        <stp>EM_S_VAL_PS_TTM</stp>
        <stp>2</stp>
        <stp>300483</stp>
        <stp>12/31/2018</stp>
        <tr r="O1094" s="1"/>
      </tp>
      <tp>
        <v>5.65116472019238</v>
        <stp/>
        <stp>EM_S_VAL_PS_TTM</stp>
        <stp>2</stp>
        <stp>300482</stp>
        <stp>12/31/2018</stp>
        <tr r="O183" s="1"/>
      </tp>
      <tp>
        <v>4.4105473085733697</v>
        <stp/>
        <stp>EM_S_VAL_PS_TTM</stp>
        <stp>2</stp>
        <stp>300481</stp>
        <stp>12/31/2018</stp>
        <tr r="O358" s="1"/>
      </tp>
      <tp>
        <v>7.6015201735988098</v>
        <stp/>
        <stp>EM_S_VAL_PS_TTM</stp>
        <stp>2</stp>
        <stp>300480</stp>
        <stp>12/31/2018</stp>
        <tr r="O213" s="1"/>
      </tp>
      <tp>
        <v>7.7021585250508497</v>
        <stp/>
        <stp>EM_S_VAL_PS_TTM</stp>
        <stp>2</stp>
        <stp>300489</stp>
        <stp>12/31/2018</stp>
        <tr r="O317" s="1"/>
      </tp>
      <tp>
        <v>7.3481966283571998</v>
        <stp/>
        <stp>EM_S_VAL_PS_TTM</stp>
        <stp>2</stp>
        <stp>300488</stp>
        <stp>12/31/2018</stp>
        <tr r="O3270" s="1"/>
      </tp>
      <tp>
        <v>3.5564940915460799</v>
        <stp/>
        <stp>EM_S_VAL_PS_TTM</stp>
        <stp>2</stp>
        <stp>300497</stp>
        <stp>12/31/2018</stp>
        <tr r="O2053" s="1"/>
      </tp>
      <tp>
        <v>6.5434106353962997</v>
        <stp/>
        <stp>EM_S_VAL_PS_TTM</stp>
        <stp>2</stp>
        <stp>300496</stp>
        <stp>12/31/2018</stp>
        <tr r="O156" s="1"/>
      </tp>
      <tp>
        <v>3.1048049510314599</v>
        <stp/>
        <stp>EM_S_VAL_PS_TTM</stp>
        <stp>2</stp>
        <stp>300495</stp>
        <stp>12/31/2018</stp>
        <tr r="O2945" s="1"/>
      </tp>
      <tp>
        <v>5.0143267423664</v>
        <stp/>
        <stp>EM_S_VAL_PS_TTM</stp>
        <stp>2</stp>
        <stp>300494</stp>
        <stp>12/31/2018</stp>
        <tr r="O404" s="1"/>
      </tp>
      <tp>
        <v>1.61507544023257</v>
        <stp/>
        <stp>EM_S_VAL_PS_TTM</stp>
        <stp>2</stp>
        <stp>300493</stp>
        <stp>12/31/2018</stp>
        <tr r="O2536" s="1"/>
      </tp>
      <tp>
        <v>8.3125184063914404</v>
        <stp/>
        <stp>EM_S_VAL_PS_TTM</stp>
        <stp>2</stp>
        <stp>300492</stp>
        <stp>12/31/2018</stp>
        <tr r="O69" s="1"/>
      </tp>
      <tp>
        <v>10.931791590444501</v>
        <stp/>
        <stp>EM_S_VAL_PS_TTM</stp>
        <stp>2</stp>
        <stp>300491</stp>
        <stp>12/31/2018</stp>
        <tr r="O2962" s="1"/>
      </tp>
      <tp>
        <v>3.3772994981462001</v>
        <stp/>
        <stp>EM_S_VAL_PS_TTM</stp>
        <stp>2</stp>
        <stp>300490</stp>
        <stp>12/31/2018</stp>
        <tr r="O2910" s="1"/>
      </tp>
      <tp>
        <v>3.1841972717637201</v>
        <stp/>
        <stp>EM_S_VAL_PS_TTM</stp>
        <stp>2</stp>
        <stp>300499</stp>
        <stp>12/31/2018</stp>
        <tr r="O3080" s="1"/>
      </tp>
      <tp>
        <v>2.42883817510153</v>
        <stp/>
        <stp>EM_S_VAL_PS_TTM</stp>
        <stp>2</stp>
        <stp>300498</stp>
        <stp>12/31/2018</stp>
        <tr r="O1017" s="1"/>
      </tp>
      <tp>
        <v>0.38058562849490302</v>
        <stp/>
        <stp>EM_S_VAL_PS_TTM</stp>
        <stp>2</stp>
        <stp>000498</stp>
        <stp>12/31/2018</stp>
        <tr r="O2686" s="1"/>
      </tp>
      <tp>
        <v>0.51869139658688201</v>
        <stp/>
        <stp>EM_S_VAL_PS_TTM</stp>
        <stp>2</stp>
        <stp>000488</stp>
        <stp>12/31/2018</stp>
        <tr r="O3427" s="1"/>
      </tp>
      <tp>
        <v>1.0422601370175599</v>
        <stp/>
        <stp>EM_S_VAL_PS_TTM</stp>
        <stp>2</stp>
        <stp>600497</stp>
        <stp>12/31/2018</stp>
        <tr r="O1854" s="1"/>
      </tp>
      <tp>
        <v>0.63234013440260906</v>
        <stp/>
        <stp>EM_S_VAL_PS_TTM</stp>
        <stp>2</stp>
        <stp>600496</stp>
        <stp>12/31/2018</stp>
        <tr r="O1831" s="1"/>
      </tp>
      <tp>
        <v>4.1084173934455102</v>
        <stp/>
        <stp>EM_S_VAL_PS_TTM</stp>
        <stp>2</stp>
        <stp>600495</stp>
        <stp>12/31/2018</stp>
        <tr r="O2218" s="1"/>
      </tp>
      <tp>
        <v>1.76794128000924</v>
        <stp/>
        <stp>EM_S_VAL_PS_TTM</stp>
        <stp>2</stp>
        <stp>600493</stp>
        <stp>12/31/2018</stp>
        <tr r="O2813" s="1"/>
      </tp>
      <tp>
        <v>0.50651404342823103</v>
        <stp/>
        <stp>EM_S_VAL_PS_TTM</stp>
        <stp>2</stp>
        <stp>600491</stp>
        <stp>12/31/2018</stp>
        <tr r="O1872" s="1"/>
      </tp>
      <tp>
        <v>0.75524431259023395</v>
        <stp/>
        <stp>EM_S_VAL_PS_TTM</stp>
        <stp>2</stp>
        <stp>600490</stp>
        <stp>12/31/2018</stp>
        <tr r="O2114" s="1"/>
      </tp>
      <tp>
        <v>1.0190377003018201</v>
        <stp/>
        <stp>EM_S_VAL_PS_TTM</stp>
        <stp>2</stp>
        <stp>600499</stp>
        <stp>12/31/2018</stp>
        <tr r="O1885" s="1"/>
      </tp>
      <tp>
        <v>1.42244409097089</v>
        <stp/>
        <stp>EM_S_VAL_PS_TTM</stp>
        <stp>2</stp>
        <stp>600498</stp>
        <stp>12/31/2018</stp>
        <tr r="O2489" s="1"/>
      </tp>
      <tp>
        <v>1.04590407340109</v>
        <stp/>
        <stp>EM_S_VAL_PS_TTM</stp>
        <stp>2</stp>
        <stp>600487</stp>
        <stp>12/31/2018</stp>
        <tr r="O2604" s="1"/>
      </tp>
      <tp>
        <v>2.0707125436016498</v>
        <stp/>
        <stp>EM_S_VAL_PS_TTM</stp>
        <stp>2</stp>
        <stp>600486</stp>
        <stp>12/31/2018</stp>
        <tr r="O235" s="1"/>
      </tp>
      <tp>
        <v>-28.385192503200901</v>
        <stp/>
        <stp>EM_S_VAL_PS_TTM</stp>
        <stp>2</stp>
        <stp>600485</stp>
        <stp>12/31/2018</stp>
        <tr r="O3405" s="1"/>
      </tp>
      <tp>
        <v>1.52007766273156</v>
        <stp/>
        <stp>EM_S_VAL_PS_TTM</stp>
        <stp>2</stp>
        <stp>600483</stp>
        <stp>12/31/2018</stp>
        <tr r="O1892" s="1"/>
      </tp>
      <tp>
        <v>1.59078947451105</v>
        <stp/>
        <stp>EM_S_VAL_PS_TTM</stp>
        <stp>2</stp>
        <stp>600482</stp>
        <stp>12/31/2018</stp>
        <tr r="O2777" s="1"/>
      </tp>
      <tp>
        <v>2.3245830727615799</v>
        <stp/>
        <stp>EM_S_VAL_PS_TTM</stp>
        <stp>2</stp>
        <stp>600481</stp>
        <stp>12/31/2018</stp>
        <tr r="O2397" s="1"/>
      </tp>
      <tp>
        <v>0.27973991467665299</v>
        <stp/>
        <stp>EM_S_VAL_PS_TTM</stp>
        <stp>2</stp>
        <stp>600480</stp>
        <stp>12/31/2018</stp>
        <tr r="O2408" s="1"/>
      </tp>
      <tp>
        <v>0.907186289250411</v>
        <stp/>
        <stp>EM_S_VAL_PS_TTM</stp>
        <stp>2</stp>
        <stp>600489</stp>
        <stp>12/31/2018</stp>
        <tr r="O2454" s="1"/>
      </tp>
      <tp>
        <v>1.69745825845745</v>
        <stp/>
        <stp>EM_S_VAL_PS_TTM</stp>
        <stp>2</stp>
        <stp>600488</stp>
        <stp>12/31/2018</stp>
        <tr r="O1787" s="1"/>
      </tp>
      <tp>
        <v>1.3873099600161101</v>
        <stp/>
        <stp>EM_S_VAL_PS_TTM</stp>
        <stp>2</stp>
        <stp>300407</stp>
        <stp>12/31/2018</stp>
        <tr r="O2060" s="1"/>
      </tp>
      <tp>
        <v>6.5373779714612503</v>
        <stp/>
        <stp>EM_S_VAL_PS_TTM</stp>
        <stp>2</stp>
        <stp>300406</stp>
        <stp>12/31/2018</stp>
        <tr r="O400" s="1"/>
      </tp>
      <tp>
        <v>1.88447849500547</v>
        <stp/>
        <stp>EM_S_VAL_PS_TTM</stp>
        <stp>2</stp>
        <stp>600456</stp>
        <stp>12/31/2018</stp>
        <tr r="O393" s="1"/>
      </tp>
      <tp>
        <v>0.93684446228823204</v>
        <stp/>
        <stp>EM_S_VAL_PS_TTM</stp>
        <stp>2</stp>
        <stp>300405</stp>
        <stp>12/31/2018</stp>
        <tr r="O2766" s="1"/>
      </tp>
      <tp>
        <v>8.1776634469571903</v>
        <stp/>
        <stp>EM_S_VAL_PS_TTM</stp>
        <stp>2</stp>
        <stp>600455</stp>
        <stp>12/31/2018</stp>
        <tr r="O440" s="1"/>
      </tp>
      <tp>
        <v>9.8778430592874606</v>
        <stp/>
        <stp>EM_S_VAL_PS_TTM</stp>
        <stp>2</stp>
        <stp>300404</stp>
        <stp>12/31/2018</stp>
        <tr r="O1027" s="1"/>
      </tp>
      <tp>
        <v>3.8033862776900502</v>
        <stp/>
        <stp>EM_S_VAL_PS_TTM</stp>
        <stp>2</stp>
        <stp>300403</stp>
        <stp>12/31/2018</stp>
        <tr r="O2252" s="1"/>
      </tp>
      <tp>
        <v>2.57473669605608</v>
        <stp/>
        <stp>EM_S_VAL_PS_TTM</stp>
        <stp>2</stp>
        <stp>300402</stp>
        <stp>12/31/2018</stp>
        <tr r="O1278" s="1"/>
      </tp>
      <tp>
        <v>1.5259692518954</v>
        <stp/>
        <stp>EM_S_VAL_PS_TTM</stp>
        <stp>2</stp>
        <stp>600452</stp>
        <stp>12/31/2018</stp>
        <tr r="O1428" s="1"/>
      </tp>
      <tp>
        <v>9.9215637758287993</v>
        <stp/>
        <stp>EM_S_VAL_PS_TTM</stp>
        <stp>2</stp>
        <stp>300401</stp>
        <stp>12/31/2018</stp>
        <tr r="O2232" s="1"/>
      </tp>
      <tp>
        <v>4.0040716274108403</v>
        <stp/>
        <stp>EM_S_VAL_PS_TTM</stp>
        <stp>2</stp>
        <stp>000430</stp>
        <stp>12/31/2018</stp>
        <tr r="O3426" s="1"/>
      </tp>
      <tp>
        <v>6.0195984459840401</v>
        <stp/>
        <stp>EM_S_VAL_PS_TTM</stp>
        <stp>2</stp>
        <stp>300400</stp>
        <stp>12/31/2018</stp>
        <tr r="O2511" s="1"/>
      </tp>
      <tp>
        <v>1.83792258684272</v>
        <stp/>
        <stp>EM_S_VAL_PS_TTM</stp>
        <stp>2</stp>
        <stp>300409</stp>
        <stp>12/31/2018</stp>
        <tr r="O2377" s="1"/>
      </tp>
      <tp>
        <v>0.214762560943284</v>
        <stp/>
        <stp>EM_S_VAL_PS_TTM</stp>
        <stp>2</stp>
        <stp>600459</stp>
        <stp>12/31/2018</stp>
        <tr r="O755" s="1"/>
      </tp>
      <tp>
        <v>7.6553535265324104</v>
        <stp/>
        <stp>EM_S_VAL_PS_TTM</stp>
        <stp>2</stp>
        <stp>300408</stp>
        <stp>12/31/2018</stp>
        <tr r="O858" s="1"/>
      </tp>
      <tp>
        <v>0.46846046241906603</v>
        <stp/>
        <stp>EM_S_VAL_PS_TTM</stp>
        <stp>2</stp>
        <stp>600458</stp>
        <stp>12/31/2018</stp>
        <tr r="O2074" s="1"/>
      </tp>
      <tp>
        <v>7.7123027460086497</v>
        <stp/>
        <stp>EM_S_VAL_PS_TTM</stp>
        <stp>2</stp>
        <stp>300417</stp>
        <stp>12/31/2018</stp>
        <tr r="O56" s="1"/>
      </tp>
      <tp>
        <v>3.7991074566579202</v>
        <stp/>
        <stp>EM_S_VAL_PS_TTM</stp>
        <stp>2</stp>
        <stp>000426</stp>
        <stp>12/31/2018</stp>
        <tr r="O2266" s="1"/>
      </tp>
      <tp>
        <v>4.54242913302377</v>
        <stp/>
        <stp>EM_S_VAL_PS_TTM</stp>
        <stp>2</stp>
        <stp>300416</stp>
        <stp>12/31/2018</stp>
        <tr r="O301" s="1"/>
      </tp>
      <tp>
        <v>1.6203474044402799</v>
        <stp/>
        <stp>EM_S_VAL_PS_TTM</stp>
        <stp>2</stp>
        <stp>600446</stp>
        <stp>12/31/2018</stp>
        <tr r="O127" s="1"/>
      </tp>
      <tp>
        <v>0.60732408243310598</v>
        <stp/>
        <stp>EM_S_VAL_PS_TTM</stp>
        <stp>2</stp>
        <stp>000425</stp>
        <stp>12/31/2018</stp>
        <tr r="O319" s="1"/>
      </tp>
      <tp>
        <v>1.2642035373546401</v>
        <stp/>
        <stp>EM_S_VAL_PS_TTM</stp>
        <stp>2</stp>
        <stp>300415</stp>
        <stp>12/31/2018</stp>
        <tr r="O374" s="1"/>
      </tp>
      <tp>
        <v>7.0559448834289702</v>
        <stp/>
        <stp>EM_S_VAL_PS_TTM</stp>
        <stp>2</stp>
        <stp>300414</stp>
        <stp>12/31/2018</stp>
        <tr r="O3089" s="1"/>
      </tp>
      <tp>
        <v>2.3974353923895699</v>
        <stp/>
        <stp>EM_S_VAL_PS_TTM</stp>
        <stp>2</stp>
        <stp>600444</stp>
        <stp>12/31/2018</stp>
        <tr r="O1702" s="1"/>
      </tp>
      <tp>
        <v>3.5552042882316202</v>
        <stp/>
        <stp>EM_S_VAL_PS_TTM</stp>
        <stp>2</stp>
        <stp>000423</stp>
        <stp>12/31/2018</stp>
        <tr r="O3424" s="1"/>
      </tp>
      <tp>
        <v>8.3081346414459603</v>
        <stp/>
        <stp>EM_S_VAL_PS_TTM</stp>
        <stp>2</stp>
        <stp>300413</stp>
        <stp>12/31/2018</stp>
        <tr r="O2612" s="1"/>
      </tp>
      <tp>
        <v>0.20054291391221901</v>
        <stp/>
        <stp>EM_S_VAL_PS_TTM</stp>
        <stp>2</stp>
        <stp>000422</stp>
        <stp>12/31/2018</stp>
        <tr r="O2350" s="1"/>
      </tp>
      <tp>
        <v>3.5124331830036999</v>
        <stp/>
        <stp>EM_S_VAL_PS_TTM</stp>
        <stp>2</stp>
        <stp>300412</stp>
        <stp>12/31/2018</stp>
        <tr r="O2243" s="1"/>
      </tp>
      <tp>
        <v>0.74553888650868305</v>
        <stp/>
        <stp>EM_S_VAL_PS_TTM</stp>
        <stp>2</stp>
        <stp>000421</stp>
        <stp>12/31/2018</stp>
        <tr r="O3423" s="1"/>
      </tp>
      <tp>
        <v>5.7892687940040304</v>
        <stp/>
        <stp>EM_S_VAL_PS_TTM</stp>
        <stp>2</stp>
        <stp>300411</stp>
        <stp>12/31/2018</stp>
        <tr r="O2490" s="1"/>
      </tp>
      <tp>
        <v>1.4763984266571399</v>
        <stp/>
        <stp>EM_S_VAL_PS_TTM</stp>
        <stp>2</stp>
        <stp>000420</stp>
        <stp>12/31/2018</stp>
        <tr r="O1603" s="1"/>
      </tp>
      <tp>
        <v>3.09089048439081</v>
        <stp/>
        <stp>EM_S_VAL_PS_TTM</stp>
        <stp>2</stp>
        <stp>300410</stp>
        <stp>12/31/2018</stp>
        <tr r="O3396" s="1"/>
      </tp>
      <tp>
        <v>5.45975402207094</v>
        <stp/>
        <stp>EM_S_VAL_PS_TTM</stp>
        <stp>2</stp>
        <stp>000429</stp>
        <stp>12/31/2018</stp>
        <tr r="O2465" s="1"/>
      </tp>
      <tp>
        <v>3.4927074798439599</v>
        <stp/>
        <stp>EM_S_VAL_PS_TTM</stp>
        <stp>2</stp>
        <stp>300419</stp>
        <stp>12/31/2018</stp>
        <tr r="O1348" s="1"/>
      </tp>
      <tp>
        <v>0.89322485571258103</v>
        <stp/>
        <stp>EM_S_VAL_PS_TTM</stp>
        <stp>2</stp>
        <stp>600449</stp>
        <stp>12/31/2018</stp>
        <tr r="O621" s="1"/>
      </tp>
      <tp>
        <v>2.37088794765303</v>
        <stp/>
        <stp>EM_S_VAL_PS_TTM</stp>
        <stp>2</stp>
        <stp>000428</stp>
        <stp>12/31/2018</stp>
        <tr r="O3425" s="1"/>
      </tp>
      <tp>
        <v>4.3154321040478196</v>
        <stp/>
        <stp>EM_S_VAL_PS_TTM</stp>
        <stp>2</stp>
        <stp>300418</stp>
        <stp>12/31/2018</stp>
        <tr r="O889" s="1"/>
      </tp>
      <tp>
        <v>0.78585627759754895</v>
        <stp/>
        <stp>EM_S_VAL_PS_TTM</stp>
        <stp>2</stp>
        <stp>600448</stp>
        <stp>12/31/2018</stp>
        <tr r="O1775" s="1"/>
      </tp>
      <tp>
        <v>0.32321303122689998</v>
        <stp/>
        <stp>EM_S_VAL_PS_TTM</stp>
        <stp>2</stp>
        <stp>000417</stp>
        <stp>12/31/2018</stp>
        <tr r="O1571" s="1"/>
      </tp>
      <tp>
        <v>2.8194883636717099</v>
        <stp/>
        <stp>EM_S_VAL_PS_TTM</stp>
        <stp>2</stp>
        <stp>300427</stp>
        <stp>12/31/2018</stp>
        <tr r="O971" s="1"/>
      </tp>
      <tp>
        <v>1.1558506246726801</v>
        <stp/>
        <stp>EM_S_VAL_PS_TTM</stp>
        <stp>2</stp>
        <stp>600477</stp>
        <stp>12/31/2018</stp>
        <tr r="O3098" s="1"/>
      </tp>
      <tp>
        <v>27.837322299128701</v>
        <stp/>
        <stp>EM_S_VAL_PS_TTM</stp>
        <stp>2</stp>
        <stp>000416</stp>
        <stp>12/31/2018</stp>
        <tr r="O3421" s="1"/>
      </tp>
      <tp>
        <v>2.15624554033805</v>
        <stp/>
        <stp>EM_S_VAL_PS_TTM</stp>
        <stp>2</stp>
        <stp>300426</stp>
        <stp>12/31/2018</stp>
        <tr r="O2691" s="1"/>
      </tp>
      <tp>
        <v>6.8945135976452097</v>
        <stp/>
        <stp>EM_S_VAL_PS_TTM</stp>
        <stp>2</stp>
        <stp>600476</stp>
        <stp>12/31/2018</stp>
        <tr r="O1132" s="1"/>
      </tp>
      <tp>
        <v>0.59932823029164894</v>
        <stp/>
        <stp>EM_S_VAL_PS_TTM</stp>
        <stp>2</stp>
        <stp>000415</stp>
        <stp>12/31/2018</stp>
        <tr r="O2000" s="1"/>
      </tp>
      <tp>
        <v>3.1833026853503101</v>
        <stp/>
        <stp>EM_S_VAL_PS_TTM</stp>
        <stp>2</stp>
        <stp>300425</stp>
        <stp>12/31/2018</stp>
        <tr r="O2401" s="1"/>
      </tp>
      <tp>
        <v>0.61890292388516799</v>
        <stp/>
        <stp>EM_S_VAL_PS_TTM</stp>
        <stp>2</stp>
        <stp>600475</stp>
        <stp>12/31/2018</stp>
        <tr r="O1220" s="1"/>
      </tp>
      <tp>
        <v>5.0322077174578297</v>
        <stp/>
        <stp>EM_S_VAL_PS_TTM</stp>
        <stp>2</stp>
        <stp>300424</stp>
        <stp>12/31/2018</stp>
        <tr r="O1457" s="1"/>
      </tp>
      <tp>
        <v>0.98009763235751401</v>
        <stp/>
        <stp>EM_S_VAL_PS_TTM</stp>
        <stp>2</stp>
        <stp>000413</stp>
        <stp>12/31/2018</stp>
        <tr r="O3142" s="1"/>
      </tp>
      <tp>
        <v>2.2872264818800399</v>
        <stp/>
        <stp>EM_S_VAL_PS_TTM</stp>
        <stp>2</stp>
        <stp>300423</stp>
        <stp>12/31/2018</stp>
        <tr r="O3152" s="1"/>
      </tp>
      <tp>
        <v>0</v>
        <stp/>
        <stp>EM_S_VAL_PS_TTM</stp>
        <stp>2</stp>
        <stp>000412</stp>
        <stp>12/31/2018</stp>
        <tr r="O3420" s="1"/>
      </tp>
      <tp>
        <v>1.44629684448331</v>
        <stp/>
        <stp>EM_S_VAL_PS_TTM</stp>
        <stp>2</stp>
        <stp>300422</stp>
        <stp>12/31/2018</stp>
        <tr r="O2032" s="1"/>
      </tp>
      <tp>
        <v>29.542233921729199</v>
        <stp/>
        <stp>EM_S_VAL_PS_TTM</stp>
        <stp>2</stp>
        <stp>600472</stp>
        <stp>12/31/2018</stp>
        <tr r="O2303" s="1"/>
      </tp>
      <tp>
        <v>0.12956303572660399</v>
        <stp/>
        <stp>EM_S_VAL_PS_TTM</stp>
        <stp>2</stp>
        <stp>000411</stp>
        <stp>12/31/2018</stp>
        <tr r="O2518" s="1"/>
      </tp>
      <tp>
        <v>2.3046611432158</v>
        <stp/>
        <stp>EM_S_VAL_PS_TTM</stp>
        <stp>2</stp>
        <stp>300421</stp>
        <stp>12/31/2018</stp>
        <tr r="O3348" s="1"/>
      </tp>
      <tp>
        <v>0.92172908893794203</v>
        <stp/>
        <stp>EM_S_VAL_PS_TTM</stp>
        <stp>2</stp>
        <stp>000410</stp>
        <stp>12/31/2018</stp>
        <tr r="O3419" s="1"/>
      </tp>
      <tp>
        <v>3.71460443830783</v>
        <stp/>
        <stp>EM_S_VAL_PS_TTM</stp>
        <stp>2</stp>
        <stp>300420</stp>
        <stp>12/31/2018</stp>
        <tr r="O1747" s="1"/>
      </tp>
      <tp>
        <v>0.44330614001964203</v>
        <stp/>
        <stp>EM_S_VAL_PS_TTM</stp>
        <stp>2</stp>
        <stp>600470</stp>
        <stp>12/31/2018</stp>
        <tr r="O1540" s="1"/>
      </tp>
      <tp>
        <v>0.55546262900105603</v>
        <stp/>
        <stp>EM_S_VAL_PS_TTM</stp>
        <stp>2</stp>
        <stp>000419</stp>
        <stp>12/31/2018</stp>
        <tr r="O3422" s="1"/>
      </tp>
      <tp>
        <v>12.4331000680037</v>
        <stp/>
        <stp>EM_S_VAL_PS_TTM</stp>
        <stp>2</stp>
        <stp>300429</stp>
        <stp>12/31/2018</stp>
        <tr r="O3351" s="1"/>
      </tp>
      <tp>
        <v>1.0170872901477499</v>
        <stp/>
        <stp>EM_S_VAL_PS_TTM</stp>
        <stp>2</stp>
        <stp>600479</stp>
        <stp>12/31/2018</stp>
        <tr r="O1683" s="1"/>
      </tp>
      <tp>
        <v>1.19850002634179</v>
        <stp/>
        <stp>EM_S_VAL_PS_TTM</stp>
        <stp>2</stp>
        <stp>000418</stp>
        <stp>12/31/2018</stp>
        <tr r="O870" s="1"/>
      </tp>
      <tp>
        <v>2.5950058001471001</v>
        <stp/>
        <stp>EM_S_VAL_PS_TTM</stp>
        <stp>2</stp>
        <stp>300428</stp>
        <stp>12/31/2018</stp>
        <tr r="O1051" s="1"/>
      </tp>
      <tp>
        <v>3.3803676666957401</v>
        <stp/>
        <stp>EM_S_VAL_PS_TTM</stp>
        <stp>2</stp>
        <stp>600478</stp>
        <stp>12/31/2018</stp>
        <tr r="O1797" s="1"/>
      </tp>
      <tp>
        <v>0.733333488520999</v>
        <stp/>
        <stp>EM_S_VAL_PS_TTM</stp>
        <stp>2</stp>
        <stp>000407</stp>
        <stp>12/31/2018</stp>
        <tr r="O2601" s="1"/>
      </tp>
      <tp>
        <v>1.7071405941136399</v>
        <stp/>
        <stp>EM_S_VAL_PS_TTM</stp>
        <stp>2</stp>
        <stp>300437</stp>
        <stp>12/31/2018</stp>
        <tr r="O2786" s="1"/>
      </tp>
      <tp>
        <v>2.6479714183938601</v>
        <stp/>
        <stp>EM_S_VAL_PS_TTM</stp>
        <stp>2</stp>
        <stp>600467</stp>
        <stp>12/31/2018</stp>
        <tr r="O2199" s="1"/>
      </tp>
      <tp>
        <v>0</v>
        <stp/>
        <stp>EM_S_VAL_PS_TTM</stp>
        <stp>2</stp>
        <stp>000406</stp>
        <stp>12/31/2018</stp>
        <tr r="O3417" s="1"/>
      </tp>
      <tp>
        <v>9.5387034902098797</v>
        <stp/>
        <stp>EM_S_VAL_PS_TTM</stp>
        <stp>2</stp>
        <stp>300436</stp>
        <stp>12/31/2018</stp>
        <tr r="O879" s="1"/>
      </tp>
      <tp>
        <v>0.57455368253091699</v>
        <stp/>
        <stp>EM_S_VAL_PS_TTM</stp>
        <stp>2</stp>
        <stp>600466</stp>
        <stp>12/31/2018</stp>
        <tr r="O865" s="1"/>
      </tp>
      <tp>
        <v>529.66370620247301</v>
        <stp/>
        <stp>EM_S_VAL_PS_TTM</stp>
        <stp>2</stp>
        <stp>000405</stp>
        <stp>12/31/2018</stp>
        <tr r="O3416" s="1"/>
      </tp>
      <tp>
        <v>4.1632755578007803</v>
        <stp/>
        <stp>EM_S_VAL_PS_TTM</stp>
        <stp>2</stp>
        <stp>300435</stp>
        <stp>12/31/2018</stp>
        <tr r="O1794" s="1"/>
      </tp>
      <tp>
        <v>0.31120937991478198</v>
        <stp/>
        <stp>EM_S_VAL_PS_TTM</stp>
        <stp>2</stp>
        <stp>000404</stp>
        <stp>12/31/2018</stp>
        <tr r="O2194" s="1"/>
      </tp>
      <tp>
        <v>3.5558403010173798</v>
        <stp/>
        <stp>EM_S_VAL_PS_TTM</stp>
        <stp>2</stp>
        <stp>300434</stp>
        <stp>12/31/2018</stp>
        <tr r="O2981" s="1"/>
      </tp>
      <tp>
        <v>8.5287804365607496</v>
        <stp/>
        <stp>EM_S_VAL_PS_TTM</stp>
        <stp>2</stp>
        <stp>000403</stp>
        <stp>12/31/2018</stp>
        <tr r="O1103" s="1"/>
      </tp>
      <tp>
        <v>0.92690161624235301</v>
        <stp/>
        <stp>EM_S_VAL_PS_TTM</stp>
        <stp>2</stp>
        <stp>300433</stp>
        <stp>12/31/2018</stp>
        <tr r="O140" s="1"/>
      </tp>
      <tp>
        <v>1.91131910504536</v>
        <stp/>
        <stp>EM_S_VAL_PS_TTM</stp>
        <stp>2</stp>
        <stp>600463</stp>
        <stp>12/31/2018</stp>
        <tr r="O2180" s="1"/>
      </tp>
      <tp>
        <v>1.0519436908112201</v>
        <stp/>
        <stp>EM_S_VAL_PS_TTM</stp>
        <stp>2</stp>
        <stp>000402</stp>
        <stp>12/31/2018</stp>
        <tr r="O3415" s="1"/>
      </tp>
      <tp>
        <v>1.64671062094224</v>
        <stp/>
        <stp>EM_S_VAL_PS_TTM</stp>
        <stp>2</stp>
        <stp>300432</stp>
        <stp>12/31/2018</stp>
        <tr r="O180" s="1"/>
      </tp>
      <tp>
        <v>0.55008135628612198</v>
        <stp/>
        <stp>EM_S_VAL_PS_TTM</stp>
        <stp>2</stp>
        <stp>600462</stp>
        <stp>12/31/2018</stp>
        <tr r="O3369" s="1"/>
      </tp>
      <tp>
        <v>0.91759198264929498</v>
        <stp/>
        <stp>EM_S_VAL_PS_TTM</stp>
        <stp>2</stp>
        <stp>000401</stp>
        <stp>12/31/2018</stp>
        <tr r="O849" s="1"/>
      </tp>
      <tp>
        <v>1.6410612719433599</v>
        <stp/>
        <stp>EM_S_VAL_PS_TTM</stp>
        <stp>2</stp>
        <stp>300431</stp>
        <stp>12/31/2018</stp>
        <tr r="O3388" s="1"/>
      </tp>
      <tp>
        <v>0.97742412881598395</v>
        <stp/>
        <stp>EM_S_VAL_PS_TTM</stp>
        <stp>2</stp>
        <stp>600461</stp>
        <stp>12/31/2018</stp>
        <tr r="O1858" s="1"/>
      </tp>
      <tp>
        <v>0.97178696586107904</v>
        <stp/>
        <stp>EM_S_VAL_PS_TTM</stp>
        <stp>2</stp>
        <stp>000400</stp>
        <stp>12/31/2018</stp>
        <tr r="O3414" s="1"/>
      </tp>
      <tp>
        <v>3.38188275996847</v>
        <stp/>
        <stp>EM_S_VAL_PS_TTM</stp>
        <stp>2</stp>
        <stp>300430</stp>
        <stp>12/31/2018</stp>
        <tr r="O2455" s="1"/>
      </tp>
      <tp>
        <v>3.6260421294583298</v>
        <stp/>
        <stp>EM_S_VAL_PS_TTM</stp>
        <stp>2</stp>
        <stp>600460</stp>
        <stp>12/31/2018</stp>
        <tr r="O200" s="1"/>
      </tp>
      <tp>
        <v>2.9310464539601302</v>
        <stp/>
        <stp>EM_S_VAL_PS_TTM</stp>
        <stp>2</stp>
        <stp>000409</stp>
        <stp>12/31/2018</stp>
        <tr r="O2918" s="1"/>
      </tp>
      <tp>
        <v>1.9344478530645901</v>
        <stp/>
        <stp>EM_S_VAL_PS_TTM</stp>
        <stp>2</stp>
        <stp>300439</stp>
        <stp>12/31/2018</stp>
        <tr r="O2237" s="1"/>
      </tp>
      <tp>
        <v>0.31352764213065598</v>
        <stp/>
        <stp>EM_S_VAL_PS_TTM</stp>
        <stp>2</stp>
        <stp>600469</stp>
        <stp>12/31/2018</stp>
        <tr r="O749" s="1"/>
      </tp>
      <tp>
        <v>7.3812876819530597</v>
        <stp/>
        <stp>EM_S_VAL_PS_TTM</stp>
        <stp>2</stp>
        <stp>000408</stp>
        <stp>12/31/2018</stp>
        <tr r="O3418" s="1"/>
      </tp>
      <tp>
        <v>1.85531682887574</v>
        <stp/>
        <stp>EM_S_VAL_PS_TTM</stp>
        <stp>2</stp>
        <stp>300438</stp>
        <stp>12/31/2018</stp>
        <tr r="O364" s="1"/>
      </tp>
      <tp>
        <v>3.31627124374047</v>
        <stp/>
        <stp>EM_S_VAL_PS_TTM</stp>
        <stp>2</stp>
        <stp>600468</stp>
        <stp>12/31/2018</stp>
        <tr r="O3233" s="1"/>
      </tp>
      <tp>
        <v>4.9046545726078898</v>
        <stp/>
        <stp>EM_S_VAL_PS_TTM</stp>
        <stp>2</stp>
        <stp>300447</stp>
        <stp>12/31/2018</stp>
        <tr r="O1960" s="1"/>
      </tp>
      <tp>
        <v>7.1625223968120801</v>
        <stp/>
        <stp>EM_S_VAL_PS_TTM</stp>
        <stp>2</stp>
        <stp>300446</stp>
        <stp>12/31/2018</stp>
        <tr r="O1334" s="1"/>
      </tp>
      <tp>
        <v>0.64469265452161595</v>
        <stp/>
        <stp>EM_S_VAL_PS_TTM</stp>
        <stp>2</stp>
        <stp>600416</stp>
        <stp>12/31/2018</stp>
        <tr r="O795" s="1"/>
      </tp>
      <tp>
        <v>6.8285961952422598</v>
        <stp/>
        <stp>EM_S_VAL_PS_TTM</stp>
        <stp>2</stp>
        <stp>300445</stp>
        <stp>12/31/2018</stp>
        <tr r="O314" s="1"/>
      </tp>
      <tp>
        <v>5.1352938271444302</v>
        <stp/>
        <stp>EM_S_VAL_PS_TTM</stp>
        <stp>2</stp>
        <stp>600415</stp>
        <stp>12/31/2018</stp>
        <tr r="O1685" s="1"/>
      </tp>
      <tp>
        <v>2.04011739444379</v>
        <stp/>
        <stp>EM_S_VAL_PS_TTM</stp>
        <stp>2</stp>
        <stp>300444</stp>
        <stp>12/31/2018</stp>
        <tr r="O3128" s="1"/>
      </tp>
      <tp>
        <v>4.1628978793489599</v>
        <stp/>
        <stp>EM_S_VAL_PS_TTM</stp>
        <stp>2</stp>
        <stp>300443</stp>
        <stp>12/31/2018</stp>
        <tr r="O981" s="1"/>
      </tp>
      <tp>
        <v>2.0017003233747599</v>
        <stp/>
        <stp>EM_S_VAL_PS_TTM</stp>
        <stp>2</stp>
        <stp>300442</stp>
        <stp>12/31/2018</stp>
        <tr r="O1232" s="1"/>
      </tp>
      <tp>
        <v>3.1454556498862201</v>
        <stp/>
        <stp>EM_S_VAL_PS_TTM</stp>
        <stp>2</stp>
        <stp>300441</stp>
        <stp>12/31/2018</stp>
        <tr r="O685" s="1"/>
      </tp>
      <tp>
        <v>5.2814750515403102</v>
        <stp/>
        <stp>EM_S_VAL_PS_TTM</stp>
        <stp>2</stp>
        <stp>300440</stp>
        <stp>12/31/2018</stp>
        <tr r="O675" s="1"/>
      </tp>
      <tp>
        <v>1.2306820658120801</v>
        <stp/>
        <stp>EM_S_VAL_PS_TTM</stp>
        <stp>2</stp>
        <stp>600410</stp>
        <stp>12/31/2018</stp>
        <tr r="O272" s="1"/>
      </tp>
      <tp>
        <v>4.1216563188653002</v>
        <stp/>
        <stp>EM_S_VAL_PS_TTM</stp>
        <stp>2</stp>
        <stp>300449</stp>
        <stp>12/31/2018</stp>
        <tr r="O3249" s="1"/>
      </tp>
      <tp>
        <v>1.987565502791</v>
        <stp/>
        <stp>EM_S_VAL_PS_TTM</stp>
        <stp>2</stp>
        <stp>600419</stp>
        <stp>12/31/2018</stp>
        <tr r="O2434" s="1"/>
      </tp>
      <tp>
        <v>6.4367442060865896</v>
        <stp/>
        <stp>EM_S_VAL_PS_TTM</stp>
        <stp>2</stp>
        <stp>300448</stp>
        <stp>12/31/2018</stp>
        <tr r="O3181" s="1"/>
      </tp>
      <tp>
        <v>0.18211461296619599</v>
        <stp/>
        <stp>EM_S_VAL_PS_TTM</stp>
        <stp>2</stp>
        <stp>600418</stp>
        <stp>12/31/2018</stp>
        <tr r="O2111" s="1"/>
      </tp>
      <tp>
        <v>5.9325753031388597</v>
        <stp/>
        <stp>EM_S_VAL_PS_TTM</stp>
        <stp>2</stp>
        <stp>300457</stp>
        <stp>12/31/2018</stp>
        <tr r="O1422" s="1"/>
      </tp>
      <tp>
        <v>8.3238269750979796</v>
        <stp/>
        <stp>EM_S_VAL_PS_TTM</stp>
        <stp>2</stp>
        <stp>300456</stp>
        <stp>12/31/2018</stp>
        <tr r="O1723" s="1"/>
      </tp>
      <tp>
        <v>3.0711787628162002</v>
        <stp/>
        <stp>EM_S_VAL_PS_TTM</stp>
        <stp>2</stp>
        <stp>600406</stp>
        <stp>12/31/2018</stp>
        <tr r="O1471" s="1"/>
      </tp>
      <tp>
        <v>10.243759442182901</v>
        <stp/>
        <stp>EM_S_VAL_PS_TTM</stp>
        <stp>2</stp>
        <stp>300455</stp>
        <stp>12/31/2018</stp>
        <tr r="O388" s="1"/>
      </tp>
      <tp>
        <v>2.11067553602973</v>
        <stp/>
        <stp>EM_S_VAL_PS_TTM</stp>
        <stp>2</stp>
        <stp>600405</stp>
        <stp>12/31/2018</stp>
        <tr r="O1472" s="1"/>
      </tp>
      <tp>
        <v>12.1126797784737</v>
        <stp/>
        <stp>EM_S_VAL_PS_TTM</stp>
        <stp>2</stp>
        <stp>300454</stp>
        <stp>12/31/2018</stp>
        <tr r="O1028" s="1"/>
      </tp>
      <tp>
        <v>3.6917751246681498</v>
        <stp/>
        <stp>EM_S_VAL_PS_TTM</stp>
        <stp>2</stp>
        <stp>300453</stp>
        <stp>12/31/2018</stp>
        <tr r="O3248" s="1"/>
      </tp>
      <tp>
        <v>1.20249870066566</v>
        <stp/>
        <stp>EM_S_VAL_PS_TTM</stp>
        <stp>2</stp>
        <stp>600403</stp>
        <stp>12/31/2018</stp>
        <tr r="O1468" s="1"/>
      </tp>
      <tp>
        <v>4.5140867628303303</v>
        <stp/>
        <stp>EM_S_VAL_PS_TTM</stp>
        <stp>2</stp>
        <stp>300452</stp>
        <stp>12/31/2018</stp>
        <tr r="O1739" s="1"/>
      </tp>
      <tp>
        <v>7.7880476984510203</v>
        <stp/>
        <stp>EM_S_VAL_PS_TTM</stp>
        <stp>2</stp>
        <stp>300451</stp>
        <stp>12/31/2018</stp>
        <tr r="O2693" s="1"/>
      </tp>
      <tp>
        <v>2.5229626773724299</v>
        <stp/>
        <stp>EM_S_VAL_PS_TTM</stp>
        <stp>2</stp>
        <stp>600401</stp>
        <stp>12/31/2018</stp>
        <tr r="O3407" s="1"/>
      </tp>
      <tp>
        <v>6.6708735798190801</v>
        <stp/>
        <stp>EM_S_VAL_PS_TTM</stp>
        <stp>2</stp>
        <stp>300450</stp>
        <stp>12/31/2018</stp>
        <tr r="O468" s="1"/>
      </tp>
      <tp>
        <v>3.9399416545516499</v>
        <stp/>
        <stp>EM_S_VAL_PS_TTM</stp>
        <stp>2</stp>
        <stp>600400</stp>
        <stp>12/31/2018</stp>
        <tr r="O2812" s="1"/>
      </tp>
      <tp>
        <v>6.53125013789563</v>
        <stp/>
        <stp>EM_S_VAL_PS_TTM</stp>
        <stp>2</stp>
        <stp>300459</stp>
        <stp>12/31/2018</stp>
        <tr r="O3387" s="1"/>
      </tp>
      <tp>
        <v>0.583685267063621</v>
        <stp/>
        <stp>EM_S_VAL_PS_TTM</stp>
        <stp>2</stp>
        <stp>600409</stp>
        <stp>12/31/2018</stp>
        <tr r="O1750" s="1"/>
      </tp>
      <tp>
        <v>4.5134637498516597</v>
        <stp/>
        <stp>EM_S_VAL_PS_TTM</stp>
        <stp>2</stp>
        <stp>300458</stp>
        <stp>12/31/2018</stp>
        <tr r="O425" s="1"/>
      </tp>
      <tp>
        <v>0.31113790018828003</v>
        <stp/>
        <stp>EM_S_VAL_PS_TTM</stp>
        <stp>2</stp>
        <stp>600408</stp>
        <stp>12/31/2018</stp>
        <tr r="O2702" s="1"/>
      </tp>
      <tp>
        <v>7.7696166426763398</v>
        <stp/>
        <stp>EM_S_VAL_PS_TTM</stp>
        <stp>2</stp>
        <stp>300467</stp>
        <stp>12/31/2018</stp>
        <tr r="O2940" s="1"/>
      </tp>
      <tp>
        <v>5.4595081278578297</v>
        <stp/>
        <stp>EM_S_VAL_PS_TTM</stp>
        <stp>2</stp>
        <stp>300466</stp>
        <stp>12/31/2018</stp>
        <tr r="O1519" s="1"/>
      </tp>
      <tp>
        <v>11.476594218954499</v>
        <stp/>
        <stp>EM_S_VAL_PS_TTM</stp>
        <stp>2</stp>
        <stp>600436</stp>
        <stp>12/31/2018</stp>
        <tr r="O1060" s="1"/>
      </tp>
      <tp>
        <v>1.7824174292503601</v>
        <stp/>
        <stp>EM_S_VAL_PS_TTM</stp>
        <stp>2</stp>
        <stp>300465</stp>
        <stp>12/31/2018</stp>
        <tr r="O477" s="1"/>
      </tp>
      <tp>
        <v>6.6829004961941401</v>
        <stp/>
        <stp>EM_S_VAL_PS_TTM</stp>
        <stp>2</stp>
        <stp>600435</stp>
        <stp>12/31/2018</stp>
        <tr r="O1564" s="1"/>
      </tp>
      <tp>
        <v>2.5275319407566901</v>
        <stp/>
        <stp>EM_S_VAL_PS_TTM</stp>
        <stp>2</stp>
        <stp>300464</stp>
        <stp>12/31/2018</stp>
        <tr r="O195" s="1"/>
      </tp>
      <tp>
        <v>3.1721217371263899</v>
        <stp/>
        <stp>EM_S_VAL_PS_TTM</stp>
        <stp>2</stp>
        <stp>300463</stp>
        <stp>12/31/2018</stp>
        <tr r="O238" s="1"/>
      </tp>
      <tp>
        <v>1.8347008518489201</v>
        <stp/>
        <stp>EM_S_VAL_PS_TTM</stp>
        <stp>2</stp>
        <stp>600433</stp>
        <stp>12/31/2018</stp>
        <tr r="O2625" s="1"/>
      </tp>
      <tp>
        <v>7.9208797706604201</v>
        <stp/>
        <stp>EM_S_VAL_PS_TTM</stp>
        <stp>2</stp>
        <stp>300462</stp>
        <stp>12/31/2018</stp>
        <tr r="O369" s="1"/>
      </tp>
      <tp>
        <v>0.60441258337292203</v>
        <stp/>
        <stp>EM_S_VAL_PS_TTM</stp>
        <stp>2</stp>
        <stp>600432</stp>
        <stp>12/31/2018</stp>
        <tr r="O2302" s="1"/>
      </tp>
      <tp>
        <v>2.5800142804833799</v>
        <stp/>
        <stp>EM_S_VAL_PS_TTM</stp>
        <stp>2</stp>
        <stp>300461</stp>
        <stp>12/31/2018</stp>
        <tr r="O1686" s="1"/>
      </tp>
      <tp>
        <v>3.9612196891081601</v>
        <stp/>
        <stp>EM_S_VAL_PS_TTM</stp>
        <stp>2</stp>
        <stp>300460</stp>
        <stp>12/31/2018</stp>
        <tr r="O170" s="1"/>
      </tp>
      <tp>
        <v>3.9811248018165499</v>
        <stp/>
        <stp>EM_S_VAL_PS_TTM</stp>
        <stp>2</stp>
        <stp>300469</stp>
        <stp>12/31/2018</stp>
        <tr r="O2968" s="1"/>
      </tp>
      <tp>
        <v>1.54297376955454</v>
        <stp/>
        <stp>EM_S_VAL_PS_TTM</stp>
        <stp>2</stp>
        <stp>600439</stp>
        <stp>12/31/2018</stp>
        <tr r="O823" s="1"/>
      </tp>
      <tp>
        <v>4.70366780537318</v>
        <stp/>
        <stp>EM_S_VAL_PS_TTM</stp>
        <stp>2</stp>
        <stp>300468</stp>
        <stp>12/31/2018</stp>
        <tr r="O55" s="1"/>
      </tp>
      <tp>
        <v>1.1537383162828301</v>
        <stp/>
        <stp>EM_S_VAL_PS_TTM</stp>
        <stp>2</stp>
        <stp>600438</stp>
        <stp>12/31/2018</stp>
        <tr r="O448" s="1"/>
      </tp>
      <tp>
        <v>2.1486144378346599</v>
        <stp/>
        <stp>EM_S_VAL_PS_TTM</stp>
        <stp>2</stp>
        <stp>300477</stp>
        <stp>12/31/2018</stp>
        <tr r="O3020" s="1"/>
      </tp>
      <tp>
        <v>2.8911786968236401</v>
        <stp/>
        <stp>EM_S_VAL_PS_TTM</stp>
        <stp>2</stp>
        <stp>300476</stp>
        <stp>12/31/2018</stp>
        <tr r="O744" s="1"/>
      </tp>
      <tp>
        <v>1.39452685812816</v>
        <stp/>
        <stp>EM_S_VAL_PS_TTM</stp>
        <stp>2</stp>
        <stp>600426</stp>
        <stp>12/31/2018</stp>
        <tr r="O417" s="1"/>
      </tp>
      <tp>
        <v>4.3057992531142197</v>
        <stp/>
        <stp>EM_S_VAL_PS_TTM</stp>
        <stp>2</stp>
        <stp>300475</stp>
        <stp>12/31/2018</stp>
        <tr r="O864" s="1"/>
      </tp>
      <tp>
        <v>1.62756496809493</v>
        <stp/>
        <stp>EM_S_VAL_PS_TTM</stp>
        <stp>2</stp>
        <stp>600425</stp>
        <stp>12/31/2018</stp>
        <tr r="O935" s="1"/>
      </tp>
      <tp>
        <v>30.9255289017397</v>
        <stp/>
        <stp>EM_S_VAL_PS_TTM</stp>
        <stp>2</stp>
        <stp>300474</stp>
        <stp>12/31/2018</stp>
        <tr r="O392" s="1"/>
      </tp>
      <tp>
        <v>0.94218424731557604</v>
        <stp/>
        <stp>EM_S_VAL_PS_TTM</stp>
        <stp>2</stp>
        <stp>300473</stp>
        <stp>12/31/2018</stp>
        <tr r="O898" s="1"/>
      </tp>
      <tp>
        <v>1.52754479908156</v>
        <stp/>
        <stp>EM_S_VAL_PS_TTM</stp>
        <stp>2</stp>
        <stp>600423</stp>
        <stp>12/31/2018</stp>
        <tr r="O2841" s="1"/>
      </tp>
      <tp>
        <v>3.7876979215600102</v>
        <stp/>
        <stp>EM_S_VAL_PS_TTM</stp>
        <stp>2</stp>
        <stp>300472</stp>
        <stp>12/31/2018</stp>
        <tr r="O2439" s="1"/>
      </tp>
      <tp>
        <v>0.69323347055617202</v>
        <stp/>
        <stp>EM_S_VAL_PS_TTM</stp>
        <stp>2</stp>
        <stp>600422</stp>
        <stp>12/31/2018</stp>
        <tr r="O333" s="1"/>
      </tp>
      <tp>
        <v>6.4190446039518596</v>
        <stp/>
        <stp>EM_S_VAL_PS_TTM</stp>
        <stp>2</stp>
        <stp>300471</stp>
        <stp>12/31/2018</stp>
        <tr r="O341" s="1"/>
      </tp>
      <tp>
        <v>429.21252477517999</v>
        <stp/>
        <stp>EM_S_VAL_PS_TTM</stp>
        <stp>2</stp>
        <stp>600421</stp>
        <stp>12/31/2018</stp>
        <tr r="O1884" s="1"/>
      </tp>
      <tp>
        <v>6.5367484217164904</v>
        <stp/>
        <stp>EM_S_VAL_PS_TTM</stp>
        <stp>2</stp>
        <stp>300470</stp>
        <stp>12/31/2018</stp>
        <tr r="O1244" s="1"/>
      </tp>
      <tp>
        <v>0.92684326742381296</v>
        <stp/>
        <stp>EM_S_VAL_PS_TTM</stp>
        <stp>2</stp>
        <stp>600420</stp>
        <stp>12/31/2018</stp>
        <tr r="O2530" s="1"/>
      </tp>
      <tp>
        <v>5.5008687641834797</v>
        <stp/>
        <stp>EM_S_VAL_PS_TTM</stp>
        <stp>2</stp>
        <stp>300479</stp>
        <stp>12/31/2018</stp>
        <tr r="O1154" s="1"/>
      </tp>
      <tp>
        <v>1.15659122908867</v>
        <stp/>
        <stp>EM_S_VAL_PS_TTM</stp>
        <stp>2</stp>
        <stp>600429</stp>
        <stp>12/31/2018</stp>
        <tr r="O2394" s="1"/>
      </tp>
      <tp>
        <v>2.1688991538016</v>
        <stp/>
        <stp>EM_S_VAL_PS_TTM</stp>
        <stp>2</stp>
        <stp>300478</stp>
        <stp>12/31/2018</stp>
        <tr r="O3004" s="1"/>
      </tp>
      <tp>
        <v>0.98904001449569301</v>
        <stp/>
        <stp>EM_S_VAL_PS_TTM</stp>
        <stp>2</stp>
        <stp>600428</stp>
        <stp>12/31/2018</stp>
        <tr r="O1477" s="1"/>
      </tp>
      <tp>
        <v>2.7741617340647502</v>
        <stp/>
        <stp>EM_S_VAL_PS_TTM</stp>
        <stp>2</stp>
        <stp>000997</stp>
        <stp>12/31/2018</stp>
        <tr r="O1814" s="1"/>
      </tp>
      <tp>
        <v>46.232532198371104</v>
        <stp/>
        <stp>EM_S_VAL_PS_TTM</stp>
        <stp>2</stp>
        <stp>000996</stp>
        <stp>12/31/2018</stp>
        <tr r="O1113" s="1"/>
      </tp>
      <tp>
        <v>56.431688074961897</v>
        <stp/>
        <stp>EM_S_VAL_PS_TTM</stp>
        <stp>2</stp>
        <stp>000995</stp>
        <stp>12/31/2018</stp>
        <tr r="O3601" s="1"/>
      </tp>
      <tp>
        <v>3.7672692153173699</v>
        <stp/>
        <stp>EM_S_VAL_PS_TTM</stp>
        <stp>2</stp>
        <stp>000993</stp>
        <stp>12/31/2018</stp>
        <tr r="O3600" s="1"/>
      </tp>
      <tp>
        <v>0</v>
        <stp/>
        <stp>EM_S_VAL_PS_TTM</stp>
        <stp>2</stp>
        <stp>000991</stp>
        <stp>12/31/2018</stp>
        <tr r="O3599" s="1"/>
      </tp>
      <tp>
        <v>2.5695349868589599</v>
        <stp/>
        <stp>EM_S_VAL_PS_TTM</stp>
        <stp>2</stp>
        <stp>000990</stp>
        <stp>12/31/2018</stp>
        <tr r="O1153" s="1"/>
      </tp>
      <tp>
        <v>1.86044699094628</v>
        <stp/>
        <stp>EM_S_VAL_PS_TTM</stp>
        <stp>2</stp>
        <stp>000999</stp>
        <stp>12/31/2018</stp>
        <tr r="O1163" s="1"/>
      </tp>
      <tp>
        <v>5.7534673530288201</v>
        <stp/>
        <stp>EM_S_VAL_PS_TTM</stp>
        <stp>2</stp>
        <stp>000998</stp>
        <stp>12/31/2018</stp>
        <tr r="O2742" s="1"/>
      </tp>
      <tp>
        <v>3.7430847793705602</v>
        <stp/>
        <stp>EM_S_VAL_PS_TTM</stp>
        <stp>2</stp>
        <stp>000987</stp>
        <stp>12/31/2018</stp>
        <tr r="O3597" s="1"/>
      </tp>
      <tp>
        <v>1.0359685217180801</v>
        <stp/>
        <stp>EM_S_VAL_PS_TTM</stp>
        <stp>2</stp>
        <stp>000985</stp>
        <stp>12/31/2018</stp>
        <tr r="O3596" s="1"/>
      </tp>
      <tp>
        <v>0.55816825787820001</v>
        <stp/>
        <stp>EM_S_VAL_PS_TTM</stp>
        <stp>2</stp>
        <stp>000983</stp>
        <stp>12/31/2018</stp>
        <tr r="O1655" s="1"/>
      </tp>
      <tp>
        <v>0.85898254529238605</v>
        <stp/>
        <stp>EM_S_VAL_PS_TTM</stp>
        <stp>2</stp>
        <stp>000982</stp>
        <stp>12/31/2018</stp>
        <tr r="O3595" s="1"/>
      </tp>
      <tp>
        <v>1.18792578570565</v>
        <stp/>
        <stp>EM_S_VAL_PS_TTM</stp>
        <stp>2</stp>
        <stp>000981</stp>
        <stp>12/31/2018</stp>
        <tr r="O3594" s="1"/>
      </tp>
      <tp>
        <v>0.38893010667528899</v>
        <stp/>
        <stp>EM_S_VAL_PS_TTM</stp>
        <stp>2</stp>
        <stp>000980</stp>
        <stp>12/31/2018</stp>
        <tr r="O3593" s="1"/>
      </tp>
      <tp>
        <v>2.34701961660096</v>
        <stp/>
        <stp>EM_S_VAL_PS_TTM</stp>
        <stp>2</stp>
        <stp>000989</stp>
        <stp>12/31/2018</stp>
        <tr r="O3598" s="1"/>
      </tp>
      <tp>
        <v>2.3021180674404702</v>
        <stp/>
        <stp>EM_S_VAL_PS_TTM</stp>
        <stp>2</stp>
        <stp>000988</stp>
        <stp>12/31/2018</stp>
        <tr r="O328" s="1"/>
      </tp>
      <tp>
        <v>0.45314718207365001</v>
        <stp/>
        <stp>EM_S_VAL_PS_TTM</stp>
        <stp>2</stp>
        <stp>600997</stp>
        <stp>12/31/2018</stp>
        <tr r="O2542" s="1"/>
      </tp>
      <tp>
        <v>2.33756860243352</v>
        <stp/>
        <stp>EM_S_VAL_PS_TTM</stp>
        <stp>2</stp>
        <stp>600996</stp>
        <stp>12/31/2018</stp>
        <tr r="O1043" s="1"/>
      </tp>
      <tp>
        <v>1.5510200315162701</v>
        <stp/>
        <stp>EM_S_VAL_PS_TTM</stp>
        <stp>2</stp>
        <stp>600995</stp>
        <stp>12/31/2018</stp>
        <tr r="O1373" s="1"/>
      </tp>
      <tp>
        <v>2.68809741928948</v>
        <stp/>
        <stp>EM_S_VAL_PS_TTM</stp>
        <stp>2</stp>
        <stp>600993</stp>
        <stp>12/31/2018</stp>
        <tr r="O973" s="1"/>
      </tp>
      <tp>
        <v>0.81454813075584198</v>
        <stp/>
        <stp>EM_S_VAL_PS_TTM</stp>
        <stp>2</stp>
        <stp>600992</stp>
        <stp>12/31/2018</stp>
        <tr r="O2383" s="1"/>
      </tp>
      <tp>
        <v>1.83692000734868</v>
        <stp/>
        <stp>EM_S_VAL_PS_TTM</stp>
        <stp>2</stp>
        <stp>600991</stp>
        <stp>12/31/2018</stp>
        <tr r="O2334" s="1"/>
      </tp>
      <tp>
        <v>1.12464728876762</v>
        <stp/>
        <stp>EM_S_VAL_PS_TTM</stp>
        <stp>2</stp>
        <stp>600990</stp>
        <stp>12/31/2018</stp>
        <tr r="O934" s="1"/>
      </tp>
      <tp>
        <v>7.7254483063741803</v>
        <stp/>
        <stp>EM_S_VAL_PS_TTM</stp>
        <stp>2</stp>
        <stp>600999</stp>
        <stp>12/31/2018</stp>
        <tr r="O764" s="1"/>
      </tp>
      <tp>
        <v>0.32937487628350298</v>
        <stp/>
        <stp>EM_S_VAL_PS_TTM</stp>
        <stp>2</stp>
        <stp>600998</stp>
        <stp>12/31/2018</stp>
        <tr r="O2675" s="1"/>
      </tp>
      <tp>
        <v>1.55749636768336</v>
        <stp/>
        <stp>EM_S_VAL_PS_TTM</stp>
        <stp>2</stp>
        <stp>600987</stp>
        <stp>12/31/2018</stp>
        <tr r="O3102" s="1"/>
      </tp>
      <tp>
        <v>0.40990247201028701</v>
        <stp/>
        <stp>EM_S_VAL_PS_TTM</stp>
        <stp>2</stp>
        <stp>600986</stp>
        <stp>12/31/2018</stp>
        <tr r="O1246" s="1"/>
      </tp>
      <tp>
        <v>3.1865493650210399</v>
        <stp/>
        <stp>EM_S_VAL_PS_TTM</stp>
        <stp>2</stp>
        <stp>600985</stp>
        <stp>12/31/2018</stp>
        <tr r="O1841" s="1"/>
      </tp>
      <tp>
        <v>1.9767254116147099</v>
        <stp/>
        <stp>EM_S_VAL_PS_TTM</stp>
        <stp>2</stp>
        <stp>600984</stp>
        <stp>12/31/2018</stp>
        <tr r="O159" s="1"/>
      </tp>
      <tp>
        <v>0.66065564957501499</v>
        <stp/>
        <stp>EM_S_VAL_PS_TTM</stp>
        <stp>2</stp>
        <stp>600983</stp>
        <stp>12/31/2018</stp>
        <tr r="O2645" s="1"/>
      </tp>
      <tp>
        <v>1.6363269353129699</v>
        <stp/>
        <stp>EM_S_VAL_PS_TTM</stp>
        <stp>2</stp>
        <stp>600982</stp>
        <stp>12/31/2018</stp>
        <tr r="O2729" s="1"/>
      </tp>
      <tp>
        <v>0.21722074201726299</v>
        <stp/>
        <stp>EM_S_VAL_PS_TTM</stp>
        <stp>2</stp>
        <stp>600981</stp>
        <stp>12/31/2018</stp>
        <tr r="O2364" s="1"/>
      </tp>
      <tp>
        <v>3.2258049911027</v>
        <stp/>
        <stp>EM_S_VAL_PS_TTM</stp>
        <stp>2</stp>
        <stp>600980</stp>
        <stp>12/31/2018</stp>
        <tr r="O669" s="1"/>
      </tp>
      <tp>
        <v>2.46357535870913</v>
        <stp/>
        <stp>EM_S_VAL_PS_TTM</stp>
        <stp>2</stp>
        <stp>600988</stp>
        <stp>12/31/2018</stp>
        <tr r="O1255" s="1"/>
      </tp>
      <tp>
        <v>0.62646834131539597</v>
        <stp/>
        <stp>EM_S_VAL_PS_TTM</stp>
        <stp>2</stp>
        <stp>000937</stp>
        <stp>12/31/2018</stp>
        <tr r="O2461" s="1"/>
      </tp>
      <tp>
        <v>1.9831894741560401</v>
        <stp/>
        <stp>EM_S_VAL_PS_TTM</stp>
        <stp>2</stp>
        <stp>000936</stp>
        <stp>12/31/2018</stp>
        <tr r="O953" s="1"/>
      </tp>
      <tp>
        <v>4.8616564803469799</v>
        <stp/>
        <stp>EM_S_VAL_PS_TTM</stp>
        <stp>2</stp>
        <stp>000935</stp>
        <stp>12/31/2018</stp>
        <tr r="O3582" s="1"/>
      </tp>
      <tp>
        <v>0.39070890507810802</v>
        <stp/>
        <stp>EM_S_VAL_PS_TTM</stp>
        <stp>2</stp>
        <stp>000933</stp>
        <stp>12/31/2018</stp>
        <tr r="O3581" s="1"/>
      </tp>
      <tp>
        <v>0.20467440935456099</v>
        <stp/>
        <stp>EM_S_VAL_PS_TTM</stp>
        <stp>2</stp>
        <stp>000932</stp>
        <stp>12/31/2018</stp>
        <tr r="O3096" s="1"/>
      </tp>
      <tp>
        <v>2.8233239805552302</v>
        <stp/>
        <stp>EM_S_VAL_PS_TTM</stp>
        <stp>2</stp>
        <stp>000931</stp>
        <stp>12/31/2018</stp>
        <tr r="O720" s="1"/>
      </tp>
      <tp>
        <v>2.0462394021875401</v>
        <stp/>
        <stp>EM_S_VAL_PS_TTM</stp>
        <stp>2</stp>
        <stp>000930</stp>
        <stp>12/31/2018</stp>
        <tr r="O2797" s="1"/>
      </tp>
      <tp>
        <v>1.3337159172992601</v>
        <stp/>
        <stp>EM_S_VAL_PS_TTM</stp>
        <stp>2</stp>
        <stp>000939</stp>
        <stp>12/31/2018</stp>
        <tr r="O3583" s="1"/>
      </tp>
      <tp>
        <v>2.54841216279699</v>
        <stp/>
        <stp>EM_S_VAL_PS_TTM</stp>
        <stp>2</stp>
        <stp>600959</stp>
        <stp>12/31/2018</stp>
        <tr r="O2509" s="1"/>
      </tp>
      <tp>
        <v>0.981425677493167</v>
        <stp/>
        <stp>EM_S_VAL_PS_TTM</stp>
        <stp>2</stp>
        <stp>000938</stp>
        <stp>12/31/2018</stp>
        <tr r="O2342" s="1"/>
      </tp>
      <tp>
        <v>5.5529117112934596</v>
        <stp/>
        <stp>EM_S_VAL_PS_TTM</stp>
        <stp>2</stp>
        <stp>600958</stp>
        <stp>12/31/2018</stp>
        <tr r="O811" s="1"/>
      </tp>
      <tp>
        <v>3.5978229278182901</v>
        <stp/>
        <stp>EM_S_VAL_PS_TTM</stp>
        <stp>2</stp>
        <stp>000927</stp>
        <stp>12/31/2018</stp>
        <tr r="O3579" s="1"/>
      </tp>
      <tp>
        <v>0.50114009233300605</v>
        <stp/>
        <stp>EM_S_VAL_PS_TTM</stp>
        <stp>2</stp>
        <stp>000926</stp>
        <stp>12/31/2018</stp>
        <tr r="O3578" s="1"/>
      </tp>
      <tp>
        <v>1.43441774389821</v>
        <stp/>
        <stp>EM_S_VAL_PS_TTM</stp>
        <stp>2</stp>
        <stp>000925</stp>
        <stp>12/31/2018</stp>
        <tr r="O1523" s="1"/>
      </tp>
      <tp>
        <v>1.7658253239525299</v>
        <stp/>
        <stp>EM_S_VAL_PS_TTM</stp>
        <stp>2</stp>
        <stp>000923</stp>
        <stp>12/31/2018</stp>
        <tr r="O3577" s="1"/>
      </tp>
      <tp>
        <v>1.7003642231504501</v>
        <stp/>
        <stp>EM_S_VAL_PS_TTM</stp>
        <stp>2</stp>
        <stp>000922</stp>
        <stp>12/31/2018</stp>
        <tr r="O1487" s="1"/>
      </tp>
      <tp>
        <v>0.26835690749291502</v>
        <stp/>
        <stp>EM_S_VAL_PS_TTM</stp>
        <stp>2</stp>
        <stp>000921</stp>
        <stp>12/31/2018</stp>
        <tr r="O344" s="1"/>
      </tp>
      <tp>
        <v>2.1290732358753699</v>
        <stp/>
        <stp>EM_S_VAL_PS_TTM</stp>
        <stp>2</stp>
        <stp>000920</stp>
        <stp>12/31/2018</stp>
        <tr r="O969" s="1"/>
      </tp>
      <tp>
        <v>2.2964128933989301</v>
        <stp/>
        <stp>EM_S_VAL_PS_TTM</stp>
        <stp>2</stp>
        <stp>000929</stp>
        <stp>12/31/2018</stp>
        <tr r="O3580" s="1"/>
      </tp>
      <tp>
        <v>0.73433942360142102</v>
        <stp/>
        <stp>EM_S_VAL_PS_TTM</stp>
        <stp>2</stp>
        <stp>000928</stp>
        <stp>12/31/2018</stp>
        <tr r="O1780" s="1"/>
      </tp>
      <tp>
        <v>0.95945674185721697</v>
        <stp/>
        <stp>EM_S_VAL_PS_TTM</stp>
        <stp>2</stp>
        <stp>000917</stp>
        <stp>12/31/2018</stp>
        <tr r="O2445" s="1"/>
      </tp>
      <tp>
        <v>2.8966024416209</v>
        <stp/>
        <stp>EM_S_VAL_PS_TTM</stp>
        <stp>2</stp>
        <stp>600977</stp>
        <stp>12/31/2018</stp>
        <tr r="O1944" s="1"/>
      </tp>
      <tp>
        <v>9.5034066705548099</v>
        <stp/>
        <stp>EM_S_VAL_PS_TTM</stp>
        <stp>2</stp>
        <stp>000916</stp>
        <stp>12/31/2018</stp>
        <tr r="O3574" s="1"/>
      </tp>
      <tp>
        <v>1.00120204105028</v>
        <stp/>
        <stp>EM_S_VAL_PS_TTM</stp>
        <stp>2</stp>
        <stp>600976</stp>
        <stp>12/31/2018</stp>
        <tr r="O1228" s="1"/>
      </tp>
      <tp>
        <v>2.0408091633330501</v>
        <stp/>
        <stp>EM_S_VAL_PS_TTM</stp>
        <stp>2</stp>
        <stp>000915</stp>
        <stp>12/31/2018</stp>
        <tr r="O3573" s="1"/>
      </tp>
      <tp>
        <v>1.34325470084084</v>
        <stp/>
        <stp>EM_S_VAL_PS_TTM</stp>
        <stp>2</stp>
        <stp>600975</stp>
        <stp>12/31/2018</stp>
        <tr r="O106" s="1"/>
      </tp>
      <tp>
        <v>1.1950650452520299</v>
        <stp/>
        <stp>EM_S_VAL_PS_TTM</stp>
        <stp>2</stp>
        <stp>000913</stp>
        <stp>12/31/2018</stp>
        <tr r="O1323" s="1"/>
      </tp>
      <tp>
        <v>0.138894234877908</v>
        <stp/>
        <stp>EM_S_VAL_PS_TTM</stp>
        <stp>2</stp>
        <stp>600973</stp>
        <stp>12/31/2018</stp>
        <tr r="O2049" s="1"/>
      </tp>
      <tp>
        <v>1.7696732617089701</v>
        <stp/>
        <stp>EM_S_VAL_PS_TTM</stp>
        <stp>2</stp>
        <stp>000912</stp>
        <stp>12/31/2018</stp>
        <tr r="O2196" s="1"/>
      </tp>
      <tp>
        <v>0.43595923214424098</v>
        <stp/>
        <stp>EM_S_VAL_PS_TTM</stp>
        <stp>2</stp>
        <stp>000911</stp>
        <stp>12/31/2018</stp>
        <tr r="O3572" s="1"/>
      </tp>
      <tp>
        <v>0.92549584520114903</v>
        <stp/>
        <stp>EM_S_VAL_PS_TTM</stp>
        <stp>2</stp>
        <stp>600971</stp>
        <stp>12/31/2018</stp>
        <tr r="O1930" s="1"/>
      </tp>
      <tp>
        <v>0.77924798897057801</v>
        <stp/>
        <stp>EM_S_VAL_PS_TTM</stp>
        <stp>2</stp>
        <stp>000910</stp>
        <stp>12/31/2018</stp>
        <tr r="O880" s="1"/>
      </tp>
      <tp>
        <v>0.46568596290180098</v>
        <stp/>
        <stp>EM_S_VAL_PS_TTM</stp>
        <stp>2</stp>
        <stp>600970</stp>
        <stp>12/31/2018</stp>
        <tr r="O1048" s="1"/>
      </tp>
      <tp>
        <v>1.0421886617829099</v>
        <stp/>
        <stp>EM_S_VAL_PS_TTM</stp>
        <stp>2</stp>
        <stp>000919</stp>
        <stp>12/31/2018</stp>
        <tr r="O3576" s="1"/>
      </tp>
      <tp>
        <v>1.81109683411192</v>
        <stp/>
        <stp>EM_S_VAL_PS_TTM</stp>
        <stp>2</stp>
        <stp>600979</stp>
        <stp>12/31/2018</stp>
        <tr r="O2045" s="1"/>
      </tp>
      <tp>
        <v>12.6674020263091</v>
        <stp/>
        <stp>EM_S_VAL_PS_TTM</stp>
        <stp>2</stp>
        <stp>000918</stp>
        <stp>12/31/2018</stp>
        <tr r="O3575" s="1"/>
      </tp>
      <tp>
        <v>0.74973957521451395</v>
        <stp/>
        <stp>EM_S_VAL_PS_TTM</stp>
        <stp>2</stp>
        <stp>600978</stp>
        <stp>12/31/2018</stp>
        <tr r="O3195" s="1"/>
      </tp>
      <tp>
        <v>1.4849527376504199</v>
        <stp/>
        <stp>EM_S_VAL_PS_TTM</stp>
        <stp>2</stp>
        <stp>600967</stp>
        <stp>12/31/2018</stp>
        <tr r="O2184" s="1"/>
      </tp>
      <tp>
        <v>5.4076170475214298E-2</v>
        <stp/>
        <stp>EM_S_VAL_PS_TTM</stp>
        <stp>2</stp>
        <stp>000906</stp>
        <stp>12/31/2018</stp>
        <tr r="O1291" s="1"/>
      </tp>
      <tp>
        <v>0.46498285306120202</v>
        <stp/>
        <stp>EM_S_VAL_PS_TTM</stp>
        <stp>2</stp>
        <stp>600966</stp>
        <stp>12/31/2018</stp>
        <tr r="O326" s="1"/>
      </tp>
      <tp>
        <v>0.235813390435437</v>
        <stp/>
        <stp>EM_S_VAL_PS_TTM</stp>
        <stp>2</stp>
        <stp>000905</stp>
        <stp>12/31/2018</stp>
        <tr r="O3570" s="1"/>
      </tp>
      <tp>
        <v>5.6058647509908202</v>
        <stp/>
        <stp>EM_S_VAL_PS_TTM</stp>
        <stp>2</stp>
        <stp>600965</stp>
        <stp>12/31/2018</stp>
        <tr r="O3222" s="1"/>
      </tp>
      <tp>
        <v>0.73598269033906505</v>
        <stp/>
        <stp>EM_S_VAL_PS_TTM</stp>
        <stp>2</stp>
        <stp>000903</stp>
        <stp>12/31/2018</stp>
        <tr r="O1940" s="1"/>
      </tp>
      <tp>
        <v>0.79039771681044801</v>
        <stp/>
        <stp>EM_S_VAL_PS_TTM</stp>
        <stp>2</stp>
        <stp>600963</stp>
        <stp>12/31/2018</stp>
        <tr r="O1727" s="1"/>
      </tp>
      <tp>
        <v>1.14660492035214</v>
        <stp/>
        <stp>EM_S_VAL_PS_TTM</stp>
        <stp>2</stp>
        <stp>000902</stp>
        <stp>12/31/2018</stp>
        <tr r="O2826" s="1"/>
      </tp>
      <tp>
        <v>2.04302825652938</v>
        <stp/>
        <stp>EM_S_VAL_PS_TTM</stp>
        <stp>2</stp>
        <stp>600962</stp>
        <stp>12/31/2018</stp>
        <tr r="O1599" s="1"/>
      </tp>
      <tp>
        <v>0.91826761821904301</v>
        <stp/>
        <stp>EM_S_VAL_PS_TTM</stp>
        <stp>2</stp>
        <stp>000901</stp>
        <stp>12/31/2018</stp>
        <tr r="O3569" s="1"/>
      </tp>
      <tp>
        <v>0.31362673631854199</v>
        <stp/>
        <stp>EM_S_VAL_PS_TTM</stp>
        <stp>2</stp>
        <stp>600961</stp>
        <stp>12/31/2018</stp>
        <tr r="O1803" s="1"/>
      </tp>
      <tp>
        <v>0.49444166420514701</v>
        <stp/>
        <stp>EM_S_VAL_PS_TTM</stp>
        <stp>2</stp>
        <stp>000900</stp>
        <stp>12/31/2018</stp>
        <tr r="O1632" s="1"/>
      </tp>
      <tp>
        <v>1.02519844240886</v>
        <stp/>
        <stp>EM_S_VAL_PS_TTM</stp>
        <stp>2</stp>
        <stp>600960</stp>
        <stp>12/31/2018</stp>
        <tr r="O2720" s="1"/>
      </tp>
      <tp>
        <v>0.84765501926957798</v>
        <stp/>
        <stp>EM_S_VAL_PS_TTM</stp>
        <stp>2</stp>
        <stp>000909</stp>
        <stp>12/31/2018</stp>
        <tr r="O3571" s="1"/>
      </tp>
      <tp>
        <v>0.79325421200202595</v>
        <stp/>
        <stp>EM_S_VAL_PS_TTM</stp>
        <stp>2</stp>
        <stp>600969</stp>
        <stp>12/31/2018</stp>
        <tr r="O1681" s="1"/>
      </tp>
      <tp>
        <v>1.4564493947914701</v>
        <stp/>
        <stp>EM_S_VAL_PS_TTM</stp>
        <stp>2</stp>
        <stp>000908</stp>
        <stp>12/31/2018</stp>
        <tr r="O3008" s="1"/>
      </tp>
      <tp>
        <v>0.48290136203088702</v>
        <stp/>
        <stp>EM_S_VAL_PS_TTM</stp>
        <stp>2</stp>
        <stp>000977</stp>
        <stp>12/31/2018</stp>
        <tr r="O206" s="1"/>
      </tp>
      <tp>
        <v>1.8455502881953101</v>
        <stp/>
        <stp>EM_S_VAL_PS_TTM</stp>
        <stp>2</stp>
        <stp>600917</stp>
        <stp>12/31/2018</stp>
        <tr r="O2163" s="1"/>
      </tp>
      <tp>
        <v>4.2648893741737997</v>
        <stp/>
        <stp>EM_S_VAL_PS_TTM</stp>
        <stp>2</stp>
        <stp>000976</stp>
        <stp>12/31/2018</stp>
        <tr r="O3591" s="1"/>
      </tp>
      <tp>
        <v>5.4225387458720302</v>
        <stp/>
        <stp>EM_S_VAL_PS_TTM</stp>
        <stp>2</stp>
        <stp>000975</stp>
        <stp>12/31/2018</stp>
        <tr r="O930" s="1"/>
      </tp>
      <tp>
        <v>1.3226062017640201</v>
        <stp/>
        <stp>EM_S_VAL_PS_TTM</stp>
        <stp>2</stp>
        <stp>000973</stp>
        <stp>12/31/2018</stp>
        <tr r="O658" s="1"/>
      </tp>
      <tp>
        <v>3.6467840988704898</v>
        <stp/>
        <stp>EM_S_VAL_PS_TTM</stp>
        <stp>2</stp>
        <stp>000972</stp>
        <stp>12/31/2018</stp>
        <tr r="O3590" s="1"/>
      </tp>
      <tp>
        <v>4.07388732461113</v>
        <stp/>
        <stp>EM_S_VAL_PS_TTM</stp>
        <stp>2</stp>
        <stp>000971</stp>
        <stp>12/31/2018</stp>
        <tr r="O3589" s="1"/>
      </tp>
      <tp>
        <v>1.89039239655143</v>
        <stp/>
        <stp>EM_S_VAL_PS_TTM</stp>
        <stp>2</stp>
        <stp>000970</stp>
        <stp>12/31/2018</stp>
        <tr r="O573" s="1"/>
      </tp>
      <tp>
        <v>1.2862919038715901</v>
        <stp/>
        <stp>EM_S_VAL_PS_TTM</stp>
        <stp>2</stp>
        <stp>000979</stp>
        <stp>12/31/2018</stp>
        <tr r="O3592" s="1"/>
      </tp>
      <tp>
        <v>2.0109670797802899</v>
        <stp/>
        <stp>EM_S_VAL_PS_TTM</stp>
        <stp>2</stp>
        <stp>600919</stp>
        <stp>12/31/2018</stp>
        <tr r="O1245" s="1"/>
      </tp>
      <tp>
        <v>3.26403898442326</v>
        <stp/>
        <stp>EM_S_VAL_PS_TTM</stp>
        <stp>2</stp>
        <stp>000978</stp>
        <stp>12/31/2018</stp>
        <tr r="O2177" s="1"/>
      </tp>
      <tp>
        <v>1.24144525923004</v>
        <stp/>
        <stp>EM_S_VAL_PS_TTM</stp>
        <stp>2</stp>
        <stp>000967</stp>
        <stp>12/31/2018</stp>
        <tr r="O1753" s="1"/>
      </tp>
      <tp>
        <v>0.63606325127844898</v>
        <stp/>
        <stp>EM_S_VAL_PS_TTM</stp>
        <stp>2</stp>
        <stp>000966</stp>
        <stp>12/31/2018</stp>
        <tr r="O869" s="1"/>
      </tp>
      <tp>
        <v>1.2261128312684999</v>
        <stp/>
        <stp>EM_S_VAL_PS_TTM</stp>
        <stp>2</stp>
        <stp>000965</stp>
        <stp>12/31/2018</stp>
        <tr r="O3017" s="1"/>
      </tp>
      <tp>
        <v>1.3041319738603001</v>
        <stp/>
        <stp>EM_S_VAL_PS_TTM</stp>
        <stp>2</stp>
        <stp>000963</stp>
        <stp>12/31/2018</stp>
        <tr r="O2741" s="1"/>
      </tp>
      <tp>
        <v>5.2845786197903397</v>
        <stp/>
        <stp>EM_S_VAL_PS_TTM</stp>
        <stp>2</stp>
        <stp>600903</stp>
        <stp>12/31/2018</stp>
        <tr r="O3216" s="1"/>
      </tp>
      <tp>
        <v>2.5600615946984502</v>
        <stp/>
        <stp>EM_S_VAL_PS_TTM</stp>
        <stp>2</stp>
        <stp>000962</stp>
        <stp>12/31/2018</stp>
        <tr r="O1521" s="1"/>
      </tp>
      <tp>
        <v>0.50115370242989998</v>
        <stp/>
        <stp>EM_S_VAL_PS_TTM</stp>
        <stp>2</stp>
        <stp>000961</stp>
        <stp>12/31/2018</stp>
        <tr r="O207" s="1"/>
      </tp>
      <tp>
        <v>7.9941802074222901</v>
        <stp/>
        <stp>EM_S_VAL_PS_TTM</stp>
        <stp>2</stp>
        <stp>600901</stp>
        <stp>12/31/2018</stp>
        <tr r="O1864" s="1"/>
      </tp>
      <tp>
        <v>0.41727909885237402</v>
        <stp/>
        <stp>EM_S_VAL_PS_TTM</stp>
        <stp>2</stp>
        <stp>000960</stp>
        <stp>12/31/2018</stp>
        <tr r="O1651" s="1"/>
      </tp>
      <tp>
        <v>6.7210187389673202</v>
        <stp/>
        <stp>EM_S_VAL_PS_TTM</stp>
        <stp>2</stp>
        <stp>600900</stp>
        <stp>12/31/2018</stp>
        <tr r="O1447" s="1"/>
      </tp>
      <tp>
        <v>0.92952761284799501</v>
        <stp/>
        <stp>EM_S_VAL_PS_TTM</stp>
        <stp>2</stp>
        <stp>000969</stp>
        <stp>12/31/2018</stp>
        <tr r="O3588" s="1"/>
      </tp>
      <tp>
        <v>10.6424342207635</v>
        <stp/>
        <stp>EM_S_VAL_PS_TTM</stp>
        <stp>2</stp>
        <stp>600909</stp>
        <stp>12/31/2018</stp>
        <tr r="O502" s="1"/>
      </tp>
      <tp>
        <v>4.73907881812264</v>
        <stp/>
        <stp>EM_S_VAL_PS_TTM</stp>
        <stp>2</stp>
        <stp>000968</stp>
        <stp>12/31/2018</stp>
        <tr r="O2527" s="1"/>
      </tp>
      <tp>
        <v>3.1228381590229102</v>
        <stp/>
        <stp>EM_S_VAL_PS_TTM</stp>
        <stp>2</stp>
        <stp>600908</stp>
        <stp>12/31/2018</stp>
        <tr r="O1965" s="1"/>
      </tp>
      <tp>
        <v>0.39113850902763397</v>
        <stp/>
        <stp>EM_S_VAL_PS_TTM</stp>
        <stp>2</stp>
        <stp>000957</stp>
        <stp>12/31/2018</stp>
        <tr r="O3587" s="1"/>
      </tp>
      <tp>
        <v>0</v>
        <stp/>
        <stp>EM_S_VAL_PS_TTM</stp>
        <stp>2</stp>
        <stp>000956</stp>
        <stp>12/31/2018</stp>
        <tr r="O3586" s="1"/>
      </tp>
      <tp>
        <v>2.2521958897337</v>
        <stp/>
        <stp>EM_S_VAL_PS_TTM</stp>
        <stp>2</stp>
        <stp>600936</stp>
        <stp>12/31/2018</stp>
        <tr r="O2127" s="1"/>
      </tp>
      <tp>
        <v>3.0651175281750902</v>
        <stp/>
        <stp>EM_S_VAL_PS_TTM</stp>
        <stp>2</stp>
        <stp>000955</stp>
        <stp>12/31/2018</stp>
        <tr r="O3585" s="1"/>
      </tp>
      <tp>
        <v>4.9851915513366096</v>
        <stp/>
        <stp>EM_S_VAL_PS_TTM</stp>
        <stp>2</stp>
        <stp>000953</stp>
        <stp>12/31/2018</stp>
        <tr r="O3584" s="1"/>
      </tp>
      <tp>
        <v>2.6265592514429299</v>
        <stp/>
        <stp>EM_S_VAL_PS_TTM</stp>
        <stp>2</stp>
        <stp>600933</stp>
        <stp>12/31/2018</stp>
        <tr r="O256" s="1"/>
      </tp>
      <tp>
        <v>2.99659973389821</v>
        <stp/>
        <stp>EM_S_VAL_PS_TTM</stp>
        <stp>2</stp>
        <stp>000952</stp>
        <stp>12/31/2018</stp>
        <tr r="O2593" s="1"/>
      </tp>
      <tp>
        <v>0.18565972100252601</v>
        <stp/>
        <stp>EM_S_VAL_PS_TTM</stp>
        <stp>2</stp>
        <stp>000951</stp>
        <stp>12/31/2018</stp>
        <tr r="O163" s="1"/>
      </tp>
      <tp>
        <v>0.36335312949061299</v>
        <stp/>
        <stp>EM_S_VAL_PS_TTM</stp>
        <stp>2</stp>
        <stp>000950</stp>
        <stp>12/31/2018</stp>
        <tr r="O1579" s="1"/>
      </tp>
      <tp>
        <v>0.30556715006119101</v>
        <stp/>
        <stp>EM_S_VAL_PS_TTM</stp>
        <stp>2</stp>
        <stp>000959</stp>
        <stp>12/31/2018</stp>
        <tr r="O2602" s="1"/>
      </tp>
      <tp>
        <v>0.177912731784587</v>
        <stp/>
        <stp>EM_S_VAL_PS_TTM</stp>
        <stp>2</stp>
        <stp>600939</stp>
        <stp>12/31/2018</stp>
        <tr r="O2104" s="1"/>
      </tp>
      <tp>
        <v>1.37615392604447</v>
        <stp/>
        <stp>EM_S_VAL_PS_TTM</stp>
        <stp>2</stp>
        <stp>000958</stp>
        <stp>12/31/2018</stp>
        <tr r="O289" s="1"/>
      </tp>
      <tp>
        <v>2.2784535207399501</v>
        <stp/>
        <stp>EM_S_VAL_PS_TTM</stp>
        <stp>2</stp>
        <stp>600926</stp>
        <stp>12/31/2018</stp>
        <tr r="O1142" s="1"/>
      </tp>
      <tp>
        <v>0.752155335044839</v>
        <stp/>
        <stp>EM_S_VAL_PS_TTM</stp>
        <stp>2</stp>
        <stp>000949</stp>
        <stp>12/31/2018</stp>
        <tr r="O670" s="1"/>
      </tp>
      <tp>
        <v>3.24390507257232</v>
        <stp/>
        <stp>EM_S_VAL_PS_TTM</stp>
        <stp>2</stp>
        <stp>600929</stp>
        <stp>12/31/2018</stp>
        <tr r="O3072" s="1"/>
      </tp>
      <tp>
        <v>0.88117676016248303</v>
        <stp/>
        <stp>EM_S_VAL_PS_TTM</stp>
        <stp>2</stp>
        <stp>000948</stp>
        <stp>12/31/2018</stp>
        <tr r="O1716" s="1"/>
      </tp>
      <tp>
        <v>22.242375415204499</v>
        <stp/>
        <stp>EM_S_VAL_PS_TTM</stp>
        <stp>2</stp>
        <stp>000897</stp>
        <stp>12/31/2018</stp>
        <tr r="O3568" s="1"/>
      </tp>
      <tp>
        <v>1.55995540524082</v>
        <stp/>
        <stp>EM_S_VAL_PS_TTM</stp>
        <stp>2</stp>
        <stp>000895</stp>
        <stp>12/31/2018</stp>
        <tr r="O3567" s="1"/>
      </tp>
      <tp>
        <v>3.1972201169342802</v>
        <stp/>
        <stp>EM_S_VAL_PS_TTM</stp>
        <stp>2</stp>
        <stp>000893</stp>
        <stp>12/31/2018</stp>
        <tr r="O3566" s="1"/>
      </tp>
      <tp>
        <v>2.8085361298251601</v>
        <stp/>
        <stp>EM_S_VAL_PS_TTM</stp>
        <stp>2</stp>
        <stp>000892</stp>
        <stp>12/31/2018</stp>
        <tr r="O3565" s="1"/>
      </tp>
      <tp>
        <v>1.0119476554064999</v>
        <stp/>
        <stp>EM_S_VAL_PS_TTM</stp>
        <stp>2</stp>
        <stp>000890</stp>
        <stp>12/31/2018</stp>
        <tr r="O3564" s="1"/>
      </tp>
      <tp>
        <v>1.79229199837758</v>
        <stp/>
        <stp>EM_S_VAL_PS_TTM</stp>
        <stp>2</stp>
        <stp>000899</stp>
        <stp>12/31/2018</stp>
        <tr r="O1690" s="1"/>
      </tp>
      <tp>
        <v>0.38510572508544699</v>
        <stp/>
        <stp>EM_S_VAL_PS_TTM</stp>
        <stp>2</stp>
        <stp>000898</stp>
        <stp>12/31/2018</stp>
        <tr r="O3280" s="1"/>
      </tp>
      <tp>
        <v>0.97442082695810595</v>
        <stp/>
        <stp>EM_S_VAL_PS_TTM</stp>
        <stp>2</stp>
        <stp>000887</stp>
        <stp>12/31/2018</stp>
        <tr r="O2794" s="1"/>
      </tp>
      <tp>
        <v>7.1134934496887796</v>
        <stp/>
        <stp>EM_S_VAL_PS_TTM</stp>
        <stp>2</stp>
        <stp>000886</stp>
        <stp>12/31/2018</stp>
        <tr r="O3562" s="1"/>
      </tp>
      <tp>
        <v>1.52898898470581</v>
        <stp/>
        <stp>EM_S_VAL_PS_TTM</stp>
        <stp>2</stp>
        <stp>000885</stp>
        <stp>12/31/2018</stp>
        <tr r="O3561" s="1"/>
      </tp>
      <tp>
        <v>2.01461857759899</v>
        <stp/>
        <stp>EM_S_VAL_PS_TTM</stp>
        <stp>2</stp>
        <stp>000883</stp>
        <stp>12/31/2018</stp>
        <tr r="O1562" s="1"/>
      </tp>
      <tp>
        <v>4.8753131097904898</v>
        <stp/>
        <stp>EM_S_VAL_PS_TTM</stp>
        <stp>2</stp>
        <stp>000882</stp>
        <stp>12/31/2018</stp>
        <tr r="O2222" s="1"/>
      </tp>
      <tp>
        <v>1.01736384043922</v>
        <stp/>
        <stp>EM_S_VAL_PS_TTM</stp>
        <stp>2</stp>
        <stp>000881</stp>
        <stp>12/31/2018</stp>
        <tr r="O2108" s="1"/>
      </tp>
      <tp>
        <v>0.83889223227809995</v>
        <stp/>
        <stp>EM_S_VAL_PS_TTM</stp>
        <stp>2</stp>
        <stp>000880</stp>
        <stp>12/31/2018</stp>
        <tr r="O1865" s="1"/>
      </tp>
      <tp>
        <v>2.3392207976250701</v>
        <stp/>
        <stp>EM_S_VAL_PS_TTM</stp>
        <stp>2</stp>
        <stp>000889</stp>
        <stp>12/31/2018</stp>
        <tr r="O2649" s="1"/>
      </tp>
      <tp>
        <v>2.79395087608507</v>
        <stp/>
        <stp>EM_S_VAL_PS_TTM</stp>
        <stp>2</stp>
        <stp>000888</stp>
        <stp>12/31/2018</stp>
        <tr r="O3563" s="1"/>
      </tp>
      <tp>
        <v>3.5919167295825201</v>
        <stp/>
        <stp>EM_S_VAL_PS_TTM</stp>
        <stp>2</stp>
        <stp>600897</stp>
        <stp>12/31/2018</stp>
        <tr r="O2061" s="1"/>
      </tp>
      <tp>
        <v>64.379873331240702</v>
        <stp/>
        <stp>EM_S_VAL_PS_TTM</stp>
        <stp>2</stp>
        <stp>600896</stp>
        <stp>12/31/2018</stp>
        <tr r="O1511" s="1"/>
      </tp>
      <tp>
        <v>18.582366093106099</v>
        <stp/>
        <stp>EM_S_VAL_PS_TTM</stp>
        <stp>2</stp>
        <stp>600895</stp>
        <stp>12/31/2018</stp>
        <tr r="O2139" s="1"/>
      </tp>
      <tp>
        <v>0.87525560589255302</v>
        <stp/>
        <stp>EM_S_VAL_PS_TTM</stp>
        <stp>2</stp>
        <stp>600894</stp>
        <stp>12/31/2018</stp>
        <tr r="O802" s="1"/>
      </tp>
      <tp>
        <v>2.0878651229341401</v>
        <stp/>
        <stp>EM_S_VAL_PS_TTM</stp>
        <stp>2</stp>
        <stp>600893</stp>
        <stp>12/31/2018</stp>
        <tr r="O2384" s="1"/>
      </tp>
      <tp>
        <v>16.813675552218299</v>
        <stp/>
        <stp>EM_S_VAL_PS_TTM</stp>
        <stp>2</stp>
        <stp>600892</stp>
        <stp>12/31/2018</stp>
        <tr r="O3227" s="1"/>
      </tp>
      <tp>
        <v>0.59931283650770795</v>
        <stp/>
        <stp>EM_S_VAL_PS_TTM</stp>
        <stp>2</stp>
        <stp>600891</stp>
        <stp>12/31/2018</stp>
        <tr r="O3403" s="1"/>
      </tp>
      <tp>
        <v>63.363818206959401</v>
        <stp/>
        <stp>EM_S_VAL_PS_TTM</stp>
        <stp>2</stp>
        <stp>600890</stp>
        <stp>12/31/2018</stp>
        <tr r="O3134" s="1"/>
      </tp>
      <tp>
        <v>51.9511101262556</v>
        <stp/>
        <stp>EM_S_VAL_PS_TTM</stp>
        <stp>2</stp>
        <stp>600899</stp>
        <stp>12/31/2018</stp>
        <tr r="O2333" s="1"/>
      </tp>
      <tp>
        <v>0.65037946529843604</v>
        <stp/>
        <stp>EM_S_VAL_PS_TTM</stp>
        <stp>2</stp>
        <stp>600898</stp>
        <stp>12/31/2018</stp>
        <tr r="O2388" s="1"/>
      </tp>
      <tp>
        <v>1.8080840671480101</v>
        <stp/>
        <stp>EM_S_VAL_PS_TTM</stp>
        <stp>2</stp>
        <stp>600887</stp>
        <stp>12/31/2018</stp>
        <tr r="O827" s="1"/>
      </tp>
      <tp>
        <v>1.4479483141235101</v>
        <stp/>
        <stp>EM_S_VAL_PS_TTM</stp>
        <stp>2</stp>
        <stp>600886</stp>
        <stp>12/31/2018</stp>
        <tr r="O1548" s="1"/>
      </tp>
      <tp>
        <v>2.56009698963509</v>
        <stp/>
        <stp>EM_S_VAL_PS_TTM</stp>
        <stp>2</stp>
        <stp>600885</stp>
        <stp>12/31/2018</stp>
        <tr r="O497" s="1"/>
      </tp>
      <tp>
        <v>1.81130649928594</v>
        <stp/>
        <stp>EM_S_VAL_PS_TTM</stp>
        <stp>2</stp>
        <stp>600884</stp>
        <stp>12/31/2018</stp>
        <tr r="O1987" s="1"/>
      </tp>
      <tp>
        <v>39.9323888784511</v>
        <stp/>
        <stp>EM_S_VAL_PS_TTM</stp>
        <stp>2</stp>
        <stp>600883</stp>
        <stp>12/31/2018</stp>
        <tr r="O1056" s="1"/>
      </tp>
      <tp>
        <v>2.9875271926074101</v>
        <stp/>
        <stp>EM_S_VAL_PS_TTM</stp>
        <stp>2</stp>
        <stp>600882</stp>
        <stp>12/31/2018</stp>
        <tr r="O211" s="1"/>
      </tp>
      <tp>
        <v>0.55612944959836996</v>
        <stp/>
        <stp>EM_S_VAL_PS_TTM</stp>
        <stp>2</stp>
        <stp>600881</stp>
        <stp>12/31/2018</stp>
        <tr r="O2561" s="1"/>
      </tp>
      <tp>
        <v>5.6587887189253196</v>
        <stp/>
        <stp>EM_S_VAL_PS_TTM</stp>
        <stp>2</stp>
        <stp>600880</stp>
        <stp>12/31/2018</stp>
        <tr r="O1852" s="1"/>
      </tp>
      <tp>
        <v>1.5759706888954399</v>
        <stp/>
        <stp>EM_S_VAL_PS_TTM</stp>
        <stp>2</stp>
        <stp>600889</stp>
        <stp>12/31/2018</stp>
        <tr r="O2344" s="1"/>
      </tp>
      <tp>
        <v>0.62967225708216701</v>
        <stp/>
        <stp>EM_S_VAL_PS_TTM</stp>
        <stp>2</stp>
        <stp>600888</stp>
        <stp>12/31/2018</stp>
        <tr r="O1734" s="1"/>
      </tp>
      <tp>
        <v>0.86027061452762399</v>
        <stp/>
        <stp>EM_S_VAL_PS_TTM</stp>
        <stp>2</stp>
        <stp>000837</stp>
        <stp>12/31/2018</stp>
        <tr r="O3554" s="1"/>
      </tp>
      <tp>
        <v>1.84030700584192</v>
        <stp/>
        <stp>EM_S_VAL_PS_TTM</stp>
        <stp>2</stp>
        <stp>600857</stp>
        <stp>12/31/2018</stp>
        <tr r="O1701" s="1"/>
      </tp>
      <tp>
        <v>1.91767125500716</v>
        <stp/>
        <stp>EM_S_VAL_PS_TTM</stp>
        <stp>2</stp>
        <stp>000836</stp>
        <stp>12/31/2018</stp>
        <tr r="O2534" s="1"/>
      </tp>
      <tp>
        <v>0.88463742897665298</v>
        <stp/>
        <stp>EM_S_VAL_PS_TTM</stp>
        <stp>2</stp>
        <stp>600856</stp>
        <stp>12/31/2018</stp>
        <tr r="O3278" s="1"/>
      </tp>
      <tp>
        <v>6.4706883137085303</v>
        <stp/>
        <stp>EM_S_VAL_PS_TTM</stp>
        <stp>2</stp>
        <stp>000835</stp>
        <stp>12/31/2018</stp>
        <tr r="O3553" s="1"/>
      </tp>
      <tp>
        <v>1.8569947800639</v>
        <stp/>
        <stp>EM_S_VAL_PS_TTM</stp>
        <stp>2</stp>
        <stp>600855</stp>
        <stp>12/31/2018</stp>
        <tr r="O817" s="1"/>
      </tp>
      <tp>
        <v>1.86881339071109</v>
        <stp/>
        <stp>EM_S_VAL_PS_TTM</stp>
        <stp>2</stp>
        <stp>600854</stp>
        <stp>12/31/2018</stp>
        <tr r="O1766" s="1"/>
      </tp>
      <tp>
        <v>1.0632926081859899</v>
        <stp/>
        <stp>EM_S_VAL_PS_TTM</stp>
        <stp>2</stp>
        <stp>000833</stp>
        <stp>12/31/2018</stp>
        <tr r="O1707" s="1"/>
      </tp>
      <tp>
        <v>0.20479970510972001</v>
        <stp/>
        <stp>EM_S_VAL_PS_TTM</stp>
        <stp>2</stp>
        <stp>600853</stp>
        <stp>12/31/2018</stp>
        <tr r="O2699" s="1"/>
      </tp>
      <tp>
        <v>1483.9413089913601</v>
        <stp/>
        <stp>EM_S_VAL_PS_TTM</stp>
        <stp>2</stp>
        <stp>000832</stp>
        <stp>12/31/2018</stp>
        <tr r="O3552" s="1"/>
      </tp>
      <tp>
        <v>4.64388476433012</v>
        <stp/>
        <stp>EM_S_VAL_PS_TTM</stp>
        <stp>2</stp>
        <stp>600852</stp>
        <stp>12/31/2018</stp>
        <tr r="O2331" s="1"/>
      </tp>
      <tp>
        <v>11.7454662590764</v>
        <stp/>
        <stp>EM_S_VAL_PS_TTM</stp>
        <stp>2</stp>
        <stp>000831</stp>
        <stp>12/31/2018</stp>
        <tr r="O465" s="1"/>
      </tp>
      <tp>
        <v>7.8599796755218696</v>
        <stp/>
        <stp>EM_S_VAL_PS_TTM</stp>
        <stp>2</stp>
        <stp>600851</stp>
        <stp>12/31/2018</stp>
        <tr r="O1652" s="1"/>
      </tp>
      <tp>
        <v>0.70133180962552399</v>
        <stp/>
        <stp>EM_S_VAL_PS_TTM</stp>
        <stp>2</stp>
        <stp>000830</stp>
        <stp>12/31/2018</stp>
        <tr r="O2036" s="1"/>
      </tp>
      <tp>
        <v>0.94128229342025804</v>
        <stp/>
        <stp>EM_S_VAL_PS_TTM</stp>
        <stp>2</stp>
        <stp>600850</stp>
        <stp>12/31/2018</stp>
        <tr r="O441" s="1"/>
      </tp>
      <tp>
        <v>3.1953311066974299</v>
        <stp/>
        <stp>EM_S_VAL_PS_TTM</stp>
        <stp>2</stp>
        <stp>000839</stp>
        <stp>12/31/2018</stp>
        <tr r="O3555" s="1"/>
      </tp>
      <tp>
        <v>0.39706465640414101</v>
        <stp/>
        <stp>EM_S_VAL_PS_TTM</stp>
        <stp>2</stp>
        <stp>600859</stp>
        <stp>12/31/2018</stp>
        <tr r="O2086" s="1"/>
      </tp>
      <tp>
        <v>1.6022332422308001</v>
        <stp/>
        <stp>EM_S_VAL_PS_TTM</stp>
        <stp>2</stp>
        <stp>000838</stp>
        <stp>12/31/2018</stp>
        <tr r="O1804" s="1"/>
      </tp>
      <tp>
        <v>0.19766788862936099</v>
        <stp/>
        <stp>EM_S_VAL_PS_TTM</stp>
        <stp>2</stp>
        <stp>600858</stp>
        <stp>12/31/2018</stp>
        <tr r="O2088" s="1"/>
      </tp>
      <tp>
        <v>61.933977599999999</v>
        <stp/>
        <stp>EM_S_VAL_PS_TTM</stp>
        <stp>2</stp>
        <stp>000827</stp>
        <stp>12/31/2018</stp>
        <tr r="O3550" s="1"/>
      </tp>
      <tp>
        <v>3.23450272082099</v>
        <stp/>
        <stp>EM_S_VAL_PS_TTM</stp>
        <stp>2</stp>
        <stp>600847</stp>
        <stp>12/31/2018</stp>
        <tr r="O2395" s="1"/>
      </tp>
      <tp>
        <v>1.31394618479666</v>
        <stp/>
        <stp>EM_S_VAL_PS_TTM</stp>
        <stp>2</stp>
        <stp>000826</stp>
        <stp>12/31/2018</stp>
        <tr r="O2803" s="1"/>
      </tp>
      <tp>
        <v>1.2950597966467701</v>
        <stp/>
        <stp>EM_S_VAL_PS_TTM</stp>
        <stp>2</stp>
        <stp>600846</stp>
        <stp>12/31/2018</stp>
        <tr r="O959" s="1"/>
      </tp>
      <tp>
        <v>0.324619140364034</v>
        <stp/>
        <stp>EM_S_VAL_PS_TTM</stp>
        <stp>2</stp>
        <stp>000825</stp>
        <stp>12/31/2018</stp>
        <tr r="O2407" s="1"/>
      </tp>
      <tp>
        <v>3.37354434755773</v>
        <stp/>
        <stp>EM_S_VAL_PS_TTM</stp>
        <stp>2</stp>
        <stp>600845</stp>
        <stp>12/31/2018</stp>
        <tr r="O442" s="1"/>
      </tp>
      <tp>
        <v>2.1434408074743998</v>
        <stp/>
        <stp>EM_S_VAL_PS_TTM</stp>
        <stp>2</stp>
        <stp>600844</stp>
        <stp>12/31/2018</stp>
        <tr r="O467" s="1"/>
      </tp>
      <tp>
        <v>0.85753009701853999</v>
        <stp/>
        <stp>EM_S_VAL_PS_TTM</stp>
        <stp>2</stp>
        <stp>000823</stp>
        <stp>12/31/2018</stp>
        <tr r="O267" s="1"/>
      </tp>
      <tp>
        <v>1.1810214619951001</v>
        <stp/>
        <stp>EM_S_VAL_PS_TTM</stp>
        <stp>2</stp>
        <stp>600843</stp>
        <stp>12/31/2018</stp>
        <tr r="O1525" s="1"/>
      </tp>
      <tp>
        <v>0.82992369361052598</v>
        <stp/>
        <stp>EM_S_VAL_PS_TTM</stp>
        <stp>2</stp>
        <stp>000822</stp>
        <stp>12/31/2018</stp>
        <tr r="O2171" s="1"/>
      </tp>
      <tp>
        <v>8.7284571773791306</v>
        <stp/>
        <stp>EM_S_VAL_PS_TTM</stp>
        <stp>2</stp>
        <stp>600842</stp>
        <stp>12/31/2018</stp>
        <tr r="O2330" s="1"/>
      </tp>
      <tp>
        <v>1.89636182495985</v>
        <stp/>
        <stp>EM_S_VAL_PS_TTM</stp>
        <stp>2</stp>
        <stp>000821</stp>
        <stp>12/31/2018</stp>
        <tr r="O2937" s="1"/>
      </tp>
      <tp>
        <v>1.3437553300932901</v>
        <stp/>
        <stp>EM_S_VAL_PS_TTM</stp>
        <stp>2</stp>
        <stp>600841</stp>
        <stp>12/31/2018</stp>
        <tr r="O1932" s="1"/>
      </tp>
      <tp>
        <v>7.9187720569023501</v>
        <stp/>
        <stp>EM_S_VAL_PS_TTM</stp>
        <stp>2</stp>
        <stp>000820</stp>
        <stp>12/31/2018</stp>
        <tr r="O3549" s="1"/>
      </tp>
      <tp>
        <v>18.720636386399399</v>
        <stp/>
        <stp>EM_S_VAL_PS_TTM</stp>
        <stp>2</stp>
        <stp>600840</stp>
        <stp>12/31/2018</stp>
        <tr r="O2329" s="1"/>
      </tp>
      <tp>
        <v>0.13443999493769501</v>
        <stp/>
        <stp>EM_S_VAL_PS_TTM</stp>
        <stp>2</stp>
        <stp>000829</stp>
        <stp>12/31/2018</stp>
        <tr r="O3551" s="1"/>
      </tp>
      <tp>
        <v>0.28018156986820503</v>
        <stp/>
        <stp>EM_S_VAL_PS_TTM</stp>
        <stp>2</stp>
        <stp>600849</stp>
        <stp>12/31/2018</stp>
        <tr r="O2335" s="1"/>
      </tp>
      <tp>
        <v>4.8740202763704197</v>
        <stp/>
        <stp>EM_S_VAL_PS_TTM</stp>
        <stp>2</stp>
        <stp>000828</stp>
        <stp>12/31/2018</stp>
        <tr r="O1711" s="1"/>
      </tp>
      <tp>
        <v>11.671037126211701</v>
        <stp/>
        <stp>EM_S_VAL_PS_TTM</stp>
        <stp>2</stp>
        <stp>600848</stp>
        <stp>12/31/2018</stp>
        <tr r="O1417" s="1"/>
      </tp>
      <tp>
        <v>0</v>
        <stp/>
        <stp>EM_S_VAL_PS_TTM</stp>
        <stp>2</stp>
        <stp>000817</stp>
        <stp>12/31/2018</stp>
        <tr r="O3548" s="1"/>
      </tp>
      <tp>
        <v>7.2654450013173903</v>
        <stp/>
        <stp>EM_S_VAL_PS_TTM</stp>
        <stp>2</stp>
        <stp>600877</stp>
        <stp>12/31/2018</stp>
        <tr r="O1175" s="1"/>
      </tp>
      <tp>
        <v>1.45010921113147</v>
        <stp/>
        <stp>EM_S_VAL_PS_TTM</stp>
        <stp>2</stp>
        <stp>000816</stp>
        <stp>12/31/2018</stp>
        <tr r="O3547" s="1"/>
      </tp>
      <tp>
        <v>22.162646137974001</v>
        <stp/>
        <stp>EM_S_VAL_PS_TTM</stp>
        <stp>2</stp>
        <stp>600876</stp>
        <stp>12/31/2018</stp>
        <tr r="O598" s="1"/>
      </tp>
      <tp>
        <v>4.6145017115940199</v>
        <stp/>
        <stp>EM_S_VAL_PS_TTM</stp>
        <stp>2</stp>
        <stp>000815</stp>
        <stp>12/31/2018</stp>
        <tr r="O2186" s="1"/>
      </tp>
      <tp>
        <v>0.78873207589191896</v>
        <stp/>
        <stp>EM_S_VAL_PS_TTM</stp>
        <stp>2</stp>
        <stp>600875</stp>
        <stp>12/31/2018</stp>
        <tr r="O1425" s="1"/>
      </tp>
      <tp>
        <v>5.0556328142006901</v>
        <stp/>
        <stp>EM_S_VAL_PS_TTM</stp>
        <stp>2</stp>
        <stp>600874</stp>
        <stp>12/31/2018</stp>
        <tr r="O2879" s="1"/>
      </tp>
      <tp>
        <v>5.8706684207200297</v>
        <stp/>
        <stp>EM_S_VAL_PS_TTM</stp>
        <stp>2</stp>
        <stp>000813</stp>
        <stp>12/31/2018</stp>
        <tr r="O3236" s="1"/>
      </tp>
      <tp>
        <v>1.04998526248624</v>
        <stp/>
        <stp>EM_S_VAL_PS_TTM</stp>
        <stp>2</stp>
        <stp>600873</stp>
        <stp>12/31/2018</stp>
        <tr r="O2002" s="1"/>
      </tp>
      <tp>
        <v>2.8636655521784702</v>
        <stp/>
        <stp>EM_S_VAL_PS_TTM</stp>
        <stp>2</stp>
        <stp>000812</stp>
        <stp>12/31/2018</stp>
        <tr r="O2624" s="1"/>
      </tp>
      <tp>
        <v>5.8016566174917896</v>
        <stp/>
        <stp>EM_S_VAL_PS_TTM</stp>
        <stp>2</stp>
        <stp>600872</stp>
        <stp>12/31/2018</stp>
        <tr r="O909" s="1"/>
      </tp>
      <tp>
        <v>0.94626261534144396</v>
        <stp/>
        <stp>EM_S_VAL_PS_TTM</stp>
        <stp>2</stp>
        <stp>000811</stp>
        <stp>12/31/2018</stp>
        <tr r="O843" s="1"/>
      </tp>
      <tp>
        <v>0.62439551782557901</v>
        <stp/>
        <stp>EM_S_VAL_PS_TTM</stp>
        <stp>2</stp>
        <stp>600871</stp>
        <stp>12/31/2018</stp>
        <tr r="O1178" s="1"/>
      </tp>
      <tp>
        <v>0.78720504292135196</v>
        <stp/>
        <stp>EM_S_VAL_PS_TTM</stp>
        <stp>2</stp>
        <stp>000810</stp>
        <stp>12/31/2018</stp>
        <tr r="O139" s="1"/>
      </tp>
      <tp>
        <v>49.4945968670634</v>
        <stp/>
        <stp>EM_S_VAL_PS_TTM</stp>
        <stp>2</stp>
        <stp>600870</stp>
        <stp>12/31/2018</stp>
        <tr r="O2830" s="1"/>
      </tp>
      <tp>
        <v>1.1978359563741801</v>
        <stp/>
        <stp>EM_S_VAL_PS_TTM</stp>
        <stp>2</stp>
        <stp>000819</stp>
        <stp>12/31/2018</stp>
        <tr r="O2694" s="1"/>
      </tp>
      <tp>
        <v>1.0543521658050199</v>
        <stp/>
        <stp>EM_S_VAL_PS_TTM</stp>
        <stp>2</stp>
        <stp>600879</stp>
        <stp>12/31/2018</stp>
        <tr r="O1674" s="1"/>
      </tp>
      <tp>
        <v>1.6466862435171901</v>
        <stp/>
        <stp>EM_S_VAL_PS_TTM</stp>
        <stp>2</stp>
        <stp>000818</stp>
        <stp>12/31/2018</stp>
        <tr r="O176" s="1"/>
      </tp>
      <tp>
        <v>3.9730890928981899</v>
        <stp/>
        <stp>EM_S_VAL_PS_TTM</stp>
        <stp>2</stp>
        <stp>600878</stp>
        <stp>12/31/2018</stp>
        <tr r="O2332" s="1"/>
      </tp>
      <tp>
        <v>0.46767713645903403</v>
        <stp/>
        <stp>EM_S_VAL_PS_TTM</stp>
        <stp>2</stp>
        <stp>000807</stp>
        <stp>12/31/2018</stp>
        <tr r="O3546" s="1"/>
      </tp>
      <tp>
        <v>10.4655962473679</v>
        <stp/>
        <stp>EM_S_VAL_PS_TTM</stp>
        <stp>2</stp>
        <stp>600867</stp>
        <stp>12/31/2018</stp>
        <tr r="O2809" s="1"/>
      </tp>
      <tp>
        <v>5.2340376343603001</v>
        <stp/>
        <stp>EM_S_VAL_PS_TTM</stp>
        <stp>2</stp>
        <stp>000806</stp>
        <stp>12/31/2018</stp>
        <tr r="O3545" s="1"/>
      </tp>
      <tp>
        <v>2.3879556144954801</v>
        <stp/>
        <stp>EM_S_VAL_PS_TTM</stp>
        <stp>2</stp>
        <stp>600866</stp>
        <stp>12/31/2018</stp>
        <tr r="O736" s="1"/>
      </tp>
      <tp>
        <v>1.31525459581847</v>
        <stp/>
        <stp>EM_S_VAL_PS_TTM</stp>
        <stp>2</stp>
        <stp>000805</stp>
        <stp>12/31/2018</stp>
        <tr r="O3544" s="1"/>
      </tp>
      <tp>
        <v>2.5846864462959398</v>
        <stp/>
        <stp>EM_S_VAL_PS_TTM</stp>
        <stp>2</stp>
        <stp>600865</stp>
        <stp>12/31/2018</stp>
        <tr r="O1563" s="1"/>
      </tp>
      <tp>
        <v>3.4623463167083299</v>
        <stp/>
        <stp>EM_S_VAL_PS_TTM</stp>
        <stp>2</stp>
        <stp>600864</stp>
        <stp>12/31/2018</stp>
        <tr r="O222" s="1"/>
      </tp>
      <tp>
        <v>3.2496162848633001</v>
        <stp/>
        <stp>EM_S_VAL_PS_TTM</stp>
        <stp>2</stp>
        <stp>000803</stp>
        <stp>12/31/2018</stp>
        <tr r="O1520" s="1"/>
      </tp>
      <tp>
        <v>1.0221452292614499</v>
        <stp/>
        <stp>EM_S_VAL_PS_TTM</stp>
        <stp>2</stp>
        <stp>600863</stp>
        <stp>12/31/2018</stp>
        <tr r="O1344" s="1"/>
      </tp>
      <tp>
        <v>5.5344984596608198</v>
        <stp/>
        <stp>EM_S_VAL_PS_TTM</stp>
        <stp>2</stp>
        <stp>000802</stp>
        <stp>12/31/2018</stp>
        <tr r="O3543" s="1"/>
      </tp>
      <tp>
        <v>2.8477208758689598</v>
        <stp/>
        <stp>EM_S_VAL_PS_TTM</stp>
        <stp>2</stp>
        <stp>600862</stp>
        <stp>12/31/2018</stp>
        <tr r="O174" s="1"/>
      </tp>
      <tp>
        <v>1.2514261629082499</v>
        <stp/>
        <stp>EM_S_VAL_PS_TTM</stp>
        <stp>2</stp>
        <stp>000801</stp>
        <stp>12/31/2018</stp>
        <tr r="O1131" s="1"/>
      </tp>
      <tp>
        <v>1.1106181564905999</v>
        <stp/>
        <stp>EM_S_VAL_PS_TTM</stp>
        <stp>2</stp>
        <stp>600861</stp>
        <stp>12/31/2018</stp>
        <tr r="O1151" s="1"/>
      </tp>
      <tp>
        <v>0.40649454443931399</v>
        <stp/>
        <stp>EM_S_VAL_PS_TTM</stp>
        <stp>2</stp>
        <stp>000800</stp>
        <stp>12/31/2018</stp>
        <tr r="O3542" s="1"/>
      </tp>
      <tp>
        <v>1.68663229753902</v>
        <stp/>
        <stp>EM_S_VAL_PS_TTM</stp>
        <stp>2</stp>
        <stp>600860</stp>
        <stp>12/31/2018</stp>
        <tr r="O816" s="1"/>
      </tp>
      <tp>
        <v>16.079168329319799</v>
        <stp/>
        <stp>EM_S_VAL_PS_TTM</stp>
        <stp>2</stp>
        <stp>000809</stp>
        <stp>12/31/2018</stp>
        <tr r="O2356" s="1"/>
      </tp>
      <tp>
        <v>0.62117433771307295</v>
        <stp/>
        <stp>EM_S_VAL_PS_TTM</stp>
        <stp>2</stp>
        <stp>600869</stp>
        <stp>12/31/2018</stp>
        <tr r="O2251" s="1"/>
      </tp>
      <tp>
        <v>24.227145190148601</v>
        <stp/>
        <stp>EM_S_VAL_PS_TTM</stp>
        <stp>2</stp>
        <stp>600868</stp>
        <stp>12/31/2018</stp>
        <tr r="O1248" s="1"/>
      </tp>
      <tp>
        <v>0.971398736956266</v>
        <stp/>
        <stp>EM_S_VAL_PS_TTM</stp>
        <stp>2</stp>
        <stp>000877</stp>
        <stp>12/31/2018</stp>
        <tr r="O407" s="1"/>
      </tp>
      <tp>
        <v>51.551959159533403</v>
        <stp/>
        <stp>EM_S_VAL_PS_TTM</stp>
        <stp>2</stp>
        <stp>600817</stp>
        <stp>12/31/2018</stp>
        <tr r="O2126" s="1"/>
      </tp>
      <tp>
        <v>0.45458503948823897</v>
        <stp/>
        <stp>EM_S_VAL_PS_TTM</stp>
        <stp>2</stp>
        <stp>000876</stp>
        <stp>12/31/2018</stp>
        <tr r="O64" s="1"/>
      </tp>
      <tp>
        <v>8.9314477287372096</v>
        <stp/>
        <stp>EM_S_VAL_PS_TTM</stp>
        <stp>2</stp>
        <stp>600816</stp>
        <stp>12/31/2018</stp>
        <tr r="O2137" s="1"/>
      </tp>
      <tp>
        <v>0.80002167656901602</v>
        <stp/>
        <stp>EM_S_VAL_PS_TTM</stp>
        <stp>2</stp>
        <stp>000875</stp>
        <stp>12/31/2018</stp>
        <tr r="O1036" s="1"/>
      </tp>
      <tp>
        <v>0.84713746974191795</v>
        <stp/>
        <stp>EM_S_VAL_PS_TTM</stp>
        <stp>2</stp>
        <stp>600815</stp>
        <stp>12/31/2018</stp>
        <tr r="O2476" s="1"/>
      </tp>
      <tp>
        <v>0.61205511152162795</v>
        <stp/>
        <stp>EM_S_VAL_PS_TTM</stp>
        <stp>2</stp>
        <stp>600814</stp>
        <stp>12/31/2018</stp>
        <tr r="O2267" s="1"/>
      </tp>
      <tp>
        <v>3173.7165091198799</v>
        <stp/>
        <stp>EM_S_VAL_PS_TTM</stp>
        <stp>2</stp>
        <stp>600813</stp>
        <stp>12/31/2018</stp>
        <tr r="O2327" s="1"/>
      </tp>
      <tp>
        <v>0.71755292697837703</v>
        <stp/>
        <stp>EM_S_VAL_PS_TTM</stp>
        <stp>2</stp>
        <stp>600812</stp>
        <stp>12/31/2018</stp>
        <tr r="O107" s="1"/>
      </tp>
      <tp>
        <v>1.2850982511312199</v>
        <stp/>
        <stp>EM_S_VAL_PS_TTM</stp>
        <stp>2</stp>
        <stp>600811</stp>
        <stp>12/31/2018</stp>
        <tr r="O2690" s="1"/>
      </tp>
      <tp>
        <v>0.39268992870498598</v>
        <stp/>
        <stp>EM_S_VAL_PS_TTM</stp>
        <stp>2</stp>
        <stp>600810</stp>
        <stp>12/31/2018</stp>
        <tr r="O3112" s="1"/>
      </tp>
      <tp>
        <v>1.0238677103287901</v>
        <stp/>
        <stp>EM_S_VAL_PS_TTM</stp>
        <stp>2</stp>
        <stp>600819</stp>
        <stp>12/31/2018</stp>
        <tr r="O1023" s="1"/>
      </tp>
      <tp>
        <v>0.26116689125961601</v>
        <stp/>
        <stp>EM_S_VAL_PS_TTM</stp>
        <stp>2</stp>
        <stp>000878</stp>
        <stp>12/31/2018</stp>
        <tr r="O3560" s="1"/>
      </tp>
      <tp>
        <v>6.3959656944178001</v>
        <stp/>
        <stp>EM_S_VAL_PS_TTM</stp>
        <stp>2</stp>
        <stp>600818</stp>
        <stp>12/31/2018</stp>
        <tr r="O1647" s="1"/>
      </tp>
      <tp>
        <v>1.9066790733058501</v>
        <stp/>
        <stp>EM_S_VAL_PS_TTM</stp>
        <stp>2</stp>
        <stp>600807</stp>
        <stp>12/31/2018</stp>
        <tr r="O2570" s="1"/>
      </tp>
      <tp>
        <v>0</v>
        <stp/>
        <stp>EM_S_VAL_PS_TTM</stp>
        <stp>2</stp>
        <stp>000866</stp>
        <stp>12/31/2018</stp>
        <tr r="O3558" s="1"/>
      </tp>
      <tp>
        <v>1.46428696036024</v>
        <stp/>
        <stp>EM_S_VAL_PS_TTM</stp>
        <stp>2</stp>
        <stp>600806</stp>
        <stp>12/31/2018</stp>
        <tr r="O2326" s="1"/>
      </tp>
      <tp>
        <v>2.0804454955423202</v>
        <stp/>
        <stp>EM_S_VAL_PS_TTM</stp>
        <stp>2</stp>
        <stp>600805</stp>
        <stp>12/31/2018</stp>
        <tr r="O1762" s="1"/>
      </tp>
      <tp>
        <v>1.4188887951518501</v>
        <stp/>
        <stp>EM_S_VAL_PS_TTM</stp>
        <stp>2</stp>
        <stp>600804</stp>
        <stp>12/31/2018</stp>
        <tr r="O2849" s="1"/>
      </tp>
      <tp>
        <v>1.8844878649455199</v>
        <stp/>
        <stp>EM_S_VAL_PS_TTM</stp>
        <stp>2</stp>
        <stp>000863</stp>
        <stp>12/31/2018</stp>
        <tr r="O3557" s="1"/>
      </tp>
      <tp>
        <v>0.95318165114373599</v>
        <stp/>
        <stp>EM_S_VAL_PS_TTM</stp>
        <stp>2</stp>
        <stp>600803</stp>
        <stp>12/31/2018</stp>
        <tr r="O1898" s="1"/>
      </tp>
      <tp>
        <v>1.97116220934283</v>
        <stp/>
        <stp>EM_S_VAL_PS_TTM</stp>
        <stp>2</stp>
        <stp>000862</stp>
        <stp>12/31/2018</stp>
        <tr r="O331" s="1"/>
      </tp>
      <tp>
        <v>1.0570478569717301</v>
        <stp/>
        <stp>EM_S_VAL_PS_TTM</stp>
        <stp>2</stp>
        <stp>600802</stp>
        <stp>12/31/2018</stp>
        <tr r="O1449" s="1"/>
      </tp>
      <tp>
        <v>1.9411929845398701</v>
        <stp/>
        <stp>EM_S_VAL_PS_TTM</stp>
        <stp>2</stp>
        <stp>000861</stp>
        <stp>12/31/2018</stp>
        <tr r="O3556" s="1"/>
      </tp>
      <tp>
        <v>0.97888365568253399</v>
        <stp/>
        <stp>EM_S_VAL_PS_TTM</stp>
        <stp>2</stp>
        <stp>600801</stp>
        <stp>12/31/2018</stp>
        <tr r="O585" s="1"/>
      </tp>
      <tp>
        <v>1.5052485920638301</v>
        <stp/>
        <stp>EM_S_VAL_PS_TTM</stp>
        <stp>2</stp>
        <stp>000860</stp>
        <stp>12/31/2018</stp>
        <tr r="O371" s="1"/>
      </tp>
      <tp>
        <v>19.6532703039532</v>
        <stp/>
        <stp>EM_S_VAL_PS_TTM</stp>
        <stp>2</stp>
        <stp>600800</stp>
        <stp>12/31/2018</stp>
        <tr r="O1729" s="1"/>
      </tp>
      <tp>
        <v>3.56790494976471</v>
        <stp/>
        <stp>EM_S_VAL_PS_TTM</stp>
        <stp>2</stp>
        <stp>000869</stp>
        <stp>12/31/2018</stp>
        <tr r="O1713" s="1"/>
      </tp>
      <tp>
        <v>3.7480531177324399</v>
        <stp/>
        <stp>EM_S_VAL_PS_TTM</stp>
        <stp>2</stp>
        <stp>600809</stp>
        <stp>12/31/2018</stp>
        <tr r="O75" s="1"/>
      </tp>
      <tp>
        <v>0.635316918493675</v>
        <stp/>
        <stp>EM_S_VAL_PS_TTM</stp>
        <stp>2</stp>
        <stp>000868</stp>
        <stp>12/31/2018</stp>
        <tr r="O3559" s="1"/>
      </tp>
      <tp>
        <v>0.319171430414673</v>
        <stp/>
        <stp>EM_S_VAL_PS_TTM</stp>
        <stp>2</stp>
        <stp>600808</stp>
        <stp>12/31/2018</stp>
        <tr r="O2869" s="1"/>
      </tp>
      <tp>
        <v>4.0252275296057904</v>
        <stp/>
        <stp>EM_S_VAL_PS_TTM</stp>
        <stp>2</stp>
        <stp>600837</stp>
        <stp>12/31/2018</stp>
        <tr r="O260" s="1"/>
      </tp>
      <tp>
        <v>1.82313896678081</v>
        <stp/>
        <stp>EM_S_VAL_PS_TTM</stp>
        <stp>2</stp>
        <stp>000856</stp>
        <stp>12/31/2018</stp>
        <tr r="O3157" s="1"/>
      </tp>
      <tp>
        <v>1.7849489373755101</v>
        <stp/>
        <stp>EM_S_VAL_PS_TTM</stp>
        <stp>2</stp>
        <stp>600836</stp>
        <stp>12/31/2018</stp>
        <tr r="O857" s="1"/>
      </tp>
      <tp>
        <v>0.71931836616845501</v>
        <stp/>
        <stp>EM_S_VAL_PS_TTM</stp>
        <stp>2</stp>
        <stp>600835</stp>
        <stp>12/31/2018</stp>
        <tr r="O1537" s="1"/>
      </tp>
      <tp>
        <v>4.2723098635514898</v>
        <stp/>
        <stp>EM_S_VAL_PS_TTM</stp>
        <stp>2</stp>
        <stp>600834</stp>
        <stp>12/31/2018</stp>
        <tr r="O1990" s="1"/>
      </tp>
      <tp>
        <v>1.64529161932273</v>
        <stp/>
        <stp>EM_S_VAL_PS_TTM</stp>
        <stp>2</stp>
        <stp>600833</stp>
        <stp>12/31/2018</stp>
        <tr r="O2110" s="1"/>
      </tp>
      <tp>
        <v>0.86331387557789097</v>
        <stp/>
        <stp>EM_S_VAL_PS_TTM</stp>
        <stp>2</stp>
        <stp>000852</stp>
        <stp>12/31/2018</stp>
        <tr r="O2811" s="1"/>
      </tp>
      <tp>
        <v>13.8078596146511</v>
        <stp/>
        <stp>EM_S_VAL_PS_TTM</stp>
        <stp>2</stp>
        <stp>600832</stp>
        <stp>12/31/2018</stp>
        <tr r="O2328" s="1"/>
      </tp>
      <tp>
        <v>0.40271478431352298</v>
        <stp/>
        <stp>EM_S_VAL_PS_TTM</stp>
        <stp>2</stp>
        <stp>000851</stp>
        <stp>12/31/2018</stp>
        <tr r="O1159" s="1"/>
      </tp>
      <tp>
        <v>1.3507028443547899</v>
        <stp/>
        <stp>EM_S_VAL_PS_TTM</stp>
        <stp>2</stp>
        <stp>600831</stp>
        <stp>12/31/2018</stp>
        <tr r="O788" s="1"/>
      </tp>
      <tp>
        <v>1.1237046621271101</v>
        <stp/>
        <stp>EM_S_VAL_PS_TTM</stp>
        <stp>2</stp>
        <stp>000850</stp>
        <stp>12/31/2018</stp>
        <tr r="O1049" s="1"/>
      </tp>
      <tp>
        <v>1.9861655906799101</v>
        <stp/>
        <stp>EM_S_VAL_PS_TTM</stp>
        <stp>2</stp>
        <stp>600830</stp>
        <stp>12/31/2018</stp>
        <tr r="O1448" s="1"/>
      </tp>
      <tp>
        <v>1.7138672282299701</v>
        <stp/>
        <stp>EM_S_VAL_PS_TTM</stp>
        <stp>2</stp>
        <stp>000859</stp>
        <stp>12/31/2018</stp>
        <tr r="O151" s="1"/>
      </tp>
      <tp>
        <v>0.13224139897915099</v>
        <stp/>
        <stp>EM_S_VAL_PS_TTM</stp>
        <stp>2</stp>
        <stp>600839</stp>
        <stp>12/31/2018</stp>
        <tr r="O1139" s="1"/>
      </tp>
      <tp>
        <v>5.2722638376835</v>
        <stp/>
        <stp>EM_S_VAL_PS_TTM</stp>
        <stp>2</stp>
        <stp>000858</stp>
        <stp>12/31/2018</stp>
        <tr r="O65" s="1"/>
      </tp>
      <tp>
        <v>30.1014289623281</v>
        <stp/>
        <stp>EM_S_VAL_PS_TTM</stp>
        <stp>2</stp>
        <stp>600838</stp>
        <stp>12/31/2018</stp>
        <tr r="O1970" s="1"/>
      </tp>
      <tp>
        <v>0.31499034065834902</v>
        <stp/>
        <stp>EM_S_VAL_PS_TTM</stp>
        <stp>2</stp>
        <stp>600827</stp>
        <stp>12/31/2018</stp>
        <tr r="O1943" s="1"/>
      </tp>
      <tp>
        <v>1.2513548269456201</v>
        <stp/>
        <stp>EM_S_VAL_PS_TTM</stp>
        <stp>2</stp>
        <stp>600826</stp>
        <stp>12/31/2018</stp>
        <tr r="O1328" s="1"/>
      </tp>
      <tp>
        <v>3.9125152372749601</v>
        <stp/>
        <stp>EM_S_VAL_PS_TTM</stp>
        <stp>2</stp>
        <stp>600825</stp>
        <stp>12/31/2018</stp>
        <tr r="O1333" s="1"/>
      </tp>
      <tp>
        <v>2.2938272455845099</v>
        <stp/>
        <stp>EM_S_VAL_PS_TTM</stp>
        <stp>2</stp>
        <stp>600824</stp>
        <stp>12/31/2018</stp>
        <tr r="O2064" s="1"/>
      </tp>
      <tp>
        <v>0.65677133640878504</v>
        <stp/>
        <stp>EM_S_VAL_PS_TTM</stp>
        <stp>2</stp>
        <stp>600823</stp>
        <stp>12/31/2018</stp>
        <tr r="O1206" s="1"/>
      </tp>
      <tp>
        <v>0.66404090860013598</v>
        <stp/>
        <stp>EM_S_VAL_PS_TTM</stp>
        <stp>2</stp>
        <stp>600822</stp>
        <stp>12/31/2018</stp>
        <tr r="O1393" s="1"/>
      </tp>
      <tp>
        <v>9.2486128439293598</v>
        <stp/>
        <stp>EM_S_VAL_PS_TTM</stp>
        <stp>2</stp>
        <stp>600821</stp>
        <stp>12/31/2018</stp>
        <tr r="O1516" s="1"/>
      </tp>
      <tp>
        <v>0.56191654134246405</v>
        <stp/>
        <stp>EM_S_VAL_PS_TTM</stp>
        <stp>2</stp>
        <stp>600820</stp>
        <stp>12/31/2018</stp>
        <tr r="O2521" s="1"/>
      </tp>
      <tp>
        <v>0.47505254278787401</v>
        <stp/>
        <stp>EM_S_VAL_PS_TTM</stp>
        <stp>2</stp>
        <stp>600829</stp>
        <stp>12/31/2018</stp>
        <tr r="O1485" s="1"/>
      </tp>
      <tp>
        <v>3.53482652114281</v>
        <stp/>
        <stp>EM_S_VAL_PS_TTM</stp>
        <stp>2</stp>
        <stp>000848</stp>
        <stp>12/31/2018</stp>
        <tr r="O2428" s="1"/>
      </tp>
      <tp>
        <v>0.68780521694091401</v>
        <stp/>
        <stp>EM_S_VAL_PS_TTM</stp>
        <stp>2</stp>
        <stp>600828</stp>
        <stp>12/31/2018</stp>
        <tr r="O2265" s="1"/>
      </tp>
      <tp>
        <v>12.7820332777</v>
        <stp/>
        <stp>EM_S_FA_NETPROFITMARGIN</stp>
        <stp>3</stp>
        <stp>603959</stp>
        <stp>12/31/2018</stp>
        <stp>1</stp>
        <tr r="J3275" s="1"/>
      </tp>
      <tp>
        <v>15.4440233439</v>
        <stp/>
        <stp>EM_S_FA_NETPROFITMARGIN</stp>
        <stp>3</stp>
        <stp>603859</stp>
        <stp>12/31/2018</stp>
        <stp>1</stp>
        <tr r="J443" s="1"/>
      </tp>
      <tp>
        <v>6.7352128767000004</v>
        <stp/>
        <stp>EM_S_FA_NETPROFITMARGIN</stp>
        <stp>3</stp>
        <stp>603159</stp>
        <stp>12/31/2018</stp>
        <stp>1</stp>
        <tr r="J3276" s="1"/>
      </tp>
      <tp>
        <v>12.4968091618</v>
        <stp/>
        <stp>EM_S_FA_NETPROFITMARGIN</stp>
        <stp>3</stp>
        <stp>603059</stp>
        <stp>12/31/2018</stp>
        <stp>1</stp>
        <tr r="J2986" s="1"/>
      </tp>
      <tp>
        <v>20.409985293199998</v>
        <stp/>
        <stp>EM_S_FA_NETPROFITMARGIN</stp>
        <stp>3</stp>
        <stp>603359</stp>
        <stp>12/31/2018</stp>
        <stp>1</stp>
        <tr r="J2716" s="1"/>
      </tp>
      <tp>
        <v>24.2745739</v>
        <stp/>
        <stp>EM_S_FA_NETPROFITMARGIN</stp>
        <stp>3</stp>
        <stp>603259</stp>
        <stp>12/31/2018</stp>
        <stp>1</stp>
        <tr r="J1205" s="1"/>
      </tp>
      <tp>
        <v>6.7776169001</v>
        <stp/>
        <stp>EM_S_FA_NETPROFITMARGIN</stp>
        <stp>3</stp>
        <stp>603559</stp>
        <stp>12/31/2018</stp>
        <stp>1</stp>
        <tr r="J3183" s="1"/>
      </tp>
      <tp>
        <v>18.142894330899999</v>
        <stp/>
        <stp>EM_S_FA_NETPROFITMARGIN</stp>
        <stp>3</stp>
        <stp>603659</stp>
        <stp>12/31/2018</stp>
        <stp>1</stp>
        <tr r="J241" s="1"/>
      </tp>
      <tp>
        <v>27.3269265279</v>
        <stp/>
        <stp>EM_S_FA_NETPROFITMARGIN</stp>
        <stp>3</stp>
        <stp>002839</stp>
        <stp>12/31/2018</stp>
        <stp>1</stp>
        <tr r="J1722" s="1"/>
      </tp>
      <tp>
        <v>6.9496961321999997</v>
        <stp/>
        <stp>EM_S_FA_NETPROFITMARGIN</stp>
        <stp>3</stp>
        <stp>002139</stp>
        <stp>12/31/2018</stp>
        <stp>1</stp>
        <tr r="J684" s="1"/>
      </tp>
      <tp>
        <v>23.054073665299999</v>
        <stp/>
        <stp>EM_S_FA_NETPROFITMARGIN</stp>
        <stp>3</stp>
        <stp>002039</stp>
        <stp>12/31/2018</stp>
        <stp>1</stp>
        <tr r="J3614" s="1"/>
      </tp>
      <tp>
        <v>4.6380057022000001</v>
        <stp/>
        <stp>EM_S_FA_NETPROFITMARGIN</stp>
        <stp>3</stp>
        <stp>002339</stp>
        <stp>12/31/2018</stp>
        <stp>1</stp>
        <tr r="J1989" s="1"/>
      </tp>
      <tp>
        <v>0.84791952130000003</v>
        <stp/>
        <stp>EM_S_FA_NETPROFITMARGIN</stp>
        <stp>3</stp>
        <stp>002239</stp>
        <stp>12/31/2018</stp>
        <stp>1</stp>
        <tr r="J2868" s="1"/>
      </tp>
      <tp>
        <v>2.1379154156000002</v>
        <stp/>
        <stp>EM_S_FA_NETPROFITMARGIN</stp>
        <stp>3</stp>
        <stp>002539</stp>
        <stp>12/31/2018</stp>
        <stp>1</stp>
        <tr r="J1332" s="1"/>
      </tp>
      <tp>
        <v>22.211284826699998</v>
        <stp/>
        <stp>EM_S_FA_NETPROFITMARGIN</stp>
        <stp>3</stp>
        <stp>002439</stp>
        <stp>12/31/2018</stp>
        <stp>1</stp>
        <tr r="J349" s="1"/>
      </tp>
      <tp>
        <v>9.1743443257999999</v>
        <stp/>
        <stp>EM_S_FA_NETPROFITMARGIN</stp>
        <stp>3</stp>
        <stp>002739</stp>
        <stp>12/31/2018</stp>
        <stp>1</stp>
        <tr r="J2975" s="1"/>
      </tp>
      <tp>
        <v>1.11770389</v>
        <stp/>
        <stp>EM_S_FA_NETPROFITMARGIN</stp>
        <stp>3</stp>
        <stp>002639</stp>
        <stp>12/31/2018</stp>
        <stp>1</stp>
        <tr r="J434" s="1"/>
      </tp>
      <tp>
        <v>-202.4601265416</v>
        <stp/>
        <stp>EM_S_FA_NETPROFITMARGIN</stp>
        <stp>3</stp>
        <stp>000939</stp>
        <stp>12/31/2018</stp>
        <stp>1</stp>
        <tr r="J3583" s="1"/>
      </tp>
      <tp>
        <v>10.164406591200001</v>
        <stp/>
        <stp>EM_S_FA_NETPROFITMARGIN</stp>
        <stp>3</stp>
        <stp>600959</stp>
        <stp>12/31/2018</stp>
        <stp>1</stp>
        <tr r="J2509" s="1"/>
      </tp>
      <tp>
        <v>48.2906948543</v>
        <stp/>
        <stp>EM_S_FA_NETPROFITMARGIN</stp>
        <stp>3</stp>
        <stp>000839</stp>
        <stp>12/31/2018</stp>
        <stp>1</stp>
        <tr r="J3555" s="1"/>
      </tp>
      <tp>
        <v>4.5905927757000002</v>
        <stp/>
        <stp>EM_S_FA_NETPROFITMARGIN</stp>
        <stp>3</stp>
        <stp>600859</stp>
        <stp>12/31/2018</stp>
        <stp>1</stp>
        <tr r="J2086" s="1"/>
      </tp>
      <tp>
        <v>12.972043083699999</v>
        <stp/>
        <stp>EM_S_FA_NETPROFITMARGIN</stp>
        <stp>3</stp>
        <stp>300109</stp>
        <stp>12/31/2018</stp>
        <stp>1</stp>
        <tr r="J1364" s="1"/>
      </tp>
      <tp>
        <v>10.3036189047</v>
        <stp/>
        <stp>EM_S_FA_NETPROFITMARGIN</stp>
        <stp>3</stp>
        <stp>600159</stp>
        <stp>12/31/2018</stp>
        <stp>1</stp>
        <tr r="J1961" s="1"/>
      </tp>
      <tp>
        <v>4.3513994398999998</v>
        <stp/>
        <stp>EM_S_FA_NETPROFITMARGIN</stp>
        <stp>3</stp>
        <stp>000039</stp>
        <stp>12/31/2018</stp>
        <stp>1</stp>
        <tr r="J1426" s="1"/>
      </tp>
      <tp>
        <v>18.114459580399998</v>
        <stp/>
        <stp>EM_S_FA_NETPROFITMARGIN</stp>
        <stp>3</stp>
        <stp>300009</stp>
        <stp>12/31/2018</stp>
        <stp>1</stp>
        <tr r="J1660" s="1"/>
      </tp>
      <tp>
        <v>10.046604242400001</v>
        <stp/>
        <stp>EM_S_FA_NETPROFITMARGIN</stp>
        <stp>3</stp>
        <stp>600059</stp>
        <stp>12/31/2018</stp>
        <stp>1</stp>
        <tr r="J979" s="1"/>
      </tp>
      <tp>
        <v>23.092833838600001</v>
        <stp/>
        <stp>EM_S_FA_NETPROFITMARGIN</stp>
        <stp>3</stp>
        <stp>300309</stp>
        <stp>12/31/2018</stp>
        <stp>1</stp>
        <tr r="J3321" s="1"/>
      </tp>
      <tp>
        <v>-35.3033186782</v>
        <stp/>
        <stp>EM_S_FA_NETPROFITMARGIN</stp>
        <stp>3</stp>
        <stp>600359</stp>
        <stp>12/31/2018</stp>
        <stp>1</stp>
        <tr r="J997" s="1"/>
      </tp>
      <tp>
        <v>1.7132848359999999</v>
        <stp/>
        <stp>EM_S_FA_NETPROFITMARGIN</stp>
        <stp>3</stp>
        <stp>300209</stp>
        <stp>12/31/2018</stp>
        <stp>1</stp>
        <tr r="J866" s="1"/>
      </tp>
      <tp>
        <v>-12.249181411</v>
        <stp/>
        <stp>EM_S_FA_NETPROFITMARGIN</stp>
        <stp>3</stp>
        <stp>600259</stp>
        <stp>12/31/2018</stp>
        <stp>1</stp>
        <tr r="J486" s="1"/>
      </tp>
      <tp>
        <v>3.3204916949999999</v>
        <stp/>
        <stp>EM_S_FA_NETPROFITMARGIN</stp>
        <stp>3</stp>
        <stp>000539</stp>
        <stp>12/31/2018</stp>
        <stp>1</stp>
        <tr r="J2832" s="1"/>
      </tp>
      <tp>
        <v>8.3736162771</v>
        <stp/>
        <stp>EM_S_FA_NETPROFITMARGIN</stp>
        <stp>3</stp>
        <stp>300509</stp>
        <stp>12/31/2018</stp>
        <stp>1</stp>
        <tr r="J3148" s="1"/>
      </tp>
      <tp>
        <v>9.7796576121999994</v>
        <stp/>
        <stp>EM_S_FA_NETPROFITMARGIN</stp>
        <stp>3</stp>
        <stp>600559</stp>
        <stp>12/31/2018</stp>
        <stp>1</stp>
        <tr r="J2704" s="1"/>
      </tp>
      <tp>
        <v>10.8676333471</v>
        <stp/>
        <stp>EM_S_FA_NETPROFITMARGIN</stp>
        <stp>3</stp>
        <stp>300409</stp>
        <stp>12/31/2018</stp>
        <stp>1</stp>
        <tr r="J2377" s="1"/>
      </tp>
      <tp>
        <v>1.0820112849000001</v>
        <stp/>
        <stp>EM_S_FA_NETPROFITMARGIN</stp>
        <stp>3</stp>
        <stp>600459</stp>
        <stp>12/31/2018</stp>
        <stp>1</stp>
        <tr r="J755" s="1"/>
      </tp>
      <tp>
        <v>5.8115363723</v>
        <stp/>
        <stp>EM_S_FA_NETPROFITMARGIN</stp>
        <stp>3</stp>
        <stp>000739</stp>
        <stp>12/31/2018</stp>
        <stp>1</stp>
        <tr r="J340" s="1"/>
      </tp>
      <tp>
        <v>4.2145668853</v>
        <stp/>
        <stp>EM_S_FA_NETPROFITMARGIN</stp>
        <stp>3</stp>
        <stp>300709</stp>
        <stp>12/31/2018</stp>
        <stp>1</stp>
        <tr r="J30" s="1"/>
      </tp>
      <tp>
        <v>6.2079943544000002</v>
        <stp/>
        <stp>EM_S_FA_NETPROFITMARGIN</stp>
        <stp>3</stp>
        <stp>600759</stp>
        <stp>12/31/2018</stp>
        <stp>1</stp>
        <tr r="J1390" s="1"/>
      </tp>
      <tp>
        <v>9.1033948259000006</v>
        <stp/>
        <stp>EM_S_FA_NETPROFITMARGIN</stp>
        <stp>3</stp>
        <stp>000639</stp>
        <stp>12/31/2018</stp>
        <stp>1</stp>
        <tr r="J3211" s="1"/>
      </tp>
      <tp>
        <v>26.718767705499999</v>
        <stp/>
        <stp>EM_S_FA_NETPROFITMARGIN</stp>
        <stp>3</stp>
        <stp>300609</stp>
        <stp>12/31/2018</stp>
        <stp>1</stp>
        <tr r="J784" s="1"/>
      </tp>
      <tp>
        <v>0.39040313230000001</v>
        <stp/>
        <stp>EM_S_FA_NETPROFITMARGIN</stp>
        <stp>3</stp>
        <stp>600659</stp>
        <stp>12/31/2018</stp>
        <stp>1</stp>
        <tr r="J2324" s="1"/>
      </tp>
      <tp>
        <v>-4.9983367572999997</v>
        <stp/>
        <stp>EM_S_FA_NETPROFITMARGIN</stp>
        <stp>3</stp>
        <stp>603958</stp>
        <stp>12/31/2018</stp>
        <stp>1</stp>
        <tr r="J2677" s="1"/>
      </tp>
      <tp>
        <v>13.9592142872</v>
        <stp/>
        <stp>EM_S_FA_NETPROFITMARGIN</stp>
        <stp>3</stp>
        <stp>603858</stp>
        <stp>12/31/2018</stp>
        <stp>1</stp>
        <tr r="J3059" s="1"/>
      </tp>
      <tp>
        <v>12.293490244799999</v>
        <stp/>
        <stp>EM_S_FA_NETPROFITMARGIN</stp>
        <stp>3</stp>
        <stp>603158</stp>
        <stp>12/31/2018</stp>
        <stp>1</stp>
        <tr r="J2653" s="1"/>
      </tp>
      <tp>
        <v>25.828979906099999</v>
        <stp/>
        <stp>EM_S_FA_NETPROFITMARGIN</stp>
        <stp>3</stp>
        <stp>603058</stp>
        <stp>12/31/2018</stp>
        <stp>1</stp>
        <tr r="J3088" s="1"/>
      </tp>
      <tp>
        <v>5.2701839847</v>
        <stp/>
        <stp>EM_S_FA_NETPROFITMARGIN</stp>
        <stp>3</stp>
        <stp>603358</stp>
        <stp>12/31/2018</stp>
        <stp>1</stp>
        <tr r="J844" s="1"/>
      </tp>
      <tp>
        <v>27.083508393399999</v>
        <stp/>
        <stp>EM_S_FA_NETPROFITMARGIN</stp>
        <stp>3</stp>
        <stp>603258</stp>
        <stp>12/31/2018</stp>
        <stp>1</stp>
        <tr r="J727" s="1"/>
      </tp>
      <tp>
        <v>13.0869459046</v>
        <stp/>
        <stp>EM_S_FA_NETPROFITMARGIN</stp>
        <stp>3</stp>
        <stp>603558</stp>
        <stp>12/31/2018</stp>
        <stp>1</stp>
        <tr r="J2587" s="1"/>
      </tp>
      <tp>
        <v>16.4012914616</v>
        <stp/>
        <stp>EM_S_FA_NETPROFITMARGIN</stp>
        <stp>3</stp>
        <stp>603458</stp>
        <stp>12/31/2018</stp>
        <stp>1</stp>
        <tr r="J3290" s="1"/>
      </tp>
      <tp>
        <v>-9.4121875472000003</v>
        <stp/>
        <stp>EM_S_FA_NETPROFITMARGIN</stp>
        <stp>3</stp>
        <stp>603758</stp>
        <stp>12/31/2018</stp>
        <stp>1</stp>
        <tr r="J2185" s="1"/>
      </tp>
      <tp>
        <v>29.798196597299999</v>
        <stp/>
        <stp>EM_S_FA_NETPROFITMARGIN</stp>
        <stp>3</stp>
        <stp>603658</stp>
        <stp>12/31/2018</stp>
        <stp>1</stp>
        <tr r="J188" s="1"/>
      </tp>
      <tp>
        <v>9.1322364113999992</v>
        <stp/>
        <stp>EM_S_FA_NETPROFITMARGIN</stp>
        <stp>3</stp>
        <stp>002838</stp>
        <stp>12/31/2018</stp>
        <stp>1</stp>
        <tr r="J3303" s="1"/>
      </tp>
      <tp>
        <v>20.4471294461</v>
        <stp/>
        <stp>EM_S_FA_NETPROFITMARGIN</stp>
        <stp>3</stp>
        <stp>002138</stp>
        <stp>12/31/2018</stp>
        <stp>1</stp>
        <tr r="J329" s="1"/>
      </tp>
      <tp>
        <v>25.993134683000001</v>
        <stp/>
        <stp>EM_S_FA_NETPROFITMARGIN</stp>
        <stp>3</stp>
        <stp>002038</stp>
        <stp>12/31/2018</stp>
        <stp>1</stp>
        <tr r="J3361" s="1"/>
      </tp>
      <tp>
        <v>11.449340795199999</v>
        <stp/>
        <stp>EM_S_FA_NETPROFITMARGIN</stp>
        <stp>3</stp>
        <stp>002338</stp>
        <stp>12/31/2018</stp>
        <stp>1</stp>
        <tr r="J1311" s="1"/>
      </tp>
      <tp>
        <v>12.861012772300001</v>
        <stp/>
        <stp>EM_S_FA_NETPROFITMARGIN</stp>
        <stp>3</stp>
        <stp>002238</stp>
        <stp>12/31/2018</stp>
        <stp>1</stp>
        <tr r="J1196" s="1"/>
      </tp>
      <tp>
        <v>9.9904482038999998</v>
        <stp/>
        <stp>EM_S_FA_NETPROFITMARGIN</stp>
        <stp>3</stp>
        <stp>002538</stp>
        <stp>12/31/2018</stp>
        <stp>1</stp>
        <tr r="J2472" s="1"/>
      </tp>
      <tp>
        <v>9.5032252973000002</v>
        <stp/>
        <stp>EM_S_FA_NETPROFITMARGIN</stp>
        <stp>3</stp>
        <stp>002438</stp>
        <stp>12/31/2018</stp>
        <stp>1</stp>
        <tr r="J726" s="1"/>
      </tp>
      <tp>
        <v>12.692456483400001</v>
        <stp/>
        <stp>EM_S_FA_NETPROFITMARGIN</stp>
        <stp>3</stp>
        <stp>002738</stp>
        <stp>12/31/2018</stp>
        <stp>1</stp>
        <tr r="J1459" s="1"/>
      </tp>
      <tp>
        <v>-96.372829829500006</v>
        <stp/>
        <stp>EM_S_FA_NETPROFITMARGIN</stp>
        <stp>3</stp>
        <stp>002638</stp>
        <stp>12/31/2018</stp>
        <stp>1</stp>
        <tr r="J689" s="1"/>
      </tp>
      <tp>
        <v>5.2090292314999997</v>
        <stp/>
        <stp>EM_S_FA_NETPROFITMARGIN</stp>
        <stp>3</stp>
        <stp>601958</stp>
        <stp>12/31/2018</stp>
        <stp>1</stp>
        <tr r="J799" s="1"/>
      </tp>
      <tp>
        <v>19.152941042199998</v>
        <stp/>
        <stp>EM_S_FA_NETPROFITMARGIN</stp>
        <stp>3</stp>
        <stp>601858</stp>
        <stp>12/31/2018</stp>
        <stp>1</stp>
        <tr r="J1108" s="1"/>
      </tp>
      <tp>
        <v>26.911084746</v>
        <stp/>
        <stp>EM_S_FA_NETPROFITMARGIN</stp>
        <stp>3</stp>
        <stp>601158</stp>
        <stp>12/31/2018</stp>
        <stp>1</stp>
        <tr r="J2337" s="1"/>
      </tp>
      <tp>
        <v>4.8004916446000001</v>
        <stp/>
        <stp>EM_S_FA_NETPROFITMARGIN</stp>
        <stp>3</stp>
        <stp>601058</stp>
        <stp>12/31/2018</stp>
        <stp>1</stp>
        <tr r="J167" s="1"/>
      </tp>
      <tp>
        <v>-14.6844671744</v>
        <stp/>
        <stp>EM_S_FA_NETPROFITMARGIN</stp>
        <stp>3</stp>
        <stp>601258</stp>
        <stp>12/31/2018</stp>
        <stp>1</stp>
        <tr r="J2081" s="1"/>
      </tp>
      <tp>
        <v>32.383547873600001</v>
        <stp/>
        <stp>EM_S_FA_NETPROFITMARGIN</stp>
        <stp>3</stp>
        <stp>601558</stp>
        <stp>12/31/2018</stp>
        <stp>1</stp>
        <tr r="J2379" s="1"/>
      </tp>
      <tp>
        <v>6.0722224758000003</v>
        <stp/>
        <stp>EM_S_FA_NETPROFITMARGIN</stp>
        <stp>3</stp>
        <stp>000938</stp>
        <stp>12/31/2018</stp>
        <stp>1</stp>
        <tr r="J2342" s="1"/>
      </tp>
      <tp>
        <v>12.4280907819</v>
        <stp/>
        <stp>EM_S_FA_NETPROFITMARGIN</stp>
        <stp>3</stp>
        <stp>600958</stp>
        <stp>12/31/2018</stp>
        <stp>1</stp>
        <tr r="J811" s="1"/>
      </tp>
      <tp>
        <v>1.6958124724999999</v>
        <stp/>
        <stp>EM_S_FA_NETPROFITMARGIN</stp>
        <stp>3</stp>
        <stp>000838</stp>
        <stp>12/31/2018</stp>
        <stp>1</stp>
        <tr r="J1804" s="1"/>
      </tp>
      <tp>
        <v>-5.5461555999999999E-3</v>
        <stp/>
        <stp>EM_S_FA_NETPROFITMARGIN</stp>
        <stp>3</stp>
        <stp>600858</stp>
        <stp>12/31/2018</stp>
        <stp>1</stp>
        <tr r="J2088" s="1"/>
      </tp>
      <tp>
        <v>23.285692775200001</v>
        <stp/>
        <stp>EM_S_FA_NETPROFITMARGIN</stp>
        <stp>3</stp>
        <stp>300108</stp>
        <stp>12/31/2018</stp>
        <stp>1</stp>
        <tr r="J3150" s="1"/>
      </tp>
      <tp>
        <v>6.3101265287999997</v>
        <stp/>
        <stp>EM_S_FA_NETPROFITMARGIN</stp>
        <stp>3</stp>
        <stp>600158</stp>
        <stp>12/31/2018</stp>
        <stp>1</stp>
        <tr r="J1644" s="1"/>
      </tp>
      <tp>
        <v>-91.570428886100004</v>
        <stp/>
        <stp>EM_S_FA_NETPROFITMARGIN</stp>
        <stp>3</stp>
        <stp>000038</stp>
        <stp>12/31/2018</stp>
        <stp>1</stp>
        <tr r="J2663" s="1"/>
      </tp>
      <tp>
        <v>-182.8264698337</v>
        <stp/>
        <stp>EM_S_FA_NETPROFITMARGIN</stp>
        <stp>3</stp>
        <stp>300008</stp>
        <stp>12/31/2018</stp>
        <stp>1</stp>
        <tr r="J1648" s="1"/>
      </tp>
      <tp>
        <v>-1.4516776944000001</v>
        <stp/>
        <stp>EM_S_FA_NETPROFITMARGIN</stp>
        <stp>3</stp>
        <stp>600058</stp>
        <stp>12/31/2018</stp>
        <stp>1</stp>
        <tr r="J1269" s="1"/>
      </tp>
      <tp>
        <v>7.3000362847</v>
        <stp/>
        <stp>EM_S_FA_NETPROFITMARGIN</stp>
        <stp>3</stp>
        <stp>000338</stp>
        <stp>12/31/2018</stp>
        <stp>1</stp>
        <tr r="J162" s="1"/>
      </tp>
      <tp>
        <v>12.0845229957</v>
        <stp/>
        <stp>EM_S_FA_NETPROFITMARGIN</stp>
        <stp>3</stp>
        <stp>300308</stp>
        <stp>12/31/2018</stp>
        <stp>1</stp>
        <tr r="J975" s="1"/>
      </tp>
      <tp>
        <v>-23.702887367199999</v>
        <stp/>
        <stp>EM_S_FA_NETPROFITMARGIN</stp>
        <stp>3</stp>
        <stp>600358</stp>
        <stp>12/31/2018</stp>
        <stp>1</stp>
        <tr r="J1391" s="1"/>
      </tp>
      <tp>
        <v>14.3375521871</v>
        <stp/>
        <stp>EM_S_FA_NETPROFITMARGIN</stp>
        <stp>3</stp>
        <stp>300208</stp>
        <stp>12/31/2018</stp>
        <stp>1</stp>
        <tr r="J1037" s="1"/>
      </tp>
      <tp>
        <v>10.450364609399999</v>
        <stp/>
        <stp>EM_S_FA_NETPROFITMARGIN</stp>
        <stp>3</stp>
        <stp>600258</stp>
        <stp>12/31/2018</stp>
        <stp>1</stp>
        <tr r="J833" s="1"/>
      </tp>
      <tp>
        <v>12.3173570071</v>
        <stp/>
        <stp>EM_S_FA_NETPROFITMARGIN</stp>
        <stp>3</stp>
        <stp>000538</stp>
        <stp>12/31/2018</stp>
        <stp>1</stp>
        <tr r="J1317" s="1"/>
      </tp>
      <tp>
        <v>-11.959833310900001</v>
        <stp/>
        <stp>EM_S_FA_NETPROFITMARGIN</stp>
        <stp>3</stp>
        <stp>300508</stp>
        <stp>12/31/2018</stp>
        <stp>1</stp>
        <tr r="J1385" s="1"/>
      </tp>
      <tp>
        <v>2.8705300898999999</v>
        <stp/>
        <stp>EM_S_FA_NETPROFITMARGIN</stp>
        <stp>3</stp>
        <stp>600558</stp>
        <stp>12/31/2018</stp>
        <stp>1</stp>
        <tr r="J2115" s="1"/>
      </tp>
      <tp>
        <v>35.2959560225</v>
        <stp/>
        <stp>EM_S_FA_NETPROFITMARGIN</stp>
        <stp>3</stp>
        <stp>300408</stp>
        <stp>12/31/2018</stp>
        <stp>1</stp>
        <tr r="J858" s="1"/>
      </tp>
      <tp>
        <v>-3.6227849601000002</v>
        <stp/>
        <stp>EM_S_FA_NETPROFITMARGIN</stp>
        <stp>3</stp>
        <stp>600458</stp>
        <stp>12/31/2018</stp>
        <stp>1</stp>
        <tr r="J2074" s="1"/>
      </tp>
      <tp>
        <v>9.3713276260999994</v>
        <stp/>
        <stp>EM_S_FA_NETPROFITMARGIN</stp>
        <stp>3</stp>
        <stp>000738</stp>
        <stp>12/31/2018</stp>
        <stp>1</stp>
        <tr r="J1824" s="1"/>
      </tp>
      <tp>
        <v>3.6461254648999999</v>
        <stp/>
        <stp>EM_S_FA_NETPROFITMARGIN</stp>
        <stp>3</stp>
        <stp>300708</stp>
        <stp>12/31/2018</stp>
        <stp>1</stp>
        <tr r="J1073" s="1"/>
      </tp>
      <tp>
        <v>1.5375883853000001</v>
        <stp/>
        <stp>EM_S_FA_NETPROFITMARGIN</stp>
        <stp>3</stp>
        <stp>600758</stp>
        <stp>12/31/2018</stp>
        <stp>1</stp>
        <tr r="J884" s="1"/>
      </tp>
      <tp>
        <v>-121.943629061</v>
        <stp/>
        <stp>EM_S_FA_NETPROFITMARGIN</stp>
        <stp>3</stp>
        <stp>000638</stp>
        <stp>12/31/2018</stp>
        <stp>1</stp>
        <tr r="J3492" s="1"/>
      </tp>
      <tp>
        <v>10.9579572796</v>
        <stp/>
        <stp>EM_S_FA_NETPROFITMARGIN</stp>
        <stp>3</stp>
        <stp>300608</stp>
        <stp>12/31/2018</stp>
        <stp>1</stp>
        <tr r="J2460" s="1"/>
      </tp>
      <tp>
        <v>17.751367985400002</v>
        <stp/>
        <stp>EM_S_FA_NETPROFITMARGIN</stp>
        <stp>3</stp>
        <stp>600658</stp>
        <stp>12/31/2018</stp>
        <stp>1</stp>
        <tr r="J2829" s="1"/>
      </tp>
      <tp>
        <v>14.518628274599999</v>
        <stp/>
        <stp>EM_S_FA_NETPROFITMARGIN</stp>
        <stp>3</stp>
        <stp>002931</stp>
        <stp>12/31/2018</stp>
        <stp>1</stp>
        <tr r="J2638" s="1"/>
      </tp>
      <tp>
        <v>11.4084340448</v>
        <stp/>
        <stp>EM_S_FA_NETPROFITMARGIN</stp>
        <stp>3</stp>
        <stp>002831</stp>
        <stp>12/31/2018</stp>
        <stp>1</stp>
        <tr r="J3252" s="1"/>
      </tp>
      <tp>
        <v>-15.1178971332</v>
        <stp/>
        <stp>EM_S_FA_NETPROFITMARGIN</stp>
        <stp>3</stp>
        <stp>002131</stp>
        <stp>12/31/2018</stp>
        <stp>1</stp>
        <tr r="J178" s="1"/>
      </tp>
      <tp>
        <v>10.048487247600001</v>
        <stp/>
        <stp>EM_S_FA_NETPROFITMARGIN</stp>
        <stp>3</stp>
        <stp>002031</stp>
        <stp>12/31/2018</stp>
        <stp>1</stp>
        <tr r="J1994" s="1"/>
      </tp>
      <tp>
        <v>8.2697303192000007</v>
        <stp/>
        <stp>EM_S_FA_NETPROFITMARGIN</stp>
        <stp>3</stp>
        <stp>002331</stp>
        <stp>12/31/2018</stp>
        <stp>1</stp>
        <tr r="J1715" s="1"/>
      </tp>
      <tp>
        <v>-53.675201206899999</v>
        <stp/>
        <stp>EM_S_FA_NETPROFITMARGIN</stp>
        <stp>3</stp>
        <stp>002231</stp>
        <stp>12/31/2018</stp>
        <stp>1</stp>
        <tr r="J2167" s="1"/>
      </tp>
      <tp>
        <v>12.9921630896</v>
        <stp/>
        <stp>EM_S_FA_NETPROFITMARGIN</stp>
        <stp>3</stp>
        <stp>002531</stp>
        <stp>12/31/2018</stp>
        <stp>1</stp>
        <tr r="J787" s="1"/>
      </tp>
      <tp>
        <v>0.95187134330000001</v>
        <stp/>
        <stp>EM_S_FA_NETPROFITMARGIN</stp>
        <stp>3</stp>
        <stp>002431</stp>
        <stp>12/31/2018</stp>
        <stp>1</stp>
        <tr r="J2936" s="1"/>
      </tp>
      <tp>
        <v>1.038148115</v>
        <stp/>
        <stp>EM_S_FA_NETPROFITMARGIN</stp>
        <stp>3</stp>
        <stp>002731</stp>
        <stp>12/31/2018</stp>
        <stp>1</stp>
        <tr r="J3386" s="1"/>
      </tp>
      <tp>
        <v>5.9986529540999998</v>
        <stp/>
        <stp>EM_S_FA_NETPROFITMARGIN</stp>
        <stp>3</stp>
        <stp>002631</stp>
        <stp>12/31/2018</stp>
        <stp>1</stp>
        <tr r="J1082" s="1"/>
      </tp>
      <tp>
        <v>6.8158913061000002</v>
        <stp/>
        <stp>EM_S_FA_NETPROFITMARGIN</stp>
        <stp>3</stp>
        <stp>000931</stp>
        <stp>12/31/2018</stp>
        <stp>1</stp>
        <tr r="J720" s="1"/>
      </tp>
      <tp>
        <v>10.965082130900001</v>
        <stp/>
        <stp>EM_S_FA_NETPROFITMARGIN</stp>
        <stp>3</stp>
        <stp>000831</stp>
        <stp>12/31/2018</stp>
        <stp>1</stp>
        <tr r="J465" s="1"/>
      </tp>
      <tp>
        <v>14.200116965799999</v>
        <stp/>
        <stp>EM_S_FA_NETPROFITMARGIN</stp>
        <stp>3</stp>
        <stp>600851</stp>
        <stp>12/31/2018</stp>
        <stp>1</stp>
        <tr r="J1652" s="1"/>
      </tp>
      <tp>
        <v>4.5281715002</v>
        <stp/>
        <stp>EM_S_FA_NETPROFITMARGIN</stp>
        <stp>3</stp>
        <stp>300101</stp>
        <stp>12/31/2018</stp>
        <stp>1</stp>
        <tr r="J2605" s="1"/>
      </tp>
      <tp>
        <v>0.47642333409999998</v>
        <stp/>
        <stp>EM_S_FA_NETPROFITMARGIN</stp>
        <stp>3</stp>
        <stp>600151</stp>
        <stp>12/31/2018</stp>
        <stp>1</stp>
        <tr r="J1268" s="1"/>
      </tp>
      <tp>
        <v>14.1956370489</v>
        <stp/>
        <stp>EM_S_FA_NETPROFITMARGIN</stp>
        <stp>3</stp>
        <stp>000031</stp>
        <stp>12/31/2018</stp>
        <stp>1</stp>
        <tr r="J569" s="1"/>
      </tp>
      <tp>
        <v>3.1802306141000001</v>
        <stp/>
        <stp>EM_S_FA_NETPROFITMARGIN</stp>
        <stp>3</stp>
        <stp>300001</stp>
        <stp>12/31/2018</stp>
        <stp>1</stp>
        <tr r="J2358" s="1"/>
      </tp>
      <tp>
        <v>9.0699115999999993</v>
        <stp/>
        <stp>EM_S_FA_NETPROFITMARGIN</stp>
        <stp>3</stp>
        <stp>600051</stp>
        <stp>12/31/2018</stp>
        <stp>1</stp>
        <tr r="J1703" s="1"/>
      </tp>
      <tp>
        <v>-6.8745526903999998</v>
        <stp/>
        <stp>EM_S_FA_NETPROFITMARGIN</stp>
        <stp>3</stp>
        <stp>300301</stp>
        <stp>12/31/2018</stp>
        <stp>1</stp>
        <tr r="J2067" s="1"/>
      </tp>
      <tp>
        <v>9.7330376558000005</v>
        <stp/>
        <stp>EM_S_FA_NETPROFITMARGIN</stp>
        <stp>3</stp>
        <stp>600351</stp>
        <stp>12/31/2018</stp>
        <stp>1</stp>
        <tr r="J2200" s="1"/>
      </tp>
      <tp>
        <v>5.1430497539999998</v>
        <stp/>
        <stp>EM_S_FA_NETPROFITMARGIN</stp>
        <stp>3</stp>
        <stp>300201</stp>
        <stp>12/31/2018</stp>
        <stp>1</stp>
        <tr r="J2087" s="1"/>
      </tp>
      <tp>
        <v>4.1550479917000001</v>
        <stp/>
        <stp>EM_S_FA_NETPROFITMARGIN</stp>
        <stp>3</stp>
        <stp>600251</stp>
        <stp>12/31/2018</stp>
        <stp>1</stp>
        <tr r="J1731" s="1"/>
      </tp>
      <tp>
        <v>3.2848631957999999</v>
        <stp/>
        <stp>EM_S_FA_NETPROFITMARGIN</stp>
        <stp>3</stp>
        <stp>000531</stp>
        <stp>12/31/2018</stp>
        <stp>1</stp>
        <tr r="J806" s="1"/>
      </tp>
      <tp>
        <v>12.690115474700001</v>
        <stp/>
        <stp>EM_S_FA_NETPROFITMARGIN</stp>
        <stp>3</stp>
        <stp>300501</stp>
        <stp>12/31/2018</stp>
        <stp>1</stp>
        <tr r="J3206" s="1"/>
      </tp>
      <tp>
        <v>5.1623712307999998</v>
        <stp/>
        <stp>EM_S_FA_NETPROFITMARGIN</stp>
        <stp>3</stp>
        <stp>600551</stp>
        <stp>12/31/2018</stp>
        <stp>1</stp>
        <tr r="J2574" s="1"/>
      </tp>
      <tp>
        <v>46.561770403499999</v>
        <stp/>
        <stp>EM_S_FA_NETPROFITMARGIN</stp>
        <stp>3</stp>
        <stp>300401</stp>
        <stp>12/31/2018</stp>
        <stp>1</stp>
        <tr r="J2232" s="1"/>
      </tp>
      <tp>
        <v>8.441994824</v>
        <stp/>
        <stp>EM_S_FA_NETPROFITMARGIN</stp>
        <stp>3</stp>
        <stp>000731</stp>
        <stp>12/31/2018</stp>
        <stp>1</stp>
        <tr r="J2107" s="1"/>
      </tp>
      <tp>
        <v>38.364401176199998</v>
        <stp/>
        <stp>EM_S_FA_NETPROFITMARGIN</stp>
        <stp>3</stp>
        <stp>300701</stp>
        <stp>12/31/2018</stp>
        <stp>1</stp>
        <tr r="J2221" s="1"/>
      </tp>
      <tp>
        <v>6.1959389599999998E-2</v>
        <stp/>
        <stp>EM_S_FA_NETPROFITMARGIN</stp>
        <stp>3</stp>
        <stp>600751</stp>
        <stp>12/31/2018</stp>
        <stp>1</stp>
        <tr r="J1828" s="1"/>
      </tp>
      <tp>
        <v>40.6819516049</v>
        <stp/>
        <stp>EM_S_FA_NETPROFITMARGIN</stp>
        <stp>3</stp>
        <stp>000631</stp>
        <stp>12/31/2018</stp>
        <stp>1</stp>
        <tr r="J3490" s="1"/>
      </tp>
      <tp>
        <v>21.601691214500001</v>
        <stp/>
        <stp>EM_S_FA_NETPROFITMARGIN</stp>
        <stp>3</stp>
        <stp>300601</stp>
        <stp>12/31/2018</stp>
        <stp>1</stp>
        <tr r="J93" s="1"/>
      </tp>
      <tp>
        <v>-100.85049417419999</v>
        <stp/>
        <stp>EM_S_FA_NETPROFITMARGIN</stp>
        <stp>3</stp>
        <stp>600651</stp>
        <stp>12/31/2018</stp>
        <stp>1</stp>
        <tr r="J810" s="1"/>
      </tp>
      <tp>
        <v>7.0702480676999997</v>
        <stp/>
        <stp>EM_S_FA_NETPROFITMARGIN</stp>
        <stp>3</stp>
        <stp>603050</stp>
        <stp>12/31/2018</stp>
        <stp>1</stp>
        <tr r="J2950" s="1"/>
      </tp>
      <tp>
        <v>18.924114358299999</v>
        <stp/>
        <stp>EM_S_FA_NETPROFITMARGIN</stp>
        <stp>3</stp>
        <stp>603650</stp>
        <stp>12/31/2018</stp>
        <stp>1</stp>
        <tr r="J2848" s="1"/>
      </tp>
      <tp>
        <v>25.801023199100001</v>
        <stp/>
        <stp>EM_S_FA_NETPROFITMARGIN</stp>
        <stp>3</stp>
        <stp>002930</stp>
        <stp>12/31/2018</stp>
        <stp>1</stp>
        <tr r="J3331" s="1"/>
      </tp>
      <tp>
        <v>6.3310075962000001</v>
        <stp/>
        <stp>EM_S_FA_NETPROFITMARGIN</stp>
        <stp>3</stp>
        <stp>002830</stp>
        <stp>12/31/2018</stp>
        <stp>1</stp>
        <tr r="J2632" s="1"/>
      </tp>
      <tp>
        <v>0.96522262999999997</v>
        <stp/>
        <stp>EM_S_FA_NETPROFITMARGIN</stp>
        <stp>3</stp>
        <stp>002130</stp>
        <stp>12/31/2018</stp>
        <stp>1</stp>
        <tr r="J517" s="1"/>
      </tp>
      <tp>
        <v>5.8506265448999999</v>
        <stp/>
        <stp>EM_S_FA_NETPROFITMARGIN</stp>
        <stp>3</stp>
        <stp>002030</stp>
        <stp>12/31/2018</stp>
        <stp>1</stp>
        <tr r="J3610" s="1"/>
      </tp>
      <tp>
        <v>0.39436700499999999</v>
        <stp/>
        <stp>EM_S_FA_NETPROFITMARGIN</stp>
        <stp>3</stp>
        <stp>002330</stp>
        <stp>12/31/2018</stp>
        <stp>1</stp>
        <tr r="J253" s="1"/>
      </tp>
      <tp>
        <v>7.8054031482999999</v>
        <stp/>
        <stp>EM_S_FA_NETPROFITMARGIN</stp>
        <stp>3</stp>
        <stp>002230</stp>
        <stp>12/31/2018</stp>
        <stp>1</stp>
        <tr r="J734" s="1"/>
      </tp>
      <tp>
        <v>24.905914967499999</v>
        <stp/>
        <stp>EM_S_FA_NETPROFITMARGIN</stp>
        <stp>3</stp>
        <stp>002530</stp>
        <stp>12/31/2018</stp>
        <stp>1</stp>
        <tr r="J250" s="1"/>
      </tp>
      <tp>
        <v>10.0579738324</v>
        <stp/>
        <stp>EM_S_FA_NETPROFITMARGIN</stp>
        <stp>3</stp>
        <stp>002430</stp>
        <stp>12/31/2018</stp>
        <stp>1</stp>
        <tr r="J751" s="1"/>
      </tp>
      <tp>
        <v>6.6783767266999998</v>
        <stp/>
        <stp>EM_S_FA_NETPROFITMARGIN</stp>
        <stp>3</stp>
        <stp>002730</stp>
        <stp>12/31/2018</stp>
        <stp>1</stp>
        <tr r="J1216" s="1"/>
      </tp>
      <tp>
        <v>-3.9711185534000002</v>
        <stp/>
        <stp>EM_S_FA_NETPROFITMARGIN</stp>
        <stp>3</stp>
        <stp>002630</stp>
        <stp>12/31/2018</stp>
        <stp>1</stp>
        <tr r="J2954" s="1"/>
      </tp>
      <tp>
        <v>2.9223347881000001</v>
        <stp/>
        <stp>EM_S_FA_NETPROFITMARGIN</stp>
        <stp>3</stp>
        <stp>000930</stp>
        <stp>12/31/2018</stp>
        <stp>1</stp>
        <tr r="J2797" s="1"/>
      </tp>
      <tp>
        <v>14.407316182800001</v>
        <stp/>
        <stp>EM_S_FA_NETPROFITMARGIN</stp>
        <stp>3</stp>
        <stp>000830</stp>
        <stp>12/31/2018</stp>
        <stp>1</stp>
        <tr r="J2036" s="1"/>
      </tp>
      <tp>
        <v>4.4360241571000003</v>
        <stp/>
        <stp>EM_S_FA_NETPROFITMARGIN</stp>
        <stp>3</stp>
        <stp>600850</stp>
        <stp>12/31/2018</stp>
        <stp>1</stp>
        <tr r="J441" s="1"/>
      </tp>
      <tp>
        <v>-2.1242576475999999</v>
        <stp/>
        <stp>EM_S_FA_NETPROFITMARGIN</stp>
        <stp>3</stp>
        <stp>300100</stp>
        <stp>12/31/2018</stp>
        <stp>1</stp>
        <tr r="J3326" s="1"/>
      </tp>
      <tp>
        <v>3.5880240176</v>
        <stp/>
        <stp>EM_S_FA_NETPROFITMARGIN</stp>
        <stp>3</stp>
        <stp>600150</stp>
        <stp>12/31/2018</stp>
        <stp>1</stp>
        <tr r="J395" s="1"/>
      </tp>
      <tp>
        <v>11.125941325399999</v>
        <stp/>
        <stp>EM_S_FA_NETPROFITMARGIN</stp>
        <stp>3</stp>
        <stp>000030</stp>
        <stp>12/31/2018</stp>
        <stp>1</stp>
        <tr r="J883" s="1"/>
      </tp>
      <tp>
        <v>3.1974583586000001</v>
        <stp/>
        <stp>EM_S_FA_NETPROFITMARGIN</stp>
        <stp>3</stp>
        <stp>600050</stp>
        <stp>12/31/2018</stp>
        <stp>1</stp>
        <tr r="J1536" s="1"/>
      </tp>
      <tp>
        <v>19.239414289999999</v>
        <stp/>
        <stp>EM_S_FA_NETPROFITMARGIN</stp>
        <stp>3</stp>
        <stp>300300</stp>
        <stp>12/31/2018</stp>
        <stp>1</stp>
        <tr r="J2824" s="1"/>
      </tp>
      <tp>
        <v>53.104680643800002</v>
        <stp/>
        <stp>EM_S_FA_NETPROFITMARGIN</stp>
        <stp>3</stp>
        <stp>600350</stp>
        <stp>12/31/2018</stp>
        <stp>1</stp>
        <tr r="J1896" s="1"/>
      </tp>
      <tp>
        <v>8.2335226647000006</v>
        <stp/>
        <stp>EM_S_FA_NETPROFITMARGIN</stp>
        <stp>3</stp>
        <stp>300200</stp>
        <stp>12/31/2018</stp>
        <stp>1</stp>
        <tr r="J246" s="1"/>
      </tp>
      <tp>
        <v>18.253408831800002</v>
        <stp/>
        <stp>EM_S_FA_NETPROFITMARGIN</stp>
        <stp>3</stp>
        <stp>600250</stp>
        <stp>12/31/2018</stp>
        <stp>1</stp>
        <tr r="J3043" s="1"/>
      </tp>
      <tp>
        <v>5.6975932932999998</v>
        <stp/>
        <stp>EM_S_FA_NETPROFITMARGIN</stp>
        <stp>3</stp>
        <stp>000530</stp>
        <stp>12/31/2018</stp>
        <stp>1</stp>
        <tr r="J3444" s="1"/>
      </tp>
      <tp>
        <v>11.6358211119</v>
        <stp/>
        <stp>EM_S_FA_NETPROFITMARGIN</stp>
        <stp>3</stp>
        <stp>300500</stp>
        <stp>12/31/2018</stp>
        <stp>1</stp>
        <tr r="J3235" s="1"/>
      </tp>
      <tp>
        <v>-26.359014902999998</v>
        <stp/>
        <stp>EM_S_FA_NETPROFITMARGIN</stp>
        <stp>3</stp>
        <stp>600550</stp>
        <stp>12/31/2018</stp>
        <stp>1</stp>
        <tr r="J2983" s="1"/>
      </tp>
      <tp>
        <v>5.3343915038</v>
        <stp/>
        <stp>EM_S_FA_NETPROFITMARGIN</stp>
        <stp>3</stp>
        <stp>000430</stp>
        <stp>12/31/2018</stp>
        <stp>1</stp>
        <tr r="J3426" s="1"/>
      </tp>
      <tp>
        <v>15.4782004548</v>
        <stp/>
        <stp>EM_S_FA_NETPROFITMARGIN</stp>
        <stp>3</stp>
        <stp>300400</stp>
        <stp>12/31/2018</stp>
        <stp>1</stp>
        <tr r="J2511" s="1"/>
      </tp>
      <tp>
        <v>6.2422390351999999</v>
        <stp/>
        <stp>EM_S_FA_NETPROFITMARGIN</stp>
        <stp>3</stp>
        <stp>000730</stp>
        <stp>12/31/2018</stp>
        <stp>1</stp>
        <tr r="J2278" s="1"/>
      </tp>
      <tp>
        <v>10.3061751091</v>
        <stp/>
        <stp>EM_S_FA_NETPROFITMARGIN</stp>
        <stp>3</stp>
        <stp>300700</stp>
        <stp>12/31/2018</stp>
        <stp>1</stp>
        <tr r="J3042" s="1"/>
      </tp>
      <tp>
        <v>26.790381243300001</v>
        <stp/>
        <stp>EM_S_FA_NETPROFITMARGIN</stp>
        <stp>3</stp>
        <stp>600750</stp>
        <stp>12/31/2018</stp>
        <stp>1</stp>
        <tr r="J3185" s="1"/>
      </tp>
      <tp>
        <v>1.1585605736</v>
        <stp/>
        <stp>EM_S_FA_NETPROFITMARGIN</stp>
        <stp>3</stp>
        <stp>000630</stp>
        <stp>12/31/2018</stp>
        <stp>1</stp>
        <tr r="J1285" s="1"/>
      </tp>
      <tp>
        <v>22.160484799199999</v>
        <stp/>
        <stp>EM_S_FA_NETPROFITMARGIN</stp>
        <stp>3</stp>
        <stp>300600</stp>
        <stp>12/31/2018</stp>
        <stp>1</stp>
        <tr r="J3297" s="1"/>
      </tp>
      <tp>
        <v>13.0430570359</v>
        <stp/>
        <stp>EM_S_FA_NETPROFITMARGIN</stp>
        <stp>3</stp>
        <stp>600650</stp>
        <stp>12/31/2018</stp>
        <stp>1</stp>
        <tr r="J1878" s="1"/>
      </tp>
      <tp>
        <v>22.860304764799999</v>
        <stp/>
        <stp>EM_S_FA_NETPROFITMARGIN</stp>
        <stp>3</stp>
        <stp>002833</stp>
        <stp>12/31/2018</stp>
        <stp>1</stp>
        <tr r="J1553" s="1"/>
      </tp>
      <tp>
        <v>19.498051291100001</v>
        <stp/>
        <stp>EM_S_FA_NETPROFITMARGIN</stp>
        <stp>3</stp>
        <stp>002133</stp>
        <stp>12/31/2018</stp>
        <stp>1</stp>
        <tr r="J2546" s="1"/>
      </tp>
      <tp>
        <v>29.554897289700001</v>
        <stp/>
        <stp>EM_S_FA_NETPROFITMARGIN</stp>
        <stp>3</stp>
        <stp>002033</stp>
        <stp>12/31/2018</stp>
        <stp>1</stp>
        <tr r="J3611" s="1"/>
      </tp>
      <tp>
        <v>-14.3428642549</v>
        <stp/>
        <stp>EM_S_FA_NETPROFITMARGIN</stp>
        <stp>3</stp>
        <stp>002333</stp>
        <stp>12/31/2018</stp>
        <stp>1</stp>
        <tr r="J3105" s="1"/>
      </tp>
      <tp>
        <v>26.001695148700001</v>
        <stp/>
        <stp>EM_S_FA_NETPROFITMARGIN</stp>
        <stp>3</stp>
        <stp>002233</stp>
        <stp>12/31/2018</stp>
        <stp>1</stp>
        <tr r="J1157" s="1"/>
      </tp>
      <tp>
        <v>2.9391253111000002</v>
        <stp/>
        <stp>EM_S_FA_NETPROFITMARGIN</stp>
        <stp>3</stp>
        <stp>002533</stp>
        <stp>12/31/2018</stp>
        <stp>1</stp>
        <tr r="J1582" s="1"/>
      </tp>
      <tp>
        <v>8.3003298406999999</v>
        <stp/>
        <stp>EM_S_FA_NETPROFITMARGIN</stp>
        <stp>3</stp>
        <stp>002433</stp>
        <stp>12/31/2018</stp>
        <stp>1</stp>
        <tr r="J2500" s="1"/>
      </tp>
      <tp>
        <v>2.9662625055</v>
        <stp/>
        <stp>EM_S_FA_NETPROFITMARGIN</stp>
        <stp>3</stp>
        <stp>002733</stp>
        <stp>12/31/2018</stp>
        <stp>1</stp>
        <tr r="J67" s="1"/>
      </tp>
      <tp>
        <v>2.5111560308</v>
        <stp/>
        <stp>EM_S_FA_NETPROFITMARGIN</stp>
        <stp>3</stp>
        <stp>002633</stp>
        <stp>12/31/2018</stp>
        <stp>1</stp>
        <tr r="J2033" s="1"/>
      </tp>
      <tp>
        <v>-0.33949966320000002</v>
        <stp/>
        <stp>EM_S_FA_NETPROFITMARGIN</stp>
        <stp>3</stp>
        <stp>000933</stp>
        <stp>12/31/2018</stp>
        <stp>1</stp>
        <tr r="J3581" s="1"/>
      </tp>
      <tp>
        <v>2.6292904127000001</v>
        <stp/>
        <stp>EM_S_FA_NETPROFITMARGIN</stp>
        <stp>3</stp>
        <stp>000833</stp>
        <stp>12/31/2018</stp>
        <stp>1</stp>
        <tr r="J1707" s="1"/>
      </tp>
      <tp>
        <v>1.4048364916</v>
        <stp/>
        <stp>EM_S_FA_NETPROFITMARGIN</stp>
        <stp>3</stp>
        <stp>600853</stp>
        <stp>12/31/2018</stp>
        <stp>1</stp>
        <tr r="J2699" s="1"/>
      </tp>
      <tp>
        <v>8.0245778461999997</v>
        <stp/>
        <stp>EM_S_FA_NETPROFITMARGIN</stp>
        <stp>3</stp>
        <stp>300103</stp>
        <stp>12/31/2018</stp>
        <stp>1</stp>
        <tr r="J1115" s="1"/>
      </tp>
      <tp>
        <v>2.7218343291</v>
        <stp/>
        <stp>EM_S_FA_NETPROFITMARGIN</stp>
        <stp>3</stp>
        <stp>600153</stp>
        <stp>12/31/2018</stp>
        <stp>1</stp>
        <tr r="J1100" s="1"/>
      </tp>
      <tp>
        <v>0</v>
        <stp/>
        <stp>EM_S_FA_NETPROFITMARGIN</stp>
        <stp>3</stp>
        <stp>000033</stp>
        <stp>12/31/2018</stp>
        <stp>1</stp>
        <tr r="J2275" s="1"/>
      </tp>
      <tp>
        <v>19.742191719800001</v>
        <stp/>
        <stp>EM_S_FA_NETPROFITMARGIN</stp>
        <stp>3</stp>
        <stp>300003</stp>
        <stp>12/31/2018</stp>
        <stp>1</stp>
        <tr r="J508" s="1"/>
      </tp>
      <tp>
        <v>40.370776187899999</v>
        <stp/>
        <stp>EM_S_FA_NETPROFITMARGIN</stp>
        <stp>3</stp>
        <stp>600053</stp>
        <stp>12/31/2018</stp>
        <stp>1</stp>
        <tr r="J2410" s="1"/>
      </tp>
      <tp>
        <v>8.3378329802</v>
        <stp/>
        <stp>EM_S_FA_NETPROFITMARGIN</stp>
        <stp>3</stp>
        <stp>000333</stp>
        <stp>12/31/2018</stp>
        <stp>1</stp>
        <tr r="J444" s="1"/>
      </tp>
      <tp>
        <v>6.5205374082000001</v>
        <stp/>
        <stp>EM_S_FA_NETPROFITMARGIN</stp>
        <stp>3</stp>
        <stp>300303</stp>
        <stp>12/31/2018</stp>
        <stp>1</stp>
        <tr r="J104" s="1"/>
      </tp>
      <tp>
        <v>5.8099607916</v>
        <stp/>
        <stp>EM_S_FA_NETPROFITMARGIN</stp>
        <stp>3</stp>
        <stp>600353</stp>
        <stp>12/31/2018</stp>
        <stp>1</stp>
        <tr r="J716" s="1"/>
      </tp>
      <tp>
        <v>17.4696114403</v>
        <stp/>
        <stp>EM_S_FA_NETPROFITMARGIN</stp>
        <stp>3</stp>
        <stp>300203</stp>
        <stp>12/31/2018</stp>
        <stp>1</stp>
        <tr r="J3273" s="1"/>
      </tp>
      <tp>
        <v>0</v>
        <stp/>
        <stp>EM_S_FA_NETPROFITMARGIN</stp>
        <stp>3</stp>
        <stp>600253</stp>
        <stp>12/31/2018</stp>
        <stp>1</stp>
        <tr r="J2296" s="1"/>
      </tp>
      <tp>
        <v>-12.835338764099999</v>
        <stp/>
        <stp>EM_S_FA_NETPROFITMARGIN</stp>
        <stp>3</stp>
        <stp>000533</stp>
        <stp>12/31/2018</stp>
        <stp>1</stp>
        <tr r="J3445" s="1"/>
      </tp>
      <tp>
        <v>12.2071934678</v>
        <stp/>
        <stp>EM_S_FA_NETPROFITMARGIN</stp>
        <stp>3</stp>
        <stp>300503</stp>
        <stp>12/31/2018</stp>
        <stp>1</stp>
        <tr r="J978" s="1"/>
      </tp>
      <tp>
        <v>0</v>
        <stp/>
        <stp>EM_S_FA_NETPROFITMARGIN</stp>
        <stp>3</stp>
        <stp>600553</stp>
        <stp>12/31/2018</stp>
        <stp>1</stp>
        <tr r="J2304" s="1"/>
      </tp>
      <tp>
        <v>19.611485349500001</v>
        <stp/>
        <stp>EM_S_FA_NETPROFITMARGIN</stp>
        <stp>3</stp>
        <stp>300403</stp>
        <stp>12/31/2018</stp>
        <stp>1</stp>
        <tr r="J2252" s="1"/>
      </tp>
      <tp>
        <v>4.8170222243999996</v>
        <stp/>
        <stp>EM_S_FA_NETPROFITMARGIN</stp>
        <stp>3</stp>
        <stp>000733</stp>
        <stp>12/31/2018</stp>
        <stp>1</stp>
        <tr r="J3522" s="1"/>
      </tp>
      <tp>
        <v>10.2283977641</v>
        <stp/>
        <stp>EM_S_FA_NETPROFITMARGIN</stp>
        <stp>3</stp>
        <stp>300703</stp>
        <stp>12/31/2018</stp>
        <stp>1</stp>
        <tr r="J3050" s="1"/>
      </tp>
      <tp>
        <v>1.0654068753999999</v>
        <stp/>
        <stp>EM_S_FA_NETPROFITMARGIN</stp>
        <stp>3</stp>
        <stp>600753</stp>
        <stp>12/31/2018</stp>
        <stp>1</stp>
        <tr r="J1909" s="1"/>
      </tp>
      <tp>
        <v>1.1724096593</v>
        <stp/>
        <stp>EM_S_FA_NETPROFITMARGIN</stp>
        <stp>3</stp>
        <stp>000633</stp>
        <stp>12/31/2018</stp>
        <stp>1</stp>
        <tr r="J2730" s="1"/>
      </tp>
      <tp>
        <v>6.1839654881000001</v>
        <stp/>
        <stp>EM_S_FA_NETPROFITMARGIN</stp>
        <stp>3</stp>
        <stp>300603</stp>
        <stp>12/31/2018</stp>
        <stp>1</stp>
        <tr r="J3173" s="1"/>
      </tp>
      <tp>
        <v>4.9920017743000002</v>
        <stp/>
        <stp>EM_S_FA_NETPROFITMARGIN</stp>
        <stp>3</stp>
        <stp>600653</stp>
        <stp>12/31/2018</stp>
        <stp>1</stp>
        <tr r="J1829" s="1"/>
      </tp>
      <tp>
        <v>19.804122222899998</v>
        <stp/>
        <stp>EM_S_FA_NETPROFITMARGIN</stp>
        <stp>3</stp>
        <stp>002832</stp>
        <stp>12/31/2018</stp>
        <stp>1</stp>
        <tr r="J3123" s="1"/>
      </tp>
      <tp>
        <v>-7.1538569283999998</v>
        <stp/>
        <stp>EM_S_FA_NETPROFITMARGIN</stp>
        <stp>3</stp>
        <stp>002132</stp>
        <stp>12/31/2018</stp>
        <stp>1</stp>
        <tr r="J1461" s="1"/>
      </tp>
      <tp>
        <v>9.3482520811000001</v>
        <stp/>
        <stp>EM_S_FA_NETPROFITMARGIN</stp>
        <stp>3</stp>
        <stp>002032</stp>
        <stp>12/31/2018</stp>
        <stp>1</stp>
        <tr r="J638" s="1"/>
      </tp>
      <tp>
        <v>9.5359969249999992</v>
        <stp/>
        <stp>EM_S_FA_NETPROFITMARGIN</stp>
        <stp>3</stp>
        <stp>002332</stp>
        <stp>12/31/2018</stp>
        <stp>1</stp>
        <tr r="J458" s="1"/>
      </tp>
      <tp>
        <v>4.9771468252000002</v>
        <stp/>
        <stp>EM_S_FA_NETPROFITMARGIN</stp>
        <stp>3</stp>
        <stp>002232</stp>
        <stp>12/31/2018</stp>
        <stp>1</stp>
        <tr r="J1004" s="1"/>
      </tp>
      <tp>
        <v>8.7882346054999996</v>
        <stp/>
        <stp>EM_S_FA_NETPROFITMARGIN</stp>
        <stp>3</stp>
        <stp>002532</stp>
        <stp>12/31/2018</stp>
        <stp>1</stp>
        <tr r="J1275" s="1"/>
      </tp>
      <tp>
        <v>-0.50706616189999998</v>
        <stp/>
        <stp>EM_S_FA_NETPROFITMARGIN</stp>
        <stp>3</stp>
        <stp>002432</stp>
        <stp>12/31/2018</stp>
        <stp>1</stp>
        <tr r="J2464" s="1"/>
      </tp>
      <tp>
        <v>3.4944632905000002</v>
        <stp/>
        <stp>EM_S_FA_NETPROFITMARGIN</stp>
        <stp>3</stp>
        <stp>002732</stp>
        <stp>12/31/2018</stp>
        <stp>1</stp>
        <tr r="J992" s="1"/>
      </tp>
      <tp>
        <v>17.150170208799999</v>
        <stp/>
        <stp>EM_S_FA_NETPROFITMARGIN</stp>
        <stp>3</stp>
        <stp>002632</stp>
        <stp>12/31/2018</stp>
        <stp>1</stp>
        <tr r="J1891" s="1"/>
      </tp>
      <tp>
        <v>12.564621151700001</v>
        <stp/>
        <stp>EM_S_FA_NETPROFITMARGIN</stp>
        <stp>3</stp>
        <stp>601952</stp>
        <stp>12/31/2018</stp>
        <stp>1</stp>
        <tr r="J2012" s="1"/>
      </tp>
      <tp>
        <v>9.4361045004000008</v>
        <stp/>
        <stp>EM_S_FA_NETPROFITMARGIN</stp>
        <stp>3</stp>
        <stp>000932</stp>
        <stp>12/31/2018</stp>
        <stp>1</stp>
        <tr r="J3096" s="1"/>
      </tp>
      <tp>
        <v>0</v>
        <stp/>
        <stp>EM_S_FA_NETPROFITMARGIN</stp>
        <stp>3</stp>
        <stp>000832</stp>
        <stp>12/31/2018</stp>
        <stp>1</stp>
        <tr r="J3552" s="1"/>
      </tp>
      <tp>
        <v>-258.79626269990001</v>
        <stp/>
        <stp>EM_S_FA_NETPROFITMARGIN</stp>
        <stp>3</stp>
        <stp>600852</stp>
        <stp>12/31/2018</stp>
        <stp>1</stp>
        <tr r="J2331" s="1"/>
      </tp>
      <tp>
        <v>17.481901635</v>
        <stp/>
        <stp>EM_S_FA_NETPROFITMARGIN</stp>
        <stp>3</stp>
        <stp>300102</stp>
        <stp>12/31/2018</stp>
        <stp>1</stp>
        <tr r="J3006" s="1"/>
      </tp>
      <tp>
        <v>3.5194490969999999</v>
        <stp/>
        <stp>EM_S_FA_NETPROFITMARGIN</stp>
        <stp>3</stp>
        <stp>600152</stp>
        <stp>12/31/2018</stp>
        <stp>1</stp>
        <tr r="J1376" s="1"/>
      </tp>
      <tp>
        <v>6.9827758379000002</v>
        <stp/>
        <stp>EM_S_FA_NETPROFITMARGIN</stp>
        <stp>3</stp>
        <stp>000032</stp>
        <stp>12/31/2018</stp>
        <stp>1</stp>
        <tr r="J158" s="1"/>
      </tp>
      <tp>
        <v>3.9041739858</v>
        <stp/>
        <stp>EM_S_FA_NETPROFITMARGIN</stp>
        <stp>3</stp>
        <stp>300002</stp>
        <stp>12/31/2018</stp>
        <stp>1</stp>
        <tr r="J2398" s="1"/>
      </tp>
      <tp>
        <v>14.5712210002</v>
        <stp/>
        <stp>EM_S_FA_NETPROFITMARGIN</stp>
        <stp>3</stp>
        <stp>600052</stp>
        <stp>12/31/2018</stp>
        <stp>1</stp>
        <tr r="J481" s="1"/>
      </tp>
      <tp>
        <v>5.3563939818000001</v>
        <stp/>
        <stp>EM_S_FA_NETPROFITMARGIN</stp>
        <stp>3</stp>
        <stp>300302</stp>
        <stp>12/31/2018</stp>
        <stp>1</stp>
        <tr r="J343" s="1"/>
      </tp>
      <tp>
        <v>22.083142343599999</v>
        <stp/>
        <stp>EM_S_FA_NETPROFITMARGIN</stp>
        <stp>3</stp>
        <stp>600352</stp>
        <stp>12/31/2018</stp>
        <stp>1</stp>
        <tr r="J572" s="1"/>
      </tp>
      <tp>
        <v>-21.839145975200001</v>
        <stp/>
        <stp>EM_S_FA_NETPROFITMARGIN</stp>
        <stp>3</stp>
        <stp>300202</stp>
        <stp>12/31/2018</stp>
        <stp>1</stp>
        <tr r="J299" s="1"/>
      </tp>
      <tp>
        <v>18.593760448200001</v>
        <stp/>
        <stp>EM_S_FA_NETPROFITMARGIN</stp>
        <stp>3</stp>
        <stp>600252</stp>
        <stp>12/31/2018</stp>
        <stp>1</stp>
        <tr r="J1069" s="1"/>
      </tp>
      <tp>
        <v>12.1815920872</v>
        <stp/>
        <stp>EM_S_FA_NETPROFITMARGIN</stp>
        <stp>3</stp>
        <stp>000532</stp>
        <stp>12/31/2018</stp>
        <stp>1</stp>
        <tr r="J1180" s="1"/>
      </tp>
      <tp>
        <v>4.1887389529999997</v>
        <stp/>
        <stp>EM_S_FA_NETPROFITMARGIN</stp>
        <stp>3</stp>
        <stp>300502</stp>
        <stp>12/31/2018</stp>
        <stp>1</stp>
        <tr r="J171" s="1"/>
      </tp>
      <tp>
        <v>1.8800615536</v>
        <stp/>
        <stp>EM_S_FA_NETPROFITMARGIN</stp>
        <stp>3</stp>
        <stp>600552</stp>
        <stp>12/31/2018</stp>
        <stp>1</stp>
        <tr r="J420" s="1"/>
      </tp>
      <tp>
        <v>2.0505714421999999</v>
        <stp/>
        <stp>EM_S_FA_NETPROFITMARGIN</stp>
        <stp>3</stp>
        <stp>300402</stp>
        <stp>12/31/2018</stp>
        <stp>1</stp>
        <tr r="J1278" s="1"/>
      </tp>
      <tp>
        <v>14.2462435152</v>
        <stp/>
        <stp>EM_S_FA_NETPROFITMARGIN</stp>
        <stp>3</stp>
        <stp>600452</stp>
        <stp>12/31/2018</stp>
        <stp>1</stp>
        <tr r="J1428" s="1"/>
      </tp>
      <tp>
        <v>12.622348840400001</v>
        <stp/>
        <stp>EM_S_FA_NETPROFITMARGIN</stp>
        <stp>3</stp>
        <stp>000732</stp>
        <stp>12/31/2018</stp>
        <stp>1</stp>
        <tr r="J3385" s="1"/>
      </tp>
      <tp>
        <v>11.1565657909</v>
        <stp/>
        <stp>EM_S_FA_NETPROFITMARGIN</stp>
        <stp>3</stp>
        <stp>300702</stp>
        <stp>12/31/2018</stp>
        <stp>1</stp>
        <tr r="J105" s="1"/>
      </tp>
      <tp>
        <v>0</v>
        <stp/>
        <stp>EM_S_FA_NETPROFITMARGIN</stp>
        <stp>3</stp>
        <stp>600752</stp>
        <stp>12/31/2018</stp>
        <stp>1</stp>
        <tr r="J2319" s="1"/>
      </tp>
      <tp>
        <v>0.44744027949999998</v>
        <stp/>
        <stp>EM_S_FA_NETPROFITMARGIN</stp>
        <stp>3</stp>
        <stp>000632</stp>
        <stp>12/31/2018</stp>
        <stp>1</stp>
        <tr r="J438" s="1"/>
      </tp>
      <tp>
        <v>12.5231100506</v>
        <stp/>
        <stp>EM_S_FA_NETPROFITMARGIN</stp>
        <stp>3</stp>
        <stp>300602</stp>
        <stp>12/31/2018</stp>
        <stp>1</stp>
        <tr r="J1016" s="1"/>
      </tp>
      <tp>
        <v>-1069.4937239668</v>
        <stp/>
        <stp>EM_S_FA_NETPROFITMARGIN</stp>
        <stp>3</stp>
        <stp>600652</stp>
        <stp>12/31/2018</stp>
        <stp>1</stp>
        <tr r="J3367" s="1"/>
      </tp>
      <tp>
        <v>11.2659644895</v>
        <stp/>
        <stp>EM_S_FA_NETPROFITMARGIN</stp>
        <stp>3</stp>
        <stp>603955</stp>
        <stp>12/31/2018</stp>
        <stp>1</stp>
        <tr r="J1547" s="1"/>
      </tp>
      <tp>
        <v>9.3431660852</v>
        <stp/>
        <stp>EM_S_FA_NETPROFITMARGIN</stp>
        <stp>3</stp>
        <stp>603855</stp>
        <stp>12/31/2018</stp>
        <stp>1</stp>
        <tr r="J1126" s="1"/>
      </tp>
      <tp>
        <v>11.5859217634</v>
        <stp/>
        <stp>EM_S_FA_NETPROFITMARGIN</stp>
        <stp>3</stp>
        <stp>603055</stp>
        <stp>12/31/2018</stp>
        <stp>1</stp>
        <tr r="J3266" s="1"/>
      </tp>
      <tp>
        <v>7.2107166824000002</v>
        <stp/>
        <stp>EM_S_FA_NETPROFITMARGIN</stp>
        <stp>3</stp>
        <stp>603355</stp>
        <stp>12/31/2018</stp>
        <stp>1</stp>
        <tr r="J1769" s="1"/>
      </tp>
      <tp>
        <v>-24.660926671199999</v>
        <stp/>
        <stp>EM_S_FA_NETPROFITMARGIN</stp>
        <stp>3</stp>
        <stp>603555</stp>
        <stp>12/31/2018</stp>
        <stp>1</stp>
        <tr r="J2224" s="1"/>
      </tp>
      <tp>
        <v>17.329852971699999</v>
        <stp/>
        <stp>EM_S_FA_NETPROFITMARGIN</stp>
        <stp>3</stp>
        <stp>603655</stp>
        <stp>12/31/2018</stp>
        <stp>1</stp>
        <tr r="J604" s="1"/>
      </tp>
      <tp>
        <v>0.65091180969999995</v>
        <stp/>
        <stp>EM_S_FA_NETPROFITMARGIN</stp>
        <stp>3</stp>
        <stp>002835</stp>
        <stp>12/31/2018</stp>
        <stp>1</stp>
        <tr r="J321" s="1"/>
      </tp>
      <tp>
        <v>2.0843313751000001</v>
        <stp/>
        <stp>EM_S_FA_NETPROFITMARGIN</stp>
        <stp>3</stp>
        <stp>002135</stp>
        <stp>12/31/2018</stp>
        <stp>1</stp>
        <tr r="J1756" s="1"/>
      </tp>
      <tp>
        <v>11.3810000604</v>
        <stp/>
        <stp>EM_S_FA_NETPROFITMARGIN</stp>
        <stp>3</stp>
        <stp>002035</stp>
        <stp>12/31/2018</stp>
        <stp>1</stp>
        <tr r="J527" s="1"/>
      </tp>
      <tp>
        <v>2.6477097658000002</v>
        <stp/>
        <stp>EM_S_FA_NETPROFITMARGIN</stp>
        <stp>3</stp>
        <stp>002335</stp>
        <stp>12/31/2018</stp>
        <stp>1</stp>
        <tr r="J1827" s="1"/>
      </tp>
      <tp>
        <v>10.573968985900001</v>
        <stp/>
        <stp>EM_S_FA_NETPROFITMARGIN</stp>
        <stp>3</stp>
        <stp>002235</stp>
        <stp>12/31/2018</stp>
        <stp>1</stp>
        <tr r="J359" s="1"/>
      </tp>
      <tp>
        <v>-7.1369011174999999</v>
        <stp/>
        <stp>EM_S_FA_NETPROFITMARGIN</stp>
        <stp>3</stp>
        <stp>002535</stp>
        <stp>12/31/2018</stp>
        <stp>1</stp>
        <tr r="J2901" s="1"/>
      </tp>
      <tp>
        <v>8.4517562449000003</v>
        <stp/>
        <stp>EM_S_FA_NETPROFITMARGIN</stp>
        <stp>3</stp>
        <stp>002435</stp>
        <stp>12/31/2018</stp>
        <stp>1</stp>
        <tr r="J3162" s="1"/>
      </tp>
      <tp>
        <v>6.3093074569000001</v>
        <stp/>
        <stp>EM_S_FA_NETPROFITMARGIN</stp>
        <stp>3</stp>
        <stp>002735</stp>
        <stp>12/31/2018</stp>
        <stp>1</stp>
        <tr r="J2934" s="1"/>
      </tp>
      <tp>
        <v>15.329076603500001</v>
        <stp/>
        <stp>EM_S_FA_NETPROFITMARGIN</stp>
        <stp>3</stp>
        <stp>002635</stp>
        <stp>12/31/2018</stp>
        <stp>1</stp>
        <tr r="J547" s="1"/>
      </tp>
      <tp>
        <v>22.553230795400001</v>
        <stp/>
        <stp>EM_S_FA_NETPROFITMARGIN</stp>
        <stp>3</stp>
        <stp>601155</stp>
        <stp>12/31/2018</stp>
        <stp>1</stp>
        <tr r="J397" s="1"/>
      </tp>
      <tp>
        <v>8.3478767603000001</v>
        <stp/>
        <stp>EM_S_FA_NETPROFITMARGIN</stp>
        <stp>3</stp>
        <stp>601555</stp>
        <stp>12/31/2018</stp>
        <stp>1</stp>
        <tr r="J582" s="1"/>
      </tp>
      <tp>
        <v>36.283003512199997</v>
        <stp/>
        <stp>EM_S_FA_NETPROFITMARGIN</stp>
        <stp>3</stp>
        <stp>000935</stp>
        <stp>12/31/2018</stp>
        <stp>1</stp>
        <tr r="J3582" s="1"/>
      </tp>
      <tp>
        <v>-598.62931014369997</v>
        <stp/>
        <stp>EM_S_FA_NETPROFITMARGIN</stp>
        <stp>3</stp>
        <stp>000835</stp>
        <stp>12/31/2018</stp>
        <stp>1</stp>
        <tr r="J3553" s="1"/>
      </tp>
      <tp>
        <v>5.3051218147999997</v>
        <stp/>
        <stp>EM_S_FA_NETPROFITMARGIN</stp>
        <stp>3</stp>
        <stp>600855</stp>
        <stp>12/31/2018</stp>
        <stp>1</stp>
        <tr r="J817" s="1"/>
      </tp>
      <tp>
        <v>1.5444393845</v>
        <stp/>
        <stp>EM_S_FA_NETPROFITMARGIN</stp>
        <stp>3</stp>
        <stp>300105</stp>
        <stp>12/31/2018</stp>
        <stp>1</stp>
        <tr r="J1424" s="1"/>
      </tp>
      <tp>
        <v>107.9868293209</v>
        <stp/>
        <stp>EM_S_FA_NETPROFITMARGIN</stp>
        <stp>3</stp>
        <stp>600155</stp>
        <stp>12/31/2018</stp>
        <stp>1</stp>
        <tr r="J234" s="1"/>
      </tp>
      <tp>
        <v>12.0363664802</v>
        <stp/>
        <stp>EM_S_FA_NETPROFITMARGIN</stp>
        <stp>3</stp>
        <stp>000035</stp>
        <stp>12/31/2018</stp>
        <stp>1</stp>
        <tr r="J1341" s="1"/>
      </tp>
      <tp>
        <v>-11.3851305329</v>
        <stp/>
        <stp>EM_S_FA_NETPROFITMARGIN</stp>
        <stp>3</stp>
        <stp>300005</stp>
        <stp>12/31/2018</stp>
        <stp>1</stp>
        <tr r="J801" s="1"/>
      </tp>
      <tp>
        <v>15.6321338676</v>
        <stp/>
        <stp>EM_S_FA_NETPROFITMARGIN</stp>
        <stp>3</stp>
        <stp>600055</stp>
        <stp>12/31/2018</stp>
        <stp>1</stp>
        <tr r="J1416" s="1"/>
      </tp>
      <tp>
        <v>10.320090581200001</v>
        <stp/>
        <stp>EM_S_FA_NETPROFITMARGIN</stp>
        <stp>3</stp>
        <stp>300305</stp>
        <stp>12/31/2018</stp>
        <stp>1</stp>
        <tr r="J1934" s="1"/>
      </tp>
      <tp>
        <v>2.7683910756999999</v>
        <stp/>
        <stp>EM_S_FA_NETPROFITMARGIN</stp>
        <stp>3</stp>
        <stp>600355</stp>
        <stp>12/31/2018</stp>
        <stp>1</stp>
        <tr r="J2366" s="1"/>
      </tp>
      <tp>
        <v>4.7568272992000002</v>
        <stp/>
        <stp>EM_S_FA_NETPROFITMARGIN</stp>
        <stp>3</stp>
        <stp>300205</stp>
        <stp>12/31/2018</stp>
        <stp>1</stp>
        <tr r="J825" s="1"/>
      </tp>
      <tp>
        <v>-24.3458408471</v>
        <stp/>
        <stp>EM_S_FA_NETPROFITMARGIN</stp>
        <stp>3</stp>
        <stp>600255</stp>
        <stp>12/31/2018</stp>
        <stp>1</stp>
        <tr r="J2860" s="1"/>
      </tp>
      <tp>
        <v>-56.0356802437</v>
        <stp/>
        <stp>EM_S_FA_NETPROFITMARGIN</stp>
        <stp>3</stp>
        <stp>000535</stp>
        <stp>12/31/2018</stp>
        <stp>1</stp>
        <tr r="J3446" s="1"/>
      </tp>
      <tp>
        <v>6.6389585053999998</v>
        <stp/>
        <stp>EM_S_FA_NETPROFITMARGIN</stp>
        <stp>3</stp>
        <stp>300505</stp>
        <stp>12/31/2018</stp>
        <stp>1</stp>
        <tr r="J2103" s="1"/>
      </tp>
      <tp>
        <v>-1464.6511918046001</v>
        <stp/>
        <stp>EM_S_FA_NETPROFITMARGIN</stp>
        <stp>3</stp>
        <stp>600555</stp>
        <stp>12/31/2018</stp>
        <stp>1</stp>
        <tr r="J3045" s="1"/>
      </tp>
      <tp>
        <v>-8.5016114272000003</v>
        <stp/>
        <stp>EM_S_FA_NETPROFITMARGIN</stp>
        <stp>3</stp>
        <stp>300405</stp>
        <stp>12/31/2018</stp>
        <stp>1</stp>
        <tr r="J2766" s="1"/>
      </tp>
      <tp>
        <v>5.3275339649999998</v>
        <stp/>
        <stp>EM_S_FA_NETPROFITMARGIN</stp>
        <stp>3</stp>
        <stp>600455</stp>
        <stp>12/31/2018</stp>
        <stp>1</stp>
        <tr r="J440" s="1"/>
      </tp>
      <tp>
        <v>34.851323553100002</v>
        <stp/>
        <stp>EM_S_FA_NETPROFITMARGIN</stp>
        <stp>3</stp>
        <stp>000735</stp>
        <stp>12/31/2018</stp>
        <stp>1</stp>
        <tr r="J3523" s="1"/>
      </tp>
      <tp>
        <v>8.9826850006000001</v>
        <stp/>
        <stp>EM_S_FA_NETPROFITMARGIN</stp>
        <stp>3</stp>
        <stp>300705</stp>
        <stp>12/31/2018</stp>
        <stp>1</stp>
        <tr r="J2226" s="1"/>
      </tp>
      <tp>
        <v>1.1940970825999999</v>
        <stp/>
        <stp>EM_S_FA_NETPROFITMARGIN</stp>
        <stp>3</stp>
        <stp>600755</stp>
        <stp>12/31/2018</stp>
        <stp>1</stp>
        <tr r="J1998" s="1"/>
      </tp>
      <tp>
        <v>1.3509979909000001</v>
        <stp/>
        <stp>EM_S_FA_NETPROFITMARGIN</stp>
        <stp>3</stp>
        <stp>000635</stp>
        <stp>12/31/2018</stp>
        <stp>1</stp>
        <tr r="J2661" s="1"/>
      </tp>
      <tp>
        <v>10.2073092257</v>
        <stp/>
        <stp>EM_S_FA_NETPROFITMARGIN</stp>
        <stp>3</stp>
        <stp>300605</stp>
        <stp>12/31/2018</stp>
        <stp>1</stp>
        <tr r="J2903" s="1"/>
      </tp>
      <tp>
        <v>10.131951898600001</v>
        <stp/>
        <stp>EM_S_FA_NETPROFITMARGIN</stp>
        <stp>3</stp>
        <stp>600655</stp>
        <stp>12/31/2018</stp>
        <stp>1</stp>
        <tr r="J2010" s="1"/>
      </tp>
      <tp>
        <v>-15.1031313668</v>
        <stp/>
        <stp>EM_S_FA_NETPROFITMARGIN</stp>
        <stp>3</stp>
        <stp>002134</stp>
        <stp>12/31/2018</stp>
        <stp>1</stp>
        <tr r="J424" s="1"/>
      </tp>
      <tp>
        <v>37.274317103400001</v>
        <stp/>
        <stp>EM_S_FA_NETPROFITMARGIN</stp>
        <stp>3</stp>
        <stp>002034</stp>
        <stp>12/31/2018</stp>
        <stp>1</stp>
        <tr r="J3612" s="1"/>
      </tp>
      <tp>
        <v>7.9835526998999997</v>
        <stp/>
        <stp>EM_S_FA_NETPROFITMARGIN</stp>
        <stp>3</stp>
        <stp>002334</stp>
        <stp>12/31/2018</stp>
        <stp>1</stp>
        <tr r="J2234" s="1"/>
      </tp>
      <tp>
        <v>20.929795261500001</v>
        <stp/>
        <stp>EM_S_FA_NETPROFITMARGIN</stp>
        <stp>3</stp>
        <stp>002234</stp>
        <stp>12/31/2018</stp>
        <stp>1</stp>
        <tr r="J58" s="1"/>
      </tp>
      <tp>
        <v>6.3170151448</v>
        <stp/>
        <stp>EM_S_FA_NETPROFITMARGIN</stp>
        <stp>3</stp>
        <stp>002534</stp>
        <stp>12/31/2018</stp>
        <stp>1</stp>
        <tr r="J721" s="1"/>
      </tp>
      <tp>
        <v>8.0647260966999994</v>
        <stp/>
        <stp>EM_S_FA_NETPROFITMARGIN</stp>
        <stp>3</stp>
        <stp>002434</stp>
        <stp>12/31/2018</stp>
        <stp>1</stp>
        <tr r="J706" s="1"/>
      </tp>
      <tp>
        <v>13.7671423632</v>
        <stp/>
        <stp>EM_S_FA_NETPROFITMARGIN</stp>
        <stp>3</stp>
        <stp>002734</stp>
        <stp>12/31/2018</stp>
        <stp>1</stp>
        <tr r="J875" s="1"/>
      </tp>
      <tp>
        <v>2.8204154248000002</v>
        <stp/>
        <stp>EM_S_FA_NETPROFITMARGIN</stp>
        <stp>3</stp>
        <stp>002634</stp>
        <stp>12/31/2018</stp>
        <stp>1</stp>
        <tr r="J713" s="1"/>
      </tp>
      <tp>
        <v>2.4077341995000001</v>
        <stp/>
        <stp>EM_S_FA_NETPROFITMARGIN</stp>
        <stp>3</stp>
        <stp>600854</stp>
        <stp>12/31/2018</stp>
        <stp>1</stp>
        <tr r="J1766" s="1"/>
      </tp>
      <tp>
        <v>-368.06827655939998</v>
        <stp/>
        <stp>EM_S_FA_NETPROFITMARGIN</stp>
        <stp>3</stp>
        <stp>300104</stp>
        <stp>12/31/2018</stp>
        <stp>1</stp>
        <tr r="J3241" s="1"/>
      </tp>
      <tp>
        <v>0.63039184810000004</v>
        <stp/>
        <stp>EM_S_FA_NETPROFITMARGIN</stp>
        <stp>3</stp>
        <stp>000034</stp>
        <stp>12/31/2018</stp>
        <stp>1</stp>
        <tr r="J564" s="1"/>
      </tp>
      <tp>
        <v>-109.2108902264</v>
        <stp/>
        <stp>EM_S_FA_NETPROFITMARGIN</stp>
        <stp>3</stp>
        <stp>300004</stp>
        <stp>12/31/2018</stp>
        <stp>1</stp>
        <tr r="J259" s="1"/>
      </tp>
      <tp>
        <v>37.331825359500002</v>
        <stp/>
        <stp>EM_S_FA_NETPROFITMARGIN</stp>
        <stp>3</stp>
        <stp>600054</stp>
        <stp>12/31/2018</stp>
        <stp>1</stp>
        <tr r="J2451" s="1"/>
      </tp>
      <tp>
        <v>20.0221625643</v>
        <stp/>
        <stp>EM_S_FA_NETPROFITMARGIN</stp>
        <stp>3</stp>
        <stp>300304</stp>
        <stp>12/31/2018</stp>
        <stp>1</stp>
        <tr r="J949" s="1"/>
      </tp>
      <tp>
        <v>-34.4948743972</v>
        <stp/>
        <stp>EM_S_FA_NETPROFITMARGIN</stp>
        <stp>3</stp>
        <stp>600354</stp>
        <stp>12/31/2018</stp>
        <stp>1</stp>
        <tr r="J804" s="1"/>
      </tp>
      <tp>
        <v>16.630913277499999</v>
        <stp/>
        <stp>EM_S_FA_NETPROFITMARGIN</stp>
        <stp>3</stp>
        <stp>300204</stp>
        <stp>12/31/2018</stp>
        <stp>1</stp>
        <tr r="J2375" s="1"/>
      </tp>
      <tp>
        <v>16.474443114900001</v>
        <stp/>
        <stp>EM_S_FA_NETPROFITMARGIN</stp>
        <stp>3</stp>
        <stp>000534</stp>
        <stp>12/31/2018</stp>
        <stp>1</stp>
        <tr r="J2858" s="1"/>
      </tp>
      <tp>
        <v>5.4839063538000001</v>
        <stp/>
        <stp>EM_S_FA_NETPROFITMARGIN</stp>
        <stp>3</stp>
        <stp>300504</stp>
        <stp>12/31/2018</stp>
        <stp>1</stp>
        <tr r="J2863" s="1"/>
      </tp>
      <tp>
        <v>6.5513508019</v>
        <stp/>
        <stp>EM_S_FA_NETPROFITMARGIN</stp>
        <stp>3</stp>
        <stp>300404</stp>
        <stp>12/31/2018</stp>
        <stp>1</stp>
        <tr r="J1027" s="1"/>
      </tp>
      <tp>
        <v>8.3530338672000006</v>
        <stp/>
        <stp>EM_S_FA_NETPROFITMARGIN</stp>
        <stp>3</stp>
        <stp>600754</stp>
        <stp>12/31/2018</stp>
        <stp>1</stp>
        <tr r="J789" s="1"/>
      </tp>
      <tp>
        <v>16.875256663999998</v>
        <stp/>
        <stp>EM_S_FA_NETPROFITMARGIN</stp>
        <stp>3</stp>
        <stp>300604</stp>
        <stp>12/31/2018</stp>
        <stp>1</stp>
        <tr r="J3085" s="1"/>
      </tp>
      <tp>
        <v>-54.616767404900003</v>
        <stp/>
        <stp>EM_S_FA_NETPROFITMARGIN</stp>
        <stp>3</stp>
        <stp>600654</stp>
        <stp>12/31/2018</stp>
        <stp>1</stp>
        <tr r="J2568" s="1"/>
      </tp>
      <tp>
        <v>-1.9573985591</v>
        <stp/>
        <stp>EM_S_FA_NETPROFITMARGIN</stp>
        <stp>3</stp>
        <stp>603157</stp>
        <stp>12/31/2018</stp>
        <stp>1</stp>
        <tr r="J3240" s="1"/>
      </tp>
      <tp>
        <v>26.4793286124</v>
        <stp/>
        <stp>EM_S_FA_NETPROFITMARGIN</stp>
        <stp>3</stp>
        <stp>603357</stp>
        <stp>12/31/2018</stp>
        <stp>1</stp>
        <tr r="J3354" s="1"/>
      </tp>
      <tp>
        <v>12.8988894488</v>
        <stp/>
        <stp>EM_S_FA_NETPROFITMARGIN</stp>
        <stp>3</stp>
        <stp>603557</stp>
        <stp>12/31/2018</stp>
        <stp>1</stp>
        <tr r="J1610" s="1"/>
      </tp>
      <tp>
        <v>15.043012949</v>
        <stp/>
        <stp>EM_S_FA_NETPROFITMARGIN</stp>
        <stp>3</stp>
        <stp>603757</stp>
        <stp>12/31/2018</stp>
        <stp>1</stp>
        <tr r="J3019" s="1"/>
      </tp>
      <tp>
        <v>10.1367189169</v>
        <stp/>
        <stp>EM_S_FA_NETPROFITMARGIN</stp>
        <stp>3</stp>
        <stp>002837</stp>
        <stp>12/31/2018</stp>
        <stp>1</stp>
        <tr r="J1629" s="1"/>
      </tp>
      <tp>
        <v>-35.478064569499999</v>
        <stp/>
        <stp>EM_S_FA_NETPROFITMARGIN</stp>
        <stp>3</stp>
        <stp>002137</stp>
        <stp>12/31/2018</stp>
        <stp>1</stp>
        <tr r="J1770" s="1"/>
      </tp>
      <tp>
        <v>3.9894571172000002</v>
        <stp/>
        <stp>EM_S_FA_NETPROFITMARGIN</stp>
        <stp>3</stp>
        <stp>002037</stp>
        <stp>12/31/2018</stp>
        <stp>1</stp>
        <tr r="J2964" s="1"/>
      </tp>
      <tp>
        <v>2.0406981273999998</v>
        <stp/>
        <stp>EM_S_FA_NETPROFITMARGIN</stp>
        <stp>3</stp>
        <stp>002337</stp>
        <stp>12/31/2018</stp>
        <stp>1</stp>
        <tr r="J2558" s="1"/>
      </tp>
      <tp>
        <v>1.8483446823</v>
        <stp/>
        <stp>EM_S_FA_NETPROFITMARGIN</stp>
        <stp>3</stp>
        <stp>002237</stp>
        <stp>12/31/2018</stp>
        <stp>1</stp>
        <tr r="J382" s="1"/>
      </tp>
      <tp>
        <v>2.7688257587999998</v>
        <stp/>
        <stp>EM_S_FA_NETPROFITMARGIN</stp>
        <stp>3</stp>
        <stp>002537</stp>
        <stp>12/31/2018</stp>
        <stp>1</stp>
        <tr r="J3234" s="1"/>
      </tp>
      <tp>
        <v>2.3492874772999999</v>
        <stp/>
        <stp>EM_S_FA_NETPROFITMARGIN</stp>
        <stp>3</stp>
        <stp>002437</stp>
        <stp>12/31/2018</stp>
        <stp>1</stp>
        <tr r="J1992" s="1"/>
      </tp>
      <tp>
        <v>13.591867064500001</v>
        <stp/>
        <stp>EM_S_FA_NETPROFITMARGIN</stp>
        <stp>3</stp>
        <stp>002737</stp>
        <stp>12/31/2018</stp>
        <stp>1</stp>
        <tr r="J2433" s="1"/>
      </tp>
      <tp>
        <v>2.9514696543999999</v>
        <stp/>
        <stp>EM_S_FA_NETPROFITMARGIN</stp>
        <stp>3</stp>
        <stp>002637</stp>
        <stp>12/31/2018</stp>
        <stp>1</stp>
        <tr r="J640" s="1"/>
      </tp>
      <tp>
        <v>3.0765792483999999</v>
        <stp/>
        <stp>EM_S_FA_NETPROFITMARGIN</stp>
        <stp>3</stp>
        <stp>601857</stp>
        <stp>12/31/2018</stp>
        <stp>1</stp>
        <tr r="J3048" s="1"/>
      </tp>
      <tp>
        <v>4.8892585405000002</v>
        <stp/>
        <stp>EM_S_FA_NETPROFITMARGIN</stp>
        <stp>3</stp>
        <stp>000937</stp>
        <stp>12/31/2018</stp>
        <stp>1</stp>
        <tr r="J2461" s="1"/>
      </tp>
      <tp>
        <v>-8.7725189929000003</v>
        <stp/>
        <stp>EM_S_FA_NETPROFITMARGIN</stp>
        <stp>3</stp>
        <stp>000837</stp>
        <stp>12/31/2018</stp>
        <stp>1</stp>
        <tr r="J3554" s="1"/>
      </tp>
      <tp>
        <v>3.6686188294000002</v>
        <stp/>
        <stp>EM_S_FA_NETPROFITMARGIN</stp>
        <stp>3</stp>
        <stp>600857</stp>
        <stp>12/31/2018</stp>
        <stp>1</stp>
        <tr r="J1701" s="1"/>
      </tp>
      <tp>
        <v>46.253733158300001</v>
        <stp/>
        <stp>EM_S_FA_NETPROFITMARGIN</stp>
        <stp>3</stp>
        <stp>300107</stp>
        <stp>12/31/2018</stp>
        <stp>1</stp>
        <tr r="J3155" s="1"/>
      </tp>
      <tp>
        <v>0.71316208130000003</v>
        <stp/>
        <stp>EM_S_FA_NETPROFITMARGIN</stp>
        <stp>3</stp>
        <stp>600157</stp>
        <stp>12/31/2018</stp>
        <stp>1</stp>
        <tr r="J1912" s="1"/>
      </tp>
      <tp>
        <v>0.66064934949999998</v>
        <stp/>
        <stp>EM_S_FA_NETPROFITMARGIN</stp>
        <stp>3</stp>
        <stp>000037</stp>
        <stp>12/31/2018</stp>
        <stp>1</stp>
        <tr r="J68" s="1"/>
      </tp>
      <tp>
        <v>7.1445881354000003</v>
        <stp/>
        <stp>EM_S_FA_NETPROFITMARGIN</stp>
        <stp>3</stp>
        <stp>300007</stp>
        <stp>12/31/2018</stp>
        <stp>1</stp>
        <tr r="J352" s="1"/>
      </tp>
      <tp>
        <v>0.617576562</v>
        <stp/>
        <stp>EM_S_FA_NETPROFITMARGIN</stp>
        <stp>3</stp>
        <stp>600057</stp>
        <stp>12/31/2018</stp>
        <stp>1</stp>
        <tr r="J2370" s="1"/>
      </tp>
      <tp>
        <v>7.5384725820999998</v>
        <stp/>
        <stp>EM_S_FA_NETPROFITMARGIN</stp>
        <stp>3</stp>
        <stp>300307</stp>
        <stp>12/31/2018</stp>
        <stp>1</stp>
        <tr r="J2197" s="1"/>
      </tp>
      <tp>
        <v>0</v>
        <stp/>
        <stp>EM_S_FA_NETPROFITMARGIN</stp>
        <stp>3</stp>
        <stp>600357</stp>
        <stp>12/31/2018</stp>
        <stp>1</stp>
        <tr r="J2301" s="1"/>
      </tp>
      <tp>
        <v>3.4705914054</v>
        <stp/>
        <stp>EM_S_FA_NETPROFITMARGIN</stp>
        <stp>3</stp>
        <stp>300207</stp>
        <stp>12/31/2018</stp>
        <stp>1</stp>
        <tr r="J108" s="1"/>
      </tp>
      <tp>
        <v>1.5890326706</v>
        <stp/>
        <stp>EM_S_FA_NETPROFITMARGIN</stp>
        <stp>3</stp>
        <stp>600257</stp>
        <stp>12/31/2018</stp>
        <stp>1</stp>
        <tr r="J2166" s="1"/>
      </tp>
      <tp>
        <v>9.2485393529</v>
        <stp/>
        <stp>EM_S_FA_NETPROFITMARGIN</stp>
        <stp>3</stp>
        <stp>000537</stp>
        <stp>12/31/2018</stp>
        <stp>1</stp>
        <tr r="J2013" s="1"/>
      </tp>
      <tp>
        <v>14.2649837386</v>
        <stp/>
        <stp>EM_S_FA_NETPROFITMARGIN</stp>
        <stp>3</stp>
        <stp>300507</stp>
        <stp>12/31/2018</stp>
        <stp>1</stp>
        <tr r="J3002" s="1"/>
      </tp>
      <tp>
        <v>11.444153847300001</v>
        <stp/>
        <stp>EM_S_FA_NETPROFITMARGIN</stp>
        <stp>3</stp>
        <stp>600557</stp>
        <stp>12/31/2018</stp>
        <stp>1</stp>
        <tr r="J737" s="1"/>
      </tp>
      <tp>
        <v>0.9194052667</v>
        <stp/>
        <stp>EM_S_FA_NETPROFITMARGIN</stp>
        <stp>3</stp>
        <stp>300407</stp>
        <stp>12/31/2018</stp>
        <stp>1</stp>
        <tr r="J2060" s="1"/>
      </tp>
      <tp>
        <v>14.259912461500001</v>
        <stp/>
        <stp>EM_S_FA_NETPROFITMARGIN</stp>
        <stp>3</stp>
        <stp>000737</stp>
        <stp>12/31/2018</stp>
        <stp>1</stp>
        <tr r="J3524" s="1"/>
      </tp>
      <tp>
        <v>16.611550239100001</v>
        <stp/>
        <stp>EM_S_FA_NETPROFITMARGIN</stp>
        <stp>3</stp>
        <stp>300707</stp>
        <stp>12/31/2018</stp>
        <stp>1</stp>
        <tr r="J1481" s="1"/>
      </tp>
      <tp>
        <v>7.2822647599000003</v>
        <stp/>
        <stp>EM_S_FA_NETPROFITMARGIN</stp>
        <stp>3</stp>
        <stp>600757</stp>
        <stp>12/31/2018</stp>
        <stp>1</stp>
        <tr r="J2613" s="1"/>
      </tp>
      <tp>
        <v>0.93256288170000001</v>
        <stp/>
        <stp>EM_S_FA_NETPROFITMARGIN</stp>
        <stp>3</stp>
        <stp>000637</stp>
        <stp>12/31/2018</stp>
        <stp>1</stp>
        <tr r="J3491" s="1"/>
      </tp>
      <tp>
        <v>14.2246588602</v>
        <stp/>
        <stp>EM_S_FA_NETPROFITMARGIN</stp>
        <stp>3</stp>
        <stp>300607</stp>
        <stp>12/31/2018</stp>
        <stp>1</stp>
        <tr r="J484" s="1"/>
      </tp>
      <tp>
        <v>13.380109016700001</v>
        <stp/>
        <stp>EM_S_FA_NETPROFITMARGIN</stp>
        <stp>3</stp>
        <stp>600657</stp>
        <stp>12/31/2018</stp>
        <stp>1</stp>
        <tr r="J2195" s="1"/>
      </tp>
      <tp>
        <v>9.4344485523999992</v>
        <stp/>
        <stp>EM_S_FA_NETPROFITMARGIN</stp>
        <stp>3</stp>
        <stp>603856</stp>
        <stp>12/31/2018</stp>
        <stp>1</stp>
        <tr r="J2996" s="1"/>
      </tp>
      <tp>
        <v>34.834217243200001</v>
        <stp/>
        <stp>EM_S_FA_NETPROFITMARGIN</stp>
        <stp>3</stp>
        <stp>603156</stp>
        <stp>12/31/2018</stp>
        <stp>1</stp>
        <tr r="J3226" s="1"/>
      </tp>
      <tp>
        <v>3.0418996198000001</v>
        <stp/>
        <stp>EM_S_FA_NETPROFITMARGIN</stp>
        <stp>3</stp>
        <stp>603056</stp>
        <stp>12/31/2018</stp>
        <stp>1</stp>
        <tr r="J3254" s="1"/>
      </tp>
      <tp>
        <v>6.2718481945000004</v>
        <stp/>
        <stp>EM_S_FA_NETPROFITMARGIN</stp>
        <stp>3</stp>
        <stp>603356</stp>
        <stp>12/31/2018</stp>
        <stp>1</stp>
        <tr r="J3040" s="1"/>
      </tp>
      <tp>
        <v>12.930779210500001</v>
        <stp/>
        <stp>EM_S_FA_NETPROFITMARGIN</stp>
        <stp>3</stp>
        <stp>603556</stp>
        <stp>12/31/2018</stp>
        <stp>1</stp>
        <tr r="J1158" s="1"/>
      </tp>
      <tp>
        <v>8.3728718307999994</v>
        <stp/>
        <stp>EM_S_FA_NETPROFITMARGIN</stp>
        <stp>3</stp>
        <stp>603456</stp>
        <stp>12/31/2018</stp>
        <stp>1</stp>
        <tr r="J126" s="1"/>
      </tp>
      <tp>
        <v>19.735317333400001</v>
        <stp/>
        <stp>EM_S_FA_NETPROFITMARGIN</stp>
        <stp>3</stp>
        <stp>603656</stp>
        <stp>12/31/2018</stp>
        <stp>1</stp>
        <tr r="J1868" s="1"/>
      </tp>
      <tp>
        <v>17.6591326293</v>
        <stp/>
        <stp>EM_S_FA_NETPROFITMARGIN</stp>
        <stp>3</stp>
        <stp>002836</stp>
        <stp>12/31/2018</stp>
        <stp>1</stp>
        <tr r="J2009" s="1"/>
      </tp>
      <tp>
        <v>4.1320647461000002</v>
        <stp/>
        <stp>EM_S_FA_NETPROFITMARGIN</stp>
        <stp>3</stp>
        <stp>002136</stp>
        <stp>12/31/2018</stp>
        <stp>1</stp>
        <tr r="J2611" s="1"/>
      </tp>
      <tp>
        <v>5.0322625743999998</v>
        <stp/>
        <stp>EM_S_FA_NETPROFITMARGIN</stp>
        <stp>3</stp>
        <stp>002036</stp>
        <stp>12/31/2018</stp>
        <stp>1</stp>
        <tr r="J3613" s="1"/>
      </tp>
      <tp>
        <v>-4.3704115268999999</v>
        <stp/>
        <stp>EM_S_FA_NETPROFITMARGIN</stp>
        <stp>3</stp>
        <stp>002336</stp>
        <stp>12/31/2018</stp>
        <stp>1</stp>
        <tr r="J2961" s="1"/>
      </tp>
      <tp>
        <v>10.963520979</v>
        <stp/>
        <stp>EM_S_FA_NETPROFITMARGIN</stp>
        <stp>3</stp>
        <stp>002236</stp>
        <stp>12/31/2018</stp>
        <stp>1</stp>
        <tr r="J283" s="1"/>
      </tp>
      <tp>
        <v>8.5900552662000003</v>
        <stp/>
        <stp>EM_S_FA_NETPROFITMARGIN</stp>
        <stp>3</stp>
        <stp>002536</stp>
        <stp>12/31/2018</stp>
        <stp>1</stp>
        <tr r="J3350" s="1"/>
      </tp>
      <tp>
        <v>6.9400077770999999</v>
        <stp/>
        <stp>EM_S_FA_NETPROFITMARGIN</stp>
        <stp>3</stp>
        <stp>002436</stp>
        <stp>12/31/2018</stp>
        <stp>1</stp>
        <tr r="J221" s="1"/>
      </tp>
      <tp>
        <v>34.206732135400003</v>
        <stp/>
        <stp>EM_S_FA_NETPROFITMARGIN</stp>
        <stp>3</stp>
        <stp>002736</stp>
        <stp>12/31/2018</stp>
        <stp>1</stp>
        <tr r="J549" s="1"/>
      </tp>
      <tp>
        <v>8.2407282921</v>
        <stp/>
        <stp>EM_S_FA_NETPROFITMARGIN</stp>
        <stp>3</stp>
        <stp>002636</stp>
        <stp>12/31/2018</stp>
        <stp>1</stp>
        <tr r="J1181" s="1"/>
      </tp>
      <tp>
        <v>11.5508808699</v>
        <stp/>
        <stp>EM_S_FA_NETPROFITMARGIN</stp>
        <stp>3</stp>
        <stp>000936</stp>
        <stp>12/31/2018</stp>
        <stp>1</stp>
        <tr r="J953" s="1"/>
      </tp>
      <tp>
        <v>4.0643634947000002</v>
        <stp/>
        <stp>EM_S_FA_NETPROFITMARGIN</stp>
        <stp>3</stp>
        <stp>000836</stp>
        <stp>12/31/2018</stp>
        <stp>1</stp>
        <tr r="J2534" s="1"/>
      </tp>
      <tp>
        <v>-28.126867720100002</v>
        <stp/>
        <stp>EM_S_FA_NETPROFITMARGIN</stp>
        <stp>3</stp>
        <stp>600856</stp>
        <stp>12/31/2018</stp>
        <stp>1</stp>
        <tr r="J3278" s="1"/>
      </tp>
      <tp>
        <v>1.8132374862</v>
        <stp/>
        <stp>EM_S_FA_NETPROFITMARGIN</stp>
        <stp>3</stp>
        <stp>300106</stp>
        <stp>12/31/2018</stp>
        <stp>1</stp>
        <tr r="J1125" s="1"/>
      </tp>
      <tp>
        <v>1.3546600257000001</v>
        <stp/>
        <stp>EM_S_FA_NETPROFITMARGIN</stp>
        <stp>3</stp>
        <stp>600156</stp>
        <stp>12/31/2018</stp>
        <stp>1</stp>
        <tr r="J1708" s="1"/>
      </tp>
      <tp>
        <v>30.922637741799999</v>
        <stp/>
        <stp>EM_S_FA_NETPROFITMARGIN</stp>
        <stp>3</stp>
        <stp>000036</stp>
        <stp>12/31/2018</stp>
        <stp>1</stp>
        <tr r="J3122" s="1"/>
      </tp>
      <tp>
        <v>5.8331213163999998</v>
        <stp/>
        <stp>EM_S_FA_NETPROFITMARGIN</stp>
        <stp>3</stp>
        <stp>300006</stp>
        <stp>12/31/2018</stp>
        <stp>1</stp>
        <tr r="J461" s="1"/>
      </tp>
      <tp>
        <v>5.8725346002999999</v>
        <stp/>
        <stp>EM_S_FA_NETPROFITMARGIN</stp>
        <stp>3</stp>
        <stp>600056</stp>
        <stp>12/31/2018</stp>
        <stp>1</stp>
        <tr r="J2165" s="1"/>
      </tp>
      <tp>
        <v>-114.7026886812</v>
        <stp/>
        <stp>EM_S_FA_NETPROFITMARGIN</stp>
        <stp>3</stp>
        <stp>300306</stp>
        <stp>12/31/2018</stp>
        <stp>1</stp>
        <tr r="J300" s="1"/>
      </tp>
      <tp>
        <v>4.0046932914999998</v>
        <stp/>
        <stp>EM_S_FA_NETPROFITMARGIN</stp>
        <stp>3</stp>
        <stp>600356</stp>
        <stp>12/31/2018</stp>
        <stp>1</stp>
        <tr r="J712" s="1"/>
      </tp>
      <tp>
        <v>8.6846059169000007</v>
        <stp/>
        <stp>EM_S_FA_NETPROFITMARGIN</stp>
        <stp>3</stp>
        <stp>300206</stp>
        <stp>12/31/2018</stp>
        <stp>1</stp>
        <tr r="J1176" s="1"/>
      </tp>
      <tp>
        <v>12.6036036662</v>
        <stp/>
        <stp>EM_S_FA_NETPROFITMARGIN</stp>
        <stp>3</stp>
        <stp>600256</stp>
        <stp>12/31/2018</stp>
        <stp>1</stp>
        <tr r="J2837" s="1"/>
      </tp>
      <tp>
        <v>-110.3650251421</v>
        <stp/>
        <stp>EM_S_FA_NETPROFITMARGIN</stp>
        <stp>3</stp>
        <stp>000536</stp>
        <stp>12/31/2018</stp>
        <stp>1</stp>
        <tr r="J3447" s="1"/>
      </tp>
      <tp>
        <v>26.326961022500001</v>
        <stp/>
        <stp>EM_S_FA_NETPROFITMARGIN</stp>
        <stp>3</stp>
        <stp>300506</stp>
        <stp>12/31/2018</stp>
        <stp>1</stp>
        <tr r="J3320" s="1"/>
      </tp>
      <tp>
        <v>-57.579505848799997</v>
        <stp/>
        <stp>EM_S_FA_NETPROFITMARGIN</stp>
        <stp>3</stp>
        <stp>600556</stp>
        <stp>12/31/2018</stp>
        <stp>1</stp>
        <tr r="J210" s="1"/>
      </tp>
      <tp>
        <v>38.836702094899998</v>
        <stp/>
        <stp>EM_S_FA_NETPROFITMARGIN</stp>
        <stp>3</stp>
        <stp>300406</stp>
        <stp>12/31/2018</stp>
        <stp>1</stp>
        <tr r="J400" s="1"/>
      </tp>
      <tp>
        <v>4.8249449364999997</v>
        <stp/>
        <stp>EM_S_FA_NETPROFITMARGIN</stp>
        <stp>3</stp>
        <stp>600456</stp>
        <stp>12/31/2018</stp>
        <stp>1</stp>
        <tr r="J393" s="1"/>
      </tp>
      <tp>
        <v>12.876032946800001</v>
        <stp/>
        <stp>EM_S_FA_NETPROFITMARGIN</stp>
        <stp>3</stp>
        <stp>000736</stp>
        <stp>12/31/2018</stp>
        <stp>1</stp>
        <tr r="J2610" s="1"/>
      </tp>
      <tp>
        <v>10.8339341153</v>
        <stp/>
        <stp>EM_S_FA_NETPROFITMARGIN</stp>
        <stp>3</stp>
        <stp>300706</stp>
        <stp>12/31/2018</stp>
        <stp>1</stp>
        <tr r="J1440" s="1"/>
      </tp>
      <tp>
        <v>25.887591243399999</v>
        <stp/>
        <stp>EM_S_FA_NETPROFITMARGIN</stp>
        <stp>3</stp>
        <stp>600756</stp>
        <stp>12/31/2018</stp>
        <stp>1</stp>
        <tr r="J829" s="1"/>
      </tp>
      <tp>
        <v>22.462355366200001</v>
        <stp/>
        <stp>EM_S_FA_NETPROFITMARGIN</stp>
        <stp>3</stp>
        <stp>000636</stp>
        <stp>12/31/2018</stp>
        <stp>1</stp>
        <tr r="J714" s="1"/>
      </tp>
      <tp>
        <v>16.5597175463</v>
        <stp/>
        <stp>EM_S_FA_NETPROFITMARGIN</stp>
        <stp>3</stp>
        <stp>300606</stp>
        <stp>12/31/2018</stp>
        <stp>1</stp>
        <tr r="J1432" s="1"/>
      </tp>
      <tp>
        <v>0</v>
        <stp/>
        <stp>EM_S_FA_NETPROFITMARGIN</stp>
        <stp>3</stp>
        <stp>600656</stp>
        <stp>12/31/2018</stp>
        <stp>1</stp>
        <tr r="J2312" s="1"/>
      </tp>
      <tp>
        <v>7.1627145042000002</v>
        <stp/>
        <stp>EM_S_FA_NETPROFITMARGIN</stp>
        <stp>3</stp>
        <stp>603929</stp>
        <stp>12/31/2018</stp>
        <stp>1</stp>
        <tr r="J2220" s="1"/>
      </tp>
      <tp>
        <v>10.808972148100001</v>
        <stp/>
        <stp>EM_S_FA_NETPROFITMARGIN</stp>
        <stp>3</stp>
        <stp>603829</stp>
        <stp>12/31/2018</stp>
        <stp>1</stp>
        <tr r="J1573" s="1"/>
      </tp>
      <tp>
        <v>4.6667068047000004</v>
        <stp/>
        <stp>EM_S_FA_NETPROFITMARGIN</stp>
        <stp>3</stp>
        <stp>603129</stp>
        <stp>12/31/2018</stp>
        <stp>1</stp>
        <tr r="J76" s="1"/>
      </tp>
      <tp>
        <v>7.4698708041000002</v>
        <stp/>
        <stp>EM_S_FA_NETPROFITMARGIN</stp>
        <stp>3</stp>
        <stp>603029</stp>
        <stp>12/31/2018</stp>
        <stp>1</stp>
        <tr r="J1695" s="1"/>
      </tp>
      <tp>
        <v>2.4548039696999999</v>
        <stp/>
        <stp>EM_S_FA_NETPROFITMARGIN</stp>
        <stp>3</stp>
        <stp>603329</stp>
        <stp>12/31/2018</stp>
        <stp>1</stp>
        <tr r="J2895" s="1"/>
      </tp>
      <tp>
        <v>17.985558578999999</v>
        <stp/>
        <stp>EM_S_FA_NETPROFITMARGIN</stp>
        <stp>3</stp>
        <stp>603229</stp>
        <stp>12/31/2018</stp>
        <stp>1</stp>
        <tr r="J274" s="1"/>
      </tp>
      <tp>
        <v>25.614768348999998</v>
        <stp/>
        <stp>EM_S_FA_NETPROFITMARGIN</stp>
        <stp>3</stp>
        <stp>603429</stp>
        <stp>12/31/2018</stp>
        <stp>1</stp>
        <tr r="J535" s="1"/>
      </tp>
      <tp>
        <v>1.8451100329000001</v>
        <stp/>
        <stp>EM_S_FA_NETPROFITMARGIN</stp>
        <stp>3</stp>
        <stp>603729</stp>
        <stp>12/31/2018</stp>
        <stp>1</stp>
        <tr r="J2042" s="1"/>
      </tp>
      <tp>
        <v>9.8981134219999998</v>
        <stp/>
        <stp>EM_S_FA_NETPROFITMARGIN</stp>
        <stp>3</stp>
        <stp>002849</stp>
        <stp>12/31/2018</stp>
        <stp>1</stp>
        <tr r="J2282" s="1"/>
      </tp>
      <tp>
        <v>5.985163537</v>
        <stp/>
        <stp>EM_S_FA_NETPROFITMARGIN</stp>
        <stp>3</stp>
        <stp>002149</stp>
        <stp>12/31/2018</stp>
        <stp>1</stp>
        <tr r="J618" s="1"/>
      </tp>
      <tp>
        <v>14.177909268900001</v>
        <stp/>
        <stp>EM_S_FA_NETPROFITMARGIN</stp>
        <stp>3</stp>
        <stp>002049</stp>
        <stp>12/31/2018</stp>
        <stp>1</stp>
        <tr r="J262" s="1"/>
      </tp>
      <tp>
        <v>19.197481163700001</v>
        <stp/>
        <stp>EM_S_FA_NETPROFITMARGIN</stp>
        <stp>3</stp>
        <stp>002349</stp>
        <stp>12/31/2018</stp>
        <stp>1</stp>
        <tr r="J3126" s="1"/>
      </tp>
      <tp>
        <v>-27.749040408700001</v>
        <stp/>
        <stp>EM_S_FA_NETPROFITMARGIN</stp>
        <stp>3</stp>
        <stp>002249</stp>
        <stp>12/31/2018</stp>
        <stp>1</stp>
        <tr r="J1320" s="1"/>
      </tp>
      <tp>
        <v>19.217116899699999</v>
        <stp/>
        <stp>EM_S_FA_NETPROFITMARGIN</stp>
        <stp>3</stp>
        <stp>002549</stp>
        <stp>12/31/2018</stp>
        <stp>1</stp>
        <tr r="J1576" s="1"/>
      </tp>
      <tp>
        <v>11.9589456508</v>
        <stp/>
        <stp>EM_S_FA_NETPROFITMARGIN</stp>
        <stp>3</stp>
        <stp>002449</stp>
        <stp>12/31/2018</stp>
        <stp>1</stp>
        <tr r="J1099" s="1"/>
      </tp>
      <tp>
        <v>27.106980564899999</v>
        <stp/>
        <stp>EM_S_FA_NETPROFITMARGIN</stp>
        <stp>3</stp>
        <stp>002749</stp>
        <stp>12/31/2018</stp>
        <stp>1</stp>
        <tr r="J3174" s="1"/>
      </tp>
      <tp>
        <v>7.8177230902000003</v>
        <stp/>
        <stp>EM_S_FA_NETPROFITMARGIN</stp>
        <stp>3</stp>
        <stp>002649</stp>
        <stp>12/31/2018</stp>
        <stp>1</stp>
        <tr r="J807" s="1"/>
      </tp>
      <tp>
        <v>15.304535227200001</v>
        <stp/>
        <stp>EM_S_FA_NETPROFITMARGIN</stp>
        <stp>3</stp>
        <stp>601929</stp>
        <stp>12/31/2018</stp>
        <stp>1</stp>
        <tr r="J2062" s="1"/>
      </tp>
      <tp>
        <v>41.168219739900003</v>
        <stp/>
        <stp>EM_S_FA_NETPROFITMARGIN</stp>
        <stp>3</stp>
        <stp>601229</stp>
        <stp>12/31/2018</stp>
        <stp>1</stp>
        <tr r="J2929" s="1"/>
      </tp>
      <tp>
        <v>2.5242305701999999</v>
        <stp/>
        <stp>EM_S_FA_NETPROFITMARGIN</stp>
        <stp>3</stp>
        <stp>000949</stp>
        <stp>12/31/2018</stp>
        <stp>1</stp>
        <tr r="J670" s="1"/>
      </tp>
      <tp>
        <v>7.5158544337000004</v>
        <stp/>
        <stp>EM_S_FA_NETPROFITMARGIN</stp>
        <stp>3</stp>
        <stp>600929</stp>
        <stp>12/31/2018</stp>
        <stp>1</stp>
        <tr r="J3072" s="1"/>
      </tp>
      <tp>
        <v>3.6548080404999999</v>
        <stp/>
        <stp>EM_S_FA_NETPROFITMARGIN</stp>
        <stp>3</stp>
        <stp>600829</stp>
        <stp>12/31/2018</stp>
        <stp>1</stp>
        <tr r="J1485" s="1"/>
      </tp>
      <tp>
        <v>17.168078454300002</v>
        <stp/>
        <stp>EM_S_FA_NETPROFITMARGIN</stp>
        <stp>3</stp>
        <stp>300179</stp>
        <stp>12/31/2018</stp>
        <stp>1</stp>
        <tr r="J596" s="1"/>
      </tp>
      <tp>
        <v>0.58046111180000004</v>
        <stp/>
        <stp>EM_S_FA_NETPROFITMARGIN</stp>
        <stp>3</stp>
        <stp>600129</stp>
        <stp>12/31/2018</stp>
        <stp>1</stp>
        <tr r="J892" s="1"/>
      </tp>
      <tp>
        <v>3.0471813340999998</v>
        <stp/>
        <stp>EM_S_FA_NETPROFITMARGIN</stp>
        <stp>3</stp>
        <stp>000049</stp>
        <stp>12/31/2018</stp>
        <stp>1</stp>
        <tr r="J678" s="1"/>
      </tp>
      <tp>
        <v>5.3641823956000003</v>
        <stp/>
        <stp>EM_S_FA_NETPROFITMARGIN</stp>
        <stp>3</stp>
        <stp>300079</stp>
        <stp>12/31/2018</stp>
        <stp>1</stp>
        <tr r="J236" s="1"/>
      </tp>
      <tp>
        <v>2.4062998266000002</v>
        <stp/>
        <stp>EM_S_FA_NETPROFITMARGIN</stp>
        <stp>3</stp>
        <stp>600029</stp>
        <stp>12/31/2018</stp>
        <stp>1</stp>
        <tr r="J1859" s="1"/>
      </tp>
      <tp>
        <v>32.836392157299997</v>
        <stp/>
        <stp>EM_S_FA_NETPROFITMARGIN</stp>
        <stp>3</stp>
        <stp>300379</stp>
        <stp>12/31/2018</stp>
        <stp>1</stp>
        <tr r="J36" s="1"/>
      </tp>
      <tp>
        <v>8.9294155814000007</v>
        <stp/>
        <stp>EM_S_FA_NETPROFITMARGIN</stp>
        <stp>3</stp>
        <stp>600329</stp>
        <stp>12/31/2018</stp>
        <stp>1</stp>
        <tr r="J1791" s="1"/>
      </tp>
      <tp>
        <v>-65.684719628899998</v>
        <stp/>
        <stp>EM_S_FA_NETPROFITMARGIN</stp>
        <stp>3</stp>
        <stp>300279</stp>
        <stp>12/31/2018</stp>
        <stp>1</stp>
        <tr r="J1022" s="1"/>
      </tp>
      <tp>
        <v>16.030027459500001</v>
        <stp/>
        <stp>EM_S_FA_NETPROFITMARGIN</stp>
        <stp>3</stp>
        <stp>600229</stp>
        <stp>12/31/2018</stp>
        <stp>1</stp>
        <tr r="J2004" s="1"/>
      </tp>
      <tp>
        <v>0</v>
        <stp/>
        <stp>EM_S_FA_NETPROFITMARGIN</stp>
        <stp>3</stp>
        <stp>000549</stp>
        <stp>12/31/2018</stp>
        <stp>1</stp>
        <tr r="J3451" s="1"/>
      </tp>
      <tp>
        <v>12.947849147499999</v>
        <stp/>
        <stp>EM_S_FA_NETPROFITMARGIN</stp>
        <stp>3</stp>
        <stp>300579</stp>
        <stp>12/31/2018</stp>
        <stp>1</stp>
        <tr r="J330" s="1"/>
      </tp>
      <tp>
        <v>13.8592511053</v>
        <stp/>
        <stp>EM_S_FA_NETPROFITMARGIN</stp>
        <stp>3</stp>
        <stp>600529</stp>
        <stp>12/31/2018</stp>
        <stp>1</stp>
        <tr r="J589" s="1"/>
      </tp>
      <tp>
        <v>5.6531378396000003</v>
        <stp/>
        <stp>EM_S_FA_NETPROFITMARGIN</stp>
        <stp>3</stp>
        <stp>300479</stp>
        <stp>12/31/2018</stp>
        <stp>1</stp>
        <tr r="J1154" s="1"/>
      </tp>
      <tp>
        <v>2.4979574457</v>
        <stp/>
        <stp>EM_S_FA_NETPROFITMARGIN</stp>
        <stp>3</stp>
        <stp>600429</stp>
        <stp>12/31/2018</stp>
        <stp>1</stp>
        <tr r="J2394" s="1"/>
      </tp>
      <tp>
        <v>2.5647637098999998</v>
        <stp/>
        <stp>EM_S_FA_NETPROFITMARGIN</stp>
        <stp>3</stp>
        <stp>600729</stp>
        <stp>12/31/2018</stp>
        <stp>1</stp>
        <tr r="J2021" s="1"/>
      </tp>
      <tp>
        <v>17.868922196300002</v>
        <stp/>
        <stp>EM_S_FA_NETPROFITMARGIN</stp>
        <stp>3</stp>
        <stp>300679</stp>
        <stp>12/31/2018</stp>
        <stp>1</stp>
        <tr r="J739" s="1"/>
      </tp>
      <tp>
        <v>5.1427800431000001</v>
        <stp/>
        <stp>EM_S_FA_NETPROFITMARGIN</stp>
        <stp>3</stp>
        <stp>600629</stp>
        <stp>12/31/2018</stp>
        <stp>1</stp>
        <tr r="J3119" s="1"/>
      </tp>
      <tp>
        <v>9.7243591437999992</v>
        <stp/>
        <stp>EM_S_FA_NETPROFITMARGIN</stp>
        <stp>3</stp>
        <stp>603928</stp>
        <stp>12/31/2018</stp>
        <stp>1</stp>
        <tr r="J2878" s="1"/>
      </tp>
      <tp>
        <v>2.8561166514999998</v>
        <stp/>
        <stp>EM_S_FA_NETPROFITMARGIN</stp>
        <stp>3</stp>
        <stp>603828</stp>
        <stp>12/31/2018</stp>
        <stp>1</stp>
        <tr r="J3237" s="1"/>
      </tp>
      <tp>
        <v>3.5651339089</v>
        <stp/>
        <stp>EM_S_FA_NETPROFITMARGIN</stp>
        <stp>3</stp>
        <stp>603128</stp>
        <stp>12/31/2018</stp>
        <stp>1</stp>
        <tr r="J1380" s="1"/>
      </tp>
      <tp>
        <v>3.0896023918000002</v>
        <stp/>
        <stp>EM_S_FA_NETPROFITMARGIN</stp>
        <stp>3</stp>
        <stp>603028</stp>
        <stp>12/31/2018</stp>
        <stp>1</stp>
        <tr r="J383" s="1"/>
      </tp>
      <tp>
        <v>19.6481138569</v>
        <stp/>
        <stp>EM_S_FA_NETPROFITMARGIN</stp>
        <stp>3</stp>
        <stp>603328</stp>
        <stp>12/31/2018</stp>
        <stp>1</stp>
        <tr r="J1464" s="1"/>
      </tp>
      <tp>
        <v>15.9496122618</v>
        <stp/>
        <stp>EM_S_FA_NETPROFITMARGIN</stp>
        <stp>3</stp>
        <stp>603228</stp>
        <stp>12/31/2018</stp>
        <stp>1</stp>
        <tr r="J2805" s="1"/>
      </tp>
      <tp>
        <v>24.21711792</v>
        <stp/>
        <stp>EM_S_FA_NETPROFITMARGIN</stp>
        <stp>3</stp>
        <stp>603528</stp>
        <stp>12/31/2018</stp>
        <stp>1</stp>
        <tr r="J1609" s="1"/>
      </tp>
      <tp>
        <v>8.8044355539999994</v>
        <stp/>
        <stp>EM_S_FA_NETPROFITMARGIN</stp>
        <stp>3</stp>
        <stp>603728</stp>
        <stp>12/31/2018</stp>
        <stp>1</stp>
        <tr r="J2855" s="1"/>
      </tp>
      <tp>
        <v>3.0956398009999999</v>
        <stp/>
        <stp>EM_S_FA_NETPROFITMARGIN</stp>
        <stp>3</stp>
        <stp>603628</stp>
        <stp>12/31/2018</stp>
        <stp>1</stp>
        <tr r="J1789" s="1"/>
      </tp>
      <tp>
        <v>-9.4036104731000005</v>
        <stp/>
        <stp>EM_S_FA_NETPROFITMARGIN</stp>
        <stp>3</stp>
        <stp>002848</stp>
        <stp>12/31/2018</stp>
        <stp>1</stp>
        <tr r="J1699" s="1"/>
      </tp>
      <tp>
        <v>16.9550410652</v>
        <stp/>
        <stp>EM_S_FA_NETPROFITMARGIN</stp>
        <stp>3</stp>
        <stp>002148</stp>
        <stp>12/31/2018</stp>
        <stp>1</stp>
        <tr r="J2885" s="1"/>
      </tp>
      <tp>
        <v>6.8236458002999996</v>
        <stp/>
        <stp>EM_S_FA_NETPROFITMARGIN</stp>
        <stp>3</stp>
        <stp>002048</stp>
        <stp>12/31/2018</stp>
        <stp>1</stp>
        <tr r="J510" s="1"/>
      </tp>
      <tp>
        <v>3.6969995993000002</v>
        <stp/>
        <stp>EM_S_FA_NETPROFITMARGIN</stp>
        <stp>3</stp>
        <stp>002348</stp>
        <stp>12/31/2018</stp>
        <stp>1</stp>
        <tr r="J2047" s="1"/>
      </tp>
      <tp>
        <v>-726.11790893809996</v>
        <stp/>
        <stp>EM_S_FA_NETPROFITMARGIN</stp>
        <stp>3</stp>
        <stp>002248</stp>
        <stp>12/31/2018</stp>
        <stp>1</stp>
        <tr r="J2746" s="1"/>
      </tp>
      <tp>
        <v>-9.3413933871000001</v>
        <stp/>
        <stp>EM_S_FA_NETPROFITMARGIN</stp>
        <stp>3</stp>
        <stp>002548</stp>
        <stp>12/31/2018</stp>
        <stp>1</stp>
        <tr r="J938" s="1"/>
      </tp>
      <tp>
        <v>17.5316772937</v>
        <stp/>
        <stp>EM_S_FA_NETPROFITMARGIN</stp>
        <stp>3</stp>
        <stp>002448</stp>
        <stp>12/31/2018</stp>
        <stp>1</stp>
        <tr r="J2396" s="1"/>
      </tp>
      <tp>
        <v>3.8325688844000001</v>
        <stp/>
        <stp>EM_S_FA_NETPROFITMARGIN</stp>
        <stp>3</stp>
        <stp>002748</stp>
        <stp>12/31/2018</stp>
        <stp>1</stp>
        <tr r="J2044" s="1"/>
      </tp>
      <tp>
        <v>9.3266203073000007</v>
        <stp/>
        <stp>EM_S_FA_NETPROFITMARGIN</stp>
        <stp>3</stp>
        <stp>002648</stp>
        <stp>12/31/2018</stp>
        <stp>1</stp>
        <tr r="J309" s="1"/>
      </tp>
      <tp>
        <v>11.7865587111</v>
        <stp/>
        <stp>EM_S_FA_NETPROFITMARGIN</stp>
        <stp>3</stp>
        <stp>601928</stp>
        <stp>12/31/2018</stp>
        <stp>1</stp>
        <tr r="J2548" s="1"/>
      </tp>
      <tp>
        <v>33.044353019600003</v>
        <stp/>
        <stp>EM_S_FA_NETPROFITMARGIN</stp>
        <stp>3</stp>
        <stp>601828</stp>
        <stp>12/31/2018</stp>
        <stp>1</stp>
        <tr r="J2154" s="1"/>
      </tp>
      <tp>
        <v>27.2124523299</v>
        <stp/>
        <stp>EM_S_FA_NETPROFITMARGIN</stp>
        <stp>3</stp>
        <stp>601128</stp>
        <stp>12/31/2018</stp>
        <stp>1</stp>
        <tr r="J693" s="1"/>
      </tp>
      <tp>
        <v>0.60281676819999996</v>
        <stp/>
        <stp>EM_S_FA_NETPROFITMARGIN</stp>
        <stp>3</stp>
        <stp>601028</stp>
        <stp>12/31/2018</stp>
        <stp>1</stp>
        <tr r="J1709" s="1"/>
      </tp>
      <tp>
        <v>34.875901699499998</v>
        <stp/>
        <stp>EM_S_FA_NETPROFITMARGIN</stp>
        <stp>3</stp>
        <stp>601328</stp>
        <stp>12/31/2018</stp>
        <stp>1</stp>
        <tr r="J2457" s="1"/>
      </tp>
      <tp>
        <v>10.347527401900001</v>
        <stp/>
        <stp>EM_S_FA_NETPROFITMARGIN</stp>
        <stp>3</stp>
        <stp>601228</stp>
        <stp>12/31/2018</stp>
        <stp>1</stp>
        <tr r="J2498" s="1"/>
      </tp>
      <tp>
        <v>1.8560070658000001</v>
        <stp/>
        <stp>EM_S_FA_NETPROFITMARGIN</stp>
        <stp>3</stp>
        <stp>601628</stp>
        <stp>12/31/2018</stp>
        <stp>1</stp>
        <tr r="J308" s="1"/>
      </tp>
      <tp>
        <v>3.5533192807999998</v>
        <stp/>
        <stp>EM_S_FA_NETPROFITMARGIN</stp>
        <stp>3</stp>
        <stp>000948</stp>
        <stp>12/31/2018</stp>
        <stp>1</stp>
        <tr r="J1716" s="1"/>
      </tp>
      <tp>
        <v>19.446382727900001</v>
        <stp/>
        <stp>EM_S_FA_NETPROFITMARGIN</stp>
        <stp>3</stp>
        <stp>000848</stp>
        <stp>12/31/2018</stp>
        <stp>1</stp>
        <tr r="J2428" s="1"/>
      </tp>
      <tp>
        <v>9.9661868281999997</v>
        <stp/>
        <stp>EM_S_FA_NETPROFITMARGIN</stp>
        <stp>3</stp>
        <stp>600828</stp>
        <stp>12/31/2018</stp>
        <stp>1</stp>
        <tr r="J2265" s="1"/>
      </tp>
      <tp>
        <v>3.5250593220000002</v>
        <stp/>
        <stp>EM_S_FA_NETPROFITMARGIN</stp>
        <stp>3</stp>
        <stp>300178</stp>
        <stp>12/31/2018</stp>
        <stp>1</stp>
        <tr r="J3346" s="1"/>
      </tp>
      <tp>
        <v>-1.3497960372</v>
        <stp/>
        <stp>EM_S_FA_NETPROFITMARGIN</stp>
        <stp>3</stp>
        <stp>600128</stp>
        <stp>12/31/2018</stp>
        <stp>1</stp>
        <tr r="J2583" s="1"/>
      </tp>
      <tp>
        <v>13.079636433399999</v>
        <stp/>
        <stp>EM_S_FA_NETPROFITMARGIN</stp>
        <stp>3</stp>
        <stp>000048</stp>
        <stp>12/31/2018</stp>
        <stp>1</stp>
        <tr r="J1177" s="1"/>
      </tp>
      <tp>
        <v>10.888383730299999</v>
        <stp/>
        <stp>EM_S_FA_NETPROFITMARGIN</stp>
        <stp>3</stp>
        <stp>300078</stp>
        <stp>12/31/2018</stp>
        <stp>1</stp>
        <tr r="J1234" s="1"/>
      </tp>
      <tp>
        <v>2.7770331757000002</v>
        <stp/>
        <stp>EM_S_FA_NETPROFITMARGIN</stp>
        <stp>3</stp>
        <stp>600028</stp>
        <stp>12/31/2018</stp>
        <stp>1</stp>
        <tr r="J2245" s="1"/>
      </tp>
      <tp>
        <v>5.9965224103999999</v>
        <stp/>
        <stp>EM_S_FA_NETPROFITMARGIN</stp>
        <stp>3</stp>
        <stp>300378</stp>
        <stp>12/31/2018</stp>
        <stp>1</stp>
        <tr r="J552" s="1"/>
      </tp>
      <tp>
        <v>11.8411901343</v>
        <stp/>
        <stp>EM_S_FA_NETPROFITMARGIN</stp>
        <stp>3</stp>
        <stp>600328</stp>
        <stp>12/31/2018</stp>
        <stp>1</stp>
        <tr r="J1295" s="1"/>
      </tp>
      <tp>
        <v>0.89339343810000005</v>
        <stp/>
        <stp>EM_S_FA_NETPROFITMARGIN</stp>
        <stp>3</stp>
        <stp>300278</stp>
        <stp>12/31/2018</stp>
        <stp>1</stp>
        <tr r="J3145" s="1"/>
      </tp>
      <tp>
        <v>2.5593885274999999</v>
        <stp/>
        <stp>EM_S_FA_NETPROFITMARGIN</stp>
        <stp>3</stp>
        <stp>600228</stp>
        <stp>12/31/2018</stp>
        <stp>1</stp>
        <tr r="J3169" s="1"/>
      </tp>
      <tp>
        <v>10.3216541378</v>
        <stp/>
        <stp>EM_S_FA_NETPROFITMARGIN</stp>
        <stp>3</stp>
        <stp>000548</stp>
        <stp>12/31/2018</stp>
        <stp>1</stp>
        <tr r="J3450" s="1"/>
      </tp>
      <tp>
        <v>7.2171170471000003</v>
        <stp/>
        <stp>EM_S_FA_NETPROFITMARGIN</stp>
        <stp>3</stp>
        <stp>300578</stp>
        <stp>12/31/2018</stp>
        <stp>1</stp>
        <tr r="J543" s="1"/>
      </tp>
      <tp>
        <v>8.4414260779999992</v>
        <stp/>
        <stp>EM_S_FA_NETPROFITMARGIN</stp>
        <stp>3</stp>
        <stp>600528</stp>
        <stp>12/31/2018</stp>
        <stp>1</stp>
        <tr r="J2069" s="1"/>
      </tp>
      <tp>
        <v>2.4167469049000001</v>
        <stp/>
        <stp>EM_S_FA_NETPROFITMARGIN</stp>
        <stp>3</stp>
        <stp>300478</stp>
        <stp>12/31/2018</stp>
        <stp>1</stp>
        <tr r="J3004" s="1"/>
      </tp>
      <tp>
        <v>1.1449134668000001</v>
        <stp/>
        <stp>EM_S_FA_NETPROFITMARGIN</stp>
        <stp>3</stp>
        <stp>600428</stp>
        <stp>12/31/2018</stp>
        <stp>1</stp>
        <tr r="J1477" s="1"/>
      </tp>
      <tp>
        <v>0</v>
        <stp/>
        <stp>EM_S_FA_NETPROFITMARGIN</stp>
        <stp>3</stp>
        <stp>000748</stp>
        <stp>12/31/2018</stp>
        <stp>1</stp>
        <tr r="J3525" s="1"/>
      </tp>
      <tp>
        <v>5.5989713520000004</v>
        <stp/>
        <stp>EM_S_FA_NETPROFITMARGIN</stp>
        <stp>3</stp>
        <stp>600728</stp>
        <stp>12/31/2018</stp>
        <stp>1</stp>
        <tr r="J794" s="1"/>
      </tp>
      <tp>
        <v>13.4377706155</v>
        <stp/>
        <stp>EM_S_FA_NETPROFITMARGIN</stp>
        <stp>3</stp>
        <stp>300678</stp>
        <stp>12/31/2018</stp>
        <stp>1</stp>
        <tr r="J1418" s="1"/>
      </tp>
      <tp>
        <v>9.8491829215000006</v>
        <stp/>
        <stp>EM_S_FA_NETPROFITMARGIN</stp>
        <stp>3</stp>
        <stp>600628</stp>
        <stp>12/31/2018</stp>
        <stp>1</stp>
        <tr r="J603" s="1"/>
      </tp>
      <tp>
        <v>1.3991091751</v>
        <stp/>
        <stp>EM_S_FA_NETPROFITMARGIN</stp>
        <stp>3</stp>
        <stp>603021</stp>
        <stp>12/31/2018</stp>
        <stp>1</stp>
        <tr r="J717" s="1"/>
      </tp>
      <tp>
        <v>6.7978173056999998</v>
        <stp/>
        <stp>EM_S_FA_NETPROFITMARGIN</stp>
        <stp>3</stp>
        <stp>603321</stp>
        <stp>12/31/2018</stp>
        <stp>1</stp>
        <tr r="J1483" s="1"/>
      </tp>
      <tp>
        <v>11.691917762699999</v>
        <stp/>
        <stp>EM_S_FA_NETPROFITMARGIN</stp>
        <stp>3</stp>
        <stp>603421</stp>
        <stp>12/31/2018</stp>
        <stp>1</stp>
        <tr r="J3047" s="1"/>
      </tp>
      <tp>
        <v>8.7382440855999999</v>
        <stp/>
        <stp>EM_S_FA_NETPROFITMARGIN</stp>
        <stp>3</stp>
        <stp>603721</stp>
        <stp>12/31/2018</stp>
        <stp>1</stp>
        <tr r="J277" s="1"/>
      </tp>
      <tp>
        <v>6.2474237960999996</v>
        <stp/>
        <stp>EM_S_FA_NETPROFITMARGIN</stp>
        <stp>3</stp>
        <stp>002841</stp>
        <stp>12/31/2018</stp>
        <stp>1</stp>
        <tr r="J563" s="1"/>
      </tp>
      <tp>
        <v>0.54884603750000005</v>
        <stp/>
        <stp>EM_S_FA_NETPROFITMARGIN</stp>
        <stp>3</stp>
        <stp>002141</stp>
        <stp>12/31/2018</stp>
        <stp>1</stp>
        <tr r="J2946" s="1"/>
      </tp>
      <tp>
        <v>-3.2439137803999998</v>
        <stp/>
        <stp>EM_S_FA_NETPROFITMARGIN</stp>
        <stp>3</stp>
        <stp>002041</stp>
        <stp>12/31/2018</stp>
        <stp>1</stp>
        <tr r="J3615" s="1"/>
      </tp>
      <tp>
        <v>8.8694164419000003</v>
        <stp/>
        <stp>EM_S_FA_NETPROFITMARGIN</stp>
        <stp>3</stp>
        <stp>002341</stp>
        <stp>12/31/2018</stp>
        <stp>1</stp>
        <tr r="J3376" s="1"/>
      </tp>
      <tp>
        <v>3.5555862272000001</v>
        <stp/>
        <stp>EM_S_FA_NETPROFITMARGIN</stp>
        <stp>3</stp>
        <stp>002241</stp>
        <stp>12/31/2018</stp>
        <stp>1</stp>
        <tr r="J52" s="1"/>
      </tp>
      <tp>
        <v>5.2835794049000002</v>
        <stp/>
        <stp>EM_S_FA_NETPROFITMARGIN</stp>
        <stp>3</stp>
        <stp>002541</stp>
        <stp>12/31/2018</stp>
        <stp>1</stp>
        <tr r="J538" s="1"/>
      </tp>
      <tp>
        <v>2.2817104119999998</v>
        <stp/>
        <stp>EM_S_FA_NETPROFITMARGIN</stp>
        <stp>3</stp>
        <stp>002441</stp>
        <stp>12/31/2018</stp>
        <stp>1</stp>
        <tr r="J1561" s="1"/>
      </tp>
      <tp>
        <v>8.6276443350999994</v>
        <stp/>
        <stp>EM_S_FA_NETPROFITMARGIN</stp>
        <stp>3</stp>
        <stp>002741</stp>
        <stp>12/31/2018</stp>
        <stp>1</stp>
        <tr r="J3107" s="1"/>
      </tp>
      <tp>
        <v>4.5700527582000001</v>
        <stp/>
        <stp>EM_S_FA_NETPROFITMARGIN</stp>
        <stp>3</stp>
        <stp>002641</stp>
        <stp>12/31/2018</stp>
        <stp>1</stp>
        <tr r="J718" s="1"/>
      </tp>
      <tp>
        <v>11.4597780846</v>
        <stp/>
        <stp>EM_S_FA_NETPROFITMARGIN</stp>
        <stp>3</stp>
        <stp>601021</stp>
        <stp>12/31/2018</stp>
        <stp>1</stp>
        <tr r="J777" s="1"/>
      </tp>
      <tp>
        <v>-172.69350115520001</v>
        <stp/>
        <stp>EM_S_FA_NETPROFITMARGIN</stp>
        <stp>3</stp>
        <stp>600821</stp>
        <stp>12/31/2018</stp>
        <stp>1</stp>
        <tr r="J1516" s="1"/>
      </tp>
      <tp>
        <v>4.5475236406999997</v>
        <stp/>
        <stp>EM_S_FA_NETPROFITMARGIN</stp>
        <stp>3</stp>
        <stp>300171</stp>
        <stp>12/31/2018</stp>
        <stp>1</stp>
        <tr r="J2262" s="1"/>
      </tp>
      <tp>
        <v>8.1134270482000002</v>
        <stp/>
        <stp>EM_S_FA_NETPROFITMARGIN</stp>
        <stp>3</stp>
        <stp>600121</stp>
        <stp>12/31/2018</stp>
        <stp>1</stp>
        <tr r="J3036" s="1"/>
      </tp>
      <tp>
        <v>-22.572071820200001</v>
        <stp/>
        <stp>EM_S_FA_NETPROFITMARGIN</stp>
        <stp>3</stp>
        <stp>300071</stp>
        <stp>12/31/2018</stp>
        <stp>1</stp>
        <tr r="J3121" s="1"/>
      </tp>
      <tp>
        <v>15.1159878722</v>
        <stp/>
        <stp>EM_S_FA_NETPROFITMARGIN</stp>
        <stp>3</stp>
        <stp>600021</stp>
        <stp>12/31/2018</stp>
        <stp>1</stp>
        <tr r="J2411" s="1"/>
      </tp>
      <tp>
        <v>29.1553122921</v>
        <stp/>
        <stp>EM_S_FA_NETPROFITMARGIN</stp>
        <stp>3</stp>
        <stp>300371</stp>
        <stp>12/31/2018</stp>
        <stp>1</stp>
        <tr r="J1838" s="1"/>
      </tp>
      <tp>
        <v>1.8454753752999999</v>
        <stp/>
        <stp>EM_S_FA_NETPROFITMARGIN</stp>
        <stp>3</stp>
        <stp>600321</stp>
        <stp>12/31/2018</stp>
        <stp>1</stp>
        <tr r="J1240" s="1"/>
      </tp>
      <tp>
        <v>18.045333383300001</v>
        <stp/>
        <stp>EM_S_FA_NETPROFITMARGIN</stp>
        <stp>3</stp>
        <stp>300271</stp>
        <stp>12/31/2018</stp>
        <stp>1</stp>
        <tr r="J312" s="1"/>
      </tp>
      <tp>
        <v>-5.3834890991000002</v>
        <stp/>
        <stp>EM_S_FA_NETPROFITMARGIN</stp>
        <stp>3</stp>
        <stp>600221</stp>
        <stp>12/31/2018</stp>
        <stp>1</stp>
        <tr r="J2679" s="1"/>
      </tp>
      <tp>
        <v>9.9725073478000006</v>
        <stp/>
        <stp>EM_S_FA_NETPROFITMARGIN</stp>
        <stp>3</stp>
        <stp>000541</stp>
        <stp>12/31/2018</stp>
        <stp>1</stp>
        <tr r="J2586" s="1"/>
      </tp>
      <tp>
        <v>18.2375327072</v>
        <stp/>
        <stp>EM_S_FA_NETPROFITMARGIN</stp>
        <stp>3</stp>
        <stp>300571</stp>
        <stp>12/31/2018</stp>
        <stp>1</stp>
        <tr r="J939" s="1"/>
      </tp>
      <tp>
        <v>2.6479230775000002</v>
        <stp/>
        <stp>EM_S_FA_NETPROFITMARGIN</stp>
        <stp>3</stp>
        <stp>600521</stp>
        <stp>12/31/2018</stp>
        <stp>1</stp>
        <tr r="J489" s="1"/>
      </tp>
      <tp>
        <v>-130.7261984653</v>
        <stp/>
        <stp>EM_S_FA_NETPROFITMARGIN</stp>
        <stp>3</stp>
        <stp>300471</stp>
        <stp>12/31/2018</stp>
        <stp>1</stp>
        <tr r="J341" s="1"/>
      </tp>
      <tp>
        <v>-1107.4332716495001</v>
        <stp/>
        <stp>EM_S_FA_NETPROFITMARGIN</stp>
        <stp>3</stp>
        <stp>600421</stp>
        <stp>12/31/2018</stp>
        <stp>1</stp>
        <tr r="J1884" s="1"/>
      </tp>
      <tp>
        <v>-193.94086146309999</v>
        <stp/>
        <stp>EM_S_FA_NETPROFITMARGIN</stp>
        <stp>3</stp>
        <stp>600721</stp>
        <stp>12/31/2018</stp>
        <stp>1</stp>
        <tr r="J1284" s="1"/>
      </tp>
      <tp>
        <v>10.727893311700001</v>
        <stp/>
        <stp>EM_S_FA_NETPROFITMARGIN</stp>
        <stp>3</stp>
        <stp>300671</stp>
        <stp>12/31/2018</stp>
        <stp>1</stp>
        <tr r="J929" s="1"/>
      </tp>
      <tp>
        <v>-20.411219533699999</v>
        <stp/>
        <stp>EM_S_FA_NETPROFITMARGIN</stp>
        <stp>3</stp>
        <stp>600621</stp>
        <stp>12/31/2018</stp>
        <stp>1</stp>
        <tr r="J302" s="1"/>
      </tp>
      <tp>
        <v>10.417968693900001</v>
        <stp/>
        <stp>EM_S_FA_NETPROFITMARGIN</stp>
        <stp>3</stp>
        <stp>603920</stp>
        <stp>12/31/2018</stp>
        <stp>1</stp>
        <tr r="J354" s="1"/>
      </tp>
      <tp>
        <v>5.1332409818000002</v>
        <stp/>
        <stp>EM_S_FA_NETPROFITMARGIN</stp>
        <stp>3</stp>
        <stp>603020</stp>
        <stp>12/31/2018</stp>
        <stp>1</stp>
        <tr r="J1717" s="1"/>
      </tp>
      <tp>
        <v>6.7468359663999999</v>
        <stp/>
        <stp>EM_S_FA_NETPROFITMARGIN</stp>
        <stp>3</stp>
        <stp>603320</stp>
        <stp>12/31/2018</stp>
        <stp>1</stp>
        <tr r="J2682" s="1"/>
      </tp>
      <tp>
        <v>10.7290672886</v>
        <stp/>
        <stp>EM_S_FA_NETPROFITMARGIN</stp>
        <stp>3</stp>
        <stp>603520</stp>
        <stp>12/31/2018</stp>
        <stp>1</stp>
        <tr r="J419" s="1"/>
      </tp>
      <tp>
        <v>3.3812617435000001</v>
        <stp/>
        <stp>EM_S_FA_NETPROFITMARGIN</stp>
        <stp>3</stp>
        <stp>002840</stp>
        <stp>12/31/2018</stp>
        <stp>1</stp>
        <tr r="J1148" s="1"/>
      </tp>
      <tp>
        <v>3.6976093941000001</v>
        <stp/>
        <stp>EM_S_FA_NETPROFITMARGIN</stp>
        <stp>3</stp>
        <stp>002140</stp>
        <stp>12/31/2018</stp>
        <stp>1</stp>
        <tr r="J1194" s="1"/>
      </tp>
      <tp>
        <v>26.5926670343</v>
        <stp/>
        <stp>EM_S_FA_NETPROFITMARGIN</stp>
        <stp>3</stp>
        <stp>002040</stp>
        <stp>12/31/2018</stp>
        <stp>1</stp>
        <tr r="J2768" s="1"/>
      </tp>
      <tp>
        <v>5.6109750899000002</v>
        <stp/>
        <stp>EM_S_FA_NETPROFITMARGIN</stp>
        <stp>3</stp>
        <stp>002340</stp>
        <stp>12/31/2018</stp>
        <stp>1</stp>
        <tr r="J1005" s="1"/>
      </tp>
      <tp>
        <v>6.0774300999999999</v>
        <stp/>
        <stp>EM_S_FA_NETPROFITMARGIN</stp>
        <stp>3</stp>
        <stp>002240</stp>
        <stp>12/31/2018</stp>
        <stp>1</stp>
        <tr r="J1935" s="1"/>
      </tp>
      <tp>
        <v>10.447829732000001</v>
        <stp/>
        <stp>EM_S_FA_NETPROFITMARGIN</stp>
        <stp>3</stp>
        <stp>002540</stp>
        <stp>12/31/2018</stp>
        <stp>1</stp>
        <tr r="J2657" s="1"/>
      </tp>
      <tp>
        <v>19.806341977500001</v>
        <stp/>
        <stp>EM_S_FA_NETPROFITMARGIN</stp>
        <stp>3</stp>
        <stp>002440</stp>
        <stp>12/31/2018</stp>
        <stp>1</stp>
        <tr r="J1133" s="1"/>
      </tp>
      <tp>
        <v>2.6538376052000001</v>
        <stp/>
        <stp>EM_S_FA_NETPROFITMARGIN</stp>
        <stp>3</stp>
        <stp>002740</stp>
        <stp>12/31/2018</stp>
        <stp>1</stp>
        <tr r="J1265" s="1"/>
      </tp>
      <tp>
        <v>2.8460603264</v>
        <stp/>
        <stp>EM_S_FA_NETPROFITMARGIN</stp>
        <stp>3</stp>
        <stp>002640</stp>
        <stp>12/31/2018</stp>
        <stp>1</stp>
        <tr r="J3219" s="1"/>
      </tp>
      <tp>
        <v>18.994243258899999</v>
        <stp/>
        <stp>EM_S_FA_NETPROFITMARGIN</stp>
        <stp>3</stp>
        <stp>601020</stp>
        <stp>12/31/2018</stp>
        <stp>1</stp>
        <tr r="J1826" s="1"/>
      </tp>
      <tp>
        <v>5.3601056440999999</v>
        <stp/>
        <stp>EM_S_FA_NETPROFITMARGIN</stp>
        <stp>3</stp>
        <stp>600820</stp>
        <stp>12/31/2018</stp>
        <stp>1</stp>
        <tr r="J2521" s="1"/>
      </tp>
      <tp>
        <v>13.5477128483</v>
        <stp/>
        <stp>EM_S_FA_NETPROFITMARGIN</stp>
        <stp>3</stp>
        <stp>300170</stp>
        <stp>12/31/2018</stp>
        <stp>1</stp>
        <tr r="J2376" s="1"/>
      </tp>
      <tp>
        <v>7.874064916</v>
        <stp/>
        <stp>EM_S_FA_NETPROFITMARGIN</stp>
        <stp>3</stp>
        <stp>600120</stp>
        <stp>12/31/2018</stp>
        <stp>1</stp>
        <tr r="J3210" s="1"/>
      </tp>
      <tp>
        <v>12.9829484267</v>
        <stp/>
        <stp>EM_S_FA_NETPROFITMARGIN</stp>
        <stp>3</stp>
        <stp>000040</stp>
        <stp>12/31/2018</stp>
        <stp>1</stp>
        <tr r="J3327" s="1"/>
      </tp>
      <tp>
        <v>11.7343068604</v>
        <stp/>
        <stp>EM_S_FA_NETPROFITMARGIN</stp>
        <stp>3</stp>
        <stp>300070</stp>
        <stp>12/31/2018</stp>
        <stp>1</stp>
        <tr r="J2453" s="1"/>
      </tp>
      <tp>
        <v>13.912084224000001</v>
        <stp/>
        <stp>EM_S_FA_NETPROFITMARGIN</stp>
        <stp>3</stp>
        <stp>600020</stp>
        <stp>12/31/2018</stp>
        <stp>1</stp>
        <tr r="J1292" s="1"/>
      </tp>
      <tp>
        <v>-40.578825270199999</v>
        <stp/>
        <stp>EM_S_FA_NETPROFITMARGIN</stp>
        <stp>3</stp>
        <stp>300370</stp>
        <stp>12/31/2018</stp>
        <stp>1</stp>
        <tr r="J888" s="1"/>
      </tp>
      <tp>
        <v>1.8055905173</v>
        <stp/>
        <stp>EM_S_FA_NETPROFITMARGIN</stp>
        <stp>3</stp>
        <stp>600320</stp>
        <stp>12/31/2018</stp>
        <stp>1</stp>
        <tr r="J1504" s="1"/>
      </tp>
      <tp>
        <v>-10.677835933400001</v>
        <stp/>
        <stp>EM_S_FA_NETPROFITMARGIN</stp>
        <stp>3</stp>
        <stp>300270</stp>
        <stp>12/31/2018</stp>
        <stp>1</stp>
        <tr r="J966" s="1"/>
      </tp>
      <tp>
        <v>6.2384987496999997</v>
        <stp/>
        <stp>EM_S_FA_NETPROFITMARGIN</stp>
        <stp>3</stp>
        <stp>600220</stp>
        <stp>12/31/2018</stp>
        <stp>1</stp>
        <tr r="J1873" s="1"/>
      </tp>
      <tp>
        <v>10.2488273599</v>
        <stp/>
        <stp>EM_S_FA_NETPROFITMARGIN</stp>
        <stp>3</stp>
        <stp>000540</stp>
        <stp>12/31/2018</stp>
        <stp>1</stp>
        <tr r="J3448" s="1"/>
      </tp>
      <tp>
        <v>19.0454068439</v>
        <stp/>
        <stp>EM_S_FA_NETPROFITMARGIN</stp>
        <stp>3</stp>
        <stp>300570</stp>
        <stp>12/31/2018</stp>
        <stp>1</stp>
        <tr r="J674" s="1"/>
      </tp>
      <tp>
        <v>2.2538804932000001</v>
        <stp/>
        <stp>EM_S_FA_NETPROFITMARGIN</stp>
        <stp>3</stp>
        <stp>600520</stp>
        <stp>12/31/2018</stp>
        <stp>1</stp>
        <tr r="J3023" s="1"/>
      </tp>
      <tp>
        <v>24.258471193599998</v>
        <stp/>
        <stp>EM_S_FA_NETPROFITMARGIN</stp>
        <stp>3</stp>
        <stp>300470</stp>
        <stp>12/31/2018</stp>
        <stp>1</stp>
        <tr r="J1244" s="1"/>
      </tp>
      <tp>
        <v>9.4514639531999993</v>
        <stp/>
        <stp>EM_S_FA_NETPROFITMARGIN</stp>
        <stp>3</stp>
        <stp>600420</stp>
        <stp>12/31/2018</stp>
        <stp>1</stp>
        <tr r="J2530" s="1"/>
      </tp>
      <tp>
        <v>11.926930639</v>
        <stp/>
        <stp>EM_S_FA_NETPROFITMARGIN</stp>
        <stp>3</stp>
        <stp>600720</stp>
        <stp>12/31/2018</stp>
        <stp>1</stp>
        <tr r="J201" s="1"/>
      </tp>
      <tp>
        <v>10.073018924799999</v>
        <stp/>
        <stp>EM_S_FA_NETPROFITMARGIN</stp>
        <stp>3</stp>
        <stp>300670</stp>
        <stp>12/31/2018</stp>
        <stp>1</stp>
        <tr r="J3362" s="1"/>
      </tp>
      <tp>
        <v>133.22970303779999</v>
        <stp/>
        <stp>EM_S_FA_NETPROFITMARGIN</stp>
        <stp>3</stp>
        <stp>600620</stp>
        <stp>12/31/2018</stp>
        <stp>1</stp>
        <tr r="J1374" s="1"/>
      </tp>
      <tp>
        <v>11.8200884267</v>
        <stp/>
        <stp>EM_S_FA_NETPROFITMARGIN</stp>
        <stp>3</stp>
        <stp>603823</stp>
        <stp>12/31/2018</stp>
        <stp>1</stp>
        <tr r="J322" s="1"/>
      </tp>
      <tp>
        <v>3.5024341931</v>
        <stp/>
        <stp>EM_S_FA_NETPROFITMARGIN</stp>
        <stp>3</stp>
        <stp>603123</stp>
        <stp>12/31/2018</stp>
        <stp>1</stp>
        <tr r="J1396" s="1"/>
      </tp>
      <tp>
        <v>32.260593309800001</v>
        <stp/>
        <stp>EM_S_FA_NETPROFITMARGIN</stp>
        <stp>3</stp>
        <stp>603023</stp>
        <stp>12/31/2018</stp>
        <stp>1</stp>
        <tr r="J2040" s="1"/>
      </tp>
      <tp>
        <v>25.724551172000002</v>
        <stp/>
        <stp>EM_S_FA_NETPROFITMARGIN</stp>
        <stp>3</stp>
        <stp>603323</stp>
        <stp>12/31/2018</stp>
        <stp>1</stp>
        <tr r="J2888" s="1"/>
      </tp>
      <tp>
        <v>1.0318449001000001</v>
        <stp/>
        <stp>EM_S_FA_NETPROFITMARGIN</stp>
        <stp>3</stp>
        <stp>603223</stp>
        <stp>12/31/2018</stp>
        <stp>1</stp>
        <tr r="J3307" s="1"/>
      </tp>
      <tp>
        <v>15.7788250958</v>
        <stp/>
        <stp>EM_S_FA_NETPROFITMARGIN</stp>
        <stp>3</stp>
        <stp>002843</stp>
        <stp>12/31/2018</stp>
        <stp>1</stp>
        <tr r="J3239" s="1"/>
      </tp>
      <tp>
        <v>-499.3386507381</v>
        <stp/>
        <stp>EM_S_FA_NETPROFITMARGIN</stp>
        <stp>3</stp>
        <stp>002143</stp>
        <stp>12/31/2018</stp>
        <stp>1</stp>
        <tr r="J3411" s="1"/>
      </tp>
      <tp>
        <v>7.6581716444000003</v>
        <stp/>
        <stp>EM_S_FA_NETPROFITMARGIN</stp>
        <stp>3</stp>
        <stp>002043</stp>
        <stp>12/31/2018</stp>
        <stp>1</stp>
        <tr r="J656" s="1"/>
      </tp>
      <tp>
        <v>-76.671987966800003</v>
        <stp/>
        <stp>EM_S_FA_NETPROFITMARGIN</stp>
        <stp>3</stp>
        <stp>002343</stp>
        <stp>12/31/2018</stp>
        <stp>1</stp>
        <tr r="J1031" s="1"/>
      </tp>
      <tp>
        <v>6.6625520485000003</v>
        <stp/>
        <stp>EM_S_FA_NETPROFITMARGIN</stp>
        <stp>3</stp>
        <stp>002243</stp>
        <stp>12/31/2018</stp>
        <stp>1</stp>
        <tr r="J1825" s="1"/>
      </tp>
      <tp>
        <v>7.1562796841000003</v>
        <stp/>
        <stp>EM_S_FA_NETPROFITMARGIN</stp>
        <stp>3</stp>
        <stp>002543</stp>
        <stp>12/31/2018</stp>
        <stp>1</stp>
        <tr r="J3167" s="1"/>
      </tp>
      <tp>
        <v>4.2664352551000002</v>
        <stp/>
        <stp>EM_S_FA_NETPROFITMARGIN</stp>
        <stp>3</stp>
        <stp>002443</stp>
        <stp>12/31/2018</stp>
        <stp>1</stp>
        <tr r="J1085" s="1"/>
      </tp>
      <tp>
        <v>2.5517055303</v>
        <stp/>
        <stp>EM_S_FA_NETPROFITMARGIN</stp>
        <stp>3</stp>
        <stp>002743</stp>
        <stp>12/31/2018</stp>
        <stp>1</stp>
        <tr r="J1568" s="1"/>
      </tp>
      <tp>
        <v>17.156010428199998</v>
        <stp/>
        <stp>EM_S_FA_NETPROFITMARGIN</stp>
        <stp>3</stp>
        <stp>002643</stp>
        <stp>12/31/2018</stp>
        <stp>1</stp>
        <tr r="J561" s="1"/>
      </tp>
      <tp>
        <v>22.860344568999999</v>
        <stp/>
        <stp>EM_S_FA_NETPROFITMARGIN</stp>
        <stp>3</stp>
        <stp>600823</stp>
        <stp>12/31/2018</stp>
        <stp>1</stp>
        <tr r="J1206" s="1"/>
      </tp>
      <tp>
        <v>-237.85087960089999</v>
        <stp/>
        <stp>EM_S_FA_NETPROFITMARGIN</stp>
        <stp>3</stp>
        <stp>300173</stp>
        <stp>12/31/2018</stp>
        <stp>1</stp>
        <tr r="J450" s="1"/>
      </tp>
      <tp>
        <v>10.810397656499999</v>
        <stp/>
        <stp>EM_S_FA_NETPROFITMARGIN</stp>
        <stp>3</stp>
        <stp>600123</stp>
        <stp>12/31/2018</stp>
        <stp>1</stp>
        <tr r="J2399" s="1"/>
      </tp>
      <tp>
        <v>12.3801933417</v>
        <stp/>
        <stp>EM_S_FA_NETPROFITMARGIN</stp>
        <stp>3</stp>
        <stp>000043</stp>
        <stp>12/31/2018</stp>
        <stp>1</stp>
        <tr r="J4" s="1"/>
      </tp>
      <tp>
        <v>9.6371029164999999</v>
        <stp/>
        <stp>EM_S_FA_NETPROFITMARGIN</stp>
        <stp>3</stp>
        <stp>300073</stp>
        <stp>12/31/2018</stp>
        <stp>1</stp>
        <tr r="J2284" s="1"/>
      </tp>
      <tp>
        <v>7.6424128253000001</v>
        <stp/>
        <stp>EM_S_FA_NETPROFITMARGIN</stp>
        <stp>3</stp>
        <stp>600023</stp>
        <stp>12/31/2018</stp>
        <stp>1</stp>
        <tr r="J2977" s="1"/>
      </tp>
      <tp>
        <v>10.1775058359</v>
        <stp/>
        <stp>EM_S_FA_NETPROFITMARGIN</stp>
        <stp>3</stp>
        <stp>300373</stp>
        <stp>12/31/2018</stp>
        <stp>1</stp>
        <tr r="J1293" s="1"/>
      </tp>
      <tp>
        <v>18.124278888500001</v>
        <stp/>
        <stp>EM_S_FA_NETPROFITMARGIN</stp>
        <stp>3</stp>
        <stp>600323</stp>
        <stp>12/31/2018</stp>
        <stp>1</stp>
        <tr r="J1110" s="1"/>
      </tp>
      <tp>
        <v>9.0810120585000007</v>
        <stp/>
        <stp>EM_S_FA_NETPROFITMARGIN</stp>
        <stp>3</stp>
        <stp>300273</stp>
        <stp>12/31/2018</stp>
        <stp>1</stp>
        <tr r="J1936" s="1"/>
      </tp>
      <tp>
        <v>2.6629815300000002</v>
        <stp/>
        <stp>EM_S_FA_NETPROFITMARGIN</stp>
        <stp>3</stp>
        <stp>600223</stp>
        <stp>12/31/2018</stp>
        <stp>1</stp>
        <tr r="J86" s="1"/>
      </tp>
      <tp>
        <v>4.7677544863000003</v>
        <stp/>
        <stp>EM_S_FA_NETPROFITMARGIN</stp>
        <stp>3</stp>
        <stp>000543</stp>
        <stp>12/31/2018</stp>
        <stp>1</stp>
        <tr r="J2463" s="1"/>
      </tp>
      <tp>
        <v>2.0891030547999998</v>
        <stp/>
        <stp>EM_S_FA_NETPROFITMARGIN</stp>
        <stp>3</stp>
        <stp>300573</stp>
        <stp>12/31/2018</stp>
        <stp>1</stp>
        <tr r="J25" s="1"/>
      </tp>
      <tp>
        <v>4.7952942585000002</v>
        <stp/>
        <stp>EM_S_FA_NETPROFITMARGIN</stp>
        <stp>3</stp>
        <stp>600523</stp>
        <stp>12/31/2018</stp>
        <stp>1</stp>
        <tr r="J688" s="1"/>
      </tp>
      <tp>
        <v>3.5324254522</v>
        <stp/>
        <stp>EM_S_FA_NETPROFITMARGIN</stp>
        <stp>3</stp>
        <stp>300473</stp>
        <stp>12/31/2018</stp>
        <stp>1</stp>
        <tr r="J898" s="1"/>
      </tp>
      <tp>
        <v>18.705526592199998</v>
        <stp/>
        <stp>EM_S_FA_NETPROFITMARGIN</stp>
        <stp>3</stp>
        <stp>600423</stp>
        <stp>12/31/2018</stp>
        <stp>1</stp>
        <tr r="J2841" s="1"/>
      </tp>
      <tp>
        <v>4.7035230791</v>
        <stp/>
        <stp>EM_S_FA_NETPROFITMARGIN</stp>
        <stp>3</stp>
        <stp>600723</stp>
        <stp>12/31/2018</stp>
        <stp>1</stp>
        <tr r="J2405" s="1"/>
      </tp>
      <tp>
        <v>16.269813981599999</v>
        <stp/>
        <stp>EM_S_FA_NETPROFITMARGIN</stp>
        <stp>3</stp>
        <stp>300673</stp>
        <stp>12/31/2018</stp>
        <stp>1</stp>
        <tr r="J3263" s="1"/>
      </tp>
      <tp>
        <v>3.9010989226000001</v>
        <stp/>
        <stp>EM_S_FA_NETPROFITMARGIN</stp>
        <stp>3</stp>
        <stp>600623</stp>
        <stp>12/31/2018</stp>
        <stp>1</stp>
        <tr r="J3024" s="1"/>
      </tp>
      <tp>
        <v>5.2571223303999997</v>
        <stp/>
        <stp>EM_S_FA_NETPROFITMARGIN</stp>
        <stp>3</stp>
        <stp>603922</stp>
        <stp>12/31/2018</stp>
        <stp>1</stp>
        <tr r="J2100" s="1"/>
      </tp>
      <tp>
        <v>5.4112600147999999</v>
        <stp/>
        <stp>EM_S_FA_NETPROFITMARGIN</stp>
        <stp>3</stp>
        <stp>603822</stp>
        <stp>12/31/2018</stp>
        <stp>1</stp>
        <tr r="J1362" s="1"/>
      </tp>
      <tp>
        <v>4.7055809004000002</v>
        <stp/>
        <stp>EM_S_FA_NETPROFITMARGIN</stp>
        <stp>3</stp>
        <stp>603022</stp>
        <stp>12/31/2018</stp>
        <stp>1</stp>
        <tr r="J185" s="1"/>
      </tp>
      <tp>
        <v>3.9098619787</v>
        <stp/>
        <stp>EM_S_FA_NETPROFITMARGIN</stp>
        <stp>3</stp>
        <stp>603322</stp>
        <stp>12/31/2018</stp>
        <stp>1</stp>
        <tr r="J3308" s="1"/>
      </tp>
      <tp>
        <v>6.1681453999000002</v>
        <stp/>
        <stp>EM_S_FA_NETPROFITMARGIN</stp>
        <stp>3</stp>
        <stp>603222</stp>
        <stp>12/31/2018</stp>
        <stp>1</stp>
        <tr r="J29" s="1"/>
      </tp>
      <tp>
        <v>7.9121552907000003</v>
        <stp/>
        <stp>EM_S_FA_NETPROFITMARGIN</stp>
        <stp>3</stp>
        <stp>603722</stp>
        <stp>12/31/2018</stp>
        <stp>1</stp>
        <tr r="J673" s="1"/>
      </tp>
      <tp>
        <v>6.9904847025999999</v>
        <stp/>
        <stp>EM_S_FA_NETPROFITMARGIN</stp>
        <stp>3</stp>
        <stp>002842</stp>
        <stp>12/31/2018</stp>
        <stp>1</stp>
        <tr r="J2843" s="1"/>
      </tp>
      <tp>
        <v>38.785060813699999</v>
        <stp/>
        <stp>EM_S_FA_NETPROFITMARGIN</stp>
        <stp>3</stp>
        <stp>002142</stp>
        <stp>12/31/2018</stp>
        <stp>1</stp>
        <tr r="J303" s="1"/>
      </tp>
      <tp>
        <v>5.2664146092999999</v>
        <stp/>
        <stp>EM_S_FA_NETPROFITMARGIN</stp>
        <stp>3</stp>
        <stp>002042</stp>
        <stp>12/31/2018</stp>
        <stp>1</stp>
        <tr r="J872" s="1"/>
      </tp>
      <tp>
        <v>1.0572773189</v>
        <stp/>
        <stp>EM_S_FA_NETPROFITMARGIN</stp>
        <stp>3</stp>
        <stp>002342</stp>
        <stp>12/31/2018</stp>
        <stp>1</stp>
        <tr r="J2594" s="1"/>
      </tp>
      <tp>
        <v>9.0792995063999999</v>
        <stp/>
        <stp>EM_S_FA_NETPROFITMARGIN</stp>
        <stp>3</stp>
        <stp>002242</stp>
        <stp>12/31/2018</stp>
        <stp>1</stp>
        <tr r="J504" s="1"/>
      </tp>
      <tp>
        <v>6.2067540135000003</v>
        <stp/>
        <stp>EM_S_FA_NETPROFITMARGIN</stp>
        <stp>3</stp>
        <stp>002542</stp>
        <stp>12/31/2018</stp>
        <stp>1</stp>
        <tr r="J2894" s="1"/>
      </tp>
      <tp>
        <v>4.3011089278999997</v>
        <stp/>
        <stp>EM_S_FA_NETPROFITMARGIN</stp>
        <stp>3</stp>
        <stp>002442</stp>
        <stp>12/31/2018</stp>
        <stp>1</stp>
        <tr r="J3101" s="1"/>
      </tp>
      <tp>
        <v>4.9042458742999999</v>
        <stp/>
        <stp>EM_S_FA_NETPROFITMARGIN</stp>
        <stp>3</stp>
        <stp>002742</stp>
        <stp>12/31/2018</stp>
        <stp>1</stp>
        <tr r="J3194" s="1"/>
      </tp>
      <tp>
        <v>-49.825665133000001</v>
        <stp/>
        <stp>EM_S_FA_NETPROFITMARGIN</stp>
        <stp>3</stp>
        <stp>002642</stp>
        <stp>12/31/2018</stp>
        <stp>1</stp>
        <tr r="J2603" s="1"/>
      </tp>
      <tp>
        <v>19.047311674300001</v>
        <stp/>
        <stp>EM_S_FA_NETPROFITMARGIN</stp>
        <stp>3</stp>
        <stp>601222</stp>
        <stp>12/31/2018</stp>
        <stp>1</stp>
        <tr r="J2421" s="1"/>
      </tp>
      <tp>
        <v>0.82539267709999997</v>
        <stp/>
        <stp>EM_S_FA_NETPROFITMARGIN</stp>
        <stp>3</stp>
        <stp>600822</stp>
        <stp>12/31/2018</stp>
        <stp>1</stp>
        <tr r="J1393" s="1"/>
      </tp>
      <tp>
        <v>15.786618157099999</v>
        <stp/>
        <stp>EM_S_FA_NETPROFITMARGIN</stp>
        <stp>3</stp>
        <stp>300172</stp>
        <stp>12/31/2018</stp>
        <stp>1</stp>
        <tr r="J2415" s="1"/>
      </tp>
      <tp>
        <v>-14.8324682582</v>
        <stp/>
        <stp>EM_S_FA_NETPROFITMARGIN</stp>
        <stp>3</stp>
        <stp>600122</stp>
        <stp>12/31/2018</stp>
        <stp>1</stp>
        <tr r="J3190" s="1"/>
      </tp>
      <tp>
        <v>5.2246689819999999</v>
        <stp/>
        <stp>EM_S_FA_NETPROFITMARGIN</stp>
        <stp>3</stp>
        <stp>000042</stp>
        <stp>12/31/2018</stp>
        <stp>1</stp>
        <tr r="J2432" s="1"/>
      </tp>
      <tp>
        <v>3.8247784909</v>
        <stp/>
        <stp>EM_S_FA_NETPROFITMARGIN</stp>
        <stp>3</stp>
        <stp>300072</stp>
        <stp>12/31/2018</stp>
        <stp>1</stp>
        <tr r="J3283" s="1"/>
      </tp>
      <tp>
        <v>4.1830393352000002</v>
        <stp/>
        <stp>EM_S_FA_NETPROFITMARGIN</stp>
        <stp>3</stp>
        <stp>600022</stp>
        <stp>12/31/2018</stp>
        <stp>1</stp>
        <tr r="J2738" s="1"/>
      </tp>
      <tp>
        <v>-2534.1181563033001</v>
        <stp/>
        <stp>EM_S_FA_NETPROFITMARGIN</stp>
        <stp>3</stp>
        <stp>300372</stp>
        <stp>12/31/2018</stp>
        <stp>1</stp>
        <tr r="J2283" s="1"/>
      </tp>
      <tp>
        <v>4.2346000997999997</v>
        <stp/>
        <stp>EM_S_FA_NETPROFITMARGIN</stp>
        <stp>3</stp>
        <stp>600322</stp>
        <stp>12/31/2018</stp>
        <stp>1</stp>
        <tr r="J2723" s="1"/>
      </tp>
      <tp>
        <v>38.766793661000001</v>
        <stp/>
        <stp>EM_S_FA_NETPROFITMARGIN</stp>
        <stp>3</stp>
        <stp>300272</stp>
        <stp>12/31/2018</stp>
        <stp>1</stp>
        <tr r="J3189" s="1"/>
      </tp>
      <tp>
        <v>-9.6634317690000007</v>
        <stp/>
        <stp>EM_S_FA_NETPROFITMARGIN</stp>
        <stp>3</stp>
        <stp>600222</stp>
        <stp>12/31/2018</stp>
        <stp>1</stp>
        <tr r="J1015" s="1"/>
      </tp>
      <tp>
        <v>0</v>
        <stp/>
        <stp>EM_S_FA_NETPROFITMARGIN</stp>
        <stp>3</stp>
        <stp>000542</stp>
        <stp>12/31/2018</stp>
        <stp>1</stp>
        <tr r="J3449" s="1"/>
      </tp>
      <tp>
        <v>23.6859644536</v>
        <stp/>
        <stp>EM_S_FA_NETPROFITMARGIN</stp>
        <stp>3</stp>
        <stp>300572</stp>
        <stp>12/31/2018</stp>
        <stp>1</stp>
        <tr r="J1863" s="1"/>
      </tp>
      <tp>
        <v>6.2800591487000004</v>
        <stp/>
        <stp>EM_S_FA_NETPROFITMARGIN</stp>
        <stp>3</stp>
        <stp>600522</stp>
        <stp>12/31/2018</stp>
        <stp>1</stp>
        <tr r="J2201" s="1"/>
      </tp>
      <tp>
        <v>13.3803975137</v>
        <stp/>
        <stp>EM_S_FA_NETPROFITMARGIN</stp>
        <stp>3</stp>
        <stp>300472</stp>
        <stp>12/31/2018</stp>
        <stp>1</stp>
        <tr r="J2439" s="1"/>
      </tp>
      <tp>
        <v>4.8111342496000002</v>
        <stp/>
        <stp>EM_S_FA_NETPROFITMARGIN</stp>
        <stp>3</stp>
        <stp>600422</stp>
        <stp>12/31/2018</stp>
        <stp>1</stp>
        <tr r="J333" s="1"/>
      </tp>
      <tp>
        <v>11.3582516935</v>
        <stp/>
        <stp>EM_S_FA_NETPROFITMARGIN</stp>
        <stp>3</stp>
        <stp>600722</stp>
        <stp>12/31/2018</stp>
        <stp>1</stp>
        <tr r="J2048" s="1"/>
      </tp>
      <tp>
        <v>11.2147955079</v>
        <stp/>
        <stp>EM_S_FA_NETPROFITMARGIN</stp>
        <stp>3</stp>
        <stp>300672</stp>
        <stp>12/31/2018</stp>
        <stp>1</stp>
        <tr r="J1657" s="1"/>
      </tp>
      <tp>
        <v>24.583974535900001</v>
        <stp/>
        <stp>EM_S_FA_NETPROFITMARGIN</stp>
        <stp>3</stp>
        <stp>600622</stp>
        <stp>12/31/2018</stp>
        <stp>1</stp>
        <tr r="J3247" s="1"/>
      </tp>
      <tp>
        <v>1.0813908532000001</v>
        <stp/>
        <stp>EM_S_FA_NETPROFITMARGIN</stp>
        <stp>3</stp>
        <stp>603825</stp>
        <stp>12/31/2018</stp>
        <stp>1</stp>
        <tr r="J901" s="1"/>
      </tp>
      <tp>
        <v>34.477519080699999</v>
        <stp/>
        <stp>EM_S_FA_NETPROFITMARGIN</stp>
        <stp>3</stp>
        <stp>603025</stp>
        <stp>12/31/2018</stp>
        <stp>1</stp>
        <tr r="J2951" s="1"/>
      </tp>
      <tp>
        <v>4.3573418977999996</v>
        <stp/>
        <stp>EM_S_FA_NETPROFITMARGIN</stp>
        <stp>3</stp>
        <stp>603225</stp>
        <stp>12/31/2018</stp>
        <stp>1</stp>
        <tr r="J3262" s="1"/>
      </tp>
      <tp>
        <v>5.0557203757</v>
        <stp/>
        <stp>EM_S_FA_NETPROFITMARGIN</stp>
        <stp>3</stp>
        <stp>603725</stp>
        <stp>12/31/2018</stp>
        <stp>1</stp>
        <tr r="J3230" s="1"/>
      </tp>
      <tp>
        <v>2.3950440601</v>
        <stp/>
        <stp>EM_S_FA_NETPROFITMARGIN</stp>
        <stp>3</stp>
        <stp>002845</stp>
        <stp>12/31/2018</stp>
        <stp>1</stp>
        <tr r="J1899" s="1"/>
      </tp>
      <tp>
        <v>13.0481978619</v>
        <stp/>
        <stp>EM_S_FA_NETPROFITMARGIN</stp>
        <stp>3</stp>
        <stp>002145</stp>
        <stp>12/31/2018</stp>
        <stp>1</stp>
        <tr r="J805" s="1"/>
      </tp>
      <tp>
        <v>-5.4578441247000002</v>
        <stp/>
        <stp>EM_S_FA_NETPROFITMARGIN</stp>
        <stp>3</stp>
        <stp>002045</stp>
        <stp>12/31/2018</stp>
        <stp>1</stp>
        <tr r="J63" s="1"/>
      </tp>
      <tp>
        <v>2.2096191316999998</v>
        <stp/>
        <stp>EM_S_FA_NETPROFITMARGIN</stp>
        <stp>3</stp>
        <stp>002345</stp>
        <stp>12/31/2018</stp>
        <stp>1</stp>
        <tr r="J2799" s="1"/>
      </tp>
      <tp>
        <v>8.7419651318000007</v>
        <stp/>
        <stp>EM_S_FA_NETPROFITMARGIN</stp>
        <stp>3</stp>
        <stp>002245</stp>
        <stp>12/31/2018</stp>
        <stp>1</stp>
        <tr r="J2022" s="1"/>
      </tp>
      <tp>
        <v>20.165814108599999</v>
        <stp/>
        <stp>EM_S_FA_NETPROFITMARGIN</stp>
        <stp>3</stp>
        <stp>002545</stp>
        <stp>12/31/2018</stp>
        <stp>1</stp>
        <tr r="J996" s="1"/>
      </tp>
      <tp>
        <v>-215.31872479040001</v>
        <stp/>
        <stp>EM_S_FA_NETPROFITMARGIN</stp>
        <stp>3</stp>
        <stp>002445</stp>
        <stp>12/31/2018</stp>
        <stp>1</stp>
        <tr r="J3228" s="1"/>
      </tp>
      <tp>
        <v>4.0547571479000002</v>
        <stp/>
        <stp>EM_S_FA_NETPROFITMARGIN</stp>
        <stp>3</stp>
        <stp>002745</stp>
        <stp>12/31/2018</stp>
        <stp>1</stp>
        <tr r="J1165" s="1"/>
      </tp>
      <tp>
        <v>8.3560007562000003</v>
        <stp/>
        <stp>EM_S_FA_NETPROFITMARGIN</stp>
        <stp>3</stp>
        <stp>002645</stp>
        <stp>12/31/2018</stp>
        <stp>1</stp>
        <tr r="J1368" s="1"/>
      </tp>
      <tp>
        <v>27.836631158399999</v>
        <stp/>
        <stp>EM_S_FA_NETPROFITMARGIN</stp>
        <stp>3</stp>
        <stp>601225</stp>
        <stp>12/31/2018</stp>
        <stp>1</stp>
        <tr r="J1210" s="1"/>
      </tp>
      <tp>
        <v>2.1737698425</v>
        <stp/>
        <stp>EM_S_FA_NETPROFITMARGIN</stp>
        <stp>3</stp>
        <stp>600825</stp>
        <stp>12/31/2018</stp>
        <stp>1</stp>
        <tr r="J1333" s="1"/>
      </tp>
      <tp>
        <v>16.737065532500001</v>
        <stp/>
        <stp>EM_S_FA_NETPROFITMARGIN</stp>
        <stp>3</stp>
        <stp>300175</stp>
        <stp>12/31/2018</stp>
        <stp>1</stp>
        <tr r="J630" s="1"/>
      </tp>
      <tp>
        <v>3.2535371329</v>
        <stp/>
        <stp>EM_S_FA_NETPROFITMARGIN</stp>
        <stp>3</stp>
        <stp>600125</stp>
        <stp>12/31/2018</stp>
        <stp>1</stp>
        <tr r="J2904" s="1"/>
      </tp>
      <tp>
        <v>-4.8966381743999996</v>
        <stp/>
        <stp>EM_S_FA_NETPROFITMARGIN</stp>
        <stp>3</stp>
        <stp>000045</stp>
        <stp>12/31/2018</stp>
        <stp>1</stp>
        <tr r="J967" s="1"/>
      </tp>
      <tp>
        <v>8.796496866</v>
        <stp/>
        <stp>EM_S_FA_NETPROFITMARGIN</stp>
        <stp>3</stp>
        <stp>300075</stp>
        <stp>12/31/2018</stp>
        <stp>1</stp>
        <tr r="J2077" s="1"/>
      </tp>
      <tp>
        <v>38.993009642899999</v>
        <stp/>
        <stp>EM_S_FA_NETPROFITMARGIN</stp>
        <stp>3</stp>
        <stp>600025</stp>
        <stp>12/31/2018</stp>
        <stp>1</stp>
        <tr r="J835" s="1"/>
      </tp>
      <tp>
        <v>8.7197632593000005</v>
        <stp/>
        <stp>EM_S_FA_NETPROFITMARGIN</stp>
        <stp>3</stp>
        <stp>300375</stp>
        <stp>12/31/2018</stp>
        <stp>1</stp>
        <tr r="J3267" s="1"/>
      </tp>
      <tp>
        <v>10.1346011334</v>
        <stp/>
        <stp>EM_S_FA_NETPROFITMARGIN</stp>
        <stp>3</stp>
        <stp>600325</stp>
        <stp>12/31/2018</stp>
        <stp>1</stp>
        <tr r="J1081" s="1"/>
      </tp>
      <tp>
        <v>-23.263914002100002</v>
        <stp/>
        <stp>EM_S_FA_NETPROFITMARGIN</stp>
        <stp>3</stp>
        <stp>300275</stp>
        <stp>12/31/2018</stp>
        <stp>1</stp>
        <tr r="J386" s="1"/>
      </tp>
      <tp>
        <v>-11.595023296100001</v>
        <stp/>
        <stp>EM_S_FA_NETPROFITMARGIN</stp>
        <stp>3</stp>
        <stp>600225</stp>
        <stp>12/31/2018</stp>
        <stp>1</stp>
        <tr r="J2872" s="1"/>
      </tp>
      <tp>
        <v>5.5021977014000001</v>
        <stp/>
        <stp>EM_S_FA_NETPROFITMARGIN</stp>
        <stp>3</stp>
        <stp>000545</stp>
        <stp>12/31/2018</stp>
        <stp>1</stp>
        <tr r="J2486" s="1"/>
      </tp>
      <tp>
        <v>12.6774315069</v>
        <stp/>
        <stp>EM_S_FA_NETPROFITMARGIN</stp>
        <stp>3</stp>
        <stp>300575</stp>
        <stp>12/31/2018</stp>
        <stp>1</stp>
        <tr r="J3269" s="1"/>
      </tp>
      <tp>
        <v>-0.19590168899999999</v>
        <stp/>
        <stp>EM_S_FA_NETPROFITMARGIN</stp>
        <stp>3</stp>
        <stp>600525</stp>
        <stp>12/31/2018</stp>
        <stp>1</stp>
        <tr r="J831" s="1"/>
      </tp>
      <tp>
        <v>7.6373256523000004</v>
        <stp/>
        <stp>EM_S_FA_NETPROFITMARGIN</stp>
        <stp>3</stp>
        <stp>300475</stp>
        <stp>12/31/2018</stp>
        <stp>1</stp>
        <tr r="J864" s="1"/>
      </tp>
      <tp>
        <v>-1.0285749104999999</v>
        <stp/>
        <stp>EM_S_FA_NETPROFITMARGIN</stp>
        <stp>3</stp>
        <stp>600425</stp>
        <stp>12/31/2018</stp>
        <stp>1</stp>
        <tr r="J935" s="1"/>
      </tp>
      <tp>
        <v>1.2912702773</v>
        <stp/>
        <stp>EM_S_FA_NETPROFITMARGIN</stp>
        <stp>3</stp>
        <stp>600725</stp>
        <stp>12/31/2018</stp>
        <stp>1</stp>
        <tr r="J1728" s="1"/>
      </tp>
      <tp>
        <v>8.3200418404000001</v>
        <stp/>
        <stp>EM_S_FA_NETPROFITMARGIN</stp>
        <stp>3</stp>
        <stp>300675</stp>
        <stp>12/31/2018</stp>
        <stp>1</stp>
        <tr r="J3339" s="1"/>
      </tp>
      <tp>
        <v>4.6905104713999997</v>
        <stp/>
        <stp>EM_S_FA_NETPROFITMARGIN</stp>
        <stp>3</stp>
        <stp>600625</stp>
        <stp>12/31/2018</stp>
        <stp>1</stp>
        <tr r="J2307" s="1"/>
      </tp>
      <tp>
        <v>14.606860707899999</v>
        <stp/>
        <stp>EM_S_FA_NETPROFITMARGIN</stp>
        <stp>3</stp>
        <stp>002144</stp>
        <stp>12/31/2018</stp>
        <stp>1</stp>
        <tr r="J2202" s="1"/>
      </tp>
      <tp>
        <v>11.500766050699999</v>
        <stp/>
        <stp>EM_S_FA_NETPROFITMARGIN</stp>
        <stp>3</stp>
        <stp>002044</stp>
        <stp>12/31/2018</stp>
        <stp>1</stp>
        <tr r="J2450" s="1"/>
      </tp>
      <tp>
        <v>19.1054003906</v>
        <stp/>
        <stp>EM_S_FA_NETPROFITMARGIN</stp>
        <stp>3</stp>
        <stp>002344</stp>
        <stp>12/31/2018</stp>
        <stp>1</stp>
        <tr r="J2491" s="1"/>
      </tp>
      <tp>
        <v>14.9284584361</v>
        <stp/>
        <stp>EM_S_FA_NETPROFITMARGIN</stp>
        <stp>3</stp>
        <stp>002244</stp>
        <stp>12/31/2018</stp>
        <stp>1</stp>
        <tr r="J1120" s="1"/>
      </tp>
      <tp>
        <v>0.4053768109</v>
        <stp/>
        <stp>EM_S_FA_NETPROFITMARGIN</stp>
        <stp>3</stp>
        <stp>002544</stp>
        <stp>12/31/2018</stp>
        <stp>1</stp>
        <tr r="J1046" s="1"/>
      </tp>
      <tp>
        <v>12.392704077799999</v>
        <stp/>
        <stp>EM_S_FA_NETPROFITMARGIN</stp>
        <stp>3</stp>
        <stp>002444</stp>
        <stp>12/31/2018</stp>
        <stp>1</stp>
        <tr r="J1624" s="1"/>
      </tp>
      <tp>
        <v>13.639586423900001</v>
        <stp/>
        <stp>EM_S_FA_NETPROFITMARGIN</stp>
        <stp>3</stp>
        <stp>002644</stp>
        <stp>12/31/2018</stp>
        <stp>1</stp>
        <tr r="J2710" s="1"/>
      </tp>
      <tp>
        <v>7.3882112201999997</v>
        <stp/>
        <stp>EM_S_FA_NETPROFITMARGIN</stp>
        <stp>3</stp>
        <stp>600824</stp>
        <stp>12/31/2018</stp>
        <stp>1</stp>
        <tr r="J2064" s="1"/>
      </tp>
      <tp>
        <v>6.188842653</v>
        <stp/>
        <stp>EM_S_FA_NETPROFITMARGIN</stp>
        <stp>3</stp>
        <stp>300174</stp>
        <stp>12/31/2018</stp>
        <stp>1</stp>
        <tr r="J701" s="1"/>
      </tp>
      <tp>
        <v>2.3411050924999999</v>
        <stp/>
        <stp>EM_S_FA_NETPROFITMARGIN</stp>
        <stp>3</stp>
        <stp>300074</stp>
        <stp>12/31/2018</stp>
        <stp>1</stp>
        <tr r="J1462" s="1"/>
      </tp>
      <tp>
        <v>9.1779678027999996</v>
        <stp/>
        <stp>EM_S_FA_NETPROFITMARGIN</stp>
        <stp>3</stp>
        <stp>300374</stp>
        <stp>12/31/2018</stp>
        <stp>1</stp>
        <tr r="J2349" s="1"/>
      </tp>
      <tp>
        <v>7.8821164198</v>
        <stp/>
        <stp>EM_S_FA_NETPROFITMARGIN</stp>
        <stp>3</stp>
        <stp>300274</stp>
        <stp>12/31/2018</stp>
        <stp>1</stp>
        <tr r="J1283" s="1"/>
      </tp>
      <tp>
        <v>40.453084422300002</v>
        <stp/>
        <stp>EM_S_FA_NETPROFITMARGIN</stp>
        <stp>3</stp>
        <stp>000544</stp>
        <stp>12/31/2018</stp>
        <stp>1</stp>
        <tr r="J1160" s="1"/>
      </tp>
      <tp>
        <v>35.820910043399998</v>
        <stp/>
        <stp>EM_S_FA_NETPROFITMARGIN</stp>
        <stp>3</stp>
        <stp>300474</stp>
        <stp>12/31/2018</stp>
        <stp>1</stp>
        <tr r="J392" s="1"/>
      </tp>
      <tp>
        <v>17.742497180099999</v>
        <stp/>
        <stp>EM_S_FA_NETPROFITMARGIN</stp>
        <stp>3</stp>
        <stp>600724</stp>
        <stp>12/31/2018</stp>
        <stp>1</stp>
        <tr r="J1617" s="1"/>
      </tp>
      <tp>
        <v>4.9147273107</v>
        <stp/>
        <stp>EM_S_FA_NETPROFITMARGIN</stp>
        <stp>3</stp>
        <stp>600624</stp>
        <stp>12/31/2018</stp>
        <stp>1</stp>
        <tr r="J437" s="1"/>
      </tp>
      <tp>
        <v>26.464693555299998</v>
        <stp/>
        <stp>EM_S_FA_NETPROFITMARGIN</stp>
        <stp>3</stp>
        <stp>603127</stp>
        <stp>12/31/2018</stp>
        <stp>1</stp>
        <tr r="J1307" s="1"/>
      </tp>
      <tp>
        <v>22.527997432999999</v>
        <stp/>
        <stp>EM_S_FA_NETPROFITMARGIN</stp>
        <stp>3</stp>
        <stp>603027</stp>
        <stp>12/31/2018</stp>
        <stp>1</stp>
        <tr r="J783" s="1"/>
      </tp>
      <tp>
        <v>4.8833025078999999</v>
        <stp/>
        <stp>EM_S_FA_NETPROFITMARGIN</stp>
        <stp>3</stp>
        <stp>603227</stp>
        <stp>12/31/2018</stp>
        <stp>1</stp>
        <tr r="J1007" s="1"/>
      </tp>
      <tp>
        <v>2.9154413583999998</v>
        <stp/>
        <stp>EM_S_FA_NETPROFITMARGIN</stp>
        <stp>3</stp>
        <stp>603527</stp>
        <stp>12/31/2018</stp>
        <stp>1</stp>
        <tr r="J1518" s="1"/>
      </tp>
      <tp>
        <v>1.8034015540999999</v>
        <stp/>
        <stp>EM_S_FA_NETPROFITMARGIN</stp>
        <stp>3</stp>
        <stp>603727</stp>
        <stp>12/31/2018</stp>
        <stp>1</stp>
        <tr r="J592" s="1"/>
      </tp>
      <tp>
        <v>6.4304177770999997</v>
        <stp/>
        <stp>EM_S_FA_NETPROFITMARGIN</stp>
        <stp>3</stp>
        <stp>002847</stp>
        <stp>12/31/2018</stp>
        <stp>1</stp>
        <tr r="J368" s="1"/>
      </tp>
      <tp>
        <v>-9.9287271194999995</v>
        <stp/>
        <stp>EM_S_FA_NETPROFITMARGIN</stp>
        <stp>3</stp>
        <stp>002147</stp>
        <stp>12/31/2018</stp>
        <stp>1</stp>
        <tr r="J3244" s="1"/>
      </tp>
      <tp>
        <v>3.9725000828999999</v>
        <stp/>
        <stp>EM_S_FA_NETPROFITMARGIN</stp>
        <stp>3</stp>
        <stp>002047</stp>
        <stp>12/31/2018</stp>
        <stp>1</stp>
        <tr r="J3616" s="1"/>
      </tp>
      <tp>
        <v>3.2081143962000001</v>
        <stp/>
        <stp>EM_S_FA_NETPROFITMARGIN</stp>
        <stp>3</stp>
        <stp>002347</stp>
        <stp>12/31/2018</stp>
        <stp>1</stp>
        <tr r="J1192" s="1"/>
      </tp>
      <tp>
        <v>-83.0153623482</v>
        <stp/>
        <stp>EM_S_FA_NETPROFITMARGIN</stp>
        <stp>3</stp>
        <stp>002247</stp>
        <stp>12/31/2018</stp>
        <stp>1</stp>
        <tr r="J3301" s="1"/>
      </tp>
      <tp>
        <v>1.6125954913</v>
        <stp/>
        <stp>EM_S_FA_NETPROFITMARGIN</stp>
        <stp>3</stp>
        <stp>002547</stp>
        <stp>12/31/2018</stp>
        <stp>1</stp>
        <tr r="J524" s="1"/>
      </tp>
      <tp>
        <v>-260.75825550040003</v>
        <stp/>
        <stp>EM_S_FA_NETPROFITMARGIN</stp>
        <stp>3</stp>
        <stp>002447</stp>
        <stp>12/31/2018</stp>
        <stp>1</stp>
        <tr r="J1388" s="1"/>
      </tp>
      <tp>
        <v>7.7979582120000002</v>
        <stp/>
        <stp>EM_S_FA_NETPROFITMARGIN</stp>
        <stp>3</stp>
        <stp>002747</stp>
        <stp>12/31/2018</stp>
        <stp>1</stp>
        <tr r="J862" s="1"/>
      </tp>
      <tp>
        <v>3.9530503194</v>
        <stp/>
        <stp>EM_S_FA_NETPROFITMARGIN</stp>
        <stp>3</stp>
        <stp>002647</stp>
        <stp>12/31/2018</stp>
        <stp>1</stp>
        <tr r="J963" s="1"/>
      </tp>
      <tp>
        <v>2.5091041119000002</v>
        <stp/>
        <stp>EM_S_FA_NETPROFITMARGIN</stp>
        <stp>3</stp>
        <stp>601127</stp>
        <stp>12/31/2018</stp>
        <stp>1</stp>
        <tr r="J3258" s="1"/>
      </tp>
      <tp>
        <v>5.4159312419000001</v>
        <stp/>
        <stp>EM_S_FA_NETPROFITMARGIN</stp>
        <stp>3</stp>
        <stp>601727</stp>
        <stp>12/31/2018</stp>
        <stp>1</stp>
        <tr r="J2339" s="1"/>
      </tp>
      <tp>
        <v>1.8723008032999999</v>
        <stp/>
        <stp>EM_S_FA_NETPROFITMARGIN</stp>
        <stp>3</stp>
        <stp>600827</stp>
        <stp>12/31/2018</stp>
        <stp>1</stp>
        <tr r="J1943" s="1"/>
      </tp>
      <tp>
        <v>11.1888608761</v>
        <stp/>
        <stp>EM_S_FA_NETPROFITMARGIN</stp>
        <stp>3</stp>
        <stp>300177</stp>
        <stp>12/31/2018</stp>
        <stp>1</stp>
        <tr r="J2865" s="1"/>
      </tp>
      <tp>
        <v>-1.8035162012999999</v>
        <stp/>
        <stp>EM_S_FA_NETPROFITMARGIN</stp>
        <stp>3</stp>
        <stp>600127</stp>
        <stp>12/31/2018</stp>
        <stp>1</stp>
        <tr r="J762" s="1"/>
      </tp>
      <tp>
        <v>0</v>
        <stp/>
        <stp>EM_S_FA_NETPROFITMARGIN</stp>
        <stp>3</stp>
        <stp>000047</stp>
        <stp>12/31/2018</stp>
        <stp>1</stp>
        <tr r="J2276" s="1"/>
      </tp>
      <tp>
        <v>-296.6252325383</v>
        <stp/>
        <stp>EM_S_FA_NETPROFITMARGIN</stp>
        <stp>3</stp>
        <stp>300077</stp>
        <stp>12/31/2018</stp>
        <stp>1</stp>
        <tr r="J3056" s="1"/>
      </tp>
      <tp>
        <v>2.5708937090999999</v>
        <stp/>
        <stp>EM_S_FA_NETPROFITMARGIN</stp>
        <stp>3</stp>
        <stp>600027</stp>
        <stp>12/31/2018</stp>
        <stp>1</stp>
        <tr r="J3124" s="1"/>
      </tp>
      <tp>
        <v>28.377554634500001</v>
        <stp/>
        <stp>EM_S_FA_NETPROFITMARGIN</stp>
        <stp>3</stp>
        <stp>300377</stp>
        <stp>12/31/2018</stp>
        <stp>1</stp>
        <tr r="J2142" s="1"/>
      </tp>
      <tp>
        <v>3.2833113750999998</v>
        <stp/>
        <stp>EM_S_FA_NETPROFITMARGIN</stp>
        <stp>3</stp>
        <stp>600327</stp>
        <stp>12/31/2018</stp>
        <stp>1</stp>
        <tr r="J2932" s="1"/>
      </tp>
      <tp>
        <v>4.1507743895000004</v>
        <stp/>
        <stp>EM_S_FA_NETPROFITMARGIN</stp>
        <stp>3</stp>
        <stp>300277</stp>
        <stp>12/31/2018</stp>
        <stp>1</stp>
        <tr r="J492" s="1"/>
      </tp>
      <tp>
        <v>8.1551176206000004</v>
        <stp/>
        <stp>EM_S_FA_NETPROFITMARGIN</stp>
        <stp>3</stp>
        <stp>600227</stp>
        <stp>12/31/2018</stp>
        <stp>1</stp>
        <tr r="J2732" s="1"/>
      </tp>
      <tp>
        <v>14.440048171999999</v>
        <stp/>
        <stp>EM_S_FA_NETPROFITMARGIN</stp>
        <stp>3</stp>
        <stp>000547</stp>
        <stp>12/31/2018</stp>
        <stp>1</stp>
        <tr r="J790" s="1"/>
      </tp>
      <tp>
        <v>9.0028652390000001</v>
        <stp/>
        <stp>EM_S_FA_NETPROFITMARGIN</stp>
        <stp>3</stp>
        <stp>300577</stp>
        <stp>12/31/2018</stp>
        <stp>1</stp>
        <tr r="J1691" s="1"/>
      </tp>
      <tp>
        <v>6.4464951492999996</v>
        <stp/>
        <stp>EM_S_FA_NETPROFITMARGIN</stp>
        <stp>3</stp>
        <stp>600527</stp>
        <stp>12/31/2018</stp>
        <stp>1</stp>
        <tr r="J2084" s="1"/>
      </tp>
      <tp>
        <v>2.5030761919</v>
        <stp/>
        <stp>EM_S_FA_NETPROFITMARGIN</stp>
        <stp>3</stp>
        <stp>300477</stp>
        <stp>12/31/2018</stp>
        <stp>1</stp>
        <tr r="J3020" s="1"/>
      </tp>
      <tp>
        <v>14.2980855787</v>
        <stp/>
        <stp>EM_S_FA_NETPROFITMARGIN</stp>
        <stp>3</stp>
        <stp>600727</stp>
        <stp>12/31/2018</stp>
        <stp>1</stp>
        <tr r="J964" s="1"/>
      </tp>
      <tp>
        <v>9.4760830498999997</v>
        <stp/>
        <stp>EM_S_FA_NETPROFITMARGIN</stp>
        <stp>3</stp>
        <stp>300677</stp>
        <stp>12/31/2018</stp>
        <stp>1</stp>
        <tr r="J1528" s="1"/>
      </tp>
      <tp>
        <v>0</v>
        <stp/>
        <stp>EM_S_FA_NETPROFITMARGIN</stp>
        <stp>3</stp>
        <stp>600627</stp>
        <stp>12/31/2018</stp>
        <stp>1</stp>
        <tr r="J2308" s="1"/>
      </tp>
      <tp>
        <v>8.6207214991000001</v>
        <stp/>
        <stp>EM_S_FA_NETPROFITMARGIN</stp>
        <stp>3</stp>
        <stp>603926</stp>
        <stp>12/31/2018</stp>
        <stp>1</stp>
        <tr r="J2907" s="1"/>
      </tp>
      <tp>
        <v>30.680736648700002</v>
        <stp/>
        <stp>EM_S_FA_NETPROFITMARGIN</stp>
        <stp>3</stp>
        <stp>603826</stp>
        <stp>12/31/2018</stp>
        <stp>1</stp>
        <tr r="J1431" s="1"/>
      </tp>
      <tp>
        <v>7.4578706229999998</v>
        <stp/>
        <stp>EM_S_FA_NETPROFITMARGIN</stp>
        <stp>3</stp>
        <stp>603126</stp>
        <stp>12/31/2018</stp>
        <stp>1</stp>
        <tr r="J2549" s="1"/>
      </tp>
      <tp>
        <v>3.8189961853000001</v>
        <stp/>
        <stp>EM_S_FA_NETPROFITMARGIN</stp>
        <stp>3</stp>
        <stp>603026</stp>
        <stp>12/31/2018</stp>
        <stp>1</stp>
        <tr r="J220" s="1"/>
      </tp>
      <tp>
        <v>9.4109153805000005</v>
        <stp/>
        <stp>EM_S_FA_NETPROFITMARGIN</stp>
        <stp>3</stp>
        <stp>603326</stp>
        <stp>12/31/2018</stp>
        <stp>1</stp>
        <tr r="J798" s="1"/>
      </tp>
      <tp>
        <v>11.8359840431</v>
        <stp/>
        <stp>EM_S_FA_NETPROFITMARGIN</stp>
        <stp>3</stp>
        <stp>603226</stp>
        <stp>12/31/2018</stp>
        <stp>1</stp>
        <tr r="J1365" s="1"/>
      </tp>
      <tp>
        <v>7.1025459506999997</v>
        <stp/>
        <stp>EM_S_FA_NETPROFITMARGIN</stp>
        <stp>3</stp>
        <stp>603726</stp>
        <stp>12/31/2018</stp>
        <stp>1</stp>
        <tr r="J3291" s="1"/>
      </tp>
      <tp>
        <v>5.1679097471000004</v>
        <stp/>
        <stp>EM_S_FA_NETPROFITMARGIN</stp>
        <stp>3</stp>
        <stp>603626</stp>
        <stp>12/31/2018</stp>
        <stp>1</stp>
        <tr r="J770" s="1"/>
      </tp>
      <tp>
        <v>5.4022857126000003</v>
        <stp/>
        <stp>EM_S_FA_NETPROFITMARGIN</stp>
        <stp>3</stp>
        <stp>002846</stp>
        <stp>12/31/2018</stp>
        <stp>1</stp>
        <tr r="J237" s="1"/>
      </tp>
      <tp>
        <v>14.683854735600001</v>
        <stp/>
        <stp>EM_S_FA_NETPROFITMARGIN</stp>
        <stp>3</stp>
        <stp>002146</stp>
        <stp>12/31/2018</stp>
        <stp>1</stp>
        <tr r="J1173" s="1"/>
      </tp>
      <tp>
        <v>2.4878415576999999</v>
        <stp/>
        <stp>EM_S_FA_NETPROFITMARGIN</stp>
        <stp>3</stp>
        <stp>002046</stp>
        <stp>12/31/2018</stp>
        <stp>1</stp>
        <tr r="J1952" s="1"/>
      </tp>
      <tp>
        <v>10.389317274</v>
        <stp/>
        <stp>EM_S_FA_NETPROFITMARGIN</stp>
        <stp>3</stp>
        <stp>002346</stp>
        <stp>12/31/2018</stp>
        <stp>1</stp>
        <tr r="J2763" s="1"/>
      </tp>
      <tp>
        <v>5.2613604741</v>
        <stp/>
        <stp>EM_S_FA_NETPROFITMARGIN</stp>
        <stp>3</stp>
        <stp>002246</stp>
        <stp>12/31/2018</stp>
        <stp>1</stp>
        <tr r="J1557" s="1"/>
      </tp>
      <tp>
        <v>22.0518641886</v>
        <stp/>
        <stp>EM_S_FA_NETPROFITMARGIN</stp>
        <stp>3</stp>
        <stp>002546</stp>
        <stp>12/31/2018</stp>
        <stp>1</stp>
        <tr r="J1763" s="1"/>
      </tp>
      <tp>
        <v>8.4108850153999999</v>
        <stp/>
        <stp>EM_S_FA_NETPROFITMARGIN</stp>
        <stp>3</stp>
        <stp>002446</stp>
        <stp>12/31/2018</stp>
        <stp>1</stp>
        <tr r="J1496" s="1"/>
      </tp>
      <tp>
        <v>16.379933665300001</v>
        <stp/>
        <stp>EM_S_FA_NETPROFITMARGIN</stp>
        <stp>3</stp>
        <stp>002746</stp>
        <stp>12/31/2018</stp>
        <stp>1</stp>
        <tr r="J1580" s="1"/>
      </tp>
      <tp>
        <v>7.5468654037</v>
        <stp/>
        <stp>EM_S_FA_NETPROFITMARGIN</stp>
        <stp>3</stp>
        <stp>002646</stp>
        <stp>12/31/2018</stp>
        <stp>1</stp>
        <tr r="J2254" s="1"/>
      </tp>
      <tp>
        <v>5.6909596511</v>
        <stp/>
        <stp>EM_S_FA_NETPROFITMARGIN</stp>
        <stp>3</stp>
        <stp>601126</stp>
        <stp>12/31/2018</stp>
        <stp>1</stp>
        <tr r="J1793" s="1"/>
      </tp>
      <tp>
        <v>10.0873809516</v>
        <stp/>
        <stp>EM_S_FA_NETPROFITMARGIN</stp>
        <stp>3</stp>
        <stp>601326</stp>
        <stp>12/31/2018</stp>
        <stp>1</stp>
        <tr r="J2259" s="1"/>
      </tp>
      <tp>
        <v>1.0000783455</v>
        <stp/>
        <stp>EM_S_FA_NETPROFITMARGIN</stp>
        <stp>3</stp>
        <stp>601226</stp>
        <stp>12/31/2018</stp>
        <stp>1</stp>
        <tr r="J1486" s="1"/>
      </tp>
      <tp>
        <v>31.734494896800001</v>
        <stp/>
        <stp>EM_S_FA_NETPROFITMARGIN</stp>
        <stp>3</stp>
        <stp>600926</stp>
        <stp>12/31/2018</stp>
        <stp>1</stp>
        <tr r="J1142" s="1"/>
      </tp>
      <tp>
        <v>7.3126403107</v>
        <stp/>
        <stp>EM_S_FA_NETPROFITMARGIN</stp>
        <stp>3</stp>
        <stp>600826</stp>
        <stp>12/31/2018</stp>
        <stp>1</stp>
        <tr r="J1328" s="1"/>
      </tp>
      <tp>
        <v>10.73961416</v>
        <stp/>
        <stp>EM_S_FA_NETPROFITMARGIN</stp>
        <stp>3</stp>
        <stp>300176</stp>
        <stp>12/31/2018</stp>
        <stp>1</stp>
        <tr r="J3402" s="1"/>
      </tp>
      <tp>
        <v>7.3995753429000004</v>
        <stp/>
        <stp>EM_S_FA_NETPROFITMARGIN</stp>
        <stp>3</stp>
        <stp>600126</stp>
        <stp>12/31/2018</stp>
        <stp>1</stp>
        <tr r="J1866" s="1"/>
      </tp>
      <tp>
        <v>20.631814747699998</v>
        <stp/>
        <stp>EM_S_FA_NETPROFITMARGIN</stp>
        <stp>3</stp>
        <stp>000046</stp>
        <stp>12/31/2018</stp>
        <stp>1</stp>
        <tr r="J2270" s="1"/>
      </tp>
      <tp>
        <v>9.3620881641999993</v>
        <stp/>
        <stp>EM_S_FA_NETPROFITMARGIN</stp>
        <stp>3</stp>
        <stp>300076</stp>
        <stp>12/31/2018</stp>
        <stp>1</stp>
        <tr r="J594" s="1"/>
      </tp>
      <tp>
        <v>2.6359976099</v>
        <stp/>
        <stp>EM_S_FA_NETPROFITMARGIN</stp>
        <stp>3</stp>
        <stp>600026</stp>
        <stp>12/31/2018</stp>
        <stp>1</stp>
        <tr r="J703" s="1"/>
      </tp>
      <tp>
        <v>12.4632186739</v>
        <stp/>
        <stp>EM_S_FA_NETPROFITMARGIN</stp>
        <stp>3</stp>
        <stp>300376</stp>
        <stp>12/31/2018</stp>
        <stp>1</stp>
        <tr r="J1822" s="1"/>
      </tp>
      <tp>
        <v>17.088292171700001</v>
        <stp/>
        <stp>EM_S_FA_NETPROFITMARGIN</stp>
        <stp>3</stp>
        <stp>600326</stp>
        <stp>12/31/2018</stp>
        <stp>1</stp>
        <tr r="J1643" s="1"/>
      </tp>
      <tp>
        <v>13.0212603269</v>
        <stp/>
        <stp>EM_S_FA_NETPROFITMARGIN</stp>
        <stp>3</stp>
        <stp>300276</stp>
        <stp>12/31/2018</stp>
        <stp>1</stp>
        <tr r="J3092" s="1"/>
      </tp>
      <tp>
        <v>14.033733335100001</v>
        <stp/>
        <stp>EM_S_FA_NETPROFITMARGIN</stp>
        <stp>3</stp>
        <stp>600226</stp>
        <stp>12/31/2018</stp>
        <stp>1</stp>
        <tr r="J1718" s="1"/>
      </tp>
      <tp>
        <v>5.5834900261999998</v>
        <stp/>
        <stp>EM_S_FA_NETPROFITMARGIN</stp>
        <stp>3</stp>
        <stp>000546</stp>
        <stp>12/31/2018</stp>
        <stp>1</stp>
        <tr r="J1381" s="1"/>
      </tp>
      <tp>
        <v>9.9611724902999992</v>
        <stp/>
        <stp>EM_S_FA_NETPROFITMARGIN</stp>
        <stp>3</stp>
        <stp>300576</stp>
        <stp>12/31/2018</stp>
        <stp>1</stp>
        <tr r="J161" s="1"/>
      </tp>
      <tp>
        <v>-12.1291470666</v>
        <stp/>
        <stp>EM_S_FA_NETPROFITMARGIN</stp>
        <stp>3</stp>
        <stp>600526</stp>
        <stp>12/31/2018</stp>
        <stp>1</stp>
        <tr r="J1544" s="1"/>
      </tp>
      <tp>
        <v>11.5162712624</v>
        <stp/>
        <stp>EM_S_FA_NETPROFITMARGIN</stp>
        <stp>3</stp>
        <stp>300476</stp>
        <stp>12/31/2018</stp>
        <stp>1</stp>
        <tr r="J744" s="1"/>
      </tp>
      <tp>
        <v>21.032885399600001</v>
        <stp/>
        <stp>EM_S_FA_NETPROFITMARGIN</stp>
        <stp>3</stp>
        <stp>600426</stp>
        <stp>12/31/2018</stp>
        <stp>1</stp>
        <tr r="J417" s="1"/>
      </tp>
      <tp>
        <v>-8.9869678338999996</v>
        <stp/>
        <stp>EM_S_FA_NETPROFITMARGIN</stp>
        <stp>3</stp>
        <stp>600726</stp>
        <stp>12/31/2018</stp>
        <stp>1</stp>
        <tr r="J3137" s="1"/>
      </tp>
      <tp>
        <v>16.079610766399998</v>
        <stp/>
        <stp>EM_S_FA_NETPROFITMARGIN</stp>
        <stp>3</stp>
        <stp>300676</stp>
        <stp>12/31/2018</stp>
        <stp>1</stp>
        <tr r="J1637" s="1"/>
      </tp>
      <tp>
        <v>0.79983657320000001</v>
        <stp/>
        <stp>EM_S_FA_NETPROFITMARGIN</stp>
        <stp>3</stp>
        <stp>600626</stp>
        <stp>12/31/2018</stp>
        <stp>1</stp>
        <tr r="J1387" s="1"/>
      </tp>
      <tp>
        <v>6.3879101808999996</v>
        <stp/>
        <stp>EM_S_FA_NETPROFITMARGIN</stp>
        <stp>3</stp>
        <stp>603939</stp>
        <stp>12/31/2018</stp>
        <stp>1</stp>
        <tr r="J285" s="1"/>
      </tp>
      <tp>
        <v>17.038370632399999</v>
        <stp/>
        <stp>EM_S_FA_NETPROFITMARGIN</stp>
        <stp>3</stp>
        <stp>603839</stp>
        <stp>12/31/2018</stp>
        <stp>1</stp>
        <tr r="J1152" s="1"/>
      </tp>
      <tp>
        <v>15.378591850799999</v>
        <stp/>
        <stp>EM_S_FA_NETPROFITMARGIN</stp>
        <stp>3</stp>
        <stp>603139</stp>
        <stp>12/31/2018</stp>
        <stp>1</stp>
        <tr r="J1742" s="1"/>
      </tp>
      <tp>
        <v>10.779723478899999</v>
        <stp/>
        <stp>EM_S_FA_NETPROFITMARGIN</stp>
        <stp>3</stp>
        <stp>603039</stp>
        <stp>12/31/2018</stp>
        <stp>1</stp>
        <tr r="J3129" s="1"/>
      </tp>
      <tp>
        <v>14.808442184900001</v>
        <stp/>
        <stp>EM_S_FA_NETPROFITMARGIN</stp>
        <stp>3</stp>
        <stp>603339</stp>
        <stp>12/31/2018</stp>
        <stp>1</stp>
        <tr r="J2771" s="1"/>
      </tp>
      <tp>
        <v>17.376308835100001</v>
        <stp/>
        <stp>EM_S_FA_NETPROFITMARGIN</stp>
        <stp>3</stp>
        <stp>603239</stp>
        <stp>12/31/2018</stp>
        <stp>1</stp>
        <tr r="J1957" s="1"/>
      </tp>
      <tp>
        <v>16.7620498406</v>
        <stp/>
        <stp>EM_S_FA_NETPROFITMARGIN</stp>
        <stp>3</stp>
        <stp>603639</stp>
        <stp>12/31/2018</stp>
        <stp>1</stp>
        <tr r="J2640" s="1"/>
      </tp>
      <tp>
        <v>20.997441694500001</v>
        <stp/>
        <stp>EM_S_FA_NETPROFITMARGIN</stp>
        <stp>3</stp>
        <stp>002859</stp>
        <stp>12/31/2018</stp>
        <stp>1</stp>
        <tr r="J1645" s="1"/>
      </tp>
      <tp>
        <v>21.890739120999999</v>
        <stp/>
        <stp>EM_S_FA_NETPROFITMARGIN</stp>
        <stp>3</stp>
        <stp>002159</stp>
        <stp>12/31/2018</stp>
        <stp>1</stp>
        <tr r="J3212" s="1"/>
      </tp>
      <tp>
        <v>23.1424427227</v>
        <stp/>
        <stp>EM_S_FA_NETPROFITMARGIN</stp>
        <stp>3</stp>
        <stp>002059</stp>
        <stp>12/31/2018</stp>
        <stp>1</stp>
        <tr r="J2514" s="1"/>
      </tp>
      <tp>
        <v>-41.063387065100002</v>
        <stp/>
        <stp>EM_S_FA_NETPROFITMARGIN</stp>
        <stp>3</stp>
        <stp>002359</stp>
        <stp>12/31/2018</stp>
        <stp>1</stp>
        <tr r="J3401" s="1"/>
      </tp>
      <tp>
        <v>-19.886142344300001</v>
        <stp/>
        <stp>EM_S_FA_NETPROFITMARGIN</stp>
        <stp>3</stp>
        <stp>002259</stp>
        <stp>12/31/2018</stp>
        <stp>1</stp>
        <tr r="J2658" s="1"/>
      </tp>
      <tp>
        <v>7.5097387625999996</v>
        <stp/>
        <stp>EM_S_FA_NETPROFITMARGIN</stp>
        <stp>3</stp>
        <stp>002559</stp>
        <stp>12/31/2018</stp>
        <stp>1</stp>
        <tr r="J2941" s="1"/>
      </tp>
      <tp>
        <v>1.3926462655</v>
        <stp/>
        <stp>EM_S_FA_NETPROFITMARGIN</stp>
        <stp>3</stp>
        <stp>002459</stp>
        <stp>12/31/2018</stp>
        <stp>1</stp>
        <tr r="J871" s="1"/>
      </tp>
      <tp>
        <v>9.7371179174000009</v>
        <stp/>
        <stp>EM_S_FA_NETPROFITMARGIN</stp>
        <stp>3</stp>
        <stp>002759</stp>
        <stp>12/31/2018</stp>
        <stp>1</stp>
        <tr r="J1470" s="1"/>
      </tp>
      <tp>
        <v>-39.1006708058</v>
        <stp/>
        <stp>EM_S_FA_NETPROFITMARGIN</stp>
        <stp>3</stp>
        <stp>002659</stp>
        <stp>12/31/2018</stp>
        <stp>1</stp>
        <tr r="J3175" s="1"/>
      </tp>
      <tp>
        <v>38.796401832800001</v>
        <stp/>
        <stp>EM_S_FA_NETPROFITMARGIN</stp>
        <stp>3</stp>
        <stp>601939</stp>
        <stp>12/31/2018</stp>
        <stp>1</stp>
        <tr r="J1554" s="1"/>
      </tp>
      <tp>
        <v>8.4350864149000007</v>
        <stp/>
        <stp>EM_S_FA_NETPROFITMARGIN</stp>
        <stp>3</stp>
        <stp>601139</stp>
        <stp>12/31/2018</stp>
        <stp>1</stp>
        <tr r="J649" s="1"/>
      </tp>
      <tp>
        <v>7.2947021982000004</v>
        <stp/>
        <stp>EM_S_FA_NETPROFITMARGIN</stp>
        <stp>3</stp>
        <stp>601339</stp>
        <stp>12/31/2018</stp>
        <stp>1</stp>
        <tr r="J3196" s="1"/>
      </tp>
      <tp>
        <v>5.0646855951000003</v>
        <stp/>
        <stp>EM_S_FA_NETPROFITMARGIN</stp>
        <stp>3</stp>
        <stp>000959</stp>
        <stp>12/31/2018</stp>
        <stp>1</stp>
        <tr r="J2602" s="1"/>
      </tp>
      <tp>
        <v>0.95817093750000004</v>
        <stp/>
        <stp>EM_S_FA_NETPROFITMARGIN</stp>
        <stp>3</stp>
        <stp>600939</stp>
        <stp>12/31/2018</stp>
        <stp>1</stp>
        <tr r="J2104" s="1"/>
      </tp>
      <tp>
        <v>7.0346903674999997</v>
        <stp/>
        <stp>EM_S_FA_NETPROFITMARGIN</stp>
        <stp>3</stp>
        <stp>000859</stp>
        <stp>12/31/2018</stp>
        <stp>1</stp>
        <tr r="J151" s="1"/>
      </tp>
      <tp>
        <v>0.79241844949999996</v>
        <stp/>
        <stp>EM_S_FA_NETPROFITMARGIN</stp>
        <stp>3</stp>
        <stp>600839</stp>
        <stp>12/31/2018</stp>
        <stp>1</stp>
        <tr r="J1139" s="1"/>
      </tp>
      <tp>
        <v>9.0506920234999999</v>
        <stp/>
        <stp>EM_S_FA_NETPROFITMARGIN</stp>
        <stp>3</stp>
        <stp>000159</stp>
        <stp>12/31/2018</stp>
        <stp>1</stp>
        <tr r="J847" s="1"/>
      </tp>
      <tp>
        <v>1.7425286987999999</v>
        <stp/>
        <stp>EM_S_FA_NETPROFITMARGIN</stp>
        <stp>3</stp>
        <stp>300169</stp>
        <stp>12/31/2018</stp>
        <stp>1</stp>
        <tr r="J1392" s="1"/>
      </tp>
      <tp>
        <v>-1.4907118887999999</v>
        <stp/>
        <stp>EM_S_FA_NETPROFITMARGIN</stp>
        <stp>3</stp>
        <stp>600139</stp>
        <stp>12/31/2018</stp>
        <stp>1</stp>
        <tr r="J1360" s="1"/>
      </tp>
      <tp>
        <v>3.0633442390000001</v>
        <stp/>
        <stp>EM_S_FA_NETPROFITMARGIN</stp>
        <stp>3</stp>
        <stp>000059</stp>
        <stp>12/31/2018</stp>
        <stp>1</stp>
        <tr r="J1923" s="1"/>
      </tp>
      <tp>
        <v>-93.719696647600003</v>
        <stp/>
        <stp>EM_S_FA_NETPROFITMARGIN</stp>
        <stp>3</stp>
        <stp>300069</stp>
        <stp>12/31/2018</stp>
        <stp>1</stp>
        <tr r="J270" s="1"/>
      </tp>
      <tp>
        <v>3.0158181958000001</v>
        <stp/>
        <stp>EM_S_FA_NETPROFITMARGIN</stp>
        <stp>3</stp>
        <stp>600039</stp>
        <stp>12/31/2018</stp>
        <stp>1</stp>
        <tr r="J2260" s="1"/>
      </tp>
      <tp>
        <v>12.450957798899999</v>
        <stp/>
        <stp>EM_S_FA_NETPROFITMARGIN</stp>
        <stp>3</stp>
        <stp>300369</stp>
        <stp>12/31/2018</stp>
        <stp>1</stp>
        <tr r="J143" s="1"/>
      </tp>
      <tp>
        <v>1.6332847646999999</v>
        <stp/>
        <stp>EM_S_FA_NETPROFITMARGIN</stp>
        <stp>3</stp>
        <stp>600339</stp>
        <stp>12/31/2018</stp>
        <stp>1</stp>
        <tr r="J2706" s="1"/>
      </tp>
      <tp>
        <v>-71.229651254499998</v>
        <stp/>
        <stp>EM_S_FA_NETPROFITMARGIN</stp>
        <stp>3</stp>
        <stp>300269</stp>
        <stp>12/31/2018</stp>
        <stp>1</stp>
        <tr r="J2751" s="1"/>
      </tp>
      <tp>
        <v>4.7641873331999998</v>
        <stp/>
        <stp>EM_S_FA_NETPROFITMARGIN</stp>
        <stp>3</stp>
        <stp>600239</stp>
        <stp>12/31/2018</stp>
        <stp>1</stp>
        <tr r="J2256" s="1"/>
      </tp>
      <tp>
        <v>6.5877317494999996</v>
        <stp/>
        <stp>EM_S_FA_NETPROFITMARGIN</stp>
        <stp>3</stp>
        <stp>000559</stp>
        <stp>12/31/2018</stp>
        <stp>1</stp>
        <tr r="J1985" s="1"/>
      </tp>
      <tp>
        <v>8.3071458573000001</v>
        <stp/>
        <stp>EM_S_FA_NETPROFITMARGIN</stp>
        <stp>3</stp>
        <stp>300569</stp>
        <stp>12/31/2018</stp>
        <stp>1</stp>
        <tr r="J1506" s="1"/>
      </tp>
      <tp>
        <v>15.589101595700001</v>
        <stp/>
        <stp>EM_S_FA_NETPROFITMARGIN</stp>
        <stp>3</stp>
        <stp>600539</stp>
        <stp>12/31/2018</stp>
        <stp>1</stp>
        <tr r="J1929" s="1"/>
      </tp>
      <tp>
        <v>7.2639444048000001</v>
        <stp/>
        <stp>EM_S_FA_NETPROFITMARGIN</stp>
        <stp>3</stp>
        <stp>300469</stp>
        <stp>12/31/2018</stp>
        <stp>1</stp>
        <tr r="J2968" s="1"/>
      </tp>
      <tp>
        <v>12.4094277398</v>
        <stp/>
        <stp>EM_S_FA_NETPROFITMARGIN</stp>
        <stp>3</stp>
        <stp>600439</stp>
        <stp>12/31/2018</stp>
        <stp>1</stp>
        <tr r="J823" s="1"/>
      </tp>
      <tp>
        <v>2.8753378542000001</v>
        <stp/>
        <stp>EM_S_FA_NETPROFITMARGIN</stp>
        <stp>3</stp>
        <stp>000759</stp>
        <stp>12/31/2018</stp>
        <stp>1</stp>
        <tr r="J752" s="1"/>
      </tp>
      <tp>
        <v>4.434286588</v>
        <stp/>
        <stp>EM_S_FA_NETPROFITMARGIN</stp>
        <stp>3</stp>
        <stp>600739</stp>
        <stp>12/31/2018</stp>
        <stp>1</stp>
        <tr r="J642" s="1"/>
      </tp>
      <tp>
        <v>1.2491697823000001</v>
        <stp/>
        <stp>EM_S_FA_NETPROFITMARGIN</stp>
        <stp>3</stp>
        <stp>000659</stp>
        <stp>12/31/2018</stp>
        <stp>1</stp>
        <tr r="J3261" s="1"/>
      </tp>
      <tp>
        <v>13.6159643285</v>
        <stp/>
        <stp>EM_S_FA_NETPROFITMARGIN</stp>
        <stp>3</stp>
        <stp>300669</stp>
        <stp>12/31/2018</stp>
        <stp>1</stp>
        <tr r="J488" s="1"/>
      </tp>
      <tp>
        <v>35.266432616400003</v>
        <stp/>
        <stp>EM_S_FA_NETPROFITMARGIN</stp>
        <stp>3</stp>
        <stp>600639</stp>
        <stp>12/31/2018</stp>
        <stp>1</stp>
        <tr r="J1287" s="1"/>
      </tp>
      <tp>
        <v>10.241420765999999</v>
        <stp/>
        <stp>EM_S_FA_NETPROFITMARGIN</stp>
        <stp>3</stp>
        <stp>603938</stp>
        <stp>12/31/2018</stp>
        <stp>1</stp>
        <tr r="J1870" s="1"/>
      </tp>
      <tp>
        <v>9.5671764399000008</v>
        <stp/>
        <stp>EM_S_FA_NETPROFITMARGIN</stp>
        <stp>3</stp>
        <stp>603838</stp>
        <stp>12/31/2018</stp>
        <stp>1</stp>
        <tr r="J2880" s="1"/>
      </tp>
      <tp>
        <v>10.009676733999999</v>
        <stp/>
        <stp>EM_S_FA_NETPROFITMARGIN</stp>
        <stp>3</stp>
        <stp>603138</stp>
        <stp>12/31/2018</stp>
        <stp>1</stp>
        <tr r="J2938" s="1"/>
      </tp>
      <tp>
        <v>10.9915568427</v>
        <stp/>
        <stp>EM_S_FA_NETPROFITMARGIN</stp>
        <stp>3</stp>
        <stp>603038</stp>
        <stp>12/31/2018</stp>
        <stp>1</stp>
        <tr r="J2833" s="1"/>
      </tp>
      <tp>
        <v>28.138078691</v>
        <stp/>
        <stp>EM_S_FA_NETPROFITMARGIN</stp>
        <stp>3</stp>
        <stp>603338</stp>
        <stp>12/31/2018</stp>
        <stp>1</stp>
        <tr r="J1029" s="1"/>
      </tp>
      <tp>
        <v>7.6649983938000004</v>
        <stp/>
        <stp>EM_S_FA_NETPROFITMARGIN</stp>
        <stp>3</stp>
        <stp>603238</stp>
        <stp>12/31/2018</stp>
        <stp>1</stp>
        <tr r="J2678" s="1"/>
      </tp>
      <tp>
        <v>12.3753281959</v>
        <stp/>
        <stp>EM_S_FA_NETPROFITMARGIN</stp>
        <stp>3</stp>
        <stp>603538</stp>
        <stp>12/31/2018</stp>
        <stp>1</stp>
        <tr r="J1150" s="1"/>
      </tp>
      <tp>
        <v>7.2157455910000001</v>
        <stp/>
        <stp>EM_S_FA_NETPROFITMARGIN</stp>
        <stp>3</stp>
        <stp>603738</stp>
        <stp>12/31/2018</stp>
        <stp>1</stp>
        <tr r="J418" s="1"/>
      </tp>
      <tp>
        <v>22.061772794700001</v>
        <stp/>
        <stp>EM_S_FA_NETPROFITMARGIN</stp>
        <stp>3</stp>
        <stp>603638</stp>
        <stp>12/31/2018</stp>
        <stp>1</stp>
        <tr r="J1019" s="1"/>
      </tp>
      <tp>
        <v>11.2297559743</v>
        <stp/>
        <stp>EM_S_FA_NETPROFITMARGIN</stp>
        <stp>3</stp>
        <stp>002858</stp>
        <stp>12/31/2018</stp>
        <stp>1</stp>
        <tr r="J1816" s="1"/>
      </tp>
      <tp>
        <v>11.708929106799999</v>
        <stp/>
        <stp>EM_S_FA_NETPROFITMARGIN</stp>
        <stp>3</stp>
        <stp>002158</stp>
        <stp>12/31/2018</stp>
        <stp>1</stp>
        <tr r="J1124" s="1"/>
      </tp>
      <tp>
        <v>3.9002830316999999</v>
        <stp/>
        <stp>EM_S_FA_NETPROFITMARGIN</stp>
        <stp>3</stp>
        <stp>002058</stp>
        <stp>12/31/2018</stp>
        <stp>1</stp>
        <tr r="J306" s="1"/>
      </tp>
      <tp>
        <v>10.265230274</v>
        <stp/>
        <stp>EM_S_FA_NETPROFITMARGIN</stp>
        <stp>3</stp>
        <stp>002358</stp>
        <stp>12/31/2018</stp>
        <stp>1</stp>
        <tr r="J3394" s="1"/>
      </tp>
      <tp>
        <v>16.177142781699999</v>
        <stp/>
        <stp>EM_S_FA_NETPROFITMARGIN</stp>
        <stp>3</stp>
        <stp>002258</stp>
        <stp>12/31/2018</stp>
        <stp>1</stp>
        <tr r="J1840" s="1"/>
      </tp>
      <tp>
        <v>30.718715875600001</v>
        <stp/>
        <stp>EM_S_FA_NETPROFITMARGIN</stp>
        <stp>3</stp>
        <stp>002558</stp>
        <stp>12/31/2018</stp>
        <stp>1</stp>
        <tr r="J2676" s="1"/>
      </tp>
      <tp>
        <v>24.420277599199999</v>
        <stp/>
        <stp>EM_S_FA_NETPROFITMARGIN</stp>
        <stp>3</stp>
        <stp>002458</stp>
        <stp>12/31/2018</stp>
        <stp>1</stp>
        <tr r="J190" s="1"/>
      </tp>
      <tp>
        <v>2.0400203993999999</v>
        <stp/>
        <stp>EM_S_FA_NETPROFITMARGIN</stp>
        <stp>3</stp>
        <stp>002758</stp>
        <stp>12/31/2018</stp>
        <stp>1</stp>
        <tr r="J633" s="1"/>
      </tp>
      <tp>
        <v>13.9662802056</v>
        <stp/>
        <stp>EM_S_FA_NETPROFITMARGIN</stp>
        <stp>3</stp>
        <stp>002658</stp>
        <stp>12/31/2018</stp>
        <stp>1</stp>
        <tr r="J2191" s="1"/>
      </tp>
      <tp>
        <v>40.150759283799999</v>
        <stp/>
        <stp>EM_S_FA_NETPROFITMARGIN</stp>
        <stp>3</stp>
        <stp>601838</stp>
        <stp>12/31/2018</stp>
        <stp>1</stp>
        <tr r="J1663" s="1"/>
      </tp>
      <tp>
        <v>4.0704055904000001</v>
        <stp/>
        <stp>EM_S_FA_NETPROFITMARGIN</stp>
        <stp>3</stp>
        <stp>601138</stp>
        <stp>12/31/2018</stp>
        <stp>1</stp>
        <tr r="J537" s="1"/>
      </tp>
      <tp>
        <v>-24.634047140900002</v>
        <stp/>
        <stp>EM_S_FA_NETPROFITMARGIN</stp>
        <stp>3</stp>
        <stp>601038</stp>
        <stp>12/31/2018</stp>
        <stp>1</stp>
        <tr r="J646" s="1"/>
      </tp>
      <tp>
        <v>15.306436291600001</v>
        <stp/>
        <stp>EM_S_FA_NETPROFITMARGIN</stp>
        <stp>3</stp>
        <stp>601238</stp>
        <stp>12/31/2018</stp>
        <stp>1</stp>
        <tr r="J1583" s="1"/>
      </tp>
      <tp>
        <v>4.3988002991000004</v>
        <stp/>
        <stp>EM_S_FA_NETPROFITMARGIN</stp>
        <stp>3</stp>
        <stp>000958</stp>
        <stp>12/31/2018</stp>
        <stp>1</stp>
        <tr r="J289" s="1"/>
      </tp>
      <tp>
        <v>35.0701564664</v>
        <stp/>
        <stp>EM_S_FA_NETPROFITMARGIN</stp>
        <stp>3</stp>
        <stp>000858</stp>
        <stp>12/31/2018</stp>
        <stp>1</stp>
        <tr r="J65" s="1"/>
      </tp>
      <tp>
        <v>139.18993839570001</v>
        <stp/>
        <stp>EM_S_FA_NETPROFITMARGIN</stp>
        <stp>3</stp>
        <stp>600838</stp>
        <stp>12/31/2018</stp>
        <stp>1</stp>
        <tr r="J1970" s="1"/>
      </tp>
      <tp>
        <v>1.8945089377</v>
        <stp/>
        <stp>EM_S_FA_NETPROFITMARGIN</stp>
        <stp>3</stp>
        <stp>000158</stp>
        <stp>12/31/2018</stp>
        <stp>1</stp>
        <tr r="J3412" s="1"/>
      </tp>
      <tp>
        <v>10.216651414399999</v>
        <stp/>
        <stp>EM_S_FA_NETPROFITMARGIN</stp>
        <stp>3</stp>
        <stp>300168</stp>
        <stp>12/31/2018</stp>
        <stp>1</stp>
        <tr r="J960" s="1"/>
      </tp>
      <tp>
        <v>7.4834269437999996</v>
        <stp/>
        <stp>EM_S_FA_NETPROFITMARGIN</stp>
        <stp>3</stp>
        <stp>600138</stp>
        <stp>12/31/2018</stp>
        <stp>1</stp>
        <tr r="J2400" s="1"/>
      </tp>
      <tp>
        <v>1.4662993172000001</v>
        <stp/>
        <stp>EM_S_FA_NETPROFITMARGIN</stp>
        <stp>3</stp>
        <stp>000058</stp>
        <stp>12/31/2018</stp>
        <stp>1</stp>
        <tr r="J1127" s="1"/>
      </tp>
      <tp>
        <v>1.5109111294999999</v>
        <stp/>
        <stp>EM_S_FA_NETPROFITMARGIN</stp>
        <stp>3</stp>
        <stp>300068</stp>
        <stp>12/31/2018</stp>
        <stp>1</stp>
        <tr r="J3130" s="1"/>
      </tp>
      <tp>
        <v>3.9060409040000001</v>
        <stp/>
        <stp>EM_S_FA_NETPROFITMARGIN</stp>
        <stp>3</stp>
        <stp>600038</stp>
        <stp>12/31/2018</stp>
        <stp>1</stp>
        <tr r="J1039" s="1"/>
      </tp>
      <tp>
        <v>4.2463786142000002</v>
        <stp/>
        <stp>EM_S_FA_NETPROFITMARGIN</stp>
        <stp>3</stp>
        <stp>300368</stp>
        <stp>12/31/2018</stp>
        <stp>1</stp>
        <tr r="J686" s="1"/>
      </tp>
      <tp>
        <v>44.014106566599999</v>
        <stp/>
        <stp>EM_S_FA_NETPROFITMARGIN</stp>
        <stp>3</stp>
        <stp>600338</stp>
        <stp>12/31/2018</stp>
        <stp>1</stp>
        <tr r="J2747" s="1"/>
      </tp>
      <tp>
        <v>2.1083713691999999</v>
        <stp/>
        <stp>EM_S_FA_NETPROFITMARGIN</stp>
        <stp>3</stp>
        <stp>300268</stp>
        <stp>12/31/2018</stp>
        <stp>1</stp>
        <tr r="J1057" s="1"/>
      </tp>
      <tp>
        <v>5.7366079121000002</v>
        <stp/>
        <stp>EM_S_FA_NETPROFITMARGIN</stp>
        <stp>3</stp>
        <stp>600238</stp>
        <stp>12/31/2018</stp>
        <stp>1</stp>
        <tr r="J1030" s="1"/>
      </tp>
      <tp>
        <v>-7.7226408709000003</v>
        <stp/>
        <stp>EM_S_FA_NETPROFITMARGIN</stp>
        <stp>3</stp>
        <stp>000558</stp>
        <stp>12/31/2018</stp>
        <stp>1</stp>
        <tr r="J3454" s="1"/>
      </tp>
      <tp>
        <v>34.732266259299998</v>
        <stp/>
        <stp>EM_S_FA_NETPROFITMARGIN</stp>
        <stp>3</stp>
        <stp>300568</stp>
        <stp>12/31/2018</stp>
        <stp>1</stp>
        <tr r="J800" s="1"/>
      </tp>
      <tp>
        <v>-9.6253116717000005</v>
        <stp/>
        <stp>EM_S_FA_NETPROFITMARGIN</stp>
        <stp>3</stp>
        <stp>600538</stp>
        <stp>12/31/2018</stp>
        <stp>1</stp>
        <tr r="J1379" s="1"/>
      </tp>
      <tp>
        <v>14.1045602664</v>
        <stp/>
        <stp>EM_S_FA_NETPROFITMARGIN</stp>
        <stp>3</stp>
        <stp>300468</stp>
        <stp>12/31/2018</stp>
        <stp>1</stp>
        <tr r="J55" s="1"/>
      </tp>
      <tp>
        <v>7.3760941536000004</v>
        <stp/>
        <stp>EM_S_FA_NETPROFITMARGIN</stp>
        <stp>3</stp>
        <stp>600438</stp>
        <stp>12/31/2018</stp>
        <stp>1</stp>
        <tr r="J448" s="1"/>
      </tp>
      <tp>
        <v>1.6735108578</v>
        <stp/>
        <stp>EM_S_FA_NETPROFITMARGIN</stp>
        <stp>3</stp>
        <stp>000758</stp>
        <stp>12/31/2018</stp>
        <stp>1</stp>
        <tr r="J3529" s="1"/>
      </tp>
      <tp>
        <v>114.59044455039999</v>
        <stp/>
        <stp>EM_S_FA_NETPROFITMARGIN</stp>
        <stp>3</stp>
        <stp>600738</stp>
        <stp>12/31/2018</stp>
        <stp>1</stp>
        <tr r="J2955" s="1"/>
      </tp>
      <tp>
        <v>-126.7446257989</v>
        <stp/>
        <stp>EM_S_FA_NETPROFITMARGIN</stp>
        <stp>3</stp>
        <stp>000658</stp>
        <stp>12/31/2018</stp>
        <stp>1</stp>
        <tr r="J3495" s="1"/>
      </tp>
      <tp>
        <v>24.465494498200002</v>
        <stp/>
        <stp>EM_S_FA_NETPROFITMARGIN</stp>
        <stp>3</stp>
        <stp>300668</stp>
        <stp>12/31/2018</stp>
        <stp>1</stp>
        <tr r="J2582" s="1"/>
      </tp>
      <tp>
        <v>54.842279878500001</v>
        <stp/>
        <stp>EM_S_FA_NETPROFITMARGIN</stp>
        <stp>3</stp>
        <stp>600638</stp>
        <stp>12/31/2018</stp>
        <stp>1</stp>
        <tr r="J3026" s="1"/>
      </tp>
      <tp>
        <v>8.8291551613999992</v>
        <stp/>
        <stp>EM_S_FA_NETPROFITMARGIN</stp>
        <stp>3</stp>
        <stp>603131</stp>
        <stp>12/31/2018</stp>
        <stp>1</stp>
        <tr r="J2818" s="1"/>
      </tp>
      <tp>
        <v>0.32492453999999998</v>
        <stp/>
        <stp>EM_S_FA_NETPROFITMARGIN</stp>
        <stp>3</stp>
        <stp>603031</stp>
        <stp>12/31/2018</stp>
        <stp>1</stp>
        <tr r="J225" s="1"/>
      </tp>
      <tp>
        <v>9.1413158026999994</v>
        <stp/>
        <stp>EM_S_FA_NETPROFITMARGIN</stp>
        <stp>3</stp>
        <stp>603331</stp>
        <stp>12/31/2018</stp>
        <stp>1</stp>
        <tr r="J1621" s="1"/>
      </tp>
      <tp>
        <v>10.7607302509</v>
        <stp/>
        <stp>EM_S_FA_NETPROFITMARGIN</stp>
        <stp>3</stp>
        <stp>002851</stp>
        <stp>12/31/2018</stp>
        <stp>1</stp>
        <tr r="J2406" s="1"/>
      </tp>
      <tp>
        <v>4.3086767893999998</v>
        <stp/>
        <stp>EM_S_FA_NETPROFITMARGIN</stp>
        <stp>3</stp>
        <stp>002151</stp>
        <stp>12/31/2018</stp>
        <stp>1</stp>
        <tr r="J1237" s="1"/>
      </tp>
      <tp>
        <v>11.6131745535</v>
        <stp/>
        <stp>EM_S_FA_NETPROFITMARGIN</stp>
        <stp>3</stp>
        <stp>002051</stp>
        <stp>12/31/2018</stp>
        <stp>1</stp>
        <tr r="J3617" s="1"/>
      </tp>
      <tp>
        <v>5.2188296298000001</v>
        <stp/>
        <stp>EM_S_FA_NETPROFITMARGIN</stp>
        <stp>3</stp>
        <stp>002351</stp>
        <stp>12/31/2018</stp>
        <stp>1</stp>
        <tr r="J22" s="1"/>
      </tp>
      <tp>
        <v>0.87097927129999997</v>
        <stp/>
        <stp>EM_S_FA_NETPROFITMARGIN</stp>
        <stp>3</stp>
        <stp>002251</stp>
        <stp>12/31/2018</stp>
        <stp>1</stp>
        <tr r="J1280" s="1"/>
      </tp>
      <tp>
        <v>8.2625389464999994</v>
        <stp/>
        <stp>EM_S_FA_NETPROFITMARGIN</stp>
        <stp>3</stp>
        <stp>002551</stp>
        <stp>12/31/2018</stp>
        <stp>1</stp>
        <tr r="J2390" s="1"/>
      </tp>
      <tp>
        <v>1.4541201612000001</v>
        <stp/>
        <stp>EM_S_FA_NETPROFITMARGIN</stp>
        <stp>3</stp>
        <stp>002451</stp>
        <stp>12/31/2018</stp>
        <stp>1</stp>
        <tr r="J3095" s="1"/>
      </tp>
      <tp>
        <v>9.6518392390999992</v>
        <stp/>
        <stp>EM_S_FA_NETPROFITMARGIN</stp>
        <stp>3</stp>
        <stp>002751</stp>
        <stp>12/31/2018</stp>
        <stp>1</stp>
        <tr r="J1394" s="1"/>
      </tp>
      <tp>
        <v>23.047056265599998</v>
        <stp/>
        <stp>EM_S_FA_NETPROFITMARGIN</stp>
        <stp>3</stp>
        <stp>002651</stp>
        <stp>12/31/2018</stp>
        <stp>1</stp>
        <tr r="J1383" s="1"/>
      </tp>
      <tp>
        <v>3.5170131864999998</v>
        <stp/>
        <stp>EM_S_FA_NETPROFITMARGIN</stp>
        <stp>3</stp>
        <stp>601231</stp>
        <stp>12/31/2018</stp>
        <stp>1</stp>
        <tr r="J130" s="1"/>
      </tp>
      <tp>
        <v>3.0047180243999998</v>
        <stp/>
        <stp>EM_S_FA_NETPROFITMARGIN</stp>
        <stp>3</stp>
        <stp>000951</stp>
        <stp>12/31/2018</stp>
        <stp>1</stp>
        <tr r="J163" s="1"/>
      </tp>
      <tp>
        <v>0.62863364769999996</v>
        <stp/>
        <stp>EM_S_FA_NETPROFITMARGIN</stp>
        <stp>3</stp>
        <stp>000851</stp>
        <stp>12/31/2018</stp>
        <stp>1</stp>
        <tr r="J1159" s="1"/>
      </tp>
      <tp>
        <v>3.4189997731999999</v>
        <stp/>
        <stp>EM_S_FA_NETPROFITMARGIN</stp>
        <stp>3</stp>
        <stp>600831</stp>
        <stp>12/31/2018</stp>
        <stp>1</stp>
        <tr r="J788" s="1"/>
      </tp>
      <tp>
        <v>6.5648311182999999</v>
        <stp/>
        <stp>EM_S_FA_NETPROFITMARGIN</stp>
        <stp>3</stp>
        <stp>000151</stp>
        <stp>12/31/2018</stp>
        <stp>1</stp>
        <tr r="J2041" s="1"/>
      </tp>
      <tp>
        <v>1.3006802347999999</v>
        <stp/>
        <stp>EM_S_FA_NETPROFITMARGIN</stp>
        <stp>3</stp>
        <stp>300161</stp>
        <stp>12/31/2018</stp>
        <stp>1</stp>
        <tr r="J705" s="1"/>
      </tp>
      <tp>
        <v>9.0706908821999992</v>
        <stp/>
        <stp>EM_S_FA_NETPROFITMARGIN</stp>
        <stp>3</stp>
        <stp>600131</stp>
        <stp>12/31/2018</stp>
        <stp>1</stp>
        <tr r="J38" s="1"/>
      </tp>
      <tp>
        <v>-31.8353194705</v>
        <stp/>
        <stp>EM_S_FA_NETPROFITMARGIN</stp>
        <stp>3</stp>
        <stp>300061</stp>
        <stp>12/31/2018</stp>
        <stp>1</stp>
        <tr r="J1862" s="1"/>
      </tp>
      <tp>
        <v>11.2922199302</v>
        <stp/>
        <stp>EM_S_FA_NETPROFITMARGIN</stp>
        <stp>3</stp>
        <stp>600031</stp>
        <stp>12/31/2018</stp>
        <stp>1</stp>
        <tr r="J148" s="1"/>
      </tp>
      <tp>
        <v>0</v>
        <stp/>
        <stp>EM_S_FA_NETPROFITMARGIN</stp>
        <stp>3</stp>
        <stp>300361</stp>
        <stp>12/31/2018</stp>
        <stp>1</stp>
        <tr r="J9" s="1"/>
      </tp>
      <tp>
        <v>-99.345551092099996</v>
        <stp/>
        <stp>EM_S_FA_NETPROFITMARGIN</stp>
        <stp>3</stp>
        <stp>600331</stp>
        <stp>12/31/2018</stp>
        <stp>1</stp>
        <tr r="J903" s="1"/>
      </tp>
      <tp>
        <v>10.2139646759</v>
        <stp/>
        <stp>EM_S_FA_NETPROFITMARGIN</stp>
        <stp>3</stp>
        <stp>300261</stp>
        <stp>12/31/2018</stp>
        <stp>1</stp>
        <tr r="J2999" s="1"/>
      </tp>
      <tp>
        <v>5.7630616469999998</v>
        <stp/>
        <stp>EM_S_FA_NETPROFITMARGIN</stp>
        <stp>3</stp>
        <stp>600231</stp>
        <stp>12/31/2018</stp>
        <stp>1</stp>
        <tr r="J2157" s="1"/>
      </tp>
      <tp>
        <v>5.2290227654999999</v>
        <stp/>
        <stp>EM_S_FA_NETPROFITMARGIN</stp>
        <stp>3</stp>
        <stp>000551</stp>
        <stp>12/31/2018</stp>
        <stp>1</stp>
        <tr r="J1505" s="1"/>
      </tp>
      <tp>
        <v>10.604205996199999</v>
        <stp/>
        <stp>EM_S_FA_NETPROFITMARGIN</stp>
        <stp>3</stp>
        <stp>300561</stp>
        <stp>12/31/2018</stp>
        <stp>1</stp>
        <tr r="J1339" s="1"/>
      </tp>
      <tp>
        <v>0.67677841169999997</v>
        <stp/>
        <stp>EM_S_FA_NETPROFITMARGIN</stp>
        <stp>3</stp>
        <stp>600531</stp>
        <stp>12/31/2018</stp>
        <stp>1</stp>
        <tr r="J855" s="1"/>
      </tp>
      <tp>
        <v>-10.5496149182</v>
        <stp/>
        <stp>EM_S_FA_NETPROFITMARGIN</stp>
        <stp>3</stp>
        <stp>300461</stp>
        <stp>12/31/2018</stp>
        <stp>1</stp>
        <tr r="J1686" s="1"/>
      </tp>
      <tp>
        <v>0.63502307840000005</v>
        <stp/>
        <stp>EM_S_FA_NETPROFITMARGIN</stp>
        <stp>3</stp>
        <stp>000751</stp>
        <stp>12/31/2018</stp>
        <stp>1</stp>
        <tr r="J1531" s="1"/>
      </tp>
      <tp>
        <v>4.7746316109000002</v>
        <stp/>
        <stp>EM_S_FA_NETPROFITMARGIN</stp>
        <stp>3</stp>
        <stp>600731</stp>
        <stp>12/31/2018</stp>
        <stp>1</stp>
        <tr r="J296" s="1"/>
      </tp>
      <tp>
        <v>13.314459322199999</v>
        <stp/>
        <stp>EM_S_FA_NETPROFITMARGIN</stp>
        <stp>3</stp>
        <stp>000651</stp>
        <stp>12/31/2018</stp>
        <stp>1</stp>
        <tr r="J229" s="1"/>
      </tp>
      <tp>
        <v>18.115902977099999</v>
        <stp/>
        <stp>EM_S_FA_NETPROFITMARGIN</stp>
        <stp>3</stp>
        <stp>300661</stp>
        <stp>12/31/2018</stp>
        <stp>1</stp>
        <tr r="J19" s="1"/>
      </tp>
      <tp>
        <v>0</v>
        <stp/>
        <stp>EM_S_FA_NETPROFITMARGIN</stp>
        <stp>3</stp>
        <stp>600631</stp>
        <stp>12/31/2018</stp>
        <stp>1</stp>
        <tr r="J2309" s="1"/>
      </tp>
      <tp>
        <v>4.4046458796000003</v>
        <stp/>
        <stp>EM_S_FA_NETPROFITMARGIN</stp>
        <stp>3</stp>
        <stp>603030</stp>
        <stp>12/31/2018</stp>
        <stp>1</stp>
        <tr r="J1545" s="1"/>
      </tp>
      <tp>
        <v>6.8128733905000001</v>
        <stp/>
        <stp>EM_S_FA_NETPROFITMARGIN</stp>
        <stp>3</stp>
        <stp>603330</stp>
        <stp>12/31/2018</stp>
        <stp>1</stp>
        <tr r="J3151" s="1"/>
      </tp>
      <tp>
        <v>13.0482472857</v>
        <stp/>
        <stp>EM_S_FA_NETPROFITMARGIN</stp>
        <stp>3</stp>
        <stp>603730</stp>
        <stp>12/31/2018</stp>
        <stp>1</stp>
        <tr r="J677" s="1"/>
      </tp>
      <tp>
        <v>13.3006842952</v>
        <stp/>
        <stp>EM_S_FA_NETPROFITMARGIN</stp>
        <stp>3</stp>
        <stp>603630</stp>
        <stp>12/31/2018</stp>
        <stp>1</stp>
        <tr r="J2235" s="1"/>
      </tp>
      <tp>
        <v>4.0207528167</v>
        <stp/>
        <stp>EM_S_FA_NETPROFITMARGIN</stp>
        <stp>3</stp>
        <stp>002850</stp>
        <stp>12/31/2018</stp>
        <stp>1</stp>
        <tr r="J87" s="1"/>
      </tp>
      <tp>
        <v>10.5316135559</v>
        <stp/>
        <stp>EM_S_FA_NETPROFITMARGIN</stp>
        <stp>3</stp>
        <stp>002150</stp>
        <stp>12/31/2018</stp>
        <stp>1</stp>
        <tr r="J1664" s="1"/>
      </tp>
      <tp>
        <v>12.1014060795</v>
        <stp/>
        <stp>EM_S_FA_NETPROFITMARGIN</stp>
        <stp>3</stp>
        <stp>002050</stp>
        <stp>12/31/2018</stp>
        <stp>1</stp>
        <tr r="J791" s="1"/>
      </tp>
      <tp>
        <v>4.1893215898999996</v>
        <stp/>
        <stp>EM_S_FA_NETPROFITMARGIN</stp>
        <stp>3</stp>
        <stp>002350</stp>
        <stp>12/31/2018</stp>
        <stp>1</stp>
        <tr r="J2684" s="1"/>
      </tp>
      <tp>
        <v>1.1427529006999999</v>
        <stp/>
        <stp>EM_S_FA_NETPROFITMARGIN</stp>
        <stp>3</stp>
        <stp>002250</stp>
        <stp>12/31/2018</stp>
        <stp>1</stp>
        <tr r="J271" s="1"/>
      </tp>
      <tp>
        <v>15.9679427243</v>
        <stp/>
        <stp>EM_S_FA_NETPROFITMARGIN</stp>
        <stp>3</stp>
        <stp>002550</stp>
        <stp>12/31/2018</stp>
        <stp>1</stp>
        <tr r="J1338" s="1"/>
      </tp>
      <tp>
        <v>3.1005409854999999</v>
        <stp/>
        <stp>EM_S_FA_NETPROFITMARGIN</stp>
        <stp>3</stp>
        <stp>002450</stp>
        <stp>12/31/2018</stp>
        <stp>1</stp>
        <tr r="J3380" s="1"/>
      </tp>
      <tp>
        <v>4.1155841378</v>
        <stp/>
        <stp>EM_S_FA_NETPROFITMARGIN</stp>
        <stp>3</stp>
        <stp>002750</stp>
        <stp>12/31/2018</stp>
        <stp>1</stp>
        <tr r="J121" s="1"/>
      </tp>
      <tp>
        <v>6.4502635831999999</v>
        <stp/>
        <stp>EM_S_FA_NETPROFITMARGIN</stp>
        <stp>3</stp>
        <stp>002650</stp>
        <stp>12/31/2018</stp>
        <stp>1</stp>
        <tr r="J2392" s="1"/>
      </tp>
      <tp>
        <v>25.856513543999998</v>
        <stp/>
        <stp>EM_S_FA_NETPROFITMARGIN</stp>
        <stp>3</stp>
        <stp>601330</stp>
        <stp>12/31/2018</stp>
        <stp>1</stp>
        <tr r="J2943" s="1"/>
      </tp>
      <tp>
        <v>2.9102102445</v>
        <stp/>
        <stp>EM_S_FA_NETPROFITMARGIN</stp>
        <stp>3</stp>
        <stp>000950</stp>
        <stp>12/31/2018</stp>
        <stp>1</stp>
        <tr r="J1579" s="1"/>
      </tp>
      <tp>
        <v>3.4659338707999998</v>
        <stp/>
        <stp>EM_S_FA_NETPROFITMARGIN</stp>
        <stp>3</stp>
        <stp>000850</stp>
        <stp>12/31/2018</stp>
        <stp>1</stp>
        <tr r="J1049" s="1"/>
      </tp>
      <tp>
        <v>5.0703766967000004</v>
        <stp/>
        <stp>EM_S_FA_NETPROFITMARGIN</stp>
        <stp>3</stp>
        <stp>600830</stp>
        <stp>12/31/2018</stp>
        <stp>1</stp>
        <tr r="J1448" s="1"/>
      </tp>
      <tp>
        <v>9.1052654704999991</v>
        <stp/>
        <stp>EM_S_FA_NETPROFITMARGIN</stp>
        <stp>3</stp>
        <stp>000150</stp>
        <stp>12/31/2018</stp>
        <stp>1</stp>
        <tr r="J3399" s="1"/>
      </tp>
      <tp>
        <v>-16.3991070941</v>
        <stp/>
        <stp>EM_S_FA_NETPROFITMARGIN</stp>
        <stp>3</stp>
        <stp>300160</stp>
        <stp>12/31/2018</stp>
        <stp>1</stp>
        <tr r="J1712" s="1"/>
      </tp>
      <tp>
        <v>5.4501017983000004</v>
        <stp/>
        <stp>EM_S_FA_NETPROFITMARGIN</stp>
        <stp>3</stp>
        <stp>600130</stp>
        <stp>12/31/2018</stp>
        <stp>1</stp>
        <tr r="J2075" s="1"/>
      </tp>
      <tp>
        <v>3.4030676596</v>
        <stp/>
        <stp>EM_S_FA_NETPROFITMARGIN</stp>
        <stp>3</stp>
        <stp>000050</stp>
        <stp>12/31/2018</stp>
        <stp>1</stp>
        <tr r="J348" s="1"/>
      </tp>
      <tp>
        <v>26.534766338600001</v>
        <stp/>
        <stp>EM_S_FA_NETPROFITMARGIN</stp>
        <stp>3</stp>
        <stp>600030</stp>
        <stp>12/31/2018</stp>
        <stp>1</stp>
        <tr r="J423" s="1"/>
      </tp>
      <tp>
        <v>15.59680932</v>
        <stp/>
        <stp>EM_S_FA_NETPROFITMARGIN</stp>
        <stp>3</stp>
        <stp>300360</stp>
        <stp>12/31/2018</stp>
        <stp>1</stp>
        <tr r="J187" s="1"/>
      </tp>
      <tp>
        <v>11.127860550899999</v>
        <stp/>
        <stp>EM_S_FA_NETPROFITMARGIN</stp>
        <stp>3</stp>
        <stp>600330</stp>
        <stp>12/31/2018</stp>
        <stp>1</stp>
        <tr r="J654" s="1"/>
      </tp>
      <tp>
        <v>3.2617268578999998</v>
        <stp/>
        <stp>EM_S_FA_NETPROFITMARGIN</stp>
        <stp>3</stp>
        <stp>300260</stp>
        <stp>12/31/2018</stp>
        <stp>1</stp>
        <tr r="J893" s="1"/>
      </tp>
      <tp>
        <v>24.198316054900001</v>
        <stp/>
        <stp>EM_S_FA_NETPROFITMARGIN</stp>
        <stp>3</stp>
        <stp>600230</stp>
        <stp>12/31/2018</stp>
        <stp>1</stp>
        <tr r="J3272" s="1"/>
      </tp>
      <tp>
        <v>0.3250813897</v>
        <stp/>
        <stp>EM_S_FA_NETPROFITMARGIN</stp>
        <stp>3</stp>
        <stp>000550</stp>
        <stp>12/31/2018</stp>
        <stp>1</stp>
        <tr r="J3452" s="1"/>
      </tp>
      <tp>
        <v>12.5136454425</v>
        <stp/>
        <stp>EM_S_FA_NETPROFITMARGIN</stp>
        <stp>3</stp>
        <stp>300560</stp>
        <stp>12/31/2018</stp>
        <stp>1</stp>
        <tr r="J3115" s="1"/>
      </tp>
      <tp>
        <v>-211.0245509099</v>
        <stp/>
        <stp>EM_S_FA_NETPROFITMARGIN</stp>
        <stp>3</stp>
        <stp>600530</stp>
        <stp>12/31/2018</stp>
        <stp>1</stp>
        <tr r="J1765" s="1"/>
      </tp>
      <tp>
        <v>-6.9891219587000002</v>
        <stp/>
        <stp>EM_S_FA_NETPROFITMARGIN</stp>
        <stp>3</stp>
        <stp>300460</stp>
        <stp>12/31/2018</stp>
        <stp>1</stp>
        <tr r="J170" s="1"/>
      </tp>
      <tp>
        <v>5.2704028912999998</v>
        <stp/>
        <stp>EM_S_FA_NETPROFITMARGIN</stp>
        <stp>3</stp>
        <stp>000750</stp>
        <stp>12/31/2018</stp>
        <stp>1</stp>
        <tr r="J3526" s="1"/>
      </tp>
      <tp>
        <v>8.3006703439000002</v>
        <stp/>
        <stp>EM_S_FA_NETPROFITMARGIN</stp>
        <stp>3</stp>
        <stp>600730</stp>
        <stp>12/31/2018</stp>
        <stp>1</stp>
        <tr r="J2242" s="1"/>
      </tp>
      <tp>
        <v>13.2643604942</v>
        <stp/>
        <stp>EM_S_FA_NETPROFITMARGIN</stp>
        <stp>3</stp>
        <stp>000650</stp>
        <stp>12/31/2018</stp>
        <stp>1</stp>
        <tr r="J1616" s="1"/>
      </tp>
      <tp>
        <v>8.9322210539999993</v>
        <stp/>
        <stp>EM_S_FA_NETPROFITMARGIN</stp>
        <stp>3</stp>
        <stp>300660</stp>
        <stp>12/31/2018</stp>
        <stp>1</stp>
        <tr r="J2965" s="1"/>
      </tp>
      <tp>
        <v>0.88867328229999998</v>
        <stp/>
        <stp>EM_S_FA_NETPROFITMARGIN</stp>
        <stp>3</stp>
        <stp>600630</stp>
        <stp>12/31/2018</stp>
        <stp>1</stp>
        <tr r="J2003" s="1"/>
      </tp>
      <tp>
        <v>6.0444560869000004</v>
        <stp/>
        <stp>EM_S_FA_NETPROFITMARGIN</stp>
        <stp>3</stp>
        <stp>603933</stp>
        <stp>12/31/2018</stp>
        <stp>1</stp>
        <tr r="J2900" s="1"/>
      </tp>
      <tp>
        <v>13.657186036800001</v>
        <stp/>
        <stp>EM_S_FA_NETPROFITMARGIN</stp>
        <stp>3</stp>
        <stp>603833</stp>
        <stp>12/31/2018</stp>
        <stp>1</stp>
        <tr r="J634" s="1"/>
      </tp>
      <tp>
        <v>9.3935091502999999</v>
        <stp/>
        <stp>EM_S_FA_NETPROFITMARGIN</stp>
        <stp>3</stp>
        <stp>603133</stp>
        <stp>12/31/2018</stp>
        <stp>1</stp>
        <tr r="J506" s="1"/>
      </tp>
      <tp>
        <v>7.3869810953000004</v>
        <stp/>
        <stp>EM_S_FA_NETPROFITMARGIN</stp>
        <stp>3</stp>
        <stp>603033</stp>
        <stp>12/31/2018</stp>
        <stp>1</stp>
        <tr r="J2572" s="1"/>
      </tp>
      <tp>
        <v>3.6805733724</v>
        <stp/>
        <stp>EM_S_FA_NETPROFITMARGIN</stp>
        <stp>3</stp>
        <stp>603333</stp>
        <stp>12/31/2018</stp>
        <stp>1</stp>
        <tr r="J196" s="1"/>
      </tp>
      <tp>
        <v>5.9337588167000002</v>
        <stp/>
        <stp>EM_S_FA_NETPROFITMARGIN</stp>
        <stp>3</stp>
        <stp>603233</stp>
        <stp>12/31/2018</stp>
        <stp>1</stp>
        <tr r="J958" s="1"/>
      </tp>
      <tp>
        <v>7.1526601078000001</v>
        <stp/>
        <stp>EM_S_FA_NETPROFITMARGIN</stp>
        <stp>3</stp>
        <stp>603533</stp>
        <stp>12/31/2018</stp>
        <stp>1</stp>
        <tr r="J2569" s="1"/>
      </tp>
      <tp>
        <v>7.1420160307999998</v>
        <stp/>
        <stp>EM_S_FA_NETPROFITMARGIN</stp>
        <stp>3</stp>
        <stp>603733</stp>
        <stp>12/31/2018</stp>
        <stp>1</stp>
        <tr r="J2668" s="1"/>
      </tp>
      <tp>
        <v>9.9844556099999995</v>
        <stp/>
        <stp>EM_S_FA_NETPROFITMARGIN</stp>
        <stp>3</stp>
        <stp>603633</stp>
        <stp>12/31/2018</stp>
        <stp>1</stp>
        <tr r="J2051" s="1"/>
      </tp>
      <tp>
        <v>12.5781438533</v>
        <stp/>
        <stp>EM_S_FA_NETPROFITMARGIN</stp>
        <stp>3</stp>
        <stp>002853</stp>
        <stp>12/31/2018</stp>
        <stp>1</stp>
        <tr r="J2233" s="1"/>
      </tp>
      <tp>
        <v>17.519213194199999</v>
        <stp/>
        <stp>EM_S_FA_NETPROFITMARGIN</stp>
        <stp>3</stp>
        <stp>002153</stp>
        <stp>12/31/2018</stp>
        <stp>1</stp>
        <tr r="J541" s="1"/>
      </tp>
      <tp>
        <v>8.4155464782999996</v>
        <stp/>
        <stp>EM_S_FA_NETPROFITMARGIN</stp>
        <stp>3</stp>
        <stp>002053</stp>
        <stp>12/31/2018</stp>
        <stp>1</stp>
        <tr r="J3619" s="1"/>
      </tp>
      <tp>
        <v>13.850546466000001</v>
        <stp/>
        <stp>EM_S_FA_NETPROFITMARGIN</stp>
        <stp>3</stp>
        <stp>002353</stp>
        <stp>12/31/2018</stp>
        <stp>1</stp>
        <tr r="J89" s="1"/>
      </tp>
      <tp>
        <v>15.9606909687</v>
        <stp/>
        <stp>EM_S_FA_NETPROFITMARGIN</stp>
        <stp>3</stp>
        <stp>002253</stp>
        <stp>12/31/2018</stp>
        <stp>1</stp>
        <tr r="J1773" s="1"/>
      </tp>
      <tp>
        <v>22.938045385999999</v>
        <stp/>
        <stp>EM_S_FA_NETPROFITMARGIN</stp>
        <stp>3</stp>
        <stp>002553</stp>
        <stp>12/31/2018</stp>
        <stp>1</stp>
        <tr r="J2055" s="1"/>
      </tp>
      <tp>
        <v>1.5785118595000001</v>
        <stp/>
        <stp>EM_S_FA_NETPROFITMARGIN</stp>
        <stp>3</stp>
        <stp>002453</stp>
        <stp>12/31/2018</stp>
        <stp>1</stp>
        <tr r="J2057" s="1"/>
      </tp>
      <tp>
        <v>10.7411400497</v>
        <stp/>
        <stp>EM_S_FA_NETPROFITMARGIN</stp>
        <stp>3</stp>
        <stp>002753</stp>
        <stp>12/31/2018</stp>
        <stp>1</stp>
        <tr r="J2896" s="1"/>
      </tp>
      <tp>
        <v>9.2667843211999994</v>
        <stp/>
        <stp>EM_S_FA_NETPROFITMARGIN</stp>
        <stp>3</stp>
        <stp>002653</stp>
        <stp>12/31/2018</stp>
        <stp>1</stp>
        <tr r="J337" s="1"/>
      </tp>
      <tp>
        <v>1.4144212314</v>
        <stp/>
        <stp>EM_S_FA_NETPROFITMARGIN</stp>
        <stp>3</stp>
        <stp>601933</stp>
        <stp>12/31/2018</stp>
        <stp>1</stp>
        <tr r="J2507" s="1"/>
      </tp>
      <tp>
        <v>3.9289561943</v>
        <stp/>
        <stp>EM_S_FA_NETPROFITMARGIN</stp>
        <stp>3</stp>
        <stp>601333</stp>
        <stp>12/31/2018</stp>
        <stp>1</stp>
        <tr r="J2471" s="1"/>
      </tp>
      <tp>
        <v>5.1235877987</v>
        <stp/>
        <stp>EM_S_FA_NETPROFITMARGIN</stp>
        <stp>3</stp>
        <stp>601233</stp>
        <stp>12/31/2018</stp>
        <stp>1</stp>
        <tr r="J521" s="1"/>
      </tp>
      <tp>
        <v>5.3656919111999999</v>
        <stp/>
        <stp>EM_S_FA_NETPROFITMARGIN</stp>
        <stp>3</stp>
        <stp>601633</stp>
        <stp>12/31/2018</stp>
        <stp>1</stp>
        <tr r="J446" s="1"/>
      </tp>
      <tp>
        <v>-118.46936440659999</v>
        <stp/>
        <stp>EM_S_FA_NETPROFITMARGIN</stp>
        <stp>3</stp>
        <stp>000953</stp>
        <stp>12/31/2018</stp>
        <stp>1</stp>
        <tr r="J3584" s="1"/>
      </tp>
      <tp>
        <v>18.929796755800002</v>
        <stp/>
        <stp>EM_S_FA_NETPROFITMARGIN</stp>
        <stp>3</stp>
        <stp>600933</stp>
        <stp>12/31/2018</stp>
        <stp>1</stp>
        <tr r="J256" s="1"/>
      </tp>
      <tp>
        <v>4.0101729828000003</v>
        <stp/>
        <stp>EM_S_FA_NETPROFITMARGIN</stp>
        <stp>3</stp>
        <stp>600833</stp>
        <stp>12/31/2018</stp>
        <stp>1</stp>
        <tr r="J2110" s="1"/>
      </tp>
      <tp>
        <v>2.0145860196999998</v>
        <stp/>
        <stp>EM_S_FA_NETPROFITMARGIN</stp>
        <stp>3</stp>
        <stp>000153</stp>
        <stp>12/31/2018</stp>
        <stp>1</stp>
        <tr r="J917" s="1"/>
      </tp>
      <tp>
        <v>-36.615057197399999</v>
        <stp/>
        <stp>EM_S_FA_NETPROFITMARGIN</stp>
        <stp>3</stp>
        <stp>300163</stp>
        <stp>12/31/2018</stp>
        <stp>1</stp>
        <tr r="J1700" s="1"/>
      </tp>
      <tp>
        <v>4.8667973696000004</v>
        <stp/>
        <stp>EM_S_FA_NETPROFITMARGIN</stp>
        <stp>3</stp>
        <stp>600133</stp>
        <stp>12/31/2018</stp>
        <stp>1</stp>
        <tr r="J2928" s="1"/>
      </tp>
      <tp>
        <v>-11.362031924</v>
        <stp/>
        <stp>EM_S_FA_NETPROFITMARGIN</stp>
        <stp>3</stp>
        <stp>300063</stp>
        <stp>12/31/2018</stp>
        <stp>1</stp>
        <tr r="J2700" s="1"/>
      </tp>
      <tp>
        <v>35.987505533399997</v>
        <stp/>
        <stp>EM_S_FA_NETPROFITMARGIN</stp>
        <stp>3</stp>
        <stp>600033</stp>
        <stp>12/31/2018</stp>
        <stp>1</stp>
        <tr r="J2105" s="1"/>
      </tp>
      <tp>
        <v>9.4054170661000001</v>
        <stp/>
        <stp>EM_S_FA_NETPROFITMARGIN</stp>
        <stp>3</stp>
        <stp>300363</stp>
        <stp>12/31/2018</stp>
        <stp>1</stp>
        <tr r="J577" s="1"/>
      </tp>
      <tp>
        <v>-4.5678920937000003</v>
        <stp/>
        <stp>EM_S_FA_NETPROFITMARGIN</stp>
        <stp>3</stp>
        <stp>600333</stp>
        <stp>12/31/2018</stp>
        <stp>1</stp>
        <tr r="J2670" s="1"/>
      </tp>
      <tp>
        <v>9.2309982511000008</v>
        <stp/>
        <stp>EM_S_FA_NETPROFITMARGIN</stp>
        <stp>3</stp>
        <stp>300263</stp>
        <stp>12/31/2018</stp>
        <stp>1</stp>
        <tr r="J837" s="1"/>
      </tp>
      <tp>
        <v>7.0332360010999997</v>
        <stp/>
        <stp>EM_S_FA_NETPROFITMARGIN</stp>
        <stp>3</stp>
        <stp>600233</stp>
        <stp>12/31/2018</stp>
        <stp>1</stp>
        <tr r="J1032" s="1"/>
      </tp>
      <tp>
        <v>9.3790780358999992</v>
        <stp/>
        <stp>EM_S_FA_NETPROFITMARGIN</stp>
        <stp>3</stp>
        <stp>000553</stp>
        <stp>12/31/2018</stp>
        <stp>1</stp>
        <tr r="J1907" s="1"/>
      </tp>
      <tp>
        <v>11.923643629800001</v>
        <stp/>
        <stp>EM_S_FA_NETPROFITMARGIN</stp>
        <stp>3</stp>
        <stp>300563</stp>
        <stp>12/31/2018</stp>
        <stp>1</stp>
        <tr r="J1534" s="1"/>
      </tp>
      <tp>
        <v>9.3878575195000007</v>
        <stp/>
        <stp>EM_S_FA_NETPROFITMARGIN</stp>
        <stp>3</stp>
        <stp>600533</stp>
        <stp>12/31/2018</stp>
        <stp>1</stp>
        <tr r="J1535" s="1"/>
      </tp>
      <tp>
        <v>17.9837912385</v>
        <stp/>
        <stp>EM_S_FA_NETPROFITMARGIN</stp>
        <stp>3</stp>
        <stp>300463</stp>
        <stp>12/31/2018</stp>
        <stp>1</stp>
        <tr r="J238" s="1"/>
      </tp>
      <tp>
        <v>4.1959593204000001</v>
        <stp/>
        <stp>EM_S_FA_NETPROFITMARGIN</stp>
        <stp>3</stp>
        <stp>600433</stp>
        <stp>12/31/2018</stp>
        <stp>1</stp>
        <tr r="J2625" s="1"/>
      </tp>
      <tp>
        <v>2.7005211486</v>
        <stp/>
        <stp>EM_S_FA_NETPROFITMARGIN</stp>
        <stp>3</stp>
        <stp>000753</stp>
        <stp>12/31/2018</stp>
        <stp>1</stp>
        <tr r="J2257" s="1"/>
      </tp>
      <tp>
        <v>0.87762719239999998</v>
        <stp/>
        <stp>EM_S_FA_NETPROFITMARGIN</stp>
        <stp>3</stp>
        <stp>600733</stp>
        <stp>12/31/2018</stp>
        <stp>1</stp>
        <tr r="J3186" s="1"/>
      </tp>
      <tp>
        <v>0</v>
        <stp/>
        <stp>EM_S_FA_NETPROFITMARGIN</stp>
        <stp>3</stp>
        <stp>000653</stp>
        <stp>12/31/2018</stp>
        <stp>1</stp>
        <tr r="J3493" s="1"/>
      </tp>
      <tp>
        <v>5.5871331101999999</v>
        <stp/>
        <stp>EM_S_FA_NETPROFITMARGIN</stp>
        <stp>3</stp>
        <stp>300663</stp>
        <stp>12/31/2018</stp>
        <stp>1</stp>
        <tr r="J224" s="1"/>
      </tp>
      <tp>
        <v>29.984096618999999</v>
        <stp/>
        <stp>EM_S_FA_NETPROFITMARGIN</stp>
        <stp>3</stp>
        <stp>600633</stp>
        <stp>12/31/2018</stp>
        <stp>1</stp>
        <tr r="J1476" s="1"/>
      </tp>
      <tp>
        <v>151.82537611660001</v>
        <stp/>
        <stp>EM_S_FA_NETPROFITMARGIN</stp>
        <stp>3</stp>
        <stp>603032</stp>
        <stp>12/31/2018</stp>
        <stp>1</stp>
        <tr r="J3116" s="1"/>
      </tp>
      <tp>
        <v>23.308351377899999</v>
        <stp/>
        <stp>EM_S_FA_NETPROFITMARGIN</stp>
        <stp>3</stp>
        <stp>603232</stp>
        <stp>12/31/2018</stp>
        <stp>1</stp>
        <tr r="J680" s="1"/>
      </tp>
      <tp>
        <v>6.1520746745999997</v>
        <stp/>
        <stp>EM_S_FA_NETPROFITMARGIN</stp>
        <stp>3</stp>
        <stp>002852</stp>
        <stp>12/31/2018</stp>
        <stp>1</stp>
        <tr r="J1784" s="1"/>
      </tp>
      <tp>
        <v>14.361749615300001</v>
        <stp/>
        <stp>EM_S_FA_NETPROFITMARGIN</stp>
        <stp>3</stp>
        <stp>002152</stp>
        <stp>12/31/2018</stp>
        <stp>1</stp>
        <tr r="J279" s="1"/>
      </tp>
      <tp>
        <v>-41.4624606008</v>
        <stp/>
        <stp>EM_S_FA_NETPROFITMARGIN</stp>
        <stp>3</stp>
        <stp>002052</stp>
        <stp>12/31/2018</stp>
        <stp>1</stp>
        <tr r="J3618" s="1"/>
      </tp>
      <tp>
        <v>4.9088809934000004</v>
        <stp/>
        <stp>EM_S_FA_NETPROFITMARGIN</stp>
        <stp>3</stp>
        <stp>002352</stp>
        <stp>12/31/2018</stp>
        <stp>1</stp>
        <tr r="J1475" s="1"/>
      </tp>
      <tp>
        <v>-84.4234990848</v>
        <stp/>
        <stp>EM_S_FA_NETPROFITMARGIN</stp>
        <stp>3</stp>
        <stp>002252</stp>
        <stp>12/31/2018</stp>
        <stp>1</stp>
        <tr r="J2752" s="1"/>
      </tp>
      <tp>
        <v>9.2286652983999993</v>
        <stp/>
        <stp>EM_S_FA_NETPROFITMARGIN</stp>
        <stp>3</stp>
        <stp>002552</stp>
        <stp>12/31/2018</stp>
        <stp>1</stp>
        <tr r="J17" s="1"/>
      </tp>
      <tp>
        <v>-23.300022905999999</v>
        <stp/>
        <stp>EM_S_FA_NETPROFITMARGIN</stp>
        <stp>3</stp>
        <stp>002452</stp>
        <stp>12/31/2018</stp>
        <stp>1</stp>
        <tr r="J763" s="1"/>
      </tp>
      <tp>
        <v>1.9733342966</v>
        <stp/>
        <stp>EM_S_FA_NETPROFITMARGIN</stp>
        <stp>3</stp>
        <stp>002752</stp>
        <stp>12/31/2018</stp>
        <stp>1</stp>
        <tr r="J2953" s="1"/>
      </tp>
      <tp>
        <v>2.3635520549</v>
        <stp/>
        <stp>EM_S_FA_NETPROFITMARGIN</stp>
        <stp>3</stp>
        <stp>002652</stp>
        <stp>12/31/2018</stp>
        <stp>1</stp>
        <tr r="J2182" s="1"/>
      </tp>
      <tp>
        <v>20.5503169986</v>
        <stp/>
        <stp>EM_S_FA_NETPROFITMARGIN</stp>
        <stp>3</stp>
        <stp>000952</stp>
        <stp>12/31/2018</stp>
        <stp>1</stp>
        <tr r="J2593" s="1"/>
      </tp>
      <tp>
        <v>0.64945780769999994</v>
        <stp/>
        <stp>EM_S_FA_NETPROFITMARGIN</stp>
        <stp>3</stp>
        <stp>000852</stp>
        <stp>12/31/2018</stp>
        <stp>1</stp>
        <tr r="J2811" s="1"/>
      </tp>
      <tp>
        <v>0</v>
        <stp/>
        <stp>EM_S_FA_NETPROFITMARGIN</stp>
        <stp>3</stp>
        <stp>600832</stp>
        <stp>12/31/2018</stp>
        <stp>1</stp>
        <tr r="J2328" s="1"/>
      </tp>
      <tp>
        <v>-5.1033293189000002</v>
        <stp/>
        <stp>EM_S_FA_NETPROFITMARGIN</stp>
        <stp>3</stp>
        <stp>300162</stp>
        <stp>12/31/2018</stp>
        <stp>1</stp>
        <tr r="J194" s="1"/>
      </tp>
      <tp>
        <v>12.149369978099999</v>
        <stp/>
        <stp>EM_S_FA_NETPROFITMARGIN</stp>
        <stp>3</stp>
        <stp>600132</stp>
        <stp>12/31/2018</stp>
        <stp>1</stp>
        <tr r="J313" s="1"/>
      </tp>
      <tp>
        <v>2.0186797106999999</v>
        <stp/>
        <stp>EM_S_FA_NETPROFITMARGIN</stp>
        <stp>3</stp>
        <stp>300062</stp>
        <stp>12/31/2018</stp>
        <stp>1</stp>
        <tr r="J1772" s="1"/>
      </tp>
      <tp>
        <v>-502.9992469915</v>
        <stp/>
        <stp>EM_S_FA_NETPROFITMARGIN</stp>
        <stp>3</stp>
        <stp>300362</stp>
        <stp>12/31/2018</stp>
        <stp>1</stp>
        <tr r="J3359" s="1"/>
      </tp>
      <tp>
        <v>8.3670260601000006</v>
        <stp/>
        <stp>EM_S_FA_NETPROFITMARGIN</stp>
        <stp>3</stp>
        <stp>600332</stp>
        <stp>12/31/2018</stp>
        <stp>1</stp>
        <tr r="J2596" s="1"/>
      </tp>
      <tp>
        <v>10.3994258033</v>
        <stp/>
        <stp>EM_S_FA_NETPROFITMARGIN</stp>
        <stp>3</stp>
        <stp>300262</stp>
        <stp>12/31/2018</stp>
        <stp>1</stp>
        <tr r="J2823" s="1"/>
      </tp>
      <tp>
        <v>3.3655025661</v>
        <stp/>
        <stp>EM_S_FA_NETPROFITMARGIN</stp>
        <stp>3</stp>
        <stp>600232</stp>
        <stp>12/31/2018</stp>
        <stp>1</stp>
        <tr r="J942" s="1"/>
      </tp>
      <tp>
        <v>14.0140787097</v>
        <stp/>
        <stp>EM_S_FA_NETPROFITMARGIN</stp>
        <stp>3</stp>
        <stp>000552</stp>
        <stp>12/31/2018</stp>
        <stp>1</stp>
        <tr r="J2352" s="1"/>
      </tp>
      <tp>
        <v>2.8428302950000002</v>
        <stp/>
        <stp>EM_S_FA_NETPROFITMARGIN</stp>
        <stp>3</stp>
        <stp>300562</stp>
        <stp>12/31/2018</stp>
        <stp>1</stp>
        <tr r="J550" s="1"/>
      </tp>
      <tp>
        <v>0.42297611419999998</v>
        <stp/>
        <stp>EM_S_FA_NETPROFITMARGIN</stp>
        <stp>3</stp>
        <stp>600532</stp>
        <stp>12/31/2018</stp>
        <stp>1</stp>
        <tr r="J2419" s="1"/>
      </tp>
      <tp>
        <v>19.7709748487</v>
        <stp/>
        <stp>EM_S_FA_NETPROFITMARGIN</stp>
        <stp>3</stp>
        <stp>300462</stp>
        <stp>12/31/2018</stp>
        <stp>1</stp>
        <tr r="J369" s="1"/>
      </tp>
      <tp>
        <v>-63.452984600199997</v>
        <stp/>
        <stp>EM_S_FA_NETPROFITMARGIN</stp>
        <stp>3</stp>
        <stp>600432</stp>
        <stp>12/31/2018</stp>
        <stp>1</stp>
        <tr r="J2302" s="1"/>
      </tp>
      <tp>
        <v>-118.5520479617</v>
        <stp/>
        <stp>EM_S_FA_NETPROFITMARGIN</stp>
        <stp>3</stp>
        <stp>000752</stp>
        <stp>12/31/2018</stp>
        <stp>1</stp>
        <tr r="J3527" s="1"/>
      </tp>
      <tp>
        <v>12.3250695493</v>
        <stp/>
        <stp>EM_S_FA_NETPROFITMARGIN</stp>
        <stp>3</stp>
        <stp>600732</stp>
        <stp>12/31/2018</stp>
        <stp>1</stp>
        <tr r="J281" s="1"/>
      </tp>
      <tp>
        <v>2.3366485308999998</v>
        <stp/>
        <stp>EM_S_FA_NETPROFITMARGIN</stp>
        <stp>3</stp>
        <stp>000652</stp>
        <stp>12/31/2018</stp>
        <stp>1</stp>
        <tr r="J1224" s="1"/>
      </tp>
      <tp>
        <v>6.2383434672</v>
        <stp/>
        <stp>EM_S_FA_NETPROFITMARGIN</stp>
        <stp>3</stp>
        <stp>300662</stp>
        <stp>12/31/2018</stp>
        <stp>1</stp>
        <tr r="J1399" s="1"/>
      </tp>
      <tp>
        <v>0</v>
        <stp/>
        <stp>EM_S_FA_NETPROFITMARGIN</stp>
        <stp>3</stp>
        <stp>600632</stp>
        <stp>12/31/2018</stp>
        <stp>1</stp>
        <tr r="J2310" s="1"/>
      </tp>
      <tp>
        <v>23.004554745899998</v>
        <stp/>
        <stp>EM_S_FA_NETPROFITMARGIN</stp>
        <stp>3</stp>
        <stp>603035</stp>
        <stp>12/31/2018</stp>
        <stp>1</stp>
        <tr r="J1913" s="1"/>
      </tp>
      <tp>
        <v>2.1335214258000001</v>
        <stp/>
        <stp>EM_S_FA_NETPROFITMARGIN</stp>
        <stp>3</stp>
        <stp>603335</stp>
        <stp>12/31/2018</stp>
        <stp>1</stp>
        <tr r="J3070" s="1"/>
      </tp>
      <tp>
        <v>12.3510473036</v>
        <stp/>
        <stp>EM_S_FA_NETPROFITMARGIN</stp>
        <stp>3</stp>
        <stp>603535</stp>
        <stp>12/31/2018</stp>
        <stp>1</stp>
        <tr r="J2420" s="1"/>
      </tp>
      <tp>
        <v>1.1591545818</v>
        <stp/>
        <stp>EM_S_FA_NETPROFITMARGIN</stp>
        <stp>3</stp>
        <stp>002855</stp>
        <stp>12/31/2018</stp>
        <stp>1</stp>
        <tr r="J475" s="1"/>
      </tp>
      <tp>
        <v>2.0802271452999999</v>
        <stp/>
        <stp>EM_S_FA_NETPROFITMARGIN</stp>
        <stp>3</stp>
        <stp>002155</stp>
        <stp>12/31/2018</stp>
        <stp>1</stp>
        <tr r="J2369" s="1"/>
      </tp>
      <tp>
        <v>3.2998362804000001</v>
        <stp/>
        <stp>EM_S_FA_NETPROFITMARGIN</stp>
        <stp>3</stp>
        <stp>002055</stp>
        <stp>12/31/2018</stp>
        <stp>1</stp>
        <tr r="J1666" s="1"/>
      </tp>
      <tp>
        <v>-13.246672998899999</v>
        <stp/>
        <stp>EM_S_FA_NETPROFITMARGIN</stp>
        <stp>3</stp>
        <stp>002355</stp>
        <stp>12/31/2018</stp>
        <stp>1</stp>
        <tr r="J2718" s="1"/>
      </tp>
      <tp>
        <v>-6.4975975555999996</v>
        <stp/>
        <stp>EM_S_FA_NETPROFITMARGIN</stp>
        <stp>3</stp>
        <stp>002255</stp>
        <stp>12/31/2018</stp>
        <stp>1</stp>
        <tr r="J3028" s="1"/>
      </tp>
      <tp>
        <v>15.085525453000001</v>
        <stp/>
        <stp>EM_S_FA_NETPROFITMARGIN</stp>
        <stp>3</stp>
        <stp>002555</stp>
        <stp>12/31/2018</stp>
        <stp>1</stp>
        <tr r="J50" s="1"/>
      </tp>
      <tp>
        <v>3.4953968005</v>
        <stp/>
        <stp>EM_S_FA_NETPROFITMARGIN</stp>
        <stp>3</stp>
        <stp>002455</stp>
        <stp>12/31/2018</stp>
        <stp>1</stp>
        <tr r="J1250" s="1"/>
      </tp>
      <tp>
        <v>17.012304959600002</v>
        <stp/>
        <stp>EM_S_FA_NETPROFITMARGIN</stp>
        <stp>3</stp>
        <stp>002755</stp>
        <stp>12/31/2018</stp>
        <stp>1</stp>
        <tr r="J1289" s="1"/>
      </tp>
      <tp>
        <v>2.6530084360999999</v>
        <stp/>
        <stp>EM_S_FA_NETPROFITMARGIN</stp>
        <stp>3</stp>
        <stp>002655</stp>
        <stp>12/31/2018</stp>
        <stp>1</stp>
        <tr r="J153" s="1"/>
      </tp>
      <tp>
        <v>-15.2483622933</v>
        <stp/>
        <stp>EM_S_FA_NETPROFITMARGIN</stp>
        <stp>3</stp>
        <stp>000955</stp>
        <stp>12/31/2018</stp>
        <stp>1</stp>
        <tr r="J3585" s="1"/>
      </tp>
      <tp>
        <v>10.058129188500001</v>
        <stp/>
        <stp>EM_S_FA_NETPROFITMARGIN</stp>
        <stp>3</stp>
        <stp>600835</stp>
        <stp>12/31/2018</stp>
        <stp>1</stp>
        <tr r="J1537" s="1"/>
      </tp>
      <tp>
        <v>9.6190916209000008</v>
        <stp/>
        <stp>EM_S_FA_NETPROFITMARGIN</stp>
        <stp>3</stp>
        <stp>000155</stp>
        <stp>12/31/2018</stp>
        <stp>1</stp>
        <tr r="J1263" s="1"/>
      </tp>
      <tp>
        <v>4.9036217251999998</v>
        <stp/>
        <stp>EM_S_FA_NETPROFITMARGIN</stp>
        <stp>3</stp>
        <stp>300165</stp>
        <stp>12/31/2018</stp>
        <stp>1</stp>
        <tr r="J1207" s="1"/>
      </tp>
      <tp>
        <v>1.1483881255999999</v>
        <stp/>
        <stp>EM_S_FA_NETPROFITMARGIN</stp>
        <stp>3</stp>
        <stp>600135</stp>
        <stp>12/31/2018</stp>
        <stp>1</stp>
        <tr r="J1020" s="1"/>
      </tp>
      <tp>
        <v>73.676622657899998</v>
        <stp/>
        <stp>EM_S_FA_NETPROFITMARGIN</stp>
        <stp>3</stp>
        <stp>000055</stp>
        <stp>12/31/2018</stp>
        <stp>1</stp>
        <tr r="J1107" s="1"/>
      </tp>
      <tp>
        <v>17.843141932799998</v>
        <stp/>
        <stp>EM_S_FA_NETPROFITMARGIN</stp>
        <stp>3</stp>
        <stp>300065</stp>
        <stp>12/31/2018</stp>
        <stp>1</stp>
        <tr r="J1337" s="1"/>
      </tp>
      <tp>
        <v>14.353288173699999</v>
        <stp/>
        <stp>EM_S_FA_NETPROFITMARGIN</stp>
        <stp>3</stp>
        <stp>600035</stp>
        <stp>12/31/2018</stp>
        <stp>1</stp>
        <tr r="J1452" s="1"/>
      </tp>
      <tp>
        <v>23.0088499298</v>
        <stp/>
        <stp>EM_S_FA_NETPROFITMARGIN</stp>
        <stp>3</stp>
        <stp>300365</stp>
        <stp>12/31/2018</stp>
        <stp>1</stp>
        <tr r="J3299" s="1"/>
      </tp>
      <tp>
        <v>1.2437307271</v>
        <stp/>
        <stp>EM_S_FA_NETPROFITMARGIN</stp>
        <stp>3</stp>
        <stp>600335</stp>
        <stp>12/31/2018</stp>
        <stp>1</stp>
        <tr r="J2633" s="1"/>
      </tp>
      <tp>
        <v>2.5751227066000002</v>
        <stp/>
        <stp>EM_S_FA_NETPROFITMARGIN</stp>
        <stp>3</stp>
        <stp>300265</stp>
        <stp>12/31/2018</stp>
        <stp>1</stp>
        <tr r="J2552" s="1"/>
      </tp>
      <tp>
        <v>0.58276916209999996</v>
        <stp/>
        <stp>EM_S_FA_NETPROFITMARGIN</stp>
        <stp>3</stp>
        <stp>600235</stp>
        <stp>12/31/2018</stp>
        <stp>1</stp>
        <tr r="J2924" s="1"/>
      </tp>
      <tp>
        <v>0.52074586940000001</v>
        <stp/>
        <stp>EM_S_FA_NETPROFITMARGIN</stp>
        <stp>3</stp>
        <stp>000555</stp>
        <stp>12/31/2018</stp>
        <stp>1</stp>
        <tr r="J519" s="1"/>
      </tp>
      <tp>
        <v>3.0781253057</v>
        <stp/>
        <stp>EM_S_FA_NETPROFITMARGIN</stp>
        <stp>3</stp>
        <stp>300565</stp>
        <stp>12/31/2018</stp>
        <stp>1</stp>
        <tr r="J3141" s="1"/>
      </tp>
      <tp>
        <v>8.8492099845999999</v>
        <stp/>
        <stp>EM_S_FA_NETPROFITMARGIN</stp>
        <stp>3</stp>
        <stp>600535</stp>
        <stp>12/31/2018</stp>
        <stp>1</stp>
        <tr r="J3081" s="1"/>
      </tp>
      <tp>
        <v>6.9427420805000004</v>
        <stp/>
        <stp>EM_S_FA_NETPROFITMARGIN</stp>
        <stp>3</stp>
        <stp>300465</stp>
        <stp>12/31/2018</stp>
        <stp>1</stp>
        <tr r="J477" s="1"/>
      </tp>
      <tp>
        <v>6.3974380769000003</v>
        <stp/>
        <stp>EM_S_FA_NETPROFITMARGIN</stp>
        <stp>3</stp>
        <stp>600435</stp>
        <stp>12/31/2018</stp>
        <stp>1</stp>
        <tr r="J1564" s="1"/>
      </tp>
      <tp>
        <v>2.8532382445</v>
        <stp/>
        <stp>EM_S_FA_NETPROFITMARGIN</stp>
        <stp>3</stp>
        <stp>000755</stp>
        <stp>12/31/2018</stp>
        <stp>1</stp>
        <tr r="J3528" s="1"/>
      </tp>
      <tp>
        <v>8.3801689575000005</v>
        <stp/>
        <stp>EM_S_FA_NETPROFITMARGIN</stp>
        <stp>3</stp>
        <stp>600735</stp>
        <stp>12/31/2018</stp>
        <stp>1</stp>
        <tr r="J990" s="1"/>
      </tp>
      <tp>
        <v>9.6007447860999999</v>
        <stp/>
        <stp>EM_S_FA_NETPROFITMARGIN</stp>
        <stp>3</stp>
        <stp>000655</stp>
        <stp>12/31/2018</stp>
        <stp>1</stp>
        <tr r="J3494" s="1"/>
      </tp>
      <tp>
        <v>6.9037991465999999</v>
        <stp/>
        <stp>EM_S_FA_NETPROFITMARGIN</stp>
        <stp>3</stp>
        <stp>300665</stp>
        <stp>12/31/2018</stp>
        <stp>1</stp>
        <tr r="J1720" s="1"/>
      </tp>
      <tp>
        <v>8.6878282032000005</v>
        <stp/>
        <stp>EM_S_FA_NETPROFITMARGIN</stp>
        <stp>3</stp>
        <stp>600635</stp>
        <stp>12/31/2018</stp>
        <stp>1</stp>
        <tr r="J2147" s="1"/>
      </tp>
      <tp>
        <v>1.6378169086000001</v>
        <stp/>
        <stp>EM_S_FA_NETPROFITMARGIN</stp>
        <stp>3</stp>
        <stp>002154</stp>
        <stp>12/31/2018</stp>
        <stp>1</stp>
        <tr r="J1861" s="1"/>
      </tp>
      <tp>
        <v>3.8105249171</v>
        <stp/>
        <stp>EM_S_FA_NETPROFITMARGIN</stp>
        <stp>3</stp>
        <stp>002054</stp>
        <stp>12/31/2018</stp>
        <stp>1</stp>
        <tr r="J3620" s="1"/>
      </tp>
      <tp>
        <v>-268.50579099340001</v>
        <stp/>
        <stp>EM_S_FA_NETPROFITMARGIN</stp>
        <stp>3</stp>
        <stp>002354</stp>
        <stp>12/31/2018</stp>
        <stp>1</stp>
        <tr r="J3345" s="1"/>
      </tp>
      <tp>
        <v>6.8993283477</v>
        <stp/>
        <stp>EM_S_FA_NETPROFITMARGIN</stp>
        <stp>3</stp>
        <stp>002254</stp>
        <stp>12/31/2018</stp>
        <stp>1</stp>
        <tr r="J2504" s="1"/>
      </tp>
      <tp>
        <v>-29.9527715384</v>
        <stp/>
        <stp>EM_S_FA_NETPROFITMARGIN</stp>
        <stp>3</stp>
        <stp>002554</stp>
        <stp>12/31/2018</stp>
        <stp>1</stp>
        <tr r="J1656" s="1"/>
      </tp>
      <tp>
        <v>5.3265944405000001</v>
        <stp/>
        <stp>EM_S_FA_NETPROFITMARGIN</stp>
        <stp>3</stp>
        <stp>002454</stp>
        <stp>12/31/2018</stp>
        <stp>1</stp>
        <tr r="J1327" s="1"/>
      </tp>
      <tp>
        <v>-24.359134362999999</v>
        <stp/>
        <stp>EM_S_FA_NETPROFITMARGIN</stp>
        <stp>3</stp>
        <stp>002654</stp>
        <stp>12/31/2018</stp>
        <stp>1</stp>
        <tr r="J606" s="1"/>
      </tp>
      <tp>
        <v>4.0751612967000002</v>
        <stp/>
        <stp>EM_S_FA_NETPROFITMARGIN</stp>
        <stp>3</stp>
        <stp>600834</stp>
        <stp>12/31/2018</stp>
        <stp>1</stp>
        <tr r="J1990" s="1"/>
      </tp>
      <tp>
        <v>9.1607452580000004</v>
        <stp/>
        <stp>EM_S_FA_NETPROFITMARGIN</stp>
        <stp>3</stp>
        <stp>300164</stp>
        <stp>12/31/2018</stp>
        <stp>1</stp>
        <tr r="J2988" s="1"/>
      </tp>
      <tp>
        <v>7.4470524515000003</v>
        <stp/>
        <stp>EM_S_FA_NETPROFITMARGIN</stp>
        <stp>3</stp>
        <stp>300064</stp>
        <stp>12/31/2018</stp>
        <stp>1</stp>
        <tr r="J3172" s="1"/>
      </tp>
      <tp>
        <v>-169.9544885466</v>
        <stp/>
        <stp>EM_S_FA_NETPROFITMARGIN</stp>
        <stp>3</stp>
        <stp>300364</stp>
        <stp>12/31/2018</stp>
        <stp>1</stp>
        <tr r="J2917" s="1"/>
      </tp>
      <tp>
        <v>2.7536155779999998</v>
        <stp/>
        <stp>EM_S_FA_NETPROFITMARGIN</stp>
        <stp>3</stp>
        <stp>300264</stp>
        <stp>12/31/2018</stp>
        <stp>1</stp>
        <tr r="J2027" s="1"/>
      </tp>
      <tp>
        <v>-7.1001903980999996</v>
        <stp/>
        <stp>EM_S_FA_NETPROFITMARGIN</stp>
        <stp>3</stp>
        <stp>600234</stp>
        <stp>12/31/2018</stp>
        <stp>1</stp>
        <tr r="J1543" s="1"/>
      </tp>
      <tp>
        <v>6.6720420700000005E-2</v>
        <stp/>
        <stp>EM_S_FA_NETPROFITMARGIN</stp>
        <stp>3</stp>
        <stp>000554</stp>
        <stp>12/31/2018</stp>
        <stp>1</stp>
        <tr r="J2564" s="1"/>
      </tp>
      <tp>
        <v>0.49077548869999998</v>
        <stp/>
        <stp>EM_S_FA_NETPROFITMARGIN</stp>
        <stp>3</stp>
        <stp>300464</stp>
        <stp>12/31/2018</stp>
        <stp>1</stp>
        <tr r="J195" s="1"/>
      </tp>
      <tp>
        <v>-3.9522616907999999</v>
        <stp/>
        <stp>EM_S_FA_NETPROFITMARGIN</stp>
        <stp>3</stp>
        <stp>600734</stp>
        <stp>12/31/2018</stp>
        <stp>1</stp>
        <tr r="J1850" s="1"/>
      </tp>
      <tp>
        <v>21.429572112900001</v>
        <stp/>
        <stp>EM_S_FA_NETPROFITMARGIN</stp>
        <stp>3</stp>
        <stp>300664</stp>
        <stp>12/31/2018</stp>
        <stp>1</stp>
        <tr r="J1901" s="1"/>
      </tp>
      <tp>
        <v>-669.54159224119996</v>
        <stp/>
        <stp>EM_S_FA_NETPROFITMARGIN</stp>
        <stp>3</stp>
        <stp>600634</stp>
        <stp>12/31/2018</stp>
        <stp>1</stp>
        <tr r="J3293" s="1"/>
      </tp>
      <tp>
        <v>8.8094733299999994</v>
        <stp/>
        <stp>EM_S_FA_NETPROFITMARGIN</stp>
        <stp>3</stp>
        <stp>603937</stp>
        <stp>12/31/2018</stp>
        <stp>1</stp>
        <tr r="J2150" s="1"/>
      </tp>
      <tp>
        <v>23.095309901099998</v>
        <stp/>
        <stp>EM_S_FA_NETPROFITMARGIN</stp>
        <stp>3</stp>
        <stp>603037</stp>
        <stp>12/31/2018</stp>
        <stp>1</stp>
        <tr r="J2448" s="1"/>
      </tp>
      <tp>
        <v>10.9678792998</v>
        <stp/>
        <stp>EM_S_FA_NETPROFITMARGIN</stp>
        <stp>3</stp>
        <stp>603337</stp>
        <stp>12/31/2018</stp>
        <stp>1</stp>
        <tr r="J3338" s="1"/>
      </tp>
      <tp>
        <v>6.2077842479000003</v>
        <stp/>
        <stp>EM_S_FA_NETPROFITMARGIN</stp>
        <stp>3</stp>
        <stp>603737</stp>
        <stp>12/31/2018</stp>
        <stp>1</stp>
        <tr r="J124" s="1"/>
      </tp>
      <tp>
        <v>8.4672285047999996</v>
        <stp/>
        <stp>EM_S_FA_NETPROFITMARGIN</stp>
        <stp>3</stp>
        <stp>603637</stp>
        <stp>12/31/2018</stp>
        <stp>1</stp>
        <tr r="J2119" s="1"/>
      </tp>
      <tp>
        <v>15.8895512901</v>
        <stp/>
        <stp>EM_S_FA_NETPROFITMARGIN</stp>
        <stp>3</stp>
        <stp>002857</stp>
        <stp>12/31/2018</stp>
        <stp>1</stp>
        <tr r="J2140" s="1"/>
      </tp>
      <tp>
        <v>0.87074686290000003</v>
        <stp/>
        <stp>EM_S_FA_NETPROFITMARGIN</stp>
        <stp>3</stp>
        <stp>002157</stp>
        <stp>12/31/2018</stp>
        <stp>1</stp>
        <tr r="J45" s="1"/>
      </tp>
      <tp>
        <v>9.5594760003000001</v>
        <stp/>
        <stp>EM_S_FA_NETPROFITMARGIN</stp>
        <stp>3</stp>
        <stp>002057</stp>
        <stp>12/31/2018</stp>
        <stp>1</stp>
        <tr r="J460" s="1"/>
      </tp>
      <tp>
        <v>4.3709431091999997</v>
        <stp/>
        <stp>EM_S_FA_NETPROFITMARGIN</stp>
        <stp>3</stp>
        <stp>002357</stp>
        <stp>12/31/2018</stp>
        <stp>1</stp>
        <tr r="J1607" s="1"/>
      </tp>
      <tp>
        <v>0</v>
        <stp/>
        <stp>EM_S_FA_NETPROFITMARGIN</stp>
        <stp>3</stp>
        <stp>002257</stp>
        <stp>12/31/2018</stp>
        <stp>1</stp>
        <tr r="J5" s="1"/>
      </tp>
      <tp>
        <v>10.520982091500001</v>
        <stp/>
        <stp>EM_S_FA_NETPROFITMARGIN</stp>
        <stp>3</stp>
        <stp>002557</stp>
        <stp>12/31/2018</stp>
        <stp>1</stp>
        <tr r="J276" s="1"/>
      </tp>
      <tp>
        <v>5.3069791850000003</v>
        <stp/>
        <stp>EM_S_FA_NETPROFITMARGIN</stp>
        <stp>3</stp>
        <stp>002457</stp>
        <stp>12/31/2018</stp>
        <stp>1</stp>
        <tr r="J2255" s="1"/>
      </tp>
      <tp>
        <v>14.5306360283</v>
        <stp/>
        <stp>EM_S_FA_NETPROFITMARGIN</stp>
        <stp>3</stp>
        <stp>002757</stp>
        <stp>12/31/2018</stp>
        <stp>1</stp>
        <tr r="J3322" s="1"/>
      </tp>
      <tp>
        <v>-0.871691243</v>
        <stp/>
        <stp>EM_S_FA_NETPROFITMARGIN</stp>
        <stp>3</stp>
        <stp>002657</stp>
        <stp>12/31/2018</stp>
        <stp>1</stp>
        <tr r="J628" s="1"/>
      </tp>
      <tp>
        <v>5.5769897242999997</v>
        <stp/>
        <stp>EM_S_FA_NETPROFITMARGIN</stp>
        <stp>3</stp>
        <stp>601137</stp>
        <stp>12/31/2018</stp>
        <stp>1</stp>
        <tr r="J356" s="1"/>
      </tp>
      <tp>
        <v>0.60164040289999998</v>
        <stp/>
        <stp>EM_S_FA_NETPROFITMARGIN</stp>
        <stp>3</stp>
        <stp>000957</stp>
        <stp>12/31/2018</stp>
        <stp>1</stp>
        <tr r="J3587" s="1"/>
      </tp>
      <tp>
        <v>24.282368763499999</v>
        <stp/>
        <stp>EM_S_FA_NETPROFITMARGIN</stp>
        <stp>3</stp>
        <stp>600837</stp>
        <stp>12/31/2018</stp>
        <stp>1</stp>
        <tr r="J260" s="1"/>
      </tp>
      <tp>
        <v>6.8183500715000003</v>
        <stp/>
        <stp>EM_S_FA_NETPROFITMARGIN</stp>
        <stp>3</stp>
        <stp>000157</stp>
        <stp>12/31/2018</stp>
        <stp>1</stp>
        <tr r="J223" s="1"/>
      </tp>
      <tp>
        <v>-64.258683381799997</v>
        <stp/>
        <stp>EM_S_FA_NETPROFITMARGIN</stp>
        <stp>3</stp>
        <stp>300167</stp>
        <stp>12/31/2018</stp>
        <stp>1</stp>
        <tr r="J2101" s="1"/>
      </tp>
      <tp>
        <v>7.5239255993</v>
        <stp/>
        <stp>EM_S_FA_NETPROFITMARGIN</stp>
        <stp>3</stp>
        <stp>600137</stp>
        <stp>12/31/2018</stp>
        <stp>1</stp>
        <tr r="J896" s="1"/>
      </tp>
      <tp>
        <v>11.669969481000001</v>
        <stp/>
        <stp>EM_S_FA_NETPROFITMARGIN</stp>
        <stp>3</stp>
        <stp>300067</stp>
        <stp>12/31/2018</stp>
        <stp>1</stp>
        <tr r="J2899" s="1"/>
      </tp>
      <tp>
        <v>25.473526283199998</v>
        <stp/>
        <stp>EM_S_FA_NETPROFITMARGIN</stp>
        <stp>3</stp>
        <stp>600037</stp>
        <stp>12/31/2018</stp>
        <stp>1</stp>
        <tr r="J2030" s="1"/>
      </tp>
      <tp>
        <v>13.950845316900001</v>
        <stp/>
        <stp>EM_S_FA_NETPROFITMARGIN</stp>
        <stp>3</stp>
        <stp>300367</stp>
        <stp>12/31/2018</stp>
        <stp>1</stp>
        <tr r="J3371" s="1"/>
      </tp>
      <tp>
        <v>8.4645708245000009</v>
        <stp/>
        <stp>EM_S_FA_NETPROFITMARGIN</stp>
        <stp>3</stp>
        <stp>600337</stp>
        <stp>12/31/2018</stp>
        <stp>1</stp>
        <tr r="J1687" s="1"/>
      </tp>
      <tp>
        <v>8.9476406069000003</v>
        <stp/>
        <stp>EM_S_FA_NETPROFITMARGIN</stp>
        <stp>3</stp>
        <stp>300267</stp>
        <stp>12/31/2018</stp>
        <stp>1</stp>
        <tr r="J928" s="1"/>
      </tp>
      <tp>
        <v>1.1761379246000001</v>
        <stp/>
        <stp>EM_S_FA_NETPROFITMARGIN</stp>
        <stp>3</stp>
        <stp>600237</stp>
        <stp>12/31/2018</stp>
        <stp>1</stp>
        <tr r="J1805" s="1"/>
      </tp>
      <tp>
        <v>19.365822600200001</v>
        <stp/>
        <stp>EM_S_FA_NETPROFITMARGIN</stp>
        <stp>3</stp>
        <stp>000557</stp>
        <stp>12/31/2018</stp>
        <stp>1</stp>
        <tr r="J2277" s="1"/>
      </tp>
      <tp>
        <v>21.8122120088</v>
        <stp/>
        <stp>EM_S_FA_NETPROFITMARGIN</stp>
        <stp>3</stp>
        <stp>300567</stp>
        <stp>12/31/2018</stp>
        <stp>1</stp>
        <tr r="J1721" s="1"/>
      </tp>
      <tp>
        <v>1.9323191977</v>
        <stp/>
        <stp>EM_S_FA_NETPROFITMARGIN</stp>
        <stp>3</stp>
        <stp>600537</stp>
        <stp>12/31/2018</stp>
        <stp>1</stp>
        <tr r="J1744" s="1"/>
      </tp>
      <tp>
        <v>-109.82597187419999</v>
        <stp/>
        <stp>EM_S_FA_NETPROFITMARGIN</stp>
        <stp>3</stp>
        <stp>300467</stp>
        <stp>12/31/2018</stp>
        <stp>1</stp>
        <tr r="J2940" s="1"/>
      </tp>
      <tp>
        <v>12.549344705499999</v>
        <stp/>
        <stp>EM_S_FA_NETPROFITMARGIN</stp>
        <stp>3</stp>
        <stp>000757</stp>
        <stp>12/31/2018</stp>
        <stp>1</stp>
        <tr r="J2835" s="1"/>
      </tp>
      <tp>
        <v>3.1784825207999998</v>
        <stp/>
        <stp>EM_S_FA_NETPROFITMARGIN</stp>
        <stp>3</stp>
        <stp>600737</stp>
        <stp>12/31/2018</stp>
        <stp>1</stp>
        <tr r="J1484" s="1"/>
      </tp>
      <tp>
        <v>2.4857181903000001</v>
        <stp/>
        <stp>EM_S_FA_NETPROFITMARGIN</stp>
        <stp>3</stp>
        <stp>000657</stp>
        <stp>12/31/2018</stp>
        <stp>1</stp>
        <tr r="J974" s="1"/>
      </tp>
      <tp>
        <v>22.495897659899999</v>
        <stp/>
        <stp>EM_S_FA_NETPROFITMARGIN</stp>
        <stp>3</stp>
        <stp>300667</stp>
        <stp>12/31/2018</stp>
        <stp>1</stp>
        <tr r="J1538" s="1"/>
      </tp>
      <tp>
        <v>16.174404485</v>
        <stp/>
        <stp>EM_S_FA_NETPROFITMARGIN</stp>
        <stp>3</stp>
        <stp>600637</stp>
        <stp>12/31/2018</stp>
        <stp>1</stp>
        <tr r="J2727" s="1"/>
      </tp>
      <tp>
        <v>6.3999194545</v>
        <stp/>
        <stp>EM_S_FA_NETPROFITMARGIN</stp>
        <stp>3</stp>
        <stp>603936</stp>
        <stp>12/31/2018</stp>
        <stp>1</stp>
        <tr r="J1179" s="1"/>
      </tp>
      <tp>
        <v>24.119033525900001</v>
        <stp/>
        <stp>EM_S_FA_NETPROFITMARGIN</stp>
        <stp>3</stp>
        <stp>603136</stp>
        <stp>12/31/2018</stp>
        <stp>1</stp>
        <tr r="J2787" s="1"/>
      </tp>
      <tp>
        <v>16.001210845700001</v>
        <stp/>
        <stp>EM_S_FA_NETPROFITMARGIN</stp>
        <stp>3</stp>
        <stp>603036</stp>
        <stp>12/31/2018</stp>
        <stp>1</stp>
        <tr r="J2651" s="1"/>
      </tp>
      <tp>
        <v>8.4063100425999995</v>
        <stp/>
        <stp>EM_S_FA_NETPROFITMARGIN</stp>
        <stp>3</stp>
        <stp>603336</stp>
        <stp>12/31/2018</stp>
        <stp>1</stp>
        <tr r="J2819" s="1"/>
      </tp>
      <tp>
        <v>4.3377595811000003</v>
        <stp/>
        <stp>EM_S_FA_NETPROFITMARGIN</stp>
        <stp>3</stp>
        <stp>603536</stp>
        <stp>12/31/2018</stp>
        <stp>1</stp>
        <tr r="J60" s="1"/>
      </tp>
      <tp>
        <v>17.347781724200001</v>
        <stp/>
        <stp>EM_S_FA_NETPROFITMARGIN</stp>
        <stp>3</stp>
        <stp>603636</stp>
        <stp>12/31/2018</stp>
        <stp>1</stp>
        <tr r="J1377" s="1"/>
      </tp>
      <tp>
        <v>2.7728534904000002</v>
        <stp/>
        <stp>EM_S_FA_NETPROFITMARGIN</stp>
        <stp>3</stp>
        <stp>002856</stp>
        <stp>12/31/2018</stp>
        <stp>1</stp>
        <tr r="J2870" s="1"/>
      </tp>
      <tp>
        <v>2.1187086971000002</v>
        <stp/>
        <stp>EM_S_FA_NETPROFITMARGIN</stp>
        <stp>3</stp>
        <stp>002156</stp>
        <stp>12/31/2018</stp>
        <stp>1</stp>
        <tr r="J102" s="1"/>
      </tp>
      <tp>
        <v>10.624859966900001</v>
        <stp/>
        <stp>EM_S_FA_NETPROFITMARGIN</stp>
        <stp>3</stp>
        <stp>002056</stp>
        <stp>12/31/2018</stp>
        <stp>1</stp>
        <tr r="J553" s="1"/>
      </tp>
      <tp>
        <v>-104.7696539855</v>
        <stp/>
        <stp>EM_S_FA_NETPROFITMARGIN</stp>
        <stp>3</stp>
        <stp>002356</stp>
        <stp>12/31/2018</stp>
        <stp>1</stp>
        <tr r="J3400" s="1"/>
      </tp>
      <tp>
        <v>-36.088898182100003</v>
        <stp/>
        <stp>EM_S_FA_NETPROFITMARGIN</stp>
        <stp>3</stp>
        <stp>002256</stp>
        <stp>12/31/2018</stp>
        <stp>1</stp>
        <tr r="J2915" s="1"/>
      </tp>
      <tp>
        <v>0.94772096419999996</v>
        <stp/>
        <stp>EM_S_FA_NETPROFITMARGIN</stp>
        <stp>3</stp>
        <stp>002556</stp>
        <stp>12/31/2018</stp>
        <stp>1</stp>
        <tr r="J1846" s="1"/>
      </tp>
      <tp>
        <v>-1.2314213969000001</v>
        <stp/>
        <stp>EM_S_FA_NETPROFITMARGIN</stp>
        <stp>3</stp>
        <stp>002456</stp>
        <stp>12/31/2018</stp>
        <stp>1</stp>
        <tr r="J316" s="1"/>
      </tp>
      <tp>
        <v>8.0564599264000005</v>
        <stp/>
        <stp>EM_S_FA_NETPROFITMARGIN</stp>
        <stp>3</stp>
        <stp>002756</stp>
        <stp>12/31/2018</stp>
        <stp>1</stp>
        <tr r="J470" s="1"/>
      </tp>
      <tp>
        <v>0.50545313650000001</v>
        <stp/>
        <stp>EM_S_FA_NETPROFITMARGIN</stp>
        <stp>3</stp>
        <stp>002656</stp>
        <stp>12/31/2018</stp>
        <stp>1</stp>
        <tr r="J3289" s="1"/>
      </tp>
      <tp>
        <v>5.1392321314</v>
        <stp/>
        <stp>EM_S_FA_NETPROFITMARGIN</stp>
        <stp>3</stp>
        <stp>601336</stp>
        <stp>12/31/2018</stp>
        <stp>1</stp>
        <tr r="J1427" s="1"/>
      </tp>
      <tp>
        <v>14.4141802552</v>
        <stp/>
        <stp>EM_S_FA_NETPROFITMARGIN</stp>
        <stp>3</stp>
        <stp>601636</stp>
        <stp>12/31/2018</stp>
        <stp>1</stp>
        <tr r="J666" s="1"/>
      </tp>
      <tp>
        <v>0</v>
        <stp/>
        <stp>EM_S_FA_NETPROFITMARGIN</stp>
        <stp>3</stp>
        <stp>000956</stp>
        <stp>12/31/2018</stp>
        <stp>1</stp>
        <tr r="J3586" s="1"/>
      </tp>
      <tp>
        <v>5.1085606046000001</v>
        <stp/>
        <stp>EM_S_FA_NETPROFITMARGIN</stp>
        <stp>3</stp>
        <stp>600936</stp>
        <stp>12/31/2018</stp>
        <stp>1</stp>
        <tr r="J2127" s="1"/>
      </tp>
      <tp>
        <v>0.68129404920000003</v>
        <stp/>
        <stp>EM_S_FA_NETPROFITMARGIN</stp>
        <stp>3</stp>
        <stp>000856</stp>
        <stp>12/31/2018</stp>
        <stp>1</stp>
        <tr r="J3157" s="1"/>
      </tp>
      <tp>
        <v>-1.4767755254999999</v>
        <stp/>
        <stp>EM_S_FA_NETPROFITMARGIN</stp>
        <stp>3</stp>
        <stp>600836</stp>
        <stp>12/31/2018</stp>
        <stp>1</stp>
        <tr r="J857" s="1"/>
      </tp>
      <tp>
        <v>18.748232579</v>
        <stp/>
        <stp>EM_S_FA_NETPROFITMARGIN</stp>
        <stp>3</stp>
        <stp>000156</stp>
        <stp>12/31/2018</stp>
        <stp>1</stp>
        <tr r="J834" s="1"/>
      </tp>
      <tp>
        <v>26.5740261292</v>
        <stp/>
        <stp>EM_S_FA_NETPROFITMARGIN</stp>
        <stp>3</stp>
        <stp>300166</stp>
        <stp>12/31/2018</stp>
        <stp>1</stp>
        <tr r="J1061" s="1"/>
      </tp>
      <tp>
        <v>3.0298392544000001</v>
        <stp/>
        <stp>EM_S_FA_NETPROFITMARGIN</stp>
        <stp>3</stp>
        <stp>600136</stp>
        <stp>12/31/2018</stp>
        <stp>1</stp>
        <tr r="J571" s="1"/>
      </tp>
      <tp>
        <v>12.5024700559</v>
        <stp/>
        <stp>EM_S_FA_NETPROFITMARGIN</stp>
        <stp>3</stp>
        <stp>000056</stp>
        <stp>12/31/2018</stp>
        <stp>1</stp>
        <tr r="J2827" s="1"/>
      </tp>
      <tp>
        <v>14.8489435727</v>
        <stp/>
        <stp>EM_S_FA_NETPROFITMARGIN</stp>
        <stp>3</stp>
        <stp>300066</stp>
        <stp>12/31/2018</stp>
        <stp>1</stp>
        <tr r="J710" s="1"/>
      </tp>
      <tp>
        <v>32.515539820199997</v>
        <stp/>
        <stp>EM_S_FA_NETPROFITMARGIN</stp>
        <stp>3</stp>
        <stp>600036</stp>
        <stp>12/31/2018</stp>
        <stp>1</stp>
        <tr r="J562" s="1"/>
      </tp>
      <tp>
        <v>-26.189054361499998</v>
        <stp/>
        <stp>EM_S_FA_NETPROFITMARGIN</stp>
        <stp>3</stp>
        <stp>300366</stp>
        <stp>12/31/2018</stp>
        <stp>1</stp>
        <tr r="J702" s="1"/>
      </tp>
      <tp>
        <v>1.3284038994</v>
        <stp/>
        <stp>EM_S_FA_NETPROFITMARGIN</stp>
        <stp>3</stp>
        <stp>600336</stp>
        <stp>12/31/2018</stp>
        <stp>1</stp>
        <tr r="J936" s="1"/>
      </tp>
      <tp>
        <v>-54.9012770119</v>
        <stp/>
        <stp>EM_S_FA_NETPROFITMARGIN</stp>
        <stp>3</stp>
        <stp>300266</stp>
        <stp>12/31/2018</stp>
        <stp>1</stp>
        <tr r="J2378" s="1"/>
      </tp>
      <tp>
        <v>28.4964011448</v>
        <stp/>
        <stp>EM_S_FA_NETPROFITMARGIN</stp>
        <stp>3</stp>
        <stp>600236</stp>
        <stp>12/31/2018</stp>
        <stp>1</stp>
        <tr r="J2882" s="1"/>
      </tp>
      <tp>
        <v>6.5891260611</v>
        <stp/>
        <stp>EM_S_FA_NETPROFITMARGIN</stp>
        <stp>3</stp>
        <stp>000556</stp>
        <stp>12/31/2018</stp>
        <stp>1</stp>
        <tr r="J3453" s="1"/>
      </tp>
      <tp>
        <v>4.5848544461999996</v>
        <stp/>
        <stp>EM_S_FA_NETPROFITMARGIN</stp>
        <stp>3</stp>
        <stp>300566</stp>
        <stp>12/31/2018</stp>
        <stp>1</stp>
        <tr r="J215" s="1"/>
      </tp>
      <tp>
        <v>2.6199196936</v>
        <stp/>
        <stp>EM_S_FA_NETPROFITMARGIN</stp>
        <stp>3</stp>
        <stp>600536</stp>
        <stp>12/31/2018</stp>
        <stp>1</stp>
        <tr r="J32" s="1"/>
      </tp>
      <tp>
        <v>-50.113330964500001</v>
        <stp/>
        <stp>EM_S_FA_NETPROFITMARGIN</stp>
        <stp>3</stp>
        <stp>300466</stp>
        <stp>12/31/2018</stp>
        <stp>1</stp>
        <tr r="J1519" s="1"/>
      </tp>
      <tp>
        <v>23.6821193143</v>
        <stp/>
        <stp>EM_S_FA_NETPROFITMARGIN</stp>
        <stp>3</stp>
        <stp>600436</stp>
        <stp>12/31/2018</stp>
        <stp>1</stp>
        <tr r="J1060" s="1"/>
      </tp>
      <tp>
        <v>5.2667223082000003</v>
        <stp/>
        <stp>EM_S_FA_NETPROFITMARGIN</stp>
        <stp>3</stp>
        <stp>000756</stp>
        <stp>12/31/2018</stp>
        <stp>1</stp>
        <tr r="J945" s="1"/>
      </tp>
      <tp>
        <v>14.759662738099999</v>
        <stp/>
        <stp>EM_S_FA_NETPROFITMARGIN</stp>
        <stp>3</stp>
        <stp>600736</stp>
        <stp>12/31/2018</stp>
        <stp>1</stp>
        <tr r="J1764" s="1"/>
      </tp>
      <tp>
        <v>9.7505348562999998</v>
        <stp/>
        <stp>EM_S_FA_NETPROFITMARGIN</stp>
        <stp>3</stp>
        <stp>000656</stp>
        <stp>12/31/2018</stp>
        <stp>1</stp>
        <tr r="J1182" s="1"/>
      </tp>
      <tp>
        <v>8.9661789166000005</v>
        <stp/>
        <stp>EM_S_FA_NETPROFITMARGIN</stp>
        <stp>3</stp>
        <stp>300666</stp>
        <stp>12/31/2018</stp>
        <stp>1</stp>
        <tr r="J2037" s="1"/>
      </tp>
      <tp>
        <v>32.746635099300001</v>
        <stp/>
        <stp>EM_S_FA_NETPROFITMARGIN</stp>
        <stp>3</stp>
        <stp>600636</stp>
        <stp>12/31/2018</stp>
        <stp>1</stp>
        <tr r="J2618" s="1"/>
      </tp>
      <tp>
        <v>10.794718873300001</v>
        <stp/>
        <stp>EM_S_FA_NETPROFITMARGIN</stp>
        <stp>3</stp>
        <stp>603909</stp>
        <stp>12/31/2018</stp>
        <stp>1</stp>
        <tr r="J3356" s="1"/>
      </tp>
      <tp>
        <v>18.674847499599998</v>
        <stp/>
        <stp>EM_S_FA_NETPROFITMARGIN</stp>
        <stp>3</stp>
        <stp>603809</stp>
        <stp>12/31/2018</stp>
        <stp>1</stp>
        <tr r="J3285" s="1"/>
      </tp>
      <tp>
        <v>4.1983849405999996</v>
        <stp/>
        <stp>EM_S_FA_NETPROFITMARGIN</stp>
        <stp>3</stp>
        <stp>603009</stp>
        <stp>12/31/2018</stp>
        <stp>1</stp>
        <tr r="J1875" s="1"/>
      </tp>
      <tp>
        <v>7.5678804803000004</v>
        <stp/>
        <stp>EM_S_FA_NETPROFITMARGIN</stp>
        <stp>3</stp>
        <stp>603309</stp>
        <stp>12/31/2018</stp>
        <stp>1</stp>
        <tr r="J620" s="1"/>
      </tp>
      <tp>
        <v>9.4333126534999998</v>
        <stp/>
        <stp>EM_S_FA_NETPROFITMARGIN</stp>
        <stp>3</stp>
        <stp>603709</stp>
        <stp>12/31/2018</stp>
        <stp>1</stp>
        <tr r="J2206" s="1"/>
      </tp>
      <tp>
        <v>3.8391016710999999</v>
        <stp/>
        <stp>EM_S_FA_NETPROFITMARGIN</stp>
        <stp>3</stp>
        <stp>603609</stp>
        <stp>12/31/2018</stp>
        <stp>1</stp>
        <tr r="J548" s="1"/>
      </tp>
      <tp>
        <v>2.7497113232000001</v>
        <stp/>
        <stp>EM_S_FA_NETPROFITMARGIN</stp>
        <stp>3</stp>
        <stp>002869</stp>
        <stp>12/31/2018</stp>
        <stp>1</stp>
        <tr r="J26" s="1"/>
      </tp>
      <tp>
        <v>2.9822907145999999</v>
        <stp/>
        <stp>EM_S_FA_NETPROFITMARGIN</stp>
        <stp>3</stp>
        <stp>002169</stp>
        <stp>12/31/2018</stp>
        <stp>1</stp>
        <tr r="J182" s="1"/>
      </tp>
      <tp>
        <v>1.2146875579</v>
        <stp/>
        <stp>EM_S_FA_NETPROFITMARGIN</stp>
        <stp>3</stp>
        <stp>002069</stp>
        <stp>12/31/2018</stp>
        <stp>1</stp>
        <tr r="J3621" s="1"/>
      </tp>
      <tp>
        <v>-3.4314047624000001</v>
        <stp/>
        <stp>EM_S_FA_NETPROFITMARGIN</stp>
        <stp>3</stp>
        <stp>002369</stp>
        <stp>12/31/2018</stp>
        <stp>1</stp>
        <tr r="J1109" s="1"/>
      </tp>
      <tp>
        <v>0.52572138629999998</v>
        <stp/>
        <stp>EM_S_FA_NETPROFITMARGIN</stp>
        <stp>3</stp>
        <stp>002269</stp>
        <stp>12/31/2018</stp>
        <stp>1</stp>
        <tr r="J1454" s="1"/>
      </tp>
      <tp>
        <v>-60.333064299599997</v>
        <stp/>
        <stp>EM_S_FA_NETPROFITMARGIN</stp>
        <stp>3</stp>
        <stp>002569</stp>
        <stp>12/31/2018</stp>
        <stp>1</stp>
        <tr r="J2052" s="1"/>
      </tp>
      <tp>
        <v>9.8363901913999996</v>
        <stp/>
        <stp>EM_S_FA_NETPROFITMARGIN</stp>
        <stp>3</stp>
        <stp>002469</stp>
        <stp>12/31/2018</stp>
        <stp>1</stp>
        <tr r="J1922" s="1"/>
      </tp>
      <tp>
        <v>1.7699109732</v>
        <stp/>
        <stp>EM_S_FA_NETPROFITMARGIN</stp>
        <stp>3</stp>
        <stp>002769</stp>
        <stp>12/31/2018</stp>
        <stp>1</stp>
        <tr r="J2989" s="1"/>
      </tp>
      <tp>
        <v>8.5905338946000001</v>
        <stp/>
        <stp>EM_S_FA_NETPROFITMARGIN</stp>
        <stp>3</stp>
        <stp>002669</stp>
        <stp>12/31/2018</stp>
        <stp>1</stp>
        <tr r="J830" s="1"/>
      </tp>
      <tp>
        <v>40.822814116799996</v>
        <stp/>
        <stp>EM_S_FA_NETPROFITMARGIN</stp>
        <stp>3</stp>
        <stp>601009</stp>
        <stp>12/31/2018</stp>
        <stp>1</stp>
        <tr r="J813" s="1"/>
      </tp>
      <tp>
        <v>-6.5591125340999996</v>
        <stp/>
        <stp>EM_S_FA_NETPROFITMARGIN</stp>
        <stp>3</stp>
        <stp>000969</stp>
        <stp>12/31/2018</stp>
        <stp>1</stp>
        <tr r="J3588" s="1"/>
      </tp>
      <tp>
        <v>32.807652658599999</v>
        <stp/>
        <stp>EM_S_FA_NETPROFITMARGIN</stp>
        <stp>3</stp>
        <stp>600909</stp>
        <stp>12/31/2018</stp>
        <stp>1</stp>
        <tr r="J502" s="1"/>
      </tp>
      <tp>
        <v>20.253492952199998</v>
        <stp/>
        <stp>EM_S_FA_NETPROFITMARGIN</stp>
        <stp>3</stp>
        <stp>000869</stp>
        <stp>12/31/2018</stp>
        <stp>1</stp>
        <tr r="J1713" s="1"/>
      </tp>
      <tp>
        <v>16.6265242849</v>
        <stp/>
        <stp>EM_S_FA_NETPROFITMARGIN</stp>
        <stp>3</stp>
        <stp>600809</stp>
        <stp>12/31/2018</stp>
        <stp>1</stp>
        <tr r="J75" s="1"/>
      </tp>
      <tp>
        <v>15.3250585149</v>
        <stp/>
        <stp>EM_S_FA_NETPROFITMARGIN</stp>
        <stp>3</stp>
        <stp>300159</stp>
        <stp>12/31/2018</stp>
        <stp>1</stp>
        <tr r="J2909" s="1"/>
      </tp>
      <tp>
        <v>27.166467162899998</v>
        <stp/>
        <stp>EM_S_FA_NETPROFITMARGIN</stp>
        <stp>3</stp>
        <stp>600109</stp>
        <stp>12/31/2018</stp>
        <stp>1</stp>
        <tr r="J918" s="1"/>
      </tp>
      <tp>
        <v>23.460280709300001</v>
        <stp/>
        <stp>EM_S_FA_NETPROFITMARGIN</stp>
        <stp>3</stp>
        <stp>000069</stp>
        <stp>12/31/2018</stp>
        <stp>1</stp>
        <tr r="J986" s="1"/>
      </tp>
      <tp>
        <v>73.169887457300007</v>
        <stp/>
        <stp>EM_S_FA_NETPROFITMARGIN</stp>
        <stp>3</stp>
        <stp>300059</stp>
        <stp>12/31/2018</stp>
        <stp>1</stp>
        <tr r="J916" s="1"/>
      </tp>
      <tp>
        <v>47.582132315999999</v>
        <stp/>
        <stp>EM_S_FA_NETPROFITMARGIN</stp>
        <stp>3</stp>
        <stp>600009</stp>
        <stp>12/31/2018</stp>
        <stp>1</stp>
        <tr r="J511" s="1"/>
      </tp>
      <tp>
        <v>-76.722577599000005</v>
        <stp/>
        <stp>EM_S_FA_NETPROFITMARGIN</stp>
        <stp>3</stp>
        <stp>300359</stp>
        <stp>12/31/2018</stp>
        <stp>1</stp>
        <tr r="J2431" s="1"/>
      </tp>
      <tp>
        <v>21.1636248909</v>
        <stp/>
        <stp>EM_S_FA_NETPROFITMARGIN</stp>
        <stp>3</stp>
        <stp>600309</stp>
        <stp>12/31/2018</stp>
        <stp>1</stp>
        <tr r="J168" s="1"/>
      </tp>
      <tp>
        <v>18.352484419100001</v>
        <stp/>
        <stp>EM_S_FA_NETPROFITMARGIN</stp>
        <stp>3</stp>
        <stp>300259</stp>
        <stp>12/31/2018</stp>
        <stp>1</stp>
        <tr r="J399" s="1"/>
      </tp>
      <tp>
        <v>1.2943643948000001</v>
        <stp/>
        <stp>EM_S_FA_NETPROFITMARGIN</stp>
        <stp>3</stp>
        <stp>600209</stp>
        <stp>12/31/2018</stp>
        <stp>1</stp>
        <tr r="J3022" s="1"/>
      </tp>
      <tp>
        <v>0</v>
        <stp/>
        <stp>EM_S_FA_NETPROFITMARGIN</stp>
        <stp>3</stp>
        <stp>000569</stp>
        <stp>12/31/2018</stp>
        <stp>1</stp>
        <tr r="J3460" s="1"/>
      </tp>
      <tp>
        <v>33.428109640999999</v>
        <stp/>
        <stp>EM_S_FA_NETPROFITMARGIN</stp>
        <stp>3</stp>
        <stp>300559</stp>
        <stp>12/31/2018</stp>
        <stp>1</stp>
        <tr r="J2942" s="1"/>
      </tp>
      <tp>
        <v>0.75256077249999997</v>
        <stp/>
        <stp>EM_S_FA_NETPROFITMARGIN</stp>
        <stp>3</stp>
        <stp>600509</stp>
        <stp>12/31/2018</stp>
        <stp>1</stp>
        <tr r="J2207" s="1"/>
      </tp>
      <tp>
        <v>33.1582575897</v>
        <stp/>
        <stp>EM_S_FA_NETPROFITMARGIN</stp>
        <stp>3</stp>
        <stp>300459</stp>
        <stp>12/31/2018</stp>
        <stp>1</stp>
        <tr r="J3387" s="1"/>
      </tp>
      <tp>
        <v>8.4343391205000007</v>
        <stp/>
        <stp>EM_S_FA_NETPROFITMARGIN</stp>
        <stp>3</stp>
        <stp>600409</stp>
        <stp>12/31/2018</stp>
        <stp>1</stp>
        <tr r="J1750" s="1"/>
      </tp>
      <tp>
        <v>15.528428847600001</v>
        <stp/>
        <stp>EM_S_FA_NETPROFITMARGIN</stp>
        <stp>3</stp>
        <stp>000769</stp>
        <stp>12/31/2018</stp>
        <stp>1</stp>
        <tr r="J2279" s="1"/>
      </tp>
      <tp>
        <v>-89.309132966000007</v>
        <stp/>
        <stp>EM_S_FA_NETPROFITMARGIN</stp>
        <stp>3</stp>
        <stp>600709</stp>
        <stp>12/31/2018</stp>
        <stp>1</stp>
        <tr r="J2318" s="1"/>
      </tp>
      <tp>
        <v>-39.7988987568</v>
        <stp/>
        <stp>EM_S_FA_NETPROFITMARGIN</stp>
        <stp>3</stp>
        <stp>000669</stp>
        <stp>12/31/2018</stp>
        <stp>1</stp>
        <tr r="J3501" s="1"/>
      </tp>
      <tp>
        <v>11.919106599099999</v>
        <stp/>
        <stp>EM_S_FA_NETPROFITMARGIN</stp>
        <stp>3</stp>
        <stp>300659</stp>
        <stp>12/31/2018</stp>
        <stp>1</stp>
        <tr r="J39" s="1"/>
      </tp>
      <tp>
        <v>4.5490413263000002</v>
        <stp/>
        <stp>EM_S_FA_NETPROFITMARGIN</stp>
        <stp>3</stp>
        <stp>600609</stp>
        <stp>12/31/2018</stp>
        <stp>1</stp>
        <tr r="J955" s="1"/>
      </tp>
      <tp>
        <v>7.4719019173000003</v>
        <stp/>
        <stp>EM_S_FA_NETPROFITMARGIN</stp>
        <stp>3</stp>
        <stp>603908</stp>
        <stp>12/31/2018</stp>
        <stp>1</stp>
        <tr r="J2189" s="1"/>
      </tp>
      <tp>
        <v>18.034883364900001</v>
        <stp/>
        <stp>EM_S_FA_NETPROFITMARGIN</stp>
        <stp>3</stp>
        <stp>603808</stp>
        <stp>12/31/2018</stp>
        <stp>1</stp>
        <tr r="J2714" s="1"/>
      </tp>
      <tp>
        <v>7.2438321934000003</v>
        <stp/>
        <stp>EM_S_FA_NETPROFITMARGIN</stp>
        <stp>3</stp>
        <stp>603108</stp>
        <stp>12/31/2018</stp>
        <stp>1</stp>
        <tr r="J803" s="1"/>
      </tp>
      <tp>
        <v>-10.064421253200001</v>
        <stp/>
        <stp>EM_S_FA_NETPROFITMARGIN</stp>
        <stp>3</stp>
        <stp>603008</stp>
        <stp>12/31/2018</stp>
        <stp>1</stp>
        <tr r="J376" s="1"/>
      </tp>
      <tp>
        <v>4.0417118823999996</v>
        <stp/>
        <stp>EM_S_FA_NETPROFITMARGIN</stp>
        <stp>3</stp>
        <stp>603308</stp>
        <stp>12/31/2018</stp>
        <stp>1</stp>
        <tr r="J218" s="1"/>
      </tp>
      <tp>
        <v>11.594283922000001</v>
        <stp/>
        <stp>EM_S_FA_NETPROFITMARGIN</stp>
        <stp>3</stp>
        <stp>603208</stp>
        <stp>12/31/2018</stp>
        <stp>1</stp>
        <tr r="J181" s="1"/>
      </tp>
      <tp>
        <v>35.325196065299998</v>
        <stp/>
        <stp>EM_S_FA_NETPROFITMARGIN</stp>
        <stp>3</stp>
        <stp>603508</stp>
        <stp>12/31/2018</stp>
        <stp>1</stp>
        <tr r="J586" s="1"/>
      </tp>
      <tp>
        <v>3.3395999664999998</v>
        <stp/>
        <stp>EM_S_FA_NETPROFITMARGIN</stp>
        <stp>3</stp>
        <stp>603708</stp>
        <stp>12/31/2018</stp>
        <stp>1</stp>
        <tr r="J1222" s="1"/>
      </tp>
      <tp>
        <v>11.930731246500001</v>
        <stp/>
        <stp>EM_S_FA_NETPROFITMARGIN</stp>
        <stp>3</stp>
        <stp>603608</stp>
        <stp>12/31/2018</stp>
        <stp>1</stp>
        <tr r="J2963" s="1"/>
      </tp>
      <tp>
        <v>21.693640681000002</v>
        <stp/>
        <stp>EM_S_FA_NETPROFITMARGIN</stp>
        <stp>3</stp>
        <stp>002868</stp>
        <stp>12/31/2018</stp>
        <stp>1</stp>
        <tr r="J1313" s="1"/>
      </tp>
      <tp>
        <v>21.203045693899998</v>
        <stp/>
        <stp>EM_S_FA_NETPROFITMARGIN</stp>
        <stp>3</stp>
        <stp>002168</stp>
        <stp>12/31/2018</stp>
        <stp>1</stp>
        <tr r="J3021" s="1"/>
      </tp>
      <tp>
        <v>5.0892537132999998</v>
        <stp/>
        <stp>EM_S_FA_NETPROFITMARGIN</stp>
        <stp>3</stp>
        <stp>002068</stp>
        <stp>12/31/2018</stp>
        <stp>1</stp>
        <tr r="J3034" s="1"/>
      </tp>
      <tp>
        <v>5.2345179800999997</v>
        <stp/>
        <stp>EM_S_FA_NETPROFITMARGIN</stp>
        <stp>3</stp>
        <stp>002368</stp>
        <stp>12/31/2018</stp>
        <stp>1</stp>
        <tr r="J315" s="1"/>
      </tp>
      <tp>
        <v>6.4465235488000001</v>
        <stp/>
        <stp>EM_S_FA_NETPROFITMARGIN</stp>
        <stp>3</stp>
        <stp>002268</stp>
        <stp>12/31/2018</stp>
        <stp>1</stp>
        <tr r="J691" s="1"/>
      </tp>
      <tp>
        <v>10.057346642800001</v>
        <stp/>
        <stp>EM_S_FA_NETPROFITMARGIN</stp>
        <stp>3</stp>
        <stp>002568</stp>
        <stp>12/31/2018</stp>
        <stp>1</stp>
        <tr r="J47" s="1"/>
      </tp>
      <tp>
        <v>12.0592389548</v>
        <stp/>
        <stp>EM_S_FA_NETPROFITMARGIN</stp>
        <stp>3</stp>
        <stp>002468</stp>
        <stp>12/31/2018</stp>
        <stp>1</stp>
        <tr r="J1355" s="1"/>
      </tp>
      <tp>
        <v>8.4345494641999998</v>
        <stp/>
        <stp>EM_S_FA_NETPROFITMARGIN</stp>
        <stp>3</stp>
        <stp>002768</stp>
        <stp>12/31/2018</stp>
        <stp>1</stp>
        <tr r="J2063" s="1"/>
      </tp>
      <tp>
        <v>-24.5364448268</v>
        <stp/>
        <stp>EM_S_FA_NETPROFITMARGIN</stp>
        <stp>3</stp>
        <stp>002668</stp>
        <stp>12/31/2018</stp>
        <stp>1</stp>
        <tr r="J1444" s="1"/>
      </tp>
      <tp>
        <v>21.4102179261</v>
        <stp/>
        <stp>EM_S_FA_NETPROFITMARGIN</stp>
        <stp>3</stp>
        <stp>601908</stp>
        <stp>12/31/2018</stp>
        <stp>1</stp>
        <tr r="J2539" s="1"/>
      </tp>
      <tp>
        <v>0.40404846729999999</v>
        <stp/>
        <stp>EM_S_FA_NETPROFITMARGIN</stp>
        <stp>3</stp>
        <stp>601808</stp>
        <stp>12/31/2018</stp>
        <stp>1</stp>
        <tr r="J119" s="1"/>
      </tp>
      <tp>
        <v>25.664292942399999</v>
        <stp/>
        <stp>EM_S_FA_NETPROFITMARGIN</stp>
        <stp>3</stp>
        <stp>601108</stp>
        <stp>12/31/2018</stp>
        <stp>1</stp>
        <tr r="J471" s="1"/>
      </tp>
      <tp>
        <v>1.4083017893000001</v>
        <stp/>
        <stp>EM_S_FA_NETPROFITMARGIN</stp>
        <stp>3</stp>
        <stp>601008</stp>
        <stp>12/31/2018</stp>
        <stp>1</stp>
        <tr r="J1067" s="1"/>
      </tp>
      <tp>
        <v>1.9905148558000001</v>
        <stp/>
        <stp>EM_S_FA_NETPROFITMARGIN</stp>
        <stp>3</stp>
        <stp>601208</stp>
        <stp>12/31/2018</stp>
        <stp>1</stp>
        <tr r="J874" s="1"/>
      </tp>
      <tp>
        <v>2.9050256455999999</v>
        <stp/>
        <stp>EM_S_FA_NETPROFITMARGIN</stp>
        <stp>3</stp>
        <stp>601608</stp>
        <stp>12/31/2018</stp>
        <stp>1</stp>
        <tr r="J692" s="1"/>
      </tp>
      <tp>
        <v>28.604364277799998</v>
        <stp/>
        <stp>EM_S_FA_NETPROFITMARGIN</stp>
        <stp>3</stp>
        <stp>000968</stp>
        <stp>12/31/2018</stp>
        <stp>1</stp>
        <tr r="J2527" s="1"/>
      </tp>
      <tp>
        <v>33.699624175399997</v>
        <stp/>
        <stp>EM_S_FA_NETPROFITMARGIN</stp>
        <stp>3</stp>
        <stp>600908</stp>
        <stp>12/31/2018</stp>
        <stp>1</stp>
        <tr r="J1965" s="1"/>
      </tp>
      <tp>
        <v>-27.828557343</v>
        <stp/>
        <stp>EM_S_FA_NETPROFITMARGIN</stp>
        <stp>3</stp>
        <stp>000868</stp>
        <stp>12/31/2018</stp>
        <stp>1</stp>
        <tr r="J3559" s="1"/>
      </tp>
      <tp>
        <v>8.6123642584999995</v>
        <stp/>
        <stp>EM_S_FA_NETPROFITMARGIN</stp>
        <stp>3</stp>
        <stp>600808</stp>
        <stp>12/31/2018</stp>
        <stp>1</stp>
        <tr r="J2869" s="1"/>
      </tp>
      <tp>
        <v>-4.4017086686000004</v>
        <stp/>
        <stp>EM_S_FA_NETPROFITMARGIN</stp>
        <stp>3</stp>
        <stp>300158</stp>
        <stp>12/31/2018</stp>
        <stp>1</stp>
        <tr r="J1236" s="1"/>
      </tp>
      <tp>
        <v>3.2940176642000001</v>
        <stp/>
        <stp>EM_S_FA_NETPROFITMARGIN</stp>
        <stp>3</stp>
        <stp>600108</stp>
        <stp>12/31/2018</stp>
        <stp>1</stp>
        <tr r="J1790" s="1"/>
      </tp>
      <tp>
        <v>-67.843423748099994</v>
        <stp/>
        <stp>EM_S_FA_NETPROFITMARGIN</stp>
        <stp>3</stp>
        <stp>000068</stp>
        <stp>12/31/2018</stp>
        <stp>1</stp>
        <tr r="J2414" s="1"/>
      </tp>
      <tp>
        <v>1.7846292370000001</v>
        <stp/>
        <stp>EM_S_FA_NETPROFITMARGIN</stp>
        <stp>3</stp>
        <stp>300058</stp>
        <stp>12/31/2018</stp>
        <stp>1</stp>
        <tr r="J873" s="1"/>
      </tp>
      <tp>
        <v>6.5483264923000002</v>
        <stp/>
        <stp>EM_S_FA_NETPROFITMARGIN</stp>
        <stp>3</stp>
        <stp>600008</stp>
        <stp>12/31/2018</stp>
        <stp>1</stp>
        <tr r="J2550" s="1"/>
      </tp>
      <tp>
        <v>2.5331702883</v>
        <stp/>
        <stp>EM_S_FA_NETPROFITMARGIN</stp>
        <stp>3</stp>
        <stp>300358</stp>
        <stp>12/31/2018</stp>
        <stp>1</stp>
        <tr r="J2761" s="1"/>
      </tp>
      <tp>
        <v>4.8798757542000004</v>
        <stp/>
        <stp>EM_S_FA_NETPROFITMARGIN</stp>
        <stp>3</stp>
        <stp>600308</stp>
        <stp>12/31/2018</stp>
        <stp>1</stp>
        <tr r="J1999" s="1"/>
      </tp>
      <tp>
        <v>20.442472889099999</v>
        <stp/>
        <stp>EM_S_FA_NETPROFITMARGIN</stp>
        <stp>3</stp>
        <stp>300258</stp>
        <stp>12/31/2018</stp>
        <stp>1</stp>
        <tr r="J2705" s="1"/>
      </tp>
      <tp>
        <v>15.634419042699999</v>
        <stp/>
        <stp>EM_S_FA_NETPROFITMARGIN</stp>
        <stp>3</stp>
        <stp>600208</stp>
        <stp>12/31/2018</stp>
        <stp>1</stp>
        <tr r="J957" s="1"/>
      </tp>
      <tp>
        <v>26.888859827299999</v>
        <stp/>
        <stp>EM_S_FA_NETPROFITMARGIN</stp>
        <stp>3</stp>
        <stp>000568</stp>
        <stp>12/31/2018</stp>
        <stp>1</stp>
        <tr r="J129" s="1"/>
      </tp>
      <tp>
        <v>13.3578257287</v>
        <stp/>
        <stp>EM_S_FA_NETPROFITMARGIN</stp>
        <stp>3</stp>
        <stp>300558</stp>
        <stp>12/31/2018</stp>
        <stp>1</stp>
        <tr r="J157" s="1"/>
      </tp>
      <tp>
        <v>8.4940529599999994</v>
        <stp/>
        <stp>EM_S_FA_NETPROFITMARGIN</stp>
        <stp>3</stp>
        <stp>600508</stp>
        <stp>12/31/2018</stp>
        <stp>1</stp>
        <tr r="J2440" s="1"/>
      </tp>
      <tp>
        <v>7.8951829517999998</v>
        <stp/>
        <stp>EM_S_FA_NETPROFITMARGIN</stp>
        <stp>3</stp>
        <stp>300458</stp>
        <stp>12/31/2018</stp>
        <stp>1</stp>
        <tr r="J425" s="1"/>
      </tp>
      <tp>
        <v>10.199762056000001</v>
        <stp/>
        <stp>EM_S_FA_NETPROFITMARGIN</stp>
        <stp>3</stp>
        <stp>600408</stp>
        <stp>12/31/2018</stp>
        <stp>1</stp>
        <tr r="J2702" s="1"/>
      </tp>
      <tp>
        <v>1.5175971670999999</v>
        <stp/>
        <stp>EM_S_FA_NETPROFITMARGIN</stp>
        <stp>3</stp>
        <stp>000768</stp>
        <stp>12/31/2018</stp>
        <stp>1</stp>
        <tr r="J1149" s="1"/>
      </tp>
      <tp>
        <v>6.6917912784000002</v>
        <stp/>
        <stp>EM_S_FA_NETPROFITMARGIN</stp>
        <stp>3</stp>
        <stp>600708</stp>
        <stp>12/31/2018</stp>
        <stp>1</stp>
        <tr r="J2225" s="1"/>
      </tp>
      <tp>
        <v>4.4322333737999999</v>
        <stp/>
        <stp>EM_S_FA_NETPROFITMARGIN</stp>
        <stp>3</stp>
        <stp>000668</stp>
        <stp>12/31/2018</stp>
        <stp>1</stp>
        <tr r="J3500" s="1"/>
      </tp>
      <tp>
        <v>5.3167966202999999</v>
        <stp/>
        <stp>EM_S_FA_NETPROFITMARGIN</stp>
        <stp>3</stp>
        <stp>300658</stp>
        <stp>12/31/2018</stp>
        <stp>1</stp>
        <tr r="J886" s="1"/>
      </tp>
      <tp>
        <v>-0.25937601069999999</v>
        <stp/>
        <stp>EM_S_FA_NETPROFITMARGIN</stp>
        <stp>3</stp>
        <stp>600608</stp>
        <stp>12/31/2018</stp>
        <stp>1</stp>
        <tr r="J1802" s="1"/>
      </tp>
      <tp>
        <v>4.3579446472000001</v>
        <stp/>
        <stp>EM_S_FA_NETPROFITMARGIN</stp>
        <stp>3</stp>
        <stp>603901</stp>
        <stp>12/31/2018</stp>
        <stp>1</stp>
        <tr r="J415" s="1"/>
      </tp>
      <tp>
        <v>11.2165563631</v>
        <stp/>
        <stp>EM_S_FA_NETPROFITMARGIN</stp>
        <stp>3</stp>
        <stp>603801</stp>
        <stp>12/31/2018</stp>
        <stp>1</stp>
        <tr r="J2581" s="1"/>
      </tp>
      <tp>
        <v>1.9356470688</v>
        <stp/>
        <stp>EM_S_FA_NETPROFITMARGIN</stp>
        <stp>3</stp>
        <stp>603101</stp>
        <stp>12/31/2018</stp>
        <stp>1</stp>
        <tr r="J3340" s="1"/>
      </tp>
      <tp>
        <v>4.4784912796</v>
        <stp/>
        <stp>EM_S_FA_NETPROFITMARGIN</stp>
        <stp>3</stp>
        <stp>603001</stp>
        <stp>12/31/2018</stp>
        <stp>1</stp>
        <tr r="J2795" s="1"/>
      </tp>
      <tp>
        <v>9.0897095885999999</v>
        <stp/>
        <stp>EM_S_FA_NETPROFITMARGIN</stp>
        <stp>3</stp>
        <stp>603301</stp>
        <stp>12/31/2018</stp>
        <stp>1</stp>
        <tr r="J3245" s="1"/>
      </tp>
      <tp>
        <v>2.9186631650999999</v>
        <stp/>
        <stp>EM_S_FA_NETPROFITMARGIN</stp>
        <stp>3</stp>
        <stp>603501</stp>
        <stp>12/31/2018</stp>
        <stp>1</stp>
        <tr r="J18" s="1"/>
      </tp>
      <tp>
        <v>24.082095991399999</v>
        <stp/>
        <stp>EM_S_FA_NETPROFITMARGIN</stp>
        <stp>3</stp>
        <stp>603701</stp>
        <stp>12/31/2018</stp>
        <stp>1</stp>
        <tr r="J1613" s="1"/>
      </tp>
      <tp>
        <v>14.6622252641</v>
        <stp/>
        <stp>EM_S_FA_NETPROFITMARGIN</stp>
        <stp>3</stp>
        <stp>603601</stp>
        <stp>12/31/2018</stp>
        <stp>1</stp>
        <tr r="J2589" s="1"/>
      </tp>
      <tp>
        <v>7.0638735851999996</v>
        <stp/>
        <stp>EM_S_FA_NETPROFITMARGIN</stp>
        <stp>3</stp>
        <stp>002861</stp>
        <stp>12/31/2018</stp>
        <stp>1</stp>
        <tr r="J286" s="1"/>
      </tp>
      <tp>
        <v>-44.638914716899997</v>
        <stp/>
        <stp>EM_S_FA_NETPROFITMARGIN</stp>
        <stp>3</stp>
        <stp>002161</stp>
        <stp>12/31/2018</stp>
        <stp>1</stp>
        <tr r="J278" s="1"/>
      </tp>
      <tp>
        <v>4.7452718238999996</v>
        <stp/>
        <stp>EM_S_FA_NETPROFITMARGIN</stp>
        <stp>3</stp>
        <stp>002061</stp>
        <stp>12/31/2018</stp>
        <stp>1</stp>
        <tr r="J3337" s="1"/>
      </tp>
      <tp>
        <v>4.1044951165999999</v>
        <stp/>
        <stp>EM_S_FA_NETPROFITMARGIN</stp>
        <stp>3</stp>
        <stp>002361</stp>
        <stp>12/31/2018</stp>
        <stp>1</stp>
        <tr r="J1315" s="1"/>
      </tp>
      <tp>
        <v>-115.29269991709999</v>
        <stp/>
        <stp>EM_S_FA_NETPROFITMARGIN</stp>
        <stp>3</stp>
        <stp>002261</stp>
        <stp>12/31/2018</stp>
        <stp>1</stp>
        <tr r="J164" s="1"/>
      </tp>
      <tp>
        <v>11.7740442205</v>
        <stp/>
        <stp>EM_S_FA_NETPROFITMARGIN</stp>
        <stp>3</stp>
        <stp>002561</stp>
        <stp>12/31/2018</stp>
        <stp>1</stp>
        <tr r="J1959" s="1"/>
      </tp>
      <tp>
        <v>9.3873767298999997</v>
        <stp/>
        <stp>EM_S_FA_NETPROFITMARGIN</stp>
        <stp>3</stp>
        <stp>002461</stp>
        <stp>12/31/2018</stp>
        <stp>1</stp>
        <tr r="J428" s="1"/>
      </tp>
      <tp>
        <v>4.0139555592000002</v>
        <stp/>
        <stp>EM_S_FA_NETPROFITMARGIN</stp>
        <stp>3</stp>
        <stp>002761</stp>
        <stp>12/31/2018</stp>
        <stp>1</stp>
        <tr r="J3296" s="1"/>
      </tp>
      <tp>
        <v>6.4756729455000004</v>
        <stp/>
        <stp>EM_S_FA_NETPROFITMARGIN</stp>
        <stp>3</stp>
        <stp>002661</stp>
        <stp>12/31/2018</stp>
        <stp>1</stp>
        <tr r="J2711" s="1"/>
      </tp>
      <tp>
        <v>11.888469134299999</v>
        <stp/>
        <stp>EM_S_FA_NETPROFITMARGIN</stp>
        <stp>3</stp>
        <stp>601901</stp>
        <stp>12/31/2018</stp>
        <stp>1</stp>
        <tr r="J408" s="1"/>
      </tp>
      <tp>
        <v>11.2471532464</v>
        <stp/>
        <stp>EM_S_FA_NETPROFITMARGIN</stp>
        <stp>3</stp>
        <stp>601801</stp>
        <stp>12/31/2018</stp>
        <stp>1</stp>
        <tr r="J3010" s="1"/>
      </tp>
      <tp>
        <v>14.208281248800001</v>
        <stp/>
        <stp>EM_S_FA_NETPROFITMARGIN</stp>
        <stp>3</stp>
        <stp>601101</stp>
        <stp>12/31/2018</stp>
        <stp>1</stp>
        <tr r="J3038" s="1"/>
      </tp>
      <tp>
        <v>10.4542756174</v>
        <stp/>
        <stp>EM_S_FA_NETPROFITMARGIN</stp>
        <stp>3</stp>
        <stp>601001</stp>
        <stp>12/31/2018</stp>
        <stp>1</stp>
        <tr r="J2169" s="1"/>
      </tp>
      <tp>
        <v>5.2020103678999998</v>
        <stp/>
        <stp>EM_S_FA_NETPROFITMARGIN</stp>
        <stp>3</stp>
        <stp>601601</stp>
        <stp>12/31/2018</stp>
        <stp>1</stp>
        <tr r="J836" s="1"/>
      </tp>
      <tp>
        <v>5.7655039882999999</v>
        <stp/>
        <stp>EM_S_FA_NETPROFITMARGIN</stp>
        <stp>3</stp>
        <stp>000961</stp>
        <stp>12/31/2018</stp>
        <stp>1</stp>
        <tr r="J207" s="1"/>
      </tp>
      <tp>
        <v>51.343313468200002</v>
        <stp/>
        <stp>EM_S_FA_NETPROFITMARGIN</stp>
        <stp>3</stp>
        <stp>600901</stp>
        <stp>12/31/2018</stp>
        <stp>1</stp>
        <tr r="J1864" s="1"/>
      </tp>
      <tp>
        <v>7.2263425672999997</v>
        <stp/>
        <stp>EM_S_FA_NETPROFITMARGIN</stp>
        <stp>3</stp>
        <stp>000861</stp>
        <stp>12/31/2018</stp>
        <stp>1</stp>
        <tr r="J3556" s="1"/>
      </tp>
      <tp>
        <v>20.7729031348</v>
        <stp/>
        <stp>EM_S_FA_NETPROFITMARGIN</stp>
        <stp>3</stp>
        <stp>600801</stp>
        <stp>12/31/2018</stp>
        <stp>1</stp>
        <tr r="J585" s="1"/>
      </tp>
      <tp>
        <v>8.0181756123000003</v>
        <stp/>
        <stp>EM_S_FA_NETPROFITMARGIN</stp>
        <stp>3</stp>
        <stp>300151</stp>
        <stp>12/31/2018</stp>
        <stp>1</stp>
        <tr r="J378" s="1"/>
      </tp>
      <tp>
        <v>6.0261816893000004</v>
        <stp/>
        <stp>EM_S_FA_NETPROFITMARGIN</stp>
        <stp>3</stp>
        <stp>600101</stp>
        <stp>12/31/2018</stp>
        <stp>1</stp>
        <tr r="J1988" s="1"/>
      </tp>
      <tp>
        <v>4.353757163</v>
        <stp/>
        <stp>EM_S_FA_NETPROFITMARGIN</stp>
        <stp>3</stp>
        <stp>000061</stp>
        <stp>12/31/2018</stp>
        <stp>1</stp>
        <tr r="J1460" s="1"/>
      </tp>
      <tp>
        <v>-154.9892939428</v>
        <stp/>
        <stp>EM_S_FA_NETPROFITMARGIN</stp>
        <stp>3</stp>
        <stp>300051</stp>
        <stp>12/31/2018</stp>
        <stp>1</stp>
        <tr r="J2016" s="1"/>
      </tp>
      <tp>
        <v>0</v>
        <stp/>
        <stp>EM_S_FA_NETPROFITMARGIN</stp>
        <stp>3</stp>
        <stp>600001</stp>
        <stp>12/31/2018</stp>
        <stp>1</stp>
        <tr r="J2285" s="1"/>
      </tp>
      <tp>
        <v>-37.0549931157</v>
        <stp/>
        <stp>EM_S_FA_NETPROFITMARGIN</stp>
        <stp>3</stp>
        <stp>300351</stp>
        <stp>12/31/2018</stp>
        <stp>1</stp>
        <tr r="J1871" s="1"/>
      </tp>
      <tp>
        <v>16.2926096578</v>
        <stp/>
        <stp>EM_S_FA_NETPROFITMARGIN</stp>
        <stp>3</stp>
        <stp>600301</stp>
        <stp>12/31/2018</stp>
        <stp>1</stp>
        <tr r="J1636" s="1"/>
      </tp>
      <tp>
        <v>91.591631351399997</v>
        <stp/>
        <stp>EM_S_FA_NETPROFITMARGIN</stp>
        <stp>3</stp>
        <stp>300251</stp>
        <stp>12/31/2018</stp>
        <stp>1</stp>
        <tr r="J501" s="1"/>
      </tp>
      <tp>
        <v>39.523335821499998</v>
        <stp/>
        <stp>EM_S_FA_NETPROFITMARGIN</stp>
        <stp>3</stp>
        <stp>600201</stp>
        <stp>12/31/2018</stp>
        <stp>1</stp>
        <tr r="J1517" s="1"/>
      </tp>
      <tp>
        <v>8.1050375719000005</v>
        <stp/>
        <stp>EM_S_FA_NETPROFITMARGIN</stp>
        <stp>3</stp>
        <stp>000561</stp>
        <stp>12/31/2018</stp>
        <stp>1</stp>
        <tr r="J926" s="1"/>
      </tp>
      <tp>
        <v>4.8144843575999996</v>
        <stp/>
        <stp>EM_S_FA_NETPROFITMARGIN</stp>
        <stp>3</stp>
        <stp>300551</stp>
        <stp>12/31/2018</stp>
        <stp>1</stp>
        <tr r="J113" s="1"/>
      </tp>
      <tp>
        <v>-5.4902605886</v>
        <stp/>
        <stp>EM_S_FA_NETPROFITMARGIN</stp>
        <stp>3</stp>
        <stp>600501</stp>
        <stp>12/31/2018</stp>
        <stp>1</stp>
        <tr r="J972" s="1"/>
      </tp>
      <tp>
        <v>17.057314994799999</v>
        <stp/>
        <stp>EM_S_FA_NETPROFITMARGIN</stp>
        <stp>3</stp>
        <stp>300451</stp>
        <stp>12/31/2018</stp>
        <stp>1</stp>
        <tr r="J2693" s="1"/>
      </tp>
      <tp>
        <v>-426.06684842639999</v>
        <stp/>
        <stp>EM_S_FA_NETPROFITMARGIN</stp>
        <stp>3</stp>
        <stp>600401</stp>
        <stp>12/31/2018</stp>
        <stp>1</stp>
        <tr r="J3407" s="1"/>
      </tp>
      <tp>
        <v>2.0648454592999999</v>
        <stp/>
        <stp>EM_S_FA_NETPROFITMARGIN</stp>
        <stp>3</stp>
        <stp>000761</stp>
        <stp>12/31/2018</stp>
        <stp>1</stp>
        <tr r="J1372" s="1"/>
      </tp>
      <tp>
        <v>-1124.2892844989999</v>
        <stp/>
        <stp>EM_S_FA_NETPROFITMARGIN</stp>
        <stp>3</stp>
        <stp>600701</stp>
        <stp>12/31/2018</stp>
        <stp>1</stp>
        <tr r="J3066" s="1"/>
      </tp>
      <tp>
        <v>27.2152341878</v>
        <stp/>
        <stp>EM_S_FA_NETPROFITMARGIN</stp>
        <stp>3</stp>
        <stp>000661</stp>
        <stp>12/31/2018</stp>
        <stp>1</stp>
        <tr r="J85" s="1"/>
      </tp>
      <tp>
        <v>7.7787728301000003</v>
        <stp/>
        <stp>EM_S_FA_NETPROFITMARGIN</stp>
        <stp>3</stp>
        <stp>300651</stp>
        <stp>12/31/2018</stp>
        <stp>1</stp>
        <tr r="J3284" s="1"/>
      </tp>
      <tp>
        <v>0.98614738589999995</v>
        <stp/>
        <stp>EM_S_FA_NETPROFITMARGIN</stp>
        <stp>3</stp>
        <stp>600601</stp>
        <stp>12/31/2018</stp>
        <stp>1</stp>
        <tr r="J651" s="1"/>
      </tp>
      <tp>
        <v>12.5696624362</v>
        <stp/>
        <stp>EM_S_FA_NETPROFITMARGIN</stp>
        <stp>3</stp>
        <stp>603900</stp>
        <stp>12/31/2018</stp>
        <stp>1</stp>
        <tr r="J3083" s="1"/>
      </tp>
      <tp>
        <v>7.4509265452999998</v>
        <stp/>
        <stp>EM_S_FA_NETPROFITMARGIN</stp>
        <stp>3</stp>
        <stp>603800</stp>
        <stp>12/31/2018</stp>
        <stp>1</stp>
        <tr r="J1378" s="1"/>
      </tp>
      <tp>
        <v>10.904523813799999</v>
        <stp/>
        <stp>EM_S_FA_NETPROFITMARGIN</stp>
        <stp>3</stp>
        <stp>603100</stp>
        <stp>12/31/2018</stp>
        <stp>1</stp>
        <tr r="J1357" s="1"/>
      </tp>
      <tp>
        <v>15.4768112175</v>
        <stp/>
        <stp>EM_S_FA_NETPROFITMARGIN</stp>
        <stp>3</stp>
        <stp>603000</stp>
        <stp>12/31/2018</stp>
        <stp>1</stp>
        <tr r="J61" s="1"/>
      </tp>
      <tp>
        <v>14.930123850999999</v>
        <stp/>
        <stp>EM_S_FA_NETPROFITMARGIN</stp>
        <stp>3</stp>
        <stp>603300</stp>
        <stp>12/31/2018</stp>
        <stp>1</stp>
        <tr r="J370" s="1"/>
      </tp>
      <tp>
        <v>19.432593718300001</v>
        <stp/>
        <stp>EM_S_FA_NETPROFITMARGIN</stp>
        <stp>3</stp>
        <stp>603200</stp>
        <stp>12/31/2018</stp>
        <stp>1</stp>
        <tr r="J3342" s="1"/>
      </tp>
      <tp>
        <v>24.232737246599999</v>
        <stp/>
        <stp>EM_S_FA_NETPROFITMARGIN</stp>
        <stp>3</stp>
        <stp>603500</stp>
        <stp>12/31/2018</stp>
        <stp>1</stp>
        <tr r="J1345" s="1"/>
      </tp>
      <tp>
        <v>4.3872603895999998</v>
        <stp/>
        <stp>EM_S_FA_NETPROFITMARGIN</stp>
        <stp>3</stp>
        <stp>603600</stp>
        <stp>12/31/2018</stp>
        <stp>1</stp>
        <tr r="J311" s="1"/>
      </tp>
      <tp>
        <v>24.710931662699998</v>
        <stp/>
        <stp>EM_S_FA_NETPROFITMARGIN</stp>
        <stp>3</stp>
        <stp>002860</stp>
        <stp>12/31/2018</stp>
        <stp>1</stp>
        <tr r="J1191" s="1"/>
      </tp>
      <tp>
        <v>-10.416345059799999</v>
        <stp/>
        <stp>EM_S_FA_NETPROFITMARGIN</stp>
        <stp>3</stp>
        <stp>002160</stp>
        <stp>12/31/2018</stp>
        <stp>1</stp>
        <tr r="J3009" s="1"/>
      </tp>
      <tp>
        <v>2.4549281199999999</v>
        <stp/>
        <stp>EM_S_FA_NETPROFITMARGIN</stp>
        <stp>3</stp>
        <stp>002060</stp>
        <stp>12/31/2018</stp>
        <stp>1</stp>
        <tr r="J1677" s="1"/>
      </tp>
      <tp>
        <v>15.7877930163</v>
        <stp/>
        <stp>EM_S_FA_NETPROFITMARGIN</stp>
        <stp>3</stp>
        <stp>002360</stp>
        <stp>12/31/2018</stp>
        <stp>1</stp>
        <tr r="J2452" s="1"/>
      </tp>
      <tp>
        <v>-24.0082309296</v>
        <stp/>
        <stp>EM_S_FA_NETPROFITMARGIN</stp>
        <stp>3</stp>
        <stp>002260</stp>
        <stp>12/31/2018</stp>
        <stp>1</stp>
        <tr r="J2467" s="1"/>
      </tp>
      <tp>
        <v>-0.89317272810000004</v>
        <stp/>
        <stp>EM_S_FA_NETPROFITMARGIN</stp>
        <stp>3</stp>
        <stp>002560</stp>
        <stp>12/31/2018</stp>
        <stp>1</stp>
        <tr r="J1921" s="1"/>
      </tp>
      <tp>
        <v>24.458667979400001</v>
        <stp/>
        <stp>EM_S_FA_NETPROFITMARGIN</stp>
        <stp>3</stp>
        <stp>002460</stp>
        <stp>12/31/2018</stp>
        <stp>1</stp>
        <tr r="J490" s="1"/>
      </tp>
      <tp>
        <v>6.4987358086000002</v>
        <stp/>
        <stp>EM_S_FA_NETPROFITMARGIN</stp>
        <stp>3</stp>
        <stp>002760</stp>
        <stp>12/31/2018</stp>
        <stp>1</stp>
        <tr r="J1204" s="1"/>
      </tp>
      <tp>
        <v>-20.417238929900002</v>
        <stp/>
        <stp>EM_S_FA_NETPROFITMARGIN</stp>
        <stp>3</stp>
        <stp>002660</stp>
        <stp>12/31/2018</stp>
        <stp>1</stp>
        <tr r="J568" s="1"/>
      </tp>
      <tp>
        <v>11.841220248300001</v>
        <stp/>
        <stp>EM_S_FA_NETPROFITMARGIN</stp>
        <stp>3</stp>
        <stp>601900</stp>
        <stp>12/31/2018</stp>
        <stp>1</stp>
        <tr r="J1823" s="1"/>
      </tp>
      <tp>
        <v>4.1342243674999999</v>
        <stp/>
        <stp>EM_S_FA_NETPROFITMARGIN</stp>
        <stp>3</stp>
        <stp>601800</stp>
        <stp>12/31/2018</stp>
        <stp>1</stp>
        <tr r="J3086" s="1"/>
      </tp>
      <tp>
        <v>19.875478606000001</v>
        <stp/>
        <stp>EM_S_FA_NETPROFITMARGIN</stp>
        <stp>3</stp>
        <stp>601100</stp>
        <stp>12/31/2018</stp>
        <stp>1</stp>
        <tr r="J79" s="1"/>
      </tp>
      <tp>
        <v>15.1711160486</v>
        <stp/>
        <stp>EM_S_FA_NETPROFITMARGIN</stp>
        <stp>3</stp>
        <stp>601000</stp>
        <stp>12/31/2018</stp>
        <stp>1</stp>
        <tr r="J1833" s="1"/>
      </tp>
      <tp>
        <v>26.096550637</v>
        <stp/>
        <stp>EM_S_FA_NETPROFITMARGIN</stp>
        <stp>3</stp>
        <stp>601200</stp>
        <stp>12/31/2018</stp>
        <stp>1</stp>
        <tr r="J2980" s="1"/>
      </tp>
      <tp>
        <v>3.8517252386999998</v>
        <stp/>
        <stp>EM_S_FA_NETPROFITMARGIN</stp>
        <stp>3</stp>
        <stp>601500</stp>
        <stp>12/31/2018</stp>
        <stp>1</stp>
        <tr r="J2436" s="1"/>
      </tp>
      <tp>
        <v>1.5158329948</v>
        <stp/>
        <stp>EM_S_FA_NETPROFITMARGIN</stp>
        <stp>3</stp>
        <stp>601700</stp>
        <stp>12/31/2018</stp>
        <stp>1</stp>
        <tr r="J297" s="1"/>
      </tp>
      <tp>
        <v>0.89204761779999997</v>
        <stp/>
        <stp>EM_S_FA_NETPROFITMARGIN</stp>
        <stp>3</stp>
        <stp>601600</stp>
        <stp>12/31/2018</stp>
        <stp>1</stp>
        <tr r="J2346" s="1"/>
      </tp>
      <tp>
        <v>2.8358798165999999</v>
        <stp/>
        <stp>EM_S_FA_NETPROFITMARGIN</stp>
        <stp>3</stp>
        <stp>000960</stp>
        <stp>12/31/2018</stp>
        <stp>1</stp>
        <tr r="J1651" s="1"/>
      </tp>
      <tp>
        <v>44.213625992799997</v>
        <stp/>
        <stp>EM_S_FA_NETPROFITMARGIN</stp>
        <stp>3</stp>
        <stp>600900</stp>
        <stp>12/31/2018</stp>
        <stp>1</stp>
        <tr r="J1447" s="1"/>
      </tp>
      <tp>
        <v>6.0300487854</v>
        <stp/>
        <stp>EM_S_FA_NETPROFITMARGIN</stp>
        <stp>3</stp>
        <stp>000860</stp>
        <stp>12/31/2018</stp>
        <stp>1</stp>
        <tr r="J371" s="1"/>
      </tp>
      <tp>
        <v>49.399693714400001</v>
        <stp/>
        <stp>EM_S_FA_NETPROFITMARGIN</stp>
        <stp>3</stp>
        <stp>600800</stp>
        <stp>12/31/2018</stp>
        <stp>1</stp>
        <tr r="J1729" s="1"/>
      </tp>
      <tp>
        <v>13.3443619921</v>
        <stp/>
        <stp>EM_S_FA_NETPROFITMARGIN</stp>
        <stp>3</stp>
        <stp>300150</stp>
        <stp>12/31/2018</stp>
        <stp>1</stp>
        <tr r="J2203" s="1"/>
      </tp>
      <tp>
        <v>-14.0778250094</v>
        <stp/>
        <stp>EM_S_FA_NETPROFITMARGIN</stp>
        <stp>3</stp>
        <stp>600100</stp>
        <stp>12/31/2018</stp>
        <stp>1</stp>
        <tr r="J2791" s="1"/>
      </tp>
      <tp>
        <v>4.5562255833999998</v>
        <stp/>
        <stp>EM_S_FA_NETPROFITMARGIN</stp>
        <stp>3</stp>
        <stp>000060</stp>
        <stp>12/31/2018</stp>
        <stp>1</stp>
        <tr r="J1710" s="1"/>
      </tp>
      <tp>
        <v>5.2699418104999998</v>
        <stp/>
        <stp>EM_S_FA_NETPROFITMARGIN</stp>
        <stp>3</stp>
        <stp>300050</stp>
        <stp>12/31/2018</stp>
        <stp>1</stp>
        <tr r="J2656" s="1"/>
      </tp>
      <tp>
        <v>32.945284536700001</v>
        <stp/>
        <stp>EM_S_FA_NETPROFITMARGIN</stp>
        <stp>3</stp>
        <stp>600000</stp>
        <stp>12/31/2018</stp>
        <stp>1</stp>
        <tr r="J1062" s="1"/>
      </tp>
      <tp>
        <v>-58.803431829300003</v>
        <stp/>
        <stp>EM_S_FA_NETPROFITMARGIN</stp>
        <stp>3</stp>
        <stp>300350</stp>
        <stp>12/31/2018</stp>
        <stp>1</stp>
        <tr r="J2687" s="1"/>
      </tp>
      <tp>
        <v>0.78929616940000003</v>
        <stp/>
        <stp>EM_S_FA_NETPROFITMARGIN</stp>
        <stp>3</stp>
        <stp>600300</stp>
        <stp>12/31/2018</stp>
        <stp>1</stp>
        <tr r="J1995" s="1"/>
      </tp>
      <tp>
        <v>-72.553186313799998</v>
        <stp/>
        <stp>EM_S_FA_NETPROFITMARGIN</stp>
        <stp>3</stp>
        <stp>300250</stp>
        <stp>12/31/2018</stp>
        <stp>1</stp>
        <tr r="J1446" s="1"/>
      </tp>
      <tp>
        <v>-16.591589886000001</v>
        <stp/>
        <stp>EM_S_FA_NETPROFITMARGIN</stp>
        <stp>3</stp>
        <stp>600200</stp>
        <stp>12/31/2018</stp>
        <stp>1</stp>
        <tr r="J2906" s="1"/>
      </tp>
      <tp>
        <v>6.5083598551000001</v>
        <stp/>
        <stp>EM_S_FA_NETPROFITMARGIN</stp>
        <stp>3</stp>
        <stp>000560</stp>
        <stp>12/31/2018</stp>
        <stp>1</stp>
        <tr r="J2688" s="1"/>
      </tp>
      <tp>
        <v>9.8600511485000002</v>
        <stp/>
        <stp>EM_S_FA_NETPROFITMARGIN</stp>
        <stp>3</stp>
        <stp>300550</stp>
        <stp>12/31/2018</stp>
        <stp>1</stp>
        <tr r="J3349" s="1"/>
      </tp>
      <tp>
        <v>3.5163386527</v>
        <stp/>
        <stp>EM_S_FA_NETPROFITMARGIN</stp>
        <stp>3</stp>
        <stp>600500</stp>
        <stp>12/31/2018</stp>
        <stp>1</stp>
        <tr r="J3109" s="1"/>
      </tp>
      <tp>
        <v>19.085722262400001</v>
        <stp/>
        <stp>EM_S_FA_NETPROFITMARGIN</stp>
        <stp>3</stp>
        <stp>300450</stp>
        <stp>12/31/2018</stp>
        <stp>1</stp>
        <tr r="J468" s="1"/>
      </tp>
      <tp>
        <v>8.3782072943999992</v>
        <stp/>
        <stp>EM_S_FA_NETPROFITMARGIN</stp>
        <stp>3</stp>
        <stp>600400</stp>
        <stp>12/31/2018</stp>
        <stp>1</stp>
        <tr r="J2812" s="1"/>
      </tp>
      <tp>
        <v>-601.46990183449998</v>
        <stp/>
        <stp>EM_S_FA_NETPROFITMARGIN</stp>
        <stp>3</stp>
        <stp>000760</stp>
        <stp>12/31/2018</stp>
        <stp>1</stp>
        <tr r="J3530" s="1"/>
      </tp>
      <tp>
        <v>12.616470228300001</v>
        <stp/>
        <stp>EM_S_FA_NETPROFITMARGIN</stp>
        <stp>3</stp>
        <stp>300750</stp>
        <stp>12/31/2018</stp>
        <stp>1</stp>
        <tr r="J579" s="1"/>
      </tp>
      <tp>
        <v>-1786.7414580375</v>
        <stp/>
        <stp>EM_S_FA_NETPROFITMARGIN</stp>
        <stp>3</stp>
        <stp>600700</stp>
        <stp>12/31/2018</stp>
        <stp>1</stp>
        <tr r="J2317" s="1"/>
      </tp>
      <tp>
        <v>4.9007573291000002</v>
        <stp/>
        <stp>EM_S_FA_NETPROFITMARGIN</stp>
        <stp>3</stp>
        <stp>000660</stp>
        <stp>12/31/2018</stp>
        <stp>1</stp>
        <tr r="J3496" s="1"/>
      </tp>
      <tp>
        <v>12.264790935400001</v>
        <stp/>
        <stp>EM_S_FA_NETPROFITMARGIN</stp>
        <stp>3</stp>
        <stp>300650</stp>
        <stp>12/31/2018</stp>
        <stp>1</stp>
        <tr r="J1066" s="1"/>
      </tp>
      <tp>
        <v>5.8739283667000004</v>
        <stp/>
        <stp>EM_S_FA_NETPROFITMARGIN</stp>
        <stp>3</stp>
        <stp>600600</stp>
        <stp>12/31/2018</stp>
        <stp>1</stp>
        <tr r="J615" s="1"/>
      </tp>
      <tp>
        <v>10.3529872733</v>
        <stp/>
        <stp>EM_S_FA_NETPROFITMARGIN</stp>
        <stp>3</stp>
        <stp>603903</stp>
        <stp>12/31/2018</stp>
        <stp>1</stp>
        <tr r="J3225" s="1"/>
      </tp>
      <tp>
        <v>5.1528746898</v>
        <stp/>
        <stp>EM_S_FA_NETPROFITMARGIN</stp>
        <stp>3</stp>
        <stp>603803</stp>
        <stp>12/31/2018</stp>
        <stp>1</stp>
        <tr r="J1040" s="1"/>
      </tp>
      <tp>
        <v>11.7705411512</v>
        <stp/>
        <stp>EM_S_FA_NETPROFITMARGIN</stp>
        <stp>3</stp>
        <stp>603103</stp>
        <stp>12/31/2018</stp>
        <stp>1</stp>
        <tr r="J2987" s="1"/>
      </tp>
      <tp>
        <v>0.57674755310000003</v>
        <stp/>
        <stp>EM_S_FA_NETPROFITMARGIN</stp>
        <stp>3</stp>
        <stp>603003</stp>
        <stp>12/31/2018</stp>
        <stp>1</stp>
        <tr r="J1217" s="1"/>
      </tp>
      <tp>
        <v>6.1926305331</v>
        <stp/>
        <stp>EM_S_FA_NETPROFITMARGIN</stp>
        <stp>3</stp>
        <stp>603303</stp>
        <stp>12/31/2018</stp>
        <stp>1</stp>
        <tr r="J2847" s="1"/>
      </tp>
      <tp>
        <v>36.330434577200002</v>
        <stp/>
        <stp>EM_S_FA_NETPROFITMARGIN</stp>
        <stp>3</stp>
        <stp>603203</stp>
        <stp>12/31/2018</stp>
        <stp>1</stp>
        <tr r="J761" s="1"/>
      </tp>
      <tp>
        <v>-14.6155250651</v>
        <stp/>
        <stp>EM_S_FA_NETPROFITMARGIN</stp>
        <stp>3</stp>
        <stp>603703</stp>
        <stp>12/31/2018</stp>
        <stp>1</stp>
        <tr r="J347" s="1"/>
      </tp>
      <tp>
        <v>4.2316480478000003</v>
        <stp/>
        <stp>EM_S_FA_NETPROFITMARGIN</stp>
        <stp>3</stp>
        <stp>603603</stp>
        <stp>12/31/2018</stp>
        <stp>1</stp>
        <tr r="J3314" s="1"/>
      </tp>
      <tp>
        <v>2.2832369826000001</v>
        <stp/>
        <stp>EM_S_FA_NETPROFITMARGIN</stp>
        <stp>3</stp>
        <stp>002863</stp>
        <stp>12/31/2018</stp>
        <stp>1</stp>
        <tr r="J2846" s="1"/>
      </tp>
      <tp>
        <v>-1.2869131594000001</v>
        <stp/>
        <stp>EM_S_FA_NETPROFITMARGIN</stp>
        <stp>3</stp>
        <stp>002163</stp>
        <stp>12/31/2018</stp>
        <stp>1</stp>
        <tr r="J1572" s="1"/>
      </tp>
      <tp>
        <v>14.6781679654</v>
        <stp/>
        <stp>EM_S_FA_NETPROFITMARGIN</stp>
        <stp>3</stp>
        <stp>002063</stp>
        <stp>12/31/2018</stp>
        <stp>1</stp>
        <tr r="J118" s="1"/>
      </tp>
      <tp>
        <v>4.0781245045999999</v>
        <stp/>
        <stp>EM_S_FA_NETPROFITMARGIN</stp>
        <stp>3</stp>
        <stp>002363</stp>
        <stp>12/31/2018</stp>
        <stp>1</stp>
        <tr r="J1055" s="1"/>
      </tp>
      <tp>
        <v>2.4290240416</v>
        <stp/>
        <stp>EM_S_FA_NETPROFITMARGIN</stp>
        <stp>3</stp>
        <stp>002263</stp>
        <stp>12/31/2018</stp>
        <stp>1</stp>
        <tr r="J1203" s="1"/>
      </tp>
      <tp>
        <v>10.697493812999999</v>
        <stp/>
        <stp>EM_S_FA_NETPROFITMARGIN</stp>
        <stp>3</stp>
        <stp>002563</stp>
        <stp>12/31/2018</stp>
        <stp>1</stp>
        <tr r="J1758" s="1"/>
      </tp>
      <tp>
        <v>10.3776593024</v>
        <stp/>
        <stp>EM_S_FA_NETPROFITMARGIN</stp>
        <stp>3</stp>
        <stp>002463</stp>
        <stp>12/31/2018</stp>
        <stp>1</stp>
        <tr r="J42" s="1"/>
      </tp>
      <tp>
        <v>8.3251413936999992</v>
        <stp/>
        <stp>EM_S_FA_NETPROFITMARGIN</stp>
        <stp>3</stp>
        <stp>002763</stp>
        <stp>12/31/2018</stp>
        <stp>1</stp>
        <tr r="J2122" s="1"/>
      </tp>
      <tp>
        <v>1.2689290518</v>
        <stp/>
        <stp>EM_S_FA_NETPROFITMARGIN</stp>
        <stp>3</stp>
        <stp>002663</stp>
        <stp>12/31/2018</stp>
        <stp>1</stp>
        <tr r="J1524" s="1"/>
      </tp>
      <tp>
        <v>9.7351441767000004</v>
        <stp/>
        <stp>EM_S_FA_NETPROFITMARGIN</stp>
        <stp>3</stp>
        <stp>601003</stp>
        <stp>12/31/2018</stp>
        <stp>1</stp>
        <tr r="J2925" s="1"/>
      </tp>
      <tp>
        <v>7.8111742905000003</v>
        <stp/>
        <stp>EM_S_FA_NETPROFITMARGIN</stp>
        <stp>3</stp>
        <stp>000963</stp>
        <stp>12/31/2018</stp>
        <stp>1</stp>
        <tr r="J2741" s="1"/>
      </tp>
      <tp>
        <v>4.6802082781000003</v>
        <stp/>
        <stp>EM_S_FA_NETPROFITMARGIN</stp>
        <stp>3</stp>
        <stp>600903</stp>
        <stp>12/31/2018</stp>
        <stp>1</stp>
        <tr r="J3216" s="1"/>
      </tp>
      <tp>
        <v>-30.5345924477</v>
        <stp/>
        <stp>EM_S_FA_NETPROFITMARGIN</stp>
        <stp>3</stp>
        <stp>000863</stp>
        <stp>12/31/2018</stp>
        <stp>1</stp>
        <tr r="J3557" s="1"/>
      </tp>
      <tp>
        <v>10.311591629300001</v>
        <stp/>
        <stp>EM_S_FA_NETPROFITMARGIN</stp>
        <stp>3</stp>
        <stp>600803</stp>
        <stp>12/31/2018</stp>
        <stp>1</stp>
        <tr r="J1898" s="1"/>
      </tp>
      <tp>
        <v>1.3355927889999999</v>
        <stp/>
        <stp>EM_S_FA_NETPROFITMARGIN</stp>
        <stp>3</stp>
        <stp>300153</stp>
        <stp>12/31/2018</stp>
        <stp>1</stp>
        <tr r="J2698" s="1"/>
      </tp>
      <tp>
        <v>6.1719872980000003</v>
        <stp/>
        <stp>EM_S_FA_NETPROFITMARGIN</stp>
        <stp>3</stp>
        <stp>600103</stp>
        <stp>12/31/2018</stp>
        <stp>1</stp>
        <tr r="J3018" s="1"/>
      </tp>
      <tp>
        <v>-8.1266331553000004</v>
        <stp/>
        <stp>EM_S_FA_NETPROFITMARGIN</stp>
        <stp>3</stp>
        <stp>000063</stp>
        <stp>12/31/2018</stp>
        <stp>1</stp>
        <tr r="J245" s="1"/>
      </tp>
      <tp>
        <v>10.468918178099999</v>
        <stp/>
        <stp>EM_S_FA_NETPROFITMARGIN</stp>
        <stp>3</stp>
        <stp>300053</stp>
        <stp>12/31/2018</stp>
        <stp>1</stp>
        <tr r="J528" s="1"/>
      </tp>
      <tp>
        <v>0</v>
        <stp/>
        <stp>EM_S_FA_NETPROFITMARGIN</stp>
        <stp>3</stp>
        <stp>600003</stp>
        <stp>12/31/2018</stp>
        <stp>1</stp>
        <tr r="J2287" s="1"/>
      </tp>
      <tp>
        <v>9.7090598196000002</v>
        <stp/>
        <stp>EM_S_FA_NETPROFITMARGIN</stp>
        <stp>3</stp>
        <stp>300353</stp>
        <stp>12/31/2018</stp>
        <stp>1</stp>
        <tr r="J614" s="1"/>
      </tp>
      <tp>
        <v>-4.5211562509999998</v>
        <stp/>
        <stp>EM_S_FA_NETPROFITMARGIN</stp>
        <stp>3</stp>
        <stp>600303</stp>
        <stp>12/31/2018</stp>
        <stp>1</stp>
        <tr r="J2765" s="1"/>
      </tp>
      <tp>
        <v>21.325916070800002</v>
        <stp/>
        <stp>EM_S_FA_NETPROFITMARGIN</stp>
        <stp>3</stp>
        <stp>300253</stp>
        <stp>12/31/2018</stp>
        <stp>1</stp>
        <tr r="J1336" s="1"/>
      </tp>
      <tp>
        <v>0.26540650929999998</v>
        <stp/>
        <stp>EM_S_FA_NETPROFITMARGIN</stp>
        <stp>3</stp>
        <stp>600203</stp>
        <stp>12/31/2018</stp>
        <stp>1</stp>
        <tr r="J655" s="1"/>
      </tp>
      <tp>
        <v>31.097390858000001</v>
        <stp/>
        <stp>EM_S_FA_NETPROFITMARGIN</stp>
        <stp>3</stp>
        <stp>000563</stp>
        <stp>12/31/2018</stp>
        <stp>1</stp>
        <tr r="J3456" s="1"/>
      </tp>
      <tp>
        <v>8.5472588971000008</v>
        <stp/>
        <stp>EM_S_FA_NETPROFITMARGIN</stp>
        <stp>3</stp>
        <stp>300553</stp>
        <stp>12/31/2018</stp>
        <stp>1</stp>
        <tr r="J1587" s="1"/>
      </tp>
      <tp>
        <v>-0.70412457350000002</v>
        <stp/>
        <stp>EM_S_FA_NETPROFITMARGIN</stp>
        <stp>3</stp>
        <stp>600503</stp>
        <stp>12/31/2018</stp>
        <stp>1</stp>
        <tr r="J2014" s="1"/>
      </tp>
      <tp>
        <v>7.6990506255</v>
        <stp/>
        <stp>EM_S_FA_NETPROFITMARGIN</stp>
        <stp>3</stp>
        <stp>300453</stp>
        <stp>12/31/2018</stp>
        <stp>1</stp>
        <tr r="J3248" s="1"/>
      </tp>
      <tp>
        <v>7.8768723302000003</v>
        <stp/>
        <stp>EM_S_FA_NETPROFITMARGIN</stp>
        <stp>3</stp>
        <stp>600403</stp>
        <stp>12/31/2018</stp>
        <stp>1</stp>
        <tr r="J1468" s="1"/>
      </tp>
      <tp>
        <v>0</v>
        <stp/>
        <stp>EM_S_FA_NETPROFITMARGIN</stp>
        <stp>3</stp>
        <stp>000763</stp>
        <stp>12/31/2018</stp>
        <stp>1</stp>
        <tr r="J3532" s="1"/>
      </tp>
      <tp>
        <v>33.834506322400003</v>
        <stp/>
        <stp>EM_S_FA_NETPROFITMARGIN</stp>
        <stp>3</stp>
        <stp>600703</stp>
        <stp>12/31/2018</stp>
        <stp>1</stp>
        <tr r="J375" s="1"/>
      </tp>
      <tp>
        <v>-177.4780758725</v>
        <stp/>
        <stp>EM_S_FA_NETPROFITMARGIN</stp>
        <stp>3</stp>
        <stp>000663</stp>
        <stp>12/31/2018</stp>
        <stp>1</stp>
        <tr r="J3498" s="1"/>
      </tp>
      <tp>
        <v>39.813318217800003</v>
        <stp/>
        <stp>EM_S_FA_NETPROFITMARGIN</stp>
        <stp>3</stp>
        <stp>300653</stp>
        <stp>12/31/2018</stp>
        <stp>1</stp>
        <tr r="J539" s="1"/>
      </tp>
      <tp>
        <v>26.789505756200001</v>
        <stp/>
        <stp>EM_S_FA_NETPROFITMARGIN</stp>
        <stp>3</stp>
        <stp>600603</stp>
        <stp>12/31/2018</stp>
        <stp>1</stp>
        <tr r="J1271" s="1"/>
      </tp>
      <tp>
        <v>2.7721233113000001</v>
        <stp/>
        <stp>EM_S_FA_NETPROFITMARGIN</stp>
        <stp>3</stp>
        <stp>603002</stp>
        <stp>12/31/2018</stp>
        <stp>1</stp>
        <tr r="J1090" s="1"/>
      </tp>
      <tp>
        <v>0</v>
        <stp/>
        <stp>EM_S_FA_NETPROFITMARGIN</stp>
        <stp>3</stp>
        <stp>603302</stp>
        <stp>12/31/2018</stp>
        <stp>1</stp>
        <tr r="J14" s="1"/>
      </tp>
      <tp>
        <v>7.4740622018999998</v>
        <stp/>
        <stp>EM_S_FA_NETPROFITMARGIN</stp>
        <stp>3</stp>
        <stp>603602</stp>
        <stp>12/31/2018</stp>
        <stp>1</stp>
        <tr r="J2921" s="1"/>
      </tp>
      <tp>
        <v>8.0331133948000009</v>
        <stp/>
        <stp>EM_S_FA_NETPROFITMARGIN</stp>
        <stp>3</stp>
        <stp>002862</stp>
        <stp>12/31/2018</stp>
        <stp>1</stp>
        <tr r="J2070" s="1"/>
      </tp>
      <tp>
        <v>2.2909347227999999</v>
        <stp/>
        <stp>EM_S_FA_NETPROFITMARGIN</stp>
        <stp>3</stp>
        <stp>002162</stp>
        <stp>12/31/2018</stp>
        <stp>1</stp>
        <tr r="J1080" s="1"/>
      </tp>
      <tp>
        <v>2.0023814849999999</v>
        <stp/>
        <stp>EM_S_FA_NETPROFITMARGIN</stp>
        <stp>3</stp>
        <stp>002062</stp>
        <stp>12/31/2018</stp>
        <stp>1</stp>
        <tr r="J2740" s="1"/>
      </tp>
      <tp>
        <v>2.1436894707</v>
        <stp/>
        <stp>EM_S_FA_NETPROFITMARGIN</stp>
        <stp>3</stp>
        <stp>002362</stp>
        <stp>12/31/2018</stp>
        <stp>1</stp>
        <tr r="J1277" s="1"/>
      </tp>
      <tp>
        <v>13.4561650567</v>
        <stp/>
        <stp>EM_S_FA_NETPROFITMARGIN</stp>
        <stp>3</stp>
        <stp>002262</stp>
        <stp>12/31/2018</stp>
        <stp>1</stp>
        <tr r="J1001" s="1"/>
      </tp>
      <tp>
        <v>1.5418379205999999</v>
        <stp/>
        <stp>EM_S_FA_NETPROFITMARGIN</stp>
        <stp>3</stp>
        <stp>002562</stp>
        <stp>12/31/2018</stp>
        <stp>1</stp>
        <tr r="J1598" s="1"/>
      </tp>
      <tp>
        <v>3.1771481351999999</v>
        <stp/>
        <stp>EM_S_FA_NETPROFITMARGIN</stp>
        <stp>3</stp>
        <stp>002462</stp>
        <stp>12/31/2018</stp>
        <stp>1</stp>
        <tr r="J1795" s="1"/>
      </tp>
      <tp>
        <v>8.6776199863999999</v>
        <stp/>
        <stp>EM_S_FA_NETPROFITMARGIN</stp>
        <stp>3</stp>
        <stp>002762</stp>
        <stp>12/31/2018</stp>
        <stp>1</stp>
        <tr r="J2112" s="1"/>
      </tp>
      <tp>
        <v>1.6859601935999999</v>
        <stp/>
        <stp>EM_S_FA_NETPROFITMARGIN</stp>
        <stp>3</stp>
        <stp>002662</stp>
        <stp>12/31/2018</stp>
        <stp>1</stp>
        <tr r="J3217" s="1"/>
      </tp>
      <tp>
        <v>5.5428655171000001</v>
        <stp/>
        <stp>EM_S_FA_NETPROFITMARGIN</stp>
        <stp>3</stp>
        <stp>601002</stp>
        <stp>12/31/2018</stp>
        <stp>1</stp>
        <tr r="J1815" s="1"/>
      </tp>
      <tp>
        <v>2.7607728323999998</v>
        <stp/>
        <stp>EM_S_FA_NETPROFITMARGIN</stp>
        <stp>3</stp>
        <stp>000962</stp>
        <stp>12/31/2018</stp>
        <stp>1</stp>
        <tr r="J1521" s="1"/>
      </tp>
      <tp>
        <v>4.386697045</v>
        <stp/>
        <stp>EM_S_FA_NETPROFITMARGIN</stp>
        <stp>3</stp>
        <stp>000862</stp>
        <stp>12/31/2018</stp>
        <stp>1</stp>
        <tr r="J331" s="1"/>
      </tp>
      <tp>
        <v>13.952129680000001</v>
        <stp/>
        <stp>EM_S_FA_NETPROFITMARGIN</stp>
        <stp>3</stp>
        <stp>600802</stp>
        <stp>12/31/2018</stp>
        <stp>1</stp>
        <tr r="J1449" s="1"/>
      </tp>
      <tp>
        <v>-96.755233566699999</v>
        <stp/>
        <stp>EM_S_FA_NETPROFITMARGIN</stp>
        <stp>3</stp>
        <stp>300152</stp>
        <stp>12/31/2018</stp>
        <stp>1</stp>
        <tr r="J897" s="1"/>
      </tp>
      <tp>
        <v>0</v>
        <stp/>
        <stp>EM_S_FA_NETPROFITMARGIN</stp>
        <stp>3</stp>
        <stp>600102</stp>
        <stp>12/31/2018</stp>
        <stp>1</stp>
        <tr r="J2292" s="1"/>
      </tp>
      <tp>
        <v>6.5219275780999997</v>
        <stp/>
        <stp>EM_S_FA_NETPROFITMARGIN</stp>
        <stp>3</stp>
        <stp>000062</stp>
        <stp>12/31/2018</stp>
        <stp>1</stp>
        <tr r="J1072" s="1"/>
      </tp>
      <tp>
        <v>11.3910746483</v>
        <stp/>
        <stp>EM_S_FA_NETPROFITMARGIN</stp>
        <stp>3</stp>
        <stp>300052</stp>
        <stp>12/31/2018</stp>
        <stp>1</stp>
        <tr r="J509" s="1"/>
      </tp>
      <tp>
        <v>0</v>
        <stp/>
        <stp>EM_S_FA_NETPROFITMARGIN</stp>
        <stp>3</stp>
        <stp>600002</stp>
        <stp>12/31/2018</stp>
        <stp>1</stp>
        <tr r="J2286" s="1"/>
      </tp>
      <tp>
        <v>16.3291657336</v>
        <stp/>
        <stp>EM_S_FA_NETPROFITMARGIN</stp>
        <stp>3</stp>
        <stp>300352</stp>
        <stp>12/31/2018</stp>
        <stp>1</stp>
        <tr r="J122" s="1"/>
      </tp>
      <tp>
        <v>4.0534139999000001</v>
        <stp/>
        <stp>EM_S_FA_NETPROFITMARGIN</stp>
        <stp>3</stp>
        <stp>600302</stp>
        <stp>12/31/2018</stp>
        <stp>1</stp>
        <tr r="J1508" s="1"/>
      </tp>
      <tp>
        <v>5.9789359257000001</v>
        <stp/>
        <stp>EM_S_FA_NETPROFITMARGIN</stp>
        <stp>3</stp>
        <stp>300252</stp>
        <stp>12/31/2018</stp>
        <stp>1</stp>
        <tr r="J2966" s="1"/>
      </tp>
      <tp>
        <v>2.7106442638999999</v>
        <stp/>
        <stp>EM_S_FA_NETPROFITMARGIN</stp>
        <stp>3</stp>
        <stp>600202</stp>
        <stp>12/31/2018</stp>
        <stp>1</stp>
        <tr r="J605" s="1"/>
      </tp>
      <tp>
        <v>0</v>
        <stp/>
        <stp>EM_S_FA_NETPROFITMARGIN</stp>
        <stp>3</stp>
        <stp>000562</stp>
        <stp>12/31/2018</stp>
        <stp>1</stp>
        <tr r="J3455" s="1"/>
      </tp>
      <tp>
        <v>0.8939925178</v>
        <stp/>
        <stp>EM_S_FA_NETPROFITMARGIN</stp>
        <stp>3</stp>
        <stp>300552</stp>
        <stp>12/31/2018</stp>
        <stp>1</stp>
        <tr r="J15" s="1"/>
      </tp>
      <tp>
        <v>2.1114520319999999</v>
        <stp/>
        <stp>EM_S_FA_NETPROFITMARGIN</stp>
        <stp>3</stp>
        <stp>600502</stp>
        <stp>12/31/2018</stp>
        <stp>1</stp>
        <tr r="J1556" s="1"/>
      </tp>
      <tp>
        <v>18.0135881221</v>
        <stp/>
        <stp>EM_S_FA_NETPROFITMARGIN</stp>
        <stp>3</stp>
        <stp>300452</stp>
        <stp>12/31/2018</stp>
        <stp>1</stp>
        <tr r="J1739" s="1"/>
      </tp>
      <tp>
        <v>-39.383967808599998</v>
        <stp/>
        <stp>EM_S_FA_NETPROFITMARGIN</stp>
        <stp>3</stp>
        <stp>000762</stp>
        <stp>12/31/2018</stp>
        <stp>1</stp>
        <tr r="J3531" s="1"/>
      </tp>
      <tp>
        <v>16.855390270000001</v>
        <stp/>
        <stp>EM_S_FA_NETPROFITMARGIN</stp>
        <stp>3</stp>
        <stp>600702</stp>
        <stp>12/31/2018</stp>
        <stp>1</stp>
        <tr r="J882" s="1"/>
      </tp>
      <tp>
        <v>13.825843734499999</v>
        <stp/>
        <stp>EM_S_FA_NETPROFITMARGIN</stp>
        <stp>3</stp>
        <stp>000662</stp>
        <stp>12/31/2018</stp>
        <stp>1</stp>
        <tr r="J3497" s="1"/>
      </tp>
      <tp>
        <v>18.082355974799999</v>
        <stp/>
        <stp>EM_S_FA_NETPROFITMARGIN</stp>
        <stp>3</stp>
        <stp>300652</stp>
        <stp>12/31/2018</stp>
        <stp>1</stp>
        <tr r="J2079" s="1"/>
      </tp>
      <tp>
        <v>6.6986285735999997</v>
        <stp/>
        <stp>EM_S_FA_NETPROFITMARGIN</stp>
        <stp>3</stp>
        <stp>600602</stp>
        <stp>12/31/2018</stp>
        <stp>1</stp>
        <tr r="J353" s="1"/>
      </tp>
      <tp>
        <v>17.222126661800001</v>
        <stp/>
        <stp>EM_S_FA_NETPROFITMARGIN</stp>
        <stp>3</stp>
        <stp>603105</stp>
        <stp>12/31/2018</stp>
        <stp>1</stp>
        <tr r="J3344" s="1"/>
      </tp>
      <tp>
        <v>12.561033270299999</v>
        <stp/>
        <stp>EM_S_FA_NETPROFITMARGIN</stp>
        <stp>3</stp>
        <stp>603005</stp>
        <stp>12/31/2018</stp>
        <stp>1</stp>
        <tr r="J98" s="1"/>
      </tp>
      <tp>
        <v>26.808957766900001</v>
        <stp/>
        <stp>EM_S_FA_NETPROFITMARGIN</stp>
        <stp>3</stp>
        <stp>603305</stp>
        <stp>12/31/2018</stp>
        <stp>1</stp>
        <tr r="J1751" s="1"/>
      </tp>
      <tp>
        <v>23.406799015800001</v>
        <stp/>
        <stp>EM_S_FA_NETPROFITMARGIN</stp>
        <stp>3</stp>
        <stp>603505</stp>
        <stp>12/31/2018</stp>
        <stp>1</stp>
        <tr r="J335" s="1"/>
      </tp>
      <tp>
        <v>12.138474758799999</v>
        <stp/>
        <stp>EM_S_FA_NETPROFITMARGIN</stp>
        <stp>3</stp>
        <stp>603605</stp>
        <stp>12/31/2018</stp>
        <stp>1</stp>
        <tr r="J169" s="1"/>
      </tp>
      <tp>
        <v>4.6354284456999997</v>
        <stp/>
        <stp>EM_S_FA_NETPROFITMARGIN</stp>
        <stp>3</stp>
        <stp>002865</stp>
        <stp>12/31/2018</stp>
        <stp>1</stp>
        <tr r="J3027" s="1"/>
      </tp>
      <tp>
        <v>1.2562305283999999</v>
        <stp/>
        <stp>EM_S_FA_NETPROFITMARGIN</stp>
        <stp>3</stp>
        <stp>002165</stp>
        <stp>12/31/2018</stp>
        <stp>1</stp>
        <tr r="J1121" s="1"/>
      </tp>
      <tp>
        <v>9.4185713464000003</v>
        <stp/>
        <stp>EM_S_FA_NETPROFITMARGIN</stp>
        <stp>3</stp>
        <stp>002065</stp>
        <stp>12/31/2018</stp>
        <stp>1</stp>
        <tr r="J619" s="1"/>
      </tp>
      <tp>
        <v>17.794112278699998</v>
        <stp/>
        <stp>EM_S_FA_NETPROFITMARGIN</stp>
        <stp>3</stp>
        <stp>002365</stp>
        <stp>12/31/2018</stp>
        <stp>1</stp>
        <tr r="J2692" s="1"/>
      </tp>
      <tp>
        <v>-8.9838079969999995</v>
        <stp/>
        <stp>EM_S_FA_NETPROFITMARGIN</stp>
        <stp>3</stp>
        <stp>002265</stp>
        <stp>12/31/2018</stp>
        <stp>1</stp>
        <tr r="J2427" s="1"/>
      </tp>
      <tp>
        <v>5.5450369114000004</v>
        <stp/>
        <stp>EM_S_FA_NETPROFITMARGIN</stp>
        <stp>3</stp>
        <stp>002565</stp>
        <stp>12/31/2018</stp>
        <stp>1</stp>
        <tr r="J336" s="1"/>
      </tp>
      <tp>
        <v>10.9738429727</v>
        <stp/>
        <stp>EM_S_FA_NETPROFITMARGIN</stp>
        <stp>3</stp>
        <stp>002465</stp>
        <stp>12/31/2018</stp>
        <stp>1</stp>
        <tr r="J738" s="1"/>
      </tp>
      <tp>
        <v>0.3329734741</v>
        <stp/>
        <stp>EM_S_FA_NETPROFITMARGIN</stp>
        <stp>3</stp>
        <stp>002765</stp>
        <stp>12/31/2018</stp>
        <stp>1</stp>
        <tr r="J3005" s="1"/>
      </tp>
      <tp>
        <v>-130.14827494510001</v>
        <stp/>
        <stp>EM_S_FA_NETPROFITMARGIN</stp>
        <stp>3</stp>
        <stp>002665</stp>
        <stp>12/31/2018</stp>
        <stp>1</stp>
        <tr r="J1281" s="1"/>
      </tp>
      <tp>
        <v>64.6668323902</v>
        <stp/>
        <stp>EM_S_FA_NETPROFITMARGIN</stp>
        <stp>3</stp>
        <stp>001965</stp>
        <stp>12/31/2018</stp>
        <stp>1</stp>
        <tr r="J1808" s="1"/>
      </tp>
      <tp>
        <v>7.8980361154000001</v>
        <stp/>
        <stp>EM_S_FA_NETPROFITMARGIN</stp>
        <stp>3</stp>
        <stp>601005</stp>
        <stp>12/31/2018</stp>
        <stp>1</stp>
        <tr r="J2547" s="1"/>
      </tp>
      <tp>
        <v>4.2374583962000001</v>
        <stp/>
        <stp>EM_S_FA_NETPROFITMARGIN</stp>
        <stp>3</stp>
        <stp>000965</stp>
        <stp>12/31/2018</stp>
        <stp>1</stp>
        <tr r="J3017" s="1"/>
      </tp>
      <tp>
        <v>2.2587618577000002</v>
        <stp/>
        <stp>EM_S_FA_NETPROFITMARGIN</stp>
        <stp>3</stp>
        <stp>600805</stp>
        <stp>12/31/2018</stp>
        <stp>1</stp>
        <tr r="J1762" s="1"/>
      </tp>
      <tp>
        <v>3.1474622586000001</v>
        <stp/>
        <stp>EM_S_FA_NETPROFITMARGIN</stp>
        <stp>3</stp>
        <stp>300155</stp>
        <stp>12/31/2018</stp>
        <stp>1</stp>
        <tr r="J1092" s="1"/>
      </tp>
      <tp>
        <v>7.6000598024999997</v>
        <stp/>
        <stp>EM_S_FA_NETPROFITMARGIN</stp>
        <stp>3</stp>
        <stp>600105</stp>
        <stp>12/31/2018</stp>
        <stp>1</stp>
        <tr r="J1397" s="1"/>
      </tp>
      <tp>
        <v>6.1895525261</v>
        <stp/>
        <stp>EM_S_FA_NETPROFITMARGIN</stp>
        <stp>3</stp>
        <stp>000065</stp>
        <stp>12/31/2018</stp>
        <stp>1</stp>
        <tr r="J1549" s="1"/>
      </tp>
      <tp>
        <v>-6.9247922642999997</v>
        <stp/>
        <stp>EM_S_FA_NETPROFITMARGIN</stp>
        <stp>3</stp>
        <stp>300055</stp>
        <stp>12/31/2018</stp>
        <stp>1</stp>
        <tr r="J2859" s="1"/>
      </tp>
      <tp>
        <v>0</v>
        <stp/>
        <stp>EM_S_FA_NETPROFITMARGIN</stp>
        <stp>3</stp>
        <stp>600005</stp>
        <stp>12/31/2018</stp>
        <stp>1</stp>
        <tr r="J2288" s="1"/>
      </tp>
      <tp>
        <v>6.2787331139999996</v>
        <stp/>
        <stp>EM_S_FA_NETPROFITMARGIN</stp>
        <stp>3</stp>
        <stp>300355</stp>
        <stp>12/31/2018</stp>
        <stp>1</stp>
        <tr r="J2877" s="1"/>
      </tp>
      <tp>
        <v>17.9397959894</v>
        <stp/>
        <stp>EM_S_FA_NETPROFITMARGIN</stp>
        <stp>3</stp>
        <stp>600305</stp>
        <stp>12/31/2018</stp>
        <stp>1</stp>
        <tr r="J676" s="1"/>
      </tp>
      <tp>
        <v>8.0000508014000005</v>
        <stp/>
        <stp>EM_S_FA_NETPROFITMARGIN</stp>
        <stp>3</stp>
        <stp>300255</stp>
        <stp>12/31/2018</stp>
        <stp>1</stp>
        <tr r="J922" s="1"/>
      </tp>
      <tp>
        <v>0</v>
        <stp/>
        <stp>EM_S_FA_NETPROFITMARGIN</stp>
        <stp>3</stp>
        <stp>600205</stp>
        <stp>12/31/2018</stp>
        <stp>1</stp>
        <tr r="J2295" s="1"/>
      </tp>
      <tp>
        <v>7.1639484108999998</v>
        <stp/>
        <stp>EM_S_FA_NETPROFITMARGIN</stp>
        <stp>3</stp>
        <stp>000565</stp>
        <stp>12/31/2018</stp>
        <stp>1</stp>
        <tr r="J3458" s="1"/>
      </tp>
      <tp>
        <v>2.8153328593000002</v>
        <stp/>
        <stp>EM_S_FA_NETPROFITMARGIN</stp>
        <stp>3</stp>
        <stp>300555</stp>
        <stp>12/31/2018</stp>
        <stp>1</stp>
        <tr r="J1438" s="1"/>
      </tp>
      <tp>
        <v>7.4767446180999997</v>
        <stp/>
        <stp>EM_S_FA_NETPROFITMARGIN</stp>
        <stp>3</stp>
        <stp>600505</stp>
        <stp>12/31/2018</stp>
        <stp>1</stp>
        <tr r="J146" s="1"/>
      </tp>
      <tp>
        <v>24.222199403200001</v>
        <stp/>
        <stp>EM_S_FA_NETPROFITMARGIN</stp>
        <stp>3</stp>
        <stp>300455</stp>
        <stp>12/31/2018</stp>
        <stp>1</stp>
        <tr r="J388" s="1"/>
      </tp>
      <tp>
        <v>-30.572602925000002</v>
        <stp/>
        <stp>EM_S_FA_NETPROFITMARGIN</stp>
        <stp>3</stp>
        <stp>600405</stp>
        <stp>12/31/2018</stp>
        <stp>1</stp>
        <tr r="J1472" s="1"/>
      </tp>
      <tp>
        <v>12.1271802195</v>
        <stp/>
        <stp>EM_S_FA_NETPROFITMARGIN</stp>
        <stp>3</stp>
        <stp>000765</stp>
        <stp>12/31/2018</stp>
        <stp>1</stp>
        <tr r="J3533" s="1"/>
      </tp>
      <tp>
        <v>52.882657768000001</v>
        <stp/>
        <stp>EM_S_FA_NETPROFITMARGIN</stp>
        <stp>3</stp>
        <stp>600705</stp>
        <stp>12/31/2018</stp>
        <stp>1</stp>
        <tr r="J1501" s="1"/>
      </tp>
      <tp>
        <v>7.5663901399000002</v>
        <stp/>
        <stp>EM_S_FA_NETPROFITMARGIN</stp>
        <stp>3</stp>
        <stp>000665</stp>
        <stp>12/31/2018</stp>
        <stp>1</stp>
        <tr r="J3156" s="1"/>
      </tp>
      <tp>
        <v>7.0013471441000004</v>
        <stp/>
        <stp>EM_S_FA_NETPROFITMARGIN</stp>
        <stp>3</stp>
        <stp>300655</stp>
        <stp>12/31/2018</stp>
        <stp>1</stp>
        <tr r="J94" s="1"/>
      </tp>
      <tp>
        <v>0.88495551569999997</v>
        <stp/>
        <stp>EM_S_FA_NETPROFITMARGIN</stp>
        <stp>3</stp>
        <stp>600605</stp>
        <stp>12/31/2018</stp>
        <stp>1</stp>
        <tr r="J1488" s="1"/>
      </tp>
      <tp>
        <v>13.215277089700001</v>
        <stp/>
        <stp>EM_S_FA_NETPROFITMARGIN</stp>
        <stp>3</stp>
        <stp>002864</stp>
        <stp>12/31/2018</stp>
        <stp>1</stp>
        <tr r="J2995" s="1"/>
      </tp>
      <tp>
        <v>-23.829477845500001</v>
        <stp/>
        <stp>EM_S_FA_NETPROFITMARGIN</stp>
        <stp>3</stp>
        <stp>002164</stp>
        <stp>12/31/2018</stp>
        <stp>1</stp>
        <tr r="J733" s="1"/>
      </tp>
      <tp>
        <v>10.0371985122</v>
        <stp/>
        <stp>EM_S_FA_NETPROFITMARGIN</stp>
        <stp>3</stp>
        <stp>002064</stp>
        <stp>12/31/2018</stp>
        <stp>1</stp>
        <tr r="J557" s="1"/>
      </tp>
      <tp>
        <v>7.2203152331</v>
        <stp/>
        <stp>EM_S_FA_NETPROFITMARGIN</stp>
        <stp>3</stp>
        <stp>002364</stp>
        <stp>12/31/2018</stp>
        <stp>1</stp>
        <tr r="J2413" s="1"/>
      </tp>
      <tp>
        <v>-9.4139200000000002E-5</v>
        <stp/>
        <stp>EM_S_FA_NETPROFITMARGIN</stp>
        <stp>3</stp>
        <stp>002264</stp>
        <stp>12/31/2018</stp>
        <stp>1</stp>
        <tr r="J2960" s="1"/>
      </tp>
      <tp>
        <v>2.4088855493999999</v>
        <stp/>
        <stp>EM_S_FA_NETPROFITMARGIN</stp>
        <stp>3</stp>
        <stp>002564</stp>
        <stp>12/31/2018</stp>
        <stp>1</stp>
        <tr r="J2712" s="1"/>
      </tp>
      <tp>
        <v>12.6853294209</v>
        <stp/>
        <stp>EM_S_FA_NETPROFITMARGIN</stp>
        <stp>3</stp>
        <stp>002464</stp>
        <stp>12/31/2018</stp>
        <stp>1</stp>
        <tr r="J3165" s="1"/>
      </tp>
      <tp>
        <v>10.8293889932</v>
        <stp/>
        <stp>EM_S_FA_NETPROFITMARGIN</stp>
        <stp>3</stp>
        <stp>002664</stp>
        <stp>12/31/2018</stp>
        <stp>1</stp>
        <tr r="J985" s="1"/>
      </tp>
      <tp>
        <v>5.4919457908</v>
        <stp/>
        <stp>EM_S_FA_NETPROFITMARGIN</stp>
        <stp>3</stp>
        <stp>600804</stp>
        <stp>12/31/2018</stp>
        <stp>1</stp>
        <tr r="J2849" s="1"/>
      </tp>
      <tp>
        <v>18.025944398099998</v>
        <stp/>
        <stp>EM_S_FA_NETPROFITMARGIN</stp>
        <stp>3</stp>
        <stp>300154</stp>
        <stp>12/31/2018</stp>
        <stp>1</stp>
        <tr r="J1433" s="1"/>
      </tp>
      <tp>
        <v>5.4532710958999999</v>
        <stp/>
        <stp>EM_S_FA_NETPROFITMARGIN</stp>
        <stp>3</stp>
        <stp>600104</stp>
        <stp>12/31/2018</stp>
        <stp>1</stp>
        <tr r="J2780" s="1"/>
      </tp>
      <tp>
        <v>20.280496639399999</v>
        <stp/>
        <stp>EM_S_FA_NETPROFITMARGIN</stp>
        <stp>3</stp>
        <stp>300054</stp>
        <stp>12/31/2018</stp>
        <stp>1</stp>
        <tr r="J635" s="1"/>
      </tp>
      <tp>
        <v>14.998790016799999</v>
        <stp/>
        <stp>EM_S_FA_NETPROFITMARGIN</stp>
        <stp>3</stp>
        <stp>600004</stp>
        <stp>12/31/2018</stp>
        <stp>1</stp>
        <tr r="J266" s="1"/>
      </tp>
      <tp>
        <v>13.133439410999999</v>
        <stp/>
        <stp>EM_S_FA_NETPROFITMARGIN</stp>
        <stp>3</stp>
        <stp>300354</stp>
        <stp>12/31/2018</stp>
        <stp>1</stp>
        <tr r="J542" s="1"/>
      </tp>
      <tp>
        <v>0.85958605889999995</v>
        <stp/>
        <stp>EM_S_FA_NETPROFITMARGIN</stp>
        <stp>3</stp>
        <stp>300254</stp>
        <stp>12/31/2018</stp>
        <stp>1</stp>
        <tr r="J1140" s="1"/>
      </tp>
      <tp>
        <v>4.6993468233</v>
        <stp/>
        <stp>EM_S_FA_NETPROFITMARGIN</stp>
        <stp>3</stp>
        <stp>000564</stp>
        <stp>12/31/2018</stp>
        <stp>1</stp>
        <tr r="J3457" s="1"/>
      </tp>
      <tp>
        <v>11.135672680400001</v>
        <stp/>
        <stp>EM_S_FA_NETPROFITMARGIN</stp>
        <stp>3</stp>
        <stp>300554</stp>
        <stp>12/31/2018</stp>
        <stp>1</stp>
        <tr r="J2839" s="1"/>
      </tp>
      <tp>
        <v>18.7094103178</v>
        <stp/>
        <stp>EM_S_FA_NETPROFITMARGIN</stp>
        <stp>3</stp>
        <stp>300454</stp>
        <stp>12/31/2018</stp>
        <stp>1</stp>
        <tr r="J1028" s="1"/>
      </tp>
      <tp>
        <v>1.1415204787</v>
        <stp/>
        <stp>EM_S_FA_NETPROFITMARGIN</stp>
        <stp>3</stp>
        <stp>600704</stp>
        <stp>12/31/2018</stp>
        <stp>1</stp>
        <tr r="J1522" s="1"/>
      </tp>
      <tp>
        <v>8.4265315753000003</v>
        <stp/>
        <stp>EM_S_FA_NETPROFITMARGIN</stp>
        <stp>3</stp>
        <stp>300654</stp>
        <stp>12/31/2018</stp>
        <stp>1</stp>
        <tr r="J3061" s="1"/>
      </tp>
      <tp>
        <v>53.001469784400001</v>
        <stp/>
        <stp>EM_S_FA_NETPROFITMARGIN</stp>
        <stp>3</stp>
        <stp>600604</stp>
        <stp>12/31/2018</stp>
        <stp>1</stp>
        <tr r="J1429" s="1"/>
      </tp>
      <tp>
        <v>8.9510544517999993</v>
        <stp/>
        <stp>EM_S_FA_NETPROFITMARGIN</stp>
        <stp>3</stp>
        <stp>603007</stp>
        <stp>12/31/2018</stp>
        <stp>1</stp>
        <tr r="J2914" s="1"/>
      </tp>
      <tp>
        <v>6.1533659585000002</v>
        <stp/>
        <stp>EM_S_FA_NETPROFITMARGIN</stp>
        <stp>3</stp>
        <stp>603507</stp>
        <stp>12/31/2018</stp>
        <stp>1</stp>
        <tr r="J2178" s="1"/>
      </tp>
      <tp>
        <v>24.9686219783</v>
        <stp/>
        <stp>EM_S_FA_NETPROFITMARGIN</stp>
        <stp>3</stp>
        <stp>603707</stp>
        <stp>12/31/2018</stp>
        <stp>1</stp>
        <tr r="J131" s="1"/>
      </tp>
      <tp>
        <v>17.255154640200001</v>
        <stp/>
        <stp>EM_S_FA_NETPROFITMARGIN</stp>
        <stp>3</stp>
        <stp>603607</stp>
        <stp>12/31/2018</stp>
        <stp>1</stp>
        <tr r="J1256" s="1"/>
      </tp>
      <tp>
        <v>16.552815421599998</v>
        <stp/>
        <stp>EM_S_FA_NETPROFITMARGIN</stp>
        <stp>3</stp>
        <stp>002867</stp>
        <stp>12/31/2018</stp>
        <stp>1</stp>
        <tr r="J3224" s="1"/>
      </tp>
      <tp>
        <v>2.1330336070000002</v>
        <stp/>
        <stp>EM_S_FA_NETPROFITMARGIN</stp>
        <stp>3</stp>
        <stp>002167</stp>
        <stp>12/31/2018</stp>
        <stp>1</stp>
        <tr r="J860" s="1"/>
      </tp>
      <tp>
        <v>6.0245603060999997</v>
        <stp/>
        <stp>EM_S_FA_NETPROFITMARGIN</stp>
        <stp>3</stp>
        <stp>002067</stp>
        <stp>12/31/2018</stp>
        <stp>1</stp>
        <tr r="J2531" s="1"/>
      </tp>
      <tp>
        <v>0.47585064449999998</v>
        <stp/>
        <stp>EM_S_FA_NETPROFITMARGIN</stp>
        <stp>3</stp>
        <stp>002367</stp>
        <stp>12/31/2018</stp>
        <stp>1</stp>
        <tr r="J773" s="1"/>
      </tp>
      <tp>
        <v>4.6119039340999999</v>
        <stp/>
        <stp>EM_S_FA_NETPROFITMARGIN</stp>
        <stp>3</stp>
        <stp>002267</stp>
        <stp>12/31/2018</stp>
        <stp>1</stp>
        <tr r="J2497" s="1"/>
      </tp>
      <tp>
        <v>1.2658303712000001</v>
        <stp/>
        <stp>EM_S_FA_NETPROFITMARGIN</stp>
        <stp>3</stp>
        <stp>002567</stp>
        <stp>12/31/2018</stp>
        <stp>1</stp>
        <tr r="J485" s="1"/>
      </tp>
      <tp>
        <v>8.0055638940999998</v>
        <stp/>
        <stp>EM_S_FA_NETPROFITMARGIN</stp>
        <stp>3</stp>
        <stp>002467</stp>
        <stp>12/31/2018</stp>
        <stp>1</stp>
        <tr r="J1888" s="1"/>
      </tp>
      <tp>
        <v>8.9337310042000002</v>
        <stp/>
        <stp>EM_S_FA_NETPROFITMARGIN</stp>
        <stp>3</stp>
        <stp>002767</stp>
        <stp>12/31/2018</stp>
        <stp>1</stp>
        <tr r="J1895" s="1"/>
      </tp>
      <tp>
        <v>6.1265131951000003</v>
        <stp/>
        <stp>EM_S_FA_NETPROFITMARGIN</stp>
        <stp>3</stp>
        <stp>002667</stp>
        <stp>12/31/2018</stp>
        <stp>1</stp>
        <tr r="J1882" s="1"/>
      </tp>
      <tp>
        <v>15.0912949677</v>
        <stp/>
        <stp>EM_S_FA_NETPROFITMARGIN</stp>
        <stp>3</stp>
        <stp>601107</stp>
        <stp>12/31/2018</stp>
        <stp>1</stp>
        <tr r="J1498" s="1"/>
      </tp>
      <tp>
        <v>11.203214876700001</v>
        <stp/>
        <stp>EM_S_FA_NETPROFITMARGIN</stp>
        <stp>3</stp>
        <stp>601007</stp>
        <stp>12/31/2018</stp>
        <stp>1</stp>
        <tr r="J1482" s="1"/>
      </tp>
      <tp>
        <v>2.8011929571</v>
        <stp/>
        <stp>EM_S_FA_NETPROFITMARGIN</stp>
        <stp>3</stp>
        <stp>601607</stp>
        <stp>12/31/2018</stp>
        <stp>1</stp>
        <tr r="J1979" s="1"/>
      </tp>
      <tp>
        <v>10.411683141399999</v>
        <stp/>
        <stp>EM_S_FA_NETPROFITMARGIN</stp>
        <stp>3</stp>
        <stp>000967</stp>
        <stp>12/31/2018</stp>
        <stp>1</stp>
        <tr r="J1753" s="1"/>
      </tp>
      <tp>
        <v>2.4584129577999998</v>
        <stp/>
        <stp>EM_S_FA_NETPROFITMARGIN</stp>
        <stp>3</stp>
        <stp>600807</stp>
        <stp>12/31/2018</stp>
        <stp>1</stp>
        <tr r="J2570" s="1"/>
      </tp>
      <tp>
        <v>3.2131331581999998</v>
        <stp/>
        <stp>EM_S_FA_NETPROFITMARGIN</stp>
        <stp>3</stp>
        <stp>300157</stp>
        <stp>12/31/2018</stp>
        <stp>1</stp>
        <tr r="J2441" s="1"/>
      </tp>
      <tp>
        <v>1.3043836039000001</v>
        <stp/>
        <stp>EM_S_FA_NETPROFITMARGIN</stp>
        <stp>3</stp>
        <stp>600107</stp>
        <stp>12/31/2018</stp>
        <stp>1</stp>
        <tr r="J1238" s="1"/>
      </tp>
      <tp>
        <v>3.3962127473999999</v>
        <stp/>
        <stp>EM_S_FA_NETPROFITMARGIN</stp>
        <stp>3</stp>
        <stp>300057</stp>
        <stp>12/31/2018</stp>
        <stp>1</stp>
        <tr r="J2435" s="1"/>
      </tp>
      <tp>
        <v>24.456999225400001</v>
        <stp/>
        <stp>EM_S_FA_NETPROFITMARGIN</stp>
        <stp>3</stp>
        <stp>600007</stp>
        <stp>12/31/2018</stp>
        <stp>1</stp>
        <tr r="J722" s="1"/>
      </tp>
      <tp>
        <v>46.303883558199999</v>
        <stp/>
        <stp>EM_S_FA_NETPROFITMARGIN</stp>
        <stp>3</stp>
        <stp>300357</stp>
        <stp>12/31/2018</stp>
        <stp>1</stp>
        <tr r="J1410" s="1"/>
      </tp>
      <tp>
        <v>2.4188553135999999</v>
        <stp/>
        <stp>EM_S_FA_NETPROFITMARGIN</stp>
        <stp>3</stp>
        <stp>600307</stp>
        <stp>12/31/2018</stp>
        <stp>1</stp>
        <tr r="J1905" s="1"/>
      </tp>
      <tp>
        <v>4.5607784376999998</v>
        <stp/>
        <stp>EM_S_FA_NETPROFITMARGIN</stp>
        <stp>3</stp>
        <stp>300257</stp>
        <stp>12/31/2018</stp>
        <stp>1</stp>
        <tr r="J1743" s="1"/>
      </tp>
      <tp>
        <v>-15.3643417301</v>
        <stp/>
        <stp>EM_S_FA_NETPROFITMARGIN</stp>
        <stp>3</stp>
        <stp>600207</stp>
        <stp>12/31/2018</stp>
        <stp>1</stp>
        <tr r="J1807" s="1"/>
      </tp>
      <tp>
        <v>35.595549784500001</v>
        <stp/>
        <stp>EM_S_FA_NETPROFITMARGIN</stp>
        <stp>3</stp>
        <stp>000567</stp>
        <stp>12/31/2018</stp>
        <stp>1</stp>
        <tr r="J3459" s="1"/>
      </tp>
      <tp>
        <v>8.8743438763999993</v>
        <stp/>
        <stp>EM_S_FA_NETPROFITMARGIN</stp>
        <stp>3</stp>
        <stp>300557</stp>
        <stp>12/31/2018</stp>
        <stp>1</stp>
        <tr r="J1012" s="1"/>
      </tp>
      <tp>
        <v>16.961720654099999</v>
        <stp/>
        <stp>EM_S_FA_NETPROFITMARGIN</stp>
        <stp>3</stp>
        <stp>600507</stp>
        <stp>12/31/2018</stp>
        <stp>1</stp>
        <tr r="J2209" s="1"/>
      </tp>
      <tp>
        <v>15.833585524</v>
        <stp/>
        <stp>EM_S_FA_NETPROFITMARGIN</stp>
        <stp>3</stp>
        <stp>300457</stp>
        <stp>12/31/2018</stp>
        <stp>1</stp>
        <tr r="J1422" s="1"/>
      </tp>
      <tp>
        <v>0.43925873799999998</v>
        <stp/>
        <stp>EM_S_FA_NETPROFITMARGIN</stp>
        <stp>3</stp>
        <stp>000767</stp>
        <stp>12/31/2018</stp>
        <stp>1</stp>
        <tr r="J2442" s="1"/>
      </tp>
      <tp>
        <v>2.4984122014999999</v>
        <stp/>
        <stp>EM_S_FA_NETPROFITMARGIN</stp>
        <stp>3</stp>
        <stp>600707</stp>
        <stp>12/31/2018</stp>
        <stp>1</stp>
        <tr r="J2050" s="1"/>
      </tp>
      <tp>
        <v>5.9153719551000004</v>
        <stp/>
        <stp>EM_S_FA_NETPROFITMARGIN</stp>
        <stp>3</stp>
        <stp>000667</stp>
        <stp>12/31/2018</stp>
        <stp>1</stp>
        <tr r="J3499" s="1"/>
      </tp>
      <tp>
        <v>4.7278578988</v>
        <stp/>
        <stp>EM_S_FA_NETPROFITMARGIN</stp>
        <stp>3</stp>
        <stp>300657</stp>
        <stp>12/31/2018</stp>
        <stp>1</stp>
        <tr r="J1186" s="1"/>
      </tp>
      <tp>
        <v>0</v>
        <stp/>
        <stp>EM_S_FA_NETPROFITMARGIN</stp>
        <stp>3</stp>
        <stp>600607</stp>
        <stp>12/31/2018</stp>
        <stp>1</stp>
        <tr r="J2306" s="1"/>
      </tp>
      <tp>
        <v>6.6448138130999999</v>
        <stp/>
        <stp>EM_S_FA_NETPROFITMARGIN</stp>
        <stp>3</stp>
        <stp>603906</stp>
        <stp>12/31/2018</stp>
        <stp>1</stp>
        <tr r="J1119" s="1"/>
      </tp>
      <tp>
        <v>15.5945174791</v>
        <stp/>
        <stp>EM_S_FA_NETPROFITMARGIN</stp>
        <stp>3</stp>
        <stp>603806</stp>
        <stp>12/31/2018</stp>
        <stp>1</stp>
        <tr r="J249" s="1"/>
      </tp>
      <tp>
        <v>8.2303249125000004</v>
        <stp/>
        <stp>EM_S_FA_NETPROFITMARGIN</stp>
        <stp>3</stp>
        <stp>603106</stp>
        <stp>12/31/2018</stp>
        <stp>1</stp>
        <tr r="J2923" s="1"/>
      </tp>
      <tp>
        <v>10.127709451399999</v>
        <stp/>
        <stp>EM_S_FA_NETPROFITMARGIN</stp>
        <stp>3</stp>
        <stp>603006</stp>
        <stp>12/31/2018</stp>
        <stp>1</stp>
        <tr r="J1371" s="1"/>
      </tp>
      <tp>
        <v>28.1143309357</v>
        <stp/>
        <stp>EM_S_FA_NETPROFITMARGIN</stp>
        <stp>3</stp>
        <stp>603306</stp>
        <stp>12/31/2018</stp>
        <stp>1</stp>
        <tr r="J2468" s="1"/>
      </tp>
      <tp>
        <v>9.0557802025999994</v>
        <stp/>
        <stp>EM_S_FA_NETPROFITMARGIN</stp>
        <stp>3</stp>
        <stp>603506</stp>
        <stp>12/31/2018</stp>
        <stp>1</stp>
        <tr r="J2595" s="1"/>
      </tp>
      <tp>
        <v>22.3646535337</v>
        <stp/>
        <stp>EM_S_FA_NETPROFITMARGIN</stp>
        <stp>3</stp>
        <stp>603706</stp>
        <stp>12/31/2018</stp>
        <stp>1</stp>
        <tr r="J3177" s="1"/>
      </tp>
      <tp>
        <v>5.6687045961000004</v>
        <stp/>
        <stp>EM_S_FA_NETPROFITMARGIN</stp>
        <stp>3</stp>
        <stp>603606</stp>
        <stp>12/31/2018</stp>
        <stp>1</stp>
        <tr r="J1264" s="1"/>
      </tp>
      <tp>
        <v>8.4251163666999993</v>
        <stp/>
        <stp>EM_S_FA_NETPROFITMARGIN</stp>
        <stp>3</stp>
        <stp>002866</stp>
        <stp>12/31/2018</stp>
        <stp>1</stp>
        <tr r="J796" s="1"/>
      </tp>
      <tp>
        <v>13.1630351684</v>
        <stp/>
        <stp>EM_S_FA_NETPROFITMARGIN</stp>
        <stp>3</stp>
        <stp>002166</stp>
        <stp>12/31/2018</stp>
        <stp>1</stp>
        <tr r="J1282" s="1"/>
      </tp>
      <tp>
        <v>1.8718667684999999</v>
        <stp/>
        <stp>EM_S_FA_NETPROFITMARGIN</stp>
        <stp>3</stp>
        <stp>002066</stp>
        <stp>12/31/2018</stp>
        <stp>1</stp>
        <tr r="J1696" s="1"/>
      </tp>
      <tp>
        <v>24.6297759835</v>
        <stp/>
        <stp>EM_S_FA_NETPROFITMARGIN</stp>
        <stp>3</stp>
        <stp>002366</stp>
        <stp>12/31/2018</stp>
        <stp>1</stp>
        <tr r="J3168" s="1"/>
      </tp>
      <tp>
        <v>12.046700106999999</v>
        <stp/>
        <stp>EM_S_FA_NETPROFITMARGIN</stp>
        <stp>3</stp>
        <stp>002266</stp>
        <stp>12/31/2018</stp>
        <stp>1</stp>
        <tr r="J2187" s="1"/>
      </tp>
      <tp>
        <v>8.7078329281000002</v>
        <stp/>
        <stp>EM_S_FA_NETPROFITMARGIN</stp>
        <stp>3</stp>
        <stp>002566</stp>
        <stp>12/31/2018</stp>
        <stp>1</stp>
        <tr r="J1514" s="1"/>
      </tp>
      <tp>
        <v>44.909547138900002</v>
        <stp/>
        <stp>EM_S_FA_NETPROFITMARGIN</stp>
        <stp>3</stp>
        <stp>002466</stp>
        <stp>12/31/2018</stp>
        <stp>1</stp>
        <tr r="J2482" s="1"/>
      </tp>
      <tp>
        <v>-63.778877951200002</v>
        <stp/>
        <stp>EM_S_FA_NETPROFITMARGIN</stp>
        <stp>3</stp>
        <stp>002766</stp>
        <stp>12/31/2018</stp>
        <stp>1</stp>
        <tr r="J3305" s="1"/>
      </tp>
      <tp>
        <v>3.9016735362000001</v>
        <stp/>
        <stp>EM_S_FA_NETPROFITMARGIN</stp>
        <stp>3</stp>
        <stp>002666</stp>
        <stp>12/31/2018</stp>
        <stp>1</stp>
        <tr r="J1190" s="1"/>
      </tp>
      <tp>
        <v>0.62798597639999998</v>
        <stp/>
        <stp>EM_S_FA_NETPROFITMARGIN</stp>
        <stp>3</stp>
        <stp>601106</stp>
        <stp>12/31/2018</stp>
        <stp>1</stp>
        <tr r="J1844" s="1"/>
      </tp>
      <tp>
        <v>20.609698253800001</v>
        <stp/>
        <stp>EM_S_FA_NETPROFITMARGIN</stp>
        <stp>3</stp>
        <stp>601006</stp>
        <stp>12/31/2018</stp>
        <stp>1</stp>
        <tr r="J2343" s="1"/>
      </tp>
      <tp>
        <v>0</v>
        <stp/>
        <stp>EM_S_FA_NETPROFITMARGIN</stp>
        <stp>3</stp>
        <stp>601206</stp>
        <stp>12/31/2018</stp>
        <stp>1</stp>
        <tr r="J13" s="1"/>
      </tp>
      <tp>
        <v>3.2858592838999998</v>
        <stp/>
        <stp>EM_S_FA_NETPROFITMARGIN</stp>
        <stp>3</stp>
        <stp>000966</stp>
        <stp>12/31/2018</stp>
        <stp>1</stp>
        <tr r="J869" s="1"/>
      </tp>
      <tp>
        <v>0</v>
        <stp/>
        <stp>EM_S_FA_NETPROFITMARGIN</stp>
        <stp>3</stp>
        <stp>000866</stp>
        <stp>12/31/2018</stp>
        <stp>1</stp>
        <tr r="J3558" s="1"/>
      </tp>
      <tp>
        <v>-51.218817587399997</v>
        <stp/>
        <stp>EM_S_FA_NETPROFITMARGIN</stp>
        <stp>3</stp>
        <stp>600806</stp>
        <stp>12/31/2018</stp>
        <stp>1</stp>
        <tr r="J2326" s="1"/>
      </tp>
      <tp>
        <v>27.804472924399999</v>
        <stp/>
        <stp>EM_S_FA_NETPROFITMARGIN</stp>
        <stp>3</stp>
        <stp>000166</stp>
        <stp>12/31/2018</stp>
        <stp>1</stp>
        <tr r="J3413" s="1"/>
      </tp>
      <tp>
        <v>-2914.6029324378001</v>
        <stp/>
        <stp>EM_S_FA_NETPROFITMARGIN</stp>
        <stp>3</stp>
        <stp>300156</stp>
        <stp>12/31/2018</stp>
        <stp>1</stp>
        <tr r="J3381" s="1"/>
      </tp>
      <tp>
        <v>93.785761909200005</v>
        <stp/>
        <stp>EM_S_FA_NETPROFITMARGIN</stp>
        <stp>3</stp>
        <stp>600106</stp>
        <stp>12/31/2018</stp>
        <stp>1</stp>
        <tr r="J2193" s="1"/>
      </tp>
      <tp>
        <v>10.5536474703</v>
        <stp/>
        <stp>EM_S_FA_NETPROFITMARGIN</stp>
        <stp>3</stp>
        <stp>000066</stp>
        <stp>12/31/2018</stp>
        <stp>1</stp>
        <tr r="J34" s="1"/>
      </tp>
      <tp>
        <v>-55.010256183099997</v>
        <stp/>
        <stp>EM_S_FA_NETPROFITMARGIN</stp>
        <stp>3</stp>
        <stp>300056</stp>
        <stp>12/31/2018</stp>
        <stp>1</stp>
        <tr r="J1201" s="1"/>
      </tp>
      <tp>
        <v>3.8065223746000001</v>
        <stp/>
        <stp>EM_S_FA_NETPROFITMARGIN</stp>
        <stp>3</stp>
        <stp>600006</stp>
        <stp>12/31/2018</stp>
        <stp>1</stp>
        <tr r="J1054" s="1"/>
      </tp>
      <tp>
        <v>4.9298299784999999</v>
        <stp/>
        <stp>EM_S_FA_NETPROFITMARGIN</stp>
        <stp>3</stp>
        <stp>300356</stp>
        <stp>12/31/2018</stp>
        <stp>1</stp>
        <tr r="J792" s="1"/>
      </tp>
      <tp>
        <v>-12.8059612617</v>
        <stp/>
        <stp>EM_S_FA_NETPROFITMARGIN</stp>
        <stp>3</stp>
        <stp>600306</stp>
        <stp>12/31/2018</stp>
        <stp>1</stp>
        <tr r="J2801" s="1"/>
      </tp>
      <tp>
        <v>-46.052553982799999</v>
        <stp/>
        <stp>EM_S_FA_NETPROFITMARGIN</stp>
        <stp>3</stp>
        <stp>300256</stp>
        <stp>12/31/2018</stp>
        <stp>1</stp>
        <tr r="J154" s="1"/>
      </tp>
      <tp>
        <v>1.7303288059999999</v>
        <stp/>
        <stp>EM_S_FA_NETPROFITMARGIN</stp>
        <stp>3</stp>
        <stp>600206</stp>
        <stp>12/31/2018</stp>
        <stp>1</stp>
        <tr r="J232" s="1"/>
      </tp>
      <tp>
        <v>4.1390804921999997</v>
        <stp/>
        <stp>EM_S_FA_NETPROFITMARGIN</stp>
        <stp>3</stp>
        <stp>000566</stp>
        <stp>12/31/2018</stp>
        <stp>1</stp>
        <tr r="J1499" s="1"/>
      </tp>
      <tp>
        <v>6.6720158881999998</v>
        <stp/>
        <stp>EM_S_FA_NETPROFITMARGIN</stp>
        <stp>3</stp>
        <stp>300556</stp>
        <stp>12/31/2018</stp>
        <stp>1</stp>
        <tr r="J2073" s="1"/>
      </tp>
      <tp>
        <v>10.639711885400001</v>
        <stp/>
        <stp>EM_S_FA_NETPROFITMARGIN</stp>
        <stp>3</stp>
        <stp>600506</stp>
        <stp>12/31/2018</stp>
        <stp>1</stp>
        <tr r="J2132" s="1"/>
      </tp>
      <tp>
        <v>14.001815861900001</v>
        <stp/>
        <stp>EM_S_FA_NETPROFITMARGIN</stp>
        <stp>3</stp>
        <stp>300456</stp>
        <stp>12/31/2018</stp>
        <stp>1</stp>
        <tr r="J1723" s="1"/>
      </tp>
      <tp>
        <v>15.5915425328</v>
        <stp/>
        <stp>EM_S_FA_NETPROFITMARGIN</stp>
        <stp>3</stp>
        <stp>600406</stp>
        <stp>12/31/2018</stp>
        <stp>1</stp>
        <tr r="J1471" s="1"/>
      </tp>
      <tp>
        <v>15.7179506478</v>
        <stp/>
        <stp>EM_S_FA_NETPROFITMARGIN</stp>
        <stp>3</stp>
        <stp>000766</stp>
        <stp>12/31/2018</stp>
        <stp>1</stp>
        <tr r="J2592" s="1"/>
      </tp>
      <tp>
        <v>5.7202771735000004</v>
        <stp/>
        <stp>EM_S_FA_NETPROFITMARGIN</stp>
        <stp>3</stp>
        <stp>600706</stp>
        <stp>12/31/2018</stp>
        <stp>1</stp>
        <tr r="J2912" s="1"/>
      </tp>
      <tp>
        <v>27.6630373564</v>
        <stp/>
        <stp>EM_S_FA_NETPROFITMARGIN</stp>
        <stp>3</stp>
        <stp>000666</stp>
        <stp>12/31/2018</stp>
        <stp>1</stp>
        <tr r="J1969" s="1"/>
      </tp>
      <tp>
        <v>19.981614245700001</v>
        <stp/>
        <stp>EM_S_FA_NETPROFITMARGIN</stp>
        <stp>3</stp>
        <stp>300656</stp>
        <stp>12/31/2018</stp>
        <stp>1</stp>
        <tr r="J2217" s="1"/>
      </tp>
      <tp>
        <v>4.5987634248000004</v>
        <stp/>
        <stp>EM_S_FA_NETPROFITMARGIN</stp>
        <stp>3</stp>
        <stp>600606</stp>
        <stp>12/31/2018</stp>
        <stp>1</stp>
        <tr r="J1591" s="1"/>
      </tp>
      <tp>
        <v>11039152001</v>
        <stp/>
        <stp>EM_S_SHARE_TOTAL</stp>
        <stp>2</stp>
        <stp>000002</stp>
        <stp>12/31/2018</stp>
        <tr r="R725" s="1"/>
      </tp>
      <tp>
        <v>333433584</v>
        <stp/>
        <stp>EM_S_SHARE_TOTAL</stp>
        <stp>2</stp>
        <stp>000003</stp>
        <stp>12/31/2018</stp>
        <tr r="R2271" s="1"/>
      </tp>
      <tp>
        <v>17170411366</v>
        <stp/>
        <stp>EM_S_SHARE_TOTAL</stp>
        <stp>2</stp>
        <stp>000001</stp>
        <stp>12/31/2018</stp>
        <tr r="R265" s="1"/>
      </tp>
      <tp>
        <v>17.684221944600001</v>
        <stp/>
        <stp>EM_S_FA_NETPROFITMARGIN</stp>
        <stp>3</stp>
        <stp>603919</stp>
        <stp>12/31/2018</stp>
        <stp>1</stp>
        <tr r="J540" s="1"/>
      </tp>
      <tp>
        <v>5.0552292036999997</v>
        <stp/>
        <stp>EM_S_FA_NETPROFITMARGIN</stp>
        <stp>3</stp>
        <stp>603819</stp>
        <stp>12/31/2018</stp>
        <stp>1</stp>
        <tr r="J2892" s="1"/>
      </tp>
      <tp>
        <v>5.1622726589000001</v>
        <stp/>
        <stp>EM_S_FA_NETPROFITMARGIN</stp>
        <stp>3</stp>
        <stp>603019</stp>
        <stp>12/31/2018</stp>
        <stp>1</stp>
        <tr r="J2496" s="1"/>
      </tp>
      <tp>
        <v>10.7343991282</v>
        <stp/>
        <stp>EM_S_FA_NETPROFITMARGIN</stp>
        <stp>3</stp>
        <stp>603319</stp>
        <stp>12/31/2018</stp>
        <stp>1</stp>
        <tr r="J2802" s="1"/>
      </tp>
      <tp>
        <v>7.1304192161</v>
        <stp/>
        <stp>EM_S_FA_NETPROFITMARGIN</stp>
        <stp>3</stp>
        <stp>603519</stp>
        <stp>12/31/2018</stp>
        <stp>1</stp>
        <tr r="J531" s="1"/>
      </tp>
      <tp>
        <v>2.1563385132000001</v>
        <stp/>
        <stp>EM_S_FA_NETPROFITMARGIN</stp>
        <stp>3</stp>
        <stp>603619</stp>
        <stp>12/31/2018</stp>
        <stp>1</stp>
        <tr r="J2734" s="1"/>
      </tp>
      <tp>
        <v>18.4694011737</v>
        <stp/>
        <stp>EM_S_FA_NETPROFITMARGIN</stp>
        <stp>3</stp>
        <stp>002879</stp>
        <stp>12/31/2018</stp>
        <stp>1</stp>
        <tr r="J1221" s="1"/>
      </tp>
      <tp>
        <v>12.9160397358</v>
        <stp/>
        <stp>EM_S_FA_NETPROFITMARGIN</stp>
        <stp>3</stp>
        <stp>002179</stp>
        <stp>12/31/2018</stp>
        <stp>1</stp>
        <tr r="J1453" s="1"/>
      </tp>
      <tp>
        <v>7.0126455401000003</v>
        <stp/>
        <stp>EM_S_FA_NETPROFITMARGIN</stp>
        <stp>3</stp>
        <stp>002079</stp>
        <stp>12/31/2018</stp>
        <stp>1</stp>
        <tr r="J84" s="1"/>
      </tp>
      <tp>
        <v>0.56998891330000001</v>
        <stp/>
        <stp>EM_S_FA_NETPROFITMARGIN</stp>
        <stp>3</stp>
        <stp>002379</stp>
        <stp>12/31/2018</stp>
        <stp>1</stp>
        <tr r="J881" s="1"/>
      </tp>
      <tp>
        <v>-30.407275802099999</v>
        <stp/>
        <stp>EM_S_FA_NETPROFITMARGIN</stp>
        <stp>3</stp>
        <stp>002279</stp>
        <stp>12/31/2018</stp>
        <stp>1</stp>
        <tr r="J2897" s="1"/>
      </tp>
      <tp>
        <v>5.3122060035000001</v>
        <stp/>
        <stp>EM_S_FA_NETPROFITMARGIN</stp>
        <stp>3</stp>
        <stp>002579</stp>
        <stp>12/31/2018</stp>
        <stp>1</stp>
        <tr r="J396" s="1"/>
      </tp>
      <tp>
        <v>5.8025024507999996</v>
        <stp/>
        <stp>EM_S_FA_NETPROFITMARGIN</stp>
        <stp>3</stp>
        <stp>002479</stp>
        <stp>12/31/2018</stp>
        <stp>1</stp>
        <tr r="J445" s="1"/>
      </tp>
      <tp>
        <v>2.8302647793000002</v>
        <stp/>
        <stp>EM_S_FA_NETPROFITMARGIN</stp>
        <stp>3</stp>
        <stp>002779</stp>
        <stp>12/31/2018</stp>
        <stp>1</stp>
        <tr r="J2173" s="1"/>
      </tp>
      <tp>
        <v>28.163382005399999</v>
        <stp/>
        <stp>EM_S_FA_NETPROFITMARGIN</stp>
        <stp>3</stp>
        <stp>002679</stp>
        <stp>12/31/2018</stp>
        <stp>1</stp>
        <tr r="J2584" s="1"/>
      </tp>
      <tp>
        <v>22.044917925899998</v>
        <stp/>
        <stp>EM_S_FA_NETPROFITMARGIN</stp>
        <stp>3</stp>
        <stp>001979</stp>
        <stp>12/31/2018</stp>
        <stp>1</stp>
        <tr r="J1473" s="1"/>
      </tp>
      <tp>
        <v>2.5046541676</v>
        <stp/>
        <stp>EM_S_FA_NETPROFITMARGIN</stp>
        <stp>3</stp>
        <stp>601919</stp>
        <stp>12/31/2018</stp>
        <stp>1</stp>
        <tr r="J933" s="1"/>
      </tp>
      <tp>
        <v>15.781953935700001</v>
        <stp/>
        <stp>EM_S_FA_NETPROFITMARGIN</stp>
        <stp>3</stp>
        <stp>601019</stp>
        <stp>12/31/2018</stp>
        <stp>1</stp>
        <tr r="J2814" s="1"/>
      </tp>
      <tp>
        <v>18.245794765799999</v>
        <stp/>
        <stp>EM_S_FA_NETPROFITMARGIN</stp>
        <stp>3</stp>
        <stp>601519</stp>
        <stp>12/31/2018</stp>
        <stp>1</stp>
        <tr r="J99" s="1"/>
      </tp>
      <tp>
        <v>25.190826813200001</v>
        <stp/>
        <stp>EM_S_FA_NETPROFITMARGIN</stp>
        <stp>3</stp>
        <stp>601619</stp>
        <stp>12/31/2018</stp>
        <stp>1</stp>
        <tr r="J3015" s="1"/>
      </tp>
      <tp>
        <v>0</v>
        <stp/>
        <stp>EM_S_FA_NETPROFITMARGIN</stp>
        <stp>3</stp>
        <stp>000979</stp>
        <stp>12/31/2018</stp>
        <stp>1</stp>
        <tr r="J3592" s="1"/>
      </tp>
      <tp>
        <v>37.6519206173</v>
        <stp/>
        <stp>EM_S_FA_NETPROFITMARGIN</stp>
        <stp>3</stp>
        <stp>600919</stp>
        <stp>12/31/2018</stp>
        <stp>1</stp>
        <tr r="J1245" s="1"/>
      </tp>
      <tp>
        <v>2.7697377926</v>
        <stp/>
        <stp>EM_S_FA_NETPROFITMARGIN</stp>
        <stp>3</stp>
        <stp>600819</stp>
        <stp>12/31/2018</stp>
        <stp>1</stp>
        <tr r="J1023" s="1"/>
      </tp>
      <tp>
        <v>16.042470291800001</v>
        <stp/>
        <stp>EM_S_FA_NETPROFITMARGIN</stp>
        <stp>3</stp>
        <stp>300149</stp>
        <stp>12/31/2018</stp>
        <stp>1</stp>
        <tr r="J2776" s="1"/>
      </tp>
      <tp>
        <v>-68.123707598600006</v>
        <stp/>
        <stp>EM_S_FA_NETPROFITMARGIN</stp>
        <stp>3</stp>
        <stp>600119</stp>
        <stp>12/31/2018</stp>
        <stp>1</stp>
        <tr r="J3176" s="1"/>
      </tp>
      <tp>
        <v>5.2103097389000004</v>
        <stp/>
        <stp>EM_S_FA_NETPROFITMARGIN</stp>
        <stp>3</stp>
        <stp>300049</stp>
        <stp>12/31/2018</stp>
        <stp>1</stp>
        <tr r="J3166" s="1"/>
      </tp>
      <tp>
        <v>7.6376999560999996</v>
        <stp/>
        <stp>EM_S_FA_NETPROFITMARGIN</stp>
        <stp>3</stp>
        <stp>600019</stp>
        <stp>12/31/2018</stp>
        <stp>1</stp>
        <tr r="J2815" s="1"/>
      </tp>
      <tp>
        <v>24.311446893500001</v>
        <stp/>
        <stp>EM_S_FA_NETPROFITMARGIN</stp>
        <stp>3</stp>
        <stp>300349</stp>
        <stp>12/31/2018</stp>
        <stp>1</stp>
        <tr r="J2578" s="1"/>
      </tp>
      <tp>
        <v>0.15458823820000001</v>
        <stp/>
        <stp>EM_S_FA_NETPROFITMARGIN</stp>
        <stp>3</stp>
        <stp>600319</stp>
        <stp>12/31/2018</stp>
        <stp>1</stp>
        <tr r="J2240" s="1"/>
      </tp>
      <tp>
        <v>2.7180061197000001</v>
        <stp/>
        <stp>EM_S_FA_NETPROFITMARGIN</stp>
        <stp>3</stp>
        <stp>300249</stp>
        <stp>12/31/2018</stp>
        <stp>1</stp>
        <tr r="J2557" s="1"/>
      </tp>
      <tp>
        <v>7.5288691231999998</v>
        <stp/>
        <stp>EM_S_FA_NETPROFITMARGIN</stp>
        <stp>3</stp>
        <stp>600219</stp>
        <stp>12/31/2018</stp>
        <stp>1</stp>
        <tr r="J1916" s="1"/>
      </tp>
      <tp>
        <v>12.866395560899999</v>
        <stp/>
        <stp>EM_S_FA_NETPROFITMARGIN</stp>
        <stp>3</stp>
        <stp>300549</stp>
        <stp>12/31/2018</stp>
        <stp>1</stp>
        <tr r="J1330" s="1"/>
      </tp>
      <tp>
        <v>51.371804768399997</v>
        <stp/>
        <stp>EM_S_FA_NETPROFITMARGIN</stp>
        <stp>3</stp>
        <stp>600519</stp>
        <stp>12/31/2018</stp>
        <stp>1</stp>
        <tr r="J160" s="1"/>
      </tp>
      <tp>
        <v>2.0883512217</v>
        <stp/>
        <stp>EM_S_FA_NETPROFITMARGIN</stp>
        <stp>3</stp>
        <stp>300449</stp>
        <stp>12/31/2018</stp>
        <stp>1</stp>
        <tr r="J3249" s="1"/>
      </tp>
      <tp>
        <v>8.0731821109999995</v>
        <stp/>
        <stp>EM_S_FA_NETPROFITMARGIN</stp>
        <stp>3</stp>
        <stp>600419</stp>
        <stp>12/31/2018</stp>
        <stp>1</stp>
        <tr r="J2434" s="1"/>
      </tp>
      <tp>
        <v>11.288395466800001</v>
        <stp/>
        <stp>EM_S_FA_NETPROFITMARGIN</stp>
        <stp>3</stp>
        <stp>000779</stp>
        <stp>12/31/2018</stp>
        <stp>1</stp>
        <tr r="J1367" s="1"/>
      </tp>
      <tp>
        <v>0.37039274319999999</v>
        <stp/>
        <stp>EM_S_FA_NETPROFITMARGIN</stp>
        <stp>3</stp>
        <stp>600719</stp>
        <stp>12/31/2018</stp>
        <stp>1</stp>
        <tr r="J1059" s="1"/>
      </tp>
      <tp>
        <v>-39.711666680599997</v>
        <stp/>
        <stp>EM_S_FA_NETPROFITMARGIN</stp>
        <stp>3</stp>
        <stp>000679</stp>
        <stp>12/31/2018</stp>
        <stp>1</stp>
        <tr r="J3506" s="1"/>
      </tp>
      <tp>
        <v>10.000410929999999</v>
        <stp/>
        <stp>EM_S_FA_NETPROFITMARGIN</stp>
        <stp>3</stp>
        <stp>300649</stp>
        <stp>12/31/2018</stp>
        <stp>1</stp>
        <tr r="J3039" s="1"/>
      </tp>
      <tp>
        <v>3.5816147283999999</v>
        <stp/>
        <stp>EM_S_FA_NETPROFITMARGIN</stp>
        <stp>3</stp>
        <stp>600619</stp>
        <stp>12/31/2018</stp>
        <stp>1</stp>
        <tr r="J2513" s="1"/>
      </tp>
      <tp>
        <v>6.1502641994999996</v>
        <stp/>
        <stp>EM_S_FA_NETPROFITMARGIN</stp>
        <stp>3</stp>
        <stp>603918</stp>
        <stp>12/31/2018</stp>
        <stp>1</stp>
        <tr r="J2585" s="1"/>
      </tp>
      <tp>
        <v>-1.9632911447000001</v>
        <stp/>
        <stp>EM_S_FA_NETPROFITMARGIN</stp>
        <stp>3</stp>
        <stp>603818</stp>
        <stp>12/31/2018</stp>
        <stp>1</stp>
        <tr r="J1096" s="1"/>
      </tp>
      <tp>
        <v>2.3248303648999999</v>
        <stp/>
        <stp>EM_S_FA_NETPROFITMARGIN</stp>
        <stp>3</stp>
        <stp>603118</stp>
        <stp>12/31/2018</stp>
        <stp>1</stp>
        <tr r="J261" s="1"/>
      </tp>
      <tp>
        <v>9.666072153</v>
        <stp/>
        <stp>EM_S_FA_NETPROFITMARGIN</stp>
        <stp>3</stp>
        <stp>603018</stp>
        <stp>12/31/2018</stp>
        <stp>1</stp>
        <tr r="J3325" s="1"/>
      </tp>
      <tp>
        <v>1.0368414808999999</v>
        <stp/>
        <stp>EM_S_FA_NETPROFITMARGIN</stp>
        <stp>3</stp>
        <stp>603318</stp>
        <stp>12/31/2018</stp>
        <stp>1</stp>
        <tr r="J2674" s="1"/>
      </tp>
      <tp>
        <v>11.9354948296</v>
        <stp/>
        <stp>EM_S_FA_NETPROFITMARGIN</stp>
        <stp>3</stp>
        <stp>603218</stp>
        <stp>12/31/2018</stp>
        <stp>1</stp>
        <tr r="J1213" s="1"/>
      </tp>
      <tp>
        <v>10.074513061899999</v>
        <stp/>
        <stp>EM_S_FA_NETPROFITMARGIN</stp>
        <stp>3</stp>
        <stp>603518</stp>
        <stp>12/31/2018</stp>
        <stp>1</stp>
        <tr r="J3366" s="1"/>
      </tp>
      <tp>
        <v>-5.3847722952000003</v>
        <stp/>
        <stp>EM_S_FA_NETPROFITMARGIN</stp>
        <stp>3</stp>
        <stp>603718</stp>
        <stp>12/31/2018</stp>
        <stp>1</stp>
        <tr r="J2359" s="1"/>
      </tp>
      <tp>
        <v>2.5755722856999999</v>
        <stp/>
        <stp>EM_S_FA_NETPROFITMARGIN</stp>
        <stp>3</stp>
        <stp>603618</stp>
        <stp>12/31/2018</stp>
        <stp>1</stp>
        <tr r="J2025" s="1"/>
      </tp>
      <tp>
        <v>9.3601589275000006</v>
        <stp/>
        <stp>EM_S_FA_NETPROFITMARGIN</stp>
        <stp>3</stp>
        <stp>002878</stp>
        <stp>12/31/2018</stp>
        <stp>1</stp>
        <tr r="J1941" s="1"/>
      </tp>
      <tp>
        <v>-26.386745837599999</v>
        <stp/>
        <stp>EM_S_FA_NETPROFITMARGIN</stp>
        <stp>3</stp>
        <stp>002178</stp>
        <stp>12/31/2018</stp>
        <stp>1</stp>
        <tr r="J1588" s="1"/>
      </tp>
      <tp>
        <v>10.3002253263</v>
        <stp/>
        <stp>EM_S_FA_NETPROFITMARGIN</stp>
        <stp>3</stp>
        <stp>002078</stp>
        <stp>12/31/2018</stp>
        <stp>1</stp>
        <tr r="J275" s="1"/>
      </tp>
      <tp>
        <v>2.5682815510000001</v>
        <stp/>
        <stp>EM_S_FA_NETPROFITMARGIN</stp>
        <stp>3</stp>
        <stp>002378</stp>
        <stp>12/31/2018</stp>
        <stp>1</stp>
        <tr r="J1552" s="1"/>
      </tp>
      <tp>
        <v>4.9150392008999999</v>
        <stp/>
        <stp>EM_S_FA_NETPROFITMARGIN</stp>
        <stp>3</stp>
        <stp>002278</stp>
        <stp>12/31/2018</stp>
        <stp>1</stp>
        <tr r="J2576" s="1"/>
      </tp>
      <tp>
        <v>2.3716078644</v>
        <stp/>
        <stp>EM_S_FA_NETPROFITMARGIN</stp>
        <stp>3</stp>
        <stp>002578</stp>
        <stp>12/31/2018</stp>
        <stp>1</stp>
        <tr r="J1903" s="1"/>
      </tp>
      <tp>
        <v>9.9102040276000007</v>
        <stp/>
        <stp>EM_S_FA_NETPROFITMARGIN</stp>
        <stp>3</stp>
        <stp>002478</stp>
        <stp>12/31/2018</stp>
        <stp>1</stp>
        <tr r="J1021" s="1"/>
      </tp>
      <tp>
        <v>2.6317626785999999</v>
        <stp/>
        <stp>EM_S_FA_NETPROFITMARGIN</stp>
        <stp>3</stp>
        <stp>002778</stp>
        <stp>12/31/2018</stp>
        <stp>1</stp>
        <tr r="J1331" s="1"/>
      </tp>
      <tp>
        <v>8.8150993203999999</v>
        <stp/>
        <stp>EM_S_FA_NETPROFITMARGIN</stp>
        <stp>3</stp>
        <stp>002678</stp>
        <stp>12/31/2018</stp>
        <stp>1</stp>
        <tr r="J697" s="1"/>
      </tp>
      <tp>
        <v>4.6504001854999997</v>
        <stp/>
        <stp>EM_S_FA_NETPROFITMARGIN</stp>
        <stp>3</stp>
        <stp>601918</stp>
        <stp>12/31/2018</stp>
        <stp>1</stp>
        <tr r="J1915" s="1"/>
      </tp>
      <tp>
        <v>30.587605674700001</v>
        <stp/>
        <stp>EM_S_FA_NETPROFITMARGIN</stp>
        <stp>3</stp>
        <stp>601818</stp>
        <stp>12/31/2018</stp>
        <stp>1</stp>
        <tr r="J1342" s="1"/>
      </tp>
      <tp>
        <v>3.2790317148999999</v>
        <stp/>
        <stp>EM_S_FA_NETPROFITMARGIN</stp>
        <stp>3</stp>
        <stp>601118</stp>
        <stp>12/31/2018</stp>
        <stp>1</stp>
        <tr r="J1724" s="1"/>
      </tp>
      <tp>
        <v>14.6555863955</v>
        <stp/>
        <stp>EM_S_FA_NETPROFITMARGIN</stp>
        <stp>3</stp>
        <stp>601018</stp>
        <stp>12/31/2018</stp>
        <stp>1</stp>
        <tr r="J1529" s="1"/>
      </tp>
      <tp>
        <v>12.330881871200001</v>
        <stp/>
        <stp>EM_S_FA_NETPROFITMARGIN</stp>
        <stp>3</stp>
        <stp>601318</stp>
        <stp>12/31/2018</stp>
        <stp>1</stp>
        <tr r="J516" s="1"/>
      </tp>
      <tp>
        <v>-5.2242255872000003</v>
        <stp/>
        <stp>EM_S_FA_NETPROFITMARGIN</stp>
        <stp>3</stp>
        <stp>601218</stp>
        <stp>12/31/2018</stp>
        <stp>1</stp>
        <tr r="J1106" s="1"/>
      </tp>
      <tp>
        <v>28.248159870799999</v>
        <stp/>
        <stp>EM_S_FA_NETPROFITMARGIN</stp>
        <stp>3</stp>
        <stp>601518</stp>
        <stp>12/31/2018</stp>
        <stp>1</stp>
        <tr r="J2183" s="1"/>
      </tp>
      <tp>
        <v>-0.34465196539999998</v>
        <stp/>
        <stp>EM_S_FA_NETPROFITMARGIN</stp>
        <stp>3</stp>
        <stp>601718</stp>
        <stp>12/31/2018</stp>
        <stp>1</stp>
        <tr r="J2524" s="1"/>
      </tp>
      <tp>
        <v>2.6147510567999999</v>
        <stp/>
        <stp>EM_S_FA_NETPROFITMARGIN</stp>
        <stp>3</stp>
        <stp>601618</stp>
        <stp>12/31/2018</stp>
        <stp>1</stp>
        <tr r="J2782" s="1"/>
      </tp>
      <tp>
        <v>11.546324214</v>
        <stp/>
        <stp>EM_S_FA_NETPROFITMARGIN</stp>
        <stp>3</stp>
        <stp>000978</stp>
        <stp>12/31/2018</stp>
        <stp>1</stp>
        <tr r="J2177" s="1"/>
      </tp>
      <tp>
        <v>0.84702552190000002</v>
        <stp/>
        <stp>EM_S_FA_NETPROFITMARGIN</stp>
        <stp>3</stp>
        <stp>000878</stp>
        <stp>12/31/2018</stp>
        <stp>1</stp>
        <tr r="J3560" s="1"/>
      </tp>
      <tp>
        <v>-0.86541277520000004</v>
        <stp/>
        <stp>EM_S_FA_NETPROFITMARGIN</stp>
        <stp>3</stp>
        <stp>600818</stp>
        <stp>12/31/2018</stp>
        <stp>1</stp>
        <tr r="J1647" s="1"/>
      </tp>
      <tp>
        <v>-96.610534487699994</v>
        <stp/>
        <stp>EM_S_FA_NETPROFITMARGIN</stp>
        <stp>3</stp>
        <stp>300148</stp>
        <stp>12/31/2018</stp>
        <stp>1</stp>
        <tr r="J2790" s="1"/>
      </tp>
      <tp>
        <v>6.1859485279999999</v>
        <stp/>
        <stp>EM_S_FA_NETPROFITMARGIN</stp>
        <stp>3</stp>
        <stp>600118</stp>
        <stp>12/31/2018</stp>
        <stp>1</stp>
        <tr r="J1129" s="1"/>
      </tp>
      <tp>
        <v>1.8064927150000001</v>
        <stp/>
        <stp>EM_S_FA_NETPROFITMARGIN</stp>
        <stp>3</stp>
        <stp>000078</stp>
        <stp>12/31/2018</stp>
        <stp>1</stp>
        <tr r="J1064" s="1"/>
      </tp>
      <tp>
        <v>-23.2669854558</v>
        <stp/>
        <stp>EM_S_FA_NETPROFITMARGIN</stp>
        <stp>3</stp>
        <stp>300048</stp>
        <stp>12/31/2018</stp>
        <stp>1</stp>
        <tr r="J2355" s="1"/>
      </tp>
      <tp>
        <v>30.1557669639</v>
        <stp/>
        <stp>EM_S_FA_NETPROFITMARGIN</stp>
        <stp>3</stp>
        <stp>600018</stp>
        <stp>12/31/2018</stp>
        <stp>1</stp>
        <tr r="J1725" s="1"/>
      </tp>
      <tp>
        <v>5.3462039808000004</v>
        <stp/>
        <stp>EM_S_FA_NETPROFITMARGIN</stp>
        <stp>3</stp>
        <stp>300348</stp>
        <stp>12/31/2018</stp>
        <stp>1</stp>
        <tr r="J1093" s="1"/>
      </tp>
      <tp>
        <v>28.770553481499999</v>
        <stp/>
        <stp>EM_S_FA_NETPROFITMARGIN</stp>
        <stp>3</stp>
        <stp>600318</stp>
        <stp>12/31/2018</stp>
        <stp>1</stp>
        <tr r="J2381" s="1"/>
      </tp>
      <tp>
        <v>11.6193869397</v>
        <stp/>
        <stp>EM_S_FA_NETPROFITMARGIN</stp>
        <stp>3</stp>
        <stp>300248</stp>
        <stp>12/31/2018</stp>
        <stp>1</stp>
        <tr r="J1276" s="1"/>
      </tp>
      <tp>
        <v>0.98977180300000001</v>
        <stp/>
        <stp>EM_S_FA_NETPROFITMARGIN</stp>
        <stp>3</stp>
        <stp>600218</stp>
        <stp>12/31/2018</stp>
        <stp>1</stp>
        <tr r="J83" s="1"/>
      </tp>
      <tp>
        <v>0</v>
        <stp/>
        <stp>EM_S_FA_NETPROFITMARGIN</stp>
        <stp>3</stp>
        <stp>000578</stp>
        <stp>12/31/2018</stp>
        <stp>1</stp>
        <tr r="J3464" s="1"/>
      </tp>
      <tp>
        <v>0.84730632139999995</v>
        <stp/>
        <stp>EM_S_FA_NETPROFITMARGIN</stp>
        <stp>3</stp>
        <stp>300548</stp>
        <stp>12/31/2018</stp>
        <stp>1</stp>
        <tr r="J199" s="1"/>
      </tp>
      <tp>
        <v>5.7996850915999998</v>
        <stp/>
        <stp>EM_S_FA_NETPROFITMARGIN</stp>
        <stp>3</stp>
        <stp>600518</stp>
        <stp>12/31/2018</stp>
        <stp>1</stp>
        <tr r="J3393" s="1"/>
      </tp>
      <tp>
        <v>20.660198011799999</v>
        <stp/>
        <stp>EM_S_FA_NETPROFITMARGIN</stp>
        <stp>3</stp>
        <stp>300448</stp>
        <stp>12/31/2018</stp>
        <stp>1</stp>
        <tr r="J3181" s="1"/>
      </tp>
      <tp>
        <v>-2.8360357950999999</v>
        <stp/>
        <stp>EM_S_FA_NETPROFITMARGIN</stp>
        <stp>3</stp>
        <stp>600418</stp>
        <stp>12/31/2018</stp>
        <stp>1</stp>
        <tr r="J2111" s="1"/>
      </tp>
      <tp>
        <v>5.0164630769</v>
        <stp/>
        <stp>EM_S_FA_NETPROFITMARGIN</stp>
        <stp>3</stp>
        <stp>000778</stp>
        <stp>12/31/2018</stp>
        <stp>1</stp>
        <tr r="J3535" s="1"/>
      </tp>
      <tp>
        <v>-1.4404732988</v>
        <stp/>
        <stp>EM_S_FA_NETPROFITMARGIN</stp>
        <stp>3</stp>
        <stp>600718</stp>
        <stp>12/31/2018</stp>
        <stp>1</stp>
        <tr r="J2488" s="1"/>
      </tp>
      <tp>
        <v>-3.7577701402999999</v>
        <stp/>
        <stp>EM_S_FA_NETPROFITMARGIN</stp>
        <stp>3</stp>
        <stp>000678</stp>
        <stp>12/31/2018</stp>
        <stp>1</stp>
        <tr r="J3505" s="1"/>
      </tp>
      <tp>
        <v>6.6080137069999996</v>
        <stp/>
        <stp>EM_S_FA_NETPROFITMARGIN</stp>
        <stp>3</stp>
        <stp>300648</stp>
        <stp>12/31/2018</stp>
        <stp>1</stp>
        <tr r="J2494" s="1"/>
      </tp>
      <tp>
        <v>14.6824551778</v>
        <stp/>
        <stp>EM_S_FA_NETPROFITMARGIN</stp>
        <stp>3</stp>
        <stp>600618</stp>
        <stp>12/31/2018</stp>
        <stp>1</stp>
        <tr r="J1601" s="1"/>
      </tp>
      <tp>
        <v>17.845560557900001</v>
        <stp/>
        <stp>EM_S_FA_NETPROFITMARGIN</stp>
        <stp>3</stp>
        <stp>603811</stp>
        <stp>12/31/2018</stp>
        <stp>1</stp>
        <tr r="J503" s="1"/>
      </tp>
      <tp>
        <v>-93.381905373400002</v>
        <stp/>
        <stp>EM_S_FA_NETPROFITMARGIN</stp>
        <stp>3</stp>
        <stp>603111</stp>
        <stp>12/31/2018</stp>
        <stp>1</stp>
        <tr r="J948" s="1"/>
      </tp>
      <tp>
        <v>6.4251613035000004</v>
        <stp/>
        <stp>EM_S_FA_NETPROFITMARGIN</stp>
        <stp>3</stp>
        <stp>603011</stp>
        <stp>12/31/2018</stp>
        <stp>1</stp>
        <tr r="J1463" s="1"/>
      </tp>
      <tp>
        <v>11.507933915200001</v>
        <stp/>
        <stp>EM_S_FA_NETPROFITMARGIN</stp>
        <stp>3</stp>
        <stp>603311</stp>
        <stp>12/31/2018</stp>
        <stp>1</stp>
        <tr r="J1757" s="1"/>
      </tp>
      <tp>
        <v>9.6798155914000006</v>
        <stp/>
        <stp>EM_S_FA_NETPROFITMARGIN</stp>
        <stp>3</stp>
        <stp>603711</stp>
        <stp>12/31/2018</stp>
        <stp>1</stp>
        <tr r="J1298" s="1"/>
      </tp>
      <tp>
        <v>7.8188057325999996</v>
        <stp/>
        <stp>EM_S_FA_NETPROFITMARGIN</stp>
        <stp>3</stp>
        <stp>603611</stp>
        <stp>12/31/2018</stp>
        <stp>1</stp>
        <tr r="J826" s="1"/>
      </tp>
      <tp>
        <v>22.405351143299999</v>
        <stp/>
        <stp>EM_S_FA_NETPROFITMARGIN</stp>
        <stp>3</stp>
        <stp>002871</stp>
        <stp>12/31/2018</stp>
        <stp>1</stp>
        <tr r="J2391" s="1"/>
      </tp>
      <tp>
        <v>3.1197341394000002</v>
        <stp/>
        <stp>EM_S_FA_NETPROFITMARGIN</stp>
        <stp>3</stp>
        <stp>002171</stp>
        <stp>12/31/2018</stp>
        <stp>1</stp>
        <tr r="J435" s="1"/>
      </tp>
      <tp>
        <v>-25.644760124299999</v>
        <stp/>
        <stp>EM_S_FA_NETPROFITMARGIN</stp>
        <stp>3</stp>
        <stp>002071</stp>
        <stp>12/31/2018</stp>
        <stp>1</stp>
        <tr r="J3623" s="1"/>
      </tp>
      <tp>
        <v>8.5096686069</v>
        <stp/>
        <stp>EM_S_FA_NETPROFITMARGIN</stp>
        <stp>3</stp>
        <stp>002371</stp>
        <stp>12/31/2018</stp>
        <stp>1</stp>
        <tr r="J103" s="1"/>
      </tp>
      <tp>
        <v>10.757269103200001</v>
        <stp/>
        <stp>EM_S_FA_NETPROFITMARGIN</stp>
        <stp>3</stp>
        <stp>002271</stp>
        <stp>12/31/2018</stp>
        <stp>1</stp>
        <tr r="J152" s="1"/>
      </tp>
      <tp>
        <v>-16.160953540200001</v>
        <stp/>
        <stp>EM_S_FA_NETPROFITMARGIN</stp>
        <stp>3</stp>
        <stp>002571</stp>
        <stp>12/31/2018</stp>
        <stp>1</stp>
        <tr r="J2579" s="1"/>
      </tp>
      <tp>
        <v>1.3701131093000001</v>
        <stp/>
        <stp>EM_S_FA_NETPROFITMARGIN</stp>
        <stp>3</stp>
        <stp>002471</stp>
        <stp>12/31/2018</stp>
        <stp>1</stp>
        <tr r="J2871" s="1"/>
      </tp>
      <tp>
        <v>4.8141936776999996</v>
        <stp/>
        <stp>EM_S_FA_NETPROFITMARGIN</stp>
        <stp>3</stp>
        <stp>002771</stp>
        <stp>12/31/2018</stp>
        <stp>1</stp>
        <tr r="J2174" s="1"/>
      </tp>
      <tp>
        <v>-9.7974039338000001</v>
        <stp/>
        <stp>EM_S_FA_NETPROFITMARGIN</stp>
        <stp>3</stp>
        <stp>002671</stp>
        <stp>12/31/2018</stp>
        <stp>1</stp>
        <tr r="J1752" s="1"/>
      </tp>
      <tp>
        <v>11.3199422827</v>
        <stp/>
        <stp>EM_S_FA_NETPROFITMARGIN</stp>
        <stp>3</stp>
        <stp>601811</stp>
        <stp>12/31/2018</stp>
        <stp>1</stp>
        <tr r="J728" s="1"/>
      </tp>
      <tp>
        <v>5.9956664552000003</v>
        <stp/>
        <stp>EM_S_FA_NETPROFITMARGIN</stp>
        <stp>3</stp>
        <stp>601111</stp>
        <stp>12/31/2018</stp>
        <stp>1</stp>
        <tr r="J1102" s="1"/>
      </tp>
      <tp>
        <v>9.3295123488999998</v>
        <stp/>
        <stp>EM_S_FA_NETPROFITMARGIN</stp>
        <stp>3</stp>
        <stp>601011</stp>
        <stp>12/31/2018</stp>
        <stp>1</stp>
        <tr r="J3003" s="1"/>
      </tp>
      <tp>
        <v>6.2211252120999996</v>
        <stp/>
        <stp>EM_S_FA_NETPROFITMARGIN</stp>
        <stp>3</stp>
        <stp>601311</stp>
        <stp>12/31/2018</stp>
        <stp>1</stp>
        <tr r="J1920" s="1"/>
      </tp>
      <tp>
        <v>31.119738636200001</v>
        <stp/>
        <stp>EM_S_FA_NETPROFITMARGIN</stp>
        <stp>3</stp>
        <stp>601211</stp>
        <stp>12/31/2018</stp>
        <stp>1</stp>
        <tr r="J1188" s="1"/>
      </tp>
      <tp>
        <v>2.1849684278999999</v>
        <stp/>
        <stp>EM_S_FA_NETPROFITMARGIN</stp>
        <stp>3</stp>
        <stp>601611</stp>
        <stp>12/31/2018</stp>
        <stp>1</stp>
        <tr r="J1819" s="1"/>
      </tp>
      <tp>
        <v>-243.7523193259</v>
        <stp/>
        <stp>EM_S_FA_NETPROFITMARGIN</stp>
        <stp>3</stp>
        <stp>000971</stp>
        <stp>12/31/2018</stp>
        <stp>1</stp>
        <tr r="J3589" s="1"/>
      </tp>
      <tp>
        <v>4.4487014681000003</v>
        <stp/>
        <stp>EM_S_FA_NETPROFITMARGIN</stp>
        <stp>3</stp>
        <stp>600811</stp>
        <stp>12/31/2018</stp>
        <stp>1</stp>
        <tr r="J2690" s="1"/>
      </tp>
      <tp>
        <v>1.2707470605</v>
        <stp/>
        <stp>EM_S_FA_NETPROFITMARGIN</stp>
        <stp>3</stp>
        <stp>300141</stp>
        <stp>12/31/2018</stp>
        <stp>1</stp>
        <tr r="J2371" s="1"/>
      </tp>
      <tp>
        <v>4.1490726265999998</v>
        <stp/>
        <stp>EM_S_FA_NETPROFITMARGIN</stp>
        <stp>3</stp>
        <stp>600111</stp>
        <stp>12/31/2018</stp>
        <stp>1</stp>
        <tr r="J1118" s="1"/>
      </tp>
      <tp>
        <v>6.8225499995999996</v>
        <stp/>
        <stp>EM_S_FA_NETPROFITMARGIN</stp>
        <stp>3</stp>
        <stp>300041</stp>
        <stp>12/31/2018</stp>
        <stp>1</stp>
        <tr r="J532" s="1"/>
      </tp>
      <tp>
        <v>1.4172795752</v>
        <stp/>
        <stp>EM_S_FA_NETPROFITMARGIN</stp>
        <stp>3</stp>
        <stp>600011</stp>
        <stp>12/31/2018</stp>
        <stp>1</stp>
        <tr r="J3146" s="1"/>
      </tp>
      <tp>
        <v>15.2666658654</v>
        <stp/>
        <stp>EM_S_FA_NETPROFITMARGIN</stp>
        <stp>3</stp>
        <stp>300341</stp>
        <stp>12/31/2018</stp>
        <stp>1</stp>
        <tr r="J37" s="1"/>
      </tp>
      <tp>
        <v>-132.1816203976</v>
        <stp/>
        <stp>EM_S_FA_NETPROFITMARGIN</stp>
        <stp>3</stp>
        <stp>600311</stp>
        <stp>12/31/2018</stp>
        <stp>1</stp>
        <tr r="J2820" s="1"/>
      </tp>
      <tp>
        <v>5.4438517012999998</v>
        <stp/>
        <stp>EM_S_FA_NETPROFITMARGIN</stp>
        <stp>3</stp>
        <stp>300241</stp>
        <stp>12/31/2018</stp>
        <stp>1</stp>
        <tr r="J679" s="1"/>
      </tp>
      <tp>
        <v>21.217219098099999</v>
        <stp/>
        <stp>EM_S_FA_NETPROFITMARGIN</stp>
        <stp>3</stp>
        <stp>600211</stp>
        <stp>12/31/2018</stp>
        <stp>1</stp>
        <tr r="J1937" s="1"/>
      </tp>
      <tp>
        <v>-66.872988650699995</v>
        <stp/>
        <stp>EM_S_FA_NETPROFITMARGIN</stp>
        <stp>3</stp>
        <stp>000571</stp>
        <stp>12/31/2018</stp>
        <stp>1</stp>
        <tr r="J3462" s="1"/>
      </tp>
      <tp>
        <v>3.6816752967999999</v>
        <stp/>
        <stp>EM_S_FA_NETPROFITMARGIN</stp>
        <stp>3</stp>
        <stp>300541</stp>
        <stp>12/31/2018</stp>
        <stp>1</stp>
        <tr r="J463" s="1"/>
      </tp>
      <tp>
        <v>4.1111602610000002</v>
        <stp/>
        <stp>EM_S_FA_NETPROFITMARGIN</stp>
        <stp>3</stp>
        <stp>600511</stp>
        <stp>12/31/2018</stp>
        <stp>1</stp>
        <tr r="J1450" s="1"/>
      </tp>
      <tp>
        <v>10.3989907843</v>
        <stp/>
        <stp>EM_S_FA_NETPROFITMARGIN</stp>
        <stp>3</stp>
        <stp>300441</stp>
        <stp>12/31/2018</stp>
        <stp>1</stp>
        <tr r="J685" s="1"/>
      </tp>
      <tp>
        <v>55.032556850699997</v>
        <stp/>
        <stp>EM_S_FA_NETPROFITMARGIN</stp>
        <stp>3</stp>
        <stp>300741</stp>
        <stp>12/31/2018</stp>
        <stp>1</stp>
        <tr r="J2360" s="1"/>
      </tp>
      <tp>
        <v>1.6439552745999999</v>
        <stp/>
        <stp>EM_S_FA_NETPROFITMARGIN</stp>
        <stp>3</stp>
        <stp>600711</stp>
        <stp>12/31/2018</stp>
        <stp>1</stp>
        <tr r="J1456" s="1"/>
      </tp>
      <tp>
        <v>6.9175805244999999</v>
        <stp/>
        <stp>EM_S_FA_NETPROFITMARGIN</stp>
        <stp>3</stp>
        <stp>000671</stp>
        <stp>12/31/2018</stp>
        <stp>1</stp>
        <tr r="J373" s="1"/>
      </tp>
      <tp>
        <v>4.9885328637999997</v>
        <stp/>
        <stp>EM_S_FA_NETPROFITMARGIN</stp>
        <stp>3</stp>
        <stp>300641</stp>
        <stp>12/31/2018</stp>
        <stp>1</stp>
        <tr r="J2353" s="1"/>
      </tp>
      <tp>
        <v>27.5702436027</v>
        <stp/>
        <stp>EM_S_FA_NETPROFITMARGIN</stp>
        <stp>3</stp>
        <stp>600611</stp>
        <stp>12/31/2018</stp>
        <stp>1</stp>
        <tr r="J2175" s="1"/>
      </tp>
      <tp>
        <v>8.3579595439999999</v>
        <stp/>
        <stp>EM_S_FA_NETPROFITMARGIN</stp>
        <stp>3</stp>
        <stp>603110</stp>
        <stp>12/31/2018</stp>
        <stp>1</stp>
        <tr r="J453" s="1"/>
      </tp>
      <tp>
        <v>5.9734746117000004</v>
        <stp/>
        <stp>EM_S_FA_NETPROFITMARGIN</stp>
        <stp>3</stp>
        <stp>603010</stp>
        <stp>12/31/2018</stp>
        <stp>1</stp>
        <tr r="J3049" s="1"/>
      </tp>
      <tp>
        <v>3.657897357</v>
        <stp/>
        <stp>EM_S_FA_NETPROFITMARGIN</stp>
        <stp>3</stp>
        <stp>002870</stp>
        <stp>12/31/2018</stp>
        <stp>1</stp>
        <tr r="J411" s="1"/>
      </tp>
      <tp>
        <v>0.34065038110000001</v>
        <stp/>
        <stp>EM_S_FA_NETPROFITMARGIN</stp>
        <stp>3</stp>
        <stp>002170</stp>
        <stp>12/31/2018</stp>
        <stp>1</stp>
        <tr r="J1698" s="1"/>
      </tp>
      <tp>
        <v>-291.18572944620001</v>
        <stp/>
        <stp>EM_S_FA_NETPROFITMARGIN</stp>
        <stp>3</stp>
        <stp>002070</stp>
        <stp>12/31/2018</stp>
        <stp>1</stp>
        <tr r="J3622" s="1"/>
      </tp>
      <tp>
        <v>15.9862182094</v>
        <stp/>
        <stp>EM_S_FA_NETPROFITMARGIN</stp>
        <stp>3</stp>
        <stp>002370</stp>
        <stp>12/31/2018</stp>
        <stp>1</stp>
        <tr r="J3395" s="1"/>
      </tp>
      <tp>
        <v>14.7690011618</v>
        <stp/>
        <stp>EM_S_FA_NETPROFITMARGIN</stp>
        <stp>3</stp>
        <stp>002270</stp>
        <stp>12/31/2018</stp>
        <stp>1</stp>
        <tr r="J2017" s="1"/>
      </tp>
      <tp>
        <v>2.0310937859</v>
        <stp/>
        <stp>EM_S_FA_NETPROFITMARGIN</stp>
        <stp>3</stp>
        <stp>002570</stp>
        <stp>12/31/2018</stp>
        <stp>1</stp>
        <tr r="J1926" s="1"/>
      </tp>
      <tp>
        <v>3.1210022423999999</v>
        <stp/>
        <stp>EM_S_FA_NETPROFITMARGIN</stp>
        <stp>3</stp>
        <stp>002470</stp>
        <stp>12/31/2018</stp>
        <stp>1</stp>
        <tr r="J3391" s="1"/>
      </tp>
      <tp>
        <v>10.0483529291</v>
        <stp/>
        <stp>EM_S_FA_NETPROFITMARGIN</stp>
        <stp>3</stp>
        <stp>002770</stp>
        <stp>12/31/2018</stp>
        <stp>1</stp>
        <tr r="J2889" s="1"/>
      </tp>
      <tp>
        <v>-44.9161686733</v>
        <stp/>
        <stp>EM_S_FA_NETPROFITMARGIN</stp>
        <stp>3</stp>
        <stp>002670</stp>
        <stp>12/31/2018</stp>
        <stp>1</stp>
        <tr r="J1233" s="1"/>
      </tp>
      <tp>
        <v>3.7996760131</v>
        <stp/>
        <stp>EM_S_FA_NETPROFITMARGIN</stp>
        <stp>3</stp>
        <stp>601010</stp>
        <stp>12/31/2018</stp>
        <stp>1</stp>
        <tr r="J1981" s="1"/>
      </tp>
      <tp>
        <v>7.1513037870999998</v>
        <stp/>
        <stp>EM_S_FA_NETPROFITMARGIN</stp>
        <stp>3</stp>
        <stp>000970</stp>
        <stp>12/31/2018</stp>
        <stp>1</stp>
        <tr r="J573" s="1"/>
      </tp>
      <tp>
        <v>8.6409936916000003</v>
        <stp/>
        <stp>EM_S_FA_NETPROFITMARGIN</stp>
        <stp>3</stp>
        <stp>600810</stp>
        <stp>12/31/2018</stp>
        <stp>1</stp>
        <tr r="J3112" s="1"/>
      </tp>
      <tp>
        <v>1.9106626121000001</v>
        <stp/>
        <stp>EM_S_FA_NETPROFITMARGIN</stp>
        <stp>3</stp>
        <stp>300140</stp>
        <stp>12/31/2018</stp>
        <stp>1</stp>
        <tr r="J1419" s="1"/>
      </tp>
      <tp>
        <v>5.4242236966000004</v>
        <stp/>
        <stp>EM_S_FA_NETPROFITMARGIN</stp>
        <stp>3</stp>
        <stp>600110</stp>
        <stp>12/31/2018</stp>
        <stp>1</stp>
        <tr r="J1434" s="1"/>
      </tp>
      <tp>
        <v>5.4886490614000003</v>
        <stp/>
        <stp>EM_S_FA_NETPROFITMARGIN</stp>
        <stp>3</stp>
        <stp>000070</stp>
        <stp>12/31/2018</stp>
        <stp>1</stp>
        <tr r="J228" s="1"/>
      </tp>
      <tp>
        <v>4.4334738169000003</v>
        <stp/>
        <stp>EM_S_FA_NETPROFITMARGIN</stp>
        <stp>3</stp>
        <stp>300040</stp>
        <stp>12/31/2018</stp>
        <stp>1</stp>
        <tr r="J1626" s="1"/>
      </tp>
      <tp>
        <v>4.9556147346000001</v>
        <stp/>
        <stp>EM_S_FA_NETPROFITMARGIN</stp>
        <stp>3</stp>
        <stp>600010</stp>
        <stp>12/31/2018</stp>
        <stp>1</stp>
        <tr r="J2792" s="1"/>
      </tp>
      <tp>
        <v>2.4433692372000002</v>
        <stp/>
        <stp>EM_S_FA_NETPROFITMARGIN</stp>
        <stp>3</stp>
        <stp>300340</stp>
        <stp>12/31/2018</stp>
        <stp>1</stp>
        <tr r="J2737" s="1"/>
      </tp>
      <tp>
        <v>0.84954292050000002</v>
        <stp/>
        <stp>EM_S_FA_NETPROFITMARGIN</stp>
        <stp>3</stp>
        <stp>600310</stp>
        <stp>12/31/2018</stp>
        <stp>1</stp>
        <tr r="J1303" s="1"/>
      </tp>
      <tp>
        <v>0.8046781838</v>
        <stp/>
        <stp>EM_S_FA_NETPROFITMARGIN</stp>
        <stp>3</stp>
        <stp>300240</stp>
        <stp>12/31/2018</stp>
        <stp>1</stp>
        <tr r="J2840" s="1"/>
      </tp>
      <tp>
        <v>5.0302965796999999</v>
        <stp/>
        <stp>EM_S_FA_NETPROFITMARGIN</stp>
        <stp>3</stp>
        <stp>600210</stp>
        <stp>12/31/2018</stp>
        <stp>1</stp>
        <tr r="J2091" s="1"/>
      </tp>
      <tp>
        <v>2.9146522856999999</v>
        <stp/>
        <stp>EM_S_FA_NETPROFITMARGIN</stp>
        <stp>3</stp>
        <stp>000570</stp>
        <stp>12/31/2018</stp>
        <stp>1</stp>
        <tr r="J3461" s="1"/>
      </tp>
      <tp>
        <v>-33.781305633000002</v>
        <stp/>
        <stp>EM_S_FA_NETPROFITMARGIN</stp>
        <stp>3</stp>
        <stp>300540</stp>
        <stp>12/31/2018</stp>
        <stp>1</stp>
        <tr r="J1366" s="1"/>
      </tp>
      <tp>
        <v>11.2383993064</v>
        <stp/>
        <stp>EM_S_FA_NETPROFITMARGIN</stp>
        <stp>3</stp>
        <stp>600510</stp>
        <stp>12/31/2018</stp>
        <stp>1</stp>
        <tr r="J1618" s="1"/>
      </tp>
      <tp>
        <v>19.970818060100001</v>
        <stp/>
        <stp>EM_S_FA_NETPROFITMARGIN</stp>
        <stp>3</stp>
        <stp>300440</stp>
        <stp>12/31/2018</stp>
        <stp>1</stp>
        <tr r="J675" s="1"/>
      </tp>
      <tp>
        <v>-5.5175355407</v>
        <stp/>
        <stp>EM_S_FA_NETPROFITMARGIN</stp>
        <stp>3</stp>
        <stp>600410</stp>
        <stp>12/31/2018</stp>
        <stp>1</stp>
        <tr r="J272" s="1"/>
      </tp>
      <tp>
        <v>5.6808709190000002</v>
        <stp/>
        <stp>EM_S_FA_NETPROFITMARGIN</stp>
        <stp>3</stp>
        <stp>300740</stp>
        <stp>12/31/2018</stp>
        <stp>1</stp>
        <tr r="J3353" s="1"/>
      </tp>
      <tp>
        <v>1.5107120703000001</v>
        <stp/>
        <stp>EM_S_FA_NETPROFITMARGIN</stp>
        <stp>3</stp>
        <stp>600710</stp>
        <stp>12/31/2018</stp>
        <stp>1</stp>
        <tr r="J584" s="1"/>
      </tp>
      <tp>
        <v>-175.18684983399999</v>
        <stp/>
        <stp>EM_S_FA_NETPROFITMARGIN</stp>
        <stp>3</stp>
        <stp>000670</stp>
        <stp>12/31/2018</stp>
        <stp>1</stp>
        <tr r="J3502" s="1"/>
      </tp>
      <tp>
        <v>7.2127141923</v>
        <stp/>
        <stp>EM_S_FA_NETPROFITMARGIN</stp>
        <stp>3</stp>
        <stp>300640</stp>
        <stp>12/31/2018</stp>
        <stp>1</stp>
        <tr r="J2861" s="1"/>
      </tp>
      <tp>
        <v>0</v>
        <stp/>
        <stp>EM_S_FA_NETPROFITMARGIN</stp>
        <stp>3</stp>
        <stp>600610</stp>
        <stp>12/31/2018</stp>
        <stp>1</stp>
        <tr r="J203" s="1"/>
      </tp>
      <tp>
        <v>6.7774208187999996</v>
        <stp/>
        <stp>EM_S_FA_NETPROFITMARGIN</stp>
        <stp>3</stp>
        <stp>603813</stp>
        <stp>12/31/2018</stp>
        <stp>1</stp>
        <tr r="J2153" s="1"/>
      </tp>
      <tp>
        <v>14.415114151499999</v>
        <stp/>
        <stp>EM_S_FA_NETPROFITMARGIN</stp>
        <stp>3</stp>
        <stp>603113</stp>
        <stp>12/31/2018</stp>
        <stp>1</stp>
        <tr r="J2475" s="1"/>
      </tp>
      <tp>
        <v>4.5486013654999997</v>
        <stp/>
        <stp>EM_S_FA_NETPROFITMARGIN</stp>
        <stp>3</stp>
        <stp>603013</stp>
        <stp>12/31/2018</stp>
        <stp>1</stp>
        <tr r="J2867" s="1"/>
      </tp>
      <tp>
        <v>6.4488159746000004</v>
        <stp/>
        <stp>EM_S_FA_NETPROFITMARGIN</stp>
        <stp>3</stp>
        <stp>603313</stp>
        <stp>12/31/2018</stp>
        <stp>1</stp>
        <tr r="J2362" s="1"/>
      </tp>
      <tp>
        <v>10.139644930899999</v>
        <stp/>
        <stp>EM_S_FA_NETPROFITMARGIN</stp>
        <stp>3</stp>
        <stp>002873</stp>
        <stp>12/31/2018</stp>
        <stp>1</stp>
        <tr r="J2205" s="1"/>
      </tp>
      <tp>
        <v>2.8277537689000001</v>
        <stp/>
        <stp>EM_S_FA_NETPROFITMARGIN</stp>
        <stp>3</stp>
        <stp>002173</stp>
        <stp>12/31/2018</stp>
        <stp>1</stp>
        <tr r="J2881" s="1"/>
      </tp>
      <tp>
        <v>-12.2879395851</v>
        <stp/>
        <stp>EM_S_FA_NETPROFITMARGIN</stp>
        <stp>3</stp>
        <stp>002073</stp>
        <stp>12/31/2018</stp>
        <stp>1</stp>
        <tr r="J3625" s="1"/>
      </tp>
      <tp>
        <v>12.2666272205</v>
        <stp/>
        <stp>EM_S_FA_NETPROFITMARGIN</stp>
        <stp>3</stp>
        <stp>002373</stp>
        <stp>12/31/2018</stp>
        <stp>1</stp>
        <tr r="J379" s="1"/>
      </tp>
      <tp>
        <v>20.608205287200001</v>
        <stp/>
        <stp>EM_S_FA_NETPROFITMARGIN</stp>
        <stp>3</stp>
        <stp>002273</stp>
        <stp>12/31/2018</stp>
        <stp>1</stp>
        <tr r="J318" s="1"/>
      </tp>
      <tp>
        <v>13.8497808864</v>
        <stp/>
        <stp>EM_S_FA_NETPROFITMARGIN</stp>
        <stp>3</stp>
        <stp>002573</stp>
        <stp>12/31/2018</stp>
        <stp>1</stp>
        <tr r="J2784" s="1"/>
      </tp>
      <tp>
        <v>7.7703275681999999</v>
        <stp/>
        <stp>EM_S_FA_NETPROFITMARGIN</stp>
        <stp>3</stp>
        <stp>002473</stp>
        <stp>12/31/2018</stp>
        <stp>1</stp>
        <tr r="J797" s="1"/>
      </tp>
      <tp>
        <v>23.820286942100001</v>
        <stp/>
        <stp>EM_S_FA_NETPROFITMARGIN</stp>
        <stp>3</stp>
        <stp>002773</stp>
        <stp>12/31/2018</stp>
        <stp>1</stp>
        <tr r="J1974" s="1"/>
      </tp>
      <tp>
        <v>9.0198326787000003</v>
        <stp/>
        <stp>EM_S_FA_NETPROFITMARGIN</stp>
        <stp>3</stp>
        <stp>002673</stp>
        <stp>12/31/2018</stp>
        <stp>1</stp>
        <tr r="J998" s="1"/>
      </tp>
      <tp>
        <v>4.2304547113000002</v>
        <stp/>
        <stp>EM_S_FA_NETPROFITMARGIN</stp>
        <stp>3</stp>
        <stp>601113</stp>
        <stp>12/31/2018</stp>
        <stp>1</stp>
        <tr r="J3390" s="1"/>
      </tp>
      <tp>
        <v>4.2840925812000004</v>
        <stp/>
        <stp>EM_S_FA_NETPROFITMARGIN</stp>
        <stp>3</stp>
        <stp>000973</stp>
        <stp>12/31/2018</stp>
        <stp>1</stp>
        <tr r="J658" s="1"/>
      </tp>
      <tp>
        <v>-8660.1045855958</v>
        <stp/>
        <stp>EM_S_FA_NETPROFITMARGIN</stp>
        <stp>3</stp>
        <stp>600813</stp>
        <stp>12/31/2018</stp>
        <stp>1</stp>
        <tr r="J2327" s="1"/>
      </tp>
      <tp>
        <v>14.1005605633</v>
        <stp/>
        <stp>EM_S_FA_NETPROFITMARGIN</stp>
        <stp>3</stp>
        <stp>300143</stp>
        <stp>12/31/2018</stp>
        <stp>1</stp>
        <tr r="J2121" s="1"/>
      </tp>
      <tp>
        <v>25.119290432100001</v>
        <stp/>
        <stp>EM_S_FA_NETPROFITMARGIN</stp>
        <stp>3</stp>
        <stp>600113</stp>
        <stp>12/31/2018</stp>
        <stp>1</stp>
        <tr r="J2268" s="1"/>
      </tp>
      <tp>
        <v>8.5381120416999998</v>
        <stp/>
        <stp>EM_S_FA_NETPROFITMARGIN</stp>
        <stp>3</stp>
        <stp>300043</stp>
        <stp>12/31/2018</stp>
        <stp>1</stp>
        <tr r="J491" s="1"/>
      </tp>
      <tp>
        <v>-52.719538884000002</v>
        <stp/>
        <stp>EM_S_FA_NETPROFITMARGIN</stp>
        <stp>3</stp>
        <stp>300343</stp>
        <stp>12/31/2018</stp>
        <stp>1</stp>
        <tr r="J3389" s="1"/>
      </tp>
      <tp>
        <v>1.5978957192000001</v>
        <stp/>
        <stp>EM_S_FA_NETPROFITMARGIN</stp>
        <stp>3</stp>
        <stp>600313</stp>
        <stp>12/31/2018</stp>
        <stp>1</stp>
        <tr r="J1063" s="1"/>
      </tp>
      <tp>
        <v>6.239507712</v>
        <stp/>
        <stp>EM_S_FA_NETPROFITMARGIN</stp>
        <stp>3</stp>
        <stp>300243</stp>
        <stp>12/31/2018</stp>
        <stp>1</stp>
        <tr r="J2469" s="1"/>
      </tp>
      <tp>
        <v>0.63515557980000004</v>
        <stp/>
        <stp>EM_S_FA_NETPROFITMARGIN</stp>
        <stp>3</stp>
        <stp>600213</stp>
        <stp>12/31/2018</stp>
        <stp>1</stp>
        <tr r="J668" s="1"/>
      </tp>
      <tp>
        <v>4.3571708527000004</v>
        <stp/>
        <stp>EM_S_FA_NETPROFITMARGIN</stp>
        <stp>3</stp>
        <stp>000573</stp>
        <stp>12/31/2018</stp>
        <stp>1</stp>
        <tr r="J2239" s="1"/>
      </tp>
      <tp>
        <v>3.7088355174999998</v>
        <stp/>
        <stp>EM_S_FA_NETPROFITMARGIN</stp>
        <stp>3</stp>
        <stp>300543</stp>
        <stp>12/31/2018</stp>
        <stp>1</stp>
        <tr r="J759" s="1"/>
      </tp>
      <tp>
        <v>7.2769788466999996</v>
        <stp/>
        <stp>EM_S_FA_NETPROFITMARGIN</stp>
        <stp>3</stp>
        <stp>600513</stp>
        <stp>12/31/2018</stp>
        <stp>1</stp>
        <tr r="J1324" s="1"/>
      </tp>
      <tp>
        <v>14.733763103799999</v>
        <stp/>
        <stp>EM_S_FA_NETPROFITMARGIN</stp>
        <stp>3</stp>
        <stp>300443</stp>
        <stp>12/31/2018</stp>
        <stp>1</stp>
        <tr r="J981" s="1"/>
      </tp>
      <tp>
        <v>7.8266927254000001</v>
        <stp/>
        <stp>EM_S_FA_NETPROFITMARGIN</stp>
        <stp>3</stp>
        <stp>300743</stp>
        <stp>12/31/2018</stp>
        <stp>1</stp>
        <tr r="J3368" s="1"/>
      </tp>
      <tp>
        <v>1.1047870086</v>
        <stp/>
        <stp>EM_S_FA_NETPROFITMARGIN</stp>
        <stp>3</stp>
        <stp>600713</stp>
        <stp>12/31/2018</stp>
        <stp>1</stp>
        <tr r="J1785" s="1"/>
      </tp>
      <tp>
        <v>-206.39961950969999</v>
        <stp/>
        <stp>EM_S_FA_NETPROFITMARGIN</stp>
        <stp>3</stp>
        <stp>000673</stp>
        <stp>12/31/2018</stp>
        <stp>1</stp>
        <tr r="J3503" s="1"/>
      </tp>
      <tp>
        <v>10.0947756378</v>
        <stp/>
        <stp>EM_S_FA_NETPROFITMARGIN</stp>
        <stp>3</stp>
        <stp>300643</stp>
        <stp>12/31/2018</stp>
        <stp>1</stp>
        <tr r="J149" s="1"/>
      </tp>
      <tp>
        <v>5.3128231383999998</v>
        <stp/>
        <stp>EM_S_FA_NETPROFITMARGIN</stp>
        <stp>3</stp>
        <stp>600613</stp>
        <stp>12/31/2018</stp>
        <stp>1</stp>
        <tr r="J768" s="1"/>
      </tp>
      <tp>
        <v>19.9489164624</v>
        <stp/>
        <stp>EM_S_FA_NETPROFITMARGIN</stp>
        <stp>3</stp>
        <stp>603912</stp>
        <stp>12/31/2018</stp>
        <stp>1</stp>
        <tr r="J2116" s="1"/>
      </tp>
      <tp>
        <v>12.5291637192</v>
        <stp/>
        <stp>EM_S_FA_NETPROFITMARGIN</stp>
        <stp>3</stp>
        <stp>603012</stp>
        <stp>12/31/2018</stp>
        <stp>1</stp>
        <tr r="J1606" s="1"/>
      </tp>
      <tp>
        <v>13.836948765500001</v>
        <stp/>
        <stp>EM_S_FA_NETPROFITMARGIN</stp>
        <stp>3</stp>
        <stp>603712</stp>
        <stp>12/31/2018</stp>
        <stp>1</stp>
        <tr r="J824" s="1"/>
      </tp>
      <tp>
        <v>6.1138431886999998</v>
        <stp/>
        <stp>EM_S_FA_NETPROFITMARGIN</stp>
        <stp>3</stp>
        <stp>603612</stp>
        <stp>12/31/2018</stp>
        <stp>1</stp>
        <tr r="J2028" s="1"/>
      </tp>
      <tp>
        <v>5.4114724510999999</v>
        <stp/>
        <stp>EM_S_FA_NETPROFITMARGIN</stp>
        <stp>3</stp>
        <stp>002872</stp>
        <stp>12/31/2018</stp>
        <stp>1</stp>
        <tr r="J3295" s="1"/>
      </tp>
      <tp>
        <v>-0.98268773990000002</v>
        <stp/>
        <stp>EM_S_FA_NETPROFITMARGIN</stp>
        <stp>3</stp>
        <stp>002172</stp>
        <stp>12/31/2018</stp>
        <stp>1</stp>
        <tr r="J2424" s="1"/>
      </tp>
      <tp>
        <v>-1005.7496138552</v>
        <stp/>
        <stp>EM_S_FA_NETPROFITMARGIN</stp>
        <stp>3</stp>
        <stp>002072</stp>
        <stp>12/31/2018</stp>
        <stp>1</stp>
        <tr r="J3624" s="1"/>
      </tp>
      <tp>
        <v>21.427585213499999</v>
        <stp/>
        <stp>EM_S_FA_NETPROFITMARGIN</stp>
        <stp>3</stp>
        <stp>002372</stp>
        <stp>12/31/2018</stp>
        <stp>1</stp>
        <tr r="J2991" s="1"/>
      </tp>
      <tp>
        <v>6.7153021543999998</v>
        <stp/>
        <stp>EM_S_FA_NETPROFITMARGIN</stp>
        <stp>3</stp>
        <stp>002272</stp>
        <stp>12/31/2018</stp>
        <stp>1</stp>
        <tr r="J1640" s="1"/>
      </tp>
      <tp>
        <v>13.1891807416</v>
        <stp/>
        <stp>EM_S_FA_NETPROFITMARGIN</stp>
        <stp>3</stp>
        <stp>002572</stp>
        <stp>12/31/2018</stp>
        <stp>1</stp>
        <tr r="J1070" s="1"/>
      </tp>
      <tp>
        <v>6.1891078160999999</v>
        <stp/>
        <stp>EM_S_FA_NETPROFITMARGIN</stp>
        <stp>3</stp>
        <stp>002472</stp>
        <stp>12/31/2018</stp>
        <stp>1</stp>
        <tr r="J2553" s="1"/>
      </tp>
      <tp>
        <v>12.1699216435</v>
        <stp/>
        <stp>EM_S_FA_NETPROFITMARGIN</stp>
        <stp>3</stp>
        <stp>002772</stp>
        <stp>12/31/2018</stp>
        <stp>1</stp>
        <tr r="J1906" s="1"/>
      </tp>
      <tp>
        <v>14.4368305084</v>
        <stp/>
        <stp>EM_S_FA_NETPROFITMARGIN</stp>
        <stp>3</stp>
        <stp>002672</stp>
        <stp>12/31/2018</stp>
        <stp>1</stp>
        <tr r="J3093" s="1"/>
      </tp>
      <tp>
        <v>11.673044469100001</v>
        <stp/>
        <stp>EM_S_FA_NETPROFITMARGIN</stp>
        <stp>3</stp>
        <stp>601012</stp>
        <stp>12/31/2018</stp>
        <stp>1</stp>
        <tr r="J682" s="1"/>
      </tp>
      <tp>
        <v>0.36463349550000002</v>
        <stp/>
        <stp>EM_S_FA_NETPROFITMARGIN</stp>
        <stp>3</stp>
        <stp>601212</stp>
        <stp>12/31/2018</stp>
        <stp>1</stp>
        <tr r="J1088" s="1"/>
      </tp>
      <tp>
        <v>-73.8459656287</v>
        <stp/>
        <stp>EM_S_FA_NETPROFITMARGIN</stp>
        <stp>3</stp>
        <stp>000972</stp>
        <stp>12/31/2018</stp>
        <stp>1</stp>
        <tr r="J3590" s="1"/>
      </tp>
      <tp>
        <v>1.5825947695</v>
        <stp/>
        <stp>EM_S_FA_NETPROFITMARGIN</stp>
        <stp>3</stp>
        <stp>600812</stp>
        <stp>12/31/2018</stp>
        <stp>1</stp>
        <tr r="J107" s="1"/>
      </tp>
      <tp>
        <v>120.8915944578</v>
        <stp/>
        <stp>EM_S_FA_NETPROFITMARGIN</stp>
        <stp>3</stp>
        <stp>300142</stp>
        <stp>12/31/2018</stp>
        <stp>1</stp>
        <tr r="J360" s="1"/>
      </tp>
      <tp>
        <v>3.3676419931999999</v>
        <stp/>
        <stp>EM_S_FA_NETPROFITMARGIN</stp>
        <stp>3</stp>
        <stp>600112</stp>
        <stp>12/31/2018</stp>
        <stp>1</stp>
        <tr r="J3347" s="1"/>
      </tp>
      <tp>
        <v>6.6703912735999999</v>
        <stp/>
        <stp>EM_S_FA_NETPROFITMARGIN</stp>
        <stp>3</stp>
        <stp>300042</stp>
        <stp>12/31/2018</stp>
        <stp>1</stp>
        <tr r="J1386" s="1"/>
      </tp>
      <tp>
        <v>36.961950200099999</v>
        <stp/>
        <stp>EM_S_FA_NETPROFITMARGIN</stp>
        <stp>3</stp>
        <stp>600012</stp>
        <stp>12/31/2018</stp>
        <stp>1</stp>
        <tr r="J2470" s="1"/>
      </tp>
      <tp>
        <v>13.085758675399999</v>
        <stp/>
        <stp>EM_S_FA_NETPROFITMARGIN</stp>
        <stp>3</stp>
        <stp>300342</stp>
        <stp>12/31/2018</stp>
        <stp>1</stp>
        <tr r="J861" s="1"/>
      </tp>
      <tp>
        <v>2.3880274997000002</v>
        <stp/>
        <stp>EM_S_FA_NETPROFITMARGIN</stp>
        <stp>3</stp>
        <stp>600312</stp>
        <stp>12/31/2018</stp>
        <stp>1</stp>
        <tr r="J3067" s="1"/>
      </tp>
      <tp>
        <v>-22.187532442599998</v>
        <stp/>
        <stp>EM_S_FA_NETPROFITMARGIN</stp>
        <stp>3</stp>
        <stp>300242</stp>
        <stp>12/31/2018</stp>
        <stp>1</stp>
        <tr r="J2537" s="1"/>
      </tp>
      <tp>
        <v>-70.174687655300005</v>
        <stp/>
        <stp>EM_S_FA_NETPROFITMARGIN</stp>
        <stp>3</stp>
        <stp>600212</stp>
        <stp>12/31/2018</stp>
        <stp>1</stp>
        <tr r="J2006" s="1"/>
      </tp>
      <tp>
        <v>-45.042161320200002</v>
        <stp/>
        <stp>EM_S_FA_NETPROFITMARGIN</stp>
        <stp>3</stp>
        <stp>000572</stp>
        <stp>12/31/2018</stp>
        <stp>1</stp>
        <tr r="J3463" s="1"/>
      </tp>
      <tp>
        <v>5.9435740457000001</v>
        <stp/>
        <stp>EM_S_FA_NETPROFITMARGIN</stp>
        <stp>3</stp>
        <stp>300542</stp>
        <stp>12/31/2018</stp>
        <stp>1</stp>
        <tr r="J1783" s="1"/>
      </tp>
      <tp>
        <v>-3.8361167236</v>
        <stp/>
        <stp>EM_S_FA_NETPROFITMARGIN</stp>
        <stp>3</stp>
        <stp>600512</stp>
        <stp>12/31/2018</stp>
        <stp>1</stp>
        <tr r="J947" s="1"/>
      </tp>
      <tp>
        <v>-44.755082503200001</v>
        <stp/>
        <stp>EM_S_FA_NETPROFITMARGIN</stp>
        <stp>3</stp>
        <stp>300442</stp>
        <stp>12/31/2018</stp>
        <stp>1</stp>
        <tr r="J1232" s="1"/>
      </tp>
      <tp>
        <v>4.2998731792999996</v>
        <stp/>
        <stp>EM_S_FA_NETPROFITMARGIN</stp>
        <stp>3</stp>
        <stp>300742</stp>
        <stp>12/31/2018</stp>
        <stp>1</stp>
        <tr r="J3334" s="1"/>
      </tp>
      <tp>
        <v>-2.1068692296</v>
        <stp/>
        <stp>EM_S_FA_NETPROFITMARGIN</stp>
        <stp>3</stp>
        <stp>600712</stp>
        <stp>12/31/2018</stp>
        <stp>1</stp>
        <tr r="J59" s="1"/>
      </tp>
      <tp>
        <v>28.0323693962</v>
        <stp/>
        <stp>EM_S_FA_NETPROFITMARGIN</stp>
        <stp>3</stp>
        <stp>000672</stp>
        <stp>12/31/2018</stp>
        <stp>1</stp>
        <tr r="J150" s="1"/>
      </tp>
      <tp>
        <v>38.835755660099998</v>
        <stp/>
        <stp>EM_S_FA_NETPROFITMARGIN</stp>
        <stp>3</stp>
        <stp>300642</stp>
        <stp>12/31/2018</stp>
        <stp>1</stp>
        <tr r="J1902" s="1"/>
      </tp>
      <tp>
        <v>3.5715544737</v>
        <stp/>
        <stp>EM_S_FA_NETPROFITMARGIN</stp>
        <stp>3</stp>
        <stp>600612</stp>
        <stp>12/31/2018</stp>
        <stp>1</stp>
        <tr r="J2043" s="1"/>
      </tp>
      <tp>
        <v>7.1622089747000004</v>
        <stp/>
        <stp>EM_S_FA_NETPROFITMARGIN</stp>
        <stp>3</stp>
        <stp>603015</stp>
        <stp>12/31/2018</stp>
        <stp>1</stp>
        <tr r="J1933" s="1"/>
      </tp>
      <tp>
        <v>2.5729208373999999</v>
        <stp/>
        <stp>EM_S_FA_NETPROFITMARGIN</stp>
        <stp>3</stp>
        <stp>603315</stp>
        <stp>12/31/2018</stp>
        <stp>1</stp>
        <tr r="J2056" s="1"/>
      </tp>
      <tp>
        <v>11.2390759699</v>
        <stp/>
        <stp>EM_S_FA_NETPROFITMARGIN</stp>
        <stp>3</stp>
        <stp>603515</stp>
        <stp>12/31/2018</stp>
        <stp>1</stp>
        <tr r="J2247" s="1"/>
      </tp>
      <tp>
        <v>8.9674478686000008</v>
        <stp/>
        <stp>EM_S_FA_NETPROFITMARGIN</stp>
        <stp>3</stp>
        <stp>603615</stp>
        <stp>12/31/2018</stp>
        <stp>1</stp>
        <tr r="J1733" s="1"/>
      </tp>
      <tp>
        <v>6.8769391136999998</v>
        <stp/>
        <stp>EM_S_FA_NETPROFITMARGIN</stp>
        <stp>3</stp>
        <stp>002875</stp>
        <stp>12/31/2018</stp>
        <stp>1</stp>
        <tr r="J1887" s="1"/>
      </tp>
      <tp>
        <v>-336.2145568999</v>
        <stp/>
        <stp>EM_S_FA_NETPROFITMARGIN</stp>
        <stp>3</stp>
        <stp>002175</stp>
        <stp>12/31/2018</stp>
        <stp>1</stp>
        <tr r="J3335" s="1"/>
      </tp>
      <tp>
        <v>15.4245036086</v>
        <stp/>
        <stp>EM_S_FA_NETPROFITMARGIN</stp>
        <stp>3</stp>
        <stp>002075</stp>
        <stp>12/31/2018</stp>
        <stp>1</stp>
        <tr r="J3139" s="1"/>
      </tp>
      <tp>
        <v>4.0586860195999996</v>
        <stp/>
        <stp>EM_S_FA_NETPROFITMARGIN</stp>
        <stp>3</stp>
        <stp>002375</stp>
        <stp>12/31/2018</stp>
        <stp>1</stp>
        <tr r="J1491" s="1"/>
      </tp>
      <tp>
        <v>26.083992851400001</v>
        <stp/>
        <stp>EM_S_FA_NETPROFITMARGIN</stp>
        <stp>3</stp>
        <stp>002275</stp>
        <stp>12/31/2018</stp>
        <stp>1</stp>
        <tr r="J2210" s="1"/>
      </tp>
      <tp>
        <v>36.343277062399999</v>
        <stp/>
        <stp>EM_S_FA_NETPROFITMARGIN</stp>
        <stp>3</stp>
        <stp>002575</stp>
        <stp>12/31/2018</stp>
        <stp>1</stp>
        <tr r="J2631" s="1"/>
      </tp>
      <tp>
        <v>7.8475402377999997</v>
        <stp/>
        <stp>EM_S_FA_NETPROFITMARGIN</stp>
        <stp>3</stp>
        <stp>002475</stp>
        <stp>12/31/2018</stp>
        <stp>1</stp>
        <tr r="J81" s="1"/>
      </tp>
      <tp>
        <v>8.7586208503999998</v>
        <stp/>
        <stp>EM_S_FA_NETPROFITMARGIN</stp>
        <stp>3</stp>
        <stp>002775</stp>
        <stp>12/31/2018</stp>
        <stp>1</stp>
        <tr r="J2512" s="1"/>
      </tp>
      <tp>
        <v>16.6661848615</v>
        <stp/>
        <stp>EM_S_FA_NETPROFITMARGIN</stp>
        <stp>3</stp>
        <stp>002675</stp>
        <stp>12/31/2018</stp>
        <stp>1</stp>
        <tr r="J177" s="1"/>
      </tp>
      <tp>
        <v>4.3422633631999998</v>
        <stp/>
        <stp>EM_S_FA_NETPROFITMARGIN</stp>
        <stp>3</stp>
        <stp>601015</stp>
        <stp>12/31/2018</stp>
        <stp>1</stp>
        <tr r="J3317" s="1"/>
      </tp>
      <tp>
        <v>22.808179726399999</v>
        <stp/>
        <stp>EM_S_FA_NETPROFITMARGIN</stp>
        <stp>3</stp>
        <stp>601515</stp>
        <stp>12/31/2018</stp>
        <stp>1</stp>
        <tr r="J2559" s="1"/>
      </tp>
      <tp>
        <v>15.9628359043</v>
        <stp/>
        <stp>EM_S_FA_NETPROFITMARGIN</stp>
        <stp>3</stp>
        <stp>000975</stp>
        <stp>12/31/2018</stp>
        <stp>1</stp>
        <tr r="J930" s="1"/>
      </tp>
      <tp>
        <v>3.4487223671999998</v>
        <stp/>
        <stp>EM_S_FA_NETPROFITMARGIN</stp>
        <stp>3</stp>
        <stp>000875</stp>
        <stp>12/31/2018</stp>
        <stp>1</stp>
        <tr r="J1036" s="1"/>
      </tp>
      <tp>
        <v>-24.043392022500001</v>
        <stp/>
        <stp>EM_S_FA_NETPROFITMARGIN</stp>
        <stp>3</stp>
        <stp>600815</stp>
        <stp>12/31/2018</stp>
        <stp>1</stp>
        <tr r="J2476" s="1"/>
      </tp>
      <tp>
        <v>10.273310304500001</v>
        <stp/>
        <stp>EM_S_FA_NETPROFITMARGIN</stp>
        <stp>3</stp>
        <stp>300145</stp>
        <stp>12/31/2018</stp>
        <stp>1</stp>
        <tr r="J1801" s="1"/>
      </tp>
      <tp>
        <v>2.5589489254000002</v>
        <stp/>
        <stp>EM_S_FA_NETPROFITMARGIN</stp>
        <stp>3</stp>
        <stp>600115</stp>
        <stp>12/31/2018</stp>
        <stp>1</stp>
        <tr r="J1172" s="1"/>
      </tp>
      <tp>
        <v>17.583409851399999</v>
        <stp/>
        <stp>EM_S_FA_NETPROFITMARGIN</stp>
        <stp>3</stp>
        <stp>300045</stp>
        <stp>12/31/2018</stp>
        <stp>1</stp>
        <tr r="J1141" s="1"/>
      </tp>
      <tp>
        <v>29.055616320799999</v>
        <stp/>
        <stp>EM_S_FA_NETPROFITMARGIN</stp>
        <stp>3</stp>
        <stp>600015</stp>
        <stp>12/31/2018</stp>
        <stp>1</stp>
        <tr r="J2083" s="1"/>
      </tp>
      <tp>
        <v>-285.16375796459999</v>
        <stp/>
        <stp>EM_S_FA_NETPROFITMARGIN</stp>
        <stp>3</stp>
        <stp>300345</stp>
        <stp>12/31/2018</stp>
        <stp>1</stp>
        <tr r="J115" s="1"/>
      </tp>
      <tp>
        <v>7.5705236933000002</v>
        <stp/>
        <stp>EM_S_FA_NETPROFITMARGIN</stp>
        <stp>3</stp>
        <stp>600315</stp>
        <stp>12/31/2018</stp>
        <stp>1</stp>
        <tr r="J1565" s="1"/>
      </tp>
      <tp>
        <v>14.6126320879</v>
        <stp/>
        <stp>EM_S_FA_NETPROFITMARGIN</stp>
        <stp>3</stp>
        <stp>300245</stp>
        <stp>12/31/2018</stp>
        <stp>1</stp>
        <tr r="J1646" s="1"/>
      </tp>
      <tp>
        <v>16.5906764271</v>
        <stp/>
        <stp>EM_S_FA_NETPROFITMARGIN</stp>
        <stp>3</stp>
        <stp>600215</stp>
        <stp>12/31/2018</stp>
        <stp>1</stp>
        <tr r="J2571" s="1"/>
      </tp>
      <tp>
        <v>12.849821459999999</v>
        <stp/>
        <stp>EM_S_FA_NETPROFITMARGIN</stp>
        <stp>3</stp>
        <stp>300545</stp>
        <stp>12/31/2018</stp>
        <stp>1</stp>
        <tr r="J1071" s="1"/>
      </tp>
      <tp>
        <v>15.7912088651</v>
        <stp/>
        <stp>EM_S_FA_NETPROFITMARGIN</stp>
        <stp>3</stp>
        <stp>600515</stp>
        <stp>12/31/2018</stp>
        <stp>1</stp>
        <tr r="J2485" s="1"/>
      </tp>
      <tp>
        <v>30.773521951700001</v>
        <stp/>
        <stp>EM_S_FA_NETPROFITMARGIN</stp>
        <stp>3</stp>
        <stp>300445</stp>
        <stp>12/31/2018</stp>
        <stp>1</stp>
        <tr r="J314" s="1"/>
      </tp>
      <tp>
        <v>28.988396786100001</v>
        <stp/>
        <stp>EM_S_FA_NETPROFITMARGIN</stp>
        <stp>3</stp>
        <stp>600415</stp>
        <stp>12/31/2018</stp>
        <stp>1</stp>
        <tr r="J1685" s="1"/>
      </tp>
      <tp>
        <v>11.4993329627</v>
        <stp/>
        <stp>EM_S_FA_NETPROFITMARGIN</stp>
        <stp>3</stp>
        <stp>300745</stp>
        <stp>12/31/2018</stp>
        <stp>1</stp>
        <tr r="J3282" s="1"/>
      </tp>
      <tp>
        <v>-33.395181061000002</v>
        <stp/>
        <stp>EM_S_FA_NETPROFITMARGIN</stp>
        <stp>3</stp>
        <stp>600715</stp>
        <stp>12/31/2018</stp>
        <stp>1</stp>
        <tr r="J3118" s="1"/>
      </tp>
      <tp>
        <v>1874.7974886070001</v>
        <stp/>
        <stp>EM_S_FA_NETPROFITMARGIN</stp>
        <stp>3</stp>
        <stp>000675</stp>
        <stp>12/31/2018</stp>
        <stp>1</stp>
        <tr r="J3504" s="1"/>
      </tp>
      <tp>
        <v>8.8443630801000008</v>
        <stp/>
        <stp>EM_S_FA_NETPROFITMARGIN</stp>
        <stp>3</stp>
        <stp>300645</stp>
        <stp>12/31/2018</stp>
        <stp>1</stp>
        <tr r="J3374" s="1"/>
      </tp>
      <tp>
        <v>11.3276099595</v>
        <stp/>
        <stp>EM_S_FA_NETPROFITMARGIN</stp>
        <stp>3</stp>
        <stp>600615</stp>
        <stp>12/31/2018</stp>
        <stp>1</stp>
        <tr r="J1631" s="1"/>
      </tp>
      <tp>
        <v>6.1227678674000003</v>
        <stp/>
        <stp>EM_S_FA_NETPROFITMARGIN</stp>
        <stp>3</stp>
        <stp>603214</stp>
        <stp>12/31/2018</stp>
        <stp>1</stp>
        <tr r="J1650" s="1"/>
      </tp>
      <tp>
        <v>28.240368961800002</v>
        <stp/>
        <stp>EM_S_FA_NETPROFITMARGIN</stp>
        <stp>3</stp>
        <stp>002174</stp>
        <stp>12/31/2018</stp>
        <stp>1</stp>
        <tr r="J1138" s="1"/>
      </tp>
      <tp>
        <v>11.345539888199999</v>
        <stp/>
        <stp>EM_S_FA_NETPROFITMARGIN</stp>
        <stp>3</stp>
        <stp>002074</stp>
        <stp>12/31/2018</stp>
        <stp>1</stp>
        <tr r="J1128" s="1"/>
      </tp>
      <tp>
        <v>-63.1508644201</v>
        <stp/>
        <stp>EM_S_FA_NETPROFITMARGIN</stp>
        <stp>3</stp>
        <stp>002374</stp>
        <stp>12/31/2018</stp>
        <stp>1</stp>
        <tr r="J2545" s="1"/>
      </tp>
      <tp>
        <v>2.4651682052999999</v>
        <stp/>
        <stp>EM_S_FA_NETPROFITMARGIN</stp>
        <stp>3</stp>
        <stp>002274</stp>
        <stp>12/31/2018</stp>
        <stp>1</stp>
        <tr r="J999" s="1"/>
      </tp>
      <tp>
        <v>2.2493866837000001</v>
        <stp/>
        <stp>EM_S_FA_NETPROFITMARGIN</stp>
        <stp>3</stp>
        <stp>002574</stp>
        <stp>12/31/2018</stp>
        <stp>1</stp>
        <tr r="J2095" s="1"/>
      </tp>
      <tp>
        <v>3.8333792544</v>
        <stp/>
        <stp>EM_S_FA_NETPROFITMARGIN</stp>
        <stp>3</stp>
        <stp>002474</stp>
        <stp>12/31/2018</stp>
        <stp>1</stp>
        <tr r="J779" s="1"/>
      </tp>
      <tp>
        <v>8.1815274334999994</v>
        <stp/>
        <stp>EM_S_FA_NETPROFITMARGIN</stp>
        <stp>3</stp>
        <stp>002774</stp>
        <stp>12/31/2018</stp>
        <stp>1</stp>
        <tr r="J2622" s="1"/>
      </tp>
      <tp>
        <v>6.4058217011999998</v>
        <stp/>
        <stp>EM_S_FA_NETPROFITMARGIN</stp>
        <stp>3</stp>
        <stp>002674</stp>
        <stp>12/31/2018</stp>
        <stp>1</stp>
        <tr r="J622" s="1"/>
      </tp>
      <tp>
        <v>5.1710428388</v>
        <stp/>
        <stp>EM_S_FA_NETPROFITMARGIN</stp>
        <stp>3</stp>
        <stp>600814</stp>
        <stp>12/31/2018</stp>
        <stp>1</stp>
        <tr r="J2267" s="1"/>
      </tp>
      <tp>
        <v>39.784523865099999</v>
        <stp/>
        <stp>EM_S_FA_NETPROFITMARGIN</stp>
        <stp>3</stp>
        <stp>300144</stp>
        <stp>12/31/2018</stp>
        <stp>1</stp>
        <tr r="J664" s="1"/>
      </tp>
      <tp>
        <v>18.085521162900001</v>
        <stp/>
        <stp>EM_S_FA_NETPROFITMARGIN</stp>
        <stp>3</stp>
        <stp>600114</stp>
        <stp>12/31/2018</stp>
        <stp>1</stp>
        <tr r="J729" s="1"/>
      </tp>
      <tp>
        <v>5.8329843706000002</v>
        <stp/>
        <stp>EM_S_FA_NETPROFITMARGIN</stp>
        <stp>3</stp>
        <stp>300044</stp>
        <stp>12/31/2018</stp>
        <stp>1</stp>
        <tr r="J1874" s="1"/>
      </tp>
      <tp>
        <v>6.8092229751</v>
        <stp/>
        <stp>EM_S_FA_NETPROFITMARGIN</stp>
        <stp>3</stp>
        <stp>300344</stp>
        <stp>12/31/2018</stp>
        <stp>1</stp>
        <tr r="J2757" s="1"/>
      </tp>
      <tp>
        <v>8.4465903721999993</v>
        <stp/>
        <stp>EM_S_FA_NETPROFITMARGIN</stp>
        <stp>3</stp>
        <stp>300244</stp>
        <stp>12/31/2018</stp>
        <stp>1</stp>
        <tr r="J671" s="1"/>
      </tp>
      <tp>
        <v>8.6273700517999998</v>
        <stp/>
        <stp>EM_S_FA_NETPROFITMARGIN</stp>
        <stp>3</stp>
        <stp>300444</stp>
        <stp>12/31/2018</stp>
        <stp>1</stp>
        <tr r="J3128" s="1"/>
      </tp>
      <tp>
        <v>14.468046106999999</v>
        <stp/>
        <stp>EM_S_FA_NETPROFITMARGIN</stp>
        <stp>3</stp>
        <stp>600714</stp>
        <stp>12/31/2018</stp>
        <stp>1</stp>
        <tr r="J2212" s="1"/>
      </tp>
      <tp>
        <v>2.2055502768999999</v>
        <stp/>
        <stp>EM_S_FA_NETPROFITMARGIN</stp>
        <stp>3</stp>
        <stp>300644</stp>
        <stp>12/31/2018</stp>
        <stp>1</stp>
        <tr r="J2969" s="1"/>
      </tp>
      <tp>
        <v>-176.7420109995</v>
        <stp/>
        <stp>EM_S_FA_NETPROFITMARGIN</stp>
        <stp>3</stp>
        <stp>600614</stp>
        <stp>12/31/2018</stp>
        <stp>1</stp>
        <tr r="J3373" s="1"/>
      </tp>
      <tp>
        <v>16.0370047796</v>
        <stp/>
        <stp>EM_S_FA_NETPROFITMARGIN</stp>
        <stp>3</stp>
        <stp>603917</stp>
        <stp>12/31/2018</stp>
        <stp>1</stp>
        <tr r="J2852" s="1"/>
      </tp>
      <tp>
        <v>24.531567206199998</v>
        <stp/>
        <stp>EM_S_FA_NETPROFITMARGIN</stp>
        <stp>3</stp>
        <stp>603817</stp>
        <stp>12/31/2018</stp>
        <stp>1</stp>
        <tr r="J1638" s="1"/>
      </tp>
      <tp>
        <v>13.8193459238</v>
        <stp/>
        <stp>EM_S_FA_NETPROFITMARGIN</stp>
        <stp>3</stp>
        <stp>603117</stp>
        <stp>12/31/2018</stp>
        <stp>1</stp>
        <tr r="J1955" s="1"/>
      </tp>
      <tp>
        <v>9.5957488931999997</v>
        <stp/>
        <stp>EM_S_FA_NETPROFITMARGIN</stp>
        <stp>3</stp>
        <stp>603017</stp>
        <stp>12/31/2018</stp>
        <stp>1</stp>
        <tr r="J1945" s="1"/>
      </tp>
      <tp>
        <v>14.436701765800001</v>
        <stp/>
        <stp>EM_S_FA_NETPROFITMARGIN</stp>
        <stp>3</stp>
        <stp>603517</stp>
        <stp>12/31/2018</stp>
        <stp>1</stp>
        <tr r="J793" s="1"/>
      </tp>
      <tp>
        <v>8.7447977754000004</v>
        <stp/>
        <stp>EM_S_FA_NETPROFITMARGIN</stp>
        <stp>3</stp>
        <stp>603717</stp>
        <stp>12/31/2018</stp>
        <stp>1</stp>
        <tr r="J2608" s="1"/>
      </tp>
      <tp>
        <v>10.794753870299999</v>
        <stp/>
        <stp>EM_S_FA_NETPROFITMARGIN</stp>
        <stp>3</stp>
        <stp>603617</stp>
        <stp>12/31/2018</stp>
        <stp>1</stp>
        <tr r="J2807" s="1"/>
      </tp>
      <tp>
        <v>16.7646842722</v>
        <stp/>
        <stp>EM_S_FA_NETPROFITMARGIN</stp>
        <stp>3</stp>
        <stp>002877</stp>
        <stp>12/31/2018</stp>
        <stp>1</stp>
        <tr r="J3315" s="1"/>
      </tp>
      <tp>
        <v>-24.052315674100001</v>
        <stp/>
        <stp>EM_S_FA_NETPROFITMARGIN</stp>
        <stp>3</stp>
        <stp>002177</stp>
        <stp>12/31/2018</stp>
        <stp>1</stp>
        <tr r="J284" s="1"/>
      </tp>
      <tp>
        <v>-33.735142698700002</v>
        <stp/>
        <stp>EM_S_FA_NETPROFITMARGIN</stp>
        <stp>3</stp>
        <stp>002077</stp>
        <stp>12/31/2018</stp>
        <stp>1</stp>
        <tr r="J3627" s="1"/>
      </tp>
      <tp>
        <v>6.8580266166000001</v>
        <stp/>
        <stp>EM_S_FA_NETPROFITMARGIN</stp>
        <stp>3</stp>
        <stp>002377</stp>
        <stp>12/31/2018</stp>
        <stp>1</stp>
        <tr r="J2493" s="1"/>
      </tp>
      <tp>
        <v>5.3704994430999999</v>
        <stp/>
        <stp>EM_S_FA_NETPROFITMARGIN</stp>
        <stp>3</stp>
        <stp>002277</stp>
        <stp>12/31/2018</stp>
        <stp>1</stp>
        <tr r="J2034" s="1"/>
      </tp>
      <tp>
        <v>1.6467201048</v>
        <stp/>
        <stp>EM_S_FA_NETPROFITMARGIN</stp>
        <stp>3</stp>
        <stp>002577</stp>
        <stp>12/31/2018</stp>
        <stp>1</stp>
        <tr r="J919" s="1"/>
      </tp>
      <tp>
        <v>-116.71452316</v>
        <stp/>
        <stp>EM_S_FA_NETPROFITMARGIN</stp>
        <stp>3</stp>
        <stp>002477</stp>
        <stp>12/31/2018</stp>
        <stp>1</stp>
        <tr r="J3410" s="1"/>
      </tp>
      <tp>
        <v>15.329457062199999</v>
        <stp/>
        <stp>EM_S_FA_NETPROFITMARGIN</stp>
        <stp>3</stp>
        <stp>002777</stp>
        <stp>12/31/2018</stp>
        <stp>1</stp>
        <tr r="J647" s="1"/>
      </tp>
      <tp>
        <v>26.9487622101</v>
        <stp/>
        <stp>EM_S_FA_NETPROFITMARGIN</stp>
        <stp>3</stp>
        <stp>002677</stp>
        <stp>12/31/2018</stp>
        <stp>1</stp>
        <tr r="J839" s="1"/>
      </tp>
      <tp>
        <v>2.5539145888000001</v>
        <stp/>
        <stp>EM_S_FA_NETPROFITMARGIN</stp>
        <stp>3</stp>
        <stp>601117</stp>
        <stp>12/31/2018</stp>
        <stp>1</stp>
        <tr r="J1279" s="1"/>
      </tp>
      <tp>
        <v>3.6095537653999998</v>
        <stp/>
        <stp>EM_S_FA_NETPROFITMARGIN</stp>
        <stp>3</stp>
        <stp>601717</stp>
        <stp>12/31/2018</stp>
        <stp>1</stp>
        <tr r="J1407" s="1"/>
      </tp>
      <tp>
        <v>1.3875920407</v>
        <stp/>
        <stp>EM_S_FA_NETPROFITMARGIN</stp>
        <stp>3</stp>
        <stp>000977</stp>
        <stp>12/31/2018</stp>
        <stp>1</stp>
        <tr r="J206" s="1"/>
      </tp>
      <tp>
        <v>5.7786274877999997</v>
        <stp/>
        <stp>EM_S_FA_NETPROFITMARGIN</stp>
        <stp>3</stp>
        <stp>600917</stp>
        <stp>12/31/2018</stp>
        <stp>1</stp>
        <tr r="J2163" s="1"/>
      </tp>
      <tp>
        <v>15.608378714800001</v>
        <stp/>
        <stp>EM_S_FA_NETPROFITMARGIN</stp>
        <stp>3</stp>
        <stp>000877</stp>
        <stp>12/31/2018</stp>
        <stp>1</stp>
        <tr r="J407" s="1"/>
      </tp>
      <tp>
        <v>12.5974178358</v>
        <stp/>
        <stp>EM_S_FA_NETPROFITMARGIN</stp>
        <stp>3</stp>
        <stp>600817</stp>
        <stp>12/31/2018</stp>
        <stp>1</stp>
        <tr r="J2126" s="1"/>
      </tp>
      <tp>
        <v>3.5128553077000002</v>
        <stp/>
        <stp>EM_S_FA_NETPROFITMARGIN</stp>
        <stp>3</stp>
        <stp>300147</stp>
        <stp>12/31/2018</stp>
        <stp>1</stp>
        <tr r="J905" s="1"/>
      </tp>
      <tp>
        <v>-30.031826036599998</v>
        <stp/>
        <stp>EM_S_FA_NETPROFITMARGIN</stp>
        <stp>3</stp>
        <stp>600117</stp>
        <stp>12/31/2018</stp>
        <stp>1</stp>
        <tr r="J2068" s="1"/>
      </tp>
      <tp>
        <v>6.4892341463000003</v>
        <stp/>
        <stp>EM_S_FA_NETPROFITMARGIN</stp>
        <stp>3</stp>
        <stp>300047</stp>
        <stp>12/31/2018</stp>
        <stp>1</stp>
        <tr r="J3200" s="1"/>
      </tp>
      <tp>
        <v>14.332602040199999</v>
        <stp/>
        <stp>EM_S_FA_NETPROFITMARGIN</stp>
        <stp>3</stp>
        <stp>600017</stp>
        <stp>12/31/2018</stp>
        <stp>1</stp>
        <tr r="J1986" s="1"/>
      </tp>
      <tp>
        <v>22.028341118899998</v>
        <stp/>
        <stp>EM_S_FA_NETPROFITMARGIN</stp>
        <stp>3</stp>
        <stp>300347</stp>
        <stp>12/31/2018</stp>
        <stp>1</stp>
        <tr r="J672" s="1"/>
      </tp>
      <tp>
        <v>21.515655380599998</v>
        <stp/>
        <stp>EM_S_FA_NETPROFITMARGIN</stp>
        <stp>3</stp>
        <stp>600317</stp>
        <stp>12/31/2018</stp>
        <stp>1</stp>
        <tr r="J1634" s="1"/>
      </tp>
      <tp>
        <v>-74.239622545100005</v>
        <stp/>
        <stp>EM_S_FA_NETPROFITMARGIN</stp>
        <stp>3</stp>
        <stp>300247</stp>
        <stp>12/31/2018</stp>
        <stp>1</stp>
        <tr r="J2984" s="1"/>
      </tp>
      <tp>
        <v>10.2568092768</v>
        <stp/>
        <stp>EM_S_FA_NETPROFITMARGIN</stp>
        <stp>3</stp>
        <stp>600217</stp>
        <stp>12/31/2018</stp>
        <stp>1</stp>
        <tr r="J1105" s="1"/>
      </tp>
      <tp>
        <v>22.4681800183</v>
        <stp/>
        <stp>EM_S_FA_NETPROFITMARGIN</stp>
        <stp>3</stp>
        <stp>300547</stp>
        <stp>12/31/2018</stp>
        <stp>1</stp>
        <tr r="J3328" s="1"/>
      </tp>
      <tp>
        <v>0.1665279767</v>
        <stp/>
        <stp>EM_S_FA_NETPROFITMARGIN</stp>
        <stp>3</stp>
        <stp>600517</stp>
        <stp>12/31/2018</stp>
        <stp>1</stp>
        <tr r="J72" s="1"/>
      </tp>
      <tp>
        <v>-38.317180330200003</v>
        <stp/>
        <stp>EM_S_FA_NETPROFITMARGIN</stp>
        <stp>3</stp>
        <stp>300447</stp>
        <stp>12/31/2018</stp>
        <stp>1</stp>
        <tr r="J1960" s="1"/>
      </tp>
      <tp>
        <v>8.3980631276000004</v>
        <stp/>
        <stp>EM_S_FA_NETPROFITMARGIN</stp>
        <stp>3</stp>
        <stp>000777</stp>
        <stp>12/31/2018</stp>
        <stp>1</stp>
        <tr r="J1259" s="1"/>
      </tp>
      <tp>
        <v>30.090569427599998</v>
        <stp/>
        <stp>EM_S_FA_NETPROFITMARGIN</stp>
        <stp>3</stp>
        <stp>300747</stp>
        <stp>12/31/2018</stp>
        <stp>1</stp>
        <tr r="J2959" s="1"/>
      </tp>
      <tp>
        <v>7.4943663304000001</v>
        <stp/>
        <stp>EM_S_FA_NETPROFITMARGIN</stp>
        <stp>3</stp>
        <stp>600717</stp>
        <stp>12/31/2018</stp>
        <stp>1</stp>
        <tr r="J2806" s="1"/>
      </tp>
      <tp>
        <v>0.90598625710000003</v>
        <stp/>
        <stp>EM_S_FA_NETPROFITMARGIN</stp>
        <stp>3</stp>
        <stp>000677</stp>
        <stp>12/31/2018</stp>
        <stp>1</stp>
        <tr r="J699" s="1"/>
      </tp>
      <tp>
        <v>5.4065254773999998</v>
        <stp/>
        <stp>EM_S_FA_NETPROFITMARGIN</stp>
        <stp>3</stp>
        <stp>300647</stp>
        <stp>12/31/2018</stp>
        <stp>1</stp>
        <tr r="J2744" s="1"/>
      </tp>
      <tp>
        <v>0.2209202831</v>
        <stp/>
        <stp>EM_S_FA_NETPROFITMARGIN</stp>
        <stp>3</stp>
        <stp>600617</stp>
        <stp>12/31/2018</stp>
        <stp>1</stp>
        <tr r="J2412" s="1"/>
      </tp>
      <tp>
        <v>11.6435926041</v>
        <stp/>
        <stp>EM_S_FA_NETPROFITMARGIN</stp>
        <stp>3</stp>
        <stp>603916</stp>
        <stp>12/31/2018</stp>
        <stp>1</stp>
        <tr r="J639" s="1"/>
      </tp>
      <tp>
        <v>10.9740248536</v>
        <stp/>
        <stp>EM_S_FA_NETPROFITMARGIN</stp>
        <stp>3</stp>
        <stp>603816</stp>
        <stp>12/31/2018</stp>
        <stp>1</stp>
        <tr r="J2230" s="1"/>
      </tp>
      <tp>
        <v>6.3363601181</v>
        <stp/>
        <stp>EM_S_FA_NETPROFITMARGIN</stp>
        <stp>3</stp>
        <stp>603116</stp>
        <stp>12/31/2018</stp>
        <stp>1</stp>
        <tr r="J2418" s="1"/>
      </tp>
      <tp>
        <v>15.3630312053</v>
        <stp/>
        <stp>EM_S_FA_NETPROFITMARGIN</stp>
        <stp>3</stp>
        <stp>603016</stp>
        <stp>12/31/2018</stp>
        <stp>1</stp>
        <tr r="J2520" s="1"/>
      </tp>
      <tp>
        <v>7.2733351443999998</v>
        <stp/>
        <stp>EM_S_FA_NETPROFITMARGIN</stp>
        <stp>3</stp>
        <stp>603316</stp>
        <stp>12/31/2018</stp>
        <stp>1</stp>
        <tr r="J1325" s="1"/>
      </tp>
      <tp>
        <v>30.7812589784</v>
        <stp/>
        <stp>EM_S_FA_NETPROFITMARGIN</stp>
        <stp>3</stp>
        <stp>603516</stp>
        <stp>12/31/2018</stp>
        <stp>1</stp>
        <tr r="J366" s="1"/>
      </tp>
      <tp>
        <v>25.175222913799999</v>
        <stp/>
        <stp>EM_S_FA_NETPROFITMARGIN</stp>
        <stp>3</stp>
        <stp>603416</stp>
        <stp>12/31/2018</stp>
        <stp>1</stp>
        <tr r="J745" s="1"/>
      </tp>
      <tp>
        <v>8.8373837819999999</v>
        <stp/>
        <stp>EM_S_FA_NETPROFITMARGIN</stp>
        <stp>3</stp>
        <stp>603716</stp>
        <stp>12/31/2018</stp>
        <stp>1</stp>
        <tr r="J2838" s="1"/>
      </tp>
      <tp>
        <v>2.1230779618</v>
        <stp/>
        <stp>EM_S_FA_NETPROFITMARGIN</stp>
        <stp>3</stp>
        <stp>603616</stp>
        <stp>12/31/2018</stp>
        <stp>1</stp>
        <tr r="J3209" s="1"/>
      </tp>
      <tp>
        <v>3.0885848107</v>
        <stp/>
        <stp>EM_S_FA_NETPROFITMARGIN</stp>
        <stp>3</stp>
        <stp>002876</stp>
        <stp>12/31/2018</stp>
        <stp>1</stp>
        <tr r="J487" s="1"/>
      </tp>
      <tp>
        <v>-55.677265541200001</v>
        <stp/>
        <stp>EM_S_FA_NETPROFITMARGIN</stp>
        <stp>3</stp>
        <stp>002176</stp>
        <stp>12/31/2018</stp>
        <stp>1</stp>
        <tr r="J3286" s="1"/>
      </tp>
      <tp>
        <v>-153.77334917889999</v>
        <stp/>
        <stp>EM_S_FA_NETPROFITMARGIN</stp>
        <stp>3</stp>
        <stp>002076</stp>
        <stp>12/31/2018</stp>
        <stp>1</stp>
        <tr r="J3626" s="1"/>
      </tp>
      <tp>
        <v>15.746409699299999</v>
        <stp/>
        <stp>EM_S_FA_NETPROFITMARGIN</stp>
        <stp>3</stp>
        <stp>002376</stp>
        <stp>12/31/2018</stp>
        <stp>1</stp>
        <tr r="J3097" s="1"/>
      </tp>
      <tp>
        <v>1.3180826032999999</v>
        <stp/>
        <stp>EM_S_FA_NETPROFITMARGIN</stp>
        <stp>3</stp>
        <stp>002276</stp>
        <stp>12/31/2018</stp>
        <stp>1</stp>
        <tr r="J361" s="1"/>
      </tp>
      <tp>
        <v>1.3251734545</v>
        <stp/>
        <stp>EM_S_FA_NETPROFITMARGIN</stp>
        <stp>3</stp>
        <stp>002576</stp>
        <stp>12/31/2018</stp>
        <stp>1</stp>
        <tr r="J2458" s="1"/>
      </tp>
      <tp>
        <v>-58.700062347799999</v>
        <stp/>
        <stp>EM_S_FA_NETPROFITMARGIN</stp>
        <stp>3</stp>
        <stp>002476</stp>
        <stp>12/31/2018</stp>
        <stp>1</stp>
        <tr r="J660" s="1"/>
      </tp>
      <tp>
        <v>18.2608316237</v>
        <stp/>
        <stp>EM_S_FA_NETPROFITMARGIN</stp>
        <stp>3</stp>
        <stp>002776</stp>
        <stp>12/31/2018</stp>
        <stp>1</stp>
        <tr r="J3377" s="1"/>
      </tp>
      <tp>
        <v>0.429134022</v>
        <stp/>
        <stp>EM_S_FA_NETPROFITMARGIN</stp>
        <stp>3</stp>
        <stp>002676</stp>
        <stp>12/31/2018</stp>
        <stp>1</stp>
        <tr r="J1749" s="1"/>
      </tp>
      <tp>
        <v>2.7004311182</v>
        <stp/>
        <stp>EM_S_FA_NETPROFITMARGIN</stp>
        <stp>3</stp>
        <stp>601116</stp>
        <stp>12/31/2018</stp>
        <stp>1</stp>
        <tr r="J1294" s="1"/>
      </tp>
      <tp>
        <v>25.128221009299999</v>
        <stp/>
        <stp>EM_S_FA_NETPROFITMARGIN</stp>
        <stp>3</stp>
        <stp>601016</stp>
        <stp>12/31/2018</stp>
        <stp>1</stp>
        <tr r="J2133" s="1"/>
      </tp>
      <tp>
        <v>26.903231939299999</v>
        <stp/>
        <stp>EM_S_FA_NETPROFITMARGIN</stp>
        <stp>3</stp>
        <stp>601216</stp>
        <stp>12/31/2018</stp>
        <stp>1</stp>
        <tr r="J1321" s="1"/>
      </tp>
      <tp>
        <v>21.150951002199999</v>
        <stp/>
        <stp>EM_S_FA_NETPROFITMARGIN</stp>
        <stp>3</stp>
        <stp>601616</stp>
        <stp>12/31/2018</stp>
        <stp>1</stp>
        <tr r="J2516" s="1"/>
      </tp>
      <tp>
        <v>7.7025900226999999</v>
        <stp/>
        <stp>EM_S_FA_NETPROFITMARGIN</stp>
        <stp>3</stp>
        <stp>000976</stp>
        <stp>12/31/2018</stp>
        <stp>1</stp>
        <tr r="J3591" s="1"/>
      </tp>
      <tp>
        <v>3.9410312283</v>
        <stp/>
        <stp>EM_S_FA_NETPROFITMARGIN</stp>
        <stp>3</stp>
        <stp>000876</stp>
        <stp>12/31/2018</stp>
        <stp>1</stp>
        <tr r="J64" s="1"/>
      </tp>
      <tp>
        <v>-896.11675118719995</v>
        <stp/>
        <stp>EM_S_FA_NETPROFITMARGIN</stp>
        <stp>3</stp>
        <stp>600816</stp>
        <stp>12/31/2018</stp>
        <stp>1</stp>
        <tr r="J2137" s="1"/>
      </tp>
      <tp>
        <v>20.879765919699999</v>
        <stp/>
        <stp>EM_S_FA_NETPROFITMARGIN</stp>
        <stp>3</stp>
        <stp>300146</stp>
        <stp>12/31/2018</stp>
        <stp>1</stp>
        <tr r="J2523" s="1"/>
      </tp>
      <tp>
        <v>15.546314500199999</v>
        <stp/>
        <stp>EM_S_FA_NETPROFITMARGIN</stp>
        <stp>3</stp>
        <stp>600116</stp>
        <stp>12/31/2018</stp>
        <stp>1</stp>
        <tr r="J2123" s="1"/>
      </tp>
      <tp>
        <v>20.514081400399999</v>
        <stp/>
        <stp>EM_S_FA_NETPROFITMARGIN</stp>
        <stp>3</stp>
        <stp>300046</stp>
        <stp>12/31/2018</stp>
        <stp>1</stp>
        <tr r="J595" s="1"/>
      </tp>
      <tp>
        <v>32.104561488599998</v>
        <stp/>
        <stp>EM_S_FA_NETPROFITMARGIN</stp>
        <stp>3</stp>
        <stp>600016</stp>
        <stp>12/31/2018</stp>
        <stp>1</stp>
        <tr r="J1730" s="1"/>
      </tp>
      <tp>
        <v>24.313883554899999</v>
        <stp/>
        <stp>EM_S_FA_NETPROFITMARGIN</stp>
        <stp>3</stp>
        <stp>300346</stp>
        <stp>12/31/2018</stp>
        <stp>1</stp>
        <tr r="J214" s="1"/>
      </tp>
      <tp>
        <v>6.1737353777999999</v>
        <stp/>
        <stp>EM_S_FA_NETPROFITMARGIN</stp>
        <stp>3</stp>
        <stp>600316</stp>
        <stp>12/31/2018</stp>
        <stp>1</stp>
        <tr r="J937" s="1"/>
      </tp>
      <tp>
        <v>9.6187177345000006</v>
        <stp/>
        <stp>EM_S_FA_NETPROFITMARGIN</stp>
        <stp>3</stp>
        <stp>300246</stp>
        <stp>12/31/2018</stp>
        <stp>1</stp>
        <tr r="J740" s="1"/>
      </tp>
      <tp>
        <v>4.7706397467999997</v>
        <stp/>
        <stp>EM_S_FA_NETPROFITMARGIN</stp>
        <stp>3</stp>
        <stp>600216</stp>
        <stp>12/31/2018</stp>
        <stp>1</stp>
        <tr r="J597" s="1"/>
      </tp>
      <tp>
        <v>26.292836776400001</v>
        <stp/>
        <stp>EM_S_FA_NETPROFITMARGIN</stp>
        <stp>3</stp>
        <stp>000576</stp>
        <stp>12/31/2018</stp>
        <stp>1</stp>
        <tr r="J1024" s="1"/>
      </tp>
      <tp>
        <v>17.959917882900001</v>
        <stp/>
        <stp>EM_S_FA_NETPROFITMARGIN</stp>
        <stp>3</stp>
        <stp>300546</stp>
        <stp>12/31/2018</stp>
        <stp>1</stp>
        <tr r="J1654" s="1"/>
      </tp>
      <tp>
        <v>51.397117134699997</v>
        <stp/>
        <stp>EM_S_FA_NETPROFITMARGIN</stp>
        <stp>3</stp>
        <stp>600516</stp>
        <stp>12/31/2018</stp>
        <stp>1</stp>
        <tr r="J3163" s="1"/>
      </tp>
      <tp>
        <v>38.971087380299998</v>
        <stp/>
        <stp>EM_S_FA_NETPROFITMARGIN</stp>
        <stp>3</stp>
        <stp>300446</stp>
        <stp>12/31/2018</stp>
        <stp>1</stp>
        <tr r="J1334" s="1"/>
      </tp>
      <tp>
        <v>-32.083303812899999</v>
        <stp/>
        <stp>EM_S_FA_NETPROFITMARGIN</stp>
        <stp>3</stp>
        <stp>600416</stp>
        <stp>12/31/2018</stp>
        <stp>1</stp>
        <tr r="J795" s="1"/>
      </tp>
      <tp>
        <v>30.333542184999999</v>
        <stp/>
        <stp>EM_S_FA_NETPROFITMARGIN</stp>
        <stp>3</stp>
        <stp>000776</stp>
        <stp>12/31/2018</stp>
        <stp>1</stp>
        <tr r="J3534" s="1"/>
      </tp>
      <tp>
        <v>8.0321250434000007</v>
        <stp/>
        <stp>EM_S_FA_NETPROFITMARGIN</stp>
        <stp>3</stp>
        <stp>300746</stp>
        <stp>12/31/2018</stp>
        <stp>1</stp>
        <tr r="J3170" s="1"/>
      </tp>
      <tp>
        <v>76.240934167299997</v>
        <stp/>
        <stp>EM_S_FA_NETPROFITMARGIN</stp>
        <stp>3</stp>
        <stp>600716</stp>
        <stp>12/31/2018</stp>
        <stp>1</stp>
        <tr r="J954" s="1"/>
      </tp>
      <tp>
        <v>9.3205487102000006</v>
        <stp/>
        <stp>EM_S_FA_NETPROFITMARGIN</stp>
        <stp>3</stp>
        <stp>000676</stp>
        <stp>12/31/2018</stp>
        <stp>1</stp>
        <tr r="J2517" s="1"/>
      </tp>
      <tp>
        <v>0</v>
        <stp/>
        <stp>EM_S_FA_NETPROFITMARGIN</stp>
        <stp>3</stp>
        <stp>300646</stp>
        <stp>12/31/2018</stp>
        <stp>1</stp>
        <tr r="J10" s="1"/>
      </tp>
      <tp>
        <v>-8.0641455250000007</v>
        <stp/>
        <stp>EM_S_FA_NETPROFITMARGIN</stp>
        <stp>3</stp>
        <stp>600616</stp>
        <stp>12/31/2018</stp>
        <stp>1</stp>
        <tr r="J2035" s="1"/>
      </tp>
      <tp>
        <v>17170246773</v>
        <stp/>
        <stp>EM_S_SHARE_LIQA</stp>
        <stp>2</stp>
        <stp>000001</stp>
        <stp>12/31/2018</stp>
        <tr r="S265" s="1"/>
      </tp>
      <tp>
        <v>191862481</v>
        <stp/>
        <stp>EM_S_SHARE_LIQA</stp>
        <stp>2</stp>
        <stp>000003</stp>
        <stp>12/31/2018</stp>
        <tr r="S2271" s="1"/>
      </tp>
      <tp>
        <v>9715170043</v>
        <stp/>
        <stp>EM_S_SHARE_LIQA</stp>
        <stp>2</stp>
        <stp>000002</stp>
        <stp>12/31/2018</stp>
        <tr r="S725" s="1"/>
      </tp>
      <tp>
        <v>10.339024004132609</v>
        <stp/>
        <stp>EM_S_FA_ROE_TTM</stp>
        <stp>3</stp>
        <stp>000001</stp>
        <stp>12/31/2018</stp>
        <stp>1</stp>
        <tr r="AQ265" s="1"/>
      </tp>
      <tp>
        <v>2.3157233274000002</v>
        <stp/>
        <stp>EM_S_FA_YOY_OR</stp>
        <stp>2</stp>
        <stp>002885</stp>
        <stp>12/31/2018</stp>
        <tr r="H3090" s="1"/>
      </tp>
      <tp>
        <v>12.273477592500001</v>
        <stp/>
        <stp>EM_S_FA_YOY_OR</stp>
        <stp>2</stp>
        <stp>002884</stp>
        <stp>12/31/2018</stp>
        <tr r="H3180" s="1"/>
      </tp>
      <tp>
        <v>-26.560174373300001</v>
        <stp/>
        <stp>EM_S_FA_YOY_OR</stp>
        <stp>2</stp>
        <stp>002887</stp>
        <stp>12/31/2018</stp>
        <tr r="H2528" s="1"/>
      </tp>
      <tp>
        <v>5.6526707069000004</v>
        <stp/>
        <stp>EM_S_FA_YOY_OR</stp>
        <stp>2</stp>
        <stp>002886</stp>
        <stp>12/31/2018</stp>
        <tr r="H774" s="1"/>
      </tp>
      <tp>
        <v>54.066389855399997</v>
        <stp/>
        <stp>EM_S_FA_YOY_OR</stp>
        <stp>2</stp>
        <stp>002881</stp>
        <stp>12/31/2018</stp>
        <tr r="H534" s="1"/>
      </tp>
      <tp>
        <v>10.3562248924</v>
        <stp/>
        <stp>EM_S_FA_YOY_OR</stp>
        <stp>2</stp>
        <stp>002880</stp>
        <stp>12/31/2018</stp>
        <tr r="H1086" s="1"/>
      </tp>
      <tp>
        <v>16.466019018200001</v>
        <stp/>
        <stp>EM_S_FA_YOY_OR</stp>
        <stp>2</stp>
        <stp>002883</stp>
        <stp>12/31/2018</stp>
        <tr r="H2216" s="1"/>
      </tp>
      <tp>
        <v>40.278002858599997</v>
        <stp/>
        <stp>EM_S_FA_YOY_OR</stp>
        <stp>2</stp>
        <stp>002882</stp>
        <stp>12/31/2018</stp>
        <tr r="H1759" s="1"/>
      </tp>
      <tp>
        <v>27.235080666799998</v>
        <stp/>
        <stp>EM_S_FA_YOY_OR</stp>
        <stp>2</stp>
        <stp>002889</stp>
        <stp>12/31/2018</stp>
        <tr r="H1842" s="1"/>
      </tp>
      <tp>
        <v>1.0476299849999999</v>
        <stp/>
        <stp>EM_S_FA_YOY_OR</stp>
        <stp>2</stp>
        <stp>002888</stp>
        <stp>12/31/2018</stp>
        <tr r="H1442" s="1"/>
      </tp>
      <tp>
        <v>8.9962743765000006</v>
        <stp/>
        <stp>EM_S_FA_YOY_OR</stp>
        <stp>2</stp>
        <stp>002895</stp>
        <stp>12/31/2018</stp>
        <tr r="H2097" s="1"/>
      </tp>
      <tp>
        <v>14.2093652537</v>
        <stp/>
        <stp>EM_S_FA_YOY_OR</stp>
        <stp>2</stp>
        <stp>002897</stp>
        <stp>12/31/2018</stp>
        <tr r="H887" s="1"/>
      </tp>
      <tp>
        <v>20.2636056411</v>
        <stp/>
        <stp>EM_S_FA_YOY_OR</stp>
        <stp>2</stp>
        <stp>002896</stp>
        <stp>12/31/2018</stp>
        <tr r="H3187" s="1"/>
      </tp>
      <tp>
        <v>39.090559232099999</v>
        <stp/>
        <stp>EM_S_FA_YOY_OR</stp>
        <stp>2</stp>
        <stp>002891</stp>
        <stp>12/31/2018</stp>
        <tr r="H3025" s="1"/>
      </tp>
      <tp>
        <v>-15.575735460600001</v>
        <stp/>
        <stp>EM_S_FA_YOY_OR</stp>
        <stp>2</stp>
        <stp>002890</stp>
        <stp>12/31/2018</stp>
        <tr r="H756" s="1"/>
      </tp>
      <tp>
        <v>5.5616838115</v>
        <stp/>
        <stp>EM_S_FA_YOY_OR</stp>
        <stp>2</stp>
        <stp>002893</stp>
        <stp>12/31/2018</stp>
        <tr r="H3136" s="1"/>
      </tp>
      <tp>
        <v>21.847242986200001</v>
        <stp/>
        <stp>EM_S_FA_YOY_OR</stp>
        <stp>2</stp>
        <stp>002892</stp>
        <stp>12/31/2018</stp>
        <tr r="H1688" s="1"/>
      </tp>
      <tp>
        <v>5.8830275045000002</v>
        <stp/>
        <stp>EM_S_FA_YOY_OR</stp>
        <stp>2</stp>
        <stp>002899</stp>
        <stp>12/31/2018</stp>
        <tr r="H2501" s="1"/>
      </tp>
      <tp>
        <v>19.7832216087</v>
        <stp/>
        <stp>EM_S_FA_YOY_OR</stp>
        <stp>2</stp>
        <stp>002898</stp>
        <stp>12/31/2018</stp>
        <tr r="H2713" s="1"/>
      </tp>
      <tp>
        <v>-17.481053961200001</v>
        <stp/>
        <stp>EM_S_FA_YOY_OR</stp>
        <stp>2</stp>
        <stp>002805</stp>
        <stp>12/31/2018</stp>
        <tr r="H3062" s="1"/>
      </tp>
      <tp>
        <v>27.090137301999999</v>
        <stp/>
        <stp>EM_S_FA_YOY_OR</stp>
        <stp>2</stp>
        <stp>002807</stp>
        <stp>12/31/2018</stp>
        <tr r="H2715" s="1"/>
      </tp>
      <tp>
        <v>47.886594483700001</v>
        <stp/>
        <stp>EM_S_FA_YOY_OR</stp>
        <stp>2</stp>
        <stp>002806</stp>
        <stp>12/31/2018</stp>
        <tr r="H3132" s="1"/>
      </tp>
      <tp>
        <v>13.6985772757</v>
        <stp/>
        <stp>EM_S_FA_YOY_OR</stp>
        <stp>2</stp>
        <stp>002801</stp>
        <stp>12/31/2018</stp>
        <tr r="H345" s="1"/>
      </tp>
      <tp>
        <v>-6.7430773533000004</v>
        <stp/>
        <stp>EM_S_FA_YOY_OR</stp>
        <stp>2</stp>
        <stp>002800</stp>
        <stp>12/31/2018</stp>
        <tr r="H363" s="1"/>
      </tp>
      <tp>
        <v>100.3371810169</v>
        <stp/>
        <stp>EM_S_FA_YOY_OR</stp>
        <stp>2</stp>
        <stp>002803</stp>
        <stp>12/31/2018</stp>
        <tr r="H257" s="1"/>
      </tp>
      <tp>
        <v>33.412300455500002</v>
        <stp/>
        <stp>EM_S_FA_YOY_OR</stp>
        <stp>2</stp>
        <stp>002802</stp>
        <stp>12/31/2018</stp>
        <tr r="H2459" s="1"/>
      </tp>
      <tp>
        <v>47.663243935200001</v>
        <stp/>
        <stp>EM_S_FA_YOY_OR</stp>
        <stp>2</stp>
        <stp>002809</stp>
        <stp>12/31/2018</stp>
        <tr r="H961" s="1"/>
      </tp>
      <tp>
        <v>11.3332223369</v>
        <stp/>
        <stp>EM_S_FA_YOY_OR</stp>
        <stp>2</stp>
        <stp>002808</stp>
        <stp>12/31/2018</stp>
        <tr r="H3161" s="1"/>
      </tp>
      <tp>
        <v>17.8378822514</v>
        <stp/>
        <stp>EM_S_FA_YOY_OR</stp>
        <stp>2</stp>
        <stp>002815</stp>
        <stp>12/31/2018</stp>
        <tr r="H1314" s="1"/>
      </tp>
      <tp>
        <v>3.0612129954</v>
        <stp/>
        <stp>EM_S_FA_YOY_OR</stp>
        <stp>2</stp>
        <stp>002817</stp>
        <stp>12/31/2018</stp>
        <tr r="H851" s="1"/>
      </tp>
      <tp>
        <v>-0.86486058960000001</v>
        <stp/>
        <stp>EM_S_FA_YOY_OR</stp>
        <stp>2</stp>
        <stp>002816</stp>
        <stp>12/31/2018</stp>
        <tr r="H652" s="1"/>
      </tp>
      <tp>
        <v>26.055144095900001</v>
        <stp/>
        <stp>EM_S_FA_YOY_OR</stp>
        <stp>2</stp>
        <stp>002811</stp>
        <stp>12/31/2018</stp>
        <tr r="H2796" s="1"/>
      </tp>
      <tp>
        <v>40.176893503700001</v>
        <stp/>
        <stp>EM_S_FA_YOY_OR</stp>
        <stp>2</stp>
        <stp>002810</stp>
        <stp>12/31/2018</stp>
        <tr r="H1778" s="1"/>
      </tp>
      <tp>
        <v>-2.1912045701</v>
        <stp/>
        <stp>EM_S_FA_YOY_OR</stp>
        <stp>2</stp>
        <stp>002813</stp>
        <stp>12/31/2018</stp>
        <tr r="H2566" s="1"/>
      </tp>
      <tp>
        <v>16.227855974899999</v>
        <stp/>
        <stp>EM_S_FA_YOY_OR</stp>
        <stp>2</stp>
        <stp>002812</stp>
        <stp>12/31/2018</stp>
        <tr r="H2026" s="1"/>
      </tp>
      <tp>
        <v>18.099222541700001</v>
        <stp/>
        <stp>EM_S_FA_YOY_OR</stp>
        <stp>2</stp>
        <stp>002819</stp>
        <stp>12/31/2018</stp>
        <tr r="H1242" s="1"/>
      </tp>
      <tp>
        <v>12.9654209402</v>
        <stp/>
        <stp>EM_S_FA_YOY_OR</stp>
        <stp>2</stp>
        <stp>002818</stp>
        <stp>12/31/2018</stp>
        <tr r="H3300" s="1"/>
      </tp>
      <tp>
        <v>22.659150419300001</v>
        <stp/>
        <stp>EM_S_FA_YOY_OR</stp>
        <stp>2</stp>
        <stp>002825</stp>
        <stp>12/31/2018</stp>
        <tr r="H2522" s="1"/>
      </tp>
      <tp>
        <v>26.590091248299998</v>
        <stp/>
        <stp>EM_S_FA_YOY_OR</stp>
        <stp>2</stp>
        <stp>002824</stp>
        <stp>12/31/2018</stp>
        <tr r="H1249" s="1"/>
      </tp>
      <tp>
        <v>-20.465319645000001</v>
        <stp/>
        <stp>EM_S_FA_YOY_OR</stp>
        <stp>2</stp>
        <stp>002827</stp>
        <stp>12/31/2018</stp>
        <tr r="H3229" s="1"/>
      </tp>
      <tp>
        <v>28.525811024900001</v>
        <stp/>
        <stp>EM_S_FA_YOY_OR</stp>
        <stp>2</stp>
        <stp>002826</stp>
        <stp>12/31/2018</stp>
        <tr r="H2473" s="1"/>
      </tp>
      <tp>
        <v>28.941288932500001</v>
        <stp/>
        <stp>EM_S_FA_YOY_OR</stp>
        <stp>2</stp>
        <stp>002821</stp>
        <stp>12/31/2018</stp>
        <tr r="H209" s="1"/>
      </tp>
      <tp>
        <v>-1.1242578182</v>
        <stp/>
        <stp>EM_S_FA_YOY_OR</stp>
        <stp>2</stp>
        <stp>002820</stp>
        <stp>12/31/2018</stp>
        <tr r="H2429" s="1"/>
      </tp>
      <tp>
        <v>20.637047643799999</v>
        <stp/>
        <stp>EM_S_FA_YOY_OR</stp>
        <stp>2</stp>
        <stp>002823</stp>
        <stp>12/31/2018</stp>
        <tr r="H2753" s="1"/>
      </tp>
      <tp>
        <v>30.655534864300002</v>
        <stp/>
        <stp>EM_S_FA_YOY_OR</stp>
        <stp>2</stp>
        <stp>002822</stp>
        <stp>12/31/2018</stp>
        <tr r="H219" s="1"/>
      </tp>
      <tp>
        <v>-1.7701921592000001</v>
        <stp/>
        <stp>EM_S_FA_YOY_OR</stp>
        <stp>2</stp>
        <stp>002829</stp>
        <stp>12/31/2018</stp>
        <tr r="H1147" s="1"/>
      </tp>
      <tp>
        <v>39.2779816432</v>
        <stp/>
        <stp>EM_S_FA_YOY_OR</stp>
        <stp>2</stp>
        <stp>002828</stp>
        <stp>12/31/2018</stp>
        <tr r="H2577" s="1"/>
      </tp>
      <tp>
        <v>16.7725920962</v>
        <stp/>
        <stp>EM_S_FA_YOY_OR</stp>
        <stp>2</stp>
        <stp>002835</stp>
        <stp>12/31/2018</stp>
        <tr r="H321" s="1"/>
      </tp>
      <tp>
        <v>36.006406753199997</v>
        <stp/>
        <stp>EM_S_FA_YOY_OR</stp>
        <stp>2</stp>
        <stp>002837</stp>
        <stp>12/31/2018</stp>
        <tr r="H1629" s="1"/>
      </tp>
      <tp>
        <v>4.1396862741999998</v>
        <stp/>
        <stp>EM_S_FA_YOY_OR</stp>
        <stp>2</stp>
        <stp>002836</stp>
        <stp>12/31/2018</stp>
        <tr r="H2009" s="1"/>
      </tp>
      <tp>
        <v>23.4681052577</v>
        <stp/>
        <stp>EM_S_FA_YOY_OR</stp>
        <stp>2</stp>
        <stp>002831</stp>
        <stp>12/31/2018</stp>
        <tr r="H3252" s="1"/>
      </tp>
      <tp>
        <v>2.6425004926</v>
        <stp/>
        <stp>EM_S_FA_YOY_OR</stp>
        <stp>2</stp>
        <stp>002830</stp>
        <stp>12/31/2018</stp>
        <tr r="H2632" s="1"/>
      </tp>
      <tp>
        <v>45.587505503999999</v>
        <stp/>
        <stp>EM_S_FA_YOY_OR</stp>
        <stp>2</stp>
        <stp>002833</stp>
        <stp>12/31/2018</stp>
        <tr r="H1553" s="1"/>
      </tp>
      <tp>
        <v>39.957107521300003</v>
        <stp/>
        <stp>EM_S_FA_YOY_OR</stp>
        <stp>2</stp>
        <stp>002832</stp>
        <stp>12/31/2018</stp>
        <tr r="H3123" s="1"/>
      </tp>
      <tp>
        <v>23.983543785999998</v>
        <stp/>
        <stp>EM_S_FA_YOY_OR</stp>
        <stp>2</stp>
        <stp>002839</stp>
        <stp>12/31/2018</stp>
        <tr r="H1722" s="1"/>
      </tp>
      <tp>
        <v>45.868185137899999</v>
        <stp/>
        <stp>EM_S_FA_YOY_OR</stp>
        <stp>2</stp>
        <stp>002838</stp>
        <stp>12/31/2018</stp>
        <tr r="H3303" s="1"/>
      </tp>
      <tp>
        <v>11.784376994300001</v>
        <stp/>
        <stp>EM_S_FA_YOY_OR</stp>
        <stp>2</stp>
        <stp>002845</stp>
        <stp>12/31/2018</stp>
        <tr r="H1899" s="1"/>
      </tp>
      <tp>
        <v>46.807544380400003</v>
        <stp/>
        <stp>EM_S_FA_YOY_OR</stp>
        <stp>2</stp>
        <stp>002847</stp>
        <stp>12/31/2018</stp>
        <tr r="H368" s="1"/>
      </tp>
      <tp>
        <v>78.851298636199999</v>
        <stp/>
        <stp>EM_S_FA_YOY_OR</stp>
        <stp>2</stp>
        <stp>002846</stp>
        <stp>12/31/2018</stp>
        <tr r="H237" s="1"/>
      </tp>
      <tp>
        <v>56.278086852400001</v>
        <stp/>
        <stp>EM_S_FA_YOY_OR</stp>
        <stp>2</stp>
        <stp>002841</stp>
        <stp>12/31/2018</stp>
        <tr r="H563" s="1"/>
      </tp>
      <tp>
        <v>8.5381561753999993</v>
        <stp/>
        <stp>EM_S_FA_YOY_OR</stp>
        <stp>2</stp>
        <stp>002840</stp>
        <stp>12/31/2018</stp>
        <tr r="H1148" s="1"/>
      </tp>
      <tp>
        <v>17.605252619400002</v>
        <stp/>
        <stp>EM_S_FA_YOY_OR</stp>
        <stp>2</stp>
        <stp>002843</stp>
        <stp>12/31/2018</stp>
        <tr r="H3239" s="1"/>
      </tp>
      <tp>
        <v>71.665683106100005</v>
        <stp/>
        <stp>EM_S_FA_YOY_OR</stp>
        <stp>2</stp>
        <stp>002842</stp>
        <stp>12/31/2018</stp>
        <tr r="H2843" s="1"/>
      </tp>
      <tp>
        <v>57.237521863700003</v>
        <stp/>
        <stp>EM_S_FA_YOY_OR</stp>
        <stp>2</stp>
        <stp>002849</stp>
        <stp>12/31/2018</stp>
        <tr r="H2282" s="1"/>
      </tp>
      <tp>
        <v>-26.636333201399999</v>
        <stp/>
        <stp>EM_S_FA_YOY_OR</stp>
        <stp>2</stp>
        <stp>002848</stp>
        <stp>12/31/2018</stp>
        <tr r="H1699" s="1"/>
      </tp>
      <tp>
        <v>44.965526840099997</v>
        <stp/>
        <stp>EM_S_FA_YOY_OR</stp>
        <stp>2</stp>
        <stp>002855</stp>
        <stp>12/31/2018</stp>
        <tr r="H475" s="1"/>
      </tp>
      <tp>
        <v>13.3263767732</v>
        <stp/>
        <stp>EM_S_FA_YOY_OR</stp>
        <stp>2</stp>
        <stp>002857</stp>
        <stp>12/31/2018</stp>
        <tr r="H2140" s="1"/>
      </tp>
      <tp>
        <v>1.2875669087999999</v>
        <stp/>
        <stp>EM_S_FA_YOY_OR</stp>
        <stp>2</stp>
        <stp>002856</stp>
        <stp>12/31/2018</stp>
        <tr r="H2870" s="1"/>
      </tp>
      <tp>
        <v>60.169675331900002</v>
        <stp/>
        <stp>EM_S_FA_YOY_OR</stp>
        <stp>2</stp>
        <stp>002851</stp>
        <stp>12/31/2018</stp>
        <tr r="H2406" s="1"/>
      </tp>
      <tp>
        <v>37.797725122000003</v>
        <stp/>
        <stp>EM_S_FA_YOY_OR</stp>
        <stp>2</stp>
        <stp>002850</stp>
        <stp>12/31/2018</stp>
        <tr r="H87" s="1"/>
      </tp>
      <tp>
        <v>34.338697101800001</v>
        <stp/>
        <stp>EM_S_FA_YOY_OR</stp>
        <stp>2</stp>
        <stp>002853</stp>
        <stp>12/31/2018</stp>
        <tr r="H2233" s="1"/>
      </tp>
      <tp>
        <v>9.0419739816</v>
        <stp/>
        <stp>EM_S_FA_YOY_OR</stp>
        <stp>2</stp>
        <stp>002852</stp>
        <stp>12/31/2018</stp>
        <tr r="H1784" s="1"/>
      </tp>
      <tp>
        <v>31.582586521500001</v>
        <stp/>
        <stp>EM_S_FA_YOY_OR</stp>
        <stp>2</stp>
        <stp>002859</stp>
        <stp>12/31/2018</stp>
        <tr r="H1645" s="1"/>
      </tp>
      <tp>
        <v>32.869198791899997</v>
        <stp/>
        <stp>EM_S_FA_YOY_OR</stp>
        <stp>2</stp>
        <stp>002858</stp>
        <stp>12/31/2018</stp>
        <tr r="H1816" s="1"/>
      </tp>
      <tp>
        <v>-21.714858335599999</v>
        <stp/>
        <stp>EM_S_FA_YOY_OR</stp>
        <stp>2</stp>
        <stp>002865</stp>
        <stp>12/31/2018</stp>
        <tr r="H3027" s="1"/>
      </tp>
      <tp>
        <v>29.8988264338</v>
        <stp/>
        <stp>EM_S_FA_YOY_OR</stp>
        <stp>2</stp>
        <stp>002864</stp>
        <stp>12/31/2018</stp>
        <tr r="H2995" s="1"/>
      </tp>
      <tp>
        <v>27.973051738900001</v>
        <stp/>
        <stp>EM_S_FA_YOY_OR</stp>
        <stp>2</stp>
        <stp>002867</stp>
        <stp>12/31/2018</stp>
        <tr r="H3224" s="1"/>
      </tp>
      <tp>
        <v>70.949546810499996</v>
        <stp/>
        <stp>EM_S_FA_YOY_OR</stp>
        <stp>2</stp>
        <stp>002866</stp>
        <stp>12/31/2018</stp>
        <tr r="H796" s="1"/>
      </tp>
      <tp>
        <v>24.2154396285</v>
        <stp/>
        <stp>EM_S_FA_YOY_OR</stp>
        <stp>2</stp>
        <stp>002861</stp>
        <stp>12/31/2018</stp>
        <tr r="H286" s="1"/>
      </tp>
      <tp>
        <v>15.3271457114</v>
        <stp/>
        <stp>EM_S_FA_YOY_OR</stp>
        <stp>2</stp>
        <stp>002860</stp>
        <stp>12/31/2018</stp>
        <tr r="H1191" s="1"/>
      </tp>
      <tp>
        <v>11.5376082467</v>
        <stp/>
        <stp>EM_S_FA_YOY_OR</stp>
        <stp>2</stp>
        <stp>002863</stp>
        <stp>12/31/2018</stp>
        <tr r="H2846" s="1"/>
      </tp>
      <tp>
        <v>-8.8608306874</v>
        <stp/>
        <stp>EM_S_FA_YOY_OR</stp>
        <stp>2</stp>
        <stp>002862</stp>
        <stp>12/31/2018</stp>
        <tr r="H2070" s="1"/>
      </tp>
      <tp>
        <v>-2.9859102475000001</v>
        <stp/>
        <stp>EM_S_FA_YOY_OR</stp>
        <stp>2</stp>
        <stp>002869</stp>
        <stp>12/31/2018</stp>
        <tr r="H26" s="1"/>
      </tp>
      <tp>
        <v>-8.2894117519999995</v>
        <stp/>
        <stp>EM_S_FA_YOY_OR</stp>
        <stp>2</stp>
        <stp>002868</stp>
        <stp>12/31/2018</stp>
        <tr r="H1313" s="1"/>
      </tp>
      <tp>
        <v>17.560038687999999</v>
        <stp/>
        <stp>EM_S_FA_YOY_OR</stp>
        <stp>2</stp>
        <stp>002875</stp>
        <stp>12/31/2018</stp>
        <tr r="H1887" s="1"/>
      </tp>
      <tp>
        <v>22.323599389799998</v>
        <stp/>
        <stp>EM_S_FA_YOY_OR</stp>
        <stp>2</stp>
        <stp>002877</stp>
        <stp>12/31/2018</stp>
        <tr r="H3315" s="1"/>
      </tp>
      <tp>
        <v>7.9923558446999996</v>
        <stp/>
        <stp>EM_S_FA_YOY_OR</stp>
        <stp>2</stp>
        <stp>002876</stp>
        <stp>12/31/2018</stp>
        <tr r="H487" s="1"/>
      </tp>
      <tp>
        <v>21.0430779902</v>
        <stp/>
        <stp>EM_S_FA_YOY_OR</stp>
        <stp>2</stp>
        <stp>002871</stp>
        <stp>12/31/2018</stp>
        <tr r="H2391" s="1"/>
      </tp>
      <tp>
        <v>0.95458832689999995</v>
        <stp/>
        <stp>EM_S_FA_YOY_OR</stp>
        <stp>2</stp>
        <stp>002870</stp>
        <stp>12/31/2018</stp>
        <tr r="H411" s="1"/>
      </tp>
      <tp>
        <v>1.8402539717999999</v>
        <stp/>
        <stp>EM_S_FA_YOY_OR</stp>
        <stp>2</stp>
        <stp>002873</stp>
        <stp>12/31/2018</stp>
        <tr r="H2205" s="1"/>
      </tp>
      <tp>
        <v>-3.9786805292</v>
        <stp/>
        <stp>EM_S_FA_YOY_OR</stp>
        <stp>2</stp>
        <stp>002872</stp>
        <stp>12/31/2018</stp>
        <tr r="H3295" s="1"/>
      </tp>
      <tp>
        <v>12.620263963699999</v>
        <stp/>
        <stp>EM_S_FA_YOY_OR</stp>
        <stp>2</stp>
        <stp>002879</stp>
        <stp>12/31/2018</stp>
        <tr r="H1221" s="1"/>
      </tp>
      <tp>
        <v>28.356891814000001</v>
        <stp/>
        <stp>EM_S_FA_YOY_OR</stp>
        <stp>2</stp>
        <stp>002878</stp>
        <stp>12/31/2018</stp>
        <tr r="H1941" s="1"/>
      </tp>
      <tp>
        <v>-8.2393403532999994</v>
        <stp/>
        <stp>EM_S_FA_YOY_OR</stp>
        <stp>2</stp>
        <stp>002905</stp>
        <stp>12/31/2018</stp>
        <tr r="H980" s="1"/>
      </tp>
      <tp>
        <v>18.8010130358</v>
        <stp/>
        <stp>EM_S_FA_YOY_OR</stp>
        <stp>2</stp>
        <stp>002907</stp>
        <stp>12/31/2018</stp>
        <tr r="H2905" s="1"/>
      </tp>
      <tp>
        <v>-16.7329070063</v>
        <stp/>
        <stp>EM_S_FA_YOY_OR</stp>
        <stp>2</stp>
        <stp>002906</stp>
        <stp>12/31/2018</stp>
        <tr r="H1168" s="1"/>
      </tp>
      <tp>
        <v>30.042173403500001</v>
        <stp/>
        <stp>EM_S_FA_YOY_OR</stp>
        <stp>2</stp>
        <stp>002901</stp>
        <stp>12/31/2018</stp>
        <tr r="H184" s="1"/>
      </tp>
      <tp>
        <v>89.106816329699996</v>
        <stp/>
        <stp>EM_S_FA_YOY_OR</stp>
        <stp>2</stp>
        <stp>002900</stp>
        <stp>12/31/2018</stp>
        <tr r="H2567" s="1"/>
      </tp>
      <tp>
        <v>-20.183921842699998</v>
        <stp/>
        <stp>EM_S_FA_YOY_OR</stp>
        <stp>2</stp>
        <stp>002903</stp>
        <stp>12/31/2018</stp>
        <tr r="H2947" s="1"/>
      </tp>
      <tp>
        <v>6.2641102084</v>
        <stp/>
        <stp>EM_S_FA_YOY_OR</stp>
        <stp>2</stp>
        <stp>002902</stp>
        <stp>12/31/2018</stp>
        <tr r="H2409" s="1"/>
      </tp>
      <tp>
        <v>16.262332022199999</v>
        <stp/>
        <stp>EM_S_FA_YOY_OR</stp>
        <stp>2</stp>
        <stp>002909</stp>
        <stp>12/31/2018</stp>
        <tr r="H2046" s="1"/>
      </tp>
      <tp>
        <v>7.7531220371999998</v>
        <stp/>
        <stp>EM_S_FA_YOY_OR</stp>
        <stp>2</stp>
        <stp>002908</stp>
        <stp>12/31/2018</stp>
        <tr r="H3201" s="1"/>
      </tp>
      <tp>
        <v>9.6006182629999994</v>
        <stp/>
        <stp>EM_S_FA_YOY_OR</stp>
        <stp>2</stp>
        <stp>002915</stp>
        <stp>12/31/2018</stp>
        <tr r="H1164" s="1"/>
      </tp>
      <tp>
        <v>-3.1197055175999999</v>
        <stp/>
        <stp>EM_S_FA_YOY_OR</stp>
        <stp>2</stp>
        <stp>002917</stp>
        <stp>12/31/2018</stp>
        <tr r="H3192" s="1"/>
      </tp>
      <tp>
        <v>33.677205114899998</v>
        <stp/>
        <stp>EM_S_FA_YOY_OR</stp>
        <stp>2</stp>
        <stp>002916</stp>
        <stp>12/31/2018</stp>
        <tr r="H264" s="1"/>
      </tp>
      <tp>
        <v>18.686514517799999</v>
        <stp/>
        <stp>EM_S_FA_YOY_OR</stp>
        <stp>2</stp>
        <stp>002911</stp>
        <stp>12/31/2018</stp>
        <tr r="H2725" s="1"/>
      </tp>
      <tp>
        <v>4.6720676017000002</v>
        <stp/>
        <stp>EM_S_FA_YOY_OR</stp>
        <stp>2</stp>
        <stp>002910</stp>
        <stp>12/31/2018</stp>
        <tr r="H2541" s="1"/>
      </tp>
      <tp>
        <v>28.709195818000001</v>
        <stp/>
        <stp>EM_S_FA_YOY_OR</stp>
        <stp>2</stp>
        <stp>002913</stp>
        <stp>12/31/2018</stp>
        <tr r="H570" s="1"/>
      </tp>
      <tp>
        <v>38.849593352100001</v>
        <stp/>
        <stp>EM_S_FA_YOY_OR</stp>
        <stp>2</stp>
        <stp>002912</stp>
        <stp>12/31/2018</stp>
        <tr r="H494" s="1"/>
      </tp>
      <tp>
        <v>-14.8623492815</v>
        <stp/>
        <stp>EM_S_FA_YOY_OR</stp>
        <stp>2</stp>
        <stp>002919</stp>
        <stp>12/31/2018</stp>
        <tr r="H3159" s="1"/>
      </tp>
      <tp>
        <v>11.0220600287</v>
        <stp/>
        <stp>EM_S_FA_YOY_OR</stp>
        <stp>2</stp>
        <stp>002918</stp>
        <stp>12/31/2018</stp>
        <tr r="H1272" s="1"/>
      </tp>
      <tp>
        <v>-14.9506270123</v>
        <stp/>
        <stp>EM_S_FA_YOY_OR</stp>
        <stp>2</stp>
        <stp>002925</stp>
        <stp>12/31/2018</stp>
        <tr r="H2367" s="1"/>
      </tp>
      <tp>
        <v>5.7224048403000003</v>
        <stp/>
        <stp>EM_S_FA_YOY_OR</stp>
        <stp>2</stp>
        <stp>002927</stp>
        <stp>12/31/2018</stp>
        <tr r="H3378" s="1"/>
      </tp>
      <tp>
        <v>-4.730940565</v>
        <stp/>
        <stp>EM_S_FA_YOY_OR</stp>
        <stp>2</stp>
        <stp>002926</stp>
        <stp>12/31/2018</stp>
        <tr r="H890" s="1"/>
      </tp>
      <tp>
        <v>9.1350501616000006</v>
        <stp/>
        <stp>EM_S_FA_YOY_OR</stp>
        <stp>2</stp>
        <stp>002921</stp>
        <stp>12/31/2018</stp>
        <tr r="H3207" s="1"/>
      </tp>
      <tp>
        <v>-10.0088297228</v>
        <stp/>
        <stp>EM_S_FA_YOY_OR</stp>
        <stp>2</stp>
        <stp>002920</stp>
        <stp>12/31/2018</stp>
        <tr r="H269" s="1"/>
      </tp>
      <tp>
        <v>33.927677504199998</v>
        <stp/>
        <stp>EM_S_FA_YOY_OR</stp>
        <stp>2</stp>
        <stp>002923</stp>
        <stp>12/31/2018</stp>
        <tr r="H3191" s="1"/>
      </tp>
      <tp>
        <v>-5.2722706828000003</v>
        <stp/>
        <stp>EM_S_FA_YOY_OR</stp>
        <stp>2</stp>
        <stp>002922</stp>
        <stp>12/31/2018</stp>
        <tr r="H2884" s="1"/>
      </tp>
      <tp>
        <v>16.314654052200002</v>
        <stp/>
        <stp>EM_S_FA_YOY_OR</stp>
        <stp>2</stp>
        <stp>002929</stp>
        <stp>12/31/2018</stp>
        <tr r="H2978" s="1"/>
      </tp>
      <tp>
        <v>23.535023009300001</v>
        <stp/>
        <stp>EM_S_FA_YOY_OR</stp>
        <stp>2</stp>
        <stp>002928</stp>
        <stp>12/31/2018</stp>
        <tr r="H3274" s="1"/>
      </tp>
      <tp>
        <v>0.56057112340000004</v>
        <stp/>
        <stp>EM_S_FA_YOY_OR</stp>
        <stp>2</stp>
        <stp>002931</stp>
        <stp>12/31/2018</stp>
        <tr r="H2638" s="1"/>
      </tp>
      <tp>
        <v>9.1977453964000002</v>
        <stp/>
        <stp>EM_S_FA_YOY_OR</stp>
        <stp>2</stp>
        <stp>002930</stp>
        <stp>12/31/2018</stp>
        <tr r="H3331" s="1"/>
      </tp>
      <tp>
        <v>-8.2555517956000006</v>
        <stp/>
        <stp>EM_S_FA_YOY_OR</stp>
        <stp>2</stp>
        <stp>002285</stp>
        <stp>12/31/2018</stp>
        <tr r="H3147" s="1"/>
      </tp>
      <tp>
        <v>-1.4904383918999999</v>
        <stp/>
        <stp>EM_S_FA_YOY_OR</stp>
        <stp>2</stp>
        <stp>002284</stp>
        <stp>12/31/2018</stp>
        <tr r="H1226" s="1"/>
      </tp>
      <tp>
        <v>15.198027766299999</v>
        <stp/>
        <stp>EM_S_FA_YOY_OR</stp>
        <stp>2</stp>
        <stp>002287</stp>
        <stp>12/31/2018</stp>
        <tr r="H2908" s="1"/>
      </tp>
      <tp>
        <v>8.6011674079000002</v>
        <stp/>
        <stp>EM_S_FA_YOY_OR</stp>
        <stp>2</stp>
        <stp>002286</stp>
        <stp>12/31/2018</stp>
        <tr r="H1755" s="1"/>
      </tp>
      <tp>
        <v>8.2577813007999996</v>
        <stp/>
        <stp>EM_S_FA_YOY_OR</stp>
        <stp>2</stp>
        <stp>002281</stp>
        <stp>12/31/2018</stp>
        <tr r="H1737" s="1"/>
      </tp>
      <tp>
        <v>13.3180923201</v>
        <stp/>
        <stp>EM_S_FA_YOY_OR</stp>
        <stp>2</stp>
        <stp>002280</stp>
        <stp>12/31/2018</stp>
        <tr r="H2214" s="1"/>
      </tp>
      <tp>
        <v>12.706692846399999</v>
        <stp/>
        <stp>EM_S_FA_YOY_OR</stp>
        <stp>2</stp>
        <stp>002283</stp>
        <stp>12/31/2018</stp>
        <tr r="H1746" s="1"/>
      </tp>
      <tp>
        <v>78.043987911599999</v>
        <stp/>
        <stp>EM_S_FA_YOY_OR</stp>
        <stp>2</stp>
        <stp>002282</stp>
        <stp>12/31/2018</stp>
        <tr r="H2263" s="1"/>
      </tp>
      <tp>
        <v>-19.099446418500001</v>
        <stp/>
        <stp>EM_S_FA_YOY_OR</stp>
        <stp>2</stp>
        <stp>002289</stp>
        <stp>12/31/2018</stp>
        <tr r="H380" s="1"/>
      </tp>
      <tp>
        <v>-3.1400759099000002</v>
        <stp/>
        <stp>EM_S_FA_YOY_OR</stp>
        <stp>2</stp>
        <stp>002288</stp>
        <stp>12/31/2018</stp>
        <tr r="H1928" s="1"/>
      </tp>
      <tp>
        <v>5.6142222191000002</v>
        <stp/>
        <stp>EM_S_FA_YOY_OR</stp>
        <stp>2</stp>
        <stp>002295</stp>
        <stp>12/31/2018</stp>
        <tr r="H2213" s="1"/>
      </tp>
      <tp>
        <v>11.9914871855</v>
        <stp/>
        <stp>EM_S_FA_YOY_OR</stp>
        <stp>2</stp>
        <stp>002294</stp>
        <stp>12/31/2018</stp>
        <tr r="H2519" s="1"/>
      </tp>
      <tp>
        <v>-6.4825715194000004</v>
        <stp/>
        <stp>EM_S_FA_YOY_OR</stp>
        <stp>2</stp>
        <stp>002297</stp>
        <stp>12/31/2018</stp>
        <tr r="H1894" s="1"/>
      </tp>
      <tp>
        <v>-3.3250240939000002</v>
        <stp/>
        <stp>EM_S_FA_YOY_OR</stp>
        <stp>2</stp>
        <stp>002296</stp>
        <stp>12/31/2018</stp>
        <tr r="H457" s="1"/>
      </tp>
      <tp>
        <v>1.8711409262000001</v>
        <stp/>
        <stp>EM_S_FA_YOY_OR</stp>
        <stp>2</stp>
        <stp>002291</stp>
        <stp>12/31/2018</stp>
        <tr r="H28" s="1"/>
      </tp>
      <tp>
        <v>21.143295662</v>
        <stp/>
        <stp>EM_S_FA_YOY_OR</stp>
        <stp>2</stp>
        <stp>002290</stp>
        <stp>12/31/2018</stp>
        <tr r="H3357" s="1"/>
      </tp>
      <tp>
        <v>3.2381496708999999</v>
        <stp/>
        <stp>EM_S_FA_YOY_OR</stp>
        <stp>2</stp>
        <stp>002293</stp>
        <stp>12/31/2018</stp>
        <tr r="H1996" s="1"/>
      </tp>
      <tp>
        <v>-22.036566722900002</v>
        <stp/>
        <stp>EM_S_FA_YOY_OR</stp>
        <stp>2</stp>
        <stp>002292</stp>
        <stp>12/31/2018</stp>
        <tr r="H282" s="1"/>
      </tp>
      <tp>
        <v>13.667308805899999</v>
        <stp/>
        <stp>EM_S_FA_YOY_OR</stp>
        <stp>2</stp>
        <stp>002299</stp>
        <stp>12/31/2018</stp>
        <tr r="H644" s="1"/>
      </tp>
      <tp>
        <v>21.247768257699999</v>
        <stp/>
        <stp>EM_S_FA_YOY_OR</stp>
        <stp>2</stp>
        <stp>002298</stp>
        <stp>12/31/2018</stp>
        <tr r="H1002" s="1"/>
      </tp>
      <tp>
        <v>6.1457096000000003E-3</v>
        <stp/>
        <stp>EM_S_FA_YOY_OR</stp>
        <stp>2</stp>
        <stp>002205</stp>
        <stp>12/31/2018</stp>
        <tr r="H1137" s="1"/>
      </tp>
      <tp>
        <v>2.1415620927000001</v>
        <stp/>
        <stp>EM_S_FA_YOY_OR</stp>
        <stp>2</stp>
        <stp>002204</stp>
        <stp>12/31/2018</stp>
        <tr r="H1806" s="1"/>
      </tp>
      <tp>
        <v>26.170315668899999</v>
        <stp/>
        <stp>EM_S_FA_YOY_OR</stp>
        <stp>2</stp>
        <stp>002207</stp>
        <stp>12/31/2018</stp>
        <tr r="H968" s="1"/>
      </tp>
      <tp>
        <v>12.033456826</v>
        <stp/>
        <stp>EM_S_FA_YOY_OR</stp>
        <stp>2</stp>
        <stp>002206</stp>
        <stp>12/31/2018</stp>
        <tr r="H2495" s="1"/>
      </tp>
      <tp>
        <v>7.7273293482999996</v>
        <stp/>
        <stp>EM_S_FA_YOY_OR</stp>
        <stp>2</stp>
        <stp>002201</stp>
        <stp>12/31/2018</stp>
        <tr r="H33" s="1"/>
      </tp>
      <tp>
        <v>12.4802719865</v>
        <stp/>
        <stp>EM_S_FA_YOY_OR</stp>
        <stp>2</stp>
        <stp>002200</stp>
        <stp>12/31/2018</stp>
        <tr r="H1257" s="1"/>
      </tp>
      <tp>
        <v>36.053893531</v>
        <stp/>
        <stp>EM_S_FA_YOY_OR</stp>
        <stp>2</stp>
        <stp>002203</stp>
        <stp>12/31/2018</stp>
        <tr r="H951" s="1"/>
      </tp>
      <tp>
        <v>14.3303990038</v>
        <stp/>
        <stp>EM_S_FA_YOY_OR</stp>
        <stp>2</stp>
        <stp>002202</stp>
        <stp>12/31/2018</stp>
        <tr r="H1408" s="1"/>
      </tp>
      <tp>
        <v>2.4834872268999999</v>
        <stp/>
        <stp>EM_S_FA_YOY_OR</stp>
        <stp>2</stp>
        <stp>002209</stp>
        <stp>12/31/2018</stp>
        <tr r="H2160" s="1"/>
      </tp>
      <tp>
        <v>-28.360211848199999</v>
        <stp/>
        <stp>EM_S_FA_YOY_OR</stp>
        <stp>2</stp>
        <stp>002208</stp>
        <stp>12/31/2018</stp>
        <tr r="H3250" s="1"/>
      </tp>
      <tp>
        <v>41.957734540600001</v>
        <stp/>
        <stp>EM_S_FA_YOY_OR</stp>
        <stp>2</stp>
        <stp>002215</stp>
        <stp>12/31/2018</stp>
        <tr r="H2430" s="1"/>
      </tp>
      <tp>
        <v>40.463605918900001</v>
        <stp/>
        <stp>EM_S_FA_YOY_OR</stp>
        <stp>2</stp>
        <stp>002214</stp>
        <stp>12/31/2018</stp>
        <tr r="H189" s="1"/>
      </tp>
      <tp>
        <v>11.868528578099999</v>
        <stp/>
        <stp>EM_S_FA_YOY_OR</stp>
        <stp>2</stp>
        <stp>002217</stp>
        <stp>12/31/2018</stp>
        <tr r="H1404" s="1"/>
      </tp>
      <tp>
        <v>5.3929101030000002</v>
        <stp/>
        <stp>EM_S_FA_YOY_OR</stp>
        <stp>2</stp>
        <stp>002216</stp>
        <stp>12/31/2018</stp>
        <tr r="H197" s="1"/>
      </tp>
      <tp>
        <v>14.2955483364</v>
        <stp/>
        <stp>EM_S_FA_YOY_OR</stp>
        <stp>2</stp>
        <stp>002211</stp>
        <stp>12/31/2018</stp>
        <tr r="H822" s="1"/>
      </tp>
      <tp>
        <v>-33.128309928699998</v>
        <stp/>
        <stp>EM_S_FA_YOY_OR</stp>
        <stp>2</stp>
        <stp>002210</stp>
        <stp>12/31/2018</stp>
        <tr r="H3397" s="1"/>
      </tp>
      <tp>
        <v>4.8037965543999999</v>
        <stp/>
        <stp>EM_S_FA_YOY_OR</stp>
        <stp>2</stp>
        <stp>002213</stp>
        <stp>12/31/2018</stp>
        <tr r="H924" s="1"/>
      </tp>
      <tp>
        <v>22.739210212500002</v>
        <stp/>
        <stp>EM_S_FA_YOY_OR</stp>
        <stp>2</stp>
        <stp>002212</stp>
        <stp>12/31/2018</stp>
        <tr r="H305" s="1"/>
      </tp>
      <tp>
        <v>12.916996109699999</v>
        <stp/>
        <stp>EM_S_FA_YOY_OR</stp>
        <stp>2</stp>
        <stp>002219</stp>
        <stp>12/31/2018</stp>
        <tr r="H3232" s="1"/>
      </tp>
      <tp>
        <v>-26.016714517800001</v>
        <stp/>
        <stp>EM_S_FA_YOY_OR</stp>
        <stp>2</stp>
        <stp>002218</stp>
        <stp>12/31/2018</stp>
        <tr r="H1748" s="1"/>
      </tp>
      <tp>
        <v>37.2507225146</v>
        <stp/>
        <stp>EM_S_FA_YOY_OR</stp>
        <stp>2</stp>
        <stp>002225</stp>
        <stp>12/31/2018</stp>
        <tr r="H2508" s="1"/>
      </tp>
      <tp>
        <v>1.8935346678</v>
        <stp/>
        <stp>EM_S_FA_YOY_OR</stp>
        <stp>2</stp>
        <stp>002224</stp>
        <stp>12/31/2018</stp>
        <tr r="H1500" s="1"/>
      </tp>
      <tp>
        <v>-3.8176342407999999</v>
        <stp/>
        <stp>EM_S_FA_YOY_OR</stp>
        <stp>2</stp>
        <stp>002227</stp>
        <stp>12/31/2018</stp>
        <tr r="H1779" s="1"/>
      </tp>
      <tp>
        <v>27.151169103600001</v>
        <stp/>
        <stp>EM_S_FA_YOY_OR</stp>
        <stp>2</stp>
        <stp>002226</stp>
        <stp>12/31/2018</stp>
        <tr r="H1997" s="1"/>
      </tp>
      <tp>
        <v>49.771827608999999</v>
        <stp/>
        <stp>EM_S_FA_YOY_OR</stp>
        <stp>2</stp>
        <stp>002221</stp>
        <stp>12/31/2018</stp>
        <tr r="H2543" s="1"/>
      </tp>
      <tp>
        <v>-29.0943185846</v>
        <stp/>
        <stp>EM_S_FA_YOY_OR</stp>
        <stp>2</stp>
        <stp>002220</stp>
        <stp>12/31/2018</stp>
        <tr r="H3336" s="1"/>
      </tp>
      <tp>
        <v>18.1227600462</v>
        <stp/>
        <stp>EM_S_FA_YOY_OR</stp>
        <stp>2</stp>
        <stp>002223</stp>
        <stp>12/31/2018</stp>
        <tr r="H2176" s="1"/>
      </tp>
      <tp>
        <v>8.2867488002999998</v>
        <stp/>
        <stp>EM_S_FA_YOY_OR</stp>
        <stp>2</stp>
        <stp>002222</stp>
        <stp>12/31/2018</stp>
        <tr r="H1041" s="1"/>
      </tp>
      <tp>
        <v>1.5272860697999999</v>
        <stp/>
        <stp>EM_S_FA_YOY_OR</stp>
        <stp>2</stp>
        <stp>002229</stp>
        <stp>12/31/2018</stp>
        <tr r="H2717" s="1"/>
      </tp>
      <tp>
        <v>39.076229116900002</v>
        <stp/>
        <stp>EM_S_FA_YOY_OR</stp>
        <stp>2</stp>
        <stp>002228</stp>
        <stp>12/31/2018</stp>
        <tr r="H2642" s="1"/>
      </tp>
      <tp>
        <v>8.5738545025999997</v>
        <stp/>
        <stp>EM_S_FA_YOY_OR</stp>
        <stp>2</stp>
        <stp>002235</stp>
        <stp>12/31/2018</stp>
        <tr r="H359" s="1"/>
      </tp>
      <tp>
        <v>70.305730196900001</v>
        <stp/>
        <stp>EM_S_FA_YOY_OR</stp>
        <stp>2</stp>
        <stp>002234</stp>
        <stp>12/31/2018</stp>
        <tr r="H58" s="1"/>
      </tp>
      <tp>
        <v>7.2078393284000004</v>
        <stp/>
        <stp>EM_S_FA_YOY_OR</stp>
        <stp>2</stp>
        <stp>002237</stp>
        <stp>12/31/2018</stp>
        <tr r="H382" s="1"/>
      </tp>
      <tp>
        <v>25.584339112799999</v>
        <stp/>
        <stp>EM_S_FA_YOY_OR</stp>
        <stp>2</stp>
        <stp>002236</stp>
        <stp>12/31/2018</stp>
        <tr r="H283" s="1"/>
      </tp>
      <tp>
        <v>-50.8256357263</v>
        <stp/>
        <stp>EM_S_FA_YOY_OR</stp>
        <stp>2</stp>
        <stp>002231</stp>
        <stp>12/31/2018</stp>
        <tr r="H2167" s="1"/>
      </tp>
      <tp>
        <v>45.411852586599998</v>
        <stp/>
        <stp>EM_S_FA_YOY_OR</stp>
        <stp>2</stp>
        <stp>002230</stp>
        <stp>12/31/2018</stp>
        <tr r="H734" s="1"/>
      </tp>
      <tp>
        <v>45.272186095000002</v>
        <stp/>
        <stp>EM_S_FA_YOY_OR</stp>
        <stp>2</stp>
        <stp>002233</stp>
        <stp>12/31/2018</stp>
        <tr r="H1157" s="1"/>
      </tp>
      <tp>
        <v>-7.2514696381999997</v>
        <stp/>
        <stp>EM_S_FA_YOY_OR</stp>
        <stp>2</stp>
        <stp>002232</stp>
        <stp>12/31/2018</stp>
        <tr r="H1004" s="1"/>
      </tp>
      <tp>
        <v>-21.0868495052</v>
        <stp/>
        <stp>EM_S_FA_YOY_OR</stp>
        <stp>2</stp>
        <stp>002239</stp>
        <stp>12/31/2018</stp>
        <tr r="H2868" s="1"/>
      </tp>
      <tp>
        <v>-1.9160864137</v>
        <stp/>
        <stp>EM_S_FA_YOY_OR</stp>
        <stp>2</stp>
        <stp>002238</stp>
        <stp>12/31/2018</stp>
        <tr r="H1196" s="1"/>
      </tp>
      <tp>
        <v>18.579459363600002</v>
        <stp/>
        <stp>EM_S_FA_YOY_OR</stp>
        <stp>2</stp>
        <stp>002245</stp>
        <stp>12/31/2018</stp>
        <tr r="H2022" s="1"/>
      </tp>
      <tp>
        <v>53.302804808799998</v>
        <stp/>
        <stp>EM_S_FA_YOY_OR</stp>
        <stp>2</stp>
        <stp>002244</stp>
        <stp>12/31/2018</stp>
        <tr r="H1120" s="1"/>
      </tp>
      <tp>
        <v>21.179311893800001</v>
        <stp/>
        <stp>EM_S_FA_YOY_OR</stp>
        <stp>2</stp>
        <stp>002247</stp>
        <stp>12/31/2018</stp>
        <tr r="H3301" s="1"/>
      </tp>
      <tp>
        <v>8.2449603182000004</v>
        <stp/>
        <stp>EM_S_FA_YOY_OR</stp>
        <stp>2</stp>
        <stp>002246</stp>
        <stp>12/31/2018</stp>
        <tr r="H1557" s="1"/>
      </tp>
      <tp>
        <v>-6.9922421715</v>
        <stp/>
        <stp>EM_S_FA_YOY_OR</stp>
        <stp>2</stp>
        <stp>002241</stp>
        <stp>12/31/2018</stp>
        <tr r="H52" s="1"/>
      </tp>
      <tp>
        <v>25.042319390399999</v>
        <stp/>
        <stp>EM_S_FA_YOY_OR</stp>
        <stp>2</stp>
        <stp>002240</stp>
        <stp>12/31/2018</stp>
        <tr r="H1935" s="1"/>
      </tp>
      <tp>
        <v>10.8853925164</v>
        <stp/>
        <stp>EM_S_FA_YOY_OR</stp>
        <stp>2</stp>
        <stp>002243</stp>
        <stp>12/31/2018</stp>
        <tr r="H1825" s="1"/>
      </tp>
      <tp>
        <v>12.710323411899999</v>
        <stp/>
        <stp>EM_S_FA_YOY_OR</stp>
        <stp>2</stp>
        <stp>002242</stp>
        <stp>12/31/2018</stp>
        <tr r="H504" s="1"/>
      </tp>
      <tp>
        <v>0.3752251935</v>
        <stp/>
        <stp>EM_S_FA_YOY_OR</stp>
        <stp>2</stp>
        <stp>002249</stp>
        <stp>12/31/2018</stp>
        <tr r="H1320" s="1"/>
      </tp>
      <tp>
        <v>-25.090697151400001</v>
        <stp/>
        <stp>EM_S_FA_YOY_OR</stp>
        <stp>2</stp>
        <stp>002248</stp>
        <stp>12/31/2018</stp>
        <tr r="H2746" s="1"/>
      </tp>
      <tp>
        <v>94.381772941400001</v>
        <stp/>
        <stp>EM_S_FA_YOY_OR</stp>
        <stp>2</stp>
        <stp>002255</stp>
        <stp>12/31/2018</stp>
        <tr r="H3028" s="1"/>
      </tp>
      <tp>
        <v>39.718144049700001</v>
        <stp/>
        <stp>EM_S_FA_YOY_OR</stp>
        <stp>2</stp>
        <stp>002254</stp>
        <stp>12/31/2018</stp>
        <tr r="H2504" s="1"/>
      </tp>
      <tp>
        <v>0</v>
        <stp/>
        <stp>EM_S_FA_YOY_OR</stp>
        <stp>2</stp>
        <stp>002257</stp>
        <stp>12/31/2018</stp>
        <tr r="H5" s="1"/>
      </tp>
      <tp>
        <v>-7.7188423874999996</v>
        <stp/>
        <stp>EM_S_FA_YOY_OR</stp>
        <stp>2</stp>
        <stp>002256</stp>
        <stp>12/31/2018</stp>
        <tr r="H2915" s="1"/>
      </tp>
      <tp>
        <v>6.6517889101999996</v>
        <stp/>
        <stp>EM_S_FA_YOY_OR</stp>
        <stp>2</stp>
        <stp>002251</stp>
        <stp>12/31/2018</stp>
        <tr r="H1280" s="1"/>
      </tp>
      <tp>
        <v>0.1640763288</v>
        <stp/>
        <stp>EM_S_FA_YOY_OR</stp>
        <stp>2</stp>
        <stp>002250</stp>
        <stp>12/31/2018</stp>
        <tr r="H271" s="1"/>
      </tp>
      <tp>
        <v>27.4813518546</v>
        <stp/>
        <stp>EM_S_FA_YOY_OR</stp>
        <stp>2</stp>
        <stp>002253</stp>
        <stp>12/31/2018</stp>
        <tr r="H1773" s="1"/>
      </tp>
      <tp>
        <v>-6.4071132722000002</v>
        <stp/>
        <stp>EM_S_FA_YOY_OR</stp>
        <stp>2</stp>
        <stp>002252</stp>
        <stp>12/31/2018</stp>
        <tr r="H2752" s="1"/>
      </tp>
      <tp>
        <v>-18.467190690900001</v>
        <stp/>
        <stp>EM_S_FA_YOY_OR</stp>
        <stp>2</stp>
        <stp>002259</stp>
        <stp>12/31/2018</stp>
        <tr r="H2658" s="1"/>
      </tp>
      <tp>
        <v>30.598566351100001</v>
        <stp/>
        <stp>EM_S_FA_YOY_OR</stp>
        <stp>2</stp>
        <stp>002258</stp>
        <stp>12/31/2018</stp>
        <tr r="H1840" s="1"/>
      </tp>
      <tp>
        <v>-15.191076923400001</v>
        <stp/>
        <stp>EM_S_FA_YOY_OR</stp>
        <stp>2</stp>
        <stp>002265</stp>
        <stp>12/31/2018</stp>
        <tr r="H2427" s="1"/>
      </tp>
      <tp>
        <v>-1.7572519009000001</v>
        <stp/>
        <stp>EM_S_FA_YOY_OR</stp>
        <stp>2</stp>
        <stp>002264</stp>
        <stp>12/31/2018</stp>
        <tr r="H2960" s="1"/>
      </tp>
      <tp>
        <v>17.746269607199999</v>
        <stp/>
        <stp>EM_S_FA_YOY_OR</stp>
        <stp>2</stp>
        <stp>002267</stp>
        <stp>12/31/2018</stp>
        <tr r="H2497" s="1"/>
      </tp>
      <tp>
        <v>0.70411242939999996</v>
        <stp/>
        <stp>EM_S_FA_YOY_OR</stp>
        <stp>2</stp>
        <stp>002266</stp>
        <stp>12/31/2018</stp>
        <tr r="H2187" s="1"/>
      </tp>
      <tp>
        <v>5.9152595711</v>
        <stp/>
        <stp>EM_S_FA_YOY_OR</stp>
        <stp>2</stp>
        <stp>002261</stp>
        <stp>12/31/2018</stp>
        <tr r="H164" s="1"/>
      </tp>
      <tp>
        <v>-5.5343599484999997</v>
        <stp/>
        <stp>EM_S_FA_YOY_OR</stp>
        <stp>2</stp>
        <stp>002260</stp>
        <stp>12/31/2018</stp>
        <tr r="H2467" s="1"/>
      </tp>
      <tp>
        <v>39.756187736800001</v>
        <stp/>
        <stp>EM_S_FA_YOY_OR</stp>
        <stp>2</stp>
        <stp>002263</stp>
        <stp>12/31/2018</stp>
        <tr r="H1203" s="1"/>
      </tp>
      <tp>
        <v>13.686972584399999</v>
        <stp/>
        <stp>EM_S_FA_YOY_OR</stp>
        <stp>2</stp>
        <stp>002262</stp>
        <stp>12/31/2018</stp>
        <tr r="H1001" s="1"/>
      </tp>
      <tp>
        <v>18.617783822500002</v>
        <stp/>
        <stp>EM_S_FA_YOY_OR</stp>
        <stp>2</stp>
        <stp>002269</stp>
        <stp>12/31/2018</stp>
        <tr r="H1454" s="1"/>
      </tp>
      <tp>
        <v>-9.6369399795999993</v>
        <stp/>
        <stp>EM_S_FA_YOY_OR</stp>
        <stp>2</stp>
        <stp>002268</stp>
        <stp>12/31/2018</stp>
        <tr r="H691" s="1"/>
      </tp>
      <tp>
        <v>-1.939507554</v>
        <stp/>
        <stp>EM_S_FA_YOY_OR</stp>
        <stp>2</stp>
        <stp>002275</stp>
        <stp>12/31/2018</stp>
        <tr r="H2210" s="1"/>
      </tp>
      <tp>
        <v>9.1609341483000009</v>
        <stp/>
        <stp>EM_S_FA_YOY_OR</stp>
        <stp>2</stp>
        <stp>002274</stp>
        <stp>12/31/2018</stp>
        <tr r="H999" s="1"/>
      </tp>
      <tp>
        <v>-0.52800093979999996</v>
        <stp/>
        <stp>EM_S_FA_YOY_OR</stp>
        <stp>2</stp>
        <stp>002277</stp>
        <stp>12/31/2018</stp>
        <tr r="H2034" s="1"/>
      </tp>
      <tp>
        <v>17.966640223599999</v>
        <stp/>
        <stp>EM_S_FA_YOY_OR</stp>
        <stp>2</stp>
        <stp>002276</stp>
        <stp>12/31/2018</stp>
        <tr r="H361" s="1"/>
      </tp>
      <tp>
        <v>36.459296703</v>
        <stp/>
        <stp>EM_S_FA_YOY_OR</stp>
        <stp>2</stp>
        <stp>002271</stp>
        <stp>12/31/2018</stp>
        <tr r="H152" s="1"/>
      </tp>
      <tp>
        <v>-35.897395412999998</v>
        <stp/>
        <stp>EM_S_FA_YOY_OR</stp>
        <stp>2</stp>
        <stp>002270</stp>
        <stp>12/31/2018</stp>
        <tr r="H2017" s="1"/>
      </tp>
      <tp>
        <v>8.3887466986000003</v>
        <stp/>
        <stp>EM_S_FA_YOY_OR</stp>
        <stp>2</stp>
        <stp>002273</stp>
        <stp>12/31/2018</stp>
        <tr r="H318" s="1"/>
      </tp>
      <tp>
        <v>9.0413672041000002</v>
        <stp/>
        <stp>EM_S_FA_YOY_OR</stp>
        <stp>2</stp>
        <stp>002272</stp>
        <stp>12/31/2018</stp>
        <tr r="H1640" s="1"/>
      </tp>
      <tp>
        <v>36.545878972300002</v>
        <stp/>
        <stp>EM_S_FA_YOY_OR</stp>
        <stp>2</stp>
        <stp>002279</stp>
        <stp>12/31/2018</stp>
        <tr r="H2897" s="1"/>
      </tp>
      <tp>
        <v>35.432855717700001</v>
        <stp/>
        <stp>EM_S_FA_YOY_OR</stp>
        <stp>2</stp>
        <stp>002278</stp>
        <stp>12/31/2018</stp>
        <tr r="H2576" s="1"/>
      </tp>
      <tp>
        <v>2.9897340697999999</v>
        <stp/>
        <stp>EM_S_FA_YOY_OR</stp>
        <stp>2</stp>
        <stp>002385</stp>
        <stp>12/31/2018</stp>
        <tr r="H707" s="1"/>
      </tp>
      <tp>
        <v>28.8237791275</v>
        <stp/>
        <stp>EM_S_FA_YOY_OR</stp>
        <stp>2</stp>
        <stp>002384</stp>
        <stp>12/31/2018</stp>
        <tr r="H172" s="1"/>
      </tp>
      <tp>
        <v>5504.4428991492996</v>
        <stp/>
        <stp>EM_S_FA_YOY_OR</stp>
        <stp>2</stp>
        <stp>002387</stp>
        <stp>12/31/2018</stp>
        <tr r="H135" s="1"/>
      </tp>
      <tp>
        <v>18.563894191799999</v>
        <stp/>
        <stp>EM_S_FA_YOY_OR</stp>
        <stp>2</stp>
        <stp>002386</stp>
        <stp>12/31/2018</stp>
        <tr r="H1776" s="1"/>
      </tp>
      <tp>
        <v>19.357686091800002</v>
        <stp/>
        <stp>EM_S_FA_YOY_OR</stp>
        <stp>2</stp>
        <stp>002381</stp>
        <stp>12/31/2018</stp>
        <tr r="H1089" s="1"/>
      </tp>
      <tp>
        <v>3.0343172743000002</v>
        <stp/>
        <stp>EM_S_FA_YOY_OR</stp>
        <stp>2</stp>
        <stp>002380</stp>
        <stp>12/31/2018</stp>
        <tr r="H853" s="1"/>
      </tp>
      <tp>
        <v>0.53711788709999997</v>
        <stp/>
        <stp>EM_S_FA_YOY_OR</stp>
        <stp>2</stp>
        <stp>002383</stp>
        <stp>12/31/2018</stp>
        <tr r="H3075" s="1"/>
      </tp>
      <tp>
        <v>68.3510248284</v>
        <stp/>
        <stp>EM_S_FA_YOY_OR</stp>
        <stp>2</stp>
        <stp>002382</stp>
        <stp>12/31/2018</stp>
        <tr r="H3033" s="1"/>
      </tp>
      <tp>
        <v>87.929926746600003</v>
        <stp/>
        <stp>EM_S_FA_YOY_OR</stp>
        <stp>2</stp>
        <stp>002389</stp>
        <stp>12/31/2018</stp>
        <tr r="H2708" s="1"/>
      </tp>
      <tp>
        <v>3.9834076461999999</v>
        <stp/>
        <stp>EM_S_FA_YOY_OR</stp>
        <stp>2</stp>
        <stp>002388</stp>
        <stp>12/31/2018</stp>
        <tr r="H895" s="1"/>
      </tp>
      <tp>
        <v>9.5969469898999993</v>
        <stp/>
        <stp>EM_S_FA_YOY_OR</stp>
        <stp>2</stp>
        <stp>002395</stp>
        <stp>12/31/2018</stp>
        <tr r="H101" s="1"/>
      </tp>
      <tp>
        <v>4.1230825981999999</v>
        <stp/>
        <stp>EM_S_FA_YOY_OR</stp>
        <stp>2</stp>
        <stp>002394</stp>
        <stp>12/31/2018</stp>
        <tr r="H2636" s="1"/>
      </tp>
      <tp>
        <v>19.347622152500001</v>
        <stp/>
        <stp>EM_S_FA_YOY_OR</stp>
        <stp>2</stp>
        <stp>002397</stp>
        <stp>12/31/2018</stp>
        <tr r="H1300" s="1"/>
      </tp>
      <tp>
        <v>18.512798116399999</v>
        <stp/>
        <stp>EM_S_FA_YOY_OR</stp>
        <stp>2</stp>
        <stp>002396</stp>
        <stp>12/31/2018</stp>
        <tr r="H155" s="1"/>
      </tp>
      <tp>
        <v>33.647494989499997</v>
        <stp/>
        <stp>EM_S_FA_YOY_OR</stp>
        <stp>2</stp>
        <stp>002391</stp>
        <stp>12/31/2018</stp>
        <tr r="H3106" s="1"/>
      </tp>
      <tp>
        <v>9.6261670253999991</v>
        <stp/>
        <stp>EM_S_FA_YOY_OR</stp>
        <stp>2</stp>
        <stp>002390</stp>
        <stp>12/31/2018</stp>
        <tr r="H1014" s="1"/>
      </tp>
      <tp>
        <v>46.061645325199997</v>
        <stp/>
        <stp>EM_S_FA_YOY_OR</stp>
        <stp>2</stp>
        <stp>002393</stp>
        <stp>12/31/2018</stp>
        <tr r="H1123" s="1"/>
      </tp>
      <tp>
        <v>39.7379782836</v>
        <stp/>
        <stp>EM_S_FA_YOY_OR</stp>
        <stp>2</stp>
        <stp>002392</stp>
        <stp>12/31/2018</stp>
        <tr r="H1412" s="1"/>
      </tp>
      <tp>
        <v>69.338071876300006</v>
        <stp/>
        <stp>EM_S_FA_YOY_OR</stp>
        <stp>2</stp>
        <stp>002399</stp>
        <stp>12/31/2018</stp>
        <tr r="H2973" s="1"/>
      </tp>
      <tp>
        <v>35.944314303200002</v>
        <stp/>
        <stp>EM_S_FA_YOY_OR</stp>
        <stp>2</stp>
        <stp>002398</stp>
        <stp>12/31/2018</stp>
        <tr r="H850" s="1"/>
      </tp>
      <tp>
        <v>27.344499541899999</v>
        <stp/>
        <stp>EM_S_FA_YOY_OR</stp>
        <stp>2</stp>
        <stp>002305</stp>
        <stp>12/31/2018</stp>
        <tr r="H3140" s="1"/>
      </tp>
      <tp>
        <v>21.296676663700001</v>
        <stp/>
        <stp>EM_S_FA_YOY_OR</stp>
        <stp>2</stp>
        <stp>002304</stp>
        <stp>12/31/2018</stp>
        <tr r="H1400" s="1"/>
      </tp>
      <tp>
        <v>4.5508678697000002</v>
        <stp/>
        <stp>EM_S_FA_YOY_OR</stp>
        <stp>2</stp>
        <stp>002307</stp>
        <stp>12/31/2018</stp>
        <tr r="H1740" s="1"/>
      </tp>
      <tp>
        <v>-15.5514398117</v>
        <stp/>
        <stp>EM_S_FA_YOY_OR</stp>
        <stp>2</stp>
        <stp>002306</stp>
        <stp>12/31/2018</stp>
        <tr r="H3111" s="1"/>
      </tp>
      <tp>
        <v>33.303667145399999</v>
        <stp/>
        <stp>EM_S_FA_YOY_OR</stp>
        <stp>2</stp>
        <stp>002301</stp>
        <stp>12/31/2018</stp>
        <tr r="H732" s="1"/>
      </tp>
      <tp>
        <v>24.665570730500001</v>
        <stp/>
        <stp>EM_S_FA_YOY_OR</stp>
        <stp>2</stp>
        <stp>002300</stp>
        <stp>12/31/2018</stp>
        <tr r="H1241" s="1"/>
      </tp>
      <tp>
        <v>13.702092863100001</v>
        <stp/>
        <stp>EM_S_FA_YOY_OR</stp>
        <stp>2</stp>
        <stp>002303</stp>
        <stp>12/31/2018</stp>
        <tr r="H1611" s="1"/>
      </tp>
      <tp>
        <v>26.334710640499999</v>
        <stp/>
        <stp>EM_S_FA_YOY_OR</stp>
        <stp>2</stp>
        <stp>002302</stp>
        <stp>12/31/2018</stp>
        <tr r="H1075" s="1"/>
      </tp>
      <tp>
        <v>-13.848400623</v>
        <stp/>
        <stp>EM_S_FA_YOY_OR</stp>
        <stp>2</stp>
        <stp>002309</stp>
        <stp>12/31/2018</stp>
        <tr r="H3182" s="1"/>
      </tp>
      <tp>
        <v>2.8162308923000001</v>
        <stp/>
        <stp>EM_S_FA_YOY_OR</stp>
        <stp>2</stp>
        <stp>002308</stp>
        <stp>12/31/2018</stp>
        <tr r="H2098" s="1"/>
      </tp>
      <tp>
        <v>-27.735940292399999</v>
        <stp/>
        <stp>EM_S_FA_YOY_OR</stp>
        <stp>2</stp>
        <stp>002315</stp>
        <stp>12/31/2018</stp>
        <tr r="H403" s="1"/>
      </tp>
      <tp>
        <v>-4.1693450909000003</v>
        <stp/>
        <stp>EM_S_FA_YOY_OR</stp>
        <stp>2</stp>
        <stp>002314</stp>
        <stp>12/31/2018</stp>
        <tr r="H1918" s="1"/>
      </tp>
      <tp>
        <v>20.225250258500001</v>
        <stp/>
        <stp>EM_S_FA_YOY_OR</stp>
        <stp>2</stp>
        <stp>002317</stp>
        <stp>12/31/2018</stp>
        <tr r="H653" s="1"/>
      </tp>
      <tp>
        <v>279.20432145180001</v>
        <stp/>
        <stp>EM_S_FA_YOY_OR</stp>
        <stp>2</stp>
        <stp>002316</stp>
        <stp>12/31/2018</stp>
        <tr r="H1910" s="1"/>
      </tp>
      <tp>
        <v>29.487061331900001</v>
        <stp/>
        <stp>EM_S_FA_YOY_OR</stp>
        <stp>2</stp>
        <stp>002311</stp>
        <stp>12/31/2018</stp>
        <tr r="H476" s="1"/>
      </tp>
      <tp>
        <v>-12.6949267868</v>
        <stp/>
        <stp>EM_S_FA_YOY_OR</stp>
        <stp>2</stp>
        <stp>002310</stp>
        <stp>12/31/2018</stp>
        <tr r="H3198" s="1"/>
      </tp>
      <tp>
        <v>47.8396340213</v>
        <stp/>
        <stp>EM_S_FA_YOY_OR</stp>
        <stp>2</stp>
        <stp>002313</stp>
        <stp>12/31/2018</stp>
        <tr r="H2845" s="1"/>
      </tp>
      <tp>
        <v>-11.004528157099999</v>
        <stp/>
        <stp>EM_S_FA_YOY_OR</stp>
        <stp>2</stp>
        <stp>002312</stp>
        <stp>12/31/2018</stp>
        <tr r="H876" s="1"/>
      </tp>
      <tp>
        <v>-8.3843134828999997</v>
        <stp/>
        <stp>EM_S_FA_YOY_OR</stp>
        <stp>2</stp>
        <stp>002319</stp>
        <stp>12/31/2018</stp>
        <tr r="H3323" s="1"/>
      </tp>
      <tp>
        <v>43.418738123799997</v>
        <stp/>
        <stp>EM_S_FA_YOY_OR</stp>
        <stp>2</stp>
        <stp>002318</stp>
        <stp>12/31/2018</stp>
        <tr r="H566" s="1"/>
      </tp>
      <tp>
        <v>17.859907176099998</v>
        <stp/>
        <stp>EM_S_FA_YOY_OR</stp>
        <stp>2</stp>
        <stp>002325</stp>
        <stp>12/31/2018</stp>
        <tr r="H1760" s="1"/>
      </tp>
      <tp>
        <v>7.8892736618999999</v>
        <stp/>
        <stp>EM_S_FA_YOY_OR</stp>
        <stp>2</stp>
        <stp>002324</stp>
        <stp>12/31/2018</stp>
        <tr r="H820" s="1"/>
      </tp>
      <tp>
        <v>11.5543489984</v>
        <stp/>
        <stp>EM_S_FA_YOY_OR</stp>
        <stp>2</stp>
        <stp>002327</stp>
        <stp>12/31/2018</stp>
        <tr r="H2672" s="1"/>
      </tp>
      <tp>
        <v>19.779254621</v>
        <stp/>
        <stp>EM_S_FA_YOY_OR</stp>
        <stp>2</stp>
        <stp>002326</stp>
        <stp>12/31/2018</stp>
        <tr r="H623" s="1"/>
      </tp>
      <tp>
        <v>29.765277147799999</v>
        <stp/>
        <stp>EM_S_FA_YOY_OR</stp>
        <stp>2</stp>
        <stp>002321</stp>
        <stp>12/31/2018</stp>
        <tr r="H1897" s="1"/>
      </tp>
      <tp>
        <v>7.3166233605000004</v>
        <stp/>
        <stp>EM_S_FA_YOY_OR</stp>
        <stp>2</stp>
        <stp>002320</stp>
        <stp>12/31/2018</stp>
        <tr r="H2750" s="1"/>
      </tp>
      <tp>
        <v>-83.346855225100001</v>
        <stp/>
        <stp>EM_S_FA_YOY_OR</stp>
        <stp>2</stp>
        <stp>002323</stp>
        <stp>12/31/2018</stp>
        <tr r="H80" s="1"/>
      </tp>
      <tp>
        <v>18.080727345500001</v>
        <stp/>
        <stp>EM_S_FA_YOY_OR</stp>
        <stp>2</stp>
        <stp>002322</stp>
        <stp>12/31/2018</stp>
        <tr r="H932" s="1"/>
      </tp>
      <tp>
        <v>-1.3031430718000001</v>
        <stp/>
        <stp>EM_S_FA_YOY_OR</stp>
        <stp>2</stp>
        <stp>002329</stp>
        <stp>12/31/2018</stp>
        <tr r="H907" s="1"/>
      </tp>
      <tp>
        <v>3.3615007132999999</v>
        <stp/>
        <stp>EM_S_FA_YOY_OR</stp>
        <stp>2</stp>
        <stp>002328</stp>
        <stp>12/31/2018</stp>
        <tr r="H3199" s="1"/>
      </tp>
      <tp>
        <v>42.627278269500003</v>
        <stp/>
        <stp>EM_S_FA_YOY_OR</stp>
        <stp>2</stp>
        <stp>002335</stp>
        <stp>12/31/2018</stp>
        <tr r="H1827" s="1"/>
      </tp>
      <tp>
        <v>4.9827826118000003</v>
        <stp/>
        <stp>EM_S_FA_YOY_OR</stp>
        <stp>2</stp>
        <stp>002334</stp>
        <stp>12/31/2018</stp>
        <tr r="H2234" s="1"/>
      </tp>
      <tp>
        <v>-20.6170998658</v>
        <stp/>
        <stp>EM_S_FA_YOY_OR</stp>
        <stp>2</stp>
        <stp>002337</stp>
        <stp>12/31/2018</stp>
        <tr r="H2558" s="1"/>
      </tp>
      <tp>
        <v>-8.1800237114000005</v>
        <stp/>
        <stp>EM_S_FA_YOY_OR</stp>
        <stp>2</stp>
        <stp>002336</stp>
        <stp>12/31/2018</stp>
        <tr r="H2961" s="1"/>
      </tp>
      <tp>
        <v>25.4618008367</v>
        <stp/>
        <stp>EM_S_FA_YOY_OR</stp>
        <stp>2</stp>
        <stp>002331</stp>
        <stp>12/31/2018</stp>
        <tr r="H1715" s="1"/>
      </tp>
      <tp>
        <v>25.479299725600001</v>
        <stp/>
        <stp>EM_S_FA_YOY_OR</stp>
        <stp>2</stp>
        <stp>002330</stp>
        <stp>12/31/2018</stp>
        <tr r="H253" s="1"/>
      </tp>
      <tp>
        <v>6.8276029553999997</v>
        <stp/>
        <stp>EM_S_FA_YOY_OR</stp>
        <stp>2</stp>
        <stp>002333</stp>
        <stp>12/31/2018</stp>
        <tr r="H3105" s="1"/>
      </tp>
      <tp>
        <v>26.965277776299999</v>
        <stp/>
        <stp>EM_S_FA_YOY_OR</stp>
        <stp>2</stp>
        <stp>002332</stp>
        <stp>12/31/2018</stp>
        <tr r="H458" s="1"/>
      </tp>
      <tp>
        <v>21.215349772700002</v>
        <stp/>
        <stp>EM_S_FA_YOY_OR</stp>
        <stp>2</stp>
        <stp>002339</stp>
        <stp>12/31/2018</stp>
        <tr r="H1989" s="1"/>
      </tp>
      <tp>
        <v>4.4315976250000002</v>
        <stp/>
        <stp>EM_S_FA_YOY_OR</stp>
        <stp>2</stp>
        <stp>002338</stp>
        <stp>12/31/2018</stp>
        <tr r="H1311" s="1"/>
      </tp>
      <tp>
        <v>5.2440615531999999</v>
        <stp/>
        <stp>EM_S_FA_YOY_OR</stp>
        <stp>2</stp>
        <stp>002345</stp>
        <stp>12/31/2018</stp>
        <tr r="H2799" s="1"/>
      </tp>
      <tp>
        <v>-8.8421459135999996</v>
        <stp/>
        <stp>EM_S_FA_YOY_OR</stp>
        <stp>2</stp>
        <stp>002344</stp>
        <stp>12/31/2018</stp>
        <tr r="H2491" s="1"/>
      </tp>
      <tp>
        <v>70.276824746000003</v>
        <stp/>
        <stp>EM_S_FA_YOY_OR</stp>
        <stp>2</stp>
        <stp>002347</stp>
        <stp>12/31/2018</stp>
        <tr r="H1192" s="1"/>
      </tp>
      <tp>
        <v>23.426334710100001</v>
        <stp/>
        <stp>EM_S_FA_YOY_OR</stp>
        <stp>2</stp>
        <stp>002346</stp>
        <stp>12/31/2018</stp>
        <tr r="H2763" s="1"/>
      </tp>
      <tp>
        <v>55.670662679499998</v>
        <stp/>
        <stp>EM_S_FA_YOY_OR</stp>
        <stp>2</stp>
        <stp>002341</stp>
        <stp>12/31/2018</stp>
        <tr r="H3376" s="1"/>
      </tp>
      <tp>
        <v>29.074075358000002</v>
        <stp/>
        <stp>EM_S_FA_YOY_OR</stp>
        <stp>2</stp>
        <stp>002340</stp>
        <stp>12/31/2018</stp>
        <tr r="H1005" s="1"/>
      </tp>
      <tp>
        <v>-13.843193529400001</v>
        <stp/>
        <stp>EM_S_FA_YOY_OR</stp>
        <stp>2</stp>
        <stp>002343</stp>
        <stp>12/31/2018</stp>
        <tr r="H1031" s="1"/>
      </tp>
      <tp>
        <v>19.0120172532</v>
        <stp/>
        <stp>EM_S_FA_YOY_OR</stp>
        <stp>2</stp>
        <stp>002342</stp>
        <stp>12/31/2018</stp>
        <tr r="H2594" s="1"/>
      </tp>
      <tp>
        <v>20.856572943300002</v>
        <stp/>
        <stp>EM_S_FA_YOY_OR</stp>
        <stp>2</stp>
        <stp>002349</stp>
        <stp>12/31/2018</stp>
        <tr r="H3126" s="1"/>
      </tp>
      <tp>
        <v>25.575819363800001</v>
        <stp/>
        <stp>EM_S_FA_YOY_OR</stp>
        <stp>2</stp>
        <stp>002348</stp>
        <stp>12/31/2018</stp>
        <tr r="H2047" s="1"/>
      </tp>
      <tp>
        <v>1.1542766099999999</v>
        <stp/>
        <stp>EM_S_FA_YOY_OR</stp>
        <stp>2</stp>
        <stp>002355</stp>
        <stp>12/31/2018</stp>
        <tr r="H2718" s="1"/>
      </tp>
      <tp>
        <v>-16.2045483305</v>
        <stp/>
        <stp>EM_S_FA_YOY_OR</stp>
        <stp>2</stp>
        <stp>002354</stp>
        <stp>12/31/2018</stp>
        <tr r="H3345" s="1"/>
      </tp>
      <tp>
        <v>-10.711302311300001</v>
        <stp/>
        <stp>EM_S_FA_YOY_OR</stp>
        <stp>2</stp>
        <stp>002357</stp>
        <stp>12/31/2018</stp>
        <tr r="H1607" s="1"/>
      </tp>
      <tp>
        <v>-20.444467334399999</v>
        <stp/>
        <stp>EM_S_FA_YOY_OR</stp>
        <stp>2</stp>
        <stp>002356</stp>
        <stp>12/31/2018</stp>
        <tr r="H3400" s="1"/>
      </tp>
      <tp>
        <v>-2.2118431759999999</v>
        <stp/>
        <stp>EM_S_FA_YOY_OR</stp>
        <stp>2</stp>
        <stp>002351</stp>
        <stp>12/31/2018</stp>
        <tr r="H22" s="1"/>
      </tp>
      <tp>
        <v>15.1358667275</v>
        <stp/>
        <stp>EM_S_FA_YOY_OR</stp>
        <stp>2</stp>
        <stp>002350</stp>
        <stp>12/31/2018</stp>
        <tr r="H2684" s="1"/>
      </tp>
      <tp>
        <v>44.231591065899998</v>
        <stp/>
        <stp>EM_S_FA_YOY_OR</stp>
        <stp>2</stp>
        <stp>002353</stp>
        <stp>12/31/2018</stp>
        <tr r="H89" s="1"/>
      </tp>
      <tp>
        <v>27.598336493600002</v>
        <stp/>
        <stp>EM_S_FA_YOY_OR</stp>
        <stp>2</stp>
        <stp>002352</stp>
        <stp>12/31/2018</stp>
        <tr r="H1475" s="1"/>
      </tp>
      <tp>
        <v>28.657266903499998</v>
        <stp/>
        <stp>EM_S_FA_YOY_OR</stp>
        <stp>2</stp>
        <stp>002359</stp>
        <stp>12/31/2018</stp>
        <tr r="H3401" s="1"/>
      </tp>
      <tp>
        <v>-23.9542343745</v>
        <stp/>
        <stp>EM_S_FA_YOY_OR</stp>
        <stp>2</stp>
        <stp>002358</stp>
        <stp>12/31/2018</stp>
        <tr r="H3394" s="1"/>
      </tp>
      <tp>
        <v>7.7871253401000002</v>
        <stp/>
        <stp>EM_S_FA_YOY_OR</stp>
        <stp>2</stp>
        <stp>002365</stp>
        <stp>12/31/2018</stp>
        <tr r="H2692" s="1"/>
      </tp>
      <tp>
        <v>13.621040647099999</v>
        <stp/>
        <stp>EM_S_FA_YOY_OR</stp>
        <stp>2</stp>
        <stp>002364</stp>
        <stp>12/31/2018</stp>
        <tr r="H2413" s="1"/>
      </tp>
      <tp>
        <v>-5.7348459283000004</v>
        <stp/>
        <stp>EM_S_FA_YOY_OR</stp>
        <stp>2</stp>
        <stp>002367</stp>
        <stp>12/31/2018</stp>
        <tr r="H773" s="1"/>
      </tp>
      <tp>
        <v>-44.138817362899999</v>
        <stp/>
        <stp>EM_S_FA_YOY_OR</stp>
        <stp>2</stp>
        <stp>002366</stp>
        <stp>12/31/2018</stp>
        <tr r="H3168" s="1"/>
      </tp>
      <tp>
        <v>6.0111328902999999</v>
        <stp/>
        <stp>EM_S_FA_YOY_OR</stp>
        <stp>2</stp>
        <stp>002361</stp>
        <stp>12/31/2018</stp>
        <tr r="H1315" s="1"/>
      </tp>
      <tp>
        <v>26.330194028899999</v>
        <stp/>
        <stp>EM_S_FA_YOY_OR</stp>
        <stp>2</stp>
        <stp>002360</stp>
        <stp>12/31/2018</stp>
        <tr r="H2452" s="1"/>
      </tp>
      <tp>
        <v>10.1986694807</v>
        <stp/>
        <stp>EM_S_FA_YOY_OR</stp>
        <stp>2</stp>
        <stp>002363</stp>
        <stp>12/31/2018</stp>
        <tr r="H1055" s="1"/>
      </tp>
      <tp>
        <v>23.6432434922</v>
        <stp/>
        <stp>EM_S_FA_YOY_OR</stp>
        <stp>2</stp>
        <stp>002362</stp>
        <stp>12/31/2018</stp>
        <tr r="H1277" s="1"/>
      </tp>
      <tp>
        <v>13.801399373500001</v>
        <stp/>
        <stp>EM_S_FA_YOY_OR</stp>
        <stp>2</stp>
        <stp>002369</stp>
        <stp>12/31/2018</stp>
        <tr r="H1109" s="1"/>
      </tp>
      <tp>
        <v>13.520105150999999</v>
        <stp/>
        <stp>EM_S_FA_YOY_OR</stp>
        <stp>2</stp>
        <stp>002368</stp>
        <stp>12/31/2018</stp>
        <tr r="H315" s="1"/>
      </tp>
      <tp>
        <v>1.4409415457000001</v>
        <stp/>
        <stp>EM_S_FA_YOY_OR</stp>
        <stp>2</stp>
        <stp>002375</stp>
        <stp>12/31/2018</stp>
        <tr r="H1491" s="1"/>
      </tp>
      <tp>
        <v>-32.830358313799998</v>
        <stp/>
        <stp>EM_S_FA_YOY_OR</stp>
        <stp>2</stp>
        <stp>002374</stp>
        <stp>12/31/2018</stp>
        <tr r="H2545" s="1"/>
      </tp>
      <tp>
        <v>78.393479182999997</v>
        <stp/>
        <stp>EM_S_FA_YOY_OR</stp>
        <stp>2</stp>
        <stp>002377</stp>
        <stp>12/31/2018</stp>
        <tr r="H2493" s="1"/>
      </tp>
      <tp>
        <v>41.644383227299997</v>
        <stp/>
        <stp>EM_S_FA_YOY_OR</stp>
        <stp>2</stp>
        <stp>002376</stp>
        <stp>12/31/2018</stp>
        <tr r="H3097" s="1"/>
      </tp>
      <tp>
        <v>49.533171595600002</v>
        <stp/>
        <stp>EM_S_FA_YOY_OR</stp>
        <stp>2</stp>
        <stp>002371</stp>
        <stp>12/31/2018</stp>
        <tr r="H103" s="1"/>
      </tp>
      <tp>
        <v>20.938913827299999</v>
        <stp/>
        <stp>EM_S_FA_YOY_OR</stp>
        <stp>2</stp>
        <stp>002370</stp>
        <stp>12/31/2018</stp>
        <tr r="H3395" s="1"/>
      </tp>
      <tp>
        <v>35.351629812500001</v>
        <stp/>
        <stp>EM_S_FA_YOY_OR</stp>
        <stp>2</stp>
        <stp>002373</stp>
        <stp>12/31/2018</stp>
        <tr r="H379" s="1"/>
      </tp>
      <tp>
        <v>17.078828705999999</v>
        <stp/>
        <stp>EM_S_FA_YOY_OR</stp>
        <stp>2</stp>
        <stp>002372</stp>
        <stp>12/31/2018</stp>
        <tr r="H2991" s="1"/>
      </tp>
      <tp>
        <v>4.9203946254000002</v>
        <stp/>
        <stp>EM_S_FA_YOY_OR</stp>
        <stp>2</stp>
        <stp>002379</stp>
        <stp>12/31/2018</stp>
        <tr r="H881" s="1"/>
      </tp>
      <tp>
        <v>2.1113210969999998</v>
        <stp/>
        <stp>EM_S_FA_YOY_OR</stp>
        <stp>2</stp>
        <stp>002378</stp>
        <stp>12/31/2018</stp>
        <tr r="H1552" s="1"/>
      </tp>
      <tp>
        <v>8.1342676014999995</v>
        <stp/>
        <stp>EM_S_FA_YOY_OR</stp>
        <stp>2</stp>
        <stp>002085</stp>
        <stp>12/31/2018</stp>
        <tr r="H2749" s="1"/>
      </tp>
      <tp>
        <v>7.4395541674999999</v>
        <stp/>
        <stp>EM_S_FA_YOY_OR</stp>
        <stp>2</stp>
        <stp>002084</stp>
        <stp>12/31/2018</stp>
        <tr r="H346" s="1"/>
      </tp>
      <tp>
        <v>16.6439564571</v>
        <stp/>
        <stp>EM_S_FA_YOY_OR</stp>
        <stp>2</stp>
        <stp>002087</stp>
        <stp>12/31/2018</stp>
        <tr r="H2227" s="1"/>
      </tp>
      <tp>
        <v>-6.9761970055000004</v>
        <stp/>
        <stp>EM_S_FA_YOY_OR</stp>
        <stp>2</stp>
        <stp>002086</stp>
        <stp>12/31/2018</stp>
        <tr r="H3629" s="1"/>
      </tp>
      <tp>
        <v>19.489955482500001</v>
        <stp/>
        <stp>EM_S_FA_YOY_OR</stp>
        <stp>2</stp>
        <stp>002081</stp>
        <stp>12/31/2018</stp>
        <tr r="H1856" s="1"/>
      </tp>
      <tp>
        <v>11.4829662881</v>
        <stp/>
        <stp>EM_S_FA_YOY_OR</stp>
        <stp>2</stp>
        <stp>002080</stp>
        <stp>12/31/2018</stp>
        <tr r="H599" s="1"/>
      </tp>
      <tp>
        <v>7.2350844095999998</v>
        <stp/>
        <stp>EM_S_FA_YOY_OR</stp>
        <stp>2</stp>
        <stp>002083</stp>
        <stp>12/31/2018</stp>
        <tr r="H1111" s="1"/>
      </tp>
      <tp>
        <v>-2.0508258102000001</v>
        <stp/>
        <stp>EM_S_FA_YOY_OR</stp>
        <stp>2</stp>
        <stp>002082</stp>
        <stp>12/31/2018</stp>
        <tr r="H3628" s="1"/>
      </tp>
      <tp>
        <v>-52.688362393299997</v>
        <stp/>
        <stp>EM_S_FA_YOY_OR</stp>
        <stp>2</stp>
        <stp>002089</stp>
        <stp>12/31/2018</stp>
        <tr r="H3630" s="1"/>
      </tp>
      <tp>
        <v>15.452654728500001</v>
        <stp/>
        <stp>EM_S_FA_YOY_OR</stp>
        <stp>2</stp>
        <stp>002088</stp>
        <stp>12/31/2018</stp>
        <tr r="H1065" s="1"/>
      </tp>
      <tp>
        <v>16.202576051299999</v>
        <stp/>
        <stp>EM_S_FA_YOY_OR</stp>
        <stp>2</stp>
        <stp>002095</stp>
        <stp>12/31/2018</stp>
        <tr r="H1584" s="1"/>
      </tp>
      <tp>
        <v>16.669607915499999</v>
        <stp/>
        <stp>EM_S_FA_YOY_OR</stp>
        <stp>2</stp>
        <stp>002094</stp>
        <stp>12/31/2018</stp>
        <tr r="H2354" s="1"/>
      </tp>
      <tp>
        <v>45.641196179399998</v>
        <stp/>
        <stp>EM_S_FA_YOY_OR</stp>
        <stp>2</stp>
        <stp>002097</stp>
        <stp>12/31/2018</stp>
        <tr r="H1946" s="1"/>
      </tp>
      <tp>
        <v>-17.159614635899999</v>
        <stp/>
        <stp>EM_S_FA_YOY_OR</stp>
        <stp>2</stp>
        <stp>002096</stp>
        <stp>12/31/2018</stp>
        <tr r="H3632" s="1"/>
      </tp>
      <tp>
        <v>6.6997042233000004</v>
        <stp/>
        <stp>EM_S_FA_YOY_OR</stp>
        <stp>2</stp>
        <stp>002091</stp>
        <stp>12/31/2018</stp>
        <tr r="H1200" s="1"/>
      </tp>
      <tp>
        <v>-27.322875387900002</v>
        <stp/>
        <stp>EM_S_FA_YOY_OR</stp>
        <stp>2</stp>
        <stp>002090</stp>
        <stp>12/31/2018</stp>
        <tr r="H3281" s="1"/>
      </tp>
      <tp>
        <v>-35.151800684400001</v>
        <stp/>
        <stp>EM_S_FA_YOY_OR</stp>
        <stp>2</stp>
        <stp>002093</stp>
        <stp>12/31/2018</stp>
        <tr r="H3631" s="1"/>
      </tp>
      <tp>
        <v>71.028480042300004</v>
        <stp/>
        <stp>EM_S_FA_YOY_OR</stp>
        <stp>2</stp>
        <stp>002092</stp>
        <stp>12/31/2018</stp>
        <tr r="H2499" s="1"/>
      </tp>
      <tp>
        <v>17.743630837400001</v>
        <stp/>
        <stp>EM_S_FA_YOY_OR</stp>
        <stp>2</stp>
        <stp>002099</stp>
        <stp>12/31/2018</stp>
        <tr r="H498" s="1"/>
      </tp>
      <tp>
        <v>22.183656281000001</v>
        <stp/>
        <stp>EM_S_FA_YOY_OR</stp>
        <stp>2</stp>
        <stp>002098</stp>
        <stp>12/31/2018</stp>
        <tr r="H3633" s="1"/>
      </tp>
      <tp>
        <v>-4.7995935222000004</v>
        <stp/>
        <stp>EM_S_FA_YOY_OR</stp>
        <stp>2</stp>
        <stp>002005</stp>
        <stp>12/31/2018</stp>
        <tr r="H3604" s="1"/>
      </tp>
      <tp>
        <v>15.1451563451</v>
        <stp/>
        <stp>EM_S_FA_YOY_OR</stp>
        <stp>2</stp>
        <stp>002004</stp>
        <stp>12/31/2018</stp>
        <tr r="H1958" s="1"/>
      </tp>
      <tp>
        <v>35.8386348493</v>
        <stp/>
        <stp>EM_S_FA_YOY_OR</stp>
        <stp>2</stp>
        <stp>002007</stp>
        <stp>12/31/2018</stp>
        <tr r="H2145" s="1"/>
      </tp>
      <tp>
        <v>5.6772195390000002</v>
        <stp/>
        <stp>EM_S_FA_YOY_OR</stp>
        <stp>2</stp>
        <stp>002006</stp>
        <stp>12/31/2018</stp>
        <tr r="H2930" s="1"/>
      </tp>
      <tp>
        <v>39.265936334599999</v>
        <stp/>
        <stp>EM_S_FA_YOY_OR</stp>
        <stp>2</stp>
        <stp>002001</stp>
        <stp>12/31/2018</stp>
        <tr r="H565" s="1"/>
      </tp>
      <tp>
        <v>3.3225207013000002</v>
        <stp/>
        <stp>EM_S_FA_YOY_OR</stp>
        <stp>2</stp>
        <stp>002003</stp>
        <stp>12/31/2018</stp>
        <tr r="H2851" s="1"/>
      </tp>
      <tp>
        <v>-7.5822409966000004</v>
        <stp/>
        <stp>EM_S_FA_YOY_OR</stp>
        <stp>2</stp>
        <stp>002002</stp>
        <stp>12/31/2018</stp>
        <tr r="H3603" s="1"/>
      </tp>
      <tp>
        <v>42.485291846800003</v>
        <stp/>
        <stp>EM_S_FA_YOY_OR</stp>
        <stp>2</stp>
        <stp>002009</stp>
        <stp>12/31/2018</stp>
        <tr r="H2192" s="1"/>
      </tp>
      <tp>
        <v>-4.5899960067999999</v>
        <stp/>
        <stp>EM_S_FA_YOY_OR</stp>
        <stp>2</stp>
        <stp>002008</stp>
        <stp>12/31/2018</stp>
        <tr r="H3605" s="1"/>
      </tp>
      <tp>
        <v>15.104836753800001</v>
        <stp/>
        <stp>EM_S_FA_YOY_OR</stp>
        <stp>2</stp>
        <stp>002015</stp>
        <stp>12/31/2018</stp>
        <tr r="H1673" s="1"/>
      </tp>
      <tp>
        <v>16.134750777000001</v>
        <stp/>
        <stp>EM_S_FA_YOY_OR</stp>
        <stp>2</stp>
        <stp>002014</stp>
        <stp>12/31/2018</stp>
        <tr r="H643" s="1"/>
      </tp>
      <tp>
        <v>-3.1178689682999998</v>
        <stp/>
        <stp>EM_S_FA_YOY_OR</stp>
        <stp>2</stp>
        <stp>002017</stp>
        <stp>12/31/2018</stp>
        <tr r="H3607" s="1"/>
      </tp>
      <tp>
        <v>-24.209640609499999</v>
        <stp/>
        <stp>EM_S_FA_YOY_OR</stp>
        <stp>2</stp>
        <stp>002016</stp>
        <stp>12/31/2018</stp>
        <tr r="H2526" s="1"/>
      </tp>
      <tp>
        <v>13.550047021299999</v>
        <stp/>
        <stp>EM_S_FA_YOY_OR</stp>
        <stp>2</stp>
        <stp>002011</stp>
        <stp>12/31/2018</stp>
        <tr r="H3606" s="1"/>
      </tp>
      <tp>
        <v>4.8539935751999996</v>
        <stp/>
        <stp>EM_S_FA_YOY_OR</stp>
        <stp>2</stp>
        <stp>002010</stp>
        <stp>12/31/2018</stp>
        <tr r="H1950" s="1"/>
      </tp>
      <tp>
        <v>4.0834807072999997</v>
        <stp/>
        <stp>EM_S_FA_YOY_OR</stp>
        <stp>2</stp>
        <stp>002013</stp>
        <stp>12/31/2018</stp>
        <tr r="H1925" s="1"/>
      </tp>
      <tp>
        <v>9.7168231541000001</v>
        <stp/>
        <stp>EM_S_FA_YOY_OR</stp>
        <stp>2</stp>
        <stp>002012</stp>
        <stp>12/31/2018</stp>
        <tr r="H608" s="1"/>
      </tp>
      <tp>
        <v>5.9109097741000003</v>
        <stp/>
        <stp>EM_S_FA_YOY_OR</stp>
        <stp>2</stp>
        <stp>002019</stp>
        <stp>12/31/2018</stp>
        <tr r="H581" s="1"/>
      </tp>
      <tp>
        <v>-94.123083681799997</v>
        <stp/>
        <stp>EM_S_FA_YOY_OR</stp>
        <stp>2</stp>
        <stp>002018</stp>
        <stp>12/31/2018</stp>
        <tr r="H3608" s="1"/>
      </tp>
      <tp>
        <v>8.4971690528000003</v>
        <stp/>
        <stp>EM_S_FA_YOY_OR</stp>
        <stp>2</stp>
        <stp>002025</stp>
        <stp>12/31/2018</stp>
        <tr r="H1156" s="1"/>
      </tp>
      <tp>
        <v>30.346132889700002</v>
        <stp/>
        <stp>EM_S_FA_YOY_OR</stp>
        <stp>2</stp>
        <stp>002024</stp>
        <stp>12/31/2018</stp>
        <tr r="H2136" s="1"/>
      </tp>
      <tp>
        <v>21.1239082072</v>
        <stp/>
        <stp>EM_S_FA_YOY_OR</stp>
        <stp>2</stp>
        <stp>002027</stp>
        <stp>12/31/2018</stp>
        <tr r="H1266" s="1"/>
      </tp>
      <tp>
        <v>13.1086708614</v>
        <stp/>
        <stp>EM_S_FA_YOY_OR</stp>
        <stp>2</stp>
        <stp>002026</stp>
        <stp>12/31/2018</stp>
        <tr r="H2623" s="1"/>
      </tp>
      <tp>
        <v>13.8481190338</v>
        <stp/>
        <stp>EM_S_FA_YOY_OR</stp>
        <stp>2</stp>
        <stp>002021</stp>
        <stp>12/31/2018</stp>
        <tr r="H3609" s="1"/>
      </tp>
      <tp>
        <v>32.659507887099998</v>
        <stp/>
        <stp>EM_S_FA_YOY_OR</stp>
        <stp>2</stp>
        <stp>002020</stp>
        <stp>12/31/2018</stp>
        <tr r="H1187" s="1"/>
      </tp>
      <tp>
        <v>21.016755795000002</v>
        <stp/>
        <stp>EM_S_FA_YOY_OR</stp>
        <stp>2</stp>
        <stp>002023</stp>
        <stp>12/31/2018</stp>
        <tr r="H1575" s="1"/>
      </tp>
      <tp>
        <v>24.847457339399998</v>
        <stp/>
        <stp>EM_S_FA_YOY_OR</stp>
        <stp>2</stp>
        <stp>002022</stp>
        <stp>12/31/2018</stp>
        <tr r="H1340" s="1"/>
      </tp>
      <tp>
        <v>14.0081942034</v>
        <stp/>
        <stp>EM_S_FA_YOY_OR</stp>
        <stp>2</stp>
        <stp>002029</stp>
        <stp>12/31/2018</stp>
        <tr r="H2562" s="1"/>
      </tp>
      <tp>
        <v>6.9375602839999999</v>
        <stp/>
        <stp>EM_S_FA_YOY_OR</stp>
        <stp>2</stp>
        <stp>002028</stp>
        <stp>12/31/2018</stp>
        <tr r="H743" s="1"/>
      </tp>
      <tp>
        <v>6.3579225628999998</v>
        <stp/>
        <stp>EM_S_FA_YOY_OR</stp>
        <stp>2</stp>
        <stp>002035</stp>
        <stp>12/31/2018</stp>
        <tr r="H527" s="1"/>
      </tp>
      <tp>
        <v>-40.467184078899997</v>
        <stp/>
        <stp>EM_S_FA_YOY_OR</stp>
        <stp>2</stp>
        <stp>002034</stp>
        <stp>12/31/2018</stp>
        <tr r="H3612" s="1"/>
      </tp>
      <tp>
        <v>12.708798711</v>
        <stp/>
        <stp>EM_S_FA_YOY_OR</stp>
        <stp>2</stp>
        <stp>002037</stp>
        <stp>12/31/2018</stp>
        <tr r="H2964" s="1"/>
      </tp>
      <tp>
        <v>-4.9881332149000004</v>
        <stp/>
        <stp>EM_S_FA_YOY_OR</stp>
        <stp>2</stp>
        <stp>002036</stp>
        <stp>12/31/2018</stp>
        <tr r="H3613" s="1"/>
      </tp>
      <tp>
        <v>21.408476890599999</v>
        <stp/>
        <stp>EM_S_FA_YOY_OR</stp>
        <stp>2</stp>
        <stp>002031</stp>
        <stp>12/31/2018</stp>
        <tr r="H1994" s="1"/>
      </tp>
      <tp>
        <v>-4.1341418374999996</v>
        <stp/>
        <stp>EM_S_FA_YOY_OR</stp>
        <stp>2</stp>
        <stp>002030</stp>
        <stp>12/31/2018</stp>
        <tr r="H3610" s="1"/>
      </tp>
      <tp>
        <v>-1.2778916697</v>
        <stp/>
        <stp>EM_S_FA_YOY_OR</stp>
        <stp>2</stp>
        <stp>002033</stp>
        <stp>12/31/2018</stp>
        <tr r="H3611" s="1"/>
      </tp>
      <tp>
        <v>22.754964515200001</v>
        <stp/>
        <stp>EM_S_FA_YOY_OR</stp>
        <stp>2</stp>
        <stp>002032</stp>
        <stp>12/31/2018</stp>
        <tr r="H638" s="1"/>
      </tp>
      <tp>
        <v>-1.2709559546</v>
        <stp/>
        <stp>EM_S_FA_YOY_OR</stp>
        <stp>2</stp>
        <stp>002039</stp>
        <stp>12/31/2018</stp>
        <tr r="H3614" s="1"/>
      </tp>
      <tp>
        <v>74.503911062900002</v>
        <stp/>
        <stp>EM_S_FA_YOY_OR</stp>
        <stp>2</stp>
        <stp>002038</stp>
        <stp>12/31/2018</stp>
        <tr r="H3361" s="1"/>
      </tp>
      <tp>
        <v>-0.17079343450000001</v>
        <stp/>
        <stp>EM_S_FA_YOY_OR</stp>
        <stp>2</stp>
        <stp>002045</stp>
        <stp>12/31/2018</stp>
        <tr r="H63" s="1"/>
      </tp>
      <tp>
        <v>34.638205819900001</v>
        <stp/>
        <stp>EM_S_FA_YOY_OR</stp>
        <stp>2</stp>
        <stp>002044</stp>
        <stp>12/31/2018</stp>
        <tr r="H2450" s="1"/>
      </tp>
      <tp>
        <v>-4.3078123437000002</v>
        <stp/>
        <stp>EM_S_FA_YOY_OR</stp>
        <stp>2</stp>
        <stp>002047</stp>
        <stp>12/31/2018</stp>
        <tr r="H3616" s="1"/>
      </tp>
      <tp>
        <v>38.2801453127</v>
        <stp/>
        <stp>EM_S_FA_YOY_OR</stp>
        <stp>2</stp>
        <stp>002046</stp>
        <stp>12/31/2018</stp>
        <tr r="H1952" s="1"/>
      </tp>
      <tp>
        <v>-5.3190082504999996</v>
        <stp/>
        <stp>EM_S_FA_YOY_OR</stp>
        <stp>2</stp>
        <stp>002041</stp>
        <stp>12/31/2018</stp>
        <tr r="H3615" s="1"/>
      </tp>
      <tp>
        <v>5.8837202778000002</v>
        <stp/>
        <stp>EM_S_FA_YOY_OR</stp>
        <stp>2</stp>
        <stp>002040</stp>
        <stp>12/31/2018</stp>
        <tr r="H2768" s="1"/>
      </tp>
      <tp>
        <v>4.5368510960000004</v>
        <stp/>
        <stp>EM_S_FA_YOY_OR</stp>
        <stp>2</stp>
        <stp>002043</stp>
        <stp>12/31/2018</stp>
        <tr r="H656" s="1"/>
      </tp>
      <tp>
        <v>13.582260049</v>
        <stp/>
        <stp>EM_S_FA_YOY_OR</stp>
        <stp>2</stp>
        <stp>002042</stp>
        <stp>12/31/2018</stp>
        <tr r="H872" s="1"/>
      </tp>
      <tp>
        <v>34.406495410399998</v>
        <stp/>
        <stp>EM_S_FA_YOY_OR</stp>
        <stp>2</stp>
        <stp>002049</stp>
        <stp>12/31/2018</stp>
        <tr r="H262" s="1"/>
      </tp>
      <tp>
        <v>0.81360807420000003</v>
        <stp/>
        <stp>EM_S_FA_YOY_OR</stp>
        <stp>2</stp>
        <stp>002048</stp>
        <stp>12/31/2018</stp>
        <tr r="H510" s="1"/>
      </tp>
      <tp>
        <v>27.398126833100001</v>
        <stp/>
        <stp>EM_S_FA_YOY_OR</stp>
        <stp>2</stp>
        <stp>002055</stp>
        <stp>12/31/2018</stp>
        <tr r="H1666" s="1"/>
      </tp>
      <tp>
        <v>-32.378843218500002</v>
        <stp/>
        <stp>EM_S_FA_YOY_OR</stp>
        <stp>2</stp>
        <stp>002054</stp>
        <stp>12/31/2018</stp>
        <tr r="H3620" s="1"/>
      </tp>
      <tp>
        <v>10.5906307401</v>
        <stp/>
        <stp>EM_S_FA_YOY_OR</stp>
        <stp>2</stp>
        <stp>002057</stp>
        <stp>12/31/2018</stp>
        <tr r="H460" s="1"/>
      </tp>
      <tp>
        <v>3.0448407681999998</v>
        <stp/>
        <stp>EM_S_FA_YOY_OR</stp>
        <stp>2</stp>
        <stp>002056</stp>
        <stp>12/31/2018</stp>
        <tr r="H553" s="1"/>
      </tp>
      <tp>
        <v>-6.9498354724000002</v>
        <stp/>
        <stp>EM_S_FA_YOY_OR</stp>
        <stp>2</stp>
        <stp>002051</stp>
        <stp>12/31/2018</stp>
        <tr r="H3617" s="1"/>
      </tp>
      <tp>
        <v>13.095866277000001</v>
        <stp/>
        <stp>EM_S_FA_YOY_OR</stp>
        <stp>2</stp>
        <stp>002050</stp>
        <stp>12/31/2018</stp>
        <tr r="H791" s="1"/>
      </tp>
      <tp>
        <v>-1.1561497379000001</v>
        <stp/>
        <stp>EM_S_FA_YOY_OR</stp>
        <stp>2</stp>
        <stp>002053</stp>
        <stp>12/31/2018</stp>
        <tr r="H3619" s="1"/>
      </tp>
      <tp>
        <v>18.617137936399999</v>
        <stp/>
        <stp>EM_S_FA_YOY_OR</stp>
        <stp>2</stp>
        <stp>002052</stp>
        <stp>12/31/2018</stp>
        <tr r="H3618" s="1"/>
      </tp>
      <tp>
        <v>11.560761021999999</v>
        <stp/>
        <stp>EM_S_FA_YOY_OR</stp>
        <stp>2</stp>
        <stp>002059</stp>
        <stp>12/31/2018</stp>
        <tr r="H2514" s="1"/>
      </tp>
      <tp>
        <v>4.5587780089000001</v>
        <stp/>
        <stp>EM_S_FA_YOY_OR</stp>
        <stp>2</stp>
        <stp>002058</stp>
        <stp>12/31/2018</stp>
        <tr r="H306" s="1"/>
      </tp>
      <tp>
        <v>16.1926177052</v>
        <stp/>
        <stp>EM_S_FA_YOY_OR</stp>
        <stp>2</stp>
        <stp>002065</stp>
        <stp>12/31/2018</stp>
        <tr r="H619" s="1"/>
      </tp>
      <tp>
        <v>6.8928059136000002</v>
        <stp/>
        <stp>EM_S_FA_YOY_OR</stp>
        <stp>2</stp>
        <stp>002064</stp>
        <stp>12/31/2018</stp>
        <tr r="H557" s="1"/>
      </tp>
      <tp>
        <v>10.7939598276</v>
        <stp/>
        <stp>EM_S_FA_YOY_OR</stp>
        <stp>2</stp>
        <stp>002067</stp>
        <stp>12/31/2018</stp>
        <tr r="H2531" s="1"/>
      </tp>
      <tp>
        <v>73.959716517700002</v>
        <stp/>
        <stp>EM_S_FA_YOY_OR</stp>
        <stp>2</stp>
        <stp>002066</stp>
        <stp>12/31/2018</stp>
        <tr r="H1696" s="1"/>
      </tp>
      <tp>
        <v>27.005739090599999</v>
        <stp/>
        <stp>EM_S_FA_YOY_OR</stp>
        <stp>2</stp>
        <stp>002061</stp>
        <stp>12/31/2018</stp>
        <tr r="H3337" s="1"/>
      </tp>
      <tp>
        <v>25.306401464899999</v>
        <stp/>
        <stp>EM_S_FA_YOY_OR</stp>
        <stp>2</stp>
        <stp>002060</stp>
        <stp>12/31/2018</stp>
        <tr r="H1677" s="1"/>
      </tp>
      <tp>
        <v>8.4055275348999992</v>
        <stp/>
        <stp>EM_S_FA_YOY_OR</stp>
        <stp>2</stp>
        <stp>002063</stp>
        <stp>12/31/2018</stp>
        <tr r="H118" s="1"/>
      </tp>
      <tp>
        <v>21.667988151100001</v>
        <stp/>
        <stp>EM_S_FA_YOY_OR</stp>
        <stp>2</stp>
        <stp>002062</stp>
        <stp>12/31/2018</stp>
        <tr r="H2740" s="1"/>
      </tp>
      <tp>
        <v>-12.7220272746</v>
        <stp/>
        <stp>EM_S_FA_YOY_OR</stp>
        <stp>2</stp>
        <stp>002069</stp>
        <stp>12/31/2018</stp>
        <tr r="H3621" s="1"/>
      </tp>
      <tp>
        <v>13.6115702314</v>
        <stp/>
        <stp>EM_S_FA_YOY_OR</stp>
        <stp>2</stp>
        <stp>002068</stp>
        <stp>12/31/2018</stp>
        <tr r="H3034" s="1"/>
      </tp>
      <tp>
        <v>18.511646066600001</v>
        <stp/>
        <stp>EM_S_FA_YOY_OR</stp>
        <stp>2</stp>
        <stp>002075</stp>
        <stp>12/31/2018</stp>
        <tr r="H3139" s="1"/>
      </tp>
      <tp>
        <v>5.9712827889</v>
        <stp/>
        <stp>EM_S_FA_YOY_OR</stp>
        <stp>2</stp>
        <stp>002074</stp>
        <stp>12/31/2018</stp>
        <tr r="H1128" s="1"/>
      </tp>
      <tp>
        <v>28.9357844709</v>
        <stp/>
        <stp>EM_S_FA_YOY_OR</stp>
        <stp>2</stp>
        <stp>002077</stp>
        <stp>12/31/2018</stp>
        <tr r="H3627" s="1"/>
      </tp>
      <tp>
        <v>-44.804459089700003</v>
        <stp/>
        <stp>EM_S_FA_YOY_OR</stp>
        <stp>2</stp>
        <stp>002076</stp>
        <stp>12/31/2018</stp>
        <tr r="H3626" s="1"/>
      </tp>
      <tp>
        <v>16.170425933099999</v>
        <stp/>
        <stp>EM_S_FA_YOY_OR</stp>
        <stp>2</stp>
        <stp>002071</stp>
        <stp>12/31/2018</stp>
        <tr r="H3623" s="1"/>
      </tp>
      <tp>
        <v>-73.287307656199999</v>
        <stp/>
        <stp>EM_S_FA_YOY_OR</stp>
        <stp>2</stp>
        <stp>002070</stp>
        <stp>12/31/2018</stp>
        <tr r="H3622" s="1"/>
      </tp>
      <tp>
        <v>0.99625065069999996</v>
        <stp/>
        <stp>EM_S_FA_YOY_OR</stp>
        <stp>2</stp>
        <stp>002073</stp>
        <stp>12/31/2018</stp>
        <tr r="H3625" s="1"/>
      </tp>
      <tp>
        <v>-67.911692711300006</v>
        <stp/>
        <stp>EM_S_FA_YOY_OR</stp>
        <stp>2</stp>
        <stp>002072</stp>
        <stp>12/31/2018</stp>
        <tr r="H3624" s="1"/>
      </tp>
      <tp>
        <v>1.6571857827000001</v>
        <stp/>
        <stp>EM_S_FA_YOY_OR</stp>
        <stp>2</stp>
        <stp>002079</stp>
        <stp>12/31/2018</stp>
        <tr r="H84" s="1"/>
      </tp>
      <tp>
        <v>15.2115312301</v>
        <stp/>
        <stp>EM_S_FA_YOY_OR</stp>
        <stp>2</stp>
        <stp>002078</stp>
        <stp>12/31/2018</stp>
        <tr r="H275" s="1"/>
      </tp>
      <tp>
        <v>1.5953231474</v>
        <stp/>
        <stp>EM_S_FA_YOY_OR</stp>
        <stp>2</stp>
        <stp>002185</stp>
        <stp>12/31/2018</stp>
        <tr r="H243" s="1"/>
      </tp>
      <tp>
        <v>-17.5670996825</v>
        <stp/>
        <stp>EM_S_FA_YOY_OR</stp>
        <stp>2</stp>
        <stp>002184</stp>
        <stp>12/31/2018</stp>
        <tr r="H1608" s="1"/>
      </tp>
      <tp>
        <v>10.4978252059</v>
        <stp/>
        <stp>EM_S_FA_YOY_OR</stp>
        <stp>2</stp>
        <stp>002187</stp>
        <stp>12/31/2018</stp>
        <tr r="H1956" s="1"/>
      </tp>
      <tp>
        <v>-4.4770454142</v>
        <stp/>
        <stp>EM_S_FA_YOY_OR</stp>
        <stp>2</stp>
        <stp>002186</stp>
        <stp>12/31/2018</stp>
        <tr r="H2772" s="1"/>
      </tp>
      <tp>
        <v>-10.8339208746</v>
        <stp/>
        <stp>EM_S_FA_YOY_OR</stp>
        <stp>2</stp>
        <stp>002181</stp>
        <stp>12/31/2018</stp>
        <tr r="H406" s="1"/>
      </tp>
      <tp>
        <v>2.8256215841999999</v>
        <stp/>
        <stp>EM_S_FA_YOY_OR</stp>
        <stp>2</stp>
        <stp>002180</stp>
        <stp>12/31/2018</stp>
        <tr r="H700" s="1"/>
      </tp>
      <tp>
        <v>2.3985241372999999</v>
        <stp/>
        <stp>EM_S_FA_YOY_OR</stp>
        <stp>2</stp>
        <stp>002183</stp>
        <stp>12/31/2018</stp>
        <tr r="H2949" s="1"/>
      </tp>
      <tp>
        <v>3.5355646695999998</v>
        <stp/>
        <stp>EM_S_FA_YOY_OR</stp>
        <stp>2</stp>
        <stp>002182</stp>
        <stp>12/31/2018</stp>
        <tr r="H558" s="1"/>
      </tp>
      <tp>
        <v>55.340512953299999</v>
        <stp/>
        <stp>EM_S_FA_YOY_OR</stp>
        <stp>2</stp>
        <stp>002189</stp>
        <stp>12/31/2018</stp>
        <tr r="H409" s="1"/>
      </tp>
      <tp>
        <v>-75.584048165699997</v>
        <stp/>
        <stp>EM_S_FA_YOY_OR</stp>
        <stp>2</stp>
        <stp>002188</stp>
        <stp>12/31/2018</stp>
        <tr r="H2426" s="1"/>
      </tp>
      <tp>
        <v>17.949040679700001</v>
        <stp/>
        <stp>EM_S_FA_YOY_OR</stp>
        <stp>2</stp>
        <stp>002195</stp>
        <stp>12/31/2018</stp>
        <tr r="H2857" s="1"/>
      </tp>
      <tp>
        <v>-16.1550344493</v>
        <stp/>
        <stp>EM_S_FA_YOY_OR</stp>
        <stp>2</stp>
        <stp>002194</stp>
        <stp>12/31/2018</stp>
        <tr r="H48" s="1"/>
      </tp>
      <tp>
        <v>-20.8127945566</v>
        <stp/>
        <stp>EM_S_FA_YOY_OR</stp>
        <stp>2</stp>
        <stp>002197</stp>
        <stp>12/31/2018</stp>
        <tr r="H1474" s="1"/>
      </tp>
      <tp>
        <v>3.4546653959000002</v>
        <stp/>
        <stp>EM_S_FA_YOY_OR</stp>
        <stp>2</stp>
        <stp>002196</stp>
        <stp>12/31/2018</stp>
        <tr r="H1966" s="1"/>
      </tp>
      <tp>
        <v>14.5558078832</v>
        <stp/>
        <stp>EM_S_FA_YOY_OR</stp>
        <stp>2</stp>
        <stp>002191</stp>
        <stp>12/31/2018</stp>
        <tr r="H626" s="1"/>
      </tp>
      <tp>
        <v>10.445618811299999</v>
        <stp/>
        <stp>EM_S_FA_YOY_OR</stp>
        <stp>2</stp>
        <stp>002190</stp>
        <stp>12/31/2018</stp>
        <tr r="H842" s="1"/>
      </tp>
      <tp>
        <v>11.2823777218</v>
        <stp/>
        <stp>EM_S_FA_YOY_OR</stp>
        <stp>2</stp>
        <stp>002193</stp>
        <stp>12/31/2018</stp>
        <tr r="H2773" s="1"/>
      </tp>
      <tp>
        <v>37.187939438999997</v>
        <stp/>
        <stp>EM_S_FA_YOY_OR</stp>
        <stp>2</stp>
        <stp>002192</stp>
        <stp>12/31/2018</stp>
        <tr r="H988" s="1"/>
      </tp>
      <tp>
        <v>-23.627926257799999</v>
        <stp/>
        <stp>EM_S_FA_YOY_OR</stp>
        <stp>2</stp>
        <stp>002199</stp>
        <stp>12/31/2018</stp>
        <tr r="H2124" s="1"/>
      </tp>
      <tp>
        <v>14.720300437700001</v>
        <stp/>
        <stp>EM_S_FA_YOY_OR</stp>
        <stp>2</stp>
        <stp>002198</stp>
        <stp>12/31/2018</stp>
        <tr r="H2082" s="1"/>
      </tp>
      <tp>
        <v>-13.8762346464</v>
        <stp/>
        <stp>EM_S_FA_YOY_OR</stp>
        <stp>2</stp>
        <stp>002105</stp>
        <stp>12/31/2018</stp>
        <tr r="H3636" s="1"/>
      </tp>
      <tp>
        <v>23.526551982000001</v>
        <stp/>
        <stp>EM_S_FA_YOY_OR</stp>
        <stp>2</stp>
        <stp>002104</stp>
        <stp>12/31/2018</stp>
        <tr r="H962" s="1"/>
      </tp>
      <tp>
        <v>6.5739837924</v>
        <stp/>
        <stp>EM_S_FA_YOY_OR</stp>
        <stp>2</stp>
        <stp>002107</stp>
        <stp>12/31/2018</stp>
        <tr r="H1136" s="1"/>
      </tp>
      <tp>
        <v>10.696838681799999</v>
        <stp/>
        <stp>EM_S_FA_YOY_OR</stp>
        <stp>2</stp>
        <stp>002106</stp>
        <stp>12/31/2018</stp>
        <tr r="H474" s="1"/>
      </tp>
      <tp>
        <v>21.138501796300002</v>
        <stp/>
        <stp>EM_S_FA_YOY_OR</stp>
        <stp>2</stp>
        <stp>002101</stp>
        <stp>12/31/2018</stp>
        <tr r="H2834" s="1"/>
      </tp>
      <tp>
        <v>13.887754580599999</v>
        <stp/>
        <stp>EM_S_FA_YOY_OR</stp>
        <stp>2</stp>
        <stp>002100</stp>
        <stp>12/31/2018</stp>
        <tr r="H54" s="1"/>
      </tp>
      <tp>
        <v>-13.8821784726</v>
        <stp/>
        <stp>EM_S_FA_YOY_OR</stp>
        <stp>2</stp>
        <stp>002103</stp>
        <stp>12/31/2018</stp>
        <tr r="H3635" s="1"/>
      </tp>
      <tp>
        <v>46.808558731399998</v>
        <stp/>
        <stp>EM_S_FA_YOY_OR</stp>
        <stp>2</stp>
        <stp>002102</stp>
        <stp>12/31/2018</stp>
        <tr r="H3634" s="1"/>
      </tp>
      <tp>
        <v>8.3775872930999995</v>
        <stp/>
        <stp>EM_S_FA_YOY_OR</stp>
        <stp>2</stp>
        <stp>002109</stp>
        <stp>12/31/2018</stp>
        <tr r="H2560" s="1"/>
      </tp>
      <tp>
        <v>-5.6559334101000003</v>
        <stp/>
        <stp>EM_S_FA_YOY_OR</stp>
        <stp>2</stp>
        <stp>002108</stp>
        <stp>12/31/2018</stp>
        <tr r="H3637" s="1"/>
      </tp>
      <tp>
        <v>200.7875263398</v>
        <stp/>
        <stp>EM_S_FA_YOY_OR</stp>
        <stp>2</stp>
        <stp>002115</stp>
        <stp>12/31/2018</stp>
        <tr r="H2756" s="1"/>
      </tp>
      <tp>
        <v>-33.657567514100002</v>
        <stp/>
        <stp>EM_S_FA_YOY_OR</stp>
        <stp>2</stp>
        <stp>002114</stp>
        <stp>12/31/2018</stp>
        <tr r="H3638" s="1"/>
      </tp>
      <tp>
        <v>8.1251650744999999</v>
        <stp/>
        <stp>EM_S_FA_YOY_OR</stp>
        <stp>2</stp>
        <stp>002117</stp>
        <stp>12/31/2018</stp>
        <tr r="H2798" s="1"/>
      </tp>
      <tp>
        <v>24.433762642800001</v>
        <stp/>
        <stp>EM_S_FA_YOY_OR</stp>
        <stp>2</stp>
        <stp>002116</stp>
        <stp>12/31/2018</stp>
        <tr r="H1546" s="1"/>
      </tp>
      <tp>
        <v>21.233029560199999</v>
        <stp/>
        <stp>EM_S_FA_YOY_OR</stp>
        <stp>2</stp>
        <stp>002111</stp>
        <stp>12/31/2018</stp>
        <tr r="H421" s="1"/>
      </tp>
      <tp>
        <v>14.399065739199999</v>
        <stp/>
        <stp>EM_S_FA_YOY_OR</stp>
        <stp>2</stp>
        <stp>002110</stp>
        <stp>12/31/2018</stp>
        <tr r="H3202" s="1"/>
      </tp>
      <tp>
        <v>154.95186338970001</v>
        <stp/>
        <stp>EM_S_FA_YOY_OR</stp>
        <stp>2</stp>
        <stp>002113</stp>
        <stp>12/31/2018</stp>
        <tr r="H3352" s="1"/>
      </tp>
      <tp>
        <v>6.4697347939999998</v>
        <stp/>
        <stp>EM_S_FA_YOY_OR</stp>
        <stp>2</stp>
        <stp>002112</stp>
        <stp>12/31/2018</stp>
        <tr r="H2156" s="1"/>
      </tp>
      <tp>
        <v>13.752415496099999</v>
        <stp/>
        <stp>EM_S_FA_YOY_OR</stp>
        <stp>2</stp>
        <stp>002119</stp>
        <stp>12/31/2018</stp>
        <tr r="H493" s="1"/>
      </tp>
      <tp>
        <v>-0.17101223639999999</v>
        <stp/>
        <stp>EM_S_FA_YOY_OR</stp>
        <stp>2</stp>
        <stp>002118</stp>
        <stp>12/31/2018</stp>
        <tr r="H754" s="1"/>
      </tp>
      <tp>
        <v>45.655336236799997</v>
        <stp/>
        <stp>EM_S_FA_YOY_OR</stp>
        <stp>2</stp>
        <stp>002125</stp>
        <stp>12/31/2018</stp>
        <tr r="H3120" s="1"/>
      </tp>
      <tp>
        <v>47.626954117799997</v>
        <stp/>
        <stp>EM_S_FA_YOY_OR</stp>
        <stp>2</stp>
        <stp>002124</stp>
        <stp>12/31/2018</stp>
        <tr r="H3641" s="1"/>
      </tp>
      <tp>
        <v>240.12018284870001</v>
        <stp/>
        <stp>EM_S_FA_YOY_OR</stp>
        <stp>2</stp>
        <stp>002127</stp>
        <stp>12/31/2018</stp>
        <tr r="H645" s="1"/>
      </tp>
      <tp>
        <v>16.098450868699999</v>
        <stp/>
        <stp>EM_S_FA_YOY_OR</stp>
        <stp>2</stp>
        <stp>002126</stp>
        <stp>12/31/2018</stp>
        <tr r="H1836" s="1"/>
      </tp>
      <tp>
        <v>-13.361540203900001</v>
        <stp/>
        <stp>EM_S_FA_YOY_OR</stp>
        <stp>2</stp>
        <stp>002121</stp>
        <stp>12/31/2018</stp>
        <tr r="H3639" s="1"/>
      </tp>
      <tp>
        <v>38.760074555099997</v>
        <stp/>
        <stp>EM_S_FA_YOY_OR</stp>
        <stp>2</stp>
        <stp>002120</stp>
        <stp>12/31/2018</stp>
        <tr r="H1786" s="1"/>
      </tp>
      <tp>
        <v>8.5747822417999995</v>
        <stp/>
        <stp>EM_S_FA_YOY_OR</stp>
        <stp>2</stp>
        <stp>002123</stp>
        <stp>12/31/2018</stp>
        <tr r="H78" s="1"/>
      </tp>
      <tp>
        <v>-26.254910450699999</v>
        <stp/>
        <stp>EM_S_FA_YOY_OR</stp>
        <stp>2</stp>
        <stp>002122</stp>
        <stp>12/31/2018</stp>
        <tr r="H3640" s="1"/>
      </tp>
      <tp>
        <v>42.632196703799998</v>
        <stp/>
        <stp>EM_S_FA_YOY_OR</stp>
        <stp>2</stp>
        <stp>002129</stp>
        <stp>12/31/2018</stp>
        <tr r="H384" s="1"/>
      </tp>
      <tp>
        <v>8.4509150750999993</v>
        <stp/>
        <stp>EM_S_FA_YOY_OR</stp>
        <stp>2</stp>
        <stp>002128</stp>
        <stp>12/31/2018</stp>
        <tr r="H1209" s="1"/>
      </tp>
      <tp>
        <v>11.59094198</v>
        <stp/>
        <stp>EM_S_FA_YOY_OR</stp>
        <stp>2</stp>
        <stp>002135</stp>
        <stp>12/31/2018</stp>
        <tr r="H1756" s="1"/>
      </tp>
      <tp>
        <v>-9.0798033096000008</v>
        <stp/>
        <stp>EM_S_FA_YOY_OR</stp>
        <stp>2</stp>
        <stp>002134</stp>
        <stp>12/31/2018</stp>
        <tr r="H424" s="1"/>
      </tp>
      <tp>
        <v>10.6380506423</v>
        <stp/>
        <stp>EM_S_FA_YOY_OR</stp>
        <stp>2</stp>
        <stp>002137</stp>
        <stp>12/31/2018</stp>
        <tr r="H1770" s="1"/>
      </tp>
      <tp>
        <v>-9.3596889342999994</v>
        <stp/>
        <stp>EM_S_FA_YOY_OR</stp>
        <stp>2</stp>
        <stp>002136</stp>
        <stp>12/31/2018</stp>
        <tr r="H2611" s="1"/>
      </tp>
      <tp>
        <v>15.8655672943</v>
        <stp/>
        <stp>EM_S_FA_YOY_OR</stp>
        <stp>2</stp>
        <stp>002131</stp>
        <stp>12/31/2018</stp>
        <tr r="H178" s="1"/>
      </tp>
      <tp>
        <v>36.645981114199998</v>
        <stp/>
        <stp>EM_S_FA_YOY_OR</stp>
        <stp>2</stp>
        <stp>002130</stp>
        <stp>12/31/2018</stp>
        <tr r="H517" s="1"/>
      </tp>
      <tp>
        <v>-8.7408591755000007</v>
        <stp/>
        <stp>EM_S_FA_YOY_OR</stp>
        <stp>2</stp>
        <stp>002133</stp>
        <stp>12/31/2018</stp>
        <tr r="H2546" s="1"/>
      </tp>
      <tp>
        <v>-1.0453527578999999</v>
        <stp/>
        <stp>EM_S_FA_YOY_OR</stp>
        <stp>2</stp>
        <stp>002132</stp>
        <stp>12/31/2018</stp>
        <tr r="H1461" s="1"/>
      </tp>
      <tp>
        <v>26.993874226999999</v>
        <stp/>
        <stp>EM_S_FA_YOY_OR</stp>
        <stp>2</stp>
        <stp>002139</stp>
        <stp>12/31/2018</stp>
        <tr r="H684" s="1"/>
      </tp>
      <tp>
        <v>18.841459824600001</v>
        <stp/>
        <stp>EM_S_FA_YOY_OR</stp>
        <stp>2</stp>
        <stp>002138</stp>
        <stp>12/31/2018</stp>
        <tr r="H329" s="1"/>
      </tp>
      <tp>
        <v>-5.1443949444000001</v>
        <stp/>
        <stp>EM_S_FA_YOY_OR</stp>
        <stp>2</stp>
        <stp>002145</stp>
        <stp>12/31/2018</stp>
        <tr r="H805" s="1"/>
      </tp>
      <tp>
        <v>0.58439004409999995</v>
        <stp/>
        <stp>EM_S_FA_YOY_OR</stp>
        <stp>2</stp>
        <stp>002144</stp>
        <stp>12/31/2018</stp>
        <tr r="H2202" s="1"/>
      </tp>
      <tp>
        <v>7.7745506754000004</v>
        <stp/>
        <stp>EM_S_FA_YOY_OR</stp>
        <stp>2</stp>
        <stp>002147</stp>
        <stp>12/31/2018</stp>
        <tr r="H3244" s="1"/>
      </tp>
      <tp>
        <v>45.637661035500003</v>
        <stp/>
        <stp>EM_S_FA_YOY_OR</stp>
        <stp>2</stp>
        <stp>002146</stp>
        <stp>12/31/2018</stp>
        <tr r="H1173" s="1"/>
      </tp>
      <tp>
        <v>-13.707035725600001</v>
        <stp/>
        <stp>EM_S_FA_YOY_OR</stp>
        <stp>2</stp>
        <stp>002141</stp>
        <stp>12/31/2018</stp>
        <tr r="H2946" s="1"/>
      </tp>
      <tp>
        <v>38.682389047000001</v>
        <stp/>
        <stp>EM_S_FA_YOY_OR</stp>
        <stp>2</stp>
        <stp>002140</stp>
        <stp>12/31/2018</stp>
        <tr r="H1194" s="1"/>
      </tp>
      <tp>
        <v>-83.440475340399999</v>
        <stp/>
        <stp>EM_S_FA_YOY_OR</stp>
        <stp>2</stp>
        <stp>002143</stp>
        <stp>12/31/2018</stp>
        <tr r="H3411" s="1"/>
      </tp>
      <tp>
        <v>14.2843418271</v>
        <stp/>
        <stp>EM_S_FA_YOY_OR</stp>
        <stp>2</stp>
        <stp>002142</stp>
        <stp>12/31/2018</stp>
        <tr r="H303" s="1"/>
      </tp>
      <tp>
        <v>10.3310132283</v>
        <stp/>
        <stp>EM_S_FA_YOY_OR</stp>
        <stp>2</stp>
        <stp>002149</stp>
        <stp>12/31/2018</stp>
        <tr r="H618" s="1"/>
      </tp>
      <tp>
        <v>-59.1568097372</v>
        <stp/>
        <stp>EM_S_FA_YOY_OR</stp>
        <stp>2</stp>
        <stp>002148</stp>
        <stp>12/31/2018</stp>
        <tr r="H2885" s="1"/>
      </tp>
      <tp>
        <v>20.677996705599998</v>
        <stp/>
        <stp>EM_S_FA_YOY_OR</stp>
        <stp>2</stp>
        <stp>002155</stp>
        <stp>12/31/2018</stp>
        <tr r="H2369" s="1"/>
      </tp>
      <tp>
        <v>19.545115838400001</v>
        <stp/>
        <stp>EM_S_FA_YOY_OR</stp>
        <stp>2</stp>
        <stp>002154</stp>
        <stp>12/31/2018</stp>
        <tr r="H1861" s="1"/>
      </tp>
      <tp>
        <v>7.2668797378000001</v>
        <stp/>
        <stp>EM_S_FA_YOY_OR</stp>
        <stp>2</stp>
        <stp>002157</stp>
        <stp>12/31/2018</stp>
        <tr r="H45" s="1"/>
      </tp>
      <tp>
        <v>10.792764057299999</v>
        <stp/>
        <stp>EM_S_FA_YOY_OR</stp>
        <stp>2</stp>
        <stp>002156</stp>
        <stp>12/31/2018</stp>
        <tr r="H102" s="1"/>
      </tp>
      <tp>
        <v>38.4149565528</v>
        <stp/>
        <stp>EM_S_FA_YOY_OR</stp>
        <stp>2</stp>
        <stp>002151</stp>
        <stp>12/31/2018</stp>
        <tr r="H1237" s="1"/>
      </tp>
      <tp>
        <v>10.552222674299999</v>
        <stp/>
        <stp>EM_S_FA_YOY_OR</stp>
        <stp>2</stp>
        <stp>002150</stp>
        <stp>12/31/2018</stp>
        <tr r="H1664" s="1"/>
      </tp>
      <tp>
        <v>4.6039922388000001</v>
        <stp/>
        <stp>EM_S_FA_YOY_OR</stp>
        <stp>2</stp>
        <stp>002153</stp>
        <stp>12/31/2018</stp>
        <tr r="H541" s="1"/>
      </tp>
      <tp>
        <v>24.532584888799999</v>
        <stp/>
        <stp>EM_S_FA_YOY_OR</stp>
        <stp>2</stp>
        <stp>002152</stp>
        <stp>12/31/2018</stp>
        <tr r="H279" s="1"/>
      </tp>
      <tp>
        <v>20.161611194300001</v>
        <stp/>
        <stp>EM_S_FA_YOY_OR</stp>
        <stp>2</stp>
        <stp>002159</stp>
        <stp>12/31/2018</stp>
        <tr r="H3212" s="1"/>
      </tp>
      <tp>
        <v>7.9241211478000002</v>
        <stp/>
        <stp>EM_S_FA_YOY_OR</stp>
        <stp>2</stp>
        <stp>002158</stp>
        <stp>12/31/2018</stp>
        <tr r="H1124" s="1"/>
      </tp>
      <tp>
        <v>13.6281830492</v>
        <stp/>
        <stp>EM_S_FA_YOY_OR</stp>
        <stp>2</stp>
        <stp>002165</stp>
        <stp>12/31/2018</stp>
        <tr r="H1121" s="1"/>
      </tp>
      <tp>
        <v>-8.6215790302999995</v>
        <stp/>
        <stp>EM_S_FA_YOY_OR</stp>
        <stp>2</stp>
        <stp>002164</stp>
        <stp>12/31/2018</stp>
        <tr r="H733" s="1"/>
      </tp>
      <tp>
        <v>-40.9081896625</v>
        <stp/>
        <stp>EM_S_FA_YOY_OR</stp>
        <stp>2</stp>
        <stp>002167</stp>
        <stp>12/31/2018</stp>
        <tr r="H860" s="1"/>
      </tp>
      <tp>
        <v>-22.677517319900002</v>
        <stp/>
        <stp>EM_S_FA_YOY_OR</stp>
        <stp>2</stp>
        <stp>002166</stp>
        <stp>12/31/2018</stp>
        <tr r="H1282" s="1"/>
      </tp>
      <tp>
        <v>-17.495884498199999</v>
        <stp/>
        <stp>EM_S_FA_YOY_OR</stp>
        <stp>2</stp>
        <stp>002161</stp>
        <stp>12/31/2018</stp>
        <tr r="H278" s="1"/>
      </tp>
      <tp>
        <v>1.8160020327999999</v>
        <stp/>
        <stp>EM_S_FA_YOY_OR</stp>
        <stp>2</stp>
        <stp>002160</stp>
        <stp>12/31/2018</stp>
        <tr r="H3009" s="1"/>
      </tp>
      <tp>
        <v>3.7488937864</v>
        <stp/>
        <stp>EM_S_FA_YOY_OR</stp>
        <stp>2</stp>
        <stp>002163</stp>
        <stp>12/31/2018</stp>
        <tr r="H1572" s="1"/>
      </tp>
      <tp>
        <v>8.6266581876000004</v>
        <stp/>
        <stp>EM_S_FA_YOY_OR</stp>
        <stp>2</stp>
        <stp>002162</stp>
        <stp>12/31/2018</stp>
        <tr r="H1080" s="1"/>
      </tp>
      <tp>
        <v>47.592869573500003</v>
        <stp/>
        <stp>EM_S_FA_YOY_OR</stp>
        <stp>2</stp>
        <stp>002169</stp>
        <stp>12/31/2018</stp>
        <tr r="H182" s="1"/>
      </tp>
      <tp>
        <v>408.65410278090002</v>
        <stp/>
        <stp>EM_S_FA_YOY_OR</stp>
        <stp>2</stp>
        <stp>002168</stp>
        <stp>12/31/2018</stp>
        <tr r="H3021" s="1"/>
      </tp>
      <tp>
        <v>-39.866471343400001</v>
        <stp/>
        <stp>EM_S_FA_YOY_OR</stp>
        <stp>2</stp>
        <stp>002175</stp>
        <stp>12/31/2018</stp>
        <tr r="H3335" s="1"/>
      </tp>
      <tp>
        <v>10.6802575069</v>
        <stp/>
        <stp>EM_S_FA_YOY_OR</stp>
        <stp>2</stp>
        <stp>002174</stp>
        <stp>12/31/2018</stp>
        <tr r="H1138" s="1"/>
      </tp>
      <tp>
        <v>-30.805013359899998</v>
        <stp/>
        <stp>EM_S_FA_YOY_OR</stp>
        <stp>2</stp>
        <stp>002177</stp>
        <stp>12/31/2018</stp>
        <tr r="H284" s="1"/>
      </tp>
      <tp>
        <v>-10.3566995078</v>
        <stp/>
        <stp>EM_S_FA_YOY_OR</stp>
        <stp>2</stp>
        <stp>002176</stp>
        <stp>12/31/2018</stp>
        <tr r="H3286" s="1"/>
      </tp>
      <tp>
        <v>18.680521115800001</v>
        <stp/>
        <stp>EM_S_FA_YOY_OR</stp>
        <stp>2</stp>
        <stp>002171</stp>
        <stp>12/31/2018</stp>
        <tr r="H435" s="1"/>
      </tp>
      <tp>
        <v>10.1697696105</v>
        <stp/>
        <stp>EM_S_FA_YOY_OR</stp>
        <stp>2</stp>
        <stp>002170</stp>
        <stp>12/31/2018</stp>
        <tr r="H1698" s="1"/>
      </tp>
      <tp>
        <v>16.986113300900001</v>
        <stp/>
        <stp>EM_S_FA_YOY_OR</stp>
        <stp>2</stp>
        <stp>002173</stp>
        <stp>12/31/2018</stp>
        <tr r="H2881" s="1"/>
      </tp>
      <tp>
        <v>-12.3045717557</v>
        <stp/>
        <stp>EM_S_FA_YOY_OR</stp>
        <stp>2</stp>
        <stp>002172</stp>
        <stp>12/31/2018</stp>
        <tr r="H2424" s="1"/>
      </tp>
      <tp>
        <v>22.858349859499999</v>
        <stp/>
        <stp>EM_S_FA_YOY_OR</stp>
        <stp>2</stp>
        <stp>002179</stp>
        <stp>12/31/2018</stp>
        <tr r="H1453" s="1"/>
      </tp>
      <tp>
        <v>-4.6242903409</v>
        <stp/>
        <stp>EM_S_FA_YOY_OR</stp>
        <stp>2</stp>
        <stp>002178</stp>
        <stp>12/31/2018</stp>
        <tr r="H1588" s="1"/>
      </tp>
      <tp>
        <v>98.877038063900002</v>
        <stp/>
        <stp>EM_S_FA_YOY_OR</stp>
        <stp>2</stp>
        <stp>002685</stp>
        <stp>12/31/2018</stp>
        <tr r="H775" s="1"/>
      </tp>
      <tp>
        <v>-71.825566810400005</v>
        <stp/>
        <stp>EM_S_FA_YOY_OR</stp>
        <stp>2</stp>
        <stp>002684</stp>
        <stp>12/31/2018</stp>
        <tr r="H2556" s="1"/>
      </tp>
      <tp>
        <v>27.6996839404</v>
        <stp/>
        <stp>EM_S_FA_YOY_OR</stp>
        <stp>2</stp>
        <stp>002687</stp>
        <stp>12/31/2018</stp>
        <tr r="H2607" s="1"/>
      </tp>
      <tp>
        <v>10.605546314</v>
        <stp/>
        <stp>EM_S_FA_YOY_OR</stp>
        <stp>2</stp>
        <stp>002686</stp>
        <stp>12/31/2018</stp>
        <tr r="H2783" s="1"/>
      </tp>
      <tp>
        <v>4.2258654476000004</v>
        <stp/>
        <stp>EM_S_FA_YOY_OR</stp>
        <stp>2</stp>
        <stp>002681</stp>
        <stp>12/31/2018</stp>
        <tr r="H536" s="1"/>
      </tp>
      <tp>
        <v>0</v>
        <stp/>
        <stp>EM_S_FA_YOY_OR</stp>
        <stp>2</stp>
        <stp>002680</stp>
        <stp>12/31/2018</stp>
        <tr r="H3406" s="1"/>
      </tp>
      <tp>
        <v>14.9261484978</v>
        <stp/>
        <stp>EM_S_FA_YOY_OR</stp>
        <stp>2</stp>
        <stp>002683</stp>
        <stp>12/31/2018</stp>
        <tr r="H111" s="1"/>
      </tp>
      <tp>
        <v>43.963023874100003</v>
        <stp/>
        <stp>EM_S_FA_YOY_OR</stp>
        <stp>2</stp>
        <stp>002682</stp>
        <stp>12/31/2018</stp>
        <tr r="H2134" s="1"/>
      </tp>
      <tp>
        <v>4.7057940805999996</v>
        <stp/>
        <stp>EM_S_FA_YOY_OR</stp>
        <stp>2</stp>
        <stp>002689</stp>
        <stp>12/31/2018</stp>
        <tr r="H1692" s="1"/>
      </tp>
      <tp>
        <v>11.734164176</v>
        <stp/>
        <stp>EM_S_FA_YOY_OR</stp>
        <stp>2</stp>
        <stp>002688</stp>
        <stp>12/31/2018</stp>
        <tr r="H809" s="1"/>
      </tp>
      <tp>
        <v>28.4073712219</v>
        <stp/>
        <stp>EM_S_FA_YOY_OR</stp>
        <stp>2</stp>
        <stp>002695</stp>
        <stp>12/31/2018</stp>
        <tr r="H430" s="1"/>
      </tp>
      <tp>
        <v>-19.289465869800001</v>
        <stp/>
        <stp>EM_S_FA_YOY_OR</stp>
        <stp>2</stp>
        <stp>002694</stp>
        <stp>12/31/2018</stp>
        <tr r="H3113" s="1"/>
      </tp>
      <tp>
        <v>4.0506646370999997</v>
        <stp/>
        <stp>EM_S_FA_YOY_OR</stp>
        <stp>2</stp>
        <stp>002697</stp>
        <stp>12/31/2018</stp>
        <tr r="H629" s="1"/>
      </tp>
      <tp>
        <v>30.886189492900002</v>
        <stp/>
        <stp>EM_S_FA_YOY_OR</stp>
        <stp>2</stp>
        <stp>002696</stp>
        <stp>12/31/2018</stp>
        <tr r="H3242" s="1"/>
      </tp>
      <tp>
        <v>3.6746740342000002</v>
        <stp/>
        <stp>EM_S_FA_YOY_OR</stp>
        <stp>2</stp>
        <stp>002691</stp>
        <stp>12/31/2018</stp>
        <tr r="H3060" s="1"/>
      </tp>
      <tp>
        <v>13.325962502599999</v>
        <stp/>
        <stp>EM_S_FA_YOY_OR</stp>
        <stp>2</stp>
        <stp>002690</stp>
        <stp>12/31/2018</stp>
        <tr r="H233" s="1"/>
      </tp>
      <tp>
        <v>36.663067191700002</v>
        <stp/>
        <stp>EM_S_FA_YOY_OR</stp>
        <stp>2</stp>
        <stp>002693</stp>
        <stp>12/31/2018</stp>
        <tr r="H1309" s="1"/>
      </tp>
      <tp>
        <v>16.609122345300001</v>
        <stp/>
        <stp>EM_S_FA_YOY_OR</stp>
        <stp>2</stp>
        <stp>002692</stp>
        <stp>12/31/2018</stp>
        <tr r="H2695" s="1"/>
      </tp>
      <tp>
        <v>-14.733735278099999</v>
        <stp/>
        <stp>EM_S_FA_YOY_OR</stp>
        <stp>2</stp>
        <stp>002699</stp>
        <stp>12/31/2018</stp>
        <tr r="H1025" s="1"/>
      </tp>
      <tp>
        <v>16.178961164099999</v>
        <stp/>
        <stp>EM_S_FA_YOY_OR</stp>
        <stp>2</stp>
        <stp>002698</stp>
        <stp>12/31/2018</stp>
        <tr r="H1301" s="1"/>
      </tp>
      <tp>
        <v>42.418611567500001</v>
        <stp/>
        <stp>EM_S_FA_YOY_OR</stp>
        <stp>2</stp>
        <stp>002605</stp>
        <stp>12/31/2018</stp>
        <tr r="H74" s="1"/>
      </tp>
      <tp>
        <v>-56.474159632899998</v>
        <stp/>
        <stp>EM_S_FA_YOY_OR</stp>
        <stp>2</stp>
        <stp>002604</stp>
        <stp>12/31/2018</stp>
        <tr r="H1363" s="1"/>
      </tp>
      <tp>
        <v>54.715695361999998</v>
        <stp/>
        <stp>EM_S_FA_YOY_OR</stp>
        <stp>2</stp>
        <stp>002607</stp>
        <stp>12/31/2018</stp>
        <tr r="H95" s="1"/>
      </tp>
      <tp>
        <v>-27.485467621200002</v>
        <stp/>
        <stp>EM_S_FA_YOY_OR</stp>
        <stp>2</stp>
        <stp>002606</stp>
        <stp>12/31/2018</stp>
        <tr r="H2831" s="1"/>
      </tp>
      <tp>
        <v>1.7848283073</v>
        <stp/>
        <stp>EM_S_FA_YOY_OR</stp>
        <stp>2</stp>
        <stp>002601</stp>
        <stp>12/31/2018</stp>
        <tr r="H1076" s="1"/>
      </tp>
      <tp>
        <v>133.4804933826</v>
        <stp/>
        <stp>EM_S_FA_YOY_OR</stp>
        <stp>2</stp>
        <stp>002600</stp>
        <stp>12/31/2018</stp>
        <tr r="H23" s="1"/>
      </tp>
      <tp>
        <v>17.967244725499999</v>
        <stp/>
        <stp>EM_S_FA_YOY_OR</stp>
        <stp>2</stp>
        <stp>002603</stp>
        <stp>12/31/2018</stp>
        <tr r="H1855" s="1"/>
      </tp>
      <tp>
        <v>132.72449625869999</v>
        <stp/>
        <stp>EM_S_FA_YOY_OR</stp>
        <stp>2</stp>
        <stp>002602</stp>
        <stp>12/31/2018</stp>
        <tr r="H3332" s="1"/>
      </tp>
      <tp>
        <v>-4.8373099459000004</v>
        <stp/>
        <stp>EM_S_FA_YOY_OR</stp>
        <stp>2</stp>
        <stp>002609</stp>
        <stp>12/31/2018</stp>
        <tr r="H507" s="1"/>
      </tp>
      <tp>
        <v>9.4536664340000005</v>
        <stp/>
        <stp>EM_S_FA_YOY_OR</stp>
        <stp>2</stp>
        <stp>002608</stp>
        <stp>12/31/2018</stp>
        <tr r="H2248" s="1"/>
      </tp>
      <tp>
        <v>24.677461785999999</v>
        <stp/>
        <stp>EM_S_FA_YOY_OR</stp>
        <stp>2</stp>
        <stp>002615</stp>
        <stp>12/31/2018</stp>
        <tr r="H1586" s="1"/>
      </tp>
      <tp>
        <v>26.8577888465</v>
        <stp/>
        <stp>EM_S_FA_YOY_OR</stp>
        <stp>2</stp>
        <stp>002614</stp>
        <stp>12/31/2018</stp>
        <tr r="H3257" s="1"/>
      </tp>
      <tp>
        <v>-6.9281080778000002</v>
        <stp/>
        <stp>EM_S_FA_YOY_OR</stp>
        <stp>2</stp>
        <stp>002617</stp>
        <stp>12/31/2018</stp>
        <tr r="H760" s="1"/>
      </tp>
      <tp>
        <v>6.0488081359999999</v>
        <stp/>
        <stp>EM_S_FA_YOY_OR</stp>
        <stp>2</stp>
        <stp>002616</stp>
        <stp>12/31/2018</stp>
        <tr r="H1661" s="1"/>
      </tp>
      <tp>
        <v>41.335498944900003</v>
        <stp/>
        <stp>EM_S_FA_YOY_OR</stp>
        <stp>2</stp>
        <stp>002611</stp>
        <stp>12/31/2018</stp>
        <tr r="H1539" s="1"/>
      </tp>
      <tp>
        <v>-0.28386573030000001</v>
        <stp/>
        <stp>EM_S_FA_YOY_OR</stp>
        <stp>2</stp>
        <stp>002610</stp>
        <stp>12/31/2018</stp>
        <tr r="H2135" s="1"/>
      </tp>
      <tp>
        <v>-10.4603193642</v>
        <stp/>
        <stp>EM_S_FA_YOY_OR</stp>
        <stp>2</stp>
        <stp>002613</stp>
        <stp>12/31/2018</stp>
        <tr r="H2072" s="1"/>
      </tp>
      <tp>
        <v>13.1002597134</v>
        <stp/>
        <stp>EM_S_FA_YOY_OR</stp>
        <stp>2</stp>
        <stp>002612</stp>
        <stp>12/31/2018</stp>
        <tr r="H1881" s="1"/>
      </tp>
      <tp>
        <v>-1.8689045621</v>
        <stp/>
        <stp>EM_S_FA_YOY_OR</stp>
        <stp>2</stp>
        <stp>002619</stp>
        <stp>12/31/2018</stp>
        <tr r="H2620" s="1"/>
      </tp>
      <tp>
        <v>8.3327818481999998</v>
        <stp/>
        <stp>EM_S_FA_YOY_OR</stp>
        <stp>2</stp>
        <stp>002618</stp>
        <stp>12/31/2018</stp>
        <tr r="H2739" s="1"/>
      </tp>
      <tp>
        <v>22.143397256899998</v>
        <stp/>
        <stp>EM_S_FA_YOY_OR</stp>
        <stp>2</stp>
        <stp>002625</stp>
        <stp>12/31/2018</stp>
        <tr r="H2630" s="1"/>
      </tp>
      <tp>
        <v>1.3108756262000001</v>
        <stp/>
        <stp>EM_S_FA_YOY_OR</stp>
        <stp>2</stp>
        <stp>002624</stp>
        <stp>12/31/2018</stp>
        <tr r="H449" s="1"/>
      </tp>
      <tp>
        <v>-1.9895080410999999</v>
        <stp/>
        <stp>EM_S_FA_YOY_OR</stp>
        <stp>2</stp>
        <stp>002627</stp>
        <stp>12/31/2018</stp>
        <tr r="H389" s="1"/>
      </tp>
      <tp>
        <v>37.8005431586</v>
        <stp/>
        <stp>EM_S_FA_YOY_OR</stp>
        <stp>2</stp>
        <stp>002626</stp>
        <stp>12/31/2018</stp>
        <tr r="H414" s="1"/>
      </tp>
      <tp>
        <v>49.775965645500001</v>
        <stp/>
        <stp>EM_S_FA_YOY_OR</stp>
        <stp>2</stp>
        <stp>002621</stp>
        <stp>12/31/2018</stp>
        <tr r="H3271" s="1"/>
      </tp>
      <tp>
        <v>20.2040913686</v>
        <stp/>
        <stp>EM_S_FA_YOY_OR</stp>
        <stp>2</stp>
        <stp>002620</stp>
        <stp>12/31/2018</stp>
        <tr r="H2023" s="1"/>
      </tp>
      <tp>
        <v>-5.0904877614000004</v>
        <stp/>
        <stp>EM_S_FA_YOY_OR</stp>
        <stp>2</stp>
        <stp>002623</stp>
        <stp>12/31/2018</stp>
        <tr r="H556" s="1"/>
      </tp>
      <tp>
        <v>116.696719958</v>
        <stp/>
        <stp>EM_S_FA_YOY_OR</stp>
        <stp>2</stp>
        <stp>002622</stp>
        <stp>12/31/2018</stp>
        <tr r="H1510" s="1"/>
      </tp>
      <tp>
        <v>-20.996543646700001</v>
        <stp/>
        <stp>EM_S_FA_YOY_OR</stp>
        <stp>2</stp>
        <stp>002629</stp>
        <stp>12/31/2018</stp>
        <tr r="H3220" s="1"/>
      </tp>
      <tp>
        <v>37.153176387199998</v>
        <stp/>
        <stp>EM_S_FA_YOY_OR</stp>
        <stp>2</stp>
        <stp>002628</stp>
        <stp>12/31/2018</stp>
        <tr r="H2357" s="1"/>
      </tp>
      <tp>
        <v>30.9311842967</v>
        <stp/>
        <stp>EM_S_FA_YOY_OR</stp>
        <stp>2</stp>
        <stp>002635</stp>
        <stp>12/31/2018</stp>
        <tr r="H547" s="1"/>
      </tp>
      <tp>
        <v>-4.2806323480000001</v>
        <stp/>
        <stp>EM_S_FA_YOY_OR</stp>
        <stp>2</stp>
        <stp>002634</stp>
        <stp>12/31/2018</stp>
        <tr r="H713" s="1"/>
      </tp>
      <tp>
        <v>2.2550836421999998</v>
        <stp/>
        <stp>EM_S_FA_YOY_OR</stp>
        <stp>2</stp>
        <stp>002637</stp>
        <stp>12/31/2018</stp>
        <tr r="H640" s="1"/>
      </tp>
      <tp>
        <v>0.20173206839999999</v>
        <stp/>
        <stp>EM_S_FA_YOY_OR</stp>
        <stp>2</stp>
        <stp>002636</stp>
        <stp>12/31/2018</stp>
        <tr r="H1181" s="1"/>
      </tp>
      <tp>
        <v>10.4938758073</v>
        <stp/>
        <stp>EM_S_FA_YOY_OR</stp>
        <stp>2</stp>
        <stp>002631</stp>
        <stp>12/31/2018</stp>
        <tr r="H1082" s="1"/>
      </tp>
      <tp>
        <v>-11.7653775484</v>
        <stp/>
        <stp>EM_S_FA_YOY_OR</stp>
        <stp>2</stp>
        <stp>002630</stp>
        <stp>12/31/2018</stp>
        <tr r="H2954" s="1"/>
      </tp>
      <tp>
        <v>-7.0525143901999998</v>
        <stp/>
        <stp>EM_S_FA_YOY_OR</stp>
        <stp>2</stp>
        <stp>002633</stp>
        <stp>12/31/2018</stp>
        <tr r="H2033" s="1"/>
      </tp>
      <tp>
        <v>48.408225849700003</v>
        <stp/>
        <stp>EM_S_FA_YOY_OR</stp>
        <stp>2</stp>
        <stp>002632</stp>
        <stp>12/31/2018</stp>
        <tr r="H1891" s="1"/>
      </tp>
      <tp>
        <v>39.1750219543</v>
        <stp/>
        <stp>EM_S_FA_YOY_OR</stp>
        <stp>2</stp>
        <stp>002639</stp>
        <stp>12/31/2018</stp>
        <tr r="H434" s="1"/>
      </tp>
      <tp>
        <v>-19.352308109599999</v>
        <stp/>
        <stp>EM_S_FA_YOY_OR</stp>
        <stp>2</stp>
        <stp>002638</stp>
        <stp>12/31/2018</stp>
        <tr r="H689" s="1"/>
      </tp>
      <tp>
        <v>47.384785079700002</v>
        <stp/>
        <stp>EM_S_FA_YOY_OR</stp>
        <stp>2</stp>
        <stp>002645</stp>
        <stp>12/31/2018</stp>
        <tr r="H1368" s="1"/>
      </tp>
      <tp>
        <v>8.6685066592000002</v>
        <stp/>
        <stp>EM_S_FA_YOY_OR</stp>
        <stp>2</stp>
        <stp>002644</stp>
        <stp>12/31/2018</stp>
        <tr r="H2710" s="1"/>
      </tp>
      <tp>
        <v>55.843841304000001</v>
        <stp/>
        <stp>EM_S_FA_YOY_OR</stp>
        <stp>2</stp>
        <stp>002647</stp>
        <stp>12/31/2018</stp>
        <tr r="H963" s="1"/>
      </tp>
      <tp>
        <v>2.2941754489999999</v>
        <stp/>
        <stp>EM_S_FA_YOY_OR</stp>
        <stp>2</stp>
        <stp>002646</stp>
        <stp>12/31/2018</stp>
        <tr r="H2254" s="1"/>
      </tp>
      <tp>
        <v>17.1576203055</v>
        <stp/>
        <stp>EM_S_FA_YOY_OR</stp>
        <stp>2</stp>
        <stp>002641</stp>
        <stp>12/31/2018</stp>
        <tr r="H718" s="1"/>
      </tp>
      <tp>
        <v>53.617004939399997</v>
        <stp/>
        <stp>EM_S_FA_YOY_OR</stp>
        <stp>2</stp>
        <stp>002640</stp>
        <stp>12/31/2018</stp>
        <tr r="H3219" s="1"/>
      </tp>
      <tp>
        <v>7.1354041272000002</v>
        <stp/>
        <stp>EM_S_FA_YOY_OR</stp>
        <stp>2</stp>
        <stp>002643</stp>
        <stp>12/31/2018</stp>
        <tr r="H561" s="1"/>
      </tp>
      <tp>
        <v>44.7591815547</v>
        <stp/>
        <stp>EM_S_FA_YOY_OR</stp>
        <stp>2</stp>
        <stp>002642</stp>
        <stp>12/31/2018</stp>
        <tr r="H2603" s="1"/>
      </tp>
      <tp>
        <v>28.103337424199999</v>
        <stp/>
        <stp>EM_S_FA_YOY_OR</stp>
        <stp>2</stp>
        <stp>002649</stp>
        <stp>12/31/2018</stp>
        <tr r="H807" s="1"/>
      </tp>
      <tp>
        <v>22.488994127200002</v>
        <stp/>
        <stp>EM_S_FA_YOY_OR</stp>
        <stp>2</stp>
        <stp>002648</stp>
        <stp>12/31/2018</stp>
        <tr r="H309" s="1"/>
      </tp>
      <tp>
        <v>2.2651614265000002</v>
        <stp/>
        <stp>EM_S_FA_YOY_OR</stp>
        <stp>2</stp>
        <stp>002655</stp>
        <stp>12/31/2018</stp>
        <tr r="H153" s="1"/>
      </tp>
      <tp>
        <v>50.454498430400001</v>
        <stp/>
        <stp>EM_S_FA_YOY_OR</stp>
        <stp>2</stp>
        <stp>002654</stp>
        <stp>12/31/2018</stp>
        <tr r="H606" s="1"/>
      </tp>
      <tp>
        <v>21.174867882200001</v>
        <stp/>
        <stp>EM_S_FA_YOY_OR</stp>
        <stp>2</stp>
        <stp>002657</stp>
        <stp>12/31/2018</stp>
        <tr r="H628" s="1"/>
      </tp>
      <tp>
        <v>69.555513448300005</v>
        <stp/>
        <stp>EM_S_FA_YOY_OR</stp>
        <stp>2</stp>
        <stp>002656</stp>
        <stp>12/31/2018</stp>
        <tr r="H3289" s="1"/>
      </tp>
      <tp>
        <v>-1.6491563532</v>
        <stp/>
        <stp>EM_S_FA_YOY_OR</stp>
        <stp>2</stp>
        <stp>002651</stp>
        <stp>12/31/2018</stp>
        <tr r="H1383" s="1"/>
      </tp>
      <tp>
        <v>-5.4356389748999998</v>
        <stp/>
        <stp>EM_S_FA_YOY_OR</stp>
        <stp>2</stp>
        <stp>002650</stp>
        <stp>12/31/2018</stp>
        <tr r="H2392" s="1"/>
      </tp>
      <tp>
        <v>84.610300369100003</v>
        <stp/>
        <stp>EM_S_FA_YOY_OR</stp>
        <stp>2</stp>
        <stp>002653</stp>
        <stp>12/31/2018</stp>
        <tr r="H337" s="1"/>
      </tp>
      <tp>
        <v>5.0327988175999998</v>
        <stp/>
        <stp>EM_S_FA_YOY_OR</stp>
        <stp>2</stp>
        <stp>002652</stp>
        <stp>12/31/2018</stp>
        <tr r="H2182" s="1"/>
      </tp>
      <tp>
        <v>-61.0142753238</v>
        <stp/>
        <stp>EM_S_FA_YOY_OR</stp>
        <stp>2</stp>
        <stp>002659</stp>
        <stp>12/31/2018</stp>
        <tr r="H3175" s="1"/>
      </tp>
      <tp>
        <v>18.865032642700001</v>
        <stp/>
        <stp>EM_S_FA_YOY_OR</stp>
        <stp>2</stp>
        <stp>002658</stp>
        <stp>12/31/2018</stp>
        <tr r="H2191" s="1"/>
      </tp>
      <tp>
        <v>-56.8427781141</v>
        <stp/>
        <stp>EM_S_FA_YOY_OR</stp>
        <stp>2</stp>
        <stp>002665</stp>
        <stp>12/31/2018</stp>
        <tr r="H1281" s="1"/>
      </tp>
      <tp>
        <v>8.7698687935000006</v>
        <stp/>
        <stp>EM_S_FA_YOY_OR</stp>
        <stp>2</stp>
        <stp>002664</stp>
        <stp>12/31/2018</stp>
        <tr r="H985" s="1"/>
      </tp>
      <tp>
        <v>2.5119143658</v>
        <stp/>
        <stp>EM_S_FA_YOY_OR</stp>
        <stp>2</stp>
        <stp>002667</stp>
        <stp>12/31/2018</stp>
        <tr r="H1882" s="1"/>
      </tp>
      <tp>
        <v>18.569301359600001</v>
        <stp/>
        <stp>EM_S_FA_YOY_OR</stp>
        <stp>2</stp>
        <stp>002666</stp>
        <stp>12/31/2018</stp>
        <tr r="H1190" s="1"/>
      </tp>
      <tp>
        <v>25.860767124500001</v>
        <stp/>
        <stp>EM_S_FA_YOY_OR</stp>
        <stp>2</stp>
        <stp>002661</stp>
        <stp>12/31/2018</stp>
        <tr r="H2711" s="1"/>
      </tp>
      <tp>
        <v>-19.0246162561</v>
        <stp/>
        <stp>EM_S_FA_YOY_OR</stp>
        <stp>2</stp>
        <stp>002660</stp>
        <stp>12/31/2018</stp>
        <tr r="H568" s="1"/>
      </tp>
      <tp>
        <v>6.4155643614000004</v>
        <stp/>
        <stp>EM_S_FA_YOY_OR</stp>
        <stp>2</stp>
        <stp>002663</stp>
        <stp>12/31/2018</stp>
        <tr r="H1524" s="1"/>
      </tp>
      <tp>
        <v>-4.8744352423999997</v>
        <stp/>
        <stp>EM_S_FA_YOY_OR</stp>
        <stp>2</stp>
        <stp>002662</stp>
        <stp>12/31/2018</stp>
        <tr r="H3217" s="1"/>
      </tp>
      <tp>
        <v>68.845165909399995</v>
        <stp/>
        <stp>EM_S_FA_YOY_OR</stp>
        <stp>2</stp>
        <stp>002669</stp>
        <stp>12/31/2018</stp>
        <tr r="H830" s="1"/>
      </tp>
      <tp>
        <v>12.040255828499999</v>
        <stp/>
        <stp>EM_S_FA_YOY_OR</stp>
        <stp>2</stp>
        <stp>002668</stp>
        <stp>12/31/2018</stp>
        <tr r="H1444" s="1"/>
      </tp>
      <tp>
        <v>46.2033889585</v>
        <stp/>
        <stp>EM_S_FA_YOY_OR</stp>
        <stp>2</stp>
        <stp>002675</stp>
        <stp>12/31/2018</stp>
        <tr r="H177" s="1"/>
      </tp>
      <tp>
        <v>-14.4810788367</v>
        <stp/>
        <stp>EM_S_FA_YOY_OR</stp>
        <stp>2</stp>
        <stp>002674</stp>
        <stp>12/31/2018</stp>
        <tr r="H622" s="1"/>
      </tp>
      <tp>
        <v>36.492198477999999</v>
        <stp/>
        <stp>EM_S_FA_YOY_OR</stp>
        <stp>2</stp>
        <stp>002677</stp>
        <stp>12/31/2018</stp>
        <tr r="H839" s="1"/>
      </tp>
      <tp>
        <v>4.0310333089999997</v>
        <stp/>
        <stp>EM_S_FA_YOY_OR</stp>
        <stp>2</stp>
        <stp>002676</stp>
        <stp>12/31/2018</stp>
        <tr r="H1749" s="1"/>
      </tp>
      <tp>
        <v>3.6019867426999999</v>
        <stp/>
        <stp>EM_S_FA_YOY_OR</stp>
        <stp>2</stp>
        <stp>002671</stp>
        <stp>12/31/2018</stp>
        <tr r="H1752" s="1"/>
      </tp>
      <tp>
        <v>-35.317278545500002</v>
        <stp/>
        <stp>EM_S_FA_YOY_OR</stp>
        <stp>2</stp>
        <stp>002670</stp>
        <stp>12/31/2018</stp>
        <tr r="H1233" s="1"/>
      </tp>
      <tp>
        <v>-29.420171138000001</v>
        <stp/>
        <stp>EM_S_FA_YOY_OR</stp>
        <stp>2</stp>
        <stp>002673</stp>
        <stp>12/31/2018</stp>
        <tr r="H998" s="1"/>
      </tp>
      <tp>
        <v>5.9497520712999998</v>
        <stp/>
        <stp>EM_S_FA_YOY_OR</stp>
        <stp>2</stp>
        <stp>002672</stp>
        <stp>12/31/2018</stp>
        <tr r="H3093" s="1"/>
      </tp>
      <tp>
        <v>-3.6622582214000001</v>
        <stp/>
        <stp>EM_S_FA_YOY_OR</stp>
        <stp>2</stp>
        <stp>002679</stp>
        <stp>12/31/2018</stp>
        <tr r="H2584" s="1"/>
      </tp>
      <tp>
        <v>10.298316419700001</v>
        <stp/>
        <stp>EM_S_FA_YOY_OR</stp>
        <stp>2</stp>
        <stp>002678</stp>
        <stp>12/31/2018</stp>
        <tr r="H697" s="1"/>
      </tp>
      <tp>
        <v>24.415696682</v>
        <stp/>
        <stp>EM_S_FA_YOY_OR</stp>
        <stp>2</stp>
        <stp>002785</stp>
        <stp>12/31/2018</stp>
        <tr r="H500" s="1"/>
      </tp>
      <tp>
        <v>20.3912723601</v>
        <stp/>
        <stp>EM_S_FA_YOY_OR</stp>
        <stp>2</stp>
        <stp>002787</stp>
        <stp>12/31/2018</stp>
        <tr r="H1847" s="1"/>
      </tp>
      <tp>
        <v>3.6245275531000001</v>
        <stp/>
        <stp>EM_S_FA_YOY_OR</stp>
        <stp>2</stp>
        <stp>002786</stp>
        <stp>12/31/2018</stp>
        <tr r="H785" s="1"/>
      </tp>
      <tp>
        <v>27.662608388300001</v>
        <stp/>
        <stp>EM_S_FA_YOY_OR</stp>
        <stp>2</stp>
        <stp>002781</stp>
        <stp>12/31/2018</stp>
        <tr r="H1532" s="1"/>
      </tp>
      <tp>
        <v>19.618428152300002</v>
        <stp/>
        <stp>EM_S_FA_YOY_OR</stp>
        <stp>2</stp>
        <stp>002780</stp>
        <stp>12/31/2018</stp>
        <tr r="H661" s="1"/>
      </tp>
      <tp>
        <v>37.2537149562</v>
        <stp/>
        <stp>EM_S_FA_YOY_OR</stp>
        <stp>2</stp>
        <stp>002783</stp>
        <stp>12/31/2018</stp>
        <tr r="H244" s="1"/>
      </tp>
      <tp>
        <v>18.3274706931</v>
        <stp/>
        <stp>EM_S_FA_YOY_OR</stp>
        <stp>2</stp>
        <stp>002782</stp>
        <stp>12/31/2018</stp>
        <tr r="H2525" s="1"/>
      </tp>
      <tp>
        <v>21.2087392028</v>
        <stp/>
        <stp>EM_S_FA_YOY_OR</stp>
        <stp>2</stp>
        <stp>002789</stp>
        <stp>12/31/2018</stp>
        <tr r="H2208" s="1"/>
      </tp>
      <tp>
        <v>37.929597296099999</v>
        <stp/>
        <stp>EM_S_FA_YOY_OR</stp>
        <stp>2</stp>
        <stp>002788</stp>
        <stp>12/31/2018</stp>
        <tr r="H3288" s="1"/>
      </tp>
      <tp>
        <v>17.819329692499998</v>
        <stp/>
        <stp>EM_S_FA_YOY_OR</stp>
        <stp>2</stp>
        <stp>002795</stp>
        <stp>12/31/2018</stp>
        <tr r="H2685" s="1"/>
      </tp>
      <tp>
        <v>-9.4026049964999991</v>
        <stp/>
        <stp>EM_S_FA_YOY_OR</stp>
        <stp>2</stp>
        <stp>002797</stp>
        <stp>12/31/2018</stp>
        <tr r="H505" s="1"/>
      </tp>
      <tp>
        <v>121.93931122559999</v>
        <stp/>
        <stp>EM_S_FA_YOY_OR</stp>
        <stp>2</stp>
        <stp>002796</stp>
        <stp>12/31/2018</stp>
        <tr r="H2130" s="1"/>
      </tp>
      <tp>
        <v>21.2165493551</v>
        <stp/>
        <stp>EM_S_FA_YOY_OR</stp>
        <stp>2</stp>
        <stp>002791</stp>
        <stp>12/31/2018</stp>
        <tr r="H43" s="1"/>
      </tp>
      <tp>
        <v>8.3357146208999993</v>
        <stp/>
        <stp>EM_S_FA_YOY_OR</stp>
        <stp>2</stp>
        <stp>002790</stp>
        <stp>12/31/2018</stp>
        <tr r="H3304" s="1"/>
      </tp>
      <tp>
        <v>12.9705401952</v>
        <stp/>
        <stp>EM_S_FA_YOY_OR</stp>
        <stp>2</stp>
        <stp>002793</stp>
        <stp>12/31/2018</stp>
        <tr r="H848" s="1"/>
      </tp>
      <tp>
        <v>-17.615505631000001</v>
        <stp/>
        <stp>EM_S_FA_YOY_OR</stp>
        <stp>2</stp>
        <stp>002792</stp>
        <stp>12/31/2018</stp>
        <tr r="H2935" s="1"/>
      </tp>
      <tp>
        <v>26.6795454433</v>
        <stp/>
        <stp>EM_S_FA_YOY_OR</stp>
        <stp>2</stp>
        <stp>002799</stp>
        <stp>12/31/2018</stp>
        <tr r="H657" s="1"/>
      </tp>
      <tp>
        <v>707.30927713230005</v>
        <stp/>
        <stp>EM_S_FA_YOY_OR</stp>
        <stp>2</stp>
        <stp>002798</stp>
        <stp>12/31/2018</stp>
        <tr r="H231" s="1"/>
      </tp>
      <tp>
        <v>2.7003507201999999</v>
        <stp/>
        <stp>EM_S_FA_YOY_OR</stp>
        <stp>2</stp>
        <stp>002705</stp>
        <stp>12/31/2018</stp>
        <tr r="H240" s="1"/>
      </tp>
      <tp>
        <v>1.1780208833000001</v>
        <stp/>
        <stp>EM_S_FA_YOY_OR</stp>
        <stp>2</stp>
        <stp>002707</stp>
        <stp>12/31/2018</stp>
        <tr r="H2368" s="1"/>
      </tp>
      <tp>
        <v>8.3839111024000008</v>
        <stp/>
        <stp>EM_S_FA_YOY_OR</stp>
        <stp>2</stp>
        <stp>002706</stp>
        <stp>12/31/2018</stp>
        <tr r="H778" s="1"/>
      </tp>
      <tp>
        <v>11.345271202499999</v>
        <stp/>
        <stp>EM_S_FA_YOY_OR</stp>
        <stp>2</stp>
        <stp>002701</stp>
        <stp>12/31/2018</stp>
        <tr r="H2874" s="1"/>
      </tp>
      <tp>
        <v>12.982417353800001</v>
        <stp/>
        <stp>EM_S_FA_YOY_OR</stp>
        <stp>2</stp>
        <stp>002700</stp>
        <stp>12/31/2018</stp>
        <tr r="H3204" s="1"/>
      </tp>
      <tp>
        <v>-1.8330884307999999</v>
        <stp/>
        <stp>EM_S_FA_YOY_OR</stp>
        <stp>2</stp>
        <stp>002703</stp>
        <stp>12/31/2018</stp>
        <tr r="H1670" s="1"/>
      </tp>
      <tp>
        <v>18.239750200300001</v>
        <stp/>
        <stp>EM_S_FA_YOY_OR</stp>
        <stp>2</stp>
        <stp>002702</stp>
        <stp>12/31/2018</stp>
        <tr r="H1877" s="1"/>
      </tp>
      <tp>
        <v>1.0957846824999999</v>
        <stp/>
        <stp>EM_S_FA_YOY_OR</stp>
        <stp>2</stp>
        <stp>002709</stp>
        <stp>12/31/2018</stp>
        <tr r="H2533" s="1"/>
      </tp>
      <tp>
        <v>-7.2441705225000002</v>
        <stp/>
        <stp>EM_S_FA_YOY_OR</stp>
        <stp>2</stp>
        <stp>002708</stp>
        <stp>12/31/2018</stp>
        <tr r="H1971" s="1"/>
      </tp>
      <tp>
        <v>3.7224017051999998</v>
        <stp/>
        <stp>EM_S_FA_YOY_OR</stp>
        <stp>2</stp>
        <stp>002715</stp>
        <stp>12/31/2018</stp>
        <tr r="H1693" s="1"/>
      </tp>
      <tp>
        <v>33.316104188300002</v>
        <stp/>
        <stp>EM_S_FA_YOY_OR</stp>
        <stp>2</stp>
        <stp>002714</stp>
        <stp>12/31/2018</stp>
        <tr r="H46" s="1"/>
      </tp>
      <tp>
        <v>85.046696051699996</v>
        <stp/>
        <stp>EM_S_FA_YOY_OR</stp>
        <stp>2</stp>
        <stp>002717</stp>
        <stp>12/31/2018</stp>
        <tr r="H3355" s="1"/>
      </tp>
      <tp>
        <v>-5.7086842093000003</v>
        <stp/>
        <stp>EM_S_FA_YOY_OR</stp>
        <stp>2</stp>
        <stp>002716</stp>
        <stp>12/31/2018</stp>
        <tr r="H3375" s="1"/>
      </tp>
      <tp>
        <v>-29.374850333600001</v>
        <stp/>
        <stp>EM_S_FA_YOY_OR</stp>
        <stp>2</stp>
        <stp>002711</stp>
        <stp>12/31/2018</stp>
        <tr r="H3398" s="1"/>
      </tp>
      <tp>
        <v>0</v>
        <stp/>
        <stp>EM_S_FA_YOY_OR</stp>
        <stp>2</stp>
        <stp>002710</stp>
        <stp>12/31/2018</stp>
        <tr r="H7" s="1"/>
      </tp>
      <tp>
        <v>16.357096837499999</v>
        <stp/>
        <stp>EM_S_FA_YOY_OR</stp>
        <stp>2</stp>
        <stp>002713</stp>
        <stp>12/31/2018</stp>
        <tr r="H3382" s="1"/>
      </tp>
      <tp>
        <v>26.159942629500001</v>
        <stp/>
        <stp>EM_S_FA_YOY_OR</stp>
        <stp>2</stp>
        <stp>002712</stp>
        <stp>12/31/2018</stp>
        <tr r="H708" s="1"/>
      </tp>
      <tp>
        <v>3.5589800799</v>
        <stp/>
        <stp>EM_S_FA_YOY_OR</stp>
        <stp>2</stp>
        <stp>002719</stp>
        <stp>12/31/2018</stp>
        <tr r="H2151" s="1"/>
      </tp>
      <tp>
        <v>8.6053107281999992</v>
        <stp/>
        <stp>EM_S_FA_YOY_OR</stp>
        <stp>2</stp>
        <stp>002718</stp>
        <stp>12/31/2018</stp>
        <tr r="H3310" s="1"/>
      </tp>
      <tp>
        <v>23.6099292281</v>
        <stp/>
        <stp>EM_S_FA_YOY_OR</stp>
        <stp>2</stp>
        <stp>002725</stp>
        <stp>12/31/2018</stp>
        <tr r="H1230" s="1"/>
      </tp>
      <tp>
        <v>14.243130944600001</v>
        <stp/>
        <stp>EM_S_FA_YOY_OR</stp>
        <stp>2</stp>
        <stp>002724</stp>
        <stp>12/31/2018</stp>
        <tr r="H757" s="1"/>
      </tp>
      <tp>
        <v>18.386074339699999</v>
        <stp/>
        <stp>EM_S_FA_YOY_OR</stp>
        <stp>2</stp>
        <stp>002727</stp>
        <stp>12/31/2018</stp>
        <tr r="H946" s="1"/>
      </tp>
      <tp>
        <v>33.5609413448</v>
        <stp/>
        <stp>EM_S_FA_YOY_OR</stp>
        <stp>2</stp>
        <stp>002726</stp>
        <stp>12/31/2018</stp>
        <tr r="H2844" s="1"/>
      </tp>
      <tp>
        <v>-2.3140634310000001</v>
        <stp/>
        <stp>EM_S_FA_YOY_OR</stp>
        <stp>2</stp>
        <stp>002721</stp>
        <stp>12/31/2018</stp>
        <tr r="H2808" s="1"/>
      </tp>
      <tp>
        <v>0</v>
        <stp/>
        <stp>EM_S_FA_YOY_OR</stp>
        <stp>2</stp>
        <stp>002720</stp>
        <stp>12/31/2018</stp>
        <tr r="H8" s="1"/>
      </tp>
      <tp>
        <v>-15.8256951073</v>
        <stp/>
        <stp>EM_S_FA_YOY_OR</stp>
        <stp>2</stp>
        <stp>002723</stp>
        <stp>12/31/2018</stp>
        <tr r="H2029" s="1"/>
      </tp>
      <tp>
        <v>8.8603231553999997</v>
        <stp/>
        <stp>EM_S_FA_YOY_OR</stp>
        <stp>2</stp>
        <stp>002722</stp>
        <stp>12/31/2018</stp>
        <tr r="H1754" s="1"/>
      </tp>
      <tp>
        <v>4.2976549544999996</v>
        <stp/>
        <stp>EM_S_FA_YOY_OR</stp>
        <stp>2</stp>
        <stp>002729</stp>
        <stp>12/31/2018</stp>
        <tr r="H92" s="1"/>
      </tp>
      <tp>
        <v>28.827988410900002</v>
        <stp/>
        <stp>EM_S_FA_YOY_OR</stp>
        <stp>2</stp>
        <stp>002728</stp>
        <stp>12/31/2018</stp>
        <tr r="H991" s="1"/>
      </tp>
      <tp>
        <v>52.409554691300002</v>
        <stp/>
        <stp>EM_S_FA_YOY_OR</stp>
        <stp>2</stp>
        <stp>002735</stp>
        <stp>12/31/2018</stp>
        <tr r="H2934" s="1"/>
      </tp>
      <tp>
        <v>6.7275636525999998</v>
        <stp/>
        <stp>EM_S_FA_YOY_OR</stp>
        <stp>2</stp>
        <stp>002734</stp>
        <stp>12/31/2018</stp>
        <tr r="H875" s="1"/>
      </tp>
      <tp>
        <v>15.995260742199999</v>
        <stp/>
        <stp>EM_S_FA_YOY_OR</stp>
        <stp>2</stp>
        <stp>002737</stp>
        <stp>12/31/2018</stp>
        <tr r="H2433" s="1"/>
      </tp>
      <tp>
        <v>-15.8733658634</v>
        <stp/>
        <stp>EM_S_FA_YOY_OR</stp>
        <stp>2</stp>
        <stp>002736</stp>
        <stp>12/31/2018</stp>
        <tr r="H549" s="1"/>
      </tp>
      <tp>
        <v>-1.9773203878000001</v>
        <stp/>
        <stp>EM_S_FA_YOY_OR</stp>
        <stp>2</stp>
        <stp>002731</stp>
        <stp>12/31/2018</stp>
        <tr r="H3386" s="1"/>
      </tp>
      <tp>
        <v>15.6921775693</v>
        <stp/>
        <stp>EM_S_FA_YOY_OR</stp>
        <stp>2</stp>
        <stp>002730</stp>
        <stp>12/31/2018</stp>
        <tr r="H1216" s="1"/>
      </tp>
      <tp>
        <v>11.283561799999999</v>
        <stp/>
        <stp>EM_S_FA_YOY_OR</stp>
        <stp>2</stp>
        <stp>002733</stp>
        <stp>12/31/2018</stp>
        <tr r="H67" s="1"/>
      </tp>
      <tp>
        <v>4.6784754002</v>
        <stp/>
        <stp>EM_S_FA_YOY_OR</stp>
        <stp>2</stp>
        <stp>002732</stp>
        <stp>12/31/2018</stp>
        <tr r="H992" s="1"/>
      </tp>
      <tp>
        <v>6.4912596112000003</v>
        <stp/>
        <stp>EM_S_FA_YOY_OR</stp>
        <stp>2</stp>
        <stp>002739</stp>
        <stp>12/31/2018</stp>
        <tr r="H2975" s="1"/>
      </tp>
      <tp>
        <v>60.363673241199997</v>
        <stp/>
        <stp>EM_S_FA_YOY_OR</stp>
        <stp>2</stp>
        <stp>002738</stp>
        <stp>12/31/2018</stp>
        <tr r="H1459" s="1"/>
      </tp>
      <tp>
        <v>119.7632360609</v>
        <stp/>
        <stp>EM_S_FA_YOY_OR</stp>
        <stp>2</stp>
        <stp>002745</stp>
        <stp>12/31/2018</stp>
        <tr r="H1165" s="1"/>
      </tp>
      <tp>
        <v>35.719495340999998</v>
        <stp/>
        <stp>EM_S_FA_YOY_OR</stp>
        <stp>2</stp>
        <stp>002747</stp>
        <stp>12/31/2018</stp>
        <tr r="H862" s="1"/>
      </tp>
      <tp>
        <v>19.121888003799999</v>
        <stp/>
        <stp>EM_S_FA_YOY_OR</stp>
        <stp>2</stp>
        <stp>002746</stp>
        <stp>12/31/2018</stp>
        <tr r="H1580" s="1"/>
      </tp>
      <tp>
        <v>17.0127877334</v>
        <stp/>
        <stp>EM_S_FA_YOY_OR</stp>
        <stp>2</stp>
        <stp>002741</stp>
        <stp>12/31/2018</stp>
        <tr r="H3107" s="1"/>
      </tp>
      <tp>
        <v>1.8136919223000001</v>
        <stp/>
        <stp>EM_S_FA_YOY_OR</stp>
        <stp>2</stp>
        <stp>002740</stp>
        <stp>12/31/2018</stp>
        <tr r="H1265" s="1"/>
      </tp>
      <tp>
        <v>25.551446976899999</v>
        <stp/>
        <stp>EM_S_FA_YOY_OR</stp>
        <stp>2</stp>
        <stp>002743</stp>
        <stp>12/31/2018</stp>
        <tr r="H1568" s="1"/>
      </tp>
      <tp>
        <v>50.606257502399998</v>
        <stp/>
        <stp>EM_S_FA_YOY_OR</stp>
        <stp>2</stp>
        <stp>002742</stp>
        <stp>12/31/2018</stp>
        <tr r="H3194" s="1"/>
      </tp>
      <tp>
        <v>17.373195172100001</v>
        <stp/>
        <stp>EM_S_FA_YOY_OR</stp>
        <stp>2</stp>
        <stp>002749</stp>
        <stp>12/31/2018</stp>
        <tr r="H3174" s="1"/>
      </tp>
      <tp>
        <v>23.583607702199998</v>
        <stp/>
        <stp>EM_S_FA_YOY_OR</stp>
        <stp>2</stp>
        <stp>002748</stp>
        <stp>12/31/2018</stp>
        <tr r="H2044" s="1"/>
      </tp>
      <tp>
        <v>15.478559283499999</v>
        <stp/>
        <stp>EM_S_FA_YOY_OR</stp>
        <stp>2</stp>
        <stp>002755</stp>
        <stp>12/31/2018</stp>
        <tr r="H1289" s="1"/>
      </tp>
      <tp>
        <v>44.123997584599998</v>
        <stp/>
        <stp>EM_S_FA_YOY_OR</stp>
        <stp>2</stp>
        <stp>002757</stp>
        <stp>12/31/2018</stp>
        <tr r="H3322" s="1"/>
      </tp>
      <tp>
        <v>18.929889135300002</v>
        <stp/>
        <stp>EM_S_FA_YOY_OR</stp>
        <stp>2</stp>
        <stp>002756</stp>
        <stp>12/31/2018</stp>
        <tr r="H470" s="1"/>
      </tp>
      <tp>
        <v>53.466976842599998</v>
        <stp/>
        <stp>EM_S_FA_YOY_OR</stp>
        <stp>2</stp>
        <stp>002751</stp>
        <stp>12/31/2018</stp>
        <tr r="H1394" s="1"/>
      </tp>
      <tp>
        <v>10.358837936400001</v>
        <stp/>
        <stp>EM_S_FA_YOY_OR</stp>
        <stp>2</stp>
        <stp>002750</stp>
        <stp>12/31/2018</stp>
        <tr r="H121" s="1"/>
      </tp>
      <tp>
        <v>30.309897446400001</v>
        <stp/>
        <stp>EM_S_FA_YOY_OR</stp>
        <stp>2</stp>
        <stp>002753</stp>
        <stp>12/31/2018</stp>
        <tr r="H2896" s="1"/>
      </tp>
      <tp>
        <v>2.1012046763000001</v>
        <stp/>
        <stp>EM_S_FA_YOY_OR</stp>
        <stp>2</stp>
        <stp>002752</stp>
        <stp>12/31/2018</stp>
        <tr r="H2953" s="1"/>
      </tp>
      <tp>
        <v>0.8514190371</v>
        <stp/>
        <stp>EM_S_FA_YOY_OR</stp>
        <stp>2</stp>
        <stp>002759</stp>
        <stp>12/31/2018</stp>
        <tr r="H1470" s="1"/>
      </tp>
      <tp>
        <v>11.2184050325</v>
        <stp/>
        <stp>EM_S_FA_YOY_OR</stp>
        <stp>2</stp>
        <stp>002758</stp>
        <stp>12/31/2018</stp>
        <tr r="H633" s="1"/>
      </tp>
      <tp>
        <v>-28.629163437100001</v>
        <stp/>
        <stp>EM_S_FA_YOY_OR</stp>
        <stp>2</stp>
        <stp>002765</stp>
        <stp>12/31/2018</stp>
        <tr r="H3005" s="1"/>
      </tp>
      <tp>
        <v>-6.7097088081000003</v>
        <stp/>
        <stp>EM_S_FA_YOY_OR</stp>
        <stp>2</stp>
        <stp>002767</stp>
        <stp>12/31/2018</stp>
        <tr r="H1895" s="1"/>
      </tp>
      <tp>
        <v>0.45137328500000001</v>
        <stp/>
        <stp>EM_S_FA_YOY_OR</stp>
        <stp>2</stp>
        <stp>002766</stp>
        <stp>12/31/2018</stp>
        <tr r="H3305" s="1"/>
      </tp>
      <tp>
        <v>32.607505828400001</v>
        <stp/>
        <stp>EM_S_FA_YOY_OR</stp>
        <stp>2</stp>
        <stp>002761</stp>
        <stp>12/31/2018</stp>
        <tr r="H3296" s="1"/>
      </tp>
      <tp>
        <v>27.518987647500001</v>
        <stp/>
        <stp>EM_S_FA_YOY_OR</stp>
        <stp>2</stp>
        <stp>002760</stp>
        <stp>12/31/2018</stp>
        <tr r="H1204" s="1"/>
      </tp>
      <tp>
        <v>10.2249355343</v>
        <stp/>
        <stp>EM_S_FA_YOY_OR</stp>
        <stp>2</stp>
        <stp>002763</stp>
        <stp>12/31/2018</stp>
        <tr r="H2122" s="1"/>
      </tp>
      <tp>
        <v>5.4922681650999996</v>
        <stp/>
        <stp>EM_S_FA_YOY_OR</stp>
        <stp>2</stp>
        <stp>002762</stp>
        <stp>12/31/2018</stp>
        <tr r="H2112" s="1"/>
      </tp>
      <tp>
        <v>7.2782119622000003</v>
        <stp/>
        <stp>EM_S_FA_YOY_OR</stp>
        <stp>2</stp>
        <stp>002769</stp>
        <stp>12/31/2018</stp>
        <tr r="H2989" s="1"/>
      </tp>
      <tp>
        <v>81.943734195900007</v>
        <stp/>
        <stp>EM_S_FA_YOY_OR</stp>
        <stp>2</stp>
        <stp>002768</stp>
        <stp>12/31/2018</stp>
        <tr r="H2063" s="1"/>
      </tp>
      <tp>
        <v>11.061033334499999</v>
        <stp/>
        <stp>EM_S_FA_YOY_OR</stp>
        <stp>2</stp>
        <stp>002775</stp>
        <stp>12/31/2018</stp>
        <tr r="H2512" s="1"/>
      </tp>
      <tp>
        <v>17.0473239781</v>
        <stp/>
        <stp>EM_S_FA_YOY_OR</stp>
        <stp>2</stp>
        <stp>002774</stp>
        <stp>12/31/2018</stp>
        <tr r="H2622" s="1"/>
      </tp>
      <tp>
        <v>25.1562480927</v>
        <stp/>
        <stp>EM_S_FA_YOY_OR</stp>
        <stp>2</stp>
        <stp>002777</stp>
        <stp>12/31/2018</stp>
        <tr r="H647" s="1"/>
      </tp>
      <tp>
        <v>24.749034714499999</v>
        <stp/>
        <stp>EM_S_FA_YOY_OR</stp>
        <stp>2</stp>
        <stp>002776</stp>
        <stp>12/31/2018</stp>
        <tr r="H3377" s="1"/>
      </tp>
      <tp>
        <v>6.7943835254999998</v>
        <stp/>
        <stp>EM_S_FA_YOY_OR</stp>
        <stp>2</stp>
        <stp>002771</stp>
        <stp>12/31/2018</stp>
        <tr r="H2174" s="1"/>
      </tp>
      <tp>
        <v>3.7402752593000002</v>
        <stp/>
        <stp>EM_S_FA_YOY_OR</stp>
        <stp>2</stp>
        <stp>002770</stp>
        <stp>12/31/2018</stp>
        <tr r="H2889" s="1"/>
      </tp>
      <tp>
        <v>4.6993817331000001</v>
        <stp/>
        <stp>EM_S_FA_YOY_OR</stp>
        <stp>2</stp>
        <stp>002773</stp>
        <stp>12/31/2018</stp>
        <tr r="H1974" s="1"/>
      </tp>
      <tp>
        <v>25.228588149899998</v>
        <stp/>
        <stp>EM_S_FA_YOY_OR</stp>
        <stp>2</stp>
        <stp>002772</stp>
        <stp>12/31/2018</stp>
        <tr r="H1906" s="1"/>
      </tp>
      <tp>
        <v>-5.6462528599999997</v>
        <stp/>
        <stp>EM_S_FA_YOY_OR</stp>
        <stp>2</stp>
        <stp>002779</stp>
        <stp>12/31/2018</stp>
        <tr r="H2173" s="1"/>
      </tp>
      <tp>
        <v>19.901165259599999</v>
        <stp/>
        <stp>EM_S_FA_YOY_OR</stp>
        <stp>2</stp>
        <stp>002778</stp>
        <stp>12/31/2018</stp>
        <tr r="H1331" s="1"/>
      </tp>
      <tp>
        <v>121.9913813645</v>
        <stp/>
        <stp>EM_S_FA_YOY_OR</stp>
        <stp>2</stp>
        <stp>002485</stp>
        <stp>12/31/2018</stp>
        <tr r="H2666" s="1"/>
      </tp>
      <tp>
        <v>17.6316995844</v>
        <stp/>
        <stp>EM_S_FA_YOY_OR</stp>
        <stp>2</stp>
        <stp>002484</stp>
        <stp>12/31/2018</stp>
        <tr r="H965" s="1"/>
      </tp>
      <tp>
        <v>-5.0222905396000002</v>
        <stp/>
        <stp>EM_S_FA_YOY_OR</stp>
        <stp>2</stp>
        <stp>002487</stp>
        <stp>12/31/2018</stp>
        <tr r="H525" s="1"/>
      </tp>
      <tp>
        <v>-0.46934325469999999</v>
        <stp/>
        <stp>EM_S_FA_YOY_OR</stp>
        <stp>2</stp>
        <stp>002486</stp>
        <stp>12/31/2018</stp>
        <tr r="H2922" s="1"/>
      </tp>
      <tp>
        <v>15.0576404223</v>
        <stp/>
        <stp>EM_S_FA_YOY_OR</stp>
        <stp>2</stp>
        <stp>002481</stp>
        <stp>12/31/2018</stp>
        <tr r="H57" s="1"/>
      </tp>
      <tp>
        <v>18.068443704300002</v>
        <stp/>
        <stp>EM_S_FA_YOY_OR</stp>
        <stp>2</stp>
        <stp>002480</stp>
        <stp>12/31/2018</stp>
        <tr r="H3063" s="1"/>
      </tp>
      <tp>
        <v>6.3791141991</v>
        <stp/>
        <stp>EM_S_FA_YOY_OR</stp>
        <stp>2</stp>
        <stp>002483</stp>
        <stp>12/31/2018</stp>
        <tr r="H1478" s="1"/>
      </tp>
      <tp>
        <v>14.857385388599999</v>
        <stp/>
        <stp>EM_S_FA_YOY_OR</stp>
        <stp>2</stp>
        <stp>002482</stp>
        <stp>12/31/2018</stp>
        <tr r="H3133" s="1"/>
      </tp>
      <tp>
        <v>-3.3115147729999999</v>
        <stp/>
        <stp>EM_S_FA_YOY_OR</stp>
        <stp>2</stp>
        <stp>002489</stp>
        <stp>12/31/2018</stp>
        <tr r="H452" s="1"/>
      </tp>
      <tp>
        <v>-9.7456608971000005</v>
        <stp/>
        <stp>EM_S_FA_YOY_OR</stp>
        <stp>2</stp>
        <stp>002488</stp>
        <stp>12/31/2018</stp>
        <tr r="H1900" s="1"/>
      </tp>
      <tp>
        <v>11.1241251402</v>
        <stp/>
        <stp>EM_S_FA_YOY_OR</stp>
        <stp>2</stp>
        <stp>002495</stp>
        <stp>12/31/2018</stp>
        <tr r="H2707" s="1"/>
      </tp>
      <tp>
        <v>-20.913964717799999</v>
        <stp/>
        <stp>EM_S_FA_YOY_OR</stp>
        <stp>2</stp>
        <stp>002494</stp>
        <stp>12/31/2018</stp>
        <tr r="H2654" s="1"/>
      </tp>
      <tp>
        <v>30.0256275586</v>
        <stp/>
        <stp>EM_S_FA_YOY_OR</stp>
        <stp>2</stp>
        <stp>002497</stp>
        <stp>12/31/2018</stp>
        <tr r="H1848" s="1"/>
      </tp>
      <tp>
        <v>-36.250074081599998</v>
        <stp/>
        <stp>EM_S_FA_YOY_OR</stp>
        <stp>2</stp>
        <stp>002496</stp>
        <stp>12/31/2018</stp>
        <tr r="H600" s="1"/>
      </tp>
      <tp>
        <v>5.0375574707000004</v>
        <stp/>
        <stp>EM_S_FA_YOY_OR</stp>
        <stp>2</stp>
        <stp>002491</stp>
        <stp>12/31/2018</stp>
        <tr r="H2970" s="1"/>
      </tp>
      <tp>
        <v>50.141295795799998</v>
        <stp/>
        <stp>EM_S_FA_YOY_OR</stp>
        <stp>2</stp>
        <stp>002490</stp>
        <stp>12/31/2018</stp>
        <tr r="H2775" s="1"/>
      </tp>
      <tp>
        <v>26.909297803800001</v>
        <stp/>
        <stp>EM_S_FA_YOY_OR</stp>
        <stp>2</stp>
        <stp>002493</stp>
        <stp>12/31/2018</stp>
        <tr r="H1189" s="1"/>
      </tp>
      <tp>
        <v>12.3933679284</v>
        <stp/>
        <stp>EM_S_FA_YOY_OR</stp>
        <stp>2</stp>
        <stp>002492</stp>
        <stp>12/31/2018</stp>
        <tr r="H1745" s="1"/>
      </tp>
      <tp>
        <v>-90.676185730200004</v>
        <stp/>
        <stp>EM_S_FA_YOY_OR</stp>
        <stp>2</stp>
        <stp>002499</stp>
        <stp>12/31/2018</stp>
        <tr r="H3287" s="1"/>
      </tp>
      <tp>
        <v>17.348695963699999</v>
        <stp/>
        <stp>EM_S_FA_YOY_OR</stp>
        <stp>2</stp>
        <stp>002498</stp>
        <stp>12/31/2018</stp>
        <tr r="H544" s="1"/>
      </tp>
      <tp>
        <v>-1.0586037693000001</v>
        <stp/>
        <stp>EM_S_FA_YOY_OR</stp>
        <stp>2</stp>
        <stp>002405</stp>
        <stp>12/31/2018</stp>
        <tr r="H1559" s="1"/>
      </tp>
      <tp>
        <v>14.7137598363</v>
        <stp/>
        <stp>EM_S_FA_YOY_OR</stp>
        <stp>2</stp>
        <stp>002404</stp>
        <stp>12/31/2018</stp>
        <tr r="H1312" s="1"/>
      </tp>
      <tp>
        <v>4.7357513193000003</v>
        <stp/>
        <stp>EM_S_FA_YOY_OR</stp>
        <stp>2</stp>
        <stp>002407</stp>
        <stp>12/31/2018</stp>
        <tr r="H1316" s="1"/>
      </tp>
      <tp>
        <v>12.9385532229</v>
        <stp/>
        <stp>EM_S_FA_YOY_OR</stp>
        <stp>2</stp>
        <stp>002406</stp>
        <stp>12/31/2018</stp>
        <tr r="H1384" s="1"/>
      </tp>
      <tp>
        <v>6.8753167057000004</v>
        <stp/>
        <stp>EM_S_FA_YOY_OR</stp>
        <stp>2</stp>
        <stp>002401</stp>
        <stp>12/31/2018</stp>
        <tr r="H1098" s="1"/>
      </tp>
      <tp>
        <v>7.2557827994000004</v>
        <stp/>
        <stp>EM_S_FA_YOY_OR</stp>
        <stp>2</stp>
        <stp>002400</stp>
        <stp>12/31/2018</stp>
        <tr r="H1851" s="1"/>
      </tp>
      <tp>
        <v>6.0614284057000001</v>
        <stp/>
        <stp>EM_S_FA_YOY_OR</stp>
        <stp>2</stp>
        <stp>002403</stp>
        <stp>12/31/2018</stp>
        <tr r="H1774" s="1"/>
      </tp>
      <tp>
        <v>35.002247538299997</v>
        <stp/>
        <stp>EM_S_FA_YOY_OR</stp>
        <stp>2</stp>
        <stp>002402</stp>
        <stp>12/31/2018</stp>
        <tr r="H144" s="1"/>
      </tp>
      <tp>
        <v>36.584744106300001</v>
        <stp/>
        <stp>EM_S_FA_YOY_OR</stp>
        <stp>2</stp>
        <stp>002409</stp>
        <stp>12/31/2018</stp>
        <tr r="H294" s="1"/>
      </tp>
      <tp>
        <v>25.635807420700001</v>
        <stp/>
        <stp>EM_S_FA_YOY_OR</stp>
        <stp>2</stp>
        <stp>002408</stp>
        <stp>12/31/2018</stp>
        <tr r="H2019" s="1"/>
      </tp>
      <tp>
        <v>18.927492438600002</v>
        <stp/>
        <stp>EM_S_FA_YOY_OR</stp>
        <stp>2</stp>
        <stp>002415</stp>
        <stp>12/31/2018</stp>
        <tr r="H1038" s="1"/>
      </tp>
      <tp>
        <v>6.6080319002000003</v>
        <stp/>
        <stp>EM_S_FA_YOY_OR</stp>
        <stp>2</stp>
        <stp>002414</stp>
        <stp>12/31/2018</stp>
        <tr r="H2621" s="1"/>
      </tp>
      <tp>
        <v>73.301470448000003</v>
        <stp/>
        <stp>EM_S_FA_YOY_OR</stp>
        <stp>2</stp>
        <stp>002417</stp>
        <stp>12/31/2018</stp>
        <tr r="H3078" s="1"/>
      </tp>
      <tp>
        <v>0.2605030914</v>
        <stp/>
        <stp>EM_S_FA_YOY_OR</stp>
        <stp>2</stp>
        <stp>002416</stp>
        <stp>12/31/2018</stp>
        <tr r="H976" s="1"/>
      </tp>
      <tp>
        <v>57.354662277800003</v>
        <stp/>
        <stp>EM_S_FA_YOY_OR</stp>
        <stp>2</stp>
        <stp>002411</stp>
        <stp>12/31/2018</stp>
        <tr r="H3164" s="1"/>
      </tp>
      <tp>
        <v>22.302925017500002</v>
        <stp/>
        <stp>EM_S_FA_YOY_OR</stp>
        <stp>2</stp>
        <stp>002410</stp>
        <stp>12/31/2018</stp>
        <tr r="H427" s="1"/>
      </tp>
      <tp>
        <v>29.566036709900001</v>
        <stp/>
        <stp>EM_S_FA_YOY_OR</stp>
        <stp>2</stp>
        <stp>002413</stp>
        <stp>12/31/2018</stp>
        <tr r="H2131" s="1"/>
      </tp>
      <tp>
        <v>11.0866123157</v>
        <stp/>
        <stp>EM_S_FA_YOY_OR</stp>
        <stp>2</stp>
        <stp>002412</stp>
        <stp>12/31/2018</stp>
        <tr r="H3306" s="1"/>
      </tp>
      <tp>
        <v>3.2511024677</v>
        <stp/>
        <stp>EM_S_FA_YOY_OR</stp>
        <stp>2</stp>
        <stp>002419</stp>
        <stp>12/31/2018</stp>
        <tr r="H2535" s="1"/>
      </tp>
      <tp>
        <v>-40.9867256191</v>
        <stp/>
        <stp>EM_S_FA_YOY_OR</stp>
        <stp>2</stp>
        <stp>002418</stp>
        <stp>12/31/2018</stp>
        <tr r="H2643" s="1"/>
      </tp>
      <tp>
        <v>5.7946117309999998</v>
        <stp/>
        <stp>EM_S_FA_YOY_OR</stp>
        <stp>2</stp>
        <stp>002425</stp>
        <stp>12/31/2018</stp>
        <tr r="H2629" s="1"/>
      </tp>
      <tp>
        <v>21.028747611699998</v>
        <stp/>
        <stp>EM_S_FA_YOY_OR</stp>
        <stp>2</stp>
        <stp>002424</stp>
        <stp>12/31/2018</stp>
        <tr r="H2474" s="1"/>
      </tp>
      <tp>
        <v>-24.072060318399998</v>
        <stp/>
        <stp>EM_S_FA_YOY_OR</stp>
        <stp>2</stp>
        <stp>002427</stp>
        <stp>12/31/2018</stp>
        <tr r="H3260" s="1"/>
      </tp>
      <tp>
        <v>9.2803173274000006</v>
        <stp/>
        <stp>EM_S_FA_YOY_OR</stp>
        <stp>2</stp>
        <stp>002426</stp>
        <stp>12/31/2018</stp>
        <tr r="H2106" s="1"/>
      </tp>
      <tp>
        <v>-1.752095859</v>
        <stp/>
        <stp>EM_S_FA_YOY_OR</stp>
        <stp>2</stp>
        <stp>002421</stp>
        <stp>12/31/2018</stp>
        <tr r="H2669" s="1"/>
      </tp>
      <tp>
        <v>-14.016217582099999</v>
        <stp/>
        <stp>EM_S_FA_YOY_OR</stp>
        <stp>2</stp>
        <stp>002420</stp>
        <stp>12/31/2018</stp>
        <tr r="H1302" s="1"/>
      </tp>
      <tp>
        <v>5.4097771176</v>
        <stp/>
        <stp>EM_S_FA_YOY_OR</stp>
        <stp>2</stp>
        <stp>002423</stp>
        <stp>12/31/2018</stp>
        <tr r="H1697" s="1"/>
      </tp>
      <tp>
        <v>42.998368128899997</v>
        <stp/>
        <stp>EM_S_FA_YOY_OR</stp>
        <stp>2</stp>
        <stp>002422</stp>
        <stp>12/31/2018</stp>
        <tr r="H1614" s="1"/>
      </tp>
      <tp>
        <v>25.8009829889</v>
        <stp/>
        <stp>EM_S_FA_YOY_OR</stp>
        <stp>2</stp>
        <stp>002429</stp>
        <stp>12/31/2018</stp>
        <tr r="H242" s="1"/>
      </tp>
      <tp>
        <v>0.16400909020000001</v>
        <stp/>
        <stp>EM_S_FA_YOY_OR</stp>
        <stp>2</stp>
        <stp>002428</stp>
        <stp>12/31/2018</stp>
        <tr r="H268" s="1"/>
      </tp>
      <tp>
        <v>56.4726824476</v>
        <stp/>
        <stp>EM_S_FA_YOY_OR</stp>
        <stp>2</stp>
        <stp>002435</stp>
        <stp>12/31/2018</stp>
        <tr r="H3162" s="1"/>
      </tp>
      <tp>
        <v>-13.109729063</v>
        <stp/>
        <stp>EM_S_FA_YOY_OR</stp>
        <stp>2</stp>
        <stp>002434</stp>
        <stp>12/31/2018</stp>
        <tr r="H706" s="1"/>
      </tp>
      <tp>
        <v>80.195589729299996</v>
        <stp/>
        <stp>EM_S_FA_YOY_OR</stp>
        <stp>2</stp>
        <stp>002437</stp>
        <stp>12/31/2018</stp>
        <tr r="H1992" s="1"/>
      </tp>
      <tp>
        <v>5.7964010435000004</v>
        <stp/>
        <stp>EM_S_FA_YOY_OR</stp>
        <stp>2</stp>
        <stp>002436</stp>
        <stp>12/31/2018</stp>
        <tr r="H221" s="1"/>
      </tp>
      <tp>
        <v>1.4380930645000001</v>
        <stp/>
        <stp>EM_S_FA_YOY_OR</stp>
        <stp>2</stp>
        <stp>002431</stp>
        <stp>12/31/2018</stp>
        <tr r="H2936" s="1"/>
      </tp>
      <tp>
        <v>22.465334243600001</v>
        <stp/>
        <stp>EM_S_FA_YOY_OR</stp>
        <stp>2</stp>
        <stp>002430</stp>
        <stp>12/31/2018</stp>
        <tr r="H751" s="1"/>
      </tp>
      <tp>
        <v>2.3574741232999998</v>
        <stp/>
        <stp>EM_S_FA_YOY_OR</stp>
        <stp>2</stp>
        <stp>002433</stp>
        <stp>12/31/2018</stp>
        <tr r="H2500" s="1"/>
      </tp>
      <tp>
        <v>-5.6928512116999999</v>
        <stp/>
        <stp>EM_S_FA_YOY_OR</stp>
        <stp>2</stp>
        <stp>002432</stp>
        <stp>12/31/2018</stp>
        <tr r="H2464" s="1"/>
      </tp>
      <tp>
        <v>10.6771025574</v>
        <stp/>
        <stp>EM_S_FA_YOY_OR</stp>
        <stp>2</stp>
        <stp>002439</stp>
        <stp>12/31/2018</stp>
        <tr r="H349" s="1"/>
      </tp>
      <tp>
        <v>43.908896181099998</v>
        <stp/>
        <stp>EM_S_FA_YOY_OR</stp>
        <stp>2</stp>
        <stp>002438</stp>
        <stp>12/31/2018</stp>
        <tr r="H726" s="1"/>
      </tp>
      <tp>
        <v>-36.395511089400003</v>
        <stp/>
        <stp>EM_S_FA_YOY_OR</stp>
        <stp>2</stp>
        <stp>002445</stp>
        <stp>12/31/2018</stp>
        <tr r="H3228" s="1"/>
      </tp>
      <tp>
        <v>38.640835910699998</v>
        <stp/>
        <stp>EM_S_FA_YOY_OR</stp>
        <stp>2</stp>
        <stp>002444</stp>
        <stp>12/31/2018</stp>
        <tr r="H1624" s="1"/>
      </tp>
      <tp>
        <v>-37.610274270300003</v>
        <stp/>
        <stp>EM_S_FA_YOY_OR</stp>
        <stp>2</stp>
        <stp>002447</stp>
        <stp>12/31/2018</stp>
        <tr r="H1388" s="1"/>
      </tp>
      <tp>
        <v>47.929160606899998</v>
        <stp/>
        <stp>EM_S_FA_YOY_OR</stp>
        <stp>2</stp>
        <stp>002446</stp>
        <stp>12/31/2018</stp>
        <tr r="H1496" s="1"/>
      </tp>
      <tp>
        <v>12.5475554838</v>
        <stp/>
        <stp>EM_S_FA_YOY_OR</stp>
        <stp>2</stp>
        <stp>002441</stp>
        <stp>12/31/2018</stp>
        <tr r="H1561" s="1"/>
      </tp>
      <tp>
        <v>6.7211673265999998</v>
        <stp/>
        <stp>EM_S_FA_YOY_OR</stp>
        <stp>2</stp>
        <stp>002440</stp>
        <stp>12/31/2018</stp>
        <tr r="H1133" s="1"/>
      </tp>
      <tp>
        <v>24.456513644499999</v>
        <stp/>
        <stp>EM_S_FA_YOY_OR</stp>
        <stp>2</stp>
        <stp>002443</stp>
        <stp>12/31/2018</stp>
        <tr r="H1085" s="1"/>
      </tp>
      <tp>
        <v>14.1914920372</v>
        <stp/>
        <stp>EM_S_FA_YOY_OR</stp>
        <stp>2</stp>
        <stp>002442</stp>
        <stp>12/31/2018</stp>
        <tr r="H3101" s="1"/>
      </tp>
      <tp>
        <v>4.4404029968999996</v>
        <stp/>
        <stp>EM_S_FA_YOY_OR</stp>
        <stp>2</stp>
        <stp>002449</stp>
        <stp>12/31/2018</stp>
        <tr r="H1099" s="1"/>
      </tp>
      <tp>
        <v>6.1453125652000002</v>
        <stp/>
        <stp>EM_S_FA_YOY_OR</stp>
        <stp>2</stp>
        <stp>002448</stp>
        <stp>12/31/2018</stp>
        <tr r="H2396" s="1"/>
      </tp>
      <tp>
        <v>22.834907641099999</v>
        <stp/>
        <stp>EM_S_FA_YOY_OR</stp>
        <stp>2</stp>
        <stp>002455</stp>
        <stp>12/31/2018</stp>
        <tr r="H1250" s="1"/>
      </tp>
      <tp>
        <v>-11.615421492599999</v>
        <stp/>
        <stp>EM_S_FA_YOY_OR</stp>
        <stp>2</stp>
        <stp>002454</stp>
        <stp>12/31/2018</stp>
        <tr r="H1327" s="1"/>
      </tp>
      <tp>
        <v>21.436278944400001</v>
        <stp/>
        <stp>EM_S_FA_YOY_OR</stp>
        <stp>2</stp>
        <stp>002457</stp>
        <stp>12/31/2018</stp>
        <tr r="H2255" s="1"/>
      </tp>
      <tp>
        <v>27.379390653000002</v>
        <stp/>
        <stp>EM_S_FA_YOY_OR</stp>
        <stp>2</stp>
        <stp>002456</stp>
        <stp>12/31/2018</stp>
        <tr r="H316" s="1"/>
      </tp>
      <tp>
        <v>25.1449346512</v>
        <stp/>
        <stp>EM_S_FA_YOY_OR</stp>
        <stp>2</stp>
        <stp>002451</stp>
        <stp>12/31/2018</stp>
        <tr r="H3095" s="1"/>
      </tp>
      <tp>
        <v>-22.383311984399999</v>
        <stp/>
        <stp>EM_S_FA_YOY_OR</stp>
        <stp>2</stp>
        <stp>002450</stp>
        <stp>12/31/2018</stp>
        <tr r="H3380" s="1"/>
      </tp>
      <tp>
        <v>39.932309317600001</v>
        <stp/>
        <stp>EM_S_FA_YOY_OR</stp>
        <stp>2</stp>
        <stp>002453</stp>
        <stp>12/31/2018</stp>
        <tr r="H2057" s="1"/>
      </tp>
      <tp>
        <v>-25.5978375328</v>
        <stp/>
        <stp>EM_S_FA_YOY_OR</stp>
        <stp>2</stp>
        <stp>002452</stp>
        <stp>12/31/2018</stp>
        <tr r="H763" s="1"/>
      </tp>
      <tp>
        <v>-0.94921922189999997</v>
        <stp/>
        <stp>EM_S_FA_YOY_OR</stp>
        <stp>2</stp>
        <stp>002459</stp>
        <stp>12/31/2018</stp>
        <tr r="H871" s="1"/>
      </tp>
      <tp>
        <v>124.42230960480001</v>
        <stp/>
        <stp>EM_S_FA_YOY_OR</stp>
        <stp>2</stp>
        <stp>002458</stp>
        <stp>12/31/2018</stp>
        <tr r="H190" s="1"/>
      </tp>
      <tp>
        <v>21.411397382600001</v>
        <stp/>
        <stp>EM_S_FA_YOY_OR</stp>
        <stp>2</stp>
        <stp>002465</stp>
        <stp>12/31/2018</stp>
        <tr r="H738" s="1"/>
      </tp>
      <tp>
        <v>56.778360102800001</v>
        <stp/>
        <stp>EM_S_FA_YOY_OR</stp>
        <stp>2</stp>
        <stp>002464</stp>
        <stp>12/31/2018</stp>
        <tr r="H3165" s="1"/>
      </tp>
      <tp>
        <v>11.112232561600001</v>
        <stp/>
        <stp>EM_S_FA_YOY_OR</stp>
        <stp>2</stp>
        <stp>002467</stp>
        <stp>12/31/2018</stp>
        <tr r="H1888" s="1"/>
      </tp>
      <tp>
        <v>14.160750070100001</v>
        <stp/>
        <stp>EM_S_FA_YOY_OR</stp>
        <stp>2</stp>
        <stp>002466</stp>
        <stp>12/31/2018</stp>
        <tr r="H2482" s="1"/>
      </tp>
      <tp>
        <v>7.3251442183000002</v>
        <stp/>
        <stp>EM_S_FA_YOY_OR</stp>
        <stp>2</stp>
        <stp>002461</stp>
        <stp>12/31/2018</stp>
        <tr r="H428" s="1"/>
      </tp>
      <tp>
        <v>14.1540862592</v>
        <stp/>
        <stp>EM_S_FA_YOY_OR</stp>
        <stp>2</stp>
        <stp>002460</stp>
        <stp>12/31/2018</stp>
        <tr r="H490" s="1"/>
      </tp>
      <tp>
        <v>18.806765067000001</v>
        <stp/>
        <stp>EM_S_FA_YOY_OR</stp>
        <stp>2</stp>
        <stp>002463</stp>
        <stp>12/31/2018</stp>
        <tr r="H42" s="1"/>
      </tp>
      <tp>
        <v>26.1325370922</v>
        <stp/>
        <stp>EM_S_FA_YOY_OR</stp>
        <stp>2</stp>
        <stp>002462</stp>
        <stp>12/31/2018</stp>
        <tr r="H1795" s="1"/>
      </tp>
      <tp>
        <v>-30.590642228299998</v>
        <stp/>
        <stp>EM_S_FA_YOY_OR</stp>
        <stp>2</stp>
        <stp>002469</stp>
        <stp>12/31/2018</stp>
        <tr r="H1922" s="1"/>
      </tp>
      <tp>
        <v>34.413202084600002</v>
        <stp/>
        <stp>EM_S_FA_YOY_OR</stp>
        <stp>2</stp>
        <stp>002468</stp>
        <stp>12/31/2018</stp>
        <tr r="H1355" s="1"/>
      </tp>
      <tp>
        <v>57.056897540000001</v>
        <stp/>
        <stp>EM_S_FA_YOY_OR</stp>
        <stp>2</stp>
        <stp>002475</stp>
        <stp>12/31/2018</stp>
        <tr r="H81" s="1"/>
      </tp>
      <tp>
        <v>9.4990814008999997</v>
        <stp/>
        <stp>EM_S_FA_YOY_OR</stp>
        <stp>2</stp>
        <stp>002474</stp>
        <stp>12/31/2018</stp>
        <tr r="H779" s="1"/>
      </tp>
      <tp>
        <v>-37.597377412599997</v>
        <stp/>
        <stp>EM_S_FA_YOY_OR</stp>
        <stp>2</stp>
        <stp>002477</stp>
        <stp>12/31/2018</stp>
        <tr r="H3410" s="1"/>
      </tp>
      <tp>
        <v>9.7753640799999992</v>
        <stp/>
        <stp>EM_S_FA_YOY_OR</stp>
        <stp>2</stp>
        <stp>002476</stp>
        <stp>12/31/2018</stp>
        <tr r="H660" s="1"/>
      </tp>
      <tp>
        <v>2.9594391620999998</v>
        <stp/>
        <stp>EM_S_FA_YOY_OR</stp>
        <stp>2</stp>
        <stp>002471</stp>
        <stp>12/31/2018</stp>
        <tr r="H2871" s="1"/>
      </tp>
      <tp>
        <v>-21.942456853500001</v>
        <stp/>
        <stp>EM_S_FA_YOY_OR</stp>
        <stp>2</stp>
        <stp>002470</stp>
        <stp>12/31/2018</stp>
        <tr r="H3391" s="1"/>
      </tp>
      <tp>
        <v>25.5983958781</v>
        <stp/>
        <stp>EM_S_FA_YOY_OR</stp>
        <stp>2</stp>
        <stp>002473</stp>
        <stp>12/31/2018</stp>
        <tr r="H797" s="1"/>
      </tp>
      <tp>
        <v>19.392397348500001</v>
        <stp/>
        <stp>EM_S_FA_YOY_OR</stp>
        <stp>2</stp>
        <stp>002472</stp>
        <stp>12/31/2018</stp>
        <tr r="H2553" s="1"/>
      </tp>
      <tp>
        <v>-9.4235666994000002</v>
        <stp/>
        <stp>EM_S_FA_YOY_OR</stp>
        <stp>2</stp>
        <stp>002479</stp>
        <stp>12/31/2018</stp>
        <tr r="H445" s="1"/>
      </tp>
      <tp>
        <v>53.849508251700001</v>
        <stp/>
        <stp>EM_S_FA_YOY_OR</stp>
        <stp>2</stp>
        <stp>002478</stp>
        <stp>12/31/2018</stp>
        <tr r="H1021" s="1"/>
      </tp>
      <tp>
        <v>27.6090817764</v>
        <stp/>
        <stp>EM_S_FA_YOY_OR</stp>
        <stp>2</stp>
        <stp>002585</stp>
        <stp>12/31/2018</stp>
        <tr r="H2748" s="1"/>
      </tp>
      <tp>
        <v>4.2245652907000002</v>
        <stp/>
        <stp>EM_S_FA_YOY_OR</stp>
        <stp>2</stp>
        <stp>002584</stp>
        <stp>12/31/2018</stp>
        <tr r="H2985" s="1"/>
      </tp>
      <tp>
        <v>51.122479411900002</v>
        <stp/>
        <stp>EM_S_FA_YOY_OR</stp>
        <stp>2</stp>
        <stp>002587</stp>
        <stp>12/31/2018</stp>
        <tr r="H422" s="1"/>
      </tp>
      <tp>
        <v>23.3120136593</v>
        <stp/>
        <stp>EM_S_FA_YOY_OR</stp>
        <stp>2</stp>
        <stp>002586</stp>
        <stp>12/31/2018</stp>
        <tr r="H3213" s="1"/>
      </tp>
      <tp>
        <v>-42.826542644600003</v>
        <stp/>
        <stp>EM_S_FA_YOY_OR</stp>
        <stp>2</stp>
        <stp>002581</stp>
        <stp>12/31/2018</stp>
        <tr r="H2170" s="1"/>
      </tp>
      <tp>
        <v>7.5648237962999998</v>
        <stp/>
        <stp>EM_S_FA_YOY_OR</stp>
        <stp>2</stp>
        <stp>002580</stp>
        <stp>12/31/2018</stp>
        <tr r="H1977" s="1"/>
      </tp>
      <tp>
        <v>29.580340694299998</v>
        <stp/>
        <stp>EM_S_FA_YOY_OR</stp>
        <stp>2</stp>
        <stp>002583</stp>
        <stp>12/31/2018</stp>
        <tr r="H1954" s="1"/>
      </tp>
      <tp>
        <v>21.5943459778</v>
        <stp/>
        <stp>EM_S_FA_YOY_OR</stp>
        <stp>2</stp>
        <stp>002582</stp>
        <stp>12/31/2018</stp>
        <tr r="H1633" s="1"/>
      </tp>
      <tp>
        <v>45.6129772285</v>
        <stp/>
        <stp>EM_S_FA_YOY_OR</stp>
        <stp>2</stp>
        <stp>002589</stp>
        <stp>12/31/2018</stp>
        <tr r="H1768" s="1"/>
      </tp>
      <tp>
        <v>8.0674975058000005</v>
        <stp/>
        <stp>EM_S_FA_YOY_OR</stp>
        <stp>2</stp>
        <stp>002588</stp>
        <stp>12/31/2018</stp>
        <tr r="H2389" s="1"/>
      </tp>
      <tp>
        <v>24.3572053595</v>
        <stp/>
        <stp>EM_S_FA_YOY_OR</stp>
        <stp>2</stp>
        <stp>002595</stp>
        <stp>12/31/2018</stp>
        <tr r="H1354" s="1"/>
      </tp>
      <tp>
        <v>22.791930245900001</v>
        <stp/>
        <stp>EM_S_FA_YOY_OR</stp>
        <stp>2</stp>
        <stp>002594</stp>
        <stp>12/31/2018</stp>
        <tr r="H2634" s="1"/>
      </tp>
      <tp>
        <v>-7.7475341290999999</v>
        <stp/>
        <stp>EM_S_FA_YOY_OR</stp>
        <stp>2</stp>
        <stp>002597</stp>
        <stp>12/31/2018</stp>
        <tr r="H765" s="1"/>
      </tp>
      <tp>
        <v>8.4595722066000008</v>
        <stp/>
        <stp>EM_S_FA_YOY_OR</stp>
        <stp>2</stp>
        <stp>002596</stp>
        <stp>12/31/2018</stp>
        <tr r="H1810" s="1"/>
      </tp>
      <tp>
        <v>29.323018986800001</v>
        <stp/>
        <stp>EM_S_FA_YOY_OR</stp>
        <stp>2</stp>
        <stp>002591</stp>
        <stp>12/31/2018</stp>
        <tr r="H814" s="1"/>
      </tp>
      <tp>
        <v>-0.86614692879999999</v>
        <stp/>
        <stp>EM_S_FA_YOY_OR</stp>
        <stp>2</stp>
        <stp>002590</stp>
        <stp>12/31/2018</stp>
        <tr r="H1706" s="1"/>
      </tp>
      <tp>
        <v>45.752692564999997</v>
        <stp/>
        <stp>EM_S_FA_YOY_OR</stp>
        <stp>2</stp>
        <stp>002593</stp>
        <stp>12/31/2018</stp>
        <tr r="H1008" s="1"/>
      </tp>
      <tp>
        <v>-8.3306225614000002</v>
        <stp/>
        <stp>EM_S_FA_YOY_OR</stp>
        <stp>2</stp>
        <stp>002592</stp>
        <stp>12/31/2018</stp>
        <tr r="H3324" s="1"/>
      </tp>
      <tp>
        <v>31.415861566499999</v>
        <stp/>
        <stp>EM_S_FA_YOY_OR</stp>
        <stp>2</stp>
        <stp>002599</stp>
        <stp>12/31/2018</stp>
        <tr r="H3370" s="1"/>
      </tp>
      <tp>
        <v>34.517084926099997</v>
        <stp/>
        <stp>EM_S_FA_YOY_OR</stp>
        <stp>2</stp>
        <stp>002598</stp>
        <stp>12/31/2018</stp>
        <tr r="H2728" s="1"/>
      </tp>
      <tp>
        <v>8.2148286859000006</v>
        <stp/>
        <stp>EM_S_FA_YOY_OR</stp>
        <stp>2</stp>
        <stp>002505</stp>
        <stp>12/31/2018</stp>
        <tr r="H1975" s="1"/>
      </tp>
      <tp>
        <v>-18.4910624742</v>
        <stp/>
        <stp>EM_S_FA_YOY_OR</stp>
        <stp>2</stp>
        <stp>002504</stp>
        <stp>12/31/2018</stp>
        <tr r="H2893" s="1"/>
      </tp>
      <tp>
        <v>25.9245657397</v>
        <stp/>
        <stp>EM_S_FA_YOY_OR</stp>
        <stp>2</stp>
        <stp>002507</stp>
        <stp>12/31/2018</stp>
        <tr r="H1166" s="1"/>
      </tp>
      <tp>
        <v>-22.537020774799998</v>
        <stp/>
        <stp>EM_S_FA_YOY_OR</stp>
        <stp>2</stp>
        <stp>002506</stp>
        <stp>12/31/2018</stp>
        <tr r="H1358" s="1"/>
      </tp>
      <tp>
        <v>-84.235986952199994</v>
        <stp/>
        <stp>EM_S_FA_YOY_OR</stp>
        <stp>2</stp>
        <stp>002501</stp>
        <stp>12/31/2018</stp>
        <tr r="H3330" s="1"/>
      </tp>
      <tp>
        <v>55.955890189100003</v>
        <stp/>
        <stp>EM_S_FA_YOY_OR</stp>
        <stp>2</stp>
        <stp>002500</stp>
        <stp>12/31/2018</stp>
        <tr r="H731" s="1"/>
      </tp>
      <tp>
        <v>0.89335867209999997</v>
        <stp/>
        <stp>EM_S_FA_YOY_OR</stp>
        <stp>2</stp>
        <stp>002503</stp>
        <stp>12/31/2018</stp>
        <tr r="H2089" s="1"/>
      </tp>
      <tp>
        <v>3.410785089</v>
        <stp/>
        <stp>EM_S_FA_YOY_OR</stp>
        <stp>2</stp>
        <stp>002502</stp>
        <stp>12/31/2018</stp>
        <tr r="H2997" s="1"/>
      </tp>
      <tp>
        <v>-37.686240932399997</v>
        <stp/>
        <stp>EM_S_FA_YOY_OR</stp>
        <stp>2</stp>
        <stp>002509</stp>
        <stp>12/31/2018</stp>
        <tr r="H3313" s="1"/>
      </tp>
      <tp>
        <v>5.8068285546</v>
        <stp/>
        <stp>EM_S_FA_YOY_OR</stp>
        <stp>2</stp>
        <stp>002508</stp>
        <stp>12/31/2018</stp>
        <tr r="H332" s="1"/>
      </tp>
      <tp>
        <v>14.5778652189</v>
        <stp/>
        <stp>EM_S_FA_YOY_OR</stp>
        <stp>2</stp>
        <stp>002515</stp>
        <stp>12/31/2018</stp>
        <tr r="H982" s="1"/>
      </tp>
      <tp>
        <v>47.195056107200003</v>
        <stp/>
        <stp>EM_S_FA_YOY_OR</stp>
        <stp>2</stp>
        <stp>002514</stp>
        <stp>12/31/2018</stp>
        <tr r="H1830" s="1"/>
      </tp>
      <tp>
        <v>-27.130082102100001</v>
        <stp/>
        <stp>EM_S_FA_YOY_OR</stp>
        <stp>2</stp>
        <stp>002517</stp>
        <stp>12/31/2018</stp>
        <tr r="H3215" s="1"/>
      </tp>
      <tp>
        <v>-23.759283959400001</v>
        <stp/>
        <stp>EM_S_FA_YOY_OR</stp>
        <stp>2</stp>
        <stp>002516</stp>
        <stp>12/31/2018</stp>
        <tr r="H2588" s="1"/>
      </tp>
      <tp>
        <v>22.4253910324</v>
        <stp/>
        <stp>EM_S_FA_YOY_OR</stp>
        <stp>2</stp>
        <stp>002511</stp>
        <stp>12/31/2018</stp>
        <tr r="H611" s="1"/>
      </tp>
      <tp>
        <v>15.291613647</v>
        <stp/>
        <stp>EM_S_FA_YOY_OR</stp>
        <stp>2</stp>
        <stp>002510</stp>
        <stp>12/31/2018</stp>
        <tr r="H994" s="1"/>
      </tp>
      <tp>
        <v>-19.952480150900001</v>
        <stp/>
        <stp>EM_S_FA_YOY_OR</stp>
        <stp>2</stp>
        <stp>002513</stp>
        <stp>12/31/2018</stp>
        <tr r="H1792" s="1"/>
      </tp>
      <tp>
        <v>-16.3521293475</v>
        <stp/>
        <stp>EM_S_FA_YOY_OR</stp>
        <stp>2</stp>
        <stp>002512</stp>
        <stp>12/31/2018</stp>
        <tr r="H1261" s="1"/>
      </tp>
      <tp>
        <v>-6.474787933</v>
        <stp/>
        <stp>EM_S_FA_YOY_OR</stp>
        <stp>2</stp>
        <stp>002519</stp>
        <stp>12/31/2018</stp>
        <tr r="H1671" s="1"/>
      </tp>
      <tp>
        <v>-0.5494048856</v>
        <stp/>
        <stp>EM_S_FA_YOY_OR</stp>
        <stp>2</stp>
        <stp>002518</stp>
        <stp>12/31/2018</stp>
        <tr r="H588" s="1"/>
      </tp>
      <tp>
        <v>0</v>
        <stp/>
        <stp>EM_S_FA_YOY_OR</stp>
        <stp>2</stp>
        <stp>002525</stp>
        <stp>12/31/2018</stp>
        <tr r="H6" s="1"/>
      </tp>
      <tp>
        <v>112.14850120209999</v>
        <stp/>
        <stp>EM_S_FA_YOY_OR</stp>
        <stp>2</stp>
        <stp>002524</stp>
        <stp>12/31/2018</stp>
        <tr r="H120" s="1"/>
      </tp>
      <tp>
        <v>3.2724782864000002</v>
        <stp/>
        <stp>EM_S_FA_YOY_OR</stp>
        <stp>2</stp>
        <stp>002527</stp>
        <stp>12/31/2018</stp>
        <tr r="H2484" s="1"/>
      </tp>
      <tp>
        <v>35.604550199400002</v>
        <stp/>
        <stp>EM_S_FA_YOY_OR</stp>
        <stp>2</stp>
        <stp>002526</stp>
        <stp>12/31/2018</stp>
        <tr r="H1267" s="1"/>
      </tp>
      <tp>
        <v>2.9603237005</v>
        <stp/>
        <stp>EM_S_FA_YOY_OR</stp>
        <stp>2</stp>
        <stp>002521</stp>
        <stp>12/31/2018</stp>
        <tr r="H1904" s="1"/>
      </tp>
      <tp>
        <v>26.9515511878</v>
        <stp/>
        <stp>EM_S_FA_YOY_OR</stp>
        <stp>2</stp>
        <stp>002520</stp>
        <stp>12/31/2018</stp>
        <tr r="H2660" s="1"/>
      </tp>
      <tp>
        <v>12.851631403700001</v>
        <stp/>
        <stp>EM_S_FA_YOY_OR</stp>
        <stp>2</stp>
        <stp>002523</stp>
        <stp>12/31/2018</stp>
        <tr r="H2054" s="1"/>
      </tp>
      <tp>
        <v>65.139976693899996</v>
        <stp/>
        <stp>EM_S_FA_YOY_OR</stp>
        <stp>2</stp>
        <stp>002522</stp>
        <stp>12/31/2018</stp>
        <tr r="H1044" s="1"/>
      </tp>
      <tp>
        <v>-11.6337156205</v>
        <stp/>
        <stp>EM_S_FA_YOY_OR</stp>
        <stp>2</stp>
        <stp>002529</stp>
        <stp>12/31/2018</stp>
        <tr r="H2916" s="1"/>
      </tp>
      <tp>
        <v>46.985973328900002</v>
        <stp/>
        <stp>EM_S_FA_YOY_OR</stp>
        <stp>2</stp>
        <stp>002528</stp>
        <stp>12/31/2018</stp>
        <tr r="H665" s="1"/>
      </tp>
      <tp>
        <v>24.8620221091</v>
        <stp/>
        <stp>EM_S_FA_YOY_OR</stp>
        <stp>2</stp>
        <stp>002535</stp>
        <stp>12/31/2018</stp>
        <tr r="H2901" s="1"/>
      </tp>
      <tp>
        <v>2.0169667268000002</v>
        <stp/>
        <stp>EM_S_FA_YOY_OR</stp>
        <stp>2</stp>
        <stp>002534</stp>
        <stp>12/31/2018</stp>
        <tr r="H721" s="1"/>
      </tp>
      <tp>
        <v>25.404903813299999</v>
        <stp/>
        <stp>EM_S_FA_YOY_OR</stp>
        <stp>2</stp>
        <stp>002537</stp>
        <stp>12/31/2018</stp>
        <tr r="H3234" s="1"/>
      </tp>
      <tp>
        <v>5.7978032732000004</v>
        <stp/>
        <stp>EM_S_FA_YOY_OR</stp>
        <stp>2</stp>
        <stp>002536</stp>
        <stp>12/31/2018</stp>
        <tr r="H3350" s="1"/>
      </tp>
      <tp>
        <v>16.793360810199999</v>
        <stp/>
        <stp>EM_S_FA_YOY_OR</stp>
        <stp>2</stp>
        <stp>002531</stp>
        <stp>12/31/2018</stp>
        <tr r="H787" s="1"/>
      </tp>
      <tp>
        <v>26.695026803400001</v>
        <stp/>
        <stp>EM_S_FA_YOY_OR</stp>
        <stp>2</stp>
        <stp>002530</stp>
        <stp>12/31/2018</stp>
        <tr r="H250" s="1"/>
      </tp>
      <tp>
        <v>19.628968292</v>
        <stp/>
        <stp>EM_S_FA_YOY_OR</stp>
        <stp>2</stp>
        <stp>002533</stp>
        <stp>12/31/2018</stp>
        <tr r="H1582" s="1"/>
      </tp>
      <tp>
        <v>-0.5543034376</v>
        <stp/>
        <stp>EM_S_FA_YOY_OR</stp>
        <stp>2</stp>
        <stp>002532</stp>
        <stp>12/31/2018</stp>
        <tr r="H1275" s="1"/>
      </tp>
      <tp>
        <v>1.6372221165</v>
        <stp/>
        <stp>EM_S_FA_YOY_OR</stp>
        <stp>2</stp>
        <stp>002539</stp>
        <stp>12/31/2018</stp>
        <tr r="H1332" s="1"/>
      </tp>
      <tp>
        <v>20.136133816600001</v>
        <stp/>
        <stp>EM_S_FA_YOY_OR</stp>
        <stp>2</stp>
        <stp>002538</stp>
        <stp>12/31/2018</stp>
        <tr r="H2472" s="1"/>
      </tp>
      <tp>
        <v>7.3396858440999999</v>
        <stp/>
        <stp>EM_S_FA_YOY_OR</stp>
        <stp>2</stp>
        <stp>002545</stp>
        <stp>12/31/2018</stp>
        <tr r="H996" s="1"/>
      </tp>
      <tp>
        <v>4.8564396109999999</v>
        <stp/>
        <stp>EM_S_FA_YOY_OR</stp>
        <stp>2</stp>
        <stp>002544</stp>
        <stp>12/31/2018</stp>
        <tr r="H1046" s="1"/>
      </tp>
      <tp>
        <v>29.658477732000001</v>
        <stp/>
        <stp>EM_S_FA_YOY_OR</stp>
        <stp>2</stp>
        <stp>002547</stp>
        <stp>12/31/2018</stp>
        <tr r="H524" s="1"/>
      </tp>
      <tp>
        <v>13.792835205599999</v>
        <stp/>
        <stp>EM_S_FA_YOY_OR</stp>
        <stp>2</stp>
        <stp>002546</stp>
        <stp>12/31/2018</stp>
        <tr r="H1763" s="1"/>
      </tp>
      <tp>
        <v>56.4617607363</v>
        <stp/>
        <stp>EM_S_FA_YOY_OR</stp>
        <stp>2</stp>
        <stp>002541</stp>
        <stp>12/31/2018</stp>
        <tr r="H538" s="1"/>
      </tp>
      <tp>
        <v>5.3569623377999998</v>
        <stp/>
        <stp>EM_S_FA_YOY_OR</stp>
        <stp>2</stp>
        <stp>002540</stp>
        <stp>12/31/2018</stp>
        <tr r="H2657" s="1"/>
      </tp>
      <tp>
        <v>5.8471504863000003</v>
        <stp/>
        <stp>EM_S_FA_YOY_OR</stp>
        <stp>2</stp>
        <stp>002543</stp>
        <stp>12/31/2018</stp>
        <tr r="H3167" s="1"/>
      </tp>
      <tp>
        <v>27.614759765700001</v>
        <stp/>
        <stp>EM_S_FA_YOY_OR</stp>
        <stp>2</stp>
        <stp>002542</stp>
        <stp>12/31/2018</stp>
        <tr r="H2894" s="1"/>
      </tp>
      <tp>
        <v>17.809125567300001</v>
        <stp/>
        <stp>EM_S_FA_YOY_OR</stp>
        <stp>2</stp>
        <stp>002549</stp>
        <stp>12/31/2018</stp>
        <tr r="H1576" s="1"/>
      </tp>
      <tp>
        <v>-8.5168178793999996</v>
        <stp/>
        <stp>EM_S_FA_YOY_OR</stp>
        <stp>2</stp>
        <stp>002548</stp>
        <stp>12/31/2018</stp>
        <tr r="H938" s="1"/>
      </tp>
      <tp>
        <v>23.3299669094</v>
        <stp/>
        <stp>EM_S_FA_YOY_OR</stp>
        <stp>2</stp>
        <stp>002555</stp>
        <stp>12/31/2018</stp>
        <tr r="H50" s="1"/>
      </tp>
      <tp>
        <v>11.8859244353</v>
        <stp/>
        <stp>EM_S_FA_YOY_OR</stp>
        <stp>2</stp>
        <stp>002554</stp>
        <stp>12/31/2018</stp>
        <tr r="H1656" s="1"/>
      </tp>
      <tp>
        <v>16.4959918363</v>
        <stp/>
        <stp>EM_S_FA_YOY_OR</stp>
        <stp>2</stp>
        <stp>002557</stp>
        <stp>12/31/2018</stp>
        <tr r="H276" s="1"/>
      </tp>
      <tp>
        <v>17.4320984951</v>
        <stp/>
        <stp>EM_S_FA_YOY_OR</stp>
        <stp>2</stp>
        <stp>002556</stp>
        <stp>12/31/2018</stp>
        <tr r="H1846" s="1"/>
      </tp>
      <tp>
        <v>-18.741556618499999</v>
        <stp/>
        <stp>EM_S_FA_YOY_OR</stp>
        <stp>2</stp>
        <stp>002551</stp>
        <stp>12/31/2018</stp>
        <tr r="H2390" s="1"/>
      </tp>
      <tp>
        <v>24.046989515300002</v>
        <stp/>
        <stp>EM_S_FA_YOY_OR</stp>
        <stp>2</stp>
        <stp>002550</stp>
        <stp>12/31/2018</stp>
        <tr r="H1338" s="1"/>
      </tp>
      <tp>
        <v>0.95431433629999995</v>
        <stp/>
        <stp>EM_S_FA_YOY_OR</stp>
        <stp>2</stp>
        <stp>002553</stp>
        <stp>12/31/2018</stp>
        <tr r="H2055" s="1"/>
      </tp>
      <tp>
        <v>30.314615863299998</v>
        <stp/>
        <stp>EM_S_FA_YOY_OR</stp>
        <stp>2</stp>
        <stp>002552</stp>
        <stp>12/31/2018</stp>
        <tr r="H17" s="1"/>
      </tp>
      <tp>
        <v>6.5213723914999999</v>
        <stp/>
        <stp>EM_S_FA_YOY_OR</stp>
        <stp>2</stp>
        <stp>002559</stp>
        <stp>12/31/2018</stp>
        <tr r="H2941" s="1"/>
      </tp>
      <tp>
        <v>30.029034879400001</v>
        <stp/>
        <stp>EM_S_FA_YOY_OR</stp>
        <stp>2</stp>
        <stp>002558</stp>
        <stp>12/31/2018</stp>
        <tr r="H2676" s="1"/>
      </tp>
      <tp>
        <v>5.4526743255000003</v>
        <stp/>
        <stp>EM_S_FA_YOY_OR</stp>
        <stp>2</stp>
        <stp>002565</stp>
        <stp>12/31/2018</stp>
        <tr r="H336" s="1"/>
      </tp>
      <tp>
        <v>-25.9861814269</v>
        <stp/>
        <stp>EM_S_FA_YOY_OR</stp>
        <stp>2</stp>
        <stp>002564</stp>
        <stp>12/31/2018</stp>
        <tr r="H2712" s="1"/>
      </tp>
      <tp>
        <v>12.2645645779</v>
        <stp/>
        <stp>EM_S_FA_YOY_OR</stp>
        <stp>2</stp>
        <stp>002567</stp>
        <stp>12/31/2018</stp>
        <tr r="H485" s="1"/>
      </tp>
      <tp>
        <v>-5.7377943380999996</v>
        <stp/>
        <stp>EM_S_FA_YOY_OR</stp>
        <stp>2</stp>
        <stp>002566</stp>
        <stp>12/31/2018</stp>
        <tr r="H1514" s="1"/>
      </tp>
      <tp>
        <v>-1.5664580380999999</v>
        <stp/>
        <stp>EM_S_FA_YOY_OR</stp>
        <stp>2</stp>
        <stp>002561</stp>
        <stp>12/31/2018</stp>
        <tr r="H1959" s="1"/>
      </tp>
      <tp>
        <v>46.196373956099997</v>
        <stp/>
        <stp>EM_S_FA_YOY_OR</stp>
        <stp>2</stp>
        <stp>002560</stp>
        <stp>12/31/2018</stp>
        <tr r="H1921" s="1"/>
      </tp>
      <tp>
        <v>30.706297732300001</v>
        <stp/>
        <stp>EM_S_FA_YOY_OR</stp>
        <stp>2</stp>
        <stp>002563</stp>
        <stp>12/31/2018</stp>
        <tr r="H1758" s="1"/>
      </tp>
      <tp>
        <v>-9.5562511531999998</v>
        <stp/>
        <stp>EM_S_FA_YOY_OR</stp>
        <stp>2</stp>
        <stp>002562</stp>
        <stp>12/31/2018</stp>
        <tr r="H1598" s="1"/>
      </tp>
      <tp>
        <v>-6.985872166</v>
        <stp/>
        <stp>EM_S_FA_YOY_OR</stp>
        <stp>2</stp>
        <stp>002569</stp>
        <stp>12/31/2018</stp>
        <tr r="H2052" s="1"/>
      </tp>
      <tp>
        <v>4.9547196017999999</v>
        <stp/>
        <stp>EM_S_FA_YOY_OR</stp>
        <stp>2</stp>
        <stp>002568</stp>
        <stp>12/31/2018</stp>
        <tr r="H47" s="1"/>
      </tp>
      <tp>
        <v>-64.688311584900006</v>
        <stp/>
        <stp>EM_S_FA_YOY_OR</stp>
        <stp>2</stp>
        <stp>002575</stp>
        <stp>12/31/2018</stp>
        <tr r="H2631" s="1"/>
      </tp>
      <tp>
        <v>11.041928284200001</v>
        <stp/>
        <stp>EM_S_FA_YOY_OR</stp>
        <stp>2</stp>
        <stp>002574</stp>
        <stp>12/31/2018</stp>
        <tr r="H2095" s="1"/>
      </tp>
      <tp>
        <v>-5.0406618299000003</v>
        <stp/>
        <stp>EM_S_FA_YOY_OR</stp>
        <stp>2</stp>
        <stp>002577</stp>
        <stp>12/31/2018</stp>
        <tr r="H919" s="1"/>
      </tp>
      <tp>
        <v>6.5041731691000004</v>
        <stp/>
        <stp>EM_S_FA_YOY_OR</stp>
        <stp>2</stp>
        <stp>002576</stp>
        <stp>12/31/2018</stp>
        <tr r="H2458" s="1"/>
      </tp>
      <tp>
        <v>-0.1669032319</v>
        <stp/>
        <stp>EM_S_FA_YOY_OR</stp>
        <stp>2</stp>
        <stp>002571</stp>
        <stp>12/31/2018</stp>
        <tr r="H2579" s="1"/>
      </tp>
      <tp>
        <v>-6.3758682670000004</v>
        <stp/>
        <stp>EM_S_FA_YOY_OR</stp>
        <stp>2</stp>
        <stp>002570</stp>
        <stp>12/31/2018</stp>
        <tr r="H1926" s="1"/>
      </tp>
      <tp>
        <v>-0.15860660739999999</v>
        <stp/>
        <stp>EM_S_FA_YOY_OR</stp>
        <stp>2</stp>
        <stp>002573</stp>
        <stp>12/31/2018</stp>
        <tr r="H2784" s="1"/>
      </tp>
      <tp>
        <v>18.655497519000001</v>
        <stp/>
        <stp>EM_S_FA_YOY_OR</stp>
        <stp>2</stp>
        <stp>002572</stp>
        <stp>12/31/2018</stp>
        <tr r="H1070" s="1"/>
      </tp>
      <tp>
        <v>63.6089359562</v>
        <stp/>
        <stp>EM_S_FA_YOY_OR</stp>
        <stp>2</stp>
        <stp>002579</stp>
        <stp>12/31/2018</stp>
        <tr r="H396" s="1"/>
      </tp>
      <tp>
        <v>16.071970065199999</v>
        <stp/>
        <stp>EM_S_FA_YOY_OR</stp>
        <stp>2</stp>
        <stp>002578</stp>
        <stp>12/31/2018</stp>
        <tr r="H1903" s="1"/>
      </tp>
      <tp>
        <v>0.76804915514592931</v>
        <stp/>
        <stp>EM_S_VAL_DIVIDENDYIELD2</stp>
        <stp>3</stp>
        <stp>002223</stp>
        <stp>12/31/2018</stp>
        <stp>2019-11-29</stp>
        <tr r="Q2176" s="1"/>
      </tp>
      <tp>
        <v>4.0074557315936632</v>
        <stp/>
        <stp>EM_S_VAL_DIVIDENDYIELD2</stp>
        <stp>3</stp>
        <stp>002233</stp>
        <stp>12/31/2018</stp>
        <stp>2019-11-29</stp>
        <tr r="Q1157" s="1"/>
      </tp>
      <tp>
        <v>0.71126321036889328</v>
        <stp/>
        <stp>EM_S_VAL_DIVIDENDYIELD2</stp>
        <stp>3</stp>
        <stp>002203</stp>
        <stp>12/31/2018</stp>
        <stp>2019-11-29</stp>
        <tr r="Q951" s="1"/>
      </tp>
      <tp>
        <v>0</v>
        <stp/>
        <stp>EM_S_VAL_DIVIDENDYIELD2</stp>
        <stp>3</stp>
        <stp>002213</stp>
        <stp>12/31/2018</stp>
        <stp>2019-11-29</stp>
        <tr r="Q924" s="1"/>
      </tp>
      <tp>
        <v>0</v>
        <stp/>
        <stp>EM_S_VAL_DIVIDENDYIELD2</stp>
        <stp>3</stp>
        <stp>002263</stp>
        <stp>12/31/2018</stp>
        <stp>2019-11-29</stp>
        <tr r="Q1203" s="1"/>
      </tp>
      <tp>
        <v>0.57732134181325778</v>
        <stp/>
        <stp>EM_S_VAL_DIVIDENDYIELD2</stp>
        <stp>3</stp>
        <stp>002273</stp>
        <stp>12/31/2018</stp>
        <stp>2019-11-29</stp>
        <tr r="Q318" s="1"/>
      </tp>
      <tp>
        <v>0.34153005464480873</v>
        <stp/>
        <stp>EM_S_VAL_DIVIDENDYIELD2</stp>
        <stp>3</stp>
        <stp>002243</stp>
        <stp>12/31/2018</stp>
        <stp>2019-11-29</stp>
        <tr r="Q1825" s="1"/>
      </tp>
      <tp>
        <v>0.89619118745332338</v>
        <stp/>
        <stp>EM_S_VAL_DIVIDENDYIELD2</stp>
        <stp>3</stp>
        <stp>002253</stp>
        <stp>12/31/2018</stp>
        <stp>2019-11-29</stp>
        <tr r="Q1773" s="1"/>
      </tp>
      <tp>
        <v>0.86834733893557414</v>
        <stp/>
        <stp>EM_S_VAL_DIVIDENDYIELD2</stp>
        <stp>3</stp>
        <stp>002283</stp>
        <stp>12/31/2018</stp>
        <stp>2019-11-29</stp>
        <tr r="Q1746" s="1"/>
      </tp>
      <tp>
        <v>4.2118511949596105</v>
        <stp/>
        <stp>EM_S_VAL_DIVIDENDYIELD2</stp>
        <stp>3</stp>
        <stp>002293</stp>
        <stp>12/31/2018</stp>
        <stp>2019-11-29</stp>
        <tr r="Q1996" s="1"/>
      </tp>
      <tp>
        <v>0</v>
        <stp/>
        <stp>EM_S_VAL_DIVIDENDYIELD2</stp>
        <stp>3</stp>
        <stp>002323</stp>
        <stp>12/31/2018</stp>
        <stp>2019-11-29</stp>
        <tr r="Q80" s="1"/>
      </tp>
      <tp>
        <v>0</v>
        <stp/>
        <stp>EM_S_VAL_DIVIDENDYIELD2</stp>
        <stp>3</stp>
        <stp>002333</stp>
        <stp>12/31/2018</stp>
        <stp>2019-11-29</stp>
        <tr r="Q3105" s="1"/>
      </tp>
      <tp>
        <v>4.1666666666666661</v>
        <stp/>
        <stp>EM_S_VAL_DIVIDENDYIELD2</stp>
        <stp>3</stp>
        <stp>002303</stp>
        <stp>12/31/2018</stp>
        <stp>2019-11-29</stp>
        <tr r="Q1611" s="1"/>
      </tp>
      <tp>
        <v>0.1321353065539112</v>
        <stp/>
        <stp>EM_S_VAL_DIVIDENDYIELD2</stp>
        <stp>3</stp>
        <stp>002313</stp>
        <stp>12/31/2018</stp>
        <stp>2019-11-29</stp>
        <tr r="Q2845" s="1"/>
      </tp>
      <tp>
        <v>0.32894736842105265</v>
        <stp/>
        <stp>EM_S_VAL_DIVIDENDYIELD2</stp>
        <stp>3</stp>
        <stp>002363</stp>
        <stp>12/31/2018</stp>
        <stp>2019-11-29</stp>
        <tr r="Q1055" s="1"/>
      </tp>
      <tp>
        <v>0.32777115613825986</v>
        <stp/>
        <stp>EM_S_VAL_DIVIDENDYIELD2</stp>
        <stp>3</stp>
        <stp>002373</stp>
        <stp>12/31/2018</stp>
        <stp>2019-11-29</stp>
        <tr r="Q379" s="1"/>
      </tp>
      <tp>
        <v>0</v>
        <stp/>
        <stp>EM_S_VAL_DIVIDENDYIELD2</stp>
        <stp>3</stp>
        <stp>002343</stp>
        <stp>12/31/2018</stp>
        <stp>2019-11-29</stp>
        <tr r="Q1031" s="1"/>
      </tp>
      <tp>
        <v>0.37842951750236514</v>
        <stp/>
        <stp>EM_S_VAL_DIVIDENDYIELD2</stp>
        <stp>3</stp>
        <stp>002353</stp>
        <stp>12/31/2018</stp>
        <stp>2019-11-29</stp>
        <tr r="Q89" s="1"/>
      </tp>
      <tp>
        <v>0</v>
        <stp/>
        <stp>EM_S_VAL_DIVIDENDYIELD2</stp>
        <stp>3</stp>
        <stp>002383</stp>
        <stp>12/31/2018</stp>
        <stp>2019-11-29</stp>
        <tr r="Q3075" s="1"/>
      </tp>
      <tp>
        <v>1.1990407673860912</v>
        <stp/>
        <stp>EM_S_VAL_DIVIDENDYIELD2</stp>
        <stp>3</stp>
        <stp>002393</stp>
        <stp>12/31/2018</stp>
        <stp>2019-11-29</stp>
        <tr r="Q1123" s="1"/>
      </tp>
      <tp>
        <v>0</v>
        <stp/>
        <stp>EM_S_VAL_DIVIDENDYIELD2</stp>
        <stp>3</stp>
        <stp>002023</stp>
        <stp>12/31/2018</stp>
        <stp>2019-11-29</stp>
        <tr r="Q1575" s="1"/>
      </tp>
      <tp>
        <v>2.5125628140703515</v>
        <stp/>
        <stp>EM_S_VAL_DIVIDENDYIELD2</stp>
        <stp>3</stp>
        <stp>002033</stp>
        <stp>12/31/2018</stp>
        <stp>2019-11-29</stp>
        <tr r="Q3611" s="1"/>
      </tp>
      <tp>
        <v>5.8528428093645486</v>
        <stp/>
        <stp>EM_S_VAL_DIVIDENDYIELD2</stp>
        <stp>3</stp>
        <stp>002003</stp>
        <stp>12/31/2018</stp>
        <stp>2019-11-29</stp>
        <tr r="Q2851" s="1"/>
      </tp>
      <tp>
        <v>0.46948287646891007</v>
        <stp/>
        <stp>EM_S_VAL_DIVIDENDYIELD2</stp>
        <stp>3</stp>
        <stp>002013</stp>
        <stp>12/31/2018</stp>
        <stp>2019-11-29</stp>
        <tr r="Q1925" s="1"/>
      </tp>
      <tp>
        <v>0.46040515653775327</v>
        <stp/>
        <stp>EM_S_VAL_DIVIDENDYIELD2</stp>
        <stp>3</stp>
        <stp>002063</stp>
        <stp>12/31/2018</stp>
        <stp>2019-11-29</stp>
        <tr r="Q118" s="1"/>
      </tp>
      <tp>
        <v>0</v>
        <stp/>
        <stp>EM_S_VAL_DIVIDENDYIELD2</stp>
        <stp>3</stp>
        <stp>002073</stp>
        <stp>12/31/2018</stp>
        <stp>2019-11-29</stp>
        <tr r="Q3625" s="1"/>
      </tp>
      <tp>
        <v>3.6603221083455346</v>
        <stp/>
        <stp>EM_S_VAL_DIVIDENDYIELD2</stp>
        <stp>3</stp>
        <stp>002043</stp>
        <stp>12/31/2018</stp>
        <stp>2019-11-29</stp>
        <tr r="Q656" s="1"/>
      </tp>
      <tp>
        <v>0.7142857142857143</v>
        <stp/>
        <stp>EM_S_VAL_DIVIDENDYIELD2</stp>
        <stp>3</stp>
        <stp>002053</stp>
        <stp>12/31/2018</stp>
        <stp>2019-11-29</stp>
        <tr r="Q3619" s="1"/>
      </tp>
      <tp>
        <v>1.6666666666666667</v>
        <stp/>
        <stp>EM_S_VAL_DIVIDENDYIELD2</stp>
        <stp>3</stp>
        <stp>002083</stp>
        <stp>12/31/2018</stp>
        <stp>2019-11-29</stp>
        <tr r="Q1111" s="1"/>
      </tp>
      <tp>
        <v>0.1918158567774936</v>
        <stp/>
        <stp>EM_S_VAL_DIVIDENDYIELD2</stp>
        <stp>3</stp>
        <stp>002093</stp>
        <stp>12/31/2018</stp>
        <stp>2019-11-29</stp>
        <tr r="Q3631" s="1"/>
      </tp>
      <tp>
        <v>0</v>
        <stp/>
        <stp>EM_S_VAL_DIVIDENDYIELD2</stp>
        <stp>3</stp>
        <stp>002123</stp>
        <stp>12/31/2018</stp>
        <stp>2019-11-29</stp>
        <tr r="Q78" s="1"/>
      </tp>
      <tp>
        <v>2.5641025641025639</v>
        <stp/>
        <stp>EM_S_VAL_DIVIDENDYIELD2</stp>
        <stp>3</stp>
        <stp>002133</stp>
        <stp>12/31/2018</stp>
        <stp>2019-11-29</stp>
        <tr r="Q2546" s="1"/>
      </tp>
      <tp>
        <v>0</v>
        <stp/>
        <stp>EM_S_VAL_DIVIDENDYIELD2</stp>
        <stp>3</stp>
        <stp>002103</stp>
        <stp>12/31/2018</stp>
        <stp>2019-11-29</stp>
        <tr r="Q3635" s="1"/>
      </tp>
      <tp>
        <v>0</v>
        <stp/>
        <stp>EM_S_VAL_DIVIDENDYIELD2</stp>
        <stp>3</stp>
        <stp>002113</stp>
        <stp>12/31/2018</stp>
        <stp>2019-11-29</stp>
        <tr r="Q3352" s="1"/>
      </tp>
      <tp>
        <v>0</v>
        <stp/>
        <stp>EM_S_VAL_DIVIDENDYIELD2</stp>
        <stp>3</stp>
        <stp>002163</stp>
        <stp>12/31/2018</stp>
        <stp>2019-11-29</stp>
        <tr r="Q1572" s="1"/>
      </tp>
      <tp>
        <v>0</v>
        <stp/>
        <stp>EM_S_VAL_DIVIDENDYIELD2</stp>
        <stp>3</stp>
        <stp>002173</stp>
        <stp>12/31/2018</stp>
        <stp>2019-11-29</stp>
        <tr r="Q2881" s="1"/>
      </tp>
      <tp>
        <v>0</v>
        <stp/>
        <stp>EM_S_VAL_DIVIDENDYIELD2</stp>
        <stp>3</stp>
        <stp>002143</stp>
        <stp>12/31/2018</stp>
        <stp>2019-11-29</stp>
        <tr r="Q3411" s="1"/>
      </tp>
      <tp>
        <v>0.27682292126959357</v>
        <stp/>
        <stp>EM_S_VAL_DIVIDENDYIELD2</stp>
        <stp>3</stp>
        <stp>002153</stp>
        <stp>12/31/2018</stp>
        <stp>2019-11-29</stp>
        <tr r="Q541" s="1"/>
      </tp>
      <tp>
        <v>0.49019607843137253</v>
        <stp/>
        <stp>EM_S_VAL_DIVIDENDYIELD2</stp>
        <stp>3</stp>
        <stp>002183</stp>
        <stp>12/31/2018</stp>
        <stp>2019-11-29</stp>
        <tr r="Q2949" s="1"/>
      </tp>
      <tp>
        <v>0.65189048239895697</v>
        <stp/>
        <stp>EM_S_VAL_DIVIDENDYIELD2</stp>
        <stp>3</stp>
        <stp>002193</stp>
        <stp>12/31/2018</stp>
        <stp>2019-11-29</stp>
        <tr r="Q2773" s="1"/>
      </tp>
      <tp>
        <v>0</v>
        <stp/>
        <stp>EM_S_VAL_DIVIDENDYIELD2</stp>
        <stp>3</stp>
        <stp>002623</stp>
        <stp>12/31/2018</stp>
        <stp>2019-11-29</stp>
        <tr r="Q556" s="1"/>
      </tp>
      <tp>
        <v>0</v>
        <stp/>
        <stp>EM_S_VAL_DIVIDENDYIELD2</stp>
        <stp>3</stp>
        <stp>002633</stp>
        <stp>12/31/2018</stp>
        <stp>2019-11-29</stp>
        <tr r="Q2033" s="1"/>
      </tp>
      <tp>
        <v>0.8876447623063265</v>
        <stp/>
        <stp>EM_S_VAL_DIVIDENDYIELD2</stp>
        <stp>3</stp>
        <stp>002603</stp>
        <stp>12/31/2018</stp>
        <stp>2019-11-29</stp>
        <tr r="Q1855" s="1"/>
      </tp>
      <tp>
        <v>0</v>
        <stp/>
        <stp>EM_S_VAL_DIVIDENDYIELD2</stp>
        <stp>3</stp>
        <stp>002613</stp>
        <stp>12/31/2018</stp>
        <stp>2019-11-29</stp>
        <tr r="Q2072" s="1"/>
      </tp>
      <tp>
        <v>0.10600706713780918</v>
        <stp/>
        <stp>EM_S_VAL_DIVIDENDYIELD2</stp>
        <stp>3</stp>
        <stp>002663</stp>
        <stp>12/31/2018</stp>
        <stp>2019-11-29</stp>
        <tr r="Q1524" s="1"/>
      </tp>
      <tp>
        <v>0.65759637188208608</v>
        <stp/>
        <stp>EM_S_VAL_DIVIDENDYIELD2</stp>
        <stp>3</stp>
        <stp>002673</stp>
        <stp>12/31/2018</stp>
        <stp>2019-11-29</stp>
        <tr r="Q998" s="1"/>
      </tp>
      <tp>
        <v>1.3696498054474708</v>
        <stp/>
        <stp>EM_S_VAL_DIVIDENDYIELD2</stp>
        <stp>3</stp>
        <stp>002643</stp>
        <stp>12/31/2018</stp>
        <stp>2019-11-29</stp>
        <tr r="Q561" s="1"/>
      </tp>
      <tp>
        <v>0.88662215513262421</v>
        <stp/>
        <stp>EM_S_VAL_DIVIDENDYIELD2</stp>
        <stp>3</stp>
        <stp>002653</stp>
        <stp>12/31/2018</stp>
        <stp>2019-11-29</stp>
        <tr r="Q337" s="1"/>
      </tp>
      <tp>
        <v>1.0980966325036601</v>
        <stp/>
        <stp>EM_S_VAL_DIVIDENDYIELD2</stp>
        <stp>3</stp>
        <stp>002683</stp>
        <stp>12/31/2018</stp>
        <stp>2019-11-29</stp>
        <tr r="Q111" s="1"/>
      </tp>
      <tp>
        <v>0</v>
        <stp/>
        <stp>EM_S_VAL_DIVIDENDYIELD2</stp>
        <stp>3</stp>
        <stp>002693</stp>
        <stp>12/31/2018</stp>
        <stp>2019-11-29</stp>
        <tr r="Q1309" s="1"/>
      </tp>
      <tp>
        <v>0</v>
        <stp/>
        <stp>EM_S_VAL_DIVIDENDYIELD2</stp>
        <stp>3</stp>
        <stp>002723</stp>
        <stp>12/31/2018</stp>
        <stp>2019-11-29</stp>
        <tr r="Q2029" s="1"/>
      </tp>
      <tp>
        <v>0.64157399486740807</v>
        <stp/>
        <stp>EM_S_VAL_DIVIDENDYIELD2</stp>
        <stp>3</stp>
        <stp>002733</stp>
        <stp>12/31/2018</stp>
        <stp>2019-11-29</stp>
        <tr r="Q67" s="1"/>
      </tp>
      <tp>
        <v>0</v>
        <stp/>
        <stp>EM_S_VAL_DIVIDENDYIELD2</stp>
        <stp>3</stp>
        <stp>002703</stp>
        <stp>12/31/2018</stp>
        <stp>2019-11-29</stp>
        <tr r="Q1670" s="1"/>
      </tp>
      <tp>
        <v>8.7172697422739418</v>
        <stp/>
        <stp>EM_S_VAL_DIVIDENDYIELD2</stp>
        <stp>3</stp>
        <stp>002713</stp>
        <stp>12/31/2018</stp>
        <stp>2019-11-29</stp>
        <tr r="Q3382" s="1"/>
      </tp>
      <tp>
        <v>5.5259276185916066</v>
        <stp/>
        <stp>EM_S_VAL_DIVIDENDYIELD2</stp>
        <stp>3</stp>
        <stp>002763</stp>
        <stp>12/31/2018</stp>
        <stp>2019-11-29</stp>
        <tr r="Q2122" s="1"/>
      </tp>
      <tp>
        <v>0.54143945546660477</v>
        <stp/>
        <stp>EM_S_VAL_DIVIDENDYIELD2</stp>
        <stp>3</stp>
        <stp>002773</stp>
        <stp>12/31/2018</stp>
        <stp>2019-11-29</stp>
        <tr r="Q1974" s="1"/>
      </tp>
      <tp>
        <v>0.86956521739130432</v>
        <stp/>
        <stp>EM_S_VAL_DIVIDENDYIELD2</stp>
        <stp>3</stp>
        <stp>002743</stp>
        <stp>12/31/2018</stp>
        <stp>2019-11-29</stp>
        <tr r="Q1568" s="1"/>
      </tp>
      <tp>
        <v>2.8901255457214585</v>
        <stp/>
        <stp>EM_S_VAL_DIVIDENDYIELD2</stp>
        <stp>3</stp>
        <stp>002753</stp>
        <stp>12/31/2018</stp>
        <stp>2019-11-29</stp>
        <tr r="Q2896" s="1"/>
      </tp>
      <tp>
        <v>1.7927068235203534</v>
        <stp/>
        <stp>EM_S_VAL_DIVIDENDYIELD2</stp>
        <stp>3</stp>
        <stp>002783</stp>
        <stp>12/31/2018</stp>
        <stp>2019-11-29</stp>
        <tr r="Q244" s="1"/>
      </tp>
      <tp>
        <v>1.351650945842835</v>
        <stp/>
        <stp>EM_S_VAL_DIVIDENDYIELD2</stp>
        <stp>3</stp>
        <stp>002793</stp>
        <stp>12/31/2018</stp>
        <stp>2019-11-29</stp>
        <tr r="Q848" s="1"/>
      </tp>
      <tp>
        <v>0</v>
        <stp/>
        <stp>EM_S_VAL_DIVIDENDYIELD2</stp>
        <stp>3</stp>
        <stp>002423</stp>
        <stp>12/31/2018</stp>
        <stp>2019-11-29</stp>
        <tr r="Q1697" s="1"/>
      </tp>
      <tp>
        <v>1.6104783599088839</v>
        <stp/>
        <stp>EM_S_VAL_DIVIDENDYIELD2</stp>
        <stp>3</stp>
        <stp>002433</stp>
        <stp>12/31/2018</stp>
        <stp>2019-11-29</stp>
        <tr r="Q2500" s="1"/>
      </tp>
      <tp>
        <v>1.7772511848341233</v>
        <stp/>
        <stp>EM_S_VAL_DIVIDENDYIELD2</stp>
        <stp>3</stp>
        <stp>002403</stp>
        <stp>12/31/2018</stp>
        <stp>2019-11-29</stp>
        <tr r="Q1774" s="1"/>
      </tp>
      <tp>
        <v>0</v>
        <stp/>
        <stp>EM_S_VAL_DIVIDENDYIELD2</stp>
        <stp>3</stp>
        <stp>002413</stp>
        <stp>12/31/2018</stp>
        <stp>2019-11-29</stp>
        <tr r="Q2131" s="1"/>
      </tp>
      <tp>
        <v>0.44474603620044728</v>
        <stp/>
        <stp>EM_S_VAL_DIVIDENDYIELD2</stp>
        <stp>3</stp>
        <stp>002463</stp>
        <stp>12/31/2018</stp>
        <stp>2019-11-29</stp>
        <tr r="Q42" s="1"/>
      </tp>
      <tp>
        <v>0</v>
        <stp/>
        <stp>EM_S_VAL_DIVIDENDYIELD2</stp>
        <stp>3</stp>
        <stp>002473</stp>
        <stp>12/31/2018</stp>
        <stp>2019-11-29</stp>
        <tr r="Q797" s="1"/>
      </tp>
      <tp>
        <v>2.9239766081871341</v>
        <stp/>
        <stp>EM_S_VAL_DIVIDENDYIELD2</stp>
        <stp>3</stp>
        <stp>002443</stp>
        <stp>12/31/2018</stp>
        <stp>2019-11-29</stp>
        <tr r="Q1085" s="1"/>
      </tp>
      <tp>
        <v>0</v>
        <stp/>
        <stp>EM_S_VAL_DIVIDENDYIELD2</stp>
        <stp>3</stp>
        <stp>002453</stp>
        <stp>12/31/2018</stp>
        <stp>2019-11-29</stp>
        <tr r="Q2057" s="1"/>
      </tp>
      <tp>
        <v>1.2345679012345678</v>
        <stp/>
        <stp>EM_S_VAL_DIVIDENDYIELD2</stp>
        <stp>3</stp>
        <stp>002483</stp>
        <stp>12/31/2018</stp>
        <stp>2019-11-29</stp>
        <tr r="Q1478" s="1"/>
      </tp>
      <tp>
        <v>0.82304526748971196</v>
        <stp/>
        <stp>EM_S_VAL_DIVIDENDYIELD2</stp>
        <stp>3</stp>
        <stp>002493</stp>
        <stp>12/31/2018</stp>
        <stp>2019-11-29</stp>
        <tr r="Q1189" s="1"/>
      </tp>
      <tp>
        <v>0.94339622641509435</v>
        <stp/>
        <stp>EM_S_VAL_DIVIDENDYIELD2</stp>
        <stp>3</stp>
        <stp>002523</stp>
        <stp>12/31/2018</stp>
        <stp>2019-11-29</stp>
        <tr r="Q2054" s="1"/>
      </tp>
      <tp>
        <v>3.0583243485863831</v>
        <stp/>
        <stp>EM_S_VAL_DIVIDENDYIELD2</stp>
        <stp>3</stp>
        <stp>002533</stp>
        <stp>12/31/2018</stp>
        <stp>2019-11-29</stp>
        <tr r="Q1582" s="1"/>
      </tp>
      <tp>
        <v>0</v>
        <stp/>
        <stp>EM_S_VAL_DIVIDENDYIELD2</stp>
        <stp>3</stp>
        <stp>002503</stp>
        <stp>12/31/2018</stp>
        <stp>2019-11-29</stp>
        <tr r="Q2089" s="1"/>
      </tp>
      <tp>
        <v>0</v>
        <stp/>
        <stp>EM_S_VAL_DIVIDENDYIELD2</stp>
        <stp>3</stp>
        <stp>002513</stp>
        <stp>12/31/2018</stp>
        <stp>2019-11-29</stp>
        <tr r="Q1792" s="1"/>
      </tp>
      <tp>
        <v>3.7331568705304892</v>
        <stp/>
        <stp>EM_S_VAL_DIVIDENDYIELD2</stp>
        <stp>3</stp>
        <stp>002563</stp>
        <stp>12/31/2018</stp>
        <stp>2019-11-29</stp>
        <tr r="Q1758" s="1"/>
      </tp>
      <tp>
        <v>1.6233766233766231</v>
        <stp/>
        <stp>EM_S_VAL_DIVIDENDYIELD2</stp>
        <stp>3</stp>
        <stp>002573</stp>
        <stp>12/31/2018</stp>
        <stp>2019-11-29</stp>
        <tr r="Q2784" s="1"/>
      </tp>
      <tp>
        <v>3.6549086272843181</v>
        <stp/>
        <stp>EM_S_VAL_DIVIDENDYIELD2</stp>
        <stp>3</stp>
        <stp>002543</stp>
        <stp>12/31/2018</stp>
        <stp>2019-11-29</stp>
        <tr r="Q3167" s="1"/>
      </tp>
      <tp>
        <v>3.9370078740157481</v>
        <stp/>
        <stp>EM_S_VAL_DIVIDENDYIELD2</stp>
        <stp>3</stp>
        <stp>002553</stp>
        <stp>12/31/2018</stp>
        <stp>2019-11-29</stp>
        <tr r="Q2055" s="1"/>
      </tp>
      <tp>
        <v>0.39363988704560848</v>
        <stp/>
        <stp>EM_S_VAL_DIVIDENDYIELD2</stp>
        <stp>3</stp>
        <stp>002583</stp>
        <stp>12/31/2018</stp>
        <stp>2019-11-29</stp>
        <tr r="Q1954" s="1"/>
      </tp>
      <tp>
        <v>1.4707982456140352</v>
        <stp/>
        <stp>EM_S_VAL_DIVIDENDYIELD2</stp>
        <stp>3</stp>
        <stp>002593</stp>
        <stp>12/31/2018</stp>
        <stp>2019-11-29</stp>
        <tr r="Q1008" s="1"/>
      </tp>
      <tp>
        <v>2.9586970235999424</v>
        <stp/>
        <stp>EM_S_VAL_DIVIDENDYIELD2</stp>
        <stp>3</stp>
        <stp>002823</stp>
        <stp>12/31/2018</stp>
        <stp>2019-11-29</stp>
        <tr r="Q2753" s="1"/>
      </tp>
      <tp>
        <v>0.91998360258875778</v>
        <stp/>
        <stp>EM_S_VAL_DIVIDENDYIELD2</stp>
        <stp>3</stp>
        <stp>002833</stp>
        <stp>12/31/2018</stp>
        <stp>2019-11-29</stp>
        <tr r="Q1553" s="1"/>
      </tp>
      <tp>
        <v>2.0545431354359924</v>
        <stp/>
        <stp>EM_S_VAL_DIVIDENDYIELD2</stp>
        <stp>3</stp>
        <stp>002803</stp>
        <stp>12/31/2018</stp>
        <stp>2019-11-29</stp>
        <tr r="Q257" s="1"/>
      </tp>
      <tp>
        <v>0.13032145960034752</v>
        <stp/>
        <stp>EM_S_VAL_DIVIDENDYIELD2</stp>
        <stp>3</stp>
        <stp>002813</stp>
        <stp>12/31/2018</stp>
        <stp>2019-11-29</stp>
        <tr r="Q2566" s="1"/>
      </tp>
      <tp>
        <v>0.34548673031408617</v>
        <stp/>
        <stp>EM_S_VAL_DIVIDENDYIELD2</stp>
        <stp>3</stp>
        <stp>002863</stp>
        <stp>12/31/2018</stp>
        <stp>2019-11-29</stp>
        <tr r="Q2846" s="1"/>
      </tp>
      <tp>
        <v>0.33921302578018997</v>
        <stp/>
        <stp>EM_S_VAL_DIVIDENDYIELD2</stp>
        <stp>3</stp>
        <stp>002873</stp>
        <stp>12/31/2018</stp>
        <stp>2019-11-29</stp>
        <tr r="Q2205" s="1"/>
      </tp>
      <tp>
        <v>8.1499592502037483</v>
        <stp/>
        <stp>EM_S_VAL_DIVIDENDYIELD2</stp>
        <stp>3</stp>
        <stp>002843</stp>
        <stp>12/31/2018</stp>
        <stp>2019-11-29</stp>
        <tr r="Q3239" s="1"/>
      </tp>
      <tp>
        <v>1.1834319526627219</v>
        <stp/>
        <stp>EM_S_VAL_DIVIDENDYIELD2</stp>
        <stp>3</stp>
        <stp>002853</stp>
        <stp>12/31/2018</stp>
        <stp>2019-11-29</stp>
        <tr r="Q2233" s="1"/>
      </tp>
      <tp>
        <v>0.81192823520427004</v>
        <stp/>
        <stp>EM_S_VAL_DIVIDENDYIELD2</stp>
        <stp>3</stp>
        <stp>002883</stp>
        <stp>12/31/2018</stp>
        <stp>2019-11-29</stp>
        <tr r="Q2216" s="1"/>
      </tp>
      <tp>
        <v>1.2692559272910096</v>
        <stp/>
        <stp>EM_S_VAL_DIVIDENDYIELD2</stp>
        <stp>3</stp>
        <stp>002893</stp>
        <stp>12/31/2018</stp>
        <stp>2019-11-29</stp>
        <tr r="Q3136" s="1"/>
      </tp>
      <tp>
        <v>2.4539877300613497</v>
        <stp/>
        <stp>EM_S_VAL_DIVIDENDYIELD2</stp>
        <stp>3</stp>
        <stp>002923</stp>
        <stp>12/31/2018</stp>
        <stp>2019-11-29</stp>
        <tr r="Q3191" s="1"/>
      </tp>
      <tp>
        <v>0.76219512195121952</v>
        <stp/>
        <stp>EM_S_VAL_DIVIDENDYIELD2</stp>
        <stp>3</stp>
        <stp>002903</stp>
        <stp>12/31/2018</stp>
        <stp>2019-11-29</stp>
        <tr r="Q2947" s="1"/>
      </tp>
      <tp>
        <v>0.84586466165413532</v>
        <stp/>
        <stp>EM_S_VAL_DIVIDENDYIELD2</stp>
        <stp>3</stp>
        <stp>002913</stp>
        <stp>12/31/2018</stp>
        <stp>2019-11-29</stp>
        <tr r="Q570" s="1"/>
      </tp>
      <tp>
        <v>1.4699366650633532</v>
        <stp/>
        <stp>EM_S_VAL_DIVIDENDYIELD2</stp>
        <stp>3</stp>
        <stp>603203</stp>
        <stp>12/31/2018</stp>
        <stp>2019-11-29</stp>
        <tr r="Q761" s="1"/>
      </tp>
      <tp>
        <v>0.55766492643569054</v>
        <stp/>
        <stp>EM_S_VAL_DIVIDENDYIELD2</stp>
        <stp>3</stp>
        <stp>603223</stp>
        <stp>12/31/2018</stp>
        <stp>2019-11-29</stp>
        <tr r="Q3307" s="1"/>
      </tp>
      <tp>
        <v>0.90373695229775119</v>
        <stp/>
        <stp>EM_S_VAL_DIVIDENDYIELD2</stp>
        <stp>3</stp>
        <stp>603233</stp>
        <stp>12/31/2018</stp>
        <stp>2019-11-29</stp>
        <tr r="Q958" s="1"/>
      </tp>
      <tp>
        <v>1.1900533549097405</v>
        <stp/>
        <stp>EM_S_VAL_DIVIDENDYIELD2</stp>
        <stp>3</stp>
        <stp>603283</stp>
        <stp>12/31/2018</stp>
        <stp>2019-11-29</stp>
        <tr r="Q288" s="1"/>
      </tp>
      <tp>
        <v>0.15384615384615385</v>
        <stp/>
        <stp>EM_S_VAL_DIVIDENDYIELD2</stp>
        <stp>3</stp>
        <stp>603363</stp>
        <stp>12/31/2018</stp>
        <stp>2019-11-29</stp>
        <tr r="Q230" s="1"/>
      </tp>
      <tp>
        <v>1.9221779617977834</v>
        <stp/>
        <stp>EM_S_VAL_DIVIDENDYIELD2</stp>
        <stp>3</stp>
        <stp>603303</stp>
        <stp>12/31/2018</stp>
        <stp>2019-11-29</stp>
        <tr r="Q2847" s="1"/>
      </tp>
      <tp>
        <v>1.6763884188397333</v>
        <stp/>
        <stp>EM_S_VAL_DIVIDENDYIELD2</stp>
        <stp>3</stp>
        <stp>603313</stp>
        <stp>12/31/2018</stp>
        <stp>2019-11-29</stp>
        <tr r="Q2362" s="1"/>
      </tp>
      <tp>
        <v>1.829153004888499</v>
        <stp/>
        <stp>EM_S_VAL_DIVIDENDYIELD2</stp>
        <stp>3</stp>
        <stp>603323</stp>
        <stp>12/31/2018</stp>
        <stp>2019-11-29</stp>
        <tr r="Q2888" s="1"/>
      </tp>
      <tp>
        <v>0.32105760151085927</v>
        <stp/>
        <stp>EM_S_VAL_DIVIDENDYIELD2</stp>
        <stp>3</stp>
        <stp>603333</stp>
        <stp>12/31/2018</stp>
        <stp>2019-11-29</stp>
        <tr r="Q196" s="1"/>
      </tp>
      <tp>
        <v>0.75948187788427568</v>
        <stp/>
        <stp>EM_S_VAL_DIVIDENDYIELD2</stp>
        <stp>3</stp>
        <stp>603383</stp>
        <stp>12/31/2018</stp>
        <stp>2019-11-29</stp>
        <tr r="Q88" s="1"/>
      </tp>
      <tp>
        <v>2.6068821689259645</v>
        <stp/>
        <stp>EM_S_VAL_DIVIDENDYIELD2</stp>
        <stp>3</stp>
        <stp>603393</stp>
        <stp>12/31/2018</stp>
        <stp>2019-11-29</stp>
        <tr r="Q2735" s="1"/>
      </tp>
      <tp>
        <v>1.343183344526528</v>
        <stp/>
        <stp>EM_S_VAL_DIVIDENDYIELD2</stp>
        <stp>3</stp>
        <stp>603043</stp>
        <stp>12/31/2018</stp>
        <stp>2019-11-29</stp>
        <tr r="Q1672" s="1"/>
      </tp>
      <tp>
        <v>0.18359853121175032</v>
        <stp/>
        <stp>EM_S_VAL_DIVIDENDYIELD2</stp>
        <stp>3</stp>
        <stp>603063</stp>
        <stp>12/31/2018</stp>
        <stp>2019-11-29</stp>
        <tr r="Q636" s="1"/>
      </tp>
      <tp>
        <v>0</v>
        <stp/>
        <stp>EM_S_VAL_DIVIDENDYIELD2</stp>
        <stp>3</stp>
        <stp>603003</stp>
        <stp>12/31/2018</stp>
        <stp>2019-11-29</stp>
        <tr r="Q1217" s="1"/>
      </tp>
      <tp>
        <v>2.8188865398167726</v>
        <stp/>
        <stp>EM_S_VAL_DIVIDENDYIELD2</stp>
        <stp>3</stp>
        <stp>603013</stp>
        <stp>12/31/2018</stp>
        <stp>2019-11-29</stp>
        <tr r="Q2867" s="1"/>
      </tp>
      <tp>
        <v>1.946991507239854</v>
        <stp/>
        <stp>EM_S_VAL_DIVIDENDYIELD2</stp>
        <stp>3</stp>
        <stp>603023</stp>
        <stp>12/31/2018</stp>
        <stp>2019-11-29</stp>
        <tr r="Q2040" s="1"/>
      </tp>
      <tp>
        <v>0.51759834402535765</v>
        <stp/>
        <stp>EM_S_VAL_DIVIDENDYIELD2</stp>
        <stp>3</stp>
        <stp>603033</stp>
        <stp>12/31/2018</stp>
        <stp>2019-11-29</stp>
        <tr r="Q2572" s="1"/>
      </tp>
      <tp>
        <v>0.56514913522740506</v>
        <stp/>
        <stp>EM_S_VAL_DIVIDENDYIELD2</stp>
        <stp>3</stp>
        <stp>603083</stp>
        <stp>12/31/2018</stp>
        <stp>2019-11-29</stp>
        <tr r="Q1659" s="1"/>
      </tp>
      <tp>
        <v>1.1692597831211693</v>
        <stp/>
        <stp>EM_S_VAL_DIVIDENDYIELD2</stp>
        <stp>3</stp>
        <stp>603103</stp>
        <stp>12/31/2018</stp>
        <stp>2019-11-29</stp>
        <tr r="Q2987" s="1"/>
      </tp>
      <tp>
        <v>0</v>
        <stp/>
        <stp>EM_S_VAL_DIVIDENDYIELD2</stp>
        <stp>3</stp>
        <stp>603113</stp>
        <stp>12/31/2018</stp>
        <stp>2019-11-29</stp>
        <tr r="Q2475" s="1"/>
      </tp>
      <tp>
        <v>1.7216642754662841</v>
        <stp/>
        <stp>EM_S_VAL_DIVIDENDYIELD2</stp>
        <stp>3</stp>
        <stp>603123</stp>
        <stp>12/31/2018</stp>
        <stp>2019-11-29</stp>
        <tr r="Q1396" s="1"/>
      </tp>
      <tp>
        <v>0.37394624041551872</v>
        <stp/>
        <stp>EM_S_VAL_DIVIDENDYIELD2</stp>
        <stp>3</stp>
        <stp>603133</stp>
        <stp>12/31/2018</stp>
        <stp>2019-11-29</stp>
        <tr r="Q506" s="1"/>
      </tp>
      <tp>
        <v>0.71544701560810342</v>
        <stp/>
        <stp>EM_S_VAL_DIVIDENDYIELD2</stp>
        <stp>3</stp>
        <stp>603183</stp>
        <stp>12/31/2018</stp>
        <stp>2019-11-29</stp>
        <tr r="Q3318" s="1"/>
      </tp>
      <tp>
        <v>0.85509063960779852</v>
        <stp/>
        <stp>EM_S_VAL_DIVIDENDYIELD2</stp>
        <stp>3</stp>
        <stp>603663</stp>
        <stp>12/31/2018</stp>
        <stp>2019-11-29</stp>
        <tr r="Q3084" s="1"/>
      </tp>
      <tp>
        <v>1.065621222608409</v>
        <stp/>
        <stp>EM_S_VAL_DIVIDENDYIELD2</stp>
        <stp>3</stp>
        <stp>603603</stp>
        <stp>12/31/2018</stp>
        <stp>2019-11-29</stp>
        <tr r="Q3314" s="1"/>
      </tp>
      <tp>
        <v>0.71794871794871784</v>
        <stp/>
        <stp>EM_S_VAL_DIVIDENDYIELD2</stp>
        <stp>3</stp>
        <stp>603633</stp>
        <stp>12/31/2018</stp>
        <stp>2019-11-29</stp>
        <tr r="Q2051" s="1"/>
      </tp>
      <tp>
        <v>0.39651070578905628</v>
        <stp/>
        <stp>EM_S_VAL_DIVIDENDYIELD2</stp>
        <stp>3</stp>
        <stp>603683</stp>
        <stp>12/31/2018</stp>
        <stp>2019-11-29</stp>
        <tr r="Q2437" s="1"/>
      </tp>
      <tp>
        <v>2.0703933747412009</v>
        <stp/>
        <stp>EM_S_VAL_DIVIDENDYIELD2</stp>
        <stp>3</stp>
        <stp>603693</stp>
        <stp>12/31/2018</stp>
        <stp>2019-11-29</stp>
        <tr r="Q3179" s="1"/>
      </tp>
      <tp>
        <v>2.3611111111111107</v>
        <stp/>
        <stp>EM_S_VAL_DIVIDENDYIELD2</stp>
        <stp>3</stp>
        <stp>603773</stp>
        <stp>12/31/2018</stp>
        <stp>2019-11-29</stp>
        <tr r="Q3149" s="1"/>
      </tp>
      <tp>
        <v>0</v>
        <stp/>
        <stp>EM_S_VAL_DIVIDENDYIELD2</stp>
        <stp>3</stp>
        <stp>603703</stp>
        <stp>12/31/2018</stp>
        <stp>2019-11-29</stp>
        <tr r="Q347" s="1"/>
      </tp>
      <tp>
        <v>0.74460163812360391</v>
        <stp/>
        <stp>EM_S_VAL_DIVIDENDYIELD2</stp>
        <stp>3</stp>
        <stp>603733</stp>
        <stp>12/31/2018</stp>
        <stp>2019-11-29</stp>
        <tr r="Q2668" s="1"/>
      </tp>
      <tp>
        <v>0.66026410564225702</v>
        <stp/>
        <stp>EM_S_VAL_DIVIDENDYIELD2</stp>
        <stp>3</stp>
        <stp>603533</stp>
        <stp>12/31/2018</stp>
        <stp>2019-11-29</stp>
        <tr r="Q2569" s="1"/>
      </tp>
      <tp>
        <v>0.46583850931677018</v>
        <stp/>
        <stp>EM_S_VAL_DIVIDENDYIELD2</stp>
        <stp>3</stp>
        <stp>603843</stp>
        <stp>12/31/2018</stp>
        <stp>2019-11-29</stp>
        <tr r="Q3316" s="1"/>
      </tp>
      <tp>
        <v>0.96</v>
        <stp/>
        <stp>EM_S_VAL_DIVIDENDYIELD2</stp>
        <stp>3</stp>
        <stp>603803</stp>
        <stp>12/31/2018</stp>
        <stp>2019-11-29</stp>
        <tr r="Q1040" s="1"/>
      </tp>
      <tp>
        <v>1.0809677393242763</v>
        <stp/>
        <stp>EM_S_VAL_DIVIDENDYIELD2</stp>
        <stp>3</stp>
        <stp>603813</stp>
        <stp>12/31/2018</stp>
        <stp>2019-11-29</stp>
        <tr r="Q2153" s="1"/>
      </tp>
      <tp>
        <v>1.1519716437749226</v>
        <stp/>
        <stp>EM_S_VAL_DIVIDENDYIELD2</stp>
        <stp>3</stp>
        <stp>603823</stp>
        <stp>12/31/2018</stp>
        <stp>2019-11-29</stp>
        <tr r="Q322" s="1"/>
      </tp>
      <tp>
        <v>0.75761431698930259</v>
        <stp/>
        <stp>EM_S_VAL_DIVIDENDYIELD2</stp>
        <stp>3</stp>
        <stp>603833</stp>
        <stp>12/31/2018</stp>
        <stp>2019-11-29</stp>
        <tr r="Q634" s="1"/>
      </tp>
      <tp>
        <v>0.73066020529572273</v>
        <stp/>
        <stp>EM_S_VAL_DIVIDENDYIELD2</stp>
        <stp>3</stp>
        <stp>603883</stp>
        <stp>12/31/2018</stp>
        <stp>2019-11-29</stp>
        <tr r="Q819" s="1"/>
      </tp>
      <tp>
        <v>0.54340155257586453</v>
        <stp/>
        <stp>EM_S_VAL_DIVIDENDYIELD2</stp>
        <stp>3</stp>
        <stp>603963</stp>
        <stp>12/31/2018</stp>
        <stp>2019-11-29</stp>
        <tr r="Q2617" s="1"/>
      </tp>
      <tp>
        <v>0.48960940050048962</v>
        <stp/>
        <stp>EM_S_VAL_DIVIDENDYIELD2</stp>
        <stp>3</stp>
        <stp>603903</stp>
        <stp>12/31/2018</stp>
        <stp>2019-11-29</stp>
        <tr r="Q3225" s="1"/>
      </tp>
      <tp>
        <v>1.5284287752190748</v>
        <stp/>
        <stp>EM_S_VAL_DIVIDENDYIELD2</stp>
        <stp>3</stp>
        <stp>603933</stp>
        <stp>12/31/2018</stp>
        <stp>2019-11-29</stp>
        <tr r="Q2900" s="1"/>
      </tp>
      <tp>
        <v>3.0898876404494384</v>
        <stp/>
        <stp>EM_S_VAL_DIVIDENDYIELD2</stp>
        <stp>3</stp>
        <stp>603993</stp>
        <stp>12/31/2018</stp>
        <stp>2019-11-29</stp>
        <tr r="Q1415" s="1"/>
      </tp>
      <tp>
        <v>0.81300813008130068</v>
        <stp/>
        <stp>EM_S_VAL_DIVIDENDYIELD2</stp>
        <stp>3</stp>
        <stp>300213</stp>
        <stp>12/31/2018</stp>
        <stp>2019-11-29</stp>
        <tr r="Q1437" s="1"/>
      </tp>
      <tp>
        <v>0</v>
        <stp/>
        <stp>EM_S_VAL_DIVIDENDYIELD2</stp>
        <stp>3</stp>
        <stp>600243</stp>
        <stp>12/31/2018</stp>
        <stp>2019-11-29</stp>
        <tr r="Q1495" s="1"/>
      </tp>
      <tp>
        <v>3.6075036075036073</v>
        <stp/>
        <stp>EM_S_VAL_DIVIDENDYIELD2</stp>
        <stp>3</stp>
        <stp>300203</stp>
        <stp>12/31/2018</stp>
        <stp>2019-11-29</stp>
        <tr r="Q3273" s="1"/>
      </tp>
      <tp>
        <v>0</v>
        <stp/>
        <stp>EM_S_VAL_DIVIDENDYIELD2</stp>
        <stp>3</stp>
        <stp>600253</stp>
        <stp>12/31/2018</stp>
        <stp>2019-11-29</stp>
        <tr r="Q2296" s="1"/>
      </tp>
      <tp>
        <v>1.2683916793505836</v>
        <stp/>
        <stp>EM_S_VAL_DIVIDENDYIELD2</stp>
        <stp>3</stp>
        <stp>300233</stp>
        <stp>12/31/2018</stp>
        <stp>2019-11-29</stp>
        <tr r="Q694" s="1"/>
      </tp>
      <tp>
        <v>0</v>
        <stp/>
        <stp>EM_S_VAL_DIVIDENDYIELD2</stp>
        <stp>3</stp>
        <stp>600263</stp>
        <stp>12/31/2018</stp>
        <stp>2019-11-29</stp>
        <tr r="Q2297" s="1"/>
      </tp>
      <tp>
        <v>4.7500751792232947E-2</v>
        <stp/>
        <stp>EM_S_VAL_DIVIDENDYIELD2</stp>
        <stp>3</stp>
        <stp>300223</stp>
        <stp>12/31/2018</stp>
        <stp>2019-11-29</stp>
        <tr r="Q20" s="1"/>
      </tp>
      <tp>
        <v>1.3691128148959473</v>
        <stp/>
        <stp>EM_S_VAL_DIVIDENDYIELD2</stp>
        <stp>3</stp>
        <stp>600273</stp>
        <stp>12/31/2018</stp>
        <stp>2019-11-29</stp>
        <tr r="Q1116" s="1"/>
      </tp>
      <tp>
        <v>0.12986794883597733</v>
        <stp/>
        <stp>EM_S_VAL_DIVIDENDYIELD2</stp>
        <stp>3</stp>
        <stp>300253</stp>
        <stp>12/31/2018</stp>
        <stp>2019-11-29</stp>
        <tr r="Q1336" s="1"/>
      </tp>
      <tp>
        <v>0</v>
        <stp/>
        <stp>EM_S_VAL_DIVIDENDYIELD2</stp>
        <stp>3</stp>
        <stp>600203</stp>
        <stp>12/31/2018</stp>
        <stp>2019-11-29</stp>
        <tr r="Q655" s="1"/>
      </tp>
      <tp>
        <v>1.2504866890484074</v>
        <stp/>
        <stp>EM_S_VAL_DIVIDENDYIELD2</stp>
        <stp>3</stp>
        <stp>300243</stp>
        <stp>12/31/2018</stp>
        <stp>2019-11-29</stp>
        <tr r="Q2469" s="1"/>
      </tp>
      <tp>
        <v>0</v>
        <stp/>
        <stp>EM_S_VAL_DIVIDENDYIELD2</stp>
        <stp>3</stp>
        <stp>600213</stp>
        <stp>12/31/2018</stp>
        <stp>2019-11-29</stp>
        <tr r="Q668" s="1"/>
      </tp>
      <tp>
        <v>0.3289473684210526</v>
        <stp/>
        <stp>EM_S_VAL_DIVIDENDYIELD2</stp>
        <stp>3</stp>
        <stp>300273</stp>
        <stp>12/31/2018</stp>
        <stp>2019-11-29</stp>
        <tr r="Q1936" s="1"/>
      </tp>
      <tp>
        <v>0.92936802973977695</v>
        <stp/>
        <stp>EM_S_VAL_DIVIDENDYIELD2</stp>
        <stp>3</stp>
        <stp>600223</stp>
        <stp>12/31/2018</stp>
        <stp>2019-11-29</stp>
        <tr r="Q86" s="1"/>
      </tp>
      <tp>
        <v>0.45813753979861982</v>
        <stp/>
        <stp>EM_S_VAL_DIVIDENDYIELD2</stp>
        <stp>3</stp>
        <stp>300263</stp>
        <stp>12/31/2018</stp>
        <stp>2019-11-29</stp>
        <tr r="Q837" s="1"/>
      </tp>
      <tp>
        <v>1.2026704079736039</v>
        <stp/>
        <stp>EM_S_VAL_DIVIDENDYIELD2</stp>
        <stp>3</stp>
        <stp>600233</stp>
        <stp>12/31/2018</stp>
        <stp>2019-11-29</stp>
        <tr r="Q1032" s="1"/>
      </tp>
      <tp>
        <v>0.26737967914438499</v>
        <stp/>
        <stp>EM_S_VAL_DIVIDENDYIELD2</stp>
        <stp>3</stp>
        <stp>300293</stp>
        <stp>12/31/2018</stp>
        <stp>2019-11-29</stp>
        <tr r="Q1253" s="1"/>
      </tp>
      <tp>
        <v>0.23752969121140144</v>
        <stp/>
        <stp>EM_S_VAL_DIVIDENDYIELD2</stp>
        <stp>3</stp>
        <stp>300283</stp>
        <stp>12/31/2018</stp>
        <stp>2019-11-29</stp>
        <tr r="Q2236" s="1"/>
      </tp>
      <tp>
        <v>0</v>
        <stp/>
        <stp>EM_S_VAL_DIVIDENDYIELD2</stp>
        <stp>3</stp>
        <stp>600283</stp>
        <stp>12/31/2018</stp>
        <stp>2019-11-29</stp>
        <tr r="Q2697" s="1"/>
      </tp>
      <tp>
        <v>0</v>
        <stp/>
        <stp>EM_S_VAL_DIVIDENDYIELD2</stp>
        <stp>3</stp>
        <stp>600293</stp>
        <stp>12/31/2018</stp>
        <stp>2019-11-29</stp>
        <tr r="Q3052" s="1"/>
      </tp>
      <tp>
        <v>0</v>
        <stp/>
        <stp>EM_S_VAL_DIVIDENDYIELD2</stp>
        <stp>3</stp>
        <stp>300313</stp>
        <stp>12/31/2018</stp>
        <stp>2019-11-29</stp>
        <tr r="Q2939" s="1"/>
      </tp>
      <tp>
        <v>0.56882821387940841</v>
        <stp/>
        <stp>EM_S_VAL_DIVIDENDYIELD2</stp>
        <stp>3</stp>
        <stp>600343</stp>
        <stp>12/31/2018</stp>
        <stp>2019-11-29</stp>
        <tr r="Q1225" s="1"/>
      </tp>
      <tp>
        <v>2.2861383775458481</v>
        <stp/>
        <stp>EM_S_VAL_DIVIDENDYIELD2</stp>
        <stp>3</stp>
        <stp>000333</stp>
        <stp>12/31/2018</stp>
        <stp>2019-11-29</stp>
        <tr r="Q444" s="1"/>
      </tp>
      <tp>
        <v>1.2040104706891426</v>
        <stp/>
        <stp>EM_S_VAL_DIVIDENDYIELD2</stp>
        <stp>3</stp>
        <stp>300303</stp>
        <stp>12/31/2018</stp>
        <stp>2019-11-29</stp>
        <tr r="Q104" s="1"/>
      </tp>
      <tp>
        <v>1.2072434607645874</v>
        <stp/>
        <stp>EM_S_VAL_DIVIDENDYIELD2</stp>
        <stp>3</stp>
        <stp>600353</stp>
        <stp>12/31/2018</stp>
        <stp>2019-11-29</stp>
        <tr r="Q716" s="1"/>
      </tp>
      <tp>
        <v>0.61475409836065575</v>
        <stp/>
        <stp>EM_S_VAL_DIVIDENDYIELD2</stp>
        <stp>3</stp>
        <stp>300333</stp>
        <stp>12/31/2018</stp>
        <stp>2019-11-29</stp>
        <tr r="Q455" s="1"/>
      </tp>
      <tp>
        <v>0.36723163841807915</v>
        <stp/>
        <stp>EM_S_VAL_DIVIDENDYIELD2</stp>
        <stp>3</stp>
        <stp>600363</stp>
        <stp>12/31/2018</stp>
        <stp>2019-11-29</stp>
        <tr r="Q202" s="1"/>
      </tp>
      <tp>
        <v>0.92016759780351598</v>
        <stp/>
        <stp>EM_S_VAL_DIVIDENDYIELD2</stp>
        <stp>3</stp>
        <stp>300323</stp>
        <stp>12/31/2018</stp>
        <stp>2019-11-29</stp>
        <tr r="Q2365" s="1"/>
      </tp>
      <tp>
        <v>4.2583002042506051</v>
        <stp/>
        <stp>EM_S_VAL_DIVIDENDYIELD2</stp>
        <stp>3</stp>
        <stp>600373</stp>
        <stp>12/31/2018</stp>
        <stp>2019-11-29</stp>
        <tr r="Q2059" s="1"/>
      </tp>
      <tp>
        <v>0.32578832560047272</v>
        <stp/>
        <stp>EM_S_VAL_DIVIDENDYIELD2</stp>
        <stp>3</stp>
        <stp>300353</stp>
        <stp>12/31/2018</stp>
        <stp>2019-11-29</stp>
        <tr r="Q614" s="1"/>
      </tp>
      <tp>
        <v>0</v>
        <stp/>
        <stp>EM_S_VAL_DIVIDENDYIELD2</stp>
        <stp>3</stp>
        <stp>600303</stp>
        <stp>12/31/2018</stp>
        <stp>2019-11-29</stp>
        <tr r="Q2765" s="1"/>
      </tp>
      <tp>
        <v>0</v>
        <stp/>
        <stp>EM_S_VAL_DIVIDENDYIELD2</stp>
        <stp>3</stp>
        <stp>300343</stp>
        <stp>12/31/2018</stp>
        <stp>2019-11-29</stp>
        <tr r="Q3389" s="1"/>
      </tp>
      <tp>
        <v>0</v>
        <stp/>
        <stp>EM_S_VAL_DIVIDENDYIELD2</stp>
        <stp>3</stp>
        <stp>600313</stp>
        <stp>12/31/2018</stp>
        <stp>2019-11-29</stp>
        <tr r="Q1063" s="1"/>
      </tp>
      <tp>
        <v>1.3212738643844635</v>
        <stp/>
        <stp>EM_S_VAL_DIVIDENDYIELD2</stp>
        <stp>3</stp>
        <stp>300373</stp>
        <stp>12/31/2018</stp>
        <stp>2019-11-29</stp>
        <tr r="Q1293" s="1"/>
      </tp>
      <tp>
        <v>1.1709601873536299</v>
        <stp/>
        <stp>EM_S_VAL_DIVIDENDYIELD2</stp>
        <stp>3</stp>
        <stp>600323</stp>
        <stp>12/31/2018</stp>
        <stp>2019-11-29</stp>
        <tr r="Q1110" s="1"/>
      </tp>
      <tp>
        <v>0.3781174577634755</v>
        <stp/>
        <stp>EM_S_VAL_DIVIDENDYIELD2</stp>
        <stp>3</stp>
        <stp>300363</stp>
        <stp>12/31/2018</stp>
        <stp>2019-11-29</stp>
        <tr r="Q577" s="1"/>
      </tp>
      <tp>
        <v>0</v>
        <stp/>
        <stp>EM_S_VAL_DIVIDENDYIELD2</stp>
        <stp>3</stp>
        <stp>600333</stp>
        <stp>12/31/2018</stp>
        <stp>2019-11-29</stp>
        <tr r="Q2670" s="1"/>
      </tp>
      <tp>
        <v>1.9396125605868693</v>
        <stp/>
        <stp>EM_S_VAL_DIVIDENDYIELD2</stp>
        <stp>3</stp>
        <stp>300393</stp>
        <stp>12/31/2018</stp>
        <stp>2019-11-29</stp>
        <tr r="Q2477" s="1"/>
      </tp>
      <tp>
        <v>0.10435946120900487</v>
        <stp/>
        <stp>EM_S_VAL_DIVIDENDYIELD2</stp>
        <stp>3</stp>
        <stp>300383</stp>
        <stp>12/31/2018</stp>
        <stp>2019-11-29</stp>
        <tr r="Q447" s="1"/>
      </tp>
      <tp>
        <v>5.0420168067226889</v>
        <stp/>
        <stp>EM_S_VAL_DIVIDENDYIELD2</stp>
        <stp>3</stp>
        <stp>600383</stp>
        <stp>12/31/2018</stp>
        <stp>2019-11-29</stp>
        <tr r="Q593" s="1"/>
      </tp>
      <tp>
        <v>0</v>
        <stp/>
        <stp>EM_S_VAL_DIVIDENDYIELD2</stp>
        <stp>3</stp>
        <stp>600393</stp>
        <stp>12/31/2018</stp>
        <stp>2019-11-29</stp>
        <tr r="Q815" s="1"/>
      </tp>
      <tp>
        <v>0.49180327868852453</v>
        <stp/>
        <stp>EM_S_VAL_DIVIDENDYIELD2</stp>
        <stp>3</stp>
        <stp>000023</stp>
        <stp>12/31/2018</stp>
        <stp>2019-11-29</stp>
        <tr r="Q2109" s="1"/>
      </tp>
      <tp>
        <v>0.19873532068654018</v>
        <stp/>
        <stp>EM_S_VAL_DIVIDENDYIELD2</stp>
        <stp>3</stp>
        <stp>300013</stp>
        <stp>12/31/2018</stp>
        <stp>2019-11-29</stp>
        <tr r="Q2628" s="1"/>
      </tp>
      <tp>
        <v>0</v>
        <stp/>
        <stp>EM_S_VAL_DIVIDENDYIELD2</stp>
        <stp>3</stp>
        <stp>000033</stp>
        <stp>12/31/2018</stp>
        <stp>2019-11-29</stp>
        <tr r="Q2275" s="1"/>
      </tp>
      <tp>
        <v>0.51131081499845055</v>
        <stp/>
        <stp>EM_S_VAL_DIVIDENDYIELD2</stp>
        <stp>3</stp>
        <stp>300003</stp>
        <stp>12/31/2018</stp>
        <stp>2019-11-29</stp>
        <tr r="Q508" s="1"/>
      </tp>
      <tp>
        <v>3.722334004024145</v>
        <stp/>
        <stp>EM_S_VAL_DIVIDENDYIELD2</stp>
        <stp>3</stp>
        <stp>600053</stp>
        <stp>12/31/2018</stp>
        <stp>2019-11-29</stp>
        <tr r="Q2410" s="1"/>
      </tp>
      <tp>
        <v>0</v>
        <stp/>
        <stp>EM_S_VAL_DIVIDENDYIELD2</stp>
        <stp>3</stp>
        <stp>000003</stp>
        <stp>12/31/2018</stp>
        <stp>2019-11-29</stp>
        <tr r="Q2271" s="1"/>
      </tp>
      <tp>
        <v>0.52608505041648401</v>
        <stp/>
        <stp>EM_S_VAL_DIVIDENDYIELD2</stp>
        <stp>3</stp>
        <stp>300033</stp>
        <stp>12/31/2018</stp>
        <stp>2019-11-29</stp>
        <tr r="Q49" s="1"/>
      </tp>
      <tp>
        <v>0.71633237822349571</v>
        <stp/>
        <stp>EM_S_VAL_DIVIDENDYIELD2</stp>
        <stp>3</stp>
        <stp>600063</stp>
        <stp>12/31/2018</stp>
        <stp>2019-11-29</stp>
        <tr r="Q327" s="1"/>
      </tp>
      <tp>
        <v>0</v>
        <stp/>
        <stp>EM_S_VAL_DIVIDENDYIELD2</stp>
        <stp>3</stp>
        <stp>000013</stp>
        <stp>12/31/2018</stp>
        <stp>2019-11-29</stp>
        <tr r="Q2272" s="1"/>
      </tp>
      <tp>
        <v>0</v>
        <stp/>
        <stp>EM_S_VAL_DIVIDENDYIELD2</stp>
        <stp>3</stp>
        <stp>300023</stp>
        <stp>12/31/2018</stp>
        <stp>2019-11-29</stp>
        <tr r="Q1352" s="1"/>
      </tp>
      <tp>
        <v>1.2903225806451613</v>
        <stp/>
        <stp>EM_S_VAL_DIVIDENDYIELD2</stp>
        <stp>3</stp>
        <stp>600073</stp>
        <stp>12/31/2018</stp>
        <stp>2019-11-29</stp>
        <tr r="Q1973" s="1"/>
      </tp>
      <tp>
        <v>0</v>
        <stp/>
        <stp>EM_S_VAL_DIVIDENDYIELD2</stp>
        <stp>3</stp>
        <stp>000063</stp>
        <stp>12/31/2018</stp>
        <stp>2019-11-29</stp>
        <tr r="Q245" s="1"/>
      </tp>
      <tp>
        <v>0.18789981273408241</v>
        <stp/>
        <stp>EM_S_VAL_DIVIDENDYIELD2</stp>
        <stp>3</stp>
        <stp>300053</stp>
        <stp>12/31/2018</stp>
        <stp>2019-11-29</stp>
        <tr r="Q528" s="1"/>
      </tp>
      <tp>
        <v>0</v>
        <stp/>
        <stp>EM_S_VAL_DIVIDENDYIELD2</stp>
        <stp>3</stp>
        <stp>600003</stp>
        <stp>12/31/2018</stp>
        <stp>2019-11-29</stp>
        <tr r="Q2287" s="1"/>
      </tp>
      <tp>
        <v>0.64794816414686829</v>
        <stp/>
        <stp>EM_S_VAL_DIVIDENDYIELD2</stp>
        <stp>3</stp>
        <stp>300043</stp>
        <stp>12/31/2018</stp>
        <stp>2019-11-29</stp>
        <tr r="Q491" s="1"/>
      </tp>
      <tp>
        <v>1.4962593516209477</v>
        <stp/>
        <stp>EM_S_VAL_DIVIDENDYIELD2</stp>
        <stp>3</stp>
        <stp>000043</stp>
        <stp>12/31/2018</stp>
        <stp>2019-11-29</stp>
        <tr r="Q4" s="1"/>
      </tp>
      <tp>
        <v>0.64814814814814814</v>
        <stp/>
        <stp>EM_S_VAL_DIVIDENDYIELD2</stp>
        <stp>3</stp>
        <stp>300073</stp>
        <stp>12/31/2018</stp>
        <stp>2019-11-29</stp>
        <tr r="Q2284" s="1"/>
      </tp>
      <tp>
        <v>4.6753246753246742</v>
        <stp/>
        <stp>EM_S_VAL_DIVIDENDYIELD2</stp>
        <stp>3</stp>
        <stp>600023</stp>
        <stp>12/31/2018</stp>
        <stp>2019-11-29</stp>
        <tr r="Q2977" s="1"/>
      </tp>
      <tp>
        <v>0</v>
        <stp/>
        <stp>EM_S_VAL_DIVIDENDYIELD2</stp>
        <stp>3</stp>
        <stp>300063</stp>
        <stp>12/31/2018</stp>
        <stp>2019-11-29</stp>
        <tr r="Q2700" s="1"/>
      </tp>
      <tp>
        <v>4.9668874172185431</v>
        <stp/>
        <stp>EM_S_VAL_DIVIDENDYIELD2</stp>
        <stp>3</stp>
        <stp>600033</stp>
        <stp>12/31/2018</stp>
        <stp>2019-11-29</stp>
        <tr r="Q2105" s="1"/>
      </tp>
      <tp>
        <v>0</v>
        <stp/>
        <stp>EM_S_VAL_DIVIDENDYIELD2</stp>
        <stp>3</stp>
        <stp>300093</stp>
        <stp>12/31/2018</stp>
        <stp>2019-11-29</stp>
        <tr r="Q239" s="1"/>
      </tp>
      <tp>
        <v>0</v>
        <stp/>
        <stp>EM_S_VAL_DIVIDENDYIELD2</stp>
        <stp>3</stp>
        <stp>300083</stp>
        <stp>12/31/2018</stp>
        <stp>2019-11-29</stp>
        <tr r="Q377" s="1"/>
      </tp>
      <tp>
        <v>0</v>
        <stp/>
        <stp>EM_S_VAL_DIVIDENDYIELD2</stp>
        <stp>3</stp>
        <stp>600083</stp>
        <stp>12/31/2018</stp>
        <stp>2019-11-29</stp>
        <tr r="Q1494" s="1"/>
      </tp>
      <tp>
        <v>0</v>
        <stp/>
        <stp>EM_S_VAL_DIVIDENDYIELD2</stp>
        <stp>3</stp>
        <stp>600093</stp>
        <stp>12/31/2018</stp>
        <stp>2019-11-29</stp>
        <tr r="Q227" s="1"/>
      </tp>
      <tp>
        <v>0</v>
        <stp/>
        <stp>EM_S_VAL_DIVIDENDYIELD2</stp>
        <stp>3</stp>
        <stp>300113</stp>
        <stp>12/31/2018</stp>
        <stp>2019-11-29</stp>
        <tr r="Q165" s="1"/>
      </tp>
      <tp>
        <v>1.6571849706217685</v>
        <stp/>
        <stp>EM_S_VAL_DIVIDENDYIELD2</stp>
        <stp>3</stp>
        <stp>600143</stp>
        <stp>12/31/2018</stp>
        <stp>2019-11-29</stp>
        <tr r="Q610" s="1"/>
      </tp>
      <tp>
        <v>0</v>
        <stp/>
        <stp>EM_S_VAL_DIVIDENDYIELD2</stp>
        <stp>3</stp>
        <stp>300103</stp>
        <stp>12/31/2018</stp>
        <stp>2019-11-29</stp>
        <tr r="Q1115" s="1"/>
      </tp>
      <tp>
        <v>6.25</v>
        <stp/>
        <stp>EM_S_VAL_DIVIDENDYIELD2</stp>
        <stp>3</stp>
        <stp>600153</stp>
        <stp>12/31/2018</stp>
        <stp>2019-11-29</stp>
        <tr r="Q1100" s="1"/>
      </tp>
      <tp>
        <v>0.24193548387096772</v>
        <stp/>
        <stp>EM_S_VAL_DIVIDENDYIELD2</stp>
        <stp>3</stp>
        <stp>300133</stp>
        <stp>12/31/2018</stp>
        <stp>2019-11-29</stp>
        <tr r="Q3041" s="1"/>
      </tp>
      <tp>
        <v>0</v>
        <stp/>
        <stp>EM_S_VAL_DIVIDENDYIELD2</stp>
        <stp>3</stp>
        <stp>600163</stp>
        <stp>12/31/2018</stp>
        <stp>2019-11-29</stp>
        <tr r="Q1968" s="1"/>
      </tp>
      <tp>
        <v>0.29505985517485217</v>
        <stp/>
        <stp>EM_S_VAL_DIVIDENDYIELD2</stp>
        <stp>3</stp>
        <stp>300123</stp>
        <stp>12/31/2018</stp>
        <stp>2019-11-29</stp>
        <tr r="Q2994" s="1"/>
      </tp>
      <tp>
        <v>2.0366598778004072</v>
        <stp/>
        <stp>EM_S_VAL_DIVIDENDYIELD2</stp>
        <stp>3</stp>
        <stp>600173</stp>
        <stp>12/31/2018</stp>
        <stp>2019-11-29</stp>
        <tr r="Q786" s="1"/>
      </tp>
      <tp>
        <v>0.81037277147487841</v>
        <stp/>
        <stp>EM_S_VAL_DIVIDENDYIELD2</stp>
        <stp>3</stp>
        <stp>300153</stp>
        <stp>12/31/2018</stp>
        <stp>2019-11-29</stp>
        <tr r="Q2698" s="1"/>
      </tp>
      <tp>
        <v>0</v>
        <stp/>
        <stp>EM_S_VAL_DIVIDENDYIELD2</stp>
        <stp>3</stp>
        <stp>600103</stp>
        <stp>12/31/2018</stp>
        <stp>2019-11-29</stp>
        <tr r="Q3018" s="1"/>
      </tp>
      <tp>
        <v>0</v>
        <stp/>
        <stp>EM_S_VAL_DIVIDENDYIELD2</stp>
        <stp>3</stp>
        <stp>300143</stp>
        <stp>12/31/2018</stp>
        <stp>2019-11-29</stp>
        <tr r="Q2121" s="1"/>
      </tp>
      <tp>
        <v>0.59435364041604755</v>
        <stp/>
        <stp>EM_S_VAL_DIVIDENDYIELD2</stp>
        <stp>3</stp>
        <stp>600113</stp>
        <stp>12/31/2018</stp>
        <stp>2019-11-29</stp>
        <tr r="Q2268" s="1"/>
      </tp>
      <tp>
        <v>0</v>
        <stp/>
        <stp>EM_S_VAL_DIVIDENDYIELD2</stp>
        <stp>3</stp>
        <stp>300173</stp>
        <stp>12/31/2018</stp>
        <stp>2019-11-29</stp>
        <tr r="Q450" s="1"/>
      </tp>
      <tp>
        <v>4.8701298701298708</v>
        <stp/>
        <stp>EM_S_VAL_DIVIDENDYIELD2</stp>
        <stp>3</stp>
        <stp>600123</stp>
        <stp>12/31/2018</stp>
        <stp>2019-11-29</stp>
        <tr r="Q2399" s="1"/>
      </tp>
      <tp>
        <v>1.6286644951140066</v>
        <stp/>
        <stp>EM_S_VAL_DIVIDENDYIELD2</stp>
        <stp>3</stp>
        <stp>000153</stp>
        <stp>12/31/2018</stp>
        <stp>2019-11-29</stp>
        <tr r="Q917" s="1"/>
      </tp>
      <tp>
        <v>0</v>
        <stp/>
        <stp>EM_S_VAL_DIVIDENDYIELD2</stp>
        <stp>3</stp>
        <stp>300163</stp>
        <stp>12/31/2018</stp>
        <stp>2019-11-29</stp>
        <tr r="Q1700" s="1"/>
      </tp>
      <tp>
        <v>0.4738309654507486</v>
        <stp/>
        <stp>EM_S_VAL_DIVIDENDYIELD2</stp>
        <stp>3</stp>
        <stp>600133</stp>
        <stp>12/31/2018</stp>
        <stp>2019-11-29</stp>
        <tr r="Q2928" s="1"/>
      </tp>
      <tp>
        <v>2.5316455696202533</v>
        <stp/>
        <stp>EM_S_VAL_DIVIDENDYIELD2</stp>
        <stp>3</stp>
        <stp>300193</stp>
        <stp>12/31/2018</stp>
        <stp>2019-11-29</stp>
        <tr r="Q1114" s="1"/>
      </tp>
      <tp>
        <v>1.5637216575449573</v>
        <stp/>
        <stp>EM_S_VAL_DIVIDENDYIELD2</stp>
        <stp>3</stp>
        <stp>300183</stp>
        <stp>12/31/2018</stp>
        <stp>2019-11-29</stp>
        <tr r="Q1047" s="1"/>
      </tp>
      <tp>
        <v>1.4234480467619584</v>
        <stp/>
        <stp>EM_S_VAL_DIVIDENDYIELD2</stp>
        <stp>3</stp>
        <stp>600183</stp>
        <stp>12/31/2018</stp>
        <stp>2019-11-29</stp>
        <tr r="Q138" s="1"/>
      </tp>
      <tp>
        <v>0</v>
        <stp/>
        <stp>EM_S_VAL_DIVIDENDYIELD2</stp>
        <stp>3</stp>
        <stp>600193</stp>
        <stp>12/31/2018</stp>
        <stp>2019-11-29</stp>
        <tr r="Q1171" s="1"/>
      </tp>
      <tp>
        <v>1.2944969471721766</v>
        <stp/>
        <stp>EM_S_VAL_DIVIDENDYIELD2</stp>
        <stp>3</stp>
        <stp>000623</stp>
        <stp>12/31/2018</stp>
        <stp>2019-11-29</stp>
        <tr r="Q1489" s="1"/>
      </tp>
      <tp>
        <v>8.2918739635157543E-2</v>
        <stp/>
        <stp>EM_S_VAL_DIVIDENDYIELD2</stp>
        <stp>3</stp>
        <stp>300613</stp>
        <stp>12/31/2018</stp>
        <stp>2019-11-29</stp>
        <tr r="Q258" s="1"/>
      </tp>
      <tp>
        <v>1.3888888888888886</v>
        <stp/>
        <stp>EM_S_VAL_DIVIDENDYIELD2</stp>
        <stp>3</stp>
        <stp>600643</stp>
        <stp>12/31/2018</stp>
        <stp>2019-11-29</stp>
        <tr r="Q1527" s="1"/>
      </tp>
      <tp>
        <v>0</v>
        <stp/>
        <stp>EM_S_VAL_DIVIDENDYIELD2</stp>
        <stp>3</stp>
        <stp>000633</stp>
        <stp>12/31/2018</stp>
        <stp>2019-11-29</stp>
        <tr r="Q2730" s="1"/>
      </tp>
      <tp>
        <v>0.33291891642247484</v>
        <stp/>
        <stp>EM_S_VAL_DIVIDENDYIELD2</stp>
        <stp>3</stp>
        <stp>300603</stp>
        <stp>12/31/2018</stp>
        <stp>2019-11-29</stp>
        <tr r="Q3173" s="1"/>
      </tp>
      <tp>
        <v>0</v>
        <stp/>
        <stp>EM_S_VAL_DIVIDENDYIELD2</stp>
        <stp>3</stp>
        <stp>600653</stp>
        <stp>12/31/2018</stp>
        <stp>2019-11-29</stp>
        <tr r="Q1829" s="1"/>
      </tp>
      <tp>
        <v>0</v>
        <stp/>
        <stp>EM_S_VAL_DIVIDENDYIELD2</stp>
        <stp>3</stp>
        <stp>000603</stp>
        <stp>12/31/2018</stp>
        <stp>2019-11-29</stp>
        <tr r="Q625" s="1"/>
      </tp>
      <tp>
        <v>0.30645092777820521</v>
        <stp/>
        <stp>EM_S_VAL_DIVIDENDYIELD2</stp>
        <stp>3</stp>
        <stp>300633</stp>
        <stp>12/31/2018</stp>
        <stp>2019-11-29</stp>
        <tr r="Q2972" s="1"/>
      </tp>
      <tp>
        <v>3.1383647798742134</v>
        <stp/>
        <stp>EM_S_VAL_DIVIDENDYIELD2</stp>
        <stp>3</stp>
        <stp>600663</stp>
        <stp>12/31/2018</stp>
        <stp>2019-11-29</stp>
        <tr r="Q2066" s="1"/>
      </tp>
      <tp>
        <v>0</v>
        <stp/>
        <stp>EM_S_VAL_DIVIDENDYIELD2</stp>
        <stp>3</stp>
        <stp>000613</stp>
        <stp>12/31/2018</stp>
        <stp>2019-11-29</stp>
        <tr r="Q3064" s="1"/>
      </tp>
      <tp>
        <v>0.82278498154217061</v>
        <stp/>
        <stp>EM_S_VAL_DIVIDENDYIELD2</stp>
        <stp>3</stp>
        <stp>300623</stp>
        <stp>12/31/2018</stp>
        <stp>2019-11-29</stp>
        <tr r="Q1635" s="1"/>
      </tp>
      <tp>
        <v>0.79185520361990924</v>
        <stp/>
        <stp>EM_S_VAL_DIVIDENDYIELD2</stp>
        <stp>3</stp>
        <stp>600673</stp>
        <stp>12/31/2018</stp>
        <stp>2019-11-29</stp>
        <tr r="Q859" s="1"/>
      </tp>
      <tp>
        <v>0</v>
        <stp/>
        <stp>EM_S_VAL_DIVIDENDYIELD2</stp>
        <stp>3</stp>
        <stp>000663</stp>
        <stp>12/31/2018</stp>
        <stp>2019-11-29</stp>
        <tr r="Q3498" s="1"/>
      </tp>
      <tp>
        <v>0.79365079365079361</v>
        <stp/>
        <stp>EM_S_VAL_DIVIDENDYIELD2</stp>
        <stp>3</stp>
        <stp>300653</stp>
        <stp>12/31/2018</stp>
        <stp>2019-11-29</stp>
        <tr r="Q539" s="1"/>
      </tp>
      <tp>
        <v>6.2035833379353669</v>
        <stp/>
        <stp>EM_S_VAL_DIVIDENDYIELD2</stp>
        <stp>3</stp>
        <stp>600603</stp>
        <stp>12/31/2018</stp>
        <stp>2019-11-29</stp>
        <tr r="Q1271" s="1"/>
      </tp>
      <tp>
        <v>0</v>
        <stp/>
        <stp>EM_S_VAL_DIVIDENDYIELD2</stp>
        <stp>3</stp>
        <stp>000673</stp>
        <stp>12/31/2018</stp>
        <stp>2019-11-29</stp>
        <tr r="Q3503" s="1"/>
      </tp>
      <tp>
        <v>0.51150895140664965</v>
        <stp/>
        <stp>EM_S_VAL_DIVIDENDYIELD2</stp>
        <stp>3</stp>
        <stp>300643</stp>
        <stp>12/31/2018</stp>
        <stp>2019-11-29</stp>
        <tr r="Q149" s="1"/>
      </tp>
      <tp>
        <v>0</v>
        <stp/>
        <stp>EM_S_VAL_DIVIDENDYIELD2</stp>
        <stp>3</stp>
        <stp>600613</stp>
        <stp>12/31/2018</stp>
        <stp>2019-11-29</stp>
        <tr r="Q768" s="1"/>
      </tp>
      <tp>
        <v>1.7345368641222132</v>
        <stp/>
        <stp>EM_S_VAL_DIVIDENDYIELD2</stp>
        <stp>3</stp>
        <stp>300673</stp>
        <stp>12/31/2018</stp>
        <stp>2019-11-29</stp>
        <tr r="Q3263" s="1"/>
      </tp>
      <tp>
        <v>3.8980509745127434</v>
        <stp/>
        <stp>EM_S_VAL_DIVIDENDYIELD2</stp>
        <stp>3</stp>
        <stp>600623</stp>
        <stp>12/31/2018</stp>
        <stp>2019-11-29</stp>
        <tr r="Q3024" s="1"/>
      </tp>
      <tp>
        <v>0</v>
        <stp/>
        <stp>EM_S_VAL_DIVIDENDYIELD2</stp>
        <stp>3</stp>
        <stp>000653</stp>
        <stp>12/31/2018</stp>
        <stp>2019-11-29</stp>
        <tr r="Q3493" s="1"/>
      </tp>
      <tp>
        <v>9.3557872381474061E-2</v>
        <stp/>
        <stp>EM_S_VAL_DIVIDENDYIELD2</stp>
        <stp>3</stp>
        <stp>300663</stp>
        <stp>12/31/2018</stp>
        <stp>2019-11-29</stp>
        <tr r="Q224" s="1"/>
      </tp>
      <tp>
        <v>0.96618357487922713</v>
        <stp/>
        <stp>EM_S_VAL_DIVIDENDYIELD2</stp>
        <stp>3</stp>
        <stp>600633</stp>
        <stp>12/31/2018</stp>
        <stp>2019-11-29</stp>
        <tr r="Q1476" s="1"/>
      </tp>
      <tp>
        <v>0.84745762711864403</v>
        <stp/>
        <stp>EM_S_VAL_DIVIDENDYIELD2</stp>
        <stp>3</stp>
        <stp>300693</stp>
        <stp>12/31/2018</stp>
        <stp>2019-11-29</stp>
        <tr r="Q2842" s="1"/>
      </tp>
      <tp>
        <v>0.69954529555788736</v>
        <stp/>
        <stp>EM_S_VAL_DIVIDENDYIELD2</stp>
        <stp>3</stp>
        <stp>300683</stp>
        <stp>12/31/2018</stp>
        <stp>2019-11-29</stp>
        <tr r="Q1867" s="1"/>
      </tp>
      <tp>
        <v>0</v>
        <stp/>
        <stp>EM_S_VAL_DIVIDENDYIELD2</stp>
        <stp>3</stp>
        <stp>000683</stp>
        <stp>12/31/2018</stp>
        <stp>2019-11-29</stp>
        <tr r="Q3507" s="1"/>
      </tp>
      <tp>
        <v>0</v>
        <stp/>
        <stp>EM_S_VAL_DIVIDENDYIELD2</stp>
        <stp>3</stp>
        <stp>000693</stp>
        <stp>12/31/2018</stp>
        <stp>2019-11-29</stp>
        <tr r="Q3513" s="1"/>
      </tp>
      <tp>
        <v>4.8076923076923084</v>
        <stp/>
        <stp>EM_S_VAL_DIVIDENDYIELD2</stp>
        <stp>3</stp>
        <stp>600683</stp>
        <stp>12/31/2018</stp>
        <stp>2019-11-29</stp>
        <tr r="Q2385" s="1"/>
      </tp>
      <tp>
        <v>0</v>
        <stp/>
        <stp>EM_S_VAL_DIVIDENDYIELD2</stp>
        <stp>3</stp>
        <stp>600693</stp>
        <stp>12/31/2018</stp>
        <stp>2019-11-29</stp>
        <tr r="Q2373" s="1"/>
      </tp>
      <tp>
        <v>0</v>
        <stp/>
        <stp>EM_S_VAL_DIVIDENDYIELD2</stp>
        <stp>3</stp>
        <stp>000723</stp>
        <stp>12/31/2018</stp>
        <stp>2019-11-29</stp>
        <tr r="Q44" s="1"/>
      </tp>
      <tp>
        <v>0</v>
        <stp/>
        <stp>EM_S_VAL_DIVIDENDYIELD2</stp>
        <stp>3</stp>
        <stp>300713</stp>
        <stp>12/31/2018</stp>
        <stp>2019-11-29</stp>
        <tr r="Q3292" s="1"/>
      </tp>
      <tp>
        <v>5</v>
        <stp/>
        <stp>EM_S_VAL_DIVIDENDYIELD2</stp>
        <stp>3</stp>
        <stp>600743</stp>
        <stp>12/31/2018</stp>
        <stp>2019-11-29</stp>
        <tr r="Q2138" s="1"/>
      </tp>
      <tp>
        <v>0.32916392363396973</v>
        <stp/>
        <stp>EM_S_VAL_DIVIDENDYIELD2</stp>
        <stp>3</stp>
        <stp>000733</stp>
        <stp>12/31/2018</stp>
        <stp>2019-11-29</stp>
        <tr r="Q3522" s="1"/>
      </tp>
      <tp>
        <v>1.6712357012787256</v>
        <stp/>
        <stp>EM_S_VAL_DIVIDENDYIELD2</stp>
        <stp>3</stp>
        <stp>300703</stp>
        <stp>12/31/2018</stp>
        <stp>2019-11-29</stp>
        <tr r="Q3050" s="1"/>
      </tp>
      <tp>
        <v>0</v>
        <stp/>
        <stp>EM_S_VAL_DIVIDENDYIELD2</stp>
        <stp>3</stp>
        <stp>600753</stp>
        <stp>12/31/2018</stp>
        <stp>2019-11-29</stp>
        <tr r="Q1909" s="1"/>
      </tp>
      <tp>
        <v>2.1536252692031583</v>
        <stp/>
        <stp>EM_S_VAL_DIVIDENDYIELD2</stp>
        <stp>3</stp>
        <stp>000703</stp>
        <stp>12/31/2018</stp>
        <stp>2019-11-29</stp>
        <tr r="Q1288" s="1"/>
      </tp>
      <tp>
        <v>1.1220825852782765</v>
        <stp/>
        <stp>EM_S_VAL_DIVIDENDYIELD2</stp>
        <stp>3</stp>
        <stp>300733</stp>
        <stp>12/31/2018</stp>
        <stp>2019-11-29</stp>
        <tr r="Q3184" s="1"/>
      </tp>
      <tp>
        <v>0</v>
        <stp/>
        <stp>EM_S_VAL_DIVIDENDYIELD2</stp>
        <stp>3</stp>
        <stp>600763</stp>
        <stp>12/31/2018</stp>
        <stp>2019-11-29</stp>
        <tr r="Q136" s="1"/>
      </tp>
      <tp>
        <v>0.19206760811216766</v>
        <stp/>
        <stp>EM_S_VAL_DIVIDENDYIELD2</stp>
        <stp>3</stp>
        <stp>000713</stp>
        <stp>12/31/2018</stp>
        <stp>2019-11-29</stp>
        <tr r="Q252" s="1"/>
      </tp>
      <tp>
        <v>0.6300136453001538</v>
        <stp/>
        <stp>EM_S_VAL_DIVIDENDYIELD2</stp>
        <stp>3</stp>
        <stp>300723</stp>
        <stp>12/31/2018</stp>
        <stp>2019-11-29</stp>
        <tr r="Q648" s="1"/>
      </tp>
      <tp>
        <v>0.2808988764044944</v>
        <stp/>
        <stp>EM_S_VAL_DIVIDENDYIELD2</stp>
        <stp>3</stp>
        <stp>600773</stp>
        <stp>12/31/2018</stp>
        <stp>2019-11-29</stp>
        <tr r="Q2483" s="1"/>
      </tp>
      <tp>
        <v>0</v>
        <stp/>
        <stp>EM_S_VAL_DIVIDENDYIELD2</stp>
        <stp>3</stp>
        <stp>000763</stp>
        <stp>12/31/2018</stp>
        <stp>2019-11-29</stp>
        <tr r="Q3532" s="1"/>
      </tp>
      <tp>
        <v>1.2026458208057726</v>
        <stp/>
        <stp>EM_S_VAL_DIVIDENDYIELD2</stp>
        <stp>3</stp>
        <stp>600703</stp>
        <stp>12/31/2018</stp>
        <stp>2019-11-29</stp>
        <tr r="Q375" s="1"/>
      </tp>
      <tp>
        <v>1.0432968179447053</v>
        <stp/>
        <stp>EM_S_VAL_DIVIDENDYIELD2</stp>
        <stp>3</stp>
        <stp>300743</stp>
        <stp>12/31/2018</stp>
        <stp>2019-11-29</stp>
        <tr r="Q3368" s="1"/>
      </tp>
      <tp>
        <v>2.2935779816513762</v>
        <stp/>
        <stp>EM_S_VAL_DIVIDENDYIELD2</stp>
        <stp>3</stp>
        <stp>600713</stp>
        <stp>12/31/2018</stp>
        <stp>2019-11-29</stp>
        <tr r="Q1785" s="1"/>
      </tp>
      <tp>
        <v>2.8911564625850339</v>
        <stp/>
        <stp>EM_S_VAL_DIVIDENDYIELD2</stp>
        <stp>3</stp>
        <stp>600723</stp>
        <stp>12/31/2018</stp>
        <stp>2019-11-29</stp>
        <tr r="Q2405" s="1"/>
      </tp>
      <tp>
        <v>1.0638297872340425</v>
        <stp/>
        <stp>EM_S_VAL_DIVIDENDYIELD2</stp>
        <stp>3</stp>
        <stp>000753</stp>
        <stp>12/31/2018</stp>
        <stp>2019-11-29</stp>
        <tr r="Q2257" s="1"/>
      </tp>
      <tp>
        <v>0</v>
        <stp/>
        <stp>EM_S_VAL_DIVIDENDYIELD2</stp>
        <stp>3</stp>
        <stp>600733</stp>
        <stp>12/31/2018</stp>
        <stp>2019-11-29</stp>
        <tr r="Q3186" s="1"/>
      </tp>
      <tp>
        <v>0.3205126198431863</v>
        <stp/>
        <stp>EM_S_VAL_DIVIDENDYIELD2</stp>
        <stp>3</stp>
        <stp>000783</stp>
        <stp>12/31/2018</stp>
        <stp>2019-11-29</stp>
        <tr r="Q3537" s="1"/>
      </tp>
      <tp>
        <v>0</v>
        <stp/>
        <stp>EM_S_VAL_DIVIDENDYIELD2</stp>
        <stp>3</stp>
        <stp>000793</stp>
        <stp>12/31/2018</stp>
        <stp>2019-11-29</stp>
        <tr r="Q3540" s="1"/>
      </tp>
      <tp>
        <v>0.77041602465331283</v>
        <stp/>
        <stp>EM_S_VAL_DIVIDENDYIELD2</stp>
        <stp>3</stp>
        <stp>600783</stp>
        <stp>12/31/2018</stp>
        <stp>2019-11-29</stp>
        <tr r="Q2462" s="1"/>
      </tp>
      <tp>
        <v>0</v>
        <stp/>
        <stp>EM_S_VAL_DIVIDENDYIELD2</stp>
        <stp>3</stp>
        <stp>600793</stp>
        <stp>12/31/2018</stp>
        <stp>2019-11-29</stp>
        <tr r="Q1843" s="1"/>
      </tp>
      <tp>
        <v>2.9983079893079889</v>
        <stp/>
        <stp>EM_S_VAL_DIVIDENDYIELD2</stp>
        <stp>3</stp>
        <stp>000423</stp>
        <stp>12/31/2018</stp>
        <stp>2019-11-29</stp>
        <tr r="Q3424" s="1"/>
      </tp>
      <tp>
        <v>0</v>
        <stp/>
        <stp>EM_S_VAL_DIVIDENDYIELD2</stp>
        <stp>3</stp>
        <stp>300413</stp>
        <stp>12/31/2018</stp>
        <stp>2019-11-29</stp>
        <tr r="Q2612" s="1"/>
      </tp>
      <tp>
        <v>2.0449897750511248</v>
        <stp/>
        <stp>EM_S_VAL_DIVIDENDYIELD2</stp>
        <stp>3</stp>
        <stp>300403</stp>
        <stp>12/31/2018</stp>
        <stp>2019-11-29</stp>
        <tr r="Q2252" s="1"/>
      </tp>
      <tp>
        <v>0</v>
        <stp/>
        <stp>EM_S_VAL_DIVIDENDYIELD2</stp>
        <stp>3</stp>
        <stp>000403</stp>
        <stp>12/31/2018</stp>
        <stp>2019-11-29</stp>
        <tr r="Q1103" s="1"/>
      </tp>
      <tp>
        <v>0.18416642882224962</v>
        <stp/>
        <stp>EM_S_VAL_DIVIDENDYIELD2</stp>
        <stp>3</stp>
        <stp>300433</stp>
        <stp>12/31/2018</stp>
        <stp>2019-11-29</stp>
        <tr r="Q140" s="1"/>
      </tp>
      <tp>
        <v>0.22759601706970131</v>
        <stp/>
        <stp>EM_S_VAL_DIVIDENDYIELD2</stp>
        <stp>3</stp>
        <stp>600463</stp>
        <stp>12/31/2018</stp>
        <stp>2019-11-29</stp>
        <tr r="Q2180" s="1"/>
      </tp>
      <tp>
        <v>1.4583333333333333</v>
        <stp/>
        <stp>EM_S_VAL_DIVIDENDYIELD2</stp>
        <stp>3</stp>
        <stp>000413</stp>
        <stp>12/31/2018</stp>
        <stp>2019-11-29</stp>
        <tr r="Q3142" s="1"/>
      </tp>
      <tp>
        <v>1.1144290417881857</v>
        <stp/>
        <stp>EM_S_VAL_DIVIDENDYIELD2</stp>
        <stp>3</stp>
        <stp>300423</stp>
        <stp>12/31/2018</stp>
        <stp>2019-11-29</stp>
        <tr r="Q3152" s="1"/>
      </tp>
      <tp>
        <v>0.86103447190509597</v>
        <stp/>
        <stp>EM_S_VAL_DIVIDENDYIELD2</stp>
        <stp>3</stp>
        <stp>300453</stp>
        <stp>12/31/2018</stp>
        <stp>2019-11-29</stp>
        <tr r="Q3248" s="1"/>
      </tp>
      <tp>
        <v>1.9664268585131892</v>
        <stp/>
        <stp>EM_S_VAL_DIVIDENDYIELD2</stp>
        <stp>3</stp>
        <stp>600403</stp>
        <stp>12/31/2018</stp>
        <stp>2019-11-29</stp>
        <tr r="Q1468" s="1"/>
      </tp>
      <tp>
        <v>0.77399380804953566</v>
        <stp/>
        <stp>EM_S_VAL_DIVIDENDYIELD2</stp>
        <stp>3</stp>
        <stp>300443</stp>
        <stp>12/31/2018</stp>
        <stp>2019-11-29</stp>
        <tr r="Q981" s="1"/>
      </tp>
      <tp>
        <v>0.75433232004318507</v>
        <stp/>
        <stp>EM_S_VAL_DIVIDENDYIELD2</stp>
        <stp>3</stp>
        <stp>300473</stp>
        <stp>12/31/2018</stp>
        <stp>2019-11-29</stp>
        <tr r="Q898" s="1"/>
      </tp>
      <tp>
        <v>0</v>
        <stp/>
        <stp>EM_S_VAL_DIVIDENDYIELD2</stp>
        <stp>3</stp>
        <stp>600423</stp>
        <stp>12/31/2018</stp>
        <stp>2019-11-29</stp>
        <tr r="Q2841" s="1"/>
      </tp>
      <tp>
        <v>0.59615829544149324</v>
        <stp/>
        <stp>EM_S_VAL_DIVIDENDYIELD2</stp>
        <stp>3</stp>
        <stp>300463</stp>
        <stp>12/31/2018</stp>
        <stp>2019-11-29</stp>
        <tr r="Q238" s="1"/>
      </tp>
      <tp>
        <v>0.83333333333333348</v>
        <stp/>
        <stp>EM_S_VAL_DIVIDENDYIELD2</stp>
        <stp>3</stp>
        <stp>600433</stp>
        <stp>12/31/2018</stp>
        <stp>2019-11-29</stp>
        <tr r="Q2625" s="1"/>
      </tp>
      <tp>
        <v>0.61728395126423863</v>
        <stp/>
        <stp>EM_S_VAL_DIVIDENDYIELD2</stp>
        <stp>3</stp>
        <stp>300493</stp>
        <stp>12/31/2018</stp>
        <stp>2019-11-29</stp>
        <tr r="Q2536" s="1"/>
      </tp>
      <tp>
        <v>0</v>
        <stp/>
        <stp>EM_S_VAL_DIVIDENDYIELD2</stp>
        <stp>3</stp>
        <stp>300483</stp>
        <stp>12/31/2018</stp>
        <stp>2019-11-29</stp>
        <tr r="Q1094" s="1"/>
      </tp>
      <tp>
        <v>2.3595489485542496</v>
        <stp/>
        <stp>EM_S_VAL_DIVIDENDYIELD2</stp>
        <stp>3</stp>
        <stp>600483</stp>
        <stp>12/31/2018</stp>
        <stp>2019-11-29</stp>
        <tr r="Q1892" s="1"/>
      </tp>
      <tp>
        <v>0.76628352490421447</v>
        <stp/>
        <stp>EM_S_VAL_DIVIDENDYIELD2</stp>
        <stp>3</stp>
        <stp>600493</stp>
        <stp>12/31/2018</stp>
        <stp>2019-11-29</stp>
        <tr r="Q2813" s="1"/>
      </tp>
      <tp>
        <v>0.37313432835820892</v>
        <stp/>
        <stp>EM_S_VAL_DIVIDENDYIELD2</stp>
        <stp>3</stp>
        <stp>000523</stp>
        <stp>12/31/2018</stp>
        <stp>2019-11-29</stp>
        <tr r="Q204" s="1"/>
      </tp>
      <tp>
        <v>0.67312870263702862</v>
        <stp/>
        <stp>EM_S_VAL_DIVIDENDYIELD2</stp>
        <stp>3</stp>
        <stp>300513</stp>
        <stp>12/31/2018</stp>
        <stp>2019-11-29</stp>
        <tr r="Q3312" s="1"/>
      </tp>
      <tp>
        <v>0</v>
        <stp/>
        <stp>EM_S_VAL_DIVIDENDYIELD2</stp>
        <stp>3</stp>
        <stp>600543</stp>
        <stp>12/31/2018</stp>
        <stp>2019-11-29</stp>
        <tr r="Q2825" s="1"/>
      </tp>
      <tp>
        <v>0</v>
        <stp/>
        <stp>EM_S_VAL_DIVIDENDYIELD2</stp>
        <stp>3</stp>
        <stp>000533</stp>
        <stp>12/31/2018</stp>
        <stp>2019-11-29</stp>
        <tr r="Q3445" s="1"/>
      </tp>
      <tp>
        <v>0.35259549461312434</v>
        <stp/>
        <stp>EM_S_VAL_DIVIDENDYIELD2</stp>
        <stp>3</stp>
        <stp>300503</stp>
        <stp>12/31/2018</stp>
        <stp>2019-11-29</stp>
        <tr r="Q978" s="1"/>
      </tp>
      <tp>
        <v>0</v>
        <stp/>
        <stp>EM_S_VAL_DIVIDENDYIELD2</stp>
        <stp>3</stp>
        <stp>600553</stp>
        <stp>12/31/2018</stp>
        <stp>2019-11-29</stp>
        <tr r="Q2304" s="1"/>
      </tp>
      <tp>
        <v>0</v>
        <stp/>
        <stp>EM_S_VAL_DIVIDENDYIELD2</stp>
        <stp>3</stp>
        <stp>000503</stp>
        <stp>12/31/2018</stp>
        <stp>2019-11-29</stp>
        <tr r="Q3430" s="1"/>
      </tp>
      <tp>
        <v>1.0145033792278291</v>
        <stp/>
        <stp>EM_S_VAL_DIVIDENDYIELD2</stp>
        <stp>3</stp>
        <stp>300533</stp>
        <stp>12/31/2018</stp>
        <stp>2019-11-29</stp>
        <tr r="Q687" s="1"/>
      </tp>
      <tp>
        <v>3.1026252983293556</v>
        <stp/>
        <stp>EM_S_VAL_DIVIDENDYIELD2</stp>
        <stp>3</stp>
        <stp>600563</stp>
        <stp>12/31/2018</stp>
        <stp>2019-11-29</stp>
        <tr r="Q1335" s="1"/>
      </tp>
      <tp>
        <v>2.9576319236692088</v>
        <stp/>
        <stp>EM_S_VAL_DIVIDENDYIELD2</stp>
        <stp>3</stp>
        <stp>000513</stp>
        <stp>12/31/2018</stp>
        <stp>2019-11-29</stp>
        <tr r="Q913" s="1"/>
      </tp>
      <tp>
        <v>0.31882671836418475</v>
        <stp/>
        <stp>EM_S_VAL_DIVIDENDYIELD2</stp>
        <stp>3</stp>
        <stp>300523</stp>
        <stp>12/31/2018</stp>
        <stp>2019-11-29</stp>
        <tr r="Q3143" s="1"/>
      </tp>
      <tp>
        <v>0.48622366288492713</v>
        <stp/>
        <stp>EM_S_VAL_DIVIDENDYIELD2</stp>
        <stp>3</stp>
        <stp>600573</stp>
        <stp>12/31/2018</stp>
        <stp>2019-11-29</stp>
        <tr r="Q2085" s="1"/>
      </tp>
      <tp>
        <v>0.50251256281407031</v>
        <stp/>
        <stp>EM_S_VAL_DIVIDENDYIELD2</stp>
        <stp>3</stp>
        <stp>000563</stp>
        <stp>12/31/2018</stp>
        <stp>2019-11-29</stp>
        <tr r="Q3456" s="1"/>
      </tp>
      <tp>
        <v>0.56996295240809347</v>
        <stp/>
        <stp>EM_S_VAL_DIVIDENDYIELD2</stp>
        <stp>3</stp>
        <stp>300553</stp>
        <stp>12/31/2018</stp>
        <stp>2019-11-29</stp>
        <tr r="Q1587" s="1"/>
      </tp>
      <tp>
        <v>0.16666666666666669</v>
        <stp/>
        <stp>EM_S_VAL_DIVIDENDYIELD2</stp>
        <stp>3</stp>
        <stp>600503</stp>
        <stp>12/31/2018</stp>
        <stp>2019-11-29</stp>
        <tr r="Q2014" s="1"/>
      </tp>
      <tp>
        <v>2.0696830989902737</v>
        <stp/>
        <stp>EM_S_VAL_DIVIDENDYIELD2</stp>
        <stp>3</stp>
        <stp>000573</stp>
        <stp>12/31/2018</stp>
        <stp>2019-11-29</stp>
        <tr r="Q2239" s="1"/>
      </tp>
      <tp>
        <v>0.35885167464114831</v>
        <stp/>
        <stp>EM_S_VAL_DIVIDENDYIELD2</stp>
        <stp>3</stp>
        <stp>300543</stp>
        <stp>12/31/2018</stp>
        <stp>2019-11-29</stp>
        <tr r="Q759" s="1"/>
      </tp>
      <tp>
        <v>1.1381855348753227</v>
        <stp/>
        <stp>EM_S_VAL_DIVIDENDYIELD2</stp>
        <stp>3</stp>
        <stp>600513</stp>
        <stp>12/31/2018</stp>
        <stp>2019-11-29</stp>
        <tr r="Q1324" s="1"/>
      </tp>
      <tp>
        <v>0.74255833904727342</v>
        <stp/>
        <stp>EM_S_VAL_DIVIDENDYIELD2</stp>
        <stp>3</stp>
        <stp>000543</stp>
        <stp>12/31/2018</stp>
        <stp>2019-11-29</stp>
        <tr r="Q2463" s="1"/>
      </tp>
      <tp>
        <v>0.294811320754717</v>
        <stp/>
        <stp>EM_S_VAL_DIVIDENDYIELD2</stp>
        <stp>3</stp>
        <stp>300573</stp>
        <stp>12/31/2018</stp>
        <stp>2019-11-29</stp>
        <tr r="Q25" s="1"/>
      </tp>
      <tp>
        <v>1.1583011583011582</v>
        <stp/>
        <stp>EM_S_VAL_DIVIDENDYIELD2</stp>
        <stp>3</stp>
        <stp>600523</stp>
        <stp>12/31/2018</stp>
        <stp>2019-11-29</stp>
        <tr r="Q688" s="1"/>
      </tp>
      <tp>
        <v>0.98577235772357741</v>
        <stp/>
        <stp>EM_S_VAL_DIVIDENDYIELD2</stp>
        <stp>3</stp>
        <stp>000553</stp>
        <stp>12/31/2018</stp>
        <stp>2019-11-29</stp>
        <tr r="Q1907" s="1"/>
      </tp>
      <tp>
        <v>0.43330821401657871</v>
        <stp/>
        <stp>EM_S_VAL_DIVIDENDYIELD2</stp>
        <stp>3</stp>
        <stp>300563</stp>
        <stp>12/31/2018</stp>
        <stp>2019-11-29</stp>
        <tr r="Q1534" s="1"/>
      </tp>
      <tp>
        <v>3.1948881789137378</v>
        <stp/>
        <stp>EM_S_VAL_DIVIDENDYIELD2</stp>
        <stp>3</stp>
        <stp>600533</stp>
        <stp>12/31/2018</stp>
        <stp>2019-11-29</stp>
        <tr r="Q1535" s="1"/>
      </tp>
      <tp>
        <v>0.18739450552828849</v>
        <stp/>
        <stp>EM_S_VAL_DIVIDENDYIELD2</stp>
        <stp>3</stp>
        <stp>300593</stp>
        <stp>12/31/2018</stp>
        <stp>2019-11-29</stp>
        <tr r="Q1675" s="1"/>
      </tp>
      <tp>
        <v>0.43970618843251574</v>
        <stp/>
        <stp>EM_S_VAL_DIVIDENDYIELD2</stp>
        <stp>3</stp>
        <stp>300583</stp>
        <stp>12/31/2018</stp>
        <stp>2019-11-29</stp>
        <tr r="Q2080" s="1"/>
      </tp>
      <tp>
        <v>0</v>
        <stp/>
        <stp>EM_S_VAL_DIVIDENDYIELD2</stp>
        <stp>3</stp>
        <stp>000583</stp>
        <stp>12/31/2018</stp>
        <stp>2019-11-29</stp>
        <tr r="Q3466" s="1"/>
      </tp>
      <tp>
        <v>0</v>
        <stp/>
        <stp>EM_S_VAL_DIVIDENDYIELD2</stp>
        <stp>3</stp>
        <stp>000593</stp>
        <stp>12/31/2018</stp>
        <stp>2019-11-29</stp>
        <tr r="Q3473" s="1"/>
      </tp>
      <tp>
        <v>0.71633237822349571</v>
        <stp/>
        <stp>EM_S_VAL_DIVIDENDYIELD2</stp>
        <stp>3</stp>
        <stp>600583</stp>
        <stp>12/31/2018</stp>
        <stp>2019-11-29</stp>
        <tr r="Q616" s="1"/>
      </tp>
      <tp>
        <v>0</v>
        <stp/>
        <stp>EM_S_VAL_DIVIDENDYIELD2</stp>
        <stp>3</stp>
        <stp>600593</stp>
        <stp>12/31/2018</stp>
        <stp>2019-11-29</stp>
        <tr r="Q387" s="1"/>
      </tp>
      <tp>
        <v>0.99700897308075775</v>
        <stp/>
        <stp>EM_S_VAL_DIVIDENDYIELD2</stp>
        <stp>3</stp>
        <stp>000823</stp>
        <stp>12/31/2018</stp>
        <stp>2019-11-29</stp>
        <tr r="Q267" s="1"/>
      </tp>
      <tp>
        <v>0</v>
        <stp/>
        <stp>EM_S_VAL_DIVIDENDYIELD2</stp>
        <stp>3</stp>
        <stp>600843</stp>
        <stp>12/31/2018</stp>
        <stp>2019-11-29</stp>
        <tr r="Q1525" s="1"/>
      </tp>
      <tp>
        <v>0.31578947368421045</v>
        <stp/>
        <stp>EM_S_VAL_DIVIDENDYIELD2</stp>
        <stp>3</stp>
        <stp>000833</stp>
        <stp>12/31/2018</stp>
        <stp>2019-11-29</stp>
        <tr r="Q1707" s="1"/>
      </tp>
      <tp>
        <v>0.49950049973909022</v>
        <stp/>
        <stp>EM_S_VAL_DIVIDENDYIELD2</stp>
        <stp>3</stp>
        <stp>600853</stp>
        <stp>12/31/2018</stp>
        <stp>2019-11-29</stp>
        <tr r="Q2699" s="1"/>
      </tp>
      <tp>
        <v>0</v>
        <stp/>
        <stp>EM_S_VAL_DIVIDENDYIELD2</stp>
        <stp>3</stp>
        <stp>000803</stp>
        <stp>12/31/2018</stp>
        <stp>2019-11-29</stp>
        <tr r="Q1520" s="1"/>
      </tp>
      <tp>
        <v>3.7065519464596819</v>
        <stp/>
        <stp>EM_S_VAL_DIVIDENDYIELD2</stp>
        <stp>3</stp>
        <stp>600863</stp>
        <stp>12/31/2018</stp>
        <stp>2019-11-29</stp>
        <tr r="Q1344" s="1"/>
      </tp>
      <tp>
        <v>0</v>
        <stp/>
        <stp>EM_S_VAL_DIVIDENDYIELD2</stp>
        <stp>3</stp>
        <stp>000813</stp>
        <stp>12/31/2018</stp>
        <stp>2019-11-29</stp>
        <tr r="Q3236" s="1"/>
      </tp>
      <tp>
        <v>7.980991197031158</v>
        <stp/>
        <stp>EM_S_VAL_DIVIDENDYIELD2</stp>
        <stp>3</stp>
        <stp>600873</stp>
        <stp>12/31/2018</stp>
        <stp>2019-11-29</stp>
        <tr r="Q2002" s="1"/>
      </tp>
      <tp>
        <v>0</v>
        <stp/>
        <stp>EM_S_VAL_DIVIDENDYIELD2</stp>
        <stp>3</stp>
        <stp>000863</stp>
        <stp>12/31/2018</stp>
        <stp>2019-11-29</stp>
        <tr r="Q3557" s="1"/>
      </tp>
      <tp>
        <v>2.0689655172413794</v>
        <stp/>
        <stp>EM_S_VAL_DIVIDENDYIELD2</stp>
        <stp>3</stp>
        <stp>600803</stp>
        <stp>12/31/2018</stp>
        <stp>2019-11-29</stp>
        <tr r="Q1898" s="1"/>
      </tp>
      <tp>
        <v>0</v>
        <stp/>
        <stp>EM_S_VAL_DIVIDENDYIELD2</stp>
        <stp>3</stp>
        <stp>600813</stp>
        <stp>12/31/2018</stp>
        <stp>2019-11-29</stp>
        <tr r="Q2327" s="1"/>
      </tp>
      <tp>
        <v>6.6838046272493568</v>
        <stp/>
        <stp>EM_S_VAL_DIVIDENDYIELD2</stp>
        <stp>3</stp>
        <stp>600823</stp>
        <stp>12/31/2018</stp>
        <stp>2019-11-29</stp>
        <tr r="Q1206" s="1"/>
      </tp>
      <tp>
        <v>0.74200913242009126</v>
        <stp/>
        <stp>EM_S_VAL_DIVIDENDYIELD2</stp>
        <stp>3</stp>
        <stp>600833</stp>
        <stp>12/31/2018</stp>
        <stp>2019-11-29</stp>
        <tr r="Q2110" s="1"/>
      </tp>
      <tp>
        <v>2.6634382566585959</v>
        <stp/>
        <stp>EM_S_VAL_DIVIDENDYIELD2</stp>
        <stp>3</stp>
        <stp>000883</stp>
        <stp>12/31/2018</stp>
        <stp>2019-11-29</stp>
        <tr r="Q1562" s="1"/>
      </tp>
      <tp>
        <v>0</v>
        <stp/>
        <stp>EM_S_VAL_DIVIDENDYIELD2</stp>
        <stp>3</stp>
        <stp>000893</stp>
        <stp>12/31/2018</stp>
        <stp>2019-11-29</stp>
        <tr r="Q3566" s="1"/>
      </tp>
      <tp>
        <v>0.32467532467532467</v>
        <stp/>
        <stp>EM_S_VAL_DIVIDENDYIELD2</stp>
        <stp>3</stp>
        <stp>600883</stp>
        <stp>12/31/2018</stp>
        <stp>2019-11-29</stp>
        <tr r="Q1056" s="1"/>
      </tp>
      <tp>
        <v>0.70019723865877714</v>
        <stp/>
        <stp>EM_S_VAL_DIVIDENDYIELD2</stp>
        <stp>3</stp>
        <stp>600893</stp>
        <stp>12/31/2018</stp>
        <stp>2019-11-29</stp>
        <tr r="Q2384" s="1"/>
      </tp>
      <tp>
        <v>7.02247191011236E-2</v>
        <stp/>
        <stp>EM_S_VAL_DIVIDENDYIELD2</stp>
        <stp>3</stp>
        <stp>000923</stp>
        <stp>12/31/2018</stp>
        <stp>2019-11-29</stp>
        <tr r="Q3577" s="1"/>
      </tp>
      <tp>
        <v>0.3125</v>
        <stp/>
        <stp>EM_S_VAL_DIVIDENDYIELD2</stp>
        <stp>3</stp>
        <stp>000933</stp>
        <stp>12/31/2018</stp>
        <stp>2019-11-29</stp>
        <tr r="Q3581" s="1"/>
      </tp>
      <tp>
        <v>1.7441860465116279</v>
        <stp/>
        <stp>EM_S_VAL_DIVIDENDYIELD2</stp>
        <stp>3</stp>
        <stp>000903</stp>
        <stp>12/31/2018</stp>
        <stp>2019-11-29</stp>
        <tr r="Q1940" s="1"/>
      </tp>
      <tp>
        <v>0.65217391304347827</v>
        <stp/>
        <stp>EM_S_VAL_DIVIDENDYIELD2</stp>
        <stp>3</stp>
        <stp>600963</stp>
        <stp>12/31/2018</stp>
        <stp>2019-11-29</stp>
        <tr r="Q1727" s="1"/>
      </tp>
      <tp>
        <v>0</v>
        <stp/>
        <stp>EM_S_VAL_DIVIDENDYIELD2</stp>
        <stp>3</stp>
        <stp>000913</stp>
        <stp>12/31/2018</stp>
        <stp>2019-11-29</stp>
        <tr r="Q1323" s="1"/>
      </tp>
      <tp>
        <v>0.78378378378378388</v>
        <stp/>
        <stp>EM_S_VAL_DIVIDENDYIELD2</stp>
        <stp>3</stp>
        <stp>600973</stp>
        <stp>12/31/2018</stp>
        <stp>2019-11-29</stp>
        <tr r="Q2049" s="1"/>
      </tp>
      <tp>
        <v>1.1178861793728778</v>
        <stp/>
        <stp>EM_S_VAL_DIVIDENDYIELD2</stp>
        <stp>3</stp>
        <stp>000963</stp>
        <stp>12/31/2018</stp>
        <stp>2019-11-29</stp>
        <tr r="Q2741" s="1"/>
      </tp>
      <tp>
        <v>0.2993731873889045</v>
        <stp/>
        <stp>EM_S_VAL_DIVIDENDYIELD2</stp>
        <stp>3</stp>
        <stp>600903</stp>
        <stp>12/31/2018</stp>
        <stp>2019-11-29</stp>
        <tr r="Q3216" s="1"/>
      </tp>
      <tp>
        <v>0</v>
        <stp/>
        <stp>EM_S_VAL_DIVIDENDYIELD2</stp>
        <stp>3</stp>
        <stp>000973</stp>
        <stp>12/31/2018</stp>
        <stp>2019-11-29</stp>
        <tr r="Q658" s="1"/>
      </tp>
      <tp>
        <v>0</v>
        <stp/>
        <stp>EM_S_VAL_DIVIDENDYIELD2</stp>
        <stp>3</stp>
        <stp>000953</stp>
        <stp>12/31/2018</stp>
        <stp>2019-11-29</stp>
        <tr r="Q3584" s="1"/>
      </tp>
      <tp>
        <v>2.0060627213175688</v>
        <stp/>
        <stp>EM_S_VAL_DIVIDENDYIELD2</stp>
        <stp>3</stp>
        <stp>600933</stp>
        <stp>12/31/2018</stp>
        <stp>2019-11-29</stp>
        <tr r="Q256" s="1"/>
      </tp>
      <tp>
        <v>5.1903114186851207</v>
        <stp/>
        <stp>EM_S_VAL_DIVIDENDYIELD2</stp>
        <stp>3</stp>
        <stp>000983</stp>
        <stp>12/31/2018</stp>
        <stp>2019-11-29</stp>
        <tr r="Q1655" s="1"/>
      </tp>
      <tp>
        <v>0</v>
        <stp/>
        <stp>EM_S_VAL_DIVIDENDYIELD2</stp>
        <stp>3</stp>
        <stp>000993</stp>
        <stp>12/31/2018</stp>
        <stp>2019-11-29</stp>
        <tr r="Q3600" s="1"/>
      </tp>
      <tp>
        <v>1.0395010395010396</v>
        <stp/>
        <stp>EM_S_VAL_DIVIDENDYIELD2</stp>
        <stp>3</stp>
        <stp>600983</stp>
        <stp>12/31/2018</stp>
        <stp>2019-11-29</stp>
        <tr r="Q2645" s="1"/>
      </tp>
      <tp>
        <v>0.87565674255691772</v>
        <stp/>
        <stp>EM_S_VAL_DIVIDENDYIELD2</stp>
        <stp>3</stp>
        <stp>600993</stp>
        <stp>12/31/2018</stp>
        <stp>2019-11-29</stp>
        <tr r="Q973" s="1"/>
      </tp>
      <tp>
        <v>0.92431222098899402</v>
        <stp/>
        <stp>EM_S_VAL_DIVIDENDYIELD2</stp>
        <stp>3</stp>
        <stp>601233</stp>
        <stp>12/31/2018</stp>
        <stp>2019-11-29</stp>
        <tr r="Q521" s="1"/>
      </tp>
      <tp>
        <v>2.0270270270270272</v>
        <stp/>
        <stp>EM_S_VAL_DIVIDENDYIELD2</stp>
        <stp>3</stp>
        <stp>601333</stp>
        <stp>12/31/2018</stp>
        <stp>2019-11-29</stp>
        <tr r="Q2471" s="1"/>
      </tp>
      <tp>
        <v>11.928429423459244</v>
        <stp/>
        <stp>EM_S_VAL_DIVIDENDYIELD2</stp>
        <stp>3</stp>
        <stp>601003</stp>
        <stp>12/31/2018</stp>
        <stp>2019-11-29</stp>
        <tr r="Q2925" s="1"/>
      </tp>
      <tp>
        <v>1.4245014245014245</v>
        <stp/>
        <stp>EM_S_VAL_DIVIDENDYIELD2</stp>
        <stp>3</stp>
        <stp>601163</stp>
        <stp>12/31/2018</stp>
        <stp>2019-11-29</stp>
        <tr r="Q828" s="1"/>
      </tp>
      <tp>
        <v>1.9787926515770327</v>
        <stp/>
        <stp>EM_S_VAL_DIVIDENDYIELD2</stp>
        <stp>3</stp>
        <stp>601113</stp>
        <stp>12/31/2018</stp>
        <stp>2019-11-29</stp>
        <tr r="Q3390" s="1"/>
      </tp>
      <tp>
        <v>3.1115879828326176</v>
        <stp/>
        <stp>EM_S_VAL_DIVIDENDYIELD2</stp>
        <stp>3</stp>
        <stp>601633</stp>
        <stp>12/31/2018</stp>
        <stp>2019-11-29</stp>
        <tr r="Q446" s="1"/>
      </tp>
      <tp>
        <v>1.480484522207268</v>
        <stp/>
        <stp>EM_S_VAL_DIVIDENDYIELD2</stp>
        <stp>3</stp>
        <stp>601933</stp>
        <stp>12/31/2018</stp>
        <stp>2019-11-29</stp>
        <tr r="Q2507" s="1"/>
      </tp>
      <tp>
        <v>15.7470576731</v>
        <stp/>
        <stp>EM_S_FA_YOY_OR</stp>
        <stp>2</stp>
        <stp>603885</stp>
        <stp>12/31/2018</stp>
        <tr r="H1184" s="1"/>
      </tp>
      <tp>
        <v>55.0441125539</v>
        <stp/>
        <stp>EM_S_FA_YOY_OR</stp>
        <stp>2</stp>
        <stp>603887</stp>
        <stp>12/31/2018</stp>
        <tr r="H293" s="1"/>
      </tp>
      <tp>
        <v>10.1829066502</v>
        <stp/>
        <stp>EM_S_FA_YOY_OR</stp>
        <stp>2</stp>
        <stp>603886</stp>
        <stp>12/31/2018</stp>
        <tr r="H2380" s="1"/>
      </tp>
      <tp>
        <v>74.861318931400007</v>
        <stp/>
        <stp>EM_S_FA_YOY_OR</stp>
        <stp>2</stp>
        <stp>603881</stp>
        <stp>12/31/2018</stp>
        <tr r="H513" s="1"/>
      </tp>
      <tp>
        <v>-1.8180415716</v>
        <stp/>
        <stp>EM_S_FA_YOY_OR</stp>
        <stp>2</stp>
        <stp>603880</stp>
        <stp>12/31/2018</stp>
        <tr r="H2774" s="1"/>
      </tp>
      <tp>
        <v>26.257078333900001</v>
        <stp/>
        <stp>EM_S_FA_YOY_OR</stp>
        <stp>2</stp>
        <stp>603883</stp>
        <stp>12/31/2018</stp>
        <tr r="H819" s="1"/>
      </tp>
      <tp>
        <v>19.345721552000001</v>
        <stp/>
        <stp>EM_S_FA_YOY_OR</stp>
        <stp>2</stp>
        <stp>603882</stp>
        <stp>12/31/2018</stp>
        <tr r="H116" s="1"/>
      </tp>
      <tp>
        <v>10.992801700799999</v>
        <stp/>
        <stp>EM_S_FA_YOY_OR</stp>
        <stp>2</stp>
        <stp>603889</stp>
        <stp>12/31/2018</stp>
        <tr r="H3265" s="1"/>
      </tp>
      <tp>
        <v>4.5005692280999998</v>
        <stp/>
        <stp>EM_S_FA_YOY_OR</stp>
        <stp>2</stp>
        <stp>603888</stp>
        <stp>12/31/2018</stp>
        <tr r="H402" s="1"/>
      </tp>
      <tp>
        <v>19.3715381371</v>
        <stp/>
        <stp>EM_S_FA_YOY_OR</stp>
        <stp>2</stp>
        <stp>603895</stp>
        <stp>12/31/2018</stp>
        <tr r="H2804" s="1"/>
      </tp>
      <tp>
        <v>8.6283852157999998</v>
        <stp/>
        <stp>EM_S_FA_YOY_OR</stp>
        <stp>2</stp>
        <stp>603897</stp>
        <stp>12/31/2018</stp>
        <tr r="H2927" s="1"/>
      </tp>
      <tp>
        <v>38.243956194200003</v>
        <stp/>
        <stp>EM_S_FA_YOY_OR</stp>
        <stp>2</stp>
        <stp>603896</stp>
        <stp>12/31/2018</stp>
        <tr r="H1605" s="1"/>
      </tp>
      <tp>
        <v>2.01067624</v>
        <stp/>
        <stp>EM_S_FA_YOY_OR</stp>
        <stp>2</stp>
        <stp>603890</stp>
        <stp>12/31/2018</stp>
        <tr r="H2755" s="1"/>
      </tp>
      <tp>
        <v>34.259090116199999</v>
        <stp/>
        <stp>EM_S_FA_YOY_OR</stp>
        <stp>2</stp>
        <stp>603899</stp>
        <stp>12/31/2018</stp>
        <tr r="H439" s="1"/>
      </tp>
      <tp>
        <v>14.4607417846</v>
        <stp/>
        <stp>EM_S_FA_YOY_OR</stp>
        <stp>2</stp>
        <stp>603898</stp>
        <stp>12/31/2018</stp>
        <tr r="H2001" s="1"/>
      </tp>
      <tp>
        <v>18.469886564599999</v>
        <stp/>
        <stp>EM_S_FA_YOY_OR</stp>
        <stp>2</stp>
        <stp>603866</stp>
        <stp>12/31/2018</stp>
        <tr r="H2655" s="1"/>
      </tp>
      <tp>
        <v>17.8383446319</v>
        <stp/>
        <stp>EM_S_FA_YOY_OR</stp>
        <stp>2</stp>
        <stp>603861</stp>
        <stp>12/31/2018</stp>
        <tr r="H3153" s="1"/>
      </tp>
      <tp>
        <v>8.5222271302999992</v>
        <stp/>
        <stp>EM_S_FA_YOY_OR</stp>
        <stp>2</stp>
        <stp>603860</stp>
        <stp>12/31/2018</stp>
        <tr r="H1627" s="1"/>
      </tp>
      <tp>
        <v>20.695107829800001</v>
        <stp/>
        <stp>EM_S_FA_YOY_OR</stp>
        <stp>2</stp>
        <stp>603869</stp>
        <stp>12/31/2018</stp>
        <tr r="H3074" s="1"/>
      </tp>
      <tp>
        <v>3.1952485587999999</v>
        <stp/>
        <stp>EM_S_FA_YOY_OR</stp>
        <stp>2</stp>
        <stp>603868</stp>
        <stp>12/31/2018</stp>
        <tr r="H2443" s="1"/>
      </tp>
      <tp>
        <v>7.7811898974</v>
        <stp/>
        <stp>EM_S_FA_YOY_OR</stp>
        <stp>2</stp>
        <stp>603877</stp>
        <stp>12/31/2018</stp>
        <tr r="H2990" s="1"/>
      </tp>
      <tp>
        <v>11.857894378099999</v>
        <stp/>
        <stp>EM_S_FA_YOY_OR</stp>
        <stp>2</stp>
        <stp>603876</stp>
        <stp>12/31/2018</stp>
        <tr r="H2926" s="1"/>
      </tp>
      <tp>
        <v>26.404055893999999</v>
        <stp/>
        <stp>EM_S_FA_YOY_OR</stp>
        <stp>2</stp>
        <stp>603871</stp>
        <stp>12/31/2018</stp>
        <tr r="H2770" s="1"/>
      </tp>
      <tp>
        <v>8.7807189773999994</v>
        <stp/>
        <stp>EM_S_FA_YOY_OR</stp>
        <stp>2</stp>
        <stp>603879</stp>
        <stp>12/31/2018</stp>
        <tr r="H1251" s="1"/>
      </tp>
      <tp>
        <v>36.878980294900003</v>
        <stp/>
        <stp>EM_S_FA_YOY_OR</stp>
        <stp>2</stp>
        <stp>603878</stp>
        <stp>12/31/2018</stp>
        <tr r="H2363" s="1"/>
      </tp>
      <tp>
        <v>83.717168748500001</v>
        <stp/>
        <stp>EM_S_FA_YOY_OR</stp>
        <stp>2</stp>
        <stp>603843</stp>
        <stp>12/31/2018</stp>
        <tr r="H3316" s="1"/>
      </tp>
      <tp>
        <v>17.7468914072</v>
        <stp/>
        <stp>EM_S_FA_YOY_OR</stp>
        <stp>2</stp>
        <stp>603848</stp>
        <stp>12/31/2018</stp>
        <tr r="H2703" s="1"/>
      </tp>
      <tp>
        <v>10.262367919300001</v>
        <stp/>
        <stp>EM_S_FA_YOY_OR</stp>
        <stp>2</stp>
        <stp>603855</stp>
        <stp>12/31/2018</stp>
        <tr r="H1126" s="1"/>
      </tp>
      <tp>
        <v>8.6956385340000004</v>
        <stp/>
        <stp>EM_S_FA_YOY_OR</stp>
        <stp>2</stp>
        <stp>603856</stp>
        <stp>12/31/2018</stp>
        <tr r="H2996" s="1"/>
      </tp>
      <tp>
        <v>78.120252712699994</v>
        <stp/>
        <stp>EM_S_FA_YOY_OR</stp>
        <stp>2</stp>
        <stp>603859</stp>
        <stp>12/31/2018</stp>
        <tr r="H443" s="1"/>
      </tp>
      <tp>
        <v>-1.4365783047</v>
        <stp/>
        <stp>EM_S_FA_YOY_OR</stp>
        <stp>2</stp>
        <stp>603858</stp>
        <stp>12/31/2018</stp>
        <tr r="H3059" s="1"/>
      </tp>
      <tp>
        <v>30.807368252700002</v>
        <stp/>
        <stp>EM_S_FA_YOY_OR</stp>
        <stp>2</stp>
        <stp>603825</stp>
        <stp>12/31/2018</stp>
        <tr r="H901" s="1"/>
      </tp>
      <tp>
        <v>25.068237469900001</v>
        <stp/>
        <stp>EM_S_FA_YOY_OR</stp>
        <stp>2</stp>
        <stp>603826</stp>
        <stp>12/31/2018</stp>
        <tr r="H1431" s="1"/>
      </tp>
      <tp>
        <v>19.999567447</v>
        <stp/>
        <stp>EM_S_FA_YOY_OR</stp>
        <stp>2</stp>
        <stp>603823</stp>
        <stp>12/31/2018</stp>
        <tr r="H322" s="1"/>
      </tp>
      <tp>
        <v>17.778798438900001</v>
        <stp/>
        <stp>EM_S_FA_YOY_OR</stp>
        <stp>2</stp>
        <stp>603822</stp>
        <stp>12/31/2018</stp>
        <tr r="H1362" s="1"/>
      </tp>
      <tp>
        <v>15.220842575200001</v>
        <stp/>
        <stp>EM_S_FA_YOY_OR</stp>
        <stp>2</stp>
        <stp>603829</stp>
        <stp>12/31/2018</stp>
        <tr r="H1573" s="1"/>
      </tp>
      <tp>
        <v>17.2108777143</v>
        <stp/>
        <stp>EM_S_FA_YOY_OR</stp>
        <stp>2</stp>
        <stp>603828</stp>
        <stp>12/31/2018</stp>
        <tr r="H3237" s="1"/>
      </tp>
      <tp>
        <v>18.5290990803</v>
        <stp/>
        <stp>EM_S_FA_YOY_OR</stp>
        <stp>2</stp>
        <stp>603833</stp>
        <stp>12/31/2018</stp>
        <tr r="H634" s="1"/>
      </tp>
      <tp>
        <v>16.0901485413</v>
        <stp/>
        <stp>EM_S_FA_YOY_OR</stp>
        <stp>2</stp>
        <stp>603839</stp>
        <stp>12/31/2018</stp>
        <tr r="H1152" s="1"/>
      </tp>
      <tp>
        <v>6.1119068897000002</v>
        <stp/>
        <stp>EM_S_FA_YOY_OR</stp>
        <stp>2</stp>
        <stp>603838</stp>
        <stp>12/31/2018</stp>
        <tr r="H2880" s="1"/>
      </tp>
      <tp>
        <v>4.9033864925000001</v>
        <stp/>
        <stp>EM_S_FA_YOY_OR</stp>
        <stp>2</stp>
        <stp>603806</stp>
        <stp>12/31/2018</stp>
        <tr r="H249" s="1"/>
      </tp>
      <tp>
        <v>12.801800700299999</v>
        <stp/>
        <stp>EM_S_FA_YOY_OR</stp>
        <stp>2</stp>
        <stp>603801</stp>
        <stp>12/31/2018</stp>
        <tr r="H2581" s="1"/>
      </tp>
      <tp>
        <v>40.796902883500003</v>
        <stp/>
        <stp>EM_S_FA_YOY_OR</stp>
        <stp>2</stp>
        <stp>603800</stp>
        <stp>12/31/2018</stp>
        <tr r="H1378" s="1"/>
      </tp>
      <tp>
        <v>14.041593111499999</v>
        <stp/>
        <stp>EM_S_FA_YOY_OR</stp>
        <stp>2</stp>
        <stp>603803</stp>
        <stp>12/31/2018</stp>
        <tr r="H1040" s="1"/>
      </tp>
      <tp>
        <v>10.4434579993</v>
        <stp/>
        <stp>EM_S_FA_YOY_OR</stp>
        <stp>2</stp>
        <stp>603809</stp>
        <stp>12/31/2018</stp>
        <tr r="H3285" s="1"/>
      </tp>
      <tp>
        <v>18.657902143800001</v>
        <stp/>
        <stp>EM_S_FA_YOY_OR</stp>
        <stp>2</stp>
        <stp>603808</stp>
        <stp>12/31/2018</stp>
        <tr r="H2714" s="1"/>
      </tp>
      <tp>
        <v>38.375574241700001</v>
        <stp/>
        <stp>EM_S_FA_YOY_OR</stp>
        <stp>2</stp>
        <stp>603817</stp>
        <stp>12/31/2018</stp>
        <tr r="H1638" s="1"/>
      </tp>
      <tp>
        <v>37.607008223599998</v>
        <stp/>
        <stp>EM_S_FA_YOY_OR</stp>
        <stp>2</stp>
        <stp>603816</stp>
        <stp>12/31/2018</stp>
        <tr r="H2230" s="1"/>
      </tp>
      <tp>
        <v>60.099336486299997</v>
        <stp/>
        <stp>EM_S_FA_YOY_OR</stp>
        <stp>2</stp>
        <stp>603811</stp>
        <stp>12/31/2018</stp>
        <tr r="H503" s="1"/>
      </tp>
      <tp>
        <v>107.41027642109999</v>
        <stp/>
        <stp>EM_S_FA_YOY_OR</stp>
        <stp>2</stp>
        <stp>603813</stp>
        <stp>12/31/2018</stp>
        <tr r="H2153" s="1"/>
      </tp>
      <tp>
        <v>32.784097453999998</v>
        <stp/>
        <stp>EM_S_FA_YOY_OR</stp>
        <stp>2</stp>
        <stp>603819</stp>
        <stp>12/31/2018</stp>
        <tr r="H2892" s="1"/>
      </tp>
      <tp>
        <v>37.882294282300002</v>
        <stp/>
        <stp>EM_S_FA_YOY_OR</stp>
        <stp>2</stp>
        <stp>603818</stp>
        <stp>12/31/2018</stp>
        <tr r="H1096" s="1"/>
      </tp>
      <tp>
        <v>60.033801520200001</v>
        <stp/>
        <stp>EM_S_FA_YOY_OR</stp>
        <stp>2</stp>
        <stp>603985</stp>
        <stp>12/31/2018</stp>
        <tr r="H3160" s="1"/>
      </tp>
      <tp>
        <v>15.4133761768</v>
        <stp/>
        <stp>EM_S_FA_YOY_OR</stp>
        <stp>2</stp>
        <stp>603987</stp>
        <stp>12/31/2018</stp>
        <tr r="H1117" s="1"/>
      </tp>
      <tp>
        <v>10.6457383077</v>
        <stp/>
        <stp>EM_S_FA_YOY_OR</stp>
        <stp>2</stp>
        <stp>603986</stp>
        <stp>12/31/2018</stp>
        <tr r="H35" s="1"/>
      </tp>
      <tp>
        <v>18.688041183300001</v>
        <stp/>
        <stp>EM_S_FA_YOY_OR</stp>
        <stp>2</stp>
        <stp>603980</stp>
        <stp>12/31/2018</stp>
        <tr r="H3238" s="1"/>
      </tp>
      <tp>
        <v>20.812848595199998</v>
        <stp/>
        <stp>EM_S_FA_YOY_OR</stp>
        <stp>2</stp>
        <stp>603989</stp>
        <stp>12/31/2018</stp>
        <tr r="H1726" s="1"/>
      </tp>
      <tp>
        <v>39.335648481699998</v>
        <stp/>
        <stp>EM_S_FA_YOY_OR</stp>
        <stp>2</stp>
        <stp>603988</stp>
        <stp>12/31/2018</stp>
        <tr r="H2544" s="1"/>
      </tp>
      <tp>
        <v>13.1054462464</v>
        <stp/>
        <stp>EM_S_FA_YOY_OR</stp>
        <stp>2</stp>
        <stp>603997</stp>
        <stp>12/31/2018</stp>
        <tr r="H1914" s="1"/>
      </tp>
      <tp>
        <v>1.1377423548000001</v>
        <stp/>
        <stp>EM_S_FA_YOY_OR</stp>
        <stp>2</stp>
        <stp>603996</stp>
        <stp>12/31/2018</stp>
        <tr r="H3243" s="1"/>
      </tp>
      <tp>
        <v>33.298182466199997</v>
        <stp/>
        <stp>EM_S_FA_YOY_OR</stp>
        <stp>2</stp>
        <stp>603991</stp>
        <stp>12/31/2018</stp>
        <tr r="H2590" s="1"/>
      </tp>
      <tp>
        <v>5.8049714862000004</v>
        <stp/>
        <stp>EM_S_FA_YOY_OR</stp>
        <stp>2</stp>
        <stp>603990</stp>
        <stp>12/31/2018</stp>
        <tr r="H2011" s="1"/>
      </tp>
      <tp>
        <v>7.5175511636000003</v>
        <stp/>
        <stp>EM_S_FA_YOY_OR</stp>
        <stp>2</stp>
        <stp>603993</stp>
        <stp>12/31/2018</stp>
        <tr r="H1415" s="1"/>
      </tp>
      <tp>
        <v>-8.4206160285999996</v>
        <stp/>
        <stp>EM_S_FA_YOY_OR</stp>
        <stp>2</stp>
        <stp>603999</stp>
        <stp>12/31/2018</stp>
        <tr r="H473" s="1"/>
      </tp>
      <tp>
        <v>45.827152734899997</v>
        <stp/>
        <stp>EM_S_FA_YOY_OR</stp>
        <stp>2</stp>
        <stp>603998</stp>
        <stp>12/31/2018</stp>
        <tr r="H287" s="1"/>
      </tp>
      <tp>
        <v>19.968978243799999</v>
        <stp/>
        <stp>EM_S_FA_YOY_OR</stp>
        <stp>2</stp>
        <stp>603966</stp>
        <stp>12/31/2018</stp>
        <tr r="H1319" s="1"/>
      </tp>
      <tp>
        <v>131.51401467380001</v>
        <stp/>
        <stp>EM_S_FA_YOY_OR</stp>
        <stp>2</stp>
        <stp>603960</stp>
        <stp>12/31/2018</stp>
        <tr r="H1420" s="1"/>
      </tp>
      <tp>
        <v>47.204094033600001</v>
        <stp/>
        <stp>EM_S_FA_YOY_OR</stp>
        <stp>2</stp>
        <stp>603963</stp>
        <stp>12/31/2018</stp>
        <tr r="H2617" s="1"/>
      </tp>
      <tp>
        <v>7.3042278339999998</v>
        <stp/>
        <stp>EM_S_FA_YOY_OR</stp>
        <stp>2</stp>
        <stp>603969</stp>
        <stp>12/31/2018</stp>
        <tr r="H2760" s="1"/>
      </tp>
      <tp>
        <v>22.106311734199998</v>
        <stp/>
        <stp>EM_S_FA_YOY_OR</stp>
        <stp>2</stp>
        <stp>603968</stp>
        <stp>12/31/2018</stp>
        <tr r="H1405" s="1"/>
      </tp>
      <tp>
        <v>53.599756292099997</v>
        <stp/>
        <stp>EM_S_FA_YOY_OR</stp>
        <stp>2</stp>
        <stp>603977</stp>
        <stp>12/31/2018</stp>
        <tr r="H1382" s="1"/>
      </tp>
      <tp>
        <v>17.122638455800001</v>
        <stp/>
        <stp>EM_S_FA_YOY_OR</stp>
        <stp>2</stp>
        <stp>603976</stp>
        <stp>12/31/2018</stp>
        <tr r="H1880" s="1"/>
      </tp>
      <tp>
        <v>6.5981872913000004</v>
        <stp/>
        <stp>EM_S_FA_YOY_OR</stp>
        <stp>2</stp>
        <stp>603970</stp>
        <stp>12/31/2018</stp>
        <tr r="H3016" s="1"/>
      </tp>
      <tp>
        <v>27.243895616</v>
        <stp/>
        <stp>EM_S_FA_YOY_OR</stp>
        <stp>2</stp>
        <stp>603979</stp>
        <stp>12/31/2018</stp>
        <tr r="H1297" s="1"/>
      </tp>
      <tp>
        <v>8.9950565169000001</v>
        <stp/>
        <stp>EM_S_FA_YOY_OR</stp>
        <stp>2</stp>
        <stp>603978</stp>
        <stp>12/31/2018</stp>
        <tr r="H780" s="1"/>
      </tp>
      <tp>
        <v>18.249516228699999</v>
        <stp/>
        <stp>EM_S_FA_YOY_OR</stp>
        <stp>2</stp>
        <stp>603955</stp>
        <stp>12/31/2018</stp>
        <tr r="H1547" s="1"/>
      </tp>
      <tp>
        <v>98.134138971300004</v>
        <stp/>
        <stp>EM_S_FA_YOY_OR</stp>
        <stp>2</stp>
        <stp>603959</stp>
        <stp>12/31/2018</stp>
        <tr r="H3275" s="1"/>
      </tp>
      <tp>
        <v>-9.9669948349999995</v>
        <stp/>
        <stp>EM_S_FA_YOY_OR</stp>
        <stp>2</stp>
        <stp>603958</stp>
        <stp>12/31/2018</stp>
        <tr r="H2677" s="1"/>
      </tp>
      <tp>
        <v>13.397876266600001</v>
        <stp/>
        <stp>EM_S_FA_YOY_OR</stp>
        <stp>2</stp>
        <stp>603926</stp>
        <stp>12/31/2018</stp>
        <tr r="H2907" s="1"/>
      </tp>
      <tp>
        <v>10.7340689178</v>
        <stp/>
        <stp>EM_S_FA_YOY_OR</stp>
        <stp>2</stp>
        <stp>603920</stp>
        <stp>12/31/2018</stp>
        <tr r="H354" s="1"/>
      </tp>
      <tp>
        <v>2.6183132865999998</v>
        <stp/>
        <stp>EM_S_FA_YOY_OR</stp>
        <stp>2</stp>
        <stp>603922</stp>
        <stp>12/31/2018</stp>
        <tr r="H2100" s="1"/>
      </tp>
      <tp>
        <v>26.6763588118</v>
        <stp/>
        <stp>EM_S_FA_YOY_OR</stp>
        <stp>2</stp>
        <stp>603929</stp>
        <stp>12/31/2018</stp>
        <tr r="H2220" s="1"/>
      </tp>
      <tp>
        <v>17.151135228499999</v>
        <stp/>
        <stp>EM_S_FA_YOY_OR</stp>
        <stp>2</stp>
        <stp>603928</stp>
        <stp>12/31/2018</stp>
        <tr r="H2878" s="1"/>
      </tp>
      <tp>
        <v>4.7191421463000003</v>
        <stp/>
        <stp>EM_S_FA_YOY_OR</stp>
        <stp>2</stp>
        <stp>603937</stp>
        <stp>12/31/2018</stp>
        <tr r="H2150" s="1"/>
      </tp>
      <tp>
        <v>10.749165040399999</v>
        <stp/>
        <stp>EM_S_FA_YOY_OR</stp>
        <stp>2</stp>
        <stp>603936</stp>
        <stp>12/31/2018</stp>
        <tr r="H1179" s="1"/>
      </tp>
      <tp>
        <v>-2.9559237568999999</v>
        <stp/>
        <stp>EM_S_FA_YOY_OR</stp>
        <stp>2</stp>
        <stp>603933</stp>
        <stp>12/31/2018</stp>
        <tr r="H2900" s="1"/>
      </tp>
      <tp>
        <v>43.7948508602</v>
        <stp/>
        <stp>EM_S_FA_YOY_OR</stp>
        <stp>2</stp>
        <stp>603939</stp>
        <stp>12/31/2018</stp>
        <tr r="H285" s="1"/>
      </tp>
      <tp>
        <v>2.7636303726999998</v>
        <stp/>
        <stp>EM_S_FA_YOY_OR</stp>
        <stp>2</stp>
        <stp>603938</stp>
        <stp>12/31/2018</stp>
        <tr r="H1870" s="1"/>
      </tp>
      <tp>
        <v>15.4422509053</v>
        <stp/>
        <stp>EM_S_FA_YOY_OR</stp>
        <stp>2</stp>
        <stp>603906</stp>
        <stp>12/31/2018</stp>
        <tr r="H1119" s="1"/>
      </tp>
      <tp>
        <v>19.921890021700001</v>
        <stp/>
        <stp>EM_S_FA_YOY_OR</stp>
        <stp>2</stp>
        <stp>603901</stp>
        <stp>12/31/2018</stp>
        <tr r="H415" s="1"/>
      </tp>
      <tp>
        <v>-15.293373771900001</v>
        <stp/>
        <stp>EM_S_FA_YOY_OR</stp>
        <stp>2</stp>
        <stp>603900</stp>
        <stp>12/31/2018</stp>
        <tr r="H3083" s="1"/>
      </tp>
      <tp>
        <v>95.361465102799997</v>
        <stp/>
        <stp>EM_S_FA_YOY_OR</stp>
        <stp>2</stp>
        <stp>603903</stp>
        <stp>12/31/2018</stp>
        <tr r="H3225" s="1"/>
      </tp>
      <tp>
        <v>83.189738208700007</v>
        <stp/>
        <stp>EM_S_FA_YOY_OR</stp>
        <stp>2</stp>
        <stp>603909</stp>
        <stp>12/31/2018</stp>
        <tr r="H3356" s="1"/>
      </tp>
      <tp>
        <v>6.8480417872999997</v>
        <stp/>
        <stp>EM_S_FA_YOY_OR</stp>
        <stp>2</stp>
        <stp>603908</stp>
        <stp>12/31/2018</stp>
        <tr r="H2189" s="1"/>
      </tp>
      <tp>
        <v>12.9957851275</v>
        <stp/>
        <stp>EM_S_FA_YOY_OR</stp>
        <stp>2</stp>
        <stp>603917</stp>
        <stp>12/31/2018</stp>
        <tr r="H2852" s="1"/>
      </tp>
      <tp>
        <v>37.882703875899999</v>
        <stp/>
        <stp>EM_S_FA_YOY_OR</stp>
        <stp>2</stp>
        <stp>603916</stp>
        <stp>12/31/2018</stp>
        <tr r="H639" s="1"/>
      </tp>
      <tp>
        <v>16.202332692100001</v>
        <stp/>
        <stp>EM_S_FA_YOY_OR</stp>
        <stp>2</stp>
        <stp>603912</stp>
        <stp>12/31/2018</stp>
        <tr r="H2116" s="1"/>
      </tp>
      <tp>
        <v>9.723497214</v>
        <stp/>
        <stp>EM_S_FA_YOY_OR</stp>
        <stp>2</stp>
        <stp>603919</stp>
        <stp>12/31/2018</stp>
        <tr r="H540" s="1"/>
      </tp>
      <tp>
        <v>23.815877202500001</v>
        <stp/>
        <stp>EM_S_FA_YOY_OR</stp>
        <stp>2</stp>
        <stp>603918</stp>
        <stp>12/31/2018</stp>
        <tr r="H2585" s="1"/>
      </tp>
      <tp>
        <v>12.136212197300001</v>
        <stp/>
        <stp>EM_S_FA_YOY_OR</stp>
        <stp>2</stp>
        <stp>603286</stp>
        <stp>12/31/2018</stp>
        <tr r="H1812" s="1"/>
      </tp>
      <tp>
        <v>32.379829944500003</v>
        <stp/>
        <stp>EM_S_FA_YOY_OR</stp>
        <stp>2</stp>
        <stp>603283</stp>
        <stp>12/31/2018</stp>
        <tr r="H288" s="1"/>
      </tp>
      <tp>
        <v>12.680724962499999</v>
        <stp/>
        <stp>EM_S_FA_YOY_OR</stp>
        <stp>2</stp>
        <stp>603289</stp>
        <stp>12/31/2018</stp>
        <tr r="H1451" s="1"/>
      </tp>
      <tp>
        <v>16.8</v>
        <stp/>
        <stp>EM_S_FA_YOY_OR</stp>
        <stp>2</stp>
        <stp>603288</stp>
        <stp>12/31/2018</stp>
        <tr r="H469" s="1"/>
      </tp>
      <tp>
        <v>6.2835545143999996</v>
        <stp/>
        <stp>EM_S_FA_YOY_OR</stp>
        <stp>2</stp>
        <stp>603299</stp>
        <stp>12/31/2018</stp>
        <tr r="H852" s="1"/>
      </tp>
      <tp>
        <v>20.5445894715</v>
        <stp/>
        <stp>EM_S_FA_YOY_OR</stp>
        <stp>2</stp>
        <stp>603298</stp>
        <stp>12/31/2018</stp>
        <tr r="H1939" s="1"/>
      </tp>
      <tp>
        <v>8.1309883733999992</v>
        <stp/>
        <stp>EM_S_FA_YOY_OR</stp>
        <stp>2</stp>
        <stp>603266</stp>
        <stp>12/31/2018</stp>
        <tr r="H2948" s="1"/>
      </tp>
      <tp>
        <v>59.3719472282</v>
        <stp/>
        <stp>EM_S_FA_YOY_OR</stp>
        <stp>2</stp>
        <stp>603260</stp>
        <stp>12/31/2018</stp>
        <tr r="H3246" s="1"/>
      </tp>
      <tp>
        <v>6.7963048264000001</v>
        <stp/>
        <stp>EM_S_FA_YOY_OR</stp>
        <stp>2</stp>
        <stp>603269</stp>
        <stp>12/31/2018</stp>
        <tr r="H2502" s="1"/>
      </tp>
      <tp>
        <v>4.0392929106000004</v>
        <stp/>
        <stp>EM_S_FA_YOY_OR</stp>
        <stp>2</stp>
        <stp>603268</stp>
        <stp>12/31/2018</stp>
        <tr r="H2529" s="1"/>
      </tp>
      <tp>
        <v>9.2578589587</v>
        <stp/>
        <stp>EM_S_FA_YOY_OR</stp>
        <stp>2</stp>
        <stp>603277</stp>
        <stp>12/31/2018</stp>
        <tr r="H1326" s="1"/>
      </tp>
      <tp>
        <v>29.406538250899999</v>
        <stp/>
        <stp>EM_S_FA_YOY_OR</stp>
        <stp>2</stp>
        <stp>603278</stp>
        <stp>12/31/2018</stp>
        <tr r="H3255" s="1"/>
      </tp>
      <tp>
        <v>23.803758933600001</v>
        <stp/>
        <stp>EM_S_FA_YOY_OR</stp>
        <stp>2</stp>
        <stp>603259</stp>
        <stp>12/31/2018</stp>
        <tr r="H1205" s="1"/>
      </tp>
      <tp>
        <v>-10.190555248300001</v>
        <stp/>
        <stp>EM_S_FA_YOY_OR</stp>
        <stp>2</stp>
        <stp>603258</stp>
        <stp>12/31/2018</stp>
        <tr r="H727" s="1"/>
      </tp>
      <tp>
        <v>42.221712992</v>
        <stp/>
        <stp>EM_S_FA_YOY_OR</stp>
        <stp>2</stp>
        <stp>603225</stp>
        <stp>12/31/2018</stp>
        <tr r="H3262" s="1"/>
      </tp>
      <tp>
        <v>59.747043253999998</v>
        <stp/>
        <stp>EM_S_FA_YOY_OR</stp>
        <stp>2</stp>
        <stp>603227</stp>
        <stp>12/31/2018</stp>
        <tr r="H1007" s="1"/>
      </tp>
      <tp>
        <v>4.8327895451999998</v>
        <stp/>
        <stp>EM_S_FA_YOY_OR</stp>
        <stp>2</stp>
        <stp>603226</stp>
        <stp>12/31/2018</stp>
        <tr r="H1365" s="1"/>
      </tp>
      <tp>
        <v>47.665508706899999</v>
        <stp/>
        <stp>EM_S_FA_YOY_OR</stp>
        <stp>2</stp>
        <stp>603223</stp>
        <stp>12/31/2018</stp>
        <tr r="H3307" s="1"/>
      </tp>
      <tp>
        <v>15.7460815312</v>
        <stp/>
        <stp>EM_S_FA_YOY_OR</stp>
        <stp>2</stp>
        <stp>603222</stp>
        <stp>12/31/2018</stp>
        <tr r="H29" s="1"/>
      </tp>
      <tp>
        <v>1.5391105512000001</v>
        <stp/>
        <stp>EM_S_FA_YOY_OR</stp>
        <stp>2</stp>
        <stp>603229</stp>
        <stp>12/31/2018</stp>
        <tr r="H274" s="1"/>
      </tp>
      <tp>
        <v>18.929816832</v>
        <stp/>
        <stp>EM_S_FA_YOY_OR</stp>
        <stp>2</stp>
        <stp>603228</stp>
        <stp>12/31/2018</stp>
        <tr r="H2805" s="1"/>
      </tp>
      <tp>
        <v>19.377963207200001</v>
        <stp/>
        <stp>EM_S_FA_YOY_OR</stp>
        <stp>2</stp>
        <stp>603233</stp>
        <stp>12/31/2018</stp>
        <tr r="H958" s="1"/>
      </tp>
      <tp>
        <v>13.5951958282</v>
        <stp/>
        <stp>EM_S_FA_YOY_OR</stp>
        <stp>2</stp>
        <stp>603232</stp>
        <stp>12/31/2018</stp>
        <tr r="H680" s="1"/>
      </tp>
      <tp>
        <v>-3.7744801602</v>
        <stp/>
        <stp>EM_S_FA_YOY_OR</stp>
        <stp>2</stp>
        <stp>603239</stp>
        <stp>12/31/2018</stp>
        <tr r="H1957" s="1"/>
      </tp>
      <tp>
        <v>51.443370908799999</v>
        <stp/>
        <stp>EM_S_FA_YOY_OR</stp>
        <stp>2</stp>
        <stp>603238</stp>
        <stp>12/31/2018</stp>
        <tr r="H2678" s="1"/>
      </tp>
      <tp>
        <v>37.453461062899997</v>
        <stp/>
        <stp>EM_S_FA_YOY_OR</stp>
        <stp>2</stp>
        <stp>603200</stp>
        <stp>12/31/2018</stp>
        <tr r="H3342" s="1"/>
      </tp>
      <tp>
        <v>19.497430947400002</v>
        <stp/>
        <stp>EM_S_FA_YOY_OR</stp>
        <stp>2</stp>
        <stp>603203</stp>
        <stp>12/31/2018</stp>
        <tr r="H761" s="1"/>
      </tp>
      <tp>
        <v>27.0501427769</v>
        <stp/>
        <stp>EM_S_FA_YOY_OR</stp>
        <stp>2</stp>
        <stp>603208</stp>
        <stp>12/31/2018</stp>
        <tr r="H181" s="1"/>
      </tp>
      <tp>
        <v>18.118459378600001</v>
        <stp/>
        <stp>EM_S_FA_YOY_OR</stp>
        <stp>2</stp>
        <stp>603214</stp>
        <stp>12/31/2018</stp>
        <tr r="H1650" s="1"/>
      </tp>
      <tp>
        <v>28.346764946499999</v>
        <stp/>
        <stp>EM_S_FA_YOY_OR</stp>
        <stp>2</stp>
        <stp>603218</stp>
        <stp>12/31/2018</stp>
        <tr r="H1213" s="1"/>
      </tp>
      <tp>
        <v>5.5237913812999997</v>
        <stp/>
        <stp>EM_S_FA_YOY_OR</stp>
        <stp>2</stp>
        <stp>603385</stp>
        <stp>12/31/2018</stp>
        <tr r="H711" s="1"/>
      </tp>
      <tp>
        <v>40.454870115699997</v>
        <stp/>
        <stp>EM_S_FA_YOY_OR</stp>
        <stp>2</stp>
        <stp>603387</stp>
        <stp>12/31/2018</stp>
        <tr r="H2919" s="1"/>
      </tp>
      <tp>
        <v>13.3154634633</v>
        <stp/>
        <stp>EM_S_FA_YOY_OR</stp>
        <stp>2</stp>
        <stp>603386</stp>
        <stp>12/31/2018</stp>
        <tr r="H2198" s="1"/>
      </tp>
      <tp>
        <v>10.2416156038</v>
        <stp/>
        <stp>EM_S_FA_YOY_OR</stp>
        <stp>2</stp>
        <stp>603380</stp>
        <stp>12/31/2018</stp>
        <tr r="H1980" s="1"/>
      </tp>
      <tp>
        <v>21.226590668699998</v>
        <stp/>
        <stp>EM_S_FA_YOY_OR</stp>
        <stp>2</stp>
        <stp>603383</stp>
        <stp>12/31/2018</stp>
        <tr r="H88" s="1"/>
      </tp>
      <tp>
        <v>-27.175187017900001</v>
        <stp/>
        <stp>EM_S_FA_YOY_OR</stp>
        <stp>2</stp>
        <stp>603389</stp>
        <stp>12/31/2018</stp>
        <tr r="H3343" s="1"/>
      </tp>
      <tp>
        <v>47.801796420300001</v>
        <stp/>
        <stp>EM_S_FA_YOY_OR</stp>
        <stp>2</stp>
        <stp>603388</stp>
        <stp>12/31/2018</stp>
        <tr r="H3051" s="1"/>
      </tp>
      <tp>
        <v>32.495398747899998</v>
        <stp/>
        <stp>EM_S_FA_YOY_OR</stp>
        <stp>2</stp>
        <stp>603396</stp>
        <stp>12/31/2018</stp>
        <tr r="H3014" s="1"/>
      </tp>
      <tp>
        <v>60.578062755700003</v>
        <stp/>
        <stp>EM_S_FA_YOY_OR</stp>
        <stp>2</stp>
        <stp>603393</stp>
        <stp>12/31/2018</stp>
        <tr r="H2735" s="1"/>
      </tp>
      <tp>
        <v>69.646859350100002</v>
        <stp/>
        <stp>EM_S_FA_YOY_OR</stp>
        <stp>2</stp>
        <stp>603399</stp>
        <stp>12/31/2018</stp>
        <tr r="H1095" s="1"/>
      </tp>
      <tp>
        <v>17.5828685593</v>
        <stp/>
        <stp>EM_S_FA_YOY_OR</stp>
        <stp>2</stp>
        <stp>603398</stp>
        <stp>12/31/2018</stp>
        <tr r="H2667" s="1"/>
      </tp>
      <tp>
        <v>10.438772588100001</v>
        <stp/>
        <stp>EM_S_FA_YOY_OR</stp>
        <stp>2</stp>
        <stp>603365</stp>
        <stp>12/31/2018</stp>
        <tr r="H2148" s="1"/>
      </tp>
      <tp>
        <v>28.5420146383</v>
        <stp/>
        <stp>EM_S_FA_YOY_OR</stp>
        <stp>2</stp>
        <stp>603367</stp>
        <stp>12/31/2018</stp>
        <tr r="H1963" s="1"/>
      </tp>
      <tp>
        <v>14.108610348799999</v>
        <stp/>
        <stp>EM_S_FA_YOY_OR</stp>
        <stp>2</stp>
        <stp>603366</stp>
        <stp>12/31/2018</stp>
        <tr r="H1104" s="1"/>
      </tp>
      <tp>
        <v>28.707809530900001</v>
        <stp/>
        <stp>EM_S_FA_YOY_OR</stp>
        <stp>2</stp>
        <stp>603360</stp>
        <stp>12/31/2018</stp>
        <tr r="H51" s="1"/>
      </tp>
      <tp>
        <v>17.5258294988</v>
        <stp/>
        <stp>EM_S_FA_YOY_OR</stp>
        <stp>2</stp>
        <stp>603363</stp>
        <stp>12/31/2018</stp>
        <tr r="H230" s="1"/>
      </tp>
      <tp>
        <v>26.550475154000001</v>
        <stp/>
        <stp>EM_S_FA_YOY_OR</stp>
        <stp>2</stp>
        <stp>603369</stp>
        <stp>12/31/2018</stp>
        <tr r="H109" s="1"/>
      </tp>
      <tp>
        <v>24.002868597900001</v>
        <stp/>
        <stp>EM_S_FA_YOY_OR</stp>
        <stp>2</stp>
        <stp>603368</stp>
        <stp>12/31/2018</stp>
        <tr r="H1009" s="1"/>
      </tp>
      <tp>
        <v>-10.4143602698</v>
        <stp/>
        <stp>EM_S_FA_YOY_OR</stp>
        <stp>2</stp>
        <stp>603377</stp>
        <stp>12/31/2018</stp>
        <tr r="H1083" s="1"/>
      </tp>
      <tp>
        <v>22.644410729600001</v>
        <stp/>
        <stp>EM_S_FA_YOY_OR</stp>
        <stp>2</stp>
        <stp>603378</stp>
        <stp>12/31/2018</stp>
        <tr r="H357" s="1"/>
      </tp>
      <tp>
        <v>22.246752475499999</v>
        <stp/>
        <stp>EM_S_FA_YOY_OR</stp>
        <stp>2</stp>
        <stp>603345</stp>
        <stp>12/31/2018</stp>
        <tr r="H351" s="1"/>
      </tp>
      <tp>
        <v>4.0503214825000002</v>
        <stp/>
        <stp>EM_S_FA_YOY_OR</stp>
        <stp>2</stp>
        <stp>603348</stp>
        <stp>12/31/2018</stp>
        <tr r="H2404" s="1"/>
      </tp>
      <tp>
        <v>2.7013634221</v>
        <stp/>
        <stp>EM_S_FA_YOY_OR</stp>
        <stp>2</stp>
        <stp>603355</stp>
        <stp>12/31/2018</stp>
        <tr r="H1769" s="1"/>
      </tp>
      <tp>
        <v>20.0379878255</v>
        <stp/>
        <stp>EM_S_FA_YOY_OR</stp>
        <stp>2</stp>
        <stp>603357</stp>
        <stp>12/31/2018</stp>
        <tr r="H3354" s="1"/>
      </tp>
      <tp>
        <v>43.160328271899999</v>
        <stp/>
        <stp>EM_S_FA_YOY_OR</stp>
        <stp>2</stp>
        <stp>603356</stp>
        <stp>12/31/2018</stp>
        <tr r="H3040" s="1"/>
      </tp>
      <tp>
        <v>30.1718873614</v>
        <stp/>
        <stp>EM_S_FA_YOY_OR</stp>
        <stp>2</stp>
        <stp>603359</stp>
        <stp>12/31/2018</stp>
        <tr r="H2716" s="1"/>
      </tp>
      <tp>
        <v>27.743053736899999</v>
        <stp/>
        <stp>EM_S_FA_YOY_OR</stp>
        <stp>2</stp>
        <stp>603358</stp>
        <stp>12/31/2018</stp>
        <tr r="H844" s="1"/>
      </tp>
      <tp>
        <v>18.2556134704</v>
        <stp/>
        <stp>EM_S_FA_YOY_OR</stp>
        <stp>2</stp>
        <stp>603326</stp>
        <stp>12/31/2018</stp>
        <tr r="H798" s="1"/>
      </tp>
      <tp>
        <v>0.78129179010000005</v>
        <stp/>
        <stp>EM_S_FA_YOY_OR</stp>
        <stp>2</stp>
        <stp>603321</stp>
        <stp>12/31/2018</stp>
        <tr r="H1483" s="1"/>
      </tp>
      <tp>
        <v>-2.8640702544000001</v>
        <stp/>
        <stp>EM_S_FA_YOY_OR</stp>
        <stp>2</stp>
        <stp>603320</stp>
        <stp>12/31/2018</stp>
        <tr r="H2682" s="1"/>
      </tp>
      <tp>
        <v>15.5372853395</v>
        <stp/>
        <stp>EM_S_FA_YOY_OR</stp>
        <stp>2</stp>
        <stp>603323</stp>
        <stp>12/31/2018</stp>
        <tr r="H2888" s="1"/>
      </tp>
      <tp>
        <v>46.980847982500002</v>
        <stp/>
        <stp>EM_S_FA_YOY_OR</stp>
        <stp>2</stp>
        <stp>603322</stp>
        <stp>12/31/2018</stp>
        <tr r="H3308" s="1"/>
      </tp>
      <tp>
        <v>2.9312619516999998</v>
        <stp/>
        <stp>EM_S_FA_YOY_OR</stp>
        <stp>2</stp>
        <stp>603329</stp>
        <stp>12/31/2018</stp>
        <tr r="H2895" s="1"/>
      </tp>
      <tp>
        <v>1.3041659970999999</v>
        <stp/>
        <stp>EM_S_FA_YOY_OR</stp>
        <stp>2</stp>
        <stp>603328</stp>
        <stp>12/31/2018</stp>
        <tr r="H1464" s="1"/>
      </tp>
      <tp>
        <v>1.8943667926000001</v>
        <stp/>
        <stp>EM_S_FA_YOY_OR</stp>
        <stp>2</stp>
        <stp>603335</stp>
        <stp>12/31/2018</stp>
        <tr r="H3070" s="1"/>
      </tp>
      <tp>
        <v>48.979625519099997</v>
        <stp/>
        <stp>EM_S_FA_YOY_OR</stp>
        <stp>2</stp>
        <stp>603337</stp>
        <stp>12/31/2018</stp>
        <tr r="H3338" s="1"/>
      </tp>
      <tp>
        <v>11.554406978199999</v>
        <stp/>
        <stp>EM_S_FA_YOY_OR</stp>
        <stp>2</stp>
        <stp>603336</stp>
        <stp>12/31/2018</stp>
        <tr r="H2819" s="1"/>
      </tp>
      <tp>
        <v>6.4512701779999997</v>
        <stp/>
        <stp>EM_S_FA_YOY_OR</stp>
        <stp>2</stp>
        <stp>603331</stp>
        <stp>12/31/2018</stp>
        <tr r="H1621" s="1"/>
      </tp>
      <tp>
        <v>23.236897678199998</v>
        <stp/>
        <stp>EM_S_FA_YOY_OR</stp>
        <stp>2</stp>
        <stp>603330</stp>
        <stp>12/31/2018</stp>
        <tr r="H3151" s="1"/>
      </tp>
      <tp>
        <v>72.292407822000001</v>
        <stp/>
        <stp>EM_S_FA_YOY_OR</stp>
        <stp>2</stp>
        <stp>603333</stp>
        <stp>12/31/2018</stp>
        <tr r="H196" s="1"/>
      </tp>
      <tp>
        <v>21.990628909600002</v>
        <stp/>
        <stp>EM_S_FA_YOY_OR</stp>
        <stp>2</stp>
        <stp>603339</stp>
        <stp>12/31/2018</stp>
        <tr r="H2771" s="1"/>
      </tp>
      <tp>
        <v>49.891375350700002</v>
        <stp/>
        <stp>EM_S_FA_YOY_OR</stp>
        <stp>2</stp>
        <stp>603338</stp>
        <stp>12/31/2018</stp>
        <tr r="H1029" s="1"/>
      </tp>
      <tp>
        <v>48.274931364300002</v>
        <stp/>
        <stp>EM_S_FA_YOY_OR</stp>
        <stp>2</stp>
        <stp>603305</stp>
        <stp>12/31/2018</stp>
        <tr r="H1751" s="1"/>
      </tp>
      <tp>
        <v>-0.62077576150000002</v>
        <stp/>
        <stp>EM_S_FA_YOY_OR</stp>
        <stp>2</stp>
        <stp>603306</stp>
        <stp>12/31/2018</stp>
        <tr r="H2468" s="1"/>
      </tp>
      <tp>
        <v>9.3700366079999995</v>
        <stp/>
        <stp>EM_S_FA_YOY_OR</stp>
        <stp>2</stp>
        <stp>603301</stp>
        <stp>12/31/2018</stp>
        <tr r="H3245" s="1"/>
      </tp>
      <tp>
        <v>27.993012807500001</v>
        <stp/>
        <stp>EM_S_FA_YOY_OR</stp>
        <stp>2</stp>
        <stp>603300</stp>
        <stp>12/31/2018</stp>
        <tr r="H370" s="1"/>
      </tp>
      <tp>
        <v>-0.89210383969999996</v>
        <stp/>
        <stp>EM_S_FA_YOY_OR</stp>
        <stp>2</stp>
        <stp>603303</stp>
        <stp>12/31/2018</stp>
        <tr r="H2847" s="1"/>
      </tp>
      <tp>
        <v>0</v>
        <stp/>
        <stp>EM_S_FA_YOY_OR</stp>
        <stp>2</stp>
        <stp>603302</stp>
        <stp>12/31/2018</stp>
        <tr r="H14" s="1"/>
      </tp>
      <tp>
        <v>18.406199315399999</v>
        <stp/>
        <stp>EM_S_FA_YOY_OR</stp>
        <stp>2</stp>
        <stp>603309</stp>
        <stp>12/31/2018</stp>
        <tr r="H620" s="1"/>
      </tp>
      <tp>
        <v>22.291178915700002</v>
        <stp/>
        <stp>EM_S_FA_YOY_OR</stp>
        <stp>2</stp>
        <stp>603308</stp>
        <stp>12/31/2018</stp>
        <tr r="H218" s="1"/>
      </tp>
      <tp>
        <v>6.9179412088000003</v>
        <stp/>
        <stp>EM_S_FA_YOY_OR</stp>
        <stp>2</stp>
        <stp>603315</stp>
        <stp>12/31/2018</stp>
        <tr r="H2056" s="1"/>
      </tp>
      <tp>
        <v>3.8866758814</v>
        <stp/>
        <stp>EM_S_FA_YOY_OR</stp>
        <stp>2</stp>
        <stp>603316</stp>
        <stp>12/31/2018</stp>
        <tr r="H1325" s="1"/>
      </tp>
      <tp>
        <v>8.2617082229999994</v>
        <stp/>
        <stp>EM_S_FA_YOY_OR</stp>
        <stp>2</stp>
        <stp>603311</stp>
        <stp>12/31/2018</stp>
        <tr r="H1757" s="1"/>
      </tp>
      <tp>
        <v>30.386041524700001</v>
        <stp/>
        <stp>EM_S_FA_YOY_OR</stp>
        <stp>2</stp>
        <stp>603313</stp>
        <stp>12/31/2018</stp>
        <tr r="H2362" s="1"/>
      </tp>
      <tp>
        <v>11.136597053699999</v>
        <stp/>
        <stp>EM_S_FA_YOY_OR</stp>
        <stp>2</stp>
        <stp>603319</stp>
        <stp>12/31/2018</stp>
        <tr r="H2802" s="1"/>
      </tp>
      <tp>
        <v>-25.074838953699999</v>
        <stp/>
        <stp>EM_S_FA_YOY_OR</stp>
        <stp>2</stp>
        <stp>603318</stp>
        <stp>12/31/2018</stp>
        <tr r="H2674" s="1"/>
      </tp>
      <tp>
        <v>22.331273892599999</v>
        <stp/>
        <stp>EM_S_FA_YOY_OR</stp>
        <stp>2</stp>
        <stp>603085</stp>
        <stp>12/31/2018</stp>
        <tr r="H1947" s="1"/>
      </tp>
      <tp>
        <v>46.207742397600001</v>
        <stp/>
        <stp>EM_S_FA_YOY_OR</stp>
        <stp>2</stp>
        <stp>603086</stp>
        <stp>12/31/2018</stp>
        <tr r="H1630" s="1"/>
      </tp>
      <tp>
        <v>5.1711186534999998</v>
        <stp/>
        <stp>EM_S_FA_YOY_OR</stp>
        <stp>2</stp>
        <stp>603081</stp>
        <stp>12/31/2018</stp>
        <tr r="H617" s="1"/>
      </tp>
      <tp>
        <v>7.8321373416000002</v>
        <stp/>
        <stp>EM_S_FA_YOY_OR</stp>
        <stp>2</stp>
        <stp>603080</stp>
        <stp>12/31/2018</stp>
        <tr r="H3079" s="1"/>
      </tp>
      <tp>
        <v>26.936380374900001</v>
        <stp/>
        <stp>EM_S_FA_YOY_OR</stp>
        <stp>2</stp>
        <stp>603083</stp>
        <stp>12/31/2018</stp>
        <tr r="H1659" s="1"/>
      </tp>
      <tp>
        <v>28.411399046500001</v>
        <stp/>
        <stp>EM_S_FA_YOY_OR</stp>
        <stp>2</stp>
        <stp>603089</stp>
        <stp>12/31/2018</stp>
        <tr r="H2683" s="1"/>
      </tp>
      <tp>
        <v>11.682536818399999</v>
        <stp/>
        <stp>EM_S_FA_YOY_OR</stp>
        <stp>2</stp>
        <stp>603088</stp>
        <stp>12/31/2018</stp>
        <tr r="H3087" s="1"/>
      </tp>
      <tp>
        <v>-1.8984305311</v>
        <stp/>
        <stp>EM_S_FA_YOY_OR</stp>
        <stp>2</stp>
        <stp>603096</stp>
        <stp>12/31/2018</stp>
        <tr r="H2758" s="1"/>
      </tp>
      <tp>
        <v>12.8253915435</v>
        <stp/>
        <stp>EM_S_FA_YOY_OR</stp>
        <stp>2</stp>
        <stp>603090</stp>
        <stp>12/31/2018</stp>
        <tr r="H1077" s="1"/>
      </tp>
      <tp>
        <v>19.446049493299999</v>
        <stp/>
        <stp>EM_S_FA_YOY_OR</stp>
        <stp>2</stp>
        <stp>603099</stp>
        <stp>12/31/2018</stp>
        <tr r="H1625" s="1"/>
      </tp>
      <tp>
        <v>37.2062812928</v>
        <stp/>
        <stp>EM_S_FA_YOY_OR</stp>
        <stp>2</stp>
        <stp>603098</stp>
        <stp>12/31/2018</stp>
        <tr r="H3054" s="1"/>
      </tp>
      <tp>
        <v>18.505909022299999</v>
        <stp/>
        <stp>EM_S_FA_YOY_OR</stp>
        <stp>2</stp>
        <stp>603067</stp>
        <stp>12/31/2018</stp>
        <tr r="H3099" s="1"/>
      </tp>
      <tp>
        <v>15.110308616199999</v>
        <stp/>
        <stp>EM_S_FA_YOY_OR</stp>
        <stp>2</stp>
        <stp>603066</stp>
        <stp>12/31/2018</stp>
        <tr r="H1845" s="1"/>
      </tp>
      <tp>
        <v>24.5742192234</v>
        <stp/>
        <stp>EM_S_FA_YOY_OR</stp>
        <stp>2</stp>
        <stp>603060</stp>
        <stp>12/31/2018</stp>
        <tr r="H1134" s="1"/>
      </tp>
      <tp>
        <v>34.534773159399997</v>
        <stp/>
        <stp>EM_S_FA_YOY_OR</stp>
        <stp>2</stp>
        <stp>603063</stp>
        <stp>12/31/2018</stp>
        <tr r="H636" s="1"/>
      </tp>
      <tp>
        <v>1.0645972105999999</v>
        <stp/>
        <stp>EM_S_FA_YOY_OR</stp>
        <stp>2</stp>
        <stp>603069</stp>
        <stp>12/31/2018</stp>
        <tr r="H464" s="1"/>
      </tp>
      <tp>
        <v>26.8355451907</v>
        <stp/>
        <stp>EM_S_FA_YOY_OR</stp>
        <stp>2</stp>
        <stp>603077</stp>
        <stp>12/31/2018</stp>
        <tr r="H2778" s="1"/>
      </tp>
      <tp>
        <v>16.761992541800002</v>
        <stp/>
        <stp>EM_S_FA_YOY_OR</stp>
        <stp>2</stp>
        <stp>603076</stp>
        <stp>12/31/2018</stp>
        <tr r="H2382" s="1"/>
      </tp>
      <tp>
        <v>-3.1168838460999999</v>
        <stp/>
        <stp>EM_S_FA_YOY_OR</stp>
        <stp>2</stp>
        <stp>603079</stp>
        <stp>12/31/2018</stp>
        <tr r="H90" s="1"/>
      </tp>
      <tp>
        <v>8.2970917113000002</v>
        <stp/>
        <stp>EM_S_FA_YOY_OR</stp>
        <stp>2</stp>
        <stp>603078</stp>
        <stp>12/31/2018</stp>
        <tr r="H1260" s="1"/>
      </tp>
      <tp>
        <v>5.6221007970999999</v>
        <stp/>
        <stp>EM_S_FA_YOY_OR</stp>
        <stp>2</stp>
        <stp>603045</stp>
        <stp>12/31/2018</stp>
        <tr r="H3358" s="1"/>
      </tp>
      <tp>
        <v>1.2987443006999999</v>
        <stp/>
        <stp>EM_S_FA_YOY_OR</stp>
        <stp>2</stp>
        <stp>603041</stp>
        <stp>12/31/2018</stp>
        <tr r="H1218" s="1"/>
      </tp>
      <tp>
        <v>11.110193817700001</v>
        <stp/>
        <stp>EM_S_FA_YOY_OR</stp>
        <stp>2</stp>
        <stp>603040</stp>
        <stp>12/31/2018</stp>
        <tr r="H891" s="1"/>
      </tp>
      <tp>
        <v>15.8923121234</v>
        <stp/>
        <stp>EM_S_FA_YOY_OR</stp>
        <stp>2</stp>
        <stp>603043</stp>
        <stp>12/31/2018</stp>
        <tr r="H1672" s="1"/>
      </tp>
      <tp>
        <v>-8.3770026467999994</v>
        <stp/>
        <stp>EM_S_FA_YOY_OR</stp>
        <stp>2</stp>
        <stp>603042</stp>
        <stp>12/31/2018</stp>
        <tr r="H2387" s="1"/>
      </tp>
      <tp>
        <v>9.0085134674000003</v>
        <stp/>
        <stp>EM_S_FA_YOY_OR</stp>
        <stp>2</stp>
        <stp>603055</stp>
        <stp>12/31/2018</stp>
        <tr r="H3266" s="1"/>
      </tp>
      <tp>
        <v>13.1459570952</v>
        <stp/>
        <stp>EM_S_FA_YOY_OR</stp>
        <stp>2</stp>
        <stp>603056</stp>
        <stp>12/31/2018</stp>
        <tr r="H3254" s="1"/>
      </tp>
      <tp>
        <v>25.908884520499999</v>
        <stp/>
        <stp>EM_S_FA_YOY_OR</stp>
        <stp>2</stp>
        <stp>603050</stp>
        <stp>12/31/2018</stp>
        <tr r="H2950" s="1"/>
      </tp>
      <tp>
        <v>12.951307351000001</v>
        <stp/>
        <stp>EM_S_FA_YOY_OR</stp>
        <stp>2</stp>
        <stp>603059</stp>
        <stp>12/31/2018</stp>
        <tr r="H2986" s="1"/>
      </tp>
      <tp>
        <v>29.1029602162</v>
        <stp/>
        <stp>EM_S_FA_YOY_OR</stp>
        <stp>2</stp>
        <stp>603058</stp>
        <stp>12/31/2018</stp>
        <tr r="H3088" s="1"/>
      </tp>
      <tp>
        <v>1.6703636336000001</v>
        <stp/>
        <stp>EM_S_FA_YOY_OR</stp>
        <stp>2</stp>
        <stp>603025</stp>
        <stp>12/31/2018</stp>
        <tr r="H2951" s="1"/>
      </tp>
      <tp>
        <v>12.3689887095</v>
        <stp/>
        <stp>EM_S_FA_YOY_OR</stp>
        <stp>2</stp>
        <stp>603027</stp>
        <stp>12/31/2018</stp>
        <tr r="H783" s="1"/>
      </tp>
      <tp>
        <v>11.7377837478</v>
        <stp/>
        <stp>EM_S_FA_YOY_OR</stp>
        <stp>2</stp>
        <stp>603026</stp>
        <stp>12/31/2018</stp>
        <tr r="H220" s="1"/>
      </tp>
      <tp>
        <v>2.2247709808999998</v>
        <stp/>
        <stp>EM_S_FA_YOY_OR</stp>
        <stp>2</stp>
        <stp>603021</stp>
        <stp>12/31/2018</stp>
        <tr r="H717" s="1"/>
      </tp>
      <tp>
        <v>7.5200643712000002</v>
        <stp/>
        <stp>EM_S_FA_YOY_OR</stp>
        <stp>2</stp>
        <stp>603020</stp>
        <stp>12/31/2018</stp>
        <tr r="H1717" s="1"/>
      </tp>
      <tp>
        <v>1.3468127427000001</v>
        <stp/>
        <stp>EM_S_FA_YOY_OR</stp>
        <stp>2</stp>
        <stp>603023</stp>
        <stp>12/31/2018</stp>
        <tr r="H2040" s="1"/>
      </tp>
      <tp>
        <v>11.179507386599999</v>
        <stp/>
        <stp>EM_S_FA_YOY_OR</stp>
        <stp>2</stp>
        <stp>603022</stp>
        <stp>12/31/2018</stp>
        <tr r="H185" s="1"/>
      </tp>
      <tp>
        <v>8.1890149910000005</v>
        <stp/>
        <stp>EM_S_FA_YOY_OR</stp>
        <stp>2</stp>
        <stp>603029</stp>
        <stp>12/31/2018</stp>
        <tr r="H1695" s="1"/>
      </tp>
      <tp>
        <v>-1.3275930886</v>
        <stp/>
        <stp>EM_S_FA_YOY_OR</stp>
        <stp>2</stp>
        <stp>603028</stp>
        <stp>12/31/2018</stp>
        <tr r="H383" s="1"/>
      </tp>
      <tp>
        <v>9.2943859676000002</v>
        <stp/>
        <stp>EM_S_FA_YOY_OR</stp>
        <stp>2</stp>
        <stp>603035</stp>
        <stp>12/31/2018</stp>
        <tr r="H1913" s="1"/>
      </tp>
      <tp>
        <v>21.974557080099999</v>
        <stp/>
        <stp>EM_S_FA_YOY_OR</stp>
        <stp>2</stp>
        <stp>603037</stp>
        <stp>12/31/2018</stp>
        <tr r="H2448" s="1"/>
      </tp>
      <tp>
        <v>22.265774715300001</v>
        <stp/>
        <stp>EM_S_FA_YOY_OR</stp>
        <stp>2</stp>
        <stp>603036</stp>
        <stp>12/31/2018</stp>
        <tr r="H2651" s="1"/>
      </tp>
      <tp>
        <v>5.7261713033000001</v>
        <stp/>
        <stp>EM_S_FA_YOY_OR</stp>
        <stp>2</stp>
        <stp>603031</stp>
        <stp>12/31/2018</stp>
        <tr r="H225" s="1"/>
      </tp>
      <tp>
        <v>40.983763677399999</v>
        <stp/>
        <stp>EM_S_FA_YOY_OR</stp>
        <stp>2</stp>
        <stp>603030</stp>
        <stp>12/31/2018</stp>
        <tr r="H1545" s="1"/>
      </tp>
      <tp>
        <v>12.6878210663</v>
        <stp/>
        <stp>EM_S_FA_YOY_OR</stp>
        <stp>2</stp>
        <stp>603033</stp>
        <stp>12/31/2018</stp>
        <tr r="H2572" s="1"/>
      </tp>
      <tp>
        <v>-13.6668910217</v>
        <stp/>
        <stp>EM_S_FA_YOY_OR</stp>
        <stp>2</stp>
        <stp>603032</stp>
        <stp>12/31/2018</stp>
        <tr r="H3116" s="1"/>
      </tp>
      <tp>
        <v>42.512863380500001</v>
        <stp/>
        <stp>EM_S_FA_YOY_OR</stp>
        <stp>2</stp>
        <stp>603039</stp>
        <stp>12/31/2018</stp>
        <tr r="H3129" s="1"/>
      </tp>
      <tp>
        <v>16.093735675200001</v>
        <stp/>
        <stp>EM_S_FA_YOY_OR</stp>
        <stp>2</stp>
        <stp>603038</stp>
        <stp>12/31/2018</stp>
        <tr r="H2833" s="1"/>
      </tp>
      <tp>
        <v>-9.9471905001999996</v>
        <stp/>
        <stp>EM_S_FA_YOY_OR</stp>
        <stp>2</stp>
        <stp>603005</stp>
        <stp>12/31/2018</stp>
        <tr r="H98" s="1"/>
      </tp>
      <tp>
        <v>21.948403776900001</v>
        <stp/>
        <stp>EM_S_FA_YOY_OR</stp>
        <stp>2</stp>
        <stp>603007</stp>
        <stp>12/31/2018</stp>
        <tr r="H2914" s="1"/>
      </tp>
      <tp>
        <v>0.98444396050000005</v>
        <stp/>
        <stp>EM_S_FA_YOY_OR</stp>
        <stp>2</stp>
        <stp>603006</stp>
        <stp>12/31/2018</stp>
        <tr r="H1371" s="1"/>
      </tp>
      <tp>
        <v>-6.7003736925000004</v>
        <stp/>
        <stp>EM_S_FA_YOY_OR</stp>
        <stp>2</stp>
        <stp>603001</stp>
        <stp>12/31/2018</stp>
        <tr r="H2795" s="1"/>
      </tp>
      <tp>
        <v>20.958073627800001</v>
        <stp/>
        <stp>EM_S_FA_YOY_OR</stp>
        <stp>2</stp>
        <stp>603000</stp>
        <stp>12/31/2018</stp>
        <tr r="H61" s="1"/>
      </tp>
      <tp>
        <v>-4.7296175984</v>
        <stp/>
        <stp>EM_S_FA_YOY_OR</stp>
        <stp>2</stp>
        <stp>603003</stp>
        <stp>12/31/2018</stp>
        <tr r="H1217" s="1"/>
      </tp>
      <tp>
        <v>45.820968958000002</v>
        <stp/>
        <stp>EM_S_FA_YOY_OR</stp>
        <stp>2</stp>
        <stp>603002</stp>
        <stp>12/31/2018</stp>
        <tr r="H1090" s="1"/>
      </tp>
      <tp>
        <v>36.746494785099998</v>
        <stp/>
        <stp>EM_S_FA_YOY_OR</stp>
        <stp>2</stp>
        <stp>603009</stp>
        <stp>12/31/2018</stp>
        <tr r="H1875" s="1"/>
      </tp>
      <tp>
        <v>32.113638443699998</v>
        <stp/>
        <stp>EM_S_FA_YOY_OR</stp>
        <stp>2</stp>
        <stp>603008</stp>
        <stp>12/31/2018</stp>
        <tr r="H376" s="1"/>
      </tp>
      <tp>
        <v>-6.4448837058999997</v>
        <stp/>
        <stp>EM_S_FA_YOY_OR</stp>
        <stp>2</stp>
        <stp>603015</stp>
        <stp>12/31/2018</stp>
        <tr r="H1933" s="1"/>
      </tp>
      <tp>
        <v>28.318255312400002</v>
        <stp/>
        <stp>EM_S_FA_YOY_OR</stp>
        <stp>2</stp>
        <stp>603017</stp>
        <stp>12/31/2018</stp>
        <tr r="H1945" s="1"/>
      </tp>
      <tp>
        <v>9.6450910823000005</v>
        <stp/>
        <stp>EM_S_FA_YOY_OR</stp>
        <stp>2</stp>
        <stp>603016</stp>
        <stp>12/31/2018</stp>
        <tr r="H2520" s="1"/>
      </tp>
      <tp>
        <v>9.5342620214</v>
        <stp/>
        <stp>EM_S_FA_YOY_OR</stp>
        <stp>2</stp>
        <stp>603011</stp>
        <stp>12/31/2018</stp>
        <tr r="H1463" s="1"/>
      </tp>
      <tp>
        <v>17.629892098199999</v>
        <stp/>
        <stp>EM_S_FA_YOY_OR</stp>
        <stp>2</stp>
        <stp>603010</stp>
        <stp>12/31/2018</stp>
        <tr r="H3049" s="1"/>
      </tp>
      <tp>
        <v>10.935163559899999</v>
        <stp/>
        <stp>EM_S_FA_YOY_OR</stp>
        <stp>2</stp>
        <stp>603013</stp>
        <stp>12/31/2018</stp>
        <tr r="H2867" s="1"/>
      </tp>
      <tp>
        <v>28.234776500500001</v>
        <stp/>
        <stp>EM_S_FA_YOY_OR</stp>
        <stp>2</stp>
        <stp>603012</stp>
        <stp>12/31/2018</stp>
        <tr r="H1606" s="1"/>
      </tp>
      <tp>
        <v>43.891929365499998</v>
        <stp/>
        <stp>EM_S_FA_YOY_OR</stp>
        <stp>2</stp>
        <stp>603019</stp>
        <stp>12/31/2018</stp>
        <tr r="H2496" s="1"/>
      </tp>
      <tp>
        <v>51.228450357</v>
        <stp/>
        <stp>EM_S_FA_YOY_OR</stp>
        <stp>2</stp>
        <stp>603018</stp>
        <stp>12/31/2018</stp>
        <tr r="H3325" s="1"/>
      </tp>
      <tp>
        <v>10.8540261781</v>
        <stp/>
        <stp>EM_S_FA_YOY_OR</stp>
        <stp>2</stp>
        <stp>603186</stp>
        <stp>12/31/2018</stp>
        <tr r="H82" s="1"/>
      </tp>
      <tp>
        <v>2.1481527421000002</v>
        <stp/>
        <stp>EM_S_FA_YOY_OR</stp>
        <stp>2</stp>
        <stp>603181</stp>
        <stp>12/31/2018</stp>
        <tr r="H1219" s="1"/>
      </tp>
      <tp>
        <v>18.010873281799999</v>
        <stp/>
        <stp>EM_S_FA_YOY_OR</stp>
        <stp>2</stp>
        <stp>603180</stp>
        <stp>12/31/2018</stp>
        <tr r="H1458" s="1"/>
      </tp>
      <tp>
        <v>11.400705374799999</v>
        <stp/>
        <stp>EM_S_FA_YOY_OR</stp>
        <stp>2</stp>
        <stp>603183</stp>
        <stp>12/31/2018</stp>
        <tr r="H3318" s="1"/>
      </tp>
      <tp>
        <v>2.6380195870000001</v>
        <stp/>
        <stp>EM_S_FA_YOY_OR</stp>
        <stp>2</stp>
        <stp>603189</stp>
        <stp>12/31/2018</stp>
        <tr r="H591" s="1"/>
      </tp>
      <tp>
        <v>-35.929650606999999</v>
        <stp/>
        <stp>EM_S_FA_YOY_OR</stp>
        <stp>2</stp>
        <stp>603188</stp>
        <stp>12/31/2018</stp>
        <tr r="H2816" s="1"/>
      </tp>
      <tp>
        <v>10.7683917411</v>
        <stp/>
        <stp>EM_S_FA_YOY_OR</stp>
        <stp>2</stp>
        <stp>603197</stp>
        <stp>12/31/2018</stp>
        <tr r="H545" s="1"/>
      </tp>
      <tp>
        <v>5.4645991239000002</v>
        <stp/>
        <stp>EM_S_FA_YOY_OR</stp>
        <stp>2</stp>
        <stp>603196</stp>
        <stp>12/31/2018</stp>
        <tr r="H3158" s="1"/>
      </tp>
      <tp>
        <v>8.7357459383999991</v>
        <stp/>
        <stp>EM_S_FA_YOY_OR</stp>
        <stp>2</stp>
        <stp>603199</stp>
        <stp>12/31/2018</stp>
        <tr r="H1084" s="1"/>
      </tp>
      <tp>
        <v>11.1656173122</v>
        <stp/>
        <stp>EM_S_FA_YOY_OR</stp>
        <stp>2</stp>
        <stp>603198</stp>
        <stp>12/31/2018</stp>
        <tr r="H704" s="1"/>
      </tp>
      <tp>
        <v>2.6811629086000002</v>
        <stp/>
        <stp>EM_S_FA_YOY_OR</stp>
        <stp>2</stp>
        <stp>603165</stp>
        <stp>12/31/2018</stp>
        <tr r="H1558" s="1"/>
      </tp>
      <tp>
        <v>10.4052460236</v>
        <stp/>
        <stp>EM_S_FA_YOY_OR</stp>
        <stp>2</stp>
        <stp>603167</stp>
        <stp>12/31/2018</stp>
        <tr r="H1235" s="1"/>
      </tp>
      <tp>
        <v>5.3451719744000004</v>
        <stp/>
        <stp>EM_S_FA_YOY_OR</stp>
        <stp>2</stp>
        <stp>603166</stp>
        <stp>12/31/2018</stp>
        <tr r="H1347" s="1"/>
      </tp>
      <tp>
        <v>50.093474493199999</v>
        <stp/>
        <stp>EM_S_FA_YOY_OR</stp>
        <stp>2</stp>
        <stp>603161</stp>
        <stp>12/31/2018</stp>
        <tr r="H2902" s="1"/>
      </tp>
      <tp>
        <v>1.0782659267000001</v>
        <stp/>
        <stp>EM_S_FA_YOY_OR</stp>
        <stp>2</stp>
        <stp>603160</stp>
        <stp>12/31/2018</stp>
        <tr r="H70" s="1"/>
      </tp>
      <tp>
        <v>-14.6785456684</v>
        <stp/>
        <stp>EM_S_FA_YOY_OR</stp>
        <stp>2</stp>
        <stp>603169</stp>
        <stp>12/31/2018</stp>
        <tr r="H821" s="1"/>
      </tp>
      <tp>
        <v>-35.302093463200002</v>
        <stp/>
        <stp>EM_S_FA_YOY_OR</stp>
        <stp>2</stp>
        <stp>603168</stp>
        <stp>12/31/2018</stp>
        <tr r="H1079" s="1"/>
      </tp>
      <tp>
        <v>-6.5949198418000003</v>
        <stp/>
        <stp>EM_S_FA_YOY_OR</stp>
        <stp>2</stp>
        <stp>603177</stp>
        <stp>12/31/2018</stp>
        <tr r="H1680" s="1"/>
      </tp>
      <tp>
        <v>10.013389006400001</v>
        <stp/>
        <stp>EM_S_FA_YOY_OR</stp>
        <stp>2</stp>
        <stp>603179</stp>
        <stp>12/31/2018</stp>
        <tr r="H1445" s="1"/>
      </tp>
      <tp>
        <v>-16.807356165600002</v>
        <stp/>
        <stp>EM_S_FA_YOY_OR</stp>
        <stp>2</stp>
        <stp>603178</stp>
        <stp>12/31/2018</stp>
        <tr r="H1243" s="1"/>
      </tp>
      <tp>
        <v>13.081254210999999</v>
        <stp/>
        <stp>EM_S_FA_YOY_OR</stp>
        <stp>2</stp>
        <stp>603157</stp>
        <stp>12/31/2018</stp>
        <tr r="H3240" s="1"/>
      </tp>
      <tp>
        <v>5.2148499740999998</v>
        <stp/>
        <stp>EM_S_FA_YOY_OR</stp>
        <stp>2</stp>
        <stp>603156</stp>
        <stp>12/31/2018</stp>
        <tr r="H3226" s="1"/>
      </tp>
      <tp>
        <v>11.065194934699999</v>
        <stp/>
        <stp>EM_S_FA_YOY_OR</stp>
        <stp>2</stp>
        <stp>603159</stp>
        <stp>12/31/2018</stp>
        <tr r="H3276" s="1"/>
      </tp>
      <tp>
        <v>12.649815870799999</v>
        <stp/>
        <stp>EM_S_FA_YOY_OR</stp>
        <stp>2</stp>
        <stp>603158</stp>
        <stp>12/31/2018</stp>
        <tr r="H2653" s="1"/>
      </tp>
      <tp>
        <v>35.687587773700002</v>
        <stp/>
        <stp>EM_S_FA_YOY_OR</stp>
        <stp>2</stp>
        <stp>603127</stp>
        <stp>12/31/2018</stp>
        <tr r="H1307" s="1"/>
      </tp>
      <tp>
        <v>11.263659426</v>
        <stp/>
        <stp>EM_S_FA_YOY_OR</stp>
        <stp>2</stp>
        <stp>603126</stp>
        <stp>12/31/2018</stp>
        <tr r="H2549" s="1"/>
      </tp>
      <tp>
        <v>-1.4275026045000001</v>
        <stp/>
        <stp>EM_S_FA_YOY_OR</stp>
        <stp>2</stp>
        <stp>603123</stp>
        <stp>12/31/2018</stp>
        <tr r="H1396" s="1"/>
      </tp>
      <tp>
        <v>40.027847560600001</v>
        <stp/>
        <stp>EM_S_FA_YOY_OR</stp>
        <stp>2</stp>
        <stp>603129</stp>
        <stp>12/31/2018</stp>
        <tr r="H76" s="1"/>
      </tp>
      <tp>
        <v>8.3771321938999996</v>
        <stp/>
        <stp>EM_S_FA_YOY_OR</stp>
        <stp>2</stp>
        <stp>603128</stp>
        <stp>12/31/2018</stp>
        <tr r="H1380" s="1"/>
      </tp>
      <tp>
        <v>6.2390537760000004</v>
        <stp/>
        <stp>EM_S_FA_YOY_OR</stp>
        <stp>2</stp>
        <stp>603136</stp>
        <stp>12/31/2018</stp>
        <tr r="H2787" s="1"/>
      </tp>
      <tp>
        <v>21.219639184999998</v>
        <stp/>
        <stp>EM_S_FA_YOY_OR</stp>
        <stp>2</stp>
        <stp>603131</stp>
        <stp>12/31/2018</stp>
        <tr r="H2818" s="1"/>
      </tp>
      <tp>
        <v>8.4394943932000004</v>
        <stp/>
        <stp>EM_S_FA_YOY_OR</stp>
        <stp>2</stp>
        <stp>603133</stp>
        <stp>12/31/2018</stp>
        <tr r="H506" s="1"/>
      </tp>
      <tp>
        <v>2.3323638361999999</v>
        <stp/>
        <stp>EM_S_FA_YOY_OR</stp>
        <stp>2</stp>
        <stp>603139</stp>
        <stp>12/31/2018</stp>
        <tr r="H1742" s="1"/>
      </tp>
      <tp>
        <v>3.6150990744999998</v>
        <stp/>
        <stp>EM_S_FA_YOY_OR</stp>
        <stp>2</stp>
        <stp>603138</stp>
        <stp>12/31/2018</stp>
        <tr r="H2938" s="1"/>
      </tp>
      <tp>
        <v>-58.972800521800004</v>
        <stp/>
        <stp>EM_S_FA_YOY_OR</stp>
        <stp>2</stp>
        <stp>603105</stp>
        <stp>12/31/2018</stp>
        <tr r="H3344" s="1"/>
      </tp>
      <tp>
        <v>-34.352710234699998</v>
        <stp/>
        <stp>EM_S_FA_YOY_OR</stp>
        <stp>2</stp>
        <stp>603106</stp>
        <stp>12/31/2018</stp>
        <tr r="H2923" s="1"/>
      </tp>
      <tp>
        <v>19.725293776499999</v>
        <stp/>
        <stp>EM_S_FA_YOY_OR</stp>
        <stp>2</stp>
        <stp>603101</stp>
        <stp>12/31/2018</stp>
        <tr r="H3340" s="1"/>
      </tp>
      <tp>
        <v>13.7457078426</v>
        <stp/>
        <stp>EM_S_FA_YOY_OR</stp>
        <stp>2</stp>
        <stp>603100</stp>
        <stp>12/31/2018</stp>
        <tr r="H1357" s="1"/>
      </tp>
      <tp>
        <v>8.2181005460000005</v>
        <stp/>
        <stp>EM_S_FA_YOY_OR</stp>
        <stp>2</stp>
        <stp>603103</stp>
        <stp>12/31/2018</stp>
        <tr r="H2987" s="1"/>
      </tp>
      <tp>
        <v>38.101454859500002</v>
        <stp/>
        <stp>EM_S_FA_YOY_OR</stp>
        <stp>2</stp>
        <stp>603108</stp>
        <stp>12/31/2018</stp>
        <tr r="H803" s="1"/>
      </tp>
      <tp>
        <v>39.4547020057</v>
        <stp/>
        <stp>EM_S_FA_YOY_OR</stp>
        <stp>2</stp>
        <stp>603117</stp>
        <stp>12/31/2018</stp>
        <tr r="H1955" s="1"/>
      </tp>
      <tp>
        <v>-6.2897945579999996</v>
        <stp/>
        <stp>EM_S_FA_YOY_OR</stp>
        <stp>2</stp>
        <stp>603116</stp>
        <stp>12/31/2018</stp>
        <tr r="H2418" s="1"/>
      </tp>
      <tp>
        <v>41.261950685999999</v>
        <stp/>
        <stp>EM_S_FA_YOY_OR</stp>
        <stp>2</stp>
        <stp>603111</stp>
        <stp>12/31/2018</stp>
        <tr r="H948" s="1"/>
      </tp>
      <tp>
        <v>-0.6924922926</v>
        <stp/>
        <stp>EM_S_FA_YOY_OR</stp>
        <stp>2</stp>
        <stp>603110</stp>
        <stp>12/31/2018</stp>
        <tr r="H453" s="1"/>
      </tp>
      <tp>
        <v>32.472170763400001</v>
        <stp/>
        <stp>EM_S_FA_YOY_OR</stp>
        <stp>2</stp>
        <stp>603113</stp>
        <stp>12/31/2018</stp>
        <tr r="H2475" s="1"/>
      </tp>
      <tp>
        <v>10.305502837400001</v>
        <stp/>
        <stp>EM_S_FA_YOY_OR</stp>
        <stp>2</stp>
        <stp>603118</stp>
        <stp>12/31/2018</stp>
        <tr r="H261" s="1"/>
      </tp>
      <tp>
        <v>12.9088621663</v>
        <stp/>
        <stp>EM_S_FA_YOY_OR</stp>
        <stp>2</stp>
        <stp>603685</stp>
        <stp>12/31/2018</stp>
        <tr r="H2615" s="1"/>
      </tp>
      <tp>
        <v>11.6293358189</v>
        <stp/>
        <stp>EM_S_FA_YOY_OR</stp>
        <stp>2</stp>
        <stp>603686</stp>
        <stp>12/31/2018</stp>
        <tr r="H2229" s="1"/>
      </tp>
      <tp>
        <v>10.1057023784</v>
        <stp/>
        <stp>EM_S_FA_YOY_OR</stp>
        <stp>2</stp>
        <stp>603680</stp>
        <stp>12/31/2018</stp>
        <tr r="H3264" s="1"/>
      </tp>
      <tp>
        <v>21.079727226599999</v>
        <stp/>
        <stp>EM_S_FA_YOY_OR</stp>
        <stp>2</stp>
        <stp>603683</stp>
        <stp>12/31/2018</stp>
        <tr r="H2437" s="1"/>
      </tp>
      <tp>
        <v>26.069514295499999</v>
        <stp/>
        <stp>EM_S_FA_YOY_OR</stp>
        <stp>2</stp>
        <stp>603689</stp>
        <stp>12/31/2018</stp>
        <tr r="H2038" s="1"/>
      </tp>
      <tp>
        <v>12.462034254600001</v>
        <stp/>
        <stp>EM_S_FA_YOY_OR</stp>
        <stp>2</stp>
        <stp>603688</stp>
        <stp>12/31/2018</stp>
        <tr r="H342" s="1"/>
      </tp>
      <tp>
        <v>33.581140980699999</v>
        <stp/>
        <stp>EM_S_FA_YOY_OR</stp>
        <stp>2</stp>
        <stp>603696</stp>
        <stp>12/31/2018</stp>
        <tr r="H2853" s="1"/>
      </tp>
      <tp>
        <v>82.641828613200005</v>
        <stp/>
        <stp>EM_S_FA_YOY_OR</stp>
        <stp>2</stp>
        <stp>603690</stp>
        <stp>12/31/2018</stp>
        <tr r="H133" s="1"/>
      </tp>
      <tp>
        <v>3.8878232880999999</v>
        <stp/>
        <stp>EM_S_FA_YOY_OR</stp>
        <stp>2</stp>
        <stp>603693</stp>
        <stp>12/31/2018</stp>
        <tr r="H3179" s="1"/>
      </tp>
      <tp>
        <v>16.104411578200001</v>
        <stp/>
        <stp>EM_S_FA_YOY_OR</stp>
        <stp>2</stp>
        <stp>603699</stp>
        <stp>12/31/2018</stp>
        <tr r="H1395" s="1"/>
      </tp>
      <tp>
        <v>33.174489806399997</v>
        <stp/>
        <stp>EM_S_FA_YOY_OR</stp>
        <stp>2</stp>
        <stp>603698</stp>
        <stp>12/31/2018</stp>
        <tr r="H2873" s="1"/>
      </tp>
      <tp>
        <v>18.002767908100001</v>
        <stp/>
        <stp>EM_S_FA_YOY_OR</stp>
        <stp>2</stp>
        <stp>603665</stp>
        <stp>12/31/2018</stp>
        <tr r="H3001" s="1"/>
      </tp>
      <tp>
        <v>19.877837956099999</v>
        <stp/>
        <stp>EM_S_FA_YOY_OR</stp>
        <stp>2</stp>
        <stp>603667</stp>
        <stp>12/31/2018</stp>
        <tr r="H1247" s="1"/>
      </tp>
      <tp>
        <v>35.0990905134</v>
        <stp/>
        <stp>EM_S_FA_YOY_OR</stp>
        <stp>2</stp>
        <stp>603666</stp>
        <stp>12/31/2018</stp>
        <tr r="H575" s="1"/>
      </tp>
      <tp>
        <v>22.2542696567</v>
        <stp/>
        <stp>EM_S_FA_YOY_OR</stp>
        <stp>2</stp>
        <stp>603661</stp>
        <stp>12/31/2018</stp>
        <tr r="H578" s="1"/>
      </tp>
      <tp>
        <v>34.413794136299998</v>
        <stp/>
        <stp>EM_S_FA_YOY_OR</stp>
        <stp>2</stp>
        <stp>603660</stp>
        <stp>12/31/2018</stp>
        <tr r="H3259" s="1"/>
      </tp>
      <tp>
        <v>46.7549459058</v>
        <stp/>
        <stp>EM_S_FA_YOY_OR</stp>
        <stp>2</stp>
        <stp>603663</stp>
        <stp>12/31/2018</stp>
        <tr r="H3084" s="1"/>
      </tp>
      <tp>
        <v>66.0993544934</v>
        <stp/>
        <stp>EM_S_FA_YOY_OR</stp>
        <stp>2</stp>
        <stp>603669</stp>
        <stp>12/31/2018</stp>
        <tr r="H3197" s="1"/>
      </tp>
      <tp>
        <v>32.545515023599997</v>
        <stp/>
        <stp>EM_S_FA_YOY_OR</stp>
        <stp>2</stp>
        <stp>603668</stp>
        <stp>12/31/2018</stp>
        <tr r="H1555" s="1"/>
      </tp>
      <tp>
        <v>6.8899598490000002</v>
        <stp/>
        <stp>EM_S_FA_YOY_OR</stp>
        <stp>2</stp>
        <stp>603677</stp>
        <stp>12/31/2018</stp>
        <tr r="H2785" s="1"/>
      </tp>
      <tp>
        <v>77.5351206725</v>
        <stp/>
        <stp>EM_S_FA_YOY_OR</stp>
        <stp>2</stp>
        <stp>603676</stp>
        <stp>12/31/2018</stp>
        <tr r="H2673" s="1"/>
      </tp>
      <tp>
        <v>9.6228949841000002</v>
        <stp/>
        <stp>EM_S_FA_YOY_OR</stp>
        <stp>2</stp>
        <stp>603679</stp>
        <stp>12/31/2018</stp>
        <tr r="H247" s="1"/>
      </tp>
      <tp>
        <v>7.2142143881000003</v>
        <stp/>
        <stp>EM_S_FA_YOY_OR</stp>
        <stp>2</stp>
        <stp>603678</stp>
        <stp>12/31/2018</stp>
        <tr r="H631" s="1"/>
      </tp>
      <tp>
        <v>7.1727355926999996</v>
        <stp/>
        <stp>EM_S_FA_YOY_OR</stp>
        <stp>2</stp>
        <stp>603648</stp>
        <stp>12/31/2018</stp>
        <tr r="H2597" s="1"/>
      </tp>
      <tp>
        <v>-7.0188884674000001</v>
        <stp/>
        <stp>EM_S_FA_YOY_OR</stp>
        <stp>2</stp>
        <stp>603655</stp>
        <stp>12/31/2018</stp>
        <tr r="H604" s="1"/>
      </tp>
      <tp>
        <v>5.7635426264999996</v>
        <stp/>
        <stp>EM_S_FA_YOY_OR</stp>
        <stp>2</stp>
        <stp>603656</stp>
        <stp>12/31/2018</stp>
        <tr r="H1868" s="1"/>
      </tp>
      <tp>
        <v>14.410369936</v>
        <stp/>
        <stp>EM_S_FA_YOY_OR</stp>
        <stp>2</stp>
        <stp>603650</stp>
        <stp>12/31/2018</stp>
        <tr r="H2848" s="1"/>
      </tp>
      <tp>
        <v>47.1986315694</v>
        <stp/>
        <stp>EM_S_FA_YOY_OR</stp>
        <stp>2</stp>
        <stp>603659</stp>
        <stp>12/31/2018</stp>
        <tr r="H241" s="1"/>
      </tp>
      <tp>
        <v>37.820018407799999</v>
        <stp/>
        <stp>EM_S_FA_YOY_OR</stp>
        <stp>2</stp>
        <stp>603658</stp>
        <stp>12/31/2018</stp>
        <tr r="H188" s="1"/>
      </tp>
      <tp>
        <v>11.2409718851</v>
        <stp/>
        <stp>EM_S_FA_YOY_OR</stp>
        <stp>2</stp>
        <stp>603626</stp>
        <stp>12/31/2018</stp>
        <tr r="H770" s="1"/>
      </tp>
      <tp>
        <v>22.839145825500001</v>
        <stp/>
        <stp>EM_S_FA_YOY_OR</stp>
        <stp>2</stp>
        <stp>603628</stp>
        <stp>12/31/2018</stp>
        <tr r="H1789" s="1"/>
      </tp>
      <tp>
        <v>116.812200479</v>
        <stp/>
        <stp>EM_S_FA_YOY_OR</stp>
        <stp>2</stp>
        <stp>603637</stp>
        <stp>12/31/2018</stp>
        <tr r="H2119" s="1"/>
      </tp>
      <tp>
        <v>21.271890897199999</v>
        <stp/>
        <stp>EM_S_FA_YOY_OR</stp>
        <stp>2</stp>
        <stp>603636</stp>
        <stp>12/31/2018</stp>
        <tr r="H1377" s="1"/>
      </tp>
      <tp>
        <v>-1.7308517859999999</v>
        <stp/>
        <stp>EM_S_FA_YOY_OR</stp>
        <stp>2</stp>
        <stp>603630</stp>
        <stp>12/31/2018</stp>
        <tr r="H2235" s="1"/>
      </tp>
      <tp>
        <v>16.098652873799999</v>
        <stp/>
        <stp>EM_S_FA_YOY_OR</stp>
        <stp>2</stp>
        <stp>603633</stp>
        <stp>12/31/2018</stp>
        <tr r="H2051" s="1"/>
      </tp>
      <tp>
        <v>37.878125735499999</v>
        <stp/>
        <stp>EM_S_FA_YOY_OR</stp>
        <stp>2</stp>
        <stp>603639</stp>
        <stp>12/31/2018</stp>
        <tr r="H2640" s="1"/>
      </tp>
      <tp>
        <v>59.146471785499998</v>
        <stp/>
        <stp>EM_S_FA_YOY_OR</stp>
        <stp>2</stp>
        <stp>603638</stp>
        <stp>12/31/2018</stp>
        <tr r="H1019" s="1"/>
      </tp>
      <tp>
        <v>32.429091997</v>
        <stp/>
        <stp>EM_S_FA_YOY_OR</stp>
        <stp>2</stp>
        <stp>603605</stp>
        <stp>12/31/2018</stp>
        <tr r="H169" s="1"/>
      </tp>
      <tp>
        <v>3.5097472645000001</v>
        <stp/>
        <stp>EM_S_FA_YOY_OR</stp>
        <stp>2</stp>
        <stp>603607</stp>
        <stp>12/31/2018</stp>
        <tr r="H1256" s="1"/>
      </tp>
      <tp>
        <v>46.6667599747</v>
        <stp/>
        <stp>EM_S_FA_YOY_OR</stp>
        <stp>2</stp>
        <stp>603606</stp>
        <stp>12/31/2018</stp>
        <tr r="H1264" s="1"/>
      </tp>
      <tp>
        <v>69.149073674700006</v>
        <stp/>
        <stp>EM_S_FA_YOY_OR</stp>
        <stp>2</stp>
        <stp>603601</stp>
        <stp>12/31/2018</stp>
        <tr r="H2589" s="1"/>
      </tp>
      <tp>
        <v>30.9920973917</v>
        <stp/>
        <stp>EM_S_FA_YOY_OR</stp>
        <stp>2</stp>
        <stp>603600</stp>
        <stp>12/31/2018</stp>
        <tr r="H311" s="1"/>
      </tp>
      <tp>
        <v>42.345014537499999</v>
        <stp/>
        <stp>EM_S_FA_YOY_OR</stp>
        <stp>2</stp>
        <stp>603603</stp>
        <stp>12/31/2018</stp>
        <tr r="H3314" s="1"/>
      </tp>
      <tp>
        <v>-0.73162989140000001</v>
        <stp/>
        <stp>EM_S_FA_YOY_OR</stp>
        <stp>2</stp>
        <stp>603602</stp>
        <stp>12/31/2018</stp>
        <tr r="H2921" s="1"/>
      </tp>
      <tp>
        <v>15.0042213041</v>
        <stp/>
        <stp>EM_S_FA_YOY_OR</stp>
        <stp>2</stp>
        <stp>603609</stp>
        <stp>12/31/2018</stp>
        <tr r="H548" s="1"/>
      </tp>
      <tp>
        <v>18.369504442099998</v>
        <stp/>
        <stp>EM_S_FA_YOY_OR</stp>
        <stp>2</stp>
        <stp>603608</stp>
        <stp>12/31/2018</stp>
        <tr r="H2963" s="1"/>
      </tp>
      <tp>
        <v>5.8921734762</v>
        <stp/>
        <stp>EM_S_FA_YOY_OR</stp>
        <stp>2</stp>
        <stp>603615</stp>
        <stp>12/31/2018</stp>
        <tr r="H1733" s="1"/>
      </tp>
      <tp>
        <v>10.250140091800001</v>
        <stp/>
        <stp>EM_S_FA_YOY_OR</stp>
        <stp>2</stp>
        <stp>603617</stp>
        <stp>12/31/2018</stp>
        <tr r="H2807" s="1"/>
      </tp>
      <tp>
        <v>40.306805165</v>
        <stp/>
        <stp>EM_S_FA_YOY_OR</stp>
        <stp>2</stp>
        <stp>603616</stp>
        <stp>12/31/2018</stp>
        <tr r="H3209" s="1"/>
      </tp>
      <tp>
        <v>20.429972388500001</v>
        <stp/>
        <stp>EM_S_FA_YOY_OR</stp>
        <stp>2</stp>
        <stp>603611</stp>
        <stp>12/31/2018</stp>
        <tr r="H826" s="1"/>
      </tp>
      <tp>
        <v>2.2220303931999998</v>
        <stp/>
        <stp>EM_S_FA_YOY_OR</stp>
        <stp>2</stp>
        <stp>603612</stp>
        <stp>12/31/2018</stp>
        <tr r="H2028" s="1"/>
      </tp>
      <tp>
        <v>-21.589083790699998</v>
        <stp/>
        <stp>EM_S_FA_YOY_OR</stp>
        <stp>2</stp>
        <stp>603619</stp>
        <stp>12/31/2018</stp>
        <tr r="H2734" s="1"/>
      </tp>
      <tp>
        <v>5.1995439786000004</v>
        <stp/>
        <stp>EM_S_FA_YOY_OR</stp>
        <stp>2</stp>
        <stp>603618</stp>
        <stp>12/31/2018</stp>
        <tr r="H2025" s="1"/>
      </tp>
      <tp>
        <v>13.1419207879</v>
        <stp/>
        <stp>EM_S_FA_YOY_OR</stp>
        <stp>2</stp>
        <stp>603787</stp>
        <stp>12/31/2018</stp>
        <tr r="H662" s="1"/>
      </tp>
      <tp>
        <v>-6.6711154019999999</v>
        <stp/>
        <stp>EM_S_FA_YOY_OR</stp>
        <stp>2</stp>
        <stp>603789</stp>
        <stp>12/31/2018</stp>
        <tr r="H1413" s="1"/>
      </tp>
      <tp>
        <v>6.7133846605</v>
        <stp/>
        <stp>EM_S_FA_YOY_OR</stp>
        <stp>2</stp>
        <stp>603788</stp>
        <stp>12/31/2018</stp>
        <tr r="H1735" s="1"/>
      </tp>
      <tp>
        <v>36.1681046279</v>
        <stp/>
        <stp>EM_S_FA_YOY_OR</stp>
        <stp>2</stp>
        <stp>603797</stp>
        <stp>12/31/2018</stp>
        <tr r="H2635" s="1"/>
      </tp>
      <tp>
        <v>49.698845502099999</v>
        <stp/>
        <stp>EM_S_FA_YOY_OR</stp>
        <stp>2</stp>
        <stp>603799</stp>
        <stp>12/31/2018</stp>
        <tr r="H912" s="1"/>
      </tp>
      <tp>
        <v>-5.4228940015999996</v>
        <stp/>
        <stp>EM_S_FA_YOY_OR</stp>
        <stp>2</stp>
        <stp>603798</stp>
        <stp>12/31/2018</stp>
        <tr r="H878" s="1"/>
      </tp>
      <tp>
        <v>0.38566095090000002</v>
        <stp/>
        <stp>EM_S_FA_YOY_OR</stp>
        <stp>2</stp>
        <stp>603767</stp>
        <stp>12/31/2018</stp>
        <tr r="H1821" s="1"/>
      </tp>
      <tp>
        <v>5.975071969</v>
        <stp/>
        <stp>EM_S_FA_YOY_OR</stp>
        <stp>2</stp>
        <stp>603766</stp>
        <stp>12/31/2018</stp>
        <tr r="H2719" s="1"/>
      </tp>
      <tp>
        <v>-2.1884012360999998</v>
        <stp/>
        <stp>EM_S_FA_YOY_OR</stp>
        <stp>2</stp>
        <stp>603768</stp>
        <stp>12/31/2018</stp>
        <tr r="H2158" s="1"/>
      </tp>
      <tp>
        <v>7.0091386498999997</v>
        <stp/>
        <stp>EM_S_FA_YOY_OR</stp>
        <stp>2</stp>
        <stp>603777</stp>
        <stp>12/31/2018</stp>
        <tr r="H1212" s="1"/>
      </tp>
      <tp>
        <v>-19.870299239600001</v>
        <stp/>
        <stp>EM_S_FA_YOY_OR</stp>
        <stp>2</stp>
        <stp>603776</stp>
        <stp>12/31/2018</stp>
        <tr r="H2890" s="1"/>
      </tp>
      <tp>
        <v>7.0284297064999999</v>
        <stp/>
        <stp>EM_S_FA_YOY_OR</stp>
        <stp>2</stp>
        <stp>603773</stp>
        <stp>12/31/2018</stp>
        <tr r="H3149" s="1"/>
      </tp>
      <tp>
        <v>-5.1316294033999998</v>
        <stp/>
        <stp>EM_S_FA_YOY_OR</stp>
        <stp>2</stp>
        <stp>603779</stp>
        <stp>12/31/2018</stp>
        <tr r="H3383" s="1"/>
      </tp>
      <tp>
        <v>-35.793644973200003</v>
        <stp/>
        <stp>EM_S_FA_YOY_OR</stp>
        <stp>2</stp>
        <stp>603778</stp>
        <stp>12/31/2018</stp>
        <tr r="H2264" s="1"/>
      </tp>
      <tp>
        <v>-0.85783540150000004</v>
        <stp/>
        <stp>EM_S_FA_YOY_OR</stp>
        <stp>2</stp>
        <stp>603757</stp>
        <stp>12/31/2018</stp>
        <tr r="H3019" s="1"/>
      </tp>
      <tp>
        <v>-44.708786286200002</v>
        <stp/>
        <stp>EM_S_FA_YOY_OR</stp>
        <stp>2</stp>
        <stp>603758</stp>
        <stp>12/31/2018</stp>
        <tr r="H2185" s="1"/>
      </tp>
      <tp>
        <v>-0.99298318990000001</v>
        <stp/>
        <stp>EM_S_FA_YOY_OR</stp>
        <stp>2</stp>
        <stp>603725</stp>
        <stp>12/31/2018</stp>
        <tr r="H3230" s="1"/>
      </tp>
      <tp>
        <v>-18.913895630399999</v>
        <stp/>
        <stp>EM_S_FA_YOY_OR</stp>
        <stp>2</stp>
        <stp>603727</stp>
        <stp>12/31/2018</stp>
        <tr r="H592" s="1"/>
      </tp>
      <tp>
        <v>20.038433177400002</v>
        <stp/>
        <stp>EM_S_FA_YOY_OR</stp>
        <stp>2</stp>
        <stp>603726</stp>
        <stp>12/31/2018</stp>
        <tr r="H3291" s="1"/>
      </tp>
      <tp>
        <v>-20.156404296800002</v>
        <stp/>
        <stp>EM_S_FA_YOY_OR</stp>
        <stp>2</stp>
        <stp>603721</stp>
        <stp>12/31/2018</stp>
        <tr r="H277" s="1"/>
      </tp>
      <tp>
        <v>45.237698266800003</v>
        <stp/>
        <stp>EM_S_FA_YOY_OR</stp>
        <stp>2</stp>
        <stp>603722</stp>
        <stp>12/31/2018</stp>
        <tr r="H673" s="1"/>
      </tp>
      <tp>
        <v>-3.2977309583999999</v>
        <stp/>
        <stp>EM_S_FA_YOY_OR</stp>
        <stp>2</stp>
        <stp>603729</stp>
        <stp>12/31/2018</stp>
        <tr r="H2042" s="1"/>
      </tp>
      <tp>
        <v>16.314060946600002</v>
        <stp/>
        <stp>EM_S_FA_YOY_OR</stp>
        <stp>2</stp>
        <stp>603728</stp>
        <stp>12/31/2018</stp>
        <tr r="H2855" s="1"/>
      </tp>
      <tp>
        <v>36.822724912300004</v>
        <stp/>
        <stp>EM_S_FA_YOY_OR</stp>
        <stp>2</stp>
        <stp>603737</stp>
        <stp>12/31/2018</stp>
        <tr r="H124" s="1"/>
      </tp>
      <tp>
        <v>31.6112025362</v>
        <stp/>
        <stp>EM_S_FA_YOY_OR</stp>
        <stp>2</stp>
        <stp>603730</stp>
        <stp>12/31/2018</stp>
        <tr r="H677" s="1"/>
      </tp>
      <tp>
        <v>34.481739191700001</v>
        <stp/>
        <stp>EM_S_FA_YOY_OR</stp>
        <stp>2</stp>
        <stp>603733</stp>
        <stp>12/31/2018</stp>
        <tr r="H2668" s="1"/>
      </tp>
      <tp>
        <v>13.211077656700001</v>
        <stp/>
        <stp>EM_S_FA_YOY_OR</stp>
        <stp>2</stp>
        <stp>603738</stp>
        <stp>12/31/2018</stp>
        <tr r="H418" s="1"/>
      </tp>
      <tp>
        <v>52.8076689337</v>
        <stp/>
        <stp>EM_S_FA_YOY_OR</stp>
        <stp>2</stp>
        <stp>603707</stp>
        <stp>12/31/2018</stp>
        <tr r="H131" s="1"/>
      </tp>
      <tp>
        <v>-5.7769965445000002</v>
        <stp/>
        <stp>EM_S_FA_YOY_OR</stp>
        <stp>2</stp>
        <stp>603706</stp>
        <stp>12/31/2018</stp>
        <tr r="H3177" s="1"/>
      </tp>
      <tp>
        <v>-9.8372875636000003</v>
        <stp/>
        <stp>EM_S_FA_YOY_OR</stp>
        <stp>2</stp>
        <stp>603701</stp>
        <stp>12/31/2018</stp>
        <tr r="H1613" s="1"/>
      </tp>
      <tp>
        <v>-30.741622457999998</v>
        <stp/>
        <stp>EM_S_FA_YOY_OR</stp>
        <stp>2</stp>
        <stp>603703</stp>
        <stp>12/31/2018</stp>
        <tr r="H347" s="1"/>
      </tp>
      <tp>
        <v>13.1996869198</v>
        <stp/>
        <stp>EM_S_FA_YOY_OR</stp>
        <stp>2</stp>
        <stp>603709</stp>
        <stp>12/31/2018</stp>
        <tr r="H2206" s="1"/>
      </tp>
      <tp>
        <v>12.3590881783</v>
        <stp/>
        <stp>EM_S_FA_YOY_OR</stp>
        <stp>2</stp>
        <stp>603708</stp>
        <stp>12/31/2018</stp>
        <tr r="H1222" s="1"/>
      </tp>
      <tp>
        <v>10.606693241</v>
        <stp/>
        <stp>EM_S_FA_YOY_OR</stp>
        <stp>2</stp>
        <stp>603717</stp>
        <stp>12/31/2018</stp>
        <tr r="H2608" s="1"/>
      </tp>
      <tp>
        <v>43.120301382199997</v>
        <stp/>
        <stp>EM_S_FA_YOY_OR</stp>
        <stp>2</stp>
        <stp>603716</stp>
        <stp>12/31/2018</stp>
        <tr r="H2838" s="1"/>
      </tp>
      <tp>
        <v>23.129430364200001</v>
        <stp/>
        <stp>EM_S_FA_YOY_OR</stp>
        <stp>2</stp>
        <stp>603711</stp>
        <stp>12/31/2018</stp>
        <tr r="H1298" s="1"/>
      </tp>
      <tp>
        <v>9.4489616634000004</v>
        <stp/>
        <stp>EM_S_FA_YOY_OR</stp>
        <stp>2</stp>
        <stp>603712</stp>
        <stp>12/31/2018</stp>
        <tr r="H824" s="1"/>
      </tp>
      <tp>
        <v>-16.164987783200001</v>
        <stp/>
        <stp>EM_S_FA_YOY_OR</stp>
        <stp>2</stp>
        <stp>603718</stp>
        <stp>12/31/2018</stp>
        <tr r="H2359" s="1"/>
      </tp>
      <tp>
        <v>25.107098407300001</v>
        <stp/>
        <stp>EM_S_FA_YOY_OR</stp>
        <stp>2</stp>
        <stp>603486</stp>
        <stp>12/31/2018</stp>
        <tr r="H3384" s="1"/>
      </tp>
      <tp>
        <v>12.6314458614</v>
        <stp/>
        <stp>EM_S_FA_YOY_OR</stp>
        <stp>2</stp>
        <stp>603488</stp>
        <stp>12/31/2018</stp>
        <tr r="H1208" s="1"/>
      </tp>
      <tp>
        <v>38.175687863500002</v>
        <stp/>
        <stp>EM_S_FA_YOY_OR</stp>
        <stp>2</stp>
        <stp>603496</stp>
        <stp>12/31/2018</stp>
        <tr r="H2724" s="1"/>
      </tp>
      <tp>
        <v>5.3478771945999997</v>
        <stp/>
        <stp>EM_S_FA_YOY_OR</stp>
        <stp>2</stp>
        <stp>603499</stp>
        <stp>12/31/2018</stp>
        <tr r="H3091" s="1"/>
      </tp>
      <tp>
        <v>13.9516010206</v>
        <stp/>
        <stp>EM_S_FA_YOY_OR</stp>
        <stp>2</stp>
        <stp>603466</stp>
        <stp>12/31/2018</stp>
        <tr r="H2505" s="1"/>
      </tp>
      <tp>
        <v>-5.5829575708999997</v>
        <stp/>
        <stp>EM_S_FA_YOY_OR</stp>
        <stp>2</stp>
        <stp>603477</stp>
        <stp>12/31/2018</stp>
        <tr r="H496" s="1"/>
      </tp>
      <tp>
        <v>14.908766352700001</v>
        <stp/>
        <stp>EM_S_FA_YOY_OR</stp>
        <stp>2</stp>
        <stp>603444</stp>
        <stp>12/31/2018</stp>
        <tr r="H141" s="1"/>
      </tp>
      <tp>
        <v>8.4302513199</v>
        <stp/>
        <stp>EM_S_FA_YOY_OR</stp>
        <stp>2</stp>
        <stp>603456</stp>
        <stp>12/31/2018</stp>
        <tr r="H126" s="1"/>
      </tp>
      <tp>
        <v>11.6614912409</v>
        <stp/>
        <stp>EM_S_FA_YOY_OR</stp>
        <stp>2</stp>
        <stp>603458</stp>
        <stp>12/31/2018</stp>
        <tr r="H3290" s="1"/>
      </tp>
      <tp>
        <v>15.153408032</v>
        <stp/>
        <stp>EM_S_FA_YOY_OR</stp>
        <stp>2</stp>
        <stp>603421</stp>
        <stp>12/31/2018</stp>
        <tr r="H3047" s="1"/>
      </tp>
      <tp>
        <v>95.995877896099998</v>
        <stp/>
        <stp>EM_S_FA_YOY_OR</stp>
        <stp>2</stp>
        <stp>603429</stp>
        <stp>12/31/2018</stp>
        <tr r="H535" s="1"/>
      </tp>
      <tp>
        <v>22.086984913999999</v>
        <stp/>
        <stp>EM_S_FA_YOY_OR</stp>
        <stp>2</stp>
        <stp>603416</stp>
        <stp>12/31/2018</stp>
        <tr r="H745" s="1"/>
      </tp>
      <tp>
        <v>12.994787945200001</v>
        <stp/>
        <stp>EM_S_FA_YOY_OR</stp>
        <stp>2</stp>
        <stp>603585</stp>
        <stp>12/31/2018</stp>
        <tr r="H2125" s="1"/>
      </tp>
      <tp>
        <v>7.9421099216000002</v>
        <stp/>
        <stp>EM_S_FA_YOY_OR</stp>
        <stp>2</stp>
        <stp>603587</stp>
        <stp>12/31/2018</stp>
        <tr r="H1574" s="1"/>
      </tp>
      <tp>
        <v>-6.6834505004000002</v>
        <stp/>
        <stp>EM_S_FA_YOY_OR</stp>
        <stp>2</stp>
        <stp>603586</stp>
        <stp>12/31/2018</stp>
        <tr r="H698" s="1"/>
      </tp>
      <tp>
        <v>21.347909850299999</v>
        <stp/>
        <stp>EM_S_FA_YOY_OR</stp>
        <stp>2</stp>
        <stp>603580</stp>
        <stp>12/31/2018</stp>
        <tr r="H3094" s="1"/>
      </tp>
      <tp>
        <v>18.495219222100001</v>
        <stp/>
        <stp>EM_S_FA_YOY_OR</stp>
        <stp>2</stp>
        <stp>603589</stp>
        <stp>12/31/2018</stp>
        <tr r="H454" s="1"/>
      </tp>
      <tp>
        <v>63.2042729526</v>
        <stp/>
        <stp>EM_S_FA_YOY_OR</stp>
        <stp>2</stp>
        <stp>603588</stp>
        <stp>12/31/2018</stp>
        <tr r="H1304" s="1"/>
      </tp>
      <tp>
        <v>20.099920877999999</v>
        <stp/>
        <stp>EM_S_FA_YOY_OR</stp>
        <stp>2</stp>
        <stp>603595</stp>
        <stp>12/31/2018</stp>
        <tr r="H3013" s="1"/>
      </tp>
      <tp>
        <v>7.5769753234000001</v>
        <stp/>
        <stp>EM_S_FA_YOY_OR</stp>
        <stp>2</stp>
        <stp>603596</stp>
        <stp>12/31/2018</stp>
        <tr r="H2425" s="1"/>
      </tp>
      <tp>
        <v>21.346284967199999</v>
        <stp/>
        <stp>EM_S_FA_YOY_OR</stp>
        <stp>2</stp>
        <stp>603599</stp>
        <stp>12/31/2018</stp>
        <tr r="H724" s="1"/>
      </tp>
      <tp>
        <v>21.878943163399999</v>
        <stp/>
        <stp>EM_S_FA_YOY_OR</stp>
        <stp>2</stp>
        <stp>603598</stp>
        <stp>12/31/2018</stp>
        <tr r="H273" s="1"/>
      </tp>
      <tp>
        <v>-11.337787527</v>
        <stp/>
        <stp>EM_S_FA_YOY_OR</stp>
        <stp>2</stp>
        <stp>603567</stp>
        <stp>12/31/2018</stp>
        <tr r="H2492" s="1"/>
      </tp>
      <tp>
        <v>14.750851984400001</v>
        <stp/>
        <stp>EM_S_FA_YOY_OR</stp>
        <stp>2</stp>
        <stp>603566</stp>
        <stp>12/31/2018</stp>
        <tr r="H482" s="1"/>
      </tp>
      <tp>
        <v>10.5221395518</v>
        <stp/>
        <stp>EM_S_FA_YOY_OR</stp>
        <stp>2</stp>
        <stp>603569</stp>
        <stp>12/31/2018</stp>
        <tr r="H2510" s="1"/>
      </tp>
      <tp>
        <v>50.285731634100003</v>
        <stp/>
        <stp>EM_S_FA_YOY_OR</stp>
        <stp>2</stp>
        <stp>603568</stp>
        <stp>12/31/2018</stp>
        <tr r="H2253" s="1"/>
      </tp>
      <tp>
        <v>19.376139240400001</v>
        <stp/>
        <stp>EM_S_FA_YOY_OR</stp>
        <stp>2</stp>
        <stp>603577</stp>
        <stp>12/31/2018</stp>
        <tr r="H1423" s="1"/>
      </tp>
      <tp>
        <v>19.702664935400001</v>
        <stp/>
        <stp>EM_S_FA_YOY_OR</stp>
        <stp>2</stp>
        <stp>603579</stp>
        <stp>12/31/2018</stp>
        <tr r="H1908" s="1"/>
      </tp>
      <tp>
        <v>9.2872743187999998</v>
        <stp/>
        <stp>EM_S_FA_YOY_OR</stp>
        <stp>2</stp>
        <stp>603578</stp>
        <stp>12/31/2018</stp>
        <tr r="H1869" s="1"/>
      </tp>
      <tp>
        <v>-13.517985193099999</v>
        <stp/>
        <stp>EM_S_FA_YOY_OR</stp>
        <stp>2</stp>
        <stp>603555</stp>
        <stp>12/31/2018</stp>
        <tr r="H2224" s="1"/>
      </tp>
      <tp>
        <v>4.4258486544000002</v>
        <stp/>
        <stp>EM_S_FA_YOY_OR</stp>
        <stp>2</stp>
        <stp>603557</stp>
        <stp>12/31/2018</stp>
        <tr r="H1610" s="1"/>
      </tp>
      <tp>
        <v>-15.6180083433</v>
        <stp/>
        <stp>EM_S_FA_YOY_OR</stp>
        <stp>2</stp>
        <stp>603556</stp>
        <stp>12/31/2018</stp>
        <tr r="H1158" s="1"/>
      </tp>
      <tp>
        <v>33.1263808048</v>
        <stp/>
        <stp>EM_S_FA_YOY_OR</stp>
        <stp>2</stp>
        <stp>603559</stp>
        <stp>12/31/2018</stp>
        <tr r="H3183" s="1"/>
      </tp>
      <tp>
        <v>38.616373938000002</v>
        <stp/>
        <stp>EM_S_FA_YOY_OR</stp>
        <stp>2</stp>
        <stp>603558</stp>
        <stp>12/31/2018</stp>
        <tr r="H2587" s="1"/>
      </tp>
      <tp>
        <v>7.5424061329000001</v>
        <stp/>
        <stp>EM_S_FA_YOY_OR</stp>
        <stp>2</stp>
        <stp>603527</stp>
        <stp>12/31/2018</stp>
        <tr r="H1518" s="1"/>
      </tp>
      <tp>
        <v>25.252765461700001</v>
        <stp/>
        <stp>EM_S_FA_YOY_OR</stp>
        <stp>2</stp>
        <stp>603520</stp>
        <stp>12/31/2018</stp>
        <tr r="H419" s="1"/>
      </tp>
      <tp>
        <v>8.1277501473000004</v>
        <stp/>
        <stp>EM_S_FA_YOY_OR</stp>
        <stp>2</stp>
        <stp>603528</stp>
        <stp>12/31/2018</stp>
        <tr r="H1609" s="1"/>
      </tp>
      <tp>
        <v>7.8656345643999996</v>
        <stp/>
        <stp>EM_S_FA_YOY_OR</stp>
        <stp>2</stp>
        <stp>603535</stp>
        <stp>12/31/2018</stp>
        <tr r="H2420" s="1"/>
      </tp>
      <tp>
        <v>11.0030153005</v>
        <stp/>
        <stp>EM_S_FA_YOY_OR</stp>
        <stp>2</stp>
        <stp>603536</stp>
        <stp>12/31/2018</stp>
        <tr r="H60" s="1"/>
      </tp>
      <tp>
        <v>14.1668592503</v>
        <stp/>
        <stp>EM_S_FA_YOY_OR</stp>
        <stp>2</stp>
        <stp>603533</stp>
        <stp>12/31/2018</stp>
        <tr r="H2569" s="1"/>
      </tp>
      <tp>
        <v>40.249898486100001</v>
        <stp/>
        <stp>EM_S_FA_YOY_OR</stp>
        <stp>2</stp>
        <stp>603538</stp>
        <stp>12/31/2018</stp>
        <tr r="H1150" s="1"/>
      </tp>
      <tp>
        <v>55.640610686999999</v>
        <stp/>
        <stp>EM_S_FA_YOY_OR</stp>
        <stp>2</stp>
        <stp>603505</stp>
        <stp>12/31/2018</stp>
        <tr r="H335" s="1"/>
      </tp>
      <tp>
        <v>3.954477968</v>
        <stp/>
        <stp>EM_S_FA_YOY_OR</stp>
        <stp>2</stp>
        <stp>603507</stp>
        <stp>12/31/2018</stp>
        <tr r="H2178" s="1"/>
      </tp>
      <tp>
        <v>29.176124895000001</v>
        <stp/>
        <stp>EM_S_FA_YOY_OR</stp>
        <stp>2</stp>
        <stp>603506</stp>
        <stp>12/31/2018</stp>
        <tr r="H2595" s="1"/>
      </tp>
      <tp>
        <v>64.740123307199994</v>
        <stp/>
        <stp>EM_S_FA_YOY_OR</stp>
        <stp>2</stp>
        <stp>603501</stp>
        <stp>12/31/2018</stp>
        <tr r="H18" s="1"/>
      </tp>
      <tp>
        <v>13.430280783600001</v>
        <stp/>
        <stp>EM_S_FA_YOY_OR</stp>
        <stp>2</stp>
        <stp>603500</stp>
        <stp>12/31/2018</stp>
        <tr r="H1345" s="1"/>
      </tp>
      <tp>
        <v>17.677394055699999</v>
        <stp/>
        <stp>EM_S_FA_YOY_OR</stp>
        <stp>2</stp>
        <stp>603508</stp>
        <stp>12/31/2018</stp>
        <tr r="H586" s="1"/>
      </tp>
      <tp>
        <v>15.0469537441</v>
        <stp/>
        <stp>EM_S_FA_YOY_OR</stp>
        <stp>2</stp>
        <stp>603515</stp>
        <stp>12/31/2018</stp>
        <tr r="H2247" s="1"/>
      </tp>
      <tp>
        <v>13.4491644714</v>
        <stp/>
        <stp>EM_S_FA_YOY_OR</stp>
        <stp>2</stp>
        <stp>603517</stp>
        <stp>12/31/2018</stp>
        <tr r="H793" s="1"/>
      </tp>
      <tp>
        <v>10.078918231099999</v>
        <stp/>
        <stp>EM_S_FA_YOY_OR</stp>
        <stp>2</stp>
        <stp>603516</stp>
        <stp>12/31/2018</stp>
        <tr r="H366" s="1"/>
      </tp>
      <tp>
        <v>4.8589743937999996</v>
        <stp/>
        <stp>EM_S_FA_YOY_OR</stp>
        <stp>2</stp>
        <stp>603519</stp>
        <stp>12/31/2018</stp>
        <tr r="H531" s="1"/>
      </tp>
      <tp>
        <v>20.336877528599999</v>
        <stp/>
        <stp>EM_S_FA_YOY_OR</stp>
        <stp>2</stp>
        <stp>603518</stp>
        <stp>12/31/2018</stp>
        <tr r="H3366" s="1"/>
      </tp>
      <tp>
        <v>0.91074681238615673</v>
        <stp/>
        <stp>EM_S_VAL_DIVIDENDYIELD2</stp>
        <stp>3</stp>
        <stp>002222</stp>
        <stp>12/31/2018</stp>
        <stp>2019-11-29</stp>
        <tr r="Q1041" s="1"/>
      </tp>
      <tp>
        <v>0.16250000000000001</v>
        <stp/>
        <stp>EM_S_VAL_DIVIDENDYIELD2</stp>
        <stp>3</stp>
        <stp>002232</stp>
        <stp>12/31/2018</stp>
        <stp>2019-11-29</stp>
        <tr r="Q1004" s="1"/>
      </tp>
      <tp>
        <v>2.1570319240724762</v>
        <stp/>
        <stp>EM_S_VAL_DIVIDENDYIELD2</stp>
        <stp>3</stp>
        <stp>002202</stp>
        <stp>12/31/2018</stp>
        <stp>2019-11-29</stp>
        <tr r="Q1408" s="1"/>
      </tp>
      <tp>
        <v>0</v>
        <stp/>
        <stp>EM_S_VAL_DIVIDENDYIELD2</stp>
        <stp>3</stp>
        <stp>002212</stp>
        <stp>12/31/2018</stp>
        <stp>2019-11-29</stp>
        <tr r="Q305" s="1"/>
      </tp>
      <tp>
        <v>0.54556905269400657</v>
        <stp/>
        <stp>EM_S_VAL_DIVIDENDYIELD2</stp>
        <stp>3</stp>
        <stp>002262</stp>
        <stp>12/31/2018</stp>
        <stp>2019-11-29</stp>
        <tr r="Q1001" s="1"/>
      </tp>
      <tp>
        <v>0</v>
        <stp/>
        <stp>EM_S_VAL_DIVIDENDYIELD2</stp>
        <stp>3</stp>
        <stp>002272</stp>
        <stp>12/31/2018</stp>
        <stp>2019-11-29</stp>
        <tr r="Q1640" s="1"/>
      </tp>
      <tp>
        <v>3.54230844414323</v>
        <stp/>
        <stp>EM_S_VAL_DIVIDENDYIELD2</stp>
        <stp>3</stp>
        <stp>002242</stp>
        <stp>12/31/2018</stp>
        <stp>2019-11-29</stp>
        <tr r="Q504" s="1"/>
      </tp>
      <tp>
        <v>0</v>
        <stp/>
        <stp>EM_S_VAL_DIVIDENDYIELD2</stp>
        <stp>3</stp>
        <stp>002252</stp>
        <stp>12/31/2018</stp>
        <stp>2019-11-29</stp>
        <tr r="Q2752" s="1"/>
      </tp>
      <tp>
        <v>0.37688442211055279</v>
        <stp/>
        <stp>EM_S_VAL_DIVIDENDYIELD2</stp>
        <stp>3</stp>
        <stp>002282</stp>
        <stp>12/31/2018</stp>
        <stp>2019-11-29</stp>
        <tr r="Q2263" s="1"/>
      </tp>
      <tp>
        <v>0</v>
        <stp/>
        <stp>EM_S_VAL_DIVIDENDYIELD2</stp>
        <stp>3</stp>
        <stp>002292</stp>
        <stp>12/31/2018</stp>
        <stp>2019-11-29</stp>
        <tr r="Q282" s="1"/>
      </tp>
      <tp>
        <v>2.6785714285714284</v>
        <stp/>
        <stp>EM_S_VAL_DIVIDENDYIELD2</stp>
        <stp>3</stp>
        <stp>002322</stp>
        <stp>12/31/2018</stp>
        <stp>2019-11-29</stp>
        <tr r="Q932" s="1"/>
      </tp>
      <tp>
        <v>0.60634328358208944</v>
        <stp/>
        <stp>EM_S_VAL_DIVIDENDYIELD2</stp>
        <stp>3</stp>
        <stp>002332</stp>
        <stp>12/31/2018</stp>
        <stp>2019-11-29</stp>
        <tr r="Q458" s="1"/>
      </tp>
      <tp>
        <v>0.63119927862939573</v>
        <stp/>
        <stp>EM_S_VAL_DIVIDENDYIELD2</stp>
        <stp>3</stp>
        <stp>002302</stp>
        <stp>12/31/2018</stp>
        <stp>2019-11-29</stp>
        <tr r="Q1075" s="1"/>
      </tp>
      <tp>
        <v>0</v>
        <stp/>
        <stp>EM_S_VAL_DIVIDENDYIELD2</stp>
        <stp>3</stp>
        <stp>002312</stp>
        <stp>12/31/2018</stp>
        <stp>2019-11-29</stp>
        <tr r="Q876" s="1"/>
      </tp>
      <tp>
        <v>0</v>
        <stp/>
        <stp>EM_S_VAL_DIVIDENDYIELD2</stp>
        <stp>3</stp>
        <stp>002362</stp>
        <stp>12/31/2018</stp>
        <stp>2019-11-29</stp>
        <tr r="Q1277" s="1"/>
      </tp>
      <tp>
        <v>4.0916530278232406</v>
        <stp/>
        <stp>EM_S_VAL_DIVIDENDYIELD2</stp>
        <stp>3</stp>
        <stp>002372</stp>
        <stp>12/31/2018</stp>
        <stp>2019-11-29</stp>
        <tr r="Q2991" s="1"/>
      </tp>
      <tp>
        <v>9.9337748344370855E-2</v>
        <stp/>
        <stp>EM_S_VAL_DIVIDENDYIELD2</stp>
        <stp>3</stp>
        <stp>002342</stp>
        <stp>12/31/2018</stp>
        <stp>2019-11-29</stp>
        <tr r="Q2594" s="1"/>
      </tp>
      <tp>
        <v>0.55382866189097779</v>
        <stp/>
        <stp>EM_S_VAL_DIVIDENDYIELD2</stp>
        <stp>3</stp>
        <stp>002352</stp>
        <stp>12/31/2018</stp>
        <stp>2019-11-29</stp>
        <tr r="Q1475" s="1"/>
      </tp>
      <tp>
        <v>0.32948929159802304</v>
        <stp/>
        <stp>EM_S_VAL_DIVIDENDYIELD2</stp>
        <stp>3</stp>
        <stp>002382</stp>
        <stp>12/31/2018</stp>
        <stp>2019-11-29</stp>
        <tr r="Q3033" s="1"/>
      </tp>
      <tp>
        <v>0.77994428969359342</v>
        <stp/>
        <stp>EM_S_VAL_DIVIDENDYIELD2</stp>
        <stp>3</stp>
        <stp>002392</stp>
        <stp>12/31/2018</stp>
        <stp>2019-11-29</stp>
        <tr r="Q1412" s="1"/>
      </tp>
      <tp>
        <v>0.59633027522935778</v>
        <stp/>
        <stp>EM_S_VAL_DIVIDENDYIELD2</stp>
        <stp>3</stp>
        <stp>002022</stp>
        <stp>12/31/2018</stp>
        <stp>2019-11-29</stp>
        <tr r="Q1340" s="1"/>
      </tp>
      <tp>
        <v>1.4208274312567926</v>
        <stp/>
        <stp>EM_S_VAL_DIVIDENDYIELD2</stp>
        <stp>3</stp>
        <stp>002032</stp>
        <stp>12/31/2018</stp>
        <stp>2019-11-29</stp>
        <tr r="Q638" s="1"/>
      </tp>
      <tp>
        <v>1.5113350125944585</v>
        <stp/>
        <stp>EM_S_VAL_DIVIDENDYIELD2</stp>
        <stp>3</stp>
        <stp>002002</stp>
        <stp>12/31/2018</stp>
        <stp>2019-11-29</stp>
        <tr r="Q3603" s="1"/>
      </tp>
      <tp>
        <v>0.10183299389002037</v>
        <stp/>
        <stp>EM_S_VAL_DIVIDENDYIELD2</stp>
        <stp>3</stp>
        <stp>002012</stp>
        <stp>12/31/2018</stp>
        <stp>2019-11-29</stp>
        <tr r="Q608" s="1"/>
      </tp>
      <tp>
        <v>1.4367816091954022</v>
        <stp/>
        <stp>EM_S_VAL_DIVIDENDYIELD2</stp>
        <stp>3</stp>
        <stp>002062</stp>
        <stp>12/31/2018</stp>
        <stp>2019-11-29</stp>
        <tr r="Q2740" s="1"/>
      </tp>
      <tp>
        <v>0</v>
        <stp/>
        <stp>EM_S_VAL_DIVIDENDYIELD2</stp>
        <stp>3</stp>
        <stp>002072</stp>
        <stp>12/31/2018</stp>
        <stp>2019-11-29</stp>
        <tr r="Q3624" s="1"/>
      </tp>
      <tp>
        <v>5.2526333830104317</v>
        <stp/>
        <stp>EM_S_VAL_DIVIDENDYIELD2</stp>
        <stp>3</stp>
        <stp>002042</stp>
        <stp>12/31/2018</stp>
        <stp>2019-11-29</stp>
        <tr r="Q872" s="1"/>
      </tp>
      <tp>
        <v>0</v>
        <stp/>
        <stp>EM_S_VAL_DIVIDENDYIELD2</stp>
        <stp>3</stp>
        <stp>002052</stp>
        <stp>12/31/2018</stp>
        <stp>2019-11-29</stp>
        <tr r="Q3618" s="1"/>
      </tp>
      <tp>
        <v>0</v>
        <stp/>
        <stp>EM_S_VAL_DIVIDENDYIELD2</stp>
        <stp>3</stp>
        <stp>002082</stp>
        <stp>12/31/2018</stp>
        <stp>2019-11-29</stp>
        <tr r="Q3628" s="1"/>
      </tp>
      <tp>
        <v>2.6153846153846154</v>
        <stp/>
        <stp>EM_S_VAL_DIVIDENDYIELD2</stp>
        <stp>3</stp>
        <stp>002092</stp>
        <stp>12/31/2018</stp>
        <stp>2019-11-29</stp>
        <tr r="Q2499" s="1"/>
      </tp>
      <tp>
        <v>0</v>
        <stp/>
        <stp>EM_S_VAL_DIVIDENDYIELD2</stp>
        <stp>3</stp>
        <stp>002122</stp>
        <stp>12/31/2018</stp>
        <stp>2019-11-29</stp>
        <tr r="Q3640" s="1"/>
      </tp>
      <tp>
        <v>0</v>
        <stp/>
        <stp>EM_S_VAL_DIVIDENDYIELD2</stp>
        <stp>3</stp>
        <stp>002132</stp>
        <stp>12/31/2018</stp>
        <stp>2019-11-29</stp>
        <tr r="Q1461" s="1"/>
      </tp>
      <tp>
        <v>0</v>
        <stp/>
        <stp>EM_S_VAL_DIVIDENDYIELD2</stp>
        <stp>3</stp>
        <stp>002102</stp>
        <stp>12/31/2018</stp>
        <stp>2019-11-29</stp>
        <tr r="Q3634" s="1"/>
      </tp>
      <tp>
        <v>0</v>
        <stp/>
        <stp>EM_S_VAL_DIVIDENDYIELD2</stp>
        <stp>3</stp>
        <stp>002112</stp>
        <stp>12/31/2018</stp>
        <stp>2019-11-29</stp>
        <tr r="Q2156" s="1"/>
      </tp>
      <tp>
        <v>0</v>
        <stp/>
        <stp>EM_S_VAL_DIVIDENDYIELD2</stp>
        <stp>3</stp>
        <stp>002162</stp>
        <stp>12/31/2018</stp>
        <stp>2019-11-29</stp>
        <tr r="Q1080" s="1"/>
      </tp>
      <tp>
        <v>0</v>
        <stp/>
        <stp>EM_S_VAL_DIVIDENDYIELD2</stp>
        <stp>3</stp>
        <stp>002172</stp>
        <stp>12/31/2018</stp>
        <stp>2019-11-29</stp>
        <tr r="Q2424" s="1"/>
      </tp>
      <tp>
        <v>1.4362131633181303</v>
        <stp/>
        <stp>EM_S_VAL_DIVIDENDYIELD2</stp>
        <stp>3</stp>
        <stp>002142</stp>
        <stp>12/31/2018</stp>
        <stp>2019-11-29</stp>
        <tr r="Q303" s="1"/>
      </tp>
      <tp>
        <v>1.5432509619210983</v>
        <stp/>
        <stp>EM_S_VAL_DIVIDENDYIELD2</stp>
        <stp>3</stp>
        <stp>002152</stp>
        <stp>12/31/2018</stp>
        <stp>2019-11-29</stp>
        <tr r="Q279" s="1"/>
      </tp>
      <tp>
        <v>1.2210012210012211</v>
        <stp/>
        <stp>EM_S_VAL_DIVIDENDYIELD2</stp>
        <stp>3</stp>
        <stp>002182</stp>
        <stp>12/31/2018</stp>
        <stp>2019-11-29</stp>
        <tr r="Q558" s="1"/>
      </tp>
      <tp>
        <v>0</v>
        <stp/>
        <stp>EM_S_VAL_DIVIDENDYIELD2</stp>
        <stp>3</stp>
        <stp>002192</stp>
        <stp>12/31/2018</stp>
        <stp>2019-11-29</stp>
        <tr r="Q988" s="1"/>
      </tp>
      <tp>
        <v>0</v>
        <stp/>
        <stp>EM_S_VAL_DIVIDENDYIELD2</stp>
        <stp>3</stp>
        <stp>002622</stp>
        <stp>12/31/2018</stp>
        <stp>2019-11-29</stp>
        <tr r="Q1510" s="1"/>
      </tp>
      <tp>
        <v>5.5717584289859339</v>
        <stp/>
        <stp>EM_S_VAL_DIVIDENDYIELD2</stp>
        <stp>3</stp>
        <stp>002632</stp>
        <stp>12/31/2018</stp>
        <stp>2019-11-29</stp>
        <tr r="Q1891" s="1"/>
      </tp>
      <tp>
        <v>0.40202279332957425</v>
        <stp/>
        <stp>EM_S_VAL_DIVIDENDYIELD2</stp>
        <stp>3</stp>
        <stp>002602</stp>
        <stp>12/31/2018</stp>
        <stp>2019-11-29</stp>
        <tr r="Q3332" s="1"/>
      </tp>
      <tp>
        <v>1.6756817305218445</v>
        <stp/>
        <stp>EM_S_VAL_DIVIDENDYIELD2</stp>
        <stp>3</stp>
        <stp>002612</stp>
        <stp>12/31/2018</stp>
        <stp>2019-11-29</stp>
        <tr r="Q1881" s="1"/>
      </tp>
      <tp>
        <v>0.77220077220077221</v>
        <stp/>
        <stp>EM_S_VAL_DIVIDENDYIELD2</stp>
        <stp>3</stp>
        <stp>002662</stp>
        <stp>12/31/2018</stp>
        <stp>2019-11-29</stp>
        <tr r="Q3217" s="1"/>
      </tp>
      <tp>
        <v>1.5392906884490296</v>
        <stp/>
        <stp>EM_S_VAL_DIVIDENDYIELD2</stp>
        <stp>3</stp>
        <stp>002672</stp>
        <stp>12/31/2018</stp>
        <stp>2019-11-29</stp>
        <tr r="Q3093" s="1"/>
      </tp>
      <tp>
        <v>0</v>
        <stp/>
        <stp>EM_S_VAL_DIVIDENDYIELD2</stp>
        <stp>3</stp>
        <stp>002642</stp>
        <stp>12/31/2018</stp>
        <stp>2019-11-29</stp>
        <tr r="Q2603" s="1"/>
      </tp>
      <tp>
        <v>0</v>
        <stp/>
        <stp>EM_S_VAL_DIVIDENDYIELD2</stp>
        <stp>3</stp>
        <stp>002652</stp>
        <stp>12/31/2018</stp>
        <stp>2019-11-29</stp>
        <tr r="Q2182" s="1"/>
      </tp>
      <tp>
        <v>1.6666666666666663</v>
        <stp/>
        <stp>EM_S_VAL_DIVIDENDYIELD2</stp>
        <stp>3</stp>
        <stp>002682</stp>
        <stp>12/31/2018</stp>
        <stp>2019-11-29</stp>
        <tr r="Q2134" s="1"/>
      </tp>
      <tp>
        <v>0</v>
        <stp/>
        <stp>EM_S_VAL_DIVIDENDYIELD2</stp>
        <stp>3</stp>
        <stp>002692</stp>
        <stp>12/31/2018</stp>
        <stp>2019-11-29</stp>
        <tr r="Q2695" s="1"/>
      </tp>
      <tp>
        <v>1.3486176668914363</v>
        <stp/>
        <stp>EM_S_VAL_DIVIDENDYIELD2</stp>
        <stp>3</stp>
        <stp>002722</stp>
        <stp>12/31/2018</stp>
        <stp>2019-11-29</stp>
        <tr r="Q1754" s="1"/>
      </tp>
      <tp>
        <v>0.46189376443418012</v>
        <stp/>
        <stp>EM_S_VAL_DIVIDENDYIELD2</stp>
        <stp>3</stp>
        <stp>002732</stp>
        <stp>12/31/2018</stp>
        <stp>2019-11-29</stp>
        <tr r="Q992" s="1"/>
      </tp>
      <tp>
        <v>1.2315270935960592</v>
        <stp/>
        <stp>EM_S_VAL_DIVIDENDYIELD2</stp>
        <stp>3</stp>
        <stp>002702</stp>
        <stp>12/31/2018</stp>
        <stp>2019-11-29</stp>
        <tr r="Q1877" s="1"/>
      </tp>
      <tp>
        <v>0.12422372372372374</v>
        <stp/>
        <stp>EM_S_VAL_DIVIDENDYIELD2</stp>
        <stp>3</stp>
        <stp>002712</stp>
        <stp>12/31/2018</stp>
        <stp>2019-11-29</stp>
        <tr r="Q708" s="1"/>
      </tp>
      <tp>
        <v>1.8059447824126136</v>
        <stp/>
        <stp>EM_S_VAL_DIVIDENDYIELD2</stp>
        <stp>3</stp>
        <stp>002762</stp>
        <stp>12/31/2018</stp>
        <stp>2019-11-29</stp>
        <tr r="Q2112" s="1"/>
      </tp>
      <tp>
        <v>1.4925219411824147</v>
        <stp/>
        <stp>EM_S_VAL_DIVIDENDYIELD2</stp>
        <stp>3</stp>
        <stp>002772</stp>
        <stp>12/31/2018</stp>
        <stp>2019-11-29</stp>
        <tr r="Q1906" s="1"/>
      </tp>
      <tp>
        <v>1.7605633802816902</v>
        <stp/>
        <stp>EM_S_VAL_DIVIDENDYIELD2</stp>
        <stp>3</stp>
        <stp>002742</stp>
        <stp>12/31/2018</stp>
        <stp>2019-11-29</stp>
        <tr r="Q3194" s="1"/>
      </tp>
      <tp>
        <v>0.44247787610619471</v>
        <stp/>
        <stp>EM_S_VAL_DIVIDENDYIELD2</stp>
        <stp>3</stp>
        <stp>002752</stp>
        <stp>12/31/2018</stp>
        <stp>2019-11-29</stp>
        <tr r="Q2953" s="1"/>
      </tp>
      <tp>
        <v>0.99700897308075775</v>
        <stp/>
        <stp>EM_S_VAL_DIVIDENDYIELD2</stp>
        <stp>3</stp>
        <stp>002782</stp>
        <stp>12/31/2018</stp>
        <stp>2019-11-29</stp>
        <tr r="Q2525" s="1"/>
      </tp>
      <tp>
        <v>0.10973936899862827</v>
        <stp/>
        <stp>EM_S_VAL_DIVIDENDYIELD2</stp>
        <stp>3</stp>
        <stp>002792</stp>
        <stp>12/31/2018</stp>
        <stp>2019-11-29</stp>
        <tr r="Q2935" s="1"/>
      </tp>
      <tp>
        <v>0.90267011197243763</v>
        <stp/>
        <stp>EM_S_VAL_DIVIDENDYIELD2</stp>
        <stp>3</stp>
        <stp>002422</stp>
        <stp>12/31/2018</stp>
        <stp>2019-11-29</stp>
        <tr r="Q1614" s="1"/>
      </tp>
      <tp>
        <v>0</v>
        <stp/>
        <stp>EM_S_VAL_DIVIDENDYIELD2</stp>
        <stp>3</stp>
        <stp>002432</stp>
        <stp>12/31/2018</stp>
        <stp>2019-11-29</stp>
        <tr r="Q2464" s="1"/>
      </tp>
      <tp>
        <v>0.36900369003690042</v>
        <stp/>
        <stp>EM_S_VAL_DIVIDENDYIELD2</stp>
        <stp>3</stp>
        <stp>002402</stp>
        <stp>12/31/2018</stp>
        <stp>2019-11-29</stp>
        <tr r="Q144" s="1"/>
      </tp>
      <tp>
        <v>0</v>
        <stp/>
        <stp>EM_S_VAL_DIVIDENDYIELD2</stp>
        <stp>3</stp>
        <stp>002412</stp>
        <stp>12/31/2018</stp>
        <stp>2019-11-29</stp>
        <tr r="Q3306" s="1"/>
      </tp>
      <tp>
        <v>0.80264322307475466</v>
        <stp/>
        <stp>EM_S_VAL_DIVIDENDYIELD2</stp>
        <stp>3</stp>
        <stp>002462</stp>
        <stp>12/31/2018</stp>
        <stp>2019-11-29</stp>
        <tr r="Q1795" s="1"/>
      </tp>
      <tp>
        <v>1.1472226858760683</v>
        <stp/>
        <stp>EM_S_VAL_DIVIDENDYIELD2</stp>
        <stp>3</stp>
        <stp>002472</stp>
        <stp>12/31/2018</stp>
        <stp>2019-11-29</stp>
        <tr r="Q2553" s="1"/>
      </tp>
      <tp>
        <v>2.0533880903490758</v>
        <stp/>
        <stp>EM_S_VAL_DIVIDENDYIELD2</stp>
        <stp>3</stp>
        <stp>002442</stp>
        <stp>12/31/2018</stp>
        <stp>2019-11-29</stp>
        <tr r="Q3101" s="1"/>
      </tp>
      <tp>
        <v>0</v>
        <stp/>
        <stp>EM_S_VAL_DIVIDENDYIELD2</stp>
        <stp>3</stp>
        <stp>002452</stp>
        <stp>12/31/2018</stp>
        <stp>2019-11-29</stp>
        <tr r="Q763" s="1"/>
      </tp>
      <tp>
        <v>0.73170731707317083</v>
        <stp/>
        <stp>EM_S_VAL_DIVIDENDYIELD2</stp>
        <stp>3</stp>
        <stp>002482</stp>
        <stp>12/31/2018</stp>
        <stp>2019-11-29</stp>
        <tr r="Q3133" s="1"/>
      </tp>
      <tp>
        <v>0.667779632721202</v>
        <stp/>
        <stp>EM_S_VAL_DIVIDENDYIELD2</stp>
        <stp>3</stp>
        <stp>002492</stp>
        <stp>12/31/2018</stp>
        <stp>2019-11-29</stp>
        <tr r="Q1745" s="1"/>
      </tp>
      <tp>
        <v>0.5357142857142857</v>
        <stp/>
        <stp>EM_S_VAL_DIVIDENDYIELD2</stp>
        <stp>3</stp>
        <stp>002522</stp>
        <stp>12/31/2018</stp>
        <stp>2019-11-29</stp>
        <tr r="Q1044" s="1"/>
      </tp>
      <tp>
        <v>3.4482758620689653</v>
        <stp/>
        <stp>EM_S_VAL_DIVIDENDYIELD2</stp>
        <stp>3</stp>
        <stp>002532</stp>
        <stp>12/31/2018</stp>
        <stp>2019-11-29</stp>
        <tr r="Q1275" s="1"/>
      </tp>
      <tp>
        <v>0</v>
        <stp/>
        <stp>EM_S_VAL_DIVIDENDYIELD2</stp>
        <stp>3</stp>
        <stp>002502</stp>
        <stp>12/31/2018</stp>
        <stp>2019-11-29</stp>
        <tr r="Q2997" s="1"/>
      </tp>
      <tp>
        <v>0</v>
        <stp/>
        <stp>EM_S_VAL_DIVIDENDYIELD2</stp>
        <stp>3</stp>
        <stp>002512</stp>
        <stp>12/31/2018</stp>
        <stp>2019-11-29</stp>
        <tr r="Q1261" s="1"/>
      </tp>
      <tp>
        <v>2.1833171366963451</v>
        <stp/>
        <stp>EM_S_VAL_DIVIDENDYIELD2</stp>
        <stp>3</stp>
        <stp>002562</stp>
        <stp>12/31/2018</stp>
        <stp>2019-11-29</stp>
        <tr r="Q1598" s="1"/>
      </tp>
      <tp>
        <v>2.8884651495089737</v>
        <stp/>
        <stp>EM_S_VAL_DIVIDENDYIELD2</stp>
        <stp>3</stp>
        <stp>002572</stp>
        <stp>12/31/2018</stp>
        <stp>2019-11-29</stp>
        <tr r="Q1070" s="1"/>
      </tp>
      <tp>
        <v>0.54961392152006383</v>
        <stp/>
        <stp>EM_S_VAL_DIVIDENDYIELD2</stp>
        <stp>3</stp>
        <stp>002542</stp>
        <stp>12/31/2018</stp>
        <stp>2019-11-29</stp>
        <tr r="Q2894" s="1"/>
      </tp>
      <tp>
        <v>0</v>
        <stp/>
        <stp>EM_S_VAL_DIVIDENDYIELD2</stp>
        <stp>3</stp>
        <stp>002552</stp>
        <stp>12/31/2018</stp>
        <stp>2019-11-29</stp>
        <tr r="Q17" s="1"/>
      </tp>
      <tp>
        <v>1.0063694267515924</v>
        <stp/>
        <stp>EM_S_VAL_DIVIDENDYIELD2</stp>
        <stp>3</stp>
        <stp>002582</stp>
        <stp>12/31/2018</stp>
        <stp>2019-11-29</stp>
        <tr r="Q1633" s="1"/>
      </tp>
      <tp>
        <v>0</v>
        <stp/>
        <stp>EM_S_VAL_DIVIDENDYIELD2</stp>
        <stp>3</stp>
        <stp>002592</stp>
        <stp>12/31/2018</stp>
        <stp>2019-11-29</stp>
        <tr r="Q3324" s="1"/>
      </tp>
      <tp>
        <v>0.31521122425430564</v>
        <stp/>
        <stp>EM_S_VAL_DIVIDENDYIELD2</stp>
        <stp>3</stp>
        <stp>002822</stp>
        <stp>12/31/2018</stp>
        <stp>2019-11-29</stp>
        <tr r="Q219" s="1"/>
      </tp>
      <tp>
        <v>1.1936592818945759</v>
        <stp/>
        <stp>EM_S_VAL_DIVIDENDYIELD2</stp>
        <stp>3</stp>
        <stp>002832</stp>
        <stp>12/31/2018</stp>
        <stp>2019-11-29</stp>
        <tr r="Q3123" s="1"/>
      </tp>
      <tp>
        <v>5.2495134055966277</v>
        <stp/>
        <stp>EM_S_VAL_DIVIDENDYIELD2</stp>
        <stp>3</stp>
        <stp>002802</stp>
        <stp>12/31/2018</stp>
        <stp>2019-11-29</stp>
        <tr r="Q2459" s="1"/>
      </tp>
      <tp>
        <v>0.5399463334199287</v>
        <stp/>
        <stp>EM_S_VAL_DIVIDENDYIELD2</stp>
        <stp>3</stp>
        <stp>002812</stp>
        <stp>12/31/2018</stp>
        <stp>2019-11-29</stp>
        <tr r="Q2026" s="1"/>
      </tp>
      <tp>
        <v>0.43177892918825561</v>
        <stp/>
        <stp>EM_S_VAL_DIVIDENDYIELD2</stp>
        <stp>3</stp>
        <stp>002862</stp>
        <stp>12/31/2018</stp>
        <stp>2019-11-29</stp>
        <tr r="Q2070" s="1"/>
      </tp>
      <tp>
        <v>0</v>
        <stp/>
        <stp>EM_S_VAL_DIVIDENDYIELD2</stp>
        <stp>3</stp>
        <stp>002872</stp>
        <stp>12/31/2018</stp>
        <stp>2019-11-29</stp>
        <tr r="Q3295" s="1"/>
      </tp>
      <tp>
        <v>0.55903398926654746</v>
        <stp/>
        <stp>EM_S_VAL_DIVIDENDYIELD2</stp>
        <stp>3</stp>
        <stp>002842</stp>
        <stp>12/31/2018</stp>
        <stp>2019-11-29</stp>
        <tr r="Q2843" s="1"/>
      </tp>
      <tp>
        <v>3.1801609642301707</v>
        <stp/>
        <stp>EM_S_VAL_DIVIDENDYIELD2</stp>
        <stp>3</stp>
        <stp>002852</stp>
        <stp>12/31/2018</stp>
        <stp>2019-11-29</stp>
        <tr r="Q1784" s="1"/>
      </tp>
      <tp>
        <v>1.513622603430878</v>
        <stp/>
        <stp>EM_S_VAL_DIVIDENDYIELD2</stp>
        <stp>3</stp>
        <stp>002882</stp>
        <stp>12/31/2018</stp>
        <stp>2019-11-29</stp>
        <tr r="Q1759" s="1"/>
      </tp>
      <tp>
        <v>0.79215988049702379</v>
        <stp/>
        <stp>EM_S_VAL_DIVIDENDYIELD2</stp>
        <stp>3</stp>
        <stp>002892</stp>
        <stp>12/31/2018</stp>
        <stp>2019-11-29</stp>
        <tr r="Q1688" s="1"/>
      </tp>
      <tp>
        <v>1.0364820435537088</v>
        <stp/>
        <stp>EM_S_VAL_DIVIDENDYIELD2</stp>
        <stp>3</stp>
        <stp>002922</stp>
        <stp>12/31/2018</stp>
        <stp>2019-11-29</stp>
        <tr r="Q2884" s="1"/>
      </tp>
      <tp>
        <v>0.15686274509803921</v>
        <stp/>
        <stp>EM_S_VAL_DIVIDENDYIELD2</stp>
        <stp>3</stp>
        <stp>002902</stp>
        <stp>12/31/2018</stp>
        <stp>2019-11-29</stp>
        <tr r="Q2409" s="1"/>
      </tp>
      <tp>
        <v>0.65052041633306645</v>
        <stp/>
        <stp>EM_S_VAL_DIVIDENDYIELD2</stp>
        <stp>3</stp>
        <stp>002912</stp>
        <stp>12/31/2018</stp>
        <stp>2019-11-29</stp>
        <tr r="Q494" s="1"/>
      </tp>
      <tp>
        <v>4.3059257740414185E-2</v>
        <stp/>
        <stp>EM_S_VAL_DIVIDENDYIELD2</stp>
        <stp>3</stp>
        <stp>603222</stp>
        <stp>12/31/2018</stp>
        <stp>2019-11-29</stp>
        <tr r="Q29" s="1"/>
      </tp>
      <tp>
        <v>0.72680832507021476</v>
        <stp/>
        <stp>EM_S_VAL_DIVIDENDYIELD2</stp>
        <stp>3</stp>
        <stp>603232</stp>
        <stp>12/31/2018</stp>
        <stp>2019-11-29</stp>
        <tr r="Q680" s="1"/>
      </tp>
      <tp>
        <v>0</v>
        <stp/>
        <stp>EM_S_VAL_DIVIDENDYIELD2</stp>
        <stp>3</stp>
        <stp>603302</stp>
        <stp>12/31/2018</stp>
        <stp>2019-11-29</stp>
        <tr r="Q14" s="1"/>
      </tp>
      <tp>
        <v>0.33282023547031658</v>
        <stp/>
        <stp>EM_S_VAL_DIVIDENDYIELD2</stp>
        <stp>3</stp>
        <stp>603322</stp>
        <stp>12/31/2018</stp>
        <stp>2019-11-29</stp>
        <tr r="Q3308" s="1"/>
      </tp>
      <tp>
        <v>0</v>
        <stp/>
        <stp>EM_S_VAL_DIVIDENDYIELD2</stp>
        <stp>3</stp>
        <stp>603042</stp>
        <stp>12/31/2018</stp>
        <stp>2019-11-29</stp>
        <tr r="Q2387" s="1"/>
      </tp>
      <tp>
        <v>1.0567010309278349</v>
        <stp/>
        <stp>EM_S_VAL_DIVIDENDYIELD2</stp>
        <stp>3</stp>
        <stp>603002</stp>
        <stp>12/31/2018</stp>
        <stp>2019-11-29</stp>
        <tr r="Q1090" s="1"/>
      </tp>
      <tp>
        <v>0.29002320185614849</v>
        <stp/>
        <stp>EM_S_VAL_DIVIDENDYIELD2</stp>
        <stp>3</stp>
        <stp>603012</stp>
        <stp>12/31/2018</stp>
        <stp>2019-11-29</stp>
        <tr r="Q1606" s="1"/>
      </tp>
      <tp>
        <v>0.33667621776504297</v>
        <stp/>
        <stp>EM_S_VAL_DIVIDENDYIELD2</stp>
        <stp>3</stp>
        <stp>603022</stp>
        <stp>12/31/2018</stp>
        <stp>2019-11-29</stp>
        <tr r="Q185" s="1"/>
      </tp>
      <tp>
        <v>0.27027027027027029</v>
        <stp/>
        <stp>EM_S_VAL_DIVIDENDYIELD2</stp>
        <stp>3</stp>
        <stp>603032</stp>
        <stp>12/31/2018</stp>
        <stp>2019-11-29</stp>
        <tr r="Q3116" s="1"/>
      </tp>
      <tp>
        <v>0.1815211472136504</v>
        <stp/>
        <stp>EM_S_VAL_DIVIDENDYIELD2</stp>
        <stp>3</stp>
        <stp>603602</stp>
        <stp>12/31/2018</stp>
        <stp>2019-11-29</stp>
        <tr r="Q2921" s="1"/>
      </tp>
      <tp>
        <v>0.91001011122345798</v>
        <stp/>
        <stp>EM_S_VAL_DIVIDENDYIELD2</stp>
        <stp>3</stp>
        <stp>603612</stp>
        <stp>12/31/2018</stp>
        <stp>2019-11-29</stp>
        <tr r="Q2028" s="1"/>
      </tp>
      <tp>
        <v>0.24319066147859922</v>
        <stp/>
        <stp>EM_S_VAL_DIVIDENDYIELD2</stp>
        <stp>3</stp>
        <stp>603712</stp>
        <stp>12/31/2018</stp>
        <stp>2019-11-29</stp>
        <tr r="Q824" s="1"/>
      </tp>
      <tp>
        <v>0.87221979938944605</v>
        <stp/>
        <stp>EM_S_VAL_DIVIDENDYIELD2</stp>
        <stp>3</stp>
        <stp>603722</stp>
        <stp>12/31/2018</stp>
        <stp>2019-11-29</stp>
        <tr r="Q673" s="1"/>
      </tp>
      <tp>
        <v>1.0420465944272106</v>
        <stp/>
        <stp>EM_S_VAL_DIVIDENDYIELD2</stp>
        <stp>3</stp>
        <stp>603822</stp>
        <stp>12/31/2018</stp>
        <stp>2019-11-29</stp>
        <tr r="Q1362" s="1"/>
      </tp>
      <tp>
        <v>0.22222222222222227</v>
        <stp/>
        <stp>EM_S_VAL_DIVIDENDYIELD2</stp>
        <stp>3</stp>
        <stp>603882</stp>
        <stp>12/31/2018</stp>
        <stp>2019-11-29</stp>
        <tr r="Q116" s="1"/>
      </tp>
      <tp>
        <v>1.8858179511427469</v>
        <stp/>
        <stp>EM_S_VAL_DIVIDENDYIELD2</stp>
        <stp>3</stp>
        <stp>603912</stp>
        <stp>12/31/2018</stp>
        <stp>2019-11-29</stp>
        <tr r="Q2116" s="1"/>
      </tp>
      <tp>
        <v>0.91154625253207289</v>
        <stp/>
        <stp>EM_S_VAL_DIVIDENDYIELD2</stp>
        <stp>3</stp>
        <stp>603922</stp>
        <stp>12/31/2018</stp>
        <stp>2019-11-29</stp>
        <tr r="Q2100" s="1"/>
      </tp>
      <tp>
        <v>0.43080236988979631</v>
        <stp/>
        <stp>EM_S_VAL_DIVIDENDYIELD2</stp>
        <stp>3</stp>
        <stp>300212</stp>
        <stp>12/31/2018</stp>
        <stp>2019-11-29</stp>
        <tr r="Q426" s="1"/>
      </tp>
      <tp>
        <v>0</v>
        <stp/>
        <stp>EM_S_VAL_DIVIDENDYIELD2</stp>
        <stp>3</stp>
        <stp>600242</stp>
        <stp>12/31/2018</stp>
        <stp>2019-11-29</stp>
        <tr r="Q3360" s="1"/>
      </tp>
      <tp>
        <v>0</v>
        <stp/>
        <stp>EM_S_VAL_DIVIDENDYIELD2</stp>
        <stp>3</stp>
        <stp>300202</stp>
        <stp>12/31/2018</stp>
        <stp>2019-11-29</stp>
        <tr r="Q299" s="1"/>
      </tp>
      <tp>
        <v>2.054794520547945</v>
        <stp/>
        <stp>EM_S_VAL_DIVIDENDYIELD2</stp>
        <stp>3</stp>
        <stp>600252</stp>
        <stp>12/31/2018</stp>
        <stp>2019-11-29</stp>
        <tr r="Q1069" s="1"/>
      </tp>
      <tp>
        <v>0.61574724464637431</v>
        <stp/>
        <stp>EM_S_VAL_DIVIDENDYIELD2</stp>
        <stp>3</stp>
        <stp>300232</stp>
        <stp>12/31/2018</stp>
        <stp>2019-11-29</stp>
        <tr r="Q1976" s="1"/>
      </tp>
      <tp>
        <v>1.1771300448430493</v>
        <stp/>
        <stp>EM_S_VAL_DIVIDENDYIELD2</stp>
        <stp>3</stp>
        <stp>600262</stp>
        <stp>12/31/2018</stp>
        <stp>2019-11-29</stp>
        <tr r="Q2020" s="1"/>
      </tp>
      <tp>
        <v>0.94043983498031758</v>
        <stp/>
        <stp>EM_S_VAL_DIVIDENDYIELD2</stp>
        <stp>3</stp>
        <stp>300222</stp>
        <stp>12/31/2018</stp>
        <stp>2019-11-29</stp>
        <tr r="Q3309" s="1"/>
      </tp>
      <tp>
        <v>0.62326869806094187</v>
        <stp/>
        <stp>EM_S_VAL_DIVIDENDYIELD2</stp>
        <stp>3</stp>
        <stp>600272</stp>
        <stp>12/31/2018</stp>
        <stp>2019-11-29</stp>
        <tr r="Q1919" s="1"/>
      </tp>
      <tp>
        <v>0.56369785794813987</v>
        <stp/>
        <stp>EM_S_VAL_DIVIDENDYIELD2</stp>
        <stp>3</stp>
        <stp>300252</stp>
        <stp>12/31/2018</stp>
        <stp>2019-11-29</stp>
        <tr r="Q2966" s="1"/>
      </tp>
      <tp>
        <v>0</v>
        <stp/>
        <stp>EM_S_VAL_DIVIDENDYIELD2</stp>
        <stp>3</stp>
        <stp>600202</stp>
        <stp>12/31/2018</stp>
        <stp>2019-11-29</stp>
        <tr r="Q605" s="1"/>
      </tp>
      <tp>
        <v>0</v>
        <stp/>
        <stp>EM_S_VAL_DIVIDENDYIELD2</stp>
        <stp>3</stp>
        <stp>300242</stp>
        <stp>12/31/2018</stp>
        <stp>2019-11-29</stp>
        <tr r="Q2537" s="1"/>
      </tp>
      <tp>
        <v>0</v>
        <stp/>
        <stp>EM_S_VAL_DIVIDENDYIELD2</stp>
        <stp>3</stp>
        <stp>600212</stp>
        <stp>12/31/2018</stp>
        <stp>2019-11-29</stp>
        <tr r="Q2006" s="1"/>
      </tp>
      <tp>
        <v>1.8627237864262802</v>
        <stp/>
        <stp>EM_S_VAL_DIVIDENDYIELD2</stp>
        <stp>3</stp>
        <stp>300272</stp>
        <stp>12/31/2018</stp>
        <stp>2019-11-29</stp>
        <tr r="Q3189" s="1"/>
      </tp>
      <tp>
        <v>0</v>
        <stp/>
        <stp>EM_S_VAL_DIVIDENDYIELD2</stp>
        <stp>3</stp>
        <stp>600222</stp>
        <stp>12/31/2018</stp>
        <stp>2019-11-29</stp>
        <tr r="Q1015" s="1"/>
      </tp>
      <tp>
        <v>0.82859209828608205</v>
        <stp/>
        <stp>EM_S_VAL_DIVIDENDYIELD2</stp>
        <stp>3</stp>
        <stp>300262</stp>
        <stp>12/31/2018</stp>
        <stp>2019-11-29</stp>
        <tr r="Q2823" s="1"/>
      </tp>
      <tp>
        <v>1.6977928692699491</v>
        <stp/>
        <stp>EM_S_VAL_DIVIDENDYIELD2</stp>
        <stp>3</stp>
        <stp>600232</stp>
        <stp>12/31/2018</stp>
        <stp>2019-11-29</stp>
        <tr r="Q942" s="1"/>
      </tp>
      <tp>
        <v>0</v>
        <stp/>
        <stp>EM_S_VAL_DIVIDENDYIELD2</stp>
        <stp>3</stp>
        <stp>300292</stp>
        <stp>12/31/2018</stp>
        <stp>2019-11-29</stp>
        <tr r="Q894" s="1"/>
      </tp>
      <tp>
        <v>0.207569238674117</v>
        <stp/>
        <stp>EM_S_VAL_DIVIDENDYIELD2</stp>
        <stp>3</stp>
        <stp>300282</stp>
        <stp>12/31/2018</stp>
        <stp>2019-11-29</stp>
        <tr r="Q3268" s="1"/>
      </tp>
      <tp>
        <v>9.0835229703984659</v>
        <stp/>
        <stp>EM_S_VAL_DIVIDENDYIELD2</stp>
        <stp>3</stp>
        <stp>600282</stp>
        <stp>12/31/2018</stp>
        <stp>2019-11-29</stp>
        <tr r="Q2261" s="1"/>
      </tp>
      <tp>
        <v>0.92592592592592582</v>
        <stp/>
        <stp>EM_S_VAL_DIVIDENDYIELD2</stp>
        <stp>3</stp>
        <stp>600292</stp>
        <stp>12/31/2018</stp>
        <stp>2019-11-29</stp>
        <tr r="Q1533" s="1"/>
      </tp>
      <tp>
        <v>0</v>
        <stp/>
        <stp>EM_S_VAL_DIVIDENDYIELD2</stp>
        <stp>3</stp>
        <stp>300312</stp>
        <stp>12/31/2018</stp>
        <stp>2019-11-29</stp>
        <tr r="Q3298" s="1"/>
      </tp>
      <tp>
        <v>0</v>
        <stp/>
        <stp>EM_S_VAL_DIVIDENDYIELD2</stp>
        <stp>3</stp>
        <stp>300302</stp>
        <stp>12/31/2018</stp>
        <stp>2019-11-29</stp>
        <tr r="Q343" s="1"/>
      </tp>
      <tp>
        <v>1.8982536066818527</v>
        <stp/>
        <stp>EM_S_VAL_DIVIDENDYIELD2</stp>
        <stp>3</stp>
        <stp>600352</stp>
        <stp>12/31/2018</stp>
        <stp>2019-11-29</stp>
        <tr r="Q572" s="1"/>
      </tp>
      <tp>
        <v>0.53475935828877008</v>
        <stp/>
        <stp>EM_S_VAL_DIVIDENDYIELD2</stp>
        <stp>3</stp>
        <stp>300332</stp>
        <stp>12/31/2018</stp>
        <stp>2019-11-29</stp>
        <tr r="Q1799" s="1"/>
      </tp>
      <tp>
        <v>1.4194464158977997</v>
        <stp/>
        <stp>EM_S_VAL_DIVIDENDYIELD2</stp>
        <stp>3</stp>
        <stp>600362</stp>
        <stp>12/31/2018</stp>
        <stp>2019-11-29</stp>
        <tr r="Q900" s="1"/>
      </tp>
      <tp>
        <v>0.15503875968992248</v>
        <stp/>
        <stp>EM_S_VAL_DIVIDENDYIELD2</stp>
        <stp>3</stp>
        <stp>300322</stp>
        <stp>12/31/2018</stp>
        <stp>2019-11-29</stp>
        <tr r="Q123" s="1"/>
      </tp>
      <tp>
        <v>0.36549660843386778</v>
        <stp/>
        <stp>EM_S_VAL_DIVIDENDYIELD2</stp>
        <stp>3</stp>
        <stp>600372</stp>
        <stp>12/31/2018</stp>
        <stp>2019-11-29</stp>
        <tr r="Q1736" s="1"/>
      </tp>
      <tp>
        <v>0.12224938875305626</v>
        <stp/>
        <stp>EM_S_VAL_DIVIDENDYIELD2</stp>
        <stp>3</stp>
        <stp>300352</stp>
        <stp>12/31/2018</stp>
        <stp>2019-11-29</stp>
        <tr r="Q122" s="1"/>
      </tp>
      <tp>
        <v>0</v>
        <stp/>
        <stp>EM_S_VAL_DIVIDENDYIELD2</stp>
        <stp>3</stp>
        <stp>600302</stp>
        <stp>12/31/2018</stp>
        <stp>2019-11-29</stp>
        <tr r="Q1508" s="1"/>
      </tp>
      <tp>
        <v>1.7304884123842659</v>
        <stp/>
        <stp>EM_S_VAL_DIVIDENDYIELD2</stp>
        <stp>3</stp>
        <stp>300342</stp>
        <stp>12/31/2018</stp>
        <stp>2019-11-29</stp>
        <tr r="Q861" s="1"/>
      </tp>
      <tp>
        <v>0.99378881987577661</v>
        <stp/>
        <stp>EM_S_VAL_DIVIDENDYIELD2</stp>
        <stp>3</stp>
        <stp>600312</stp>
        <stp>12/31/2018</stp>
        <stp>2019-11-29</stp>
        <tr r="Q3067" s="1"/>
      </tp>
      <tp>
        <v>0</v>
        <stp/>
        <stp>EM_S_VAL_DIVIDENDYIELD2</stp>
        <stp>3</stp>
        <stp>300372</stp>
        <stp>12/31/2018</stp>
        <stp>2019-11-29</stp>
        <tr r="Q2283" s="1"/>
      </tp>
      <tp>
        <v>0</v>
        <stp/>
        <stp>EM_S_VAL_DIVIDENDYIELD2</stp>
        <stp>3</stp>
        <stp>600322</stp>
        <stp>12/31/2018</stp>
        <stp>2019-11-29</stp>
        <tr r="Q2723" s="1"/>
      </tp>
      <tp>
        <v>0</v>
        <stp/>
        <stp>EM_S_VAL_DIVIDENDYIELD2</stp>
        <stp>3</stp>
        <stp>300362</stp>
        <stp>12/31/2018</stp>
        <stp>2019-11-29</stp>
        <tr r="Q3359" s="1"/>
      </tp>
      <tp>
        <v>1.2755716004813478</v>
        <stp/>
        <stp>EM_S_VAL_DIVIDENDYIELD2</stp>
        <stp>3</stp>
        <stp>600332</stp>
        <stp>12/31/2018</stp>
        <stp>2019-11-29</stp>
        <tr r="Q2596" s="1"/>
      </tp>
      <tp>
        <v>0</v>
        <stp/>
        <stp>EM_S_VAL_DIVIDENDYIELD2</stp>
        <stp>3</stp>
        <stp>300392</stp>
        <stp>12/31/2018</stp>
        <stp>2019-11-29</stp>
        <tr r="Q2449" s="1"/>
      </tp>
      <tp>
        <v>3.9525691699604746</v>
        <stp/>
        <stp>EM_S_VAL_DIVIDENDYIELD2</stp>
        <stp>3</stp>
        <stp>300382</stp>
        <stp>12/31/2018</stp>
        <stp>2019-11-29</stp>
        <tr r="Q2351" s="1"/>
      </tp>
      <tp>
        <v>0.68477516503598446</v>
        <stp/>
        <stp>EM_S_VAL_DIVIDENDYIELD2</stp>
        <stp>3</stp>
        <stp>600382</stp>
        <stp>12/31/2018</stp>
        <stp>2019-11-29</stp>
        <tr r="Q2733" s="1"/>
      </tp>
      <tp>
        <v>0.36855036855036855</v>
        <stp/>
        <stp>EM_S_VAL_DIVIDENDYIELD2</stp>
        <stp>3</stp>
        <stp>600392</stp>
        <stp>12/31/2018</stp>
        <stp>2019-11-29</stp>
        <tr r="Q1949" s="1"/>
      </tp>
      <tp>
        <v>0</v>
        <stp/>
        <stp>EM_S_VAL_DIVIDENDYIELD2</stp>
        <stp>3</stp>
        <stp>000022</stp>
        <stp>12/31/2018</stp>
        <stp>2019-11-29</stp>
        <tr r="Q3" s="1"/>
      </tp>
      <tp>
        <v>0.25773195876288657</v>
        <stp/>
        <stp>EM_S_VAL_DIVIDENDYIELD2</stp>
        <stp>3</stp>
        <stp>300012</stp>
        <stp>12/31/2018</stp>
        <stp>2019-11-29</stp>
        <tr r="Q112" s="1"/>
      </tp>
      <tp>
        <v>0.61491160645657184</v>
        <stp/>
        <stp>EM_S_VAL_DIVIDENDYIELD2</stp>
        <stp>3</stp>
        <stp>000032</stp>
        <stp>12/31/2018</stp>
        <stp>2019-11-29</stp>
        <tr r="Q158" s="1"/>
      </tp>
      <tp>
        <v>0</v>
        <stp/>
        <stp>EM_S_VAL_DIVIDENDYIELD2</stp>
        <stp>3</stp>
        <stp>300002</stp>
        <stp>12/31/2018</stp>
        <stp>2019-11-29</stp>
        <tr r="Q2398" s="1"/>
      </tp>
      <tp>
        <v>1.8509615384615388</v>
        <stp/>
        <stp>EM_S_VAL_DIVIDENDYIELD2</stp>
        <stp>3</stp>
        <stp>600052</stp>
        <stp>12/31/2018</stp>
        <stp>2019-11-29</stp>
        <tr r="Q481" s="1"/>
      </tp>
      <tp>
        <v>3.7729314079422385</v>
        <stp/>
        <stp>EM_S_VAL_DIVIDENDYIELD2</stp>
        <stp>3</stp>
        <stp>000002</stp>
        <stp>12/31/2018</stp>
        <stp>2019-11-29</stp>
        <tr r="Q725" s="1"/>
      </tp>
      <tp>
        <v>0</v>
        <stp/>
        <stp>EM_S_VAL_DIVIDENDYIELD2</stp>
        <stp>3</stp>
        <stp>300032</stp>
        <stp>12/31/2018</stp>
        <stp>2019-11-29</stp>
        <tr r="Q987" s="1"/>
      </tp>
      <tp>
        <v>2.2536348949919227</v>
        <stp/>
        <stp>EM_S_VAL_DIVIDENDYIELD2</stp>
        <stp>3</stp>
        <stp>600062</stp>
        <stp>12/31/2018</stp>
        <stp>2019-11-29</stp>
        <tr r="Q1938" s="1"/>
      </tp>
      <tp>
        <v>1.0401497820368879</v>
        <stp/>
        <stp>EM_S_VAL_DIVIDENDYIELD2</stp>
        <stp>3</stp>
        <stp>000012</stp>
        <stp>12/31/2018</stp>
        <stp>2019-11-29</stp>
        <tr r="Q741" s="1"/>
      </tp>
      <tp>
        <v>0</v>
        <stp/>
        <stp>EM_S_VAL_DIVIDENDYIELD2</stp>
        <stp>3</stp>
        <stp>300022</stp>
        <stp>12/31/2018</stp>
        <stp>2019-11-29</stp>
        <tr r="Q1917" s="1"/>
      </tp>
      <tp>
        <v>0.14880952380952381</v>
        <stp/>
        <stp>EM_S_VAL_DIVIDENDYIELD2</stp>
        <stp>3</stp>
        <stp>600072</stp>
        <stp>12/31/2018</stp>
        <stp>2019-11-29</stp>
        <tr r="Q198" s="1"/>
      </tp>
      <tp>
        <v>1.2992750049201358</v>
        <stp/>
        <stp>EM_S_VAL_DIVIDENDYIELD2</stp>
        <stp>3</stp>
        <stp>000062</stp>
        <stp>12/31/2018</stp>
        <stp>2019-11-29</stp>
        <tr r="Q1072" s="1"/>
      </tp>
      <tp>
        <v>0.15303843919489046</v>
        <stp/>
        <stp>EM_S_VAL_DIVIDENDYIELD2</stp>
        <stp>3</stp>
        <stp>300052</stp>
        <stp>12/31/2018</stp>
        <stp>2019-11-29</stp>
        <tr r="Q509" s="1"/>
      </tp>
      <tp>
        <v>0</v>
        <stp/>
        <stp>EM_S_VAL_DIVIDENDYIELD2</stp>
        <stp>3</stp>
        <stp>600002</stp>
        <stp>12/31/2018</stp>
        <stp>2019-11-29</stp>
        <tr r="Q2286" s="1"/>
      </tp>
      <tp>
        <v>0.92915214866434381</v>
        <stp/>
        <stp>EM_S_VAL_DIVIDENDYIELD2</stp>
        <stp>3</stp>
        <stp>300042</stp>
        <stp>12/31/2018</stp>
        <stp>2019-11-29</stp>
        <tr r="Q1386" s="1"/>
      </tp>
      <tp>
        <v>4.3630017452006982</v>
        <stp/>
        <stp>EM_S_VAL_DIVIDENDYIELD2</stp>
        <stp>3</stp>
        <stp>600012</stp>
        <stp>12/31/2018</stp>
        <stp>2019-11-29</stp>
        <tr r="Q2470" s="1"/>
      </tp>
      <tp>
        <v>0.98039215686274506</v>
        <stp/>
        <stp>EM_S_VAL_DIVIDENDYIELD2</stp>
        <stp>3</stp>
        <stp>000042</stp>
        <stp>12/31/2018</stp>
        <stp>2019-11-29</stp>
        <tr r="Q2432" s="1"/>
      </tp>
      <tp>
        <v>0.5069256756756757</v>
        <stp/>
        <stp>EM_S_VAL_DIVIDENDYIELD2</stp>
        <stp>3</stp>
        <stp>300072</stp>
        <stp>12/31/2018</stp>
        <stp>2019-11-29</stp>
        <tr r="Q3283" s="1"/>
      </tp>
      <tp>
        <v>0</v>
        <stp/>
        <stp>EM_S_VAL_DIVIDENDYIELD2</stp>
        <stp>3</stp>
        <stp>600022</stp>
        <stp>12/31/2018</stp>
        <stp>2019-11-29</stp>
        <tr r="Q2738" s="1"/>
      </tp>
      <tp>
        <v>0.77821011673151752</v>
        <stp/>
        <stp>EM_S_VAL_DIVIDENDYIELD2</stp>
        <stp>3</stp>
        <stp>300062</stp>
        <stp>12/31/2018</stp>
        <stp>2019-11-29</stp>
        <tr r="Q1772" s="1"/>
      </tp>
      <tp>
        <v>0.22255192878338279</v>
        <stp/>
        <stp>EM_S_VAL_DIVIDENDYIELD2</stp>
        <stp>3</stp>
        <stp>300092</stp>
        <stp>12/31/2018</stp>
        <stp>2019-11-29</stp>
        <tr r="Q1306" s="1"/>
      </tp>
      <tp>
        <v>6.273408239700375</v>
        <stp/>
        <stp>EM_S_VAL_DIVIDENDYIELD2</stp>
        <stp>3</stp>
        <stp>300082</stp>
        <stp>12/31/2018</stp>
        <stp>2019-11-29</stp>
        <tr r="Q2238" s="1"/>
      </tp>
      <tp>
        <v>0</v>
        <stp/>
        <stp>EM_S_VAL_DIVIDENDYIELD2</stp>
        <stp>3</stp>
        <stp>600082</stp>
        <stp>12/31/2018</stp>
        <stp>2019-11-29</stp>
        <tr r="Q2681" s="1"/>
      </tp>
      <tp>
        <v>0</v>
        <stp/>
        <stp>EM_S_VAL_DIVIDENDYIELD2</stp>
        <stp>3</stp>
        <stp>600092</stp>
        <stp>12/31/2018</stp>
        <stp>2019-11-29</stp>
        <tr r="Q2291" s="1"/>
      </tp>
      <tp>
        <v>1.6528925619834711</v>
        <stp/>
        <stp>EM_S_VAL_DIVIDENDYIELD2</stp>
        <stp>3</stp>
        <stp>300112</stp>
        <stp>12/31/2018</stp>
        <stp>2019-11-29</stp>
        <tr r="Q580" s="1"/>
      </tp>
      <tp>
        <v>0.61576354679802969</v>
        <stp/>
        <stp>EM_S_VAL_DIVIDENDYIELD2</stp>
        <stp>3</stp>
        <stp>300102</stp>
        <stp>12/31/2018</stp>
        <stp>2019-11-29</stp>
        <tr r="Q3006" s="1"/>
      </tp>
      <tp>
        <v>0</v>
        <stp/>
        <stp>EM_S_VAL_DIVIDENDYIELD2</stp>
        <stp>3</stp>
        <stp>600152</stp>
        <stp>12/31/2018</stp>
        <stp>2019-11-29</stp>
        <tr r="Q1376" s="1"/>
      </tp>
      <tp>
        <v>0.82095161393159266</v>
        <stp/>
        <stp>EM_S_VAL_DIVIDENDYIELD2</stp>
        <stp>3</stp>
        <stp>300132</stp>
        <stp>12/31/2018</stp>
        <stp>2019-11-29</stp>
        <tr r="Q2143" s="1"/>
      </tp>
      <tp>
        <v>3.4126508073453135</v>
        <stp/>
        <stp>EM_S_VAL_DIVIDENDYIELD2</stp>
        <stp>3</stp>
        <stp>600162</stp>
        <stp>12/31/2018</stp>
        <stp>2019-11-29</stp>
        <tr r="Q2078" s="1"/>
      </tp>
      <tp>
        <v>1.1286681715575622</v>
        <stp/>
        <stp>EM_S_VAL_DIVIDENDYIELD2</stp>
        <stp>3</stp>
        <stp>300122</stp>
        <stp>12/31/2018</stp>
        <stp>2019-11-29</stp>
        <tr r="Q1101" s="1"/>
      </tp>
      <tp>
        <v>0</v>
        <stp/>
        <stp>EM_S_VAL_DIVIDENDYIELD2</stp>
        <stp>3</stp>
        <stp>600172</stp>
        <stp>12/31/2018</stp>
        <stp>2019-11-29</stp>
        <tr r="Q2575" s="1"/>
      </tp>
      <tp>
        <v>0</v>
        <stp/>
        <stp>EM_S_VAL_DIVIDENDYIELD2</stp>
        <stp>3</stp>
        <stp>300152</stp>
        <stp>12/31/2018</stp>
        <stp>2019-11-29</stp>
        <tr r="Q897" s="1"/>
      </tp>
      <tp>
        <v>0</v>
        <stp/>
        <stp>EM_S_VAL_DIVIDENDYIELD2</stp>
        <stp>3</stp>
        <stp>600102</stp>
        <stp>12/31/2018</stp>
        <stp>2019-11-29</stp>
        <tr r="Q2292" s="1"/>
      </tp>
      <tp>
        <v>9.9337748344370841E-2</v>
        <stp/>
        <stp>EM_S_VAL_DIVIDENDYIELD2</stp>
        <stp>3</stp>
        <stp>300142</stp>
        <stp>12/31/2018</stp>
        <stp>2019-11-29</stp>
        <tr r="Q360" s="1"/>
      </tp>
      <tp>
        <v>0</v>
        <stp/>
        <stp>EM_S_VAL_DIVIDENDYIELD2</stp>
        <stp>3</stp>
        <stp>600112</stp>
        <stp>12/31/2018</stp>
        <stp>2019-11-29</stp>
        <tr r="Q3347" s="1"/>
      </tp>
      <tp>
        <v>1.0080645161290323</v>
        <stp/>
        <stp>EM_S_VAL_DIVIDENDYIELD2</stp>
        <stp>3</stp>
        <stp>300172</stp>
        <stp>12/31/2018</stp>
        <stp>2019-11-29</stp>
        <tr r="Q2415" s="1"/>
      </tp>
      <tp>
        <v>0</v>
        <stp/>
        <stp>EM_S_VAL_DIVIDENDYIELD2</stp>
        <stp>3</stp>
        <stp>600122</stp>
        <stp>12/31/2018</stp>
        <stp>2019-11-29</stp>
        <tr r="Q3190" s="1"/>
      </tp>
      <tp>
        <v>0</v>
        <stp/>
        <stp>EM_S_VAL_DIVIDENDYIELD2</stp>
        <stp>3</stp>
        <stp>300162</stp>
        <stp>12/31/2018</stp>
        <stp>2019-11-29</stp>
        <tr r="Q194" s="1"/>
      </tp>
      <tp>
        <v>1.6433853738701727</v>
        <stp/>
        <stp>EM_S_VAL_DIVIDENDYIELD2</stp>
        <stp>3</stp>
        <stp>600132</stp>
        <stp>12/31/2018</stp>
        <stp>2019-11-29</stp>
        <tr r="Q313" s="1"/>
      </tp>
      <tp>
        <v>0</v>
        <stp/>
        <stp>EM_S_VAL_DIVIDENDYIELD2</stp>
        <stp>3</stp>
        <stp>300192</stp>
        <stp>12/31/2018</stp>
        <stp>2019-11-29</stp>
        <tr r="Q413" s="1"/>
      </tp>
      <tp>
        <v>0</v>
        <stp/>
        <stp>EM_S_VAL_DIVIDENDYIELD2</stp>
        <stp>3</stp>
        <stp>300182</stp>
        <stp>12/31/2018</stp>
        <stp>2019-11-29</stp>
        <tr r="Q3029" s="1"/>
      </tp>
      <tp>
        <v>0.52185257664709717</v>
        <stp/>
        <stp>EM_S_VAL_DIVIDENDYIELD2</stp>
        <stp>3</stp>
        <stp>600182</stp>
        <stp>12/31/2018</stp>
        <stp>2019-11-29</stp>
        <tr r="Q1800" s="1"/>
      </tp>
      <tp>
        <v>0.12396694214876033</v>
        <stp/>
        <stp>EM_S_VAL_DIVIDENDYIELD2</stp>
        <stp>3</stp>
        <stp>600192</stp>
        <stp>12/31/2018</stp>
        <stp>2019-11-29</stp>
        <tr r="Q1193" s="1"/>
      </tp>
      <tp>
        <v>0</v>
        <stp/>
        <stp>EM_S_VAL_DIVIDENDYIELD2</stp>
        <stp>3</stp>
        <stp>000622</stp>
        <stp>12/31/2018</stp>
        <stp>2019-11-29</stp>
        <tr r="Q3279" s="1"/>
      </tp>
      <tp>
        <v>0</v>
        <stp/>
        <stp>EM_S_VAL_DIVIDENDYIELD2</stp>
        <stp>3</stp>
        <stp>300612</stp>
        <stp>12/31/2018</stp>
        <stp>2019-11-29</stp>
        <tr r="Q1593" s="1"/>
      </tp>
      <tp>
        <v>3.1254997282039039</v>
        <stp/>
        <stp>EM_S_VAL_DIVIDENDYIELD2</stp>
        <stp>3</stp>
        <stp>600642</stp>
        <stp>12/31/2018</stp>
        <stp>2019-11-29</stp>
        <tr r="Q1343" s="1"/>
      </tp>
      <tp>
        <v>0</v>
        <stp/>
        <stp>EM_S_VAL_DIVIDENDYIELD2</stp>
        <stp>3</stp>
        <stp>000632</stp>
        <stp>12/31/2018</stp>
        <stp>2019-11-29</stp>
        <tr r="Q438" s="1"/>
      </tp>
      <tp>
        <v>0.14988743694124282</v>
        <stp/>
        <stp>EM_S_VAL_DIVIDENDYIELD2</stp>
        <stp>3</stp>
        <stp>300602</stp>
        <stp>12/31/2018</stp>
        <stp>2019-11-29</stp>
        <tr r="Q1016" s="1"/>
      </tp>
      <tp>
        <v>0</v>
        <stp/>
        <stp>EM_S_VAL_DIVIDENDYIELD2</stp>
        <stp>3</stp>
        <stp>600652</stp>
        <stp>12/31/2018</stp>
        <stp>2019-11-29</stp>
        <tr r="Q3367" s="1"/>
      </tp>
      <tp>
        <v>0</v>
        <stp/>
        <stp>EM_S_VAL_DIVIDENDYIELD2</stp>
        <stp>3</stp>
        <stp>000602</stp>
        <stp>12/31/2018</stp>
        <stp>2019-11-29</stp>
        <tr r="Q3478" s="1"/>
      </tp>
      <tp>
        <v>0.1694889411319179</v>
        <stp/>
        <stp>EM_S_VAL_DIVIDENDYIELD2</stp>
        <stp>3</stp>
        <stp>300632</stp>
        <stp>12/31/2018</stp>
        <stp>2019-11-29</stp>
        <tr r="Q320" s="1"/>
      </tp>
      <tp>
        <v>0.89686098654708535</v>
        <stp/>
        <stp>EM_S_VAL_DIVIDENDYIELD2</stp>
        <stp>3</stp>
        <stp>600662</stp>
        <stp>12/31/2018</stp>
        <stp>2019-11-29</stp>
        <tr r="Q1782" s="1"/>
      </tp>
      <tp>
        <v>0</v>
        <stp/>
        <stp>EM_S_VAL_DIVIDENDYIELD2</stp>
        <stp>3</stp>
        <stp>000612</stp>
        <stp>12/31/2018</stp>
        <stp>2019-11-29</stp>
        <tr r="Q3484" s="1"/>
      </tp>
      <tp>
        <v>1.7222029271208539</v>
        <stp/>
        <stp>EM_S_VAL_DIVIDENDYIELD2</stp>
        <stp>3</stp>
        <stp>300622</stp>
        <stp>12/31/2018</stp>
        <stp>2019-11-29</stp>
        <tr r="Q1369" s="1"/>
      </tp>
      <tp>
        <v>0</v>
        <stp/>
        <stp>EM_S_VAL_DIVIDENDYIELD2</stp>
        <stp>3</stp>
        <stp>600672</stp>
        <stp>12/31/2018</stp>
        <stp>2019-11-29</stp>
        <tr r="Q2315" s="1"/>
      </tp>
      <tp>
        <v>0</v>
        <stp/>
        <stp>EM_S_VAL_DIVIDENDYIELD2</stp>
        <stp>3</stp>
        <stp>000662</stp>
        <stp>12/31/2018</stp>
        <stp>2019-11-29</stp>
        <tr r="Q3497" s="1"/>
      </tp>
      <tp>
        <v>1.0570824524312896</v>
        <stp/>
        <stp>EM_S_VAL_DIVIDENDYIELD2</stp>
        <stp>3</stp>
        <stp>300652</stp>
        <stp>12/31/2018</stp>
        <stp>2019-11-29</stp>
        <tr r="Q2079" s="1"/>
      </tp>
      <tp>
        <v>0.75282308657465491</v>
        <stp/>
        <stp>EM_S_VAL_DIVIDENDYIELD2</stp>
        <stp>3</stp>
        <stp>600602</stp>
        <stp>12/31/2018</stp>
        <stp>2019-11-29</stp>
        <tr r="Q353" s="1"/>
      </tp>
      <tp>
        <v>2.5157232704402519</v>
        <stp/>
        <stp>EM_S_VAL_DIVIDENDYIELD2</stp>
        <stp>3</stp>
        <stp>000672</stp>
        <stp>12/31/2018</stp>
        <stp>2019-11-29</stp>
        <tr r="Q150" s="1"/>
      </tp>
      <tp>
        <v>0.738373325556412</v>
        <stp/>
        <stp>EM_S_VAL_DIVIDENDYIELD2</stp>
        <stp>3</stp>
        <stp>300642</stp>
        <stp>12/31/2018</stp>
        <stp>2019-11-29</stp>
        <tr r="Q1902" s="1"/>
      </tp>
      <tp>
        <v>2.2964509394572024</v>
        <stp/>
        <stp>EM_S_VAL_DIVIDENDYIELD2</stp>
        <stp>3</stp>
        <stp>600612</stp>
        <stp>12/31/2018</stp>
        <stp>2019-11-29</stp>
        <tr r="Q2043" s="1"/>
      </tp>
      <tp>
        <v>0.16970039900044118</v>
        <stp/>
        <stp>EM_S_VAL_DIVIDENDYIELD2</stp>
        <stp>3</stp>
        <stp>300672</stp>
        <stp>12/31/2018</stp>
        <stp>2019-11-29</stp>
        <tr r="Q1657" s="1"/>
      </tp>
      <tp>
        <v>3.4093330510409379</v>
        <stp/>
        <stp>EM_S_VAL_DIVIDENDYIELD2</stp>
        <stp>3</stp>
        <stp>600622</stp>
        <stp>12/31/2018</stp>
        <stp>2019-11-29</stp>
        <tr r="Q3247" s="1"/>
      </tp>
      <tp>
        <v>1.1976047904191616</v>
        <stp/>
        <stp>EM_S_VAL_DIVIDENDYIELD2</stp>
        <stp>3</stp>
        <stp>000652</stp>
        <stp>12/31/2018</stp>
        <stp>2019-11-29</stp>
        <tr r="Q1224" s="1"/>
      </tp>
      <tp>
        <v>0.44986263736263732</v>
        <stp/>
        <stp>EM_S_VAL_DIVIDENDYIELD2</stp>
        <stp>3</stp>
        <stp>300662</stp>
        <stp>12/31/2018</stp>
        <stp>2019-11-29</stp>
        <tr r="Q1399" s="1"/>
      </tp>
      <tp>
        <v>0</v>
        <stp/>
        <stp>EM_S_VAL_DIVIDENDYIELD2</stp>
        <stp>3</stp>
        <stp>600632</stp>
        <stp>12/31/2018</stp>
        <stp>2019-11-29</stp>
        <tr r="Q2310" s="1"/>
      </tp>
      <tp>
        <v>0.33898305084745761</v>
        <stp/>
        <stp>EM_S_VAL_DIVIDENDYIELD2</stp>
        <stp>3</stp>
        <stp>300692</stp>
        <stp>12/31/2018</stp>
        <stp>2019-11-29</stp>
        <tr r="Q2598" s="1"/>
      </tp>
      <tp>
        <v>0.25249076658696334</v>
        <stp/>
        <stp>EM_S_VAL_DIVIDENDYIELD2</stp>
        <stp>3</stp>
        <stp>300682</stp>
        <stp>12/31/2018</stp>
        <stp>2019-11-29</stp>
        <tr r="Q782" s="1"/>
      </tp>
      <tp>
        <v>0</v>
        <stp/>
        <stp>EM_S_VAL_DIVIDENDYIELD2</stp>
        <stp>3</stp>
        <stp>000682</stp>
        <stp>12/31/2018</stp>
        <stp>2019-11-29</stp>
        <tr r="Q515" s="1"/>
      </tp>
      <tp>
        <v>0</v>
        <stp/>
        <stp>EM_S_VAL_DIVIDENDYIELD2</stp>
        <stp>3</stp>
        <stp>000692</stp>
        <stp>12/31/2018</stp>
        <stp>2019-11-29</stp>
        <tr r="Q1493" s="1"/>
      </tp>
      <tp>
        <v>0</v>
        <stp/>
        <stp>EM_S_VAL_DIVIDENDYIELD2</stp>
        <stp>3</stp>
        <stp>600682</stp>
        <stp>12/31/2018</stp>
        <stp>2019-11-29</stp>
        <tr r="Q1585" s="1"/>
      </tp>
      <tp>
        <v>0</v>
        <stp/>
        <stp>EM_S_VAL_DIVIDENDYIELD2</stp>
        <stp>3</stp>
        <stp>600692</stp>
        <stp>12/31/2018</stp>
        <stp>2019-11-29</stp>
        <tr r="Q2781" s="1"/>
      </tp>
      <tp>
        <v>0.76219512195121963</v>
        <stp/>
        <stp>EM_S_VAL_DIVIDENDYIELD2</stp>
        <stp>3</stp>
        <stp>000722</stp>
        <stp>12/31/2018</stp>
        <stp>2019-11-29</stp>
        <tr r="Q1665" s="1"/>
      </tp>
      <tp>
        <v>0.66255880209368578</v>
        <stp/>
        <stp>EM_S_VAL_DIVIDENDYIELD2</stp>
        <stp>3</stp>
        <stp>300712</stp>
        <stp>12/31/2018</stp>
        <stp>2019-11-29</stp>
        <tr r="Q3068" s="1"/>
      </tp>
      <tp>
        <v>5.1063829787234036</v>
        <stp/>
        <stp>EM_S_VAL_DIVIDENDYIELD2</stp>
        <stp>3</stp>
        <stp>600742</stp>
        <stp>12/31/2018</stp>
        <stp>2019-11-29</stp>
        <tr r="Q1197" s="1"/>
      </tp>
      <tp>
        <v>1.943462897526502</v>
        <stp/>
        <stp>EM_S_VAL_DIVIDENDYIELD2</stp>
        <stp>3</stp>
        <stp>000732</stp>
        <stp>12/31/2018</stp>
        <stp>2019-11-29</stp>
        <tr r="Q3385" s="1"/>
      </tp>
      <tp>
        <v>0.29856687898089168</v>
        <stp/>
        <stp>EM_S_VAL_DIVIDENDYIELD2</stp>
        <stp>3</stp>
        <stp>300702</stp>
        <stp>12/31/2018</stp>
        <stp>2019-11-29</stp>
        <tr r="Q105" s="1"/>
      </tp>
      <tp>
        <v>0</v>
        <stp/>
        <stp>EM_S_VAL_DIVIDENDYIELD2</stp>
        <stp>3</stp>
        <stp>600752</stp>
        <stp>12/31/2018</stp>
        <stp>2019-11-29</stp>
        <tr r="Q2319" s="1"/>
      </tp>
      <tp>
        <v>0</v>
        <stp/>
        <stp>EM_S_VAL_DIVIDENDYIELD2</stp>
        <stp>3</stp>
        <stp>000702</stp>
        <stp>12/31/2018</stp>
        <stp>2019-11-29</stp>
        <tr r="Q3516" s="1"/>
      </tp>
      <tp>
        <v>1.2963443103997156</v>
        <stp/>
        <stp>EM_S_VAL_DIVIDENDYIELD2</stp>
        <stp>3</stp>
        <stp>300732</stp>
        <stp>12/31/2018</stp>
        <stp>2019-11-29</stp>
        <tr r="Q3364" s="1"/>
      </tp>
      <tp>
        <v>0</v>
        <stp/>
        <stp>EM_S_VAL_DIVIDENDYIELD2</stp>
        <stp>3</stp>
        <stp>600762</stp>
        <stp>12/31/2018</stp>
        <stp>2019-11-29</stp>
        <tr r="Q2320" s="1"/>
      </tp>
      <tp>
        <v>0</v>
        <stp/>
        <stp>EM_S_VAL_DIVIDENDYIELD2</stp>
        <stp>3</stp>
        <stp>000712</stp>
        <stp>12/31/2018</stp>
        <stp>2019-11-29</stp>
        <tr r="Q3518" s="1"/>
      </tp>
      <tp>
        <v>1.240694789081886</v>
        <stp/>
        <stp>EM_S_VAL_DIVIDENDYIELD2</stp>
        <stp>3</stp>
        <stp>300722</stp>
        <stp>12/31/2018</stp>
        <stp>2019-11-29</stp>
        <tr r="Q3251" s="1"/>
      </tp>
      <tp>
        <v>0</v>
        <stp/>
        <stp>EM_S_VAL_DIVIDENDYIELD2</stp>
        <stp>3</stp>
        <stp>600772</stp>
        <stp>12/31/2018</stp>
        <stp>2019-11-29</stp>
        <tr r="Q2321" s="1"/>
      </tp>
      <tp>
        <v>0</v>
        <stp/>
        <stp>EM_S_VAL_DIVIDENDYIELD2</stp>
        <stp>3</stp>
        <stp>000762</stp>
        <stp>12/31/2018</stp>
        <stp>2019-11-29</stp>
        <tr r="Q3531" s="1"/>
      </tp>
      <tp>
        <v>0.35492763611302552</v>
        <stp/>
        <stp>EM_S_VAL_DIVIDENDYIELD2</stp>
        <stp>3</stp>
        <stp>600702</stp>
        <stp>12/31/2018</stp>
        <stp>2019-11-29</stp>
        <tr r="Q882" s="1"/>
      </tp>
      <tp>
        <v>0</v>
        <stp/>
        <stp>EM_S_VAL_DIVIDENDYIELD2</stp>
        <stp>3</stp>
        <stp>300742</stp>
        <stp>12/31/2018</stp>
        <stp>2019-11-29</stp>
        <tr r="Q3334" s="1"/>
      </tp>
      <tp>
        <v>0</v>
        <stp/>
        <stp>EM_S_VAL_DIVIDENDYIELD2</stp>
        <stp>3</stp>
        <stp>600712</stp>
        <stp>12/31/2018</stp>
        <stp>2019-11-29</stp>
        <tr r="Q59" s="1"/>
      </tp>
      <tp>
        <v>0</v>
        <stp/>
        <stp>EM_S_VAL_DIVIDENDYIELD2</stp>
        <stp>3</stp>
        <stp>600722</stp>
        <stp>12/31/2018</stp>
        <stp>2019-11-29</stp>
        <tr r="Q2048" s="1"/>
      </tp>
      <tp>
        <v>0</v>
        <stp/>
        <stp>EM_S_VAL_DIVIDENDYIELD2</stp>
        <stp>3</stp>
        <stp>000752</stp>
        <stp>12/31/2018</stp>
        <stp>2019-11-29</stp>
        <tr r="Q3527" s="1"/>
      </tp>
      <tp>
        <v>0</v>
        <stp/>
        <stp>EM_S_VAL_DIVIDENDYIELD2</stp>
        <stp>3</stp>
        <stp>600732</stp>
        <stp>12/31/2018</stp>
        <stp>2019-11-29</stp>
        <tr r="Q281" s="1"/>
      </tp>
      <tp>
        <v>0.50251256281407042</v>
        <stp/>
        <stp>EM_S_VAL_DIVIDENDYIELD2</stp>
        <stp>3</stp>
        <stp>000782</stp>
        <stp>12/31/2018</stp>
        <stp>2019-11-29</stp>
        <tr r="Q3032" s="1"/>
      </tp>
      <tp>
        <v>0</v>
        <stp/>
        <stp>EM_S_VAL_DIVIDENDYIELD2</stp>
        <stp>3</stp>
        <stp>000792</stp>
        <stp>12/31/2018</stp>
        <stp>2019-11-29</stp>
        <tr r="Q3539" s="1"/>
      </tp>
      <tp>
        <v>4.166666666666667</v>
        <stp/>
        <stp>EM_S_VAL_DIVIDENDYIELD2</stp>
        <stp>3</stp>
        <stp>600782</stp>
        <stp>12/31/2018</stp>
        <stp>2019-11-29</stp>
        <tr r="Q2374" s="1"/>
      </tp>
      <tp>
        <v>0</v>
        <stp/>
        <stp>EM_S_VAL_DIVIDENDYIELD2</stp>
        <stp>3</stp>
        <stp>600792</stp>
        <stp>12/31/2018</stp>
        <stp>2019-11-29</stp>
        <tr r="Q952" s="1"/>
      </tp>
      <tp>
        <v>0</v>
        <stp/>
        <stp>EM_S_VAL_DIVIDENDYIELD2</stp>
        <stp>3</stp>
        <stp>000422</stp>
        <stp>12/31/2018</stp>
        <stp>2019-11-29</stp>
        <tr r="Q2350" s="1"/>
      </tp>
      <tp>
        <v>1.7786066407493368</v>
        <stp/>
        <stp>EM_S_VAL_DIVIDENDYIELD2</stp>
        <stp>3</stp>
        <stp>300412</stp>
        <stp>12/31/2018</stp>
        <stp>2019-11-29</stp>
        <tr r="Q2243" s="1"/>
      </tp>
      <tp>
        <v>0.28901734104046239</v>
        <stp/>
        <stp>EM_S_VAL_DIVIDENDYIELD2</stp>
        <stp>3</stp>
        <stp>300402</stp>
        <stp>12/31/2018</stp>
        <stp>2019-11-29</stp>
        <tr r="Q1278" s="1"/>
      </tp>
      <tp>
        <v>0.85729872963915521</v>
        <stp/>
        <stp>EM_S_VAL_DIVIDENDYIELD2</stp>
        <stp>3</stp>
        <stp>600452</stp>
        <stp>12/31/2018</stp>
        <stp>2019-11-29</stp>
        <tr r="Q1428" s="1"/>
      </tp>
      <tp>
        <v>3.8809831824062093</v>
        <stp/>
        <stp>EM_S_VAL_DIVIDENDYIELD2</stp>
        <stp>3</stp>
        <stp>000402</stp>
        <stp>12/31/2018</stp>
        <stp>2019-11-29</stp>
        <tr r="Q3415" s="1"/>
      </tp>
      <tp>
        <v>0</v>
        <stp/>
        <stp>EM_S_VAL_DIVIDENDYIELD2</stp>
        <stp>3</stp>
        <stp>300432</stp>
        <stp>12/31/2018</stp>
        <stp>2019-11-29</stp>
        <tr r="Q180" s="1"/>
      </tp>
      <tp>
        <v>0</v>
        <stp/>
        <stp>EM_S_VAL_DIVIDENDYIELD2</stp>
        <stp>3</stp>
        <stp>600462</stp>
        <stp>12/31/2018</stp>
        <stp>2019-11-29</stp>
        <tr r="Q3369" s="1"/>
      </tp>
      <tp>
        <v>0</v>
        <stp/>
        <stp>EM_S_VAL_DIVIDENDYIELD2</stp>
        <stp>3</stp>
        <stp>000412</stp>
        <stp>12/31/2018</stp>
        <stp>2019-11-29</stp>
        <tr r="Q3420" s="1"/>
      </tp>
      <tp>
        <v>0.68682995547961878</v>
        <stp/>
        <stp>EM_S_VAL_DIVIDENDYIELD2</stp>
        <stp>3</stp>
        <stp>300422</stp>
        <stp>12/31/2018</stp>
        <stp>2019-11-29</stp>
        <tr r="Q2032" s="1"/>
      </tp>
      <tp>
        <v>0</v>
        <stp/>
        <stp>EM_S_VAL_DIVIDENDYIELD2</stp>
        <stp>3</stp>
        <stp>600472</stp>
        <stp>12/31/2018</stp>
        <stp>2019-11-29</stp>
        <tr r="Q2303" s="1"/>
      </tp>
      <tp>
        <v>1.3333333333333335</v>
        <stp/>
        <stp>EM_S_VAL_DIVIDENDYIELD2</stp>
        <stp>3</stp>
        <stp>300452</stp>
        <stp>12/31/2018</stp>
        <stp>2019-11-29</stp>
        <tr r="Q1739" s="1"/>
      </tp>
      <tp>
        <v>0</v>
        <stp/>
        <stp>EM_S_VAL_DIVIDENDYIELD2</stp>
        <stp>3</stp>
        <stp>300442</stp>
        <stp>12/31/2018</stp>
        <stp>2019-11-29</stp>
        <tr r="Q1232" s="1"/>
      </tp>
      <tp>
        <v>0.51143953054471225</v>
        <stp/>
        <stp>EM_S_VAL_DIVIDENDYIELD2</stp>
        <stp>3</stp>
        <stp>300472</stp>
        <stp>12/31/2018</stp>
        <stp>2019-11-29</stp>
        <tr r="Q2439" s="1"/>
      </tp>
      <tp>
        <v>0.96711798839458418</v>
        <stp/>
        <stp>EM_S_VAL_DIVIDENDYIELD2</stp>
        <stp>3</stp>
        <stp>600422</stp>
        <stp>12/31/2018</stp>
        <stp>2019-11-29</stp>
        <tr r="Q333" s="1"/>
      </tp>
      <tp>
        <v>0.19866093012961683</v>
        <stp/>
        <stp>EM_S_VAL_DIVIDENDYIELD2</stp>
        <stp>3</stp>
        <stp>300462</stp>
        <stp>12/31/2018</stp>
        <stp>2019-11-29</stp>
        <tr r="Q369" s="1"/>
      </tp>
      <tp>
        <v>0</v>
        <stp/>
        <stp>EM_S_VAL_DIVIDENDYIELD2</stp>
        <stp>3</stp>
        <stp>600432</stp>
        <stp>12/31/2018</stp>
        <stp>2019-11-29</stp>
        <tr r="Q2302" s="1"/>
      </tp>
      <tp>
        <v>0.81879245283018876</v>
        <stp/>
        <stp>EM_S_VAL_DIVIDENDYIELD2</stp>
        <stp>3</stp>
        <stp>300492</stp>
        <stp>12/31/2018</stp>
        <stp>2019-11-29</stp>
        <tr r="Q69" s="1"/>
      </tp>
      <tp>
        <v>0.46105847357752661</v>
        <stp/>
        <stp>EM_S_VAL_DIVIDENDYIELD2</stp>
        <stp>3</stp>
        <stp>300482</stp>
        <stp>12/31/2018</stp>
        <stp>2019-11-29</stp>
        <tr r="Q183" s="1"/>
      </tp>
      <tp>
        <v>0</v>
        <stp/>
        <stp>EM_S_VAL_DIVIDENDYIELD2</stp>
        <stp>3</stp>
        <stp>600482</stp>
        <stp>12/31/2018</stp>
        <stp>2019-11-29</stp>
        <tr r="Q2777" s="1"/>
      </tp>
      <tp>
        <v>0</v>
        <stp/>
        <stp>EM_S_VAL_DIVIDENDYIELD2</stp>
        <stp>3</stp>
        <stp>000522</stp>
        <stp>12/31/2018</stp>
        <stp>2019-11-29</stp>
        <tr r="Q3442" s="1"/>
      </tp>
      <tp>
        <v>1.2070566388115136</v>
        <stp/>
        <stp>EM_S_VAL_DIVIDENDYIELD2</stp>
        <stp>3</stp>
        <stp>300512</stp>
        <stp>12/31/2018</stp>
        <stp>2019-11-29</stp>
        <tr r="Q2554" s="1"/>
      </tp>
      <tp>
        <v>0.26109660574412535</v>
        <stp/>
        <stp>EM_S_VAL_DIVIDENDYIELD2</stp>
        <stp>3</stp>
        <stp>000532</stp>
        <stp>12/31/2018</stp>
        <stp>2019-11-29</stp>
        <tr r="Q1180" s="1"/>
      </tp>
      <tp>
        <v>0.32508983022556998</v>
        <stp/>
        <stp>EM_S_VAL_DIVIDENDYIELD2</stp>
        <stp>3</stp>
        <stp>300502</stp>
        <stp>12/31/2018</stp>
        <stp>2019-11-29</stp>
        <tr r="Q171" s="1"/>
      </tp>
      <tp>
        <v>0</v>
        <stp/>
        <stp>EM_S_VAL_DIVIDENDYIELD2</stp>
        <stp>3</stp>
        <stp>600552</stp>
        <stp>12/31/2018</stp>
        <stp>2019-11-29</stp>
        <tr r="Q420" s="1"/>
      </tp>
      <tp>
        <v>0</v>
        <stp/>
        <stp>EM_S_VAL_DIVIDENDYIELD2</stp>
        <stp>3</stp>
        <stp>000502</stp>
        <stp>12/31/2018</stp>
        <stp>2019-11-29</stp>
        <tr r="Q3429" s="1"/>
      </tp>
      <tp>
        <v>0.59642147117296218</v>
        <stp/>
        <stp>EM_S_VAL_DIVIDENDYIELD2</stp>
        <stp>3</stp>
        <stp>300532</stp>
        <stp>12/31/2018</stp>
        <stp>2019-11-29</stp>
        <tr r="Q1967" s="1"/>
      </tp>
      <tp>
        <v>0.1395007342143906</v>
        <stp/>
        <stp>EM_S_VAL_DIVIDENDYIELD2</stp>
        <stp>3</stp>
        <stp>600562</stp>
        <stp>12/31/2018</stp>
        <stp>2019-11-29</stp>
        <tr r="Q1682" s="1"/>
      </tp>
      <tp>
        <v>1.2995451591942819</v>
        <stp/>
        <stp>EM_S_VAL_DIVIDENDYIELD2</stp>
        <stp>3</stp>
        <stp>300522</stp>
        <stp>12/31/2018</stp>
        <stp>2019-11-29</stp>
        <tr r="Q1837" s="1"/>
      </tp>
      <tp>
        <v>2.4077046548956664</v>
        <stp/>
        <stp>EM_S_VAL_DIVIDENDYIELD2</stp>
        <stp>3</stp>
        <stp>600572</stp>
        <stp>12/31/2018</stp>
        <stp>2019-11-29</stp>
        <tr r="Q2179" s="1"/>
      </tp>
      <tp>
        <v>0</v>
        <stp/>
        <stp>EM_S_VAL_DIVIDENDYIELD2</stp>
        <stp>3</stp>
        <stp>000562</stp>
        <stp>12/31/2018</stp>
        <stp>2019-11-29</stp>
        <tr r="Q3455" s="1"/>
      </tp>
      <tp>
        <v>1.7246201136459419E-2</v>
        <stp/>
        <stp>EM_S_VAL_DIVIDENDYIELD2</stp>
        <stp>3</stp>
        <stp>300552</stp>
        <stp>12/31/2018</stp>
        <stp>2019-11-29</stp>
        <tr r="Q15" s="1"/>
      </tp>
      <tp>
        <v>3.8759689922480614</v>
        <stp/>
        <stp>EM_S_VAL_DIVIDENDYIELD2</stp>
        <stp>3</stp>
        <stp>600502</stp>
        <stp>12/31/2018</stp>
        <stp>2019-11-29</stp>
        <tr r="Q1556" s="1"/>
      </tp>
      <tp>
        <v>0</v>
        <stp/>
        <stp>EM_S_VAL_DIVIDENDYIELD2</stp>
        <stp>3</stp>
        <stp>000572</stp>
        <stp>12/31/2018</stp>
        <stp>2019-11-29</stp>
        <tr r="Q3463" s="1"/>
      </tp>
      <tp>
        <v>0.22284871611915513</v>
        <stp/>
        <stp>EM_S_VAL_DIVIDENDYIELD2</stp>
        <stp>3</stp>
        <stp>300542</stp>
        <stp>12/31/2018</stp>
        <stp>2019-11-29</stp>
        <tr r="Q1783" s="1"/>
      </tp>
      <tp>
        <v>0.72992700729927007</v>
        <stp/>
        <stp>EM_S_VAL_DIVIDENDYIELD2</stp>
        <stp>3</stp>
        <stp>600512</stp>
        <stp>12/31/2018</stp>
        <stp>2019-11-29</stp>
        <tr r="Q947" s="1"/>
      </tp>
      <tp>
        <v>0</v>
        <stp/>
        <stp>EM_S_VAL_DIVIDENDYIELD2</stp>
        <stp>3</stp>
        <stp>000542</stp>
        <stp>12/31/2018</stp>
        <stp>2019-11-29</stp>
        <tr r="Q3449" s="1"/>
      </tp>
      <tp>
        <v>0.28643446379468379</v>
        <stp/>
        <stp>EM_S_VAL_DIVIDENDYIELD2</stp>
        <stp>3</stp>
        <stp>300572</stp>
        <stp>12/31/2018</stp>
        <stp>2019-11-29</stp>
        <tr r="Q1863" s="1"/>
      </tp>
      <tp>
        <v>1.2345644653932721</v>
        <stp/>
        <stp>EM_S_VAL_DIVIDENDYIELD2</stp>
        <stp>3</stp>
        <stp>600522</stp>
        <stp>12/31/2018</stp>
        <stp>2019-11-29</stp>
        <tr r="Q2201" s="1"/>
      </tp>
      <tp>
        <v>3.9682539682539679</v>
        <stp/>
        <stp>EM_S_VAL_DIVIDENDYIELD2</stp>
        <stp>3</stp>
        <stp>000552</stp>
        <stp>12/31/2018</stp>
        <stp>2019-11-29</stp>
        <tr r="Q2352" s="1"/>
      </tp>
      <tp>
        <v>0.1294744859101295</v>
        <stp/>
        <stp>EM_S_VAL_DIVIDENDYIELD2</stp>
        <stp>3</stp>
        <stp>300562</stp>
        <stp>12/31/2018</stp>
        <stp>2019-11-29</stp>
        <tr r="Q550" s="1"/>
      </tp>
      <tp>
        <v>0</v>
        <stp/>
        <stp>EM_S_VAL_DIVIDENDYIELD2</stp>
        <stp>3</stp>
        <stp>600532</stp>
        <stp>12/31/2018</stp>
        <stp>2019-11-29</stp>
        <tr r="Q2419" s="1"/>
      </tp>
      <tp>
        <v>0</v>
        <stp/>
        <stp>EM_S_VAL_DIVIDENDYIELD2</stp>
        <stp>3</stp>
        <stp>300592</stp>
        <stp>12/31/2018</stp>
        <stp>2019-11-29</stp>
        <tr r="Q1026" s="1"/>
      </tp>
      <tp>
        <v>0.46534653465346532</v>
        <stp/>
        <stp>EM_S_VAL_DIVIDENDYIELD2</stp>
        <stp>3</stp>
        <stp>300582</stp>
        <stp>12/31/2018</stp>
        <stp>2019-11-29</stp>
        <tr r="Q1308" s="1"/>
      </tp>
      <tp>
        <v>1.2963688989784337</v>
        <stp/>
        <stp>EM_S_VAL_DIVIDENDYIELD2</stp>
        <stp>3</stp>
        <stp>000582</stp>
        <stp>12/31/2018</stp>
        <stp>2019-11-29</stp>
        <tr r="Q1167" s="1"/>
      </tp>
      <tp>
        <v>0</v>
        <stp/>
        <stp>EM_S_VAL_DIVIDENDYIELD2</stp>
        <stp>3</stp>
        <stp>000592</stp>
        <stp>12/31/2018</stp>
        <stp>2019-11-29</stp>
        <tr r="Q1951" s="1"/>
      </tp>
      <tp>
        <v>1.6611295681063125</v>
        <stp/>
        <stp>EM_S_VAL_DIVIDENDYIELD2</stp>
        <stp>3</stp>
        <stp>600582</stp>
        <stp>12/31/2018</stp>
        <stp>2019-11-29</stp>
        <tr r="Q2641" s="1"/>
      </tp>
      <tp>
        <v>0.71225071225071224</v>
        <stp/>
        <stp>EM_S_VAL_DIVIDENDYIELD2</stp>
        <stp>3</stp>
        <stp>600592</stp>
        <stp>12/31/2018</stp>
        <stp>2019-11-29</stp>
        <tr r="Q53" s="1"/>
      </tp>
      <tp>
        <v>4.4444444444444446</v>
        <stp/>
        <stp>EM_S_VAL_DIVIDENDYIELD2</stp>
        <stp>3</stp>
        <stp>000822</stp>
        <stp>12/31/2018</stp>
        <stp>2019-11-29</stp>
        <tr r="Q2171" s="1"/>
      </tp>
      <tp>
        <v>0</v>
        <stp/>
        <stp>EM_S_VAL_DIVIDENDYIELD2</stp>
        <stp>3</stp>
        <stp>600842</stp>
        <stp>12/31/2018</stp>
        <stp>2019-11-29</stp>
        <tr r="Q2330" s="1"/>
      </tp>
      <tp>
        <v>0</v>
        <stp/>
        <stp>EM_S_VAL_DIVIDENDYIELD2</stp>
        <stp>3</stp>
        <stp>000832</stp>
        <stp>12/31/2018</stp>
        <stp>2019-11-29</stp>
        <tr r="Q3552" s="1"/>
      </tp>
      <tp>
        <v>0</v>
        <stp/>
        <stp>EM_S_VAL_DIVIDENDYIELD2</stp>
        <stp>3</stp>
        <stp>600852</stp>
        <stp>12/31/2018</stp>
        <stp>2019-11-29</stp>
        <tr r="Q2331" s="1"/>
      </tp>
      <tp>
        <v>0.73891625615763534</v>
        <stp/>
        <stp>EM_S_VAL_DIVIDENDYIELD2</stp>
        <stp>3</stp>
        <stp>000802</stp>
        <stp>12/31/2018</stp>
        <stp>2019-11-29</stp>
        <tr r="Q3543" s="1"/>
      </tp>
      <tp>
        <v>1.1434511434511436</v>
        <stp/>
        <stp>EM_S_VAL_DIVIDENDYIELD2</stp>
        <stp>3</stp>
        <stp>600862</stp>
        <stp>12/31/2018</stp>
        <stp>2019-11-29</stp>
        <tr r="Q174" s="1"/>
      </tp>
      <tp>
        <v>0</v>
        <stp/>
        <stp>EM_S_VAL_DIVIDENDYIELD2</stp>
        <stp>3</stp>
        <stp>000812</stp>
        <stp>12/31/2018</stp>
        <stp>2019-11-29</stp>
        <tr r="Q2624" s="1"/>
      </tp>
      <tp>
        <v>0.50952591936198477</v>
        <stp/>
        <stp>EM_S_VAL_DIVIDENDYIELD2</stp>
        <stp>3</stp>
        <stp>600872</stp>
        <stp>12/31/2018</stp>
        <stp>2019-11-29</stp>
        <tr r="Q909" s="1"/>
      </tp>
      <tp>
        <v>0</v>
        <stp/>
        <stp>EM_S_VAL_DIVIDENDYIELD2</stp>
        <stp>3</stp>
        <stp>000862</stp>
        <stp>12/31/2018</stp>
        <stp>2019-11-29</stp>
        <tr r="Q331" s="1"/>
      </tp>
      <tp>
        <v>0.43650793650793651</v>
        <stp/>
        <stp>EM_S_VAL_DIVIDENDYIELD2</stp>
        <stp>3</stp>
        <stp>600802</stp>
        <stp>12/31/2018</stp>
        <stp>2019-11-29</stp>
        <tr r="Q1449" s="1"/>
      </tp>
      <tp>
        <v>0.41958041958041958</v>
        <stp/>
        <stp>EM_S_VAL_DIVIDENDYIELD2</stp>
        <stp>3</stp>
        <stp>600812</stp>
        <stp>12/31/2018</stp>
        <stp>2019-11-29</stp>
        <tr r="Q107" s="1"/>
      </tp>
      <tp>
        <v>0</v>
        <stp/>
        <stp>EM_S_VAL_DIVIDENDYIELD2</stp>
        <stp>3</stp>
        <stp>600822</stp>
        <stp>12/31/2018</stp>
        <stp>2019-11-29</stp>
        <tr r="Q1393" s="1"/>
      </tp>
      <tp>
        <v>0</v>
        <stp/>
        <stp>EM_S_VAL_DIVIDENDYIELD2</stp>
        <stp>3</stp>
        <stp>000852</stp>
        <stp>12/31/2018</stp>
        <stp>2019-11-29</stp>
        <tr r="Q2811" s="1"/>
      </tp>
      <tp>
        <v>0</v>
        <stp/>
        <stp>EM_S_VAL_DIVIDENDYIELD2</stp>
        <stp>3</stp>
        <stp>600832</stp>
        <stp>12/31/2018</stp>
        <stp>2019-11-29</stp>
        <tr r="Q2328" s="1"/>
      </tp>
      <tp>
        <v>0.18433179723502308</v>
        <stp/>
        <stp>EM_S_VAL_DIVIDENDYIELD2</stp>
        <stp>3</stp>
        <stp>000882</stp>
        <stp>12/31/2018</stp>
        <stp>2019-11-29</stp>
        <tr r="Q2222" s="1"/>
      </tp>
      <tp>
        <v>0</v>
        <stp/>
        <stp>EM_S_VAL_DIVIDENDYIELD2</stp>
        <stp>3</stp>
        <stp>000892</stp>
        <stp>12/31/2018</stp>
        <stp>2019-11-29</stp>
        <tr r="Q3565" s="1"/>
      </tp>
      <tp>
        <v>0</v>
        <stp/>
        <stp>EM_S_VAL_DIVIDENDYIELD2</stp>
        <stp>3</stp>
        <stp>600882</stp>
        <stp>12/31/2018</stp>
        <stp>2019-11-29</stp>
        <tr r="Q211" s="1"/>
      </tp>
      <tp>
        <v>0</v>
        <stp/>
        <stp>EM_S_VAL_DIVIDENDYIELD2</stp>
        <stp>3</stp>
        <stp>600892</stp>
        <stp>12/31/2018</stp>
        <stp>2019-11-29</stp>
        <tr r="Q3227" s="1"/>
      </tp>
      <tp>
        <v>0</v>
        <stp/>
        <stp>EM_S_VAL_DIVIDENDYIELD2</stp>
        <stp>3</stp>
        <stp>000922</stp>
        <stp>12/31/2018</stp>
        <stp>2019-11-29</stp>
        <tr r="Q1487" s="1"/>
      </tp>
      <tp>
        <v>0</v>
        <stp/>
        <stp>EM_S_VAL_DIVIDENDYIELD2</stp>
        <stp>3</stp>
        <stp>000932</stp>
        <stp>12/31/2018</stp>
        <stp>2019-11-29</stp>
        <tr r="Q3096" s="1"/>
      </tp>
      <tp>
        <v>2.5220680958385873</v>
        <stp/>
        <stp>EM_S_VAL_DIVIDENDYIELD2</stp>
        <stp>3</stp>
        <stp>000902</stp>
        <stp>12/31/2018</stp>
        <stp>2019-11-29</stp>
        <tr r="Q2826" s="1"/>
      </tp>
      <tp>
        <v>0</v>
        <stp/>
        <stp>EM_S_VAL_DIVIDENDYIELD2</stp>
        <stp>3</stp>
        <stp>600962</stp>
        <stp>12/31/2018</stp>
        <stp>2019-11-29</stp>
        <tr r="Q1599" s="1"/>
      </tp>
      <tp>
        <v>0</v>
        <stp/>
        <stp>EM_S_VAL_DIVIDENDYIELD2</stp>
        <stp>3</stp>
        <stp>000912</stp>
        <stp>12/31/2018</stp>
        <stp>2019-11-29</stp>
        <tr r="Q2196" s="1"/>
      </tp>
      <tp>
        <v>0</v>
        <stp/>
        <stp>EM_S_VAL_DIVIDENDYIELD2</stp>
        <stp>3</stp>
        <stp>000962</stp>
        <stp>12/31/2018</stp>
        <stp>2019-11-29</stp>
        <tr r="Q1521" s="1"/>
      </tp>
      <tp>
        <v>0</v>
        <stp/>
        <stp>EM_S_VAL_DIVIDENDYIELD2</stp>
        <stp>3</stp>
        <stp>000972</stp>
        <stp>12/31/2018</stp>
        <stp>2019-11-29</stp>
        <tr r="Q3590" s="1"/>
      </tp>
      <tp>
        <v>0</v>
        <stp/>
        <stp>EM_S_VAL_DIVIDENDYIELD2</stp>
        <stp>3</stp>
        <stp>000952</stp>
        <stp>12/31/2018</stp>
        <stp>2019-11-29</stp>
        <tr r="Q2593" s="1"/>
      </tp>
      <tp>
        <v>0</v>
        <stp/>
        <stp>EM_S_VAL_DIVIDENDYIELD2</stp>
        <stp>3</stp>
        <stp>000982</stp>
        <stp>12/31/2018</stp>
        <stp>2019-11-29</stp>
        <tr r="Q3595" s="1"/>
      </tp>
      <tp>
        <v>1.5535781838305252</v>
        <stp/>
        <stp>EM_S_VAL_DIVIDENDYIELD2</stp>
        <stp>3</stp>
        <stp>600982</stp>
        <stp>12/31/2018</stp>
        <stp>2019-11-29</stp>
        <tr r="Q2729" s="1"/>
      </tp>
      <tp>
        <v>0.45941807044410415</v>
        <stp/>
        <stp>EM_S_VAL_DIVIDENDYIELD2</stp>
        <stp>3</stp>
        <stp>600992</stp>
        <stp>12/31/2018</stp>
        <stp>2019-11-29</stp>
        <tr r="Q2383" s="1"/>
      </tp>
      <tp>
        <v>0</v>
        <stp/>
        <stp>EM_S_VAL_DIVIDENDYIELD2</stp>
        <stp>3</stp>
        <stp>601212</stp>
        <stp>12/31/2018</stp>
        <stp>2019-11-29</stp>
        <tr r="Q1088" s="1"/>
      </tp>
      <tp>
        <v>3.9863281696476371</v>
        <stp/>
        <stp>EM_S_VAL_DIVIDENDYIELD2</stp>
        <stp>3</stp>
        <stp>601222</stp>
        <stp>12/31/2018</stp>
        <stp>2019-11-29</stp>
        <tr r="Q2421" s="1"/>
      </tp>
      <tp>
        <v>0</v>
        <stp/>
        <stp>EM_S_VAL_DIVIDENDYIELD2</stp>
        <stp>3</stp>
        <stp>601002</stp>
        <stp>12/31/2018</stp>
        <stp>2019-11-29</stp>
        <tr r="Q1815" s="1"/>
      </tp>
      <tp>
        <v>0.40285895615742456</v>
        <stp/>
        <stp>EM_S_VAL_DIVIDENDYIELD2</stp>
        <stp>3</stp>
        <stp>601012</stp>
        <stp>12/31/2018</stp>
        <stp>2019-11-29</stp>
        <tr r="Q682" s="1"/>
      </tp>
      <tp>
        <v>0.97643097643097621</v>
        <stp/>
        <stp>EM_S_VAL_DIVIDENDYIELD2</stp>
        <stp>3</stp>
        <stp>601872</stp>
        <stp>12/31/2018</stp>
        <stp>2019-11-29</stp>
        <tr r="Q137" s="1"/>
      </tp>
      <tp>
        <v>0.85348506401137991</v>
        <stp/>
        <stp>EM_S_VAL_DIVIDENDYIELD2</stp>
        <stp>3</stp>
        <stp>601882</stp>
        <stp>12/31/2018</stp>
        <stp>2019-11-29</stp>
        <tr r="Q2144" s="1"/>
      </tp>
      <tp>
        <v>3.0303030303030303</v>
        <stp/>
        <stp>EM_S_VAL_DIVIDENDYIELD2</stp>
        <stp>3</stp>
        <stp>601952</stp>
        <stp>12/31/2018</stp>
        <stp>2019-11-29</stp>
        <tr r="Q2012" s="1"/>
      </tp>
      <tp>
        <v>1.6819571865443428</v>
        <stp/>
        <stp>EM_S_VAL_DIVIDENDYIELD2</stp>
        <stp>3</stp>
        <stp>601992</stp>
        <stp>12/31/2018</stp>
        <stp>2019-11-29</stp>
        <tr r="Q2099" s="1"/>
      </tp>
      <tp>
        <v>10.332180061600001</v>
        <stp/>
        <stp>EM_S_FA_YOY_TR</stp>
        <stp>2</stp>
        <stp>000001</stp>
        <stp>12/31/2018</stp>
        <tr r="Y265" s="1"/>
      </tp>
      <tp>
        <v>-57.036765644500001</v>
        <stp/>
        <stp>EM_S_FA_YOY_OR</stp>
        <stp>2</stp>
        <stp>000885</stp>
        <stp>12/31/2018</stp>
        <tr r="H3561" s="1"/>
      </tp>
      <tp>
        <v>5.0750564509</v>
        <stp/>
        <stp>EM_S_FA_YOY_OR</stp>
        <stp>2</stp>
        <stp>000887</stp>
        <stp>12/31/2018</stp>
        <tr r="H2794" s="1"/>
      </tp>
      <tp>
        <v>-20.813710290100001</v>
        <stp/>
        <stp>EM_S_FA_YOY_OR</stp>
        <stp>2</stp>
        <stp>000886</stp>
        <stp>12/31/2018</stp>
        <tr r="H3562" s="1"/>
      </tp>
      <tp>
        <v>6.5100176044999998</v>
        <stp/>
        <stp>EM_S_FA_YOY_OR</stp>
        <stp>2</stp>
        <stp>000881</stp>
        <stp>12/31/2018</stp>
        <tr r="H2108" s="1"/>
      </tp>
      <tp>
        <v>19.815407167299998</v>
        <stp/>
        <stp>EM_S_FA_YOY_OR</stp>
        <stp>2</stp>
        <stp>000880</stp>
        <stp>12/31/2018</stp>
        <tr r="H1865" s="1"/>
      </tp>
      <tp>
        <v>6.2343420528999998</v>
        <stp/>
        <stp>EM_S_FA_YOY_OR</stp>
        <stp>2</stp>
        <stp>000883</stp>
        <stp>12/31/2018</stp>
        <tr r="H1562" s="1"/>
      </tp>
      <tp>
        <v>14.356812504900001</v>
        <stp/>
        <stp>EM_S_FA_YOY_OR</stp>
        <stp>2</stp>
        <stp>000882</stp>
        <stp>12/31/2018</stp>
        <tr r="H2222" s="1"/>
      </tp>
      <tp>
        <v>43.816093395000003</v>
        <stp/>
        <stp>EM_S_FA_YOY_OR</stp>
        <stp>2</stp>
        <stp>000889</stp>
        <stp>12/31/2018</stp>
        <tr r="H2649" s="1"/>
      </tp>
      <tp>
        <v>-0.61512577150000003</v>
        <stp/>
        <stp>EM_S_FA_YOY_OR</stp>
        <stp>2</stp>
        <stp>000888</stp>
        <stp>12/31/2018</stp>
        <tr r="H3563" s="1"/>
      </tp>
      <tp>
        <v>-3.3234130135000002</v>
        <stp/>
        <stp>EM_S_FA_YOY_OR</stp>
        <stp>2</stp>
        <stp>000895</stp>
        <stp>12/31/2018</stp>
        <tr r="H3567" s="1"/>
      </tp>
      <tp>
        <v>-84.144835700399994</v>
        <stp/>
        <stp>EM_S_FA_YOY_OR</stp>
        <stp>2</stp>
        <stp>000897</stp>
        <stp>12/31/2018</stp>
        <tr r="H3568" s="1"/>
      </tp>
      <tp>
        <v>-15.277515985200001</v>
        <stp/>
        <stp>EM_S_FA_YOY_OR</stp>
        <stp>2</stp>
        <stp>000890</stp>
        <stp>12/31/2018</stp>
        <tr r="H3564" s="1"/>
      </tp>
      <tp>
        <v>-72.585532673000003</v>
        <stp/>
        <stp>EM_S_FA_YOY_OR</stp>
        <stp>2</stp>
        <stp>000893</stp>
        <stp>12/31/2018</stp>
        <tr r="H3566" s="1"/>
      </tp>
      <tp>
        <v>-15.233856281</v>
        <stp/>
        <stp>EM_S_FA_YOY_OR</stp>
        <stp>2</stp>
        <stp>000892</stp>
        <stp>12/31/2018</stp>
        <tr r="H3565" s="1"/>
      </tp>
      <tp>
        <v>20.757993224100002</v>
        <stp/>
        <stp>EM_S_FA_YOY_OR</stp>
        <stp>2</stp>
        <stp>000899</stp>
        <stp>12/31/2018</stp>
        <tr r="H1690" s="1"/>
      </tp>
      <tp>
        <v>14.6962904792</v>
        <stp/>
        <stp>EM_S_FA_YOY_OR</stp>
        <stp>2</stp>
        <stp>000898</stp>
        <stp>12/31/2018</stp>
        <tr r="H3280" s="1"/>
      </tp>
      <tp>
        <v>14.2780725198</v>
        <stp/>
        <stp>EM_S_FA_YOY_OR</stp>
        <stp>2</stp>
        <stp>600885</stp>
        <stp>12/31/2018</stp>
        <tr r="H497" s="1"/>
      </tp>
      <tp>
        <v>7.0476878665999996</v>
        <stp/>
        <stp>EM_S_FA_YOY_OR</stp>
        <stp>2</stp>
        <stp>600884</stp>
        <stp>12/31/2018</stp>
        <tr r="H1987" s="1"/>
      </tp>
      <tp>
        <v>16.919867791400002</v>
        <stp/>
        <stp>EM_S_FA_YOY_OR</stp>
        <stp>2</stp>
        <stp>600887</stp>
        <stp>12/31/2018</stp>
        <tr r="H827" s="1"/>
      </tp>
      <tp>
        <v>29.606197127200002</v>
        <stp/>
        <stp>EM_S_FA_YOY_OR</stp>
        <stp>2</stp>
        <stp>600886</stp>
        <stp>12/31/2018</stp>
        <tr r="H1548" s="1"/>
      </tp>
      <tp>
        <v>-19.9737033597</v>
        <stp/>
        <stp>EM_S_FA_YOY_OR</stp>
        <stp>2</stp>
        <stp>600881</stp>
        <stp>12/31/2018</stp>
        <tr r="H2561" s="1"/>
      </tp>
      <tp>
        <v>-37.256544555799998</v>
        <stp/>
        <stp>EM_S_FA_YOY_OR</stp>
        <stp>2</stp>
        <stp>600880</stp>
        <stp>12/31/2018</stp>
        <tr r="H1852" s="1"/>
      </tp>
      <tp>
        <v>10.459795859</v>
        <stp/>
        <stp>EM_S_FA_YOY_OR</stp>
        <stp>2</stp>
        <stp>600883</stp>
        <stp>12/31/2018</stp>
        <tr r="H1056" s="1"/>
      </tp>
      <tp>
        <v>24.815918494200002</v>
        <stp/>
        <stp>EM_S_FA_YOY_OR</stp>
        <stp>2</stp>
        <stp>600882</stp>
        <stp>12/31/2018</stp>
        <tr r="H211" s="1"/>
      </tp>
      <tp>
        <v>-38.364356443299997</v>
        <stp/>
        <stp>EM_S_FA_YOY_OR</stp>
        <stp>2</stp>
        <stp>600889</stp>
        <stp>12/31/2018</stp>
        <tr r="H2344" s="1"/>
      </tp>
      <tp>
        <v>-18.899864557099999</v>
        <stp/>
        <stp>EM_S_FA_YOY_OR</stp>
        <stp>2</stp>
        <stp>600888</stp>
        <stp>12/31/2018</stp>
        <tr r="H1734" s="1"/>
      </tp>
      <tp>
        <v>-8.3586277822999993</v>
        <stp/>
        <stp>EM_S_FA_YOY_OR</stp>
        <stp>2</stp>
        <stp>600895</stp>
        <stp>12/31/2018</stp>
        <tr r="H2139" s="1"/>
      </tp>
      <tp>
        <v>13.6052428961</v>
        <stp/>
        <stp>EM_S_FA_YOY_OR</stp>
        <stp>2</stp>
        <stp>600894</stp>
        <stp>12/31/2018</stp>
        <tr r="H802" s="1"/>
      </tp>
      <tp>
        <v>7.0534455628000003</v>
        <stp/>
        <stp>EM_S_FA_YOY_OR</stp>
        <stp>2</stp>
        <stp>600897</stp>
        <stp>12/31/2018</stp>
        <tr r="H2061" s="1"/>
      </tp>
      <tp>
        <v>20.2662320423</v>
        <stp/>
        <stp>EM_S_FA_YOY_OR</stp>
        <stp>2</stp>
        <stp>600896</stp>
        <stp>12/31/2018</stp>
        <tr r="H1511" s="1"/>
      </tp>
      <tp>
        <v>-30.676937476399999</v>
        <stp/>
        <stp>EM_S_FA_YOY_OR</stp>
        <stp>2</stp>
        <stp>600891</stp>
        <stp>12/31/2018</stp>
        <tr r="H3403" s="1"/>
      </tp>
      <tp>
        <v>-84.027956659500006</v>
        <stp/>
        <stp>EM_S_FA_YOY_OR</stp>
        <stp>2</stp>
        <stp>600890</stp>
        <stp>12/31/2018</stp>
        <tr r="H3134" s="1"/>
      </tp>
      <tp>
        <v>2.4252787855000002</v>
        <stp/>
        <stp>EM_S_FA_YOY_OR</stp>
        <stp>2</stp>
        <stp>600893</stp>
        <stp>12/31/2018</stp>
        <tr r="H2384" s="1"/>
      </tp>
      <tp>
        <v>-36.1162239525</v>
        <stp/>
        <stp>EM_S_FA_YOY_OR</stp>
        <stp>2</stp>
        <stp>600892</stp>
        <stp>12/31/2018</stp>
        <tr r="H3227" s="1"/>
      </tp>
      <tp>
        <v>0</v>
        <stp/>
        <stp>EM_S_FA_YOY_OR</stp>
        <stp>2</stp>
        <stp>600899</stp>
        <stp>12/31/2018</stp>
        <tr r="H2333" s="1"/>
      </tp>
      <tp>
        <v>19.965563593799999</v>
        <stp/>
        <stp>EM_S_FA_YOY_OR</stp>
        <stp>2</stp>
        <stp>600898</stp>
        <stp>12/31/2018</stp>
        <tr r="H2388" s="1"/>
      </tp>
      <tp>
        <v>0</v>
        <stp/>
        <stp>EM_S_FA_YOY_OR</stp>
        <stp>2</stp>
        <stp>000805</stp>
        <stp>12/31/2018</stp>
        <tr r="H3544" s="1"/>
      </tp>
      <tp>
        <v>-15.087519369200001</v>
        <stp/>
        <stp>EM_S_FA_YOY_OR</stp>
        <stp>2</stp>
        <stp>600865</stp>
        <stp>12/31/2018</stp>
        <tr r="H1563" s="1"/>
      </tp>
      <tp>
        <v>0.38558334220000001</v>
        <stp/>
        <stp>EM_S_FA_YOY_OR</stp>
        <stp>2</stp>
        <stp>600864</stp>
        <stp>12/31/2018</stp>
        <tr r="H222" s="1"/>
      </tp>
      <tp>
        <v>-1.9909300456000001</v>
        <stp/>
        <stp>EM_S_FA_YOY_OR</stp>
        <stp>2</stp>
        <stp>000807</stp>
        <stp>12/31/2018</stp>
        <tr r="H3546" s="1"/>
      </tp>
      <tp>
        <v>5.7989656380000003</v>
        <stp/>
        <stp>EM_S_FA_YOY_OR</stp>
        <stp>2</stp>
        <stp>600867</stp>
        <stp>12/31/2018</stp>
        <tr r="H2809" s="1"/>
      </tp>
      <tp>
        <v>-27.202059000599998</v>
        <stp/>
        <stp>EM_S_FA_YOY_OR</stp>
        <stp>2</stp>
        <stp>000806</stp>
        <stp>12/31/2018</stp>
        <tr r="H3545" s="1"/>
      </tp>
      <tp>
        <v>25.0579716861</v>
        <stp/>
        <stp>EM_S_FA_YOY_OR</stp>
        <stp>2</stp>
        <stp>600866</stp>
        <stp>12/31/2018</stp>
        <tr r="H736" s="1"/>
      </tp>
      <tp>
        <v>19.897912759699999</v>
        <stp/>
        <stp>EM_S_FA_YOY_OR</stp>
        <stp>2</stp>
        <stp>000801</stp>
        <stp>12/31/2018</stp>
        <tr r="H1131" s="1"/>
      </tp>
      <tp>
        <v>-13.6619782867</v>
        <stp/>
        <stp>EM_S_FA_YOY_OR</stp>
        <stp>2</stp>
        <stp>600861</stp>
        <stp>12/31/2018</stp>
        <tr r="H1151" s="1"/>
      </tp>
      <tp>
        <v>-6.5013200612000004</v>
        <stp/>
        <stp>EM_S_FA_YOY_OR</stp>
        <stp>2</stp>
        <stp>000800</stp>
        <stp>12/31/2018</stp>
        <tr r="H3542" s="1"/>
      </tp>
      <tp>
        <v>-6.8078864285999998</v>
        <stp/>
        <stp>EM_S_FA_YOY_OR</stp>
        <stp>2</stp>
        <stp>600860</stp>
        <stp>12/31/2018</stp>
        <tr r="H816" s="1"/>
      </tp>
      <tp>
        <v>64.177655515699996</v>
        <stp/>
        <stp>EM_S_FA_YOY_OR</stp>
        <stp>2</stp>
        <stp>000803</stp>
        <stp>12/31/2018</stp>
        <tr r="H1520" s="1"/>
      </tp>
      <tp>
        <v>16.638910990999999</v>
        <stp/>
        <stp>EM_S_FA_YOY_OR</stp>
        <stp>2</stp>
        <stp>600863</stp>
        <stp>12/31/2018</stp>
        <tr r="H1344" s="1"/>
      </tp>
      <tp>
        <v>-8.7774058507999992</v>
        <stp/>
        <stp>EM_S_FA_YOY_OR</stp>
        <stp>2</stp>
        <stp>000802</stp>
        <stp>12/31/2018</stp>
        <tr r="H3543" s="1"/>
      </tp>
      <tp>
        <v>-12.855363545499999</v>
        <stp/>
        <stp>EM_S_FA_YOY_OR</stp>
        <stp>2</stp>
        <stp>600862</stp>
        <stp>12/31/2018</stp>
        <tr r="H174" s="1"/>
      </tp>
      <tp>
        <v>1847.2648245616999</v>
        <stp/>
        <stp>EM_S_FA_YOY_OR</stp>
        <stp>2</stp>
        <stp>000809</stp>
        <stp>12/31/2018</stp>
        <tr r="H2356" s="1"/>
      </tp>
      <tp>
        <v>1.4560781645</v>
        <stp/>
        <stp>EM_S_FA_YOY_OR</stp>
        <stp>2</stp>
        <stp>600869</stp>
        <stp>12/31/2018</stp>
        <tr r="H2251" s="1"/>
      </tp>
      <tp>
        <v>-8.1899505625</v>
        <stp/>
        <stp>EM_S_FA_YOY_OR</stp>
        <stp>2</stp>
        <stp>600868</stp>
        <stp>12/31/2018</stp>
        <tr r="H1248" s="1"/>
      </tp>
      <tp>
        <v>24.650751077100001</v>
        <stp/>
        <stp>EM_S_FA_YOY_OR</stp>
        <stp>2</stp>
        <stp>000815</stp>
        <stp>12/31/2018</stp>
        <tr r="H2186" s="1"/>
      </tp>
      <tp>
        <v>-9.2853548373999999</v>
        <stp/>
        <stp>EM_S_FA_YOY_OR</stp>
        <stp>2</stp>
        <stp>600875</stp>
        <stp>12/31/2018</stp>
        <tr r="H1425" s="1"/>
      </tp>
      <tp>
        <v>13.925815315199999</v>
        <stp/>
        <stp>EM_S_FA_YOY_OR</stp>
        <stp>2</stp>
        <stp>600874</stp>
        <stp>12/31/2018</stp>
        <tr r="H2879" s="1"/>
      </tp>
      <tp>
        <v>0</v>
        <stp/>
        <stp>EM_S_FA_YOY_OR</stp>
        <stp>2</stp>
        <stp>000817</stp>
        <stp>12/31/2018</stp>
        <tr r="H3548" s="1"/>
      </tp>
      <tp>
        <v>-38.458190406500002</v>
        <stp/>
        <stp>EM_S_FA_YOY_OR</stp>
        <stp>2</stp>
        <stp>600877</stp>
        <stp>12/31/2018</stp>
        <tr r="H1175" s="1"/>
      </tp>
      <tp>
        <v>-12.206813010199999</v>
        <stp/>
        <stp>EM_S_FA_YOY_OR</stp>
        <stp>2</stp>
        <stp>000816</stp>
        <stp>12/31/2018</stp>
        <tr r="H3547" s="1"/>
      </tp>
      <tp>
        <v>-6.6174836261000003</v>
        <stp/>
        <stp>EM_S_FA_YOY_OR</stp>
        <stp>2</stp>
        <stp>600876</stp>
        <stp>12/31/2018</stp>
        <tr r="H598" s="1"/>
      </tp>
      <tp>
        <v>4.4715875308999999</v>
        <stp/>
        <stp>EM_S_FA_YOY_OR</stp>
        <stp>2</stp>
        <stp>000811</stp>
        <stp>12/31/2018</stp>
        <tr r="H843" s="1"/>
      </tp>
      <tp>
        <v>20.198255963899999</v>
        <stp/>
        <stp>EM_S_FA_YOY_OR</stp>
        <stp>2</stp>
        <stp>600871</stp>
        <stp>12/31/2018</stp>
        <tr r="H1178" s="1"/>
      </tp>
      <tp>
        <v>7.0239282833000001</v>
        <stp/>
        <stp>EM_S_FA_YOY_OR</stp>
        <stp>2</stp>
        <stp>000810</stp>
        <stp>12/31/2018</stp>
        <tr r="H139" s="1"/>
      </tp>
      <tp>
        <v>77.731503908099995</v>
        <stp/>
        <stp>EM_S_FA_YOY_OR</stp>
        <stp>2</stp>
        <stp>600870</stp>
        <stp>12/31/2018</stp>
        <tr r="H2830" s="1"/>
      </tp>
      <tp>
        <v>48.215793892900003</v>
        <stp/>
        <stp>EM_S_FA_YOY_OR</stp>
        <stp>2</stp>
        <stp>000813</stp>
        <stp>12/31/2018</stp>
        <tr r="H3236" s="1"/>
      </tp>
      <tp>
        <v>13.6171648097</v>
        <stp/>
        <stp>EM_S_FA_YOY_OR</stp>
        <stp>2</stp>
        <stp>600873</stp>
        <stp>12/31/2018</stp>
        <tr r="H2002" s="1"/>
      </tp>
      <tp>
        <v>26.112004650500001</v>
        <stp/>
        <stp>EM_S_FA_YOY_OR</stp>
        <stp>2</stp>
        <stp>000812</stp>
        <stp>12/31/2018</stp>
        <tr r="H2624" s="1"/>
      </tp>
      <tp>
        <v>15.4346322704</v>
        <stp/>
        <stp>EM_S_FA_YOY_OR</stp>
        <stp>2</stp>
        <stp>600872</stp>
        <stp>12/31/2018</stp>
        <tr r="H909" s="1"/>
      </tp>
      <tp>
        <v>26.6353035327</v>
        <stp/>
        <stp>EM_S_FA_YOY_OR</stp>
        <stp>2</stp>
        <stp>000819</stp>
        <stp>12/31/2018</stp>
        <tr r="H2694" s="1"/>
      </tp>
      <tp>
        <v>3.6452585535000002</v>
        <stp/>
        <stp>EM_S_FA_YOY_OR</stp>
        <stp>2</stp>
        <stp>600879</stp>
        <stp>12/31/2018</stp>
        <tr r="H1674" s="1"/>
      </tp>
      <tp>
        <v>12.4798303903</v>
        <stp/>
        <stp>EM_S_FA_YOY_OR</stp>
        <stp>2</stp>
        <stp>000818</stp>
        <stp>12/31/2018</stp>
        <tr r="H176" s="1"/>
      </tp>
      <tp>
        <v>-47.1266564067</v>
        <stp/>
        <stp>EM_S_FA_YOY_OR</stp>
        <stp>2</stp>
        <stp>600878</stp>
        <stp>12/31/2018</stp>
        <tr r="H2332" s="1"/>
      </tp>
      <tp>
        <v>7.6064348034</v>
        <stp/>
        <stp>EM_S_FA_YOY_OR</stp>
        <stp>2</stp>
        <stp>000825</stp>
        <stp>12/31/2018</stp>
        <tr r="H2407" s="1"/>
      </tp>
      <tp>
        <v>14.559370404399999</v>
        <stp/>
        <stp>EM_S_FA_YOY_OR</stp>
        <stp>2</stp>
        <stp>600845</stp>
        <stp>12/31/2018</stp>
        <tr r="H442" s="1"/>
      </tp>
      <tp>
        <v>7.6554230144000002</v>
        <stp/>
        <stp>EM_S_FA_YOY_OR</stp>
        <stp>2</stp>
        <stp>600844</stp>
        <stp>12/31/2018</stp>
        <tr r="H467" s="1"/>
      </tp>
      <tp>
        <v>0</v>
        <stp/>
        <stp>EM_S_FA_YOY_OR</stp>
        <stp>2</stp>
        <stp>000827</stp>
        <stp>12/31/2018</stp>
        <tr r="H3550" s="1"/>
      </tp>
      <tp>
        <v>28.324487251200001</v>
        <stp/>
        <stp>EM_S_FA_YOY_OR</stp>
        <stp>2</stp>
        <stp>600847</stp>
        <stp>12/31/2018</stp>
        <tr r="H2395" s="1"/>
      </tp>
      <tp>
        <v>17.475194109499999</v>
        <stp/>
        <stp>EM_S_FA_YOY_OR</stp>
        <stp>2</stp>
        <stp>000826</stp>
        <stp>12/31/2018</stp>
        <tr r="H2803" s="1"/>
      </tp>
      <tp>
        <v>-9.4583020837999996</v>
        <stp/>
        <stp>EM_S_FA_YOY_OR</stp>
        <stp>2</stp>
        <stp>600846</stp>
        <stp>12/31/2018</stp>
        <tr r="H959" s="1"/>
      </tp>
      <tp>
        <v>46.361716160699999</v>
        <stp/>
        <stp>EM_S_FA_YOY_OR</stp>
        <stp>2</stp>
        <stp>000821</stp>
        <stp>12/31/2018</stp>
        <tr r="H2937" s="1"/>
      </tp>
      <tp>
        <v>12.363926706699999</v>
        <stp/>
        <stp>EM_S_FA_YOY_OR</stp>
        <stp>2</stp>
        <stp>600841</stp>
        <stp>12/31/2018</stp>
        <tr r="H1932" s="1"/>
      </tp>
      <tp>
        <v>-98.823250190099998</v>
        <stp/>
        <stp>EM_S_FA_YOY_OR</stp>
        <stp>2</stp>
        <stp>000820</stp>
        <stp>12/31/2018</stp>
        <tr r="H3549" s="1"/>
      </tp>
      <tp>
        <v>0</v>
        <stp/>
        <stp>EM_S_FA_YOY_OR</stp>
        <stp>2</stp>
        <stp>600840</stp>
        <stp>12/31/2018</stp>
        <tr r="H2329" s="1"/>
      </tp>
      <tp>
        <v>14.0341500213</v>
        <stp/>
        <stp>EM_S_FA_YOY_OR</stp>
        <stp>2</stp>
        <stp>000823</stp>
        <stp>12/31/2018</stp>
        <tr r="H267" s="1"/>
      </tp>
      <tp>
        <v>4.4227569575999999</v>
        <stp/>
        <stp>EM_S_FA_YOY_OR</stp>
        <stp>2</stp>
        <stp>600843</stp>
        <stp>12/31/2018</stp>
        <tr r="H1525" s="1"/>
      </tp>
      <tp>
        <v>9.2524388398999999</v>
        <stp/>
        <stp>EM_S_FA_YOY_OR</stp>
        <stp>2</stp>
        <stp>000822</stp>
        <stp>12/31/2018</stp>
        <tr r="H2171" s="1"/>
      </tp>
      <tp>
        <v>0</v>
        <stp/>
        <stp>EM_S_FA_YOY_OR</stp>
        <stp>2</stp>
        <stp>600842</stp>
        <stp>12/31/2018</stp>
        <tr r="H2330" s="1"/>
      </tp>
      <tp>
        <v>7.1632529647999998</v>
        <stp/>
        <stp>EM_S_FA_YOY_OR</stp>
        <stp>2</stp>
        <stp>000829</stp>
        <stp>12/31/2018</stp>
        <tr r="H3551" s="1"/>
      </tp>
      <tp>
        <v>21.580300513200001</v>
        <stp/>
        <stp>EM_S_FA_YOY_OR</stp>
        <stp>2</stp>
        <stp>600849</stp>
        <stp>12/31/2018</stp>
        <tr r="H2335" s="1"/>
      </tp>
      <tp>
        <v>11.7894516651</v>
        <stp/>
        <stp>EM_S_FA_YOY_OR</stp>
        <stp>2</stp>
        <stp>000828</stp>
        <stp>12/31/2018</stp>
        <tr r="H1711" s="1"/>
      </tp>
      <tp>
        <v>-6.8953578000000002</v>
        <stp/>
        <stp>EM_S_FA_YOY_OR</stp>
        <stp>2</stp>
        <stp>600848</stp>
        <stp>12/31/2018</stp>
        <tr r="H1417" s="1"/>
      </tp>
      <tp>
        <v>-74.241467156200002</v>
        <stp/>
        <stp>EM_S_FA_YOY_OR</stp>
        <stp>2</stp>
        <stp>000835</stp>
        <stp>12/31/2018</stp>
        <tr r="H3553" s="1"/>
      </tp>
      <tp>
        <v>40.306200447400002</v>
        <stp/>
        <stp>EM_S_FA_YOY_OR</stp>
        <stp>2</stp>
        <stp>600855</stp>
        <stp>12/31/2018</stp>
        <tr r="H817" s="1"/>
      </tp>
      <tp>
        <v>-19.401423151199999</v>
        <stp/>
        <stp>EM_S_FA_YOY_OR</stp>
        <stp>2</stp>
        <stp>600854</stp>
        <stp>12/31/2018</stp>
        <tr r="H1766" s="1"/>
      </tp>
      <tp>
        <v>6.2787422809000004</v>
        <stp/>
        <stp>EM_S_FA_YOY_OR</stp>
        <stp>2</stp>
        <stp>000837</stp>
        <stp>12/31/2018</stp>
        <tr r="H3554" s="1"/>
      </tp>
      <tp>
        <v>2.1052721321000001</v>
        <stp/>
        <stp>EM_S_FA_YOY_OR</stp>
        <stp>2</stp>
        <stp>600857</stp>
        <stp>12/31/2018</stp>
        <tr r="H1701" s="1"/>
      </tp>
      <tp>
        <v>29.522737235699999</v>
        <stp/>
        <stp>EM_S_FA_YOY_OR</stp>
        <stp>2</stp>
        <stp>000836</stp>
        <stp>12/31/2018</stp>
        <tr r="H2534" s="1"/>
      </tp>
      <tp>
        <v>-47.2377294701</v>
        <stp/>
        <stp>EM_S_FA_YOY_OR</stp>
        <stp>2</stp>
        <stp>600856</stp>
        <stp>12/31/2018</stp>
        <tr r="H3278" s="1"/>
      </tp>
      <tp>
        <v>29.1845034991</v>
        <stp/>
        <stp>EM_S_FA_YOY_OR</stp>
        <stp>2</stp>
        <stp>000831</stp>
        <stp>12/31/2018</stp>
        <tr r="H465" s="1"/>
      </tp>
      <tp>
        <v>9.8196078133999993</v>
        <stp/>
        <stp>EM_S_FA_YOY_OR</stp>
        <stp>2</stp>
        <stp>600851</stp>
        <stp>12/31/2018</stp>
        <tr r="H1652" s="1"/>
      </tp>
      <tp>
        <v>35.040718911900001</v>
        <stp/>
        <stp>EM_S_FA_YOY_OR</stp>
        <stp>2</stp>
        <stp>000830</stp>
        <stp>12/31/2018</stp>
        <tr r="H2036" s="1"/>
      </tp>
      <tp>
        <v>10.7030603945</v>
        <stp/>
        <stp>EM_S_FA_YOY_OR</stp>
        <stp>2</stp>
        <stp>600850</stp>
        <stp>12/31/2018</stp>
        <tr r="H441" s="1"/>
      </tp>
      <tp>
        <v>60.553001208600001</v>
        <stp/>
        <stp>EM_S_FA_YOY_OR</stp>
        <stp>2</stp>
        <stp>000833</stp>
        <stp>12/31/2018</stp>
        <tr r="H1707" s="1"/>
      </tp>
      <tp>
        <v>4.3860693093999998</v>
        <stp/>
        <stp>EM_S_FA_YOY_OR</stp>
        <stp>2</stp>
        <stp>600853</stp>
        <stp>12/31/2018</stp>
        <tr r="H2699" s="1"/>
      </tp>
      <tp>
        <v>0</v>
        <stp/>
        <stp>EM_S_FA_YOY_OR</stp>
        <stp>2</stp>
        <stp>000832</stp>
        <stp>12/31/2018</stp>
        <tr r="H3552" s="1"/>
      </tp>
      <tp>
        <v>-4.0935249241999996</v>
        <stp/>
        <stp>EM_S_FA_YOY_OR</stp>
        <stp>2</stp>
        <stp>600852</stp>
        <stp>12/31/2018</stp>
        <tr r="H2331" s="1"/>
      </tp>
      <tp>
        <v>-8.8947040028999993</v>
        <stp/>
        <stp>EM_S_FA_YOY_OR</stp>
        <stp>2</stp>
        <stp>000839</stp>
        <stp>12/31/2018</stp>
        <tr r="H3555" s="1"/>
      </tp>
      <tp>
        <v>2.3775929089000001</v>
        <stp/>
        <stp>EM_S_FA_YOY_OR</stp>
        <stp>2</stp>
        <stp>600859</stp>
        <stp>12/31/2018</stp>
        <tr r="H2086" s="1"/>
      </tp>
      <tp>
        <v>68.999207944600002</v>
        <stp/>
        <stp>EM_S_FA_YOY_OR</stp>
        <stp>2</stp>
        <stp>000838</stp>
        <stp>12/31/2018</stp>
        <tr r="H1804" s="1"/>
      </tp>
      <tp>
        <v>1.805604118</v>
        <stp/>
        <stp>EM_S_FA_YOY_OR</stp>
        <stp>2</stp>
        <stp>600858</stp>
        <stp>12/31/2018</stp>
        <tr r="H2088" s="1"/>
      </tp>
      <tp>
        <v>-2.5169953038999999</v>
        <stp/>
        <stp>EM_S_FA_YOY_OR</stp>
        <stp>2</stp>
        <stp>600825</stp>
        <stp>12/31/2018</stp>
        <tr r="H1333" s="1"/>
      </tp>
      <tp>
        <v>-19.982647252300001</v>
        <stp/>
        <stp>EM_S_FA_YOY_OR</stp>
        <stp>2</stp>
        <stp>600824</stp>
        <stp>12/31/2018</stp>
        <tr r="H2064" s="1"/>
      </tp>
      <tp>
        <v>2.6400212553000002</v>
        <stp/>
        <stp>EM_S_FA_YOY_OR</stp>
        <stp>2</stp>
        <stp>600827</stp>
        <stp>12/31/2018</stp>
        <tr r="H1943" s="1"/>
      </tp>
      <tp>
        <v>-0.8786981412</v>
        <stp/>
        <stp>EM_S_FA_YOY_OR</stp>
        <stp>2</stp>
        <stp>600826</stp>
        <stp>12/31/2018</stp>
        <tr r="H1328" s="1"/>
      </tp>
      <tp>
        <v>-22.9666045986</v>
        <stp/>
        <stp>EM_S_FA_YOY_OR</stp>
        <stp>2</stp>
        <stp>600821</stp>
        <stp>12/31/2018</stp>
        <tr r="H1516" s="1"/>
      </tp>
      <tp>
        <v>18.206317414200001</v>
        <stp/>
        <stp>EM_S_FA_YOY_OR</stp>
        <stp>2</stp>
        <stp>600820</stp>
        <stp>12/31/2018</stp>
        <tr r="H2521" s="1"/>
      </tp>
      <tp>
        <v>10.743423786299999</v>
        <stp/>
        <stp>EM_S_FA_YOY_OR</stp>
        <stp>2</stp>
        <stp>600823</stp>
        <stp>12/31/2018</stp>
        <tr r="H1206" s="1"/>
      </tp>
      <tp>
        <v>1.3338868189999999</v>
        <stp/>
        <stp>EM_S_FA_YOY_OR</stp>
        <stp>2</stp>
        <stp>600822</stp>
        <stp>12/31/2018</stp>
        <tr r="H1393" s="1"/>
      </tp>
      <tp>
        <v>-11.9075320713</v>
        <stp/>
        <stp>EM_S_FA_YOY_OR</stp>
        <stp>2</stp>
        <stp>600829</stp>
        <stp>12/31/2018</stp>
        <tr r="H1485" s="1"/>
      </tp>
      <tp>
        <v>0.4779293315</v>
        <stp/>
        <stp>EM_S_FA_YOY_OR</stp>
        <stp>2</stp>
        <stp>000848</stp>
        <stp>12/31/2018</stp>
        <tr r="H2428" s="1"/>
      </tp>
      <tp>
        <v>1.2787724051</v>
        <stp/>
        <stp>EM_S_FA_YOY_OR</stp>
        <stp>2</stp>
        <stp>600828</stp>
        <stp>12/31/2018</stp>
        <tr r="H2265" s="1"/>
      </tp>
      <tp>
        <v>9.0523486127999995</v>
        <stp/>
        <stp>EM_S_FA_YOY_OR</stp>
        <stp>2</stp>
        <stp>600835</stp>
        <stp>12/31/2018</stp>
        <tr r="H1537" s="1"/>
      </tp>
      <tp>
        <v>-2.7681569499999999E-2</v>
        <stp/>
        <stp>EM_S_FA_YOY_OR</stp>
        <stp>2</stp>
        <stp>600834</stp>
        <stp>12/31/2018</stp>
        <tr r="H1990" s="1"/>
      </tp>
      <tp>
        <v>-15.791599094</v>
        <stp/>
        <stp>EM_S_FA_YOY_OR</stp>
        <stp>2</stp>
        <stp>600837</stp>
        <stp>12/31/2018</stp>
        <tr r="H260" s="1"/>
      </tp>
      <tp>
        <v>15.0910561251</v>
        <stp/>
        <stp>EM_S_FA_YOY_OR</stp>
        <stp>2</stp>
        <stp>000856</stp>
        <stp>12/31/2018</stp>
        <tr r="H3157" s="1"/>
      </tp>
      <tp>
        <v>2.0515074383999998</v>
        <stp/>
        <stp>EM_S_FA_YOY_OR</stp>
        <stp>2</stp>
        <stp>600836</stp>
        <stp>12/31/2018</stp>
        <tr r="H857" s="1"/>
      </tp>
      <tp>
        <v>3.2190795915999999</v>
        <stp/>
        <stp>EM_S_FA_YOY_OR</stp>
        <stp>2</stp>
        <stp>000851</stp>
        <stp>12/31/2018</stp>
        <tr r="H1159" s="1"/>
      </tp>
      <tp>
        <v>-4.8879870766</v>
        <stp/>
        <stp>EM_S_FA_YOY_OR</stp>
        <stp>2</stp>
        <stp>600831</stp>
        <stp>12/31/2018</stp>
        <tr r="H788" s="1"/>
      </tp>
      <tp>
        <v>18.7221829906</v>
        <stp/>
        <stp>EM_S_FA_YOY_OR</stp>
        <stp>2</stp>
        <stp>000850</stp>
        <stp>12/31/2018</stp>
        <tr r="H1049" s="1"/>
      </tp>
      <tp>
        <v>-29.2995228849</v>
        <stp/>
        <stp>EM_S_FA_YOY_OR</stp>
        <stp>2</stp>
        <stp>600830</stp>
        <stp>12/31/2018</stp>
        <tr r="H1448" s="1"/>
      </tp>
      <tp>
        <v>-24.3859119438</v>
        <stp/>
        <stp>EM_S_FA_YOY_OR</stp>
        <stp>2</stp>
        <stp>600833</stp>
        <stp>12/31/2018</stp>
        <tr r="H2110" s="1"/>
      </tp>
      <tp>
        <v>23.160771097200001</v>
        <stp/>
        <stp>EM_S_FA_YOY_OR</stp>
        <stp>2</stp>
        <stp>000852</stp>
        <stp>12/31/2018</stp>
        <tr r="H2811" s="1"/>
      </tp>
      <tp>
        <v>0</v>
        <stp/>
        <stp>EM_S_FA_YOY_OR</stp>
        <stp>2</stp>
        <stp>600832</stp>
        <stp>12/31/2018</stp>
        <tr r="H2328" s="1"/>
      </tp>
      <tp>
        <v>5.2088767905999998</v>
        <stp/>
        <stp>EM_S_FA_YOY_OR</stp>
        <stp>2</stp>
        <stp>000859</stp>
        <stp>12/31/2018</stp>
        <tr r="H151" s="1"/>
      </tp>
      <tp>
        <v>6.6832323841000001</v>
        <stp/>
        <stp>EM_S_FA_YOY_OR</stp>
        <stp>2</stp>
        <stp>600839</stp>
        <stp>12/31/2018</stp>
        <tr r="H1139" s="1"/>
      </tp>
      <tp>
        <v>32.6083439748</v>
        <stp/>
        <stp>EM_S_FA_YOY_OR</stp>
        <stp>2</stp>
        <stp>000858</stp>
        <stp>12/31/2018</stp>
        <tr r="H65" s="1"/>
      </tp>
      <tp>
        <v>-21.926915838199999</v>
        <stp/>
        <stp>EM_S_FA_YOY_OR</stp>
        <stp>2</stp>
        <stp>600838</stp>
        <stp>12/31/2018</stp>
        <tr r="H1970" s="1"/>
      </tp>
      <tp>
        <v>23.8845950151</v>
        <stp/>
        <stp>EM_S_FA_YOY_OR</stp>
        <stp>2</stp>
        <stp>600805</stp>
        <stp>12/31/2018</stp>
        <tr r="H1762" s="1"/>
      </tp>
      <tp>
        <v>-16.035119755899998</v>
        <stp/>
        <stp>EM_S_FA_YOY_OR</stp>
        <stp>2</stp>
        <stp>600804</stp>
        <stp>12/31/2018</stp>
        <tr r="H2849" s="1"/>
      </tp>
      <tp>
        <v>-25.578613746999999</v>
        <stp/>
        <stp>EM_S_FA_YOY_OR</stp>
        <stp>2</stp>
        <stp>600807</stp>
        <stp>12/31/2018</stp>
        <tr r="H2570" s="1"/>
      </tp>
      <tp>
        <v>0</v>
        <stp/>
        <stp>EM_S_FA_YOY_OR</stp>
        <stp>2</stp>
        <stp>000866</stp>
        <stp>12/31/2018</stp>
        <tr r="H3558" s="1"/>
      </tp>
      <tp>
        <v>-11.740612710300001</v>
        <stp/>
        <stp>EM_S_FA_YOY_OR</stp>
        <stp>2</stp>
        <stp>600806</stp>
        <stp>12/31/2018</stp>
        <tr r="H2326" s="1"/>
      </tp>
      <tp>
        <v>-2.1178457844</v>
        <stp/>
        <stp>EM_S_FA_YOY_OR</stp>
        <stp>2</stp>
        <stp>000861</stp>
        <stp>12/31/2018</stp>
        <tr r="H3556" s="1"/>
      </tp>
      <tp>
        <v>31.483845858199999</v>
        <stp/>
        <stp>EM_S_FA_YOY_OR</stp>
        <stp>2</stp>
        <stp>600801</stp>
        <stp>12/31/2018</stp>
        <tr r="H585" s="1"/>
      </tp>
      <tp>
        <v>2.9021180174999999</v>
        <stp/>
        <stp>EM_S_FA_YOY_OR</stp>
        <stp>2</stp>
        <stp>000860</stp>
        <stp>12/31/2018</stp>
        <tr r="H371" s="1"/>
      </tp>
      <tp>
        <v>2.5839038254000002</v>
        <stp/>
        <stp>EM_S_FA_YOY_OR</stp>
        <stp>2</stp>
        <stp>600800</stp>
        <stp>12/31/2018</stp>
        <tr r="H1729" s="1"/>
      </tp>
      <tp>
        <v>-33.990394944199998</v>
        <stp/>
        <stp>EM_S_FA_YOY_OR</stp>
        <stp>2</stp>
        <stp>000863</stp>
        <stp>12/31/2018</stp>
        <tr r="H3557" s="1"/>
      </tp>
      <tp>
        <v>35.840750179300002</v>
        <stp/>
        <stp>EM_S_FA_YOY_OR</stp>
        <stp>2</stp>
        <stp>600803</stp>
        <stp>12/31/2018</stp>
        <tr r="H1898" s="1"/>
      </tp>
      <tp>
        <v>21.954929890599999</v>
        <stp/>
        <stp>EM_S_FA_YOY_OR</stp>
        <stp>2</stp>
        <stp>000862</stp>
        <stp>12/31/2018</stp>
        <tr r="H331" s="1"/>
      </tp>
      <tp>
        <v>60.677440947500003</v>
        <stp/>
        <stp>EM_S_FA_YOY_OR</stp>
        <stp>2</stp>
        <stp>600802</stp>
        <stp>12/31/2018</stp>
        <tr r="H1449" s="1"/>
      </tp>
      <tp>
        <v>4.2513449196000002</v>
        <stp/>
        <stp>EM_S_FA_YOY_OR</stp>
        <stp>2</stp>
        <stp>000869</stp>
        <stp>12/31/2018</stp>
        <tr r="H1713" s="1"/>
      </tp>
      <tp>
        <v>47.480977166499997</v>
        <stp/>
        <stp>EM_S_FA_YOY_OR</stp>
        <stp>2</stp>
        <stp>600809</stp>
        <stp>12/31/2018</stp>
        <tr r="H75" s="1"/>
      </tp>
      <tp>
        <v>-42.249082820600002</v>
        <stp/>
        <stp>EM_S_FA_YOY_OR</stp>
        <stp>2</stp>
        <stp>000868</stp>
        <stp>12/31/2018</stp>
        <tr r="H3559" s="1"/>
      </tp>
      <tp>
        <v>11.9131757454</v>
        <stp/>
        <stp>EM_S_FA_YOY_OR</stp>
        <stp>2</stp>
        <stp>600808</stp>
        <stp>12/31/2018</stp>
        <tr r="H2869" s="1"/>
      </tp>
      <tp>
        <v>43.093891876699999</v>
        <stp/>
        <stp>EM_S_FA_YOY_OR</stp>
        <stp>2</stp>
        <stp>000875</stp>
        <stp>12/31/2018</stp>
        <tr r="H1036" s="1"/>
      </tp>
      <tp>
        <v>-36.206463973200002</v>
        <stp/>
        <stp>EM_S_FA_YOY_OR</stp>
        <stp>2</stp>
        <stp>600815</stp>
        <stp>12/31/2018</stp>
        <tr r="H2476" s="1"/>
      </tp>
      <tp>
        <v>2.2271288708000001</v>
        <stp/>
        <stp>EM_S_FA_YOY_OR</stp>
        <stp>2</stp>
        <stp>600814</stp>
        <stp>12/31/2018</stp>
        <tr r="H2267" s="1"/>
      </tp>
      <tp>
        <v>12.034382412999999</v>
        <stp/>
        <stp>EM_S_FA_YOY_OR</stp>
        <stp>2</stp>
        <stp>000877</stp>
        <stp>12/31/2018</stp>
        <tr r="H407" s="1"/>
      </tp>
      <tp>
        <v>350.6791272767</v>
        <stp/>
        <stp>EM_S_FA_YOY_OR</stp>
        <stp>2</stp>
        <stp>600817</stp>
        <stp>12/31/2018</stp>
        <tr r="H2126" s="1"/>
      </tp>
      <tp>
        <v>10.383097195</v>
        <stp/>
        <stp>EM_S_FA_YOY_OR</stp>
        <stp>2</stp>
        <stp>000876</stp>
        <stp>12/31/2018</stp>
        <tr r="H64" s="1"/>
      </tp>
      <tp>
        <v>-96.340586334799994</v>
        <stp/>
        <stp>EM_S_FA_YOY_OR</stp>
        <stp>2</stp>
        <stp>600816</stp>
        <stp>12/31/2018</stp>
        <tr r="H2137" s="1"/>
      </tp>
      <tp>
        <v>82.089552622599996</v>
        <stp/>
        <stp>EM_S_FA_YOY_OR</stp>
        <stp>2</stp>
        <stp>600811</stp>
        <stp>12/31/2018</stp>
        <tr r="H2690" s="1"/>
      </tp>
      <tp>
        <v>4.3839893199000004</v>
        <stp/>
        <stp>EM_S_FA_YOY_OR</stp>
        <stp>2</stp>
        <stp>600810</stp>
        <stp>12/31/2018</stp>
        <tr r="H3112" s="1"/>
      </tp>
      <tp>
        <v>-94.674030822399999</v>
        <stp/>
        <stp>EM_S_FA_YOY_OR</stp>
        <stp>2</stp>
        <stp>600813</stp>
        <stp>12/31/2018</stp>
        <tr r="H2327" s="1"/>
      </tp>
      <tp>
        <v>19.517831365399999</v>
        <stp/>
        <stp>EM_S_FA_YOY_OR</stp>
        <stp>2</stp>
        <stp>600812</stp>
        <stp>12/31/2018</stp>
        <tr r="H107" s="1"/>
      </tp>
      <tp>
        <v>17.8400994293</v>
        <stp/>
        <stp>EM_S_FA_YOY_OR</stp>
        <stp>2</stp>
        <stp>600819</stp>
        <stp>12/31/2018</stp>
        <tr r="H1023" s="1"/>
      </tp>
      <tp>
        <v>-16.798674096399999</v>
        <stp/>
        <stp>EM_S_FA_YOY_OR</stp>
        <stp>2</stp>
        <stp>000878</stp>
        <stp>12/31/2018</stp>
        <tr r="H3560" s="1"/>
      </tp>
      <tp>
        <v>-12.514821816</v>
        <stp/>
        <stp>EM_S_FA_YOY_OR</stp>
        <stp>2</stp>
        <stp>600818</stp>
        <stp>12/31/2018</stp>
        <tr r="H1647" s="1"/>
      </tp>
      <tp>
        <v>10.4394784798</v>
        <stp/>
        <stp>EM_S_FA_YOY_OR</stp>
        <stp>2</stp>
        <stp>000985</stp>
        <stp>12/31/2018</stp>
        <tr r="H3596" s="1"/>
      </tp>
      <tp>
        <v>25.135438235799999</v>
        <stp/>
        <stp>EM_S_FA_YOY_OR</stp>
        <stp>2</stp>
        <stp>000987</stp>
        <stp>12/31/2018</stp>
        <tr r="H3597" s="1"/>
      </tp>
      <tp>
        <v>-29.387227657699999</v>
        <stp/>
        <stp>EM_S_FA_YOY_OR</stp>
        <stp>2</stp>
        <stp>000981</stp>
        <stp>12/31/2018</stp>
        <tr r="H3594" s="1"/>
      </tp>
      <tp>
        <v>-29.031847105299999</v>
        <stp/>
        <stp>EM_S_FA_YOY_OR</stp>
        <stp>2</stp>
        <stp>000980</stp>
        <stp>12/31/2018</stp>
        <tr r="H3593" s="1"/>
      </tp>
      <tp>
        <v>12.618032596600001</v>
        <stp/>
        <stp>EM_S_FA_YOY_OR</stp>
        <stp>2</stp>
        <stp>000983</stp>
        <stp>12/31/2018</stp>
        <tr r="H1655" s="1"/>
      </tp>
      <tp>
        <v>-27.778492418799999</v>
        <stp/>
        <stp>EM_S_FA_YOY_OR</stp>
        <stp>2</stp>
        <stp>000982</stp>
        <stp>12/31/2018</stp>
        <tr r="H3595" s="1"/>
      </tp>
      <tp>
        <v>-18.605445463399999</v>
        <stp/>
        <stp>EM_S_FA_YOY_OR</stp>
        <stp>2</stp>
        <stp>000989</stp>
        <stp>12/31/2018</stp>
        <tr r="H3598" s="1"/>
      </tp>
      <tp>
        <v>16.790028619800001</v>
        <stp/>
        <stp>EM_S_FA_YOY_OR</stp>
        <stp>2</stp>
        <stp>000988</stp>
        <stp>12/31/2018</stp>
        <tr r="H328" s="1"/>
      </tp>
      <tp>
        <v>-46.469206867700002</v>
        <stp/>
        <stp>EM_S_FA_YOY_OR</stp>
        <stp>2</stp>
        <stp>000995</stp>
        <stp>12/31/2018</stp>
        <tr r="H3601" s="1"/>
      </tp>
      <tp>
        <v>18.612112050499999</v>
        <stp/>
        <stp>EM_S_FA_YOY_OR</stp>
        <stp>2</stp>
        <stp>000997</stp>
        <stp>12/31/2018</stp>
        <tr r="H1814" s="1"/>
      </tp>
      <tp>
        <v>9.2244673519999996</v>
        <stp/>
        <stp>EM_S_FA_YOY_OR</stp>
        <stp>2</stp>
        <stp>000996</stp>
        <stp>12/31/2018</stp>
        <tr r="H1113" s="1"/>
      </tp>
      <tp>
        <v>0</v>
        <stp/>
        <stp>EM_S_FA_YOY_OR</stp>
        <stp>2</stp>
        <stp>000991</stp>
        <stp>12/31/2018</stp>
        <tr r="H3599" s="1"/>
      </tp>
      <tp>
        <v>3.0492948766999999</v>
        <stp/>
        <stp>EM_S_FA_YOY_OR</stp>
        <stp>2</stp>
        <stp>000990</stp>
        <stp>12/31/2018</stp>
        <tr r="H1153" s="1"/>
      </tp>
      <tp>
        <v>-38.110868719499997</v>
        <stp/>
        <stp>EM_S_FA_YOY_OR</stp>
        <stp>2</stp>
        <stp>000993</stp>
        <stp>12/31/2018</stp>
        <tr r="H3600" s="1"/>
      </tp>
      <tp>
        <v>20.7540210214</v>
        <stp/>
        <stp>EM_S_FA_YOY_OR</stp>
        <stp>2</stp>
        <stp>000999</stp>
        <stp>12/31/2018</stp>
        <tr r="H1163" s="1"/>
      </tp>
      <tp>
        <v>12.2161657731</v>
        <stp/>
        <stp>EM_S_FA_YOY_OR</stp>
        <stp>2</stp>
        <stp>000998</stp>
        <stp>12/31/2018</stp>
        <tr r="H2742" s="1"/>
      </tp>
      <tp>
        <v>9.5827564936999998</v>
        <stp/>
        <stp>EM_S_FA_YOY_OR</stp>
        <stp>2</stp>
        <stp>600985</stp>
        <stp>12/31/2018</stp>
        <tr r="H1841" s="1"/>
      </tp>
      <tp>
        <v>21.765046141700001</v>
        <stp/>
        <stp>EM_S_FA_YOY_OR</stp>
        <stp>2</stp>
        <stp>600984</stp>
        <stp>12/31/2018</stp>
        <tr r="H159" s="1"/>
      </tp>
      <tp>
        <v>8.4637530455000007</v>
        <stp/>
        <stp>EM_S_FA_YOY_OR</stp>
        <stp>2</stp>
        <stp>600987</stp>
        <stp>12/31/2018</stp>
        <tr r="H3102" s="1"/>
      </tp>
      <tp>
        <v>50.051182350099999</v>
        <stp/>
        <stp>EM_S_FA_YOY_OR</stp>
        <stp>2</stp>
        <stp>600986</stp>
        <stp>12/31/2018</stp>
        <tr r="H1246" s="1"/>
      </tp>
      <tp>
        <v>5.9332208003</v>
        <stp/>
        <stp>EM_S_FA_YOY_OR</stp>
        <stp>2</stp>
        <stp>600981</stp>
        <stp>12/31/2018</stp>
        <tr r="H2364" s="1"/>
      </tp>
      <tp>
        <v>8.3053358847999998</v>
        <stp/>
        <stp>EM_S_FA_YOY_OR</stp>
        <stp>2</stp>
        <stp>600980</stp>
        <stp>12/31/2018</stp>
        <tr r="H669" s="1"/>
      </tp>
      <tp>
        <v>-1.2328345718</v>
        <stp/>
        <stp>EM_S_FA_YOY_OR</stp>
        <stp>2</stp>
        <stp>600983</stp>
        <stp>12/31/2018</stp>
        <tr r="H2645" s="1"/>
      </tp>
      <tp>
        <v>11.7583865225</v>
        <stp/>
        <stp>EM_S_FA_YOY_OR</stp>
        <stp>2</stp>
        <stp>600982</stp>
        <stp>12/31/2018</stp>
        <tr r="H2729" s="1"/>
      </tp>
      <tp>
        <v>-16.772003545</v>
        <stp/>
        <stp>EM_S_FA_YOY_OR</stp>
        <stp>2</stp>
        <stp>600988</stp>
        <stp>12/31/2018</stp>
        <tr r="H1255" s="1"/>
      </tp>
      <tp>
        <v>-0.45835624940000003</v>
        <stp/>
        <stp>EM_S_FA_YOY_OR</stp>
        <stp>2</stp>
        <stp>600995</stp>
        <stp>12/31/2018</stp>
        <tr r="H1373" s="1"/>
      </tp>
      <tp>
        <v>10.2277613991</v>
        <stp/>
        <stp>EM_S_FA_YOY_OR</stp>
        <stp>2</stp>
        <stp>600997</stp>
        <stp>12/31/2018</stp>
        <tr r="H2542" s="1"/>
      </tp>
      <tp>
        <v>25.5530228559</v>
        <stp/>
        <stp>EM_S_FA_YOY_OR</stp>
        <stp>2</stp>
        <stp>600996</stp>
        <stp>12/31/2018</stp>
        <tr r="H1043" s="1"/>
      </tp>
      <tp>
        <v>0</v>
        <stp/>
        <stp>EM_S_FA_YOY_OR</stp>
        <stp>2</stp>
        <stp>600991</stp>
        <stp>12/31/2018</stp>
        <tr r="H2334" s="1"/>
      </tp>
      <tp>
        <v>3.7482479358999998</v>
        <stp/>
        <stp>EM_S_FA_YOY_OR</stp>
        <stp>2</stp>
        <stp>600990</stp>
        <stp>12/31/2018</stp>
        <tr r="H934" s="1"/>
      </tp>
      <tp>
        <v>25.529363745600001</v>
        <stp/>
        <stp>EM_S_FA_YOY_OR</stp>
        <stp>2</stp>
        <stp>600993</stp>
        <stp>12/31/2018</stp>
        <tr r="H973" s="1"/>
      </tp>
      <tp>
        <v>14.495861961699999</v>
        <stp/>
        <stp>EM_S_FA_YOY_OR</stp>
        <stp>2</stp>
        <stp>600992</stp>
        <stp>12/31/2018</stp>
        <tr r="H2383" s="1"/>
      </tp>
      <tp>
        <v>-15.214330732100001</v>
        <stp/>
        <stp>EM_S_FA_YOY_OR</stp>
        <stp>2</stp>
        <stp>600999</stp>
        <stp>12/31/2018</stp>
        <tr r="H764" s="1"/>
      </tp>
      <tp>
        <v>17.842774829500001</v>
        <stp/>
        <stp>EM_S_FA_YOY_OR</stp>
        <stp>2</stp>
        <stp>600998</stp>
        <stp>12/31/2018</stp>
        <tr r="H2675" s="1"/>
      </tp>
      <tp>
        <v>-2.3470250228</v>
        <stp/>
        <stp>EM_S_FA_YOY_OR</stp>
        <stp>2</stp>
        <stp>000905</stp>
        <stp>12/31/2018</stp>
        <tr r="H3570" s="1"/>
      </tp>
      <tp>
        <v>6.8472950309999998</v>
        <stp/>
        <stp>EM_S_FA_YOY_OR</stp>
        <stp>2</stp>
        <stp>600965</stp>
        <stp>12/31/2018</stp>
        <tr r="H3222" s="1"/>
      </tp>
      <tp>
        <v>2.5022891950999999</v>
        <stp/>
        <stp>EM_S_FA_YOY_OR</stp>
        <stp>2</stp>
        <stp>600967</stp>
        <stp>12/31/2018</stp>
        <tr r="H2184" s="1"/>
      </tp>
      <tp>
        <v>30.7531936978</v>
        <stp/>
        <stp>EM_S_FA_YOY_OR</stp>
        <stp>2</stp>
        <stp>000906</stp>
        <stp>12/31/2018</stp>
        <tr r="H1291" s="1"/>
      </tp>
      <tp>
        <v>-6.8719321329999996</v>
        <stp/>
        <stp>EM_S_FA_YOY_OR</stp>
        <stp>2</stp>
        <stp>600966</stp>
        <stp>12/31/2018</stp>
        <tr r="H326" s="1"/>
      </tp>
      <tp>
        <v>-1.33983878E-2</v>
        <stp/>
        <stp>EM_S_FA_YOY_OR</stp>
        <stp>2</stp>
        <stp>000901</stp>
        <stp>12/31/2018</stp>
        <tr r="H3569" s="1"/>
      </tp>
      <tp>
        <v>-5.7143535751999996</v>
        <stp/>
        <stp>EM_S_FA_YOY_OR</stp>
        <stp>2</stp>
        <stp>600961</stp>
        <stp>12/31/2018</stp>
        <tr r="H1803" s="1"/>
      </tp>
      <tp>
        <v>11.9716147466</v>
        <stp/>
        <stp>EM_S_FA_YOY_OR</stp>
        <stp>2</stp>
        <stp>000900</stp>
        <stp>12/31/2018</stp>
        <tr r="H1632" s="1"/>
      </tp>
      <tp>
        <v>55.209344342900003</v>
        <stp/>
        <stp>EM_S_FA_YOY_OR</stp>
        <stp>2</stp>
        <stp>600960</stp>
        <stp>12/31/2018</stp>
        <tr r="H2720" s="1"/>
      </tp>
      <tp>
        <v>10.5525653268</v>
        <stp/>
        <stp>EM_S_FA_YOY_OR</stp>
        <stp>2</stp>
        <stp>000903</stp>
        <stp>12/31/2018</stp>
        <tr r="H1940" s="1"/>
      </tp>
      <tp>
        <v>14.147016175999999</v>
        <stp/>
        <stp>EM_S_FA_YOY_OR</stp>
        <stp>2</stp>
        <stp>600963</stp>
        <stp>12/31/2018</stp>
        <tr r="H1727" s="1"/>
      </tp>
      <tp>
        <v>11.051542659000001</v>
        <stp/>
        <stp>EM_S_FA_YOY_OR</stp>
        <stp>2</stp>
        <stp>000902</stp>
        <stp>12/31/2018</stp>
        <tr r="H2826" s="1"/>
      </tp>
      <tp>
        <v>-2.2899867411999999</v>
        <stp/>
        <stp>EM_S_FA_YOY_OR</stp>
        <stp>2</stp>
        <stp>600962</stp>
        <stp>12/31/2018</stp>
        <tr r="H1599" s="1"/>
      </tp>
      <tp>
        <v>-42.288589039500003</v>
        <stp/>
        <stp>EM_S_FA_YOY_OR</stp>
        <stp>2</stp>
        <stp>000909</stp>
        <stp>12/31/2018</stp>
        <tr r="H3571" s="1"/>
      </tp>
      <tp>
        <v>8.7885546343000005</v>
        <stp/>
        <stp>EM_S_FA_YOY_OR</stp>
        <stp>2</stp>
        <stp>600969</stp>
        <stp>12/31/2018</stp>
        <tr r="H1681" s="1"/>
      </tp>
      <tp>
        <v>7.9134744300000004E-2</v>
        <stp/>
        <stp>EM_S_FA_YOY_OR</stp>
        <stp>2</stp>
        <stp>000908</stp>
        <stp>12/31/2018</stp>
        <tr r="H3008" s="1"/>
      </tp>
      <tp>
        <v>-13.6372452612</v>
        <stp/>
        <stp>EM_S_FA_YOY_OR</stp>
        <stp>2</stp>
        <stp>000915</stp>
        <stp>12/31/2018</stp>
        <tr r="H3573" s="1"/>
      </tp>
      <tp>
        <v>18.408962600799999</v>
        <stp/>
        <stp>EM_S_FA_YOY_OR</stp>
        <stp>2</stp>
        <stp>600975</stp>
        <stp>12/31/2018</stp>
        <tr r="H106" s="1"/>
      </tp>
      <tp>
        <v>20.239407859</v>
        <stp/>
        <stp>EM_S_FA_YOY_OR</stp>
        <stp>2</stp>
        <stp>000917</stp>
        <stp>12/31/2018</stp>
        <tr r="H2445" s="1"/>
      </tp>
      <tp>
        <v>0.5527440307</v>
        <stp/>
        <stp>EM_S_FA_YOY_OR</stp>
        <stp>2</stp>
        <stp>600977</stp>
        <stp>12/31/2018</stp>
        <tr r="H1944" s="1"/>
      </tp>
      <tp>
        <v>0</v>
        <stp/>
        <stp>EM_S_FA_YOY_OR</stp>
        <stp>2</stp>
        <stp>000916</stp>
        <stp>12/31/2018</stp>
        <tr r="H3574" s="1"/>
      </tp>
      <tp>
        <v>-20.2849202423</v>
        <stp/>
        <stp>EM_S_FA_YOY_OR</stp>
        <stp>2</stp>
        <stp>600976</stp>
        <stp>12/31/2018</stp>
        <tr r="H1228" s="1"/>
      </tp>
      <tp>
        <v>23.803495374499999</v>
        <stp/>
        <stp>EM_S_FA_YOY_OR</stp>
        <stp>2</stp>
        <stp>000911</stp>
        <stp>12/31/2018</stp>
        <tr r="H3572" s="1"/>
      </tp>
      <tp>
        <v>-9.7281036174000004</v>
        <stp/>
        <stp>EM_S_FA_YOY_OR</stp>
        <stp>2</stp>
        <stp>600971</stp>
        <stp>12/31/2018</stp>
        <tr r="H1930" s="1"/>
      </tp>
      <tp>
        <v>3.0223745526000001</v>
        <stp/>
        <stp>EM_S_FA_YOY_OR</stp>
        <stp>2</stp>
        <stp>000910</stp>
        <stp>12/31/2018</stp>
        <tr r="H880" s="1"/>
      </tp>
      <tp>
        <v>9.9609432747</v>
        <stp/>
        <stp>EM_S_FA_YOY_OR</stp>
        <stp>2</stp>
        <stp>600970</stp>
        <stp>12/31/2018</stp>
        <tr r="H1048" s="1"/>
      </tp>
      <tp>
        <v>13.723843239500001</v>
        <stp/>
        <stp>EM_S_FA_YOY_OR</stp>
        <stp>2</stp>
        <stp>000913</stp>
        <stp>12/31/2018</stp>
        <tr r="H1323" s="1"/>
      </tp>
      <tp>
        <v>55.546609212699998</v>
        <stp/>
        <stp>EM_S_FA_YOY_OR</stp>
        <stp>2</stp>
        <stp>600973</stp>
        <stp>12/31/2018</stp>
        <tr r="H2049" s="1"/>
      </tp>
      <tp>
        <v>17.956293748</v>
        <stp/>
        <stp>EM_S_FA_YOY_OR</stp>
        <stp>2</stp>
        <stp>000912</stp>
        <stp>12/31/2018</stp>
        <tr r="H2196" s="1"/>
      </tp>
      <tp>
        <v>-9.1713689360000004</v>
        <stp/>
        <stp>EM_S_FA_YOY_OR</stp>
        <stp>2</stp>
        <stp>000919</stp>
        <stp>12/31/2018</stp>
        <tr r="H3576" s="1"/>
      </tp>
      <tp>
        <v>5.3815875700999998</v>
        <stp/>
        <stp>EM_S_FA_YOY_OR</stp>
        <stp>2</stp>
        <stp>600979</stp>
        <stp>12/31/2018</stp>
        <tr r="H2045" s="1"/>
      </tp>
      <tp>
        <v>34.5922623405</v>
        <stp/>
        <stp>EM_S_FA_YOY_OR</stp>
        <stp>2</stp>
        <stp>000918</stp>
        <stp>12/31/2018</stp>
        <tr r="H3575" s="1"/>
      </tp>
      <tp>
        <v>-7.7261400536</v>
        <stp/>
        <stp>EM_S_FA_YOY_OR</stp>
        <stp>2</stp>
        <stp>600978</stp>
        <stp>12/31/2018</stp>
        <tr r="H3195" s="1"/>
      </tp>
      <tp>
        <v>0.1319198684</v>
        <stp/>
        <stp>EM_S_FA_YOY_OR</stp>
        <stp>2</stp>
        <stp>000925</stp>
        <stp>12/31/2018</stp>
        <tr r="H1523" s="1"/>
      </tp>
      <tp>
        <v>-22.498239961500001</v>
        <stp/>
        <stp>EM_S_FA_YOY_OR</stp>
        <stp>2</stp>
        <stp>000927</stp>
        <stp>12/31/2018</stp>
        <tr r="H3579" s="1"/>
      </tp>
      <tp>
        <v>-7.9193893146000001</v>
        <stp/>
        <stp>EM_S_FA_YOY_OR</stp>
        <stp>2</stp>
        <stp>000926</stp>
        <stp>12/31/2018</stp>
        <tr r="H3578" s="1"/>
      </tp>
      <tp>
        <v>7.5610334694999999</v>
        <stp/>
        <stp>EM_S_FA_YOY_OR</stp>
        <stp>2</stp>
        <stp>000921</stp>
        <stp>12/31/2018</stp>
        <tr r="H344" s="1"/>
      </tp>
      <tp>
        <v>2.0569584587</v>
        <stp/>
        <stp>EM_S_FA_YOY_OR</stp>
        <stp>2</stp>
        <stp>000920</stp>
        <stp>12/31/2018</stp>
        <tr r="H969" s="1"/>
      </tp>
      <tp>
        <v>-7.9465623623999999</v>
        <stp/>
        <stp>EM_S_FA_YOY_OR</stp>
        <stp>2</stp>
        <stp>000923</stp>
        <stp>12/31/2018</stp>
        <tr r="H3577" s="1"/>
      </tp>
      <tp>
        <v>22.660077174400001</v>
        <stp/>
        <stp>EM_S_FA_YOY_OR</stp>
        <stp>2</stp>
        <stp>000922</stp>
        <stp>12/31/2018</stp>
        <tr r="H1487" s="1"/>
      </tp>
      <tp>
        <v>-14.6816136991</v>
        <stp/>
        <stp>EM_S_FA_YOY_OR</stp>
        <stp>2</stp>
        <stp>000929</stp>
        <stp>12/31/2018</stp>
        <tr r="H3580" s="1"/>
      </tp>
      <tp>
        <v>3.9858724557</v>
        <stp/>
        <stp>EM_S_FA_YOY_OR</stp>
        <stp>2</stp>
        <stp>000928</stp>
        <stp>12/31/2018</stp>
        <tr r="H1780" s="1"/>
      </tp>
      <tp>
        <v>-29.417783936900001</v>
        <stp/>
        <stp>EM_S_FA_YOY_OR</stp>
        <stp>2</stp>
        <stp>000935</stp>
        <stp>12/31/2018</stp>
        <tr r="H3582" s="1"/>
      </tp>
      <tp>
        <v>5.2824588723000003</v>
        <stp/>
        <stp>EM_S_FA_YOY_OR</stp>
        <stp>2</stp>
        <stp>000937</stp>
        <stp>12/31/2018</stp>
        <tr r="H2461" s="1"/>
      </tp>
      <tp>
        <v>3.1595490335999998</v>
        <stp/>
        <stp>EM_S_FA_YOY_OR</stp>
        <stp>2</stp>
        <stp>000936</stp>
        <stp>12/31/2018</stp>
        <tr r="H953" s="1"/>
      </tp>
      <tp>
        <v>1.9345730941999999</v>
        <stp/>
        <stp>EM_S_FA_YOY_OR</stp>
        <stp>2</stp>
        <stp>000931</stp>
        <stp>12/31/2018</stp>
        <tr r="H720" s="1"/>
      </tp>
      <tp>
        <v>11.401694574</v>
        <stp/>
        <stp>EM_S_FA_YOY_OR</stp>
        <stp>2</stp>
        <stp>000930</stp>
        <stp>12/31/2018</stp>
        <tr r="H2797" s="1"/>
      </tp>
      <tp>
        <v>-0.34063186979999999</v>
        <stp/>
        <stp>EM_S_FA_YOY_OR</stp>
        <stp>2</stp>
        <stp>000933</stp>
        <stp>12/31/2018</stp>
        <tr r="H3581" s="1"/>
      </tp>
      <tp>
        <v>19.085780198199998</v>
        <stp/>
        <stp>EM_S_FA_YOY_OR</stp>
        <stp>2</stp>
        <stp>000932</stp>
        <stp>12/31/2018</stp>
        <tr r="H3096" s="1"/>
      </tp>
      <tp>
        <v>-56.084078637399998</v>
        <stp/>
        <stp>EM_S_FA_YOY_OR</stp>
        <stp>2</stp>
        <stp>000939</stp>
        <stp>12/31/2018</stp>
        <tr r="H3583" s="1"/>
      </tp>
      <tp>
        <v>-2.5957335255</v>
        <stp/>
        <stp>EM_S_FA_YOY_OR</stp>
        <stp>2</stp>
        <stp>600959</stp>
        <stp>12/31/2018</stp>
        <tr r="H2509" s="1"/>
      </tp>
      <tp>
        <v>23.632195259</v>
        <stp/>
        <stp>EM_S_FA_YOY_OR</stp>
        <stp>2</stp>
        <stp>000938</stp>
        <stp>12/31/2018</stp>
        <tr r="H2342" s="1"/>
      </tp>
      <tp>
        <v>-2.1651254474999999</v>
        <stp/>
        <stp>EM_S_FA_YOY_OR</stp>
        <stp>2</stp>
        <stp>600958</stp>
        <stp>12/31/2018</stp>
        <tr r="H811" s="1"/>
      </tp>
      <tp>
        <v>20.7678664574</v>
        <stp/>
        <stp>EM_S_FA_YOY_OR</stp>
        <stp>2</stp>
        <stp>600926</stp>
        <stp>12/31/2018</stp>
        <tr r="H1142" s="1"/>
      </tp>
      <tp>
        <v>9.4162516827000005</v>
        <stp/>
        <stp>EM_S_FA_YOY_OR</stp>
        <stp>2</stp>
        <stp>000949</stp>
        <stp>12/31/2018</stp>
        <tr r="H670" s="1"/>
      </tp>
      <tp>
        <v>4.4867761063999998</v>
        <stp/>
        <stp>EM_S_FA_YOY_OR</stp>
        <stp>2</stp>
        <stp>600929</stp>
        <stp>12/31/2018</stp>
        <tr r="H3072" s="1"/>
      </tp>
      <tp>
        <v>20.035901259300001</v>
        <stp/>
        <stp>EM_S_FA_YOY_OR</stp>
        <stp>2</stp>
        <stp>000948</stp>
        <stp>12/31/2018</stp>
        <tr r="H1716" s="1"/>
      </tp>
      <tp>
        <v>17.5915371249</v>
        <stp/>
        <stp>EM_S_FA_YOY_OR</stp>
        <stp>2</stp>
        <stp>000955</stp>
        <stp>12/31/2018</stp>
        <tr r="H3585" s="1"/>
      </tp>
      <tp>
        <v>-22.581299084600001</v>
        <stp/>
        <stp>EM_S_FA_YOY_OR</stp>
        <stp>2</stp>
        <stp>000957</stp>
        <stp>12/31/2018</stp>
        <tr r="H3587" s="1"/>
      </tp>
      <tp>
        <v>0</v>
        <stp/>
        <stp>EM_S_FA_YOY_OR</stp>
        <stp>2</stp>
        <stp>000956</stp>
        <stp>12/31/2018</stp>
        <tr r="H3586" s="1"/>
      </tp>
      <tp>
        <v>-10.2661033268</v>
        <stp/>
        <stp>EM_S_FA_YOY_OR</stp>
        <stp>2</stp>
        <stp>600936</stp>
        <stp>12/31/2018</stp>
        <tr r="H2127" s="1"/>
      </tp>
      <tp>
        <v>8.2214995661000003</v>
        <stp/>
        <stp>EM_S_FA_YOY_OR</stp>
        <stp>2</stp>
        <stp>000951</stp>
        <stp>12/31/2018</stp>
        <tr r="H163" s="1"/>
      </tp>
      <tp>
        <v>11.9686968838</v>
        <stp/>
        <stp>EM_S_FA_YOY_OR</stp>
        <stp>2</stp>
        <stp>000950</stp>
        <stp>12/31/2018</stp>
        <tr r="H1579" s="1"/>
      </tp>
      <tp>
        <v>4.6303702548999999</v>
        <stp/>
        <stp>EM_S_FA_YOY_OR</stp>
        <stp>2</stp>
        <stp>000953</stp>
        <stp>12/31/2018</stp>
        <tr r="H3584" s="1"/>
      </tp>
      <tp>
        <v>15.306517359000001</v>
        <stp/>
        <stp>EM_S_FA_YOY_OR</stp>
        <stp>2</stp>
        <stp>600933</stp>
        <stp>12/31/2018</stp>
        <tr r="H256" s="1"/>
      </tp>
      <tp>
        <v>5.2740668415999998</v>
        <stp/>
        <stp>EM_S_FA_YOY_OR</stp>
        <stp>2</stp>
        <stp>000952</stp>
        <stp>12/31/2018</stp>
        <tr r="H2593" s="1"/>
      </tp>
      <tp>
        <v>9.1836760014000003</v>
        <stp/>
        <stp>EM_S_FA_YOY_OR</stp>
        <stp>2</stp>
        <stp>000959</stp>
        <stp>12/31/2018</stp>
        <tr r="H2602" s="1"/>
      </tp>
      <tp>
        <v>3.6311446216999999</v>
        <stp/>
        <stp>EM_S_FA_YOY_OR</stp>
        <stp>2</stp>
        <stp>600939</stp>
        <stp>12/31/2018</stp>
        <tr r="H2104" s="1"/>
      </tp>
      <tp>
        <v>11.876486702499999</v>
        <stp/>
        <stp>EM_S_FA_YOY_OR</stp>
        <stp>2</stp>
        <stp>000958</stp>
        <stp>12/31/2018</stp>
        <tr r="H289" s="1"/>
      </tp>
      <tp>
        <v>24.029742418200001</v>
        <stp/>
        <stp>EM_S_FA_YOY_OR</stp>
        <stp>2</stp>
        <stp>000965</stp>
        <stp>12/31/2018</stp>
        <tr r="H3017" s="1"/>
      </tp>
      <tp>
        <v>46.805430670699998</v>
        <stp/>
        <stp>EM_S_FA_YOY_OR</stp>
        <stp>2</stp>
        <stp>000967</stp>
        <stp>12/31/2018</stp>
        <tr r="H1753" s="1"/>
      </tp>
      <tp>
        <v>20.104227290200001</v>
        <stp/>
        <stp>EM_S_FA_YOY_OR</stp>
        <stp>2</stp>
        <stp>000966</stp>
        <stp>12/31/2018</stp>
        <tr r="H869" s="1"/>
      </tp>
      <tp>
        <v>31.283372487899999</v>
        <stp/>
        <stp>EM_S_FA_YOY_OR</stp>
        <stp>2</stp>
        <stp>000961</stp>
        <stp>12/31/2018</stp>
        <tr r="H207" s="1"/>
      </tp>
      <tp>
        <v>25.424646584600001</v>
        <stp/>
        <stp>EM_S_FA_YOY_OR</stp>
        <stp>2</stp>
        <stp>600901</stp>
        <stp>12/31/2018</stp>
        <tr r="H1864" s="1"/>
      </tp>
      <tp>
        <v>15.085764190900001</v>
        <stp/>
        <stp>EM_S_FA_YOY_OR</stp>
        <stp>2</stp>
        <stp>000960</stp>
        <stp>12/31/2018</stp>
        <tr r="H1651" s="1"/>
      </tp>
      <tp>
        <v>2.1307233880999998</v>
        <stp/>
        <stp>EM_S_FA_YOY_OR</stp>
        <stp>2</stp>
        <stp>600900</stp>
        <stp>12/31/2018</stp>
        <tr r="H1447" s="1"/>
      </tp>
      <tp>
        <v>10.173789777</v>
        <stp/>
        <stp>EM_S_FA_YOY_OR</stp>
        <stp>2</stp>
        <stp>000963</stp>
        <stp>12/31/2018</stp>
        <tr r="H2741" s="1"/>
      </tp>
      <tp>
        <v>29.752406775200001</v>
        <stp/>
        <stp>EM_S_FA_YOY_OR</stp>
        <stp>2</stp>
        <stp>600903</stp>
        <stp>12/31/2018</stp>
        <tr r="H3216" s="1"/>
      </tp>
      <tp>
        <v>15.9145574495</v>
        <stp/>
        <stp>EM_S_FA_YOY_OR</stp>
        <stp>2</stp>
        <stp>000962</stp>
        <stp>12/31/2018</stp>
        <tr r="H1521" s="1"/>
      </tp>
      <tp>
        <v>8.4647793311000008</v>
        <stp/>
        <stp>EM_S_FA_YOY_OR</stp>
        <stp>2</stp>
        <stp>000969</stp>
        <stp>12/31/2018</stp>
        <tr r="H3588" s="1"/>
      </tp>
      <tp>
        <v>-8.1541231563000007</v>
        <stp/>
        <stp>EM_S_FA_YOY_OR</stp>
        <stp>2</stp>
        <stp>600909</stp>
        <stp>12/31/2018</stp>
        <tr r="H502" s="1"/>
      </tp>
      <tp>
        <v>22.567669216300001</v>
        <stp/>
        <stp>EM_S_FA_YOY_OR</stp>
        <stp>2</stp>
        <stp>000968</stp>
        <stp>12/31/2018</stp>
        <tr r="H2527" s="1"/>
      </tp>
      <tp>
        <v>11.9488445234</v>
        <stp/>
        <stp>EM_S_FA_YOY_OR</stp>
        <stp>2</stp>
        <stp>600908</stp>
        <stp>12/31/2018</stp>
        <tr r="H1965" s="1"/>
      </tp>
      <tp>
        <v>116.69120763959999</v>
        <stp/>
        <stp>EM_S_FA_YOY_OR</stp>
        <stp>2</stp>
        <stp>000975</stp>
        <stp>12/31/2018</stp>
        <tr r="H930" s="1"/>
      </tp>
      <tp>
        <v>84.167046154000005</v>
        <stp/>
        <stp>EM_S_FA_YOY_OR</stp>
        <stp>2</stp>
        <stp>000977</stp>
        <stp>12/31/2018</stp>
        <tr r="H206" s="1"/>
      </tp>
      <tp>
        <v>11.507446373100001</v>
        <stp/>
        <stp>EM_S_FA_YOY_OR</stp>
        <stp>2</stp>
        <stp>600917</stp>
        <stp>12/31/2018</stp>
        <tr r="H2163" s="1"/>
      </tp>
      <tp>
        <v>-0.3982531768</v>
        <stp/>
        <stp>EM_S_FA_YOY_OR</stp>
        <stp>2</stp>
        <stp>000976</stp>
        <stp>12/31/2018</stp>
        <tr r="H3591" s="1"/>
      </tp>
      <tp>
        <v>3.7567664315</v>
        <stp/>
        <stp>EM_S_FA_YOY_OR</stp>
        <stp>2</stp>
        <stp>000971</stp>
        <stp>12/31/2018</stp>
        <tr r="H3589" s="1"/>
      </tp>
      <tp>
        <v>6.9128542167000004</v>
        <stp/>
        <stp>EM_S_FA_YOY_OR</stp>
        <stp>2</stp>
        <stp>000970</stp>
        <stp>12/31/2018</stp>
        <tr r="H573" s="1"/>
      </tp>
      <tp>
        <v>12.384463094599999</v>
        <stp/>
        <stp>EM_S_FA_YOY_OR</stp>
        <stp>2</stp>
        <stp>000973</stp>
        <stp>12/31/2018</stp>
        <tr r="H658" s="1"/>
      </tp>
      <tp>
        <v>21.046311152200001</v>
        <stp/>
        <stp>EM_S_FA_YOY_OR</stp>
        <stp>2</stp>
        <stp>000972</stp>
        <stp>12/31/2018</stp>
        <tr r="H3590" s="1"/>
      </tp>
      <tp>
        <v>0</v>
        <stp/>
        <stp>EM_S_FA_YOY_OR</stp>
        <stp>2</stp>
        <stp>000979</stp>
        <stp>12/31/2018</stp>
        <tr r="H3592" s="1"/>
      </tp>
      <tp>
        <v>4.0922260273999997</v>
        <stp/>
        <stp>EM_S_FA_YOY_OR</stp>
        <stp>2</stp>
        <stp>600919</stp>
        <stp>12/31/2018</stp>
        <tr r="H1245" s="1"/>
      </tp>
      <tp>
        <v>3.0163791351999998</v>
        <stp/>
        <stp>EM_S_FA_YOY_OR</stp>
        <stp>2</stp>
        <stp>000978</stp>
        <stp>12/31/2018</stp>
        <tr r="H2177" s="1"/>
      </tp>
      <tp>
        <v>9.4153042612999993</v>
        <stp/>
        <stp>EM_S_FA_YOY_OR</stp>
        <stp>2</stp>
        <stp>300295</stp>
        <stp>12/31/2018</stp>
        <tr r="H1480" s="1"/>
      </tp>
      <tp>
        <v>67.837600726299996</v>
        <stp/>
        <stp>EM_S_FA_YOY_OR</stp>
        <stp>2</stp>
        <stp>300294</stp>
        <stp>12/31/2018</stp>
        <tr r="H1530" s="1"/>
      </tp>
      <tp>
        <v>2.9532972142</v>
        <stp/>
        <stp>EM_S_FA_YOY_OR</stp>
        <stp>2</stp>
        <stp>300297</stp>
        <stp>12/31/2018</stp>
        <tr r="H1570" s="1"/>
      </tp>
      <tp>
        <v>19.005648675500002</v>
        <stp/>
        <stp>EM_S_FA_YOY_OR</stp>
        <stp>2</stp>
        <stp>300296</stp>
        <stp>12/31/2018</stp>
        <tr r="H2149" s="1"/>
      </tp>
      <tp>
        <v>-71.991697662199996</v>
        <stp/>
        <stp>EM_S_FA_YOY_OR</stp>
        <stp>2</stp>
        <stp>300291</stp>
        <stp>12/31/2018</stp>
        <tr r="H808" s="1"/>
      </tp>
      <tp>
        <v>49.695182582100003</v>
        <stp/>
        <stp>EM_S_FA_YOY_OR</stp>
        <stp>2</stp>
        <stp>300290</stp>
        <stp>12/31/2018</stp>
        <tr r="H1839" s="1"/>
      </tp>
      <tp>
        <v>28.090241560900001</v>
        <stp/>
        <stp>EM_S_FA_YOY_OR</stp>
        <stp>2</stp>
        <stp>300293</stp>
        <stp>12/31/2018</stp>
        <tr r="H1253" s="1"/>
      </tp>
      <tp>
        <v>18.6926286737</v>
        <stp/>
        <stp>EM_S_FA_YOY_OR</stp>
        <stp>2</stp>
        <stp>300292</stp>
        <stp>12/31/2018</stp>
        <tr r="H894" s="1"/>
      </tp>
      <tp>
        <v>4.6951991602999996</v>
        <stp/>
        <stp>EM_S_FA_YOY_OR</stp>
        <stp>2</stp>
        <stp>300299</stp>
        <stp>12/31/2018</stp>
        <tr r="H2152" s="1"/>
      </tp>
      <tp>
        <v>50.096987051299998</v>
        <stp/>
        <stp>EM_S_FA_YOY_OR</stp>
        <stp>2</stp>
        <stp>300298</stp>
        <stp>12/31/2018</stp>
        <tr r="H742" s="1"/>
      </tp>
      <tp>
        <v>47.646857892500002</v>
        <stp/>
        <stp>EM_S_FA_YOY_OR</stp>
        <stp>2</stp>
        <stp>300285</stp>
        <stp>12/31/2018</stp>
        <tr r="H750" s="1"/>
      </tp>
      <tp>
        <v>7.8401963538999997</v>
        <stp/>
        <stp>EM_S_FA_YOY_OR</stp>
        <stp>2</stp>
        <stp>300284</stp>
        <stp>12/31/2018</stp>
        <tr r="H3100" s="1"/>
      </tp>
      <tp>
        <v>-35.803945242899999</v>
        <stp/>
        <stp>EM_S_FA_YOY_OR</stp>
        <stp>2</stp>
        <stp>300287</stp>
        <stp>12/31/2018</stp>
        <tr r="H2172" s="1"/>
      </tp>
      <tp>
        <v>12.939531391299999</v>
        <stp/>
        <stp>EM_S_FA_YOY_OR</stp>
        <stp>2</stp>
        <stp>300286</stp>
        <stp>12/31/2018</stp>
        <tr r="H747" s="1"/>
      </tp>
      <tp>
        <v>-9.8994870793</v>
        <stp/>
        <stp>EM_S_FA_YOY_OR</stp>
        <stp>2</stp>
        <stp>300281</stp>
        <stp>12/31/2018</stp>
        <tr r="H832" s="1"/>
      </tp>
      <tp>
        <v>84.894784375200004</v>
        <stp/>
        <stp>EM_S_FA_YOY_OR</stp>
        <stp>2</stp>
        <stp>300280</stp>
        <stp>12/31/2018</stp>
        <tr r="H3363" s="1"/>
      </tp>
      <tp>
        <v>16.716449912400002</v>
        <stp/>
        <stp>EM_S_FA_YOY_OR</stp>
        <stp>2</stp>
        <stp>300283</stp>
        <stp>12/31/2018</stp>
        <tr r="H2236" s="1"/>
      </tp>
      <tp>
        <v>-38.983739479599997</v>
        <stp/>
        <stp>EM_S_FA_YOY_OR</stp>
        <stp>2</stp>
        <stp>300282</stp>
        <stp>12/31/2018</stp>
        <tr r="H3268" s="1"/>
      </tp>
      <tp>
        <v>13.68562584</v>
        <stp/>
        <stp>EM_S_FA_YOY_OR</stp>
        <stp>2</stp>
        <stp>300289</stp>
        <stp>12/31/2018</stp>
        <tr r="H2864" s="1"/>
      </tp>
      <tp>
        <v>11.256790954</v>
        <stp/>
        <stp>EM_S_FA_YOY_OR</stp>
        <stp>2</stp>
        <stp>300288</stp>
        <stp>12/31/2018</stp>
        <tr r="H2609" s="1"/>
      </tp>
      <tp>
        <v>11.0676396695</v>
        <stp/>
        <stp>EM_S_FA_YOY_OR</stp>
        <stp>2</stp>
        <stp>600285</stp>
        <stp>12/31/2018</stp>
        <tr r="H1003" s="1"/>
      </tp>
      <tp>
        <v>12.5863141062</v>
        <stp/>
        <stp>EM_S_FA_YOY_OR</stp>
        <stp>2</stp>
        <stp>600284</stp>
        <stp>12/31/2018</stp>
        <tr r="H1018" s="1"/>
      </tp>
      <tp>
        <v>-2.4542997467999998</v>
        <stp/>
        <stp>EM_S_FA_YOY_OR</stp>
        <stp>2</stp>
        <stp>600287</stp>
        <stp>12/31/2018</stp>
        <tr r="H1135" s="1"/>
      </tp>
      <tp>
        <v>-6.1964962302000002</v>
        <stp/>
        <stp>EM_S_FA_YOY_OR</stp>
        <stp>2</stp>
        <stp>600286</stp>
        <stp>12/31/2018</stp>
        <tr r="H2299" s="1"/>
      </tp>
      <tp>
        <v>-19.044993853499999</v>
        <stp/>
        <stp>EM_S_FA_YOY_OR</stp>
        <stp>2</stp>
        <stp>600281</stp>
        <stp>12/31/2018</stp>
        <tr r="H1503" s="1"/>
      </tp>
      <tp>
        <v>-2.4068735006000002</v>
        <stp/>
        <stp>EM_S_FA_YOY_OR</stp>
        <stp>2</stp>
        <stp>600280</stp>
        <stp>12/31/2018</stp>
        <tr r="H2933" s="1"/>
      </tp>
      <tp>
        <v>8.8102117697000004</v>
        <stp/>
        <stp>EM_S_FA_YOY_OR</stp>
        <stp>2</stp>
        <stp>600283</stp>
        <stp>12/31/2018</stp>
        <tr r="H2697" s="1"/>
      </tp>
      <tp>
        <v>16.0798349706</v>
        <stp/>
        <stp>EM_S_FA_YOY_OR</stp>
        <stp>2</stp>
        <stp>600282</stp>
        <stp>12/31/2018</stp>
        <tr r="H2261" s="1"/>
      </tp>
      <tp>
        <v>-7.1079673890999997</v>
        <stp/>
        <stp>EM_S_FA_YOY_OR</stp>
        <stp>2</stp>
        <stp>600289</stp>
        <stp>12/31/2018</stp>
        <tr r="H840" s="1"/>
      </tp>
      <tp>
        <v>12.676904047400001</v>
        <stp/>
        <stp>EM_S_FA_YOY_OR</stp>
        <stp>2</stp>
        <stp>600288</stp>
        <stp>12/31/2018</stp>
        <tr r="H324" s="1"/>
      </tp>
      <tp>
        <v>7.8241347220000002</v>
        <stp/>
        <stp>EM_S_FA_YOY_OR</stp>
        <stp>2</stp>
        <stp>600295</stp>
        <stp>12/31/2018</stp>
        <tr r="H1322" s="1"/>
      </tp>
      <tp>
        <v>3.3983061059000002</v>
        <stp/>
        <stp>EM_S_FA_YOY_OR</stp>
        <stp>2</stp>
        <stp>600297</stp>
        <stp>12/31/2018</stp>
        <tr r="H3057" s="1"/>
      </tp>
      <tp>
        <v>0</v>
        <stp/>
        <stp>EM_S_FA_YOY_OR</stp>
        <stp>2</stp>
        <stp>600296</stp>
        <stp>12/31/2018</stp>
        <tr r="H2300" s="1"/>
      </tp>
      <tp>
        <v>-23.2462300324</v>
        <stp/>
        <stp>EM_S_FA_YOY_OR</stp>
        <stp>2</stp>
        <stp>600291</stp>
        <stp>12/31/2018</stp>
        <tr r="H2800" s="1"/>
      </tp>
      <tp>
        <v>-28.0676553228</v>
        <stp/>
        <stp>EM_S_FA_YOY_OR</stp>
        <stp>2</stp>
        <stp>600290</stp>
        <stp>12/31/2018</stp>
        <tr r="H3277" s="1"/>
      </tp>
      <tp>
        <v>-21.810762393400001</v>
        <stp/>
        <stp>EM_S_FA_YOY_OR</stp>
        <stp>2</stp>
        <stp>600293</stp>
        <stp>12/31/2018</stp>
        <tr r="H3052" s="1"/>
      </tp>
      <tp>
        <v>12.1974690259</v>
        <stp/>
        <stp>EM_S_FA_YOY_OR</stp>
        <stp>2</stp>
        <stp>600292</stp>
        <stp>12/31/2018</stp>
        <tr r="H1533" s="1"/>
      </tp>
      <tp>
        <v>9.8112713729000003</v>
        <stp/>
        <stp>EM_S_FA_YOY_OR</stp>
        <stp>2</stp>
        <stp>600299</stp>
        <stp>12/31/2018</stp>
        <tr r="H2551" s="1"/>
      </tp>
      <tp>
        <v>15.7533814606</v>
        <stp/>
        <stp>EM_S_FA_YOY_OR</stp>
        <stp>2</stp>
        <stp>600298</stp>
        <stp>12/31/2018</stp>
        <tr r="H1273" s="1"/>
      </tp>
      <tp>
        <v>6.7002840623999997</v>
        <stp/>
        <stp>EM_S_FA_YOY_OR</stp>
        <stp>2</stp>
        <stp>300235</stp>
        <stp>12/31/2018</stp>
        <tr r="H431" s="1"/>
      </tp>
      <tp>
        <v>80.1732027993</v>
        <stp/>
        <stp>EM_S_FA_YOY_OR</stp>
        <stp>2</stp>
        <stp>600265</stp>
        <stp>12/31/2018</stp>
        <tr r="H2743" s="1"/>
      </tp>
      <tp>
        <v>-18.016954930699999</v>
        <stp/>
        <stp>EM_S_FA_YOY_OR</stp>
        <stp>2</stp>
        <stp>300234</stp>
        <stp>12/31/2018</stp>
        <tr r="H173" s="1"/>
      </tp>
      <tp>
        <v>-10.2345627886</v>
        <stp/>
        <stp>EM_S_FA_YOY_OR</stp>
        <stp>2</stp>
        <stp>300237</stp>
        <stp>12/31/2018</stp>
        <tr r="H3205" s="1"/>
      </tp>
      <tp>
        <v>-3.6332099238</v>
        <stp/>
        <stp>EM_S_FA_YOY_OR</stp>
        <stp>2</stp>
        <stp>600267</stp>
        <stp>12/31/2018</stp>
        <tr r="H1513" s="1"/>
      </tp>
      <tp>
        <v>18.503943768799999</v>
        <stp/>
        <stp>EM_S_FA_YOY_OR</stp>
        <stp>2</stp>
        <stp>300236</stp>
        <stp>12/31/2018</stp>
        <tr r="H1622" s="1"/>
      </tp>
      <tp>
        <v>-4.7156728484999997</v>
        <stp/>
        <stp>EM_S_FA_YOY_OR</stp>
        <stp>2</stp>
        <stp>600266</stp>
        <stp>12/31/2018</stp>
        <tr r="H2129" s="1"/>
      </tp>
      <tp>
        <v>30.6628878203</v>
        <stp/>
        <stp>EM_S_FA_YOY_OR</stp>
        <stp>2</stp>
        <stp>300231</stp>
        <stp>12/31/2018</stp>
        <tr r="H943" s="1"/>
      </tp>
      <tp>
        <v>11.4713228526</v>
        <stp/>
        <stp>EM_S_FA_YOY_OR</stp>
        <stp>2</stp>
        <stp>600261</stp>
        <stp>12/31/2018</stp>
        <tr r="H753" s="1"/>
      </tp>
      <tp>
        <v>11.7702897358</v>
        <stp/>
        <stp>EM_S_FA_YOY_OR</stp>
        <stp>2</stp>
        <stp>300230</stp>
        <stp>12/31/2018</stp>
        <tr r="H2958" s="1"/>
      </tp>
      <tp>
        <v>12.018469066</v>
        <stp/>
        <stp>EM_S_FA_YOY_OR</stp>
        <stp>2</stp>
        <stp>600260</stp>
        <stp>12/31/2018</stp>
        <tr r="H3108" s="1"/>
      </tp>
      <tp>
        <v>7.8883795580999996</v>
        <stp/>
        <stp>EM_S_FA_YOY_OR</stp>
        <stp>2</stp>
        <stp>300233</stp>
        <stp>12/31/2018</stp>
        <tr r="H694" s="1"/>
      </tp>
      <tp>
        <v>0</v>
        <stp/>
        <stp>EM_S_FA_YOY_OR</stp>
        <stp>2</stp>
        <stp>600263</stp>
        <stp>12/31/2018</stp>
        <tr r="H2297" s="1"/>
      </tp>
      <tp>
        <v>49.292066698500001</v>
        <stp/>
        <stp>EM_S_FA_YOY_OR</stp>
        <stp>2</stp>
        <stp>300232</stp>
        <stp>12/31/2018</stp>
        <tr r="H1976" s="1"/>
      </tp>
      <tp>
        <v>34.283309400999997</v>
        <stp/>
        <stp>EM_S_FA_YOY_OR</stp>
        <stp>2</stp>
        <stp>600262</stp>
        <stp>12/31/2018</stp>
        <tr r="H2020" s="1"/>
      </tp>
      <tp>
        <v>27.089222461599999</v>
        <stp/>
        <stp>EM_S_FA_YOY_OR</stp>
        <stp>2</stp>
        <stp>300239</stp>
        <stp>12/31/2018</stp>
        <tr r="H984" s="1"/>
      </tp>
      <tp>
        <v>4.1502790566999996</v>
        <stp/>
        <stp>EM_S_FA_YOY_OR</stp>
        <stp>2</stp>
        <stp>600269</stp>
        <stp>12/31/2018</stp>
        <tr r="H1972" s="1"/>
      </tp>
      <tp>
        <v>-0.46346578770000002</v>
        <stp/>
        <stp>EM_S_FA_YOY_OR</stp>
        <stp>2</stp>
        <stp>300238</stp>
        <stp>12/31/2018</stp>
        <tr r="H179" s="1"/>
      </tp>
      <tp>
        <v>-18.875174511400001</v>
        <stp/>
        <stp>EM_S_FA_YOY_OR</stp>
        <stp>2</stp>
        <stp>600268</stp>
        <stp>12/31/2018</stp>
        <tr r="H1195" s="1"/>
      </tp>
      <tp>
        <v>1.3756804489000001</v>
        <stp/>
        <stp>EM_S_FA_YOY_OR</stp>
        <stp>2</stp>
        <stp>300225</stp>
        <stp>12/31/2018</stp>
        <tr r="H940" s="1"/>
      </tp>
      <tp>
        <v>161.8889240407</v>
        <stp/>
        <stp>EM_S_FA_YOY_OR</stp>
        <stp>2</stp>
        <stp>600275</stp>
        <stp>12/31/2018</stp>
        <tr r="H3082" s="1"/>
      </tp>
      <tp>
        <v>40.889933299200003</v>
        <stp/>
        <stp>EM_S_FA_YOY_OR</stp>
        <stp>2</stp>
        <stp>300224</stp>
        <stp>12/31/2018</stp>
        <tr r="H372" s="1"/>
      </tp>
      <tp>
        <v>13.0383115801</v>
        <stp/>
        <stp>EM_S_FA_YOY_OR</stp>
        <stp>2</stp>
        <stp>300227</stp>
        <stp>12/31/2018</stp>
        <tr r="H659" s="1"/>
      </tp>
      <tp>
        <v>3.6655803840000001</v>
        <stp/>
        <stp>EM_S_FA_YOY_OR</stp>
        <stp>2</stp>
        <stp>600277</stp>
        <stp>12/31/2018</stp>
        <tr r="H3055" s="1"/>
      </tp>
      <tp>
        <v>30.337768109599999</v>
        <stp/>
        <stp>EM_S_FA_YOY_OR</stp>
        <stp>2</stp>
        <stp>300226</stp>
        <stp>12/31/2018</stp>
        <tr r="H350" s="1"/>
      </tp>
      <tp>
        <v>25.891642398399998</v>
        <stp/>
        <stp>EM_S_FA_YOY_OR</stp>
        <stp>2</stp>
        <stp>600276</stp>
        <stp>12/31/2018</stp>
        <tr r="H401" s="1"/>
      </tp>
      <tp>
        <v>-11.729930901099999</v>
        <stp/>
        <stp>EM_S_FA_YOY_OR</stp>
        <stp>2</stp>
        <stp>300221</stp>
        <stp>12/31/2018</stp>
        <tr r="H1732" s="1"/>
      </tp>
      <tp>
        <v>-6.0979298116000002</v>
        <stp/>
        <stp>EM_S_FA_YOY_OR</stp>
        <stp>2</stp>
        <stp>600271</stp>
        <stp>12/31/2018</stp>
        <tr r="H2348" s="1"/>
      </tp>
      <tp>
        <v>15.051751300099999</v>
        <stp/>
        <stp>EM_S_FA_YOY_OR</stp>
        <stp>2</stp>
        <stp>300220</stp>
        <stp>12/31/2018</stp>
        <tr r="H27" s="1"/>
      </tp>
      <tp>
        <v>0</v>
        <stp/>
        <stp>EM_S_FA_YOY_OR</stp>
        <stp>2</stp>
        <stp>600270</stp>
        <stp>12/31/2018</stp>
        <tr r="H2298" s="1"/>
      </tp>
      <tp>
        <v>40.767770931199998</v>
        <stp/>
        <stp>EM_S_FA_YOY_OR</stp>
        <stp>2</stp>
        <stp>300223</stp>
        <stp>12/31/2018</stp>
        <tr r="H20" s="1"/>
      </tp>
      <tp>
        <v>0.49778512070000003</v>
        <stp/>
        <stp>EM_S_FA_YOY_OR</stp>
        <stp>2</stp>
        <stp>600273</stp>
        <stp>12/31/2018</stp>
        <tr r="H1116" s="1"/>
      </tp>
      <tp>
        <v>40.423750570099998</v>
        <stp/>
        <stp>EM_S_FA_YOY_OR</stp>
        <stp>2</stp>
        <stp>300222</stp>
        <stp>12/31/2018</stp>
        <tr r="H3309" s="1"/>
      </tp>
      <tp>
        <v>-8.7862365239999995</v>
        <stp/>
        <stp>EM_S_FA_YOY_OR</stp>
        <stp>2</stp>
        <stp>600272</stp>
        <stp>12/31/2018</stp>
        <tr r="H1919" s="1"/>
      </tp>
      <tp>
        <v>2.9196400131</v>
        <stp/>
        <stp>EM_S_FA_YOY_OR</stp>
        <stp>2</stp>
        <stp>300229</stp>
        <stp>12/31/2018</stp>
        <tr r="H529" s="1"/>
      </tp>
      <tp>
        <v>0.72861755189999999</v>
        <stp/>
        <stp>EM_S_FA_YOY_OR</stp>
        <stp>2</stp>
        <stp>600279</stp>
        <stp>12/31/2018</stp>
        <tr r="H1653" s="1"/>
      </tp>
      <tp>
        <v>-17.1948682234</v>
        <stp/>
        <stp>EM_S_FA_YOY_OR</stp>
        <stp>2</stp>
        <stp>300228</stp>
        <stp>12/31/2018</stp>
        <tr r="H1991" s="1"/>
      </tp>
      <tp>
        <v>5.7320499807000003</v>
        <stp/>
        <stp>EM_S_FA_YOY_OR</stp>
        <stp>2</stp>
        <stp>600278</stp>
        <stp>12/31/2018</stp>
        <tr r="H923" s="1"/>
      </tp>
      <tp>
        <v>10.272073693199999</v>
        <stp/>
        <stp>EM_S_FA_YOY_OR</stp>
        <stp>2</stp>
        <stp>300215</stp>
        <stp>12/31/2018</stp>
        <tr r="H1169" s="1"/>
      </tp>
      <tp>
        <v>-25.4108632911</v>
        <stp/>
        <stp>EM_S_FA_YOY_OR</stp>
        <stp>2</stp>
        <stp>300214</stp>
        <stp>12/31/2018</stp>
        <tr r="H590" s="1"/>
      </tp>
      <tp>
        <v>29.4287691412</v>
        <stp/>
        <stp>EM_S_FA_YOY_OR</stp>
        <stp>2</stp>
        <stp>300217</stp>
        <stp>12/31/2018</stp>
        <tr r="H2065" s="1"/>
      </tp>
      <tp>
        <v>-84.433044787300005</v>
        <stp/>
        <stp>EM_S_FA_YOY_OR</stp>
        <stp>2</stp>
        <stp>600247</stp>
        <stp>12/31/2018</stp>
        <tr r="H3103" s="1"/>
      </tp>
      <tp>
        <v>-34.777448155599998</v>
        <stp/>
        <stp>EM_S_FA_YOY_OR</stp>
        <stp>2</stp>
        <stp>300216</stp>
        <stp>12/31/2018</stp>
        <tr r="H2361" s="1"/>
      </tp>
      <tp>
        <v>10.6165879326</v>
        <stp/>
        <stp>EM_S_FA_YOY_OR</stp>
        <stp>2</stp>
        <stp>600246</stp>
        <stp>12/31/2018</stp>
        <tr r="H495" s="1"/>
      </tp>
      <tp>
        <v>-24.4999323899</v>
        <stp/>
        <stp>EM_S_FA_YOY_OR</stp>
        <stp>2</stp>
        <stp>300211</stp>
        <stp>12/31/2018</stp>
        <tr r="H339" s="1"/>
      </tp>
      <tp>
        <v>-45.7342577147</v>
        <stp/>
        <stp>EM_S_FA_YOY_OR</stp>
        <stp>2</stp>
        <stp>600241</stp>
        <stp>12/31/2018</stp>
        <tr r="H2745" s="1"/>
      </tp>
      <tp>
        <v>-8.1952507706999995</v>
        <stp/>
        <stp>EM_S_FA_YOY_OR</stp>
        <stp>2</stp>
        <stp>300210</stp>
        <stp>12/31/2018</stp>
        <tr r="H3058" s="1"/>
      </tp>
      <tp>
        <v>26.544457169800001</v>
        <stp/>
        <stp>EM_S_FA_YOY_OR</stp>
        <stp>2</stp>
        <stp>600240</stp>
        <stp>12/31/2018</stp>
        <tr r="H3408" s="1"/>
      </tp>
      <tp>
        <v>3.7376902738000002</v>
        <stp/>
        <stp>EM_S_FA_YOY_OR</stp>
        <stp>2</stp>
        <stp>300213</stp>
        <stp>12/31/2018</stp>
        <tr r="H1437" s="1"/>
      </tp>
      <tp>
        <v>-16.840508867200001</v>
        <stp/>
        <stp>EM_S_FA_YOY_OR</stp>
        <stp>2</stp>
        <stp>600243</stp>
        <stp>12/31/2018</stp>
        <tr r="H1495" s="1"/>
      </tp>
      <tp>
        <v>-1.7370563917999999</v>
        <stp/>
        <stp>EM_S_FA_YOY_OR</stp>
        <stp>2</stp>
        <stp>300212</stp>
        <stp>12/31/2018</stp>
        <tr r="H426" s="1"/>
      </tp>
      <tp>
        <v>41.375131537199998</v>
        <stp/>
        <stp>EM_S_FA_YOY_OR</stp>
        <stp>2</stp>
        <stp>600242</stp>
        <stp>12/31/2018</stp>
        <tr r="H3360" s="1"/>
      </tp>
      <tp>
        <v>8.2151501784000001</v>
        <stp/>
        <stp>EM_S_FA_YOY_OR</stp>
        <stp>2</stp>
        <stp>300219</stp>
        <stp>12/31/2018</stp>
        <tr r="H2822" s="1"/>
      </tp>
      <tp>
        <v>-15.446297189999999</v>
        <stp/>
        <stp>EM_S_FA_YOY_OR</stp>
        <stp>2</stp>
        <stp>600249</stp>
        <stp>12/31/2018</stp>
        <tr r="H1050" s="1"/>
      </tp>
      <tp>
        <v>12.4902575647</v>
        <stp/>
        <stp>EM_S_FA_YOY_OR</stp>
        <stp>2</stp>
        <stp>300218</stp>
        <stp>12/31/2018</stp>
        <tr r="H970" s="1"/>
      </tp>
      <tp>
        <v>-4.1985345549000002</v>
        <stp/>
        <stp>EM_S_FA_YOY_OR</stp>
        <stp>2</stp>
        <stp>600248</stp>
        <stp>12/31/2018</stp>
        <tr r="H1689" s="1"/>
      </tp>
      <tp>
        <v>23.806804302700002</v>
        <stp/>
        <stp>EM_S_FA_YOY_OR</stp>
        <stp>2</stp>
        <stp>300205</stp>
        <stp>12/31/2018</stp>
        <tr r="H825" s="1"/>
      </tp>
      <tp>
        <v>-6.6188140438999996</v>
        <stp/>
        <stp>EM_S_FA_YOY_OR</stp>
        <stp>2</stp>
        <stp>600255</stp>
        <stp>12/31/2018</stp>
        <tr r="H2860" s="1"/>
      </tp>
      <tp>
        <v>-41.920347700999997</v>
        <stp/>
        <stp>EM_S_FA_YOY_OR</stp>
        <stp>2</stp>
        <stp>300204</stp>
        <stp>12/31/2018</stp>
        <tr r="H2375" s="1"/>
      </tp>
      <tp>
        <v>44.809341359699999</v>
        <stp/>
        <stp>EM_S_FA_YOY_OR</stp>
        <stp>2</stp>
        <stp>300207</stp>
        <stp>12/31/2018</stp>
        <tr r="H108" s="1"/>
      </tp>
      <tp>
        <v>7.3770270778000002</v>
        <stp/>
        <stp>EM_S_FA_YOY_OR</stp>
        <stp>2</stp>
        <stp>600257</stp>
        <stp>12/31/2018</stp>
        <tr r="H2166" s="1"/>
      </tp>
      <tp>
        <v>17.721517176399999</v>
        <stp/>
        <stp>EM_S_FA_YOY_OR</stp>
        <stp>2</stp>
        <stp>300206</stp>
        <stp>12/31/2018</stp>
        <tr r="H1176" s="1"/>
      </tp>
      <tp>
        <v>58.576657986800001</v>
        <stp/>
        <stp>EM_S_FA_YOY_OR</stp>
        <stp>2</stp>
        <stp>600256</stp>
        <stp>12/31/2018</stp>
        <tr r="H2837" s="1"/>
      </tp>
      <tp>
        <v>16.206571930199999</v>
        <stp/>
        <stp>EM_S_FA_YOY_OR</stp>
        <stp>2</stp>
        <stp>300201</stp>
        <stp>12/31/2018</stp>
        <tr r="H2087" s="1"/>
      </tp>
      <tp>
        <v>35.726153326499997</v>
        <stp/>
        <stp>EM_S_FA_YOY_OR</stp>
        <stp>2</stp>
        <stp>600251</stp>
        <stp>12/31/2018</stp>
        <tr r="H1731" s="1"/>
      </tp>
      <tp>
        <v>19.064869757699999</v>
        <stp/>
        <stp>EM_S_FA_YOY_OR</stp>
        <stp>2</stp>
        <stp>300200</stp>
        <stp>12/31/2018</stp>
        <tr r="H246" s="1"/>
      </tp>
      <tp>
        <v>26.634675727600001</v>
        <stp/>
        <stp>EM_S_FA_YOY_OR</stp>
        <stp>2</stp>
        <stp>600250</stp>
        <stp>12/31/2018</stp>
        <tr r="H3043" s="1"/>
      </tp>
      <tp>
        <v>36.633069467299997</v>
        <stp/>
        <stp>EM_S_FA_YOY_OR</stp>
        <stp>2</stp>
        <stp>300203</stp>
        <stp>12/31/2018</stp>
        <tr r="H3273" s="1"/>
      </tp>
      <tp>
        <v>0</v>
        <stp/>
        <stp>EM_S_FA_YOY_OR</stp>
        <stp>2</stp>
        <stp>600253</stp>
        <stp>12/31/2018</stp>
        <tr r="H2296" s="1"/>
      </tp>
      <tp>
        <v>-8.8390821859000006</v>
        <stp/>
        <stp>EM_S_FA_YOY_OR</stp>
        <stp>2</stp>
        <stp>300202</stp>
        <stp>12/31/2018</stp>
        <tr r="H299" s="1"/>
      </tp>
      <tp>
        <v>61.095391871899999</v>
        <stp/>
        <stp>EM_S_FA_YOY_OR</stp>
        <stp>2</stp>
        <stp>600252</stp>
        <stp>12/31/2018</stp>
        <tr r="H1069" s="1"/>
      </tp>
      <tp>
        <v>-9.9806107977000007</v>
        <stp/>
        <stp>EM_S_FA_YOY_OR</stp>
        <stp>2</stp>
        <stp>300209</stp>
        <stp>12/31/2018</stp>
        <tr r="H866" s="1"/>
      </tp>
      <tp>
        <v>-56.130704176499997</v>
        <stp/>
        <stp>EM_S_FA_YOY_OR</stp>
        <stp>2</stp>
        <stp>600259</stp>
        <stp>12/31/2018</stp>
        <tr r="H486" s="1"/>
      </tp>
      <tp>
        <v>-14.5966858927</v>
        <stp/>
        <stp>EM_S_FA_YOY_OR</stp>
        <stp>2</stp>
        <stp>300208</stp>
        <stp>12/31/2018</stp>
        <tr r="H1037" s="1"/>
      </tp>
      <tp>
        <v>1.4513858225</v>
        <stp/>
        <stp>EM_S_FA_YOY_OR</stp>
        <stp>2</stp>
        <stp>600258</stp>
        <stp>12/31/2018</stp>
        <tr r="H833" s="1"/>
      </tp>
      <tp>
        <v>-18.763076714</v>
        <stp/>
        <stp>EM_S_FA_YOY_OR</stp>
        <stp>2</stp>
        <stp>300275</stp>
        <stp>12/31/2018</stp>
        <tr r="H386" s="1"/>
      </tp>
      <tp>
        <v>116.3702733109</v>
        <stp/>
        <stp>EM_S_FA_YOY_OR</stp>
        <stp>2</stp>
        <stp>600225</stp>
        <stp>12/31/2018</stp>
        <tr r="H2872" s="1"/>
      </tp>
      <tp>
        <v>16.6876199256</v>
        <stp/>
        <stp>EM_S_FA_YOY_OR</stp>
        <stp>2</stp>
        <stp>300274</stp>
        <stp>12/31/2018</stp>
        <tr r="H1283" s="1"/>
      </tp>
      <tp>
        <v>-11.2970339515</v>
        <stp/>
        <stp>EM_S_FA_YOY_OR</stp>
        <stp>2</stp>
        <stp>300277</stp>
        <stp>12/31/2018</stp>
        <tr r="H492" s="1"/>
      </tp>
      <tp>
        <v>43.583287349700001</v>
        <stp/>
        <stp>EM_S_FA_YOY_OR</stp>
        <stp>2</stp>
        <stp>600227</stp>
        <stp>12/31/2018</stp>
        <tr r="H2732" s="1"/>
      </tp>
      <tp>
        <v>186.56321086720001</v>
        <stp/>
        <stp>EM_S_FA_YOY_OR</stp>
        <stp>2</stp>
        <stp>300276</stp>
        <stp>12/31/2018</stp>
        <tr r="H3092" s="1"/>
      </tp>
      <tp>
        <v>-25.4559695202</v>
        <stp/>
        <stp>EM_S_FA_YOY_OR</stp>
        <stp>2</stp>
        <stp>600226</stp>
        <stp>12/31/2018</stp>
        <tr r="H1718" s="1"/>
      </tp>
      <tp>
        <v>15.8395229391</v>
        <stp/>
        <stp>EM_S_FA_YOY_OR</stp>
        <stp>2</stp>
        <stp>300271</stp>
        <stp>12/31/2018</stp>
        <tr r="H312" s="1"/>
      </tp>
      <tp>
        <v>13.120981608799999</v>
        <stp/>
        <stp>EM_S_FA_YOY_OR</stp>
        <stp>2</stp>
        <stp>600221</stp>
        <stp>12/31/2018</stp>
        <tr r="H2679" s="1"/>
      </tp>
      <tp>
        <v>-24.390588093800002</v>
        <stp/>
        <stp>EM_S_FA_YOY_OR</stp>
        <stp>2</stp>
        <stp>300270</stp>
        <stp>12/31/2018</stp>
        <tr r="H966" s="1"/>
      </tp>
      <tp>
        <v>12.5281851401</v>
        <stp/>
        <stp>EM_S_FA_YOY_OR</stp>
        <stp>2</stp>
        <stp>600220</stp>
        <stp>12/31/2018</stp>
        <tr r="H1873" s="1"/>
      </tp>
      <tp>
        <v>7.5736005860000004</v>
        <stp/>
        <stp>EM_S_FA_YOY_OR</stp>
        <stp>2</stp>
        <stp>300273</stp>
        <stp>12/31/2018</stp>
        <tr r="H1936" s="1"/>
      </tp>
      <tp>
        <v>6.4534290570000001</v>
        <stp/>
        <stp>EM_S_FA_YOY_OR</stp>
        <stp>2</stp>
        <stp>600223</stp>
        <stp>12/31/2018</stp>
        <tr r="H86" s="1"/>
      </tp>
      <tp>
        <v>27.352760932500001</v>
        <stp/>
        <stp>EM_S_FA_YOY_OR</stp>
        <stp>2</stp>
        <stp>300272</stp>
        <stp>12/31/2018</stp>
        <tr r="H3189" s="1"/>
      </tp>
      <tp>
        <v>2.2598443647000002</v>
        <stp/>
        <stp>EM_S_FA_YOY_OR</stp>
        <stp>2</stp>
        <stp>600222</stp>
        <stp>12/31/2018</stp>
        <tr r="H1015" s="1"/>
      </tp>
      <tp>
        <v>-11.019389133000001</v>
        <stp/>
        <stp>EM_S_FA_YOY_OR</stp>
        <stp>2</stp>
        <stp>300279</stp>
        <stp>12/31/2018</stp>
        <tr r="H1022" s="1"/>
      </tp>
      <tp>
        <v>10.189626558900001</v>
        <stp/>
        <stp>EM_S_FA_YOY_OR</stp>
        <stp>2</stp>
        <stp>600229</stp>
        <stp>12/31/2018</stp>
        <tr r="H2004" s="1"/>
      </tp>
      <tp>
        <v>-8.1101962652000008</v>
        <stp/>
        <stp>EM_S_FA_YOY_OR</stp>
        <stp>2</stp>
        <stp>300278</stp>
        <stp>12/31/2018</stp>
        <tr r="H3145" s="1"/>
      </tp>
      <tp>
        <v>-4.4738850776000003</v>
        <stp/>
        <stp>EM_S_FA_YOY_OR</stp>
        <stp>2</stp>
        <stp>600228</stp>
        <stp>12/31/2018</stp>
        <tr r="H3169" s="1"/>
      </tp>
      <tp>
        <v>5.9662278043999999</v>
        <stp/>
        <stp>EM_S_FA_YOY_OR</stp>
        <stp>2</stp>
        <stp>300265</stp>
        <stp>12/31/2018</stp>
        <tr r="H2552" s="1"/>
      </tp>
      <tp>
        <v>-5.6960759019999996</v>
        <stp/>
        <stp>EM_S_FA_YOY_OR</stp>
        <stp>2</stp>
        <stp>600235</stp>
        <stp>12/31/2018</stp>
        <tr r="H2924" s="1"/>
      </tp>
      <tp>
        <v>31.8338497194</v>
        <stp/>
        <stp>EM_S_FA_YOY_OR</stp>
        <stp>2</stp>
        <stp>300264</stp>
        <stp>12/31/2018</stp>
        <tr r="H2027" s="1"/>
      </tp>
      <tp>
        <v>910.82939095170002</v>
        <stp/>
        <stp>EM_S_FA_YOY_OR</stp>
        <stp>2</stp>
        <stp>600234</stp>
        <stp>12/31/2018</stp>
        <tr r="H1543" s="1"/>
      </tp>
      <tp>
        <v>-16.740411284699999</v>
        <stp/>
        <stp>EM_S_FA_YOY_OR</stp>
        <stp>2</stp>
        <stp>300267</stp>
        <stp>12/31/2018</stp>
        <tr r="H928" s="1"/>
      </tp>
      <tp>
        <v>8.8541878486000005</v>
        <stp/>
        <stp>EM_S_FA_YOY_OR</stp>
        <stp>2</stp>
        <stp>600237</stp>
        <stp>12/31/2018</stp>
        <tr r="H1805" s="1"/>
      </tp>
      <tp>
        <v>-23.603763597899999</v>
        <stp/>
        <stp>EM_S_FA_YOY_OR</stp>
        <stp>2</stp>
        <stp>300266</stp>
        <stp>12/31/2018</stp>
        <tr r="H2378" s="1"/>
      </tp>
      <tp>
        <v>-1.3053443567</v>
        <stp/>
        <stp>EM_S_FA_YOY_OR</stp>
        <stp>2</stp>
        <stp>600236</stp>
        <stp>12/31/2018</stp>
        <tr r="H2882" s="1"/>
      </tp>
      <tp>
        <v>49.495392523299998</v>
        <stp/>
        <stp>EM_S_FA_YOY_OR</stp>
        <stp>2</stp>
        <stp>300261</stp>
        <stp>12/31/2018</stp>
        <tr r="H2999" s="1"/>
      </tp>
      <tp>
        <v>15.5036757366</v>
        <stp/>
        <stp>EM_S_FA_YOY_OR</stp>
        <stp>2</stp>
        <stp>600231</stp>
        <stp>12/31/2018</stp>
        <tr r="H2157" s="1"/>
      </tp>
      <tp>
        <v>84.190631924599998</v>
        <stp/>
        <stp>EM_S_FA_YOY_OR</stp>
        <stp>2</stp>
        <stp>300260</stp>
        <stp>12/31/2018</stp>
        <tr r="H893" s="1"/>
      </tp>
      <tp>
        <v>0.32899456129999999</v>
        <stp/>
        <stp>EM_S_FA_YOY_OR</stp>
        <stp>2</stp>
        <stp>600230</stp>
        <stp>12/31/2018</stp>
        <tr r="H3272" s="1"/>
      </tp>
      <tp>
        <v>50.817975187800002</v>
        <stp/>
        <stp>EM_S_FA_YOY_OR</stp>
        <stp>2</stp>
        <stp>300263</stp>
        <stp>12/31/2018</stp>
        <tr r="H837" s="1"/>
      </tp>
      <tp>
        <v>37.448044862400003</v>
        <stp/>
        <stp>EM_S_FA_YOY_OR</stp>
        <stp>2</stp>
        <stp>600233</stp>
        <stp>12/31/2018</stp>
        <tr r="H1032" s="1"/>
      </tp>
      <tp>
        <v>21.3278939677</v>
        <stp/>
        <stp>EM_S_FA_YOY_OR</stp>
        <stp>2</stp>
        <stp>300262</stp>
        <stp>12/31/2018</stp>
        <tr r="H2823" s="1"/>
      </tp>
      <tp>
        <v>-2.7279408616</v>
        <stp/>
        <stp>EM_S_FA_YOY_OR</stp>
        <stp>2</stp>
        <stp>600232</stp>
        <stp>12/31/2018</stp>
        <tr r="H942" s="1"/>
      </tp>
      <tp>
        <v>2.5556066586999999</v>
        <stp/>
        <stp>EM_S_FA_YOY_OR</stp>
        <stp>2</stp>
        <stp>300269</stp>
        <stp>12/31/2018</stp>
        <tr r="H2751" s="1"/>
      </tp>
      <tp>
        <v>-33.6870972599</v>
        <stp/>
        <stp>EM_S_FA_YOY_OR</stp>
        <stp>2</stp>
        <stp>600239</stp>
        <stp>12/31/2018</stp>
        <tr r="H2256" s="1"/>
      </tp>
      <tp>
        <v>235.41291007020001</v>
        <stp/>
        <stp>EM_S_FA_YOY_OR</stp>
        <stp>2</stp>
        <stp>300268</stp>
        <stp>12/31/2018</stp>
        <tr r="H1057" s="1"/>
      </tp>
      <tp>
        <v>-38.230692587199997</v>
        <stp/>
        <stp>EM_S_FA_YOY_OR</stp>
        <stp>2</stp>
        <stp>600238</stp>
        <stp>12/31/2018</stp>
        <tr r="H1030" s="1"/>
      </tp>
      <tp>
        <v>16.3694397959</v>
        <stp/>
        <stp>EM_S_FA_YOY_OR</stp>
        <stp>2</stp>
        <stp>300255</stp>
        <stp>12/31/2018</stp>
        <tr r="H922" s="1"/>
      </tp>
      <tp>
        <v>0</v>
        <stp/>
        <stp>EM_S_FA_YOY_OR</stp>
        <stp>2</stp>
        <stp>600205</stp>
        <stp>12/31/2018</stp>
        <tr r="H2295" s="1"/>
      </tp>
      <tp>
        <v>21.041835414600001</v>
        <stp/>
        <stp>EM_S_FA_YOY_OR</stp>
        <stp>2</stp>
        <stp>300254</stp>
        <stp>12/31/2018</stp>
        <tr r="H1140" s="1"/>
      </tp>
      <tp>
        <v>17.040680514999998</v>
        <stp/>
        <stp>EM_S_FA_YOY_OR</stp>
        <stp>2</stp>
        <stp>300257</stp>
        <stp>12/31/2018</stp>
        <tr r="H1743" s="1"/>
      </tp>
      <tp>
        <v>7.5610334978999996</v>
        <stp/>
        <stp>EM_S_FA_YOY_OR</stp>
        <stp>2</stp>
        <stp>600207</stp>
        <stp>12/31/2018</stp>
        <tr r="H1807" s="1"/>
      </tp>
      <tp>
        <v>-32.373690583699997</v>
        <stp/>
        <stp>EM_S_FA_YOY_OR</stp>
        <stp>2</stp>
        <stp>300256</stp>
        <stp>12/31/2018</stp>
        <tr r="H154" s="1"/>
      </tp>
      <tp>
        <v>16.871346751400001</v>
        <stp/>
        <stp>EM_S_FA_YOY_OR</stp>
        <stp>2</stp>
        <stp>600206</stp>
        <stp>12/31/2018</stp>
        <tr r="H232" s="1"/>
      </tp>
      <tp>
        <v>-19.090280331900001</v>
        <stp/>
        <stp>EM_S_FA_YOY_OR</stp>
        <stp>2</stp>
        <stp>300251</stp>
        <stp>12/31/2018</stp>
        <tr r="H501" s="1"/>
      </tp>
      <tp>
        <v>-0.23154183349999999</v>
        <stp/>
        <stp>EM_S_FA_YOY_OR</stp>
        <stp>2</stp>
        <stp>600201</stp>
        <stp>12/31/2018</stp>
        <tr r="H1517" s="1"/>
      </tp>
      <tp>
        <v>-6.7540565172000004</v>
        <stp/>
        <stp>EM_S_FA_YOY_OR</stp>
        <stp>2</stp>
        <stp>300250</stp>
        <stp>12/31/2018</stp>
        <tr r="H1446" s="1"/>
      </tp>
      <tp>
        <v>-42.5220524044</v>
        <stp/>
        <stp>EM_S_FA_YOY_OR</stp>
        <stp>2</stp>
        <stp>600200</stp>
        <stp>12/31/2018</stp>
        <tr r="H2906" s="1"/>
      </tp>
      <tp>
        <v>19.522645508299998</v>
        <stp/>
        <stp>EM_S_FA_YOY_OR</stp>
        <stp>2</stp>
        <stp>300253</stp>
        <stp>12/31/2018</stp>
        <tr r="H1336" s="1"/>
      </tp>
      <tp>
        <v>33.964609721499997</v>
        <stp/>
        <stp>EM_S_FA_YOY_OR</stp>
        <stp>2</stp>
        <stp>600203</stp>
        <stp>12/31/2018</stp>
        <tr r="H655" s="1"/>
      </tp>
      <tp>
        <v>13.4072101382</v>
        <stp/>
        <stp>EM_S_FA_YOY_OR</stp>
        <stp>2</stp>
        <stp>300252</stp>
        <stp>12/31/2018</stp>
        <tr r="H2966" s="1"/>
      </tp>
      <tp>
        <v>181.13859148809999</v>
        <stp/>
        <stp>EM_S_FA_YOY_OR</stp>
        <stp>2</stp>
        <stp>600202</stp>
        <stp>12/31/2018</stp>
        <tr r="H605" s="1"/>
      </tp>
      <tp>
        <v>14.816160634599999</v>
        <stp/>
        <stp>EM_S_FA_YOY_OR</stp>
        <stp>2</stp>
        <stp>300259</stp>
        <stp>12/31/2018</stp>
        <tr r="H399" s="1"/>
      </tp>
      <tp>
        <v>6.4825587789999997</v>
        <stp/>
        <stp>EM_S_FA_YOY_OR</stp>
        <stp>2</stp>
        <stp>600209</stp>
        <stp>12/31/2018</stp>
        <tr r="H3022" s="1"/>
      </tp>
      <tp>
        <v>12.097708225</v>
        <stp/>
        <stp>EM_S_FA_YOY_OR</stp>
        <stp>2</stp>
        <stp>300258</stp>
        <stp>12/31/2018</stp>
        <tr r="H2705" s="1"/>
      </tp>
      <tp>
        <v>-1.5589171073999999</v>
        <stp/>
        <stp>EM_S_FA_YOY_OR</stp>
        <stp>2</stp>
        <stp>600208</stp>
        <stp>12/31/2018</stp>
        <tr r="H957" s="1"/>
      </tp>
      <tp>
        <v>7.7988803695</v>
        <stp/>
        <stp>EM_S_FA_YOY_OR</stp>
        <stp>2</stp>
        <stp>300245</stp>
        <stp>12/31/2018</stp>
        <tr r="H1646" s="1"/>
      </tp>
      <tp>
        <v>41.159592238099997</v>
        <stp/>
        <stp>EM_S_FA_YOY_OR</stp>
        <stp>2</stp>
        <stp>600215</stp>
        <stp>12/31/2018</stp>
        <tr r="H2571" s="1"/>
      </tp>
      <tp>
        <v>39.222311816800001</v>
        <stp/>
        <stp>EM_S_FA_YOY_OR</stp>
        <stp>2</stp>
        <stp>300244</stp>
        <stp>12/31/2018</stp>
        <tr r="H671" s="1"/>
      </tp>
      <tp>
        <v>-12.7003843074</v>
        <stp/>
        <stp>EM_S_FA_YOY_OR</stp>
        <stp>2</stp>
        <stp>300247</stp>
        <stp>12/31/2018</stp>
        <tr r="H2984" s="1"/>
      </tp>
      <tp>
        <v>14.606404378700001</v>
        <stp/>
        <stp>EM_S_FA_YOY_OR</stp>
        <stp>2</stp>
        <stp>600217</stp>
        <stp>12/31/2018</stp>
        <tr r="H1105" s="1"/>
      </tp>
      <tp>
        <v>14.324160192900001</v>
        <stp/>
        <stp>EM_S_FA_YOY_OR</stp>
        <stp>2</stp>
        <stp>300246</stp>
        <stp>12/31/2018</stp>
        <tr r="H740" s="1"/>
      </tp>
      <tp>
        <v>20.485634639400001</v>
        <stp/>
        <stp>EM_S_FA_YOY_OR</stp>
        <stp>2</stp>
        <stp>600216</stp>
        <stp>12/31/2018</stp>
        <tr r="H597" s="1"/>
      </tp>
      <tp>
        <v>-1.369275722</v>
        <stp/>
        <stp>EM_S_FA_YOY_OR</stp>
        <stp>2</stp>
        <stp>300241</stp>
        <stp>12/31/2018</stp>
        <tr r="H679" s="1"/>
      </tp>
      <tp>
        <v>12.259757496200001</v>
        <stp/>
        <stp>EM_S_FA_YOY_OR</stp>
        <stp>2</stp>
        <stp>600211</stp>
        <stp>12/31/2018</stp>
        <tr r="H1937" s="1"/>
      </tp>
      <tp>
        <v>4.3476046992999997</v>
        <stp/>
        <stp>EM_S_FA_YOY_OR</stp>
        <stp>2</stp>
        <stp>300240</stp>
        <stp>12/31/2018</stp>
        <tr r="H2840" s="1"/>
      </tp>
      <tp>
        <v>5.9034880146999997</v>
        <stp/>
        <stp>EM_S_FA_YOY_OR</stp>
        <stp>2</stp>
        <stp>600210</stp>
        <stp>12/31/2018</stp>
        <tr r="H2091" s="1"/>
      </tp>
      <tp>
        <v>31.907387525200001</v>
        <stp/>
        <stp>EM_S_FA_YOY_OR</stp>
        <stp>2</stp>
        <stp>300243</stp>
        <stp>12/31/2018</stp>
        <tr r="H2469" s="1"/>
      </tp>
      <tp>
        <v>2.9687757670999999</v>
        <stp/>
        <stp>EM_S_FA_YOY_OR</stp>
        <stp>2</stp>
        <stp>600213</stp>
        <stp>12/31/2018</stp>
        <tr r="H668" s="1"/>
      </tp>
      <tp>
        <v>107.3147792731</v>
        <stp/>
        <stp>EM_S_FA_YOY_OR</stp>
        <stp>2</stp>
        <stp>300242</stp>
        <stp>12/31/2018</stp>
        <tr r="H2537" s="1"/>
      </tp>
      <tp>
        <v>-2.6485074123999999</v>
        <stp/>
        <stp>EM_S_FA_YOY_OR</stp>
        <stp>2</stp>
        <stp>600212</stp>
        <stp>12/31/2018</stp>
        <tr r="H2006" s="1"/>
      </tp>
      <tp>
        <v>9.9450465286000007</v>
        <stp/>
        <stp>EM_S_FA_YOY_OR</stp>
        <stp>2</stp>
        <stp>300249</stp>
        <stp>12/31/2018</stp>
        <tr r="H2557" s="1"/>
      </tp>
      <tp>
        <v>18.481973207399999</v>
        <stp/>
        <stp>EM_S_FA_YOY_OR</stp>
        <stp>2</stp>
        <stp>600219</stp>
        <stp>12/31/2018</stp>
        <tr r="H1916" s="1"/>
      </tp>
      <tp>
        <v>8.8365532872999992</v>
        <stp/>
        <stp>EM_S_FA_YOY_OR</stp>
        <stp>2</stp>
        <stp>300248</stp>
        <stp>12/31/2018</stp>
        <tr r="H1276" s="1"/>
      </tp>
      <tp>
        <v>8.8742071605999993</v>
        <stp/>
        <stp>EM_S_FA_YOY_OR</stp>
        <stp>2</stp>
        <stp>600218</stp>
        <stp>12/31/2018</stp>
        <tr r="H83" s="1"/>
      </tp>
      <tp>
        <v>32.412309757899997</v>
        <stp/>
        <stp>EM_S_FA_YOY_OR</stp>
        <stp>2</stp>
        <stp>300395</stp>
        <stp>12/31/2018</stp>
        <tr r="H574" s="1"/>
      </tp>
      <tp>
        <v>31.035229817400001</v>
        <stp/>
        <stp>EM_S_FA_YOY_OR</stp>
        <stp>2</stp>
        <stp>300394</stp>
        <stp>12/31/2018</stp>
        <tr r="H554" s="1"/>
      </tp>
      <tp>
        <v>-25.4497612758</v>
        <stp/>
        <stp>EM_S_FA_YOY_OR</stp>
        <stp>2</stp>
        <stp>300397</stp>
        <stp>12/31/2018</stp>
        <tr r="H41" s="1"/>
      </tp>
      <tp>
        <v>7.5750432872999998</v>
        <stp/>
        <stp>EM_S_FA_YOY_OR</stp>
        <stp>2</stp>
        <stp>300396</stp>
        <stp>12/31/2018</stp>
        <tr r="H723" s="1"/>
      </tp>
      <tp>
        <v>18.3923506661</v>
        <stp/>
        <stp>EM_S_FA_YOY_OR</stp>
        <stp>2</stp>
        <stp>300391</stp>
        <stp>12/31/2018</stp>
        <tr r="H3154" s="1"/>
      </tp>
      <tp>
        <v>5.7076453692999998</v>
        <stp/>
        <stp>EM_S_FA_YOY_OR</stp>
        <stp>2</stp>
        <stp>300390</stp>
        <stp>12/31/2018</stp>
        <tr r="H2862" s="1"/>
      </tp>
      <tp>
        <v>-16.991671159399999</v>
        <stp/>
        <stp>EM_S_FA_YOY_OR</stp>
        <stp>2</stp>
        <stp>300393</stp>
        <stp>12/31/2018</stp>
        <tr r="H2477" s="1"/>
      </tp>
      <tp>
        <v>-17.995623989199999</v>
        <stp/>
        <stp>EM_S_FA_YOY_OR</stp>
        <stp>2</stp>
        <stp>300392</stp>
        <stp>12/31/2018</stp>
        <tr r="H2449" s="1"/>
      </tp>
      <tp>
        <v>7.5584464525000001</v>
        <stp/>
        <stp>EM_S_FA_YOY_OR</stp>
        <stp>2</stp>
        <stp>300399</stp>
        <stp>12/31/2018</stp>
        <tr r="H472" s="1"/>
      </tp>
      <tp>
        <v>76.228294790999996</v>
        <stp/>
        <stp>EM_S_FA_YOY_OR</stp>
        <stp>2</stp>
        <stp>300398</stp>
        <stp>12/31/2018</stp>
        <tr r="H2573" s="1"/>
      </tp>
      <tp>
        <v>17.3207888305</v>
        <stp/>
        <stp>EM_S_FA_YOY_OR</stp>
        <stp>2</stp>
        <stp>300385</stp>
        <stp>12/31/2018</stp>
        <tr r="H2956" s="1"/>
      </tp>
      <tp>
        <v>111.2844985894</v>
        <stp/>
        <stp>EM_S_FA_YOY_OR</stp>
        <stp>2</stp>
        <stp>300384</stp>
        <stp>12/31/2018</stp>
        <tr r="H530" s="1"/>
      </tp>
      <tp>
        <v>8.7925052953999998</v>
        <stp/>
        <stp>EM_S_FA_YOY_OR</stp>
        <stp>2</stp>
        <stp>300387</stp>
        <stp>12/31/2018</stp>
        <tr r="H304" s="1"/>
      </tp>
      <tp>
        <v>-2.8345185013999998</v>
        <stp/>
        <stp>EM_S_FA_YOY_OR</stp>
        <stp>2</stp>
        <stp>300386</stp>
        <stp>12/31/2018</stp>
        <tr r="H696" s="1"/>
      </tp>
      <tp>
        <v>17.935774287899999</v>
        <stp/>
        <stp>EM_S_FA_YOY_OR</stp>
        <stp>2</stp>
        <stp>300381</stp>
        <stp>12/31/2018</stp>
        <tr r="H1162" s="1"/>
      </tp>
      <tp>
        <v>6.5357057468999997</v>
        <stp/>
        <stp>EM_S_FA_YOY_OR</stp>
        <stp>2</stp>
        <stp>300380</stp>
        <stp>12/31/2018</stp>
        <tr r="H1006" s="1"/>
      </tp>
      <tp>
        <v>47.729098479599998</v>
        <stp/>
        <stp>EM_S_FA_YOY_OR</stp>
        <stp>2</stp>
        <stp>300383</stp>
        <stp>12/31/2018</stp>
        <tr r="H447" s="1"/>
      </tp>
      <tp>
        <v>34.778607104999999</v>
        <stp/>
        <stp>EM_S_FA_YOY_OR</stp>
        <stp>2</stp>
        <stp>300382</stp>
        <stp>12/31/2018</stp>
        <tr r="H2351" s="1"/>
      </tp>
      <tp>
        <v>28.392716054499999</v>
        <stp/>
        <stp>EM_S_FA_YOY_OR</stp>
        <stp>2</stp>
        <stp>300389</stp>
        <stp>12/31/2018</stp>
        <tr r="H3203" s="1"/>
      </tp>
      <tp>
        <v>52.444617052200002</v>
        <stp/>
        <stp>EM_S_FA_YOY_OR</stp>
        <stp>2</stp>
        <stp>300388</stp>
        <stp>12/31/2018</stp>
        <tr r="H1290" s="1"/>
      </tp>
      <tp>
        <v>-78.061372734900004</v>
        <stp/>
        <stp>EM_S_FA_YOY_OR</stp>
        <stp>2</stp>
        <stp>600385</stp>
        <stp>12/31/2018</stp>
        <tr r="H3030" s="1"/>
      </tp>
      <tp>
        <v>86.156374867099998</v>
        <stp/>
        <stp>EM_S_FA_YOY_OR</stp>
        <stp>2</stp>
        <stp>600387</stp>
        <stp>12/31/2018</stp>
        <tr r="H1984" s="1"/>
      </tp>
      <tp>
        <v>17.2379977252</v>
        <stp/>
        <stp>EM_S_FA_YOY_OR</stp>
        <stp>2</stp>
        <stp>600386</stp>
        <stp>12/31/2018</stp>
        <tr r="H1578" s="1"/>
      </tp>
      <tp>
        <v>-29.313027106900002</v>
        <stp/>
        <stp>EM_S_FA_YOY_OR</stp>
        <stp>2</stp>
        <stp>600381</stp>
        <stp>12/31/2018</stp>
        <tr r="H2664" s="1"/>
      </tp>
      <tp>
        <v>3.9400281046000001</v>
        <stp/>
        <stp>EM_S_FA_YOY_OR</stp>
        <stp>2</stp>
        <stp>600380</stp>
        <stp>12/31/2018</stp>
        <tr r="H567" s="1"/>
      </tp>
      <tp>
        <v>34.767853799400001</v>
        <stp/>
        <stp>EM_S_FA_YOY_OR</stp>
        <stp>2</stp>
        <stp>600383</stp>
        <stp>12/31/2018</stp>
        <tr r="H593" s="1"/>
      </tp>
      <tp>
        <v>12.108601462699999</v>
        <stp/>
        <stp>EM_S_FA_YOY_OR</stp>
        <stp>2</stp>
        <stp>600382</stp>
        <stp>12/31/2018</stp>
        <tr r="H2733" s="1"/>
      </tp>
      <tp>
        <v>7.6842639019999996</v>
        <stp/>
        <stp>EM_S_FA_YOY_OR</stp>
        <stp>2</stp>
        <stp>600389</stp>
        <stp>12/31/2018</stp>
        <tr r="H1130" s="1"/>
      </tp>
      <tp>
        <v>15.896157818200001</v>
        <stp/>
        <stp>EM_S_FA_YOY_OR</stp>
        <stp>2</stp>
        <stp>600388</stp>
        <stp>12/31/2018</stp>
        <tr r="H2538" s="1"/>
      </tp>
      <tp>
        <v>0.13967956970000001</v>
        <stp/>
        <stp>EM_S_FA_YOY_OR</stp>
        <stp>2</stp>
        <stp>600395</stp>
        <stp>12/31/2018</stp>
        <tr r="H1227" s="1"/>
      </tp>
      <tp>
        <v>22.238509030900001</v>
        <stp/>
        <stp>EM_S_FA_YOY_OR</stp>
        <stp>2</stp>
        <stp>600397</stp>
        <stp>12/31/2018</stp>
        <tr r="H1122" s="1"/>
      </tp>
      <tp>
        <v>3.3387624373999998</v>
        <stp/>
        <stp>EM_S_FA_YOY_OR</stp>
        <stp>2</stp>
        <stp>600396</stp>
        <stp>12/31/2018</stp>
        <tr r="H2422" s="1"/>
      </tp>
      <tp>
        <v>4.6687741801999998</v>
        <stp/>
        <stp>EM_S_FA_YOY_OR</stp>
        <stp>2</stp>
        <stp>600391</stp>
        <stp>12/31/2018</stp>
        <tr r="H1045" s="1"/>
      </tp>
      <tp>
        <v>-16.889980622300001</v>
        <stp/>
        <stp>EM_S_FA_YOY_OR</stp>
        <stp>2</stp>
        <stp>600390</stp>
        <stp>12/31/2018</stp>
        <tr r="H1389" s="1"/>
      </tp>
      <tp>
        <v>-41.515755336300003</v>
        <stp/>
        <stp>EM_S_FA_YOY_OR</stp>
        <stp>2</stp>
        <stp>600393</stp>
        <stp>12/31/2018</stp>
        <tr r="H815" s="1"/>
      </tp>
      <tp>
        <v>19.667541788099999</v>
        <stp/>
        <stp>EM_S_FA_YOY_OR</stp>
        <stp>2</stp>
        <stp>600392</stp>
        <stp>12/31/2018</stp>
        <tr r="H1949" s="1"/>
      </tp>
      <tp>
        <v>17.322912129599999</v>
        <stp/>
        <stp>EM_S_FA_YOY_OR</stp>
        <stp>2</stp>
        <stp>600399</stp>
        <stp>12/31/2018</stp>
        <tr r="H902" s="1"/>
      </tp>
      <tp>
        <v>4.8880905664999998</v>
        <stp/>
        <stp>EM_S_FA_YOY_OR</stp>
        <stp>2</stp>
        <stp>600398</stp>
        <stp>12/31/2018</stp>
        <tr r="H2779" s="1"/>
      </tp>
      <tp>
        <v>-7.5552501902999998</v>
        <stp/>
        <stp>EM_S_FA_YOY_OR</stp>
        <stp>2</stp>
        <stp>300335</stp>
        <stp>12/31/2018</stp>
        <tr r="H2659" s="1"/>
      </tp>
      <tp>
        <v>9.0618411847000004</v>
        <stp/>
        <stp>EM_S_FA_YOY_OR</stp>
        <stp>2</stp>
        <stp>600365</stp>
        <stp>12/31/2018</stp>
        <tr r="H1502" s="1"/>
      </tp>
      <tp>
        <v>8.4095707656999998</v>
        <stp/>
        <stp>EM_S_FA_YOY_OR</stp>
        <stp>2</stp>
        <stp>300334</stp>
        <stp>12/31/2018</stp>
        <tr r="H2828" s="1"/>
      </tp>
      <tp>
        <v>-2.9552819819999998</v>
        <stp/>
        <stp>EM_S_FA_YOY_OR</stp>
        <stp>2</stp>
        <stp>300337</stp>
        <stp>12/31/2018</stp>
        <tr r="H2721" s="1"/>
      </tp>
      <tp>
        <v>19.321319611500002</v>
        <stp/>
        <stp>EM_S_FA_YOY_OR</stp>
        <stp>2</stp>
        <stp>600367</stp>
        <stp>12/31/2018</stp>
        <tr r="H1964" s="1"/>
      </tp>
      <tp>
        <v>-34.656699493700003</v>
        <stp/>
        <stp>EM_S_FA_YOY_OR</stp>
        <stp>2</stp>
        <stp>300336</stp>
        <stp>12/31/2018</stp>
        <tr r="H2614" s="1"/>
      </tp>
      <tp>
        <v>7.4202278819999998</v>
        <stp/>
        <stp>EM_S_FA_YOY_OR</stp>
        <stp>2</stp>
        <stp>600366</stp>
        <stp>12/31/2018</stp>
        <tr r="H846" s="1"/>
      </tp>
      <tp>
        <v>13.134467187</v>
        <stp/>
        <stp>EM_S_FA_YOY_OR</stp>
        <stp>2</stp>
        <stp>000301</stp>
        <stp>12/31/2018</stp>
        <tr r="H2580" s="1"/>
      </tp>
      <tp>
        <v>20.2195405175</v>
        <stp/>
        <stp>EM_S_FA_YOY_OR</stp>
        <stp>2</stp>
        <stp>300331</stp>
        <stp>12/31/2018</stp>
        <tr r="H208" s="1"/>
      </tp>
      <tp>
        <v>-1.4714136725</v>
        <stp/>
        <stp>EM_S_FA_YOY_OR</stp>
        <stp>2</stp>
        <stp>600361</stp>
        <stp>12/31/2018</stp>
        <tr r="H1719" s="1"/>
      </tp>
      <tp>
        <v>-7.3857497748999998</v>
        <stp/>
        <stp>EM_S_FA_YOY_OR</stp>
        <stp>2</stp>
        <stp>300330</stp>
        <stp>12/31/2018</stp>
        <tr r="H758" s="1"/>
      </tp>
      <tp>
        <v>4.5490504391000002</v>
        <stp/>
        <stp>EM_S_FA_YOY_OR</stp>
        <stp>2</stp>
        <stp>600360</stp>
        <stp>12/31/2018</stp>
        <tr r="H920" s="1"/>
      </tp>
      <tp>
        <v>-6.6014669863000002</v>
        <stp/>
        <stp>EM_S_FA_YOY_OR</stp>
        <stp>2</stp>
        <stp>300333</stp>
        <stp>12/31/2018</stp>
        <tr r="H455" s="1"/>
      </tp>
      <tp>
        <v>14.498555055700001</v>
        <stp/>
        <stp>EM_S_FA_YOY_OR</stp>
        <stp>2</stp>
        <stp>600363</stp>
        <stp>12/31/2018</stp>
        <tr r="H202" s="1"/>
      </tp>
      <tp>
        <v>-0.48840322860000002</v>
        <stp/>
        <stp>EM_S_FA_YOY_OR</stp>
        <stp>2</stp>
        <stp>300332</stp>
        <stp>12/31/2018</stp>
        <tr r="H1799" s="1"/>
      </tp>
      <tp>
        <v>4.9916684869000001</v>
        <stp/>
        <stp>EM_S_FA_YOY_OR</stp>
        <stp>2</stp>
        <stp>600362</stp>
        <stp>12/31/2018</stp>
        <tr r="H900" s="1"/>
      </tp>
      <tp>
        <v>26.411057767100001</v>
        <stp/>
        <stp>EM_S_FA_YOY_OR</stp>
        <stp>2</stp>
        <stp>300339</stp>
        <stp>12/31/2018</stp>
        <tr r="H650" s="1"/>
      </tp>
      <tp>
        <v>-10.3441588374</v>
        <stp/>
        <stp>EM_S_FA_YOY_OR</stp>
        <stp>2</stp>
        <stp>600369</stp>
        <stp>12/31/2018</stp>
        <tr r="H559" s="1"/>
      </tp>
      <tp>
        <v>48.245316242000001</v>
        <stp/>
        <stp>EM_S_FA_YOY_OR</stp>
        <stp>2</stp>
        <stp>300338</stp>
        <stp>12/31/2018</stp>
        <tr r="H520" s="1"/>
      </tp>
      <tp>
        <v>1.5163592004999999</v>
        <stp/>
        <stp>EM_S_FA_YOY_OR</stp>
        <stp>2</stp>
        <stp>600368</stp>
        <stp>12/31/2018</stp>
        <tr r="H637" s="1"/>
      </tp>
      <tp>
        <v>22.744827238700001</v>
        <stp/>
        <stp>EM_S_FA_YOY_OR</stp>
        <stp>2</stp>
        <stp>300325</stp>
        <stp>12/31/2018</stp>
        <tr r="H1879" s="1"/>
      </tp>
      <tp>
        <v>21.7207185605</v>
        <stp/>
        <stp>EM_S_FA_YOY_OR</stp>
        <stp>2</stp>
        <stp>600375</stp>
        <stp>12/31/2018</stp>
        <tr r="H856" s="1"/>
      </tp>
      <tp>
        <v>16.9238310677</v>
        <stp/>
        <stp>EM_S_FA_YOY_OR</stp>
        <stp>2</stp>
        <stp>300324</stp>
        <stp>12/31/2018</stp>
        <tr r="H2393" s="1"/>
      </tp>
      <tp>
        <v>10.4977681429</v>
        <stp/>
        <stp>EM_S_FA_YOY_OR</stp>
        <stp>2</stp>
        <stp>300327</stp>
        <stp>12/31/2018</stp>
        <tr r="H690" s="1"/>
      </tp>
      <tp>
        <v>5.428808718</v>
        <stp/>
        <stp>EM_S_FA_YOY_OR</stp>
        <stp>2</stp>
        <stp>600377</stp>
        <stp>12/31/2018</stp>
        <tr r="H1600" s="1"/>
      </tp>
      <tp>
        <v>16.0345733216</v>
        <stp/>
        <stp>EM_S_FA_YOY_OR</stp>
        <stp>2</stp>
        <stp>300326</stp>
        <stp>12/31/2018</stp>
        <tr r="H483" s="1"/>
      </tp>
      <tp>
        <v>8.3137293069999991</v>
        <stp/>
        <stp>EM_S_FA_YOY_OR</stp>
        <stp>2</stp>
        <stp>600376</stp>
        <stp>12/31/2018</stp>
        <tr r="H1649" s="1"/>
      </tp>
      <tp>
        <v>7.4329046340999998</v>
        <stp/>
        <stp>EM_S_FA_YOY_OR</stp>
        <stp>2</stp>
        <stp>300321</stp>
        <stp>12/31/2018</stp>
        <tr r="H1033" s="1"/>
      </tp>
      <tp>
        <v>2.3729616115000001</v>
        <stp/>
        <stp>EM_S_FA_YOY_OR</stp>
        <stp>2</stp>
        <stp>600371</stp>
        <stp>12/31/2018</stp>
        <tr r="H193" s="1"/>
      </tp>
      <tp>
        <v>64.910320866500001</v>
        <stp/>
        <stp>EM_S_FA_YOY_OR</stp>
        <stp>2</stp>
        <stp>300320</stp>
        <stp>12/31/2018</stp>
        <tr r="H1658" s="1"/>
      </tp>
      <tp>
        <v>10.9010959721</v>
        <stp/>
        <stp>EM_S_FA_YOY_OR</stp>
        <stp>2</stp>
        <stp>600370</stp>
        <stp>12/31/2018</stp>
        <tr r="H1676" s="1"/>
      </tp>
      <tp>
        <v>3.8664815012</v>
        <stp/>
        <stp>EM_S_FA_YOY_OR</stp>
        <stp>2</stp>
        <stp>300323</stp>
        <stp>12/31/2018</stp>
        <tr r="H2365" s="1"/>
      </tp>
      <tp>
        <v>-13.477883883300001</v>
        <stp/>
        <stp>EM_S_FA_YOY_OR</stp>
        <stp>2</stp>
        <stp>600373</stp>
        <stp>12/31/2018</stp>
        <tr r="H2059" s="1"/>
      </tp>
      <tp>
        <v>-16.796522636900001</v>
        <stp/>
        <stp>EM_S_FA_YOY_OR</stp>
        <stp>2</stp>
        <stp>300322</stp>
        <stp>12/31/2018</stp>
        <tr r="H123" s="1"/>
      </tp>
      <tp>
        <v>8.8324814219000007</v>
        <stp/>
        <stp>EM_S_FA_YOY_OR</stp>
        <stp>2</stp>
        <stp>600372</stp>
        <stp>12/31/2018</stp>
        <tr r="H1736" s="1"/>
      </tp>
      <tp>
        <v>12.299601755999999</v>
        <stp/>
        <stp>EM_S_FA_YOY_OR</stp>
        <stp>2</stp>
        <stp>300329</stp>
        <stp>12/31/2018</stp>
        <tr r="H1174" s="1"/>
      </tp>
      <tp>
        <v>5.524040243</v>
        <stp/>
        <stp>EM_S_FA_YOY_OR</stp>
        <stp>2</stp>
        <stp>600379</stp>
        <stp>12/31/2018</stp>
        <tr r="H2976" s="1"/>
      </tp>
      <tp>
        <v>21.593935807000001</v>
        <stp/>
        <stp>EM_S_FA_YOY_OR</stp>
        <stp>2</stp>
        <stp>300328</stp>
        <stp>12/31/2018</stp>
        <tr r="H97" s="1"/>
      </tp>
      <tp>
        <v>14.702244374899999</v>
        <stp/>
        <stp>EM_S_FA_YOY_OR</stp>
        <stp>2</stp>
        <stp>600378</stp>
        <stp>12/31/2018</stp>
        <tr r="H132" s="1"/>
      </tp>
      <tp>
        <v>11.4301230688</v>
        <stp/>
        <stp>EM_S_FA_YOY_OR</stp>
        <stp>2</stp>
        <stp>300315</stp>
        <stp>12/31/2018</stp>
        <tr r="H254" s="1"/>
      </tp>
      <tp>
        <v>-42.037951288400002</v>
        <stp/>
        <stp>EM_S_FA_YOY_OR</stp>
        <stp>2</stp>
        <stp>600345</stp>
        <stp>12/31/2018</stp>
        <tr r="H2249" s="1"/>
      </tp>
      <tp>
        <v>-1.1869569016999999</v>
        <stp/>
        <stp>EM_S_FA_YOY_OR</stp>
        <stp>2</stp>
        <stp>300314</stp>
        <stp>12/31/2018</stp>
        <tr r="H1678" s="1"/>
      </tp>
      <tp>
        <v>-48.9587968835</v>
        <stp/>
        <stp>EM_S_FA_YOY_OR</stp>
        <stp>2</stp>
        <stp>300317</stp>
        <stp>12/31/2018</stp>
        <tr r="H1978" s="1"/>
      </tp>
      <tp>
        <v>30.113339487499999</v>
        <stp/>
        <stp>EM_S_FA_YOY_OR</stp>
        <stp>2</stp>
        <stp>300316</stp>
        <stp>12/31/2018</stp>
        <tr r="H480" s="1"/>
      </tp>
      <tp>
        <v>26.509018725000001</v>
        <stp/>
        <stp>EM_S_FA_YOY_OR</stp>
        <stp>2</stp>
        <stp>600346</stp>
        <stp>12/31/2018</stp>
        <tr r="H1252" s="1"/>
      </tp>
      <tp>
        <v>11.682170474599999</v>
        <stp/>
        <stp>EM_S_FA_YOY_OR</stp>
        <stp>2</stp>
        <stp>300311</stp>
        <stp>12/31/2018</stp>
        <tr r="H362" s="1"/>
      </tp>
      <tp>
        <v>-0.14836477549999999</v>
        <stp/>
        <stp>EM_S_FA_YOY_OR</stp>
        <stp>2</stp>
        <stp>300310</stp>
        <stp>12/31/2018</stp>
        <tr r="H2231" s="1"/>
      </tp>
      <tp>
        <v>40.518151294200003</v>
        <stp/>
        <stp>EM_S_FA_YOY_OR</stp>
        <stp>2</stp>
        <stp>600340</stp>
        <stp>12/31/2018</stp>
        <tr r="H1641" s="1"/>
      </tp>
      <tp>
        <v>-46.122441475400002</v>
        <stp/>
        <stp>EM_S_FA_YOY_OR</stp>
        <stp>2</stp>
        <stp>300313</stp>
        <stp>12/31/2018</stp>
        <tr r="H2939" s="1"/>
      </tp>
      <tp>
        <v>2.5665703029000002</v>
        <stp/>
        <stp>EM_S_FA_YOY_OR</stp>
        <stp>2</stp>
        <stp>600343</stp>
        <stp>12/31/2018</stp>
        <tr r="H1225" s="1"/>
      </tp>
      <tp>
        <v>-44.307688651100001</v>
        <stp/>
        <stp>EM_S_FA_YOY_OR</stp>
        <stp>2</stp>
        <stp>300312</stp>
        <stp>12/31/2018</stp>
        <tr r="H3298" s="1"/>
      </tp>
      <tp>
        <v>15.978501457</v>
        <stp/>
        <stp>EM_S_FA_YOY_OR</stp>
        <stp>2</stp>
        <stp>300319</stp>
        <stp>12/31/2018</stp>
        <tr r="H128" s="1"/>
      </tp>
      <tp>
        <v>0</v>
        <stp/>
        <stp>EM_S_FA_YOY_OR</stp>
        <stp>2</stp>
        <stp>600349</stp>
        <stp>12/31/2018</stp>
        <tr r="H12" s="1"/>
      </tp>
      <tp>
        <v>40.188766768999997</v>
        <stp/>
        <stp>EM_S_FA_YOY_OR</stp>
        <stp>2</stp>
        <stp>300318</stp>
        <stp>12/31/2018</stp>
        <tr r="H2155" s="1"/>
      </tp>
      <tp>
        <v>16.1204112462</v>
        <stp/>
        <stp>EM_S_FA_YOY_OR</stp>
        <stp>2</stp>
        <stp>600348</stp>
        <stp>12/31/2018</stp>
        <tr r="H1741" s="1"/>
      </tp>
      <tp>
        <v>25.0569188626</v>
        <stp/>
        <stp>EM_S_FA_YOY_OR</stp>
        <stp>2</stp>
        <stp>300305</stp>
        <stp>12/31/2018</stp>
        <tr r="H1934" s="1"/>
      </tp>
      <tp>
        <v>16.352331034199999</v>
        <stp/>
        <stp>EM_S_FA_YOY_OR</stp>
        <stp>2</stp>
        <stp>600355</stp>
        <stp>12/31/2018</stp>
        <tr r="H2366" s="1"/>
      </tp>
      <tp>
        <v>2.6716417050999999</v>
        <stp/>
        <stp>EM_S_FA_YOY_OR</stp>
        <stp>2</stp>
        <stp>300304</stp>
        <stp>12/31/2018</stp>
        <tr r="H949" s="1"/>
      </tp>
      <tp>
        <v>58.182823180500002</v>
        <stp/>
        <stp>EM_S_FA_YOY_OR</stp>
        <stp>2</stp>
        <stp>600354</stp>
        <stp>12/31/2018</stp>
        <tr r="H804" s="1"/>
      </tp>
      <tp>
        <v>20.315128751</v>
        <stp/>
        <stp>EM_S_FA_YOY_OR</stp>
        <stp>2</stp>
        <stp>300307</stp>
        <stp>12/31/2018</stp>
        <tr r="H2197" s="1"/>
      </tp>
      <tp>
        <v>0</v>
        <stp/>
        <stp>EM_S_FA_YOY_OR</stp>
        <stp>2</stp>
        <stp>600357</stp>
        <stp>12/31/2018</stp>
        <tr r="H2301" s="1"/>
      </tp>
      <tp>
        <v>-24.370306444299999</v>
        <stp/>
        <stp>EM_S_FA_YOY_OR</stp>
        <stp>2</stp>
        <stp>300306</stp>
        <stp>12/31/2018</stp>
        <tr r="H300" s="1"/>
      </tp>
      <tp>
        <v>11.546563967599999</v>
        <stp/>
        <stp>EM_S_FA_YOY_OR</stp>
        <stp>2</stp>
        <stp>600356</stp>
        <stp>12/31/2018</stp>
        <tr r="H712" s="1"/>
      </tp>
      <tp>
        <v>-10.055931416</v>
        <stp/>
        <stp>EM_S_FA_YOY_OR</stp>
        <stp>2</stp>
        <stp>300301</stp>
        <stp>12/31/2018</stp>
        <tr r="H2067" s="1"/>
      </tp>
      <tp>
        <v>14.0544281093</v>
        <stp/>
        <stp>EM_S_FA_YOY_OR</stp>
        <stp>2</stp>
        <stp>600351</stp>
        <stp>12/31/2018</stp>
        <tr r="H2200" s="1"/>
      </tp>
      <tp>
        <v>49.111251600099997</v>
        <stp/>
        <stp>EM_S_FA_YOY_OR</stp>
        <stp>2</stp>
        <stp>300300</stp>
        <stp>12/31/2018</stp>
        <tr r="H2824" s="1"/>
      </tp>
      <tp>
        <v>-15.9776365996</v>
        <stp/>
        <stp>EM_S_FA_YOY_OR</stp>
        <stp>2</stp>
        <stp>600350</stp>
        <stp>12/31/2018</stp>
        <tr r="H1896" s="1"/>
      </tp>
      <tp>
        <v>7.8735149476000004</v>
        <stp/>
        <stp>EM_S_FA_YOY_OR</stp>
        <stp>2</stp>
        <stp>000333</stp>
        <stp>12/31/2018</stp>
        <tr r="H444" s="1"/>
      </tp>
      <tp>
        <v>14.105347264200001</v>
        <stp/>
        <stp>EM_S_FA_YOY_OR</stp>
        <stp>2</stp>
        <stp>300303</stp>
        <stp>12/31/2018</stp>
        <tr r="H104" s="1"/>
      </tp>
      <tp>
        <v>-0.26728506540000002</v>
        <stp/>
        <stp>EM_S_FA_YOY_OR</stp>
        <stp>2</stp>
        <stp>600353</stp>
        <stp>12/31/2018</stp>
        <tr r="H716" s="1"/>
      </tp>
      <tp>
        <v>-0.56224274510000005</v>
        <stp/>
        <stp>EM_S_FA_YOY_OR</stp>
        <stp>2</stp>
        <stp>300302</stp>
        <stp>12/31/2018</stp>
        <tr r="H343" s="1"/>
      </tp>
      <tp>
        <v>26.322142836400001</v>
        <stp/>
        <stp>EM_S_FA_YOY_OR</stp>
        <stp>2</stp>
        <stp>600352</stp>
        <stp>12/31/2018</stp>
        <tr r="H572" s="1"/>
      </tp>
      <tp>
        <v>15.5637667966</v>
        <stp/>
        <stp>EM_S_FA_YOY_OR</stp>
        <stp>2</stp>
        <stp>300309</stp>
        <stp>12/31/2018</stp>
        <tr r="H3321" s="1"/>
      </tp>
      <tp>
        <v>-42.236387645900002</v>
        <stp/>
        <stp>EM_S_FA_YOY_OR</stp>
        <stp>2</stp>
        <stp>600359</stp>
        <stp>12/31/2018</stp>
        <tr r="H997" s="1"/>
      </tp>
      <tp>
        <v>5.0712349880999996</v>
        <stp/>
        <stp>EM_S_FA_YOY_OR</stp>
        <stp>2</stp>
        <stp>000338</stp>
        <stp>12/31/2018</stp>
        <tr r="H162" s="1"/>
      </tp>
      <tp>
        <v>118.7582368193</v>
        <stp/>
        <stp>EM_S_FA_YOY_OR</stp>
        <stp>2</stp>
        <stp>300308</stp>
        <stp>12/31/2018</stp>
        <tr r="H975" s="1"/>
      </tp>
      <tp>
        <v>-4.2907134333999997</v>
        <stp/>
        <stp>EM_S_FA_YOY_OR</stp>
        <stp>2</stp>
        <stp>600358</stp>
        <stp>12/31/2018</stp>
        <tr r="H1391" s="1"/>
      </tp>
      <tp>
        <v>27.602017221000001</v>
        <stp/>
        <stp>EM_S_FA_YOY_OR</stp>
        <stp>2</stp>
        <stp>300375</stp>
        <stp>12/31/2018</stp>
        <tr r="H3267" s="1"/>
      </tp>
      <tp>
        <v>18.804941448699999</v>
        <stp/>
        <stp>EM_S_FA_YOY_OR</stp>
        <stp>2</stp>
        <stp>600325</stp>
        <stp>12/31/2018</stp>
        <tr r="H1081" s="1"/>
      </tp>
      <tp>
        <v>-27.727595162699998</v>
        <stp/>
        <stp>EM_S_FA_YOY_OR</stp>
        <stp>2</stp>
        <stp>300374</stp>
        <stp>12/31/2018</stp>
        <tr r="H2349" s="1"/>
      </tp>
      <tp>
        <v>19.0091457228</v>
        <stp/>
        <stp>EM_S_FA_YOY_OR</stp>
        <stp>2</stp>
        <stp>300377</stp>
        <stp>12/31/2018</stp>
        <tr r="H2142" s="1"/>
      </tp>
      <tp>
        <v>-0.152806258</v>
        <stp/>
        <stp>EM_S_FA_YOY_OR</stp>
        <stp>2</stp>
        <stp>600327</stp>
        <stp>12/31/2018</stp>
        <tr r="H2932" s="1"/>
      </tp>
      <tp>
        <v>-36.426332456600001</v>
        <stp/>
        <stp>EM_S_FA_YOY_OR</stp>
        <stp>2</stp>
        <stp>300376</stp>
        <stp>12/31/2018</stp>
        <tr r="H1822" s="1"/>
      </tp>
      <tp>
        <v>39.834336889900001</v>
        <stp/>
        <stp>EM_S_FA_YOY_OR</stp>
        <stp>2</stp>
        <stp>600326</stp>
        <stp>12/31/2018</stp>
        <tr r="H1643" s="1"/>
      </tp>
      <tp>
        <v>13.4173301503</v>
        <stp/>
        <stp>EM_S_FA_YOY_OR</stp>
        <stp>2</stp>
        <stp>300371</stp>
        <stp>12/31/2018</stp>
        <tr r="H1838" s="1"/>
      </tp>
      <tp>
        <v>69.0417356281</v>
        <stp/>
        <stp>EM_S_FA_YOY_OR</stp>
        <stp>2</stp>
        <stp>600321</stp>
        <stp>12/31/2018</stp>
        <tr r="H1240" s="1"/>
      </tp>
      <tp>
        <v>-22.380687021899998</v>
        <stp/>
        <stp>EM_S_FA_YOY_OR</stp>
        <stp>2</stp>
        <stp>300370</stp>
        <stp>12/31/2018</stp>
        <tr r="H888" s="1"/>
      </tp>
      <tp>
        <v>-0.2123827761</v>
        <stp/>
        <stp>EM_S_FA_YOY_OR</stp>
        <stp>2</stp>
        <stp>600320</stp>
        <stp>12/31/2018</stp>
        <tr r="H1504" s="1"/>
      </tp>
      <tp>
        <v>26.013807953099999</v>
        <stp/>
        <stp>EM_S_FA_YOY_OR</stp>
        <stp>2</stp>
        <stp>300373</stp>
        <stp>12/31/2018</stp>
        <tr r="H1293" s="1"/>
      </tp>
      <tp>
        <v>15.3831902651</v>
        <stp/>
        <stp>EM_S_FA_YOY_OR</stp>
        <stp>2</stp>
        <stp>600323</stp>
        <stp>12/31/2018</stp>
        <tr r="H1110" s="1"/>
      </tp>
      <tp>
        <v>-56.7489701553</v>
        <stp/>
        <stp>EM_S_FA_YOY_OR</stp>
        <stp>2</stp>
        <stp>300372</stp>
        <stp>12/31/2018</stp>
        <tr r="H2283" s="1"/>
      </tp>
      <tp>
        <v>-46.430171293599997</v>
        <stp/>
        <stp>EM_S_FA_YOY_OR</stp>
        <stp>2</stp>
        <stp>600322</stp>
        <stp>12/31/2018</stp>
        <tr r="H2723" s="1"/>
      </tp>
      <tp>
        <v>27.072959975900002</v>
        <stp/>
        <stp>EM_S_FA_YOY_OR</stp>
        <stp>2</stp>
        <stp>300379</stp>
        <stp>12/31/2018</stp>
        <tr r="H36" s="1"/>
      </tp>
      <tp>
        <v>11.765710865799999</v>
        <stp/>
        <stp>EM_S_FA_YOY_OR</stp>
        <stp>2</stp>
        <stp>600329</stp>
        <stp>12/31/2018</stp>
        <tr r="H1791" s="1"/>
      </tp>
      <tp>
        <v>10.3242621569</v>
        <stp/>
        <stp>EM_S_FA_YOY_OR</stp>
        <stp>2</stp>
        <stp>300378</stp>
        <stp>12/31/2018</stp>
        <tr r="H552" s="1"/>
      </tp>
      <tp>
        <v>15.0554633727</v>
        <stp/>
        <stp>EM_S_FA_YOY_OR</stp>
        <stp>2</stp>
        <stp>600328</stp>
        <stp>12/31/2018</stp>
        <tr r="H1295" s="1"/>
      </tp>
      <tp>
        <v>38.349469785300002</v>
        <stp/>
        <stp>EM_S_FA_YOY_OR</stp>
        <stp>2</stp>
        <stp>300365</stp>
        <stp>12/31/2018</stp>
        <tr r="H3299" s="1"/>
      </tp>
      <tp>
        <v>-11.9175252019</v>
        <stp/>
        <stp>EM_S_FA_YOY_OR</stp>
        <stp>2</stp>
        <stp>600335</stp>
        <stp>12/31/2018</stp>
        <tr r="H2633" s="1"/>
      </tp>
      <tp>
        <v>23.537272828500001</v>
        <stp/>
        <stp>EM_S_FA_YOY_OR</stp>
        <stp>2</stp>
        <stp>300364</stp>
        <stp>12/31/2018</stp>
        <tr r="H2917" s="1"/>
      </tp>
      <tp>
        <v>21.168305048000001</v>
        <stp/>
        <stp>EM_S_FA_YOY_OR</stp>
        <stp>2</stp>
        <stp>300367</stp>
        <stp>12/31/2018</stp>
        <tr r="H3371" s="1"/>
      </tp>
      <tp>
        <v>25.879316204199998</v>
        <stp/>
        <stp>EM_S_FA_YOY_OR</stp>
        <stp>2</stp>
        <stp>600337</stp>
        <stp>12/31/2018</stp>
        <tr r="H1687" s="1"/>
      </tp>
      <tp>
        <v>-0.2684037044</v>
        <stp/>
        <stp>EM_S_FA_YOY_OR</stp>
        <stp>2</stp>
        <stp>300366</stp>
        <stp>12/31/2018</stp>
        <tr r="H702" s="1"/>
      </tp>
      <tp>
        <v>21.089607988699999</v>
        <stp/>
        <stp>EM_S_FA_YOY_OR</stp>
        <stp>2</stp>
        <stp>600336</stp>
        <stp>12/31/2018</stp>
        <tr r="H936" s="1"/>
      </tp>
      <tp>
        <v>0</v>
        <stp/>
        <stp>EM_S_FA_YOY_OR</stp>
        <stp>2</stp>
        <stp>300361</stp>
        <stp>12/31/2018</stp>
        <tr r="H9" s="1"/>
      </tp>
      <tp>
        <v>-41.810451726700002</v>
        <stp/>
        <stp>EM_S_FA_YOY_OR</stp>
        <stp>2</stp>
        <stp>600331</stp>
        <stp>12/31/2018</stp>
        <tr r="H903" s="1"/>
      </tp>
      <tp>
        <v>-10.4052154683</v>
        <stp/>
        <stp>EM_S_FA_YOY_OR</stp>
        <stp>2</stp>
        <stp>300360</stp>
        <stp>12/31/2018</stp>
        <tr r="H187" s="1"/>
      </tp>
      <tp>
        <v>19.7698450617</v>
        <stp/>
        <stp>EM_S_FA_YOY_OR</stp>
        <stp>2</stp>
        <stp>600330</stp>
        <stp>12/31/2018</stp>
        <tr r="H654" s="1"/>
      </tp>
      <tp>
        <v>6.5408020999999997E-2</v>
        <stp/>
        <stp>EM_S_FA_YOY_OR</stp>
        <stp>2</stp>
        <stp>300363</stp>
        <stp>12/31/2018</stp>
        <tr r="H577" s="1"/>
      </tp>
      <tp>
        <v>7.2231099781000001</v>
        <stp/>
        <stp>EM_S_FA_YOY_OR</stp>
        <stp>2</stp>
        <stp>600333</stp>
        <stp>12/31/2018</stp>
        <tr r="H2670" s="1"/>
      </tp>
      <tp>
        <v>-62.677156129799997</v>
        <stp/>
        <stp>EM_S_FA_YOY_OR</stp>
        <stp>2</stp>
        <stp>300362</stp>
        <stp>12/31/2018</stp>
        <tr r="H3359" s="1"/>
      </tp>
      <tp>
        <v>101.5528499342</v>
        <stp/>
        <stp>EM_S_FA_YOY_OR</stp>
        <stp>2</stp>
        <stp>600332</stp>
        <stp>12/31/2018</stp>
        <tr r="H2596" s="1"/>
      </tp>
      <tp>
        <v>7.1651084848000002</v>
        <stp/>
        <stp>EM_S_FA_YOY_OR</stp>
        <stp>2</stp>
        <stp>300369</stp>
        <stp>12/31/2018</stp>
        <tr r="H143" s="1"/>
      </tp>
      <tp>
        <v>5.8906353505000002</v>
        <stp/>
        <stp>EM_S_FA_YOY_OR</stp>
        <stp>2</stp>
        <stp>600339</stp>
        <stp>12/31/2018</stp>
        <tr r="H2706" s="1"/>
      </tp>
      <tp>
        <v>33.134989911799998</v>
        <stp/>
        <stp>EM_S_FA_YOY_OR</stp>
        <stp>2</stp>
        <stp>300368</stp>
        <stp>12/31/2018</stp>
        <tr r="H686" s="1"/>
      </tp>
      <tp>
        <v>-17.0367903062</v>
        <stp/>
        <stp>EM_S_FA_YOY_OR</stp>
        <stp>2</stp>
        <stp>600338</stp>
        <stp>12/31/2018</stp>
        <tr r="H2747" s="1"/>
      </tp>
      <tp>
        <v>-31.5179917442</v>
        <stp/>
        <stp>EM_S_FA_YOY_OR</stp>
        <stp>2</stp>
        <stp>300355</stp>
        <stp>12/31/2018</stp>
        <tr r="H2877" s="1"/>
      </tp>
      <tp>
        <v>9.8665064326999996</v>
        <stp/>
        <stp>EM_S_FA_YOY_OR</stp>
        <stp>2</stp>
        <stp>600305</stp>
        <stp>12/31/2018</stp>
        <tr r="H676" s="1"/>
      </tp>
      <tp>
        <v>3.6361354255</v>
        <stp/>
        <stp>EM_S_FA_YOY_OR</stp>
        <stp>2</stp>
        <stp>300354</stp>
        <stp>12/31/2018</stp>
        <tr r="H542" s="1"/>
      </tp>
      <tp>
        <v>29.8689749919</v>
        <stp/>
        <stp>EM_S_FA_YOY_OR</stp>
        <stp>2</stp>
        <stp>300357</stp>
        <stp>12/31/2018</stp>
        <tr r="H1410" s="1"/>
      </tp>
      <tp>
        <v>10.8417990414</v>
        <stp/>
        <stp>EM_S_FA_YOY_OR</stp>
        <stp>2</stp>
        <stp>600307</stp>
        <stp>12/31/2018</stp>
        <tr r="H1905" s="1"/>
      </tp>
      <tp>
        <v>-19.305464949099999</v>
        <stp/>
        <stp>EM_S_FA_YOY_OR</stp>
        <stp>2</stp>
        <stp>300356</stp>
        <stp>12/31/2018</stp>
        <tr r="H792" s="1"/>
      </tp>
      <tp>
        <v>8.0673272777000005</v>
        <stp/>
        <stp>EM_S_FA_YOY_OR</stp>
        <stp>2</stp>
        <stp>600306</stp>
        <stp>12/31/2018</stp>
        <tr r="H2801" s="1"/>
      </tp>
      <tp>
        <v>3.1390673997</v>
        <stp/>
        <stp>EM_S_FA_YOY_OR</stp>
        <stp>2</stp>
        <stp>300351</stp>
        <stp>12/31/2018</stp>
        <tr r="H1871" s="1"/>
      </tp>
      <tp>
        <v>28.6170801506</v>
        <stp/>
        <stp>EM_S_FA_YOY_OR</stp>
        <stp>2</stp>
        <stp>600301</stp>
        <stp>12/31/2018</stp>
        <tr r="H1636" s="1"/>
      </tp>
      <tp>
        <v>-1.0529811392999999</v>
        <stp/>
        <stp>EM_S_FA_YOY_OR</stp>
        <stp>2</stp>
        <stp>300350</stp>
        <stp>12/31/2018</stp>
        <tr r="H2687" s="1"/>
      </tp>
      <tp>
        <v>8.3152904168999999</v>
        <stp/>
        <stp>EM_S_FA_YOY_OR</stp>
        <stp>2</stp>
        <stp>600300</stp>
        <stp>12/31/2018</stp>
        <tr r="H1995" s="1"/>
      </tp>
      <tp>
        <v>16.255917841300001</v>
        <stp/>
        <stp>EM_S_FA_YOY_OR</stp>
        <stp>2</stp>
        <stp>300353</stp>
        <stp>12/31/2018</stp>
        <tr r="H614" s="1"/>
      </tp>
      <tp>
        <v>-23.472990337399999</v>
        <stp/>
        <stp>EM_S_FA_YOY_OR</stp>
        <stp>2</stp>
        <stp>600303</stp>
        <stp>12/31/2018</stp>
        <tr r="H2765" s="1"/>
      </tp>
      <tp>
        <v>11.177535754799999</v>
        <stp/>
        <stp>EM_S_FA_YOY_OR</stp>
        <stp>2</stp>
        <stp>300352</stp>
        <stp>12/31/2018</stp>
        <tr r="H122" s="1"/>
      </tp>
      <tp>
        <v>6.1218121219999997</v>
        <stp/>
        <stp>EM_S_FA_YOY_OR</stp>
        <stp>2</stp>
        <stp>600302</stp>
        <stp>12/31/2018</stp>
        <tr r="H1508" s="1"/>
      </tp>
      <tp>
        <v>-18.5660674943</v>
        <stp/>
        <stp>EM_S_FA_YOY_OR</stp>
        <stp>2</stp>
        <stp>300359</stp>
        <stp>12/31/2018</stp>
        <tr r="H2431" s="1"/>
      </tp>
      <tp>
        <v>14.1144056692</v>
        <stp/>
        <stp>EM_S_FA_YOY_OR</stp>
        <stp>2</stp>
        <stp>600309</stp>
        <stp>12/31/2018</stp>
        <tr r="H168" s="1"/>
      </tp>
      <tp>
        <v>27.442205458499998</v>
        <stp/>
        <stp>EM_S_FA_YOY_OR</stp>
        <stp>2</stp>
        <stp>300358</stp>
        <stp>12/31/2018</stp>
        <tr r="H2761" s="1"/>
      </tp>
      <tp>
        <v>8.0857846857000002</v>
        <stp/>
        <stp>EM_S_FA_YOY_OR</stp>
        <stp>2</stp>
        <stp>600308</stp>
        <stp>12/31/2018</stp>
        <tr r="H1999" s="1"/>
      </tp>
      <tp>
        <v>-30.8106524606</v>
        <stp/>
        <stp>EM_S_FA_YOY_OR</stp>
        <stp>2</stp>
        <stp>300345</stp>
        <stp>12/31/2018</stp>
        <tr r="H115" s="1"/>
      </tp>
      <tp>
        <v>10.0135097183</v>
        <stp/>
        <stp>EM_S_FA_YOY_OR</stp>
        <stp>2</stp>
        <stp>600315</stp>
        <stp>12/31/2018</stp>
        <tr r="H1565" s="1"/>
      </tp>
      <tp>
        <v>14.5579860281</v>
        <stp/>
        <stp>EM_S_FA_YOY_OR</stp>
        <stp>2</stp>
        <stp>300344</stp>
        <stp>12/31/2018</stp>
        <tr r="H2757" s="1"/>
      </tp>
      <tp>
        <v>36.373093176300003</v>
        <stp/>
        <stp>EM_S_FA_YOY_OR</stp>
        <stp>2</stp>
        <stp>300347</stp>
        <stp>12/31/2018</stp>
        <tr r="H672" s="1"/>
      </tp>
      <tp>
        <v>26.0648537169</v>
        <stp/>
        <stp>EM_S_FA_YOY_OR</stp>
        <stp>2</stp>
        <stp>600317</stp>
        <stp>12/31/2018</stp>
        <tr r="H1634" s="1"/>
      </tp>
      <tp>
        <v>28.757067594900001</v>
        <stp/>
        <stp>EM_S_FA_YOY_OR</stp>
        <stp>2</stp>
        <stp>300346</stp>
        <stp>12/31/2018</stp>
        <tr r="H214" s="1"/>
      </tp>
      <tp>
        <v>-4.4357275152</v>
        <stp/>
        <stp>EM_S_FA_YOY_OR</stp>
        <stp>2</stp>
        <stp>600316</stp>
        <stp>12/31/2018</stp>
        <tr r="H937" s="1"/>
      </tp>
      <tp>
        <v>13.300230317700001</v>
        <stp/>
        <stp>EM_S_FA_YOY_OR</stp>
        <stp>2</stp>
        <stp>300341</stp>
        <stp>12/31/2018</stp>
        <tr r="H37" s="1"/>
      </tp>
      <tp>
        <v>-50.564338769800003</v>
        <stp/>
        <stp>EM_S_FA_YOY_OR</stp>
        <stp>2</stp>
        <stp>600311</stp>
        <stp>12/31/2018</stp>
        <tr r="H2820" s="1"/>
      </tp>
      <tp>
        <v>6.8760652646000002</v>
        <stp/>
        <stp>EM_S_FA_YOY_OR</stp>
        <stp>2</stp>
        <stp>300340</stp>
        <stp>12/31/2018</stp>
        <tr r="H2737" s="1"/>
      </tp>
      <tp>
        <v>16.479965143699999</v>
        <stp/>
        <stp>EM_S_FA_YOY_OR</stp>
        <stp>2</stp>
        <stp>600310</stp>
        <stp>12/31/2018</stp>
        <tr r="H1303" s="1"/>
      </tp>
      <tp>
        <v>30.058648743700001</v>
        <stp/>
        <stp>EM_S_FA_YOY_OR</stp>
        <stp>2</stp>
        <stp>300343</stp>
        <stp>12/31/2018</stp>
        <tr r="H3389" s="1"/>
      </tp>
      <tp>
        <v>-10.869741342199999</v>
        <stp/>
        <stp>EM_S_FA_YOY_OR</stp>
        <stp>2</stp>
        <stp>600313</stp>
        <stp>12/31/2018</stp>
        <tr r="H1063" s="1"/>
      </tp>
      <tp>
        <v>-3.5222641283999998</v>
        <stp/>
        <stp>EM_S_FA_YOY_OR</stp>
        <stp>2</stp>
        <stp>300342</stp>
        <stp>12/31/2018</stp>
        <tr r="H861" s="1"/>
      </tp>
      <tp>
        <v>20.737036035999999</v>
        <stp/>
        <stp>EM_S_FA_YOY_OR</stp>
        <stp>2</stp>
        <stp>600312</stp>
        <stp>12/31/2018</stp>
        <tr r="H3067" s="1"/>
      </tp>
      <tp>
        <v>20.879970408399998</v>
        <stp/>
        <stp>EM_S_FA_YOY_OR</stp>
        <stp>2</stp>
        <stp>300349</stp>
        <stp>12/31/2018</stp>
        <tr r="H2578" s="1"/>
      </tp>
      <tp>
        <v>3.0969174548999998</v>
        <stp/>
        <stp>EM_S_FA_YOY_OR</stp>
        <stp>2</stp>
        <stp>600319</stp>
        <stp>12/31/2018</stp>
        <tr r="H2240" s="1"/>
      </tp>
      <tp>
        <v>23.628035432200001</v>
        <stp/>
        <stp>EM_S_FA_YOY_OR</stp>
        <stp>2</stp>
        <stp>300348</stp>
        <stp>12/31/2018</stp>
        <tr r="H1093" s="1"/>
      </tp>
      <tp>
        <v>-15.7736813902</v>
        <stp/>
        <stp>EM_S_FA_YOY_OR</stp>
        <stp>2</stp>
        <stp>600318</stp>
        <stp>12/31/2018</stp>
        <tr r="H2381" s="1"/>
      </tp>
      <tp>
        <v>8.3960506275999993</v>
        <stp/>
        <stp>EM_S_FA_YOY_OR</stp>
        <stp>2</stp>
        <stp>000089</stp>
        <stp>12/31/2018</stp>
        <tr r="H1035" s="1"/>
      </tp>
      <tp>
        <v>17.3760070471</v>
        <stp/>
        <stp>EM_S_FA_YOY_OR</stp>
        <stp>2</stp>
        <stp>000088</stp>
        <stp>12/31/2018</stp>
        <tr r="H1566" s="1"/>
      </tp>
      <tp>
        <v>33.062328386399997</v>
        <stp/>
        <stp>EM_S_FA_YOY_OR</stp>
        <stp>2</stp>
        <stp>000096</stp>
        <stp>12/31/2018</stp>
        <tr r="H1146" s="1"/>
      </tp>
      <tp>
        <v>51.2607231175</v>
        <stp/>
        <stp>EM_S_FA_YOY_OR</stp>
        <stp>2</stp>
        <stp>000090</stp>
        <stp>12/31/2018</stp>
        <tr r="H479" s="1"/>
      </tp>
      <tp>
        <v>12.2951791195</v>
        <stp/>
        <stp>EM_S_FA_YOY_OR</stp>
        <stp>2</stp>
        <stp>000099</stp>
        <stp>12/31/2018</stp>
        <tr r="H899" s="1"/>
      </tp>
      <tp>
        <v>36.085698803699998</v>
        <stp/>
        <stp>EM_S_FA_YOY_OR</stp>
        <stp>2</stp>
        <stp>300095</stp>
        <stp>12/31/2018</stp>
        <tr r="H950" s="1"/>
      </tp>
      <tp>
        <v>15.673885973300001</v>
        <stp/>
        <stp>EM_S_FA_YOY_OR</stp>
        <stp>2</stp>
        <stp>300094</stp>
        <stp>12/31/2018</stp>
        <tr r="H2998" s="1"/>
      </tp>
      <tp>
        <v>6.8903449279000002</v>
        <stp/>
        <stp>EM_S_FA_YOY_OR</stp>
        <stp>2</stp>
        <stp>300097</stp>
        <stp>12/31/2018</stp>
        <tr r="H2911" s="1"/>
      </tp>
      <tp>
        <v>16.668102000899999</v>
        <stp/>
        <stp>EM_S_FA_YOY_OR</stp>
        <stp>2</stp>
        <stp>300096</stp>
        <stp>12/31/2018</stp>
        <tr r="H1359" s="1"/>
      </tp>
      <tp>
        <v>32.921603224899997</v>
        <stp/>
        <stp>EM_S_FA_YOY_OR</stp>
        <stp>2</stp>
        <stp>300091</stp>
        <stp>12/31/2018</stp>
        <tr r="H1161" s="1"/>
      </tp>
      <tp>
        <v>-62.0360880522</v>
        <stp/>
        <stp>EM_S_FA_YOY_OR</stp>
        <stp>2</stp>
        <stp>300090</stp>
        <stp>12/31/2018</stp>
        <tr r="H3294" s="1"/>
      </tp>
      <tp>
        <v>22.833918023399999</v>
        <stp/>
        <stp>EM_S_FA_YOY_OR</stp>
        <stp>2</stp>
        <stp>300093</stp>
        <stp>12/31/2018</stp>
        <tr r="H239" s="1"/>
      </tp>
      <tp>
        <v>42.536287400699997</v>
        <stp/>
        <stp>EM_S_FA_YOY_OR</stp>
        <stp>2</stp>
        <stp>300092</stp>
        <stp>12/31/2018</stp>
        <tr r="H1306" s="1"/>
      </tp>
      <tp>
        <v>5.4962560846999997</v>
        <stp/>
        <stp>EM_S_FA_YOY_OR</stp>
        <stp>2</stp>
        <stp>300099</stp>
        <stp>12/31/2018</stp>
        <tr r="H551" s="1"/>
      </tp>
      <tp>
        <v>59.266936230299997</v>
        <stp/>
        <stp>EM_S_FA_YOY_OR</stp>
        <stp>2</stp>
        <stp>300098</stp>
        <stp>12/31/2018</stp>
        <tr r="H2821" s="1"/>
      </tp>
      <tp>
        <v>13.2068670137</v>
        <stp/>
        <stp>EM_S_FA_YOY_OR</stp>
        <stp>2</stp>
        <stp>300085</stp>
        <stp>12/31/2018</stp>
        <tr r="H175" s="1"/>
      </tp>
      <tp>
        <v>37.169985210199997</v>
        <stp/>
        <stp>EM_S_FA_YOY_OR</stp>
        <stp>2</stp>
        <stp>300084</stp>
        <stp>12/31/2018</stp>
        <tr r="H2639" s="1"/>
      </tp>
      <tp>
        <v>-3.9210409326</v>
        <stp/>
        <stp>EM_S_FA_YOY_OR</stp>
        <stp>2</stp>
        <stp>300087</stp>
        <stp>12/31/2018</stp>
        <tr r="H2662" s="1"/>
      </tp>
      <tp>
        <v>32.120327467499997</v>
        <stp/>
        <stp>EM_S_FA_YOY_OR</stp>
        <stp>2</stp>
        <stp>300086</stp>
        <stp>12/31/2018</stp>
        <tr r="H3069" s="1"/>
      </tp>
      <tp>
        <v>68.370802855199997</v>
        <stp/>
        <stp>EM_S_FA_YOY_OR</stp>
        <stp>2</stp>
        <stp>300081</stp>
        <stp>12/31/2018</stp>
        <tr r="H1430" s="1"/>
      </tp>
      <tp>
        <v>52.610732165199998</v>
        <stp/>
        <stp>EM_S_FA_YOY_OR</stp>
        <stp>2</stp>
        <stp>300080</stp>
        <stp>12/31/2018</stp>
        <tr r="H1199" s="1"/>
      </tp>
      <tp>
        <v>-14.251303948</v>
        <stp/>
        <stp>EM_S_FA_YOY_OR</stp>
        <stp>2</stp>
        <stp>300083</stp>
        <stp>12/31/2018</stp>
        <tr r="H377" s="1"/>
      </tp>
      <tp>
        <v>30.710138169499999</v>
        <stp/>
        <stp>EM_S_FA_YOY_OR</stp>
        <stp>2</stp>
        <stp>300082</stp>
        <stp>12/31/2018</stp>
        <tr r="H2238" s="1"/>
      </tp>
      <tp>
        <v>117.31124471939999</v>
        <stp/>
        <stp>EM_S_FA_YOY_OR</stp>
        <stp>2</stp>
        <stp>300089</stp>
        <stp>12/31/2018</stp>
        <tr r="H3253" s="1"/>
      </tp>
      <tp>
        <v>-11.6634864257</v>
        <stp/>
        <stp>EM_S_FA_YOY_OR</stp>
        <stp>2</stp>
        <stp>300088</stp>
        <stp>12/31/2018</stp>
        <tr r="H96" s="1"/>
      </tp>
      <tp>
        <v>6.2251210974999998</v>
        <stp/>
        <stp>EM_S_FA_YOY_OR</stp>
        <stp>2</stp>
        <stp>600085</stp>
        <stp>12/31/2018</stp>
        <tr r="H2188" s="1"/>
      </tp>
      <tp>
        <v>-14.7699743252</v>
        <stp/>
        <stp>EM_S_FA_YOY_OR</stp>
        <stp>2</stp>
        <stp>600084</stp>
        <stp>12/31/2018</stp>
        <tr r="H2817" s="1"/>
      </tp>
      <tp>
        <v>-9.4114906652000005</v>
        <stp/>
        <stp>EM_S_FA_YOY_OR</stp>
        <stp>2</stp>
        <stp>600087</stp>
        <stp>12/31/2018</stp>
        <tr r="H2290" s="1"/>
      </tp>
      <tp>
        <v>-68.081308810899998</v>
        <stp/>
        <stp>EM_S_FA_YOY_OR</stp>
        <stp>2</stp>
        <stp>600086</stp>
        <stp>12/31/2018</stp>
        <tr r="H3319" s="1"/>
      </tp>
      <tp>
        <v>3.2130146310000001</v>
        <stp/>
        <stp>EM_S_FA_YOY_OR</stp>
        <stp>2</stp>
        <stp>600081</stp>
        <stp>12/31/2018</stp>
        <tr r="H405" s="1"/>
      </tp>
      <tp>
        <v>-1.5876191086</v>
        <stp/>
        <stp>EM_S_FA_YOY_OR</stp>
        <stp>2</stp>
        <stp>600080</stp>
        <stp>12/31/2018</stp>
        <tr r="H2993" s="1"/>
      </tp>
      <tp>
        <v>1685.0049348903999</v>
        <stp/>
        <stp>EM_S_FA_YOY_OR</stp>
        <stp>2</stp>
        <stp>600083</stp>
        <stp>12/31/2018</stp>
        <tr r="H1494" s="1"/>
      </tp>
      <tp>
        <v>52.632497508299998</v>
        <stp/>
        <stp>EM_S_FA_YOY_OR</stp>
        <stp>2</stp>
        <stp>600082</stp>
        <stp>12/31/2018</stp>
        <tr r="H2681" s="1"/>
      </tp>
      <tp>
        <v>3.5900807187999999</v>
        <stp/>
        <stp>EM_S_FA_YOY_OR</stp>
        <stp>2</stp>
        <stp>600089</stp>
        <stp>12/31/2018</stp>
        <tr r="H2447" s="1"/>
      </tp>
      <tp>
        <v>12.9274491365</v>
        <stp/>
        <stp>EM_S_FA_YOY_OR</stp>
        <stp>2</stp>
        <stp>600088</stp>
        <stp>12/31/2018</stp>
        <tr r="H412" s="1"/>
      </tp>
      <tp>
        <v>34.5237830007</v>
        <stp/>
        <stp>EM_S_FA_YOY_OR</stp>
        <stp>2</stp>
        <stp>600095</stp>
        <stp>12/31/2018</stp>
        <tr r="H100" s="1"/>
      </tp>
      <tp>
        <v>30.636535383599998</v>
        <stp/>
        <stp>EM_S_FA_YOY_OR</stp>
        <stp>2</stp>
        <stp>600094</stp>
        <stp>12/31/2018</stp>
        <tr r="H451" s="1"/>
      </tp>
      <tp>
        <v>6.8543554364999997</v>
        <stp/>
        <stp>EM_S_FA_YOY_OR</stp>
        <stp>2</stp>
        <stp>600097</stp>
        <stp>12/31/2018</stp>
        <tr r="H2540" s="1"/>
      </tp>
      <tp>
        <v>-5.3464345119000001</v>
        <stp/>
        <stp>EM_S_FA_YOY_OR</stp>
        <stp>2</stp>
        <stp>600096</stp>
        <stp>12/31/2018</stp>
        <tr r="H2005" s="1"/>
      </tp>
      <tp>
        <v>-14.0932567692</v>
        <stp/>
        <stp>EM_S_FA_YOY_OR</stp>
        <stp>2</stp>
        <stp>600091</stp>
        <stp>12/31/2018</stp>
        <tr r="H2402" s="1"/>
      </tp>
      <tp>
        <v>10.006701680000001</v>
        <stp/>
        <stp>EM_S_FA_YOY_OR</stp>
        <stp>2</stp>
        <stp>600090</stp>
        <stp>12/31/2018</stp>
        <tr r="H3138" s="1"/>
      </tp>
      <tp>
        <v>-12.226529795199999</v>
        <stp/>
        <stp>EM_S_FA_YOY_OR</stp>
        <stp>2</stp>
        <stp>600093</stp>
        <stp>12/31/2018</stp>
        <tr r="H227" s="1"/>
      </tp>
      <tp>
        <v>1374.2396381291001</v>
        <stp/>
        <stp>EM_S_FA_YOY_OR</stp>
        <stp>2</stp>
        <stp>600092</stp>
        <stp>12/31/2018</stp>
        <tr r="H2291" s="1"/>
      </tp>
      <tp>
        <v>16.3214547794</v>
        <stp/>
        <stp>EM_S_FA_YOY_OR</stp>
        <stp>2</stp>
        <stp>600099</stp>
        <stp>12/31/2018</stp>
        <tr r="H1401" s="1"/>
      </tp>
      <tp>
        <v>5.3943101548000003</v>
        <stp/>
        <stp>EM_S_FA_YOY_OR</stp>
        <stp>2</stp>
        <stp>600098</stp>
        <stp>12/31/2018</stp>
        <tr r="H1455" s="1"/>
      </tp>
      <tp>
        <v>-8.4270825758000001</v>
        <stp/>
        <stp>EM_S_FA_YOY_OR</stp>
        <stp>2</stp>
        <stp>000005</stp>
        <stp>12/31/2018</stp>
        <tr r="H1466" s="1"/>
      </tp>
      <tp>
        <v>47.222194860099997</v>
        <stp/>
        <stp>EM_S_FA_YOY_OR</stp>
        <stp>2</stp>
        <stp>300035</stp>
        <stp>12/31/2018</stp>
        <tr r="H263" s="1"/>
      </tp>
      <tp>
        <v>39.055924799000003</v>
        <stp/>
        <stp>EM_S_FA_YOY_OR</stp>
        <stp>2</stp>
        <stp>600065</stp>
        <stp>12/31/2018</stp>
        <tr r="H2289" s="1"/>
      </tp>
      <tp>
        <v>164.68495083560001</v>
        <stp/>
        <stp>EM_S_FA_YOY_OR</stp>
        <stp>2</stp>
        <stp>000004</stp>
        <stp>12/31/2018</stp>
        <tr r="H715" s="1"/>
      </tp>
      <tp>
        <v>32.252856326699998</v>
        <stp/>
        <stp>EM_S_FA_YOY_OR</stp>
        <stp>2</stp>
        <stp>300034</stp>
        <stp>12/31/2018</stp>
        <tr r="H226" s="1"/>
      </tp>
      <tp>
        <v>-5.4747288538000003</v>
        <stp/>
        <stp>EM_S_FA_YOY_OR</stp>
        <stp>2</stp>
        <stp>600064</stp>
        <stp>12/31/2018</stp>
        <tr r="H1144" s="1"/>
      </tp>
      <tp>
        <v>7.0624288821999999</v>
        <stp/>
        <stp>EM_S_FA_YOY_OR</stp>
        <stp>2</stp>
        <stp>000007</stp>
        <stp>12/31/2018</stp>
        <tr r="H1370" s="1"/>
      </tp>
      <tp>
        <v>19.231881276300001</v>
        <stp/>
        <stp>EM_S_FA_YOY_OR</stp>
        <stp>2</stp>
        <stp>300037</stp>
        <stp>12/31/2018</stp>
        <tr r="H533" s="1"/>
      </tp>
      <tp>
        <v>17.580174921800001</v>
        <stp/>
        <stp>EM_S_FA_YOY_OR</stp>
        <stp>2</stp>
        <stp>600067</stp>
        <stp>12/31/2018</stp>
        <tr r="H1911" s="1"/>
      </tp>
      <tp>
        <v>-15.1246271263</v>
        <stp/>
        <stp>EM_S_FA_YOY_OR</stp>
        <stp>2</stp>
        <stp>000006</stp>
        <stp>12/31/2018</stp>
        <tr r="H1889" s="1"/>
      </tp>
      <tp>
        <v>21.446516945199999</v>
        <stp/>
        <stp>EM_S_FA_YOY_OR</stp>
        <stp>2</stp>
        <stp>300036</stp>
        <stp>12/31/2018</stp>
        <tr r="H1798" s="1"/>
      </tp>
      <tp>
        <v>-4.4431595621</v>
        <stp/>
        <stp>EM_S_FA_YOY_OR</stp>
        <stp>2</stp>
        <stp>600066</stp>
        <stp>12/31/2018</stp>
        <tr r="H1296" s="1"/>
      </tp>
      <tp>
        <v>10.332180061600001</v>
        <stp/>
        <stp>EM_S_FA_YOY_OR</stp>
        <stp>2</stp>
        <stp>000001</stp>
        <stp>12/31/2018</stp>
        <tr r="H265" s="1"/>
      </tp>
      <tp>
        <v>37.11884044</v>
        <stp/>
        <stp>EM_S_FA_YOY_OR</stp>
        <stp>2</stp>
        <stp>300031</stp>
        <stp>12/31/2018</stp>
        <tr r="H1669" s="1"/>
      </tp>
      <tp>
        <v>235.4892556968</v>
        <stp/>
        <stp>EM_S_FA_YOY_OR</stp>
        <stp>2</stp>
        <stp>600061</stp>
        <stp>12/31/2018</stp>
        <tr r="H518" s="1"/>
      </tp>
      <tp>
        <v>5.6475545299999999E-2</v>
        <stp/>
        <stp>EM_S_FA_YOY_OR</stp>
        <stp>2</stp>
        <stp>300030</stp>
        <stp>12/31/2018</stp>
        <tr r="H663" s="1"/>
      </tp>
      <tp>
        <v>6.8689962433999998</v>
        <stp/>
        <stp>EM_S_FA_YOY_OR</stp>
        <stp>2</stp>
        <stp>600060</stp>
        <stp>12/31/2018</stp>
        <tr r="H1112" s="1"/>
      </tp>
      <tp>
        <v>-62.626215421300003</v>
        <stp/>
        <stp>EM_S_FA_YOY_OR</stp>
        <stp>2</stp>
        <stp>000003</stp>
        <stp>12/31/2018</stp>
        <tr r="H2271" s="1"/>
      </tp>
      <tp>
        <v>-1.6181650863000001</v>
        <stp/>
        <stp>EM_S_FA_YOY_OR</stp>
        <stp>2</stp>
        <stp>300033</stp>
        <stp>12/31/2018</stp>
        <tr r="H49" s="1"/>
      </tp>
      <tp>
        <v>24.470955640300001</v>
        <stp/>
        <stp>EM_S_FA_YOY_OR</stp>
        <stp>2</stp>
        <stp>600063</stp>
        <stp>12/31/2018</stp>
        <tr r="H327" s="1"/>
      </tp>
      <tp>
        <v>22.553673362400001</v>
        <stp/>
        <stp>EM_S_FA_YOY_OR</stp>
        <stp>2</stp>
        <stp>000002</stp>
        <stp>12/31/2018</stp>
        <tr r="H725" s="1"/>
      </tp>
      <tp>
        <v>-9.0617574351000005</v>
        <stp/>
        <stp>EM_S_FA_YOY_OR</stp>
        <stp>2</stp>
        <stp>300032</stp>
        <stp>12/31/2018</stp>
        <tr r="H987" s="1"/>
      </tp>
      <tp>
        <v>28.079719269000002</v>
        <stp/>
        <stp>EM_S_FA_YOY_OR</stp>
        <stp>2</stp>
        <stp>600062</stp>
        <stp>12/31/2018</stp>
        <tr r="H1938" s="1"/>
      </tp>
      <tp>
        <v>66.804704483999998</v>
        <stp/>
        <stp>EM_S_FA_YOY_OR</stp>
        <stp>2</stp>
        <stp>000009</stp>
        <stp>12/31/2018</stp>
        <tr r="H295" s="1"/>
      </tp>
      <tp>
        <v>-4.4104000866000002</v>
        <stp/>
        <stp>EM_S_FA_YOY_OR</stp>
        <stp>2</stp>
        <stp>300039</stp>
        <stp>12/31/2018</stp>
        <tr r="H1356" s="1"/>
      </tp>
      <tp>
        <v>-3.479115814</v>
        <stp/>
        <stp>EM_S_FA_YOY_OR</stp>
        <stp>2</stp>
        <stp>600069</stp>
        <stp>12/31/2018</stp>
        <tr r="H2650" s="1"/>
      </tp>
      <tp>
        <v>10.037576912700001</v>
        <stp/>
        <stp>EM_S_FA_YOY_OR</stp>
        <stp>2</stp>
        <stp>000008</stp>
        <stp>12/31/2018</stp>
        <tr r="H2627" s="1"/>
      </tp>
      <tp>
        <v>98.234772922000005</v>
        <stp/>
        <stp>EM_S_FA_YOY_OR</stp>
        <stp>2</stp>
        <stp>300038</stp>
        <stp>12/31/2018</stp>
        <tr r="H2648" s="1"/>
      </tp>
      <tp>
        <v>-5.7874708616000001</v>
        <stp/>
        <stp>EM_S_FA_YOY_OR</stp>
        <stp>2</stp>
        <stp>600068</stp>
        <stp>12/31/2018</stp>
        <tr r="H2190" s="1"/>
      </tp>
      <tp>
        <v>0</v>
        <stp/>
        <stp>EM_S_FA_YOY_OR</stp>
        <stp>2</stp>
        <stp>000015</stp>
        <stp>12/31/2018</stp>
        <tr r="H2273" s="1"/>
      </tp>
      <tp>
        <v>-3.6369293358000001</v>
        <stp/>
        <stp>EM_S_FA_YOY_OR</stp>
        <stp>2</stp>
        <stp>300025</stp>
        <stp>12/31/2018</stp>
        <tr r="H1834" s="1"/>
      </tp>
      <tp>
        <v>-3.0017585993</v>
        <stp/>
        <stp>EM_S_FA_YOY_OR</stp>
        <stp>2</stp>
        <stp>600075</stp>
        <stp>12/31/2018</stp>
        <tr r="H1714" s="1"/>
      </tp>
      <tp>
        <v>-30.247377931399999</v>
        <stp/>
        <stp>EM_S_FA_YOY_OR</stp>
        <stp>2</stp>
        <stp>000014</stp>
        <stp>12/31/2018</stp>
        <tr r="H2219" s="1"/>
      </tp>
      <tp>
        <v>26.0548393093</v>
        <stp/>
        <stp>EM_S_FA_YOY_OR</stp>
        <stp>2</stp>
        <stp>300024</stp>
        <stp>12/31/2018</stp>
        <tr r="H1953" s="1"/>
      </tp>
      <tp>
        <v>-94.853909872800003</v>
        <stp/>
        <stp>EM_S_FA_YOY_OR</stp>
        <stp>2</stp>
        <stp>600074</stp>
        <stp>12/31/2018</stp>
        <tr r="H2876" s="1"/>
      </tp>
      <tp>
        <v>-12.788981679799999</v>
        <stp/>
        <stp>EM_S_FA_YOY_OR</stp>
        <stp>2</stp>
        <stp>000017</stp>
        <stp>12/31/2018</stp>
        <tr r="H2076" s="1"/>
      </tp>
      <tp>
        <v>-1.4048276249</v>
        <stp/>
        <stp>EM_S_FA_YOY_OR</stp>
        <stp>2</stp>
        <stp>300027</stp>
        <stp>12/31/2018</stp>
        <tr r="H2241" s="1"/>
      </tp>
      <tp>
        <v>67.032321066400002</v>
        <stp/>
        <stp>EM_S_FA_YOY_OR</stp>
        <stp>2</stp>
        <stp>600077</stp>
        <stp>12/31/2018</stp>
        <tr r="H1551" s="1"/>
      </tp>
      <tp>
        <v>47.710858995800002</v>
        <stp/>
        <stp>EM_S_FA_YOY_OR</stp>
        <stp>2</stp>
        <stp>000016</stp>
        <stp>12/31/2018</stp>
        <tr r="H767" s="1"/>
      </tp>
      <tp>
        <v>25.190900867500002</v>
        <stp/>
        <stp>EM_S_FA_YOY_OR</stp>
        <stp>2</stp>
        <stp>300026</stp>
        <stp>12/31/2018</stp>
        <tr r="H1577" s="1"/>
      </tp>
      <tp>
        <v>25.928474820400002</v>
        <stp/>
        <stp>EM_S_FA_YOY_OR</stp>
        <stp>2</stp>
        <stp>600076</stp>
        <stp>12/31/2018</stp>
        <tr r="H2007" s="1"/>
      </tp>
      <tp>
        <v>-4.0434617834999997</v>
        <stp/>
        <stp>EM_S_FA_YOY_OR</stp>
        <stp>2</stp>
        <stp>000011</stp>
        <stp>12/31/2018</stp>
        <tr r="H1983" s="1"/>
      </tp>
      <tp>
        <v>38.551564548199998</v>
        <stp/>
        <stp>EM_S_FA_YOY_OR</stp>
        <stp>2</stp>
        <stp>300021</stp>
        <stp>12/31/2018</stp>
        <tr r="H1058" s="1"/>
      </tp>
      <tp>
        <v>-2.1061711368</v>
        <stp/>
        <stp>EM_S_FA_YOY_OR</stp>
        <stp>2</stp>
        <stp>600071</stp>
        <stp>12/31/2018</stp>
        <tr r="H523" s="1"/>
      </tp>
      <tp>
        <v>-54.424481328200002</v>
        <stp/>
        <stp>EM_S_FA_YOY_OR</stp>
        <stp>2</stp>
        <stp>000010</stp>
        <stp>12/31/2018</stp>
        <tr r="H2039" s="1"/>
      </tp>
      <tp>
        <v>24.253498469</v>
        <stp/>
        <stp>EM_S_FA_YOY_OR</stp>
        <stp>2</stp>
        <stp>300020</stp>
        <stp>12/31/2018</stp>
        <tr r="H927" s="1"/>
      </tp>
      <tp>
        <v>43.571623523900001</v>
        <stp/>
        <stp>EM_S_FA_YOY_OR</stp>
        <stp>2</stp>
        <stp>600070</stp>
        <stp>12/31/2018</stp>
        <tr r="H667" s="1"/>
      </tp>
      <tp>
        <v>0</v>
        <stp/>
        <stp>EM_S_FA_YOY_OR</stp>
        <stp>2</stp>
        <stp>000013</stp>
        <stp>12/31/2018</stp>
        <tr r="H2272" s="1"/>
      </tp>
      <tp>
        <v>-42.035443770000001</v>
        <stp/>
        <stp>EM_S_FA_YOY_OR</stp>
        <stp>2</stp>
        <stp>300023</stp>
        <stp>12/31/2018</stp>
        <tr r="H1352" s="1"/>
      </tp>
      <tp>
        <v>-0.18889622249999999</v>
        <stp/>
        <stp>EM_S_FA_YOY_OR</stp>
        <stp>2</stp>
        <stp>600073</stp>
        <stp>12/31/2018</stp>
        <tr r="H1973" s="1"/>
      </tp>
      <tp>
        <v>-2.4765861769000002</v>
        <stp/>
        <stp>EM_S_FA_YOY_OR</stp>
        <stp>2</stp>
        <stp>000012</stp>
        <stp>12/31/2018</stp>
        <tr r="H741" s="1"/>
      </tp>
      <tp>
        <v>-4.0162698954999998</v>
        <stp/>
        <stp>EM_S_FA_YOY_OR</stp>
        <stp>2</stp>
        <stp>300022</stp>
        <stp>12/31/2018</stp>
        <tr r="H1917" s="1"/>
      </tp>
      <tp>
        <v>-23.4367382153</v>
        <stp/>
        <stp>EM_S_FA_YOY_OR</stp>
        <stp>2</stp>
        <stp>600072</stp>
        <stp>12/31/2018</stp>
        <tr r="H198" s="1"/>
      </tp>
      <tp>
        <v>-0.32343256510000001</v>
        <stp/>
        <stp>EM_S_FA_YOY_OR</stp>
        <stp>2</stp>
        <stp>000019</stp>
        <stp>12/31/2018</stp>
        <tr r="H2891" s="1"/>
      </tp>
      <tp>
        <v>-97.130351450199996</v>
        <stp/>
        <stp>EM_S_FA_YOY_OR</stp>
        <stp>2</stp>
        <stp>300029</stp>
        <stp>12/31/2018</stp>
        <tr r="H944" s="1"/>
      </tp>
      <tp>
        <v>20.6409909801</v>
        <stp/>
        <stp>EM_S_FA_YOY_OR</stp>
        <stp>2</stp>
        <stp>600079</stp>
        <stp>12/31/2018</stp>
        <tr r="H1010" s="1"/>
      </tp>
      <tp>
        <v>-62.645205467099998</v>
        <stp/>
        <stp>EM_S_FA_YOY_OR</stp>
        <stp>2</stp>
        <stp>000018</stp>
        <stp>12/31/2018</stp>
        <tr r="H3409" s="1"/>
      </tp>
      <tp>
        <v>-42.592440930199999</v>
        <stp/>
        <stp>EM_S_FA_YOY_OR</stp>
        <stp>2</stp>
        <stp>300028</stp>
        <stp>12/31/2018</stp>
        <tr r="H2280" s="1"/>
      </tp>
      <tp>
        <v>5.1620550212999996</v>
        <stp/>
        <stp>EM_S_FA_YOY_OR</stp>
        <stp>2</stp>
        <stp>600078</stp>
        <stp>12/31/2018</stp>
        <tr r="H391" s="1"/>
      </tp>
      <tp>
        <v>19.2955915531</v>
        <stp/>
        <stp>EM_S_FA_YOY_OR</stp>
        <stp>2</stp>
        <stp>000025</stp>
        <stp>12/31/2018</stp>
        <tr r="H1436" s="1"/>
      </tp>
      <tp>
        <v>34.307921847899998</v>
        <stp/>
        <stp>EM_S_FA_YOY_OR</stp>
        <stp>2</stp>
        <stp>300015</stp>
        <stp>12/31/2018</stp>
        <tr r="H607" s="1"/>
      </tp>
      <tp>
        <v>0</v>
        <stp/>
        <stp>EM_S_FA_YOY_OR</stp>
        <stp>2</stp>
        <stp>000024</stp>
        <stp>12/31/2018</stp>
        <tr r="H2274" s="1"/>
      </tp>
      <tp>
        <v>45.9002658741</v>
        <stp/>
        <stp>EM_S_FA_YOY_OR</stp>
        <stp>2</stp>
        <stp>300014</stp>
        <stp>12/31/2018</stp>
        <tr r="H40" s="1"/>
      </tp>
      <tp>
        <v>19.1790075338</v>
        <stp/>
        <stp>EM_S_FA_YOY_OR</stp>
        <stp>2</stp>
        <stp>000027</stp>
        <stp>12/31/2018</stp>
        <tr r="H1310" s="1"/>
      </tp>
      <tp>
        <v>17.957352203199999</v>
        <stp/>
        <stp>EM_S_FA_YOY_OR</stp>
        <stp>2</stp>
        <stp>300017</stp>
        <stp>12/31/2018</stp>
        <tr r="H1215" s="1"/>
      </tp>
      <tp>
        <v>1.6331142758999999</v>
        <stp/>
        <stp>EM_S_FA_YOY_OR</stp>
        <stp>2</stp>
        <stp>000026</stp>
        <stp>12/31/2018</stp>
        <tr r="H462" s="1"/>
      </tp>
      <tp>
        <v>16.365378537400002</v>
        <stp/>
        <stp>EM_S_FA_YOY_OR</stp>
        <stp>2</stp>
        <stp>300016</stp>
        <stp>12/31/2018</stp>
        <tr r="H993" s="1"/>
      </tp>
      <tp>
        <v>13.027841413799999</v>
        <stp/>
        <stp>EM_S_FA_YOY_OR</stp>
        <stp>2</stp>
        <stp>000021</stp>
        <stp>12/31/2018</stp>
        <tr r="H134" s="1"/>
      </tp>
      <tp>
        <v>9.7541810431999991</v>
        <stp/>
        <stp>EM_S_FA_YOY_OR</stp>
        <stp>2</stp>
        <stp>300011</stp>
        <stp>12/31/2018</stp>
        <tr r="H2446" s="1"/>
      </tp>
      <tp>
        <v>-25.755604811200001</v>
        <stp/>
        <stp>EM_S_FA_YOY_OR</stp>
        <stp>2</stp>
        <stp>000020</stp>
        <stp>12/31/2018</stp>
        <tr r="H2164" s="1"/>
      </tp>
      <tp>
        <v>-9.6571066883000007</v>
        <stp/>
        <stp>EM_S_FA_YOY_OR</stp>
        <stp>2</stp>
        <stp>300010</stp>
        <stp>12/31/2018</stp>
        <tr r="H280" s="1"/>
      </tp>
      <tp>
        <v>31.088790141800001</v>
        <stp/>
        <stp>EM_S_FA_YOY_OR</stp>
        <stp>2</stp>
        <stp>000023</stp>
        <stp>12/31/2018</stp>
        <tr r="H2109" s="1"/>
      </tp>
      <tp>
        <v>15.7969289488</v>
        <stp/>
        <stp>EM_S_FA_YOY_OR</stp>
        <stp>2</stp>
        <stp>300013</stp>
        <stp>12/31/2018</stp>
        <tr r="H2628" s="1"/>
      </tp>
      <tp>
        <v>28.613170233999998</v>
        <stp/>
        <stp>EM_S_FA_YOY_OR</stp>
        <stp>2</stp>
        <stp>000022</stp>
        <stp>12/31/2018</stp>
        <tr r="H3" s="1"/>
      </tp>
      <tp>
        <v>26.5622979951</v>
        <stp/>
        <stp>EM_S_FA_YOY_OR</stp>
        <stp>2</stp>
        <stp>300012</stp>
        <stp>12/31/2018</stp>
        <tr r="H112" s="1"/>
      </tp>
      <tp>
        <v>61.6143005403</v>
        <stp/>
        <stp>EM_S_FA_YOY_OR</stp>
        <stp>2</stp>
        <stp>000029</stp>
        <stp>12/31/2018</stp>
        <tr r="H2341" s="1"/>
      </tp>
      <tp>
        <v>19.546331368600001</v>
        <stp/>
        <stp>EM_S_FA_YOY_OR</stp>
        <stp>2</stp>
        <stp>300019</stp>
        <stp>12/31/2018</stp>
        <tr r="H390" s="1"/>
      </tp>
      <tp>
        <v>4.5051847156000004</v>
        <stp/>
        <stp>EM_S_FA_YOY_OR</stp>
        <stp>2</stp>
        <stp>000028</stp>
        <stp>12/31/2018</stp>
        <tr r="H1704" s="1"/>
      </tp>
      <tp>
        <v>-6.8847726943999996</v>
        <stp/>
        <stp>EM_S_FA_YOY_OR</stp>
        <stp>2</stp>
        <stp>300018</stp>
        <stp>12/31/2018</stp>
        <tr r="H1441" s="1"/>
      </tp>
      <tp>
        <v>32.6625680621</v>
        <stp/>
        <stp>EM_S_FA_YOY_OR</stp>
        <stp>2</stp>
        <stp>600048</stp>
        <stp>12/31/2018</stp>
        <tr r="H771" s="1"/>
      </tp>
      <tp>
        <v>14.584121250100001</v>
        <stp/>
        <stp>EM_S_FA_YOY_OR</stp>
        <stp>2</stp>
        <stp>000035</stp>
        <stp>12/31/2018</stp>
        <tr r="H1341" s="1"/>
      </tp>
      <tp>
        <v>-34.344361262100001</v>
        <stp/>
        <stp>EM_S_FA_YOY_OR</stp>
        <stp>2</stp>
        <stp>300005</stp>
        <stp>12/31/2018</stp>
        <tr r="H801" s="1"/>
      </tp>
      <tp>
        <v>7.9835349015999997</v>
        <stp/>
        <stp>EM_S_FA_YOY_OR</stp>
        <stp>2</stp>
        <stp>600055</stp>
        <stp>12/31/2018</stp>
        <tr r="H1416" s="1"/>
      </tp>
      <tp>
        <v>31.5708494203</v>
        <stp/>
        <stp>EM_S_FA_YOY_OR</stp>
        <stp>2</stp>
        <stp>000034</stp>
        <stp>12/31/2018</stp>
        <tr r="H564" s="1"/>
      </tp>
      <tp>
        <v>8.6981035065000007</v>
        <stp/>
        <stp>EM_S_FA_YOY_OR</stp>
        <stp>2</stp>
        <stp>300004</stp>
        <stp>12/31/2018</stp>
        <tr r="H259" s="1"/>
      </tp>
      <tp>
        <v>-9.1346267832999999</v>
        <stp/>
        <stp>EM_S_FA_YOY_OR</stp>
        <stp>2</stp>
        <stp>600054</stp>
        <stp>12/31/2018</stp>
        <tr r="H2451" s="1"/>
      </tp>
      <tp>
        <v>-7.8615861907999998</v>
        <stp/>
        <stp>EM_S_FA_YOY_OR</stp>
        <stp>2</stp>
        <stp>000037</stp>
        <stp>12/31/2018</stp>
        <tr r="H68" s="1"/>
      </tp>
      <tp>
        <v>4.7190476186000003</v>
        <stp/>
        <stp>EM_S_FA_YOY_OR</stp>
        <stp>2</stp>
        <stp>300007</stp>
        <stp>12/31/2018</stp>
        <tr r="H352" s="1"/>
      </tp>
      <tp>
        <v>15.109860723400001</v>
        <stp/>
        <stp>EM_S_FA_YOY_OR</stp>
        <stp>2</stp>
        <stp>600057</stp>
        <stp>12/31/2018</stp>
        <tr r="H2370" s="1"/>
      </tp>
      <tp>
        <v>-16.042681536500002</v>
        <stp/>
        <stp>EM_S_FA_YOY_OR</stp>
        <stp>2</stp>
        <stp>000036</stp>
        <stp>12/31/2018</stp>
        <tr r="H3122" s="1"/>
      </tp>
      <tp>
        <v>21.862754988399999</v>
        <stp/>
        <stp>EM_S_FA_YOY_OR</stp>
        <stp>2</stp>
        <stp>300006</stp>
        <stp>12/31/2018</stp>
        <tr r="H461" s="1"/>
      </tp>
      <tp>
        <v>2.1379429023999998</v>
        <stp/>
        <stp>EM_S_FA_YOY_OR</stp>
        <stp>2</stp>
        <stp>600056</stp>
        <stp>12/31/2018</stp>
        <tr r="H2165" s="1"/>
      </tp>
      <tp>
        <v>0.54990207270000002</v>
        <stp/>
        <stp>EM_S_FA_YOY_OR</stp>
        <stp>2</stp>
        <stp>000031</stp>
        <stp>12/31/2018</stp>
        <tr r="H569" s="1"/>
      </tp>
      <tp>
        <v>15.643991760400001</v>
        <stp/>
        <stp>EM_S_FA_YOY_OR</stp>
        <stp>2</stp>
        <stp>300001</stp>
        <stp>12/31/2018</stp>
        <tr r="H2358" s="1"/>
      </tp>
      <tp>
        <v>-42.849431467800002</v>
        <stp/>
        <stp>EM_S_FA_YOY_OR</stp>
        <stp>2</stp>
        <stp>600051</stp>
        <stp>12/31/2018</stp>
        <tr r="H1703" s="1"/>
      </tp>
      <tp>
        <v>9.1651488312999998</v>
        <stp/>
        <stp>EM_S_FA_YOY_OR</stp>
        <stp>2</stp>
        <stp>000030</stp>
        <stp>12/31/2018</stp>
        <tr r="H883" s="1"/>
      </tp>
      <tp>
        <v>5.8392068276</v>
        <stp/>
        <stp>EM_S_FA_YOY_OR</stp>
        <stp>2</stp>
        <stp>600050</stp>
        <stp>12/31/2018</stp>
        <tr r="H1536" s="1"/>
      </tp>
      <tp>
        <v>0</v>
        <stp/>
        <stp>EM_S_FA_YOY_OR</stp>
        <stp>2</stp>
        <stp>000033</stp>
        <stp>12/31/2018</stp>
        <tr r="H2275" s="1"/>
      </tp>
      <tp>
        <v>40.0794481573</v>
        <stp/>
        <stp>EM_S_FA_YOY_OR</stp>
        <stp>2</stp>
        <stp>300003</stp>
        <stp>12/31/2018</stp>
        <tr r="H508" s="1"/>
      </tp>
      <tp>
        <v>7.8231464838999996</v>
        <stp/>
        <stp>EM_S_FA_YOY_OR</stp>
        <stp>2</stp>
        <stp>600053</stp>
        <stp>12/31/2018</stp>
        <tr r="H2410" s="1"/>
      </tp>
      <tp>
        <v>-14.9627506087</v>
        <stp/>
        <stp>EM_S_FA_YOY_OR</stp>
        <stp>2</stp>
        <stp>000032</stp>
        <stp>12/31/2018</stp>
        <tr r="H158" s="1"/>
      </tp>
      <tp>
        <v>-0.34754539140000001</v>
        <stp/>
        <stp>EM_S_FA_YOY_OR</stp>
        <stp>2</stp>
        <stp>300002</stp>
        <stp>12/31/2018</stp>
        <tr r="H2398" s="1"/>
      </tp>
      <tp>
        <v>-1.5917022430000001</v>
        <stp/>
        <stp>EM_S_FA_YOY_OR</stp>
        <stp>2</stp>
        <stp>600052</stp>
        <stp>12/31/2018</stp>
        <tr r="H481" s="1"/>
      </tp>
      <tp>
        <v>22.539590796500001</v>
        <stp/>
        <stp>EM_S_FA_YOY_OR</stp>
        <stp>2</stp>
        <stp>000039</stp>
        <stp>12/31/2018</stp>
        <tr r="H1426" s="1"/>
      </tp>
      <tp>
        <v>33.320482155900002</v>
        <stp/>
        <stp>EM_S_FA_YOY_OR</stp>
        <stp>2</stp>
        <stp>300009</stp>
        <stp>12/31/2018</stp>
        <tr r="H1660" s="1"/>
      </tp>
      <tp>
        <v>4.8695066485999998</v>
        <stp/>
        <stp>EM_S_FA_YOY_OR</stp>
        <stp>2</stp>
        <stp>600059</stp>
        <stp>12/31/2018</stp>
        <tr r="H979" s="1"/>
      </tp>
      <tp>
        <v>70.113210764200005</v>
        <stp/>
        <stp>EM_S_FA_YOY_OR</stp>
        <stp>2</stp>
        <stp>000038</stp>
        <stp>12/31/2018</stp>
        <tr r="H2663" s="1"/>
      </tp>
      <tp>
        <v>-30.682169645399998</v>
        <stp/>
        <stp>EM_S_FA_YOY_OR</stp>
        <stp>2</stp>
        <stp>300008</stp>
        <stp>12/31/2018</stp>
        <tr r="H1648" s="1"/>
      </tp>
      <tp>
        <v>-4.2191019719999998</v>
        <stp/>
        <stp>EM_S_FA_YOY_OR</stp>
        <stp>2</stp>
        <stp>600058</stp>
        <stp>12/31/2018</stp>
        <tr r="H1269" s="1"/>
      </tp>
      <tp>
        <v>-13.7704271487</v>
        <stp/>
        <stp>EM_S_FA_YOY_OR</stp>
        <stp>2</stp>
        <stp>000045</stp>
        <stp>12/31/2018</stp>
        <tr r="H967" s="1"/>
      </tp>
      <tp>
        <v>7.1355103734999998</v>
        <stp/>
        <stp>EM_S_FA_YOY_OR</stp>
        <stp>2</stp>
        <stp>300075</stp>
        <stp>12/31/2018</stp>
        <tr r="H2077" s="1"/>
      </tp>
      <tp>
        <v>20.775753532</v>
        <stp/>
        <stp>EM_S_FA_YOY_OR</stp>
        <stp>2</stp>
        <stp>600025</stp>
        <stp>12/31/2018</stp>
        <tr r="H835" s="1"/>
      </tp>
      <tp>
        <v>-1.4812944299999999</v>
        <stp/>
        <stp>EM_S_FA_YOY_OR</stp>
        <stp>2</stp>
        <stp>300074</stp>
        <stp>12/31/2018</stp>
        <tr r="H1462" s="1"/>
      </tp>
      <tp>
        <v>0</v>
        <stp/>
        <stp>EM_S_FA_YOY_OR</stp>
        <stp>2</stp>
        <stp>000047</stp>
        <stp>12/31/2018</stp>
        <tr r="H2276" s="1"/>
      </tp>
      <tp>
        <v>-13.3673597023</v>
        <stp/>
        <stp>EM_S_FA_YOY_OR</stp>
        <stp>2</stp>
        <stp>300077</stp>
        <stp>12/31/2018</stp>
        <tr r="H3056" s="1"/>
      </tp>
      <tp>
        <v>11.844839603500001</v>
        <stp/>
        <stp>EM_S_FA_YOY_OR</stp>
        <stp>2</stp>
        <stp>600027</stp>
        <stp>12/31/2018</stp>
        <tr r="H3124" s="1"/>
      </tp>
      <tp>
        <v>-40.281154030499998</v>
        <stp/>
        <stp>EM_S_FA_YOY_OR</stp>
        <stp>2</stp>
        <stp>000046</stp>
        <stp>12/31/2018</stp>
        <tr r="H2270" s="1"/>
      </tp>
      <tp>
        <v>47.148145989699998</v>
        <stp/>
        <stp>EM_S_FA_YOY_OR</stp>
        <stp>2</stp>
        <stp>300076</stp>
        <stp>12/31/2018</stp>
        <tr r="H594" s="1"/>
      </tp>
      <tp>
        <v>25.644401322499998</v>
        <stp/>
        <stp>EM_S_FA_YOY_OR</stp>
        <stp>2</stp>
        <stp>600026</stp>
        <stp>12/31/2018</stp>
        <tr r="H703" s="1"/>
      </tp>
      <tp>
        <v>-2.5030400953999998</v>
        <stp/>
        <stp>EM_S_FA_YOY_OR</stp>
        <stp>2</stp>
        <stp>300071</stp>
        <stp>12/31/2018</stp>
        <tr r="H3121" s="1"/>
      </tp>
      <tp>
        <v>18.536790652499999</v>
        <stp/>
        <stp>EM_S_FA_YOY_OR</stp>
        <stp>2</stp>
        <stp>600021</stp>
        <stp>12/31/2018</stp>
        <tr r="H2411" s="1"/>
      </tp>
      <tp>
        <v>6.7059703288000003</v>
        <stp/>
        <stp>EM_S_FA_YOY_OR</stp>
        <stp>2</stp>
        <stp>000040</stp>
        <stp>12/31/2018</stp>
        <tr r="H3327" s="1"/>
      </tp>
      <tp>
        <v>-16.339288977199999</v>
        <stp/>
        <stp>EM_S_FA_YOY_OR</stp>
        <stp>2</stp>
        <stp>300070</stp>
        <stp>12/31/2018</stp>
        <tr r="H2453" s="1"/>
      </tp>
      <tp>
        <v>-7.4193850269999997</v>
        <stp/>
        <stp>EM_S_FA_YOY_OR</stp>
        <stp>2</stp>
        <stp>600020</stp>
        <stp>12/31/2018</stp>
        <tr r="H1292" s="1"/>
      </tp>
      <tp>
        <v>12.936371554799999</v>
        <stp/>
        <stp>EM_S_FA_YOY_OR</stp>
        <stp>2</stp>
        <stp>000043</stp>
        <stp>12/31/2018</stp>
        <tr r="H4" s="1"/>
      </tp>
      <tp>
        <v>52.030218446200003</v>
        <stp/>
        <stp>EM_S_FA_YOY_OR</stp>
        <stp>2</stp>
        <stp>300073</stp>
        <stp>12/31/2018</stp>
        <tr r="H2284" s="1"/>
      </tp>
      <tp>
        <v>10.6325480611</v>
        <stp/>
        <stp>EM_S_FA_YOY_OR</stp>
        <stp>2</stp>
        <stp>600023</stp>
        <stp>12/31/2018</stp>
        <tr r="H2977" s="1"/>
      </tp>
      <tp>
        <v>-8.2285895915000005</v>
        <stp/>
        <stp>EM_S_FA_YOY_OR</stp>
        <stp>2</stp>
        <stp>000042</stp>
        <stp>12/31/2018</stp>
        <tr r="H2432" s="1"/>
      </tp>
      <tp>
        <v>-31.574405954500001</v>
        <stp/>
        <stp>EM_S_FA_YOY_OR</stp>
        <stp>2</stp>
        <stp>300072</stp>
        <stp>12/31/2018</stp>
        <tr r="H3283" s="1"/>
      </tp>
      <tp>
        <v>16.723083471900001</v>
        <stp/>
        <stp>EM_S_FA_YOY_OR</stp>
        <stp>2</stp>
        <stp>600022</stp>
        <stp>12/31/2018</stp>
        <tr r="H2738" s="1"/>
      </tp>
      <tp>
        <v>38.148866769900003</v>
        <stp/>
        <stp>EM_S_FA_YOY_OR</stp>
        <stp>2</stp>
        <stp>000049</stp>
        <stp>12/31/2018</stp>
        <tr r="H678" s="1"/>
      </tp>
      <tp>
        <v>16.004224577900001</v>
        <stp/>
        <stp>EM_S_FA_YOY_OR</stp>
        <stp>2</stp>
        <stp>300079</stp>
        <stp>12/31/2018</stp>
        <tr r="H236" s="1"/>
      </tp>
      <tp>
        <v>12.655209469100001</v>
        <stp/>
        <stp>EM_S_FA_YOY_OR</stp>
        <stp>2</stp>
        <stp>600029</stp>
        <stp>12/31/2018</stp>
        <tr r="H1859" s="1"/>
      </tp>
      <tp>
        <v>121.7932903639</v>
        <stp/>
        <stp>EM_S_FA_YOY_OR</stp>
        <stp>2</stp>
        <stp>000048</stp>
        <stp>12/31/2018</stp>
        <tr r="H1177" s="1"/>
      </tp>
      <tp>
        <v>16.397532309900001</v>
        <stp/>
        <stp>EM_S_FA_YOY_OR</stp>
        <stp>2</stp>
        <stp>300078</stp>
        <stp>12/31/2018</stp>
        <tr r="H1234" s="1"/>
      </tp>
      <tp>
        <v>22.4975669363</v>
        <stp/>
        <stp>EM_S_FA_YOY_OR</stp>
        <stp>2</stp>
        <stp>600028</stp>
        <stp>12/31/2018</stp>
        <tr r="H2245" s="1"/>
      </tp>
      <tp>
        <v>3.4337689795999999</v>
        <stp/>
        <stp>EM_S_FA_YOY_OR</stp>
        <stp>2</stp>
        <stp>000055</stp>
        <stp>12/31/2018</stp>
        <tr r="H1107" s="1"/>
      </tp>
      <tp>
        <v>-4.4145182014</v>
        <stp/>
        <stp>EM_S_FA_YOY_OR</stp>
        <stp>2</stp>
        <stp>300065</stp>
        <stp>12/31/2018</stp>
        <tr r="H1337" s="1"/>
      </tp>
      <tp>
        <v>14.207532822399999</v>
        <stp/>
        <stp>EM_S_FA_YOY_OR</stp>
        <stp>2</stp>
        <stp>600035</stp>
        <stp>12/31/2018</stp>
        <tr r="H1452" s="1"/>
      </tp>
      <tp>
        <v>-19.089085933700002</v>
        <stp/>
        <stp>EM_S_FA_YOY_OR</stp>
        <stp>2</stp>
        <stp>300064</stp>
        <stp>12/31/2018</stp>
        <tr r="H3172" s="1"/>
      </tp>
      <tp>
        <v>-12.9762305671</v>
        <stp/>
        <stp>EM_S_FA_YOY_OR</stp>
        <stp>2</stp>
        <stp>300067</stp>
        <stp>12/31/2018</stp>
        <tr r="H2899" s="1"/>
      </tp>
      <tp>
        <v>1.0030650571999999</v>
        <stp/>
        <stp>EM_S_FA_YOY_OR</stp>
        <stp>2</stp>
        <stp>600037</stp>
        <stp>12/31/2018</stp>
        <tr r="H2030" s="1"/>
      </tp>
      <tp>
        <v>17.468539850999999</v>
        <stp/>
        <stp>EM_S_FA_YOY_OR</stp>
        <stp>2</stp>
        <stp>000056</stp>
        <stp>12/31/2018</stp>
        <tr r="H2827" s="1"/>
      </tp>
      <tp>
        <v>12.5859515436</v>
        <stp/>
        <stp>EM_S_FA_YOY_OR</stp>
        <stp>2</stp>
        <stp>300066</stp>
        <stp>12/31/2018</stp>
        <tr r="H710" s="1"/>
      </tp>
      <tp>
        <v>12.520767597600001</v>
        <stp/>
        <stp>EM_S_FA_YOY_OR</stp>
        <stp>2</stp>
        <stp>600036</stp>
        <stp>12/31/2018</stp>
        <tr r="H562" s="1"/>
      </tp>
      <tp>
        <v>16.0007350407</v>
        <stp/>
        <stp>EM_S_FA_YOY_OR</stp>
        <stp>2</stp>
        <stp>300061</stp>
        <stp>12/31/2018</stp>
        <tr r="H1862" s="1"/>
      </tp>
      <tp>
        <v>45.614653228800002</v>
        <stp/>
        <stp>EM_S_FA_YOY_OR</stp>
        <stp>2</stp>
        <stp>600031</stp>
        <stp>12/31/2018</stp>
        <tr r="H148" s="1"/>
      </tp>
      <tp>
        <v>21.3542513103</v>
        <stp/>
        <stp>EM_S_FA_YOY_OR</stp>
        <stp>2</stp>
        <stp>000050</stp>
        <stp>12/31/2018</stp>
        <tr r="H348" s="1"/>
      </tp>
      <tp>
        <v>-14.0233237529</v>
        <stp/>
        <stp>EM_S_FA_YOY_OR</stp>
        <stp>2</stp>
        <stp>600030</stp>
        <stp>12/31/2018</stp>
        <tr r="H423" s="1"/>
      </tp>
      <tp>
        <v>15.8751623464</v>
        <stp/>
        <stp>EM_S_FA_YOY_OR</stp>
        <stp>2</stp>
        <stp>300063</stp>
        <stp>12/31/2018</stp>
        <tr r="H2700" s="1"/>
      </tp>
      <tp>
        <v>7.6146330862999996</v>
        <stp/>
        <stp>EM_S_FA_YOY_OR</stp>
        <stp>2</stp>
        <stp>600033</stp>
        <stp>12/31/2018</stp>
        <tr r="H2105" s="1"/>
      </tp>
      <tp>
        <v>23.5434558569</v>
        <stp/>
        <stp>EM_S_FA_YOY_OR</stp>
        <stp>2</stp>
        <stp>300062</stp>
        <stp>12/31/2018</stp>
        <tr r="H1772" s="1"/>
      </tp>
      <tp>
        <v>8.8080005416000002</v>
        <stp/>
        <stp>EM_S_FA_YOY_OR</stp>
        <stp>2</stp>
        <stp>000059</stp>
        <stp>12/31/2018</stp>
        <tr r="H1923" s="1"/>
      </tp>
      <tp>
        <v>-29.1417034372</v>
        <stp/>
        <stp>EM_S_FA_YOY_OR</stp>
        <stp>2</stp>
        <stp>300069</stp>
        <stp>12/31/2018</stp>
        <tr r="H270" s="1"/>
      </tp>
      <tp>
        <v>22.1482768423</v>
        <stp/>
        <stp>EM_S_FA_YOY_OR</stp>
        <stp>2</stp>
        <stp>600039</stp>
        <stp>12/31/2018</stp>
        <tr r="H2260" s="1"/>
      </tp>
      <tp>
        <v>-18.953144581699998</v>
        <stp/>
        <stp>EM_S_FA_YOY_OR</stp>
        <stp>2</stp>
        <stp>000058</stp>
        <stp>12/31/2018</stp>
        <tr r="H1127" s="1"/>
      </tp>
      <tp>
        <v>-6.6422388889999997</v>
        <stp/>
        <stp>EM_S_FA_YOY_OR</stp>
        <stp>2</stp>
        <stp>300068</stp>
        <stp>12/31/2018</stp>
        <tr r="H3130" s="1"/>
      </tp>
      <tp>
        <v>8.4445185574000003</v>
        <stp/>
        <stp>EM_S_FA_YOY_OR</stp>
        <stp>2</stp>
        <stp>600038</stp>
        <stp>12/31/2018</stp>
        <tr r="H1039" s="1"/>
      </tp>
      <tp>
        <v>2.5835288976999999</v>
        <stp/>
        <stp>EM_S_FA_YOY_OR</stp>
        <stp>2</stp>
        <stp>000065</stp>
        <stp>12/31/2018</stp>
        <tr r="H1549" s="1"/>
      </tp>
      <tp>
        <v>-36.0635983118</v>
        <stp/>
        <stp>EM_S_FA_YOY_OR</stp>
        <stp>2</stp>
        <stp>300055</stp>
        <stp>12/31/2018</stp>
        <tr r="H2859" s="1"/>
      </tp>
      <tp>
        <v>0</v>
        <stp/>
        <stp>EM_S_FA_YOY_OR</stp>
        <stp>2</stp>
        <stp>600005</stp>
        <stp>12/31/2018</stp>
        <tr r="H2288" s="1"/>
      </tp>
      <tp>
        <v>-21.328971875299999</v>
        <stp/>
        <stp>EM_S_FA_YOY_OR</stp>
        <stp>2</stp>
        <stp>300054</stp>
        <stp>12/31/2018</stp>
        <tr r="H635" s="1"/>
      </tp>
      <tp>
        <v>14.571612631700001</v>
        <stp/>
        <stp>EM_S_FA_YOY_OR</stp>
        <stp>2</stp>
        <stp>600004</stp>
        <stp>12/31/2018</stp>
        <tr r="H266" s="1"/>
      </tp>
      <tp>
        <v>29.755392250300002</v>
        <stp/>
        <stp>EM_S_FA_YOY_OR</stp>
        <stp>2</stp>
        <stp>300057</stp>
        <stp>12/31/2018</stp>
        <tr r="H2435" s="1"/>
      </tp>
      <tp>
        <v>14.614594368300001</v>
        <stp/>
        <stp>EM_S_FA_YOY_OR</stp>
        <stp>2</stp>
        <stp>600007</stp>
        <stp>12/31/2018</stp>
        <tr r="H722" s="1"/>
      </tp>
      <tp>
        <v>5.2871902982999996</v>
        <stp/>
        <stp>EM_S_FA_YOY_OR</stp>
        <stp>2</stp>
        <stp>000066</stp>
        <stp>12/31/2018</stp>
        <tr r="H34" s="1"/>
      </tp>
      <tp>
        <v>-39.921355441700001</v>
        <stp/>
        <stp>EM_S_FA_YOY_OR</stp>
        <stp>2</stp>
        <stp>300056</stp>
        <stp>12/31/2018</stp>
        <tr r="H1201" s="1"/>
      </tp>
      <tp>
        <v>-21.202514724299999</v>
        <stp/>
        <stp>EM_S_FA_YOY_OR</stp>
        <stp>2</stp>
        <stp>600006</stp>
        <stp>12/31/2018</stp>
        <tr r="H1054" s="1"/>
      </tp>
      <tp>
        <v>-5.8957133167000002</v>
        <stp/>
        <stp>EM_S_FA_YOY_OR</stp>
        <stp>2</stp>
        <stp>000061</stp>
        <stp>12/31/2018</stp>
        <tr r="H1460" s="1"/>
      </tp>
      <tp>
        <v>-27.9031070224</v>
        <stp/>
        <stp>EM_S_FA_YOY_OR</stp>
        <stp>2</stp>
        <stp>300051</stp>
        <stp>12/31/2018</stp>
        <tr r="H2016" s="1"/>
      </tp>
      <tp>
        <v>0</v>
        <stp/>
        <stp>EM_S_FA_YOY_OR</stp>
        <stp>2</stp>
        <stp>600001</stp>
        <stp>12/31/2018</stp>
        <tr r="H2285" s="1"/>
      </tp>
      <tp>
        <v>5.2556690164999997</v>
        <stp/>
        <stp>EM_S_FA_YOY_OR</stp>
        <stp>2</stp>
        <stp>000060</stp>
        <stp>12/31/2018</stp>
        <tr r="H1710" s="1"/>
      </tp>
      <tp>
        <v>11.115561746199999</v>
        <stp/>
        <stp>EM_S_FA_YOY_OR</stp>
        <stp>2</stp>
        <stp>300050</stp>
        <stp>12/31/2018</stp>
        <tr r="H2656" s="1"/>
      </tp>
      <tp>
        <v>1.7334938529999999</v>
        <stp/>
        <stp>EM_S_FA_YOY_OR</stp>
        <stp>2</stp>
        <stp>600000</stp>
        <stp>12/31/2018</stp>
        <tr r="H1062" s="1"/>
      </tp>
      <tp>
        <v>-21.4143863794</v>
        <stp/>
        <stp>EM_S_FA_YOY_OR</stp>
        <stp>2</stp>
        <stp>000063</stp>
        <stp>12/31/2018</stp>
        <tr r="H245" s="1"/>
      </tp>
      <tp>
        <v>22.621771169999999</v>
        <stp/>
        <stp>EM_S_FA_YOY_OR</stp>
        <stp>2</stp>
        <stp>300053</stp>
        <stp>12/31/2018</stp>
        <tr r="H528" s="1"/>
      </tp>
      <tp>
        <v>0</v>
        <stp/>
        <stp>EM_S_FA_YOY_OR</stp>
        <stp>2</stp>
        <stp>600003</stp>
        <stp>12/31/2018</stp>
        <tr r="H2287" s="1"/>
      </tp>
      <tp>
        <v>38.076458387400002</v>
        <stp/>
        <stp>EM_S_FA_YOY_OR</stp>
        <stp>2</stp>
        <stp>000062</stp>
        <stp>12/31/2018</stp>
        <tr r="H1072" s="1"/>
      </tp>
      <tp>
        <v>6.6349814626999999</v>
        <stp/>
        <stp>EM_S_FA_YOY_OR</stp>
        <stp>2</stp>
        <stp>300052</stp>
        <stp>12/31/2018</stp>
        <tr r="H509" s="1"/>
      </tp>
      <tp>
        <v>0</v>
        <stp/>
        <stp>EM_S_FA_YOY_OR</stp>
        <stp>2</stp>
        <stp>600002</stp>
        <stp>12/31/2018</stp>
        <tr r="H2286" s="1"/>
      </tp>
      <tp>
        <v>13.700875460000001</v>
        <stp/>
        <stp>EM_S_FA_YOY_OR</stp>
        <stp>2</stp>
        <stp>000069</stp>
        <stp>12/31/2018</stp>
        <tr r="H986" s="1"/>
      </tp>
      <tp>
        <v>17.732355481999999</v>
        <stp/>
        <stp>EM_S_FA_YOY_OR</stp>
        <stp>2</stp>
        <stp>300059</stp>
        <stp>12/31/2018</stp>
        <tr r="H916" s="1"/>
      </tp>
      <tp>
        <v>15.5132331557</v>
        <stp/>
        <stp>EM_S_FA_YOY_OR</stp>
        <stp>2</stp>
        <stp>600009</stp>
        <stp>12/31/2018</stp>
        <tr r="H511" s="1"/>
      </tp>
      <tp>
        <v>-50.137182065200001</v>
        <stp/>
        <stp>EM_S_FA_YOY_OR</stp>
        <stp>2</stp>
        <stp>000068</stp>
        <stp>12/31/2018</stp>
        <tr r="H2414" s="1"/>
      </tp>
      <tp>
        <v>51.692041314699999</v>
        <stp/>
        <stp>EM_S_FA_YOY_OR</stp>
        <stp>2</stp>
        <stp>300058</stp>
        <stp>12/31/2018</stp>
        <tr r="H873" s="1"/>
      </tp>
      <tp>
        <v>34.144697811</v>
        <stp/>
        <stp>EM_S_FA_YOY_OR</stp>
        <stp>2</stp>
        <stp>600008</stp>
        <stp>12/31/2018</stp>
        <tr r="H2550" s="1"/>
      </tp>
      <tp>
        <v>18.943642388699999</v>
        <stp/>
        <stp>EM_S_FA_YOY_OR</stp>
        <stp>2</stp>
        <stp>300045</stp>
        <stp>12/31/2018</stp>
        <tr r="H1141" s="1"/>
      </tp>
      <tp>
        <v>8.8018197156000006</v>
        <stp/>
        <stp>EM_S_FA_YOY_OR</stp>
        <stp>2</stp>
        <stp>600015</stp>
        <stp>12/31/2018</stp>
        <tr r="H2083" s="1"/>
      </tp>
      <tp>
        <v>-15.3946570815</v>
        <stp/>
        <stp>EM_S_FA_YOY_OR</stp>
        <stp>2</stp>
        <stp>300044</stp>
        <stp>12/31/2018</stp>
        <tr r="H1874" s="1"/>
      </tp>
      <tp>
        <v>27.126273461099998</v>
        <stp/>
        <stp>EM_S_FA_YOY_OR</stp>
        <stp>2</stp>
        <stp>300047</stp>
        <stp>12/31/2018</stp>
        <tr r="H3200" s="1"/>
      </tp>
      <tp>
        <v>6.7816239664999998</v>
        <stp/>
        <stp>EM_S_FA_YOY_OR</stp>
        <stp>2</stp>
        <stp>600017</stp>
        <stp>12/31/2018</stp>
        <tr r="H1986" s="1"/>
      </tp>
      <tp>
        <v>50.0470421534</v>
        <stp/>
        <stp>EM_S_FA_YOY_OR</stp>
        <stp>2</stp>
        <stp>300046</stp>
        <stp>12/31/2018</stp>
        <tr r="H595" s="1"/>
      </tp>
      <tp>
        <v>8.6553323028999998</v>
        <stp/>
        <stp>EM_S_FA_YOY_OR</stp>
        <stp>2</stp>
        <stp>600016</stp>
        <stp>12/31/2018</stp>
        <tr r="H1730" s="1"/>
      </tp>
      <tp>
        <v>14.810411265700001</v>
        <stp/>
        <stp>EM_S_FA_YOY_OR</stp>
        <stp>2</stp>
        <stp>300041</stp>
        <stp>12/31/2018</stp>
        <tr r="H532" s="1"/>
      </tp>
      <tp>
        <v>11.0420003084</v>
        <stp/>
        <stp>EM_S_FA_YOY_OR</stp>
        <stp>2</stp>
        <stp>600011</stp>
        <stp>12/31/2018</stp>
        <tr r="H3146" s="1"/>
      </tp>
      <tp>
        <v>4.2558705993999997</v>
        <stp/>
        <stp>EM_S_FA_YOY_OR</stp>
        <stp>2</stp>
        <stp>000070</stp>
        <stp>12/31/2018</stp>
        <tr r="H228" s="1"/>
      </tp>
      <tp>
        <v>-28.317030447699999</v>
        <stp/>
        <stp>EM_S_FA_YOY_OR</stp>
        <stp>2</stp>
        <stp>300040</stp>
        <stp>12/31/2018</stp>
        <tr r="H1626" s="1"/>
      </tp>
      <tp>
        <v>25.1544162838</v>
        <stp/>
        <stp>EM_S_FA_YOY_OR</stp>
        <stp>2</stp>
        <stp>600010</stp>
        <stp>12/31/2018</stp>
        <tr r="H2792" s="1"/>
      </tp>
      <tp>
        <v>2.3529760338000001</v>
        <stp/>
        <stp>EM_S_FA_YOY_OR</stp>
        <stp>2</stp>
        <stp>300043</stp>
        <stp>12/31/2018</stp>
        <tr r="H491" s="1"/>
      </tp>
      <tp>
        <v>4.0999320362000002</v>
        <stp/>
        <stp>EM_S_FA_YOY_OR</stp>
        <stp>2</stp>
        <stp>300042</stp>
        <stp>12/31/2018</stp>
        <tr r="H1386" s="1"/>
      </tp>
      <tp>
        <v>3.6882999438000001</v>
        <stp/>
        <stp>EM_S_FA_YOY_OR</stp>
        <stp>2</stp>
        <stp>600012</stp>
        <stp>12/31/2018</stp>
        <tr r="H2470" s="1"/>
      </tp>
      <tp>
        <v>5.3074614111000002</v>
        <stp/>
        <stp>EM_S_FA_YOY_OR</stp>
        <stp>2</stp>
        <stp>300049</stp>
        <stp>12/31/2018</stp>
        <tr r="H3166" s="1"/>
      </tp>
      <tp>
        <v>5.4261320057000004</v>
        <stp/>
        <stp>EM_S_FA_YOY_OR</stp>
        <stp>2</stp>
        <stp>600019</stp>
        <stp>12/31/2018</stp>
        <tr r="H2815" s="1"/>
      </tp>
      <tp>
        <v>53.8952080854</v>
        <stp/>
        <stp>EM_S_FA_YOY_OR</stp>
        <stp>2</stp>
        <stp>000078</stp>
        <stp>12/31/2018</stp>
        <tr r="H1064" s="1"/>
      </tp>
      <tp>
        <v>-10.706062900199999</v>
        <stp/>
        <stp>EM_S_FA_YOY_OR</stp>
        <stp>2</stp>
        <stp>300048</stp>
        <stp>12/31/2018</stp>
        <tr r="H2355" s="1"/>
      </tp>
      <tp>
        <v>1.6529480635</v>
        <stp/>
        <stp>EM_S_FA_YOY_OR</stp>
        <stp>2</stp>
        <stp>600018</stp>
        <stp>12/31/2018</stp>
        <tr r="H1725" s="1"/>
      </tp>
      <tp>
        <v>16.0543786691</v>
        <stp/>
        <stp>EM_S_FA_YOY_OR</stp>
        <stp>2</stp>
        <stp>300195</stp>
        <stp>12/31/2018</stp>
        <tr r="H2722" s="1"/>
      </tp>
      <tp>
        <v>27.668229266899999</v>
        <stp/>
        <stp>EM_S_FA_YOY_OR</stp>
        <stp>2</stp>
        <stp>300194</stp>
        <stp>12/31/2018</stp>
        <tr r="H334" s="1"/>
      </tp>
      <tp>
        <v>-5.3611623641000001</v>
        <stp/>
        <stp>EM_S_FA_YOY_OR</stp>
        <stp>2</stp>
        <stp>300197</stp>
        <stp>12/31/2018</stp>
        <tr r="H3073" s="1"/>
      </tp>
      <tp>
        <v>8.4230338454999991</v>
        <stp/>
        <stp>EM_S_FA_YOY_OR</stp>
        <stp>2</stp>
        <stp>300196</stp>
        <stp>12/31/2018</stp>
        <tr r="H904" s="1"/>
      </tp>
      <tp>
        <v>32.944882882000002</v>
        <stp/>
        <stp>EM_S_FA_YOY_OR</stp>
        <stp>2</stp>
        <stp>300191</stp>
        <stp>12/31/2018</stp>
        <tr r="H602" s="1"/>
      </tp>
      <tp>
        <v>45.640721619499999</v>
        <stp/>
        <stp>EM_S_FA_YOY_OR</stp>
        <stp>2</stp>
        <stp>300190</stp>
        <stp>12/31/2018</stp>
        <tr r="H746" s="1"/>
      </tp>
      <tp>
        <v>10.7607393717</v>
        <stp/>
        <stp>EM_S_FA_YOY_OR</stp>
        <stp>2</stp>
        <stp>300193</stp>
        <stp>12/31/2018</stp>
        <tr r="H1114" s="1"/>
      </tp>
      <tp>
        <v>103.2234251126</v>
        <stp/>
        <stp>EM_S_FA_YOY_OR</stp>
        <stp>2</stp>
        <stp>300192</stp>
        <stp>12/31/2018</stp>
        <tr r="H413" s="1"/>
      </tp>
      <tp>
        <v>1.4612834188999999</v>
        <stp/>
        <stp>EM_S_FA_YOY_OR</stp>
        <stp>2</stp>
        <stp>300199</stp>
        <stp>12/31/2018</stp>
        <tr r="H3302" s="1"/>
      </tp>
      <tp>
        <v>-23.349485898200001</v>
        <stp/>
        <stp>EM_S_FA_YOY_OR</stp>
        <stp>2</stp>
        <stp>300198</stp>
        <stp>12/31/2018</stp>
        <tr r="H522" s="1"/>
      </tp>
      <tp>
        <v>11.491075568799999</v>
        <stp/>
        <stp>EM_S_FA_YOY_OR</stp>
        <stp>2</stp>
        <stp>300185</stp>
        <stp>12/31/2018</stp>
        <tr r="H1705" s="1"/>
      </tp>
      <tp>
        <v>31.0586763797</v>
        <stp/>
        <stp>EM_S_FA_YOY_OR</stp>
        <stp>2</stp>
        <stp>300184</stp>
        <stp>12/31/2018</stp>
        <tr r="H2506" s="1"/>
      </tp>
      <tp>
        <v>-22.608891562699998</v>
        <stp/>
        <stp>EM_S_FA_YOY_OR</stp>
        <stp>2</stp>
        <stp>300187</stp>
        <stp>12/31/2018</stp>
        <tr r="H2789" s="1"/>
      </tp>
      <tp>
        <v>0</v>
        <stp/>
        <stp>EM_S_FA_YOY_OR</stp>
        <stp>2</stp>
        <stp>300186</stp>
        <stp>12/31/2018</stp>
        <tr r="H2281" s="1"/>
      </tp>
      <tp>
        <v>-8.0171440650000001</v>
        <stp/>
        <stp>EM_S_FA_YOY_OR</stp>
        <stp>2</stp>
        <stp>300181</stp>
        <stp>12/31/2018</stp>
        <tr r="H2515" s="1"/>
      </tp>
      <tp>
        <v>22.331357975500001</v>
        <stp/>
        <stp>EM_S_FA_YOY_OR</stp>
        <stp>2</stp>
        <stp>300180</stp>
        <stp>12/31/2018</stp>
        <tr r="H3053" s="1"/>
      </tp>
      <tp>
        <v>10.9319324524</v>
        <stp/>
        <stp>EM_S_FA_YOY_OR</stp>
        <stp>2</stp>
        <stp>300183</stp>
        <stp>12/31/2018</stp>
        <tr r="H1047" s="1"/>
      </tp>
      <tp>
        <v>15.1714649371</v>
        <stp/>
        <stp>EM_S_FA_YOY_OR</stp>
        <stp>2</stp>
        <stp>300182</stp>
        <stp>12/31/2018</stp>
        <tr r="H3029" s="1"/>
      </tp>
      <tp>
        <v>-61.922733490100001</v>
        <stp/>
        <stp>EM_S_FA_YOY_OR</stp>
        <stp>2</stp>
        <stp>300189</stp>
        <stp>12/31/2018</stp>
        <tr r="H624" s="1"/>
      </tp>
      <tp>
        <v>19.7468202656</v>
        <stp/>
        <stp>EM_S_FA_YOY_OR</stp>
        <stp>2</stp>
        <stp>300188</stp>
        <stp>12/31/2018</stp>
        <tr r="H906" s="1"/>
      </tp>
      <tp>
        <v>-1.6495618010999999</v>
        <stp/>
        <stp>EM_S_FA_YOY_OR</stp>
        <stp>2</stp>
        <stp>600185</stp>
        <stp>12/31/2018</stp>
        <tr r="H1239" s="1"/>
      </tp>
      <tp>
        <v>28.434236863599999</v>
        <stp/>
        <stp>EM_S_FA_YOY_OR</stp>
        <stp>2</stp>
        <stp>600184</stp>
        <stp>12/31/2018</stp>
        <tr r="H1421" s="1"/>
      </tp>
      <tp>
        <v>6.4111368208000004</v>
        <stp/>
        <stp>EM_S_FA_YOY_OR</stp>
        <stp>2</stp>
        <stp>600187</stp>
        <stp>12/31/2018</stp>
        <tr r="H2117" s="1"/>
      </tp>
      <tp>
        <v>-6.6973099732000003</v>
        <stp/>
        <stp>EM_S_FA_YOY_OR</stp>
        <stp>2</stp>
        <stp>600186</stp>
        <stp>12/31/2018</stp>
        <tr r="H709" s="1"/>
      </tp>
      <tp>
        <v>0</v>
        <stp/>
        <stp>EM_S_FA_YOY_OR</stp>
        <stp>2</stp>
        <stp>600181</stp>
        <stp>12/31/2018</stp>
        <tr r="H2294" s="1"/>
      </tp>
      <tp>
        <v>1.5982509252999999</v>
        <stp/>
        <stp>EM_S_FA_YOY_OR</stp>
        <stp>2</stp>
        <stp>600180</stp>
        <stp>12/31/2018</stp>
        <tr r="H2347" s="1"/>
      </tp>
      <tp>
        <v>11.4529596394</v>
        <stp/>
        <stp>EM_S_FA_YOY_OR</stp>
        <stp>2</stp>
        <stp>600183</stp>
        <stp>12/31/2018</stp>
        <tr r="H138" s="1"/>
      </tp>
      <tp>
        <v>-2.5565481628</v>
        <stp/>
        <stp>EM_S_FA_YOY_OR</stp>
        <stp>2</stp>
        <stp>600182</stp>
        <stp>12/31/2018</stp>
        <tr r="H1800" s="1"/>
      </tp>
      <tp>
        <v>50.718016925500002</v>
        <stp/>
        <stp>EM_S_FA_YOY_OR</stp>
        <stp>2</stp>
        <stp>600189</stp>
        <stp>12/31/2018</stp>
        <tr r="H2168" s="1"/>
      </tp>
      <tp>
        <v>7.790035263</v>
        <stp/>
        <stp>EM_S_FA_YOY_OR</stp>
        <stp>2</stp>
        <stp>600188</stp>
        <stp>12/31/2018</stp>
        <tr r="H1329" s="1"/>
      </tp>
      <tp>
        <v>8.9565828249999999</v>
        <stp/>
        <stp>EM_S_FA_YOY_OR</stp>
        <stp>2</stp>
        <stp>600195</stp>
        <stp>12/31/2018</stp>
        <tr r="H1893" s="1"/>
      </tp>
      <tp>
        <v>10.697392301700001</v>
        <stp/>
        <stp>EM_S_FA_YOY_OR</stp>
        <stp>2</stp>
        <stp>600197</stp>
        <stp>12/31/2018</stp>
        <tr r="H1198" s="1"/>
      </tp>
      <tp>
        <v>34.449505229000003</v>
        <stp/>
        <stp>EM_S_FA_YOY_OR</stp>
        <stp>2</stp>
        <stp>600196</stp>
        <stp>12/31/2018</stp>
        <tr r="H1604" s="1"/>
      </tp>
      <tp>
        <v>-60.929833817499997</v>
        <stp/>
        <stp>EM_S_FA_YOY_OR</stp>
        <stp>2</stp>
        <stp>600191</stp>
        <stp>12/31/2018</stp>
        <tr r="H885" s="1"/>
      </tp>
      <tp>
        <v>30.677602564600001</v>
        <stp/>
        <stp>EM_S_FA_YOY_OR</stp>
        <stp>2</stp>
        <stp>600190</stp>
        <stp>12/31/2018</stp>
        <tr r="H1541" s="1"/>
      </tp>
      <tp>
        <v>798.56772570299995</v>
        <stp/>
        <stp>EM_S_FA_YOY_OR</stp>
        <stp>2</stp>
        <stp>600193</stp>
        <stp>12/31/2018</stp>
        <tr r="H1171" s="1"/>
      </tp>
      <tp>
        <v>-6.3125126869999999</v>
        <stp/>
        <stp>EM_S_FA_YOY_OR</stp>
        <stp>2</stp>
        <stp>600192</stp>
        <stp>12/31/2018</stp>
        <tr r="H1193" s="1"/>
      </tp>
      <tp>
        <v>1.892041318</v>
        <stp/>
        <stp>EM_S_FA_YOY_OR</stp>
        <stp>2</stp>
        <stp>600199</stp>
        <stp>12/31/2018</stp>
        <tr r="H781" s="1"/>
      </tp>
      <tp>
        <v>-44.418741489399999</v>
        <stp/>
        <stp>EM_S_FA_YOY_OR</stp>
        <stp>2</stp>
        <stp>600198</stp>
        <stp>12/31/2018</stp>
        <tr r="H416" s="1"/>
      </tp>
      <tp>
        <v>13.8941428122</v>
        <stp/>
        <stp>EM_S_FA_YOY_OR</stp>
        <stp>2</stp>
        <stp>300135</stp>
        <stp>12/31/2018</stp>
        <tr r="H2372" s="1"/>
      </tp>
      <tp>
        <v>-55.760048651399998</v>
        <stp/>
        <stp>EM_S_FA_YOY_OR</stp>
        <stp>2</stp>
        <stp>600165</stp>
        <stp>12/31/2018</stp>
        <tr r="H3077" s="1"/>
      </tp>
      <tp>
        <v>2.3715382535999998</v>
        <stp/>
        <stp>EM_S_FA_YOY_OR</stp>
        <stp>2</stp>
        <stp>300134</stp>
        <stp>12/31/2018</stp>
        <tr r="H367" s="1"/>
      </tp>
      <tp>
        <v>31.803406664499999</v>
        <stp/>
        <stp>EM_S_FA_YOY_OR</stp>
        <stp>2</stp>
        <stp>300137</stp>
        <stp>12/31/2018</stp>
        <tr r="H2600" s="1"/>
      </tp>
      <tp>
        <v>11.8949419546</v>
        <stp/>
        <stp>EM_S_FA_YOY_OR</stp>
        <stp>2</stp>
        <stp>600167</stp>
        <stp>12/31/2018</stp>
        <tr r="H683" s="1"/>
      </tp>
      <tp>
        <v>37.037194881399998</v>
        <stp/>
        <stp>EM_S_FA_YOY_OR</stp>
        <stp>2</stp>
        <stp>300136</stp>
        <stp>12/31/2018</stp>
        <tr r="H145" s="1"/>
      </tp>
      <tp>
        <v>-20.6078198411</v>
        <stp/>
        <stp>EM_S_FA_YOY_OR</stp>
        <stp>2</stp>
        <stp>600166</stp>
        <stp>12/31/2018</stp>
        <tr r="H1515" s="1"/>
      </tp>
      <tp>
        <v>63.706902567199997</v>
        <stp/>
        <stp>EM_S_FA_YOY_OR</stp>
        <stp>2</stp>
        <stp>300131</stp>
        <stp>12/31/2018</stp>
        <tr r="H1274" s="1"/>
      </tp>
      <tp>
        <v>18.034817716300001</v>
        <stp/>
        <stp>EM_S_FA_YOY_OR</stp>
        <stp>2</stp>
        <stp>600161</stp>
        <stp>12/31/2018</stp>
        <tr r="H1011" s="1"/>
      </tp>
      <tp>
        <v>1.5977380788</v>
        <stp/>
        <stp>EM_S_FA_YOY_OR</stp>
        <stp>2</stp>
        <stp>000100</stp>
        <stp>12/31/2018</stp>
        <tr r="H212" s="1"/>
      </tp>
      <tp>
        <v>87.509251465299997</v>
        <stp/>
        <stp>EM_S_FA_YOY_OR</stp>
        <stp>2</stp>
        <stp>300130</stp>
        <stp>12/31/2018</stp>
        <tr r="H478" s="1"/>
      </tp>
      <tp>
        <v>13.4150660438</v>
        <stp/>
        <stp>EM_S_FA_YOY_OR</stp>
        <stp>2</stp>
        <stp>600160</stp>
        <stp>12/31/2018</stp>
        <tr r="H1738" s="1"/>
      </tp>
      <tp>
        <v>10.515858997900001</v>
        <stp/>
        <stp>EM_S_FA_YOY_OR</stp>
        <stp>2</stp>
        <stp>300133</stp>
        <stp>12/31/2018</stp>
        <tr r="H3041" s="1"/>
      </tp>
      <tp>
        <v>3.4340746504999999</v>
        <stp/>
        <stp>EM_S_FA_YOY_OR</stp>
        <stp>2</stp>
        <stp>600163</stp>
        <stp>12/31/2018</stp>
        <tr r="H1968" s="1"/>
      </tp>
      <tp>
        <v>75.241870684600002</v>
        <stp/>
        <stp>EM_S_FA_YOY_OR</stp>
        <stp>2</stp>
        <stp>300132</stp>
        <stp>12/31/2018</stp>
        <tr r="H2143" s="1"/>
      </tp>
      <tp>
        <v>-12.210735936000001</v>
        <stp/>
        <stp>EM_S_FA_YOY_OR</stp>
        <stp>2</stp>
        <stp>600162</stp>
        <stp>12/31/2018</stp>
        <tr r="H2078" s="1"/>
      </tp>
      <tp>
        <v>19.175920247099999</v>
        <stp/>
        <stp>EM_S_FA_YOY_OR</stp>
        <stp>2</stp>
        <stp>300139</stp>
        <stp>12/31/2018</stp>
        <tr r="H1318" s="1"/>
      </tp>
      <tp>
        <v>-10.434873142100001</v>
        <stp/>
        <stp>EM_S_FA_YOY_OR</stp>
        <stp>2</stp>
        <stp>600169</stp>
        <stp>12/31/2018</stp>
        <tr r="H2058" s="1"/>
      </tp>
      <tp>
        <v>10.508314927300001</v>
        <stp/>
        <stp>EM_S_FA_YOY_OR</stp>
        <stp>2</stp>
        <stp>300138</stp>
        <stp>12/31/2018</stp>
        <tr r="H941" s="1"/>
      </tp>
      <tp>
        <v>16.022744604500001</v>
        <stp/>
        <stp>EM_S_FA_YOY_OR</stp>
        <stp>2</stp>
        <stp>600168</stp>
        <stp>12/31/2018</stp>
        <tr r="H1443" s="1"/>
      </tp>
      <tp>
        <v>35.117812477400001</v>
        <stp/>
        <stp>EM_S_FA_YOY_OR</stp>
        <stp>2</stp>
        <stp>300125</stp>
        <stp>12/31/2018</stp>
        <tr r="H841" s="1"/>
      </tp>
      <tp>
        <v>-18.6316414034</v>
        <stp/>
        <stp>EM_S_FA_YOY_OR</stp>
        <stp>2</stp>
        <stp>600175</stp>
        <stp>12/31/2018</stp>
        <tr r="H2982" s="1"/>
      </tp>
      <tp>
        <v>22.964081584599999</v>
        <stp/>
        <stp>EM_S_FA_YOY_OR</stp>
        <stp>2</stp>
        <stp>300124</stp>
        <stp>12/31/2018</stp>
        <tr r="H514" s="1"/>
      </tp>
      <tp>
        <v>13.7288133332</v>
        <stp/>
        <stp>EM_S_FA_YOY_OR</stp>
        <stp>2</stp>
        <stp>300127</stp>
        <stp>12/31/2018</stp>
        <tr r="H251" s="1"/>
      </tp>
      <tp>
        <v>-2.0737751456</v>
        <stp/>
        <stp>EM_S_FA_YOY_OR</stp>
        <stp>2</stp>
        <stp>600177</stp>
        <stp>12/31/2018</stp>
        <tr r="H2487" s="1"/>
      </tp>
      <tp>
        <v>6.2014615378000002</v>
        <stp/>
        <stp>EM_S_FA_YOY_OR</stp>
        <stp>2</stp>
        <stp>300126</stp>
        <stp>12/31/2018</stp>
        <tr r="H1497" s="1"/>
      </tp>
      <tp>
        <v>15.9610038789</v>
        <stp/>
        <stp>EM_S_FA_YOY_OR</stp>
        <stp>2</stp>
        <stp>600176</stp>
        <stp>12/31/2018</stp>
        <tr r="H1596" s="1"/>
      </tp>
      <tp>
        <v>27.1169641788</v>
        <stp/>
        <stp>EM_S_FA_YOY_OR</stp>
        <stp>2</stp>
        <stp>300121</stp>
        <stp>12/31/2018</stp>
        <tr r="H3007" s="1"/>
      </tp>
      <tp>
        <v>39.594369774299999</v>
        <stp/>
        <stp>EM_S_FA_YOY_OR</stp>
        <stp>2</stp>
        <stp>600171</stp>
        <stp>12/31/2018</stp>
        <tr r="H298" s="1"/>
      </tp>
      <tp>
        <v>132.11939105050001</v>
        <stp/>
        <stp>EM_S_FA_YOY_OR</stp>
        <stp>2</stp>
        <stp>300120</stp>
        <stp>12/31/2018</stp>
        <tr r="H2024" s="1"/>
      </tp>
      <tp>
        <v>20.032809658600002</v>
        <stp/>
        <stp>EM_S_FA_YOY_OR</stp>
        <stp>2</stp>
        <stp>600170</stp>
        <stp>12/31/2018</stp>
        <tr r="H1414" s="1"/>
      </tp>
      <tp>
        <v>34.819887136399998</v>
        <stp/>
        <stp>EM_S_FA_YOY_OR</stp>
        <stp>2</stp>
        <stp>300123</stp>
        <stp>12/31/2018</stp>
        <tr r="H2994" s="1"/>
      </tp>
      <tp>
        <v>81.618145358899994</v>
        <stp/>
        <stp>EM_S_FA_YOY_OR</stp>
        <stp>2</stp>
        <stp>600173</stp>
        <stp>12/31/2018</stp>
        <tr r="H786" s="1"/>
      </tp>
      <tp>
        <v>289.4257321819</v>
        <stp/>
        <stp>EM_S_FA_YOY_OR</stp>
        <stp>2</stp>
        <stp>300122</stp>
        <stp>12/31/2018</stp>
        <tr r="H1101" s="1"/>
      </tp>
      <tp>
        <v>7.0297510586999996</v>
        <stp/>
        <stp>EM_S_FA_YOY_OR</stp>
        <stp>2</stp>
        <stp>600172</stp>
        <stp>12/31/2018</stp>
        <tr r="H2575" s="1"/>
      </tp>
      <tp>
        <v>-7.3883048855000002</v>
        <stp/>
        <stp>EM_S_FA_YOY_OR</stp>
        <stp>2</stp>
        <stp>300129</stp>
        <stp>12/31/2018</stp>
        <tr r="H310" s="1"/>
      </tp>
      <tp>
        <v>48.766444173499998</v>
        <stp/>
        <stp>EM_S_FA_YOY_OR</stp>
        <stp>2</stp>
        <stp>600179</stp>
        <stp>12/31/2018</stp>
        <tr r="H3223" s="1"/>
      </tp>
      <tp>
        <v>-15.1322407618</v>
        <stp/>
        <stp>EM_S_FA_YOY_OR</stp>
        <stp>2</stp>
        <stp>300128</stp>
        <stp>12/31/2018</stp>
        <tr r="H1612" s="1"/>
      </tp>
      <tp>
        <v>-28.6221409294</v>
        <stp/>
        <stp>EM_S_FA_YOY_OR</stp>
        <stp>2</stp>
        <stp>600178</stp>
        <stp>12/31/2018</stp>
        <tr r="H1550" s="1"/>
      </tp>
      <tp>
        <v>2.3004902962</v>
        <stp/>
        <stp>EM_S_FA_YOY_OR</stp>
        <stp>2</stp>
        <stp>300115</stp>
        <stp>12/31/2018</stp>
        <tr r="H125" s="1"/>
      </tp>
      <tp>
        <v>-96.081022981999993</v>
        <stp/>
        <stp>EM_S_FA_YOY_OR</stp>
        <stp>2</stp>
        <stp>600145</stp>
        <stp>12/31/2018</stp>
        <tr r="H2293" s="1"/>
      </tp>
      <tp>
        <v>11.8737509537</v>
        <stp/>
        <stp>EM_S_FA_YOY_OR</stp>
        <stp>2</stp>
        <stp>300114</stp>
        <stp>12/31/2018</stp>
        <tr r="H433" s="1"/>
      </tp>
      <tp>
        <v>45.213443599999998</v>
        <stp/>
        <stp>EM_S_FA_YOY_OR</stp>
        <stp>2</stp>
        <stp>300117</stp>
        <stp>12/31/2018</stp>
        <tr r="H2769" s="1"/>
      </tp>
      <tp>
        <v>-58.617464202000001</v>
        <stp/>
        <stp>EM_S_FA_YOY_OR</stp>
        <stp>2</stp>
        <stp>300116</stp>
        <stp>12/31/2018</stp>
        <tr r="H911" s="1"/>
      </tp>
      <tp>
        <v>-1.1397469367999999</v>
        <stp/>
        <stp>EM_S_FA_YOY_OR</stp>
        <stp>2</stp>
        <stp>600146</stp>
        <stp>12/31/2018</stp>
        <tr r="H192" s="1"/>
      </tp>
      <tp>
        <v>-57.035109902899997</v>
        <stp/>
        <stp>EM_S_FA_YOY_OR</stp>
        <stp>2</stp>
        <stp>300111</stp>
        <stp>12/31/2018</stp>
        <tr r="H1403" s="1"/>
      </tp>
      <tp>
        <v>13.2916158801</v>
        <stp/>
        <stp>EM_S_FA_YOY_OR</stp>
        <stp>2</stp>
        <stp>600141</stp>
        <stp>12/31/2018</stp>
        <tr r="H2269" s="1"/>
      </tp>
      <tp>
        <v>5.4871044897000001</v>
        <stp/>
        <stp>EM_S_FA_YOY_OR</stp>
        <stp>2</stp>
        <stp>300110</stp>
        <stp>12/31/2018</stp>
        <tr r="H956" s="1"/>
      </tp>
      <tp>
        <v>9.3100794297</v>
        <stp/>
        <stp>EM_S_FA_YOY_OR</stp>
        <stp>2</stp>
        <stp>300113</stp>
        <stp>12/31/2018</stp>
        <tr r="H165" s="1"/>
      </tp>
      <tp>
        <v>9.4187104201</v>
        <stp/>
        <stp>EM_S_FA_YOY_OR</stp>
        <stp>2</stp>
        <stp>600143</stp>
        <stp>12/31/2018</stp>
        <tr r="H610" s="1"/>
      </tp>
      <tp>
        <v>7.5438876159000001</v>
        <stp/>
        <stp>EM_S_FA_YOY_OR</stp>
        <stp>2</stp>
        <stp>300112</stp>
        <stp>12/31/2018</stp>
        <tr r="H580" s="1"/>
      </tp>
      <tp>
        <v>13.608978318</v>
        <stp/>
        <stp>EM_S_FA_YOY_OR</stp>
        <stp>2</stp>
        <stp>300119</stp>
        <stp>12/31/2018</stp>
        <tr r="H217" s="1"/>
      </tp>
      <tp>
        <v>43.298685292899997</v>
        <stp/>
        <stp>EM_S_FA_YOY_OR</stp>
        <stp>2</stp>
        <stp>600149</stp>
        <stp>12/31/2018</stp>
        <tr r="H1642" s="1"/>
      </tp>
      <tp>
        <v>-14.8412809473</v>
        <stp/>
        <stp>EM_S_FA_YOY_OR</stp>
        <stp>2</stp>
        <stp>300118</stp>
        <stp>12/31/2018</stp>
        <tr r="H91" s="1"/>
      </tp>
      <tp>
        <v>15.4762212653</v>
        <stp/>
        <stp>EM_S_FA_YOY_OR</stp>
        <stp>2</stp>
        <stp>600148</stp>
        <stp>12/31/2018</stp>
        <tr r="H2591" s="1"/>
      </tp>
      <tp>
        <v>-22.169586027499999</v>
        <stp/>
        <stp>EM_S_FA_YOY_OR</stp>
        <stp>2</stp>
        <stp>300105</stp>
        <stp>12/31/2018</stp>
        <tr r="H1424" s="1"/>
      </tp>
      <tp>
        <v>-58.405729079099999</v>
        <stp/>
        <stp>EM_S_FA_YOY_OR</stp>
        <stp>2</stp>
        <stp>600155</stp>
        <stp>12/31/2018</stp>
        <tr r="H234" s="1"/>
      </tp>
      <tp>
        <v>-77.825906412799995</v>
        <stp/>
        <stp>EM_S_FA_YOY_OR</stp>
        <stp>2</stp>
        <stp>300104</stp>
        <stp>12/31/2018</stp>
        <tr r="H3241" s="1"/>
      </tp>
      <tp>
        <v>164.6665601297</v>
        <stp/>
        <stp>EM_S_FA_YOY_OR</stp>
        <stp>2</stp>
        <stp>300107</stp>
        <stp>12/31/2018</stp>
        <tr r="H3155" s="1"/>
      </tp>
      <tp>
        <v>-0.27230722010000002</v>
        <stp/>
        <stp>EM_S_FA_YOY_OR</stp>
        <stp>2</stp>
        <stp>600157</stp>
        <stp>12/31/2018</stp>
        <tr r="H1912" s="1"/>
      </tp>
      <tp>
        <v>-2.1291166081999999</v>
        <stp/>
        <stp>EM_S_FA_YOY_OR</stp>
        <stp>2</stp>
        <stp>300106</stp>
        <stp>12/31/2018</stp>
        <tr r="H1125" s="1"/>
      </tp>
      <tp>
        <v>42.726420506499998</v>
        <stp/>
        <stp>EM_S_FA_YOY_OR</stp>
        <stp>2</stp>
        <stp>600156</stp>
        <stp>12/31/2018</stp>
        <tr r="H1708" s="1"/>
      </tp>
      <tp>
        <v>0.53890701200000002</v>
        <stp/>
        <stp>EM_S_FA_YOY_OR</stp>
        <stp>2</stp>
        <stp>300101</stp>
        <stp>12/31/2018</stp>
        <tr r="H2605" s="1"/>
      </tp>
      <tp>
        <v>0.65707550690000005</v>
        <stp/>
        <stp>EM_S_FA_YOY_OR</stp>
        <stp>2</stp>
        <stp>600151</stp>
        <stp>12/31/2018</stp>
        <tr r="H1268" s="1"/>
      </tp>
      <tp>
        <v>29.9287500531</v>
        <stp/>
        <stp>EM_S_FA_YOY_OR</stp>
        <stp>2</stp>
        <stp>300100</stp>
        <stp>12/31/2018</stp>
        <tr r="H3326" s="1"/>
      </tp>
      <tp>
        <v>1.3133103329</v>
        <stp/>
        <stp>EM_S_FA_YOY_OR</stp>
        <stp>2</stp>
        <stp>600150</stp>
        <stp>12/31/2018</stp>
        <tr r="H395" s="1"/>
      </tp>
      <tp>
        <v>-20.3122251733</v>
        <stp/>
        <stp>EM_S_FA_YOY_OR</stp>
        <stp>2</stp>
        <stp>300103</stp>
        <stp>12/31/2018</stp>
        <tr r="H1115" s="1"/>
      </tp>
      <tp>
        <v>28.261554937500001</v>
        <stp/>
        <stp>EM_S_FA_YOY_OR</stp>
        <stp>2</stp>
        <stp>600153</stp>
        <stp>12/31/2018</stp>
        <tr r="H1100" s="1"/>
      </tp>
      <tp>
        <v>-8.9115300987000001</v>
        <stp/>
        <stp>EM_S_FA_YOY_OR</stp>
        <stp>2</stp>
        <stp>300102</stp>
        <stp>12/31/2018</stp>
        <tr r="H3006" s="1"/>
      </tp>
      <tp>
        <v>0.34171771159999997</v>
        <stp/>
        <stp>EM_S_FA_YOY_OR</stp>
        <stp>2</stp>
        <stp>600152</stp>
        <stp>12/31/2018</stp>
        <tr r="H1376" s="1"/>
      </tp>
      <tp>
        <v>42.9205217222</v>
        <stp/>
        <stp>EM_S_FA_YOY_OR</stp>
        <stp>2</stp>
        <stp>300109</stp>
        <stp>12/31/2018</stp>
        <tr r="H1364" s="1"/>
      </tp>
      <tp>
        <v>40.995877049000001</v>
        <stp/>
        <stp>EM_S_FA_YOY_OR</stp>
        <stp>2</stp>
        <stp>600159</stp>
        <stp>12/31/2018</stp>
        <tr r="H1961" s="1"/>
      </tp>
      <tp>
        <v>34.522992281599997</v>
        <stp/>
        <stp>EM_S_FA_YOY_OR</stp>
        <stp>2</stp>
        <stp>300108</stp>
        <stp>12/31/2018</stp>
        <tr r="H3150" s="1"/>
      </tp>
      <tp>
        <v>32.745365108100003</v>
        <stp/>
        <stp>EM_S_FA_YOY_OR</stp>
        <stp>2</stp>
        <stp>600158</stp>
        <stp>12/31/2018</stp>
        <tr r="H1644" s="1"/>
      </tp>
      <tp>
        <v>-8.1188759310999998</v>
        <stp/>
        <stp>EM_S_FA_YOY_OR</stp>
        <stp>2</stp>
        <stp>300175</stp>
        <stp>12/31/2018</stp>
        <tr r="H630" s="1"/>
      </tp>
      <tp>
        <v>33.850492432499998</v>
        <stp/>
        <stp>EM_S_FA_YOY_OR</stp>
        <stp>2</stp>
        <stp>600125</stp>
        <stp>12/31/2018</stp>
        <tr r="H2904" s="1"/>
      </tp>
      <tp>
        <v>99.421053838199995</v>
        <stp/>
        <stp>EM_S_FA_YOY_OR</stp>
        <stp>2</stp>
        <stp>300174</stp>
        <stp>12/31/2018</stp>
        <tr r="H701" s="1"/>
      </tp>
      <tp>
        <v>26.255840331400002</v>
        <stp/>
        <stp>EM_S_FA_YOY_OR</stp>
        <stp>2</stp>
        <stp>300177</stp>
        <stp>12/31/2018</stp>
        <tr r="H2865" s="1"/>
      </tp>
      <tp>
        <v>9.1178699897000008</v>
        <stp/>
        <stp>EM_S_FA_YOY_OR</stp>
        <stp>2</stp>
        <stp>600127</stp>
        <stp>12/31/2018</stp>
        <tr r="H762" s="1"/>
      </tp>
      <tp>
        <v>17.1949500753</v>
        <stp/>
        <stp>EM_S_FA_YOY_OR</stp>
        <stp>2</stp>
        <stp>300176</stp>
        <stp>12/31/2018</stp>
        <tr r="H3402" s="1"/>
      </tp>
      <tp>
        <v>-5.0475579979000003</v>
        <stp/>
        <stp>EM_S_FA_YOY_OR</stp>
        <stp>2</stp>
        <stp>600126</stp>
        <stp>12/31/2018</stp>
        <tr r="H1866" s="1"/>
      </tp>
      <tp>
        <v>11.1278931082</v>
        <stp/>
        <stp>EM_S_FA_YOY_OR</stp>
        <stp>2</stp>
        <stp>300171</stp>
        <stp>12/31/2018</stp>
        <tr r="H2262" s="1"/>
      </tp>
      <tp>
        <v>-15.793239266800001</v>
        <stp/>
        <stp>EM_S_FA_YOY_OR</stp>
        <stp>2</stp>
        <stp>600121</stp>
        <stp>12/31/2018</stp>
        <tr r="H3036" s="1"/>
      </tp>
      <tp>
        <v>23.2373800652</v>
        <stp/>
        <stp>EM_S_FA_YOY_OR</stp>
        <stp>2</stp>
        <stp>300170</stp>
        <stp>12/31/2018</stp>
        <tr r="H2376" s="1"/>
      </tp>
      <tp>
        <v>7.6936075580000001</v>
        <stp/>
        <stp>EM_S_FA_YOY_OR</stp>
        <stp>2</stp>
        <stp>600120</stp>
        <stp>12/31/2018</stp>
        <tr r="H3210" s="1"/>
      </tp>
      <tp>
        <v>-44.059478834399997</v>
        <stp/>
        <stp>EM_S_FA_YOY_OR</stp>
        <stp>2</stp>
        <stp>300173</stp>
        <stp>12/31/2018</stp>
        <tr r="H450" s="1"/>
      </tp>
      <tp>
        <v>12.7244244194</v>
        <stp/>
        <stp>EM_S_FA_YOY_OR</stp>
        <stp>2</stp>
        <stp>600123</stp>
        <stp>12/31/2018</stp>
        <tr r="H2399" s="1"/>
      </tp>
      <tp>
        <v>17.334287468100001</v>
        <stp/>
        <stp>EM_S_FA_YOY_OR</stp>
        <stp>2</stp>
        <stp>300172</stp>
        <stp>12/31/2018</stp>
        <tr r="H2415" s="1"/>
      </tp>
      <tp>
        <v>-26.345151268199999</v>
        <stp/>
        <stp>EM_S_FA_YOY_OR</stp>
        <stp>2</stp>
        <stp>600122</stp>
        <stp>12/31/2018</stp>
        <tr r="H3190" s="1"/>
      </tp>
      <tp>
        <v>19.7776754456</v>
        <stp/>
        <stp>EM_S_FA_YOY_OR</stp>
        <stp>2</stp>
        <stp>300179</stp>
        <stp>12/31/2018</stp>
        <tr r="H596" s="1"/>
      </tp>
      <tp>
        <v>21.8404546033</v>
        <stp/>
        <stp>EM_S_FA_YOY_OR</stp>
        <stp>2</stp>
        <stp>600129</stp>
        <stp>12/31/2018</stp>
        <tr r="H892" s="1"/>
      </tp>
      <tp>
        <v>38.430370715099997</v>
        <stp/>
        <stp>EM_S_FA_YOY_OR</stp>
        <stp>2</stp>
        <stp>300178</stp>
        <stp>12/31/2018</stp>
        <tr r="H3346" s="1"/>
      </tp>
      <tp>
        <v>9.8976055558000002</v>
        <stp/>
        <stp>EM_S_FA_YOY_OR</stp>
        <stp>2</stp>
        <stp>600128</stp>
        <stp>12/31/2018</stp>
        <tr r="H2583" s="1"/>
      </tp>
      <tp>
        <v>-34.368374009299998</v>
        <stp/>
        <stp>EM_S_FA_YOY_OR</stp>
        <stp>2</stp>
        <stp>000155</stp>
        <stp>12/31/2018</stp>
        <tr r="H1263" s="1"/>
      </tp>
      <tp>
        <v>29.303734999</v>
        <stp/>
        <stp>EM_S_FA_YOY_OR</stp>
        <stp>2</stp>
        <stp>300165</stp>
        <stp>12/31/2018</stp>
        <tr r="H1207" s="1"/>
      </tp>
      <tp>
        <v>0.61940550900000002</v>
        <stp/>
        <stp>EM_S_FA_YOY_OR</stp>
        <stp>2</stp>
        <stp>600135</stp>
        <stp>12/31/2018</stp>
        <tr r="H1020" s="1"/>
      </tp>
      <tp>
        <v>95.088835419099993</v>
        <stp/>
        <stp>EM_S_FA_YOY_OR</stp>
        <stp>2</stp>
        <stp>300164</stp>
        <stp>12/31/2018</stp>
        <tr r="H2988" s="1"/>
      </tp>
      <tp>
        <v>23.304575878000001</v>
        <stp/>
        <stp>EM_S_FA_YOY_OR</stp>
        <stp>2</stp>
        <stp>000157</stp>
        <stp>12/31/2018</stp>
        <tr r="H223" s="1"/>
      </tp>
      <tp>
        <v>-53.469208967699998</v>
        <stp/>
        <stp>EM_S_FA_YOY_OR</stp>
        <stp>2</stp>
        <stp>300167</stp>
        <stp>12/31/2018</stp>
        <tr r="H2101" s="1"/>
      </tp>
      <tp>
        <v>12.856521752900001</v>
        <stp/>
        <stp>EM_S_FA_YOY_OR</stp>
        <stp>2</stp>
        <stp>600137</stp>
        <stp>12/31/2018</stp>
        <tr r="H896" s="1"/>
      </tp>
      <tp>
        <v>7.0634050223999996</v>
        <stp/>
        <stp>EM_S_FA_YOY_OR</stp>
        <stp>2</stp>
        <stp>000156</stp>
        <stp>12/31/2018</stp>
        <tr r="H834" s="1"/>
      </tp>
      <tp>
        <v>32.549258471800002</v>
        <stp/>
        <stp>EM_S_FA_YOY_OR</stp>
        <stp>2</stp>
        <stp>300166</stp>
        <stp>12/31/2018</stp>
        <tr r="H1061" s="1"/>
      </tp>
      <tp>
        <v>192.60669103230001</v>
        <stp/>
        <stp>EM_S_FA_YOY_OR</stp>
        <stp>2</stp>
        <stp>600136</stp>
        <stp>12/31/2018</stp>
        <tr r="H571" s="1"/>
      </tp>
      <tp>
        <v>-42.980835088699997</v>
        <stp/>
        <stp>EM_S_FA_YOY_OR</stp>
        <stp>2</stp>
        <stp>000151</stp>
        <stp>12/31/2018</stp>
        <tr r="H2041" s="1"/>
      </tp>
      <tp>
        <v>-16.810557484</v>
        <stp/>
        <stp>EM_S_FA_YOY_OR</stp>
        <stp>2</stp>
        <stp>300161</stp>
        <stp>12/31/2018</stp>
        <tr r="H705" s="1"/>
      </tp>
      <tp>
        <v>36.485656800100003</v>
        <stp/>
        <stp>EM_S_FA_YOY_OR</stp>
        <stp>2</stp>
        <stp>600131</stp>
        <stp>12/31/2018</stp>
        <tr r="H38" s="1"/>
      </tp>
      <tp>
        <v>4.1503036011000001</v>
        <stp/>
        <stp>EM_S_FA_YOY_OR</stp>
        <stp>2</stp>
        <stp>000150</stp>
        <stp>12/31/2018</stp>
        <tr r="H3399" s="1"/>
      </tp>
      <tp>
        <v>1.6621741769</v>
        <stp/>
        <stp>EM_S_FA_YOY_OR</stp>
        <stp>2</stp>
        <stp>300160</stp>
        <stp>12/31/2018</stp>
        <tr r="H1712" s="1"/>
      </tp>
      <tp>
        <v>-62.503242794899997</v>
        <stp/>
        <stp>EM_S_FA_YOY_OR</stp>
        <stp>2</stp>
        <stp>600130</stp>
        <stp>12/31/2018</stp>
        <tr r="H2075" s="1"/>
      </tp>
      <tp>
        <v>16.884101063599999</v>
        <stp/>
        <stp>EM_S_FA_YOY_OR</stp>
        <stp>2</stp>
        <stp>000153</stp>
        <stp>12/31/2018</stp>
        <tr r="H917" s="1"/>
      </tp>
      <tp>
        <v>-14.784161989499999</v>
        <stp/>
        <stp>EM_S_FA_YOY_OR</stp>
        <stp>2</stp>
        <stp>300163</stp>
        <stp>12/31/2018</stp>
        <tr r="H1700" s="1"/>
      </tp>
      <tp>
        <v>13.8819423582</v>
        <stp/>
        <stp>EM_S_FA_YOY_OR</stp>
        <stp>2</stp>
        <stp>600133</stp>
        <stp>12/31/2018</stp>
        <tr r="H2928" s="1"/>
      </tp>
      <tp>
        <v>13.8110316488</v>
        <stp/>
        <stp>EM_S_FA_YOY_OR</stp>
        <stp>2</stp>
        <stp>300162</stp>
        <stp>12/31/2018</stp>
        <tr r="H194" s="1"/>
      </tp>
      <tp>
        <v>9.1895642984000006</v>
        <stp/>
        <stp>EM_S_FA_YOY_OR</stp>
        <stp>2</stp>
        <stp>600132</stp>
        <stp>12/31/2018</stp>
        <tr r="H313" s="1"/>
      </tp>
      <tp>
        <v>55.010644218000003</v>
        <stp/>
        <stp>EM_S_FA_YOY_OR</stp>
        <stp>2</stp>
        <stp>000159</stp>
        <stp>12/31/2018</stp>
        <tr r="H847" s="1"/>
      </tp>
      <tp>
        <v>17.118609512100001</v>
        <stp/>
        <stp>EM_S_FA_YOY_OR</stp>
        <stp>2</stp>
        <stp>300169</stp>
        <stp>12/31/2018</stp>
        <tr r="H1392" s="1"/>
      </tp>
      <tp>
        <v>-36.2753804524</v>
        <stp/>
        <stp>EM_S_FA_YOY_OR</stp>
        <stp>2</stp>
        <stp>600139</stp>
        <stp>12/31/2018</stp>
        <tr r="H1360" s="1"/>
      </tp>
      <tp>
        <v>-14.2019913717</v>
        <stp/>
        <stp>EM_S_FA_YOY_OR</stp>
        <stp>2</stp>
        <stp>000158</stp>
        <stp>12/31/2018</stp>
        <tr r="H3412" s="1"/>
      </tp>
      <tp>
        <v>-8.7270682336000007</v>
        <stp/>
        <stp>EM_S_FA_YOY_OR</stp>
        <stp>2</stp>
        <stp>300168</stp>
        <stp>12/31/2018</stp>
        <tr r="H960" s="1"/>
      </tp>
      <tp>
        <v>11.3000723626</v>
        <stp/>
        <stp>EM_S_FA_YOY_OR</stp>
        <stp>2</stp>
        <stp>600138</stp>
        <stp>12/31/2018</stp>
        <tr r="H2400" s="1"/>
      </tp>
      <tp>
        <v>8.7425325469999997</v>
        <stp/>
        <stp>EM_S_FA_YOY_OR</stp>
        <stp>2</stp>
        <stp>300155</stp>
        <stp>12/31/2018</stp>
        <tr r="H1092" s="1"/>
      </tp>
      <tp>
        <v>12.1891281444</v>
        <stp/>
        <stp>EM_S_FA_YOY_OR</stp>
        <stp>2</stp>
        <stp>600105</stp>
        <stp>12/31/2018</stp>
        <tr r="H1397" s="1"/>
      </tp>
      <tp>
        <v>-10.879541678700001</v>
        <stp/>
        <stp>EM_S_FA_YOY_OR</stp>
        <stp>2</stp>
        <stp>300154</stp>
        <stp>12/31/2018</stp>
        <tr r="H1433" s="1"/>
      </tp>
      <tp>
        <v>3.4556246348999999</v>
        <stp/>
        <stp>EM_S_FA_YOY_OR</stp>
        <stp>2</stp>
        <stp>600104</stp>
        <stp>12/31/2018</stp>
        <tr r="H2780" s="1"/>
      </tp>
      <tp>
        <v>-49.259973647300001</v>
        <stp/>
        <stp>EM_S_FA_YOY_OR</stp>
        <stp>2</stp>
        <stp>300157</stp>
        <stp>12/31/2018</stp>
        <tr r="H2441" s="1"/>
      </tp>
      <tp>
        <v>-5.6805084489000004</v>
        <stp/>
        <stp>EM_S_FA_YOY_OR</stp>
        <stp>2</stp>
        <stp>600107</stp>
        <stp>12/31/2018</stp>
        <tr r="H1238" s="1"/>
      </tp>
      <tp>
        <v>14.285412537199999</v>
        <stp/>
        <stp>EM_S_FA_YOY_OR</stp>
        <stp>2</stp>
        <stp>000166</stp>
        <stp>12/31/2018</stp>
        <tr r="H3413" s="1"/>
      </tp>
      <tp>
        <v>-98.175656606199993</v>
        <stp/>
        <stp>EM_S_FA_YOY_OR</stp>
        <stp>2</stp>
        <stp>300156</stp>
        <stp>12/31/2018</stp>
        <tr r="H3381" s="1"/>
      </tp>
      <tp>
        <v>0.83439634070000002</v>
        <stp/>
        <stp>EM_S_FA_YOY_OR</stp>
        <stp>2</stp>
        <stp>600106</stp>
        <stp>12/31/2018</stp>
        <tr r="H2193" s="1"/>
      </tp>
      <tp>
        <v>15.8400716897</v>
        <stp/>
        <stp>EM_S_FA_YOY_OR</stp>
        <stp>2</stp>
        <stp>300151</stp>
        <stp>12/31/2018</stp>
        <tr r="H378" s="1"/>
      </tp>
      <tp>
        <v>5.7367529601999996</v>
        <stp/>
        <stp>EM_S_FA_YOY_OR</stp>
        <stp>2</stp>
        <stp>600101</stp>
        <stp>12/31/2018</stp>
        <tr r="H1988" s="1"/>
      </tp>
      <tp>
        <v>28.816245129199999</v>
        <stp/>
        <stp>EM_S_FA_YOY_OR</stp>
        <stp>2</stp>
        <stp>300150</stp>
        <stp>12/31/2018</stp>
        <tr r="H2203" s="1"/>
      </tp>
      <tp>
        <v>-4.4495519887999997</v>
        <stp/>
        <stp>EM_S_FA_YOY_OR</stp>
        <stp>2</stp>
        <stp>600100</stp>
        <stp>12/31/2018</stp>
        <tr r="H2791" s="1"/>
      </tp>
      <tp>
        <v>22.1727907452</v>
        <stp/>
        <stp>EM_S_FA_YOY_OR</stp>
        <stp>2</stp>
        <stp>300153</stp>
        <stp>12/31/2018</stp>
        <tr r="H2698" s="1"/>
      </tp>
      <tp>
        <v>7.7186205988000003</v>
        <stp/>
        <stp>EM_S_FA_YOY_OR</stp>
        <stp>2</stp>
        <stp>600103</stp>
        <stp>12/31/2018</stp>
        <tr r="H3018" s="1"/>
      </tp>
      <tp>
        <v>-20.453566247200001</v>
        <stp/>
        <stp>EM_S_FA_YOY_OR</stp>
        <stp>2</stp>
        <stp>300152</stp>
        <stp>12/31/2018</stp>
        <tr r="H897" s="1"/>
      </tp>
      <tp>
        <v>0</v>
        <stp/>
        <stp>EM_S_FA_YOY_OR</stp>
        <stp>2</stp>
        <stp>600102</stp>
        <stp>12/31/2018</stp>
        <tr r="H2292" s="1"/>
      </tp>
      <tp>
        <v>1.3883130505000001</v>
        <stp/>
        <stp>EM_S_FA_YOY_OR</stp>
        <stp>2</stp>
        <stp>300159</stp>
        <stp>12/31/2018</stp>
        <tr r="H2909" s="1"/>
      </tp>
      <tp>
        <v>-14.2228811358</v>
        <stp/>
        <stp>EM_S_FA_YOY_OR</stp>
        <stp>2</stp>
        <stp>600109</stp>
        <stp>12/31/2018</stp>
        <tr r="H918" s="1"/>
      </tp>
      <tp>
        <v>-8.3570586775999995</v>
        <stp/>
        <stp>EM_S_FA_YOY_OR</stp>
        <stp>2</stp>
        <stp>300158</stp>
        <stp>12/31/2018</stp>
        <tr r="H1236" s="1"/>
      </tp>
      <tp>
        <v>21.350193263800001</v>
        <stp/>
        <stp>EM_S_FA_YOY_OR</stp>
        <stp>2</stp>
        <stp>600108</stp>
        <stp>12/31/2018</stp>
        <tr r="H1790" s="1"/>
      </tp>
      <tp>
        <v>14.3633913017</v>
        <stp/>
        <stp>EM_S_FA_YOY_OR</stp>
        <stp>2</stp>
        <stp>300145</stp>
        <stp>12/31/2018</stp>
        <tr r="H1801" s="1"/>
      </tp>
      <tp>
        <v>12.9855192143</v>
        <stp/>
        <stp>EM_S_FA_YOY_OR</stp>
        <stp>2</stp>
        <stp>600115</stp>
        <stp>12/31/2018</stp>
        <tr r="H1172" s="1"/>
      </tp>
      <tp>
        <v>6.1961653575</v>
        <stp/>
        <stp>EM_S_FA_YOY_OR</stp>
        <stp>2</stp>
        <stp>300144</stp>
        <stp>12/31/2018</stp>
        <tr r="H664" s="1"/>
      </tp>
      <tp>
        <v>7.5875530154000002</v>
        <stp/>
        <stp>EM_S_FA_YOY_OR</stp>
        <stp>2</stp>
        <stp>600114</stp>
        <stp>12/31/2018</stp>
        <tr r="H729" s="1"/>
      </tp>
      <tp>
        <v>14.4896622726</v>
        <stp/>
        <stp>EM_S_FA_YOY_OR</stp>
        <stp>2</stp>
        <stp>300147</stp>
        <stp>12/31/2018</stp>
        <tr r="H905" s="1"/>
      </tp>
      <tp>
        <v>-8.7057461807000003</v>
        <stp/>
        <stp>EM_S_FA_YOY_OR</stp>
        <stp>2</stp>
        <stp>600117</stp>
        <stp>12/31/2018</stp>
        <tr r="H2068" s="1"/>
      </tp>
      <tp>
        <v>39.860552844799997</v>
        <stp/>
        <stp>EM_S_FA_YOY_OR</stp>
        <stp>2</stp>
        <stp>300146</stp>
        <stp>12/31/2018</stp>
        <tr r="H2523" s="1"/>
      </tp>
      <tp>
        <v>6.6394581792</v>
        <stp/>
        <stp>EM_S_FA_YOY_OR</stp>
        <stp>2</stp>
        <stp>600116</stp>
        <stp>12/31/2018</stp>
        <tr r="H2123" s="1"/>
      </tp>
      <tp>
        <v>39.060715780099997</v>
        <stp/>
        <stp>EM_S_FA_YOY_OR</stp>
        <stp>2</stp>
        <stp>300141</stp>
        <stp>12/31/2018</stp>
        <tr r="H2371" s="1"/>
      </tp>
      <tp>
        <v>36.757670553399997</v>
        <stp/>
        <stp>EM_S_FA_YOY_OR</stp>
        <stp>2</stp>
        <stp>600111</stp>
        <stp>12/31/2018</stp>
        <tr r="H1118" s="1"/>
      </tp>
      <tp>
        <v>-3.9815222952</v>
        <stp/>
        <stp>EM_S_FA_YOY_OR</stp>
        <stp>2</stp>
        <stp>300140</stp>
        <stp>12/31/2018</stp>
        <tr r="H1419" s="1"/>
      </tp>
      <tp>
        <v>-8.5236689313999996</v>
        <stp/>
        <stp>EM_S_FA_YOY_OR</stp>
        <stp>2</stp>
        <stp>600110</stp>
        <stp>12/31/2018</stp>
        <tr r="H1434" s="1"/>
      </tp>
      <tp>
        <v>53.092072173200002</v>
        <stp/>
        <stp>EM_S_FA_YOY_OR</stp>
        <stp>2</stp>
        <stp>300143</stp>
        <stp>12/31/2018</stp>
        <tr r="H2121" s="1"/>
      </tp>
      <tp>
        <v>19.373177127400002</v>
        <stp/>
        <stp>EM_S_FA_YOY_OR</stp>
        <stp>2</stp>
        <stp>600113</stp>
        <stp>12/31/2018</stp>
        <tr r="H2268" s="1"/>
      </tp>
      <tp>
        <v>31.541365172599999</v>
        <stp/>
        <stp>EM_S_FA_YOY_OR</stp>
        <stp>2</stp>
        <stp>300142</stp>
        <stp>12/31/2018</stp>
        <tr r="H360" s="1"/>
      </tp>
      <tp>
        <v>-9.7895001427999997</v>
        <stp/>
        <stp>EM_S_FA_YOY_OR</stp>
        <stp>2</stp>
        <stp>600112</stp>
        <stp>12/31/2018</stp>
        <tr r="H3347" s="1"/>
      </tp>
      <tp>
        <v>262.04910664200003</v>
        <stp/>
        <stp>EM_S_FA_YOY_OR</stp>
        <stp>2</stp>
        <stp>300149</stp>
        <stp>12/31/2018</stp>
        <tr r="H2776" s="1"/>
      </tp>
      <tp>
        <v>-63.8782338607</v>
        <stp/>
        <stp>EM_S_FA_YOY_OR</stp>
        <stp>2</stp>
        <stp>600119</stp>
        <stp>12/31/2018</stp>
        <tr r="H3176" s="1"/>
      </tp>
      <tp>
        <v>20.2752310873</v>
        <stp/>
        <stp>EM_S_FA_YOY_OR</stp>
        <stp>2</stp>
        <stp>300148</stp>
        <stp>12/31/2018</stp>
        <tr r="H2790" s="1"/>
      </tp>
      <tp>
        <v>2.6807747821999999</v>
        <stp/>
        <stp>EM_S_FA_YOY_OR</stp>
        <stp>2</stp>
        <stp>600118</stp>
        <stp>12/31/2018</stp>
        <tr r="H1129" s="1"/>
      </tp>
      <tp>
        <v>14.8809603037</v>
        <stp/>
        <stp>EM_S_FA_YOY_OR</stp>
        <stp>2</stp>
        <stp>000685</stp>
        <stp>12/31/2018</stp>
        <tr r="H1353" s="1"/>
      </tp>
      <tp>
        <v>-13.7438845207</v>
        <stp/>
        <stp>EM_S_FA_YOY_OR</stp>
        <stp>2</stp>
        <stp>000687</stp>
        <stp>12/31/2018</stp>
        <tr r="H3509" s="1"/>
      </tp>
      <tp>
        <v>37.403411973700003</v>
        <stp/>
        <stp>EM_S_FA_YOY_OR</stp>
        <stp>2</stp>
        <stp>000686</stp>
        <stp>12/31/2018</stp>
        <tr r="H3508" s="1"/>
      </tp>
      <tp>
        <v>21.2739267818</v>
        <stp/>
        <stp>EM_S_FA_YOY_OR</stp>
        <stp>2</stp>
        <stp>000681</stp>
        <stp>12/31/2018</stp>
        <tr r="H3208" s="1"/>
      </tp>
      <tp>
        <v>25.995567373</v>
        <stp/>
        <stp>EM_S_FA_YOY_OR</stp>
        <stp>2</stp>
        <stp>000680</stp>
        <stp>12/31/2018</stp>
        <tr r="H1767" s="1"/>
      </tp>
      <tp>
        <v>-13.396463001900001</v>
        <stp/>
        <stp>EM_S_FA_YOY_OR</stp>
        <stp>2</stp>
        <stp>000683</stp>
        <stp>12/31/2018</stp>
        <tr r="H3507" s="1"/>
      </tp>
      <tp>
        <v>12.327729353500001</v>
        <stp/>
        <stp>EM_S_FA_YOY_OR</stp>
        <stp>2</stp>
        <stp>000682</stp>
        <stp>12/31/2018</stp>
        <tr r="H515" s="1"/>
      </tp>
      <tp>
        <v>0</v>
        <stp/>
        <stp>EM_S_FA_YOY_OR</stp>
        <stp>2</stp>
        <stp>000689</stp>
        <stp>12/31/2018</stp>
        <tr r="H3511" s="1"/>
      </tp>
      <tp>
        <v>-1.1781593888999999</v>
        <stp/>
        <stp>EM_S_FA_YOY_OR</stp>
        <stp>2</stp>
        <stp>000688</stp>
        <stp>12/31/2018</stp>
        <tr r="H3510" s="1"/>
      </tp>
      <tp>
        <v>3.9526383948000001</v>
        <stp/>
        <stp>EM_S_FA_YOY_OR</stp>
        <stp>2</stp>
        <stp>000695</stp>
        <stp>12/31/2018</stp>
        <tr r="H2992" s="1"/>
      </tp>
      <tp>
        <v>112.8922340015</v>
        <stp/>
        <stp>EM_S_FA_YOY_OR</stp>
        <stp>2</stp>
        <stp>000697</stp>
        <stp>12/31/2018</stp>
        <tr r="H2913" s="1"/>
      </tp>
      <tp>
        <v>-18.259359519699998</v>
        <stp/>
        <stp>EM_S_FA_YOY_OR</stp>
        <stp>2</stp>
        <stp>000691</stp>
        <stp>12/31/2018</stp>
        <tr r="H3512" s="1"/>
      </tp>
      <tp>
        <v>52.464676983499999</v>
        <stp/>
        <stp>EM_S_FA_YOY_OR</stp>
        <stp>2</stp>
        <stp>000690</stp>
        <stp>12/31/2018</stp>
        <tr r="H2957" s="1"/>
      </tp>
      <tp>
        <v>0</v>
        <stp/>
        <stp>EM_S_FA_YOY_OR</stp>
        <stp>2</stp>
        <stp>000693</stp>
        <stp>12/31/2018</stp>
        <tr r="H3513" s="1"/>
      </tp>
      <tp>
        <v>8.0526522313999997</v>
        <stp/>
        <stp>EM_S_FA_YOY_OR</stp>
        <stp>2</stp>
        <stp>000692</stp>
        <stp>12/31/2018</stp>
        <tr r="H1493" s="1"/>
      </tp>
      <tp>
        <v>0</v>
        <stp/>
        <stp>EM_S_FA_YOY_OR</stp>
        <stp>2</stp>
        <stp>000699</stp>
        <stp>12/31/2018</stp>
        <tr r="H3515" s="1"/>
      </tp>
      <tp>
        <v>-9.3833218193000008</v>
        <stp/>
        <stp>EM_S_FA_YOY_OR</stp>
        <stp>2</stp>
        <stp>000698</stp>
        <stp>12/31/2018</stp>
        <tr r="H3514" s="1"/>
      </tp>
      <tp>
        <v>-18.256553596</v>
        <stp/>
        <stp>EM_S_FA_YOY_OR</stp>
        <stp>2</stp>
        <stp>300695</stp>
        <stp>12/31/2018</stp>
        <tr r="H1890" s="1"/>
      </tp>
      <tp>
        <v>7.4702385182000004</v>
        <stp/>
        <stp>EM_S_FA_YOY_OR</stp>
        <stp>2</stp>
        <stp>300697</stp>
        <stp>12/31/2018</stp>
        <tr r="H772" s="1"/>
      </tp>
      <tp>
        <v>-5.7585223861000001</v>
        <stp/>
        <stp>EM_S_FA_YOY_OR</stp>
        <stp>2</stp>
        <stp>300696</stp>
        <stp>12/31/2018</stp>
        <tr r="H2215" s="1"/>
      </tp>
      <tp>
        <v>25.0849321948</v>
        <stp/>
        <stp>EM_S_FA_YOY_OR</stp>
        <stp>2</stp>
        <stp>300691</stp>
        <stp>12/31/2018</stp>
        <tr r="H2974" s="1"/>
      </tp>
      <tp>
        <v>-9.8399280478000009</v>
        <stp/>
        <stp>EM_S_FA_YOY_OR</stp>
        <stp>2</stp>
        <stp>300690</stp>
        <stp>12/31/2018</stp>
        <tr r="H735" s="1"/>
      </tp>
      <tp>
        <v>17.720435424800002</v>
        <stp/>
        <stp>EM_S_FA_YOY_OR</stp>
        <stp>2</stp>
        <stp>300693</stp>
        <stp>12/31/2018</stp>
        <tr r="H2842" s="1"/>
      </tp>
      <tp>
        <v>67.777140303099998</v>
        <stp/>
        <stp>EM_S_FA_YOY_OR</stp>
        <stp>2</stp>
        <stp>300692</stp>
        <stp>12/31/2018</stp>
        <tr r="H2598" s="1"/>
      </tp>
      <tp>
        <v>43.627826429099997</v>
        <stp/>
        <stp>EM_S_FA_YOY_OR</stp>
        <stp>2</stp>
        <stp>300699</stp>
        <stp>12/31/2018</stp>
        <tr r="H995" s="1"/>
      </tp>
      <tp>
        <v>-12.5012847449</v>
        <stp/>
        <stp>EM_S_FA_YOY_OR</stp>
        <stp>2</stp>
        <stp>300698</stp>
        <stp>12/31/2018</stp>
        <tr r="H2793" s="1"/>
      </tp>
      <tp>
        <v>32.8903191578</v>
        <stp/>
        <stp>EM_S_FA_YOY_OR</stp>
        <stp>2</stp>
        <stp>300685</stp>
        <stp>12/31/2018</stp>
        <tr r="H436" s="1"/>
      </tp>
      <tp>
        <v>33.784777870500001</v>
        <stp/>
        <stp>EM_S_FA_YOY_OR</stp>
        <stp>2</stp>
        <stp>300684</stp>
        <stp>12/31/2018</stp>
        <tr r="H2979" s="1"/>
      </tp>
      <tp>
        <v>28.297742534200001</v>
        <stp/>
        <stp>EM_S_FA_YOY_OR</stp>
        <stp>2</stp>
        <stp>300687</stp>
        <stp>12/31/2018</stp>
        <tr r="H3104" s="1"/>
      </tp>
      <tp>
        <v>14.5885576931</v>
        <stp/>
        <stp>EM_S_FA_YOY_OR</stp>
        <stp>2</stp>
        <stp>300686</stp>
        <stp>12/31/2018</stp>
        <tr r="H205" s="1"/>
      </tp>
      <tp>
        <v>22.089927764599999</v>
        <stp/>
        <stp>EM_S_FA_YOY_OR</stp>
        <stp>2</stp>
        <stp>300681</stp>
        <stp>12/31/2018</stp>
        <tr r="H2417" s="1"/>
      </tp>
      <tp>
        <v>50.5725983994</v>
        <stp/>
        <stp>EM_S_FA_YOY_OR</stp>
        <stp>2</stp>
        <stp>300680</stp>
        <stp>12/31/2018</stp>
        <tr r="H910" s="1"/>
      </tp>
      <tp>
        <v>-21.244042799300001</v>
        <stp/>
        <stp>EM_S_FA_YOY_OR</stp>
        <stp>2</stp>
        <stp>300683</stp>
        <stp>12/31/2018</stp>
        <tr r="H1867" s="1"/>
      </tp>
      <tp>
        <v>29.7011228557</v>
        <stp/>
        <stp>EM_S_FA_YOY_OR</stp>
        <stp>2</stp>
        <stp>300682</stp>
        <stp>12/31/2018</stp>
        <tr r="H782" s="1"/>
      </tp>
      <tp>
        <v>20.530926057999999</v>
        <stp/>
        <stp>EM_S_FA_YOY_OR</stp>
        <stp>2</stp>
        <stp>300689</stp>
        <stp>12/31/2018</stp>
        <tr r="H977" s="1"/>
      </tp>
      <tp>
        <v>81.519356666999997</v>
        <stp/>
        <stp>EM_S_FA_YOY_OR</stp>
        <stp>2</stp>
        <stp>300688</stp>
        <stp>12/31/2018</stp>
        <tr r="H3329" s="1"/>
      </tp>
      <tp>
        <v>-16.171804274599999</v>
        <stp/>
        <stp>EM_S_FA_YOY_OR</stp>
        <stp>2</stp>
        <stp>600685</stp>
        <stp>12/31/2018</stp>
        <tr r="H512" s="1"/>
      </tp>
      <tp>
        <v>-19.701908856100001</v>
        <stp/>
        <stp>EM_S_FA_YOY_OR</stp>
        <stp>2</stp>
        <stp>600684</stp>
        <stp>12/31/2018</stp>
        <tr r="H2854" s="1"/>
      </tp>
      <tp>
        <v>34.328288287299998</v>
        <stp/>
        <stp>EM_S_FA_YOY_OR</stp>
        <stp>2</stp>
        <stp>600687</stp>
        <stp>12/31/2018</stp>
        <tr r="H3392" s="1"/>
      </tp>
      <tp>
        <v>3.1260064342999998</v>
        <stp/>
        <stp>EM_S_FA_YOY_OR</stp>
        <stp>2</stp>
        <stp>600686</stp>
        <stp>12/31/2018</stp>
        <tr r="H2161" s="1"/>
      </tp>
      <tp>
        <v>59.895401647699998</v>
        <stp/>
        <stp>EM_S_FA_YOY_OR</stp>
        <stp>2</stp>
        <stp>600681</stp>
        <stp>12/31/2018</stp>
        <tr r="H3333" s="1"/>
      </tp>
      <tp>
        <v>-59.657536829999998</v>
        <stp/>
        <stp>EM_S_FA_YOY_OR</stp>
        <stp>2</stp>
        <stp>600680</stp>
        <stp>12/31/2018</stp>
        <tr r="H2316" s="1"/>
      </tp>
      <tp>
        <v>28.267660792400001</v>
        <stp/>
        <stp>EM_S_FA_YOY_OR</stp>
        <stp>2</stp>
        <stp>600683</stp>
        <stp>12/31/2018</stp>
        <tr r="H2385" s="1"/>
      </tp>
      <tp>
        <v>-24.006406685599998</v>
        <stp/>
        <stp>EM_S_FA_YOY_OR</stp>
        <stp>2</stp>
        <stp>600682</stp>
        <stp>12/31/2018</stp>
        <tr r="H1585" s="1"/>
      </tp>
      <tp>
        <v>7.8779921026000004</v>
        <stp/>
        <stp>EM_S_FA_YOY_OR</stp>
        <stp>2</stp>
        <stp>600689</stp>
        <stp>12/31/2018</stp>
        <tr r="H2646" s="1"/>
      </tp>
      <tp>
        <v>17.118495860100001</v>
        <stp/>
        <stp>EM_S_FA_YOY_OR</stp>
        <stp>2</stp>
        <stp>600688</stp>
        <stp>12/31/2018</stp>
        <tr r="H3114" s="1"/>
      </tp>
      <tp>
        <v>-4.1537996132000004</v>
        <stp/>
        <stp>EM_S_FA_YOY_OR</stp>
        <stp>2</stp>
        <stp>600695</stp>
        <stp>12/31/2018</stp>
        <tr r="H307" s="1"/>
      </tp>
      <tp>
        <v>-10.7549473675</v>
        <stp/>
        <stp>EM_S_FA_YOY_OR</stp>
        <stp>2</stp>
        <stp>600694</stp>
        <stp>12/31/2018</stp>
        <tr r="H1594" s="1"/>
      </tp>
      <tp>
        <v>11.576043840200001</v>
        <stp/>
        <stp>EM_S_FA_YOY_OR</stp>
        <stp>2</stp>
        <stp>600697</stp>
        <stp>12/31/2018</stp>
        <tr r="H2616" s="1"/>
      </tp>
      <tp>
        <v>528.67656181140001</v>
        <stp/>
        <stp>EM_S_FA_YOY_OR</stp>
        <stp>2</stp>
        <stp>600696</stp>
        <stp>12/31/2018</stp>
        <tr r="H71" s="1"/>
      </tp>
      <tp>
        <v>1.760517632</v>
        <stp/>
        <stp>EM_S_FA_YOY_OR</stp>
        <stp>2</stp>
        <stp>600691</stp>
        <stp>12/31/2018</stp>
        <tr r="H2883" s="1"/>
      </tp>
      <tp>
        <v>12.1690495468</v>
        <stp/>
        <stp>EM_S_FA_YOY_OR</stp>
        <stp>2</stp>
        <stp>600690</stp>
        <stp>12/31/2018</stp>
        <tr r="H748" s="1"/>
      </tp>
      <tp>
        <v>-22.272102089699999</v>
        <stp/>
        <stp>EM_S_FA_YOY_OR</stp>
        <stp>2</stp>
        <stp>600693</stp>
        <stp>12/31/2018</stp>
        <tr r="H2373" s="1"/>
      </tp>
      <tp>
        <v>-39.535581720000003</v>
        <stp/>
        <stp>EM_S_FA_YOY_OR</stp>
        <stp>2</stp>
        <stp>600692</stp>
        <stp>12/31/2018</stp>
        <tr r="H2781" s="1"/>
      </tp>
      <tp>
        <v>111.16204624140001</v>
        <stp/>
        <stp>EM_S_FA_YOY_OR</stp>
        <stp>2</stp>
        <stp>600699</stp>
        <stp>12/31/2018</stp>
        <tr r="H3125" s="1"/>
      </tp>
      <tp>
        <v>-19.4709091908</v>
        <stp/>
        <stp>EM_S_FA_YOY_OR</stp>
        <stp>2</stp>
        <stp>600698</stp>
        <stp>12/31/2018</stp>
        <tr r="H3214" s="1"/>
      </tp>
      <tp>
        <v>-5.7852263941000004</v>
        <stp/>
        <stp>EM_S_FA_YOY_OR</stp>
        <stp>2</stp>
        <stp>000605</stp>
        <stp>12/31/2018</stp>
        <tr r="H3479" s="1"/>
      </tp>
      <tp>
        <v>22.100606689399999</v>
        <stp/>
        <stp>EM_S_FA_YOY_OR</stp>
        <stp>2</stp>
        <stp>300635</stp>
        <stp>12/31/2018</stp>
        <tr r="H3011" s="1"/>
      </tp>
      <tp>
        <v>33.184307914000001</v>
        <stp/>
        <stp>EM_S_FA_YOY_OR</stp>
        <stp>2</stp>
        <stp>600665</stp>
        <stp>12/31/2018</stp>
        <tr r="H2096" s="1"/>
      </tp>
      <tp>
        <v>24.1764836798</v>
        <stp/>
        <stp>EM_S_FA_YOY_OR</stp>
        <stp>2</stp>
        <stp>300634</stp>
        <stp>12/31/2018</stp>
        <tr r="H3171" s="1"/>
      </tp>
      <tp>
        <v>-10.018011447599999</v>
        <stp/>
        <stp>EM_S_FA_YOY_OR</stp>
        <stp>2</stp>
        <stp>600664</stp>
        <stp>12/31/2018</stp>
        <tr r="H2644" s="1"/>
      </tp>
      <tp>
        <v>-4.5162063913999999</v>
        <stp/>
        <stp>EM_S_FA_YOY_OR</stp>
        <stp>2</stp>
        <stp>000607</stp>
        <stp>12/31/2018</stp>
        <tr r="H3480" s="1"/>
      </tp>
      <tp>
        <v>20.5060957528</v>
        <stp/>
        <stp>EM_S_FA_YOY_OR</stp>
        <stp>2</stp>
        <stp>300637</stp>
        <stp>12/31/2018</stp>
        <tr r="H3365" s="1"/>
      </tp>
      <tp>
        <v>30.066483852800001</v>
        <stp/>
        <stp>EM_S_FA_YOY_OR</stp>
        <stp>2</stp>
        <stp>600667</stp>
        <stp>12/31/2018</stp>
        <tr r="H398" s="1"/>
      </tp>
      <tp>
        <v>42.487082513200001</v>
        <stp/>
        <stp>EM_S_FA_YOY_OR</stp>
        <stp>2</stp>
        <stp>000606</stp>
        <stp>12/31/2018</stp>
        <tr r="H2652" s="1"/>
      </tp>
      <tp>
        <v>-9.9731658244000005</v>
        <stp/>
        <stp>EM_S_FA_YOY_OR</stp>
        <stp>2</stp>
        <stp>300636</stp>
        <stp>12/31/2018</stp>
        <tr r="H456" s="1"/>
      </tp>
      <tp>
        <v>-5.4181385002000004</v>
        <stp/>
        <stp>EM_S_FA_YOY_OR</stp>
        <stp>2</stp>
        <stp>600666</stp>
        <stp>12/31/2018</stp>
        <tr r="H3218" s="1"/>
      </tp>
      <tp>
        <v>-4.6129432799999996</v>
        <stp/>
        <stp>EM_S_FA_YOY_OR</stp>
        <stp>2</stp>
        <stp>000601</stp>
        <stp>12/31/2018</stp>
        <tr r="H3477" s="1"/>
      </tp>
      <tp>
        <v>60.934739632599999</v>
        <stp/>
        <stp>EM_S_FA_YOY_OR</stp>
        <stp>2</stp>
        <stp>300631</stp>
        <stp>12/31/2018</stp>
        <tr r="H1619" s="1"/>
      </tp>
      <tp>
        <v>21.577371648500002</v>
        <stp/>
        <stp>EM_S_FA_YOY_OR</stp>
        <stp>2</stp>
        <stp>600661</stp>
        <stp>12/31/2018</stp>
        <tr r="H2866" s="1"/>
      </tp>
      <tp>
        <v>32.242567921199999</v>
        <stp/>
        <stp>EM_S_FA_YOY_OR</stp>
        <stp>2</stp>
        <stp>000600</stp>
        <stp>12/31/2018</stp>
        <tr r="H2456" s="1"/>
      </tp>
      <tp>
        <v>92.072933447099999</v>
        <stp/>
        <stp>EM_S_FA_YOY_OR</stp>
        <stp>2</stp>
        <stp>300630</stp>
        <stp>12/31/2018</stp>
        <tr r="H1074" s="1"/>
      </tp>
      <tp>
        <v>8.0796661156000003</v>
        <stp/>
        <stp>EM_S_FA_YOY_OR</stp>
        <stp>2</stp>
        <stp>600660</stp>
        <stp>12/31/2018</stp>
        <tr r="H2159" s="1"/>
      </tp>
      <tp>
        <v>80.026793405000006</v>
        <stp/>
        <stp>EM_S_FA_YOY_OR</stp>
        <stp>2</stp>
        <stp>000603</stp>
        <stp>12/31/2018</stp>
        <tr r="H625" s="1"/>
      </tp>
      <tp>
        <v>24.040703219899999</v>
        <stp/>
        <stp>EM_S_FA_YOY_OR</stp>
        <stp>2</stp>
        <stp>300633</stp>
        <stp>12/31/2018</stp>
        <tr r="H2972" s="1"/>
      </tp>
      <tp>
        <v>35.542306948799997</v>
        <stp/>
        <stp>EM_S_FA_YOY_OR</stp>
        <stp>2</stp>
        <stp>600663</stp>
        <stp>12/31/2018</stp>
        <tr r="H2066" s="1"/>
      </tp>
      <tp>
        <v>0</v>
        <stp/>
        <stp>EM_S_FA_YOY_OR</stp>
        <stp>2</stp>
        <stp>000602</stp>
        <stp>12/31/2018</stp>
        <tr r="H3478" s="1"/>
      </tp>
      <tp>
        <v>56.339785761500004</v>
        <stp/>
        <stp>EM_S_FA_YOY_OR</stp>
        <stp>2</stp>
        <stp>300632</stp>
        <stp>12/31/2018</stp>
        <tr r="H320" s="1"/>
      </tp>
      <tp>
        <v>0.39799589089999998</v>
        <stp/>
        <stp>EM_S_FA_YOY_OR</stp>
        <stp>2</stp>
        <stp>600662</stp>
        <stp>12/31/2018</stp>
        <tr r="H1782" s="1"/>
      </tp>
      <tp>
        <v>-89.125965697400005</v>
        <stp/>
        <stp>EM_S_FA_YOY_OR</stp>
        <stp>2</stp>
        <stp>000609</stp>
        <stp>12/31/2018</stp>
        <tr r="H3482" s="1"/>
      </tp>
      <tp>
        <v>21.137566726300001</v>
        <stp/>
        <stp>EM_S_FA_YOY_OR</stp>
        <stp>2</stp>
        <stp>300639</stp>
        <stp>12/31/2018</stp>
        <tr r="H429" s="1"/>
      </tp>
      <tp>
        <v>0</v>
        <stp/>
        <stp>EM_S_FA_YOY_OR</stp>
        <stp>2</stp>
        <stp>600669</stp>
        <stp>12/31/2018</stp>
        <tr r="H2313" s="1"/>
      </tp>
      <tp>
        <v>-45.950937464900001</v>
        <stp/>
        <stp>EM_S_FA_YOY_OR</stp>
        <stp>2</stp>
        <stp>000608</stp>
        <stp>12/31/2018</stp>
        <tr r="H3481" s="1"/>
      </tp>
      <tp>
        <v>121.74527930310001</v>
        <stp/>
        <stp>EM_S_FA_YOY_OR</stp>
        <stp>2</stp>
        <stp>300638</stp>
        <stp>12/31/2018</stp>
        <tr r="H110" s="1"/>
      </tp>
      <tp>
        <v>18.950483730399998</v>
        <stp/>
        <stp>EM_S_FA_YOY_OR</stp>
        <stp>2</stp>
        <stp>600668</stp>
        <stp>12/31/2018</stp>
        <tr r="H921" s="1"/>
      </tp>
      <tp>
        <v>3.3460864063</v>
        <stp/>
        <stp>EM_S_FA_YOY_OR</stp>
        <stp>2</stp>
        <stp>000615</stp>
        <stp>12/31/2018</stp>
        <tr r="H3000" s="1"/>
      </tp>
      <tp>
        <v>7.3660778357999996</v>
        <stp/>
        <stp>EM_S_FA_YOY_OR</stp>
        <stp>2</stp>
        <stp>300625</stp>
        <stp>12/31/2018</stp>
        <tr r="H1465" s="1"/>
      </tp>
      <tp>
        <v>47.445651048499997</v>
        <stp/>
        <stp>EM_S_FA_YOY_OR</stp>
        <stp>2</stp>
        <stp>600675</stp>
        <stp>12/31/2018</stp>
        <tr r="H2967" s="1"/>
      </tp>
      <tp>
        <v>16.9077135701</v>
        <stp/>
        <stp>EM_S_FA_YOY_OR</stp>
        <stp>2</stp>
        <stp>300624</stp>
        <stp>12/31/2018</stp>
        <tr r="H1409" s="1"/>
      </tp>
      <tp>
        <v>8.1503328260999997</v>
        <stp/>
        <stp>EM_S_FA_YOY_OR</stp>
        <stp>2</stp>
        <stp>600674</stp>
        <stp>12/31/2018</stp>
        <tr r="H1589" s="1"/>
      </tp>
      <tp>
        <v>67.356805898900006</v>
        <stp/>
        <stp>EM_S_FA_YOY_OR</stp>
        <stp>2</stp>
        <stp>000617</stp>
        <stp>12/31/2018</stp>
        <tr r="H1592" s="1"/>
      </tp>
      <tp>
        <v>40.387937422199997</v>
        <stp/>
        <stp>EM_S_FA_YOY_OR</stp>
        <stp>2</stp>
        <stp>300627</stp>
        <stp>12/31/2018</stp>
        <tr r="H908" s="1"/>
      </tp>
      <tp>
        <v>22.656833639799999</v>
        <stp/>
        <stp>EM_S_FA_YOY_OR</stp>
        <stp>2</stp>
        <stp>600677</stp>
        <stp>12/31/2018</stp>
        <tr r="H2619" s="1"/>
      </tp>
      <tp>
        <v>179.09235998880001</v>
        <stp/>
        <stp>EM_S_FA_YOY_OR</stp>
        <stp>2</stp>
        <stp>000616</stp>
        <stp>12/31/2018</stp>
        <tr r="H2228" s="1"/>
      </tp>
      <tp>
        <v>1.8327600177000001</v>
        <stp/>
        <stp>EM_S_FA_YOY_OR</stp>
        <stp>2</stp>
        <stp>300626</stp>
        <stp>12/31/2018</stp>
        <tr r="H2555" s="1"/>
      </tp>
      <tp>
        <v>3.8045313572000001</v>
        <stp/>
        <stp>EM_S_FA_YOY_OR</stp>
        <stp>2</stp>
        <stp>600676</stp>
        <stp>12/31/2018</stp>
        <tr r="H2345" s="1"/>
      </tp>
      <tp>
        <v>-54.216831712000001</v>
        <stp/>
        <stp>EM_S_FA_YOY_OR</stp>
        <stp>2</stp>
        <stp>000611</stp>
        <stp>12/31/2018</stp>
        <tr r="H3483" s="1"/>
      </tp>
      <tp>
        <v>22.308409074299998</v>
        <stp/>
        <stp>EM_S_FA_YOY_OR</stp>
        <stp>2</stp>
        <stp>300621</stp>
        <stp>12/31/2018</stp>
        <tr r="H1811" s="1"/>
      </tp>
      <tp>
        <v>103.2345963185</v>
        <stp/>
        <stp>EM_S_FA_YOY_OR</stp>
        <stp>2</stp>
        <stp>600671</stp>
        <stp>12/31/2018</stp>
        <tr r="H3131" s="1"/>
      </tp>
      <tp>
        <v>21.394349238499998</v>
        <stp/>
        <stp>EM_S_FA_YOY_OR</stp>
        <stp>2</stp>
        <stp>000610</stp>
        <stp>12/31/2018</stp>
        <tr r="H1211" s="1"/>
      </tp>
      <tp>
        <v>25.601253568499999</v>
        <stp/>
        <stp>EM_S_FA_YOY_OR</stp>
        <stp>2</stp>
        <stp>300620</stp>
        <stp>12/31/2018</stp>
        <tr r="H2759" s="1"/>
      </tp>
      <tp>
        <v>-16.860697481199999</v>
        <stp/>
        <stp>EM_S_FA_YOY_OR</stp>
        <stp>2</stp>
        <stp>600670</stp>
        <stp>12/31/2018</stp>
        <tr r="H2314" s="1"/>
      </tp>
      <tp>
        <v>5.7657692532000002</v>
        <stp/>
        <stp>EM_S_FA_YOY_OR</stp>
        <stp>2</stp>
        <stp>000613</stp>
        <stp>12/31/2018</stp>
        <tr r="H3064" s="1"/>
      </tp>
      <tp>
        <v>24.759116118000001</v>
        <stp/>
        <stp>EM_S_FA_YOY_OR</stp>
        <stp>2</stp>
        <stp>300623</stp>
        <stp>12/31/2018</stp>
        <tr r="H1635" s="1"/>
      </tp>
      <tp>
        <v>29.7430174715</v>
        <stp/>
        <stp>EM_S_FA_YOY_OR</stp>
        <stp>2</stp>
        <stp>600673</stp>
        <stp>12/31/2018</stp>
        <tr r="H859" s="1"/>
      </tp>
      <tp>
        <v>-2.1515687601</v>
        <stp/>
        <stp>EM_S_FA_YOY_OR</stp>
        <stp>2</stp>
        <stp>000612</stp>
        <stp>12/31/2018</stp>
        <tr r="H3484" s="1"/>
      </tp>
      <tp>
        <v>20.099589835700002</v>
        <stp/>
        <stp>EM_S_FA_YOY_OR</stp>
        <stp>2</stp>
        <stp>300622</stp>
        <stp>12/31/2018</stp>
        <tr r="H1369" s="1"/>
      </tp>
      <tp>
        <v>-26.072190403099999</v>
        <stp/>
        <stp>EM_S_FA_YOY_OR</stp>
        <stp>2</stp>
        <stp>600672</stp>
        <stp>12/31/2018</stp>
        <tr r="H2315" s="1"/>
      </tp>
      <tp>
        <v>8.6872912400000002E-2</v>
        <stp/>
        <stp>EM_S_FA_YOY_OR</stp>
        <stp>2</stp>
        <stp>000619</stp>
        <stp>12/31/2018</stp>
        <tr r="H1623" s="1"/>
      </tp>
      <tp>
        <v>-15.621686604900001</v>
        <stp/>
        <stp>EM_S_FA_YOY_OR</stp>
        <stp>2</stp>
        <stp>300629</stp>
        <stp>12/31/2018</stp>
        <tr r="H1628" s="1"/>
      </tp>
      <tp>
        <v>-46.675207868900003</v>
        <stp/>
        <stp>EM_S_FA_YOY_OR</stp>
        <stp>2</stp>
        <stp>600679</stp>
        <stp>12/31/2018</stp>
        <tr r="H1214" s="1"/>
      </tp>
      <tp>
        <v>0</v>
        <stp/>
        <stp>EM_S_FA_YOY_OR</stp>
        <stp>2</stp>
        <stp>000618</stp>
        <stp>12/31/2018</stp>
        <tr r="H3485" s="1"/>
      </tp>
      <tp>
        <v>30.811902083700001</v>
        <stp/>
        <stp>EM_S_FA_YOY_OR</stp>
        <stp>2</stp>
        <stp>300628</stp>
        <stp>12/31/2018</stp>
        <tr r="H2626" s="1"/>
      </tp>
      <tp>
        <v>129.24683823320001</v>
        <stp/>
        <stp>EM_S_FA_YOY_OR</stp>
        <stp>2</stp>
        <stp>600678</stp>
        <stp>12/31/2018</stp>
        <tr r="H1034" s="1"/>
      </tp>
      <tp>
        <v>-17.139803560400001</v>
        <stp/>
        <stp>EM_S_FA_YOY_OR</stp>
        <stp>2</stp>
        <stp>000625</stp>
        <stp>12/31/2018</stp>
        <tr r="H3487" s="1"/>
      </tp>
      <tp>
        <v>1.8154970636000001</v>
        <stp/>
        <stp>EM_S_FA_YOY_OR</stp>
        <stp>2</stp>
        <stp>300615</stp>
        <stp>12/31/2018</stp>
        <tr r="H1398" s="1"/>
      </tp>
      <tp>
        <v>-2.49092853E-2</v>
        <stp/>
        <stp>EM_S_FA_YOY_OR</stp>
        <stp>2</stp>
        <stp>600645</stp>
        <stp>12/31/2018</stp>
        <tr r="H2094" s="1"/>
      </tp>
      <tp>
        <v>5.4324826987000003</v>
        <stp/>
        <stp>EM_S_FA_YOY_OR</stp>
        <stp>2</stp>
        <stp>600644</stp>
        <stp>12/31/2018</stp>
        <tr r="H1143" s="1"/>
      </tp>
      <tp>
        <v>-42.045673284099998</v>
        <stp/>
        <stp>EM_S_FA_YOY_OR</stp>
        <stp>2</stp>
        <stp>000627</stp>
        <stp>12/31/2018</stp>
        <tr r="H3489" s="1"/>
      </tp>
      <tp>
        <v>-11.0074036449</v>
        <stp/>
        <stp>EM_S_FA_YOY_OR</stp>
        <stp>2</stp>
        <stp>300617</stp>
        <stp>12/31/2018</stp>
        <tr r="H1581" s="1"/>
      </tp>
      <tp>
        <v>-13.889813461199999</v>
        <stp/>
        <stp>EM_S_FA_YOY_OR</stp>
        <stp>2</stp>
        <stp>600647</stp>
        <stp>12/31/2018</stp>
        <tr r="H1435" s="1"/>
      </tp>
      <tp>
        <v>-34.965049759400003</v>
        <stp/>
        <stp>EM_S_FA_YOY_OR</stp>
        <stp>2</stp>
        <stp>000626</stp>
        <stp>12/31/2018</stp>
        <tr r="H3488" s="1"/>
      </tp>
      <tp>
        <v>24.8323752258</v>
        <stp/>
        <stp>EM_S_FA_YOY_OR</stp>
        <stp>2</stp>
        <stp>300616</stp>
        <stp>12/31/2018</stp>
        <tr r="H1091" s="1"/>
      </tp>
      <tp>
        <v>0</v>
        <stp/>
        <stp>EM_S_FA_YOY_OR</stp>
        <stp>2</stp>
        <stp>600646</stp>
        <stp>12/31/2018</stp>
        <tr r="H2311" s="1"/>
      </tp>
      <tp>
        <v>0</v>
        <stp/>
        <stp>EM_S_FA_YOY_OR</stp>
        <stp>2</stp>
        <stp>000621</stp>
        <stp>12/31/2018</stp>
        <tr r="H3486" s="1"/>
      </tp>
      <tp>
        <v>35.763380858799998</v>
        <stp/>
        <stp>EM_S_FA_YOY_OR</stp>
        <stp>2</stp>
        <stp>300611</stp>
        <stp>12/31/2018</stp>
        <tr r="H1560" s="1"/>
      </tp>
      <tp>
        <v>27.812924678200002</v>
        <stp/>
        <stp>EM_S_FA_YOY_OR</stp>
        <stp>2</stp>
        <stp>600641</stp>
        <stp>12/31/2018</stp>
        <tr r="H147" s="1"/>
      </tp>
      <tp>
        <v>88.159324330800004</v>
        <stp/>
        <stp>EM_S_FA_YOY_OR</stp>
        <stp>2</stp>
        <stp>000620</stp>
        <stp>12/31/2018</stp>
        <tr r="H2102" s="1"/>
      </tp>
      <tp>
        <v>11.857029006599999</v>
        <stp/>
        <stp>EM_S_FA_YOY_OR</stp>
        <stp>2</stp>
        <stp>300610</stp>
        <stp>12/31/2018</stp>
        <tr r="H2478" s="1"/>
      </tp>
      <tp>
        <v>-18.307496884199999</v>
        <stp/>
        <stp>EM_S_FA_YOY_OR</stp>
        <stp>2</stp>
        <stp>600640</stp>
        <stp>12/31/2018</stp>
        <tr r="H66" s="1"/>
      </tp>
      <tp>
        <v>11.667224186</v>
        <stp/>
        <stp>EM_S_FA_YOY_OR</stp>
        <stp>2</stp>
        <stp>000623</stp>
        <stp>12/31/2018</stp>
        <tr r="H1489" s="1"/>
      </tp>
      <tp>
        <v>-8.2831290152000001</v>
        <stp/>
        <stp>EM_S_FA_YOY_OR</stp>
        <stp>2</stp>
        <stp>300613</stp>
        <stp>12/31/2018</stp>
        <tr r="H258" s="1"/>
      </tp>
      <tp>
        <v>41.409890425299999</v>
        <stp/>
        <stp>EM_S_FA_YOY_OR</stp>
        <stp>2</stp>
        <stp>600643</stp>
        <stp>12/31/2018</stp>
        <tr r="H1527" s="1"/>
      </tp>
      <tp>
        <v>232.7036318465</v>
        <stp/>
        <stp>EM_S_FA_YOY_OR</stp>
        <stp>2</stp>
        <stp>000622</stp>
        <stp>12/31/2018</stp>
        <tr r="H3279" s="1"/>
      </tp>
      <tp>
        <v>-26.804023911000002</v>
        <stp/>
        <stp>EM_S_FA_YOY_OR</stp>
        <stp>2</stp>
        <stp>300612</stp>
        <stp>12/31/2018</stp>
        <tr r="H1593" s="1"/>
      </tp>
      <tp>
        <v>11.780121256699999</v>
        <stp/>
        <stp>EM_S_FA_YOY_OR</stp>
        <stp>2</stp>
        <stp>600642</stp>
        <stp>12/31/2018</stp>
        <tr r="H1343" s="1"/>
      </tp>
      <tp>
        <v>60.680395387799997</v>
        <stp/>
        <stp>EM_S_FA_YOY_OR</stp>
        <stp>2</stp>
        <stp>000629</stp>
        <stp>12/31/2018</stp>
        <tr r="H2438" s="1"/>
      </tp>
      <tp>
        <v>31.031689016800001</v>
        <stp/>
        <stp>EM_S_FA_YOY_OR</stp>
        <stp>2</stp>
        <stp>300619</stp>
        <stp>12/31/2018</stp>
        <tr r="H2952" s="1"/>
      </tp>
      <tp>
        <v>114.6891105128</v>
        <stp/>
        <stp>EM_S_FA_YOY_OR</stp>
        <stp>2</stp>
        <stp>600649</stp>
        <stp>12/31/2018</stp>
        <tr r="H2008" s="1"/>
      </tp>
      <tp>
        <v>66.473372461899999</v>
        <stp/>
        <stp>EM_S_FA_YOY_OR</stp>
        <stp>2</stp>
        <stp>000628</stp>
        <stp>12/31/2018</stp>
        <tr r="H2503" s="1"/>
      </tp>
      <tp>
        <v>89.942924235999996</v>
        <stp/>
        <stp>EM_S_FA_YOY_OR</stp>
        <stp>2</stp>
        <stp>300618</stp>
        <stp>12/31/2018</stp>
        <tr r="H1876" s="1"/>
      </tp>
      <tp>
        <v>-13.864359783499999</v>
        <stp/>
        <stp>EM_S_FA_YOY_OR</stp>
        <stp>2</stp>
        <stp>600648</stp>
        <stp>12/31/2018</stp>
        <tr r="H1052" s="1"/>
      </tp>
      <tp>
        <v>1.117665895</v>
        <stp/>
        <stp>EM_S_FA_YOY_OR</stp>
        <stp>2</stp>
        <stp>000635</stp>
        <stp>12/31/2018</stp>
        <tr r="H2661" s="1"/>
      </tp>
      <tp>
        <v>29.931197814200001</v>
        <stp/>
        <stp>EM_S_FA_YOY_OR</stp>
        <stp>2</stp>
        <stp>300605</stp>
        <stp>12/31/2018</stp>
        <tr r="H2903" s="1"/>
      </tp>
      <tp>
        <v>7.2017798587000001</v>
        <stp/>
        <stp>EM_S_FA_YOY_OR</stp>
        <stp>2</stp>
        <stp>600655</stp>
        <stp>12/31/2018</stp>
        <tr r="H2010" s="1"/>
      </tp>
      <tp>
        <v>20.204750671300001</v>
        <stp/>
        <stp>EM_S_FA_YOY_OR</stp>
        <stp>2</stp>
        <stp>300604</stp>
        <stp>12/31/2018</stp>
        <tr r="H3085" s="1"/>
      </tp>
      <tp>
        <v>22.1384136488</v>
        <stp/>
        <stp>EM_S_FA_YOY_OR</stp>
        <stp>2</stp>
        <stp>600654</stp>
        <stp>12/31/2018</stp>
        <tr r="H2568" s="1"/>
      </tp>
      <tp>
        <v>-1.9916880422000001</v>
        <stp/>
        <stp>EM_S_FA_YOY_OR</stp>
        <stp>2</stp>
        <stp>000637</stp>
        <stp>12/31/2018</stp>
        <tr r="H3491" s="1"/>
      </tp>
      <tp>
        <v>56.732359886899999</v>
        <stp/>
        <stp>EM_S_FA_YOY_OR</stp>
        <stp>2</stp>
        <stp>300607</stp>
        <stp>12/31/2018</stp>
        <tr r="H484" s="1"/>
      </tp>
      <tp>
        <v>23.251882135500001</v>
        <stp/>
        <stp>EM_S_FA_YOY_OR</stp>
        <stp>2</stp>
        <stp>600657</stp>
        <stp>12/31/2018</stp>
        <tr r="H2195" s="1"/>
      </tp>
      <tp>
        <v>36.510936909100003</v>
        <stp/>
        <stp>EM_S_FA_YOY_OR</stp>
        <stp>2</stp>
        <stp>000636</stp>
        <stp>12/31/2018</stp>
        <tr r="H714" s="1"/>
      </tp>
      <tp>
        <v>46.6394176855</v>
        <stp/>
        <stp>EM_S_FA_YOY_OR</stp>
        <stp>2</stp>
        <stp>300606</stp>
        <stp>12/31/2018</stp>
        <tr r="H1432" s="1"/>
      </tp>
      <tp>
        <v>0</v>
        <stp/>
        <stp>EM_S_FA_YOY_OR</stp>
        <stp>2</stp>
        <stp>600656</stp>
        <stp>12/31/2018</stp>
        <tr r="H2312" s="1"/>
      </tp>
      <tp>
        <v>-59.3558597452</v>
        <stp/>
        <stp>EM_S_FA_YOY_OR</stp>
        <stp>2</stp>
        <stp>000631</stp>
        <stp>12/31/2018</stp>
        <tr r="H3490" s="1"/>
      </tp>
      <tp>
        <v>73.694868731300005</v>
        <stp/>
        <stp>EM_S_FA_YOY_OR</stp>
        <stp>2</stp>
        <stp>300601</stp>
        <stp>12/31/2018</stp>
        <tr r="H93" s="1"/>
      </tp>
      <tp>
        <v>-39.352844015400002</v>
        <stp/>
        <stp>EM_S_FA_YOY_OR</stp>
        <stp>2</stp>
        <stp>600651</stp>
        <stp>12/31/2018</stp>
        <tr r="H810" s="1"/>
      </tp>
      <tp>
        <v>2.6205042321000001</v>
        <stp/>
        <stp>EM_S_FA_YOY_OR</stp>
        <stp>2</stp>
        <stp>000630</stp>
        <stp>12/31/2018</stp>
        <tr r="H1285" s="1"/>
      </tp>
      <tp>
        <v>17.678678448900001</v>
        <stp/>
        <stp>EM_S_FA_YOY_OR</stp>
        <stp>2</stp>
        <stp>300600</stp>
        <stp>12/31/2018</stp>
        <tr r="H3297" s="1"/>
      </tp>
      <tp>
        <v>2.8142901048</v>
        <stp/>
        <stp>EM_S_FA_YOY_OR</stp>
        <stp>2</stp>
        <stp>600650</stp>
        <stp>12/31/2018</stp>
        <tr r="H1878" s="1"/>
      </tp>
      <tp>
        <v>67.146449208700005</v>
        <stp/>
        <stp>EM_S_FA_YOY_OR</stp>
        <stp>2</stp>
        <stp>000633</stp>
        <stp>12/31/2018</stp>
        <tr r="H2730" s="1"/>
      </tp>
      <tp>
        <v>-31.2864525486</v>
        <stp/>
        <stp>EM_S_FA_YOY_OR</stp>
        <stp>2</stp>
        <stp>300603</stp>
        <stp>12/31/2018</stp>
        <tr r="H3173" s="1"/>
      </tp>
      <tp>
        <v>23.156916769999999</v>
        <stp/>
        <stp>EM_S_FA_YOY_OR</stp>
        <stp>2</stp>
        <stp>600653</stp>
        <stp>12/31/2018</stp>
        <tr r="H1829" s="1"/>
      </tp>
      <tp>
        <v>5.2724656566999997</v>
        <stp/>
        <stp>EM_S_FA_YOY_OR</stp>
        <stp>2</stp>
        <stp>000632</stp>
        <stp>12/31/2018</stp>
        <tr r="H438" s="1"/>
      </tp>
      <tp>
        <v>27.918714622100001</v>
        <stp/>
        <stp>EM_S_FA_YOY_OR</stp>
        <stp>2</stp>
        <stp>300602</stp>
        <stp>12/31/2018</stp>
        <tr r="H1016" s="1"/>
      </tp>
      <tp>
        <v>-52.0602246849</v>
        <stp/>
        <stp>EM_S_FA_YOY_OR</stp>
        <stp>2</stp>
        <stp>600652</stp>
        <stp>12/31/2018</stp>
        <tr r="H3367" s="1"/>
      </tp>
      <tp>
        <v>4.0349790720999996</v>
        <stp/>
        <stp>EM_S_FA_YOY_OR</stp>
        <stp>2</stp>
        <stp>000639</stp>
        <stp>12/31/2018</stp>
        <tr r="H3211" s="1"/>
      </tp>
      <tp>
        <v>22.665755141199998</v>
        <stp/>
        <stp>EM_S_FA_YOY_OR</stp>
        <stp>2</stp>
        <stp>300609</stp>
        <stp>12/31/2018</stp>
        <tr r="H784" s="1"/>
      </tp>
      <tp>
        <v>79.046232024299997</v>
        <stp/>
        <stp>EM_S_FA_YOY_OR</stp>
        <stp>2</stp>
        <stp>600659</stp>
        <stp>12/31/2018</stp>
        <tr r="H2324" s="1"/>
      </tp>
      <tp>
        <v>-7.5357023613000003</v>
        <stp/>
        <stp>EM_S_FA_YOY_OR</stp>
        <stp>2</stp>
        <stp>000638</stp>
        <stp>12/31/2018</stp>
        <tr r="H3492" s="1"/>
      </tp>
      <tp>
        <v>6.4448187951999998</v>
        <stp/>
        <stp>EM_S_FA_YOY_OR</stp>
        <stp>2</stp>
        <stp>300608</stp>
        <stp>12/31/2018</stp>
        <tr r="H2460" s="1"/>
      </tp>
      <tp>
        <v>4.7080762907000002</v>
        <stp/>
        <stp>EM_S_FA_YOY_OR</stp>
        <stp>2</stp>
        <stp>600658</stp>
        <stp>12/31/2018</stp>
        <tr r="H2829" s="1"/>
      </tp>
      <tp>
        <v>3.9745173099</v>
        <stp/>
        <stp>EM_S_FA_YOY_OR</stp>
        <stp>2</stp>
        <stp>300675</stp>
        <stp>12/31/2018</stp>
        <tr r="H3339" s="1"/>
      </tp>
      <tp>
        <v>-29.886088873199999</v>
        <stp/>
        <stp>EM_S_FA_YOY_OR</stp>
        <stp>2</stp>
        <stp>600625</stp>
        <stp>12/31/2018</stp>
        <tr r="H2307" s="1"/>
      </tp>
      <tp>
        <v>37.037189873800003</v>
        <stp/>
        <stp>EM_S_FA_YOY_OR</stp>
        <stp>2</stp>
        <stp>600624</stp>
        <stp>12/31/2018</stp>
        <tr r="H437" s="1"/>
      </tp>
      <tp>
        <v>8.1156523063999995</v>
        <stp/>
        <stp>EM_S_FA_YOY_OR</stp>
        <stp>2</stp>
        <stp>300677</stp>
        <stp>12/31/2018</stp>
        <tr r="H1528" s="1"/>
      </tp>
      <tp>
        <v>0</v>
        <stp/>
        <stp>EM_S_FA_YOY_OR</stp>
        <stp>2</stp>
        <stp>600627</stp>
        <stp>12/31/2018</stp>
        <tr r="H2308" s="1"/>
      </tp>
      <tp>
        <v>21.0380587129</v>
        <stp/>
        <stp>EM_S_FA_YOY_OR</stp>
        <stp>2</stp>
        <stp>300676</stp>
        <stp>12/31/2018</stp>
        <tr r="H1637" s="1"/>
      </tp>
      <tp>
        <v>46.782434578199997</v>
        <stp/>
        <stp>EM_S_FA_YOY_OR</stp>
        <stp>2</stp>
        <stp>600626</stp>
        <stp>12/31/2018</stp>
        <tr r="H1387" s="1"/>
      </tp>
      <tp>
        <v>12.951972678500001</v>
        <stp/>
        <stp>EM_S_FA_YOY_OR</stp>
        <stp>2</stp>
        <stp>300671</stp>
        <stp>12/31/2018</stp>
        <tr r="H929" s="1"/>
      </tp>
      <tp>
        <v>-94.862284662500002</v>
        <stp/>
        <stp>EM_S_FA_YOY_OR</stp>
        <stp>2</stp>
        <stp>600621</stp>
        <stp>12/31/2018</stp>
        <tr r="H302" s="1"/>
      </tp>
      <tp>
        <v>4.5778957825999997</v>
        <stp/>
        <stp>EM_S_FA_YOY_OR</stp>
        <stp>2</stp>
        <stp>300670</stp>
        <stp>12/31/2018</stp>
        <tr r="H3362" s="1"/>
      </tp>
      <tp>
        <v>-4.6713290406999999</v>
        <stp/>
        <stp>EM_S_FA_YOY_OR</stp>
        <stp>2</stp>
        <stp>600620</stp>
        <stp>12/31/2018</stp>
        <tr r="H1374" s="1"/>
      </tp>
      <tp>
        <v>37.551358200800003</v>
        <stp/>
        <stp>EM_S_FA_YOY_OR</stp>
        <stp>2</stp>
        <stp>300673</stp>
        <stp>12/31/2018</stp>
        <tr r="H3263" s="1"/>
      </tp>
      <tp>
        <v>1.5561181745999999</v>
        <stp/>
        <stp>EM_S_FA_YOY_OR</stp>
        <stp>2</stp>
        <stp>600623</stp>
        <stp>12/31/2018</stp>
        <tr r="H3024" s="1"/>
      </tp>
      <tp>
        <v>-2.8279227227999999</v>
        <stp/>
        <stp>EM_S_FA_YOY_OR</stp>
        <stp>2</stp>
        <stp>300672</stp>
        <stp>12/31/2018</stp>
        <tr r="H1657" s="1"/>
      </tp>
      <tp>
        <v>54.304766352000001</v>
        <stp/>
        <stp>EM_S_FA_YOY_OR</stp>
        <stp>2</stp>
        <stp>600622</stp>
        <stp>12/31/2018</stp>
        <tr r="H3247" s="1"/>
      </tp>
      <tp>
        <v>-5.7454735147999996</v>
        <stp/>
        <stp>EM_S_FA_YOY_OR</stp>
        <stp>2</stp>
        <stp>300679</stp>
        <stp>12/31/2018</stp>
        <tr r="H739" s="1"/>
      </tp>
      <tp>
        <v>12.6504191382</v>
        <stp/>
        <stp>EM_S_FA_YOY_OR</stp>
        <stp>2</stp>
        <stp>600629</stp>
        <stp>12/31/2018</stp>
        <tr r="H3119" s="1"/>
      </tp>
      <tp>
        <v>18.498168187299999</v>
        <stp/>
        <stp>EM_S_FA_YOY_OR</stp>
        <stp>2</stp>
        <stp>300678</stp>
        <stp>12/31/2018</stp>
        <tr r="H1418" s="1"/>
      </tp>
      <tp>
        <v>-8.1509823575000002</v>
        <stp/>
        <stp>EM_S_FA_YOY_OR</stp>
        <stp>2</stp>
        <stp>600628</stp>
        <stp>12/31/2018</stp>
        <tr r="H603" s="1"/>
      </tp>
      <tp>
        <v>-0.24401543959999999</v>
        <stp/>
        <stp>EM_S_FA_YOY_OR</stp>
        <stp>2</stp>
        <stp>000655</stp>
        <stp>12/31/2018</stp>
        <tr r="H3494" s="1"/>
      </tp>
      <tp>
        <v>35.195672736399999</v>
        <stp/>
        <stp>EM_S_FA_YOY_OR</stp>
        <stp>2</stp>
        <stp>300665</stp>
        <stp>12/31/2018</stp>
        <tr r="H1720" s="1"/>
      </tp>
      <tp>
        <v>7.3792619239999997</v>
        <stp/>
        <stp>EM_S_FA_YOY_OR</stp>
        <stp>2</stp>
        <stp>600635</stp>
        <stp>12/31/2018</stp>
        <tr r="H2147" s="1"/>
      </tp>
      <tp>
        <v>-4.4490434593000003</v>
        <stp/>
        <stp>EM_S_FA_YOY_OR</stp>
        <stp>2</stp>
        <stp>300664</stp>
        <stp>12/31/2018</stp>
        <tr r="H1901" s="1"/>
      </tp>
      <tp>
        <v>2.1385179112000001</v>
        <stp/>
        <stp>EM_S_FA_YOY_OR</stp>
        <stp>2</stp>
        <stp>600634</stp>
        <stp>12/31/2018</stp>
        <tr r="H3293" s="1"/>
      </tp>
      <tp>
        <v>21.868707237999999</v>
        <stp/>
        <stp>EM_S_FA_YOY_OR</stp>
        <stp>2</stp>
        <stp>000657</stp>
        <stp>12/31/2018</stp>
        <tr r="H974" s="1"/>
      </tp>
      <tp>
        <v>21.423047601699999</v>
        <stp/>
        <stp>EM_S_FA_YOY_OR</stp>
        <stp>2</stp>
        <stp>300667</stp>
        <stp>12/31/2018</stp>
        <tr r="H1538" s="1"/>
      </tp>
      <tp>
        <v>-16.158023018400002</v>
        <stp/>
        <stp>EM_S_FA_YOY_OR</stp>
        <stp>2</stp>
        <stp>600637</stp>
        <stp>12/31/2018</stp>
        <tr r="H2727" s="1"/>
      </tp>
      <tp>
        <v>18.632037308200001</v>
        <stp/>
        <stp>EM_S_FA_YOY_OR</stp>
        <stp>2</stp>
        <stp>000656</stp>
        <stp>12/31/2018</stp>
        <tr r="H1182" s="1"/>
      </tp>
      <tp>
        <v>18.118709707600001</v>
        <stp/>
        <stp>EM_S_FA_YOY_OR</stp>
        <stp>2</stp>
        <stp>300666</stp>
        <stp>12/31/2018</stp>
        <tr r="H2037" s="1"/>
      </tp>
      <tp>
        <v>-68.272724497900001</v>
        <stp/>
        <stp>EM_S_FA_YOY_OR</stp>
        <stp>2</stp>
        <stp>600636</stp>
        <stp>12/31/2018</stp>
        <tr r="H2618" s="1"/>
      </tp>
      <tp>
        <v>33.608416038400001</v>
        <stp/>
        <stp>EM_S_FA_YOY_OR</stp>
        <stp>2</stp>
        <stp>000651</stp>
        <stp>12/31/2018</stp>
        <tr r="H229" s="1"/>
      </tp>
      <tp>
        <v>7.6927594818999996</v>
        <stp/>
        <stp>EM_S_FA_YOY_OR</stp>
        <stp>2</stp>
        <stp>300661</stp>
        <stp>12/31/2018</stp>
        <tr r="H19" s="1"/>
      </tp>
      <tp>
        <v>0</v>
        <stp/>
        <stp>EM_S_FA_YOY_OR</stp>
        <stp>2</stp>
        <stp>600631</stp>
        <stp>12/31/2018</stp>
        <tr r="H2309" s="1"/>
      </tp>
      <tp>
        <v>14.5599743579</v>
        <stp/>
        <stp>EM_S_FA_YOY_OR</stp>
        <stp>2</stp>
        <stp>000650</stp>
        <stp>12/31/2018</stp>
        <tr r="H1616" s="1"/>
      </tp>
      <tp>
        <v>11.177623901700001</v>
        <stp/>
        <stp>EM_S_FA_YOY_OR</stp>
        <stp>2</stp>
        <stp>300660</stp>
        <stp>12/31/2018</stp>
        <tr r="H2965" s="1"/>
      </tp>
      <tp>
        <v>-1.348835819</v>
        <stp/>
        <stp>EM_S_FA_YOY_OR</stp>
        <stp>2</stp>
        <stp>600630</stp>
        <stp>12/31/2018</stp>
        <tr r="H2003" s="1"/>
      </tp>
      <tp>
        <v>0</v>
        <stp/>
        <stp>EM_S_FA_YOY_OR</stp>
        <stp>2</stp>
        <stp>000653</stp>
        <stp>12/31/2018</stp>
        <tr r="H3493" s="1"/>
      </tp>
      <tp>
        <v>12.358355868</v>
        <stp/>
        <stp>EM_S_FA_YOY_OR</stp>
        <stp>2</stp>
        <stp>300663</stp>
        <stp>12/31/2018</stp>
        <tr r="H224" s="1"/>
      </tp>
      <tp>
        <v>17.416235765900002</v>
        <stp/>
        <stp>EM_S_FA_YOY_OR</stp>
        <stp>2</stp>
        <stp>600633</stp>
        <stp>12/31/2018</stp>
        <tr r="H1476" s="1"/>
      </tp>
      <tp>
        <v>1.0939442830999999</v>
        <stp/>
        <stp>EM_S_FA_YOY_OR</stp>
        <stp>2</stp>
        <stp>000652</stp>
        <stp>12/31/2018</stp>
        <tr r="H1224" s="1"/>
      </tp>
      <tp>
        <v>93.537075732199995</v>
        <stp/>
        <stp>EM_S_FA_YOY_OR</stp>
        <stp>2</stp>
        <stp>300662</stp>
        <stp>12/31/2018</stp>
        <tr r="H1399" s="1"/>
      </tp>
      <tp>
        <v>0</v>
        <stp/>
        <stp>EM_S_FA_YOY_OR</stp>
        <stp>2</stp>
        <stp>600632</stp>
        <stp>12/31/2018</stp>
        <tr r="H2310" s="1"/>
      </tp>
      <tp>
        <v>0.238534354</v>
        <stp/>
        <stp>EM_S_FA_YOY_OR</stp>
        <stp>2</stp>
        <stp>000659</stp>
        <stp>12/31/2018</stp>
        <tr r="H3261" s="1"/>
      </tp>
      <tp>
        <v>7.4247392011000004</v>
        <stp/>
        <stp>EM_S_FA_YOY_OR</stp>
        <stp>2</stp>
        <stp>300669</stp>
        <stp>12/31/2018</stp>
        <tr r="H488" s="1"/>
      </tp>
      <tp>
        <v>64.978842088199997</v>
        <stp/>
        <stp>EM_S_FA_YOY_OR</stp>
        <stp>2</stp>
        <stp>600639</stp>
        <stp>12/31/2018</stp>
        <tr r="H1287" s="1"/>
      </tp>
      <tp>
        <v>19279.910769230799</v>
        <stp/>
        <stp>EM_S_FA_YOY_OR</stp>
        <stp>2</stp>
        <stp>000658</stp>
        <stp>12/31/2018</stp>
        <tr r="H3495" s="1"/>
      </tp>
      <tp>
        <v>36.761362490499998</v>
        <stp/>
        <stp>EM_S_FA_YOY_OR</stp>
        <stp>2</stp>
        <stp>300668</stp>
        <stp>12/31/2018</stp>
        <tr r="H2582" s="1"/>
      </tp>
      <tp>
        <v>-40.012706876999999</v>
        <stp/>
        <stp>EM_S_FA_YOY_OR</stp>
        <stp>2</stp>
        <stp>600638</stp>
        <stp>12/31/2018</stp>
        <tr r="H3026" s="1"/>
      </tp>
      <tp>
        <v>5.1968401384999998</v>
        <stp/>
        <stp>EM_S_FA_YOY_OR</stp>
        <stp>2</stp>
        <stp>000665</stp>
        <stp>12/31/2018</stp>
        <tr r="H3156" s="1"/>
      </tp>
      <tp>
        <v>51.693369757600003</v>
        <stp/>
        <stp>EM_S_FA_YOY_OR</stp>
        <stp>2</stp>
        <stp>300655</stp>
        <stp>12/31/2018</stp>
        <tr r="H94" s="1"/>
      </tp>
      <tp>
        <v>-18.749242710099999</v>
        <stp/>
        <stp>EM_S_FA_YOY_OR</stp>
        <stp>2</stp>
        <stp>600605</stp>
        <stp>12/31/2018</stp>
        <tr r="H1488" s="1"/>
      </tp>
      <tp>
        <v>0.11929099379999999</v>
        <stp/>
        <stp>EM_S_FA_YOY_OR</stp>
        <stp>2</stp>
        <stp>300654</stp>
        <stp>12/31/2018</stp>
        <tr r="H3061" s="1"/>
      </tp>
      <tp>
        <v>-76.824983941100001</v>
        <stp/>
        <stp>EM_S_FA_YOY_OR</stp>
        <stp>2</stp>
        <stp>600604</stp>
        <stp>12/31/2018</stp>
        <tr r="H1429" s="1"/>
      </tp>
      <tp>
        <v>-43.213864666399999</v>
        <stp/>
        <stp>EM_S_FA_YOY_OR</stp>
        <stp>2</stp>
        <stp>000667</stp>
        <stp>12/31/2018</stp>
        <tr r="H3499" s="1"/>
      </tp>
      <tp>
        <v>52.209576480499997</v>
        <stp/>
        <stp>EM_S_FA_YOY_OR</stp>
        <stp>2</stp>
        <stp>300657</stp>
        <stp>12/31/2018</stp>
        <tr r="H1186" s="1"/>
      </tp>
      <tp>
        <v>0</v>
        <stp/>
        <stp>EM_S_FA_YOY_OR</stp>
        <stp>2</stp>
        <stp>600607</stp>
        <stp>12/31/2018</stp>
        <tr r="H2306" s="1"/>
      </tp>
      <tp>
        <v>18.284775955299999</v>
        <stp/>
        <stp>EM_S_FA_YOY_OR</stp>
        <stp>2</stp>
        <stp>000666</stp>
        <stp>12/31/2018</stp>
        <tr r="H1969" s="1"/>
      </tp>
      <tp>
        <v>124.0925535304</v>
        <stp/>
        <stp>EM_S_FA_YOY_OR</stp>
        <stp>2</stp>
        <stp>300656</stp>
        <stp>12/31/2018</stp>
        <tr r="H2217" s="1"/>
      </tp>
      <tp>
        <v>20.074946377700002</v>
        <stp/>
        <stp>EM_S_FA_YOY_OR</stp>
        <stp>2</stp>
        <stp>600606</stp>
        <stp>12/31/2018</stp>
        <tr r="H1591" s="1"/>
      </tp>
      <tp>
        <v>31.025157854500002</v>
        <stp/>
        <stp>EM_S_FA_YOY_OR</stp>
        <stp>2</stp>
        <stp>000661</stp>
        <stp>12/31/2018</stp>
        <tr r="H85" s="1"/>
      </tp>
      <tp>
        <v>35.163491020199999</v>
        <stp/>
        <stp>EM_S_FA_YOY_OR</stp>
        <stp>2</stp>
        <stp>300651</stp>
        <stp>12/31/2018</stp>
        <tr r="H3284" s="1"/>
      </tp>
      <tp>
        <v>11.811590346299999</v>
        <stp/>
        <stp>EM_S_FA_YOY_OR</stp>
        <stp>2</stp>
        <stp>600601</stp>
        <stp>12/31/2018</stp>
        <tr r="H651" s="1"/>
      </tp>
      <tp>
        <v>-5.2973328239999997</v>
        <stp/>
        <stp>EM_S_FA_YOY_OR</stp>
        <stp>2</stp>
        <stp>000660</stp>
        <stp>12/31/2018</stp>
        <tr r="H3496" s="1"/>
      </tp>
      <tp>
        <v>44.1566447035</v>
        <stp/>
        <stp>EM_S_FA_YOY_OR</stp>
        <stp>2</stp>
        <stp>300650</stp>
        <stp>12/31/2018</stp>
        <tr r="H1066" s="1"/>
      </tp>
      <tp>
        <v>1.1348439108999999</v>
        <stp/>
        <stp>EM_S_FA_YOY_OR</stp>
        <stp>2</stp>
        <stp>600600</stp>
        <stp>12/31/2018</stp>
        <tr r="H615" s="1"/>
      </tp>
      <tp>
        <v>-36.659299192100001</v>
        <stp/>
        <stp>EM_S_FA_YOY_OR</stp>
        <stp>2</stp>
        <stp>000663</stp>
        <stp>12/31/2018</stp>
        <tr r="H3498" s="1"/>
      </tp>
      <tp>
        <v>17.923802932000001</v>
        <stp/>
        <stp>EM_S_FA_YOY_OR</stp>
        <stp>2</stp>
        <stp>300653</stp>
        <stp>12/31/2018</stp>
        <tr r="H539" s="1"/>
      </tp>
      <tp>
        <v>89.053556331199999</v>
        <stp/>
        <stp>EM_S_FA_YOY_OR</stp>
        <stp>2</stp>
        <stp>600603</stp>
        <stp>12/31/2018</stp>
        <tr r="H1271" s="1"/>
      </tp>
      <tp>
        <v>-34.485597599000002</v>
        <stp/>
        <stp>EM_S_FA_YOY_OR</stp>
        <stp>2</stp>
        <stp>000662</stp>
        <stp>12/31/2018</stp>
        <tr r="H3497" s="1"/>
      </tp>
      <tp>
        <v>-7.4706790280000002</v>
        <stp/>
        <stp>EM_S_FA_YOY_OR</stp>
        <stp>2</stp>
        <stp>300652</stp>
        <stp>12/31/2018</stp>
        <tr r="H2079" s="1"/>
      </tp>
      <tp>
        <v>5.7576974581</v>
        <stp/>
        <stp>EM_S_FA_YOY_OR</stp>
        <stp>2</stp>
        <stp>600602</stp>
        <stp>12/31/2018</stp>
        <tr r="H353" s="1"/>
      </tp>
      <tp>
        <v>17.6454841758</v>
        <stp/>
        <stp>EM_S_FA_YOY_OR</stp>
        <stp>2</stp>
        <stp>000669</stp>
        <stp>12/31/2018</stp>
        <tr r="H3501" s="1"/>
      </tp>
      <tp>
        <v>26.6442807235</v>
        <stp/>
        <stp>EM_S_FA_YOY_OR</stp>
        <stp>2</stp>
        <stp>300659</stp>
        <stp>12/31/2018</stp>
        <tr r="H39" s="1"/>
      </tp>
      <tp>
        <v>6.5010281908999996</v>
        <stp/>
        <stp>EM_S_FA_YOY_OR</stp>
        <stp>2</stp>
        <stp>600609</stp>
        <stp>12/31/2018</stp>
        <tr r="H955" s="1"/>
      </tp>
      <tp>
        <v>-7.9707784545999996</v>
        <stp/>
        <stp>EM_S_FA_YOY_OR</stp>
        <stp>2</stp>
        <stp>000668</stp>
        <stp>12/31/2018</stp>
        <tr r="H3500" s="1"/>
      </tp>
      <tp>
        <v>3.8102123394</v>
        <stp/>
        <stp>EM_S_FA_YOY_OR</stp>
        <stp>2</stp>
        <stp>300658</stp>
        <stp>12/31/2018</stp>
        <tr r="H886" s="1"/>
      </tp>
      <tp>
        <v>113.5596985494</v>
        <stp/>
        <stp>EM_S_FA_YOY_OR</stp>
        <stp>2</stp>
        <stp>600608</stp>
        <stp>12/31/2018</stp>
        <tr r="H1802" s="1"/>
      </tp>
      <tp>
        <v>11.9338611437</v>
        <stp/>
        <stp>EM_S_FA_YOY_OR</stp>
        <stp>2</stp>
        <stp>000675</stp>
        <stp>12/31/2018</stp>
        <tr r="H3504" s="1"/>
      </tp>
      <tp>
        <v>26.266078533600002</v>
        <stp/>
        <stp>EM_S_FA_YOY_OR</stp>
        <stp>2</stp>
        <stp>300645</stp>
        <stp>12/31/2018</stp>
        <tr r="H3374" s="1"/>
      </tp>
      <tp>
        <v>-11.8509039193</v>
        <stp/>
        <stp>EM_S_FA_YOY_OR</stp>
        <stp>2</stp>
        <stp>600615</stp>
        <stp>12/31/2018</stp>
        <tr r="H1631" s="1"/>
      </tp>
      <tp>
        <v>-0.5427416679</v>
        <stp/>
        <stp>EM_S_FA_YOY_OR</stp>
        <stp>2</stp>
        <stp>300644</stp>
        <stp>12/31/2018</stp>
        <tr r="H2969" s="1"/>
      </tp>
      <tp>
        <v>7.1668246986000002</v>
        <stp/>
        <stp>EM_S_FA_YOY_OR</stp>
        <stp>2</stp>
        <stp>600614</stp>
        <stp>12/31/2018</stp>
        <tr r="H3373" s="1"/>
      </tp>
      <tp>
        <v>27.513647543699999</v>
        <stp/>
        <stp>EM_S_FA_YOY_OR</stp>
        <stp>2</stp>
        <stp>000677</stp>
        <stp>12/31/2018</stp>
        <tr r="H699" s="1"/>
      </tp>
      <tp>
        <v>24.886280208100001</v>
        <stp/>
        <stp>EM_S_FA_YOY_OR</stp>
        <stp>2</stp>
        <stp>300647</stp>
        <stp>12/31/2018</stp>
        <tr r="H2744" s="1"/>
      </tp>
      <tp>
        <v>15.416874910900001</v>
        <stp/>
        <stp>EM_S_FA_YOY_OR</stp>
        <stp>2</stp>
        <stp>600617</stp>
        <stp>12/31/2018</stp>
        <tr r="H2412" s="1"/>
      </tp>
      <tp>
        <v>20.172803027499999</v>
        <stp/>
        <stp>EM_S_FA_YOY_OR</stp>
        <stp>2</stp>
        <stp>000676</stp>
        <stp>12/31/2018</stp>
        <tr r="H2517" s="1"/>
      </tp>
      <tp>
        <v>0</v>
        <stp/>
        <stp>EM_S_FA_YOY_OR</stp>
        <stp>2</stp>
        <stp>300646</stp>
        <stp>12/31/2018</stp>
        <tr r="H10" s="1"/>
      </tp>
      <tp>
        <v>-8.9632818695999994</v>
        <stp/>
        <stp>EM_S_FA_YOY_OR</stp>
        <stp>2</stp>
        <stp>600616</stp>
        <stp>12/31/2018</stp>
        <tr r="H2035" s="1"/>
      </tp>
      <tp>
        <v>70.279736164100001</v>
        <stp/>
        <stp>EM_S_FA_YOY_OR</stp>
        <stp>2</stp>
        <stp>000671</stp>
        <stp>12/31/2018</stp>
        <tr r="H373" s="1"/>
      </tp>
      <tp>
        <v>3.3839711971000002</v>
        <stp/>
        <stp>EM_S_FA_YOY_OR</stp>
        <stp>2</stp>
        <stp>300641</stp>
        <stp>12/31/2018</stp>
        <tr r="H2353" s="1"/>
      </tp>
      <tp>
        <v>42.2113407792</v>
        <stp/>
        <stp>EM_S_FA_YOY_OR</stp>
        <stp>2</stp>
        <stp>600611</stp>
        <stp>12/31/2018</stp>
        <tr r="H2175" s="1"/>
      </tp>
      <tp>
        <v>-57.449873054999998</v>
        <stp/>
        <stp>EM_S_FA_YOY_OR</stp>
        <stp>2</stp>
        <stp>000670</stp>
        <stp>12/31/2018</stp>
        <tr r="H3502" s="1"/>
      </tp>
      <tp>
        <v>18.447764906100002</v>
        <stp/>
        <stp>EM_S_FA_YOY_OR</stp>
        <stp>2</stp>
        <stp>300640</stp>
        <stp>12/31/2018</stp>
        <tr r="H2861" s="1"/>
      </tp>
      <tp>
        <v>0</v>
        <stp/>
        <stp>EM_S_FA_YOY_OR</stp>
        <stp>2</stp>
        <stp>600610</stp>
        <stp>12/31/2018</stp>
        <tr r="H203" s="1"/>
      </tp>
      <tp>
        <v>-5.3700578297000003</v>
        <stp/>
        <stp>EM_S_FA_YOY_OR</stp>
        <stp>2</stp>
        <stp>000673</stp>
        <stp>12/31/2018</stp>
        <tr r="H3503" s="1"/>
      </tp>
      <tp>
        <v>-2.0629353957999998</v>
        <stp/>
        <stp>EM_S_FA_YOY_OR</stp>
        <stp>2</stp>
        <stp>300643</stp>
        <stp>12/31/2018</stp>
        <tr r="H149" s="1"/>
      </tp>
      <tp>
        <v>6.7516805466000003</v>
        <stp/>
        <stp>EM_S_FA_YOY_OR</stp>
        <stp>2</stp>
        <stp>600613</stp>
        <stp>12/31/2018</stp>
        <tr r="H768" s="1"/>
      </tp>
      <tp>
        <v>15.6302464367</v>
        <stp/>
        <stp>EM_S_FA_YOY_OR</stp>
        <stp>2</stp>
        <stp>000672</stp>
        <stp>12/31/2018</stp>
        <tr r="H150" s="1"/>
      </tp>
      <tp>
        <v>20.455786969999998</v>
        <stp/>
        <stp>EM_S_FA_YOY_OR</stp>
        <stp>2</stp>
        <stp>300642</stp>
        <stp>12/31/2018</stp>
        <tr r="H1902" s="1"/>
      </tp>
      <tp>
        <v>9.9836698468999998</v>
        <stp/>
        <stp>EM_S_FA_YOY_OR</stp>
        <stp>2</stp>
        <stp>600612</stp>
        <stp>12/31/2018</stp>
        <tr r="H2043" s="1"/>
      </tp>
      <tp>
        <v>-40.997642221500001</v>
        <stp/>
        <stp>EM_S_FA_YOY_OR</stp>
        <stp>2</stp>
        <stp>000679</stp>
        <stp>12/31/2018</stp>
        <tr r="H3506" s="1"/>
      </tp>
      <tp>
        <v>185.00927139379999</v>
        <stp/>
        <stp>EM_S_FA_YOY_OR</stp>
        <stp>2</stp>
        <stp>300649</stp>
        <stp>12/31/2018</stp>
        <tr r="H3039" s="1"/>
      </tp>
      <tp>
        <v>12.0758400946</v>
        <stp/>
        <stp>EM_S_FA_YOY_OR</stp>
        <stp>2</stp>
        <stp>600619</stp>
        <stp>12/31/2018</stp>
        <tr r="H2513" s="1"/>
      </tp>
      <tp>
        <v>-2.0715631133999999</v>
        <stp/>
        <stp>EM_S_FA_YOY_OR</stp>
        <stp>2</stp>
        <stp>000678</stp>
        <stp>12/31/2018</stp>
        <tr r="H3505" s="1"/>
      </tp>
      <tp>
        <v>-1.88794901</v>
        <stp/>
        <stp>EM_S_FA_YOY_OR</stp>
        <stp>2</stp>
        <stp>300648</stp>
        <stp>12/31/2018</stp>
        <tr r="H2494" s="1"/>
      </tp>
      <tp>
        <v>-0.77639413420000003</v>
        <stp/>
        <stp>EM_S_FA_YOY_OR</stp>
        <stp>2</stp>
        <stp>600618</stp>
        <stp>12/31/2018</stp>
        <tr r="H1601" s="1"/>
      </tp>
      <tp>
        <v>1.1786259247999999</v>
        <stp/>
        <stp>EM_S_FA_YOY_OR</stp>
        <stp>2</stp>
        <stp>000785</stp>
        <stp>12/31/2018</stp>
        <tr r="H560" s="1"/>
      </tp>
      <tp>
        <v>-2.4468268160000002</v>
        <stp/>
        <stp>EM_S_FA_YOY_OR</stp>
        <stp>2</stp>
        <stp>000787</stp>
        <stp>12/31/2018</stp>
        <tr r="H3538" s="1"/>
      </tp>
      <tp>
        <v>12.5450028797</v>
        <stp/>
        <stp>EM_S_FA_YOY_OR</stp>
        <stp>2</stp>
        <stp>000786</stp>
        <stp>12/31/2018</stp>
        <tr r="H216" s="1"/>
      </tp>
      <tp>
        <v>-20.785744283900002</v>
        <stp/>
        <stp>EM_S_FA_YOY_OR</stp>
        <stp>2</stp>
        <stp>000780</stp>
        <stp>12/31/2018</stp>
        <tr r="H3536" s="1"/>
      </tp>
      <tp>
        <v>-22.8614830016</v>
        <stp/>
        <stp>EM_S_FA_YOY_OR</stp>
        <stp>2</stp>
        <stp>000783</stp>
        <stp>12/31/2018</stp>
        <tr r="H3537" s="1"/>
      </tp>
      <tp>
        <v>7.1536375882999996</v>
        <stp/>
        <stp>EM_S_FA_YOY_OR</stp>
        <stp>2</stp>
        <stp>000782</stp>
        <stp>12/31/2018</stp>
        <tr r="H3032" s="1"/>
      </tp>
      <tp>
        <v>43.893293939099998</v>
        <stp/>
        <stp>EM_S_FA_YOY_OR</stp>
        <stp>2</stp>
        <stp>000789</stp>
        <stp>12/31/2018</stp>
        <tr r="H2031" s="1"/>
      </tp>
      <tp>
        <v>7.9163478676999999</v>
        <stp/>
        <stp>EM_S_FA_YOY_OR</stp>
        <stp>2</stp>
        <stp>000788</stp>
        <stp>12/31/2018</stp>
        <tr r="H1145" s="1"/>
      </tp>
      <tp>
        <v>14.9711703955</v>
        <stp/>
        <stp>EM_S_FA_YOY_OR</stp>
        <stp>2</stp>
        <stp>000795</stp>
        <stp>12/31/2018</stp>
        <tr r="H292" s="1"/>
      </tp>
      <tp>
        <v>16.6842721101</v>
        <stp/>
        <stp>EM_S_FA_YOY_OR</stp>
        <stp>2</stp>
        <stp>000797</stp>
        <stp>12/31/2018</stp>
        <tr r="H3127" s="1"/>
      </tp>
      <tp>
        <v>1.6693218588000001</v>
        <stp/>
        <stp>EM_S_FA_YOY_OR</stp>
        <stp>2</stp>
        <stp>000796</stp>
        <stp>12/31/2018</stp>
        <tr r="H776" s="1"/>
      </tp>
      <tp>
        <v>16.068789270300002</v>
        <stp/>
        <stp>EM_S_FA_YOY_OR</stp>
        <stp>2</stp>
        <stp>000791</stp>
        <stp>12/31/2018</stp>
        <tr r="H3193" s="1"/>
      </tp>
      <tp>
        <v>7.1865445103000001</v>
        <stp/>
        <stp>EM_S_FA_YOY_OR</stp>
        <stp>2</stp>
        <stp>000790</stp>
        <stp>12/31/2018</stp>
        <tr r="H1849" s="1"/>
      </tp>
      <tp>
        <v>10.637609314100001</v>
        <stp/>
        <stp>EM_S_FA_YOY_OR</stp>
        <stp>2</stp>
        <stp>000793</stp>
        <stp>12/31/2018</stp>
        <tr r="H3540" s="1"/>
      </tp>
      <tp>
        <v>52.911485947800003</v>
        <stp/>
        <stp>EM_S_FA_YOY_OR</stp>
        <stp>2</stp>
        <stp>000792</stp>
        <stp>12/31/2018</stp>
        <tr r="H3539" s="1"/>
      </tp>
      <tp>
        <v>35.129396224799997</v>
        <stp/>
        <stp>EM_S_FA_YOY_OR</stp>
        <stp>2</stp>
        <stp>000799</stp>
        <stp>12/31/2018</stp>
        <tr r="H114" s="1"/>
      </tp>
      <tp>
        <v>-16.297881767</v>
        <stp/>
        <stp>EM_S_FA_YOY_OR</stp>
        <stp>2</stp>
        <stp>000798</stp>
        <stp>12/31/2018</stp>
        <tr r="H3541" s="1"/>
      </tp>
      <tp>
        <v>2.5600437874000002</v>
        <stp/>
        <stp>EM_S_FA_YOY_OR</stp>
        <stp>2</stp>
        <stp>600785</stp>
        <stp>12/31/2018</stp>
        <tr r="H2709" s="1"/>
      </tp>
      <tp>
        <v>27.757733572700001</v>
        <stp/>
        <stp>EM_S_FA_YOY_OR</stp>
        <stp>2</stp>
        <stp>600784</stp>
        <stp>12/31/2018</stp>
        <tr r="H2018" s="1"/>
      </tp>
      <tp>
        <v>15.1320090696</v>
        <stp/>
        <stp>EM_S_FA_YOY_OR</stp>
        <stp>2</stp>
        <stp>600787</stp>
        <stp>12/31/2018</stp>
        <tr r="H2015" s="1"/>
      </tp>
      <tp>
        <v>0</v>
        <stp/>
        <stp>EM_S_FA_YOY_OR</stp>
        <stp>2</stp>
        <stp>600786</stp>
        <stp>12/31/2018</stp>
        <tr r="H2322" s="1"/>
      </tp>
      <tp>
        <v>8.9206191280000002</v>
        <stp/>
        <stp>EM_S_FA_YOY_OR</stp>
        <stp>2</stp>
        <stp>600781</stp>
        <stp>12/31/2018</stp>
        <tr r="H3379" s="1"/>
      </tp>
      <tp>
        <v>18.247502642299999</v>
        <stp/>
        <stp>EM_S_FA_YOY_OR</stp>
        <stp>2</stp>
        <stp>600780</stp>
        <stp>12/31/2018</stp>
        <tr r="H1853" s="1"/>
      </tp>
      <tp>
        <v>-4.1170448607000001</v>
        <stp/>
        <stp>EM_S_FA_YOY_OR</stp>
        <stp>2</stp>
        <stp>600783</stp>
        <stp>12/31/2018</stp>
        <tr r="H2462" s="1"/>
      </tp>
      <tp>
        <v>14.001814291100001</v>
        <stp/>
        <stp>EM_S_FA_YOY_OR</stp>
        <stp>2</stp>
        <stp>600782</stp>
        <stp>12/31/2018</stp>
        <tr r="H2374" s="1"/>
      </tp>
      <tp>
        <v>28.096757985699998</v>
        <stp/>
        <stp>EM_S_FA_YOY_OR</stp>
        <stp>2</stp>
        <stp>600789</stp>
        <stp>12/31/2018</stp>
        <tr r="H2875" s="1"/>
      </tp>
      <tp>
        <v>-14.2646753968</v>
        <stp/>
        <stp>EM_S_FA_YOY_OR</stp>
        <stp>2</stp>
        <stp>600788</stp>
        <stp>12/31/2018</stp>
        <tr r="H2323" s="1"/>
      </tp>
      <tp>
        <v>9.4537420438000002</v>
        <stp/>
        <stp>EM_S_FA_YOY_OR</stp>
        <stp>2</stp>
        <stp>600795</stp>
        <stp>12/31/2018</stp>
        <tr r="H2731" s="1"/>
      </tp>
      <tp>
        <v>30.107786381299999</v>
        <stp/>
        <stp>EM_S_FA_YOY_OR</stp>
        <stp>2</stp>
        <stp>600794</stp>
        <stp>12/31/2018</stp>
        <tr r="H627" s="1"/>
      </tp>
      <tp>
        <v>9.3571422684000005</v>
        <stp/>
        <stp>EM_S_FA_YOY_OR</stp>
        <stp>2</stp>
        <stp>600797</stp>
        <stp>12/31/2018</stp>
        <tr r="H719" s="1"/>
      </tp>
      <tp>
        <v>-5.3148628281999999</v>
        <stp/>
        <stp>EM_S_FA_YOY_OR</stp>
        <stp>2</stp>
        <stp>600796</stp>
        <stp>12/31/2018</stp>
        <tr r="H1931" s="1"/>
      </tp>
      <tp>
        <v>36.659821133599998</v>
        <stp/>
        <stp>EM_S_FA_YOY_OR</stp>
        <stp>2</stp>
        <stp>600791</stp>
        <stp>12/31/2018</stp>
        <tr r="H1982" s="1"/>
      </tp>
      <tp>
        <v>6.0242545192000003</v>
        <stp/>
        <stp>EM_S_FA_YOY_OR</stp>
        <stp>2</stp>
        <stp>600790</stp>
        <stp>12/31/2018</stp>
        <tr r="H2647" s="1"/>
      </tp>
      <tp>
        <v>11.6440191965</v>
        <stp/>
        <stp>EM_S_FA_YOY_OR</stp>
        <stp>2</stp>
        <stp>600793</stp>
        <stp>12/31/2018</stp>
        <tr r="H1843" s="1"/>
      </tp>
      <tp>
        <v>22.074724596700001</v>
        <stp/>
        <stp>EM_S_FA_YOY_OR</stp>
        <stp>2</stp>
        <stp>600792</stp>
        <stp>12/31/2018</stp>
        <tr r="H952" s="1"/>
      </tp>
      <tp>
        <v>0</v>
        <stp/>
        <stp>EM_S_FA_YOY_OR</stp>
        <stp>2</stp>
        <stp>600799</stp>
        <stp>12/31/2018</stp>
        <tr r="H2325" s="1"/>
      </tp>
      <tp>
        <v>20.2618260466</v>
        <stp/>
        <stp>EM_S_FA_YOY_OR</stp>
        <stp>2</stp>
        <stp>600798</stp>
        <stp>12/31/2018</stp>
        <tr r="H1796" s="1"/>
      </tp>
      <tp>
        <v>10.8670171621</v>
        <stp/>
        <stp>EM_S_FA_YOY_OR</stp>
        <stp>2</stp>
        <stp>000705</stp>
        <stp>12/31/2018</stp>
        <tr r="H1817" s="1"/>
      </tp>
      <tp>
        <v>25.4275208611</v>
        <stp/>
        <stp>EM_S_FA_YOY_OR</stp>
        <stp>2</stp>
        <stp>300735</stp>
        <stp>12/31/2018</stp>
        <tr r="H394" s="1"/>
      </tp>
      <tp>
        <v>-3.8592881590000001</v>
        <stp/>
        <stp>EM_S_FA_YOY_OR</stp>
        <stp>2</stp>
        <stp>600765</stp>
        <stp>12/31/2018</stp>
        <tr r="H867" s="1"/>
      </tp>
      <tp>
        <v>-3.3609227522</v>
        <stp/>
        <stp>EM_S_FA_YOY_OR</stp>
        <stp>2</stp>
        <stp>600764</stp>
        <stp>12/31/2018</stp>
        <tr r="H1185" s="1"/>
      </tp>
      <tp>
        <v>-11.9502300706</v>
        <stp/>
        <stp>EM_S_FA_YOY_OR</stp>
        <stp>2</stp>
        <stp>000707</stp>
        <stp>12/31/2018</stp>
        <tr r="H3517" s="1"/>
      </tp>
      <tp>
        <v>51.891667837</v>
        <stp/>
        <stp>EM_S_FA_YOY_OR</stp>
        <stp>2</stp>
        <stp>300737</stp>
        <stp>12/31/2018</stp>
        <tr r="H983" s="1"/>
      </tp>
      <tp>
        <v>82.838992752099998</v>
        <stp/>
        <stp>EM_S_FA_YOY_OR</stp>
        <stp>2</stp>
        <stp>600767</stp>
        <stp>12/31/2018</stp>
        <tr r="H2211" s="1"/>
      </tp>
      <tp>
        <v>-6.6012938592000001</v>
        <stp/>
        <stp>EM_S_FA_YOY_OR</stp>
        <stp>2</stp>
        <stp>300736</stp>
        <stp>12/31/2018</stp>
        <tr r="H3372" s="1"/>
      </tp>
      <tp>
        <v>8.7832481101000006</v>
        <stp/>
        <stp>EM_S_FA_YOY_OR</stp>
        <stp>2</stp>
        <stp>600766</stp>
        <stp>12/31/2018</stp>
        <tr r="H2671" s="1"/>
      </tp>
      <tp>
        <v>18.766004127999999</v>
        <stp/>
        <stp>EM_S_FA_YOY_OR</stp>
        <stp>2</stp>
        <stp>000701</stp>
        <stp>12/31/2018</stp>
        <tr r="H2836" s="1"/>
      </tp>
      <tp>
        <v>12.6623772839</v>
        <stp/>
        <stp>EM_S_FA_YOY_OR</stp>
        <stp>2</stp>
        <stp>300731</stp>
        <stp>12/31/2018</stp>
        <tr r="H1668" s="1"/>
      </tp>
      <tp>
        <v>13.8220854146</v>
        <stp/>
        <stp>EM_S_FA_YOY_OR</stp>
        <stp>2</stp>
        <stp>600761</stp>
        <stp>12/31/2018</stp>
        <tr r="H1761" s="1"/>
      </tp>
      <tp>
        <v>14.411889760499999</v>
        <stp/>
        <stp>EM_S_FA_YOY_OR</stp>
        <stp>2</stp>
        <stp>000700</stp>
        <stp>12/31/2018</stp>
        <tr r="H854" s="1"/>
      </tp>
      <tp>
        <v>8.1909250135999994</v>
        <stp/>
        <stp>EM_S_FA_YOY_OR</stp>
        <stp>2</stp>
        <stp>300730</stp>
        <stp>12/31/2018</stp>
        <tr r="H3065" s="1"/>
      </tp>
      <tp>
        <v>3.5579462872000001</v>
        <stp/>
        <stp>EM_S_FA_YOY_OR</stp>
        <stp>2</stp>
        <stp>600760</stp>
        <stp>12/31/2018</stp>
        <tr r="H1639" s="1"/>
      </tp>
      <tp>
        <v>28.787625045199999</v>
        <stp/>
        <stp>EM_S_FA_YOY_OR</stp>
        <stp>2</stp>
        <stp>000703</stp>
        <stp>12/31/2018</stp>
        <tr r="H1288" s="1"/>
      </tp>
      <tp>
        <v>-15.4058179342</v>
        <stp/>
        <stp>EM_S_FA_YOY_OR</stp>
        <stp>2</stp>
        <stp>300733</stp>
        <stp>12/31/2018</stp>
        <tr r="H3184" s="1"/>
      </tp>
      <tp>
        <v>31.050860205599999</v>
        <stp/>
        <stp>EM_S_FA_YOY_OR</stp>
        <stp>2</stp>
        <stp>600763</stp>
        <stp>12/31/2018</stp>
        <tr r="H136" s="1"/>
      </tp>
      <tp>
        <v>-0.48404151400000001</v>
        <stp/>
        <stp>EM_S_FA_YOY_OR</stp>
        <stp>2</stp>
        <stp>000702</stp>
        <stp>12/31/2018</stp>
        <tr r="H3516" s="1"/>
      </tp>
      <tp>
        <v>21.715007054400001</v>
        <stp/>
        <stp>EM_S_FA_YOY_OR</stp>
        <stp>2</stp>
        <stp>300732</stp>
        <stp>12/31/2018</stp>
        <tr r="H3364" s="1"/>
      </tp>
      <tp>
        <v>0</v>
        <stp/>
        <stp>EM_S_FA_YOY_OR</stp>
        <stp>2</stp>
        <stp>600762</stp>
        <stp>12/31/2018</stp>
        <tr r="H2320" s="1"/>
      </tp>
      <tp>
        <v>10.9869519464</v>
        <stp/>
        <stp>EM_S_FA_YOY_OR</stp>
        <stp>2</stp>
        <stp>000709</stp>
        <stp>12/31/2018</stp>
        <tr r="H2736" s="1"/>
      </tp>
      <tp>
        <v>7.3518228472000002</v>
        <stp/>
        <stp>EM_S_FA_YOY_OR</stp>
        <stp>2</stp>
        <stp>300739</stp>
        <stp>12/31/2018</stp>
        <tr r="H2754" s="1"/>
      </tp>
      <tp>
        <v>-36.076284922900001</v>
        <stp/>
        <stp>EM_S_FA_YOY_OR</stp>
        <stp>2</stp>
        <stp>600769</stp>
        <stp>12/31/2018</stp>
        <tr r="H695" s="1"/>
      </tp>
      <tp>
        <v>22.939139517499999</v>
        <stp/>
        <stp>EM_S_FA_YOY_OR</stp>
        <stp>2</stp>
        <stp>000708</stp>
        <stp>12/31/2018</stp>
        <tr r="H73" s="1"/>
      </tp>
      <tp>
        <v>8.5333502325000001</v>
        <stp/>
        <stp>EM_S_FA_YOY_OR</stp>
        <stp>2</stp>
        <stp>300738</stp>
        <stp>12/31/2018</stp>
        <tr r="H2898" s="1"/>
      </tp>
      <tp>
        <v>-8.2366616433999997</v>
        <stp/>
        <stp>EM_S_FA_YOY_OR</stp>
        <stp>2</stp>
        <stp>600768</stp>
        <stp>12/31/2018</stp>
        <tr r="H914" s="1"/>
      </tp>
      <tp>
        <v>3.7731766557999999</v>
        <stp/>
        <stp>EM_S_FA_YOY_OR</stp>
        <stp>2</stp>
        <stp>000715</stp>
        <stp>12/31/2018</stp>
        <tr r="H2071" s="1"/>
      </tp>
      <tp>
        <v>75.024094626999997</v>
        <stp/>
        <stp>EM_S_FA_YOY_OR</stp>
        <stp>2</stp>
        <stp>300725</stp>
        <stp>12/31/2018</stp>
        <tr r="H1231" s="1"/>
      </tp>
      <tp>
        <v>7.3612112918000001</v>
        <stp/>
        <stp>EM_S_FA_YOY_OR</stp>
        <stp>2</stp>
        <stp>600775</stp>
        <stp>12/31/2018</stp>
        <tr r="H1097" s="1"/>
      </tp>
      <tp>
        <v>6.8463054279</v>
        <stp/>
        <stp>EM_S_FA_YOY_OR</stp>
        <stp>2</stp>
        <stp>600774</stp>
        <stp>12/31/2018</stp>
        <tr r="H3117" s="1"/>
      </tp>
      <tp>
        <v>7.9544699682999997</v>
        <stp/>
        <stp>EM_S_FA_YOY_OR</stp>
        <stp>2</stp>
        <stp>000717</stp>
        <stp>12/31/2018</stp>
        <tr r="H2113" s="1"/>
      </tp>
      <tp>
        <v>41.3135812031</v>
        <stp/>
        <stp>EM_S_FA_YOY_OR</stp>
        <stp>2</stp>
        <stp>300727</stp>
        <stp>12/31/2018</stp>
        <tr r="H3144" s="1"/>
      </tp>
      <tp>
        <v>213.9857233832</v>
        <stp/>
        <stp>EM_S_FA_YOY_OR</stp>
        <stp>2</stp>
        <stp>600777</stp>
        <stp>12/31/2018</stp>
        <tr r="H1771" s="1"/>
      </tp>
      <tp>
        <v>43.027336419599997</v>
        <stp/>
        <stp>EM_S_FA_YOY_OR</stp>
        <stp>2</stp>
        <stp>000716</stp>
        <stp>12/31/2018</stp>
        <tr r="H812" s="1"/>
      </tp>
      <tp>
        <v>21.349312454900002</v>
        <stp/>
        <stp>EM_S_FA_YOY_OR</stp>
        <stp>2</stp>
        <stp>300726</stp>
        <stp>12/31/2018</stp>
        <tr r="H613" s="1"/>
      </tp>
      <tp>
        <v>-1.3319371269</v>
        <stp/>
        <stp>EM_S_FA_YOY_OR</stp>
        <stp>2</stp>
        <stp>600776</stp>
        <stp>12/31/2018</stp>
        <tr r="H255" s="1"/>
      </tp>
      <tp>
        <v>37.773584530800001</v>
        <stp/>
        <stp>EM_S_FA_YOY_OR</stp>
        <stp>2</stp>
        <stp>000711</stp>
        <stp>12/31/2018</stp>
        <tr r="H2850" s="1"/>
      </tp>
      <tp>
        <v>-7.0493073428999997</v>
        <stp/>
        <stp>EM_S_FA_YOY_OR</stp>
        <stp>2</stp>
        <stp>300721</stp>
        <stp>12/31/2018</stp>
        <tr r="H2599" s="1"/>
      </tp>
      <tp>
        <v>38.511597894099999</v>
        <stp/>
        <stp>EM_S_FA_YOY_OR</stp>
        <stp>2</stp>
        <stp>600771</stp>
        <stp>12/31/2018</stp>
        <tr r="H3341" s="1"/>
      </tp>
      <tp>
        <v>22.933716635100001</v>
        <stp/>
        <stp>EM_S_FA_YOY_OR</stp>
        <stp>2</stp>
        <stp>000710</stp>
        <stp>12/31/2018</stp>
        <tr r="H1684" s="1"/>
      </tp>
      <tp>
        <v>7.6101072960999998</v>
        <stp/>
        <stp>EM_S_FA_YOY_OR</stp>
        <stp>2</stp>
        <stp>300720</stp>
        <stp>12/31/2018</stp>
        <tr r="H3311" s="1"/>
      </tp>
      <tp>
        <v>-37.286107421200001</v>
        <stp/>
        <stp>EM_S_FA_YOY_OR</stp>
        <stp>2</stp>
        <stp>600770</stp>
        <stp>12/31/2018</stp>
        <tr r="H1467" s="1"/>
      </tp>
      <tp>
        <v>33.208460163399998</v>
        <stp/>
        <stp>EM_S_FA_YOY_OR</stp>
        <stp>2</stp>
        <stp>000713</stp>
        <stp>12/31/2018</stp>
        <tr r="H252" s="1"/>
      </tp>
      <tp>
        <v>3.574584046</v>
        <stp/>
        <stp>EM_S_FA_YOY_OR</stp>
        <stp>2</stp>
        <stp>300723</stp>
        <stp>12/31/2018</stp>
        <tr r="H648" s="1"/>
      </tp>
      <tp>
        <v>21.983013384100001</v>
        <stp/>
        <stp>EM_S_FA_YOY_OR</stp>
        <stp>2</stp>
        <stp>600773</stp>
        <stp>12/31/2018</stp>
        <tr r="H2483" s="1"/>
      </tp>
      <tp>
        <v>-16.734517432699999</v>
        <stp/>
        <stp>EM_S_FA_YOY_OR</stp>
        <stp>2</stp>
        <stp>000712</stp>
        <stp>12/31/2018</stp>
        <tr r="H3518" s="1"/>
      </tp>
      <tp>
        <v>6.7707988223999998</v>
        <stp/>
        <stp>EM_S_FA_YOY_OR</stp>
        <stp>2</stp>
        <stp>300722</stp>
        <stp>12/31/2018</stp>
        <tr r="H3251" s="1"/>
      </tp>
      <tp>
        <v>0</v>
        <stp/>
        <stp>EM_S_FA_YOY_OR</stp>
        <stp>2</stp>
        <stp>600772</stp>
        <stp>12/31/2018</stp>
        <tr r="H2321" s="1"/>
      </tp>
      <tp>
        <v>10.112600971399999</v>
        <stp/>
        <stp>EM_S_FA_YOY_OR</stp>
        <stp>2</stp>
        <stp>000719</stp>
        <stp>12/31/2018</stp>
        <tr r="H2726" s="1"/>
      </tp>
      <tp>
        <v>26.602957162199999</v>
        <stp/>
        <stp>EM_S_FA_YOY_OR</stp>
        <stp>2</stp>
        <stp>300729</stp>
        <stp>12/31/2018</stp>
        <tr r="H1886" s="1"/>
      </tp>
      <tp>
        <v>37.623979746499998</v>
        <stp/>
        <stp>EM_S_FA_YOY_OR</stp>
        <stp>2</stp>
        <stp>600779</stp>
        <stp>12/31/2018</stp>
        <tr r="H355" s="1"/>
      </tp>
      <tp>
        <v>-43.7620485315</v>
        <stp/>
        <stp>EM_S_FA_YOY_OR</stp>
        <stp>2</stp>
        <stp>000718</stp>
        <stp>12/31/2018</stp>
        <tr r="H3519" s="1"/>
      </tp>
      <tp>
        <v>0</v>
        <stp/>
        <stp>EM_S_FA_YOY_OR</stp>
        <stp>2</stp>
        <stp>300728</stp>
        <stp>12/31/2018</stp>
        <tr r="H11" s="1"/>
      </tp>
      <tp>
        <v>-4.2710573595000003</v>
        <stp/>
        <stp>EM_S_FA_YOY_OR</stp>
        <stp>2</stp>
        <stp>600778</stp>
        <stp>12/31/2018</stp>
        <tr r="H1299" s="1"/>
      </tp>
      <tp>
        <v>3.5270456480000001</v>
        <stp/>
        <stp>EM_S_FA_YOY_OR</stp>
        <stp>2</stp>
        <stp>000725</stp>
        <stp>12/31/2018</stp>
        <tr r="H291" s="1"/>
      </tp>
      <tp>
        <v>57.093793952600002</v>
        <stp/>
        <stp>EM_S_FA_YOY_OR</stp>
        <stp>2</stp>
        <stp>300715</stp>
        <stp>12/31/2018</stp>
        <tr r="H1509" s="1"/>
      </tp>
      <tp>
        <v>2.4761777377</v>
        <stp/>
        <stp>EM_S_FA_YOY_OR</stp>
        <stp>2</stp>
        <stp>600745</stp>
        <stp>12/31/2018</stp>
        <tr r="H24" s="1"/>
      </tp>
      <tp>
        <v>30.680575780400002</v>
        <stp/>
        <stp>EM_S_FA_YOY_OR</stp>
        <stp>2</stp>
        <stp>600744</stp>
        <stp>12/31/2018</stp>
        <tr r="H2416" s="1"/>
      </tp>
      <tp>
        <v>-4.8741937085</v>
        <stp/>
        <stp>EM_S_FA_YOY_OR</stp>
        <stp>2</stp>
        <stp>000727</stp>
        <stp>12/31/2018</stp>
        <tr r="H3520" s="1"/>
      </tp>
      <tp>
        <v>8.0182960170000008</v>
        <stp/>
        <stp>EM_S_FA_YOY_OR</stp>
        <stp>2</stp>
        <stp>300717</stp>
        <stp>12/31/2018</stp>
        <tr r="H1526" s="1"/>
      </tp>
      <tp>
        <v>5.8168794805999999</v>
        <stp/>
        <stp>EM_S_FA_YOY_OR</stp>
        <stp>2</stp>
        <stp>600747</stp>
        <stp>12/31/2018</stp>
        <tr r="H3404" s="1"/>
      </tp>
      <tp>
        <v>7.3306029819000003</v>
        <stp/>
        <stp>EM_S_FA_YOY_OR</stp>
        <stp>2</stp>
        <stp>000726</stp>
        <stp>12/31/2018</stp>
        <tr r="H2606" s="1"/>
      </tp>
      <tp>
        <v>44.132627132000003</v>
        <stp/>
        <stp>EM_S_FA_YOY_OR</stp>
        <stp>2</stp>
        <stp>300716</stp>
        <stp>12/31/2018</stp>
        <tr r="H2689" s="1"/>
      </tp>
      <tp>
        <v>-38.978129139499998</v>
        <stp/>
        <stp>EM_S_FA_YOY_OR</stp>
        <stp>2</stp>
        <stp>600746</stp>
        <stp>12/31/2018</stp>
        <tr r="H1254" s="1"/>
      </tp>
      <tp>
        <v>0.45466243150000002</v>
        <stp/>
        <stp>EM_S_FA_YOY_OR</stp>
        <stp>2</stp>
        <stp>000721</stp>
        <stp>12/31/2018</stp>
        <tr r="H2092" s="1"/>
      </tp>
      <tp>
        <v>-23.1644224295</v>
        <stp/>
        <stp>EM_S_FA_YOY_OR</stp>
        <stp>2</stp>
        <stp>300711</stp>
        <stp>12/31/2018</stp>
        <tr r="H3178" s="1"/>
      </tp>
      <tp>
        <v>11.875087926400001</v>
        <stp/>
        <stp>EM_S_FA_YOY_OR</stp>
        <stp>2</stp>
        <stp>600741</stp>
        <stp>12/31/2018</stp>
        <tr r="H766" s="1"/>
      </tp>
      <tp>
        <v>-5.1668194134999998</v>
        <stp/>
        <stp>EM_S_FA_YOY_OR</stp>
        <stp>2</stp>
        <stp>000720</stp>
        <stp>12/31/2018</stp>
        <tr r="H432" s="1"/>
      </tp>
      <tp>
        <v>-17.895017878000001</v>
        <stp/>
        <stp>EM_S_FA_YOY_OR</stp>
        <stp>2</stp>
        <stp>300710</stp>
        <stp>12/31/2018</stp>
        <tr r="H1068" s="1"/>
      </tp>
      <tp>
        <v>20.583547061299999</v>
        <stp/>
        <stp>EM_S_FA_YOY_OR</stp>
        <stp>2</stp>
        <stp>600740</stp>
        <stp>12/31/2018</stp>
        <tr r="H2680" s="1"/>
      </tp>
      <tp>
        <v>23.768788963799999</v>
        <stp/>
        <stp>EM_S_FA_YOY_OR</stp>
        <stp>2</stp>
        <stp>000723</stp>
        <stp>12/31/2018</stp>
        <tr r="H44" s="1"/>
      </tp>
      <tp>
        <v>-19.2653987319</v>
        <stp/>
        <stp>EM_S_FA_YOY_OR</stp>
        <stp>2</stp>
        <stp>300713</stp>
        <stp>12/31/2018</stp>
        <tr r="H3292" s="1"/>
      </tp>
      <tp>
        <v>-31.022791551800001</v>
        <stp/>
        <stp>EM_S_FA_YOY_OR</stp>
        <stp>2</stp>
        <stp>600743</stp>
        <stp>12/31/2018</stp>
        <tr r="H2138" s="1"/>
      </tp>
      <tp>
        <v>9.0898847029999992</v>
        <stp/>
        <stp>EM_S_FA_YOY_OR</stp>
        <stp>2</stp>
        <stp>000722</stp>
        <stp>12/31/2018</stp>
        <tr r="H1665" s="1"/>
      </tp>
      <tp>
        <v>21.5394149418</v>
        <stp/>
        <stp>EM_S_FA_YOY_OR</stp>
        <stp>2</stp>
        <stp>300712</stp>
        <stp>12/31/2018</stp>
        <tr r="H3068" s="1"/>
      </tp>
      <tp>
        <v>6.8705041317999997</v>
        <stp/>
        <stp>EM_S_FA_YOY_OR</stp>
        <stp>2</stp>
        <stp>600742</stp>
        <stp>12/31/2018</stp>
        <tr r="H1197" s="1"/>
      </tp>
      <tp>
        <v>1.3236797760000001</v>
        <stp/>
        <stp>EM_S_FA_YOY_OR</stp>
        <stp>2</stp>
        <stp>000729</stp>
        <stp>12/31/2018</stp>
        <tr r="H1469" s="1"/>
      </tp>
      <tp>
        <v>13.541935495700001</v>
        <stp/>
        <stp>EM_S_FA_YOY_OR</stp>
        <stp>2</stp>
        <stp>300719</stp>
        <stp>12/31/2018</stp>
        <tr r="H1490" s="1"/>
      </tp>
      <tp>
        <v>26.100692654700001</v>
        <stp/>
        <stp>EM_S_FA_YOY_OR</stp>
        <stp>2</stp>
        <stp>600749</stp>
        <stp>12/31/2018</stp>
        <tr r="H2258" s="1"/>
      </tp>
      <tp>
        <v>-27.7094087997</v>
        <stp/>
        <stp>EM_S_FA_YOY_OR</stp>
        <stp>2</stp>
        <stp>000728</stp>
        <stp>12/31/2018</stp>
        <tr r="H3521" s="1"/>
      </tp>
      <tp>
        <v>16.956861307899999</v>
        <stp/>
        <stp>EM_S_FA_YOY_OR</stp>
        <stp>2</stp>
        <stp>300718</stp>
        <stp>12/31/2018</stp>
        <tr r="H730" s="1"/>
      </tp>
      <tp>
        <v>18.014384167999999</v>
        <stp/>
        <stp>EM_S_FA_YOY_OR</stp>
        <stp>2</stp>
        <stp>600748</stp>
        <stp>12/31/2018</stp>
        <tr r="H1694" s="1"/>
      </tp>
      <tp>
        <v>-13.626708776999999</v>
        <stp/>
        <stp>EM_S_FA_YOY_OR</stp>
        <stp>2</stp>
        <stp>000735</stp>
        <stp>12/31/2018</stp>
        <tr r="H3523" s="1"/>
      </tp>
      <tp>
        <v>49.925672760099999</v>
        <stp/>
        <stp>EM_S_FA_YOY_OR</stp>
        <stp>2</stp>
        <stp>300705</stp>
        <stp>12/31/2018</stp>
        <tr r="H2226" s="1"/>
      </tp>
      <tp>
        <v>24.845018654</v>
        <stp/>
        <stp>EM_S_FA_YOY_OR</stp>
        <stp>2</stp>
        <stp>600755</stp>
        <stp>12/31/2018</stp>
        <tr r="H1998" s="1"/>
      </tp>
      <tp>
        <v>8.2078377970999998</v>
        <stp/>
        <stp>EM_S_FA_YOY_OR</stp>
        <stp>2</stp>
        <stp>600754</stp>
        <stp>12/31/2018</stp>
        <tr r="H789" s="1"/>
      </tp>
      <tp>
        <v>-2.4237771027999999</v>
        <stp/>
        <stp>EM_S_FA_YOY_OR</stp>
        <stp>2</stp>
        <stp>000737</stp>
        <stp>12/31/2018</stp>
        <tr r="H3524" s="1"/>
      </tp>
      <tp>
        <v>16.48948145</v>
        <stp/>
        <stp>EM_S_FA_YOY_OR</stp>
        <stp>2</stp>
        <stp>300707</stp>
        <stp>12/31/2018</stp>
        <tr r="H1481" s="1"/>
      </tp>
      <tp>
        <v>-7.7385462406999999</v>
        <stp/>
        <stp>EM_S_FA_YOY_OR</stp>
        <stp>2</stp>
        <stp>600757</stp>
        <stp>12/31/2018</stp>
        <tr r="H2613" s="1"/>
      </tp>
      <tp>
        <v>42.913861050999998</v>
        <stp/>
        <stp>EM_S_FA_YOY_OR</stp>
        <stp>2</stp>
        <stp>000736</stp>
        <stp>12/31/2018</stp>
        <tr r="H2610" s="1"/>
      </tp>
      <tp>
        <v>8.6885949519000008</v>
        <stp/>
        <stp>EM_S_FA_YOY_OR</stp>
        <stp>2</stp>
        <stp>300706</stp>
        <stp>12/31/2018</stp>
        <tr r="H1440" s="1"/>
      </tp>
      <tp>
        <v>-6.8827638611999999</v>
        <stp/>
        <stp>EM_S_FA_YOY_OR</stp>
        <stp>2</stp>
        <stp>600756</stp>
        <stp>12/31/2018</stp>
        <tr r="H829" s="1"/>
      </tp>
      <tp>
        <v>4.4271797831999997</v>
        <stp/>
        <stp>EM_S_FA_YOY_OR</stp>
        <stp>2</stp>
        <stp>000731</stp>
        <stp>12/31/2018</stp>
        <tr r="H2107" s="1"/>
      </tp>
      <tp>
        <v>3.3082691915</v>
        <stp/>
        <stp>EM_S_FA_YOY_OR</stp>
        <stp>2</stp>
        <stp>300701</stp>
        <stp>12/31/2018</stp>
        <tr r="H2221" s="1"/>
      </tp>
      <tp>
        <v>6.6607486211999998</v>
        <stp/>
        <stp>EM_S_FA_YOY_OR</stp>
        <stp>2</stp>
        <stp>600751</stp>
        <stp>12/31/2018</stp>
        <tr r="H1828" s="1"/>
      </tp>
      <tp>
        <v>39.298791490699998</v>
        <stp/>
        <stp>EM_S_FA_YOY_OR</stp>
        <stp>2</stp>
        <stp>000730</stp>
        <stp>12/31/2018</stp>
        <tr r="H2278" s="1"/>
      </tp>
      <tp>
        <v>-24.219234890999999</v>
        <stp/>
        <stp>EM_S_FA_YOY_OR</stp>
        <stp>2</stp>
        <stp>300700</stp>
        <stp>12/31/2018</stp>
        <tr r="H3042" s="1"/>
      </tp>
      <tp>
        <v>0.49159994099999998</v>
        <stp/>
        <stp>EM_S_FA_YOY_OR</stp>
        <stp>2</stp>
        <stp>600750</stp>
        <stp>12/31/2018</stp>
        <tr r="H3185" s="1"/>
      </tp>
      <tp>
        <v>-33.428735956300002</v>
        <stp/>
        <stp>EM_S_FA_YOY_OR</stp>
        <stp>2</stp>
        <stp>000733</stp>
        <stp>12/31/2018</stp>
        <tr r="H3522" s="1"/>
      </tp>
      <tp>
        <v>18.1252101117</v>
        <stp/>
        <stp>EM_S_FA_YOY_OR</stp>
        <stp>2</stp>
        <stp>300703</stp>
        <stp>12/31/2018</stp>
        <tr r="H3050" s="1"/>
      </tp>
      <tp>
        <v>457.51836550209998</v>
        <stp/>
        <stp>EM_S_FA_YOY_OR</stp>
        <stp>2</stp>
        <stp>600753</stp>
        <stp>12/31/2018</stp>
        <tr r="H1909" s="1"/>
      </tp>
      <tp>
        <v>27.346629439600001</v>
        <stp/>
        <stp>EM_S_FA_YOY_OR</stp>
        <stp>2</stp>
        <stp>000732</stp>
        <stp>12/31/2018</stp>
        <tr r="H3385" s="1"/>
      </tp>
      <tp>
        <v>23.451788610000001</v>
        <stp/>
        <stp>EM_S_FA_YOY_OR</stp>
        <stp>2</stp>
        <stp>300702</stp>
        <stp>12/31/2018</stp>
        <tr r="H105" s="1"/>
      </tp>
      <tp>
        <v>0</v>
        <stp/>
        <stp>EM_S_FA_YOY_OR</stp>
        <stp>2</stp>
        <stp>600752</stp>
        <stp>12/31/2018</stp>
        <tr r="H2319" s="1"/>
      </tp>
      <tp>
        <v>14.853616117</v>
        <stp/>
        <stp>EM_S_FA_YOY_OR</stp>
        <stp>2</stp>
        <stp>000739</stp>
        <stp>12/31/2018</stp>
        <tr r="H340" s="1"/>
      </tp>
      <tp>
        <v>-4.3340552442</v>
        <stp/>
        <stp>EM_S_FA_YOY_OR</stp>
        <stp>2</stp>
        <stp>300709</stp>
        <stp>12/31/2018</stp>
        <tr r="H30" s="1"/>
      </tp>
      <tp>
        <v>16.667306169100002</v>
        <stp/>
        <stp>EM_S_FA_YOY_OR</stp>
        <stp>2</stp>
        <stp>600759</stp>
        <stp>12/31/2018</stp>
        <tr r="H1390" s="1"/>
      </tp>
      <tp>
        <v>7.5645674099000004</v>
        <stp/>
        <stp>EM_S_FA_YOY_OR</stp>
        <stp>2</stp>
        <stp>000738</stp>
        <stp>12/31/2018</stp>
        <tr r="H1824" s="1"/>
      </tp>
      <tp>
        <v>-10.021106858</v>
        <stp/>
        <stp>EM_S_FA_YOY_OR</stp>
        <stp>2</stp>
        <stp>300708</stp>
        <stp>12/31/2018</stp>
        <tr r="H1073" s="1"/>
      </tp>
      <tp>
        <v>-4.9417217019999997</v>
        <stp/>
        <stp>EM_S_FA_YOY_OR</stp>
        <stp>2</stp>
        <stp>600758</stp>
        <stp>12/31/2018</stp>
        <tr r="H884" s="1"/>
      </tp>
      <tp>
        <v>105.8583925466</v>
        <stp/>
        <stp>EM_S_FA_YOY_OR</stp>
        <stp>2</stp>
        <stp>600725</stp>
        <stp>12/31/2018</stp>
        <tr r="H1728" s="1"/>
      </tp>
      <tp>
        <v>24.200119881100001</v>
        <stp/>
        <stp>EM_S_FA_YOY_OR</stp>
        <stp>2</stp>
        <stp>600724</stp>
        <stp>12/31/2018</stp>
        <tr r="H1617" s="1"/>
      </tp>
      <tp>
        <v>8.2598031468999995</v>
        <stp/>
        <stp>EM_S_FA_YOY_OR</stp>
        <stp>2</stp>
        <stp>600727</stp>
        <stp>12/31/2018</stp>
        <tr r="H964" s="1"/>
      </tp>
      <tp>
        <v>7.9842599478</v>
        <stp/>
        <stp>EM_S_FA_YOY_OR</stp>
        <stp>2</stp>
        <stp>600726</stp>
        <stp>12/31/2018</stp>
        <tr r="H3137" s="1"/>
      </tp>
      <tp>
        <v>-7.4636071999999998E-2</v>
        <stp/>
        <stp>EM_S_FA_YOY_OR</stp>
        <stp>2</stp>
        <stp>600721</stp>
        <stp>12/31/2018</stp>
        <tr r="H1284" s="1"/>
      </tp>
      <tp>
        <v>-3.2537296556999999</v>
        <stp/>
        <stp>EM_S_FA_YOY_OR</stp>
        <stp>2</stp>
        <stp>600720</stp>
        <stp>12/31/2018</stp>
        <tr r="H201" s="1"/>
      </tp>
      <tp>
        <v>-1.3505215590999999</v>
        <stp/>
        <stp>EM_S_FA_YOY_OR</stp>
        <stp>2</stp>
        <stp>600723</stp>
        <stp>12/31/2018</stp>
        <tr r="H2405" s="1"/>
      </tp>
      <tp>
        <v>22.6984935636</v>
        <stp/>
        <stp>EM_S_FA_YOY_OR</stp>
        <stp>2</stp>
        <stp>600722</stp>
        <stp>12/31/2018</stp>
        <tr r="H2048" s="1"/>
      </tp>
      <tp>
        <v>3.5500733133</v>
        <stp/>
        <stp>EM_S_FA_YOY_OR</stp>
        <stp>2</stp>
        <stp>600729</stp>
        <stp>12/31/2018</stp>
        <tr r="H2021" s="1"/>
      </tp>
      <tp>
        <v>0</v>
        <stp/>
        <stp>EM_S_FA_YOY_OR</stp>
        <stp>2</stp>
        <stp>000748</stp>
        <stp>12/31/2018</stp>
        <tr r="H3525" s="1"/>
      </tp>
      <tp>
        <v>8.5388346410999993</v>
        <stp/>
        <stp>EM_S_FA_YOY_OR</stp>
        <stp>2</stp>
        <stp>600728</stp>
        <stp>12/31/2018</stp>
        <tr r="H794" s="1"/>
      </tp>
      <tp>
        <v>-51.673445138600002</v>
        <stp/>
        <stp>EM_S_FA_YOY_OR</stp>
        <stp>2</stp>
        <stp>000755</stp>
        <stp>12/31/2018</stp>
        <tr r="H3528" s="1"/>
      </tp>
      <tp>
        <v>0.63088664559999996</v>
        <stp/>
        <stp>EM_S_FA_YOY_OR</stp>
        <stp>2</stp>
        <stp>600735</stp>
        <stp>12/31/2018</stp>
        <tr r="H990" s="1"/>
      </tp>
      <tp>
        <v>4.4037801697000001</v>
        <stp/>
        <stp>EM_S_FA_YOY_OR</stp>
        <stp>2</stp>
        <stp>600734</stp>
        <stp>12/31/2018</stp>
        <tr r="H1850" s="1"/>
      </tp>
      <tp>
        <v>3.0673034266000001</v>
        <stp/>
        <stp>EM_S_FA_YOY_OR</stp>
        <stp>2</stp>
        <stp>000757</stp>
        <stp>12/31/2018</stp>
        <tr r="H2835" s="1"/>
      </tp>
      <tp>
        <v>-8.5728077389999999</v>
        <stp/>
        <stp>EM_S_FA_YOY_OR</stp>
        <stp>2</stp>
        <stp>600737</stp>
        <stp>12/31/2018</stp>
        <tr r="H1484" s="1"/>
      </tp>
      <tp>
        <v>15.3276232272</v>
        <stp/>
        <stp>EM_S_FA_YOY_OR</stp>
        <stp>2</stp>
        <stp>000756</stp>
        <stp>12/31/2018</stp>
        <tr r="H945" s="1"/>
      </tp>
      <tp>
        <v>16.6442753613</v>
        <stp/>
        <stp>EM_S_FA_YOY_OR</stp>
        <stp>2</stp>
        <stp>600736</stp>
        <stp>12/31/2018</stp>
        <tr r="H1764" s="1"/>
      </tp>
      <tp>
        <v>24.749636666299999</v>
        <stp/>
        <stp>EM_S_FA_YOY_OR</stp>
        <stp>2</stp>
        <stp>000751</stp>
        <stp>12/31/2018</stp>
        <tr r="H1531" s="1"/>
      </tp>
      <tp>
        <v>33.6684949172</v>
        <stp/>
        <stp>EM_S_FA_YOY_OR</stp>
        <stp>2</stp>
        <stp>600731</stp>
        <stp>12/31/2018</stp>
        <tr r="H296" s="1"/>
      </tp>
      <tp>
        <v>-20.169394553899998</v>
        <stp/>
        <stp>EM_S_FA_YOY_OR</stp>
        <stp>2</stp>
        <stp>000750</stp>
        <stp>12/31/2018</stp>
        <tr r="H3526" s="1"/>
      </tp>
      <tp>
        <v>-62.781824265700003</v>
        <stp/>
        <stp>EM_S_FA_YOY_OR</stp>
        <stp>2</stp>
        <stp>600730</stp>
        <stp>12/31/2018</stp>
        <tr r="H2242" s="1"/>
      </tp>
      <tp>
        <v>12.0375323165</v>
        <stp/>
        <stp>EM_S_FA_YOY_OR</stp>
        <stp>2</stp>
        <stp>000753</stp>
        <stp>12/31/2018</stp>
        <tr r="H2257" s="1"/>
      </tp>
      <tp>
        <v>43.020372207100003</v>
        <stp/>
        <stp>EM_S_FA_YOY_OR</stp>
        <stp>2</stp>
        <stp>600733</stp>
        <stp>12/31/2018</stp>
        <tr r="H3186" s="1"/>
      </tp>
      <tp>
        <v>-10.630525995699999</v>
        <stp/>
        <stp>EM_S_FA_YOY_OR</stp>
        <stp>2</stp>
        <stp>000752</stp>
        <stp>12/31/2018</stp>
        <tr r="H3527" s="1"/>
      </tp>
      <tp>
        <v>241.2447151751</v>
        <stp/>
        <stp>EM_S_FA_YOY_OR</stp>
        <stp>2</stp>
        <stp>600732</stp>
        <stp>12/31/2018</stp>
        <tr r="H281" s="1"/>
      </tp>
      <tp>
        <v>1.55931935E-2</v>
        <stp/>
        <stp>EM_S_FA_YOY_OR</stp>
        <stp>2</stp>
        <stp>000759</stp>
        <stp>12/31/2018</stp>
        <tr r="H752" s="1"/>
      </tp>
      <tp>
        <v>37.691211813300001</v>
        <stp/>
        <stp>EM_S_FA_YOY_OR</stp>
        <stp>2</stp>
        <stp>600739</stp>
        <stp>12/31/2018</stp>
        <tr r="H642" s="1"/>
      </tp>
      <tp>
        <v>-4.0531811297000004</v>
        <stp/>
        <stp>EM_S_FA_YOY_OR</stp>
        <stp>2</stp>
        <stp>000758</stp>
        <stp>12/31/2018</stp>
        <tr r="H3529" s="1"/>
      </tp>
      <tp>
        <v>1.1819365739000001</v>
        <stp/>
        <stp>EM_S_FA_YOY_OR</stp>
        <stp>2</stp>
        <stp>600738</stp>
        <stp>12/31/2018</stp>
        <tr r="H2955" s="1"/>
      </tp>
      <tp>
        <v>-19.996294010700002</v>
        <stp/>
        <stp>EM_S_FA_YOY_OR</stp>
        <stp>2</stp>
        <stp>000765</stp>
        <stp>12/31/2018</stp>
        <tr r="H3533" s="1"/>
      </tp>
      <tp>
        <v>30.517784435900001</v>
        <stp/>
        <stp>EM_S_FA_YOY_OR</stp>
        <stp>2</stp>
        <stp>600705</stp>
        <stp>12/31/2018</stp>
        <tr r="H1501" s="1"/>
      </tp>
      <tp>
        <v>8.6553718503999999</v>
        <stp/>
        <stp>EM_S_FA_YOY_OR</stp>
        <stp>2</stp>
        <stp>600704</stp>
        <stp>12/31/2018</stp>
        <tr r="H1522" s="1"/>
      </tp>
      <tp>
        <v>17.9570431866</v>
        <stp/>
        <stp>EM_S_FA_YOY_OR</stp>
        <stp>2</stp>
        <stp>000767</stp>
        <stp>12/31/2018</stp>
        <tr r="H2442" s="1"/>
      </tp>
      <tp>
        <v>326.06373196560003</v>
        <stp/>
        <stp>EM_S_FA_YOY_OR</stp>
        <stp>2</stp>
        <stp>600707</stp>
        <stp>12/31/2018</stp>
        <tr r="H2050" s="1"/>
      </tp>
      <tp>
        <v>37.671565827099997</v>
        <stp/>
        <stp>EM_S_FA_YOY_OR</stp>
        <stp>2</stp>
        <stp>000766</stp>
        <stp>12/31/2018</stp>
        <tr r="H2592" s="1"/>
      </tp>
      <tp>
        <v>18.780996621700002</v>
        <stp/>
        <stp>EM_S_FA_YOY_OR</stp>
        <stp>2</stp>
        <stp>600706</stp>
        <stp>12/31/2018</stp>
        <tr r="H2912" s="1"/>
      </tp>
      <tp>
        <v>23.881821627699999</v>
        <stp/>
        <stp>EM_S_FA_YOY_OR</stp>
        <stp>2</stp>
        <stp>000761</stp>
        <stp>12/31/2018</stp>
        <tr r="H1372" s="1"/>
      </tp>
      <tp>
        <v>-90.086128182099998</v>
        <stp/>
        <stp>EM_S_FA_YOY_OR</stp>
        <stp>2</stp>
        <stp>600701</stp>
        <stp>12/31/2018</stp>
        <tr r="H3066" s="1"/>
      </tp>
      <tp>
        <v>43.718132053600002</v>
        <stp/>
        <stp>EM_S_FA_YOY_OR</stp>
        <stp>2</stp>
        <stp>000760</stp>
        <stp>12/31/2018</stp>
        <tr r="H3530" s="1"/>
      </tp>
      <tp>
        <v>48.079569693499998</v>
        <stp/>
        <stp>EM_S_FA_YOY_OR</stp>
        <stp>2</stp>
        <stp>300750</stp>
        <stp>12/31/2018</stp>
        <tr r="H579" s="1"/>
      </tp>
      <tp>
        <v>-17.036452762</v>
        <stp/>
        <stp>EM_S_FA_YOY_OR</stp>
        <stp>2</stp>
        <stp>600700</stp>
        <stp>12/31/2018</stp>
        <tr r="H2317" s="1"/>
      </tp>
      <tp>
        <v>0</v>
        <stp/>
        <stp>EM_S_FA_YOY_OR</stp>
        <stp>2</stp>
        <stp>000763</stp>
        <stp>12/31/2018</stp>
        <tr r="H3532" s="1"/>
      </tp>
      <tp>
        <v>-0.34968450169999998</v>
        <stp/>
        <stp>EM_S_FA_YOY_OR</stp>
        <stp>2</stp>
        <stp>600703</stp>
        <stp>12/31/2018</stp>
        <tr r="H375" s="1"/>
      </tp>
      <tp>
        <v>-25.138936732299999</v>
        <stp/>
        <stp>EM_S_FA_YOY_OR</stp>
        <stp>2</stp>
        <stp>000762</stp>
        <stp>12/31/2018</stp>
        <tr r="H3531" s="1"/>
      </tp>
      <tp>
        <v>35.0247620273</v>
        <stp/>
        <stp>EM_S_FA_YOY_OR</stp>
        <stp>2</stp>
        <stp>600702</stp>
        <stp>12/31/2018</stp>
        <tr r="H882" s="1"/>
      </tp>
      <tp>
        <v>1212.8025160406</v>
        <stp/>
        <stp>EM_S_FA_YOY_OR</stp>
        <stp>2</stp>
        <stp>000769</stp>
        <stp>12/31/2018</stp>
        <tr r="H2279" s="1"/>
      </tp>
      <tp>
        <v>-37.229416921599999</v>
        <stp/>
        <stp>EM_S_FA_YOY_OR</stp>
        <stp>2</stp>
        <stp>600709</stp>
        <stp>12/31/2018</stp>
        <tr r="H2318" s="1"/>
      </tp>
      <tp>
        <v>7.6883209280000004</v>
        <stp/>
        <stp>EM_S_FA_YOY_OR</stp>
        <stp>2</stp>
        <stp>000768</stp>
        <stp>12/31/2018</stp>
        <tr r="H1149" s="1"/>
      </tp>
      <tp>
        <v>-1.525583629</v>
        <stp/>
        <stp>EM_S_FA_YOY_OR</stp>
        <stp>2</stp>
        <stp>600708</stp>
        <stp>12/31/2018</stp>
        <tr r="H2225" s="1"/>
      </tp>
      <tp>
        <v>46.140745847200002</v>
        <stp/>
        <stp>EM_S_FA_YOY_OR</stp>
        <stp>2</stp>
        <stp>300745</stp>
        <stp>12/31/2018</stp>
        <tr r="H3282" s="1"/>
      </tp>
      <tp>
        <v>-8.4053185631999998</v>
        <stp/>
        <stp>EM_S_FA_YOY_OR</stp>
        <stp>2</stp>
        <stp>600715</stp>
        <stp>12/31/2018</stp>
        <tr r="H3118" s="1"/>
      </tp>
      <tp>
        <v>72.547200790800005</v>
        <stp/>
        <stp>EM_S_FA_YOY_OR</stp>
        <stp>2</stp>
        <stp>600714</stp>
        <stp>12/31/2018</stp>
        <tr r="H2212" s="1"/>
      </tp>
      <tp>
        <v>40.333666245000003</v>
        <stp/>
        <stp>EM_S_FA_YOY_OR</stp>
        <stp>2</stp>
        <stp>000777</stp>
        <stp>12/31/2018</stp>
        <tr r="H1259" s="1"/>
      </tp>
      <tp>
        <v>53.625151000499997</v>
        <stp/>
        <stp>EM_S_FA_YOY_OR</stp>
        <stp>2</stp>
        <stp>300747</stp>
        <stp>12/31/2018</stp>
        <tr r="H2959" s="1"/>
      </tp>
      <tp>
        <v>-8.2316509511000007</v>
        <stp/>
        <stp>EM_S_FA_YOY_OR</stp>
        <stp>2</stp>
        <stp>600717</stp>
        <stp>12/31/2018</stp>
        <tr r="H2806" s="1"/>
      </tp>
      <tp>
        <v>-29.432224785399999</v>
        <stp/>
        <stp>EM_S_FA_YOY_OR</stp>
        <stp>2</stp>
        <stp>000776</stp>
        <stp>12/31/2018</stp>
        <tr r="H3534" s="1"/>
      </tp>
      <tp>
        <v>30.073730713100002</v>
        <stp/>
        <stp>EM_S_FA_YOY_OR</stp>
        <stp>2</stp>
        <stp>300746</stp>
        <stp>12/31/2018</stp>
        <tr r="H3170" s="1"/>
      </tp>
      <tp>
        <v>-22.049082122800002</v>
        <stp/>
        <stp>EM_S_FA_YOY_OR</stp>
        <stp>2</stp>
        <stp>600716</stp>
        <stp>12/31/2018</stp>
        <tr r="H954" s="1"/>
      </tp>
      <tp>
        <v>-1.3037006606999999</v>
        <stp/>
        <stp>EM_S_FA_YOY_OR</stp>
        <stp>2</stp>
        <stp>300741</stp>
        <stp>12/31/2018</stp>
        <tr r="H2360" s="1"/>
      </tp>
      <tp>
        <v>48.519120925499998</v>
        <stp/>
        <stp>EM_S_FA_YOY_OR</stp>
        <stp>2</stp>
        <stp>600711</stp>
        <stp>12/31/2018</stp>
        <tr r="H1456" s="1"/>
      </tp>
      <tp>
        <v>36.3786686495</v>
        <stp/>
        <stp>EM_S_FA_YOY_OR</stp>
        <stp>2</stp>
        <stp>300740</stp>
        <stp>12/31/2018</stp>
        <tr r="H3353" s="1"/>
      </tp>
      <tp>
        <v>10.6270989658</v>
        <stp/>
        <stp>EM_S_FA_YOY_OR</stp>
        <stp>2</stp>
        <stp>600710</stp>
        <stp>12/31/2018</stp>
        <tr r="H584" s="1"/>
      </tp>
      <tp>
        <v>7.6512954055</v>
        <stp/>
        <stp>EM_S_FA_YOY_OR</stp>
        <stp>2</stp>
        <stp>300743</stp>
        <stp>12/31/2018</stp>
        <tr r="H3368" s="1"/>
      </tp>
      <tp>
        <v>8.6524012329000008</v>
        <stp/>
        <stp>EM_S_FA_YOY_OR</stp>
        <stp>2</stp>
        <stp>600713</stp>
        <stp>12/31/2018</stp>
        <tr r="H1785" s="1"/>
      </tp>
      <tp>
        <v>-45.191616926599998</v>
        <stp/>
        <stp>EM_S_FA_YOY_OR</stp>
        <stp>2</stp>
        <stp>300742</stp>
        <stp>12/31/2018</stp>
        <tr r="H3334" s="1"/>
      </tp>
      <tp>
        <v>-8.2529429904999994</v>
        <stp/>
        <stp>EM_S_FA_YOY_OR</stp>
        <stp>2</stp>
        <stp>600712</stp>
        <stp>12/31/2018</stp>
        <tr r="H59" s="1"/>
      </tp>
      <tp>
        <v>10.4003613842</v>
        <stp/>
        <stp>EM_S_FA_YOY_OR</stp>
        <stp>2</stp>
        <stp>000779</stp>
        <stp>12/31/2018</stp>
        <tr r="H1367" s="1"/>
      </tp>
      <tp>
        <v>-6.5481678057000003</v>
        <stp/>
        <stp>EM_S_FA_YOY_OR</stp>
        <stp>2</stp>
        <stp>600719</stp>
        <stp>12/31/2018</stp>
        <tr r="H1059" s="1"/>
      </tp>
      <tp>
        <v>-1.9864596746000001</v>
        <stp/>
        <stp>EM_S_FA_YOY_OR</stp>
        <stp>2</stp>
        <stp>000778</stp>
        <stp>12/31/2018</stp>
        <tr r="H3535" s="1"/>
      </tp>
      <tp>
        <v>0.55263710150000001</v>
        <stp/>
        <stp>EM_S_FA_YOY_OR</stp>
        <stp>2</stp>
        <stp>600718</stp>
        <stp>12/31/2018</stp>
        <tr r="H2488" s="1"/>
      </tp>
      <tp>
        <v>-2.0245935722000001</v>
        <stp/>
        <stp>EM_S_FA_YOY_OR</stp>
        <stp>2</stp>
        <stp>000488</stp>
        <stp>12/31/2018</stp>
        <tr r="H3427" s="1"/>
      </tp>
      <tp>
        <v>19.246708874399999</v>
        <stp/>
        <stp>EM_S_FA_YOY_OR</stp>
        <stp>2</stp>
        <stp>000498</stp>
        <stp>12/31/2018</stp>
        <tr r="H2686" s="1"/>
      </tp>
      <tp>
        <v>-0.2076265175</v>
        <stp/>
        <stp>EM_S_FA_YOY_OR</stp>
        <stp>2</stp>
        <stp>300495</stp>
        <stp>12/31/2018</stp>
        <tr r="H2945" s="1"/>
      </tp>
      <tp>
        <v>27.383564535800001</v>
        <stp/>
        <stp>EM_S_FA_YOY_OR</stp>
        <stp>2</stp>
        <stp>300494</stp>
        <stp>12/31/2018</stp>
        <tr r="H404" s="1"/>
      </tp>
      <tp>
        <v>21.424934745000002</v>
        <stp/>
        <stp>EM_S_FA_YOY_OR</stp>
        <stp>2</stp>
        <stp>300497</stp>
        <stp>12/31/2018</stp>
        <tr r="H2053" s="1"/>
      </tp>
      <tp>
        <v>26.004424051099999</v>
        <stp/>
        <stp>EM_S_FA_YOY_OR</stp>
        <stp>2</stp>
        <stp>300496</stp>
        <stp>12/31/2018</stp>
        <tr r="H156" s="1"/>
      </tp>
      <tp>
        <v>-25.309675859199999</v>
        <stp/>
        <stp>EM_S_FA_YOY_OR</stp>
        <stp>2</stp>
        <stp>300491</stp>
        <stp>12/31/2018</stp>
        <tr r="H2962" s="1"/>
      </tp>
      <tp>
        <v>122.1788873512</v>
        <stp/>
        <stp>EM_S_FA_YOY_OR</stp>
        <stp>2</stp>
        <stp>300490</stp>
        <stp>12/31/2018</stp>
        <tr r="H2910" s="1"/>
      </tp>
      <tp>
        <v>-7.4511450466999998</v>
        <stp/>
        <stp>EM_S_FA_YOY_OR</stp>
        <stp>2</stp>
        <stp>300493</stp>
        <stp>12/31/2018</stp>
        <tr r="H2536" s="1"/>
      </tp>
      <tp>
        <v>44.021144143800001</v>
        <stp/>
        <stp>EM_S_FA_YOY_OR</stp>
        <stp>2</stp>
        <stp>300492</stp>
        <stp>12/31/2018</stp>
        <tr r="H69" s="1"/>
      </tp>
      <tp>
        <v>16.886569371899999</v>
        <stp/>
        <stp>EM_S_FA_YOY_OR</stp>
        <stp>2</stp>
        <stp>300499</stp>
        <stp>12/31/2018</stp>
        <tr r="H3080" s="1"/>
      </tp>
      <tp>
        <v>2.8367183908000002</v>
        <stp/>
        <stp>EM_S_FA_YOY_OR</stp>
        <stp>2</stp>
        <stp>300498</stp>
        <stp>12/31/2018</stp>
        <tr r="H1017" s="1"/>
      </tp>
      <tp>
        <v>90.370130804300004</v>
        <stp/>
        <stp>EM_S_FA_YOY_OR</stp>
        <stp>2</stp>
        <stp>300485</stp>
        <stp>12/31/2018</stp>
        <tr r="H2810" s="1"/>
      </tp>
      <tp>
        <v>-30.597988798199999</v>
        <stp/>
        <stp>EM_S_FA_YOY_OR</stp>
        <stp>2</stp>
        <stp>300484</stp>
        <stp>12/31/2018</stp>
        <tr r="H3031" s="1"/>
      </tp>
      <tp>
        <v>42.261675008600001</v>
        <stp/>
        <stp>EM_S_FA_YOY_OR</stp>
        <stp>2</stp>
        <stp>300487</stp>
        <stp>12/31/2018</stp>
        <tr r="H612" s="1"/>
      </tp>
      <tp>
        <v>37.510506634000002</v>
        <stp/>
        <stp>EM_S_FA_YOY_OR</stp>
        <stp>2</stp>
        <stp>300486</stp>
        <stp>12/31/2018</stp>
        <tr r="H459" s="1"/>
      </tp>
      <tp>
        <v>17.548458064399998</v>
        <stp/>
        <stp>EM_S_FA_YOY_OR</stp>
        <stp>2</stp>
        <stp>300481</stp>
        <stp>12/31/2018</stp>
        <tr r="H358" s="1"/>
      </tp>
      <tp>
        <v>31.770613627500001</v>
        <stp/>
        <stp>EM_S_FA_YOY_OR</stp>
        <stp>2</stp>
        <stp>300480</stp>
        <stp>12/31/2018</stp>
        <tr r="H213" s="1"/>
      </tp>
      <tp>
        <v>-12.0275551966</v>
        <stp/>
        <stp>EM_S_FA_YOY_OR</stp>
        <stp>2</stp>
        <stp>300483</stp>
        <stp>12/31/2018</stp>
        <tr r="H1094" s="1"/>
      </tp>
      <tp>
        <v>44.0490425359</v>
        <stp/>
        <stp>EM_S_FA_YOY_OR</stp>
        <stp>2</stp>
        <stp>300482</stp>
        <stp>12/31/2018</stp>
        <tr r="H183" s="1"/>
      </tp>
      <tp>
        <v>2.2249725817999999</v>
        <stp/>
        <stp>EM_S_FA_YOY_OR</stp>
        <stp>2</stp>
        <stp>300489</stp>
        <stp>12/31/2018</stp>
        <tr r="H317" s="1"/>
      </tp>
      <tp>
        <v>11.866114942499999</v>
        <stp/>
        <stp>EM_S_FA_YOY_OR</stp>
        <stp>2</stp>
        <stp>300488</stp>
        <stp>12/31/2018</stp>
        <tr r="H3270" s="1"/>
      </tp>
      <tp>
        <v>-22.8728730401</v>
        <stp/>
        <stp>EM_S_FA_YOY_OR</stp>
        <stp>2</stp>
        <stp>600485</stp>
        <stp>12/31/2018</stp>
        <tr r="H3405" s="1"/>
      </tp>
      <tp>
        <v>30.496300950999998</v>
        <stp/>
        <stp>EM_S_FA_YOY_OR</stp>
        <stp>2</stp>
        <stp>600487</stp>
        <stp>12/31/2018</stp>
        <tr r="H2604" s="1"/>
      </tp>
      <tp>
        <v>19.208062147</v>
        <stp/>
        <stp>EM_S_FA_YOY_OR</stp>
        <stp>2</stp>
        <stp>600486</stp>
        <stp>12/31/2018</stp>
        <tr r="H235" s="1"/>
      </tp>
      <tp>
        <v>45.783072396100003</v>
        <stp/>
        <stp>EM_S_FA_YOY_OR</stp>
        <stp>2</stp>
        <stp>600481</stp>
        <stp>12/31/2018</stp>
        <tr r="H2397" s="1"/>
      </tp>
      <tp>
        <v>3.4350266069000002</v>
        <stp/>
        <stp>EM_S_FA_YOY_OR</stp>
        <stp>2</stp>
        <stp>600480</stp>
        <stp>12/31/2018</stp>
        <tr r="H2408" s="1"/>
      </tp>
      <tp>
        <v>37.567874152400002</v>
        <stp/>
        <stp>EM_S_FA_YOY_OR</stp>
        <stp>2</stp>
        <stp>600483</stp>
        <stp>12/31/2018</stp>
        <tr r="H1892" s="1"/>
      </tp>
      <tp>
        <v>7.8105563154000004</v>
        <stp/>
        <stp>EM_S_FA_YOY_OR</stp>
        <stp>2</stp>
        <stp>600482</stp>
        <stp>12/31/2018</stp>
        <tr r="H2777" s="1"/>
      </tp>
      <tp>
        <v>4.6286524358000003</v>
        <stp/>
        <stp>EM_S_FA_YOY_OR</stp>
        <stp>2</stp>
        <stp>600489</stp>
        <stp>12/31/2018</stp>
        <tr r="H2454" s="1"/>
      </tp>
      <tp>
        <v>23.134565998199999</v>
        <stp/>
        <stp>EM_S_FA_YOY_OR</stp>
        <stp>2</stp>
        <stp>600488</stp>
        <stp>12/31/2018</stp>
        <tr r="H1787" s="1"/>
      </tp>
      <tp>
        <v>1.8136971179000001</v>
        <stp/>
        <stp>EM_S_FA_YOY_OR</stp>
        <stp>2</stp>
        <stp>600495</stp>
        <stp>12/31/2018</stp>
        <tr r="H2218" s="1"/>
      </tp>
      <tp>
        <v>2.6055122523000001</v>
        <stp/>
        <stp>EM_S_FA_YOY_OR</stp>
        <stp>2</stp>
        <stp>600497</stp>
        <stp>12/31/2018</stp>
        <tr r="H1854" s="1"/>
      </tp>
      <tp>
        <v>32.112130023600002</v>
        <stp/>
        <stp>EM_S_FA_YOY_OR</stp>
        <stp>2</stp>
        <stp>600496</stp>
        <stp>12/31/2018</stp>
        <tr r="H1831" s="1"/>
      </tp>
      <tp>
        <v>13.0886678209</v>
        <stp/>
        <stp>EM_S_FA_YOY_OR</stp>
        <stp>2</stp>
        <stp>600491</stp>
        <stp>12/31/2018</stp>
        <tr r="H1872" s="1"/>
      </tp>
      <tp>
        <v>133.43912646449999</v>
        <stp/>
        <stp>EM_S_FA_YOY_OR</stp>
        <stp>2</stp>
        <stp>600490</stp>
        <stp>12/31/2018</stp>
        <tr r="H2114" s="1"/>
      </tp>
      <tp>
        <v>22.362243787400001</v>
        <stp/>
        <stp>EM_S_FA_YOY_OR</stp>
        <stp>2</stp>
        <stp>600493</stp>
        <stp>12/31/2018</stp>
        <tr r="H2813" s="1"/>
      </tp>
      <tp>
        <v>5.9758005256000004</v>
        <stp/>
        <stp>EM_S_FA_YOY_OR</stp>
        <stp>2</stp>
        <stp>600499</stp>
        <stp>12/31/2018</stp>
        <tr r="H1885" s="1"/>
      </tp>
      <tp>
        <v>15.0977403406</v>
        <stp/>
        <stp>EM_S_FA_YOY_OR</stp>
        <stp>2</stp>
        <stp>600498</stp>
        <stp>12/31/2018</stp>
        <tr r="H2489" s="1"/>
      </tp>
      <tp>
        <v>-79.474037516300001</v>
        <stp/>
        <stp>EM_S_FA_YOY_OR</stp>
        <stp>2</stp>
        <stp>000405</stp>
        <stp>12/31/2018</stp>
        <tr r="H3416" s="1"/>
      </tp>
      <tp>
        <v>22.478777642099999</v>
        <stp/>
        <stp>EM_S_FA_YOY_OR</stp>
        <stp>2</stp>
        <stp>300435</stp>
        <stp>12/31/2018</stp>
        <tr r="H1794" s="1"/>
      </tp>
      <tp>
        <v>9.8187326437000007</v>
        <stp/>
        <stp>EM_S_FA_YOY_OR</stp>
        <stp>2</stp>
        <stp>000404</stp>
        <stp>12/31/2018</stp>
        <tr r="H2194" s="1"/>
      </tp>
      <tp>
        <v>37.883422208200003</v>
        <stp/>
        <stp>EM_S_FA_YOY_OR</stp>
        <stp>2</stp>
        <stp>300434</stp>
        <stp>12/31/2018</stp>
        <tr r="H2981" s="1"/>
      </tp>
      <tp>
        <v>22.148651398599998</v>
        <stp/>
        <stp>EM_S_FA_YOY_OR</stp>
        <stp>2</stp>
        <stp>000407</stp>
        <stp>12/31/2018</stp>
        <tr r="H2601" s="1"/>
      </tp>
      <tp>
        <v>103.54851965349999</v>
        <stp/>
        <stp>EM_S_FA_YOY_OR</stp>
        <stp>2</stp>
        <stp>300437</stp>
        <stp>12/31/2018</stp>
        <tr r="H2786" s="1"/>
      </tp>
      <tp>
        <v>-4.8083612894999996</v>
        <stp/>
        <stp>EM_S_FA_YOY_OR</stp>
        <stp>2</stp>
        <stp>600467</stp>
        <stp>12/31/2018</stp>
        <tr r="H2199" s="1"/>
      </tp>
      <tp>
        <v>0</v>
        <stp/>
        <stp>EM_S_FA_YOY_OR</stp>
        <stp>2</stp>
        <stp>000406</stp>
        <stp>12/31/2018</stp>
        <tr r="H3417" s="1"/>
      </tp>
      <tp>
        <v>35.889695625800002</v>
        <stp/>
        <stp>EM_S_FA_YOY_OR</stp>
        <stp>2</stp>
        <stp>300436</stp>
        <stp>12/31/2018</stp>
        <tr r="H879" s="1"/>
      </tp>
      <tp>
        <v>25.526401785899999</v>
        <stp/>
        <stp>EM_S_FA_YOY_OR</stp>
        <stp>2</stp>
        <stp>600466</stp>
        <stp>12/31/2018</stp>
        <tr r="H865" s="1"/>
      </tp>
      <tp>
        <v>22.570946471399999</v>
        <stp/>
        <stp>EM_S_FA_YOY_OR</stp>
        <stp>2</stp>
        <stp>000401</stp>
        <stp>12/31/2018</stp>
        <tr r="H849" s="1"/>
      </tp>
      <tp>
        <v>-41.1510154156</v>
        <stp/>
        <stp>EM_S_FA_YOY_OR</stp>
        <stp>2</stp>
        <stp>300431</stp>
        <stp>12/31/2018</stp>
        <tr r="H3388" s="1"/>
      </tp>
      <tp>
        <v>23.5197614631</v>
        <stp/>
        <stp>EM_S_FA_YOY_OR</stp>
        <stp>2</stp>
        <stp>600461</stp>
        <stp>12/31/2018</stp>
        <tr r="H1858" s="1"/>
      </tp>
      <tp>
        <v>-20.455325312500001</v>
        <stp/>
        <stp>EM_S_FA_YOY_OR</stp>
        <stp>2</stp>
        <stp>000400</stp>
        <stp>12/31/2018</stp>
        <tr r="H3414" s="1"/>
      </tp>
      <tp>
        <v>24.139660876600001</v>
        <stp/>
        <stp>EM_S_FA_YOY_OR</stp>
        <stp>2</stp>
        <stp>300430</stp>
        <stp>12/31/2018</stp>
        <tr r="H2455" s="1"/>
      </tp>
      <tp>
        <v>10.3605737023</v>
        <stp/>
        <stp>EM_S_FA_YOY_OR</stp>
        <stp>2</stp>
        <stp>600460</stp>
        <stp>12/31/2018</stp>
        <tr r="H200" s="1"/>
      </tp>
      <tp>
        <v>25.455319193400001</v>
        <stp/>
        <stp>EM_S_FA_YOY_OR</stp>
        <stp>2</stp>
        <stp>000403</stp>
        <stp>12/31/2018</stp>
        <tr r="H1103" s="1"/>
      </tp>
      <tp>
        <v>16.936847563499999</v>
        <stp/>
        <stp>EM_S_FA_YOY_OR</stp>
        <stp>2</stp>
        <stp>300433</stp>
        <stp>12/31/2018</stp>
        <tr r="H140" s="1"/>
      </tp>
      <tp>
        <v>-21.1608676878</v>
        <stp/>
        <stp>EM_S_FA_YOY_OR</stp>
        <stp>2</stp>
        <stp>600463</stp>
        <stp>12/31/2018</stp>
        <tr r="H2180" s="1"/>
      </tp>
      <tp>
        <v>-13.346687273300001</v>
        <stp/>
        <stp>EM_S_FA_YOY_OR</stp>
        <stp>2</stp>
        <stp>000402</stp>
        <stp>12/31/2018</stp>
        <tr r="H3415" s="1"/>
      </tp>
      <tp>
        <v>-36.494142033300001</v>
        <stp/>
        <stp>EM_S_FA_YOY_OR</stp>
        <stp>2</stp>
        <stp>300432</stp>
        <stp>12/31/2018</stp>
        <tr r="H180" s="1"/>
      </tp>
      <tp>
        <v>43.850257740099998</v>
        <stp/>
        <stp>EM_S_FA_YOY_OR</stp>
        <stp>2</stp>
        <stp>600462</stp>
        <stp>12/31/2018</stp>
        <tr r="H3369" s="1"/>
      </tp>
      <tp>
        <v>114.3247625134</v>
        <stp/>
        <stp>EM_S_FA_YOY_OR</stp>
        <stp>2</stp>
        <stp>000409</stp>
        <stp>12/31/2018</stp>
        <tr r="H2918" s="1"/>
      </tp>
      <tp>
        <v>21.319480108</v>
        <stp/>
        <stp>EM_S_FA_YOY_OR</stp>
        <stp>2</stp>
        <stp>300439</stp>
        <stp>12/31/2018</stp>
        <tr r="H2237" s="1"/>
      </tp>
      <tp>
        <v>-14.855312122699999</v>
        <stp/>
        <stp>EM_S_FA_YOY_OR</stp>
        <stp>2</stp>
        <stp>600469</stp>
        <stp>12/31/2018</stp>
        <tr r="H749" s="1"/>
      </tp>
      <tp>
        <v>-15.5241863589</v>
        <stp/>
        <stp>EM_S_FA_YOY_OR</stp>
        <stp>2</stp>
        <stp>000408</stp>
        <stp>12/31/2018</stp>
        <tr r="H3418" s="1"/>
      </tp>
      <tp>
        <v>22.4071760641</v>
        <stp/>
        <stp>EM_S_FA_YOY_OR</stp>
        <stp>2</stp>
        <stp>300438</stp>
        <stp>12/31/2018</stp>
        <tr r="H364" s="1"/>
      </tp>
      <tp>
        <v>11.0945643023</v>
        <stp/>
        <stp>EM_S_FA_YOY_OR</stp>
        <stp>2</stp>
        <stp>600468</stp>
        <stp>12/31/2018</stp>
        <tr r="H3233" s="1"/>
      </tp>
      <tp>
        <v>14.905882118199999</v>
        <stp/>
        <stp>EM_S_FA_YOY_OR</stp>
        <stp>2</stp>
        <stp>000415</stp>
        <stp>12/31/2018</stp>
        <tr r="H2000" s="1"/>
      </tp>
      <tp>
        <v>46.173882611499998</v>
        <stp/>
        <stp>EM_S_FA_YOY_OR</stp>
        <stp>2</stp>
        <stp>300425</stp>
        <stp>12/31/2018</stp>
        <tr r="H2401" s="1"/>
      </tp>
      <tp>
        <v>27.4240049058</v>
        <stp/>
        <stp>EM_S_FA_YOY_OR</stp>
        <stp>2</stp>
        <stp>600475</stp>
        <stp>12/31/2018</stp>
        <tr r="H1220" s="1"/>
      </tp>
      <tp>
        <v>59.404371307600002</v>
        <stp/>
        <stp>EM_S_FA_YOY_OR</stp>
        <stp>2</stp>
        <stp>300424</stp>
        <stp>12/31/2018</stp>
        <tr r="H1457" s="1"/>
      </tp>
      <tp>
        <v>2.8106676492</v>
        <stp/>
        <stp>EM_S_FA_YOY_OR</stp>
        <stp>2</stp>
        <stp>000417</stp>
        <stp>12/31/2018</stp>
        <tr r="H1571" s="1"/>
      </tp>
      <tp>
        <v>76.308841125100003</v>
        <stp/>
        <stp>EM_S_FA_YOY_OR</stp>
        <stp>2</stp>
        <stp>300427</stp>
        <stp>12/31/2018</stp>
        <tr r="H971" s="1"/>
      </tp>
      <tp>
        <v>33.624596470299998</v>
        <stp/>
        <stp>EM_S_FA_YOY_OR</stp>
        <stp>2</stp>
        <stp>600477</stp>
        <stp>12/31/2018</stp>
        <tr r="H3098" s="1"/>
      </tp>
      <tp>
        <v>-0.76440146509999995</v>
        <stp/>
        <stp>EM_S_FA_YOY_OR</stp>
        <stp>2</stp>
        <stp>000416</stp>
        <stp>12/31/2018</stp>
        <tr r="H3421" s="1"/>
      </tp>
      <tp>
        <v>-68.520979978400007</v>
        <stp/>
        <stp>EM_S_FA_YOY_OR</stp>
        <stp>2</stp>
        <stp>300426</stp>
        <stp>12/31/2018</stp>
        <tr r="H2691" s="1"/>
      </tp>
      <tp>
        <v>13.621034001</v>
        <stp/>
        <stp>EM_S_FA_YOY_OR</stp>
        <stp>2</stp>
        <stp>600476</stp>
        <stp>12/31/2018</stp>
        <tr r="H1132" s="1"/>
      </tp>
      <tp>
        <v>8.3819862982999993</v>
        <stp/>
        <stp>EM_S_FA_YOY_OR</stp>
        <stp>2</stp>
        <stp>000411</stp>
        <stp>12/31/2018</stp>
        <tr r="H2518" s="1"/>
      </tp>
      <tp>
        <v>6.4703117350000001</v>
        <stp/>
        <stp>EM_S_FA_YOY_OR</stp>
        <stp>2</stp>
        <stp>300421</stp>
        <stp>12/31/2018</stp>
        <tr r="H3348" s="1"/>
      </tp>
      <tp>
        <v>19.708949812899998</v>
        <stp/>
        <stp>EM_S_FA_YOY_OR</stp>
        <stp>2</stp>
        <stp>000410</stp>
        <stp>12/31/2018</stp>
        <tr r="H3419" s="1"/>
      </tp>
      <tp>
        <v>32.800506139600003</v>
        <stp/>
        <stp>EM_S_FA_YOY_OR</stp>
        <stp>2</stp>
        <stp>300420</stp>
        <stp>12/31/2018</stp>
        <tr r="H1747" s="1"/>
      </tp>
      <tp>
        <v>-12.5957646183</v>
        <stp/>
        <stp>EM_S_FA_YOY_OR</stp>
        <stp>2</stp>
        <stp>600470</stp>
        <stp>12/31/2018</stp>
        <tr r="H1540" s="1"/>
      </tp>
      <tp>
        <v>63.290794568099997</v>
        <stp/>
        <stp>EM_S_FA_YOY_OR</stp>
        <stp>2</stp>
        <stp>000413</stp>
        <stp>12/31/2018</stp>
        <tr r="H3142" s="1"/>
      </tp>
      <tp>
        <v>1048.1272759924</v>
        <stp/>
        <stp>EM_S_FA_YOY_OR</stp>
        <stp>2</stp>
        <stp>300423</stp>
        <stp>12/31/2018</stp>
        <tr r="H3152" s="1"/>
      </tp>
      <tp>
        <v>0</v>
        <stp/>
        <stp>EM_S_FA_YOY_OR</stp>
        <stp>2</stp>
        <stp>000412</stp>
        <stp>12/31/2018</stp>
        <tr r="H3420" s="1"/>
      </tp>
      <tp>
        <v>85.491224050200003</v>
        <stp/>
        <stp>EM_S_FA_YOY_OR</stp>
        <stp>2</stp>
        <stp>300422</stp>
        <stp>12/31/2018</stp>
        <tr r="H2032" s="1"/>
      </tp>
      <tp>
        <v>0</v>
        <stp/>
        <stp>EM_S_FA_YOY_OR</stp>
        <stp>2</stp>
        <stp>600472</stp>
        <stp>12/31/2018</stp>
        <tr r="H2303" s="1"/>
      </tp>
      <tp>
        <v>-4.0527229910000004</v>
        <stp/>
        <stp>EM_S_FA_YOY_OR</stp>
        <stp>2</stp>
        <stp>000419</stp>
        <stp>12/31/2018</stp>
        <tr r="H3422" s="1"/>
      </tp>
      <tp>
        <v>15.489941310500001</v>
        <stp/>
        <stp>EM_S_FA_YOY_OR</stp>
        <stp>2</stp>
        <stp>300429</stp>
        <stp>12/31/2018</stp>
        <tr r="H3351" s="1"/>
      </tp>
      <tp>
        <v>4.5812726490999998</v>
        <stp/>
        <stp>EM_S_FA_YOY_OR</stp>
        <stp>2</stp>
        <stp>600479</stp>
        <stp>12/31/2018</stp>
        <tr r="H1683" s="1"/>
      </tp>
      <tp>
        <v>10.5319714512</v>
        <stp/>
        <stp>EM_S_FA_YOY_OR</stp>
        <stp>2</stp>
        <stp>000418</stp>
        <stp>12/31/2018</stp>
        <tr r="H870" s="1"/>
      </tp>
      <tp>
        <v>7.8529159230000003</v>
        <stp/>
        <stp>EM_S_FA_YOY_OR</stp>
        <stp>2</stp>
        <stp>300428</stp>
        <stp>12/31/2018</stp>
        <tr r="H1051" s="1"/>
      </tp>
      <tp>
        <v>20.9304279409</v>
        <stp/>
        <stp>EM_S_FA_YOY_OR</stp>
        <stp>2</stp>
        <stp>600478</stp>
        <stp>12/31/2018</stp>
        <tr r="H1797" s="1"/>
      </tp>
      <tp>
        <v>52.448752696299998</v>
        <stp/>
        <stp>EM_S_FA_YOY_OR</stp>
        <stp>2</stp>
        <stp>000425</stp>
        <stp>12/31/2018</stp>
        <tr r="H319" s="1"/>
      </tp>
      <tp>
        <v>0.33138470590000002</v>
        <stp/>
        <stp>EM_S_FA_YOY_OR</stp>
        <stp>2</stp>
        <stp>300415</stp>
        <stp>12/31/2018</stp>
        <tr r="H374" s="1"/>
      </tp>
      <tp>
        <v>4.2447654814</v>
        <stp/>
        <stp>EM_S_FA_YOY_OR</stp>
        <stp>2</stp>
        <stp>300414</stp>
        <stp>12/31/2018</stp>
        <tr r="H3089" s="1"/>
      </tp>
      <tp>
        <v>-2.6161762814</v>
        <stp/>
        <stp>EM_S_FA_YOY_OR</stp>
        <stp>2</stp>
        <stp>600444</stp>
        <stp>12/31/2018</stp>
        <tr r="H1702" s="1"/>
      </tp>
      <tp>
        <v>-17.994317846200001</v>
        <stp/>
        <stp>EM_S_FA_YOY_OR</stp>
        <stp>2</stp>
        <stp>300417</stp>
        <stp>12/31/2018</stp>
        <tr r="H56" s="1"/>
      </tp>
      <tp>
        <v>15.513641912900001</v>
        <stp/>
        <stp>EM_S_FA_YOY_OR</stp>
        <stp>2</stp>
        <stp>000426</stp>
        <stp>12/31/2018</stp>
        <tr r="H2266" s="1"/>
      </tp>
      <tp>
        <v>28.106599714400001</v>
        <stp/>
        <stp>EM_S_FA_YOY_OR</stp>
        <stp>2</stp>
        <stp>300416</stp>
        <stp>12/31/2018</stp>
        <tr r="H301" s="1"/>
      </tp>
      <tp>
        <v>15.678959516800001</v>
        <stp/>
        <stp>EM_S_FA_YOY_OR</stp>
        <stp>2</stp>
        <stp>600446</stp>
        <stp>12/31/2018</stp>
        <tr r="H127" s="1"/>
      </tp>
      <tp>
        <v>-2.8095660368000002</v>
        <stp/>
        <stp>EM_S_FA_YOY_OR</stp>
        <stp>2</stp>
        <stp>000421</stp>
        <stp>12/31/2018</stp>
        <tr r="H3423" s="1"/>
      </tp>
      <tp>
        <v>19.045050831200001</v>
        <stp/>
        <stp>EM_S_FA_YOY_OR</stp>
        <stp>2</stp>
        <stp>300411</stp>
        <stp>12/31/2018</stp>
        <tr r="H2490" s="1"/>
      </tp>
      <tp>
        <v>16.5881907793</v>
        <stp/>
        <stp>EM_S_FA_YOY_OR</stp>
        <stp>2</stp>
        <stp>000420</stp>
        <stp>12/31/2018</stp>
        <tr r="H1603" s="1"/>
      </tp>
      <tp>
        <v>12.9294637687</v>
        <stp/>
        <stp>EM_S_FA_YOY_OR</stp>
        <stp>2</stp>
        <stp>300410</stp>
        <stp>12/31/2018</stp>
        <tr r="H3396" s="1"/>
      </tp>
      <tp>
        <v>-0.46151028669999999</v>
        <stp/>
        <stp>EM_S_FA_YOY_OR</stp>
        <stp>2</stp>
        <stp>000423</stp>
        <stp>12/31/2018</stp>
        <tr r="H3424" s="1"/>
      </tp>
      <tp>
        <v>16.8015409946</v>
        <stp/>
        <stp>EM_S_FA_YOY_OR</stp>
        <stp>2</stp>
        <stp>300413</stp>
        <stp>12/31/2018</stp>
        <tr r="H2612" s="1"/>
      </tp>
      <tp>
        <v>7.1668096057000001</v>
        <stp/>
        <stp>EM_S_FA_YOY_OR</stp>
        <stp>2</stp>
        <stp>000422</stp>
        <stp>12/31/2018</stp>
        <tr r="H2350" s="1"/>
      </tp>
      <tp>
        <v>30.0481871838</v>
        <stp/>
        <stp>EM_S_FA_YOY_OR</stp>
        <stp>2</stp>
        <stp>300412</stp>
        <stp>12/31/2018</stp>
        <tr r="H2243" s="1"/>
      </tp>
      <tp>
        <v>4.1967096077999999</v>
        <stp/>
        <stp>EM_S_FA_YOY_OR</stp>
        <stp>2</stp>
        <stp>000429</stp>
        <stp>12/31/2018</stp>
        <tr r="H2465" s="1"/>
      </tp>
      <tp>
        <v>0.97248316170000004</v>
        <stp/>
        <stp>EM_S_FA_YOY_OR</stp>
        <stp>2</stp>
        <stp>300419</stp>
        <stp>12/31/2018</stp>
        <tr r="H1348" s="1"/>
      </tp>
      <tp>
        <v>-6.9041812802999996</v>
        <stp/>
        <stp>EM_S_FA_YOY_OR</stp>
        <stp>2</stp>
        <stp>600449</stp>
        <stp>12/31/2018</stp>
        <tr r="H621" s="1"/>
      </tp>
      <tp>
        <v>-9.87351752</v>
        <stp/>
        <stp>EM_S_FA_YOY_OR</stp>
        <stp>2</stp>
        <stp>000428</stp>
        <stp>12/31/2018</stp>
        <tr r="H3425" s="1"/>
      </tp>
      <tp>
        <v>4.0976043392000001</v>
        <stp/>
        <stp>EM_S_FA_YOY_OR</stp>
        <stp>2</stp>
        <stp>300418</stp>
        <stp>12/31/2018</stp>
        <tr r="H889" s="1"/>
      </tp>
      <tp>
        <v>14.520165460699999</v>
        <stp/>
        <stp>EM_S_FA_YOY_OR</stp>
        <stp>2</stp>
        <stp>600448</stp>
        <stp>12/31/2018</stp>
        <tr r="H1775" s="1"/>
      </tp>
      <tp>
        <v>6.0363545765</v>
        <stp/>
        <stp>EM_S_FA_YOY_OR</stp>
        <stp>2</stp>
        <stp>300405</stp>
        <stp>12/31/2018</stp>
        <tr r="H2766" s="1"/>
      </tp>
      <tp>
        <v>16.2758436604</v>
        <stp/>
        <stp>EM_S_FA_YOY_OR</stp>
        <stp>2</stp>
        <stp>600455</stp>
        <stp>12/31/2018</stp>
        <tr r="H440" s="1"/>
      </tp>
      <tp>
        <v>31.5798584291</v>
        <stp/>
        <stp>EM_S_FA_YOY_OR</stp>
        <stp>2</stp>
        <stp>300404</stp>
        <stp>12/31/2018</stp>
        <tr r="H1027" s="1"/>
      </tp>
      <tp>
        <v>11.232296337299999</v>
        <stp/>
        <stp>EM_S_FA_YOY_OR</stp>
        <stp>2</stp>
        <stp>300407</stp>
        <stp>12/31/2018</stp>
        <tr r="H2060" s="1"/>
      </tp>
      <tp>
        <v>11.508489465</v>
        <stp/>
        <stp>EM_S_FA_YOY_OR</stp>
        <stp>2</stp>
        <stp>300406</stp>
        <stp>12/31/2018</stp>
        <tr r="H400" s="1"/>
      </tp>
      <tp>
        <v>18.558052057299999</v>
        <stp/>
        <stp>EM_S_FA_YOY_OR</stp>
        <stp>2</stp>
        <stp>600456</stp>
        <stp>12/31/2018</stp>
        <tr r="H393" s="1"/>
      </tp>
      <tp>
        <v>57.243642159499998</v>
        <stp/>
        <stp>EM_S_FA_YOY_OR</stp>
        <stp>2</stp>
        <stp>300401</stp>
        <stp>12/31/2018</stp>
        <tr r="H2232" s="1"/>
      </tp>
      <tp>
        <v>-14.7831858596</v>
        <stp/>
        <stp>EM_S_FA_YOY_OR</stp>
        <stp>2</stp>
        <stp>000430</stp>
        <stp>12/31/2018</stp>
        <tr r="H3426" s="1"/>
      </tp>
      <tp>
        <v>23.6800162569</v>
        <stp/>
        <stp>EM_S_FA_YOY_OR</stp>
        <stp>2</stp>
        <stp>300400</stp>
        <stp>12/31/2018</stp>
        <tr r="H2511" s="1"/>
      </tp>
      <tp>
        <v>2.0207740983</v>
        <stp/>
        <stp>EM_S_FA_YOY_OR</stp>
        <stp>2</stp>
        <stp>300403</stp>
        <stp>12/31/2018</stp>
        <tr r="H2252" s="1"/>
      </tp>
      <tp>
        <v>62.213631066600001</v>
        <stp/>
        <stp>EM_S_FA_YOY_OR</stp>
        <stp>2</stp>
        <stp>300402</stp>
        <stp>12/31/2018</stp>
        <tr r="H1278" s="1"/>
      </tp>
      <tp>
        <v>18.806274096700001</v>
        <stp/>
        <stp>EM_S_FA_YOY_OR</stp>
        <stp>2</stp>
        <stp>600452</stp>
        <stp>12/31/2018</stp>
        <tr r="H1428" s="1"/>
      </tp>
      <tp>
        <v>109.0044610679</v>
        <stp/>
        <stp>EM_S_FA_YOY_OR</stp>
        <stp>2</stp>
        <stp>300409</stp>
        <stp>12/31/2018</stp>
        <tr r="H2377" s="1"/>
      </tp>
      <tp>
        <v>10.5723650002</v>
        <stp/>
        <stp>EM_S_FA_YOY_OR</stp>
        <stp>2</stp>
        <stp>600459</stp>
        <stp>12/31/2018</stp>
        <tr r="H755" s="1"/>
      </tp>
      <tp>
        <v>19.818228684200001</v>
        <stp/>
        <stp>EM_S_FA_YOY_OR</stp>
        <stp>2</stp>
        <stp>300408</stp>
        <stp>12/31/2018</stp>
        <tr r="H858" s="1"/>
      </tp>
      <tp>
        <v>5.2320562191000004</v>
        <stp/>
        <stp>EM_S_FA_YOY_OR</stp>
        <stp>2</stp>
        <stp>600458</stp>
        <stp>12/31/2018</stp>
        <tr r="H2074" s="1"/>
      </tp>
      <tp>
        <v>-35.733610261400003</v>
        <stp/>
        <stp>EM_S_FA_YOY_OR</stp>
        <stp>2</stp>
        <stp>300475</stp>
        <stp>12/31/2018</stp>
        <tr r="H864" s="1"/>
      </tp>
      <tp>
        <v>14.8685869847</v>
        <stp/>
        <stp>EM_S_FA_YOY_OR</stp>
        <stp>2</stp>
        <stp>600425</stp>
        <stp>12/31/2018</stp>
        <tr r="H935" s="1"/>
      </tp>
      <tp>
        <v>29.705534657699999</v>
        <stp/>
        <stp>EM_S_FA_YOY_OR</stp>
        <stp>2</stp>
        <stp>300474</stp>
        <stp>12/31/2018</stp>
        <tr r="H392" s="1"/>
      </tp>
      <tp>
        <v>-4.8276106950999997</v>
        <stp/>
        <stp>EM_S_FA_YOY_OR</stp>
        <stp>2</stp>
        <stp>300477</stp>
        <stp>12/31/2018</stp>
        <tr r="H3020" s="1"/>
      </tp>
      <tp>
        <v>35.288843868599997</v>
        <stp/>
        <stp>EM_S_FA_YOY_OR</stp>
        <stp>2</stp>
        <stp>300476</stp>
        <stp>12/31/2018</stp>
        <tr r="H744" s="1"/>
      </tp>
      <tp>
        <v>37.939267829099997</v>
        <stp/>
        <stp>EM_S_FA_YOY_OR</stp>
        <stp>2</stp>
        <stp>600426</stp>
        <stp>12/31/2018</stp>
        <tr r="H417" s="1"/>
      </tp>
      <tp>
        <v>-49.874551117099998</v>
        <stp/>
        <stp>EM_S_FA_YOY_OR</stp>
        <stp>2</stp>
        <stp>300471</stp>
        <stp>12/31/2018</stp>
        <tr r="H341" s="1"/>
      </tp>
      <tp>
        <v>-96.514431588099995</v>
        <stp/>
        <stp>EM_S_FA_YOY_OR</stp>
        <stp>2</stp>
        <stp>600421</stp>
        <stp>12/31/2018</stp>
        <tr r="H1884" s="1"/>
      </tp>
      <tp>
        <v>42.087444134599998</v>
        <stp/>
        <stp>EM_S_FA_YOY_OR</stp>
        <stp>2</stp>
        <stp>300470</stp>
        <stp>12/31/2018</stp>
        <tr r="H1244" s="1"/>
      </tp>
      <tp>
        <v>32.908061883999999</v>
        <stp/>
        <stp>EM_S_FA_YOY_OR</stp>
        <stp>2</stp>
        <stp>600420</stp>
        <stp>12/31/2018</stp>
        <tr r="H2530" s="1"/>
      </tp>
      <tp>
        <v>50.372760661400001</v>
        <stp/>
        <stp>EM_S_FA_YOY_OR</stp>
        <stp>2</stp>
        <stp>300473</stp>
        <stp>12/31/2018</stp>
        <tr r="H898" s="1"/>
      </tp>
      <tp>
        <v>9.7500062721000003</v>
        <stp/>
        <stp>EM_S_FA_YOY_OR</stp>
        <stp>2</stp>
        <stp>600423</stp>
        <stp>12/31/2018</stp>
        <tr r="H2841" s="1"/>
      </tp>
      <tp>
        <v>76.890686009000007</v>
        <stp/>
        <stp>EM_S_FA_YOY_OR</stp>
        <stp>2</stp>
        <stp>300472</stp>
        <stp>12/31/2018</stp>
        <tr r="H2439" s="1"/>
      </tp>
      <tp>
        <v>21.353876700299999</v>
        <stp/>
        <stp>EM_S_FA_YOY_OR</stp>
        <stp>2</stp>
        <stp>600422</stp>
        <stp>12/31/2018</stp>
        <tr r="H333" s="1"/>
      </tp>
      <tp>
        <v>14.003103257099999</v>
        <stp/>
        <stp>EM_S_FA_YOY_OR</stp>
        <stp>2</stp>
        <stp>300479</stp>
        <stp>12/31/2018</stp>
        <tr r="H1154" s="1"/>
      </tp>
      <tp>
        <v>21.803998375799999</v>
        <stp/>
        <stp>EM_S_FA_YOY_OR</stp>
        <stp>2</stp>
        <stp>600429</stp>
        <stp>12/31/2018</stp>
        <tr r="H2394" s="1"/>
      </tp>
      <tp>
        <v>30.951450848</v>
        <stp/>
        <stp>EM_S_FA_YOY_OR</stp>
        <stp>2</stp>
        <stp>300478</stp>
        <stp>12/31/2018</stp>
        <tr r="H3004" s="1"/>
      </tp>
      <tp>
        <v>16.399976351999999</v>
        <stp/>
        <stp>EM_S_FA_YOY_OR</stp>
        <stp>2</stp>
        <stp>600428</stp>
        <stp>12/31/2018</stp>
        <tr r="H1477" s="1"/>
      </tp>
      <tp>
        <v>20.608324190400001</v>
        <stp/>
        <stp>EM_S_FA_YOY_OR</stp>
        <stp>2</stp>
        <stp>300465</stp>
        <stp>12/31/2018</stp>
        <tr r="H477" s="1"/>
      </tp>
      <tp>
        <v>2.2212452298000001</v>
        <stp/>
        <stp>EM_S_FA_YOY_OR</stp>
        <stp>2</stp>
        <stp>600435</stp>
        <stp>12/31/2018</stp>
        <tr r="H1564" s="1"/>
      </tp>
      <tp>
        <v>35.211673223699997</v>
        <stp/>
        <stp>EM_S_FA_YOY_OR</stp>
        <stp>2</stp>
        <stp>300464</stp>
        <stp>12/31/2018</stp>
        <tr r="H195" s="1"/>
      </tp>
      <tp>
        <v>162.7574267569</v>
        <stp/>
        <stp>EM_S_FA_YOY_OR</stp>
        <stp>2</stp>
        <stp>300467</stp>
        <stp>12/31/2018</stp>
        <tr r="H2940" s="1"/>
      </tp>
      <tp>
        <v>-5.7781048658999996</v>
        <stp/>
        <stp>EM_S_FA_YOY_OR</stp>
        <stp>2</stp>
        <stp>300466</stp>
        <stp>12/31/2018</stp>
        <tr r="H1519" s="1"/>
      </tp>
      <tp>
        <v>28.3310704487</v>
        <stp/>
        <stp>EM_S_FA_YOY_OR</stp>
        <stp>2</stp>
        <stp>600436</stp>
        <stp>12/31/2018</stp>
        <tr r="H1060" s="1"/>
      </tp>
      <tp>
        <v>59.296943478199999</v>
        <stp/>
        <stp>EM_S_FA_YOY_OR</stp>
        <stp>2</stp>
        <stp>300461</stp>
        <stp>12/31/2018</stp>
        <tr r="H1686" s="1"/>
      </tp>
      <tp>
        <v>-12.1920822495</v>
        <stp/>
        <stp>EM_S_FA_YOY_OR</stp>
        <stp>2</stp>
        <stp>300460</stp>
        <stp>12/31/2018</stp>
        <tr r="H170" s="1"/>
      </tp>
      <tp>
        <v>36.311021566199997</v>
        <stp/>
        <stp>EM_S_FA_YOY_OR</stp>
        <stp>2</stp>
        <stp>300463</stp>
        <stp>12/31/2018</stp>
        <tr r="H238" s="1"/>
      </tp>
      <tp>
        <v>23.799500049599999</v>
        <stp/>
        <stp>EM_S_FA_YOY_OR</stp>
        <stp>2</stp>
        <stp>600433</stp>
        <stp>12/31/2018</stp>
        <tr r="H2625" s="1"/>
      </tp>
      <tp>
        <v>9.5763232758000001</v>
        <stp/>
        <stp>EM_S_FA_YOY_OR</stp>
        <stp>2</stp>
        <stp>300462</stp>
        <stp>12/31/2018</stp>
        <tr r="H369" s="1"/>
      </tp>
      <tp>
        <v>20.5293760536</v>
        <stp/>
        <stp>EM_S_FA_YOY_OR</stp>
        <stp>2</stp>
        <stp>600432</stp>
        <stp>12/31/2018</stp>
        <tr r="H2302" s="1"/>
      </tp>
      <tp>
        <v>25.2787715897</v>
        <stp/>
        <stp>EM_S_FA_YOY_OR</stp>
        <stp>2</stp>
        <stp>300469</stp>
        <stp>12/31/2018</stp>
        <tr r="H2968" s="1"/>
      </tp>
      <tp>
        <v>-3.3545861710999998</v>
        <stp/>
        <stp>EM_S_FA_YOY_OR</stp>
        <stp>2</stp>
        <stp>600439</stp>
        <stp>12/31/2018</stp>
        <tr r="H823" s="1"/>
      </tp>
      <tp>
        <v>-3.9363988914000001</v>
        <stp/>
        <stp>EM_S_FA_YOY_OR</stp>
        <stp>2</stp>
        <stp>300468</stp>
        <stp>12/31/2018</stp>
        <tr r="H55" s="1"/>
      </tp>
      <tp>
        <v>5.5306070388000004</v>
        <stp/>
        <stp>EM_S_FA_YOY_OR</stp>
        <stp>2</stp>
        <stp>600438</stp>
        <stp>12/31/2018</stp>
        <tr r="H448" s="1"/>
      </tp>
      <tp>
        <v>5.9156526739000004</v>
        <stp/>
        <stp>EM_S_FA_YOY_OR</stp>
        <stp>2</stp>
        <stp>300455</stp>
        <stp>12/31/2018</stp>
        <tr r="H388" s="1"/>
      </tp>
      <tp>
        <v>-25.560695173300001</v>
        <stp/>
        <stp>EM_S_FA_YOY_OR</stp>
        <stp>2</stp>
        <stp>600405</stp>
        <stp>12/31/2018</stp>
        <tr r="H1472" s="1"/>
      </tp>
      <tp>
        <v>30.4139023665</v>
        <stp/>
        <stp>EM_S_FA_YOY_OR</stp>
        <stp>2</stp>
        <stp>300454</stp>
        <stp>12/31/2018</stp>
        <tr r="H1028" s="1"/>
      </tp>
      <tp>
        <v>31.5793999214</v>
        <stp/>
        <stp>EM_S_FA_YOY_OR</stp>
        <stp>2</stp>
        <stp>300457</stp>
        <stp>12/31/2018</stp>
        <tr r="H1422" s="1"/>
      </tp>
      <tp>
        <v>18.650627768</v>
        <stp/>
        <stp>EM_S_FA_YOY_OR</stp>
        <stp>2</stp>
        <stp>300456</stp>
        <stp>12/31/2018</stp>
        <tr r="H1723" s="1"/>
      </tp>
      <tp>
        <v>17.9622398815</v>
        <stp/>
        <stp>EM_S_FA_YOY_OR</stp>
        <stp>2</stp>
        <stp>600406</stp>
        <stp>12/31/2018</stp>
        <tr r="H1471" s="1"/>
      </tp>
      <tp>
        <v>11.9116243866</v>
        <stp/>
        <stp>EM_S_FA_YOY_OR</stp>
        <stp>2</stp>
        <stp>300451</stp>
        <stp>12/31/2018</stp>
        <tr r="H2693" s="1"/>
      </tp>
      <tp>
        <v>-73.027884467299998</v>
        <stp/>
        <stp>EM_S_FA_YOY_OR</stp>
        <stp>2</stp>
        <stp>600401</stp>
        <stp>12/31/2018</stp>
        <tr r="H3407" s="1"/>
      </tp>
      <tp>
        <v>78.696464503599998</v>
        <stp/>
        <stp>EM_S_FA_YOY_OR</stp>
        <stp>2</stp>
        <stp>300450</stp>
        <stp>12/31/2018</stp>
        <tr r="H468" s="1"/>
      </tp>
      <tp>
        <v>-8.8912452433000002</v>
        <stp/>
        <stp>EM_S_FA_YOY_OR</stp>
        <stp>2</stp>
        <stp>600400</stp>
        <stp>12/31/2018</stp>
        <tr r="H2812" s="1"/>
      </tp>
      <tp>
        <v>31.552206163200001</v>
        <stp/>
        <stp>EM_S_FA_YOY_OR</stp>
        <stp>2</stp>
        <stp>300453</stp>
        <stp>12/31/2018</stp>
        <tr r="H3248" s="1"/>
      </tp>
      <tp>
        <v>15.0267522972</v>
        <stp/>
        <stp>EM_S_FA_YOY_OR</stp>
        <stp>2</stp>
        <stp>600403</stp>
        <stp>12/31/2018</stp>
        <tr r="H1468" s="1"/>
      </tp>
      <tp>
        <v>26.284202587799999</v>
        <stp/>
        <stp>EM_S_FA_YOY_OR</stp>
        <stp>2</stp>
        <stp>300452</stp>
        <stp>12/31/2018</stp>
        <tr r="H1739" s="1"/>
      </tp>
      <tp>
        <v>95.173309861299998</v>
        <stp/>
        <stp>EM_S_FA_YOY_OR</stp>
        <stp>2</stp>
        <stp>300459</stp>
        <stp>12/31/2018</stp>
        <tr r="H3387" s="1"/>
      </tp>
      <tp>
        <v>-0.1087996363</v>
        <stp/>
        <stp>EM_S_FA_YOY_OR</stp>
        <stp>2</stp>
        <stp>600409</stp>
        <stp>12/31/2018</stp>
        <tr r="H1750" s="1"/>
      </tp>
      <tp>
        <v>13.634133157200001</v>
        <stp/>
        <stp>EM_S_FA_YOY_OR</stp>
        <stp>2</stp>
        <stp>300458</stp>
        <stp>12/31/2018</stp>
        <tr r="H425" s="1"/>
      </tp>
      <tp>
        <v>39.572090504099997</v>
        <stp/>
        <stp>EM_S_FA_YOY_OR</stp>
        <stp>2</stp>
        <stp>600408</stp>
        <stp>12/31/2018</stp>
        <tr r="H2702" s="1"/>
      </tp>
      <tp>
        <v>18.534811026700002</v>
        <stp/>
        <stp>EM_S_FA_YOY_OR</stp>
        <stp>2</stp>
        <stp>300445</stp>
        <stp>12/31/2018</stp>
        <tr r="H314" s="1"/>
      </tp>
      <tp>
        <v>-64.123851214699997</v>
        <stp/>
        <stp>EM_S_FA_YOY_OR</stp>
        <stp>2</stp>
        <stp>600415</stp>
        <stp>12/31/2018</stp>
        <tr r="H1685" s="1"/>
      </tp>
      <tp>
        <v>36.1025368118</v>
        <stp/>
        <stp>EM_S_FA_YOY_OR</stp>
        <stp>2</stp>
        <stp>300444</stp>
        <stp>12/31/2018</stp>
        <tr r="H3128" s="1"/>
      </tp>
      <tp>
        <v>14.333505888299999</v>
        <stp/>
        <stp>EM_S_FA_YOY_OR</stp>
        <stp>2</stp>
        <stp>300447</stp>
        <stp>12/31/2018</stp>
        <tr r="H1960" s="1"/>
      </tp>
      <tp>
        <v>2.4111776399</v>
        <stp/>
        <stp>EM_S_FA_YOY_OR</stp>
        <stp>2</stp>
        <stp>300446</stp>
        <stp>12/31/2018</stp>
        <tr r="H1334" s="1"/>
      </tp>
      <tp>
        <v>-36.131689377999997</v>
        <stp/>
        <stp>EM_S_FA_YOY_OR</stp>
        <stp>2</stp>
        <stp>600416</stp>
        <stp>12/31/2018</stp>
        <tr r="H795" s="1"/>
      </tp>
      <tp>
        <v>35.060596277199998</v>
        <stp/>
        <stp>EM_S_FA_YOY_OR</stp>
        <stp>2</stp>
        <stp>300441</stp>
        <stp>12/31/2018</stp>
        <tr r="H685" s="1"/>
      </tp>
      <tp>
        <v>-24.675271659300002</v>
        <stp/>
        <stp>EM_S_FA_YOY_OR</stp>
        <stp>2</stp>
        <stp>300440</stp>
        <stp>12/31/2018</stp>
        <tr r="H675" s="1"/>
      </tp>
      <tp>
        <v>-3.8125959191000001</v>
        <stp/>
        <stp>EM_S_FA_YOY_OR</stp>
        <stp>2</stp>
        <stp>600410</stp>
        <stp>12/31/2018</stp>
        <tr r="H272" s="1"/>
      </tp>
      <tp>
        <v>32.427347507599997</v>
        <stp/>
        <stp>EM_S_FA_YOY_OR</stp>
        <stp>2</stp>
        <stp>300443</stp>
        <stp>12/31/2018</stp>
        <tr r="H981" s="1"/>
      </tp>
      <tp>
        <v>-16.5185381778</v>
        <stp/>
        <stp>EM_S_FA_YOY_OR</stp>
        <stp>2</stp>
        <stp>300442</stp>
        <stp>12/31/2018</stp>
        <tr r="H1232" s="1"/>
      </tp>
      <tp>
        <v>-23.817060108300002</v>
        <stp/>
        <stp>EM_S_FA_YOY_OR</stp>
        <stp>2</stp>
        <stp>300449</stp>
        <stp>12/31/2018</stp>
        <tr r="H3249" s="1"/>
      </tp>
      <tp>
        <v>17.886603274799999</v>
        <stp/>
        <stp>EM_S_FA_YOY_OR</stp>
        <stp>2</stp>
        <stp>600419</stp>
        <stp>12/31/2018</stp>
        <tr r="H2434" s="1"/>
      </tp>
      <tp>
        <v>34.311833403000001</v>
        <stp/>
        <stp>EM_S_FA_YOY_OR</stp>
        <stp>2</stp>
        <stp>300448</stp>
        <stp>12/31/2018</stp>
        <tr r="H3181" s="1"/>
      </tp>
      <tp>
        <v>1.9239677575</v>
        <stp/>
        <stp>EM_S_FA_YOY_OR</stp>
        <stp>2</stp>
        <stp>600418</stp>
        <stp>12/31/2018</stp>
        <tr r="H2111" s="1"/>
      </tp>
      <tp>
        <v>-2.0444293641</v>
        <stp/>
        <stp>EM_S_FA_YOY_OR</stp>
        <stp>2</stp>
        <stp>000585</stp>
        <stp>12/31/2018</stp>
        <tr r="H3467" s="1"/>
      </tp>
      <tp>
        <v>51.599222689999998</v>
        <stp/>
        <stp>EM_S_FA_YOY_OR</stp>
        <stp>2</stp>
        <stp>000584</stp>
        <stp>12/31/2018</stp>
        <tr r="H2403" s="1"/>
      </tp>
      <tp>
        <v>-10.4123692546</v>
        <stp/>
        <stp>EM_S_FA_YOY_OR</stp>
        <stp>2</stp>
        <stp>000587</stp>
        <stp>12/31/2018</stp>
        <tr r="H3469" s="1"/>
      </tp>
      <tp>
        <v>9.3184566864999994</v>
        <stp/>
        <stp>EM_S_FA_YOY_OR</stp>
        <stp>2</stp>
        <stp>000586</stp>
        <stp>12/31/2018</stp>
        <tr r="H3468" s="1"/>
      </tp>
      <tp>
        <v>-3.2782112053999999</v>
        <stp/>
        <stp>EM_S_FA_YOY_OR</stp>
        <stp>2</stp>
        <stp>000581</stp>
        <stp>12/31/2018</stp>
        <tr r="H3465" s="1"/>
      </tp>
      <tp>
        <v>0</v>
        <stp/>
        <stp>EM_S_FA_YOY_OR</stp>
        <stp>2</stp>
        <stp>000583</stp>
        <stp>12/31/2018</stp>
        <tr r="H3466" s="1"/>
      </tp>
      <tp>
        <v>13.457095811</v>
        <stp/>
        <stp>EM_S_FA_YOY_OR</stp>
        <stp>2</stp>
        <stp>000582</stp>
        <stp>12/31/2018</stp>
        <tr r="H1167" s="1"/>
      </tp>
      <tp>
        <v>-1.9294784304999999</v>
        <stp/>
        <stp>EM_S_FA_YOY_OR</stp>
        <stp>2</stp>
        <stp>000589</stp>
        <stp>12/31/2018</stp>
        <tr r="H3471" s="1"/>
      </tp>
      <tp>
        <v>-5.7882616893999996</v>
        <stp/>
        <stp>EM_S_FA_YOY_OR</stp>
        <stp>2</stp>
        <stp>000588</stp>
        <stp>12/31/2018</stp>
        <tr r="H3470" s="1"/>
      </tp>
      <tp>
        <v>-0.7903842579</v>
        <stp/>
        <stp>EM_S_FA_YOY_OR</stp>
        <stp>2</stp>
        <stp>000595</stp>
        <stp>12/31/2018</stp>
        <tr r="H3475" s="1"/>
      </tp>
      <tp>
        <v>-83.331518520299994</v>
        <stp/>
        <stp>EM_S_FA_YOY_OR</stp>
        <stp>2</stp>
        <stp>000594</stp>
        <stp>12/31/2018</stp>
        <tr r="H3474" s="1"/>
      </tp>
      <tp>
        <v>31.537928290699998</v>
        <stp/>
        <stp>EM_S_FA_YOY_OR</stp>
        <stp>2</stp>
        <stp>000597</stp>
        <stp>12/31/2018</stp>
        <tr r="H3256" s="1"/>
      </tp>
      <tp>
        <v>24.651767481699999</v>
        <stp/>
        <stp>EM_S_FA_YOY_OR</stp>
        <stp>2</stp>
        <stp>000596</stp>
        <stp>12/31/2018</stp>
        <tr r="H77" s="1"/>
      </tp>
      <tp>
        <v>-3.2237758251000002</v>
        <stp/>
        <stp>EM_S_FA_YOY_OR</stp>
        <stp>2</stp>
        <stp>000591</stp>
        <stp>12/31/2018</stp>
        <tr r="H1170" s="1"/>
      </tp>
      <tp>
        <v>-45.912717897699999</v>
        <stp/>
        <stp>EM_S_FA_YOY_OR</stp>
        <stp>2</stp>
        <stp>000590</stp>
        <stp>12/31/2018</stp>
        <tr r="H3472" s="1"/>
      </tp>
      <tp>
        <v>29.9378760737</v>
        <stp/>
        <stp>EM_S_FA_YOY_OR</stp>
        <stp>2</stp>
        <stp>000593</stp>
        <stp>12/31/2018</stp>
        <tr r="H3473" s="1"/>
      </tp>
      <tp>
        <v>10.259573145899999</v>
        <stp/>
        <stp>EM_S_FA_YOY_OR</stp>
        <stp>2</stp>
        <stp>000592</stp>
        <stp>12/31/2018</stp>
        <tr r="H1951" s="1"/>
      </tp>
      <tp>
        <v>-6.3123516041999999</v>
        <stp/>
        <stp>EM_S_FA_YOY_OR</stp>
        <stp>2</stp>
        <stp>000599</stp>
        <stp>12/31/2018</stp>
        <tr r="H3476" s="1"/>
      </tp>
      <tp>
        <v>11.484545127900001</v>
        <stp/>
        <stp>EM_S_FA_YOY_OR</stp>
        <stp>2</stp>
        <stp>000598</stp>
        <stp>12/31/2018</stp>
        <tr r="H1507" s="1"/>
      </tp>
      <tp>
        <v>47.104299048999998</v>
        <stp/>
        <stp>EM_S_FA_YOY_OR</stp>
        <stp>2</stp>
        <stp>300595</stp>
        <stp>12/31/2018</stp>
        <tr r="H1286" s="1"/>
      </tp>
      <tp>
        <v>-2.0523348417</v>
        <stp/>
        <stp>EM_S_FA_YOY_OR</stp>
        <stp>2</stp>
        <stp>300597</stp>
        <stp>12/31/2018</stp>
        <tr r="H3046" s="1"/>
      </tp>
      <tp>
        <v>30.2290280448</v>
        <stp/>
        <stp>EM_S_FA_YOY_OR</stp>
        <stp>2</stp>
        <stp>300596</stp>
        <stp>12/31/2018</stp>
        <tr r="H1350" s="1"/>
      </tp>
      <tp>
        <v>14.7739156583</v>
        <stp/>
        <stp>EM_S_FA_YOY_OR</stp>
        <stp>2</stp>
        <stp>300591</stp>
        <stp>12/31/2018</stp>
        <tr r="H2386" s="1"/>
      </tp>
      <tp>
        <v>31.391123894</v>
        <stp/>
        <stp>EM_S_FA_YOY_OR</stp>
        <stp>2</stp>
        <stp>300590</stp>
        <stp>12/31/2018</stp>
        <tr r="H609" s="1"/>
      </tp>
      <tp>
        <v>37.645814614000003</v>
        <stp/>
        <stp>EM_S_FA_YOY_OR</stp>
        <stp>2</stp>
        <stp>300593</stp>
        <stp>12/31/2018</stp>
        <tr r="H1675" s="1"/>
      </tp>
      <tp>
        <v>-20.1704842776</v>
        <stp/>
        <stp>EM_S_FA_YOY_OR</stp>
        <stp>2</stp>
        <stp>300592</stp>
        <stp>12/31/2018</stp>
        <tr r="H1026" s="1"/>
      </tp>
      <tp>
        <v>21.885438261699999</v>
        <stp/>
        <stp>EM_S_FA_YOY_OR</stp>
        <stp>2</stp>
        <stp>300599</stp>
        <stp>12/31/2018</stp>
        <tr r="H2093" s="1"/>
      </tp>
      <tp>
        <v>9.8621682707999998</v>
        <stp/>
        <stp>EM_S_FA_YOY_OR</stp>
        <stp>2</stp>
        <stp>300598</stp>
        <stp>12/31/2018</stp>
        <tr r="H16" s="1"/>
      </tp>
      <tp>
        <v>-11.648443586699999</v>
        <stp/>
        <stp>EM_S_FA_YOY_OR</stp>
        <stp>2</stp>
        <stp>300585</stp>
        <stp>12/31/2018</stp>
        <tr r="H290" s="1"/>
      </tp>
      <tp>
        <v>56.451367813399997</v>
        <stp/>
        <stp>EM_S_FA_YOY_OR</stp>
        <stp>2</stp>
        <stp>300584</stp>
        <stp>12/31/2018</stp>
        <tr r="H1602" s="1"/>
      </tp>
      <tp>
        <v>54.466089082300002</v>
        <stp/>
        <stp>EM_S_FA_YOY_OR</stp>
        <stp>2</stp>
        <stp>300587</stp>
        <stp>12/31/2018</stp>
        <tr r="H2762" s="1"/>
      </tp>
      <tp>
        <v>25.762045525400001</v>
        <stp/>
        <stp>EM_S_FA_YOY_OR</stp>
        <stp>2</stp>
        <stp>300586</stp>
        <stp>12/31/2018</stp>
        <tr r="H117" s="1"/>
      </tp>
      <tp>
        <v>-2.2120823778999998</v>
        <stp/>
        <stp>EM_S_FA_YOY_OR</stp>
        <stp>2</stp>
        <stp>300581</stp>
        <stp>12/31/2018</stp>
        <tr r="H989" s="1"/>
      </tp>
      <tp>
        <v>11.041711550800001</v>
        <stp/>
        <stp>EM_S_FA_YOY_OR</stp>
        <stp>2</stp>
        <stp>300580</stp>
        <stp>12/31/2018</stp>
        <tr r="H1402" s="1"/>
      </tp>
      <tp>
        <v>33.951379954300002</v>
        <stp/>
        <stp>EM_S_FA_YOY_OR</stp>
        <stp>2</stp>
        <stp>300583</stp>
        <stp>12/31/2018</stp>
        <tr r="H2080" s="1"/>
      </tp>
      <tp>
        <v>26.466404371300001</v>
        <stp/>
        <stp>EM_S_FA_YOY_OR</stp>
        <stp>2</stp>
        <stp>300582</stp>
        <stp>12/31/2018</stp>
        <tr r="H1308" s="1"/>
      </tp>
      <tp>
        <v>10.9657188081</v>
        <stp/>
        <stp>EM_S_FA_YOY_OR</stp>
        <stp>2</stp>
        <stp>300589</stp>
        <stp>12/31/2018</stp>
        <tr r="H1439" s="1"/>
      </tp>
      <tp>
        <v>-18.4557507767</v>
        <stp/>
        <stp>EM_S_FA_YOY_OR</stp>
        <stp>2</stp>
        <stp>300588</stp>
        <stp>12/31/2018</stp>
        <tr r="H2696" s="1"/>
      </tp>
      <tp>
        <v>70.496916777799996</v>
        <stp/>
        <stp>EM_S_FA_YOY_OR</stp>
        <stp>2</stp>
        <stp>600585</stp>
        <stp>12/31/2018</stp>
        <tr r="H248" s="1"/>
      </tp>
      <tp>
        <v>4.0870498E-3</v>
        <stp/>
        <stp>EM_S_FA_YOY_OR</stp>
        <stp>2</stp>
        <stp>600584</stp>
        <stp>12/31/2018</stp>
        <tr r="H62" s="1"/>
      </tp>
      <tp>
        <v>3.0089697369000001</v>
        <stp/>
        <stp>EM_S_FA_YOY_OR</stp>
        <stp>2</stp>
        <stp>600587</stp>
        <stp>12/31/2018</stp>
        <tr r="H1818" s="1"/>
      </tp>
      <tp>
        <v>17.7033968864</v>
        <stp/>
        <stp>EM_S_FA_YOY_OR</stp>
        <stp>2</stp>
        <stp>600586</stp>
        <stp>12/31/2018</stp>
        <tr r="H2118" s="1"/>
      </tp>
      <tp>
        <v>19.982824223400002</v>
        <stp/>
        <stp>EM_S_FA_YOY_OR</stp>
        <stp>2</stp>
        <stp>600581</stp>
        <stp>12/31/2018</stp>
        <tr r="H2480" s="1"/>
      </tp>
      <tp>
        <v>9.8155118114000004</v>
        <stp/>
        <stp>EM_S_FA_YOY_OR</stp>
        <stp>2</stp>
        <stp>600580</stp>
        <stp>12/31/2018</stp>
        <tr r="H186" s="1"/>
      </tp>
      <tp>
        <v>7.7988890492999996</v>
        <stp/>
        <stp>EM_S_FA_YOY_OR</stp>
        <stp>2</stp>
        <stp>600583</stp>
        <stp>12/31/2018</stp>
        <tr r="H616" s="1"/>
      </tp>
      <tp>
        <v>16.6517902346</v>
        <stp/>
        <stp>EM_S_FA_YOY_OR</stp>
        <stp>2</stp>
        <stp>600582</stp>
        <stp>12/31/2018</stp>
        <tr r="H2641" s="1"/>
      </tp>
      <tp>
        <v>3.4522097801</v>
        <stp/>
        <stp>EM_S_FA_YOY_OR</stp>
        <stp>2</stp>
        <stp>600589</stp>
        <stp>12/31/2018</stp>
        <tr r="H818" s="1"/>
      </tp>
      <tp>
        <v>21.436155280099999</v>
        <stp/>
        <stp>EM_S_FA_YOY_OR</stp>
        <stp>2</stp>
        <stp>600588</stp>
        <stp>12/31/2018</stp>
        <tr r="H868" s="1"/>
      </tp>
      <tp>
        <v>1.9842267385000001</v>
        <stp/>
        <stp>EM_S_FA_YOY_OR</stp>
        <stp>2</stp>
        <stp>600595</stp>
        <stp>12/31/2018</stp>
        <tr r="H1620" s="1"/>
      </tp>
      <tp>
        <v>1.9750026451</v>
        <stp/>
        <stp>EM_S_FA_YOY_OR</stp>
        <stp>2</stp>
        <stp>600594</stp>
        <stp>12/31/2018</stp>
        <tr r="H2856" s="1"/>
      </tp>
      <tp>
        <v>-4.7087767328999997</v>
        <stp/>
        <stp>EM_S_FA_YOY_OR</stp>
        <stp>2</stp>
        <stp>600597</stp>
        <stp>12/31/2018</stp>
        <tr r="H587" s="1"/>
      </tp>
      <tp>
        <v>51.185208067300003</v>
        <stp/>
        <stp>EM_S_FA_YOY_OR</stp>
        <stp>2</stp>
        <stp>600596</stp>
        <stp>12/31/2018</stp>
        <tr r="H2764" s="1"/>
      </tp>
      <tp>
        <v>0</v>
        <stp/>
        <stp>EM_S_FA_YOY_OR</stp>
        <stp>2</stp>
        <stp>600591</stp>
        <stp>12/31/2018</stp>
        <tr r="H2305" s="1"/>
      </tp>
      <tp>
        <v>20.1302454074</v>
        <stp/>
        <stp>EM_S_FA_YOY_OR</stp>
        <stp>2</stp>
        <stp>600590</stp>
        <stp>12/31/2018</stp>
        <tr r="H1835" s="1"/>
      </tp>
      <tp>
        <v>0.83953042249999998</v>
        <stp/>
        <stp>EM_S_FA_YOY_OR</stp>
        <stp>2</stp>
        <stp>600593</stp>
        <stp>12/31/2018</stp>
        <tr r="H387" s="1"/>
      </tp>
      <tp>
        <v>15.1993314252</v>
        <stp/>
        <stp>EM_S_FA_YOY_OR</stp>
        <stp>2</stp>
        <stp>600592</stp>
        <stp>12/31/2018</stp>
        <tr r="H53" s="1"/>
      </tp>
      <tp>
        <v>-17.4272699554</v>
        <stp/>
        <stp>EM_S_FA_YOY_OR</stp>
        <stp>2</stp>
        <stp>600599</stp>
        <stp>12/31/2018</stp>
        <tr r="H2128" s="1"/>
      </tp>
      <tp>
        <v>9.1018210678999996</v>
        <stp/>
        <stp>EM_S_FA_YOY_OR</stp>
        <stp>2</stp>
        <stp>600598</stp>
        <stp>12/31/2018</stp>
        <tr r="H1569" s="1"/>
      </tp>
      <tp>
        <v>-6.4225552324999997</v>
        <stp/>
        <stp>EM_S_FA_YOY_OR</stp>
        <stp>2</stp>
        <stp>000505</stp>
        <stp>12/31/2018</stp>
        <tr r="H3432" s="1"/>
      </tp>
      <tp>
        <v>7.0510996305999996</v>
        <stp/>
        <stp>EM_S_FA_YOY_OR</stp>
        <stp>2</stp>
        <stp>300535</stp>
        <stp>12/31/2018</stp>
        <tr r="H1948" s="1"/>
      </tp>
      <tp>
        <v>38.872080608300003</v>
        <stp/>
        <stp>EM_S_FA_YOY_OR</stp>
        <stp>2</stp>
        <stp>600565</stp>
        <stp>12/31/2018</stp>
        <tr r="H845" s="1"/>
      </tp>
      <tp>
        <v>41.530617588699997</v>
        <stp/>
        <stp>EM_S_FA_YOY_OR</stp>
        <stp>2</stp>
        <stp>000504</stp>
        <stp>12/31/2018</stp>
        <tr r="H3431" s="1"/>
      </tp>
      <tp>
        <v>-24.638136893399999</v>
        <stp/>
        <stp>EM_S_FA_YOY_OR</stp>
        <stp>2</stp>
        <stp>300534</stp>
        <stp>12/31/2018</stp>
        <tr r="H2141" s="1"/>
      </tp>
      <tp>
        <v>33.389540477300002</v>
        <stp/>
        <stp>EM_S_FA_YOY_OR</stp>
        <stp>2</stp>
        <stp>000507</stp>
        <stp>12/31/2018</stp>
        <tr r="H2637" s="1"/>
      </tp>
      <tp>
        <v>42.400097450700002</v>
        <stp/>
        <stp>EM_S_FA_YOY_OR</stp>
        <stp>2</stp>
        <stp>300537</stp>
        <stp>12/31/2018</stp>
        <tr r="H142" s="1"/>
      </tp>
      <tp>
        <v>39.478985033000001</v>
        <stp/>
        <stp>EM_S_FA_YOY_OR</stp>
        <stp>2</stp>
        <stp>600567</stp>
        <stp>12/31/2018</stp>
        <tr r="H1183" s="1"/>
      </tp>
      <tp>
        <v>-35.447705987699997</v>
        <stp/>
        <stp>EM_S_FA_YOY_OR</stp>
        <stp>2</stp>
        <stp>000506</stp>
        <stp>12/31/2018</stp>
        <tr r="H3433" s="1"/>
      </tp>
      <tp>
        <v>8.3866915215999995</v>
        <stp/>
        <stp>EM_S_FA_YOY_OR</stp>
        <stp>2</stp>
        <stp>300536</stp>
        <stp>12/31/2018</stp>
        <tr r="H2931" s="1"/>
      </tp>
      <tp>
        <v>27.759555346599999</v>
        <stp/>
        <stp>EM_S_FA_YOY_OR</stp>
        <stp>2</stp>
        <stp>600566</stp>
        <stp>12/31/2018</stp>
        <tr r="H3221" s="1"/>
      </tp>
      <tp>
        <v>-2.2985089196000001</v>
        <stp/>
        <stp>EM_S_FA_YOY_OR</stp>
        <stp>2</stp>
        <stp>000501</stp>
        <stp>12/31/2018</stp>
        <tr r="H3428" s="1"/>
      </tp>
      <tp>
        <v>114.7780953476</v>
        <stp/>
        <stp>EM_S_FA_YOY_OR</stp>
        <stp>2</stp>
        <stp>300531</stp>
        <stp>12/31/2018</stp>
        <tr r="H2481" s="1"/>
      </tp>
      <tp>
        <v>-7.1184987808000004</v>
        <stp/>
        <stp>EM_S_FA_YOY_OR</stp>
        <stp>2</stp>
        <stp>600561</stp>
        <stp>12/31/2018</stp>
        <tr r="H1927" s="1"/>
      </tp>
      <tp>
        <v>30.827050271400001</v>
        <stp/>
        <stp>EM_S_FA_YOY_OR</stp>
        <stp>2</stp>
        <stp>300530</stp>
        <stp>12/31/2018</stp>
        <tr r="H1349" s="1"/>
      </tp>
      <tp>
        <v>4.0507824434000002</v>
        <stp/>
        <stp>EM_S_FA_YOY_OR</stp>
        <stp>2</stp>
        <stp>600560</stp>
        <stp>12/31/2018</stp>
        <tr r="H1883" s="1"/>
      </tp>
      <tp>
        <v>-48.106910985799999</v>
        <stp/>
        <stp>EM_S_FA_YOY_OR</stp>
        <stp>2</stp>
        <stp>000503</stp>
        <stp>12/31/2018</stp>
        <tr r="H3430" s="1"/>
      </tp>
      <tp>
        <v>-1.7854300973999999</v>
        <stp/>
        <stp>EM_S_FA_YOY_OR</stp>
        <stp>2</stp>
        <stp>300533</stp>
        <stp>12/31/2018</stp>
        <tr r="H687" s="1"/>
      </tp>
      <tp>
        <v>1.4012300535</v>
        <stp/>
        <stp>EM_S_FA_YOY_OR</stp>
        <stp>2</stp>
        <stp>600563</stp>
        <stp>12/31/2018</stp>
        <tr r="H1335" s="1"/>
      </tp>
      <tp>
        <v>-21.064303092599999</v>
        <stp/>
        <stp>EM_S_FA_YOY_OR</stp>
        <stp>2</stp>
        <stp>000502</stp>
        <stp>12/31/2018</stp>
        <tr r="H3429" s="1"/>
      </tp>
      <tp>
        <v>-26.942706312199999</v>
        <stp/>
        <stp>EM_S_FA_YOY_OR</stp>
        <stp>2</stp>
        <stp>300532</stp>
        <stp>12/31/2018</stp>
        <tr r="H1967" s="1"/>
      </tp>
      <tp>
        <v>-9.6281045234999993</v>
        <stp/>
        <stp>EM_S_FA_YOY_OR</stp>
        <stp>2</stp>
        <stp>600562</stp>
        <stp>12/31/2018</stp>
        <tr r="H1682" s="1"/>
      </tp>
      <tp>
        <v>-46.043588721900001</v>
        <stp/>
        <stp>EM_S_FA_YOY_OR</stp>
        <stp>2</stp>
        <stp>000509</stp>
        <stp>12/31/2018</stp>
        <tr r="H3435" s="1"/>
      </tp>
      <tp>
        <v>12.6418735351</v>
        <stp/>
        <stp>EM_S_FA_YOY_OR</stp>
        <stp>2</stp>
        <stp>300539</stp>
        <stp>12/31/2018</stp>
        <tr r="H2767" s="1"/>
      </tp>
      <tp>
        <v>22.743284116600002</v>
        <stp/>
        <stp>EM_S_FA_YOY_OR</stp>
        <stp>2</stp>
        <stp>600569</stp>
        <stp>12/31/2018</stp>
        <tr r="H3012" s="1"/>
      </tp>
      <tp>
        <v>0</v>
        <stp/>
        <stp>EM_S_FA_YOY_OR</stp>
        <stp>2</stp>
        <stp>000508</stp>
        <stp>12/31/2018</stp>
        <tr r="H3434" s="1"/>
      </tp>
      <tp>
        <v>28.2646587847</v>
        <stp/>
        <stp>EM_S_FA_YOY_OR</stp>
        <stp>2</stp>
        <stp>300538</stp>
        <stp>12/31/2018</stp>
        <tr r="H2971" s="1"/>
      </tp>
      <tp>
        <v>-41.6057582153</v>
        <stp/>
        <stp>EM_S_FA_YOY_OR</stp>
        <stp>2</stp>
        <stp>600568</stp>
        <stp>12/31/2018</stp>
        <tr r="H3135" s="1"/>
      </tp>
      <tp>
        <v>0</v>
        <stp/>
        <stp>EM_S_FA_YOY_OR</stp>
        <stp>2</stp>
        <stp>000515</stp>
        <stp>12/31/2018</stp>
        <tr r="H3438" s="1"/>
      </tp>
      <tp>
        <v>80.260231622999996</v>
        <stp/>
        <stp>EM_S_FA_YOY_OR</stp>
        <stp>2</stp>
        <stp>300525</stp>
        <stp>12/31/2018</stp>
        <tr r="H381" s="1"/>
      </tp>
      <tp>
        <v>16.031438425800001</v>
        <stp/>
        <stp>EM_S_FA_YOY_OR</stp>
        <stp>2</stp>
        <stp>600575</stp>
        <stp>12/31/2018</stp>
        <tr r="H1229" s="1"/>
      </tp>
      <tp>
        <v>-48.1156755055</v>
        <stp/>
        <stp>EM_S_FA_YOY_OR</stp>
        <stp>2</stp>
        <stp>000514</stp>
        <stp>12/31/2018</stp>
        <tr r="H3437" s="1"/>
      </tp>
      <tp>
        <v>-6.9519526652000003</v>
        <stp/>
        <stp>EM_S_FA_YOY_OR</stp>
        <stp>2</stp>
        <stp>000517</stp>
        <stp>12/31/2018</stp>
        <tr r="H3440" s="1"/>
      </tp>
      <tp>
        <v>5.8273216217000003</v>
        <stp/>
        <stp>EM_S_FA_YOY_OR</stp>
        <stp>2</stp>
        <stp>300527</stp>
        <stp>12/31/2018</stp>
        <tr r="H365" s="1"/>
      </tp>
      <tp>
        <v>4.8799788612999997</v>
        <stp/>
        <stp>EM_S_FA_YOY_OR</stp>
        <stp>2</stp>
        <stp>600577</stp>
        <stp>12/31/2018</stp>
        <tr r="H2701" s="1"/>
      </tp>
      <tp>
        <v>-49.765205276000003</v>
        <stp/>
        <stp>EM_S_FA_YOY_OR</stp>
        <stp>2</stp>
        <stp>000516</stp>
        <stp>12/31/2018</stp>
        <tr r="H3439" s="1"/>
      </tp>
      <tp>
        <v>4.2435433471000001</v>
        <stp/>
        <stp>EM_S_FA_YOY_OR</stp>
        <stp>2</stp>
        <stp>300526</stp>
        <stp>12/31/2018</stp>
        <tr r="H21" s="1"/>
      </tp>
      <tp>
        <v>-8.9837470633999992</v>
        <stp/>
        <stp>EM_S_FA_YOY_OR</stp>
        <stp>2</stp>
        <stp>600576</stp>
        <stp>12/31/2018</stp>
        <tr r="H1411" s="1"/>
      </tp>
      <tp>
        <v>-39.633429724800003</v>
        <stp/>
        <stp>EM_S_FA_YOY_OR</stp>
        <stp>2</stp>
        <stp>000511</stp>
        <stp>12/31/2018</stp>
        <tr r="H3436" s="1"/>
      </tp>
      <tp>
        <v>-3.4894160158999998</v>
        <stp/>
        <stp>EM_S_FA_YOY_OR</stp>
        <stp>2</stp>
        <stp>300521</stp>
        <stp>12/31/2018</stp>
        <tr r="H1258" s="1"/>
      </tp>
      <tp>
        <v>-7.5071397344999999</v>
        <stp/>
        <stp>EM_S_FA_YOY_OR</stp>
        <stp>2</stp>
        <stp>600571</stp>
        <stp>12/31/2018</stp>
        <tr r="H555" s="1"/>
      </tp>
      <tp>
        <v>19.746131803699999</v>
        <stp/>
        <stp>EM_S_FA_YOY_OR</stp>
        <stp>2</stp>
        <stp>000510</stp>
        <stp>12/31/2018</stp>
        <tr r="H1993" s="1"/>
      </tp>
      <tp>
        <v>61.575198765000003</v>
        <stp/>
        <stp>EM_S_FA_YOY_OR</stp>
        <stp>2</stp>
        <stp>300520</stp>
        <stp>12/31/2018</stp>
        <tr r="H1078" s="1"/>
      </tp>
      <tp>
        <v>22.382994654699999</v>
        <stp/>
        <stp>EM_S_FA_YOY_OR</stp>
        <stp>2</stp>
        <stp>600570</stp>
        <stp>12/31/2018</stp>
        <tr r="H583" s="1"/>
      </tp>
      <tp>
        <v>3.8645913469000002</v>
        <stp/>
        <stp>EM_S_FA_YOY_OR</stp>
        <stp>2</stp>
        <stp>000513</stp>
        <stp>12/31/2018</stp>
        <tr r="H913" s="1"/>
      </tp>
      <tp>
        <v>61.6369263984</v>
        <stp/>
        <stp>EM_S_FA_YOY_OR</stp>
        <stp>2</stp>
        <stp>300523</stp>
        <stp>12/31/2018</stp>
        <tr r="H3143" s="1"/>
      </tp>
      <tp>
        <v>-3.0637489528000001</v>
        <stp/>
        <stp>EM_S_FA_YOY_OR</stp>
        <stp>2</stp>
        <stp>600573</stp>
        <stp>12/31/2018</stp>
        <tr r="H2085" s="1"/>
      </tp>
      <tp>
        <v>17.8399466244</v>
        <stp/>
        <stp>EM_S_FA_YOY_OR</stp>
        <stp>2</stp>
        <stp>300522</stp>
        <stp>12/31/2018</stp>
        <tr r="H1837" s="1"/>
      </tp>
      <tp>
        <v>28.195842102899999</v>
        <stp/>
        <stp>EM_S_FA_YOY_OR</stp>
        <stp>2</stp>
        <stp>600572</stp>
        <stp>12/31/2018</stp>
        <tr r="H2179" s="1"/>
      </tp>
      <tp>
        <v>3.7321192472</v>
        <stp/>
        <stp>EM_S_FA_YOY_OR</stp>
        <stp>2</stp>
        <stp>000519</stp>
        <stp>12/31/2018</stp>
        <tr r="H1223" s="1"/>
      </tp>
      <tp>
        <v>41.478265758600003</v>
        <stp/>
        <stp>EM_S_FA_YOY_OR</stp>
        <stp>2</stp>
        <stp>300529</stp>
        <stp>12/31/2018</stp>
        <tr r="H323" s="1"/>
      </tp>
      <tp>
        <v>3.5910889835000002</v>
        <stp/>
        <stp>EM_S_FA_YOY_OR</stp>
        <stp>2</stp>
        <stp>600579</stp>
        <stp>12/31/2018</stp>
        <tr r="H3071" s="1"/>
      </tp>
      <tp>
        <v>14.2923765204</v>
        <stp/>
        <stp>EM_S_FA_YOY_OR</stp>
        <stp>2</stp>
        <stp>000518</stp>
        <stp>12/31/2018</stp>
        <tr r="H3441" s="1"/>
      </tp>
      <tp>
        <v>9.0687475845000005</v>
        <stp/>
        <stp>EM_S_FA_YOY_OR</stp>
        <stp>2</stp>
        <stp>300528</stp>
        <stp>12/31/2018</stp>
        <tr r="H3044" s="1"/>
      </tp>
      <tp>
        <v>3.8826837599999999</v>
        <stp/>
        <stp>EM_S_FA_YOY_OR</stp>
        <stp>2</stp>
        <stp>600578</stp>
        <stp>12/31/2018</stp>
        <tr r="H1962" s="1"/>
      </tp>
      <tp>
        <v>16.491805911499998</v>
        <stp/>
        <stp>EM_S_FA_YOY_OR</stp>
        <stp>2</stp>
        <stp>000525</stp>
        <stp>12/31/2018</stp>
        <tr r="H3231" s="1"/>
      </tp>
      <tp>
        <v>23.2464258605</v>
        <stp/>
        <stp>EM_S_FA_YOY_OR</stp>
        <stp>2</stp>
        <stp>300515</stp>
        <stp>12/31/2018</stp>
        <tr r="H1615" s="1"/>
      </tp>
      <tp>
        <v>5.8225985411999996</v>
        <stp/>
        <stp>EM_S_FA_YOY_OR</stp>
        <stp>2</stp>
        <stp>600545</stp>
        <stp>12/31/2018</stp>
        <tr r="H3035" s="1"/>
      </tp>
      <tp>
        <v>10.7296524799</v>
        <stp/>
        <stp>EM_S_FA_YOY_OR</stp>
        <stp>2</stp>
        <stp>000524</stp>
        <stp>12/31/2018</stp>
        <tr r="H1832" s="1"/>
      </tp>
      <tp>
        <v>16.054576599899999</v>
        <stp/>
        <stp>EM_S_FA_YOY_OR</stp>
        <stp>2</stp>
        <stp>300514</stp>
        <stp>12/31/2018</stp>
        <tr r="H2250" s="1"/>
      </tp>
      <tp>
        <v>0</v>
        <stp/>
        <stp>EM_S_FA_YOY_OR</stp>
        <stp>2</stp>
        <stp>000527</stp>
        <stp>12/31/2018</stp>
        <tr r="H3443" s="1"/>
      </tp>
      <tp>
        <v>24.907479904900001</v>
        <stp/>
        <stp>EM_S_FA_YOY_OR</stp>
        <stp>2</stp>
        <stp>300517</stp>
        <stp>12/31/2018</stp>
        <tr r="H1512" s="1"/>
      </tp>
      <tp>
        <v>7.3402787910000002</v>
        <stp/>
        <stp>EM_S_FA_YOY_OR</stp>
        <stp>2</stp>
        <stp>600547</stp>
        <stp>12/31/2018</stp>
        <tr r="H1942" s="1"/>
      </tp>
      <tp>
        <v>2.8881550752999998</v>
        <stp/>
        <stp>EM_S_FA_YOY_OR</stp>
        <stp>2</stp>
        <stp>000526</stp>
        <stp>12/31/2018</stp>
        <tr r="H325" s="1"/>
      </tp>
      <tp>
        <v>50.084094879699997</v>
        <stp/>
        <stp>EM_S_FA_YOY_OR</stp>
        <stp>2</stp>
        <stp>300516</stp>
        <stp>12/31/2018</stp>
        <tr r="H1820" s="1"/>
      </tp>
      <tp>
        <v>-6.7911199622999998</v>
        <stp/>
        <stp>EM_S_FA_YOY_OR</stp>
        <stp>2</stp>
        <stp>600546</stp>
        <stp>12/31/2018</stp>
        <tr r="H191" s="1"/>
      </tp>
      <tp>
        <v>4.1240708487999997</v>
        <stp/>
        <stp>EM_S_FA_YOY_OR</stp>
        <stp>2</stp>
        <stp>000521</stp>
        <stp>12/31/2018</stp>
        <tr r="H1492" s="1"/>
      </tp>
      <tp>
        <v>38.814402678999997</v>
        <stp/>
        <stp>EM_S_FA_YOY_OR</stp>
        <stp>2</stp>
        <stp>300511</stp>
        <stp>12/31/2018</stp>
        <tr r="H1595" s="1"/>
      </tp>
      <tp>
        <v>0.97398269920000002</v>
        <stp/>
        <stp>EM_S_FA_YOY_OR</stp>
        <stp>2</stp>
        <stp>000520</stp>
        <stp>12/31/2018</stp>
        <tr r="H641" s="1"/>
      </tp>
      <tp>
        <v>67.534918335300006</v>
        <stp/>
        <stp>EM_S_FA_YOY_OR</stp>
        <stp>2</stp>
        <stp>300510</stp>
        <stp>12/31/2018</stp>
        <tr r="H3188" s="1"/>
      </tp>
      <tp>
        <v>16.4073627655</v>
        <stp/>
        <stp>EM_S_FA_YOY_OR</stp>
        <stp>2</stp>
        <stp>600540</stp>
        <stp>12/31/2018</stp>
        <tr r="H1667" s="1"/>
      </tp>
      <tp>
        <v>1.3821462151999999</v>
        <stp/>
        <stp>EM_S_FA_YOY_OR</stp>
        <stp>2</stp>
        <stp>000523</stp>
        <stp>12/31/2018</stp>
        <tr r="H204" s="1"/>
      </tp>
      <tp>
        <v>99.968735864699994</v>
        <stp/>
        <stp>EM_S_FA_YOY_OR</stp>
        <stp>2</stp>
        <stp>300513</stp>
        <stp>12/31/2018</stp>
        <tr r="H3312" s="1"/>
      </tp>
      <tp>
        <v>2.4620539315999999</v>
        <stp/>
        <stp>EM_S_FA_YOY_OR</stp>
        <stp>2</stp>
        <stp>600543</stp>
        <stp>12/31/2018</stp>
        <tr r="H2825" s="1"/>
      </tp>
      <tp>
        <v>0</v>
        <stp/>
        <stp>EM_S_FA_YOY_OR</stp>
        <stp>2</stp>
        <stp>000522</stp>
        <stp>12/31/2018</stp>
        <tr r="H3442" s="1"/>
      </tp>
      <tp>
        <v>4.6937269690000001</v>
        <stp/>
        <stp>EM_S_FA_YOY_OR</stp>
        <stp>2</stp>
        <stp>300512</stp>
        <stp>12/31/2018</stp>
        <tr r="H2554" s="1"/>
      </tp>
      <tp>
        <v>8.3638765809999995</v>
        <stp/>
        <stp>EM_S_FA_YOY_OR</stp>
        <stp>2</stp>
        <stp>000529</stp>
        <stp>12/31/2018</stp>
        <tr r="H546" s="1"/>
      </tp>
      <tp>
        <v>-11.132721549699999</v>
        <stp/>
        <stp>EM_S_FA_YOY_OR</stp>
        <stp>2</stp>
        <stp>300519</stp>
        <stp>12/31/2018</stp>
        <tr r="H2466" s="1"/>
      </tp>
      <tp>
        <v>37.837237357500001</v>
        <stp/>
        <stp>EM_S_FA_YOY_OR</stp>
        <stp>2</stp>
        <stp>600549</stp>
        <stp>12/31/2018</stp>
        <tr r="H1788" s="1"/>
      </tp>
      <tp>
        <v>51.4829345558</v>
        <stp/>
        <stp>EM_S_FA_YOY_OR</stp>
        <stp>2</stp>
        <stp>000528</stp>
        <stp>12/31/2018</stp>
        <tr r="H1542" s="1"/>
      </tp>
      <tp>
        <v>68.826068214399996</v>
        <stp/>
        <stp>EM_S_FA_YOY_OR</stp>
        <stp>2</stp>
        <stp>300518</stp>
        <stp>12/31/2018</stp>
        <tr r="H1346" s="1"/>
      </tp>
      <tp>
        <v>11.452282737699999</v>
        <stp/>
        <stp>EM_S_FA_YOY_OR</stp>
        <stp>2</stp>
        <stp>600548</stp>
        <stp>12/31/2018</stp>
        <tr r="H1053" s="1"/>
      </tp>
      <tp>
        <v>-69.815533541799994</v>
        <stp/>
        <stp>EM_S_FA_YOY_OR</stp>
        <stp>2</stp>
        <stp>000535</stp>
        <stp>12/31/2018</stp>
        <tr r="H3446" s="1"/>
      </tp>
      <tp>
        <v>20.727276920600001</v>
        <stp/>
        <stp>EM_S_FA_YOY_OR</stp>
        <stp>2</stp>
        <stp>300505</stp>
        <stp>12/31/2018</stp>
        <tr r="H2103" s="1"/>
      </tp>
      <tp>
        <v>-57.504908015600002</v>
        <stp/>
        <stp>EM_S_FA_YOY_OR</stp>
        <stp>2</stp>
        <stp>600555</stp>
        <stp>12/31/2018</stp>
        <tr r="H3045" s="1"/>
      </tp>
      <tp>
        <v>1.2896818237000001</v>
        <stp/>
        <stp>EM_S_FA_YOY_OR</stp>
        <stp>2</stp>
        <stp>000534</stp>
        <stp>12/31/2018</stp>
        <tr r="H2858" s="1"/>
      </tp>
      <tp>
        <v>17.840941507299998</v>
        <stp/>
        <stp>EM_S_FA_YOY_OR</stp>
        <stp>2</stp>
        <stp>300504</stp>
        <stp>12/31/2018</stp>
        <tr r="H2863" s="1"/>
      </tp>
      <tp>
        <v>25.012873216300001</v>
        <stp/>
        <stp>EM_S_FA_YOY_OR</stp>
        <stp>2</stp>
        <stp>000537</stp>
        <stp>12/31/2018</stp>
        <tr r="H2013" s="1"/>
      </tp>
      <tp>
        <v>10.8190117521</v>
        <stp/>
        <stp>EM_S_FA_YOY_OR</stp>
        <stp>2</stp>
        <stp>300507</stp>
        <stp>12/31/2018</stp>
        <tr r="H3002" s="1"/>
      </tp>
      <tp>
        <v>16.768158654400001</v>
        <stp/>
        <stp>EM_S_FA_YOY_OR</stp>
        <stp>2</stp>
        <stp>600557</stp>
        <stp>12/31/2018</stp>
        <tr r="H737" s="1"/>
      </tp>
      <tp>
        <v>-7.5937613256000001</v>
        <stp/>
        <stp>EM_S_FA_YOY_OR</stp>
        <stp>2</stp>
        <stp>000536</stp>
        <stp>12/31/2018</stp>
        <tr r="H3447" s="1"/>
      </tp>
      <tp>
        <v>91.608862481900005</v>
        <stp/>
        <stp>EM_S_FA_YOY_OR</stp>
        <stp>2</stp>
        <stp>300506</stp>
        <stp>12/31/2018</stp>
        <tr r="H3320" s="1"/>
      </tp>
      <tp>
        <v>1.5761361616</v>
        <stp/>
        <stp>EM_S_FA_YOY_OR</stp>
        <stp>2</stp>
        <stp>600556</stp>
        <stp>12/31/2018</stp>
        <tr r="H210" s="1"/>
      </tp>
      <tp>
        <v>5.1779852039999996</v>
        <stp/>
        <stp>EM_S_FA_YOY_OR</stp>
        <stp>2</stp>
        <stp>000531</stp>
        <stp>12/31/2018</stp>
        <tr r="H806" s="1"/>
      </tp>
      <tp>
        <v>35.0300162136</v>
        <stp/>
        <stp>EM_S_FA_YOY_OR</stp>
        <stp>2</stp>
        <stp>300501</stp>
        <stp>12/31/2018</stp>
        <tr r="H3206" s="1"/>
      </tp>
      <tp>
        <v>-2.5710645817</v>
        <stp/>
        <stp>EM_S_FA_YOY_OR</stp>
        <stp>2</stp>
        <stp>600551</stp>
        <stp>12/31/2018</stp>
        <tr r="H2574" s="1"/>
      </tp>
      <tp>
        <v>-5.4647145004000004</v>
        <stp/>
        <stp>EM_S_FA_YOY_OR</stp>
        <stp>2</stp>
        <stp>000530</stp>
        <stp>12/31/2018</stp>
        <tr r="H3444" s="1"/>
      </tp>
      <tp>
        <v>115.233248789</v>
        <stp/>
        <stp>EM_S_FA_YOY_OR</stp>
        <stp>2</stp>
        <stp>300500</stp>
        <stp>12/31/2018</stp>
        <tr r="H3235" s="1"/>
      </tp>
      <tp>
        <v>-27.040664985900001</v>
        <stp/>
        <stp>EM_S_FA_YOY_OR</stp>
        <stp>2</stp>
        <stp>600550</stp>
        <stp>12/31/2018</stp>
        <tr r="H2983" s="1"/>
      </tp>
      <tp>
        <v>15.6344461032</v>
        <stp/>
        <stp>EM_S_FA_YOY_OR</stp>
        <stp>2</stp>
        <stp>000533</stp>
        <stp>12/31/2018</stp>
        <tr r="H3445" s="1"/>
      </tp>
      <tp>
        <v>3.5673396443000001</v>
        <stp/>
        <stp>EM_S_FA_YOY_OR</stp>
        <stp>2</stp>
        <stp>300503</stp>
        <stp>12/31/2018</stp>
        <tr r="H978" s="1"/>
      </tp>
      <tp>
        <v>0</v>
        <stp/>
        <stp>EM_S_FA_YOY_OR</stp>
        <stp>2</stp>
        <stp>600553</stp>
        <stp>12/31/2018</stp>
        <tr r="H2304" s="1"/>
      </tp>
      <tp>
        <v>10.7033356156</v>
        <stp/>
        <stp>EM_S_FA_YOY_OR</stp>
        <stp>2</stp>
        <stp>000532</stp>
        <stp>12/31/2018</stp>
        <tr r="H1180" s="1"/>
      </tp>
      <tp>
        <v>-13.3826889452</v>
        <stp/>
        <stp>EM_S_FA_YOY_OR</stp>
        <stp>2</stp>
        <stp>300502</stp>
        <stp>12/31/2018</stp>
        <tr r="H171" s="1"/>
      </tp>
      <tp>
        <v>-14.063373753600001</v>
        <stp/>
        <stp>EM_S_FA_YOY_OR</stp>
        <stp>2</stp>
        <stp>600552</stp>
        <stp>12/31/2018</stp>
        <tr r="H420" s="1"/>
      </tp>
      <tp>
        <v>2.8701699794</v>
        <stp/>
        <stp>EM_S_FA_YOY_OR</stp>
        <stp>2</stp>
        <stp>000539</stp>
        <stp>12/31/2018</stp>
        <tr r="H2832" s="1"/>
      </tp>
      <tp>
        <v>11.1899698676</v>
        <stp/>
        <stp>EM_S_FA_YOY_OR</stp>
        <stp>2</stp>
        <stp>300509</stp>
        <stp>12/31/2018</stp>
        <tr r="H3148" s="1"/>
      </tp>
      <tp>
        <v>41.343963301099997</v>
        <stp/>
        <stp>EM_S_FA_YOY_OR</stp>
        <stp>2</stp>
        <stp>600559</stp>
        <stp>12/31/2018</stp>
        <tr r="H2704" s="1"/>
      </tp>
      <tp>
        <v>9.8442831096999992</v>
        <stp/>
        <stp>EM_S_FA_YOY_OR</stp>
        <stp>2</stp>
        <stp>000538</stp>
        <stp>12/31/2018</stp>
        <tr r="H1317" s="1"/>
      </tp>
      <tp>
        <v>15.434773122099999</v>
        <stp/>
        <stp>EM_S_FA_YOY_OR</stp>
        <stp>2</stp>
        <stp>300508</stp>
        <stp>12/31/2018</stp>
        <tr r="H1385" s="1"/>
      </tp>
      <tp>
        <v>21.978312271699998</v>
        <stp/>
        <stp>EM_S_FA_YOY_OR</stp>
        <stp>2</stp>
        <stp>600558</stp>
        <stp>12/31/2018</stp>
        <tr r="H2115" s="1"/>
      </tp>
      <tp>
        <v>6.5258340748999997</v>
        <stp/>
        <stp>EM_S_FA_YOY_OR</stp>
        <stp>2</stp>
        <stp>000545</stp>
        <stp>12/31/2018</stp>
        <tr r="H2486" s="1"/>
      </tp>
      <tp>
        <v>27.395628821599999</v>
        <stp/>
        <stp>EM_S_FA_YOY_OR</stp>
        <stp>2</stp>
        <stp>300575</stp>
        <stp>12/31/2018</stp>
        <tr r="H3269" s="1"/>
      </tp>
      <tp>
        <v>22.277309731599999</v>
        <stp/>
        <stp>EM_S_FA_YOY_OR</stp>
        <stp>2</stp>
        <stp>600525</stp>
        <stp>12/31/2018</stp>
        <tr r="H831" s="1"/>
      </tp>
      <tp>
        <v>5.1943918987000002</v>
        <stp/>
        <stp>EM_S_FA_YOY_OR</stp>
        <stp>2</stp>
        <stp>000544</stp>
        <stp>12/31/2018</stp>
        <tr r="H1160" s="1"/>
      </tp>
      <tp>
        <v>41.145652127399998</v>
        <stp/>
        <stp>EM_S_FA_YOY_OR</stp>
        <stp>2</stp>
        <stp>000547</stp>
        <stp>12/31/2018</stp>
        <tr r="H790" s="1"/>
      </tp>
      <tp>
        <v>76.187690992300006</v>
        <stp/>
        <stp>EM_S_FA_YOY_OR</stp>
        <stp>2</stp>
        <stp>300577</stp>
        <stp>12/31/2018</stp>
        <tr r="H1691" s="1"/>
      </tp>
      <tp>
        <v>-4.0474814569999999</v>
        <stp/>
        <stp>EM_S_FA_YOY_OR</stp>
        <stp>2</stp>
        <stp>600527</stp>
        <stp>12/31/2018</stp>
        <tr r="H2084" s="1"/>
      </tp>
      <tp>
        <v>57.174242648400003</v>
        <stp/>
        <stp>EM_S_FA_YOY_OR</stp>
        <stp>2</stp>
        <stp>000546</stp>
        <stp>12/31/2018</stp>
        <tr r="H1381" s="1"/>
      </tp>
      <tp>
        <v>16.423976585799998</v>
        <stp/>
        <stp>EM_S_FA_YOY_OR</stp>
        <stp>2</stp>
        <stp>300576</stp>
        <stp>12/31/2018</stp>
        <tr r="H161" s="1"/>
      </tp>
      <tp>
        <v>-7.4680883046000002</v>
        <stp/>
        <stp>EM_S_FA_YOY_OR</stp>
        <stp>2</stp>
        <stp>600526</stp>
        <stp>12/31/2018</stp>
        <tr r="H1544" s="1"/>
      </tp>
      <tp>
        <v>4.6515727600000001E-2</v>
        <stp/>
        <stp>EM_S_FA_YOY_OR</stp>
        <stp>2</stp>
        <stp>000541</stp>
        <stp>12/31/2018</stp>
        <tr r="H2586" s="1"/>
      </tp>
      <tp>
        <v>28.1433467359</v>
        <stp/>
        <stp>EM_S_FA_YOY_OR</stp>
        <stp>2</stp>
        <stp>300571</stp>
        <stp>12/31/2018</stp>
        <tr r="H939" s="1"/>
      </tp>
      <tp>
        <v>1.8511286280999999</v>
        <stp/>
        <stp>EM_S_FA_YOY_OR</stp>
        <stp>2</stp>
        <stp>600521</stp>
        <stp>12/31/2018</stp>
        <tr r="H489" s="1"/>
      </tp>
      <tp>
        <v>-10.5149618828</v>
        <stp/>
        <stp>EM_S_FA_YOY_OR</stp>
        <stp>2</stp>
        <stp>000540</stp>
        <stp>12/31/2018</stp>
        <tr r="H3448" s="1"/>
      </tp>
      <tp>
        <v>62.126271579600001</v>
        <stp/>
        <stp>EM_S_FA_YOY_OR</stp>
        <stp>2</stp>
        <stp>300570</stp>
        <stp>12/31/2018</stp>
        <tr r="H674" s="1"/>
      </tp>
      <tp>
        <v>-1.7326249853</v>
        <stp/>
        <stp>EM_S_FA_YOY_OR</stp>
        <stp>2</stp>
        <stp>600520</stp>
        <stp>12/31/2018</stp>
        <tr r="H3023" s="1"/>
      </tp>
      <tp>
        <v>9.9039944122999994</v>
        <stp/>
        <stp>EM_S_FA_YOY_OR</stp>
        <stp>2</stp>
        <stp>000543</stp>
        <stp>12/31/2018</stp>
        <tr r="H2463" s="1"/>
      </tp>
      <tp>
        <v>19.776863513399999</v>
        <stp/>
        <stp>EM_S_FA_YOY_OR</stp>
        <stp>2</stp>
        <stp>300573</stp>
        <stp>12/31/2018</stp>
        <tr r="H25" s="1"/>
      </tp>
      <tp>
        <v>-17.476175466499999</v>
        <stp/>
        <stp>EM_S_FA_YOY_OR</stp>
        <stp>2</stp>
        <stp>600523</stp>
        <stp>12/31/2018</stp>
        <tr r="H688" s="1"/>
      </tp>
      <tp>
        <v>0</v>
        <stp/>
        <stp>EM_S_FA_YOY_OR</stp>
        <stp>2</stp>
        <stp>000542</stp>
        <stp>12/31/2018</stp>
        <tr r="H3449" s="1"/>
      </tp>
      <tp>
        <v>28.170558715999999</v>
        <stp/>
        <stp>EM_S_FA_YOY_OR</stp>
        <stp>2</stp>
        <stp>300572</stp>
        <stp>12/31/2018</stp>
        <tr r="H1863" s="1"/>
      </tp>
      <tp>
        <v>25.270833415199998</v>
        <stp/>
        <stp>EM_S_FA_YOY_OR</stp>
        <stp>2</stp>
        <stp>600522</stp>
        <stp>12/31/2018</stp>
        <tr r="H2201" s="1"/>
      </tp>
      <tp>
        <v>0</v>
        <stp/>
        <stp>EM_S_FA_YOY_OR</stp>
        <stp>2</stp>
        <stp>000549</stp>
        <stp>12/31/2018</stp>
        <tr r="H3451" s="1"/>
      </tp>
      <tp>
        <v>28.445182275400001</v>
        <stp/>
        <stp>EM_S_FA_YOY_OR</stp>
        <stp>2</stp>
        <stp>300579</stp>
        <stp>12/31/2018</stp>
        <tr r="H330" s="1"/>
      </tp>
      <tp>
        <v>10.904959445399999</v>
        <stp/>
        <stp>EM_S_FA_YOY_OR</stp>
        <stp>2</stp>
        <stp>600529</stp>
        <stp>12/31/2018</stp>
        <tr r="H589" s="1"/>
      </tp>
      <tp>
        <v>-69.2368125789</v>
        <stp/>
        <stp>EM_S_FA_YOY_OR</stp>
        <stp>2</stp>
        <stp>000548</stp>
        <stp>12/31/2018</stp>
        <tr r="H3450" s="1"/>
      </tp>
      <tp>
        <v>-16.335847545899998</v>
        <stp/>
        <stp>EM_S_FA_YOY_OR</stp>
        <stp>2</stp>
        <stp>300578</stp>
        <stp>12/31/2018</stp>
        <tr r="H543" s="1"/>
      </tp>
      <tp>
        <v>12.6673171434</v>
        <stp/>
        <stp>EM_S_FA_YOY_OR</stp>
        <stp>2</stp>
        <stp>600528</stp>
        <stp>12/31/2018</stp>
        <tr r="H2069" s="1"/>
      </tp>
      <tp>
        <v>10.8743384054</v>
        <stp/>
        <stp>EM_S_FA_YOY_OR</stp>
        <stp>2</stp>
        <stp>000555</stp>
        <stp>12/31/2018</stp>
        <tr r="H519" s="1"/>
      </tp>
      <tp>
        <v>-19.1919171692</v>
        <stp/>
        <stp>EM_S_FA_YOY_OR</stp>
        <stp>2</stp>
        <stp>300565</stp>
        <stp>12/31/2018</stp>
        <tr r="H3141" s="1"/>
      </tp>
      <tp>
        <v>11.776864681499999</v>
        <stp/>
        <stp>EM_S_FA_YOY_OR</stp>
        <stp>2</stp>
        <stp>600535</stp>
        <stp>12/31/2018</stp>
        <tr r="H3081" s="1"/>
      </tp>
      <tp>
        <v>13.1881664642</v>
        <stp/>
        <stp>EM_S_FA_YOY_OR</stp>
        <stp>2</stp>
        <stp>000554</stp>
        <stp>12/31/2018</stp>
        <tr r="H2564" s="1"/>
      </tp>
      <tp>
        <v>15.356415955199999</v>
        <stp/>
        <stp>EM_S_FA_YOY_OR</stp>
        <stp>2</stp>
        <stp>000557</stp>
        <stp>12/31/2018</stp>
        <tr r="H2277" s="1"/>
      </tp>
      <tp>
        <v>55.238388713500001</v>
        <stp/>
        <stp>EM_S_FA_YOY_OR</stp>
        <stp>2</stp>
        <stp>300567</stp>
        <stp>12/31/2018</stp>
        <tr r="H1721" s="1"/>
      </tp>
      <tp>
        <v>-14.196632338300001</v>
        <stp/>
        <stp>EM_S_FA_YOY_OR</stp>
        <stp>2</stp>
        <stp>600537</stp>
        <stp>12/31/2018</stp>
        <tr r="H1744" s="1"/>
      </tp>
      <tp>
        <v>-60.062527058400001</v>
        <stp/>
        <stp>EM_S_FA_YOY_OR</stp>
        <stp>2</stp>
        <stp>000556</stp>
        <stp>12/31/2018</stp>
        <tr r="H3453" s="1"/>
      </tp>
      <tp>
        <v>23.047951302600001</v>
        <stp/>
        <stp>EM_S_FA_YOY_OR</stp>
        <stp>2</stp>
        <stp>300566</stp>
        <stp>12/31/2018</stp>
        <tr r="H215" s="1"/>
      </tp>
      <tp>
        <v>-6.6727585797</v>
        <stp/>
        <stp>EM_S_FA_YOY_OR</stp>
        <stp>2</stp>
        <stp>600536</stp>
        <stp>12/31/2018</stp>
        <tr r="H32" s="1"/>
      </tp>
      <tp>
        <v>15.1793028845</v>
        <stp/>
        <stp>EM_S_FA_YOY_OR</stp>
        <stp>2</stp>
        <stp>000551</stp>
        <stp>12/31/2018</stp>
        <tr r="H1505" s="1"/>
      </tp>
      <tp>
        <v>1.0584641239999999</v>
        <stp/>
        <stp>EM_S_FA_YOY_OR</stp>
        <stp>2</stp>
        <stp>300561</stp>
        <stp>12/31/2018</stp>
        <tr r="H1339" s="1"/>
      </tp>
      <tp>
        <v>10.804781134800001</v>
        <stp/>
        <stp>EM_S_FA_YOY_OR</stp>
        <stp>2</stp>
        <stp>600531</stp>
        <stp>12/31/2018</stp>
        <tr r="H855" s="1"/>
      </tp>
      <tp>
        <v>-9.8782367939999993</v>
        <stp/>
        <stp>EM_S_FA_YOY_OR</stp>
        <stp>2</stp>
        <stp>000550</stp>
        <stp>12/31/2018</stp>
        <tr r="H3452" s="1"/>
      </tp>
      <tp>
        <v>40.560158531799999</v>
        <stp/>
        <stp>EM_S_FA_YOY_OR</stp>
        <stp>2</stp>
        <stp>300560</stp>
        <stp>12/31/2018</stp>
        <tr r="H3115" s="1"/>
      </tp>
      <tp>
        <v>-7.7466998477000004</v>
        <stp/>
        <stp>EM_S_FA_YOY_OR</stp>
        <stp>2</stp>
        <stp>600530</stp>
        <stp>12/31/2018</stp>
        <tr r="H1765" s="1"/>
      </tp>
      <tp>
        <v>7.5381341929000003</v>
        <stp/>
        <stp>EM_S_FA_YOY_OR</stp>
        <stp>2</stp>
        <stp>000553</stp>
        <stp>12/31/2018</stp>
        <tr r="H1907" s="1"/>
      </tp>
      <tp>
        <v>14.115750523799999</v>
        <stp/>
        <stp>EM_S_FA_YOY_OR</stp>
        <stp>2</stp>
        <stp>300563</stp>
        <stp>12/31/2018</stp>
        <tr r="H1534" s="1"/>
      </tp>
      <tp>
        <v>36.9390965053</v>
        <stp/>
        <stp>EM_S_FA_YOY_OR</stp>
        <stp>2</stp>
        <stp>600533</stp>
        <stp>12/31/2018</stp>
        <tr r="H1535" s="1"/>
      </tp>
      <tp>
        <v>2.8062092814000001</v>
        <stp/>
        <stp>EM_S_FA_YOY_OR</stp>
        <stp>2</stp>
        <stp>000552</stp>
        <stp>12/31/2018</stp>
        <tr r="H2352" s="1"/>
      </tp>
      <tp>
        <v>-10.5571343958</v>
        <stp/>
        <stp>EM_S_FA_YOY_OR</stp>
        <stp>2</stp>
        <stp>300562</stp>
        <stp>12/31/2018</stp>
        <tr r="H550" s="1"/>
      </tp>
      <tp>
        <v>413.98910888310002</v>
        <stp/>
        <stp>EM_S_FA_YOY_OR</stp>
        <stp>2</stp>
        <stp>600532</stp>
        <stp>12/31/2018</stp>
        <tr r="H2419" s="1"/>
      </tp>
      <tp>
        <v>1.8632856997</v>
        <stp/>
        <stp>EM_S_FA_YOY_OR</stp>
        <stp>2</stp>
        <stp>000559</stp>
        <stp>12/31/2018</stp>
        <tr r="H1985" s="1"/>
      </tp>
      <tp>
        <v>88.828698763999995</v>
        <stp/>
        <stp>EM_S_FA_YOY_OR</stp>
        <stp>2</stp>
        <stp>300569</stp>
        <stp>12/31/2018</stp>
        <tr r="H1506" s="1"/>
      </tp>
      <tp>
        <v>20.832160482500001</v>
        <stp/>
        <stp>EM_S_FA_YOY_OR</stp>
        <stp>2</stp>
        <stp>600539</stp>
        <stp>12/31/2018</stp>
        <tr r="H1929" s="1"/>
      </tp>
      <tp>
        <v>-46.953023108899998</v>
        <stp/>
        <stp>EM_S_FA_YOY_OR</stp>
        <stp>2</stp>
        <stp>000558</stp>
        <stp>12/31/2018</stp>
        <tr r="H3454" s="1"/>
      </tp>
      <tp>
        <v>11.9191790452</v>
        <stp/>
        <stp>EM_S_FA_YOY_OR</stp>
        <stp>2</stp>
        <stp>300568</stp>
        <stp>12/31/2018</stp>
        <tr r="H800" s="1"/>
      </tp>
      <tp>
        <v>-48.324492997</v>
        <stp/>
        <stp>EM_S_FA_YOY_OR</stp>
        <stp>2</stp>
        <stp>600538</stp>
        <stp>12/31/2018</stp>
        <tr r="H1379" s="1"/>
      </tp>
      <tp>
        <v>-82.509491771399993</v>
        <stp/>
        <stp>EM_S_FA_YOY_OR</stp>
        <stp>2</stp>
        <stp>000565</stp>
        <stp>12/31/2018</stp>
        <tr r="H3458" s="1"/>
      </tp>
      <tp>
        <v>-10.1896459822</v>
        <stp/>
        <stp>EM_S_FA_YOY_OR</stp>
        <stp>2</stp>
        <stp>300555</stp>
        <stp>12/31/2018</stp>
        <tr r="H1438" s="1"/>
      </tp>
      <tp>
        <v>2.7877971292999999</v>
        <stp/>
        <stp>EM_S_FA_YOY_OR</stp>
        <stp>2</stp>
        <stp>600505</stp>
        <stp>12/31/2018</stp>
        <tr r="H146" s="1"/>
      </tp>
      <tp>
        <v>-41.657013488300002</v>
        <stp/>
        <stp>EM_S_FA_YOY_OR</stp>
        <stp>2</stp>
        <stp>000564</stp>
        <stp>12/31/2018</stp>
        <tr r="H3457" s="1"/>
      </tp>
      <tp>
        <v>17.446603381100001</v>
        <stp/>
        <stp>EM_S_FA_YOY_OR</stp>
        <stp>2</stp>
        <stp>300554</stp>
        <stp>12/31/2018</stp>
        <tr r="H2839" s="1"/>
      </tp>
      <tp>
        <v>67.345908369499995</v>
        <stp/>
        <stp>EM_S_FA_YOY_OR</stp>
        <stp>2</stp>
        <stp>000567</stp>
        <stp>12/31/2018</stp>
        <tr r="H3459" s="1"/>
      </tp>
      <tp>
        <v>-8.5501510592999992</v>
        <stp/>
        <stp>EM_S_FA_YOY_OR</stp>
        <stp>2</stp>
        <stp>300557</stp>
        <stp>12/31/2018</stp>
        <tr r="H1012" s="1"/>
      </tp>
      <tp>
        <v>23.959565324500002</v>
        <stp/>
        <stp>EM_S_FA_YOY_OR</stp>
        <stp>2</stp>
        <stp>600507</stp>
        <stp>12/31/2018</stp>
        <tr r="H2209" s="1"/>
      </tp>
      <tp>
        <v>35.474977621699999</v>
        <stp/>
        <stp>EM_S_FA_YOY_OR</stp>
        <stp>2</stp>
        <stp>000566</stp>
        <stp>12/31/2018</stp>
        <tr r="H1499" s="1"/>
      </tp>
      <tp>
        <v>40.891882619299999</v>
        <stp/>
        <stp>EM_S_FA_YOY_OR</stp>
        <stp>2</stp>
        <stp>300556</stp>
        <stp>12/31/2018</stp>
        <tr r="H2073" s="1"/>
      </tp>
      <tp>
        <v>-34.849166538200002</v>
        <stp/>
        <stp>EM_S_FA_YOY_OR</stp>
        <stp>2</stp>
        <stp>600506</stp>
        <stp>12/31/2018</stp>
        <tr r="H2132" s="1"/>
      </tp>
      <tp>
        <v>0.58013298629999999</v>
        <stp/>
        <stp>EM_S_FA_YOY_OR</stp>
        <stp>2</stp>
        <stp>000561</stp>
        <stp>12/31/2018</stp>
        <tr r="H926" s="1"/>
      </tp>
      <tp>
        <v>10.101849920599999</v>
        <stp/>
        <stp>EM_S_FA_YOY_OR</stp>
        <stp>2</stp>
        <stp>300551</stp>
        <stp>12/31/2018</stp>
        <tr r="H113" s="1"/>
      </tp>
      <tp>
        <v>-0.14322033419999999</v>
        <stp/>
        <stp>EM_S_FA_YOY_OR</stp>
        <stp>2</stp>
        <stp>600501</stp>
        <stp>12/31/2018</stp>
        <tr r="H972" s="1"/>
      </tp>
      <tp>
        <v>710.909459029</v>
        <stp/>
        <stp>EM_S_FA_YOY_OR</stp>
        <stp>2</stp>
        <stp>000560</stp>
        <stp>12/31/2018</stp>
        <tr r="H2688" s="1"/>
      </tp>
      <tp>
        <v>41.686800514200002</v>
        <stp/>
        <stp>EM_S_FA_YOY_OR</stp>
        <stp>2</stp>
        <stp>300550</stp>
        <stp>12/31/2018</stp>
        <tr r="H3349" s="1"/>
      </tp>
      <tp>
        <v>-4.0173825690999996</v>
        <stp/>
        <stp>EM_S_FA_YOY_OR</stp>
        <stp>2</stp>
        <stp>600500</stp>
        <stp>12/31/2018</stp>
        <tr r="H3109" s="1"/>
      </tp>
      <tp>
        <v>-10.713023567700001</v>
        <stp/>
        <stp>EM_S_FA_YOY_OR</stp>
        <stp>2</stp>
        <stp>000563</stp>
        <stp>12/31/2018</stp>
        <tr r="H3456" s="1"/>
      </tp>
      <tp>
        <v>21.749227042800001</v>
        <stp/>
        <stp>EM_S_FA_YOY_OR</stp>
        <stp>2</stp>
        <stp>300553</stp>
        <stp>12/31/2018</stp>
        <tr r="H1587" s="1"/>
      </tp>
      <tp>
        <v>-81.664343783500001</v>
        <stp/>
        <stp>EM_S_FA_YOY_OR</stp>
        <stp>2</stp>
        <stp>600503</stp>
        <stp>12/31/2018</stp>
        <tr r="H2014" s="1"/>
      </tp>
      <tp>
        <v>0</v>
        <stp/>
        <stp>EM_S_FA_YOY_OR</stp>
        <stp>2</stp>
        <stp>000562</stp>
        <stp>12/31/2018</stp>
        <tr r="H3455" s="1"/>
      </tp>
      <tp>
        <v>10.1333008937</v>
        <stp/>
        <stp>EM_S_FA_YOY_OR</stp>
        <stp>2</stp>
        <stp>300552</stp>
        <stp>12/31/2018</stp>
        <tr r="H15" s="1"/>
      </tp>
      <tp>
        <v>9.5069795448000001</v>
        <stp/>
        <stp>EM_S_FA_YOY_OR</stp>
        <stp>2</stp>
        <stp>600502</stp>
        <stp>12/31/2018</stp>
        <tr r="H1556" s="1"/>
      </tp>
      <tp>
        <v>0</v>
        <stp/>
        <stp>EM_S_FA_YOY_OR</stp>
        <stp>2</stp>
        <stp>000569</stp>
        <stp>12/31/2018</stp>
        <tr r="H3460" s="1"/>
      </tp>
      <tp>
        <v>103.133311866</v>
        <stp/>
        <stp>EM_S_FA_YOY_OR</stp>
        <stp>2</stp>
        <stp>300559</stp>
        <stp>12/31/2018</stp>
        <tr r="H2942" s="1"/>
      </tp>
      <tp>
        <v>16.943759377100001</v>
        <stp/>
        <stp>EM_S_FA_YOY_OR</stp>
        <stp>2</stp>
        <stp>600509</stp>
        <stp>12/31/2018</stp>
        <tr r="H2207" s="1"/>
      </tp>
      <tp>
        <v>25.595307201000001</v>
        <stp/>
        <stp>EM_S_FA_YOY_OR</stp>
        <stp>2</stp>
        <stp>000568</stp>
        <stp>12/31/2018</stp>
        <tr r="H129" s="1"/>
      </tp>
      <tp>
        <v>19.2732930745</v>
        <stp/>
        <stp>EM_S_FA_YOY_OR</stp>
        <stp>2</stp>
        <stp>300558</stp>
        <stp>12/31/2018</stp>
        <tr r="H157" s="1"/>
      </tp>
      <tp>
        <v>8.1326876182000003</v>
        <stp/>
        <stp>EM_S_FA_YOY_OR</stp>
        <stp>2</stp>
        <stp>600508</stp>
        <stp>12/31/2018</stp>
        <tr r="H2440" s="1"/>
      </tp>
      <tp>
        <v>42.316405508999999</v>
        <stp/>
        <stp>EM_S_FA_YOY_OR</stp>
        <stp>2</stp>
        <stp>300545</stp>
        <stp>12/31/2018</stp>
        <tr r="H1071" s="1"/>
      </tp>
      <tp>
        <v>-1.3550108857000001</v>
        <stp/>
        <stp>EM_S_FA_YOY_OR</stp>
        <stp>2</stp>
        <stp>600515</stp>
        <stp>12/31/2018</stp>
        <tr r="H2485" s="1"/>
      </tp>
      <tp>
        <v>-5.7748731838999996</v>
        <stp/>
        <stp>EM_S_FA_YOY_OR</stp>
        <stp>2</stp>
        <stp>300547</stp>
        <stp>12/31/2018</stp>
        <tr r="H3328" s="1"/>
      </tp>
      <tp>
        <v>-13.971767075000001</v>
        <stp/>
        <stp>EM_S_FA_YOY_OR</stp>
        <stp>2</stp>
        <stp>600517</stp>
        <stp>12/31/2018</stp>
        <tr r="H72" s="1"/>
      </tp>
      <tp>
        <v>-13.8489321723</v>
        <stp/>
        <stp>EM_S_FA_YOY_OR</stp>
        <stp>2</stp>
        <stp>000576</stp>
        <stp>12/31/2018</stp>
        <tr r="H1024" s="1"/>
      </tp>
      <tp>
        <v>57.9709035001</v>
        <stp/>
        <stp>EM_S_FA_YOY_OR</stp>
        <stp>2</stp>
        <stp>300546</stp>
        <stp>12/31/2018</stp>
        <tr r="H1654" s="1"/>
      </tp>
      <tp>
        <v>39.524432698699997</v>
        <stp/>
        <stp>EM_S_FA_YOY_OR</stp>
        <stp>2</stp>
        <stp>600516</stp>
        <stp>12/31/2018</stp>
        <tr r="H3163" s="1"/>
      </tp>
      <tp>
        <v>-0.91380901010000004</v>
        <stp/>
        <stp>EM_S_FA_YOY_OR</stp>
        <stp>2</stp>
        <stp>000571</stp>
        <stp>12/31/2018</stp>
        <tr r="H3462" s="1"/>
      </tp>
      <tp>
        <v>37.418420534600003</v>
        <stp/>
        <stp>EM_S_FA_YOY_OR</stp>
        <stp>2</stp>
        <stp>300541</stp>
        <stp>12/31/2018</stp>
        <tr r="H463" s="1"/>
      </tp>
      <tp>
        <v>6.7661511348000003</v>
        <stp/>
        <stp>EM_S_FA_YOY_OR</stp>
        <stp>2</stp>
        <stp>600511</stp>
        <stp>12/31/2018</stp>
        <tr r="H1450" s="1"/>
      </tp>
      <tp>
        <v>-11.974790736999999</v>
        <stp/>
        <stp>EM_S_FA_YOY_OR</stp>
        <stp>2</stp>
        <stp>000570</stp>
        <stp>12/31/2018</stp>
        <tr r="H3461" s="1"/>
      </tp>
      <tp>
        <v>43.113352060899999</v>
        <stp/>
        <stp>EM_S_FA_YOY_OR</stp>
        <stp>2</stp>
        <stp>300540</stp>
        <stp>12/31/2018</stp>
        <tr r="H1366" s="1"/>
      </tp>
      <tp>
        <v>7.4586789439999999</v>
        <stp/>
        <stp>EM_S_FA_YOY_OR</stp>
        <stp>2</stp>
        <stp>600510</stp>
        <stp>12/31/2018</stp>
        <tr r="H1618" s="1"/>
      </tp>
      <tp>
        <v>61.149028549000001</v>
        <stp/>
        <stp>EM_S_FA_YOY_OR</stp>
        <stp>2</stp>
        <stp>000573</stp>
        <stp>12/31/2018</stp>
        <tr r="H2239" s="1"/>
      </tp>
      <tp>
        <v>1.4388613142</v>
        <stp/>
        <stp>EM_S_FA_YOY_OR</stp>
        <stp>2</stp>
        <stp>300543</stp>
        <stp>12/31/2018</stp>
        <tr r="H759" s="1"/>
      </tp>
      <tp>
        <v>47.908822323499997</v>
        <stp/>
        <stp>EM_S_FA_YOY_OR</stp>
        <stp>2</stp>
        <stp>600513</stp>
        <stp>12/31/2018</stp>
        <tr r="H1324" s="1"/>
      </tp>
      <tp>
        <v>-47.877173016199997</v>
        <stp/>
        <stp>EM_S_FA_YOY_OR</stp>
        <stp>2</stp>
        <stp>000572</stp>
        <stp>12/31/2018</stp>
        <tr r="H3463" s="1"/>
      </tp>
      <tp>
        <v>35.079117562599997</v>
        <stp/>
        <stp>EM_S_FA_YOY_OR</stp>
        <stp>2</stp>
        <stp>300542</stp>
        <stp>12/31/2018</stp>
        <tr r="H1783" s="1"/>
      </tp>
      <tp>
        <v>-2.1282295649999998</v>
        <stp/>
        <stp>EM_S_FA_YOY_OR</stp>
        <stp>2</stp>
        <stp>600512</stp>
        <stp>12/31/2018</stp>
        <tr r="H947" s="1"/>
      </tp>
      <tp>
        <v>-17.3304663483</v>
        <stp/>
        <stp>EM_S_FA_YOY_OR</stp>
        <stp>2</stp>
        <stp>300549</stp>
        <stp>12/31/2018</stp>
        <tr r="H1330" s="1"/>
      </tp>
      <tp>
        <v>26.488453415799999</v>
        <stp/>
        <stp>EM_S_FA_YOY_OR</stp>
        <stp>2</stp>
        <stp>600519</stp>
        <stp>12/31/2018</stp>
        <tr r="H160" s="1"/>
      </tp>
      <tp>
        <v>0</v>
        <stp/>
        <stp>EM_S_FA_YOY_OR</stp>
        <stp>2</stp>
        <stp>000578</stp>
        <stp>12/31/2018</stp>
        <tr r="H3464" s="1"/>
      </tp>
      <tp>
        <v>-21.225080693500001</v>
        <stp/>
        <stp>EM_S_FA_YOY_OR</stp>
        <stp>2</stp>
        <stp>300548</stp>
        <stp>12/31/2018</stp>
        <tr r="H199" s="1"/>
      </tp>
      <tp>
        <v>10.112368737400001</v>
        <stp/>
        <stp>EM_S_FA_YOY_OR</stp>
        <stp>2</stp>
        <stp>600518</stp>
        <stp>12/31/2018</stp>
        <tr r="H3393" s="1"/>
      </tp>
      <tp>
        <v>0.46599496221662468</v>
        <stp/>
        <stp>EM_S_VAL_DIVIDENDYIELD2</stp>
        <stp>3</stp>
        <stp>002221</stp>
        <stp>12/31/2018</stp>
        <stp>2019-11-29</stp>
        <tr r="Q2543" s="1"/>
      </tp>
      <tp>
        <v>0</v>
        <stp/>
        <stp>EM_S_VAL_DIVIDENDYIELD2</stp>
        <stp>3</stp>
        <stp>002231</stp>
        <stp>12/31/2018</stp>
        <stp>2019-11-29</stp>
        <tr r="Q2167" s="1"/>
      </tp>
      <tp>
        <v>0</v>
        <stp/>
        <stp>EM_S_VAL_DIVIDENDYIELD2</stp>
        <stp>3</stp>
        <stp>002201</stp>
        <stp>12/31/2018</stp>
        <stp>2019-11-29</stp>
        <tr r="Q33" s="1"/>
      </tp>
      <tp>
        <v>0</v>
        <stp/>
        <stp>EM_S_VAL_DIVIDENDYIELD2</stp>
        <stp>3</stp>
        <stp>002211</stp>
        <stp>12/31/2018</stp>
        <stp>2019-11-29</stp>
        <tr r="Q822" s="1"/>
      </tp>
      <tp>
        <v>0</v>
        <stp/>
        <stp>EM_S_VAL_DIVIDENDYIELD2</stp>
        <stp>3</stp>
        <stp>002261</stp>
        <stp>12/31/2018</stp>
        <stp>2019-11-29</stp>
        <tr r="Q164" s="1"/>
      </tp>
      <tp>
        <v>1.2568832785070767</v>
        <stp/>
        <stp>EM_S_VAL_DIVIDENDYIELD2</stp>
        <stp>3</stp>
        <stp>002271</stp>
        <stp>12/31/2018</stp>
        <stp>2019-11-29</stp>
        <tr r="Q152" s="1"/>
      </tp>
      <tp>
        <v>0.51572975760701389</v>
        <stp/>
        <stp>EM_S_VAL_DIVIDENDYIELD2</stp>
        <stp>3</stp>
        <stp>002241</stp>
        <stp>12/31/2018</stp>
        <stp>2019-11-29</stp>
        <tr r="Q52" s="1"/>
      </tp>
      <tp>
        <v>1.1111111111111112</v>
        <stp/>
        <stp>EM_S_VAL_DIVIDENDYIELD2</stp>
        <stp>3</stp>
        <stp>002251</stp>
        <stp>12/31/2018</stp>
        <stp>2019-11-29</stp>
        <tr r="Q1280" s="1"/>
      </tp>
      <tp>
        <v>0.60931899641577048</v>
        <stp/>
        <stp>EM_S_VAL_DIVIDENDYIELD2</stp>
        <stp>3</stp>
        <stp>002281</stp>
        <stp>12/31/2018</stp>
        <stp>2019-11-29</stp>
        <tr r="Q1737" s="1"/>
      </tp>
      <tp>
        <v>0</v>
        <stp/>
        <stp>EM_S_VAL_DIVIDENDYIELD2</stp>
        <stp>3</stp>
        <stp>002291</stp>
        <stp>12/31/2018</stp>
        <stp>2019-11-29</stp>
        <tr r="Q28" s="1"/>
      </tp>
      <tp>
        <v>0</v>
        <stp/>
        <stp>EM_S_VAL_DIVIDENDYIELD2</stp>
        <stp>3</stp>
        <stp>002321</stp>
        <stp>12/31/2018</stp>
        <stp>2019-11-29</stp>
        <tr r="Q1897" s="1"/>
      </tp>
      <tp>
        <v>0.33117645222828723</v>
        <stp/>
        <stp>EM_S_VAL_DIVIDENDYIELD2</stp>
        <stp>3</stp>
        <stp>002331</stp>
        <stp>12/31/2018</stp>
        <stp>2019-11-29</stp>
        <tr r="Q1715" s="1"/>
      </tp>
      <tp>
        <v>2.0638027990217815</v>
        <stp/>
        <stp>EM_S_VAL_DIVIDENDYIELD2</stp>
        <stp>3</stp>
        <stp>002301</stp>
        <stp>12/31/2018</stp>
        <stp>2019-11-29</stp>
        <tr r="Q732" s="1"/>
      </tp>
      <tp>
        <v>0.97719869706840379</v>
        <stp/>
        <stp>EM_S_VAL_DIVIDENDYIELD2</stp>
        <stp>3</stp>
        <stp>002311</stp>
        <stp>12/31/2018</stp>
        <stp>2019-11-29</stp>
        <tr r="Q476" s="1"/>
      </tp>
      <tp>
        <v>2.392344497607656</v>
        <stp/>
        <stp>EM_S_VAL_DIVIDENDYIELD2</stp>
        <stp>3</stp>
        <stp>002361</stp>
        <stp>12/31/2018</stp>
        <stp>2019-11-29</stp>
        <tr r="Q1315" s="1"/>
      </tp>
      <tp>
        <v>6.207221847554991E-2</v>
        <stp/>
        <stp>EM_S_VAL_DIVIDENDYIELD2</stp>
        <stp>3</stp>
        <stp>002371</stp>
        <stp>12/31/2018</stp>
        <stp>2019-11-29</stp>
        <tr r="Q103" s="1"/>
      </tp>
      <tp>
        <v>0.5252003891050584</v>
        <stp/>
        <stp>EM_S_VAL_DIVIDENDYIELD2</stp>
        <stp>3</stp>
        <stp>002341</stp>
        <stp>12/31/2018</stp>
        <stp>2019-11-29</stp>
        <tr r="Q3376" s="1"/>
      </tp>
      <tp>
        <v>0.65390277274018094</v>
        <stp/>
        <stp>EM_S_VAL_DIVIDENDYIELD2</stp>
        <stp>3</stp>
        <stp>002351</stp>
        <stp>12/31/2018</stp>
        <stp>2019-11-29</stp>
        <tr r="Q22" s="1"/>
      </tp>
      <tp>
        <v>2.7148094868506791</v>
        <stp/>
        <stp>EM_S_VAL_DIVIDENDYIELD2</stp>
        <stp>3</stp>
        <stp>002381</stp>
        <stp>12/31/2018</stp>
        <stp>2019-11-29</stp>
        <tr r="Q1089" s="1"/>
      </tp>
      <tp>
        <v>2.5738702025375444</v>
        <stp/>
        <stp>EM_S_VAL_DIVIDENDYIELD2</stp>
        <stp>3</stp>
        <stp>002391</stp>
        <stp>12/31/2018</stp>
        <stp>2019-11-29</stp>
        <tr r="Q3106" s="1"/>
      </tp>
      <tp>
        <v>0</v>
        <stp/>
        <stp>EM_S_VAL_DIVIDENDYIELD2</stp>
        <stp>3</stp>
        <stp>002021</stp>
        <stp>12/31/2018</stp>
        <stp>2019-11-29</stp>
        <tr r="Q3609" s="1"/>
      </tp>
      <tp>
        <v>5.2631578947368418E-2</v>
        <stp/>
        <stp>EM_S_VAL_DIVIDENDYIELD2</stp>
        <stp>3</stp>
        <stp>002031</stp>
        <stp>12/31/2018</stp>
        <stp>2019-11-29</stp>
        <tr r="Q1994" s="1"/>
      </tp>
      <tp>
        <v>3.286384976525822</v>
        <stp/>
        <stp>EM_S_VAL_DIVIDENDYIELD2</stp>
        <stp>3</stp>
        <stp>002001</stp>
        <stp>12/31/2018</stp>
        <stp>2019-11-29</stp>
        <tr r="Q565" s="1"/>
      </tp>
      <tp>
        <v>0</v>
        <stp/>
        <stp>EM_S_VAL_DIVIDENDYIELD2</stp>
        <stp>3</stp>
        <stp>002011</stp>
        <stp>12/31/2018</stp>
        <stp>2019-11-29</stp>
        <tr r="Q3606" s="1"/>
      </tp>
      <tp>
        <v>2.1428571428571423</v>
        <stp/>
        <stp>EM_S_VAL_DIVIDENDYIELD2</stp>
        <stp>3</stp>
        <stp>002061</stp>
        <stp>12/31/2018</stp>
        <stp>2019-11-29</stp>
        <tr r="Q3337" s="1"/>
      </tp>
      <tp>
        <v>0</v>
        <stp/>
        <stp>EM_S_VAL_DIVIDENDYIELD2</stp>
        <stp>3</stp>
        <stp>002071</stp>
        <stp>12/31/2018</stp>
        <stp>2019-11-29</stp>
        <tr r="Q3623" s="1"/>
      </tp>
      <tp>
        <v>0</v>
        <stp/>
        <stp>EM_S_VAL_DIVIDENDYIELD2</stp>
        <stp>3</stp>
        <stp>002041</stp>
        <stp>12/31/2018</stp>
        <stp>2019-11-29</stp>
        <tr r="Q3615" s="1"/>
      </tp>
      <tp>
        <v>3.3146488093729629</v>
        <stp/>
        <stp>EM_S_VAL_DIVIDENDYIELD2</stp>
        <stp>3</stp>
        <stp>002051</stp>
        <stp>12/31/2018</stp>
        <stp>2019-11-29</stp>
        <tr r="Q3617" s="1"/>
      </tp>
      <tp>
        <v>2.4844720496894408</v>
        <stp/>
        <stp>EM_S_VAL_DIVIDENDYIELD2</stp>
        <stp>3</stp>
        <stp>002081</stp>
        <stp>12/31/2018</stp>
        <stp>2019-11-29</stp>
        <tr r="Q1856" s="1"/>
      </tp>
      <tp>
        <v>3.3057851239669422</v>
        <stp/>
        <stp>EM_S_VAL_DIVIDENDYIELD2</stp>
        <stp>3</stp>
        <stp>002091</stp>
        <stp>12/31/2018</stp>
        <stp>2019-11-29</stp>
        <tr r="Q1200" s="1"/>
      </tp>
      <tp>
        <v>0</v>
        <stp/>
        <stp>EM_S_VAL_DIVIDENDYIELD2</stp>
        <stp>3</stp>
        <stp>002121</stp>
        <stp>12/31/2018</stp>
        <stp>2019-11-29</stp>
        <tr r="Q3639" s="1"/>
      </tp>
      <tp>
        <v>0</v>
        <stp/>
        <stp>EM_S_VAL_DIVIDENDYIELD2</stp>
        <stp>3</stp>
        <stp>002131</stp>
        <stp>12/31/2018</stp>
        <stp>2019-11-29</stp>
        <tr r="Q178" s="1"/>
      </tp>
      <tp>
        <v>4.6528803545051689</v>
        <stp/>
        <stp>EM_S_VAL_DIVIDENDYIELD2</stp>
        <stp>3</stp>
        <stp>002101</stp>
        <stp>12/31/2018</stp>
        <stp>2019-11-29</stp>
        <tr r="Q2834" s="1"/>
      </tp>
      <tp>
        <v>2.5125105932203389</v>
        <stp/>
        <stp>EM_S_VAL_DIVIDENDYIELD2</stp>
        <stp>3</stp>
        <stp>002111</stp>
        <stp>12/31/2018</stp>
        <stp>2019-11-29</stp>
        <tr r="Q421" s="1"/>
      </tp>
      <tp>
        <v>0</v>
        <stp/>
        <stp>EM_S_VAL_DIVIDENDYIELD2</stp>
        <stp>3</stp>
        <stp>002161</stp>
        <stp>12/31/2018</stp>
        <stp>2019-11-29</stp>
        <tr r="Q278" s="1"/>
      </tp>
      <tp>
        <v>0</v>
        <stp/>
        <stp>EM_S_VAL_DIVIDENDYIELD2</stp>
        <stp>3</stp>
        <stp>002171</stp>
        <stp>12/31/2018</stp>
        <stp>2019-11-29</stp>
        <tr r="Q435" s="1"/>
      </tp>
      <tp>
        <v>0</v>
        <stp/>
        <stp>EM_S_VAL_DIVIDENDYIELD2</stp>
        <stp>3</stp>
        <stp>002141</stp>
        <stp>12/31/2018</stp>
        <stp>2019-11-29</stp>
        <tr r="Q2946" s="1"/>
      </tp>
      <tp>
        <v>0.33795502369386782</v>
        <stp/>
        <stp>EM_S_VAL_DIVIDENDYIELD2</stp>
        <stp>3</stp>
        <stp>002151</stp>
        <stp>12/31/2018</stp>
        <stp>2019-11-29</stp>
        <tr r="Q1237" s="1"/>
      </tp>
      <tp>
        <v>0.25641025641025639</v>
        <stp/>
        <stp>EM_S_VAL_DIVIDENDYIELD2</stp>
        <stp>3</stp>
        <stp>002181</stp>
        <stp>12/31/2018</stp>
        <stp>2019-11-29</stp>
        <tr r="Q406" s="1"/>
      </tp>
      <tp>
        <v>2.6929982046678633</v>
        <stp/>
        <stp>EM_S_VAL_DIVIDENDYIELD2</stp>
        <stp>3</stp>
        <stp>002191</stp>
        <stp>12/31/2018</stp>
        <stp>2019-11-29</stp>
        <tr r="Q626" s="1"/>
      </tp>
      <tp>
        <v>0.1020406581702836</v>
        <stp/>
        <stp>EM_S_VAL_DIVIDENDYIELD2</stp>
        <stp>3</stp>
        <stp>002621</stp>
        <stp>12/31/2018</stp>
        <stp>2019-11-29</stp>
        <tr r="Q3271" s="1"/>
      </tp>
      <tp>
        <v>0.86785869415750383</v>
        <stp/>
        <stp>EM_S_VAL_DIVIDENDYIELD2</stp>
        <stp>3</stp>
        <stp>002631</stp>
        <stp>12/31/2018</stp>
        <stp>2019-11-29</stp>
        <tr r="Q1082" s="1"/>
      </tp>
      <tp>
        <v>0.76923076923076927</v>
        <stp/>
        <stp>EM_S_VAL_DIVIDENDYIELD2</stp>
        <stp>3</stp>
        <stp>002601</stp>
        <stp>12/31/2018</stp>
        <stp>2019-11-29</stp>
        <tr r="Q1076" s="1"/>
      </tp>
      <tp>
        <v>0</v>
        <stp/>
        <stp>EM_S_VAL_DIVIDENDYIELD2</stp>
        <stp>3</stp>
        <stp>002611</stp>
        <stp>12/31/2018</stp>
        <stp>2019-11-29</stp>
        <tr r="Q1539" s="1"/>
      </tp>
      <tp>
        <v>2.2939385568665855</v>
        <stp/>
        <stp>EM_S_VAL_DIVIDENDYIELD2</stp>
        <stp>3</stp>
        <stp>002661</stp>
        <stp>12/31/2018</stp>
        <stp>2019-11-29</stp>
        <tr r="Q2711" s="1"/>
      </tp>
      <tp>
        <v>0</v>
        <stp/>
        <stp>EM_S_VAL_DIVIDENDYIELD2</stp>
        <stp>3</stp>
        <stp>002671</stp>
        <stp>12/31/2018</stp>
        <stp>2019-11-29</stp>
        <tr r="Q1752" s="1"/>
      </tp>
      <tp>
        <v>0.73991031390134532</v>
        <stp/>
        <stp>EM_S_VAL_DIVIDENDYIELD2</stp>
        <stp>3</stp>
        <stp>002641</stp>
        <stp>12/31/2018</stp>
        <stp>2019-11-29</stp>
        <tr r="Q718" s="1"/>
      </tp>
      <tp>
        <v>1.3129102844638949</v>
        <stp/>
        <stp>EM_S_VAL_DIVIDENDYIELD2</stp>
        <stp>3</stp>
        <stp>002651</stp>
        <stp>12/31/2018</stp>
        <stp>2019-11-29</stp>
        <tr r="Q1383" s="1"/>
      </tp>
      <tp>
        <v>0</v>
        <stp/>
        <stp>EM_S_VAL_DIVIDENDYIELD2</stp>
        <stp>3</stp>
        <stp>002681</stp>
        <stp>12/31/2018</stp>
        <stp>2019-11-29</stp>
        <tr r="Q536" s="1"/>
      </tp>
      <tp>
        <v>0.12089810017271159</v>
        <stp/>
        <stp>EM_S_VAL_DIVIDENDYIELD2</stp>
        <stp>3</stp>
        <stp>002691</stp>
        <stp>12/31/2018</stp>
        <stp>2019-11-29</stp>
        <tr r="Q3060" s="1"/>
      </tp>
      <tp>
        <v>0</v>
        <stp/>
        <stp>EM_S_VAL_DIVIDENDYIELD2</stp>
        <stp>3</stp>
        <stp>002721</stp>
        <stp>12/31/2018</stp>
        <stp>2019-11-29</stp>
        <tr r="Q2808" s="1"/>
      </tp>
      <tp>
        <v>0.40016006402561027</v>
        <stp/>
        <stp>EM_S_VAL_DIVIDENDYIELD2</stp>
        <stp>3</stp>
        <stp>002731</stp>
        <stp>12/31/2018</stp>
        <stp>2019-11-29</stp>
        <tr r="Q3386" s="1"/>
      </tp>
      <tp>
        <v>0</v>
        <stp/>
        <stp>EM_S_VAL_DIVIDENDYIELD2</stp>
        <stp>3</stp>
        <stp>002701</stp>
        <stp>12/31/2018</stp>
        <stp>2019-11-29</stp>
        <tr r="Q2874" s="1"/>
      </tp>
      <tp>
        <v>0</v>
        <stp/>
        <stp>EM_S_VAL_DIVIDENDYIELD2</stp>
        <stp>3</stp>
        <stp>002711</stp>
        <stp>12/31/2018</stp>
        <stp>2019-11-29</stp>
        <tr r="Q3398" s="1"/>
      </tp>
      <tp>
        <v>0.10168285118714729</v>
        <stp/>
        <stp>EM_S_VAL_DIVIDENDYIELD2</stp>
        <stp>3</stp>
        <stp>002761</stp>
        <stp>12/31/2018</stp>
        <stp>2019-11-29</stp>
        <tr r="Q3296" s="1"/>
      </tp>
      <tp>
        <v>0.55957621428038495</v>
        <stp/>
        <stp>EM_S_VAL_DIVIDENDYIELD2</stp>
        <stp>3</stp>
        <stp>002771</stp>
        <stp>12/31/2018</stp>
        <stp>2019-11-29</stp>
        <tr r="Q2174" s="1"/>
      </tp>
      <tp>
        <v>0.76922220401894881</v>
        <stp/>
        <stp>EM_S_VAL_DIVIDENDYIELD2</stp>
        <stp>3</stp>
        <stp>002741</stp>
        <stp>12/31/2018</stp>
        <stp>2019-11-29</stp>
        <tr r="Q3107" s="1"/>
      </tp>
      <tp>
        <v>8.9847259658580425E-2</v>
        <stp/>
        <stp>EM_S_VAL_DIVIDENDYIELD2</stp>
        <stp>3</stp>
        <stp>002751</stp>
        <stp>12/31/2018</stp>
        <stp>2019-11-29</stp>
        <tr r="Q1394" s="1"/>
      </tp>
      <tp>
        <v>0.45399515738498786</v>
        <stp/>
        <stp>EM_S_VAL_DIVIDENDYIELD2</stp>
        <stp>3</stp>
        <stp>002781</stp>
        <stp>12/31/2018</stp>
        <stp>2019-11-29</stp>
        <tr r="Q1532" s="1"/>
      </tp>
      <tp>
        <v>0.36036036036036034</v>
        <stp/>
        <stp>EM_S_VAL_DIVIDENDYIELD2</stp>
        <stp>3</stp>
        <stp>002791</stp>
        <stp>12/31/2018</stp>
        <stp>2019-11-29</stp>
        <tr r="Q43" s="1"/>
      </tp>
      <tp>
        <v>0</v>
        <stp/>
        <stp>EM_S_VAL_DIVIDENDYIELD2</stp>
        <stp>3</stp>
        <stp>002421</stp>
        <stp>12/31/2018</stp>
        <stp>2019-11-29</stp>
        <tr r="Q2669" s="1"/>
      </tp>
      <tp>
        <v>0</v>
        <stp/>
        <stp>EM_S_VAL_DIVIDENDYIELD2</stp>
        <stp>3</stp>
        <stp>002431</stp>
        <stp>12/31/2018</stp>
        <stp>2019-11-29</stp>
        <tr r="Q2936" s="1"/>
      </tp>
      <tp>
        <v>0.46992481203007519</v>
        <stp/>
        <stp>EM_S_VAL_DIVIDENDYIELD2</stp>
        <stp>3</stp>
        <stp>002401</stp>
        <stp>12/31/2018</stp>
        <stp>2019-11-29</stp>
        <tr r="Q1098" s="1"/>
      </tp>
      <tp>
        <v>0</v>
        <stp/>
        <stp>EM_S_VAL_DIVIDENDYIELD2</stp>
        <stp>3</stp>
        <stp>002411</stp>
        <stp>12/31/2018</stp>
        <stp>2019-11-29</stp>
        <tr r="Q3164" s="1"/>
      </tp>
      <tp>
        <v>1.4064697609001409</v>
        <stp/>
        <stp>EM_S_VAL_DIVIDENDYIELD2</stp>
        <stp>3</stp>
        <stp>002461</stp>
        <stp>12/31/2018</stp>
        <stp>2019-11-29</stp>
        <tr r="Q428" s="1"/>
      </tp>
      <tp>
        <v>0.26086956521739135</v>
        <stp/>
        <stp>EM_S_VAL_DIVIDENDYIELD2</stp>
        <stp>3</stp>
        <stp>002471</stp>
        <stp>12/31/2018</stp>
        <stp>2019-11-29</stp>
        <tr r="Q2871" s="1"/>
      </tp>
      <tp>
        <v>3.0973451327433632</v>
        <stp/>
        <stp>EM_S_VAL_DIVIDENDYIELD2</stp>
        <stp>3</stp>
        <stp>002441</stp>
        <stp>12/31/2018</stp>
        <stp>2019-11-29</stp>
        <tr r="Q1561" s="1"/>
      </tp>
      <tp>
        <v>0</v>
        <stp/>
        <stp>EM_S_VAL_DIVIDENDYIELD2</stp>
        <stp>3</stp>
        <stp>002451</stp>
        <stp>12/31/2018</stp>
        <stp>2019-11-29</stp>
        <tr r="Q3095" s="1"/>
      </tp>
      <tp>
        <v>0</v>
        <stp/>
        <stp>EM_S_VAL_DIVIDENDYIELD2</stp>
        <stp>3</stp>
        <stp>002481</stp>
        <stp>12/31/2018</stp>
        <stp>2019-11-29</stp>
        <tr r="Q57" s="1"/>
      </tp>
      <tp>
        <v>0.75528700906344415</v>
        <stp/>
        <stp>EM_S_VAL_DIVIDENDYIELD2</stp>
        <stp>3</stp>
        <stp>002491</stp>
        <stp>12/31/2018</stp>
        <stp>2019-11-29</stp>
        <tr r="Q2970" s="1"/>
      </tp>
      <tp>
        <v>0.89285714285714302</v>
        <stp/>
        <stp>EM_S_VAL_DIVIDENDYIELD2</stp>
        <stp>3</stp>
        <stp>002521</stp>
        <stp>12/31/2018</stp>
        <stp>2019-11-29</stp>
        <tr r="Q1904" s="1"/>
      </tp>
      <tp>
        <v>1.0191762711864407</v>
        <stp/>
        <stp>EM_S_VAL_DIVIDENDYIELD2</stp>
        <stp>3</stp>
        <stp>002531</stp>
        <stp>12/31/2018</stp>
        <stp>2019-11-29</stp>
        <tr r="Q787" s="1"/>
      </tp>
      <tp>
        <v>0</v>
        <stp/>
        <stp>EM_S_VAL_DIVIDENDYIELD2</stp>
        <stp>3</stp>
        <stp>002501</stp>
        <stp>12/31/2018</stp>
        <stp>2019-11-29</stp>
        <tr r="Q3330" s="1"/>
      </tp>
      <tp>
        <v>0.17795089122760738</v>
        <stp/>
        <stp>EM_S_VAL_DIVIDENDYIELD2</stp>
        <stp>3</stp>
        <stp>002511</stp>
        <stp>12/31/2018</stp>
        <stp>2019-11-29</stp>
        <tr r="Q611" s="1"/>
      </tp>
      <tp>
        <v>4.5512010113780024</v>
        <stp/>
        <stp>EM_S_VAL_DIVIDENDYIELD2</stp>
        <stp>3</stp>
        <stp>002561</stp>
        <stp>12/31/2018</stp>
        <stp>2019-11-29</stp>
        <tr r="Q1959" s="1"/>
      </tp>
      <tp>
        <v>0</v>
        <stp/>
        <stp>EM_S_VAL_DIVIDENDYIELD2</stp>
        <stp>3</stp>
        <stp>002571</stp>
        <stp>12/31/2018</stp>
        <stp>2019-11-29</stp>
        <tr r="Q2579" s="1"/>
      </tp>
      <tp>
        <v>0.87358684480986626</v>
        <stp/>
        <stp>EM_S_VAL_DIVIDENDYIELD2</stp>
        <stp>3</stp>
        <stp>002541</stp>
        <stp>12/31/2018</stp>
        <stp>2019-11-29</stp>
        <tr r="Q538" s="1"/>
      </tp>
      <tp>
        <v>1.1184991581000792</v>
        <stp/>
        <stp>EM_S_VAL_DIVIDENDYIELD2</stp>
        <stp>3</stp>
        <stp>002551</stp>
        <stp>12/31/2018</stp>
        <stp>2019-11-29</stp>
        <tr r="Q2390" s="1"/>
      </tp>
      <tp>
        <v>0</v>
        <stp/>
        <stp>EM_S_VAL_DIVIDENDYIELD2</stp>
        <stp>3</stp>
        <stp>002581</stp>
        <stp>12/31/2018</stp>
        <stp>2019-11-29</stp>
        <tr r="Q2170" s="1"/>
      </tp>
      <tp>
        <v>0</v>
        <stp/>
        <stp>EM_S_VAL_DIVIDENDYIELD2</stp>
        <stp>3</stp>
        <stp>002591</stp>
        <stp>12/31/2018</stp>
        <stp>2019-11-29</stp>
        <tr r="Q814" s="1"/>
      </tp>
      <tp>
        <v>0.32520325203252037</v>
        <stp/>
        <stp>EM_S_VAL_DIVIDENDYIELD2</stp>
        <stp>3</stp>
        <stp>002821</stp>
        <stp>12/31/2018</stp>
        <stp>2019-11-29</stp>
        <tr r="Q209" s="1"/>
      </tp>
      <tp>
        <v>1.1392018200572587</v>
        <stp/>
        <stp>EM_S_VAL_DIVIDENDYIELD2</stp>
        <stp>3</stp>
        <stp>002831</stp>
        <stp>12/31/2018</stp>
        <stp>2019-11-29</stp>
        <tr r="Q3252" s="1"/>
      </tp>
      <tp>
        <v>0.88261253309796994</v>
        <stp/>
        <stp>EM_S_VAL_DIVIDENDYIELD2</stp>
        <stp>3</stp>
        <stp>002801</stp>
        <stp>12/31/2018</stp>
        <stp>2019-11-29</stp>
        <tr r="Q345" s="1"/>
      </tp>
      <tp>
        <v>1.3175230566534915</v>
        <stp/>
        <stp>EM_S_VAL_DIVIDENDYIELD2</stp>
        <stp>3</stp>
        <stp>002811</stp>
        <stp>12/31/2018</stp>
        <stp>2019-11-29</stp>
        <tr r="Q2796" s="1"/>
      </tp>
      <tp>
        <v>0.52493438320209973</v>
        <stp/>
        <stp>EM_S_VAL_DIVIDENDYIELD2</stp>
        <stp>3</stp>
        <stp>002861</stp>
        <stp>12/31/2018</stp>
        <stp>2019-11-29</stp>
        <tr r="Q286" s="1"/>
      </tp>
      <tp>
        <v>1.0712372790573113</v>
        <stp/>
        <stp>EM_S_VAL_DIVIDENDYIELD2</stp>
        <stp>3</stp>
        <stp>002871</stp>
        <stp>12/31/2018</stp>
        <stp>2019-11-29</stp>
        <tr r="Q2391" s="1"/>
      </tp>
      <tp>
        <v>0.63307501424969692</v>
        <stp/>
        <stp>EM_S_VAL_DIVIDENDYIELD2</stp>
        <stp>3</stp>
        <stp>002841</stp>
        <stp>12/31/2018</stp>
        <stp>2019-11-29</stp>
        <tr r="Q563" s="1"/>
      </tp>
      <tp>
        <v>0.44765840220385678</v>
        <stp/>
        <stp>EM_S_VAL_DIVIDENDYIELD2</stp>
        <stp>3</stp>
        <stp>002851</stp>
        <stp>12/31/2018</stp>
        <stp>2019-11-29</stp>
        <tr r="Q2406" s="1"/>
      </tp>
      <tp>
        <v>0.10575793184488839</v>
        <stp/>
        <stp>EM_S_VAL_DIVIDENDYIELD2</stp>
        <stp>3</stp>
        <stp>002881</stp>
        <stp>12/31/2018</stp>
        <stp>2019-11-29</stp>
        <tr r="Q534" s="1"/>
      </tp>
      <tp>
        <v>0.25009824372215</v>
        <stp/>
        <stp>EM_S_VAL_DIVIDENDYIELD2</stp>
        <stp>3</stp>
        <stp>002891</stp>
        <stp>12/31/2018</stp>
        <stp>2019-11-29</stp>
        <tr r="Q3025" s="1"/>
      </tp>
      <tp>
        <v>0.88235294117647056</v>
        <stp/>
        <stp>EM_S_VAL_DIVIDENDYIELD2</stp>
        <stp>3</stp>
        <stp>002921</stp>
        <stp>12/31/2018</stp>
        <stp>2019-11-29</stp>
        <tr r="Q3207" s="1"/>
      </tp>
      <tp>
        <v>0.78400627205017637</v>
        <stp/>
        <stp>EM_S_VAL_DIVIDENDYIELD2</stp>
        <stp>3</stp>
        <stp>002931</stp>
        <stp>12/31/2018</stp>
        <stp>2019-11-29</stp>
        <tr r="Q2638" s="1"/>
      </tp>
      <tp>
        <v>0.83402918802685311</v>
        <stp/>
        <stp>EM_S_VAL_DIVIDENDYIELD2</stp>
        <stp>3</stp>
        <stp>002901</stp>
        <stp>12/31/2018</stp>
        <stp>2019-11-29</stp>
        <tr r="Q184" s="1"/>
      </tp>
      <tp>
        <v>2.8233749179251477</v>
        <stp/>
        <stp>EM_S_VAL_DIVIDENDYIELD2</stp>
        <stp>3</stp>
        <stp>002911</stp>
        <stp>12/31/2018</stp>
        <stp>2019-11-29</stp>
        <tr r="Q2725" s="1"/>
      </tp>
      <tp>
        <v>1.3269639065817411</v>
        <stp/>
        <stp>EM_S_VAL_DIVIDENDYIELD2</stp>
        <stp>3</stp>
        <stp>603301</stp>
        <stp>12/31/2018</stp>
        <stp>2019-11-29</stp>
        <tr r="Q3245" s="1"/>
      </tp>
      <tp>
        <v>1.3501350135013501</v>
        <stp/>
        <stp>EM_S_VAL_DIVIDENDYIELD2</stp>
        <stp>3</stp>
        <stp>603311</stp>
        <stp>12/31/2018</stp>
        <stp>2019-11-29</stp>
        <tr r="Q1757" s="1"/>
      </tp>
      <tp>
        <v>0.63938618925831203</v>
        <stp/>
        <stp>EM_S_VAL_DIVIDENDYIELD2</stp>
        <stp>3</stp>
        <stp>603321</stp>
        <stp>12/31/2018</stp>
        <stp>2019-11-29</stp>
        <tr r="Q1483" s="1"/>
      </tp>
      <tp>
        <v>1.581037767841778</v>
        <stp/>
        <stp>EM_S_VAL_DIVIDENDYIELD2</stp>
        <stp>3</stp>
        <stp>603331</stp>
        <stp>12/31/2018</stp>
        <stp>2019-11-29</stp>
        <tr r="Q1621" s="1"/>
      </tp>
      <tp>
        <v>0.83479183763853082</v>
        <stp/>
        <stp>EM_S_VAL_DIVIDENDYIELD2</stp>
        <stp>3</stp>
        <stp>603041</stp>
        <stp>12/31/2018</stp>
        <stp>2019-11-29</stp>
        <tr r="Q1218" s="1"/>
      </tp>
      <tp>
        <v>3.4285714285714288</v>
        <stp/>
        <stp>EM_S_VAL_DIVIDENDYIELD2</stp>
        <stp>3</stp>
        <stp>603001</stp>
        <stp>12/31/2018</stp>
        <stp>2019-11-29</stp>
        <tr r="Q2795" s="1"/>
      </tp>
      <tp>
        <v>2.2916666666666674</v>
        <stp/>
        <stp>EM_S_VAL_DIVIDENDYIELD2</stp>
        <stp>3</stp>
        <stp>603011</stp>
        <stp>12/31/2018</stp>
        <stp>2019-11-29</stp>
        <tr r="Q1463" s="1"/>
      </tp>
      <tp>
        <v>0.21621621621621623</v>
        <stp/>
        <stp>EM_S_VAL_DIVIDENDYIELD2</stp>
        <stp>3</stp>
        <stp>603021</stp>
        <stp>12/31/2018</stp>
        <stp>2019-11-29</stp>
        <tr r="Q717" s="1"/>
      </tp>
      <tp>
        <v>0</v>
        <stp/>
        <stp>EM_S_VAL_DIVIDENDYIELD2</stp>
        <stp>3</stp>
        <stp>603031</stp>
        <stp>12/31/2018</stp>
        <stp>2019-11-29</stp>
        <tr r="Q225" s="1"/>
      </tp>
      <tp>
        <v>0.69164265129683</v>
        <stp/>
        <stp>EM_S_VAL_DIVIDENDYIELD2</stp>
        <stp>3</stp>
        <stp>603081</stp>
        <stp>12/31/2018</stp>
        <stp>2019-11-29</stp>
        <tr r="Q617" s="1"/>
      </tp>
      <tp>
        <v>2.5039745627980925</v>
        <stp/>
        <stp>EM_S_VAL_DIVIDENDYIELD2</stp>
        <stp>3</stp>
        <stp>603161</stp>
        <stp>12/31/2018</stp>
        <stp>2019-11-29</stp>
        <tr r="Q2902" s="1"/>
      </tp>
      <tp>
        <v>0</v>
        <stp/>
        <stp>EM_S_VAL_DIVIDENDYIELD2</stp>
        <stp>3</stp>
        <stp>603101</stp>
        <stp>12/31/2018</stp>
        <stp>2019-11-29</stp>
        <tr r="Q3340" s="1"/>
      </tp>
      <tp>
        <v>0</v>
        <stp/>
        <stp>EM_S_VAL_DIVIDENDYIELD2</stp>
        <stp>3</stp>
        <stp>603111</stp>
        <stp>12/31/2018</stp>
        <stp>2019-11-29</stp>
        <tr r="Q948" s="1"/>
      </tp>
      <tp>
        <v>0.56022409034059584</v>
        <stp/>
        <stp>EM_S_VAL_DIVIDENDYIELD2</stp>
        <stp>3</stp>
        <stp>603131</stp>
        <stp>12/31/2018</stp>
        <stp>2019-11-29</stp>
        <tr r="Q2818" s="1"/>
      </tp>
      <tp>
        <v>1.3851694523963431</v>
        <stp/>
        <stp>EM_S_VAL_DIVIDENDYIELD2</stp>
        <stp>3</stp>
        <stp>603181</stp>
        <stp>12/31/2018</stp>
        <stp>2019-11-29</stp>
        <tr r="Q1219" s="1"/>
      </tp>
      <tp>
        <v>0.70475711049584688</v>
        <stp/>
        <stp>EM_S_VAL_DIVIDENDYIELD2</stp>
        <stp>3</stp>
        <stp>603661</stp>
        <stp>12/31/2018</stp>
        <stp>2019-11-29</stp>
        <tr r="Q578" s="1"/>
      </tp>
      <tp>
        <v>1.7377175296644436</v>
        <stp/>
        <stp>EM_S_VAL_DIVIDENDYIELD2</stp>
        <stp>3</stp>
        <stp>603601</stp>
        <stp>12/31/2018</stp>
        <stp>2019-11-29</stp>
        <tr r="Q2589" s="1"/>
      </tp>
      <tp>
        <v>3.0318887707482807</v>
        <stp/>
        <stp>EM_S_VAL_DIVIDENDYIELD2</stp>
        <stp>3</stp>
        <stp>603611</stp>
        <stp>12/31/2018</stp>
        <stp>2019-11-29</stp>
        <tr r="Q826" s="1"/>
      </tp>
      <tp>
        <v>3.1465625001336983</v>
        <stp/>
        <stp>EM_S_VAL_DIVIDENDYIELD2</stp>
        <stp>3</stp>
        <stp>603701</stp>
        <stp>12/31/2018</stp>
        <stp>2019-11-29</stp>
        <tr r="Q1613" s="1"/>
      </tp>
      <tp>
        <v>1.0300782859497322</v>
        <stp/>
        <stp>EM_S_VAL_DIVIDENDYIELD2</stp>
        <stp>3</stp>
        <stp>603711</stp>
        <stp>12/31/2018</stp>
        <stp>2019-11-29</stp>
        <tr r="Q1298" s="1"/>
      </tp>
      <tp>
        <v>0.68965517241379315</v>
        <stp/>
        <stp>EM_S_VAL_DIVIDENDYIELD2</stp>
        <stp>3</stp>
        <stp>603721</stp>
        <stp>12/31/2018</stp>
        <stp>2019-11-29</stp>
        <tr r="Q277" s="1"/>
      </tp>
      <tp>
        <v>0.80368098159509205</v>
        <stp/>
        <stp>EM_S_VAL_DIVIDENDYIELD2</stp>
        <stp>3</stp>
        <stp>603421</stp>
        <stp>12/31/2018</stp>
        <stp>2019-11-29</stp>
        <tr r="Q3047" s="1"/>
      </tp>
      <tp>
        <v>7.5858997455470936E-2</v>
        <stp/>
        <stp>EM_S_VAL_DIVIDENDYIELD2</stp>
        <stp>3</stp>
        <stp>603501</stp>
        <stp>12/31/2018</stp>
        <stp>2019-11-29</stp>
        <tr r="Q18" s="1"/>
      </tp>
      <tp>
        <v>1.3541042965768022</v>
        <stp/>
        <stp>EM_S_VAL_DIVIDENDYIELD2</stp>
        <stp>3</stp>
        <stp>603861</stp>
        <stp>12/31/2018</stp>
        <stp>2019-11-29</stp>
        <tr r="Q3153" s="1"/>
      </tp>
      <tp>
        <v>1.2823800974608874</v>
        <stp/>
        <stp>EM_S_VAL_DIVIDENDYIELD2</stp>
        <stp>3</stp>
        <stp>603871</stp>
        <stp>12/31/2018</stp>
        <stp>2019-11-29</stp>
        <tr r="Q2770" s="1"/>
      </tp>
      <tp>
        <v>3.3339790552953872</v>
        <stp/>
        <stp>EM_S_VAL_DIVIDENDYIELD2</stp>
        <stp>3</stp>
        <stp>603801</stp>
        <stp>12/31/2018</stp>
        <stp>2019-11-29</stp>
        <tr r="Q2581" s="1"/>
      </tp>
      <tp>
        <v>1.1591962905718702</v>
        <stp/>
        <stp>EM_S_VAL_DIVIDENDYIELD2</stp>
        <stp>3</stp>
        <stp>603811</stp>
        <stp>12/31/2018</stp>
        <stp>2019-11-29</stp>
        <tr r="Q503" s="1"/>
      </tp>
      <tp>
        <v>0.19178082191780821</v>
        <stp/>
        <stp>EM_S_VAL_DIVIDENDYIELD2</stp>
        <stp>3</stp>
        <stp>603881</stp>
        <stp>12/31/2018</stp>
        <stp>2019-11-29</stp>
        <tr r="Q513" s="1"/>
      </tp>
      <tp>
        <v>0.53191489361702138</v>
        <stp/>
        <stp>EM_S_VAL_DIVIDENDYIELD2</stp>
        <stp>3</stp>
        <stp>603901</stp>
        <stp>12/31/2018</stp>
        <stp>2019-11-29</stp>
        <tr r="Q415" s="1"/>
      </tp>
      <tp>
        <v>0.98400984009840098</v>
        <stp/>
        <stp>EM_S_VAL_DIVIDENDYIELD2</stp>
        <stp>3</stp>
        <stp>603991</stp>
        <stp>12/31/2018</stp>
        <stp>2019-11-29</stp>
        <tr r="Q2590" s="1"/>
      </tp>
      <tp>
        <v>0.83217753120665738</v>
        <stp/>
        <stp>EM_S_VAL_DIVIDENDYIELD2</stp>
        <stp>3</stp>
        <stp>300211</stp>
        <stp>12/31/2018</stp>
        <stp>2019-11-29</stp>
        <tr r="Q339" s="1"/>
      </tp>
      <tp>
        <v>0</v>
        <stp/>
        <stp>EM_S_VAL_DIVIDENDYIELD2</stp>
        <stp>3</stp>
        <stp>600241</stp>
        <stp>12/31/2018</stp>
        <stp>2019-11-29</stp>
        <tr r="Q2745" s="1"/>
      </tp>
      <tp>
        <v>0.42492917847025491</v>
        <stp/>
        <stp>EM_S_VAL_DIVIDENDYIELD2</stp>
        <stp>3</stp>
        <stp>300201</stp>
        <stp>12/31/2018</stp>
        <stp>2019-11-29</stp>
        <tr r="Q2087" s="1"/>
      </tp>
      <tp>
        <v>0.24574669187145556</v>
        <stp/>
        <stp>EM_S_VAL_DIVIDENDYIELD2</stp>
        <stp>3</stp>
        <stp>600251</stp>
        <stp>12/31/2018</stp>
        <stp>2019-11-29</stp>
        <tr r="Q1731" s="1"/>
      </tp>
      <tp>
        <v>2.0746887966804977</v>
        <stp/>
        <stp>EM_S_VAL_DIVIDENDYIELD2</stp>
        <stp>3</stp>
        <stp>300231</stp>
        <stp>12/31/2018</stp>
        <stp>2019-11-29</stp>
        <tr r="Q943" s="1"/>
      </tp>
      <tp>
        <v>3.5211267605633805</v>
        <stp/>
        <stp>EM_S_VAL_DIVIDENDYIELD2</stp>
        <stp>3</stp>
        <stp>600261</stp>
        <stp>12/31/2018</stp>
        <stp>2019-11-29</stp>
        <tr r="Q753" s="1"/>
      </tp>
      <tp>
        <v>0</v>
        <stp/>
        <stp>EM_S_VAL_DIVIDENDYIELD2</stp>
        <stp>3</stp>
        <stp>300221</stp>
        <stp>12/31/2018</stp>
        <stp>2019-11-29</stp>
        <tr r="Q1732" s="1"/>
      </tp>
      <tp>
        <v>2.1307477201174785</v>
        <stp/>
        <stp>EM_S_VAL_DIVIDENDYIELD2</stp>
        <stp>3</stp>
        <stp>600271</stp>
        <stp>12/31/2018</stp>
        <stp>2019-11-29</stp>
        <tr r="Q2348" s="1"/>
      </tp>
      <tp>
        <v>0.50251256281407031</v>
        <stp/>
        <stp>EM_S_VAL_DIVIDENDYIELD2</stp>
        <stp>3</stp>
        <stp>300251</stp>
        <stp>12/31/2018</stp>
        <stp>2019-11-29</stp>
        <tr r="Q501" s="1"/>
      </tp>
      <tp>
        <v>1.9179584452791449</v>
        <stp/>
        <stp>EM_S_VAL_DIVIDENDYIELD2</stp>
        <stp>3</stp>
        <stp>600201</stp>
        <stp>12/31/2018</stp>
        <stp>2019-11-29</stp>
        <tr r="Q1517" s="1"/>
      </tp>
      <tp>
        <v>0.1784706170177057</v>
        <stp/>
        <stp>EM_S_VAL_DIVIDENDYIELD2</stp>
        <stp>3</stp>
        <stp>300241</stp>
        <stp>12/31/2018</stp>
        <stp>2019-11-29</stp>
        <tr r="Q679" s="1"/>
      </tp>
      <tp>
        <v>1.200519143413368</v>
        <stp/>
        <stp>EM_S_VAL_DIVIDENDYIELD2</stp>
        <stp>3</stp>
        <stp>600211</stp>
        <stp>12/31/2018</stp>
        <stp>2019-11-29</stp>
        <tr r="Q1937" s="1"/>
      </tp>
      <tp>
        <v>0.2612454034295425</v>
        <stp/>
        <stp>EM_S_VAL_DIVIDENDYIELD2</stp>
        <stp>3</stp>
        <stp>300271</stp>
        <stp>12/31/2018</stp>
        <stp>2019-11-29</stp>
        <tr r="Q312" s="1"/>
      </tp>
      <tp>
        <v>0</v>
        <stp/>
        <stp>EM_S_VAL_DIVIDENDYIELD2</stp>
        <stp>3</stp>
        <stp>600221</stp>
        <stp>12/31/2018</stp>
        <stp>2019-11-29</stp>
        <tr r="Q2679" s="1"/>
      </tp>
      <tp>
        <v>1.2376237623762376</v>
        <stp/>
        <stp>EM_S_VAL_DIVIDENDYIELD2</stp>
        <stp>3</stp>
        <stp>300261</stp>
        <stp>12/31/2018</stp>
        <stp>2019-11-29</stp>
        <tr r="Q2999" s="1"/>
      </tp>
      <tp>
        <v>1.6236162361623614</v>
        <stp/>
        <stp>EM_S_VAL_DIVIDENDYIELD2</stp>
        <stp>3</stp>
        <stp>600231</stp>
        <stp>12/31/2018</stp>
        <stp>2019-11-29</stp>
        <tr r="Q2157" s="1"/>
      </tp>
      <tp>
        <v>0</v>
        <stp/>
        <stp>EM_S_VAL_DIVIDENDYIELD2</stp>
        <stp>3</stp>
        <stp>300291</stp>
        <stp>12/31/2018</stp>
        <stp>2019-11-29</stp>
        <tr r="Q808" s="1"/>
      </tp>
      <tp>
        <v>0.26548672566371678</v>
        <stp/>
        <stp>EM_S_VAL_DIVIDENDYIELD2</stp>
        <stp>3</stp>
        <stp>300281</stp>
        <stp>12/31/2018</stp>
        <stp>2019-11-29</stp>
        <tr r="Q832" s="1"/>
      </tp>
      <tp>
        <v>0</v>
        <stp/>
        <stp>EM_S_VAL_DIVIDENDYIELD2</stp>
        <stp>3</stp>
        <stp>600281</stp>
        <stp>12/31/2018</stp>
        <stp>2019-11-29</stp>
        <tr r="Q1503" s="1"/>
      </tp>
      <tp>
        <v>0.19464720194647203</v>
        <stp/>
        <stp>EM_S_VAL_DIVIDENDYIELD2</stp>
        <stp>3</stp>
        <stp>600291</stp>
        <stp>12/31/2018</stp>
        <stp>2019-11-29</stp>
        <tr r="Q2800" s="1"/>
      </tp>
      <tp>
        <v>0.34485057471264374</v>
        <stp/>
        <stp>EM_S_VAL_DIVIDENDYIELD2</stp>
        <stp>3</stp>
        <stp>300311</stp>
        <stp>12/31/2018</stp>
        <stp>2019-11-29</stp>
        <tr r="Q362" s="1"/>
      </tp>
      <tp>
        <v>0</v>
        <stp/>
        <stp>EM_S_VAL_DIVIDENDYIELD2</stp>
        <stp>3</stp>
        <stp>300301</stp>
        <stp>12/31/2018</stp>
        <stp>2019-11-29</stp>
        <tr r="Q2067" s="1"/>
      </tp>
      <tp>
        <v>4.5045045045045047</v>
        <stp/>
        <stp>EM_S_VAL_DIVIDENDYIELD2</stp>
        <stp>3</stp>
        <stp>600351</stp>
        <stp>12/31/2018</stp>
        <stp>2019-11-29</stp>
        <tr r="Q2200" s="1"/>
      </tp>
      <tp>
        <v>1.996007984031936</v>
        <stp/>
        <stp>EM_S_VAL_DIVIDENDYIELD2</stp>
        <stp>3</stp>
        <stp>000301</stp>
        <stp>12/31/2018</stp>
        <stp>2019-11-29</stp>
        <tr r="Q2580" s="1"/>
      </tp>
      <tp>
        <v>0.51334702258726894</v>
        <stp/>
        <stp>EM_S_VAL_DIVIDENDYIELD2</stp>
        <stp>3</stp>
        <stp>300331</stp>
        <stp>12/31/2018</stp>
        <stp>2019-11-29</stp>
        <tr r="Q208" s="1"/>
      </tp>
      <tp>
        <v>1.9498607242339834</v>
        <stp/>
        <stp>EM_S_VAL_DIVIDENDYIELD2</stp>
        <stp>3</stp>
        <stp>600361</stp>
        <stp>12/31/2018</stp>
        <stp>2019-11-29</stp>
        <tr r="Q1719" s="1"/>
      </tp>
      <tp>
        <v>0.41695621959694229</v>
        <stp/>
        <stp>EM_S_VAL_DIVIDENDYIELD2</stp>
        <stp>3</stp>
        <stp>300321</stp>
        <stp>12/31/2018</stp>
        <stp>2019-11-29</stp>
        <tr r="Q1033" s="1"/>
      </tp>
      <tp>
        <v>1.8298261665141813</v>
        <stp/>
        <stp>EM_S_VAL_DIVIDENDYIELD2</stp>
        <stp>3</stp>
        <stp>600371</stp>
        <stp>12/31/2018</stp>
        <stp>2019-11-29</stp>
        <tr r="Q193" s="1"/>
      </tp>
      <tp>
        <v>0</v>
        <stp/>
        <stp>EM_S_VAL_DIVIDENDYIELD2</stp>
        <stp>3</stp>
        <stp>300351</stp>
        <stp>12/31/2018</stp>
        <stp>2019-11-29</stp>
        <tr r="Q1871" s="1"/>
      </tp>
      <tp>
        <v>0</v>
        <stp/>
        <stp>EM_S_VAL_DIVIDENDYIELD2</stp>
        <stp>3</stp>
        <stp>600301</stp>
        <stp>12/31/2018</stp>
        <stp>2019-11-29</stp>
        <tr r="Q1636" s="1"/>
      </tp>
      <tp>
        <v>0.38283828382838281</v>
        <stp/>
        <stp>EM_S_VAL_DIVIDENDYIELD2</stp>
        <stp>3</stp>
        <stp>300341</stp>
        <stp>12/31/2018</stp>
        <stp>2019-11-29</stp>
        <tr r="Q37" s="1"/>
      </tp>
      <tp>
        <v>0</v>
        <stp/>
        <stp>EM_S_VAL_DIVIDENDYIELD2</stp>
        <stp>3</stp>
        <stp>600311</stp>
        <stp>12/31/2018</stp>
        <stp>2019-11-29</stp>
        <tr r="Q2820" s="1"/>
      </tp>
      <tp>
        <v>1.195723189906164</v>
        <stp/>
        <stp>EM_S_VAL_DIVIDENDYIELD2</stp>
        <stp>3</stp>
        <stp>300371</stp>
        <stp>12/31/2018</stp>
        <stp>2019-11-29</stp>
        <tr r="Q1838" s="1"/>
      </tp>
      <tp>
        <v>0</v>
        <stp/>
        <stp>EM_S_VAL_DIVIDENDYIELD2</stp>
        <stp>3</stp>
        <stp>600321</stp>
        <stp>12/31/2018</stp>
        <stp>2019-11-29</stp>
        <tr r="Q1240" s="1"/>
      </tp>
      <tp>
        <v>0</v>
        <stp/>
        <stp>EM_S_VAL_DIVIDENDYIELD2</stp>
        <stp>3</stp>
        <stp>300361</stp>
        <stp>12/31/2018</stp>
        <stp>2019-11-29</stp>
        <tr r="Q9" s="1"/>
      </tp>
      <tp>
        <v>0</v>
        <stp/>
        <stp>EM_S_VAL_DIVIDENDYIELD2</stp>
        <stp>3</stp>
        <stp>600331</stp>
        <stp>12/31/2018</stp>
        <stp>2019-11-29</stp>
        <tr r="Q903" s="1"/>
      </tp>
      <tp>
        <v>0.53850296176628965</v>
        <stp/>
        <stp>EM_S_VAL_DIVIDENDYIELD2</stp>
        <stp>3</stp>
        <stp>300391</stp>
        <stp>12/31/2018</stp>
        <stp>2019-11-29</stp>
        <tr r="Q3154" s="1"/>
      </tp>
      <tp>
        <v>0.66099670324203441</v>
        <stp/>
        <stp>EM_S_VAL_DIVIDENDYIELD2</stp>
        <stp>3</stp>
        <stp>300381</stp>
        <stp>12/31/2018</stp>
        <stp>2019-11-29</stp>
        <tr r="Q1162" s="1"/>
      </tp>
      <tp>
        <v>0</v>
        <stp/>
        <stp>EM_S_VAL_DIVIDENDYIELD2</stp>
        <stp>3</stp>
        <stp>600381</stp>
        <stp>12/31/2018</stp>
        <stp>2019-11-29</stp>
        <tr r="Q2664" s="1"/>
      </tp>
      <tp>
        <v>0</v>
        <stp/>
        <stp>EM_S_VAL_DIVIDENDYIELD2</stp>
        <stp>3</stp>
        <stp>600391</stp>
        <stp>12/31/2018</stp>
        <stp>2019-11-29</stp>
        <tr r="Q1045" s="1"/>
      </tp>
      <tp>
        <v>1.044932079414838</v>
        <stp/>
        <stp>EM_S_VAL_DIVIDENDYIELD2</stp>
        <stp>3</stp>
        <stp>000021</stp>
        <stp>12/31/2018</stp>
        <stp>2019-11-29</stp>
        <tr r="Q134" s="1"/>
      </tp>
      <tp>
        <v>0</v>
        <stp/>
        <stp>EM_S_VAL_DIVIDENDYIELD2</stp>
        <stp>3</stp>
        <stp>300011</stp>
        <stp>12/31/2018</stp>
        <stp>2019-11-29</stp>
        <tr r="Q2446" s="1"/>
      </tp>
      <tp>
        <v>1.5965166908563138</v>
        <stp/>
        <stp>EM_S_VAL_DIVIDENDYIELD2</stp>
        <stp>3</stp>
        <stp>000031</stp>
        <stp>12/31/2018</stp>
        <stp>2019-11-29</stp>
        <tr r="Q569" s="1"/>
      </tp>
      <tp>
        <v>6.2344139650872814E-2</v>
        <stp/>
        <stp>EM_S_VAL_DIVIDENDYIELD2</stp>
        <stp>3</stp>
        <stp>300001</stp>
        <stp>12/31/2018</stp>
        <stp>2019-11-29</stp>
        <tr r="Q2358" s="1"/>
      </tp>
      <tp>
        <v>2.5684931506849313</v>
        <stp/>
        <stp>EM_S_VAL_DIVIDENDYIELD2</stp>
        <stp>3</stp>
        <stp>600051</stp>
        <stp>12/31/2018</stp>
        <stp>2019-11-29</stp>
        <tr r="Q1703" s="1"/>
      </tp>
      <tp>
        <v>0.83908705390280169</v>
        <stp/>
        <stp>EM_S_VAL_DIVIDENDYIELD2</stp>
        <stp>3</stp>
        <stp>000001</stp>
        <stp>12/31/2018</stp>
        <stp>2019-11-29</stp>
        <tr r="Q265" s="1"/>
      </tp>
      <tp>
        <v>0</v>
        <stp/>
        <stp>EM_S_VAL_DIVIDENDYIELD2</stp>
        <stp>3</stp>
        <stp>300031</stp>
        <stp>12/31/2018</stp>
        <stp>2019-11-29</stp>
        <tr r="Q1669" s="1"/>
      </tp>
      <tp>
        <v>0.67782426778242688</v>
        <stp/>
        <stp>EM_S_VAL_DIVIDENDYIELD2</stp>
        <stp>3</stp>
        <stp>600061</stp>
        <stp>12/31/2018</stp>
        <stp>2019-11-29</stp>
        <tr r="Q518" s="1"/>
      </tp>
      <tp>
        <v>3.3296337402885676</v>
        <stp/>
        <stp>EM_S_VAL_DIVIDENDYIELD2</stp>
        <stp>3</stp>
        <stp>000011</stp>
        <stp>12/31/2018</stp>
        <stp>2019-11-29</stp>
        <tr r="Q1983" s="1"/>
      </tp>
      <tp>
        <v>1.9646365422396856</v>
        <stp/>
        <stp>EM_S_VAL_DIVIDENDYIELD2</stp>
        <stp>3</stp>
        <stp>300021</stp>
        <stp>12/31/2018</stp>
        <stp>2019-11-29</stp>
        <tr r="Q1058" s="1"/>
      </tp>
      <tp>
        <v>0</v>
        <stp/>
        <stp>EM_S_VAL_DIVIDENDYIELD2</stp>
        <stp>3</stp>
        <stp>600071</stp>
        <stp>12/31/2018</stp>
        <stp>2019-11-29</stp>
        <tr r="Q523" s="1"/>
      </tp>
      <tp>
        <v>0.18691588785046728</v>
        <stp/>
        <stp>EM_S_VAL_DIVIDENDYIELD2</stp>
        <stp>3</stp>
        <stp>000061</stp>
        <stp>12/31/2018</stp>
        <stp>2019-11-29</stp>
        <tr r="Q1460" s="1"/>
      </tp>
      <tp>
        <v>0</v>
        <stp/>
        <stp>EM_S_VAL_DIVIDENDYIELD2</stp>
        <stp>3</stp>
        <stp>300051</stp>
        <stp>12/31/2018</stp>
        <stp>2019-11-29</stp>
        <tr r="Q2016" s="1"/>
      </tp>
      <tp>
        <v>0</v>
        <stp/>
        <stp>EM_S_VAL_DIVIDENDYIELD2</stp>
        <stp>3</stp>
        <stp>600001</stp>
        <stp>12/31/2018</stp>
        <stp>2019-11-29</stp>
        <tr r="Q2285" s="1"/>
      </tp>
      <tp>
        <v>1.5269949949949952</v>
        <stp/>
        <stp>EM_S_VAL_DIVIDENDYIELD2</stp>
        <stp>3</stp>
        <stp>300041</stp>
        <stp>12/31/2018</stp>
        <stp>2019-11-29</stp>
        <tr r="Q532" s="1"/>
      </tp>
      <tp>
        <v>1.6694490818030052</v>
        <stp/>
        <stp>EM_S_VAL_DIVIDENDYIELD2</stp>
        <stp>3</stp>
        <stp>600011</stp>
        <stp>12/31/2018</stp>
        <stp>2019-11-29</stp>
        <tr r="Q3146" s="1"/>
      </tp>
      <tp>
        <v>0</v>
        <stp/>
        <stp>EM_S_VAL_DIVIDENDYIELD2</stp>
        <stp>3</stp>
        <stp>300071</stp>
        <stp>12/31/2018</stp>
        <stp>2019-11-29</stp>
        <tr r="Q3121" s="1"/>
      </tp>
      <tp>
        <v>4.4776119402985071</v>
        <stp/>
        <stp>EM_S_VAL_DIVIDENDYIELD2</stp>
        <stp>3</stp>
        <stp>600021</stp>
        <stp>12/31/2018</stp>
        <stp>2019-11-29</stp>
        <tr r="Q2411" s="1"/>
      </tp>
      <tp>
        <v>0</v>
        <stp/>
        <stp>EM_S_VAL_DIVIDENDYIELD2</stp>
        <stp>3</stp>
        <stp>300061</stp>
        <stp>12/31/2018</stp>
        <stp>2019-11-29</stp>
        <tr r="Q1862" s="1"/>
      </tp>
      <tp>
        <v>1.785412023086657</v>
        <stp/>
        <stp>EM_S_VAL_DIVIDENDYIELD2</stp>
        <stp>3</stp>
        <stp>600031</stp>
        <stp>12/31/2018</stp>
        <stp>2019-11-29</stp>
        <tr r="Q148" s="1"/>
      </tp>
      <tp>
        <v>0.2040816326530612</v>
        <stp/>
        <stp>EM_S_VAL_DIVIDENDYIELD2</stp>
        <stp>3</stp>
        <stp>300091</stp>
        <stp>12/31/2018</stp>
        <stp>2019-11-29</stp>
        <tr r="Q1161" s="1"/>
      </tp>
      <tp>
        <v>0</v>
        <stp/>
        <stp>EM_S_VAL_DIVIDENDYIELD2</stp>
        <stp>3</stp>
        <stp>300081</stp>
        <stp>12/31/2018</stp>
        <stp>2019-11-29</stp>
        <tr r="Q1430" s="1"/>
      </tp>
      <tp>
        <v>1.3759689922480618</v>
        <stp/>
        <stp>EM_S_VAL_DIVIDENDYIELD2</stp>
        <stp>3</stp>
        <stp>600081</stp>
        <stp>12/31/2018</stp>
        <stp>2019-11-29</stp>
        <tr r="Q405" s="1"/>
      </tp>
      <tp>
        <v>0</v>
        <stp/>
        <stp>EM_S_VAL_DIVIDENDYIELD2</stp>
        <stp>3</stp>
        <stp>600091</stp>
        <stp>12/31/2018</stp>
        <stp>2019-11-29</stp>
        <tr r="Q2402" s="1"/>
      </tp>
      <tp>
        <v>0</v>
        <stp/>
        <stp>EM_S_VAL_DIVIDENDYIELD2</stp>
        <stp>3</stp>
        <stp>300111</stp>
        <stp>12/31/2018</stp>
        <stp>2019-11-29</stp>
        <tr r="Q1403" s="1"/>
      </tp>
      <tp>
        <v>1.6157489537433516</v>
        <stp/>
        <stp>EM_S_VAL_DIVIDENDYIELD2</stp>
        <stp>3</stp>
        <stp>600141</stp>
        <stp>12/31/2018</stp>
        <stp>2019-11-29</stp>
        <tr r="Q2269" s="1"/>
      </tp>
      <tp>
        <v>0.24139758129851702</v>
        <stp/>
        <stp>EM_S_VAL_DIVIDENDYIELD2</stp>
        <stp>3</stp>
        <stp>300101</stp>
        <stp>12/31/2018</stp>
        <stp>2019-11-29</stp>
        <tr r="Q2605" s="1"/>
      </tp>
      <tp>
        <v>0</v>
        <stp/>
        <stp>EM_S_VAL_DIVIDENDYIELD2</stp>
        <stp>3</stp>
        <stp>600151</stp>
        <stp>12/31/2018</stp>
        <stp>2019-11-29</stp>
        <tr r="Q1268" s="1"/>
      </tp>
      <tp>
        <v>0.39840637450199201</v>
        <stp/>
        <stp>EM_S_VAL_DIVIDENDYIELD2</stp>
        <stp>3</stp>
        <stp>300131</stp>
        <stp>12/31/2018</stp>
        <stp>2019-11-29</stp>
        <tr r="Q1274" s="1"/>
      </tp>
      <tp>
        <v>0.15770880648992563</v>
        <stp/>
        <stp>EM_S_VAL_DIVIDENDYIELD2</stp>
        <stp>3</stp>
        <stp>600161</stp>
        <stp>12/31/2018</stp>
        <stp>2019-11-29</stp>
        <tr r="Q1011" s="1"/>
      </tp>
      <tp>
        <v>10.517799352750808</v>
        <stp/>
        <stp>EM_S_VAL_DIVIDENDYIELD2</stp>
        <stp>3</stp>
        <stp>300121</stp>
        <stp>12/31/2018</stp>
        <stp>2019-11-29</stp>
        <tr r="Q3007" s="1"/>
      </tp>
      <tp>
        <v>0.31700551782386255</v>
        <stp/>
        <stp>EM_S_VAL_DIVIDENDYIELD2</stp>
        <stp>3</stp>
        <stp>600171</stp>
        <stp>12/31/2018</stp>
        <stp>2019-11-29</stp>
        <tr r="Q298" s="1"/>
      </tp>
      <tp>
        <v>0.72753333333333337</v>
        <stp/>
        <stp>EM_S_VAL_DIVIDENDYIELD2</stp>
        <stp>3</stp>
        <stp>300151</stp>
        <stp>12/31/2018</stp>
        <stp>2019-11-29</stp>
        <tr r="Q378" s="1"/>
      </tp>
      <tp>
        <v>0.55822261931298744</v>
        <stp/>
        <stp>EM_S_VAL_DIVIDENDYIELD2</stp>
        <stp>3</stp>
        <stp>600101</stp>
        <stp>12/31/2018</stp>
        <stp>2019-11-29</stp>
        <tr r="Q1988" s="1"/>
      </tp>
      <tp>
        <v>0.24433713355048858</v>
        <stp/>
        <stp>EM_S_VAL_DIVIDENDYIELD2</stp>
        <stp>3</stp>
        <stp>300141</stp>
        <stp>12/31/2018</stp>
        <stp>2019-11-29</stp>
        <tr r="Q2371" s="1"/>
      </tp>
      <tp>
        <v>0.50301810865191143</v>
        <stp/>
        <stp>EM_S_VAL_DIVIDENDYIELD2</stp>
        <stp>3</stp>
        <stp>600111</stp>
        <stp>12/31/2018</stp>
        <stp>2019-11-29</stp>
        <tr r="Q1118" s="1"/>
      </tp>
      <tp>
        <v>0.57887120115774249</v>
        <stp/>
        <stp>EM_S_VAL_DIVIDENDYIELD2</stp>
        <stp>3</stp>
        <stp>300171</stp>
        <stp>12/31/2018</stp>
        <stp>2019-11-29</stp>
        <tr r="Q2262" s="1"/>
      </tp>
      <tp>
        <v>1.795977011494253</v>
        <stp/>
        <stp>EM_S_VAL_DIVIDENDYIELD2</stp>
        <stp>3</stp>
        <stp>600121</stp>
        <stp>12/31/2018</stp>
        <stp>2019-11-29</stp>
        <tr r="Q3036" s="1"/>
      </tp>
      <tp>
        <v>2.0040080160320639</v>
        <stp/>
        <stp>EM_S_VAL_DIVIDENDYIELD2</stp>
        <stp>3</stp>
        <stp>000151</stp>
        <stp>12/31/2018</stp>
        <stp>2019-11-29</stp>
        <tr r="Q2041" s="1"/>
      </tp>
      <tp>
        <v>0.14306151645207438</v>
        <stp/>
        <stp>EM_S_VAL_DIVIDENDYIELD2</stp>
        <stp>3</stp>
        <stp>300161</stp>
        <stp>12/31/2018</stp>
        <stp>2019-11-29</stp>
        <tr r="Q705" s="1"/>
      </tp>
      <tp>
        <v>0.28264556246466926</v>
        <stp/>
        <stp>EM_S_VAL_DIVIDENDYIELD2</stp>
        <stp>3</stp>
        <stp>600131</stp>
        <stp>12/31/2018</stp>
        <stp>2019-11-29</stp>
        <tr r="Q38" s="1"/>
      </tp>
      <tp>
        <v>9.3196644920782848E-2</v>
        <stp/>
        <stp>EM_S_VAL_DIVIDENDYIELD2</stp>
        <stp>3</stp>
        <stp>300191</stp>
        <stp>12/31/2018</stp>
        <stp>2019-11-29</stp>
        <tr r="Q602" s="1"/>
      </tp>
      <tp>
        <v>1.6528925619834711</v>
        <stp/>
        <stp>EM_S_VAL_DIVIDENDYIELD2</stp>
        <stp>3</stp>
        <stp>300181</stp>
        <stp>12/31/2018</stp>
        <stp>2019-11-29</stp>
        <tr r="Q2515" s="1"/>
      </tp>
      <tp>
        <v>0</v>
        <stp/>
        <stp>EM_S_VAL_DIVIDENDYIELD2</stp>
        <stp>3</stp>
        <stp>600181</stp>
        <stp>12/31/2018</stp>
        <stp>2019-11-29</stp>
        <tr r="Q2294" s="1"/>
      </tp>
      <tp>
        <v>0</v>
        <stp/>
        <stp>EM_S_VAL_DIVIDENDYIELD2</stp>
        <stp>3</stp>
        <stp>600191</stp>
        <stp>12/31/2018</stp>
        <stp>2019-11-29</stp>
        <tr r="Q885" s="1"/>
      </tp>
      <tp>
        <v>0</v>
        <stp/>
        <stp>EM_S_VAL_DIVIDENDYIELD2</stp>
        <stp>3</stp>
        <stp>000621</stp>
        <stp>12/31/2018</stp>
        <stp>2019-11-29</stp>
        <tr r="Q3486" s="1"/>
      </tp>
      <tp>
        <v>0.57772632794457268</v>
        <stp/>
        <stp>EM_S_VAL_DIVIDENDYIELD2</stp>
        <stp>3</stp>
        <stp>300611</stp>
        <stp>12/31/2018</stp>
        <stp>2019-11-29</stp>
        <tr r="Q1560" s="1"/>
      </tp>
      <tp>
        <v>1.4000000000000001</v>
        <stp/>
        <stp>EM_S_VAL_DIVIDENDYIELD2</stp>
        <stp>3</stp>
        <stp>600641</stp>
        <stp>12/31/2018</stp>
        <stp>2019-11-29</stp>
        <tr r="Q147" s="1"/>
      </tp>
      <tp>
        <v>7.4074074074074066</v>
        <stp/>
        <stp>EM_S_VAL_DIVIDENDYIELD2</stp>
        <stp>3</stp>
        <stp>000631</stp>
        <stp>12/31/2018</stp>
        <stp>2019-11-29</stp>
        <tr r="Q3490" s="1"/>
      </tp>
      <tp>
        <v>0.32709668978149942</v>
        <stp/>
        <stp>EM_S_VAL_DIVIDENDYIELD2</stp>
        <stp>3</stp>
        <stp>300601</stp>
        <stp>12/31/2018</stp>
        <stp>2019-11-29</stp>
        <tr r="Q93" s="1"/>
      </tp>
      <tp>
        <v>0</v>
        <stp/>
        <stp>EM_S_VAL_DIVIDENDYIELD2</stp>
        <stp>3</stp>
        <stp>600651</stp>
        <stp>12/31/2018</stp>
        <stp>2019-11-29</stp>
        <tr r="Q810" s="1"/>
      </tp>
      <tp>
        <v>2.4630541871921179</v>
        <stp/>
        <stp>EM_S_VAL_DIVIDENDYIELD2</stp>
        <stp>3</stp>
        <stp>000601</stp>
        <stp>12/31/2018</stp>
        <stp>2019-11-29</stp>
        <tr r="Q3477" s="1"/>
      </tp>
      <tp>
        <v>0.97783572359843551</v>
        <stp/>
        <stp>EM_S_VAL_DIVIDENDYIELD2</stp>
        <stp>3</stp>
        <stp>300631</stp>
        <stp>12/31/2018</stp>
        <stp>2019-11-29</stp>
        <tr r="Q1619" s="1"/>
      </tp>
      <tp>
        <v>0</v>
        <stp/>
        <stp>EM_S_VAL_DIVIDENDYIELD2</stp>
        <stp>3</stp>
        <stp>600661</stp>
        <stp>12/31/2018</stp>
        <stp>2019-11-29</stp>
        <tr r="Q2866" s="1"/>
      </tp>
      <tp>
        <v>0</v>
        <stp/>
        <stp>EM_S_VAL_DIVIDENDYIELD2</stp>
        <stp>3</stp>
        <stp>000611</stp>
        <stp>12/31/2018</stp>
        <stp>2019-11-29</stp>
        <tr r="Q3483" s="1"/>
      </tp>
      <tp>
        <v>0.79286422200198214</v>
        <stp/>
        <stp>EM_S_VAL_DIVIDENDYIELD2</stp>
        <stp>3</stp>
        <stp>300621</stp>
        <stp>12/31/2018</stp>
        <stp>2019-11-29</stp>
        <tr r="Q1811" s="1"/>
      </tp>
      <tp>
        <v>0</v>
        <stp/>
        <stp>EM_S_VAL_DIVIDENDYIELD2</stp>
        <stp>3</stp>
        <stp>600671</stp>
        <stp>12/31/2018</stp>
        <stp>2019-11-29</stp>
        <tr r="Q3131" s="1"/>
      </tp>
      <tp>
        <v>0.18223234624145787</v>
        <stp/>
        <stp>EM_S_VAL_DIVIDENDYIELD2</stp>
        <stp>3</stp>
        <stp>000661</stp>
        <stp>12/31/2018</stp>
        <stp>2019-11-29</stp>
        <tr r="Q85" s="1"/>
      </tp>
      <tp>
        <v>0.64212819630776274</v>
        <stp/>
        <stp>EM_S_VAL_DIVIDENDYIELD2</stp>
        <stp>3</stp>
        <stp>300651</stp>
        <stp>12/31/2018</stp>
        <stp>2019-11-29</stp>
        <tr r="Q3284" s="1"/>
      </tp>
      <tp>
        <v>0.3048780487804878</v>
        <stp/>
        <stp>EM_S_VAL_DIVIDENDYIELD2</stp>
        <stp>3</stp>
        <stp>600601</stp>
        <stp>12/31/2018</stp>
        <stp>2019-11-29</stp>
        <tr r="Q651" s="1"/>
      </tp>
      <tp>
        <v>0.81385913454919834</v>
        <stp/>
        <stp>EM_S_VAL_DIVIDENDYIELD2</stp>
        <stp>3</stp>
        <stp>000671</stp>
        <stp>12/31/2018</stp>
        <stp>2019-11-29</stp>
        <tr r="Q373" s="1"/>
      </tp>
      <tp>
        <v>0.8438818565400843</v>
        <stp/>
        <stp>EM_S_VAL_DIVIDENDYIELD2</stp>
        <stp>3</stp>
        <stp>300641</stp>
        <stp>12/31/2018</stp>
        <stp>2019-11-29</stp>
        <tr r="Q2353" s="1"/>
      </tp>
      <tp>
        <v>3.0303030303030307</v>
        <stp/>
        <stp>EM_S_VAL_DIVIDENDYIELD2</stp>
        <stp>3</stp>
        <stp>600611</stp>
        <stp>12/31/2018</stp>
        <stp>2019-11-29</stp>
        <tr r="Q2175" s="1"/>
      </tp>
      <tp>
        <v>0</v>
        <stp/>
        <stp>EM_S_VAL_DIVIDENDYIELD2</stp>
        <stp>3</stp>
        <stp>300671</stp>
        <stp>12/31/2018</stp>
        <stp>2019-11-29</stp>
        <tr r="Q929" s="1"/>
      </tp>
      <tp>
        <v>5.2790346907993974E-2</v>
        <stp/>
        <stp>EM_S_VAL_DIVIDENDYIELD2</stp>
        <stp>3</stp>
        <stp>600621</stp>
        <stp>12/31/2018</stp>
        <stp>2019-11-29</stp>
        <tr r="Q302" s="1"/>
      </tp>
      <tp>
        <v>2.5992029111072603</v>
        <stp/>
        <stp>EM_S_VAL_DIVIDENDYIELD2</stp>
        <stp>3</stp>
        <stp>000651</stp>
        <stp>12/31/2018</stp>
        <stp>2019-11-29</stp>
        <tr r="Q229" s="1"/>
      </tp>
      <tp>
        <v>0.12550807194200089</v>
        <stp/>
        <stp>EM_S_VAL_DIVIDENDYIELD2</stp>
        <stp>3</stp>
        <stp>300661</stp>
        <stp>12/31/2018</stp>
        <stp>2019-11-29</stp>
        <tr r="Q19" s="1"/>
      </tp>
      <tp>
        <v>0</v>
        <stp/>
        <stp>EM_S_VAL_DIVIDENDYIELD2</stp>
        <stp>3</stp>
        <stp>600631</stp>
        <stp>12/31/2018</stp>
        <stp>2019-11-29</stp>
        <tr r="Q2309" s="1"/>
      </tp>
      <tp>
        <v>1.1072098978457692</v>
        <stp/>
        <stp>EM_S_VAL_DIVIDENDYIELD2</stp>
        <stp>3</stp>
        <stp>300691</stp>
        <stp>12/31/2018</stp>
        <stp>2019-11-29</stp>
        <tr r="Q2974" s="1"/>
      </tp>
      <tp>
        <v>0.31695721077654515</v>
        <stp/>
        <stp>EM_S_VAL_DIVIDENDYIELD2</stp>
        <stp>3</stp>
        <stp>300681</stp>
        <stp>12/31/2018</stp>
        <stp>2019-11-29</stp>
        <tr r="Q2417" s="1"/>
      </tp>
      <tp>
        <v>0.23127199597787829</v>
        <stp/>
        <stp>EM_S_VAL_DIVIDENDYIELD2</stp>
        <stp>3</stp>
        <stp>000681</stp>
        <stp>12/31/2018</stp>
        <stp>2019-11-29</stp>
        <tr r="Q3208" s="1"/>
      </tp>
      <tp>
        <v>0</v>
        <stp/>
        <stp>EM_S_VAL_DIVIDENDYIELD2</stp>
        <stp>3</stp>
        <stp>000691</stp>
        <stp>12/31/2018</stp>
        <stp>2019-11-29</stp>
        <tr r="Q3512" s="1"/>
      </tp>
      <tp>
        <v>5.249401196290898</v>
        <stp/>
        <stp>EM_S_VAL_DIVIDENDYIELD2</stp>
        <stp>3</stp>
        <stp>600681</stp>
        <stp>12/31/2018</stp>
        <stp>2019-11-29</stp>
        <tr r="Q3333" s="1"/>
      </tp>
      <tp>
        <v>0</v>
        <stp/>
        <stp>EM_S_VAL_DIVIDENDYIELD2</stp>
        <stp>3</stp>
        <stp>600691</stp>
        <stp>12/31/2018</stp>
        <stp>2019-11-29</stp>
        <tr r="Q2883" s="1"/>
      </tp>
      <tp>
        <v>0</v>
        <stp/>
        <stp>EM_S_VAL_DIVIDENDYIELD2</stp>
        <stp>3</stp>
        <stp>000721</stp>
        <stp>12/31/2018</stp>
        <stp>2019-11-29</stp>
        <tr r="Q2092" s="1"/>
      </tp>
      <tp>
        <v>0.17271157247380631</v>
        <stp/>
        <stp>EM_S_VAL_DIVIDENDYIELD2</stp>
        <stp>3</stp>
        <stp>300711</stp>
        <stp>12/31/2018</stp>
        <stp>2019-11-29</stp>
        <tr r="Q3178" s="1"/>
      </tp>
      <tp>
        <v>4.0509259259259265</v>
        <stp/>
        <stp>EM_S_VAL_DIVIDENDYIELD2</stp>
        <stp>3</stp>
        <stp>600741</stp>
        <stp>12/31/2018</stp>
        <stp>2019-11-29</stp>
        <tr r="Q766" s="1"/>
      </tp>
      <tp>
        <v>2.9411764705882351</v>
        <stp/>
        <stp>EM_S_VAL_DIVIDENDYIELD2</stp>
        <stp>3</stp>
        <stp>000731</stp>
        <stp>12/31/2018</stp>
        <stp>2019-11-29</stp>
        <tr r="Q2107" s="1"/>
      </tp>
      <tp>
        <v>0.66507049747273206</v>
        <stp/>
        <stp>EM_S_VAL_DIVIDENDYIELD2</stp>
        <stp>3</stp>
        <stp>300701</stp>
        <stp>12/31/2018</stp>
        <stp>2019-11-29</stp>
        <tr r="Q2221" s="1"/>
      </tp>
      <tp>
        <v>0</v>
        <stp/>
        <stp>EM_S_VAL_DIVIDENDYIELD2</stp>
        <stp>3</stp>
        <stp>600751</stp>
        <stp>12/31/2018</stp>
        <stp>2019-11-29</stp>
        <tr r="Q1828" s="1"/>
      </tp>
      <tp>
        <v>0.25896414342629481</v>
        <stp/>
        <stp>EM_S_VAL_DIVIDENDYIELD2</stp>
        <stp>3</stp>
        <stp>000701</stp>
        <stp>12/31/2018</stp>
        <stp>2019-11-29</stp>
        <tr r="Q2836" s="1"/>
      </tp>
      <tp>
        <v>0.2628719390459453</v>
        <stp/>
        <stp>EM_S_VAL_DIVIDENDYIELD2</stp>
        <stp>3</stp>
        <stp>300731</stp>
        <stp>12/31/2018</stp>
        <stp>2019-11-29</stp>
        <tr r="Q1668" s="1"/>
      </tp>
      <tp>
        <v>3.914988814317673</v>
        <stp/>
        <stp>EM_S_VAL_DIVIDENDYIELD2</stp>
        <stp>3</stp>
        <stp>600761</stp>
        <stp>12/31/2018</stp>
        <stp>2019-11-29</stp>
        <tr r="Q1761" s="1"/>
      </tp>
      <tp>
        <v>0</v>
        <stp/>
        <stp>EM_S_VAL_DIVIDENDYIELD2</stp>
        <stp>3</stp>
        <stp>000711</stp>
        <stp>12/31/2018</stp>
        <stp>2019-11-29</stp>
        <tr r="Q2850" s="1"/>
      </tp>
      <tp>
        <v>0.86837861359822865</v>
        <stp/>
        <stp>EM_S_VAL_DIVIDENDYIELD2</stp>
        <stp>3</stp>
        <stp>300721</stp>
        <stp>12/31/2018</stp>
        <stp>2019-11-29</stp>
        <tr r="Q2599" s="1"/>
      </tp>
      <tp>
        <v>0</v>
        <stp/>
        <stp>EM_S_VAL_DIVIDENDYIELD2</stp>
        <stp>3</stp>
        <stp>600771</stp>
        <stp>12/31/2018</stp>
        <stp>2019-11-29</stp>
        <tr r="Q3341" s="1"/>
      </tp>
      <tp>
        <v>1.3774104683195594</v>
        <stp/>
        <stp>EM_S_VAL_DIVIDENDYIELD2</stp>
        <stp>3</stp>
        <stp>000761</stp>
        <stp>12/31/2018</stp>
        <stp>2019-11-29</stp>
        <tr r="Q1372" s="1"/>
      </tp>
      <tp>
        <v>0</v>
        <stp/>
        <stp>EM_S_VAL_DIVIDENDYIELD2</stp>
        <stp>3</stp>
        <stp>600701</stp>
        <stp>12/31/2018</stp>
        <stp>2019-11-29</stp>
        <tr r="Q3066" s="1"/>
      </tp>
      <tp>
        <v>13.98112548060119</v>
        <stp/>
        <stp>EM_S_VAL_DIVIDENDYIELD2</stp>
        <stp>3</stp>
        <stp>300741</stp>
        <stp>12/31/2018</stp>
        <stp>2019-11-29</stp>
        <tr r="Q2360" s="1"/>
      </tp>
      <tp>
        <v>0.39149559451599192</v>
        <stp/>
        <stp>EM_S_VAL_DIVIDENDYIELD2</stp>
        <stp>3</stp>
        <stp>600711</stp>
        <stp>12/31/2018</stp>
        <stp>2019-11-29</stp>
        <tr r="Q1456" s="1"/>
      </tp>
      <tp>
        <v>0</v>
        <stp/>
        <stp>EM_S_VAL_DIVIDENDYIELD2</stp>
        <stp>3</stp>
        <stp>600721</stp>
        <stp>12/31/2018</stp>
        <stp>2019-11-29</stp>
        <tr r="Q1284" s="1"/>
      </tp>
      <tp>
        <v>0</v>
        <stp/>
        <stp>EM_S_VAL_DIVIDENDYIELD2</stp>
        <stp>3</stp>
        <stp>000751</stp>
        <stp>12/31/2018</stp>
        <stp>2019-11-29</stp>
        <tr r="Q1531" s="1"/>
      </tp>
      <tp>
        <v>0</v>
        <stp/>
        <stp>EM_S_VAL_DIVIDENDYIELD2</stp>
        <stp>3</stp>
        <stp>600731</stp>
        <stp>12/31/2018</stp>
        <stp>2019-11-29</stp>
        <tr r="Q296" s="1"/>
      </tp>
      <tp>
        <v>3.0012004801920766</v>
        <stp/>
        <stp>EM_S_VAL_DIVIDENDYIELD2</stp>
        <stp>3</stp>
        <stp>000791</stp>
        <stp>12/31/2018</stp>
        <stp>2019-11-29</stp>
        <tr r="Q3193" s="1"/>
      </tp>
      <tp>
        <v>1.8832391713747647</v>
        <stp/>
        <stp>EM_S_VAL_DIVIDENDYIELD2</stp>
        <stp>3</stp>
        <stp>600781</stp>
        <stp>12/31/2018</stp>
        <stp>2019-11-29</stp>
        <tr r="Q3379" s="1"/>
      </tp>
      <tp>
        <v>0.43243243243243246</v>
        <stp/>
        <stp>EM_S_VAL_DIVIDENDYIELD2</stp>
        <stp>3</stp>
        <stp>600791</stp>
        <stp>12/31/2018</stp>
        <stp>2019-11-29</stp>
        <tr r="Q1982" s="1"/>
      </tp>
      <tp>
        <v>2.3419203747072603</v>
        <stp/>
        <stp>EM_S_VAL_DIVIDENDYIELD2</stp>
        <stp>3</stp>
        <stp>000421</stp>
        <stp>12/31/2018</stp>
        <stp>2019-11-29</stp>
        <tr r="Q3423" s="1"/>
      </tp>
      <tp>
        <v>0</v>
        <stp/>
        <stp>EM_S_VAL_DIVIDENDYIELD2</stp>
        <stp>3</stp>
        <stp>300411</stp>
        <stp>12/31/2018</stp>
        <stp>2019-11-29</stp>
        <tr r="Q2490" s="1"/>
      </tp>
      <tp>
        <v>1.0924369747899161</v>
        <stp/>
        <stp>EM_S_VAL_DIVIDENDYIELD2</stp>
        <stp>3</stp>
        <stp>300401</stp>
        <stp>12/31/2018</stp>
        <stp>2019-11-29</stp>
        <tr r="Q2232" s="1"/>
      </tp>
      <tp>
        <v>2.6899798251513114</v>
        <stp/>
        <stp>EM_S_VAL_DIVIDENDYIELD2</stp>
        <stp>3</stp>
        <stp>000401</stp>
        <stp>12/31/2018</stp>
        <stp>2019-11-29</stp>
        <tr r="Q849" s="1"/>
      </tp>
      <tp>
        <v>0</v>
        <stp/>
        <stp>EM_S_VAL_DIVIDENDYIELD2</stp>
        <stp>3</stp>
        <stp>300431</stp>
        <stp>12/31/2018</stp>
        <stp>2019-11-29</stp>
        <tr r="Q3388" s="1"/>
      </tp>
      <tp>
        <v>2.4437816687616838</v>
        <stp/>
        <stp>EM_S_VAL_DIVIDENDYIELD2</stp>
        <stp>3</stp>
        <stp>600461</stp>
        <stp>12/31/2018</stp>
        <stp>2019-11-29</stp>
        <tr r="Q1858" s="1"/>
      </tp>
      <tp>
        <v>0.94121054231424039</v>
        <stp/>
        <stp>EM_S_VAL_DIVIDENDYIELD2</stp>
        <stp>3</stp>
        <stp>000411</stp>
        <stp>12/31/2018</stp>
        <stp>2019-11-29</stp>
        <tr r="Q2518" s="1"/>
      </tp>
      <tp>
        <v>3.3827152048737439</v>
        <stp/>
        <stp>EM_S_VAL_DIVIDENDYIELD2</stp>
        <stp>3</stp>
        <stp>300421</stp>
        <stp>12/31/2018</stp>
        <stp>2019-11-29</stp>
        <tr r="Q3348" s="1"/>
      </tp>
      <tp>
        <v>0.20134117822270906</v>
        <stp/>
        <stp>EM_S_VAL_DIVIDENDYIELD2</stp>
        <stp>3</stp>
        <stp>300451</stp>
        <stp>12/31/2018</stp>
        <stp>2019-11-29</stp>
        <tr r="Q2693" s="1"/>
      </tp>
      <tp>
        <v>0</v>
        <stp/>
        <stp>EM_S_VAL_DIVIDENDYIELD2</stp>
        <stp>3</stp>
        <stp>600401</stp>
        <stp>12/31/2018</stp>
        <stp>2019-11-29</stp>
        <tr r="Q3407" s="1"/>
      </tp>
      <tp>
        <v>0.71783828239886727</v>
        <stp/>
        <stp>EM_S_VAL_DIVIDENDYIELD2</stp>
        <stp>3</stp>
        <stp>300441</stp>
        <stp>12/31/2018</stp>
        <stp>2019-11-29</stp>
        <tr r="Q685" s="1"/>
      </tp>
      <tp>
        <v>0</v>
        <stp/>
        <stp>EM_S_VAL_DIVIDENDYIELD2</stp>
        <stp>3</stp>
        <stp>300471</stp>
        <stp>12/31/2018</stp>
        <stp>2019-11-29</stp>
        <tr r="Q341" s="1"/>
      </tp>
      <tp>
        <v>0</v>
        <stp/>
        <stp>EM_S_VAL_DIVIDENDYIELD2</stp>
        <stp>3</stp>
        <stp>600421</stp>
        <stp>12/31/2018</stp>
        <stp>2019-11-29</stp>
        <tr r="Q1884" s="1"/>
      </tp>
      <tp>
        <v>0</v>
        <stp/>
        <stp>EM_S_VAL_DIVIDENDYIELD2</stp>
        <stp>3</stp>
        <stp>300461</stp>
        <stp>12/31/2018</stp>
        <stp>2019-11-29</stp>
        <tr r="Q1686" s="1"/>
      </tp>
      <tp>
        <v>0</v>
        <stp/>
        <stp>EM_S_VAL_DIVIDENDYIELD2</stp>
        <stp>3</stp>
        <stp>300491</stp>
        <stp>12/31/2018</stp>
        <stp>2019-11-29</stp>
        <tr r="Q2962" s="1"/>
      </tp>
      <tp>
        <v>1.2763241863433312</v>
        <stp/>
        <stp>EM_S_VAL_DIVIDENDYIELD2</stp>
        <stp>3</stp>
        <stp>300481</stp>
        <stp>12/31/2018</stp>
        <stp>2019-11-29</stp>
        <tr r="Q358" s="1"/>
      </tp>
      <tp>
        <v>3.7976075122623603</v>
        <stp/>
        <stp>EM_S_VAL_DIVIDENDYIELD2</stp>
        <stp>3</stp>
        <stp>600481</stp>
        <stp>12/31/2018</stp>
        <stp>2019-11-29</stp>
        <tr r="Q2397" s="1"/>
      </tp>
      <tp>
        <v>0.80753701211305517</v>
        <stp/>
        <stp>EM_S_VAL_DIVIDENDYIELD2</stp>
        <stp>3</stp>
        <stp>600491</stp>
        <stp>12/31/2018</stp>
        <stp>2019-11-29</stp>
        <tr r="Q1872" s="1"/>
      </tp>
      <tp>
        <v>1.8404907975460123</v>
        <stp/>
        <stp>EM_S_VAL_DIVIDENDYIELD2</stp>
        <stp>3</stp>
        <stp>000521</stp>
        <stp>12/31/2018</stp>
        <stp>2019-11-29</stp>
        <tr r="Q1492" s="1"/>
      </tp>
      <tp>
        <v>1.9448946515397085</v>
        <stp/>
        <stp>EM_S_VAL_DIVIDENDYIELD2</stp>
        <stp>3</stp>
        <stp>300511</stp>
        <stp>12/31/2018</stp>
        <stp>2019-11-29</stp>
        <tr r="Q1595" s="1"/>
      </tp>
      <tp>
        <v>3.2507739938080502</v>
        <stp/>
        <stp>EM_S_VAL_DIVIDENDYIELD2</stp>
        <stp>3</stp>
        <stp>000531</stp>
        <stp>12/31/2018</stp>
        <stp>2019-11-29</stp>
        <tr r="Q806" s="1"/>
      </tp>
      <tp>
        <v>1.7652250661959399</v>
        <stp/>
        <stp>EM_S_VAL_DIVIDENDYIELD2</stp>
        <stp>3</stp>
        <stp>300501</stp>
        <stp>12/31/2018</stp>
        <stp>2019-11-29</stp>
        <tr r="Q3206" s="1"/>
      </tp>
      <tp>
        <v>2.4547803617571056</v>
        <stp/>
        <stp>EM_S_VAL_DIVIDENDYIELD2</stp>
        <stp>3</stp>
        <stp>600551</stp>
        <stp>12/31/2018</stp>
        <stp>2019-11-29</stp>
        <tr r="Q2574" s="1"/>
      </tp>
      <tp>
        <v>1.8450184501845022</v>
        <stp/>
        <stp>EM_S_VAL_DIVIDENDYIELD2</stp>
        <stp>3</stp>
        <stp>000501</stp>
        <stp>12/31/2018</stp>
        <stp>2019-11-29</stp>
        <tr r="Q3428" s="1"/>
      </tp>
      <tp>
        <v>0.19480519480519481</v>
        <stp/>
        <stp>EM_S_VAL_DIVIDENDYIELD2</stp>
        <stp>3</stp>
        <stp>300531</stp>
        <stp>12/31/2018</stp>
        <stp>2019-11-29</stp>
        <tr r="Q2481" s="1"/>
      </tp>
      <tp>
        <v>0.53511705685618727</v>
        <stp/>
        <stp>EM_S_VAL_DIVIDENDYIELD2</stp>
        <stp>3</stp>
        <stp>600561</stp>
        <stp>12/31/2018</stp>
        <stp>2019-11-29</stp>
        <tr r="Q1927" s="1"/>
      </tp>
      <tp>
        <v>0</v>
        <stp/>
        <stp>EM_S_VAL_DIVIDENDYIELD2</stp>
        <stp>3</stp>
        <stp>000511</stp>
        <stp>12/31/2018</stp>
        <stp>2019-11-29</stp>
        <tr r="Q3436" s="1"/>
      </tp>
      <tp>
        <v>0.36534446764091855</v>
        <stp/>
        <stp>EM_S_VAL_DIVIDENDYIELD2</stp>
        <stp>3</stp>
        <stp>300521</stp>
        <stp>12/31/2018</stp>
        <stp>2019-11-29</stp>
        <tr r="Q1258" s="1"/>
      </tp>
      <tp>
        <v>4.1019955654101992</v>
        <stp/>
        <stp>EM_S_VAL_DIVIDENDYIELD2</stp>
        <stp>3</stp>
        <stp>600571</stp>
        <stp>12/31/2018</stp>
        <stp>2019-11-29</stp>
        <tr r="Q555" s="1"/>
      </tp>
      <tp>
        <v>0</v>
        <stp/>
        <stp>EM_S_VAL_DIVIDENDYIELD2</stp>
        <stp>3</stp>
        <stp>000561</stp>
        <stp>12/31/2018</stp>
        <stp>2019-11-29</stp>
        <tr r="Q926" s="1"/>
      </tp>
      <tp>
        <v>9.3619070436032584E-2</v>
        <stp/>
        <stp>EM_S_VAL_DIVIDENDYIELD2</stp>
        <stp>3</stp>
        <stp>300551</stp>
        <stp>12/31/2018</stp>
        <stp>2019-11-29</stp>
        <tr r="Q113" s="1"/>
      </tp>
      <tp>
        <v>0</v>
        <stp/>
        <stp>EM_S_VAL_DIVIDENDYIELD2</stp>
        <stp>3</stp>
        <stp>600501</stp>
        <stp>12/31/2018</stp>
        <stp>2019-11-29</stp>
        <tr r="Q972" s="1"/>
      </tp>
      <tp>
        <v>0</v>
        <stp/>
        <stp>EM_S_VAL_DIVIDENDYIELD2</stp>
        <stp>3</stp>
        <stp>000571</stp>
        <stp>12/31/2018</stp>
        <stp>2019-11-29</stp>
        <tr r="Q3462" s="1"/>
      </tp>
      <tp>
        <v>0.317164673711334</v>
        <stp/>
        <stp>EM_S_VAL_DIVIDENDYIELD2</stp>
        <stp>3</stp>
        <stp>300541</stp>
        <stp>12/31/2018</stp>
        <stp>2019-11-29</stp>
        <tr r="Q463" s="1"/>
      </tp>
      <tp>
        <v>1.6588179557547267</v>
        <stp/>
        <stp>EM_S_VAL_DIVIDENDYIELD2</stp>
        <stp>3</stp>
        <stp>600511</stp>
        <stp>12/31/2018</stp>
        <stp>2019-11-29</stp>
        <tr r="Q1450" s="1"/>
      </tp>
      <tp>
        <v>3.1836734693877551</v>
        <stp/>
        <stp>EM_S_VAL_DIVIDENDYIELD2</stp>
        <stp>3</stp>
        <stp>000541</stp>
        <stp>12/31/2018</stp>
        <stp>2019-11-29</stp>
        <tr r="Q2586" s="1"/>
      </tp>
      <tp>
        <v>0.41535166641459703</v>
        <stp/>
        <stp>EM_S_VAL_DIVIDENDYIELD2</stp>
        <stp>3</stp>
        <stp>300571</stp>
        <stp>12/31/2018</stp>
        <stp>2019-11-29</stp>
        <tr r="Q939" s="1"/>
      </tp>
      <tp>
        <v>0</v>
        <stp/>
        <stp>EM_S_VAL_DIVIDENDYIELD2</stp>
        <stp>3</stp>
        <stp>600521</stp>
        <stp>12/31/2018</stp>
        <stp>2019-11-29</stp>
        <tr r="Q489" s="1"/>
      </tp>
      <tp>
        <v>0</v>
        <stp/>
        <stp>EM_S_VAL_DIVIDENDYIELD2</stp>
        <stp>3</stp>
        <stp>000551</stp>
        <stp>12/31/2018</stp>
        <stp>2019-11-29</stp>
        <tr r="Q1505" s="1"/>
      </tp>
      <tp>
        <v>1.0243538646606618</v>
        <stp/>
        <stp>EM_S_VAL_DIVIDENDYIELD2</stp>
        <stp>3</stp>
        <stp>300561</stp>
        <stp>12/31/2018</stp>
        <stp>2019-11-29</stp>
        <tr r="Q1339" s="1"/>
      </tp>
      <tp>
        <v>0.89411764705882357</v>
        <stp/>
        <stp>EM_S_VAL_DIVIDENDYIELD2</stp>
        <stp>3</stp>
        <stp>600531</stp>
        <stp>12/31/2018</stp>
        <stp>2019-11-29</stp>
        <tr r="Q855" s="1"/>
      </tp>
      <tp>
        <v>0</v>
        <stp/>
        <stp>EM_S_VAL_DIVIDENDYIELD2</stp>
        <stp>3</stp>
        <stp>300591</stp>
        <stp>12/31/2018</stp>
        <stp>2019-11-29</stp>
        <tr r="Q2386" s="1"/>
      </tp>
      <tp>
        <v>0.5066666666666666</v>
        <stp/>
        <stp>EM_S_VAL_DIVIDENDYIELD2</stp>
        <stp>3</stp>
        <stp>300581</stp>
        <stp>12/31/2018</stp>
        <stp>2019-11-29</stp>
        <tr r="Q989" s="1"/>
      </tp>
      <tp>
        <v>6.4516129032258061</v>
        <stp/>
        <stp>EM_S_VAL_DIVIDENDYIELD2</stp>
        <stp>3</stp>
        <stp>000581</stp>
        <stp>12/31/2018</stp>
        <stp>2019-11-29</stp>
        <tr r="Q3465" s="1"/>
      </tp>
      <tp>
        <v>3.0409356725146197</v>
        <stp/>
        <stp>EM_S_VAL_DIVIDENDYIELD2</stp>
        <stp>3</stp>
        <stp>000591</stp>
        <stp>12/31/2018</stp>
        <stp>2019-11-29</stp>
        <tr r="Q1170" s="1"/>
      </tp>
      <tp>
        <v>0</v>
        <stp/>
        <stp>EM_S_VAL_DIVIDENDYIELD2</stp>
        <stp>3</stp>
        <stp>600581</stp>
        <stp>12/31/2018</stp>
        <stp>2019-11-29</stp>
        <tr r="Q2480" s="1"/>
      </tp>
      <tp>
        <v>0</v>
        <stp/>
        <stp>EM_S_VAL_DIVIDENDYIELD2</stp>
        <stp>3</stp>
        <stp>600591</stp>
        <stp>12/31/2018</stp>
        <stp>2019-11-29</stp>
        <tr r="Q2305" s="1"/>
      </tp>
      <tp>
        <v>0</v>
        <stp/>
        <stp>EM_S_VAL_DIVIDENDYIELD2</stp>
        <stp>3</stp>
        <stp>000821</stp>
        <stp>12/31/2018</stp>
        <stp>2019-11-29</stp>
        <tr r="Q2937" s="1"/>
      </tp>
      <tp>
        <v>0.69321533923303835</v>
        <stp/>
        <stp>EM_S_VAL_DIVIDENDYIELD2</stp>
        <stp>3</stp>
        <stp>600841</stp>
        <stp>12/31/2018</stp>
        <stp>2019-11-29</stp>
        <tr r="Q1932" s="1"/>
      </tp>
      <tp>
        <v>0</v>
        <stp/>
        <stp>EM_S_VAL_DIVIDENDYIELD2</stp>
        <stp>3</stp>
        <stp>000831</stp>
        <stp>12/31/2018</stp>
        <stp>2019-11-29</stp>
        <tr r="Q465" s="1"/>
      </tp>
      <tp>
        <v>0.45336787564766834</v>
        <stp/>
        <stp>EM_S_VAL_DIVIDENDYIELD2</stp>
        <stp>3</stp>
        <stp>600851</stp>
        <stp>12/31/2018</stp>
        <stp>2019-11-29</stp>
        <tr r="Q1652" s="1"/>
      </tp>
      <tp>
        <v>0.37174721189591087</v>
        <stp/>
        <stp>EM_S_VAL_DIVIDENDYIELD2</stp>
        <stp>3</stp>
        <stp>000801</stp>
        <stp>12/31/2018</stp>
        <stp>2019-11-29</stp>
        <tr r="Q1131" s="1"/>
      </tp>
      <tp>
        <v>0.60386473429951704</v>
        <stp/>
        <stp>EM_S_VAL_DIVIDENDYIELD2</stp>
        <stp>3</stp>
        <stp>600861</stp>
        <stp>12/31/2018</stp>
        <stp>2019-11-29</stp>
        <tr r="Q1151" s="1"/>
      </tp>
      <tp>
        <v>0.65933590545820764</v>
        <stp/>
        <stp>EM_S_VAL_DIVIDENDYIELD2</stp>
        <stp>3</stp>
        <stp>000811</stp>
        <stp>12/31/2018</stp>
        <stp>2019-11-29</stp>
        <tr r="Q843" s="1"/>
      </tp>
      <tp>
        <v>0</v>
        <stp/>
        <stp>EM_S_VAL_DIVIDENDYIELD2</stp>
        <stp>3</stp>
        <stp>600871</stp>
        <stp>12/31/2018</stp>
        <stp>2019-11-29</stp>
        <tr r="Q1178" s="1"/>
      </tp>
      <tp>
        <v>0.63800374259130099</v>
        <stp/>
        <stp>EM_S_VAL_DIVIDENDYIELD2</stp>
        <stp>3</stp>
        <stp>000861</stp>
        <stp>12/31/2018</stp>
        <stp>2019-11-29</stp>
        <tr r="Q3556" s="1"/>
      </tp>
      <tp>
        <v>3.7269898885143893</v>
        <stp/>
        <stp>EM_S_VAL_DIVIDENDYIELD2</stp>
        <stp>3</stp>
        <stp>600801</stp>
        <stp>12/31/2018</stp>
        <stp>2019-11-29</stp>
        <tr r="Q585" s="1"/>
      </tp>
      <tp>
        <v>0</v>
        <stp/>
        <stp>EM_S_VAL_DIVIDENDYIELD2</stp>
        <stp>3</stp>
        <stp>600811</stp>
        <stp>12/31/2018</stp>
        <stp>2019-11-29</stp>
        <tr r="Q2690" s="1"/>
      </tp>
      <tp>
        <v>0</v>
        <stp/>
        <stp>EM_S_VAL_DIVIDENDYIELD2</stp>
        <stp>3</stp>
        <stp>600821</stp>
        <stp>12/31/2018</stp>
        <stp>2019-11-29</stp>
        <tr r="Q1516" s="1"/>
      </tp>
      <tp>
        <v>0</v>
        <stp/>
        <stp>EM_S_VAL_DIVIDENDYIELD2</stp>
        <stp>3</stp>
        <stp>000851</stp>
        <stp>12/31/2018</stp>
        <stp>2019-11-29</stp>
        <tr r="Q1159" s="1"/>
      </tp>
      <tp>
        <v>0.12018769222134984</v>
        <stp/>
        <stp>EM_S_VAL_DIVIDENDYIELD2</stp>
        <stp>3</stp>
        <stp>600831</stp>
        <stp>12/31/2018</stp>
        <stp>2019-11-29</stp>
        <tr r="Q788" s="1"/>
      </tp>
      <tp>
        <v>0</v>
        <stp/>
        <stp>EM_S_VAL_DIVIDENDYIELD2</stp>
        <stp>3</stp>
        <stp>000881</stp>
        <stp>12/31/2018</stp>
        <stp>2019-11-29</stp>
        <tr r="Q2108" s="1"/>
      </tp>
      <tp>
        <v>0</v>
        <stp/>
        <stp>EM_S_VAL_DIVIDENDYIELD2</stp>
        <stp>3</stp>
        <stp>600881</stp>
        <stp>12/31/2018</stp>
        <stp>2019-11-29</stp>
        <tr r="Q2561" s="1"/>
      </tp>
      <tp>
        <v>0</v>
        <stp/>
        <stp>EM_S_VAL_DIVIDENDYIELD2</stp>
        <stp>3</stp>
        <stp>600891</stp>
        <stp>12/31/2018</stp>
        <stp>2019-11-29</stp>
        <tr r="Q3403" s="1"/>
      </tp>
      <tp>
        <v>2.9618768328445748</v>
        <stp/>
        <stp>EM_S_VAL_DIVIDENDYIELD2</stp>
        <stp>3</stp>
        <stp>000921</stp>
        <stp>12/31/2018</stp>
        <stp>2019-11-29</stp>
        <tr r="Q344" s="1"/>
      </tp>
      <tp>
        <v>0</v>
        <stp/>
        <stp>EM_S_VAL_DIVIDENDYIELD2</stp>
        <stp>3</stp>
        <stp>000931</stp>
        <stp>12/31/2018</stp>
        <stp>2019-11-29</stp>
        <tr r="Q720" s="1"/>
      </tp>
      <tp>
        <v>0.68124392614188523</v>
        <stp/>
        <stp>EM_S_VAL_DIVIDENDYIELD2</stp>
        <stp>3</stp>
        <stp>000901</stp>
        <stp>12/31/2018</stp>
        <stp>2019-11-29</stp>
        <tr r="Q3569" s="1"/>
      </tp>
      <tp>
        <v>0</v>
        <stp/>
        <stp>EM_S_VAL_DIVIDENDYIELD2</stp>
        <stp>3</stp>
        <stp>600961</stp>
        <stp>12/31/2018</stp>
        <stp>2019-11-29</stp>
        <tr r="Q1803" s="1"/>
      </tp>
      <tp>
        <v>0</v>
        <stp/>
        <stp>EM_S_VAL_DIVIDENDYIELD2</stp>
        <stp>3</stp>
        <stp>000911</stp>
        <stp>12/31/2018</stp>
        <stp>2019-11-29</stp>
        <tr r="Q3572" s="1"/>
      </tp>
      <tp>
        <v>5.9836544074722706</v>
        <stp/>
        <stp>EM_S_VAL_DIVIDENDYIELD2</stp>
        <stp>3</stp>
        <stp>600971</stp>
        <stp>12/31/2018</stp>
        <stp>2019-11-29</stp>
        <tr r="Q1930" s="1"/>
      </tp>
      <tp>
        <v>1.4707561462514098</v>
        <stp/>
        <stp>EM_S_VAL_DIVIDENDYIELD2</stp>
        <stp>3</stp>
        <stp>000961</stp>
        <stp>12/31/2018</stp>
        <stp>2019-11-29</stp>
        <tr r="Q207" s="1"/>
      </tp>
      <tp>
        <v>3.3333333333333335</v>
        <stp/>
        <stp>EM_S_VAL_DIVIDENDYIELD2</stp>
        <stp>3</stp>
        <stp>600901</stp>
        <stp>12/31/2018</stp>
        <stp>2019-11-29</stp>
        <tr r="Q1864" s="1"/>
      </tp>
      <tp>
        <v>0</v>
        <stp/>
        <stp>EM_S_VAL_DIVIDENDYIELD2</stp>
        <stp>3</stp>
        <stp>000971</stp>
        <stp>12/31/2018</stp>
        <stp>2019-11-29</stp>
        <tr r="Q3589" s="1"/>
      </tp>
      <tp>
        <v>2.4287222808870119</v>
        <stp/>
        <stp>EM_S_VAL_DIVIDENDYIELD2</stp>
        <stp>3</stp>
        <stp>000951</stp>
        <stp>12/31/2018</stp>
        <stp>2019-11-29</stp>
        <tr r="Q163" s="1"/>
      </tp>
      <tp>
        <v>0</v>
        <stp/>
        <stp>EM_S_VAL_DIVIDENDYIELD2</stp>
        <stp>3</stp>
        <stp>000981</stp>
        <stp>12/31/2018</stp>
        <stp>2019-11-29</stp>
        <tr r="Q3594" s="1"/>
      </tp>
      <tp>
        <v>0</v>
        <stp/>
        <stp>EM_S_VAL_DIVIDENDYIELD2</stp>
        <stp>3</stp>
        <stp>000991</stp>
        <stp>12/31/2018</stp>
        <stp>2019-11-29</stp>
        <tr r="Q3599" s="1"/>
      </tp>
      <tp>
        <v>4.6218487394957979</v>
        <stp/>
        <stp>EM_S_VAL_DIVIDENDYIELD2</stp>
        <stp>3</stp>
        <stp>600981</stp>
        <stp>12/31/2018</stp>
        <stp>2019-11-29</stp>
        <tr r="Q2364" s="1"/>
      </tp>
      <tp>
        <v>0</v>
        <stp/>
        <stp>EM_S_VAL_DIVIDENDYIELD2</stp>
        <stp>3</stp>
        <stp>600991</stp>
        <stp>12/31/2018</stp>
        <stp>2019-11-29</stp>
        <tr r="Q2334" s="1"/>
      </tp>
      <tp>
        <v>1.6457211027410035</v>
        <stp/>
        <stp>EM_S_VAL_DIVIDENDYIELD2</stp>
        <stp>3</stp>
        <stp>601211</stp>
        <stp>12/31/2018</stp>
        <stp>2019-11-29</stp>
        <tr r="Q1188" s="1"/>
      </tp>
      <tp>
        <v>1.0161090458488227</v>
        <stp/>
        <stp>EM_S_VAL_DIVIDENDYIELD2</stp>
        <stp>3</stp>
        <stp>601231</stp>
        <stp>12/31/2018</stp>
        <stp>2019-11-29</stp>
        <tr r="Q130" s="1"/>
      </tp>
      <tp>
        <v>1.6648168701442838</v>
        <stp/>
        <stp>EM_S_VAL_DIVIDENDYIELD2</stp>
        <stp>3</stp>
        <stp>601311</stp>
        <stp>12/31/2018</stp>
        <stp>2019-11-29</stp>
        <tr r="Q1920" s="1"/>
      </tp>
      <tp>
        <v>0</v>
        <stp/>
        <stp>EM_S_VAL_DIVIDENDYIELD2</stp>
        <stp>3</stp>
        <stp>601001</stp>
        <stp>12/31/2018</stp>
        <stp>2019-11-29</stp>
        <tr r="Q2169" s="1"/>
      </tp>
      <tp>
        <v>0</v>
        <stp/>
        <stp>EM_S_VAL_DIVIDENDYIELD2</stp>
        <stp>3</stp>
        <stp>601011</stp>
        <stp>12/31/2018</stp>
        <stp>2019-11-29</stp>
        <tr r="Q3003" s="1"/>
      </tp>
      <tp>
        <v>0.49648502203153855</v>
        <stp/>
        <stp>EM_S_VAL_DIVIDENDYIELD2</stp>
        <stp>3</stp>
        <stp>601021</stp>
        <stp>12/31/2018</stp>
        <stp>2019-11-29</stp>
        <tr r="Q777" s="1"/>
      </tp>
      <tp>
        <v>3.5849056603773586</v>
        <stp/>
        <stp>EM_S_VAL_DIVIDENDYIELD2</stp>
        <stp>3</stp>
        <stp>601101</stp>
        <stp>12/31/2018</stp>
        <stp>2019-11-29</stp>
        <tr r="Q3038" s="1"/>
      </tp>
      <tp>
        <v>1.2222485207100591</v>
        <stp/>
        <stp>EM_S_VAL_DIVIDENDYIELD2</stp>
        <stp>3</stp>
        <stp>601111</stp>
        <stp>12/31/2018</stp>
        <stp>2019-11-29</stp>
        <tr r="Q1102" s="1"/>
      </tp>
      <tp>
        <v>2.9197080291970803</v>
        <stp/>
        <stp>EM_S_VAL_DIVIDENDYIELD2</stp>
        <stp>3</stp>
        <stp>601601</stp>
        <stp>12/31/2018</stp>
        <stp>2019-11-29</stp>
        <tr r="Q836" s="1"/>
      </tp>
      <tp>
        <v>0.80229226361031525</v>
        <stp/>
        <stp>EM_S_VAL_DIVIDENDYIELD2</stp>
        <stp>3</stp>
        <stp>601611</stp>
        <stp>12/31/2018</stp>
        <stp>2019-11-29</stp>
        <tr r="Q1819" s="1"/>
      </tp>
      <tp>
        <v>3.4179687499999991</v>
        <stp/>
        <stp>EM_S_VAL_DIVIDENDYIELD2</stp>
        <stp>3</stp>
        <stp>601801</stp>
        <stp>12/31/2018</stp>
        <stp>2019-11-29</stp>
        <tr r="Q3010" s="1"/>
      </tp>
      <tp>
        <v>2.4691358024691357</v>
        <stp/>
        <stp>EM_S_VAL_DIVIDENDYIELD2</stp>
        <stp>3</stp>
        <stp>601811</stp>
        <stp>12/31/2018</stp>
        <stp>2019-11-29</stp>
        <tr r="Q728" s="1"/>
      </tp>
      <tp>
        <v>0.8754863813229572</v>
        <stp/>
        <stp>EM_S_VAL_DIVIDENDYIELD2</stp>
        <stp>3</stp>
        <stp>601881</stp>
        <stp>12/31/2018</stp>
        <stp>2019-11-29</stp>
        <tr r="Q338" s="1"/>
      </tp>
      <tp>
        <v>0.38863976083707025</v>
        <stp/>
        <stp>EM_S_VAL_DIVIDENDYIELD2</stp>
        <stp>3</stp>
        <stp>601901</stp>
        <stp>12/31/2018</stp>
        <stp>2019-11-29</stp>
        <tr r="Q408" s="1"/>
      </tp>
      <tp>
        <v>4.1322314049586781</v>
        <stp/>
        <stp>EM_S_VAL_DIVIDENDYIELD2</stp>
        <stp>3</stp>
        <stp>601991</stp>
        <stp>12/31/2018</stp>
        <stp>2019-11-29</stp>
        <tr r="Q3110" s="1"/>
      </tp>
      <tp>
        <v>-7.7477714421000003</v>
        <stp/>
        <stp>EM_S_FA_YOY_OR</stp>
        <stp>2</stp>
        <stp>001896</stp>
        <stp>12/31/2018</stp>
        <tr r="H3602" s="1"/>
      </tp>
      <tp>
        <v>4.8421904274000003</v>
        <stp/>
        <stp>EM_S_FA_YOY_OR</stp>
        <stp>2</stp>
        <stp>601886</stp>
        <stp>12/31/2018</stp>
        <tr r="H2479" s="1"/>
      </tp>
      <tp>
        <v>-12.506718551900001</v>
        <stp/>
        <stp>EM_S_FA_YOY_OR</stp>
        <stp>2</stp>
        <stp>601881</stp>
        <stp>12/31/2018</stp>
        <tr r="H338" s="1"/>
      </tp>
      <tp>
        <v>-25.2135559337</v>
        <stp/>
        <stp>EM_S_FA_YOY_OR</stp>
        <stp>2</stp>
        <stp>601880</stp>
        <stp>12/31/2018</stp>
        <tr r="H1781" s="1"/>
      </tp>
      <tp>
        <v>-0.66920959930000001</v>
        <stp/>
        <stp>EM_S_FA_YOY_OR</stp>
        <stp>2</stp>
        <stp>601882</stp>
        <stp>12/31/2018</stp>
        <tr r="H2144" s="1"/>
      </tp>
      <tp>
        <v>66.207640057000006</v>
        <stp/>
        <stp>EM_S_FA_YOY_OR</stp>
        <stp>2</stp>
        <stp>601888</stp>
        <stp>12/31/2018</stp>
        <tr r="H601" s="1"/>
      </tp>
      <tp>
        <v>1.8026265912999999</v>
        <stp/>
        <stp>EM_S_FA_YOY_OR</stp>
        <stp>2</stp>
        <stp>601890</stp>
        <stp>12/31/2018</stp>
        <tr r="H410" s="1"/>
      </tp>
      <tp>
        <v>12.1055464735</v>
        <stp/>
        <stp>EM_S_FA_YOY_OR</stp>
        <stp>2</stp>
        <stp>601899</stp>
        <stp>12/31/2018</stp>
        <tr r="H838" s="1"/>
      </tp>
      <tp>
        <v>27.759533009399998</v>
        <stp/>
        <stp>EM_S_FA_YOY_OR</stp>
        <stp>2</stp>
        <stp>601898</stp>
        <stp>12/31/2018</stp>
        <tr r="H1860" s="1"/>
      </tp>
      <tp>
        <v>2.4938252914999999</v>
        <stp/>
        <stp>EM_S_FA_YOY_OR</stp>
        <stp>2</stp>
        <stp>601866</stp>
        <stp>12/31/2018</stp>
        <tr r="H1597" s="1"/>
      </tp>
      <tp>
        <v>17.100224913800002</v>
        <stp/>
        <stp>EM_S_FA_YOY_OR</stp>
        <stp>2</stp>
        <stp>601877</stp>
        <stp>12/31/2018</stp>
        <tr r="H1679" s="1"/>
      </tp>
      <tp>
        <v>13.784874118799999</v>
        <stp/>
        <stp>EM_S_FA_YOY_OR</stp>
        <stp>2</stp>
        <stp>601872</stp>
        <stp>12/31/2018</stp>
        <tr r="H137" s="1"/>
      </tp>
      <tp>
        <v>-19.867656484499999</v>
        <stp/>
        <stp>EM_S_FA_YOY_OR</stp>
        <stp>2</stp>
        <stp>601878</stp>
        <stp>12/31/2018</stp>
        <tr r="H466" s="1"/>
      </tp>
      <tp>
        <v>16.751806894200001</v>
        <stp/>
        <stp>EM_S_FA_YOY_OR</stp>
        <stp>2</stp>
        <stp>601857</stp>
        <stp>12/31/2018</stp>
        <tr r="H3048" s="1"/>
      </tp>
      <tp>
        <v>10.6549979268</v>
        <stp/>
        <stp>EM_S_FA_YOY_OR</stp>
        <stp>2</stp>
        <stp>601858</stp>
        <stp>12/31/2018</stp>
        <tr r="H1108" s="1"/>
      </tp>
      <tp>
        <v>29.930891359</v>
        <stp/>
        <stp>EM_S_FA_YOY_OR</stp>
        <stp>2</stp>
        <stp>601828</stp>
        <stp>12/31/2018</stp>
        <tr r="H2154" s="1"/>
      </tp>
      <tp>
        <v>20.053763585700001</v>
        <stp/>
        <stp>EM_S_FA_YOY_OR</stp>
        <stp>2</stp>
        <stp>601838</stp>
        <stp>12/31/2018</stp>
        <tr r="H1663" s="1"/>
      </tp>
      <tp>
        <v>12.8875621149</v>
        <stp/>
        <stp>EM_S_FA_YOY_OR</stp>
        <stp>2</stp>
        <stp>601801</stp>
        <stp>12/31/2018</stp>
        <tr r="H3010" s="1"/>
      </tp>
      <tp>
        <v>1.6710261338000001</v>
        <stp/>
        <stp>EM_S_FA_YOY_OR</stp>
        <stp>2</stp>
        <stp>601800</stp>
        <stp>12/31/2018</stp>
        <tr r="H3086" s="1"/>
      </tp>
      <tp>
        <v>25.288404493400002</v>
        <stp/>
        <stp>EM_S_FA_YOY_OR</stp>
        <stp>2</stp>
        <stp>601808</stp>
        <stp>12/31/2018</stp>
        <tr r="H119" s="1"/>
      </tp>
      <tp>
        <v>11.4445059078</v>
        <stp/>
        <stp>EM_S_FA_YOY_OR</stp>
        <stp>2</stp>
        <stp>601811</stp>
        <stp>12/31/2018</stp>
        <tr r="H728" s="1"/>
      </tp>
      <tp>
        <v>20.026129559099999</v>
        <stp/>
        <stp>EM_S_FA_YOY_OR</stp>
        <stp>2</stp>
        <stp>601818</stp>
        <stp>12/31/2018</stp>
        <tr r="H1342" s="1"/>
      </tp>
      <tp>
        <v>16.188629859999999</v>
        <stp/>
        <stp>EM_S_FA_YOY_OR</stp>
        <stp>2</stp>
        <stp>601985</stp>
        <stp>12/31/2018</stp>
        <tr r="H2565" s="1"/>
      </tp>
      <tp>
        <v>14.724332087200001</v>
        <stp/>
        <stp>EM_S_FA_YOY_OR</stp>
        <stp>2</stp>
        <stp>601989</stp>
        <stp>12/31/2018</stp>
        <tr r="H1155" s="1"/>
      </tp>
      <tp>
        <v>4.3099416898999996</v>
        <stp/>
        <stp>EM_S_FA_YOY_OR</stp>
        <stp>2</stp>
        <stp>601988</stp>
        <stp>12/31/2018</stp>
        <tr r="H2120" s="1"/>
      </tp>
      <tp>
        <v>1.3485750045</v>
        <stp/>
        <stp>EM_S_FA_YOY_OR</stp>
        <stp>2</stp>
        <stp>601997</stp>
        <stp>12/31/2018</stp>
        <tr r="H2788" s="1"/>
      </tp>
      <tp>
        <v>22.709646943300001</v>
        <stp/>
        <stp>EM_S_FA_YOY_OR</stp>
        <stp>2</stp>
        <stp>601996</stp>
        <stp>12/31/2018</stp>
        <tr r="H2340" s="1"/>
      </tp>
      <tp>
        <v>10.9337116205</v>
        <stp/>
        <stp>EM_S_FA_YOY_OR</stp>
        <stp>2</stp>
        <stp>601991</stp>
        <stp>12/31/2018</stp>
        <tr r="H3110" s="1"/>
      </tp>
      <tp>
        <v>-11.130611394800001</v>
        <stp/>
        <stp>EM_S_FA_YOY_OR</stp>
        <stp>2</stp>
        <stp>601990</stp>
        <stp>12/31/2018</stp>
        <tr r="H632" s="1"/>
      </tp>
      <tp>
        <v>30.5259291132</v>
        <stp/>
        <stp>EM_S_FA_YOY_OR</stp>
        <stp>2</stp>
        <stp>601992</stp>
        <stp>12/31/2018</stp>
        <tr r="H2099" s="1"/>
      </tp>
      <tp>
        <v>21.0844749012</v>
        <stp/>
        <stp>EM_S_FA_YOY_OR</stp>
        <stp>2</stp>
        <stp>601999</stp>
        <stp>12/31/2018</stp>
        <tr r="H1305" s="1"/>
      </tp>
      <tp>
        <v>5.1982030272999999</v>
        <stp/>
        <stp>EM_S_FA_YOY_OR</stp>
        <stp>2</stp>
        <stp>601998</stp>
        <stp>12/31/2018</stp>
        <tr r="H1567" s="1"/>
      </tp>
      <tp>
        <v>14.913589098399999</v>
        <stp/>
        <stp>EM_S_FA_YOY_OR</stp>
        <stp>2</stp>
        <stp>601965</stp>
        <stp>12/31/2018</stp>
        <tr r="H1351" s="1"/>
      </tp>
      <tp>
        <v>9.9403897834000006</v>
        <stp/>
        <stp>EM_S_FA_YOY_OR</stp>
        <stp>2</stp>
        <stp>601966</stp>
        <stp>12/31/2018</stp>
        <tr r="H385" s="1"/>
      </tp>
      <tp>
        <v>-49.690854323800004</v>
        <stp/>
        <stp>EM_S_FA_YOY_OR</stp>
        <stp>2</stp>
        <stp>601969</stp>
        <stp>12/31/2018</stp>
        <tr r="H915" s="1"/>
      </tp>
      <tp>
        <v>9.4810561524000008</v>
        <stp/>
        <stp>EM_S_FA_YOY_OR</stp>
        <stp>2</stp>
        <stp>601968</stp>
        <stp>12/31/2018</stp>
        <tr r="H1000" s="1"/>
      </tp>
      <tp>
        <v>13.5174267726</v>
        <stp/>
        <stp>EM_S_FA_YOY_OR</stp>
        <stp>2</stp>
        <stp>601949</stp>
        <stp>12/31/2018</stp>
        <tr r="H681" s="1"/>
      </tp>
      <tp>
        <v>13.163823624899999</v>
        <stp/>
        <stp>EM_S_FA_YOY_OR</stp>
        <stp>2</stp>
        <stp>601952</stp>
        <stp>12/31/2018</stp>
        <tr r="H2012" s="1"/>
      </tp>
      <tp>
        <v>-13.9879352983</v>
        <stp/>
        <stp>EM_S_FA_YOY_OR</stp>
        <stp>2</stp>
        <stp>601958</stp>
        <stp>12/31/2018</stp>
        <tr r="H799" s="1"/>
      </tp>
      <tp>
        <v>-1.7168152759999999</v>
        <stp/>
        <stp>EM_S_FA_YOY_OR</stp>
        <stp>2</stp>
        <stp>601929</stp>
        <stp>12/31/2018</stp>
        <tr r="H2062" s="1"/>
      </tp>
      <tp>
        <v>6.6804332517000002</v>
        <stp/>
        <stp>EM_S_FA_YOY_OR</stp>
        <stp>2</stp>
        <stp>601928</stp>
        <stp>12/31/2018</stp>
        <tr r="H2548" s="1"/>
      </tp>
      <tp>
        <v>20.353366768400001</v>
        <stp/>
        <stp>EM_S_FA_YOY_OR</stp>
        <stp>2</stp>
        <stp>601933</stp>
        <stp>12/31/2018</stp>
        <tr r="H2507" s="1"/>
      </tp>
      <tp>
        <v>5.9891355228999998</v>
        <stp/>
        <stp>EM_S_FA_YOY_OR</stp>
        <stp>2</stp>
        <stp>601939</stp>
        <stp>12/31/2018</stp>
        <tr r="H1554" s="1"/>
      </tp>
      <tp>
        <v>26.563659192199999</v>
        <stp/>
        <stp>EM_S_FA_YOY_OR</stp>
        <stp>2</stp>
        <stp>001965</stp>
        <stp>12/31/2018</stp>
        <tr r="H1808" s="1"/>
      </tp>
      <tp>
        <v>-4.0080310227</v>
        <stp/>
        <stp>EM_S_FA_YOY_OR</stp>
        <stp>2</stp>
        <stp>601901</stp>
        <stp>12/31/2018</stp>
        <tr r="H408" s="1"/>
      </tp>
      <tp>
        <v>6.5962574532999998</v>
        <stp/>
        <stp>EM_S_FA_YOY_OR</stp>
        <stp>2</stp>
        <stp>601900</stp>
        <stp>12/31/2018</stp>
        <tr r="H1823" s="1"/>
      </tp>
      <tp>
        <v>6.0896685845</v>
        <stp/>
        <stp>EM_S_FA_YOY_OR</stp>
        <stp>2</stp>
        <stp>601908</stp>
        <stp>12/31/2018</stp>
        <tr r="H2539" s="1"/>
      </tp>
      <tp>
        <v>16.250001014999999</v>
        <stp/>
        <stp>EM_S_FA_YOY_OR</stp>
        <stp>2</stp>
        <stp>001979</stp>
        <stp>12/31/2018</stp>
        <tr r="H1473" s="1"/>
      </tp>
      <tp>
        <v>33.5664850896</v>
        <stp/>
        <stp>EM_S_FA_YOY_OR</stp>
        <stp>2</stp>
        <stp>601919</stp>
        <stp>12/31/2018</stp>
        <tr r="H933" s="1"/>
      </tp>
      <tp>
        <v>17.1782940903</v>
        <stp/>
        <stp>EM_S_FA_YOY_OR</stp>
        <stp>2</stp>
        <stp>601918</stp>
        <stp>12/31/2018</stp>
        <tr r="H1915" s="1"/>
      </tp>
      <tp>
        <v>11.460391292300001</v>
        <stp/>
        <stp>EM_S_FA_YOY_OR</stp>
        <stp>2</stp>
        <stp>601288</stp>
        <stp>12/31/2018</stp>
        <tr r="H2090" s="1"/>
      </tp>
      <tp>
        <v>0</v>
        <stp/>
        <stp>EM_S_FA_YOY_OR</stp>
        <stp>2</stp>
        <stp>601299</stp>
        <stp>12/31/2018</stp>
        <tr r="H2336" s="1"/>
      </tp>
      <tp>
        <v>32.499353269300002</v>
        <stp/>
        <stp>EM_S_FA_YOY_OR</stp>
        <stp>2</stp>
        <stp>601268</stp>
        <stp>12/31/2018</stp>
        <tr r="H2338" s="1"/>
      </tp>
      <tp>
        <v>-40.365340725400003</v>
        <stp/>
        <stp>EM_S_FA_YOY_OR</stp>
        <stp>2</stp>
        <stp>601258</stp>
        <stp>12/31/2018</stp>
        <tr r="H2081" s="1"/>
      </tp>
      <tp>
        <v>12.3642149574</v>
        <stp/>
        <stp>EM_S_FA_YOY_OR</stp>
        <stp>2</stp>
        <stp>601225</stp>
        <stp>12/31/2018</stp>
        <tr r="H1210" s="1"/>
      </tp>
      <tp>
        <v>21.0479504252</v>
        <stp/>
        <stp>EM_S_FA_YOY_OR</stp>
        <stp>2</stp>
        <stp>601226</stp>
        <stp>12/31/2018</stp>
        <tr r="H1486" s="1"/>
      </tp>
      <tp>
        <v>11.943079341900001</v>
        <stp/>
        <stp>EM_S_FA_YOY_OR</stp>
        <stp>2</stp>
        <stp>601222</stp>
        <stp>12/31/2018</stp>
        <tr r="H2421" s="1"/>
      </tp>
      <tp>
        <v>32.491558111899998</v>
        <stp/>
        <stp>EM_S_FA_YOY_OR</stp>
        <stp>2</stp>
        <stp>601229</stp>
        <stp>12/31/2018</stp>
        <tr r="H2929" s="1"/>
      </tp>
      <tp>
        <v>4.0317025162000002</v>
        <stp/>
        <stp>EM_S_FA_YOY_OR</stp>
        <stp>2</stp>
        <stp>601228</stp>
        <stp>12/31/2018</stp>
        <tr r="H2498" s="1"/>
      </tp>
      <tp>
        <v>12.9422702539</v>
        <stp/>
        <stp>EM_S_FA_YOY_OR</stp>
        <stp>2</stp>
        <stp>601231</stp>
        <stp>12/31/2018</stp>
        <tr r="H130" s="1"/>
      </tp>
      <tp>
        <v>26.778290091300001</v>
        <stp/>
        <stp>EM_S_FA_YOY_OR</stp>
        <stp>2</stp>
        <stp>601233</stp>
        <stp>12/31/2018</stp>
        <tr r="H521" s="1"/>
      </tp>
      <tp>
        <v>0.53089818789999998</v>
        <stp/>
        <stp>EM_S_FA_YOY_OR</stp>
        <stp>2</stp>
        <stp>601238</stp>
        <stp>12/31/2018</stp>
        <tr r="H1583" s="1"/>
      </tp>
      <tp>
        <v>0</v>
        <stp/>
        <stp>EM_S_FA_YOY_OR</stp>
        <stp>2</stp>
        <stp>601206</stp>
        <stp>12/31/2018</stp>
        <tr r="H13" s="1"/>
      </tp>
      <tp>
        <v>0.65503851560000004</v>
        <stp/>
        <stp>EM_S_FA_YOY_OR</stp>
        <stp>2</stp>
        <stp>601200</stp>
        <stp>12/31/2018</stp>
        <tr r="H2980" s="1"/>
      </tp>
      <tp>
        <v>-5.1630937530000001</v>
        <stp/>
        <stp>EM_S_FA_YOY_OR</stp>
        <stp>2</stp>
        <stp>601208</stp>
        <stp>12/31/2018</stp>
        <tr r="H874" s="1"/>
      </tp>
      <tp>
        <v>9.3669063164999997</v>
        <stp/>
        <stp>EM_S_FA_YOY_OR</stp>
        <stp>2</stp>
        <stp>601216</stp>
        <stp>12/31/2018</stp>
        <tr r="H1321" s="1"/>
      </tp>
      <tp>
        <v>-4.5593320430000004</v>
        <stp/>
        <stp>EM_S_FA_YOY_OR</stp>
        <stp>2</stp>
        <stp>601211</stp>
        <stp>12/31/2018</stp>
        <tr r="H1188" s="1"/>
      </tp>
      <tp>
        <v>9.3800039455000004</v>
        <stp/>
        <stp>EM_S_FA_YOY_OR</stp>
        <stp>2</stp>
        <stp>601212</stp>
        <stp>12/31/2018</stp>
        <tr r="H1088" s="1"/>
      </tp>
      <tp>
        <v>-5.9495700751999996</v>
        <stp/>
        <stp>EM_S_FA_YOY_OR</stp>
        <stp>2</stp>
        <stp>601218</stp>
        <stp>12/31/2018</stp>
        <tr r="H1106" s="1"/>
      </tp>
      <tp>
        <v>16.948272571299999</v>
        <stp/>
        <stp>EM_S_FA_YOY_OR</stp>
        <stp>2</stp>
        <stp>601388</stp>
        <stp>12/31/2018</stp>
        <tr r="H2423" s="1"/>
      </tp>
      <tp>
        <v>6.9235954595000004</v>
        <stp/>
        <stp>EM_S_FA_YOY_OR</stp>
        <stp>2</stp>
        <stp>601390</stp>
        <stp>12/31/2018</stp>
        <tr r="H2944" s="1"/>
      </tp>
      <tp>
        <v>6.5088602647</v>
        <stp/>
        <stp>EM_S_FA_YOY_OR</stp>
        <stp>2</stp>
        <stp>601398</stp>
        <stp>12/31/2018</stp>
        <tr r="H1662" s="1"/>
      </tp>
      <tp>
        <v>8.1501316510000006</v>
        <stp/>
        <stp>EM_S_FA_YOY_OR</stp>
        <stp>2</stp>
        <stp>601366</stp>
        <stp>12/31/2018</stp>
        <tr r="H2886" s="1"/>
      </tp>
      <tp>
        <v>7.2817598595000002</v>
        <stp/>
        <stp>EM_S_FA_YOY_OR</stp>
        <stp>2</stp>
        <stp>601360</stp>
        <stp>12/31/2018</stp>
        <tr r="H1479" s="1"/>
      </tp>
      <tp>
        <v>27.3107465107</v>
        <stp/>
        <stp>EM_S_FA_YOY_OR</stp>
        <stp>2</stp>
        <stp>601369</stp>
        <stp>12/31/2018</stp>
        <tr r="H1777" s="1"/>
      </tp>
      <tp>
        <v>7.4416623522999998</v>
        <stp/>
        <stp>EM_S_FA_YOY_OR</stp>
        <stp>2</stp>
        <stp>601368</stp>
        <stp>12/31/2018</stp>
        <tr r="H2204" s="1"/>
      </tp>
      <tp>
        <v>-23.186527736199999</v>
        <stp/>
        <stp>EM_S_FA_YOY_OR</stp>
        <stp>2</stp>
        <stp>601375</stp>
        <stp>12/31/2018</stp>
        <tr r="H1087" s="1"/>
      </tp>
      <tp>
        <v>-26.314205366500001</v>
        <stp/>
        <stp>EM_S_FA_YOY_OR</stp>
        <stp>2</stp>
        <stp>601377</stp>
        <stp>12/31/2018</stp>
        <tr r="H499" s="1"/>
      </tp>
      <tp>
        <v>-2.2187221554000001</v>
        <stp/>
        <stp>EM_S_FA_YOY_OR</stp>
        <stp>2</stp>
        <stp>601326</stp>
        <stp>12/31/2018</stp>
        <tr r="H2259" s="1"/>
      </tp>
      <tp>
        <v>8.4908500033000003</v>
        <stp/>
        <stp>EM_S_FA_YOY_OR</stp>
        <stp>2</stp>
        <stp>601328</stp>
        <stp>12/31/2018</stp>
        <tr r="H2457" s="1"/>
      </tp>
      <tp>
        <v>6.9623678294999998</v>
        <stp/>
        <stp>EM_S_FA_YOY_OR</stp>
        <stp>2</stp>
        <stp>601336</stp>
        <stp>12/31/2018</stp>
        <tr r="H1427" s="1"/>
      </tp>
      <tp>
        <v>34.430283928999998</v>
        <stp/>
        <stp>EM_S_FA_YOY_OR</stp>
        <stp>2</stp>
        <stp>601330</stp>
        <stp>12/31/2018</stp>
        <tr r="H2943" s="1"/>
      </tp>
      <tp>
        <v>8.1641023664999999</v>
        <stp/>
        <stp>EM_S_FA_YOY_OR</stp>
        <stp>2</stp>
        <stp>601333</stp>
        <stp>12/31/2018</stp>
        <tr r="H2471" s="1"/>
      </tp>
      <tp>
        <v>0.76682470619999998</v>
        <stp/>
        <stp>EM_S_FA_YOY_OR</stp>
        <stp>2</stp>
        <stp>601339</stp>
        <stp>12/31/2018</stp>
        <tr r="H3196" s="1"/>
      </tp>
      <tp>
        <v>21.0789560656</v>
        <stp/>
        <stp>EM_S_FA_YOY_OR</stp>
        <stp>2</stp>
        <stp>601311</stp>
        <stp>12/31/2018</stp>
        <tr r="H1920" s="1"/>
      </tp>
      <tp>
        <v>9.6477423496999997</v>
        <stp/>
        <stp>EM_S_FA_YOY_OR</stp>
        <stp>2</stp>
        <stp>601318</stp>
        <stp>12/31/2018</stp>
        <tr r="H516" s="1"/>
      </tp>
      <tp>
        <v>0.85809615130000005</v>
        <stp/>
        <stp>EM_S_FA_YOY_OR</stp>
        <stp>2</stp>
        <stp>601086</stp>
        <stp>12/31/2018</stp>
        <tr r="H2246" s="1"/>
      </tp>
      <tp>
        <v>6.1729635852999998</v>
        <stp/>
        <stp>EM_S_FA_YOY_OR</stp>
        <stp>2</stp>
        <stp>601088</stp>
        <stp>12/31/2018</stp>
        <tr r="H2181" s="1"/>
      </tp>
      <tp>
        <v>-69.963710272499995</v>
        <stp/>
        <stp>EM_S_FA_YOY_OR</stp>
        <stp>2</stp>
        <stp>601099</stp>
        <stp>12/31/2018</stp>
        <tr r="H526" s="1"/>
      </tp>
      <tp>
        <v>-7.5725440579000001</v>
        <stp/>
        <stp>EM_S_FA_YOY_OR</stp>
        <stp>2</stp>
        <stp>601098</stp>
        <stp>12/31/2018</stp>
        <tr r="H2563" s="1"/>
      </tp>
      <tp>
        <v>-3.5041724366999998</v>
        <stp/>
        <stp>EM_S_FA_YOY_OR</stp>
        <stp>2</stp>
        <stp>601066</stp>
        <stp>12/31/2018</stp>
        <tr r="H31" s="1"/>
      </tp>
      <tp>
        <v>-28.0598618595</v>
        <stp/>
        <stp>EM_S_FA_YOY_OR</stp>
        <stp>2</stp>
        <stp>601069</stp>
        <stp>12/31/2018</stp>
        <tr r="H2244" s="1"/>
      </tp>
      <tp>
        <v>-0.88468074149999998</v>
        <stp/>
        <stp>EM_S_FA_YOY_OR</stp>
        <stp>2</stp>
        <stp>601058</stp>
        <stp>12/31/2018</stp>
        <tr r="H167" s="1"/>
      </tp>
      <tp>
        <v>19.538160253099999</v>
        <stp/>
        <stp>EM_S_FA_YOY_OR</stp>
        <stp>2</stp>
        <stp>601021</stp>
        <stp>12/31/2018</stp>
        <tr r="H777" s="1"/>
      </tp>
      <tp>
        <v>26.570342938</v>
        <stp/>
        <stp>EM_S_FA_YOY_OR</stp>
        <stp>2</stp>
        <stp>601020</stp>
        <stp>12/31/2018</stp>
        <tr r="H1826" s="1"/>
      </tp>
      <tp>
        <v>9.9839656363000007</v>
        <stp/>
        <stp>EM_S_FA_YOY_OR</stp>
        <stp>2</stp>
        <stp>601028</stp>
        <stp>12/31/2018</stp>
        <tr r="H1709" s="1"/>
      </tp>
      <tp>
        <v>-23.247538935000001</v>
        <stp/>
        <stp>EM_S_FA_YOY_OR</stp>
        <stp>2</stp>
        <stp>601038</stp>
        <stp>12/31/2018</stp>
        <tr r="H646" s="1"/>
      </tp>
      <tp>
        <v>71.029921038599994</v>
        <stp/>
        <stp>EM_S_FA_YOY_OR</stp>
        <stp>2</stp>
        <stp>601005</stp>
        <stp>12/31/2018</stp>
        <tr r="H2547" s="1"/>
      </tp>
      <tp>
        <v>10.377600403300001</v>
        <stp/>
        <stp>EM_S_FA_YOY_OR</stp>
        <stp>2</stp>
        <stp>601007</stp>
        <stp>12/31/2018</stp>
        <tr r="H1482" s="1"/>
      </tp>
      <tp>
        <v>35.452880473800001</v>
        <stp/>
        <stp>EM_S_FA_YOY_OR</stp>
        <stp>2</stp>
        <stp>601006</stp>
        <stp>12/31/2018</stp>
        <tr r="H2343" s="1"/>
      </tp>
      <tp>
        <v>22.883235734100001</v>
        <stp/>
        <stp>EM_S_FA_YOY_OR</stp>
        <stp>2</stp>
        <stp>601001</stp>
        <stp>12/31/2018</stp>
        <tr r="H2169" s="1"/>
      </tp>
      <tp>
        <v>33.182931804399999</v>
        <stp/>
        <stp>EM_S_FA_YOY_OR</stp>
        <stp>2</stp>
        <stp>601000</stp>
        <stp>12/31/2018</stp>
        <tr r="H1833" s="1"/>
      </tp>
      <tp>
        <v>13.9420977482</v>
        <stp/>
        <stp>EM_S_FA_YOY_OR</stp>
        <stp>2</stp>
        <stp>601003</stp>
        <stp>12/31/2018</stp>
        <tr r="H2925" s="1"/>
      </tp>
      <tp>
        <v>17.000608906899998</v>
        <stp/>
        <stp>EM_S_FA_YOY_OR</stp>
        <stp>2</stp>
        <stp>601002</stp>
        <stp>12/31/2018</stp>
        <tr r="H1815" s="1"/>
      </tp>
      <tp>
        <v>10.333943308</v>
        <stp/>
        <stp>EM_S_FA_YOY_OR</stp>
        <stp>2</stp>
        <stp>601009</stp>
        <stp>12/31/2018</stp>
        <tr r="H813" s="1"/>
      </tp>
      <tp>
        <v>0.7159536997</v>
        <stp/>
        <stp>EM_S_FA_YOY_OR</stp>
        <stp>2</stp>
        <stp>601008</stp>
        <stp>12/31/2018</stp>
        <tr r="H1067" s="1"/>
      </tp>
      <tp>
        <v>9.2745807060000001</v>
        <stp/>
        <stp>EM_S_FA_YOY_OR</stp>
        <stp>2</stp>
        <stp>601015</stp>
        <stp>12/31/2018</stp>
        <tr r="H3317" s="1"/>
      </tp>
      <tp>
        <v>26.9640345135</v>
        <stp/>
        <stp>EM_S_FA_YOY_OR</stp>
        <stp>2</stp>
        <stp>601016</stp>
        <stp>12/31/2018</stp>
        <tr r="H2133" s="1"/>
      </tp>
      <tp>
        <v>21.280208334699999</v>
        <stp/>
        <stp>EM_S_FA_YOY_OR</stp>
        <stp>2</stp>
        <stp>601011</stp>
        <stp>12/31/2018</stp>
        <tr r="H3003" s="1"/>
      </tp>
      <tp>
        <v>-5.2074857024999996</v>
        <stp/>
        <stp>EM_S_FA_YOY_OR</stp>
        <stp>2</stp>
        <stp>601010</stp>
        <stp>12/31/2018</stp>
        <tr r="H1981" s="1"/>
      </tp>
      <tp>
        <v>34.379859716399999</v>
        <stp/>
        <stp>EM_S_FA_YOY_OR</stp>
        <stp>2</stp>
        <stp>601012</stp>
        <stp>12/31/2018</stp>
        <tr r="H682" s="1"/>
      </tp>
      <tp>
        <v>5.0544904064000002</v>
        <stp/>
        <stp>EM_S_FA_YOY_OR</stp>
        <stp>2</stp>
        <stp>601019</stp>
        <stp>12/31/2018</stp>
        <tr r="H2814" s="1"/>
      </tp>
      <tp>
        <v>20.3305773216</v>
        <stp/>
        <stp>EM_S_FA_YOY_OR</stp>
        <stp>2</stp>
        <stp>601018</stp>
        <stp>12/31/2018</stp>
        <tr r="H1529" s="1"/>
      </tp>
      <tp>
        <v>7.2163406666999999</v>
        <stp/>
        <stp>EM_S_FA_YOY_OR</stp>
        <stp>2</stp>
        <stp>601186</stp>
        <stp>12/31/2018</stp>
        <tr r="H2665" s="1"/>
      </tp>
      <tp>
        <v>-60.887440107899998</v>
        <stp/>
        <stp>EM_S_FA_YOY_OR</stp>
        <stp>2</stp>
        <stp>601188</stp>
        <stp>12/31/2018</stp>
        <tr r="H2146" s="1"/>
      </tp>
      <tp>
        <v>-18.3850774786</v>
        <stp/>
        <stp>EM_S_FA_YOY_OR</stp>
        <stp>2</stp>
        <stp>601199</stp>
        <stp>12/31/2018</stp>
        <tr r="H1924" s="1"/>
      </tp>
      <tp>
        <v>-8.7712674648999993</v>
        <stp/>
        <stp>EM_S_FA_YOY_OR</stp>
        <stp>2</stp>
        <stp>601198</stp>
        <stp>12/31/2018</stp>
        <tr r="H769" s="1"/>
      </tp>
      <tp>
        <v>13.0823361315</v>
        <stp/>
        <stp>EM_S_FA_YOY_OR</stp>
        <stp>2</stp>
        <stp>601166</stp>
        <stp>12/31/2018</stp>
        <tr r="H877" s="1"/>
      </tp>
      <tp>
        <v>-5.1730181394999999</v>
        <stp/>
        <stp>EM_S_FA_YOY_OR</stp>
        <stp>2</stp>
        <stp>601163</stp>
        <stp>12/31/2018</stp>
        <tr r="H828" s="1"/>
      </tp>
      <tp>
        <v>10.1980021051</v>
        <stp/>
        <stp>EM_S_FA_YOY_OR</stp>
        <stp>2</stp>
        <stp>601169</stp>
        <stp>12/31/2018</stp>
        <tr r="H2223" s="1"/>
      </tp>
      <tp>
        <v>1.8494481156</v>
        <stp/>
        <stp>EM_S_FA_YOY_OR</stp>
        <stp>2</stp>
        <stp>601168</stp>
        <stp>12/31/2018</stp>
        <tr r="H1406" s="1"/>
      </tp>
      <tp>
        <v>-1.4179140477000001</v>
        <stp/>
        <stp>EM_S_FA_YOY_OR</stp>
        <stp>2</stp>
        <stp>601177</stp>
        <stp>12/31/2018</stp>
        <tr r="H2162" s="1"/>
      </tp>
      <tp>
        <v>-3.2252375619999998</v>
        <stp/>
        <stp>EM_S_FA_YOY_OR</stp>
        <stp>2</stp>
        <stp>601179</stp>
        <stp>12/31/2018</stp>
        <tr r="H1813" s="1"/>
      </tp>
      <tp>
        <v>33.577782145100002</v>
        <stp/>
        <stp>EM_S_FA_YOY_OR</stp>
        <stp>2</stp>
        <stp>601155</stp>
        <stp>12/31/2018</stp>
        <tr r="H397" s="1"/>
      </tp>
      <tp>
        <v>15.377262373100001</v>
        <stp/>
        <stp>EM_S_FA_YOY_OR</stp>
        <stp>2</stp>
        <stp>601158</stp>
        <stp>12/31/2018</stp>
        <tr r="H2337" s="1"/>
      </tp>
      <tp>
        <v>-7.7231574672000001</v>
        <stp/>
        <stp>EM_S_FA_YOY_OR</stp>
        <stp>2</stp>
        <stp>601127</stp>
        <stp>12/31/2018</stp>
        <tr r="H3258" s="1"/>
      </tp>
      <tp>
        <v>10.8810498456</v>
        <stp/>
        <stp>EM_S_FA_YOY_OR</stp>
        <stp>2</stp>
        <stp>601126</stp>
        <stp>12/31/2018</stp>
        <tr r="H1793" s="1"/>
      </tp>
      <tp>
        <v>16.548492785200001</v>
        <stp/>
        <stp>EM_S_FA_YOY_OR</stp>
        <stp>2</stp>
        <stp>601128</stp>
        <stp>12/31/2018</stp>
        <tr r="H693" s="1"/>
      </tp>
      <tp>
        <v>5.9419981740000001</v>
        <stp/>
        <stp>EM_S_FA_YOY_OR</stp>
        <stp>2</stp>
        <stp>601137</stp>
        <stp>12/31/2018</stp>
        <tr r="H356" s="1"/>
      </tp>
      <tp>
        <v>15.2151748271</v>
        <stp/>
        <stp>EM_S_FA_YOY_OR</stp>
        <stp>2</stp>
        <stp>601139</stp>
        <stp>12/31/2018</stp>
        <tr r="H649" s="1"/>
      </tp>
      <tp>
        <v>17.158341860499998</v>
        <stp/>
        <stp>EM_S_FA_YOY_OR</stp>
        <stp>2</stp>
        <stp>601138</stp>
        <stp>12/31/2018</stp>
        <tr r="H537" s="1"/>
      </tp>
      <tp>
        <v>-25.241166380100001</v>
        <stp/>
        <stp>EM_S_FA_YOY_OR</stp>
        <stp>2</stp>
        <stp>601107</stp>
        <stp>12/31/2018</stp>
        <tr r="H1498" s="1"/>
      </tp>
      <tp>
        <v>2.5318252778999999</v>
        <stp/>
        <stp>EM_S_FA_YOY_OR</stp>
        <stp>2</stp>
        <stp>601106</stp>
        <stp>12/31/2018</stp>
        <tr r="H1844" s="1"/>
      </tp>
      <tp>
        <v>4.1123804858000002</v>
        <stp/>
        <stp>EM_S_FA_YOY_OR</stp>
        <stp>2</stp>
        <stp>601101</stp>
        <stp>12/31/2018</stp>
        <tr r="H3038" s="1"/>
      </tp>
      <tp>
        <v>50.649610062400001</v>
        <stp/>
        <stp>EM_S_FA_YOY_OR</stp>
        <stp>2</stp>
        <stp>601100</stp>
        <stp>12/31/2018</stp>
        <tr r="H79" s="1"/>
      </tp>
      <tp>
        <v>-21.132600211500002</v>
        <stp/>
        <stp>EM_S_FA_YOY_OR</stp>
        <stp>2</stp>
        <stp>601108</stp>
        <stp>12/31/2018</stp>
        <tr r="H471" s="1"/>
      </tp>
      <tp>
        <v>39.053256615800002</v>
        <stp/>
        <stp>EM_S_FA_YOY_OR</stp>
        <stp>2</stp>
        <stp>601117</stp>
        <stp>12/31/2018</stp>
        <tr r="H1279" s="1"/>
      </tp>
      <tp>
        <v>9.6369147686000005</v>
        <stp/>
        <stp>EM_S_FA_YOY_OR</stp>
        <stp>2</stp>
        <stp>601116</stp>
        <stp>12/31/2018</stp>
        <tr r="H1294" s="1"/>
      </tp>
      <tp>
        <v>12.698694680999999</v>
        <stp/>
        <stp>EM_S_FA_YOY_OR</stp>
        <stp>2</stp>
        <stp>601111</stp>
        <stp>12/31/2018</stp>
        <tr r="H1102" s="1"/>
      </tp>
      <tp>
        <v>132.9734544266</v>
        <stp/>
        <stp>EM_S_FA_YOY_OR</stp>
        <stp>2</stp>
        <stp>601113</stp>
        <stp>12/31/2018</stp>
        <tr r="H3390" s="1"/>
      </tp>
      <tp>
        <v>-37.580027219999998</v>
        <stp/>
        <stp>EM_S_FA_YOY_OR</stp>
        <stp>2</stp>
        <stp>601118</stp>
        <stp>12/31/2018</stp>
        <tr r="H1724" s="1"/>
      </tp>
      <tp>
        <v>15.2405763322</v>
        <stp/>
        <stp>EM_S_FA_YOY_OR</stp>
        <stp>2</stp>
        <stp>001696</stp>
        <stp>12/31/2018</stp>
        <tr r="H863" s="1"/>
      </tp>
      <tp>
        <v>17.559123101099999</v>
        <stp/>
        <stp>EM_S_FA_YOY_OR</stp>
        <stp>2</stp>
        <stp>601689</stp>
        <stp>12/31/2018</stp>
        <tr r="H1375" s="1"/>
      </tp>
      <tp>
        <v>-23.688389645600001</v>
        <stp/>
        <stp>EM_S_FA_YOY_OR</stp>
        <stp>2</stp>
        <stp>601688</stp>
        <stp>12/31/2018</stp>
        <tr r="H1013" s="1"/>
      </tp>
      <tp>
        <v>6.7790075837000003</v>
        <stp/>
        <stp>EM_S_FA_YOY_OR</stp>
        <stp>2</stp>
        <stp>601699</stp>
        <stp>12/31/2018</stp>
        <tr r="H1809" s="1"/>
      </tp>
      <tp>
        <v>-2.8352935874999998</v>
        <stp/>
        <stp>EM_S_FA_YOY_OR</stp>
        <stp>2</stp>
        <stp>601666</stp>
        <stp>12/31/2018</stp>
        <tr r="H1590" s="1"/>
      </tp>
      <tp>
        <v>10.686175175100001</v>
        <stp/>
        <stp>EM_S_FA_YOY_OR</stp>
        <stp>2</stp>
        <stp>601669</stp>
        <stp>12/31/2018</stp>
        <tr r="H2887" s="1"/>
      </tp>
      <tp>
        <v>13.776408891000001</v>
        <stp/>
        <stp>EM_S_FA_YOY_OR</stp>
        <stp>2</stp>
        <stp>601668</stp>
        <stp>12/31/2018</stp>
        <tr r="H2444" s="1"/>
      </tp>
      <tp>
        <v>28.545459851699999</v>
        <stp/>
        <stp>EM_S_FA_YOY_OR</stp>
        <stp>2</stp>
        <stp>601677</stp>
        <stp>12/31/2018</stp>
        <tr r="H925" s="1"/>
      </tp>
      <tp>
        <v>4.4299328877999997</v>
        <stp/>
        <stp>EM_S_FA_YOY_OR</stp>
        <stp>2</stp>
        <stp>601678</stp>
        <stp>12/31/2018</stp>
        <tr r="H1202" s="1"/>
      </tp>
      <tp>
        <v>-1.5453271994</v>
        <stp/>
        <stp>EM_S_FA_YOY_OR</stp>
        <stp>2</stp>
        <stp>601628</stp>
        <stp>12/31/2018</stp>
        <tr r="H308" s="1"/>
      </tp>
      <tp>
        <v>10.458838915299999</v>
        <stp/>
        <stp>EM_S_FA_YOY_OR</stp>
        <stp>2</stp>
        <stp>601636</stp>
        <stp>12/31/2018</stp>
        <tr r="H666" s="1"/>
      </tp>
      <tp>
        <v>-2.6785905360000002</v>
        <stp/>
        <stp>EM_S_FA_YOY_OR</stp>
        <stp>2</stp>
        <stp>601633</stp>
        <stp>12/31/2018</stp>
        <tr r="H446" s="1"/>
      </tp>
      <tp>
        <v>21.580300513200001</v>
        <stp/>
        <stp>EM_S_FA_YOY_OR</stp>
        <stp>2</stp>
        <stp>601607</stp>
        <stp>12/31/2018</stp>
        <tr r="H1979" s="1"/>
      </tp>
      <tp>
        <v>10.804573980100001</v>
        <stp/>
        <stp>EM_S_FA_YOY_OR</stp>
        <stp>2</stp>
        <stp>601601</stp>
        <stp>12/31/2018</stp>
        <tr r="H836" s="1"/>
      </tp>
      <tp>
        <v>-0.43104195950000002</v>
        <stp/>
        <stp>EM_S_FA_YOY_OR</stp>
        <stp>2</stp>
        <stp>601600</stp>
        <stp>12/31/2018</stp>
        <tr r="H2346" s="1"/>
      </tp>
      <tp>
        <v>12.551616409299999</v>
        <stp/>
        <stp>EM_S_FA_YOY_OR</stp>
        <stp>2</stp>
        <stp>601608</stp>
        <stp>12/31/2018</stp>
        <tr r="H692" s="1"/>
      </tp>
      <tp>
        <v>-7.6578399158000003</v>
        <stp/>
        <stp>EM_S_FA_YOY_OR</stp>
        <stp>2</stp>
        <stp>601616</stp>
        <stp>12/31/2018</stp>
        <tr r="H2516" s="1"/>
      </tp>
      <tp>
        <v>13.2826802872</v>
        <stp/>
        <stp>EM_S_FA_YOY_OR</stp>
        <stp>2</stp>
        <stp>601611</stp>
        <stp>12/31/2018</stp>
        <tr r="H1819" s="1"/>
      </tp>
      <tp>
        <v>28.543323774200001</v>
        <stp/>
        <stp>EM_S_FA_YOY_OR</stp>
        <stp>2</stp>
        <stp>601619</stp>
        <stp>12/31/2018</stp>
        <tr r="H3015" s="1"/>
      </tp>
      <tp>
        <v>18.661755893399999</v>
        <stp/>
        <stp>EM_S_FA_YOY_OR</stp>
        <stp>2</stp>
        <stp>601618</stp>
        <stp>12/31/2018</stp>
        <tr r="H2782" s="1"/>
      </tp>
      <tp>
        <v>5.3952132785</v>
        <stp/>
        <stp>EM_S_FA_YOY_OR</stp>
        <stp>2</stp>
        <stp>601789</stp>
        <stp>12/31/2018</stp>
        <tr r="H1262" s="1"/>
      </tp>
      <tp>
        <v>-21.6084441062</v>
        <stp/>
        <stp>EM_S_FA_YOY_OR</stp>
        <stp>2</stp>
        <stp>601788</stp>
        <stp>12/31/2018</stp>
        <tr r="H576" s="1"/>
      </tp>
      <tp>
        <v>19.237863602699999</v>
        <stp/>
        <stp>EM_S_FA_YOY_OR</stp>
        <stp>2</stp>
        <stp>601799</stp>
        <stp>12/31/2018</stp>
        <tr r="H166" s="1"/>
      </tp>
      <tp>
        <v>6.9054841776</v>
        <stp/>
        <stp>EM_S_FA_YOY_OR</stp>
        <stp>2</stp>
        <stp>601798</stp>
        <stp>12/31/2018</stp>
        <tr r="H1042" s="1"/>
      </tp>
      <tp>
        <v>3.8242707727999998</v>
        <stp/>
        <stp>EM_S_FA_YOY_OR</stp>
        <stp>2</stp>
        <stp>601766</stp>
        <stp>12/31/2018</stp>
        <tr r="H3076" s="1"/>
      </tp>
      <tp>
        <v>-12.598199960100001</v>
        <stp/>
        <stp>EM_S_FA_YOY_OR</stp>
        <stp>2</stp>
        <stp>601777</stp>
        <stp>12/31/2018</stp>
        <tr r="H3037" s="1"/>
      </tp>
      <tp>
        <v>27.172114772400001</v>
        <stp/>
        <stp>EM_S_FA_YOY_OR</stp>
        <stp>2</stp>
        <stp>601727</stp>
        <stp>12/31/2018</stp>
        <tr r="H2339" s="1"/>
      </tp>
      <tp>
        <v>-9.6560943258999998</v>
        <stp/>
        <stp>EM_S_FA_YOY_OR</stp>
        <stp>2</stp>
        <stp>601700</stp>
        <stp>12/31/2018</stp>
        <tr r="H297" s="1"/>
      </tp>
      <tp>
        <v>244.63252410850001</v>
        <stp/>
        <stp>EM_S_FA_YOY_OR</stp>
        <stp>2</stp>
        <stp>601717</stp>
        <stp>12/31/2018</stp>
        <tr r="H1407" s="1"/>
      </tp>
      <tp>
        <v>-10.8606631874</v>
        <stp/>
        <stp>EM_S_FA_YOY_OR</stp>
        <stp>2</stp>
        <stp>601718</stp>
        <stp>12/31/2018</stp>
        <tr r="H2524" s="1"/>
      </tp>
      <tp>
        <v>15.576916431400001</v>
        <stp/>
        <stp>EM_S_FA_YOY_OR</stp>
        <stp>2</stp>
        <stp>601588</stp>
        <stp>12/31/2018</stp>
        <tr r="H1361" s="1"/>
      </tp>
      <tp>
        <v>-5.9284746496</v>
        <stp/>
        <stp>EM_S_FA_YOY_OR</stp>
        <stp>2</stp>
        <stp>601595</stp>
        <stp>12/31/2018</stp>
        <tr r="H1270" s="1"/>
      </tp>
      <tp>
        <v>16.265690039399999</v>
        <stp/>
        <stp>EM_S_FA_YOY_OR</stp>
        <stp>2</stp>
        <stp>601599</stp>
        <stp>12/31/2018</stp>
        <tr r="H1857" s="1"/>
      </tp>
      <tp>
        <v>9.3523946868000003</v>
        <stp/>
        <stp>EM_S_FA_YOY_OR</stp>
        <stp>2</stp>
        <stp>601567</stp>
        <stp>12/31/2018</stp>
        <tr r="H931" s="1"/>
      </tp>
      <tp>
        <v>6.5526172373999998</v>
        <stp/>
        <stp>EM_S_FA_YOY_OR</stp>
        <stp>2</stp>
        <stp>601566</stp>
        <stp>12/31/2018</stp>
        <tr r="H2920" s="1"/>
      </tp>
      <tp>
        <v>-7.3649376447000003</v>
        <stp/>
        <stp>EM_S_FA_YOY_OR</stp>
        <stp>2</stp>
        <stp>601579</stp>
        <stp>12/31/2018</stp>
        <tr r="H2532" s="1"/>
      </tp>
      <tp>
        <v>0.42673529609999999</v>
        <stp/>
        <stp>EM_S_FA_YOY_OR</stp>
        <stp>2</stp>
        <stp>601555</stp>
        <stp>12/31/2018</stp>
        <tr r="H582" s="1"/>
      </tp>
      <tp>
        <v>305.07973275879999</v>
        <stp/>
        <stp>EM_S_FA_YOY_OR</stp>
        <stp>2</stp>
        <stp>601558</stp>
        <stp>12/31/2018</stp>
        <tr r="H2379" s="1"/>
      </tp>
      <tp>
        <v>2.1614508164999999</v>
        <stp/>
        <stp>EM_S_FA_YOY_OR</stp>
        <stp>2</stp>
        <stp>601500</stp>
        <stp>12/31/2018</stp>
        <tr r="H2436" s="1"/>
      </tp>
      <tp>
        <v>18.759355305300002</v>
        <stp/>
        <stp>EM_S_FA_YOY_OR</stp>
        <stp>2</stp>
        <stp>601515</stp>
        <stp>12/31/2018</stp>
        <tr r="H2559" s="1"/>
      </tp>
      <tp>
        <v>-6.9877046184999996</v>
        <stp/>
        <stp>EM_S_FA_YOY_OR</stp>
        <stp>2</stp>
        <stp>601519</stp>
        <stp>12/31/2018</stp>
        <tr r="H99" s="1"/>
      </tp>
      <tp>
        <v>-12.5548791516</v>
        <stp/>
        <stp>EM_S_FA_YOY_OR</stp>
        <stp>2</stp>
        <stp>601518</stp>
        <stp>12/31/2018</stp>
        <tr r="H2183" s="1"/>
      </tp>
      <tp>
        <v>0</v>
        <stp/>
        <stp>EM_S_VAL_DIVIDENDYIELD2</stp>
        <stp>3</stp>
        <stp>002220</stp>
        <stp>12/31/2018</stp>
        <stp>2019-11-29</stp>
        <tr r="Q3336" s="1"/>
      </tp>
      <tp>
        <v>0</v>
        <stp/>
        <stp>EM_S_VAL_DIVIDENDYIELD2</stp>
        <stp>3</stp>
        <stp>002230</stp>
        <stp>12/31/2018</stp>
        <stp>2019-11-29</stp>
        <tr r="Q734" s="1"/>
      </tp>
      <tp>
        <v>0</v>
        <stp/>
        <stp>EM_S_VAL_DIVIDENDYIELD2</stp>
        <stp>3</stp>
        <stp>002200</stp>
        <stp>12/31/2018</stp>
        <stp>2019-11-29</stp>
        <tr r="Q1257" s="1"/>
      </tp>
      <tp>
        <v>0</v>
        <stp/>
        <stp>EM_S_VAL_DIVIDENDYIELD2</stp>
        <stp>3</stp>
        <stp>002210</stp>
        <stp>12/31/2018</stp>
        <stp>2019-11-29</stp>
        <tr r="Q3397" s="1"/>
      </tp>
      <tp>
        <v>0</v>
        <stp/>
        <stp>EM_S_VAL_DIVIDENDYIELD2</stp>
        <stp>3</stp>
        <stp>002260</stp>
        <stp>12/31/2018</stp>
        <stp>2019-11-29</stp>
        <tr r="Q2467" s="1"/>
      </tp>
      <tp>
        <v>0.87755102040816324</v>
        <stp/>
        <stp>EM_S_VAL_DIVIDENDYIELD2</stp>
        <stp>3</stp>
        <stp>002270</stp>
        <stp>12/31/2018</stp>
        <stp>2019-11-29</stp>
        <tr r="Q2017" s="1"/>
      </tp>
      <tp>
        <v>0</v>
        <stp/>
        <stp>EM_S_VAL_DIVIDENDYIELD2</stp>
        <stp>3</stp>
        <stp>002240</stp>
        <stp>12/31/2018</stp>
        <stp>2019-11-29</stp>
        <tr r="Q1935" s="1"/>
      </tp>
      <tp>
        <v>0.14302877960892152</v>
        <stp/>
        <stp>EM_S_VAL_DIVIDENDYIELD2</stp>
        <stp>3</stp>
        <stp>002250</stp>
        <stp>12/31/2018</stp>
        <stp>2019-11-29</stp>
        <tr r="Q271" s="1"/>
      </tp>
      <tp>
        <v>0</v>
        <stp/>
        <stp>EM_S_VAL_DIVIDENDYIELD2</stp>
        <stp>3</stp>
        <stp>002280</stp>
        <stp>12/31/2018</stp>
        <stp>2019-11-29</stp>
        <tr r="Q2214" s="1"/>
      </tp>
      <tp>
        <v>0</v>
        <stp/>
        <stp>EM_S_VAL_DIVIDENDYIELD2</stp>
        <stp>3</stp>
        <stp>002290</stp>
        <stp>12/31/2018</stp>
        <stp>2019-11-29</stp>
        <tr r="Q3357" s="1"/>
      </tp>
      <tp>
        <v>1.0741138560687433</v>
        <stp/>
        <stp>EM_S_VAL_DIVIDENDYIELD2</stp>
        <stp>3</stp>
        <stp>002320</stp>
        <stp>12/31/2018</stp>
        <stp>2019-11-29</stp>
        <tr r="Q2750" s="1"/>
      </tp>
      <tp>
        <v>0</v>
        <stp/>
        <stp>EM_S_VAL_DIVIDENDYIELD2</stp>
        <stp>3</stp>
        <stp>002330</stp>
        <stp>12/31/2018</stp>
        <stp>2019-11-29</stp>
        <tr r="Q253" s="1"/>
      </tp>
      <tp>
        <v>1.7152658662092626</v>
        <stp/>
        <stp>EM_S_VAL_DIVIDENDYIELD2</stp>
        <stp>3</stp>
        <stp>002300</stp>
        <stp>12/31/2018</stp>
        <stp>2019-11-29</stp>
        <tr r="Q1241" s="1"/>
      </tp>
      <tp>
        <v>2.0479302832244008</v>
        <stp/>
        <stp>EM_S_VAL_DIVIDENDYIELD2</stp>
        <stp>3</stp>
        <stp>002310</stp>
        <stp>12/31/2018</stp>
        <stp>2019-11-29</stp>
        <tr r="Q3198" s="1"/>
      </tp>
      <tp>
        <v>1.9607843137254901</v>
        <stp/>
        <stp>EM_S_VAL_DIVIDENDYIELD2</stp>
        <stp>3</stp>
        <stp>002360</stp>
        <stp>12/31/2018</stp>
        <stp>2019-11-29</stp>
        <tr r="Q2452" s="1"/>
      </tp>
      <tp>
        <v>0.79617834394904463</v>
        <stp/>
        <stp>EM_S_VAL_DIVIDENDYIELD2</stp>
        <stp>3</stp>
        <stp>002370</stp>
        <stp>12/31/2018</stp>
        <stp>2019-11-29</stp>
        <tr r="Q3395" s="1"/>
      </tp>
      <tp>
        <v>0.74097140812357021</v>
        <stp/>
        <stp>EM_S_VAL_DIVIDENDYIELD2</stp>
        <stp>3</stp>
        <stp>002340</stp>
        <stp>12/31/2018</stp>
        <stp>2019-11-29</stp>
        <tr r="Q1005" s="1"/>
      </tp>
      <tp>
        <v>1.1278195488721803</v>
        <stp/>
        <stp>EM_S_VAL_DIVIDENDYIELD2</stp>
        <stp>3</stp>
        <stp>002350</stp>
        <stp>12/31/2018</stp>
        <stp>2019-11-29</stp>
        <tr r="Q2684" s="1"/>
      </tp>
      <tp>
        <v>1.5290519877675843</v>
        <stp/>
        <stp>EM_S_VAL_DIVIDENDYIELD2</stp>
        <stp>3</stp>
        <stp>002380</stp>
        <stp>12/31/2018</stp>
        <stp>2019-11-29</stp>
        <tr r="Q853" s="1"/>
      </tp>
      <tp>
        <v>0</v>
        <stp/>
        <stp>EM_S_VAL_DIVIDENDYIELD2</stp>
        <stp>3</stp>
        <stp>002390</stp>
        <stp>12/31/2018</stp>
        <stp>2019-11-29</stp>
        <tr r="Q1014" s="1"/>
      </tp>
      <tp>
        <v>3.0211480362537766</v>
        <stp/>
        <stp>EM_S_VAL_DIVIDENDYIELD2</stp>
        <stp>3</stp>
        <stp>002020</stp>
        <stp>12/31/2018</stp>
        <stp>2019-11-29</stp>
        <tr r="Q1187" s="1"/>
      </tp>
      <tp>
        <v>0.39122137404580148</v>
        <stp/>
        <stp>EM_S_VAL_DIVIDENDYIELD2</stp>
        <stp>3</stp>
        <stp>002030</stp>
        <stp>12/31/2018</stp>
        <stp>2019-11-29</stp>
        <tr r="Q3610" s="1"/>
      </tp>
      <tp>
        <v>1.4513788098693761</v>
        <stp/>
        <stp>EM_S_VAL_DIVIDENDYIELD2</stp>
        <stp>3</stp>
        <stp>002010</stp>
        <stp>12/31/2018</stp>
        <stp>2019-11-29</stp>
        <tr r="Q1950" s="1"/>
      </tp>
      <tp>
        <v>1.2027491408934705</v>
        <stp/>
        <stp>EM_S_VAL_DIVIDENDYIELD2</stp>
        <stp>3</stp>
        <stp>002060</stp>
        <stp>12/31/2018</stp>
        <stp>2019-11-29</stp>
        <tr r="Q1677" s="1"/>
      </tp>
      <tp>
        <v>0</v>
        <stp/>
        <stp>EM_S_VAL_DIVIDENDYIELD2</stp>
        <stp>3</stp>
        <stp>002070</stp>
        <stp>12/31/2018</stp>
        <stp>2019-11-29</stp>
        <tr r="Q3622" s="1"/>
      </tp>
      <tp>
        <v>0.52344105620174741</v>
        <stp/>
        <stp>EM_S_VAL_DIVIDENDYIELD2</stp>
        <stp>3</stp>
        <stp>002040</stp>
        <stp>12/31/2018</stp>
        <stp>2019-11-29</stp>
        <tr r="Q2768" s="1"/>
      </tp>
      <tp>
        <v>1.3039847855111637</v>
        <stp/>
        <stp>EM_S_VAL_DIVIDENDYIELD2</stp>
        <stp>3</stp>
        <stp>002050</stp>
        <stp>12/31/2018</stp>
        <stp>2019-11-29</stp>
        <tr r="Q791" s="1"/>
      </tp>
      <tp>
        <v>2.0908621589730143</v>
        <stp/>
        <stp>EM_S_VAL_DIVIDENDYIELD2</stp>
        <stp>3</stp>
        <stp>002080</stp>
        <stp>12/31/2018</stp>
        <stp>2019-11-29</stp>
        <tr r="Q599" s="1"/>
      </tp>
      <tp>
        <v>0.48364669704559587</v>
        <stp/>
        <stp>EM_S_VAL_DIVIDENDYIELD2</stp>
        <stp>3</stp>
        <stp>002090</stp>
        <stp>12/31/2018</stp>
        <stp>2019-11-29</stp>
        <tr r="Q3281" s="1"/>
      </tp>
      <tp>
        <v>1.2597331167496055</v>
        <stp/>
        <stp>EM_S_VAL_DIVIDENDYIELD2</stp>
        <stp>3</stp>
        <stp>002120</stp>
        <stp>12/31/2018</stp>
        <stp>2019-11-29</stp>
        <tr r="Q1786" s="1"/>
      </tp>
      <tp>
        <v>0</v>
        <stp/>
        <stp>EM_S_VAL_DIVIDENDYIELD2</stp>
        <stp>3</stp>
        <stp>002130</stp>
        <stp>12/31/2018</stp>
        <stp>2019-11-29</stp>
        <tr r="Q517" s="1"/>
      </tp>
      <tp>
        <v>0.77312887043944745</v>
        <stp/>
        <stp>EM_S_VAL_DIVIDENDYIELD2</stp>
        <stp>3</stp>
        <stp>002100</stp>
        <stp>12/31/2018</stp>
        <stp>2019-11-29</stp>
        <tr r="Q54" s="1"/>
      </tp>
      <tp>
        <v>15.797788312858616</v>
        <stp/>
        <stp>EM_S_VAL_DIVIDENDYIELD2</stp>
        <stp>3</stp>
        <stp>002110</stp>
        <stp>12/31/2018</stp>
        <stp>2019-11-29</stp>
        <tr r="Q3202" s="1"/>
      </tp>
      <tp>
        <v>0</v>
        <stp/>
        <stp>EM_S_VAL_DIVIDENDYIELD2</stp>
        <stp>3</stp>
        <stp>002160</stp>
        <stp>12/31/2018</stp>
        <stp>2019-11-29</stp>
        <tr r="Q3009" s="1"/>
      </tp>
      <tp>
        <v>0</v>
        <stp/>
        <stp>EM_S_VAL_DIVIDENDYIELD2</stp>
        <stp>3</stp>
        <stp>002170</stp>
        <stp>12/31/2018</stp>
        <stp>2019-11-29</stp>
        <tr r="Q1698" s="1"/>
      </tp>
      <tp>
        <v>1.289989682010646</v>
        <stp/>
        <stp>EM_S_VAL_DIVIDENDYIELD2</stp>
        <stp>3</stp>
        <stp>002140</stp>
        <stp>12/31/2018</stp>
        <stp>2019-11-29</stp>
        <tr r="Q1194" s="1"/>
      </tp>
      <tp>
        <v>2.0385974455296783</v>
        <stp/>
        <stp>EM_S_VAL_DIVIDENDYIELD2</stp>
        <stp>3</stp>
        <stp>002150</stp>
        <stp>12/31/2018</stp>
        <stp>2019-11-29</stp>
        <tr r="Q1664" s="1"/>
      </tp>
      <tp>
        <v>0.28268551236749118</v>
        <stp/>
        <stp>EM_S_VAL_DIVIDENDYIELD2</stp>
        <stp>3</stp>
        <stp>002180</stp>
        <stp>12/31/2018</stp>
        <stp>2019-11-29</stp>
        <tr r="Q700" s="1"/>
      </tp>
      <tp>
        <v>0</v>
        <stp/>
        <stp>EM_S_VAL_DIVIDENDYIELD2</stp>
        <stp>3</stp>
        <stp>002190</stp>
        <stp>12/31/2018</stp>
        <stp>2019-11-29</stp>
        <tr r="Q842" s="1"/>
      </tp>
      <tp>
        <v>1.0380622837370241</v>
        <stp/>
        <stp>EM_S_VAL_DIVIDENDYIELD2</stp>
        <stp>3</stp>
        <stp>002620</stp>
        <stp>12/31/2018</stp>
        <stp>2019-11-29</stp>
        <tr r="Q2023" s="1"/>
      </tp>
      <tp>
        <v>0</v>
        <stp/>
        <stp>EM_S_VAL_DIVIDENDYIELD2</stp>
        <stp>3</stp>
        <stp>002630</stp>
        <stp>12/31/2018</stp>
        <stp>2019-11-29</stp>
        <tr r="Q2954" s="1"/>
      </tp>
      <tp>
        <v>0</v>
        <stp/>
        <stp>EM_S_VAL_DIVIDENDYIELD2</stp>
        <stp>3</stp>
        <stp>002600</stp>
        <stp>12/31/2018</stp>
        <stp>2019-11-29</stp>
        <tr r="Q23" s="1"/>
      </tp>
      <tp>
        <v>0</v>
        <stp/>
        <stp>EM_S_VAL_DIVIDENDYIELD2</stp>
        <stp>3</stp>
        <stp>002610</stp>
        <stp>12/31/2018</stp>
        <stp>2019-11-29</stp>
        <tr r="Q2135" s="1"/>
      </tp>
      <tp>
        <v>0</v>
        <stp/>
        <stp>EM_S_VAL_DIVIDENDYIELD2</stp>
        <stp>3</stp>
        <stp>002660</stp>
        <stp>12/31/2018</stp>
        <stp>2019-11-29</stp>
        <tr r="Q568" s="1"/>
      </tp>
      <tp>
        <v>0</v>
        <stp/>
        <stp>EM_S_VAL_DIVIDENDYIELD2</stp>
        <stp>3</stp>
        <stp>002670</stp>
        <stp>12/31/2018</stp>
        <stp>2019-11-29</stp>
        <tr r="Q1233" s="1"/>
      </tp>
      <tp>
        <v>0.65312046444121907</v>
        <stp/>
        <stp>EM_S_VAL_DIVIDENDYIELD2</stp>
        <stp>3</stp>
        <stp>002640</stp>
        <stp>12/31/2018</stp>
        <stp>2019-11-29</stp>
        <tr r="Q3219" s="1"/>
      </tp>
      <tp>
        <v>0</v>
        <stp/>
        <stp>EM_S_VAL_DIVIDENDYIELD2</stp>
        <stp>3</stp>
        <stp>002650</stp>
        <stp>12/31/2018</stp>
        <stp>2019-11-29</stp>
        <tr r="Q2392" s="1"/>
      </tp>
      <tp>
        <v>0</v>
        <stp/>
        <stp>EM_S_VAL_DIVIDENDYIELD2</stp>
        <stp>3</stp>
        <stp>002680</stp>
        <stp>12/31/2018</stp>
        <stp>2019-11-29</stp>
        <tr r="Q3406" s="1"/>
      </tp>
      <tp>
        <v>1.8761726078799248</v>
        <stp/>
        <stp>EM_S_VAL_DIVIDENDYIELD2</stp>
        <stp>3</stp>
        <stp>002690</stp>
        <stp>12/31/2018</stp>
        <stp>2019-11-29</stp>
        <tr r="Q233" s="1"/>
      </tp>
      <tp>
        <v>0</v>
        <stp/>
        <stp>EM_S_VAL_DIVIDENDYIELD2</stp>
        <stp>3</stp>
        <stp>002720</stp>
        <stp>12/31/2018</stp>
        <stp>2019-11-29</stp>
        <tr r="Q8" s="1"/>
      </tp>
      <tp>
        <v>0.69252077562326864</v>
        <stp/>
        <stp>EM_S_VAL_DIVIDENDYIELD2</stp>
        <stp>3</stp>
        <stp>002730</stp>
        <stp>12/31/2018</stp>
        <stp>2019-11-29</stp>
        <tr r="Q1216" s="1"/>
      </tp>
      <tp>
        <v>0.39318479685452157</v>
        <stp/>
        <stp>EM_S_VAL_DIVIDENDYIELD2</stp>
        <stp>3</stp>
        <stp>002700</stp>
        <stp>12/31/2018</stp>
        <stp>2019-11-29</stp>
        <tr r="Q3204" s="1"/>
      </tp>
      <tp>
        <v>0</v>
        <stp/>
        <stp>EM_S_VAL_DIVIDENDYIELD2</stp>
        <stp>3</stp>
        <stp>002710</stp>
        <stp>12/31/2018</stp>
        <stp>2019-11-29</stp>
        <tr r="Q7" s="1"/>
      </tp>
      <tp>
        <v>0</v>
        <stp/>
        <stp>EM_S_VAL_DIVIDENDYIELD2</stp>
        <stp>3</stp>
        <stp>002760</stp>
        <stp>12/31/2018</stp>
        <stp>2019-11-29</stp>
        <tr r="Q1204" s="1"/>
      </tp>
      <tp>
        <v>0.83700440528634357</v>
        <stp/>
        <stp>EM_S_VAL_DIVIDENDYIELD2</stp>
        <stp>3</stp>
        <stp>002770</stp>
        <stp>12/31/2018</stp>
        <stp>2019-11-29</stp>
        <tr r="Q2889" s="1"/>
      </tp>
      <tp>
        <v>0.16207455429497569</v>
        <stp/>
        <stp>EM_S_VAL_DIVIDENDYIELD2</stp>
        <stp>3</stp>
        <stp>002740</stp>
        <stp>12/31/2018</stp>
        <stp>2019-11-29</stp>
        <tr r="Q1265" s="1"/>
      </tp>
      <tp>
        <v>0</v>
        <stp/>
        <stp>EM_S_VAL_DIVIDENDYIELD2</stp>
        <stp>3</stp>
        <stp>002750</stp>
        <stp>12/31/2018</stp>
        <stp>2019-11-29</stp>
        <tr r="Q121" s="1"/>
      </tp>
      <tp>
        <v>9.1575091952535798E-2</v>
        <stp/>
        <stp>EM_S_VAL_DIVIDENDYIELD2</stp>
        <stp>3</stp>
        <stp>002780</stp>
        <stp>12/31/2018</stp>
        <stp>2019-11-29</stp>
        <tr r="Q661" s="1"/>
      </tp>
      <tp>
        <v>2.7452415812591511</v>
        <stp/>
        <stp>EM_S_VAL_DIVIDENDYIELD2</stp>
        <stp>3</stp>
        <stp>002790</stp>
        <stp>12/31/2018</stp>
        <stp>2019-11-29</stp>
        <tr r="Q3304" s="1"/>
      </tp>
      <tp>
        <v>0</v>
        <stp/>
        <stp>EM_S_VAL_DIVIDENDYIELD2</stp>
        <stp>3</stp>
        <stp>002420</stp>
        <stp>12/31/2018</stp>
        <stp>2019-11-29</stp>
        <tr r="Q1302" s="1"/>
      </tp>
      <tp>
        <v>1.5177065767284992</v>
        <stp/>
        <stp>EM_S_VAL_DIVIDENDYIELD2</stp>
        <stp>3</stp>
        <stp>002430</stp>
        <stp>12/31/2018</stp>
        <stp>2019-11-29</stp>
        <tr r="Q751" s="1"/>
      </tp>
      <tp>
        <v>0.36101083032490977</v>
        <stp/>
        <stp>EM_S_VAL_DIVIDENDYIELD2</stp>
        <stp>3</stp>
        <stp>002400</stp>
        <stp>12/31/2018</stp>
        <stp>2019-11-29</stp>
        <tr r="Q1851" s="1"/>
      </tp>
      <tp>
        <v>0.60515634336430379</v>
        <stp/>
        <stp>EM_S_VAL_DIVIDENDYIELD2</stp>
        <stp>3</stp>
        <stp>002410</stp>
        <stp>12/31/2018</stp>
        <stp>2019-11-29</stp>
        <tr r="Q427" s="1"/>
      </tp>
      <tp>
        <v>1.0810807980482218</v>
        <stp/>
        <stp>EM_S_VAL_DIVIDENDYIELD2</stp>
        <stp>3</stp>
        <stp>002460</stp>
        <stp>12/31/2018</stp>
        <stp>2019-11-29</stp>
        <tr r="Q490" s="1"/>
      </tp>
      <tp>
        <v>0</v>
        <stp/>
        <stp>EM_S_VAL_DIVIDENDYIELD2</stp>
        <stp>3</stp>
        <stp>002470</stp>
        <stp>12/31/2018</stp>
        <stp>2019-11-29</stp>
        <tr r="Q3391" s="1"/>
      </tp>
      <tp>
        <v>4.5871559633027523</v>
        <stp/>
        <stp>EM_S_VAL_DIVIDENDYIELD2</stp>
        <stp>3</stp>
        <stp>002440</stp>
        <stp>12/31/2018</stp>
        <stp>2019-11-29</stp>
        <tr r="Q1133" s="1"/>
      </tp>
      <tp>
        <v>0</v>
        <stp/>
        <stp>EM_S_VAL_DIVIDENDYIELD2</stp>
        <stp>3</stp>
        <stp>002450</stp>
        <stp>12/31/2018</stp>
        <stp>2019-11-29</stp>
        <tr r="Q3380" s="1"/>
      </tp>
      <tp>
        <v>0</v>
        <stp/>
        <stp>EM_S_VAL_DIVIDENDYIELD2</stp>
        <stp>3</stp>
        <stp>002480</stp>
        <stp>12/31/2018</stp>
        <stp>2019-11-29</stp>
        <tr r="Q3063" s="1"/>
      </tp>
      <tp>
        <v>0</v>
        <stp/>
        <stp>EM_S_VAL_DIVIDENDYIELD2</stp>
        <stp>3</stp>
        <stp>002490</stp>
        <stp>12/31/2018</stp>
        <stp>2019-11-29</stp>
        <tr r="Q2775" s="1"/>
      </tp>
      <tp>
        <v>1.5959569377990428</v>
        <stp/>
        <stp>EM_S_VAL_DIVIDENDYIELD2</stp>
        <stp>3</stp>
        <stp>002520</stp>
        <stp>12/31/2018</stp>
        <stp>2019-11-29</stp>
        <tr r="Q2660" s="1"/>
      </tp>
      <tp>
        <v>0</v>
        <stp/>
        <stp>EM_S_VAL_DIVIDENDYIELD2</stp>
        <stp>3</stp>
        <stp>002530</stp>
        <stp>12/31/2018</stp>
        <stp>2019-11-29</stp>
        <tr r="Q250" s="1"/>
      </tp>
      <tp>
        <v>0.67204301075268813</v>
        <stp/>
        <stp>EM_S_VAL_DIVIDENDYIELD2</stp>
        <stp>3</stp>
        <stp>002500</stp>
        <stp>12/31/2018</stp>
        <stp>2019-11-29</stp>
        <tr r="Q731" s="1"/>
      </tp>
      <tp>
        <v>0.83102493074792227</v>
        <stp/>
        <stp>EM_S_VAL_DIVIDENDYIELD2</stp>
        <stp>3</stp>
        <stp>002510</stp>
        <stp>12/31/2018</stp>
        <stp>2019-11-29</stp>
        <tr r="Q994" s="1"/>
      </tp>
      <tp>
        <v>0</v>
        <stp/>
        <stp>EM_S_VAL_DIVIDENDYIELD2</stp>
        <stp>3</stp>
        <stp>002560</stp>
        <stp>12/31/2018</stp>
        <stp>2019-11-29</stp>
        <tr r="Q1921" s="1"/>
      </tp>
      <tp>
        <v>0</v>
        <stp/>
        <stp>EM_S_VAL_DIVIDENDYIELD2</stp>
        <stp>3</stp>
        <stp>002570</stp>
        <stp>12/31/2018</stp>
        <stp>2019-11-29</stp>
        <tr r="Q1926" s="1"/>
      </tp>
      <tp>
        <v>7.8890886699507394</v>
        <stp/>
        <stp>EM_S_VAL_DIVIDENDYIELD2</stp>
        <stp>3</stp>
        <stp>002540</stp>
        <stp>12/31/2018</stp>
        <stp>2019-11-29</stp>
        <tr r="Q2657" s="1"/>
      </tp>
      <tp>
        <v>2.7273259953585742</v>
        <stp/>
        <stp>EM_S_VAL_DIVIDENDYIELD2</stp>
        <stp>3</stp>
        <stp>002550</stp>
        <stp>12/31/2018</stp>
        <stp>2019-11-29</stp>
        <tr r="Q1338" s="1"/>
      </tp>
      <tp>
        <v>0</v>
        <stp/>
        <stp>EM_S_VAL_DIVIDENDYIELD2</stp>
        <stp>3</stp>
        <stp>002580</stp>
        <stp>12/31/2018</stp>
        <stp>2019-11-29</stp>
        <tr r="Q1977" s="1"/>
      </tp>
      <tp>
        <v>0</v>
        <stp/>
        <stp>EM_S_VAL_DIVIDENDYIELD2</stp>
        <stp>3</stp>
        <stp>002590</stp>
        <stp>12/31/2018</stp>
        <stp>2019-11-29</stp>
        <tr r="Q1706" s="1"/>
      </tp>
      <tp>
        <v>1.7467248908296942</v>
        <stp/>
        <stp>EM_S_VAL_DIVIDENDYIELD2</stp>
        <stp>3</stp>
        <stp>002820</stp>
        <stp>12/31/2018</stp>
        <stp>2019-11-29</stp>
        <tr r="Q2429" s="1"/>
      </tp>
      <tp>
        <v>1.1843079200592153</v>
        <stp/>
        <stp>EM_S_VAL_DIVIDENDYIELD2</stp>
        <stp>3</stp>
        <stp>002830</stp>
        <stp>12/31/2018</stp>
        <stp>2019-11-29</stp>
        <tr r="Q2632" s="1"/>
      </tp>
      <tp>
        <v>6.0767185719711361E-2</v>
        <stp/>
        <stp>EM_S_VAL_DIVIDENDYIELD2</stp>
        <stp>3</stp>
        <stp>002800</stp>
        <stp>12/31/2018</stp>
        <stp>2019-11-29</stp>
        <tr r="Q363" s="1"/>
      </tp>
      <tp>
        <v>0.71696116472885263</v>
        <stp/>
        <stp>EM_S_VAL_DIVIDENDYIELD2</stp>
        <stp>3</stp>
        <stp>002810</stp>
        <stp>12/31/2018</stp>
        <stp>2019-11-29</stp>
        <tr r="Q1778" s="1"/>
      </tp>
      <tp>
        <v>0.73329747532463596</v>
        <stp/>
        <stp>EM_S_VAL_DIVIDENDYIELD2</stp>
        <stp>3</stp>
        <stp>002860</stp>
        <stp>12/31/2018</stp>
        <stp>2019-11-29</stp>
        <tr r="Q1191" s="1"/>
      </tp>
      <tp>
        <v>0.81117620549797198</v>
        <stp/>
        <stp>EM_S_VAL_DIVIDENDYIELD2</stp>
        <stp>3</stp>
        <stp>002870</stp>
        <stp>12/31/2018</stp>
        <stp>2019-11-29</stp>
        <tr r="Q411" s="1"/>
      </tp>
      <tp>
        <v>0</v>
        <stp/>
        <stp>EM_S_VAL_DIVIDENDYIELD2</stp>
        <stp>3</stp>
        <stp>002840</stp>
        <stp>12/31/2018</stp>
        <stp>2019-11-29</stp>
        <tr r="Q1148" s="1"/>
      </tp>
      <tp>
        <v>0.55340343110127277</v>
        <stp/>
        <stp>EM_S_VAL_DIVIDENDYIELD2</stp>
        <stp>3</stp>
        <stp>002850</stp>
        <stp>12/31/2018</stp>
        <stp>2019-11-29</stp>
        <tr r="Q87" s="1"/>
      </tp>
      <tp>
        <v>0.62591278948466511</v>
        <stp/>
        <stp>EM_S_VAL_DIVIDENDYIELD2</stp>
        <stp>3</stp>
        <stp>002880</stp>
        <stp>12/31/2018</stp>
        <stp>2019-11-29</stp>
        <tr r="Q1086" s="1"/>
      </tp>
      <tp>
        <v>0</v>
        <stp/>
        <stp>EM_S_VAL_DIVIDENDYIELD2</stp>
        <stp>3</stp>
        <stp>002890</stp>
        <stp>12/31/2018</stp>
        <stp>2019-11-29</stp>
        <tr r="Q756" s="1"/>
      </tp>
      <tp>
        <v>0.78895463510848129</v>
        <stp/>
        <stp>EM_S_VAL_DIVIDENDYIELD2</stp>
        <stp>3</stp>
        <stp>002920</stp>
        <stp>12/31/2018</stp>
        <stp>2019-11-29</stp>
        <tr r="Q269" s="1"/>
      </tp>
      <tp>
        <v>1.5027048687637747</v>
        <stp/>
        <stp>EM_S_VAL_DIVIDENDYIELD2</stp>
        <stp>3</stp>
        <stp>002930</stp>
        <stp>12/31/2018</stp>
        <stp>2019-11-29</stp>
        <tr r="Q3331" s="1"/>
      </tp>
      <tp>
        <v>5.9037238873751132</v>
        <stp/>
        <stp>EM_S_VAL_DIVIDENDYIELD2</stp>
        <stp>3</stp>
        <stp>002900</stp>
        <stp>12/31/2018</stp>
        <stp>2019-11-29</stp>
        <tr r="Q2567" s="1"/>
      </tp>
      <tp>
        <v>0.60956843065693433</v>
        <stp/>
        <stp>EM_S_VAL_DIVIDENDYIELD2</stp>
        <stp>3</stp>
        <stp>002910</stp>
        <stp>12/31/2018</stp>
        <stp>2019-11-29</stp>
        <tr r="Q2541" s="1"/>
      </tp>
      <tp>
        <v>2.1399864293543502</v>
        <stp/>
        <stp>EM_S_VAL_DIVIDENDYIELD2</stp>
        <stp>3</stp>
        <stp>603260</stp>
        <stp>12/31/2018</stp>
        <stp>2019-11-29</stp>
        <tr r="Q3246" s="1"/>
      </tp>
      <tp>
        <v>1.3249021379102677</v>
        <stp/>
        <stp>EM_S_VAL_DIVIDENDYIELD2</stp>
        <stp>3</stp>
        <stp>603200</stp>
        <stp>12/31/2018</stp>
        <stp>2019-11-29</stp>
        <tr r="Q3342" s="1"/>
      </tp>
      <tp>
        <v>1.340666895840495</v>
        <stp/>
        <stp>EM_S_VAL_DIVIDENDYIELD2</stp>
        <stp>3</stp>
        <stp>603360</stp>
        <stp>12/31/2018</stp>
        <stp>2019-11-29</stp>
        <tr r="Q51" s="1"/>
      </tp>
      <tp>
        <v>0</v>
        <stp/>
        <stp>EM_S_VAL_DIVIDENDYIELD2</stp>
        <stp>3</stp>
        <stp>603300</stp>
        <stp>12/31/2018</stp>
        <stp>2019-11-29</stp>
        <tr r="Q370" s="1"/>
      </tp>
      <tp>
        <v>0.81967213114754101</v>
        <stp/>
        <stp>EM_S_VAL_DIVIDENDYIELD2</stp>
        <stp>3</stp>
        <stp>603320</stp>
        <stp>12/31/2018</stp>
        <stp>2019-11-29</stp>
        <tr r="Q2682" s="1"/>
      </tp>
      <tp>
        <v>1.2446304659103424</v>
        <stp/>
        <stp>EM_S_VAL_DIVIDENDYIELD2</stp>
        <stp>3</stp>
        <stp>603330</stp>
        <stp>12/31/2018</stp>
        <stp>2019-11-29</stp>
        <tr r="Q3151" s="1"/>
      </tp>
      <tp>
        <v>1.5099519560741252</v>
        <stp/>
        <stp>EM_S_VAL_DIVIDENDYIELD2</stp>
        <stp>3</stp>
        <stp>603380</stp>
        <stp>12/31/2018</stp>
        <stp>2019-11-29</stp>
        <tr r="Q1980" s="1"/>
      </tp>
      <tp>
        <v>1.2380006727157273</v>
        <stp/>
        <stp>EM_S_VAL_DIVIDENDYIELD2</stp>
        <stp>3</stp>
        <stp>603040</stp>
        <stp>12/31/2018</stp>
        <stp>2019-11-29</stp>
        <tr r="Q891" s="1"/>
      </tp>
      <tp>
        <v>1.5553379763349033</v>
        <stp/>
        <stp>EM_S_VAL_DIVIDENDYIELD2</stp>
        <stp>3</stp>
        <stp>603050</stp>
        <stp>12/31/2018</stp>
        <stp>2019-11-29</stp>
        <tr r="Q2950" s="1"/>
      </tp>
      <tp>
        <v>0.9356683850010592</v>
        <stp/>
        <stp>EM_S_VAL_DIVIDENDYIELD2</stp>
        <stp>3</stp>
        <stp>603060</stp>
        <stp>12/31/2018</stp>
        <stp>2019-11-29</stp>
        <tr r="Q1134" s="1"/>
      </tp>
      <tp>
        <v>0.69967707212055974</v>
        <stp/>
        <stp>EM_S_VAL_DIVIDENDYIELD2</stp>
        <stp>3</stp>
        <stp>603000</stp>
        <stp>12/31/2018</stp>
        <stp>2019-11-29</stp>
        <tr r="Q61" s="1"/>
      </tp>
      <tp>
        <v>0.93002058031366031</v>
        <stp/>
        <stp>EM_S_VAL_DIVIDENDYIELD2</stp>
        <stp>3</stp>
        <stp>603010</stp>
        <stp>12/31/2018</stp>
        <stp>2019-11-29</stp>
        <tr r="Q3049" s="1"/>
      </tp>
      <tp>
        <v>1.4304291287386219</v>
        <stp/>
        <stp>EM_S_VAL_DIVIDENDYIELD2</stp>
        <stp>3</stp>
        <stp>603020</stp>
        <stp>12/31/2018</stp>
        <stp>2019-11-29</stp>
        <tr r="Q1717" s="1"/>
      </tp>
      <tp>
        <v>0.27936308403463728</v>
        <stp/>
        <stp>EM_S_VAL_DIVIDENDYIELD2</stp>
        <stp>3</stp>
        <stp>603030</stp>
        <stp>12/31/2018</stp>
        <stp>2019-11-29</stp>
        <tr r="Q1545" s="1"/>
      </tp>
      <tp>
        <v>0</v>
        <stp/>
        <stp>EM_S_VAL_DIVIDENDYIELD2</stp>
        <stp>3</stp>
        <stp>603080</stp>
        <stp>12/31/2018</stp>
        <stp>2019-11-29</stp>
        <tr r="Q3079" s="1"/>
      </tp>
      <tp>
        <v>0.65876152832674573</v>
        <stp/>
        <stp>EM_S_VAL_DIVIDENDYIELD2</stp>
        <stp>3</stp>
        <stp>603090</stp>
        <stp>12/31/2018</stp>
        <stp>2019-11-29</stp>
        <tr r="Q1077" s="1"/>
      </tp>
      <tp>
        <v>0.25818927225954663</v>
        <stp/>
        <stp>EM_S_VAL_DIVIDENDYIELD2</stp>
        <stp>3</stp>
        <stp>603160</stp>
        <stp>12/31/2018</stp>
        <stp>2019-11-29</stp>
        <tr r="Q70" s="1"/>
      </tp>
      <tp>
        <v>2.4906600249066</v>
        <stp/>
        <stp>EM_S_VAL_DIVIDENDYIELD2</stp>
        <stp>3</stp>
        <stp>603100</stp>
        <stp>12/31/2018</stp>
        <stp>2019-11-29</stp>
        <tr r="Q1357" s="1"/>
      </tp>
      <tp>
        <v>1.9350380096751902</v>
        <stp/>
        <stp>EM_S_VAL_DIVIDENDYIELD2</stp>
        <stp>3</stp>
        <stp>603110</stp>
        <stp>12/31/2018</stp>
        <stp>2019-11-29</stp>
        <tr r="Q453" s="1"/>
      </tp>
      <tp>
        <v>1.6598792766531514</v>
        <stp/>
        <stp>EM_S_VAL_DIVIDENDYIELD2</stp>
        <stp>3</stp>
        <stp>603180</stp>
        <stp>12/31/2018</stp>
        <stp>2019-11-29</stp>
        <tr r="Q1458" s="1"/>
      </tp>
      <tp>
        <v>2.0668693009118537</v>
        <stp/>
        <stp>EM_S_VAL_DIVIDENDYIELD2</stp>
        <stp>3</stp>
        <stp>603650</stp>
        <stp>12/31/2018</stp>
        <stp>2019-11-29</stp>
        <tr r="Q2848" s="1"/>
      </tp>
      <tp>
        <v>0.7223429453109681</v>
        <stp/>
        <stp>EM_S_VAL_DIVIDENDYIELD2</stp>
        <stp>3</stp>
        <stp>603660</stp>
        <stp>12/31/2018</stp>
        <stp>2019-11-29</stp>
        <tr r="Q3259" s="1"/>
      </tp>
      <tp>
        <v>1.8075446512304103</v>
        <stp/>
        <stp>EM_S_VAL_DIVIDENDYIELD2</stp>
        <stp>3</stp>
        <stp>603600</stp>
        <stp>12/31/2018</stp>
        <stp>2019-11-29</stp>
        <tr r="Q311" s="1"/>
      </tp>
      <tp>
        <v>3.2336297493936947</v>
        <stp/>
        <stp>EM_S_VAL_DIVIDENDYIELD2</stp>
        <stp>3</stp>
        <stp>603630</stp>
        <stp>12/31/2018</stp>
        <stp>2019-11-29</stp>
        <tr r="Q2235" s="1"/>
      </tp>
      <tp>
        <v>1.5498057724475485</v>
        <stp/>
        <stp>EM_S_VAL_DIVIDENDYIELD2</stp>
        <stp>3</stp>
        <stp>603680</stp>
        <stp>12/31/2018</stp>
        <stp>2019-11-29</stp>
        <tr r="Q3264" s="1"/>
      </tp>
      <tp>
        <v>0.17218188887999741</v>
        <stp/>
        <stp>EM_S_VAL_DIVIDENDYIELD2</stp>
        <stp>3</stp>
        <stp>603690</stp>
        <stp>12/31/2018</stp>
        <stp>2019-11-29</stp>
        <tr r="Q133" s="1"/>
      </tp>
      <tp>
        <v>1.8497965223825381</v>
        <stp/>
        <stp>EM_S_VAL_DIVIDENDYIELD2</stp>
        <stp>3</stp>
        <stp>603730</stp>
        <stp>12/31/2018</stp>
        <stp>2019-11-29</stp>
        <tr r="Q677" s="1"/>
      </tp>
      <tp>
        <v>1.7050298380221656</v>
        <stp/>
        <stp>EM_S_VAL_DIVIDENDYIELD2</stp>
        <stp>3</stp>
        <stp>603500</stp>
        <stp>12/31/2018</stp>
        <stp>2019-11-29</stp>
        <tr r="Q1345" s="1"/>
      </tp>
      <tp>
        <v>0.47817885786515091</v>
        <stp/>
        <stp>EM_S_VAL_DIVIDENDYIELD2</stp>
        <stp>3</stp>
        <stp>603520</stp>
        <stp>12/31/2018</stp>
        <stp>2019-11-29</stp>
        <tr r="Q419" s="1"/>
      </tp>
      <tp>
        <v>0.7421150278293136</v>
        <stp/>
        <stp>EM_S_VAL_DIVIDENDYIELD2</stp>
        <stp>3</stp>
        <stp>603580</stp>
        <stp>12/31/2018</stp>
        <stp>2019-11-29</stp>
        <tr r="Q3094" s="1"/>
      </tp>
      <tp>
        <v>0.56809184481393515</v>
        <stp/>
        <stp>EM_S_VAL_DIVIDENDYIELD2</stp>
        <stp>3</stp>
        <stp>603860</stp>
        <stp>12/31/2018</stp>
        <stp>2019-11-29</stp>
        <tr r="Q1627" s="1"/>
      </tp>
      <tp>
        <v>4.1390728476821197</v>
        <stp/>
        <stp>EM_S_VAL_DIVIDENDYIELD2</stp>
        <stp>3</stp>
        <stp>603800</stp>
        <stp>12/31/2018</stp>
        <stp>2019-11-29</stp>
        <tr r="Q1378" s="1"/>
      </tp>
      <tp>
        <v>1.3524936601859678</v>
        <stp/>
        <stp>EM_S_VAL_DIVIDENDYIELD2</stp>
        <stp>3</stp>
        <stp>603880</stp>
        <stp>12/31/2018</stp>
        <stp>2019-11-29</stp>
        <tr r="Q2774" s="1"/>
      </tp>
      <tp>
        <v>1.957601575128278</v>
        <stp/>
        <stp>EM_S_VAL_DIVIDENDYIELD2</stp>
        <stp>3</stp>
        <stp>603890</stp>
        <stp>12/31/2018</stp>
        <stp>2019-11-29</stp>
        <tr r="Q2755" s="1"/>
      </tp>
      <tp>
        <v>0.25579494211650539</v>
        <stp/>
        <stp>EM_S_VAL_DIVIDENDYIELD2</stp>
        <stp>3</stp>
        <stp>603960</stp>
        <stp>12/31/2018</stp>
        <stp>2019-11-29</stp>
        <tr r="Q1420" s="1"/>
      </tp>
      <tp>
        <v>1.7260425296879316</v>
        <stp/>
        <stp>EM_S_VAL_DIVIDENDYIELD2</stp>
        <stp>3</stp>
        <stp>603970</stp>
        <stp>12/31/2018</stp>
        <stp>2019-11-29</stp>
        <tr r="Q3016" s="1"/>
      </tp>
      <tp>
        <v>6.7340067340067336</v>
        <stp/>
        <stp>EM_S_VAL_DIVIDENDYIELD2</stp>
        <stp>3</stp>
        <stp>603900</stp>
        <stp>12/31/2018</stp>
        <stp>2019-11-29</stp>
        <tr r="Q3083" s="1"/>
      </tp>
      <tp>
        <v>2.8826456876460611</v>
        <stp/>
        <stp>EM_S_VAL_DIVIDENDYIELD2</stp>
        <stp>3</stp>
        <stp>603920</stp>
        <stp>12/31/2018</stp>
        <stp>2019-11-29</stp>
        <tr r="Q354" s="1"/>
      </tp>
      <tp>
        <v>4.2460841668239286</v>
        <stp/>
        <stp>EM_S_VAL_DIVIDENDYIELD2</stp>
        <stp>3</stp>
        <stp>603980</stp>
        <stp>12/31/2018</stp>
        <stp>2019-11-29</stp>
        <tr r="Q3238" s="1"/>
      </tp>
      <tp>
        <v>0.4650366914913458</v>
        <stp/>
        <stp>EM_S_VAL_DIVIDENDYIELD2</stp>
        <stp>3</stp>
        <stp>603990</stp>
        <stp>12/31/2018</stp>
        <stp>2019-11-29</stp>
        <tr r="Q2011" s="1"/>
      </tp>
      <tp>
        <v>0</v>
        <stp/>
        <stp>EM_S_VAL_DIVIDENDYIELD2</stp>
        <stp>3</stp>
        <stp>300210</stp>
        <stp>12/31/2018</stp>
        <stp>2019-11-29</stp>
        <tr r="Q3058" s="1"/>
      </tp>
      <tp>
        <v>0</v>
        <stp/>
        <stp>EM_S_VAL_DIVIDENDYIELD2</stp>
        <stp>3</stp>
        <stp>600240</stp>
        <stp>12/31/2018</stp>
        <stp>2019-11-29</stp>
        <tr r="Q3408" s="1"/>
      </tp>
      <tp>
        <v>1.9681349578256795</v>
        <stp/>
        <stp>EM_S_VAL_DIVIDENDYIELD2</stp>
        <stp>3</stp>
        <stp>300200</stp>
        <stp>12/31/2018</stp>
        <stp>2019-11-29</stp>
        <tr r="Q246" s="1"/>
      </tp>
      <tp>
        <v>0</v>
        <stp/>
        <stp>EM_S_VAL_DIVIDENDYIELD2</stp>
        <stp>3</stp>
        <stp>600250</stp>
        <stp>12/31/2018</stp>
        <stp>2019-11-29</stp>
        <tr r="Q3043" s="1"/>
      </tp>
      <tp>
        <v>6.4473684210526319</v>
        <stp/>
        <stp>EM_S_VAL_DIVIDENDYIELD2</stp>
        <stp>3</stp>
        <stp>300230</stp>
        <stp>12/31/2018</stp>
        <stp>2019-11-29</stp>
        <tr r="Q2958" s="1"/>
      </tp>
      <tp>
        <v>0.93830635665051454</v>
        <stp/>
        <stp>EM_S_VAL_DIVIDENDYIELD2</stp>
        <stp>3</stp>
        <stp>600260</stp>
        <stp>12/31/2018</stp>
        <stp>2019-11-29</stp>
        <tr r="Q3108" s="1"/>
      </tp>
      <tp>
        <v>1.8242626938279112E-2</v>
        <stp/>
        <stp>EM_S_VAL_DIVIDENDYIELD2</stp>
        <stp>3</stp>
        <stp>300220</stp>
        <stp>12/31/2018</stp>
        <stp>2019-11-29</stp>
        <tr r="Q27" s="1"/>
      </tp>
      <tp>
        <v>0</v>
        <stp/>
        <stp>EM_S_VAL_DIVIDENDYIELD2</stp>
        <stp>3</stp>
        <stp>600270</stp>
        <stp>12/31/2018</stp>
        <stp>2019-11-29</stp>
        <tr r="Q2298" s="1"/>
      </tp>
      <tp>
        <v>0</v>
        <stp/>
        <stp>EM_S_VAL_DIVIDENDYIELD2</stp>
        <stp>3</stp>
        <stp>300250</stp>
        <stp>12/31/2018</stp>
        <stp>2019-11-29</stp>
        <tr r="Q1446" s="1"/>
      </tp>
      <tp>
        <v>0</v>
        <stp/>
        <stp>EM_S_VAL_DIVIDENDYIELD2</stp>
        <stp>3</stp>
        <stp>600200</stp>
        <stp>12/31/2018</stp>
        <stp>2019-11-29</stp>
        <tr r="Q2906" s="1"/>
      </tp>
      <tp>
        <v>0.3289473684210526</v>
        <stp/>
        <stp>EM_S_VAL_DIVIDENDYIELD2</stp>
        <stp>3</stp>
        <stp>300240</stp>
        <stp>12/31/2018</stp>
        <stp>2019-11-29</stp>
        <tr r="Q2840" s="1"/>
      </tp>
      <tp>
        <v>4.3227665706051868</v>
        <stp/>
        <stp>EM_S_VAL_DIVIDENDYIELD2</stp>
        <stp>3</stp>
        <stp>600210</stp>
        <stp>12/31/2018</stp>
        <stp>2019-11-29</stp>
        <tr r="Q2091" s="1"/>
      </tp>
      <tp>
        <v>0</v>
        <stp/>
        <stp>EM_S_VAL_DIVIDENDYIELD2</stp>
        <stp>3</stp>
        <stp>300270</stp>
        <stp>12/31/2018</stp>
        <stp>2019-11-29</stp>
        <tr r="Q966" s="1"/>
      </tp>
      <tp>
        <v>1.4018691588785048</v>
        <stp/>
        <stp>EM_S_VAL_DIVIDENDYIELD2</stp>
        <stp>3</stp>
        <stp>600220</stp>
        <stp>12/31/2018</stp>
        <stp>2019-11-29</stp>
        <tr r="Q1873" s="1"/>
      </tp>
      <tp>
        <v>0.94876660341555974</v>
        <stp/>
        <stp>EM_S_VAL_DIVIDENDYIELD2</stp>
        <stp>3</stp>
        <stp>300260</stp>
        <stp>12/31/2018</stp>
        <stp>2019-11-29</stp>
        <tr r="Q893" s="1"/>
      </tp>
      <tp>
        <v>2.1551724137931036</v>
        <stp/>
        <stp>EM_S_VAL_DIVIDENDYIELD2</stp>
        <stp>3</stp>
        <stp>600230</stp>
        <stp>12/31/2018</stp>
        <stp>2019-11-29</stp>
        <tr r="Q3272" s="1"/>
      </tp>
      <tp>
        <v>0.14897579156840574</v>
        <stp/>
        <stp>EM_S_VAL_DIVIDENDYIELD2</stp>
        <stp>3</stp>
        <stp>300290</stp>
        <stp>12/31/2018</stp>
        <stp>2019-11-29</stp>
        <tr r="Q1839" s="1"/>
      </tp>
      <tp>
        <v>0</v>
        <stp/>
        <stp>EM_S_VAL_DIVIDENDYIELD2</stp>
        <stp>3</stp>
        <stp>300280</stp>
        <stp>12/31/2018</stp>
        <stp>2019-11-29</stp>
        <tr r="Q3363" s="1"/>
      </tp>
      <tp>
        <v>0</v>
        <stp/>
        <stp>EM_S_VAL_DIVIDENDYIELD2</stp>
        <stp>3</stp>
        <stp>600280</stp>
        <stp>12/31/2018</stp>
        <stp>2019-11-29</stp>
        <tr r="Q2933" s="1"/>
      </tp>
      <tp>
        <v>0</v>
        <stp/>
        <stp>EM_S_VAL_DIVIDENDYIELD2</stp>
        <stp>3</stp>
        <stp>600290</stp>
        <stp>12/31/2018</stp>
        <stp>2019-11-29</stp>
        <tr r="Q3277" s="1"/>
      </tp>
      <tp>
        <v>0</v>
        <stp/>
        <stp>EM_S_VAL_DIVIDENDYIELD2</stp>
        <stp>3</stp>
        <stp>300310</stp>
        <stp>12/31/2018</stp>
        <stp>2019-11-29</stp>
        <tr r="Q2231" s="1"/>
      </tp>
      <tp>
        <v>4.280614853073466</v>
        <stp/>
        <stp>EM_S_VAL_DIVIDENDYIELD2</stp>
        <stp>3</stp>
        <stp>600340</stp>
        <stp>12/31/2018</stp>
        <stp>2019-11-29</stp>
        <tr r="Q1641" s="1"/>
      </tp>
      <tp>
        <v>0.20887576562261873</v>
        <stp/>
        <stp>EM_S_VAL_DIVIDENDYIELD2</stp>
        <stp>3</stp>
        <stp>300300</stp>
        <stp>12/31/2018</stp>
        <stp>2019-11-29</stp>
        <tr r="Q2824" s="1"/>
      </tp>
      <tp>
        <v>4.6428571428571432</v>
        <stp/>
        <stp>EM_S_VAL_DIVIDENDYIELD2</stp>
        <stp>3</stp>
        <stp>600350</stp>
        <stp>12/31/2018</stp>
        <stp>2019-11-29</stp>
        <tr r="Q1896" s="1"/>
      </tp>
      <tp>
        <v>0</v>
        <stp/>
        <stp>EM_S_VAL_DIVIDENDYIELD2</stp>
        <stp>3</stp>
        <stp>300330</stp>
        <stp>12/31/2018</stp>
        <stp>2019-11-29</stp>
        <tr r="Q758" s="1"/>
      </tp>
      <tp>
        <v>0.61946902654867242</v>
        <stp/>
        <stp>EM_S_VAL_DIVIDENDYIELD2</stp>
        <stp>3</stp>
        <stp>600360</stp>
        <stp>12/31/2018</stp>
        <stp>2019-11-29</stp>
        <tr r="Q920" s="1"/>
      </tp>
      <tp>
        <v>1.2669683257918554</v>
        <stp/>
        <stp>EM_S_VAL_DIVIDENDYIELD2</stp>
        <stp>3</stp>
        <stp>300320</stp>
        <stp>12/31/2018</stp>
        <stp>2019-11-29</stp>
        <tr r="Q1658" s="1"/>
      </tp>
      <tp>
        <v>0.89605734767025103</v>
        <stp/>
        <stp>EM_S_VAL_DIVIDENDYIELD2</stp>
        <stp>3</stp>
        <stp>600370</stp>
        <stp>12/31/2018</stp>
        <stp>2019-11-29</stp>
        <tr r="Q1676" s="1"/>
      </tp>
      <tp>
        <v>0</v>
        <stp/>
        <stp>EM_S_VAL_DIVIDENDYIELD2</stp>
        <stp>3</stp>
        <stp>300350</stp>
        <stp>12/31/2018</stp>
        <stp>2019-11-29</stp>
        <tr r="Q2687" s="1"/>
      </tp>
      <tp>
        <v>0</v>
        <stp/>
        <stp>EM_S_VAL_DIVIDENDYIELD2</stp>
        <stp>3</stp>
        <stp>600300</stp>
        <stp>12/31/2018</stp>
        <stp>2019-11-29</stp>
        <tr r="Q1995" s="1"/>
      </tp>
      <tp>
        <v>0.89285714285714279</v>
        <stp/>
        <stp>EM_S_VAL_DIVIDENDYIELD2</stp>
        <stp>3</stp>
        <stp>300340</stp>
        <stp>12/31/2018</stp>
        <stp>2019-11-29</stp>
        <tr r="Q2737" s="1"/>
      </tp>
      <tp>
        <v>0.63775510204081631</v>
        <stp/>
        <stp>EM_S_VAL_DIVIDENDYIELD2</stp>
        <stp>3</stp>
        <stp>600310</stp>
        <stp>12/31/2018</stp>
        <stp>2019-11-29</stp>
        <tr r="Q1303" s="1"/>
      </tp>
      <tp>
        <v>0</v>
        <stp/>
        <stp>EM_S_VAL_DIVIDENDYIELD2</stp>
        <stp>3</stp>
        <stp>300370</stp>
        <stp>12/31/2018</stp>
        <stp>2019-11-29</stp>
        <tr r="Q888" s="1"/>
      </tp>
      <tp>
        <v>1.4409221902017293</v>
        <stp/>
        <stp>EM_S_VAL_DIVIDENDYIELD2</stp>
        <stp>3</stp>
        <stp>600320</stp>
        <stp>12/31/2018</stp>
        <stp>2019-11-29</stp>
        <tr r="Q1504" s="1"/>
      </tp>
      <tp>
        <v>0.81766148814390838</v>
        <stp/>
        <stp>EM_S_VAL_DIVIDENDYIELD2</stp>
        <stp>3</stp>
        <stp>300360</stp>
        <stp>12/31/2018</stp>
        <stp>2019-11-29</stp>
        <tr r="Q187" s="1"/>
      </tp>
      <tp>
        <v>0.85034013605442182</v>
        <stp/>
        <stp>EM_S_VAL_DIVIDENDYIELD2</stp>
        <stp>3</stp>
        <stp>600330</stp>
        <stp>12/31/2018</stp>
        <stp>2019-11-29</stp>
        <tr r="Q654" s="1"/>
      </tp>
      <tp>
        <v>1.7201834862385321</v>
        <stp/>
        <stp>EM_S_VAL_DIVIDENDYIELD2</stp>
        <stp>3</stp>
        <stp>300390</stp>
        <stp>12/31/2018</stp>
        <stp>2019-11-29</stp>
        <tr r="Q2862" s="1"/>
      </tp>
      <tp>
        <v>0.55309734513274333</v>
        <stp/>
        <stp>EM_S_VAL_DIVIDENDYIELD2</stp>
        <stp>3</stp>
        <stp>300380</stp>
        <stp>12/31/2018</stp>
        <stp>2019-11-29</stp>
        <tr r="Q1006" s="1"/>
      </tp>
      <tp>
        <v>1.6293279022403258</v>
        <stp/>
        <stp>EM_S_VAL_DIVIDENDYIELD2</stp>
        <stp>3</stp>
        <stp>600380</stp>
        <stp>12/31/2018</stp>
        <stp>2019-11-29</stp>
        <tr r="Q567" s="1"/>
      </tp>
      <tp>
        <v>0</v>
        <stp/>
        <stp>EM_S_VAL_DIVIDENDYIELD2</stp>
        <stp>3</stp>
        <stp>600390</stp>
        <stp>12/31/2018</stp>
        <stp>2019-11-29</stp>
        <tr r="Q1389" s="1"/>
      </tp>
      <tp>
        <v>0</v>
        <stp/>
        <stp>EM_S_VAL_DIVIDENDYIELD2</stp>
        <stp>3</stp>
        <stp>000020</stp>
        <stp>12/31/2018</stp>
        <stp>2019-11-29</stp>
        <tr r="Q2164" s="1"/>
      </tp>
      <tp>
        <v>0</v>
        <stp/>
        <stp>EM_S_VAL_DIVIDENDYIELD2</stp>
        <stp>3</stp>
        <stp>300010</stp>
        <stp>12/31/2018</stp>
        <stp>2019-11-29</stp>
        <tr r="Q280" s="1"/>
      </tp>
      <tp>
        <v>3.2467532467532463</v>
        <stp/>
        <stp>EM_S_VAL_DIVIDENDYIELD2</stp>
        <stp>3</stp>
        <stp>000030</stp>
        <stp>12/31/2018</stp>
        <stp>2019-11-29</stp>
        <tr r="Q883" s="1"/>
      </tp>
      <tp>
        <v>0.93366851828111208</v>
        <stp/>
        <stp>EM_S_VAL_DIVIDENDYIELD2</stp>
        <stp>3</stp>
        <stp>600050</stp>
        <stp>12/31/2018</stp>
        <stp>2019-11-29</stp>
        <tr r="Q1536" s="1"/>
      </tp>
      <tp>
        <v>0</v>
        <stp/>
        <stp>EM_S_VAL_DIVIDENDYIELD2</stp>
        <stp>3</stp>
        <stp>300030</stp>
        <stp>12/31/2018</stp>
        <stp>2019-11-29</stp>
        <tr r="Q663" s="1"/>
      </tp>
      <tp>
        <v>0.94339622641509435</v>
        <stp/>
        <stp>EM_S_VAL_DIVIDENDYIELD2</stp>
        <stp>3</stp>
        <stp>600060</stp>
        <stp>12/31/2018</stp>
        <stp>2019-11-29</stp>
        <tr r="Q1112" s="1"/>
      </tp>
      <tp>
        <v>0</v>
        <stp/>
        <stp>EM_S_VAL_DIVIDENDYIELD2</stp>
        <stp>3</stp>
        <stp>000010</stp>
        <stp>12/31/2018</stp>
        <stp>2019-11-29</stp>
        <tr r="Q2039" s="1"/>
      </tp>
      <tp>
        <v>0.37220843672456572</v>
        <stp/>
        <stp>EM_S_VAL_DIVIDENDYIELD2</stp>
        <stp>3</stp>
        <stp>300020</stp>
        <stp>12/31/2018</stp>
        <stp>2019-11-29</stp>
        <tr r="Q927" s="1"/>
      </tp>
      <tp>
        <v>0.82135523613963046</v>
        <stp/>
        <stp>EM_S_VAL_DIVIDENDYIELD2</stp>
        <stp>3</stp>
        <stp>600070</stp>
        <stp>12/31/2018</stp>
        <stp>2019-11-29</stp>
        <tr r="Q667" s="1"/>
      </tp>
      <tp>
        <v>2.0100502512562817</v>
        <stp/>
        <stp>EM_S_VAL_DIVIDENDYIELD2</stp>
        <stp>3</stp>
        <stp>000060</stp>
        <stp>12/31/2018</stp>
        <stp>2019-11-29</stp>
        <tr r="Q1710" s="1"/>
      </tp>
      <tp>
        <v>0</v>
        <stp/>
        <stp>EM_S_VAL_DIVIDENDYIELD2</stp>
        <stp>3</stp>
        <stp>300050</stp>
        <stp>12/31/2018</stp>
        <stp>2019-11-29</stp>
        <tr r="Q2656" s="1"/>
      </tp>
      <tp>
        <v>2.9387069689336687</v>
        <stp/>
        <stp>EM_S_VAL_DIVIDENDYIELD2</stp>
        <stp>3</stp>
        <stp>600000</stp>
        <stp>12/31/2018</stp>
        <stp>2019-11-29</stp>
        <tr r="Q1062" s="1"/>
      </tp>
      <tp>
        <v>0.33614929630017432</v>
        <stp/>
        <stp>EM_S_VAL_DIVIDENDYIELD2</stp>
        <stp>3</stp>
        <stp>000070</stp>
        <stp>12/31/2018</stp>
        <stp>2019-11-29</stp>
        <tr r="Q228" s="1"/>
      </tp>
      <tp>
        <v>0.95238095238095233</v>
        <stp/>
        <stp>EM_S_VAL_DIVIDENDYIELD2</stp>
        <stp>3</stp>
        <stp>300040</stp>
        <stp>12/31/2018</stp>
        <stp>2019-11-29</stp>
        <tr r="Q1626" s="1"/>
      </tp>
      <tp>
        <v>0.54687500000000011</v>
        <stp/>
        <stp>EM_S_VAL_DIVIDENDYIELD2</stp>
        <stp>3</stp>
        <stp>600010</stp>
        <stp>12/31/2018</stp>
        <stp>2019-11-29</stp>
        <tr r="Q2792" s="1"/>
      </tp>
      <tp>
        <v>2.0161290322580649</v>
        <stp/>
        <stp>EM_S_VAL_DIVIDENDYIELD2</stp>
        <stp>3</stp>
        <stp>000040</stp>
        <stp>12/31/2018</stp>
        <stp>2019-11-29</stp>
        <tr r="Q3327" s="1"/>
      </tp>
      <tp>
        <v>0.51699611232189591</v>
        <stp/>
        <stp>EM_S_VAL_DIVIDENDYIELD2</stp>
        <stp>3</stp>
        <stp>300070</stp>
        <stp>12/31/2018</stp>
        <stp>2019-11-29</stp>
        <tr r="Q2453" s="1"/>
      </tp>
      <tp>
        <v>2.6328502415458943</v>
        <stp/>
        <stp>EM_S_VAL_DIVIDENDYIELD2</stp>
        <stp>3</stp>
        <stp>600020</stp>
        <stp>12/31/2018</stp>
        <stp>2019-11-29</stp>
        <tr r="Q1292" s="1"/>
      </tp>
      <tp>
        <v>0.45662100456621002</v>
        <stp/>
        <stp>EM_S_VAL_DIVIDENDYIELD2</stp>
        <stp>3</stp>
        <stp>000050</stp>
        <stp>12/31/2018</stp>
        <stp>2019-11-29</stp>
        <tr r="Q348" s="1"/>
      </tp>
      <tp>
        <v>1.6347501167678655</v>
        <stp/>
        <stp>EM_S_VAL_DIVIDENDYIELD2</stp>
        <stp>3</stp>
        <stp>600030</stp>
        <stp>12/31/2018</stp>
        <stp>2019-11-29</stp>
        <tr r="Q423" s="1"/>
      </tp>
      <tp>
        <v>0</v>
        <stp/>
        <stp>EM_S_VAL_DIVIDENDYIELD2</stp>
        <stp>3</stp>
        <stp>300090</stp>
        <stp>12/31/2018</stp>
        <stp>2019-11-29</stp>
        <tr r="Q3294" s="1"/>
      </tp>
      <tp>
        <v>0</v>
        <stp/>
        <stp>EM_S_VAL_DIVIDENDYIELD2</stp>
        <stp>3</stp>
        <stp>300080</stp>
        <stp>12/31/2018</stp>
        <stp>2019-11-29</stp>
        <tr r="Q1199" s="1"/>
      </tp>
      <tp>
        <v>3.8156288168540344</v>
        <stp/>
        <stp>EM_S_VAL_DIVIDENDYIELD2</stp>
        <stp>3</stp>
        <stp>000090</stp>
        <stp>12/31/2018</stp>
        <stp>2019-11-29</stp>
        <tr r="Q479" s="1"/>
      </tp>
      <tp>
        <v>0.68728522336769771</v>
        <stp/>
        <stp>EM_S_VAL_DIVIDENDYIELD2</stp>
        <stp>3</stp>
        <stp>600080</stp>
        <stp>12/31/2018</stp>
        <stp>2019-11-29</stp>
        <tr r="Q2993" s="1"/>
      </tp>
      <tp>
        <v>0</v>
        <stp/>
        <stp>EM_S_VAL_DIVIDENDYIELD2</stp>
        <stp>3</stp>
        <stp>600090</stp>
        <stp>12/31/2018</stp>
        <stp>2019-11-29</stp>
        <tr r="Q3138" s="1"/>
      </tp>
      <tp>
        <v>0.75376884422110557</v>
        <stp/>
        <stp>EM_S_VAL_DIVIDENDYIELD2</stp>
        <stp>3</stp>
        <stp>300110</stp>
        <stp>12/31/2018</stp>
        <stp>2019-11-29</stp>
        <tr r="Q956" s="1"/>
      </tp>
      <tp>
        <v>0.53875559418018304</v>
        <stp/>
        <stp>EM_S_VAL_DIVIDENDYIELD2</stp>
        <stp>3</stp>
        <stp>300100</stp>
        <stp>12/31/2018</stp>
        <stp>2019-11-29</stp>
        <tr r="Q3326" s="1"/>
      </tp>
      <tp>
        <v>0.53154495777446598</v>
        <stp/>
        <stp>EM_S_VAL_DIVIDENDYIELD2</stp>
        <stp>3</stp>
        <stp>600150</stp>
        <stp>12/31/2018</stp>
        <stp>2019-11-29</stp>
        <tr r="Q395" s="1"/>
      </tp>
      <tp>
        <v>2.6082494602590338</v>
        <stp/>
        <stp>EM_S_VAL_DIVIDENDYIELD2</stp>
        <stp>3</stp>
        <stp>000100</stp>
        <stp>12/31/2018</stp>
        <stp>2019-11-29</stp>
        <tr r="Q212" s="1"/>
      </tp>
      <tp>
        <v>0</v>
        <stp/>
        <stp>EM_S_VAL_DIVIDENDYIELD2</stp>
        <stp>3</stp>
        <stp>300130</stp>
        <stp>12/31/2018</stp>
        <stp>2019-11-29</stp>
        <tr r="Q478" s="1"/>
      </tp>
      <tp>
        <v>2.2796352583586623</v>
        <stp/>
        <stp>EM_S_VAL_DIVIDENDYIELD2</stp>
        <stp>3</stp>
        <stp>600160</stp>
        <stp>12/31/2018</stp>
        <stp>2019-11-29</stp>
        <tr r="Q1738" s="1"/>
      </tp>
      <tp>
        <v>1.4831036852765838</v>
        <stp/>
        <stp>EM_S_VAL_DIVIDENDYIELD2</stp>
        <stp>3</stp>
        <stp>300120</stp>
        <stp>12/31/2018</stp>
        <stp>2019-11-29</stp>
        <tr r="Q2024" s="1"/>
      </tp>
      <tp>
        <v>3.8793103448275863</v>
        <stp/>
        <stp>EM_S_VAL_DIVIDENDYIELD2</stp>
        <stp>3</stp>
        <stp>600170</stp>
        <stp>12/31/2018</stp>
        <stp>2019-11-29</stp>
        <tr r="Q1414" s="1"/>
      </tp>
      <tp>
        <v>2.6246719160104992</v>
        <stp/>
        <stp>EM_S_VAL_DIVIDENDYIELD2</stp>
        <stp>3</stp>
        <stp>300150</stp>
        <stp>12/31/2018</stp>
        <stp>2019-11-29</stp>
        <tr r="Q2203" s="1"/>
      </tp>
      <tp>
        <v>0</v>
        <stp/>
        <stp>EM_S_VAL_DIVIDENDYIELD2</stp>
        <stp>3</stp>
        <stp>600100</stp>
        <stp>12/31/2018</stp>
        <stp>2019-11-29</stp>
        <tr r="Q2791" s="1"/>
      </tp>
      <tp>
        <v>0</v>
        <stp/>
        <stp>EM_S_VAL_DIVIDENDYIELD2</stp>
        <stp>3</stp>
        <stp>300140</stp>
        <stp>12/31/2018</stp>
        <stp>2019-11-29</stp>
        <tr r="Q1419" s="1"/>
      </tp>
      <tp>
        <v>0</v>
        <stp/>
        <stp>EM_S_VAL_DIVIDENDYIELD2</stp>
        <stp>3</stp>
        <stp>600110</stp>
        <stp>12/31/2018</stp>
        <stp>2019-11-29</stp>
        <tr r="Q1434" s="1"/>
      </tp>
      <tp>
        <v>0.32085561497326204</v>
        <stp/>
        <stp>EM_S_VAL_DIVIDENDYIELD2</stp>
        <stp>3</stp>
        <stp>300170</stp>
        <stp>12/31/2018</stp>
        <stp>2019-11-29</stp>
        <tr r="Q2376" s="1"/>
      </tp>
      <tp>
        <v>0.68510043540530319</v>
        <stp/>
        <stp>EM_S_VAL_DIVIDENDYIELD2</stp>
        <stp>3</stp>
        <stp>600120</stp>
        <stp>12/31/2018</stp>
        <stp>2019-11-29</stp>
        <tr r="Q3210" s="1"/>
      </tp>
      <tp>
        <v>0</v>
        <stp/>
        <stp>EM_S_VAL_DIVIDENDYIELD2</stp>
        <stp>3</stp>
        <stp>000150</stp>
        <stp>12/31/2018</stp>
        <stp>2019-11-29</stp>
        <tr r="Q3399" s="1"/>
      </tp>
      <tp>
        <v>0</v>
        <stp/>
        <stp>EM_S_VAL_DIVIDENDYIELD2</stp>
        <stp>3</stp>
        <stp>300160</stp>
        <stp>12/31/2018</stp>
        <stp>2019-11-29</stp>
        <tr r="Q1712" s="1"/>
      </tp>
      <tp>
        <v>0</v>
        <stp/>
        <stp>EM_S_VAL_DIVIDENDYIELD2</stp>
        <stp>3</stp>
        <stp>600130</stp>
        <stp>12/31/2018</stp>
        <stp>2019-11-29</stp>
        <tr r="Q2075" s="1"/>
      </tp>
      <tp>
        <v>0.78864353312302837</v>
        <stp/>
        <stp>EM_S_VAL_DIVIDENDYIELD2</stp>
        <stp>3</stp>
        <stp>300190</stp>
        <stp>12/31/2018</stp>
        <stp>2019-11-29</stp>
        <tr r="Q746" s="1"/>
      </tp>
      <tp>
        <v>0.26974951830443156</v>
        <stp/>
        <stp>EM_S_VAL_DIVIDENDYIELD2</stp>
        <stp>3</stp>
        <stp>300180</stp>
        <stp>12/31/2018</stp>
        <stp>2019-11-29</stp>
        <tr r="Q3053" s="1"/>
      </tp>
      <tp>
        <v>0.70270270270270274</v>
        <stp/>
        <stp>EM_S_VAL_DIVIDENDYIELD2</stp>
        <stp>3</stp>
        <stp>600180</stp>
        <stp>12/31/2018</stp>
        <stp>2019-11-29</stp>
        <tr r="Q2347" s="1"/>
      </tp>
      <tp>
        <v>0.67567567567567566</v>
        <stp/>
        <stp>EM_S_VAL_DIVIDENDYIELD2</stp>
        <stp>3</stp>
        <stp>600190</stp>
        <stp>12/31/2018</stp>
        <stp>2019-11-29</stp>
        <tr r="Q1541" s="1"/>
      </tp>
      <tp>
        <v>3.8314176245210732</v>
        <stp/>
        <stp>EM_S_VAL_DIVIDENDYIELD2</stp>
        <stp>3</stp>
        <stp>000620</stp>
        <stp>12/31/2018</stp>
        <stp>2019-11-29</stp>
        <tr r="Q2102" s="1"/>
      </tp>
      <tp>
        <v>0.9632352018194692</v>
        <stp/>
        <stp>EM_S_VAL_DIVIDENDYIELD2</stp>
        <stp>3</stp>
        <stp>300610</stp>
        <stp>12/31/2018</stp>
        <stp>2019-11-29</stp>
        <tr r="Q2478" s="1"/>
      </tp>
      <tp>
        <v>0.54171180931744312</v>
        <stp/>
        <stp>EM_S_VAL_DIVIDENDYIELD2</stp>
        <stp>3</stp>
        <stp>600640</stp>
        <stp>12/31/2018</stp>
        <stp>2019-11-29</stp>
        <tr r="Q66" s="1"/>
      </tp>
      <tp>
        <v>1.4084507042253522</v>
        <stp/>
        <stp>EM_S_VAL_DIVIDENDYIELD2</stp>
        <stp>3</stp>
        <stp>000630</stp>
        <stp>12/31/2018</stp>
        <stp>2019-11-29</stp>
        <tr r="Q1285" s="1"/>
      </tp>
      <tp>
        <v>1.1025358324145533</v>
        <stp/>
        <stp>EM_S_VAL_DIVIDENDYIELD2</stp>
        <stp>3</stp>
        <stp>300600</stp>
        <stp>12/31/2018</stp>
        <stp>2019-11-29</stp>
        <tr r="Q3297" s="1"/>
      </tp>
      <tp>
        <v>2.5826446280991737</v>
        <stp/>
        <stp>EM_S_VAL_DIVIDENDYIELD2</stp>
        <stp>3</stp>
        <stp>600650</stp>
        <stp>12/31/2018</stp>
        <stp>2019-11-29</stp>
        <tr r="Q1878" s="1"/>
      </tp>
      <tp>
        <v>2.0703933747412013</v>
        <stp/>
        <stp>EM_S_VAL_DIVIDENDYIELD2</stp>
        <stp>3</stp>
        <stp>000600</stp>
        <stp>12/31/2018</stp>
        <stp>2019-11-29</stp>
        <tr r="Q2456" s="1"/>
      </tp>
      <tp>
        <v>0.2265738792684901</v>
        <stp/>
        <stp>EM_S_VAL_DIVIDENDYIELD2</stp>
        <stp>3</stp>
        <stp>300630</stp>
        <stp>12/31/2018</stp>
        <stp>2019-11-29</stp>
        <tr r="Q1074" s="1"/>
      </tp>
      <tp>
        <v>3.3738191632928474</v>
        <stp/>
        <stp>EM_S_VAL_DIVIDENDYIELD2</stp>
        <stp>3</stp>
        <stp>600660</stp>
        <stp>12/31/2018</stp>
        <stp>2019-11-29</stp>
        <tr r="Q2159" s="1"/>
      </tp>
      <tp>
        <v>0.27218934911242604</v>
        <stp/>
        <stp>EM_S_VAL_DIVIDENDYIELD2</stp>
        <stp>3</stp>
        <stp>000610</stp>
        <stp>12/31/2018</stp>
        <stp>2019-11-29</stp>
        <tr r="Q1211" s="1"/>
      </tp>
      <tp>
        <v>0.5388885315636126</v>
        <stp/>
        <stp>EM_S_VAL_DIVIDENDYIELD2</stp>
        <stp>3</stp>
        <stp>300620</stp>
        <stp>12/31/2018</stp>
        <stp>2019-11-29</stp>
        <tr r="Q2759" s="1"/>
      </tp>
      <tp>
        <v>0</v>
        <stp/>
        <stp>EM_S_VAL_DIVIDENDYIELD2</stp>
        <stp>3</stp>
        <stp>600670</stp>
        <stp>12/31/2018</stp>
        <stp>2019-11-29</stp>
        <tr r="Q2314" s="1"/>
      </tp>
      <tp>
        <v>0</v>
        <stp/>
        <stp>EM_S_VAL_DIVIDENDYIELD2</stp>
        <stp>3</stp>
        <stp>000660</stp>
        <stp>12/31/2018</stp>
        <stp>2019-11-29</stp>
        <tr r="Q3496" s="1"/>
      </tp>
      <tp>
        <v>0.71985602879424115</v>
        <stp/>
        <stp>EM_S_VAL_DIVIDENDYIELD2</stp>
        <stp>3</stp>
        <stp>300650</stp>
        <stp>12/31/2018</stp>
        <stp>2019-11-29</stp>
        <tr r="Q1066" s="1"/>
      </tp>
      <tp>
        <v>0.94693233379364739</v>
        <stp/>
        <stp>EM_S_VAL_DIVIDENDYIELD2</stp>
        <stp>3</stp>
        <stp>600600</stp>
        <stp>12/31/2018</stp>
        <stp>2019-11-29</stp>
        <tr r="Q615" s="1"/>
      </tp>
      <tp>
        <v>0</v>
        <stp/>
        <stp>EM_S_VAL_DIVIDENDYIELD2</stp>
        <stp>3</stp>
        <stp>000670</stp>
        <stp>12/31/2018</stp>
        <stp>2019-11-29</stp>
        <tr r="Q3502" s="1"/>
      </tp>
      <tp>
        <v>1.8390804597701149</v>
        <stp/>
        <stp>EM_S_VAL_DIVIDENDYIELD2</stp>
        <stp>3</stp>
        <stp>300640</stp>
        <stp>12/31/2018</stp>
        <stp>2019-11-29</stp>
        <tr r="Q2861" s="1"/>
      </tp>
      <tp>
        <v>0</v>
        <stp/>
        <stp>EM_S_VAL_DIVIDENDYIELD2</stp>
        <stp>3</stp>
        <stp>600610</stp>
        <stp>12/31/2018</stp>
        <stp>2019-11-29</stp>
        <tr r="Q203" s="1"/>
      </tp>
      <tp>
        <v>0</v>
        <stp/>
        <stp>EM_S_VAL_DIVIDENDYIELD2</stp>
        <stp>3</stp>
        <stp>300670</stp>
        <stp>12/31/2018</stp>
        <stp>2019-11-29</stp>
        <tr r="Q3362" s="1"/>
      </tp>
      <tp>
        <v>0.5</v>
        <stp/>
        <stp>EM_S_VAL_DIVIDENDYIELD2</stp>
        <stp>3</stp>
        <stp>600620</stp>
        <stp>12/31/2018</stp>
        <stp>2019-11-29</stp>
        <tr r="Q1374" s="1"/>
      </tp>
      <tp>
        <v>1.6891891891891893</v>
        <stp/>
        <stp>EM_S_VAL_DIVIDENDYIELD2</stp>
        <stp>3</stp>
        <stp>000650</stp>
        <stp>12/31/2018</stp>
        <stp>2019-11-29</stp>
        <tr r="Q1616" s="1"/>
      </tp>
      <tp>
        <v>1.9175455417066156</v>
        <stp/>
        <stp>EM_S_VAL_DIVIDENDYIELD2</stp>
        <stp>3</stp>
        <stp>300660</stp>
        <stp>12/31/2018</stp>
        <stp>2019-11-29</stp>
        <tr r="Q2965" s="1"/>
      </tp>
      <tp>
        <v>0</v>
        <stp/>
        <stp>EM_S_VAL_DIVIDENDYIELD2</stp>
        <stp>3</stp>
        <stp>600630</stp>
        <stp>12/31/2018</stp>
        <stp>2019-11-29</stp>
        <tr r="Q2003" s="1"/>
      </tp>
      <tp>
        <v>1.9570004345936549</v>
        <stp/>
        <stp>EM_S_VAL_DIVIDENDYIELD2</stp>
        <stp>3</stp>
        <stp>300690</stp>
        <stp>12/31/2018</stp>
        <stp>2019-11-29</stp>
        <tr r="Q735" s="1"/>
      </tp>
      <tp>
        <v>0.53163211057947901</v>
        <stp/>
        <stp>EM_S_VAL_DIVIDENDYIELD2</stp>
        <stp>3</stp>
        <stp>300680</stp>
        <stp>12/31/2018</stp>
        <stp>2019-11-29</stp>
        <tr r="Q910" s="1"/>
      </tp>
      <tp>
        <v>0.59171597633136097</v>
        <stp/>
        <stp>EM_S_VAL_DIVIDENDYIELD2</stp>
        <stp>3</stp>
        <stp>000680</stp>
        <stp>12/31/2018</stp>
        <stp>2019-11-29</stp>
        <tr r="Q1767" s="1"/>
      </tp>
      <tp>
        <v>1.7452006980802792</v>
        <stp/>
        <stp>EM_S_VAL_DIVIDENDYIELD2</stp>
        <stp>3</stp>
        <stp>000690</stp>
        <stp>12/31/2018</stp>
        <stp>2019-11-29</stp>
        <tr r="Q2957" s="1"/>
      </tp>
      <tp>
        <v>0</v>
        <stp/>
        <stp>EM_S_VAL_DIVIDENDYIELD2</stp>
        <stp>3</stp>
        <stp>600680</stp>
        <stp>12/31/2018</stp>
        <stp>2019-11-29</stp>
        <tr r="Q2316" s="1"/>
      </tp>
      <tp>
        <v>2.0418964764507104</v>
        <stp/>
        <stp>EM_S_VAL_DIVIDENDYIELD2</stp>
        <stp>3</stp>
        <stp>600690</stp>
        <stp>12/31/2018</stp>
        <stp>2019-11-29</stp>
        <tr r="Q748" s="1"/>
      </tp>
      <tp>
        <v>0</v>
        <stp/>
        <stp>EM_S_VAL_DIVIDENDYIELD2</stp>
        <stp>3</stp>
        <stp>000720</stp>
        <stp>12/31/2018</stp>
        <stp>2019-11-29</stp>
        <tr r="Q432" s="1"/>
      </tp>
      <tp>
        <v>0.1511144692104269</v>
        <stp/>
        <stp>EM_S_VAL_DIVIDENDYIELD2</stp>
        <stp>3</stp>
        <stp>300710</stp>
        <stp>12/31/2018</stp>
        <stp>2019-11-29</stp>
        <tr r="Q1068" s="1"/>
      </tp>
      <tp>
        <v>2.8901734104046244</v>
        <stp/>
        <stp>EM_S_VAL_DIVIDENDYIELD2</stp>
        <stp>3</stp>
        <stp>600740</stp>
        <stp>12/31/2018</stp>
        <stp>2019-11-29</stp>
        <tr r="Q2680" s="1"/>
      </tp>
      <tp>
        <v>0</v>
        <stp/>
        <stp>EM_S_VAL_DIVIDENDYIELD2</stp>
        <stp>3</stp>
        <stp>000730</stp>
        <stp>12/31/2018</stp>
        <stp>2019-11-29</stp>
        <tr r="Q2278" s="1"/>
      </tp>
      <tp>
        <v>0.49126482543839256</v>
        <stp/>
        <stp>EM_S_VAL_DIVIDENDYIELD2</stp>
        <stp>3</stp>
        <stp>300700</stp>
        <stp>12/31/2018</stp>
        <stp>2019-11-29</stp>
        <tr r="Q3042" s="1"/>
      </tp>
      <tp>
        <v>2.2969647251845777</v>
        <stp/>
        <stp>EM_S_VAL_DIVIDENDYIELD2</stp>
        <stp>3</stp>
        <stp>600750</stp>
        <stp>12/31/2018</stp>
        <stp>2019-11-29</stp>
        <tr r="Q3185" s="1"/>
      </tp>
      <tp>
        <v>3.3854161305214432</v>
        <stp/>
        <stp>EM_S_VAL_DIVIDENDYIELD2</stp>
        <stp>3</stp>
        <stp>000700</stp>
        <stp>12/31/2018</stp>
        <stp>2019-11-29</stp>
        <tr r="Q854" s="1"/>
      </tp>
      <tp>
        <v>0.44378698224852065</v>
        <stp/>
        <stp>EM_S_VAL_DIVIDENDYIELD2</stp>
        <stp>3</stp>
        <stp>300730</stp>
        <stp>12/31/2018</stp>
        <stp>2019-11-29</stp>
        <tr r="Q3065" s="1"/>
      </tp>
      <tp>
        <v>0</v>
        <stp/>
        <stp>EM_S_VAL_DIVIDENDYIELD2</stp>
        <stp>3</stp>
        <stp>600760</stp>
        <stp>12/31/2018</stp>
        <stp>2019-11-29</stp>
        <tr r="Q1639" s="1"/>
      </tp>
      <tp>
        <v>0</v>
        <stp/>
        <stp>EM_S_VAL_DIVIDENDYIELD2</stp>
        <stp>3</stp>
        <stp>000710</stp>
        <stp>12/31/2018</stp>
        <stp>2019-11-29</stp>
        <tr r="Q1684" s="1"/>
      </tp>
      <tp>
        <v>1.4214641080312722</v>
        <stp/>
        <stp>EM_S_VAL_DIVIDENDYIELD2</stp>
        <stp>3</stp>
        <stp>300720</stp>
        <stp>12/31/2018</stp>
        <stp>2019-11-29</stp>
        <tr r="Q3311" s="1"/>
      </tp>
      <tp>
        <v>0</v>
        <stp/>
        <stp>EM_S_VAL_DIVIDENDYIELD2</stp>
        <stp>3</stp>
        <stp>600770</stp>
        <stp>12/31/2018</stp>
        <stp>2019-11-29</stp>
        <tr r="Q1467" s="1"/>
      </tp>
      <tp>
        <v>0</v>
        <stp/>
        <stp>EM_S_VAL_DIVIDENDYIELD2</stp>
        <stp>3</stp>
        <stp>000760</stp>
        <stp>12/31/2018</stp>
        <stp>2019-11-29</stp>
        <tr r="Q3530" s="1"/>
      </tp>
      <tp>
        <v>0.16146834415553787</v>
        <stp/>
        <stp>EM_S_VAL_DIVIDENDYIELD2</stp>
        <stp>3</stp>
        <stp>300750</stp>
        <stp>12/31/2018</stp>
        <stp>2019-11-29</stp>
        <tr r="Q579" s="1"/>
      </tp>
      <tp>
        <v>0</v>
        <stp/>
        <stp>EM_S_VAL_DIVIDENDYIELD2</stp>
        <stp>3</stp>
        <stp>600700</stp>
        <stp>12/31/2018</stp>
        <stp>2019-11-29</stp>
        <tr r="Q2317" s="1"/>
      </tp>
      <tp>
        <v>0</v>
        <stp/>
        <stp>EM_S_VAL_DIVIDENDYIELD2</stp>
        <stp>3</stp>
        <stp>300740</stp>
        <stp>12/31/2018</stp>
        <stp>2019-11-29</stp>
        <tr r="Q3353" s="1"/>
      </tp>
      <tp>
        <v>1.988636363636364</v>
        <stp/>
        <stp>EM_S_VAL_DIVIDENDYIELD2</stp>
        <stp>3</stp>
        <stp>600710</stp>
        <stp>12/31/2018</stp>
        <stp>2019-11-29</stp>
        <tr r="Q584" s="1"/>
      </tp>
      <tp>
        <v>2.7663551401869162</v>
        <stp/>
        <stp>EM_S_VAL_DIVIDENDYIELD2</stp>
        <stp>3</stp>
        <stp>600720</stp>
        <stp>12/31/2018</stp>
        <stp>2019-11-29</stp>
        <tr r="Q201" s="1"/>
      </tp>
      <tp>
        <v>0.43196544276457877</v>
        <stp/>
        <stp>EM_S_VAL_DIVIDENDYIELD2</stp>
        <stp>3</stp>
        <stp>000750</stp>
        <stp>12/31/2018</stp>
        <stp>2019-11-29</stp>
        <tr r="Q3526" s="1"/>
      </tp>
      <tp>
        <v>0.95444685466377444</v>
        <stp/>
        <stp>EM_S_VAL_DIVIDENDYIELD2</stp>
        <stp>3</stp>
        <stp>600730</stp>
        <stp>12/31/2018</stp>
        <stp>2019-11-29</stp>
        <tr r="Q2242" s="1"/>
      </tp>
      <tp>
        <v>6.8027210884353746</v>
        <stp/>
        <stp>EM_S_VAL_DIVIDENDYIELD2</stp>
        <stp>3</stp>
        <stp>000780</stp>
        <stp>12/31/2018</stp>
        <stp>2019-11-29</stp>
        <tr r="Q3536" s="1"/>
      </tp>
      <tp>
        <v>0.65245759089177213</v>
        <stp/>
        <stp>EM_S_VAL_DIVIDENDYIELD2</stp>
        <stp>3</stp>
        <stp>000790</stp>
        <stp>12/31/2018</stp>
        <stp>2019-11-29</stp>
        <tr r="Q1849" s="1"/>
      </tp>
      <tp>
        <v>0</v>
        <stp/>
        <stp>EM_S_VAL_DIVIDENDYIELD2</stp>
        <stp>3</stp>
        <stp>600780</stp>
        <stp>12/31/2018</stp>
        <stp>2019-11-29</stp>
        <tr r="Q1853" s="1"/>
      </tp>
      <tp>
        <v>5.48780487804878</v>
        <stp/>
        <stp>EM_S_VAL_DIVIDENDYIELD2</stp>
        <stp>3</stp>
        <stp>600790</stp>
        <stp>12/31/2018</stp>
        <stp>2019-11-29</stp>
        <tr r="Q2647" s="1"/>
      </tp>
      <tp>
        <v>0</v>
        <stp/>
        <stp>EM_S_VAL_DIVIDENDYIELD2</stp>
        <stp>3</stp>
        <stp>000420</stp>
        <stp>12/31/2018</stp>
        <stp>2019-11-29</stp>
        <tr r="Q1603" s="1"/>
      </tp>
      <tp>
        <v>3.0498153976428291</v>
        <stp/>
        <stp>EM_S_VAL_DIVIDENDYIELD2</stp>
        <stp>3</stp>
        <stp>300410</stp>
        <stp>12/31/2018</stp>
        <stp>2019-11-29</stp>
        <tr r="Q3396" s="1"/>
      </tp>
      <tp>
        <v>0</v>
        <stp/>
        <stp>EM_S_VAL_DIVIDENDYIELD2</stp>
        <stp>3</stp>
        <stp>000430</stp>
        <stp>12/31/2018</stp>
        <stp>2019-11-29</stp>
        <tr r="Q3426" s="1"/>
      </tp>
      <tp>
        <v>0</v>
        <stp/>
        <stp>EM_S_VAL_DIVIDENDYIELD2</stp>
        <stp>3</stp>
        <stp>300400</stp>
        <stp>12/31/2018</stp>
        <stp>2019-11-29</stp>
        <tr r="Q2511" s="1"/>
      </tp>
      <tp>
        <v>0.49535603715170284</v>
        <stp/>
        <stp>EM_S_VAL_DIVIDENDYIELD2</stp>
        <stp>3</stp>
        <stp>000400</stp>
        <stp>12/31/2018</stp>
        <stp>2019-11-29</stp>
        <tr r="Q3414" s="1"/>
      </tp>
      <tp>
        <v>0</v>
        <stp/>
        <stp>EM_S_VAL_DIVIDENDYIELD2</stp>
        <stp>3</stp>
        <stp>300430</stp>
        <stp>12/31/2018</stp>
        <stp>2019-11-29</stp>
        <tr r="Q2455" s="1"/>
      </tp>
      <tp>
        <v>0.27341079972658922</v>
        <stp/>
        <stp>EM_S_VAL_DIVIDENDYIELD2</stp>
        <stp>3</stp>
        <stp>600460</stp>
        <stp>12/31/2018</stp>
        <stp>2019-11-29</stp>
        <tr r="Q200" s="1"/>
      </tp>
      <tp>
        <v>0</v>
        <stp/>
        <stp>EM_S_VAL_DIVIDENDYIELD2</stp>
        <stp>3</stp>
        <stp>000410</stp>
        <stp>12/31/2018</stp>
        <stp>2019-11-29</stp>
        <tr r="Q3419" s="1"/>
      </tp>
      <tp>
        <v>0.68518518518518523</v>
        <stp/>
        <stp>EM_S_VAL_DIVIDENDYIELD2</stp>
        <stp>3</stp>
        <stp>300420</stp>
        <stp>12/31/2018</stp>
        <stp>2019-11-29</stp>
        <tr r="Q1747" s="1"/>
      </tp>
      <tp>
        <v>0</v>
        <stp/>
        <stp>EM_S_VAL_DIVIDENDYIELD2</stp>
        <stp>3</stp>
        <stp>600470</stp>
        <stp>12/31/2018</stp>
        <stp>2019-11-29</stp>
        <tr r="Q1540" s="1"/>
      </tp>
      <tp>
        <v>0.74091961994186151</v>
        <stp/>
        <stp>EM_S_VAL_DIVIDENDYIELD2</stp>
        <stp>3</stp>
        <stp>300450</stp>
        <stp>12/31/2018</stp>
        <stp>2019-11-29</stp>
        <tr r="Q468" s="1"/>
      </tp>
      <tp>
        <v>1.5384615384615385</v>
        <stp/>
        <stp>EM_S_VAL_DIVIDENDYIELD2</stp>
        <stp>3</stp>
        <stp>600400</stp>
        <stp>12/31/2018</stp>
        <stp>2019-11-29</stp>
        <tr r="Q2812" s="1"/>
      </tp>
      <tp>
        <v>0.63270201342281873</v>
        <stp/>
        <stp>EM_S_VAL_DIVIDENDYIELD2</stp>
        <stp>3</stp>
        <stp>300440</stp>
        <stp>12/31/2018</stp>
        <stp>2019-11-29</stp>
        <tr r="Q675" s="1"/>
      </tp>
      <tp>
        <v>0</v>
        <stp/>
        <stp>EM_S_VAL_DIVIDENDYIELD2</stp>
        <stp>3</stp>
        <stp>600410</stp>
        <stp>12/31/2018</stp>
        <stp>2019-11-29</stp>
        <tr r="Q272" s="1"/>
      </tp>
      <tp>
        <v>0.69958847736625507</v>
        <stp/>
        <stp>EM_S_VAL_DIVIDENDYIELD2</stp>
        <stp>3</stp>
        <stp>300470</stp>
        <stp>12/31/2018</stp>
        <stp>2019-11-29</stp>
        <tr r="Q1244" s="1"/>
      </tp>
      <tp>
        <v>1.2171853540249782</v>
        <stp/>
        <stp>EM_S_VAL_DIVIDENDYIELD2</stp>
        <stp>3</stp>
        <stp>600420</stp>
        <stp>12/31/2018</stp>
        <stp>2019-11-29</stp>
        <tr r="Q2530" s="1"/>
      </tp>
      <tp>
        <v>0</v>
        <stp/>
        <stp>EM_S_VAL_DIVIDENDYIELD2</stp>
        <stp>3</stp>
        <stp>300460</stp>
        <stp>12/31/2018</stp>
        <stp>2019-11-29</stp>
        <tr r="Q170" s="1"/>
      </tp>
      <tp>
        <v>0.46663489209305536</v>
        <stp/>
        <stp>EM_S_VAL_DIVIDENDYIELD2</stp>
        <stp>3</stp>
        <stp>300490</stp>
        <stp>12/31/2018</stp>
        <stp>2019-11-29</stp>
        <tr r="Q2910" s="1"/>
      </tp>
      <tp>
        <v>0.34036759700476515</v>
        <stp/>
        <stp>EM_S_VAL_DIVIDENDYIELD2</stp>
        <stp>3</stp>
        <stp>300480</stp>
        <stp>12/31/2018</stp>
        <stp>2019-11-29</stp>
        <tr r="Q213" s="1"/>
      </tp>
      <tp>
        <v>0</v>
        <stp/>
        <stp>EM_S_VAL_DIVIDENDYIELD2</stp>
        <stp>3</stp>
        <stp>600480</stp>
        <stp>12/31/2018</stp>
        <stp>2019-11-29</stp>
        <tr r="Q2408" s="1"/>
      </tp>
      <tp>
        <v>0</v>
        <stp/>
        <stp>EM_S_VAL_DIVIDENDYIELD2</stp>
        <stp>3</stp>
        <stp>600490</stp>
        <stp>12/31/2018</stp>
        <stp>2019-11-29</stp>
        <tr r="Q2114" s="1"/>
      </tp>
      <tp>
        <v>0</v>
        <stp/>
        <stp>EM_S_VAL_DIVIDENDYIELD2</stp>
        <stp>3</stp>
        <stp>000520</stp>
        <stp>12/31/2018</stp>
        <stp>2019-11-29</stp>
        <tr r="Q641" s="1"/>
      </tp>
      <tp>
        <v>0.55602583941913353</v>
        <stp/>
        <stp>EM_S_VAL_DIVIDENDYIELD2</stp>
        <stp>3</stp>
        <stp>300510</stp>
        <stp>12/31/2018</stp>
        <stp>2019-11-29</stp>
        <tr r="Q3188" s="1"/>
      </tp>
      <tp>
        <v>0</v>
        <stp/>
        <stp>EM_S_VAL_DIVIDENDYIELD2</stp>
        <stp>3</stp>
        <stp>600540</stp>
        <stp>12/31/2018</stp>
        <stp>2019-11-29</stp>
        <tr r="Q1667" s="1"/>
      </tp>
      <tp>
        <v>1.3900699289484124</v>
        <stp/>
        <stp>EM_S_VAL_DIVIDENDYIELD2</stp>
        <stp>3</stp>
        <stp>000530</stp>
        <stp>12/31/2018</stp>
        <stp>2019-11-29</stp>
        <tr r="Q3444" s="1"/>
      </tp>
      <tp>
        <v>0.91644727155116268</v>
        <stp/>
        <stp>EM_S_VAL_DIVIDENDYIELD2</stp>
        <stp>3</stp>
        <stp>300500</stp>
        <stp>12/31/2018</stp>
        <stp>2019-11-29</stp>
        <tr r="Q3235" s="1"/>
      </tp>
      <tp>
        <v>0</v>
        <stp/>
        <stp>EM_S_VAL_DIVIDENDYIELD2</stp>
        <stp>3</stp>
        <stp>600550</stp>
        <stp>12/31/2018</stp>
        <stp>2019-11-29</stp>
        <tr r="Q2983" s="1"/>
      </tp>
      <tp>
        <v>0.34100011442956857</v>
        <stp/>
        <stp>EM_S_VAL_DIVIDENDYIELD2</stp>
        <stp>3</stp>
        <stp>300530</stp>
        <stp>12/31/2018</stp>
        <stp>2019-11-29</stp>
        <tr r="Q1349" s="1"/>
      </tp>
      <tp>
        <v>0.35626535626535627</v>
        <stp/>
        <stp>EM_S_VAL_DIVIDENDYIELD2</stp>
        <stp>3</stp>
        <stp>600560</stp>
        <stp>12/31/2018</stp>
        <stp>2019-11-29</stp>
        <tr r="Q1883" s="1"/>
      </tp>
      <tp>
        <v>0</v>
        <stp/>
        <stp>EM_S_VAL_DIVIDENDYIELD2</stp>
        <stp>3</stp>
        <stp>000510</stp>
        <stp>12/31/2018</stp>
        <stp>2019-11-29</stp>
        <tr r="Q1993" s="1"/>
      </tp>
      <tp>
        <v>0.15006002400960386</v>
        <stp/>
        <stp>EM_S_VAL_DIVIDENDYIELD2</stp>
        <stp>3</stp>
        <stp>300520</stp>
        <stp>12/31/2018</stp>
        <stp>2019-11-29</stp>
        <tr r="Q1078" s="1"/>
      </tp>
      <tp>
        <v>0.33807697590145053</v>
        <stp/>
        <stp>EM_S_VAL_DIVIDENDYIELD2</stp>
        <stp>3</stp>
        <stp>600570</stp>
        <stp>12/31/2018</stp>
        <stp>2019-11-29</stp>
        <tr r="Q583" s="1"/>
      </tp>
      <tp>
        <v>1.5981735159817352</v>
        <stp/>
        <stp>EM_S_VAL_DIVIDENDYIELD2</stp>
        <stp>3</stp>
        <stp>000560</stp>
        <stp>12/31/2018</stp>
        <stp>2019-11-29</stp>
        <tr r="Q2688" s="1"/>
      </tp>
      <tp>
        <v>0.19974432726110578</v>
        <stp/>
        <stp>EM_S_VAL_DIVIDENDYIELD2</stp>
        <stp>3</stp>
        <stp>300550</stp>
        <stp>12/31/2018</stp>
        <stp>2019-11-29</stp>
        <tr r="Q3349" s="1"/>
      </tp>
      <tp>
        <v>2.29392873553476</v>
        <stp/>
        <stp>EM_S_VAL_DIVIDENDYIELD2</stp>
        <stp>3</stp>
        <stp>600500</stp>
        <stp>12/31/2018</stp>
        <stp>2019-11-29</stp>
        <tr r="Q3109" s="1"/>
      </tp>
      <tp>
        <v>0.57603686635944706</v>
        <stp/>
        <stp>EM_S_VAL_DIVIDENDYIELD2</stp>
        <stp>3</stp>
        <stp>000570</stp>
        <stp>12/31/2018</stp>
        <stp>2019-11-29</stp>
        <tr r="Q3461" s="1"/>
      </tp>
      <tp>
        <v>0</v>
        <stp/>
        <stp>EM_S_VAL_DIVIDENDYIELD2</stp>
        <stp>3</stp>
        <stp>300540</stp>
        <stp>12/31/2018</stp>
        <stp>2019-11-29</stp>
        <tr r="Q1366" s="1"/>
      </tp>
      <tp>
        <v>3.1655844155844153</v>
        <stp/>
        <stp>EM_S_VAL_DIVIDENDYIELD2</stp>
        <stp>3</stp>
        <stp>600510</stp>
        <stp>12/31/2018</stp>
        <stp>2019-11-29</stp>
        <tr r="Q1618" s="1"/>
      </tp>
      <tp>
        <v>1.634758957654723</v>
        <stp/>
        <stp>EM_S_VAL_DIVIDENDYIELD2</stp>
        <stp>3</stp>
        <stp>000540</stp>
        <stp>12/31/2018</stp>
        <stp>2019-11-29</stp>
        <tr r="Q3448" s="1"/>
      </tp>
      <tp>
        <v>1.5</v>
        <stp/>
        <stp>EM_S_VAL_DIVIDENDYIELD2</stp>
        <stp>3</stp>
        <stp>300570</stp>
        <stp>12/31/2018</stp>
        <stp>2019-11-29</stp>
        <tr r="Q674" s="1"/>
      </tp>
      <tp>
        <v>0</v>
        <stp/>
        <stp>EM_S_VAL_DIVIDENDYIELD2</stp>
        <stp>3</stp>
        <stp>600520</stp>
        <stp>12/31/2018</stp>
        <stp>2019-11-29</stp>
        <tr r="Q3023" s="1"/>
      </tp>
      <tp>
        <v>0.28109627547434995</v>
        <stp/>
        <stp>EM_S_VAL_DIVIDENDYIELD2</stp>
        <stp>3</stp>
        <stp>000550</stp>
        <stp>12/31/2018</stp>
        <stp>2019-11-29</stp>
        <tr r="Q3452" s="1"/>
      </tp>
      <tp>
        <v>0.3299776286353468</v>
        <stp/>
        <stp>EM_S_VAL_DIVIDENDYIELD2</stp>
        <stp>3</stp>
        <stp>300560</stp>
        <stp>12/31/2018</stp>
        <stp>2019-11-29</stp>
        <tr r="Q3115" s="1"/>
      </tp>
      <tp>
        <v>0</v>
        <stp/>
        <stp>EM_S_VAL_DIVIDENDYIELD2</stp>
        <stp>3</stp>
        <stp>600530</stp>
        <stp>12/31/2018</stp>
        <stp>2019-11-29</stp>
        <tr r="Q1765" s="1"/>
      </tp>
      <tp>
        <v>0.73942620526471459</v>
        <stp/>
        <stp>EM_S_VAL_DIVIDENDYIELD2</stp>
        <stp>3</stp>
        <stp>300590</stp>
        <stp>12/31/2018</stp>
        <stp>2019-11-29</stp>
        <tr r="Q609" s="1"/>
      </tp>
      <tp>
        <v>1.1569052783803326</v>
        <stp/>
        <stp>EM_S_VAL_DIVIDENDYIELD2</stp>
        <stp>3</stp>
        <stp>300580</stp>
        <stp>12/31/2018</stp>
        <stp>2019-11-29</stp>
        <tr r="Q1402" s="1"/>
      </tp>
      <tp>
        <v>0</v>
        <stp/>
        <stp>EM_S_VAL_DIVIDENDYIELD2</stp>
        <stp>3</stp>
        <stp>000590</stp>
        <stp>12/31/2018</stp>
        <stp>2019-11-29</stp>
        <tr r="Q3472" s="1"/>
      </tp>
      <tp>
        <v>1.4591439688715953</v>
        <stp/>
        <stp>EM_S_VAL_DIVIDENDYIELD2</stp>
        <stp>3</stp>
        <stp>600580</stp>
        <stp>12/31/2018</stp>
        <stp>2019-11-29</stp>
        <tr r="Q186" s="1"/>
      </tp>
      <tp>
        <v>0</v>
        <stp/>
        <stp>EM_S_VAL_DIVIDENDYIELD2</stp>
        <stp>3</stp>
        <stp>600590</stp>
        <stp>12/31/2018</stp>
        <stp>2019-11-29</stp>
        <tr r="Q1835" s="1"/>
      </tp>
      <tp>
        <v>0</v>
        <stp/>
        <stp>EM_S_VAL_DIVIDENDYIELD2</stp>
        <stp>3</stp>
        <stp>000820</stp>
        <stp>12/31/2018</stp>
        <stp>2019-11-29</stp>
        <tr r="Q3549" s="1"/>
      </tp>
      <tp>
        <v>0</v>
        <stp/>
        <stp>EM_S_VAL_DIVIDENDYIELD2</stp>
        <stp>3</stp>
        <stp>600840</stp>
        <stp>12/31/2018</stp>
        <stp>2019-11-29</stp>
        <tr r="Q2329" s="1"/>
      </tp>
      <tp>
        <v>5.4466230936819171</v>
        <stp/>
        <stp>EM_S_VAL_DIVIDENDYIELD2</stp>
        <stp>3</stp>
        <stp>000830</stp>
        <stp>12/31/2018</stp>
        <stp>2019-11-29</stp>
        <tr r="Q2036" s="1"/>
      </tp>
      <tp>
        <v>1.4935341678645149</v>
        <stp/>
        <stp>EM_S_VAL_DIVIDENDYIELD2</stp>
        <stp>3</stp>
        <stp>600850</stp>
        <stp>12/31/2018</stp>
        <stp>2019-11-29</stp>
        <tr r="Q441" s="1"/>
      </tp>
      <tp>
        <v>0.28544243577545197</v>
        <stp/>
        <stp>EM_S_VAL_DIVIDENDYIELD2</stp>
        <stp>3</stp>
        <stp>000800</stp>
        <stp>12/31/2018</stp>
        <stp>2019-11-29</stp>
        <tr r="Q3542" s="1"/>
      </tp>
      <tp>
        <v>0</v>
        <stp/>
        <stp>EM_S_VAL_DIVIDENDYIELD2</stp>
        <stp>3</stp>
        <stp>600860</stp>
        <stp>12/31/2018</stp>
        <stp>2019-11-29</stp>
        <tr r="Q816" s="1"/>
      </tp>
      <tp>
        <v>0</v>
        <stp/>
        <stp>EM_S_VAL_DIVIDENDYIELD2</stp>
        <stp>3</stp>
        <stp>000810</stp>
        <stp>12/31/2018</stp>
        <stp>2019-11-29</stp>
        <tr r="Q139" s="1"/>
      </tp>
      <tp>
        <v>0</v>
        <stp/>
        <stp>EM_S_VAL_DIVIDENDYIELD2</stp>
        <stp>3</stp>
        <stp>600870</stp>
        <stp>12/31/2018</stp>
        <stp>2019-11-29</stp>
        <tr r="Q2830" s="1"/>
      </tp>
      <tp>
        <v>0.23053869226363163</v>
        <stp/>
        <stp>EM_S_VAL_DIVIDENDYIELD2</stp>
        <stp>3</stp>
        <stp>000860</stp>
        <stp>12/31/2018</stp>
        <stp>2019-11-29</stp>
        <tr r="Q371" s="1"/>
      </tp>
      <tp>
        <v>0</v>
        <stp/>
        <stp>EM_S_VAL_DIVIDENDYIELD2</stp>
        <stp>3</stp>
        <stp>600800</stp>
        <stp>12/31/2018</stp>
        <stp>2019-11-29</stp>
        <tr r="Q1729" s="1"/>
      </tp>
      <tp>
        <v>4.6967957415718606</v>
        <stp/>
        <stp>EM_S_VAL_DIVIDENDYIELD2</stp>
        <stp>3</stp>
        <stp>600810</stp>
        <stp>12/31/2018</stp>
        <stp>2019-11-29</stp>
        <tr r="Q3112" s="1"/>
      </tp>
      <tp>
        <v>3.231292517006803</v>
        <stp/>
        <stp>EM_S_VAL_DIVIDENDYIELD2</stp>
        <stp>3</stp>
        <stp>600820</stp>
        <stp>12/31/2018</stp>
        <stp>2019-11-29</stp>
        <tr r="Q2521" s="1"/>
      </tp>
      <tp>
        <v>1.3297872340425532</v>
        <stp/>
        <stp>EM_S_VAL_DIVIDENDYIELD2</stp>
        <stp>3</stp>
        <stp>000850</stp>
        <stp>12/31/2018</stp>
        <stp>2019-11-29</stp>
        <tr r="Q1049" s="1"/>
      </tp>
      <tp>
        <v>1.1928429423459246</v>
        <stp/>
        <stp>EM_S_VAL_DIVIDENDYIELD2</stp>
        <stp>3</stp>
        <stp>600830</stp>
        <stp>12/31/2018</stp>
        <stp>2019-11-29</stp>
        <tr r="Q1448" s="1"/>
      </tp>
      <tp>
        <v>0.2743484224965706</v>
        <stp/>
        <stp>EM_S_VAL_DIVIDENDYIELD2</stp>
        <stp>3</stp>
        <stp>000880</stp>
        <stp>12/31/2018</stp>
        <stp>2019-11-29</stp>
        <tr r="Q1865" s="1"/>
      </tp>
      <tp>
        <v>0</v>
        <stp/>
        <stp>EM_S_VAL_DIVIDENDYIELD2</stp>
        <stp>3</stp>
        <stp>000890</stp>
        <stp>12/31/2018</stp>
        <stp>2019-11-29</stp>
        <tr r="Q3564" s="1"/>
      </tp>
      <tp>
        <v>0</v>
        <stp/>
        <stp>EM_S_VAL_DIVIDENDYIELD2</stp>
        <stp>3</stp>
        <stp>600880</stp>
        <stp>12/31/2018</stp>
        <stp>2019-11-29</stp>
        <tr r="Q1852" s="1"/>
      </tp>
      <tp>
        <v>0</v>
        <stp/>
        <stp>EM_S_VAL_DIVIDENDYIELD2</stp>
        <stp>3</stp>
        <stp>600890</stp>
        <stp>12/31/2018</stp>
        <stp>2019-11-29</stp>
        <tr r="Q3134" s="1"/>
      </tp>
      <tp>
        <v>0.46511627906976744</v>
        <stp/>
        <stp>EM_S_VAL_DIVIDENDYIELD2</stp>
        <stp>3</stp>
        <stp>000920</stp>
        <stp>12/31/2018</stp>
        <stp>2019-11-29</stp>
        <tr r="Q969" s="1"/>
      </tp>
      <tp>
        <v>0.39370078740157477</v>
        <stp/>
        <stp>EM_S_VAL_DIVIDENDYIELD2</stp>
        <stp>3</stp>
        <stp>000930</stp>
        <stp>12/31/2018</stp>
        <stp>2019-11-29</stp>
        <tr r="Q2797" s="1"/>
      </tp>
      <tp>
        <v>3.6057692307692313</v>
        <stp/>
        <stp>EM_S_VAL_DIVIDENDYIELD2</stp>
        <stp>3</stp>
        <stp>000900</stp>
        <stp>12/31/2018</stp>
        <stp>2019-11-29</stp>
        <tr r="Q1632" s="1"/>
      </tp>
      <tp>
        <v>0.49180327868852453</v>
        <stp/>
        <stp>EM_S_VAL_DIVIDENDYIELD2</stp>
        <stp>3</stp>
        <stp>600960</stp>
        <stp>12/31/2018</stp>
        <stp>2019-11-29</stp>
        <tr r="Q2720" s="1"/>
      </tp>
      <tp>
        <v>1.0644263870990092</v>
        <stp/>
        <stp>EM_S_VAL_DIVIDENDYIELD2</stp>
        <stp>3</stp>
        <stp>000910</stp>
        <stp>12/31/2018</stp>
        <stp>2019-11-29</stp>
        <tr r="Q880" s="1"/>
      </tp>
      <tp>
        <v>4.2604501607717049</v>
        <stp/>
        <stp>EM_S_VAL_DIVIDENDYIELD2</stp>
        <stp>3</stp>
        <stp>600970</stp>
        <stp>12/31/2018</stp>
        <stp>2019-11-29</stp>
        <tr r="Q1048" s="1"/>
      </tp>
      <tp>
        <v>0</v>
        <stp/>
        <stp>EM_S_VAL_DIVIDENDYIELD2</stp>
        <stp>3</stp>
        <stp>000960</stp>
        <stp>12/31/2018</stp>
        <stp>2019-11-29</stp>
        <tr r="Q1651" s="1"/>
      </tp>
      <tp>
        <v>3.7506894649751787</v>
        <stp/>
        <stp>EM_S_VAL_DIVIDENDYIELD2</stp>
        <stp>3</stp>
        <stp>600900</stp>
        <stp>12/31/2018</stp>
        <stp>2019-11-29</stp>
        <tr r="Q1447" s="1"/>
      </tp>
      <tp>
        <v>1.0044642857142858</v>
        <stp/>
        <stp>EM_S_VAL_DIVIDENDYIELD2</stp>
        <stp>3</stp>
        <stp>000970</stp>
        <stp>12/31/2018</stp>
        <stp>2019-11-29</stp>
        <tr r="Q573" s="1"/>
      </tp>
      <tp>
        <v>0</v>
        <stp/>
        <stp>EM_S_VAL_DIVIDENDYIELD2</stp>
        <stp>3</stp>
        <stp>000950</stp>
        <stp>12/31/2018</stp>
        <stp>2019-11-29</stp>
        <tr r="Q1579" s="1"/>
      </tp>
      <tp>
        <v>0</v>
        <stp/>
        <stp>EM_S_VAL_DIVIDENDYIELD2</stp>
        <stp>3</stp>
        <stp>000980</stp>
        <stp>12/31/2018</stp>
        <stp>2019-11-29</stp>
        <tr r="Q3593" s="1"/>
      </tp>
      <tp>
        <v>0</v>
        <stp/>
        <stp>EM_S_VAL_DIVIDENDYIELD2</stp>
        <stp>3</stp>
        <stp>000990</stp>
        <stp>12/31/2018</stp>
        <stp>2019-11-29</stp>
        <tr r="Q1153" s="1"/>
      </tp>
      <tp>
        <v>0.23510971786833854</v>
        <stp/>
        <stp>EM_S_VAL_DIVIDENDYIELD2</stp>
        <stp>3</stp>
        <stp>600980</stp>
        <stp>12/31/2018</stp>
        <stp>2019-11-29</stp>
        <tr r="Q669" s="1"/>
      </tp>
      <tp>
        <v>0.40669856459330139</v>
        <stp/>
        <stp>EM_S_VAL_DIVIDENDYIELD2</stp>
        <stp>3</stp>
        <stp>600990</stp>
        <stp>12/31/2018</stp>
        <stp>2019-11-29</stp>
        <tr r="Q934" s="1"/>
      </tp>
      <tp>
        <v>0.6020682817581362</v>
        <stp/>
        <stp>EM_S_VAL_DIVIDENDYIELD2</stp>
        <stp>3</stp>
        <stp>601200</stp>
        <stp>12/31/2018</stp>
        <stp>2019-11-29</stp>
        <tr r="Q2980" s="1"/>
      </tp>
      <tp>
        <v>0.25554484088717455</v>
        <stp/>
        <stp>EM_S_VAL_DIVIDENDYIELD2</stp>
        <stp>3</stp>
        <stp>601360</stp>
        <stp>12/31/2018</stp>
        <stp>2019-11-29</stp>
        <tr r="Q1479" s="1"/>
      </tp>
      <tp>
        <v>0.95877277085330781</v>
        <stp/>
        <stp>EM_S_VAL_DIVIDENDYIELD2</stp>
        <stp>3</stp>
        <stp>601330</stp>
        <stp>12/31/2018</stp>
        <stp>2019-11-29</stp>
        <tr r="Q2943" s="1"/>
      </tp>
      <tp>
        <v>2.0733957452712128</v>
        <stp/>
        <stp>EM_S_VAL_DIVIDENDYIELD2</stp>
        <stp>3</stp>
        <stp>601390</stp>
        <stp>12/31/2018</stp>
        <stp>2019-11-29</stp>
        <tr r="Q2944" s="1"/>
      </tp>
      <tp>
        <v>2.7667984189723316</v>
        <stp/>
        <stp>EM_S_VAL_DIVIDENDYIELD2</stp>
        <stp>3</stp>
        <stp>601000</stp>
        <stp>12/31/2018</stp>
        <stp>2019-11-29</stp>
        <tr r="Q1833" s="1"/>
      </tp>
      <tp>
        <v>1.3605442176870748</v>
        <stp/>
        <stp>EM_S_VAL_DIVIDENDYIELD2</stp>
        <stp>3</stp>
        <stp>601010</stp>
        <stp>12/31/2018</stp>
        <stp>2019-11-29</stp>
        <tr r="Q1981" s="1"/>
      </tp>
      <tp>
        <v>1.0404624277456647</v>
        <stp/>
        <stp>EM_S_VAL_DIVIDENDYIELD2</stp>
        <stp>3</stp>
        <stp>601020</stp>
        <stp>12/31/2018</stp>
        <stp>2019-11-29</stp>
        <tr r="Q1826" s="1"/>
      </tp>
      <tp>
        <v>0.68775790921595592</v>
        <stp/>
        <stp>EM_S_VAL_DIVIDENDYIELD2</stp>
        <stp>3</stp>
        <stp>601100</stp>
        <stp>12/31/2018</stp>
        <stp>2019-11-29</stp>
        <tr r="Q79" s="1"/>
      </tp>
      <tp>
        <v>0</v>
        <stp/>
        <stp>EM_S_VAL_DIVIDENDYIELD2</stp>
        <stp>3</stp>
        <stp>601600</stp>
        <stp>12/31/2018</stp>
        <stp>2019-11-29</stp>
        <tr r="Q2346" s="1"/>
      </tp>
      <tp>
        <v>3.5225048923679059</v>
        <stp/>
        <stp>EM_S_VAL_DIVIDENDYIELD2</stp>
        <stp>3</stp>
        <stp>601700</stp>
        <stp>12/31/2018</stp>
        <stp>2019-11-29</stp>
        <tr r="Q297" s="1"/>
      </tp>
      <tp>
        <v>1.3722126929674101</v>
        <stp/>
        <stp>EM_S_VAL_DIVIDENDYIELD2</stp>
        <stp>3</stp>
        <stp>601500</stp>
        <stp>12/31/2018</stp>
        <stp>2019-11-29</stp>
        <tr r="Q2436" s="1"/>
      </tp>
      <tp>
        <v>2.564111111111111</v>
        <stp/>
        <stp>EM_S_VAL_DIVIDENDYIELD2</stp>
        <stp>3</stp>
        <stp>601800</stp>
        <stp>12/31/2018</stp>
        <stp>2019-11-29</stp>
        <tr r="Q3086" s="1"/>
      </tp>
      <tp>
        <v>0.95</v>
        <stp/>
        <stp>EM_S_VAL_DIVIDENDYIELD2</stp>
        <stp>3</stp>
        <stp>601880</stp>
        <stp>12/31/2018</stp>
        <stp>2019-11-29</stp>
        <tr r="Q1781" s="1"/>
      </tp>
      <tp>
        <v>0</v>
        <stp/>
        <stp>EM_S_VAL_DIVIDENDYIELD2</stp>
        <stp>3</stp>
        <stp>601890</stp>
        <stp>12/31/2018</stp>
        <stp>2019-11-29</stp>
        <tr r="Q410" s="1"/>
      </tp>
      <tp>
        <v>2.5142857142857147</v>
        <stp/>
        <stp>EM_S_VAL_DIVIDENDYIELD2</stp>
        <stp>3</stp>
        <stp>601900</stp>
        <stp>12/31/2018</stp>
        <stp>2019-11-29</stp>
        <tr r="Q1823" s="1"/>
      </tp>
      <tp>
        <v>1.0864841371998528</v>
        <stp/>
        <stp>EM_S_VAL_DIVIDENDYIELD2</stp>
        <stp>3</stp>
        <stp>601990</stp>
        <stp>12/31/2018</stp>
        <stp>2019-11-29</stp>
        <tr r="Q632" s="1"/>
      </tp>
      <tp>
        <v>0.19900497512437809</v>
        <stp/>
        <stp>EM_S_VAL_DIVIDENDYIELD2</stp>
        <stp>3</stp>
        <stp>002227</stp>
        <stp>12/31/2018</stp>
        <stp>2019-11-29</stp>
        <tr r="Q1779" s="1"/>
      </tp>
      <tp>
        <v>0</v>
        <stp/>
        <stp>EM_S_VAL_DIVIDENDYIELD2</stp>
        <stp>3</stp>
        <stp>002237</stp>
        <stp>12/31/2018</stp>
        <stp>2019-11-29</stp>
        <tr r="Q382" s="1"/>
      </tp>
      <tp>
        <v>0</v>
        <stp/>
        <stp>EM_S_VAL_DIVIDENDYIELD2</stp>
        <stp>3</stp>
        <stp>002207</stp>
        <stp>12/31/2018</stp>
        <stp>2019-11-29</stp>
        <tr r="Q968" s="1"/>
      </tp>
      <tp>
        <v>0.90163934426229497</v>
        <stp/>
        <stp>EM_S_VAL_DIVIDENDYIELD2</stp>
        <stp>3</stp>
        <stp>002217</stp>
        <stp>12/31/2018</stp>
        <stp>2019-11-29</stp>
        <tr r="Q1404" s="1"/>
      </tp>
      <tp>
        <v>1.3908205841446453</v>
        <stp/>
        <stp>EM_S_VAL_DIVIDENDYIELD2</stp>
        <stp>3</stp>
        <stp>002267</stp>
        <stp>12/31/2018</stp>
        <stp>2019-11-29</stp>
        <tr r="Q2497" s="1"/>
      </tp>
      <tp>
        <v>1.5923566878980893</v>
        <stp/>
        <stp>EM_S_VAL_DIVIDENDYIELD2</stp>
        <stp>3</stp>
        <stp>002277</stp>
        <stp>12/31/2018</stp>
        <stp>2019-11-29</stp>
        <tr r="Q2034" s="1"/>
      </tp>
      <tp>
        <v>0</v>
        <stp/>
        <stp>EM_S_VAL_DIVIDENDYIELD2</stp>
        <stp>3</stp>
        <stp>002247</stp>
        <stp>12/31/2018</stp>
        <stp>2019-11-29</stp>
        <tr r="Q3301" s="1"/>
      </tp>
      <tp>
        <v>0</v>
        <stp/>
        <stp>EM_S_VAL_DIVIDENDYIELD2</stp>
        <stp>3</stp>
        <stp>002257</stp>
        <stp>12/31/2018</stp>
        <stp>2019-11-29</stp>
        <tr r="Q5" s="1"/>
      </tp>
      <tp>
        <v>1.460399857622884</v>
        <stp/>
        <stp>EM_S_VAL_DIVIDENDYIELD2</stp>
        <stp>3</stp>
        <stp>002287</stp>
        <stp>12/31/2018</stp>
        <stp>2019-11-29</stp>
        <tr r="Q2908" s="1"/>
      </tp>
      <tp>
        <v>0</v>
        <stp/>
        <stp>EM_S_VAL_DIVIDENDYIELD2</stp>
        <stp>3</stp>
        <stp>002297</stp>
        <stp>12/31/2018</stp>
        <stp>2019-11-29</stp>
        <tr r="Q1894" s="1"/>
      </tp>
      <tp>
        <v>7.6452599388379214</v>
        <stp/>
        <stp>EM_S_VAL_DIVIDENDYIELD2</stp>
        <stp>3</stp>
        <stp>002327</stp>
        <stp>12/31/2018</stp>
        <stp>2019-11-29</stp>
        <tr r="Q2672" s="1"/>
      </tp>
      <tp>
        <v>0</v>
        <stp/>
        <stp>EM_S_VAL_DIVIDENDYIELD2</stp>
        <stp>3</stp>
        <stp>002337</stp>
        <stp>12/31/2018</stp>
        <stp>2019-11-29</stp>
        <tr r="Q2558" s="1"/>
      </tp>
      <tp>
        <v>0</v>
        <stp/>
        <stp>EM_S_VAL_DIVIDENDYIELD2</stp>
        <stp>3</stp>
        <stp>002307</stp>
        <stp>12/31/2018</stp>
        <stp>2019-11-29</stp>
        <tr r="Q1740" s="1"/>
      </tp>
      <tp>
        <v>2.0304568527918785</v>
        <stp/>
        <stp>EM_S_VAL_DIVIDENDYIELD2</stp>
        <stp>3</stp>
        <stp>002317</stp>
        <stp>12/31/2018</stp>
        <stp>2019-11-29</stp>
        <tr r="Q653" s="1"/>
      </tp>
      <tp>
        <v>7.4738415545590433</v>
        <stp/>
        <stp>EM_S_VAL_DIVIDENDYIELD2</stp>
        <stp>3</stp>
        <stp>002367</stp>
        <stp>12/31/2018</stp>
        <stp>2019-11-29</stp>
        <tr r="Q773" s="1"/>
      </tp>
      <tp>
        <v>0</v>
        <stp/>
        <stp>EM_S_VAL_DIVIDENDYIELD2</stp>
        <stp>3</stp>
        <stp>002377</stp>
        <stp>12/31/2018</stp>
        <stp>2019-11-29</stp>
        <tr r="Q2493" s="1"/>
      </tp>
      <tp>
        <v>0</v>
        <stp/>
        <stp>EM_S_VAL_DIVIDENDYIELD2</stp>
        <stp>3</stp>
        <stp>002347</stp>
        <stp>12/31/2018</stp>
        <stp>2019-11-29</stp>
        <tr r="Q1192" s="1"/>
      </tp>
      <tp>
        <v>1.7241379310344827</v>
        <stp/>
        <stp>EM_S_VAL_DIVIDENDYIELD2</stp>
        <stp>3</stp>
        <stp>002357</stp>
        <stp>12/31/2018</stp>
        <stp>2019-11-29</stp>
        <tr r="Q1607" s="1"/>
      </tp>
      <tp>
        <v>0</v>
        <stp/>
        <stp>EM_S_VAL_DIVIDENDYIELD2</stp>
        <stp>3</stp>
        <stp>002387</stp>
        <stp>12/31/2018</stp>
        <stp>2019-11-29</stp>
        <tr r="Q135" s="1"/>
      </tp>
      <tp>
        <v>2.9068191154729841</v>
        <stp/>
        <stp>EM_S_VAL_DIVIDENDYIELD2</stp>
        <stp>3</stp>
        <stp>002397</stp>
        <stp>12/31/2018</stp>
        <stp>2019-11-29</stp>
        <tr r="Q1300" s="1"/>
      </tp>
      <tp>
        <v>1.7857142857142856</v>
        <stp/>
        <stp>EM_S_VAL_DIVIDENDYIELD2</stp>
        <stp>3</stp>
        <stp>002027</stp>
        <stp>12/31/2018</stp>
        <stp>2019-11-29</stp>
        <tr r="Q1266" s="1"/>
      </tp>
      <tp>
        <v>1.0703812316715542</v>
        <stp/>
        <stp>EM_S_VAL_DIVIDENDYIELD2</stp>
        <stp>3</stp>
        <stp>002037</stp>
        <stp>12/31/2018</stp>
        <stp>2019-11-29</stp>
        <tr r="Q2964" s="1"/>
      </tp>
      <tp>
        <v>0.79697150826857943</v>
        <stp/>
        <stp>EM_S_VAL_DIVIDENDYIELD2</stp>
        <stp>3</stp>
        <stp>002007</stp>
        <stp>12/31/2018</stp>
        <stp>2019-11-29</stp>
        <tr r="Q2145" s="1"/>
      </tp>
      <tp>
        <v>0.19206145966709345</v>
        <stp/>
        <stp>EM_S_VAL_DIVIDENDYIELD2</stp>
        <stp>3</stp>
        <stp>002017</stp>
        <stp>12/31/2018</stp>
        <stp>2019-11-29</stp>
        <tr r="Q3607" s="1"/>
      </tp>
      <tp>
        <v>0.65359477124183007</v>
        <stp/>
        <stp>EM_S_VAL_DIVIDENDYIELD2</stp>
        <stp>3</stp>
        <stp>002067</stp>
        <stp>12/31/2018</stp>
        <stp>2019-11-29</stp>
        <tr r="Q2531" s="1"/>
      </tp>
      <tp>
        <v>0</v>
        <stp/>
        <stp>EM_S_VAL_DIVIDENDYIELD2</stp>
        <stp>3</stp>
        <stp>002077</stp>
        <stp>12/31/2018</stp>
        <stp>2019-11-29</stp>
        <tr r="Q3627" s="1"/>
      </tp>
      <tp>
        <v>0.36496350364963503</v>
        <stp/>
        <stp>EM_S_VAL_DIVIDENDYIELD2</stp>
        <stp>3</stp>
        <stp>002047</stp>
        <stp>12/31/2018</stp>
        <stp>2019-11-29</stp>
        <tr r="Q3616" s="1"/>
      </tp>
      <tp>
        <v>0.82610491532424613</v>
        <stp/>
        <stp>EM_S_VAL_DIVIDENDYIELD2</stp>
        <stp>3</stp>
        <stp>002057</stp>
        <stp>12/31/2018</stp>
        <stp>2019-11-29</stp>
        <tr r="Q460" s="1"/>
      </tp>
      <tp>
        <v>1.4619883040935673</v>
        <stp/>
        <stp>EM_S_VAL_DIVIDENDYIELD2</stp>
        <stp>3</stp>
        <stp>002087</stp>
        <stp>12/31/2018</stp>
        <stp>2019-11-29</stp>
        <tr r="Q2227" s="1"/>
      </tp>
      <tp>
        <v>1.8050541516245486</v>
        <stp/>
        <stp>EM_S_VAL_DIVIDENDYIELD2</stp>
        <stp>3</stp>
        <stp>002097</stp>
        <stp>12/31/2018</stp>
        <stp>2019-11-29</stp>
        <tr r="Q1946" s="1"/>
      </tp>
      <tp>
        <v>0</v>
        <stp/>
        <stp>EM_S_VAL_DIVIDENDYIELD2</stp>
        <stp>3</stp>
        <stp>002127</stp>
        <stp>12/31/2018</stp>
        <stp>2019-11-29</stp>
        <tr r="Q645" s="1"/>
      </tp>
      <tp>
        <v>0</v>
        <stp/>
        <stp>EM_S_VAL_DIVIDENDYIELD2</stp>
        <stp>3</stp>
        <stp>002137</stp>
        <stp>12/31/2018</stp>
        <stp>2019-11-29</stp>
        <tr r="Q1770" s="1"/>
      </tp>
      <tp>
        <v>0.67294751009421261</v>
        <stp/>
        <stp>EM_S_VAL_DIVIDENDYIELD2</stp>
        <stp>3</stp>
        <stp>002107</stp>
        <stp>12/31/2018</stp>
        <stp>2019-11-29</stp>
        <tr r="Q1136" s="1"/>
      </tp>
      <tp>
        <v>4.1481481481481479</v>
        <stp/>
        <stp>EM_S_VAL_DIVIDENDYIELD2</stp>
        <stp>3</stp>
        <stp>002117</stp>
        <stp>12/31/2018</stp>
        <stp>2019-11-29</stp>
        <tr r="Q2798" s="1"/>
      </tp>
      <tp>
        <v>0</v>
        <stp/>
        <stp>EM_S_VAL_DIVIDENDYIELD2</stp>
        <stp>3</stp>
        <stp>002167</stp>
        <stp>12/31/2018</stp>
        <stp>2019-11-29</stp>
        <tr r="Q860" s="1"/>
      </tp>
      <tp>
        <v>0</v>
        <stp/>
        <stp>EM_S_VAL_DIVIDENDYIELD2</stp>
        <stp>3</stp>
        <stp>002177</stp>
        <stp>12/31/2018</stp>
        <stp>2019-11-29</stp>
        <tr r="Q284" s="1"/>
      </tp>
      <tp>
        <v>0</v>
        <stp/>
        <stp>EM_S_VAL_DIVIDENDYIELD2</stp>
        <stp>3</stp>
        <stp>002147</stp>
        <stp>12/31/2018</stp>
        <stp>2019-11-29</stp>
        <tr r="Q3244" s="1"/>
      </tp>
      <tp>
        <v>0.26540885330662478</v>
        <stp/>
        <stp>EM_S_VAL_DIVIDENDYIELD2</stp>
        <stp>3</stp>
        <stp>002157</stp>
        <stp>12/31/2018</stp>
        <stp>2019-11-29</stp>
        <tr r="Q45" s="1"/>
      </tp>
      <tp>
        <v>3.7082818294190356</v>
        <stp/>
        <stp>EM_S_VAL_DIVIDENDYIELD2</stp>
        <stp>3</stp>
        <stp>002187</stp>
        <stp>12/31/2018</stp>
        <stp>2019-11-29</stp>
        <tr r="Q1956" s="1"/>
      </tp>
      <tp>
        <v>0</v>
        <stp/>
        <stp>EM_S_VAL_DIVIDENDYIELD2</stp>
        <stp>3</stp>
        <stp>002197</stp>
        <stp>12/31/2018</stp>
        <stp>2019-11-29</stp>
        <tr r="Q1474" s="1"/>
      </tp>
      <tp>
        <v>1.5051898668475328</v>
        <stp/>
        <stp>EM_S_VAL_DIVIDENDYIELD2</stp>
        <stp>3</stp>
        <stp>002627</stp>
        <stp>12/31/2018</stp>
        <stp>2019-11-29</stp>
        <tr r="Q389" s="1"/>
      </tp>
      <tp>
        <v>1.1243790225525816</v>
        <stp/>
        <stp>EM_S_VAL_DIVIDENDYIELD2</stp>
        <stp>3</stp>
        <stp>002637</stp>
        <stp>12/31/2018</stp>
        <stp>2019-11-29</stp>
        <tr r="Q640" s="1"/>
      </tp>
      <tp>
        <v>1.2582056892778992</v>
        <stp/>
        <stp>EM_S_VAL_DIVIDENDYIELD2</stp>
        <stp>3</stp>
        <stp>002607</stp>
        <stp>12/31/2018</stp>
        <stp>2019-11-29</stp>
        <tr r="Q95" s="1"/>
      </tp>
      <tp>
        <v>0</v>
        <stp/>
        <stp>EM_S_VAL_DIVIDENDYIELD2</stp>
        <stp>3</stp>
        <stp>002617</stp>
        <stp>12/31/2018</stp>
        <stp>2019-11-29</stp>
        <tr r="Q760" s="1"/>
      </tp>
      <tp>
        <v>0.15060240963855423</v>
        <stp/>
        <stp>EM_S_VAL_DIVIDENDYIELD2</stp>
        <stp>3</stp>
        <stp>002667</stp>
        <stp>12/31/2018</stp>
        <stp>2019-11-29</stp>
        <tr r="Q1882" s="1"/>
      </tp>
      <tp>
        <v>3.5361216730038025</v>
        <stp/>
        <stp>EM_S_VAL_DIVIDENDYIELD2</stp>
        <stp>3</stp>
        <stp>002677</stp>
        <stp>12/31/2018</stp>
        <stp>2019-11-29</stp>
        <tr r="Q839" s="1"/>
      </tp>
      <tp>
        <v>0.11757789535567313</v>
        <stp/>
        <stp>EM_S_VAL_DIVIDENDYIELD2</stp>
        <stp>3</stp>
        <stp>002647</stp>
        <stp>12/31/2018</stp>
        <stp>2019-11-29</stp>
        <tr r="Q963" s="1"/>
      </tp>
      <tp>
        <v>2.923976608187134E-2</v>
        <stp/>
        <stp>EM_S_VAL_DIVIDENDYIELD2</stp>
        <stp>3</stp>
        <stp>002657</stp>
        <stp>12/31/2018</stp>
        <stp>2019-11-29</stp>
        <tr r="Q628" s="1"/>
      </tp>
      <tp>
        <v>2.7802454949072866</v>
        <stp/>
        <stp>EM_S_VAL_DIVIDENDYIELD2</stp>
        <stp>3</stp>
        <stp>002687</stp>
        <stp>12/31/2018</stp>
        <stp>2019-11-29</stp>
        <tr r="Q2607" s="1"/>
      </tp>
      <tp>
        <v>0.66750629722921906</v>
        <stp/>
        <stp>EM_S_VAL_DIVIDENDYIELD2</stp>
        <stp>3</stp>
        <stp>002697</stp>
        <stp>12/31/2018</stp>
        <stp>2019-11-29</stp>
        <tr r="Q629" s="1"/>
      </tp>
      <tp>
        <v>1.3339261894175189</v>
        <stp/>
        <stp>EM_S_VAL_DIVIDENDYIELD2</stp>
        <stp>3</stp>
        <stp>002727</stp>
        <stp>12/31/2018</stp>
        <stp>2019-11-29</stp>
        <tr r="Q946" s="1"/>
      </tp>
      <tp>
        <v>7.0821529745042495</v>
        <stp/>
        <stp>EM_S_VAL_DIVIDENDYIELD2</stp>
        <stp>3</stp>
        <stp>002737</stp>
        <stp>12/31/2018</stp>
        <stp>2019-11-29</stp>
        <tr r="Q2433" s="1"/>
      </tp>
      <tp>
        <v>0.44834282288522531</v>
        <stp/>
        <stp>EM_S_VAL_DIVIDENDYIELD2</stp>
        <stp>3</stp>
        <stp>002707</stp>
        <stp>12/31/2018</stp>
        <stp>2019-11-29</stp>
        <tr r="Q2368" s="1"/>
      </tp>
      <tp>
        <v>1.2176503955462401</v>
        <stp/>
        <stp>EM_S_VAL_DIVIDENDYIELD2</stp>
        <stp>3</stp>
        <stp>002717</stp>
        <stp>12/31/2018</stp>
        <stp>2019-11-29</stp>
        <tr r="Q3355" s="1"/>
      </tp>
      <tp>
        <v>0.22048364153627312</v>
        <stp/>
        <stp>EM_S_VAL_DIVIDENDYIELD2</stp>
        <stp>3</stp>
        <stp>002767</stp>
        <stp>12/31/2018</stp>
        <stp>2019-11-29</stp>
        <tr r="Q1895" s="1"/>
      </tp>
      <tp>
        <v>0.60455106199970721</v>
        <stp/>
        <stp>EM_S_VAL_DIVIDENDYIELD2</stp>
        <stp>3</stp>
        <stp>002777</stp>
        <stp>12/31/2018</stp>
        <stp>2019-11-29</stp>
        <tr r="Q647" s="1"/>
      </tp>
      <tp>
        <v>0.76658617331410839</v>
        <stp/>
        <stp>EM_S_VAL_DIVIDENDYIELD2</stp>
        <stp>3</stp>
        <stp>002747</stp>
        <stp>12/31/2018</stp>
        <stp>2019-11-29</stp>
        <tr r="Q862" s="1"/>
      </tp>
      <tp>
        <v>2.1020560220611793</v>
        <stp/>
        <stp>EM_S_VAL_DIVIDENDYIELD2</stp>
        <stp>3</stp>
        <stp>002757</stp>
        <stp>12/31/2018</stp>
        <stp>2019-11-29</stp>
        <tr r="Q3322" s="1"/>
      </tp>
      <tp>
        <v>0.81034888133075866</v>
        <stp/>
        <stp>EM_S_VAL_DIVIDENDYIELD2</stp>
        <stp>3</stp>
        <stp>002787</stp>
        <stp>12/31/2018</stp>
        <stp>2019-11-29</stp>
        <tr r="Q1847" s="1"/>
      </tp>
      <tp>
        <v>0.13908205841446453</v>
        <stp/>
        <stp>EM_S_VAL_DIVIDENDYIELD2</stp>
        <stp>3</stp>
        <stp>002797</stp>
        <stp>12/31/2018</stp>
        <stp>2019-11-29</stp>
        <tr r="Q505" s="1"/>
      </tp>
      <tp>
        <v>0</v>
        <stp/>
        <stp>EM_S_VAL_DIVIDENDYIELD2</stp>
        <stp>3</stp>
        <stp>002427</stp>
        <stp>12/31/2018</stp>
        <stp>2019-11-29</stp>
        <tr r="Q3260" s="1"/>
      </tp>
      <tp>
        <v>0.38461538461538464</v>
        <stp/>
        <stp>EM_S_VAL_DIVIDENDYIELD2</stp>
        <stp>3</stp>
        <stp>002437</stp>
        <stp>12/31/2018</stp>
        <stp>2019-11-29</stp>
        <tr r="Q1992" s="1"/>
      </tp>
      <tp>
        <v>1.666666666666667</v>
        <stp/>
        <stp>EM_S_VAL_DIVIDENDYIELD2</stp>
        <stp>3</stp>
        <stp>002407</stp>
        <stp>12/31/2018</stp>
        <stp>2019-11-29</stp>
        <tr r="Q1316" s="1"/>
      </tp>
      <tp>
        <v>0</v>
        <stp/>
        <stp>EM_S_VAL_DIVIDENDYIELD2</stp>
        <stp>3</stp>
        <stp>002417</stp>
        <stp>12/31/2018</stp>
        <stp>2019-11-29</stp>
        <tr r="Q3078" s="1"/>
      </tp>
      <tp>
        <v>1.1329630234804462</v>
        <stp/>
        <stp>EM_S_VAL_DIVIDENDYIELD2</stp>
        <stp>3</stp>
        <stp>002467</stp>
        <stp>12/31/2018</stp>
        <stp>2019-11-29</stp>
        <tr r="Q1888" s="1"/>
      </tp>
      <tp>
        <v>0</v>
        <stp/>
        <stp>EM_S_VAL_DIVIDENDYIELD2</stp>
        <stp>3</stp>
        <stp>002477</stp>
        <stp>12/31/2018</stp>
        <stp>2019-11-29</stp>
        <tr r="Q3410" s="1"/>
      </tp>
      <tp>
        <v>0</v>
        <stp/>
        <stp>EM_S_VAL_DIVIDENDYIELD2</stp>
        <stp>3</stp>
        <stp>002447</stp>
        <stp>12/31/2018</stp>
        <stp>2019-11-29</stp>
        <tr r="Q1388" s="1"/>
      </tp>
      <tp>
        <v>1.2836970474967908</v>
        <stp/>
        <stp>EM_S_VAL_DIVIDENDYIELD2</stp>
        <stp>3</stp>
        <stp>002457</stp>
        <stp>12/31/2018</stp>
        <stp>2019-11-29</stp>
        <tr r="Q2255" s="1"/>
      </tp>
      <tp>
        <v>0.20161290322580644</v>
        <stp/>
        <stp>EM_S_VAL_DIVIDENDYIELD2</stp>
        <stp>3</stp>
        <stp>002487</stp>
        <stp>12/31/2018</stp>
        <stp>2019-11-29</stp>
        <tr r="Q525" s="1"/>
      </tp>
      <tp>
        <v>0.33222591362126247</v>
        <stp/>
        <stp>EM_S_VAL_DIVIDENDYIELD2</stp>
        <stp>3</stp>
        <stp>002497</stp>
        <stp>12/31/2018</stp>
        <stp>2019-11-29</stp>
        <tr r="Q1848" s="1"/>
      </tp>
      <tp>
        <v>0</v>
        <stp/>
        <stp>EM_S_VAL_DIVIDENDYIELD2</stp>
        <stp>3</stp>
        <stp>002527</stp>
        <stp>12/31/2018</stp>
        <stp>2019-11-29</stp>
        <tr r="Q2484" s="1"/>
      </tp>
      <tp>
        <v>0.67570700641669723</v>
        <stp/>
        <stp>EM_S_VAL_DIVIDENDYIELD2</stp>
        <stp>3</stp>
        <stp>002537</stp>
        <stp>12/31/2018</stp>
        <stp>2019-11-29</stp>
        <tr r="Q3234" s="1"/>
      </tp>
      <tp>
        <v>1.0647010647010646</v>
        <stp/>
        <stp>EM_S_VAL_DIVIDENDYIELD2</stp>
        <stp>3</stp>
        <stp>002507</stp>
        <stp>12/31/2018</stp>
        <stp>2019-11-29</stp>
        <tr r="Q1166" s="1"/>
      </tp>
      <tp>
        <v>0</v>
        <stp/>
        <stp>EM_S_VAL_DIVIDENDYIELD2</stp>
        <stp>3</stp>
        <stp>002517</stp>
        <stp>12/31/2018</stp>
        <stp>2019-11-29</stp>
        <tr r="Q3215" s="1"/>
      </tp>
      <tp>
        <v>1.1286681715575622</v>
        <stp/>
        <stp>EM_S_VAL_DIVIDENDYIELD2</stp>
        <stp>3</stp>
        <stp>002567</stp>
        <stp>12/31/2018</stp>
        <stp>2019-11-29</stp>
        <tr r="Q485" s="1"/>
      </tp>
      <tp>
        <v>0</v>
        <stp/>
        <stp>EM_S_VAL_DIVIDENDYIELD2</stp>
        <stp>3</stp>
        <stp>002577</stp>
        <stp>12/31/2018</stp>
        <stp>2019-11-29</stp>
        <tr r="Q919" s="1"/>
      </tp>
      <tp>
        <v>0</v>
        <stp/>
        <stp>EM_S_VAL_DIVIDENDYIELD2</stp>
        <stp>3</stp>
        <stp>002547</stp>
        <stp>12/31/2018</stp>
        <stp>2019-11-29</stp>
        <tr r="Q524" s="1"/>
      </tp>
      <tp>
        <v>1.5451174289245984</v>
        <stp/>
        <stp>EM_S_VAL_DIVIDENDYIELD2</stp>
        <stp>3</stp>
        <stp>002557</stp>
        <stp>12/31/2018</stp>
        <stp>2019-11-29</stp>
        <tr r="Q276" s="1"/>
      </tp>
      <tp>
        <v>1.5051073306989629</v>
        <stp/>
        <stp>EM_S_VAL_DIVIDENDYIELD2</stp>
        <stp>3</stp>
        <stp>002587</stp>
        <stp>12/31/2018</stp>
        <stp>2019-11-29</stp>
        <tr r="Q422" s="1"/>
      </tp>
      <tp>
        <v>1.887780788725804</v>
        <stp/>
        <stp>EM_S_VAL_DIVIDENDYIELD2</stp>
        <stp>3</stp>
        <stp>002597</stp>
        <stp>12/31/2018</stp>
        <stp>2019-11-29</stp>
        <tr r="Q765" s="1"/>
      </tp>
      <tp>
        <v>2.9861888764464353</v>
        <stp/>
        <stp>EM_S_VAL_DIVIDENDYIELD2</stp>
        <stp>3</stp>
        <stp>002827</stp>
        <stp>12/31/2018</stp>
        <stp>2019-11-29</stp>
        <tr r="Q3229" s="1"/>
      </tp>
      <tp>
        <v>0.93307280746179033</v>
        <stp/>
        <stp>EM_S_VAL_DIVIDENDYIELD2</stp>
        <stp>3</stp>
        <stp>002837</stp>
        <stp>12/31/2018</stp>
        <stp>2019-11-29</stp>
        <tr r="Q1629" s="1"/>
      </tp>
      <tp>
        <v>0.95982048049096869</v>
        <stp/>
        <stp>EM_S_VAL_DIVIDENDYIELD2</stp>
        <stp>3</stp>
        <stp>002807</stp>
        <stp>12/31/2018</stp>
        <stp>2019-11-29</stp>
        <tr r="Q2715" s="1"/>
      </tp>
      <tp>
        <v>0.41975308641975301</v>
        <stp/>
        <stp>EM_S_VAL_DIVIDENDYIELD2</stp>
        <stp>3</stp>
        <stp>002817</stp>
        <stp>12/31/2018</stp>
        <stp>2019-11-29</stp>
        <tr r="Q851" s="1"/>
      </tp>
      <tp>
        <v>2.5035388159734362</v>
        <stp/>
        <stp>EM_S_VAL_DIVIDENDYIELD2</stp>
        <stp>3</stp>
        <stp>002867</stp>
        <stp>12/31/2018</stp>
        <stp>2019-11-29</stp>
        <tr r="Q3224" s="1"/>
      </tp>
      <tp>
        <v>0.49342105263157893</v>
        <stp/>
        <stp>EM_S_VAL_DIVIDENDYIELD2</stp>
        <stp>3</stp>
        <stp>002877</stp>
        <stp>12/31/2018</stp>
        <stp>2019-11-29</stp>
        <tr r="Q3315" s="1"/>
      </tp>
      <tp>
        <v>0.51546948877897758</v>
        <stp/>
        <stp>EM_S_VAL_DIVIDENDYIELD2</stp>
        <stp>3</stp>
        <stp>002847</stp>
        <stp>12/31/2018</stp>
        <stp>2019-11-29</stp>
        <tr r="Q368" s="1"/>
      </tp>
      <tp>
        <v>0.34275921165381323</v>
        <stp/>
        <stp>EM_S_VAL_DIVIDENDYIELD2</stp>
        <stp>3</stp>
        <stp>002857</stp>
        <stp>12/31/2018</stp>
        <stp>2019-11-29</stp>
        <tr r="Q2140" s="1"/>
      </tp>
      <tp>
        <v>1.0297600659046442</v>
        <stp/>
        <stp>EM_S_VAL_DIVIDENDYIELD2</stp>
        <stp>3</stp>
        <stp>002887</stp>
        <stp>12/31/2018</stp>
        <stp>2019-11-29</stp>
        <tr r="Q2528" s="1"/>
      </tp>
      <tp>
        <v>0.45871559633027525</v>
        <stp/>
        <stp>EM_S_VAL_DIVIDENDYIELD2</stp>
        <stp>3</stp>
        <stp>002897</stp>
        <stp>12/31/2018</stp>
        <stp>2019-11-29</stp>
        <tr r="Q887" s="1"/>
      </tp>
      <tp>
        <v>0.44526901669758817</v>
        <stp/>
        <stp>EM_S_VAL_DIVIDENDYIELD2</stp>
        <stp>3</stp>
        <stp>002927</stp>
        <stp>12/31/2018</stp>
        <stp>2019-11-29</stp>
        <tr r="Q3378" s="1"/>
      </tp>
      <tp>
        <v>0.22281442967194334</v>
        <stp/>
        <stp>EM_S_VAL_DIVIDENDYIELD2</stp>
        <stp>3</stp>
        <stp>002907</stp>
        <stp>12/31/2018</stp>
        <stp>2019-11-29</stp>
        <tr r="Q2905" s="1"/>
      </tp>
      <tp>
        <v>0.38532675709001235</v>
        <stp/>
        <stp>EM_S_VAL_DIVIDENDYIELD2</stp>
        <stp>3</stp>
        <stp>002917</stp>
        <stp>12/31/2018</stp>
        <stp>2019-11-29</stp>
        <tr r="Q3192" s="1"/>
      </tp>
      <tp>
        <v>2.0920502092050208</v>
        <stp/>
        <stp>EM_S_VAL_DIVIDENDYIELD2</stp>
        <stp>3</stp>
        <stp>603277</stp>
        <stp>12/31/2018</stp>
        <stp>2019-11-29</stp>
        <tr r="Q1326" s="1"/>
      </tp>
      <tp>
        <v>0.6960556844547563</v>
        <stp/>
        <stp>EM_S_VAL_DIVIDENDYIELD2</stp>
        <stp>3</stp>
        <stp>603227</stp>
        <stp>12/31/2018</stp>
        <stp>2019-11-29</stp>
        <tr r="Q1007" s="1"/>
      </tp>
      <tp>
        <v>2.8186443033191404</v>
        <stp/>
        <stp>EM_S_VAL_DIVIDENDYIELD2</stp>
        <stp>3</stp>
        <stp>603357</stp>
        <stp>12/31/2018</stp>
        <stp>2019-11-29</stp>
        <tr r="Q3354" s="1"/>
      </tp>
      <tp>
        <v>1.631382316313823</v>
        <stp/>
        <stp>EM_S_VAL_DIVIDENDYIELD2</stp>
        <stp>3</stp>
        <stp>603367</stp>
        <stp>12/31/2018</stp>
        <stp>2019-11-29</stp>
        <tr r="Q1963" s="1"/>
      </tp>
      <tp>
        <v>1.0816657652785289</v>
        <stp/>
        <stp>EM_S_VAL_DIVIDENDYIELD2</stp>
        <stp>3</stp>
        <stp>603377</stp>
        <stp>12/31/2018</stp>
        <stp>2019-11-29</stp>
        <tr r="Q1083" s="1"/>
      </tp>
      <tp>
        <v>1.8974639664294837</v>
        <stp/>
        <stp>EM_S_VAL_DIVIDENDYIELD2</stp>
        <stp>3</stp>
        <stp>603337</stp>
        <stp>12/31/2018</stp>
        <stp>2019-11-29</stp>
        <tr r="Q3338" s="1"/>
      </tp>
      <tp>
        <v>1.292583709960629</v>
        <stp/>
        <stp>EM_S_VAL_DIVIDENDYIELD2</stp>
        <stp>3</stp>
        <stp>603387</stp>
        <stp>12/31/2018</stp>
        <stp>2019-11-29</stp>
        <tr r="Q2919" s="1"/>
      </tp>
      <tp>
        <v>1.5360983102918586</v>
        <stp/>
        <stp>EM_S_VAL_DIVIDENDYIELD2</stp>
        <stp>3</stp>
        <stp>603067</stp>
        <stp>12/31/2018</stp>
        <stp>2019-11-29</stp>
        <tr r="Q3099" s="1"/>
      </tp>
      <tp>
        <v>0</v>
        <stp/>
        <stp>EM_S_VAL_DIVIDENDYIELD2</stp>
        <stp>3</stp>
        <stp>603077</stp>
        <stp>12/31/2018</stp>
        <stp>2019-11-29</stp>
        <tr r="Q2778" s="1"/>
      </tp>
      <tp>
        <v>0.47577568760611622</v>
        <stp/>
        <stp>EM_S_VAL_DIVIDENDYIELD2</stp>
        <stp>3</stp>
        <stp>603007</stp>
        <stp>12/31/2018</stp>
        <stp>2019-11-29</stp>
        <tr r="Q2914" s="1"/>
      </tp>
      <tp>
        <v>3.012048192771084</v>
        <stp/>
        <stp>EM_S_VAL_DIVIDENDYIELD2</stp>
        <stp>3</stp>
        <stp>603017</stp>
        <stp>12/31/2018</stp>
        <stp>2019-11-29</stp>
        <tr r="Q1945" s="1"/>
      </tp>
      <tp>
        <v>0.73083271649463555</v>
        <stp/>
        <stp>EM_S_VAL_DIVIDENDYIELD2</stp>
        <stp>3</stp>
        <stp>603027</stp>
        <stp>12/31/2018</stp>
        <stp>2019-11-29</stp>
        <tr r="Q783" s="1"/>
      </tp>
      <tp>
        <v>4.6904315196998123</v>
        <stp/>
        <stp>EM_S_VAL_DIVIDENDYIELD2</stp>
        <stp>3</stp>
        <stp>603037</stp>
        <stp>12/31/2018</stp>
        <stp>2019-11-29</stp>
        <tr r="Q2448" s="1"/>
      </tp>
      <tp>
        <v>0</v>
        <stp/>
        <stp>EM_S_VAL_DIVIDENDYIELD2</stp>
        <stp>3</stp>
        <stp>603157</stp>
        <stp>12/31/2018</stp>
        <stp>2019-11-29</stp>
        <tr r="Q3240" s="1"/>
      </tp>
      <tp>
        <v>6.2959076600209869</v>
        <stp/>
        <stp>EM_S_VAL_DIVIDENDYIELD2</stp>
        <stp>3</stp>
        <stp>603167</stp>
        <stp>12/31/2018</stp>
        <stp>2019-11-29</stp>
        <tr r="Q1235" s="1"/>
      </tp>
      <tp>
        <v>0</v>
        <stp/>
        <stp>EM_S_VAL_DIVIDENDYIELD2</stp>
        <stp>3</stp>
        <stp>603177</stp>
        <stp>12/31/2018</stp>
        <stp>2019-11-29</stp>
        <tr r="Q1680" s="1"/>
      </tp>
      <tp>
        <v>1.3850415512465375</v>
        <stp/>
        <stp>EM_S_VAL_DIVIDENDYIELD2</stp>
        <stp>3</stp>
        <stp>603117</stp>
        <stp>12/31/2018</stp>
        <stp>2019-11-29</stp>
        <tr r="Q1955" s="1"/>
      </tp>
      <tp>
        <v>0.3648464681437012</v>
        <stp/>
        <stp>EM_S_VAL_DIVIDENDYIELD2</stp>
        <stp>3</stp>
        <stp>603127</stp>
        <stp>12/31/2018</stp>
        <stp>2019-11-29</stp>
        <tr r="Q1307" s="1"/>
      </tp>
      <tp>
        <v>0.94698662286545821</v>
        <stp/>
        <stp>EM_S_VAL_DIVIDENDYIELD2</stp>
        <stp>3</stp>
        <stp>603197</stp>
        <stp>12/31/2018</stp>
        <stp>2019-11-29</stp>
        <tr r="Q545" s="1"/>
      </tp>
      <tp>
        <v>2.0176544766708702</v>
        <stp/>
        <stp>EM_S_VAL_DIVIDENDYIELD2</stp>
        <stp>3</stp>
        <stp>603667</stp>
        <stp>12/31/2018</stp>
        <stp>2019-11-29</stp>
        <tr r="Q1247" s="1"/>
      </tp>
      <tp>
        <v>1.6763060539206696</v>
        <stp/>
        <stp>EM_S_VAL_DIVIDENDYIELD2</stp>
        <stp>3</stp>
        <stp>603677</stp>
        <stp>12/31/2018</stp>
        <stp>2019-11-29</stp>
        <tr r="Q2785" s="1"/>
      </tp>
      <tp>
        <v>1.3882461823229986</v>
        <stp/>
        <stp>EM_S_VAL_DIVIDENDYIELD2</stp>
        <stp>3</stp>
        <stp>603607</stp>
        <stp>12/31/2018</stp>
        <stp>2019-11-29</stp>
        <tr r="Q1256" s="1"/>
      </tp>
      <tp>
        <v>1.1811023622047245</v>
        <stp/>
        <stp>EM_S_VAL_DIVIDENDYIELD2</stp>
        <stp>3</stp>
        <stp>603617</stp>
        <stp>12/31/2018</stp>
        <stp>2019-11-29</stp>
        <tr r="Q2807" s="1"/>
      </tp>
      <tp>
        <v>1.689189189189189</v>
        <stp/>
        <stp>EM_S_VAL_DIVIDENDYIELD2</stp>
        <stp>3</stp>
        <stp>603637</stp>
        <stp>12/31/2018</stp>
        <stp>2019-11-29</stp>
        <tr r="Q2119" s="1"/>
      </tp>
      <tp>
        <v>2.0395213923132705</v>
        <stp/>
        <stp>EM_S_VAL_DIVIDENDYIELD2</stp>
        <stp>3</stp>
        <stp>603757</stp>
        <stp>12/31/2018</stp>
        <stp>2019-11-29</stp>
        <tr r="Q3019" s="1"/>
      </tp>
      <tp>
        <v>2.1707670043415339</v>
        <stp/>
        <stp>EM_S_VAL_DIVIDENDYIELD2</stp>
        <stp>3</stp>
        <stp>603767</stp>
        <stp>12/31/2018</stp>
        <stp>2019-11-29</stp>
        <tr r="Q1821" s="1"/>
      </tp>
      <tp>
        <v>1.4720314033366046</v>
        <stp/>
        <stp>EM_S_VAL_DIVIDENDYIELD2</stp>
        <stp>3</stp>
        <stp>603777</stp>
        <stp>12/31/2018</stp>
        <stp>2019-11-29</stp>
        <tr r="Q1212" s="1"/>
      </tp>
      <tp>
        <v>0.30646644192460926</v>
        <stp/>
        <stp>EM_S_VAL_DIVIDENDYIELD2</stp>
        <stp>3</stp>
        <stp>603707</stp>
        <stp>12/31/2018</stp>
        <stp>2019-11-29</stp>
        <tr r="Q131" s="1"/>
      </tp>
      <tp>
        <v>0</v>
        <stp/>
        <stp>EM_S_VAL_DIVIDENDYIELD2</stp>
        <stp>3</stp>
        <stp>603717</stp>
        <stp>12/31/2018</stp>
        <stp>2019-11-29</stp>
        <tr r="Q2608" s="1"/>
      </tp>
      <tp>
        <v>0.16629711751662971</v>
        <stp/>
        <stp>EM_S_VAL_DIVIDENDYIELD2</stp>
        <stp>3</stp>
        <stp>603727</stp>
        <stp>12/31/2018</stp>
        <stp>2019-11-29</stp>
        <tr r="Q592" s="1"/>
      </tp>
      <tp>
        <v>0.44555493430248816</v>
        <stp/>
        <stp>EM_S_VAL_DIVIDENDYIELD2</stp>
        <stp>3</stp>
        <stp>603737</stp>
        <stp>12/31/2018</stp>
        <stp>2019-11-29</stp>
        <tr r="Q124" s="1"/>
      </tp>
      <tp>
        <v>2.0408163265306123</v>
        <stp/>
        <stp>EM_S_VAL_DIVIDENDYIELD2</stp>
        <stp>3</stp>
        <stp>603787</stp>
        <stp>12/31/2018</stp>
        <stp>2019-11-29</stp>
        <tr r="Q662" s="1"/>
      </tp>
      <tp>
        <v>0.66066380973213501</v>
        <stp/>
        <stp>EM_S_VAL_DIVIDENDYIELD2</stp>
        <stp>3</stp>
        <stp>603797</stp>
        <stp>12/31/2018</stp>
        <stp>2019-11-29</stp>
        <tr r="Q2635" s="1"/>
      </tp>
      <tp>
        <v>0.69084628670120896</v>
        <stp/>
        <stp>EM_S_VAL_DIVIDENDYIELD2</stp>
        <stp>3</stp>
        <stp>603477</stp>
        <stp>12/31/2018</stp>
        <stp>2019-11-29</stp>
        <tr r="Q496" s="1"/>
      </tp>
      <tp>
        <v>0.43620501635768816</v>
        <stp/>
        <stp>EM_S_VAL_DIVIDENDYIELD2</stp>
        <stp>3</stp>
        <stp>603557</stp>
        <stp>12/31/2018</stp>
        <stp>2019-11-29</stp>
        <tr r="Q1610" s="1"/>
      </tp>
      <tp>
        <v>1.4500442086648979</v>
        <stp/>
        <stp>EM_S_VAL_DIVIDENDYIELD2</stp>
        <stp>3</stp>
        <stp>603567</stp>
        <stp>12/31/2018</stp>
        <stp>2019-11-29</stp>
        <tr r="Q2492" s="1"/>
      </tp>
      <tp>
        <v>0.47222222303165368</v>
        <stp/>
        <stp>EM_S_VAL_DIVIDENDYIELD2</stp>
        <stp>3</stp>
        <stp>603577</stp>
        <stp>12/31/2018</stp>
        <stp>2019-11-29</stp>
        <tr r="Q1423" s="1"/>
      </tp>
      <tp>
        <v>0.74116458605127999</v>
        <stp/>
        <stp>EM_S_VAL_DIVIDENDYIELD2</stp>
        <stp>3</stp>
        <stp>603507</stp>
        <stp>12/31/2018</stp>
        <stp>2019-11-29</stp>
        <tr r="Q2178" s="1"/>
      </tp>
      <tp>
        <v>0.9392512529410677</v>
        <stp/>
        <stp>EM_S_VAL_DIVIDENDYIELD2</stp>
        <stp>3</stp>
        <stp>603517</stp>
        <stp>12/31/2018</stp>
        <stp>2019-11-29</stp>
        <tr r="Q793" s="1"/>
      </tp>
      <tp>
        <v>2.0242914979757085</v>
        <stp/>
        <stp>EM_S_VAL_DIVIDENDYIELD2</stp>
        <stp>3</stp>
        <stp>603527</stp>
        <stp>12/31/2018</stp>
        <stp>2019-11-29</stp>
        <tr r="Q1518" s="1"/>
      </tp>
      <tp>
        <v>4.3744531933508313</v>
        <stp/>
        <stp>EM_S_VAL_DIVIDENDYIELD2</stp>
        <stp>3</stp>
        <stp>603587</stp>
        <stp>12/31/2018</stp>
        <stp>2019-11-29</stp>
        <tr r="Q1574" s="1"/>
      </tp>
      <tp>
        <v>7.1099585490735624</v>
        <stp/>
        <stp>EM_S_VAL_DIVIDENDYIELD2</stp>
        <stp>3</stp>
        <stp>603877</stp>
        <stp>12/31/2018</stp>
        <stp>2019-11-29</stp>
        <tr r="Q2990" s="1"/>
      </tp>
      <tp>
        <v>0.83067092651757202</v>
        <stp/>
        <stp>EM_S_VAL_DIVIDENDYIELD2</stp>
        <stp>3</stp>
        <stp>603817</stp>
        <stp>12/31/2018</stp>
        <stp>2019-11-29</stp>
        <tr r="Q1638" s="1"/>
      </tp>
      <tp>
        <v>0</v>
        <stp/>
        <stp>EM_S_VAL_DIVIDENDYIELD2</stp>
        <stp>3</stp>
        <stp>603887</stp>
        <stp>12/31/2018</stp>
        <stp>2019-11-29</stp>
        <tr r="Q293" s="1"/>
      </tp>
      <tp>
        <v>0.86805072872639133</v>
        <stp/>
        <stp>EM_S_VAL_DIVIDENDYIELD2</stp>
        <stp>3</stp>
        <stp>603897</stp>
        <stp>12/31/2018</stp>
        <stp>2019-11-29</stp>
        <tr r="Q2927" s="1"/>
      </tp>
      <tp>
        <v>1.2987012987012987</v>
        <stp/>
        <stp>EM_S_VAL_DIVIDENDYIELD2</stp>
        <stp>3</stp>
        <stp>603977</stp>
        <stp>12/31/2018</stp>
        <stp>2019-11-29</stp>
        <tr r="Q1382" s="1"/>
      </tp>
      <tp>
        <v>1.1247443762781189</v>
        <stp/>
        <stp>EM_S_VAL_DIVIDENDYIELD2</stp>
        <stp>3</stp>
        <stp>603917</stp>
        <stp>12/31/2018</stp>
        <stp>2019-11-29</stp>
        <tr r="Q2852" s="1"/>
      </tp>
      <tp>
        <v>0.76997112608277196</v>
        <stp/>
        <stp>EM_S_VAL_DIVIDENDYIELD2</stp>
        <stp>3</stp>
        <stp>603937</stp>
        <stp>12/31/2018</stp>
        <stp>2019-11-29</stp>
        <tr r="Q2150" s="1"/>
      </tp>
      <tp>
        <v>2.0689655172413794</v>
        <stp/>
        <stp>EM_S_VAL_DIVIDENDYIELD2</stp>
        <stp>3</stp>
        <stp>603987</stp>
        <stp>12/31/2018</stp>
        <stp>2019-11-29</stp>
        <tr r="Q1117" s="1"/>
      </tp>
      <tp>
        <v>3.9745222929936306</v>
        <stp/>
        <stp>EM_S_VAL_DIVIDENDYIELD2</stp>
        <stp>3</stp>
        <stp>603997</stp>
        <stp>12/31/2018</stp>
        <stp>2019-11-29</stp>
        <tr r="Q1914" s="1"/>
      </tp>
      <tp>
        <v>0.85470085470085477</v>
        <stp/>
        <stp>EM_S_VAL_DIVIDENDYIELD2</stp>
        <stp>3</stp>
        <stp>300217</stp>
        <stp>12/31/2018</stp>
        <stp>2019-11-29</stp>
        <tr r="Q2065" s="1"/>
      </tp>
      <tp>
        <v>0</v>
        <stp/>
        <stp>EM_S_VAL_DIVIDENDYIELD2</stp>
        <stp>3</stp>
        <stp>600247</stp>
        <stp>12/31/2018</stp>
        <stp>2019-11-29</stp>
        <tr r="Q3103" s="1"/>
      </tp>
      <tp>
        <v>0.74017245304496293</v>
        <stp/>
        <stp>EM_S_VAL_DIVIDENDYIELD2</stp>
        <stp>3</stp>
        <stp>300207</stp>
        <stp>12/31/2018</stp>
        <stp>2019-11-29</stp>
        <tr r="Q108" s="1"/>
      </tp>
      <tp>
        <v>0</v>
        <stp/>
        <stp>EM_S_VAL_DIVIDENDYIELD2</stp>
        <stp>3</stp>
        <stp>600257</stp>
        <stp>12/31/2018</stp>
        <stp>2019-11-29</stp>
        <tr r="Q2166" s="1"/>
      </tp>
      <tp>
        <v>0</v>
        <stp/>
        <stp>EM_S_VAL_DIVIDENDYIELD2</stp>
        <stp>3</stp>
        <stp>300237</stp>
        <stp>12/31/2018</stp>
        <stp>2019-11-29</stp>
        <tr r="Q3205" s="1"/>
      </tp>
      <tp>
        <v>0</v>
        <stp/>
        <stp>EM_S_VAL_DIVIDENDYIELD2</stp>
        <stp>3</stp>
        <stp>600267</stp>
        <stp>12/31/2018</stp>
        <stp>2019-11-29</stp>
        <tr r="Q1513" s="1"/>
      </tp>
      <tp>
        <v>0.25635782292854115</v>
        <stp/>
        <stp>EM_S_VAL_DIVIDENDYIELD2</stp>
        <stp>3</stp>
        <stp>300227</stp>
        <stp>12/31/2018</stp>
        <stp>2019-11-29</stp>
        <tr r="Q659" s="1"/>
      </tp>
      <tp>
        <v>2.2486772486772488</v>
        <stp/>
        <stp>EM_S_VAL_DIVIDENDYIELD2</stp>
        <stp>3</stp>
        <stp>600277</stp>
        <stp>12/31/2018</stp>
        <stp>2019-11-29</stp>
        <tr r="Q3055" s="1"/>
      </tp>
      <tp>
        <v>1.0266940451745379</v>
        <stp/>
        <stp>EM_S_VAL_DIVIDENDYIELD2</stp>
        <stp>3</stp>
        <stp>300257</stp>
        <stp>12/31/2018</stp>
        <stp>2019-11-29</stp>
        <tr r="Q1743" s="1"/>
      </tp>
      <tp>
        <v>0</v>
        <stp/>
        <stp>EM_S_VAL_DIVIDENDYIELD2</stp>
        <stp>3</stp>
        <stp>600207</stp>
        <stp>12/31/2018</stp>
        <stp>2019-11-29</stp>
        <tr r="Q1807" s="1"/>
      </tp>
      <tp>
        <v>0</v>
        <stp/>
        <stp>EM_S_VAL_DIVIDENDYIELD2</stp>
        <stp>3</stp>
        <stp>300247</stp>
        <stp>12/31/2018</stp>
        <stp>2019-11-29</stp>
        <tr r="Q2984" s="1"/>
      </tp>
      <tp>
        <v>0</v>
        <stp/>
        <stp>EM_S_VAL_DIVIDENDYIELD2</stp>
        <stp>3</stp>
        <stp>600217</stp>
        <stp>12/31/2018</stp>
        <stp>2019-11-29</stp>
        <tr r="Q1105" s="1"/>
      </tp>
      <tp>
        <v>0.55970149253731338</v>
        <stp/>
        <stp>EM_S_VAL_DIVIDENDYIELD2</stp>
        <stp>3</stp>
        <stp>300277</stp>
        <stp>12/31/2018</stp>
        <stp>2019-11-29</stp>
        <tr r="Q492" s="1"/>
      </tp>
      <tp>
        <v>0</v>
        <stp/>
        <stp>EM_S_VAL_DIVIDENDYIELD2</stp>
        <stp>3</stp>
        <stp>600227</stp>
        <stp>12/31/2018</stp>
        <stp>2019-11-29</stp>
        <tr r="Q2732" s="1"/>
      </tp>
      <tp>
        <v>0.16181229773462782</v>
        <stp/>
        <stp>EM_S_VAL_DIVIDENDYIELD2</stp>
        <stp>3</stp>
        <stp>300267</stp>
        <stp>12/31/2018</stp>
        <stp>2019-11-29</stp>
        <tr r="Q928" s="1"/>
      </tp>
      <tp>
        <v>0</v>
        <stp/>
        <stp>EM_S_VAL_DIVIDENDYIELD2</stp>
        <stp>3</stp>
        <stp>600237</stp>
        <stp>12/31/2018</stp>
        <stp>2019-11-29</stp>
        <tr r="Q1805" s="1"/>
      </tp>
      <tp>
        <v>0.61048194336520101</v>
        <stp/>
        <stp>EM_S_VAL_DIVIDENDYIELD2</stp>
        <stp>3</stp>
        <stp>300297</stp>
        <stp>12/31/2018</stp>
        <stp>2019-11-29</stp>
        <tr r="Q1570" s="1"/>
      </tp>
      <tp>
        <v>0</v>
        <stp/>
        <stp>EM_S_VAL_DIVIDENDYIELD2</stp>
        <stp>3</stp>
        <stp>300287</stp>
        <stp>12/31/2018</stp>
        <stp>2019-11-29</stp>
        <tr r="Q2172" s="1"/>
      </tp>
      <tp>
        <v>1.4336917562724014</v>
        <stp/>
        <stp>EM_S_VAL_DIVIDENDYIELD2</stp>
        <stp>3</stp>
        <stp>600287</stp>
        <stp>12/31/2018</stp>
        <stp>2019-11-29</stp>
        <tr r="Q1135" s="1"/>
      </tp>
      <tp>
        <v>0.45040317122215578</v>
        <stp/>
        <stp>EM_S_VAL_DIVIDENDYIELD2</stp>
        <stp>3</stp>
        <stp>600297</stp>
        <stp>12/31/2018</stp>
        <stp>2019-11-29</stp>
        <tr r="Q3057" s="1"/>
      </tp>
      <tp>
        <v>0</v>
        <stp/>
        <stp>EM_S_VAL_DIVIDENDYIELD2</stp>
        <stp>3</stp>
        <stp>300317</stp>
        <stp>12/31/2018</stp>
        <stp>2019-11-29</stp>
        <tr r="Q1978" s="1"/>
      </tp>
      <tp>
        <v>0.44150110375275936</v>
        <stp/>
        <stp>EM_S_VAL_DIVIDENDYIELD2</stp>
        <stp>3</stp>
        <stp>300307</stp>
        <stp>12/31/2018</stp>
        <stp>2019-11-29</stp>
        <tr r="Q2197" s="1"/>
      </tp>
      <tp>
        <v>0</v>
        <stp/>
        <stp>EM_S_VAL_DIVIDENDYIELD2</stp>
        <stp>3</stp>
        <stp>600357</stp>
        <stp>12/31/2018</stp>
        <stp>2019-11-29</stp>
        <tr r="Q2301" s="1"/>
      </tp>
      <tp>
        <v>0</v>
        <stp/>
        <stp>EM_S_VAL_DIVIDENDYIELD2</stp>
        <stp>3</stp>
        <stp>300337</stp>
        <stp>12/31/2018</stp>
        <stp>2019-11-29</stp>
        <tr r="Q2721" s="1"/>
      </tp>
      <tp>
        <v>0.57306590257879653</v>
        <stp/>
        <stp>EM_S_VAL_DIVIDENDYIELD2</stp>
        <stp>3</stp>
        <stp>600367</stp>
        <stp>12/31/2018</stp>
        <stp>2019-11-29</stp>
        <tr r="Q1964" s="1"/>
      </tp>
      <tp>
        <v>1.7422951835217593</v>
        <stp/>
        <stp>EM_S_VAL_DIVIDENDYIELD2</stp>
        <stp>3</stp>
        <stp>300327</stp>
        <stp>12/31/2018</stp>
        <stp>2019-11-29</stp>
        <tr r="Q690" s="1"/>
      </tp>
      <tp>
        <v>4.2790697674418601</v>
        <stp/>
        <stp>EM_S_VAL_DIVIDENDYIELD2</stp>
        <stp>3</stp>
        <stp>600377</stp>
        <stp>12/31/2018</stp>
        <stp>2019-11-29</stp>
        <tr r="Q1600" s="1"/>
      </tp>
      <tp>
        <v>0.30245838172667444</v>
        <stp/>
        <stp>EM_S_VAL_DIVIDENDYIELD2</stp>
        <stp>3</stp>
        <stp>300357</stp>
        <stp>12/31/2018</stp>
        <stp>2019-11-29</stp>
        <tr r="Q1410" s="1"/>
      </tp>
      <tp>
        <v>0</v>
        <stp/>
        <stp>EM_S_VAL_DIVIDENDYIELD2</stp>
        <stp>3</stp>
        <stp>600307</stp>
        <stp>12/31/2018</stp>
        <stp>2019-11-29</stp>
        <tr r="Q1905" s="1"/>
      </tp>
      <tp>
        <v>0.37190068530891346</v>
        <stp/>
        <stp>EM_S_VAL_DIVIDENDYIELD2</stp>
        <stp>3</stp>
        <stp>300347</stp>
        <stp>12/31/2018</stp>
        <stp>2019-11-29</stp>
        <tr r="Q672" s="1"/>
      </tp>
      <tp>
        <v>1.8799999999999997</v>
        <stp/>
        <stp>EM_S_VAL_DIVIDENDYIELD2</stp>
        <stp>3</stp>
        <stp>600317</stp>
        <stp>12/31/2018</stp>
        <stp>2019-11-29</stp>
        <tr r="Q1634" s="1"/>
      </tp>
      <tp>
        <v>0.9380863039399624</v>
        <stp/>
        <stp>EM_S_VAL_DIVIDENDYIELD2</stp>
        <stp>3</stp>
        <stp>300377</stp>
        <stp>12/31/2018</stp>
        <stp>2019-11-29</stp>
        <tr r="Q2142" s="1"/>
      </tp>
      <tp>
        <v>4.9455984174085064</v>
        <stp/>
        <stp>EM_S_VAL_DIVIDENDYIELD2</stp>
        <stp>3</stp>
        <stp>600327</stp>
        <stp>12/31/2018</stp>
        <stp>2019-11-29</stp>
        <tr r="Q2932" s="1"/>
      </tp>
      <tp>
        <v>0.64491650577261339</v>
        <stp/>
        <stp>EM_S_VAL_DIVIDENDYIELD2</stp>
        <stp>3</stp>
        <stp>300367</stp>
        <stp>12/31/2018</stp>
        <stp>2019-11-29</stp>
        <tr r="Q3371" s="1"/>
      </tp>
      <tp>
        <v>5.141388174807199</v>
        <stp/>
        <stp>EM_S_VAL_DIVIDENDYIELD2</stp>
        <stp>3</stp>
        <stp>600337</stp>
        <stp>12/31/2018</stp>
        <stp>2019-11-29</stp>
        <tr r="Q1687" s="1"/>
      </tp>
      <tp>
        <v>0</v>
        <stp/>
        <stp>EM_S_VAL_DIVIDENDYIELD2</stp>
        <stp>3</stp>
        <stp>300397</stp>
        <stp>12/31/2018</stp>
        <stp>2019-11-29</stp>
        <tr r="Q41" s="1"/>
      </tp>
      <tp>
        <v>0.52137363731242437</v>
        <stp/>
        <stp>EM_S_VAL_DIVIDENDYIELD2</stp>
        <stp>3</stp>
        <stp>300387</stp>
        <stp>12/31/2018</stp>
        <stp>2019-11-29</stp>
        <tr r="Q304" s="1"/>
      </tp>
      <tp>
        <v>0.77216562902372543</v>
        <stp/>
        <stp>EM_S_VAL_DIVIDENDYIELD2</stp>
        <stp>3</stp>
        <stp>600387</stp>
        <stp>12/31/2018</stp>
        <stp>2019-11-29</stp>
        <tr r="Q1984" s="1"/>
      </tp>
      <tp>
        <v>0</v>
        <stp/>
        <stp>EM_S_VAL_DIVIDENDYIELD2</stp>
        <stp>3</stp>
        <stp>600397</stp>
        <stp>12/31/2018</stp>
        <stp>2019-11-29</stp>
        <tr r="Q1122" s="1"/>
      </tp>
      <tp>
        <v>0.83056478405315626</v>
        <stp/>
        <stp>EM_S_VAL_DIVIDENDYIELD2</stp>
        <stp>3</stp>
        <stp>000027</stp>
        <stp>12/31/2018</stp>
        <stp>2019-11-29</stp>
        <tr r="Q1310" s="1"/>
      </tp>
      <tp>
        <v>0.34018025048947131</v>
        <stp/>
        <stp>EM_S_VAL_DIVIDENDYIELD2</stp>
        <stp>3</stp>
        <stp>300017</stp>
        <stp>12/31/2018</stp>
        <stp>2019-11-29</stp>
        <tr r="Q1215" s="1"/>
      </tp>
      <tp>
        <v>0</v>
        <stp/>
        <stp>EM_S_VAL_DIVIDENDYIELD2</stp>
        <stp>3</stp>
        <stp>000037</stp>
        <stp>12/31/2018</stp>
        <stp>2019-11-29</stp>
        <tr r="Q68" s="1"/>
      </tp>
      <tp>
        <v>0.1072961373390558</v>
        <stp/>
        <stp>EM_S_VAL_DIVIDENDYIELD2</stp>
        <stp>3</stp>
        <stp>300007</stp>
        <stp>12/31/2018</stp>
        <stp>2019-11-29</stp>
        <tr r="Q352" s="1"/>
      </tp>
      <tp>
        <v>3.0456852791878175</v>
        <stp/>
        <stp>EM_S_VAL_DIVIDENDYIELD2</stp>
        <stp>3</stp>
        <stp>600057</stp>
        <stp>12/31/2018</stp>
        <stp>2019-11-29</stp>
        <tr r="Q2370" s="1"/>
      </tp>
      <tp>
        <v>0</v>
        <stp/>
        <stp>EM_S_VAL_DIVIDENDYIELD2</stp>
        <stp>3</stp>
        <stp>000007</stp>
        <stp>12/31/2018</stp>
        <stp>2019-11-29</stp>
        <tr r="Q1370" s="1"/>
      </tp>
      <tp>
        <v>0.56988716582127452</v>
        <stp/>
        <stp>EM_S_VAL_DIVIDENDYIELD2</stp>
        <stp>3</stp>
        <stp>300037</stp>
        <stp>12/31/2018</stp>
        <stp>2019-11-29</stp>
        <tr r="Q533" s="1"/>
      </tp>
      <tp>
        <v>2.6455026455026456</v>
        <stp/>
        <stp>EM_S_VAL_DIVIDENDYIELD2</stp>
        <stp>3</stp>
        <stp>600067</stp>
        <stp>12/31/2018</stp>
        <stp>2019-11-29</stp>
        <tr r="Q1911" s="1"/>
      </tp>
      <tp>
        <v>0</v>
        <stp/>
        <stp>EM_S_VAL_DIVIDENDYIELD2</stp>
        <stp>3</stp>
        <stp>000017</stp>
        <stp>12/31/2018</stp>
        <stp>2019-11-29</stp>
        <tr r="Q2076" s="1"/>
      </tp>
      <tp>
        <v>0</v>
        <stp/>
        <stp>EM_S_VAL_DIVIDENDYIELD2</stp>
        <stp>3</stp>
        <stp>300027</stp>
        <stp>12/31/2018</stp>
        <stp>2019-11-29</stp>
        <tr r="Q2241" s="1"/>
      </tp>
      <tp>
        <v>1.2204724409448819</v>
        <stp/>
        <stp>EM_S_VAL_DIVIDENDYIELD2</stp>
        <stp>3</stp>
        <stp>600077</stp>
        <stp>12/31/2018</stp>
        <stp>2019-11-29</stp>
        <tr r="Q1551" s="1"/>
      </tp>
      <tp>
        <v>1.4620512185145993</v>
        <stp/>
        <stp>EM_S_VAL_DIVIDENDYIELD2</stp>
        <stp>3</stp>
        <stp>300057</stp>
        <stp>12/31/2018</stp>
        <stp>2019-11-29</stp>
        <tr r="Q2435" s="1"/>
      </tp>
      <tp>
        <v>1.9643953345610803</v>
        <stp/>
        <stp>EM_S_VAL_DIVIDENDYIELD2</stp>
        <stp>3</stp>
        <stp>600007</stp>
        <stp>12/31/2018</stp>
        <stp>2019-11-29</stp>
        <tr r="Q722" s="1"/>
      </tp>
      <tp>
        <v>0.50330303166576595</v>
        <stp/>
        <stp>EM_S_VAL_DIVIDENDYIELD2</stp>
        <stp>3</stp>
        <stp>300047</stp>
        <stp>12/31/2018</stp>
        <stp>2019-11-29</stp>
        <tr r="Q3200" s="1"/>
      </tp>
      <tp>
        <v>0.70921985815602839</v>
        <stp/>
        <stp>EM_S_VAL_DIVIDENDYIELD2</stp>
        <stp>3</stp>
        <stp>600017</stp>
        <stp>12/31/2018</stp>
        <stp>2019-11-29</stp>
        <tr r="Q1986" s="1"/>
      </tp>
      <tp>
        <v>0</v>
        <stp/>
        <stp>EM_S_VAL_DIVIDENDYIELD2</stp>
        <stp>3</stp>
        <stp>000047</stp>
        <stp>12/31/2018</stp>
        <stp>2019-11-29</stp>
        <tr r="Q2276" s="1"/>
      </tp>
      <tp>
        <v>0</v>
        <stp/>
        <stp>EM_S_VAL_DIVIDENDYIELD2</stp>
        <stp>3</stp>
        <stp>300077</stp>
        <stp>12/31/2018</stp>
        <stp>2019-11-29</stp>
        <tr r="Q3056" s="1"/>
      </tp>
      <tp>
        <v>1.7789757412398921</v>
        <stp/>
        <stp>EM_S_VAL_DIVIDENDYIELD2</stp>
        <stp>3</stp>
        <stp>600027</stp>
        <stp>12/31/2018</stp>
        <stp>2019-11-29</stp>
        <tr r="Q3124" s="1"/>
      </tp>
      <tp>
        <v>1.8660077976647336</v>
        <stp/>
        <stp>EM_S_VAL_DIVIDENDYIELD2</stp>
        <stp>3</stp>
        <stp>300067</stp>
        <stp>12/31/2018</stp>
        <stp>2019-11-29</stp>
        <tr r="Q2899" s="1"/>
      </tp>
      <tp>
        <v>2.1003500583430572</v>
        <stp/>
        <stp>EM_S_VAL_DIVIDENDYIELD2</stp>
        <stp>3</stp>
        <stp>600037</stp>
        <stp>12/31/2018</stp>
        <stp>2019-11-29</stp>
        <tr r="Q2030" s="1"/>
      </tp>
      <tp>
        <v>0</v>
        <stp/>
        <stp>EM_S_VAL_DIVIDENDYIELD2</stp>
        <stp>3</stp>
        <stp>300097</stp>
        <stp>12/31/2018</stp>
        <stp>2019-11-29</stp>
        <tr r="Q2911" s="1"/>
      </tp>
      <tp>
        <v>0.38709677419354832</v>
        <stp/>
        <stp>EM_S_VAL_DIVIDENDYIELD2</stp>
        <stp>3</stp>
        <stp>300087</stp>
        <stp>12/31/2018</stp>
        <stp>2019-11-29</stp>
        <tr r="Q2662" s="1"/>
      </tp>
      <tp>
        <v>0</v>
        <stp/>
        <stp>EM_S_VAL_DIVIDENDYIELD2</stp>
        <stp>3</stp>
        <stp>600087</stp>
        <stp>12/31/2018</stp>
        <stp>2019-11-29</stp>
        <tr r="Q2290" s="1"/>
      </tp>
      <tp>
        <v>1.9047619047619047</v>
        <stp/>
        <stp>EM_S_VAL_DIVIDENDYIELD2</stp>
        <stp>3</stp>
        <stp>600097</stp>
        <stp>12/31/2018</stp>
        <stp>2019-11-29</stp>
        <tr r="Q2540" s="1"/>
      </tp>
      <tp>
        <v>0.221606648199446</v>
        <stp/>
        <stp>EM_S_VAL_DIVIDENDYIELD2</stp>
        <stp>3</stp>
        <stp>300117</stp>
        <stp>12/31/2018</stp>
        <stp>2019-11-29</stp>
        <tr r="Q2769" s="1"/>
      </tp>
      <tp>
        <v>4.2151312068632683</v>
        <stp/>
        <stp>EM_S_VAL_DIVIDENDYIELD2</stp>
        <stp>3</stp>
        <stp>300107</stp>
        <stp>12/31/2018</stp>
        <stp>2019-11-29</stp>
        <tr r="Q3155" s="1"/>
      </tp>
      <tp>
        <v>0</v>
        <stp/>
        <stp>EM_S_VAL_DIVIDENDYIELD2</stp>
        <stp>3</stp>
        <stp>600157</stp>
        <stp>12/31/2018</stp>
        <stp>2019-11-29</stp>
        <tr r="Q1912" s="1"/>
      </tp>
      <tp>
        <v>0</v>
        <stp/>
        <stp>EM_S_VAL_DIVIDENDYIELD2</stp>
        <stp>3</stp>
        <stp>300137</stp>
        <stp>12/31/2018</stp>
        <stp>2019-11-29</stp>
        <tr r="Q2600" s="1"/>
      </tp>
      <tp>
        <v>0.96475430932024175</v>
        <stp/>
        <stp>EM_S_VAL_DIVIDENDYIELD2</stp>
        <stp>3</stp>
        <stp>600167</stp>
        <stp>12/31/2018</stp>
        <stp>2019-11-29</stp>
        <tr r="Q683" s="1"/>
      </tp>
      <tp>
        <v>1.977401129943503</v>
        <stp/>
        <stp>EM_S_VAL_DIVIDENDYIELD2</stp>
        <stp>3</stp>
        <stp>300127</stp>
        <stp>12/31/2018</stp>
        <stp>2019-11-29</stp>
        <tr r="Q251" s="1"/>
      </tp>
      <tp>
        <v>5.3304904053298943</v>
        <stp/>
        <stp>EM_S_VAL_DIVIDENDYIELD2</stp>
        <stp>3</stp>
        <stp>600177</stp>
        <stp>12/31/2018</stp>
        <stp>2019-11-29</stp>
        <tr r="Q2487" s="1"/>
      </tp>
      <tp>
        <v>0</v>
        <stp/>
        <stp>EM_S_VAL_DIVIDENDYIELD2</stp>
        <stp>3</stp>
        <stp>300157</stp>
        <stp>12/31/2018</stp>
        <stp>2019-11-29</stp>
        <tr r="Q2441" s="1"/>
      </tp>
      <tp>
        <v>0</v>
        <stp/>
        <stp>EM_S_VAL_DIVIDENDYIELD2</stp>
        <stp>3</stp>
        <stp>600107</stp>
        <stp>12/31/2018</stp>
        <stp>2019-11-29</stp>
        <tr r="Q1238" s="1"/>
      </tp>
      <tp>
        <v>0.51750380517503802</v>
        <stp/>
        <stp>EM_S_VAL_DIVIDENDYIELD2</stp>
        <stp>3</stp>
        <stp>300147</stp>
        <stp>12/31/2018</stp>
        <stp>2019-11-29</stp>
        <tr r="Q905" s="1"/>
      </tp>
      <tp>
        <v>0</v>
        <stp/>
        <stp>EM_S_VAL_DIVIDENDYIELD2</stp>
        <stp>3</stp>
        <stp>600117</stp>
        <stp>12/31/2018</stp>
        <stp>2019-11-29</stp>
        <tr r="Q2068" s="1"/>
      </tp>
      <tp>
        <v>0.18254397815812667</v>
        <stp/>
        <stp>EM_S_VAL_DIVIDENDYIELD2</stp>
        <stp>3</stp>
        <stp>300177</stp>
        <stp>12/31/2018</stp>
        <stp>2019-11-29</stp>
        <tr r="Q2865" s="1"/>
      </tp>
      <tp>
        <v>0</v>
        <stp/>
        <stp>EM_S_VAL_DIVIDENDYIELD2</stp>
        <stp>3</stp>
        <stp>600127</stp>
        <stp>12/31/2018</stp>
        <stp>2019-11-29</stp>
        <tr r="Q762" s="1"/>
      </tp>
      <tp>
        <v>4.1904421610469038</v>
        <stp/>
        <stp>EM_S_VAL_DIVIDENDYIELD2</stp>
        <stp>3</stp>
        <stp>000157</stp>
        <stp>12/31/2018</stp>
        <stp>2019-11-29</stp>
        <tr r="Q223" s="1"/>
      </tp>
      <tp>
        <v>0</v>
        <stp/>
        <stp>EM_S_VAL_DIVIDENDYIELD2</stp>
        <stp>3</stp>
        <stp>300167</stp>
        <stp>12/31/2018</stp>
        <stp>2019-11-29</stp>
        <tr r="Q2101" s="1"/>
      </tp>
      <tp>
        <v>0.86893555394641553</v>
        <stp/>
        <stp>EM_S_VAL_DIVIDENDYIELD2</stp>
        <stp>3</stp>
        <stp>600137</stp>
        <stp>12/31/2018</stp>
        <stp>2019-11-29</stp>
        <tr r="Q896" s="1"/>
      </tp>
      <tp>
        <v>0.47318551243976598</v>
        <stp/>
        <stp>EM_S_VAL_DIVIDENDYIELD2</stp>
        <stp>3</stp>
        <stp>300197</stp>
        <stp>12/31/2018</stp>
        <stp>2019-11-29</stp>
        <tr r="Q3073" s="1"/>
      </tp>
      <tp>
        <v>0</v>
        <stp/>
        <stp>EM_S_VAL_DIVIDENDYIELD2</stp>
        <stp>3</stp>
        <stp>300187</stp>
        <stp>12/31/2018</stp>
        <stp>2019-11-29</stp>
        <tr r="Q2789" s="1"/>
      </tp>
      <tp>
        <v>0</v>
        <stp/>
        <stp>EM_S_VAL_DIVIDENDYIELD2</stp>
        <stp>3</stp>
        <stp>600187</stp>
        <stp>12/31/2018</stp>
        <stp>2019-11-29</stp>
        <tr r="Q2117" s="1"/>
      </tp>
      <tp>
        <v>2.3680525539236283</v>
        <stp/>
        <stp>EM_S_VAL_DIVIDENDYIELD2</stp>
        <stp>3</stp>
        <stp>600197</stp>
        <stp>12/31/2018</stp>
        <stp>2019-11-29</stp>
        <tr r="Q1198" s="1"/>
      </tp>
      <tp>
        <v>0</v>
        <stp/>
        <stp>EM_S_VAL_DIVIDENDYIELD2</stp>
        <stp>3</stp>
        <stp>000627</stp>
        <stp>12/31/2018</stp>
        <stp>2019-11-29</stp>
        <tr r="Q3489" s="1"/>
      </tp>
      <tp>
        <v>2.4354603019970775</v>
        <stp/>
        <stp>EM_S_VAL_DIVIDENDYIELD2</stp>
        <stp>3</stp>
        <stp>300617</stp>
        <stp>12/31/2018</stp>
        <stp>2019-11-29</stp>
        <tr r="Q1581" s="1"/>
      </tp>
      <tp>
        <v>0</v>
        <stp/>
        <stp>EM_S_VAL_DIVIDENDYIELD2</stp>
        <stp>3</stp>
        <stp>600647</stp>
        <stp>12/31/2018</stp>
        <stp>2019-11-29</stp>
        <tr r="Q1435" s="1"/>
      </tp>
      <tp>
        <v>1.4492753623188404</v>
        <stp/>
        <stp>EM_S_VAL_DIVIDENDYIELD2</stp>
        <stp>3</stp>
        <stp>000637</stp>
        <stp>12/31/2018</stp>
        <stp>2019-11-29</stp>
        <tr r="Q3491" s="1"/>
      </tp>
      <tp>
        <v>0.66330742615040206</v>
        <stp/>
        <stp>EM_S_VAL_DIVIDENDYIELD2</stp>
        <stp>3</stp>
        <stp>300607</stp>
        <stp>12/31/2018</stp>
        <stp>2019-11-29</stp>
        <tr r="Q484" s="1"/>
      </tp>
      <tp>
        <v>3.2432432432432425</v>
        <stp/>
        <stp>EM_S_VAL_DIVIDENDYIELD2</stp>
        <stp>3</stp>
        <stp>600657</stp>
        <stp>12/31/2018</stp>
        <stp>2019-11-29</stp>
        <tr r="Q2195" s="1"/>
      </tp>
      <tp>
        <v>0.24444444444444444</v>
        <stp/>
        <stp>EM_S_VAL_DIVIDENDYIELD2</stp>
        <stp>3</stp>
        <stp>000607</stp>
        <stp>12/31/2018</stp>
        <stp>2019-11-29</stp>
        <tr r="Q3480" s="1"/>
      </tp>
      <tp>
        <v>1.3279624629277147</v>
        <stp/>
        <stp>EM_S_VAL_DIVIDENDYIELD2</stp>
        <stp>3</stp>
        <stp>300637</stp>
        <stp>12/31/2018</stp>
        <stp>2019-11-29</stp>
        <tr r="Q3365" s="1"/>
      </tp>
      <tp>
        <v>1.9571428571428573</v>
        <stp/>
        <stp>EM_S_VAL_DIVIDENDYIELD2</stp>
        <stp>3</stp>
        <stp>600667</stp>
        <stp>12/31/2018</stp>
        <stp>2019-11-29</stp>
        <tr r="Q398" s="1"/>
      </tp>
      <tp>
        <v>2.0938314509122504</v>
        <stp/>
        <stp>EM_S_VAL_DIVIDENDYIELD2</stp>
        <stp>3</stp>
        <stp>000617</stp>
        <stp>12/31/2018</stp>
        <stp>2019-11-29</stp>
        <tr r="Q1592" s="1"/>
      </tp>
      <tp>
        <v>1.179245283018868</v>
        <stp/>
        <stp>EM_S_VAL_DIVIDENDYIELD2</stp>
        <stp>3</stp>
        <stp>300627</stp>
        <stp>12/31/2018</stp>
        <stp>2019-11-29</stp>
        <tr r="Q908" s="1"/>
      </tp>
      <tp>
        <v>1.6483516483516485</v>
        <stp/>
        <stp>EM_S_VAL_DIVIDENDYIELD2</stp>
        <stp>3</stp>
        <stp>600677</stp>
        <stp>12/31/2018</stp>
        <stp>2019-11-29</stp>
        <tr r="Q2619" s="1"/>
      </tp>
      <tp>
        <v>0</v>
        <stp/>
        <stp>EM_S_VAL_DIVIDENDYIELD2</stp>
        <stp>3</stp>
        <stp>000667</stp>
        <stp>12/31/2018</stp>
        <stp>2019-11-29</stp>
        <tr r="Q3499" s="1"/>
      </tp>
      <tp>
        <v>0.41037945852909175</v>
        <stp/>
        <stp>EM_S_VAL_DIVIDENDYIELD2</stp>
        <stp>3</stp>
        <stp>300657</stp>
        <stp>12/31/2018</stp>
        <stp>2019-11-29</stp>
        <tr r="Q1186" s="1"/>
      </tp>
      <tp>
        <v>0</v>
        <stp/>
        <stp>EM_S_VAL_DIVIDENDYIELD2</stp>
        <stp>3</stp>
        <stp>600607</stp>
        <stp>12/31/2018</stp>
        <stp>2019-11-29</stp>
        <tr r="Q2306" s="1"/>
      </tp>
      <tp>
        <v>0</v>
        <stp/>
        <stp>EM_S_VAL_DIVIDENDYIELD2</stp>
        <stp>3</stp>
        <stp>000677</stp>
        <stp>12/31/2018</stp>
        <stp>2019-11-29</stp>
        <tr r="Q699" s="1"/>
      </tp>
      <tp>
        <v>0.12057877813504822</v>
        <stp/>
        <stp>EM_S_VAL_DIVIDENDYIELD2</stp>
        <stp>3</stp>
        <stp>300647</stp>
        <stp>12/31/2018</stp>
        <stp>2019-11-29</stp>
        <tr r="Q2744" s="1"/>
      </tp>
      <tp>
        <v>0.41067761806981523</v>
        <stp/>
        <stp>EM_S_VAL_DIVIDENDYIELD2</stp>
        <stp>3</stp>
        <stp>600617</stp>
        <stp>12/31/2018</stp>
        <stp>2019-11-29</stp>
        <tr r="Q2412" s="1"/>
      </tp>
      <tp>
        <v>0.98482078260601091</v>
        <stp/>
        <stp>EM_S_VAL_DIVIDENDYIELD2</stp>
        <stp>3</stp>
        <stp>300677</stp>
        <stp>12/31/2018</stp>
        <stp>2019-11-29</stp>
        <tr r="Q1528" s="1"/>
      </tp>
      <tp>
        <v>0</v>
        <stp/>
        <stp>EM_S_VAL_DIVIDENDYIELD2</stp>
        <stp>3</stp>
        <stp>600627</stp>
        <stp>12/31/2018</stp>
        <stp>2019-11-29</stp>
        <tr r="Q2308" s="1"/>
      </tp>
      <tp>
        <v>0</v>
        <stp/>
        <stp>EM_S_VAL_DIVIDENDYIELD2</stp>
        <stp>3</stp>
        <stp>000657</stp>
        <stp>12/31/2018</stp>
        <stp>2019-11-29</stp>
        <tr r="Q974" s="1"/>
      </tp>
      <tp>
        <v>0.22081108385048348</v>
        <stp/>
        <stp>EM_S_VAL_DIVIDENDYIELD2</stp>
        <stp>3</stp>
        <stp>300667</stp>
        <stp>12/31/2018</stp>
        <stp>2019-11-29</stp>
        <tr r="Q1538" s="1"/>
      </tp>
      <tp>
        <v>3.0627838584351048</v>
        <stp/>
        <stp>EM_S_VAL_DIVIDENDYIELD2</stp>
        <stp>3</stp>
        <stp>600637</stp>
        <stp>12/31/2018</stp>
        <stp>2019-11-29</stp>
        <tr r="Q2727" s="1"/>
      </tp>
      <tp>
        <v>1.791044776119403</v>
        <stp/>
        <stp>EM_S_VAL_DIVIDENDYIELD2</stp>
        <stp>3</stp>
        <stp>300697</stp>
        <stp>12/31/2018</stp>
        <stp>2019-11-29</stp>
        <tr r="Q772" s="1"/>
      </tp>
      <tp>
        <v>0.42368510163983591</v>
        <stp/>
        <stp>EM_S_VAL_DIVIDENDYIELD2</stp>
        <stp>3</stp>
        <stp>300687</stp>
        <stp>12/31/2018</stp>
        <stp>2019-11-29</stp>
        <tr r="Q3104" s="1"/>
      </tp>
      <tp>
        <v>0</v>
        <stp/>
        <stp>EM_S_VAL_DIVIDENDYIELD2</stp>
        <stp>3</stp>
        <stp>000687</stp>
        <stp>12/31/2018</stp>
        <stp>2019-11-29</stp>
        <tr r="Q3509" s="1"/>
      </tp>
      <tp>
        <v>0</v>
        <stp/>
        <stp>EM_S_VAL_DIVIDENDYIELD2</stp>
        <stp>3</stp>
        <stp>000697</stp>
        <stp>12/31/2018</stp>
        <stp>2019-11-29</stp>
        <tr r="Q2913" s="1"/>
      </tp>
      <tp>
        <v>0</v>
        <stp/>
        <stp>EM_S_VAL_DIVIDENDYIELD2</stp>
        <stp>3</stp>
        <stp>600687</stp>
        <stp>12/31/2018</stp>
        <stp>2019-11-29</stp>
        <tr r="Q3392" s="1"/>
      </tp>
      <tp>
        <v>2.386780905752754</v>
        <stp/>
        <stp>EM_S_VAL_DIVIDENDYIELD2</stp>
        <stp>3</stp>
        <stp>600697</stp>
        <stp>12/31/2018</stp>
        <stp>2019-11-29</stp>
        <tr r="Q2616" s="1"/>
      </tp>
      <tp>
        <v>0</v>
        <stp/>
        <stp>EM_S_VAL_DIVIDENDYIELD2</stp>
        <stp>3</stp>
        <stp>000727</stp>
        <stp>12/31/2018</stp>
        <stp>2019-11-29</stp>
        <tr r="Q3520" s="1"/>
      </tp>
      <tp>
        <v>0.39551746868820042</v>
        <stp/>
        <stp>EM_S_VAL_DIVIDENDYIELD2</stp>
        <stp>3</stp>
        <stp>300717</stp>
        <stp>12/31/2018</stp>
        <stp>2019-11-29</stp>
        <tr r="Q1526" s="1"/>
      </tp>
      <tp>
        <v>0</v>
        <stp/>
        <stp>EM_S_VAL_DIVIDENDYIELD2</stp>
        <stp>3</stp>
        <stp>600747</stp>
        <stp>12/31/2018</stp>
        <stp>2019-11-29</stp>
        <tr r="Q3404" s="1"/>
      </tp>
      <tp>
        <v>0</v>
        <stp/>
        <stp>EM_S_VAL_DIVIDENDYIELD2</stp>
        <stp>3</stp>
        <stp>000737</stp>
        <stp>12/31/2018</stp>
        <stp>2019-11-29</stp>
        <tr r="Q3524" s="1"/>
      </tp>
      <tp>
        <v>0.89525514771709935</v>
        <stp/>
        <stp>EM_S_VAL_DIVIDENDYIELD2</stp>
        <stp>3</stp>
        <stp>300707</stp>
        <stp>12/31/2018</stp>
        <stp>2019-11-29</stp>
        <tr r="Q1481" s="1"/>
      </tp>
      <tp>
        <v>2.5083612040133776</v>
        <stp/>
        <stp>EM_S_VAL_DIVIDENDYIELD2</stp>
        <stp>3</stp>
        <stp>600757</stp>
        <stp>12/31/2018</stp>
        <stp>2019-11-29</stp>
        <tr r="Q2613" s="1"/>
      </tp>
      <tp>
        <v>0</v>
        <stp/>
        <stp>EM_S_VAL_DIVIDENDYIELD2</stp>
        <stp>3</stp>
        <stp>000707</stp>
        <stp>12/31/2018</stp>
        <stp>2019-11-29</stp>
        <tr r="Q3517" s="1"/>
      </tp>
      <tp>
        <v>0.46606802505842326</v>
        <stp/>
        <stp>EM_S_VAL_DIVIDENDYIELD2</stp>
        <stp>3</stp>
        <stp>300737</stp>
        <stp>12/31/2018</stp>
        <stp>2019-11-29</stp>
        <tr r="Q983" s="1"/>
      </tp>
      <tp>
        <v>0</v>
        <stp/>
        <stp>EM_S_VAL_DIVIDENDYIELD2</stp>
        <stp>3</stp>
        <stp>600767</stp>
        <stp>12/31/2018</stp>
        <stp>2019-11-29</stp>
        <tr r="Q2211" s="1"/>
      </tp>
      <tp>
        <v>0</v>
        <stp/>
        <stp>EM_S_VAL_DIVIDENDYIELD2</stp>
        <stp>3</stp>
        <stp>000717</stp>
        <stp>12/31/2018</stp>
        <stp>2019-11-29</stp>
        <tr r="Q2113" s="1"/>
      </tp>
      <tp>
        <v>1.0281014393420151</v>
        <stp/>
        <stp>EM_S_VAL_DIVIDENDYIELD2</stp>
        <stp>3</stp>
        <stp>300727</stp>
        <stp>12/31/2018</stp>
        <stp>2019-11-29</stp>
        <tr r="Q3144" s="1"/>
      </tp>
      <tp>
        <v>0</v>
        <stp/>
        <stp>EM_S_VAL_DIVIDENDYIELD2</stp>
        <stp>3</stp>
        <stp>600777</stp>
        <stp>12/31/2018</stp>
        <stp>2019-11-29</stp>
        <tr r="Q1771" s="1"/>
      </tp>
      <tp>
        <v>0</v>
        <stp/>
        <stp>EM_S_VAL_DIVIDENDYIELD2</stp>
        <stp>3</stp>
        <stp>000767</stp>
        <stp>12/31/2018</stp>
        <stp>2019-11-29</stp>
        <tr r="Q2442" s="1"/>
      </tp>
      <tp>
        <v>0</v>
        <stp/>
        <stp>EM_S_VAL_DIVIDENDYIELD2</stp>
        <stp>3</stp>
        <stp>600707</stp>
        <stp>12/31/2018</stp>
        <stp>2019-11-29</stp>
        <tr r="Q2050" s="1"/>
      </tp>
      <tp>
        <v>0.7785467128027681</v>
        <stp/>
        <stp>EM_S_VAL_DIVIDENDYIELD2</stp>
        <stp>3</stp>
        <stp>000777</stp>
        <stp>12/31/2018</stp>
        <stp>2019-11-29</stp>
        <tr r="Q1259" s="1"/>
      </tp>
      <tp>
        <v>0.32792261026397768</v>
        <stp/>
        <stp>EM_S_VAL_DIVIDENDYIELD2</stp>
        <stp>3</stp>
        <stp>300747</stp>
        <stp>12/31/2018</stp>
        <stp>2019-11-29</stp>
        <tr r="Q2959" s="1"/>
      </tp>
      <tp>
        <v>1.446945337620579</v>
        <stp/>
        <stp>EM_S_VAL_DIVIDENDYIELD2</stp>
        <stp>3</stp>
        <stp>600717</stp>
        <stp>12/31/2018</stp>
        <stp>2019-11-29</stp>
        <tr r="Q2806" s="1"/>
      </tp>
      <tp>
        <v>0</v>
        <stp/>
        <stp>EM_S_VAL_DIVIDENDYIELD2</stp>
        <stp>3</stp>
        <stp>600727</stp>
        <stp>12/31/2018</stp>
        <stp>2019-11-29</stp>
        <tr r="Q964" s="1"/>
      </tp>
      <tp>
        <v>0</v>
        <stp/>
        <stp>EM_S_VAL_DIVIDENDYIELD2</stp>
        <stp>3</stp>
        <stp>000757</stp>
        <stp>12/31/2018</stp>
        <stp>2019-11-29</stp>
        <tr r="Q2835" s="1"/>
      </tp>
      <tp>
        <v>0</v>
        <stp/>
        <stp>EM_S_VAL_DIVIDENDYIELD2</stp>
        <stp>3</stp>
        <stp>600737</stp>
        <stp>12/31/2018</stp>
        <stp>2019-11-29</stp>
        <tr r="Q1484" s="1"/>
      </tp>
      <tp>
        <v>0</v>
        <stp/>
        <stp>EM_S_VAL_DIVIDENDYIELD2</stp>
        <stp>3</stp>
        <stp>000787</stp>
        <stp>12/31/2018</stp>
        <stp>2019-11-29</stp>
        <tr r="Q3538" s="1"/>
      </tp>
      <tp>
        <v>1.5340468012632589</v>
        <stp/>
        <stp>EM_S_VAL_DIVIDENDYIELD2</stp>
        <stp>3</stp>
        <stp>000797</stp>
        <stp>12/31/2018</stp>
        <stp>2019-11-29</stp>
        <tr r="Q3127" s="1"/>
      </tp>
      <tp>
        <v>0.4674796747967479</v>
        <stp/>
        <stp>EM_S_VAL_DIVIDENDYIELD2</stp>
        <stp>3</stp>
        <stp>600787</stp>
        <stp>12/31/2018</stp>
        <stp>2019-11-29</stp>
        <tr r="Q2015" s="1"/>
      </tp>
      <tp>
        <v>0.30551535215509434</v>
        <stp/>
        <stp>EM_S_VAL_DIVIDENDYIELD2</stp>
        <stp>3</stp>
        <stp>600797</stp>
        <stp>12/31/2018</stp>
        <stp>2019-11-29</stp>
        <tr r="Q719" s="1"/>
      </tp>
      <tp>
        <v>0.61500615006150061</v>
        <stp/>
        <stp>EM_S_VAL_DIVIDENDYIELD2</stp>
        <stp>3</stp>
        <stp>300417</stp>
        <stp>12/31/2018</stp>
        <stp>2019-11-29</stp>
        <tr r="Q56" s="1"/>
      </tp>
      <tp>
        <v>0.13380387878285302</v>
        <stp/>
        <stp>EM_S_VAL_DIVIDENDYIELD2</stp>
        <stp>3</stp>
        <stp>300407</stp>
        <stp>12/31/2018</stp>
        <stp>2019-11-29</stp>
        <tr r="Q2060" s="1"/>
      </tp>
      <tp>
        <v>0</v>
        <stp/>
        <stp>EM_S_VAL_DIVIDENDYIELD2</stp>
        <stp>3</stp>
        <stp>000407</stp>
        <stp>12/31/2018</stp>
        <stp>2019-11-29</stp>
        <tr r="Q2601" s="1"/>
      </tp>
      <tp>
        <v>2.2885572139303481</v>
        <stp/>
        <stp>EM_S_VAL_DIVIDENDYIELD2</stp>
        <stp>3</stp>
        <stp>300437</stp>
        <stp>12/31/2018</stp>
        <stp>2019-11-29</stp>
        <tr r="Q2786" s="1"/>
      </tp>
      <tp>
        <v>0.55319148936170226</v>
        <stp/>
        <stp>EM_S_VAL_DIVIDENDYIELD2</stp>
        <stp>3</stp>
        <stp>600467</stp>
        <stp>12/31/2018</stp>
        <stp>2019-11-29</stp>
        <tr r="Q2199" s="1"/>
      </tp>
      <tp>
        <v>3.4562211981566824</v>
        <stp/>
        <stp>EM_S_VAL_DIVIDENDYIELD2</stp>
        <stp>3</stp>
        <stp>000417</stp>
        <stp>12/31/2018</stp>
        <stp>2019-11-29</stp>
        <tr r="Q1571" s="1"/>
      </tp>
      <tp>
        <v>1.0696517412935325</v>
        <stp/>
        <stp>EM_S_VAL_DIVIDENDYIELD2</stp>
        <stp>3</stp>
        <stp>300427</stp>
        <stp>12/31/2018</stp>
        <stp>2019-11-29</stp>
        <tr r="Q971" s="1"/>
      </tp>
      <tp>
        <v>3.1014713148457611</v>
        <stp/>
        <stp>EM_S_VAL_DIVIDENDYIELD2</stp>
        <stp>3</stp>
        <stp>600477</stp>
        <stp>12/31/2018</stp>
        <stp>2019-11-29</stp>
        <tr r="Q3098" s="1"/>
      </tp>
      <tp>
        <v>0.1295816364309515</v>
        <stp/>
        <stp>EM_S_VAL_DIVIDENDYIELD2</stp>
        <stp>3</stp>
        <stp>300457</stp>
        <stp>12/31/2018</stp>
        <stp>2019-11-29</stp>
        <tr r="Q1422" s="1"/>
      </tp>
      <tp>
        <v>0</v>
        <stp/>
        <stp>EM_S_VAL_DIVIDENDYIELD2</stp>
        <stp>3</stp>
        <stp>300447</stp>
        <stp>12/31/2018</stp>
        <stp>2019-11-29</stp>
        <tr r="Q1960" s="1"/>
      </tp>
      <tp>
        <v>0.18504811269087856</v>
        <stp/>
        <stp>EM_S_VAL_DIVIDENDYIELD2</stp>
        <stp>3</stp>
        <stp>300477</stp>
        <stp>12/31/2018</stp>
        <stp>2019-11-29</stp>
        <tr r="Q3020" s="1"/>
      </tp>
      <tp>
        <v>0</v>
        <stp/>
        <stp>EM_S_VAL_DIVIDENDYIELD2</stp>
        <stp>3</stp>
        <stp>300467</stp>
        <stp>12/31/2018</stp>
        <stp>2019-11-29</stp>
        <tr r="Q2940" s="1"/>
      </tp>
      <tp>
        <v>0.97273520791231494</v>
        <stp/>
        <stp>EM_S_VAL_DIVIDENDYIELD2</stp>
        <stp>3</stp>
        <stp>300497</stp>
        <stp>12/31/2018</stp>
        <stp>2019-11-29</stp>
        <tr r="Q2053" s="1"/>
      </tp>
      <tp>
        <v>0.43310100404757967</v>
        <stp/>
        <stp>EM_S_VAL_DIVIDENDYIELD2</stp>
        <stp>3</stp>
        <stp>300487</stp>
        <stp>12/31/2018</stp>
        <stp>2019-11-29</stp>
        <tr r="Q612" s="1"/>
      </tp>
      <tp>
        <v>0.96899154512179908</v>
        <stp/>
        <stp>EM_S_VAL_DIVIDENDYIELD2</stp>
        <stp>3</stp>
        <stp>600487</stp>
        <stp>12/31/2018</stp>
        <stp>2019-11-29</stp>
        <tr r="Q2604" s="1"/>
      </tp>
      <tp>
        <v>1.7073170731707319</v>
        <stp/>
        <stp>EM_S_VAL_DIVIDENDYIELD2</stp>
        <stp>3</stp>
        <stp>600497</stp>
        <stp>12/31/2018</stp>
        <stp>2019-11-29</stp>
        <tr r="Q1854" s="1"/>
      </tp>
      <tp>
        <v>0</v>
        <stp/>
        <stp>EM_S_VAL_DIVIDENDYIELD2</stp>
        <stp>3</stp>
        <stp>000527</stp>
        <stp>12/31/2018</stp>
        <stp>2019-11-29</stp>
        <tr r="Q3443" s="1"/>
      </tp>
      <tp>
        <v>0.19629152416086448</v>
        <stp/>
        <stp>EM_S_VAL_DIVIDENDYIELD2</stp>
        <stp>3</stp>
        <stp>300517</stp>
        <stp>12/31/2018</stp>
        <stp>2019-11-29</stp>
        <tr r="Q1512" s="1"/>
      </tp>
      <tp>
        <v>0.23738308888353327</v>
        <stp/>
        <stp>EM_S_VAL_DIVIDENDYIELD2</stp>
        <stp>3</stp>
        <stp>600547</stp>
        <stp>12/31/2018</stp>
        <stp>2019-11-29</stp>
        <tr r="Q1942" s="1"/>
      </tp>
      <tp>
        <v>1.9061583577712611</v>
        <stp/>
        <stp>EM_S_VAL_DIVIDENDYIELD2</stp>
        <stp>3</stp>
        <stp>000537</stp>
        <stp>12/31/2018</stp>
        <stp>2019-11-29</stp>
        <tr r="Q2013" s="1"/>
      </tp>
      <tp>
        <v>0.72872253510646356</v>
        <stp/>
        <stp>EM_S_VAL_DIVIDENDYIELD2</stp>
        <stp>3</stp>
        <stp>300507</stp>
        <stp>12/31/2018</stp>
        <stp>2019-11-29</stp>
        <tr r="Q3002" s="1"/>
      </tp>
      <tp>
        <v>0.56258790436005623</v>
        <stp/>
        <stp>EM_S_VAL_DIVIDENDYIELD2</stp>
        <stp>3</stp>
        <stp>600557</stp>
        <stp>12/31/2018</stp>
        <stp>2019-11-29</stp>
        <tr r="Q737" s="1"/>
      </tp>
      <tp>
        <v>0.6876661264181525</v>
        <stp/>
        <stp>EM_S_VAL_DIVIDENDYIELD2</stp>
        <stp>3</stp>
        <stp>000507</stp>
        <stp>12/31/2018</stp>
        <stp>2019-11-29</stp>
        <tr r="Q2637" s="1"/>
      </tp>
      <tp>
        <v>0.33726812816188867</v>
        <stp/>
        <stp>EM_S_VAL_DIVIDENDYIELD2</stp>
        <stp>3</stp>
        <stp>300537</stp>
        <stp>12/31/2018</stp>
        <stp>2019-11-29</stp>
        <tr r="Q142" s="1"/>
      </tp>
      <tp>
        <v>0</v>
        <stp/>
        <stp>EM_S_VAL_DIVIDENDYIELD2</stp>
        <stp>3</stp>
        <stp>600567</stp>
        <stp>12/31/2018</stp>
        <stp>2019-11-29</stp>
        <tr r="Q1183" s="1"/>
      </tp>
      <tp>
        <v>0</v>
        <stp/>
        <stp>EM_S_VAL_DIVIDENDYIELD2</stp>
        <stp>3</stp>
        <stp>000517</stp>
        <stp>12/31/2018</stp>
        <stp>2019-11-29</stp>
        <tr r="Q3440" s="1"/>
      </tp>
      <tp>
        <v>0.22566470861353241</v>
        <stp/>
        <stp>EM_S_VAL_DIVIDENDYIELD2</stp>
        <stp>3</stp>
        <stp>300527</stp>
        <stp>12/31/2018</stp>
        <stp>2019-11-29</stp>
        <tr r="Q365" s="1"/>
      </tp>
      <tp>
        <v>1.4981273408239701</v>
        <stp/>
        <stp>EM_S_VAL_DIVIDENDYIELD2</stp>
        <stp>3</stp>
        <stp>600577</stp>
        <stp>12/31/2018</stp>
        <stp>2019-11-29</stp>
        <tr r="Q2701" s="1"/>
      </tp>
      <tp>
        <v>0.41276120086562385</v>
        <stp/>
        <stp>EM_S_VAL_DIVIDENDYIELD2</stp>
        <stp>3</stp>
        <stp>000567</stp>
        <stp>12/31/2018</stp>
        <stp>2019-11-29</stp>
        <tr r="Q3459" s="1"/>
      </tp>
      <tp>
        <v>0.39888312724371761</v>
        <stp/>
        <stp>EM_S_VAL_DIVIDENDYIELD2</stp>
        <stp>3</stp>
        <stp>300557</stp>
        <stp>12/31/2018</stp>
        <stp>2019-11-29</stp>
        <tr r="Q1012" s="1"/>
      </tp>
      <tp>
        <v>19.021978947732325</v>
        <stp/>
        <stp>EM_S_VAL_DIVIDENDYIELD2</stp>
        <stp>3</stp>
        <stp>600507</stp>
        <stp>12/31/2018</stp>
        <stp>2019-11-29</stp>
        <tr r="Q2209" s="1"/>
      </tp>
      <tp>
        <v>3.4221256437258853</v>
        <stp/>
        <stp>EM_S_VAL_DIVIDENDYIELD2</stp>
        <stp>3</stp>
        <stp>300547</stp>
        <stp>12/31/2018</stp>
        <stp>2019-11-29</stp>
        <tr r="Q3328" s="1"/>
      </tp>
      <tp>
        <v>0</v>
        <stp/>
        <stp>EM_S_VAL_DIVIDENDYIELD2</stp>
        <stp>3</stp>
        <stp>600517</stp>
        <stp>12/31/2018</stp>
        <stp>2019-11-29</stp>
        <tr r="Q72" s="1"/>
      </tp>
      <tp>
        <v>0</v>
        <stp/>
        <stp>EM_S_VAL_DIVIDENDYIELD2</stp>
        <stp>3</stp>
        <stp>000547</stp>
        <stp>12/31/2018</stp>
        <stp>2019-11-29</stp>
        <tr r="Q790" s="1"/>
      </tp>
      <tp>
        <v>0.67266173048329114</v>
        <stp/>
        <stp>EM_S_VAL_DIVIDENDYIELD2</stp>
        <stp>3</stp>
        <stp>300577</stp>
        <stp>12/31/2018</stp>
        <stp>2019-11-29</stp>
        <tr r="Q1691" s="1"/>
      </tp>
      <tp>
        <v>4.9261083743842358</v>
        <stp/>
        <stp>EM_S_VAL_DIVIDENDYIELD2</stp>
        <stp>3</stp>
        <stp>600527</stp>
        <stp>12/31/2018</stp>
        <stp>2019-11-29</stp>
        <tr r="Q2084" s="1"/>
      </tp>
      <tp>
        <v>0</v>
        <stp/>
        <stp>EM_S_VAL_DIVIDENDYIELD2</stp>
        <stp>3</stp>
        <stp>000557</stp>
        <stp>12/31/2018</stp>
        <stp>2019-11-29</stp>
        <tr r="Q2277" s="1"/>
      </tp>
      <tp>
        <v>0.82311110068163629</v>
        <stp/>
        <stp>EM_S_VAL_DIVIDENDYIELD2</stp>
        <stp>3</stp>
        <stp>300567</stp>
        <stp>12/31/2018</stp>
        <stp>2019-11-29</stp>
        <tr r="Q1721" s="1"/>
      </tp>
      <tp>
        <v>0.68965517241379315</v>
        <stp/>
        <stp>EM_S_VAL_DIVIDENDYIELD2</stp>
        <stp>3</stp>
        <stp>600537</stp>
        <stp>12/31/2018</stp>
        <stp>2019-11-29</stp>
        <tr r="Q1744" s="1"/>
      </tp>
      <tp>
        <v>0.16754850088183421</v>
        <stp/>
        <stp>EM_S_VAL_DIVIDENDYIELD2</stp>
        <stp>3</stp>
        <stp>300597</stp>
        <stp>12/31/2018</stp>
        <stp>2019-11-29</stp>
        <tr r="Q3046" s="1"/>
      </tp>
      <tp>
        <v>0.58667083854818525</v>
        <stp/>
        <stp>EM_S_VAL_DIVIDENDYIELD2</stp>
        <stp>3</stp>
        <stp>300587</stp>
        <stp>12/31/2018</stp>
        <stp>2019-11-29</stp>
        <tr r="Q2762" s="1"/>
      </tp>
      <tp>
        <v>0</v>
        <stp/>
        <stp>EM_S_VAL_DIVIDENDYIELD2</stp>
        <stp>3</stp>
        <stp>000587</stp>
        <stp>12/31/2018</stp>
        <stp>2019-11-29</stp>
        <tr r="Q3469" s="1"/>
      </tp>
      <tp>
        <v>0</v>
        <stp/>
        <stp>EM_S_VAL_DIVIDENDYIELD2</stp>
        <stp>3</stp>
        <stp>000597</stp>
        <stp>12/31/2018</stp>
        <stp>2019-11-29</stp>
        <tr r="Q3256" s="1"/>
      </tp>
      <tp>
        <v>0.34695451040863523</v>
        <stp/>
        <stp>EM_S_VAL_DIVIDENDYIELD2</stp>
        <stp>3</stp>
        <stp>600587</stp>
        <stp>12/31/2018</stp>
        <stp>2019-11-29</stp>
        <tr r="Q1818" s="1"/>
      </tp>
      <tp>
        <v>0.89686098654708524</v>
        <stp/>
        <stp>EM_S_VAL_DIVIDENDYIELD2</stp>
        <stp>3</stp>
        <stp>600597</stp>
        <stp>12/31/2018</stp>
        <stp>2019-11-29</stp>
        <tr r="Q587" s="1"/>
      </tp>
      <tp>
        <v>0</v>
        <stp/>
        <stp>EM_S_VAL_DIVIDENDYIELD2</stp>
        <stp>3</stp>
        <stp>000827</stp>
        <stp>12/31/2018</stp>
        <stp>2019-11-29</stp>
        <tr r="Q3550" s="1"/>
      </tp>
      <tp>
        <v>0</v>
        <stp/>
        <stp>EM_S_VAL_DIVIDENDYIELD2</stp>
        <stp>3</stp>
        <stp>600847</stp>
        <stp>12/31/2018</stp>
        <stp>2019-11-29</stp>
        <tr r="Q2395" s="1"/>
      </tp>
      <tp>
        <v>0</v>
        <stp/>
        <stp>EM_S_VAL_DIVIDENDYIELD2</stp>
        <stp>3</stp>
        <stp>000837</stp>
        <stp>12/31/2018</stp>
        <stp>2019-11-29</stp>
        <tr r="Q3554" s="1"/>
      </tp>
      <tp>
        <v>0</v>
        <stp/>
        <stp>EM_S_VAL_DIVIDENDYIELD2</stp>
        <stp>3</stp>
        <stp>600857</stp>
        <stp>12/31/2018</stp>
        <stp>2019-11-29</stp>
        <tr r="Q1701" s="1"/>
      </tp>
      <tp>
        <v>0</v>
        <stp/>
        <stp>EM_S_VAL_DIVIDENDYIELD2</stp>
        <stp>3</stp>
        <stp>000807</stp>
        <stp>12/31/2018</stp>
        <stp>2019-11-29</stp>
        <tr r="Q3546" s="1"/>
      </tp>
      <tp>
        <v>1.5071590052750568</v>
        <stp/>
        <stp>EM_S_VAL_DIVIDENDYIELD2</stp>
        <stp>3</stp>
        <stp>600867</stp>
        <stp>12/31/2018</stp>
        <stp>2019-11-29</stp>
        <tr r="Q2809" s="1"/>
      </tp>
      <tp>
        <v>0</v>
        <stp/>
        <stp>EM_S_VAL_DIVIDENDYIELD2</stp>
        <stp>3</stp>
        <stp>000817</stp>
        <stp>12/31/2018</stp>
        <stp>2019-11-29</stp>
        <tr r="Q3548" s="1"/>
      </tp>
      <tp>
        <v>0</v>
        <stp/>
        <stp>EM_S_VAL_DIVIDENDYIELD2</stp>
        <stp>3</stp>
        <stp>600877</stp>
        <stp>12/31/2018</stp>
        <stp>2019-11-29</stp>
        <tr r="Q1175" s="1"/>
      </tp>
      <tp>
        <v>0</v>
        <stp/>
        <stp>EM_S_VAL_DIVIDENDYIELD2</stp>
        <stp>3</stp>
        <stp>600807</stp>
        <stp>12/31/2018</stp>
        <stp>2019-11-29</stp>
        <tr r="Q2570" s="1"/>
      </tp>
      <tp>
        <v>3.6156041864890582</v>
        <stp/>
        <stp>EM_S_VAL_DIVIDENDYIELD2</stp>
        <stp>3</stp>
        <stp>000877</stp>
        <stp>12/31/2018</stp>
        <stp>2019-11-29</stp>
        <tr r="Q407" s="1"/>
      </tp>
      <tp>
        <v>0</v>
        <stp/>
        <stp>EM_S_VAL_DIVIDENDYIELD2</stp>
        <stp>3</stp>
        <stp>600817</stp>
        <stp>12/31/2018</stp>
        <stp>2019-11-29</stp>
        <tr r="Q2126" s="1"/>
      </tp>
      <tp>
        <v>2.045454545454545</v>
        <stp/>
        <stp>EM_S_VAL_DIVIDENDYIELD2</stp>
        <stp>3</stp>
        <stp>600827</stp>
        <stp>12/31/2018</stp>
        <stp>2019-11-29</stp>
        <tr r="Q1943" s="1"/>
      </tp>
      <tp>
        <v>1.0917030567685591</v>
        <stp/>
        <stp>EM_S_VAL_DIVIDENDYIELD2</stp>
        <stp>3</stp>
        <stp>600837</stp>
        <stp>12/31/2018</stp>
        <stp>2019-11-29</stp>
        <tr r="Q260" s="1"/>
      </tp>
      <tp>
        <v>2.4752470138154012</v>
        <stp/>
        <stp>EM_S_VAL_DIVIDENDYIELD2</stp>
        <stp>3</stp>
        <stp>000887</stp>
        <stp>12/31/2018</stp>
        <stp>2019-11-29</stp>
        <tr r="Q2794" s="1"/>
      </tp>
      <tp>
        <v>0</v>
        <stp/>
        <stp>EM_S_VAL_DIVIDENDYIELD2</stp>
        <stp>3</stp>
        <stp>000897</stp>
        <stp>12/31/2018</stp>
        <stp>2019-11-29</stp>
        <tr r="Q3568" s="1"/>
      </tp>
      <tp>
        <v>2.3988275389900453</v>
        <stp/>
        <stp>EM_S_VAL_DIVIDENDYIELD2</stp>
        <stp>3</stp>
        <stp>600887</stp>
        <stp>12/31/2018</stp>
        <stp>2019-11-29</stp>
        <tr r="Q827" s="1"/>
      </tp>
      <tp>
        <v>6.2166100048567259</v>
        <stp/>
        <stp>EM_S_VAL_DIVIDENDYIELD2</stp>
        <stp>3</stp>
        <stp>600897</stp>
        <stp>12/31/2018</stp>
        <stp>2019-11-29</stp>
        <tr r="Q2061" s="1"/>
      </tp>
      <tp>
        <v>0</v>
        <stp/>
        <stp>EM_S_VAL_DIVIDENDYIELD2</stp>
        <stp>3</stp>
        <stp>000927</stp>
        <stp>12/31/2018</stp>
        <stp>2019-11-29</stp>
        <tr r="Q3579" s="1"/>
      </tp>
      <tp>
        <v>2.8490028490028489</v>
        <stp/>
        <stp>EM_S_VAL_DIVIDENDYIELD2</stp>
        <stp>3</stp>
        <stp>000937</stp>
        <stp>12/31/2018</stp>
        <stp>2019-11-29</stp>
        <tr r="Q2461" s="1"/>
      </tp>
      <tp>
        <v>0.3229061553985873</v>
        <stp/>
        <stp>EM_S_VAL_DIVIDENDYIELD2</stp>
        <stp>3</stp>
        <stp>600967</stp>
        <stp>12/31/2018</stp>
        <stp>2019-11-29</stp>
        <tr r="Q2184" s="1"/>
      </tp>
      <tp>
        <v>0.30150753768844218</v>
        <stp/>
        <stp>EM_S_VAL_DIVIDENDYIELD2</stp>
        <stp>3</stp>
        <stp>000917</stp>
        <stp>12/31/2018</stp>
        <stp>2019-11-29</stp>
        <tr r="Q2445" s="1"/>
      </tp>
      <tp>
        <v>1.9914953933380584</v>
        <stp/>
        <stp>EM_S_VAL_DIVIDENDYIELD2</stp>
        <stp>3</stp>
        <stp>600977</stp>
        <stp>12/31/2018</stp>
        <stp>2019-11-29</stp>
        <tr r="Q1944" s="1"/>
      </tp>
      <tp>
        <v>1.7217882960413082</v>
        <stp/>
        <stp>EM_S_VAL_DIVIDENDYIELD2</stp>
        <stp>3</stp>
        <stp>000967</stp>
        <stp>12/31/2018</stp>
        <stp>2019-11-29</stp>
        <tr r="Q1753" s="1"/>
      </tp>
      <tp>
        <v>0.20040080160320639</v>
        <stp/>
        <stp>EM_S_VAL_DIVIDENDYIELD2</stp>
        <stp>3</stp>
        <stp>000977</stp>
        <stp>12/31/2018</stp>
        <stp>2019-11-29</stp>
        <tr r="Q206" s="1"/>
      </tp>
      <tp>
        <v>1.1126564673157162</v>
        <stp/>
        <stp>EM_S_VAL_DIVIDENDYIELD2</stp>
        <stp>3</stp>
        <stp>600917</stp>
        <stp>12/31/2018</stp>
        <stp>2019-11-29</stp>
        <tr r="Q2163" s="1"/>
      </tp>
      <tp>
        <v>0</v>
        <stp/>
        <stp>EM_S_VAL_DIVIDENDYIELD2</stp>
        <stp>3</stp>
        <stp>000957</stp>
        <stp>12/31/2018</stp>
        <stp>2019-11-29</stp>
        <tr r="Q3587" s="1"/>
      </tp>
      <tp>
        <v>1.0625737898465171</v>
        <stp/>
        <stp>EM_S_VAL_DIVIDENDYIELD2</stp>
        <stp>3</stp>
        <stp>000987</stp>
        <stp>12/31/2018</stp>
        <stp>2019-11-29</stp>
        <tr r="Q3597" s="1"/>
      </tp>
      <tp>
        <v>2.0070830272663565</v>
        <stp/>
        <stp>EM_S_VAL_DIVIDENDYIELD2</stp>
        <stp>3</stp>
        <stp>000997</stp>
        <stp>12/31/2018</stp>
        <stp>2019-11-29</stp>
        <tr r="Q1814" s="1"/>
      </tp>
      <tp>
        <v>3.218390804002154</v>
        <stp/>
        <stp>EM_S_VAL_DIVIDENDYIELD2</stp>
        <stp>3</stp>
        <stp>600987</stp>
        <stp>12/31/2018</stp>
        <stp>2019-11-29</stp>
        <tr r="Q3102" s="1"/>
      </tp>
      <tp>
        <v>5.0485436893203888</v>
        <stp/>
        <stp>EM_S_VAL_DIVIDENDYIELD2</stp>
        <stp>3</stp>
        <stp>600997</stp>
        <stp>12/31/2018</stp>
        <stp>2019-11-29</stp>
        <tr r="Q2542" s="1"/>
      </tp>
      <tp>
        <v>0.80775444264943475</v>
        <stp/>
        <stp>EM_S_VAL_DIVIDENDYIELD2</stp>
        <stp>3</stp>
        <stp>601377</stp>
        <stp>12/31/2018</stp>
        <stp>2019-11-29</stp>
        <tr r="Q499" s="1"/>
      </tp>
      <tp>
        <v>2.2753128555176336</v>
        <stp/>
        <stp>EM_S_VAL_DIVIDENDYIELD2</stp>
        <stp>3</stp>
        <stp>601007</stp>
        <stp>12/31/2018</stp>
        <stp>2019-11-29</stp>
        <tr r="Q1482" s="1"/>
      </tp>
      <tp>
        <v>0.21739130434782608</v>
        <stp/>
        <stp>EM_S_VAL_DIVIDENDYIELD2</stp>
        <stp>3</stp>
        <stp>601177</stp>
        <stp>12/31/2018</stp>
        <stp>2019-11-29</stp>
        <tr r="Q2162" s="1"/>
      </tp>
      <tp>
        <v>2.5839793281653747</v>
        <stp/>
        <stp>EM_S_VAL_DIVIDENDYIELD2</stp>
        <stp>3</stp>
        <stp>601107</stp>
        <stp>12/31/2018</stp>
        <stp>2019-11-29</stp>
        <tr r="Q1498" s="1"/>
      </tp>
      <tp>
        <v>1.8940609951845908</v>
        <stp/>
        <stp>EM_S_VAL_DIVIDENDYIELD2</stp>
        <stp>3</stp>
        <stp>601117</stp>
        <stp>12/31/2018</stp>
        <stp>2019-11-29</stp>
        <tr r="Q1279" s="1"/>
      </tp>
      <tp>
        <v>0.63441701200057898</v>
        <stp/>
        <stp>EM_S_VAL_DIVIDENDYIELD2</stp>
        <stp>3</stp>
        <stp>601127</stp>
        <stp>12/31/2018</stp>
        <stp>2019-11-29</stp>
        <tr r="Q3258" s="1"/>
      </tp>
      <tp>
        <v>0.7580481061671317</v>
        <stp/>
        <stp>EM_S_VAL_DIVIDENDYIELD2</stp>
        <stp>3</stp>
        <stp>601137</stp>
        <stp>12/31/2018</stp>
        <stp>2019-11-29</stp>
        <tr r="Q356" s="1"/>
      </tp>
      <tp>
        <v>1.7807493225703279</v>
        <stp/>
        <stp>EM_S_VAL_DIVIDENDYIELD2</stp>
        <stp>3</stp>
        <stp>601677</stp>
        <stp>12/31/2018</stp>
        <stp>2019-11-29</stp>
        <tr r="Q925" s="1"/>
      </tp>
      <tp>
        <v>2.3046655424395728</v>
        <stp/>
        <stp>EM_S_VAL_DIVIDENDYIELD2</stp>
        <stp>3</stp>
        <stp>601607</stp>
        <stp>12/31/2018</stp>
        <stp>2019-11-29</stp>
        <tr r="Q1979" s="1"/>
      </tp>
      <tp>
        <v>0</v>
        <stp/>
        <stp>EM_S_VAL_DIVIDENDYIELD2</stp>
        <stp>3</stp>
        <stp>601777</stp>
        <stp>12/31/2018</stp>
        <stp>2019-11-29</stp>
        <tr r="Q3037" s="1"/>
      </tp>
      <tp>
        <v>2.3462783171521031</v>
        <stp/>
        <stp>EM_S_VAL_DIVIDENDYIELD2</stp>
        <stp>3</stp>
        <stp>601717</stp>
        <stp>12/31/2018</stp>
        <stp>2019-11-29</stp>
        <tr r="Q1407" s="1"/>
      </tp>
      <tp>
        <v>1.3132476112631595</v>
        <stp/>
        <stp>EM_S_VAL_DIVIDENDYIELD2</stp>
        <stp>3</stp>
        <stp>601727</stp>
        <stp>12/31/2018</stp>
        <stp>2019-11-29</stp>
        <tr r="Q2339" s="1"/>
      </tp>
      <tp>
        <v>4.497751124437781</v>
        <stp/>
        <stp>EM_S_VAL_DIVIDENDYIELD2</stp>
        <stp>3</stp>
        <stp>601567</stp>
        <stp>12/31/2018</stp>
        <stp>2019-11-29</stp>
        <tr r="Q931" s="1"/>
      </tp>
      <tp>
        <v>1.6100178890876564</v>
        <stp/>
        <stp>EM_S_VAL_DIVIDENDYIELD2</stp>
        <stp>3</stp>
        <stp>601857</stp>
        <stp>12/31/2018</stp>
        <stp>2019-11-29</stp>
        <tr r="Q3048" s="1"/>
      </tp>
      <tp>
        <v>2.5125628140703515</v>
        <stp/>
        <stp>EM_S_VAL_DIVIDENDYIELD2</stp>
        <stp>3</stp>
        <stp>601877</stp>
        <stp>12/31/2018</stp>
        <stp>2019-11-29</stp>
        <tr r="Q1679" s="1"/>
      </tp>
      <tp>
        <v>3.1022180859314412</v>
        <stp/>
        <stp>EM_S_VAL_DIVIDENDYIELD2</stp>
        <stp>3</stp>
        <stp>601997</stp>
        <stp>12/31/2018</stp>
        <stp>2019-11-29</stp>
        <tr r="Q2788" s="1"/>
      </tp>
      <tp>
        <v>0</v>
        <stp/>
        <stp>EM_S_VAL_DIVIDENDYIELD2</stp>
        <stp>3</stp>
        <stp>002226</stp>
        <stp>12/31/2018</stp>
        <stp>2019-11-29</stp>
        <tr r="Q1997" s="1"/>
      </tp>
      <tp>
        <v>0.59032703659976393</v>
        <stp/>
        <stp>EM_S_VAL_DIVIDENDYIELD2</stp>
        <stp>3</stp>
        <stp>002236</stp>
        <stp>12/31/2018</stp>
        <stp>2019-11-29</stp>
        <tr r="Q283" s="1"/>
      </tp>
      <tp>
        <v>5.4644808743169406</v>
        <stp/>
        <stp>EM_S_VAL_DIVIDENDYIELD2</stp>
        <stp>3</stp>
        <stp>002206</stp>
        <stp>12/31/2018</stp>
        <stp>2019-11-29</stp>
        <tr r="Q2495" s="1"/>
      </tp>
      <tp>
        <v>0.25167785234899326</v>
        <stp/>
        <stp>EM_S_VAL_DIVIDENDYIELD2</stp>
        <stp>3</stp>
        <stp>002216</stp>
        <stp>12/31/2018</stp>
        <stp>2019-11-29</stp>
        <tr r="Q197" s="1"/>
      </tp>
      <tp>
        <v>0.24330900243309003</v>
        <stp/>
        <stp>EM_S_VAL_DIVIDENDYIELD2</stp>
        <stp>3</stp>
        <stp>002266</stp>
        <stp>12/31/2018</stp>
        <stp>2019-11-29</stp>
        <tr r="Q2187" s="1"/>
      </tp>
      <tp>
        <v>0.29895366218236175</v>
        <stp/>
        <stp>EM_S_VAL_DIVIDENDYIELD2</stp>
        <stp>3</stp>
        <stp>002276</stp>
        <stp>12/31/2018</stp>
        <stp>2019-11-29</stp>
        <tr r="Q361" s="1"/>
      </tp>
      <tp>
        <v>0.77030812324929998</v>
        <stp/>
        <stp>EM_S_VAL_DIVIDENDYIELD2</stp>
        <stp>3</stp>
        <stp>002246</stp>
        <stp>12/31/2018</stp>
        <stp>2019-11-29</stp>
        <tr r="Q1557" s="1"/>
      </tp>
      <tp>
        <v>0</v>
        <stp/>
        <stp>EM_S_VAL_DIVIDENDYIELD2</stp>
        <stp>3</stp>
        <stp>002256</stp>
        <stp>12/31/2018</stp>
        <stp>2019-11-29</stp>
        <tr r="Q2915" s="1"/>
      </tp>
      <tp>
        <v>0.51020408163265307</v>
        <stp/>
        <stp>EM_S_VAL_DIVIDENDYIELD2</stp>
        <stp>3</stp>
        <stp>002286</stp>
        <stp>12/31/2018</stp>
        <stp>2019-11-29</stp>
        <tr r="Q1755" s="1"/>
      </tp>
      <tp>
        <v>0</v>
        <stp/>
        <stp>EM_S_VAL_DIVIDENDYIELD2</stp>
        <stp>3</stp>
        <stp>002296</stp>
        <stp>12/31/2018</stp>
        <stp>2019-11-29</stp>
        <tr r="Q457" s="1"/>
      </tp>
      <tp>
        <v>1.476248040392774</v>
        <stp/>
        <stp>EM_S_VAL_DIVIDENDYIELD2</stp>
        <stp>3</stp>
        <stp>002326</stp>
        <stp>12/31/2018</stp>
        <stp>2019-11-29</stp>
        <tr r="Q623" s="1"/>
      </tp>
      <tp>
        <v>0</v>
        <stp/>
        <stp>EM_S_VAL_DIVIDENDYIELD2</stp>
        <stp>3</stp>
        <stp>002336</stp>
        <stp>12/31/2018</stp>
        <stp>2019-11-29</stp>
        <tr r="Q2961" s="1"/>
      </tp>
      <tp>
        <v>0</v>
        <stp/>
        <stp>EM_S_VAL_DIVIDENDYIELD2</stp>
        <stp>3</stp>
        <stp>002306</stp>
        <stp>12/31/2018</stp>
        <stp>2019-11-29</stp>
        <tr r="Q3111" s="1"/>
      </tp>
      <tp>
        <v>0.19354838709677419</v>
        <stp/>
        <stp>EM_S_VAL_DIVIDENDYIELD2</stp>
        <stp>3</stp>
        <stp>002316</stp>
        <stp>12/31/2018</stp>
        <stp>2019-11-29</stp>
        <tr r="Q1910" s="1"/>
      </tp>
      <tp>
        <v>0.55873925501432664</v>
        <stp/>
        <stp>EM_S_VAL_DIVIDENDYIELD2</stp>
        <stp>3</stp>
        <stp>002366</stp>
        <stp>12/31/2018</stp>
        <stp>2019-11-29</stp>
        <tr r="Q3168" s="1"/>
      </tp>
      <tp>
        <v>1.7152658662092626</v>
        <stp/>
        <stp>EM_S_VAL_DIVIDENDYIELD2</stp>
        <stp>3</stp>
        <stp>002376</stp>
        <stp>12/31/2018</stp>
        <stp>2019-11-29</stp>
        <tr r="Q3097" s="1"/>
      </tp>
      <tp>
        <v>1.8484288354898337</v>
        <stp/>
        <stp>EM_S_VAL_DIVIDENDYIELD2</stp>
        <stp>3</stp>
        <stp>002346</stp>
        <stp>12/31/2018</stp>
        <stp>2019-11-29</stp>
        <tr r="Q2763" s="1"/>
      </tp>
      <tp>
        <v>0</v>
        <stp/>
        <stp>EM_S_VAL_DIVIDENDYIELD2</stp>
        <stp>3</stp>
        <stp>002356</stp>
        <stp>12/31/2018</stp>
        <stp>2019-11-29</stp>
        <tr r="Q3400" s="1"/>
      </tp>
      <tp>
        <v>1.8148820326678767</v>
        <stp/>
        <stp>EM_S_VAL_DIVIDENDYIELD2</stp>
        <stp>3</stp>
        <stp>002386</stp>
        <stp>12/31/2018</stp>
        <stp>2019-11-29</stp>
        <tr r="Q1776" s="1"/>
      </tp>
      <tp>
        <v>0.34722222222222227</v>
        <stp/>
        <stp>EM_S_VAL_DIVIDENDYIELD2</stp>
        <stp>3</stp>
        <stp>002396</stp>
        <stp>12/31/2018</stp>
        <stp>2019-11-29</stp>
        <tr r="Q155" s="1"/>
      </tp>
      <tp>
        <v>1.6194331983805672</v>
        <stp/>
        <stp>EM_S_VAL_DIVIDENDYIELD2</stp>
        <stp>3</stp>
        <stp>002026</stp>
        <stp>12/31/2018</stp>
        <stp>2019-11-29</stp>
        <tr r="Q2623" s="1"/>
      </tp>
      <tp>
        <v>0.24662497243792439</v>
        <stp/>
        <stp>EM_S_VAL_DIVIDENDYIELD2</stp>
        <stp>3</stp>
        <stp>002036</stp>
        <stp>12/31/2018</stp>
        <stp>2019-11-29</stp>
        <tr r="Q3613" s="1"/>
      </tp>
      <tp>
        <v>0</v>
        <stp/>
        <stp>EM_S_VAL_DIVIDENDYIELD2</stp>
        <stp>3</stp>
        <stp>002006</stp>
        <stp>12/31/2018</stp>
        <stp>2019-11-29</stp>
        <tr r="Q2930" s="1"/>
      </tp>
      <tp>
        <v>5.9880239520958085</v>
        <stp/>
        <stp>EM_S_VAL_DIVIDENDYIELD2</stp>
        <stp>3</stp>
        <stp>002016</stp>
        <stp>12/31/2018</stp>
        <stp>2019-11-29</stp>
        <tr r="Q2526" s="1"/>
      </tp>
      <tp>
        <v>0</v>
        <stp/>
        <stp>EM_S_VAL_DIVIDENDYIELD2</stp>
        <stp>3</stp>
        <stp>002066</stp>
        <stp>12/31/2018</stp>
        <stp>2019-11-29</stp>
        <tr r="Q1696" s="1"/>
      </tp>
      <tp>
        <v>0</v>
        <stp/>
        <stp>EM_S_VAL_DIVIDENDYIELD2</stp>
        <stp>3</stp>
        <stp>002076</stp>
        <stp>12/31/2018</stp>
        <stp>2019-11-29</stp>
        <tr r="Q3626" s="1"/>
      </tp>
      <tp>
        <v>0.21439509954058195</v>
        <stp/>
        <stp>EM_S_VAL_DIVIDENDYIELD2</stp>
        <stp>3</stp>
        <stp>002046</stp>
        <stp>12/31/2018</stp>
        <stp>2019-11-29</stp>
        <tr r="Q1952" s="1"/>
      </tp>
      <tp>
        <v>2.2004336283185841</v>
        <stp/>
        <stp>EM_S_VAL_DIVIDENDYIELD2</stp>
        <stp>3</stp>
        <stp>002056</stp>
        <stp>12/31/2018</stp>
        <stp>2019-11-29</stp>
        <tr r="Q553" s="1"/>
      </tp>
      <tp>
        <v>0</v>
        <stp/>
        <stp>EM_S_VAL_DIVIDENDYIELD2</stp>
        <stp>3</stp>
        <stp>002086</stp>
        <stp>12/31/2018</stp>
        <stp>2019-11-29</stp>
        <tr r="Q3629" s="1"/>
      </tp>
      <tp>
        <v>0.33613445378151263</v>
        <stp/>
        <stp>EM_S_VAL_DIVIDENDYIELD2</stp>
        <stp>3</stp>
        <stp>002096</stp>
        <stp>12/31/2018</stp>
        <stp>2019-11-29</stp>
        <tr r="Q3632" s="1"/>
      </tp>
      <tp>
        <v>0.73928750315303871</v>
        <stp/>
        <stp>EM_S_VAL_DIVIDENDYIELD2</stp>
        <stp>3</stp>
        <stp>002126</stp>
        <stp>12/31/2018</stp>
        <stp>2019-11-29</stp>
        <tr r="Q1836" s="1"/>
      </tp>
      <tp>
        <v>1.3623978201634876</v>
        <stp/>
        <stp>EM_S_VAL_DIVIDENDYIELD2</stp>
        <stp>3</stp>
        <stp>002136</stp>
        <stp>12/31/2018</stp>
        <stp>2019-11-29</stp>
        <tr r="Q2611" s="1"/>
      </tp>
      <tp>
        <v>1.1235955056179776</v>
        <stp/>
        <stp>EM_S_VAL_DIVIDENDYIELD2</stp>
        <stp>3</stp>
        <stp>002106</stp>
        <stp>12/31/2018</stp>
        <stp>2019-11-29</stp>
        <tr r="Q474" s="1"/>
      </tp>
      <tp>
        <v>3.4059945504087188</v>
        <stp/>
        <stp>EM_S_VAL_DIVIDENDYIELD2</stp>
        <stp>3</stp>
        <stp>002116</stp>
        <stp>12/31/2018</stp>
        <stp>2019-11-29</stp>
        <tr r="Q1546" s="1"/>
      </tp>
      <tp>
        <v>0.72150072150072153</v>
        <stp/>
        <stp>EM_S_VAL_DIVIDENDYIELD2</stp>
        <stp>3</stp>
        <stp>002166</stp>
        <stp>12/31/2018</stp>
        <stp>2019-11-29</stp>
        <tr r="Q1282" s="1"/>
      </tp>
      <tp>
        <v>0</v>
        <stp/>
        <stp>EM_S_VAL_DIVIDENDYIELD2</stp>
        <stp>3</stp>
        <stp>002176</stp>
        <stp>12/31/2018</stp>
        <stp>2019-11-29</stp>
        <tr r="Q3286" s="1"/>
      </tp>
      <tp>
        <v>5.2143684820393981</v>
        <stp/>
        <stp>EM_S_VAL_DIVIDENDYIELD2</stp>
        <stp>3</stp>
        <stp>002146</stp>
        <stp>12/31/2018</stp>
        <stp>2019-11-29</stp>
        <tr r="Q1173" s="1"/>
      </tp>
      <tp>
        <v>0.29389017788089716</v>
        <stp/>
        <stp>EM_S_VAL_DIVIDENDYIELD2</stp>
        <stp>3</stp>
        <stp>002156</stp>
        <stp>12/31/2018</stp>
        <stp>2019-11-29</stp>
        <tr r="Q102" s="1"/>
      </tp>
      <tp>
        <v>1.8108651911468814</v>
        <stp/>
        <stp>EM_S_VAL_DIVIDENDYIELD2</stp>
        <stp>3</stp>
        <stp>002186</stp>
        <stp>12/31/2018</stp>
        <stp>2019-11-29</stp>
        <tr r="Q2772" s="1"/>
      </tp>
      <tp>
        <v>0</v>
        <stp/>
        <stp>EM_S_VAL_DIVIDENDYIELD2</stp>
        <stp>3</stp>
        <stp>002196</stp>
        <stp>12/31/2018</stp>
        <stp>2019-11-29</stp>
        <tr r="Q1966" s="1"/>
      </tp>
      <tp>
        <v>4.5714285714285712</v>
        <stp/>
        <stp>EM_S_VAL_DIVIDENDYIELD2</stp>
        <stp>3</stp>
        <stp>002626</stp>
        <stp>12/31/2018</stp>
        <stp>2019-11-29</stp>
        <tr r="Q414" s="1"/>
      </tp>
      <tp>
        <v>0</v>
        <stp/>
        <stp>EM_S_VAL_DIVIDENDYIELD2</stp>
        <stp>3</stp>
        <stp>002636</stp>
        <stp>12/31/2018</stp>
        <stp>2019-11-29</stp>
        <tr r="Q1181" s="1"/>
      </tp>
      <tp>
        <v>0</v>
        <stp/>
        <stp>EM_S_VAL_DIVIDENDYIELD2</stp>
        <stp>3</stp>
        <stp>002606</stp>
        <stp>12/31/2018</stp>
        <stp>2019-11-29</stp>
        <tr r="Q2831" s="1"/>
      </tp>
      <tp>
        <v>0</v>
        <stp/>
        <stp>EM_S_VAL_DIVIDENDYIELD2</stp>
        <stp>3</stp>
        <stp>002616</stp>
        <stp>12/31/2018</stp>
        <stp>2019-11-29</stp>
        <tr r="Q1661" s="1"/>
      </tp>
      <tp>
        <v>6.3788968824940051</v>
        <stp/>
        <stp>EM_S_VAL_DIVIDENDYIELD2</stp>
        <stp>3</stp>
        <stp>002666</stp>
        <stp>12/31/2018</stp>
        <stp>2019-11-29</stp>
        <tr r="Q1190" s="1"/>
      </tp>
      <tp>
        <v>0</v>
        <stp/>
        <stp>EM_S_VAL_DIVIDENDYIELD2</stp>
        <stp>3</stp>
        <stp>002676</stp>
        <stp>12/31/2018</stp>
        <stp>2019-11-29</stp>
        <tr r="Q1749" s="1"/>
      </tp>
      <tp>
        <v>1.1869436201780417</v>
        <stp/>
        <stp>EM_S_VAL_DIVIDENDYIELD2</stp>
        <stp>3</stp>
        <stp>002646</stp>
        <stp>12/31/2018</stp>
        <stp>2019-11-29</stp>
        <tr r="Q2254" s="1"/>
      </tp>
      <tp>
        <v>0.111731843575419</v>
        <stp/>
        <stp>EM_S_VAL_DIVIDENDYIELD2</stp>
        <stp>3</stp>
        <stp>002656</stp>
        <stp>12/31/2018</stp>
        <stp>2019-11-29</stp>
        <tr r="Q3289" s="1"/>
      </tp>
      <tp>
        <v>0.33444816053511706</v>
        <stp/>
        <stp>EM_S_VAL_DIVIDENDYIELD2</stp>
        <stp>3</stp>
        <stp>002686</stp>
        <stp>12/31/2018</stp>
        <stp>2019-11-29</stp>
        <tr r="Q2783" s="1"/>
      </tp>
      <tp>
        <v>0.94339622641509446</v>
        <stp/>
        <stp>EM_S_VAL_DIVIDENDYIELD2</stp>
        <stp>3</stp>
        <stp>002696</stp>
        <stp>12/31/2018</stp>
        <stp>2019-11-29</stp>
        <tr r="Q3242" s="1"/>
      </tp>
      <tp>
        <v>0.52094879184216358</v>
        <stp/>
        <stp>EM_S_VAL_DIVIDENDYIELD2</stp>
        <stp>3</stp>
        <stp>002726</stp>
        <stp>12/31/2018</stp>
        <stp>2019-11-29</stp>
        <tr r="Q2844" s="1"/>
      </tp>
      <tp>
        <v>1.056338028169014</v>
        <stp/>
        <stp>EM_S_VAL_DIVIDENDYIELD2</stp>
        <stp>3</stp>
        <stp>002736</stp>
        <stp>12/31/2018</stp>
        <stp>2019-11-29</stp>
        <tr r="Q549" s="1"/>
      </tp>
      <tp>
        <v>3.2604273629621616</v>
        <stp/>
        <stp>EM_S_VAL_DIVIDENDYIELD2</stp>
        <stp>3</stp>
        <stp>002706</stp>
        <stp>12/31/2018</stp>
        <stp>2019-11-29</stp>
        <tr r="Q778" s="1"/>
      </tp>
      <tp>
        <v>0</v>
        <stp/>
        <stp>EM_S_VAL_DIVIDENDYIELD2</stp>
        <stp>3</stp>
        <stp>002716</stp>
        <stp>12/31/2018</stp>
        <stp>2019-11-29</stp>
        <tr r="Q3375" s="1"/>
      </tp>
      <tp>
        <v>0</v>
        <stp/>
        <stp>EM_S_VAL_DIVIDENDYIELD2</stp>
        <stp>3</stp>
        <stp>002766</stp>
        <stp>12/31/2018</stp>
        <stp>2019-11-29</stp>
        <tr r="Q3305" s="1"/>
      </tp>
      <tp>
        <v>1.1155342326933069</v>
        <stp/>
        <stp>EM_S_VAL_DIVIDENDYIELD2</stp>
        <stp>3</stp>
        <stp>002776</stp>
        <stp>12/31/2018</stp>
        <stp>2019-11-29</stp>
        <tr r="Q3377" s="1"/>
      </tp>
      <tp>
        <v>2.1123785405118309</v>
        <stp/>
        <stp>EM_S_VAL_DIVIDENDYIELD2</stp>
        <stp>3</stp>
        <stp>002746</stp>
        <stp>12/31/2018</stp>
        <stp>2019-11-29</stp>
        <tr r="Q1580" s="1"/>
      </tp>
      <tp>
        <v>6.3011972274732191</v>
        <stp/>
        <stp>EM_S_VAL_DIVIDENDYIELD2</stp>
        <stp>3</stp>
        <stp>002756</stp>
        <stp>12/31/2018</stp>
        <stp>2019-11-29</stp>
        <tr r="Q470" s="1"/>
      </tp>
      <tp>
        <v>0.26184538653366579</v>
        <stp/>
        <stp>EM_S_VAL_DIVIDENDYIELD2</stp>
        <stp>3</stp>
        <stp>002786</stp>
        <stp>12/31/2018</stp>
        <stp>2019-11-29</stp>
        <tr r="Q785" s="1"/>
      </tp>
      <tp>
        <v>0.41775748407508828</v>
        <stp/>
        <stp>EM_S_VAL_DIVIDENDYIELD2</stp>
        <stp>3</stp>
        <stp>002796</stp>
        <stp>12/31/2018</stp>
        <stp>2019-11-29</stp>
        <tr r="Q2130" s="1"/>
      </tp>
      <tp>
        <v>0</v>
        <stp/>
        <stp>EM_S_VAL_DIVIDENDYIELD2</stp>
        <stp>3</stp>
        <stp>002426</stp>
        <stp>12/31/2018</stp>
        <stp>2019-11-29</stp>
        <tr r="Q2106" s="1"/>
      </tp>
      <tp>
        <v>0.85592011412268176</v>
        <stp/>
        <stp>EM_S_VAL_DIVIDENDYIELD2</stp>
        <stp>3</stp>
        <stp>002436</stp>
        <stp>12/31/2018</stp>
        <stp>2019-11-29</stp>
        <tr r="Q221" s="1"/>
      </tp>
      <tp>
        <v>0.96899224806201545</v>
        <stp/>
        <stp>EM_S_VAL_DIVIDENDYIELD2</stp>
        <stp>3</stp>
        <stp>002406</stp>
        <stp>12/31/2018</stp>
        <stp>2019-11-29</stp>
        <tr r="Q1384" s="1"/>
      </tp>
      <tp>
        <v>3.3167495854063018</v>
        <stp/>
        <stp>EM_S_VAL_DIVIDENDYIELD2</stp>
        <stp>3</stp>
        <stp>002416</stp>
        <stp>12/31/2018</stp>
        <stp>2019-11-29</stp>
        <tr r="Q976" s="1"/>
      </tp>
      <tp>
        <v>0.60264546367592908</v>
        <stp/>
        <stp>EM_S_VAL_DIVIDENDYIELD2</stp>
        <stp>3</stp>
        <stp>002466</stp>
        <stp>12/31/2018</stp>
        <stp>2019-11-29</stp>
        <tr r="Q2482" s="1"/>
      </tp>
      <tp>
        <v>0</v>
        <stp/>
        <stp>EM_S_VAL_DIVIDENDYIELD2</stp>
        <stp>3</stp>
        <stp>002476</stp>
        <stp>12/31/2018</stp>
        <stp>2019-11-29</stp>
        <tr r="Q660" s="1"/>
      </tp>
      <tp>
        <v>0.30703157127964292</v>
        <stp/>
        <stp>EM_S_VAL_DIVIDENDYIELD2</stp>
        <stp>3</stp>
        <stp>002446</stp>
        <stp>12/31/2018</stp>
        <stp>2019-11-29</stp>
        <tr r="Q1496" s="1"/>
      </tp>
      <tp>
        <v>0</v>
        <stp/>
        <stp>EM_S_VAL_DIVIDENDYIELD2</stp>
        <stp>3</stp>
        <stp>002456</stp>
        <stp>12/31/2018</stp>
        <stp>2019-11-29</stp>
        <tr r="Q316" s="1"/>
      </tp>
      <tp>
        <v>0</v>
        <stp/>
        <stp>EM_S_VAL_DIVIDENDYIELD2</stp>
        <stp>3</stp>
        <stp>002486</stp>
        <stp>12/31/2018</stp>
        <stp>2019-11-29</stp>
        <tr r="Q2922" s="1"/>
      </tp>
      <tp>
        <v>0</v>
        <stp/>
        <stp>EM_S_VAL_DIVIDENDYIELD2</stp>
        <stp>3</stp>
        <stp>002496</stp>
        <stp>12/31/2018</stp>
        <stp>2019-11-29</stp>
        <tr r="Q600" s="1"/>
      </tp>
      <tp>
        <v>0</v>
        <stp/>
        <stp>EM_S_VAL_DIVIDENDYIELD2</stp>
        <stp>3</stp>
        <stp>002526</stp>
        <stp>12/31/2018</stp>
        <stp>2019-11-29</stp>
        <tr r="Q1267" s="1"/>
      </tp>
      <tp>
        <v>7.4404761904761916</v>
        <stp/>
        <stp>EM_S_VAL_DIVIDENDYIELD2</stp>
        <stp>3</stp>
        <stp>002536</stp>
        <stp>12/31/2018</stp>
        <stp>2019-11-29</stp>
        <tr r="Q3350" s="1"/>
      </tp>
      <tp>
        <v>0</v>
        <stp/>
        <stp>EM_S_VAL_DIVIDENDYIELD2</stp>
        <stp>3</stp>
        <stp>002506</stp>
        <stp>12/31/2018</stp>
        <stp>2019-11-29</stp>
        <tr r="Q1358" s="1"/>
      </tp>
      <tp>
        <v>9.7840343107512862</v>
        <stp/>
        <stp>EM_S_VAL_DIVIDENDYIELD2</stp>
        <stp>3</stp>
        <stp>002516</stp>
        <stp>12/31/2018</stp>
        <stp>2019-11-29</stp>
        <tr r="Q2588" s="1"/>
      </tp>
      <tp>
        <v>0</v>
        <stp/>
        <stp>EM_S_VAL_DIVIDENDYIELD2</stp>
        <stp>3</stp>
        <stp>002566</stp>
        <stp>12/31/2018</stp>
        <stp>2019-11-29</stp>
        <tr r="Q1514" s="1"/>
      </tp>
      <tp>
        <v>0.53078556263269638</v>
        <stp/>
        <stp>EM_S_VAL_DIVIDENDYIELD2</stp>
        <stp>3</stp>
        <stp>002576</stp>
        <stp>12/31/2018</stp>
        <stp>2019-11-29</stp>
        <tr r="Q2458" s="1"/>
      </tp>
      <tp>
        <v>3.0303030303030303</v>
        <stp/>
        <stp>EM_S_VAL_DIVIDENDYIELD2</stp>
        <stp>3</stp>
        <stp>002546</stp>
        <stp>12/31/2018</stp>
        <stp>2019-11-29</stp>
        <tr r="Q1763" s="1"/>
      </tp>
      <tp>
        <v>1.2367491166077735</v>
        <stp/>
        <stp>EM_S_VAL_DIVIDENDYIELD2</stp>
        <stp>3</stp>
        <stp>002556</stp>
        <stp>12/31/2018</stp>
        <stp>2019-11-29</stp>
        <tr r="Q1846" s="1"/>
      </tp>
      <tp>
        <v>5.1020408163265305</v>
        <stp/>
        <stp>EM_S_VAL_DIVIDENDYIELD2</stp>
        <stp>3</stp>
        <stp>002586</stp>
        <stp>12/31/2018</stp>
        <stp>2019-11-29</stp>
        <tr r="Q3213" s="1"/>
      </tp>
      <tp>
        <v>0.15672574486114535</v>
        <stp/>
        <stp>EM_S_VAL_DIVIDENDYIELD2</stp>
        <stp>3</stp>
        <stp>002596</stp>
        <stp>12/31/2018</stp>
        <stp>2019-11-29</stp>
        <tr r="Q1810" s="1"/>
      </tp>
      <tp>
        <v>0.30244458503780347</v>
        <stp/>
        <stp>EM_S_VAL_DIVIDENDYIELD2</stp>
        <stp>3</stp>
        <stp>002826</stp>
        <stp>12/31/2018</stp>
        <stp>2019-11-29</stp>
        <tr r="Q2473" s="1"/>
      </tp>
      <tp>
        <v>4.1911148365465216</v>
        <stp/>
        <stp>EM_S_VAL_DIVIDENDYIELD2</stp>
        <stp>3</stp>
        <stp>002836</stp>
        <stp>12/31/2018</stp>
        <stp>2019-11-29</stp>
        <tr r="Q2009" s="1"/>
      </tp>
      <tp>
        <v>0.64102564102564097</v>
        <stp/>
        <stp>EM_S_VAL_DIVIDENDYIELD2</stp>
        <stp>3</stp>
        <stp>002806</stp>
        <stp>12/31/2018</stp>
        <stp>2019-11-29</stp>
        <tr r="Q3132" s="1"/>
      </tp>
      <tp>
        <v>4.7147571900047147E-2</v>
        <stp/>
        <stp>EM_S_VAL_DIVIDENDYIELD2</stp>
        <stp>3</stp>
        <stp>002816</stp>
        <stp>12/31/2018</stp>
        <stp>2019-11-29</stp>
        <tr r="Q652" s="1"/>
      </tp>
      <tp>
        <v>0.765878238341969</v>
        <stp/>
        <stp>EM_S_VAL_DIVIDENDYIELD2</stp>
        <stp>3</stp>
        <stp>002866</stp>
        <stp>12/31/2018</stp>
        <stp>2019-11-29</stp>
        <tr r="Q796" s="1"/>
      </tp>
      <tp>
        <v>7.4447691190976939E-2</v>
        <stp/>
        <stp>EM_S_VAL_DIVIDENDYIELD2</stp>
        <stp>3</stp>
        <stp>002876</stp>
        <stp>12/31/2018</stp>
        <stp>2019-11-29</stp>
        <tr r="Q487" s="1"/>
      </tp>
      <tp>
        <v>0.35816618911174786</v>
        <stp/>
        <stp>EM_S_VAL_DIVIDENDYIELD2</stp>
        <stp>3</stp>
        <stp>002846</stp>
        <stp>12/31/2018</stp>
        <stp>2019-11-29</stp>
        <tr r="Q237" s="1"/>
      </tp>
      <tp>
        <v>0</v>
        <stp/>
        <stp>EM_S_VAL_DIVIDENDYIELD2</stp>
        <stp>3</stp>
        <stp>002856</stp>
        <stp>12/31/2018</stp>
        <stp>2019-11-29</stp>
        <tr r="Q2870" s="1"/>
      </tp>
      <tp>
        <v>0.25658392349007619</v>
        <stp/>
        <stp>EM_S_VAL_DIVIDENDYIELD2</stp>
        <stp>3</stp>
        <stp>002886</stp>
        <stp>12/31/2018</stp>
        <stp>2019-11-29</stp>
        <tr r="Q774" s="1"/>
      </tp>
      <tp>
        <v>0.75757575757575757</v>
        <stp/>
        <stp>EM_S_VAL_DIVIDENDYIELD2</stp>
        <stp>3</stp>
        <stp>002896</stp>
        <stp>12/31/2018</stp>
        <stp>2019-11-29</stp>
        <tr r="Q3187" s="1"/>
      </tp>
      <tp>
        <v>0.80423280423280419</v>
        <stp/>
        <stp>EM_S_VAL_DIVIDENDYIELD2</stp>
        <stp>3</stp>
        <stp>002926</stp>
        <stp>12/31/2018</stp>
        <stp>2019-11-29</stp>
        <tr r="Q890" s="1"/>
      </tp>
      <tp>
        <v>0</v>
        <stp/>
        <stp>EM_S_VAL_DIVIDENDYIELD2</stp>
        <stp>3</stp>
        <stp>002906</stp>
        <stp>12/31/2018</stp>
        <stp>2019-11-29</stp>
        <tr r="Q1168" s="1"/>
      </tp>
      <tp>
        <v>0.42781846806762958</v>
        <stp/>
        <stp>EM_S_VAL_DIVIDENDYIELD2</stp>
        <stp>3</stp>
        <stp>002916</stp>
        <stp>12/31/2018</stp>
        <stp>2019-11-29</stp>
        <tr r="Q264" s="1"/>
      </tp>
      <tp>
        <v>0.68157033805888767</v>
        <stp/>
        <stp>EM_S_VAL_DIVIDENDYIELD2</stp>
        <stp>3</stp>
        <stp>603266</stp>
        <stp>12/31/2018</stp>
        <stp>2019-11-29</stp>
        <tr r="Q2948" s="1"/>
      </tp>
      <tp>
        <v>1.2645374050792475</v>
        <stp/>
        <stp>EM_S_VAL_DIVIDENDYIELD2</stp>
        <stp>3</stp>
        <stp>603226</stp>
        <stp>12/31/2018</stp>
        <stp>2019-11-29</stp>
        <tr r="Q1365" s="1"/>
      </tp>
      <tp>
        <v>0.53408292340126495</v>
        <stp/>
        <stp>EM_S_VAL_DIVIDENDYIELD2</stp>
        <stp>3</stp>
        <stp>603286</stp>
        <stp>12/31/2018</stp>
        <stp>2019-11-29</stp>
        <tr r="Q1812" s="1"/>
      </tp>
      <tp>
        <v>1.5761821366024518</v>
        <stp/>
        <stp>EM_S_VAL_DIVIDENDYIELD2</stp>
        <stp>3</stp>
        <stp>603356</stp>
        <stp>12/31/2018</stp>
        <stp>2019-11-29</stp>
        <tr r="Q3040" s="1"/>
      </tp>
      <tp>
        <v>0</v>
        <stp/>
        <stp>EM_S_VAL_DIVIDENDYIELD2</stp>
        <stp>3</stp>
        <stp>603366</stp>
        <stp>12/31/2018</stp>
        <stp>2019-11-29</stp>
        <tr r="Q1104" s="1"/>
      </tp>
      <tp>
        <v>3.8944068856989422</v>
        <stp/>
        <stp>EM_S_VAL_DIVIDENDYIELD2</stp>
        <stp>3</stp>
        <stp>603306</stp>
        <stp>12/31/2018</stp>
        <stp>2019-11-29</stp>
        <tr r="Q2468" s="1"/>
      </tp>
      <tp>
        <v>0.55888223552894223</v>
        <stp/>
        <stp>EM_S_VAL_DIVIDENDYIELD2</stp>
        <stp>3</stp>
        <stp>603316</stp>
        <stp>12/31/2018</stp>
        <stp>2019-11-29</stp>
        <tr r="Q1325" s="1"/>
      </tp>
      <tp>
        <v>1.0546953719590402</v>
        <stp/>
        <stp>EM_S_VAL_DIVIDENDYIELD2</stp>
        <stp>3</stp>
        <stp>603326</stp>
        <stp>12/31/2018</stp>
        <stp>2019-11-29</stp>
        <tr r="Q798" s="1"/>
      </tp>
      <tp>
        <v>0.66170388751033915</v>
        <stp/>
        <stp>EM_S_VAL_DIVIDENDYIELD2</stp>
        <stp>3</stp>
        <stp>603336</stp>
        <stp>12/31/2018</stp>
        <stp>2019-11-29</stp>
        <tr r="Q2819" s="1"/>
      </tp>
      <tp>
        <v>0.80699873890459017</v>
        <stp/>
        <stp>EM_S_VAL_DIVIDENDYIELD2</stp>
        <stp>3</stp>
        <stp>603386</stp>
        <stp>12/31/2018</stp>
        <stp>2019-11-29</stp>
        <tr r="Q2198" s="1"/>
      </tp>
      <tp>
        <v>1.4404338220519923</v>
        <stp/>
        <stp>EM_S_VAL_DIVIDENDYIELD2</stp>
        <stp>3</stp>
        <stp>603396</stp>
        <stp>12/31/2018</stp>
        <stp>2019-11-29</stp>
        <tr r="Q3014" s="1"/>
      </tp>
      <tp>
        <v>2.0202952029520294</v>
        <stp/>
        <stp>EM_S_VAL_DIVIDENDYIELD2</stp>
        <stp>3</stp>
        <stp>603056</stp>
        <stp>12/31/2018</stp>
        <stp>2019-11-29</stp>
        <tr r="Q3254" s="1"/>
      </tp>
      <tp>
        <v>0.86821572292886573</v>
        <stp/>
        <stp>EM_S_VAL_DIVIDENDYIELD2</stp>
        <stp>3</stp>
        <stp>603066</stp>
        <stp>12/31/2018</stp>
        <stp>2019-11-29</stp>
        <tr r="Q1845" s="1"/>
      </tp>
      <tp>
        <v>0.7369875633348687</v>
        <stp/>
        <stp>EM_S_VAL_DIVIDENDYIELD2</stp>
        <stp>3</stp>
        <stp>603076</stp>
        <stp>12/31/2018</stp>
        <stp>2019-11-29</stp>
        <tr r="Q2382" s="1"/>
      </tp>
      <tp>
        <v>0</v>
        <stp/>
        <stp>EM_S_VAL_DIVIDENDYIELD2</stp>
        <stp>3</stp>
        <stp>603006</stp>
        <stp>12/31/2018</stp>
        <stp>2019-11-29</stp>
        <tr r="Q1371" s="1"/>
      </tp>
      <tp>
        <v>2.7969924812030076</v>
        <stp/>
        <stp>EM_S_VAL_DIVIDENDYIELD2</stp>
        <stp>3</stp>
        <stp>603016</stp>
        <stp>12/31/2018</stp>
        <stp>2019-11-29</stp>
        <tr r="Q2520" s="1"/>
      </tp>
      <tp>
        <v>1.692524682651622</v>
        <stp/>
        <stp>EM_S_VAL_DIVIDENDYIELD2</stp>
        <stp>3</stp>
        <stp>603026</stp>
        <stp>12/31/2018</stp>
        <stp>2019-11-29</stp>
        <tr r="Q220" s="1"/>
      </tp>
      <tp>
        <v>0.55742481313117753</v>
        <stp/>
        <stp>EM_S_VAL_DIVIDENDYIELD2</stp>
        <stp>3</stp>
        <stp>603036</stp>
        <stp>12/31/2018</stp>
        <stp>2019-11-29</stp>
        <tr r="Q2651" s="1"/>
      </tp>
      <tp>
        <v>0</v>
        <stp/>
        <stp>EM_S_VAL_DIVIDENDYIELD2</stp>
        <stp>3</stp>
        <stp>603086</stp>
        <stp>12/31/2018</stp>
        <stp>2019-11-29</stp>
        <tr r="Q1630" s="1"/>
      </tp>
      <tp>
        <v>1.0608203677510608</v>
        <stp/>
        <stp>EM_S_VAL_DIVIDENDYIELD2</stp>
        <stp>3</stp>
        <stp>603096</stp>
        <stp>12/31/2018</stp>
        <stp>2019-11-29</stp>
        <tr r="Q2758" s="1"/>
      </tp>
      <tp>
        <v>7.3160025362142127</v>
        <stp/>
        <stp>EM_S_VAL_DIVIDENDYIELD2</stp>
        <stp>3</stp>
        <stp>603156</stp>
        <stp>12/31/2018</stp>
        <stp>2019-11-29</stp>
        <tr r="Q3226" s="1"/>
      </tp>
      <tp>
        <v>2.9077200488644426</v>
        <stp/>
        <stp>EM_S_VAL_DIVIDENDYIELD2</stp>
        <stp>3</stp>
        <stp>603166</stp>
        <stp>12/31/2018</stp>
        <stp>2019-11-29</stp>
        <tr r="Q1347" s="1"/>
      </tp>
      <tp>
        <v>0.55674120812842165</v>
        <stp/>
        <stp>EM_S_VAL_DIVIDENDYIELD2</stp>
        <stp>3</stp>
        <stp>603106</stp>
        <stp>12/31/2018</stp>
        <stp>2019-11-29</stp>
        <tr r="Q2923" s="1"/>
      </tp>
      <tp>
        <v>2.7959242011949477</v>
        <stp/>
        <stp>EM_S_VAL_DIVIDENDYIELD2</stp>
        <stp>3</stp>
        <stp>603116</stp>
        <stp>12/31/2018</stp>
        <stp>2019-11-29</stp>
        <tr r="Q2418" s="1"/>
      </tp>
      <tp>
        <v>1.5021459227467808</v>
        <stp/>
        <stp>EM_S_VAL_DIVIDENDYIELD2</stp>
        <stp>3</stp>
        <stp>603126</stp>
        <stp>12/31/2018</stp>
        <stp>2019-11-29</stp>
        <tr r="Q2549" s="1"/>
      </tp>
      <tp>
        <v>2.1391289466929067</v>
        <stp/>
        <stp>EM_S_VAL_DIVIDENDYIELD2</stp>
        <stp>3</stp>
        <stp>603136</stp>
        <stp>12/31/2018</stp>
        <stp>2019-11-29</stp>
        <tr r="Q2787" s="1"/>
      </tp>
      <tp>
        <v>0.37917087967644081</v>
        <stp/>
        <stp>EM_S_VAL_DIVIDENDYIELD2</stp>
        <stp>3</stp>
        <stp>603186</stp>
        <stp>12/31/2018</stp>
        <stp>2019-11-29</stp>
        <tr r="Q82" s="1"/>
      </tp>
      <tp>
        <v>1.3003901170351104</v>
        <stp/>
        <stp>EM_S_VAL_DIVIDENDYIELD2</stp>
        <stp>3</stp>
        <stp>603196</stp>
        <stp>12/31/2018</stp>
        <stp>2019-11-29</stp>
        <tr r="Q3158" s="1"/>
      </tp>
      <tp>
        <v>0.78403421240199578</v>
        <stp/>
        <stp>EM_S_VAL_DIVIDENDYIELD2</stp>
        <stp>3</stp>
        <stp>603656</stp>
        <stp>12/31/2018</stp>
        <stp>2019-11-29</stp>
        <tr r="Q1868" s="1"/>
      </tp>
      <tp>
        <v>0.73725540671048018</v>
        <stp/>
        <stp>EM_S_VAL_DIVIDENDYIELD2</stp>
        <stp>3</stp>
        <stp>603666</stp>
        <stp>12/31/2018</stp>
        <stp>2019-11-29</stp>
        <tr r="Q575" s="1"/>
      </tp>
      <tp>
        <v>0.54240631163708097</v>
        <stp/>
        <stp>EM_S_VAL_DIVIDENDYIELD2</stp>
        <stp>3</stp>
        <stp>603676</stp>
        <stp>12/31/2018</stp>
        <stp>2019-11-29</stp>
        <tr r="Q2673" s="1"/>
      </tp>
      <tp>
        <v>0.79107963559184036</v>
        <stp/>
        <stp>EM_S_VAL_DIVIDENDYIELD2</stp>
        <stp>3</stp>
        <stp>603606</stp>
        <stp>12/31/2018</stp>
        <stp>2019-11-29</stp>
        <tr r="Q1264" s="1"/>
      </tp>
      <tp>
        <v>0.16500000000000001</v>
        <stp/>
        <stp>EM_S_VAL_DIVIDENDYIELD2</stp>
        <stp>3</stp>
        <stp>603616</stp>
        <stp>12/31/2018</stp>
        <stp>2019-11-29</stp>
        <tr r="Q3209" s="1"/>
      </tp>
      <tp>
        <v>3.1254504948077315</v>
        <stp/>
        <stp>EM_S_VAL_DIVIDENDYIELD2</stp>
        <stp>3</stp>
        <stp>603626</stp>
        <stp>12/31/2018</stp>
        <stp>2019-11-29</stp>
        <tr r="Q770" s="1"/>
      </tp>
      <tp>
        <v>1.1661807580174928</v>
        <stp/>
        <stp>EM_S_VAL_DIVIDENDYIELD2</stp>
        <stp>3</stp>
        <stp>603636</stp>
        <stp>12/31/2018</stp>
        <stp>2019-11-29</stp>
        <tr r="Q1377" s="1"/>
      </tp>
      <tp>
        <v>1.7865947799067952</v>
        <stp/>
        <stp>EM_S_VAL_DIVIDENDYIELD2</stp>
        <stp>3</stp>
        <stp>603686</stp>
        <stp>12/31/2018</stp>
        <stp>2019-11-29</stp>
        <tr r="Q2229" s="1"/>
      </tp>
      <tp>
        <v>4.9626739056667795</v>
        <stp/>
        <stp>EM_S_VAL_DIVIDENDYIELD2</stp>
        <stp>3</stp>
        <stp>603696</stp>
        <stp>12/31/2018</stp>
        <stp>2019-11-29</stp>
        <tr r="Q2853" s="1"/>
      </tp>
      <tp>
        <v>0</v>
        <stp/>
        <stp>EM_S_VAL_DIVIDENDYIELD2</stp>
        <stp>3</stp>
        <stp>603766</stp>
        <stp>12/31/2018</stp>
        <stp>2019-11-29</stp>
        <tr r="Q2719" s="1"/>
      </tp>
      <tp>
        <v>1.2023210680989909</v>
        <stp/>
        <stp>EM_S_VAL_DIVIDENDYIELD2</stp>
        <stp>3</stp>
        <stp>603776</stp>
        <stp>12/31/2018</stp>
        <stp>2019-11-29</stp>
        <tr r="Q2890" s="1"/>
      </tp>
      <tp>
        <v>1.7318159327065807</v>
        <stp/>
        <stp>EM_S_VAL_DIVIDENDYIELD2</stp>
        <stp>3</stp>
        <stp>603706</stp>
        <stp>12/31/2018</stp>
        <stp>2019-11-29</stp>
        <tr r="Q3177" s="1"/>
      </tp>
      <tp>
        <v>0</v>
        <stp/>
        <stp>EM_S_VAL_DIVIDENDYIELD2</stp>
        <stp>3</stp>
        <stp>603716</stp>
        <stp>12/31/2018</stp>
        <stp>2019-11-29</stp>
        <tr r="Q2838" s="1"/>
      </tp>
      <tp>
        <v>3.5910159310524943</v>
        <stp/>
        <stp>EM_S_VAL_DIVIDENDYIELD2</stp>
        <stp>3</stp>
        <stp>603726</stp>
        <stp>12/31/2018</stp>
        <stp>2019-11-29</stp>
        <tr r="Q3291" s="1"/>
      </tp>
      <tp>
        <v>1.576487797478517</v>
        <stp/>
        <stp>EM_S_VAL_DIVIDENDYIELD2</stp>
        <stp>3</stp>
        <stp>603456</stp>
        <stp>12/31/2018</stp>
        <stp>2019-11-29</stp>
        <tr r="Q126" s="1"/>
      </tp>
      <tp>
        <v>0.55144315727790494</v>
        <stp/>
        <stp>EM_S_VAL_DIVIDENDYIELD2</stp>
        <stp>3</stp>
        <stp>603466</stp>
        <stp>12/31/2018</stp>
        <stp>2019-11-29</stp>
        <tr r="Q2505" s="1"/>
      </tp>
      <tp>
        <v>0.58823529411764708</v>
        <stp/>
        <stp>EM_S_VAL_DIVIDENDYIELD2</stp>
        <stp>3</stp>
        <stp>603416</stp>
        <stp>12/31/2018</stp>
        <stp>2019-11-29</stp>
        <tr r="Q745" s="1"/>
      </tp>
      <tp>
        <v>1.4882875545046259</v>
        <stp/>
        <stp>EM_S_VAL_DIVIDENDYIELD2</stp>
        <stp>3</stp>
        <stp>603486</stp>
        <stp>12/31/2018</stp>
        <stp>2019-11-29</stp>
        <tr r="Q3384" s="1"/>
      </tp>
      <tp>
        <v>0.83925161061770492</v>
        <stp/>
        <stp>EM_S_VAL_DIVIDENDYIELD2</stp>
        <stp>3</stp>
        <stp>603496</stp>
        <stp>12/31/2018</stp>
        <stp>2019-11-29</stp>
        <tr r="Q2724" s="1"/>
      </tp>
      <tp>
        <v>2.6495798763866083</v>
        <stp/>
        <stp>EM_S_VAL_DIVIDENDYIELD2</stp>
        <stp>3</stp>
        <stp>603556</stp>
        <stp>12/31/2018</stp>
        <stp>2019-11-29</stp>
        <tr r="Q1158" s="1"/>
      </tp>
      <tp>
        <v>1.600224294326734</v>
        <stp/>
        <stp>EM_S_VAL_DIVIDENDYIELD2</stp>
        <stp>3</stp>
        <stp>603566</stp>
        <stp>12/31/2018</stp>
        <stp>2019-11-29</stp>
        <tr r="Q482" s="1"/>
      </tp>
      <tp>
        <v>1.0311404428656672</v>
        <stp/>
        <stp>EM_S_VAL_DIVIDENDYIELD2</stp>
        <stp>3</stp>
        <stp>603506</stp>
        <stp>12/31/2018</stp>
        <stp>2019-11-29</stp>
        <tr r="Q2595" s="1"/>
      </tp>
      <tp>
        <v>0.83287062742920592</v>
        <stp/>
        <stp>EM_S_VAL_DIVIDENDYIELD2</stp>
        <stp>3</stp>
        <stp>603516</stp>
        <stp>12/31/2018</stp>
        <stp>2019-11-29</stp>
        <tr r="Q366" s="1"/>
      </tp>
      <tp>
        <v>1.098901098901099</v>
        <stp/>
        <stp>EM_S_VAL_DIVIDENDYIELD2</stp>
        <stp>3</stp>
        <stp>603536</stp>
        <stp>12/31/2018</stp>
        <stp>2019-11-29</stp>
        <tr r="Q60" s="1"/>
      </tp>
      <tp>
        <v>1.2353304508956144</v>
        <stp/>
        <stp>EM_S_VAL_DIVIDENDYIELD2</stp>
        <stp>3</stp>
        <stp>603586</stp>
        <stp>12/31/2018</stp>
        <stp>2019-11-29</stp>
        <tr r="Q698" s="1"/>
      </tp>
      <tp>
        <v>0.31779661016949157</v>
        <stp/>
        <stp>EM_S_VAL_DIVIDENDYIELD2</stp>
        <stp>3</stp>
        <stp>603596</stp>
        <stp>12/31/2018</stp>
        <stp>2019-11-29</stp>
        <tr r="Q2425" s="1"/>
      </tp>
      <tp>
        <v>1.8507157464212678</v>
        <stp/>
        <stp>EM_S_VAL_DIVIDENDYIELD2</stp>
        <stp>3</stp>
        <stp>603856</stp>
        <stp>12/31/2018</stp>
        <stp>2019-11-29</stp>
        <tr r="Q2996" s="1"/>
      </tp>
      <tp>
        <v>1.6465784100638874</v>
        <stp/>
        <stp>EM_S_VAL_DIVIDENDYIELD2</stp>
        <stp>3</stp>
        <stp>603866</stp>
        <stp>12/31/2018</stp>
        <stp>2019-11-29</stp>
        <tr r="Q2655" s="1"/>
      </tp>
      <tp>
        <v>0.75987841945288759</v>
        <stp/>
        <stp>EM_S_VAL_DIVIDENDYIELD2</stp>
        <stp>3</stp>
        <stp>603876</stp>
        <stp>12/31/2018</stp>
        <stp>2019-11-29</stp>
        <tr r="Q2926" s="1"/>
      </tp>
      <tp>
        <v>1.0997067448680353</v>
        <stp/>
        <stp>EM_S_VAL_DIVIDENDYIELD2</stp>
        <stp>3</stp>
        <stp>603806</stp>
        <stp>12/31/2018</stp>
        <stp>2019-11-29</stp>
        <tr r="Q249" s="1"/>
      </tp>
      <tp>
        <v>1.8480973733286938</v>
        <stp/>
        <stp>EM_S_VAL_DIVIDENDYIELD2</stp>
        <stp>3</stp>
        <stp>603816</stp>
        <stp>12/31/2018</stp>
        <stp>2019-11-29</stp>
        <tr r="Q2230" s="1"/>
      </tp>
      <tp>
        <v>0.77569489334195219</v>
        <stp/>
        <stp>EM_S_VAL_DIVIDENDYIELD2</stp>
        <stp>3</stp>
        <stp>603826</stp>
        <stp>12/31/2018</stp>
        <stp>2019-11-29</stp>
        <tr r="Q1431" s="1"/>
      </tp>
      <tp>
        <v>3.5791757049891535</v>
        <stp/>
        <stp>EM_S_VAL_DIVIDENDYIELD2</stp>
        <stp>3</stp>
        <stp>603886</stp>
        <stp>12/31/2018</stp>
        <stp>2019-11-29</stp>
        <tr r="Q2380" s="1"/>
      </tp>
      <tp>
        <v>0.80167305681422085</v>
        <stp/>
        <stp>EM_S_VAL_DIVIDENDYIELD2</stp>
        <stp>3</stp>
        <stp>603896</stp>
        <stp>12/31/2018</stp>
        <stp>2019-11-29</stp>
        <tr r="Q1605" s="1"/>
      </tp>
      <tp>
        <v>0.80889787664307389</v>
        <stp/>
        <stp>EM_S_VAL_DIVIDENDYIELD2</stp>
        <stp>3</stp>
        <stp>603966</stp>
        <stp>12/31/2018</stp>
        <stp>2019-11-29</stp>
        <tr r="Q1319" s="1"/>
      </tp>
      <tp>
        <v>0.32867707477403452</v>
        <stp/>
        <stp>EM_S_VAL_DIVIDENDYIELD2</stp>
        <stp>3</stp>
        <stp>603976</stp>
        <stp>12/31/2018</stp>
        <stp>2019-11-29</stp>
        <tr r="Q1880" s="1"/>
      </tp>
      <tp>
        <v>1.0980932462970656</v>
        <stp/>
        <stp>EM_S_VAL_DIVIDENDYIELD2</stp>
        <stp>3</stp>
        <stp>603906</stp>
        <stp>12/31/2018</stp>
        <stp>2019-11-29</stp>
        <tr r="Q1119" s="1"/>
      </tp>
      <tp>
        <v>1.6820124750792727</v>
        <stp/>
        <stp>EM_S_VAL_DIVIDENDYIELD2</stp>
        <stp>3</stp>
        <stp>603916</stp>
        <stp>12/31/2018</stp>
        <stp>2019-11-29</stp>
        <tr r="Q639" s="1"/>
      </tp>
      <tp>
        <v>1.6907373137913406</v>
        <stp/>
        <stp>EM_S_VAL_DIVIDENDYIELD2</stp>
        <stp>3</stp>
        <stp>603926</stp>
        <stp>12/31/2018</stp>
        <stp>2019-11-29</stp>
        <tr r="Q2907" s="1"/>
      </tp>
      <tp>
        <v>0.41431885979449784</v>
        <stp/>
        <stp>EM_S_VAL_DIVIDENDYIELD2</stp>
        <stp>3</stp>
        <stp>603936</stp>
        <stp>12/31/2018</stp>
        <stp>2019-11-29</stp>
        <tr r="Q1179" s="1"/>
      </tp>
      <tp>
        <v>0.15289236308129028</v>
        <stp/>
        <stp>EM_S_VAL_DIVIDENDYIELD2</stp>
        <stp>3</stp>
        <stp>603986</stp>
        <stp>12/31/2018</stp>
        <stp>2019-11-29</stp>
        <tr r="Q35" s="1"/>
      </tp>
      <tp>
        <v>0</v>
        <stp/>
        <stp>EM_S_VAL_DIVIDENDYIELD2</stp>
        <stp>3</stp>
        <stp>603996</stp>
        <stp>12/31/2018</stp>
        <stp>2019-11-29</stp>
        <tr r="Q3243" s="1"/>
      </tp>
      <tp>
        <v>0</v>
        <stp/>
        <stp>EM_S_VAL_DIVIDENDYIELD2</stp>
        <stp>3</stp>
        <stp>300216</stp>
        <stp>12/31/2018</stp>
        <stp>2019-11-29</stp>
        <tr r="Q2361" s="1"/>
      </tp>
      <tp>
        <v>1.1059907834101383</v>
        <stp/>
        <stp>EM_S_VAL_DIVIDENDYIELD2</stp>
        <stp>3</stp>
        <stp>600246</stp>
        <stp>12/31/2018</stp>
        <stp>2019-11-29</stp>
        <tr r="Q495" s="1"/>
      </tp>
      <tp>
        <v>1.4860894089896497</v>
        <stp/>
        <stp>EM_S_VAL_DIVIDENDYIELD2</stp>
        <stp>3</stp>
        <stp>300206</stp>
        <stp>12/31/2018</stp>
        <stp>2019-11-29</stp>
        <tr r="Q1176" s="1"/>
      </tp>
      <tp>
        <v>3.0769230769230771</v>
        <stp/>
        <stp>EM_S_VAL_DIVIDENDYIELD2</stp>
        <stp>3</stp>
        <stp>600256</stp>
        <stp>12/31/2018</stp>
        <stp>2019-11-29</stp>
        <tr r="Q2837" s="1"/>
      </tp>
      <tp>
        <v>0</v>
        <stp/>
        <stp>EM_S_VAL_DIVIDENDYIELD2</stp>
        <stp>3</stp>
        <stp>300236</stp>
        <stp>12/31/2018</stp>
        <stp>2019-11-29</stp>
        <tr r="Q1622" s="1"/>
      </tp>
      <tp>
        <v>2.5284450063211126</v>
        <stp/>
        <stp>EM_S_VAL_DIVIDENDYIELD2</stp>
        <stp>3</stp>
        <stp>600266</stp>
        <stp>12/31/2018</stp>
        <stp>2019-11-29</stp>
        <tr r="Q2129" s="1"/>
      </tp>
      <tp>
        <v>6.404879842234204E-2</v>
        <stp/>
        <stp>EM_S_VAL_DIVIDENDYIELD2</stp>
        <stp>3</stp>
        <stp>300226</stp>
        <stp>12/31/2018</stp>
        <stp>2019-11-29</stp>
        <tr r="Q350" s="1"/>
      </tp>
      <tp>
        <v>0.21343709425564175</v>
        <stp/>
        <stp>EM_S_VAL_DIVIDENDYIELD2</stp>
        <stp>3</stp>
        <stp>600276</stp>
        <stp>12/31/2018</stp>
        <stp>2019-11-29</stp>
        <tr r="Q401" s="1"/>
      </tp>
      <tp>
        <v>0</v>
        <stp/>
        <stp>EM_S_VAL_DIVIDENDYIELD2</stp>
        <stp>3</stp>
        <stp>300256</stp>
        <stp>12/31/2018</stp>
        <stp>2019-11-29</stp>
        <tr r="Q154" s="1"/>
      </tp>
      <tp>
        <v>6.2996440214990665E-2</v>
        <stp/>
        <stp>EM_S_VAL_DIVIDENDYIELD2</stp>
        <stp>3</stp>
        <stp>600206</stp>
        <stp>12/31/2018</stp>
        <stp>2019-11-29</stp>
        <tr r="Q232" s="1"/>
      </tp>
      <tp>
        <v>0.71275837491090521</v>
        <stp/>
        <stp>EM_S_VAL_DIVIDENDYIELD2</stp>
        <stp>3</stp>
        <stp>300246</stp>
        <stp>12/31/2018</stp>
        <stp>2019-11-29</stp>
        <tr r="Q740" s="1"/>
      </tp>
      <tp>
        <v>1.2059501975393978</v>
        <stp/>
        <stp>EM_S_VAL_DIVIDENDYIELD2</stp>
        <stp>3</stp>
        <stp>600216</stp>
        <stp>12/31/2018</stp>
        <stp>2019-11-29</stp>
        <tr r="Q597" s="1"/>
      </tp>
      <tp>
        <v>1.4007327495912882</v>
        <stp/>
        <stp>EM_S_VAL_DIVIDENDYIELD2</stp>
        <stp>3</stp>
        <stp>300276</stp>
        <stp>12/31/2018</stp>
        <stp>2019-11-29</stp>
        <tr r="Q3092" s="1"/>
      </tp>
      <tp>
        <v>0.76923076923076927</v>
        <stp/>
        <stp>EM_S_VAL_DIVIDENDYIELD2</stp>
        <stp>3</stp>
        <stp>600226</stp>
        <stp>12/31/2018</stp>
        <stp>2019-11-29</stp>
        <tr r="Q1718" s="1"/>
      </tp>
      <tp>
        <v>0</v>
        <stp/>
        <stp>EM_S_VAL_DIVIDENDYIELD2</stp>
        <stp>3</stp>
        <stp>300266</stp>
        <stp>12/31/2018</stp>
        <stp>2019-11-29</stp>
        <tr r="Q2378" s="1"/>
      </tp>
      <tp>
        <v>3.9980809211578441</v>
        <stp/>
        <stp>EM_S_VAL_DIVIDENDYIELD2</stp>
        <stp>3</stp>
        <stp>600236</stp>
        <stp>12/31/2018</stp>
        <stp>2019-11-29</stp>
        <tr r="Q2882" s="1"/>
      </tp>
      <tp>
        <v>1.2779552715654954</v>
        <stp/>
        <stp>EM_S_VAL_DIVIDENDYIELD2</stp>
        <stp>3</stp>
        <stp>300296</stp>
        <stp>12/31/2018</stp>
        <stp>2019-11-29</stp>
        <tr r="Q2149" s="1"/>
      </tp>
      <tp>
        <v>1.9865867392154055</v>
        <stp/>
        <stp>EM_S_VAL_DIVIDENDYIELD2</stp>
        <stp>3</stp>
        <stp>300286</stp>
        <stp>12/31/2018</stp>
        <stp>2019-11-29</stp>
        <tr r="Q747" s="1"/>
      </tp>
      <tp>
        <v>0</v>
        <stp/>
        <stp>EM_S_VAL_DIVIDENDYIELD2</stp>
        <stp>3</stp>
        <stp>600286</stp>
        <stp>12/31/2018</stp>
        <stp>2019-11-29</stp>
        <tr r="Q2299" s="1"/>
      </tp>
      <tp>
        <v>0</v>
        <stp/>
        <stp>EM_S_VAL_DIVIDENDYIELD2</stp>
        <stp>3</stp>
        <stp>600296</stp>
        <stp>12/31/2018</stp>
        <stp>2019-11-29</stp>
        <tr r="Q2300" s="1"/>
      </tp>
      <tp>
        <v>0.73863229584303669</v>
        <stp/>
        <stp>EM_S_VAL_DIVIDENDYIELD2</stp>
        <stp>3</stp>
        <stp>300316</stp>
        <stp>12/31/2018</stp>
        <stp>2019-11-29</stp>
        <tr r="Q480" s="1"/>
      </tp>
      <tp>
        <v>1.5348915821048688</v>
        <stp/>
        <stp>EM_S_VAL_DIVIDENDYIELD2</stp>
        <stp>3</stp>
        <stp>600346</stp>
        <stp>12/31/2018</stp>
        <stp>2019-11-29</stp>
        <tr r="Q1252" s="1"/>
      </tp>
      <tp>
        <v>0</v>
        <stp/>
        <stp>EM_S_VAL_DIVIDENDYIELD2</stp>
        <stp>3</stp>
        <stp>300306</stp>
        <stp>12/31/2018</stp>
        <stp>2019-11-29</stp>
        <tr r="Q300" s="1"/>
      </tp>
      <tp>
        <v>0.88888888888888884</v>
        <stp/>
        <stp>EM_S_VAL_DIVIDENDYIELD2</stp>
        <stp>3</stp>
        <stp>600356</stp>
        <stp>12/31/2018</stp>
        <stp>2019-11-29</stp>
        <tr r="Q712" s="1"/>
      </tp>
      <tp>
        <v>7.6142131979695424E-2</v>
        <stp/>
        <stp>EM_S_VAL_DIVIDENDYIELD2</stp>
        <stp>3</stp>
        <stp>300336</stp>
        <stp>12/31/2018</stp>
        <stp>2019-11-29</stp>
        <tr r="Q2614" s="1"/>
      </tp>
      <tp>
        <v>1.6556291390728477</v>
        <stp/>
        <stp>EM_S_VAL_DIVIDENDYIELD2</stp>
        <stp>3</stp>
        <stp>600366</stp>
        <stp>12/31/2018</stp>
        <stp>2019-11-29</stp>
        <tr r="Q846" s="1"/>
      </tp>
      <tp>
        <v>0.53814741641337371</v>
        <stp/>
        <stp>EM_S_VAL_DIVIDENDYIELD2</stp>
        <stp>3</stp>
        <stp>300326</stp>
        <stp>12/31/2018</stp>
        <stp>2019-11-29</stp>
        <tr r="Q483" s="1"/>
      </tp>
      <tp>
        <v>5.2151238591916558</v>
        <stp/>
        <stp>EM_S_VAL_DIVIDENDYIELD2</stp>
        <stp>3</stp>
        <stp>600376</stp>
        <stp>12/31/2018</stp>
        <stp>2019-11-29</stp>
        <tr r="Q1649" s="1"/>
      </tp>
      <tp>
        <v>0</v>
        <stp/>
        <stp>EM_S_VAL_DIVIDENDYIELD2</stp>
        <stp>3</stp>
        <stp>300356</stp>
        <stp>12/31/2018</stp>
        <stp>2019-11-29</stp>
        <tr r="Q792" s="1"/>
      </tp>
      <tp>
        <v>0</v>
        <stp/>
        <stp>EM_S_VAL_DIVIDENDYIELD2</stp>
        <stp>3</stp>
        <stp>600306</stp>
        <stp>12/31/2018</stp>
        <stp>2019-11-29</stp>
        <tr r="Q2801" s="1"/>
      </tp>
      <tp>
        <v>0.22534577203624689</v>
        <stp/>
        <stp>EM_S_VAL_DIVIDENDYIELD2</stp>
        <stp>3</stp>
        <stp>300346</stp>
        <stp>12/31/2018</stp>
        <stp>2019-11-29</stp>
        <tr r="Q214" s="1"/>
      </tp>
      <tp>
        <v>9.3970242756460459E-2</v>
        <stp/>
        <stp>EM_S_VAL_DIVIDENDYIELD2</stp>
        <stp>3</stp>
        <stp>600316</stp>
        <stp>12/31/2018</stp>
        <stp>2019-11-29</stp>
        <tr r="Q937" s="1"/>
      </tp>
      <tp>
        <v>0.58477562293888896</v>
        <stp/>
        <stp>EM_S_VAL_DIVIDENDYIELD2</stp>
        <stp>3</stp>
        <stp>300376</stp>
        <stp>12/31/2018</stp>
        <stp>2019-11-29</stp>
        <tr r="Q1822" s="1"/>
      </tp>
      <tp>
        <v>1.1851851851851851</v>
        <stp/>
        <stp>EM_S_VAL_DIVIDENDYIELD2</stp>
        <stp>3</stp>
        <stp>600326</stp>
        <stp>12/31/2018</stp>
        <stp>2019-11-29</stp>
        <tr r="Q1643" s="1"/>
      </tp>
      <tp>
        <v>0</v>
        <stp/>
        <stp>EM_S_VAL_DIVIDENDYIELD2</stp>
        <stp>3</stp>
        <stp>300366</stp>
        <stp>12/31/2018</stp>
        <stp>2019-11-29</stp>
        <tr r="Q702" s="1"/>
      </tp>
      <tp>
        <v>0.70754716981132082</v>
        <stp/>
        <stp>EM_S_VAL_DIVIDENDYIELD2</stp>
        <stp>3</stp>
        <stp>600336</stp>
        <stp>12/31/2018</stp>
        <stp>2019-11-29</stp>
        <tr r="Q936" s="1"/>
      </tp>
      <tp>
        <v>1.7146356399265155</v>
        <stp/>
        <stp>EM_S_VAL_DIVIDENDYIELD2</stp>
        <stp>3</stp>
        <stp>300396</stp>
        <stp>12/31/2018</stp>
        <stp>2019-11-29</stp>
        <tr r="Q723" s="1"/>
      </tp>
      <tp>
        <v>0.37735849056603776</v>
        <stp/>
        <stp>EM_S_VAL_DIVIDENDYIELD2</stp>
        <stp>3</stp>
        <stp>300386</stp>
        <stp>12/31/2018</stp>
        <stp>2019-11-29</stp>
        <tr r="Q696" s="1"/>
      </tp>
      <tp>
        <v>3.197674418604652</v>
        <stp/>
        <stp>EM_S_VAL_DIVIDENDYIELD2</stp>
        <stp>3</stp>
        <stp>600386</stp>
        <stp>12/31/2018</stp>
        <stp>2019-11-29</stp>
        <tr r="Q1578" s="1"/>
      </tp>
      <tp>
        <v>0</v>
        <stp/>
        <stp>EM_S_VAL_DIVIDENDYIELD2</stp>
        <stp>3</stp>
        <stp>600396</stp>
        <stp>12/31/2018</stp>
        <stp>2019-11-29</stp>
        <tr r="Q2422" s="1"/>
      </tp>
      <tp>
        <v>2.3792985781990525</v>
        <stp/>
        <stp>EM_S_VAL_DIVIDENDYIELD2</stp>
        <stp>3</stp>
        <stp>000026</stp>
        <stp>12/31/2018</stp>
        <stp>2019-11-29</stp>
        <tr r="Q462" s="1"/>
      </tp>
      <tp>
        <v>1.2233634029312741</v>
        <stp/>
        <stp>EM_S_VAL_DIVIDENDYIELD2</stp>
        <stp>3</stp>
        <stp>300016</stp>
        <stp>12/31/2018</stp>
        <stp>2019-11-29</stp>
        <tr r="Q993" s="1"/>
      </tp>
      <tp>
        <v>11.743981214378515</v>
        <stp/>
        <stp>EM_S_VAL_DIVIDENDYIELD2</stp>
        <stp>3</stp>
        <stp>000036</stp>
        <stp>12/31/2018</stp>
        <stp>2019-11-29</stp>
        <tr r="Q3122" s="1"/>
      </tp>
      <tp>
        <v>1.0224948875255624</v>
        <stp/>
        <stp>EM_S_VAL_DIVIDENDYIELD2</stp>
        <stp>3</stp>
        <stp>300006</stp>
        <stp>12/31/2018</stp>
        <stp>2019-11-29</stp>
        <tr r="Q461" s="1"/>
      </tp>
      <tp>
        <v>3.4609736632082999</v>
        <stp/>
        <stp>EM_S_VAL_DIVIDENDYIELD2</stp>
        <stp>3</stp>
        <stp>600056</stp>
        <stp>12/31/2018</stp>
        <stp>2019-11-29</stp>
        <tr r="Q2165" s="1"/>
      </tp>
      <tp>
        <v>3.80859375</v>
        <stp/>
        <stp>EM_S_VAL_DIVIDENDYIELD2</stp>
        <stp>3</stp>
        <stp>000006</stp>
        <stp>12/31/2018</stp>
        <stp>2019-11-29</stp>
        <tr r="Q1889" s="1"/>
      </tp>
      <tp>
        <v>0.41118421052631576</v>
        <stp/>
        <stp>EM_S_VAL_DIVIDENDYIELD2</stp>
        <stp>3</stp>
        <stp>300036</stp>
        <stp>12/31/2018</stp>
        <stp>2019-11-29</stp>
        <tr r="Q1798" s="1"/>
      </tp>
      <tp>
        <v>3.5637918745545263</v>
        <stp/>
        <stp>EM_S_VAL_DIVIDENDYIELD2</stp>
        <stp>3</stp>
        <stp>600066</stp>
        <stp>12/31/2018</stp>
        <stp>2019-11-29</stp>
        <tr r="Q1296" s="1"/>
      </tp>
      <tp>
        <v>2.481389578163772</v>
        <stp/>
        <stp>EM_S_VAL_DIVIDENDYIELD2</stp>
        <stp>3</stp>
        <stp>000016</stp>
        <stp>12/31/2018</stp>
        <stp>2019-11-29</stp>
        <tr r="Q767" s="1"/>
      </tp>
      <tp>
        <v>0.57573559420825715</v>
        <stp/>
        <stp>EM_S_VAL_DIVIDENDYIELD2</stp>
        <stp>3</stp>
        <stp>300026</stp>
        <stp>12/31/2018</stp>
        <stp>2019-11-29</stp>
        <tr r="Q1577" s="1"/>
      </tp>
      <tp>
        <v>0.47505938242280288</v>
        <stp/>
        <stp>EM_S_VAL_DIVIDENDYIELD2</stp>
        <stp>3</stp>
        <stp>600076</stp>
        <stp>12/31/2018</stp>
        <stp>2019-11-29</stp>
        <tr r="Q2007" s="1"/>
      </tp>
      <tp>
        <v>0.33761832931360181</v>
        <stp/>
        <stp>EM_S_VAL_DIVIDENDYIELD2</stp>
        <stp>3</stp>
        <stp>000066</stp>
        <stp>12/31/2018</stp>
        <stp>2019-11-29</stp>
        <tr r="Q34" s="1"/>
      </tp>
      <tp>
        <v>0</v>
        <stp/>
        <stp>EM_S_VAL_DIVIDENDYIELD2</stp>
        <stp>3</stp>
        <stp>300056</stp>
        <stp>12/31/2018</stp>
        <stp>2019-11-29</stp>
        <tr r="Q1201" s="1"/>
      </tp>
      <tp>
        <v>1.8974943052391799</v>
        <stp/>
        <stp>EM_S_VAL_DIVIDENDYIELD2</stp>
        <stp>3</stp>
        <stp>600006</stp>
        <stp>12/31/2018</stp>
        <stp>2019-11-29</stp>
        <tr r="Q1054" s="1"/>
      </tp>
      <tp>
        <v>2.1246458923512748</v>
        <stp/>
        <stp>EM_S_VAL_DIVIDENDYIELD2</stp>
        <stp>3</stp>
        <stp>300046</stp>
        <stp>12/31/2018</stp>
        <stp>2019-11-29</stp>
        <tr r="Q595" s="1"/>
      </tp>
      <tp>
        <v>5.5915721231766611</v>
        <stp/>
        <stp>EM_S_VAL_DIVIDENDYIELD2</stp>
        <stp>3</stp>
        <stp>600016</stp>
        <stp>12/31/2018</stp>
        <stp>2019-11-29</stp>
        <tr r="Q1730" s="1"/>
      </tp>
      <tp>
        <v>3.5460992907801412</v>
        <stp/>
        <stp>EM_S_VAL_DIVIDENDYIELD2</stp>
        <stp>3</stp>
        <stp>000046</stp>
        <stp>12/31/2018</stp>
        <stp>2019-11-29</stp>
        <tr r="Q2270" s="1"/>
      </tp>
      <tp>
        <v>0.37579617834394907</v>
        <stp/>
        <stp>EM_S_VAL_DIVIDENDYIELD2</stp>
        <stp>3</stp>
        <stp>300076</stp>
        <stp>12/31/2018</stp>
        <stp>2019-11-29</stp>
        <tr r="Q594" s="1"/>
      </tp>
      <tp>
        <v>0.34782608695652173</v>
        <stp/>
        <stp>EM_S_VAL_DIVIDENDYIELD2</stp>
        <stp>3</stp>
        <stp>600026</stp>
        <stp>12/31/2018</stp>
        <stp>2019-11-29</stp>
        <tr r="Q703" s="1"/>
      </tp>
      <tp>
        <v>0.24889800995024874</v>
        <stp/>
        <stp>EM_S_VAL_DIVIDENDYIELD2</stp>
        <stp>3</stp>
        <stp>000056</stp>
        <stp>12/31/2018</stp>
        <stp>2019-11-29</stp>
        <tr r="Q2827" s="1"/>
      </tp>
      <tp>
        <v>0.46620046620046629</v>
        <stp/>
        <stp>EM_S_VAL_DIVIDENDYIELD2</stp>
        <stp>3</stp>
        <stp>300066</stp>
        <stp>12/31/2018</stp>
        <stp>2019-11-29</stp>
        <tr r="Q710" s="1"/>
      </tp>
      <tp>
        <v>2.6089369969469889</v>
        <stp/>
        <stp>EM_S_VAL_DIVIDENDYIELD2</stp>
        <stp>3</stp>
        <stp>600036</stp>
        <stp>12/31/2018</stp>
        <stp>2019-11-29</stp>
        <tr r="Q562" s="1"/>
      </tp>
      <tp>
        <v>5.2798310454065467E-2</v>
        <stp/>
        <stp>EM_S_VAL_DIVIDENDYIELD2</stp>
        <stp>3</stp>
        <stp>300096</stp>
        <stp>12/31/2018</stp>
        <stp>2019-11-29</stp>
        <tr r="Q1359" s="1"/>
      </tp>
      <tp>
        <v>3.3185840707964607</v>
        <stp/>
        <stp>EM_S_VAL_DIVIDENDYIELD2</stp>
        <stp>3</stp>
        <stp>300086</stp>
        <stp>12/31/2018</stp>
        <stp>2019-11-29</stp>
        <tr r="Q3069" s="1"/>
      </tp>
      <tp>
        <v>0.18975332068311196</v>
        <stp/>
        <stp>EM_S_VAL_DIVIDENDYIELD2</stp>
        <stp>3</stp>
        <stp>000096</stp>
        <stp>12/31/2018</stp>
        <stp>2019-11-29</stp>
        <tr r="Q1146" s="1"/>
      </tp>
      <tp>
        <v>0</v>
        <stp/>
        <stp>EM_S_VAL_DIVIDENDYIELD2</stp>
        <stp>3</stp>
        <stp>600086</stp>
        <stp>12/31/2018</stp>
        <stp>2019-11-29</stp>
        <tr r="Q3319" s="1"/>
      </tp>
      <tp>
        <v>0</v>
        <stp/>
        <stp>EM_S_VAL_DIVIDENDYIELD2</stp>
        <stp>3</stp>
        <stp>600096</stp>
        <stp>12/31/2018</stp>
        <stp>2019-11-29</stp>
        <tr r="Q2005" s="1"/>
      </tp>
      <tp>
        <v>0</v>
        <stp/>
        <stp>EM_S_VAL_DIVIDENDYIELD2</stp>
        <stp>3</stp>
        <stp>300116</stp>
        <stp>12/31/2018</stp>
        <stp>2019-11-29</stp>
        <tr r="Q911" s="1"/>
      </tp>
      <tp>
        <v>0</v>
        <stp/>
        <stp>EM_S_VAL_DIVIDENDYIELD2</stp>
        <stp>3</stp>
        <stp>600146</stp>
        <stp>12/31/2018</stp>
        <stp>2019-11-29</stp>
        <tr r="Q192" s="1"/>
      </tp>
      <tp>
        <v>0</v>
        <stp/>
        <stp>EM_S_VAL_DIVIDENDYIELD2</stp>
        <stp>3</stp>
        <stp>300106</stp>
        <stp>12/31/2018</stp>
        <stp>2019-11-29</stp>
        <tr r="Q1125" s="1"/>
      </tp>
      <tp>
        <v>0</v>
        <stp/>
        <stp>EM_S_VAL_DIVIDENDYIELD2</stp>
        <stp>3</stp>
        <stp>600156</stp>
        <stp>12/31/2018</stp>
        <stp>2019-11-29</stp>
        <tr r="Q1708" s="1"/>
      </tp>
      <tp>
        <v>0</v>
        <stp/>
        <stp>EM_S_VAL_DIVIDENDYIELD2</stp>
        <stp>3</stp>
        <stp>300136</stp>
        <stp>12/31/2018</stp>
        <stp>2019-11-29</stp>
        <tr r="Q145" s="1"/>
      </tp>
      <tp>
        <v>0</v>
        <stp/>
        <stp>EM_S_VAL_DIVIDENDYIELD2</stp>
        <stp>3</stp>
        <stp>600166</stp>
        <stp>12/31/2018</stp>
        <stp>2019-11-29</stp>
        <tr r="Q1515" s="1"/>
      </tp>
      <tp>
        <v>0</v>
        <stp/>
        <stp>EM_S_VAL_DIVIDENDYIELD2</stp>
        <stp>3</stp>
        <stp>300126</stp>
        <stp>12/31/2018</stp>
        <stp>2019-11-29</stp>
        <tr r="Q1497" s="1"/>
      </tp>
      <tp>
        <v>2.4916943521594681</v>
        <stp/>
        <stp>EM_S_VAL_DIVIDENDYIELD2</stp>
        <stp>3</stp>
        <stp>600176</stp>
        <stp>12/31/2018</stp>
        <stp>2019-11-29</stp>
        <tr r="Q1596" s="1"/>
      </tp>
      <tp>
        <v>1.0504201680672267</v>
        <stp/>
        <stp>EM_S_VAL_DIVIDENDYIELD2</stp>
        <stp>3</stp>
        <stp>000166</stp>
        <stp>12/31/2018</stp>
        <stp>2019-11-29</stp>
        <tr r="Q3413" s="1"/>
      </tp>
      <tp>
        <v>0</v>
        <stp/>
        <stp>EM_S_VAL_DIVIDENDYIELD2</stp>
        <stp>3</stp>
        <stp>300156</stp>
        <stp>12/31/2018</stp>
        <stp>2019-11-29</stp>
        <tr r="Q3381" s="1"/>
      </tp>
      <tp>
        <v>2.0859277708592776</v>
        <stp/>
        <stp>EM_S_VAL_DIVIDENDYIELD2</stp>
        <stp>3</stp>
        <stp>600106</stp>
        <stp>12/31/2018</stp>
        <stp>2019-11-29</stp>
        <tr r="Q2193" s="1"/>
      </tp>
      <tp>
        <v>3.1743068555786049</v>
        <stp/>
        <stp>EM_S_VAL_DIVIDENDYIELD2</stp>
        <stp>3</stp>
        <stp>300146</stp>
        <stp>12/31/2018</stp>
        <stp>2019-11-29</stp>
        <tr r="Q2523" s="1"/>
      </tp>
      <tp>
        <v>1.3280212483399734</v>
        <stp/>
        <stp>EM_S_VAL_DIVIDENDYIELD2</stp>
        <stp>3</stp>
        <stp>600116</stp>
        <stp>12/31/2018</stp>
        <stp>2019-11-29</stp>
        <tr r="Q2123" s="1"/>
      </tp>
      <tp>
        <v>1.4253135689851768</v>
        <stp/>
        <stp>EM_S_VAL_DIVIDENDYIELD2</stp>
        <stp>3</stp>
        <stp>300176</stp>
        <stp>12/31/2018</stp>
        <stp>2019-11-29</stp>
        <tr r="Q3402" s="1"/>
      </tp>
      <tp>
        <v>0</v>
        <stp/>
        <stp>EM_S_VAL_DIVIDENDYIELD2</stp>
        <stp>3</stp>
        <stp>600126</stp>
        <stp>12/31/2018</stp>
        <stp>2019-11-29</stp>
        <tr r="Q1866" s="1"/>
      </tp>
      <tp>
        <v>2.6221692491060788</v>
        <stp/>
        <stp>EM_S_VAL_DIVIDENDYIELD2</stp>
        <stp>3</stp>
        <stp>000156</stp>
        <stp>12/31/2018</stp>
        <stp>2019-11-29</stp>
        <tr r="Q834" s="1"/>
      </tp>
      <tp>
        <v>8.4745762711864389E-2</v>
        <stp/>
        <stp>EM_S_VAL_DIVIDENDYIELD2</stp>
        <stp>3</stp>
        <stp>300166</stp>
        <stp>12/31/2018</stp>
        <stp>2019-11-29</stp>
        <tr r="Q1061" s="1"/>
      </tp>
      <tp>
        <v>0.25081788440567065</v>
        <stp/>
        <stp>EM_S_VAL_DIVIDENDYIELD2</stp>
        <stp>3</stp>
        <stp>600136</stp>
        <stp>12/31/2018</stp>
        <stp>2019-11-29</stp>
        <tr r="Q571" s="1"/>
      </tp>
      <tp>
        <v>2.2299069697486447</v>
        <stp/>
        <stp>EM_S_VAL_DIVIDENDYIELD2</stp>
        <stp>3</stp>
        <stp>300196</stp>
        <stp>12/31/2018</stp>
        <stp>2019-11-29</stp>
        <tr r="Q904" s="1"/>
      </tp>
      <tp>
        <v>0</v>
        <stp/>
        <stp>EM_S_VAL_DIVIDENDYIELD2</stp>
        <stp>3</stp>
        <stp>300186</stp>
        <stp>12/31/2018</stp>
        <stp>2019-11-29</stp>
        <tr r="Q2281" s="1"/>
      </tp>
      <tp>
        <v>0</v>
        <stp/>
        <stp>EM_S_VAL_DIVIDENDYIELD2</stp>
        <stp>3</stp>
        <stp>600186</stp>
        <stp>12/31/2018</stp>
        <stp>2019-11-29</stp>
        <tr r="Q709" s="1"/>
      </tp>
      <tp>
        <v>1.2723658051689859</v>
        <stp/>
        <stp>EM_S_VAL_DIVIDENDYIELD2</stp>
        <stp>3</stp>
        <stp>600196</stp>
        <stp>12/31/2018</stp>
        <stp>2019-11-29</stp>
        <tr r="Q1604" s="1"/>
      </tp>
      <tp>
        <v>0</v>
        <stp/>
        <stp>EM_S_VAL_DIVIDENDYIELD2</stp>
        <stp>3</stp>
        <stp>000626</stp>
        <stp>12/31/2018</stp>
        <stp>2019-11-29</stp>
        <tr r="Q3488" s="1"/>
      </tp>
      <tp>
        <v>0.9002250562640659</v>
        <stp/>
        <stp>EM_S_VAL_DIVIDENDYIELD2</stp>
        <stp>3</stp>
        <stp>300616</stp>
        <stp>12/31/2018</stp>
        <stp>2019-11-29</stp>
        <tr r="Q1091" s="1"/>
      </tp>
      <tp>
        <v>0</v>
        <stp/>
        <stp>EM_S_VAL_DIVIDENDYIELD2</stp>
        <stp>3</stp>
        <stp>600646</stp>
        <stp>12/31/2018</stp>
        <stp>2019-11-29</stp>
        <tr r="Q2311" s="1"/>
      </tp>
      <tp>
        <v>2.2624434389140271</v>
        <stp/>
        <stp>EM_S_VAL_DIVIDENDYIELD2</stp>
        <stp>3</stp>
        <stp>000636</stp>
        <stp>12/31/2018</stp>
        <stp>2019-11-29</stp>
        <tr r="Q714" s="1"/>
      </tp>
      <tp>
        <v>0.26497085320614733</v>
        <stp/>
        <stp>EM_S_VAL_DIVIDENDYIELD2</stp>
        <stp>3</stp>
        <stp>300606</stp>
        <stp>12/31/2018</stp>
        <stp>2019-11-29</stp>
        <tr r="Q1432" s="1"/>
      </tp>
      <tp>
        <v>0</v>
        <stp/>
        <stp>EM_S_VAL_DIVIDENDYIELD2</stp>
        <stp>3</stp>
        <stp>600656</stp>
        <stp>12/31/2018</stp>
        <stp>2019-11-29</stp>
        <tr r="Q2312" s="1"/>
      </tp>
      <tp>
        <v>0</v>
        <stp/>
        <stp>EM_S_VAL_DIVIDENDYIELD2</stp>
        <stp>3</stp>
        <stp>000606</stp>
        <stp>12/31/2018</stp>
        <stp>2019-11-29</stp>
        <tr r="Q2652" s="1"/>
      </tp>
      <tp>
        <v>0.16860858895705522</v>
        <stp/>
        <stp>EM_S_VAL_DIVIDENDYIELD2</stp>
        <stp>3</stp>
        <stp>300636</stp>
        <stp>12/31/2018</stp>
        <stp>2019-11-29</stp>
        <tr r="Q456" s="1"/>
      </tp>
      <tp>
        <v>0</v>
        <stp/>
        <stp>EM_S_VAL_DIVIDENDYIELD2</stp>
        <stp>3</stp>
        <stp>600666</stp>
        <stp>12/31/2018</stp>
        <stp>2019-11-29</stp>
        <tr r="Q3218" s="1"/>
      </tp>
      <tp>
        <v>0</v>
        <stp/>
        <stp>EM_S_VAL_DIVIDENDYIELD2</stp>
        <stp>3</stp>
        <stp>000616</stp>
        <stp>12/31/2018</stp>
        <stp>2019-11-29</stp>
        <tr r="Q2228" s="1"/>
      </tp>
      <tp>
        <v>0</v>
        <stp/>
        <stp>EM_S_VAL_DIVIDENDYIELD2</stp>
        <stp>3</stp>
        <stp>300626</stp>
        <stp>12/31/2018</stp>
        <stp>2019-11-29</stp>
        <tr r="Q2555" s="1"/>
      </tp>
      <tp>
        <v>2.3696682464454977</v>
        <stp/>
        <stp>EM_S_VAL_DIVIDENDYIELD2</stp>
        <stp>3</stp>
        <stp>600676</stp>
        <stp>12/31/2018</stp>
        <stp>2019-11-29</stp>
        <tr r="Q2345" s="1"/>
      </tp>
      <tp>
        <v>0.47619047619047622</v>
        <stp/>
        <stp>EM_S_VAL_DIVIDENDYIELD2</stp>
        <stp>3</stp>
        <stp>000666</stp>
        <stp>12/31/2018</stp>
        <stp>2019-11-29</stp>
        <tr r="Q1969" s="1"/>
      </tp>
      <tp>
        <v>0.71282611794896167</v>
        <stp/>
        <stp>EM_S_VAL_DIVIDENDYIELD2</stp>
        <stp>3</stp>
        <stp>300656</stp>
        <stp>12/31/2018</stp>
        <stp>2019-11-29</stp>
        <tr r="Q2217" s="1"/>
      </tp>
      <tp>
        <v>4.5801526717557248</v>
        <stp/>
        <stp>EM_S_VAL_DIVIDENDYIELD2</stp>
        <stp>3</stp>
        <stp>600606</stp>
        <stp>12/31/2018</stp>
        <stp>2019-11-29</stp>
        <tr r="Q1591" s="1"/>
      </tp>
      <tp>
        <v>0.27670171565497342</v>
        <stp/>
        <stp>EM_S_VAL_DIVIDENDYIELD2</stp>
        <stp>3</stp>
        <stp>000676</stp>
        <stp>12/31/2018</stp>
        <stp>2019-11-29</stp>
        <tr r="Q2517" s="1"/>
      </tp>
      <tp>
        <v>0</v>
        <stp/>
        <stp>EM_S_VAL_DIVIDENDYIELD2</stp>
        <stp>3</stp>
        <stp>300646</stp>
        <stp>12/31/2018</stp>
        <stp>2019-11-29</stp>
        <tr r="Q10" s="1"/>
      </tp>
      <tp>
        <v>0</v>
        <stp/>
        <stp>EM_S_VAL_DIVIDENDYIELD2</stp>
        <stp>3</stp>
        <stp>600616</stp>
        <stp>12/31/2018</stp>
        <stp>2019-11-29</stp>
        <tr r="Q2035" s="1"/>
      </tp>
      <tp>
        <v>0.16866250632484397</v>
        <stp/>
        <stp>EM_S_VAL_DIVIDENDYIELD2</stp>
        <stp>3</stp>
        <stp>300676</stp>
        <stp>12/31/2018</stp>
        <stp>2019-11-29</stp>
        <tr r="Q1637" s="1"/>
      </tp>
      <tp>
        <v>0.88809946714031984</v>
        <stp/>
        <stp>EM_S_VAL_DIVIDENDYIELD2</stp>
        <stp>3</stp>
        <stp>600626</stp>
        <stp>12/31/2018</stp>
        <stp>2019-11-29</stp>
        <tr r="Q1387" s="1"/>
      </tp>
      <tp>
        <v>5.4794520547945202</v>
        <stp/>
        <stp>EM_S_VAL_DIVIDENDYIELD2</stp>
        <stp>3</stp>
        <stp>000656</stp>
        <stp>12/31/2018</stp>
        <stp>2019-11-29</stp>
        <tr r="Q1182" s="1"/>
      </tp>
      <tp>
        <v>0.15696887686062244</v>
        <stp/>
        <stp>EM_S_VAL_DIVIDENDYIELD2</stp>
        <stp>3</stp>
        <stp>300666</stp>
        <stp>12/31/2018</stp>
        <stp>2019-11-29</stp>
        <tr r="Q2037" s="1"/>
      </tp>
      <tp>
        <v>3.936170212765957</v>
        <stp/>
        <stp>EM_S_VAL_DIVIDENDYIELD2</stp>
        <stp>3</stp>
        <stp>600636</stp>
        <stp>12/31/2018</stp>
        <stp>2019-11-29</stp>
        <tr r="Q2618" s="1"/>
      </tp>
      <tp>
        <v>0.77428915135608045</v>
        <stp/>
        <stp>EM_S_VAL_DIVIDENDYIELD2</stp>
        <stp>3</stp>
        <stp>300696</stp>
        <stp>12/31/2018</stp>
        <stp>2019-11-29</stp>
        <tr r="Q2215" s="1"/>
      </tp>
      <tp>
        <v>6.2332702050793151E-2</v>
        <stp/>
        <stp>EM_S_VAL_DIVIDENDYIELD2</stp>
        <stp>3</stp>
        <stp>300686</stp>
        <stp>12/31/2018</stp>
        <stp>2019-11-29</stp>
        <tr r="Q205" s="1"/>
      </tp>
      <tp>
        <v>1.2771392081736908</v>
        <stp/>
        <stp>EM_S_VAL_DIVIDENDYIELD2</stp>
        <stp>3</stp>
        <stp>000686</stp>
        <stp>12/31/2018</stp>
        <stp>2019-11-29</stp>
        <tr r="Q3508" s="1"/>
      </tp>
      <tp>
        <v>0.40479760119940039</v>
        <stp/>
        <stp>EM_S_VAL_DIVIDENDYIELD2</stp>
        <stp>3</stp>
        <stp>600686</stp>
        <stp>12/31/2018</stp>
        <stp>2019-11-29</stp>
        <tr r="Q2161" s="1"/>
      </tp>
      <tp>
        <v>0</v>
        <stp/>
        <stp>EM_S_VAL_DIVIDENDYIELD2</stp>
        <stp>3</stp>
        <stp>600696</stp>
        <stp>12/31/2018</stp>
        <stp>2019-11-29</stp>
        <tr r="Q71" s="1"/>
      </tp>
      <tp>
        <v>5.6178196368259696</v>
        <stp/>
        <stp>EM_S_VAL_DIVIDENDYIELD2</stp>
        <stp>3</stp>
        <stp>000726</stp>
        <stp>12/31/2018</stp>
        <stp>2019-11-29</stp>
        <tr r="Q2606" s="1"/>
      </tp>
      <tp>
        <v>0.69473684210526321</v>
        <stp/>
        <stp>EM_S_VAL_DIVIDENDYIELD2</stp>
        <stp>3</stp>
        <stp>300716</stp>
        <stp>12/31/2018</stp>
        <stp>2019-11-29</stp>
        <tr r="Q2689" s="1"/>
      </tp>
      <tp>
        <v>0</v>
        <stp/>
        <stp>EM_S_VAL_DIVIDENDYIELD2</stp>
        <stp>3</stp>
        <stp>600746</stp>
        <stp>12/31/2018</stp>
        <stp>2019-11-29</stp>
        <tr r="Q1254" s="1"/>
      </tp>
      <tp>
        <v>2.4585921343435508</v>
        <stp/>
        <stp>EM_S_VAL_DIVIDENDYIELD2</stp>
        <stp>3</stp>
        <stp>000736</stp>
        <stp>12/31/2018</stp>
        <stp>2019-11-29</stp>
        <tr r="Q2610" s="1"/>
      </tp>
      <tp>
        <v>0.14388489208633093</v>
        <stp/>
        <stp>EM_S_VAL_DIVIDENDYIELD2</stp>
        <stp>3</stp>
        <stp>300706</stp>
        <stp>12/31/2018</stp>
        <stp>2019-11-29</stp>
        <tr r="Q1440" s="1"/>
      </tp>
      <tp>
        <v>0.5710029791459782</v>
        <stp/>
        <stp>EM_S_VAL_DIVIDENDYIELD2</stp>
        <stp>3</stp>
        <stp>600756</stp>
        <stp>12/31/2018</stp>
        <stp>2019-11-29</stp>
        <tr r="Q829" s="1"/>
      </tp>
      <tp>
        <v>1.8119612838788979</v>
        <stp/>
        <stp>EM_S_VAL_DIVIDENDYIELD2</stp>
        <stp>3</stp>
        <stp>300736</stp>
        <stp>12/31/2018</stp>
        <stp>2019-11-29</stp>
        <tr r="Q3372" s="1"/>
      </tp>
      <tp>
        <v>0</v>
        <stp/>
        <stp>EM_S_VAL_DIVIDENDYIELD2</stp>
        <stp>3</stp>
        <stp>600766</stp>
        <stp>12/31/2018</stp>
        <stp>2019-11-29</stp>
        <tr r="Q2671" s="1"/>
      </tp>
      <tp>
        <v>0</v>
        <stp/>
        <stp>EM_S_VAL_DIVIDENDYIELD2</stp>
        <stp>3</stp>
        <stp>000716</stp>
        <stp>12/31/2018</stp>
        <stp>2019-11-29</stp>
        <tr r="Q812" s="1"/>
      </tp>
      <tp>
        <v>1.019160211985324</v>
        <stp/>
        <stp>EM_S_VAL_DIVIDENDYIELD2</stp>
        <stp>3</stp>
        <stp>300726</stp>
        <stp>12/31/2018</stp>
        <stp>2019-11-29</stp>
        <tr r="Q613" s="1"/>
      </tp>
      <tp>
        <v>0.31512605042016806</v>
        <stp/>
        <stp>EM_S_VAL_DIVIDENDYIELD2</stp>
        <stp>3</stp>
        <stp>600776</stp>
        <stp>12/31/2018</stp>
        <stp>2019-11-29</stp>
        <tr r="Q255" s="1"/>
      </tp>
      <tp>
        <v>0</v>
        <stp/>
        <stp>EM_S_VAL_DIVIDENDYIELD2</stp>
        <stp>3</stp>
        <stp>000766</stp>
        <stp>12/31/2018</stp>
        <stp>2019-11-29</stp>
        <tr r="Q2592" s="1"/>
      </tp>
      <tp>
        <v>0.45731707317073167</v>
        <stp/>
        <stp>EM_S_VAL_DIVIDENDYIELD2</stp>
        <stp>3</stp>
        <stp>600706</stp>
        <stp>12/31/2018</stp>
        <stp>2019-11-29</stp>
        <tr r="Q2912" s="1"/>
      </tp>
      <tp>
        <v>0</v>
        <stp/>
        <stp>EM_S_VAL_DIVIDENDYIELD2</stp>
        <stp>3</stp>
        <stp>000776</stp>
        <stp>12/31/2018</stp>
        <stp>2019-11-29</stp>
        <tr r="Q3534" s="1"/>
      </tp>
      <tp>
        <v>0.52510006748878557</v>
        <stp/>
        <stp>EM_S_VAL_DIVIDENDYIELD2</stp>
        <stp>3</stp>
        <stp>300746</stp>
        <stp>12/31/2018</stp>
        <stp>2019-11-29</stp>
        <tr r="Q3170" s="1"/>
      </tp>
      <tp>
        <v>2.7027027027027026</v>
        <stp/>
        <stp>EM_S_VAL_DIVIDENDYIELD2</stp>
        <stp>3</stp>
        <stp>600716</stp>
        <stp>12/31/2018</stp>
        <stp>2019-11-29</stp>
        <tr r="Q954" s="1"/>
      </tp>
      <tp>
        <v>0</v>
        <stp/>
        <stp>EM_S_VAL_DIVIDENDYIELD2</stp>
        <stp>3</stp>
        <stp>600726</stp>
        <stp>12/31/2018</stp>
        <stp>2019-11-29</stp>
        <tr r="Q3137" s="1"/>
      </tp>
      <tp>
        <v>1.4471780028943562</v>
        <stp/>
        <stp>EM_S_VAL_DIVIDENDYIELD2</stp>
        <stp>3</stp>
        <stp>000756</stp>
        <stp>12/31/2018</stp>
        <stp>2019-11-29</stp>
        <tr r="Q945" s="1"/>
      </tp>
      <tp>
        <v>0</v>
        <stp/>
        <stp>EM_S_VAL_DIVIDENDYIELD2</stp>
        <stp>3</stp>
        <stp>600736</stp>
        <stp>12/31/2018</stp>
        <stp>2019-11-29</stp>
        <tr r="Q1764" s="1"/>
      </tp>
      <tp>
        <v>2.0609318996415769</v>
        <stp/>
        <stp>EM_S_VAL_DIVIDENDYIELD2</stp>
        <stp>3</stp>
        <stp>000786</stp>
        <stp>12/31/2018</stp>
        <stp>2019-11-29</stp>
        <tr r="Q216" s="1"/>
      </tp>
      <tp>
        <v>0</v>
        <stp/>
        <stp>EM_S_VAL_DIVIDENDYIELD2</stp>
        <stp>3</stp>
        <stp>000796</stp>
        <stp>12/31/2018</stp>
        <stp>2019-11-29</stp>
        <tr r="Q776" s="1"/>
      </tp>
      <tp>
        <v>0</v>
        <stp/>
        <stp>EM_S_VAL_DIVIDENDYIELD2</stp>
        <stp>3</stp>
        <stp>600786</stp>
        <stp>12/31/2018</stp>
        <stp>2019-11-29</stp>
        <tr r="Q2322" s="1"/>
      </tp>
      <tp>
        <v>0</v>
        <stp/>
        <stp>EM_S_VAL_DIVIDENDYIELD2</stp>
        <stp>3</stp>
        <stp>600796</stp>
        <stp>12/31/2018</stp>
        <stp>2019-11-29</stp>
        <tr r="Q1931" s="1"/>
      </tp>
      <tp>
        <v>0</v>
        <stp/>
        <stp>EM_S_VAL_DIVIDENDYIELD2</stp>
        <stp>3</stp>
        <stp>000426</stp>
        <stp>12/31/2018</stp>
        <stp>2019-11-29</stp>
        <tr r="Q2266" s="1"/>
      </tp>
      <tp>
        <v>0.38520801232665641</v>
        <stp/>
        <stp>EM_S_VAL_DIVIDENDYIELD2</stp>
        <stp>3</stp>
        <stp>300416</stp>
        <stp>12/31/2018</stp>
        <stp>2019-11-29</stp>
        <tr r="Q301" s="1"/>
      </tp>
      <tp>
        <v>0</v>
        <stp/>
        <stp>EM_S_VAL_DIVIDENDYIELD2</stp>
        <stp>3</stp>
        <stp>600446</stp>
        <stp>12/31/2018</stp>
        <stp>2019-11-29</stp>
        <tr r="Q127" s="1"/>
      </tp>
      <tp>
        <v>0.87209302325581395</v>
        <stp/>
        <stp>EM_S_VAL_DIVIDENDYIELD2</stp>
        <stp>3</stp>
        <stp>300406</stp>
        <stp>12/31/2018</stp>
        <stp>2019-11-29</stp>
        <tr r="Q400" s="1"/>
      </tp>
      <tp>
        <v>0.45146726862302478</v>
        <stp/>
        <stp>EM_S_VAL_DIVIDENDYIELD2</stp>
        <stp>3</stp>
        <stp>600456</stp>
        <stp>12/31/2018</stp>
        <stp>2019-11-29</stp>
        <tr r="Q393" s="1"/>
      </tp>
      <tp>
        <v>0</v>
        <stp/>
        <stp>EM_S_VAL_DIVIDENDYIELD2</stp>
        <stp>3</stp>
        <stp>000406</stp>
        <stp>12/31/2018</stp>
        <stp>2019-11-29</stp>
        <tr r="Q3417" s="1"/>
      </tp>
      <tp>
        <v>0</v>
        <stp/>
        <stp>EM_S_VAL_DIVIDENDYIELD2</stp>
        <stp>3</stp>
        <stp>300436</stp>
        <stp>12/31/2018</stp>
        <stp>2019-11-29</stp>
        <tr r="Q879" s="1"/>
      </tp>
      <tp>
        <v>3.8938789450555342</v>
        <stp/>
        <stp>EM_S_VAL_DIVIDENDYIELD2</stp>
        <stp>3</stp>
        <stp>600466</stp>
        <stp>12/31/2018</stp>
        <stp>2019-11-29</stp>
        <tr r="Q865" s="1"/>
      </tp>
      <tp>
        <v>0.5988023952095809</v>
        <stp/>
        <stp>EM_S_VAL_DIVIDENDYIELD2</stp>
        <stp>3</stp>
        <stp>000416</stp>
        <stp>12/31/2018</stp>
        <stp>2019-11-29</stp>
        <tr r="Q3421" s="1"/>
      </tp>
      <tp>
        <v>0</v>
        <stp/>
        <stp>EM_S_VAL_DIVIDENDYIELD2</stp>
        <stp>3</stp>
        <stp>300426</stp>
        <stp>12/31/2018</stp>
        <stp>2019-11-29</stp>
        <tr r="Q2691" s="1"/>
      </tp>
      <tp>
        <v>0</v>
        <stp/>
        <stp>EM_S_VAL_DIVIDENDYIELD2</stp>
        <stp>3</stp>
        <stp>600476</stp>
        <stp>12/31/2018</stp>
        <stp>2019-11-29</stp>
        <tr r="Q1132" s="1"/>
      </tp>
      <tp>
        <v>0.3794634388159131</v>
        <stp/>
        <stp>EM_S_VAL_DIVIDENDYIELD2</stp>
        <stp>3</stp>
        <stp>300456</stp>
        <stp>12/31/2018</stp>
        <stp>2019-11-29</stp>
        <tr r="Q1723" s="1"/>
      </tp>
      <tp>
        <v>1.6114982578397212</v>
        <stp/>
        <stp>EM_S_VAL_DIVIDENDYIELD2</stp>
        <stp>3</stp>
        <stp>600406</stp>
        <stp>12/31/2018</stp>
        <stp>2019-11-29</stp>
        <tr r="Q1471" s="1"/>
      </tp>
      <tp>
        <v>1.2903225806451613</v>
        <stp/>
        <stp>EM_S_VAL_DIVIDENDYIELD2</stp>
        <stp>3</stp>
        <stp>300446</stp>
        <stp>12/31/2018</stp>
        <stp>2019-11-29</stp>
        <tr r="Q1334" s="1"/>
      </tp>
      <tp>
        <v>0</v>
        <stp/>
        <stp>EM_S_VAL_DIVIDENDYIELD2</stp>
        <stp>3</stp>
        <stp>600416</stp>
        <stp>12/31/2018</stp>
        <stp>2019-11-29</stp>
        <tr r="Q795" s="1"/>
      </tp>
      <tp>
        <v>1.1582055172413792</v>
        <stp/>
        <stp>EM_S_VAL_DIVIDENDYIELD2</stp>
        <stp>3</stp>
        <stp>300476</stp>
        <stp>12/31/2018</stp>
        <stp>2019-11-29</stp>
        <tr r="Q744" s="1"/>
      </tp>
      <tp>
        <v>1.1976047904191618</v>
        <stp/>
        <stp>EM_S_VAL_DIVIDENDYIELD2</stp>
        <stp>3</stp>
        <stp>600426</stp>
        <stp>12/31/2018</stp>
        <stp>2019-11-29</stp>
        <tr r="Q417" s="1"/>
      </tp>
      <tp>
        <v>0</v>
        <stp/>
        <stp>EM_S_VAL_DIVIDENDYIELD2</stp>
        <stp>3</stp>
        <stp>300466</stp>
        <stp>12/31/2018</stp>
        <stp>2019-11-29</stp>
        <tr r="Q1519" s="1"/>
      </tp>
      <tp>
        <v>0.60132291040288632</v>
        <stp/>
        <stp>EM_S_VAL_DIVIDENDYIELD2</stp>
        <stp>3</stp>
        <stp>600436</stp>
        <stp>12/31/2018</stp>
        <stp>2019-11-29</stp>
        <tr r="Q1060" s="1"/>
      </tp>
      <tp>
        <v>0.20177571140488462</v>
        <stp/>
        <stp>EM_S_VAL_DIVIDENDYIELD2</stp>
        <stp>3</stp>
        <stp>300496</stp>
        <stp>12/31/2018</stp>
        <stp>2019-11-29</stp>
        <tr r="Q156" s="1"/>
      </tp>
      <tp>
        <v>0.18134715025906734</v>
        <stp/>
        <stp>EM_S_VAL_DIVIDENDYIELD2</stp>
        <stp>3</stp>
        <stp>300486</stp>
        <stp>12/31/2018</stp>
        <stp>2019-11-29</stp>
        <tr r="Q459" s="1"/>
      </tp>
      <tp>
        <v>1.5480427046263341</v>
        <stp/>
        <stp>EM_S_VAL_DIVIDENDYIELD2</stp>
        <stp>3</stp>
        <stp>600486</stp>
        <stp>12/31/2018</stp>
        <stp>2019-11-29</stp>
        <tr r="Q235" s="1"/>
      </tp>
      <tp>
        <v>0.48148148148148151</v>
        <stp/>
        <stp>EM_S_VAL_DIVIDENDYIELD2</stp>
        <stp>3</stp>
        <stp>600496</stp>
        <stp>12/31/2018</stp>
        <stp>2019-11-29</stp>
        <tr r="Q1831" s="1"/>
      </tp>
      <tp>
        <v>0</v>
        <stp/>
        <stp>EM_S_VAL_DIVIDENDYIELD2</stp>
        <stp>3</stp>
        <stp>000526</stp>
        <stp>12/31/2018</stp>
        <stp>2019-11-29</stp>
        <tr r="Q325" s="1"/>
      </tp>
      <tp>
        <v>0.16997792494481237</v>
        <stp/>
        <stp>EM_S_VAL_DIVIDENDYIELD2</stp>
        <stp>3</stp>
        <stp>300516</stp>
        <stp>12/31/2018</stp>
        <stp>2019-11-29</stp>
        <tr r="Q1820" s="1"/>
      </tp>
      <tp>
        <v>0</v>
        <stp/>
        <stp>EM_S_VAL_DIVIDENDYIELD2</stp>
        <stp>3</stp>
        <stp>600546</stp>
        <stp>12/31/2018</stp>
        <stp>2019-11-29</stp>
        <tr r="Q191" s="1"/>
      </tp>
      <tp>
        <v>0</v>
        <stp/>
        <stp>EM_S_VAL_DIVIDENDYIELD2</stp>
        <stp>3</stp>
        <stp>000536</stp>
        <stp>12/31/2018</stp>
        <stp>2019-11-29</stp>
        <tr r="Q3447" s="1"/>
      </tp>
      <tp>
        <v>0.32935906750652311</v>
        <stp/>
        <stp>EM_S_VAL_DIVIDENDYIELD2</stp>
        <stp>3</stp>
        <stp>300506</stp>
        <stp>12/31/2018</stp>
        <stp>2019-11-29</stp>
        <tr r="Q3320" s="1"/>
      </tp>
      <tp>
        <v>0</v>
        <stp/>
        <stp>EM_S_VAL_DIVIDENDYIELD2</stp>
        <stp>3</stp>
        <stp>600556</stp>
        <stp>12/31/2018</stp>
        <stp>2019-11-29</stp>
        <tr r="Q210" s="1"/>
      </tp>
      <tp>
        <v>0</v>
        <stp/>
        <stp>EM_S_VAL_DIVIDENDYIELD2</stp>
        <stp>3</stp>
        <stp>000506</stp>
        <stp>12/31/2018</stp>
        <stp>2019-11-29</stp>
        <tr r="Q3433" s="1"/>
      </tp>
      <tp>
        <v>0.5247813415551974</v>
        <stp/>
        <stp>EM_S_VAL_DIVIDENDYIELD2</stp>
        <stp>3</stp>
        <stp>300536</stp>
        <stp>12/31/2018</stp>
        <stp>2019-11-29</stp>
        <tr r="Q2931" s="1"/>
      </tp>
      <tp>
        <v>5.4618091626535046</v>
        <stp/>
        <stp>EM_S_VAL_DIVIDENDYIELD2</stp>
        <stp>3</stp>
        <stp>600566</stp>
        <stp>12/31/2018</stp>
        <stp>2019-11-29</stp>
        <tr r="Q3221" s="1"/>
      </tp>
      <tp>
        <v>1.8989234135667399</v>
        <stp/>
        <stp>EM_S_VAL_DIVIDENDYIELD2</stp>
        <stp>3</stp>
        <stp>000516</stp>
        <stp>12/31/2018</stp>
        <stp>2019-11-29</stp>
        <tr r="Q3439" s="1"/>
      </tp>
      <tp>
        <v>7.0804087385482731E-2</v>
        <stp/>
        <stp>EM_S_VAL_DIVIDENDYIELD2</stp>
        <stp>3</stp>
        <stp>300526</stp>
        <stp>12/31/2018</stp>
        <stp>2019-11-29</stp>
        <tr r="Q21" s="1"/>
      </tp>
      <tp>
        <v>0</v>
        <stp/>
        <stp>EM_S_VAL_DIVIDENDYIELD2</stp>
        <stp>3</stp>
        <stp>600576</stp>
        <stp>12/31/2018</stp>
        <stp>2019-11-29</stp>
        <tr r="Q1411" s="1"/>
      </tp>
      <tp>
        <v>0</v>
        <stp/>
        <stp>EM_S_VAL_DIVIDENDYIELD2</stp>
        <stp>3</stp>
        <stp>000566</stp>
        <stp>12/31/2018</stp>
        <stp>2019-11-29</stp>
        <tr r="Q1499" s="1"/>
      </tp>
      <tp>
        <v>0.6207535030173903</v>
        <stp/>
        <stp>EM_S_VAL_DIVIDENDYIELD2</stp>
        <stp>3</stp>
        <stp>300556</stp>
        <stp>12/31/2018</stp>
        <stp>2019-11-29</stp>
        <tr r="Q2073" s="1"/>
      </tp>
      <tp>
        <v>0</v>
        <stp/>
        <stp>EM_S_VAL_DIVIDENDYIELD2</stp>
        <stp>3</stp>
        <stp>600506</stp>
        <stp>12/31/2018</stp>
        <stp>2019-11-29</stp>
        <tr r="Q2132" s="1"/>
      </tp>
      <tp>
        <v>0</v>
        <stp/>
        <stp>EM_S_VAL_DIVIDENDYIELD2</stp>
        <stp>3</stp>
        <stp>000576</stp>
        <stp>12/31/2018</stp>
        <stp>2019-11-29</stp>
        <tr r="Q1024" s="1"/>
      </tp>
      <tp>
        <v>0.56535010098082017</v>
        <stp/>
        <stp>EM_S_VAL_DIVIDENDYIELD2</stp>
        <stp>3</stp>
        <stp>300546</stp>
        <stp>12/31/2018</stp>
        <stp>2019-11-29</stp>
        <tr r="Q1654" s="1"/>
      </tp>
      <tp>
        <v>0</v>
        <stp/>
        <stp>EM_S_VAL_DIVIDENDYIELD2</stp>
        <stp>3</stp>
        <stp>600516</stp>
        <stp>12/31/2018</stp>
        <stp>2019-11-29</stp>
        <tr r="Q3163" s="1"/>
      </tp>
      <tp>
        <v>0.47664442326024786</v>
        <stp/>
        <stp>EM_S_VAL_DIVIDENDYIELD2</stp>
        <stp>3</stp>
        <stp>000546</stp>
        <stp>12/31/2018</stp>
        <stp>2019-11-29</stp>
        <tr r="Q1381" s="1"/>
      </tp>
      <tp>
        <v>0.55066079295154191</v>
        <stp/>
        <stp>EM_S_VAL_DIVIDENDYIELD2</stp>
        <stp>3</stp>
        <stp>300576</stp>
        <stp>12/31/2018</stp>
        <stp>2019-11-29</stp>
        <tr r="Q161" s="1"/>
      </tp>
      <tp>
        <v>0</v>
        <stp/>
        <stp>EM_S_VAL_DIVIDENDYIELD2</stp>
        <stp>3</stp>
        <stp>600526</stp>
        <stp>12/31/2018</stp>
        <stp>2019-11-29</stp>
        <tr r="Q1544" s="1"/>
      </tp>
      <tp>
        <v>0</v>
        <stp/>
        <stp>EM_S_VAL_DIVIDENDYIELD2</stp>
        <stp>3</stp>
        <stp>000556</stp>
        <stp>12/31/2018</stp>
        <stp>2019-11-29</stp>
        <tr r="Q3453" s="1"/>
      </tp>
      <tp>
        <v>0.23551577955723035</v>
        <stp/>
        <stp>EM_S_VAL_DIVIDENDYIELD2</stp>
        <stp>3</stp>
        <stp>300566</stp>
        <stp>12/31/2018</stp>
        <stp>2019-11-29</stp>
        <tr r="Q215" s="1"/>
      </tp>
      <tp>
        <v>0.10327530244910001</v>
        <stp/>
        <stp>EM_S_VAL_DIVIDENDYIELD2</stp>
        <stp>3</stp>
        <stp>600536</stp>
        <stp>12/31/2018</stp>
        <stp>2019-11-29</stp>
        <tr r="Q32" s="1"/>
      </tp>
      <tp>
        <v>0.4232295464097301</v>
        <stp/>
        <stp>EM_S_VAL_DIVIDENDYIELD2</stp>
        <stp>3</stp>
        <stp>300596</stp>
        <stp>12/31/2018</stp>
        <stp>2019-11-29</stp>
        <tr r="Q1350" s="1"/>
      </tp>
      <tp>
        <v>0</v>
        <stp/>
        <stp>EM_S_VAL_DIVIDENDYIELD2</stp>
        <stp>3</stp>
        <stp>300586</stp>
        <stp>12/31/2018</stp>
        <stp>2019-11-29</stp>
        <tr r="Q117" s="1"/>
      </tp>
      <tp>
        <v>0</v>
        <stp/>
        <stp>EM_S_VAL_DIVIDENDYIELD2</stp>
        <stp>3</stp>
        <stp>000586</stp>
        <stp>12/31/2018</stp>
        <stp>2019-11-29</stp>
        <tr r="Q3468" s="1"/>
      </tp>
      <tp>
        <v>1.3868343195266273</v>
        <stp/>
        <stp>EM_S_VAL_DIVIDENDYIELD2</stp>
        <stp>3</stp>
        <stp>000596</stp>
        <stp>12/31/2018</stp>
        <stp>2019-11-29</stp>
        <tr r="Q77" s="1"/>
      </tp>
      <tp>
        <v>2.1897810218978102</v>
        <stp/>
        <stp>EM_S_VAL_DIVIDENDYIELD2</stp>
        <stp>3</stp>
        <stp>600586</stp>
        <stp>12/31/2018</stp>
        <stp>2019-11-29</stp>
        <tr r="Q2118" s="1"/>
      </tp>
      <tp>
        <v>5.8954393770856512</v>
        <stp/>
        <stp>EM_S_VAL_DIVIDENDYIELD2</stp>
        <stp>3</stp>
        <stp>600596</stp>
        <stp>12/31/2018</stp>
        <stp>2019-11-29</stp>
        <tr r="Q2764" s="1"/>
      </tp>
      <tp>
        <v>0.3504672897196261</v>
        <stp/>
        <stp>EM_S_VAL_DIVIDENDYIELD2</stp>
        <stp>3</stp>
        <stp>000826</stp>
        <stp>12/31/2018</stp>
        <stp>2019-11-29</stp>
        <tr r="Q2803" s="1"/>
      </tp>
      <tp>
        <v>1.7341040462427744</v>
        <stp/>
        <stp>EM_S_VAL_DIVIDENDYIELD2</stp>
        <stp>3</stp>
        <stp>600846</stp>
        <stp>12/31/2018</stp>
        <stp>2019-11-29</stp>
        <tr r="Q959" s="1"/>
      </tp>
      <tp>
        <v>0</v>
        <stp/>
        <stp>EM_S_VAL_DIVIDENDYIELD2</stp>
        <stp>3</stp>
        <stp>000836</stp>
        <stp>12/31/2018</stp>
        <stp>2019-11-29</stp>
        <tr r="Q2534" s="1"/>
      </tp>
      <tp>
        <v>0</v>
        <stp/>
        <stp>EM_S_VAL_DIVIDENDYIELD2</stp>
        <stp>3</stp>
        <stp>600856</stp>
        <stp>12/31/2018</stp>
        <stp>2019-11-29</stp>
        <tr r="Q3278" s="1"/>
      </tp>
      <tp>
        <v>0</v>
        <stp/>
        <stp>EM_S_VAL_DIVIDENDYIELD2</stp>
        <stp>3</stp>
        <stp>000806</stp>
        <stp>12/31/2018</stp>
        <stp>2019-11-29</stp>
        <tr r="Q3545" s="1"/>
      </tp>
      <tp>
        <v>0</v>
        <stp/>
        <stp>EM_S_VAL_DIVIDENDYIELD2</stp>
        <stp>3</stp>
        <stp>600866</stp>
        <stp>12/31/2018</stp>
        <stp>2019-11-29</stp>
        <tr r="Q736" s="1"/>
      </tp>
      <tp>
        <v>0.7142857142857143</v>
        <stp/>
        <stp>EM_S_VAL_DIVIDENDYIELD2</stp>
        <stp>3</stp>
        <stp>000816</stp>
        <stp>12/31/2018</stp>
        <stp>2019-11-29</stp>
        <tr r="Q3547" s="1"/>
      </tp>
      <tp>
        <v>0</v>
        <stp/>
        <stp>EM_S_VAL_DIVIDENDYIELD2</stp>
        <stp>3</stp>
        <stp>600876</stp>
        <stp>12/31/2018</stp>
        <stp>2019-11-29</stp>
        <tr r="Q598" s="1"/>
      </tp>
      <tp>
        <v>0</v>
        <stp/>
        <stp>EM_S_VAL_DIVIDENDYIELD2</stp>
        <stp>3</stp>
        <stp>000866</stp>
        <stp>12/31/2018</stp>
        <stp>2019-11-29</stp>
        <tr r="Q3558" s="1"/>
      </tp>
      <tp>
        <v>0</v>
        <stp/>
        <stp>EM_S_VAL_DIVIDENDYIELD2</stp>
        <stp>3</stp>
        <stp>600806</stp>
        <stp>12/31/2018</stp>
        <stp>2019-11-29</stp>
        <tr r="Q2326" s="1"/>
      </tp>
      <tp>
        <v>0.14584346135148274</v>
        <stp/>
        <stp>EM_S_VAL_DIVIDENDYIELD2</stp>
        <stp>3</stp>
        <stp>000876</stp>
        <stp>12/31/2018</stp>
        <stp>2019-11-29</stp>
        <tr r="Q64" s="1"/>
      </tp>
      <tp>
        <v>0</v>
        <stp/>
        <stp>EM_S_VAL_DIVIDENDYIELD2</stp>
        <stp>3</stp>
        <stp>600816</stp>
        <stp>12/31/2018</stp>
        <stp>2019-11-29</stp>
        <tr r="Q2137" s="1"/>
      </tp>
      <tp>
        <v>1.5755329008341052</v>
        <stp/>
        <stp>EM_S_VAL_DIVIDENDYIELD2</stp>
        <stp>3</stp>
        <stp>600826</stp>
        <stp>12/31/2018</stp>
        <stp>2019-11-29</stp>
        <tr r="Q1328" s="1"/>
      </tp>
      <tp>
        <v>0</v>
        <stp/>
        <stp>EM_S_VAL_DIVIDENDYIELD2</stp>
        <stp>3</stp>
        <stp>000856</stp>
        <stp>12/31/2018</stp>
        <stp>2019-11-29</stp>
        <tr r="Q3157" s="1"/>
      </tp>
      <tp>
        <v>0</v>
        <stp/>
        <stp>EM_S_VAL_DIVIDENDYIELD2</stp>
        <stp>3</stp>
        <stp>600836</stp>
        <stp>12/31/2018</stp>
        <stp>2019-11-29</stp>
        <tr r="Q857" s="1"/>
      </tp>
      <tp>
        <v>1.400560224089636</v>
        <stp/>
        <stp>EM_S_VAL_DIVIDENDYIELD2</stp>
        <stp>3</stp>
        <stp>000886</stp>
        <stp>12/31/2018</stp>
        <stp>2019-11-29</stp>
        <tr r="Q3562" s="1"/>
      </tp>
      <tp>
        <v>2.6881720430107525</v>
        <stp/>
        <stp>EM_S_VAL_DIVIDENDYIELD2</stp>
        <stp>3</stp>
        <stp>600886</stp>
        <stp>12/31/2018</stp>
        <stp>2019-11-29</stp>
        <tr r="Q1548" s="1"/>
      </tp>
      <tp>
        <v>0</v>
        <stp/>
        <stp>EM_S_VAL_DIVIDENDYIELD2</stp>
        <stp>3</stp>
        <stp>600896</stp>
        <stp>12/31/2018</stp>
        <stp>2019-11-29</stp>
        <tr r="Q1511" s="1"/>
      </tp>
      <tp>
        <v>1.5748031496062995</v>
        <stp/>
        <stp>EM_S_VAL_DIVIDENDYIELD2</stp>
        <stp>3</stp>
        <stp>000926</stp>
        <stp>12/31/2018</stp>
        <stp>2019-11-29</stp>
        <tr r="Q3578" s="1"/>
      </tp>
      <tp>
        <v>0.81566068515497547</v>
        <stp/>
        <stp>EM_S_VAL_DIVIDENDYIELD2</stp>
        <stp>3</stp>
        <stp>000936</stp>
        <stp>12/31/2018</stp>
        <stp>2019-11-29</stp>
        <tr r="Q953" s="1"/>
      </tp>
      <tp>
        <v>2.706218018018018</v>
        <stp/>
        <stp>EM_S_VAL_DIVIDENDYIELD2</stp>
        <stp>3</stp>
        <stp>000906</stp>
        <stp>12/31/2018</stp>
        <stp>2019-11-29</stp>
        <tr r="Q1291" s="1"/>
      </tp>
      <tp>
        <v>0.34979423868312759</v>
        <stp/>
        <stp>EM_S_VAL_DIVIDENDYIELD2</stp>
        <stp>3</stp>
        <stp>600966</stp>
        <stp>12/31/2018</stp>
        <stp>2019-11-29</stp>
        <tr r="Q326" s="1"/>
      </tp>
      <tp>
        <v>0</v>
        <stp/>
        <stp>EM_S_VAL_DIVIDENDYIELD2</stp>
        <stp>3</stp>
        <stp>000916</stp>
        <stp>12/31/2018</stp>
        <stp>2019-11-29</stp>
        <tr r="Q3574" s="1"/>
      </tp>
      <tp>
        <v>1.1799410029498525</v>
        <stp/>
        <stp>EM_S_VAL_DIVIDENDYIELD2</stp>
        <stp>3</stp>
        <stp>600976</stp>
        <stp>12/31/2018</stp>
        <stp>2019-11-29</stp>
        <tr r="Q1228" s="1"/>
      </tp>
      <tp>
        <v>1.2820512820512819</v>
        <stp/>
        <stp>EM_S_VAL_DIVIDENDYIELD2</stp>
        <stp>3</stp>
        <stp>000966</stp>
        <stp>12/31/2018</stp>
        <stp>2019-11-29</stp>
        <tr r="Q869" s="1"/>
      </tp>
      <tp>
        <v>0</v>
        <stp/>
        <stp>EM_S_VAL_DIVIDENDYIELD2</stp>
        <stp>3</stp>
        <stp>000976</stp>
        <stp>12/31/2018</stp>
        <stp>2019-11-29</stp>
        <tr r="Q3591" s="1"/>
      </tp>
      <tp>
        <v>2.8702640642939152</v>
        <stp/>
        <stp>EM_S_VAL_DIVIDENDYIELD2</stp>
        <stp>3</stp>
        <stp>600926</stp>
        <stp>12/31/2018</stp>
        <stp>2019-11-29</stp>
        <tr r="Q1142" s="1"/>
      </tp>
      <tp>
        <v>0</v>
        <stp/>
        <stp>EM_S_VAL_DIVIDENDYIELD2</stp>
        <stp>3</stp>
        <stp>000956</stp>
        <stp>12/31/2018</stp>
        <stp>2019-11-29</stp>
        <tr r="Q3586" s="1"/>
      </tp>
      <tp>
        <v>0</v>
        <stp/>
        <stp>EM_S_VAL_DIVIDENDYIELD2</stp>
        <stp>3</stp>
        <stp>600936</stp>
        <stp>12/31/2018</stp>
        <stp>2019-11-29</stp>
        <tr r="Q2127" s="1"/>
      </tp>
      <tp>
        <v>0</v>
        <stp/>
        <stp>EM_S_VAL_DIVIDENDYIELD2</stp>
        <stp>3</stp>
        <stp>000996</stp>
        <stp>12/31/2018</stp>
        <stp>2019-11-29</stp>
        <tr r="Q1113" s="1"/>
      </tp>
      <tp>
        <v>0.2088283615438675</v>
        <stp/>
        <stp>EM_S_VAL_DIVIDENDYIELD2</stp>
        <stp>3</stp>
        <stp>600986</stp>
        <stp>12/31/2018</stp>
        <stp>2019-11-29</stp>
        <tr r="Q1246" s="1"/>
      </tp>
      <tp>
        <v>1.1542092221652538</v>
        <stp/>
        <stp>EM_S_VAL_DIVIDENDYIELD2</stp>
        <stp>3</stp>
        <stp>600996</stp>
        <stp>12/31/2018</stp>
        <stp>2019-11-29</stp>
        <tr r="Q1043" s="1"/>
      </tp>
      <tp>
        <v>0</v>
        <stp/>
        <stp>EM_S_VAL_DIVIDENDYIELD2</stp>
        <stp>3</stp>
        <stp>601206</stp>
        <stp>12/31/2018</stp>
        <stp>2019-11-29</stp>
        <tr r="Q13" s="1"/>
      </tp>
      <tp>
        <v>0</v>
        <stp/>
        <stp>EM_S_VAL_DIVIDENDYIELD2</stp>
        <stp>3</stp>
        <stp>601216</stp>
        <stp>12/31/2018</stp>
        <stp>2019-11-29</stp>
        <tr r="Q1321" s="1"/>
      </tp>
      <tp>
        <v>0.37593984962406013</v>
        <stp/>
        <stp>EM_S_VAL_DIVIDENDYIELD2</stp>
        <stp>3</stp>
        <stp>601226</stp>
        <stp>12/31/2018</stp>
        <stp>2019-11-29</stp>
        <tr r="Q1486" s="1"/>
      </tp>
      <tp>
        <v>3.7243947858472999</v>
        <stp/>
        <stp>EM_S_VAL_DIVIDENDYIELD2</stp>
        <stp>3</stp>
        <stp>601366</stp>
        <stp>12/31/2018</stp>
        <stp>2019-11-29</stp>
        <tr r="Q2886" s="1"/>
      </tp>
      <tp>
        <v>2.4838709677419355</v>
        <stp/>
        <stp>EM_S_VAL_DIVIDENDYIELD2</stp>
        <stp>3</stp>
        <stp>601326</stp>
        <stp>12/31/2018</stp>
        <stp>2019-11-29</stp>
        <tr r="Q2259" s="1"/>
      </tp>
      <tp>
        <v>1.729559748427673</v>
        <stp/>
        <stp>EM_S_VAL_DIVIDENDYIELD2</stp>
        <stp>3</stp>
        <stp>601336</stp>
        <stp>12/31/2018</stp>
        <stp>2019-11-29</stp>
        <tr r="Q1427" s="1"/>
      </tp>
      <tp>
        <v>0.80393032603840986</v>
        <stp/>
        <stp>EM_S_VAL_DIVIDENDYIELD2</stp>
        <stp>3</stp>
        <stp>601066</stp>
        <stp>12/31/2018</stp>
        <stp>2019-11-29</stp>
        <tr r="Q31" s="1"/>
      </tp>
      <tp>
        <v>6.0529634300126096</v>
        <stp/>
        <stp>EM_S_VAL_DIVIDENDYIELD2</stp>
        <stp>3</stp>
        <stp>601006</stp>
        <stp>12/31/2018</stp>
        <stp>2019-11-29</stp>
        <tr r="Q2343" s="1"/>
      </tp>
      <tp>
        <v>2.0262008733624457</v>
        <stp/>
        <stp>EM_S_VAL_DIVIDENDYIELD2</stp>
        <stp>3</stp>
        <stp>601016</stp>
        <stp>12/31/2018</stp>
        <stp>2019-11-29</stp>
        <tr r="Q2133" s="1"/>
      </tp>
      <tp>
        <v>2.2222222222222223</v>
        <stp/>
        <stp>EM_S_VAL_DIVIDENDYIELD2</stp>
        <stp>3</stp>
        <stp>601086</stp>
        <stp>12/31/2018</stp>
        <stp>2019-11-29</stp>
        <tr r="Q2246" s="1"/>
      </tp>
      <tp>
        <v>3.6527263102170462</v>
        <stp/>
        <stp>EM_S_VAL_DIVIDENDYIELD2</stp>
        <stp>3</stp>
        <stp>601166</stp>
        <stp>12/31/2018</stp>
        <stp>2019-11-29</stp>
        <tr r="Q877" s="1"/>
      </tp>
      <tp>
        <v>0</v>
        <stp/>
        <stp>EM_S_VAL_DIVIDENDYIELD2</stp>
        <stp>3</stp>
        <stp>601106</stp>
        <stp>12/31/2018</stp>
        <stp>2019-11-29</stp>
        <tr r="Q1844" s="1"/>
      </tp>
      <tp>
        <v>1.518602885345482</v>
        <stp/>
        <stp>EM_S_VAL_DIVIDENDYIELD2</stp>
        <stp>3</stp>
        <stp>601116</stp>
        <stp>12/31/2018</stp>
        <stp>2019-11-29</stp>
        <tr r="Q1294" s="1"/>
      </tp>
      <tp>
        <v>3.2541133455210236</v>
        <stp/>
        <stp>EM_S_VAL_DIVIDENDYIELD2</stp>
        <stp>3</stp>
        <stp>601126</stp>
        <stp>12/31/2018</stp>
        <stp>2019-11-29</stp>
        <tr r="Q1793" s="1"/>
      </tp>
      <tp>
        <v>2.1716649431230612</v>
        <stp/>
        <stp>EM_S_VAL_DIVIDENDYIELD2</stp>
        <stp>3</stp>
        <stp>601186</stp>
        <stp>12/31/2018</stp>
        <stp>2019-11-29</stp>
        <tr r="Q2665" s="1"/>
      </tp>
      <tp>
        <v>0</v>
        <stp/>
        <stp>EM_S_VAL_DIVIDENDYIELD2</stp>
        <stp>3</stp>
        <stp>601666</stp>
        <stp>12/31/2018</stp>
        <stp>2019-11-29</stp>
        <tr r="Q1590" s="1"/>
      </tp>
      <tp>
        <v>1.3559322033898304</v>
        <stp/>
        <stp>EM_S_VAL_DIVIDENDYIELD2</stp>
        <stp>3</stp>
        <stp>601616</stp>
        <stp>12/31/2018</stp>
        <stp>2019-11-29</stp>
        <tr r="Q2516" s="1"/>
      </tp>
      <tp>
        <v>6.8038904353509437</v>
        <stp/>
        <stp>EM_S_VAL_DIVIDENDYIELD2</stp>
        <stp>3</stp>
        <stp>601636</stp>
        <stp>12/31/2018</stp>
        <stp>2019-11-29</stp>
        <tr r="Q666" s="1"/>
      </tp>
      <tp>
        <v>4.3314500941619585</v>
        <stp/>
        <stp>EM_S_VAL_DIVIDENDYIELD2</stp>
        <stp>3</stp>
        <stp>001696</stp>
        <stp>12/31/2018</stp>
        <stp>2019-11-29</stp>
        <tr r="Q863" s="1"/>
      </tp>
      <tp>
        <v>2.1520803443328549</v>
        <stp/>
        <stp>EM_S_VAL_DIVIDENDYIELD2</stp>
        <stp>3</stp>
        <stp>601766</stp>
        <stp>12/31/2018</stp>
        <stp>2019-11-29</stp>
        <tr r="Q3076" s="1"/>
      </tp>
      <tp>
        <v>9.0497737556561084</v>
        <stp/>
        <stp>EM_S_VAL_DIVIDENDYIELD2</stp>
        <stp>3</stp>
        <stp>601566</stp>
        <stp>12/31/2018</stp>
        <stp>2019-11-29</stp>
        <tr r="Q2920" s="1"/>
      </tp>
      <tp>
        <v>1.32</v>
        <stp/>
        <stp>EM_S_VAL_DIVIDENDYIELD2</stp>
        <stp>3</stp>
        <stp>601866</stp>
        <stp>12/31/2018</stp>
        <stp>2019-11-29</stp>
        <tr r="Q1597" s="1"/>
      </tp>
      <tp>
        <v>0</v>
        <stp/>
        <stp>EM_S_VAL_DIVIDENDYIELD2</stp>
        <stp>3</stp>
        <stp>001896</stp>
        <stp>12/31/2018</stp>
        <stp>2019-11-29</stp>
        <tr r="Q3602" s="1"/>
      </tp>
      <tp>
        <v>3.9735099337748347</v>
        <stp/>
        <stp>EM_S_VAL_DIVIDENDYIELD2</stp>
        <stp>3</stp>
        <stp>601886</stp>
        <stp>12/31/2018</stp>
        <stp>2019-11-29</stp>
        <tr r="Q2479" s="1"/>
      </tp>
      <tp>
        <v>1.4619855616743715</v>
        <stp/>
        <stp>EM_S_VAL_DIVIDENDYIELD2</stp>
        <stp>3</stp>
        <stp>601966</stp>
        <stp>12/31/2018</stp>
        <stp>2019-11-29</stp>
        <tr r="Q385" s="1"/>
      </tp>
      <tp>
        <v>2.1750514793093236</v>
        <stp/>
        <stp>EM_S_VAL_DIVIDENDYIELD2</stp>
        <stp>3</stp>
        <stp>601996</stp>
        <stp>12/31/2018</stp>
        <stp>2019-11-29</stp>
        <tr r="Q2340" s="1"/>
      </tp>
      <tp>
        <v>1.4777028808173494</v>
        <stp/>
        <stp>EM_S_VAL_DIVIDENDYIELD2</stp>
        <stp>3</stp>
        <stp>002225</stp>
        <stp>12/31/2018</stp>
        <stp>2019-11-29</stp>
        <tr r="Q2508" s="1"/>
      </tp>
      <tp>
        <v>0</v>
        <stp/>
        <stp>EM_S_VAL_DIVIDENDYIELD2</stp>
        <stp>3</stp>
        <stp>002235</stp>
        <stp>12/31/2018</stp>
        <stp>2019-11-29</stp>
        <tr r="Q359" s="1"/>
      </tp>
      <tp>
        <v>0</v>
        <stp/>
        <stp>EM_S_VAL_DIVIDENDYIELD2</stp>
        <stp>3</stp>
        <stp>002205</stp>
        <stp>12/31/2018</stp>
        <stp>2019-11-29</stp>
        <tr r="Q1137" s="1"/>
      </tp>
      <tp>
        <v>0</v>
        <stp/>
        <stp>EM_S_VAL_DIVIDENDYIELD2</stp>
        <stp>3</stp>
        <stp>002215</stp>
        <stp>12/31/2018</stp>
        <stp>2019-11-29</stp>
        <tr r="Q2430" s="1"/>
      </tp>
      <tp>
        <v>0</v>
        <stp/>
        <stp>EM_S_VAL_DIVIDENDYIELD2</stp>
        <stp>3</stp>
        <stp>002265</stp>
        <stp>12/31/2018</stp>
        <stp>2019-11-29</stp>
        <tr r="Q2427" s="1"/>
      </tp>
      <tp>
        <v>2.77337559429477</v>
        <stp/>
        <stp>EM_S_VAL_DIVIDENDYIELD2</stp>
        <stp>3</stp>
        <stp>002275</stp>
        <stp>12/31/2018</stp>
        <stp>2019-11-29</stp>
        <tr r="Q2210" s="1"/>
      </tp>
      <tp>
        <v>0.69060773480662985</v>
        <stp/>
        <stp>EM_S_VAL_DIVIDENDYIELD2</stp>
        <stp>3</stp>
        <stp>002245</stp>
        <stp>12/31/2018</stp>
        <stp>2019-11-29</stp>
        <tr r="Q2022" s="1"/>
      </tp>
      <tp>
        <v>0</v>
        <stp/>
        <stp>EM_S_VAL_DIVIDENDYIELD2</stp>
        <stp>3</stp>
        <stp>002255</stp>
        <stp>12/31/2018</stp>
        <stp>2019-11-29</stp>
        <tr r="Q3028" s="1"/>
      </tp>
      <tp>
        <v>0.65830721003134784</v>
        <stp/>
        <stp>EM_S_VAL_DIVIDENDYIELD2</stp>
        <stp>3</stp>
        <stp>002285</stp>
        <stp>12/31/2018</stp>
        <stp>2019-11-29</stp>
        <tr r="Q3147" s="1"/>
      </tp>
      <tp>
        <v>0.82758620689655171</v>
        <stp/>
        <stp>EM_S_VAL_DIVIDENDYIELD2</stp>
        <stp>3</stp>
        <stp>002295</stp>
        <stp>12/31/2018</stp>
        <stp>2019-11-29</stp>
        <tr r="Q2213" s="1"/>
      </tp>
      <tp>
        <v>0.32467532467532467</v>
        <stp/>
        <stp>EM_S_VAL_DIVIDENDYIELD2</stp>
        <stp>3</stp>
        <stp>002325</stp>
        <stp>12/31/2018</stp>
        <stp>2019-11-29</stp>
        <tr r="Q1760" s="1"/>
      </tp>
      <tp>
        <v>6.6137566137566131</v>
        <stp/>
        <stp>EM_S_VAL_DIVIDENDYIELD2</stp>
        <stp>3</stp>
        <stp>002335</stp>
        <stp>12/31/2018</stp>
        <stp>2019-11-29</stp>
        <tr r="Q1827" s="1"/>
      </tp>
      <tp>
        <v>2.3255813953488373</v>
        <stp/>
        <stp>EM_S_VAL_DIVIDENDYIELD2</stp>
        <stp>3</stp>
        <stp>002305</stp>
        <stp>12/31/2018</stp>
        <stp>2019-11-29</stp>
        <tr r="Q3140" s="1"/>
      </tp>
      <tp>
        <v>2.7932960893854748</v>
        <stp/>
        <stp>EM_S_VAL_DIVIDENDYIELD2</stp>
        <stp>3</stp>
        <stp>002315</stp>
        <stp>12/31/2018</stp>
        <stp>2019-11-29</stp>
        <tr r="Q403" s="1"/>
      </tp>
      <tp>
        <v>1.2251934306569343</v>
        <stp/>
        <stp>EM_S_VAL_DIVIDENDYIELD2</stp>
        <stp>3</stp>
        <stp>002365</stp>
        <stp>12/31/2018</stp>
        <stp>2019-11-29</stp>
        <tr r="Q2692" s="1"/>
      </tp>
      <tp>
        <v>0.75134168157423964</v>
        <stp/>
        <stp>EM_S_VAL_DIVIDENDYIELD2</stp>
        <stp>3</stp>
        <stp>002375</stp>
        <stp>12/31/2018</stp>
        <stp>2019-11-29</stp>
        <tr r="Q1491" s="1"/>
      </tp>
      <tp>
        <v>0</v>
        <stp/>
        <stp>EM_S_VAL_DIVIDENDYIELD2</stp>
        <stp>3</stp>
        <stp>002345</stp>
        <stp>12/31/2018</stp>
        <stp>2019-11-29</stp>
        <tr r="Q2799" s="1"/>
      </tp>
      <tp>
        <v>0</v>
        <stp/>
        <stp>EM_S_VAL_DIVIDENDYIELD2</stp>
        <stp>3</stp>
        <stp>002355</stp>
        <stp>12/31/2018</stp>
        <stp>2019-11-29</stp>
        <tr r="Q2718" s="1"/>
      </tp>
      <tp>
        <v>0</v>
        <stp/>
        <stp>EM_S_VAL_DIVIDENDYIELD2</stp>
        <stp>3</stp>
        <stp>002385</stp>
        <stp>12/31/2018</stp>
        <stp>2019-11-29</stp>
        <tr r="Q707" s="1"/>
      </tp>
      <tp>
        <v>0.80128205128205121</v>
        <stp/>
        <stp>EM_S_VAL_DIVIDENDYIELD2</stp>
        <stp>3</stp>
        <stp>002395</stp>
        <stp>12/31/2018</stp>
        <stp>2019-11-29</stp>
        <tr r="Q101" s="1"/>
      </tp>
      <tp>
        <v>0.60048038430744599</v>
        <stp/>
        <stp>EM_S_VAL_DIVIDENDYIELD2</stp>
        <stp>3</stp>
        <stp>002025</stp>
        <stp>12/31/2018</stp>
        <stp>2019-11-29</stp>
        <tr r="Q1156" s="1"/>
      </tp>
      <tp>
        <v>2.6798158502782918</v>
        <stp/>
        <stp>EM_S_VAL_DIVIDENDYIELD2</stp>
        <stp>3</stp>
        <stp>002035</stp>
        <stp>12/31/2018</stp>
        <stp>2019-11-29</stp>
        <tr r="Q527" s="1"/>
      </tp>
      <tp>
        <v>0</v>
        <stp/>
        <stp>EM_S_VAL_DIVIDENDYIELD2</stp>
        <stp>3</stp>
        <stp>002005</stp>
        <stp>12/31/2018</stp>
        <stp>2019-11-29</stp>
        <tr r="Q3604" s="1"/>
      </tp>
      <tp>
        <v>0</v>
        <stp/>
        <stp>EM_S_VAL_DIVIDENDYIELD2</stp>
        <stp>3</stp>
        <stp>002015</stp>
        <stp>12/31/2018</stp>
        <stp>2019-11-29</stp>
        <tr r="Q1673" s="1"/>
      </tp>
      <tp>
        <v>1.0905125408942202</v>
        <stp/>
        <stp>EM_S_VAL_DIVIDENDYIELD2</stp>
        <stp>3</stp>
        <stp>002065</stp>
        <stp>12/31/2018</stp>
        <stp>2019-11-29</stp>
        <tr r="Q619" s="1"/>
      </tp>
      <tp>
        <v>0.49180327868852453</v>
        <stp/>
        <stp>EM_S_VAL_DIVIDENDYIELD2</stp>
        <stp>3</stp>
        <stp>002075</stp>
        <stp>12/31/2018</stp>
        <stp>2019-11-29</stp>
        <tr r="Q3139" s="1"/>
      </tp>
      <tp>
        <v>0.6294256490952006</v>
        <stp/>
        <stp>EM_S_VAL_DIVIDENDYIELD2</stp>
        <stp>3</stp>
        <stp>002045</stp>
        <stp>12/31/2018</stp>
        <stp>2019-11-29</stp>
        <tr r="Q63" s="1"/>
      </tp>
      <tp>
        <v>0.62499999999999989</v>
        <stp/>
        <stp>EM_S_VAL_DIVIDENDYIELD2</stp>
        <stp>3</stp>
        <stp>002055</stp>
        <stp>12/31/2018</stp>
        <stp>2019-11-29</stp>
        <tr r="Q1666" s="1"/>
      </tp>
      <tp>
        <v>4.4626823529411777</v>
        <stp/>
        <stp>EM_S_VAL_DIVIDENDYIELD2</stp>
        <stp>3</stp>
        <stp>002085</stp>
        <stp>12/31/2018</stp>
        <stp>2019-11-29</stp>
        <tr r="Q2749" s="1"/>
      </tp>
      <tp>
        <v>0.22603978300180833</v>
        <stp/>
        <stp>EM_S_VAL_DIVIDENDYIELD2</stp>
        <stp>3</stp>
        <stp>002095</stp>
        <stp>12/31/2018</stp>
        <stp>2019-11-29</stp>
        <tr r="Q1584" s="1"/>
      </tp>
      <tp>
        <v>0.82056892778993429</v>
        <stp/>
        <stp>EM_S_VAL_DIVIDENDYIELD2</stp>
        <stp>3</stp>
        <stp>002125</stp>
        <stp>12/31/2018</stp>
        <stp>2019-11-29</stp>
        <tr r="Q3120" s="1"/>
      </tp>
      <tp>
        <v>0.32692307692307693</v>
        <stp/>
        <stp>EM_S_VAL_DIVIDENDYIELD2</stp>
        <stp>3</stp>
        <stp>002135</stp>
        <stp>12/31/2018</stp>
        <stp>2019-11-29</stp>
        <tr r="Q1756" s="1"/>
      </tp>
      <tp>
        <v>0</v>
        <stp/>
        <stp>EM_S_VAL_DIVIDENDYIELD2</stp>
        <stp>3</stp>
        <stp>002105</stp>
        <stp>12/31/2018</stp>
        <stp>2019-11-29</stp>
        <tr r="Q3636" s="1"/>
      </tp>
      <tp>
        <v>0.93071139465902974</v>
        <stp/>
        <stp>EM_S_VAL_DIVIDENDYIELD2</stp>
        <stp>3</stp>
        <stp>002115</stp>
        <stp>12/31/2018</stp>
        <stp>2019-11-29</stp>
        <tr r="Q2756" s="1"/>
      </tp>
      <tp>
        <v>0.98522167487684742</v>
        <stp/>
        <stp>EM_S_VAL_DIVIDENDYIELD2</stp>
        <stp>3</stp>
        <stp>002165</stp>
        <stp>12/31/2018</stp>
        <stp>2019-11-29</stp>
        <tr r="Q1121" s="1"/>
      </tp>
      <tp>
        <v>0</v>
        <stp/>
        <stp>EM_S_VAL_DIVIDENDYIELD2</stp>
        <stp>3</stp>
        <stp>002175</stp>
        <stp>12/31/2018</stp>
        <stp>2019-11-29</stp>
        <tr r="Q3335" s="1"/>
      </tp>
      <tp>
        <v>0.47619047619047622</v>
        <stp/>
        <stp>EM_S_VAL_DIVIDENDYIELD2</stp>
        <stp>3</stp>
        <stp>002145</stp>
        <stp>12/31/2018</stp>
        <stp>2019-11-29</stp>
        <tr r="Q805" s="1"/>
      </tp>
      <tp>
        <v>0.55788005578800559</v>
        <stp/>
        <stp>EM_S_VAL_DIVIDENDYIELD2</stp>
        <stp>3</stp>
        <stp>002155</stp>
        <stp>12/31/2018</stp>
        <stp>2019-11-29</stp>
        <tr r="Q2369" s="1"/>
      </tp>
      <tp>
        <v>0.25882774556617139</v>
        <stp/>
        <stp>EM_S_VAL_DIVIDENDYIELD2</stp>
        <stp>3</stp>
        <stp>002185</stp>
        <stp>12/31/2018</stp>
        <stp>2019-11-29</stp>
        <tr r="Q243" s="1"/>
      </tp>
      <tp>
        <v>0.76413652580538338</v>
        <stp/>
        <stp>EM_S_VAL_DIVIDENDYIELD2</stp>
        <stp>3</stp>
        <stp>002195</stp>
        <stp>12/31/2018</stp>
        <stp>2019-11-29</stp>
        <tr r="Q2857" s="1"/>
      </tp>
      <tp>
        <v>0</v>
        <stp/>
        <stp>EM_S_VAL_DIVIDENDYIELD2</stp>
        <stp>3</stp>
        <stp>002625</stp>
        <stp>12/31/2018</stp>
        <stp>2019-11-29</stp>
        <tr r="Q2630" s="1"/>
      </tp>
      <tp>
        <v>0.67221916064578469</v>
        <stp/>
        <stp>EM_S_VAL_DIVIDENDYIELD2</stp>
        <stp>3</stp>
        <stp>002635</stp>
        <stp>12/31/2018</stp>
        <stp>2019-11-29</stp>
        <tr r="Q547" s="1"/>
      </tp>
      <tp>
        <v>0.62085445120611993</v>
        <stp/>
        <stp>EM_S_VAL_DIVIDENDYIELD2</stp>
        <stp>3</stp>
        <stp>002605</stp>
        <stp>12/31/2018</stp>
        <stp>2019-11-29</stp>
        <tr r="Q74" s="1"/>
      </tp>
      <tp>
        <v>1.5384615384615385</v>
        <stp/>
        <stp>EM_S_VAL_DIVIDENDYIELD2</stp>
        <stp>3</stp>
        <stp>002615</stp>
        <stp>12/31/2018</stp>
        <stp>2019-11-29</stp>
        <tr r="Q1586" s="1"/>
      </tp>
      <tp>
        <v>0</v>
        <stp/>
        <stp>EM_S_VAL_DIVIDENDYIELD2</stp>
        <stp>3</stp>
        <stp>002665</stp>
        <stp>12/31/2018</stp>
        <stp>2019-11-29</stp>
        <tr r="Q1281" s="1"/>
      </tp>
      <tp>
        <v>0.30476190476190479</v>
        <stp/>
        <stp>EM_S_VAL_DIVIDENDYIELD2</stp>
        <stp>3</stp>
        <stp>002675</stp>
        <stp>12/31/2018</stp>
        <stp>2019-11-29</stp>
        <tr r="Q177" s="1"/>
      </tp>
      <tp>
        <v>1.1655011670119471</v>
        <stp/>
        <stp>EM_S_VAL_DIVIDENDYIELD2</stp>
        <stp>3</stp>
        <stp>002645</stp>
        <stp>12/31/2018</stp>
        <stp>2019-11-29</stp>
        <tr r="Q1368" s="1"/>
      </tp>
      <tp>
        <v>0</v>
        <stp/>
        <stp>EM_S_VAL_DIVIDENDYIELD2</stp>
        <stp>3</stp>
        <stp>002655</stp>
        <stp>12/31/2018</stp>
        <stp>2019-11-29</stp>
        <tr r="Q153" s="1"/>
      </tp>
      <tp>
        <v>0.74294205052005946</v>
        <stp/>
        <stp>EM_S_VAL_DIVIDENDYIELD2</stp>
        <stp>3</stp>
        <stp>002685</stp>
        <stp>12/31/2018</stp>
        <stp>2019-11-29</stp>
        <tr r="Q775" s="1"/>
      </tp>
      <tp>
        <v>0.53383546883459265</v>
        <stp/>
        <stp>EM_S_VAL_DIVIDENDYIELD2</stp>
        <stp>3</stp>
        <stp>002695</stp>
        <stp>12/31/2018</stp>
        <stp>2019-11-29</stp>
        <tr r="Q430" s="1"/>
      </tp>
      <tp>
        <v>1.1185682326621924</v>
        <stp/>
        <stp>EM_S_VAL_DIVIDENDYIELD2</stp>
        <stp>3</stp>
        <stp>002725</stp>
        <stp>12/31/2018</stp>
        <stp>2019-11-29</stp>
        <tr r="Q1230" s="1"/>
      </tp>
      <tp>
        <v>0.83475419153168495</v>
        <stp/>
        <stp>EM_S_VAL_DIVIDENDYIELD2</stp>
        <stp>3</stp>
        <stp>002735</stp>
        <stp>12/31/2018</stp>
        <stp>2019-11-29</stp>
        <tr r="Q2934" s="1"/>
      </tp>
      <tp>
        <v>2.2095959595959598</v>
        <stp/>
        <stp>EM_S_VAL_DIVIDENDYIELD2</stp>
        <stp>3</stp>
        <stp>002705</stp>
        <stp>12/31/2018</stp>
        <stp>2019-11-29</stp>
        <tr r="Q240" s="1"/>
      </tp>
      <tp>
        <v>0</v>
        <stp/>
        <stp>EM_S_VAL_DIVIDENDYIELD2</stp>
        <stp>3</stp>
        <stp>002715</stp>
        <stp>12/31/2018</stp>
        <stp>2019-11-29</stp>
        <tr r="Q1693" s="1"/>
      </tp>
      <tp>
        <v>0</v>
        <stp/>
        <stp>EM_S_VAL_DIVIDENDYIELD2</stp>
        <stp>3</stp>
        <stp>002765</stp>
        <stp>12/31/2018</stp>
        <stp>2019-11-29</stp>
        <tr r="Q3005" s="1"/>
      </tp>
      <tp>
        <v>3.6567817449408313</v>
        <stp/>
        <stp>EM_S_VAL_DIVIDENDYIELD2</stp>
        <stp>3</stp>
        <stp>002775</stp>
        <stp>12/31/2018</stp>
        <stp>2019-11-29</stp>
        <tr r="Q2512" s="1"/>
      </tp>
      <tp>
        <v>1.0517799352750812</v>
        <stp/>
        <stp>EM_S_VAL_DIVIDENDYIELD2</stp>
        <stp>3</stp>
        <stp>002745</stp>
        <stp>12/31/2018</stp>
        <stp>2019-11-29</stp>
        <tr r="Q1165" s="1"/>
      </tp>
      <tp>
        <v>0.76335877862595414</v>
        <stp/>
        <stp>EM_S_VAL_DIVIDENDYIELD2</stp>
        <stp>3</stp>
        <stp>002755</stp>
        <stp>12/31/2018</stp>
        <stp>2019-11-29</stp>
        <tr r="Q1289" s="1"/>
      </tp>
      <tp>
        <v>3.7429819089207735E-2</v>
        <stp/>
        <stp>EM_S_VAL_DIVIDENDYIELD2</stp>
        <stp>3</stp>
        <stp>002785</stp>
        <stp>12/31/2018</stp>
        <stp>2019-11-29</stp>
        <tr r="Q500" s="1"/>
      </tp>
      <tp>
        <v>3.7593984962406015</v>
        <stp/>
        <stp>EM_S_VAL_DIVIDENDYIELD2</stp>
        <stp>3</stp>
        <stp>002795</stp>
        <stp>12/31/2018</stp>
        <stp>2019-11-29</stp>
        <tr r="Q2685" s="1"/>
      </tp>
      <tp>
        <v>1.0989010989010988</v>
        <stp/>
        <stp>EM_S_VAL_DIVIDENDYIELD2</stp>
        <stp>3</stp>
        <stp>002425</stp>
        <stp>12/31/2018</stp>
        <stp>2019-11-29</stp>
        <tr r="Q2629" s="1"/>
      </tp>
      <tp>
        <v>1.7271157167530224</v>
        <stp/>
        <stp>EM_S_VAL_DIVIDENDYIELD2</stp>
        <stp>3</stp>
        <stp>002435</stp>
        <stp>12/31/2018</stp>
        <stp>2019-11-29</stp>
        <tr r="Q3162" s="1"/>
      </tp>
      <tp>
        <v>5.7863194874974169E-2</v>
        <stp/>
        <stp>EM_S_VAL_DIVIDENDYIELD2</stp>
        <stp>3</stp>
        <stp>002405</stp>
        <stp>12/31/2018</stp>
        <stp>2019-11-29</stp>
        <tr r="Q1559" s="1"/>
      </tp>
      <tp>
        <v>1.9109259620818324</v>
        <stp/>
        <stp>EM_S_VAL_DIVIDENDYIELD2</stp>
        <stp>3</stp>
        <stp>002415</stp>
        <stp>12/31/2018</stp>
        <stp>2019-11-29</stp>
        <tr r="Q1038" s="1"/>
      </tp>
      <tp>
        <v>1.1692721589195656</v>
        <stp/>
        <stp>EM_S_VAL_DIVIDENDYIELD2</stp>
        <stp>3</stp>
        <stp>002465</stp>
        <stp>12/31/2018</stp>
        <stp>2019-11-29</stp>
        <tr r="Q738" s="1"/>
      </tp>
      <tp>
        <v>0.11302244627050459</v>
        <stp/>
        <stp>EM_S_VAL_DIVIDENDYIELD2</stp>
        <stp>3</stp>
        <stp>002475</stp>
        <stp>12/31/2018</stp>
        <stp>2019-11-29</stp>
        <tr r="Q81" s="1"/>
      </tp>
      <tp>
        <v>0</v>
        <stp/>
        <stp>EM_S_VAL_DIVIDENDYIELD2</stp>
        <stp>3</stp>
        <stp>002445</stp>
        <stp>12/31/2018</stp>
        <stp>2019-11-29</stp>
        <tr r="Q3228" s="1"/>
      </tp>
      <tp>
        <v>1.834862385321101</v>
        <stp/>
        <stp>EM_S_VAL_DIVIDENDYIELD2</stp>
        <stp>3</stp>
        <stp>002455</stp>
        <stp>12/31/2018</stp>
        <stp>2019-11-29</stp>
        <tr r="Q1250" s="1"/>
      </tp>
      <tp>
        <v>0.37643207855973815</v>
        <stp/>
        <stp>EM_S_VAL_DIVIDENDYIELD2</stp>
        <stp>3</stp>
        <stp>002485</stp>
        <stp>12/31/2018</stp>
        <stp>2019-11-29</stp>
        <tr r="Q2666" s="1"/>
      </tp>
      <tp>
        <v>0</v>
        <stp/>
        <stp>EM_S_VAL_DIVIDENDYIELD2</stp>
        <stp>3</stp>
        <stp>002495</stp>
        <stp>12/31/2018</stp>
        <stp>2019-11-29</stp>
        <tr r="Q2707" s="1"/>
      </tp>
      <tp>
        <v>0</v>
        <stp/>
        <stp>EM_S_VAL_DIVIDENDYIELD2</stp>
        <stp>3</stp>
        <stp>002525</stp>
        <stp>12/31/2018</stp>
        <stp>2019-11-29</stp>
        <tr r="Q6" s="1"/>
      </tp>
      <tp>
        <v>0</v>
        <stp/>
        <stp>EM_S_VAL_DIVIDENDYIELD2</stp>
        <stp>3</stp>
        <stp>002535</stp>
        <stp>12/31/2018</stp>
        <stp>2019-11-29</stp>
        <tr r="Q2901" s="1"/>
      </tp>
      <tp>
        <v>0</v>
        <stp/>
        <stp>EM_S_VAL_DIVIDENDYIELD2</stp>
        <stp>3</stp>
        <stp>002505</stp>
        <stp>12/31/2018</stp>
        <stp>2019-11-29</stp>
        <tr r="Q1975" s="1"/>
      </tp>
      <tp>
        <v>0</v>
        <stp/>
        <stp>EM_S_VAL_DIVIDENDYIELD2</stp>
        <stp>3</stp>
        <stp>002515</stp>
        <stp>12/31/2018</stp>
        <stp>2019-11-29</stp>
        <tr r="Q982" s="1"/>
      </tp>
      <tp>
        <v>0</v>
        <stp/>
        <stp>EM_S_VAL_DIVIDENDYIELD2</stp>
        <stp>3</stp>
        <stp>002565</stp>
        <stp>12/31/2018</stp>
        <stp>2019-11-29</stp>
        <tr r="Q336" s="1"/>
      </tp>
      <tp>
        <v>0</v>
        <stp/>
        <stp>EM_S_VAL_DIVIDENDYIELD2</stp>
        <stp>3</stp>
        <stp>002575</stp>
        <stp>12/31/2018</stp>
        <stp>2019-11-29</stp>
        <tr r="Q2631" s="1"/>
      </tp>
      <tp>
        <v>1.7957589496512505</v>
        <stp/>
        <stp>EM_S_VAL_DIVIDENDYIELD2</stp>
        <stp>3</stp>
        <stp>002545</stp>
        <stp>12/31/2018</stp>
        <stp>2019-11-29</stp>
        <tr r="Q996" s="1"/>
      </tp>
      <tp>
        <v>0.92208390963577691</v>
        <stp/>
        <stp>EM_S_VAL_DIVIDENDYIELD2</stp>
        <stp>3</stp>
        <stp>002555</stp>
        <stp>12/31/2018</stp>
        <stp>2019-11-29</stp>
        <tr r="Q50" s="1"/>
      </tp>
      <tp>
        <v>4.5248868778280542</v>
        <stp/>
        <stp>EM_S_VAL_DIVIDENDYIELD2</stp>
        <stp>3</stp>
        <stp>002585</stp>
        <stp>12/31/2018</stp>
        <stp>2019-11-29</stp>
        <tr r="Q2748" s="1"/>
      </tp>
      <tp>
        <v>1.982029598308668</v>
        <stp/>
        <stp>EM_S_VAL_DIVIDENDYIELD2</stp>
        <stp>3</stp>
        <stp>002595</stp>
        <stp>12/31/2018</stp>
        <stp>2019-11-29</stp>
        <tr r="Q1354" s="1"/>
      </tp>
      <tp>
        <v>0.7872612417292526</v>
        <stp/>
        <stp>EM_S_VAL_DIVIDENDYIELD2</stp>
        <stp>3</stp>
        <stp>002825</stp>
        <stp>12/31/2018</stp>
        <stp>2019-11-29</stp>
        <tr r="Q2522" s="1"/>
      </tp>
      <tp>
        <v>2.685828225939809E-2</v>
        <stp/>
        <stp>EM_S_VAL_DIVIDENDYIELD2</stp>
        <stp>3</stp>
        <stp>002835</stp>
        <stp>12/31/2018</stp>
        <stp>2019-11-29</stp>
        <tr r="Q321" s="1"/>
      </tp>
      <tp>
        <v>0.18581081081081086</v>
        <stp/>
        <stp>EM_S_VAL_DIVIDENDYIELD2</stp>
        <stp>3</stp>
        <stp>002805</stp>
        <stp>12/31/2018</stp>
        <stp>2019-11-29</stp>
        <tr r="Q3062" s="1"/>
      </tp>
      <tp>
        <v>2.0904693308455231</v>
        <stp/>
        <stp>EM_S_VAL_DIVIDENDYIELD2</stp>
        <stp>3</stp>
        <stp>002815</stp>
        <stp>12/31/2018</stp>
        <stp>2019-11-29</stp>
        <tr r="Q1314" s="1"/>
      </tp>
      <tp>
        <v>1.042615778149858</v>
        <stp/>
        <stp>EM_S_VAL_DIVIDENDYIELD2</stp>
        <stp>3</stp>
        <stp>002865</stp>
        <stp>12/31/2018</stp>
        <stp>2019-11-29</stp>
        <tr r="Q3027" s="1"/>
      </tp>
      <tp>
        <v>1.0941236001504631</v>
        <stp/>
        <stp>EM_S_VAL_DIVIDENDYIELD2</stp>
        <stp>3</stp>
        <stp>002875</stp>
        <stp>12/31/2018</stp>
        <stp>2019-11-29</stp>
        <tr r="Q1887" s="1"/>
      </tp>
      <tp>
        <v>0.28885037550548814</v>
        <stp/>
        <stp>EM_S_VAL_DIVIDENDYIELD2</stp>
        <stp>3</stp>
        <stp>002845</stp>
        <stp>12/31/2018</stp>
        <stp>2019-11-29</stp>
        <tr r="Q1899" s="1"/>
      </tp>
      <tp>
        <v>0.22999080036798528</v>
        <stp/>
        <stp>EM_S_VAL_DIVIDENDYIELD2</stp>
        <stp>3</stp>
        <stp>002855</stp>
        <stp>12/31/2018</stp>
        <stp>2019-11-29</stp>
        <tr r="Q475" s="1"/>
      </tp>
      <tp>
        <v>0.31989763275751759</v>
        <stp/>
        <stp>EM_S_VAL_DIVIDENDYIELD2</stp>
        <stp>3</stp>
        <stp>002885</stp>
        <stp>12/31/2018</stp>
        <stp>2019-11-29</stp>
        <tr r="Q3090" s="1"/>
      </tp>
      <tp>
        <v>2.6027674116331232</v>
        <stp/>
        <stp>EM_S_VAL_DIVIDENDYIELD2</stp>
        <stp>3</stp>
        <stp>002895</stp>
        <stp>12/31/2018</stp>
        <stp>2019-11-29</stp>
        <tr r="Q2097" s="1"/>
      </tp>
      <tp>
        <v>2.3340131439970602</v>
        <stp/>
        <stp>EM_S_VAL_DIVIDENDYIELD2</stp>
        <stp>3</stp>
        <stp>002925</stp>
        <stp>12/31/2018</stp>
        <stp>2019-11-29</stp>
        <tr r="Q2367" s="1"/>
      </tp>
      <tp>
        <v>1.9649122807017541</v>
        <stp/>
        <stp>EM_S_VAL_DIVIDENDYIELD2</stp>
        <stp>3</stp>
        <stp>002905</stp>
        <stp>12/31/2018</stp>
        <stp>2019-11-29</stp>
        <tr r="Q980" s="1"/>
      </tp>
      <tp>
        <v>0.3443067136127298</v>
        <stp/>
        <stp>EM_S_VAL_DIVIDENDYIELD2</stp>
        <stp>3</stp>
        <stp>002915</stp>
        <stp>12/31/2018</stp>
        <stp>2019-11-29</stp>
        <tr r="Q1164" s="1"/>
      </tp>
      <tp>
        <v>1.09514837862919</v>
        <stp/>
        <stp>EM_S_VAL_DIVIDENDYIELD2</stp>
        <stp>3</stp>
        <stp>603225</stp>
        <stp>12/31/2018</stp>
        <stp>2019-11-29</stp>
        <tr r="Q3262" s="1"/>
      </tp>
      <tp>
        <v>0.61135353791257674</v>
        <stp/>
        <stp>EM_S_VAL_DIVIDENDYIELD2</stp>
        <stp>3</stp>
        <stp>603345</stp>
        <stp>12/31/2018</stp>
        <stp>2019-11-29</stp>
        <tr r="Q351" s="1"/>
      </tp>
      <tp>
        <v>1.0352941176470591</v>
        <stp/>
        <stp>EM_S_VAL_DIVIDENDYIELD2</stp>
        <stp>3</stp>
        <stp>603355</stp>
        <stp>12/31/2018</stp>
        <stp>2019-11-29</stp>
        <tr r="Q1769" s="1"/>
      </tp>
      <tp>
        <v>3.4153005464480879</v>
        <stp/>
        <stp>EM_S_VAL_DIVIDENDYIELD2</stp>
        <stp>3</stp>
        <stp>603365</stp>
        <stp>12/31/2018</stp>
        <stp>2019-11-29</stp>
        <tr r="Q2148" s="1"/>
      </tp>
      <tp>
        <v>0.85808206009457455</v>
        <stp/>
        <stp>EM_S_VAL_DIVIDENDYIELD2</stp>
        <stp>3</stp>
        <stp>603305</stp>
        <stp>12/31/2018</stp>
        <stp>2019-11-29</stp>
        <tr r="Q1751" s="1"/>
      </tp>
      <tp>
        <v>9.8405378934123849E-2</v>
        <stp/>
        <stp>EM_S_VAL_DIVIDENDYIELD2</stp>
        <stp>3</stp>
        <stp>603315</stp>
        <stp>12/31/2018</stp>
        <stp>2019-11-29</stp>
        <tr r="Q2056" s="1"/>
      </tp>
      <tp>
        <v>0.33014196104324861</v>
        <stp/>
        <stp>EM_S_VAL_DIVIDENDYIELD2</stp>
        <stp>3</stp>
        <stp>603335</stp>
        <stp>12/31/2018</stp>
        <stp>2019-11-29</stp>
        <tr r="Q3070" s="1"/>
      </tp>
      <tp>
        <v>2.182163187855787</v>
        <stp/>
        <stp>EM_S_VAL_DIVIDENDYIELD2</stp>
        <stp>3</stp>
        <stp>603385</stp>
        <stp>12/31/2018</stp>
        <stp>2019-11-29</stp>
        <tr r="Q711" s="1"/>
      </tp>
      <tp>
        <v>0.60790273556231</v>
        <stp/>
        <stp>EM_S_VAL_DIVIDENDYIELD2</stp>
        <stp>3</stp>
        <stp>603045</stp>
        <stp>12/31/2018</stp>
        <stp>2019-11-29</stp>
        <tr r="Q3358" s="1"/>
      </tp>
      <tp>
        <v>2.2568210991821704</v>
        <stp/>
        <stp>EM_S_VAL_DIVIDENDYIELD2</stp>
        <stp>3</stp>
        <stp>603055</stp>
        <stp>12/31/2018</stp>
        <stp>2019-11-29</stp>
        <tr r="Q3266" s="1"/>
      </tp>
      <tp>
        <v>0.23791762088603002</v>
        <stp/>
        <stp>EM_S_VAL_DIVIDENDYIELD2</stp>
        <stp>3</stp>
        <stp>603005</stp>
        <stp>12/31/2018</stp>
        <stp>2019-11-29</stp>
        <tr r="Q98" s="1"/>
      </tp>
      <tp>
        <v>2.0307710816115092</v>
        <stp/>
        <stp>EM_S_VAL_DIVIDENDYIELD2</stp>
        <stp>3</stp>
        <stp>603015</stp>
        <stp>12/31/2018</stp>
        <stp>2019-11-29</stp>
        <tr r="Q1933" s="1"/>
      </tp>
      <tp>
        <v>3.4127974007489579</v>
        <stp/>
        <stp>EM_S_VAL_DIVIDENDYIELD2</stp>
        <stp>3</stp>
        <stp>603025</stp>
        <stp>12/31/2018</stp>
        <stp>2019-11-29</stp>
        <tr r="Q2951" s="1"/>
      </tp>
      <tp>
        <v>3.894080996884735</v>
        <stp/>
        <stp>EM_S_VAL_DIVIDENDYIELD2</stp>
        <stp>3</stp>
        <stp>603035</stp>
        <stp>12/31/2018</stp>
        <stp>2019-11-29</stp>
        <tr r="Q1913" s="1"/>
      </tp>
      <tp>
        <v>0.49566294919454773</v>
        <stp/>
        <stp>EM_S_VAL_DIVIDENDYIELD2</stp>
        <stp>3</stp>
        <stp>603085</stp>
        <stp>12/31/2018</stp>
        <stp>2019-11-29</stp>
        <tr r="Q1947" s="1"/>
      </tp>
      <tp>
        <v>2.9048207663782448</v>
        <stp/>
        <stp>EM_S_VAL_DIVIDENDYIELD2</stp>
        <stp>3</stp>
        <stp>603165</stp>
        <stp>12/31/2018</stp>
        <stp>2019-11-29</stp>
        <tr r="Q1558" s="1"/>
      </tp>
      <tp>
        <v>1.4184397163120568</v>
        <stp/>
        <stp>EM_S_VAL_DIVIDENDYIELD2</stp>
        <stp>3</stp>
        <stp>603105</stp>
        <stp>12/31/2018</stp>
        <stp>2019-11-29</stp>
        <tr r="Q3344" s="1"/>
      </tp>
      <tp>
        <v>0.56401579244218836</v>
        <stp/>
        <stp>EM_S_VAL_DIVIDENDYIELD2</stp>
        <stp>3</stp>
        <stp>603655</stp>
        <stp>12/31/2018</stp>
        <stp>2019-11-29</stp>
        <tr r="Q604" s="1"/>
      </tp>
      <tp>
        <v>0.97799511002444983</v>
        <stp/>
        <stp>EM_S_VAL_DIVIDENDYIELD2</stp>
        <stp>3</stp>
        <stp>603665</stp>
        <stp>12/31/2018</stp>
        <stp>2019-11-29</stp>
        <tr r="Q3001" s="1"/>
      </tp>
      <tp>
        <v>0.51222127214204183</v>
        <stp/>
        <stp>EM_S_VAL_DIVIDENDYIELD2</stp>
        <stp>3</stp>
        <stp>603605</stp>
        <stp>12/31/2018</stp>
        <stp>2019-11-29</stp>
        <tr r="Q169" s="1"/>
      </tp>
      <tp>
        <v>2.1630720165085657</v>
        <stp/>
        <stp>EM_S_VAL_DIVIDENDYIELD2</stp>
        <stp>3</stp>
        <stp>603615</stp>
        <stp>12/31/2018</stp>
        <stp>2019-11-29</stp>
        <tr r="Q1733" s="1"/>
      </tp>
      <tp>
        <v>1.6228497241155468</v>
        <stp/>
        <stp>EM_S_VAL_DIVIDENDYIELD2</stp>
        <stp>3</stp>
        <stp>603685</stp>
        <stp>12/31/2018</stp>
        <stp>2019-11-29</stp>
        <tr r="Q2615" s="1"/>
      </tp>
      <tp>
        <v>1.1904761904761905</v>
        <stp/>
        <stp>EM_S_VAL_DIVIDENDYIELD2</stp>
        <stp>3</stp>
        <stp>603725</stp>
        <stp>12/31/2018</stp>
        <stp>2019-11-29</stp>
        <tr r="Q3230" s="1"/>
      </tp>
      <tp>
        <v>0</v>
        <stp/>
        <stp>EM_S_VAL_DIVIDENDYIELD2</stp>
        <stp>3</stp>
        <stp>603555</stp>
        <stp>12/31/2018</stp>
        <stp>2019-11-29</stp>
        <tr r="Q2224" s="1"/>
      </tp>
      <tp>
        <v>1.066350710900474</v>
        <stp/>
        <stp>EM_S_VAL_DIVIDENDYIELD2</stp>
        <stp>3</stp>
        <stp>603505</stp>
        <stp>12/31/2018</stp>
        <stp>2019-11-29</stp>
        <tr r="Q335" s="1"/>
      </tp>
      <tp>
        <v>1.5278838808250572</v>
        <stp/>
        <stp>EM_S_VAL_DIVIDENDYIELD2</stp>
        <stp>3</stp>
        <stp>603515</stp>
        <stp>12/31/2018</stp>
        <stp>2019-11-29</stp>
        <tr r="Q2247" s="1"/>
      </tp>
      <tp>
        <v>0.57636887608069165</v>
        <stp/>
        <stp>EM_S_VAL_DIVIDENDYIELD2</stp>
        <stp>3</stp>
        <stp>603535</stp>
        <stp>12/31/2018</stp>
        <stp>2019-11-29</stp>
        <tr r="Q2420" s="1"/>
      </tp>
      <tp>
        <v>3.0627871362940278</v>
        <stp/>
        <stp>EM_S_VAL_DIVIDENDYIELD2</stp>
        <stp>3</stp>
        <stp>603585</stp>
        <stp>12/31/2018</stp>
        <stp>2019-11-29</stp>
        <tr r="Q2125" s="1"/>
      </tp>
      <tp>
        <v>0.21122364535086183</v>
        <stp/>
        <stp>EM_S_VAL_DIVIDENDYIELD2</stp>
        <stp>3</stp>
        <stp>603595</stp>
        <stp>12/31/2018</stp>
        <stp>2019-11-29</stp>
        <tr r="Q3013" s="1"/>
      </tp>
      <tp>
        <v>2.1551724137931036</v>
        <stp/>
        <stp>EM_S_VAL_DIVIDENDYIELD2</stp>
        <stp>3</stp>
        <stp>603855</stp>
        <stp>12/31/2018</stp>
        <stp>2019-11-29</stp>
        <tr r="Q1126" s="1"/>
      </tp>
      <tp>
        <v>1.7696893029623166</v>
        <stp/>
        <stp>EM_S_VAL_DIVIDENDYIELD2</stp>
        <stp>3</stp>
        <stp>603825</stp>
        <stp>12/31/2018</stp>
        <stp>2019-11-29</stp>
        <tr r="Q901" s="1"/>
      </tp>
      <tp>
        <v>0</v>
        <stp/>
        <stp>EM_S_VAL_DIVIDENDYIELD2</stp>
        <stp>3</stp>
        <stp>603885</stp>
        <stp>12/31/2018</stp>
        <stp>2019-11-29</stp>
        <tr r="Q1184" s="1"/>
      </tp>
      <tp>
        <v>0.26143790849673199</v>
        <stp/>
        <stp>EM_S_VAL_DIVIDENDYIELD2</stp>
        <stp>3</stp>
        <stp>603895</stp>
        <stp>12/31/2018</stp>
        <stp>2019-11-29</stp>
        <tr r="Q2804" s="1"/>
      </tp>
      <tp>
        <v>0</v>
        <stp/>
        <stp>EM_S_VAL_DIVIDENDYIELD2</stp>
        <stp>3</stp>
        <stp>603955</stp>
        <stp>12/31/2018</stp>
        <stp>2019-11-29</stp>
        <tr r="Q1547" s="1"/>
      </tp>
      <tp>
        <v>2.0220402386007481</v>
        <stp/>
        <stp>EM_S_VAL_DIVIDENDYIELD2</stp>
        <stp>3</stp>
        <stp>603985</stp>
        <stp>12/31/2018</stp>
        <stp>2019-11-29</stp>
        <tr r="Q3160" s="1"/>
      </tp>
      <tp>
        <v>1.9639934533551555</v>
        <stp/>
        <stp>EM_S_VAL_DIVIDENDYIELD2</stp>
        <stp>3</stp>
        <stp>300215</stp>
        <stp>12/31/2018</stp>
        <stp>2019-11-29</stp>
        <tr r="Q1169" s="1"/>
      </tp>
      <tp>
        <v>0.96618357487922701</v>
        <stp/>
        <stp>EM_S_VAL_DIVIDENDYIELD2</stp>
        <stp>3</stp>
        <stp>300205</stp>
        <stp>12/31/2018</stp>
        <stp>2019-11-29</stp>
        <tr r="Q825" s="1"/>
      </tp>
      <tp>
        <v>0</v>
        <stp/>
        <stp>EM_S_VAL_DIVIDENDYIELD2</stp>
        <stp>3</stp>
        <stp>600255</stp>
        <stp>12/31/2018</stp>
        <stp>2019-11-29</stp>
        <tr r="Q2860" s="1"/>
      </tp>
      <tp>
        <v>0</v>
        <stp/>
        <stp>EM_S_VAL_DIVIDENDYIELD2</stp>
        <stp>3</stp>
        <stp>300235</stp>
        <stp>12/31/2018</stp>
        <stp>2019-11-29</stp>
        <tr r="Q431" s="1"/>
      </tp>
      <tp>
        <v>0</v>
        <stp/>
        <stp>EM_S_VAL_DIVIDENDYIELD2</stp>
        <stp>3</stp>
        <stp>600265</stp>
        <stp>12/31/2018</stp>
        <stp>2019-11-29</stp>
        <tr r="Q2743" s="1"/>
      </tp>
      <tp>
        <v>0</v>
        <stp/>
        <stp>EM_S_VAL_DIVIDENDYIELD2</stp>
        <stp>3</stp>
        <stp>300225</stp>
        <stp>12/31/2018</stp>
        <stp>2019-11-29</stp>
        <tr r="Q940" s="1"/>
      </tp>
      <tp>
        <v>0</v>
        <stp/>
        <stp>EM_S_VAL_DIVIDENDYIELD2</stp>
        <stp>3</stp>
        <stp>600275</stp>
        <stp>12/31/2018</stp>
        <stp>2019-11-29</stp>
        <tr r="Q3082" s="1"/>
      </tp>
      <tp>
        <v>0.55009823182711204</v>
        <stp/>
        <stp>EM_S_VAL_DIVIDENDYIELD2</stp>
        <stp>3</stp>
        <stp>300255</stp>
        <stp>12/31/2018</stp>
        <stp>2019-11-29</stp>
        <tr r="Q922" s="1"/>
      </tp>
      <tp>
        <v>0</v>
        <stp/>
        <stp>EM_S_VAL_DIVIDENDYIELD2</stp>
        <stp>3</stp>
        <stp>600205</stp>
        <stp>12/31/2018</stp>
        <stp>2019-11-29</stp>
        <tr r="Q2295" s="1"/>
      </tp>
      <tp>
        <v>0.43859649122807026</v>
        <stp/>
        <stp>EM_S_VAL_DIVIDENDYIELD2</stp>
        <stp>3</stp>
        <stp>300245</stp>
        <stp>12/31/2018</stp>
        <stp>2019-11-29</stp>
        <tr r="Q1646" s="1"/>
      </tp>
      <tp>
        <v>0.99378881987577639</v>
        <stp/>
        <stp>EM_S_VAL_DIVIDENDYIELD2</stp>
        <stp>3</stp>
        <stp>600215</stp>
        <stp>12/31/2018</stp>
        <stp>2019-11-29</stp>
        <tr r="Q2571" s="1"/>
      </tp>
      <tp>
        <v>0</v>
        <stp/>
        <stp>EM_S_VAL_DIVIDENDYIELD2</stp>
        <stp>3</stp>
        <stp>300275</stp>
        <stp>12/31/2018</stp>
        <stp>2019-11-29</stp>
        <tr r="Q386" s="1"/>
      </tp>
      <tp>
        <v>0</v>
        <stp/>
        <stp>EM_S_VAL_DIVIDENDYIELD2</stp>
        <stp>3</stp>
        <stp>600225</stp>
        <stp>12/31/2018</stp>
        <stp>2019-11-29</stp>
        <tr r="Q2872" s="1"/>
      </tp>
      <tp>
        <v>0.19607843137254902</v>
        <stp/>
        <stp>EM_S_VAL_DIVIDENDYIELD2</stp>
        <stp>3</stp>
        <stp>300265</stp>
        <stp>12/31/2018</stp>
        <stp>2019-11-29</stp>
        <tr r="Q2552" s="1"/>
      </tp>
      <tp>
        <v>0.10989010989010989</v>
        <stp/>
        <stp>EM_S_VAL_DIVIDENDYIELD2</stp>
        <stp>3</stp>
        <stp>600235</stp>
        <stp>12/31/2018</stp>
        <stp>2019-11-29</stp>
        <tr r="Q2924" s="1"/>
      </tp>
      <tp>
        <v>0.89312321477144929</v>
        <stp/>
        <stp>EM_S_VAL_DIVIDENDYIELD2</stp>
        <stp>3</stp>
        <stp>300295</stp>
        <stp>12/31/2018</stp>
        <stp>2019-11-29</stp>
        <tr r="Q1480" s="1"/>
      </tp>
      <tp>
        <v>0.30609121534099387</v>
        <stp/>
        <stp>EM_S_VAL_DIVIDENDYIELD2</stp>
        <stp>3</stp>
        <stp>300285</stp>
        <stp>12/31/2018</stp>
        <stp>2019-11-29</stp>
        <tr r="Q750" s="1"/>
      </tp>
      <tp>
        <v>1.5114558994721017</v>
        <stp/>
        <stp>EM_S_VAL_DIVIDENDYIELD2</stp>
        <stp>3</stp>
        <stp>600285</stp>
        <stp>12/31/2018</stp>
        <stp>2019-11-29</stp>
        <tr r="Q1003" s="1"/>
      </tp>
      <tp>
        <v>1.6502921523666816</v>
        <stp/>
        <stp>EM_S_VAL_DIVIDENDYIELD2</stp>
        <stp>3</stp>
        <stp>600295</stp>
        <stp>12/31/2018</stp>
        <stp>2019-11-29</stp>
        <tr r="Q1322" s="1"/>
      </tp>
      <tp>
        <v>0</v>
        <stp/>
        <stp>EM_S_VAL_DIVIDENDYIELD2</stp>
        <stp>3</stp>
        <stp>300315</stp>
        <stp>12/31/2018</stp>
        <stp>2019-11-29</stp>
        <tr r="Q254" s="1"/>
      </tp>
      <tp>
        <v>1.7690417690417692</v>
        <stp/>
        <stp>EM_S_VAL_DIVIDENDYIELD2</stp>
        <stp>3</stp>
        <stp>600345</stp>
        <stp>12/31/2018</stp>
        <stp>2019-11-29</stp>
        <tr r="Q2249" s="1"/>
      </tp>
      <tp>
        <v>0.81037888198757768</v>
        <stp/>
        <stp>EM_S_VAL_DIVIDENDYIELD2</stp>
        <stp>3</stp>
        <stp>300305</stp>
        <stp>12/31/2018</stp>
        <stp>2019-11-29</stp>
        <tr r="Q1934" s="1"/>
      </tp>
      <tp>
        <v>0</v>
        <stp/>
        <stp>EM_S_VAL_DIVIDENDYIELD2</stp>
        <stp>3</stp>
        <stp>600355</stp>
        <stp>12/31/2018</stp>
        <stp>2019-11-29</stp>
        <tr r="Q2366" s="1"/>
      </tp>
      <tp>
        <v>3.6036022233949083</v>
        <stp/>
        <stp>EM_S_VAL_DIVIDENDYIELD2</stp>
        <stp>3</stp>
        <stp>300335</stp>
        <stp>12/31/2018</stp>
        <stp>2019-11-29</stp>
        <tr r="Q2659" s="1"/>
      </tp>
      <tp>
        <v>0</v>
        <stp/>
        <stp>EM_S_VAL_DIVIDENDYIELD2</stp>
        <stp>3</stp>
        <stp>600365</stp>
        <stp>12/31/2018</stp>
        <stp>2019-11-29</stp>
        <tr r="Q1502" s="1"/>
      </tp>
      <tp>
        <v>0</v>
        <stp/>
        <stp>EM_S_VAL_DIVIDENDYIELD2</stp>
        <stp>3</stp>
        <stp>300325</stp>
        <stp>12/31/2018</stp>
        <stp>2019-11-29</stp>
        <tr r="Q1879" s="1"/>
      </tp>
      <tp>
        <v>0</v>
        <stp/>
        <stp>EM_S_VAL_DIVIDENDYIELD2</stp>
        <stp>3</stp>
        <stp>600375</stp>
        <stp>12/31/2018</stp>
        <stp>2019-11-29</stp>
        <tr r="Q856" s="1"/>
      </tp>
      <tp>
        <v>0.5806451612903224</v>
        <stp/>
        <stp>EM_S_VAL_DIVIDENDYIELD2</stp>
        <stp>3</stp>
        <stp>300355</stp>
        <stp>12/31/2018</stp>
        <stp>2019-11-29</stp>
        <tr r="Q2877" s="1"/>
      </tp>
      <tp>
        <v>0.87209302325581395</v>
        <stp/>
        <stp>EM_S_VAL_DIVIDENDYIELD2</stp>
        <stp>3</stp>
        <stp>600305</stp>
        <stp>12/31/2018</stp>
        <stp>2019-11-29</stp>
        <tr r="Q676" s="1"/>
      </tp>
      <tp>
        <v>0</v>
        <stp/>
        <stp>EM_S_VAL_DIVIDENDYIELD2</stp>
        <stp>3</stp>
        <stp>300345</stp>
        <stp>12/31/2018</stp>
        <stp>2019-11-29</stp>
        <tr r="Q115" s="1"/>
      </tp>
      <tp>
        <v>0.83333333333333337</v>
        <stp/>
        <stp>EM_S_VAL_DIVIDENDYIELD2</stp>
        <stp>3</stp>
        <stp>600315</stp>
        <stp>12/31/2018</stp>
        <stp>2019-11-29</stp>
        <tr r="Q1565" s="1"/>
      </tp>
      <tp>
        <v>0.94809958621979751</v>
        <stp/>
        <stp>EM_S_VAL_DIVIDENDYIELD2</stp>
        <stp>3</stp>
        <stp>300375</stp>
        <stp>12/31/2018</stp>
        <stp>2019-11-29</stp>
        <tr r="Q3267" s="1"/>
      </tp>
      <tp>
        <v>2.1520803443328549</v>
        <stp/>
        <stp>EM_S_VAL_DIVIDENDYIELD2</stp>
        <stp>3</stp>
        <stp>600325</stp>
        <stp>12/31/2018</stp>
        <stp>2019-11-29</stp>
        <tr r="Q1081" s="1"/>
      </tp>
      <tp>
        <v>0.35148849143236671</v>
        <stp/>
        <stp>EM_S_VAL_DIVIDENDYIELD2</stp>
        <stp>3</stp>
        <stp>300365</stp>
        <stp>12/31/2018</stp>
        <stp>2019-11-29</stp>
        <tr r="Q3299" s="1"/>
      </tp>
      <tp>
        <v>2.7422303473491771</v>
        <stp/>
        <stp>EM_S_VAL_DIVIDENDYIELD2</stp>
        <stp>3</stp>
        <stp>600335</stp>
        <stp>12/31/2018</stp>
        <stp>2019-11-29</stp>
        <tr r="Q2633" s="1"/>
      </tp>
      <tp>
        <v>0.87073466283059298</v>
        <stp/>
        <stp>EM_S_VAL_DIVIDENDYIELD2</stp>
        <stp>3</stp>
        <stp>300395</stp>
        <stp>12/31/2018</stp>
        <stp>2019-11-29</stp>
        <tr r="Q574" s="1"/>
      </tp>
      <tp>
        <v>0.3916741271262309</v>
        <stp/>
        <stp>EM_S_VAL_DIVIDENDYIELD2</stp>
        <stp>3</stp>
        <stp>300385</stp>
        <stp>12/31/2018</stp>
        <stp>2019-11-29</stp>
        <tr r="Q2956" s="1"/>
      </tp>
      <tp>
        <v>0</v>
        <stp/>
        <stp>EM_S_VAL_DIVIDENDYIELD2</stp>
        <stp>3</stp>
        <stp>600385</stp>
        <stp>12/31/2018</stp>
        <stp>2019-11-29</stp>
        <tr r="Q3030" s="1"/>
      </tp>
      <tp>
        <v>7.1174377224199299</v>
        <stp/>
        <stp>EM_S_VAL_DIVIDENDYIELD2</stp>
        <stp>3</stp>
        <stp>600395</stp>
        <stp>12/31/2018</stp>
        <stp>2019-11-29</stp>
        <tr r="Q1227" s="1"/>
      </tp>
      <tp>
        <v>0</v>
        <stp/>
        <stp>EM_S_VAL_DIVIDENDYIELD2</stp>
        <stp>3</stp>
        <stp>000025</stp>
        <stp>12/31/2018</stp>
        <stp>2019-11-29</stp>
        <tr r="Q1436" s="1"/>
      </tp>
      <tp>
        <v>0.38545868129521177</v>
        <stp/>
        <stp>EM_S_VAL_DIVIDENDYIELD2</stp>
        <stp>3</stp>
        <stp>300015</stp>
        <stp>12/31/2018</stp>
        <stp>2019-11-29</stp>
        <tr r="Q607" s="1"/>
      </tp>
      <tp>
        <v>0</v>
        <stp/>
        <stp>EM_S_VAL_DIVIDENDYIELD2</stp>
        <stp>3</stp>
        <stp>000035</stp>
        <stp>12/31/2018</stp>
        <stp>2019-11-29</stp>
        <tr r="Q1341" s="1"/>
      </tp>
      <tp>
        <v>0</v>
        <stp/>
        <stp>EM_S_VAL_DIVIDENDYIELD2</stp>
        <stp>3</stp>
        <stp>300005</stp>
        <stp>12/31/2018</stp>
        <stp>2019-11-29</stp>
        <tr r="Q801" s="1"/>
      </tp>
      <tp>
        <v>1.0090817356205852</v>
        <stp/>
        <stp>EM_S_VAL_DIVIDENDYIELD2</stp>
        <stp>3</stp>
        <stp>600055</stp>
        <stp>12/31/2018</stp>
        <stp>2019-11-29</stp>
        <tr r="Q1416" s="1"/>
      </tp>
      <tp>
        <v>0</v>
        <stp/>
        <stp>EM_S_VAL_DIVIDENDYIELD2</stp>
        <stp>3</stp>
        <stp>000005</stp>
        <stp>12/31/2018</stp>
        <stp>2019-11-29</stp>
        <tr r="Q1466" s="1"/>
      </tp>
      <tp>
        <v>0.47068533758436909</v>
        <stp/>
        <stp>EM_S_VAL_DIVIDENDYIELD2</stp>
        <stp>3</stp>
        <stp>300035</stp>
        <stp>12/31/2018</stp>
        <stp>2019-11-29</stp>
        <tr r="Q263" s="1"/>
      </tp>
      <tp>
        <v>0</v>
        <stp/>
        <stp>EM_S_VAL_DIVIDENDYIELD2</stp>
        <stp>3</stp>
        <stp>600065</stp>
        <stp>12/31/2018</stp>
        <stp>2019-11-29</stp>
        <tr r="Q2289" s="1"/>
      </tp>
      <tp>
        <v>0</v>
        <stp/>
        <stp>EM_S_VAL_DIVIDENDYIELD2</stp>
        <stp>3</stp>
        <stp>000015</stp>
        <stp>12/31/2018</stp>
        <stp>2019-11-29</stp>
        <tr r="Q2273" s="1"/>
      </tp>
      <tp>
        <v>0</v>
        <stp/>
        <stp>EM_S_VAL_DIVIDENDYIELD2</stp>
        <stp>3</stp>
        <stp>300025</stp>
        <stp>12/31/2018</stp>
        <stp>2019-11-29</stp>
        <tr r="Q1834" s="1"/>
      </tp>
      <tp>
        <v>2.0202020202020203</v>
        <stp/>
        <stp>EM_S_VAL_DIVIDENDYIELD2</stp>
        <stp>3</stp>
        <stp>600075</stp>
        <stp>12/31/2018</stp>
        <stp>2019-11-29</stp>
        <tr r="Q1714" s="1"/>
      </tp>
      <tp>
        <v>1.0050251256281406</v>
        <stp/>
        <stp>EM_S_VAL_DIVIDENDYIELD2</stp>
        <stp>3</stp>
        <stp>000065</stp>
        <stp>12/31/2018</stp>
        <stp>2019-11-29</stp>
        <tr r="Q1549" s="1"/>
      </tp>
      <tp>
        <v>0.218978102189781</v>
        <stp/>
        <stp>EM_S_VAL_DIVIDENDYIELD2</stp>
        <stp>3</stp>
        <stp>300055</stp>
        <stp>12/31/2018</stp>
        <stp>2019-11-29</stp>
        <tr r="Q2859" s="1"/>
      </tp>
      <tp>
        <v>0</v>
        <stp/>
        <stp>EM_S_VAL_DIVIDENDYIELD2</stp>
        <stp>3</stp>
        <stp>600005</stp>
        <stp>12/31/2018</stp>
        <stp>2019-11-29</stp>
        <tr r="Q2288" s="1"/>
      </tp>
      <tp>
        <v>0.23658651865095587</v>
        <stp/>
        <stp>EM_S_VAL_DIVIDENDYIELD2</stp>
        <stp>3</stp>
        <stp>300045</stp>
        <stp>12/31/2018</stp>
        <stp>2019-11-29</stp>
        <tr r="Q1141" s="1"/>
      </tp>
      <tp>
        <v>2.3418573351278598</v>
        <stp/>
        <stp>EM_S_VAL_DIVIDENDYIELD2</stp>
        <stp>3</stp>
        <stp>600015</stp>
        <stp>12/31/2018</stp>
        <stp>2019-11-29</stp>
        <tr r="Q2083" s="1"/>
      </tp>
      <tp>
        <v>0</v>
        <stp/>
        <stp>EM_S_VAL_DIVIDENDYIELD2</stp>
        <stp>3</stp>
        <stp>000045</stp>
        <stp>12/31/2018</stp>
        <stp>2019-11-29</stp>
        <tr r="Q967" s="1"/>
      </tp>
      <tp>
        <v>0.27598896044158233</v>
        <stp/>
        <stp>EM_S_VAL_DIVIDENDYIELD2</stp>
        <stp>3</stp>
        <stp>300075</stp>
        <stp>12/31/2018</stp>
        <stp>2019-11-29</stp>
        <tr r="Q2077" s="1"/>
      </tp>
      <tp>
        <v>3.5198564593301436</v>
        <stp/>
        <stp>EM_S_VAL_DIVIDENDYIELD2</stp>
        <stp>3</stp>
        <stp>600025</stp>
        <stp>12/31/2018</stp>
        <stp>2019-11-29</stp>
        <tr r="Q835" s="1"/>
      </tp>
      <tp>
        <v>4.5146726862302486</v>
        <stp/>
        <stp>EM_S_VAL_DIVIDENDYIELD2</stp>
        <stp>3</stp>
        <stp>000055</stp>
        <stp>12/31/2018</stp>
        <stp>2019-11-29</stp>
        <tr r="Q1107" s="1"/>
      </tp>
      <tp>
        <v>0.26690391459074736</v>
        <stp/>
        <stp>EM_S_VAL_DIVIDENDYIELD2</stp>
        <stp>3</stp>
        <stp>300065</stp>
        <stp>12/31/2018</stp>
        <stp>2019-11-29</stp>
        <tr r="Q1337" s="1"/>
      </tp>
      <tp>
        <v>3.4129036768138103</v>
        <stp/>
        <stp>EM_S_VAL_DIVIDENDYIELD2</stp>
        <stp>3</stp>
        <stp>600035</stp>
        <stp>12/31/2018</stp>
        <stp>2019-11-29</stp>
        <tr r="Q1452" s="1"/>
      </tp>
      <tp>
        <v>0</v>
        <stp/>
        <stp>EM_S_VAL_DIVIDENDYIELD2</stp>
        <stp>3</stp>
        <stp>300095</stp>
        <stp>12/31/2018</stp>
        <stp>2019-11-29</stp>
        <tr r="Q950" s="1"/>
      </tp>
      <tp>
        <v>0.13368983957219252</v>
        <stp/>
        <stp>EM_S_VAL_DIVIDENDYIELD2</stp>
        <stp>3</stp>
        <stp>300085</stp>
        <stp>12/31/2018</stp>
        <stp>2019-11-29</stp>
        <tr r="Q175" s="1"/>
      </tp>
      <tp>
        <v>0.97744360902255645</v>
        <stp/>
        <stp>EM_S_VAL_DIVIDENDYIELD2</stp>
        <stp>3</stp>
        <stp>600085</stp>
        <stp>12/31/2018</stp>
        <stp>2019-11-29</stp>
        <tr r="Q2188" s="1"/>
      </tp>
      <tp>
        <v>0.17218543046357618</v>
        <stp/>
        <stp>EM_S_VAL_DIVIDENDYIELD2</stp>
        <stp>3</stp>
        <stp>600095</stp>
        <stp>12/31/2018</stp>
        <stp>2019-11-29</stp>
        <tr r="Q100" s="1"/>
      </tp>
      <tp>
        <v>0.63734862970044615</v>
        <stp/>
        <stp>EM_S_VAL_DIVIDENDYIELD2</stp>
        <stp>3</stp>
        <stp>300115</stp>
        <stp>12/31/2018</stp>
        <stp>2019-11-29</stp>
        <tr r="Q125" s="1"/>
      </tp>
      <tp>
        <v>0</v>
        <stp/>
        <stp>EM_S_VAL_DIVIDENDYIELD2</stp>
        <stp>3</stp>
        <stp>600145</stp>
        <stp>12/31/2018</stp>
        <stp>2019-11-29</stp>
        <tr r="Q2293" s="1"/>
      </tp>
      <tp>
        <v>0</v>
        <stp/>
        <stp>EM_S_VAL_DIVIDENDYIELD2</stp>
        <stp>3</stp>
        <stp>300105</stp>
        <stp>12/31/2018</stp>
        <stp>2019-11-29</stp>
        <tr r="Q1424" s="1"/>
      </tp>
      <tp>
        <v>0</v>
        <stp/>
        <stp>EM_S_VAL_DIVIDENDYIELD2</stp>
        <stp>3</stp>
        <stp>600155</stp>
        <stp>12/31/2018</stp>
        <stp>2019-11-29</stp>
        <tr r="Q234" s="1"/>
      </tp>
      <tp>
        <v>0.39215686274509803</v>
        <stp/>
        <stp>EM_S_VAL_DIVIDENDYIELD2</stp>
        <stp>3</stp>
        <stp>300135</stp>
        <stp>12/31/2018</stp>
        <stp>2019-11-29</stp>
        <tr r="Q2372" s="1"/>
      </tp>
      <tp>
        <v>0</v>
        <stp/>
        <stp>EM_S_VAL_DIVIDENDYIELD2</stp>
        <stp>3</stp>
        <stp>600165</stp>
        <stp>12/31/2018</stp>
        <stp>2019-11-29</stp>
        <tr r="Q3077" s="1"/>
      </tp>
      <tp>
        <v>0</v>
        <stp/>
        <stp>EM_S_VAL_DIVIDENDYIELD2</stp>
        <stp>3</stp>
        <stp>300125</stp>
        <stp>12/31/2018</stp>
        <stp>2019-11-29</stp>
        <tr r="Q841" s="1"/>
      </tp>
      <tp>
        <v>0</v>
        <stp/>
        <stp>EM_S_VAL_DIVIDENDYIELD2</stp>
        <stp>3</stp>
        <stp>600175</stp>
        <stp>12/31/2018</stp>
        <stp>2019-11-29</stp>
        <tr r="Q2982" s="1"/>
      </tp>
      <tp>
        <v>0.30991735537190085</v>
        <stp/>
        <stp>EM_S_VAL_DIVIDENDYIELD2</stp>
        <stp>3</stp>
        <stp>300155</stp>
        <stp>12/31/2018</stp>
        <stp>2019-11-29</stp>
        <tr r="Q1092" s="1"/>
      </tp>
      <tp>
        <v>3.4647673370366623</v>
        <stp/>
        <stp>EM_S_VAL_DIVIDENDYIELD2</stp>
        <stp>3</stp>
        <stp>600105</stp>
        <stp>12/31/2018</stp>
        <stp>2019-11-29</stp>
        <tr r="Q1397" s="1"/>
      </tp>
      <tp>
        <v>0</v>
        <stp/>
        <stp>EM_S_VAL_DIVIDENDYIELD2</stp>
        <stp>3</stp>
        <stp>300145</stp>
        <stp>12/31/2018</stp>
        <stp>2019-11-29</stp>
        <tr r="Q1801" s="1"/>
      </tp>
      <tp>
        <v>0</v>
        <stp/>
        <stp>EM_S_VAL_DIVIDENDYIELD2</stp>
        <stp>3</stp>
        <stp>600115</stp>
        <stp>12/31/2018</stp>
        <stp>2019-11-29</stp>
        <tr r="Q1172" s="1"/>
      </tp>
      <tp>
        <v>0.16366612111292964</v>
        <stp/>
        <stp>EM_S_VAL_DIVIDENDYIELD2</stp>
        <stp>3</stp>
        <stp>300175</stp>
        <stp>12/31/2018</stp>
        <stp>2019-11-29</stp>
        <tr r="Q630" s="1"/>
      </tp>
      <tp>
        <v>2.1428571428571428</v>
        <stp/>
        <stp>EM_S_VAL_DIVIDENDYIELD2</stp>
        <stp>3</stp>
        <stp>600125</stp>
        <stp>12/31/2018</stp>
        <stp>2019-11-29</stp>
        <tr r="Q2904" s="1"/>
      </tp>
      <tp>
        <v>0</v>
        <stp/>
        <stp>EM_S_VAL_DIVIDENDYIELD2</stp>
        <stp>3</stp>
        <stp>000155</stp>
        <stp>12/31/2018</stp>
        <stp>2019-11-29</stp>
        <tr r="Q1263" s="1"/>
      </tp>
      <tp>
        <v>0.92592592592592582</v>
        <stp/>
        <stp>EM_S_VAL_DIVIDENDYIELD2</stp>
        <stp>3</stp>
        <stp>300165</stp>
        <stp>12/31/2018</stp>
        <stp>2019-11-29</stp>
        <tr r="Q1207" s="1"/>
      </tp>
      <tp>
        <v>0.13541666965043384</v>
        <stp/>
        <stp>EM_S_VAL_DIVIDENDYIELD2</stp>
        <stp>3</stp>
        <stp>600135</stp>
        <stp>12/31/2018</stp>
        <stp>2019-11-29</stp>
        <tr r="Q1020" s="1"/>
      </tp>
      <tp>
        <v>0</v>
        <stp/>
        <stp>EM_S_VAL_DIVIDENDYIELD2</stp>
        <stp>3</stp>
        <stp>300195</stp>
        <stp>12/31/2018</stp>
        <stp>2019-11-29</stp>
        <tr r="Q2722" s="1"/>
      </tp>
      <tp>
        <v>1.1695906432748537</v>
        <stp/>
        <stp>EM_S_VAL_DIVIDENDYIELD2</stp>
        <stp>3</stp>
        <stp>300185</stp>
        <stp>12/31/2018</stp>
        <stp>2019-11-29</stp>
        <tr r="Q1705" s="1"/>
      </tp>
      <tp>
        <v>0</v>
        <stp/>
        <stp>EM_S_VAL_DIVIDENDYIELD2</stp>
        <stp>3</stp>
        <stp>600185</stp>
        <stp>12/31/2018</stp>
        <stp>2019-11-29</stp>
        <tr r="Q1239" s="1"/>
      </tp>
      <tp>
        <v>1.4168618266978923</v>
        <stp/>
        <stp>EM_S_VAL_DIVIDENDYIELD2</stp>
        <stp>3</stp>
        <stp>600195</stp>
        <stp>12/31/2018</stp>
        <stp>2019-11-29</stp>
        <tr r="Q1893" s="1"/>
      </tp>
      <tp>
        <v>0.21126760563380279</v>
        <stp/>
        <stp>EM_S_VAL_DIVIDENDYIELD2</stp>
        <stp>3</stp>
        <stp>000625</stp>
        <stp>12/31/2018</stp>
        <stp>2019-11-29</stp>
        <tr r="Q3487" s="1"/>
      </tp>
      <tp>
        <v>0.19411889611672689</v>
        <stp/>
        <stp>EM_S_VAL_DIVIDENDYIELD2</stp>
        <stp>3</stp>
        <stp>300615</stp>
        <stp>12/31/2018</stp>
        <stp>2019-11-29</stp>
        <tr r="Q1398" s="1"/>
      </tp>
      <tp>
        <v>0</v>
        <stp/>
        <stp>EM_S_VAL_DIVIDENDYIELD2</stp>
        <stp>3</stp>
        <stp>600645</stp>
        <stp>12/31/2018</stp>
        <stp>2019-11-29</stp>
        <tr r="Q2094" s="1"/>
      </tp>
      <tp>
        <v>1.095890410958904</v>
        <stp/>
        <stp>EM_S_VAL_DIVIDENDYIELD2</stp>
        <stp>3</stp>
        <stp>000635</stp>
        <stp>12/31/2018</stp>
        <stp>2019-11-29</stp>
        <tr r="Q2661" s="1"/>
      </tp>
      <tp>
        <v>0.32760032760032765</v>
        <stp/>
        <stp>EM_S_VAL_DIVIDENDYIELD2</stp>
        <stp>3</stp>
        <stp>300605</stp>
        <stp>12/31/2018</stp>
        <stp>2019-11-29</stp>
        <tr r="Q2903" s="1"/>
      </tp>
      <tp>
        <v>3.6244598230185123</v>
        <stp/>
        <stp>EM_S_VAL_DIVIDENDYIELD2</stp>
        <stp>3</stp>
        <stp>600655</stp>
        <stp>12/31/2018</stp>
        <stp>2019-11-29</stp>
        <tr r="Q2010" s="1"/>
      </tp>
      <tp>
        <v>0.30303030303030304</v>
        <stp/>
        <stp>EM_S_VAL_DIVIDENDYIELD2</stp>
        <stp>3</stp>
        <stp>000605</stp>
        <stp>12/31/2018</stp>
        <stp>2019-11-29</stp>
        <tr r="Q3479" s="1"/>
      </tp>
      <tp>
        <v>0.26744944553163724</v>
        <stp/>
        <stp>EM_S_VAL_DIVIDENDYIELD2</stp>
        <stp>3</stp>
        <stp>300635</stp>
        <stp>12/31/2018</stp>
        <stp>2019-11-29</stp>
        <tr r="Q3011" s="1"/>
      </tp>
      <tp>
        <v>4.3582089552238799</v>
        <stp/>
        <stp>EM_S_VAL_DIVIDENDYIELD2</stp>
        <stp>3</stp>
        <stp>600665</stp>
        <stp>12/31/2018</stp>
        <stp>2019-11-29</stp>
        <tr r="Q2096" s="1"/>
      </tp>
      <tp>
        <v>0</v>
        <stp/>
        <stp>EM_S_VAL_DIVIDENDYIELD2</stp>
        <stp>3</stp>
        <stp>000615</stp>
        <stp>12/31/2018</stp>
        <stp>2019-11-29</stp>
        <tr r="Q3000" s="1"/>
      </tp>
      <tp>
        <v>0.86028905712319337</v>
        <stp/>
        <stp>EM_S_VAL_DIVIDENDYIELD2</stp>
        <stp>3</stp>
        <stp>300625</stp>
        <stp>12/31/2018</stp>
        <stp>2019-11-29</stp>
        <tr r="Q1465" s="1"/>
      </tp>
      <tp>
        <v>3.4562211981566815</v>
        <stp/>
        <stp>EM_S_VAL_DIVIDENDYIELD2</stp>
        <stp>3</stp>
        <stp>600675</stp>
        <stp>12/31/2018</stp>
        <stp>2019-11-29</stp>
        <tr r="Q2967" s="1"/>
      </tp>
      <tp>
        <v>0.86055302644249199</v>
        <stp/>
        <stp>EM_S_VAL_DIVIDENDYIELD2</stp>
        <stp>3</stp>
        <stp>000665</stp>
        <stp>12/31/2018</stp>
        <stp>2019-11-29</stp>
        <tr r="Q3156" s="1"/>
      </tp>
      <tp>
        <v>0.55248618784530379</v>
        <stp/>
        <stp>EM_S_VAL_DIVIDENDYIELD2</stp>
        <stp>3</stp>
        <stp>300655</stp>
        <stp>12/31/2018</stp>
        <stp>2019-11-29</stp>
        <tr r="Q94" s="1"/>
      </tp>
      <tp>
        <v>0.36697247706422015</v>
        <stp/>
        <stp>EM_S_VAL_DIVIDENDYIELD2</stp>
        <stp>3</stp>
        <stp>600605</stp>
        <stp>12/31/2018</stp>
        <stp>2019-11-29</stp>
        <tr r="Q1488" s="1"/>
      </tp>
      <tp>
        <v>0</v>
        <stp/>
        <stp>EM_S_VAL_DIVIDENDYIELD2</stp>
        <stp>3</stp>
        <stp>000675</stp>
        <stp>12/31/2018</stp>
        <stp>2019-11-29</stp>
        <tr r="Q3504" s="1"/>
      </tp>
      <tp>
        <v>0.57836900079145226</v>
        <stp/>
        <stp>EM_S_VAL_DIVIDENDYIELD2</stp>
        <stp>3</stp>
        <stp>300645</stp>
        <stp>12/31/2018</stp>
        <stp>2019-11-29</stp>
        <tr r="Q3374" s="1"/>
      </tp>
      <tp>
        <v>0</v>
        <stp/>
        <stp>EM_S_VAL_DIVIDENDYIELD2</stp>
        <stp>3</stp>
        <stp>600615</stp>
        <stp>12/31/2018</stp>
        <stp>2019-11-29</stp>
        <tr r="Q1631" s="1"/>
      </tp>
      <tp>
        <v>0.45513654096228862</v>
        <stp/>
        <stp>EM_S_VAL_DIVIDENDYIELD2</stp>
        <stp>3</stp>
        <stp>300675</stp>
        <stp>12/31/2018</stp>
        <stp>2019-11-29</stp>
        <tr r="Q3339" s="1"/>
      </tp>
      <tp>
        <v>0</v>
        <stp/>
        <stp>EM_S_VAL_DIVIDENDYIELD2</stp>
        <stp>3</stp>
        <stp>600625</stp>
        <stp>12/31/2018</stp>
        <stp>2019-11-29</stp>
        <tr r="Q2307" s="1"/>
      </tp>
      <tp>
        <v>0</v>
        <stp/>
        <stp>EM_S_VAL_DIVIDENDYIELD2</stp>
        <stp>3</stp>
        <stp>000655</stp>
        <stp>12/31/2018</stp>
        <stp>2019-11-29</stp>
        <tr r="Q3494" s="1"/>
      </tp>
      <tp>
        <v>0.50454086781029261</v>
        <stp/>
        <stp>EM_S_VAL_DIVIDENDYIELD2</stp>
        <stp>3</stp>
        <stp>300665</stp>
        <stp>12/31/2018</stp>
        <stp>2019-11-29</stp>
        <tr r="Q1720" s="1"/>
      </tp>
      <tp>
        <v>1.3245033112582782</v>
        <stp/>
        <stp>EM_S_VAL_DIVIDENDYIELD2</stp>
        <stp>3</stp>
        <stp>600635</stp>
        <stp>12/31/2018</stp>
        <stp>2019-11-29</stp>
        <tr r="Q2147" s="1"/>
      </tp>
      <tp>
        <v>1.8008283810552854</v>
        <stp/>
        <stp>EM_S_VAL_DIVIDENDYIELD2</stp>
        <stp>3</stp>
        <stp>300695</stp>
        <stp>12/31/2018</stp>
        <stp>2019-11-29</stp>
        <tr r="Q1890" s="1"/>
      </tp>
      <tp>
        <v>0.25513819985825659</v>
        <stp/>
        <stp>EM_S_VAL_DIVIDENDYIELD2</stp>
        <stp>3</stp>
        <stp>300685</stp>
        <stp>12/31/2018</stp>
        <stp>2019-11-29</stp>
        <tr r="Q436" s="1"/>
      </tp>
      <tp>
        <v>1.7729591836734691</v>
        <stp/>
        <stp>EM_S_VAL_DIVIDENDYIELD2</stp>
        <stp>3</stp>
        <stp>000685</stp>
        <stp>12/31/2018</stp>
        <stp>2019-11-29</stp>
        <tr r="Q1353" s="1"/>
      </tp>
      <tp>
        <v>0</v>
        <stp/>
        <stp>EM_S_VAL_DIVIDENDYIELD2</stp>
        <stp>3</stp>
        <stp>000695</stp>
        <stp>12/31/2018</stp>
        <stp>2019-11-29</stp>
        <tr r="Q2992" s="1"/>
      </tp>
      <tp>
        <v>0</v>
        <stp/>
        <stp>EM_S_VAL_DIVIDENDYIELD2</stp>
        <stp>3</stp>
        <stp>600685</stp>
        <stp>12/31/2018</stp>
        <stp>2019-11-29</stp>
        <tr r="Q512" s="1"/>
      </tp>
      <tp>
        <v>0</v>
        <stp/>
        <stp>EM_S_VAL_DIVIDENDYIELD2</stp>
        <stp>3</stp>
        <stp>600695</stp>
        <stp>12/31/2018</stp>
        <stp>2019-11-29</stp>
        <tr r="Q307" s="1"/>
      </tp>
      <tp>
        <v>0.76923076923076927</v>
        <stp/>
        <stp>EM_S_VAL_DIVIDENDYIELD2</stp>
        <stp>3</stp>
        <stp>000725</stp>
        <stp>12/31/2018</stp>
        <stp>2019-11-29</stp>
        <tr r="Q291" s="1"/>
      </tp>
      <tp>
        <v>0.22037899753191872</v>
        <stp/>
        <stp>EM_S_VAL_DIVIDENDYIELD2</stp>
        <stp>3</stp>
        <stp>300715</stp>
        <stp>12/31/2018</stp>
        <stp>2019-11-29</stp>
        <tr r="Q1509" s="1"/>
      </tp>
      <tp>
        <v>0</v>
        <stp/>
        <stp>EM_S_VAL_DIVIDENDYIELD2</stp>
        <stp>3</stp>
        <stp>600745</stp>
        <stp>12/31/2018</stp>
        <stp>2019-11-29</stp>
        <tr r="Q24" s="1"/>
      </tp>
      <tp>
        <v>0.21929824561403508</v>
        <stp/>
        <stp>EM_S_VAL_DIVIDENDYIELD2</stp>
        <stp>3</stp>
        <stp>000735</stp>
        <stp>12/31/2018</stp>
        <stp>2019-11-29</stp>
        <tr r="Q3523" s="1"/>
      </tp>
      <tp>
        <v>0.40308747855917665</v>
        <stp/>
        <stp>EM_S_VAL_DIVIDENDYIELD2</stp>
        <stp>3</stp>
        <stp>300705</stp>
        <stp>12/31/2018</stp>
        <stp>2019-11-29</stp>
        <tr r="Q2226" s="1"/>
      </tp>
      <tp>
        <v>3.7975600729405681</v>
        <stp/>
        <stp>EM_S_VAL_DIVIDENDYIELD2</stp>
        <stp>3</stp>
        <stp>600755</stp>
        <stp>12/31/2018</stp>
        <stp>2019-11-29</stp>
        <tr r="Q1998" s="1"/>
      </tp>
      <tp>
        <v>0.48231511254019288</v>
        <stp/>
        <stp>EM_S_VAL_DIVIDENDYIELD2</stp>
        <stp>3</stp>
        <stp>000705</stp>
        <stp>12/31/2018</stp>
        <stp>2019-11-29</stp>
        <tr r="Q1817" s="1"/>
      </tp>
      <tp>
        <v>0.86592581902150378</v>
        <stp/>
        <stp>EM_S_VAL_DIVIDENDYIELD2</stp>
        <stp>3</stp>
        <stp>300735</stp>
        <stp>12/31/2018</stp>
        <stp>2019-11-29</stp>
        <tr r="Q394" s="1"/>
      </tp>
      <tp>
        <v>0.47830923248053392</v>
        <stp/>
        <stp>EM_S_VAL_DIVIDENDYIELD2</stp>
        <stp>3</stp>
        <stp>600765</stp>
        <stp>12/31/2018</stp>
        <stp>2019-11-29</stp>
        <tr r="Q867" s="1"/>
      </tp>
      <tp>
        <v>0.95028805606699529</v>
        <stp/>
        <stp>EM_S_VAL_DIVIDENDYIELD2</stp>
        <stp>3</stp>
        <stp>000715</stp>
        <stp>12/31/2018</stp>
        <stp>2019-11-29</stp>
        <tr r="Q2071" s="1"/>
      </tp>
      <tp>
        <v>0.23860665841743384</v>
        <stp/>
        <stp>EM_S_VAL_DIVIDENDYIELD2</stp>
        <stp>3</stp>
        <stp>300725</stp>
        <stp>12/31/2018</stp>
        <stp>2019-11-29</stp>
        <tr r="Q1231" s="1"/>
      </tp>
      <tp>
        <v>0.83420229405630864</v>
        <stp/>
        <stp>EM_S_VAL_DIVIDENDYIELD2</stp>
        <stp>3</stp>
        <stp>600775</stp>
        <stp>12/31/2018</stp>
        <stp>2019-11-29</stp>
        <tr r="Q1097" s="1"/>
      </tp>
      <tp>
        <v>0</v>
        <stp/>
        <stp>EM_S_VAL_DIVIDENDYIELD2</stp>
        <stp>3</stp>
        <stp>000765</stp>
        <stp>12/31/2018</stp>
        <stp>2019-11-29</stp>
        <tr r="Q3533" s="1"/>
      </tp>
      <tp>
        <v>0</v>
        <stp/>
        <stp>EM_S_VAL_DIVIDENDYIELD2</stp>
        <stp>3</stp>
        <stp>600705</stp>
        <stp>12/31/2018</stp>
        <stp>2019-11-29</stp>
        <tr r="Q1501" s="1"/>
      </tp>
      <tp>
        <v>0.38610038610038611</v>
        <stp/>
        <stp>EM_S_VAL_DIVIDENDYIELD2</stp>
        <stp>3</stp>
        <stp>300745</stp>
        <stp>12/31/2018</stp>
        <stp>2019-11-29</stp>
        <tr r="Q3282" s="1"/>
      </tp>
      <tp>
        <v>0</v>
        <stp/>
        <stp>EM_S_VAL_DIVIDENDYIELD2</stp>
        <stp>3</stp>
        <stp>600715</stp>
        <stp>12/31/2018</stp>
        <stp>2019-11-29</stp>
        <tr r="Q3118" s="1"/>
      </tp>
      <tp>
        <v>0</v>
        <stp/>
        <stp>EM_S_VAL_DIVIDENDYIELD2</stp>
        <stp>3</stp>
        <stp>600725</stp>
        <stp>12/31/2018</stp>
        <stp>2019-11-29</stp>
        <tr r="Q1728" s="1"/>
      </tp>
      <tp>
        <v>0</v>
        <stp/>
        <stp>EM_S_VAL_DIVIDENDYIELD2</stp>
        <stp>3</stp>
        <stp>000755</stp>
        <stp>12/31/2018</stp>
        <stp>2019-11-29</stp>
        <tr r="Q3528" s="1"/>
      </tp>
      <tp>
        <v>0.98705501618122971</v>
        <stp/>
        <stp>EM_S_VAL_DIVIDENDYIELD2</stp>
        <stp>3</stp>
        <stp>600735</stp>
        <stp>12/31/2018</stp>
        <stp>2019-11-29</stp>
        <tr r="Q990" s="1"/>
      </tp>
      <tp>
        <v>0</v>
        <stp/>
        <stp>EM_S_VAL_DIVIDENDYIELD2</stp>
        <stp>3</stp>
        <stp>000785</stp>
        <stp>12/31/2018</stp>
        <stp>2019-11-29</stp>
        <tr r="Q560" s="1"/>
      </tp>
      <tp>
        <v>0</v>
        <stp/>
        <stp>EM_S_VAL_DIVIDENDYIELD2</stp>
        <stp>3</stp>
        <stp>000795</stp>
        <stp>12/31/2018</stp>
        <stp>2019-11-29</stp>
        <tr r="Q292" s="1"/>
      </tp>
      <tp>
        <v>0</v>
        <stp/>
        <stp>EM_S_VAL_DIVIDENDYIELD2</stp>
        <stp>3</stp>
        <stp>600785</stp>
        <stp>12/31/2018</stp>
        <stp>2019-11-29</stp>
        <tr r="Q2709" s="1"/>
      </tp>
      <tp>
        <v>1.7699115044247791</v>
        <stp/>
        <stp>EM_S_VAL_DIVIDENDYIELD2</stp>
        <stp>3</stp>
        <stp>600795</stp>
        <stp>12/31/2018</stp>
        <stp>2019-11-29</stp>
        <tr r="Q2731" s="1"/>
      </tp>
      <tp>
        <v>1.3100436681222707</v>
        <stp/>
        <stp>EM_S_VAL_DIVIDENDYIELD2</stp>
        <stp>3</stp>
        <stp>000425</stp>
        <stp>12/31/2018</stp>
        <stp>2019-11-29</stp>
        <tr r="Q319" s="1"/>
      </tp>
      <tp>
        <v>1.2594458438287155</v>
        <stp/>
        <stp>EM_S_VAL_DIVIDENDYIELD2</stp>
        <stp>3</stp>
        <stp>300415</stp>
        <stp>12/31/2018</stp>
        <stp>2019-11-29</stp>
        <tr r="Q374" s="1"/>
      </tp>
      <tp>
        <v>0</v>
        <stp/>
        <stp>EM_S_VAL_DIVIDENDYIELD2</stp>
        <stp>3</stp>
        <stp>300405</stp>
        <stp>12/31/2018</stp>
        <stp>2019-11-29</stp>
        <tr r="Q2766" s="1"/>
      </tp>
      <tp>
        <v>0</v>
        <stp/>
        <stp>EM_S_VAL_DIVIDENDYIELD2</stp>
        <stp>3</stp>
        <stp>600455</stp>
        <stp>12/31/2018</stp>
        <stp>2019-11-29</stp>
        <tr r="Q440" s="1"/>
      </tp>
      <tp>
        <v>0</v>
        <stp/>
        <stp>EM_S_VAL_DIVIDENDYIELD2</stp>
        <stp>3</stp>
        <stp>000405</stp>
        <stp>12/31/2018</stp>
        <stp>2019-11-29</stp>
        <tr r="Q3416" s="1"/>
      </tp>
      <tp>
        <v>0.33161191736008211</v>
        <stp/>
        <stp>EM_S_VAL_DIVIDENDYIELD2</stp>
        <stp>3</stp>
        <stp>300435</stp>
        <stp>12/31/2018</stp>
        <stp>2019-11-29</stp>
        <tr r="Q1794" s="1"/>
      </tp>
      <tp>
        <v>0</v>
        <stp/>
        <stp>EM_S_VAL_DIVIDENDYIELD2</stp>
        <stp>3</stp>
        <stp>000415</stp>
        <stp>12/31/2018</stp>
        <stp>2019-11-29</stp>
        <tr r="Q2000" s="1"/>
      </tp>
      <tp>
        <v>1.1530622119815668</v>
        <stp/>
        <stp>EM_S_VAL_DIVIDENDYIELD2</stp>
        <stp>3</stp>
        <stp>300425</stp>
        <stp>12/31/2018</stp>
        <stp>2019-11-29</stp>
        <tr r="Q2401" s="1"/>
      </tp>
      <tp>
        <v>2.4185068349106205</v>
        <stp/>
        <stp>EM_S_VAL_DIVIDENDYIELD2</stp>
        <stp>3</stp>
        <stp>600475</stp>
        <stp>12/31/2018</stp>
        <stp>2019-11-29</stp>
        <tr r="Q1220" s="1"/>
      </tp>
      <tp>
        <v>0.46877818059377213</v>
        <stp/>
        <stp>EM_S_VAL_DIVIDENDYIELD2</stp>
        <stp>3</stp>
        <stp>300455</stp>
        <stp>12/31/2018</stp>
        <stp>2019-11-29</stp>
        <tr r="Q388" s="1"/>
      </tp>
      <tp>
        <v>0</v>
        <stp/>
        <stp>EM_S_VAL_DIVIDENDYIELD2</stp>
        <stp>3</stp>
        <stp>600405</stp>
        <stp>12/31/2018</stp>
        <stp>2019-11-29</stp>
        <tr r="Q1472" s="1"/>
      </tp>
      <tp>
        <v>1.0252904989747096</v>
        <stp/>
        <stp>EM_S_VAL_DIVIDENDYIELD2</stp>
        <stp>3</stp>
        <stp>300445</stp>
        <stp>12/31/2018</stp>
        <stp>2019-11-29</stp>
        <tr r="Q314" s="1"/>
      </tp>
      <tp>
        <v>1.5748031496062991</v>
        <stp/>
        <stp>EM_S_VAL_DIVIDENDYIELD2</stp>
        <stp>3</stp>
        <stp>600415</stp>
        <stp>12/31/2018</stp>
        <stp>2019-11-29</stp>
        <tr r="Q1685" s="1"/>
      </tp>
      <tp>
        <v>0.21505376344086025</v>
        <stp/>
        <stp>EM_S_VAL_DIVIDENDYIELD2</stp>
        <stp>3</stp>
        <stp>300475</stp>
        <stp>12/31/2018</stp>
        <stp>2019-11-29</stp>
        <tr r="Q864" s="1"/>
      </tp>
      <tp>
        <v>0</v>
        <stp/>
        <stp>EM_S_VAL_DIVIDENDYIELD2</stp>
        <stp>3</stp>
        <stp>600425</stp>
        <stp>12/31/2018</stp>
        <stp>2019-11-29</stp>
        <tr r="Q935" s="1"/>
      </tp>
      <tp>
        <v>0.40748482580503065</v>
        <stp/>
        <stp>EM_S_VAL_DIVIDENDYIELD2</stp>
        <stp>3</stp>
        <stp>300465</stp>
        <stp>12/31/2018</stp>
        <stp>2019-11-29</stp>
        <tr r="Q477" s="1"/>
      </tp>
      <tp>
        <v>0</v>
        <stp/>
        <stp>EM_S_VAL_DIVIDENDYIELD2</stp>
        <stp>3</stp>
        <stp>600435</stp>
        <stp>12/31/2018</stp>
        <stp>2019-11-29</stp>
        <tr r="Q1564" s="1"/>
      </tp>
      <tp>
        <v>0.91575091575091561</v>
        <stp/>
        <stp>EM_S_VAL_DIVIDENDYIELD2</stp>
        <stp>3</stp>
        <stp>300495</stp>
        <stp>12/31/2018</stp>
        <stp>2019-11-29</stp>
        <tr r="Q2945" s="1"/>
      </tp>
      <tp>
        <v>1.4457831325301205</v>
        <stp/>
        <stp>EM_S_VAL_DIVIDENDYIELD2</stp>
        <stp>3</stp>
        <stp>300485</stp>
        <stp>12/31/2018</stp>
        <stp>2019-11-29</stp>
        <tr r="Q2810" s="1"/>
      </tp>
      <tp>
        <v>0</v>
        <stp/>
        <stp>EM_S_VAL_DIVIDENDYIELD2</stp>
        <stp>3</stp>
        <stp>600485</stp>
        <stp>12/31/2018</stp>
        <stp>2019-11-29</stp>
        <tr r="Q3405" s="1"/>
      </tp>
      <tp>
        <v>0.29339853300733498</v>
        <stp/>
        <stp>EM_S_VAL_DIVIDENDYIELD2</stp>
        <stp>3</stp>
        <stp>600495</stp>
        <stp>12/31/2018</stp>
        <stp>2019-11-29</stp>
        <tr r="Q2218" s="1"/>
      </tp>
      <tp>
        <v>1.8359853121175032</v>
        <stp/>
        <stp>EM_S_VAL_DIVIDENDYIELD2</stp>
        <stp>3</stp>
        <stp>000525</stp>
        <stp>12/31/2018</stp>
        <stp>2019-11-29</stp>
        <tr r="Q3231" s="1"/>
      </tp>
      <tp>
        <v>1.1086474501108647</v>
        <stp/>
        <stp>EM_S_VAL_DIVIDENDYIELD2</stp>
        <stp>3</stp>
        <stp>300515</stp>
        <stp>12/31/2018</stp>
        <stp>2019-11-29</stp>
        <tr r="Q1615" s="1"/>
      </tp>
      <tp>
        <v>2.1731092436974788</v>
        <stp/>
        <stp>EM_S_VAL_DIVIDENDYIELD2</stp>
        <stp>3</stp>
        <stp>600545</stp>
        <stp>12/31/2018</stp>
        <stp>2019-11-29</stp>
        <tr r="Q3035" s="1"/>
      </tp>
      <tp>
        <v>0</v>
        <stp/>
        <stp>EM_S_VAL_DIVIDENDYIELD2</stp>
        <stp>3</stp>
        <stp>000535</stp>
        <stp>12/31/2018</stp>
        <stp>2019-11-29</stp>
        <tr r="Q3446" s="1"/>
      </tp>
      <tp>
        <v>0.65789473684210509</v>
        <stp/>
        <stp>EM_S_VAL_DIVIDENDYIELD2</stp>
        <stp>3</stp>
        <stp>300505</stp>
        <stp>12/31/2018</stp>
        <stp>2019-11-29</stp>
        <tr r="Q2103" s="1"/>
      </tp>
      <tp>
        <v>0</v>
        <stp/>
        <stp>EM_S_VAL_DIVIDENDYIELD2</stp>
        <stp>3</stp>
        <stp>600555</stp>
        <stp>12/31/2018</stp>
        <stp>2019-11-29</stp>
        <tr r="Q3045" s="1"/>
      </tp>
      <tp>
        <v>0</v>
        <stp/>
        <stp>EM_S_VAL_DIVIDENDYIELD2</stp>
        <stp>3</stp>
        <stp>000505</stp>
        <stp>12/31/2018</stp>
        <stp>2019-11-29</stp>
        <tr r="Q3432" s="1"/>
      </tp>
      <tp>
        <v>0.76388315629742043</v>
        <stp/>
        <stp>EM_S_VAL_DIVIDENDYIELD2</stp>
        <stp>3</stp>
        <stp>300535</stp>
        <stp>12/31/2018</stp>
        <stp>2019-11-29</stp>
        <tr r="Q1948" s="1"/>
      </tp>
      <tp>
        <v>8.8680344080876399</v>
        <stp/>
        <stp>EM_S_VAL_DIVIDENDYIELD2</stp>
        <stp>3</stp>
        <stp>600565</stp>
        <stp>12/31/2018</stp>
        <stp>2019-11-29</stp>
        <tr r="Q845" s="1"/>
      </tp>
      <tp>
        <v>0</v>
        <stp/>
        <stp>EM_S_VAL_DIVIDENDYIELD2</stp>
        <stp>3</stp>
        <stp>000515</stp>
        <stp>12/31/2018</stp>
        <stp>2019-11-29</stp>
        <tr r="Q3438" s="1"/>
      </tp>
      <tp>
        <v>0.36976437240333954</v>
        <stp/>
        <stp>EM_S_VAL_DIVIDENDYIELD2</stp>
        <stp>3</stp>
        <stp>300525</stp>
        <stp>12/31/2018</stp>
        <stp>2019-11-29</stp>
        <tr r="Q381" s="1"/>
      </tp>
      <tp>
        <v>0</v>
        <stp/>
        <stp>EM_S_VAL_DIVIDENDYIELD2</stp>
        <stp>3</stp>
        <stp>600575</stp>
        <stp>12/31/2018</stp>
        <stp>2019-11-29</stp>
        <tr r="Q1229" s="1"/>
      </tp>
      <tp>
        <v>0.26694045174537989</v>
        <stp/>
        <stp>EM_S_VAL_DIVIDENDYIELD2</stp>
        <stp>3</stp>
        <stp>000565</stp>
        <stp>12/31/2018</stp>
        <stp>2019-11-29</stp>
        <tr r="Q3458" s="1"/>
      </tp>
      <tp>
        <v>0</v>
        <stp/>
        <stp>EM_S_VAL_DIVIDENDYIELD2</stp>
        <stp>3</stp>
        <stp>300555</stp>
        <stp>12/31/2018</stp>
        <stp>2019-11-29</stp>
        <tr r="Q1438" s="1"/>
      </tp>
      <tp>
        <v>0.58492688413948257</v>
        <stp/>
        <stp>EM_S_VAL_DIVIDENDYIELD2</stp>
        <stp>3</stp>
        <stp>600505</stp>
        <stp>12/31/2018</stp>
        <stp>2019-11-29</stp>
        <tr r="Q146" s="1"/>
      </tp>
      <tp>
        <v>0.40429012087394761</v>
        <stp/>
        <stp>EM_S_VAL_DIVIDENDYIELD2</stp>
        <stp>3</stp>
        <stp>300545</stp>
        <stp>12/31/2018</stp>
        <stp>2019-11-29</stp>
        <tr r="Q1071" s="1"/>
      </tp>
      <tp>
        <v>0</v>
        <stp/>
        <stp>EM_S_VAL_DIVIDENDYIELD2</stp>
        <stp>3</stp>
        <stp>600515</stp>
        <stp>12/31/2018</stp>
        <stp>2019-11-29</stp>
        <tr r="Q2485" s="1"/>
      </tp>
      <tp>
        <v>0</v>
        <stp/>
        <stp>EM_S_VAL_DIVIDENDYIELD2</stp>
        <stp>3</stp>
        <stp>000545</stp>
        <stp>12/31/2018</stp>
        <stp>2019-11-29</stp>
        <tr r="Q2486" s="1"/>
      </tp>
      <tp>
        <v>1.4964459408903852</v>
        <stp/>
        <stp>EM_S_VAL_DIVIDENDYIELD2</stp>
        <stp>3</stp>
        <stp>300575</stp>
        <stp>12/31/2018</stp>
        <stp>2019-11-29</stp>
        <tr r="Q3269" s="1"/>
      </tp>
      <tp>
        <v>0</v>
        <stp/>
        <stp>EM_S_VAL_DIVIDENDYIELD2</stp>
        <stp>3</stp>
        <stp>600525</stp>
        <stp>12/31/2018</stp>
        <stp>2019-11-29</stp>
        <tr r="Q831" s="1"/>
      </tp>
      <tp>
        <v>0.28671060507877699</v>
        <stp/>
        <stp>EM_S_VAL_DIVIDENDYIELD2</stp>
        <stp>3</stp>
        <stp>000555</stp>
        <stp>12/31/2018</stp>
        <stp>2019-11-29</stp>
        <tr r="Q519" s="1"/>
      </tp>
      <tp>
        <v>0</v>
        <stp/>
        <stp>EM_S_VAL_DIVIDENDYIELD2</stp>
        <stp>3</stp>
        <stp>300565</stp>
        <stp>12/31/2018</stp>
        <stp>2019-11-29</stp>
        <tr r="Q3141" s="1"/>
      </tp>
      <tp>
        <v>1.9659239842726079</v>
        <stp/>
        <stp>EM_S_VAL_DIVIDENDYIELD2</stp>
        <stp>3</stp>
        <stp>600535</stp>
        <stp>12/31/2018</stp>
        <stp>2019-11-29</stp>
        <tr r="Q3081" s="1"/>
      </tp>
      <tp>
        <v>0.1600365801066696</v>
        <stp/>
        <stp>EM_S_VAL_DIVIDENDYIELD2</stp>
        <stp>3</stp>
        <stp>300595</stp>
        <stp>12/31/2018</stp>
        <stp>2019-11-29</stp>
        <tr r="Q1286" s="1"/>
      </tp>
      <tp>
        <v>0</v>
        <stp/>
        <stp>EM_S_VAL_DIVIDENDYIELD2</stp>
        <stp>3</stp>
        <stp>300585</stp>
        <stp>12/31/2018</stp>
        <stp>2019-11-29</stp>
        <tr r="Q290" s="1"/>
      </tp>
      <tp>
        <v>0</v>
        <stp/>
        <stp>EM_S_VAL_DIVIDENDYIELD2</stp>
        <stp>3</stp>
        <stp>000585</stp>
        <stp>12/31/2018</stp>
        <stp>2019-11-29</stp>
        <tr r="Q3467" s="1"/>
      </tp>
      <tp>
        <v>0</v>
        <stp/>
        <stp>EM_S_VAL_DIVIDENDYIELD2</stp>
        <stp>3</stp>
        <stp>000595</stp>
        <stp>12/31/2018</stp>
        <stp>2019-11-29</stp>
        <tr r="Q3475" s="1"/>
      </tp>
      <tp>
        <v>3.6899563318777293</v>
        <stp/>
        <stp>EM_S_VAL_DIVIDENDYIELD2</stp>
        <stp>3</stp>
        <stp>600585</stp>
        <stp>12/31/2018</stp>
        <stp>2019-11-29</stp>
        <tr r="Q248" s="1"/>
      </tp>
      <tp>
        <v>0</v>
        <stp/>
        <stp>EM_S_VAL_DIVIDENDYIELD2</stp>
        <stp>3</stp>
        <stp>600595</stp>
        <stp>12/31/2018</stp>
        <stp>2019-11-29</stp>
        <tr r="Q1620" s="1"/>
      </tp>
      <tp>
        <v>2.5445292620865141</v>
        <stp/>
        <stp>EM_S_VAL_DIVIDENDYIELD2</stp>
        <stp>3</stp>
        <stp>000825</stp>
        <stp>12/31/2018</stp>
        <stp>2019-11-29</stp>
        <tr r="Q2407" s="1"/>
      </tp>
      <tp>
        <v>0.85074161487100286</v>
        <stp/>
        <stp>EM_S_VAL_DIVIDENDYIELD2</stp>
        <stp>3</stp>
        <stp>600845</stp>
        <stp>12/31/2018</stp>
        <stp>2019-11-29</stp>
        <tr r="Q442" s="1"/>
      </tp>
      <tp>
        <v>0</v>
        <stp/>
        <stp>EM_S_VAL_DIVIDENDYIELD2</stp>
        <stp>3</stp>
        <stp>000835</stp>
        <stp>12/31/2018</stp>
        <stp>2019-11-29</stp>
        <tr r="Q3553" s="1"/>
      </tp>
      <tp>
        <v>0.54918609321756429</v>
        <stp/>
        <stp>EM_S_VAL_DIVIDENDYIELD2</stp>
        <stp>3</stp>
        <stp>600855</stp>
        <stp>12/31/2018</stp>
        <stp>2019-11-29</stp>
        <tr r="Q817" s="1"/>
      </tp>
      <tp>
        <v>0</v>
        <stp/>
        <stp>EM_S_VAL_DIVIDENDYIELD2</stp>
        <stp>3</stp>
        <stp>000805</stp>
        <stp>12/31/2018</stp>
        <stp>2019-11-29</stp>
        <tr r="Q3544" s="1"/>
      </tp>
      <tp>
        <v>3.3333333333333335</v>
        <stp/>
        <stp>EM_S_VAL_DIVIDENDYIELD2</stp>
        <stp>3</stp>
        <stp>600865</stp>
        <stp>12/31/2018</stp>
        <stp>2019-11-29</stp>
        <tr r="Q1563" s="1"/>
      </tp>
      <tp>
        <v>0</v>
        <stp/>
        <stp>EM_S_VAL_DIVIDENDYIELD2</stp>
        <stp>3</stp>
        <stp>000815</stp>
        <stp>12/31/2018</stp>
        <stp>2019-11-29</stp>
        <tr r="Q2186" s="1"/>
      </tp>
      <tp>
        <v>1.2373453318335208</v>
        <stp/>
        <stp>EM_S_VAL_DIVIDENDYIELD2</stp>
        <stp>3</stp>
        <stp>600875</stp>
        <stp>12/31/2018</stp>
        <stp>2019-11-29</stp>
        <tr r="Q1425" s="1"/>
      </tp>
      <tp>
        <v>0</v>
        <stp/>
        <stp>EM_S_VAL_DIVIDENDYIELD2</stp>
        <stp>3</stp>
        <stp>600805</stp>
        <stp>12/31/2018</stp>
        <stp>2019-11-29</stp>
        <tr r="Q1762" s="1"/>
      </tp>
      <tp>
        <v>0</v>
        <stp/>
        <stp>EM_S_VAL_DIVIDENDYIELD2</stp>
        <stp>3</stp>
        <stp>000875</stp>
        <stp>12/31/2018</stp>
        <stp>2019-11-29</stp>
        <tr r="Q1036" s="1"/>
      </tp>
      <tp>
        <v>0</v>
        <stp/>
        <stp>EM_S_VAL_DIVIDENDYIELD2</stp>
        <stp>3</stp>
        <stp>600815</stp>
        <stp>12/31/2018</stp>
        <stp>2019-11-29</stp>
        <tr r="Q2476" s="1"/>
      </tp>
      <tp>
        <v>0.19646365422396855</v>
        <stp/>
        <stp>EM_S_VAL_DIVIDENDYIELD2</stp>
        <stp>3</stp>
        <stp>600825</stp>
        <stp>12/31/2018</stp>
        <stp>2019-11-29</stp>
        <tr r="Q1333" s="1"/>
      </tp>
      <tp>
        <v>2.8985507246376816</v>
        <stp/>
        <stp>EM_S_VAL_DIVIDENDYIELD2</stp>
        <stp>3</stp>
        <stp>600835</stp>
        <stp>12/31/2018</stp>
        <stp>2019-11-29</stp>
        <tr r="Q1537" s="1"/>
      </tp>
      <tp>
        <v>2.2526934378060721</v>
        <stp/>
        <stp>EM_S_VAL_DIVIDENDYIELD2</stp>
        <stp>3</stp>
        <stp>000885</stp>
        <stp>12/31/2018</stp>
        <stp>2019-11-29</stp>
        <tr r="Q3561" s="1"/>
      </tp>
      <tp>
        <v>1.7642200027002168</v>
        <stp/>
        <stp>EM_S_VAL_DIVIDENDYIELD2</stp>
        <stp>3</stp>
        <stp>000895</stp>
        <stp>12/31/2018</stp>
        <stp>2019-11-29</stp>
        <tr r="Q3567" s="1"/>
      </tp>
      <tp>
        <v>0.99896658629004453</v>
        <stp/>
        <stp>EM_S_VAL_DIVIDENDYIELD2</stp>
        <stp>3</stp>
        <stp>600885</stp>
        <stp>12/31/2018</stp>
        <stp>2019-11-29</stp>
        <tr r="Q497" s="1"/>
      </tp>
      <tp>
        <v>0.77355836849507753</v>
        <stp/>
        <stp>EM_S_VAL_DIVIDENDYIELD2</stp>
        <stp>3</stp>
        <stp>600895</stp>
        <stp>12/31/2018</stp>
        <stp>2019-11-29</stp>
        <tr r="Q2139" s="1"/>
      </tp>
      <tp>
        <v>0</v>
        <stp/>
        <stp>EM_S_VAL_DIVIDENDYIELD2</stp>
        <stp>3</stp>
        <stp>000925</stp>
        <stp>12/31/2018</stp>
        <stp>2019-11-29</stp>
        <tr r="Q1523" s="1"/>
      </tp>
      <tp>
        <v>0</v>
        <stp/>
        <stp>EM_S_VAL_DIVIDENDYIELD2</stp>
        <stp>3</stp>
        <stp>000935</stp>
        <stp>12/31/2018</stp>
        <stp>2019-11-29</stp>
        <tr r="Q3582" s="1"/>
      </tp>
      <tp>
        <v>0.14556040756914121</v>
        <stp/>
        <stp>EM_S_VAL_DIVIDENDYIELD2</stp>
        <stp>3</stp>
        <stp>000905</stp>
        <stp>12/31/2018</stp>
        <stp>2019-11-29</stp>
        <tr r="Q3570" s="1"/>
      </tp>
      <tp>
        <v>2.1367521367521363</v>
        <stp/>
        <stp>EM_S_VAL_DIVIDENDYIELD2</stp>
        <stp>3</stp>
        <stp>600965</stp>
        <stp>12/31/2018</stp>
        <stp>2019-11-29</stp>
        <tr r="Q3222" s="1"/>
      </tp>
      <tp>
        <v>1.4591439688715953</v>
        <stp/>
        <stp>EM_S_VAL_DIVIDENDYIELD2</stp>
        <stp>3</stp>
        <stp>000915</stp>
        <stp>12/31/2018</stp>
        <stp>2019-11-29</stp>
        <tr r="Q3573" s="1"/>
      </tp>
      <tp>
        <v>0</v>
        <stp/>
        <stp>EM_S_VAL_DIVIDENDYIELD2</stp>
        <stp>3</stp>
        <stp>600975</stp>
        <stp>12/31/2018</stp>
        <stp>2019-11-29</stp>
        <tr r="Q106" s="1"/>
      </tp>
      <tp>
        <v>2.6732673267326734</v>
        <stp/>
        <stp>EM_S_VAL_DIVIDENDYIELD2</stp>
        <stp>3</stp>
        <stp>000965</stp>
        <stp>12/31/2018</stp>
        <stp>2019-11-29</stp>
        <tr r="Q3017" s="1"/>
      </tp>
      <tp>
        <v>1.6570008285004143</v>
        <stp/>
        <stp>EM_S_VAL_DIVIDENDYIELD2</stp>
        <stp>3</stp>
        <stp>000975</stp>
        <stp>12/31/2018</stp>
        <stp>2019-11-29</stp>
        <tr r="Q930" s="1"/>
      </tp>
      <tp>
        <v>0</v>
        <stp/>
        <stp>EM_S_VAL_DIVIDENDYIELD2</stp>
        <stp>3</stp>
        <stp>000955</stp>
        <stp>12/31/2018</stp>
        <stp>2019-11-29</stp>
        <tr r="Q3585" s="1"/>
      </tp>
      <tp>
        <v>0</v>
        <stp/>
        <stp>EM_S_VAL_DIVIDENDYIELD2</stp>
        <stp>3</stp>
        <stp>000985</stp>
        <stp>12/31/2018</stp>
        <stp>2019-11-29</stp>
        <tr r="Q3596" s="1"/>
      </tp>
      <tp>
        <v>0</v>
        <stp/>
        <stp>EM_S_VAL_DIVIDENDYIELD2</stp>
        <stp>3</stp>
        <stp>000995</stp>
        <stp>12/31/2018</stp>
        <stp>2019-11-29</stp>
        <tr r="Q3601" s="1"/>
      </tp>
      <tp>
        <v>5.5248618784530388</v>
        <stp/>
        <stp>EM_S_VAL_DIVIDENDYIELD2</stp>
        <stp>3</stp>
        <stp>600985</stp>
        <stp>12/31/2018</stp>
        <stp>2019-11-29</stp>
        <tr r="Q1841" s="1"/>
      </tp>
      <tp>
        <v>2.7063599458728009</v>
        <stp/>
        <stp>EM_S_VAL_DIVIDENDYIELD2</stp>
        <stp>3</stp>
        <stp>600995</stp>
        <stp>12/31/2018</stp>
        <stp>2019-11-29</stp>
        <tr r="Q1373" s="1"/>
      </tp>
      <tp>
        <v>3.8915094339622631</v>
        <stp/>
        <stp>EM_S_VAL_DIVIDENDYIELD2</stp>
        <stp>3</stp>
        <stp>601225</stp>
        <stp>12/31/2018</stp>
        <stp>2019-11-29</stp>
        <tr r="Q1210" s="1"/>
      </tp>
      <tp>
        <v>0</v>
        <stp/>
        <stp>EM_S_VAL_DIVIDENDYIELD2</stp>
        <stp>3</stp>
        <stp>601375</stp>
        <stp>12/31/2018</stp>
        <stp>2019-11-29</stp>
        <tr r="Q1087" s="1"/>
      </tp>
      <tp>
        <v>0</v>
        <stp/>
        <stp>EM_S_VAL_DIVIDENDYIELD2</stp>
        <stp>3</stp>
        <stp>601005</stp>
        <stp>12/31/2018</stp>
        <stp>2019-11-29</stp>
        <tr r="Q2547" s="1"/>
      </tp>
      <tp>
        <v>1.2693577050012694</v>
        <stp/>
        <stp>EM_S_VAL_DIVIDENDYIELD2</stp>
        <stp>3</stp>
        <stp>601015</stp>
        <stp>12/31/2018</stp>
        <stp>2019-11-29</stp>
        <tr r="Q3317" s="1"/>
      </tp>
      <tp>
        <v>4.5941807044410412</v>
        <stp/>
        <stp>EM_S_VAL_DIVIDENDYIELD2</stp>
        <stp>3</stp>
        <stp>601155</stp>
        <stp>12/31/2018</stp>
        <stp>2019-11-29</stp>
        <tr r="Q397" s="1"/>
      </tp>
      <tp>
        <v>1.0550996483001172</v>
        <stp/>
        <stp>EM_S_VAL_DIVIDENDYIELD2</stp>
        <stp>3</stp>
        <stp>601555</stp>
        <stp>12/31/2018</stp>
        <stp>2019-11-29</stp>
        <tr r="Q582" s="1"/>
      </tp>
      <tp>
        <v>6.4699792960662528</v>
        <stp/>
        <stp>EM_S_VAL_DIVIDENDYIELD2</stp>
        <stp>3</stp>
        <stp>601515</stp>
        <stp>12/31/2018</stp>
        <stp>2019-11-29</stp>
        <tr r="Q2559" s="1"/>
      </tp>
      <tp>
        <v>1.7280240420736288</v>
        <stp/>
        <stp>EM_S_VAL_DIVIDENDYIELD2</stp>
        <stp>3</stp>
        <stp>601595</stp>
        <stp>12/31/2018</stp>
        <stp>2019-11-29</stp>
        <tr r="Q1270" s="1"/>
      </tp>
      <tp>
        <v>3.5161744022503516</v>
        <stp/>
        <stp>EM_S_VAL_DIVIDENDYIELD2</stp>
        <stp>3</stp>
        <stp>601965</stp>
        <stp>12/31/2018</stp>
        <stp>2019-11-29</stp>
        <tr r="Q1351" s="1"/>
      </tp>
      <tp>
        <v>3.1474591894114181</v>
        <stp/>
        <stp>EM_S_VAL_DIVIDENDYIELD2</stp>
        <stp>3</stp>
        <stp>001965</stp>
        <stp>12/31/2018</stp>
        <stp>2019-11-29</stp>
        <tr r="Q1808" s="1"/>
      </tp>
      <tp>
        <v>2.4691358024691357</v>
        <stp/>
        <stp>EM_S_VAL_DIVIDENDYIELD2</stp>
        <stp>3</stp>
        <stp>601985</stp>
        <stp>12/31/2018</stp>
        <stp>2019-11-29</stp>
        <tr r="Q2565" s="1"/>
      </tp>
      <tp>
        <v>0</v>
        <stp/>
        <stp>EM_S_INFO_INDEX_EM</stp>
        <stp>2</stp>
        <stp>601299</stp>
        <stp>1</stp>
        <tr r="D2336" s="1"/>
      </tp>
      <tp t="s">
        <v>金融</v>
        <stp/>
        <stp>EM_S_INFO_INDEX_EM</stp>
        <stp>2</stp>
        <stp>601229</stp>
        <stp>1</stp>
        <tr r="D2929" s="1"/>
      </tp>
      <tp t="s">
        <v>机械设备</v>
        <stp/>
        <stp>EM_S_INFO_INDEX_EM</stp>
        <stp>2</stp>
        <stp>601369</stp>
        <stp>1</stp>
        <tr r="D1777" s="1"/>
      </tp>
      <tp t="s">
        <v>纺织服装</v>
        <stp/>
        <stp>EM_S_INFO_INDEX_EM</stp>
        <stp>2</stp>
        <stp>601339</stp>
        <stp>1</stp>
        <tr r="D3196" s="1"/>
      </tp>
      <tp t="s">
        <v>金融</v>
        <stp/>
        <stp>EM_S_INFO_INDEX_EM</stp>
        <stp>2</stp>
        <stp>601099</stp>
        <stp>1</stp>
        <tr r="D526" s="1"/>
      </tp>
      <tp t="s">
        <v>有色金属</v>
        <stp/>
        <stp>EM_S_INFO_INDEX_EM</stp>
        <stp>2</stp>
        <stp>601069</stp>
        <stp>1</stp>
        <tr r="D2244" s="1"/>
      </tp>
      <tp t="s">
        <v>金融</v>
        <stp/>
        <stp>EM_S_INFO_INDEX_EM</stp>
        <stp>2</stp>
        <stp>601009</stp>
        <stp>1</stp>
        <tr r="D813" s="1"/>
      </tp>
      <tp t="s">
        <v>文化传媒</v>
        <stp/>
        <stp>EM_S_INFO_INDEX_EM</stp>
        <stp>2</stp>
        <stp>601019</stp>
        <stp>1</stp>
        <tr r="D2814" s="1"/>
      </tp>
      <tp t="s">
        <v>公用事业</v>
        <stp/>
        <stp>EM_S_INFO_INDEX_EM</stp>
        <stp>2</stp>
        <stp>601199</stp>
        <stp>1</stp>
        <tr r="D1924" s="1"/>
      </tp>
      <tp t="s">
        <v>金融</v>
        <stp/>
        <stp>EM_S_INFO_INDEX_EM</stp>
        <stp>2</stp>
        <stp>601169</stp>
        <stp>1</stp>
        <tr r="D2223" s="1"/>
      </tp>
      <tp t="s">
        <v>电气设备</v>
        <stp/>
        <stp>EM_S_INFO_INDEX_EM</stp>
        <stp>2</stp>
        <stp>601179</stp>
        <stp>1</stp>
        <tr r="D1813" s="1"/>
      </tp>
      <tp t="s">
        <v>公用事业</v>
        <stp/>
        <stp>EM_S_INFO_INDEX_EM</stp>
        <stp>2</stp>
        <stp>601139</stp>
        <stp>1</stp>
        <tr r="D649" s="1"/>
      </tp>
      <tp t="s">
        <v>交运设备</v>
        <stp/>
        <stp>EM_S_INFO_INDEX_EM</stp>
        <stp>2</stp>
        <stp>601689</stp>
        <stp>1</stp>
        <tr r="D1375" s="1"/>
      </tp>
      <tp t="s">
        <v>化石能源</v>
        <stp/>
        <stp>EM_S_INFO_INDEX_EM</stp>
        <stp>2</stp>
        <stp>601699</stp>
        <stp>1</stp>
        <tr r="D1809" s="1"/>
      </tp>
      <tp t="s">
        <v>建筑</v>
        <stp/>
        <stp>EM_S_INFO_INDEX_EM</stp>
        <stp>2</stp>
        <stp>601669</stp>
        <stp>1</stp>
        <tr r="D2887" s="1"/>
      </tp>
      <tp t="s">
        <v>公用事业</v>
        <stp/>
        <stp>EM_S_INFO_INDEX_EM</stp>
        <stp>2</stp>
        <stp>601619</stp>
        <stp>1</stp>
        <tr r="D3015" s="1"/>
      </tp>
      <tp t="s">
        <v>建筑</v>
        <stp/>
        <stp>EM_S_INFO_INDEX_EM</stp>
        <stp>2</stp>
        <stp>601789</stp>
        <stp>1</stp>
        <tr r="D1262" s="1"/>
      </tp>
      <tp t="s">
        <v>交运设备</v>
        <stp/>
        <stp>EM_S_INFO_INDEX_EM</stp>
        <stp>2</stp>
        <stp>601799</stp>
        <stp>1</stp>
        <tr r="D166" s="1"/>
      </tp>
      <tp t="s">
        <v>纺织服装</v>
        <stp/>
        <stp>EM_S_INFO_INDEX_EM</stp>
        <stp>2</stp>
        <stp>601599</stp>
        <stp>1</stp>
        <tr r="D1857" s="1"/>
      </tp>
      <tp t="s">
        <v>食品饮料</v>
        <stp/>
        <stp>EM_S_INFO_INDEX_EM</stp>
        <stp>2</stp>
        <stp>601579</stp>
        <stp>1</stp>
        <tr r="D2532" s="1"/>
      </tp>
      <tp t="s">
        <v>信息技术</v>
        <stp/>
        <stp>EM_S_INFO_INDEX_EM</stp>
        <stp>2</stp>
        <stp>601519</stp>
        <stp>1</stp>
        <tr r="D99" s="1"/>
      </tp>
      <tp t="s">
        <v>有色金属</v>
        <stp/>
        <stp>EM_S_INFO_INDEX_EM</stp>
        <stp>2</stp>
        <stp>601899</stp>
        <stp>1</stp>
        <tr r="D838" s="1"/>
      </tp>
      <tp t="s">
        <v>国防与装备</v>
        <stp/>
        <stp>EM_S_INFO_INDEX_EM</stp>
        <stp>2</stp>
        <stp>601989</stp>
        <stp>1</stp>
        <tr r="D1155" s="1"/>
      </tp>
      <tp t="s">
        <v>文化传媒</v>
        <stp/>
        <stp>EM_S_INFO_INDEX_EM</stp>
        <stp>2</stp>
        <stp>601999</stp>
        <stp>1</stp>
        <tr r="D1305" s="1"/>
      </tp>
      <tp t="s">
        <v>钢铁</v>
        <stp/>
        <stp>EM_S_INFO_INDEX_EM</stp>
        <stp>2</stp>
        <stp>601969</stp>
        <stp>1</stp>
        <tr r="D915" s="1"/>
      </tp>
      <tp t="s">
        <v>文化传媒</v>
        <stp/>
        <stp>EM_S_INFO_INDEX_EM</stp>
        <stp>2</stp>
        <stp>601949</stp>
        <stp>1</stp>
        <tr r="D681" s="1"/>
      </tp>
      <tp t="s">
        <v>文化传媒</v>
        <stp/>
        <stp>EM_S_INFO_INDEX_EM</stp>
        <stp>2</stp>
        <stp>601929</stp>
        <stp>1</stp>
        <tr r="D2062" s="1"/>
      </tp>
      <tp t="s">
        <v>金融</v>
        <stp/>
        <stp>EM_S_INFO_INDEX_EM</stp>
        <stp>2</stp>
        <stp>601939</stp>
        <stp>1</stp>
        <tr r="D1554" s="1"/>
      </tp>
      <tp t="s">
        <v>房地产</v>
        <stp/>
        <stp>EM_S_INFO_INDEX_EM</stp>
        <stp>2</stp>
        <stp>001979</stp>
        <stp>1</stp>
        <tr r="D1473" s="1"/>
      </tp>
      <tp t="s">
        <v>交通运输</v>
        <stp/>
        <stp>EM_S_INFO_INDEX_EM</stp>
        <stp>2</stp>
        <stp>601919</stp>
        <stp>1</stp>
        <tr r="D933" s="1"/>
      </tp>
      <tp t="s">
        <v>互联网</v>
        <stp/>
        <stp>EM_S_INFO_INDEX_EM</stp>
        <stp>2</stp>
        <stp>300299</stp>
        <stp>1</stp>
        <tr r="D2152" s="1"/>
      </tp>
      <tp t="s">
        <v>医药生物</v>
        <stp/>
        <stp>EM_S_INFO_INDEX_EM</stp>
        <stp>2</stp>
        <stp>300289</stp>
        <stp>1</stp>
        <tr r="D2864" s="1"/>
      </tp>
      <tp t="s">
        <v>信息技术</v>
        <stp/>
        <stp>EM_S_INFO_INDEX_EM</stp>
        <stp>2</stp>
        <stp>600289</stp>
        <stp>1</stp>
        <tr r="D840" s="1"/>
      </tp>
      <tp t="s">
        <v>基础化工</v>
        <stp/>
        <stp>EM_S_INFO_INDEX_EM</stp>
        <stp>2</stp>
        <stp>600299</stp>
        <stp>1</stp>
        <tr r="D2551" s="1"/>
      </tp>
      <tp t="s">
        <v>医药生物</v>
        <stp/>
        <stp>EM_S_INFO_INDEX_EM</stp>
        <stp>2</stp>
        <stp>300239</stp>
        <stp>1</stp>
        <tr r="D984" s="1"/>
      </tp>
      <tp t="s">
        <v>交通运输</v>
        <stp/>
        <stp>EM_S_INFO_INDEX_EM</stp>
        <stp>2</stp>
        <stp>600269</stp>
        <stp>1</stp>
        <tr r="D1972" s="1"/>
      </tp>
      <tp t="s">
        <v>信息技术</v>
        <stp/>
        <stp>EM_S_INFO_INDEX_EM</stp>
        <stp>2</stp>
        <stp>300229</stp>
        <stp>1</stp>
        <tr r="D529" s="1"/>
      </tp>
      <tp t="s">
        <v>交通运输</v>
        <stp/>
        <stp>EM_S_INFO_INDEX_EM</stp>
        <stp>2</stp>
        <stp>600279</stp>
        <stp>1</stp>
        <tr r="D1653" s="1"/>
      </tp>
      <tp t="s">
        <v>电子设备</v>
        <stp/>
        <stp>EM_S_INFO_INDEX_EM</stp>
        <stp>2</stp>
        <stp>300219</stp>
        <stp>1</stp>
        <tr r="D2822" s="1"/>
      </tp>
      <tp t="s">
        <v>基础化工</v>
        <stp/>
        <stp>EM_S_INFO_INDEX_EM</stp>
        <stp>2</stp>
        <stp>600249</stp>
        <stp>1</stp>
        <tr r="D1050" s="1"/>
      </tp>
      <tp t="s">
        <v>信息技术</v>
        <stp/>
        <stp>EM_S_INFO_INDEX_EM</stp>
        <stp>2</stp>
        <stp>300209</stp>
        <stp>1</stp>
        <tr r="D866" s="1"/>
      </tp>
      <tp t="s">
        <v>有色金属</v>
        <stp/>
        <stp>EM_S_INFO_INDEX_EM</stp>
        <stp>2</stp>
        <stp>600259</stp>
        <stp>1</stp>
        <tr r="D486" s="1"/>
      </tp>
      <tp t="s">
        <v>电子设备</v>
        <stp/>
        <stp>EM_S_INFO_INDEX_EM</stp>
        <stp>2</stp>
        <stp>300279</stp>
        <stp>1</stp>
        <tr r="D1022" s="1"/>
      </tp>
      <tp t="s">
        <v>文化传媒</v>
        <stp/>
        <stp>EM_S_INFO_INDEX_EM</stp>
        <stp>2</stp>
        <stp>600229</stp>
        <stp>1</stp>
        <tr r="D2004" s="1"/>
      </tp>
      <tp t="s">
        <v>电子设备</v>
        <stp/>
        <stp>EM_S_INFO_INDEX_EM</stp>
        <stp>2</stp>
        <stp>300269</stp>
        <stp>1</stp>
        <tr r="D2751" s="1"/>
      </tp>
      <tp t="s">
        <v>房地产</v>
        <stp/>
        <stp>EM_S_INFO_INDEX_EM</stp>
        <stp>2</stp>
        <stp>600239</stp>
        <stp>1</stp>
        <tr r="D2256" s="1"/>
      </tp>
      <tp t="s">
        <v>机械设备</v>
        <stp/>
        <stp>EM_S_INFO_INDEX_EM</stp>
        <stp>2</stp>
        <stp>300259</stp>
        <stp>1</stp>
        <tr r="D399" s="1"/>
      </tp>
      <tp t="s">
        <v>休闲、生活及专业服务</v>
        <stp/>
        <stp>EM_S_INFO_INDEX_EM</stp>
        <stp>2</stp>
        <stp>600209</stp>
        <stp>1</stp>
        <tr r="D3022" s="1"/>
      </tp>
      <tp t="s">
        <v>信息技术</v>
        <stp/>
        <stp>EM_S_INFO_INDEX_EM</stp>
        <stp>2</stp>
        <stp>300249</stp>
        <stp>1</stp>
        <tr r="D2557" s="1"/>
      </tp>
      <tp t="s">
        <v>有色金属</v>
        <stp/>
        <stp>EM_S_INFO_INDEX_EM</stp>
        <stp>2</stp>
        <stp>600219</stp>
        <stp>1</stp>
        <tr r="D1916" s="1"/>
      </tp>
      <tp t="s">
        <v>信息技术</v>
        <stp/>
        <stp>EM_S_INFO_INDEX_EM</stp>
        <stp>2</stp>
        <stp>300399</stp>
        <stp>1</stp>
        <tr r="D472" s="1"/>
      </tp>
      <tp t="s">
        <v>电子设备</v>
        <stp/>
        <stp>EM_S_INFO_INDEX_EM</stp>
        <stp>2</stp>
        <stp>300389</stp>
        <stp>1</stp>
        <tr r="D3203" s="1"/>
      </tp>
      <tp t="s">
        <v>基础化工</v>
        <stp/>
        <stp>EM_S_INFO_INDEX_EM</stp>
        <stp>2</stp>
        <stp>600389</stp>
        <stp>1</stp>
        <tr r="D1130" s="1"/>
      </tp>
      <tp t="s">
        <v>钢铁</v>
        <stp/>
        <stp>EM_S_INFO_INDEX_EM</stp>
        <stp>2</stp>
        <stp>600399</stp>
        <stp>1</stp>
        <tr r="D902" s="1"/>
      </tp>
      <tp t="s">
        <v>信息技术</v>
        <stp/>
        <stp>EM_S_INFO_INDEX_EM</stp>
        <stp>2</stp>
        <stp>300339</stp>
        <stp>1</stp>
        <tr r="D650" s="1"/>
      </tp>
      <tp t="s">
        <v>金融</v>
        <stp/>
        <stp>EM_S_INFO_INDEX_EM</stp>
        <stp>2</stp>
        <stp>600369</stp>
        <stp>1</stp>
        <tr r="D559" s="1"/>
      </tp>
      <tp t="s">
        <v>轻工制造</v>
        <stp/>
        <stp>EM_S_INFO_INDEX_EM</stp>
        <stp>2</stp>
        <stp>300329</stp>
        <stp>1</stp>
        <tr r="D1174" s="1"/>
      </tp>
      <tp t="s">
        <v>电气设备</v>
        <stp/>
        <stp>EM_S_INFO_INDEX_EM</stp>
        <stp>2</stp>
        <stp>600379</stp>
        <stp>1</stp>
        <tr r="D2976" s="1"/>
      </tp>
      <tp t="s">
        <v>电子设备</v>
        <stp/>
        <stp>EM_S_INFO_INDEX_EM</stp>
        <stp>2</stp>
        <stp>300319</stp>
        <stp>1</stp>
        <tr r="D128" s="1"/>
      </tp>
      <tp>
        <v>0</v>
        <stp/>
        <stp>EM_S_INFO_INDEX_EM</stp>
        <stp>2</stp>
        <stp>600349</stp>
        <stp>1</stp>
        <tr r="D12" s="1"/>
      </tp>
      <tp t="s">
        <v>金融</v>
        <stp/>
        <stp>EM_S_INFO_INDEX_EM</stp>
        <stp>2</stp>
        <stp>300309</stp>
        <stp>1</stp>
        <tr r="D3321" s="1"/>
      </tp>
      <tp t="s">
        <v>农林牧渔</v>
        <stp/>
        <stp>EM_S_INFO_INDEX_EM</stp>
        <stp>2</stp>
        <stp>600359</stp>
        <stp>1</stp>
        <tr r="D997" s="1"/>
      </tp>
      <tp t="s">
        <v>信息技术</v>
        <stp/>
        <stp>EM_S_INFO_INDEX_EM</stp>
        <stp>2</stp>
        <stp>300379</stp>
        <stp>1</stp>
        <tr r="D36" s="1"/>
      </tp>
      <tp t="s">
        <v>医药生物</v>
        <stp/>
        <stp>EM_S_INFO_INDEX_EM</stp>
        <stp>2</stp>
        <stp>600329</stp>
        <stp>1</stp>
        <tr r="D1791" s="1"/>
      </tp>
      <tp t="s">
        <v>信息技术</v>
        <stp/>
        <stp>EM_S_INFO_INDEX_EM</stp>
        <stp>2</stp>
        <stp>300369</stp>
        <stp>1</stp>
        <tr r="D143" s="1"/>
      </tp>
      <tp t="s">
        <v>化石能源</v>
        <stp/>
        <stp>EM_S_INFO_INDEX_EM</stp>
        <stp>2</stp>
        <stp>600339</stp>
        <stp>1</stp>
        <tr r="D2706" s="1"/>
      </tp>
      <tp t="s">
        <v>文化传媒</v>
        <stp/>
        <stp>EM_S_INFO_INDEX_EM</stp>
        <stp>2</stp>
        <stp>300359</stp>
        <stp>1</stp>
        <tr r="D2431" s="1"/>
      </tp>
      <tp t="s">
        <v>基础化工</v>
        <stp/>
        <stp>EM_S_INFO_INDEX_EM</stp>
        <stp>2</stp>
        <stp>600309</stp>
        <stp>1</stp>
        <tr r="D168" s="1"/>
      </tp>
      <tp t="s">
        <v>机械设备</v>
        <stp/>
        <stp>EM_S_INFO_INDEX_EM</stp>
        <stp>2</stp>
        <stp>300349</stp>
        <stp>1</stp>
        <tr r="D2578" s="1"/>
      </tp>
      <tp t="s">
        <v>基础化工</v>
        <stp/>
        <stp>EM_S_INFO_INDEX_EM</stp>
        <stp>2</stp>
        <stp>600319</stp>
        <stp>1</stp>
        <tr r="D2240" s="1"/>
      </tp>
      <tp t="s">
        <v>交通运输</v>
        <stp/>
        <stp>EM_S_INFO_INDEX_EM</stp>
        <stp>2</stp>
        <stp>000089</stp>
        <stp>1</stp>
        <tr r="D1035" s="1"/>
      </tp>
      <tp t="s">
        <v>交通运输</v>
        <stp/>
        <stp>EM_S_INFO_INDEX_EM</stp>
        <stp>2</stp>
        <stp>000099</stp>
        <stp>1</stp>
        <tr r="D899" s="1"/>
      </tp>
      <tp t="s">
        <v>机械设备</v>
        <stp/>
        <stp>EM_S_INFO_INDEX_EM</stp>
        <stp>2</stp>
        <stp>300099</stp>
        <stp>1</stp>
        <tr r="D551" s="1"/>
      </tp>
      <tp t="s">
        <v>文化传媒</v>
        <stp/>
        <stp>EM_S_INFO_INDEX_EM</stp>
        <stp>2</stp>
        <stp>300089</stp>
        <stp>1</stp>
        <tr r="D3253" s="1"/>
      </tp>
      <tp t="s">
        <v>电气设备</v>
        <stp/>
        <stp>EM_S_INFO_INDEX_EM</stp>
        <stp>2</stp>
        <stp>600089</stp>
        <stp>1</stp>
        <tr r="D2447" s="1"/>
      </tp>
      <tp t="s">
        <v>机械设备</v>
        <stp/>
        <stp>EM_S_INFO_INDEX_EM</stp>
        <stp>2</stp>
        <stp>600099</stp>
        <stp>1</stp>
        <tr r="D1401" s="1"/>
      </tp>
      <tp t="s">
        <v>综合</v>
        <stp/>
        <stp>EM_S_INFO_INDEX_EM</stp>
        <stp>2</stp>
        <stp>000009</stp>
        <stp>1</stp>
        <tr r="D295" s="1"/>
      </tp>
      <tp t="s">
        <v>医药生物</v>
        <stp/>
        <stp>EM_S_INFO_INDEX_EM</stp>
        <stp>2</stp>
        <stp>300039</stp>
        <stp>1</stp>
        <tr r="D1356" s="1"/>
      </tp>
      <tp t="s">
        <v>轻工制造</v>
        <stp/>
        <stp>EM_S_INFO_INDEX_EM</stp>
        <stp>2</stp>
        <stp>600069</stp>
        <stp>1</stp>
        <tr r="D2650" s="1"/>
      </tp>
      <tp t="s">
        <v>食品饮料</v>
        <stp/>
        <stp>EM_S_INFO_INDEX_EM</stp>
        <stp>2</stp>
        <stp>000019</stp>
        <stp>1</stp>
        <tr r="D2891" s="1"/>
      </tp>
      <tp t="s">
        <v>电气设备</v>
        <stp/>
        <stp>EM_S_INFO_INDEX_EM</stp>
        <stp>2</stp>
        <stp>300029</stp>
        <stp>1</stp>
        <tr r="D944" s="1"/>
      </tp>
      <tp t="s">
        <v>医药生物</v>
        <stp/>
        <stp>EM_S_INFO_INDEX_EM</stp>
        <stp>2</stp>
        <stp>600079</stp>
        <stp>1</stp>
        <tr r="D1010" s="1"/>
      </tp>
      <tp t="s">
        <v>房地产</v>
        <stp/>
        <stp>EM_S_INFO_INDEX_EM</stp>
        <stp>2</stp>
        <stp>000029</stp>
        <stp>1</stp>
        <tr r="D2341" s="1"/>
      </tp>
      <tp t="s">
        <v>基础化工</v>
        <stp/>
        <stp>EM_S_INFO_INDEX_EM</stp>
        <stp>2</stp>
        <stp>300019</stp>
        <stp>1</stp>
        <tr r="D390" s="1"/>
      </tp>
      <tp t="s">
        <v>机械设备</v>
        <stp/>
        <stp>EM_S_INFO_INDEX_EM</stp>
        <stp>2</stp>
        <stp>000039</stp>
        <stp>1</stp>
        <tr r="D1426" s="1"/>
      </tp>
      <tp t="s">
        <v>医药生物</v>
        <stp/>
        <stp>EM_S_INFO_INDEX_EM</stp>
        <stp>2</stp>
        <stp>300009</stp>
        <stp>1</stp>
        <tr r="D1660" s="1"/>
      </tp>
      <tp t="s">
        <v>食品饮料</v>
        <stp/>
        <stp>EM_S_INFO_INDEX_EM</stp>
        <stp>2</stp>
        <stp>600059</stp>
        <stp>1</stp>
        <tr r="D979" s="1"/>
      </tp>
      <tp t="s">
        <v>有色金属</v>
        <stp/>
        <stp>EM_S_INFO_INDEX_EM</stp>
        <stp>2</stp>
        <stp>000049</stp>
        <stp>1</stp>
        <tr r="D678" s="1"/>
      </tp>
      <tp t="s">
        <v>信息技术</v>
        <stp/>
        <stp>EM_S_INFO_INDEX_EM</stp>
        <stp>2</stp>
        <stp>300079</stp>
        <stp>1</stp>
        <tr r="D236" s="1"/>
      </tp>
      <tp t="s">
        <v>交通运输</v>
        <stp/>
        <stp>EM_S_INFO_INDEX_EM</stp>
        <stp>2</stp>
        <stp>600029</stp>
        <stp>1</stp>
        <tr r="D1859" s="1"/>
      </tp>
      <tp t="s">
        <v>化石能源</v>
        <stp/>
        <stp>EM_S_INFO_INDEX_EM</stp>
        <stp>2</stp>
        <stp>000059</stp>
        <stp>1</stp>
        <tr r="D1923" s="1"/>
      </tp>
      <tp t="s">
        <v>电气设备</v>
        <stp/>
        <stp>EM_S_INFO_INDEX_EM</stp>
        <stp>2</stp>
        <stp>300069</stp>
        <stp>1</stp>
        <tr r="D270" s="1"/>
      </tp>
      <tp t="s">
        <v>建筑</v>
        <stp/>
        <stp>EM_S_INFO_INDEX_EM</stp>
        <stp>2</stp>
        <stp>600039</stp>
        <stp>1</stp>
        <tr r="D2260" s="1"/>
      </tp>
      <tp t="s">
        <v>房地产</v>
        <stp/>
        <stp>EM_S_INFO_INDEX_EM</stp>
        <stp>2</stp>
        <stp>000069</stp>
        <stp>1</stp>
        <tr r="D986" s="1"/>
      </tp>
      <tp t="s">
        <v>互联网</v>
        <stp/>
        <stp>EM_S_INFO_INDEX_EM</stp>
        <stp>2</stp>
        <stp>300059</stp>
        <stp>1</stp>
        <tr r="D916" s="1"/>
      </tp>
      <tp t="s">
        <v>交通运输</v>
        <stp/>
        <stp>EM_S_INFO_INDEX_EM</stp>
        <stp>2</stp>
        <stp>600009</stp>
        <stp>1</stp>
        <tr r="D511" s="1"/>
      </tp>
      <tp t="s">
        <v>医药生物</v>
        <stp/>
        <stp>EM_S_INFO_INDEX_EM</stp>
        <stp>2</stp>
        <stp>300049</stp>
        <stp>1</stp>
        <tr r="D3166" s="1"/>
      </tp>
      <tp t="s">
        <v>钢铁</v>
        <stp/>
        <stp>EM_S_INFO_INDEX_EM</stp>
        <stp>2</stp>
        <stp>600019</stp>
        <stp>1</stp>
        <tr r="D2815" s="1"/>
      </tp>
      <tp t="s">
        <v>医药生物</v>
        <stp/>
        <stp>EM_S_INFO_INDEX_EM</stp>
        <stp>2</stp>
        <stp>300199</stp>
        <stp>1</stp>
        <tr r="D3302" s="1"/>
      </tp>
      <tp t="s">
        <v>农林牧渔</v>
        <stp/>
        <stp>EM_S_INFO_INDEX_EM</stp>
        <stp>2</stp>
        <stp>300189</stp>
        <stp>1</stp>
        <tr r="D624" s="1"/>
      </tp>
      <tp t="s">
        <v>食品饮料</v>
        <stp/>
        <stp>EM_S_INFO_INDEX_EM</stp>
        <stp>2</stp>
        <stp>600189</stp>
        <stp>1</stp>
        <tr r="D2168" s="1"/>
      </tp>
      <tp t="s">
        <v>食品饮料</v>
        <stp/>
        <stp>EM_S_INFO_INDEX_EM</stp>
        <stp>2</stp>
        <stp>600199</stp>
        <stp>1</stp>
        <tr r="D781" s="1"/>
      </tp>
      <tp t="s">
        <v>电气设备</v>
        <stp/>
        <stp>EM_S_INFO_INDEX_EM</stp>
        <stp>2</stp>
        <stp>300139</stp>
        <stp>1</stp>
        <tr r="D1318" s="1"/>
      </tp>
      <tp t="s">
        <v>机械设备</v>
        <stp/>
        <stp>EM_S_INFO_INDEX_EM</stp>
        <stp>2</stp>
        <stp>600169</stp>
        <stp>1</stp>
        <tr r="D2058" s="1"/>
      </tp>
      <tp t="s">
        <v>电气设备</v>
        <stp/>
        <stp>EM_S_INFO_INDEX_EM</stp>
        <stp>2</stp>
        <stp>300129</stp>
        <stp>1</stp>
        <tr r="D310" s="1"/>
      </tp>
      <tp t="s">
        <v>交通运输</v>
        <stp/>
        <stp>EM_S_INFO_INDEX_EM</stp>
        <stp>2</stp>
        <stp>600179</stp>
        <stp>1</stp>
        <tr r="D3223" s="1"/>
      </tp>
      <tp t="s">
        <v>农林牧渔</v>
        <stp/>
        <stp>EM_S_INFO_INDEX_EM</stp>
        <stp>2</stp>
        <stp>300119</stp>
        <stp>1</stp>
        <tr r="D217" s="1"/>
      </tp>
      <tp t="s">
        <v>商贸零售</v>
        <stp/>
        <stp>EM_S_INFO_INDEX_EM</stp>
        <stp>2</stp>
        <stp>600149</stp>
        <stp>1</stp>
        <tr r="D1642" s="1"/>
      </tp>
      <tp t="s">
        <v>医药生物</v>
        <stp/>
        <stp>EM_S_INFO_INDEX_EM</stp>
        <stp>2</stp>
        <stp>300109</stp>
        <stp>1</stp>
        <tr r="D1364" s="1"/>
      </tp>
      <tp t="s">
        <v>房地产</v>
        <stp/>
        <stp>EM_S_INFO_INDEX_EM</stp>
        <stp>2</stp>
        <stp>600159</stp>
        <stp>1</stp>
        <tr r="D1961" s="1"/>
      </tp>
      <tp t="s">
        <v>有色金属</v>
        <stp/>
        <stp>EM_S_INFO_INDEX_EM</stp>
        <stp>2</stp>
        <stp>300179</stp>
        <stp>1</stp>
        <tr r="D596" s="1"/>
      </tp>
      <tp t="s">
        <v>医药生物</v>
        <stp/>
        <stp>EM_S_INFO_INDEX_EM</stp>
        <stp>2</stp>
        <stp>600129</stp>
        <stp>1</stp>
        <tr r="D892" s="1"/>
      </tp>
      <tp t="s">
        <v>化石能源</v>
        <stp/>
        <stp>EM_S_INFO_INDEX_EM</stp>
        <stp>2</stp>
        <stp>000159</stp>
        <stp>1</stp>
        <tr r="D847" s="1"/>
      </tp>
      <tp t="s">
        <v>基础化工</v>
        <stp/>
        <stp>EM_S_INFO_INDEX_EM</stp>
        <stp>2</stp>
        <stp>300169</stp>
        <stp>1</stp>
        <tr r="D1392" s="1"/>
      </tp>
      <tp t="s">
        <v>金融</v>
        <stp/>
        <stp>EM_S_INFO_INDEX_EM</stp>
        <stp>2</stp>
        <stp>600139</stp>
        <stp>1</stp>
        <tr r="D1360" s="1"/>
      </tp>
      <tp t="s">
        <v>机械设备</v>
        <stp/>
        <stp>EM_S_INFO_INDEX_EM</stp>
        <stp>2</stp>
        <stp>300159</stp>
        <stp>1</stp>
        <tr r="D2909" s="1"/>
      </tp>
      <tp t="s">
        <v>金融</v>
        <stp/>
        <stp>EM_S_INFO_INDEX_EM</stp>
        <stp>2</stp>
        <stp>600109</stp>
        <stp>1</stp>
        <tr r="D918" s="1"/>
      </tp>
      <tp t="s">
        <v>医药生物</v>
        <stp/>
        <stp>EM_S_INFO_INDEX_EM</stp>
        <stp>2</stp>
        <stp>300149</stp>
        <stp>1</stp>
        <tr r="D2776" s="1"/>
      </tp>
      <tp t="s">
        <v>交通运输</v>
        <stp/>
        <stp>EM_S_INFO_INDEX_EM</stp>
        <stp>2</stp>
        <stp>600119</stp>
        <stp>1</stp>
        <tr r="D3176" s="1"/>
      </tp>
      <tp>
        <v>0</v>
        <stp/>
        <stp>EM_S_INFO_INDEX_EM</stp>
        <stp>2</stp>
        <stp>000689</stp>
        <stp>1</stp>
        <tr r="D3511" s="1"/>
      </tp>
      <tp>
        <v>0</v>
        <stp/>
        <stp>EM_S_INFO_INDEX_EM</stp>
        <stp>2</stp>
        <stp>000699</stp>
        <stp>1</stp>
        <tr r="D3515" s="1"/>
      </tp>
      <tp t="s">
        <v>基础化工</v>
        <stp/>
        <stp>EM_S_INFO_INDEX_EM</stp>
        <stp>2</stp>
        <stp>300699</stp>
        <stp>1</stp>
        <tr r="D995" s="1"/>
      </tp>
      <tp t="s">
        <v>信息技术</v>
        <stp/>
        <stp>EM_S_INFO_INDEX_EM</stp>
        <stp>2</stp>
        <stp>300689</stp>
        <stp>1</stp>
        <tr r="D977" s="1"/>
      </tp>
      <tp t="s">
        <v>纺织服装</v>
        <stp/>
        <stp>EM_S_INFO_INDEX_EM</stp>
        <stp>2</stp>
        <stp>600689</stp>
        <stp>1</stp>
        <tr r="D2646" s="1"/>
      </tp>
      <tp t="s">
        <v>交运设备</v>
        <stp/>
        <stp>EM_S_INFO_INDEX_EM</stp>
        <stp>2</stp>
        <stp>600699</stp>
        <stp>1</stp>
        <tr r="D3125" s="1"/>
      </tp>
      <tp t="s">
        <v>房地产</v>
        <stp/>
        <stp>EM_S_INFO_INDEX_EM</stp>
        <stp>2</stp>
        <stp>000609</stp>
        <stp>1</stp>
        <tr r="D3482" s="1"/>
      </tp>
      <tp t="s">
        <v>医药生物</v>
        <stp/>
        <stp>EM_S_INFO_INDEX_EM</stp>
        <stp>2</stp>
        <stp>300639</stp>
        <stp>1</stp>
        <tr r="D429" s="1"/>
      </tp>
      <tp>
        <v>0</v>
        <stp/>
        <stp>EM_S_INFO_INDEX_EM</stp>
        <stp>2</stp>
        <stp>600669</stp>
        <stp>1</stp>
        <tr r="D2313" s="1"/>
      </tp>
      <tp t="s">
        <v>建材</v>
        <stp/>
        <stp>EM_S_INFO_INDEX_EM</stp>
        <stp>2</stp>
        <stp>000619</stp>
        <stp>1</stp>
        <tr r="D1623" s="1"/>
      </tp>
      <tp t="s">
        <v>机械设备</v>
        <stp/>
        <stp>EM_S_INFO_INDEX_EM</stp>
        <stp>2</stp>
        <stp>300629</stp>
        <stp>1</stp>
        <tr r="D1628" s="1"/>
      </tp>
      <tp t="s">
        <v>轻工制造</v>
        <stp/>
        <stp>EM_S_INFO_INDEX_EM</stp>
        <stp>2</stp>
        <stp>600679</stp>
        <stp>1</stp>
        <tr r="D1214" s="1"/>
      </tp>
      <tp t="s">
        <v>钢铁</v>
        <stp/>
        <stp>EM_S_INFO_INDEX_EM</stp>
        <stp>2</stp>
        <stp>000629</stp>
        <stp>1</stp>
        <tr r="D2438" s="1"/>
      </tp>
      <tp t="s">
        <v>机械设备</v>
        <stp/>
        <stp>EM_S_INFO_INDEX_EM</stp>
        <stp>2</stp>
        <stp>300619</stp>
        <stp>1</stp>
        <tr r="D2952" s="1"/>
      </tp>
      <tp t="s">
        <v>房地产</v>
        <stp/>
        <stp>EM_S_INFO_INDEX_EM</stp>
        <stp>2</stp>
        <stp>600649</stp>
        <stp>1</stp>
        <tr r="D2008" s="1"/>
      </tp>
      <tp t="s">
        <v>农林牧渔</v>
        <stp/>
        <stp>EM_S_INFO_INDEX_EM</stp>
        <stp>2</stp>
        <stp>000639</stp>
        <stp>1</stp>
        <tr r="D3211" s="1"/>
      </tp>
      <tp t="s">
        <v>信息技术</v>
        <stp/>
        <stp>EM_S_INFO_INDEX_EM</stp>
        <stp>2</stp>
        <stp>300609</stp>
        <stp>1</stp>
        <tr r="D784" s="1"/>
      </tp>
      <tp>
        <v>0</v>
        <stp/>
        <stp>EM_S_INFO_INDEX_EM</stp>
        <stp>2</stp>
        <stp>600659</stp>
        <stp>1</stp>
        <tr r="D2324" s="1"/>
      </tp>
      <tp t="s">
        <v>电子设备</v>
        <stp/>
        <stp>EM_S_INFO_INDEX_EM</stp>
        <stp>2</stp>
        <stp>300679</stp>
        <stp>1</stp>
        <tr r="D739" s="1"/>
      </tp>
      <tp t="s">
        <v>建筑</v>
        <stp/>
        <stp>EM_S_INFO_INDEX_EM</stp>
        <stp>2</stp>
        <stp>600629</stp>
        <stp>1</stp>
        <tr r="D3119" s="1"/>
      </tp>
      <tp t="s">
        <v>轻工制造</v>
        <stp/>
        <stp>EM_S_INFO_INDEX_EM</stp>
        <stp>2</stp>
        <stp>000659</stp>
        <stp>1</stp>
        <tr r="D3261" s="1"/>
      </tp>
      <tp t="s">
        <v>机械设备</v>
        <stp/>
        <stp>EM_S_INFO_INDEX_EM</stp>
        <stp>2</stp>
        <stp>300669</stp>
        <stp>1</stp>
        <tr r="D488" s="1"/>
      </tp>
      <tp t="s">
        <v>房地产</v>
        <stp/>
        <stp>EM_S_INFO_INDEX_EM</stp>
        <stp>2</stp>
        <stp>600639</stp>
        <stp>1</stp>
        <tr r="D1287" s="1"/>
      </tp>
      <tp t="s">
        <v>公用事业</v>
        <stp/>
        <stp>EM_S_INFO_INDEX_EM</stp>
        <stp>2</stp>
        <stp>000669</stp>
        <stp>1</stp>
        <tr r="D3501" s="1"/>
      </tp>
      <tp t="s">
        <v>信息技术</v>
        <stp/>
        <stp>EM_S_INFO_INDEX_EM</stp>
        <stp>2</stp>
        <stp>300659</stp>
        <stp>1</stp>
        <tr r="D39" s="1"/>
      </tp>
      <tp t="s">
        <v>交运设备</v>
        <stp/>
        <stp>EM_S_INFO_INDEX_EM</stp>
        <stp>2</stp>
        <stp>600609</stp>
        <stp>1</stp>
        <tr r="D955" s="1"/>
      </tp>
      <tp t="s">
        <v>商贸零售</v>
        <stp/>
        <stp>EM_S_INFO_INDEX_EM</stp>
        <stp>2</stp>
        <stp>000679</stp>
        <stp>1</stp>
        <tr r="D3506" s="1"/>
      </tp>
      <tp t="s">
        <v>建筑</v>
        <stp/>
        <stp>EM_S_INFO_INDEX_EM</stp>
        <stp>2</stp>
        <stp>300649</stp>
        <stp>1</stp>
        <tr r="D3039" s="1"/>
      </tp>
      <tp t="s">
        <v>机械设备</v>
        <stp/>
        <stp>EM_S_INFO_INDEX_EM</stp>
        <stp>2</stp>
        <stp>600619</stp>
        <stp>1</stp>
        <tr r="D2513" s="1"/>
      </tp>
      <tp t="s">
        <v>建材</v>
        <stp/>
        <stp>EM_S_INFO_INDEX_EM</stp>
        <stp>2</stp>
        <stp>000789</stp>
        <stp>1</stp>
        <tr r="D2031" s="1"/>
      </tp>
      <tp t="s">
        <v>食品饮料</v>
        <stp/>
        <stp>EM_S_INFO_INDEX_EM</stp>
        <stp>2</stp>
        <stp>000799</stp>
        <stp>1</stp>
        <tr r="D114" s="1"/>
      </tp>
      <tp t="s">
        <v>医药生物</v>
        <stp/>
        <stp>EM_S_INFO_INDEX_EM</stp>
        <stp>2</stp>
        <stp>600789</stp>
        <stp>1</stp>
        <tr r="D2875" s="1"/>
      </tp>
      <tp>
        <v>0</v>
        <stp/>
        <stp>EM_S_INFO_INDEX_EM</stp>
        <stp>2</stp>
        <stp>600799</stp>
        <stp>1</stp>
        <tr r="D2325" s="1"/>
      </tp>
      <tp t="s">
        <v>钢铁</v>
        <stp/>
        <stp>EM_S_INFO_INDEX_EM</stp>
        <stp>2</stp>
        <stp>000709</stp>
        <stp>1</stp>
        <tr r="D2736" s="1"/>
      </tp>
      <tp t="s">
        <v>电子设备</v>
        <stp/>
        <stp>EM_S_INFO_INDEX_EM</stp>
        <stp>2</stp>
        <stp>300739</stp>
        <stp>1</stp>
        <tr r="D2754" s="1"/>
      </tp>
      <tp t="s">
        <v>建筑</v>
        <stp/>
        <stp>EM_S_INFO_INDEX_EM</stp>
        <stp>2</stp>
        <stp>600769</stp>
        <stp>1</stp>
        <tr r="D695" s="1"/>
      </tp>
      <tp t="s">
        <v>文化传媒</v>
        <stp/>
        <stp>EM_S_INFO_INDEX_EM</stp>
        <stp>2</stp>
        <stp>000719</stp>
        <stp>1</stp>
        <tr r="D2726" s="1"/>
      </tp>
      <tp t="s">
        <v>轻工制造</v>
        <stp/>
        <stp>EM_S_INFO_INDEX_EM</stp>
        <stp>2</stp>
        <stp>300729</stp>
        <stp>1</stp>
        <tr r="D1886" s="1"/>
      </tp>
      <tp t="s">
        <v>食品饮料</v>
        <stp/>
        <stp>EM_S_INFO_INDEX_EM</stp>
        <stp>2</stp>
        <stp>600779</stp>
        <stp>1</stp>
        <tr r="D355" s="1"/>
      </tp>
      <tp t="s">
        <v>食品饮料</v>
        <stp/>
        <stp>EM_S_INFO_INDEX_EM</stp>
        <stp>2</stp>
        <stp>000729</stp>
        <stp>1</stp>
        <tr r="D1469" s="1"/>
      </tp>
      <tp t="s">
        <v>国防与装备</v>
        <stp/>
        <stp>EM_S_INFO_INDEX_EM</stp>
        <stp>2</stp>
        <stp>300719</stp>
        <stp>1</stp>
        <tr r="D1490" s="1"/>
      </tp>
      <tp t="s">
        <v>休闲、生活及专业服务</v>
        <stp/>
        <stp>EM_S_INFO_INDEX_EM</stp>
        <stp>2</stp>
        <stp>600749</stp>
        <stp>1</stp>
        <tr r="D2258" s="1"/>
      </tp>
      <tp t="s">
        <v>医药生物</v>
        <stp/>
        <stp>EM_S_INFO_INDEX_EM</stp>
        <stp>2</stp>
        <stp>000739</stp>
        <stp>1</stp>
        <tr r="D340" s="1"/>
      </tp>
      <tp t="s">
        <v>电子设备</v>
        <stp/>
        <stp>EM_S_INFO_INDEX_EM</stp>
        <stp>2</stp>
        <stp>300709</stp>
        <stp>1</stp>
        <tr r="D30" s="1"/>
      </tp>
      <tp t="s">
        <v>化石能源</v>
        <stp/>
        <stp>EM_S_INFO_INDEX_EM</stp>
        <stp>2</stp>
        <stp>600759</stp>
        <stp>1</stp>
        <tr r="D1390" s="1"/>
      </tp>
      <tp t="s">
        <v>商贸零售</v>
        <stp/>
        <stp>EM_S_INFO_INDEX_EM</stp>
        <stp>2</stp>
        <stp>600729</stp>
        <stp>1</stp>
        <tr r="D2021" s="1"/>
      </tp>
      <tp t="s">
        <v>商贸零售</v>
        <stp/>
        <stp>EM_S_INFO_INDEX_EM</stp>
        <stp>2</stp>
        <stp>000759</stp>
        <stp>1</stp>
        <tr r="D752" s="1"/>
      </tp>
      <tp t="s">
        <v>商贸零售</v>
        <stp/>
        <stp>EM_S_INFO_INDEX_EM</stp>
        <stp>2</stp>
        <stp>600739</stp>
        <stp>1</stp>
        <tr r="D642" s="1"/>
      </tp>
      <tp>
        <v>0</v>
        <stp/>
        <stp>EM_S_INFO_INDEX_EM</stp>
        <stp>2</stp>
        <stp>000769</stp>
        <stp>1</stp>
        <tr r="D2279" s="1"/>
      </tp>
      <tp>
        <v>0</v>
        <stp/>
        <stp>EM_S_INFO_INDEX_EM</stp>
        <stp>2</stp>
        <stp>600709</stp>
        <stp>1</stp>
        <tr r="D2318" s="1"/>
      </tp>
      <tp t="s">
        <v>休闲、生活及专业服务</v>
        <stp/>
        <stp>EM_S_INFO_INDEX_EM</stp>
        <stp>2</stp>
        <stp>000779</stp>
        <stp>1</stp>
        <tr r="D1367" s="1"/>
      </tp>
      <tp t="s">
        <v>公用事业</v>
        <stp/>
        <stp>EM_S_INFO_INDEX_EM</stp>
        <stp>2</stp>
        <stp>600719</stp>
        <stp>1</stp>
        <tr r="D1059" s="1"/>
      </tp>
      <tp t="s">
        <v>机械设备</v>
        <stp/>
        <stp>EM_S_INFO_INDEX_EM</stp>
        <stp>2</stp>
        <stp>300499</stp>
        <stp>1</stp>
        <tr r="D3080" s="1"/>
      </tp>
      <tp t="s">
        <v>有色金属</v>
        <stp/>
        <stp>EM_S_INFO_INDEX_EM</stp>
        <stp>2</stp>
        <stp>300489</stp>
        <stp>1</stp>
        <tr r="D317" s="1"/>
      </tp>
      <tp t="s">
        <v>有色金属</v>
        <stp/>
        <stp>EM_S_INFO_INDEX_EM</stp>
        <stp>2</stp>
        <stp>600489</stp>
        <stp>1</stp>
        <tr r="D2454" s="1"/>
      </tp>
      <tp t="s">
        <v>机械设备</v>
        <stp/>
        <stp>EM_S_INFO_INDEX_EM</stp>
        <stp>2</stp>
        <stp>600499</stp>
        <stp>1</stp>
        <tr r="D1885" s="1"/>
      </tp>
      <tp t="s">
        <v>综合</v>
        <stp/>
        <stp>EM_S_INFO_INDEX_EM</stp>
        <stp>2</stp>
        <stp>000409</stp>
        <stp>1</stp>
        <tr r="D2918" s="1"/>
      </tp>
      <tp t="s">
        <v>医药生物</v>
        <stp/>
        <stp>EM_S_INFO_INDEX_EM</stp>
        <stp>2</stp>
        <stp>300439</stp>
        <stp>1</stp>
        <tr r="D2237" s="1"/>
      </tp>
      <tp t="s">
        <v>基础化工</v>
        <stp/>
        <stp>EM_S_INFO_INDEX_EM</stp>
        <stp>2</stp>
        <stp>600469</stp>
        <stp>1</stp>
        <tr r="D749" s="1"/>
      </tp>
      <tp t="s">
        <v>商贸零售</v>
        <stp/>
        <stp>EM_S_INFO_INDEX_EM</stp>
        <stp>2</stp>
        <stp>000419</stp>
        <stp>1</stp>
        <tr r="D3422" s="1"/>
      </tp>
      <tp t="s">
        <v>基础化工</v>
        <stp/>
        <stp>EM_S_INFO_INDEX_EM</stp>
        <stp>2</stp>
        <stp>300429</stp>
        <stp>1</stp>
        <tr r="D3351" s="1"/>
      </tp>
      <tp t="s">
        <v>医药生物</v>
        <stp/>
        <stp>EM_S_INFO_INDEX_EM</stp>
        <stp>2</stp>
        <stp>600479</stp>
        <stp>1</stp>
        <tr r="D1683" s="1"/>
      </tp>
      <tp t="s">
        <v>交通运输</v>
        <stp/>
        <stp>EM_S_INFO_INDEX_EM</stp>
        <stp>2</stp>
        <stp>000429</stp>
        <stp>1</stp>
        <tr r="D2465" s="1"/>
      </tp>
      <tp t="s">
        <v>信息技术</v>
        <stp/>
        <stp>EM_S_INFO_INDEX_EM</stp>
        <stp>2</stp>
        <stp>300419</stp>
        <stp>1</stp>
        <tr r="D1348" s="1"/>
      </tp>
      <tp t="s">
        <v>建材</v>
        <stp/>
        <stp>EM_S_INFO_INDEX_EM</stp>
        <stp>2</stp>
        <stp>600449</stp>
        <stp>1</stp>
        <tr r="D621" s="1"/>
      </tp>
      <tp t="s">
        <v>基础化工</v>
        <stp/>
        <stp>EM_S_INFO_INDEX_EM</stp>
        <stp>2</stp>
        <stp>300409</stp>
        <stp>1</stp>
        <tr r="D2377" s="1"/>
      </tp>
      <tp t="s">
        <v>有色金属</v>
        <stp/>
        <stp>EM_S_INFO_INDEX_EM</stp>
        <stp>2</stp>
        <stp>600459</stp>
        <stp>1</stp>
        <tr r="D755" s="1"/>
      </tp>
      <tp t="s">
        <v>电子设备</v>
        <stp/>
        <stp>EM_S_INFO_INDEX_EM</stp>
        <stp>2</stp>
        <stp>300479</stp>
        <stp>1</stp>
        <tr r="D1154" s="1"/>
      </tp>
      <tp t="s">
        <v>食品饮料</v>
        <stp/>
        <stp>EM_S_INFO_INDEX_EM</stp>
        <stp>2</stp>
        <stp>600429</stp>
        <stp>1</stp>
        <tr r="D2394" s="1"/>
      </tp>
      <tp t="s">
        <v>信息技术</v>
        <stp/>
        <stp>EM_S_INFO_INDEX_EM</stp>
        <stp>2</stp>
        <stp>300469</stp>
        <stp>1</stp>
        <tr r="D2968" s="1"/>
      </tp>
      <tp t="s">
        <v>轻工制造</v>
        <stp/>
        <stp>EM_S_INFO_INDEX_EM</stp>
        <stp>2</stp>
        <stp>600439</stp>
        <stp>1</stp>
        <tr r="D823" s="1"/>
      </tp>
      <tp t="s">
        <v>互联网</v>
        <stp/>
        <stp>EM_S_INFO_INDEX_EM</stp>
        <stp>2</stp>
        <stp>300459</stp>
        <stp>1</stp>
        <tr r="D3387" s="1"/>
      </tp>
      <tp t="s">
        <v>基础化工</v>
        <stp/>
        <stp>EM_S_INFO_INDEX_EM</stp>
        <stp>2</stp>
        <stp>600409</stp>
        <stp>1</stp>
        <tr r="D1750" s="1"/>
      </tp>
      <tp t="s">
        <v>信息技术</v>
        <stp/>
        <stp>EM_S_INFO_INDEX_EM</stp>
        <stp>2</stp>
        <stp>300449</stp>
        <stp>1</stp>
        <tr r="D3249" s="1"/>
      </tp>
      <tp t="s">
        <v>食品饮料</v>
        <stp/>
        <stp>EM_S_INFO_INDEX_EM</stp>
        <stp>2</stp>
        <stp>600419</stp>
        <stp>1</stp>
        <tr r="D2434" s="1"/>
      </tp>
      <tp t="s">
        <v>基础化工</v>
        <stp/>
        <stp>EM_S_INFO_INDEX_EM</stp>
        <stp>2</stp>
        <stp>000589</stp>
        <stp>1</stp>
        <tr r="D3471" s="1"/>
      </tp>
      <tp t="s">
        <v>基础化工</v>
        <stp/>
        <stp>EM_S_INFO_INDEX_EM</stp>
        <stp>2</stp>
        <stp>000599</stp>
        <stp>1</stp>
        <tr r="D3476" s="1"/>
      </tp>
      <tp t="s">
        <v>建材</v>
        <stp/>
        <stp>EM_S_INFO_INDEX_EM</stp>
        <stp>2</stp>
        <stp>300599</stp>
        <stp>1</stp>
        <tr r="D2093" s="1"/>
      </tp>
      <tp t="s">
        <v>国防与装备</v>
        <stp/>
        <stp>EM_S_INFO_INDEX_EM</stp>
        <stp>2</stp>
        <stp>300589</stp>
        <stp>1</stp>
        <tr r="D1439" s="1"/>
      </tp>
      <tp t="s">
        <v>基础化工</v>
        <stp/>
        <stp>EM_S_INFO_INDEX_EM</stp>
        <stp>2</stp>
        <stp>600589</stp>
        <stp>1</stp>
        <tr r="D818" s="1"/>
      </tp>
      <tp t="s">
        <v>互联网</v>
        <stp/>
        <stp>EM_S_INFO_INDEX_EM</stp>
        <stp>2</stp>
        <stp>600599</stp>
        <stp>1</stp>
        <tr r="D2128" s="1"/>
      </tp>
      <tp t="s">
        <v>建材</v>
        <stp/>
        <stp>EM_S_INFO_INDEX_EM</stp>
        <stp>2</stp>
        <stp>000509</stp>
        <stp>1</stp>
        <tr r="D3435" s="1"/>
      </tp>
      <tp t="s">
        <v>基础化工</v>
        <stp/>
        <stp>EM_S_INFO_INDEX_EM</stp>
        <stp>2</stp>
        <stp>300539</stp>
        <stp>1</stp>
        <tr r="D2767" s="1"/>
      </tp>
      <tp t="s">
        <v>钢铁</v>
        <stp/>
        <stp>EM_S_INFO_INDEX_EM</stp>
        <stp>2</stp>
        <stp>600569</stp>
        <stp>1</stp>
        <tr r="D3012" s="1"/>
      </tp>
      <tp t="s">
        <v>有色金属</v>
        <stp/>
        <stp>EM_S_INFO_INDEX_EM</stp>
        <stp>2</stp>
        <stp>000519</stp>
        <stp>1</stp>
        <tr r="D1223" s="1"/>
      </tp>
      <tp t="s">
        <v>医药生物</v>
        <stp/>
        <stp>EM_S_INFO_INDEX_EM</stp>
        <stp>2</stp>
        <stp>300529</stp>
        <stp>1</stp>
        <tr r="D323" s="1"/>
      </tp>
      <tp t="s">
        <v>机械设备</v>
        <stp/>
        <stp>EM_S_INFO_INDEX_EM</stp>
        <stp>2</stp>
        <stp>600579</stp>
        <stp>1</stp>
        <tr r="D3071" s="1"/>
      </tp>
      <tp t="s">
        <v>食品饮料</v>
        <stp/>
        <stp>EM_S_INFO_INDEX_EM</stp>
        <stp>2</stp>
        <stp>000529</stp>
        <stp>1</stp>
        <tr r="D546" s="1"/>
      </tp>
      <tp t="s">
        <v>医药生物</v>
        <stp/>
        <stp>EM_S_INFO_INDEX_EM</stp>
        <stp>2</stp>
        <stp>300519</stp>
        <stp>1</stp>
        <tr r="D2466" s="1"/>
      </tp>
      <tp t="s">
        <v>有色金属</v>
        <stp/>
        <stp>EM_S_INFO_INDEX_EM</stp>
        <stp>2</stp>
        <stp>600549</stp>
        <stp>1</stp>
        <tr r="D1788" s="1"/>
      </tp>
      <tp t="s">
        <v>公用事业</v>
        <stp/>
        <stp>EM_S_INFO_INDEX_EM</stp>
        <stp>2</stp>
        <stp>000539</stp>
        <stp>1</stp>
        <tr r="D2832" s="1"/>
      </tp>
      <tp t="s">
        <v>机械设备</v>
        <stp/>
        <stp>EM_S_INFO_INDEX_EM</stp>
        <stp>2</stp>
        <stp>300509</stp>
        <stp>1</stp>
        <tr r="D3148" s="1"/>
      </tp>
      <tp t="s">
        <v>食品饮料</v>
        <stp/>
        <stp>EM_S_INFO_INDEX_EM</stp>
        <stp>2</stp>
        <stp>600559</stp>
        <stp>1</stp>
        <tr r="D2704" s="1"/>
      </tp>
      <tp>
        <v>0</v>
        <stp/>
        <stp>EM_S_INFO_INDEX_EM</stp>
        <stp>2</stp>
        <stp>000549</stp>
        <stp>1</stp>
        <tr r="D3451" s="1"/>
      </tp>
      <tp t="s">
        <v>信息技术</v>
        <stp/>
        <stp>EM_S_INFO_INDEX_EM</stp>
        <stp>2</stp>
        <stp>300579</stp>
        <stp>1</stp>
        <tr r="D330" s="1"/>
      </tp>
      <tp t="s">
        <v>医药生物</v>
        <stp/>
        <stp>EM_S_INFO_INDEX_EM</stp>
        <stp>2</stp>
        <stp>600529</stp>
        <stp>1</stp>
        <tr r="D589" s="1"/>
      </tp>
      <tp t="s">
        <v>交运设备</v>
        <stp/>
        <stp>EM_S_INFO_INDEX_EM</stp>
        <stp>2</stp>
        <stp>000559</stp>
        <stp>1</stp>
        <tr r="D1985" s="1"/>
      </tp>
      <tp t="s">
        <v>电气设备</v>
        <stp/>
        <stp>EM_S_INFO_INDEX_EM</stp>
        <stp>2</stp>
        <stp>300569</stp>
        <stp>1</stp>
        <tr r="D1506" s="1"/>
      </tp>
      <tp t="s">
        <v>家电</v>
        <stp/>
        <stp>EM_S_INFO_INDEX_EM</stp>
        <stp>2</stp>
        <stp>600539</stp>
        <stp>1</stp>
        <tr r="D1929" s="1"/>
      </tp>
      <tp>
        <v>0</v>
        <stp/>
        <stp>EM_S_INFO_INDEX_EM</stp>
        <stp>2</stp>
        <stp>000569</stp>
        <stp>1</stp>
        <tr r="D3460" s="1"/>
      </tp>
      <tp t="s">
        <v>信息技术</v>
        <stp/>
        <stp>EM_S_INFO_INDEX_EM</stp>
        <stp>2</stp>
        <stp>300559</stp>
        <stp>1</stp>
        <tr r="D2942" s="1"/>
      </tp>
      <tp t="s">
        <v>公用事业</v>
        <stp/>
        <stp>EM_S_INFO_INDEX_EM</stp>
        <stp>2</stp>
        <stp>600509</stp>
        <stp>1</stp>
        <tr r="D2207" s="1"/>
      </tp>
      <tp t="s">
        <v>机械设备</v>
        <stp/>
        <stp>EM_S_INFO_INDEX_EM</stp>
        <stp>2</stp>
        <stp>300549</stp>
        <stp>1</stp>
        <tr r="D1330" s="1"/>
      </tp>
      <tp t="s">
        <v>食品饮料</v>
        <stp/>
        <stp>EM_S_INFO_INDEX_EM</stp>
        <stp>2</stp>
        <stp>600519</stp>
        <stp>1</stp>
        <tr r="D160" s="1"/>
      </tp>
      <tp t="s">
        <v>信息技术</v>
        <stp/>
        <stp>EM_S_INFO_INDEX_EM</stp>
        <stp>2</stp>
        <stp>000889</stp>
        <stp>1</stp>
        <tr r="D2649" s="1"/>
      </tp>
      <tp t="s">
        <v>公用事业</v>
        <stp/>
        <stp>EM_S_INFO_INDEX_EM</stp>
        <stp>2</stp>
        <stp>000899</stp>
        <stp>1</stp>
        <tr r="D1690" s="1"/>
      </tp>
      <tp t="s">
        <v>基础化工</v>
        <stp/>
        <stp>EM_S_INFO_INDEX_EM</stp>
        <stp>2</stp>
        <stp>600889</stp>
        <stp>1</stp>
        <tr r="D2344" s="1"/>
      </tp>
      <tp>
        <v>0</v>
        <stp/>
        <stp>EM_S_INFO_INDEX_EM</stp>
        <stp>2</stp>
        <stp>600899</stp>
        <stp>1</stp>
        <tr r="D2333" s="1"/>
      </tp>
      <tp t="s">
        <v>房地产</v>
        <stp/>
        <stp>EM_S_INFO_INDEX_EM</stp>
        <stp>2</stp>
        <stp>000809</stp>
        <stp>1</stp>
        <tr r="D2356" s="1"/>
      </tp>
      <tp t="s">
        <v>电气设备</v>
        <stp/>
        <stp>EM_S_INFO_INDEX_EM</stp>
        <stp>2</stp>
        <stp>600869</stp>
        <stp>1</stp>
        <tr r="D2251" s="1"/>
      </tp>
      <tp t="s">
        <v>化石能源</v>
        <stp/>
        <stp>EM_S_INFO_INDEX_EM</stp>
        <stp>2</stp>
        <stp>000819</stp>
        <stp>1</stp>
        <tr r="D2694" s="1"/>
      </tp>
      <tp t="s">
        <v>国防与装备</v>
        <stp/>
        <stp>EM_S_INFO_INDEX_EM</stp>
        <stp>2</stp>
        <stp>600879</stp>
        <stp>1</stp>
        <tr r="D1674" s="1"/>
      </tp>
      <tp t="s">
        <v>商贸零售</v>
        <stp/>
        <stp>EM_S_INFO_INDEX_EM</stp>
        <stp>2</stp>
        <stp>000829</stp>
        <stp>1</stp>
        <tr r="D3551" s="1"/>
      </tp>
      <tp>
        <v>0</v>
        <stp/>
        <stp>EM_S_INFO_INDEX_EM</stp>
        <stp>2</stp>
        <stp>600849</stp>
        <stp>1</stp>
        <tr r="D2335" s="1"/>
      </tp>
      <tp t="s">
        <v>信息技术</v>
        <stp/>
        <stp>EM_S_INFO_INDEX_EM</stp>
        <stp>2</stp>
        <stp>000839</stp>
        <stp>1</stp>
        <tr r="D3555" s="1"/>
      </tp>
      <tp t="s">
        <v>商贸零售</v>
        <stp/>
        <stp>EM_S_INFO_INDEX_EM</stp>
        <stp>2</stp>
        <stp>600859</stp>
        <stp>1</stp>
        <tr r="D2086" s="1"/>
      </tp>
      <tp t="s">
        <v>医药生物</v>
        <stp/>
        <stp>EM_S_INFO_INDEX_EM</stp>
        <stp>2</stp>
        <stp>600829</stp>
        <stp>1</stp>
        <tr r="D1485" s="1"/>
      </tp>
      <tp t="s">
        <v>基础化工</v>
        <stp/>
        <stp>EM_S_INFO_INDEX_EM</stp>
        <stp>2</stp>
        <stp>000859</stp>
        <stp>1</stp>
        <tr r="D151" s="1"/>
      </tp>
      <tp t="s">
        <v>家电</v>
        <stp/>
        <stp>EM_S_INFO_INDEX_EM</stp>
        <stp>2</stp>
        <stp>600839</stp>
        <stp>1</stp>
        <tr r="D1139" s="1"/>
      </tp>
      <tp t="s">
        <v>食品饮料</v>
        <stp/>
        <stp>EM_S_INFO_INDEX_EM</stp>
        <stp>2</stp>
        <stp>000869</stp>
        <stp>1</stp>
        <tr r="D1713" s="1"/>
      </tp>
      <tp t="s">
        <v>食品饮料</v>
        <stp/>
        <stp>EM_S_INFO_INDEX_EM</stp>
        <stp>2</stp>
        <stp>600809</stp>
        <stp>1</stp>
        <tr r="D75" s="1"/>
      </tp>
      <tp t="s">
        <v>建材</v>
        <stp/>
        <stp>EM_S_INFO_INDEX_EM</stp>
        <stp>2</stp>
        <stp>600819</stp>
        <stp>1</stp>
        <tr r="D1023" s="1"/>
      </tp>
      <tp t="s">
        <v>医药生物</v>
        <stp/>
        <stp>EM_S_INFO_INDEX_EM</stp>
        <stp>2</stp>
        <stp>000989</stp>
        <stp>1</stp>
        <tr r="D3598" s="1"/>
      </tp>
      <tp t="s">
        <v>医药生物</v>
        <stp/>
        <stp>EM_S_INFO_INDEX_EM</stp>
        <stp>2</stp>
        <stp>000999</stp>
        <stp>1</stp>
        <tr r="D1163" s="1"/>
      </tp>
      <tp t="s">
        <v>金融</v>
        <stp/>
        <stp>EM_S_INFO_INDEX_EM</stp>
        <stp>2</stp>
        <stp>600999</stp>
        <stp>1</stp>
        <tr r="D764" s="1"/>
      </tp>
      <tp t="s">
        <v>房地产</v>
        <stp/>
        <stp>EM_S_INFO_INDEX_EM</stp>
        <stp>2</stp>
        <stp>000909</stp>
        <stp>1</stp>
        <tr r="D3571" s="1"/>
      </tp>
      <tp t="s">
        <v>公用事业</v>
        <stp/>
        <stp>EM_S_INFO_INDEX_EM</stp>
        <stp>2</stp>
        <stp>600969</stp>
        <stp>1</stp>
        <tr r="D1681" s="1"/>
      </tp>
      <tp t="s">
        <v>医药生物</v>
        <stp/>
        <stp>EM_S_INFO_INDEX_EM</stp>
        <stp>2</stp>
        <stp>000919</stp>
        <stp>1</stp>
        <tr r="D3576" s="1"/>
      </tp>
      <tp t="s">
        <v>公用事业</v>
        <stp/>
        <stp>EM_S_INFO_INDEX_EM</stp>
        <stp>2</stp>
        <stp>600979</stp>
        <stp>1</stp>
        <tr r="D2045" s="1"/>
      </tp>
      <tp t="s">
        <v>食品饮料</v>
        <stp/>
        <stp>EM_S_INFO_INDEX_EM</stp>
        <stp>2</stp>
        <stp>000929</stp>
        <stp>1</stp>
        <tr r="D3580" s="1"/>
      </tp>
      <tp t="s">
        <v>公用事业</v>
        <stp/>
        <stp>EM_S_INFO_INDEX_EM</stp>
        <stp>2</stp>
        <stp>000939</stp>
        <stp>1</stp>
        <tr r="D3583" s="1"/>
      </tp>
      <tp t="s">
        <v>文化传媒</v>
        <stp/>
        <stp>EM_S_INFO_INDEX_EM</stp>
        <stp>2</stp>
        <stp>600959</stp>
        <stp>1</stp>
        <tr r="D2509" s="1"/>
      </tp>
      <tp t="s">
        <v>基础化工</v>
        <stp/>
        <stp>EM_S_INFO_INDEX_EM</stp>
        <stp>2</stp>
        <stp>000949</stp>
        <stp>1</stp>
        <tr r="D670" s="1"/>
      </tp>
      <tp t="s">
        <v>食品饮料</v>
        <stp/>
        <stp>EM_S_INFO_INDEX_EM</stp>
        <stp>2</stp>
        <stp>600929</stp>
        <stp>1</stp>
        <tr r="D3072" s="1"/>
      </tp>
      <tp t="s">
        <v>钢铁</v>
        <stp/>
        <stp>EM_S_INFO_INDEX_EM</stp>
        <stp>2</stp>
        <stp>000959</stp>
        <stp>1</stp>
        <tr r="D2602" s="1"/>
      </tp>
      <tp t="s">
        <v>建筑</v>
        <stp/>
        <stp>EM_S_INFO_INDEX_EM</stp>
        <stp>2</stp>
        <stp>600939</stp>
        <stp>1</stp>
        <tr r="D2104" s="1"/>
      </tp>
      <tp t="s">
        <v>有色金属</v>
        <stp/>
        <stp>EM_S_INFO_INDEX_EM</stp>
        <stp>2</stp>
        <stp>000969</stp>
        <stp>1</stp>
        <tr r="D3588" s="1"/>
      </tp>
      <tp t="s">
        <v>金融</v>
        <stp/>
        <stp>EM_S_INFO_INDEX_EM</stp>
        <stp>2</stp>
        <stp>600909</stp>
        <stp>1</stp>
        <tr r="D502" s="1"/>
      </tp>
      <tp>
        <v>0</v>
        <stp/>
        <stp>EM_S_INFO_INDEX_EM</stp>
        <stp>2</stp>
        <stp>000979</stp>
        <stp>1</stp>
        <tr r="D3592" s="1"/>
      </tp>
      <tp t="s">
        <v>金融</v>
        <stp/>
        <stp>EM_S_INFO_INDEX_EM</stp>
        <stp>2</stp>
        <stp>600919</stp>
        <stp>1</stp>
        <tr r="D1245" s="1"/>
      </tp>
      <tp t="s">
        <v>机械设备</v>
        <stp/>
        <stp>EM_S_INFO_INDEX_EM</stp>
        <stp>2</stp>
        <stp>603289</stp>
        <stp>1</stp>
        <tr r="D1451" s="1"/>
      </tp>
      <tp t="s">
        <v>食品饮料</v>
        <stp/>
        <stp>EM_S_INFO_INDEX_EM</stp>
        <stp>2</stp>
        <stp>603299</stp>
        <stp>1</stp>
        <tr r="D852" s="1"/>
      </tp>
      <tp t="s">
        <v>机械设备</v>
        <stp/>
        <stp>EM_S_INFO_INDEX_EM</stp>
        <stp>2</stp>
        <stp>603269</stp>
        <stp>1</stp>
        <tr r="D2502" s="1"/>
      </tp>
      <tp t="s">
        <v>医药生物</v>
        <stp/>
        <stp>EM_S_INFO_INDEX_EM</stp>
        <stp>2</stp>
        <stp>603259</stp>
        <stp>1</stp>
        <tr r="D1205" s="1"/>
      </tp>
      <tp t="s">
        <v>医药生物</v>
        <stp/>
        <stp>EM_S_INFO_INDEX_EM</stp>
        <stp>2</stp>
        <stp>603229</stp>
        <stp>1</stp>
        <tr r="D274" s="1"/>
      </tp>
      <tp t="s">
        <v>交运设备</v>
        <stp/>
        <stp>EM_S_INFO_INDEX_EM</stp>
        <stp>2</stp>
        <stp>603239</stp>
        <stp>1</stp>
        <tr r="D1957" s="1"/>
      </tp>
      <tp t="s">
        <v>轻工制造</v>
        <stp/>
        <stp>EM_S_INFO_INDEX_EM</stp>
        <stp>2</stp>
        <stp>603389</stp>
        <stp>1</stp>
        <tr r="D3343" s="1"/>
      </tp>
      <tp t="s">
        <v>有色金属</v>
        <stp/>
        <stp>EM_S_INFO_INDEX_EM</stp>
        <stp>2</stp>
        <stp>603399</stp>
        <stp>1</stp>
        <tr r="D1095" s="1"/>
      </tp>
      <tp t="s">
        <v>食品饮料</v>
        <stp/>
        <stp>EM_S_INFO_INDEX_EM</stp>
        <stp>2</stp>
        <stp>603369</stp>
        <stp>1</stp>
        <tr r="D109" s="1"/>
      </tp>
      <tp t="s">
        <v>建筑</v>
        <stp/>
        <stp>EM_S_INFO_INDEX_EM</stp>
        <stp>2</stp>
        <stp>603359</stp>
        <stp>1</stp>
        <tr r="D2716" s="1"/>
      </tp>
      <tp t="s">
        <v>交通运输</v>
        <stp/>
        <stp>EM_S_INFO_INDEX_EM</stp>
        <stp>2</stp>
        <stp>603329</stp>
        <stp>1</stp>
        <tr r="D2895" s="1"/>
      </tp>
      <tp t="s">
        <v>机械设备</v>
        <stp/>
        <stp>EM_S_INFO_INDEX_EM</stp>
        <stp>2</stp>
        <stp>603339</stp>
        <stp>1</stp>
        <tr r="D2771" s="1"/>
      </tp>
      <tp t="s">
        <v>医药生物</v>
        <stp/>
        <stp>EM_S_INFO_INDEX_EM</stp>
        <stp>2</stp>
        <stp>603309</stp>
        <stp>1</stp>
        <tr r="D620" s="1"/>
      </tp>
      <tp t="s">
        <v>交运设备</v>
        <stp/>
        <stp>EM_S_INFO_INDEX_EM</stp>
        <stp>2</stp>
        <stp>603319</stp>
        <stp>1</stp>
        <tr r="D2802" s="1"/>
      </tp>
      <tp t="s">
        <v>交运设备</v>
        <stp/>
        <stp>EM_S_INFO_INDEX_EM</stp>
        <stp>2</stp>
        <stp>603089</stp>
        <stp>1</stp>
        <tr r="D2683" s="1"/>
      </tp>
      <tp t="s">
        <v>休闲、生活及专业服务</v>
        <stp/>
        <stp>EM_S_INFO_INDEX_EM</stp>
        <stp>2</stp>
        <stp>603099</stp>
        <stp>1</stp>
        <tr r="D1625" s="1"/>
      </tp>
      <tp t="s">
        <v>交通运输</v>
        <stp/>
        <stp>EM_S_INFO_INDEX_EM</stp>
        <stp>2</stp>
        <stp>603069</stp>
        <stp>1</stp>
        <tr r="D464" s="1"/>
      </tp>
      <tp t="s">
        <v>医药生物</v>
        <stp/>
        <stp>EM_S_INFO_INDEX_EM</stp>
        <stp>2</stp>
        <stp>603079</stp>
        <stp>1</stp>
        <tr r="D90" s="1"/>
      </tp>
      <tp t="s">
        <v>轻工制造</v>
        <stp/>
        <stp>EM_S_INFO_INDEX_EM</stp>
        <stp>2</stp>
        <stp>603059</stp>
        <stp>1</stp>
        <tr r="D2986" s="1"/>
      </tp>
      <tp t="s">
        <v>机械设备</v>
        <stp/>
        <stp>EM_S_INFO_INDEX_EM</stp>
        <stp>2</stp>
        <stp>603029</stp>
        <stp>1</stp>
        <tr r="D1695" s="1"/>
      </tp>
      <tp t="s">
        <v>信息技术</v>
        <stp/>
        <stp>EM_S_INFO_INDEX_EM</stp>
        <stp>2</stp>
        <stp>603039</stp>
        <stp>1</stp>
        <tr r="D3129" s="1"/>
      </tp>
      <tp t="s">
        <v>交运设备</v>
        <stp/>
        <stp>EM_S_INFO_INDEX_EM</stp>
        <stp>2</stp>
        <stp>603009</stp>
        <stp>1</stp>
        <tr r="D1875" s="1"/>
      </tp>
      <tp t="s">
        <v>信息技术</v>
        <stp/>
        <stp>EM_S_INFO_INDEX_EM</stp>
        <stp>2</stp>
        <stp>603019</stp>
        <stp>1</stp>
        <tr r="D2496" s="1"/>
      </tp>
      <tp t="s">
        <v>信息技术</v>
        <stp/>
        <stp>EM_S_INFO_INDEX_EM</stp>
        <stp>2</stp>
        <stp>603189</stp>
        <stp>1</stp>
        <tr r="D591" s="1"/>
      </tp>
      <tp t="s">
        <v>休闲、生活及专业服务</v>
        <stp/>
        <stp>EM_S_INFO_INDEX_EM</stp>
        <stp>2</stp>
        <stp>603199</stp>
        <stp>1</stp>
        <tr r="D1084" s="1"/>
      </tp>
      <tp t="s">
        <v>机械设备</v>
        <stp/>
        <stp>EM_S_INFO_INDEX_EM</stp>
        <stp>2</stp>
        <stp>603169</stp>
        <stp>1</stp>
        <tr r="D821" s="1"/>
      </tp>
      <tp t="s">
        <v>交运设备</v>
        <stp/>
        <stp>EM_S_INFO_INDEX_EM</stp>
        <stp>2</stp>
        <stp>603179</stp>
        <stp>1</stp>
        <tr r="D1445" s="1"/>
      </tp>
      <tp t="s">
        <v>机械设备</v>
        <stp/>
        <stp>EM_S_INFO_INDEX_EM</stp>
        <stp>2</stp>
        <stp>603159</stp>
        <stp>1</stp>
        <tr r="D3276" s="1"/>
      </tp>
      <tp t="s">
        <v>交运设备</v>
        <stp/>
        <stp>EM_S_INFO_INDEX_EM</stp>
        <stp>2</stp>
        <stp>603129</stp>
        <stp>1</stp>
        <tr r="D76" s="1"/>
      </tp>
      <tp t="s">
        <v>医药生物</v>
        <stp/>
        <stp>EM_S_INFO_INDEX_EM</stp>
        <stp>2</stp>
        <stp>603139</stp>
        <stp>1</stp>
        <tr r="D1742" s="1"/>
      </tp>
      <tp t="s">
        <v>公用事业</v>
        <stp/>
        <stp>EM_S_INFO_INDEX_EM</stp>
        <stp>2</stp>
        <stp>603689</stp>
        <stp>1</stp>
        <tr r="D2038" s="1"/>
      </tp>
      <tp t="s">
        <v>机械设备</v>
        <stp/>
        <stp>EM_S_INFO_INDEX_EM</stp>
        <stp>2</stp>
        <stp>603699</stp>
        <stp>1</stp>
        <tr r="D1395" s="1"/>
      </tp>
      <tp t="s">
        <v>医药生物</v>
        <stp/>
        <stp>EM_S_INFO_INDEX_EM</stp>
        <stp>2</stp>
        <stp>603669</stp>
        <stp>1</stp>
        <tr r="D3197" s="1"/>
      </tp>
      <tp t="s">
        <v>家电</v>
        <stp/>
        <stp>EM_S_INFO_INDEX_EM</stp>
        <stp>2</stp>
        <stp>603679</stp>
        <stp>1</stp>
        <tr r="D247" s="1"/>
      </tp>
      <tp t="s">
        <v>有色金属</v>
        <stp/>
        <stp>EM_S_INFO_INDEX_EM</stp>
        <stp>2</stp>
        <stp>603659</stp>
        <stp>1</stp>
        <tr r="D241" s="1"/>
      </tp>
      <tp t="s">
        <v>基础化工</v>
        <stp/>
        <stp>EM_S_INFO_INDEX_EM</stp>
        <stp>2</stp>
        <stp>603639</stp>
        <stp>1</stp>
        <tr r="D2640" s="1"/>
      </tp>
      <tp t="s">
        <v>农林牧渔</v>
        <stp/>
        <stp>EM_S_INFO_INDEX_EM</stp>
        <stp>2</stp>
        <stp>603609</stp>
        <stp>1</stp>
        <tr r="D548" s="1"/>
      </tp>
      <tp t="s">
        <v>化石能源</v>
        <stp/>
        <stp>EM_S_INFO_INDEX_EM</stp>
        <stp>2</stp>
        <stp>603619</stp>
        <stp>1</stp>
        <tr r="D2734" s="1"/>
      </tp>
      <tp t="s">
        <v>机械设备</v>
        <stp/>
        <stp>EM_S_INFO_INDEX_EM</stp>
        <stp>2</stp>
        <stp>603789</stp>
        <stp>1</stp>
        <tr r="D1413" s="1"/>
      </tp>
      <tp t="s">
        <v>有色金属</v>
        <stp/>
        <stp>EM_S_INFO_INDEX_EM</stp>
        <stp>2</stp>
        <stp>603799</stp>
        <stp>1</stp>
        <tr r="D912" s="1"/>
      </tp>
      <tp t="s">
        <v>食品饮料</v>
        <stp/>
        <stp>EM_S_INFO_INDEX_EM</stp>
        <stp>2</stp>
        <stp>603779</stp>
        <stp>1</stp>
        <tr r="D3383" s="1"/>
      </tp>
      <tp t="s">
        <v>文化传媒</v>
        <stp/>
        <stp>EM_S_INFO_INDEX_EM</stp>
        <stp>2</stp>
        <stp>603729</stp>
        <stp>1</stp>
        <tr r="D2042" s="1"/>
      </tp>
      <tp t="s">
        <v>轻工制造</v>
        <stp/>
        <stp>EM_S_INFO_INDEX_EM</stp>
        <stp>2</stp>
        <stp>603709</stp>
        <stp>1</stp>
        <tr r="D2206" s="1"/>
      </tp>
      <tp t="s">
        <v>轻工制造</v>
        <stp/>
        <stp>EM_S_INFO_INDEX_EM</stp>
        <stp>2</stp>
        <stp>603499</stp>
        <stp>1</stp>
        <tr r="D3091" s="1"/>
      </tp>
      <tp t="s">
        <v>轻工制造</v>
        <stp/>
        <stp>EM_S_INFO_INDEX_EM</stp>
        <stp>2</stp>
        <stp>603429</stp>
        <stp>1</stp>
        <tr r="D535" s="1"/>
      </tp>
      <tp t="s">
        <v>食品饮料</v>
        <stp/>
        <stp>EM_S_INFO_INDEX_EM</stp>
        <stp>2</stp>
        <stp>603589</stp>
        <stp>1</stp>
        <tr r="D454" s="1"/>
      </tp>
      <tp t="s">
        <v>基础化工</v>
        <stp/>
        <stp>EM_S_INFO_INDEX_EM</stp>
        <stp>2</stp>
        <stp>603599</stp>
        <stp>1</stp>
        <tr r="D724" s="1"/>
      </tp>
      <tp t="s">
        <v>交通运输</v>
        <stp/>
        <stp>EM_S_INFO_INDEX_EM</stp>
        <stp>2</stp>
        <stp>603569</stp>
        <stp>1</stp>
        <tr r="D2510" s="1"/>
      </tp>
      <tp t="s">
        <v>家电</v>
        <stp/>
        <stp>EM_S_INFO_INDEX_EM</stp>
        <stp>2</stp>
        <stp>603579</stp>
        <stp>1</stp>
        <tr r="D1908" s="1"/>
      </tp>
      <tp t="s">
        <v>信息技术</v>
        <stp/>
        <stp>EM_S_INFO_INDEX_EM</stp>
        <stp>2</stp>
        <stp>603559</stp>
        <stp>1</stp>
        <tr r="D3183" s="1"/>
      </tp>
      <tp t="s">
        <v>基础化工</v>
        <stp/>
        <stp>EM_S_INFO_INDEX_EM</stp>
        <stp>2</stp>
        <stp>603519</stp>
        <stp>1</stp>
        <tr r="D531" s="1"/>
      </tp>
      <tp t="s">
        <v>纺织服装</v>
        <stp/>
        <stp>EM_S_INFO_INDEX_EM</stp>
        <stp>2</stp>
        <stp>603889</stp>
        <stp>1</stp>
        <tr r="D3265" s="1"/>
      </tp>
      <tp t="s">
        <v>轻工制造</v>
        <stp/>
        <stp>EM_S_INFO_INDEX_EM</stp>
        <stp>2</stp>
        <stp>603899</stp>
        <stp>1</stp>
        <tr r="D439" s="1"/>
      </tp>
      <tp t="s">
        <v>信息技术</v>
        <stp/>
        <stp>EM_S_INFO_INDEX_EM</stp>
        <stp>2</stp>
        <stp>603869</stp>
        <stp>1</stp>
        <tr r="D3074" s="1"/>
      </tp>
      <tp t="s">
        <v>基础化工</v>
        <stp/>
        <stp>EM_S_INFO_INDEX_EM</stp>
        <stp>2</stp>
        <stp>603879</stp>
        <stp>1</stp>
        <tr r="D1251" s="1"/>
      </tp>
      <tp t="s">
        <v>电气设备</v>
        <stp/>
        <stp>EM_S_INFO_INDEX_EM</stp>
        <stp>2</stp>
        <stp>603859</stp>
        <stp>1</stp>
        <tr r="D443" s="1"/>
      </tp>
      <tp t="s">
        <v>电气设备</v>
        <stp/>
        <stp>EM_S_INFO_INDEX_EM</stp>
        <stp>2</stp>
        <stp>603829</stp>
        <stp>1</stp>
        <tr r="D1573" s="1"/>
      </tp>
      <tp t="s">
        <v>纺织服装</v>
        <stp/>
        <stp>EM_S_INFO_INDEX_EM</stp>
        <stp>2</stp>
        <stp>603839</stp>
        <stp>1</stp>
        <tr r="D1152" s="1"/>
      </tp>
      <tp t="s">
        <v>交运设备</v>
        <stp/>
        <stp>EM_S_INFO_INDEX_EM</stp>
        <stp>2</stp>
        <stp>603809</stp>
        <stp>1</stp>
        <tr r="D3285" s="1"/>
      </tp>
      <tp t="s">
        <v>电气设备</v>
        <stp/>
        <stp>EM_S_INFO_INDEX_EM</stp>
        <stp>2</stp>
        <stp>603819</stp>
        <stp>1</stp>
        <tr r="D2892" s="1"/>
      </tp>
      <tp t="s">
        <v>电子设备</v>
        <stp/>
        <stp>EM_S_INFO_INDEX_EM</stp>
        <stp>2</stp>
        <stp>603989</stp>
        <stp>1</stp>
        <tr r="D1726" s="1"/>
      </tp>
      <tp t="s">
        <v>文化传媒</v>
        <stp/>
        <stp>EM_S_INFO_INDEX_EM</stp>
        <stp>2</stp>
        <stp>603999</stp>
        <stp>1</stp>
        <tr r="D473" s="1"/>
      </tp>
      <tp t="s">
        <v>机械设备</v>
        <stp/>
        <stp>EM_S_INFO_INDEX_EM</stp>
        <stp>2</stp>
        <stp>603969</stp>
        <stp>1</stp>
        <tr r="D2760" s="1"/>
      </tp>
      <tp t="s">
        <v>建筑</v>
        <stp/>
        <stp>EM_S_INFO_INDEX_EM</stp>
        <stp>2</stp>
        <stp>603979</stp>
        <stp>1</stp>
        <tr r="D1297" s="1"/>
      </tp>
      <tp t="s">
        <v>建筑</v>
        <stp/>
        <stp>EM_S_INFO_INDEX_EM</stp>
        <stp>2</stp>
        <stp>603959</stp>
        <stp>1</stp>
        <tr r="D3275" s="1"/>
      </tp>
      <tp t="s">
        <v>建筑</v>
        <stp/>
        <stp>EM_S_INFO_INDEX_EM</stp>
        <stp>2</stp>
        <stp>603929</stp>
        <stp>1</stp>
        <tr r="D2220" s="1"/>
      </tp>
      <tp t="s">
        <v>医药生物</v>
        <stp/>
        <stp>EM_S_INFO_INDEX_EM</stp>
        <stp>2</stp>
        <stp>603939</stp>
        <stp>1</stp>
        <tr r="D285" s="1"/>
      </tp>
      <tp t="s">
        <v>休闲、生活及专业服务</v>
        <stp/>
        <stp>EM_S_INFO_INDEX_EM</stp>
        <stp>2</stp>
        <stp>603909</stp>
        <stp>1</stp>
        <tr r="D3356" s="1"/>
      </tp>
      <tp t="s">
        <v>食品饮料</v>
        <stp/>
        <stp>EM_S_INFO_INDEX_EM</stp>
        <stp>2</stp>
        <stp>603919</stp>
        <stp>1</stp>
        <tr r="D540" s="1"/>
      </tp>
      <tp t="s">
        <v>电子设备</v>
        <stp/>
        <stp>EM_S_INFO_INDEX_EM</stp>
        <stp>2</stp>
        <stp>002289</stp>
        <stp>1</stp>
        <tr r="D380" s="1"/>
      </tp>
      <tp t="s">
        <v>农林牧渔</v>
        <stp/>
        <stp>EM_S_INFO_INDEX_EM</stp>
        <stp>2</stp>
        <stp>002299</stp>
        <stp>1</stp>
        <tr r="D644" s="1"/>
      </tp>
      <tp t="s">
        <v>机械设备</v>
        <stp/>
        <stp>EM_S_INFO_INDEX_EM</stp>
        <stp>2</stp>
        <stp>002209</stp>
        <stp>1</stp>
        <tr r="D2160" s="1"/>
      </tp>
      <tp t="s">
        <v>医药生物</v>
        <stp/>
        <stp>EM_S_INFO_INDEX_EM</stp>
        <stp>2</stp>
        <stp>002219</stp>
        <stp>1</stp>
        <tr r="D3232" s="1"/>
      </tp>
      <tp t="s">
        <v>轻工制造</v>
        <stp/>
        <stp>EM_S_INFO_INDEX_EM</stp>
        <stp>2</stp>
        <stp>002229</stp>
        <stp>1</stp>
        <tr r="D2717" s="1"/>
      </tp>
      <tp t="s">
        <v>交运设备</v>
        <stp/>
        <stp>EM_S_INFO_INDEX_EM</stp>
        <stp>2</stp>
        <stp>002239</stp>
        <stp>1</stp>
        <tr r="D2868" s="1"/>
      </tp>
      <tp t="s">
        <v>电气设备</v>
        <stp/>
        <stp>EM_S_INFO_INDEX_EM</stp>
        <stp>2</stp>
        <stp>002249</stp>
        <stp>1</stp>
        <tr r="D1320" s="1"/>
      </tp>
      <tp t="s">
        <v>公用事业</v>
        <stp/>
        <stp>EM_S_INFO_INDEX_EM</stp>
        <stp>2</stp>
        <stp>002259</stp>
        <stp>1</stp>
        <tr r="D2658" s="1"/>
      </tp>
      <tp t="s">
        <v>纺织服装</v>
        <stp/>
        <stp>EM_S_INFO_INDEX_EM</stp>
        <stp>2</stp>
        <stp>002269</stp>
        <stp>1</stp>
        <tr r="D1454" s="1"/>
      </tp>
      <tp t="s">
        <v>信息技术</v>
        <stp/>
        <stp>EM_S_INFO_INDEX_EM</stp>
        <stp>2</stp>
        <stp>002279</stp>
        <stp>1</stp>
        <tr r="D2897" s="1"/>
      </tp>
      <tp t="s">
        <v>电子设备</v>
        <stp/>
        <stp>EM_S_INFO_INDEX_EM</stp>
        <stp>2</stp>
        <stp>002389</stp>
        <stp>1</stp>
        <tr r="D2708" s="1"/>
      </tp>
      <tp t="s">
        <v>医药生物</v>
        <stp/>
        <stp>EM_S_INFO_INDEX_EM</stp>
        <stp>2</stp>
        <stp>002399</stp>
        <stp>1</stp>
        <tr r="D2973" s="1"/>
      </tp>
      <tp t="s">
        <v>电气设备</v>
        <stp/>
        <stp>EM_S_INFO_INDEX_EM</stp>
        <stp>2</stp>
        <stp>002309</stp>
        <stp>1</stp>
        <tr r="D3182" s="1"/>
      </tp>
      <tp t="s">
        <v>基础化工</v>
        <stp/>
        <stp>EM_S_INFO_INDEX_EM</stp>
        <stp>2</stp>
        <stp>002319</stp>
        <stp>1</stp>
        <tr r="D3323" s="1"/>
      </tp>
      <tp t="s">
        <v>食品饮料</v>
        <stp/>
        <stp>EM_S_INFO_INDEX_EM</stp>
        <stp>2</stp>
        <stp>002329</stp>
        <stp>1</stp>
        <tr r="D907" s="1"/>
      </tp>
      <tp t="s">
        <v>电气设备</v>
        <stp/>
        <stp>EM_S_INFO_INDEX_EM</stp>
        <stp>2</stp>
        <stp>002339</stp>
        <stp>1</stp>
        <tr r="D1989" s="1"/>
      </tp>
      <tp t="s">
        <v>医药生物</v>
        <stp/>
        <stp>EM_S_INFO_INDEX_EM</stp>
        <stp>2</stp>
        <stp>002349</stp>
        <stp>1</stp>
        <tr r="D3126" s="1"/>
      </tp>
      <tp t="s">
        <v>信息技术</v>
        <stp/>
        <stp>EM_S_INFO_INDEX_EM</stp>
        <stp>2</stp>
        <stp>002359</stp>
        <stp>1</stp>
        <tr r="D3401" s="1"/>
      </tp>
      <tp t="s">
        <v>电子设备</v>
        <stp/>
        <stp>EM_S_INFO_INDEX_EM</stp>
        <stp>2</stp>
        <stp>002369</stp>
        <stp>1</stp>
        <tr r="D1109" s="1"/>
      </tp>
      <tp t="s">
        <v>有色金属</v>
        <stp/>
        <stp>EM_S_INFO_INDEX_EM</stp>
        <stp>2</stp>
        <stp>002379</stp>
        <stp>1</stp>
        <tr r="D881" s="1"/>
      </tp>
      <tp t="s">
        <v>信息技术</v>
        <stp/>
        <stp>EM_S_INFO_INDEX_EM</stp>
        <stp>2</stp>
        <stp>002089</stp>
        <stp>1</stp>
        <tr r="D3630" s="1"/>
      </tp>
      <tp t="s">
        <v>医药生物</v>
        <stp/>
        <stp>EM_S_INFO_INDEX_EM</stp>
        <stp>2</stp>
        <stp>002099</stp>
        <stp>1</stp>
        <tr r="D498" s="1"/>
      </tp>
      <tp t="s">
        <v>机械设备</v>
        <stp/>
        <stp>EM_S_INFO_INDEX_EM</stp>
        <stp>2</stp>
        <stp>002009</stp>
        <stp>1</stp>
        <tr r="D2192" s="1"/>
      </tp>
      <tp t="s">
        <v>医药生物</v>
        <stp/>
        <stp>EM_S_INFO_INDEX_EM</stp>
        <stp>2</stp>
        <stp>002019</stp>
        <stp>1</stp>
        <tr r="D581" s="1"/>
      </tp>
      <tp t="s">
        <v>纺织服装</v>
        <stp/>
        <stp>EM_S_INFO_INDEX_EM</stp>
        <stp>2</stp>
        <stp>002029</stp>
        <stp>1</stp>
        <tr r="D2562" s="1"/>
      </tp>
      <tp t="s">
        <v>公用事业</v>
        <stp/>
        <stp>EM_S_INFO_INDEX_EM</stp>
        <stp>2</stp>
        <stp>002039</stp>
        <stp>1</stp>
        <tr r="D3614" s="1"/>
      </tp>
      <tp t="s">
        <v>电子设备</v>
        <stp/>
        <stp>EM_S_INFO_INDEX_EM</stp>
        <stp>2</stp>
        <stp>002049</stp>
        <stp>1</stp>
        <tr r="D262" s="1"/>
      </tp>
      <tp t="s">
        <v>休闲、生活及专业服务</v>
        <stp/>
        <stp>EM_S_INFO_INDEX_EM</stp>
        <stp>2</stp>
        <stp>002059</stp>
        <stp>1</stp>
        <tr r="D2514" s="1"/>
      </tp>
      <tp t="s">
        <v>农林牧渔</v>
        <stp/>
        <stp>EM_S_INFO_INDEX_EM</stp>
        <stp>2</stp>
        <stp>002069</stp>
        <stp>1</stp>
        <tr r="D3621" s="1"/>
      </tp>
      <tp t="s">
        <v>电子设备</v>
        <stp/>
        <stp>EM_S_INFO_INDEX_EM</stp>
        <stp>2</stp>
        <stp>002079</stp>
        <stp>1</stp>
        <tr r="D84" s="1"/>
      </tp>
      <tp t="s">
        <v>电子设备</v>
        <stp/>
        <stp>EM_S_INFO_INDEX_EM</stp>
        <stp>2</stp>
        <stp>002189</stp>
        <stp>1</stp>
        <tr r="D409" s="1"/>
      </tp>
      <tp t="s">
        <v>电子设备</v>
        <stp/>
        <stp>EM_S_INFO_INDEX_EM</stp>
        <stp>2</stp>
        <stp>002199</stp>
        <stp>1</stp>
        <tr r="D2124" s="1"/>
      </tp>
      <tp t="s">
        <v>基础化工</v>
        <stp/>
        <stp>EM_S_INFO_INDEX_EM</stp>
        <stp>2</stp>
        <stp>002109</stp>
        <stp>1</stp>
        <tr r="D2560" s="1"/>
      </tp>
      <tp t="s">
        <v>电子设备</v>
        <stp/>
        <stp>EM_S_INFO_INDEX_EM</stp>
        <stp>2</stp>
        <stp>002119</stp>
        <stp>1</stp>
        <tr r="D493" s="1"/>
      </tp>
      <tp t="s">
        <v>电气设备</v>
        <stp/>
        <stp>EM_S_INFO_INDEX_EM</stp>
        <stp>2</stp>
        <stp>002129</stp>
        <stp>1</stp>
        <tr r="D384" s="1"/>
      </tp>
      <tp t="s">
        <v>电子设备</v>
        <stp/>
        <stp>EM_S_INFO_INDEX_EM</stp>
        <stp>2</stp>
        <stp>002139</stp>
        <stp>1</stp>
        <tr r="D684" s="1"/>
      </tp>
      <tp t="s">
        <v>有色金属</v>
        <stp/>
        <stp>EM_S_INFO_INDEX_EM</stp>
        <stp>2</stp>
        <stp>002149</stp>
        <stp>1</stp>
        <tr r="D618" s="1"/>
      </tp>
      <tp t="s">
        <v>休闲、生活及专业服务</v>
        <stp/>
        <stp>EM_S_INFO_INDEX_EM</stp>
        <stp>2</stp>
        <stp>002159</stp>
        <stp>1</stp>
        <tr r="D3212" s="1"/>
      </tp>
      <tp t="s">
        <v>电气设备</v>
        <stp/>
        <stp>EM_S_INFO_INDEX_EM</stp>
        <stp>2</stp>
        <stp>002169</stp>
        <stp>1</stp>
        <tr r="D182" s="1"/>
      </tp>
      <tp t="s">
        <v>电子设备</v>
        <stp/>
        <stp>EM_S_INFO_INDEX_EM</stp>
        <stp>2</stp>
        <stp>002179</stp>
        <stp>1</stp>
        <tr r="D1453" s="1"/>
      </tp>
      <tp t="s">
        <v>机械设备</v>
        <stp/>
        <stp>EM_S_INFO_INDEX_EM</stp>
        <stp>2</stp>
        <stp>002689</stp>
        <stp>1</stp>
        <tr r="D1692" s="1"/>
      </tp>
      <tp t="s">
        <v>文化传媒</v>
        <stp/>
        <stp>EM_S_INFO_INDEX_EM</stp>
        <stp>2</stp>
        <stp>002699</stp>
        <stp>1</stp>
        <tr r="D1025" s="1"/>
      </tp>
      <tp t="s">
        <v>信息技术</v>
        <stp/>
        <stp>EM_S_INFO_INDEX_EM</stp>
        <stp>2</stp>
        <stp>002609</stp>
        <stp>1</stp>
        <tr r="D507" s="1"/>
      </tp>
      <tp t="s">
        <v>互联网</v>
        <stp/>
        <stp>EM_S_INFO_INDEX_EM</stp>
        <stp>2</stp>
        <stp>002619</stp>
        <stp>1</stp>
        <tr r="D2620" s="1"/>
      </tp>
      <tp t="s">
        <v>化石能源</v>
        <stp/>
        <stp>EM_S_INFO_INDEX_EM</stp>
        <stp>2</stp>
        <stp>002629</stp>
        <stp>1</stp>
        <tr r="D3220" s="1"/>
      </tp>
      <tp t="s">
        <v>机械设备</v>
        <stp/>
        <stp>EM_S_INFO_INDEX_EM</stp>
        <stp>2</stp>
        <stp>002639</stp>
        <stp>1</stp>
        <tr r="D434" s="1"/>
      </tp>
      <tp t="s">
        <v>信息技术</v>
        <stp/>
        <stp>EM_S_INFO_INDEX_EM</stp>
        <stp>2</stp>
        <stp>002649</stp>
        <stp>1</stp>
        <tr r="D807" s="1"/>
      </tp>
      <tp t="s">
        <v>文化传媒</v>
        <stp/>
        <stp>EM_S_INFO_INDEX_EM</stp>
        <stp>2</stp>
        <stp>002659</stp>
        <stp>1</stp>
        <tr r="D3175" s="1"/>
      </tp>
      <tp t="s">
        <v>基础化工</v>
        <stp/>
        <stp>EM_S_INFO_INDEX_EM</stp>
        <stp>2</stp>
        <stp>002669</stp>
        <stp>1</stp>
        <tr r="D830" s="1"/>
      </tp>
      <tp t="s">
        <v>农林牧渔</v>
        <stp/>
        <stp>EM_S_INFO_INDEX_EM</stp>
        <stp>2</stp>
        <stp>002679</stp>
        <stp>1</stp>
        <tr r="D2584" s="1"/>
      </tp>
      <tp t="s">
        <v>建筑</v>
        <stp/>
        <stp>EM_S_INFO_INDEX_EM</stp>
        <stp>2</stp>
        <stp>002789</stp>
        <stp>1</stp>
        <tr r="D2208" s="1"/>
      </tp>
      <tp t="s">
        <v>轻工制造</v>
        <stp/>
        <stp>EM_S_INFO_INDEX_EM</stp>
        <stp>2</stp>
        <stp>002799</stp>
        <stp>1</stp>
        <tr r="D657" s="1"/>
      </tp>
      <tp t="s">
        <v>有色金属</v>
        <stp/>
        <stp>EM_S_INFO_INDEX_EM</stp>
        <stp>2</stp>
        <stp>002709</stp>
        <stp>1</stp>
        <tr r="D2533" s="1"/>
      </tp>
      <tp t="s">
        <v>食品饮料</v>
        <stp/>
        <stp>EM_S_INFO_INDEX_EM</stp>
        <stp>2</stp>
        <stp>002719</stp>
        <stp>1</stp>
        <tr r="D2151" s="1"/>
      </tp>
      <tp t="s">
        <v>电子设备</v>
        <stp/>
        <stp>EM_S_INFO_INDEX_EM</stp>
        <stp>2</stp>
        <stp>002729</stp>
        <stp>1</stp>
        <tr r="D92" s="1"/>
      </tp>
      <tp t="s">
        <v>文化传媒</v>
        <stp/>
        <stp>EM_S_INFO_INDEX_EM</stp>
        <stp>2</stp>
        <stp>002739</stp>
        <stp>1</stp>
        <tr r="D2975" s="1"/>
      </tp>
      <tp t="s">
        <v>基础化工</v>
        <stp/>
        <stp>EM_S_INFO_INDEX_EM</stp>
        <stp>2</stp>
        <stp>002749</stp>
        <stp>1</stp>
        <tr r="D3174" s="1"/>
      </tp>
      <tp t="s">
        <v>家电</v>
        <stp/>
        <stp>EM_S_INFO_INDEX_EM</stp>
        <stp>2</stp>
        <stp>002759</stp>
        <stp>1</stp>
        <tr r="D1470" s="1"/>
      </tp>
      <tp t="s">
        <v>交通运输</v>
        <stp/>
        <stp>EM_S_INFO_INDEX_EM</stp>
        <stp>2</stp>
        <stp>002769</stp>
        <stp>1</stp>
        <tr r="D2989" s="1"/>
      </tp>
      <tp t="s">
        <v>机械设备</v>
        <stp/>
        <stp>EM_S_INFO_INDEX_EM</stp>
        <stp>2</stp>
        <stp>002779</stp>
        <stp>1</stp>
        <tr r="D2173" s="1"/>
      </tp>
      <tp t="s">
        <v>轻工制造</v>
        <stp/>
        <stp>EM_S_INFO_INDEX_EM</stp>
        <stp>2</stp>
        <stp>002489</stp>
        <stp>1</stp>
        <tr r="D452" s="1"/>
      </tp>
      <tp t="s">
        <v>机械设备</v>
        <stp/>
        <stp>EM_S_INFO_INDEX_EM</stp>
        <stp>2</stp>
        <stp>002499</stp>
        <stp>1</stp>
        <tr r="D3287" s="1"/>
      </tp>
      <tp t="s">
        <v>基础化工</v>
        <stp/>
        <stp>EM_S_INFO_INDEX_EM</stp>
        <stp>2</stp>
        <stp>002409</stp>
        <stp>1</stp>
        <tr r="D294" s="1"/>
      </tp>
      <tp t="s">
        <v>商贸零售</v>
        <stp/>
        <stp>EM_S_INFO_INDEX_EM</stp>
        <stp>2</stp>
        <stp>002419</stp>
        <stp>1</stp>
        <tr r="D2535" s="1"/>
      </tp>
      <tp t="s">
        <v>家电</v>
        <stp/>
        <stp>EM_S_INFO_INDEX_EM</stp>
        <stp>2</stp>
        <stp>002429</stp>
        <stp>1</stp>
        <tr r="D242" s="1"/>
      </tp>
      <tp t="s">
        <v>信息技术</v>
        <stp/>
        <stp>EM_S_INFO_INDEX_EM</stp>
        <stp>2</stp>
        <stp>002439</stp>
        <stp>1</stp>
        <tr r="D349" s="1"/>
      </tp>
      <tp t="s">
        <v>电子设备</v>
        <stp/>
        <stp>EM_S_INFO_INDEX_EM</stp>
        <stp>2</stp>
        <stp>002449</stp>
        <stp>1</stp>
        <tr r="D1099" s="1"/>
      </tp>
      <tp t="s">
        <v>电气设备</v>
        <stp/>
        <stp>EM_S_INFO_INDEX_EM</stp>
        <stp>2</stp>
        <stp>002459</stp>
        <stp>1</stp>
        <tr r="D871" s="1"/>
      </tp>
      <tp t="s">
        <v>建筑</v>
        <stp/>
        <stp>EM_S_INFO_INDEX_EM</stp>
        <stp>2</stp>
        <stp>002469</stp>
        <stp>1</stp>
        <tr r="D1922" s="1"/>
      </tp>
      <tp t="s">
        <v>公用事业</v>
        <stp/>
        <stp>EM_S_INFO_INDEX_EM</stp>
        <stp>2</stp>
        <stp>002479</stp>
        <stp>1</stp>
        <tr r="D445" s="1"/>
      </tp>
      <tp t="s">
        <v>医药生物</v>
        <stp/>
        <stp>EM_S_INFO_INDEX_EM</stp>
        <stp>2</stp>
        <stp>002589</stp>
        <stp>1</stp>
        <tr r="D1768" s="1"/>
      </tp>
      <tp t="s">
        <v>轻工制造</v>
        <stp/>
        <stp>EM_S_INFO_INDEX_EM</stp>
        <stp>2</stp>
        <stp>002599</stp>
        <stp>1</stp>
        <tr r="D3370" s="1"/>
      </tp>
      <tp t="s">
        <v>建筑</v>
        <stp/>
        <stp>EM_S_INFO_INDEX_EM</stp>
        <stp>2</stp>
        <stp>002509</stp>
        <stp>1</stp>
        <tr r="D3313" s="1"/>
      </tp>
      <tp t="s">
        <v>家电</v>
        <stp/>
        <stp>EM_S_INFO_INDEX_EM</stp>
        <stp>2</stp>
        <stp>002519</stp>
        <stp>1</stp>
        <tr r="D1671" s="1"/>
      </tp>
      <tp t="s">
        <v>机械设备</v>
        <stp/>
        <stp>EM_S_INFO_INDEX_EM</stp>
        <stp>2</stp>
        <stp>002529</stp>
        <stp>1</stp>
        <tr r="D2916" s="1"/>
      </tp>
      <tp t="s">
        <v>基础化工</v>
        <stp/>
        <stp>EM_S_INFO_INDEX_EM</stp>
        <stp>2</stp>
        <stp>002539</stp>
        <stp>1</stp>
        <tr r="D1332" s="1"/>
      </tp>
      <tp t="s">
        <v>基础化工</v>
        <stp/>
        <stp>EM_S_INFO_INDEX_EM</stp>
        <stp>2</stp>
        <stp>002549</stp>
        <stp>1</stp>
        <tr r="D1576" s="1"/>
      </tp>
      <tp t="s">
        <v>机械设备</v>
        <stp/>
        <stp>EM_S_INFO_INDEX_EM</stp>
        <stp>2</stp>
        <stp>002559</stp>
        <stp>1</stp>
        <tr r="D2941" s="1"/>
      </tp>
      <tp t="s">
        <v>纺织服装</v>
        <stp/>
        <stp>EM_S_INFO_INDEX_EM</stp>
        <stp>2</stp>
        <stp>002569</stp>
        <stp>1</stp>
        <tr r="D2052" s="1"/>
      </tp>
      <tp t="s">
        <v>电子设备</v>
        <stp/>
        <stp>EM_S_INFO_INDEX_EM</stp>
        <stp>2</stp>
        <stp>002579</stp>
        <stp>1</stp>
        <tr r="D396" s="1"/>
      </tp>
      <tp t="s">
        <v>交通运输</v>
        <stp/>
        <stp>EM_S_INFO_INDEX_EM</stp>
        <stp>2</stp>
        <stp>002889</stp>
        <stp>1</stp>
        <tr r="D1842" s="1"/>
      </tp>
      <tp t="s">
        <v>轻工制造</v>
        <stp/>
        <stp>EM_S_INFO_INDEX_EM</stp>
        <stp>2</stp>
        <stp>002899</stp>
        <stp>1</stp>
        <tr r="D2501" s="1"/>
      </tp>
      <tp t="s">
        <v>基础化工</v>
        <stp/>
        <stp>EM_S_INFO_INDEX_EM</stp>
        <stp>2</stp>
        <stp>002809</stp>
        <stp>1</stp>
        <tr r="D961" s="1"/>
      </tp>
      <tp t="s">
        <v>电子设备</v>
        <stp/>
        <stp>EM_S_INFO_INDEX_EM</stp>
        <stp>2</stp>
        <stp>002819</stp>
        <stp>1</stp>
        <tr r="D1242" s="1"/>
      </tp>
      <tp t="s">
        <v>国防与装备</v>
        <stp/>
        <stp>EM_S_INFO_INDEX_EM</stp>
        <stp>2</stp>
        <stp>002829</stp>
        <stp>1</stp>
        <tr r="D1147" s="1"/>
      </tp>
      <tp t="s">
        <v>金融</v>
        <stp/>
        <stp>EM_S_INFO_INDEX_EM</stp>
        <stp>2</stp>
        <stp>002839</stp>
        <stp>1</stp>
        <tr r="D1722" s="1"/>
      </tp>
      <tp t="s">
        <v>机械设备</v>
        <stp/>
        <stp>EM_S_INFO_INDEX_EM</stp>
        <stp>2</stp>
        <stp>002849</stp>
        <stp>1</stp>
        <tr r="D2282" s="1"/>
      </tp>
      <tp t="s">
        <v>电子设备</v>
        <stp/>
        <stp>EM_S_INFO_INDEX_EM</stp>
        <stp>2</stp>
        <stp>002859</stp>
        <stp>1</stp>
        <tr r="D1645" s="1"/>
      </tp>
      <tp t="s">
        <v>电子设备</v>
        <stp/>
        <stp>EM_S_INFO_INDEX_EM</stp>
        <stp>2</stp>
        <stp>002869</stp>
        <stp>1</stp>
        <tr r="D26" s="1"/>
      </tp>
      <tp t="s">
        <v>电气设备</v>
        <stp/>
        <stp>EM_S_INFO_INDEX_EM</stp>
        <stp>2</stp>
        <stp>002879</stp>
        <stp>1</stp>
        <tr r="D1221" s="1"/>
      </tp>
      <tp t="s">
        <v>基础化工</v>
        <stp/>
        <stp>EM_S_INFO_INDEX_EM</stp>
        <stp>2</stp>
        <stp>002909</stp>
        <stp>1</stp>
        <tr r="D2046" s="1"/>
      </tp>
      <tp t="s">
        <v>基础化工</v>
        <stp/>
        <stp>EM_S_INFO_INDEX_EM</stp>
        <stp>2</stp>
        <stp>002919</stp>
        <stp>1</stp>
        <tr r="D3159" s="1"/>
      </tp>
      <tp t="s">
        <v>信息技术</v>
        <stp/>
        <stp>EM_S_INFO_INDEX_EM</stp>
        <stp>2</stp>
        <stp>002929</stp>
        <stp>1</stp>
        <tr r="D2978" s="1"/>
      </tp>
      <tp>
        <v>0.26639047759421508</v>
        <stp/>
        <stp>EM_S_VAL_DIVIDENDYIELD2</stp>
        <stp>3</stp>
        <stp>002224</stp>
        <stp>12/31/2018</stp>
        <stp>2019-11-29</stp>
        <tr r="Q1500" s="1"/>
      </tp>
      <tp>
        <v>0</v>
        <stp/>
        <stp>EM_S_VAL_DIVIDENDYIELD2</stp>
        <stp>3</stp>
        <stp>002234</stp>
        <stp>12/31/2018</stp>
        <stp>2019-11-29</stp>
        <tr r="Q58" s="1"/>
      </tp>
      <tp>
        <v>0.80906148867313932</v>
        <stp/>
        <stp>EM_S_VAL_DIVIDENDYIELD2</stp>
        <stp>3</stp>
        <stp>002204</stp>
        <stp>12/31/2018</stp>
        <stp>2019-11-29</stp>
        <tr r="Q1806" s="1"/>
      </tp>
      <tp>
        <v>0.32154340836012857</v>
        <stp/>
        <stp>EM_S_VAL_DIVIDENDYIELD2</stp>
        <stp>3</stp>
        <stp>002214</stp>
        <stp>12/31/2018</stp>
        <stp>2019-11-29</stp>
        <tr r="Q189" s="1"/>
      </tp>
      <tp>
        <v>0</v>
        <stp/>
        <stp>EM_S_VAL_DIVIDENDYIELD2</stp>
        <stp>3</stp>
        <stp>002264</stp>
        <stp>12/31/2018</stp>
        <stp>2019-11-29</stp>
        <tr r="Q2960" s="1"/>
      </tp>
      <tp>
        <v>1.6949152542372881</v>
        <stp/>
        <stp>EM_S_VAL_DIVIDENDYIELD2</stp>
        <stp>3</stp>
        <stp>002274</stp>
        <stp>12/31/2018</stp>
        <stp>2019-11-29</stp>
        <tr r="Q999" s="1"/>
      </tp>
      <tp>
        <v>1.3986013986013985</v>
        <stp/>
        <stp>EM_S_VAL_DIVIDENDYIELD2</stp>
        <stp>3</stp>
        <stp>002244</stp>
        <stp>12/31/2018</stp>
        <stp>2019-11-29</stp>
        <tr r="Q1120" s="1"/>
      </tp>
      <tp>
        <v>0.48216007714561238</v>
        <stp/>
        <stp>EM_S_VAL_DIVIDENDYIELD2</stp>
        <stp>3</stp>
        <stp>002254</stp>
        <stp>12/31/2018</stp>
        <stp>2019-11-29</stp>
        <tr r="Q2504" s="1"/>
      </tp>
      <tp>
        <v>0</v>
        <stp/>
        <stp>EM_S_VAL_DIVIDENDYIELD2</stp>
        <stp>3</stp>
        <stp>002284</stp>
        <stp>12/31/2018</stp>
        <stp>2019-11-29</stp>
        <tr r="Q1226" s="1"/>
      </tp>
      <tp>
        <v>4.3103448275862073</v>
        <stp/>
        <stp>EM_S_VAL_DIVIDENDYIELD2</stp>
        <stp>3</stp>
        <stp>002294</stp>
        <stp>12/31/2018</stp>
        <stp>2019-11-29</stp>
        <tr r="Q2519" s="1"/>
      </tp>
      <tp>
        <v>1.2066365009826094</v>
        <stp/>
        <stp>EM_S_VAL_DIVIDENDYIELD2</stp>
        <stp>3</stp>
        <stp>002324</stp>
        <stp>12/31/2018</stp>
        <stp>2019-11-29</stp>
        <tr r="Q820" s="1"/>
      </tp>
      <tp>
        <v>1.2258146630657087</v>
        <stp/>
        <stp>EM_S_VAL_DIVIDENDYIELD2</stp>
        <stp>3</stp>
        <stp>002334</stp>
        <stp>12/31/2018</stp>
        <stp>2019-11-29</stp>
        <tr r="Q2234" s="1"/>
      </tp>
      <tp>
        <v>3.2589876769528465</v>
        <stp/>
        <stp>EM_S_VAL_DIVIDENDYIELD2</stp>
        <stp>3</stp>
        <stp>002304</stp>
        <stp>12/31/2018</stp>
        <stp>2019-11-29</stp>
        <tr r="Q1400" s="1"/>
      </tp>
      <tp>
        <v>0</v>
        <stp/>
        <stp>EM_S_VAL_DIVIDENDYIELD2</stp>
        <stp>3</stp>
        <stp>002314</stp>
        <stp>12/31/2018</stp>
        <stp>2019-11-29</stp>
        <tr r="Q1918" s="1"/>
      </tp>
      <tp>
        <v>0.85984522785898543</v>
        <stp/>
        <stp>EM_S_VAL_DIVIDENDYIELD2</stp>
        <stp>3</stp>
        <stp>002364</stp>
        <stp>12/31/2018</stp>
        <stp>2019-11-29</stp>
        <tr r="Q2413" s="1"/>
      </tp>
      <tp>
        <v>0</v>
        <stp/>
        <stp>EM_S_VAL_DIVIDENDYIELD2</stp>
        <stp>3</stp>
        <stp>002374</stp>
        <stp>12/31/2018</stp>
        <stp>2019-11-29</stp>
        <tr r="Q2545" s="1"/>
      </tp>
      <tp>
        <v>0.51219512195121941</v>
        <stp/>
        <stp>EM_S_VAL_DIVIDENDYIELD2</stp>
        <stp>3</stp>
        <stp>002344</stp>
        <stp>12/31/2018</stp>
        <stp>2019-11-29</stp>
        <tr r="Q2491" s="1"/>
      </tp>
      <tp>
        <v>0</v>
        <stp/>
        <stp>EM_S_VAL_DIVIDENDYIELD2</stp>
        <stp>3</stp>
        <stp>002354</stp>
        <stp>12/31/2018</stp>
        <stp>2019-11-29</stp>
        <tr r="Q3345" s="1"/>
      </tp>
      <tp>
        <v>0.2879581151832461</v>
        <stp/>
        <stp>EM_S_VAL_DIVIDENDYIELD2</stp>
        <stp>3</stp>
        <stp>002384</stp>
        <stp>12/31/2018</stp>
        <stp>2019-11-29</stp>
        <tr r="Q172" s="1"/>
      </tp>
      <tp>
        <v>3.2894736842105261</v>
        <stp/>
        <stp>EM_S_VAL_DIVIDENDYIELD2</stp>
        <stp>3</stp>
        <stp>002394</stp>
        <stp>12/31/2018</stp>
        <stp>2019-11-29</stp>
        <tr r="Q2636" s="1"/>
      </tp>
      <tp>
        <v>1.2182741116751268</v>
        <stp/>
        <stp>EM_S_VAL_DIVIDENDYIELD2</stp>
        <stp>3</stp>
        <stp>002024</stp>
        <stp>12/31/2018</stp>
        <stp>2019-11-29</stp>
        <tr r="Q2136" s="1"/>
      </tp>
      <tp>
        <v>0.69930069930069927</v>
        <stp/>
        <stp>EM_S_VAL_DIVIDENDYIELD2</stp>
        <stp>3</stp>
        <stp>002034</stp>
        <stp>12/31/2018</stp>
        <stp>2019-11-29</stp>
        <tr r="Q3612" s="1"/>
      </tp>
      <tp>
        <v>4.731182795698925</v>
        <stp/>
        <stp>EM_S_VAL_DIVIDENDYIELD2</stp>
        <stp>3</stp>
        <stp>002004</stp>
        <stp>12/31/2018</stp>
        <stp>2019-11-29</stp>
        <tr r="Q1958" s="1"/>
      </tp>
      <tp>
        <v>4.3050430504305037</v>
        <stp/>
        <stp>EM_S_VAL_DIVIDENDYIELD2</stp>
        <stp>3</stp>
        <stp>002014</stp>
        <stp>12/31/2018</stp>
        <stp>2019-11-29</stp>
        <tr r="Q643" s="1"/>
      </tp>
      <tp>
        <v>0.52631578947368418</v>
        <stp/>
        <stp>EM_S_VAL_DIVIDENDYIELD2</stp>
        <stp>3</stp>
        <stp>002064</stp>
        <stp>12/31/2018</stp>
        <stp>2019-11-29</stp>
        <tr r="Q557" s="1"/>
      </tp>
      <tp>
        <v>0.83056478405315626</v>
        <stp/>
        <stp>EM_S_VAL_DIVIDENDYIELD2</stp>
        <stp>3</stp>
        <stp>002074</stp>
        <stp>12/31/2018</stp>
        <stp>2019-11-29</stp>
        <tr r="Q1128" s="1"/>
      </tp>
      <tp>
        <v>0.28618278881783704</v>
        <stp/>
        <stp>EM_S_VAL_DIVIDENDYIELD2</stp>
        <stp>3</stp>
        <stp>002044</stp>
        <stp>12/31/2018</stp>
        <stp>2019-11-29</stp>
        <tr r="Q2450" s="1"/>
      </tp>
      <tp>
        <v>0.72423398328690813</v>
        <stp/>
        <stp>EM_S_VAL_DIVIDENDYIELD2</stp>
        <stp>3</stp>
        <stp>002054</stp>
        <stp>12/31/2018</stp>
        <stp>2019-11-29</stp>
        <tr r="Q3620" s="1"/>
      </tp>
      <tp>
        <v>0</v>
        <stp/>
        <stp>EM_S_VAL_DIVIDENDYIELD2</stp>
        <stp>3</stp>
        <stp>002084</stp>
        <stp>12/31/2018</stp>
        <stp>2019-11-29</stp>
        <tr r="Q346" s="1"/>
      </tp>
      <tp>
        <v>0</v>
        <stp/>
        <stp>EM_S_VAL_DIVIDENDYIELD2</stp>
        <stp>3</stp>
        <stp>002094</stp>
        <stp>12/31/2018</stp>
        <stp>2019-11-29</stp>
        <tr r="Q2354" s="1"/>
      </tp>
      <tp>
        <v>0</v>
        <stp/>
        <stp>EM_S_VAL_DIVIDENDYIELD2</stp>
        <stp>3</stp>
        <stp>002124</stp>
        <stp>12/31/2018</stp>
        <stp>2019-11-29</stp>
        <tr r="Q3641" s="1"/>
      </tp>
      <tp>
        <v>0</v>
        <stp/>
        <stp>EM_S_VAL_DIVIDENDYIELD2</stp>
        <stp>3</stp>
        <stp>002134</stp>
        <stp>12/31/2018</stp>
        <stp>2019-11-29</stp>
        <tr r="Q424" s="1"/>
      </tp>
      <tp>
        <v>0</v>
        <stp/>
        <stp>EM_S_VAL_DIVIDENDYIELD2</stp>
        <stp>3</stp>
        <stp>002104</stp>
        <stp>12/31/2018</stp>
        <stp>2019-11-29</stp>
        <tr r="Q962" s="1"/>
      </tp>
      <tp>
        <v>0</v>
        <stp/>
        <stp>EM_S_VAL_DIVIDENDYIELD2</stp>
        <stp>3</stp>
        <stp>002114</stp>
        <stp>12/31/2018</stp>
        <stp>2019-11-29</stp>
        <tr r="Q3638" s="1"/>
      </tp>
      <tp>
        <v>0</v>
        <stp/>
        <stp>EM_S_VAL_DIVIDENDYIELD2</stp>
        <stp>3</stp>
        <stp>002164</stp>
        <stp>12/31/2018</stp>
        <stp>2019-11-29</stp>
        <tr r="Q733" s="1"/>
      </tp>
      <tp>
        <v>0</v>
        <stp/>
        <stp>EM_S_VAL_DIVIDENDYIELD2</stp>
        <stp>3</stp>
        <stp>002174</stp>
        <stp>12/31/2018</stp>
        <stp>2019-11-29</stp>
        <tr r="Q1138" s="1"/>
      </tp>
      <tp>
        <v>1.0384215991692627</v>
        <stp/>
        <stp>EM_S_VAL_DIVIDENDYIELD2</stp>
        <stp>3</stp>
        <stp>002144</stp>
        <stp>12/31/2018</stp>
        <stp>2019-11-29</stp>
        <tr r="Q2202" s="1"/>
      </tp>
      <tp>
        <v>3.2894736842105261</v>
        <stp/>
        <stp>EM_S_VAL_DIVIDENDYIELD2</stp>
        <stp>3</stp>
        <stp>002154</stp>
        <stp>12/31/2018</stp>
        <stp>2019-11-29</stp>
        <tr r="Q1861" s="1"/>
      </tp>
      <tp>
        <v>0</v>
        <stp/>
        <stp>EM_S_VAL_DIVIDENDYIELD2</stp>
        <stp>3</stp>
        <stp>002184</stp>
        <stp>12/31/2018</stp>
        <stp>2019-11-29</stp>
        <tr r="Q1608" s="1"/>
      </tp>
      <tp>
        <v>0.26925148088314482</v>
        <stp/>
        <stp>EM_S_VAL_DIVIDENDYIELD2</stp>
        <stp>3</stp>
        <stp>002194</stp>
        <stp>12/31/2018</stp>
        <stp>2019-11-29</stp>
        <tr r="Q48" s="1"/>
      </tp>
      <tp>
        <v>0.53066897403153535</v>
        <stp/>
        <stp>EM_S_VAL_DIVIDENDYIELD2</stp>
        <stp>3</stp>
        <stp>002624</stp>
        <stp>12/31/2018</stp>
        <stp>2019-11-29</stp>
        <tr r="Q449" s="1"/>
      </tp>
      <tp>
        <v>0</v>
        <stp/>
        <stp>EM_S_VAL_DIVIDENDYIELD2</stp>
        <stp>3</stp>
        <stp>002634</stp>
        <stp>12/31/2018</stp>
        <stp>2019-11-29</stp>
        <tr r="Q713" s="1"/>
      </tp>
      <tp>
        <v>0</v>
        <stp/>
        <stp>EM_S_VAL_DIVIDENDYIELD2</stp>
        <stp>3</stp>
        <stp>002604</stp>
        <stp>12/31/2018</stp>
        <stp>2019-11-29</stp>
        <tr r="Q1363" s="1"/>
      </tp>
      <tp>
        <v>0.99826978861214488</v>
        <stp/>
        <stp>EM_S_VAL_DIVIDENDYIELD2</stp>
        <stp>3</stp>
        <stp>002614</stp>
        <stp>12/31/2018</stp>
        <stp>2019-11-29</stp>
        <tr r="Q3257" s="1"/>
      </tp>
      <tp>
        <v>0.53030303030303028</v>
        <stp/>
        <stp>EM_S_VAL_DIVIDENDYIELD2</stp>
        <stp>3</stp>
        <stp>002664</stp>
        <stp>12/31/2018</stp>
        <stp>2019-11-29</stp>
        <tr r="Q985" s="1"/>
      </tp>
      <tp>
        <v>5.4595086442220193</v>
        <stp/>
        <stp>EM_S_VAL_DIVIDENDYIELD2</stp>
        <stp>3</stp>
        <stp>002674</stp>
        <stp>12/31/2018</stp>
        <stp>2019-11-29</stp>
        <tr r="Q622" s="1"/>
      </tp>
      <tp>
        <v>0.18895348837209305</v>
        <stp/>
        <stp>EM_S_VAL_DIVIDENDYIELD2</stp>
        <stp>3</stp>
        <stp>002644</stp>
        <stp>12/31/2018</stp>
        <stp>2019-11-29</stp>
        <tr r="Q2710" s="1"/>
      </tp>
      <tp>
        <v>0</v>
        <stp/>
        <stp>EM_S_VAL_DIVIDENDYIELD2</stp>
        <stp>3</stp>
        <stp>002654</stp>
        <stp>12/31/2018</stp>
        <stp>2019-11-29</stp>
        <tr r="Q606" s="1"/>
      </tp>
      <tp>
        <v>0</v>
        <stp/>
        <stp>EM_S_VAL_DIVIDENDYIELD2</stp>
        <stp>3</stp>
        <stp>002684</stp>
        <stp>12/31/2018</stp>
        <stp>2019-11-29</stp>
        <tr r="Q2556" s="1"/>
      </tp>
      <tp>
        <v>0</v>
        <stp/>
        <stp>EM_S_VAL_DIVIDENDYIELD2</stp>
        <stp>3</stp>
        <stp>002694</stp>
        <stp>12/31/2018</stp>
        <stp>2019-11-29</stp>
        <tr r="Q3113" s="1"/>
      </tp>
      <tp>
        <v>1.5128593040847202</v>
        <stp/>
        <stp>EM_S_VAL_DIVIDENDYIELD2</stp>
        <stp>3</stp>
        <stp>002724</stp>
        <stp>12/31/2018</stp>
        <stp>2019-11-29</stp>
        <tr r="Q757" s="1"/>
      </tp>
      <tp>
        <v>2.7949956971691341</v>
        <stp/>
        <stp>EM_S_VAL_DIVIDENDYIELD2</stp>
        <stp>3</stp>
        <stp>002734</stp>
        <stp>12/31/2018</stp>
        <stp>2019-11-29</stp>
        <tr r="Q875" s="1"/>
      </tp>
      <tp>
        <v>5.5560987880321738E-2</v>
        <stp/>
        <stp>EM_S_VAL_DIVIDENDYIELD2</stp>
        <stp>3</stp>
        <stp>002714</stp>
        <stp>12/31/2018</stp>
        <stp>2019-11-29</stp>
        <tr r="Q46" s="1"/>
      </tp>
      <tp>
        <v>0.56721806212940162</v>
        <stp/>
        <stp>EM_S_VAL_DIVIDENDYIELD2</stp>
        <stp>3</stp>
        <stp>002774</stp>
        <stp>12/31/2018</stp>
        <stp>2019-11-29</stp>
        <tr r="Q2622" s="1"/>
      </tp>
      <tp>
        <v>0.96501809408926409</v>
        <stp/>
        <stp>EM_S_VAL_DIVIDENDYIELD2</stp>
        <stp>3</stp>
        <stp>002424</stp>
        <stp>12/31/2018</stp>
        <stp>2019-11-29</stp>
        <tr r="Q2474" s="1"/>
      </tp>
      <tp>
        <v>1.7301038062283738</v>
        <stp/>
        <stp>EM_S_VAL_DIVIDENDYIELD2</stp>
        <stp>3</stp>
        <stp>002434</stp>
        <stp>12/31/2018</stp>
        <stp>2019-11-29</stp>
        <tr r="Q706" s="1"/>
      </tp>
      <tp>
        <v>3.8240917782026771</v>
        <stp/>
        <stp>EM_S_VAL_DIVIDENDYIELD2</stp>
        <stp>3</stp>
        <stp>002404</stp>
        <stp>12/31/2018</stp>
        <stp>2019-11-29</stp>
        <tr r="Q1312" s="1"/>
      </tp>
      <tp>
        <v>0.10141987835030111</v>
        <stp/>
        <stp>EM_S_VAL_DIVIDENDYIELD2</stp>
        <stp>3</stp>
        <stp>002414</stp>
        <stp>12/31/2018</stp>
        <stp>2019-11-29</stp>
        <tr r="Q2621" s="1"/>
      </tp>
      <tp>
        <v>0</v>
        <stp/>
        <stp>EM_S_VAL_DIVIDENDYIELD2</stp>
        <stp>3</stp>
        <stp>002464</stp>
        <stp>12/31/2018</stp>
        <stp>2019-11-29</stp>
        <tr r="Q3165" s="1"/>
      </tp>
      <tp>
        <v>0.12360939431396785</v>
        <stp/>
        <stp>EM_S_VAL_DIVIDENDYIELD2</stp>
        <stp>3</stp>
        <stp>002474</stp>
        <stp>12/31/2018</stp>
        <stp>2019-11-29</stp>
        <tr r="Q779" s="1"/>
      </tp>
      <tp>
        <v>0</v>
        <stp/>
        <stp>EM_S_VAL_DIVIDENDYIELD2</stp>
        <stp>3</stp>
        <stp>002444</stp>
        <stp>12/31/2018</stp>
        <stp>2019-11-29</stp>
        <tr r="Q1624" s="1"/>
      </tp>
      <tp>
        <v>1.3333333333333335</v>
        <stp/>
        <stp>EM_S_VAL_DIVIDENDYIELD2</stp>
        <stp>3</stp>
        <stp>002454</stp>
        <stp>12/31/2018</stp>
        <stp>2019-11-29</stp>
        <tr r="Q1327" s="1"/>
      </tp>
      <tp>
        <v>1.1461318051575931</v>
        <stp/>
        <stp>EM_S_VAL_DIVIDENDYIELD2</stp>
        <stp>3</stp>
        <stp>002484</stp>
        <stp>12/31/2018</stp>
        <stp>2019-11-29</stp>
        <tr r="Q965" s="1"/>
      </tp>
      <tp>
        <v>0.21733974358974359</v>
        <stp/>
        <stp>EM_S_VAL_DIVIDENDYIELD2</stp>
        <stp>3</stp>
        <stp>002494</stp>
        <stp>12/31/2018</stp>
        <stp>2019-11-29</stp>
        <tr r="Q2654" s="1"/>
      </tp>
      <tp>
        <v>0</v>
        <stp/>
        <stp>EM_S_VAL_DIVIDENDYIELD2</stp>
        <stp>3</stp>
        <stp>002524</stp>
        <stp>12/31/2018</stp>
        <stp>2019-11-29</stp>
        <tr r="Q120" s="1"/>
      </tp>
      <tp>
        <v>2.6281208935611038</v>
        <stp/>
        <stp>EM_S_VAL_DIVIDENDYIELD2</stp>
        <stp>3</stp>
        <stp>002534</stp>
        <stp>12/31/2018</stp>
        <stp>2019-11-29</stp>
        <tr r="Q721" s="1"/>
      </tp>
      <tp>
        <v>0</v>
        <stp/>
        <stp>EM_S_VAL_DIVIDENDYIELD2</stp>
        <stp>3</stp>
        <stp>002504</stp>
        <stp>12/31/2018</stp>
        <stp>2019-11-29</stp>
        <tr r="Q2893" s="1"/>
      </tp>
      <tp>
        <v>0</v>
        <stp/>
        <stp>EM_S_VAL_DIVIDENDYIELD2</stp>
        <stp>3</stp>
        <stp>002514</stp>
        <stp>12/31/2018</stp>
        <stp>2019-11-29</stp>
        <tr r="Q1830" s="1"/>
      </tp>
      <tp>
        <v>0</v>
        <stp/>
        <stp>EM_S_VAL_DIVIDENDYIELD2</stp>
        <stp>3</stp>
        <stp>002564</stp>
        <stp>12/31/2018</stp>
        <stp>2019-11-29</stp>
        <tr r="Q2712" s="1"/>
      </tp>
      <tp>
        <v>1.0245901639344261</v>
        <stp/>
        <stp>EM_S_VAL_DIVIDENDYIELD2</stp>
        <stp>3</stp>
        <stp>002574</stp>
        <stp>12/31/2018</stp>
        <stp>2019-11-29</stp>
        <tr r="Q2095" s="1"/>
      </tp>
      <tp>
        <v>0.24752475247524752</v>
        <stp/>
        <stp>EM_S_VAL_DIVIDENDYIELD2</stp>
        <stp>3</stp>
        <stp>002544</stp>
        <stp>12/31/2018</stp>
        <stp>2019-11-29</stp>
        <tr r="Q1046" s="1"/>
      </tp>
      <tp>
        <v>0</v>
        <stp/>
        <stp>EM_S_VAL_DIVIDENDYIELD2</stp>
        <stp>3</stp>
        <stp>002554</stp>
        <stp>12/31/2018</stp>
        <stp>2019-11-29</stp>
        <tr r="Q1656" s="1"/>
      </tp>
      <tp>
        <v>0</v>
        <stp/>
        <stp>EM_S_VAL_DIVIDENDYIELD2</stp>
        <stp>3</stp>
        <stp>002584</stp>
        <stp>12/31/2018</stp>
        <stp>2019-11-29</stp>
        <tr r="Q2985" s="1"/>
      </tp>
      <tp>
        <v>0.47015441345932246</v>
        <stp/>
        <stp>EM_S_VAL_DIVIDENDYIELD2</stp>
        <stp>3</stp>
        <stp>002594</stp>
        <stp>12/31/2018</stp>
        <stp>2019-11-29</stp>
        <tr r="Q2634" s="1"/>
      </tp>
      <tp>
        <v>0.21234443052279625</v>
        <stp/>
        <stp>EM_S_VAL_DIVIDENDYIELD2</stp>
        <stp>3</stp>
        <stp>002824</stp>
        <stp>12/31/2018</stp>
        <stp>2019-11-29</stp>
        <tr r="Q1249" s="1"/>
      </tp>
      <tp>
        <v>0.39888312724371761</v>
        <stp/>
        <stp>EM_S_VAL_DIVIDENDYIELD2</stp>
        <stp>3</stp>
        <stp>002864</stp>
        <stp>12/31/2018</stp>
        <stp>2019-11-29</stp>
        <tr r="Q2995" s="1"/>
      </tp>
      <tp>
        <v>6.8480643089286115</v>
        <stp/>
        <stp>EM_S_VAL_DIVIDENDYIELD2</stp>
        <stp>3</stp>
        <stp>002884</stp>
        <stp>12/31/2018</stp>
        <stp>2019-11-29</stp>
        <tr r="Q3180" s="1"/>
      </tp>
      <tp>
        <v>0.83985033866964909</v>
        <stp/>
        <stp>EM_S_VAL_DIVIDENDYIELD2</stp>
        <stp>3</stp>
        <stp>603214</stp>
        <stp>12/31/2018</stp>
        <stp>2019-11-29</stp>
        <tr r="Q1650" s="1"/>
      </tp>
      <tp>
        <v>3.4098271217649265</v>
        <stp/>
        <stp>EM_S_VAL_DIVIDENDYIELD2</stp>
        <stp>3</stp>
        <stp>603444</stp>
        <stp>12/31/2018</stp>
        <stp>2019-11-29</stp>
        <tr r="Q141" s="1"/>
      </tp>
      <tp>
        <v>0.61728395061728403</v>
        <stp/>
        <stp>EM_S_VAL_DIVIDENDYIELD2</stp>
        <stp>3</stp>
        <stp>300214</stp>
        <stp>12/31/2018</stp>
        <stp>2019-11-29</stp>
        <tr r="Q590" s="1"/>
      </tp>
      <tp>
        <v>6.4763909426679183</v>
        <stp/>
        <stp>EM_S_VAL_DIVIDENDYIELD2</stp>
        <stp>3</stp>
        <stp>300204</stp>
        <stp>12/31/2018</stp>
        <stp>2019-11-29</stp>
        <tr r="Q2375" s="1"/>
      </tp>
      <tp>
        <v>0</v>
        <stp/>
        <stp>EM_S_VAL_DIVIDENDYIELD2</stp>
        <stp>3</stp>
        <stp>300234</stp>
        <stp>12/31/2018</stp>
        <stp>2019-11-29</stp>
        <tr r="Q173" s="1"/>
      </tp>
      <tp>
        <v>0</v>
        <stp/>
        <stp>EM_S_VAL_DIVIDENDYIELD2</stp>
        <stp>3</stp>
        <stp>300224</stp>
        <stp>12/31/2018</stp>
        <stp>2019-11-29</stp>
        <tr r="Q372" s="1"/>
      </tp>
      <tp>
        <v>0.26315789473684209</v>
        <stp/>
        <stp>EM_S_VAL_DIVIDENDYIELD2</stp>
        <stp>3</stp>
        <stp>300254</stp>
        <stp>12/31/2018</stp>
        <stp>2019-11-29</stp>
        <tr r="Q1140" s="1"/>
      </tp>
      <tp>
        <v>0.11478420569329661</v>
        <stp/>
        <stp>EM_S_VAL_DIVIDENDYIELD2</stp>
        <stp>3</stp>
        <stp>300244</stp>
        <stp>12/31/2018</stp>
        <stp>2019-11-29</stp>
        <tr r="Q671" s="1"/>
      </tp>
      <tp>
        <v>0.58779982604014414</v>
        <stp/>
        <stp>EM_S_VAL_DIVIDENDYIELD2</stp>
        <stp>3</stp>
        <stp>300274</stp>
        <stp>12/31/2018</stp>
        <stp>2019-11-29</stp>
        <tr r="Q1283" s="1"/>
      </tp>
      <tp>
        <v>0</v>
        <stp/>
        <stp>EM_S_VAL_DIVIDENDYIELD2</stp>
        <stp>3</stp>
        <stp>300264</stp>
        <stp>12/31/2018</stp>
        <stp>2019-11-29</stp>
        <tr r="Q2027" s="1"/>
      </tp>
      <tp>
        <v>0</v>
        <stp/>
        <stp>EM_S_VAL_DIVIDENDYIELD2</stp>
        <stp>3</stp>
        <stp>600234</stp>
        <stp>12/31/2018</stp>
        <stp>2019-11-29</stp>
        <tr r="Q1543" s="1"/>
      </tp>
      <tp>
        <v>0.50346618277796107</v>
        <stp/>
        <stp>EM_S_VAL_DIVIDENDYIELD2</stp>
        <stp>3</stp>
        <stp>300294</stp>
        <stp>12/31/2018</stp>
        <stp>2019-11-29</stp>
        <tr r="Q1530" s="1"/>
      </tp>
      <tp>
        <v>1.4767932501613585</v>
        <stp/>
        <stp>EM_S_VAL_DIVIDENDYIELD2</stp>
        <stp>3</stp>
        <stp>300284</stp>
        <stp>12/31/2018</stp>
        <stp>2019-11-29</stp>
        <tr r="Q3100" s="1"/>
      </tp>
      <tp>
        <v>2.4350649350649354</v>
        <stp/>
        <stp>EM_S_VAL_DIVIDENDYIELD2</stp>
        <stp>3</stp>
        <stp>600284</stp>
        <stp>12/31/2018</stp>
        <stp>2019-11-29</stp>
        <tr r="Q1018" s="1"/>
      </tp>
      <tp>
        <v>1.0650887573964496</v>
        <stp/>
        <stp>EM_S_VAL_DIVIDENDYIELD2</stp>
        <stp>3</stp>
        <stp>300314</stp>
        <stp>12/31/2018</stp>
        <stp>2019-11-29</stp>
        <tr r="Q1678" s="1"/>
      </tp>
      <tp>
        <v>0.71255185919444064</v>
        <stp/>
        <stp>EM_S_VAL_DIVIDENDYIELD2</stp>
        <stp>3</stp>
        <stp>300304</stp>
        <stp>12/31/2018</stp>
        <stp>2019-11-29</stp>
        <tr r="Q949" s="1"/>
      </tp>
      <tp>
        <v>0</v>
        <stp/>
        <stp>EM_S_VAL_DIVIDENDYIELD2</stp>
        <stp>3</stp>
        <stp>600354</stp>
        <stp>12/31/2018</stp>
        <stp>2019-11-29</stp>
        <tr r="Q804" s="1"/>
      </tp>
      <tp>
        <v>0</v>
        <stp/>
        <stp>EM_S_VAL_DIVIDENDYIELD2</stp>
        <stp>3</stp>
        <stp>300334</stp>
        <stp>12/31/2018</stp>
        <stp>2019-11-29</stp>
        <tr r="Q2828" s="1"/>
      </tp>
      <tp>
        <v>0</v>
        <stp/>
        <stp>EM_S_VAL_DIVIDENDYIELD2</stp>
        <stp>3</stp>
        <stp>300324</stp>
        <stp>12/31/2018</stp>
        <stp>2019-11-29</stp>
        <tr r="Q2393" s="1"/>
      </tp>
      <tp>
        <v>0.2652519893899204</v>
        <stp/>
        <stp>EM_S_VAL_DIVIDENDYIELD2</stp>
        <stp>3</stp>
        <stp>300354</stp>
        <stp>12/31/2018</stp>
        <stp>2019-11-29</stp>
        <tr r="Q542" s="1"/>
      </tp>
      <tp>
        <v>0</v>
        <stp/>
        <stp>EM_S_VAL_DIVIDENDYIELD2</stp>
        <stp>3</stp>
        <stp>300344</stp>
        <stp>12/31/2018</stp>
        <stp>2019-11-29</stp>
        <tr r="Q2757" s="1"/>
      </tp>
      <tp>
        <v>0.33333333333333331</v>
        <stp/>
        <stp>EM_S_VAL_DIVIDENDYIELD2</stp>
        <stp>3</stp>
        <stp>300374</stp>
        <stp>12/31/2018</stp>
        <stp>2019-11-29</stp>
        <tr r="Q2349" s="1"/>
      </tp>
      <tp>
        <v>0</v>
        <stp/>
        <stp>EM_S_VAL_DIVIDENDYIELD2</stp>
        <stp>3</stp>
        <stp>300364</stp>
        <stp>12/31/2018</stp>
        <stp>2019-11-29</stp>
        <tr r="Q2917" s="1"/>
      </tp>
      <tp>
        <v>1.1008021935029821</v>
        <stp/>
        <stp>EM_S_VAL_DIVIDENDYIELD2</stp>
        <stp>3</stp>
        <stp>300394</stp>
        <stp>12/31/2018</stp>
        <stp>2019-11-29</stp>
        <tr r="Q554" s="1"/>
      </tp>
      <tp>
        <v>0.25036506091474697</v>
        <stp/>
        <stp>EM_S_VAL_DIVIDENDYIELD2</stp>
        <stp>3</stp>
        <stp>300384</stp>
        <stp>12/31/2018</stp>
        <stp>2019-11-29</stp>
        <tr r="Q530" s="1"/>
      </tp>
      <tp>
        <v>0</v>
        <stp/>
        <stp>EM_S_VAL_DIVIDENDYIELD2</stp>
        <stp>3</stp>
        <stp>000024</stp>
        <stp>12/31/2018</stp>
        <stp>2019-11-29</stp>
        <tr r="Q2274" s="1"/>
      </tp>
      <tp>
        <v>0</v>
        <stp/>
        <stp>EM_S_VAL_DIVIDENDYIELD2</stp>
        <stp>3</stp>
        <stp>300014</stp>
        <stp>12/31/2018</stp>
        <stp>2019-11-29</stp>
        <tr r="Q40" s="1"/>
      </tp>
      <tp>
        <v>1.5231788079470201</v>
        <stp/>
        <stp>EM_S_VAL_DIVIDENDYIELD2</stp>
        <stp>3</stp>
        <stp>000034</stp>
        <stp>12/31/2018</stp>
        <stp>2019-11-29</stp>
        <tr r="Q564" s="1"/>
      </tp>
      <tp>
        <v>0</v>
        <stp/>
        <stp>EM_S_VAL_DIVIDENDYIELD2</stp>
        <stp>3</stp>
        <stp>300004</stp>
        <stp>12/31/2018</stp>
        <stp>2019-11-29</stp>
        <tr r="Q259" s="1"/>
      </tp>
      <tp>
        <v>1.4748603351955307</v>
        <stp/>
        <stp>EM_S_VAL_DIVIDENDYIELD2</stp>
        <stp>3</stp>
        <stp>600054</stp>
        <stp>12/31/2018</stp>
        <stp>2019-11-29</stp>
        <tr r="Q2451" s="1"/>
      </tp>
      <tp>
        <v>0</v>
        <stp/>
        <stp>EM_S_VAL_DIVIDENDYIELD2</stp>
        <stp>3</stp>
        <stp>000004</stp>
        <stp>12/31/2018</stp>
        <stp>2019-11-29</stp>
        <tr r="Q715" s="1"/>
      </tp>
      <tp>
        <v>0.76218346592176689</v>
        <stp/>
        <stp>EM_S_VAL_DIVIDENDYIELD2</stp>
        <stp>3</stp>
        <stp>300034</stp>
        <stp>12/31/2018</stp>
        <stp>2019-11-29</stp>
        <tr r="Q226" s="1"/>
      </tp>
      <tp>
        <v>2.7262813522355511</v>
        <stp/>
        <stp>EM_S_VAL_DIVIDENDYIELD2</stp>
        <stp>3</stp>
        <stp>600064</stp>
        <stp>12/31/2018</stp>
        <stp>2019-11-29</stp>
        <tr r="Q1144" s="1"/>
      </tp>
      <tp>
        <v>0.7551487414187642</v>
        <stp/>
        <stp>EM_S_VAL_DIVIDENDYIELD2</stp>
        <stp>3</stp>
        <stp>000014</stp>
        <stp>12/31/2018</stp>
        <stp>2019-11-29</stp>
        <tr r="Q2219" s="1"/>
      </tp>
      <tp>
        <v>0</v>
        <stp/>
        <stp>EM_S_VAL_DIVIDENDYIELD2</stp>
        <stp>3</stp>
        <stp>300024</stp>
        <stp>12/31/2018</stp>
        <stp>2019-11-29</stp>
        <tr r="Q1953" s="1"/>
      </tp>
      <tp>
        <v>0</v>
        <stp/>
        <stp>EM_S_VAL_DIVIDENDYIELD2</stp>
        <stp>3</stp>
        <stp>600074</stp>
        <stp>12/31/2018</stp>
        <stp>2019-11-29</stp>
        <tr r="Q2876" s="1"/>
      </tp>
      <tp>
        <v>0.24937655860349131</v>
        <stp/>
        <stp>EM_S_VAL_DIVIDENDYIELD2</stp>
        <stp>3</stp>
        <stp>300054</stp>
        <stp>12/31/2018</stp>
        <stp>2019-11-29</stp>
        <tr r="Q635" s="1"/>
      </tp>
      <tp>
        <v>1.0179640718562872</v>
        <stp/>
        <stp>EM_S_VAL_DIVIDENDYIELD2</stp>
        <stp>3</stp>
        <stp>600004</stp>
        <stp>12/31/2018</stp>
        <stp>2019-11-29</stp>
        <tr r="Q266" s="1"/>
      </tp>
      <tp>
        <v>0.16393786222548701</v>
        <stp/>
        <stp>EM_S_VAL_DIVIDENDYIELD2</stp>
        <stp>3</stp>
        <stp>300044</stp>
        <stp>12/31/2018</stp>
        <stp>2019-11-29</stp>
        <tr r="Q1874" s="1"/>
      </tp>
      <tp>
        <v>0</v>
        <stp/>
        <stp>EM_S_VAL_DIVIDENDYIELD2</stp>
        <stp>3</stp>
        <stp>300074</stp>
        <stp>12/31/2018</stp>
        <stp>2019-11-29</stp>
        <tr r="Q1462" s="1"/>
      </tp>
      <tp>
        <v>0.43613707165109045</v>
        <stp/>
        <stp>EM_S_VAL_DIVIDENDYIELD2</stp>
        <stp>3</stp>
        <stp>300064</stp>
        <stp>12/31/2018</stp>
        <stp>2019-11-29</stp>
        <tr r="Q3172" s="1"/>
      </tp>
      <tp>
        <v>0.72639225181598066</v>
        <stp/>
        <stp>EM_S_VAL_DIVIDENDYIELD2</stp>
        <stp>3</stp>
        <stp>300094</stp>
        <stp>12/31/2018</stp>
        <stp>2019-11-29</stp>
        <tr r="Q2998" s="1"/>
      </tp>
      <tp>
        <v>0</v>
        <stp/>
        <stp>EM_S_VAL_DIVIDENDYIELD2</stp>
        <stp>3</stp>
        <stp>300084</stp>
        <stp>12/31/2018</stp>
        <stp>2019-11-29</stp>
        <tr r="Q2639" s="1"/>
      </tp>
      <tp>
        <v>0</v>
        <stp/>
        <stp>EM_S_VAL_DIVIDENDYIELD2</stp>
        <stp>3</stp>
        <stp>600084</stp>
        <stp>12/31/2018</stp>
        <stp>2019-11-29</stp>
        <tr r="Q2817" s="1"/>
      </tp>
      <tp>
        <v>0.31897926634768742</v>
        <stp/>
        <stp>EM_S_VAL_DIVIDENDYIELD2</stp>
        <stp>3</stp>
        <stp>600094</stp>
        <stp>12/31/2018</stp>
        <stp>2019-11-29</stp>
        <tr r="Q451" s="1"/>
      </tp>
      <tp>
        <v>0.4178272980501393</v>
        <stp/>
        <stp>EM_S_VAL_DIVIDENDYIELD2</stp>
        <stp>3</stp>
        <stp>300114</stp>
        <stp>12/31/2018</stp>
        <stp>2019-11-29</stp>
        <tr r="Q433" s="1"/>
      </tp>
      <tp>
        <v>0</v>
        <stp/>
        <stp>EM_S_VAL_DIVIDENDYIELD2</stp>
        <stp>3</stp>
        <stp>300104</stp>
        <stp>12/31/2018</stp>
        <stp>2019-11-29</stp>
        <tr r="Q3241" s="1"/>
      </tp>
      <tp>
        <v>0</v>
        <stp/>
        <stp>EM_S_VAL_DIVIDENDYIELD2</stp>
        <stp>3</stp>
        <stp>300134</stp>
        <stp>12/31/2018</stp>
        <stp>2019-11-29</stp>
        <tr r="Q367" s="1"/>
      </tp>
      <tp>
        <v>0.76132470498667693</v>
        <stp/>
        <stp>EM_S_VAL_DIVIDENDYIELD2</stp>
        <stp>3</stp>
        <stp>300124</stp>
        <stp>12/31/2018</stp>
        <stp>2019-11-29</stp>
        <tr r="Q514" s="1"/>
      </tp>
      <tp>
        <v>3.7383177570093453</v>
        <stp/>
        <stp>EM_S_VAL_DIVIDENDYIELD2</stp>
        <stp>3</stp>
        <stp>300154</stp>
        <stp>12/31/2018</stp>
        <stp>2019-11-29</stp>
        <tr r="Q1433" s="1"/>
      </tp>
      <tp>
        <v>5.419354838709677</v>
        <stp/>
        <stp>EM_S_VAL_DIVIDENDYIELD2</stp>
        <stp>3</stp>
        <stp>600104</stp>
        <stp>12/31/2018</stp>
        <stp>2019-11-29</stp>
        <tr r="Q2780" s="1"/>
      </tp>
      <tp>
        <v>0.43891733723482074</v>
        <stp/>
        <stp>EM_S_VAL_DIVIDENDYIELD2</stp>
        <stp>3</stp>
        <stp>300144</stp>
        <stp>12/31/2018</stp>
        <stp>2019-11-29</stp>
        <tr r="Q664" s="1"/>
      </tp>
      <tp>
        <v>6.866433340693705</v>
        <stp/>
        <stp>EM_S_VAL_DIVIDENDYIELD2</stp>
        <stp>3</stp>
        <stp>600114</stp>
        <stp>12/31/2018</stp>
        <stp>2019-11-29</stp>
        <tr r="Q729" s="1"/>
      </tp>
      <tp>
        <v>0.29994001199760051</v>
        <stp/>
        <stp>EM_S_VAL_DIVIDENDYIELD2</stp>
        <stp>3</stp>
        <stp>300174</stp>
        <stp>12/31/2018</stp>
        <stp>2019-11-29</stp>
        <tr r="Q701" s="1"/>
      </tp>
      <tp>
        <v>2.0576131687242802</v>
        <stp/>
        <stp>EM_S_VAL_DIVIDENDYIELD2</stp>
        <stp>3</stp>
        <stp>300164</stp>
        <stp>12/31/2018</stp>
        <stp>2019-11-29</stp>
        <tr r="Q2988" s="1"/>
      </tp>
      <tp>
        <v>0</v>
        <stp/>
        <stp>EM_S_VAL_DIVIDENDYIELD2</stp>
        <stp>3</stp>
        <stp>300194</stp>
        <stp>12/31/2018</stp>
        <stp>2019-11-29</stp>
        <tr r="Q334" s="1"/>
      </tp>
      <tp>
        <v>0.78910281203780941</v>
        <stp/>
        <stp>EM_S_VAL_DIVIDENDYIELD2</stp>
        <stp>3</stp>
        <stp>300184</stp>
        <stp>12/31/2018</stp>
        <stp>2019-11-29</stp>
        <tr r="Q2506" s="1"/>
      </tp>
      <tp>
        <v>0.32618825722273992</v>
        <stp/>
        <stp>EM_S_VAL_DIVIDENDYIELD2</stp>
        <stp>3</stp>
        <stp>600184</stp>
        <stp>12/31/2018</stp>
        <stp>2019-11-29</stp>
        <tr r="Q1421" s="1"/>
      </tp>
      <tp>
        <v>0</v>
        <stp/>
        <stp>EM_S_VAL_DIVIDENDYIELD2</stp>
        <stp>3</stp>
        <stp>600644</stp>
        <stp>12/31/2018</stp>
        <stp>2019-11-29</stp>
        <tr r="Q1143" s="1"/>
      </tp>
      <tp>
        <v>0.24219105947975123</v>
        <stp/>
        <stp>EM_S_VAL_DIVIDENDYIELD2</stp>
        <stp>3</stp>
        <stp>300604</stp>
        <stp>12/31/2018</stp>
        <stp>2019-11-29</stp>
        <tr r="Q3085" s="1"/>
      </tp>
      <tp>
        <v>0</v>
        <stp/>
        <stp>EM_S_VAL_DIVIDENDYIELD2</stp>
        <stp>3</stp>
        <stp>600654</stp>
        <stp>12/31/2018</stp>
        <stp>2019-11-29</stp>
        <tr r="Q2568" s="1"/>
      </tp>
      <tp>
        <v>0.48192771084337355</v>
        <stp/>
        <stp>EM_S_VAL_DIVIDENDYIELD2</stp>
        <stp>3</stp>
        <stp>300634</stp>
        <stp>12/31/2018</stp>
        <stp>2019-11-29</stp>
        <tr r="Q3171" s="1"/>
      </tp>
      <tp>
        <v>0</v>
        <stp/>
        <stp>EM_S_VAL_DIVIDENDYIELD2</stp>
        <stp>3</stp>
        <stp>600664</stp>
        <stp>12/31/2018</stp>
        <stp>2019-11-29</stp>
        <tr r="Q2644" s="1"/>
      </tp>
      <tp>
        <v>0.40311238410804617</v>
        <stp/>
        <stp>EM_S_VAL_DIVIDENDYIELD2</stp>
        <stp>3</stp>
        <stp>300624</stp>
        <stp>12/31/2018</stp>
        <stp>2019-11-29</stp>
        <tr r="Q1409" s="1"/>
      </tp>
      <tp>
        <v>3.1413612565445024</v>
        <stp/>
        <stp>EM_S_VAL_DIVIDENDYIELD2</stp>
        <stp>3</stp>
        <stp>600674</stp>
        <stp>12/31/2018</stp>
        <stp>2019-11-29</stp>
        <tr r="Q1589" s="1"/>
      </tp>
      <tp>
        <v>0.66539923954372615</v>
        <stp/>
        <stp>EM_S_VAL_DIVIDENDYIELD2</stp>
        <stp>3</stp>
        <stp>300654</stp>
        <stp>12/31/2018</stp>
        <stp>2019-11-29</stp>
        <tr r="Q3061" s="1"/>
      </tp>
      <tp>
        <v>0.32051282051282048</v>
        <stp/>
        <stp>EM_S_VAL_DIVIDENDYIELD2</stp>
        <stp>3</stp>
        <stp>600604</stp>
        <stp>12/31/2018</stp>
        <stp>2019-11-29</stp>
        <tr r="Q1429" s="1"/>
      </tp>
      <tp>
        <v>0.55106539309331382</v>
        <stp/>
        <stp>EM_S_VAL_DIVIDENDYIELD2</stp>
        <stp>3</stp>
        <stp>300644</stp>
        <stp>12/31/2018</stp>
        <stp>2019-11-29</stp>
        <tr r="Q2969" s="1"/>
      </tp>
      <tp>
        <v>0</v>
        <stp/>
        <stp>EM_S_VAL_DIVIDENDYIELD2</stp>
        <stp>3</stp>
        <stp>600614</stp>
        <stp>12/31/2018</stp>
        <stp>2019-11-29</stp>
        <tr r="Q3373" s="1"/>
      </tp>
      <tp>
        <v>0.31525851197982346</v>
        <stp/>
        <stp>EM_S_VAL_DIVIDENDYIELD2</stp>
        <stp>3</stp>
        <stp>600624</stp>
        <stp>12/31/2018</stp>
        <stp>2019-11-29</stp>
        <tr r="Q437" s="1"/>
      </tp>
      <tp>
        <v>0.29686174724342662</v>
        <stp/>
        <stp>EM_S_VAL_DIVIDENDYIELD2</stp>
        <stp>3</stp>
        <stp>300664</stp>
        <stp>12/31/2018</stp>
        <stp>2019-11-29</stp>
        <tr r="Q1901" s="1"/>
      </tp>
      <tp>
        <v>0</v>
        <stp/>
        <stp>EM_S_VAL_DIVIDENDYIELD2</stp>
        <stp>3</stp>
        <stp>600634</stp>
        <stp>12/31/2018</stp>
        <stp>2019-11-29</stp>
        <tr r="Q3293" s="1"/>
      </tp>
      <tp>
        <v>0.44731610337972166</v>
        <stp/>
        <stp>EM_S_VAL_DIVIDENDYIELD2</stp>
        <stp>3</stp>
        <stp>300684</stp>
        <stp>12/31/2018</stp>
        <stp>2019-11-29</stp>
        <tr r="Q2979" s="1"/>
      </tp>
      <tp>
        <v>1.0169491525423728</v>
        <stp/>
        <stp>EM_S_VAL_DIVIDENDYIELD2</stp>
        <stp>3</stp>
        <stp>600684</stp>
        <stp>12/31/2018</stp>
        <stp>2019-11-29</stp>
        <tr r="Q2854" s="1"/>
      </tp>
      <tp>
        <v>0</v>
        <stp/>
        <stp>EM_S_VAL_DIVIDENDYIELD2</stp>
        <stp>3</stp>
        <stp>600694</stp>
        <stp>12/31/2018</stp>
        <stp>2019-11-29</stp>
        <tr r="Q1594" s="1"/>
      </tp>
      <tp>
        <v>0</v>
        <stp/>
        <stp>EM_S_VAL_DIVIDENDYIELD2</stp>
        <stp>3</stp>
        <stp>600744</stp>
        <stp>12/31/2018</stp>
        <stp>2019-11-29</stp>
        <tr r="Q2416" s="1"/>
      </tp>
      <tp>
        <v>2.4916943521594686</v>
        <stp/>
        <stp>EM_S_VAL_DIVIDENDYIELD2</stp>
        <stp>3</stp>
        <stp>600754</stp>
        <stp>12/31/2018</stp>
        <stp>2019-11-29</stp>
        <tr r="Q789" s="1"/>
      </tp>
      <tp>
        <v>0</v>
        <stp/>
        <stp>EM_S_VAL_DIVIDENDYIELD2</stp>
        <stp>3</stp>
        <stp>600764</stp>
        <stp>12/31/2018</stp>
        <stp>2019-11-29</stp>
        <tr r="Q1185" s="1"/>
      </tp>
      <tp>
        <v>0.28409090909090912</v>
        <stp/>
        <stp>EM_S_VAL_DIVIDENDYIELD2</stp>
        <stp>3</stp>
        <stp>600774</stp>
        <stp>12/31/2018</stp>
        <stp>2019-11-29</stp>
        <tr r="Q3117" s="1"/>
      </tp>
      <tp>
        <v>4.1867919932147908</v>
        <stp/>
        <stp>EM_S_VAL_DIVIDENDYIELD2</stp>
        <stp>3</stp>
        <stp>600704</stp>
        <stp>12/31/2018</stp>
        <stp>2019-11-29</stp>
        <tr r="Q1522" s="1"/>
      </tp>
      <tp>
        <v>0</v>
        <stp/>
        <stp>EM_S_VAL_DIVIDENDYIELD2</stp>
        <stp>3</stp>
        <stp>600714</stp>
        <stp>12/31/2018</stp>
        <stp>2019-11-29</stp>
        <tr r="Q2212" s="1"/>
      </tp>
      <tp>
        <v>0.57471264367816099</v>
        <stp/>
        <stp>EM_S_VAL_DIVIDENDYIELD2</stp>
        <stp>3</stp>
        <stp>600724</stp>
        <stp>12/31/2018</stp>
        <stp>2019-11-29</stp>
        <tr r="Q1617" s="1"/>
      </tp>
      <tp>
        <v>0</v>
        <stp/>
        <stp>EM_S_VAL_DIVIDENDYIELD2</stp>
        <stp>3</stp>
        <stp>600734</stp>
        <stp>12/31/2018</stp>
        <stp>2019-11-29</stp>
        <tr r="Q1850" s="1"/>
      </tp>
      <tp>
        <v>0.25862068965517243</v>
        <stp/>
        <stp>EM_S_VAL_DIVIDENDYIELD2</stp>
        <stp>3</stp>
        <stp>600784</stp>
        <stp>12/31/2018</stp>
        <stp>2019-11-29</stp>
        <tr r="Q2018" s="1"/>
      </tp>
      <tp>
        <v>0.32171581769437002</v>
        <stp/>
        <stp>EM_S_VAL_DIVIDENDYIELD2</stp>
        <stp>3</stp>
        <stp>600794</stp>
        <stp>12/31/2018</stp>
        <stp>2019-11-29</stp>
        <tr r="Q627" s="1"/>
      </tp>
      <tp>
        <v>0.35743007873166066</v>
        <stp/>
        <stp>EM_S_VAL_DIVIDENDYIELD2</stp>
        <stp>3</stp>
        <stp>300414</stp>
        <stp>12/31/2018</stp>
        <stp>2019-11-29</stp>
        <tr r="Q3089" s="1"/>
      </tp>
      <tp>
        <v>0</v>
        <stp/>
        <stp>EM_S_VAL_DIVIDENDYIELD2</stp>
        <stp>3</stp>
        <stp>600444</stp>
        <stp>12/31/2018</stp>
        <stp>2019-11-29</stp>
        <tr r="Q1702" s="1"/>
      </tp>
      <tp>
        <v>8.792439302979406E-2</v>
        <stp/>
        <stp>EM_S_VAL_DIVIDENDYIELD2</stp>
        <stp>3</stp>
        <stp>300404</stp>
        <stp>12/31/2018</stp>
        <stp>2019-11-29</stp>
        <tr r="Q1027" s="1"/>
      </tp>
      <tp>
        <v>0.52910052910052918</v>
        <stp/>
        <stp>EM_S_VAL_DIVIDENDYIELD2</stp>
        <stp>3</stp>
        <stp>000404</stp>
        <stp>12/31/2018</stp>
        <stp>2019-11-29</stp>
        <tr r="Q2194" s="1"/>
      </tp>
      <tp>
        <v>1.1510791366906474</v>
        <stp/>
        <stp>EM_S_VAL_DIVIDENDYIELD2</stp>
        <stp>3</stp>
        <stp>300434</stp>
        <stp>12/31/2018</stp>
        <stp>2019-11-29</stp>
        <tr r="Q2981" s="1"/>
      </tp>
      <tp>
        <v>8.8375254928620001E-2</v>
        <stp/>
        <stp>EM_S_VAL_DIVIDENDYIELD2</stp>
        <stp>3</stp>
        <stp>300424</stp>
        <stp>12/31/2018</stp>
        <stp>2019-11-29</stp>
        <tr r="Q1457" s="1"/>
      </tp>
      <tp>
        <v>0.130162942476163</v>
        <stp/>
        <stp>EM_S_VAL_DIVIDENDYIELD2</stp>
        <stp>3</stp>
        <stp>300454</stp>
        <stp>12/31/2018</stp>
        <stp>2019-11-29</stp>
        <tr r="Q1028" s="1"/>
      </tp>
      <tp>
        <v>0.49904290983300215</v>
        <stp/>
        <stp>EM_S_VAL_DIVIDENDYIELD2</stp>
        <stp>3</stp>
        <stp>300444</stp>
        <stp>12/31/2018</stp>
        <stp>2019-11-29</stp>
        <tr r="Q3128" s="1"/>
      </tp>
      <tp>
        <v>0.31592798062805449</v>
        <stp/>
        <stp>EM_S_VAL_DIVIDENDYIELD2</stp>
        <stp>3</stp>
        <stp>300474</stp>
        <stp>12/31/2018</stp>
        <stp>2019-11-29</stp>
        <tr r="Q392" s="1"/>
      </tp>
      <tp>
        <v>0</v>
        <stp/>
        <stp>EM_S_VAL_DIVIDENDYIELD2</stp>
        <stp>3</stp>
        <stp>300464</stp>
        <stp>12/31/2018</stp>
        <stp>2019-11-29</stp>
        <tr r="Q195" s="1"/>
      </tp>
      <tp>
        <v>0.52449965493443751</v>
        <stp/>
        <stp>EM_S_VAL_DIVIDENDYIELD2</stp>
        <stp>3</stp>
        <stp>300494</stp>
        <stp>12/31/2018</stp>
        <stp>2019-11-29</stp>
        <tr r="Q404" s="1"/>
      </tp>
      <tp>
        <v>0</v>
        <stp/>
        <stp>EM_S_VAL_DIVIDENDYIELD2</stp>
        <stp>3</stp>
        <stp>300484</stp>
        <stp>12/31/2018</stp>
        <stp>2019-11-29</stp>
        <tr r="Q3031" s="1"/>
      </tp>
      <tp>
        <v>3.228120516499283</v>
        <stp/>
        <stp>EM_S_VAL_DIVIDENDYIELD2</stp>
        <stp>3</stp>
        <stp>000524</stp>
        <stp>12/31/2018</stp>
        <stp>2019-11-29</stp>
        <tr r="Q1832" s="1"/>
      </tp>
      <tp>
        <v>0.42052144659377627</v>
        <stp/>
        <stp>EM_S_VAL_DIVIDENDYIELD2</stp>
        <stp>3</stp>
        <stp>300514</stp>
        <stp>12/31/2018</stp>
        <stp>2019-11-29</stp>
        <tr r="Q2250" s="1"/>
      </tp>
      <tp>
        <v>0.56053811659192831</v>
        <stp/>
        <stp>EM_S_VAL_DIVIDENDYIELD2</stp>
        <stp>3</stp>
        <stp>000534</stp>
        <stp>12/31/2018</stp>
        <stp>2019-11-29</stp>
        <tr r="Q2858" s="1"/>
      </tp>
      <tp>
        <v>0.88456435205661221</v>
        <stp/>
        <stp>EM_S_VAL_DIVIDENDYIELD2</stp>
        <stp>3</stp>
        <stp>300504</stp>
        <stp>12/31/2018</stp>
        <stp>2019-11-29</stp>
        <tr r="Q2863" s="1"/>
      </tp>
      <tp>
        <v>0</v>
        <stp/>
        <stp>EM_S_VAL_DIVIDENDYIELD2</stp>
        <stp>3</stp>
        <stp>000504</stp>
        <stp>12/31/2018</stp>
        <stp>2019-11-29</stp>
        <tr r="Q3431" s="1"/>
      </tp>
      <tp>
        <v>0.18050541516245489</v>
        <stp/>
        <stp>EM_S_VAL_DIVIDENDYIELD2</stp>
        <stp>3</stp>
        <stp>300534</stp>
        <stp>12/31/2018</stp>
        <stp>2019-11-29</stp>
        <tr r="Q2141" s="1"/>
      </tp>
      <tp>
        <v>0</v>
        <stp/>
        <stp>EM_S_VAL_DIVIDENDYIELD2</stp>
        <stp>3</stp>
        <stp>000514</stp>
        <stp>12/31/2018</stp>
        <stp>2019-11-29</stp>
        <tr r="Q3437" s="1"/>
      </tp>
      <tp>
        <v>0</v>
        <stp/>
        <stp>EM_S_VAL_DIVIDENDYIELD2</stp>
        <stp>3</stp>
        <stp>000564</stp>
        <stp>12/31/2018</stp>
        <stp>2019-11-29</stp>
        <tr r="Q3457" s="1"/>
      </tp>
      <tp>
        <v>0.6402048655569782</v>
        <stp/>
        <stp>EM_S_VAL_DIVIDENDYIELD2</stp>
        <stp>3</stp>
        <stp>300554</stp>
        <stp>12/31/2018</stp>
        <stp>2019-11-29</stp>
        <tr r="Q2839" s="1"/>
      </tp>
      <tp>
        <v>4.2087542087542085</v>
        <stp/>
        <stp>EM_S_VAL_DIVIDENDYIELD2</stp>
        <stp>3</stp>
        <stp>000544</stp>
        <stp>12/31/2018</stp>
        <stp>2019-11-29</stp>
        <tr r="Q1160" s="1"/>
      </tp>
      <tp>
        <v>0</v>
        <stp/>
        <stp>EM_S_VAL_DIVIDENDYIELD2</stp>
        <stp>3</stp>
        <stp>000554</stp>
        <stp>12/31/2018</stp>
        <stp>2019-11-29</stp>
        <tr r="Q2564" s="1"/>
      </tp>
      <tp>
        <v>0.74294205052005935</v>
        <stp/>
        <stp>EM_S_VAL_DIVIDENDYIELD2</stp>
        <stp>3</stp>
        <stp>300584</stp>
        <stp>12/31/2018</stp>
        <stp>2019-11-29</stp>
        <tr r="Q1602" s="1"/>
      </tp>
      <tp>
        <v>0.33898305084745761</v>
        <stp/>
        <stp>EM_S_VAL_DIVIDENDYIELD2</stp>
        <stp>3</stp>
        <stp>000584</stp>
        <stp>12/31/2018</stp>
        <stp>2019-11-29</stp>
        <tr r="Q2403" s="1"/>
      </tp>
      <tp>
        <v>0</v>
        <stp/>
        <stp>EM_S_VAL_DIVIDENDYIELD2</stp>
        <stp>3</stp>
        <stp>000594</stp>
        <stp>12/31/2018</stp>
        <stp>2019-11-29</stp>
        <tr r="Q3474" s="1"/>
      </tp>
      <tp>
        <v>0</v>
        <stp/>
        <stp>EM_S_VAL_DIVIDENDYIELD2</stp>
        <stp>3</stp>
        <stp>600584</stp>
        <stp>12/31/2018</stp>
        <stp>2019-11-29</stp>
        <tr r="Q62" s="1"/>
      </tp>
      <tp>
        <v>0</v>
        <stp/>
        <stp>EM_S_VAL_DIVIDENDYIELD2</stp>
        <stp>3</stp>
        <stp>600594</stp>
        <stp>12/31/2018</stp>
        <stp>2019-11-29</stp>
        <tr r="Q2856" s="1"/>
      </tp>
      <tp>
        <v>0</v>
        <stp/>
        <stp>EM_S_VAL_DIVIDENDYIELD2</stp>
        <stp>3</stp>
        <stp>600844</stp>
        <stp>12/31/2018</stp>
        <stp>2019-11-29</stp>
        <tr r="Q467" s="1"/>
      </tp>
      <tp>
        <v>1.6483516483516485</v>
        <stp/>
        <stp>EM_S_VAL_DIVIDENDYIELD2</stp>
        <stp>3</stp>
        <stp>600854</stp>
        <stp>12/31/2018</stp>
        <stp>2019-11-29</stp>
        <tr r="Q1766" s="1"/>
      </tp>
      <tp>
        <v>0</v>
        <stp/>
        <stp>EM_S_VAL_DIVIDENDYIELD2</stp>
        <stp>3</stp>
        <stp>600864</stp>
        <stp>12/31/2018</stp>
        <stp>2019-11-29</stp>
        <tr r="Q222" s="1"/>
      </tp>
      <tp>
        <v>1.5229885057471266</v>
        <stp/>
        <stp>EM_S_VAL_DIVIDENDYIELD2</stp>
        <stp>3</stp>
        <stp>600874</stp>
        <stp>12/31/2018</stp>
        <stp>2019-11-29</stp>
        <tr r="Q2879" s="1"/>
      </tp>
      <tp>
        <v>0</v>
        <stp/>
        <stp>EM_S_VAL_DIVIDENDYIELD2</stp>
        <stp>3</stp>
        <stp>600804</stp>
        <stp>12/31/2018</stp>
        <stp>2019-11-29</stp>
        <tr r="Q2849" s="1"/>
      </tp>
      <tp>
        <v>1.3265306122448981</v>
        <stp/>
        <stp>EM_S_VAL_DIVIDENDYIELD2</stp>
        <stp>3</stp>
        <stp>600814</stp>
        <stp>12/31/2018</stp>
        <stp>2019-11-29</stp>
        <tr r="Q2267" s="1"/>
      </tp>
      <tp>
        <v>0.97560975609756095</v>
        <stp/>
        <stp>EM_S_VAL_DIVIDENDYIELD2</stp>
        <stp>3</stp>
        <stp>600824</stp>
        <stp>12/31/2018</stp>
        <stp>2019-11-29</stp>
        <tr r="Q2064" s="1"/>
      </tp>
      <tp>
        <v>0.29940119760479039</v>
        <stp/>
        <stp>EM_S_VAL_DIVIDENDYIELD2</stp>
        <stp>3</stp>
        <stp>600834</stp>
        <stp>12/31/2018</stp>
        <stp>2019-11-29</stp>
        <tr r="Q1990" s="1"/>
      </tp>
      <tp>
        <v>0.6962576153176675</v>
        <stp/>
        <stp>EM_S_VAL_DIVIDENDYIELD2</stp>
        <stp>3</stp>
        <stp>600884</stp>
        <stp>12/31/2018</stp>
        <stp>2019-11-29</stp>
        <tr r="Q1987" s="1"/>
      </tp>
      <tp>
        <v>0.708215297450425</v>
        <stp/>
        <stp>EM_S_VAL_DIVIDENDYIELD2</stp>
        <stp>3</stp>
        <stp>600894</stp>
        <stp>12/31/2018</stp>
        <stp>2019-11-29</stp>
        <tr r="Q802" s="1"/>
      </tp>
      <tp>
        <v>0</v>
        <stp/>
        <stp>EM_S_VAL_DIVIDENDYIELD2</stp>
        <stp>3</stp>
        <stp>600984</stp>
        <stp>12/31/2018</stp>
        <stp>2019-11-29</stp>
        <tr r="Q159" s="1"/>
      </tp>
      <tp t="s">
        <v>金融</v>
        <stp/>
        <stp>EM_S_INFO_INDEX_EM</stp>
        <stp>2</stp>
        <stp>601288</stp>
        <stp>1</stp>
        <tr r="D2090" s="1"/>
      </tp>
      <tp>
        <v>0</v>
        <stp/>
        <stp>EM_S_INFO_INDEX_EM</stp>
        <stp>2</stp>
        <stp>601268</stp>
        <stp>1</stp>
        <tr r="D2338" s="1"/>
      </tp>
      <tp t="s">
        <v>交运设备</v>
        <stp/>
        <stp>EM_S_INFO_INDEX_EM</stp>
        <stp>2</stp>
        <stp>601258</stp>
        <stp>1</stp>
        <tr r="D2081" s="1"/>
      </tp>
      <tp t="s">
        <v>交通运输</v>
        <stp/>
        <stp>EM_S_INFO_INDEX_EM</stp>
        <stp>2</stp>
        <stp>601228</stp>
        <stp>1</stp>
        <tr r="D2498" s="1"/>
      </tp>
      <tp t="s">
        <v>交运设备</v>
        <stp/>
        <stp>EM_S_INFO_INDEX_EM</stp>
        <stp>2</stp>
        <stp>601238</stp>
        <stp>1</stp>
        <tr r="D1583" s="1"/>
      </tp>
      <tp t="s">
        <v>基础化工</v>
        <stp/>
        <stp>EM_S_INFO_INDEX_EM</stp>
        <stp>2</stp>
        <stp>601208</stp>
        <stp>1</stp>
        <tr r="D874" s="1"/>
      </tp>
      <tp t="s">
        <v>电气设备</v>
        <stp/>
        <stp>EM_S_INFO_INDEX_EM</stp>
        <stp>2</stp>
        <stp>601218</stp>
        <stp>1</stp>
        <tr r="D1106" s="1"/>
      </tp>
      <tp t="s">
        <v>有色金属</v>
        <stp/>
        <stp>EM_S_INFO_INDEX_EM</stp>
        <stp>2</stp>
        <stp>601388</stp>
        <stp>1</stp>
        <tr r="D2423" s="1"/>
      </tp>
      <tp t="s">
        <v>金融</v>
        <stp/>
        <stp>EM_S_INFO_INDEX_EM</stp>
        <stp>2</stp>
        <stp>601398</stp>
        <stp>1</stp>
        <tr r="D1662" s="1"/>
      </tp>
      <tp t="s">
        <v>公用事业</v>
        <stp/>
        <stp>EM_S_INFO_INDEX_EM</stp>
        <stp>2</stp>
        <stp>601368</stp>
        <stp>1</stp>
        <tr r="D2204" s="1"/>
      </tp>
      <tp t="s">
        <v>金融</v>
        <stp/>
        <stp>EM_S_INFO_INDEX_EM</stp>
        <stp>2</stp>
        <stp>601328</stp>
        <stp>1</stp>
        <tr r="D2457" s="1"/>
      </tp>
      <tp t="s">
        <v>金融</v>
        <stp/>
        <stp>EM_S_INFO_INDEX_EM</stp>
        <stp>2</stp>
        <stp>601318</stp>
        <stp>1</stp>
        <tr r="D516" s="1"/>
      </tp>
      <tp t="s">
        <v>化石能源</v>
        <stp/>
        <stp>EM_S_INFO_INDEX_EM</stp>
        <stp>2</stp>
        <stp>601088</stp>
        <stp>1</stp>
        <tr r="D2181" s="1"/>
      </tp>
      <tp t="s">
        <v>文化传媒</v>
        <stp/>
        <stp>EM_S_INFO_INDEX_EM</stp>
        <stp>2</stp>
        <stp>601098</stp>
        <stp>1</stp>
        <tr r="D2563" s="1"/>
      </tp>
      <tp t="s">
        <v>基础化工</v>
        <stp/>
        <stp>EM_S_INFO_INDEX_EM</stp>
        <stp>2</stp>
        <stp>601058</stp>
        <stp>1</stp>
        <tr r="D167" s="1"/>
      </tp>
      <tp t="s">
        <v>机械设备</v>
        <stp/>
        <stp>EM_S_INFO_INDEX_EM</stp>
        <stp>2</stp>
        <stp>601028</stp>
        <stp>1</stp>
        <tr r="D1709" s="1"/>
      </tp>
      <tp t="s">
        <v>机械设备</v>
        <stp/>
        <stp>EM_S_INFO_INDEX_EM</stp>
        <stp>2</stp>
        <stp>601038</stp>
        <stp>1</stp>
        <tr r="D646" s="1"/>
      </tp>
      <tp t="s">
        <v>交通运输</v>
        <stp/>
        <stp>EM_S_INFO_INDEX_EM</stp>
        <stp>2</stp>
        <stp>601008</stp>
        <stp>1</stp>
        <tr r="D1067" s="1"/>
      </tp>
      <tp t="s">
        <v>交通运输</v>
        <stp/>
        <stp>EM_S_INFO_INDEX_EM</stp>
        <stp>2</stp>
        <stp>601018</stp>
        <stp>1</stp>
        <tr r="D1529" s="1"/>
      </tp>
      <tp t="s">
        <v>交通运输</v>
        <stp/>
        <stp>EM_S_INFO_INDEX_EM</stp>
        <stp>2</stp>
        <stp>601188</stp>
        <stp>1</stp>
        <tr r="D2146" s="1"/>
      </tp>
      <tp t="s">
        <v>金融</v>
        <stp/>
        <stp>EM_S_INFO_INDEX_EM</stp>
        <stp>2</stp>
        <stp>601198</stp>
        <stp>1</stp>
        <tr r="D769" s="1"/>
      </tp>
      <tp t="s">
        <v>有色金属</v>
        <stp/>
        <stp>EM_S_INFO_INDEX_EM</stp>
        <stp>2</stp>
        <stp>601168</stp>
        <stp>1</stp>
        <tr r="D1406" s="1"/>
      </tp>
      <tp t="s">
        <v>公用事业</v>
        <stp/>
        <stp>EM_S_INFO_INDEX_EM</stp>
        <stp>2</stp>
        <stp>601158</stp>
        <stp>1</stp>
        <tr r="D2337" s="1"/>
      </tp>
      <tp t="s">
        <v>金融</v>
        <stp/>
        <stp>EM_S_INFO_INDEX_EM</stp>
        <stp>2</stp>
        <stp>601128</stp>
        <stp>1</stp>
        <tr r="D693" s="1"/>
      </tp>
      <tp t="s">
        <v>信息技术</v>
        <stp/>
        <stp>EM_S_INFO_INDEX_EM</stp>
        <stp>2</stp>
        <stp>601138</stp>
        <stp>1</stp>
        <tr r="D537" s="1"/>
      </tp>
      <tp t="s">
        <v>金融</v>
        <stp/>
        <stp>EM_S_INFO_INDEX_EM</stp>
        <stp>2</stp>
        <stp>601108</stp>
        <stp>1</stp>
        <tr r="D471" s="1"/>
      </tp>
      <tp t="s">
        <v>农林牧渔</v>
        <stp/>
        <stp>EM_S_INFO_INDEX_EM</stp>
        <stp>2</stp>
        <stp>601118</stp>
        <stp>1</stp>
        <tr r="D1724" s="1"/>
      </tp>
      <tp t="s">
        <v>金融</v>
        <stp/>
        <stp>EM_S_INFO_INDEX_EM</stp>
        <stp>2</stp>
        <stp>601688</stp>
        <stp>1</stp>
        <tr r="D1013" s="1"/>
      </tp>
      <tp t="s">
        <v>建筑</v>
        <stp/>
        <stp>EM_S_INFO_INDEX_EM</stp>
        <stp>2</stp>
        <stp>601668</stp>
        <stp>1</stp>
        <tr r="D2444" s="1"/>
      </tp>
      <tp t="s">
        <v>基础化工</v>
        <stp/>
        <stp>EM_S_INFO_INDEX_EM</stp>
        <stp>2</stp>
        <stp>601678</stp>
        <stp>1</stp>
        <tr r="D1202" s="1"/>
      </tp>
      <tp t="s">
        <v>金融</v>
        <stp/>
        <stp>EM_S_INFO_INDEX_EM</stp>
        <stp>2</stp>
        <stp>601628</stp>
        <stp>1</stp>
        <tr r="D308" s="1"/>
      </tp>
      <tp t="s">
        <v>机械设备</v>
        <stp/>
        <stp>EM_S_INFO_INDEX_EM</stp>
        <stp>2</stp>
        <stp>601608</stp>
        <stp>1</stp>
        <tr r="D692" s="1"/>
      </tp>
      <tp t="s">
        <v>建筑</v>
        <stp/>
        <stp>EM_S_INFO_INDEX_EM</stp>
        <stp>2</stp>
        <stp>601618</stp>
        <stp>1</stp>
        <tr r="D2782" s="1"/>
      </tp>
      <tp t="s">
        <v>金融</v>
        <stp/>
        <stp>EM_S_INFO_INDEX_EM</stp>
        <stp>2</stp>
        <stp>601788</stp>
        <stp>1</stp>
        <tr r="D576" s="1"/>
      </tp>
      <tp t="s">
        <v>机械设备</v>
        <stp/>
        <stp>EM_S_INFO_INDEX_EM</stp>
        <stp>2</stp>
        <stp>601798</stp>
        <stp>1</stp>
        <tr r="D1042" s="1"/>
      </tp>
      <tp t="s">
        <v>纺织服装</v>
        <stp/>
        <stp>EM_S_INFO_INDEX_EM</stp>
        <stp>2</stp>
        <stp>601718</stp>
        <stp>1</stp>
        <tr r="D2524" s="1"/>
      </tp>
      <tp t="s">
        <v>房地产</v>
        <stp/>
        <stp>EM_S_INFO_INDEX_EM</stp>
        <stp>2</stp>
        <stp>601588</stp>
        <stp>1</stp>
        <tr r="D1361" s="1"/>
      </tp>
      <tp t="s">
        <v>电气设备</v>
        <stp/>
        <stp>EM_S_INFO_INDEX_EM</stp>
        <stp>2</stp>
        <stp>601558</stp>
        <stp>1</stp>
        <tr r="D2379" s="1"/>
      </tp>
      <tp t="s">
        <v>交通运输</v>
        <stp/>
        <stp>EM_S_INFO_INDEX_EM</stp>
        <stp>2</stp>
        <stp>601518</stp>
        <stp>1</stp>
        <tr r="D2183" s="1"/>
      </tp>
      <tp t="s">
        <v>休闲、生活及专业服务</v>
        <stp/>
        <stp>EM_S_INFO_INDEX_EM</stp>
        <stp>2</stp>
        <stp>601888</stp>
        <stp>1</stp>
        <tr r="D601" s="1"/>
      </tp>
      <tp t="s">
        <v>化石能源</v>
        <stp/>
        <stp>EM_S_INFO_INDEX_EM</stp>
        <stp>2</stp>
        <stp>601898</stp>
        <stp>1</stp>
        <tr r="D1860" s="1"/>
      </tp>
      <tp t="s">
        <v>金融</v>
        <stp/>
        <stp>EM_S_INFO_INDEX_EM</stp>
        <stp>2</stp>
        <stp>601878</stp>
        <stp>1</stp>
        <tr r="D466" s="1"/>
      </tp>
      <tp t="s">
        <v>文化传媒</v>
        <stp/>
        <stp>EM_S_INFO_INDEX_EM</stp>
        <stp>2</stp>
        <stp>601858</stp>
        <stp>1</stp>
        <tr r="D1108" s="1"/>
      </tp>
      <tp t="s">
        <v>商贸零售</v>
        <stp/>
        <stp>EM_S_INFO_INDEX_EM</stp>
        <stp>2</stp>
        <stp>601828</stp>
        <stp>1</stp>
        <tr r="D2154" s="1"/>
      </tp>
      <tp t="s">
        <v>金融</v>
        <stp/>
        <stp>EM_S_INFO_INDEX_EM</stp>
        <stp>2</stp>
        <stp>601838</stp>
        <stp>1</stp>
        <tr r="D1663" s="1"/>
      </tp>
      <tp t="s">
        <v>化石能源</v>
        <stp/>
        <stp>EM_S_INFO_INDEX_EM</stp>
        <stp>2</stp>
        <stp>601808</stp>
        <stp>1</stp>
        <tr r="D119" s="1"/>
      </tp>
      <tp t="s">
        <v>金融</v>
        <stp/>
        <stp>EM_S_INFO_INDEX_EM</stp>
        <stp>2</stp>
        <stp>601818</stp>
        <stp>1</stp>
        <tr r="D1342" s="1"/>
      </tp>
      <tp t="s">
        <v>金融</v>
        <stp/>
        <stp>EM_S_INFO_INDEX_EM</stp>
        <stp>2</stp>
        <stp>601988</stp>
        <stp>1</stp>
        <tr r="D2120" s="1"/>
      </tp>
      <tp t="s">
        <v>金融</v>
        <stp/>
        <stp>EM_S_INFO_INDEX_EM</stp>
        <stp>2</stp>
        <stp>601998</stp>
        <stp>1</stp>
        <tr r="D1567" s="1"/>
      </tp>
      <tp t="s">
        <v>轻工制造</v>
        <stp/>
        <stp>EM_S_INFO_INDEX_EM</stp>
        <stp>2</stp>
        <stp>601968</stp>
        <stp>1</stp>
        <tr r="D1000" s="1"/>
      </tp>
      <tp t="s">
        <v>有色金属</v>
        <stp/>
        <stp>EM_S_INFO_INDEX_EM</stp>
        <stp>2</stp>
        <stp>601958</stp>
        <stp>1</stp>
        <tr r="D799" s="1"/>
      </tp>
      <tp t="s">
        <v>文化传媒</v>
        <stp/>
        <stp>EM_S_INFO_INDEX_EM</stp>
        <stp>2</stp>
        <stp>601928</stp>
        <stp>1</stp>
        <tr r="D2548" s="1"/>
      </tp>
      <tp t="s">
        <v>公用事业</v>
        <stp/>
        <stp>EM_S_INFO_INDEX_EM</stp>
        <stp>2</stp>
        <stp>601908</stp>
        <stp>1</stp>
        <tr r="D2539" s="1"/>
      </tp>
      <tp t="s">
        <v>化石能源</v>
        <stp/>
        <stp>EM_S_INFO_INDEX_EM</stp>
        <stp>2</stp>
        <stp>601918</stp>
        <stp>1</stp>
        <tr r="D1915" s="1"/>
      </tp>
      <tp t="s">
        <v>医药生物</v>
        <stp/>
        <stp>EM_S_INFO_INDEX_EM</stp>
        <stp>2</stp>
        <stp>300298</stp>
        <stp>1</stp>
        <tr r="D742" s="1"/>
      </tp>
      <tp t="s">
        <v>互联网</v>
        <stp/>
        <stp>EM_S_INFO_INDEX_EM</stp>
        <stp>2</stp>
        <stp>300288</stp>
        <stp>1</stp>
        <tr r="D2609" s="1"/>
      </tp>
      <tp t="s">
        <v>电子设备</v>
        <stp/>
        <stp>EM_S_INFO_INDEX_EM</stp>
        <stp>2</stp>
        <stp>600288</stp>
        <stp>1</stp>
        <tr r="D324" s="1"/>
      </tp>
      <tp t="s">
        <v>食品饮料</v>
        <stp/>
        <stp>EM_S_INFO_INDEX_EM</stp>
        <stp>2</stp>
        <stp>600298</stp>
        <stp>1</stp>
        <tr r="D1273" s="1"/>
      </tp>
      <tp t="s">
        <v>医药生物</v>
        <stp/>
        <stp>EM_S_INFO_INDEX_EM</stp>
        <stp>2</stp>
        <stp>300238</stp>
        <stp>1</stp>
        <tr r="D179" s="1"/>
      </tp>
      <tp t="s">
        <v>电气设备</v>
        <stp/>
        <stp>EM_S_INFO_INDEX_EM</stp>
        <stp>2</stp>
        <stp>600268</stp>
        <stp>1</stp>
        <tr r="D1195" s="1"/>
      </tp>
      <tp t="s">
        <v>机械设备</v>
        <stp/>
        <stp>EM_S_INFO_INDEX_EM</stp>
        <stp>2</stp>
        <stp>300228</stp>
        <stp>1</stp>
        <tr r="D1991" s="1"/>
      </tp>
      <tp t="s">
        <v>商贸零售</v>
        <stp/>
        <stp>EM_S_INFO_INDEX_EM</stp>
        <stp>2</stp>
        <stp>600278</stp>
        <stp>1</stp>
        <tr r="D923" s="1"/>
      </tp>
      <tp t="s">
        <v>基础化工</v>
        <stp/>
        <stp>EM_S_INFO_INDEX_EM</stp>
        <stp>2</stp>
        <stp>300218</stp>
        <stp>1</stp>
        <tr r="D970" s="1"/>
      </tp>
      <tp t="s">
        <v>建筑</v>
        <stp/>
        <stp>EM_S_INFO_INDEX_EM</stp>
        <stp>2</stp>
        <stp>600248</stp>
        <stp>1</stp>
        <tr r="D1689" s="1"/>
      </tp>
      <tp t="s">
        <v>电气设备</v>
        <stp/>
        <stp>EM_S_INFO_INDEX_EM</stp>
        <stp>2</stp>
        <stp>300208</stp>
        <stp>1</stp>
        <tr r="D1037" s="1"/>
      </tp>
      <tp t="s">
        <v>休闲、生活及专业服务</v>
        <stp/>
        <stp>EM_S_INFO_INDEX_EM</stp>
        <stp>2</stp>
        <stp>600258</stp>
        <stp>1</stp>
        <tr r="D833" s="1"/>
      </tp>
      <tp t="s">
        <v>机械设备</v>
        <stp/>
        <stp>EM_S_INFO_INDEX_EM</stp>
        <stp>2</stp>
        <stp>300278</stp>
        <stp>1</stp>
        <tr r="D3145" s="1"/>
      </tp>
      <tp t="s">
        <v>基础化工</v>
        <stp/>
        <stp>EM_S_INFO_INDEX_EM</stp>
        <stp>2</stp>
        <stp>600228</stp>
        <stp>1</stp>
        <tr r="D3169" s="1"/>
      </tp>
      <tp t="s">
        <v>农林牧渔</v>
        <stp/>
        <stp>EM_S_INFO_INDEX_EM</stp>
        <stp>2</stp>
        <stp>300268</stp>
        <stp>1</stp>
        <tr r="D1057" s="1"/>
      </tp>
      <tp t="s">
        <v>食品饮料</v>
        <stp/>
        <stp>EM_S_INFO_INDEX_EM</stp>
        <stp>2</stp>
        <stp>600238</stp>
        <stp>1</stp>
        <tr r="D1030" s="1"/>
      </tp>
      <tp t="s">
        <v>交运设备</v>
        <stp/>
        <stp>EM_S_INFO_INDEX_EM</stp>
        <stp>2</stp>
        <stp>300258</stp>
        <stp>1</stp>
        <tr r="D2705" s="1"/>
      </tp>
      <tp t="s">
        <v>房地产</v>
        <stp/>
        <stp>EM_S_INFO_INDEX_EM</stp>
        <stp>2</stp>
        <stp>600208</stp>
        <stp>1</stp>
        <tr r="D957" s="1"/>
      </tp>
      <tp t="s">
        <v>信息技术</v>
        <stp/>
        <stp>EM_S_INFO_INDEX_EM</stp>
        <stp>2</stp>
        <stp>300248</stp>
        <stp>1</stp>
        <tr r="D1276" s="1"/>
      </tp>
      <tp t="s">
        <v>机械设备</v>
        <stp/>
        <stp>EM_S_INFO_INDEX_EM</stp>
        <stp>2</stp>
        <stp>600218</stp>
        <stp>1</stp>
        <tr r="D83" s="1"/>
      </tp>
      <tp t="s">
        <v>基础化工</v>
        <stp/>
        <stp>EM_S_INFO_INDEX_EM</stp>
        <stp>2</stp>
        <stp>300398</stp>
        <stp>1</stp>
        <tr r="D2573" s="1"/>
      </tp>
      <tp t="s">
        <v>公用事业</v>
        <stp/>
        <stp>EM_S_INFO_INDEX_EM</stp>
        <stp>2</stp>
        <stp>300388</stp>
        <stp>1</stp>
        <tr r="D1290" s="1"/>
      </tp>
      <tp t="s">
        <v>机械设备</v>
        <stp/>
        <stp>EM_S_INFO_INDEX_EM</stp>
        <stp>2</stp>
        <stp>600388</stp>
        <stp>1</stp>
        <tr r="D2538" s="1"/>
      </tp>
      <tp t="s">
        <v>纺织服装</v>
        <stp/>
        <stp>EM_S_INFO_INDEX_EM</stp>
        <stp>2</stp>
        <stp>600398</stp>
        <stp>1</stp>
        <tr r="D2779" s="1"/>
      </tp>
      <tp t="s">
        <v>文化传媒</v>
        <stp/>
        <stp>EM_S_INFO_INDEX_EM</stp>
        <stp>2</stp>
        <stp>300338</stp>
        <stp>1</stp>
        <tr r="D520" s="1"/>
      </tp>
      <tp t="s">
        <v>交通运输</v>
        <stp/>
        <stp>EM_S_INFO_INDEX_EM</stp>
        <stp>2</stp>
        <stp>600368</stp>
        <stp>1</stp>
        <tr r="D637" s="1"/>
      </tp>
      <tp t="s">
        <v>机械设备</v>
        <stp/>
        <stp>EM_S_INFO_INDEX_EM</stp>
        <stp>2</stp>
        <stp>300328</stp>
        <stp>1</stp>
        <tr r="D97" s="1"/>
      </tp>
      <tp t="s">
        <v>基础化工</v>
        <stp/>
        <stp>EM_S_INFO_INDEX_EM</stp>
        <stp>2</stp>
        <stp>600378</stp>
        <stp>1</stp>
        <tr r="D132" s="1"/>
      </tp>
      <tp t="s">
        <v>医药生物</v>
        <stp/>
        <stp>EM_S_INFO_INDEX_EM</stp>
        <stp>2</stp>
        <stp>300318</stp>
        <stp>1</stp>
        <tr r="D2155" s="1"/>
      </tp>
      <tp t="s">
        <v>化石能源</v>
        <stp/>
        <stp>EM_S_INFO_INDEX_EM</stp>
        <stp>2</stp>
        <stp>600348</stp>
        <stp>1</stp>
        <tr r="D1741" s="1"/>
      </tp>
      <tp t="s">
        <v>交运设备</v>
        <stp/>
        <stp>EM_S_INFO_INDEX_EM</stp>
        <stp>2</stp>
        <stp>000338</stp>
        <stp>1</stp>
        <tr r="D162" s="1"/>
      </tp>
      <tp t="s">
        <v>信息技术</v>
        <stp/>
        <stp>EM_S_INFO_INDEX_EM</stp>
        <stp>2</stp>
        <stp>300308</stp>
        <stp>1</stp>
        <tr r="D975" s="1"/>
      </tp>
      <tp t="s">
        <v>文化传媒</v>
        <stp/>
        <stp>EM_S_INFO_INDEX_EM</stp>
        <stp>2</stp>
        <stp>600358</stp>
        <stp>1</stp>
        <tr r="D1391" s="1"/>
      </tp>
      <tp t="s">
        <v>信息技术</v>
        <stp/>
        <stp>EM_S_INFO_INDEX_EM</stp>
        <stp>2</stp>
        <stp>300378</stp>
        <stp>1</stp>
        <tr r="D552" s="1"/>
      </tp>
      <tp t="s">
        <v>基础化工</v>
        <stp/>
        <stp>EM_S_INFO_INDEX_EM</stp>
        <stp>2</stp>
        <stp>600328</stp>
        <stp>1</stp>
        <tr r="D1295" s="1"/>
      </tp>
      <tp t="s">
        <v>信息技术</v>
        <stp/>
        <stp>EM_S_INFO_INDEX_EM</stp>
        <stp>2</stp>
        <stp>300368</stp>
        <stp>1</stp>
        <tr r="D686" s="1"/>
      </tp>
      <tp t="s">
        <v>有色金属</v>
        <stp/>
        <stp>EM_S_INFO_INDEX_EM</stp>
        <stp>2</stp>
        <stp>600338</stp>
        <stp>1</stp>
        <tr r="D2747" s="1"/>
      </tp>
      <tp t="s">
        <v>医药生物</v>
        <stp/>
        <stp>EM_S_INFO_INDEX_EM</stp>
        <stp>2</stp>
        <stp>300358</stp>
        <stp>1</stp>
        <tr r="D2761" s="1"/>
      </tp>
      <tp t="s">
        <v>轻工制造</v>
        <stp/>
        <stp>EM_S_INFO_INDEX_EM</stp>
        <stp>2</stp>
        <stp>600308</stp>
        <stp>1</stp>
        <tr r="D1999" s="1"/>
      </tp>
      <tp t="s">
        <v>信息技术</v>
        <stp/>
        <stp>EM_S_INFO_INDEX_EM</stp>
        <stp>2</stp>
        <stp>300348</stp>
        <stp>1</stp>
        <tr r="D1093" s="1"/>
      </tp>
      <tp t="s">
        <v>金融</v>
        <stp/>
        <stp>EM_S_INFO_INDEX_EM</stp>
        <stp>2</stp>
        <stp>600318</stp>
        <stp>1</stp>
        <tr r="D2381" s="1"/>
      </tp>
      <tp t="s">
        <v>交通运输</v>
        <stp/>
        <stp>EM_S_INFO_INDEX_EM</stp>
        <stp>2</stp>
        <stp>000088</stp>
        <stp>1</stp>
        <tr r="D1566" s="1"/>
      </tp>
      <tp t="s">
        <v>信息技术</v>
        <stp/>
        <stp>EM_S_INFO_INDEX_EM</stp>
        <stp>2</stp>
        <stp>300098</stp>
        <stp>1</stp>
        <tr r="D2821" s="1"/>
      </tp>
      <tp t="s">
        <v>电子设备</v>
        <stp/>
        <stp>EM_S_INFO_INDEX_EM</stp>
        <stp>2</stp>
        <stp>300088</stp>
        <stp>1</stp>
        <tr r="D96" s="1"/>
      </tp>
      <tp t="s">
        <v>文化传媒</v>
        <stp/>
        <stp>EM_S_INFO_INDEX_EM</stp>
        <stp>2</stp>
        <stp>600088</stp>
        <stp>1</stp>
        <tr r="D412" s="1"/>
      </tp>
      <tp t="s">
        <v>公用事业</v>
        <stp/>
        <stp>EM_S_INFO_INDEX_EM</stp>
        <stp>2</stp>
        <stp>600098</stp>
        <stp>1</stp>
        <tr r="D1455" s="1"/>
      </tp>
      <tp t="s">
        <v>交运设备</v>
        <stp/>
        <stp>EM_S_INFO_INDEX_EM</stp>
        <stp>2</stp>
        <stp>000008</stp>
        <stp>1</stp>
        <tr r="D2627" s="1"/>
      </tp>
      <tp t="s">
        <v>信息技术</v>
        <stp/>
        <stp>EM_S_INFO_INDEX_EM</stp>
        <stp>2</stp>
        <stp>300038</stp>
        <stp>1</stp>
        <tr r="D2648" s="1"/>
      </tp>
      <tp t="s">
        <v>建筑</v>
        <stp/>
        <stp>EM_S_INFO_INDEX_EM</stp>
        <stp>2</stp>
        <stp>600068</stp>
        <stp>1</stp>
        <tr r="D2190" s="1"/>
      </tp>
      <tp t="s">
        <v>建筑</v>
        <stp/>
        <stp>EM_S_INFO_INDEX_EM</stp>
        <stp>2</stp>
        <stp>000018</stp>
        <stp>1</stp>
        <tr r="D3409" s="1"/>
      </tp>
      <tp t="s">
        <v>信息技术</v>
        <stp/>
        <stp>EM_S_INFO_INDEX_EM</stp>
        <stp>2</stp>
        <stp>300028</stp>
        <stp>1</stp>
        <tr r="D2280" s="1"/>
      </tp>
      <tp t="s">
        <v>基础化工</v>
        <stp/>
        <stp>EM_S_INFO_INDEX_EM</stp>
        <stp>2</stp>
        <stp>600078</stp>
        <stp>1</stp>
        <tr r="D391" s="1"/>
      </tp>
      <tp t="s">
        <v>医药生物</v>
        <stp/>
        <stp>EM_S_INFO_INDEX_EM</stp>
        <stp>2</stp>
        <stp>000028</stp>
        <stp>1</stp>
        <tr r="D1704" s="1"/>
      </tp>
      <tp t="s">
        <v>电气设备</v>
        <stp/>
        <stp>EM_S_INFO_INDEX_EM</stp>
        <stp>2</stp>
        <stp>300018</stp>
        <stp>1</stp>
        <tr r="D1441" s="1"/>
      </tp>
      <tp t="s">
        <v>房地产</v>
        <stp/>
        <stp>EM_S_INFO_INDEX_EM</stp>
        <stp>2</stp>
        <stp>600048</stp>
        <stp>1</stp>
        <tr r="D771" s="1"/>
      </tp>
      <tp t="s">
        <v>互联网</v>
        <stp/>
        <stp>EM_S_INFO_INDEX_EM</stp>
        <stp>2</stp>
        <stp>000038</stp>
        <stp>1</stp>
        <tr r="D2663" s="1"/>
      </tp>
      <tp t="s">
        <v>国防与装备</v>
        <stp/>
        <stp>EM_S_INFO_INDEX_EM</stp>
        <stp>2</stp>
        <stp>300008</stp>
        <stp>1</stp>
        <tr r="D1648" s="1"/>
      </tp>
      <tp t="s">
        <v>商贸零售</v>
        <stp/>
        <stp>EM_S_INFO_INDEX_EM</stp>
        <stp>2</stp>
        <stp>600058</stp>
        <stp>1</stp>
        <tr r="D1269" s="1"/>
      </tp>
      <tp t="s">
        <v>农林牧渔</v>
        <stp/>
        <stp>EM_S_INFO_INDEX_EM</stp>
        <stp>2</stp>
        <stp>000048</stp>
        <stp>1</stp>
        <tr r="D1177" s="1"/>
      </tp>
      <tp t="s">
        <v>电子设备</v>
        <stp/>
        <stp>EM_S_INFO_INDEX_EM</stp>
        <stp>2</stp>
        <stp>300078</stp>
        <stp>1</stp>
        <tr r="D1234" s="1"/>
      </tp>
      <tp t="s">
        <v>化石能源</v>
        <stp/>
        <stp>EM_S_INFO_INDEX_EM</stp>
        <stp>2</stp>
        <stp>600028</stp>
        <stp>1</stp>
        <tr r="D2245" s="1"/>
      </tp>
      <tp t="s">
        <v>商贸零售</v>
        <stp/>
        <stp>EM_S_INFO_INDEX_EM</stp>
        <stp>2</stp>
        <stp>000058</stp>
        <stp>1</stp>
        <tr r="D1127" s="1"/>
      </tp>
      <tp t="s">
        <v>电气设备</v>
        <stp/>
        <stp>EM_S_INFO_INDEX_EM</stp>
        <stp>2</stp>
        <stp>300068</stp>
        <stp>1</stp>
        <tr r="D3130" s="1"/>
      </tp>
      <tp t="s">
        <v>国防与装备</v>
        <stp/>
        <stp>EM_S_INFO_INDEX_EM</stp>
        <stp>2</stp>
        <stp>600038</stp>
        <stp>1</stp>
        <tr r="D1039" s="1"/>
      </tp>
      <tp t="s">
        <v>公用事业</v>
        <stp/>
        <stp>EM_S_INFO_INDEX_EM</stp>
        <stp>2</stp>
        <stp>000068</stp>
        <stp>1</stp>
        <tr r="D2414" s="1"/>
      </tp>
      <tp t="s">
        <v>文化传媒</v>
        <stp/>
        <stp>EM_S_INFO_INDEX_EM</stp>
        <stp>2</stp>
        <stp>300058</stp>
        <stp>1</stp>
        <tr r="D873" s="1"/>
      </tp>
      <tp t="s">
        <v>公用事业</v>
        <stp/>
        <stp>EM_S_INFO_INDEX_EM</stp>
        <stp>2</stp>
        <stp>600008</stp>
        <stp>1</stp>
        <tr r="D2550" s="1"/>
      </tp>
      <tp t="s">
        <v>医药生物</v>
        <stp/>
        <stp>EM_S_INFO_INDEX_EM</stp>
        <stp>2</stp>
        <stp>000078</stp>
        <stp>1</stp>
        <tr r="D1064" s="1"/>
      </tp>
      <tp t="s">
        <v>交运设备</v>
        <stp/>
        <stp>EM_S_INFO_INDEX_EM</stp>
        <stp>2</stp>
        <stp>300048</stp>
        <stp>1</stp>
        <tr r="D2355" s="1"/>
      </tp>
      <tp t="s">
        <v>交通运输</v>
        <stp/>
        <stp>EM_S_INFO_INDEX_EM</stp>
        <stp>2</stp>
        <stp>600018</stp>
        <stp>1</stp>
        <tr r="D1725" s="1"/>
      </tp>
      <tp t="s">
        <v>建材</v>
        <stp/>
        <stp>EM_S_INFO_INDEX_EM</stp>
        <stp>2</stp>
        <stp>300198</stp>
        <stp>1</stp>
        <tr r="D522" s="1"/>
      </tp>
      <tp t="s">
        <v>信息技术</v>
        <stp/>
        <stp>EM_S_INFO_INDEX_EM</stp>
        <stp>2</stp>
        <stp>300188</stp>
        <stp>1</stp>
        <tr r="D906" s="1"/>
      </tp>
      <tp t="s">
        <v>化石能源</v>
        <stp/>
        <stp>EM_S_INFO_INDEX_EM</stp>
        <stp>2</stp>
        <stp>600188</stp>
        <stp>1</stp>
        <tr r="D1329" s="1"/>
      </tp>
      <tp t="s">
        <v>信息技术</v>
        <stp/>
        <stp>EM_S_INFO_INDEX_EM</stp>
        <stp>2</stp>
        <stp>600198</stp>
        <stp>1</stp>
        <tr r="D416" s="1"/>
      </tp>
      <tp t="s">
        <v>农林牧渔</v>
        <stp/>
        <stp>EM_S_INFO_INDEX_EM</stp>
        <stp>2</stp>
        <stp>300138</stp>
        <stp>1</stp>
        <tr r="D941" s="1"/>
      </tp>
      <tp t="s">
        <v>公用事业</v>
        <stp/>
        <stp>EM_S_INFO_INDEX_EM</stp>
        <stp>2</stp>
        <stp>600168</stp>
        <stp>1</stp>
        <tr r="D1443" s="1"/>
      </tp>
      <tp t="s">
        <v>电子设备</v>
        <stp/>
        <stp>EM_S_INFO_INDEX_EM</stp>
        <stp>2</stp>
        <stp>300128</stp>
        <stp>1</stp>
        <tr r="D1612" s="1"/>
      </tp>
      <tp t="s">
        <v>交运设备</v>
        <stp/>
        <stp>EM_S_INFO_INDEX_EM</stp>
        <stp>2</stp>
        <stp>600178</stp>
        <stp>1</stp>
        <tr r="D1550" s="1"/>
      </tp>
      <tp t="s">
        <v>电气设备</v>
        <stp/>
        <stp>EM_S_INFO_INDEX_EM</stp>
        <stp>2</stp>
        <stp>300118</stp>
        <stp>1</stp>
        <tr r="D91" s="1"/>
      </tp>
      <tp t="s">
        <v>交运设备</v>
        <stp/>
        <stp>EM_S_INFO_INDEX_EM</stp>
        <stp>2</stp>
        <stp>600148</stp>
        <stp>1</stp>
        <tr r="D2591" s="1"/>
      </tp>
      <tp t="s">
        <v>医药生物</v>
        <stp/>
        <stp>EM_S_INFO_INDEX_EM</stp>
        <stp>2</stp>
        <stp>300108</stp>
        <stp>1</stp>
        <tr r="D3150" s="1"/>
      </tp>
      <tp t="s">
        <v>房地产</v>
        <stp/>
        <stp>EM_S_INFO_INDEX_EM</stp>
        <stp>2</stp>
        <stp>600158</stp>
        <stp>1</stp>
        <tr r="D1644" s="1"/>
      </tp>
      <tp t="s">
        <v>休闲、生活及专业服务</v>
        <stp/>
        <stp>EM_S_INFO_INDEX_EM</stp>
        <stp>2</stp>
        <stp>300178</stp>
        <stp>1</stp>
        <tr r="D3346" s="1"/>
      </tp>
      <tp t="s">
        <v>综合</v>
        <stp/>
        <stp>EM_S_INFO_INDEX_EM</stp>
        <stp>2</stp>
        <stp>600128</stp>
        <stp>1</stp>
        <tr r="D2583" s="1"/>
      </tp>
      <tp t="s">
        <v>信息技术</v>
        <stp/>
        <stp>EM_S_INFO_INDEX_EM</stp>
        <stp>2</stp>
        <stp>000158</stp>
        <stp>1</stp>
        <tr r="D3412" s="1"/>
      </tp>
      <tp t="s">
        <v>信息技术</v>
        <stp/>
        <stp>EM_S_INFO_INDEX_EM</stp>
        <stp>2</stp>
        <stp>300168</stp>
        <stp>1</stp>
        <tr r="D960" s="1"/>
      </tp>
      <tp t="s">
        <v>休闲、生活及专业服务</v>
        <stp/>
        <stp>EM_S_INFO_INDEX_EM</stp>
        <stp>2</stp>
        <stp>600138</stp>
        <stp>1</stp>
        <tr r="D2400" s="1"/>
      </tp>
      <tp t="s">
        <v>医药生物</v>
        <stp/>
        <stp>EM_S_INFO_INDEX_EM</stp>
        <stp>2</stp>
        <stp>300158</stp>
        <stp>1</stp>
        <tr r="D1236" s="1"/>
      </tp>
      <tp t="s">
        <v>农林牧渔</v>
        <stp/>
        <stp>EM_S_INFO_INDEX_EM</stp>
        <stp>2</stp>
        <stp>600108</stp>
        <stp>1</stp>
        <tr r="D1790" s="1"/>
      </tp>
      <tp t="s">
        <v>互联网</v>
        <stp/>
        <stp>EM_S_INFO_INDEX_EM</stp>
        <stp>2</stp>
        <stp>300148</stp>
        <stp>1</stp>
        <tr r="D2790" s="1"/>
      </tp>
      <tp t="s">
        <v>信息技术</v>
        <stp/>
        <stp>EM_S_INFO_INDEX_EM</stp>
        <stp>2</stp>
        <stp>600118</stp>
        <stp>1</stp>
        <tr r="D1129" s="1"/>
      </tp>
      <tp t="s">
        <v>有色金属</v>
        <stp/>
        <stp>EM_S_INFO_INDEX_EM</stp>
        <stp>2</stp>
        <stp>000688</stp>
        <stp>1</stp>
        <tr r="D3510" s="1"/>
      </tp>
      <tp t="s">
        <v>化石能源</v>
        <stp/>
        <stp>EM_S_INFO_INDEX_EM</stp>
        <stp>2</stp>
        <stp>000698</stp>
        <stp>1</stp>
        <tr r="D3514" s="1"/>
      </tp>
      <tp t="s">
        <v>信息技术</v>
        <stp/>
        <stp>EM_S_INFO_INDEX_EM</stp>
        <stp>2</stp>
        <stp>300698</stp>
        <stp>1</stp>
        <tr r="D2793" s="1"/>
      </tp>
      <tp t="s">
        <v>休闲、生活及专业服务</v>
        <stp/>
        <stp>EM_S_INFO_INDEX_EM</stp>
        <stp>2</stp>
        <stp>300688</stp>
        <stp>1</stp>
        <tr r="D3329" s="1"/>
      </tp>
      <tp t="s">
        <v>化石能源</v>
        <stp/>
        <stp>EM_S_INFO_INDEX_EM</stp>
        <stp>2</stp>
        <stp>600688</stp>
        <stp>1</stp>
        <tr r="D3114" s="1"/>
      </tp>
      <tp t="s">
        <v>交运设备</v>
        <stp/>
        <stp>EM_S_INFO_INDEX_EM</stp>
        <stp>2</stp>
        <stp>600698</stp>
        <stp>1</stp>
        <tr r="D3214" s="1"/>
      </tp>
      <tp t="s">
        <v>房地产</v>
        <stp/>
        <stp>EM_S_INFO_INDEX_EM</stp>
        <stp>2</stp>
        <stp>000608</stp>
        <stp>1</stp>
        <tr r="D3481" s="1"/>
      </tp>
      <tp t="s">
        <v>信息技术</v>
        <stp/>
        <stp>EM_S_INFO_INDEX_EM</stp>
        <stp>2</stp>
        <stp>300638</stp>
        <stp>1</stp>
        <tr r="D110" s="1"/>
      </tp>
      <tp t="s">
        <v>建材</v>
        <stp/>
        <stp>EM_S_INFO_INDEX_EM</stp>
        <stp>2</stp>
        <stp>600668</stp>
        <stp>1</stp>
        <tr r="D921" s="1"/>
      </tp>
      <tp>
        <v>0</v>
        <stp/>
        <stp>EM_S_INFO_INDEX_EM</stp>
        <stp>2</stp>
        <stp>000618</stp>
        <stp>1</stp>
        <tr r="D3485" s="1"/>
      </tp>
      <tp t="s">
        <v>信息技术</v>
        <stp/>
        <stp>EM_S_INFO_INDEX_EM</stp>
        <stp>2</stp>
        <stp>300628</stp>
        <stp>1</stp>
        <tr r="D2626" s="1"/>
      </tp>
      <tp t="s">
        <v>建材</v>
        <stp/>
        <stp>EM_S_INFO_INDEX_EM</stp>
        <stp>2</stp>
        <stp>600678</stp>
        <stp>1</stp>
        <tr r="D1034" s="1"/>
      </tp>
      <tp t="s">
        <v>建筑</v>
        <stp/>
        <stp>EM_S_INFO_INDEX_EM</stp>
        <stp>2</stp>
        <stp>000628</stp>
        <stp>1</stp>
        <tr r="D2503" s="1"/>
      </tp>
      <tp t="s">
        <v>有色金属</v>
        <stp/>
        <stp>EM_S_INFO_INDEX_EM</stp>
        <stp>2</stp>
        <stp>300618</stp>
        <stp>1</stp>
        <tr r="D1876" s="1"/>
      </tp>
      <tp t="s">
        <v>房地产</v>
        <stp/>
        <stp>EM_S_INFO_INDEX_EM</stp>
        <stp>2</stp>
        <stp>600648</stp>
        <stp>1</stp>
        <tr r="D1052" s="1"/>
      </tp>
      <tp t="s">
        <v>信息技术</v>
        <stp/>
        <stp>EM_S_INFO_INDEX_EM</stp>
        <stp>2</stp>
        <stp>000638</stp>
        <stp>1</stp>
        <tr r="D3492" s="1"/>
      </tp>
      <tp t="s">
        <v>信息技术</v>
        <stp/>
        <stp>EM_S_INFO_INDEX_EM</stp>
        <stp>2</stp>
        <stp>300608</stp>
        <stp>1</stp>
        <tr r="D2460" s="1"/>
      </tp>
      <tp t="s">
        <v>房地产</v>
        <stp/>
        <stp>EM_S_INFO_INDEX_EM</stp>
        <stp>2</stp>
        <stp>600658</stp>
        <stp>1</stp>
        <tr r="D2829" s="1"/>
      </tp>
      <tp t="s">
        <v>信息技术</v>
        <stp/>
        <stp>EM_S_INFO_INDEX_EM</stp>
        <stp>2</stp>
        <stp>300678</stp>
        <stp>1</stp>
        <tr r="D1418" s="1"/>
      </tp>
      <tp t="s">
        <v>商贸零售</v>
        <stp/>
        <stp>EM_S_INFO_INDEX_EM</stp>
        <stp>2</stp>
        <stp>600628</stp>
        <stp>1</stp>
        <tr r="D603" s="1"/>
      </tp>
      <tp>
        <v>0</v>
        <stp/>
        <stp>EM_S_INFO_INDEX_EM</stp>
        <stp>2</stp>
        <stp>000658</stp>
        <stp>1</stp>
        <tr r="D3495" s="1"/>
      </tp>
      <tp t="s">
        <v>建筑</v>
        <stp/>
        <stp>EM_S_INFO_INDEX_EM</stp>
        <stp>2</stp>
        <stp>300668</stp>
        <stp>1</stp>
        <tr r="D2582" s="1"/>
      </tp>
      <tp t="s">
        <v>房地产</v>
        <stp/>
        <stp>EM_S_INFO_INDEX_EM</stp>
        <stp>2</stp>
        <stp>600638</stp>
        <stp>1</stp>
        <tr r="D3026" s="1"/>
      </tp>
      <tp t="s">
        <v>房地产</v>
        <stp/>
        <stp>EM_S_INFO_INDEX_EM</stp>
        <stp>2</stp>
        <stp>000668</stp>
        <stp>1</stp>
        <tr r="D3500" s="1"/>
      </tp>
      <tp t="s">
        <v>纺织服装</v>
        <stp/>
        <stp>EM_S_INFO_INDEX_EM</stp>
        <stp>2</stp>
        <stp>300658</stp>
        <stp>1</stp>
        <tr r="D886" s="1"/>
      </tp>
      <tp t="s">
        <v>钢铁</v>
        <stp/>
        <stp>EM_S_INFO_INDEX_EM</stp>
        <stp>2</stp>
        <stp>600608</stp>
        <stp>1</stp>
        <tr r="D1802" s="1"/>
      </tp>
      <tp t="s">
        <v>交运设备</v>
        <stp/>
        <stp>EM_S_INFO_INDEX_EM</stp>
        <stp>2</stp>
        <stp>000678</stp>
        <stp>1</stp>
        <tr r="D3505" s="1"/>
      </tp>
      <tp t="s">
        <v>机械设备</v>
        <stp/>
        <stp>EM_S_INFO_INDEX_EM</stp>
        <stp>2</stp>
        <stp>300648</stp>
        <stp>1</stp>
        <tr r="D2494" s="1"/>
      </tp>
      <tp t="s">
        <v>基础化工</v>
        <stp/>
        <stp>EM_S_INFO_INDEX_EM</stp>
        <stp>2</stp>
        <stp>600618</stp>
        <stp>1</stp>
        <tr r="D1601" s="1"/>
      </tp>
      <tp t="s">
        <v>医药生物</v>
        <stp/>
        <stp>EM_S_INFO_INDEX_EM</stp>
        <stp>2</stp>
        <stp>000788</stp>
        <stp>1</stp>
        <tr r="D1145" s="1"/>
      </tp>
      <tp t="s">
        <v>农林牧渔</v>
        <stp/>
        <stp>EM_S_INFO_INDEX_EM</stp>
        <stp>2</stp>
        <stp>000798</stp>
        <stp>1</stp>
        <tr r="D3541" s="1"/>
      </tp>
      <tp>
        <v>0</v>
        <stp/>
        <stp>EM_S_INFO_INDEX_EM</stp>
        <stp>2</stp>
        <stp>600788</stp>
        <stp>1</stp>
        <tr r="D2323" s="1"/>
      </tp>
      <tp t="s">
        <v>交通运输</v>
        <stp/>
        <stp>EM_S_INFO_INDEX_EM</stp>
        <stp>2</stp>
        <stp>600798</stp>
        <stp>1</stp>
        <tr r="D1796" s="1"/>
      </tp>
      <tp t="s">
        <v>钢铁</v>
        <stp/>
        <stp>EM_S_INFO_INDEX_EM</stp>
        <stp>2</stp>
        <stp>000708</stp>
        <stp>1</stp>
        <tr r="D73" s="1"/>
      </tp>
      <tp t="s">
        <v>互联网</v>
        <stp/>
        <stp>EM_S_INFO_INDEX_EM</stp>
        <stp>2</stp>
        <stp>300738</stp>
        <stp>1</stp>
        <tr r="D2898" s="1"/>
      </tp>
      <tp t="s">
        <v>有色金属</v>
        <stp/>
        <stp>EM_S_INFO_INDEX_EM</stp>
        <stp>2</stp>
        <stp>600768</stp>
        <stp>1</stp>
        <tr r="D914" s="1"/>
      </tp>
      <tp t="s">
        <v>房地产</v>
        <stp/>
        <stp>EM_S_INFO_INDEX_EM</stp>
        <stp>2</stp>
        <stp>000718</stp>
        <stp>1</stp>
        <tr r="D3519" s="1"/>
      </tp>
      <tp>
        <v>0</v>
        <stp/>
        <stp>EM_S_INFO_INDEX_EM</stp>
        <stp>2</stp>
        <stp>300728</stp>
        <stp>1</stp>
        <tr r="D11" s="1"/>
      </tp>
      <tp t="s">
        <v>商贸零售</v>
        <stp/>
        <stp>EM_S_INFO_INDEX_EM</stp>
        <stp>2</stp>
        <stp>600778</stp>
        <stp>1</stp>
        <tr r="D1299" s="1"/>
      </tp>
      <tp t="s">
        <v>金融</v>
        <stp/>
        <stp>EM_S_INFO_INDEX_EM</stp>
        <stp>2</stp>
        <stp>000728</stp>
        <stp>1</stp>
        <tr r="D3521" s="1"/>
      </tp>
      <tp t="s">
        <v>机械设备</v>
        <stp/>
        <stp>EM_S_INFO_INDEX_EM</stp>
        <stp>2</stp>
        <stp>300718</stp>
        <stp>1</stp>
        <tr r="D730" s="1"/>
      </tp>
      <tp t="s">
        <v>房地产</v>
        <stp/>
        <stp>EM_S_INFO_INDEX_EM</stp>
        <stp>2</stp>
        <stp>600748</stp>
        <stp>1</stp>
        <tr r="D1694" s="1"/>
      </tp>
      <tp t="s">
        <v>国防与装备</v>
        <stp/>
        <stp>EM_S_INFO_INDEX_EM</stp>
        <stp>2</stp>
        <stp>000738</stp>
        <stp>1</stp>
        <tr r="D1824" s="1"/>
      </tp>
      <tp t="s">
        <v>电子设备</v>
        <stp/>
        <stp>EM_S_INFO_INDEX_EM</stp>
        <stp>2</stp>
        <stp>300708</stp>
        <stp>1</stp>
        <tr r="D1073" s="1"/>
      </tp>
      <tp t="s">
        <v>化石能源</v>
        <stp/>
        <stp>EM_S_INFO_INDEX_EM</stp>
        <stp>2</stp>
        <stp>600758</stp>
        <stp>1</stp>
        <tr r="D884" s="1"/>
      </tp>
      <tp>
        <v>0</v>
        <stp/>
        <stp>EM_S_INFO_INDEX_EM</stp>
        <stp>2</stp>
        <stp>000748</stp>
        <stp>1</stp>
        <tr r="D3525" s="1"/>
      </tp>
      <tp t="s">
        <v>信息技术</v>
        <stp/>
        <stp>EM_S_INFO_INDEX_EM</stp>
        <stp>2</stp>
        <stp>600728</stp>
        <stp>1</stp>
        <tr r="D794" s="1"/>
      </tp>
      <tp t="s">
        <v>有色金属</v>
        <stp/>
        <stp>EM_S_INFO_INDEX_EM</stp>
        <stp>2</stp>
        <stp>000758</stp>
        <stp>1</stp>
        <tr r="D3529" s="1"/>
      </tp>
      <tp t="s">
        <v>商贸零售</v>
        <stp/>
        <stp>EM_S_INFO_INDEX_EM</stp>
        <stp>2</stp>
        <stp>600738</stp>
        <stp>1</stp>
        <tr r="D2955" s="1"/>
      </tp>
      <tp t="s">
        <v>国防与装备</v>
        <stp/>
        <stp>EM_S_INFO_INDEX_EM</stp>
        <stp>2</stp>
        <stp>000768</stp>
        <stp>1</stp>
        <tr r="D1149" s="1"/>
      </tp>
      <tp t="s">
        <v>房地产</v>
        <stp/>
        <stp>EM_S_INFO_INDEX_EM</stp>
        <stp>2</stp>
        <stp>600708</stp>
        <stp>1</stp>
        <tr r="D2225" s="1"/>
      </tp>
      <tp t="s">
        <v>钢铁</v>
        <stp/>
        <stp>EM_S_INFO_INDEX_EM</stp>
        <stp>2</stp>
        <stp>000778</stp>
        <stp>1</stp>
        <tr r="D3535" s="1"/>
      </tp>
      <tp t="s">
        <v>信息技术</v>
        <stp/>
        <stp>EM_S_INFO_INDEX_EM</stp>
        <stp>2</stp>
        <stp>600718</stp>
        <stp>1</stp>
        <tr r="D2488" s="1"/>
      </tp>
      <tp t="s">
        <v>轻工制造</v>
        <stp/>
        <stp>EM_S_INFO_INDEX_EM</stp>
        <stp>2</stp>
        <stp>000488</stp>
        <stp>1</stp>
        <tr r="D3427" s="1"/>
      </tp>
      <tp t="s">
        <v>建筑</v>
        <stp/>
        <stp>EM_S_INFO_INDEX_EM</stp>
        <stp>2</stp>
        <stp>000498</stp>
        <stp>1</stp>
        <tr r="D2686" s="1"/>
      </tp>
      <tp t="s">
        <v>农林牧渔</v>
        <stp/>
        <stp>EM_S_INFO_INDEX_EM</stp>
        <stp>2</stp>
        <stp>300498</stp>
        <stp>1</stp>
        <tr r="D1017" s="1"/>
      </tp>
      <tp t="s">
        <v>机械设备</v>
        <stp/>
        <stp>EM_S_INFO_INDEX_EM</stp>
        <stp>2</stp>
        <stp>300488</stp>
        <stp>1</stp>
        <tr r="D3270" s="1"/>
      </tp>
      <tp t="s">
        <v>医药生物</v>
        <stp/>
        <stp>EM_S_INFO_INDEX_EM</stp>
        <stp>2</stp>
        <stp>600488</stp>
        <stp>1</stp>
        <tr r="D1787" s="1"/>
      </tp>
      <tp t="s">
        <v>信息技术</v>
        <stp/>
        <stp>EM_S_INFO_INDEX_EM</stp>
        <stp>2</stp>
        <stp>600498</stp>
        <stp>1</stp>
        <tr r="D2489" s="1"/>
      </tp>
      <tp t="s">
        <v>基础化工</v>
        <stp/>
        <stp>EM_S_INFO_INDEX_EM</stp>
        <stp>2</stp>
        <stp>000408</stp>
        <stp>1</stp>
        <tr r="D3418" s="1"/>
      </tp>
      <tp t="s">
        <v>有色金属</v>
        <stp/>
        <stp>EM_S_INFO_INDEX_EM</stp>
        <stp>2</stp>
        <stp>300438</stp>
        <stp>1</stp>
        <tr r="D364" s="1"/>
      </tp>
      <tp t="s">
        <v>电气设备</v>
        <stp/>
        <stp>EM_S_INFO_INDEX_EM</stp>
        <stp>2</stp>
        <stp>600468</stp>
        <stp>1</stp>
        <tr r="D3233" s="1"/>
      </tp>
      <tp>
        <v>0</v>
        <stp/>
        <stp>EM_S_INFO_INDEX_EM</stp>
        <stp>2</stp>
        <stp>000418</stp>
        <stp>1</stp>
        <tr r="D870" s="1"/>
      </tp>
      <tp t="s">
        <v>交运设备</v>
        <stp/>
        <stp>EM_S_INFO_INDEX_EM</stp>
        <stp>2</stp>
        <stp>300428</stp>
        <stp>1</stp>
        <tr r="D1051" s="1"/>
      </tp>
      <tp t="s">
        <v>有色金属</v>
        <stp/>
        <stp>EM_S_INFO_INDEX_EM</stp>
        <stp>2</stp>
        <stp>600478</stp>
        <stp>1</stp>
        <tr r="D1797" s="1"/>
      </tp>
      <tp t="s">
        <v>休闲、生活及专业服务</v>
        <stp/>
        <stp>EM_S_INFO_INDEX_EM</stp>
        <stp>2</stp>
        <stp>000428</stp>
        <stp>1</stp>
        <tr r="D3425" s="1"/>
      </tp>
      <tp t="s">
        <v>互联网</v>
        <stp/>
        <stp>EM_S_INFO_INDEX_EM</stp>
        <stp>2</stp>
        <stp>300418</stp>
        <stp>1</stp>
        <tr r="D889" s="1"/>
      </tp>
      <tp t="s">
        <v>纺织服装</v>
        <stp/>
        <stp>EM_S_INFO_INDEX_EM</stp>
        <stp>2</stp>
        <stp>600448</stp>
        <stp>1</stp>
        <tr r="D1775" s="1"/>
      </tp>
      <tp t="s">
        <v>电子设备</v>
        <stp/>
        <stp>EM_S_INFO_INDEX_EM</stp>
        <stp>2</stp>
        <stp>300408</stp>
        <stp>1</stp>
        <tr r="D858" s="1"/>
      </tp>
      <tp t="s">
        <v>交运设备</v>
        <stp/>
        <stp>EM_S_INFO_INDEX_EM</stp>
        <stp>2</stp>
        <stp>600458</stp>
        <stp>1</stp>
        <tr r="D2074" s="1"/>
      </tp>
      <tp t="s">
        <v>有色金属</v>
        <stp/>
        <stp>EM_S_INFO_INDEX_EM</stp>
        <stp>2</stp>
        <stp>300478</stp>
        <stp>1</stp>
        <tr r="D3004" s="1"/>
      </tp>
      <tp t="s">
        <v>交通运输</v>
        <stp/>
        <stp>EM_S_INFO_INDEX_EM</stp>
        <stp>2</stp>
        <stp>600428</stp>
        <stp>1</stp>
        <tr r="D1477" s="1"/>
      </tp>
      <tp t="s">
        <v>信息技术</v>
        <stp/>
        <stp>EM_S_INFO_INDEX_EM</stp>
        <stp>2</stp>
        <stp>300468</stp>
        <stp>1</stp>
        <tr r="D55" s="1"/>
      </tp>
      <tp t="s">
        <v>农林牧渔</v>
        <stp/>
        <stp>EM_S_INFO_INDEX_EM</stp>
        <stp>2</stp>
        <stp>600438</stp>
        <stp>1</stp>
        <tr r="D448" s="1"/>
      </tp>
      <tp t="s">
        <v>电子设备</v>
        <stp/>
        <stp>EM_S_INFO_INDEX_EM</stp>
        <stp>2</stp>
        <stp>300458</stp>
        <stp>1</stp>
        <tr r="D425" s="1"/>
      </tp>
      <tp t="s">
        <v>化石能源</v>
        <stp/>
        <stp>EM_S_INFO_INDEX_EM</stp>
        <stp>2</stp>
        <stp>600408</stp>
        <stp>1</stp>
        <tr r="D2702" s="1"/>
      </tp>
      <tp t="s">
        <v>信息技术</v>
        <stp/>
        <stp>EM_S_INFO_INDEX_EM</stp>
        <stp>2</stp>
        <stp>300448</stp>
        <stp>1</stp>
        <tr r="D3181" s="1"/>
      </tp>
      <tp t="s">
        <v>交运设备</v>
        <stp/>
        <stp>EM_S_INFO_INDEX_EM</stp>
        <stp>2</stp>
        <stp>600418</stp>
        <stp>1</stp>
        <tr r="D2111" s="1"/>
      </tp>
      <tp>
        <v>0</v>
        <stp/>
        <stp>EM_S_INFO_INDEX_EM</stp>
        <stp>2</stp>
        <stp>000588</stp>
        <stp>1</stp>
        <tr r="D3470" s="1"/>
      </tp>
      <tp t="s">
        <v>公用事业</v>
        <stp/>
        <stp>EM_S_INFO_INDEX_EM</stp>
        <stp>2</stp>
        <stp>000598</stp>
        <stp>1</stp>
        <tr r="D1507" s="1"/>
      </tp>
      <tp t="s">
        <v>信息技术</v>
        <stp/>
        <stp>EM_S_INFO_INDEX_EM</stp>
        <stp>2</stp>
        <stp>300598</stp>
        <stp>1</stp>
        <tr r="D16" s="1"/>
      </tp>
      <tp t="s">
        <v>信息技术</v>
        <stp/>
        <stp>EM_S_INFO_INDEX_EM</stp>
        <stp>2</stp>
        <stp>300588</stp>
        <stp>1</stp>
        <tr r="D2696" s="1"/>
      </tp>
      <tp t="s">
        <v>信息技术</v>
        <stp/>
        <stp>EM_S_INFO_INDEX_EM</stp>
        <stp>2</stp>
        <stp>600588</stp>
        <stp>1</stp>
        <tr r="D868" s="1"/>
      </tp>
      <tp t="s">
        <v>农林牧渔</v>
        <stp/>
        <stp>EM_S_INFO_INDEX_EM</stp>
        <stp>2</stp>
        <stp>600598</stp>
        <stp>1</stp>
        <tr r="D1569" s="1"/>
      </tp>
      <tp>
        <v>0</v>
        <stp/>
        <stp>EM_S_INFO_INDEX_EM</stp>
        <stp>2</stp>
        <stp>000508</stp>
        <stp>1</stp>
        <tr r="D3434" s="1"/>
      </tp>
      <tp t="s">
        <v>基础化工</v>
        <stp/>
        <stp>EM_S_INFO_INDEX_EM</stp>
        <stp>2</stp>
        <stp>300538</stp>
        <stp>1</stp>
        <tr r="D2971" s="1"/>
      </tp>
      <tp t="s">
        <v>医药生物</v>
        <stp/>
        <stp>EM_S_INFO_INDEX_EM</stp>
        <stp>2</stp>
        <stp>600568</stp>
        <stp>1</stp>
        <tr r="D3135" s="1"/>
      </tp>
      <tp t="s">
        <v>医药生物</v>
        <stp/>
        <stp>EM_S_INFO_INDEX_EM</stp>
        <stp>2</stp>
        <stp>000518</stp>
        <stp>1</stp>
        <tr r="D3441" s="1"/>
      </tp>
      <tp t="s">
        <v>文化传媒</v>
        <stp/>
        <stp>EM_S_INFO_INDEX_EM</stp>
        <stp>2</stp>
        <stp>300528</stp>
        <stp>1</stp>
        <tr r="D3044" s="1"/>
      </tp>
      <tp t="s">
        <v>公用事业</v>
        <stp/>
        <stp>EM_S_INFO_INDEX_EM</stp>
        <stp>2</stp>
        <stp>600578</stp>
        <stp>1</stp>
        <tr r="D1962" s="1"/>
      </tp>
      <tp t="s">
        <v>机械设备</v>
        <stp/>
        <stp>EM_S_INFO_INDEX_EM</stp>
        <stp>2</stp>
        <stp>000528</stp>
        <stp>1</stp>
        <tr r="D1542" s="1"/>
      </tp>
      <tp t="s">
        <v>信息技术</v>
        <stp/>
        <stp>EM_S_INFO_INDEX_EM</stp>
        <stp>2</stp>
        <stp>300518</stp>
        <stp>1</stp>
        <tr r="D1346" s="1"/>
      </tp>
      <tp t="s">
        <v>交通运输</v>
        <stp/>
        <stp>EM_S_INFO_INDEX_EM</stp>
        <stp>2</stp>
        <stp>600548</stp>
        <stp>1</stp>
        <tr r="D1053" s="1"/>
      </tp>
      <tp t="s">
        <v>医药生物</v>
        <stp/>
        <stp>EM_S_INFO_INDEX_EM</stp>
        <stp>2</stp>
        <stp>000538</stp>
        <stp>1</stp>
        <tr r="D1317" s="1"/>
      </tp>
      <tp t="s">
        <v>信息技术</v>
        <stp/>
        <stp>EM_S_INFO_INDEX_EM</stp>
        <stp>2</stp>
        <stp>300508</stp>
        <stp>1</stp>
        <tr r="D1385" s="1"/>
      </tp>
      <tp t="s">
        <v>机械设备</v>
        <stp/>
        <stp>EM_S_INFO_INDEX_EM</stp>
        <stp>2</stp>
        <stp>600558</stp>
        <stp>1</stp>
        <tr r="D2115" s="1"/>
      </tp>
      <tp t="s">
        <v>交通运输</v>
        <stp/>
        <stp>EM_S_INFO_INDEX_EM</stp>
        <stp>2</stp>
        <stp>000548</stp>
        <stp>1</stp>
        <tr r="D3450" s="1"/>
      </tp>
      <tp t="s">
        <v>信息技术</v>
        <stp/>
        <stp>EM_S_INFO_INDEX_EM</stp>
        <stp>2</stp>
        <stp>300578</stp>
        <stp>1</stp>
        <tr r="D543" s="1"/>
      </tp>
      <tp t="s">
        <v>建筑</v>
        <stp/>
        <stp>EM_S_INFO_INDEX_EM</stp>
        <stp>2</stp>
        <stp>600528</stp>
        <stp>1</stp>
        <tr r="D2069" s="1"/>
      </tp>
      <tp t="s">
        <v>房地产</v>
        <stp/>
        <stp>EM_S_INFO_INDEX_EM</stp>
        <stp>2</stp>
        <stp>000558</stp>
        <stp>1</stp>
        <tr r="D3454" s="1"/>
      </tp>
      <tp t="s">
        <v>有色金属</v>
        <stp/>
        <stp>EM_S_INFO_INDEX_EM</stp>
        <stp>2</stp>
        <stp>300568</stp>
        <stp>1</stp>
        <tr r="D800" s="1"/>
      </tp>
      <tp t="s">
        <v>医药生物</v>
        <stp/>
        <stp>EM_S_INFO_INDEX_EM</stp>
        <stp>2</stp>
        <stp>600538</stp>
        <stp>1</stp>
        <tr r="D1379" s="1"/>
      </tp>
      <tp t="s">
        <v>食品饮料</v>
        <stp/>
        <stp>EM_S_INFO_INDEX_EM</stp>
        <stp>2</stp>
        <stp>000568</stp>
        <stp>1</stp>
        <tr r="D129" s="1"/>
      </tp>
      <tp t="s">
        <v>医药生物</v>
        <stp/>
        <stp>EM_S_INFO_INDEX_EM</stp>
        <stp>2</stp>
        <stp>300558</stp>
        <stp>1</stp>
        <tr r="D157" s="1"/>
      </tp>
      <tp t="s">
        <v>化石能源</v>
        <stp/>
        <stp>EM_S_INFO_INDEX_EM</stp>
        <stp>2</stp>
        <stp>600508</stp>
        <stp>1</stp>
        <tr r="D2440" s="1"/>
      </tp>
      <tp>
        <v>0</v>
        <stp/>
        <stp>EM_S_INFO_INDEX_EM</stp>
        <stp>2</stp>
        <stp>000578</stp>
        <stp>1</stp>
        <tr r="D3464" s="1"/>
      </tp>
      <tp t="s">
        <v>信息技术</v>
        <stp/>
        <stp>EM_S_INFO_INDEX_EM</stp>
        <stp>2</stp>
        <stp>300548</stp>
        <stp>1</stp>
        <tr r="D199" s="1"/>
      </tp>
      <tp t="s">
        <v>医药生物</v>
        <stp/>
        <stp>EM_S_INFO_INDEX_EM</stp>
        <stp>2</stp>
        <stp>600518</stp>
        <stp>1</stp>
        <tr r="D3393" s="1"/>
      </tp>
      <tp t="s">
        <v>休闲、生活及专业服务</v>
        <stp/>
        <stp>EM_S_INFO_INDEX_EM</stp>
        <stp>2</stp>
        <stp>000888</stp>
        <stp>1</stp>
        <tr r="D3563" s="1"/>
      </tp>
      <tp t="s">
        <v>钢铁</v>
        <stp/>
        <stp>EM_S_INFO_INDEX_EM</stp>
        <stp>2</stp>
        <stp>000898</stp>
        <stp>1</stp>
        <tr r="D3280" s="1"/>
      </tp>
      <tp t="s">
        <v>有色金属</v>
        <stp/>
        <stp>EM_S_INFO_INDEX_EM</stp>
        <stp>2</stp>
        <stp>600888</stp>
        <stp>1</stp>
        <tr r="D1734" s="1"/>
      </tp>
      <tp t="s">
        <v>电子设备</v>
        <stp/>
        <stp>EM_S_INFO_INDEX_EM</stp>
        <stp>2</stp>
        <stp>600898</stp>
        <stp>1</stp>
        <tr r="D2388" s="1"/>
      </tp>
      <tp t="s">
        <v>公用事业</v>
        <stp/>
        <stp>EM_S_INFO_INDEX_EM</stp>
        <stp>2</stp>
        <stp>600868</stp>
        <stp>1</stp>
        <tr r="D1248" s="1"/>
      </tp>
      <tp t="s">
        <v>基础化工</v>
        <stp/>
        <stp>EM_S_INFO_INDEX_EM</stp>
        <stp>2</stp>
        <stp>000818</stp>
        <stp>1</stp>
        <tr r="D176" s="1"/>
      </tp>
      <tp>
        <v>0</v>
        <stp/>
        <stp>EM_S_INFO_INDEX_EM</stp>
        <stp>2</stp>
        <stp>600878</stp>
        <stp>1</stp>
        <tr r="D2332" s="1"/>
      </tp>
      <tp t="s">
        <v>交通运输</v>
        <stp/>
        <stp>EM_S_INFO_INDEX_EM</stp>
        <stp>2</stp>
        <stp>000828</stp>
        <stp>1</stp>
        <tr r="D1711" s="1"/>
      </tp>
      <tp t="s">
        <v>房地产</v>
        <stp/>
        <stp>EM_S_INFO_INDEX_EM</stp>
        <stp>2</stp>
        <stp>600848</stp>
        <stp>1</stp>
        <tr r="D1417" s="1"/>
      </tp>
      <tp t="s">
        <v>房地产</v>
        <stp/>
        <stp>EM_S_INFO_INDEX_EM</stp>
        <stp>2</stp>
        <stp>000838</stp>
        <stp>1</stp>
        <tr r="D1804" s="1"/>
      </tp>
      <tp t="s">
        <v>商贸零售</v>
        <stp/>
        <stp>EM_S_INFO_INDEX_EM</stp>
        <stp>2</stp>
        <stp>600858</stp>
        <stp>1</stp>
        <tr r="D2088" s="1"/>
      </tp>
      <tp t="s">
        <v>食品饮料</v>
        <stp/>
        <stp>EM_S_INFO_INDEX_EM</stp>
        <stp>2</stp>
        <stp>000848</stp>
        <stp>1</stp>
        <tr r="D2428" s="1"/>
      </tp>
      <tp t="s">
        <v>商贸零售</v>
        <stp/>
        <stp>EM_S_INFO_INDEX_EM</stp>
        <stp>2</stp>
        <stp>600828</stp>
        <stp>1</stp>
        <tr r="D2265" s="1"/>
      </tp>
      <tp t="s">
        <v>食品饮料</v>
        <stp/>
        <stp>EM_S_INFO_INDEX_EM</stp>
        <stp>2</stp>
        <stp>000858</stp>
        <stp>1</stp>
        <tr r="D65" s="1"/>
      </tp>
      <tp t="s">
        <v>商贸零售</v>
        <stp/>
        <stp>EM_S_INFO_INDEX_EM</stp>
        <stp>2</stp>
        <stp>600838</stp>
        <stp>1</stp>
        <tr r="D1970" s="1"/>
      </tp>
      <tp t="s">
        <v>交运设备</v>
        <stp/>
        <stp>EM_S_INFO_INDEX_EM</stp>
        <stp>2</stp>
        <stp>000868</stp>
        <stp>1</stp>
        <tr r="D3559" s="1"/>
      </tp>
      <tp t="s">
        <v>钢铁</v>
        <stp/>
        <stp>EM_S_INFO_INDEX_EM</stp>
        <stp>2</stp>
        <stp>600808</stp>
        <stp>1</stp>
        <tr r="D2869" s="1"/>
      </tp>
      <tp t="s">
        <v>有色金属</v>
        <stp/>
        <stp>EM_S_INFO_INDEX_EM</stp>
        <stp>2</stp>
        <stp>000878</stp>
        <stp>1</stp>
        <tr r="D3560" s="1"/>
      </tp>
      <tp t="s">
        <v>轻工制造</v>
        <stp/>
        <stp>EM_S_INFO_INDEX_EM</stp>
        <stp>2</stp>
        <stp>600818</stp>
        <stp>1</stp>
        <tr r="D1647" s="1"/>
      </tp>
      <tp t="s">
        <v>电子设备</v>
        <stp/>
        <stp>EM_S_INFO_INDEX_EM</stp>
        <stp>2</stp>
        <stp>000988</stp>
        <stp>1</stp>
        <tr r="D328" s="1"/>
      </tp>
      <tp t="s">
        <v>农林牧渔</v>
        <stp/>
        <stp>EM_S_INFO_INDEX_EM</stp>
        <stp>2</stp>
        <stp>000998</stp>
        <stp>1</stp>
        <tr r="D2742" s="1"/>
      </tp>
      <tp t="s">
        <v>有色金属</v>
        <stp/>
        <stp>EM_S_INFO_INDEX_EM</stp>
        <stp>2</stp>
        <stp>600988</stp>
        <stp>1</stp>
        <tr r="D1255" s="1"/>
      </tp>
      <tp t="s">
        <v>医药生物</v>
        <stp/>
        <stp>EM_S_INFO_INDEX_EM</stp>
        <stp>2</stp>
        <stp>600998</stp>
        <stp>1</stp>
        <tr r="D2675" s="1"/>
      </tp>
      <tp t="s">
        <v>医药生物</v>
        <stp/>
        <stp>EM_S_INFO_INDEX_EM</stp>
        <stp>2</stp>
        <stp>000908</stp>
        <stp>1</stp>
        <tr r="D3008" s="1"/>
      </tp>
      <tp t="s">
        <v>房地产</v>
        <stp/>
        <stp>EM_S_INFO_INDEX_EM</stp>
        <stp>2</stp>
        <stp>000918</stp>
        <stp>1</stp>
        <tr r="D3575" s="1"/>
      </tp>
      <tp t="s">
        <v>轻工制造</v>
        <stp/>
        <stp>EM_S_INFO_INDEX_EM</stp>
        <stp>2</stp>
        <stp>600978</stp>
        <stp>1</stp>
        <tr r="D3195" s="1"/>
      </tp>
      <tp t="s">
        <v>建筑</v>
        <stp/>
        <stp>EM_S_INFO_INDEX_EM</stp>
        <stp>2</stp>
        <stp>000928</stp>
        <stp>1</stp>
        <tr r="D1780" s="1"/>
      </tp>
      <tp t="s">
        <v>信息技术</v>
        <stp/>
        <stp>EM_S_INFO_INDEX_EM</stp>
        <stp>2</stp>
        <stp>000938</stp>
        <stp>1</stp>
        <tr r="D2342" s="1"/>
      </tp>
      <tp t="s">
        <v>金融</v>
        <stp/>
        <stp>EM_S_INFO_INDEX_EM</stp>
        <stp>2</stp>
        <stp>600958</stp>
        <stp>1</stp>
        <tr r="D811" s="1"/>
      </tp>
      <tp t="s">
        <v>信息技术</v>
        <stp/>
        <stp>EM_S_INFO_INDEX_EM</stp>
        <stp>2</stp>
        <stp>000948</stp>
        <stp>1</stp>
        <tr r="D1716" s="1"/>
      </tp>
      <tp t="s">
        <v>公用事业</v>
        <stp/>
        <stp>EM_S_INFO_INDEX_EM</stp>
        <stp>2</stp>
        <stp>000958</stp>
        <stp>1</stp>
        <tr r="D289" s="1"/>
      </tp>
      <tp t="s">
        <v>化石能源</v>
        <stp/>
        <stp>EM_S_INFO_INDEX_EM</stp>
        <stp>2</stp>
        <stp>000968</stp>
        <stp>1</stp>
        <tr r="D2527" s="1"/>
      </tp>
      <tp t="s">
        <v>金融</v>
        <stp/>
        <stp>EM_S_INFO_INDEX_EM</stp>
        <stp>2</stp>
        <stp>600908</stp>
        <stp>1</stp>
        <tr r="D1965" s="1"/>
      </tp>
      <tp t="s">
        <v>休闲、生活及专业服务</v>
        <stp/>
        <stp>EM_S_INFO_INDEX_EM</stp>
        <stp>2</stp>
        <stp>000978</stp>
        <stp>1</stp>
        <tr r="D2177" s="1"/>
      </tp>
      <tp t="s">
        <v>食品饮料</v>
        <stp/>
        <stp>EM_S_INFO_INDEX_EM</stp>
        <stp>2</stp>
        <stp>603288</stp>
        <stp>1</stp>
        <tr r="D469" s="1"/>
      </tp>
      <tp t="s">
        <v>机械设备</v>
        <stp/>
        <stp>EM_S_INFO_INDEX_EM</stp>
        <stp>2</stp>
        <stp>603298</stp>
        <stp>1</stp>
        <tr r="D1939" s="1"/>
      </tp>
      <tp t="s">
        <v>建材</v>
        <stp/>
        <stp>EM_S_INFO_INDEX_EM</stp>
        <stp>2</stp>
        <stp>603268</stp>
        <stp>1</stp>
        <tr r="D2529" s="1"/>
      </tp>
      <tp t="s">
        <v>机械设备</v>
        <stp/>
        <stp>EM_S_INFO_INDEX_EM</stp>
        <stp>2</stp>
        <stp>603278</stp>
        <stp>1</stp>
        <tr r="D3255" s="1"/>
      </tp>
      <tp t="s">
        <v>互联网</v>
        <stp/>
        <stp>EM_S_INFO_INDEX_EM</stp>
        <stp>2</stp>
        <stp>603258</stp>
        <stp>1</stp>
        <tr r="D727" s="1"/>
      </tp>
      <tp t="s">
        <v>电子设备</v>
        <stp/>
        <stp>EM_S_INFO_INDEX_EM</stp>
        <stp>2</stp>
        <stp>603228</stp>
        <stp>1</stp>
        <tr r="D2805" s="1"/>
      </tp>
      <tp t="s">
        <v>纺织服装</v>
        <stp/>
        <stp>EM_S_INFO_INDEX_EM</stp>
        <stp>2</stp>
        <stp>603238</stp>
        <stp>1</stp>
        <tr r="D2678" s="1"/>
      </tp>
      <tp t="s">
        <v>轻工制造</v>
        <stp/>
        <stp>EM_S_INFO_INDEX_EM</stp>
        <stp>2</stp>
        <stp>603208</stp>
        <stp>1</stp>
        <tr r="D181" s="1"/>
      </tp>
      <tp t="s">
        <v>电气设备</v>
        <stp/>
        <stp>EM_S_INFO_INDEX_EM</stp>
        <stp>2</stp>
        <stp>603218</stp>
        <stp>1</stp>
        <tr r="D1213" s="1"/>
      </tp>
      <tp t="s">
        <v>建筑</v>
        <stp/>
        <stp>EM_S_INFO_INDEX_EM</stp>
        <stp>2</stp>
        <stp>603388</stp>
        <stp>1</stp>
        <tr r="D3051" s="1"/>
      </tp>
      <tp t="s">
        <v>轻工制造</v>
        <stp/>
        <stp>EM_S_INFO_INDEX_EM</stp>
        <stp>2</stp>
        <stp>603398</stp>
        <stp>1</stp>
        <tr r="D2667" s="1"/>
      </tp>
      <tp t="s">
        <v>医药生物</v>
        <stp/>
        <stp>EM_S_INFO_INDEX_EM</stp>
        <stp>2</stp>
        <stp>603368</stp>
        <stp>1</stp>
        <tr r="D1009" s="1"/>
      </tp>
      <tp t="s">
        <v>基础化工</v>
        <stp/>
        <stp>EM_S_INFO_INDEX_EM</stp>
        <stp>2</stp>
        <stp>603378</stp>
        <stp>1</stp>
        <tr r="D357" s="1"/>
      </tp>
      <tp t="s">
        <v>交运设备</v>
        <stp/>
        <stp>EM_S_INFO_INDEX_EM</stp>
        <stp>2</stp>
        <stp>603348</stp>
        <stp>1</stp>
        <tr r="D2404" s="1"/>
      </tp>
      <tp t="s">
        <v>交运设备</v>
        <stp/>
        <stp>EM_S_INFO_INDEX_EM</stp>
        <stp>2</stp>
        <stp>603358</stp>
        <stp>1</stp>
        <tr r="D844" s="1"/>
      </tp>
      <tp t="s">
        <v>电子设备</v>
        <stp/>
        <stp>EM_S_INFO_INDEX_EM</stp>
        <stp>2</stp>
        <stp>603328</stp>
        <stp>1</stp>
        <tr r="D1464" s="1"/>
      </tp>
      <tp t="s">
        <v>机械设备</v>
        <stp/>
        <stp>EM_S_INFO_INDEX_EM</stp>
        <stp>2</stp>
        <stp>603338</stp>
        <stp>1</stp>
        <tr r="D1029" s="1"/>
      </tp>
      <tp t="s">
        <v>机械设备</v>
        <stp/>
        <stp>EM_S_INFO_INDEX_EM</stp>
        <stp>2</stp>
        <stp>603308</stp>
        <stp>1</stp>
        <tr r="D218" s="1"/>
      </tp>
      <tp t="s">
        <v>机械设备</v>
        <stp/>
        <stp>EM_S_INFO_INDEX_EM</stp>
        <stp>2</stp>
        <stp>603318</stp>
        <stp>1</stp>
        <tr r="D2674" s="1"/>
      </tp>
      <tp t="s">
        <v>机械设备</v>
        <stp/>
        <stp>EM_S_INFO_INDEX_EM</stp>
        <stp>2</stp>
        <stp>603088</stp>
        <stp>1</stp>
        <tr r="D3087" s="1"/>
      </tp>
      <tp t="s">
        <v>建筑</v>
        <stp/>
        <stp>EM_S_INFO_INDEX_EM</stp>
        <stp>2</stp>
        <stp>603098</stp>
        <stp>1</stp>
        <tr r="D3054" s="1"/>
      </tp>
      <tp t="s">
        <v>电子设备</v>
        <stp/>
        <stp>EM_S_INFO_INDEX_EM</stp>
        <stp>2</stp>
        <stp>603078</stp>
        <stp>1</stp>
        <tr r="D1260" s="1"/>
      </tp>
      <tp t="s">
        <v>轻工制造</v>
        <stp/>
        <stp>EM_S_INFO_INDEX_EM</stp>
        <stp>2</stp>
        <stp>603058</stp>
        <stp>1</stp>
        <tr r="D3088" s="1"/>
      </tp>
      <tp t="s">
        <v>建筑</v>
        <stp/>
        <stp>EM_S_INFO_INDEX_EM</stp>
        <stp>2</stp>
        <stp>603028</stp>
        <stp>1</stp>
        <tr r="D383" s="1"/>
      </tp>
      <tp t="s">
        <v>建筑</v>
        <stp/>
        <stp>EM_S_INFO_INDEX_EM</stp>
        <stp>2</stp>
        <stp>603038</stp>
        <stp>1</stp>
        <tr r="D2833" s="1"/>
      </tp>
      <tp t="s">
        <v>轻工制造</v>
        <stp/>
        <stp>EM_S_INFO_INDEX_EM</stp>
        <stp>2</stp>
        <stp>603008</stp>
        <stp>1</stp>
        <tr r="D376" s="1"/>
      </tp>
      <tp t="s">
        <v>休闲、生活及专业服务</v>
        <stp/>
        <stp>EM_S_INFO_INDEX_EM</stp>
        <stp>2</stp>
        <stp>603018</stp>
        <stp>1</stp>
        <tr r="D3325" s="1"/>
      </tp>
      <tp t="s">
        <v>基础化工</v>
        <stp/>
        <stp>EM_S_INFO_INDEX_EM</stp>
        <stp>2</stp>
        <stp>603188</stp>
        <stp>1</stp>
        <tr r="D2816" s="1"/>
      </tp>
      <tp t="s">
        <v>食品饮料</v>
        <stp/>
        <stp>EM_S_INFO_INDEX_EM</stp>
        <stp>2</stp>
        <stp>603198</stp>
        <stp>1</stp>
        <tr r="D704" s="1"/>
      </tp>
      <tp t="s">
        <v>医药生物</v>
        <stp/>
        <stp>EM_S_INFO_INDEX_EM</stp>
        <stp>2</stp>
        <stp>603168</stp>
        <stp>1</stp>
        <tr r="D1079" s="1"/>
      </tp>
      <tp t="s">
        <v>交运设备</v>
        <stp/>
        <stp>EM_S_INFO_INDEX_EM</stp>
        <stp>2</stp>
        <stp>603178</stp>
        <stp>1</stp>
        <tr r="D1243" s="1"/>
      </tp>
      <tp t="s">
        <v>交运设备</v>
        <stp/>
        <stp>EM_S_INFO_INDEX_EM</stp>
        <stp>2</stp>
        <stp>603158</stp>
        <stp>1</stp>
        <tr r="D2653" s="1"/>
      </tp>
      <tp t="s">
        <v>交通运输</v>
        <stp/>
        <stp>EM_S_INFO_INDEX_EM</stp>
        <stp>2</stp>
        <stp>603128</stp>
        <stp>1</stp>
        <tr r="D1380" s="1"/>
      </tp>
      <tp t="s">
        <v>信息技术</v>
        <stp/>
        <stp>EM_S_INFO_INDEX_EM</stp>
        <stp>2</stp>
        <stp>603138</stp>
        <stp>1</stp>
        <tr r="D2938" s="1"/>
      </tp>
      <tp t="s">
        <v>医药生物</v>
        <stp/>
        <stp>EM_S_INFO_INDEX_EM</stp>
        <stp>2</stp>
        <stp>603108</stp>
        <stp>1</stp>
        <tr r="D803" s="1"/>
      </tp>
      <tp t="s">
        <v>信息技术</v>
        <stp/>
        <stp>EM_S_INFO_INDEX_EM</stp>
        <stp>2</stp>
        <stp>603118</stp>
        <stp>1</stp>
        <tr r="D261" s="1"/>
      </tp>
      <tp t="s">
        <v>有色金属</v>
        <stp/>
        <stp>EM_S_INFO_INDEX_EM</stp>
        <stp>2</stp>
        <stp>603688</stp>
        <stp>1</stp>
        <tr r="D342" s="1"/>
      </tp>
      <tp t="s">
        <v>建筑</v>
        <stp/>
        <stp>EM_S_INFO_INDEX_EM</stp>
        <stp>2</stp>
        <stp>603698</stp>
        <stp>1</stp>
        <tr r="D2873" s="1"/>
      </tp>
      <tp t="s">
        <v>农林牧渔</v>
        <stp/>
        <stp>EM_S_INFO_INDEX_EM</stp>
        <stp>2</stp>
        <stp>603668</stp>
        <stp>1</stp>
        <tr r="D1555" s="1"/>
      </tp>
      <tp t="s">
        <v>电子设备</v>
        <stp/>
        <stp>EM_S_INFO_INDEX_EM</stp>
        <stp>2</stp>
        <stp>603678</stp>
        <stp>1</stp>
        <tr r="D631" s="1"/>
      </tp>
      <tp t="s">
        <v>交通运输</v>
        <stp/>
        <stp>EM_S_INFO_INDEX_EM</stp>
        <stp>2</stp>
        <stp>603648</stp>
        <stp>1</stp>
        <tr r="D2597" s="1"/>
      </tp>
      <tp t="s">
        <v>医药生物</v>
        <stp/>
        <stp>EM_S_INFO_INDEX_EM</stp>
        <stp>2</stp>
        <stp>603658</stp>
        <stp>1</stp>
        <tr r="D188" s="1"/>
      </tp>
      <tp t="s">
        <v>电气设备</v>
        <stp/>
        <stp>EM_S_INFO_INDEX_EM</stp>
        <stp>2</stp>
        <stp>603628</stp>
        <stp>1</stp>
        <tr r="D1789" s="1"/>
      </tp>
      <tp t="s">
        <v>机械设备</v>
        <stp/>
        <stp>EM_S_INFO_INDEX_EM</stp>
        <stp>2</stp>
        <stp>603638</stp>
        <stp>1</stp>
        <tr r="D1019" s="1"/>
      </tp>
      <tp t="s">
        <v>纺织服装</v>
        <stp/>
        <stp>EM_S_INFO_INDEX_EM</stp>
        <stp>2</stp>
        <stp>603608</stp>
        <stp>1</stp>
        <tr r="D2963" s="1"/>
      </tp>
      <tp t="s">
        <v>电气设备</v>
        <stp/>
        <stp>EM_S_INFO_INDEX_EM</stp>
        <stp>2</stp>
        <stp>603618</stp>
        <stp>1</stp>
        <tr r="D2025" s="1"/>
      </tp>
      <tp t="s">
        <v>交运设备</v>
        <stp/>
        <stp>EM_S_INFO_INDEX_EM</stp>
        <stp>2</stp>
        <stp>603788</stp>
        <stp>1</stp>
        <tr r="D1735" s="1"/>
      </tp>
      <tp t="s">
        <v>化石能源</v>
        <stp/>
        <stp>EM_S_INFO_INDEX_EM</stp>
        <stp>2</stp>
        <stp>603798</stp>
        <stp>1</stp>
        <tr r="D878" s="1"/>
      </tp>
      <tp t="s">
        <v>交运设备</v>
        <stp/>
        <stp>EM_S_INFO_INDEX_EM</stp>
        <stp>2</stp>
        <stp>603768</stp>
        <stp>1</stp>
        <tr r="D2158" s="1"/>
      </tp>
      <tp t="s">
        <v>建筑</v>
        <stp/>
        <stp>EM_S_INFO_INDEX_EM</stp>
        <stp>2</stp>
        <stp>603778</stp>
        <stp>1</stp>
        <tr r="D2264" s="1"/>
      </tp>
      <tp t="s">
        <v>交运设备</v>
        <stp/>
        <stp>EM_S_INFO_INDEX_EM</stp>
        <stp>2</stp>
        <stp>603758</stp>
        <stp>1</stp>
        <tr r="D2185" s="1"/>
      </tp>
      <tp t="s">
        <v>电气设备</v>
        <stp/>
        <stp>EM_S_INFO_INDEX_EM</stp>
        <stp>2</stp>
        <stp>603728</stp>
        <stp>1</stp>
        <tr r="D2855" s="1"/>
      </tp>
      <tp t="s">
        <v>电子设备</v>
        <stp/>
        <stp>EM_S_INFO_INDEX_EM</stp>
        <stp>2</stp>
        <stp>603738</stp>
        <stp>1</stp>
        <tr r="D418" s="1"/>
      </tp>
      <tp t="s">
        <v>商贸零售</v>
        <stp/>
        <stp>EM_S_INFO_INDEX_EM</stp>
        <stp>2</stp>
        <stp>603708</stp>
        <stp>1</stp>
        <tr r="D1222" s="1"/>
      </tp>
      <tp t="s">
        <v>农林牧渔</v>
        <stp/>
        <stp>EM_S_INFO_INDEX_EM</stp>
        <stp>2</stp>
        <stp>603718</stp>
        <stp>1</stp>
        <tr r="D2359" s="1"/>
      </tp>
      <tp t="s">
        <v>电气设备</v>
        <stp/>
        <stp>EM_S_INFO_INDEX_EM</stp>
        <stp>2</stp>
        <stp>603488</stp>
        <stp>1</stp>
        <tr r="D1208" s="1"/>
      </tp>
      <tp t="s">
        <v>休闲、生活及专业服务</v>
        <stp/>
        <stp>EM_S_INFO_INDEX_EM</stp>
        <stp>2</stp>
        <stp>603458</stp>
        <stp>1</stp>
        <tr r="D3290" s="1"/>
      </tp>
      <tp t="s">
        <v>公用事业</v>
        <stp/>
        <stp>EM_S_INFO_INDEX_EM</stp>
        <stp>2</stp>
        <stp>603588</stp>
        <stp>1</stp>
        <tr r="D1304" s="1"/>
      </tp>
      <tp t="s">
        <v>文化传媒</v>
        <stp/>
        <stp>EM_S_INFO_INDEX_EM</stp>
        <stp>2</stp>
        <stp>603598</stp>
        <stp>1</stp>
        <tr r="D273" s="1"/>
      </tp>
      <tp t="s">
        <v>公用事业</v>
        <stp/>
        <stp>EM_S_INFO_INDEX_EM</stp>
        <stp>2</stp>
        <stp>603568</stp>
        <stp>1</stp>
        <tr r="D2253" s="1"/>
      </tp>
      <tp t="s">
        <v>家电</v>
        <stp/>
        <stp>EM_S_INFO_INDEX_EM</stp>
        <stp>2</stp>
        <stp>603578</stp>
        <stp>1</stp>
        <tr r="D1869" s="1"/>
      </tp>
      <tp t="s">
        <v>纺织服装</v>
        <stp/>
        <stp>EM_S_INFO_INDEX_EM</stp>
        <stp>2</stp>
        <stp>603558</stp>
        <stp>1</stp>
        <tr r="D2587" s="1"/>
      </tp>
      <tp t="s">
        <v>信息技术</v>
        <stp/>
        <stp>EM_S_INFO_INDEX_EM</stp>
        <stp>2</stp>
        <stp>603528</stp>
        <stp>1</stp>
        <tr r="D1609" s="1"/>
      </tp>
      <tp t="s">
        <v>医药生物</v>
        <stp/>
        <stp>EM_S_INFO_INDEX_EM</stp>
        <stp>2</stp>
        <stp>603538</stp>
        <stp>1</stp>
        <tr r="D1150" s="1"/>
      </tp>
      <tp t="s">
        <v>信息技术</v>
        <stp/>
        <stp>EM_S_INFO_INDEX_EM</stp>
        <stp>2</stp>
        <stp>603508</stp>
        <stp>1</stp>
        <tr r="D586" s="1"/>
      </tp>
      <tp t="s">
        <v>纺织服装</v>
        <stp/>
        <stp>EM_S_INFO_INDEX_EM</stp>
        <stp>2</stp>
        <stp>603518</stp>
        <stp>1</stp>
        <tr r="D3366" s="1"/>
      </tp>
      <tp t="s">
        <v>互联网</v>
        <stp/>
        <stp>EM_S_INFO_INDEX_EM</stp>
        <stp>2</stp>
        <stp>603888</stp>
        <stp>1</stp>
        <tr r="D402" s="1"/>
      </tp>
      <tp t="s">
        <v>轻工制造</v>
        <stp/>
        <stp>EM_S_INFO_INDEX_EM</stp>
        <stp>2</stp>
        <stp>603898</stp>
        <stp>1</stp>
        <tr r="D2001" s="1"/>
      </tp>
      <tp t="s">
        <v>家电</v>
        <stp/>
        <stp>EM_S_INFO_INDEX_EM</stp>
        <stp>2</stp>
        <stp>603868</stp>
        <stp>1</stp>
        <tr r="D2443" s="1"/>
      </tp>
      <tp t="s">
        <v>钢铁</v>
        <stp/>
        <stp>EM_S_INFO_INDEX_EM</stp>
        <stp>2</stp>
        <stp>603878</stp>
        <stp>1</stp>
        <tr r="D2363" s="1"/>
      </tp>
      <tp t="s">
        <v>轻工制造</v>
        <stp/>
        <stp>EM_S_INFO_INDEX_EM</stp>
        <stp>2</stp>
        <stp>603848</stp>
        <stp>1</stp>
        <tr r="D2703" s="1"/>
      </tp>
      <tp t="s">
        <v>医药生物</v>
        <stp/>
        <stp>EM_S_INFO_INDEX_EM</stp>
        <stp>2</stp>
        <stp>603858</stp>
        <stp>1</stp>
        <tr r="D3059" s="1"/>
      </tp>
      <tp t="s">
        <v>建筑</v>
        <stp/>
        <stp>EM_S_INFO_INDEX_EM</stp>
        <stp>2</stp>
        <stp>603828</stp>
        <stp>1</stp>
        <tr r="D3237" s="1"/>
      </tp>
      <tp t="s">
        <v>建材</v>
        <stp/>
        <stp>EM_S_INFO_INDEX_EM</stp>
        <stp>2</stp>
        <stp>603838</stp>
        <stp>1</stp>
        <tr r="D2880" s="1"/>
      </tp>
      <tp t="s">
        <v>纺织服装</v>
        <stp/>
        <stp>EM_S_INFO_INDEX_EM</stp>
        <stp>2</stp>
        <stp>603808</stp>
        <stp>1</stp>
        <tr r="D2714" s="1"/>
      </tp>
      <tp t="s">
        <v>轻工制造</v>
        <stp/>
        <stp>EM_S_INFO_INDEX_EM</stp>
        <stp>2</stp>
        <stp>603818</stp>
        <stp>1</stp>
        <tr r="D1096" s="1"/>
      </tp>
      <tp t="s">
        <v>电气设备</v>
        <stp/>
        <stp>EM_S_INFO_INDEX_EM</stp>
        <stp>2</stp>
        <stp>603988</stp>
        <stp>1</stp>
        <tr r="D2544" s="1"/>
      </tp>
      <tp t="s">
        <v>医药生物</v>
        <stp/>
        <stp>EM_S_INFO_INDEX_EM</stp>
        <stp>2</stp>
        <stp>603998</stp>
        <stp>1</stp>
        <tr r="D287" s="1"/>
      </tp>
      <tp t="s">
        <v>基础化工</v>
        <stp/>
        <stp>EM_S_INFO_INDEX_EM</stp>
        <stp>2</stp>
        <stp>603968</stp>
        <stp>1</stp>
        <tr r="D1405" s="1"/>
      </tp>
      <tp t="s">
        <v>有色金属</v>
        <stp/>
        <stp>EM_S_INFO_INDEX_EM</stp>
        <stp>2</stp>
        <stp>603978</stp>
        <stp>1</stp>
        <tr r="D780" s="1"/>
      </tp>
      <tp t="s">
        <v>纺织服装</v>
        <stp/>
        <stp>EM_S_INFO_INDEX_EM</stp>
        <stp>2</stp>
        <stp>603958</stp>
        <stp>1</stp>
        <tr r="D2677" s="1"/>
      </tp>
      <tp t="s">
        <v>基础化工</v>
        <stp/>
        <stp>EM_S_INFO_INDEX_EM</stp>
        <stp>2</stp>
        <stp>603928</stp>
        <stp>1</stp>
        <tr r="D2878" s="1"/>
      </tp>
      <tp t="s">
        <v>基础化工</v>
        <stp/>
        <stp>EM_S_INFO_INDEX_EM</stp>
        <stp>2</stp>
        <stp>603938</stp>
        <stp>1</stp>
        <tr r="D1870" s="1"/>
      </tp>
      <tp t="s">
        <v>纺织服装</v>
        <stp/>
        <stp>EM_S_INFO_INDEX_EM</stp>
        <stp>2</stp>
        <stp>603908</stp>
        <stp>1</stp>
        <tr r="D2189" s="1"/>
      </tp>
      <tp t="s">
        <v>信息技术</v>
        <stp/>
        <stp>EM_S_INFO_INDEX_EM</stp>
        <stp>2</stp>
        <stp>603918</stp>
        <stp>1</stp>
        <tr r="D2585" s="1"/>
      </tp>
      <tp t="s">
        <v>电子设备</v>
        <stp/>
        <stp>EM_S_INFO_INDEX_EM</stp>
        <stp>2</stp>
        <stp>002288</stp>
        <stp>1</stp>
        <tr r="D1928" s="1"/>
      </tp>
      <tp t="s">
        <v>信息技术</v>
        <stp/>
        <stp>EM_S_INFO_INDEX_EM</stp>
        <stp>2</stp>
        <stp>002298</stp>
        <stp>1</stp>
        <tr r="D1002" s="1"/>
      </tp>
      <tp t="s">
        <v>房地产</v>
        <stp/>
        <stp>EM_S_INFO_INDEX_EM</stp>
        <stp>2</stp>
        <stp>002208</stp>
        <stp>1</stp>
        <tr r="D3250" s="1"/>
      </tp>
      <tp t="s">
        <v>电气设备</v>
        <stp/>
        <stp>EM_S_INFO_INDEX_EM</stp>
        <stp>2</stp>
        <stp>002218</stp>
        <stp>1</stp>
        <tr r="D1748" s="1"/>
      </tp>
      <tp t="s">
        <v>轻工制造</v>
        <stp/>
        <stp>EM_S_INFO_INDEX_EM</stp>
        <stp>2</stp>
        <stp>002228</stp>
        <stp>1</stp>
        <tr r="D2642" s="1"/>
      </tp>
      <tp t="s">
        <v>文化传媒</v>
        <stp/>
        <stp>EM_S_INFO_INDEX_EM</stp>
        <stp>2</stp>
        <stp>002238</stp>
        <stp>1</stp>
        <tr r="D1196" s="1"/>
      </tp>
      <tp t="s">
        <v>机械设备</v>
        <stp/>
        <stp>EM_S_INFO_INDEX_EM</stp>
        <stp>2</stp>
        <stp>002248</stp>
        <stp>1</stp>
        <tr r="D2746" s="1"/>
      </tp>
      <tp t="s">
        <v>基础化工</v>
        <stp/>
        <stp>EM_S_INFO_INDEX_EM</stp>
        <stp>2</stp>
        <stp>002258</stp>
        <stp>1</stp>
        <tr r="D1840" s="1"/>
      </tp>
      <tp t="s">
        <v>信息技术</v>
        <stp/>
        <stp>EM_S_INFO_INDEX_EM</stp>
        <stp>2</stp>
        <stp>002268</stp>
        <stp>1</stp>
        <tr r="D691" s="1"/>
      </tp>
      <tp t="s">
        <v>机械设备</v>
        <stp/>
        <stp>EM_S_INFO_INDEX_EM</stp>
        <stp>2</stp>
        <stp>002278</stp>
        <stp>1</stp>
        <tr r="D2576" s="1"/>
      </tp>
      <tp t="s">
        <v>电子设备</v>
        <stp/>
        <stp>EM_S_INFO_INDEX_EM</stp>
        <stp>2</stp>
        <stp>002388</stp>
        <stp>1</stp>
        <tr r="D895" s="1"/>
      </tp>
      <tp t="s">
        <v>建材</v>
        <stp/>
        <stp>EM_S_INFO_INDEX_EM</stp>
        <stp>2</stp>
        <stp>002398</stp>
        <stp>1</stp>
        <tr r="D850" s="1"/>
      </tp>
      <tp t="s">
        <v>信息技术</v>
        <stp/>
        <stp>EM_S_INFO_INDEX_EM</stp>
        <stp>2</stp>
        <stp>002308</stp>
        <stp>1</stp>
        <tr r="D2098" s="1"/>
      </tp>
      <tp t="s">
        <v>钢铁</v>
        <stp/>
        <stp>EM_S_INFO_INDEX_EM</stp>
        <stp>2</stp>
        <stp>002318</stp>
        <stp>1</stp>
        <tr r="D566" s="1"/>
      </tp>
      <tp t="s">
        <v>交运设备</v>
        <stp/>
        <stp>EM_S_INFO_INDEX_EM</stp>
        <stp>2</stp>
        <stp>002328</stp>
        <stp>1</stp>
        <tr r="D3199" s="1"/>
      </tp>
      <tp t="s">
        <v>机械设备</v>
        <stp/>
        <stp>EM_S_INFO_INDEX_EM</stp>
        <stp>2</stp>
        <stp>002338</stp>
        <stp>1</stp>
        <tr r="D1311" s="1"/>
      </tp>
      <tp t="s">
        <v>轻工制造</v>
        <stp/>
        <stp>EM_S_INFO_INDEX_EM</stp>
        <stp>2</stp>
        <stp>002348</stp>
        <stp>1</stp>
        <tr r="D2047" s="1"/>
      </tp>
      <tp t="s">
        <v>电气设备</v>
        <stp/>
        <stp>EM_S_INFO_INDEX_EM</stp>
        <stp>2</stp>
        <stp>002358</stp>
        <stp>1</stp>
        <tr r="D3394" s="1"/>
      </tp>
      <tp t="s">
        <v>信息技术</v>
        <stp/>
        <stp>EM_S_INFO_INDEX_EM</stp>
        <stp>2</stp>
        <stp>002368</stp>
        <stp>1</stp>
        <tr r="D315" s="1"/>
      </tp>
      <tp t="s">
        <v>有色金属</v>
        <stp/>
        <stp>EM_S_INFO_INDEX_EM</stp>
        <stp>2</stp>
        <stp>002378</stp>
        <stp>1</stp>
        <tr r="D1552" s="1"/>
      </tp>
      <tp t="s">
        <v>建材</v>
        <stp/>
        <stp>EM_S_INFO_INDEX_EM</stp>
        <stp>2</stp>
        <stp>002088</stp>
        <stp>1</stp>
        <tr r="D1065" s="1"/>
      </tp>
      <tp t="s">
        <v>纺织服装</v>
        <stp/>
        <stp>EM_S_INFO_INDEX_EM</stp>
        <stp>2</stp>
        <stp>002098</stp>
        <stp>1</stp>
        <tr r="D3633" s="1"/>
      </tp>
      <tp t="s">
        <v>电子设备</v>
        <stp/>
        <stp>EM_S_INFO_INDEX_EM</stp>
        <stp>2</stp>
        <stp>002008</stp>
        <stp>1</stp>
        <tr r="D3605" s="1"/>
      </tp>
      <tp>
        <v>0</v>
        <stp/>
        <stp>EM_S_INFO_INDEX_EM</stp>
        <stp>2</stp>
        <stp>002018</stp>
        <stp>1</stp>
        <tr r="D3608" s="1"/>
      </tp>
      <tp t="s">
        <v>电气设备</v>
        <stp/>
        <stp>EM_S_INFO_INDEX_EM</stp>
        <stp>2</stp>
        <stp>002028</stp>
        <stp>1</stp>
        <tr r="D743" s="1"/>
      </tp>
      <tp t="s">
        <v>医药生物</v>
        <stp/>
        <stp>EM_S_INFO_INDEX_EM</stp>
        <stp>2</stp>
        <stp>002038</stp>
        <stp>1</stp>
        <tr r="D3361" s="1"/>
      </tp>
      <tp t="s">
        <v>交运设备</v>
        <stp/>
        <stp>EM_S_INFO_INDEX_EM</stp>
        <stp>2</stp>
        <stp>002048</stp>
        <stp>1</stp>
        <tr r="D510" s="1"/>
      </tp>
      <tp t="s">
        <v>电气设备</v>
        <stp/>
        <stp>EM_S_INFO_INDEX_EM</stp>
        <stp>2</stp>
        <stp>002058</stp>
        <stp>1</stp>
        <tr r="D306" s="1"/>
      </tp>
      <tp t="s">
        <v>基础化工</v>
        <stp/>
        <stp>EM_S_INFO_INDEX_EM</stp>
        <stp>2</stp>
        <stp>002068</stp>
        <stp>1</stp>
        <tr r="D3034" s="1"/>
      </tp>
      <tp t="s">
        <v>轻工制造</v>
        <stp/>
        <stp>EM_S_INFO_INDEX_EM</stp>
        <stp>2</stp>
        <stp>002078</stp>
        <stp>1</stp>
        <tr r="D275" s="1"/>
      </tp>
      <tp t="s">
        <v>电子设备</v>
        <stp/>
        <stp>EM_S_INFO_INDEX_EM</stp>
        <stp>2</stp>
        <stp>002188</stp>
        <stp>1</stp>
        <tr r="D2426" s="1"/>
      </tp>
      <tp t="s">
        <v>医药生物</v>
        <stp/>
        <stp>EM_S_INFO_INDEX_EM</stp>
        <stp>2</stp>
        <stp>002198</stp>
        <stp>1</stp>
        <tr r="D2082" s="1"/>
      </tp>
      <tp t="s">
        <v>建材</v>
        <stp/>
        <stp>EM_S_INFO_INDEX_EM</stp>
        <stp>2</stp>
        <stp>002108</stp>
        <stp>1</stp>
        <tr r="D3637" s="1"/>
      </tp>
      <tp t="s">
        <v>医药生物</v>
        <stp/>
        <stp>EM_S_INFO_INDEX_EM</stp>
        <stp>2</stp>
        <stp>002118</stp>
        <stp>1</stp>
        <tr r="D754" s="1"/>
      </tp>
      <tp t="s">
        <v>化石能源</v>
        <stp/>
        <stp>EM_S_INFO_INDEX_EM</stp>
        <stp>2</stp>
        <stp>002128</stp>
        <stp>1</stp>
        <tr r="D1209" s="1"/>
      </tp>
      <tp t="s">
        <v>电子设备</v>
        <stp/>
        <stp>EM_S_INFO_INDEX_EM</stp>
        <stp>2</stp>
        <stp>002138</stp>
        <stp>1</stp>
        <tr r="D329" s="1"/>
      </tp>
      <tp t="s">
        <v>信息技术</v>
        <stp/>
        <stp>EM_S_INFO_INDEX_EM</stp>
        <stp>2</stp>
        <stp>002148</stp>
        <stp>1</stp>
        <tr r="D2885" s="1"/>
      </tp>
      <tp t="s">
        <v>机械设备</v>
        <stp/>
        <stp>EM_S_INFO_INDEX_EM</stp>
        <stp>2</stp>
        <stp>002158</stp>
        <stp>1</stp>
        <tr r="D1124" s="1"/>
      </tp>
      <tp t="s">
        <v>互联网</v>
        <stp/>
        <stp>EM_S_INFO_INDEX_EM</stp>
        <stp>2</stp>
        <stp>002168</stp>
        <stp>1</stp>
        <tr r="D3021" s="1"/>
      </tp>
      <tp t="s">
        <v>建筑</v>
        <stp/>
        <stp>EM_S_INFO_INDEX_EM</stp>
        <stp>2</stp>
        <stp>002178</stp>
        <stp>1</stp>
        <tr r="D1588" s="1"/>
      </tp>
      <tp t="s">
        <v>农林牧渔</v>
        <stp/>
        <stp>EM_S_INFO_INDEX_EM</stp>
        <stp>2</stp>
        <stp>002688</stp>
        <stp>1</stp>
        <tr r="D809" s="1"/>
      </tp>
      <tp t="s">
        <v>机械设备</v>
        <stp/>
        <stp>EM_S_INFO_INDEX_EM</stp>
        <stp>2</stp>
        <stp>002698</stp>
        <stp>1</stp>
        <tr r="D1301" s="1"/>
      </tp>
      <tp t="s">
        <v>公用事业</v>
        <stp/>
        <stp>EM_S_INFO_INDEX_EM</stp>
        <stp>2</stp>
        <stp>002608</stp>
        <stp>1</stp>
        <tr r="D2248" s="1"/>
      </tp>
      <tp t="s">
        <v>电子设备</v>
        <stp/>
        <stp>EM_S_INFO_INDEX_EM</stp>
        <stp>2</stp>
        <stp>002618</stp>
        <stp>1</stp>
        <tr r="D2739" s="1"/>
      </tp>
      <tp t="s">
        <v>建筑</v>
        <stp/>
        <stp>EM_S_INFO_INDEX_EM</stp>
        <stp>2</stp>
        <stp>002628</stp>
        <stp>1</stp>
        <tr r="D2357" s="1"/>
      </tp>
      <tp t="s">
        <v>电子设备</v>
        <stp/>
        <stp>EM_S_INFO_INDEX_EM</stp>
        <stp>2</stp>
        <stp>002638</stp>
        <stp>1</stp>
        <tr r="D689" s="1"/>
      </tp>
      <tp t="s">
        <v>基础化工</v>
        <stp/>
        <stp>EM_S_INFO_INDEX_EM</stp>
        <stp>2</stp>
        <stp>002648</stp>
        <stp>1</stp>
        <tr r="D309" s="1"/>
      </tp>
      <tp t="s">
        <v>机械设备</v>
        <stp/>
        <stp>EM_S_INFO_INDEX_EM</stp>
        <stp>2</stp>
        <stp>002658</stp>
        <stp>1</stp>
        <tr r="D2191" s="1"/>
      </tp>
      <tp t="s">
        <v>家电</v>
        <stp/>
        <stp>EM_S_INFO_INDEX_EM</stp>
        <stp>2</stp>
        <stp>002668</stp>
        <stp>1</stp>
        <tr r="D1444" s="1"/>
      </tp>
      <tp t="s">
        <v>轻工制造</v>
        <stp/>
        <stp>EM_S_INFO_INDEX_EM</stp>
        <stp>2</stp>
        <stp>002678</stp>
        <stp>1</stp>
        <tr r="D697" s="1"/>
      </tp>
      <tp t="s">
        <v>医药生物</v>
        <stp/>
        <stp>EM_S_INFO_INDEX_EM</stp>
        <stp>2</stp>
        <stp>002788</stp>
        <stp>1</stp>
        <tr r="D3288" s="1"/>
      </tp>
      <tp t="s">
        <v>轻工制造</v>
        <stp/>
        <stp>EM_S_INFO_INDEX_EM</stp>
        <stp>2</stp>
        <stp>002798</stp>
        <stp>1</stp>
        <tr r="D231" s="1"/>
      </tp>
      <tp t="s">
        <v>交运设备</v>
        <stp/>
        <stp>EM_S_INFO_INDEX_EM</stp>
        <stp>2</stp>
        <stp>002708</stp>
        <stp>1</stp>
        <tr r="D1971" s="1"/>
      </tp>
      <tp t="s">
        <v>建材</v>
        <stp/>
        <stp>EM_S_INFO_INDEX_EM</stp>
        <stp>2</stp>
        <stp>002718</stp>
        <stp>1</stp>
        <tr r="D3310" s="1"/>
      </tp>
      <tp t="s">
        <v>医药生物</v>
        <stp/>
        <stp>EM_S_INFO_INDEX_EM</stp>
        <stp>2</stp>
        <stp>002728</stp>
        <stp>1</stp>
        <tr r="D991" s="1"/>
      </tp>
      <tp t="s">
        <v>建筑</v>
        <stp/>
        <stp>EM_S_INFO_INDEX_EM</stp>
        <stp>2</stp>
        <stp>002738</stp>
        <stp>1</stp>
        <tr r="D1459" s="1"/>
      </tp>
      <tp t="s">
        <v>基础化工</v>
        <stp/>
        <stp>EM_S_INFO_INDEX_EM</stp>
        <stp>2</stp>
        <stp>002748</stp>
        <stp>1</stp>
        <tr r="D2044" s="1"/>
      </tp>
      <tp t="s">
        <v>医药生物</v>
        <stp/>
        <stp>EM_S_INFO_INDEX_EM</stp>
        <stp>2</stp>
        <stp>002758</stp>
        <stp>1</stp>
        <tr r="D633" s="1"/>
      </tp>
      <tp t="s">
        <v>基础化工</v>
        <stp/>
        <stp>EM_S_INFO_INDEX_EM</stp>
        <stp>2</stp>
        <stp>002768</stp>
        <stp>1</stp>
        <tr r="D2063" s="1"/>
      </tp>
      <tp t="s">
        <v>化石能源</v>
        <stp/>
        <stp>EM_S_INFO_INDEX_EM</stp>
        <stp>2</stp>
        <stp>002778</stp>
        <stp>1</stp>
        <tr r="D1331" s="1"/>
      </tp>
      <tp t="s">
        <v>交运设备</v>
        <stp/>
        <stp>EM_S_INFO_INDEX_EM</stp>
        <stp>2</stp>
        <stp>002488</stp>
        <stp>1</stp>
        <tr r="D1900" s="1"/>
      </tp>
      <tp t="s">
        <v>电气设备</v>
        <stp/>
        <stp>EM_S_INFO_INDEX_EM</stp>
        <stp>2</stp>
        <stp>002498</stp>
        <stp>1</stp>
        <tr r="D544" s="1"/>
      </tp>
      <tp t="s">
        <v>基础化工</v>
        <stp/>
        <stp>EM_S_INFO_INDEX_EM</stp>
        <stp>2</stp>
        <stp>002408</stp>
        <stp>1</stp>
        <tr r="D2019" s="1"/>
      </tp>
      <tp t="s">
        <v>机械设备</v>
        <stp/>
        <stp>EM_S_INFO_INDEX_EM</stp>
        <stp>2</stp>
        <stp>002418</stp>
        <stp>1</stp>
        <tr r="D2643" s="1"/>
      </tp>
      <tp t="s">
        <v>有色金属</v>
        <stp/>
        <stp>EM_S_INFO_INDEX_EM</stp>
        <stp>2</stp>
        <stp>002428</stp>
        <stp>1</stp>
        <tr r="D268" s="1"/>
      </tp>
      <tp t="s">
        <v>机械设备</v>
        <stp/>
        <stp>EM_S_INFO_INDEX_EM</stp>
        <stp>2</stp>
        <stp>002438</stp>
        <stp>1</stp>
        <tr r="D726" s="1"/>
      </tp>
      <tp t="s">
        <v>交运设备</v>
        <stp/>
        <stp>EM_S_INFO_INDEX_EM</stp>
        <stp>2</stp>
        <stp>002448</stp>
        <stp>1</stp>
        <tr r="D2396" s="1"/>
      </tp>
      <tp t="s">
        <v>农林牧渔</v>
        <stp/>
        <stp>EM_S_INFO_INDEX_EM</stp>
        <stp>2</stp>
        <stp>002458</stp>
        <stp>1</stp>
        <tr r="D190" s="1"/>
      </tp>
      <tp t="s">
        <v>交通运输</v>
        <stp/>
        <stp>EM_S_INFO_INDEX_EM</stp>
        <stp>2</stp>
        <stp>002468</stp>
        <stp>1</stp>
        <tr r="D1355" s="1"/>
      </tp>
      <tp t="s">
        <v>钢铁</v>
        <stp/>
        <stp>EM_S_INFO_INDEX_EM</stp>
        <stp>2</stp>
        <stp>002478</stp>
        <stp>1</stp>
        <tr r="D1021" s="1"/>
      </tp>
      <tp t="s">
        <v>基础化工</v>
        <stp/>
        <stp>EM_S_INFO_INDEX_EM</stp>
        <stp>2</stp>
        <stp>002588</stp>
        <stp>1</stp>
        <tr r="D2389" s="1"/>
      </tp>
      <tp t="s">
        <v>电气设备</v>
        <stp/>
        <stp>EM_S_INFO_INDEX_EM</stp>
        <stp>2</stp>
        <stp>002598</stp>
        <stp>1</stp>
        <tr r="D2728" s="1"/>
      </tp>
      <tp t="s">
        <v>家电</v>
        <stp/>
        <stp>EM_S_INFO_INDEX_EM</stp>
        <stp>2</stp>
        <stp>002508</stp>
        <stp>1</stp>
        <tr r="D332" s="1"/>
      </tp>
      <tp t="s">
        <v>电气设备</v>
        <stp/>
        <stp>EM_S_INFO_INDEX_EM</stp>
        <stp>2</stp>
        <stp>002518</stp>
        <stp>1</stp>
        <tr r="D588" s="1"/>
      </tp>
      <tp t="s">
        <v>信息技术</v>
        <stp/>
        <stp>EM_S_INFO_INDEX_EM</stp>
        <stp>2</stp>
        <stp>002528</stp>
        <stp>1</stp>
        <tr r="D665" s="1"/>
      </tp>
      <tp t="s">
        <v>基础化工</v>
        <stp/>
        <stp>EM_S_INFO_INDEX_EM</stp>
        <stp>2</stp>
        <stp>002538</stp>
        <stp>1</stp>
        <tr r="D2472" s="1"/>
      </tp>
      <tp t="s">
        <v>农林牧渔</v>
        <stp/>
        <stp>EM_S_INFO_INDEX_EM</stp>
        <stp>2</stp>
        <stp>002548</stp>
        <stp>1</stp>
        <tr r="D938" s="1"/>
      </tp>
      <tp t="s">
        <v>互联网</v>
        <stp/>
        <stp>EM_S_INFO_INDEX_EM</stp>
        <stp>2</stp>
        <stp>002558</stp>
        <stp>1</stp>
        <tr r="D2676" s="1"/>
      </tp>
      <tp t="s">
        <v>食品饮料</v>
        <stp/>
        <stp>EM_S_INFO_INDEX_EM</stp>
        <stp>2</stp>
        <stp>002568</stp>
        <stp>1</stp>
        <tr r="D47" s="1"/>
      </tp>
      <tp t="s">
        <v>有色金属</v>
        <stp/>
        <stp>EM_S_INFO_INDEX_EM</stp>
        <stp>2</stp>
        <stp>002578</stp>
        <stp>1</stp>
        <tr r="D1903" s="1"/>
      </tp>
      <tp t="s">
        <v>电子设备</v>
        <stp/>
        <stp>EM_S_INFO_INDEX_EM</stp>
        <stp>2</stp>
        <stp>002888</stp>
        <stp>1</stp>
        <tr r="D1442" s="1"/>
      </tp>
      <tp t="s">
        <v>医药生物</v>
        <stp/>
        <stp>EM_S_INFO_INDEX_EM</stp>
        <stp>2</stp>
        <stp>002898</stp>
        <stp>1</stp>
        <tr r="D2713" s="1"/>
      </tp>
      <tp t="s">
        <v>电子设备</v>
        <stp/>
        <stp>EM_S_INFO_INDEX_EM</stp>
        <stp>2</stp>
        <stp>002808</stp>
        <stp>1</stp>
        <tr r="D3161" s="1"/>
      </tp>
      <tp t="s">
        <v>商贸零售</v>
        <stp/>
        <stp>EM_S_INFO_INDEX_EM</stp>
        <stp>2</stp>
        <stp>002818</stp>
        <stp>1</stp>
        <tr r="D3300" s="1"/>
      </tp>
      <tp t="s">
        <v>化石能源</v>
        <stp/>
        <stp>EM_S_INFO_INDEX_EM</stp>
        <stp>2</stp>
        <stp>002828</stp>
        <stp>1</stp>
        <tr r="D2577" s="1"/>
      </tp>
      <tp t="s">
        <v>基础化工</v>
        <stp/>
        <stp>EM_S_INFO_INDEX_EM</stp>
        <stp>2</stp>
        <stp>002838</stp>
        <stp>1</stp>
        <tr r="D3303" s="1"/>
      </tp>
      <tp t="s">
        <v>家电</v>
        <stp/>
        <stp>EM_S_INFO_INDEX_EM</stp>
        <stp>2</stp>
        <stp>002848</stp>
        <stp>1</stp>
        <tr r="D1699" s="1"/>
      </tp>
      <tp t="s">
        <v>文化传媒</v>
        <stp/>
        <stp>EM_S_INFO_INDEX_EM</stp>
        <stp>2</stp>
        <stp>002858</stp>
        <stp>1</stp>
        <tr r="D1816" s="1"/>
      </tp>
      <tp t="s">
        <v>农林牧渔</v>
        <stp/>
        <stp>EM_S_INFO_INDEX_EM</stp>
        <stp>2</stp>
        <stp>002868</stp>
        <stp>1</stp>
        <tr r="D1313" s="1"/>
      </tp>
      <tp t="s">
        <v>文化传媒</v>
        <stp/>
        <stp>EM_S_INFO_INDEX_EM</stp>
        <stp>2</stp>
        <stp>002878</stp>
        <stp>1</stp>
        <tr r="D1941" s="1"/>
      </tp>
      <tp t="s">
        <v>信息技术</v>
        <stp/>
        <stp>EM_S_INFO_INDEX_EM</stp>
        <stp>2</stp>
        <stp>002908</stp>
        <stp>1</stp>
        <tr r="D3201" s="1"/>
      </tp>
      <tp t="s">
        <v>建材</v>
        <stp/>
        <stp>EM_S_INFO_INDEX_EM</stp>
        <stp>2</stp>
        <stp>002918</stp>
        <stp>1</stp>
        <tr r="D1272" s="1"/>
      </tp>
      <tp t="s">
        <v>交通运输</v>
        <stp/>
        <stp>EM_S_INFO_INDEX_EM</stp>
        <stp>2</stp>
        <stp>002928</stp>
        <stp>1</stp>
        <tr r="D3274" s="1"/>
      </tp>
      <tp t="s">
        <v>金融</v>
        <stp/>
        <stp>EM_S_INFO_INDEX_EM</stp>
        <stp>2</stp>
        <stp>601377</stp>
        <stp>1</stp>
        <tr r="D499" s="1"/>
      </tp>
      <tp t="s">
        <v>休闲、生活及专业服务</v>
        <stp/>
        <stp>EM_S_INFO_INDEX_EM</stp>
        <stp>2</stp>
        <stp>601007</stp>
        <stp>1</stp>
        <tr r="D1482" s="1"/>
      </tp>
      <tp t="s">
        <v>机械设备</v>
        <stp/>
        <stp>EM_S_INFO_INDEX_EM</stp>
        <stp>2</stp>
        <stp>601177</stp>
        <stp>1</stp>
        <tr r="D2162" s="1"/>
      </tp>
      <tp t="s">
        <v>交运设备</v>
        <stp/>
        <stp>EM_S_INFO_INDEX_EM</stp>
        <stp>2</stp>
        <stp>601127</stp>
        <stp>1</stp>
        <tr r="D3258" s="1"/>
      </tp>
      <tp t="s">
        <v>有色金属</v>
        <stp/>
        <stp>EM_S_INFO_INDEX_EM</stp>
        <stp>2</stp>
        <stp>601137</stp>
        <stp>1</stp>
        <tr r="D356" s="1"/>
      </tp>
      <tp t="s">
        <v>交通运输</v>
        <stp/>
        <stp>EM_S_INFO_INDEX_EM</stp>
        <stp>2</stp>
        <stp>601107</stp>
        <stp>1</stp>
        <tr r="D1498" s="1"/>
      </tp>
      <tp t="s">
        <v>建筑</v>
        <stp/>
        <stp>EM_S_INFO_INDEX_EM</stp>
        <stp>2</stp>
        <stp>601117</stp>
        <stp>1</stp>
        <tr r="D1279" s="1"/>
      </tp>
      <tp t="s">
        <v>有色金属</v>
        <stp/>
        <stp>EM_S_INFO_INDEX_EM</stp>
        <stp>2</stp>
        <stp>601677</stp>
        <stp>1</stp>
        <tr r="D925" s="1"/>
      </tp>
      <tp t="s">
        <v>医药生物</v>
        <stp/>
        <stp>EM_S_INFO_INDEX_EM</stp>
        <stp>2</stp>
        <stp>601607</stp>
        <stp>1</stp>
        <tr r="D1979" s="1"/>
      </tp>
      <tp t="s">
        <v>交运设备</v>
        <stp/>
        <stp>EM_S_INFO_INDEX_EM</stp>
        <stp>2</stp>
        <stp>601777</stp>
        <stp>1</stp>
        <tr r="D3037" s="1"/>
      </tp>
      <tp t="s">
        <v>电气设备</v>
        <stp/>
        <stp>EM_S_INFO_INDEX_EM</stp>
        <stp>2</stp>
        <stp>601727</stp>
        <stp>1</stp>
        <tr r="D2339" s="1"/>
      </tp>
      <tp t="s">
        <v>交运设备</v>
        <stp/>
        <stp>EM_S_INFO_INDEX_EM</stp>
        <stp>2</stp>
        <stp>601717</stp>
        <stp>1</stp>
        <tr r="D1407" s="1"/>
      </tp>
      <tp t="s">
        <v>电气设备</v>
        <stp/>
        <stp>EM_S_INFO_INDEX_EM</stp>
        <stp>2</stp>
        <stp>601567</stp>
        <stp>1</stp>
        <tr r="D931" s="1"/>
      </tp>
      <tp t="s">
        <v>电气设备</v>
        <stp/>
        <stp>EM_S_INFO_INDEX_EM</stp>
        <stp>2</stp>
        <stp>601877</stp>
        <stp>1</stp>
        <tr r="D1679" s="1"/>
      </tp>
      <tp t="s">
        <v>化石能源</v>
        <stp/>
        <stp>EM_S_INFO_INDEX_EM</stp>
        <stp>2</stp>
        <stp>601857</stp>
        <stp>1</stp>
        <tr r="D3048" s="1"/>
      </tp>
      <tp t="s">
        <v>金融</v>
        <stp/>
        <stp>EM_S_INFO_INDEX_EM</stp>
        <stp>2</stp>
        <stp>601997</stp>
        <stp>1</stp>
        <tr r="D2788" s="1"/>
      </tp>
      <tp t="s">
        <v>信息技术</v>
        <stp/>
        <stp>EM_S_INFO_INDEX_EM</stp>
        <stp>2</stp>
        <stp>300297</stp>
        <stp>1</stp>
        <tr r="D1570" s="1"/>
      </tp>
      <tp t="s">
        <v>信息技术</v>
        <stp/>
        <stp>EM_S_INFO_INDEX_EM</stp>
        <stp>2</stp>
        <stp>300287</stp>
        <stp>1</stp>
        <tr r="D2172" s="1"/>
      </tp>
      <tp t="s">
        <v>商贸零售</v>
        <stp/>
        <stp>EM_S_INFO_INDEX_EM</stp>
        <stp>2</stp>
        <stp>600287</stp>
        <stp>1</stp>
        <tr r="D1135" s="1"/>
      </tp>
      <tp t="s">
        <v>交运设备</v>
        <stp/>
        <stp>EM_S_INFO_INDEX_EM</stp>
        <stp>2</stp>
        <stp>600297</stp>
        <stp>1</stp>
        <tr r="D3057" s="1"/>
      </tp>
      <tp t="s">
        <v>建筑</v>
        <stp/>
        <stp>EM_S_INFO_INDEX_EM</stp>
        <stp>2</stp>
        <stp>300237</stp>
        <stp>1</stp>
        <tr r="D3205" s="1"/>
      </tp>
      <tp t="s">
        <v>医药生物</v>
        <stp/>
        <stp>EM_S_INFO_INDEX_EM</stp>
        <stp>2</stp>
        <stp>600267</stp>
        <stp>1</stp>
        <tr r="D1513" s="1"/>
      </tp>
      <tp t="s">
        <v>电子设备</v>
        <stp/>
        <stp>EM_S_INFO_INDEX_EM</stp>
        <stp>2</stp>
        <stp>300227</stp>
        <stp>1</stp>
        <tr r="D659" s="1"/>
      </tp>
      <tp t="s">
        <v>基础化工</v>
        <stp/>
        <stp>EM_S_INFO_INDEX_EM</stp>
        <stp>2</stp>
        <stp>600277</stp>
        <stp>1</stp>
        <tr r="D3055" s="1"/>
      </tp>
      <tp t="s">
        <v>家电</v>
        <stp/>
        <stp>EM_S_INFO_INDEX_EM</stp>
        <stp>2</stp>
        <stp>300217</stp>
        <stp>1</stp>
        <tr r="D2065" s="1"/>
      </tp>
      <tp t="s">
        <v>商贸零售</v>
        <stp/>
        <stp>EM_S_INFO_INDEX_EM</stp>
        <stp>2</stp>
        <stp>600247</stp>
        <stp>1</stp>
        <tr r="D3103" s="1"/>
      </tp>
      <tp t="s">
        <v>电子设备</v>
        <stp/>
        <stp>EM_S_INFO_INDEX_EM</stp>
        <stp>2</stp>
        <stp>300207</stp>
        <stp>1</stp>
        <tr r="D108" s="1"/>
      </tp>
      <tp t="s">
        <v>农林牧渔</v>
        <stp/>
        <stp>EM_S_INFO_INDEX_EM</stp>
        <stp>2</stp>
        <stp>600257</stp>
        <stp>1</stp>
        <tr r="D2166" s="1"/>
      </tp>
      <tp t="s">
        <v>信息技术</v>
        <stp/>
        <stp>EM_S_INFO_INDEX_EM</stp>
        <stp>2</stp>
        <stp>300277</stp>
        <stp>1</stp>
        <tr r="D492" s="1"/>
      </tp>
      <tp t="s">
        <v>医药生物</v>
        <stp/>
        <stp>EM_S_INFO_INDEX_EM</stp>
        <stp>2</stp>
        <stp>600227</stp>
        <stp>1</stp>
        <tr r="D2732" s="1"/>
      </tp>
      <tp t="s">
        <v>医药生物</v>
        <stp/>
        <stp>EM_S_INFO_INDEX_EM</stp>
        <stp>2</stp>
        <stp>300267</stp>
        <stp>1</stp>
        <tr r="D928" s="1"/>
      </tp>
      <tp t="s">
        <v>电子设备</v>
        <stp/>
        <stp>EM_S_INFO_INDEX_EM</stp>
        <stp>2</stp>
        <stp>600237</stp>
        <stp>1</stp>
        <tr r="D1805" s="1"/>
      </tp>
      <tp t="s">
        <v>机械设备</v>
        <stp/>
        <stp>EM_S_INFO_INDEX_EM</stp>
        <stp>2</stp>
        <stp>300257</stp>
        <stp>1</stp>
        <tr r="D1743" s="1"/>
      </tp>
      <tp t="s">
        <v>综合</v>
        <stp/>
        <stp>EM_S_INFO_INDEX_EM</stp>
        <stp>2</stp>
        <stp>600207</stp>
        <stp>1</stp>
        <tr r="D1807" s="1"/>
      </tp>
      <tp t="s">
        <v>家电</v>
        <stp/>
        <stp>EM_S_INFO_INDEX_EM</stp>
        <stp>2</stp>
        <stp>300247</stp>
        <stp>1</stp>
        <tr r="D2984" s="1"/>
      </tp>
      <tp t="s">
        <v>公用事业</v>
        <stp/>
        <stp>EM_S_INFO_INDEX_EM</stp>
        <stp>2</stp>
        <stp>600217</stp>
        <stp>1</stp>
        <tr r="D1105" s="1"/>
      </tp>
      <tp t="s">
        <v>电子设备</v>
        <stp/>
        <stp>EM_S_INFO_INDEX_EM</stp>
        <stp>2</stp>
        <stp>300397</stp>
        <stp>1</stp>
        <tr r="D41" s="1"/>
      </tp>
      <tp t="s">
        <v>基础化工</v>
        <stp/>
        <stp>EM_S_INFO_INDEX_EM</stp>
        <stp>2</stp>
        <stp>300387</stp>
        <stp>1</stp>
        <tr r="D304" s="1"/>
      </tp>
      <tp t="s">
        <v>化石能源</v>
        <stp/>
        <stp>EM_S_INFO_INDEX_EM</stp>
        <stp>2</stp>
        <stp>600387</stp>
        <stp>1</stp>
        <tr r="D1984" s="1"/>
      </tp>
      <tp t="s">
        <v>化石能源</v>
        <stp/>
        <stp>EM_S_INFO_INDEX_EM</stp>
        <stp>2</stp>
        <stp>600397</stp>
        <stp>1</stp>
        <tr r="D1122" s="1"/>
      </tp>
      <tp t="s">
        <v>有色金属</v>
        <stp/>
        <stp>EM_S_INFO_INDEX_EM</stp>
        <stp>2</stp>
        <stp>300337</stp>
        <stp>1</stp>
        <tr r="D2721" s="1"/>
      </tp>
      <tp t="s">
        <v>基础化工</v>
        <stp/>
        <stp>EM_S_INFO_INDEX_EM</stp>
        <stp>2</stp>
        <stp>600367</stp>
        <stp>1</stp>
        <tr r="D1964" s="1"/>
      </tp>
      <tp t="s">
        <v>电子设备</v>
        <stp/>
        <stp>EM_S_INFO_INDEX_EM</stp>
        <stp>2</stp>
        <stp>300327</stp>
        <stp>1</stp>
        <tr r="D690" s="1"/>
      </tp>
      <tp t="s">
        <v>交通运输</v>
        <stp/>
        <stp>EM_S_INFO_INDEX_EM</stp>
        <stp>2</stp>
        <stp>600377</stp>
        <stp>1</stp>
        <tr r="D1600" s="1"/>
      </tp>
      <tp t="s">
        <v>电气设备</v>
        <stp/>
        <stp>EM_S_INFO_INDEX_EM</stp>
        <stp>2</stp>
        <stp>300317</stp>
        <stp>1</stp>
        <tr r="D1978" s="1"/>
      </tp>
      <tp t="s">
        <v>机械设备</v>
        <stp/>
        <stp>EM_S_INFO_INDEX_EM</stp>
        <stp>2</stp>
        <stp>300307</stp>
        <stp>1</stp>
        <tr r="D2197" s="1"/>
      </tp>
      <tp>
        <v>0</v>
        <stp/>
        <stp>EM_S_INFO_INDEX_EM</stp>
        <stp>2</stp>
        <stp>600357</stp>
        <stp>1</stp>
        <tr r="D2301" s="1"/>
      </tp>
      <tp t="s">
        <v>信息技术</v>
        <stp/>
        <stp>EM_S_INFO_INDEX_EM</stp>
        <stp>2</stp>
        <stp>300377</stp>
        <stp>1</stp>
        <tr r="D2142" s="1"/>
      </tp>
      <tp t="s">
        <v>交运设备</v>
        <stp/>
        <stp>EM_S_INFO_INDEX_EM</stp>
        <stp>2</stp>
        <stp>600327</stp>
        <stp>1</stp>
        <tr r="D2932" s="1"/>
      </tp>
      <tp t="s">
        <v>信息技术</v>
        <stp/>
        <stp>EM_S_INFO_INDEX_EM</stp>
        <stp>2</stp>
        <stp>300367</stp>
        <stp>1</stp>
        <tr r="D3371" s="1"/>
      </tp>
      <tp t="s">
        <v>轻工制造</v>
        <stp/>
        <stp>EM_S_INFO_INDEX_EM</stp>
        <stp>2</stp>
        <stp>600337</stp>
        <stp>1</stp>
        <tr r="D1687" s="1"/>
      </tp>
      <tp t="s">
        <v>医药生物</v>
        <stp/>
        <stp>EM_S_INFO_INDEX_EM</stp>
        <stp>2</stp>
        <stp>300357</stp>
        <stp>1</stp>
        <tr r="D1410" s="1"/>
      </tp>
      <tp t="s">
        <v>钢铁</v>
        <stp/>
        <stp>EM_S_INFO_INDEX_EM</stp>
        <stp>2</stp>
        <stp>600307</stp>
        <stp>1</stp>
        <tr r="D1905" s="1"/>
      </tp>
      <tp t="s">
        <v>医药生物</v>
        <stp/>
        <stp>EM_S_INFO_INDEX_EM</stp>
        <stp>2</stp>
        <stp>300347</stp>
        <stp>1</stp>
        <tr r="D672" s="1"/>
      </tp>
      <tp t="s">
        <v>交通运输</v>
        <stp/>
        <stp>EM_S_INFO_INDEX_EM</stp>
        <stp>2</stp>
        <stp>600317</stp>
        <stp>1</stp>
        <tr r="D1634" s="1"/>
      </tp>
      <tp t="s">
        <v>机械设备</v>
        <stp/>
        <stp>EM_S_INFO_INDEX_EM</stp>
        <stp>2</stp>
        <stp>300097</stp>
        <stp>1</stp>
        <tr r="D2911" s="1"/>
      </tp>
      <tp t="s">
        <v>农林牧渔</v>
        <stp/>
        <stp>EM_S_INFO_INDEX_EM</stp>
        <stp>2</stp>
        <stp>300087</stp>
        <stp>1</stp>
        <tr r="D2662" s="1"/>
      </tp>
      <tp>
        <v>0</v>
        <stp/>
        <stp>EM_S_INFO_INDEX_EM</stp>
        <stp>2</stp>
        <stp>600087</stp>
        <stp>1</stp>
        <tr r="D2290" s="1"/>
      </tp>
      <tp t="s">
        <v>农林牧渔</v>
        <stp/>
        <stp>EM_S_INFO_INDEX_EM</stp>
        <stp>2</stp>
        <stp>600097</stp>
        <stp>1</stp>
        <tr r="D2540" s="1"/>
      </tp>
      <tp t="s">
        <v>商贸零售</v>
        <stp/>
        <stp>EM_S_INFO_INDEX_EM</stp>
        <stp>2</stp>
        <stp>000007</stp>
        <stp>1</stp>
        <tr r="D1370" s="1"/>
      </tp>
      <tp t="s">
        <v>基础化工</v>
        <stp/>
        <stp>EM_S_INFO_INDEX_EM</stp>
        <stp>2</stp>
        <stp>300037</stp>
        <stp>1</stp>
        <tr r="D533" s="1"/>
      </tp>
      <tp t="s">
        <v>房地产</v>
        <stp/>
        <stp>EM_S_INFO_INDEX_EM</stp>
        <stp>2</stp>
        <stp>600067</stp>
        <stp>1</stp>
        <tr r="D1911" s="1"/>
      </tp>
      <tp t="s">
        <v>交运设备</v>
        <stp/>
        <stp>EM_S_INFO_INDEX_EM</stp>
        <stp>2</stp>
        <stp>000017</stp>
        <stp>1</stp>
        <tr r="D2076" s="1"/>
      </tp>
      <tp t="s">
        <v>文化传媒</v>
        <stp/>
        <stp>EM_S_INFO_INDEX_EM</stp>
        <stp>2</stp>
        <stp>300027</stp>
        <stp>1</stp>
        <tr r="D2241" s="1"/>
      </tp>
      <tp t="s">
        <v>房地产</v>
        <stp/>
        <stp>EM_S_INFO_INDEX_EM</stp>
        <stp>2</stp>
        <stp>600077</stp>
        <stp>1</stp>
        <tr r="D1551" s="1"/>
      </tp>
      <tp t="s">
        <v>公用事业</v>
        <stp/>
        <stp>EM_S_INFO_INDEX_EM</stp>
        <stp>2</stp>
        <stp>000027</stp>
        <stp>1</stp>
        <tr r="D1310" s="1"/>
      </tp>
      <tp t="s">
        <v>互联网</v>
        <stp/>
        <stp>EM_S_INFO_INDEX_EM</stp>
        <stp>2</stp>
        <stp>300017</stp>
        <stp>1</stp>
        <tr r="D1215" s="1"/>
      </tp>
      <tp t="s">
        <v>公用事业</v>
        <stp/>
        <stp>EM_S_INFO_INDEX_EM</stp>
        <stp>2</stp>
        <stp>000037</stp>
        <stp>1</stp>
        <tr r="D68" s="1"/>
      </tp>
      <tp t="s">
        <v>机械设备</v>
        <stp/>
        <stp>EM_S_INFO_INDEX_EM</stp>
        <stp>2</stp>
        <stp>300007</stp>
        <stp>1</stp>
        <tr r="D352" s="1"/>
      </tp>
      <tp t="s">
        <v>交通运输</v>
        <stp/>
        <stp>EM_S_INFO_INDEX_EM</stp>
        <stp>2</stp>
        <stp>600057</stp>
        <stp>1</stp>
        <tr r="D2370" s="1"/>
      </tp>
      <tp>
        <v>0</v>
        <stp/>
        <stp>EM_S_INFO_INDEX_EM</stp>
        <stp>2</stp>
        <stp>000047</stp>
        <stp>1</stp>
        <tr r="D2276" s="1"/>
      </tp>
      <tp t="s">
        <v>电子设备</v>
        <stp/>
        <stp>EM_S_INFO_INDEX_EM</stp>
        <stp>2</stp>
        <stp>300077</stp>
        <stp>1</stp>
        <tr r="D3056" s="1"/>
      </tp>
      <tp t="s">
        <v>公用事业</v>
        <stp/>
        <stp>EM_S_INFO_INDEX_EM</stp>
        <stp>2</stp>
        <stp>600027</stp>
        <stp>1</stp>
        <tr r="D3124" s="1"/>
      </tp>
      <tp t="s">
        <v>基础化工</v>
        <stp/>
        <stp>EM_S_INFO_INDEX_EM</stp>
        <stp>2</stp>
        <stp>300067</stp>
        <stp>1</stp>
        <tr r="D2899" s="1"/>
      </tp>
      <tp t="s">
        <v>文化传媒</v>
        <stp/>
        <stp>EM_S_INFO_INDEX_EM</stp>
        <stp>2</stp>
        <stp>600037</stp>
        <stp>1</stp>
        <tr r="D2030" s="1"/>
      </tp>
      <tp t="s">
        <v>轻工制造</v>
        <stp/>
        <stp>EM_S_INFO_INDEX_EM</stp>
        <stp>2</stp>
        <stp>300057</stp>
        <stp>1</stp>
        <tr r="D2435" s="1"/>
      </tp>
      <tp t="s">
        <v>房地产</v>
        <stp/>
        <stp>EM_S_INFO_INDEX_EM</stp>
        <stp>2</stp>
        <stp>600007</stp>
        <stp>1</stp>
        <tr r="D722" s="1"/>
      </tp>
      <tp t="s">
        <v>信息技术</v>
        <stp/>
        <stp>EM_S_INFO_INDEX_EM</stp>
        <stp>2</stp>
        <stp>300047</stp>
        <stp>1</stp>
        <tr r="D3200" s="1"/>
      </tp>
      <tp t="s">
        <v>交通运输</v>
        <stp/>
        <stp>EM_S_INFO_INDEX_EM</stp>
        <stp>2</stp>
        <stp>600017</stp>
        <stp>1</stp>
        <tr r="D1986" s="1"/>
      </tp>
      <tp t="s">
        <v>公用事业</v>
        <stp/>
        <stp>EM_S_INFO_INDEX_EM</stp>
        <stp>2</stp>
        <stp>300197</stp>
        <stp>1</stp>
        <tr r="D3073" s="1"/>
      </tp>
      <tp t="s">
        <v>公用事业</v>
        <stp/>
        <stp>EM_S_INFO_INDEX_EM</stp>
        <stp>2</stp>
        <stp>300187</stp>
        <stp>1</stp>
        <tr r="D2789" s="1"/>
      </tp>
      <tp t="s">
        <v>公用事业</v>
        <stp/>
        <stp>EM_S_INFO_INDEX_EM</stp>
        <stp>2</stp>
        <stp>600187</stp>
        <stp>1</stp>
        <tr r="D2117" s="1"/>
      </tp>
      <tp t="s">
        <v>食品饮料</v>
        <stp/>
        <stp>EM_S_INFO_INDEX_EM</stp>
        <stp>2</stp>
        <stp>600197</stp>
        <stp>1</stp>
        <tr r="D1198" s="1"/>
      </tp>
      <tp t="s">
        <v>机械设备</v>
        <stp/>
        <stp>EM_S_INFO_INDEX_EM</stp>
        <stp>2</stp>
        <stp>300137</stp>
        <stp>1</stp>
        <tr r="D2600" s="1"/>
      </tp>
      <tp t="s">
        <v>公用事业</v>
        <stp/>
        <stp>EM_S_INFO_INDEX_EM</stp>
        <stp>2</stp>
        <stp>600167</stp>
        <stp>1</stp>
        <tr r="D683" s="1"/>
      </tp>
      <tp t="s">
        <v>有色金属</v>
        <stp/>
        <stp>EM_S_INFO_INDEX_EM</stp>
        <stp>2</stp>
        <stp>300127</stp>
        <stp>1</stp>
        <tr r="D251" s="1"/>
      </tp>
      <tp t="s">
        <v>纺织服装</v>
        <stp/>
        <stp>EM_S_INFO_INDEX_EM</stp>
        <stp>2</stp>
        <stp>600177</stp>
        <stp>1</stp>
        <tr r="D2487" s="1"/>
      </tp>
      <tp t="s">
        <v>建材</v>
        <stp/>
        <stp>EM_S_INFO_INDEX_EM</stp>
        <stp>2</stp>
        <stp>300117</stp>
        <stp>1</stp>
        <tr r="D2769" s="1"/>
      </tp>
      <tp t="s">
        <v>基础化工</v>
        <stp/>
        <stp>EM_S_INFO_INDEX_EM</stp>
        <stp>2</stp>
        <stp>300107</stp>
        <stp>1</stp>
        <tr r="D3155" s="1"/>
      </tp>
      <tp t="s">
        <v>化石能源</v>
        <stp/>
        <stp>EM_S_INFO_INDEX_EM</stp>
        <stp>2</stp>
        <stp>600157</stp>
        <stp>1</stp>
        <tr r="D1912" s="1"/>
      </tp>
      <tp t="s">
        <v>信息技术</v>
        <stp/>
        <stp>EM_S_INFO_INDEX_EM</stp>
        <stp>2</stp>
        <stp>300177</stp>
        <stp>1</stp>
        <tr r="D2865" s="1"/>
      </tp>
      <tp t="s">
        <v>农林牧渔</v>
        <stp/>
        <stp>EM_S_INFO_INDEX_EM</stp>
        <stp>2</stp>
        <stp>600127</stp>
        <stp>1</stp>
        <tr r="D762" s="1"/>
      </tp>
      <tp t="s">
        <v>机械设备</v>
        <stp/>
        <stp>EM_S_INFO_INDEX_EM</stp>
        <stp>2</stp>
        <stp>000157</stp>
        <stp>1</stp>
        <tr r="D223" s="1"/>
      </tp>
      <tp t="s">
        <v>信息技术</v>
        <stp/>
        <stp>EM_S_INFO_INDEX_EM</stp>
        <stp>2</stp>
        <stp>300167</stp>
        <stp>1</stp>
        <tr r="D2101" s="1"/>
      </tp>
      <tp t="s">
        <v>纺织服装</v>
        <stp/>
        <stp>EM_S_INFO_INDEX_EM</stp>
        <stp>2</stp>
        <stp>600137</stp>
        <stp>1</stp>
        <tr r="D896" s="1"/>
      </tp>
      <tp t="s">
        <v>信息技术</v>
        <stp/>
        <stp>EM_S_INFO_INDEX_EM</stp>
        <stp>2</stp>
        <stp>300157</stp>
        <stp>1</stp>
        <tr r="D2441" s="1"/>
      </tp>
      <tp t="s">
        <v>纺织服装</v>
        <stp/>
        <stp>EM_S_INFO_INDEX_EM</stp>
        <stp>2</stp>
        <stp>600107</stp>
        <stp>1</stp>
        <tr r="D1238" s="1"/>
      </tp>
      <tp t="s">
        <v>医药生物</v>
        <stp/>
        <stp>EM_S_INFO_INDEX_EM</stp>
        <stp>2</stp>
        <stp>300147</stp>
        <stp>1</stp>
        <tr r="D905" s="1"/>
      </tp>
      <tp t="s">
        <v>钢铁</v>
        <stp/>
        <stp>EM_S_INFO_INDEX_EM</stp>
        <stp>2</stp>
        <stp>600117</stp>
        <stp>1</stp>
        <tr r="D2068" s="1"/>
      </tp>
      <tp t="s">
        <v>国防与装备</v>
        <stp/>
        <stp>EM_S_INFO_INDEX_EM</stp>
        <stp>2</stp>
        <stp>000687</stp>
        <stp>1</stp>
        <tr r="D3509" s="1"/>
      </tp>
      <tp t="s">
        <v>交通运输</v>
        <stp/>
        <stp>EM_S_INFO_INDEX_EM</stp>
        <stp>2</stp>
        <stp>000697</stp>
        <stp>1</stp>
        <tr r="D2913" s="1"/>
      </tp>
      <tp t="s">
        <v>有色金属</v>
        <stp/>
        <stp>EM_S_INFO_INDEX_EM</stp>
        <stp>2</stp>
        <stp>300697</stp>
        <stp>1</stp>
        <tr r="D772" s="1"/>
      </tp>
      <tp t="s">
        <v>信息技术</v>
        <stp/>
        <stp>EM_S_INFO_INDEX_EM</stp>
        <stp>2</stp>
        <stp>300687</stp>
        <stp>1</stp>
        <tr r="D3104" s="1"/>
      </tp>
      <tp t="s">
        <v>有色金属</v>
        <stp/>
        <stp>EM_S_INFO_INDEX_EM</stp>
        <stp>2</stp>
        <stp>600687</stp>
        <stp>1</stp>
        <tr r="D3392" s="1"/>
      </tp>
      <tp t="s">
        <v>商贸零售</v>
        <stp/>
        <stp>EM_S_INFO_INDEX_EM</stp>
        <stp>2</stp>
        <stp>600697</stp>
        <stp>1</stp>
        <tr r="D2616" s="1"/>
      </tp>
      <tp t="s">
        <v>文化传媒</v>
        <stp/>
        <stp>EM_S_INFO_INDEX_EM</stp>
        <stp>2</stp>
        <stp>000607</stp>
        <stp>1</stp>
        <tr r="D3480" s="1"/>
      </tp>
      <tp t="s">
        <v>基础化工</v>
        <stp/>
        <stp>EM_S_INFO_INDEX_EM</stp>
        <stp>2</stp>
        <stp>300637</stp>
        <stp>1</stp>
        <tr r="D3365" s="1"/>
      </tp>
      <tp t="s">
        <v>建筑</v>
        <stp/>
        <stp>EM_S_INFO_INDEX_EM</stp>
        <stp>2</stp>
        <stp>600667</stp>
        <stp>1</stp>
        <tr r="D398" s="1"/>
      </tp>
      <tp t="s">
        <v>金融</v>
        <stp/>
        <stp>EM_S_INFO_INDEX_EM</stp>
        <stp>2</stp>
        <stp>000617</stp>
        <stp>1</stp>
        <tr r="D1592" s="1"/>
      </tp>
      <tp t="s">
        <v>信息技术</v>
        <stp/>
        <stp>EM_S_INFO_INDEX_EM</stp>
        <stp>2</stp>
        <stp>300627</stp>
        <stp>1</stp>
        <tr r="D908" s="1"/>
      </tp>
      <tp t="s">
        <v>信息技术</v>
        <stp/>
        <stp>EM_S_INFO_INDEX_EM</stp>
        <stp>2</stp>
        <stp>600677</stp>
        <stp>1</stp>
        <tr r="D2619" s="1"/>
      </tp>
      <tp t="s">
        <v>金融</v>
        <stp/>
        <stp>EM_S_INFO_INDEX_EM</stp>
        <stp>2</stp>
        <stp>000627</stp>
        <stp>1</stp>
        <tr r="D3489" s="1"/>
      </tp>
      <tp t="s">
        <v>电气设备</v>
        <stp/>
        <stp>EM_S_INFO_INDEX_EM</stp>
        <stp>2</stp>
        <stp>300617</stp>
        <stp>1</stp>
        <tr r="D1581" s="1"/>
      </tp>
      <tp t="s">
        <v>房地产</v>
        <stp/>
        <stp>EM_S_INFO_INDEX_EM</stp>
        <stp>2</stp>
        <stp>600647</stp>
        <stp>1</stp>
        <tr r="D1435" s="1"/>
      </tp>
      <tp t="s">
        <v>化石能源</v>
        <stp/>
        <stp>EM_S_INFO_INDEX_EM</stp>
        <stp>2</stp>
        <stp>000637</stp>
        <stp>1</stp>
        <tr r="D3491" s="1"/>
      </tp>
      <tp t="s">
        <v>机械设备</v>
        <stp/>
        <stp>EM_S_INFO_INDEX_EM</stp>
        <stp>2</stp>
        <stp>300607</stp>
        <stp>1</stp>
        <tr r="D484" s="1"/>
      </tp>
      <tp t="s">
        <v>房地产</v>
        <stp/>
        <stp>EM_S_INFO_INDEX_EM</stp>
        <stp>2</stp>
        <stp>600657</stp>
        <stp>1</stp>
        <tr r="D2195" s="1"/>
      </tp>
      <tp t="s">
        <v>医药生物</v>
        <stp/>
        <stp>EM_S_INFO_INDEX_EM</stp>
        <stp>2</stp>
        <stp>300677</stp>
        <stp>1</stp>
        <tr r="D1528" s="1"/>
      </tp>
      <tp>
        <v>0</v>
        <stp/>
        <stp>EM_S_INFO_INDEX_EM</stp>
        <stp>2</stp>
        <stp>600627</stp>
        <stp>1</stp>
        <tr r="D2308" s="1"/>
      </tp>
      <tp t="s">
        <v>有色金属</v>
        <stp/>
        <stp>EM_S_INFO_INDEX_EM</stp>
        <stp>2</stp>
        <stp>000657</stp>
        <stp>1</stp>
        <tr r="D974" s="1"/>
      </tp>
      <tp t="s">
        <v>电气设备</v>
        <stp/>
        <stp>EM_S_INFO_INDEX_EM</stp>
        <stp>2</stp>
        <stp>300667</stp>
        <stp>1</stp>
        <tr r="D1538" s="1"/>
      </tp>
      <tp t="s">
        <v>文化传媒</v>
        <stp/>
        <stp>EM_S_INFO_INDEX_EM</stp>
        <stp>2</stp>
        <stp>600637</stp>
        <stp>1</stp>
        <tr r="D2727" s="1"/>
      </tp>
      <tp t="s">
        <v>房地产</v>
        <stp/>
        <stp>EM_S_INFO_INDEX_EM</stp>
        <stp>2</stp>
        <stp>000667</stp>
        <stp>1</stp>
        <tr r="D3499" s="1"/>
      </tp>
      <tp t="s">
        <v>电子设备</v>
        <stp/>
        <stp>EM_S_INFO_INDEX_EM</stp>
        <stp>2</stp>
        <stp>300657</stp>
        <stp>1</stp>
        <tr r="D1186" s="1"/>
      </tp>
      <tp>
        <v>0</v>
        <stp/>
        <stp>EM_S_INFO_INDEX_EM</stp>
        <stp>2</stp>
        <stp>600607</stp>
        <stp>1</stp>
        <tr r="D2306" s="1"/>
      </tp>
      <tp t="s">
        <v>基础化工</v>
        <stp/>
        <stp>EM_S_INFO_INDEX_EM</stp>
        <stp>2</stp>
        <stp>000677</stp>
        <stp>1</stp>
        <tr r="D699" s="1"/>
      </tp>
      <tp t="s">
        <v>电子设备</v>
        <stp/>
        <stp>EM_S_INFO_INDEX_EM</stp>
        <stp>2</stp>
        <stp>300647</stp>
        <stp>1</stp>
        <tr r="D2744" s="1"/>
      </tp>
      <tp t="s">
        <v>公用事业</v>
        <stp/>
        <stp>EM_S_INFO_INDEX_EM</stp>
        <stp>2</stp>
        <stp>600617</stp>
        <stp>1</stp>
        <tr r="D2412" s="1"/>
      </tp>
      <tp>
        <v>0</v>
        <stp/>
        <stp>EM_S_INFO_INDEX_EM</stp>
        <stp>2</stp>
        <stp>000787</stp>
        <stp>1</stp>
        <tr r="D3538" s="1"/>
      </tp>
      <tp t="s">
        <v>房地产</v>
        <stp/>
        <stp>EM_S_INFO_INDEX_EM</stp>
        <stp>2</stp>
        <stp>000797</stp>
        <stp>1</stp>
        <tr r="D3127" s="1"/>
      </tp>
      <tp t="s">
        <v>交通运输</v>
        <stp/>
        <stp>EM_S_INFO_INDEX_EM</stp>
        <stp>2</stp>
        <stp>600787</stp>
        <stp>1</stp>
        <tr r="D2015" s="1"/>
      </tp>
      <tp t="s">
        <v>信息技术</v>
        <stp/>
        <stp>EM_S_INFO_INDEX_EM</stp>
        <stp>2</stp>
        <stp>600797</stp>
        <stp>1</stp>
        <tr r="D719" s="1"/>
      </tp>
      <tp t="s">
        <v>基础化工</v>
        <stp/>
        <stp>EM_S_INFO_INDEX_EM</stp>
        <stp>2</stp>
        <stp>000707</stp>
        <stp>1</stp>
        <tr r="D3517" s="1"/>
      </tp>
      <tp t="s">
        <v>建材</v>
        <stp/>
        <stp>EM_S_INFO_INDEX_EM</stp>
        <stp>2</stp>
        <stp>300737</stp>
        <stp>1</stp>
        <tr r="D983" s="1"/>
      </tp>
      <tp t="s">
        <v>医药生物</v>
        <stp/>
        <stp>EM_S_INFO_INDEX_EM</stp>
        <stp>2</stp>
        <stp>600767</stp>
        <stp>1</stp>
        <tr r="D2211" s="1"/>
      </tp>
      <tp t="s">
        <v>钢铁</v>
        <stp/>
        <stp>EM_S_INFO_INDEX_EM</stp>
        <stp>2</stp>
        <stp>000717</stp>
        <stp>1</stp>
        <tr r="D2113" s="1"/>
      </tp>
      <tp t="s">
        <v>基础化工</v>
        <stp/>
        <stp>EM_S_INFO_INDEX_EM</stp>
        <stp>2</stp>
        <stp>300727</stp>
        <stp>1</stp>
        <tr r="D3144" s="1"/>
      </tp>
      <tp t="s">
        <v>化石能源</v>
        <stp/>
        <stp>EM_S_INFO_INDEX_EM</stp>
        <stp>2</stp>
        <stp>600777</stp>
        <stp>1</stp>
        <tr r="D1771" s="1"/>
      </tp>
      <tp t="s">
        <v>电子设备</v>
        <stp/>
        <stp>EM_S_INFO_INDEX_EM</stp>
        <stp>2</stp>
        <stp>000727</stp>
        <stp>1</stp>
        <tr r="D3520" s="1"/>
      </tp>
      <tp t="s">
        <v>基础化工</v>
        <stp/>
        <stp>EM_S_INFO_INDEX_EM</stp>
        <stp>2</stp>
        <stp>300717</stp>
        <stp>1</stp>
        <tr r="D1526" s="1"/>
      </tp>
      <tp>
        <v>0</v>
        <stp/>
        <stp>EM_S_INFO_INDEX_EM</stp>
        <stp>2</stp>
        <stp>600747</stp>
        <stp>1</stp>
        <tr r="D3404" s="1"/>
      </tp>
      <tp t="s">
        <v>基础化工</v>
        <stp/>
        <stp>EM_S_INFO_INDEX_EM</stp>
        <stp>2</stp>
        <stp>000737</stp>
        <stp>1</stp>
        <tr r="D3524" s="1"/>
      </tp>
      <tp t="s">
        <v>交运设备</v>
        <stp/>
        <stp>EM_S_INFO_INDEX_EM</stp>
        <stp>2</stp>
        <stp>300707</stp>
        <stp>1</stp>
        <tr r="D1481" s="1"/>
      </tp>
      <tp t="s">
        <v>文化传媒</v>
        <stp/>
        <stp>EM_S_INFO_INDEX_EM</stp>
        <stp>2</stp>
        <stp>600757</stp>
        <stp>1</stp>
        <tr r="D2613" s="1"/>
      </tp>
      <tp t="s">
        <v>基础化工</v>
        <stp/>
        <stp>EM_S_INFO_INDEX_EM</stp>
        <stp>2</stp>
        <stp>600727</stp>
        <stp>1</stp>
        <tr r="D964" s="1"/>
      </tp>
      <tp t="s">
        <v>交运设备</v>
        <stp/>
        <stp>EM_S_INFO_INDEX_EM</stp>
        <stp>2</stp>
        <stp>000757</stp>
        <stp>1</stp>
        <tr r="D2835" s="1"/>
      </tp>
      <tp t="s">
        <v>农林牧渔</v>
        <stp/>
        <stp>EM_S_INFO_INDEX_EM</stp>
        <stp>2</stp>
        <stp>600737</stp>
        <stp>1</stp>
        <tr r="D1484" s="1"/>
      </tp>
      <tp t="s">
        <v>公用事业</v>
        <stp/>
        <stp>EM_S_INFO_INDEX_EM</stp>
        <stp>2</stp>
        <stp>000767</stp>
        <stp>1</stp>
        <tr r="D2442" s="1"/>
      </tp>
      <tp t="s">
        <v>电子设备</v>
        <stp/>
        <stp>EM_S_INFO_INDEX_EM</stp>
        <stp>2</stp>
        <stp>600707</stp>
        <stp>1</stp>
        <tr r="D2050" s="1"/>
      </tp>
      <tp t="s">
        <v>机械设备</v>
        <stp/>
        <stp>EM_S_INFO_INDEX_EM</stp>
        <stp>2</stp>
        <stp>000777</stp>
        <stp>1</stp>
        <tr r="D1259" s="1"/>
      </tp>
      <tp t="s">
        <v>电子设备</v>
        <stp/>
        <stp>EM_S_INFO_INDEX_EM</stp>
        <stp>2</stp>
        <stp>300747</stp>
        <stp>1</stp>
        <tr r="D2959" s="1"/>
      </tp>
      <tp t="s">
        <v>交通运输</v>
        <stp/>
        <stp>EM_S_INFO_INDEX_EM</stp>
        <stp>2</stp>
        <stp>600717</stp>
        <stp>1</stp>
        <tr r="D2806" s="1"/>
      </tp>
      <tp t="s">
        <v>医药生物</v>
        <stp/>
        <stp>EM_S_INFO_INDEX_EM</stp>
        <stp>2</stp>
        <stp>300497</stp>
        <stp>1</stp>
        <tr r="D2053" s="1"/>
      </tp>
      <tp t="s">
        <v>基础化工</v>
        <stp/>
        <stp>EM_S_INFO_INDEX_EM</stp>
        <stp>2</stp>
        <stp>300487</stp>
        <stp>1</stp>
        <tr r="D612" s="1"/>
      </tp>
      <tp t="s">
        <v>信息技术</v>
        <stp/>
        <stp>EM_S_INFO_INDEX_EM</stp>
        <stp>2</stp>
        <stp>600487</stp>
        <stp>1</stp>
        <tr r="D2604" s="1"/>
      </tp>
      <tp t="s">
        <v>有色金属</v>
        <stp/>
        <stp>EM_S_INFO_INDEX_EM</stp>
        <stp>2</stp>
        <stp>600497</stp>
        <stp>1</stp>
        <tr r="D1854" s="1"/>
      </tp>
      <tp t="s">
        <v>公用事业</v>
        <stp/>
        <stp>EM_S_INFO_INDEX_EM</stp>
        <stp>2</stp>
        <stp>000407</stp>
        <stp>1</stp>
        <tr r="D2601" s="1"/>
      </tp>
      <tp t="s">
        <v>基础化工</v>
        <stp/>
        <stp>EM_S_INFO_INDEX_EM</stp>
        <stp>2</stp>
        <stp>300437</stp>
        <stp>1</stp>
        <tr r="D2786" s="1"/>
      </tp>
      <tp t="s">
        <v>农林牧渔</v>
        <stp/>
        <stp>EM_S_INFO_INDEX_EM</stp>
        <stp>2</stp>
        <stp>600467</stp>
        <stp>1</stp>
        <tr r="D2199" s="1"/>
      </tp>
      <tp t="s">
        <v>商贸零售</v>
        <stp/>
        <stp>EM_S_INFO_INDEX_EM</stp>
        <stp>2</stp>
        <stp>000417</stp>
        <stp>1</stp>
        <tr r="D1571" s="1"/>
      </tp>
      <tp t="s">
        <v>电气设备</v>
        <stp/>
        <stp>EM_S_INFO_INDEX_EM</stp>
        <stp>2</stp>
        <stp>300427</stp>
        <stp>1</stp>
        <tr r="D971" s="1"/>
      </tp>
      <tp t="s">
        <v>建筑</v>
        <stp/>
        <stp>EM_S_INFO_INDEX_EM</stp>
        <stp>2</stp>
        <stp>600477</stp>
        <stp>1</stp>
        <tr r="D3098" s="1"/>
      </tp>
      <tp t="s">
        <v>机械设备</v>
        <stp/>
        <stp>EM_S_INFO_INDEX_EM</stp>
        <stp>2</stp>
        <stp>300417</stp>
        <stp>1</stp>
        <tr r="D56" s="1"/>
      </tp>
      <tp t="s">
        <v>电气设备</v>
        <stp/>
        <stp>EM_S_INFO_INDEX_EM</stp>
        <stp>2</stp>
        <stp>300407</stp>
        <stp>1</stp>
        <tr r="D2060" s="1"/>
      </tp>
      <tp t="s">
        <v>电气设备</v>
        <stp/>
        <stp>EM_S_INFO_INDEX_EM</stp>
        <stp>2</stp>
        <stp>300477</stp>
        <stp>1</stp>
        <tr r="D3020" s="1"/>
      </tp>
      <tp t="s">
        <v>信息技术</v>
        <stp/>
        <stp>EM_S_INFO_INDEX_EM</stp>
        <stp>2</stp>
        <stp>300467</stp>
        <stp>1</stp>
        <tr r="D2940" s="1"/>
      </tp>
      <tp t="s">
        <v>机械设备</v>
        <stp/>
        <stp>EM_S_INFO_INDEX_EM</stp>
        <stp>2</stp>
        <stp>300457</stp>
        <stp>1</stp>
        <tr r="D1422" s="1"/>
      </tp>
      <tp t="s">
        <v>电气设备</v>
        <stp/>
        <stp>EM_S_INFO_INDEX_EM</stp>
        <stp>2</stp>
        <stp>300447</stp>
        <stp>1</stp>
        <tr r="D1960" s="1"/>
      </tp>
      <tp t="s">
        <v>轻工制造</v>
        <stp/>
        <stp>EM_S_INFO_INDEX_EM</stp>
        <stp>2</stp>
        <stp>000587</stp>
        <stp>1</stp>
        <tr r="D3469" s="1"/>
      </tp>
      <tp t="s">
        <v>医药生物</v>
        <stp/>
        <stp>EM_S_INFO_INDEX_EM</stp>
        <stp>2</stp>
        <stp>000597</stp>
        <stp>1</stp>
        <tr r="D3256" s="1"/>
      </tp>
      <tp t="s">
        <v>信息技术</v>
        <stp/>
        <stp>EM_S_INFO_INDEX_EM</stp>
        <stp>2</stp>
        <stp>300597</stp>
        <stp>1</stp>
        <tr r="D3046" s="1"/>
      </tp>
      <tp t="s">
        <v>基础化工</v>
        <stp/>
        <stp>EM_S_INFO_INDEX_EM</stp>
        <stp>2</stp>
        <stp>300587</stp>
        <stp>1</stp>
        <tr r="D2762" s="1"/>
      </tp>
      <tp t="s">
        <v>医药生物</v>
        <stp/>
        <stp>EM_S_INFO_INDEX_EM</stp>
        <stp>2</stp>
        <stp>600587</stp>
        <stp>1</stp>
        <tr r="D1818" s="1"/>
      </tp>
      <tp t="s">
        <v>食品饮料</v>
        <stp/>
        <stp>EM_S_INFO_INDEX_EM</stp>
        <stp>2</stp>
        <stp>600597</stp>
        <stp>1</stp>
        <tr r="D587" s="1"/>
      </tp>
      <tp t="s">
        <v>交通运输</v>
        <stp/>
        <stp>EM_S_INFO_INDEX_EM</stp>
        <stp>2</stp>
        <stp>000507</stp>
        <stp>1</stp>
        <tr r="D2637" s="1"/>
      </tp>
      <tp t="s">
        <v>基础化工</v>
        <stp/>
        <stp>EM_S_INFO_INDEX_EM</stp>
        <stp>2</stp>
        <stp>300537</stp>
        <stp>1</stp>
        <tr r="D142" s="1"/>
      </tp>
      <tp t="s">
        <v>轻工制造</v>
        <stp/>
        <stp>EM_S_INFO_INDEX_EM</stp>
        <stp>2</stp>
        <stp>600567</stp>
        <stp>1</stp>
        <tr r="D1183" s="1"/>
      </tp>
      <tp t="s">
        <v>房地产</v>
        <stp/>
        <stp>EM_S_INFO_INDEX_EM</stp>
        <stp>2</stp>
        <stp>000517</stp>
        <stp>1</stp>
        <tr r="D3440" s="1"/>
      </tp>
      <tp t="s">
        <v>机械设备</v>
        <stp/>
        <stp>EM_S_INFO_INDEX_EM</stp>
        <stp>2</stp>
        <stp>300527</stp>
        <stp>1</stp>
        <tr r="D365" s="1"/>
      </tp>
      <tp t="s">
        <v>机械设备</v>
        <stp/>
        <stp>EM_S_INFO_INDEX_EM</stp>
        <stp>2</stp>
        <stp>600577</stp>
        <stp>1</stp>
        <tr r="D2701" s="1"/>
      </tp>
      <tp>
        <v>0</v>
        <stp/>
        <stp>EM_S_INFO_INDEX_EM</stp>
        <stp>2</stp>
        <stp>000527</stp>
        <stp>1</stp>
        <tr r="D3443" s="1"/>
      </tp>
      <tp t="s">
        <v>建筑</v>
        <stp/>
        <stp>EM_S_INFO_INDEX_EM</stp>
        <stp>2</stp>
        <stp>300517</stp>
        <stp>1</stp>
        <tr r="D1512" s="1"/>
      </tp>
      <tp t="s">
        <v>有色金属</v>
        <stp/>
        <stp>EM_S_INFO_INDEX_EM</stp>
        <stp>2</stp>
        <stp>600547</stp>
        <stp>1</stp>
        <tr r="D1942" s="1"/>
      </tp>
      <tp t="s">
        <v>房地产</v>
        <stp/>
        <stp>EM_S_INFO_INDEX_EM</stp>
        <stp>2</stp>
        <stp>000537</stp>
        <stp>1</stp>
        <tr r="D2013" s="1"/>
      </tp>
      <tp t="s">
        <v>交运设备</v>
        <stp/>
        <stp>EM_S_INFO_INDEX_EM</stp>
        <stp>2</stp>
        <stp>300507</stp>
        <stp>1</stp>
        <tr r="D3002" s="1"/>
      </tp>
      <tp t="s">
        <v>医药生物</v>
        <stp/>
        <stp>EM_S_INFO_INDEX_EM</stp>
        <stp>2</stp>
        <stp>600557</stp>
        <stp>1</stp>
        <tr r="D737" s="1"/>
      </tp>
      <tp t="s">
        <v>信息技术</v>
        <stp/>
        <stp>EM_S_INFO_INDEX_EM</stp>
        <stp>2</stp>
        <stp>000547</stp>
        <stp>1</stp>
        <tr r="D790" s="1"/>
      </tp>
      <tp t="s">
        <v>纺织服装</v>
        <stp/>
        <stp>EM_S_INFO_INDEX_EM</stp>
        <stp>2</stp>
        <stp>300577</stp>
        <stp>1</stp>
        <tr r="D1691" s="1"/>
      </tp>
      <tp t="s">
        <v>基础化工</v>
        <stp/>
        <stp>EM_S_INFO_INDEX_EM</stp>
        <stp>2</stp>
        <stp>600527</stp>
        <stp>1</stp>
        <tr r="D2084" s="1"/>
      </tp>
      <tp t="s">
        <v>交通运输</v>
        <stp/>
        <stp>EM_S_INFO_INDEX_EM</stp>
        <stp>2</stp>
        <stp>000557</stp>
        <stp>1</stp>
        <tr r="D2277" s="1"/>
      </tp>
      <tp t="s">
        <v>机械设备</v>
        <stp/>
        <stp>EM_S_INFO_INDEX_EM</stp>
        <stp>2</stp>
        <stp>300567</stp>
        <stp>1</stp>
        <tr r="D1721" s="1"/>
      </tp>
      <tp t="s">
        <v>电气设备</v>
        <stp/>
        <stp>EM_S_INFO_INDEX_EM</stp>
        <stp>2</stp>
        <stp>600537</stp>
        <stp>1</stp>
        <tr r="D1744" s="1"/>
      </tp>
      <tp t="s">
        <v>金融</v>
        <stp/>
        <stp>EM_S_INFO_INDEX_EM</stp>
        <stp>2</stp>
        <stp>000567</stp>
        <stp>1</stp>
        <tr r="D3459" s="1"/>
      </tp>
      <tp t="s">
        <v>机械设备</v>
        <stp/>
        <stp>EM_S_INFO_INDEX_EM</stp>
        <stp>2</stp>
        <stp>300557</stp>
        <stp>1</stp>
        <tr r="D1012" s="1"/>
      </tp>
      <tp t="s">
        <v>钢铁</v>
        <stp/>
        <stp>EM_S_INFO_INDEX_EM</stp>
        <stp>2</stp>
        <stp>600507</stp>
        <stp>1</stp>
        <tr r="D2209" s="1"/>
      </tp>
      <tp t="s">
        <v>交运设备</v>
        <stp/>
        <stp>EM_S_INFO_INDEX_EM</stp>
        <stp>2</stp>
        <stp>300547</stp>
        <stp>1</stp>
        <tr r="D3328" s="1"/>
      </tp>
      <tp t="s">
        <v>电气设备</v>
        <stp/>
        <stp>EM_S_INFO_INDEX_EM</stp>
        <stp>2</stp>
        <stp>600517</stp>
        <stp>1</stp>
        <tr r="D72" s="1"/>
      </tp>
      <tp t="s">
        <v>交运设备</v>
        <stp/>
        <stp>EM_S_INFO_INDEX_EM</stp>
        <stp>2</stp>
        <stp>000887</stp>
        <stp>1</stp>
        <tr r="D2794" s="1"/>
      </tp>
      <tp t="s">
        <v>房地产</v>
        <stp/>
        <stp>EM_S_INFO_INDEX_EM</stp>
        <stp>2</stp>
        <stp>000897</stp>
        <stp>1</stp>
        <tr r="D3568" s="1"/>
      </tp>
      <tp t="s">
        <v>食品饮料</v>
        <stp/>
        <stp>EM_S_INFO_INDEX_EM</stp>
        <stp>2</stp>
        <stp>600887</stp>
        <stp>1</stp>
        <tr r="D827" s="1"/>
      </tp>
      <tp t="s">
        <v>交通运输</v>
        <stp/>
        <stp>EM_S_INFO_INDEX_EM</stp>
        <stp>2</stp>
        <stp>600897</stp>
        <stp>1</stp>
        <tr r="D2061" s="1"/>
      </tp>
      <tp t="s">
        <v>有色金属</v>
        <stp/>
        <stp>EM_S_INFO_INDEX_EM</stp>
        <stp>2</stp>
        <stp>000807</stp>
        <stp>1</stp>
        <tr r="D3546" s="1"/>
      </tp>
      <tp t="s">
        <v>医药生物</v>
        <stp/>
        <stp>EM_S_INFO_INDEX_EM</stp>
        <stp>2</stp>
        <stp>600867</stp>
        <stp>1</stp>
        <tr r="D2809" s="1"/>
      </tp>
      <tp>
        <v>0</v>
        <stp/>
        <stp>EM_S_INFO_INDEX_EM</stp>
        <stp>2</stp>
        <stp>000817</stp>
        <stp>1</stp>
        <tr r="D3548" s="1"/>
      </tp>
      <tp t="s">
        <v>有色金属</v>
        <stp/>
        <stp>EM_S_INFO_INDEX_EM</stp>
        <stp>2</stp>
        <stp>600877</stp>
        <stp>1</stp>
        <tr r="D1175" s="1"/>
      </tp>
      <tp>
        <v>0</v>
        <stp/>
        <stp>EM_S_INFO_INDEX_EM</stp>
        <stp>2</stp>
        <stp>000827</stp>
        <stp>1</stp>
        <tr r="D3550" s="1"/>
      </tp>
      <tp t="s">
        <v>电气设备</v>
        <stp/>
        <stp>EM_S_INFO_INDEX_EM</stp>
        <stp>2</stp>
        <stp>600847</stp>
        <stp>1</stp>
        <tr r="D2395" s="1"/>
      </tp>
      <tp t="s">
        <v>机械设备</v>
        <stp/>
        <stp>EM_S_INFO_INDEX_EM</stp>
        <stp>2</stp>
        <stp>000837</stp>
        <stp>1</stp>
        <tr r="D3554" s="1"/>
      </tp>
      <tp t="s">
        <v>商贸零售</v>
        <stp/>
        <stp>EM_S_INFO_INDEX_EM</stp>
        <stp>2</stp>
        <stp>600857</stp>
        <stp>1</stp>
        <tr r="D1701" s="1"/>
      </tp>
      <tp t="s">
        <v>商贸零售</v>
        <stp/>
        <stp>EM_S_INFO_INDEX_EM</stp>
        <stp>2</stp>
        <stp>600827</stp>
        <stp>1</stp>
        <tr r="D1943" s="1"/>
      </tp>
      <tp t="s">
        <v>金融</v>
        <stp/>
        <stp>EM_S_INFO_INDEX_EM</stp>
        <stp>2</stp>
        <stp>600837</stp>
        <stp>1</stp>
        <tr r="D260" s="1"/>
      </tp>
      <tp t="s">
        <v>有色金属</v>
        <stp/>
        <stp>EM_S_INFO_INDEX_EM</stp>
        <stp>2</stp>
        <stp>600807</stp>
        <stp>1</stp>
        <tr r="D2570" s="1"/>
      </tp>
      <tp t="s">
        <v>建材</v>
        <stp/>
        <stp>EM_S_INFO_INDEX_EM</stp>
        <stp>2</stp>
        <stp>000877</stp>
        <stp>1</stp>
        <tr r="D407" s="1"/>
      </tp>
      <tp t="s">
        <v>商贸零售</v>
        <stp/>
        <stp>EM_S_INFO_INDEX_EM</stp>
        <stp>2</stp>
        <stp>600817</stp>
        <stp>1</stp>
        <tr r="D2126" s="1"/>
      </tp>
      <tp t="s">
        <v>金融</v>
        <stp/>
        <stp>EM_S_INFO_INDEX_EM</stp>
        <stp>2</stp>
        <stp>000987</stp>
        <stp>1</stp>
        <tr r="D3597" s="1"/>
      </tp>
      <tp t="s">
        <v>信息技术</v>
        <stp/>
        <stp>EM_S_INFO_INDEX_EM</stp>
        <stp>2</stp>
        <stp>000997</stp>
        <stp>1</stp>
        <tr r="D1814" s="1"/>
      </tp>
      <tp t="s">
        <v>纺织服装</v>
        <stp/>
        <stp>EM_S_INFO_INDEX_EM</stp>
        <stp>2</stp>
        <stp>600987</stp>
        <stp>1</stp>
        <tr r="D3102" s="1"/>
      </tp>
      <tp t="s">
        <v>化石能源</v>
        <stp/>
        <stp>EM_S_INFO_INDEX_EM</stp>
        <stp>2</stp>
        <stp>600997</stp>
        <stp>1</stp>
        <tr r="D2542" s="1"/>
      </tp>
      <tp t="s">
        <v>国防与装备</v>
        <stp/>
        <stp>EM_S_INFO_INDEX_EM</stp>
        <stp>2</stp>
        <stp>600967</stp>
        <stp>1</stp>
        <tr r="D2184" s="1"/>
      </tp>
      <tp t="s">
        <v>文化传媒</v>
        <stp/>
        <stp>EM_S_INFO_INDEX_EM</stp>
        <stp>2</stp>
        <stp>000917</stp>
        <stp>1</stp>
        <tr r="D2445" s="1"/>
      </tp>
      <tp t="s">
        <v>文化传媒</v>
        <stp/>
        <stp>EM_S_INFO_INDEX_EM</stp>
        <stp>2</stp>
        <stp>600977</stp>
        <stp>1</stp>
        <tr r="D1944" s="1"/>
      </tp>
      <tp t="s">
        <v>交运设备</v>
        <stp/>
        <stp>EM_S_INFO_INDEX_EM</stp>
        <stp>2</stp>
        <stp>000927</stp>
        <stp>1</stp>
        <tr r="D3579" s="1"/>
      </tp>
      <tp t="s">
        <v>化石能源</v>
        <stp/>
        <stp>EM_S_INFO_INDEX_EM</stp>
        <stp>2</stp>
        <stp>000937</stp>
        <stp>1</stp>
        <tr r="D2461" s="1"/>
      </tp>
      <tp t="s">
        <v>交运设备</v>
        <stp/>
        <stp>EM_S_INFO_INDEX_EM</stp>
        <stp>2</stp>
        <stp>000957</stp>
        <stp>1</stp>
        <tr r="D3587" s="1"/>
      </tp>
      <tp t="s">
        <v>公用事业</v>
        <stp/>
        <stp>EM_S_INFO_INDEX_EM</stp>
        <stp>2</stp>
        <stp>000967</stp>
        <stp>1</stp>
        <tr r="D1753" s="1"/>
      </tp>
      <tp t="s">
        <v>信息技术</v>
        <stp/>
        <stp>EM_S_INFO_INDEX_EM</stp>
        <stp>2</stp>
        <stp>000977</stp>
        <stp>1</stp>
        <tr r="D206" s="1"/>
      </tp>
      <tp t="s">
        <v>公用事业</v>
        <stp/>
        <stp>EM_S_INFO_INDEX_EM</stp>
        <stp>2</stp>
        <stp>600917</stp>
        <stp>1</stp>
        <tr r="D2163" s="1"/>
      </tp>
      <tp t="s">
        <v>机械设备</v>
        <stp/>
        <stp>EM_S_INFO_INDEX_EM</stp>
        <stp>2</stp>
        <stp>603277</stp>
        <stp>1</stp>
        <tr r="D1326" s="1"/>
      </tp>
      <tp t="s">
        <v>基础化工</v>
        <stp/>
        <stp>EM_S_INFO_INDEX_EM</stp>
        <stp>2</stp>
        <stp>603227</stp>
        <stp>1</stp>
        <tr r="D1007" s="1"/>
      </tp>
      <tp t="s">
        <v>医药生物</v>
        <stp/>
        <stp>EM_S_INFO_INDEX_EM</stp>
        <stp>2</stp>
        <stp>603387</stp>
        <stp>1</stp>
        <tr r="D2919" s="1"/>
      </tp>
      <tp t="s">
        <v>医药生物</v>
        <stp/>
        <stp>EM_S_INFO_INDEX_EM</stp>
        <stp>2</stp>
        <stp>603367</stp>
        <stp>1</stp>
        <tr r="D1963" s="1"/>
      </tp>
      <tp t="s">
        <v>交运设备</v>
        <stp/>
        <stp>EM_S_INFO_INDEX_EM</stp>
        <stp>2</stp>
        <stp>603377</stp>
        <stp>1</stp>
        <tr r="D1083" s="1"/>
      </tp>
      <tp t="s">
        <v>休闲、生活及专业服务</v>
        <stp/>
        <stp>EM_S_INFO_INDEX_EM</stp>
        <stp>2</stp>
        <stp>603357</stp>
        <stp>1</stp>
        <tr r="D3354" s="1"/>
      </tp>
      <tp t="s">
        <v>机械设备</v>
        <stp/>
        <stp>EM_S_INFO_INDEX_EM</stp>
        <stp>2</stp>
        <stp>603337</stp>
        <stp>1</stp>
        <tr r="D3338" s="1"/>
      </tp>
      <tp t="s">
        <v>基础化工</v>
        <stp/>
        <stp>EM_S_INFO_INDEX_EM</stp>
        <stp>2</stp>
        <stp>603067</stp>
        <stp>1</stp>
        <tr r="D3099" s="1"/>
      </tp>
      <tp t="s">
        <v>基础化工</v>
        <stp/>
        <stp>EM_S_INFO_INDEX_EM</stp>
        <stp>2</stp>
        <stp>603077</stp>
        <stp>1</stp>
        <tr r="D2778" s="1"/>
      </tp>
      <tp t="s">
        <v>食品饮料</v>
        <stp/>
        <stp>EM_S_INFO_INDEX_EM</stp>
        <stp>2</stp>
        <stp>603027</stp>
        <stp>1</stp>
        <tr r="D783" s="1"/>
      </tp>
      <tp t="s">
        <v>交运设备</v>
        <stp/>
        <stp>EM_S_INFO_INDEX_EM</stp>
        <stp>2</stp>
        <stp>603037</stp>
        <stp>1</stp>
        <tr r="D2448" s="1"/>
      </tp>
      <tp t="s">
        <v>建筑</v>
        <stp/>
        <stp>EM_S_INFO_INDEX_EM</stp>
        <stp>2</stp>
        <stp>603007</stp>
        <stp>1</stp>
        <tr r="D2914" s="1"/>
      </tp>
      <tp t="s">
        <v>建筑</v>
        <stp/>
        <stp>EM_S_INFO_INDEX_EM</stp>
        <stp>2</stp>
        <stp>603017</stp>
        <stp>1</stp>
        <tr r="D1945" s="1"/>
      </tp>
      <tp t="s">
        <v>交运设备</v>
        <stp/>
        <stp>EM_S_INFO_INDEX_EM</stp>
        <stp>2</stp>
        <stp>603197</stp>
        <stp>1</stp>
        <tr r="D545" s="1"/>
      </tp>
      <tp t="s">
        <v>交通运输</v>
        <stp/>
        <stp>EM_S_INFO_INDEX_EM</stp>
        <stp>2</stp>
        <stp>603167</stp>
        <stp>1</stp>
        <tr r="D1235" s="1"/>
      </tp>
      <tp t="s">
        <v>公用事业</v>
        <stp/>
        <stp>EM_S_INFO_INDEX_EM</stp>
        <stp>2</stp>
        <stp>603177</stp>
        <stp>1</stp>
        <tr r="D1680" s="1"/>
      </tp>
      <tp t="s">
        <v>纺织服装</v>
        <stp/>
        <stp>EM_S_INFO_INDEX_EM</stp>
        <stp>2</stp>
        <stp>603157</stp>
        <stp>1</stp>
        <tr r="D3240" s="1"/>
      </tp>
      <tp t="s">
        <v>医药生物</v>
        <stp/>
        <stp>EM_S_INFO_INDEX_EM</stp>
        <stp>2</stp>
        <stp>603127</stp>
        <stp>1</stp>
        <tr r="D1307" s="1"/>
      </tp>
      <tp t="s">
        <v>交通运输</v>
        <stp/>
        <stp>EM_S_INFO_INDEX_EM</stp>
        <stp>2</stp>
        <stp>603117</stp>
        <stp>1</stp>
        <tr r="D1955" s="1"/>
      </tp>
      <tp t="s">
        <v>机械设备</v>
        <stp/>
        <stp>EM_S_INFO_INDEX_EM</stp>
        <stp>2</stp>
        <stp>603667</stp>
        <stp>1</stp>
        <tr r="D1247" s="1"/>
      </tp>
      <tp t="s">
        <v>家电</v>
        <stp/>
        <stp>EM_S_INFO_INDEX_EM</stp>
        <stp>2</stp>
        <stp>603677</stp>
        <stp>1</stp>
        <tr r="D2785" s="1"/>
      </tp>
      <tp t="s">
        <v>建筑</v>
        <stp/>
        <stp>EM_S_INFO_INDEX_EM</stp>
        <stp>2</stp>
        <stp>603637</stp>
        <stp>1</stp>
        <tr r="D2119" s="1"/>
      </tp>
      <tp t="s">
        <v>轻工制造</v>
        <stp/>
        <stp>EM_S_INFO_INDEX_EM</stp>
        <stp>2</stp>
        <stp>603607</stp>
        <stp>1</stp>
        <tr r="D1256" s="1"/>
      </tp>
      <tp t="s">
        <v>机械设备</v>
        <stp/>
        <stp>EM_S_INFO_INDEX_EM</stp>
        <stp>2</stp>
        <stp>603617</stp>
        <stp>1</stp>
        <tr r="D2807" s="1"/>
      </tp>
      <tp t="s">
        <v>交运设备</v>
        <stp/>
        <stp>EM_S_INFO_INDEX_EM</stp>
        <stp>2</stp>
        <stp>603787</stp>
        <stp>1</stp>
        <tr r="D662" s="1"/>
      </tp>
      <tp t="s">
        <v>公用事业</v>
        <stp/>
        <stp>EM_S_INFO_INDEX_EM</stp>
        <stp>2</stp>
        <stp>603797</stp>
        <stp>1</stp>
        <tr r="D2635" s="1"/>
      </tp>
      <tp t="s">
        <v>交运设备</v>
        <stp/>
        <stp>EM_S_INFO_INDEX_EM</stp>
        <stp>2</stp>
        <stp>603767</stp>
        <stp>1</stp>
        <tr r="D1821" s="1"/>
      </tp>
      <tp t="s">
        <v>食品饮料</v>
        <stp/>
        <stp>EM_S_INFO_INDEX_EM</stp>
        <stp>2</stp>
        <stp>603777</stp>
        <stp>1</stp>
        <tr r="D1212" s="1"/>
      </tp>
      <tp t="s">
        <v>机械设备</v>
        <stp/>
        <stp>EM_S_INFO_INDEX_EM</stp>
        <stp>2</stp>
        <stp>603757</stp>
        <stp>1</stp>
        <tr r="D3019" s="1"/>
      </tp>
      <tp t="s">
        <v>化石能源</v>
        <stp/>
        <stp>EM_S_INFO_INDEX_EM</stp>
        <stp>2</stp>
        <stp>603727</stp>
        <stp>1</stp>
        <tr r="D592" s="1"/>
      </tp>
      <tp t="s">
        <v>基础化工</v>
        <stp/>
        <stp>EM_S_INFO_INDEX_EM</stp>
        <stp>2</stp>
        <stp>603737</stp>
        <stp>1</stp>
        <tr r="D124" s="1"/>
      </tp>
      <tp t="s">
        <v>医药生物</v>
        <stp/>
        <stp>EM_S_INFO_INDEX_EM</stp>
        <stp>2</stp>
        <stp>603707</stp>
        <stp>1</stp>
        <tr r="D131" s="1"/>
      </tp>
      <tp t="s">
        <v>建筑</v>
        <stp/>
        <stp>EM_S_INFO_INDEX_EM</stp>
        <stp>2</stp>
        <stp>603717</stp>
        <stp>1</stp>
        <tr r="D2608" s="1"/>
      </tp>
      <tp t="s">
        <v>纺织服装</v>
        <stp/>
        <stp>EM_S_INFO_INDEX_EM</stp>
        <stp>2</stp>
        <stp>603477</stp>
        <stp>1</stp>
        <tr r="D496" s="1"/>
      </tp>
      <tp t="s">
        <v>纺织服装</v>
        <stp/>
        <stp>EM_S_INFO_INDEX_EM</stp>
        <stp>2</stp>
        <stp>603587</stp>
        <stp>1</stp>
        <tr r="D1574" s="1"/>
      </tp>
      <tp t="s">
        <v>医药生物</v>
        <stp/>
        <stp>EM_S_INFO_INDEX_EM</stp>
        <stp>2</stp>
        <stp>603567</stp>
        <stp>1</stp>
        <tr r="D2492" s="1"/>
      </tp>
      <tp t="s">
        <v>电气设备</v>
        <stp/>
        <stp>EM_S_INFO_INDEX_EM</stp>
        <stp>2</stp>
        <stp>603577</stp>
        <stp>1</stp>
        <tr r="D1423" s="1"/>
      </tp>
      <tp t="s">
        <v>纺织服装</v>
        <stp/>
        <stp>EM_S_INFO_INDEX_EM</stp>
        <stp>2</stp>
        <stp>603557</stp>
        <stp>1</stp>
        <tr r="D1610" s="1"/>
      </tp>
      <tp t="s">
        <v>有色金属</v>
        <stp/>
        <stp>EM_S_INFO_INDEX_EM</stp>
        <stp>2</stp>
        <stp>603527</stp>
        <stp>1</stp>
        <tr r="D1518" s="1"/>
      </tp>
      <tp t="s">
        <v>机械设备</v>
        <stp/>
        <stp>EM_S_INFO_INDEX_EM</stp>
        <stp>2</stp>
        <stp>603507</stp>
        <stp>1</stp>
        <tr r="D2178" s="1"/>
      </tp>
      <tp t="s">
        <v>食品饮料</v>
        <stp/>
        <stp>EM_S_INFO_INDEX_EM</stp>
        <stp>2</stp>
        <stp>603517</stp>
        <stp>1</stp>
        <tr r="D793" s="1"/>
      </tp>
      <tp t="s">
        <v>建筑</v>
        <stp/>
        <stp>EM_S_INFO_INDEX_EM</stp>
        <stp>2</stp>
        <stp>603887</stp>
        <stp>1</stp>
        <tr r="D293" s="1"/>
      </tp>
      <tp t="s">
        <v>电气设备</v>
        <stp/>
        <stp>EM_S_INFO_INDEX_EM</stp>
        <stp>2</stp>
        <stp>603897</stp>
        <stp>1</stp>
        <tr r="D2927" s="1"/>
      </tp>
      <tp t="s">
        <v>纺织服装</v>
        <stp/>
        <stp>EM_S_INFO_INDEX_EM</stp>
        <stp>2</stp>
        <stp>603877</stp>
        <stp>1</stp>
        <tr r="D2990" s="1"/>
      </tp>
      <tp t="s">
        <v>公用事业</v>
        <stp/>
        <stp>EM_S_INFO_INDEX_EM</stp>
        <stp>2</stp>
        <stp>603817</stp>
        <stp>1</stp>
        <tr r="D1638" s="1"/>
      </tp>
      <tp t="s">
        <v>医药生物</v>
        <stp/>
        <stp>EM_S_INFO_INDEX_EM</stp>
        <stp>2</stp>
        <stp>603987</stp>
        <stp>1</stp>
        <tr r="D1117" s="1"/>
      </tp>
      <tp t="s">
        <v>交运设备</v>
        <stp/>
        <stp>EM_S_INFO_INDEX_EM</stp>
        <stp>2</stp>
        <stp>603997</stp>
        <stp>1</stp>
        <tr r="D1914" s="1"/>
      </tp>
      <tp t="s">
        <v>基础化工</v>
        <stp/>
        <stp>EM_S_INFO_INDEX_EM</stp>
        <stp>2</stp>
        <stp>603977</stp>
        <stp>1</stp>
        <tr r="D1382" s="1"/>
      </tp>
      <tp t="s">
        <v>建材</v>
        <stp/>
        <stp>EM_S_INFO_INDEX_EM</stp>
        <stp>2</stp>
        <stp>603937</stp>
        <stp>1</stp>
        <tr r="D2150" s="1"/>
      </tp>
      <tp t="s">
        <v>交运设备</v>
        <stp/>
        <stp>EM_S_INFO_INDEX_EM</stp>
        <stp>2</stp>
        <stp>603917</stp>
        <stp>1</stp>
        <tr r="D2852" s="1"/>
      </tp>
      <tp t="s">
        <v>医药生物</v>
        <stp/>
        <stp>EM_S_INFO_INDEX_EM</stp>
        <stp>2</stp>
        <stp>002287</stp>
        <stp>1</stp>
        <tr r="D2908" s="1"/>
      </tp>
      <tp t="s">
        <v>有色金属</v>
        <stp/>
        <stp>EM_S_INFO_INDEX_EM</stp>
        <stp>2</stp>
        <stp>002297</stp>
        <stp>1</stp>
        <tr r="D1894" s="1"/>
      </tp>
      <tp t="s">
        <v>化石能源</v>
        <stp/>
        <stp>EM_S_INFO_INDEX_EM</stp>
        <stp>2</stp>
        <stp>002207</stp>
        <stp>1</stp>
        <tr r="D968" s="1"/>
      </tp>
      <tp t="s">
        <v>电子设备</v>
        <stp/>
        <stp>EM_S_INFO_INDEX_EM</stp>
        <stp>2</stp>
        <stp>002217</stp>
        <stp>1</stp>
        <tr r="D1404" s="1"/>
      </tp>
      <tp t="s">
        <v>电气设备</v>
        <stp/>
        <stp>EM_S_INFO_INDEX_EM</stp>
        <stp>2</stp>
        <stp>002227</stp>
        <stp>1</stp>
        <tr r="D1779" s="1"/>
      </tp>
      <tp t="s">
        <v>有色金属</v>
        <stp/>
        <stp>EM_S_INFO_INDEX_EM</stp>
        <stp>2</stp>
        <stp>002237</stp>
        <stp>1</stp>
        <tr r="D382" s="1"/>
      </tp>
      <tp t="s">
        <v>互联网</v>
        <stp/>
        <stp>EM_S_INFO_INDEX_EM</stp>
        <stp>2</stp>
        <stp>002247</stp>
        <stp>1</stp>
        <tr r="D3301" s="1"/>
      </tp>
      <tp>
        <v>0</v>
        <stp/>
        <stp>EM_S_INFO_INDEX_EM</stp>
        <stp>2</stp>
        <stp>002257</stp>
        <stp>1</stp>
        <tr r="D5" s="1"/>
      </tp>
      <tp t="s">
        <v>公用事业</v>
        <stp/>
        <stp>EM_S_INFO_INDEX_EM</stp>
        <stp>2</stp>
        <stp>002267</stp>
        <stp>1</stp>
        <tr r="D2497" s="1"/>
      </tp>
      <tp t="s">
        <v>商贸零售</v>
        <stp/>
        <stp>EM_S_INFO_INDEX_EM</stp>
        <stp>2</stp>
        <stp>002277</stp>
        <stp>1</stp>
        <tr r="D2034" s="1"/>
      </tp>
      <tp t="s">
        <v>电子设备</v>
        <stp/>
        <stp>EM_S_INFO_INDEX_EM</stp>
        <stp>2</stp>
        <stp>002387</stp>
        <stp>1</stp>
        <tr r="D135" s="1"/>
      </tp>
      <tp t="s">
        <v>纺织服装</v>
        <stp/>
        <stp>EM_S_INFO_INDEX_EM</stp>
        <stp>2</stp>
        <stp>002397</stp>
        <stp>1</stp>
        <tr r="D1300" s="1"/>
      </tp>
      <tp t="s">
        <v>建筑</v>
        <stp/>
        <stp>EM_S_INFO_INDEX_EM</stp>
        <stp>2</stp>
        <stp>002307</stp>
        <stp>1</stp>
        <tr r="D1740" s="1"/>
      </tp>
      <tp t="s">
        <v>医药生物</v>
        <stp/>
        <stp>EM_S_INFO_INDEX_EM</stp>
        <stp>2</stp>
        <stp>002317</stp>
        <stp>1</stp>
        <tr r="D653" s="1"/>
      </tp>
      <tp t="s">
        <v>纺织服装</v>
        <stp/>
        <stp>EM_S_INFO_INDEX_EM</stp>
        <stp>2</stp>
        <stp>002327</stp>
        <stp>1</stp>
        <tr r="D2672" s="1"/>
      </tp>
      <tp t="s">
        <v>机械设备</v>
        <stp/>
        <stp>EM_S_INFO_INDEX_EM</stp>
        <stp>2</stp>
        <stp>002337</stp>
        <stp>1</stp>
        <tr r="D2558" s="1"/>
      </tp>
      <tp t="s">
        <v>机械设备</v>
        <stp/>
        <stp>EM_S_INFO_INDEX_EM</stp>
        <stp>2</stp>
        <stp>002347</stp>
        <stp>1</stp>
        <tr r="D1192" s="1"/>
      </tp>
      <tp t="s">
        <v>交通运输</v>
        <stp/>
        <stp>EM_S_INFO_INDEX_EM</stp>
        <stp>2</stp>
        <stp>002357</stp>
        <stp>1</stp>
        <tr r="D1607" s="1"/>
      </tp>
      <tp t="s">
        <v>机械设备</v>
        <stp/>
        <stp>EM_S_INFO_INDEX_EM</stp>
        <stp>2</stp>
        <stp>002367</stp>
        <stp>1</stp>
        <tr r="D773" s="1"/>
      </tp>
      <tp t="s">
        <v>房地产</v>
        <stp/>
        <stp>EM_S_INFO_INDEX_EM</stp>
        <stp>2</stp>
        <stp>002377</stp>
        <stp>1</stp>
        <tr r="D2493" s="1"/>
      </tp>
      <tp t="s">
        <v>纺织服装</v>
        <stp/>
        <stp>EM_S_INFO_INDEX_EM</stp>
        <stp>2</stp>
        <stp>002087</stp>
        <stp>1</stp>
        <tr r="D2227" s="1"/>
      </tp>
      <tp t="s">
        <v>机械设备</v>
        <stp/>
        <stp>EM_S_INFO_INDEX_EM</stp>
        <stp>2</stp>
        <stp>002097</stp>
        <stp>1</stp>
        <tr r="D1946" s="1"/>
      </tp>
      <tp t="s">
        <v>医药生物</v>
        <stp/>
        <stp>EM_S_INFO_INDEX_EM</stp>
        <stp>2</stp>
        <stp>002007</stp>
        <stp>1</stp>
        <tr r="D2145" s="1"/>
      </tp>
      <tp t="s">
        <v>信息技术</v>
        <stp/>
        <stp>EM_S_INFO_INDEX_EM</stp>
        <stp>2</stp>
        <stp>002017</stp>
        <stp>1</stp>
        <tr r="D3607" s="1"/>
      </tp>
      <tp t="s">
        <v>互联网</v>
        <stp/>
        <stp>EM_S_INFO_INDEX_EM</stp>
        <stp>2</stp>
        <stp>002027</stp>
        <stp>1</stp>
        <tr r="D1266" s="1"/>
      </tp>
      <tp t="s">
        <v>基础化工</v>
        <stp/>
        <stp>EM_S_INFO_INDEX_EM</stp>
        <stp>2</stp>
        <stp>002037</stp>
        <stp>1</stp>
        <tr r="D2964" s="1"/>
      </tp>
      <tp t="s">
        <v>建筑</v>
        <stp/>
        <stp>EM_S_INFO_INDEX_EM</stp>
        <stp>2</stp>
        <stp>002047</stp>
        <stp>1</stp>
        <tr r="D3616" s="1"/>
      </tp>
      <tp t="s">
        <v>有色金属</v>
        <stp/>
        <stp>EM_S_INFO_INDEX_EM</stp>
        <stp>2</stp>
        <stp>002057</stp>
        <stp>1</stp>
        <tr r="D460" s="1"/>
      </tp>
      <tp t="s">
        <v>轻工制造</v>
        <stp/>
        <stp>EM_S_INFO_INDEX_EM</stp>
        <stp>2</stp>
        <stp>002067</stp>
        <stp>1</stp>
        <tr r="D2531" s="1"/>
      </tp>
      <tp t="s">
        <v>房地产</v>
        <stp/>
        <stp>EM_S_INFO_INDEX_EM</stp>
        <stp>2</stp>
        <stp>002077</stp>
        <stp>1</stp>
        <tr r="D3627" s="1"/>
      </tp>
      <tp t="s">
        <v>商贸零售</v>
        <stp/>
        <stp>EM_S_INFO_INDEX_EM</stp>
        <stp>2</stp>
        <stp>002187</stp>
        <stp>1</stp>
        <tr r="D1956" s="1"/>
      </tp>
      <tp t="s">
        <v>信息技术</v>
        <stp/>
        <stp>EM_S_INFO_INDEX_EM</stp>
        <stp>2</stp>
        <stp>002197</stp>
        <stp>1</stp>
        <tr r="D1474" s="1"/>
      </tp>
      <tp t="s">
        <v>医药生物</v>
        <stp/>
        <stp>EM_S_INFO_INDEX_EM</stp>
        <stp>2</stp>
        <stp>002107</stp>
        <stp>1</stp>
        <tr r="D1136" s="1"/>
      </tp>
      <tp t="s">
        <v>轻工制造</v>
        <stp/>
        <stp>EM_S_INFO_INDEX_EM</stp>
        <stp>2</stp>
        <stp>002117</stp>
        <stp>1</stp>
        <tr r="D2798" s="1"/>
      </tp>
      <tp t="s">
        <v>文化传媒</v>
        <stp/>
        <stp>EM_S_INFO_INDEX_EM</stp>
        <stp>2</stp>
        <stp>002127</stp>
        <stp>1</stp>
        <tr r="D645" s="1"/>
      </tp>
      <tp t="s">
        <v>文化传媒</v>
        <stp/>
        <stp>EM_S_INFO_INDEX_EM</stp>
        <stp>2</stp>
        <stp>002137</stp>
        <stp>1</stp>
        <tr r="D1770" s="1"/>
      </tp>
      <tp t="s">
        <v>房地产</v>
        <stp/>
        <stp>EM_S_INFO_INDEX_EM</stp>
        <stp>2</stp>
        <stp>002147</stp>
        <stp>1</stp>
        <tr r="D3244" s="1"/>
      </tp>
      <tp t="s">
        <v>农林牧渔</v>
        <stp/>
        <stp>EM_S_INFO_INDEX_EM</stp>
        <stp>2</stp>
        <stp>002157</stp>
        <stp>1</stp>
        <tr r="D45" s="1"/>
      </tp>
      <tp t="s">
        <v>有色金属</v>
        <stp/>
        <stp>EM_S_INFO_INDEX_EM</stp>
        <stp>2</stp>
        <stp>002167</stp>
        <stp>1</stp>
        <tr r="D860" s="1"/>
      </tp>
      <tp t="s">
        <v>信息技术</v>
        <stp/>
        <stp>EM_S_INFO_INDEX_EM</stp>
        <stp>2</stp>
        <stp>002177</stp>
        <stp>1</stp>
        <tr r="D284" s="1"/>
      </tp>
      <tp t="s">
        <v>纺织服装</v>
        <stp/>
        <stp>EM_S_INFO_INDEX_EM</stp>
        <stp>2</stp>
        <stp>002687</stp>
        <stp>1</stp>
        <tr r="D2607" s="1"/>
      </tp>
      <tp t="s">
        <v>商贸零售</v>
        <stp/>
        <stp>EM_S_INFO_INDEX_EM</stp>
        <stp>2</stp>
        <stp>002697</stp>
        <stp>1</stp>
        <tr r="D629" s="1"/>
      </tp>
      <tp t="s">
        <v>文化传媒</v>
        <stp/>
        <stp>EM_S_INFO_INDEX_EM</stp>
        <stp>2</stp>
        <stp>002607</stp>
        <stp>1</stp>
        <tr r="D95" s="1"/>
      </tp>
      <tp t="s">
        <v>电气设备</v>
        <stp/>
        <stp>EM_S_INFO_INDEX_EM</stp>
        <stp>2</stp>
        <stp>002617</stp>
        <stp>1</stp>
        <tr r="D760" s="1"/>
      </tp>
      <tp t="s">
        <v>交通运输</v>
        <stp/>
        <stp>EM_S_INFO_INDEX_EM</stp>
        <stp>2</stp>
        <stp>002627</stp>
        <stp>1</stp>
        <tr r="D389" s="1"/>
      </tp>
      <tp t="s">
        <v>基础化工</v>
        <stp/>
        <stp>EM_S_INFO_INDEX_EM</stp>
        <stp>2</stp>
        <stp>002637</stp>
        <stp>1</stp>
        <tr r="D640" s="1"/>
      </tp>
      <tp t="s">
        <v>互联网</v>
        <stp/>
        <stp>EM_S_INFO_INDEX_EM</stp>
        <stp>2</stp>
        <stp>002647</stp>
        <stp>1</stp>
        <tr r="D963" s="1"/>
      </tp>
      <tp t="s">
        <v>互联网</v>
        <stp/>
        <stp>EM_S_INFO_INDEX_EM</stp>
        <stp>2</stp>
        <stp>002657</stp>
        <stp>1</stp>
        <tr r="D628" s="1"/>
      </tp>
      <tp t="s">
        <v>机械设备</v>
        <stp/>
        <stp>EM_S_INFO_INDEX_EM</stp>
        <stp>2</stp>
        <stp>002667</stp>
        <stp>1</stp>
        <tr r="D1882" s="1"/>
      </tp>
      <tp t="s">
        <v>家电</v>
        <stp/>
        <stp>EM_S_INFO_INDEX_EM</stp>
        <stp>2</stp>
        <stp>002677</stp>
        <stp>1</stp>
        <tr r="D839" s="1"/>
      </tp>
      <tp t="s">
        <v>机械设备</v>
        <stp/>
        <stp>EM_S_INFO_INDEX_EM</stp>
        <stp>2</stp>
        <stp>002787</stp>
        <stp>1</stp>
        <tr r="D1847" s="1"/>
      </tp>
      <tp t="s">
        <v>金融</v>
        <stp/>
        <stp>EM_S_INFO_INDEX_EM</stp>
        <stp>2</stp>
        <stp>002797</stp>
        <stp>1</stp>
        <tr r="D505" s="1"/>
      </tp>
      <tp t="s">
        <v>休闲、生活及专业服务</v>
        <stp/>
        <stp>EM_S_INFO_INDEX_EM</stp>
        <stp>2</stp>
        <stp>002707</stp>
        <stp>1</stp>
        <tr r="D2368" s="1"/>
      </tp>
      <tp t="s">
        <v>公用事业</v>
        <stp/>
        <stp>EM_S_INFO_INDEX_EM</stp>
        <stp>2</stp>
        <stp>002717</stp>
        <stp>1</stp>
        <tr r="D3355" s="1"/>
      </tp>
      <tp t="s">
        <v>医药生物</v>
        <stp/>
        <stp>EM_S_INFO_INDEX_EM</stp>
        <stp>2</stp>
        <stp>002727</stp>
        <stp>1</stp>
        <tr r="D946" s="1"/>
      </tp>
      <tp t="s">
        <v>医药生物</v>
        <stp/>
        <stp>EM_S_INFO_INDEX_EM</stp>
        <stp>2</stp>
        <stp>002737</stp>
        <stp>1</stp>
        <tr r="D2433" s="1"/>
      </tp>
      <tp t="s">
        <v>机械设备</v>
        <stp/>
        <stp>EM_S_INFO_INDEX_EM</stp>
        <stp>2</stp>
        <stp>002747</stp>
        <stp>1</stp>
        <tr r="D862" s="1"/>
      </tp>
      <tp t="s">
        <v>机械设备</v>
        <stp/>
        <stp>EM_S_INFO_INDEX_EM</stp>
        <stp>2</stp>
        <stp>002757</stp>
        <stp>1</stp>
        <tr r="D3322" s="1"/>
      </tp>
      <tp t="s">
        <v>电气设备</v>
        <stp/>
        <stp>EM_S_INFO_INDEX_EM</stp>
        <stp>2</stp>
        <stp>002767</stp>
        <stp>1</stp>
        <tr r="D1895" s="1"/>
      </tp>
      <tp t="s">
        <v>信息技术</v>
        <stp/>
        <stp>EM_S_INFO_INDEX_EM</stp>
        <stp>2</stp>
        <stp>002777</stp>
        <stp>1</stp>
        <tr r="D647" s="1"/>
      </tp>
      <tp t="s">
        <v>机械设备</v>
        <stp/>
        <stp>EM_S_INFO_INDEX_EM</stp>
        <stp>2</stp>
        <stp>002487</stp>
        <stp>1</stp>
        <tr r="D525" s="1"/>
      </tp>
      <tp t="s">
        <v>基础化工</v>
        <stp/>
        <stp>EM_S_INFO_INDEX_EM</stp>
        <stp>2</stp>
        <stp>002497</stp>
        <stp>1</stp>
        <tr r="D1848" s="1"/>
      </tp>
      <tp t="s">
        <v>基础化工</v>
        <stp/>
        <stp>EM_S_INFO_INDEX_EM</stp>
        <stp>2</stp>
        <stp>002407</stp>
        <stp>1</stp>
        <tr r="D1316" s="1"/>
      </tp>
      <tp t="s">
        <v>信息技术</v>
        <stp/>
        <stp>EM_S_INFO_INDEX_EM</stp>
        <stp>2</stp>
        <stp>002417</stp>
        <stp>1</stp>
        <tr r="D3078" s="1"/>
      </tp>
      <tp t="s">
        <v>基础化工</v>
        <stp/>
        <stp>EM_S_INFO_INDEX_EM</stp>
        <stp>2</stp>
        <stp>002427</stp>
        <stp>1</stp>
        <tr r="D3260" s="1"/>
      </tp>
      <tp t="s">
        <v>医药生物</v>
        <stp/>
        <stp>EM_S_INFO_INDEX_EM</stp>
        <stp>2</stp>
        <stp>002437</stp>
        <stp>1</stp>
        <tr r="D1992" s="1"/>
      </tp>
      <tp t="s">
        <v>互联网</v>
        <stp/>
        <stp>EM_S_INFO_INDEX_EM</stp>
        <stp>2</stp>
        <stp>002447</stp>
        <stp>1</stp>
        <tr r="D1388" s="1"/>
      </tp>
      <tp t="s">
        <v>建材</v>
        <stp/>
        <stp>EM_S_INFO_INDEX_EM</stp>
        <stp>2</stp>
        <stp>002457</stp>
        <stp>1</stp>
        <tr r="D2255" s="1"/>
      </tp>
      <tp t="s">
        <v>信息技术</v>
        <stp/>
        <stp>EM_S_INFO_INDEX_EM</stp>
        <stp>2</stp>
        <stp>002467</stp>
        <stp>1</stp>
        <tr r="D1888" s="1"/>
      </tp>
      <tp>
        <v>0</v>
        <stp/>
        <stp>EM_S_INFO_INDEX_EM</stp>
        <stp>2</stp>
        <stp>002477</stp>
        <stp>1</stp>
        <tr r="D3410" s="1"/>
      </tp>
      <tp t="s">
        <v>电子设备</v>
        <stp/>
        <stp>EM_S_INFO_INDEX_EM</stp>
        <stp>2</stp>
        <stp>002587</stp>
        <stp>1</stp>
        <tr r="D422" s="1"/>
      </tp>
      <tp t="s">
        <v>基础化工</v>
        <stp/>
        <stp>EM_S_INFO_INDEX_EM</stp>
        <stp>2</stp>
        <stp>002597</stp>
        <stp>1</stp>
        <tr r="D765" s="1"/>
      </tp>
      <tp t="s">
        <v>食品饮料</v>
        <stp/>
        <stp>EM_S_INFO_INDEX_EM</stp>
        <stp>2</stp>
        <stp>002507</stp>
        <stp>1</stp>
        <tr r="D1166" s="1"/>
      </tp>
      <tp t="s">
        <v>互联网</v>
        <stp/>
        <stp>EM_S_INFO_INDEX_EM</stp>
        <stp>2</stp>
        <stp>002517</stp>
        <stp>1</stp>
        <tr r="D3215" s="1"/>
      </tp>
      <tp t="s">
        <v>机械设备</v>
        <stp/>
        <stp>EM_S_INFO_INDEX_EM</stp>
        <stp>2</stp>
        <stp>002527</stp>
        <stp>1</stp>
        <tr r="D2484" s="1"/>
      </tp>
      <tp t="s">
        <v>交运设备</v>
        <stp/>
        <stp>EM_S_INFO_INDEX_EM</stp>
        <stp>2</stp>
        <stp>002537</stp>
        <stp>1</stp>
        <tr r="D3234" s="1"/>
      </tp>
      <tp t="s">
        <v>电子设备</v>
        <stp/>
        <stp>EM_S_INFO_INDEX_EM</stp>
        <stp>2</stp>
        <stp>002547</stp>
        <stp>1</stp>
        <tr r="D524" s="1"/>
      </tp>
      <tp t="s">
        <v>食品饮料</v>
        <stp/>
        <stp>EM_S_INFO_INDEX_EM</stp>
        <stp>2</stp>
        <stp>002557</stp>
        <stp>1</stp>
        <tr r="D276" s="1"/>
      </tp>
      <tp t="s">
        <v>农林牧渔</v>
        <stp/>
        <stp>EM_S_INFO_INDEX_EM</stp>
        <stp>2</stp>
        <stp>002567</stp>
        <stp>1</stp>
        <tr r="D485" s="1"/>
      </tp>
      <tp t="s">
        <v>信息技术</v>
        <stp/>
        <stp>EM_S_INFO_INDEX_EM</stp>
        <stp>2</stp>
        <stp>002577</stp>
        <stp>1</stp>
        <tr r="D919" s="1"/>
      </tp>
      <tp t="s">
        <v>建筑</v>
        <stp/>
        <stp>EM_S_INFO_INDEX_EM</stp>
        <stp>2</stp>
        <stp>002887</stp>
        <stp>1</stp>
        <tr r="D2528" s="1"/>
      </tp>
      <tp t="s">
        <v>信息技术</v>
        <stp/>
        <stp>EM_S_INFO_INDEX_EM</stp>
        <stp>2</stp>
        <stp>002897</stp>
        <stp>1</stp>
        <tr r="D887" s="1"/>
      </tp>
      <tp t="s">
        <v>金融</v>
        <stp/>
        <stp>EM_S_INFO_INDEX_EM</stp>
        <stp>2</stp>
        <stp>002807</stp>
        <stp>1</stp>
        <tr r="D2715" s="1"/>
      </tp>
      <tp t="s">
        <v>医药生物</v>
        <stp/>
        <stp>EM_S_INFO_INDEX_EM</stp>
        <stp>2</stp>
        <stp>002817</stp>
        <stp>1</stp>
        <tr r="D851" s="1"/>
      </tp>
      <tp t="s">
        <v>基础化工</v>
        <stp/>
        <stp>EM_S_INFO_INDEX_EM</stp>
        <stp>2</stp>
        <stp>002827</stp>
        <stp>1</stp>
        <tr r="D3229" s="1"/>
      </tp>
      <tp t="s">
        <v>机械设备</v>
        <stp/>
        <stp>EM_S_INFO_INDEX_EM</stp>
        <stp>2</stp>
        <stp>002837</stp>
        <stp>1</stp>
        <tr r="D1629" s="1"/>
      </tp>
      <tp t="s">
        <v>食品饮料</v>
        <stp/>
        <stp>EM_S_INFO_INDEX_EM</stp>
        <stp>2</stp>
        <stp>002847</stp>
        <stp>1</stp>
        <tr r="D368" s="1"/>
      </tp>
      <tp t="s">
        <v>机械设备</v>
        <stp/>
        <stp>EM_S_INFO_INDEX_EM</stp>
        <stp>2</stp>
        <stp>002857</stp>
        <stp>1</stp>
        <tr r="D2140" s="1"/>
      </tp>
      <tp t="s">
        <v>轻工制造</v>
        <stp/>
        <stp>EM_S_INFO_INDEX_EM</stp>
        <stp>2</stp>
        <stp>002867</stp>
        <stp>1</stp>
        <tr r="D3224" s="1"/>
      </tp>
      <tp t="s">
        <v>机械设备</v>
        <stp/>
        <stp>EM_S_INFO_INDEX_EM</stp>
        <stp>2</stp>
        <stp>002877</stp>
        <stp>1</stp>
        <tr r="D3315" s="1"/>
      </tp>
      <tp t="s">
        <v>医药生物</v>
        <stp/>
        <stp>EM_S_INFO_INDEX_EM</stp>
        <stp>2</stp>
        <stp>002907</stp>
        <stp>1</stp>
        <tr r="D2905" s="1"/>
      </tp>
      <tp t="s">
        <v>基础化工</v>
        <stp/>
        <stp>EM_S_INFO_INDEX_EM</stp>
        <stp>2</stp>
        <stp>002917</stp>
        <stp>1</stp>
        <tr r="D3192" s="1"/>
      </tp>
      <tp t="s">
        <v>电气设备</v>
        <stp/>
        <stp>EM_S_INFO_INDEX_EM</stp>
        <stp>2</stp>
        <stp>002927</stp>
        <stp>1</stp>
        <tr r="D3378" s="1"/>
      </tp>
      <tp t="s">
        <v>建筑</v>
        <stp/>
        <stp>EM_S_INFO_INDEX_EM</stp>
        <stp>2</stp>
        <stp>601226</stp>
        <stp>1</stp>
        <tr r="D1486" s="1"/>
      </tp>
      <tp>
        <v>0</v>
        <stp/>
        <stp>EM_S_INFO_INDEX_EM</stp>
        <stp>2</stp>
        <stp>601206</stp>
        <stp>1</stp>
        <tr r="D13" s="1"/>
      </tp>
      <tp t="s">
        <v>基础化工</v>
        <stp/>
        <stp>EM_S_INFO_INDEX_EM</stp>
        <stp>2</stp>
        <stp>601216</stp>
        <stp>1</stp>
        <tr r="D1321" s="1"/>
      </tp>
      <tp t="s">
        <v>商贸零售</v>
        <stp/>
        <stp>EM_S_INFO_INDEX_EM</stp>
        <stp>2</stp>
        <stp>601366</stp>
        <stp>1</stp>
        <tr r="D2886" s="1"/>
      </tp>
      <tp t="s">
        <v>交通运输</v>
        <stp/>
        <stp>EM_S_INFO_INDEX_EM</stp>
        <stp>2</stp>
        <stp>601326</stp>
        <stp>1</stp>
        <tr r="D2259" s="1"/>
      </tp>
      <tp t="s">
        <v>金融</v>
        <stp/>
        <stp>EM_S_INFO_INDEX_EM</stp>
        <stp>2</stp>
        <stp>601336</stp>
        <stp>1</stp>
        <tr r="D1427" s="1"/>
      </tp>
      <tp t="s">
        <v>商贸零售</v>
        <stp/>
        <stp>EM_S_INFO_INDEX_EM</stp>
        <stp>2</stp>
        <stp>601086</stp>
        <stp>1</stp>
        <tr r="D2246" s="1"/>
      </tp>
      <tp t="s">
        <v>金融</v>
        <stp/>
        <stp>EM_S_INFO_INDEX_EM</stp>
        <stp>2</stp>
        <stp>601066</stp>
        <stp>1</stp>
        <tr r="D31" s="1"/>
      </tp>
      <tp t="s">
        <v>交通运输</v>
        <stp/>
        <stp>EM_S_INFO_INDEX_EM</stp>
        <stp>2</stp>
        <stp>601006</stp>
        <stp>1</stp>
        <tr r="D2343" s="1"/>
      </tp>
      <tp t="s">
        <v>公用事业</v>
        <stp/>
        <stp>EM_S_INFO_INDEX_EM</stp>
        <stp>2</stp>
        <stp>601016</stp>
        <stp>1</stp>
        <tr r="D2133" s="1"/>
      </tp>
      <tp t="s">
        <v>建筑</v>
        <stp/>
        <stp>EM_S_INFO_INDEX_EM</stp>
        <stp>2</stp>
        <stp>601186</stp>
        <stp>1</stp>
        <tr r="D2665" s="1"/>
      </tp>
      <tp t="s">
        <v>金融</v>
        <stp/>
        <stp>EM_S_INFO_INDEX_EM</stp>
        <stp>2</stp>
        <stp>601166</stp>
        <stp>1</stp>
        <tr r="D877" s="1"/>
      </tp>
      <tp t="s">
        <v>电气设备</v>
        <stp/>
        <stp>EM_S_INFO_INDEX_EM</stp>
        <stp>2</stp>
        <stp>601126</stp>
        <stp>1</stp>
        <tr r="D1793" s="1"/>
      </tp>
      <tp t="s">
        <v>机械设备</v>
        <stp/>
        <stp>EM_S_INFO_INDEX_EM</stp>
        <stp>2</stp>
        <stp>601106</stp>
        <stp>1</stp>
        <tr r="D1844" s="1"/>
      </tp>
      <tp t="s">
        <v>商贸零售</v>
        <stp/>
        <stp>EM_S_INFO_INDEX_EM</stp>
        <stp>2</stp>
        <stp>601116</stp>
        <stp>1</stp>
        <tr r="D1294" s="1"/>
      </tp>
      <tp t="s">
        <v>交运设备</v>
        <stp/>
        <stp>EM_S_INFO_INDEX_EM</stp>
        <stp>2</stp>
        <stp>001696</stp>
        <stp>1</stp>
        <tr r="D863" s="1"/>
      </tp>
      <tp t="s">
        <v>化石能源</v>
        <stp/>
        <stp>EM_S_INFO_INDEX_EM</stp>
        <stp>2</stp>
        <stp>601666</stp>
        <stp>1</stp>
        <tr r="D1590" s="1"/>
      </tp>
      <tp t="s">
        <v>建材</v>
        <stp/>
        <stp>EM_S_INFO_INDEX_EM</stp>
        <stp>2</stp>
        <stp>601636</stp>
        <stp>1</stp>
        <tr r="D666" s="1"/>
      </tp>
      <tp t="s">
        <v>电气设备</v>
        <stp/>
        <stp>EM_S_INFO_INDEX_EM</stp>
        <stp>2</stp>
        <stp>601616</stp>
        <stp>1</stp>
        <tr r="D2516" s="1"/>
      </tp>
      <tp t="s">
        <v>交运设备</v>
        <stp/>
        <stp>EM_S_INFO_INDEX_EM</stp>
        <stp>2</stp>
        <stp>601766</stp>
        <stp>1</stp>
        <tr r="D3076" s="1"/>
      </tp>
      <tp t="s">
        <v>纺织服装</v>
        <stp/>
        <stp>EM_S_INFO_INDEX_EM</stp>
        <stp>2</stp>
        <stp>601566</stp>
        <stp>1</stp>
        <tr r="D2920" s="1"/>
      </tp>
      <tp t="s">
        <v>公用事业</v>
        <stp/>
        <stp>EM_S_INFO_INDEX_EM</stp>
        <stp>2</stp>
        <stp>001896</stp>
        <stp>1</stp>
        <tr r="D3602" s="1"/>
      </tp>
      <tp t="s">
        <v>建筑</v>
        <stp/>
        <stp>EM_S_INFO_INDEX_EM</stp>
        <stp>2</stp>
        <stp>601886</stp>
        <stp>1</stp>
        <tr r="D2479" s="1"/>
      </tp>
      <tp t="s">
        <v>交通运输</v>
        <stp/>
        <stp>EM_S_INFO_INDEX_EM</stp>
        <stp>2</stp>
        <stp>601866</stp>
        <stp>1</stp>
        <tr r="D1597" s="1"/>
      </tp>
      <tp t="s">
        <v>农林牧渔</v>
        <stp/>
        <stp>EM_S_INFO_INDEX_EM</stp>
        <stp>2</stp>
        <stp>601996</stp>
        <stp>1</stp>
        <tr r="D2340" s="1"/>
      </tp>
      <tp t="s">
        <v>基础化工</v>
        <stp/>
        <stp>EM_S_INFO_INDEX_EM</stp>
        <stp>2</stp>
        <stp>601966</stp>
        <stp>1</stp>
        <tr r="D385" s="1"/>
      </tp>
      <tp t="s">
        <v>电子设备</v>
        <stp/>
        <stp>EM_S_INFO_INDEX_EM</stp>
        <stp>2</stp>
        <stp>300296</stp>
        <stp>1</stp>
        <tr r="D2149" s="1"/>
      </tp>
      <tp t="s">
        <v>电气设备</v>
        <stp/>
        <stp>EM_S_INFO_INDEX_EM</stp>
        <stp>2</stp>
        <stp>300286</stp>
        <stp>1</stp>
        <tr r="D747" s="1"/>
      </tp>
      <tp>
        <v>0</v>
        <stp/>
        <stp>EM_S_INFO_INDEX_EM</stp>
        <stp>2</stp>
        <stp>600286</stp>
        <stp>1</stp>
        <tr r="D2299" s="1"/>
      </tp>
      <tp>
        <v>0</v>
        <stp/>
        <stp>EM_S_INFO_INDEX_EM</stp>
        <stp>2</stp>
        <stp>600296</stp>
        <stp>1</stp>
        <tr r="D2300" s="1"/>
      </tp>
      <tp t="s">
        <v>基础化工</v>
        <stp/>
        <stp>EM_S_INFO_INDEX_EM</stp>
        <stp>2</stp>
        <stp>300236</stp>
        <stp>1</stp>
        <tr r="D1622" s="1"/>
      </tp>
      <tp t="s">
        <v>房地产</v>
        <stp/>
        <stp>EM_S_INFO_INDEX_EM</stp>
        <stp>2</stp>
        <stp>600266</stp>
        <stp>1</stp>
        <tr r="D2129" s="1"/>
      </tp>
      <tp t="s">
        <v>互联网</v>
        <stp/>
        <stp>EM_S_INFO_INDEX_EM</stp>
        <stp>2</stp>
        <stp>300226</stp>
        <stp>1</stp>
        <tr r="D350" s="1"/>
      </tp>
      <tp t="s">
        <v>医药生物</v>
        <stp/>
        <stp>EM_S_INFO_INDEX_EM</stp>
        <stp>2</stp>
        <stp>600276</stp>
        <stp>1</stp>
        <tr r="D401" s="1"/>
      </tp>
      <tp t="s">
        <v>医药生物</v>
        <stp/>
        <stp>EM_S_INFO_INDEX_EM</stp>
        <stp>2</stp>
        <stp>300216</stp>
        <stp>1</stp>
        <tr r="D2361" s="1"/>
      </tp>
      <tp t="s">
        <v>房地产</v>
        <stp/>
        <stp>EM_S_INFO_INDEX_EM</stp>
        <stp>2</stp>
        <stp>600246</stp>
        <stp>1</stp>
        <tr r="D495" s="1"/>
      </tp>
      <tp t="s">
        <v>医药生物</v>
        <stp/>
        <stp>EM_S_INFO_INDEX_EM</stp>
        <stp>2</stp>
        <stp>300206</stp>
        <stp>1</stp>
        <tr r="D1176" s="1"/>
      </tp>
      <tp t="s">
        <v>化石能源</v>
        <stp/>
        <stp>EM_S_INFO_INDEX_EM</stp>
        <stp>2</stp>
        <stp>600256</stp>
        <stp>1</stp>
        <tr r="D2837" s="1"/>
      </tp>
      <tp t="s">
        <v>机械设备</v>
        <stp/>
        <stp>EM_S_INFO_INDEX_EM</stp>
        <stp>2</stp>
        <stp>300276</stp>
        <stp>1</stp>
        <tr r="D3092" s="1"/>
      </tp>
      <tp t="s">
        <v>基础化工</v>
        <stp/>
        <stp>EM_S_INFO_INDEX_EM</stp>
        <stp>2</stp>
        <stp>600226</stp>
        <stp>1</stp>
        <tr r="D1718" s="1"/>
      </tp>
      <tp t="s">
        <v>建筑</v>
        <stp/>
        <stp>EM_S_INFO_INDEX_EM</stp>
        <stp>2</stp>
        <stp>300266</stp>
        <stp>1</stp>
        <tr r="D2378" s="1"/>
      </tp>
      <tp t="s">
        <v>公用事业</v>
        <stp/>
        <stp>EM_S_INFO_INDEX_EM</stp>
        <stp>2</stp>
        <stp>600236</stp>
        <stp>1</stp>
        <tr r="D2882" s="1"/>
      </tp>
      <tp t="s">
        <v>电子设备</v>
        <stp/>
        <stp>EM_S_INFO_INDEX_EM</stp>
        <stp>2</stp>
        <stp>300256</stp>
        <stp>1</stp>
        <tr r="D154" s="1"/>
      </tp>
      <tp t="s">
        <v>有色金属</v>
        <stp/>
        <stp>EM_S_INFO_INDEX_EM</stp>
        <stp>2</stp>
        <stp>600206</stp>
        <stp>1</stp>
        <tr r="D232" s="1"/>
      </tp>
      <tp t="s">
        <v>医药生物</v>
        <stp/>
        <stp>EM_S_INFO_INDEX_EM</stp>
        <stp>2</stp>
        <stp>300246</stp>
        <stp>1</stp>
        <tr r="D740" s="1"/>
      </tp>
      <tp t="s">
        <v>医药生物</v>
        <stp/>
        <stp>EM_S_INFO_INDEX_EM</stp>
        <stp>2</stp>
        <stp>600216</stp>
        <stp>1</stp>
        <tr r="D597" s="1"/>
      </tp>
      <tp t="s">
        <v>医药生物</v>
        <stp/>
        <stp>EM_S_INFO_INDEX_EM</stp>
        <stp>2</stp>
        <stp>300396</stp>
        <stp>1</stp>
        <tr r="D723" s="1"/>
      </tp>
      <tp t="s">
        <v>信息技术</v>
        <stp/>
        <stp>EM_S_INFO_INDEX_EM</stp>
        <stp>2</stp>
        <stp>300386</stp>
        <stp>1</stp>
        <tr r="D696" s="1"/>
      </tp>
      <tp t="s">
        <v>交运设备</v>
        <stp/>
        <stp>EM_S_INFO_INDEX_EM</stp>
        <stp>2</stp>
        <stp>600386</stp>
        <stp>1</stp>
        <tr r="D1578" s="1"/>
      </tp>
      <tp t="s">
        <v>公用事业</v>
        <stp/>
        <stp>EM_S_INFO_INDEX_EM</stp>
        <stp>2</stp>
        <stp>600396</stp>
        <stp>1</stp>
        <tr r="D2422" s="1"/>
      </tp>
      <tp t="s">
        <v>文化传媒</v>
        <stp/>
        <stp>EM_S_INFO_INDEX_EM</stp>
        <stp>2</stp>
        <stp>300336</stp>
        <stp>1</stp>
        <tr r="D2614" s="1"/>
      </tp>
      <tp t="s">
        <v>有色金属</v>
        <stp/>
        <stp>EM_S_INFO_INDEX_EM</stp>
        <stp>2</stp>
        <stp>600366</stp>
        <stp>1</stp>
        <tr r="D846" s="1"/>
      </tp>
      <tp t="s">
        <v>医药生物</v>
        <stp/>
        <stp>EM_S_INFO_INDEX_EM</stp>
        <stp>2</stp>
        <stp>300326</stp>
        <stp>1</stp>
        <tr r="D483" s="1"/>
      </tp>
      <tp t="s">
        <v>房地产</v>
        <stp/>
        <stp>EM_S_INFO_INDEX_EM</stp>
        <stp>2</stp>
        <stp>600376</stp>
        <stp>1</stp>
        <tr r="D1649" s="1"/>
      </tp>
      <tp t="s">
        <v>电气设备</v>
        <stp/>
        <stp>EM_S_INFO_INDEX_EM</stp>
        <stp>2</stp>
        <stp>300316</stp>
        <stp>1</stp>
        <tr r="D480" s="1"/>
      </tp>
      <tp t="s">
        <v>基础化工</v>
        <stp/>
        <stp>EM_S_INFO_INDEX_EM</stp>
        <stp>2</stp>
        <stp>600346</stp>
        <stp>1</stp>
        <tr r="D1252" s="1"/>
      </tp>
      <tp t="s">
        <v>机械设备</v>
        <stp/>
        <stp>EM_S_INFO_INDEX_EM</stp>
        <stp>2</stp>
        <stp>300306</stp>
        <stp>1</stp>
        <tr r="D300" s="1"/>
      </tp>
      <tp t="s">
        <v>轻工制造</v>
        <stp/>
        <stp>EM_S_INFO_INDEX_EM</stp>
        <stp>2</stp>
        <stp>600356</stp>
        <stp>1</stp>
        <tr r="D712" s="1"/>
      </tp>
      <tp t="s">
        <v>公用事业</v>
        <stp/>
        <stp>EM_S_INFO_INDEX_EM</stp>
        <stp>2</stp>
        <stp>300376</stp>
        <stp>1</stp>
        <tr r="D1822" s="1"/>
      </tp>
      <tp t="s">
        <v>建材</v>
        <stp/>
        <stp>EM_S_INFO_INDEX_EM</stp>
        <stp>2</stp>
        <stp>600326</stp>
        <stp>1</stp>
        <tr r="D1643" s="1"/>
      </tp>
      <tp t="s">
        <v>信息技术</v>
        <stp/>
        <stp>EM_S_INFO_INDEX_EM</stp>
        <stp>2</stp>
        <stp>300366</stp>
        <stp>1</stp>
        <tr r="D702" s="1"/>
      </tp>
      <tp t="s">
        <v>家电</v>
        <stp/>
        <stp>EM_S_INFO_INDEX_EM</stp>
        <stp>2</stp>
        <stp>600336</stp>
        <stp>1</stp>
        <tr r="D936" s="1"/>
      </tp>
      <tp t="s">
        <v>电气设备</v>
        <stp/>
        <stp>EM_S_INFO_INDEX_EM</stp>
        <stp>2</stp>
        <stp>300356</stp>
        <stp>1</stp>
        <tr r="D792" s="1"/>
      </tp>
      <tp t="s">
        <v>商贸零售</v>
        <stp/>
        <stp>EM_S_INFO_INDEX_EM</stp>
        <stp>2</stp>
        <stp>600306</stp>
        <stp>1</stp>
        <tr r="D2801" s="1"/>
      </tp>
      <tp t="s">
        <v>电子设备</v>
        <stp/>
        <stp>EM_S_INFO_INDEX_EM</stp>
        <stp>2</stp>
        <stp>300346</stp>
        <stp>1</stp>
        <tr r="D214" s="1"/>
      </tp>
      <tp t="s">
        <v>国防与装备</v>
        <stp/>
        <stp>EM_S_INFO_INDEX_EM</stp>
        <stp>2</stp>
        <stp>600316</stp>
        <stp>1</stp>
        <tr r="D937" s="1"/>
      </tp>
      <tp t="s">
        <v>化石能源</v>
        <stp/>
        <stp>EM_S_INFO_INDEX_EM</stp>
        <stp>2</stp>
        <stp>000096</stp>
        <stp>1</stp>
        <tr r="D1146" s="1"/>
      </tp>
      <tp t="s">
        <v>信息技术</v>
        <stp/>
        <stp>EM_S_INFO_INDEX_EM</stp>
        <stp>2</stp>
        <stp>300096</stp>
        <stp>1</stp>
        <tr r="D1359" s="1"/>
      </tp>
      <tp t="s">
        <v>医药生物</v>
        <stp/>
        <stp>EM_S_INFO_INDEX_EM</stp>
        <stp>2</stp>
        <stp>300086</stp>
        <stp>1</stp>
        <tr r="D3069" s="1"/>
      </tp>
      <tp t="s">
        <v>轻工制造</v>
        <stp/>
        <stp>EM_S_INFO_INDEX_EM</stp>
        <stp>2</stp>
        <stp>600086</stp>
        <stp>1</stp>
        <tr r="D3319" s="1"/>
      </tp>
      <tp t="s">
        <v>基础化工</v>
        <stp/>
        <stp>EM_S_INFO_INDEX_EM</stp>
        <stp>2</stp>
        <stp>600096</stp>
        <stp>1</stp>
        <tr r="D2005" s="1"/>
      </tp>
      <tp t="s">
        <v>房地产</v>
        <stp/>
        <stp>EM_S_INFO_INDEX_EM</stp>
        <stp>2</stp>
        <stp>000006</stp>
        <stp>1</stp>
        <tr r="D1889" s="1"/>
      </tp>
      <tp t="s">
        <v>信息技术</v>
        <stp/>
        <stp>EM_S_INFO_INDEX_EM</stp>
        <stp>2</stp>
        <stp>300036</stp>
        <stp>1</stp>
        <tr r="D1798" s="1"/>
      </tp>
      <tp t="s">
        <v>交运设备</v>
        <stp/>
        <stp>EM_S_INFO_INDEX_EM</stp>
        <stp>2</stp>
        <stp>600066</stp>
        <stp>1</stp>
        <tr r="D1296" s="1"/>
      </tp>
      <tp t="s">
        <v>家电</v>
        <stp/>
        <stp>EM_S_INFO_INDEX_EM</stp>
        <stp>2</stp>
        <stp>000016</stp>
        <stp>1</stp>
        <tr r="D767" s="1"/>
      </tp>
      <tp t="s">
        <v>医药生物</v>
        <stp/>
        <stp>EM_S_INFO_INDEX_EM</stp>
        <stp>2</stp>
        <stp>300026</stp>
        <stp>1</stp>
        <tr r="D1577" s="1"/>
      </tp>
      <tp t="s">
        <v>农林牧渔</v>
        <stp/>
        <stp>EM_S_INFO_INDEX_EM</stp>
        <stp>2</stp>
        <stp>600076</stp>
        <stp>1</stp>
        <tr r="D2007" s="1"/>
      </tp>
      <tp t="s">
        <v>轻工制造</v>
        <stp/>
        <stp>EM_S_INFO_INDEX_EM</stp>
        <stp>2</stp>
        <stp>000026</stp>
        <stp>1</stp>
        <tr r="D462" s="1"/>
      </tp>
      <tp t="s">
        <v>医药生物</v>
        <stp/>
        <stp>EM_S_INFO_INDEX_EM</stp>
        <stp>2</stp>
        <stp>300016</stp>
        <stp>1</stp>
        <tr r="D993" s="1"/>
      </tp>
      <tp t="s">
        <v>房地产</v>
        <stp/>
        <stp>EM_S_INFO_INDEX_EM</stp>
        <stp>2</stp>
        <stp>000036</stp>
        <stp>1</stp>
        <tr r="D3122" s="1"/>
      </tp>
      <tp t="s">
        <v>医药生物</v>
        <stp/>
        <stp>EM_S_INFO_INDEX_EM</stp>
        <stp>2</stp>
        <stp>300006</stp>
        <stp>1</stp>
        <tr r="D461" s="1"/>
      </tp>
      <tp t="s">
        <v>医药生物</v>
        <stp/>
        <stp>EM_S_INFO_INDEX_EM</stp>
        <stp>2</stp>
        <stp>600056</stp>
        <stp>1</stp>
        <tr r="D2165" s="1"/>
      </tp>
      <tp t="s">
        <v>房地产</v>
        <stp/>
        <stp>EM_S_INFO_INDEX_EM</stp>
        <stp>2</stp>
        <stp>000046</stp>
        <stp>1</stp>
        <tr r="D2270" s="1"/>
      </tp>
      <tp t="s">
        <v>电子设备</v>
        <stp/>
        <stp>EM_S_INFO_INDEX_EM</stp>
        <stp>2</stp>
        <stp>300076</stp>
        <stp>1</stp>
        <tr r="D594" s="1"/>
      </tp>
      <tp t="s">
        <v>交通运输</v>
        <stp/>
        <stp>EM_S_INFO_INDEX_EM</stp>
        <stp>2</stp>
        <stp>600026</stp>
        <stp>1</stp>
        <tr r="D703" s="1"/>
      </tp>
      <tp t="s">
        <v>休闲、生活及专业服务</v>
        <stp/>
        <stp>EM_S_INFO_INDEX_EM</stp>
        <stp>2</stp>
        <stp>000056</stp>
        <stp>1</stp>
        <tr r="D2827" s="1"/>
      </tp>
      <tp t="s">
        <v>机械设备</v>
        <stp/>
        <stp>EM_S_INFO_INDEX_EM</stp>
        <stp>2</stp>
        <stp>300066</stp>
        <stp>1</stp>
        <tr r="D710" s="1"/>
      </tp>
      <tp t="s">
        <v>金融</v>
        <stp/>
        <stp>EM_S_INFO_INDEX_EM</stp>
        <stp>2</stp>
        <stp>600036</stp>
        <stp>1</stp>
        <tr r="D562" s="1"/>
      </tp>
      <tp t="s">
        <v>信息技术</v>
        <stp/>
        <stp>EM_S_INFO_INDEX_EM</stp>
        <stp>2</stp>
        <stp>000066</stp>
        <stp>1</stp>
        <tr r="D34" s="1"/>
      </tp>
      <tp t="s">
        <v>公用事业</v>
        <stp/>
        <stp>EM_S_INFO_INDEX_EM</stp>
        <stp>2</stp>
        <stp>300056</stp>
        <stp>1</stp>
        <tr r="D1201" s="1"/>
      </tp>
      <tp t="s">
        <v>交运设备</v>
        <stp/>
        <stp>EM_S_INFO_INDEX_EM</stp>
        <stp>2</stp>
        <stp>600006</stp>
        <stp>1</stp>
        <tr r="D1054" s="1"/>
      </tp>
      <tp t="s">
        <v>电子设备</v>
        <stp/>
        <stp>EM_S_INFO_INDEX_EM</stp>
        <stp>2</stp>
        <stp>300046</stp>
        <stp>1</stp>
        <tr r="D595" s="1"/>
      </tp>
      <tp t="s">
        <v>金融</v>
        <stp/>
        <stp>EM_S_INFO_INDEX_EM</stp>
        <stp>2</stp>
        <stp>600016</stp>
        <stp>1</stp>
        <tr r="D1730" s="1"/>
      </tp>
      <tp t="s">
        <v>基础化工</v>
        <stp/>
        <stp>EM_S_INFO_INDEX_EM</stp>
        <stp>2</stp>
        <stp>300196</stp>
        <stp>1</stp>
        <tr r="D904" s="1"/>
      </tp>
      <tp>
        <v>0</v>
        <stp/>
        <stp>EM_S_INFO_INDEX_EM</stp>
        <stp>2</stp>
        <stp>300186</stp>
        <stp>1</stp>
        <tr r="D2281" s="1"/>
      </tp>
      <tp t="s">
        <v>食品饮料</v>
        <stp/>
        <stp>EM_S_INFO_INDEX_EM</stp>
        <stp>2</stp>
        <stp>600186</stp>
        <stp>1</stp>
        <tr r="D709" s="1"/>
      </tp>
      <tp t="s">
        <v>医药生物</v>
        <stp/>
        <stp>EM_S_INFO_INDEX_EM</stp>
        <stp>2</stp>
        <stp>600196</stp>
        <stp>1</stp>
        <tr r="D1604" s="1"/>
      </tp>
      <tp t="s">
        <v>电子设备</v>
        <stp/>
        <stp>EM_S_INFO_INDEX_EM</stp>
        <stp>2</stp>
        <stp>300136</stp>
        <stp>1</stp>
        <tr r="D145" s="1"/>
      </tp>
      <tp t="s">
        <v>交运设备</v>
        <stp/>
        <stp>EM_S_INFO_INDEX_EM</stp>
        <stp>2</stp>
        <stp>600166</stp>
        <stp>1</stp>
        <tr r="D1515" s="1"/>
      </tp>
      <tp t="s">
        <v>机械设备</v>
        <stp/>
        <stp>EM_S_INFO_INDEX_EM</stp>
        <stp>2</stp>
        <stp>300126</stp>
        <stp>1</stp>
        <tr r="D1497" s="1"/>
      </tp>
      <tp t="s">
        <v>基础化工</v>
        <stp/>
        <stp>EM_S_INFO_INDEX_EM</stp>
        <stp>2</stp>
        <stp>600176</stp>
        <stp>1</stp>
        <tr r="D1596" s="1"/>
      </tp>
      <tp t="s">
        <v>电气设备</v>
        <stp/>
        <stp>EM_S_INFO_INDEX_EM</stp>
        <stp>2</stp>
        <stp>300116</stp>
        <stp>1</stp>
        <tr r="D911" s="1"/>
      </tp>
      <tp t="s">
        <v>纺织服装</v>
        <stp/>
        <stp>EM_S_INFO_INDEX_EM</stp>
        <stp>2</stp>
        <stp>600146</stp>
        <stp>1</stp>
        <tr r="D192" s="1"/>
      </tp>
      <tp t="s">
        <v>食品饮料</v>
        <stp/>
        <stp>EM_S_INFO_INDEX_EM</stp>
        <stp>2</stp>
        <stp>300106</stp>
        <stp>1</stp>
        <tr r="D1125" s="1"/>
      </tp>
      <tp t="s">
        <v>纺织服装</v>
        <stp/>
        <stp>EM_S_INFO_INDEX_EM</stp>
        <stp>2</stp>
        <stp>600156</stp>
        <stp>1</stp>
        <tr r="D1708" s="1"/>
      </tp>
      <tp t="s">
        <v>交运设备</v>
        <stp/>
        <stp>EM_S_INFO_INDEX_EM</stp>
        <stp>2</stp>
        <stp>300176</stp>
        <stp>1</stp>
        <tr r="D3402" s="1"/>
      </tp>
      <tp t="s">
        <v>钢铁</v>
        <stp/>
        <stp>EM_S_INFO_INDEX_EM</stp>
        <stp>2</stp>
        <stp>600126</stp>
        <stp>1</stp>
        <tr r="D1866" s="1"/>
      </tp>
      <tp t="s">
        <v>文化传媒</v>
        <stp/>
        <stp>EM_S_INFO_INDEX_EM</stp>
        <stp>2</stp>
        <stp>000156</stp>
        <stp>1</stp>
        <tr r="D834" s="1"/>
      </tp>
      <tp t="s">
        <v>信息技术</v>
        <stp/>
        <stp>EM_S_INFO_INDEX_EM</stp>
        <stp>2</stp>
        <stp>300166</stp>
        <stp>1</stp>
        <tr r="D1061" s="1"/>
      </tp>
      <tp t="s">
        <v>文化传媒</v>
        <stp/>
        <stp>EM_S_INFO_INDEX_EM</stp>
        <stp>2</stp>
        <stp>600136</stp>
        <stp>1</stp>
        <tr r="D571" s="1"/>
      </tp>
      <tp t="s">
        <v>金融</v>
        <stp/>
        <stp>EM_S_INFO_INDEX_EM</stp>
        <stp>2</stp>
        <stp>000166</stp>
        <stp>1</stp>
        <tr r="D3413" s="1"/>
      </tp>
      <tp t="s">
        <v>公用事业</v>
        <stp/>
        <stp>EM_S_INFO_INDEX_EM</stp>
        <stp>2</stp>
        <stp>300156</stp>
        <stp>1</stp>
        <tr r="D3381" s="1"/>
      </tp>
      <tp t="s">
        <v>交通运输</v>
        <stp/>
        <stp>EM_S_INFO_INDEX_EM</stp>
        <stp>2</stp>
        <stp>600106</stp>
        <stp>1</stp>
        <tr r="D2193" s="1"/>
      </tp>
      <tp t="s">
        <v>食品饮料</v>
        <stp/>
        <stp>EM_S_INFO_INDEX_EM</stp>
        <stp>2</stp>
        <stp>300146</stp>
        <stp>1</stp>
        <tr r="D2523" s="1"/>
      </tp>
      <tp t="s">
        <v>公用事业</v>
        <stp/>
        <stp>EM_S_INFO_INDEX_EM</stp>
        <stp>2</stp>
        <stp>600116</stp>
        <stp>1</stp>
        <tr r="D2123" s="1"/>
      </tp>
      <tp t="s">
        <v>金融</v>
        <stp/>
        <stp>EM_S_INFO_INDEX_EM</stp>
        <stp>2</stp>
        <stp>000686</stp>
        <stp>1</stp>
        <tr r="D3508" s="1"/>
      </tp>
      <tp t="s">
        <v>国防与装备</v>
        <stp/>
        <stp>EM_S_INFO_INDEX_EM</stp>
        <stp>2</stp>
        <stp>300696</stp>
        <stp>1</stp>
        <tr r="D2215" s="1"/>
      </tp>
      <tp t="s">
        <v>电子设备</v>
        <stp/>
        <stp>EM_S_INFO_INDEX_EM</stp>
        <stp>2</stp>
        <stp>300686</stp>
        <stp>1</stp>
        <tr r="D205" s="1"/>
      </tp>
      <tp t="s">
        <v>交运设备</v>
        <stp/>
        <stp>EM_S_INFO_INDEX_EM</stp>
        <stp>2</stp>
        <stp>600686</stp>
        <stp>1</stp>
        <tr r="D2161" s="1"/>
      </tp>
      <tp t="s">
        <v>金融</v>
        <stp/>
        <stp>EM_S_INFO_INDEX_EM</stp>
        <stp>2</stp>
        <stp>600696</stp>
        <stp>1</stp>
        <tr r="D71" s="1"/>
      </tp>
      <tp t="s">
        <v>互联网</v>
        <stp/>
        <stp>EM_S_INFO_INDEX_EM</stp>
        <stp>2</stp>
        <stp>000606</stp>
        <stp>1</stp>
        <tr r="D2652" s="1"/>
      </tp>
      <tp t="s">
        <v>医药生物</v>
        <stp/>
        <stp>EM_S_INFO_INDEX_EM</stp>
        <stp>2</stp>
        <stp>300636</stp>
        <stp>1</stp>
        <tr r="D456" s="1"/>
      </tp>
      <tp t="s">
        <v>机械设备</v>
        <stp/>
        <stp>EM_S_INFO_INDEX_EM</stp>
        <stp>2</stp>
        <stp>600666</stp>
        <stp>1</stp>
        <tr r="D3218" s="1"/>
      </tp>
      <tp t="s">
        <v>房地产</v>
        <stp/>
        <stp>EM_S_INFO_INDEX_EM</stp>
        <stp>2</stp>
        <stp>000616</stp>
        <stp>1</stp>
        <tr r="D2228" s="1"/>
      </tp>
      <tp t="s">
        <v>电气设备</v>
        <stp/>
        <stp>EM_S_INFO_INDEX_EM</stp>
        <stp>2</stp>
        <stp>300626</stp>
        <stp>1</stp>
        <tr r="D2555" s="1"/>
      </tp>
      <tp t="s">
        <v>交运设备</v>
        <stp/>
        <stp>EM_S_INFO_INDEX_EM</stp>
        <stp>2</stp>
        <stp>600676</stp>
        <stp>1</stp>
        <tr r="D2345" s="1"/>
      </tp>
      <tp t="s">
        <v>商贸零售</v>
        <stp/>
        <stp>EM_S_INFO_INDEX_EM</stp>
        <stp>2</stp>
        <stp>000626</stp>
        <stp>1</stp>
        <tr r="D3488" s="1"/>
      </tp>
      <tp t="s">
        <v>轻工制造</v>
        <stp/>
        <stp>EM_S_INFO_INDEX_EM</stp>
        <stp>2</stp>
        <stp>300616</stp>
        <stp>1</stp>
        <tr r="D1091" s="1"/>
      </tp>
      <tp>
        <v>0</v>
        <stp/>
        <stp>EM_S_INFO_INDEX_EM</stp>
        <stp>2</stp>
        <stp>600646</stp>
        <stp>1</stp>
        <tr r="D2311" s="1"/>
      </tp>
      <tp t="s">
        <v>电子设备</v>
        <stp/>
        <stp>EM_S_INFO_INDEX_EM</stp>
        <stp>2</stp>
        <stp>000636</stp>
        <stp>1</stp>
        <tr r="D714" s="1"/>
      </tp>
      <tp t="s">
        <v>机械设备</v>
        <stp/>
        <stp>EM_S_INFO_INDEX_EM</stp>
        <stp>2</stp>
        <stp>300606</stp>
        <stp>1</stp>
        <tr r="D1432" s="1"/>
      </tp>
      <tp>
        <v>0</v>
        <stp/>
        <stp>EM_S_INFO_INDEX_EM</stp>
        <stp>2</stp>
        <stp>600656</stp>
        <stp>1</stp>
        <tr r="D2312" s="1"/>
      </tp>
      <tp t="s">
        <v>医药生物</v>
        <stp/>
        <stp>EM_S_INFO_INDEX_EM</stp>
        <stp>2</stp>
        <stp>300676</stp>
        <stp>1</stp>
        <tr r="D1637" s="1"/>
      </tp>
      <tp t="s">
        <v>交运设备</v>
        <stp/>
        <stp>EM_S_INFO_INDEX_EM</stp>
        <stp>2</stp>
        <stp>600626</stp>
        <stp>1</stp>
        <tr r="D1387" s="1"/>
      </tp>
      <tp t="s">
        <v>房地产</v>
        <stp/>
        <stp>EM_S_INFO_INDEX_EM</stp>
        <stp>2</stp>
        <stp>000656</stp>
        <stp>1</stp>
        <tr r="D1182" s="1"/>
      </tp>
      <tp t="s">
        <v>电子设备</v>
        <stp/>
        <stp>EM_S_INFO_INDEX_EM</stp>
        <stp>2</stp>
        <stp>300666</stp>
        <stp>1</stp>
        <tr r="D2037" s="1"/>
      </tp>
      <tp t="s">
        <v>基础化工</v>
        <stp/>
        <stp>EM_S_INFO_INDEX_EM</stp>
        <stp>2</stp>
        <stp>600636</stp>
        <stp>1</stp>
        <tr r="D2618" s="1"/>
      </tp>
      <tp t="s">
        <v>机械设备</v>
        <stp/>
        <stp>EM_S_INFO_INDEX_EM</stp>
        <stp>2</stp>
        <stp>000666</stp>
        <stp>1</stp>
        <tr r="D1969" s="1"/>
      </tp>
      <tp t="s">
        <v>信息技术</v>
        <stp/>
        <stp>EM_S_INFO_INDEX_EM</stp>
        <stp>2</stp>
        <stp>300656</stp>
        <stp>1</stp>
        <tr r="D2217" s="1"/>
      </tp>
      <tp t="s">
        <v>房地产</v>
        <stp/>
        <stp>EM_S_INFO_INDEX_EM</stp>
        <stp>2</stp>
        <stp>600606</stp>
        <stp>1</stp>
        <tr r="D1591" s="1"/>
      </tp>
      <tp t="s">
        <v>文化传媒</v>
        <stp/>
        <stp>EM_S_INFO_INDEX_EM</stp>
        <stp>2</stp>
        <stp>000676</stp>
        <stp>1</stp>
        <tr r="D2517" s="1"/>
      </tp>
      <tp>
        <v>0</v>
        <stp/>
        <stp>EM_S_INFO_INDEX_EM</stp>
        <stp>2</stp>
        <stp>300646</stp>
        <stp>1</stp>
        <tr r="D10" s="1"/>
      </tp>
      <tp t="s">
        <v>食品饮料</v>
        <stp/>
        <stp>EM_S_INFO_INDEX_EM</stp>
        <stp>2</stp>
        <stp>600616</stp>
        <stp>1</stp>
        <tr r="D2035" s="1"/>
      </tp>
      <tp t="s">
        <v>建材</v>
        <stp/>
        <stp>EM_S_INFO_INDEX_EM</stp>
        <stp>2</stp>
        <stp>000786</stp>
        <stp>1</stp>
        <tr r="D216" s="1"/>
      </tp>
      <tp t="s">
        <v>休闲、生活及专业服务</v>
        <stp/>
        <stp>EM_S_INFO_INDEX_EM</stp>
        <stp>2</stp>
        <stp>000796</stp>
        <stp>1</stp>
        <tr r="D776" s="1"/>
      </tp>
      <tp>
        <v>0</v>
        <stp/>
        <stp>EM_S_INFO_INDEX_EM</stp>
        <stp>2</stp>
        <stp>600786</stp>
        <stp>1</stp>
        <tr r="D2322" s="1"/>
      </tp>
      <tp t="s">
        <v>基础化工</v>
        <stp/>
        <stp>EM_S_INFO_INDEX_EM</stp>
        <stp>2</stp>
        <stp>600796</stp>
        <stp>1</stp>
        <tr r="D1931" s="1"/>
      </tp>
      <tp t="s">
        <v>电子设备</v>
        <stp/>
        <stp>EM_S_INFO_INDEX_EM</stp>
        <stp>2</stp>
        <stp>300736</stp>
        <stp>1</stp>
        <tr r="D3372" s="1"/>
      </tp>
      <tp t="s">
        <v>有色金属</v>
        <stp/>
        <stp>EM_S_INFO_INDEX_EM</stp>
        <stp>2</stp>
        <stp>600766</stp>
        <stp>1</stp>
        <tr r="D2671" s="1"/>
      </tp>
      <tp t="s">
        <v>食品饮料</v>
        <stp/>
        <stp>EM_S_INFO_INDEX_EM</stp>
        <stp>2</stp>
        <stp>000716</stp>
        <stp>1</stp>
        <tr r="D812" s="1"/>
      </tp>
      <tp t="s">
        <v>电子设备</v>
        <stp/>
        <stp>EM_S_INFO_INDEX_EM</stp>
        <stp>2</stp>
        <stp>300726</stp>
        <stp>1</stp>
        <tr r="D613" s="1"/>
      </tp>
      <tp t="s">
        <v>信息技术</v>
        <stp/>
        <stp>EM_S_INFO_INDEX_EM</stp>
        <stp>2</stp>
        <stp>600776</stp>
        <stp>1</stp>
        <tr r="D255" s="1"/>
      </tp>
      <tp t="s">
        <v>纺织服装</v>
        <stp/>
        <stp>EM_S_INFO_INDEX_EM</stp>
        <stp>2</stp>
        <stp>000726</stp>
        <stp>1</stp>
        <tr r="D2606" s="1"/>
      </tp>
      <tp t="s">
        <v>基础化工</v>
        <stp/>
        <stp>EM_S_INFO_INDEX_EM</stp>
        <stp>2</stp>
        <stp>300716</stp>
        <stp>1</stp>
        <tr r="D2689" s="1"/>
      </tp>
      <tp t="s">
        <v>基础化工</v>
        <stp/>
        <stp>EM_S_INFO_INDEX_EM</stp>
        <stp>2</stp>
        <stp>600746</stp>
        <stp>1</stp>
        <tr r="D1254" s="1"/>
      </tp>
      <tp t="s">
        <v>房地产</v>
        <stp/>
        <stp>EM_S_INFO_INDEX_EM</stp>
        <stp>2</stp>
        <stp>000736</stp>
        <stp>1</stp>
        <tr r="D2610" s="1"/>
      </tp>
      <tp t="s">
        <v>电子设备</v>
        <stp/>
        <stp>EM_S_INFO_INDEX_EM</stp>
        <stp>2</stp>
        <stp>300706</stp>
        <stp>1</stp>
        <tr r="D1440" s="1"/>
      </tp>
      <tp t="s">
        <v>信息技术</v>
        <stp/>
        <stp>EM_S_INFO_INDEX_EM</stp>
        <stp>2</stp>
        <stp>600756</stp>
        <stp>1</stp>
        <tr r="D829" s="1"/>
      </tp>
      <tp t="s">
        <v>公用事业</v>
        <stp/>
        <stp>EM_S_INFO_INDEX_EM</stp>
        <stp>2</stp>
        <stp>600726</stp>
        <stp>1</stp>
        <tr r="D3137" s="1"/>
      </tp>
      <tp t="s">
        <v>医药生物</v>
        <stp/>
        <stp>EM_S_INFO_INDEX_EM</stp>
        <stp>2</stp>
        <stp>000756</stp>
        <stp>1</stp>
        <tr r="D945" s="1"/>
      </tp>
      <tp t="s">
        <v>房地产</v>
        <stp/>
        <stp>EM_S_INFO_INDEX_EM</stp>
        <stp>2</stp>
        <stp>600736</stp>
        <stp>1</stp>
        <tr r="D1764" s="1"/>
      </tp>
      <tp t="s">
        <v>医药生物</v>
        <stp/>
        <stp>EM_S_INFO_INDEX_EM</stp>
        <stp>2</stp>
        <stp>000766</stp>
        <stp>1</stp>
        <tr r="D2592" s="1"/>
      </tp>
      <tp t="s">
        <v>休闲、生活及专业服务</v>
        <stp/>
        <stp>EM_S_INFO_INDEX_EM</stp>
        <stp>2</stp>
        <stp>600706</stp>
        <stp>1</stp>
        <tr r="D2912" s="1"/>
      </tp>
      <tp t="s">
        <v>金融</v>
        <stp/>
        <stp>EM_S_INFO_INDEX_EM</stp>
        <stp>2</stp>
        <stp>000776</stp>
        <stp>1</stp>
        <tr r="D3534" s="1"/>
      </tp>
      <tp t="s">
        <v>休闲、生活及专业服务</v>
        <stp/>
        <stp>EM_S_INFO_INDEX_EM</stp>
        <stp>2</stp>
        <stp>300746</stp>
        <stp>1</stp>
        <tr r="D3170" s="1"/>
      </tp>
      <tp t="s">
        <v>房地产</v>
        <stp/>
        <stp>EM_S_INFO_INDEX_EM</stp>
        <stp>2</stp>
        <stp>600716</stp>
        <stp>1</stp>
        <tr r="D954" s="1"/>
      </tp>
      <tp t="s">
        <v>信息技术</v>
        <stp/>
        <stp>EM_S_INFO_INDEX_EM</stp>
        <stp>2</stp>
        <stp>300496</stp>
        <stp>1</stp>
        <tr r="D156" s="1"/>
      </tp>
      <tp t="s">
        <v>机械设备</v>
        <stp/>
        <stp>EM_S_INFO_INDEX_EM</stp>
        <stp>2</stp>
        <stp>300486</stp>
        <stp>1</stp>
        <tr r="D459" s="1"/>
      </tp>
      <tp t="s">
        <v>基础化工</v>
        <stp/>
        <stp>EM_S_INFO_INDEX_EM</stp>
        <stp>2</stp>
        <stp>600486</stp>
        <stp>1</stp>
        <tr r="D235" s="1"/>
      </tp>
      <tp t="s">
        <v>建筑</v>
        <stp/>
        <stp>EM_S_INFO_INDEX_EM</stp>
        <stp>2</stp>
        <stp>600496</stp>
        <stp>1</stp>
        <tr r="D1831" s="1"/>
      </tp>
      <tp>
        <v>0</v>
        <stp/>
        <stp>EM_S_INFO_INDEX_EM</stp>
        <stp>2</stp>
        <stp>000406</stp>
        <stp>1</stp>
        <tr r="D3417" s="1"/>
      </tp>
      <tp t="s">
        <v>医药生物</v>
        <stp/>
        <stp>EM_S_INFO_INDEX_EM</stp>
        <stp>2</stp>
        <stp>300436</stp>
        <stp>1</stp>
        <tr r="D879" s="1"/>
      </tp>
      <tp t="s">
        <v>房地产</v>
        <stp/>
        <stp>EM_S_INFO_INDEX_EM</stp>
        <stp>2</stp>
        <stp>600466</stp>
        <stp>1</stp>
        <tr r="D865" s="1"/>
      </tp>
      <tp t="s">
        <v>金融</v>
        <stp/>
        <stp>EM_S_INFO_INDEX_EM</stp>
        <stp>2</stp>
        <stp>000416</stp>
        <stp>1</stp>
        <tr r="D3421" s="1"/>
      </tp>
      <tp t="s">
        <v>文化传媒</v>
        <stp/>
        <stp>EM_S_INFO_INDEX_EM</stp>
        <stp>2</stp>
        <stp>300426</stp>
        <stp>1</stp>
        <tr r="D2691" s="1"/>
      </tp>
      <tp t="s">
        <v>信息技术</v>
        <stp/>
        <stp>EM_S_INFO_INDEX_EM</stp>
        <stp>2</stp>
        <stp>600476</stp>
        <stp>1</stp>
        <tr r="D1132" s="1"/>
      </tp>
      <tp t="s">
        <v>有色金属</v>
        <stp/>
        <stp>EM_S_INFO_INDEX_EM</stp>
        <stp>2</stp>
        <stp>000426</stp>
        <stp>1</stp>
        <tr r="D2266" s="1"/>
      </tp>
      <tp t="s">
        <v>机械设备</v>
        <stp/>
        <stp>EM_S_INFO_INDEX_EM</stp>
        <stp>2</stp>
        <stp>300416</stp>
        <stp>1</stp>
        <tr r="D301" s="1"/>
      </tp>
      <tp t="s">
        <v>信息技术</v>
        <stp/>
        <stp>EM_S_INFO_INDEX_EM</stp>
        <stp>2</stp>
        <stp>600446</stp>
        <stp>1</stp>
        <tr r="D127" s="1"/>
      </tp>
      <tp t="s">
        <v>医药生物</v>
        <stp/>
        <stp>EM_S_INFO_INDEX_EM</stp>
        <stp>2</stp>
        <stp>300406</stp>
        <stp>1</stp>
        <tr r="D400" s="1"/>
      </tp>
      <tp t="s">
        <v>有色金属</v>
        <stp/>
        <stp>EM_S_INFO_INDEX_EM</stp>
        <stp>2</stp>
        <stp>600456</stp>
        <stp>1</stp>
        <tr r="D393" s="1"/>
      </tp>
      <tp t="s">
        <v>电子设备</v>
        <stp/>
        <stp>EM_S_INFO_INDEX_EM</stp>
        <stp>2</stp>
        <stp>300476</stp>
        <stp>1</stp>
        <tr r="D744" s="1"/>
      </tp>
      <tp t="s">
        <v>基础化工</v>
        <stp/>
        <stp>EM_S_INFO_INDEX_EM</stp>
        <stp>2</stp>
        <stp>600426</stp>
        <stp>1</stp>
        <tr r="D417" s="1"/>
      </tp>
      <tp t="s">
        <v>电气设备</v>
        <stp/>
        <stp>EM_S_INFO_INDEX_EM</stp>
        <stp>2</stp>
        <stp>300466</stp>
        <stp>1</stp>
        <tr r="D1519" s="1"/>
      </tp>
      <tp t="s">
        <v>医药生物</v>
        <stp/>
        <stp>EM_S_INFO_INDEX_EM</stp>
        <stp>2</stp>
        <stp>600436</stp>
        <stp>1</stp>
        <tr r="D1060" s="1"/>
      </tp>
      <tp t="s">
        <v>电子设备</v>
        <stp/>
        <stp>EM_S_INFO_INDEX_EM</stp>
        <stp>2</stp>
        <stp>300456</stp>
        <stp>1</stp>
        <tr r="D1723" s="1"/>
      </tp>
      <tp t="s">
        <v>电气设备</v>
        <stp/>
        <stp>EM_S_INFO_INDEX_EM</stp>
        <stp>2</stp>
        <stp>600406</stp>
        <stp>1</stp>
        <tr r="D1471" s="1"/>
      </tp>
      <tp t="s">
        <v>有色金属</v>
        <stp/>
        <stp>EM_S_INFO_INDEX_EM</stp>
        <stp>2</stp>
        <stp>300446</stp>
        <stp>1</stp>
        <tr r="D1334" s="1"/>
      </tp>
      <tp t="s">
        <v>商贸零售</v>
        <stp/>
        <stp>EM_S_INFO_INDEX_EM</stp>
        <stp>2</stp>
        <stp>600416</stp>
        <stp>1</stp>
        <tr r="D795" s="1"/>
      </tp>
      <tp t="s">
        <v>信息技术</v>
        <stp/>
        <stp>EM_S_INFO_INDEX_EM</stp>
        <stp>2</stp>
        <stp>000586</stp>
        <stp>1</stp>
        <tr r="D3468" s="1"/>
      </tp>
      <tp t="s">
        <v>食品饮料</v>
        <stp/>
        <stp>EM_S_INFO_INDEX_EM</stp>
        <stp>2</stp>
        <stp>000596</stp>
        <stp>1</stp>
        <tr r="D77" s="1"/>
      </tp>
      <tp t="s">
        <v>基础化工</v>
        <stp/>
        <stp>EM_S_INFO_INDEX_EM</stp>
        <stp>2</stp>
        <stp>300596</stp>
        <stp>1</stp>
        <tr r="D1350" s="1"/>
      </tp>
      <tp t="s">
        <v>基础化工</v>
        <stp/>
        <stp>EM_S_INFO_INDEX_EM</stp>
        <stp>2</stp>
        <stp>300586</stp>
        <stp>1</stp>
        <tr r="D117" s="1"/>
      </tp>
      <tp t="s">
        <v>建材</v>
        <stp/>
        <stp>EM_S_INFO_INDEX_EM</stp>
        <stp>2</stp>
        <stp>600586</stp>
        <stp>1</stp>
        <tr r="D2118" s="1"/>
      </tp>
      <tp t="s">
        <v>基础化工</v>
        <stp/>
        <stp>EM_S_INFO_INDEX_EM</stp>
        <stp>2</stp>
        <stp>600596</stp>
        <stp>1</stp>
        <tr r="D2764" s="1"/>
      </tp>
      <tp t="s">
        <v>有色金属</v>
        <stp/>
        <stp>EM_S_INFO_INDEX_EM</stp>
        <stp>2</stp>
        <stp>000506</stp>
        <stp>1</stp>
        <tr r="D3433" s="1"/>
      </tp>
      <tp t="s">
        <v>建筑</v>
        <stp/>
        <stp>EM_S_INFO_INDEX_EM</stp>
        <stp>2</stp>
        <stp>300536</stp>
        <stp>1</stp>
        <tr r="D2931" s="1"/>
      </tp>
      <tp t="s">
        <v>医药生物</v>
        <stp/>
        <stp>EM_S_INFO_INDEX_EM</stp>
        <stp>2</stp>
        <stp>600566</stp>
        <stp>1</stp>
        <tr r="D3221" s="1"/>
      </tp>
      <tp t="s">
        <v>医药生物</v>
        <stp/>
        <stp>EM_S_INFO_INDEX_EM</stp>
        <stp>2</stp>
        <stp>000516</stp>
        <stp>1</stp>
        <tr r="D3439" s="1"/>
      </tp>
      <tp t="s">
        <v>纺织服装</v>
        <stp/>
        <stp>EM_S_INFO_INDEX_EM</stp>
        <stp>2</stp>
        <stp>300526</stp>
        <stp>1</stp>
        <tr r="D21" s="1"/>
      </tp>
      <tp t="s">
        <v>文化传媒</v>
        <stp/>
        <stp>EM_S_INFO_INDEX_EM</stp>
        <stp>2</stp>
        <stp>600576</stp>
        <stp>1</stp>
        <tr r="D1411" s="1"/>
      </tp>
      <tp t="s">
        <v>文化传媒</v>
        <stp/>
        <stp>EM_S_INFO_INDEX_EM</stp>
        <stp>2</stp>
        <stp>000526</stp>
        <stp>1</stp>
        <tr r="D325" s="1"/>
      </tp>
      <tp t="s">
        <v>电子设备</v>
        <stp/>
        <stp>EM_S_INFO_INDEX_EM</stp>
        <stp>2</stp>
        <stp>300516</stp>
        <stp>1</stp>
        <tr r="D1820" s="1"/>
      </tp>
      <tp t="s">
        <v>化石能源</v>
        <stp/>
        <stp>EM_S_INFO_INDEX_EM</stp>
        <stp>2</stp>
        <stp>600546</stp>
        <stp>1</stp>
        <tr r="D191" s="1"/>
      </tp>
      <tp t="s">
        <v>电子设备</v>
        <stp/>
        <stp>EM_S_INFO_INDEX_EM</stp>
        <stp>2</stp>
        <stp>000536</stp>
        <stp>1</stp>
        <tr r="D3447" s="1"/>
      </tp>
      <tp t="s">
        <v>建筑</v>
        <stp/>
        <stp>EM_S_INFO_INDEX_EM</stp>
        <stp>2</stp>
        <stp>300506</stp>
        <stp>1</stp>
        <tr r="D3320" s="1"/>
      </tp>
      <tp t="s">
        <v>综合</v>
        <stp/>
        <stp>EM_S_INFO_INDEX_EM</stp>
        <stp>2</stp>
        <stp>600556</stp>
        <stp>1</stp>
        <tr r="D210" s="1"/>
      </tp>
      <tp t="s">
        <v>公用事业</v>
        <stp/>
        <stp>EM_S_INFO_INDEX_EM</stp>
        <stp>2</stp>
        <stp>000546</stp>
        <stp>1</stp>
        <tr r="D1381" s="1"/>
      </tp>
      <tp t="s">
        <v>基础化工</v>
        <stp/>
        <stp>EM_S_INFO_INDEX_EM</stp>
        <stp>2</stp>
        <stp>300576</stp>
        <stp>1</stp>
        <tr r="D161" s="1"/>
      </tp>
      <tp t="s">
        <v>机械设备</v>
        <stp/>
        <stp>EM_S_INFO_INDEX_EM</stp>
        <stp>2</stp>
        <stp>600526</stp>
        <stp>1</stp>
        <tr r="D1544" s="1"/>
      </tp>
      <tp>
        <v>0</v>
        <stp/>
        <stp>EM_S_INFO_INDEX_EM</stp>
        <stp>2</stp>
        <stp>000556</stp>
        <stp>1</stp>
        <tr r="D3453" s="1"/>
      </tp>
      <tp t="s">
        <v>电子设备</v>
        <stp/>
        <stp>EM_S_INFO_INDEX_EM</stp>
        <stp>2</stp>
        <stp>300566</stp>
        <stp>1</stp>
        <tr r="D215" s="1"/>
      </tp>
      <tp t="s">
        <v>信息技术</v>
        <stp/>
        <stp>EM_S_INFO_INDEX_EM</stp>
        <stp>2</stp>
        <stp>600536</stp>
        <stp>1</stp>
        <tr r="D32" s="1"/>
      </tp>
      <tp t="s">
        <v>医药生物</v>
        <stp/>
        <stp>EM_S_INFO_INDEX_EM</stp>
        <stp>2</stp>
        <stp>000566</stp>
        <stp>1</stp>
        <tr r="D1499" s="1"/>
      </tp>
      <tp t="s">
        <v>信息技术</v>
        <stp/>
        <stp>EM_S_INFO_INDEX_EM</stp>
        <stp>2</stp>
        <stp>300556</stp>
        <stp>1</stp>
        <tr r="D2073" s="1"/>
      </tp>
      <tp t="s">
        <v>农林牧渔</v>
        <stp/>
        <stp>EM_S_INFO_INDEX_EM</stp>
        <stp>2</stp>
        <stp>600506</stp>
        <stp>1</stp>
        <tr r="D2132" s="1"/>
      </tp>
      <tp t="s">
        <v>食品饮料</v>
        <stp/>
        <stp>EM_S_INFO_INDEX_EM</stp>
        <stp>2</stp>
        <stp>000576</stp>
        <stp>1</stp>
        <tr r="D1024" s="1"/>
      </tp>
      <tp t="s">
        <v>电子设备</v>
        <stp/>
        <stp>EM_S_INFO_INDEX_EM</stp>
        <stp>2</stp>
        <stp>300546</stp>
        <stp>1</stp>
        <tr r="D1654" s="1"/>
      </tp>
      <tp t="s">
        <v>有色金属</v>
        <stp/>
        <stp>EM_S_INFO_INDEX_EM</stp>
        <stp>2</stp>
        <stp>600516</stp>
        <stp>1</stp>
        <tr r="D3163" s="1"/>
      </tp>
      <tp t="s">
        <v>房地产</v>
        <stp/>
        <stp>EM_S_INFO_INDEX_EM</stp>
        <stp>2</stp>
        <stp>000886</stp>
        <stp>1</stp>
        <tr r="D3562" s="1"/>
      </tp>
      <tp t="s">
        <v>公用事业</v>
        <stp/>
        <stp>EM_S_INFO_INDEX_EM</stp>
        <stp>2</stp>
        <stp>600886</stp>
        <stp>1</stp>
        <tr r="D1548" s="1"/>
      </tp>
      <tp t="s">
        <v>医药生物</v>
        <stp/>
        <stp>EM_S_INFO_INDEX_EM</stp>
        <stp>2</stp>
        <stp>600896</stp>
        <stp>1</stp>
        <tr r="D1511" s="1"/>
      </tp>
      <tp t="s">
        <v>电气设备</v>
        <stp/>
        <stp>EM_S_INFO_INDEX_EM</stp>
        <stp>2</stp>
        <stp>000806</stp>
        <stp>1</stp>
        <tr r="D3545" s="1"/>
      </tp>
      <tp t="s">
        <v>食品饮料</v>
        <stp/>
        <stp>EM_S_INFO_INDEX_EM</stp>
        <stp>2</stp>
        <stp>600866</stp>
        <stp>1</stp>
        <tr r="D736" s="1"/>
      </tp>
      <tp t="s">
        <v>机械设备</v>
        <stp/>
        <stp>EM_S_INFO_INDEX_EM</stp>
        <stp>2</stp>
        <stp>000816</stp>
        <stp>1</stp>
        <tr r="D3547" s="1"/>
      </tp>
      <tp t="s">
        <v>建材</v>
        <stp/>
        <stp>EM_S_INFO_INDEX_EM</stp>
        <stp>2</stp>
        <stp>600876</stp>
        <stp>1</stp>
        <tr r="D598" s="1"/>
      </tp>
      <tp t="s">
        <v>公用事业</v>
        <stp/>
        <stp>EM_S_INFO_INDEX_EM</stp>
        <stp>2</stp>
        <stp>000826</stp>
        <stp>1</stp>
        <tr r="D2803" s="1"/>
      </tp>
      <tp t="s">
        <v>建筑</v>
        <stp/>
        <stp>EM_S_INFO_INDEX_EM</stp>
        <stp>2</stp>
        <stp>600846</stp>
        <stp>1</stp>
        <tr r="D959" s="1"/>
      </tp>
      <tp t="s">
        <v>信息技术</v>
        <stp/>
        <stp>EM_S_INFO_INDEX_EM</stp>
        <stp>2</stp>
        <stp>000836</stp>
        <stp>1</stp>
        <tr r="D2534" s="1"/>
      </tp>
      <tp t="s">
        <v>公用事业</v>
        <stp/>
        <stp>EM_S_INFO_INDEX_EM</stp>
        <stp>2</stp>
        <stp>600856</stp>
        <stp>1</stp>
        <tr r="D3278" s="1"/>
      </tp>
      <tp t="s">
        <v>商贸零售</v>
        <stp/>
        <stp>EM_S_INFO_INDEX_EM</stp>
        <stp>2</stp>
        <stp>600826</stp>
        <stp>1</stp>
        <tr r="D1328" s="1"/>
      </tp>
      <tp t="s">
        <v>机械设备</v>
        <stp/>
        <stp>EM_S_INFO_INDEX_EM</stp>
        <stp>2</stp>
        <stp>000856</stp>
        <stp>1</stp>
        <tr r="D3157" s="1"/>
      </tp>
      <tp t="s">
        <v>轻工制造</v>
        <stp/>
        <stp>EM_S_INFO_INDEX_EM</stp>
        <stp>2</stp>
        <stp>600836</stp>
        <stp>1</stp>
        <tr r="D857" s="1"/>
      </tp>
      <tp>
        <v>0</v>
        <stp/>
        <stp>EM_S_INFO_INDEX_EM</stp>
        <stp>2</stp>
        <stp>000866</stp>
        <stp>1</stp>
        <tr r="D3558" s="1"/>
      </tp>
      <tp>
        <v>0</v>
        <stp/>
        <stp>EM_S_INFO_INDEX_EM</stp>
        <stp>2</stp>
        <stp>600806</stp>
        <stp>1</stp>
        <tr r="D2326" s="1"/>
      </tp>
      <tp t="s">
        <v>农林牧渔</v>
        <stp/>
        <stp>EM_S_INFO_INDEX_EM</stp>
        <stp>2</stp>
        <stp>000876</stp>
        <stp>1</stp>
        <tr r="D64" s="1"/>
      </tp>
      <tp t="s">
        <v>金融</v>
        <stp/>
        <stp>EM_S_INFO_INDEX_EM</stp>
        <stp>2</stp>
        <stp>600816</stp>
        <stp>1</stp>
        <tr r="D2137" s="1"/>
      </tp>
      <tp t="s">
        <v>交运设备</v>
        <stp/>
        <stp>EM_S_INFO_INDEX_EM</stp>
        <stp>2</stp>
        <stp>000996</stp>
        <stp>1</stp>
        <tr r="D1113" s="1"/>
      </tp>
      <tp t="s">
        <v>互联网</v>
        <stp/>
        <stp>EM_S_INFO_INDEX_EM</stp>
        <stp>2</stp>
        <stp>600986</stp>
        <stp>1</stp>
        <tr r="D1246" s="1"/>
      </tp>
      <tp t="s">
        <v>文化传媒</v>
        <stp/>
        <stp>EM_S_INFO_INDEX_EM</stp>
        <stp>2</stp>
        <stp>600996</stp>
        <stp>1</stp>
        <tr r="D1043" s="1"/>
      </tp>
      <tp t="s">
        <v>商贸零售</v>
        <stp/>
        <stp>EM_S_INFO_INDEX_EM</stp>
        <stp>2</stp>
        <stp>000906</stp>
        <stp>1</stp>
        <tr r="D1291" s="1"/>
      </tp>
      <tp t="s">
        <v>轻工制造</v>
        <stp/>
        <stp>EM_S_INFO_INDEX_EM</stp>
        <stp>2</stp>
        <stp>600966</stp>
        <stp>1</stp>
        <tr r="D326" s="1"/>
      </tp>
      <tp>
        <v>0</v>
        <stp/>
        <stp>EM_S_INFO_INDEX_EM</stp>
        <stp>2</stp>
        <stp>000916</stp>
        <stp>1</stp>
        <tr r="D3574" s="1"/>
      </tp>
      <tp t="s">
        <v>医药生物</v>
        <stp/>
        <stp>EM_S_INFO_INDEX_EM</stp>
        <stp>2</stp>
        <stp>600976</stp>
        <stp>1</stp>
        <tr r="D1228" s="1"/>
      </tp>
      <tp t="s">
        <v>房地产</v>
        <stp/>
        <stp>EM_S_INFO_INDEX_EM</stp>
        <stp>2</stp>
        <stp>000926</stp>
        <stp>1</stp>
        <tr r="D3578" s="1"/>
      </tp>
      <tp t="s">
        <v>基础化工</v>
        <stp/>
        <stp>EM_S_INFO_INDEX_EM</stp>
        <stp>2</stp>
        <stp>000936</stp>
        <stp>1</stp>
        <tr r="D953" s="1"/>
      </tp>
      <tp t="s">
        <v>金融</v>
        <stp/>
        <stp>EM_S_INFO_INDEX_EM</stp>
        <stp>2</stp>
        <stp>600926</stp>
        <stp>1</stp>
        <tr r="D1142" s="1"/>
      </tp>
      <tp>
        <v>0</v>
        <stp/>
        <stp>EM_S_INFO_INDEX_EM</stp>
        <stp>2</stp>
        <stp>000956</stp>
        <stp>1</stp>
        <tr r="D3586" s="1"/>
      </tp>
      <tp t="s">
        <v>文化传媒</v>
        <stp/>
        <stp>EM_S_INFO_INDEX_EM</stp>
        <stp>2</stp>
        <stp>600936</stp>
        <stp>1</stp>
        <tr r="D2127" s="1"/>
      </tp>
      <tp t="s">
        <v>公用事业</v>
        <stp/>
        <stp>EM_S_INFO_INDEX_EM</stp>
        <stp>2</stp>
        <stp>000966</stp>
        <stp>1</stp>
        <tr r="D869" s="1"/>
      </tp>
      <tp t="s">
        <v>交运设备</v>
        <stp/>
        <stp>EM_S_INFO_INDEX_EM</stp>
        <stp>2</stp>
        <stp>000976</stp>
        <stp>1</stp>
        <tr r="D3591" s="1"/>
      </tp>
      <tp t="s">
        <v>交运设备</v>
        <stp/>
        <stp>EM_S_INFO_INDEX_EM</stp>
        <stp>2</stp>
        <stp>603286</stp>
        <stp>1</stp>
        <tr r="D1812" s="1"/>
      </tp>
      <tp t="s">
        <v>基础化工</v>
        <stp/>
        <stp>EM_S_INFO_INDEX_EM</stp>
        <stp>2</stp>
        <stp>603266</stp>
        <stp>1</stp>
        <tr r="D2948" s="1"/>
      </tp>
      <tp t="s">
        <v>轻工制造</v>
        <stp/>
        <stp>EM_S_INFO_INDEX_EM</stp>
        <stp>2</stp>
        <stp>603226</stp>
        <stp>1</stp>
        <tr r="D1365" s="1"/>
      </tp>
      <tp t="s">
        <v>电子设备</v>
        <stp/>
        <stp>EM_S_INFO_INDEX_EM</stp>
        <stp>2</stp>
        <stp>603386</stp>
        <stp>1</stp>
        <tr r="D2198" s="1"/>
      </tp>
      <tp t="s">
        <v>电气设备</v>
        <stp/>
        <stp>EM_S_INFO_INDEX_EM</stp>
        <stp>2</stp>
        <stp>603396</stp>
        <stp>1</stp>
        <tr r="D3014" s="1"/>
      </tp>
      <tp t="s">
        <v>家电</v>
        <stp/>
        <stp>EM_S_INFO_INDEX_EM</stp>
        <stp>2</stp>
        <stp>603366</stp>
        <stp>1</stp>
        <tr r="D1104" s="1"/>
      </tp>
      <tp t="s">
        <v>机械设备</v>
        <stp/>
        <stp>EM_S_INFO_INDEX_EM</stp>
        <stp>2</stp>
        <stp>603356</stp>
        <stp>1</stp>
        <tr r="D3040" s="1"/>
      </tp>
      <tp t="s">
        <v>轻工制造</v>
        <stp/>
        <stp>EM_S_INFO_INDEX_EM</stp>
        <stp>2</stp>
        <stp>603326</stp>
        <stp>1</stp>
        <tr r="D798" s="1"/>
      </tp>
      <tp t="s">
        <v>农林牧渔</v>
        <stp/>
        <stp>EM_S_INFO_INDEX_EM</stp>
        <stp>2</stp>
        <stp>603336</stp>
        <stp>1</stp>
        <tr r="D2819" s="1"/>
      </tp>
      <tp t="s">
        <v>交运设备</v>
        <stp/>
        <stp>EM_S_INFO_INDEX_EM</stp>
        <stp>2</stp>
        <stp>603306</stp>
        <stp>1</stp>
        <tr r="D2468" s="1"/>
      </tp>
      <tp t="s">
        <v>建筑</v>
        <stp/>
        <stp>EM_S_INFO_INDEX_EM</stp>
        <stp>2</stp>
        <stp>603316</stp>
        <stp>1</stp>
        <tr r="D1325" s="1"/>
      </tp>
      <tp t="s">
        <v>基础化工</v>
        <stp/>
        <stp>EM_S_INFO_INDEX_EM</stp>
        <stp>2</stp>
        <stp>603086</stp>
        <stp>1</stp>
        <tr r="D1630" s="1"/>
      </tp>
      <tp t="s">
        <v>文化传媒</v>
        <stp/>
        <stp>EM_S_INFO_INDEX_EM</stp>
        <stp>2</stp>
        <stp>603096</stp>
        <stp>1</stp>
        <tr r="D2758" s="1"/>
      </tp>
      <tp t="s">
        <v>机械设备</v>
        <stp/>
        <stp>EM_S_INFO_INDEX_EM</stp>
        <stp>2</stp>
        <stp>603066</stp>
        <stp>1</stp>
        <tr r="D1845" s="1"/>
      </tp>
      <tp t="s">
        <v>机械设备</v>
        <stp/>
        <stp>EM_S_INFO_INDEX_EM</stp>
        <stp>2</stp>
        <stp>603076</stp>
        <stp>1</stp>
        <tr r="D2382" s="1"/>
      </tp>
      <tp t="s">
        <v>交通运输</v>
        <stp/>
        <stp>EM_S_INFO_INDEX_EM</stp>
        <stp>2</stp>
        <stp>603056</stp>
        <stp>1</stp>
        <tr r="D3254" s="1"/>
      </tp>
      <tp t="s">
        <v>基础化工</v>
        <stp/>
        <stp>EM_S_INFO_INDEX_EM</stp>
        <stp>2</stp>
        <stp>603026</stp>
        <stp>1</stp>
        <tr r="D220" s="1"/>
      </tp>
      <tp t="s">
        <v>机械设备</v>
        <stp/>
        <stp>EM_S_INFO_INDEX_EM</stp>
        <stp>2</stp>
        <stp>603036</stp>
        <stp>1</stp>
        <tr r="D2651" s="1"/>
      </tp>
      <tp t="s">
        <v>交运设备</v>
        <stp/>
        <stp>EM_S_INFO_INDEX_EM</stp>
        <stp>2</stp>
        <stp>603006</stp>
        <stp>1</stp>
        <tr r="D1371" s="1"/>
      </tp>
      <tp t="s">
        <v>电气设备</v>
        <stp/>
        <stp>EM_S_INFO_INDEX_EM</stp>
        <stp>2</stp>
        <stp>603016</stp>
        <stp>1</stp>
        <tr r="D2520" s="1"/>
      </tp>
      <tp t="s">
        <v>电子设备</v>
        <stp/>
        <stp>EM_S_INFO_INDEX_EM</stp>
        <stp>2</stp>
        <stp>603186</stp>
        <stp>1</stp>
        <tr r="D82" s="1"/>
      </tp>
      <tp t="s">
        <v>纺织服装</v>
        <stp/>
        <stp>EM_S_INFO_INDEX_EM</stp>
        <stp>2</stp>
        <stp>603196</stp>
        <stp>1</stp>
        <tr r="D3158" s="1"/>
      </tp>
      <tp t="s">
        <v>交运设备</v>
        <stp/>
        <stp>EM_S_INFO_INDEX_EM</stp>
        <stp>2</stp>
        <stp>603166</stp>
        <stp>1</stp>
        <tr r="D1347" s="1"/>
      </tp>
      <tp t="s">
        <v>食品饮料</v>
        <stp/>
        <stp>EM_S_INFO_INDEX_EM</stp>
        <stp>2</stp>
        <stp>603156</stp>
        <stp>1</stp>
        <tr r="D3226" s="1"/>
      </tp>
      <tp t="s">
        <v>机械设备</v>
        <stp/>
        <stp>EM_S_INFO_INDEX_EM</stp>
        <stp>2</stp>
        <stp>603126</stp>
        <stp>1</stp>
        <tr r="D2549" s="1"/>
      </tp>
      <tp t="s">
        <v>休闲、生活及专业服务</v>
        <stp/>
        <stp>EM_S_INFO_INDEX_EM</stp>
        <stp>2</stp>
        <stp>603136</stp>
        <stp>1</stp>
        <tr r="D2787" s="1"/>
      </tp>
      <tp t="s">
        <v>金融</v>
        <stp/>
        <stp>EM_S_INFO_INDEX_EM</stp>
        <stp>2</stp>
        <stp>603106</stp>
        <stp>1</stp>
        <tr r="D2923" s="1"/>
      </tp>
      <tp t="s">
        <v>纺织服装</v>
        <stp/>
        <stp>EM_S_INFO_INDEX_EM</stp>
        <stp>2</stp>
        <stp>603116</stp>
        <stp>1</stp>
        <tr r="D2418" s="1"/>
      </tp>
      <tp t="s">
        <v>机械设备</v>
        <stp/>
        <stp>EM_S_INFO_INDEX_EM</stp>
        <stp>2</stp>
        <stp>603686</stp>
        <stp>1</stp>
        <tr r="D2229" s="1"/>
      </tp>
      <tp t="s">
        <v>食品饮料</v>
        <stp/>
        <stp>EM_S_INFO_INDEX_EM</stp>
        <stp>2</stp>
        <stp>603696</stp>
        <stp>1</stp>
        <tr r="D2853" s="1"/>
      </tp>
      <tp t="s">
        <v>机械设备</v>
        <stp/>
        <stp>EM_S_INFO_INDEX_EM</stp>
        <stp>2</stp>
        <stp>603666</stp>
        <stp>1</stp>
        <tr r="D575" s="1"/>
      </tp>
      <tp t="s">
        <v>医药生物</v>
        <stp/>
        <stp>EM_S_INFO_INDEX_EM</stp>
        <stp>2</stp>
        <stp>603676</stp>
        <stp>1</stp>
        <tr r="D2673" s="1"/>
      </tp>
      <tp t="s">
        <v>机械设备</v>
        <stp/>
        <stp>EM_S_INFO_INDEX_EM</stp>
        <stp>2</stp>
        <stp>603656</stp>
        <stp>1</stp>
        <tr r="D1868" s="1"/>
      </tp>
      <tp t="s">
        <v>机械设备</v>
        <stp/>
        <stp>EM_S_INFO_INDEX_EM</stp>
        <stp>2</stp>
        <stp>603626</stp>
        <stp>1</stp>
        <tr r="D770" s="1"/>
      </tp>
      <tp t="s">
        <v>信息技术</v>
        <stp/>
        <stp>EM_S_INFO_INDEX_EM</stp>
        <stp>2</stp>
        <stp>603636</stp>
        <stp>1</stp>
        <tr r="D1377" s="1"/>
      </tp>
      <tp t="s">
        <v>电气设备</v>
        <stp/>
        <stp>EM_S_INFO_INDEX_EM</stp>
        <stp>2</stp>
        <stp>603606</stp>
        <stp>1</stp>
        <tr r="D1264" s="1"/>
      </tp>
      <tp t="s">
        <v>建材</v>
        <stp/>
        <stp>EM_S_INFO_INDEX_EM</stp>
        <stp>2</stp>
        <stp>603616</stp>
        <stp>1</stp>
        <tr r="D3209" s="1"/>
      </tp>
      <tp t="s">
        <v>交运设备</v>
        <stp/>
        <stp>EM_S_INFO_INDEX_EM</stp>
        <stp>2</stp>
        <stp>603766</stp>
        <stp>1</stp>
        <tr r="D2719" s="1"/>
      </tp>
      <tp t="s">
        <v>交运设备</v>
        <stp/>
        <stp>EM_S_INFO_INDEX_EM</stp>
        <stp>2</stp>
        <stp>603776</stp>
        <stp>1</stp>
        <tr r="D2890" s="1"/>
      </tp>
      <tp t="s">
        <v>机械设备</v>
        <stp/>
        <stp>EM_S_INFO_INDEX_EM</stp>
        <stp>2</stp>
        <stp>603726</stp>
        <stp>1</stp>
        <tr r="D3291" s="1"/>
      </tp>
      <tp t="s">
        <v>公用事业</v>
        <stp/>
        <stp>EM_S_INFO_INDEX_EM</stp>
        <stp>2</stp>
        <stp>603706</stp>
        <stp>1</stp>
        <tr r="D3177" s="1"/>
      </tp>
      <tp t="s">
        <v>医药生物</v>
        <stp/>
        <stp>EM_S_INFO_INDEX_EM</stp>
        <stp>2</stp>
        <stp>603716</stp>
        <stp>1</stp>
        <tr r="D2838" s="1"/>
      </tp>
      <tp t="s">
        <v>机械设备</v>
        <stp/>
        <stp>EM_S_INFO_INDEX_EM</stp>
        <stp>2</stp>
        <stp>603486</stp>
        <stp>1</stp>
        <tr r="D3384" s="1"/>
      </tp>
      <tp t="s">
        <v>信息技术</v>
        <stp/>
        <stp>EM_S_INFO_INDEX_EM</stp>
        <stp>2</stp>
        <stp>603496</stp>
        <stp>1</stp>
        <tr r="D2724" s="1"/>
      </tp>
      <tp t="s">
        <v>休闲、生活及专业服务</v>
        <stp/>
        <stp>EM_S_INFO_INDEX_EM</stp>
        <stp>2</stp>
        <stp>603466</stp>
        <stp>1</stp>
        <tr r="D2505" s="1"/>
      </tp>
      <tp t="s">
        <v>医药生物</v>
        <stp/>
        <stp>EM_S_INFO_INDEX_EM</stp>
        <stp>2</stp>
        <stp>603456</stp>
        <stp>1</stp>
        <tr r="D126" s="1"/>
      </tp>
      <tp t="s">
        <v>电气设备</v>
        <stp/>
        <stp>EM_S_INFO_INDEX_EM</stp>
        <stp>2</stp>
        <stp>603416</stp>
        <stp>1</stp>
        <tr r="D745" s="1"/>
      </tp>
      <tp t="s">
        <v>交运设备</v>
        <stp/>
        <stp>EM_S_INFO_INDEX_EM</stp>
        <stp>2</stp>
        <stp>603586</stp>
        <stp>1</stp>
        <tr r="D698" s="1"/>
      </tp>
      <tp t="s">
        <v>交运设备</v>
        <stp/>
        <stp>EM_S_INFO_INDEX_EM</stp>
        <stp>2</stp>
        <stp>603596</stp>
        <stp>1</stp>
        <tr r="D2425" s="1"/>
      </tp>
      <tp t="s">
        <v>农林牧渔</v>
        <stp/>
        <stp>EM_S_INFO_INDEX_EM</stp>
        <stp>2</stp>
        <stp>603566</stp>
        <stp>1</stp>
        <tr r="D482" s="1"/>
      </tp>
      <tp t="s">
        <v>机械设备</v>
        <stp/>
        <stp>EM_S_INFO_INDEX_EM</stp>
        <stp>2</stp>
        <stp>603556</stp>
        <stp>1</stp>
        <tr r="D1158" s="1"/>
      </tp>
      <tp t="s">
        <v>食品饮料</v>
        <stp/>
        <stp>EM_S_INFO_INDEX_EM</stp>
        <stp>2</stp>
        <stp>603536</stp>
        <stp>1</stp>
        <tr r="D60" s="1"/>
      </tp>
      <tp t="s">
        <v>房地产</v>
        <stp/>
        <stp>EM_S_INFO_INDEX_EM</stp>
        <stp>2</stp>
        <stp>603506</stp>
        <stp>1</stp>
        <tr r="D2595" s="1"/>
      </tp>
      <tp t="s">
        <v>信息技术</v>
        <stp/>
        <stp>EM_S_INFO_INDEX_EM</stp>
        <stp>2</stp>
        <stp>603516</stp>
        <stp>1</stp>
        <tr r="D366" s="1"/>
      </tp>
      <tp t="s">
        <v>食品饮料</v>
        <stp/>
        <stp>EM_S_INFO_INDEX_EM</stp>
        <stp>2</stp>
        <stp>603886</stp>
        <stp>1</stp>
        <tr r="D2380" s="1"/>
      </tp>
      <tp t="s">
        <v>医药生物</v>
        <stp/>
        <stp>EM_S_INFO_INDEX_EM</stp>
        <stp>2</stp>
        <stp>603896</stp>
        <stp>1</stp>
        <tr r="D1605" s="1"/>
      </tp>
      <tp t="s">
        <v>食品饮料</v>
        <stp/>
        <stp>EM_S_INFO_INDEX_EM</stp>
        <stp>2</stp>
        <stp>603866</stp>
        <stp>1</stp>
        <tr r="D2655" s="1"/>
      </tp>
      <tp t="s">
        <v>有色金属</v>
        <stp/>
        <stp>EM_S_INFO_INDEX_EM</stp>
        <stp>2</stp>
        <stp>603876</stp>
        <stp>1</stp>
        <tr r="D2926" s="1"/>
      </tp>
      <tp t="s">
        <v>建材</v>
        <stp/>
        <stp>EM_S_INFO_INDEX_EM</stp>
        <stp>2</stp>
        <stp>603856</stp>
        <stp>1</stp>
        <tr r="D2996" s="1"/>
      </tp>
      <tp t="s">
        <v>有色金属</v>
        <stp/>
        <stp>EM_S_INFO_INDEX_EM</stp>
        <stp>2</stp>
        <stp>603826</stp>
        <stp>1</stp>
        <tr r="D1431" s="1"/>
      </tp>
      <tp t="s">
        <v>电气设备</v>
        <stp/>
        <stp>EM_S_INFO_INDEX_EM</stp>
        <stp>2</stp>
        <stp>603806</stp>
        <stp>1</stp>
        <tr r="D249" s="1"/>
      </tp>
      <tp t="s">
        <v>轻工制造</v>
        <stp/>
        <stp>EM_S_INFO_INDEX_EM</stp>
        <stp>2</stp>
        <stp>603816</stp>
        <stp>1</stp>
        <tr r="D2230" s="1"/>
      </tp>
      <tp t="s">
        <v>电子设备</v>
        <stp/>
        <stp>EM_S_INFO_INDEX_EM</stp>
        <stp>2</stp>
        <stp>603986</stp>
        <stp>1</stp>
        <tr r="D35" s="1"/>
      </tp>
      <tp t="s">
        <v>电子设备</v>
        <stp/>
        <stp>EM_S_INFO_INDEX_EM</stp>
        <stp>2</stp>
        <stp>603996</stp>
        <stp>1</stp>
        <tr r="D3243" s="1"/>
      </tp>
      <tp t="s">
        <v>机械设备</v>
        <stp/>
        <stp>EM_S_INFO_INDEX_EM</stp>
        <stp>2</stp>
        <stp>603966</stp>
        <stp>1</stp>
        <tr r="D1319" s="1"/>
      </tp>
      <tp t="s">
        <v>医药生物</v>
        <stp/>
        <stp>EM_S_INFO_INDEX_EM</stp>
        <stp>2</stp>
        <stp>603976</stp>
        <stp>1</stp>
        <tr r="D1880" s="1"/>
      </tp>
      <tp t="s">
        <v>交运设备</v>
        <stp/>
        <stp>EM_S_INFO_INDEX_EM</stp>
        <stp>2</stp>
        <stp>603926</stp>
        <stp>1</stp>
        <tr r="D2907" s="1"/>
      </tp>
      <tp t="s">
        <v>电子设备</v>
        <stp/>
        <stp>EM_S_INFO_INDEX_EM</stp>
        <stp>2</stp>
        <stp>603936</stp>
        <stp>1</stp>
        <tr r="D1179" s="1"/>
      </tp>
      <tp t="s">
        <v>基础化工</v>
        <stp/>
        <stp>EM_S_INFO_INDEX_EM</stp>
        <stp>2</stp>
        <stp>603906</stp>
        <stp>1</stp>
        <tr r="D1119" s="1"/>
      </tp>
      <tp t="s">
        <v>基础化工</v>
        <stp/>
        <stp>EM_S_INFO_INDEX_EM</stp>
        <stp>2</stp>
        <stp>603916</stp>
        <stp>1</stp>
        <tr r="D639" s="1"/>
      </tp>
      <tp t="s">
        <v>农林牧渔</v>
        <stp/>
        <stp>EM_S_INFO_INDEX_EM</stp>
        <stp>2</stp>
        <stp>002286</stp>
        <stp>1</stp>
        <tr r="D1755" s="1"/>
      </tp>
      <tp t="s">
        <v>信息技术</v>
        <stp/>
        <stp>EM_S_INFO_INDEX_EM</stp>
        <stp>2</stp>
        <stp>002296</stp>
        <stp>1</stp>
        <tr r="D457" s="1"/>
      </tp>
      <tp t="s">
        <v>基础化工</v>
        <stp/>
        <stp>EM_S_INFO_INDEX_EM</stp>
        <stp>2</stp>
        <stp>002206</stp>
        <stp>1</stp>
        <tr r="D2495" s="1"/>
      </tp>
      <tp t="s">
        <v>食品饮料</v>
        <stp/>
        <stp>EM_S_INFO_INDEX_EM</stp>
        <stp>2</stp>
        <stp>002216</stp>
        <stp>1</stp>
        <tr r="D197" s="1"/>
      </tp>
      <tp t="s">
        <v>基础化工</v>
        <stp/>
        <stp>EM_S_INFO_INDEX_EM</stp>
        <stp>2</stp>
        <stp>002226</stp>
        <stp>1</stp>
        <tr r="D1997" s="1"/>
      </tp>
      <tp t="s">
        <v>信息技术</v>
        <stp/>
        <stp>EM_S_INFO_INDEX_EM</stp>
        <stp>2</stp>
        <stp>002236</stp>
        <stp>1</stp>
        <tr r="D283" s="1"/>
      </tp>
      <tp t="s">
        <v>基础化工</v>
        <stp/>
        <stp>EM_S_INFO_INDEX_EM</stp>
        <stp>2</stp>
        <stp>002246</stp>
        <stp>1</stp>
        <tr r="D1557" s="1"/>
      </tp>
      <tp t="s">
        <v>基础化工</v>
        <stp/>
        <stp>EM_S_INFO_INDEX_EM</stp>
        <stp>2</stp>
        <stp>002256</stp>
        <stp>1</stp>
        <tr r="D2915" s="1"/>
      </tp>
      <tp t="s">
        <v>电气设备</v>
        <stp/>
        <stp>EM_S_INFO_INDEX_EM</stp>
        <stp>2</stp>
        <stp>002266</stp>
        <stp>1</stp>
        <tr r="D2187" s="1"/>
      </tp>
      <tp t="s">
        <v>电气设备</v>
        <stp/>
        <stp>EM_S_INFO_INDEX_EM</stp>
        <stp>2</stp>
        <stp>002276</stp>
        <stp>1</stp>
        <tr r="D361" s="1"/>
      </tp>
      <tp t="s">
        <v>基础化工</v>
        <stp/>
        <stp>EM_S_INFO_INDEX_EM</stp>
        <stp>2</stp>
        <stp>002386</stp>
        <stp>1</stp>
        <tr r="D1776" s="1"/>
      </tp>
      <tp t="s">
        <v>信息技术</v>
        <stp/>
        <stp>EM_S_INFO_INDEX_EM</stp>
        <stp>2</stp>
        <stp>002396</stp>
        <stp>1</stp>
        <tr r="D155" s="1"/>
      </tp>
      <tp t="s">
        <v>休闲、生活及专业服务</v>
        <stp/>
        <stp>EM_S_INFO_INDEX_EM</stp>
        <stp>2</stp>
        <stp>002306</stp>
        <stp>1</stp>
        <tr r="D3111" s="1"/>
      </tp>
      <tp t="s">
        <v>信息技术</v>
        <stp/>
        <stp>EM_S_INFO_INDEX_EM</stp>
        <stp>2</stp>
        <stp>002316</stp>
        <stp>1</stp>
        <tr r="D1910" s="1"/>
      </tp>
      <tp t="s">
        <v>基础化工</v>
        <stp/>
        <stp>EM_S_INFO_INDEX_EM</stp>
        <stp>2</stp>
        <stp>002326</stp>
        <stp>1</stp>
        <tr r="D623" s="1"/>
      </tp>
      <tp t="s">
        <v>商贸零售</v>
        <stp/>
        <stp>EM_S_INFO_INDEX_EM</stp>
        <stp>2</stp>
        <stp>002336</stp>
        <stp>1</stp>
        <tr r="D2961" s="1"/>
      </tp>
      <tp t="s">
        <v>电气设备</v>
        <stp/>
        <stp>EM_S_INFO_INDEX_EM</stp>
        <stp>2</stp>
        <stp>002346</stp>
        <stp>1</stp>
        <tr r="D2763" s="1"/>
      </tp>
      <tp t="s">
        <v>轻工制造</v>
        <stp/>
        <stp>EM_S_INFO_INDEX_EM</stp>
        <stp>2</stp>
        <stp>002356</stp>
        <stp>1</stp>
        <tr r="D3400" s="1"/>
      </tp>
      <tp t="s">
        <v>机械设备</v>
        <stp/>
        <stp>EM_S_INFO_INDEX_EM</stp>
        <stp>2</stp>
        <stp>002366</stp>
        <stp>1</stp>
        <tr r="D3168" s="1"/>
      </tp>
      <tp t="s">
        <v>信息技术</v>
        <stp/>
        <stp>EM_S_INFO_INDEX_EM</stp>
        <stp>2</stp>
        <stp>002376</stp>
        <stp>1</stp>
        <tr r="D3097" s="1"/>
      </tp>
      <tp t="s">
        <v>农林牧渔</v>
        <stp/>
        <stp>EM_S_INFO_INDEX_EM</stp>
        <stp>2</stp>
        <stp>002086</stp>
        <stp>1</stp>
        <tr r="D3629" s="1"/>
      </tp>
      <tp t="s">
        <v>基础化工</v>
        <stp/>
        <stp>EM_S_INFO_INDEX_EM</stp>
        <stp>2</stp>
        <stp>002096</stp>
        <stp>1</stp>
        <tr r="D3632" s="1"/>
      </tp>
      <tp t="s">
        <v>机械设备</v>
        <stp/>
        <stp>EM_S_INFO_INDEX_EM</stp>
        <stp>2</stp>
        <stp>002006</stp>
        <stp>1</stp>
        <tr r="D2930" s="1"/>
      </tp>
      <tp t="s">
        <v>房地产</v>
        <stp/>
        <stp>EM_S_INFO_INDEX_EM</stp>
        <stp>2</stp>
        <stp>002016</stp>
        <stp>1</stp>
        <tr r="D2526" s="1"/>
      </tp>
      <tp t="s">
        <v>机械设备</v>
        <stp/>
        <stp>EM_S_INFO_INDEX_EM</stp>
        <stp>2</stp>
        <stp>002026</stp>
        <stp>1</stp>
        <tr r="D2623" s="1"/>
      </tp>
      <tp t="s">
        <v>电子设备</v>
        <stp/>
        <stp>EM_S_INFO_INDEX_EM</stp>
        <stp>2</stp>
        <stp>002036</stp>
        <stp>1</stp>
        <tr r="D3613" s="1"/>
      </tp>
      <tp t="s">
        <v>机械设备</v>
        <stp/>
        <stp>EM_S_INFO_INDEX_EM</stp>
        <stp>2</stp>
        <stp>002046</stp>
        <stp>1</stp>
        <tr r="D1952" s="1"/>
      </tp>
      <tp t="s">
        <v>电子设备</v>
        <stp/>
        <stp>EM_S_INFO_INDEX_EM</stp>
        <stp>2</stp>
        <stp>002056</stp>
        <stp>1</stp>
        <tr r="D553" s="1"/>
      </tp>
      <tp t="s">
        <v>建材</v>
        <stp/>
        <stp>EM_S_INFO_INDEX_EM</stp>
        <stp>2</stp>
        <stp>002066</stp>
        <stp>1</stp>
        <tr r="D1696" s="1"/>
      </tp>
      <tp t="s">
        <v>电子设备</v>
        <stp/>
        <stp>EM_S_INFO_INDEX_EM</stp>
        <stp>2</stp>
        <stp>002076</stp>
        <stp>1</stp>
        <tr r="D3626" s="1"/>
      </tp>
      <tp t="s">
        <v>休闲、生活及专业服务</v>
        <stp/>
        <stp>EM_S_INFO_INDEX_EM</stp>
        <stp>2</stp>
        <stp>002186</stp>
        <stp>1</stp>
        <tr r="D2772" s="1"/>
      </tp>
      <tp t="s">
        <v>电气设备</v>
        <stp/>
        <stp>EM_S_INFO_INDEX_EM</stp>
        <stp>2</stp>
        <stp>002196</stp>
        <stp>1</stp>
        <tr r="D1966" s="1"/>
      </tp>
      <tp t="s">
        <v>电子设备</v>
        <stp/>
        <stp>EM_S_INFO_INDEX_EM</stp>
        <stp>2</stp>
        <stp>002106</stp>
        <stp>1</stp>
        <tr r="D474" s="1"/>
      </tp>
      <tp t="s">
        <v>建筑</v>
        <stp/>
        <stp>EM_S_INFO_INDEX_EM</stp>
        <stp>2</stp>
        <stp>002116</stp>
        <stp>1</stp>
        <tr r="D1546" s="1"/>
      </tp>
      <tp t="s">
        <v>交运设备</v>
        <stp/>
        <stp>EM_S_INFO_INDEX_EM</stp>
        <stp>2</stp>
        <stp>002126</stp>
        <stp>1</stp>
        <tr r="D1836" s="1"/>
      </tp>
      <tp t="s">
        <v>基础化工</v>
        <stp/>
        <stp>EM_S_INFO_INDEX_EM</stp>
        <stp>2</stp>
        <stp>002136</stp>
        <stp>1</stp>
        <tr r="D2611" s="1"/>
      </tp>
      <tp t="s">
        <v>房地产</v>
        <stp/>
        <stp>EM_S_INFO_INDEX_EM</stp>
        <stp>2</stp>
        <stp>002146</stp>
        <stp>1</stp>
        <tr r="D1173" s="1"/>
      </tp>
      <tp t="s">
        <v>电子设备</v>
        <stp/>
        <stp>EM_S_INFO_INDEX_EM</stp>
        <stp>2</stp>
        <stp>002156</stp>
        <stp>1</stp>
        <tr r="D102" s="1"/>
      </tp>
      <tp t="s">
        <v>医药生物</v>
        <stp/>
        <stp>EM_S_INFO_INDEX_EM</stp>
        <stp>2</stp>
        <stp>002166</stp>
        <stp>1</stp>
        <tr r="D1282" s="1"/>
      </tp>
      <tp t="s">
        <v>交运设备</v>
        <stp/>
        <stp>EM_S_INFO_INDEX_EM</stp>
        <stp>2</stp>
        <stp>002176</stp>
        <stp>1</stp>
        <tr r="D3286" s="1"/>
      </tp>
      <tp t="s">
        <v>机械设备</v>
        <stp/>
        <stp>EM_S_INFO_INDEX_EM</stp>
        <stp>2</stp>
        <stp>002686</stp>
        <stp>1</stp>
        <tr r="D2783" s="1"/>
      </tp>
      <tp t="s">
        <v>农林牧渔</v>
        <stp/>
        <stp>EM_S_INFO_INDEX_EM</stp>
        <stp>2</stp>
        <stp>002696</stp>
        <stp>1</stp>
        <tr r="D3242" s="1"/>
      </tp>
      <tp t="s">
        <v>电气设备</v>
        <stp/>
        <stp>EM_S_INFO_INDEX_EM</stp>
        <stp>2</stp>
        <stp>002606</stp>
        <stp>1</stp>
        <tr r="D2831" s="1"/>
      </tp>
      <tp t="s">
        <v>家电</v>
        <stp/>
        <stp>EM_S_INFO_INDEX_EM</stp>
        <stp>2</stp>
        <stp>002616</stp>
        <stp>1</stp>
        <tr r="D1661" s="1"/>
      </tp>
      <tp t="s">
        <v>医药生物</v>
        <stp/>
        <stp>EM_S_INFO_INDEX_EM</stp>
        <stp>2</stp>
        <stp>002626</stp>
        <stp>1</stp>
        <tr r="D414" s="1"/>
      </tp>
      <tp t="s">
        <v>电子设备</v>
        <stp/>
        <stp>EM_S_INFO_INDEX_EM</stp>
        <stp>2</stp>
        <stp>002636</stp>
        <stp>1</stp>
        <tr r="D1181" s="1"/>
      </tp>
      <tp t="s">
        <v>食品饮料</v>
        <stp/>
        <stp>EM_S_INFO_INDEX_EM</stp>
        <stp>2</stp>
        <stp>002646</stp>
        <stp>1</stp>
        <tr r="D2254" s="1"/>
      </tp>
      <tp t="s">
        <v>纺织服装</v>
        <stp/>
        <stp>EM_S_INFO_INDEX_EM</stp>
        <stp>2</stp>
        <stp>002656</stp>
        <stp>1</stp>
        <tr r="D3289" s="1"/>
      </tp>
      <tp t="s">
        <v>基础化工</v>
        <stp/>
        <stp>EM_S_INFO_INDEX_EM</stp>
        <stp>2</stp>
        <stp>002666</stp>
        <stp>1</stp>
        <tr r="D1190" s="1"/>
      </tp>
      <tp t="s">
        <v>基础化工</v>
        <stp/>
        <stp>EM_S_INFO_INDEX_EM</stp>
        <stp>2</stp>
        <stp>002676</stp>
        <stp>1</stp>
        <tr r="D1749" s="1"/>
      </tp>
      <tp t="s">
        <v>机械设备</v>
        <stp/>
        <stp>EM_S_INFO_INDEX_EM</stp>
        <stp>2</stp>
        <stp>002786</stp>
        <stp>1</stp>
        <tr r="D785" s="1"/>
      </tp>
      <tp t="s">
        <v>机械设备</v>
        <stp/>
        <stp>EM_S_INFO_INDEX_EM</stp>
        <stp>2</stp>
        <stp>002796</stp>
        <stp>1</stp>
        <tr r="D2130" s="1"/>
      </tp>
      <tp t="s">
        <v>电气设备</v>
        <stp/>
        <stp>EM_S_INFO_INDEX_EM</stp>
        <stp>2</stp>
        <stp>002706</stp>
        <stp>1</stp>
        <tr r="D778" s="1"/>
      </tp>
      <tp t="s">
        <v>有色金属</v>
        <stp/>
        <stp>EM_S_INFO_INDEX_EM</stp>
        <stp>2</stp>
        <stp>002716</stp>
        <stp>1</stp>
        <tr r="D3375" s="1"/>
      </tp>
      <tp t="s">
        <v>食品饮料</v>
        <stp/>
        <stp>EM_S_INFO_INDEX_EM</stp>
        <stp>2</stp>
        <stp>002726</stp>
        <stp>1</stp>
        <tr r="D2844" s="1"/>
      </tp>
      <tp t="s">
        <v>金融</v>
        <stp/>
        <stp>EM_S_INFO_INDEX_EM</stp>
        <stp>2</stp>
        <stp>002736</stp>
        <stp>1</stp>
        <tr r="D549" s="1"/>
      </tp>
      <tp t="s">
        <v>农林牧渔</v>
        <stp/>
        <stp>EM_S_INFO_INDEX_EM</stp>
        <stp>2</stp>
        <stp>002746</stp>
        <stp>1</stp>
        <tr r="D1580" s="1"/>
      </tp>
      <tp t="s">
        <v>钢铁</v>
        <stp/>
        <stp>EM_S_INFO_INDEX_EM</stp>
        <stp>2</stp>
        <stp>002756</stp>
        <stp>1</stp>
        <tr r="D470" s="1"/>
      </tp>
      <tp t="s">
        <v>信息技术</v>
        <stp/>
        <stp>EM_S_INFO_INDEX_EM</stp>
        <stp>2</stp>
        <stp>002766</stp>
        <stp>1</stp>
        <tr r="D3305" s="1"/>
      </tp>
      <tp t="s">
        <v>纺织服装</v>
        <stp/>
        <stp>EM_S_INFO_INDEX_EM</stp>
        <stp>2</stp>
        <stp>002776</stp>
        <stp>1</stp>
        <tr r="D3377" s="1"/>
      </tp>
      <tp t="s">
        <v>纺织服装</v>
        <stp/>
        <stp>EM_S_INFO_INDEX_EM</stp>
        <stp>2</stp>
        <stp>002486</stp>
        <stp>1</stp>
        <tr r="D2922" s="1"/>
      </tp>
      <tp t="s">
        <v>基础化工</v>
        <stp/>
        <stp>EM_S_INFO_INDEX_EM</stp>
        <stp>2</stp>
        <stp>002496</stp>
        <stp>1</stp>
        <tr r="D600" s="1"/>
      </tp>
      <tp t="s">
        <v>交运设备</v>
        <stp/>
        <stp>EM_S_INFO_INDEX_EM</stp>
        <stp>2</stp>
        <stp>002406</stp>
        <stp>1</stp>
        <tr r="D1384" s="1"/>
      </tp>
      <tp t="s">
        <v>商贸零售</v>
        <stp/>
        <stp>EM_S_INFO_INDEX_EM</stp>
        <stp>2</stp>
        <stp>002416</stp>
        <stp>1</stp>
        <tr r="D976" s="1"/>
      </tp>
      <tp t="s">
        <v>电子设备</v>
        <stp/>
        <stp>EM_S_INFO_INDEX_EM</stp>
        <stp>2</stp>
        <stp>002426</stp>
        <stp>1</stp>
        <tr r="D2106" s="1"/>
      </tp>
      <tp t="s">
        <v>电子设备</v>
        <stp/>
        <stp>EM_S_INFO_INDEX_EM</stp>
        <stp>2</stp>
        <stp>002436</stp>
        <stp>1</stp>
        <tr r="D221" s="1"/>
      </tp>
      <tp t="s">
        <v>信息技术</v>
        <stp/>
        <stp>EM_S_INFO_INDEX_EM</stp>
        <stp>2</stp>
        <stp>002446</stp>
        <stp>1</stp>
        <tr r="D1496" s="1"/>
      </tp>
      <tp t="s">
        <v>电子设备</v>
        <stp/>
        <stp>EM_S_INFO_INDEX_EM</stp>
        <stp>2</stp>
        <stp>002456</stp>
        <stp>1</stp>
        <tr r="D316" s="1"/>
      </tp>
      <tp t="s">
        <v>有色金属</v>
        <stp/>
        <stp>EM_S_INFO_INDEX_EM</stp>
        <stp>2</stp>
        <stp>002466</stp>
        <stp>1</stp>
        <tr r="D2482" s="1"/>
      </tp>
      <tp t="s">
        <v>基础化工</v>
        <stp/>
        <stp>EM_S_INFO_INDEX_EM</stp>
        <stp>2</stp>
        <stp>002476</stp>
        <stp>1</stp>
        <tr r="D660" s="1"/>
      </tp>
      <tp t="s">
        <v>建筑</v>
        <stp/>
        <stp>EM_S_INFO_INDEX_EM</stp>
        <stp>2</stp>
        <stp>002586</stp>
        <stp>1</stp>
        <tr r="D3213" s="1"/>
      </tp>
      <tp t="s">
        <v>建材</v>
        <stp/>
        <stp>EM_S_INFO_INDEX_EM</stp>
        <stp>2</stp>
        <stp>002596</stp>
        <stp>1</stp>
        <tr r="D1810" s="1"/>
      </tp>
      <tp t="s">
        <v>电气设备</v>
        <stp/>
        <stp>EM_S_INFO_INDEX_EM</stp>
        <stp>2</stp>
        <stp>002506</stp>
        <stp>1</stp>
        <tr r="D1358" s="1"/>
      </tp>
      <tp t="s">
        <v>纺织服装</v>
        <stp/>
        <stp>EM_S_INFO_INDEX_EM</stp>
        <stp>2</stp>
        <stp>002516</stp>
        <stp>1</stp>
        <tr r="D2588" s="1"/>
      </tp>
      <tp t="s">
        <v>机械设备</v>
        <stp/>
        <stp>EM_S_INFO_INDEX_EM</stp>
        <stp>2</stp>
        <stp>002526</stp>
        <stp>1</stp>
        <tr r="D1267" s="1"/>
      </tp>
      <tp t="s">
        <v>交运设备</v>
        <stp/>
        <stp>EM_S_INFO_INDEX_EM</stp>
        <stp>2</stp>
        <stp>002536</stp>
        <stp>1</stp>
        <tr r="D3350" s="1"/>
      </tp>
      <tp t="s">
        <v>电气设备</v>
        <stp/>
        <stp>EM_S_INFO_INDEX_EM</stp>
        <stp>2</stp>
        <stp>002546</stp>
        <stp>1</stp>
        <tr r="D1763" s="1"/>
      </tp>
      <tp t="s">
        <v>基础化工</v>
        <stp/>
        <stp>EM_S_INFO_INDEX_EM</stp>
        <stp>2</stp>
        <stp>002556</stp>
        <stp>1</stp>
        <tr r="D1846" s="1"/>
      </tp>
      <tp t="s">
        <v>医药生物</v>
        <stp/>
        <stp>EM_S_INFO_INDEX_EM</stp>
        <stp>2</stp>
        <stp>002566</stp>
        <stp>1</stp>
        <tr r="D1514" s="1"/>
      </tp>
      <tp t="s">
        <v>电气设备</v>
        <stp/>
        <stp>EM_S_INFO_INDEX_EM</stp>
        <stp>2</stp>
        <stp>002576</stp>
        <stp>1</stp>
        <tr r="D2458" s="1"/>
      </tp>
      <tp t="s">
        <v>基础化工</v>
        <stp/>
        <stp>EM_S_INFO_INDEX_EM</stp>
        <stp>2</stp>
        <stp>002886</stp>
        <stp>1</stp>
        <tr r="D774" s="1"/>
      </tp>
      <tp t="s">
        <v>机械设备</v>
        <stp/>
        <stp>EM_S_INFO_INDEX_EM</stp>
        <stp>2</stp>
        <stp>002896</stp>
        <stp>1</stp>
        <tr r="D3187" s="1"/>
      </tp>
      <tp t="s">
        <v>有色金属</v>
        <stp/>
        <stp>EM_S_INFO_INDEX_EM</stp>
        <stp>2</stp>
        <stp>002806</stp>
        <stp>1</stp>
        <tr r="D3132" s="1"/>
      </tp>
      <tp t="s">
        <v>机械设备</v>
        <stp/>
        <stp>EM_S_INFO_INDEX_EM</stp>
        <stp>2</stp>
        <stp>002816</stp>
        <stp>1</stp>
        <tr r="D652" s="1"/>
      </tp>
      <tp t="s">
        <v>医药生物</v>
        <stp/>
        <stp>EM_S_INFO_INDEX_EM</stp>
        <stp>2</stp>
        <stp>002826</stp>
        <stp>1</stp>
        <tr r="D2473" s="1"/>
      </tp>
      <tp t="s">
        <v>轻工制造</v>
        <stp/>
        <stp>EM_S_INFO_INDEX_EM</stp>
        <stp>2</stp>
        <stp>002836</stp>
        <stp>1</stp>
        <tr r="D2009" s="1"/>
      </tp>
      <tp t="s">
        <v>轻工制造</v>
        <stp/>
        <stp>EM_S_INFO_INDEX_EM</stp>
        <stp>2</stp>
        <stp>002846</stp>
        <stp>1</stp>
        <tr r="D237" s="1"/>
      </tp>
      <tp t="s">
        <v>建筑</v>
        <stp/>
        <stp>EM_S_INFO_INDEX_EM</stp>
        <stp>2</stp>
        <stp>002856</stp>
        <stp>1</stp>
        <tr r="D2870" s="1"/>
      </tp>
      <tp t="s">
        <v>电子设备</v>
        <stp/>
        <stp>EM_S_INFO_INDEX_EM</stp>
        <stp>2</stp>
        <stp>002866</stp>
        <stp>1</stp>
        <tr r="D796" s="1"/>
      </tp>
      <tp t="s">
        <v>电子设备</v>
        <stp/>
        <stp>EM_S_INFO_INDEX_EM</stp>
        <stp>2</stp>
        <stp>002876</stp>
        <stp>1</stp>
        <tr r="D487" s="1"/>
      </tp>
      <tp t="s">
        <v>交运设备</v>
        <stp/>
        <stp>EM_S_INFO_INDEX_EM</stp>
        <stp>2</stp>
        <stp>002906</stp>
        <stp>1</stp>
        <tr r="D1168" s="1"/>
      </tp>
      <tp t="s">
        <v>电子设备</v>
        <stp/>
        <stp>EM_S_INFO_INDEX_EM</stp>
        <stp>2</stp>
        <stp>002916</stp>
        <stp>1</stp>
        <tr r="D264" s="1"/>
      </tp>
      <tp t="s">
        <v>金融</v>
        <stp/>
        <stp>EM_S_INFO_INDEX_EM</stp>
        <stp>2</stp>
        <stp>002926</stp>
        <stp>1</stp>
        <tr r="D890" s="1"/>
      </tp>
      <tp>
        <v>0.4875973690896252</v>
        <stp/>
        <stp>EM_S_VAL_DIVIDENDYIELD2</stp>
        <stp>3</stp>
        <stp>002229</stp>
        <stp>12/31/2018</stp>
        <stp>2019-11-29</stp>
        <tr r="Q2717" s="1"/>
      </tp>
      <tp>
        <v>0</v>
        <stp/>
        <stp>EM_S_VAL_DIVIDENDYIELD2</stp>
        <stp>3</stp>
        <stp>002239</stp>
        <stp>12/31/2018</stp>
        <stp>2019-11-29</stp>
        <tr r="Q2868" s="1"/>
      </tp>
      <tp>
        <v>8.8757396449704151E-2</v>
        <stp/>
        <stp>EM_S_VAL_DIVIDENDYIELD2</stp>
        <stp>3</stp>
        <stp>002209</stp>
        <stp>12/31/2018</stp>
        <stp>2019-11-29</stp>
        <tr r="Q2160" s="1"/>
      </tp>
      <tp>
        <v>0</v>
        <stp/>
        <stp>EM_S_VAL_DIVIDENDYIELD2</stp>
        <stp>3</stp>
        <stp>002219</stp>
        <stp>12/31/2018</stp>
        <stp>2019-11-29</stp>
        <tr r="Q3232" s="1"/>
      </tp>
      <tp>
        <v>0</v>
        <stp/>
        <stp>EM_S_VAL_DIVIDENDYIELD2</stp>
        <stp>3</stp>
        <stp>002269</stp>
        <stp>12/31/2018</stp>
        <stp>2019-11-29</stp>
        <tr r="Q1454" s="1"/>
      </tp>
      <tp>
        <v>0</v>
        <stp/>
        <stp>EM_S_VAL_DIVIDENDYIELD2</stp>
        <stp>3</stp>
        <stp>002279</stp>
        <stp>12/31/2018</stp>
        <stp>2019-11-29</stp>
        <tr r="Q2897" s="1"/>
      </tp>
      <tp>
        <v>0</v>
        <stp/>
        <stp>EM_S_VAL_DIVIDENDYIELD2</stp>
        <stp>3</stp>
        <stp>002249</stp>
        <stp>12/31/2018</stp>
        <stp>2019-11-29</stp>
        <tr r="Q1320" s="1"/>
      </tp>
      <tp>
        <v>0</v>
        <stp/>
        <stp>EM_S_VAL_DIVIDENDYIELD2</stp>
        <stp>3</stp>
        <stp>002259</stp>
        <stp>12/31/2018</stp>
        <stp>2019-11-29</stp>
        <tr r="Q2658" s="1"/>
      </tp>
      <tp>
        <v>0</v>
        <stp/>
        <stp>EM_S_VAL_DIVIDENDYIELD2</stp>
        <stp>3</stp>
        <stp>002289</stp>
        <stp>12/31/2018</stp>
        <stp>2019-11-29</stp>
        <tr r="Q380" s="1"/>
      </tp>
      <tp>
        <v>4.2087542087542094</v>
        <stp/>
        <stp>EM_S_VAL_DIVIDENDYIELD2</stp>
        <stp>3</stp>
        <stp>002299</stp>
        <stp>12/31/2018</stp>
        <stp>2019-11-29</stp>
        <tr r="Q644" s="1"/>
      </tp>
      <tp>
        <v>0</v>
        <stp/>
        <stp>EM_S_VAL_DIVIDENDYIELD2</stp>
        <stp>3</stp>
        <stp>002329</stp>
        <stp>12/31/2018</stp>
        <stp>2019-11-29</stp>
        <tr r="Q907" s="1"/>
      </tp>
      <tp>
        <v>0.76035990368774553</v>
        <stp/>
        <stp>EM_S_VAL_DIVIDENDYIELD2</stp>
        <stp>3</stp>
        <stp>002339</stp>
        <stp>12/31/2018</stp>
        <stp>2019-11-29</stp>
        <tr r="Q1989" s="1"/>
      </tp>
      <tp>
        <v>0</v>
        <stp/>
        <stp>EM_S_VAL_DIVIDENDYIELD2</stp>
        <stp>3</stp>
        <stp>002309</stp>
        <stp>12/31/2018</stp>
        <stp>2019-11-29</stp>
        <tr r="Q3182" s="1"/>
      </tp>
      <tp>
        <v>0</v>
        <stp/>
        <stp>EM_S_VAL_DIVIDENDYIELD2</stp>
        <stp>3</stp>
        <stp>002319</stp>
        <stp>12/31/2018</stp>
        <stp>2019-11-29</stp>
        <tr r="Q3323" s="1"/>
      </tp>
      <tp>
        <v>0</v>
        <stp/>
        <stp>EM_S_VAL_DIVIDENDYIELD2</stp>
        <stp>3</stp>
        <stp>002369</stp>
        <stp>12/31/2018</stp>
        <stp>2019-11-29</stp>
        <tr r="Q1109" s="1"/>
      </tp>
      <tp>
        <v>0</v>
        <stp/>
        <stp>EM_S_VAL_DIVIDENDYIELD2</stp>
        <stp>3</stp>
        <stp>002379</stp>
        <stp>12/31/2018</stp>
        <stp>2019-11-29</stp>
        <tr r="Q881" s="1"/>
      </tp>
      <tp>
        <v>1.1600928074245942</v>
        <stp/>
        <stp>EM_S_VAL_DIVIDENDYIELD2</stp>
        <stp>3</stp>
        <stp>002349</stp>
        <stp>12/31/2018</stp>
        <stp>2019-11-29</stp>
        <tr r="Q3126" s="1"/>
      </tp>
      <tp>
        <v>0</v>
        <stp/>
        <stp>EM_S_VAL_DIVIDENDYIELD2</stp>
        <stp>3</stp>
        <stp>002359</stp>
        <stp>12/31/2018</stp>
        <stp>2019-11-29</stp>
        <tr r="Q3401" s="1"/>
      </tp>
      <tp>
        <v>0.29211295034079843</v>
        <stp/>
        <stp>EM_S_VAL_DIVIDENDYIELD2</stp>
        <stp>3</stp>
        <stp>002389</stp>
        <stp>12/31/2018</stp>
        <stp>2019-11-29</stp>
        <tr r="Q2708" s="1"/>
      </tp>
      <tp>
        <v>0.57937427578215528</v>
        <stp/>
        <stp>EM_S_VAL_DIVIDENDYIELD2</stp>
        <stp>3</stp>
        <stp>002399</stp>
        <stp>12/31/2018</stp>
        <stp>2019-11-29</stp>
        <tr r="Q2973" s="1"/>
      </tp>
      <tp>
        <v>1.8083182640144666</v>
        <stp/>
        <stp>EM_S_VAL_DIVIDENDYIELD2</stp>
        <stp>3</stp>
        <stp>002029</stp>
        <stp>12/31/2018</stp>
        <stp>2019-11-29</stp>
        <tr r="Q2562" s="1"/>
      </tp>
      <tp>
        <v>2.0161290322580641</v>
        <stp/>
        <stp>EM_S_VAL_DIVIDENDYIELD2</stp>
        <stp>3</stp>
        <stp>002039</stp>
        <stp>12/31/2018</stp>
        <stp>2019-11-29</stp>
        <tr r="Q3614" s="1"/>
      </tp>
      <tp>
        <v>0.80851063829787229</v>
        <stp/>
        <stp>EM_S_VAL_DIVIDENDYIELD2</stp>
        <stp>3</stp>
        <stp>002009</stp>
        <stp>12/31/2018</stp>
        <stp>2019-11-29</stp>
        <tr r="Q2192" s="1"/>
      </tp>
      <tp>
        <v>0.70493099417847949</v>
        <stp/>
        <stp>EM_S_VAL_DIVIDENDYIELD2</stp>
        <stp>3</stp>
        <stp>002019</stp>
        <stp>12/31/2018</stp>
        <stp>2019-11-29</stp>
        <tr r="Q581" s="1"/>
      </tp>
      <tp>
        <v>0</v>
        <stp/>
        <stp>EM_S_VAL_DIVIDENDYIELD2</stp>
        <stp>3</stp>
        <stp>002069</stp>
        <stp>12/31/2018</stp>
        <stp>2019-11-29</stp>
        <tr r="Q3621" s="1"/>
      </tp>
      <tp>
        <v>0.3891050583657587</v>
        <stp/>
        <stp>EM_S_VAL_DIVIDENDYIELD2</stp>
        <stp>3</stp>
        <stp>002079</stp>
        <stp>12/31/2018</stp>
        <stp>2019-11-29</stp>
        <tr r="Q84" s="1"/>
      </tp>
      <tp>
        <v>0.1294642857142857</v>
        <stp/>
        <stp>EM_S_VAL_DIVIDENDYIELD2</stp>
        <stp>3</stp>
        <stp>002049</stp>
        <stp>12/31/2018</stp>
        <stp>2019-11-29</stp>
        <tr r="Q262" s="1"/>
      </tp>
      <tp>
        <v>1.0378054394811711</v>
        <stp/>
        <stp>EM_S_VAL_DIVIDENDYIELD2</stp>
        <stp>3</stp>
        <stp>002059</stp>
        <stp>12/31/2018</stp>
        <stp>2019-11-29</stp>
        <tr r="Q2514" s="1"/>
      </tp>
      <tp>
        <v>0</v>
        <stp/>
        <stp>EM_S_VAL_DIVIDENDYIELD2</stp>
        <stp>3</stp>
        <stp>002089</stp>
        <stp>12/31/2018</stp>
        <stp>2019-11-29</stp>
        <tr r="Q3630" s="1"/>
      </tp>
      <tp>
        <v>4.3481081141619136</v>
        <stp/>
        <stp>EM_S_VAL_DIVIDENDYIELD2</stp>
        <stp>3</stp>
        <stp>002099</stp>
        <stp>12/31/2018</stp>
        <stp>2019-11-29</stp>
        <tr r="Q498" s="1"/>
      </tp>
      <tp>
        <v>0.29673590504451042</v>
        <stp/>
        <stp>EM_S_VAL_DIVIDENDYIELD2</stp>
        <stp>3</stp>
        <stp>002129</stp>
        <stp>12/31/2018</stp>
        <stp>2019-11-29</stp>
        <tr r="Q384" s="1"/>
      </tp>
      <tp>
        <v>2.0282406736778995</v>
        <stp/>
        <stp>EM_S_VAL_DIVIDENDYIELD2</stp>
        <stp>3</stp>
        <stp>002139</stp>
        <stp>12/31/2018</stp>
        <stp>2019-11-29</stp>
        <tr r="Q684" s="1"/>
      </tp>
      <tp>
        <v>0</v>
        <stp/>
        <stp>EM_S_VAL_DIVIDENDYIELD2</stp>
        <stp>3</stp>
        <stp>002109</stp>
        <stp>12/31/2018</stp>
        <stp>2019-11-29</stp>
        <tr r="Q2560" s="1"/>
      </tp>
      <tp>
        <v>0.17155012694709393</v>
        <stp/>
        <stp>EM_S_VAL_DIVIDENDYIELD2</stp>
        <stp>3</stp>
        <stp>002119</stp>
        <stp>12/31/2018</stp>
        <stp>2019-11-29</stp>
        <tr r="Q493" s="1"/>
      </tp>
      <tp>
        <v>0.89820359281437123</v>
        <stp/>
        <stp>EM_S_VAL_DIVIDENDYIELD2</stp>
        <stp>3</stp>
        <stp>002169</stp>
        <stp>12/31/2018</stp>
        <stp>2019-11-29</stp>
        <tr r="Q182" s="1"/>
      </tp>
      <tp>
        <v>0.24943178517658604</v>
        <stp/>
        <stp>EM_S_VAL_DIVIDENDYIELD2</stp>
        <stp>3</stp>
        <stp>002179</stp>
        <stp>12/31/2018</stp>
        <stp>2019-11-29</stp>
        <tr r="Q1453" s="1"/>
      </tp>
      <tp>
        <v>1.4245014245014247</v>
        <stp/>
        <stp>EM_S_VAL_DIVIDENDYIELD2</stp>
        <stp>3</stp>
        <stp>002149</stp>
        <stp>12/31/2018</stp>
        <stp>2019-11-29</stp>
        <tr r="Q618" s="1"/>
      </tp>
      <tp>
        <v>0</v>
        <stp/>
        <stp>EM_S_VAL_DIVIDENDYIELD2</stp>
        <stp>3</stp>
        <stp>002159</stp>
        <stp>12/31/2018</stp>
        <stp>2019-11-29</stp>
        <tr r="Q3212" s="1"/>
      </tp>
      <tp>
        <v>0.32848136482939633</v>
        <stp/>
        <stp>EM_S_VAL_DIVIDENDYIELD2</stp>
        <stp>3</stp>
        <stp>002189</stp>
        <stp>12/31/2018</stp>
        <stp>2019-11-29</stp>
        <tr r="Q409" s="1"/>
      </tp>
      <tp>
        <v>0</v>
        <stp/>
        <stp>EM_S_VAL_DIVIDENDYIELD2</stp>
        <stp>3</stp>
        <stp>002199</stp>
        <stp>12/31/2018</stp>
        <stp>2019-11-29</stp>
        <tr r="Q2124" s="1"/>
      </tp>
      <tp>
        <v>0</v>
        <stp/>
        <stp>EM_S_VAL_DIVIDENDYIELD2</stp>
        <stp>3</stp>
        <stp>002629</stp>
        <stp>12/31/2018</stp>
        <stp>2019-11-29</stp>
        <tr r="Q3220" s="1"/>
      </tp>
      <tp>
        <v>8.8516129032258056E-2</v>
        <stp/>
        <stp>EM_S_VAL_DIVIDENDYIELD2</stp>
        <stp>3</stp>
        <stp>002639</stp>
        <stp>12/31/2018</stp>
        <stp>2019-11-29</stp>
        <tr r="Q434" s="1"/>
      </tp>
      <tp>
        <v>1.8328781543167461</v>
        <stp/>
        <stp>EM_S_VAL_DIVIDENDYIELD2</stp>
        <stp>3</stp>
        <stp>002609</stp>
        <stp>12/31/2018</stp>
        <stp>2019-11-29</stp>
        <tr r="Q507" s="1"/>
      </tp>
      <tp>
        <v>0</v>
        <stp/>
        <stp>EM_S_VAL_DIVIDENDYIELD2</stp>
        <stp>3</stp>
        <stp>002619</stp>
        <stp>12/31/2018</stp>
        <stp>2019-11-29</stp>
        <tr r="Q2620" s="1"/>
      </tp>
      <tp>
        <v>0.66551426101987898</v>
        <stp/>
        <stp>EM_S_VAL_DIVIDENDYIELD2</stp>
        <stp>3</stp>
        <stp>002669</stp>
        <stp>12/31/2018</stp>
        <stp>2019-11-29</stp>
        <tr r="Q830" s="1"/>
      </tp>
      <tp>
        <v>0.31609195402298856</v>
        <stp/>
        <stp>EM_S_VAL_DIVIDENDYIELD2</stp>
        <stp>3</stp>
        <stp>002679</stp>
        <stp>12/31/2018</stp>
        <stp>2019-11-29</stp>
        <tr r="Q2584" s="1"/>
      </tp>
      <tp>
        <v>0.98662128965219908</v>
        <stp/>
        <stp>EM_S_VAL_DIVIDENDYIELD2</stp>
        <stp>3</stp>
        <stp>002649</stp>
        <stp>12/31/2018</stp>
        <stp>2019-11-29</stp>
        <tr r="Q807" s="1"/>
      </tp>
      <tp>
        <v>0</v>
        <stp/>
        <stp>EM_S_VAL_DIVIDENDYIELD2</stp>
        <stp>3</stp>
        <stp>002659</stp>
        <stp>12/31/2018</stp>
        <stp>2019-11-29</stp>
        <tr r="Q3175" s="1"/>
      </tp>
      <tp>
        <v>0</v>
        <stp/>
        <stp>EM_S_VAL_DIVIDENDYIELD2</stp>
        <stp>3</stp>
        <stp>002689</stp>
        <stp>12/31/2018</stp>
        <stp>2019-11-29</stp>
        <tr r="Q1692" s="1"/>
      </tp>
      <tp>
        <v>0</v>
        <stp/>
        <stp>EM_S_VAL_DIVIDENDYIELD2</stp>
        <stp>3</stp>
        <stp>002699</stp>
        <stp>12/31/2018</stp>
        <stp>2019-11-29</stp>
        <tr r="Q1025" s="1"/>
      </tp>
      <tp>
        <v>0.17650025214321732</v>
        <stp/>
        <stp>EM_S_VAL_DIVIDENDYIELD2</stp>
        <stp>3</stp>
        <stp>002729</stp>
        <stp>12/31/2018</stp>
        <stp>2019-11-29</stp>
        <tr r="Q92" s="1"/>
      </tp>
      <tp>
        <v>0</v>
        <stp/>
        <stp>EM_S_VAL_DIVIDENDYIELD2</stp>
        <stp>3</stp>
        <stp>002739</stp>
        <stp>12/31/2018</stp>
        <stp>2019-11-29</stp>
        <tr r="Q2975" s="1"/>
      </tp>
      <tp>
        <v>0.36189924764557141</v>
        <stp/>
        <stp>EM_S_VAL_DIVIDENDYIELD2</stp>
        <stp>3</stp>
        <stp>002709</stp>
        <stp>12/31/2018</stp>
        <stp>2019-11-29</stp>
        <tr r="Q2533" s="1"/>
      </tp>
      <tp>
        <v>0</v>
        <stp/>
        <stp>EM_S_VAL_DIVIDENDYIELD2</stp>
        <stp>3</stp>
        <stp>002719</stp>
        <stp>12/31/2018</stp>
        <stp>2019-11-29</stp>
        <tr r="Q2151" s="1"/>
      </tp>
      <tp>
        <v>0.5662650602409639</v>
        <stp/>
        <stp>EM_S_VAL_DIVIDENDYIELD2</stp>
        <stp>3</stp>
        <stp>002769</stp>
        <stp>12/31/2018</stp>
        <stp>2019-11-29</stp>
        <tr r="Q2989" s="1"/>
      </tp>
      <tp>
        <v>0.10215664018161182</v>
        <stp/>
        <stp>EM_S_VAL_DIVIDENDYIELD2</stp>
        <stp>3</stp>
        <stp>002779</stp>
        <stp>12/31/2018</stp>
        <stp>2019-11-29</stp>
        <tr r="Q2173" s="1"/>
      </tp>
      <tp>
        <v>1.2553409887221267</v>
        <stp/>
        <stp>EM_S_VAL_DIVIDENDYIELD2</stp>
        <stp>3</stp>
        <stp>002749</stp>
        <stp>12/31/2018</stp>
        <stp>2019-11-29</stp>
        <tr r="Q3174" s="1"/>
      </tp>
      <tp>
        <v>0</v>
        <stp/>
        <stp>EM_S_VAL_DIVIDENDYIELD2</stp>
        <stp>3</stp>
        <stp>002759</stp>
        <stp>12/31/2018</stp>
        <stp>2019-11-29</stp>
        <tr r="Q1470" s="1"/>
      </tp>
      <tp>
        <v>0.39147956246401844</v>
        <stp/>
        <stp>EM_S_VAL_DIVIDENDYIELD2</stp>
        <stp>3</stp>
        <stp>002789</stp>
        <stp>12/31/2018</stp>
        <stp>2019-11-29</stp>
        <tr r="Q2208" s="1"/>
      </tp>
      <tp>
        <v>0.21565003080714723</v>
        <stp/>
        <stp>EM_S_VAL_DIVIDENDYIELD2</stp>
        <stp>3</stp>
        <stp>002799</stp>
        <stp>12/31/2018</stp>
        <stp>2019-11-29</stp>
        <tr r="Q657" s="1"/>
      </tp>
      <tp>
        <v>0</v>
        <stp/>
        <stp>EM_S_VAL_DIVIDENDYIELD2</stp>
        <stp>3</stp>
        <stp>002429</stp>
        <stp>12/31/2018</stp>
        <stp>2019-11-29</stp>
        <tr r="Q242" s="1"/>
      </tp>
      <tp>
        <v>0.12987012987012989</v>
        <stp/>
        <stp>EM_S_VAL_DIVIDENDYIELD2</stp>
        <stp>3</stp>
        <stp>002439</stp>
        <stp>12/31/2018</stp>
        <stp>2019-11-29</stp>
        <tr r="Q349" s="1"/>
      </tp>
      <tp>
        <v>0.48128342245989297</v>
        <stp/>
        <stp>EM_S_VAL_DIVIDENDYIELD2</stp>
        <stp>3</stp>
        <stp>002409</stp>
        <stp>12/31/2018</stp>
        <stp>2019-11-29</stp>
        <tr r="Q294" s="1"/>
      </tp>
      <tp>
        <v>4.1237113402061851</v>
        <stp/>
        <stp>EM_S_VAL_DIVIDENDYIELD2</stp>
        <stp>3</stp>
        <stp>002419</stp>
        <stp>12/31/2018</stp>
        <stp>2019-11-29</stp>
        <tr r="Q2535" s="1"/>
      </tp>
      <tp>
        <v>2.6385224274406336</v>
        <stp/>
        <stp>EM_S_VAL_DIVIDENDYIELD2</stp>
        <stp>3</stp>
        <stp>002469</stp>
        <stp>12/31/2018</stp>
        <stp>2019-11-29</stp>
        <tr r="Q1922" s="1"/>
      </tp>
      <tp>
        <v>0.60594187100211194</v>
        <stp/>
        <stp>EM_S_VAL_DIVIDENDYIELD2</stp>
        <stp>3</stp>
        <stp>002479</stp>
        <stp>12/31/2018</stp>
        <stp>2019-11-29</stp>
        <tr r="Q445" s="1"/>
      </tp>
      <tp>
        <v>2.9041626331074535</v>
        <stp/>
        <stp>EM_S_VAL_DIVIDENDYIELD2</stp>
        <stp>3</stp>
        <stp>002449</stp>
        <stp>12/31/2018</stp>
        <stp>2019-11-29</stp>
        <tr r="Q1099" s="1"/>
      </tp>
      <tp>
        <v>0</v>
        <stp/>
        <stp>EM_S_VAL_DIVIDENDYIELD2</stp>
        <stp>3</stp>
        <stp>002459</stp>
        <stp>12/31/2018</stp>
        <stp>2019-11-29</stp>
        <tr r="Q871" s="1"/>
      </tp>
      <tp>
        <v>1.4150943396226416</v>
        <stp/>
        <stp>EM_S_VAL_DIVIDENDYIELD2</stp>
        <stp>3</stp>
        <stp>002489</stp>
        <stp>12/31/2018</stp>
        <stp>2019-11-29</stp>
        <tr r="Q452" s="1"/>
      </tp>
      <tp>
        <v>0</v>
        <stp/>
        <stp>EM_S_VAL_DIVIDENDYIELD2</stp>
        <stp>3</stp>
        <stp>002499</stp>
        <stp>12/31/2018</stp>
        <stp>2019-11-29</stp>
        <tr r="Q3287" s="1"/>
      </tp>
      <tp>
        <v>0</v>
        <stp/>
        <stp>EM_S_VAL_DIVIDENDYIELD2</stp>
        <stp>3</stp>
        <stp>002529</stp>
        <stp>12/31/2018</stp>
        <stp>2019-11-29</stp>
        <tr r="Q2916" s="1"/>
      </tp>
      <tp>
        <v>2.1551724137931036</v>
        <stp/>
        <stp>EM_S_VAL_DIVIDENDYIELD2</stp>
        <stp>3</stp>
        <stp>002539</stp>
        <stp>12/31/2018</stp>
        <stp>2019-11-29</stp>
        <tr r="Q1332" s="1"/>
      </tp>
      <tp>
        <v>0</v>
        <stp/>
        <stp>EM_S_VAL_DIVIDENDYIELD2</stp>
        <stp>3</stp>
        <stp>002509</stp>
        <stp>12/31/2018</stp>
        <stp>2019-11-29</stp>
        <tr r="Q3313" s="1"/>
      </tp>
      <tp>
        <v>0</v>
        <stp/>
        <stp>EM_S_VAL_DIVIDENDYIELD2</stp>
        <stp>3</stp>
        <stp>002519</stp>
        <stp>12/31/2018</stp>
        <stp>2019-11-29</stp>
        <tr r="Q1671" s="1"/>
      </tp>
      <tp>
        <v>0</v>
        <stp/>
        <stp>EM_S_VAL_DIVIDENDYIELD2</stp>
        <stp>3</stp>
        <stp>002569</stp>
        <stp>12/31/2018</stp>
        <stp>2019-11-29</stp>
        <tr r="Q2052" s="1"/>
      </tp>
      <tp>
        <v>0.84433739711951683</v>
        <stp/>
        <stp>EM_S_VAL_DIVIDENDYIELD2</stp>
        <stp>3</stp>
        <stp>002579</stp>
        <stp>12/31/2018</stp>
        <stp>2019-11-29</stp>
        <tr r="Q396" s="1"/>
      </tp>
      <tp>
        <v>1.9379844961240309</v>
        <stp/>
        <stp>EM_S_VAL_DIVIDENDYIELD2</stp>
        <stp>3</stp>
        <stp>002549</stp>
        <stp>12/31/2018</stp>
        <stp>2019-11-29</stp>
        <tr r="Q1576" s="1"/>
      </tp>
      <tp>
        <v>4.044255433792614</v>
        <stp/>
        <stp>EM_S_VAL_DIVIDENDYIELD2</stp>
        <stp>3</stp>
        <stp>002559</stp>
        <stp>12/31/2018</stp>
        <stp>2019-11-29</stp>
        <tr r="Q2941" s="1"/>
      </tp>
      <tp>
        <v>0.72222222222222232</v>
        <stp/>
        <stp>EM_S_VAL_DIVIDENDYIELD2</stp>
        <stp>3</stp>
        <stp>002589</stp>
        <stp>12/31/2018</stp>
        <stp>2019-11-29</stp>
        <tr r="Q1768" s="1"/>
      </tp>
      <tp>
        <v>0</v>
        <stp/>
        <stp>EM_S_VAL_DIVIDENDYIELD2</stp>
        <stp>3</stp>
        <stp>002599</stp>
        <stp>12/31/2018</stp>
        <stp>2019-11-29</stp>
        <tr r="Q3370" s="1"/>
      </tp>
      <tp>
        <v>0</v>
        <stp/>
        <stp>EM_S_VAL_DIVIDENDYIELD2</stp>
        <stp>3</stp>
        <stp>002829</stp>
        <stp>12/31/2018</stp>
        <stp>2019-11-29</stp>
        <tr r="Q1147" s="1"/>
      </tp>
      <tp>
        <v>2.6929893906986311</v>
        <stp/>
        <stp>EM_S_VAL_DIVIDENDYIELD2</stp>
        <stp>3</stp>
        <stp>002839</stp>
        <stp>12/31/2018</stp>
        <stp>2019-11-29</stp>
        <tr r="Q1722" s="1"/>
      </tp>
      <tp>
        <v>1.283606540727199</v>
        <stp/>
        <stp>EM_S_VAL_DIVIDENDYIELD2</stp>
        <stp>3</stp>
        <stp>002809</stp>
        <stp>12/31/2018</stp>
        <stp>2019-11-29</stp>
        <tr r="Q961" s="1"/>
      </tp>
      <tp>
        <v>0.12596845074174615</v>
        <stp/>
        <stp>EM_S_VAL_DIVIDENDYIELD2</stp>
        <stp>3</stp>
        <stp>002819</stp>
        <stp>12/31/2018</stp>
        <stp>2019-11-29</stp>
        <tr r="Q1242" s="1"/>
      </tp>
      <tp>
        <v>9.9603877020298395E-2</v>
        <stp/>
        <stp>EM_S_VAL_DIVIDENDYIELD2</stp>
        <stp>3</stp>
        <stp>002869</stp>
        <stp>12/31/2018</stp>
        <stp>2019-11-29</stp>
        <tr r="Q26" s="1"/>
      </tp>
      <tp>
        <v>1.3175230566534917</v>
        <stp/>
        <stp>EM_S_VAL_DIVIDENDYIELD2</stp>
        <stp>3</stp>
        <stp>002879</stp>
        <stp>12/31/2018</stp>
        <stp>2019-11-29</stp>
        <tr r="Q1221" s="1"/>
      </tp>
      <tp>
        <v>0.3687029513772237</v>
        <stp/>
        <stp>EM_S_VAL_DIVIDENDYIELD2</stp>
        <stp>3</stp>
        <stp>002849</stp>
        <stp>12/31/2018</stp>
        <stp>2019-11-29</stp>
        <tr r="Q2282" s="1"/>
      </tp>
      <tp>
        <v>0.73800738007380084</v>
        <stp/>
        <stp>EM_S_VAL_DIVIDENDYIELD2</stp>
        <stp>3</stp>
        <stp>002859</stp>
        <stp>12/31/2018</stp>
        <stp>2019-11-29</stp>
        <tr r="Q1645" s="1"/>
      </tp>
      <tp>
        <v>0</v>
        <stp/>
        <stp>EM_S_VAL_DIVIDENDYIELD2</stp>
        <stp>3</stp>
        <stp>002889</stp>
        <stp>12/31/2018</stp>
        <stp>2019-11-29</stp>
        <tr r="Q1842" s="1"/>
      </tp>
      <tp>
        <v>0.73957513768686078</v>
        <stp/>
        <stp>EM_S_VAL_DIVIDENDYIELD2</stp>
        <stp>3</stp>
        <stp>002899</stp>
        <stp>12/31/2018</stp>
        <stp>2019-11-29</stp>
        <tr r="Q2501" s="1"/>
      </tp>
      <tp>
        <v>0.44411547002220586</v>
        <stp/>
        <stp>EM_S_VAL_DIVIDENDYIELD2</stp>
        <stp>3</stp>
        <stp>002929</stp>
        <stp>12/31/2018</stp>
        <stp>2019-11-29</stp>
        <tr r="Q2978" s="1"/>
      </tp>
      <tp>
        <v>1.4634146341463417</v>
        <stp/>
        <stp>EM_S_VAL_DIVIDENDYIELD2</stp>
        <stp>3</stp>
        <stp>002909</stp>
        <stp>12/31/2018</stp>
        <stp>2019-11-29</stp>
        <tr r="Q2046" s="1"/>
      </tp>
      <tp>
        <v>0.46457607433217191</v>
        <stp/>
        <stp>EM_S_VAL_DIVIDENDYIELD2</stp>
        <stp>3</stp>
        <stp>002919</stp>
        <stp>12/31/2018</stp>
        <stp>2019-11-29</stp>
        <tr r="Q3159" s="1"/>
      </tp>
      <tp>
        <v>0.47080389461533823</v>
        <stp/>
        <stp>EM_S_VAL_DIVIDENDYIELD2</stp>
        <stp>3</stp>
        <stp>603259</stp>
        <stp>12/31/2018</stp>
        <stp>2019-11-29</stp>
        <tr r="Q1205" s="1"/>
      </tp>
      <tp>
        <v>0.82889733840304203</v>
        <stp/>
        <stp>EM_S_VAL_DIVIDENDYIELD2</stp>
        <stp>3</stp>
        <stp>603269</stp>
        <stp>12/31/2018</stp>
        <stp>2019-11-29</stp>
        <tr r="Q2502" s="1"/>
      </tp>
      <tp>
        <v>0.27322404371584702</v>
        <stp/>
        <stp>EM_S_VAL_DIVIDENDYIELD2</stp>
        <stp>3</stp>
        <stp>603229</stp>
        <stp>12/31/2018</stp>
        <stp>2019-11-29</stp>
        <tr r="Q274" s="1"/>
      </tp>
      <tp>
        <v>3.1120331950207469</v>
        <stp/>
        <stp>EM_S_VAL_DIVIDENDYIELD2</stp>
        <stp>3</stp>
        <stp>603239</stp>
        <stp>12/31/2018</stp>
        <stp>2019-11-29</stp>
        <tr r="Q1957" s="1"/>
      </tp>
      <tp>
        <v>2.2831050228310499</v>
        <stp/>
        <stp>EM_S_VAL_DIVIDENDYIELD2</stp>
        <stp>3</stp>
        <stp>603289</stp>
        <stp>12/31/2018</stp>
        <stp>2019-11-29</stp>
        <tr r="Q1451" s="1"/>
      </tp>
      <tp>
        <v>0.92879256965944257</v>
        <stp/>
        <stp>EM_S_VAL_DIVIDENDYIELD2</stp>
        <stp>3</stp>
        <stp>603299</stp>
        <stp>12/31/2018</stp>
        <stp>2019-11-29</stp>
        <tr r="Q852" s="1"/>
      </tp>
      <tp>
        <v>1.0176390773405699</v>
        <stp/>
        <stp>EM_S_VAL_DIVIDENDYIELD2</stp>
        <stp>3</stp>
        <stp>603359</stp>
        <stp>12/31/2018</stp>
        <stp>2019-11-29</stp>
        <tr r="Q2716" s="1"/>
      </tp>
      <tp>
        <v>1.0934393638170974</v>
        <stp/>
        <stp>EM_S_VAL_DIVIDENDYIELD2</stp>
        <stp>3</stp>
        <stp>603369</stp>
        <stp>12/31/2018</stp>
        <stp>2019-11-29</stp>
        <tr r="Q109" s="1"/>
      </tp>
      <tp>
        <v>0.78740157480314954</v>
        <stp/>
        <stp>EM_S_VAL_DIVIDENDYIELD2</stp>
        <stp>3</stp>
        <stp>603309</stp>
        <stp>12/31/2018</stp>
        <stp>2019-11-29</stp>
        <tr r="Q620" s="1"/>
      </tp>
      <tp>
        <v>1.7488619885343288</v>
        <stp/>
        <stp>EM_S_VAL_DIVIDENDYIELD2</stp>
        <stp>3</stp>
        <stp>603319</stp>
        <stp>12/31/2018</stp>
        <stp>2019-11-29</stp>
        <tr r="Q2802" s="1"/>
      </tp>
      <tp>
        <v>1.8726591760299627</v>
        <stp/>
        <stp>EM_S_VAL_DIVIDENDYIELD2</stp>
        <stp>3</stp>
        <stp>603329</stp>
        <stp>12/31/2018</stp>
        <stp>2019-11-29</stp>
        <tr r="Q2895" s="1"/>
      </tp>
      <tp>
        <v>1.5444015444015444</v>
        <stp/>
        <stp>EM_S_VAL_DIVIDENDYIELD2</stp>
        <stp>3</stp>
        <stp>603339</stp>
        <stp>12/31/2018</stp>
        <stp>2019-11-29</stp>
        <tr r="Q2771" s="1"/>
      </tp>
      <tp>
        <v>0</v>
        <stp/>
        <stp>EM_S_VAL_DIVIDENDYIELD2</stp>
        <stp>3</stp>
        <stp>603389</stp>
        <stp>12/31/2018</stp>
        <stp>2019-11-29</stp>
        <tr r="Q3343" s="1"/>
      </tp>
      <tp>
        <v>0.19102196752626555</v>
        <stp/>
        <stp>EM_S_VAL_DIVIDENDYIELD2</stp>
        <stp>3</stp>
        <stp>603399</stp>
        <stp>12/31/2018</stp>
        <stp>2019-11-29</stp>
        <tr r="Q1095" s="1"/>
      </tp>
      <tp>
        <v>0.38161318300086738</v>
        <stp/>
        <stp>EM_S_VAL_DIVIDENDYIELD2</stp>
        <stp>3</stp>
        <stp>603059</stp>
        <stp>12/31/2018</stp>
        <stp>2019-11-29</stp>
        <tr r="Q2986" s="1"/>
      </tp>
      <tp>
        <v>0.77419354838709675</v>
        <stp/>
        <stp>EM_S_VAL_DIVIDENDYIELD2</stp>
        <stp>3</stp>
        <stp>603069</stp>
        <stp>12/31/2018</stp>
        <stp>2019-11-29</stp>
        <tr r="Q464" s="1"/>
      </tp>
      <tp>
        <v>0.34188034188034189</v>
        <stp/>
        <stp>EM_S_VAL_DIVIDENDYIELD2</stp>
        <stp>3</stp>
        <stp>603079</stp>
        <stp>12/31/2018</stp>
        <stp>2019-11-29</stp>
        <tr r="Q90" s="1"/>
      </tp>
      <tp>
        <v>0.65828622521619562</v>
        <stp/>
        <stp>EM_S_VAL_DIVIDENDYIELD2</stp>
        <stp>3</stp>
        <stp>603009</stp>
        <stp>12/31/2018</stp>
        <stp>2019-11-29</stp>
        <tr r="Q1875" s="1"/>
      </tp>
      <tp>
        <v>0.29437160954676722</v>
        <stp/>
        <stp>EM_S_VAL_DIVIDENDYIELD2</stp>
        <stp>3</stp>
        <stp>603019</stp>
        <stp>12/31/2018</stp>
        <stp>2019-11-29</stp>
        <tr r="Q2496" s="1"/>
      </tp>
      <tp>
        <v>0.75187969924812026</v>
        <stp/>
        <stp>EM_S_VAL_DIVIDENDYIELD2</stp>
        <stp>3</stp>
        <stp>603029</stp>
        <stp>12/31/2018</stp>
        <stp>2019-11-29</stp>
        <tr r="Q1695" s="1"/>
      </tp>
      <tp>
        <v>0.18362957113210718</v>
        <stp/>
        <stp>EM_S_VAL_DIVIDENDYIELD2</stp>
        <stp>3</stp>
        <stp>603039</stp>
        <stp>12/31/2018</stp>
        <stp>2019-11-29</stp>
        <tr r="Q3129" s="1"/>
      </tp>
      <tp>
        <v>1.7184098980410127</v>
        <stp/>
        <stp>EM_S_VAL_DIVIDENDYIELD2</stp>
        <stp>3</stp>
        <stp>603089</stp>
        <stp>12/31/2018</stp>
        <stp>2019-11-29</stp>
        <tr r="Q2683" s="1"/>
      </tp>
      <tp>
        <v>0.3066037735849057</v>
        <stp/>
        <stp>EM_S_VAL_DIVIDENDYIELD2</stp>
        <stp>3</stp>
        <stp>603099</stp>
        <stp>12/31/2018</stp>
        <stp>2019-11-29</stp>
        <tr r="Q1625" s="1"/>
      </tp>
      <tp>
        <v>1.0041504886865711</v>
        <stp/>
        <stp>EM_S_VAL_DIVIDENDYIELD2</stp>
        <stp>3</stp>
        <stp>603159</stp>
        <stp>12/31/2018</stp>
        <stp>2019-11-29</stp>
        <tr r="Q3276" s="1"/>
      </tp>
      <tp>
        <v>0</v>
        <stp/>
        <stp>EM_S_VAL_DIVIDENDYIELD2</stp>
        <stp>3</stp>
        <stp>603169</stp>
        <stp>12/31/2018</stp>
        <stp>2019-11-29</stp>
        <tr r="Q821" s="1"/>
      </tp>
      <tp>
        <v>2.8486341670908297</v>
        <stp/>
        <stp>EM_S_VAL_DIVIDENDYIELD2</stp>
        <stp>3</stp>
        <stp>603179</stp>
        <stp>12/31/2018</stp>
        <stp>2019-11-29</stp>
        <tr r="Q1445" s="1"/>
      </tp>
      <tp>
        <v>0.89961559582646922</v>
        <stp/>
        <stp>EM_S_VAL_DIVIDENDYIELD2</stp>
        <stp>3</stp>
        <stp>603129</stp>
        <stp>12/31/2018</stp>
        <stp>2019-11-29</stp>
        <tr r="Q76" s="1"/>
      </tp>
      <tp>
        <v>0.69667077681874212</v>
        <stp/>
        <stp>EM_S_VAL_DIVIDENDYIELD2</stp>
        <stp>3</stp>
        <stp>603139</stp>
        <stp>12/31/2018</stp>
        <stp>2019-11-29</stp>
        <tr r="Q1742" s="1"/>
      </tp>
      <tp>
        <v>0.20477815699658702</v>
        <stp/>
        <stp>EM_S_VAL_DIVIDENDYIELD2</stp>
        <stp>3</stp>
        <stp>603189</stp>
        <stp>12/31/2018</stp>
        <stp>2019-11-29</stp>
        <tr r="Q591" s="1"/>
      </tp>
      <tp>
        <v>0.76957899502037119</v>
        <stp/>
        <stp>EM_S_VAL_DIVIDENDYIELD2</stp>
        <stp>3</stp>
        <stp>603199</stp>
        <stp>12/31/2018</stp>
        <stp>2019-11-29</stp>
        <tr r="Q1084" s="1"/>
      </tp>
      <tp>
        <v>0.59842364992306118</v>
        <stp/>
        <stp>EM_S_VAL_DIVIDENDYIELD2</stp>
        <stp>3</stp>
        <stp>603659</stp>
        <stp>12/31/2018</stp>
        <stp>2019-11-29</stp>
        <tr r="Q241" s="1"/>
      </tp>
      <tp>
        <v>4.5592705167173255</v>
        <stp/>
        <stp>EM_S_VAL_DIVIDENDYIELD2</stp>
        <stp>3</stp>
        <stp>603669</stp>
        <stp>12/31/2018</stp>
        <stp>2019-11-29</stp>
        <tr r="Q3197" s="1"/>
      </tp>
      <tp>
        <v>0.24570653190838207</v>
        <stp/>
        <stp>EM_S_VAL_DIVIDENDYIELD2</stp>
        <stp>3</stp>
        <stp>603679</stp>
        <stp>12/31/2018</stp>
        <stp>2019-11-29</stp>
        <tr r="Q247" s="1"/>
      </tp>
      <tp>
        <v>1.5267175572519083</v>
        <stp/>
        <stp>EM_S_VAL_DIVIDENDYIELD2</stp>
        <stp>3</stp>
        <stp>603609</stp>
        <stp>12/31/2018</stp>
        <stp>2019-11-29</stp>
        <tr r="Q548" s="1"/>
      </tp>
      <tp>
        <v>0.16061452513966482</v>
        <stp/>
        <stp>EM_S_VAL_DIVIDENDYIELD2</stp>
        <stp>3</stp>
        <stp>603619</stp>
        <stp>12/31/2018</stp>
        <stp>2019-11-29</stp>
        <tr r="Q2734" s="1"/>
      </tp>
      <tp>
        <v>1.2332636822097824</v>
        <stp/>
        <stp>EM_S_VAL_DIVIDENDYIELD2</stp>
        <stp>3</stp>
        <stp>603639</stp>
        <stp>12/31/2018</stp>
        <stp>2019-11-29</stp>
        <tr r="Q2640" s="1"/>
      </tp>
      <tp>
        <v>1.4625228519195612</v>
        <stp/>
        <stp>EM_S_VAL_DIVIDENDYIELD2</stp>
        <stp>3</stp>
        <stp>603689</stp>
        <stp>12/31/2018</stp>
        <stp>2019-11-29</stp>
        <tr r="Q2038" s="1"/>
      </tp>
      <tp>
        <v>5.1897753679318361</v>
        <stp/>
        <stp>EM_S_VAL_DIVIDENDYIELD2</stp>
        <stp>3</stp>
        <stp>603699</stp>
        <stp>12/31/2018</stp>
        <stp>2019-11-29</stp>
        <tr r="Q1395" s="1"/>
      </tp>
      <tp>
        <v>1.2014210951173923</v>
        <stp/>
        <stp>EM_S_VAL_DIVIDENDYIELD2</stp>
        <stp>3</stp>
        <stp>603779</stp>
        <stp>12/31/2018</stp>
        <stp>2019-11-29</stp>
        <tr r="Q3383" s="1"/>
      </tp>
      <tp>
        <v>0.93220338983050866</v>
        <stp/>
        <stp>EM_S_VAL_DIVIDENDYIELD2</stp>
        <stp>3</stp>
        <stp>603709</stp>
        <stp>12/31/2018</stp>
        <stp>2019-11-29</stp>
        <tr r="Q2206" s="1"/>
      </tp>
      <tp>
        <v>0</v>
        <stp/>
        <stp>EM_S_VAL_DIVIDENDYIELD2</stp>
        <stp>3</stp>
        <stp>603729</stp>
        <stp>12/31/2018</stp>
        <stp>2019-11-29</stp>
        <tr r="Q2042" s="1"/>
      </tp>
      <tp>
        <v>0</v>
        <stp/>
        <stp>EM_S_VAL_DIVIDENDYIELD2</stp>
        <stp>3</stp>
        <stp>603789</stp>
        <stp>12/31/2018</stp>
        <stp>2019-11-29</stp>
        <tr r="Q1413" s="1"/>
      </tp>
      <tp>
        <v>0.2522895273447705</v>
        <stp/>
        <stp>EM_S_VAL_DIVIDENDYIELD2</stp>
        <stp>3</stp>
        <stp>603799</stp>
        <stp>12/31/2018</stp>
        <stp>2019-11-29</stp>
        <tr r="Q912" s="1"/>
      </tp>
      <tp>
        <v>0.42148377596205228</v>
        <stp/>
        <stp>EM_S_VAL_DIVIDENDYIELD2</stp>
        <stp>3</stp>
        <stp>603429</stp>
        <stp>12/31/2018</stp>
        <stp>2019-11-29</stp>
        <tr r="Q535" s="1"/>
      </tp>
      <tp>
        <v>1.0497947974766144</v>
        <stp/>
        <stp>EM_S_VAL_DIVIDENDYIELD2</stp>
        <stp>3</stp>
        <stp>603499</stp>
        <stp>12/31/2018</stp>
        <stp>2019-11-29</stp>
        <tr r="Q3091" s="1"/>
      </tp>
      <tp>
        <v>0.13071895424836602</v>
        <stp/>
        <stp>EM_S_VAL_DIVIDENDYIELD2</stp>
        <stp>3</stp>
        <stp>603559</stp>
        <stp>12/31/2018</stp>
        <stp>2019-11-29</stp>
        <tr r="Q3183" s="1"/>
      </tp>
      <tp>
        <v>1.3879806536534538</v>
        <stp/>
        <stp>EM_S_VAL_DIVIDENDYIELD2</stp>
        <stp>3</stp>
        <stp>603569</stp>
        <stp>12/31/2018</stp>
        <stp>2019-11-29</stp>
        <tr r="Q2510" s="1"/>
      </tp>
      <tp>
        <v>1.0779734099892202</v>
        <stp/>
        <stp>EM_S_VAL_DIVIDENDYIELD2</stp>
        <stp>3</stp>
        <stp>603579</stp>
        <stp>12/31/2018</stp>
        <stp>2019-11-29</stp>
        <tr r="Q1908" s="1"/>
      </tp>
      <tp>
        <v>3.3624747814391389</v>
        <stp/>
        <stp>EM_S_VAL_DIVIDENDYIELD2</stp>
        <stp>3</stp>
        <stp>603519</stp>
        <stp>12/31/2018</stp>
        <stp>2019-11-29</stp>
        <tr r="Q531" s="1"/>
      </tp>
      <tp>
        <v>2.785515320334262</v>
        <stp/>
        <stp>EM_S_VAL_DIVIDENDYIELD2</stp>
        <stp>3</stp>
        <stp>603589</stp>
        <stp>12/31/2018</stp>
        <stp>2019-11-29</stp>
        <tr r="Q454" s="1"/>
      </tp>
      <tp>
        <v>1.258447160316319</v>
        <stp/>
        <stp>EM_S_VAL_DIVIDENDYIELD2</stp>
        <stp>3</stp>
        <stp>603599</stp>
        <stp>12/31/2018</stp>
        <stp>2019-11-29</stp>
        <tr r="Q724" s="1"/>
      </tp>
      <tp>
        <v>0.16169347565493025</v>
        <stp/>
        <stp>EM_S_VAL_DIVIDENDYIELD2</stp>
        <stp>3</stp>
        <stp>603859</stp>
        <stp>12/31/2018</stp>
        <stp>2019-11-29</stp>
        <tr r="Q443" s="1"/>
      </tp>
      <tp>
        <v>1.8199937704675064</v>
        <stp/>
        <stp>EM_S_VAL_DIVIDENDYIELD2</stp>
        <stp>3</stp>
        <stp>603869</stp>
        <stp>12/31/2018</stp>
        <stp>2019-11-29</stp>
        <tr r="Q3074" s="1"/>
      </tp>
      <tp>
        <v>0.43061977258354633</v>
        <stp/>
        <stp>EM_S_VAL_DIVIDENDYIELD2</stp>
        <stp>3</stp>
        <stp>603879</stp>
        <stp>12/31/2018</stp>
        <stp>2019-11-29</stp>
        <tr r="Q1251" s="1"/>
      </tp>
      <tp>
        <v>3.9948865452221156</v>
        <stp/>
        <stp>EM_S_VAL_DIVIDENDYIELD2</stp>
        <stp>3</stp>
        <stp>603809</stp>
        <stp>12/31/2018</stp>
        <stp>2019-11-29</stp>
        <tr r="Q3285" s="1"/>
      </tp>
      <tp>
        <v>1.9319045084761</v>
        <stp/>
        <stp>EM_S_VAL_DIVIDENDYIELD2</stp>
        <stp>3</stp>
        <stp>603819</stp>
        <stp>12/31/2018</stp>
        <stp>2019-11-29</stp>
        <tr r="Q2892" s="1"/>
      </tp>
      <tp>
        <v>1.0960232783705142</v>
        <stp/>
        <stp>EM_S_VAL_DIVIDENDYIELD2</stp>
        <stp>3</stp>
        <stp>603829</stp>
        <stp>12/31/2018</stp>
        <stp>2019-11-29</stp>
        <tr r="Q1573" s="1"/>
      </tp>
      <tp>
        <v>3.0691421617965253</v>
        <stp/>
        <stp>EM_S_VAL_DIVIDENDYIELD2</stp>
        <stp>3</stp>
        <stp>603839</stp>
        <stp>12/31/2018</stp>
        <stp>2019-11-29</stp>
        <tr r="Q1152" s="1"/>
      </tp>
      <tp>
        <v>4.0771948931026252</v>
        <stp/>
        <stp>EM_S_VAL_DIVIDENDYIELD2</stp>
        <stp>3</stp>
        <stp>603889</stp>
        <stp>12/31/2018</stp>
        <stp>2019-11-29</stp>
        <tr r="Q3265" s="1"/>
      </tp>
      <tp>
        <v>0.6531678641410843</v>
        <stp/>
        <stp>EM_S_VAL_DIVIDENDYIELD2</stp>
        <stp>3</stp>
        <stp>603899</stp>
        <stp>12/31/2018</stp>
        <stp>2019-11-29</stp>
        <tr r="Q439" s="1"/>
      </tp>
      <tp>
        <v>0.84656084656084662</v>
        <stp/>
        <stp>EM_S_VAL_DIVIDENDYIELD2</stp>
        <stp>3</stp>
        <stp>603959</stp>
        <stp>12/31/2018</stp>
        <stp>2019-11-29</stp>
        <tr r="Q3275" s="1"/>
      </tp>
      <tp>
        <v>2.4038461538461542</v>
        <stp/>
        <stp>EM_S_VAL_DIVIDENDYIELD2</stp>
        <stp>3</stp>
        <stp>603969</stp>
        <stp>12/31/2018</stp>
        <stp>2019-11-29</stp>
        <tr r="Q2760" s="1"/>
      </tp>
      <tp>
        <v>0.88235294117647056</v>
        <stp/>
        <stp>EM_S_VAL_DIVIDENDYIELD2</stp>
        <stp>3</stp>
        <stp>603979</stp>
        <stp>12/31/2018</stp>
        <stp>2019-11-29</stp>
        <tr r="Q1297" s="1"/>
      </tp>
      <tp>
        <v>0.71519278806569997</v>
        <stp/>
        <stp>EM_S_VAL_DIVIDENDYIELD2</stp>
        <stp>3</stp>
        <stp>603909</stp>
        <stp>12/31/2018</stp>
        <stp>2019-11-29</stp>
        <tr r="Q3356" s="1"/>
      </tp>
      <tp>
        <v>1.3186384236741431</v>
        <stp/>
        <stp>EM_S_VAL_DIVIDENDYIELD2</stp>
        <stp>3</stp>
        <stp>603919</stp>
        <stp>12/31/2018</stp>
        <stp>2019-11-29</stp>
        <tr r="Q540" s="1"/>
      </tp>
      <tp>
        <v>1.8726591760299627</v>
        <stp/>
        <stp>EM_S_VAL_DIVIDENDYIELD2</stp>
        <stp>3</stp>
        <stp>603929</stp>
        <stp>12/31/2018</stp>
        <stp>2019-11-29</stp>
        <tr r="Q2220" s="1"/>
      </tp>
      <tp>
        <v>0.39027253736332762</v>
        <stp/>
        <stp>EM_S_VAL_DIVIDENDYIELD2</stp>
        <stp>3</stp>
        <stp>603939</stp>
        <stp>12/31/2018</stp>
        <stp>2019-11-29</stp>
        <tr r="Q285" s="1"/>
      </tp>
      <tp>
        <v>1.5906680805938493</v>
        <stp/>
        <stp>EM_S_VAL_DIVIDENDYIELD2</stp>
        <stp>3</stp>
        <stp>603989</stp>
        <stp>12/31/2018</stp>
        <stp>2019-11-29</stp>
        <tr r="Q1726" s="1"/>
      </tp>
      <tp>
        <v>0.36163522012578619</v>
        <stp/>
        <stp>EM_S_VAL_DIVIDENDYIELD2</stp>
        <stp>3</stp>
        <stp>603999</stp>
        <stp>12/31/2018</stp>
        <stp>2019-11-29</stp>
        <tr r="Q473" s="1"/>
      </tp>
      <tp>
        <v>4.9537191502250515</v>
        <stp/>
        <stp>EM_S_VAL_DIVIDENDYIELD2</stp>
        <stp>3</stp>
        <stp>300219</stp>
        <stp>12/31/2018</stp>
        <stp>2019-11-29</stp>
        <tr r="Q2822" s="1"/>
      </tp>
      <tp>
        <v>0</v>
        <stp/>
        <stp>EM_S_VAL_DIVIDENDYIELD2</stp>
        <stp>3</stp>
        <stp>600249</stp>
        <stp>12/31/2018</stp>
        <stp>2019-11-29</stp>
        <tr r="Q1050" s="1"/>
      </tp>
      <tp>
        <v>0.10679731861198739</v>
        <stp/>
        <stp>EM_S_VAL_DIVIDENDYIELD2</stp>
        <stp>3</stp>
        <stp>300209</stp>
        <stp>12/31/2018</stp>
        <stp>2019-11-29</stp>
        <tr r="Q866" s="1"/>
      </tp>
      <tp>
        <v>0</v>
        <stp/>
        <stp>EM_S_VAL_DIVIDENDYIELD2</stp>
        <stp>3</stp>
        <stp>600259</stp>
        <stp>12/31/2018</stp>
        <stp>2019-11-29</stp>
        <tr r="Q486" s="1"/>
      </tp>
      <tp>
        <v>0.66383271009052436</v>
        <stp/>
        <stp>EM_S_VAL_DIVIDENDYIELD2</stp>
        <stp>3</stp>
        <stp>300239</stp>
        <stp>12/31/2018</stp>
        <stp>2019-11-29</stp>
        <tr r="Q984" s="1"/>
      </tp>
      <tp>
        <v>2.481389578163772</v>
        <stp/>
        <stp>EM_S_VAL_DIVIDENDYIELD2</stp>
        <stp>3</stp>
        <stp>600269</stp>
        <stp>12/31/2018</stp>
        <stp>2019-11-29</stp>
        <tr r="Q1972" s="1"/>
      </tp>
      <tp>
        <v>0.43240353914330149</v>
        <stp/>
        <stp>EM_S_VAL_DIVIDENDYIELD2</stp>
        <stp>3</stp>
        <stp>300229</stp>
        <stp>12/31/2018</stp>
        <stp>2019-11-29</stp>
        <tr r="Q529" s="1"/>
      </tp>
      <tp>
        <v>1.4742014742014742</v>
        <stp/>
        <stp>EM_S_VAL_DIVIDENDYIELD2</stp>
        <stp>3</stp>
        <stp>600279</stp>
        <stp>12/31/2018</stp>
        <stp>2019-11-29</stp>
        <tr r="Q1653" s="1"/>
      </tp>
      <tp>
        <v>0.27932960893854747</v>
        <stp/>
        <stp>EM_S_VAL_DIVIDENDYIELD2</stp>
        <stp>3</stp>
        <stp>300259</stp>
        <stp>12/31/2018</stp>
        <stp>2019-11-29</stp>
        <tr r="Q399" s="1"/>
      </tp>
      <tp>
        <v>0.19256756756756757</v>
        <stp/>
        <stp>EM_S_VAL_DIVIDENDYIELD2</stp>
        <stp>3</stp>
        <stp>600209</stp>
        <stp>12/31/2018</stp>
        <stp>2019-11-29</stp>
        <tr r="Q3022" s="1"/>
      </tp>
      <tp>
        <v>0.2552929054975222</v>
        <stp/>
        <stp>EM_S_VAL_DIVIDENDYIELD2</stp>
        <stp>3</stp>
        <stp>300249</stp>
        <stp>12/31/2018</stp>
        <stp>2019-11-29</stp>
        <tr r="Q2557" s="1"/>
      </tp>
      <tp>
        <v>2.3148148148148149</v>
        <stp/>
        <stp>EM_S_VAL_DIVIDENDYIELD2</stp>
        <stp>3</stp>
        <stp>600219</stp>
        <stp>12/31/2018</stp>
        <stp>2019-11-29</stp>
        <tr r="Q1916" s="1"/>
      </tp>
      <tp>
        <v>0</v>
        <stp/>
        <stp>EM_S_VAL_DIVIDENDYIELD2</stp>
        <stp>3</stp>
        <stp>300279</stp>
        <stp>12/31/2018</stp>
        <stp>2019-11-29</stp>
        <tr r="Q1022" s="1"/>
      </tp>
      <tp>
        <v>2.9985007496251872</v>
        <stp/>
        <stp>EM_S_VAL_DIVIDENDYIELD2</stp>
        <stp>3</stp>
        <stp>600229</stp>
        <stp>12/31/2018</stp>
        <stp>2019-11-29</stp>
        <tr r="Q2004" s="1"/>
      </tp>
      <tp>
        <v>0</v>
        <stp/>
        <stp>EM_S_VAL_DIVIDENDYIELD2</stp>
        <stp>3</stp>
        <stp>300269</stp>
        <stp>12/31/2018</stp>
        <stp>2019-11-29</stp>
        <tr r="Q2751" s="1"/>
      </tp>
      <tp>
        <v>3.1944444444444442</v>
        <stp/>
        <stp>EM_S_VAL_DIVIDENDYIELD2</stp>
        <stp>3</stp>
        <stp>600239</stp>
        <stp>12/31/2018</stp>
        <stp>2019-11-29</stp>
        <tr r="Q2256" s="1"/>
      </tp>
      <tp>
        <v>0.21367521367521369</v>
        <stp/>
        <stp>EM_S_VAL_DIVIDENDYIELD2</stp>
        <stp>3</stp>
        <stp>300299</stp>
        <stp>12/31/2018</stp>
        <stp>2019-11-29</stp>
        <tr r="Q2152" s="1"/>
      </tp>
      <tp>
        <v>0</v>
        <stp/>
        <stp>EM_S_VAL_DIVIDENDYIELD2</stp>
        <stp>3</stp>
        <stp>300289</stp>
        <stp>12/31/2018</stp>
        <stp>2019-11-29</stp>
        <tr r="Q2864" s="1"/>
      </tp>
      <tp>
        <v>0</v>
        <stp/>
        <stp>EM_S_VAL_DIVIDENDYIELD2</stp>
        <stp>3</stp>
        <stp>600289</stp>
        <stp>12/31/2018</stp>
        <stp>2019-11-29</stp>
        <tr r="Q840" s="1"/>
      </tp>
      <tp>
        <v>1.632075471698113</v>
        <stp/>
        <stp>EM_S_VAL_DIVIDENDYIELD2</stp>
        <stp>3</stp>
        <stp>600299</stp>
        <stp>12/31/2018</stp>
        <stp>2019-11-29</stp>
        <tr r="Q2551" s="1"/>
      </tp>
      <tp>
        <v>0</v>
        <stp/>
        <stp>EM_S_VAL_DIVIDENDYIELD2</stp>
        <stp>3</stp>
        <stp>300319</stp>
        <stp>12/31/2018</stp>
        <stp>2019-11-29</stp>
        <tr r="Q128" s="1"/>
      </tp>
      <tp>
        <v>0</v>
        <stp/>
        <stp>EM_S_VAL_DIVIDENDYIELD2</stp>
        <stp>3</stp>
        <stp>600349</stp>
        <stp>12/31/2018</stp>
        <stp>2019-11-29</stp>
        <tr r="Q12" s="1"/>
      </tp>
      <tp>
        <v>0</v>
        <stp/>
        <stp>EM_S_VAL_DIVIDENDYIELD2</stp>
        <stp>3</stp>
        <stp>300309</stp>
        <stp>12/31/2018</stp>
        <stp>2019-11-29</stp>
        <tr r="Q3321" s="1"/>
      </tp>
      <tp>
        <v>0</v>
        <stp/>
        <stp>EM_S_VAL_DIVIDENDYIELD2</stp>
        <stp>3</stp>
        <stp>600359</stp>
        <stp>12/31/2018</stp>
        <stp>2019-11-29</stp>
        <tr r="Q997" s="1"/>
      </tp>
      <tp>
        <v>0</v>
        <stp/>
        <stp>EM_S_VAL_DIVIDENDYIELD2</stp>
        <stp>3</stp>
        <stp>300339</stp>
        <stp>12/31/2018</stp>
        <stp>2019-11-29</stp>
        <tr r="Q650" s="1"/>
      </tp>
      <tp>
        <v>0.69284064665127021</v>
        <stp/>
        <stp>EM_S_VAL_DIVIDENDYIELD2</stp>
        <stp>3</stp>
        <stp>600369</stp>
        <stp>12/31/2018</stp>
        <stp>2019-11-29</stp>
        <tr r="Q559" s="1"/>
      </tp>
      <tp>
        <v>0.46608662009400265</v>
        <stp/>
        <stp>EM_S_VAL_DIVIDENDYIELD2</stp>
        <stp>3</stp>
        <stp>300329</stp>
        <stp>12/31/2018</stp>
        <stp>2019-11-29</stp>
        <tr r="Q1174" s="1"/>
      </tp>
      <tp>
        <v>0.86138351444473904</v>
        <stp/>
        <stp>EM_S_VAL_DIVIDENDYIELD2</stp>
        <stp>3</stp>
        <stp>600379</stp>
        <stp>12/31/2018</stp>
        <stp>2019-11-29</stp>
        <tr r="Q2976" s="1"/>
      </tp>
      <tp>
        <v>0</v>
        <stp/>
        <stp>EM_S_VAL_DIVIDENDYIELD2</stp>
        <stp>3</stp>
        <stp>300359</stp>
        <stp>12/31/2018</stp>
        <stp>2019-11-29</stp>
        <tr r="Q2431" s="1"/>
      </tp>
      <tp>
        <v>4.1313778145011355</v>
        <stp/>
        <stp>EM_S_VAL_DIVIDENDYIELD2</stp>
        <stp>3</stp>
        <stp>600309</stp>
        <stp>12/31/2018</stp>
        <stp>2019-11-29</stp>
        <tr r="Q168" s="1"/>
      </tp>
      <tp>
        <v>3.5688793718772307</v>
        <stp/>
        <stp>EM_S_VAL_DIVIDENDYIELD2</stp>
        <stp>3</stp>
        <stp>300349</stp>
        <stp>12/31/2018</stp>
        <stp>2019-11-29</stp>
        <tr r="Q2578" s="1"/>
      </tp>
      <tp>
        <v>0</v>
        <stp/>
        <stp>EM_S_VAL_DIVIDENDYIELD2</stp>
        <stp>3</stp>
        <stp>600319</stp>
        <stp>12/31/2018</stp>
        <stp>2019-11-29</stp>
        <tr r="Q2240" s="1"/>
      </tp>
      <tp>
        <v>0</v>
        <stp/>
        <stp>EM_S_VAL_DIVIDENDYIELD2</stp>
        <stp>3</stp>
        <stp>300379</stp>
        <stp>12/31/2018</stp>
        <stp>2019-11-29</stp>
        <tr r="Q36" s="1"/>
      </tp>
      <tp>
        <v>1.6442451420029895</v>
        <stp/>
        <stp>EM_S_VAL_DIVIDENDYIELD2</stp>
        <stp>3</stp>
        <stp>600329</stp>
        <stp>12/31/2018</stp>
        <stp>2019-11-29</stp>
        <tr r="Q1791" s="1"/>
      </tp>
      <tp>
        <v>0.34626692650980156</v>
        <stp/>
        <stp>EM_S_VAL_DIVIDENDYIELD2</stp>
        <stp>3</stp>
        <stp>300369</stp>
        <stp>12/31/2018</stp>
        <stp>2019-11-29</stp>
        <tr r="Q143" s="1"/>
      </tp>
      <tp>
        <v>1.614906832298137</v>
        <stp/>
        <stp>EM_S_VAL_DIVIDENDYIELD2</stp>
        <stp>3</stp>
        <stp>600339</stp>
        <stp>12/31/2018</stp>
        <stp>2019-11-29</stp>
        <tr r="Q2706" s="1"/>
      </tp>
      <tp>
        <v>0.19247594050743655</v>
        <stp/>
        <stp>EM_S_VAL_DIVIDENDYIELD2</stp>
        <stp>3</stp>
        <stp>300399</stp>
        <stp>12/31/2018</stp>
        <stp>2019-11-29</stp>
        <tr r="Q472" s="1"/>
      </tp>
      <tp>
        <v>1.5461753006073065</v>
        <stp/>
        <stp>EM_S_VAL_DIVIDENDYIELD2</stp>
        <stp>3</stp>
        <stp>300389</stp>
        <stp>12/31/2018</stp>
        <stp>2019-11-29</stp>
        <tr r="Q3203" s="1"/>
      </tp>
      <tp>
        <v>2.1186440677966099</v>
        <stp/>
        <stp>EM_S_VAL_DIVIDENDYIELD2</stp>
        <stp>3</stp>
        <stp>600389</stp>
        <stp>12/31/2018</stp>
        <stp>2019-11-29</stp>
        <tr r="Q1130" s="1"/>
      </tp>
      <tp>
        <v>0</v>
        <stp/>
        <stp>EM_S_VAL_DIVIDENDYIELD2</stp>
        <stp>3</stp>
        <stp>600399</stp>
        <stp>12/31/2018</stp>
        <stp>2019-11-29</stp>
        <tr r="Q902" s="1"/>
      </tp>
      <tp>
        <v>1.8231540565177755</v>
        <stp/>
        <stp>EM_S_VAL_DIVIDENDYIELD2</stp>
        <stp>3</stp>
        <stp>000029</stp>
        <stp>12/31/2018</stp>
        <stp>2019-11-29</stp>
        <tr r="Q2341" s="1"/>
      </tp>
      <tp>
        <v>0</v>
        <stp/>
        <stp>EM_S_VAL_DIVIDENDYIELD2</stp>
        <stp>3</stp>
        <stp>300019</stp>
        <stp>12/31/2018</stp>
        <stp>2019-11-29</stp>
        <tr r="Q390" s="1"/>
      </tp>
      <tp>
        <v>4.752566215627815</v>
        <stp/>
        <stp>EM_S_VAL_DIVIDENDYIELD2</stp>
        <stp>3</stp>
        <stp>000039</stp>
        <stp>12/31/2018</stp>
        <stp>2019-11-29</stp>
        <tr r="Q1426" s="1"/>
      </tp>
      <tp>
        <v>1.0033444816053509</v>
        <stp/>
        <stp>EM_S_VAL_DIVIDENDYIELD2</stp>
        <stp>3</stp>
        <stp>300009</stp>
        <stp>12/31/2018</stp>
        <stp>2019-11-29</stp>
        <tr r="Q1660" s="1"/>
      </tp>
      <tp>
        <v>1.1976047904191618</v>
        <stp/>
        <stp>EM_S_VAL_DIVIDENDYIELD2</stp>
        <stp>3</stp>
        <stp>600059</stp>
        <stp>12/31/2018</stp>
        <stp>2019-11-29</stp>
        <tr r="Q979" s="1"/>
      </tp>
      <tp>
        <v>0.37285607758297656</v>
        <stp/>
        <stp>EM_S_VAL_DIVIDENDYIELD2</stp>
        <stp>3</stp>
        <stp>000009</stp>
        <stp>12/31/2018</stp>
        <stp>2019-11-29</stp>
        <tr r="Q295" s="1"/>
      </tp>
      <tp>
        <v>2.1739130434782608</v>
        <stp/>
        <stp>EM_S_VAL_DIVIDENDYIELD2</stp>
        <stp>3</stp>
        <stp>300039</stp>
        <stp>12/31/2018</stp>
        <stp>2019-11-29</stp>
        <tr r="Q1356" s="1"/>
      </tp>
      <tp>
        <v>0</v>
        <stp/>
        <stp>EM_S_VAL_DIVIDENDYIELD2</stp>
        <stp>3</stp>
        <stp>600069</stp>
        <stp>12/31/2018</stp>
        <stp>2019-11-29</stp>
        <tr r="Q2650" s="1"/>
      </tp>
      <tp>
        <v>1.7094017094017095</v>
        <stp/>
        <stp>EM_S_VAL_DIVIDENDYIELD2</stp>
        <stp>3</stp>
        <stp>000019</stp>
        <stp>12/31/2018</stp>
        <stp>2019-11-29</stp>
        <tr r="Q2891" s="1"/>
      </tp>
      <tp>
        <v>0</v>
        <stp/>
        <stp>EM_S_VAL_DIVIDENDYIELD2</stp>
        <stp>3</stp>
        <stp>300029</stp>
        <stp>12/31/2018</stp>
        <stp>2019-11-29</stp>
        <tr r="Q944" s="1"/>
      </tp>
      <tp>
        <v>0</v>
        <stp/>
        <stp>EM_S_VAL_DIVIDENDYIELD2</stp>
        <stp>3</stp>
        <stp>600079</stp>
        <stp>12/31/2018</stp>
        <stp>2019-11-29</stp>
        <tr r="Q1010" s="1"/>
      </tp>
      <tp>
        <v>4.354972486848399</v>
        <stp/>
        <stp>EM_S_VAL_DIVIDENDYIELD2</stp>
        <stp>3</stp>
        <stp>000069</stp>
        <stp>12/31/2018</stp>
        <stp>2019-11-29</stp>
        <tr r="Q986" s="1"/>
      </tp>
      <tp>
        <v>0.12033694344522038</v>
        <stp/>
        <stp>EM_S_VAL_DIVIDENDYIELD2</stp>
        <stp>3</stp>
        <stp>300059</stp>
        <stp>12/31/2018</stp>
        <stp>2019-11-29</stp>
        <tr r="Q916" s="1"/>
      </tp>
      <tp>
        <v>0.87847730600292828</v>
        <stp/>
        <stp>EM_S_VAL_DIVIDENDYIELD2</stp>
        <stp>3</stp>
        <stp>600009</stp>
        <stp>12/31/2018</stp>
        <stp>2019-11-29</stp>
        <tr r="Q511" s="1"/>
      </tp>
      <tp>
        <v>0</v>
        <stp/>
        <stp>EM_S_VAL_DIVIDENDYIELD2</stp>
        <stp>3</stp>
        <stp>300049</stp>
        <stp>12/31/2018</stp>
        <stp>2019-11-29</stp>
        <tr r="Q3166" s="1"/>
      </tp>
      <tp>
        <v>9.1414546605799405</v>
        <stp/>
        <stp>EM_S_VAL_DIVIDENDYIELD2</stp>
        <stp>3</stp>
        <stp>600019</stp>
        <stp>12/31/2018</stp>
        <stp>2019-11-29</stp>
        <tr r="Q2815" s="1"/>
      </tp>
      <tp>
        <v>0.66552633372459946</v>
        <stp/>
        <stp>EM_S_VAL_DIVIDENDYIELD2</stp>
        <stp>3</stp>
        <stp>000049</stp>
        <stp>12/31/2018</stp>
        <stp>2019-11-29</stp>
        <tr r="Q678" s="1"/>
      </tp>
      <tp>
        <v>0.20931732776617956</v>
        <stp/>
        <stp>EM_S_VAL_DIVIDENDYIELD2</stp>
        <stp>3</stp>
        <stp>300079</stp>
        <stp>12/31/2018</stp>
        <stp>2019-11-29</stp>
        <tr r="Q236" s="1"/>
      </tp>
      <tp>
        <v>0.75642965204236012</v>
        <stp/>
        <stp>EM_S_VAL_DIVIDENDYIELD2</stp>
        <stp>3</stp>
        <stp>600029</stp>
        <stp>12/31/2018</stp>
        <stp>2019-11-29</stp>
        <tr r="Q1859" s="1"/>
      </tp>
      <tp>
        <v>4.3327556325823222</v>
        <stp/>
        <stp>EM_S_VAL_DIVIDENDYIELD2</stp>
        <stp>3</stp>
        <stp>000059</stp>
        <stp>12/31/2018</stp>
        <stp>2019-11-29</stp>
        <tr r="Q1923" s="1"/>
      </tp>
      <tp>
        <v>0</v>
        <stp/>
        <stp>EM_S_VAL_DIVIDENDYIELD2</stp>
        <stp>3</stp>
        <stp>300069</stp>
        <stp>12/31/2018</stp>
        <stp>2019-11-29</stp>
        <tr r="Q270" s="1"/>
      </tp>
      <tp>
        <v>1.5432098765432101</v>
        <stp/>
        <stp>EM_S_VAL_DIVIDENDYIELD2</stp>
        <stp>3</stp>
        <stp>600039</stp>
        <stp>12/31/2018</stp>
        <stp>2019-11-29</stp>
        <tr r="Q2260" s="1"/>
      </tp>
      <tp>
        <v>1.7064846416382253</v>
        <stp/>
        <stp>EM_S_VAL_DIVIDENDYIELD2</stp>
        <stp>3</stp>
        <stp>300099</stp>
        <stp>12/31/2018</stp>
        <stp>2019-11-29</stp>
        <tr r="Q551" s="1"/>
      </tp>
      <tp>
        <v>0</v>
        <stp/>
        <stp>EM_S_VAL_DIVIDENDYIELD2</stp>
        <stp>3</stp>
        <stp>300089</stp>
        <stp>12/31/2018</stp>
        <stp>2019-11-29</stp>
        <tr r="Q3253" s="1"/>
      </tp>
      <tp>
        <v>0.91101694915254239</v>
        <stp/>
        <stp>EM_S_VAL_DIVIDENDYIELD2</stp>
        <stp>3</stp>
        <stp>000089</stp>
        <stp>12/31/2018</stp>
        <stp>2019-11-29</stp>
        <tr r="Q1035" s="1"/>
      </tp>
      <tp>
        <v>0.35816618911174786</v>
        <stp/>
        <stp>EM_S_VAL_DIVIDENDYIELD2</stp>
        <stp>3</stp>
        <stp>000099</stp>
        <stp>12/31/2018</stp>
        <stp>2019-11-29</stp>
        <tr r="Q899" s="1"/>
      </tp>
      <tp>
        <v>2.7736395627918355</v>
        <stp/>
        <stp>EM_S_VAL_DIVIDENDYIELD2</stp>
        <stp>3</stp>
        <stp>600089</stp>
        <stp>12/31/2018</stp>
        <stp>2019-11-29</stp>
        <tr r="Q2447" s="1"/>
      </tp>
      <tp>
        <v>0</v>
        <stp/>
        <stp>EM_S_VAL_DIVIDENDYIELD2</stp>
        <stp>3</stp>
        <stp>600099</stp>
        <stp>12/31/2018</stp>
        <stp>2019-11-29</stp>
        <tr r="Q1401" s="1"/>
      </tp>
      <tp>
        <v>1.1035436193222785</v>
        <stp/>
        <stp>EM_S_VAL_DIVIDENDYIELD2</stp>
        <stp>3</stp>
        <stp>300119</stp>
        <stp>12/31/2018</stp>
        <stp>2019-11-29</stp>
        <tr r="Q217" s="1"/>
      </tp>
      <tp>
        <v>0</v>
        <stp/>
        <stp>EM_S_VAL_DIVIDENDYIELD2</stp>
        <stp>3</stp>
        <stp>600149</stp>
        <stp>12/31/2018</stp>
        <stp>2019-11-29</stp>
        <tr r="Q1642" s="1"/>
      </tp>
      <tp>
        <v>0.37085237255821463</v>
        <stp/>
        <stp>EM_S_VAL_DIVIDENDYIELD2</stp>
        <stp>3</stp>
        <stp>300109</stp>
        <stp>12/31/2018</stp>
        <stp>2019-11-29</stp>
        <tr r="Q1364" s="1"/>
      </tp>
      <tp>
        <v>1.9920318725099602</v>
        <stp/>
        <stp>EM_S_VAL_DIVIDENDYIELD2</stp>
        <stp>3</stp>
        <stp>600159</stp>
        <stp>12/31/2018</stp>
        <stp>2019-11-29</stp>
        <tr r="Q1961" s="1"/>
      </tp>
      <tp>
        <v>0</v>
        <stp/>
        <stp>EM_S_VAL_DIVIDENDYIELD2</stp>
        <stp>3</stp>
        <stp>300139</stp>
        <stp>12/31/2018</stp>
        <stp>2019-11-29</stp>
        <tr r="Q1318" s="1"/>
      </tp>
      <tp>
        <v>0</v>
        <stp/>
        <stp>EM_S_VAL_DIVIDENDYIELD2</stp>
        <stp>3</stp>
        <stp>600169</stp>
        <stp>12/31/2018</stp>
        <stp>2019-11-29</stp>
        <tr r="Q2058" s="1"/>
      </tp>
      <tp>
        <v>1.7621145374449341</v>
        <stp/>
        <stp>EM_S_VAL_DIVIDENDYIELD2</stp>
        <stp>3</stp>
        <stp>300129</stp>
        <stp>12/31/2018</stp>
        <stp>2019-11-29</stp>
        <tr r="Q310" s="1"/>
      </tp>
      <tp>
        <v>0</v>
        <stp/>
        <stp>EM_S_VAL_DIVIDENDYIELD2</stp>
        <stp>3</stp>
        <stp>600179</stp>
        <stp>12/31/2018</stp>
        <stp>2019-11-29</stp>
        <tr r="Q3223" s="1"/>
      </tp>
      <tp>
        <v>0.53846153846153832</v>
        <stp/>
        <stp>EM_S_VAL_DIVIDENDYIELD2</stp>
        <stp>3</stp>
        <stp>300159</stp>
        <stp>12/31/2018</stp>
        <stp>2019-11-29</stp>
        <tr r="Q2909" s="1"/>
      </tp>
      <tp>
        <v>0.48661800486618007</v>
        <stp/>
        <stp>EM_S_VAL_DIVIDENDYIELD2</stp>
        <stp>3</stp>
        <stp>600109</stp>
        <stp>12/31/2018</stp>
        <stp>2019-11-29</stp>
        <tr r="Q918" s="1"/>
      </tp>
      <tp>
        <v>0.5251312828207052</v>
        <stp/>
        <stp>EM_S_VAL_DIVIDENDYIELD2</stp>
        <stp>3</stp>
        <stp>300149</stp>
        <stp>12/31/2018</stp>
        <stp>2019-11-29</stp>
        <tr r="Q2776" s="1"/>
      </tp>
      <tp>
        <v>0</v>
        <stp/>
        <stp>EM_S_VAL_DIVIDENDYIELD2</stp>
        <stp>3</stp>
        <stp>600119</stp>
        <stp>12/31/2018</stp>
        <stp>2019-11-29</stp>
        <tr r="Q3176" s="1"/>
      </tp>
      <tp>
        <v>2.9619746410723637</v>
        <stp/>
        <stp>EM_S_VAL_DIVIDENDYIELD2</stp>
        <stp>3</stp>
        <stp>300179</stp>
        <stp>12/31/2018</stp>
        <stp>2019-11-29</stp>
        <tr r="Q596" s="1"/>
      </tp>
      <tp>
        <v>0.86206896551724155</v>
        <stp/>
        <stp>EM_S_VAL_DIVIDENDYIELD2</stp>
        <stp>3</stp>
        <stp>600129</stp>
        <stp>12/31/2018</stp>
        <stp>2019-11-29</stp>
        <tr r="Q892" s="1"/>
      </tp>
      <tp>
        <v>0.51418306302275951</v>
        <stp/>
        <stp>EM_S_VAL_DIVIDENDYIELD2</stp>
        <stp>3</stp>
        <stp>000159</stp>
        <stp>12/31/2018</stp>
        <stp>2019-11-29</stp>
        <tr r="Q847" s="1"/>
      </tp>
      <tp>
        <v>0</v>
        <stp/>
        <stp>EM_S_VAL_DIVIDENDYIELD2</stp>
        <stp>3</stp>
        <stp>300169</stp>
        <stp>12/31/2018</stp>
        <stp>2019-11-29</stp>
        <tr r="Q1392" s="1"/>
      </tp>
      <tp>
        <v>0</v>
        <stp/>
        <stp>EM_S_VAL_DIVIDENDYIELD2</stp>
        <stp>3</stp>
        <stp>600139</stp>
        <stp>12/31/2018</stp>
        <stp>2019-11-29</stp>
        <tr r="Q1360" s="1"/>
      </tp>
      <tp>
        <v>0</v>
        <stp/>
        <stp>EM_S_VAL_DIVIDENDYIELD2</stp>
        <stp>3</stp>
        <stp>300199</stp>
        <stp>12/31/2018</stp>
        <stp>2019-11-29</stp>
        <tr r="Q3302" s="1"/>
      </tp>
      <tp>
        <v>0</v>
        <stp/>
        <stp>EM_S_VAL_DIVIDENDYIELD2</stp>
        <stp>3</stp>
        <stp>300189</stp>
        <stp>12/31/2018</stp>
        <stp>2019-11-29</stp>
        <tr r="Q624" s="1"/>
      </tp>
      <tp>
        <v>0</v>
        <stp/>
        <stp>EM_S_VAL_DIVIDENDYIELD2</stp>
        <stp>3</stp>
        <stp>600189</stp>
        <stp>12/31/2018</stp>
        <stp>2019-11-29</stp>
        <tr r="Q2168" s="1"/>
      </tp>
      <tp>
        <v>0.2669039145907473</v>
        <stp/>
        <stp>EM_S_VAL_DIVIDENDYIELD2</stp>
        <stp>3</stp>
        <stp>600199</stp>
        <stp>12/31/2018</stp>
        <stp>2019-11-29</stp>
        <tr r="Q781" s="1"/>
      </tp>
      <tp>
        <v>0</v>
        <stp/>
        <stp>EM_S_VAL_DIVIDENDYIELD2</stp>
        <stp>3</stp>
        <stp>000629</stp>
        <stp>12/31/2018</stp>
        <stp>2019-11-29</stp>
        <tr r="Q2438" s="1"/>
      </tp>
      <tp>
        <v>0.30148423005565861</v>
        <stp/>
        <stp>EM_S_VAL_DIVIDENDYIELD2</stp>
        <stp>3</stp>
        <stp>300619</stp>
        <stp>12/31/2018</stp>
        <stp>2019-11-29</stp>
        <tr r="Q2952" s="1"/>
      </tp>
      <tp>
        <v>0.90744101633393837</v>
        <stp/>
        <stp>EM_S_VAL_DIVIDENDYIELD2</stp>
        <stp>3</stp>
        <stp>600649</stp>
        <stp>12/31/2018</stp>
        <stp>2019-11-29</stp>
        <tr r="Q2008" s="1"/>
      </tp>
      <tp>
        <v>1.2288786484611776</v>
        <stp/>
        <stp>EM_S_VAL_DIVIDENDYIELD2</stp>
        <stp>3</stp>
        <stp>000639</stp>
        <stp>12/31/2018</stp>
        <stp>2019-11-29</stp>
        <tr r="Q3211" s="1"/>
      </tp>
      <tp>
        <v>0.7315418114745873</v>
        <stp/>
        <stp>EM_S_VAL_DIVIDENDYIELD2</stp>
        <stp>3</stp>
        <stp>300609</stp>
        <stp>12/31/2018</stp>
        <stp>2019-11-29</stp>
        <tr r="Q784" s="1"/>
      </tp>
      <tp>
        <v>0</v>
        <stp/>
        <stp>EM_S_VAL_DIVIDENDYIELD2</stp>
        <stp>3</stp>
        <stp>600659</stp>
        <stp>12/31/2018</stp>
        <stp>2019-11-29</stp>
        <tr r="Q2324" s="1"/>
      </tp>
      <tp>
        <v>0</v>
        <stp/>
        <stp>EM_S_VAL_DIVIDENDYIELD2</stp>
        <stp>3</stp>
        <stp>000609</stp>
        <stp>12/31/2018</stp>
        <stp>2019-11-29</stp>
        <tr r="Q3482" s="1"/>
      </tp>
      <tp>
        <v>0.82734698654499306</v>
        <stp/>
        <stp>EM_S_VAL_DIVIDENDYIELD2</stp>
        <stp>3</stp>
        <stp>300639</stp>
        <stp>12/31/2018</stp>
        <stp>2019-11-29</stp>
        <tr r="Q429" s="1"/>
      </tp>
      <tp>
        <v>0</v>
        <stp/>
        <stp>EM_S_VAL_DIVIDENDYIELD2</stp>
        <stp>3</stp>
        <stp>600669</stp>
        <stp>12/31/2018</stp>
        <stp>2019-11-29</stp>
        <tr r="Q2313" s="1"/>
      </tp>
      <tp>
        <v>0</v>
        <stp/>
        <stp>EM_S_VAL_DIVIDENDYIELD2</stp>
        <stp>3</stp>
        <stp>000619</stp>
        <stp>12/31/2018</stp>
        <stp>2019-11-29</stp>
        <tr r="Q1623" s="1"/>
      </tp>
      <tp>
        <v>5.2163403815770559E-2</v>
        <stp/>
        <stp>EM_S_VAL_DIVIDENDYIELD2</stp>
        <stp>3</stp>
        <stp>300629</stp>
        <stp>12/31/2018</stp>
        <stp>2019-11-29</stp>
        <tr r="Q1628" s="1"/>
      </tp>
      <tp>
        <v>0</v>
        <stp/>
        <stp>EM_S_VAL_DIVIDENDYIELD2</stp>
        <stp>3</stp>
        <stp>600679</stp>
        <stp>12/31/2018</stp>
        <stp>2019-11-29</stp>
        <tr r="Q1214" s="1"/>
      </tp>
      <tp>
        <v>0</v>
        <stp/>
        <stp>EM_S_VAL_DIVIDENDYIELD2</stp>
        <stp>3</stp>
        <stp>000669</stp>
        <stp>12/31/2018</stp>
        <stp>2019-11-29</stp>
        <tr r="Q3501" s="1"/>
      </tp>
      <tp>
        <v>0.19421246844047388</v>
        <stp/>
        <stp>EM_S_VAL_DIVIDENDYIELD2</stp>
        <stp>3</stp>
        <stp>300659</stp>
        <stp>12/31/2018</stp>
        <stp>2019-11-29</stp>
        <tr r="Q39" s="1"/>
      </tp>
      <tp>
        <v>0</v>
        <stp/>
        <stp>EM_S_VAL_DIVIDENDYIELD2</stp>
        <stp>3</stp>
        <stp>600609</stp>
        <stp>12/31/2018</stp>
        <stp>2019-11-29</stp>
        <tr r="Q955" s="1"/>
      </tp>
      <tp>
        <v>0</v>
        <stp/>
        <stp>EM_S_VAL_DIVIDENDYIELD2</stp>
        <stp>3</stp>
        <stp>000679</stp>
        <stp>12/31/2018</stp>
        <stp>2019-11-29</stp>
        <tr r="Q3506" s="1"/>
      </tp>
      <tp>
        <v>0.52083333333333326</v>
        <stp/>
        <stp>EM_S_VAL_DIVIDENDYIELD2</stp>
        <stp>3</stp>
        <stp>300649</stp>
        <stp>12/31/2018</stp>
        <stp>2019-11-29</stp>
        <tr r="Q3039" s="1"/>
      </tp>
      <tp>
        <v>1.8987341772151896</v>
        <stp/>
        <stp>EM_S_VAL_DIVIDENDYIELD2</stp>
        <stp>3</stp>
        <stp>600619</stp>
        <stp>12/31/2018</stp>
        <stp>2019-11-29</stp>
        <tr r="Q2513" s="1"/>
      </tp>
      <tp>
        <v>0.23369036027263873</v>
        <stp/>
        <stp>EM_S_VAL_DIVIDENDYIELD2</stp>
        <stp>3</stp>
        <stp>300679</stp>
        <stp>12/31/2018</stp>
        <stp>2019-11-29</stp>
        <tr r="Q739" s="1"/>
      </tp>
      <tp>
        <v>1.8159806308998467</v>
        <stp/>
        <stp>EM_S_VAL_DIVIDENDYIELD2</stp>
        <stp>3</stp>
        <stp>600629</stp>
        <stp>12/31/2018</stp>
        <stp>2019-11-29</stp>
        <tr r="Q3119" s="1"/>
      </tp>
      <tp>
        <v>0</v>
        <stp/>
        <stp>EM_S_VAL_DIVIDENDYIELD2</stp>
        <stp>3</stp>
        <stp>000659</stp>
        <stp>12/31/2018</stp>
        <stp>2019-11-29</stp>
        <tr r="Q3261" s="1"/>
      </tp>
      <tp>
        <v>0.78821677174640592</v>
        <stp/>
        <stp>EM_S_VAL_DIVIDENDYIELD2</stp>
        <stp>3</stp>
        <stp>300669</stp>
        <stp>12/31/2018</stp>
        <stp>2019-11-29</stp>
        <tr r="Q488" s="1"/>
      </tp>
      <tp>
        <v>2.302379125095932</v>
        <stp/>
        <stp>EM_S_VAL_DIVIDENDYIELD2</stp>
        <stp>3</stp>
        <stp>600639</stp>
        <stp>12/31/2018</stp>
        <stp>2019-11-29</stp>
        <tr r="Q1287" s="1"/>
      </tp>
      <tp>
        <v>0.95085957705766011</v>
        <stp/>
        <stp>EM_S_VAL_DIVIDENDYIELD2</stp>
        <stp>3</stp>
        <stp>300699</stp>
        <stp>12/31/2018</stp>
        <stp>2019-11-29</stp>
        <tr r="Q995" s="1"/>
      </tp>
      <tp>
        <v>0.4230710074339914</v>
        <stp/>
        <stp>EM_S_VAL_DIVIDENDYIELD2</stp>
        <stp>3</stp>
        <stp>300689</stp>
        <stp>12/31/2018</stp>
        <stp>2019-11-29</stp>
        <tr r="Q977" s="1"/>
      </tp>
      <tp>
        <v>0</v>
        <stp/>
        <stp>EM_S_VAL_DIVIDENDYIELD2</stp>
        <stp>3</stp>
        <stp>000689</stp>
        <stp>12/31/2018</stp>
        <stp>2019-11-29</stp>
        <tr r="Q3511" s="1"/>
      </tp>
      <tp>
        <v>0</v>
        <stp/>
        <stp>EM_S_VAL_DIVIDENDYIELD2</stp>
        <stp>3</stp>
        <stp>000699</stp>
        <stp>12/31/2018</stp>
        <stp>2019-11-29</stp>
        <tr r="Q3515" s="1"/>
      </tp>
      <tp>
        <v>0.18458197611292076</v>
        <stp/>
        <stp>EM_S_VAL_DIVIDENDYIELD2</stp>
        <stp>3</stp>
        <stp>600689</stp>
        <stp>12/31/2018</stp>
        <stp>2019-11-29</stp>
        <tr r="Q2646" s="1"/>
      </tp>
      <tp>
        <v>0</v>
        <stp/>
        <stp>EM_S_VAL_DIVIDENDYIELD2</stp>
        <stp>3</stp>
        <stp>600699</stp>
        <stp>12/31/2018</stp>
        <stp>2019-11-29</stp>
        <tr r="Q3125" s="1"/>
      </tp>
      <tp>
        <v>0.35947712418300654</v>
        <stp/>
        <stp>EM_S_VAL_DIVIDENDYIELD2</stp>
        <stp>3</stp>
        <stp>000729</stp>
        <stp>12/31/2018</stp>
        <stp>2019-11-29</stp>
        <tr r="Q1469" s="1"/>
      </tp>
      <tp>
        <v>1.801536907153797</v>
        <stp/>
        <stp>EM_S_VAL_DIVIDENDYIELD2</stp>
        <stp>3</stp>
        <stp>300719</stp>
        <stp>12/31/2018</stp>
        <stp>2019-11-29</stp>
        <tr r="Q1490" s="1"/>
      </tp>
      <tp>
        <v>0</v>
        <stp/>
        <stp>EM_S_VAL_DIVIDENDYIELD2</stp>
        <stp>3</stp>
        <stp>600749</stp>
        <stp>12/31/2018</stp>
        <stp>2019-11-29</stp>
        <tr r="Q2258" s="1"/>
      </tp>
      <tp>
        <v>0.80350620891161439</v>
        <stp/>
        <stp>EM_S_VAL_DIVIDENDYIELD2</stp>
        <stp>3</stp>
        <stp>000739</stp>
        <stp>12/31/2018</stp>
        <stp>2019-11-29</stp>
        <tr r="Q340" s="1"/>
      </tp>
      <tp>
        <v>0.13791840612480735</v>
        <stp/>
        <stp>EM_S_VAL_DIVIDENDYIELD2</stp>
        <stp>3</stp>
        <stp>300709</stp>
        <stp>12/31/2018</stp>
        <stp>2019-11-29</stp>
        <tr r="Q30" s="1"/>
      </tp>
      <tp>
        <v>0</v>
        <stp/>
        <stp>EM_S_VAL_DIVIDENDYIELD2</stp>
        <stp>3</stp>
        <stp>600759</stp>
        <stp>12/31/2018</stp>
        <stp>2019-11-29</stp>
        <tr r="Q1390" s="1"/>
      </tp>
      <tp>
        <v>4.076313492063492</v>
        <stp/>
        <stp>EM_S_VAL_DIVIDENDYIELD2</stp>
        <stp>3</stp>
        <stp>000709</stp>
        <stp>12/31/2018</stp>
        <stp>2019-11-29</stp>
        <tr r="Q2736" s="1"/>
      </tp>
      <tp>
        <v>1.3847675568743816</v>
        <stp/>
        <stp>EM_S_VAL_DIVIDENDYIELD2</stp>
        <stp>3</stp>
        <stp>300739</stp>
        <stp>12/31/2018</stp>
        <stp>2019-11-29</stp>
        <tr r="Q2754" s="1"/>
      </tp>
      <tp>
        <v>0</v>
        <stp/>
        <stp>EM_S_VAL_DIVIDENDYIELD2</stp>
        <stp>3</stp>
        <stp>600769</stp>
        <stp>12/31/2018</stp>
        <stp>2019-11-29</stp>
        <tr r="Q695" s="1"/>
      </tp>
      <tp>
        <v>3.6603221083455346</v>
        <stp/>
        <stp>EM_S_VAL_DIVIDENDYIELD2</stp>
        <stp>3</stp>
        <stp>000719</stp>
        <stp>12/31/2018</stp>
        <stp>2019-11-29</stp>
        <tr r="Q2726" s="1"/>
      </tp>
      <tp>
        <v>0.88024327692802706</v>
        <stp/>
        <stp>EM_S_VAL_DIVIDENDYIELD2</stp>
        <stp>3</stp>
        <stp>300729</stp>
        <stp>12/31/2018</stp>
        <stp>2019-11-29</stp>
        <tr r="Q1886" s="1"/>
      </tp>
      <tp>
        <v>2.0259003015788539</v>
        <stp/>
        <stp>EM_S_VAL_DIVIDENDYIELD2</stp>
        <stp>3</stp>
        <stp>600779</stp>
        <stp>12/31/2018</stp>
        <stp>2019-11-29</stp>
        <tr r="Q355" s="1"/>
      </tp>
      <tp>
        <v>0</v>
        <stp/>
        <stp>EM_S_VAL_DIVIDENDYIELD2</stp>
        <stp>3</stp>
        <stp>000769</stp>
        <stp>12/31/2018</stp>
        <stp>2019-11-29</stp>
        <tr r="Q2279" s="1"/>
      </tp>
      <tp>
        <v>0</v>
        <stp/>
        <stp>EM_S_VAL_DIVIDENDYIELD2</stp>
        <stp>3</stp>
        <stp>600709</stp>
        <stp>12/31/2018</stp>
        <stp>2019-11-29</stp>
        <tr r="Q2318" s="1"/>
      </tp>
      <tp>
        <v>0</v>
        <stp/>
        <stp>EM_S_VAL_DIVIDENDYIELD2</stp>
        <stp>3</stp>
        <stp>000779</stp>
        <stp>12/31/2018</stp>
        <stp>2019-11-29</stp>
        <tr r="Q1367" s="1"/>
      </tp>
      <tp>
        <v>0.11210762331838565</v>
        <stp/>
        <stp>EM_S_VAL_DIVIDENDYIELD2</stp>
        <stp>3</stp>
        <stp>600719</stp>
        <stp>12/31/2018</stp>
        <stp>2019-11-29</stp>
        <tr r="Q1059" s="1"/>
      </tp>
      <tp>
        <v>2.3465703971119134</v>
        <stp/>
        <stp>EM_S_VAL_DIVIDENDYIELD2</stp>
        <stp>3</stp>
        <stp>600729</stp>
        <stp>12/31/2018</stp>
        <stp>2019-11-29</stp>
        <tr r="Q2021" s="1"/>
      </tp>
      <tp>
        <v>0.76103500761035003</v>
        <stp/>
        <stp>EM_S_VAL_DIVIDENDYIELD2</stp>
        <stp>3</stp>
        <stp>000759</stp>
        <stp>12/31/2018</stp>
        <stp>2019-11-29</stp>
        <tr r="Q752" s="1"/>
      </tp>
      <tp>
        <v>0</v>
        <stp/>
        <stp>EM_S_VAL_DIVIDENDYIELD2</stp>
        <stp>3</stp>
        <stp>600739</stp>
        <stp>12/31/2018</stp>
        <stp>2019-11-29</stp>
        <tr r="Q642" s="1"/>
      </tp>
      <tp>
        <v>6.0868903629408626</v>
        <stp/>
        <stp>EM_S_VAL_DIVIDENDYIELD2</stp>
        <stp>3</stp>
        <stp>000789</stp>
        <stp>12/31/2018</stp>
        <stp>2019-11-29</stp>
        <tr r="Q2031" s="1"/>
      </tp>
      <tp>
        <v>0.39609189331925004</v>
        <stp/>
        <stp>EM_S_VAL_DIVIDENDYIELD2</stp>
        <stp>3</stp>
        <stp>000799</stp>
        <stp>12/31/2018</stp>
        <stp>2019-11-29</stp>
        <tr r="Q114" s="1"/>
      </tp>
      <tp>
        <v>0.48762647800696651</v>
        <stp/>
        <stp>EM_S_VAL_DIVIDENDYIELD2</stp>
        <stp>3</stp>
        <stp>600789</stp>
        <stp>12/31/2018</stp>
        <stp>2019-11-29</stp>
        <tr r="Q2875" s="1"/>
      </tp>
      <tp>
        <v>0</v>
        <stp/>
        <stp>EM_S_VAL_DIVIDENDYIELD2</stp>
        <stp>3</stp>
        <stp>600799</stp>
        <stp>12/31/2018</stp>
        <stp>2019-11-29</stp>
        <tr r="Q2325" s="1"/>
      </tp>
      <tp>
        <v>7.0074812967581055</v>
        <stp/>
        <stp>EM_S_VAL_DIVIDENDYIELD2</stp>
        <stp>3</stp>
        <stp>000429</stp>
        <stp>12/31/2018</stp>
        <stp>2019-11-29</stp>
        <tr r="Q2465" s="1"/>
      </tp>
      <tp>
        <v>0</v>
        <stp/>
        <stp>EM_S_VAL_DIVIDENDYIELD2</stp>
        <stp>3</stp>
        <stp>300419</stp>
        <stp>12/31/2018</stp>
        <stp>2019-11-29</stp>
        <tr r="Q1348" s="1"/>
      </tp>
      <tp>
        <v>2.9791459781529297</v>
        <stp/>
        <stp>EM_S_VAL_DIVIDENDYIELD2</stp>
        <stp>3</stp>
        <stp>600449</stp>
        <stp>12/31/2018</stp>
        <stp>2019-11-29</stp>
        <tr r="Q621" s="1"/>
      </tp>
      <tp>
        <v>1.3761191782945457</v>
        <stp/>
        <stp>EM_S_VAL_DIVIDENDYIELD2</stp>
        <stp>3</stp>
        <stp>300409</stp>
        <stp>12/31/2018</stp>
        <stp>2019-11-29</stp>
        <tr r="Q2377" s="1"/>
      </tp>
      <tp>
        <v>1.3235294117647058</v>
        <stp/>
        <stp>EM_S_VAL_DIVIDENDYIELD2</stp>
        <stp>3</stp>
        <stp>600459</stp>
        <stp>12/31/2018</stp>
        <stp>2019-11-29</stp>
        <tr r="Q755" s="1"/>
      </tp>
      <tp>
        <v>0</v>
        <stp/>
        <stp>EM_S_VAL_DIVIDENDYIELD2</stp>
        <stp>3</stp>
        <stp>000409</stp>
        <stp>12/31/2018</stp>
        <stp>2019-11-29</stp>
        <tr r="Q2918" s="1"/>
      </tp>
      <tp>
        <v>1.0918623024830698</v>
        <stp/>
        <stp>EM_S_VAL_DIVIDENDYIELD2</stp>
        <stp>3</stp>
        <stp>300439</stp>
        <stp>12/31/2018</stp>
        <stp>2019-11-29</stp>
        <tr r="Q2237" s="1"/>
      </tp>
      <tp>
        <v>0.42826552462526768</v>
        <stp/>
        <stp>EM_S_VAL_DIVIDENDYIELD2</stp>
        <stp>3</stp>
        <stp>600469</stp>
        <stp>12/31/2018</stp>
        <stp>2019-11-29</stp>
        <tr r="Q749" s="1"/>
      </tp>
      <tp>
        <v>3.7296037296037294</v>
        <stp/>
        <stp>EM_S_VAL_DIVIDENDYIELD2</stp>
        <stp>3</stp>
        <stp>000419</stp>
        <stp>12/31/2018</stp>
        <stp>2019-11-29</stp>
        <tr r="Q3422" s="1"/>
      </tp>
      <tp>
        <v>0.58049535671312436</v>
        <stp/>
        <stp>EM_S_VAL_DIVIDENDYIELD2</stp>
        <stp>3</stp>
        <stp>300429</stp>
        <stp>12/31/2018</stp>
        <stp>2019-11-29</stp>
        <tr r="Q3351" s="1"/>
      </tp>
      <tp>
        <v>4.7114252061248525</v>
        <stp/>
        <stp>EM_S_VAL_DIVIDENDYIELD2</stp>
        <stp>3</stp>
        <stp>600479</stp>
        <stp>12/31/2018</stp>
        <stp>2019-11-29</stp>
        <tr r="Q1683" s="1"/>
      </tp>
      <tp>
        <v>1.2515868023820225</v>
        <stp/>
        <stp>EM_S_VAL_DIVIDENDYIELD2</stp>
        <stp>3</stp>
        <stp>300459</stp>
        <stp>12/31/2018</stp>
        <stp>2019-11-29</stp>
        <tr r="Q3387" s="1"/>
      </tp>
      <tp>
        <v>4.1250000000000009</v>
        <stp/>
        <stp>EM_S_VAL_DIVIDENDYIELD2</stp>
        <stp>3</stp>
        <stp>600409</stp>
        <stp>12/31/2018</stp>
        <stp>2019-11-29</stp>
        <tr r="Q1750" s="1"/>
      </tp>
      <tp>
        <v>0.35966029265146771</v>
        <stp/>
        <stp>EM_S_VAL_DIVIDENDYIELD2</stp>
        <stp>3</stp>
        <stp>300449</stp>
        <stp>12/31/2018</stp>
        <stp>2019-11-29</stp>
        <tr r="Q3249" s="1"/>
      </tp>
      <tp>
        <v>1.2397311426437638</v>
        <stp/>
        <stp>EM_S_VAL_DIVIDENDYIELD2</stp>
        <stp>3</stp>
        <stp>600419</stp>
        <stp>12/31/2018</stp>
        <stp>2019-11-29</stp>
        <tr r="Q2434" s="1"/>
      </tp>
      <tp>
        <v>0.21398002853067047</v>
        <stp/>
        <stp>EM_S_VAL_DIVIDENDYIELD2</stp>
        <stp>3</stp>
        <stp>300479</stp>
        <stp>12/31/2018</stp>
        <stp>2019-11-29</stp>
        <tr r="Q1154" s="1"/>
      </tp>
      <tp>
        <v>0.71705426356589141</v>
        <stp/>
        <stp>EM_S_VAL_DIVIDENDYIELD2</stp>
        <stp>3</stp>
        <stp>600429</stp>
        <stp>12/31/2018</stp>
        <stp>2019-11-29</stp>
        <tr r="Q2394" s="1"/>
      </tp>
      <tp>
        <v>0.11557423016755755</v>
        <stp/>
        <stp>EM_S_VAL_DIVIDENDYIELD2</stp>
        <stp>3</stp>
        <stp>300469</stp>
        <stp>12/31/2018</stp>
        <stp>2019-11-29</stp>
        <tr r="Q2968" s="1"/>
      </tp>
      <tp>
        <v>1.5151515151515151</v>
        <stp/>
        <stp>EM_S_VAL_DIVIDENDYIELD2</stp>
        <stp>3</stp>
        <stp>600439</stp>
        <stp>12/31/2018</stp>
        <stp>2019-11-29</stp>
        <tr r="Q823" s="1"/>
      </tp>
      <tp>
        <v>0.70979237339737167</v>
        <stp/>
        <stp>EM_S_VAL_DIVIDENDYIELD2</stp>
        <stp>3</stp>
        <stp>300499</stp>
        <stp>12/31/2018</stp>
        <stp>2019-11-29</stp>
        <tr r="Q3080" s="1"/>
      </tp>
      <tp>
        <v>1.1474469305794608E-2</v>
        <stp/>
        <stp>EM_S_VAL_DIVIDENDYIELD2</stp>
        <stp>3</stp>
        <stp>300489</stp>
        <stp>12/31/2018</stp>
        <stp>2019-11-29</stp>
        <tr r="Q317" s="1"/>
      </tp>
      <tp>
        <v>0.25510204081632654</v>
        <stp/>
        <stp>EM_S_VAL_DIVIDENDYIELD2</stp>
        <stp>3</stp>
        <stp>600489</stp>
        <stp>12/31/2018</stp>
        <stp>2019-11-29</stp>
        <tr r="Q2454" s="1"/>
      </tp>
      <tp>
        <v>0</v>
        <stp/>
        <stp>EM_S_VAL_DIVIDENDYIELD2</stp>
        <stp>3</stp>
        <stp>600499</stp>
        <stp>12/31/2018</stp>
        <stp>2019-11-29</stp>
        <tr r="Q1885" s="1"/>
      </tp>
      <tp>
        <v>1.1182108626198082</v>
        <stp/>
        <stp>EM_S_VAL_DIVIDENDYIELD2</stp>
        <stp>3</stp>
        <stp>000529</stp>
        <stp>12/31/2018</stp>
        <stp>2019-11-29</stp>
        <tr r="Q546" s="1"/>
      </tp>
      <tp>
        <v>2.321981424148607</v>
        <stp/>
        <stp>EM_S_VAL_DIVIDENDYIELD2</stp>
        <stp>3</stp>
        <stp>300519</stp>
        <stp>12/31/2018</stp>
        <stp>2019-11-29</stp>
        <tr r="Q2466" s="1"/>
      </tp>
      <tp>
        <v>1.2450414862162755</v>
        <stp/>
        <stp>EM_S_VAL_DIVIDENDYIELD2</stp>
        <stp>3</stp>
        <stp>600549</stp>
        <stp>12/31/2018</stp>
        <stp>2019-11-29</stp>
        <tr r="Q1788" s="1"/>
      </tp>
      <tp>
        <v>1.4527845036319611</v>
        <stp/>
        <stp>EM_S_VAL_DIVIDENDYIELD2</stp>
        <stp>3</stp>
        <stp>000539</stp>
        <stp>12/31/2018</stp>
        <stp>2019-11-29</stp>
        <tr r="Q2832" s="1"/>
      </tp>
      <tp>
        <v>1.8663680477790219</v>
        <stp/>
        <stp>EM_S_VAL_DIVIDENDYIELD2</stp>
        <stp>3</stp>
        <stp>300509</stp>
        <stp>12/31/2018</stp>
        <stp>2019-11-29</stp>
        <tr r="Q3148" s="1"/>
      </tp>
      <tp>
        <v>1.4049877068273147</v>
        <stp/>
        <stp>EM_S_VAL_DIVIDENDYIELD2</stp>
        <stp>3</stp>
        <stp>600559</stp>
        <stp>12/31/2018</stp>
        <stp>2019-11-29</stp>
        <tr r="Q2704" s="1"/>
      </tp>
      <tp>
        <v>0</v>
        <stp/>
        <stp>EM_S_VAL_DIVIDENDYIELD2</stp>
        <stp>3</stp>
        <stp>000509</stp>
        <stp>12/31/2018</stp>
        <stp>2019-11-29</stp>
        <tr r="Q3435" s="1"/>
      </tp>
      <tp>
        <v>0.55636518190763051</v>
        <stp/>
        <stp>EM_S_VAL_DIVIDENDYIELD2</stp>
        <stp>3</stp>
        <stp>300539</stp>
        <stp>12/31/2018</stp>
        <stp>2019-11-29</stp>
        <tr r="Q2767" s="1"/>
      </tp>
      <tp>
        <v>3.4293552821622457</v>
        <stp/>
        <stp>EM_S_VAL_DIVIDENDYIELD2</stp>
        <stp>3</stp>
        <stp>600569</stp>
        <stp>12/31/2018</stp>
        <stp>2019-11-29</stp>
        <tr r="Q3012" s="1"/>
      </tp>
      <tp>
        <v>0.56473829201101922</v>
        <stp/>
        <stp>EM_S_VAL_DIVIDENDYIELD2</stp>
        <stp>3</stp>
        <stp>000519</stp>
        <stp>12/31/2018</stp>
        <stp>2019-11-29</stp>
        <tr r="Q1223" s="1"/>
      </tp>
      <tp>
        <v>0.853328139408706</v>
        <stp/>
        <stp>EM_S_VAL_DIVIDENDYIELD2</stp>
        <stp>3</stp>
        <stp>300529</stp>
        <stp>12/31/2018</stp>
        <stp>2019-11-29</stp>
        <tr r="Q323" s="1"/>
      </tp>
      <tp>
        <v>0</v>
        <stp/>
        <stp>EM_S_VAL_DIVIDENDYIELD2</stp>
        <stp>3</stp>
        <stp>600579</stp>
        <stp>12/31/2018</stp>
        <stp>2019-11-29</stp>
        <tr r="Q3071" s="1"/>
      </tp>
      <tp>
        <v>0</v>
        <stp/>
        <stp>EM_S_VAL_DIVIDENDYIELD2</stp>
        <stp>3</stp>
        <stp>000569</stp>
        <stp>12/31/2018</stp>
        <stp>2019-11-29</stp>
        <tr r="Q3460" s="1"/>
      </tp>
      <tp>
        <v>0.3471485602977763</v>
        <stp/>
        <stp>EM_S_VAL_DIVIDENDYIELD2</stp>
        <stp>3</stp>
        <stp>300559</stp>
        <stp>12/31/2018</stp>
        <stp>2019-11-29</stp>
        <tr r="Q2942" s="1"/>
      </tp>
      <tp>
        <v>0.43126684636118595</v>
        <stp/>
        <stp>EM_S_VAL_DIVIDENDYIELD2</stp>
        <stp>3</stp>
        <stp>600509</stp>
        <stp>12/31/2018</stp>
        <stp>2019-11-29</stp>
        <tr r="Q2207" s="1"/>
      </tp>
      <tp>
        <v>1.5810276679841897</v>
        <stp/>
        <stp>EM_S_VAL_DIVIDENDYIELD2</stp>
        <stp>3</stp>
        <stp>300549</stp>
        <stp>12/31/2018</stp>
        <stp>2019-11-29</stp>
        <tr r="Q1330" s="1"/>
      </tp>
      <tp>
        <v>1.2877767936226747</v>
        <stp/>
        <stp>EM_S_VAL_DIVIDENDYIELD2</stp>
        <stp>3</stp>
        <stp>600519</stp>
        <stp>12/31/2018</stp>
        <stp>2019-11-29</stp>
        <tr r="Q160" s="1"/>
      </tp>
      <tp>
        <v>0</v>
        <stp/>
        <stp>EM_S_VAL_DIVIDENDYIELD2</stp>
        <stp>3</stp>
        <stp>000549</stp>
        <stp>12/31/2018</stp>
        <stp>2019-11-29</stp>
        <tr r="Q3451" s="1"/>
      </tp>
      <tp>
        <v>0.33333333333333337</v>
        <stp/>
        <stp>EM_S_VAL_DIVIDENDYIELD2</stp>
        <stp>3</stp>
        <stp>300579</stp>
        <stp>12/31/2018</stp>
        <stp>2019-11-29</stp>
        <tr r="Q330" s="1"/>
      </tp>
      <tp>
        <v>0.96178507277235892</v>
        <stp/>
        <stp>EM_S_VAL_DIVIDENDYIELD2</stp>
        <stp>3</stp>
        <stp>600529</stp>
        <stp>12/31/2018</stp>
        <stp>2019-11-29</stp>
        <tr r="Q589" s="1"/>
      </tp>
      <tp>
        <v>3.9370078740157486</v>
        <stp/>
        <stp>EM_S_VAL_DIVIDENDYIELD2</stp>
        <stp>3</stp>
        <stp>000559</stp>
        <stp>12/31/2018</stp>
        <stp>2019-11-29</stp>
        <tr r="Q1985" s="1"/>
      </tp>
      <tp>
        <v>0.72085508327119063</v>
        <stp/>
        <stp>EM_S_VAL_DIVIDENDYIELD2</stp>
        <stp>3</stp>
        <stp>300569</stp>
        <stp>12/31/2018</stp>
        <stp>2019-11-29</stp>
        <tr r="Q1506" s="1"/>
      </tp>
      <tp>
        <v>0</v>
        <stp/>
        <stp>EM_S_VAL_DIVIDENDYIELD2</stp>
        <stp>3</stp>
        <stp>600539</stp>
        <stp>12/31/2018</stp>
        <stp>2019-11-29</stp>
        <tr r="Q1929" s="1"/>
      </tp>
      <tp>
        <v>1.6326530612244898</v>
        <stp/>
        <stp>EM_S_VAL_DIVIDENDYIELD2</stp>
        <stp>3</stp>
        <stp>300599</stp>
        <stp>12/31/2018</stp>
        <stp>2019-11-29</stp>
        <tr r="Q2093" s="1"/>
      </tp>
      <tp>
        <v>0.2786624203821656</v>
        <stp/>
        <stp>EM_S_VAL_DIVIDENDYIELD2</stp>
        <stp>3</stp>
        <stp>300589</stp>
        <stp>12/31/2018</stp>
        <stp>2019-11-29</stp>
        <tr r="Q1439" s="1"/>
      </tp>
      <tp>
        <v>0</v>
        <stp/>
        <stp>EM_S_VAL_DIVIDENDYIELD2</stp>
        <stp>3</stp>
        <stp>000589</stp>
        <stp>12/31/2018</stp>
        <stp>2019-11-29</stp>
        <tr r="Q3471" s="1"/>
      </tp>
      <tp>
        <v>0.22513392857142861</v>
        <stp/>
        <stp>EM_S_VAL_DIVIDENDYIELD2</stp>
        <stp>3</stp>
        <stp>000599</stp>
        <stp>12/31/2018</stp>
        <stp>2019-11-29</stp>
        <tr r="Q3476" s="1"/>
      </tp>
      <tp>
        <v>0.43462365031806299</v>
        <stp/>
        <stp>EM_S_VAL_DIVIDENDYIELD2</stp>
        <stp>3</stp>
        <stp>600589</stp>
        <stp>12/31/2018</stp>
        <stp>2019-11-29</stp>
        <tr r="Q818" s="1"/>
      </tp>
      <tp>
        <v>0</v>
        <stp/>
        <stp>EM_S_VAL_DIVIDENDYIELD2</stp>
        <stp>3</stp>
        <stp>600599</stp>
        <stp>12/31/2018</stp>
        <stp>2019-11-29</stp>
        <tr r="Q2128" s="1"/>
      </tp>
      <tp>
        <v>0</v>
        <stp/>
        <stp>EM_S_VAL_DIVIDENDYIELD2</stp>
        <stp>3</stp>
        <stp>000829</stp>
        <stp>12/31/2018</stp>
        <stp>2019-11-29</stp>
        <tr r="Q3551" s="1"/>
      </tp>
      <tp>
        <v>0</v>
        <stp/>
        <stp>EM_S_VAL_DIVIDENDYIELD2</stp>
        <stp>3</stp>
        <stp>600849</stp>
        <stp>12/31/2018</stp>
        <stp>2019-11-29</stp>
        <tr r="Q2335" s="1"/>
      </tp>
      <tp>
        <v>0</v>
        <stp/>
        <stp>EM_S_VAL_DIVIDENDYIELD2</stp>
        <stp>3</stp>
        <stp>000839</stp>
        <stp>12/31/2018</stp>
        <stp>2019-11-29</stp>
        <tr r="Q3555" s="1"/>
      </tp>
      <tp>
        <v>3.6265432098765435</v>
        <stp/>
        <stp>EM_S_VAL_DIVIDENDYIELD2</stp>
        <stp>3</stp>
        <stp>600859</stp>
        <stp>12/31/2018</stp>
        <stp>2019-11-29</stp>
        <tr r="Q2086" s="1"/>
      </tp>
      <tp>
        <v>0</v>
        <stp/>
        <stp>EM_S_VAL_DIVIDENDYIELD2</stp>
        <stp>3</stp>
        <stp>000809</stp>
        <stp>12/31/2018</stp>
        <stp>2019-11-29</stp>
        <tr r="Q2356" s="1"/>
      </tp>
      <tp>
        <v>0</v>
        <stp/>
        <stp>EM_S_VAL_DIVIDENDYIELD2</stp>
        <stp>3</stp>
        <stp>600869</stp>
        <stp>12/31/2018</stp>
        <stp>2019-11-29</stp>
        <tr r="Q2251" s="1"/>
      </tp>
      <tp>
        <v>0.24769335562573538</v>
        <stp/>
        <stp>EM_S_VAL_DIVIDENDYIELD2</stp>
        <stp>3</stp>
        <stp>000819</stp>
        <stp>12/31/2018</stp>
        <stp>2019-11-29</stp>
        <tr r="Q2694" s="1"/>
      </tp>
      <tp>
        <v>0</v>
        <stp/>
        <stp>EM_S_VAL_DIVIDENDYIELD2</stp>
        <stp>3</stp>
        <stp>600879</stp>
        <stp>12/31/2018</stp>
        <stp>2019-11-29</stp>
        <tr r="Q1674" s="1"/>
      </tp>
      <tp>
        <v>2.1937842778793417</v>
        <stp/>
        <stp>EM_S_VAL_DIVIDENDYIELD2</stp>
        <stp>3</stp>
        <stp>000869</stp>
        <stp>12/31/2018</stp>
        <stp>2019-11-29</stp>
        <tr r="Q1713" s="1"/>
      </tp>
      <tp>
        <v>0.83948959032907988</v>
        <stp/>
        <stp>EM_S_VAL_DIVIDENDYIELD2</stp>
        <stp>3</stp>
        <stp>600809</stp>
        <stp>12/31/2018</stp>
        <stp>2019-11-29</stp>
        <tr r="Q75" s="1"/>
      </tp>
      <tp>
        <v>0.67873303167420806</v>
        <stp/>
        <stp>EM_S_VAL_DIVIDENDYIELD2</stp>
        <stp>3</stp>
        <stp>600819</stp>
        <stp>12/31/2018</stp>
        <stp>2019-11-29</stp>
        <tr r="Q1023" s="1"/>
      </tp>
      <tp>
        <v>0</v>
        <stp/>
        <stp>EM_S_VAL_DIVIDENDYIELD2</stp>
        <stp>3</stp>
        <stp>600829</stp>
        <stp>12/31/2018</stp>
        <stp>2019-11-29</stp>
        <tr r="Q1485" s="1"/>
      </tp>
      <tp>
        <v>0.18214936247723132</v>
        <stp/>
        <stp>EM_S_VAL_DIVIDENDYIELD2</stp>
        <stp>3</stp>
        <stp>000859</stp>
        <stp>12/31/2018</stp>
        <stp>2019-11-29</stp>
        <tr r="Q151" s="1"/>
      </tp>
      <tp>
        <v>0.82089552238805963</v>
        <stp/>
        <stp>EM_S_VAL_DIVIDENDYIELD2</stp>
        <stp>3</stp>
        <stp>600839</stp>
        <stp>12/31/2018</stp>
        <stp>2019-11-29</stp>
        <tr r="Q1139" s="1"/>
      </tp>
      <tp>
        <v>0.4460093896713615</v>
        <stp/>
        <stp>EM_S_VAL_DIVIDENDYIELD2</stp>
        <stp>3</stp>
        <stp>000889</stp>
        <stp>12/31/2018</stp>
        <stp>2019-11-29</stp>
        <tr r="Q2649" s="1"/>
      </tp>
      <tp>
        <v>2.5641025641025639</v>
        <stp/>
        <stp>EM_S_VAL_DIVIDENDYIELD2</stp>
        <stp>3</stp>
        <stp>000899</stp>
        <stp>12/31/2018</stp>
        <stp>2019-11-29</stp>
        <tr r="Q1690" s="1"/>
      </tp>
      <tp>
        <v>0.23148148148148145</v>
        <stp/>
        <stp>EM_S_VAL_DIVIDENDYIELD2</stp>
        <stp>3</stp>
        <stp>600889</stp>
        <stp>12/31/2018</stp>
        <stp>2019-11-29</stp>
        <tr r="Q2344" s="1"/>
      </tp>
      <tp>
        <v>0</v>
        <stp/>
        <stp>EM_S_VAL_DIVIDENDYIELD2</stp>
        <stp>3</stp>
        <stp>600899</stp>
        <stp>12/31/2018</stp>
        <stp>2019-11-29</stp>
        <tr r="Q2333" s="1"/>
      </tp>
      <tp>
        <v>0</v>
        <stp/>
        <stp>EM_S_VAL_DIVIDENDYIELD2</stp>
        <stp>3</stp>
        <stp>000929</stp>
        <stp>12/31/2018</stp>
        <stp>2019-11-29</stp>
        <tr r="Q3580" s="1"/>
      </tp>
      <tp>
        <v>0</v>
        <stp/>
        <stp>EM_S_VAL_DIVIDENDYIELD2</stp>
        <stp>3</stp>
        <stp>000939</stp>
        <stp>12/31/2018</stp>
        <stp>2019-11-29</stp>
        <tr r="Q3583" s="1"/>
      </tp>
      <tp>
        <v>2.5476756961930009</v>
        <stp/>
        <stp>EM_S_VAL_DIVIDENDYIELD2</stp>
        <stp>3</stp>
        <stp>600959</stp>
        <stp>12/31/2018</stp>
        <stp>2019-11-29</stp>
        <tr r="Q2509" s="1"/>
      </tp>
      <tp>
        <v>0</v>
        <stp/>
        <stp>EM_S_VAL_DIVIDENDYIELD2</stp>
        <stp>3</stp>
        <stp>000909</stp>
        <stp>12/31/2018</stp>
        <stp>2019-11-29</stp>
        <tr r="Q3571" s="1"/>
      </tp>
      <tp>
        <v>0.41812400635930042</v>
        <stp/>
        <stp>EM_S_VAL_DIVIDENDYIELD2</stp>
        <stp>3</stp>
        <stp>600969</stp>
        <stp>12/31/2018</stp>
        <stp>2019-11-29</stp>
        <tr r="Q1681" s="1"/>
      </tp>
      <tp>
        <v>2.3709902370990235</v>
        <stp/>
        <stp>EM_S_VAL_DIVIDENDYIELD2</stp>
        <stp>3</stp>
        <stp>000919</stp>
        <stp>12/31/2018</stp>
        <stp>2019-11-29</stp>
        <tr r="Q3576" s="1"/>
      </tp>
      <tp>
        <v>2.4038461538461542</v>
        <stp/>
        <stp>EM_S_VAL_DIVIDENDYIELD2</stp>
        <stp>3</stp>
        <stp>600979</stp>
        <stp>12/31/2018</stp>
        <stp>2019-11-29</stp>
        <tr r="Q2045" s="1"/>
      </tp>
      <tp>
        <v>0</v>
        <stp/>
        <stp>EM_S_VAL_DIVIDENDYIELD2</stp>
        <stp>3</stp>
        <stp>000969</stp>
        <stp>12/31/2018</stp>
        <stp>2019-11-29</stp>
        <tr r="Q3588" s="1"/>
      </tp>
      <tp>
        <v>1.0033444816053512</v>
        <stp/>
        <stp>EM_S_VAL_DIVIDENDYIELD2</stp>
        <stp>3</stp>
        <stp>600909</stp>
        <stp>12/31/2018</stp>
        <stp>2019-11-29</stp>
        <tr r="Q502" s="1"/>
      </tp>
      <tp>
        <v>0</v>
        <stp/>
        <stp>EM_S_VAL_DIVIDENDYIELD2</stp>
        <stp>3</stp>
        <stp>000979</stp>
        <stp>12/31/2018</stp>
        <stp>2019-11-29</stp>
        <tr r="Q3592" s="1"/>
      </tp>
      <tp>
        <v>4.9275233642249772</v>
        <stp/>
        <stp>EM_S_VAL_DIVIDENDYIELD2</stp>
        <stp>3</stp>
        <stp>600919</stp>
        <stp>12/31/2018</stp>
        <stp>2019-11-29</stp>
        <tr r="Q1245" s="1"/>
      </tp>
      <tp>
        <v>0.2785515320334262</v>
        <stp/>
        <stp>EM_S_VAL_DIVIDENDYIELD2</stp>
        <stp>3</stp>
        <stp>000949</stp>
        <stp>12/31/2018</stp>
        <stp>2019-11-29</stp>
        <tr r="Q670" s="1"/>
      </tp>
      <tp>
        <v>0.73667711598746088</v>
        <stp/>
        <stp>EM_S_VAL_DIVIDENDYIELD2</stp>
        <stp>3</stp>
        <stp>600929</stp>
        <stp>12/31/2018</stp>
        <stp>2019-11-29</stp>
        <tr r="Q3072" s="1"/>
      </tp>
      <tp>
        <v>0</v>
        <stp/>
        <stp>EM_S_VAL_DIVIDENDYIELD2</stp>
        <stp>3</stp>
        <stp>000959</stp>
        <stp>12/31/2018</stp>
        <stp>2019-11-29</stp>
        <tr r="Q2602" s="1"/>
      </tp>
      <tp>
        <v>1.4601769911504425</v>
        <stp/>
        <stp>EM_S_VAL_DIVIDENDYIELD2</stp>
        <stp>3</stp>
        <stp>600939</stp>
        <stp>12/31/2018</stp>
        <stp>2019-11-29</stp>
        <tr r="Q2104" s="1"/>
      </tp>
      <tp>
        <v>5</v>
        <stp/>
        <stp>EM_S_VAL_DIVIDENDYIELD2</stp>
        <stp>3</stp>
        <stp>000989</stp>
        <stp>12/31/2018</stp>
        <stp>2019-11-29</stp>
        <tr r="Q3598" s="1"/>
      </tp>
      <tp>
        <v>1.3269819666553249</v>
        <stp/>
        <stp>EM_S_VAL_DIVIDENDYIELD2</stp>
        <stp>3</stp>
        <stp>000999</stp>
        <stp>12/31/2018</stp>
        <stp>2019-11-29</stp>
        <tr r="Q1163" s="1"/>
      </tp>
      <tp>
        <v>1.6019417475728155</v>
        <stp/>
        <stp>EM_S_VAL_DIVIDENDYIELD2</stp>
        <stp>3</stp>
        <stp>600999</stp>
        <stp>12/31/2018</stp>
        <stp>2019-11-29</stp>
        <tr r="Q764" s="1"/>
      </tp>
      <tp>
        <v>3.7666359755587178</v>
        <stp/>
        <stp>EM_S_VAL_DIVIDENDYIELD2</stp>
        <stp>3</stp>
        <stp>601229</stp>
        <stp>12/31/2018</stp>
        <stp>2019-11-29</stp>
        <tr r="Q2929" s="1"/>
      </tp>
      <tp>
        <v>0</v>
        <stp/>
        <stp>EM_S_VAL_DIVIDENDYIELD2</stp>
        <stp>3</stp>
        <stp>601299</stp>
        <stp>12/31/2018</stp>
        <stp>2019-11-29</stp>
        <tr r="Q2336" s="1"/>
      </tp>
      <tp>
        <v>3.171576735002974</v>
        <stp/>
        <stp>EM_S_VAL_DIVIDENDYIELD2</stp>
        <stp>3</stp>
        <stp>601369</stp>
        <stp>12/31/2018</stp>
        <stp>2019-11-29</stp>
        <tr r="Q1777" s="1"/>
      </tp>
      <tp>
        <v>2.2622107969151668</v>
        <stp/>
        <stp>EM_S_VAL_DIVIDENDYIELD2</stp>
        <stp>3</stp>
        <stp>601339</stp>
        <stp>12/31/2018</stp>
        <stp>2019-11-29</stp>
        <tr r="Q3196" s="1"/>
      </tp>
      <tp>
        <v>6.9735006973500699E-2</v>
        <stp/>
        <stp>EM_S_VAL_DIVIDENDYIELD2</stp>
        <stp>3</stp>
        <stp>601069</stp>
        <stp>12/31/2018</stp>
        <stp>2019-11-29</stp>
        <tr r="Q2244" s="1"/>
      </tp>
      <tp>
        <v>4.7400241837968569</v>
        <stp/>
        <stp>EM_S_VAL_DIVIDENDYIELD2</stp>
        <stp>3</stp>
        <stp>601009</stp>
        <stp>12/31/2018</stp>
        <stp>2019-11-29</stp>
        <tr r="Q813" s="1"/>
      </tp>
      <tp>
        <v>4.3348281016442458</v>
        <stp/>
        <stp>EM_S_VAL_DIVIDENDYIELD2</stp>
        <stp>3</stp>
        <stp>601019</stp>
        <stp>12/31/2018</stp>
        <stp>2019-11-29</stp>
        <tr r="Q2814" s="1"/>
      </tp>
      <tp>
        <v>0</v>
        <stp/>
        <stp>EM_S_VAL_DIVIDENDYIELD2</stp>
        <stp>3</stp>
        <stp>601099</stp>
        <stp>12/31/2018</stp>
        <stp>2019-11-29</stp>
        <tr r="Q526" s="1"/>
      </tp>
      <tp>
        <v>5.14388489208633</v>
        <stp/>
        <stp>EM_S_VAL_DIVIDENDYIELD2</stp>
        <stp>3</stp>
        <stp>601169</stp>
        <stp>12/31/2018</stp>
        <stp>2019-11-29</stp>
        <tr r="Q2223" s="1"/>
      </tp>
      <tp>
        <v>0.9577464788732396</v>
        <stp/>
        <stp>EM_S_VAL_DIVIDENDYIELD2</stp>
        <stp>3</stp>
        <stp>601179</stp>
        <stp>12/31/2018</stp>
        <stp>2019-11-29</stp>
        <tr r="Q1813" s="1"/>
      </tp>
      <tp>
        <v>2.1429184393336875</v>
        <stp/>
        <stp>EM_S_VAL_DIVIDENDYIELD2</stp>
        <stp>3</stp>
        <stp>601139</stp>
        <stp>12/31/2018</stp>
        <stp>2019-11-29</stp>
        <tr r="Q649" s="1"/>
      </tp>
      <tp>
        <v>1.9178082191780819</v>
        <stp/>
        <stp>EM_S_VAL_DIVIDENDYIELD2</stp>
        <stp>3</stp>
        <stp>601199</stp>
        <stp>12/31/2018</stp>
        <stp>2019-11-29</stp>
        <tr r="Q1924" s="1"/>
      </tp>
      <tp>
        <v>2.3975490196078431</v>
        <stp/>
        <stp>EM_S_VAL_DIVIDENDYIELD2</stp>
        <stp>3</stp>
        <stp>601669</stp>
        <stp>12/31/2018</stp>
        <stp>2019-11-29</stp>
        <tr r="Q2887" s="1"/>
      </tp>
      <tp>
        <v>1.1702127659574468</v>
        <stp/>
        <stp>EM_S_VAL_DIVIDENDYIELD2</stp>
        <stp>3</stp>
        <stp>601619</stp>
        <stp>12/31/2018</stp>
        <stp>2019-11-29</stp>
        <tr r="Q3015" s="1"/>
      </tp>
      <tp>
        <v>2.0281080018659212</v>
        <stp/>
        <stp>EM_S_VAL_DIVIDENDYIELD2</stp>
        <stp>3</stp>
        <stp>601689</stp>
        <stp>12/31/2018</stp>
        <stp>2019-11-29</stp>
        <tr r="Q1375" s="1"/>
      </tp>
      <tp>
        <v>3.8728323699421967</v>
        <stp/>
        <stp>EM_S_VAL_DIVIDENDYIELD2</stp>
        <stp>3</stp>
        <stp>601699</stp>
        <stp>12/31/2018</stp>
        <stp>2019-11-29</stp>
        <tr r="Q1809" s="1"/>
      </tp>
      <tp>
        <v>1.9444444444444444</v>
        <stp/>
        <stp>EM_S_VAL_DIVIDENDYIELD2</stp>
        <stp>3</stp>
        <stp>601789</stp>
        <stp>12/31/2018</stp>
        <stp>2019-11-29</stp>
        <tr r="Q1262" s="1"/>
      </tp>
      <tp>
        <v>1.1785714285714286</v>
        <stp/>
        <stp>EM_S_VAL_DIVIDENDYIELD2</stp>
        <stp>3</stp>
        <stp>601799</stp>
        <stp>12/31/2018</stp>
        <stp>2019-11-29</stp>
        <tr r="Q166" s="1"/>
      </tp>
      <tp>
        <v>1.3017751479289943</v>
        <stp/>
        <stp>EM_S_VAL_DIVIDENDYIELD2</stp>
        <stp>3</stp>
        <stp>601579</stp>
        <stp>12/31/2018</stp>
        <stp>2019-11-29</stp>
        <tr r="Q2532" s="1"/>
      </tp>
      <tp>
        <v>0</v>
        <stp/>
        <stp>EM_S_VAL_DIVIDENDYIELD2</stp>
        <stp>3</stp>
        <stp>601519</stp>
        <stp>12/31/2018</stp>
        <stp>2019-11-29</stp>
        <tr r="Q99" s="1"/>
      </tp>
      <tp>
        <v>0.672782874617737</v>
        <stp/>
        <stp>EM_S_VAL_DIVIDENDYIELD2</stp>
        <stp>3</stp>
        <stp>601599</stp>
        <stp>12/31/2018</stp>
        <stp>2019-11-29</stp>
        <tr r="Q1857" s="1"/>
      </tp>
      <tp>
        <v>2.4734543643201943</v>
        <stp/>
        <stp>EM_S_VAL_DIVIDENDYIELD2</stp>
        <stp>3</stp>
        <stp>601899</stp>
        <stp>12/31/2018</stp>
        <stp>2019-11-29</stp>
        <tr r="Q838" s="1"/>
      </tp>
      <tp>
        <v>1.7482517482517483</v>
        <stp/>
        <stp>EM_S_VAL_DIVIDENDYIELD2</stp>
        <stp>3</stp>
        <stp>601949</stp>
        <stp>12/31/2018</stp>
        <stp>2019-11-29</stp>
        <tr r="Q681" s="1"/>
      </tp>
      <tp>
        <v>0</v>
        <stp/>
        <stp>EM_S_VAL_DIVIDENDYIELD2</stp>
        <stp>3</stp>
        <stp>601969</stp>
        <stp>12/31/2018</stp>
        <stp>2019-11-29</stp>
        <tr r="Q915" s="1"/>
      </tp>
      <tp>
        <v>4.3612584207620095</v>
        <stp/>
        <stp>EM_S_VAL_DIVIDENDYIELD2</stp>
        <stp>3</stp>
        <stp>001979</stp>
        <stp>12/31/2018</stp>
        <stp>2019-11-29</stp>
        <tr r="Q1473" s="1"/>
      </tp>
      <tp>
        <v>0</v>
        <stp/>
        <stp>EM_S_VAL_DIVIDENDYIELD2</stp>
        <stp>3</stp>
        <stp>601919</stp>
        <stp>12/31/2018</stp>
        <stp>2019-11-29</stp>
        <tr r="Q933" s="1"/>
      </tp>
      <tp>
        <v>0.34653352165229334</v>
        <stp/>
        <stp>EM_S_VAL_DIVIDENDYIELD2</stp>
        <stp>3</stp>
        <stp>601929</stp>
        <stp>12/31/2018</stp>
        <stp>2019-11-29</stp>
        <tr r="Q2062" s="1"/>
      </tp>
      <tp>
        <v>4.3098591549295771</v>
        <stp/>
        <stp>EM_S_VAL_DIVIDENDYIELD2</stp>
        <stp>3</stp>
        <stp>601939</stp>
        <stp>12/31/2018</stp>
        <stp>2019-11-29</stp>
        <tr r="Q1554" s="1"/>
      </tp>
      <tp>
        <v>0.17045454545454544</v>
        <stp/>
        <stp>EM_S_VAL_DIVIDENDYIELD2</stp>
        <stp>3</stp>
        <stp>601989</stp>
        <stp>12/31/2018</stp>
        <stp>2019-11-29</stp>
        <tr r="Q1155" s="1"/>
      </tp>
      <tp>
        <v>2.0952380952380953</v>
        <stp/>
        <stp>EM_S_VAL_DIVIDENDYIELD2</stp>
        <stp>3</stp>
        <stp>601999</stp>
        <stp>12/31/2018</stp>
        <stp>2019-11-29</stp>
        <tr r="Q1305" s="1"/>
      </tp>
      <tp t="s">
        <v>化石能源</v>
        <stp/>
        <stp>EM_S_INFO_INDEX_EM</stp>
        <stp>2</stp>
        <stp>601225</stp>
        <stp>1</stp>
        <tr r="D1210" s="1"/>
      </tp>
      <tp t="s">
        <v>金融</v>
        <stp/>
        <stp>EM_S_INFO_INDEX_EM</stp>
        <stp>2</stp>
        <stp>601375</stp>
        <stp>1</stp>
        <tr r="D1087" s="1"/>
      </tp>
      <tp t="s">
        <v>钢铁</v>
        <stp/>
        <stp>EM_S_INFO_INDEX_EM</stp>
        <stp>2</stp>
        <stp>601005</stp>
        <stp>1</stp>
        <tr r="D2547" s="1"/>
      </tp>
      <tp t="s">
        <v>化石能源</v>
        <stp/>
        <stp>EM_S_INFO_INDEX_EM</stp>
        <stp>2</stp>
        <stp>601015</stp>
        <stp>1</stp>
        <tr r="D3317" s="1"/>
      </tp>
      <tp t="s">
        <v>房地产</v>
        <stp/>
        <stp>EM_S_INFO_INDEX_EM</stp>
        <stp>2</stp>
        <stp>601155</stp>
        <stp>1</stp>
        <tr r="D397" s="1"/>
      </tp>
      <tp t="s">
        <v>文化传媒</v>
        <stp/>
        <stp>EM_S_INFO_INDEX_EM</stp>
        <stp>2</stp>
        <stp>601595</stp>
        <stp>1</stp>
        <tr r="D1270" s="1"/>
      </tp>
      <tp t="s">
        <v>金融</v>
        <stp/>
        <stp>EM_S_INFO_INDEX_EM</stp>
        <stp>2</stp>
        <stp>601555</stp>
        <stp>1</stp>
        <tr r="D582" s="1"/>
      </tp>
      <tp t="s">
        <v>轻工制造</v>
        <stp/>
        <stp>EM_S_INFO_INDEX_EM</stp>
        <stp>2</stp>
        <stp>601515</stp>
        <stp>1</stp>
        <tr r="D2559" s="1"/>
      </tp>
      <tp t="s">
        <v>公用事业</v>
        <stp/>
        <stp>EM_S_INFO_INDEX_EM</stp>
        <stp>2</stp>
        <stp>601985</stp>
        <stp>1</stp>
        <tr r="D2565" s="1"/>
      </tp>
      <tp t="s">
        <v>交运设备</v>
        <stp/>
        <stp>EM_S_INFO_INDEX_EM</stp>
        <stp>2</stp>
        <stp>601965</stp>
        <stp>1</stp>
        <tr r="D1351" s="1"/>
      </tp>
      <tp t="s">
        <v>交通运输</v>
        <stp/>
        <stp>EM_S_INFO_INDEX_EM</stp>
        <stp>2</stp>
        <stp>001965</stp>
        <stp>1</stp>
        <tr r="D1808" s="1"/>
      </tp>
      <tp t="s">
        <v>房地产</v>
        <stp/>
        <stp>EM_S_INFO_INDEX_EM</stp>
        <stp>2</stp>
        <stp>300295</stp>
        <stp>1</stp>
        <tr r="D1480" s="1"/>
      </tp>
      <tp t="s">
        <v>基础化工</v>
        <stp/>
        <stp>EM_S_INFO_INDEX_EM</stp>
        <stp>2</stp>
        <stp>300285</stp>
        <stp>1</stp>
        <tr r="D750" s="1"/>
      </tp>
      <tp t="s">
        <v>医药生物</v>
        <stp/>
        <stp>EM_S_INFO_INDEX_EM</stp>
        <stp>2</stp>
        <stp>600285</stp>
        <stp>1</stp>
        <tr r="D1003" s="1"/>
      </tp>
      <tp t="s">
        <v>钢铁</v>
        <stp/>
        <stp>EM_S_INFO_INDEX_EM</stp>
        <stp>2</stp>
        <stp>600295</stp>
        <stp>1</stp>
        <tr r="D1322" s="1"/>
      </tp>
      <tp t="s">
        <v>文化传媒</v>
        <stp/>
        <stp>EM_S_INFO_INDEX_EM</stp>
        <stp>2</stp>
        <stp>300235</stp>
        <stp>1</stp>
        <tr r="D431" s="1"/>
      </tp>
      <tp t="s">
        <v>农林牧渔</v>
        <stp/>
        <stp>EM_S_INFO_INDEX_EM</stp>
        <stp>2</stp>
        <stp>600265</stp>
        <stp>1</stp>
        <tr r="D2743" s="1"/>
      </tp>
      <tp t="s">
        <v>基础化工</v>
        <stp/>
        <stp>EM_S_INFO_INDEX_EM</stp>
        <stp>2</stp>
        <stp>300225</stp>
        <stp>1</stp>
        <tr r="D940" s="1"/>
      </tp>
      <tp t="s">
        <v>农林牧渔</v>
        <stp/>
        <stp>EM_S_INFO_INDEX_EM</stp>
        <stp>2</stp>
        <stp>600275</stp>
        <stp>1</stp>
        <tr r="D3082" s="1"/>
      </tp>
      <tp t="s">
        <v>电气设备</v>
        <stp/>
        <stp>EM_S_INFO_INDEX_EM</stp>
        <stp>2</stp>
        <stp>300215</stp>
        <stp>1</stp>
        <tr r="D1169" s="1"/>
      </tp>
      <tp t="s">
        <v>信息技术</v>
        <stp/>
        <stp>EM_S_INFO_INDEX_EM</stp>
        <stp>2</stp>
        <stp>300205</stp>
        <stp>1</stp>
        <tr r="D825" s="1"/>
      </tp>
      <tp t="s">
        <v>有色金属</v>
        <stp/>
        <stp>EM_S_INFO_INDEX_EM</stp>
        <stp>2</stp>
        <stp>600255</stp>
        <stp>1</stp>
        <tr r="D2860" s="1"/>
      </tp>
      <tp t="s">
        <v>电子设备</v>
        <stp/>
        <stp>EM_S_INFO_INDEX_EM</stp>
        <stp>2</stp>
        <stp>300275</stp>
        <stp>1</stp>
        <tr r="D386" s="1"/>
      </tp>
      <tp t="s">
        <v>房地产</v>
        <stp/>
        <stp>EM_S_INFO_INDEX_EM</stp>
        <stp>2</stp>
        <stp>600225</stp>
        <stp>1</stp>
        <tr r="D2872" s="1"/>
      </tp>
      <tp t="s">
        <v>电气设备</v>
        <stp/>
        <stp>EM_S_INFO_INDEX_EM</stp>
        <stp>2</stp>
        <stp>300265</stp>
        <stp>1</stp>
        <tr r="D2552" s="1"/>
      </tp>
      <tp t="s">
        <v>轻工制造</v>
        <stp/>
        <stp>EM_S_INFO_INDEX_EM</stp>
        <stp>2</stp>
        <stp>600235</stp>
        <stp>1</stp>
        <tr r="D2924" s="1"/>
      </tp>
      <tp t="s">
        <v>医药生物</v>
        <stp/>
        <stp>EM_S_INFO_INDEX_EM</stp>
        <stp>2</stp>
        <stp>300255</stp>
        <stp>1</stp>
        <tr r="D922" s="1"/>
      </tp>
      <tp>
        <v>0</v>
        <stp/>
        <stp>EM_S_INFO_INDEX_EM</stp>
        <stp>2</stp>
        <stp>600205</stp>
        <stp>1</stp>
        <tr r="D2295" s="1"/>
      </tp>
      <tp t="s">
        <v>信息技术</v>
        <stp/>
        <stp>EM_S_INFO_INDEX_EM</stp>
        <stp>2</stp>
        <stp>300245</stp>
        <stp>1</stp>
        <tr r="D1646" s="1"/>
      </tp>
      <tp t="s">
        <v>房地产</v>
        <stp/>
        <stp>EM_S_INFO_INDEX_EM</stp>
        <stp>2</stp>
        <stp>600215</stp>
        <stp>1</stp>
        <tr r="D2571" s="1"/>
      </tp>
      <tp t="s">
        <v>有色金属</v>
        <stp/>
        <stp>EM_S_INFO_INDEX_EM</stp>
        <stp>2</stp>
        <stp>300395</stp>
        <stp>1</stp>
        <tr r="D574" s="1"/>
      </tp>
      <tp t="s">
        <v>机械设备</v>
        <stp/>
        <stp>EM_S_INFO_INDEX_EM</stp>
        <stp>2</stp>
        <stp>300385</stp>
        <stp>1</stp>
        <tr r="D2956" s="1"/>
      </tp>
      <tp t="s">
        <v>轻工制造</v>
        <stp/>
        <stp>EM_S_INFO_INDEX_EM</stp>
        <stp>2</stp>
        <stp>600385</stp>
        <stp>1</stp>
        <tr r="D3030" s="1"/>
      </tp>
      <tp t="s">
        <v>化石能源</v>
        <stp/>
        <stp>EM_S_INFO_INDEX_EM</stp>
        <stp>2</stp>
        <stp>600395</stp>
        <stp>1</stp>
        <tr r="D1227" s="1"/>
      </tp>
      <tp t="s">
        <v>公用事业</v>
        <stp/>
        <stp>EM_S_INFO_INDEX_EM</stp>
        <stp>2</stp>
        <stp>300335</stp>
        <stp>1</stp>
        <tr r="D2659" s="1"/>
      </tp>
      <tp t="s">
        <v>食品饮料</v>
        <stp/>
        <stp>EM_S_INFO_INDEX_EM</stp>
        <stp>2</stp>
        <stp>600365</stp>
        <stp>1</stp>
        <tr r="D1502" s="1"/>
      </tp>
      <tp t="s">
        <v>基础化工</v>
        <stp/>
        <stp>EM_S_INFO_INDEX_EM</stp>
        <stp>2</stp>
        <stp>300325</stp>
        <stp>1</stp>
        <tr r="D1879" s="1"/>
      </tp>
      <tp t="s">
        <v>交运设备</v>
        <stp/>
        <stp>EM_S_INFO_INDEX_EM</stp>
        <stp>2</stp>
        <stp>600375</stp>
        <stp>1</stp>
        <tr r="D856" s="1"/>
      </tp>
      <tp t="s">
        <v>互联网</v>
        <stp/>
        <stp>EM_S_INFO_INDEX_EM</stp>
        <stp>2</stp>
        <stp>300315</stp>
        <stp>1</stp>
        <tr r="D254" s="1"/>
      </tp>
      <tp t="s">
        <v>信息技术</v>
        <stp/>
        <stp>EM_S_INFO_INDEX_EM</stp>
        <stp>2</stp>
        <stp>600345</stp>
        <stp>1</stp>
        <tr r="D2249" s="1"/>
      </tp>
      <tp t="s">
        <v>基础化工</v>
        <stp/>
        <stp>EM_S_INFO_INDEX_EM</stp>
        <stp>2</stp>
        <stp>300305</stp>
        <stp>1</stp>
        <tr r="D1934" s="1"/>
      </tp>
      <tp t="s">
        <v>信息技术</v>
        <stp/>
        <stp>EM_S_INFO_INDEX_EM</stp>
        <stp>2</stp>
        <stp>600355</stp>
        <stp>1</stp>
        <tr r="D2366" s="1"/>
      </tp>
      <tp t="s">
        <v>交运设备</v>
        <stp/>
        <stp>EM_S_INFO_INDEX_EM</stp>
        <stp>2</stp>
        <stp>300375</stp>
        <stp>1</stp>
        <tr r="D3267" s="1"/>
      </tp>
      <tp t="s">
        <v>房地产</v>
        <stp/>
        <stp>EM_S_INFO_INDEX_EM</stp>
        <stp>2</stp>
        <stp>600325</stp>
        <stp>1</stp>
        <tr r="D1081" s="1"/>
      </tp>
      <tp t="s">
        <v>信息技术</v>
        <stp/>
        <stp>EM_S_INFO_INDEX_EM</stp>
        <stp>2</stp>
        <stp>300365</stp>
        <stp>1</stp>
        <tr r="D3299" s="1"/>
      </tp>
      <tp t="s">
        <v>交运设备</v>
        <stp/>
        <stp>EM_S_INFO_INDEX_EM</stp>
        <stp>2</stp>
        <stp>600335</stp>
        <stp>1</stp>
        <tr r="D2633" s="1"/>
      </tp>
      <tp t="s">
        <v>公用事业</v>
        <stp/>
        <stp>EM_S_INFO_INDEX_EM</stp>
        <stp>2</stp>
        <stp>300355</stp>
        <stp>1</stp>
        <tr r="D2877" s="1"/>
      </tp>
      <tp t="s">
        <v>食品饮料</v>
        <stp/>
        <stp>EM_S_INFO_INDEX_EM</stp>
        <stp>2</stp>
        <stp>600305</stp>
        <stp>1</stp>
        <tr r="D676" s="1"/>
      </tp>
      <tp t="s">
        <v>机械设备</v>
        <stp/>
        <stp>EM_S_INFO_INDEX_EM</stp>
        <stp>2</stp>
        <stp>300345</stp>
        <stp>1</stp>
        <tr r="D115" s="1"/>
      </tp>
      <tp t="s">
        <v>基础化工</v>
        <stp/>
        <stp>EM_S_INFO_INDEX_EM</stp>
        <stp>2</stp>
        <stp>600315</stp>
        <stp>1</stp>
        <tr r="D1565" s="1"/>
      </tp>
      <tp t="s">
        <v>机械设备</v>
        <stp/>
        <stp>EM_S_INFO_INDEX_EM</stp>
        <stp>2</stp>
        <stp>300095</stp>
        <stp>1</stp>
        <tr r="D950" s="1"/>
      </tp>
      <tp t="s">
        <v>信息技术</v>
        <stp/>
        <stp>EM_S_INFO_INDEX_EM</stp>
        <stp>2</stp>
        <stp>300085</stp>
        <stp>1</stp>
        <tr r="D175" s="1"/>
      </tp>
      <tp t="s">
        <v>医药生物</v>
        <stp/>
        <stp>EM_S_INFO_INDEX_EM</stp>
        <stp>2</stp>
        <stp>600085</stp>
        <stp>1</stp>
        <tr r="D2188" s="1"/>
      </tp>
      <tp t="s">
        <v>房地产</v>
        <stp/>
        <stp>EM_S_INFO_INDEX_EM</stp>
        <stp>2</stp>
        <stp>600095</stp>
        <stp>1</stp>
        <tr r="D100" s="1"/>
      </tp>
      <tp t="s">
        <v>公用事业</v>
        <stp/>
        <stp>EM_S_INFO_INDEX_EM</stp>
        <stp>2</stp>
        <stp>000005</stp>
        <stp>1</stp>
        <tr r="D1466" s="1"/>
      </tp>
      <tp t="s">
        <v>有色金属</v>
        <stp/>
        <stp>EM_S_INFO_INDEX_EM</stp>
        <stp>2</stp>
        <stp>300035</stp>
        <stp>1</stp>
        <tr r="D263" s="1"/>
      </tp>
      <tp>
        <v>0</v>
        <stp/>
        <stp>EM_S_INFO_INDEX_EM</stp>
        <stp>2</stp>
        <stp>600065</stp>
        <stp>1</stp>
        <tr r="D2289" s="1"/>
      </tp>
      <tp>
        <v>0</v>
        <stp/>
        <stp>EM_S_INFO_INDEX_EM</stp>
        <stp>2</stp>
        <stp>000015</stp>
        <stp>1</stp>
        <tr r="D2273" s="1"/>
      </tp>
      <tp t="s">
        <v>信息技术</v>
        <stp/>
        <stp>EM_S_INFO_INDEX_EM</stp>
        <stp>2</stp>
        <stp>300025</stp>
        <stp>1</stp>
        <tr r="D1834" s="1"/>
      </tp>
      <tp t="s">
        <v>基础化工</v>
        <stp/>
        <stp>EM_S_INFO_INDEX_EM</stp>
        <stp>2</stp>
        <stp>600075</stp>
        <stp>1</stp>
        <tr r="D1714" s="1"/>
      </tp>
      <tp t="s">
        <v>交运设备</v>
        <stp/>
        <stp>EM_S_INFO_INDEX_EM</stp>
        <stp>2</stp>
        <stp>000025</stp>
        <stp>1</stp>
        <tr r="D1436" s="1"/>
      </tp>
      <tp t="s">
        <v>医药生物</v>
        <stp/>
        <stp>EM_S_INFO_INDEX_EM</stp>
        <stp>2</stp>
        <stp>300015</stp>
        <stp>1</stp>
        <tr r="D607" s="1"/>
      </tp>
      <tp t="s">
        <v>公用事业</v>
        <stp/>
        <stp>EM_S_INFO_INDEX_EM</stp>
        <stp>2</stp>
        <stp>000035</stp>
        <stp>1</stp>
        <tr r="D1341" s="1"/>
      </tp>
      <tp t="s">
        <v>纺织服装</v>
        <stp/>
        <stp>EM_S_INFO_INDEX_EM</stp>
        <stp>2</stp>
        <stp>300005</stp>
        <stp>1</stp>
        <tr r="D801" s="1"/>
      </tp>
      <tp t="s">
        <v>医药生物</v>
        <stp/>
        <stp>EM_S_INFO_INDEX_EM</stp>
        <stp>2</stp>
        <stp>600055</stp>
        <stp>1</stp>
        <tr r="D1416" s="1"/>
      </tp>
      <tp t="s">
        <v>电子设备</v>
        <stp/>
        <stp>EM_S_INFO_INDEX_EM</stp>
        <stp>2</stp>
        <stp>000045</stp>
        <stp>1</stp>
        <tr r="D967" s="1"/>
      </tp>
      <tp t="s">
        <v>信息技术</v>
        <stp/>
        <stp>EM_S_INFO_INDEX_EM</stp>
        <stp>2</stp>
        <stp>300075</stp>
        <stp>1</stp>
        <tr r="D2077" s="1"/>
      </tp>
      <tp t="s">
        <v>公用事业</v>
        <stp/>
        <stp>EM_S_INFO_INDEX_EM</stp>
        <stp>2</stp>
        <stp>600025</stp>
        <stp>1</stp>
        <tr r="D835" s="1"/>
      </tp>
      <tp t="s">
        <v>建筑</v>
        <stp/>
        <stp>EM_S_INFO_INDEX_EM</stp>
        <stp>2</stp>
        <stp>000055</stp>
        <stp>1</stp>
        <tr r="D1107" s="1"/>
      </tp>
      <tp t="s">
        <v>国防与装备</v>
        <stp/>
        <stp>EM_S_INFO_INDEX_EM</stp>
        <stp>2</stp>
        <stp>300065</stp>
        <stp>1</stp>
        <tr r="D1337" s="1"/>
      </tp>
      <tp t="s">
        <v>交通运输</v>
        <stp/>
        <stp>EM_S_INFO_INDEX_EM</stp>
        <stp>2</stp>
        <stp>600035</stp>
        <stp>1</stp>
        <tr r="D1452" s="1"/>
      </tp>
      <tp t="s">
        <v>建筑</v>
        <stp/>
        <stp>EM_S_INFO_INDEX_EM</stp>
        <stp>2</stp>
        <stp>000065</stp>
        <stp>1</stp>
        <tr r="D1549" s="1"/>
      </tp>
      <tp t="s">
        <v>公用事业</v>
        <stp/>
        <stp>EM_S_INFO_INDEX_EM</stp>
        <stp>2</stp>
        <stp>300055</stp>
        <stp>1</stp>
        <tr r="D2859" s="1"/>
      </tp>
      <tp>
        <v>0</v>
        <stp/>
        <stp>EM_S_INFO_INDEX_EM</stp>
        <stp>2</stp>
        <stp>600005</stp>
        <stp>1</stp>
        <tr r="D2288" s="1"/>
      </tp>
      <tp t="s">
        <v>信息技术</v>
        <stp/>
        <stp>EM_S_INFO_INDEX_EM</stp>
        <stp>2</stp>
        <stp>300045</stp>
        <stp>1</stp>
        <tr r="D1141" s="1"/>
      </tp>
      <tp t="s">
        <v>金融</v>
        <stp/>
        <stp>EM_S_INFO_INDEX_EM</stp>
        <stp>2</stp>
        <stp>600015</stp>
        <stp>1</stp>
        <tr r="D2083" s="1"/>
      </tp>
      <tp t="s">
        <v>机械设备</v>
        <stp/>
        <stp>EM_S_INFO_INDEX_EM</stp>
        <stp>2</stp>
        <stp>300195</stp>
        <stp>1</stp>
        <tr r="D2722" s="1"/>
      </tp>
      <tp t="s">
        <v>机械设备</v>
        <stp/>
        <stp>EM_S_INFO_INDEX_EM</stp>
        <stp>2</stp>
        <stp>300185</stp>
        <stp>1</stp>
        <tr r="D1705" s="1"/>
      </tp>
      <tp t="s">
        <v>房地产</v>
        <stp/>
        <stp>EM_S_INFO_INDEX_EM</stp>
        <stp>2</stp>
        <stp>600185</stp>
        <stp>1</stp>
        <tr r="D1239" s="1"/>
      </tp>
      <tp t="s">
        <v>农林牧渔</v>
        <stp/>
        <stp>EM_S_INFO_INDEX_EM</stp>
        <stp>2</stp>
        <stp>600195</stp>
        <stp>1</stp>
        <tr r="D1893" s="1"/>
      </tp>
      <tp t="s">
        <v>化石能源</v>
        <stp/>
        <stp>EM_S_INFO_INDEX_EM</stp>
        <stp>2</stp>
        <stp>300135</stp>
        <stp>1</stp>
        <tr r="D2372" s="1"/>
      </tp>
      <tp t="s">
        <v>医药生物</v>
        <stp/>
        <stp>EM_S_INFO_INDEX_EM</stp>
        <stp>2</stp>
        <stp>600165</stp>
        <stp>1</stp>
        <tr r="D3077" s="1"/>
      </tp>
      <tp t="s">
        <v>电气设备</v>
        <stp/>
        <stp>EM_S_INFO_INDEX_EM</stp>
        <stp>2</stp>
        <stp>300125</stp>
        <stp>1</stp>
        <tr r="D841" s="1"/>
      </tp>
      <tp t="s">
        <v>综合</v>
        <stp/>
        <stp>EM_S_INFO_INDEX_EM</stp>
        <stp>2</stp>
        <stp>600175</stp>
        <stp>1</stp>
        <tr r="D2982" s="1"/>
      </tp>
      <tp t="s">
        <v>电子设备</v>
        <stp/>
        <stp>EM_S_INFO_INDEX_EM</stp>
        <stp>2</stp>
        <stp>300115</stp>
        <stp>1</stp>
        <tr r="D125" s="1"/>
      </tp>
      <tp t="s">
        <v>商贸零售</v>
        <stp/>
        <stp>EM_S_INFO_INDEX_EM</stp>
        <stp>2</stp>
        <stp>600145</stp>
        <stp>1</stp>
        <tr r="D2293" s="1"/>
      </tp>
      <tp t="s">
        <v>机械设备</v>
        <stp/>
        <stp>EM_S_INFO_INDEX_EM</stp>
        <stp>2</stp>
        <stp>300105</stp>
        <stp>1</stp>
        <tr r="D1424" s="1"/>
      </tp>
      <tp t="s">
        <v>金融</v>
        <stp/>
        <stp>EM_S_INFO_INDEX_EM</stp>
        <stp>2</stp>
        <stp>600155</stp>
        <stp>1</stp>
        <tr r="D234" s="1"/>
      </tp>
      <tp t="s">
        <v>农林牧渔</v>
        <stp/>
        <stp>EM_S_INFO_INDEX_EM</stp>
        <stp>2</stp>
        <stp>300175</stp>
        <stp>1</stp>
        <tr r="D630" s="1"/>
      </tp>
      <tp t="s">
        <v>交通运输</v>
        <stp/>
        <stp>EM_S_INFO_INDEX_EM</stp>
        <stp>2</stp>
        <stp>600125</stp>
        <stp>1</stp>
        <tr r="D2904" s="1"/>
      </tp>
      <tp t="s">
        <v>公用事业</v>
        <stp/>
        <stp>EM_S_INFO_INDEX_EM</stp>
        <stp>2</stp>
        <stp>000155</stp>
        <stp>1</stp>
        <tr r="D1263" s="1"/>
      </tp>
      <tp t="s">
        <v>机械设备</v>
        <stp/>
        <stp>EM_S_INFO_INDEX_EM</stp>
        <stp>2</stp>
        <stp>300165</stp>
        <stp>1</stp>
        <tr r="D1207" s="1"/>
      </tp>
      <tp t="s">
        <v>基础化工</v>
        <stp/>
        <stp>EM_S_INFO_INDEX_EM</stp>
        <stp>2</stp>
        <stp>600135</stp>
        <stp>1</stp>
        <tr r="D1020" s="1"/>
      </tp>
      <tp t="s">
        <v>电子设备</v>
        <stp/>
        <stp>EM_S_INFO_INDEX_EM</stp>
        <stp>2</stp>
        <stp>300155</stp>
        <stp>1</stp>
        <tr r="D1092" s="1"/>
      </tp>
      <tp t="s">
        <v>信息技术</v>
        <stp/>
        <stp>EM_S_INFO_INDEX_EM</stp>
        <stp>2</stp>
        <stp>600105</stp>
        <stp>1</stp>
        <tr r="D1397" s="1"/>
      </tp>
      <tp t="s">
        <v>机械设备</v>
        <stp/>
        <stp>EM_S_INFO_INDEX_EM</stp>
        <stp>2</stp>
        <stp>300145</stp>
        <stp>1</stp>
        <tr r="D1801" s="1"/>
      </tp>
      <tp t="s">
        <v>交通运输</v>
        <stp/>
        <stp>EM_S_INFO_INDEX_EM</stp>
        <stp>2</stp>
        <stp>600115</stp>
        <stp>1</stp>
        <tr r="D1172" s="1"/>
      </tp>
      <tp t="s">
        <v>公用事业</v>
        <stp/>
        <stp>EM_S_INFO_INDEX_EM</stp>
        <stp>2</stp>
        <stp>000685</stp>
        <stp>1</stp>
        <tr r="D1353" s="1"/>
      </tp>
      <tp t="s">
        <v>公用事业</v>
        <stp/>
        <stp>EM_S_INFO_INDEX_EM</stp>
        <stp>2</stp>
        <stp>000695</stp>
        <stp>1</stp>
        <tr r="D2992" s="1"/>
      </tp>
      <tp t="s">
        <v>交运设备</v>
        <stp/>
        <stp>EM_S_INFO_INDEX_EM</stp>
        <stp>2</stp>
        <stp>300695</stp>
        <stp>1</stp>
        <tr r="D1890" s="1"/>
      </tp>
      <tp t="s">
        <v>医药生物</v>
        <stp/>
        <stp>EM_S_INFO_INDEX_EM</stp>
        <stp>2</stp>
        <stp>300685</stp>
        <stp>1</stp>
        <tr r="D436" s="1"/>
      </tp>
      <tp t="s">
        <v>国防与装备</v>
        <stp/>
        <stp>EM_S_INFO_INDEX_EM</stp>
        <stp>2</stp>
        <stp>600685</stp>
        <stp>1</stp>
        <tr r="D512" s="1"/>
      </tp>
      <tp t="s">
        <v>互联网</v>
        <stp/>
        <stp>EM_S_INFO_INDEX_EM</stp>
        <stp>2</stp>
        <stp>600695</stp>
        <stp>1</stp>
        <tr r="D307" s="1"/>
      </tp>
      <tp t="s">
        <v>公用事业</v>
        <stp/>
        <stp>EM_S_INFO_INDEX_EM</stp>
        <stp>2</stp>
        <stp>000605</stp>
        <stp>1</stp>
        <tr r="D3479" s="1"/>
      </tp>
      <tp t="s">
        <v>休闲、生活及专业服务</v>
        <stp/>
        <stp>EM_S_INFO_INDEX_EM</stp>
        <stp>2</stp>
        <stp>300635</stp>
        <stp>1</stp>
        <tr r="D3011" s="1"/>
      </tp>
      <tp t="s">
        <v>房地产</v>
        <stp/>
        <stp>EM_S_INFO_INDEX_EM</stp>
        <stp>2</stp>
        <stp>600665</stp>
        <stp>1</stp>
        <tr r="D2096" s="1"/>
      </tp>
      <tp t="s">
        <v>房地产</v>
        <stp/>
        <stp>EM_S_INFO_INDEX_EM</stp>
        <stp>2</stp>
        <stp>000615</stp>
        <stp>1</stp>
        <tr r="D3000" s="1"/>
      </tp>
      <tp t="s">
        <v>电子设备</v>
        <stp/>
        <stp>EM_S_INFO_INDEX_EM</stp>
        <stp>2</stp>
        <stp>300625</stp>
        <stp>1</stp>
        <tr r="D1465" s="1"/>
      </tp>
      <tp t="s">
        <v>房地产</v>
        <stp/>
        <stp>EM_S_INFO_INDEX_EM</stp>
        <stp>2</stp>
        <stp>600675</stp>
        <stp>1</stp>
        <tr r="D2967" s="1"/>
      </tp>
      <tp t="s">
        <v>交运设备</v>
        <stp/>
        <stp>EM_S_INFO_INDEX_EM</stp>
        <stp>2</stp>
        <stp>000625</stp>
        <stp>1</stp>
        <tr r="D3487" s="1"/>
      </tp>
      <tp t="s">
        <v>信息技术</v>
        <stp/>
        <stp>EM_S_INFO_INDEX_EM</stp>
        <stp>2</stp>
        <stp>300615</stp>
        <stp>1</stp>
        <tr r="D1398" s="1"/>
      </tp>
      <tp t="s">
        <v>医药生物</v>
        <stp/>
        <stp>EM_S_INFO_INDEX_EM</stp>
        <stp>2</stp>
        <stp>600645</stp>
        <stp>1</stp>
        <tr r="D2094" s="1"/>
      </tp>
      <tp t="s">
        <v>基础化工</v>
        <stp/>
        <stp>EM_S_INFO_INDEX_EM</stp>
        <stp>2</stp>
        <stp>000635</stp>
        <stp>1</stp>
        <tr r="D2661" s="1"/>
      </tp>
      <tp t="s">
        <v>信息技术</v>
        <stp/>
        <stp>EM_S_INFO_INDEX_EM</stp>
        <stp>2</stp>
        <stp>300605</stp>
        <stp>1</stp>
        <tr r="D2903" s="1"/>
      </tp>
      <tp t="s">
        <v>商贸零售</v>
        <stp/>
        <stp>EM_S_INFO_INDEX_EM</stp>
        <stp>2</stp>
        <stp>600655</stp>
        <stp>1</stp>
        <tr r="D2010" s="1"/>
      </tp>
      <tp t="s">
        <v>休闲、生活及专业服务</v>
        <stp/>
        <stp>EM_S_INFO_INDEX_EM</stp>
        <stp>2</stp>
        <stp>300675</stp>
        <stp>1</stp>
        <tr r="D3339" s="1"/>
      </tp>
      <tp>
        <v>0</v>
        <stp/>
        <stp>EM_S_INFO_INDEX_EM</stp>
        <stp>2</stp>
        <stp>600625</stp>
        <stp>1</stp>
        <tr r="D2307" s="1"/>
      </tp>
      <tp t="s">
        <v>钢铁</v>
        <stp/>
        <stp>EM_S_INFO_INDEX_EM</stp>
        <stp>2</stp>
        <stp>000655</stp>
        <stp>1</stp>
        <tr r="D3494" s="1"/>
      </tp>
      <tp t="s">
        <v>基础化工</v>
        <stp/>
        <stp>EM_S_INFO_INDEX_EM</stp>
        <stp>2</stp>
        <stp>300665</stp>
        <stp>1</stp>
        <tr r="D1720" s="1"/>
      </tp>
      <tp t="s">
        <v>公用事业</v>
        <stp/>
        <stp>EM_S_INFO_INDEX_EM</stp>
        <stp>2</stp>
        <stp>600635</stp>
        <stp>1</stp>
        <tr r="D2147" s="1"/>
      </tp>
      <tp t="s">
        <v>文化传媒</v>
        <stp/>
        <stp>EM_S_INFO_INDEX_EM</stp>
        <stp>2</stp>
        <stp>000665</stp>
        <stp>1</stp>
        <tr r="D3156" s="1"/>
      </tp>
      <tp t="s">
        <v>基础化工</v>
        <stp/>
        <stp>EM_S_INFO_INDEX_EM</stp>
        <stp>2</stp>
        <stp>300655</stp>
        <stp>1</stp>
        <tr r="D94" s="1"/>
      </tp>
      <tp t="s">
        <v>商贸零售</v>
        <stp/>
        <stp>EM_S_INFO_INDEX_EM</stp>
        <stp>2</stp>
        <stp>600605</stp>
        <stp>1</stp>
        <tr r="D1488" s="1"/>
      </tp>
      <tp>
        <v>0</v>
        <stp/>
        <stp>EM_S_INFO_INDEX_EM</stp>
        <stp>2</stp>
        <stp>000675</stp>
        <stp>1</stp>
        <tr r="D3504" s="1"/>
      </tp>
      <tp t="s">
        <v>电子设备</v>
        <stp/>
        <stp>EM_S_INFO_INDEX_EM</stp>
        <stp>2</stp>
        <stp>300645</stp>
        <stp>1</stp>
        <tr r="D3374" s="1"/>
      </tp>
      <tp t="s">
        <v>机械设备</v>
        <stp/>
        <stp>EM_S_INFO_INDEX_EM</stp>
        <stp>2</stp>
        <stp>600615</stp>
        <stp>1</stp>
        <tr r="D1631" s="1"/>
      </tp>
      <tp t="s">
        <v>商贸零售</v>
        <stp/>
        <stp>EM_S_INFO_INDEX_EM</stp>
        <stp>2</stp>
        <stp>000785</stp>
        <stp>1</stp>
        <tr r="D560" s="1"/>
      </tp>
      <tp t="s">
        <v>有色金属</v>
        <stp/>
        <stp>EM_S_INFO_INDEX_EM</stp>
        <stp>2</stp>
        <stp>000795</stp>
        <stp>1</stp>
        <tr r="D292" s="1"/>
      </tp>
      <tp t="s">
        <v>商贸零售</v>
        <stp/>
        <stp>EM_S_INFO_INDEX_EM</stp>
        <stp>2</stp>
        <stp>600785</stp>
        <stp>1</stp>
        <tr r="D2709" s="1"/>
      </tp>
      <tp t="s">
        <v>公用事业</v>
        <stp/>
        <stp>EM_S_INFO_INDEX_EM</stp>
        <stp>2</stp>
        <stp>600795</stp>
        <stp>1</stp>
        <tr r="D2731" s="1"/>
      </tp>
      <tp t="s">
        <v>医药生物</v>
        <stp/>
        <stp>EM_S_INFO_INDEX_EM</stp>
        <stp>2</stp>
        <stp>000705</stp>
        <stp>1</stp>
        <tr r="D1817" s="1"/>
      </tp>
      <tp t="s">
        <v>电子设备</v>
        <stp/>
        <stp>EM_S_INFO_INDEX_EM</stp>
        <stp>2</stp>
        <stp>300735</stp>
        <stp>1</stp>
        <tr r="D394" s="1"/>
      </tp>
      <tp t="s">
        <v>机械设备</v>
        <stp/>
        <stp>EM_S_INFO_INDEX_EM</stp>
        <stp>2</stp>
        <stp>600765</stp>
        <stp>1</stp>
        <tr r="D867" s="1"/>
      </tp>
      <tp t="s">
        <v>商贸零售</v>
        <stp/>
        <stp>EM_S_INFO_INDEX_EM</stp>
        <stp>2</stp>
        <stp>000715</stp>
        <stp>1</stp>
        <tr r="D2071" s="1"/>
      </tp>
      <tp t="s">
        <v>医药生物</v>
        <stp/>
        <stp>EM_S_INFO_INDEX_EM</stp>
        <stp>2</stp>
        <stp>300725</stp>
        <stp>1</stp>
        <tr r="D1231" s="1"/>
      </tp>
      <tp t="s">
        <v>信息技术</v>
        <stp/>
        <stp>EM_S_INFO_INDEX_EM</stp>
        <stp>2</stp>
        <stp>600775</stp>
        <stp>1</stp>
        <tr r="D1097" s="1"/>
      </tp>
      <tp t="s">
        <v>电子设备</v>
        <stp/>
        <stp>EM_S_INFO_INDEX_EM</stp>
        <stp>2</stp>
        <stp>000725</stp>
        <stp>1</stp>
        <tr r="D291" s="1"/>
      </tp>
      <tp t="s">
        <v>建材</v>
        <stp/>
        <stp>EM_S_INFO_INDEX_EM</stp>
        <stp>2</stp>
        <stp>300715</stp>
        <stp>1</stp>
        <tr r="D1509" s="1"/>
      </tp>
      <tp t="s">
        <v>电子设备</v>
        <stp/>
        <stp>EM_S_INFO_INDEX_EM</stp>
        <stp>2</stp>
        <stp>600745</stp>
        <stp>1</stp>
        <tr r="D24" s="1"/>
      </tp>
      <tp t="s">
        <v>农林牧渔</v>
        <stp/>
        <stp>EM_S_INFO_INDEX_EM</stp>
        <stp>2</stp>
        <stp>000735</stp>
        <stp>1</stp>
        <tr r="D3523" s="1"/>
      </tp>
      <tp t="s">
        <v>医药生物</v>
        <stp/>
        <stp>EM_S_INFO_INDEX_EM</stp>
        <stp>2</stp>
        <stp>300705</stp>
        <stp>1</stp>
        <tr r="D2226" s="1"/>
      </tp>
      <tp t="s">
        <v>商贸零售</v>
        <stp/>
        <stp>EM_S_INFO_INDEX_EM</stp>
        <stp>2</stp>
        <stp>600755</stp>
        <stp>1</stp>
        <tr r="D1998" s="1"/>
      </tp>
      <tp t="s">
        <v>化石能源</v>
        <stp/>
        <stp>EM_S_INFO_INDEX_EM</stp>
        <stp>2</stp>
        <stp>600725</stp>
        <stp>1</stp>
        <tr r="D1728" s="1"/>
      </tp>
      <tp t="s">
        <v>交通运输</v>
        <stp/>
        <stp>EM_S_INFO_INDEX_EM</stp>
        <stp>2</stp>
        <stp>000755</stp>
        <stp>1</stp>
        <tr r="D3528" s="1"/>
      </tp>
      <tp t="s">
        <v>轻工制造</v>
        <stp/>
        <stp>EM_S_INFO_INDEX_EM</stp>
        <stp>2</stp>
        <stp>600735</stp>
        <stp>1</stp>
        <tr r="D990" s="1"/>
      </tp>
      <tp>
        <v>0</v>
        <stp/>
        <stp>EM_S_INFO_INDEX_EM</stp>
        <stp>2</stp>
        <stp>000765</stp>
        <stp>1</stp>
        <tr r="D3533" s="1"/>
      </tp>
      <tp t="s">
        <v>金融</v>
        <stp/>
        <stp>EM_S_INFO_INDEX_EM</stp>
        <stp>2</stp>
        <stp>600705</stp>
        <stp>1</stp>
        <tr r="D1501" s="1"/>
      </tp>
      <tp t="s">
        <v>交运设备</v>
        <stp/>
        <stp>EM_S_INFO_INDEX_EM</stp>
        <stp>2</stp>
        <stp>300745</stp>
        <stp>1</stp>
        <tr r="D3282" s="1"/>
      </tp>
      <tp t="s">
        <v>文化传媒</v>
        <stp/>
        <stp>EM_S_INFO_INDEX_EM</stp>
        <stp>2</stp>
        <stp>600715</stp>
        <stp>1</stp>
        <tr r="D3118" s="1"/>
      </tp>
      <tp t="s">
        <v>建筑</v>
        <stp/>
        <stp>EM_S_INFO_INDEX_EM</stp>
        <stp>2</stp>
        <stp>300495</stp>
        <stp>1</stp>
        <tr r="D2945" s="1"/>
      </tp>
      <tp t="s">
        <v>医药生物</v>
        <stp/>
        <stp>EM_S_INFO_INDEX_EM</stp>
        <stp>2</stp>
        <stp>300485</stp>
        <stp>1</stp>
        <tr r="D2810" s="1"/>
      </tp>
      <tp t="s">
        <v>医药生物</v>
        <stp/>
        <stp>EM_S_INFO_INDEX_EM</stp>
        <stp>2</stp>
        <stp>600485</stp>
        <stp>1</stp>
        <tr r="D3405" s="1"/>
      </tp>
      <tp t="s">
        <v>交运设备</v>
        <stp/>
        <stp>EM_S_INFO_INDEX_EM</stp>
        <stp>2</stp>
        <stp>600495</stp>
        <stp>1</stp>
        <tr r="D2218" s="1"/>
      </tp>
      <tp>
        <v>0</v>
        <stp/>
        <stp>EM_S_INFO_INDEX_EM</stp>
        <stp>2</stp>
        <stp>000405</stp>
        <stp>1</stp>
        <tr r="D3416" s="1"/>
      </tp>
      <tp t="s">
        <v>机械设备</v>
        <stp/>
        <stp>EM_S_INFO_INDEX_EM</stp>
        <stp>2</stp>
        <stp>300435</stp>
        <stp>1</stp>
        <tr r="D1794" s="1"/>
      </tp>
      <tp t="s">
        <v>交通运输</v>
        <stp/>
        <stp>EM_S_INFO_INDEX_EM</stp>
        <stp>2</stp>
        <stp>000415</stp>
        <stp>1</stp>
        <tr r="D2000" s="1"/>
      </tp>
      <tp t="s">
        <v>公用事业</v>
        <stp/>
        <stp>EM_S_INFO_INDEX_EM</stp>
        <stp>2</stp>
        <stp>300425</stp>
        <stp>1</stp>
        <tr r="D2401" s="1"/>
      </tp>
      <tp t="s">
        <v>电气设备</v>
        <stp/>
        <stp>EM_S_INFO_INDEX_EM</stp>
        <stp>2</stp>
        <stp>600475</stp>
        <stp>1</stp>
        <tr r="D1220" s="1"/>
      </tp>
      <tp t="s">
        <v>机械设备</v>
        <stp/>
        <stp>EM_S_INFO_INDEX_EM</stp>
        <stp>2</stp>
        <stp>000425</stp>
        <stp>1</stp>
        <tr r="D319" s="1"/>
      </tp>
      <tp t="s">
        <v>机械设备</v>
        <stp/>
        <stp>EM_S_INFO_INDEX_EM</stp>
        <stp>2</stp>
        <stp>300415</stp>
        <stp>1</stp>
        <tr r="D374" s="1"/>
      </tp>
      <tp t="s">
        <v>基础化工</v>
        <stp/>
        <stp>EM_S_INFO_INDEX_EM</stp>
        <stp>2</stp>
        <stp>300405</stp>
        <stp>1</stp>
        <tr r="D2766" s="1"/>
      </tp>
      <tp t="s">
        <v>信息技术</v>
        <stp/>
        <stp>EM_S_INFO_INDEX_EM</stp>
        <stp>2</stp>
        <stp>600455</stp>
        <stp>1</stp>
        <tr r="D440" s="1"/>
      </tp>
      <tp t="s">
        <v>家电</v>
        <stp/>
        <stp>EM_S_INFO_INDEX_EM</stp>
        <stp>2</stp>
        <stp>300475</stp>
        <stp>1</stp>
        <tr r="D864" s="1"/>
      </tp>
      <tp t="s">
        <v>建材</v>
        <stp/>
        <stp>EM_S_INFO_INDEX_EM</stp>
        <stp>2</stp>
        <stp>600425</stp>
        <stp>1</stp>
        <tr r="D935" s="1"/>
      </tp>
      <tp t="s">
        <v>信息技术</v>
        <stp/>
        <stp>EM_S_INFO_INDEX_EM</stp>
        <stp>2</stp>
        <stp>300465</stp>
        <stp>1</stp>
        <tr r="D477" s="1"/>
      </tp>
      <tp t="s">
        <v>国防与装备</v>
        <stp/>
        <stp>EM_S_INFO_INDEX_EM</stp>
        <stp>2</stp>
        <stp>600435</stp>
        <stp>1</stp>
        <tr r="D1564" s="1"/>
      </tp>
      <tp t="s">
        <v>信息技术</v>
        <stp/>
        <stp>EM_S_INFO_INDEX_EM</stp>
        <stp>2</stp>
        <stp>300455</stp>
        <stp>1</stp>
        <tr r="D388" s="1"/>
      </tp>
      <tp t="s">
        <v>电气设备</v>
        <stp/>
        <stp>EM_S_INFO_INDEX_EM</stp>
        <stp>2</stp>
        <stp>600405</stp>
        <stp>1</stp>
        <tr r="D1472" s="1"/>
      </tp>
      <tp t="s">
        <v>机械设备</v>
        <stp/>
        <stp>EM_S_INFO_INDEX_EM</stp>
        <stp>2</stp>
        <stp>300445</stp>
        <stp>1</stp>
        <tr r="D314" s="1"/>
      </tp>
      <tp t="s">
        <v>房地产</v>
        <stp/>
        <stp>EM_S_INFO_INDEX_EM</stp>
        <stp>2</stp>
        <stp>600415</stp>
        <stp>1</stp>
        <tr r="D1685" s="1"/>
      </tp>
      <tp t="s">
        <v>电气设备</v>
        <stp/>
        <stp>EM_S_INFO_INDEX_EM</stp>
        <stp>2</stp>
        <stp>000585</stp>
        <stp>1</stp>
        <tr r="D3467" s="1"/>
      </tp>
      <tp t="s">
        <v>机械设备</v>
        <stp/>
        <stp>EM_S_INFO_INDEX_EM</stp>
        <stp>2</stp>
        <stp>000595</stp>
        <stp>1</stp>
        <tr r="D3475" s="1"/>
      </tp>
      <tp t="s">
        <v>医药生物</v>
        <stp/>
        <stp>EM_S_INFO_INDEX_EM</stp>
        <stp>2</stp>
        <stp>300595</stp>
        <stp>1</stp>
        <tr r="D1286" s="1"/>
      </tp>
      <tp t="s">
        <v>交运设备</v>
        <stp/>
        <stp>EM_S_INFO_INDEX_EM</stp>
        <stp>2</stp>
        <stp>300585</stp>
        <stp>1</stp>
        <tr r="D290" s="1"/>
      </tp>
      <tp t="s">
        <v>建材</v>
        <stp/>
        <stp>EM_S_INFO_INDEX_EM</stp>
        <stp>2</stp>
        <stp>600585</stp>
        <stp>1</stp>
        <tr r="D248" s="1"/>
      </tp>
      <tp t="s">
        <v>有色金属</v>
        <stp/>
        <stp>EM_S_INFO_INDEX_EM</stp>
        <stp>2</stp>
        <stp>600595</stp>
        <stp>1</stp>
        <tr r="D1620" s="1"/>
      </tp>
      <tp t="s">
        <v>农林牧渔</v>
        <stp/>
        <stp>EM_S_INFO_INDEX_EM</stp>
        <stp>2</stp>
        <stp>000505</stp>
        <stp>1</stp>
        <tr r="D3432" s="1"/>
      </tp>
      <tp t="s">
        <v>基础化工</v>
        <stp/>
        <stp>EM_S_INFO_INDEX_EM</stp>
        <stp>2</stp>
        <stp>300535</stp>
        <stp>1</stp>
        <tr r="D1948" s="1"/>
      </tp>
      <tp t="s">
        <v>房地产</v>
        <stp/>
        <stp>EM_S_INFO_INDEX_EM</stp>
        <stp>2</stp>
        <stp>600565</stp>
        <stp>1</stp>
        <tr r="D845" s="1"/>
      </tp>
      <tp>
        <v>0</v>
        <stp/>
        <stp>EM_S_INFO_INDEX_EM</stp>
        <stp>2</stp>
        <stp>000515</stp>
        <stp>1</stp>
        <tr r="D3438" s="1"/>
      </tp>
      <tp t="s">
        <v>信息技术</v>
        <stp/>
        <stp>EM_S_INFO_INDEX_EM</stp>
        <stp>2</stp>
        <stp>300525</stp>
        <stp>1</stp>
        <tr r="D381" s="1"/>
      </tp>
      <tp t="s">
        <v>化石能源</v>
        <stp/>
        <stp>EM_S_INFO_INDEX_EM</stp>
        <stp>2</stp>
        <stp>600575</stp>
        <stp>1</stp>
        <tr r="D1229" s="1"/>
      </tp>
      <tp t="s">
        <v>基础化工</v>
        <stp/>
        <stp>EM_S_INFO_INDEX_EM</stp>
        <stp>2</stp>
        <stp>000525</stp>
        <stp>1</stp>
        <tr r="D3231" s="1"/>
      </tp>
      <tp t="s">
        <v>机械设备</v>
        <stp/>
        <stp>EM_S_INFO_INDEX_EM</stp>
        <stp>2</stp>
        <stp>300515</stp>
        <stp>1</stp>
        <tr r="D1615" s="1"/>
      </tp>
      <tp t="s">
        <v>机械设备</v>
        <stp/>
        <stp>EM_S_INFO_INDEX_EM</stp>
        <stp>2</stp>
        <stp>600545</stp>
        <stp>1</stp>
        <tr r="D3035" s="1"/>
      </tp>
      <tp>
        <v>0</v>
        <stp/>
        <stp>EM_S_INFO_INDEX_EM</stp>
        <stp>2</stp>
        <stp>000535</stp>
        <stp>1</stp>
        <tr r="D3446" s="1"/>
      </tp>
      <tp t="s">
        <v>基础化工</v>
        <stp/>
        <stp>EM_S_INFO_INDEX_EM</stp>
        <stp>2</stp>
        <stp>300505</stp>
        <stp>1</stp>
        <tr r="D2103" s="1"/>
      </tp>
      <tp t="s">
        <v>休闲、生活及专业服务</v>
        <stp/>
        <stp>EM_S_INFO_INDEX_EM</stp>
        <stp>2</stp>
        <stp>600555</stp>
        <stp>1</stp>
        <tr r="D3045" s="1"/>
      </tp>
      <tp t="s">
        <v>基础化工</v>
        <stp/>
        <stp>EM_S_INFO_INDEX_EM</stp>
        <stp>2</stp>
        <stp>000545</stp>
        <stp>1</stp>
        <tr r="D2486" s="1"/>
      </tp>
      <tp t="s">
        <v>基础化工</v>
        <stp/>
        <stp>EM_S_INFO_INDEX_EM</stp>
        <stp>2</stp>
        <stp>300575</stp>
        <stp>1</stp>
        <tr r="D3269" s="1"/>
      </tp>
      <tp t="s">
        <v>有色金属</v>
        <stp/>
        <stp>EM_S_INFO_INDEX_EM</stp>
        <stp>2</stp>
        <stp>600525</stp>
        <stp>1</stp>
        <tr r="D831" s="1"/>
      </tp>
      <tp t="s">
        <v>信息技术</v>
        <stp/>
        <stp>EM_S_INFO_INDEX_EM</stp>
        <stp>2</stp>
        <stp>000555</stp>
        <stp>1</stp>
        <tr r="D519" s="1"/>
      </tp>
      <tp t="s">
        <v>信息技术</v>
        <stp/>
        <stp>EM_S_INFO_INDEX_EM</stp>
        <stp>2</stp>
        <stp>300565</stp>
        <stp>1</stp>
        <tr r="D3141" s="1"/>
      </tp>
      <tp t="s">
        <v>医药生物</v>
        <stp/>
        <stp>EM_S_INFO_INDEX_EM</stp>
        <stp>2</stp>
        <stp>600535</stp>
        <stp>1</stp>
        <tr r="D3081" s="1"/>
      </tp>
      <tp t="s">
        <v>基础化工</v>
        <stp/>
        <stp>EM_S_INFO_INDEX_EM</stp>
        <stp>2</stp>
        <stp>000565</stp>
        <stp>1</stp>
        <tr r="D3458" s="1"/>
      </tp>
      <tp t="s">
        <v>信息技术</v>
        <stp/>
        <stp>EM_S_INFO_INDEX_EM</stp>
        <stp>2</stp>
        <stp>300555</stp>
        <stp>1</stp>
        <tr r="D1438" s="1"/>
      </tp>
      <tp t="s">
        <v>公用事业</v>
        <stp/>
        <stp>EM_S_INFO_INDEX_EM</stp>
        <stp>2</stp>
        <stp>600505</stp>
        <stp>1</stp>
        <tr r="D146" s="1"/>
      </tp>
      <tp t="s">
        <v>机械设备</v>
        <stp/>
        <stp>EM_S_INFO_INDEX_EM</stp>
        <stp>2</stp>
        <stp>300545</stp>
        <stp>1</stp>
        <tr r="D1071" s="1"/>
      </tp>
      <tp t="s">
        <v>房地产</v>
        <stp/>
        <stp>EM_S_INFO_INDEX_EM</stp>
        <stp>2</stp>
        <stp>600515</stp>
        <stp>1</stp>
        <tr r="D2485" s="1"/>
      </tp>
      <tp t="s">
        <v>交通运输</v>
        <stp/>
        <stp>EM_S_INFO_INDEX_EM</stp>
        <stp>2</stp>
        <stp>000885</stp>
        <stp>1</stp>
        <tr r="D3561" s="1"/>
      </tp>
      <tp t="s">
        <v>食品饮料</v>
        <stp/>
        <stp>EM_S_INFO_INDEX_EM</stp>
        <stp>2</stp>
        <stp>000895</stp>
        <stp>1</stp>
        <tr r="D3567" s="1"/>
      </tp>
      <tp t="s">
        <v>电气设备</v>
        <stp/>
        <stp>EM_S_INFO_INDEX_EM</stp>
        <stp>2</stp>
        <stp>600885</stp>
        <stp>1</stp>
        <tr r="D497" s="1"/>
      </tp>
      <tp t="s">
        <v>房地产</v>
        <stp/>
        <stp>EM_S_INFO_INDEX_EM</stp>
        <stp>2</stp>
        <stp>600895</stp>
        <stp>1</stp>
        <tr r="D2139" s="1"/>
      </tp>
      <tp>
        <v>0</v>
        <stp/>
        <stp>EM_S_INFO_INDEX_EM</stp>
        <stp>2</stp>
        <stp>000805</stp>
        <stp>1</stp>
        <tr r="D3544" s="1"/>
      </tp>
      <tp t="s">
        <v>商贸零售</v>
        <stp/>
        <stp>EM_S_INFO_INDEX_EM</stp>
        <stp>2</stp>
        <stp>600865</stp>
        <stp>1</stp>
        <tr r="D1563" s="1"/>
      </tp>
      <tp t="s">
        <v>轻工制造</v>
        <stp/>
        <stp>EM_S_INFO_INDEX_EM</stp>
        <stp>2</stp>
        <stp>000815</stp>
        <stp>1</stp>
        <tr r="D2186" s="1"/>
      </tp>
      <tp t="s">
        <v>电气设备</v>
        <stp/>
        <stp>EM_S_INFO_INDEX_EM</stp>
        <stp>2</stp>
        <stp>600875</stp>
        <stp>1</stp>
        <tr r="D1425" s="1"/>
      </tp>
      <tp t="s">
        <v>钢铁</v>
        <stp/>
        <stp>EM_S_INFO_INDEX_EM</stp>
        <stp>2</stp>
        <stp>000825</stp>
        <stp>1</stp>
        <tr r="D2407" s="1"/>
      </tp>
      <tp t="s">
        <v>信息技术</v>
        <stp/>
        <stp>EM_S_INFO_INDEX_EM</stp>
        <stp>2</stp>
        <stp>600845</stp>
        <stp>1</stp>
        <tr r="D442" s="1"/>
      </tp>
      <tp t="s">
        <v>互联网</v>
        <stp/>
        <stp>EM_S_INFO_INDEX_EM</stp>
        <stp>2</stp>
        <stp>000835</stp>
        <stp>1</stp>
        <tr r="D3553" s="1"/>
      </tp>
      <tp t="s">
        <v>信息技术</v>
        <stp/>
        <stp>EM_S_INFO_INDEX_EM</stp>
        <stp>2</stp>
        <stp>600855</stp>
        <stp>1</stp>
        <tr r="D817" s="1"/>
      </tp>
      <tp t="s">
        <v>文化传媒</v>
        <stp/>
        <stp>EM_S_INFO_INDEX_EM</stp>
        <stp>2</stp>
        <stp>600825</stp>
        <stp>1</stp>
        <tr r="D1333" s="1"/>
      </tp>
      <tp t="s">
        <v>机械设备</v>
        <stp/>
        <stp>EM_S_INFO_INDEX_EM</stp>
        <stp>2</stp>
        <stp>600835</stp>
        <stp>1</stp>
        <tr r="D1537" s="1"/>
      </tp>
      <tp t="s">
        <v>综合</v>
        <stp/>
        <stp>EM_S_INFO_INDEX_EM</stp>
        <stp>2</stp>
        <stp>600805</stp>
        <stp>1</stp>
        <tr r="D1762" s="1"/>
      </tp>
      <tp t="s">
        <v>公用事业</v>
        <stp/>
        <stp>EM_S_INFO_INDEX_EM</stp>
        <stp>2</stp>
        <stp>000875</stp>
        <stp>1</stp>
        <tr r="D1036" s="1"/>
      </tp>
      <tp t="s">
        <v>机械设备</v>
        <stp/>
        <stp>EM_S_INFO_INDEX_EM</stp>
        <stp>2</stp>
        <stp>600815</stp>
        <stp>1</stp>
        <tr r="D2476" s="1"/>
      </tp>
      <tp t="s">
        <v>基础化工</v>
        <stp/>
        <stp>EM_S_INFO_INDEX_EM</stp>
        <stp>2</stp>
        <stp>000985</stp>
        <stp>1</stp>
        <tr r="D3596" s="1"/>
      </tp>
      <tp t="s">
        <v>食品饮料</v>
        <stp/>
        <stp>EM_S_INFO_INDEX_EM</stp>
        <stp>2</stp>
        <stp>000995</stp>
        <stp>1</stp>
        <tr r="D3601" s="1"/>
      </tp>
      <tp t="s">
        <v>化石能源</v>
        <stp/>
        <stp>EM_S_INFO_INDEX_EM</stp>
        <stp>2</stp>
        <stp>600985</stp>
        <stp>1</stp>
        <tr r="D1841" s="1"/>
      </tp>
      <tp t="s">
        <v>公用事业</v>
        <stp/>
        <stp>EM_S_INFO_INDEX_EM</stp>
        <stp>2</stp>
        <stp>600995</stp>
        <stp>1</stp>
        <tr r="D1373" s="1"/>
      </tp>
      <tp t="s">
        <v>交通运输</v>
        <stp/>
        <stp>EM_S_INFO_INDEX_EM</stp>
        <stp>2</stp>
        <stp>000905</stp>
        <stp>1</stp>
        <tr r="D3570" s="1"/>
      </tp>
      <tp t="s">
        <v>农林牧渔</v>
        <stp/>
        <stp>EM_S_INFO_INDEX_EM</stp>
        <stp>2</stp>
        <stp>600965</stp>
        <stp>1</stp>
        <tr r="D3222" s="1"/>
      </tp>
      <tp t="s">
        <v>医药生物</v>
        <stp/>
        <stp>EM_S_INFO_INDEX_EM</stp>
        <stp>2</stp>
        <stp>000915</stp>
        <stp>1</stp>
        <tr r="D3573" s="1"/>
      </tp>
      <tp t="s">
        <v>农林牧渔</v>
        <stp/>
        <stp>EM_S_INFO_INDEX_EM</stp>
        <stp>2</stp>
        <stp>600975</stp>
        <stp>1</stp>
        <tr r="D106" s="1"/>
      </tp>
      <tp t="s">
        <v>交运设备</v>
        <stp/>
        <stp>EM_S_INFO_INDEX_EM</stp>
        <stp>2</stp>
        <stp>000925</stp>
        <stp>1</stp>
        <tr r="D1523" s="1"/>
      </tp>
      <tp t="s">
        <v>建材</v>
        <stp/>
        <stp>EM_S_INFO_INDEX_EM</stp>
        <stp>2</stp>
        <stp>000935</stp>
        <stp>1</stp>
        <tr r="D3582" s="1"/>
      </tp>
      <tp t="s">
        <v>纺织服装</v>
        <stp/>
        <stp>EM_S_INFO_INDEX_EM</stp>
        <stp>2</stp>
        <stp>000955</stp>
        <stp>1</stp>
        <tr r="D3585" s="1"/>
      </tp>
      <tp t="s">
        <v>房地产</v>
        <stp/>
        <stp>EM_S_INFO_INDEX_EM</stp>
        <stp>2</stp>
        <stp>000965</stp>
        <stp>1</stp>
        <tr r="D3017" s="1"/>
      </tp>
      <tp t="s">
        <v>有色金属</v>
        <stp/>
        <stp>EM_S_INFO_INDEX_EM</stp>
        <stp>2</stp>
        <stp>000975</stp>
        <stp>1</stp>
        <tr r="D930" s="1"/>
      </tp>
      <tp t="s">
        <v>基础化工</v>
        <stp/>
        <stp>EM_S_INFO_INDEX_EM</stp>
        <stp>2</stp>
        <stp>603225</stp>
        <stp>1</stp>
        <tr r="D3262" s="1"/>
      </tp>
      <tp t="s">
        <v>轻工制造</v>
        <stp/>
        <stp>EM_S_INFO_INDEX_EM</stp>
        <stp>2</stp>
        <stp>603385</stp>
        <stp>1</stp>
        <tr r="D711" s="1"/>
      </tp>
      <tp t="s">
        <v>纺织服装</v>
        <stp/>
        <stp>EM_S_INFO_INDEX_EM</stp>
        <stp>2</stp>
        <stp>603365</stp>
        <stp>1</stp>
        <tr r="D2148" s="1"/>
      </tp>
      <tp t="s">
        <v>食品饮料</v>
        <stp/>
        <stp>EM_S_INFO_INDEX_EM</stp>
        <stp>2</stp>
        <stp>603345</stp>
        <stp>1</stp>
        <tr r="D351" s="1"/>
      </tp>
      <tp t="s">
        <v>家电</v>
        <stp/>
        <stp>EM_S_INFO_INDEX_EM</stp>
        <stp>2</stp>
        <stp>603355</stp>
        <stp>1</stp>
        <tr r="D1769" s="1"/>
      </tp>
      <tp t="s">
        <v>交运设备</v>
        <stp/>
        <stp>EM_S_INFO_INDEX_EM</stp>
        <stp>2</stp>
        <stp>603335</stp>
        <stp>1</stp>
        <tr r="D3070" s="1"/>
      </tp>
      <tp t="s">
        <v>交运设备</v>
        <stp/>
        <stp>EM_S_INFO_INDEX_EM</stp>
        <stp>2</stp>
        <stp>603305</stp>
        <stp>1</stp>
        <tr r="D1751" s="1"/>
      </tp>
      <tp t="s">
        <v>机械设备</v>
        <stp/>
        <stp>EM_S_INFO_INDEX_EM</stp>
        <stp>2</stp>
        <stp>603315</stp>
        <stp>1</stp>
        <tr r="D2056" s="1"/>
      </tp>
      <tp t="s">
        <v>交运设备</v>
        <stp/>
        <stp>EM_S_INFO_INDEX_EM</stp>
        <stp>2</stp>
        <stp>603085</stp>
        <stp>1</stp>
        <tr r="D1947" s="1"/>
      </tp>
      <tp t="s">
        <v>电气设备</v>
        <stp/>
        <stp>EM_S_INFO_INDEX_EM</stp>
        <stp>2</stp>
        <stp>603045</stp>
        <stp>1</stp>
        <tr r="D3358" s="1"/>
      </tp>
      <tp t="s">
        <v>基础化工</v>
        <stp/>
        <stp>EM_S_INFO_INDEX_EM</stp>
        <stp>2</stp>
        <stp>603055</stp>
        <stp>1</stp>
        <tr r="D3266" s="1"/>
      </tp>
      <tp t="s">
        <v>电子设备</v>
        <stp/>
        <stp>EM_S_INFO_INDEX_EM</stp>
        <stp>2</stp>
        <stp>603025</stp>
        <stp>1</stp>
        <tr r="D2951" s="1"/>
      </tp>
      <tp t="s">
        <v>交运设备</v>
        <stp/>
        <stp>EM_S_INFO_INDEX_EM</stp>
        <stp>2</stp>
        <stp>603035</stp>
        <stp>1</stp>
        <tr r="D1913" s="1"/>
      </tp>
      <tp t="s">
        <v>电子设备</v>
        <stp/>
        <stp>EM_S_INFO_INDEX_EM</stp>
        <stp>2</stp>
        <stp>603005</stp>
        <stp>1</stp>
        <tr r="D98" s="1"/>
      </tp>
      <tp t="s">
        <v>机械设备</v>
        <stp/>
        <stp>EM_S_INFO_INDEX_EM</stp>
        <stp>2</stp>
        <stp>603015</stp>
        <stp>1</stp>
        <tr r="D1933" s="1"/>
      </tp>
      <tp t="s">
        <v>轻工制造</v>
        <stp/>
        <stp>EM_S_INFO_INDEX_EM</stp>
        <stp>2</stp>
        <stp>603165</stp>
        <stp>1</stp>
        <tr r="D1558" s="1"/>
      </tp>
      <tp t="s">
        <v>电气设备</v>
        <stp/>
        <stp>EM_S_INFO_INDEX_EM</stp>
        <stp>2</stp>
        <stp>603105</stp>
        <stp>1</stp>
        <tr r="D3344" s="1"/>
      </tp>
      <tp t="s">
        <v>家电</v>
        <stp/>
        <stp>EM_S_INFO_INDEX_EM</stp>
        <stp>2</stp>
        <stp>603685</stp>
        <stp>1</stp>
        <tr r="D2615" s="1"/>
      </tp>
      <tp t="s">
        <v>纺织服装</v>
        <stp/>
        <stp>EM_S_INFO_INDEX_EM</stp>
        <stp>2</stp>
        <stp>603665</stp>
        <stp>1</stp>
        <tr r="D3001" s="1"/>
      </tp>
      <tp t="s">
        <v>交运设备</v>
        <stp/>
        <stp>EM_S_INFO_INDEX_EM</stp>
        <stp>2</stp>
        <stp>603655</stp>
        <stp>1</stp>
        <tr r="D604" s="1"/>
      </tp>
      <tp t="s">
        <v>基础化工</v>
        <stp/>
        <stp>EM_S_INFO_INDEX_EM</stp>
        <stp>2</stp>
        <stp>603605</stp>
        <stp>1</stp>
        <tr r="D169" s="1"/>
      </tp>
      <tp t="s">
        <v>基础化工</v>
        <stp/>
        <stp>EM_S_INFO_INDEX_EM</stp>
        <stp>2</stp>
        <stp>603615</stp>
        <stp>1</stp>
        <tr r="D1733" s="1"/>
      </tp>
      <tp t="s">
        <v>基础化工</v>
        <stp/>
        <stp>EM_S_INFO_INDEX_EM</stp>
        <stp>2</stp>
        <stp>603725</stp>
        <stp>1</stp>
        <tr r="D3230" s="1"/>
      </tp>
      <tp t="s">
        <v>基础化工</v>
        <stp/>
        <stp>EM_S_INFO_INDEX_EM</stp>
        <stp>2</stp>
        <stp>603585</stp>
        <stp>1</stp>
        <tr r="D2125" s="1"/>
      </tp>
      <tp t="s">
        <v>电子设备</v>
        <stp/>
        <stp>EM_S_INFO_INDEX_EM</stp>
        <stp>2</stp>
        <stp>603595</stp>
        <stp>1</stp>
        <tr r="D3013" s="1"/>
      </tp>
      <tp t="s">
        <v>纺织服装</v>
        <stp/>
        <stp>EM_S_INFO_INDEX_EM</stp>
        <stp>2</stp>
        <stp>603555</stp>
        <stp>1</stp>
        <tr r="D2224" s="1"/>
      </tp>
      <tp t="s">
        <v>交通运输</v>
        <stp/>
        <stp>EM_S_INFO_INDEX_EM</stp>
        <stp>2</stp>
        <stp>603535</stp>
        <stp>1</stp>
        <tr r="D2420" s="1"/>
      </tp>
      <tp t="s">
        <v>有色金属</v>
        <stp/>
        <stp>EM_S_INFO_INDEX_EM</stp>
        <stp>2</stp>
        <stp>603505</stp>
        <stp>1</stp>
        <tr r="D335" s="1"/>
      </tp>
      <tp t="s">
        <v>家电</v>
        <stp/>
        <stp>EM_S_INFO_INDEX_EM</stp>
        <stp>2</stp>
        <stp>603515</stp>
        <stp>1</stp>
        <tr r="D2247" s="1"/>
      </tp>
      <tp t="s">
        <v>交通运输</v>
        <stp/>
        <stp>EM_S_INFO_INDEX_EM</stp>
        <stp>2</stp>
        <stp>603885</stp>
        <stp>1</stp>
        <tr r="D1184" s="1"/>
      </tp>
      <tp t="s">
        <v>机械设备</v>
        <stp/>
        <stp>EM_S_INFO_INDEX_EM</stp>
        <stp>2</stp>
        <stp>603895</stp>
        <stp>1</stp>
        <tr r="D2804" s="1"/>
      </tp>
      <tp t="s">
        <v>机械设备</v>
        <stp/>
        <stp>EM_S_INFO_INDEX_EM</stp>
        <stp>2</stp>
        <stp>603855</stp>
        <stp>1</stp>
        <tr r="D1126" s="1"/>
      </tp>
      <tp t="s">
        <v>文化传媒</v>
        <stp/>
        <stp>EM_S_INFO_INDEX_EM</stp>
        <stp>2</stp>
        <stp>603825</stp>
        <stp>1</stp>
        <tr r="D901" s="1"/>
      </tp>
      <tp t="s">
        <v>机械设备</v>
        <stp/>
        <stp>EM_S_INFO_INDEX_EM</stp>
        <stp>2</stp>
        <stp>603985</stp>
        <stp>1</stp>
        <tr r="D3160" s="1"/>
      </tp>
      <tp t="s">
        <v>建筑</v>
        <stp/>
        <stp>EM_S_INFO_INDEX_EM</stp>
        <stp>2</stp>
        <stp>603955</stp>
        <stp>1</stp>
        <tr r="D1547" s="1"/>
      </tp>
      <tp t="s">
        <v>房地产</v>
        <stp/>
        <stp>EM_S_INFO_INDEX_EM</stp>
        <stp>2</stp>
        <stp>002285</stp>
        <stp>1</stp>
        <tr r="D3147" s="1"/>
      </tp>
      <tp t="s">
        <v>有色金属</v>
        <stp/>
        <stp>EM_S_INFO_INDEX_EM</stp>
        <stp>2</stp>
        <stp>002295</stp>
        <stp>1</stp>
        <tr r="D2213" s="1"/>
      </tp>
      <tp t="s">
        <v>建筑</v>
        <stp/>
        <stp>EM_S_INFO_INDEX_EM</stp>
        <stp>2</stp>
        <stp>002205</stp>
        <stp>1</stp>
        <tr r="D1137" s="1"/>
      </tp>
      <tp t="s">
        <v>农林牧渔</v>
        <stp/>
        <stp>EM_S_INFO_INDEX_EM</stp>
        <stp>2</stp>
        <stp>002215</stp>
        <stp>1</stp>
        <tr r="D2430" s="1"/>
      </tp>
      <tp t="s">
        <v>建材</v>
        <stp/>
        <stp>EM_S_INFO_INDEX_EM</stp>
        <stp>2</stp>
        <stp>002225</stp>
        <stp>1</stp>
        <tr r="D2508" s="1"/>
      </tp>
      <tp t="s">
        <v>互联网</v>
        <stp/>
        <stp>EM_S_INFO_INDEX_EM</stp>
        <stp>2</stp>
        <stp>002235</stp>
        <stp>1</stp>
        <tr r="D359" s="1"/>
      </tp>
      <tp t="s">
        <v>交通运输</v>
        <stp/>
        <stp>EM_S_INFO_INDEX_EM</stp>
        <stp>2</stp>
        <stp>002245</stp>
        <stp>1</stp>
        <tr r="D2022" s="1"/>
      </tp>
      <tp t="s">
        <v>电气设备</v>
        <stp/>
        <stp>EM_S_INFO_INDEX_EM</stp>
        <stp>2</stp>
        <stp>002255</stp>
        <stp>1</stp>
        <tr r="D3028" s="1"/>
      </tp>
      <tp t="s">
        <v>交运设备</v>
        <stp/>
        <stp>EM_S_INFO_INDEX_EM</stp>
        <stp>2</stp>
        <stp>002265</stp>
        <stp>1</stp>
        <tr r="D2427" s="1"/>
      </tp>
      <tp t="s">
        <v>医药生物</v>
        <stp/>
        <stp>EM_S_INFO_INDEX_EM</stp>
        <stp>2</stp>
        <stp>002275</stp>
        <stp>1</stp>
        <tr r="D2210" s="1"/>
      </tp>
      <tp t="s">
        <v>农林牧渔</v>
        <stp/>
        <stp>EM_S_INFO_INDEX_EM</stp>
        <stp>2</stp>
        <stp>002385</stp>
        <stp>1</stp>
        <tr r="D707" s="1"/>
      </tp>
      <tp t="s">
        <v>基础化工</v>
        <stp/>
        <stp>EM_S_INFO_INDEX_EM</stp>
        <stp>2</stp>
        <stp>002395</stp>
        <stp>1</stp>
        <tr r="D101" s="1"/>
      </tp>
      <tp t="s">
        <v>房地产</v>
        <stp/>
        <stp>EM_S_INFO_INDEX_EM</stp>
        <stp>2</stp>
        <stp>002305</stp>
        <stp>1</stp>
        <tr r="D3140" s="1"/>
      </tp>
      <tp t="s">
        <v>互联网</v>
        <stp/>
        <stp>EM_S_INFO_INDEX_EM</stp>
        <stp>2</stp>
        <stp>002315</stp>
        <stp>1</stp>
        <tr r="D403" s="1"/>
      </tp>
      <tp t="s">
        <v>建筑</v>
        <stp/>
        <stp>EM_S_INFO_INDEX_EM</stp>
        <stp>2</stp>
        <stp>002325</stp>
        <stp>1</stp>
        <tr r="D1760" s="1"/>
      </tp>
      <tp t="s">
        <v>电气设备</v>
        <stp/>
        <stp>EM_S_INFO_INDEX_EM</stp>
        <stp>2</stp>
        <stp>002335</stp>
        <stp>1</stp>
        <tr r="D1827" s="1"/>
      </tp>
      <tp t="s">
        <v>轻工制造</v>
        <stp/>
        <stp>EM_S_INFO_INDEX_EM</stp>
        <stp>2</stp>
        <stp>002345</stp>
        <stp>1</stp>
        <tr r="D2799" s="1"/>
      </tp>
      <tp t="s">
        <v>交运设备</v>
        <stp/>
        <stp>EM_S_INFO_INDEX_EM</stp>
        <stp>2</stp>
        <stp>002355</stp>
        <stp>1</stp>
        <tr r="D2718" s="1"/>
      </tp>
      <tp t="s">
        <v>医药生物</v>
        <stp/>
        <stp>EM_S_INFO_INDEX_EM</stp>
        <stp>2</stp>
        <stp>002365</stp>
        <stp>1</stp>
        <tr r="D2692" s="1"/>
      </tp>
      <tp t="s">
        <v>建筑</v>
        <stp/>
        <stp>EM_S_INFO_INDEX_EM</stp>
        <stp>2</stp>
        <stp>002375</stp>
        <stp>1</stp>
        <tr r="D1491" s="1"/>
      </tp>
      <tp t="s">
        <v>交运设备</v>
        <stp/>
        <stp>EM_S_INFO_INDEX_EM</stp>
        <stp>2</stp>
        <stp>002085</stp>
        <stp>1</stp>
        <tr r="D2749" s="1"/>
      </tp>
      <tp t="s">
        <v>互联网</v>
        <stp/>
        <stp>EM_S_INFO_INDEX_EM</stp>
        <stp>2</stp>
        <stp>002095</stp>
        <stp>1</stp>
        <tr r="D1584" s="1"/>
      </tp>
      <tp t="s">
        <v>电子设备</v>
        <stp/>
        <stp>EM_S_INFO_INDEX_EM</stp>
        <stp>2</stp>
        <stp>002005</stp>
        <stp>1</stp>
        <tr r="D3604" s="1"/>
      </tp>
      <tp t="s">
        <v>公用事业</v>
        <stp/>
        <stp>EM_S_INFO_INDEX_EM</stp>
        <stp>2</stp>
        <stp>002015</stp>
        <stp>1</stp>
        <tr r="D1673" s="1"/>
      </tp>
      <tp t="s">
        <v>电子设备</v>
        <stp/>
        <stp>EM_S_INFO_INDEX_EM</stp>
        <stp>2</stp>
        <stp>002025</stp>
        <stp>1</stp>
        <tr r="D1156" s="1"/>
      </tp>
      <tp t="s">
        <v>家电</v>
        <stp/>
        <stp>EM_S_INFO_INDEX_EM</stp>
        <stp>2</stp>
        <stp>002035</stp>
        <stp>1</stp>
        <tr r="D527" s="1"/>
      </tp>
      <tp t="s">
        <v>电子设备</v>
        <stp/>
        <stp>EM_S_INFO_INDEX_EM</stp>
        <stp>2</stp>
        <stp>002045</stp>
        <stp>1</stp>
        <tr r="D63" s="1"/>
      </tp>
      <tp t="s">
        <v>电子设备</v>
        <stp/>
        <stp>EM_S_INFO_INDEX_EM</stp>
        <stp>2</stp>
        <stp>002055</stp>
        <stp>1</stp>
        <tr r="D1666" s="1"/>
      </tp>
      <tp t="s">
        <v>信息技术</v>
        <stp/>
        <stp>EM_S_INFO_INDEX_EM</stp>
        <stp>2</stp>
        <stp>002065</stp>
        <stp>1</stp>
        <tr r="D619" s="1"/>
      </tp>
      <tp t="s">
        <v>钢铁</v>
        <stp/>
        <stp>EM_S_INFO_INDEX_EM</stp>
        <stp>2</stp>
        <stp>002075</stp>
        <stp>1</stp>
        <tr r="D3139" s="1"/>
      </tp>
      <tp t="s">
        <v>电子设备</v>
        <stp/>
        <stp>EM_S_INFO_INDEX_EM</stp>
        <stp>2</stp>
        <stp>002185</stp>
        <stp>1</stp>
        <tr r="D243" s="1"/>
      </tp>
      <tp t="s">
        <v>互联网</v>
        <stp/>
        <stp>EM_S_INFO_INDEX_EM</stp>
        <stp>2</stp>
        <stp>002195</stp>
        <stp>1</stp>
        <tr r="D2857" s="1"/>
      </tp>
      <tp t="s">
        <v>交运设备</v>
        <stp/>
        <stp>EM_S_INFO_INDEX_EM</stp>
        <stp>2</stp>
        <stp>002105</stp>
        <stp>1</stp>
        <tr r="D3636" s="1"/>
      </tp>
      <tp t="s">
        <v>信息技术</v>
        <stp/>
        <stp>EM_S_INFO_INDEX_EM</stp>
        <stp>2</stp>
        <stp>002115</stp>
        <stp>1</stp>
        <tr r="D2756" s="1"/>
      </tp>
      <tp t="s">
        <v>基础化工</v>
        <stp/>
        <stp>EM_S_INFO_INDEX_EM</stp>
        <stp>2</stp>
        <stp>002125</stp>
        <stp>1</stp>
        <tr r="D3120" s="1"/>
      </tp>
      <tp t="s">
        <v>建筑</v>
        <stp/>
        <stp>EM_S_INFO_INDEX_EM</stp>
        <stp>2</stp>
        <stp>002135</stp>
        <stp>1</stp>
        <tr r="D1756" s="1"/>
      </tp>
      <tp t="s">
        <v>基础化工</v>
        <stp/>
        <stp>EM_S_INFO_INDEX_EM</stp>
        <stp>2</stp>
        <stp>002145</stp>
        <stp>1</stp>
        <tr r="D805" s="1"/>
      </tp>
      <tp t="s">
        <v>有色金属</v>
        <stp/>
        <stp>EM_S_INFO_INDEX_EM</stp>
        <stp>2</stp>
        <stp>002155</stp>
        <stp>1</stp>
        <tr r="D2369" s="1"/>
      </tp>
      <tp t="s">
        <v>基础化工</v>
        <stp/>
        <stp>EM_S_INFO_INDEX_EM</stp>
        <stp>2</stp>
        <stp>002165</stp>
        <stp>1</stp>
        <tr r="D1121" s="1"/>
      </tp>
      <tp t="s">
        <v>机械设备</v>
        <stp/>
        <stp>EM_S_INFO_INDEX_EM</stp>
        <stp>2</stp>
        <stp>002175</stp>
        <stp>1</stp>
        <tr r="D3335" s="1"/>
      </tp>
      <tp t="s">
        <v>钢铁</v>
        <stp/>
        <stp>EM_S_INFO_INDEX_EM</stp>
        <stp>2</stp>
        <stp>002685</stp>
        <stp>1</stp>
        <tr r="D775" s="1"/>
      </tp>
      <tp t="s">
        <v>食品饮料</v>
        <stp/>
        <stp>EM_S_INFO_INDEX_EM</stp>
        <stp>2</stp>
        <stp>002695</stp>
        <stp>1</stp>
        <tr r="D430" s="1"/>
      </tp>
      <tp t="s">
        <v>互联网</v>
        <stp/>
        <stp>EM_S_INFO_INDEX_EM</stp>
        <stp>2</stp>
        <stp>002605</stp>
        <stp>1</stp>
        <tr r="D74" s="1"/>
      </tp>
      <tp t="s">
        <v>轻工制造</v>
        <stp/>
        <stp>EM_S_INFO_INDEX_EM</stp>
        <stp>2</stp>
        <stp>002615</stp>
        <stp>1</stp>
        <tr r="D1586" s="1"/>
      </tp>
      <tp t="s">
        <v>交运设备</v>
        <stp/>
        <stp>EM_S_INFO_INDEX_EM</stp>
        <stp>2</stp>
        <stp>002625</stp>
        <stp>1</stp>
        <tr r="D2630" s="1"/>
      </tp>
      <tp t="s">
        <v>电子设备</v>
        <stp/>
        <stp>EM_S_INFO_INDEX_EM</stp>
        <stp>2</stp>
        <stp>002635</stp>
        <stp>1</stp>
        <tr r="D547" s="1"/>
      </tp>
      <tp t="s">
        <v>机械设备</v>
        <stp/>
        <stp>EM_S_INFO_INDEX_EM</stp>
        <stp>2</stp>
        <stp>002645</stp>
        <stp>1</stp>
        <tr r="D1368" s="1"/>
      </tp>
      <tp t="s">
        <v>电子设备</v>
        <stp/>
        <stp>EM_S_INFO_INDEX_EM</stp>
        <stp>2</stp>
        <stp>002655</stp>
        <stp>1</stp>
        <tr r="D153" s="1"/>
      </tp>
      <tp t="s">
        <v>机械设备</v>
        <stp/>
        <stp>EM_S_INFO_INDEX_EM</stp>
        <stp>2</stp>
        <stp>002665</stp>
        <stp>1</stp>
        <tr r="D1281" s="1"/>
      </tp>
      <tp t="s">
        <v>医药生物</v>
        <stp/>
        <stp>EM_S_INFO_INDEX_EM</stp>
        <stp>2</stp>
        <stp>002675</stp>
        <stp>1</stp>
        <tr r="D177" s="1"/>
      </tp>
      <tp t="s">
        <v>建筑</v>
        <stp/>
        <stp>EM_S_INFO_INDEX_EM</stp>
        <stp>2</stp>
        <stp>002785</stp>
        <stp>1</stp>
        <tr r="D500" s="1"/>
      </tp>
      <tp t="s">
        <v>机械设备</v>
        <stp/>
        <stp>EM_S_INFO_INDEX_EM</stp>
        <stp>2</stp>
        <stp>002795</stp>
        <stp>1</stp>
        <tr r="D2685" s="1"/>
      </tp>
      <tp t="s">
        <v>家电</v>
        <stp/>
        <stp>EM_S_INFO_INDEX_EM</stp>
        <stp>2</stp>
        <stp>002705</stp>
        <stp>1</stp>
        <tr r="D240" s="1"/>
      </tp>
      <tp t="s">
        <v>交运设备</v>
        <stp/>
        <stp>EM_S_INFO_INDEX_EM</stp>
        <stp>2</stp>
        <stp>002715</stp>
        <stp>1</stp>
        <tr r="D1693" s="1"/>
      </tp>
      <tp t="s">
        <v>交运设备</v>
        <stp/>
        <stp>EM_S_INFO_INDEX_EM</stp>
        <stp>2</stp>
        <stp>002725</stp>
        <stp>1</stp>
        <tr r="D1230" s="1"/>
      </tp>
      <tp t="s">
        <v>轻工制造</v>
        <stp/>
        <stp>EM_S_INFO_INDEX_EM</stp>
        <stp>2</stp>
        <stp>002735</stp>
        <stp>1</stp>
        <tr r="D2934" s="1"/>
      </tp>
      <tp t="s">
        <v>电子设备</v>
        <stp/>
        <stp>EM_S_INFO_INDEX_EM</stp>
        <stp>2</stp>
        <stp>002745</stp>
        <stp>1</stp>
        <tr r="D1165" s="1"/>
      </tp>
      <tp t="s">
        <v>医药生物</v>
        <stp/>
        <stp>EM_S_INFO_INDEX_EM</stp>
        <stp>2</stp>
        <stp>002755</stp>
        <stp>1</stp>
        <tr r="D1289" s="1"/>
      </tp>
      <tp t="s">
        <v>交运设备</v>
        <stp/>
        <stp>EM_S_INFO_INDEX_EM</stp>
        <stp>2</stp>
        <stp>002765</stp>
        <stp>1</stp>
        <tr r="D3005" s="1"/>
      </tp>
      <tp t="s">
        <v>建筑</v>
        <stp/>
        <stp>EM_S_INFO_INDEX_EM</stp>
        <stp>2</stp>
        <stp>002775</stp>
        <stp>1</stp>
        <tr r="D2512" s="1"/>
      </tp>
      <tp t="s">
        <v>纺织服装</v>
        <stp/>
        <stp>EM_S_INFO_INDEX_EM</stp>
        <stp>2</stp>
        <stp>002485</stp>
        <stp>1</stp>
        <tr r="D2666" s="1"/>
      </tp>
      <tp t="s">
        <v>食品饮料</v>
        <stp/>
        <stp>EM_S_INFO_INDEX_EM</stp>
        <stp>2</stp>
        <stp>002495</stp>
        <stp>1</stp>
        <tr r="D2707" s="1"/>
      </tp>
      <tp t="s">
        <v>信息技术</v>
        <stp/>
        <stp>EM_S_INFO_INDEX_EM</stp>
        <stp>2</stp>
        <stp>002405</stp>
        <stp>1</stp>
        <tr r="D1559" s="1"/>
      </tp>
      <tp t="s">
        <v>信息技术</v>
        <stp/>
        <stp>EM_S_INFO_INDEX_EM</stp>
        <stp>2</stp>
        <stp>002415</stp>
        <stp>1</stp>
        <tr r="D1038" s="1"/>
      </tp>
      <tp t="s">
        <v>互联网</v>
        <stp/>
        <stp>EM_S_INFO_INDEX_EM</stp>
        <stp>2</stp>
        <stp>002425</stp>
        <stp>1</stp>
        <tr r="D2629" s="1"/>
      </tp>
      <tp t="s">
        <v>医药生物</v>
        <stp/>
        <stp>EM_S_INFO_INDEX_EM</stp>
        <stp>2</stp>
        <stp>002435</stp>
        <stp>1</stp>
        <tr r="D3162" s="1"/>
      </tp>
      <tp t="s">
        <v>机械设备</v>
        <stp/>
        <stp>EM_S_INFO_INDEX_EM</stp>
        <stp>2</stp>
        <stp>002445</stp>
        <stp>1</stp>
        <tr r="D3228" s="1"/>
      </tp>
      <tp t="s">
        <v>基础化工</v>
        <stp/>
        <stp>EM_S_INFO_INDEX_EM</stp>
        <stp>2</stp>
        <stp>002455</stp>
        <stp>1</stp>
        <tr r="D1250" s="1"/>
      </tp>
      <tp t="s">
        <v>信息技术</v>
        <stp/>
        <stp>EM_S_INFO_INDEX_EM</stp>
        <stp>2</stp>
        <stp>002465</stp>
        <stp>1</stp>
        <tr r="D738" s="1"/>
      </tp>
      <tp t="s">
        <v>电子设备</v>
        <stp/>
        <stp>EM_S_INFO_INDEX_EM</stp>
        <stp>2</stp>
        <stp>002475</stp>
        <stp>1</stp>
        <tr r="D81" s="1"/>
      </tp>
      <tp t="s">
        <v>轻工制造</v>
        <stp/>
        <stp>EM_S_INFO_INDEX_EM</stp>
        <stp>2</stp>
        <stp>002585</stp>
        <stp>1</stp>
        <tr r="D2748" s="1"/>
      </tp>
      <tp t="s">
        <v>机械设备</v>
        <stp/>
        <stp>EM_S_INFO_INDEX_EM</stp>
        <stp>2</stp>
        <stp>002595</stp>
        <stp>1</stp>
        <tr r="D1354" s="1"/>
      </tp>
      <tp t="s">
        <v>商贸零售</v>
        <stp/>
        <stp>EM_S_INFO_INDEX_EM</stp>
        <stp>2</stp>
        <stp>002505</stp>
        <stp>1</stp>
        <tr r="D1975" s="1"/>
      </tp>
      <tp t="s">
        <v>食品饮料</v>
        <stp/>
        <stp>EM_S_INFO_INDEX_EM</stp>
        <stp>2</stp>
        <stp>002515</stp>
        <stp>1</stp>
        <tr r="D982" s="1"/>
      </tp>
      <tp>
        <v>0</v>
        <stp/>
        <stp>EM_S_INFO_INDEX_EM</stp>
        <stp>2</stp>
        <stp>002525</stp>
        <stp>1</stp>
        <tr r="D6" s="1"/>
      </tp>
      <tp t="s">
        <v>机械设备</v>
        <stp/>
        <stp>EM_S_INFO_INDEX_EM</stp>
        <stp>2</stp>
        <stp>002535</stp>
        <stp>1</stp>
        <tr r="D2901" s="1"/>
      </tp>
      <tp t="s">
        <v>基础化工</v>
        <stp/>
        <stp>EM_S_INFO_INDEX_EM</stp>
        <stp>2</stp>
        <stp>002545</stp>
        <stp>1</stp>
        <tr r="D996" s="1"/>
      </tp>
      <tp t="s">
        <v>互联网</v>
        <stp/>
        <stp>EM_S_INFO_INDEX_EM</stp>
        <stp>2</stp>
        <stp>002555</stp>
        <stp>1</stp>
        <tr r="D50" s="1"/>
      </tp>
      <tp t="s">
        <v>轻工制造</v>
        <stp/>
        <stp>EM_S_INFO_INDEX_EM</stp>
        <stp>2</stp>
        <stp>002565</stp>
        <stp>1</stp>
        <tr r="D336" s="1"/>
      </tp>
      <tp t="s">
        <v>轻工制造</v>
        <stp/>
        <stp>EM_S_INFO_INDEX_EM</stp>
        <stp>2</stp>
        <stp>002575</stp>
        <stp>1</stp>
        <tr r="D2631" s="1"/>
      </tp>
      <tp t="s">
        <v>电子设备</v>
        <stp/>
        <stp>EM_S_INFO_INDEX_EM</stp>
        <stp>2</stp>
        <stp>002885</stp>
        <stp>1</stp>
        <tr r="D3090" s="1"/>
      </tp>
      <tp t="s">
        <v>基础化工</v>
        <stp/>
        <stp>EM_S_INFO_INDEX_EM</stp>
        <stp>2</stp>
        <stp>002895</stp>
        <stp>1</stp>
        <tr r="D2097" s="1"/>
      </tp>
      <tp t="s">
        <v>基础化工</v>
        <stp/>
        <stp>EM_S_INFO_INDEX_EM</stp>
        <stp>2</stp>
        <stp>002805</stp>
        <stp>1</stp>
        <tr r="D3062" s="1"/>
      </tp>
      <tp t="s">
        <v>电子设备</v>
        <stp/>
        <stp>EM_S_INFO_INDEX_EM</stp>
        <stp>2</stp>
        <stp>002815</stp>
        <stp>1</stp>
        <tr r="D1314" s="1"/>
      </tp>
      <tp t="s">
        <v>轻工制造</v>
        <stp/>
        <stp>EM_S_INFO_INDEX_EM</stp>
        <stp>2</stp>
        <stp>002825</stp>
        <stp>1</stp>
        <tr r="D2522" s="1"/>
      </tp>
      <tp t="s">
        <v>信息技术</v>
        <stp/>
        <stp>EM_S_INFO_INDEX_EM</stp>
        <stp>2</stp>
        <stp>002835</stp>
        <stp>1</stp>
        <tr r="D321" s="1"/>
      </tp>
      <tp t="s">
        <v>电子设备</v>
        <stp/>
        <stp>EM_S_INFO_INDEX_EM</stp>
        <stp>2</stp>
        <stp>002845</stp>
        <stp>1</stp>
        <tr r="D1899" s="1"/>
      </tp>
      <tp t="s">
        <v>电子设备</v>
        <stp/>
        <stp>EM_S_INFO_INDEX_EM</stp>
        <stp>2</stp>
        <stp>002855</stp>
        <stp>1</stp>
        <tr r="D475" s="1"/>
      </tp>
      <tp t="s">
        <v>交运设备</v>
        <stp/>
        <stp>EM_S_INFO_INDEX_EM</stp>
        <stp>2</stp>
        <stp>002865</stp>
        <stp>1</stp>
        <tr r="D3027" s="1"/>
      </tp>
      <tp t="s">
        <v>纺织服装</v>
        <stp/>
        <stp>EM_S_INFO_INDEX_EM</stp>
        <stp>2</stp>
        <stp>002875</stp>
        <stp>1</stp>
        <tr r="D1887" s="1"/>
      </tp>
      <tp t="s">
        <v>文化传媒</v>
        <stp/>
        <stp>EM_S_INFO_INDEX_EM</stp>
        <stp>2</stp>
        <stp>002905</stp>
        <stp>1</stp>
        <tr r="D980" s="1"/>
      </tp>
      <tp t="s">
        <v>基础化工</v>
        <stp/>
        <stp>EM_S_INFO_INDEX_EM</stp>
        <stp>2</stp>
        <stp>002915</stp>
        <stp>1</stp>
        <tr r="D1164" s="1"/>
      </tp>
      <tp t="s">
        <v>电子设备</v>
        <stp/>
        <stp>EM_S_INFO_INDEX_EM</stp>
        <stp>2</stp>
        <stp>002925</stp>
        <stp>1</stp>
        <tr r="D2367" s="1"/>
      </tp>
      <tp>
        <v>1.2787723785166241</v>
        <stp/>
        <stp>EM_S_VAL_DIVIDENDYIELD2</stp>
        <stp>3</stp>
        <stp>002228</stp>
        <stp>12/31/2018</stp>
        <stp>2019-11-29</stp>
        <tr r="Q2642" s="1"/>
      </tp>
      <tp>
        <v>6.8681318681318686</v>
        <stp/>
        <stp>EM_S_VAL_DIVIDENDYIELD2</stp>
        <stp>3</stp>
        <stp>002238</stp>
        <stp>12/31/2018</stp>
        <stp>2019-11-29</stp>
        <tr r="Q1196" s="1"/>
      </tp>
      <tp>
        <v>0.96006144393241177</v>
        <stp/>
        <stp>EM_S_VAL_DIVIDENDYIELD2</stp>
        <stp>3</stp>
        <stp>002208</stp>
        <stp>12/31/2018</stp>
        <stp>2019-11-29</stp>
        <tr r="Q3250" s="1"/>
      </tp>
      <tp>
        <v>0</v>
        <stp/>
        <stp>EM_S_VAL_DIVIDENDYIELD2</stp>
        <stp>3</stp>
        <stp>002218</stp>
        <stp>12/31/2018</stp>
        <stp>2019-11-29</stp>
        <tr r="Q1748" s="1"/>
      </tp>
      <tp>
        <v>6.3104753891459822E-2</v>
        <stp/>
        <stp>EM_S_VAL_DIVIDENDYIELD2</stp>
        <stp>3</stp>
        <stp>002268</stp>
        <stp>12/31/2018</stp>
        <stp>2019-11-29</stp>
        <tr r="Q691" s="1"/>
      </tp>
      <tp>
        <v>0.86355785837651122</v>
        <stp/>
        <stp>EM_S_VAL_DIVIDENDYIELD2</stp>
        <stp>3</stp>
        <stp>002278</stp>
        <stp>12/31/2018</stp>
        <stp>2019-11-29</stp>
        <tr r="Q2576" s="1"/>
      </tp>
      <tp>
        <v>0</v>
        <stp/>
        <stp>EM_S_VAL_DIVIDENDYIELD2</stp>
        <stp>3</stp>
        <stp>002248</stp>
        <stp>12/31/2018</stp>
        <stp>2019-11-29</stp>
        <tr r="Q2746" s="1"/>
      </tp>
      <tp>
        <v>1.7360999338135743</v>
        <stp/>
        <stp>EM_S_VAL_DIVIDENDYIELD2</stp>
        <stp>3</stp>
        <stp>002258</stp>
        <stp>12/31/2018</stp>
        <stp>2019-11-29</stp>
        <tr r="Q1840" s="1"/>
      </tp>
      <tp>
        <v>0</v>
        <stp/>
        <stp>EM_S_VAL_DIVIDENDYIELD2</stp>
        <stp>3</stp>
        <stp>002288</stp>
        <stp>12/31/2018</stp>
        <stp>2019-11-29</stp>
        <tr r="Q1928" s="1"/>
      </tp>
      <tp>
        <v>0.74229691876750703</v>
        <stp/>
        <stp>EM_S_VAL_DIVIDENDYIELD2</stp>
        <stp>3</stp>
        <stp>002298</stp>
        <stp>12/31/2018</stp>
        <stp>2019-11-29</stp>
        <tr r="Q1002" s="1"/>
      </tp>
      <tp>
        <v>1.8199545011374718</v>
        <stp/>
        <stp>EM_S_VAL_DIVIDENDYIELD2</stp>
        <stp>3</stp>
        <stp>002328</stp>
        <stp>12/31/2018</stp>
        <stp>2019-11-29</stp>
        <tr r="Q3199" s="1"/>
      </tp>
      <tp>
        <v>0.41322314049586778</v>
        <stp/>
        <stp>EM_S_VAL_DIVIDENDYIELD2</stp>
        <stp>3</stp>
        <stp>002338</stp>
        <stp>12/31/2018</stp>
        <stp>2019-11-29</stp>
        <tr r="Q1311" s="1"/>
      </tp>
      <tp>
        <v>0</v>
        <stp/>
        <stp>EM_S_VAL_DIVIDENDYIELD2</stp>
        <stp>3</stp>
        <stp>002308</stp>
        <stp>12/31/2018</stp>
        <stp>2019-11-29</stp>
        <tr r="Q2098" s="1"/>
      </tp>
      <tp>
        <v>3.4843099993641493</v>
        <stp/>
        <stp>EM_S_VAL_DIVIDENDYIELD2</stp>
        <stp>3</stp>
        <stp>002318</stp>
        <stp>12/31/2018</stp>
        <stp>2019-11-29</stp>
        <tr r="Q566" s="1"/>
      </tp>
      <tp>
        <v>0.67495888998716891</v>
        <stp/>
        <stp>EM_S_VAL_DIVIDENDYIELD2</stp>
        <stp>3</stp>
        <stp>002368</stp>
        <stp>12/31/2018</stp>
        <stp>2019-11-29</stp>
        <tr r="Q315" s="1"/>
      </tp>
      <tp>
        <v>0.40983606557377045</v>
        <stp/>
        <stp>EM_S_VAL_DIVIDENDYIELD2</stp>
        <stp>3</stp>
        <stp>002378</stp>
        <stp>12/31/2018</stp>
        <stp>2019-11-29</stp>
        <tr r="Q1552" s="1"/>
      </tp>
      <tp>
        <v>0</v>
        <stp/>
        <stp>EM_S_VAL_DIVIDENDYIELD2</stp>
        <stp>3</stp>
        <stp>002348</stp>
        <stp>12/31/2018</stp>
        <stp>2019-11-29</stp>
        <tr r="Q2047" s="1"/>
      </tp>
      <tp>
        <v>1.5174506828528074</v>
        <stp/>
        <stp>EM_S_VAL_DIVIDENDYIELD2</stp>
        <stp>3</stp>
        <stp>002358</stp>
        <stp>12/31/2018</stp>
        <stp>2019-11-29</stp>
        <tr r="Q3394" s="1"/>
      </tp>
      <tp>
        <v>0</v>
        <stp/>
        <stp>EM_S_VAL_DIVIDENDYIELD2</stp>
        <stp>3</stp>
        <stp>002388</stp>
        <stp>12/31/2018</stp>
        <stp>2019-11-29</stp>
        <tr r="Q895" s="1"/>
      </tp>
      <tp>
        <v>1.3086295326896762</v>
        <stp/>
        <stp>EM_S_VAL_DIVIDENDYIELD2</stp>
        <stp>3</stp>
        <stp>002398</stp>
        <stp>12/31/2018</stp>
        <stp>2019-11-29</stp>
        <tr r="Q850" s="1"/>
      </tp>
      <tp>
        <v>0.7087172218284904</v>
        <stp/>
        <stp>EM_S_VAL_DIVIDENDYIELD2</stp>
        <stp>3</stp>
        <stp>002028</stp>
        <stp>12/31/2018</stp>
        <stp>2019-11-29</stp>
        <tr r="Q743" s="1"/>
      </tp>
      <tp>
        <v>1.6</v>
        <stp/>
        <stp>EM_S_VAL_DIVIDENDYIELD2</stp>
        <stp>3</stp>
        <stp>002038</stp>
        <stp>12/31/2018</stp>
        <stp>2019-11-29</stp>
        <tr r="Q3361" s="1"/>
      </tp>
      <tp>
        <v>0.57159112917861132</v>
        <stp/>
        <stp>EM_S_VAL_DIVIDENDYIELD2</stp>
        <stp>3</stp>
        <stp>002008</stp>
        <stp>12/31/2018</stp>
        <stp>2019-11-29</stp>
        <tr r="Q3605" s="1"/>
      </tp>
      <tp>
        <v>0</v>
        <stp/>
        <stp>EM_S_VAL_DIVIDENDYIELD2</stp>
        <stp>3</stp>
        <stp>002018</stp>
        <stp>12/31/2018</stp>
        <stp>2019-11-29</stp>
        <tr r="Q3608" s="1"/>
      </tp>
      <tp>
        <v>6.7264573991031389</v>
        <stp/>
        <stp>EM_S_VAL_DIVIDENDYIELD2</stp>
        <stp>3</stp>
        <stp>002068</stp>
        <stp>12/31/2018</stp>
        <stp>2019-11-29</stp>
        <tr r="Q3034" s="1"/>
      </tp>
      <tp>
        <v>1.1073274834067788</v>
        <stp/>
        <stp>EM_S_VAL_DIVIDENDYIELD2</stp>
        <stp>3</stp>
        <stp>002078</stp>
        <stp>12/31/2018</stp>
        <stp>2019-11-29</stp>
        <tr r="Q275" s="1"/>
      </tp>
      <tp>
        <v>1.0504201680672267</v>
        <stp/>
        <stp>EM_S_VAL_DIVIDENDYIELD2</stp>
        <stp>3</stp>
        <stp>002048</stp>
        <stp>12/31/2018</stp>
        <stp>2019-11-29</stp>
        <tr r="Q510" s="1"/>
      </tp>
      <tp>
        <v>5.0658561296859174E-2</v>
        <stp/>
        <stp>EM_S_VAL_DIVIDENDYIELD2</stp>
        <stp>3</stp>
        <stp>002058</stp>
        <stp>12/31/2018</stp>
        <stp>2019-11-29</stp>
        <tr r="Q306" s="1"/>
      </tp>
      <tp>
        <v>6.5176357432787633</v>
        <stp/>
        <stp>EM_S_VAL_DIVIDENDYIELD2</stp>
        <stp>3</stp>
        <stp>002088</stp>
        <stp>12/31/2018</stp>
        <stp>2019-11-29</stp>
        <tr r="Q1065" s="1"/>
      </tp>
      <tp>
        <v>0</v>
        <stp/>
        <stp>EM_S_VAL_DIVIDENDYIELD2</stp>
        <stp>3</stp>
        <stp>002098</stp>
        <stp>12/31/2018</stp>
        <stp>2019-11-29</stp>
        <tr r="Q3633" s="1"/>
      </tp>
      <tp>
        <v>0</v>
        <stp/>
        <stp>EM_S_VAL_DIVIDENDYIELD2</stp>
        <stp>3</stp>
        <stp>002128</stp>
        <stp>12/31/2018</stp>
        <stp>2019-11-29</stp>
        <tr r="Q1209" s="1"/>
      </tp>
      <tp>
        <v>0.85034013605442171</v>
        <stp/>
        <stp>EM_S_VAL_DIVIDENDYIELD2</stp>
        <stp>3</stp>
        <stp>002138</stp>
        <stp>12/31/2018</stp>
        <stp>2019-11-29</stp>
        <tr r="Q329" s="1"/>
      </tp>
      <tp>
        <v>2.8169014084507045</v>
        <stp/>
        <stp>EM_S_VAL_DIVIDENDYIELD2</stp>
        <stp>3</stp>
        <stp>002108</stp>
        <stp>12/31/2018</stp>
        <stp>2019-11-29</stp>
        <tr r="Q3637" s="1"/>
      </tp>
      <tp>
        <v>0</v>
        <stp/>
        <stp>EM_S_VAL_DIVIDENDYIELD2</stp>
        <stp>3</stp>
        <stp>002118</stp>
        <stp>12/31/2018</stp>
        <stp>2019-11-29</stp>
        <tr r="Q754" s="1"/>
      </tp>
      <tp>
        <v>0</v>
        <stp/>
        <stp>EM_S_VAL_DIVIDENDYIELD2</stp>
        <stp>3</stp>
        <stp>002168</stp>
        <stp>12/31/2018</stp>
        <stp>2019-11-29</stp>
        <tr r="Q3021" s="1"/>
      </tp>
      <tp>
        <v>0</v>
        <stp/>
        <stp>EM_S_VAL_DIVIDENDYIELD2</stp>
        <stp>3</stp>
        <stp>002178</stp>
        <stp>12/31/2018</stp>
        <stp>2019-11-29</stp>
        <tr r="Q1588" s="1"/>
      </tp>
      <tp>
        <v>0.49701789264413521</v>
        <stp/>
        <stp>EM_S_VAL_DIVIDENDYIELD2</stp>
        <stp>3</stp>
        <stp>002148</stp>
        <stp>12/31/2018</stp>
        <stp>2019-11-29</stp>
        <tr r="Q2885" s="1"/>
      </tp>
      <tp>
        <v>1.8167943487467924</v>
        <stp/>
        <stp>EM_S_VAL_DIVIDENDYIELD2</stp>
        <stp>3</stp>
        <stp>002158</stp>
        <stp>12/31/2018</stp>
        <stp>2019-11-29</stp>
        <tr r="Q1124" s="1"/>
      </tp>
      <tp>
        <v>0</v>
        <stp/>
        <stp>EM_S_VAL_DIVIDENDYIELD2</stp>
        <stp>3</stp>
        <stp>002188</stp>
        <stp>12/31/2018</stp>
        <stp>2019-11-29</stp>
        <tr r="Q2426" s="1"/>
      </tp>
      <tp>
        <v>0</v>
        <stp/>
        <stp>EM_S_VAL_DIVIDENDYIELD2</stp>
        <stp>3</stp>
        <stp>002198</stp>
        <stp>12/31/2018</stp>
        <stp>2019-11-29</stp>
        <tr r="Q2082" s="1"/>
      </tp>
      <tp>
        <v>0</v>
        <stp/>
        <stp>EM_S_VAL_DIVIDENDYIELD2</stp>
        <stp>3</stp>
        <stp>002628</stp>
        <stp>12/31/2018</stp>
        <stp>2019-11-29</stp>
        <tr r="Q2357" s="1"/>
      </tp>
      <tp>
        <v>0</v>
        <stp/>
        <stp>EM_S_VAL_DIVIDENDYIELD2</stp>
        <stp>3</stp>
        <stp>002638</stp>
        <stp>12/31/2018</stp>
        <stp>2019-11-29</stp>
        <tr r="Q689" s="1"/>
      </tp>
      <tp>
        <v>0</v>
        <stp/>
        <stp>EM_S_VAL_DIVIDENDYIELD2</stp>
        <stp>3</stp>
        <stp>002608</stp>
        <stp>12/31/2018</stp>
        <stp>2019-11-29</stp>
        <tr r="Q2248" s="1"/>
      </tp>
      <tp>
        <v>4.1390728476821195E-2</v>
        <stp/>
        <stp>EM_S_VAL_DIVIDENDYIELD2</stp>
        <stp>3</stp>
        <stp>002618</stp>
        <stp>12/31/2018</stp>
        <stp>2019-11-29</stp>
        <tr r="Q2739" s="1"/>
      </tp>
      <tp>
        <v>0</v>
        <stp/>
        <stp>EM_S_VAL_DIVIDENDYIELD2</stp>
        <stp>3</stp>
        <stp>002668</stp>
        <stp>12/31/2018</stp>
        <stp>2019-11-29</stp>
        <tr r="Q1444" s="1"/>
      </tp>
      <tp>
        <v>0.808457711442786</v>
        <stp/>
        <stp>EM_S_VAL_DIVIDENDYIELD2</stp>
        <stp>3</stp>
        <stp>002678</stp>
        <stp>12/31/2018</stp>
        <stp>2019-11-29</stp>
        <tr r="Q697" s="1"/>
      </tp>
      <tp>
        <v>0.60559876950174774</v>
        <stp/>
        <stp>EM_S_VAL_DIVIDENDYIELD2</stp>
        <stp>3</stp>
        <stp>002648</stp>
        <stp>12/31/2018</stp>
        <stp>2019-11-29</stp>
        <tr r="Q309" s="1"/>
      </tp>
      <tp>
        <v>1.5360961111322913</v>
        <stp/>
        <stp>EM_S_VAL_DIVIDENDYIELD2</stp>
        <stp>3</stp>
        <stp>002658</stp>
        <stp>12/31/2018</stp>
        <stp>2019-11-29</stp>
        <tr r="Q2191" s="1"/>
      </tp>
      <tp>
        <v>4.7801147227533463</v>
        <stp/>
        <stp>EM_S_VAL_DIVIDENDYIELD2</stp>
        <stp>3</stp>
        <stp>002688</stp>
        <stp>12/31/2018</stp>
        <stp>2019-11-29</stp>
        <tr r="Q809" s="1"/>
      </tp>
      <tp>
        <v>0.97121054457162659</v>
        <stp/>
        <stp>EM_S_VAL_DIVIDENDYIELD2</stp>
        <stp>3</stp>
        <stp>002698</stp>
        <stp>12/31/2018</stp>
        <stp>2019-11-29</stp>
        <tr r="Q1301" s="1"/>
      </tp>
      <tp>
        <v>4.027241055720129</v>
        <stp/>
        <stp>EM_S_VAL_DIVIDENDYIELD2</stp>
        <stp>3</stp>
        <stp>002728</stp>
        <stp>12/31/2018</stp>
        <stp>2019-11-29</stp>
        <tr r="Q991" s="1"/>
      </tp>
      <tp>
        <v>0.36764705882352944</v>
        <stp/>
        <stp>EM_S_VAL_DIVIDENDYIELD2</stp>
        <stp>3</stp>
        <stp>002738</stp>
        <stp>12/31/2018</stp>
        <stp>2019-11-29</stp>
        <tr r="Q1459" s="1"/>
      </tp>
      <tp>
        <v>0</v>
        <stp/>
        <stp>EM_S_VAL_DIVIDENDYIELD2</stp>
        <stp>3</stp>
        <stp>002708</stp>
        <stp>12/31/2018</stp>
        <stp>2019-11-29</stp>
        <tr r="Q1971" s="1"/>
      </tp>
      <tp>
        <v>1.1325028312570782</v>
        <stp/>
        <stp>EM_S_VAL_DIVIDENDYIELD2</stp>
        <stp>3</stp>
        <stp>002718</stp>
        <stp>12/31/2018</stp>
        <stp>2019-11-29</stp>
        <tr r="Q3310" s="1"/>
      </tp>
      <tp>
        <v>0.52242054854157594</v>
        <stp/>
        <stp>EM_S_VAL_DIVIDENDYIELD2</stp>
        <stp>3</stp>
        <stp>002768</stp>
        <stp>12/31/2018</stp>
        <stp>2019-11-29</stp>
        <tr r="Q2063" s="1"/>
      </tp>
      <tp>
        <v>0.23486430062630478</v>
        <stp/>
        <stp>EM_S_VAL_DIVIDENDYIELD2</stp>
        <stp>3</stp>
        <stp>002778</stp>
        <stp>12/31/2018</stp>
        <stp>2019-11-29</stp>
        <tr r="Q1331" s="1"/>
      </tp>
      <tp>
        <v>1.4513788098693758</v>
        <stp/>
        <stp>EM_S_VAL_DIVIDENDYIELD2</stp>
        <stp>3</stp>
        <stp>002748</stp>
        <stp>12/31/2018</stp>
        <stp>2019-11-29</stp>
        <tr r="Q2044" s="1"/>
      </tp>
      <tp>
        <v>0.77696157298542068</v>
        <stp/>
        <stp>EM_S_VAL_DIVIDENDYIELD2</stp>
        <stp>3</stp>
        <stp>002758</stp>
        <stp>12/31/2018</stp>
        <stp>2019-11-29</stp>
        <tr r="Q633" s="1"/>
      </tp>
      <tp>
        <v>1.539882968894364</v>
        <stp/>
        <stp>EM_S_VAL_DIVIDENDYIELD2</stp>
        <stp>3</stp>
        <stp>002788</stp>
        <stp>12/31/2018</stp>
        <stp>2019-11-29</stp>
        <tr r="Q3288" s="1"/>
      </tp>
      <tp>
        <v>1.3150707107803683</v>
        <stp/>
        <stp>EM_S_VAL_DIVIDENDYIELD2</stp>
        <stp>3</stp>
        <stp>002798</stp>
        <stp>12/31/2018</stp>
        <stp>2019-11-29</stp>
        <tr r="Q231" s="1"/>
      </tp>
      <tp>
        <v>0</v>
        <stp/>
        <stp>EM_S_VAL_DIVIDENDYIELD2</stp>
        <stp>3</stp>
        <stp>002428</stp>
        <stp>12/31/2018</stp>
        <stp>2019-11-29</stp>
        <tr r="Q268" s="1"/>
      </tp>
      <tp>
        <v>0.30193236714975852</v>
        <stp/>
        <stp>EM_S_VAL_DIVIDENDYIELD2</stp>
        <stp>3</stp>
        <stp>002438</stp>
        <stp>12/31/2018</stp>
        <stp>2019-11-29</stp>
        <tr r="Q726" s="1"/>
      </tp>
      <tp>
        <v>1.2417655172413793</v>
        <stp/>
        <stp>EM_S_VAL_DIVIDENDYIELD2</stp>
        <stp>3</stp>
        <stp>002408</stp>
        <stp>12/31/2018</stp>
        <stp>2019-11-29</stp>
        <tr r="Q2019" s="1"/>
      </tp>
      <tp>
        <v>0</v>
        <stp/>
        <stp>EM_S_VAL_DIVIDENDYIELD2</stp>
        <stp>3</stp>
        <stp>002418</stp>
        <stp>12/31/2018</stp>
        <stp>2019-11-29</stp>
        <tr r="Q2643" s="1"/>
      </tp>
      <tp>
        <v>2.7472527472527473</v>
        <stp/>
        <stp>EM_S_VAL_DIVIDENDYIELD2</stp>
        <stp>3</stp>
        <stp>002468</stp>
        <stp>12/31/2018</stp>
        <stp>2019-11-29</stp>
        <tr r="Q1355" s="1"/>
      </tp>
      <tp>
        <v>2.0905923344947732</v>
        <stp/>
        <stp>EM_S_VAL_DIVIDENDYIELD2</stp>
        <stp>3</stp>
        <stp>002478</stp>
        <stp>12/31/2018</stp>
        <stp>2019-11-29</stp>
        <tr r="Q1021" s="1"/>
      </tp>
      <tp>
        <v>1.9888741704165598</v>
        <stp/>
        <stp>EM_S_VAL_DIVIDENDYIELD2</stp>
        <stp>3</stp>
        <stp>002448</stp>
        <stp>12/31/2018</stp>
        <stp>2019-11-29</stp>
        <tr r="Q2396" s="1"/>
      </tp>
      <tp>
        <v>0.40729279696323245</v>
        <stp/>
        <stp>EM_S_VAL_DIVIDENDYIELD2</stp>
        <stp>3</stp>
        <stp>002458</stp>
        <stp>12/31/2018</stp>
        <stp>2019-11-29</stp>
        <tr r="Q190" s="1"/>
      </tp>
      <tp>
        <v>0</v>
        <stp/>
        <stp>EM_S_VAL_DIVIDENDYIELD2</stp>
        <stp>3</stp>
        <stp>002488</stp>
        <stp>12/31/2018</stp>
        <stp>2019-11-29</stp>
        <tr r="Q1900" s="1"/>
      </tp>
      <tp>
        <v>1.2676056338028168</v>
        <stp/>
        <stp>EM_S_VAL_DIVIDENDYIELD2</stp>
        <stp>3</stp>
        <stp>002498</stp>
        <stp>12/31/2018</stp>
        <stp>2019-11-29</stp>
        <tr r="Q544" s="1"/>
      </tp>
      <tp>
        <v>0</v>
        <stp/>
        <stp>EM_S_VAL_DIVIDENDYIELD2</stp>
        <stp>3</stp>
        <stp>002528</stp>
        <stp>12/31/2018</stp>
        <stp>2019-11-29</stp>
        <tr r="Q665" s="1"/>
      </tp>
      <tp>
        <v>2.2123893805309733</v>
        <stp/>
        <stp>EM_S_VAL_DIVIDENDYIELD2</stp>
        <stp>3</stp>
        <stp>002538</stp>
        <stp>12/31/2018</stp>
        <stp>2019-11-29</stp>
        <tr r="Q2472" s="1"/>
      </tp>
      <tp>
        <v>2.6936026936026933</v>
        <stp/>
        <stp>EM_S_VAL_DIVIDENDYIELD2</stp>
        <stp>3</stp>
        <stp>002508</stp>
        <stp>12/31/2018</stp>
        <stp>2019-11-29</stp>
        <tr r="Q332" s="1"/>
      </tp>
      <tp>
        <v>2.0661157024793391</v>
        <stp/>
        <stp>EM_S_VAL_DIVIDENDYIELD2</stp>
        <stp>3</stp>
        <stp>002518</stp>
        <stp>12/31/2018</stp>
        <stp>2019-11-29</stp>
        <tr r="Q588" s="1"/>
      </tp>
      <tp>
        <v>0</v>
        <stp/>
        <stp>EM_S_VAL_DIVIDENDYIELD2</stp>
        <stp>3</stp>
        <stp>002568</stp>
        <stp>12/31/2018</stp>
        <stp>2019-11-29</stp>
        <tr r="Q47" s="1"/>
      </tp>
      <tp>
        <v>0</v>
        <stp/>
        <stp>EM_S_VAL_DIVIDENDYIELD2</stp>
        <stp>3</stp>
        <stp>002578</stp>
        <stp>12/31/2018</stp>
        <stp>2019-11-29</stp>
        <tr r="Q1903" s="1"/>
      </tp>
      <tp>
        <v>0</v>
        <stp/>
        <stp>EM_S_VAL_DIVIDENDYIELD2</stp>
        <stp>3</stp>
        <stp>002548</stp>
        <stp>12/31/2018</stp>
        <stp>2019-11-29</stp>
        <tr r="Q938" s="1"/>
      </tp>
      <tp>
        <v>0.96045197740112986</v>
        <stp/>
        <stp>EM_S_VAL_DIVIDENDYIELD2</stp>
        <stp>3</stp>
        <stp>002558</stp>
        <stp>12/31/2018</stp>
        <stp>2019-11-29</stp>
        <tr r="Q2676" s="1"/>
      </tp>
      <tp>
        <v>0.5181347150259068</v>
        <stp/>
        <stp>EM_S_VAL_DIVIDENDYIELD2</stp>
        <stp>3</stp>
        <stp>002588</stp>
        <stp>12/31/2018</stp>
        <stp>2019-11-29</stp>
        <tr r="Q2389" s="1"/>
      </tp>
      <tp>
        <v>3.3333333333333335</v>
        <stp/>
        <stp>EM_S_VAL_DIVIDENDYIELD2</stp>
        <stp>3</stp>
        <stp>002598</stp>
        <stp>12/31/2018</stp>
        <stp>2019-11-29</stp>
        <tr r="Q2728" s="1"/>
      </tp>
      <tp>
        <v>0.56272071539937119</v>
        <stp/>
        <stp>EM_S_VAL_DIVIDENDYIELD2</stp>
        <stp>3</stp>
        <stp>002828</stp>
        <stp>12/31/2018</stp>
        <stp>2019-11-29</stp>
        <tr r="Q2577" s="1"/>
      </tp>
      <tp>
        <v>0.61576354679802958</v>
        <stp/>
        <stp>EM_S_VAL_DIVIDENDYIELD2</stp>
        <stp>3</stp>
        <stp>002838</stp>
        <stp>12/31/2018</stp>
        <stp>2019-11-29</stp>
        <tr r="Q3303" s="1"/>
      </tp>
      <tp>
        <v>0.32379225488926305</v>
        <stp/>
        <stp>EM_S_VAL_DIVIDENDYIELD2</stp>
        <stp>3</stp>
        <stp>002808</stp>
        <stp>12/31/2018</stp>
        <stp>2019-11-29</stp>
        <tr r="Q3161" s="1"/>
      </tp>
      <tp>
        <v>2.4761049604045899</v>
        <stp/>
        <stp>EM_S_VAL_DIVIDENDYIELD2</stp>
        <stp>3</stp>
        <stp>002818</stp>
        <stp>12/31/2018</stp>
        <stp>2019-11-29</stp>
        <tr r="Q3300" s="1"/>
      </tp>
      <tp>
        <v>1.4925373134328357</v>
        <stp/>
        <stp>EM_S_VAL_DIVIDENDYIELD2</stp>
        <stp>3</stp>
        <stp>002868</stp>
        <stp>12/31/2018</stp>
        <stp>2019-11-29</stp>
        <tr r="Q1313" s="1"/>
      </tp>
      <tp>
        <v>1.3083296990841691</v>
        <stp/>
        <stp>EM_S_VAL_DIVIDENDYIELD2</stp>
        <stp>3</stp>
        <stp>002878</stp>
        <stp>12/31/2018</stp>
        <stp>2019-11-29</stp>
        <tr r="Q1941" s="1"/>
      </tp>
      <tp>
        <v>0</v>
        <stp/>
        <stp>EM_S_VAL_DIVIDENDYIELD2</stp>
        <stp>3</stp>
        <stp>002848</stp>
        <stp>12/31/2018</stp>
        <stp>2019-11-29</stp>
        <tr r="Q1699" s="1"/>
      </tp>
      <tp>
        <v>0.21244067796610164</v>
        <stp/>
        <stp>EM_S_VAL_DIVIDENDYIELD2</stp>
        <stp>3</stp>
        <stp>002858</stp>
        <stp>12/31/2018</stp>
        <stp>2019-11-29</stp>
        <tr r="Q1816" s="1"/>
      </tp>
      <tp>
        <v>1.8501387604070305</v>
        <stp/>
        <stp>EM_S_VAL_DIVIDENDYIELD2</stp>
        <stp>3</stp>
        <stp>002888</stp>
        <stp>12/31/2018</stp>
        <stp>2019-11-29</stp>
        <tr r="Q1442" s="1"/>
      </tp>
      <tp>
        <v>1.5503875968992249</v>
        <stp/>
        <stp>EM_S_VAL_DIVIDENDYIELD2</stp>
        <stp>3</stp>
        <stp>002898</stp>
        <stp>12/31/2018</stp>
        <stp>2019-11-29</stp>
        <tr r="Q2713" s="1"/>
      </tp>
      <tp>
        <v>0.83735909822866339</v>
        <stp/>
        <stp>EM_S_VAL_DIVIDENDYIELD2</stp>
        <stp>3</stp>
        <stp>002928</stp>
        <stp>12/31/2018</stp>
        <stp>2019-11-29</stp>
        <tr r="Q3274" s="1"/>
      </tp>
      <tp>
        <v>1.0822510822510822</v>
        <stp/>
        <stp>EM_S_VAL_DIVIDENDYIELD2</stp>
        <stp>3</stp>
        <stp>002908</stp>
        <stp>12/31/2018</stp>
        <stp>2019-11-29</stp>
        <tr r="Q3201" s="1"/>
      </tp>
      <tp>
        <v>1.1501807426881365</v>
        <stp/>
        <stp>EM_S_VAL_DIVIDENDYIELD2</stp>
        <stp>3</stp>
        <stp>002918</stp>
        <stp>12/31/2018</stp>
        <stp>2019-11-29</stp>
        <tr r="Q1272" s="1"/>
      </tp>
      <tp>
        <v>0.78596901975966549</v>
        <stp/>
        <stp>EM_S_VAL_DIVIDENDYIELD2</stp>
        <stp>3</stp>
        <stp>603258</stp>
        <stp>12/31/2018</stp>
        <stp>2019-11-29</stp>
        <tr r="Q727" s="1"/>
      </tp>
      <tp>
        <v>0.60176754742427008</v>
        <stp/>
        <stp>EM_S_VAL_DIVIDENDYIELD2</stp>
        <stp>3</stp>
        <stp>603268</stp>
        <stp>12/31/2018</stp>
        <stp>2019-11-29</stp>
        <tr r="Q2529" s="1"/>
      </tp>
      <tp>
        <v>0.9273348899703252</v>
        <stp/>
        <stp>EM_S_VAL_DIVIDENDYIELD2</stp>
        <stp>3</stp>
        <stp>603278</stp>
        <stp>12/31/2018</stp>
        <stp>2019-11-29</stp>
        <tr r="Q3255" s="1"/>
      </tp>
      <tp>
        <v>1.1412829594647775</v>
        <stp/>
        <stp>EM_S_VAL_DIVIDENDYIELD2</stp>
        <stp>3</stp>
        <stp>603208</stp>
        <stp>12/31/2018</stp>
        <stp>2019-11-29</stp>
        <tr r="Q181" s="1"/>
      </tp>
      <tp>
        <v>1.26749280705691</v>
        <stp/>
        <stp>EM_S_VAL_DIVIDENDYIELD2</stp>
        <stp>3</stp>
        <stp>603218</stp>
        <stp>12/31/2018</stp>
        <stp>2019-11-29</stp>
        <tr r="Q1213" s="1"/>
      </tp>
      <tp>
        <v>1.2605042025177</v>
        <stp/>
        <stp>EM_S_VAL_DIVIDENDYIELD2</stp>
        <stp>3</stp>
        <stp>603228</stp>
        <stp>12/31/2018</stp>
        <stp>2019-11-29</stp>
        <tr r="Q2805" s="1"/>
      </tp>
      <tp>
        <v>0.89552238805970152</v>
        <stp/>
        <stp>EM_S_VAL_DIVIDENDYIELD2</stp>
        <stp>3</stp>
        <stp>603238</stp>
        <stp>12/31/2018</stp>
        <stp>2019-11-29</stp>
        <tr r="Q2678" s="1"/>
      </tp>
      <tp>
        <v>0.91605907646289031</v>
        <stp/>
        <stp>EM_S_VAL_DIVIDENDYIELD2</stp>
        <stp>3</stp>
        <stp>603288</stp>
        <stp>12/31/2018</stp>
        <stp>2019-11-29</stp>
        <tr r="Q469" s="1"/>
      </tp>
      <tp>
        <v>2.3734177215189876</v>
        <stp/>
        <stp>EM_S_VAL_DIVIDENDYIELD2</stp>
        <stp>3</stp>
        <stp>603298</stp>
        <stp>12/31/2018</stp>
        <stp>2019-11-29</stp>
        <tr r="Q1939" s="1"/>
      </tp>
      <tp>
        <v>1.7152658662092626</v>
        <stp/>
        <stp>EM_S_VAL_DIVIDENDYIELD2</stp>
        <stp>3</stp>
        <stp>603348</stp>
        <stp>12/31/2018</stp>
        <stp>2019-11-29</stp>
        <tr r="Q2404" s="1"/>
      </tp>
      <tp>
        <v>2.2338049143708116</v>
        <stp/>
        <stp>EM_S_VAL_DIVIDENDYIELD2</stp>
        <stp>3</stp>
        <stp>603358</stp>
        <stp>12/31/2018</stp>
        <stp>2019-11-29</stp>
        <tr r="Q844" s="1"/>
      </tp>
      <tp>
        <v>1.8414018414018414</v>
        <stp/>
        <stp>EM_S_VAL_DIVIDENDYIELD2</stp>
        <stp>3</stp>
        <stp>603368</stp>
        <stp>12/31/2018</stp>
        <stp>2019-11-29</stp>
        <tr r="Q1009" s="1"/>
      </tp>
      <tp>
        <v>0.48777777777777775</v>
        <stp/>
        <stp>EM_S_VAL_DIVIDENDYIELD2</stp>
        <stp>3</stp>
        <stp>603378</stp>
        <stp>12/31/2018</stp>
        <stp>2019-11-29</stp>
        <tr r="Q357" s="1"/>
      </tp>
      <tp>
        <v>0.39216614313905102</v>
        <stp/>
        <stp>EM_S_VAL_DIVIDENDYIELD2</stp>
        <stp>3</stp>
        <stp>603308</stp>
        <stp>12/31/2018</stp>
        <stp>2019-11-29</stp>
        <tr r="Q218" s="1"/>
      </tp>
      <tp>
        <v>0</v>
        <stp/>
        <stp>EM_S_VAL_DIVIDENDYIELD2</stp>
        <stp>3</stp>
        <stp>603318</stp>
        <stp>12/31/2018</stp>
        <stp>2019-11-29</stp>
        <tr r="Q2674" s="1"/>
      </tp>
      <tp>
        <v>7.1383762117928766</v>
        <stp/>
        <stp>EM_S_VAL_DIVIDENDYIELD2</stp>
        <stp>3</stp>
        <stp>603328</stp>
        <stp>12/31/2018</stp>
        <stp>2019-11-29</stp>
        <tr r="Q1464" s="1"/>
      </tp>
      <tp>
        <v>0.38532675709001235</v>
        <stp/>
        <stp>EM_S_VAL_DIVIDENDYIELD2</stp>
        <stp>3</stp>
        <stp>603338</stp>
        <stp>12/31/2018</stp>
        <stp>2019-11-29</stp>
        <tr r="Q1029" s="1"/>
      </tp>
      <tp>
        <v>1.0010910860085029</v>
        <stp/>
        <stp>EM_S_VAL_DIVIDENDYIELD2</stp>
        <stp>3</stp>
        <stp>603388</stp>
        <stp>12/31/2018</stp>
        <stp>2019-11-29</stp>
        <tr r="Q3051" s="1"/>
      </tp>
      <tp>
        <v>0</v>
        <stp/>
        <stp>EM_S_VAL_DIVIDENDYIELD2</stp>
        <stp>3</stp>
        <stp>603398</stp>
        <stp>12/31/2018</stp>
        <stp>2019-11-29</stp>
        <tr r="Q2667" s="1"/>
      </tp>
      <tp>
        <v>0.708215297450425</v>
        <stp/>
        <stp>EM_S_VAL_DIVIDENDYIELD2</stp>
        <stp>3</stp>
        <stp>603058</stp>
        <stp>12/31/2018</stp>
        <stp>2019-11-29</stp>
        <tr r="Q3088" s="1"/>
      </tp>
      <tp>
        <v>0.38359247135842883</v>
        <stp/>
        <stp>EM_S_VAL_DIVIDENDYIELD2</stp>
        <stp>3</stp>
        <stp>603078</stp>
        <stp>12/31/2018</stp>
        <stp>2019-11-29</stp>
        <tr r="Q1260" s="1"/>
      </tp>
      <tp>
        <v>0</v>
        <stp/>
        <stp>EM_S_VAL_DIVIDENDYIELD2</stp>
        <stp>3</stp>
        <stp>603008</stp>
        <stp>12/31/2018</stp>
        <stp>2019-11-29</stp>
        <tr r="Q376" s="1"/>
      </tp>
      <tp>
        <v>2.529883108382601</v>
        <stp/>
        <stp>EM_S_VAL_DIVIDENDYIELD2</stp>
        <stp>3</stp>
        <stp>603018</stp>
        <stp>12/31/2018</stp>
        <stp>2019-11-29</stp>
        <tr r="Q3325" s="1"/>
      </tp>
      <tp>
        <v>0.21988527724665394</v>
        <stp/>
        <stp>EM_S_VAL_DIVIDENDYIELD2</stp>
        <stp>3</stp>
        <stp>603028</stp>
        <stp>12/31/2018</stp>
        <stp>2019-11-29</stp>
        <tr r="Q383" s="1"/>
      </tp>
      <tp>
        <v>1.6293276381689443</v>
        <stp/>
        <stp>EM_S_VAL_DIVIDENDYIELD2</stp>
        <stp>3</stp>
        <stp>603038</stp>
        <stp>12/31/2018</stp>
        <stp>2019-11-29</stp>
        <tr r="Q2833" s="1"/>
      </tp>
      <tp>
        <v>2.7840612493474857</v>
        <stp/>
        <stp>EM_S_VAL_DIVIDENDYIELD2</stp>
        <stp>3</stp>
        <stp>603088</stp>
        <stp>12/31/2018</stp>
        <stp>2019-11-29</stp>
        <tr r="Q3087" s="1"/>
      </tp>
      <tp>
        <v>1.0101010101010102</v>
        <stp/>
        <stp>EM_S_VAL_DIVIDENDYIELD2</stp>
        <stp>3</stp>
        <stp>603098</stp>
        <stp>12/31/2018</stp>
        <stp>2019-11-29</stp>
        <tr r="Q3054" s="1"/>
      </tp>
      <tp>
        <v>0.99965257402084318</v>
        <stp/>
        <stp>EM_S_VAL_DIVIDENDYIELD2</stp>
        <stp>3</stp>
        <stp>603158</stp>
        <stp>12/31/2018</stp>
        <stp>2019-11-29</stp>
        <tr r="Q2653" s="1"/>
      </tp>
      <tp>
        <v>0</v>
        <stp/>
        <stp>EM_S_VAL_DIVIDENDYIELD2</stp>
        <stp>3</stp>
        <stp>603168</stp>
        <stp>12/31/2018</stp>
        <stp>2019-11-29</stp>
        <tr r="Q1079" s="1"/>
      </tp>
      <tp>
        <v>0.5614006929885289</v>
        <stp/>
        <stp>EM_S_VAL_DIVIDENDYIELD2</stp>
        <stp>3</stp>
        <stp>603178</stp>
        <stp>12/31/2018</stp>
        <stp>2019-11-29</stp>
        <tr r="Q1243" s="1"/>
      </tp>
      <tp>
        <v>0.94246031746031755</v>
        <stp/>
        <stp>EM_S_VAL_DIVIDENDYIELD2</stp>
        <stp>3</stp>
        <stp>603108</stp>
        <stp>12/31/2018</stp>
        <stp>2019-11-29</stp>
        <tr r="Q803" s="1"/>
      </tp>
      <tp>
        <v>4.7229791099000904</v>
        <stp/>
        <stp>EM_S_VAL_DIVIDENDYIELD2</stp>
        <stp>3</stp>
        <stp>603118</stp>
        <stp>12/31/2018</stp>
        <stp>2019-11-29</stp>
        <tr r="Q261" s="1"/>
      </tp>
      <tp>
        <v>1.6333333333333331</v>
        <stp/>
        <stp>EM_S_VAL_DIVIDENDYIELD2</stp>
        <stp>3</stp>
        <stp>603128</stp>
        <stp>12/31/2018</stp>
        <stp>2019-11-29</stp>
        <tr r="Q1380" s="1"/>
      </tp>
      <tp>
        <v>0.5355925601324375</v>
        <stp/>
        <stp>EM_S_VAL_DIVIDENDYIELD2</stp>
        <stp>3</stp>
        <stp>603138</stp>
        <stp>12/31/2018</stp>
        <stp>2019-11-29</stp>
        <tr r="Q2938" s="1"/>
      </tp>
      <tp>
        <v>0</v>
        <stp/>
        <stp>EM_S_VAL_DIVIDENDYIELD2</stp>
        <stp>3</stp>
        <stp>603188</stp>
        <stp>12/31/2018</stp>
        <stp>2019-11-29</stp>
        <tr r="Q2816" s="1"/>
      </tp>
      <tp>
        <v>3.4313725490196081</v>
        <stp/>
        <stp>EM_S_VAL_DIVIDENDYIELD2</stp>
        <stp>3</stp>
        <stp>603198</stp>
        <stp>12/31/2018</stp>
        <stp>2019-11-29</stp>
        <tr r="Q704" s="1"/>
      </tp>
      <tp>
        <v>1.5706806282722512</v>
        <stp/>
        <stp>EM_S_VAL_DIVIDENDYIELD2</stp>
        <stp>3</stp>
        <stp>603648</stp>
        <stp>12/31/2018</stp>
        <stp>2019-11-29</stp>
        <tr r="Q2597" s="1"/>
      </tp>
      <tp>
        <v>0.78064012490241996</v>
        <stp/>
        <stp>EM_S_VAL_DIVIDENDYIELD2</stp>
        <stp>3</stp>
        <stp>603658</stp>
        <stp>12/31/2018</stp>
        <stp>2019-11-29</stp>
        <tr r="Q188" s="1"/>
      </tp>
      <tp>
        <v>0.56883247001437276</v>
        <stp/>
        <stp>EM_S_VAL_DIVIDENDYIELD2</stp>
        <stp>3</stp>
        <stp>603668</stp>
        <stp>12/31/2018</stp>
        <stp>2019-11-29</stp>
        <tr r="Q1555" s="1"/>
      </tp>
      <tp>
        <v>0.48355899419729209</v>
        <stp/>
        <stp>EM_S_VAL_DIVIDENDYIELD2</stp>
        <stp>3</stp>
        <stp>603678</stp>
        <stp>12/31/2018</stp>
        <stp>2019-11-29</stp>
        <tr r="Q631" s="1"/>
      </tp>
      <tp>
        <v>4.0983606557377055</v>
        <stp/>
        <stp>EM_S_VAL_DIVIDENDYIELD2</stp>
        <stp>3</stp>
        <stp>603608</stp>
        <stp>12/31/2018</stp>
        <stp>2019-11-29</stp>
        <tr r="Q2963" s="1"/>
      </tp>
      <tp>
        <v>0.96008985159142091</v>
        <stp/>
        <stp>EM_S_VAL_DIVIDENDYIELD2</stp>
        <stp>3</stp>
        <stp>603618</stp>
        <stp>12/31/2018</stp>
        <stp>2019-11-29</stp>
        <tr r="Q2025" s="1"/>
      </tp>
      <tp>
        <v>0.26560424966799467</v>
        <stp/>
        <stp>EM_S_VAL_DIVIDENDYIELD2</stp>
        <stp>3</stp>
        <stp>603628</stp>
        <stp>12/31/2018</stp>
        <stp>2019-11-29</stp>
        <tr r="Q1789" s="1"/>
      </tp>
      <tp>
        <v>0.47971293977683754</v>
        <stp/>
        <stp>EM_S_VAL_DIVIDENDYIELD2</stp>
        <stp>3</stp>
        <stp>603638</stp>
        <stp>12/31/2018</stp>
        <stp>2019-11-29</stp>
        <tr r="Q1019" s="1"/>
      </tp>
      <tp>
        <v>0.84360804672290712</v>
        <stp/>
        <stp>EM_S_VAL_DIVIDENDYIELD2</stp>
        <stp>3</stp>
        <stp>603688</stp>
        <stp>12/31/2018</stp>
        <stp>2019-11-29</stp>
        <tr r="Q342" s="1"/>
      </tp>
      <tp>
        <v>0</v>
        <stp/>
        <stp>EM_S_VAL_DIVIDENDYIELD2</stp>
        <stp>3</stp>
        <stp>603698</stp>
        <stp>12/31/2018</stp>
        <stp>2019-11-29</stp>
        <tr r="Q2873" s="1"/>
      </tp>
      <tp>
        <v>0</v>
        <stp/>
        <stp>EM_S_VAL_DIVIDENDYIELD2</stp>
        <stp>3</stp>
        <stp>603758</stp>
        <stp>12/31/2018</stp>
        <stp>2019-11-29</stp>
        <tr r="Q2185" s="1"/>
      </tp>
      <tp>
        <v>1.1527377521613833</v>
        <stp/>
        <stp>EM_S_VAL_DIVIDENDYIELD2</stp>
        <stp>3</stp>
        <stp>603768</stp>
        <stp>12/31/2018</stp>
        <stp>2019-11-29</stp>
        <tr r="Q2158" s="1"/>
      </tp>
      <tp>
        <v>0</v>
        <stp/>
        <stp>EM_S_VAL_DIVIDENDYIELD2</stp>
        <stp>3</stp>
        <stp>603778</stp>
        <stp>12/31/2018</stp>
        <stp>2019-11-29</stp>
        <tr r="Q2264" s="1"/>
      </tp>
      <tp>
        <v>1.8551646458623199</v>
        <stp/>
        <stp>EM_S_VAL_DIVIDENDYIELD2</stp>
        <stp>3</stp>
        <stp>603708</stp>
        <stp>12/31/2018</stp>
        <stp>2019-11-29</stp>
        <tr r="Q1222" s="1"/>
      </tp>
      <tp>
        <v>8.3963056255247692E-2</v>
        <stp/>
        <stp>EM_S_VAL_DIVIDENDYIELD2</stp>
        <stp>3</stp>
        <stp>603718</stp>
        <stp>12/31/2018</stp>
        <stp>2019-11-29</stp>
        <tr r="Q2359" s="1"/>
      </tp>
      <tp>
        <v>0.39272030651340983</v>
        <stp/>
        <stp>EM_S_VAL_DIVIDENDYIELD2</stp>
        <stp>3</stp>
        <stp>603728</stp>
        <stp>12/31/2018</stp>
        <stp>2019-11-29</stp>
        <tr r="Q2855" s="1"/>
      </tp>
      <tp>
        <v>0.56612108134063166</v>
        <stp/>
        <stp>EM_S_VAL_DIVIDENDYIELD2</stp>
        <stp>3</stp>
        <stp>603738</stp>
        <stp>12/31/2018</stp>
        <stp>2019-11-29</stp>
        <tr r="Q418" s="1"/>
      </tp>
      <tp>
        <v>3.9893617021276597</v>
        <stp/>
        <stp>EM_S_VAL_DIVIDENDYIELD2</stp>
        <stp>3</stp>
        <stp>603788</stp>
        <stp>12/31/2018</stp>
        <stp>2019-11-29</stp>
        <tr r="Q1735" s="1"/>
      </tp>
      <tp>
        <v>1.0638297872340425</v>
        <stp/>
        <stp>EM_S_VAL_DIVIDENDYIELD2</stp>
        <stp>3</stp>
        <stp>603798</stp>
        <stp>12/31/2018</stp>
        <stp>2019-11-29</stp>
        <tr r="Q878" s="1"/>
      </tp>
      <tp>
        <v>3.1621743739231158</v>
        <stp/>
        <stp>EM_S_VAL_DIVIDENDYIELD2</stp>
        <stp>3</stp>
        <stp>603458</stp>
        <stp>12/31/2018</stp>
        <stp>2019-11-29</stp>
        <tr r="Q3290" s="1"/>
      </tp>
      <tp>
        <v>2.5031289111389237</v>
        <stp/>
        <stp>EM_S_VAL_DIVIDENDYIELD2</stp>
        <stp>3</stp>
        <stp>603488</stp>
        <stp>12/31/2018</stp>
        <stp>2019-11-29</stp>
        <tr r="Q1208" s="1"/>
      </tp>
      <tp>
        <v>0.53879310344827602</v>
        <stp/>
        <stp>EM_S_VAL_DIVIDENDYIELD2</stp>
        <stp>3</stp>
        <stp>603558</stp>
        <stp>12/31/2018</stp>
        <stp>2019-11-29</stp>
        <tr r="Q2587" s="1"/>
      </tp>
      <tp>
        <v>1.1110644841453496</v>
        <stp/>
        <stp>EM_S_VAL_DIVIDENDYIELD2</stp>
        <stp>3</stp>
        <stp>603568</stp>
        <stp>12/31/2018</stp>
        <stp>2019-11-29</stp>
        <tr r="Q2253" s="1"/>
      </tp>
      <tp>
        <v>1.1260053619302948</v>
        <stp/>
        <stp>EM_S_VAL_DIVIDENDYIELD2</stp>
        <stp>3</stp>
        <stp>603578</stp>
        <stp>12/31/2018</stp>
        <stp>2019-11-29</stp>
        <tr r="Q1869" s="1"/>
      </tp>
      <tp>
        <v>0.74179965391270897</v>
        <stp/>
        <stp>EM_S_VAL_DIVIDENDYIELD2</stp>
        <stp>3</stp>
        <stp>603508</stp>
        <stp>12/31/2018</stp>
        <stp>2019-11-29</stp>
        <tr r="Q586" s="1"/>
      </tp>
      <tp>
        <v>2.4679278123493464</v>
        <stp/>
        <stp>EM_S_VAL_DIVIDENDYIELD2</stp>
        <stp>3</stp>
        <stp>603518</stp>
        <stp>12/31/2018</stp>
        <stp>2019-11-29</stp>
        <tr r="Q3366" s="1"/>
      </tp>
      <tp>
        <v>1.03125</v>
        <stp/>
        <stp>EM_S_VAL_DIVIDENDYIELD2</stp>
        <stp>3</stp>
        <stp>603528</stp>
        <stp>12/31/2018</stp>
        <stp>2019-11-29</stp>
        <tr r="Q1609" s="1"/>
      </tp>
      <tp>
        <v>0.78410850425474177</v>
        <stp/>
        <stp>EM_S_VAL_DIVIDENDYIELD2</stp>
        <stp>3</stp>
        <stp>603538</stp>
        <stp>12/31/2018</stp>
        <stp>2019-11-29</stp>
        <tr r="Q1150" s="1"/>
      </tp>
      <tp>
        <v>0.54914202798895784</v>
        <stp/>
        <stp>EM_S_VAL_DIVIDENDYIELD2</stp>
        <stp>3</stp>
        <stp>603588</stp>
        <stp>12/31/2018</stp>
        <stp>2019-11-29</stp>
        <tr r="Q1304" s="1"/>
      </tp>
      <tp>
        <v>0</v>
        <stp/>
        <stp>EM_S_VAL_DIVIDENDYIELD2</stp>
        <stp>3</stp>
        <stp>603598</stp>
        <stp>12/31/2018</stp>
        <stp>2019-11-29</stp>
        <tr r="Q273" s="1"/>
      </tp>
      <tp>
        <v>1.9098548510313216</v>
        <stp/>
        <stp>EM_S_VAL_DIVIDENDYIELD2</stp>
        <stp>3</stp>
        <stp>603848</stp>
        <stp>12/31/2018</stp>
        <stp>2019-11-29</stp>
        <tr r="Q2703" s="1"/>
      </tp>
      <tp>
        <v>6.083171712058431</v>
        <stp/>
        <stp>EM_S_VAL_DIVIDENDYIELD2</stp>
        <stp>3</stp>
        <stp>603858</stp>
        <stp>12/31/2018</stp>
        <stp>2019-11-29</stp>
        <tr r="Q3059" s="1"/>
      </tp>
      <tp>
        <v>4.1322314049586781</v>
        <stp/>
        <stp>EM_S_VAL_DIVIDENDYIELD2</stp>
        <stp>3</stp>
        <stp>603868</stp>
        <stp>12/31/2018</stp>
        <stp>2019-11-29</stp>
        <tr r="Q2443" s="1"/>
      </tp>
      <tp>
        <v>4.2223786066150595</v>
        <stp/>
        <stp>EM_S_VAL_DIVIDENDYIELD2</stp>
        <stp>3</stp>
        <stp>603878</stp>
        <stp>12/31/2018</stp>
        <stp>2019-11-29</stp>
        <tr r="Q2363" s="1"/>
      </tp>
      <tp>
        <v>4.150197628458498</v>
        <stp/>
        <stp>EM_S_VAL_DIVIDENDYIELD2</stp>
        <stp>3</stp>
        <stp>603808</stp>
        <stp>12/31/2018</stp>
        <stp>2019-11-29</stp>
        <tr r="Q2714" s="1"/>
      </tp>
      <tp>
        <v>0</v>
        <stp/>
        <stp>EM_S_VAL_DIVIDENDYIELD2</stp>
        <stp>3</stp>
        <stp>603818</stp>
        <stp>12/31/2018</stp>
        <stp>2019-11-29</stp>
        <tr r="Q1096" s="1"/>
      </tp>
      <tp>
        <v>0.3167420817341759</v>
        <stp/>
        <stp>EM_S_VAL_DIVIDENDYIELD2</stp>
        <stp>3</stp>
        <stp>603828</stp>
        <stp>12/31/2018</stp>
        <stp>2019-11-29</stp>
        <tr r="Q3237" s="1"/>
      </tp>
      <tp>
        <v>0.63051702395964693</v>
        <stp/>
        <stp>EM_S_VAL_DIVIDENDYIELD2</stp>
        <stp>3</stp>
        <stp>603838</stp>
        <stp>12/31/2018</stp>
        <stp>2019-11-29</stp>
        <tr r="Q2880" s="1"/>
      </tp>
      <tp>
        <v>1.222879684418146</v>
        <stp/>
        <stp>EM_S_VAL_DIVIDENDYIELD2</stp>
        <stp>3</stp>
        <stp>603888</stp>
        <stp>12/31/2018</stp>
        <stp>2019-11-29</stp>
        <tr r="Q402" s="1"/>
      </tp>
      <tp>
        <v>2.5710325710325712</v>
        <stp/>
        <stp>EM_S_VAL_DIVIDENDYIELD2</stp>
        <stp>3</stp>
        <stp>603898</stp>
        <stp>12/31/2018</stp>
        <stp>2019-11-29</stp>
        <tr r="Q2001" s="1"/>
      </tp>
      <tp>
        <v>0</v>
        <stp/>
        <stp>EM_S_VAL_DIVIDENDYIELD2</stp>
        <stp>3</stp>
        <stp>603958</stp>
        <stp>12/31/2018</stp>
        <stp>2019-11-29</stp>
        <tr r="Q2677" s="1"/>
      </tp>
      <tp>
        <v>3.6023054755043229</v>
        <stp/>
        <stp>EM_S_VAL_DIVIDENDYIELD2</stp>
        <stp>3</stp>
        <stp>603968</stp>
        <stp>12/31/2018</stp>
        <stp>2019-11-29</stp>
        <tr r="Q1405" s="1"/>
      </tp>
      <tp>
        <v>0</v>
        <stp/>
        <stp>EM_S_VAL_DIVIDENDYIELD2</stp>
        <stp>3</stp>
        <stp>603978</stp>
        <stp>12/31/2018</stp>
        <stp>2019-11-29</stp>
        <tr r="Q780" s="1"/>
      </tp>
      <tp>
        <v>3.1315240083507305</v>
        <stp/>
        <stp>EM_S_VAL_DIVIDENDYIELD2</stp>
        <stp>3</stp>
        <stp>603908</stp>
        <stp>12/31/2018</stp>
        <stp>2019-11-29</stp>
        <tr r="Q2189" s="1"/>
      </tp>
      <tp>
        <v>0.62257885998893192</v>
        <stp/>
        <stp>EM_S_VAL_DIVIDENDYIELD2</stp>
        <stp>3</stp>
        <stp>603918</stp>
        <stp>12/31/2018</stp>
        <stp>2019-11-29</stp>
        <tr r="Q2585" s="1"/>
      </tp>
      <tp>
        <v>1.943462897526502</v>
        <stp/>
        <stp>EM_S_VAL_DIVIDENDYIELD2</stp>
        <stp>3</stp>
        <stp>603928</stp>
        <stp>12/31/2018</stp>
        <stp>2019-11-29</stp>
        <tr r="Q2878" s="1"/>
      </tp>
      <tp>
        <v>0.98826436071649171</v>
        <stp/>
        <stp>EM_S_VAL_DIVIDENDYIELD2</stp>
        <stp>3</stp>
        <stp>603938</stp>
        <stp>12/31/2018</stp>
        <stp>2019-11-29</stp>
        <tr r="Q1870" s="1"/>
      </tp>
      <tp>
        <v>3.9205702647657841</v>
        <stp/>
        <stp>EM_S_VAL_DIVIDENDYIELD2</stp>
        <stp>3</stp>
        <stp>603988</stp>
        <stp>12/31/2018</stp>
        <stp>2019-11-29</stp>
        <tr r="Q2544" s="1"/>
      </tp>
      <tp>
        <v>0.39470697207527733</v>
        <stp/>
        <stp>EM_S_VAL_DIVIDENDYIELD2</stp>
        <stp>3</stp>
        <stp>603998</stp>
        <stp>12/31/2018</stp>
        <stp>2019-11-29</stp>
        <tr r="Q287" s="1"/>
      </tp>
      <tp>
        <v>1.0699001426533523</v>
        <stp/>
        <stp>EM_S_VAL_DIVIDENDYIELD2</stp>
        <stp>3</stp>
        <stp>300218</stp>
        <stp>12/31/2018</stp>
        <stp>2019-11-29</stp>
        <tr r="Q970" s="1"/>
      </tp>
      <tp>
        <v>2.4096385542168677</v>
        <stp/>
        <stp>EM_S_VAL_DIVIDENDYIELD2</stp>
        <stp>3</stp>
        <stp>600248</stp>
        <stp>12/31/2018</stp>
        <stp>2019-11-29</stp>
        <tr r="Q1689" s="1"/>
      </tp>
      <tp>
        <v>0.49027919543680576</v>
        <stp/>
        <stp>EM_S_VAL_DIVIDENDYIELD2</stp>
        <stp>3</stp>
        <stp>300208</stp>
        <stp>12/31/2018</stp>
        <stp>2019-11-29</stp>
        <tr r="Q1037" s="1"/>
      </tp>
      <tp>
        <v>0.6186726659167604</v>
        <stp/>
        <stp>EM_S_VAL_DIVIDENDYIELD2</stp>
        <stp>3</stp>
        <stp>600258</stp>
        <stp>12/31/2018</stp>
        <stp>2019-11-29</stp>
        <tr r="Q833" s="1"/>
      </tp>
      <tp>
        <v>0</v>
        <stp/>
        <stp>EM_S_VAL_DIVIDENDYIELD2</stp>
        <stp>3</stp>
        <stp>300238</stp>
        <stp>12/31/2018</stp>
        <stp>2019-11-29</stp>
        <tr r="Q179" s="1"/>
      </tp>
      <tp>
        <v>0.79840319361277434</v>
        <stp/>
        <stp>EM_S_VAL_DIVIDENDYIELD2</stp>
        <stp>3</stp>
        <stp>600268</stp>
        <stp>12/31/2018</stp>
        <stp>2019-11-29</stp>
        <tr r="Q1195" s="1"/>
      </tp>
      <tp>
        <v>0.10266940451745381</v>
        <stp/>
        <stp>EM_S_VAL_DIVIDENDYIELD2</stp>
        <stp>3</stp>
        <stp>300228</stp>
        <stp>12/31/2018</stp>
        <stp>2019-11-29</stp>
        <tr r="Q1991" s="1"/>
      </tp>
      <tp>
        <v>0.84825636192271436</v>
        <stp/>
        <stp>EM_S_VAL_DIVIDENDYIELD2</stp>
        <stp>3</stp>
        <stp>600278</stp>
        <stp>12/31/2018</stp>
        <stp>2019-11-29</stp>
        <tr r="Q923" s="1"/>
      </tp>
      <tp>
        <v>1.5511892450879008</v>
        <stp/>
        <stp>EM_S_VAL_DIVIDENDYIELD2</stp>
        <stp>3</stp>
        <stp>300258</stp>
        <stp>12/31/2018</stp>
        <stp>2019-11-29</stp>
        <tr r="Q2705" s="1"/>
      </tp>
      <tp>
        <v>1.5860215053763442</v>
        <stp/>
        <stp>EM_S_VAL_DIVIDENDYIELD2</stp>
        <stp>3</stp>
        <stp>600208</stp>
        <stp>12/31/2018</stp>
        <stp>2019-11-29</stp>
        <tr r="Q957" s="1"/>
      </tp>
      <tp>
        <v>0.5434782608695653</v>
        <stp/>
        <stp>EM_S_VAL_DIVIDENDYIELD2</stp>
        <stp>3</stp>
        <stp>300248</stp>
        <stp>12/31/2018</stp>
        <stp>2019-11-29</stp>
        <tr r="Q1276" s="1"/>
      </tp>
      <tp>
        <v>0</v>
        <stp/>
        <stp>EM_S_VAL_DIVIDENDYIELD2</stp>
        <stp>3</stp>
        <stp>600218</stp>
        <stp>12/31/2018</stp>
        <stp>2019-11-29</stp>
        <tr r="Q83" s="1"/>
      </tp>
      <tp>
        <v>0</v>
        <stp/>
        <stp>EM_S_VAL_DIVIDENDYIELD2</stp>
        <stp>3</stp>
        <stp>300278</stp>
        <stp>12/31/2018</stp>
        <stp>2019-11-29</stp>
        <tr r="Q3145" s="1"/>
      </tp>
      <tp>
        <v>0</v>
        <stp/>
        <stp>EM_S_VAL_DIVIDENDYIELD2</stp>
        <stp>3</stp>
        <stp>600228</stp>
        <stp>12/31/2018</stp>
        <stp>2019-11-29</stp>
        <tr r="Q3169" s="1"/>
      </tp>
      <tp>
        <v>0</v>
        <stp/>
        <stp>EM_S_VAL_DIVIDENDYIELD2</stp>
        <stp>3</stp>
        <stp>300268</stp>
        <stp>12/31/2018</stp>
        <stp>2019-11-29</stp>
        <tr r="Q1057" s="1"/>
      </tp>
      <tp>
        <v>0</v>
        <stp/>
        <stp>EM_S_VAL_DIVIDENDYIELD2</stp>
        <stp>3</stp>
        <stp>600238</stp>
        <stp>12/31/2018</stp>
        <stp>2019-11-29</stp>
        <tr r="Q1030" s="1"/>
      </tp>
      <tp>
        <v>2.1754894851341549</v>
        <stp/>
        <stp>EM_S_VAL_DIVIDENDYIELD2</stp>
        <stp>3</stp>
        <stp>300298</stp>
        <stp>12/31/2018</stp>
        <stp>2019-11-29</stp>
        <tr r="Q742" s="1"/>
      </tp>
      <tp>
        <v>0.43140638481449534</v>
        <stp/>
        <stp>EM_S_VAL_DIVIDENDYIELD2</stp>
        <stp>3</stp>
        <stp>300288</stp>
        <stp>12/31/2018</stp>
        <stp>2019-11-29</stp>
        <tr r="Q2609" s="1"/>
      </tp>
      <tp>
        <v>0.10752688172043011</v>
        <stp/>
        <stp>EM_S_VAL_DIVIDENDYIELD2</stp>
        <stp>3</stp>
        <stp>600288</stp>
        <stp>12/31/2018</stp>
        <stp>2019-11-29</stp>
        <tr r="Q324" s="1"/>
      </tp>
      <tp>
        <v>1.1562603237528903</v>
        <stp/>
        <stp>EM_S_VAL_DIVIDENDYIELD2</stp>
        <stp>3</stp>
        <stp>600298</stp>
        <stp>12/31/2018</stp>
        <stp>2019-11-29</stp>
        <tr r="Q1273" s="1"/>
      </tp>
      <tp>
        <v>0</v>
        <stp/>
        <stp>EM_S_VAL_DIVIDENDYIELD2</stp>
        <stp>3</stp>
        <stp>300318</stp>
        <stp>12/31/2018</stp>
        <stp>2019-11-29</stp>
        <tr r="Q2155" s="1"/>
      </tp>
      <tp>
        <v>5.3846153846153832</v>
        <stp/>
        <stp>EM_S_VAL_DIVIDENDYIELD2</stp>
        <stp>3</stp>
        <stp>600348</stp>
        <stp>12/31/2018</stp>
        <stp>2019-11-29</stp>
        <tr r="Q1741" s="1"/>
      </tp>
      <tp>
        <v>2.1452732510528527</v>
        <stp/>
        <stp>EM_S_VAL_DIVIDENDYIELD2</stp>
        <stp>3</stp>
        <stp>000338</stp>
        <stp>12/31/2018</stp>
        <stp>2019-11-29</stp>
        <tr r="Q162" s="1"/>
      </tp>
      <tp>
        <v>0.19967532484317374</v>
        <stp/>
        <stp>EM_S_VAL_DIVIDENDYIELD2</stp>
        <stp>3</stp>
        <stp>300308</stp>
        <stp>12/31/2018</stp>
        <stp>2019-11-29</stp>
        <tr r="Q975" s="1"/>
      </tp>
      <tp>
        <v>0</v>
        <stp/>
        <stp>EM_S_VAL_DIVIDENDYIELD2</stp>
        <stp>3</stp>
        <stp>600358</stp>
        <stp>12/31/2018</stp>
        <stp>2019-11-29</stp>
        <tr r="Q1391" s="1"/>
      </tp>
      <tp>
        <v>0.13024630642627599</v>
        <stp/>
        <stp>EM_S_VAL_DIVIDENDYIELD2</stp>
        <stp>3</stp>
        <stp>300338</stp>
        <stp>12/31/2018</stp>
        <stp>2019-11-29</stp>
        <tr r="Q520" s="1"/>
      </tp>
      <tp>
        <v>2.6573426573426571</v>
        <stp/>
        <stp>EM_S_VAL_DIVIDENDYIELD2</stp>
        <stp>3</stp>
        <stp>600368</stp>
        <stp>12/31/2018</stp>
        <stp>2019-11-29</stp>
        <tr r="Q637" s="1"/>
      </tp>
      <tp>
        <v>0.41220115416323161</v>
        <stp/>
        <stp>EM_S_VAL_DIVIDENDYIELD2</stp>
        <stp>3</stp>
        <stp>300328</stp>
        <stp>12/31/2018</stp>
        <stp>2019-11-29</stp>
        <tr r="Q97" s="1"/>
      </tp>
      <tp>
        <v>0.38522351646664094</v>
        <stp/>
        <stp>EM_S_VAL_DIVIDENDYIELD2</stp>
        <stp>3</stp>
        <stp>600378</stp>
        <stp>12/31/2018</stp>
        <stp>2019-11-29</stp>
        <tr r="Q132" s="1"/>
      </tp>
      <tp>
        <v>0.35350570223756361</v>
        <stp/>
        <stp>EM_S_VAL_DIVIDENDYIELD2</stp>
        <stp>3</stp>
        <stp>300358</stp>
        <stp>12/31/2018</stp>
        <stp>2019-11-29</stp>
        <tr r="Q2761" s="1"/>
      </tp>
      <tp>
        <v>4.4152744630071599</v>
        <stp/>
        <stp>EM_S_VAL_DIVIDENDYIELD2</stp>
        <stp>3</stp>
        <stp>600308</stp>
        <stp>12/31/2018</stp>
        <stp>2019-11-29</stp>
        <tr r="Q1999" s="1"/>
      </tp>
      <tp>
        <v>0.58360937647543976</v>
        <stp/>
        <stp>EM_S_VAL_DIVIDENDYIELD2</stp>
        <stp>3</stp>
        <stp>300348</stp>
        <stp>12/31/2018</stp>
        <stp>2019-11-29</stp>
        <tr r="Q1093" s="1"/>
      </tp>
      <tp>
        <v>0</v>
        <stp/>
        <stp>EM_S_VAL_DIVIDENDYIELD2</stp>
        <stp>3</stp>
        <stp>600318</stp>
        <stp>12/31/2018</stp>
        <stp>2019-11-29</stp>
        <tr r="Q2381" s="1"/>
      </tp>
      <tp>
        <v>0.73463870957117461</v>
        <stp/>
        <stp>EM_S_VAL_DIVIDENDYIELD2</stp>
        <stp>3</stp>
        <stp>300378</stp>
        <stp>12/31/2018</stp>
        <stp>2019-11-29</stp>
        <tr r="Q552" s="1"/>
      </tp>
      <tp>
        <v>2.3680823680823679</v>
        <stp/>
        <stp>EM_S_VAL_DIVIDENDYIELD2</stp>
        <stp>3</stp>
        <stp>600328</stp>
        <stp>12/31/2018</stp>
        <stp>2019-11-29</stp>
        <tr r="Q1295" s="1"/>
      </tp>
      <tp>
        <v>0</v>
        <stp/>
        <stp>EM_S_VAL_DIVIDENDYIELD2</stp>
        <stp>3</stp>
        <stp>300368</stp>
        <stp>12/31/2018</stp>
        <stp>2019-11-29</stp>
        <tr r="Q686" s="1"/>
      </tp>
      <tp>
        <v>0.27874564466028379</v>
        <stp/>
        <stp>EM_S_VAL_DIVIDENDYIELD2</stp>
        <stp>3</stp>
        <stp>600338</stp>
        <stp>12/31/2018</stp>
        <stp>2019-11-29</stp>
        <tr r="Q2747" s="1"/>
      </tp>
      <tp>
        <v>0.63268862279446858</v>
        <stp/>
        <stp>EM_S_VAL_DIVIDENDYIELD2</stp>
        <stp>3</stp>
        <stp>300398</stp>
        <stp>12/31/2018</stp>
        <stp>2019-11-29</stp>
        <tr r="Q2573" s="1"/>
      </tp>
      <tp>
        <v>0.97791443502028441</v>
        <stp/>
        <stp>EM_S_VAL_DIVIDENDYIELD2</stp>
        <stp>3</stp>
        <stp>300388</stp>
        <stp>12/31/2018</stp>
        <stp>2019-11-29</stp>
        <tr r="Q1290" s="1"/>
      </tp>
      <tp>
        <v>1.7418032786885245</v>
        <stp/>
        <stp>EM_S_VAL_DIVIDENDYIELD2</stp>
        <stp>3</stp>
        <stp>600388</stp>
        <stp>12/31/2018</stp>
        <stp>2019-11-29</stp>
        <tr r="Q2538" s="1"/>
      </tp>
      <tp>
        <v>5.0293952073469903</v>
        <stp/>
        <stp>EM_S_VAL_DIVIDENDYIELD2</stp>
        <stp>3</stp>
        <stp>600398</stp>
        <stp>12/31/2018</stp>
        <stp>2019-11-29</stp>
        <tr r="Q2779" s="1"/>
      </tp>
      <tp>
        <v>0.91721805629338216</v>
        <stp/>
        <stp>EM_S_VAL_DIVIDENDYIELD2</stp>
        <stp>3</stp>
        <stp>000028</stp>
        <stp>12/31/2018</stp>
        <stp>2019-11-29</stp>
        <tr r="Q1704" s="1"/>
      </tp>
      <tp>
        <v>0</v>
        <stp/>
        <stp>EM_S_VAL_DIVIDENDYIELD2</stp>
        <stp>3</stp>
        <stp>300018</stp>
        <stp>12/31/2018</stp>
        <stp>2019-11-29</stp>
        <tr r="Q1441" s="1"/>
      </tp>
      <tp>
        <v>3.4545285718019167</v>
        <stp/>
        <stp>EM_S_VAL_DIVIDENDYIELD2</stp>
        <stp>3</stp>
        <stp>600048</stp>
        <stp>12/31/2018</stp>
        <stp>2019-11-29</stp>
        <tr r="Q771" s="1"/>
      </tp>
      <tp>
        <v>0</v>
        <stp/>
        <stp>EM_S_VAL_DIVIDENDYIELD2</stp>
        <stp>3</stp>
        <stp>000038</stp>
        <stp>12/31/2018</stp>
        <stp>2019-11-29</stp>
        <tr r="Q2663" s="1"/>
      </tp>
      <tp>
        <v>0</v>
        <stp/>
        <stp>EM_S_VAL_DIVIDENDYIELD2</stp>
        <stp>3</stp>
        <stp>300008</stp>
        <stp>12/31/2018</stp>
        <stp>2019-11-29</stp>
        <tr r="Q1648" s="1"/>
      </tp>
      <tp>
        <v>0</v>
        <stp/>
        <stp>EM_S_VAL_DIVIDENDYIELD2</stp>
        <stp>3</stp>
        <stp>600058</stp>
        <stp>12/31/2018</stp>
        <stp>2019-11-29</stp>
        <tr r="Q1269" s="1"/>
      </tp>
      <tp>
        <v>0.28490028490028491</v>
        <stp/>
        <stp>EM_S_VAL_DIVIDENDYIELD2</stp>
        <stp>3</stp>
        <stp>000008</stp>
        <stp>12/31/2018</stp>
        <stp>2019-11-29</stp>
        <tr r="Q2627" s="1"/>
      </tp>
      <tp>
        <v>0.84439083232810597</v>
        <stp/>
        <stp>EM_S_VAL_DIVIDENDYIELD2</stp>
        <stp>3</stp>
        <stp>300038</stp>
        <stp>12/31/2018</stp>
        <stp>2019-11-29</stp>
        <tr r="Q2648" s="1"/>
      </tp>
      <tp>
        <v>2.9268292682926829</v>
        <stp/>
        <stp>EM_S_VAL_DIVIDENDYIELD2</stp>
        <stp>3</stp>
        <stp>600068</stp>
        <stp>12/31/2018</stp>
        <stp>2019-11-29</stp>
        <tr r="Q2190" s="1"/>
      </tp>
      <tp>
        <v>0</v>
        <stp/>
        <stp>EM_S_VAL_DIVIDENDYIELD2</stp>
        <stp>3</stp>
        <stp>000018</stp>
        <stp>12/31/2018</stp>
        <stp>2019-11-29</stp>
        <tr r="Q3409" s="1"/>
      </tp>
      <tp>
        <v>0</v>
        <stp/>
        <stp>EM_S_VAL_DIVIDENDYIELD2</stp>
        <stp>3</stp>
        <stp>300028</stp>
        <stp>12/31/2018</stp>
        <stp>2019-11-29</stp>
        <tr r="Q2280" s="1"/>
      </tp>
      <tp>
        <v>0.21008403361344538</v>
        <stp/>
        <stp>EM_S_VAL_DIVIDENDYIELD2</stp>
        <stp>3</stp>
        <stp>600078</stp>
        <stp>12/31/2018</stp>
        <stp>2019-11-29</stp>
        <tr r="Q391" s="1"/>
      </tp>
      <tp>
        <v>0</v>
        <stp/>
        <stp>EM_S_VAL_DIVIDENDYIELD2</stp>
        <stp>3</stp>
        <stp>000068</stp>
        <stp>12/31/2018</stp>
        <stp>2019-11-29</stp>
        <tr r="Q2414" s="1"/>
      </tp>
      <tp>
        <v>0.61523185573505268</v>
        <stp/>
        <stp>EM_S_VAL_DIVIDENDYIELD2</stp>
        <stp>3</stp>
        <stp>300058</stp>
        <stp>12/31/2018</stp>
        <stp>2019-11-29</stp>
        <tr r="Q873" s="1"/>
      </tp>
      <tp>
        <v>2.4390243902439024</v>
        <stp/>
        <stp>EM_S_VAL_DIVIDENDYIELD2</stp>
        <stp>3</stp>
        <stp>600008</stp>
        <stp>12/31/2018</stp>
        <stp>2019-11-29</stp>
        <tr r="Q2550" s="1"/>
      </tp>
      <tp>
        <v>0.61728395061728392</v>
        <stp/>
        <stp>EM_S_VAL_DIVIDENDYIELD2</stp>
        <stp>3</stp>
        <stp>000078</stp>
        <stp>12/31/2018</stp>
        <stp>2019-11-29</stp>
        <tr r="Q1064" s="1"/>
      </tp>
      <tp>
        <v>0</v>
        <stp/>
        <stp>EM_S_VAL_DIVIDENDYIELD2</stp>
        <stp>3</stp>
        <stp>300048</stp>
        <stp>12/31/2018</stp>
        <stp>2019-11-29</stp>
        <tr r="Q2355" s="1"/>
      </tp>
      <tp>
        <v>2.7648114901256728</v>
        <stp/>
        <stp>EM_S_VAL_DIVIDENDYIELD2</stp>
        <stp>3</stp>
        <stp>600018</stp>
        <stp>12/31/2018</stp>
        <stp>2019-11-29</stp>
        <tr r="Q1725" s="1"/>
      </tp>
      <tp>
        <v>0</v>
        <stp/>
        <stp>EM_S_VAL_DIVIDENDYIELD2</stp>
        <stp>3</stp>
        <stp>000048</stp>
        <stp>12/31/2018</stp>
        <stp>2019-11-29</stp>
        <tr r="Q1177" s="1"/>
      </tp>
      <tp>
        <v>0.13325579246243055</v>
        <stp/>
        <stp>EM_S_VAL_DIVIDENDYIELD2</stp>
        <stp>3</stp>
        <stp>300078</stp>
        <stp>12/31/2018</stp>
        <stp>2019-11-29</stp>
        <tr r="Q1234" s="1"/>
      </tp>
      <tp>
        <v>5.2104208416833675</v>
        <stp/>
        <stp>EM_S_VAL_DIVIDENDYIELD2</stp>
        <stp>3</stp>
        <stp>600028</stp>
        <stp>12/31/2018</stp>
        <stp>2019-11-29</stp>
        <tr r="Q2245" s="1"/>
      </tp>
      <tp>
        <v>0.47297297297297292</v>
        <stp/>
        <stp>EM_S_VAL_DIVIDENDYIELD2</stp>
        <stp>3</stp>
        <stp>000058</stp>
        <stp>12/31/2018</stp>
        <stp>2019-11-29</stp>
        <tr r="Q1127" s="1"/>
      </tp>
      <tp>
        <v>0</v>
        <stp/>
        <stp>EM_S_VAL_DIVIDENDYIELD2</stp>
        <stp>3</stp>
        <stp>300068</stp>
        <stp>12/31/2018</stp>
        <stp>2019-11-29</stp>
        <tr r="Q3130" s="1"/>
      </tp>
      <tp>
        <v>0.5714285714285714</v>
        <stp/>
        <stp>EM_S_VAL_DIVIDENDYIELD2</stp>
        <stp>3</stp>
        <stp>600038</stp>
        <stp>12/31/2018</stp>
        <stp>2019-11-29</stp>
        <tr r="Q1039" s="1"/>
      </tp>
      <tp>
        <v>0.36764705882352938</v>
        <stp/>
        <stp>EM_S_VAL_DIVIDENDYIELD2</stp>
        <stp>3</stp>
        <stp>300098</stp>
        <stp>12/31/2018</stp>
        <stp>2019-11-29</stp>
        <tr r="Q2821" s="1"/>
      </tp>
      <tp>
        <v>1.6280064407209809</v>
        <stp/>
        <stp>EM_S_VAL_DIVIDENDYIELD2</stp>
        <stp>3</stp>
        <stp>300088</stp>
        <stp>12/31/2018</stp>
        <stp>2019-11-29</stp>
        <tr r="Q96" s="1"/>
      </tp>
      <tp>
        <v>0.5027932960893855</v>
        <stp/>
        <stp>EM_S_VAL_DIVIDENDYIELD2</stp>
        <stp>3</stp>
        <stp>000088</stp>
        <stp>12/31/2018</stp>
        <stp>2019-11-29</stp>
        <tr r="Q1566" s="1"/>
      </tp>
      <tp>
        <v>0.69433359936153227</v>
        <stp/>
        <stp>EM_S_VAL_DIVIDENDYIELD2</stp>
        <stp>3</stp>
        <stp>600088</stp>
        <stp>12/31/2018</stp>
        <stp>2019-11-29</stp>
        <tr r="Q412" s="1"/>
      </tp>
      <tp>
        <v>1.5432098765432101</v>
        <stp/>
        <stp>EM_S_VAL_DIVIDENDYIELD2</stp>
        <stp>3</stp>
        <stp>600098</stp>
        <stp>12/31/2018</stp>
        <stp>2019-11-29</stp>
        <tr r="Q1455" s="1"/>
      </tp>
      <tp>
        <v>0.51545836909871245</v>
        <stp/>
        <stp>EM_S_VAL_DIVIDENDYIELD2</stp>
        <stp>3</stp>
        <stp>300118</stp>
        <stp>12/31/2018</stp>
        <stp>2019-11-29</stp>
        <tr r="Q91" s="1"/>
      </tp>
      <tp>
        <v>0</v>
        <stp/>
        <stp>EM_S_VAL_DIVIDENDYIELD2</stp>
        <stp>3</stp>
        <stp>600148</stp>
        <stp>12/31/2018</stp>
        <stp>2019-11-29</stp>
        <tr r="Q2591" s="1"/>
      </tp>
      <tp>
        <v>0</v>
        <stp/>
        <stp>EM_S_VAL_DIVIDENDYIELD2</stp>
        <stp>3</stp>
        <stp>300108</stp>
        <stp>12/31/2018</stp>
        <stp>2019-11-29</stp>
        <tr r="Q3150" s="1"/>
      </tp>
      <tp>
        <v>0.32432432432432429</v>
        <stp/>
        <stp>EM_S_VAL_DIVIDENDYIELD2</stp>
        <stp>3</stp>
        <stp>600158</stp>
        <stp>12/31/2018</stp>
        <stp>2019-11-29</stp>
        <tr r="Q1644" s="1"/>
      </tp>
      <tp>
        <v>1.2091488823092771</v>
        <stp/>
        <stp>EM_S_VAL_DIVIDENDYIELD2</stp>
        <stp>3</stp>
        <stp>300138</stp>
        <stp>12/31/2018</stp>
        <stp>2019-11-29</stp>
        <tr r="Q941" s="1"/>
      </tp>
      <tp>
        <v>1.8858954041204432</v>
        <stp/>
        <stp>EM_S_VAL_DIVIDENDYIELD2</stp>
        <stp>3</stp>
        <stp>600168</stp>
        <stp>12/31/2018</stp>
        <stp>2019-11-29</stp>
        <tr r="Q1443" s="1"/>
      </tp>
      <tp>
        <v>0</v>
        <stp/>
        <stp>EM_S_VAL_DIVIDENDYIELD2</stp>
        <stp>3</stp>
        <stp>300128</stp>
        <stp>12/31/2018</stp>
        <stp>2019-11-29</stp>
        <tr r="Q1612" s="1"/>
      </tp>
      <tp>
        <v>0</v>
        <stp/>
        <stp>EM_S_VAL_DIVIDENDYIELD2</stp>
        <stp>3</stp>
        <stp>600178</stp>
        <stp>12/31/2018</stp>
        <stp>2019-11-29</stp>
        <tr r="Q1550" s="1"/>
      </tp>
      <tp>
        <v>0</v>
        <stp/>
        <stp>EM_S_VAL_DIVIDENDYIELD2</stp>
        <stp>3</stp>
        <stp>300158</stp>
        <stp>12/31/2018</stp>
        <stp>2019-11-29</stp>
        <tr r="Q1236" s="1"/>
      </tp>
      <tp>
        <v>0.16245487364620936</v>
        <stp/>
        <stp>EM_S_VAL_DIVIDENDYIELD2</stp>
        <stp>3</stp>
        <stp>600108</stp>
        <stp>12/31/2018</stp>
        <stp>2019-11-29</stp>
        <tr r="Q1790" s="1"/>
      </tp>
      <tp>
        <v>0</v>
        <stp/>
        <stp>EM_S_VAL_DIVIDENDYIELD2</stp>
        <stp>3</stp>
        <stp>300148</stp>
        <stp>12/31/2018</stp>
        <stp>2019-11-29</stp>
        <tr r="Q2790" s="1"/>
      </tp>
      <tp>
        <v>0.54294175715695969</v>
        <stp/>
        <stp>EM_S_VAL_DIVIDENDYIELD2</stp>
        <stp>3</stp>
        <stp>600118</stp>
        <stp>12/31/2018</stp>
        <stp>2019-11-29</stp>
        <tr r="Q1129" s="1"/>
      </tp>
      <tp>
        <v>0.57259713701431503</v>
        <stp/>
        <stp>EM_S_VAL_DIVIDENDYIELD2</stp>
        <stp>3</stp>
        <stp>300178</stp>
        <stp>12/31/2018</stp>
        <stp>2019-11-29</stp>
        <tr r="Q3346" s="1"/>
      </tp>
      <tp>
        <v>0</v>
        <stp/>
        <stp>EM_S_VAL_DIVIDENDYIELD2</stp>
        <stp>3</stp>
        <stp>600128</stp>
        <stp>12/31/2018</stp>
        <stp>2019-11-29</stp>
        <tr r="Q2583" s="1"/>
      </tp>
      <tp>
        <v>0</v>
        <stp/>
        <stp>EM_S_VAL_DIVIDENDYIELD2</stp>
        <stp>3</stp>
        <stp>000158</stp>
        <stp>12/31/2018</stp>
        <stp>2019-11-29</stp>
        <tr r="Q3412" s="1"/>
      </tp>
      <tp>
        <v>0.14926950710748163</v>
        <stp/>
        <stp>EM_S_VAL_DIVIDENDYIELD2</stp>
        <stp>3</stp>
        <stp>300168</stp>
        <stp>12/31/2018</stp>
        <stp>2019-11-29</stp>
        <tr r="Q960" s="1"/>
      </tp>
      <tp>
        <v>1.1965811965811963</v>
        <stp/>
        <stp>EM_S_VAL_DIVIDENDYIELD2</stp>
        <stp>3</stp>
        <stp>600138</stp>
        <stp>12/31/2018</stp>
        <stp>2019-11-29</stp>
        <tr r="Q2400" s="1"/>
      </tp>
      <tp>
        <v>0</v>
        <stp/>
        <stp>EM_S_VAL_DIVIDENDYIELD2</stp>
        <stp>3</stp>
        <stp>300198</stp>
        <stp>12/31/2018</stp>
        <stp>2019-11-29</stp>
        <tr r="Q522" s="1"/>
      </tp>
      <tp>
        <v>0.52445928211060544</v>
        <stp/>
        <stp>EM_S_VAL_DIVIDENDYIELD2</stp>
        <stp>3</stp>
        <stp>300188</stp>
        <stp>12/31/2018</stp>
        <stp>2019-11-29</stp>
        <tr r="Q906" s="1"/>
      </tp>
      <tp>
        <v>5.7507987220447285</v>
        <stp/>
        <stp>EM_S_VAL_DIVIDENDYIELD2</stp>
        <stp>3</stp>
        <stp>600188</stp>
        <stp>12/31/2018</stp>
        <stp>2019-11-29</stp>
        <tr r="Q1329" s="1"/>
      </tp>
      <tp>
        <v>0</v>
        <stp/>
        <stp>EM_S_VAL_DIVIDENDYIELD2</stp>
        <stp>3</stp>
        <stp>600198</stp>
        <stp>12/31/2018</stp>
        <stp>2019-11-29</stp>
        <tr r="Q416" s="1"/>
      </tp>
      <tp>
        <v>0</v>
        <stp/>
        <stp>EM_S_VAL_DIVIDENDYIELD2</stp>
        <stp>3</stp>
        <stp>000628</stp>
        <stp>12/31/2018</stp>
        <stp>2019-11-29</stp>
        <tr r="Q2503" s="1"/>
      </tp>
      <tp>
        <v>1.0911311743987231</v>
        <stp/>
        <stp>EM_S_VAL_DIVIDENDYIELD2</stp>
        <stp>3</stp>
        <stp>300618</stp>
        <stp>12/31/2018</stp>
        <stp>2019-11-29</stp>
        <tr r="Q1876" s="1"/>
      </tp>
      <tp>
        <v>1.3293051359516619</v>
        <stp/>
        <stp>EM_S_VAL_DIVIDENDYIELD2</stp>
        <stp>3</stp>
        <stp>600648</stp>
        <stp>12/31/2018</stp>
        <stp>2019-11-29</stp>
        <tr r="Q1052" s="1"/>
      </tp>
      <tp>
        <v>0</v>
        <stp/>
        <stp>EM_S_VAL_DIVIDENDYIELD2</stp>
        <stp>3</stp>
        <stp>000638</stp>
        <stp>12/31/2018</stp>
        <stp>2019-11-29</stp>
        <tr r="Q3492" s="1"/>
      </tp>
      <tp>
        <v>1.1449206023801817</v>
        <stp/>
        <stp>EM_S_VAL_DIVIDENDYIELD2</stp>
        <stp>3</stp>
        <stp>300608</stp>
        <stp>12/31/2018</stp>
        <stp>2019-11-29</stp>
        <tr r="Q2460" s="1"/>
      </tp>
      <tp>
        <v>3.2235294117647064</v>
        <stp/>
        <stp>EM_S_VAL_DIVIDENDYIELD2</stp>
        <stp>3</stp>
        <stp>600658</stp>
        <stp>12/31/2018</stp>
        <stp>2019-11-29</stp>
        <tr r="Q2829" s="1"/>
      </tp>
      <tp>
        <v>0</v>
        <stp/>
        <stp>EM_S_VAL_DIVIDENDYIELD2</stp>
        <stp>3</stp>
        <stp>000608</stp>
        <stp>12/31/2018</stp>
        <stp>2019-11-29</stp>
        <tr r="Q3481" s="1"/>
      </tp>
      <tp>
        <v>0.38424843840988482</v>
        <stp/>
        <stp>EM_S_VAL_DIVIDENDYIELD2</stp>
        <stp>3</stp>
        <stp>300638</stp>
        <stp>12/31/2018</stp>
        <stp>2019-11-29</stp>
        <tr r="Q110" s="1"/>
      </tp>
      <tp>
        <v>2.1707670043415339</v>
        <stp/>
        <stp>EM_S_VAL_DIVIDENDYIELD2</stp>
        <stp>3</stp>
        <stp>600668</stp>
        <stp>12/31/2018</stp>
        <stp>2019-11-29</stp>
        <tr r="Q921" s="1"/>
      </tp>
      <tp>
        <v>0</v>
        <stp/>
        <stp>EM_S_VAL_DIVIDENDYIELD2</stp>
        <stp>3</stp>
        <stp>000618</stp>
        <stp>12/31/2018</stp>
        <stp>2019-11-29</stp>
        <tr r="Q3485" s="1"/>
      </tp>
      <tp>
        <v>0.86735953859053172</v>
        <stp/>
        <stp>EM_S_VAL_DIVIDENDYIELD2</stp>
        <stp>3</stp>
        <stp>300628</stp>
        <stp>12/31/2018</stp>
        <stp>2019-11-29</stp>
        <tr r="Q2626" s="1"/>
      </tp>
      <tp>
        <v>0</v>
        <stp/>
        <stp>EM_S_VAL_DIVIDENDYIELD2</stp>
        <stp>3</stp>
        <stp>600678</stp>
        <stp>12/31/2018</stp>
        <stp>2019-11-29</stp>
        <tr r="Q1034" s="1"/>
      </tp>
      <tp>
        <v>0.27027027027027029</v>
        <stp/>
        <stp>EM_S_VAL_DIVIDENDYIELD2</stp>
        <stp>3</stp>
        <stp>000668</stp>
        <stp>12/31/2018</stp>
        <stp>2019-11-29</stp>
        <tr r="Q3500" s="1"/>
      </tp>
      <tp>
        <v>1.0380930553535439</v>
        <stp/>
        <stp>EM_S_VAL_DIVIDENDYIELD2</stp>
        <stp>3</stp>
        <stp>300658</stp>
        <stp>12/31/2018</stp>
        <stp>2019-11-29</stp>
        <tr r="Q886" s="1"/>
      </tp>
      <tp>
        <v>0</v>
        <stp/>
        <stp>EM_S_VAL_DIVIDENDYIELD2</stp>
        <stp>3</stp>
        <stp>600608</stp>
        <stp>12/31/2018</stp>
        <stp>2019-11-29</stp>
        <tr r="Q1802" s="1"/>
      </tp>
      <tp>
        <v>0</v>
        <stp/>
        <stp>EM_S_VAL_DIVIDENDYIELD2</stp>
        <stp>3</stp>
        <stp>000678</stp>
        <stp>12/31/2018</stp>
        <stp>2019-11-29</stp>
        <tr r="Q3505" s="1"/>
      </tp>
      <tp>
        <v>0.10204081632653061</v>
        <stp/>
        <stp>EM_S_VAL_DIVIDENDYIELD2</stp>
        <stp>3</stp>
        <stp>300648</stp>
        <stp>12/31/2018</stp>
        <stp>2019-11-29</stp>
        <tr r="Q2494" s="1"/>
      </tp>
      <tp>
        <v>1.7416545718432506</v>
        <stp/>
        <stp>EM_S_VAL_DIVIDENDYIELD2</stp>
        <stp>3</stp>
        <stp>600618</stp>
        <stp>12/31/2018</stp>
        <stp>2019-11-29</stp>
        <tr r="Q1601" s="1"/>
      </tp>
      <tp>
        <v>0.24606299212598426</v>
        <stp/>
        <stp>EM_S_VAL_DIVIDENDYIELD2</stp>
        <stp>3</stp>
        <stp>300678</stp>
        <stp>12/31/2018</stp>
        <stp>2019-11-29</stp>
        <tr r="Q1418" s="1"/>
      </tp>
      <tp>
        <v>1.3471502590673574</v>
        <stp/>
        <stp>EM_S_VAL_DIVIDENDYIELD2</stp>
        <stp>3</stp>
        <stp>600628</stp>
        <stp>12/31/2018</stp>
        <stp>2019-11-29</stp>
        <tr r="Q603" s="1"/>
      </tp>
      <tp>
        <v>0</v>
        <stp/>
        <stp>EM_S_VAL_DIVIDENDYIELD2</stp>
        <stp>3</stp>
        <stp>000658</stp>
        <stp>12/31/2018</stp>
        <stp>2019-11-29</stp>
        <tr r="Q3495" s="1"/>
      </tp>
      <tp>
        <v>0</v>
        <stp/>
        <stp>EM_S_VAL_DIVIDENDYIELD2</stp>
        <stp>3</stp>
        <stp>300668</stp>
        <stp>12/31/2018</stp>
        <stp>2019-11-29</stp>
        <tr r="Q2582" s="1"/>
      </tp>
      <tp>
        <v>3.7172011661807578</v>
        <stp/>
        <stp>EM_S_VAL_DIVIDENDYIELD2</stp>
        <stp>3</stp>
        <stp>600638</stp>
        <stp>12/31/2018</stp>
        <stp>2019-11-29</stp>
        <tr r="Q3026" s="1"/>
      </tp>
      <tp>
        <v>0</v>
        <stp/>
        <stp>EM_S_VAL_DIVIDENDYIELD2</stp>
        <stp>3</stp>
        <stp>300698</stp>
        <stp>12/31/2018</stp>
        <stp>2019-11-29</stp>
        <tr r="Q2793" s="1"/>
      </tp>
      <tp>
        <v>0.35325702981489332</v>
        <stp/>
        <stp>EM_S_VAL_DIVIDENDYIELD2</stp>
        <stp>3</stp>
        <stp>300688</stp>
        <stp>12/31/2018</stp>
        <stp>2019-11-29</stp>
        <tr r="Q3329" s="1"/>
      </tp>
      <tp>
        <v>0</v>
        <stp/>
        <stp>EM_S_VAL_DIVIDENDYIELD2</stp>
        <stp>3</stp>
        <stp>000688</stp>
        <stp>12/31/2018</stp>
        <stp>2019-11-29</stp>
        <tr r="Q3510" s="1"/>
      </tp>
      <tp>
        <v>2.0440251572327046</v>
        <stp/>
        <stp>EM_S_VAL_DIVIDENDYIELD2</stp>
        <stp>3</stp>
        <stp>000698</stp>
        <stp>12/31/2018</stp>
        <stp>2019-11-29</stp>
        <tr r="Q3514" s="1"/>
      </tp>
      <tp>
        <v>6.3938618925831205</v>
        <stp/>
        <stp>EM_S_VAL_DIVIDENDYIELD2</stp>
        <stp>3</stp>
        <stp>600688</stp>
        <stp>12/31/2018</stp>
        <stp>2019-11-29</stp>
        <tr r="Q3114" s="1"/>
      </tp>
      <tp>
        <v>0</v>
        <stp/>
        <stp>EM_S_VAL_DIVIDENDYIELD2</stp>
        <stp>3</stp>
        <stp>600698</stp>
        <stp>12/31/2018</stp>
        <stp>2019-11-29</stp>
        <tr r="Q3214" s="1"/>
      </tp>
      <tp>
        <v>1.7942583732057416</v>
        <stp/>
        <stp>EM_S_VAL_DIVIDENDYIELD2</stp>
        <stp>3</stp>
        <stp>000728</stp>
        <stp>12/31/2018</stp>
        <stp>2019-11-29</stp>
        <tr r="Q3521" s="1"/>
      </tp>
      <tp>
        <v>1.9021739130434785</v>
        <stp/>
        <stp>EM_S_VAL_DIVIDENDYIELD2</stp>
        <stp>3</stp>
        <stp>300718</stp>
        <stp>12/31/2018</stp>
        <stp>2019-11-29</stp>
        <tr r="Q730" s="1"/>
      </tp>
      <tp>
        <v>0.51546391752577314</v>
        <stp/>
        <stp>EM_S_VAL_DIVIDENDYIELD2</stp>
        <stp>3</stp>
        <stp>600748</stp>
        <stp>12/31/2018</stp>
        <stp>2019-11-29</stp>
        <tr r="Q1694" s="1"/>
      </tp>
      <tp>
        <v>0.31225604996096801</v>
        <stp/>
        <stp>EM_S_VAL_DIVIDENDYIELD2</stp>
        <stp>3</stp>
        <stp>000738</stp>
        <stp>12/31/2018</stp>
        <stp>2019-11-29</stp>
        <tr r="Q1824" s="1"/>
      </tp>
      <tp>
        <v>0.16253747068798685</v>
        <stp/>
        <stp>EM_S_VAL_DIVIDENDYIELD2</stp>
        <stp>3</stp>
        <stp>300708</stp>
        <stp>12/31/2018</stp>
        <stp>2019-11-29</stp>
        <tr r="Q1073" s="1"/>
      </tp>
      <tp>
        <v>0.63414634146341475</v>
        <stp/>
        <stp>EM_S_VAL_DIVIDENDYIELD2</stp>
        <stp>3</stp>
        <stp>600758</stp>
        <stp>12/31/2018</stp>
        <stp>2019-11-29</stp>
        <tr r="Q884" s="1"/>
      </tp>
      <tp>
        <v>0.52264703449205774</v>
        <stp/>
        <stp>EM_S_VAL_DIVIDENDYIELD2</stp>
        <stp>3</stp>
        <stp>000708</stp>
        <stp>12/31/2018</stp>
        <stp>2019-11-29</stp>
        <tr r="Q73" s="1"/>
      </tp>
      <tp>
        <v>0.33545790003354575</v>
        <stp/>
        <stp>EM_S_VAL_DIVIDENDYIELD2</stp>
        <stp>3</stp>
        <stp>300738</stp>
        <stp>12/31/2018</stp>
        <stp>2019-11-29</stp>
        <tr r="Q2898" s="1"/>
      </tp>
      <tp>
        <v>0</v>
        <stp/>
        <stp>EM_S_VAL_DIVIDENDYIELD2</stp>
        <stp>3</stp>
        <stp>600768</stp>
        <stp>12/31/2018</stp>
        <stp>2019-11-29</stp>
        <tr r="Q914" s="1"/>
      </tp>
      <tp>
        <v>8.2417582417582409</v>
        <stp/>
        <stp>EM_S_VAL_DIVIDENDYIELD2</stp>
        <stp>3</stp>
        <stp>000718</stp>
        <stp>12/31/2018</stp>
        <stp>2019-11-29</stp>
        <tr r="Q3519" s="1"/>
      </tp>
      <tp>
        <v>0</v>
        <stp/>
        <stp>EM_S_VAL_DIVIDENDYIELD2</stp>
        <stp>3</stp>
        <stp>300728</stp>
        <stp>12/31/2018</stp>
        <stp>2019-11-29</stp>
        <tr r="Q11" s="1"/>
      </tp>
      <tp>
        <v>0</v>
        <stp/>
        <stp>EM_S_VAL_DIVIDENDYIELD2</stp>
        <stp>3</stp>
        <stp>600778</stp>
        <stp>12/31/2018</stp>
        <stp>2019-11-29</stp>
        <tr r="Q1299" s="1"/>
      </tp>
      <tp>
        <v>0.62893081761006298</v>
        <stp/>
        <stp>EM_S_VAL_DIVIDENDYIELD2</stp>
        <stp>3</stp>
        <stp>000768</stp>
        <stp>12/31/2018</stp>
        <stp>2019-11-29</stp>
        <tr r="Q1149" s="1"/>
      </tp>
      <tp>
        <v>6.1728395061728403</v>
        <stp/>
        <stp>EM_S_VAL_DIVIDENDYIELD2</stp>
        <stp>3</stp>
        <stp>600708</stp>
        <stp>12/31/2018</stp>
        <stp>2019-11-29</stp>
        <tr r="Q2225" s="1"/>
      </tp>
      <tp>
        <v>5.025125628140704</v>
        <stp/>
        <stp>EM_S_VAL_DIVIDENDYIELD2</stp>
        <stp>3</stp>
        <stp>000778</stp>
        <stp>12/31/2018</stp>
        <stp>2019-11-29</stp>
        <tr r="Q3535" s="1"/>
      </tp>
      <tp>
        <v>0</v>
        <stp/>
        <stp>EM_S_VAL_DIVIDENDYIELD2</stp>
        <stp>3</stp>
        <stp>600718</stp>
        <stp>12/31/2018</stp>
        <stp>2019-11-29</stp>
        <tr r="Q2488" s="1"/>
      </tp>
      <tp>
        <v>0</v>
        <stp/>
        <stp>EM_S_VAL_DIVIDENDYIELD2</stp>
        <stp>3</stp>
        <stp>000748</stp>
        <stp>12/31/2018</stp>
        <stp>2019-11-29</stp>
        <tr r="Q3525" s="1"/>
      </tp>
      <tp>
        <v>0.63114501107620247</v>
        <stp/>
        <stp>EM_S_VAL_DIVIDENDYIELD2</stp>
        <stp>3</stp>
        <stp>600728</stp>
        <stp>12/31/2018</stp>
        <stp>2019-11-29</stp>
        <tr r="Q794" s="1"/>
      </tp>
      <tp>
        <v>0.37037037037037041</v>
        <stp/>
        <stp>EM_S_VAL_DIVIDENDYIELD2</stp>
        <stp>3</stp>
        <stp>000758</stp>
        <stp>12/31/2018</stp>
        <stp>2019-11-29</stp>
        <tr r="Q3529" s="1"/>
      </tp>
      <tp>
        <v>30.973666264208788</v>
        <stp/>
        <stp>EM_S_VAL_DIVIDENDYIELD2</stp>
        <stp>3</stp>
        <stp>600738</stp>
        <stp>12/31/2018</stp>
        <stp>2019-11-29</stp>
        <tr r="Q2955" s="1"/>
      </tp>
      <tp>
        <v>0.30441400304414001</v>
        <stp/>
        <stp>EM_S_VAL_DIVIDENDYIELD2</stp>
        <stp>3</stp>
        <stp>000788</stp>
        <stp>12/31/2018</stp>
        <stp>2019-11-29</stp>
        <tr r="Q1145" s="1"/>
      </tp>
      <tp>
        <v>0</v>
        <stp/>
        <stp>EM_S_VAL_DIVIDENDYIELD2</stp>
        <stp>3</stp>
        <stp>000798</stp>
        <stp>12/31/2018</stp>
        <stp>2019-11-29</stp>
        <tr r="Q3541" s="1"/>
      </tp>
      <tp>
        <v>0</v>
        <stp/>
        <stp>EM_S_VAL_DIVIDENDYIELD2</stp>
        <stp>3</stp>
        <stp>600788</stp>
        <stp>12/31/2018</stp>
        <stp>2019-11-29</stp>
        <tr r="Q2323" s="1"/>
      </tp>
      <tp>
        <v>1.7647058823529411</v>
        <stp/>
        <stp>EM_S_VAL_DIVIDENDYIELD2</stp>
        <stp>3</stp>
        <stp>600798</stp>
        <stp>12/31/2018</stp>
        <stp>2019-11-29</stp>
        <tr r="Q1796" s="1"/>
      </tp>
      <tp>
        <v>0</v>
        <stp/>
        <stp>EM_S_VAL_DIVIDENDYIELD2</stp>
        <stp>3</stp>
        <stp>000428</stp>
        <stp>12/31/2018</stp>
        <stp>2019-11-29</stp>
        <tr r="Q3425" s="1"/>
      </tp>
      <tp>
        <v>0</v>
        <stp/>
        <stp>EM_S_VAL_DIVIDENDYIELD2</stp>
        <stp>3</stp>
        <stp>300418</stp>
        <stp>12/31/2018</stp>
        <stp>2019-11-29</stp>
        <tr r="Q889" s="1"/>
      </tp>
      <tp>
        <v>0</v>
        <stp/>
        <stp>EM_S_VAL_DIVIDENDYIELD2</stp>
        <stp>3</stp>
        <stp>600448</stp>
        <stp>12/31/2018</stp>
        <stp>2019-11-29</stp>
        <tr r="Q1775" s="1"/>
      </tp>
      <tp>
        <v>1.3354700854700854</v>
        <stp/>
        <stp>EM_S_VAL_DIVIDENDYIELD2</stp>
        <stp>3</stp>
        <stp>300408</stp>
        <stp>12/31/2018</stp>
        <stp>2019-11-29</stp>
        <tr r="Q858" s="1"/>
      </tp>
      <tp>
        <v>0.5988023952095809</v>
        <stp/>
        <stp>EM_S_VAL_DIVIDENDYIELD2</stp>
        <stp>3</stp>
        <stp>600458</stp>
        <stp>12/31/2018</stp>
        <stp>2019-11-29</stp>
        <tr r="Q2074" s="1"/>
      </tp>
      <tp>
        <v>0</v>
        <stp/>
        <stp>EM_S_VAL_DIVIDENDYIELD2</stp>
        <stp>3</stp>
        <stp>000408</stp>
        <stp>12/31/2018</stp>
        <stp>2019-11-29</stp>
        <tr r="Q3418" s="1"/>
      </tp>
      <tp>
        <v>0.26652566371681413</v>
        <stp/>
        <stp>EM_S_VAL_DIVIDENDYIELD2</stp>
        <stp>3</stp>
        <stp>300438</stp>
        <stp>12/31/2018</stp>
        <stp>2019-11-29</stp>
        <tr r="Q364" s="1"/>
      </tp>
      <tp>
        <v>0</v>
        <stp/>
        <stp>EM_S_VAL_DIVIDENDYIELD2</stp>
        <stp>3</stp>
        <stp>600468</stp>
        <stp>12/31/2018</stp>
        <stp>2019-11-29</stp>
        <tr r="Q3233" s="1"/>
      </tp>
      <tp>
        <v>0</v>
        <stp/>
        <stp>EM_S_VAL_DIVIDENDYIELD2</stp>
        <stp>3</stp>
        <stp>000418</stp>
        <stp>12/31/2018</stp>
        <stp>2019-11-29</stp>
        <tr r="Q870" s="1"/>
      </tp>
      <tp>
        <v>0.90163934426229519</v>
        <stp/>
        <stp>EM_S_VAL_DIVIDENDYIELD2</stp>
        <stp>3</stp>
        <stp>300428</stp>
        <stp>12/31/2018</stp>
        <stp>2019-11-29</stp>
        <tr r="Q1051" s="1"/>
      </tp>
      <tp>
        <v>0</v>
        <stp/>
        <stp>EM_S_VAL_DIVIDENDYIELD2</stp>
        <stp>3</stp>
        <stp>600478</stp>
        <stp>12/31/2018</stp>
        <stp>2019-11-29</stp>
        <tr r="Q1797" s="1"/>
      </tp>
      <tp>
        <v>1.0975128208715468</v>
        <stp/>
        <stp>EM_S_VAL_DIVIDENDYIELD2</stp>
        <stp>3</stp>
        <stp>300458</stp>
        <stp>12/31/2018</stp>
        <stp>2019-11-29</stp>
        <tr r="Q425" s="1"/>
      </tp>
      <tp>
        <v>0</v>
        <stp/>
        <stp>EM_S_VAL_DIVIDENDYIELD2</stp>
        <stp>3</stp>
        <stp>600408</stp>
        <stp>12/31/2018</stp>
        <stp>2019-11-29</stp>
        <tr r="Q2702" s="1"/>
      </tp>
      <tp>
        <v>0.40183506633085569</v>
        <stp/>
        <stp>EM_S_VAL_DIVIDENDYIELD2</stp>
        <stp>3</stp>
        <stp>300448</stp>
        <stp>12/31/2018</stp>
        <stp>2019-11-29</stp>
        <tr r="Q3181" s="1"/>
      </tp>
      <tp>
        <v>0</v>
        <stp/>
        <stp>EM_S_VAL_DIVIDENDYIELD2</stp>
        <stp>3</stp>
        <stp>600418</stp>
        <stp>12/31/2018</stp>
        <stp>2019-11-29</stp>
        <tr r="Q2111" s="1"/>
      </tp>
      <tp>
        <v>0.69955156950672648</v>
        <stp/>
        <stp>EM_S_VAL_DIVIDENDYIELD2</stp>
        <stp>3</stp>
        <stp>300478</stp>
        <stp>12/31/2018</stp>
        <stp>2019-11-29</stp>
        <tr r="Q3004" s="1"/>
      </tp>
      <tp>
        <v>0</v>
        <stp/>
        <stp>EM_S_VAL_DIVIDENDYIELD2</stp>
        <stp>3</stp>
        <stp>600428</stp>
        <stp>12/31/2018</stp>
        <stp>2019-11-29</stp>
        <tr r="Q1477" s="1"/>
      </tp>
      <tp>
        <v>0.51734697986577183</v>
        <stp/>
        <stp>EM_S_VAL_DIVIDENDYIELD2</stp>
        <stp>3</stp>
        <stp>300468</stp>
        <stp>12/31/2018</stp>
        <stp>2019-11-29</stp>
        <tr r="Q55" s="1"/>
      </tp>
      <tp>
        <v>1.2213071370443322</v>
        <stp/>
        <stp>EM_S_VAL_DIVIDENDYIELD2</stp>
        <stp>3</stp>
        <stp>600438</stp>
        <stp>12/31/2018</stp>
        <stp>2019-11-29</stp>
        <tr r="Q448" s="1"/>
      </tp>
      <tp>
        <v>1.3970987370533618</v>
        <stp/>
        <stp>EM_S_VAL_DIVIDENDYIELD2</stp>
        <stp>3</stp>
        <stp>300498</stp>
        <stp>12/31/2018</stp>
        <stp>2019-11-29</stp>
        <tr r="Q1017" s="1"/>
      </tp>
      <tp>
        <v>1.1697576631026305</v>
        <stp/>
        <stp>EM_S_VAL_DIVIDENDYIELD2</stp>
        <stp>3</stp>
        <stp>300488</stp>
        <stp>12/31/2018</stp>
        <stp>2019-11-29</stp>
        <tr r="Q3270" s="1"/>
      </tp>
      <tp>
        <v>5.07399577167019</v>
        <stp/>
        <stp>EM_S_VAL_DIVIDENDYIELD2</stp>
        <stp>3</stp>
        <stp>000488</stp>
        <stp>12/31/2018</stp>
        <stp>2019-11-29</stp>
        <tr r="Q3427" s="1"/>
      </tp>
      <tp>
        <v>1.6375545851528384</v>
        <stp/>
        <stp>EM_S_VAL_DIVIDENDYIELD2</stp>
        <stp>3</stp>
        <stp>000498</stp>
        <stp>12/31/2018</stp>
        <stp>2019-11-29</stp>
        <tr r="Q2686" s="1"/>
      </tp>
      <tp>
        <v>1.3827160493827162</v>
        <stp/>
        <stp>EM_S_VAL_DIVIDENDYIELD2</stp>
        <stp>3</stp>
        <stp>600488</stp>
        <stp>12/31/2018</stp>
        <stp>2019-11-29</stp>
        <tr r="Q1787" s="1"/>
      </tp>
      <tp>
        <v>1.3638940177060117</v>
        <stp/>
        <stp>EM_S_VAL_DIVIDENDYIELD2</stp>
        <stp>3</stp>
        <stp>600498</stp>
        <stp>12/31/2018</stp>
        <stp>2019-11-29</stp>
        <tr r="Q2489" s="1"/>
      </tp>
      <tp>
        <v>2.3589823825791458</v>
        <stp/>
        <stp>EM_S_VAL_DIVIDENDYIELD2</stp>
        <stp>3</stp>
        <stp>000528</stp>
        <stp>12/31/2018</stp>
        <stp>2019-11-29</stp>
        <tr r="Q1542" s="1"/>
      </tp>
      <tp>
        <v>8.133387555917039E-2</v>
        <stp/>
        <stp>EM_S_VAL_DIVIDENDYIELD2</stp>
        <stp>3</stp>
        <stp>300518</stp>
        <stp>12/31/2018</stp>
        <stp>2019-11-29</stp>
        <tr r="Q1346" s="1"/>
      </tp>
      <tp>
        <v>6.5740740740740735</v>
        <stp/>
        <stp>EM_S_VAL_DIVIDENDYIELD2</stp>
        <stp>3</stp>
        <stp>600548</stp>
        <stp>12/31/2018</stp>
        <stp>2019-11-29</stp>
        <tr r="Q1053" s="1"/>
      </tp>
      <tp>
        <v>1.8550591679614787</v>
        <stp/>
        <stp>EM_S_VAL_DIVIDENDYIELD2</stp>
        <stp>3</stp>
        <stp>000538</stp>
        <stp>12/31/2018</stp>
        <stp>2019-11-29</stp>
        <tr r="Q1317" s="1"/>
      </tp>
      <tp>
        <v>0</v>
        <stp/>
        <stp>EM_S_VAL_DIVIDENDYIELD2</stp>
        <stp>3</stp>
        <stp>300508</stp>
        <stp>12/31/2018</stp>
        <stp>2019-11-29</stp>
        <tr r="Q1385" s="1"/>
      </tp>
      <tp>
        <v>0.81433224755700329</v>
        <stp/>
        <stp>EM_S_VAL_DIVIDENDYIELD2</stp>
        <stp>3</stp>
        <stp>600558</stp>
        <stp>12/31/2018</stp>
        <stp>2019-11-29</stp>
        <tr r="Q2115" s="1"/>
      </tp>
      <tp>
        <v>0</v>
        <stp/>
        <stp>EM_S_VAL_DIVIDENDYIELD2</stp>
        <stp>3</stp>
        <stp>000508</stp>
        <stp>12/31/2018</stp>
        <stp>2019-11-29</stp>
        <tr r="Q3434" s="1"/>
      </tp>
      <tp>
        <v>0.48116703116250942</v>
        <stp/>
        <stp>EM_S_VAL_DIVIDENDYIELD2</stp>
        <stp>3</stp>
        <stp>300538</stp>
        <stp>12/31/2018</stp>
        <stp>2019-11-29</stp>
        <tr r="Q2971" s="1"/>
      </tp>
      <tp>
        <v>0</v>
        <stp/>
        <stp>EM_S_VAL_DIVIDENDYIELD2</stp>
        <stp>3</stp>
        <stp>600568</stp>
        <stp>12/31/2018</stp>
        <stp>2019-11-29</stp>
        <tr r="Q3135" s="1"/>
      </tp>
      <tp>
        <v>0</v>
        <stp/>
        <stp>EM_S_VAL_DIVIDENDYIELD2</stp>
        <stp>3</stp>
        <stp>000518</stp>
        <stp>12/31/2018</stp>
        <stp>2019-11-29</stp>
        <tr r="Q3441" s="1"/>
      </tp>
      <tp>
        <v>0</v>
        <stp/>
        <stp>EM_S_VAL_DIVIDENDYIELD2</stp>
        <stp>3</stp>
        <stp>300528</stp>
        <stp>12/31/2018</stp>
        <stp>2019-11-29</stp>
        <tr r="Q3044" s="1"/>
      </tp>
      <tp>
        <v>2.6315789473684217</v>
        <stp/>
        <stp>EM_S_VAL_DIVIDENDYIELD2</stp>
        <stp>3</stp>
        <stp>600578</stp>
        <stp>12/31/2018</stp>
        <stp>2019-11-29</stp>
        <tr r="Q1962" s="1"/>
      </tp>
      <tp>
        <v>1.8960244648318043</v>
        <stp/>
        <stp>EM_S_VAL_DIVIDENDYIELD2</stp>
        <stp>3</stp>
        <stp>000568</stp>
        <stp>12/31/2018</stp>
        <stp>2019-11-29</stp>
        <tr r="Q129" s="1"/>
      </tp>
      <tp>
        <v>0.16459673799191982</v>
        <stp/>
        <stp>EM_S_VAL_DIVIDENDYIELD2</stp>
        <stp>3</stp>
        <stp>300558</stp>
        <stp>12/31/2018</stp>
        <stp>2019-11-29</stp>
        <tr r="Q157" s="1"/>
      </tp>
      <tp>
        <v>3.0837004405286339</v>
        <stp/>
        <stp>EM_S_VAL_DIVIDENDYIELD2</stp>
        <stp>3</stp>
        <stp>600508</stp>
        <stp>12/31/2018</stp>
        <stp>2019-11-29</stp>
        <tr r="Q2440" s="1"/>
      </tp>
      <tp>
        <v>0</v>
        <stp/>
        <stp>EM_S_VAL_DIVIDENDYIELD2</stp>
        <stp>3</stp>
        <stp>000578</stp>
        <stp>12/31/2018</stp>
        <stp>2019-11-29</stp>
        <tr r="Q3464" s="1"/>
      </tp>
      <tp>
        <v>0.16087516087516088</v>
        <stp/>
        <stp>EM_S_VAL_DIVIDENDYIELD2</stp>
        <stp>3</stp>
        <stp>300548</stp>
        <stp>12/31/2018</stp>
        <stp>2019-11-29</stp>
        <tr r="Q199" s="1"/>
      </tp>
      <tp>
        <v>0.66298342541436461</v>
        <stp/>
        <stp>EM_S_VAL_DIVIDENDYIELD2</stp>
        <stp>3</stp>
        <stp>600518</stp>
        <stp>12/31/2018</stp>
        <stp>2019-11-29</stp>
        <tr r="Q3393" s="1"/>
      </tp>
      <tp>
        <v>0.50377833753148615</v>
        <stp/>
        <stp>EM_S_VAL_DIVIDENDYIELD2</stp>
        <stp>3</stp>
        <stp>000548</stp>
        <stp>12/31/2018</stp>
        <stp>2019-11-29</stp>
        <tr r="Q3450" s="1"/>
      </tp>
      <tp>
        <v>0.43920697423715344</v>
        <stp/>
        <stp>EM_S_VAL_DIVIDENDYIELD2</stp>
        <stp>3</stp>
        <stp>300578</stp>
        <stp>12/31/2018</stp>
        <stp>2019-11-29</stp>
        <tr r="Q543" s="1"/>
      </tp>
      <tp>
        <v>1.1420059582919562</v>
        <stp/>
        <stp>EM_S_VAL_DIVIDENDYIELD2</stp>
        <stp>3</stp>
        <stp>600528</stp>
        <stp>12/31/2018</stp>
        <stp>2019-11-29</stp>
        <tr r="Q2069" s="1"/>
      </tp>
      <tp>
        <v>0</v>
        <stp/>
        <stp>EM_S_VAL_DIVIDENDYIELD2</stp>
        <stp>3</stp>
        <stp>000558</stp>
        <stp>12/31/2018</stp>
        <stp>2019-11-29</stp>
        <tr r="Q3454" s="1"/>
      </tp>
      <tp>
        <v>0.67311552981143496</v>
        <stp/>
        <stp>EM_S_VAL_DIVIDENDYIELD2</stp>
        <stp>3</stp>
        <stp>300568</stp>
        <stp>12/31/2018</stp>
        <stp>2019-11-29</stp>
        <tr r="Q800" s="1"/>
      </tp>
      <tp>
        <v>0</v>
        <stp/>
        <stp>EM_S_VAL_DIVIDENDYIELD2</stp>
        <stp>3</stp>
        <stp>600538</stp>
        <stp>12/31/2018</stp>
        <stp>2019-11-29</stp>
        <tr r="Q1379" s="1"/>
      </tp>
      <tp>
        <v>2.7775205999444493E-2</v>
        <stp/>
        <stp>EM_S_VAL_DIVIDENDYIELD2</stp>
        <stp>3</stp>
        <stp>300598</stp>
        <stp>12/31/2018</stp>
        <stp>2019-11-29</stp>
        <tr r="Q16" s="1"/>
      </tp>
      <tp>
        <v>0.14492753623188409</v>
        <stp/>
        <stp>EM_S_VAL_DIVIDENDYIELD2</stp>
        <stp>3</stp>
        <stp>300588</stp>
        <stp>12/31/2018</stp>
        <stp>2019-11-29</stp>
        <tr r="Q2696" s="1"/>
      </tp>
      <tp>
        <v>0</v>
        <stp/>
        <stp>EM_S_VAL_DIVIDENDYIELD2</stp>
        <stp>3</stp>
        <stp>000588</stp>
        <stp>12/31/2018</stp>
        <stp>2019-11-29</stp>
        <tr r="Q3470" s="1"/>
      </tp>
      <tp>
        <v>1.4634146341463417</v>
        <stp/>
        <stp>EM_S_VAL_DIVIDENDYIELD2</stp>
        <stp>3</stp>
        <stp>000598</stp>
        <stp>12/31/2018</stp>
        <stp>2019-11-29</stp>
        <tr r="Q1507" s="1"/>
      </tp>
      <tp>
        <v>0.6897705974422228</v>
        <stp/>
        <stp>EM_S_VAL_DIVIDENDYIELD2</stp>
        <stp>3</stp>
        <stp>600588</stp>
        <stp>12/31/2018</stp>
        <stp>2019-11-29</stp>
        <tr r="Q868" s="1"/>
      </tp>
      <tp>
        <v>4.3103448275862073</v>
        <stp/>
        <stp>EM_S_VAL_DIVIDENDYIELD2</stp>
        <stp>3</stp>
        <stp>600598</stp>
        <stp>12/31/2018</stp>
        <stp>2019-11-29</stp>
        <tr r="Q1569" s="1"/>
      </tp>
      <tp>
        <v>3.4482758620689662</v>
        <stp/>
        <stp>EM_S_VAL_DIVIDENDYIELD2</stp>
        <stp>3</stp>
        <stp>000828</stp>
        <stp>12/31/2018</stp>
        <stp>2019-11-29</stp>
        <tr r="Q1711" s="1"/>
      </tp>
      <tp>
        <v>0.29102406334859976</v>
        <stp/>
        <stp>EM_S_VAL_DIVIDENDYIELD2</stp>
        <stp>3</stp>
        <stp>600848</stp>
        <stp>12/31/2018</stp>
        <stp>2019-11-29</stp>
        <tr r="Q1417" s="1"/>
      </tp>
      <tp>
        <v>0.6885245901639343</v>
        <stp/>
        <stp>EM_S_VAL_DIVIDENDYIELD2</stp>
        <stp>3</stp>
        <stp>000838</stp>
        <stp>12/31/2018</stp>
        <stp>2019-11-29</stp>
        <tr r="Q1804" s="1"/>
      </tp>
      <tp>
        <v>0.62240663900414939</v>
        <stp/>
        <stp>EM_S_VAL_DIVIDENDYIELD2</stp>
        <stp>3</stp>
        <stp>600858</stp>
        <stp>12/31/2018</stp>
        <stp>2019-11-29</stp>
        <tr r="Q2088" s="1"/>
      </tp>
      <tp>
        <v>0.11730205278592376</v>
        <stp/>
        <stp>EM_S_VAL_DIVIDENDYIELD2</stp>
        <stp>3</stp>
        <stp>600868</stp>
        <stp>12/31/2018</stp>
        <stp>2019-11-29</stp>
        <tr r="Q1248" s="1"/>
      </tp>
      <tp>
        <v>1.413760603204524</v>
        <stp/>
        <stp>EM_S_VAL_DIVIDENDYIELD2</stp>
        <stp>3</stp>
        <stp>000818</stp>
        <stp>12/31/2018</stp>
        <stp>2019-11-29</stp>
        <tr r="Q176" s="1"/>
      </tp>
      <tp>
        <v>0</v>
        <stp/>
        <stp>EM_S_VAL_DIVIDENDYIELD2</stp>
        <stp>3</stp>
        <stp>600878</stp>
        <stp>12/31/2018</stp>
        <stp>2019-11-29</stp>
        <tr r="Q2332" s="1"/>
      </tp>
      <tp>
        <v>0</v>
        <stp/>
        <stp>EM_S_VAL_DIVIDENDYIELD2</stp>
        <stp>3</stp>
        <stp>000868</stp>
        <stp>12/31/2018</stp>
        <stp>2019-11-29</stp>
        <tr r="Q3559" s="1"/>
      </tp>
      <tp>
        <v>11.272727272727273</v>
        <stp/>
        <stp>EM_S_VAL_DIVIDENDYIELD2</stp>
        <stp>3</stp>
        <stp>600808</stp>
        <stp>12/31/2018</stp>
        <stp>2019-11-29</stp>
        <tr r="Q2869" s="1"/>
      </tp>
      <tp>
        <v>0</v>
        <stp/>
        <stp>EM_S_VAL_DIVIDENDYIELD2</stp>
        <stp>3</stp>
        <stp>000878</stp>
        <stp>12/31/2018</stp>
        <stp>2019-11-29</stp>
        <tr r="Q3560" s="1"/>
      </tp>
      <tp>
        <v>0.40192926045016075</v>
        <stp/>
        <stp>EM_S_VAL_DIVIDENDYIELD2</stp>
        <stp>3</stp>
        <stp>600818</stp>
        <stp>12/31/2018</stp>
        <stp>2019-11-29</stp>
        <tr r="Q1647" s="1"/>
      </tp>
      <tp>
        <v>5.298013245033113</v>
        <stp/>
        <stp>EM_S_VAL_DIVIDENDYIELD2</stp>
        <stp>3</stp>
        <stp>000848</stp>
        <stp>12/31/2018</stp>
        <stp>2019-11-29</stp>
        <tr r="Q2428" s="1"/>
      </tp>
      <tp>
        <v>2.2573363431151248</v>
        <stp/>
        <stp>EM_S_VAL_DIVIDENDYIELD2</stp>
        <stp>3</stp>
        <stp>600828</stp>
        <stp>12/31/2018</stp>
        <stp>2019-11-29</stp>
        <tr r="Q2265" s="1"/>
      </tp>
      <tp>
        <v>1.3328106624852998</v>
        <stp/>
        <stp>EM_S_VAL_DIVIDENDYIELD2</stp>
        <stp>3</stp>
        <stp>000858</stp>
        <stp>12/31/2018</stp>
        <stp>2019-11-29</stp>
        <tr r="Q65" s="1"/>
      </tp>
      <tp>
        <v>1.25</v>
        <stp/>
        <stp>EM_S_VAL_DIVIDENDYIELD2</stp>
        <stp>3</stp>
        <stp>600838</stp>
        <stp>12/31/2018</stp>
        <stp>2019-11-29</stp>
        <tr r="Q1970" s="1"/>
      </tp>
      <tp>
        <v>1.6</v>
        <stp/>
        <stp>EM_S_VAL_DIVIDENDYIELD2</stp>
        <stp>3</stp>
        <stp>000888</stp>
        <stp>12/31/2018</stp>
        <stp>2019-11-29</stp>
        <tr r="Q3563" s="1"/>
      </tp>
      <tp>
        <v>5.3724053724725804</v>
        <stp/>
        <stp>EM_S_VAL_DIVIDENDYIELD2</stp>
        <stp>3</stp>
        <stp>000898</stp>
        <stp>12/31/2018</stp>
        <stp>2019-11-29</stp>
        <tr r="Q3280" s="1"/>
      </tp>
      <tp>
        <v>1.3517282952615941</v>
        <stp/>
        <stp>EM_S_VAL_DIVIDENDYIELD2</stp>
        <stp>3</stp>
        <stp>600888</stp>
        <stp>12/31/2018</stp>
        <stp>2019-11-29</stp>
        <tr r="Q1734" s="1"/>
      </tp>
      <tp>
        <v>0</v>
        <stp/>
        <stp>EM_S_VAL_DIVIDENDYIELD2</stp>
        <stp>3</stp>
        <stp>600898</stp>
        <stp>12/31/2018</stp>
        <stp>2019-11-29</stp>
        <tr r="Q2388" s="1"/>
      </tp>
      <tp>
        <v>2.5974025974025974</v>
        <stp/>
        <stp>EM_S_VAL_DIVIDENDYIELD2</stp>
        <stp>3</stp>
        <stp>000928</stp>
        <stp>12/31/2018</stp>
        <stp>2019-11-29</stp>
        <tr r="Q1780" s="1"/>
      </tp>
      <tp>
        <v>0.39609189339680434</v>
        <stp/>
        <stp>EM_S_VAL_DIVIDENDYIELD2</stp>
        <stp>3</stp>
        <stp>000938</stp>
        <stp>12/31/2018</stp>
        <stp>2019-11-29</stp>
        <tr r="Q2342" s="1"/>
      </tp>
      <tp>
        <v>1.0288065843621399</v>
        <stp/>
        <stp>EM_S_VAL_DIVIDENDYIELD2</stp>
        <stp>3</stp>
        <stp>600958</stp>
        <stp>12/31/2018</stp>
        <stp>2019-11-29</stp>
        <tr r="Q811" s="1"/>
      </tp>
      <tp>
        <v>0</v>
        <stp/>
        <stp>EM_S_VAL_DIVIDENDYIELD2</stp>
        <stp>3</stp>
        <stp>000908</stp>
        <stp>12/31/2018</stp>
        <stp>2019-11-29</stp>
        <tr r="Q3008" s="1"/>
      </tp>
      <tp>
        <v>0</v>
        <stp/>
        <stp>EM_S_VAL_DIVIDENDYIELD2</stp>
        <stp>3</stp>
        <stp>000918</stp>
        <stp>12/31/2018</stp>
        <stp>2019-11-29</stp>
        <tr r="Q3575" s="1"/>
      </tp>
      <tp>
        <v>0.91216216216216217</v>
        <stp/>
        <stp>EM_S_VAL_DIVIDENDYIELD2</stp>
        <stp>3</stp>
        <stp>600978</stp>
        <stp>12/31/2018</stp>
        <stp>2019-11-29</stp>
        <tr r="Q3195" s="1"/>
      </tp>
      <tp>
        <v>0</v>
        <stp/>
        <stp>EM_S_VAL_DIVIDENDYIELD2</stp>
        <stp>3</stp>
        <stp>000968</stp>
        <stp>12/31/2018</stp>
        <stp>2019-11-29</stp>
        <tr r="Q2527" s="1"/>
      </tp>
      <tp>
        <v>3.4416474826188423</v>
        <stp/>
        <stp>EM_S_VAL_DIVIDENDYIELD2</stp>
        <stp>3</stp>
        <stp>600908</stp>
        <stp>12/31/2018</stp>
        <stp>2019-11-29</stp>
        <tr r="Q1965" s="1"/>
      </tp>
      <tp>
        <v>1.5779092702169626</v>
        <stp/>
        <stp>EM_S_VAL_DIVIDENDYIELD2</stp>
        <stp>3</stp>
        <stp>000978</stp>
        <stp>12/31/2018</stp>
        <stp>2019-11-29</stp>
        <tr r="Q2177" s="1"/>
      </tp>
      <tp>
        <v>0.37125037217679535</v>
        <stp/>
        <stp>EM_S_VAL_DIVIDENDYIELD2</stp>
        <stp>3</stp>
        <stp>000948</stp>
        <stp>12/31/2018</stp>
        <stp>2019-11-29</stp>
        <tr r="Q1716" s="1"/>
      </tp>
      <tp>
        <v>0.95057034220532322</v>
        <stp/>
        <stp>EM_S_VAL_DIVIDENDYIELD2</stp>
        <stp>3</stp>
        <stp>000958</stp>
        <stp>12/31/2018</stp>
        <stp>2019-11-29</stp>
        <tr r="Q289" s="1"/>
      </tp>
      <tp>
        <v>0.16528925619834711</v>
        <stp/>
        <stp>EM_S_VAL_DIVIDENDYIELD2</stp>
        <stp>3</stp>
        <stp>000988</stp>
        <stp>12/31/2018</stp>
        <stp>2019-11-29</stp>
        <tr r="Q328" s="1"/>
      </tp>
      <tp>
        <v>1.5699929411764704</v>
        <stp/>
        <stp>EM_S_VAL_DIVIDENDYIELD2</stp>
        <stp>3</stp>
        <stp>000998</stp>
        <stp>12/31/2018</stp>
        <stp>2019-11-29</stp>
        <tr r="Q2742" s="1"/>
      </tp>
      <tp>
        <v>0</v>
        <stp/>
        <stp>EM_S_VAL_DIVIDENDYIELD2</stp>
        <stp>3</stp>
        <stp>600988</stp>
        <stp>12/31/2018</stp>
        <stp>2019-11-29</stp>
        <tr r="Q1255" s="1"/>
      </tp>
      <tp>
        <v>0.74019245003700962</v>
        <stp/>
        <stp>EM_S_VAL_DIVIDENDYIELD2</stp>
        <stp>3</stp>
        <stp>600998</stp>
        <stp>12/31/2018</stp>
        <stp>2019-11-29</stp>
        <tr r="Q2675" s="1"/>
      </tp>
      <tp>
        <v>0</v>
        <stp/>
        <stp>EM_S_VAL_DIVIDENDYIELD2</stp>
        <stp>3</stp>
        <stp>601258</stp>
        <stp>12/31/2018</stp>
        <stp>2019-11-29</stp>
        <tr r="Q2081" s="1"/>
      </tp>
      <tp>
        <v>0</v>
        <stp/>
        <stp>EM_S_VAL_DIVIDENDYIELD2</stp>
        <stp>3</stp>
        <stp>601268</stp>
        <stp>12/31/2018</stp>
        <stp>2019-11-29</stp>
        <tr r="Q2338" s="1"/>
      </tp>
      <tp>
        <v>0.32822757111597373</v>
        <stp/>
        <stp>EM_S_VAL_DIVIDENDYIELD2</stp>
        <stp>3</stp>
        <stp>601208</stp>
        <stp>12/31/2018</stp>
        <stp>2019-11-29</stp>
        <tr r="Q874" s="1"/>
      </tp>
      <tp>
        <v>0</v>
        <stp/>
        <stp>EM_S_VAL_DIVIDENDYIELD2</stp>
        <stp>3</stp>
        <stp>601218</stp>
        <stp>12/31/2018</stp>
        <stp>2019-11-29</stp>
        <tr r="Q1106" s="1"/>
      </tp>
      <tp>
        <v>0.93582887700534756</v>
        <stp/>
        <stp>EM_S_VAL_DIVIDENDYIELD2</stp>
        <stp>3</stp>
        <stp>601228</stp>
        <stp>12/31/2018</stp>
        <stp>2019-11-29</stp>
        <tr r="Q2498" s="1"/>
      </tp>
      <tp>
        <v>2.3702038720001628</v>
        <stp/>
        <stp>EM_S_VAL_DIVIDENDYIELD2</stp>
        <stp>3</stp>
        <stp>601238</stp>
        <stp>12/31/2018</stp>
        <stp>2019-11-29</stp>
        <tr r="Q1583" s="1"/>
      </tp>
      <tp>
        <v>4.8038674033149178</v>
        <stp/>
        <stp>EM_S_VAL_DIVIDENDYIELD2</stp>
        <stp>3</stp>
        <stp>601288</stp>
        <stp>12/31/2018</stp>
        <stp>2019-11-29</stp>
        <tr r="Q2090" s="1"/>
      </tp>
      <tp>
        <v>1.6994633285251273</v>
        <stp/>
        <stp>EM_S_VAL_DIVIDENDYIELD2</stp>
        <stp>3</stp>
        <stp>601368</stp>
        <stp>12/31/2018</stp>
        <stp>2019-11-29</stp>
        <tr r="Q2204" s="1"/>
      </tp>
      <tp>
        <v>1.3154747668022004</v>
        <stp/>
        <stp>EM_S_VAL_DIVIDENDYIELD2</stp>
        <stp>3</stp>
        <stp>601318</stp>
        <stp>12/31/2018</stp>
        <stp>2019-11-29</stp>
        <tr r="Q516" s="1"/>
      </tp>
      <tp>
        <v>5.4446460980036298</v>
        <stp/>
        <stp>EM_S_VAL_DIVIDENDYIELD2</stp>
        <stp>3</stp>
        <stp>601328</stp>
        <stp>12/31/2018</stp>
        <stp>2019-11-29</stp>
        <tr r="Q2457" s="1"/>
      </tp>
      <tp>
        <v>0.55865921787709494</v>
        <stp/>
        <stp>EM_S_VAL_DIVIDENDYIELD2</stp>
        <stp>3</stp>
        <stp>601388</stp>
        <stp>12/31/2018</stp>
        <stp>2019-11-29</stp>
        <tr r="Q2423" s="1"/>
      </tp>
      <tp>
        <v>4.328151986183074</v>
        <stp/>
        <stp>EM_S_VAL_DIVIDENDYIELD2</stp>
        <stp>3</stp>
        <stp>601398</stp>
        <stp>12/31/2018</stp>
        <stp>2019-11-29</stp>
        <tr r="Q1662" s="1"/>
      </tp>
      <tp>
        <v>1.1342907235869453</v>
        <stp/>
        <stp>EM_S_VAL_DIVIDENDYIELD2</stp>
        <stp>3</stp>
        <stp>601058</stp>
        <stp>12/31/2018</stp>
        <stp>2019-11-29</stp>
        <tr r="Q167" s="1"/>
      </tp>
      <tp>
        <v>0.25084648431311291</v>
        <stp/>
        <stp>EM_S_VAL_DIVIDENDYIELD2</stp>
        <stp>3</stp>
        <stp>601008</stp>
        <stp>12/31/2018</stp>
        <stp>2019-11-29</stp>
        <tr r="Q1067" s="1"/>
      </tp>
      <tp>
        <v>2.569060773480663</v>
        <stp/>
        <stp>EM_S_VAL_DIVIDENDYIELD2</stp>
        <stp>3</stp>
        <stp>601018</stp>
        <stp>12/31/2018</stp>
        <stp>2019-11-29</stp>
        <tr r="Q1529" s="1"/>
      </tp>
      <tp>
        <v>0</v>
        <stp/>
        <stp>EM_S_VAL_DIVIDENDYIELD2</stp>
        <stp>3</stp>
        <stp>601028</stp>
        <stp>12/31/2018</stp>
        <stp>2019-11-29</stp>
        <tr r="Q1709" s="1"/>
      </tp>
      <tp>
        <v>0</v>
        <stp/>
        <stp>EM_S_VAL_DIVIDENDYIELD2</stp>
        <stp>3</stp>
        <stp>601038</stp>
        <stp>12/31/2018</stp>
        <stp>2019-11-29</stp>
        <tr r="Q646" s="1"/>
      </tp>
      <tp>
        <v>5.1133062173155146</v>
        <stp/>
        <stp>EM_S_VAL_DIVIDENDYIELD2</stp>
        <stp>3</stp>
        <stp>601088</stp>
        <stp>12/31/2018</stp>
        <stp>2019-11-29</stp>
        <tr r="Q2181" s="1"/>
      </tp>
      <tp>
        <v>5.2677029360967182</v>
        <stp/>
        <stp>EM_S_VAL_DIVIDENDYIELD2</stp>
        <stp>3</stp>
        <stp>601098</stp>
        <stp>12/31/2018</stp>
        <stp>2019-11-29</stp>
        <tr r="Q2563" s="1"/>
      </tp>
      <tp>
        <v>5.0909090909090899</v>
        <stp/>
        <stp>EM_S_VAL_DIVIDENDYIELD2</stp>
        <stp>3</stp>
        <stp>601158</stp>
        <stp>12/31/2018</stp>
        <stp>2019-11-29</stp>
        <tr r="Q2337" s="1"/>
      </tp>
      <tp>
        <v>0</v>
        <stp/>
        <stp>EM_S_VAL_DIVIDENDYIELD2</stp>
        <stp>3</stp>
        <stp>601168</stp>
        <stp>12/31/2018</stp>
        <stp>2019-11-29</stp>
        <tr r="Q1406" s="1"/>
      </tp>
      <tp>
        <v>0.73375262054507329</v>
        <stp/>
        <stp>EM_S_VAL_DIVIDENDYIELD2</stp>
        <stp>3</stp>
        <stp>601108</stp>
        <stp>12/31/2018</stp>
        <stp>2019-11-29</stp>
        <tr r="Q471" s="1"/>
      </tp>
      <tp>
        <v>0.23965141612200436</v>
        <stp/>
        <stp>EM_S_VAL_DIVIDENDYIELD2</stp>
        <stp>3</stp>
        <stp>601118</stp>
        <stp>12/31/2018</stp>
        <stp>2019-11-29</stp>
        <tr r="Q1724" s="1"/>
      </tp>
      <tp>
        <v>2.2277227722772275</v>
        <stp/>
        <stp>EM_S_VAL_DIVIDENDYIELD2</stp>
        <stp>3</stp>
        <stp>601128</stp>
        <stp>12/31/2018</stp>
        <stp>2019-11-29</stp>
        <tr r="Q693" s="1"/>
      </tp>
      <tp>
        <v>0.77390615418348974</v>
        <stp/>
        <stp>EM_S_VAL_DIVIDENDYIELD2</stp>
        <stp>3</stp>
        <stp>601138</stp>
        <stp>12/31/2018</stp>
        <stp>2019-11-29</stp>
        <tr r="Q537" s="1"/>
      </tp>
      <tp>
        <v>2.3549488054607504</v>
        <stp/>
        <stp>EM_S_VAL_DIVIDENDYIELD2</stp>
        <stp>3</stp>
        <stp>601188</stp>
        <stp>12/31/2018</stp>
        <stp>2019-11-29</stp>
        <tr r="Q2146" s="1"/>
      </tp>
      <tp>
        <v>1.0156971375807942</v>
        <stp/>
        <stp>EM_S_VAL_DIVIDENDYIELD2</stp>
        <stp>3</stp>
        <stp>601198</stp>
        <stp>12/31/2018</stp>
        <stp>2019-11-29</stp>
        <tr r="Q769" s="1"/>
      </tp>
      <tp>
        <v>3.2881126585616505</v>
        <stp/>
        <stp>EM_S_VAL_DIVIDENDYIELD2</stp>
        <stp>3</stp>
        <stp>601668</stp>
        <stp>12/31/2018</stp>
        <stp>2019-11-29</stp>
        <tr r="Q2444" s="1"/>
      </tp>
      <tp>
        <v>3.1578947368421053</v>
        <stp/>
        <stp>EM_S_VAL_DIVIDENDYIELD2</stp>
        <stp>3</stp>
        <stp>601678</stp>
        <stp>12/31/2018</stp>
        <stp>2019-11-29</stp>
        <tr r="Q1202" s="1"/>
      </tp>
      <tp>
        <v>8.7078651685393263E-2</v>
        <stp/>
        <stp>EM_S_VAL_DIVIDENDYIELD2</stp>
        <stp>3</stp>
        <stp>601608</stp>
        <stp>12/31/2018</stp>
        <stp>2019-11-29</stp>
        <tr r="Q692" s="1"/>
      </tp>
      <tp>
        <v>2.6119402985074625</v>
        <stp/>
        <stp>EM_S_VAL_DIVIDENDYIELD2</stp>
        <stp>3</stp>
        <stp>601618</stp>
        <stp>12/31/2018</stp>
        <stp>2019-11-29</stp>
        <tr r="Q2782" s="1"/>
      </tp>
      <tp>
        <v>0.48765620237732393</v>
        <stp/>
        <stp>EM_S_VAL_DIVIDENDYIELD2</stp>
        <stp>3</stp>
        <stp>601628</stp>
        <stp>12/31/2018</stp>
        <stp>2019-11-29</stp>
        <tr r="Q308" s="1"/>
      </tp>
      <tp>
        <v>1.7678255745433118</v>
        <stp/>
        <stp>EM_S_VAL_DIVIDENDYIELD2</stp>
        <stp>3</stp>
        <stp>601688</stp>
        <stp>12/31/2018</stp>
        <stp>2019-11-29</stp>
        <tr r="Q1013" s="1"/>
      </tp>
      <tp>
        <v>0.31545741324921134</v>
        <stp/>
        <stp>EM_S_VAL_DIVIDENDYIELD2</stp>
        <stp>3</stp>
        <stp>601718</stp>
        <stp>12/31/2018</stp>
        <stp>2019-11-29</stp>
        <tr r="Q2524" s="1"/>
      </tp>
      <tp>
        <v>0.89206066012488849</v>
        <stp/>
        <stp>EM_S_VAL_DIVIDENDYIELD2</stp>
        <stp>3</stp>
        <stp>601788</stp>
        <stp>12/31/2018</stp>
        <stp>2019-11-29</stp>
        <tr r="Q576" s="1"/>
      </tp>
      <tp>
        <v>0</v>
        <stp/>
        <stp>EM_S_VAL_DIVIDENDYIELD2</stp>
        <stp>3</stp>
        <stp>601798</stp>
        <stp>12/31/2018</stp>
        <stp>2019-11-29</stp>
        <tr r="Q1042" s="1"/>
      </tp>
      <tp>
        <v>0</v>
        <stp/>
        <stp>EM_S_VAL_DIVIDENDYIELD2</stp>
        <stp>3</stp>
        <stp>601558</stp>
        <stp>12/31/2018</stp>
        <stp>2019-11-29</stp>
        <tr r="Q2379" s="1"/>
      </tp>
      <tp>
        <v>0.74803149606299202</v>
        <stp/>
        <stp>EM_S_VAL_DIVIDENDYIELD2</stp>
        <stp>3</stp>
        <stp>601518</stp>
        <stp>12/31/2018</stp>
        <stp>2019-11-29</stp>
        <tr r="Q2183" s="1"/>
      </tp>
      <tp>
        <v>3.9473684210526314</v>
        <stp/>
        <stp>EM_S_VAL_DIVIDENDYIELD2</stp>
        <stp>3</stp>
        <stp>601588</stp>
        <stp>12/31/2018</stp>
        <stp>2019-11-29</stp>
        <tr r="Q1361" s="1"/>
      </tp>
      <tp>
        <v>0.99264705882352955</v>
        <stp/>
        <stp>EM_S_VAL_DIVIDENDYIELD2</stp>
        <stp>3</stp>
        <stp>601858</stp>
        <stp>12/31/2018</stp>
        <stp>2019-11-29</stp>
        <tr r="Q1108" s="1"/>
      </tp>
      <tp>
        <v>0.83631723235222355</v>
        <stp/>
        <stp>EM_S_VAL_DIVIDENDYIELD2</stp>
        <stp>3</stp>
        <stp>601878</stp>
        <stp>12/31/2018</stp>
        <stp>2019-11-29</stp>
        <tr r="Q466" s="1"/>
      </tp>
      <tp>
        <v>0.41966426858513178</v>
        <stp/>
        <stp>EM_S_VAL_DIVIDENDYIELD2</stp>
        <stp>3</stp>
        <stp>601808</stp>
        <stp>12/31/2018</stp>
        <stp>2019-11-29</stp>
        <tr r="Q119" s="1"/>
      </tp>
      <tp>
        <v>3.8983033096279756</v>
        <stp/>
        <stp>EM_S_VAL_DIVIDENDYIELD2</stp>
        <stp>3</stp>
        <stp>601818</stp>
        <stp>12/31/2018</stp>
        <stp>2019-11-29</stp>
        <tr r="Q1342" s="1"/>
      </tp>
      <tp>
        <v>2.5257249766136578</v>
        <stp/>
        <stp>EM_S_VAL_DIVIDENDYIELD2</stp>
        <stp>3</stp>
        <stp>601828</stp>
        <stp>12/31/2018</stp>
        <stp>2019-11-29</stp>
        <tr r="Q2154" s="1"/>
      </tp>
      <tp>
        <v>4.0983606557377046</v>
        <stp/>
        <stp>EM_S_VAL_DIVIDENDYIELD2</stp>
        <stp>3</stp>
        <stp>601838</stp>
        <stp>12/31/2018</stp>
        <stp>2019-11-29</stp>
        <tr r="Q1663" s="1"/>
      </tp>
      <tp>
        <v>0.65632458233890212</v>
        <stp/>
        <stp>EM_S_VAL_DIVIDENDYIELD2</stp>
        <stp>3</stp>
        <stp>601888</stp>
        <stp>12/31/2018</stp>
        <stp>2019-11-29</stp>
        <tr r="Q601" s="1"/>
      </tp>
      <tp>
        <v>1.5983606557377052</v>
        <stp/>
        <stp>EM_S_VAL_DIVIDENDYIELD2</stp>
        <stp>3</stp>
        <stp>601898</stp>
        <stp>12/31/2018</stp>
        <stp>2019-11-29</stp>
        <tr r="Q1860" s="1"/>
      </tp>
      <tp>
        <v>1.392757660167131</v>
        <stp/>
        <stp>EM_S_VAL_DIVIDENDYIELD2</stp>
        <stp>3</stp>
        <stp>601958</stp>
        <stp>12/31/2018</stp>
        <stp>2019-11-29</stp>
        <tr r="Q799" s="1"/>
      </tp>
      <tp>
        <v>0.48148148148148151</v>
        <stp/>
        <stp>EM_S_VAL_DIVIDENDYIELD2</stp>
        <stp>3</stp>
        <stp>601968</stp>
        <stp>12/31/2018</stp>
        <stp>2019-11-29</stp>
        <tr r="Q1000" s="1"/>
      </tp>
      <tp>
        <v>2.4503524325087378</v>
        <stp/>
        <stp>EM_S_VAL_DIVIDENDYIELD2</stp>
        <stp>3</stp>
        <stp>601908</stp>
        <stp>12/31/2018</stp>
        <stp>2019-11-29</stp>
        <tr r="Q2539" s="1"/>
      </tp>
      <tp>
        <v>0.29585798816568049</v>
        <stp/>
        <stp>EM_S_VAL_DIVIDENDYIELD2</stp>
        <stp>3</stp>
        <stp>601918</stp>
        <stp>12/31/2018</stp>
        <stp>2019-11-29</stp>
        <tr r="Q1915" s="1"/>
      </tp>
      <tp>
        <v>4.1958041958041958</v>
        <stp/>
        <stp>EM_S_VAL_DIVIDENDYIELD2</stp>
        <stp>3</stp>
        <stp>601928</stp>
        <stp>12/31/2018</stp>
        <stp>2019-11-29</stp>
        <tr r="Q2548" s="1"/>
      </tp>
      <tp>
        <v>5.0688705234159785</v>
        <stp/>
        <stp>EM_S_VAL_DIVIDENDYIELD2</stp>
        <stp>3</stp>
        <stp>601988</stp>
        <stp>12/31/2018</stp>
        <stp>2019-11-29</stp>
        <tr r="Q2120" s="1"/>
      </tp>
      <tp>
        <v>3.8333317284116375</v>
        <stp/>
        <stp>EM_S_VAL_DIVIDENDYIELD2</stp>
        <stp>3</stp>
        <stp>601998</stp>
        <stp>12/31/2018</stp>
        <stp>2019-11-29</stp>
        <tr r="Q1567" s="1"/>
      </tp>
      <tp t="s">
        <v>医药生物</v>
        <stp/>
        <stp>EM_S_INFO_INDEX_EM</stp>
        <stp>2</stp>
        <stp>300294</stp>
        <stp>1</stp>
        <tr r="D1530" s="1"/>
      </tp>
      <tp t="s">
        <v>建筑</v>
        <stp/>
        <stp>EM_S_INFO_INDEX_EM</stp>
        <stp>2</stp>
        <stp>300284</stp>
        <stp>1</stp>
        <tr r="D3100" s="1"/>
      </tp>
      <tp t="s">
        <v>建筑</v>
        <stp/>
        <stp>EM_S_INFO_INDEX_EM</stp>
        <stp>2</stp>
        <stp>600284</stp>
        <stp>1</stp>
        <tr r="D1018" s="1"/>
      </tp>
      <tp t="s">
        <v>有色金属</v>
        <stp/>
        <stp>EM_S_INFO_INDEX_EM</stp>
        <stp>2</stp>
        <stp>300234</stp>
        <stp>1</stp>
        <tr r="D173" s="1"/>
      </tp>
      <tp t="s">
        <v>有色金属</v>
        <stp/>
        <stp>EM_S_INFO_INDEX_EM</stp>
        <stp>2</stp>
        <stp>300224</stp>
        <stp>1</stp>
        <tr r="D372" s="1"/>
      </tp>
      <tp t="s">
        <v>基础化工</v>
        <stp/>
        <stp>EM_S_INFO_INDEX_EM</stp>
        <stp>2</stp>
        <stp>300214</stp>
        <stp>1</stp>
        <tr r="D590" s="1"/>
      </tp>
      <tp t="s">
        <v>医药生物</v>
        <stp/>
        <stp>EM_S_INFO_INDEX_EM</stp>
        <stp>2</stp>
        <stp>300204</stp>
        <stp>1</stp>
        <tr r="D2375" s="1"/>
      </tp>
      <tp t="s">
        <v>电气设备</v>
        <stp/>
        <stp>EM_S_INFO_INDEX_EM</stp>
        <stp>2</stp>
        <stp>300274</stp>
        <stp>1</stp>
        <tr r="D1283" s="1"/>
      </tp>
      <tp t="s">
        <v>信息技术</v>
        <stp/>
        <stp>EM_S_INFO_INDEX_EM</stp>
        <stp>2</stp>
        <stp>300264</stp>
        <stp>1</stp>
        <tr r="D2027" s="1"/>
      </tp>
      <tp t="s">
        <v>房地产</v>
        <stp/>
        <stp>EM_S_INFO_INDEX_EM</stp>
        <stp>2</stp>
        <stp>600234</stp>
        <stp>1</stp>
        <tr r="D1543" s="1"/>
      </tp>
      <tp t="s">
        <v>医药生物</v>
        <stp/>
        <stp>EM_S_INFO_INDEX_EM</stp>
        <stp>2</stp>
        <stp>300254</stp>
        <stp>1</stp>
        <tr r="D1140" s="1"/>
      </tp>
      <tp t="s">
        <v>医药生物</v>
        <stp/>
        <stp>EM_S_INFO_INDEX_EM</stp>
        <stp>2</stp>
        <stp>300244</stp>
        <stp>1</stp>
        <tr r="D671" s="1"/>
      </tp>
      <tp t="s">
        <v>电子设备</v>
        <stp/>
        <stp>EM_S_INFO_INDEX_EM</stp>
        <stp>2</stp>
        <stp>300394</stp>
        <stp>1</stp>
        <tr r="D554" s="1"/>
      </tp>
      <tp t="s">
        <v>基础化工</v>
        <stp/>
        <stp>EM_S_INFO_INDEX_EM</stp>
        <stp>2</stp>
        <stp>300384</stp>
        <stp>1</stp>
        <tr r="D530" s="1"/>
      </tp>
      <tp t="s">
        <v>公用事业</v>
        <stp/>
        <stp>EM_S_INFO_INDEX_EM</stp>
        <stp>2</stp>
        <stp>300334</stp>
        <stp>1</stp>
        <tr r="D2828" s="1"/>
      </tp>
      <tp t="s">
        <v>信息技术</v>
        <stp/>
        <stp>EM_S_INFO_INDEX_EM</stp>
        <stp>2</stp>
        <stp>300324</stp>
        <stp>1</stp>
        <tr r="D2393" s="1"/>
      </tp>
      <tp t="s">
        <v>医药生物</v>
        <stp/>
        <stp>EM_S_INFO_INDEX_EM</stp>
        <stp>2</stp>
        <stp>300314</stp>
        <stp>1</stp>
        <tr r="D1678" s="1"/>
      </tp>
      <tp t="s">
        <v>交运设备</v>
        <stp/>
        <stp>EM_S_INFO_INDEX_EM</stp>
        <stp>2</stp>
        <stp>300304</stp>
        <stp>1</stp>
        <tr r="D949" s="1"/>
      </tp>
      <tp t="s">
        <v>农林牧渔</v>
        <stp/>
        <stp>EM_S_INFO_INDEX_EM</stp>
        <stp>2</stp>
        <stp>600354</stp>
        <stp>1</stp>
        <tr r="D804" s="1"/>
      </tp>
      <tp t="s">
        <v>建筑</v>
        <stp/>
        <stp>EM_S_INFO_INDEX_EM</stp>
        <stp>2</stp>
        <stp>300374</stp>
        <stp>1</stp>
        <tr r="D2349" s="1"/>
      </tp>
      <tp t="s">
        <v>文化传媒</v>
        <stp/>
        <stp>EM_S_INFO_INDEX_EM</stp>
        <stp>2</stp>
        <stp>300364</stp>
        <stp>1</stp>
        <tr r="D2917" s="1"/>
      </tp>
      <tp t="s">
        <v>机械设备</v>
        <stp/>
        <stp>EM_S_INFO_INDEX_EM</stp>
        <stp>2</stp>
        <stp>300354</stp>
        <stp>1</stp>
        <tr r="D542" s="1"/>
      </tp>
      <tp t="s">
        <v>信息技术</v>
        <stp/>
        <stp>EM_S_INFO_INDEX_EM</stp>
        <stp>2</stp>
        <stp>300344</stp>
        <stp>1</stp>
        <tr r="D2757" s="1"/>
      </tp>
      <tp t="s">
        <v>农林牧渔</v>
        <stp/>
        <stp>EM_S_INFO_INDEX_EM</stp>
        <stp>2</stp>
        <stp>300094</stp>
        <stp>1</stp>
        <tr r="D2998" s="1"/>
      </tp>
      <tp t="s">
        <v>机械设备</v>
        <stp/>
        <stp>EM_S_INFO_INDEX_EM</stp>
        <stp>2</stp>
        <stp>300084</stp>
        <stp>1</stp>
        <tr r="D2639" s="1"/>
      </tp>
      <tp t="s">
        <v>食品饮料</v>
        <stp/>
        <stp>EM_S_INFO_INDEX_EM</stp>
        <stp>2</stp>
        <stp>600084</stp>
        <stp>1</stp>
        <tr r="D2817" s="1"/>
      </tp>
      <tp t="s">
        <v>房地产</v>
        <stp/>
        <stp>EM_S_INFO_INDEX_EM</stp>
        <stp>2</stp>
        <stp>600094</stp>
        <stp>1</stp>
        <tr r="D451" s="1"/>
      </tp>
      <tp t="s">
        <v>医药生物</v>
        <stp/>
        <stp>EM_S_INFO_INDEX_EM</stp>
        <stp>2</stp>
        <stp>000004</stp>
        <stp>1</stp>
        <tr r="D715" s="1"/>
      </tp>
      <tp t="s">
        <v>机械设备</v>
        <stp/>
        <stp>EM_S_INFO_INDEX_EM</stp>
        <stp>2</stp>
        <stp>300034</stp>
        <stp>1</stp>
        <tr r="D226" s="1"/>
      </tp>
      <tp t="s">
        <v>房地产</v>
        <stp/>
        <stp>EM_S_INFO_INDEX_EM</stp>
        <stp>2</stp>
        <stp>600064</stp>
        <stp>1</stp>
        <tr r="D1144" s="1"/>
      </tp>
      <tp t="s">
        <v>房地产</v>
        <stp/>
        <stp>EM_S_INFO_INDEX_EM</stp>
        <stp>2</stp>
        <stp>000014</stp>
        <stp>1</stp>
        <tr r="D2219" s="1"/>
      </tp>
      <tp t="s">
        <v>机械设备</v>
        <stp/>
        <stp>EM_S_INFO_INDEX_EM</stp>
        <stp>2</stp>
        <stp>300024</stp>
        <stp>1</stp>
        <tr r="D1953" s="1"/>
      </tp>
      <tp t="s">
        <v>电子设备</v>
        <stp/>
        <stp>EM_S_INFO_INDEX_EM</stp>
        <stp>2</stp>
        <stp>600074</stp>
        <stp>1</stp>
        <tr r="D2876" s="1"/>
      </tp>
      <tp>
        <v>0</v>
        <stp/>
        <stp>EM_S_INFO_INDEX_EM</stp>
        <stp>2</stp>
        <stp>000024</stp>
        <stp>1</stp>
        <tr r="D2274" s="1"/>
      </tp>
      <tp t="s">
        <v>有色金属</v>
        <stp/>
        <stp>EM_S_INFO_INDEX_EM</stp>
        <stp>2</stp>
        <stp>300014</stp>
        <stp>1</stp>
        <tr r="D40" s="1"/>
      </tp>
      <tp t="s">
        <v>信息技术</v>
        <stp/>
        <stp>EM_S_INFO_INDEX_EM</stp>
        <stp>2</stp>
        <stp>000034</stp>
        <stp>1</stp>
        <tr r="D564" s="1"/>
      </tp>
      <tp t="s">
        <v>机械设备</v>
        <stp/>
        <stp>EM_S_INFO_INDEX_EM</stp>
        <stp>2</stp>
        <stp>300004</stp>
        <stp>1</stp>
        <tr r="D259" s="1"/>
      </tp>
      <tp t="s">
        <v>休闲、生活及专业服务</v>
        <stp/>
        <stp>EM_S_INFO_INDEX_EM</stp>
        <stp>2</stp>
        <stp>600054</stp>
        <stp>1</stp>
        <tr r="D2451" s="1"/>
      </tp>
      <tp t="s">
        <v>信息技术</v>
        <stp/>
        <stp>EM_S_INFO_INDEX_EM</stp>
        <stp>2</stp>
        <stp>300074</stp>
        <stp>1</stp>
        <tr r="D1462" s="1"/>
      </tp>
      <tp t="s">
        <v>有色金属</v>
        <stp/>
        <stp>EM_S_INFO_INDEX_EM</stp>
        <stp>2</stp>
        <stp>300064</stp>
        <stp>1</stp>
        <tr r="D3172" s="1"/>
      </tp>
      <tp t="s">
        <v>基础化工</v>
        <stp/>
        <stp>EM_S_INFO_INDEX_EM</stp>
        <stp>2</stp>
        <stp>300054</stp>
        <stp>1</stp>
        <tr r="D635" s="1"/>
      </tp>
      <tp t="s">
        <v>交通运输</v>
        <stp/>
        <stp>EM_S_INFO_INDEX_EM</stp>
        <stp>2</stp>
        <stp>600004</stp>
        <stp>1</stp>
        <tr r="D266" s="1"/>
      </tp>
      <tp t="s">
        <v>信息技术</v>
        <stp/>
        <stp>EM_S_INFO_INDEX_EM</stp>
        <stp>2</stp>
        <stp>300044</stp>
        <stp>1</stp>
        <tr r="D1874" s="1"/>
      </tp>
      <tp t="s">
        <v>医药生物</v>
        <stp/>
        <stp>EM_S_INFO_INDEX_EM</stp>
        <stp>2</stp>
        <stp>300194</stp>
        <stp>1</stp>
        <tr r="D334" s="1"/>
      </tp>
      <tp t="s">
        <v>电子设备</v>
        <stp/>
        <stp>EM_S_INFO_INDEX_EM</stp>
        <stp>2</stp>
        <stp>300184</stp>
        <stp>1</stp>
        <tr r="D2506" s="1"/>
      </tp>
      <tp t="s">
        <v>国防与装备</v>
        <stp/>
        <stp>EM_S_INFO_INDEX_EM</stp>
        <stp>2</stp>
        <stp>600184</stp>
        <stp>1</stp>
        <tr r="D1421" s="1"/>
      </tp>
      <tp t="s">
        <v>信息技术</v>
        <stp/>
        <stp>EM_S_INFO_INDEX_EM</stp>
        <stp>2</stp>
        <stp>300134</stp>
        <stp>1</stp>
        <tr r="D367" s="1"/>
      </tp>
      <tp t="s">
        <v>机械设备</v>
        <stp/>
        <stp>EM_S_INFO_INDEX_EM</stp>
        <stp>2</stp>
        <stp>300124</stp>
        <stp>1</stp>
        <tr r="D514" s="1"/>
      </tp>
      <tp t="s">
        <v>机械设备</v>
        <stp/>
        <stp>EM_S_INFO_INDEX_EM</stp>
        <stp>2</stp>
        <stp>300114</stp>
        <stp>1</stp>
        <tr r="D433" s="1"/>
      </tp>
      <tp t="s">
        <v>互联网</v>
        <stp/>
        <stp>EM_S_INFO_INDEX_EM</stp>
        <stp>2</stp>
        <stp>300104</stp>
        <stp>1</stp>
        <tr r="D3241" s="1"/>
      </tp>
      <tp t="s">
        <v>互联网</v>
        <stp/>
        <stp>EM_S_INFO_INDEX_EM</stp>
        <stp>2</stp>
        <stp>300174</stp>
        <stp>1</stp>
        <tr r="D701" s="1"/>
      </tp>
      <tp t="s">
        <v>化石能源</v>
        <stp/>
        <stp>EM_S_INFO_INDEX_EM</stp>
        <stp>2</stp>
        <stp>300164</stp>
        <stp>1</stp>
        <tr r="D2988" s="1"/>
      </tp>
      <tp t="s">
        <v>机械设备</v>
        <stp/>
        <stp>EM_S_INFO_INDEX_EM</stp>
        <stp>2</stp>
        <stp>300154</stp>
        <stp>1</stp>
        <tr r="D1433" s="1"/>
      </tp>
      <tp t="s">
        <v>交运设备</v>
        <stp/>
        <stp>EM_S_INFO_INDEX_EM</stp>
        <stp>2</stp>
        <stp>600104</stp>
        <stp>1</stp>
        <tr r="D2780" s="1"/>
      </tp>
      <tp t="s">
        <v>休闲、生活及专业服务</v>
        <stp/>
        <stp>EM_S_INFO_INDEX_EM</stp>
        <stp>2</stp>
        <stp>300144</stp>
        <stp>1</stp>
        <tr r="D664" s="1"/>
      </tp>
      <tp t="s">
        <v>机械设备</v>
        <stp/>
        <stp>EM_S_INFO_INDEX_EM</stp>
        <stp>2</stp>
        <stp>600114</stp>
        <stp>1</stp>
        <tr r="D729" s="1"/>
      </tp>
      <tp t="s">
        <v>基础化工</v>
        <stp/>
        <stp>EM_S_INFO_INDEX_EM</stp>
        <stp>2</stp>
        <stp>300684</stp>
        <stp>1</stp>
        <tr r="D2979" s="1"/>
      </tp>
      <tp t="s">
        <v>房地产</v>
        <stp/>
        <stp>EM_S_INFO_INDEX_EM</stp>
        <stp>2</stp>
        <stp>600684</stp>
        <stp>1</stp>
        <tr r="D2854" s="1"/>
      </tp>
      <tp t="s">
        <v>商贸零售</v>
        <stp/>
        <stp>EM_S_INFO_INDEX_EM</stp>
        <stp>2</stp>
        <stp>600694</stp>
        <stp>1</stp>
        <tr r="D1594" s="1"/>
      </tp>
      <tp t="s">
        <v>信息技术</v>
        <stp/>
        <stp>EM_S_INFO_INDEX_EM</stp>
        <stp>2</stp>
        <stp>300634</stp>
        <stp>1</stp>
        <tr r="D3171" s="1"/>
      </tp>
      <tp t="s">
        <v>医药生物</v>
        <stp/>
        <stp>EM_S_INFO_INDEX_EM</stp>
        <stp>2</stp>
        <stp>600664</stp>
        <stp>1</stp>
        <tr r="D2644" s="1"/>
      </tp>
      <tp t="s">
        <v>信息技术</v>
        <stp/>
        <stp>EM_S_INFO_INDEX_EM</stp>
        <stp>2</stp>
        <stp>300624</stp>
        <stp>1</stp>
        <tr r="D1409" s="1"/>
      </tp>
      <tp t="s">
        <v>公用事业</v>
        <stp/>
        <stp>EM_S_INFO_INDEX_EM</stp>
        <stp>2</stp>
        <stp>600674</stp>
        <stp>1</stp>
        <tr r="D1589" s="1"/>
      </tp>
      <tp t="s">
        <v>公用事业</v>
        <stp/>
        <stp>EM_S_INFO_INDEX_EM</stp>
        <stp>2</stp>
        <stp>600644</stp>
        <stp>1</stp>
        <tr r="D1143" s="1"/>
      </tp>
      <tp t="s">
        <v>机械设备</v>
        <stp/>
        <stp>EM_S_INFO_INDEX_EM</stp>
        <stp>2</stp>
        <stp>300604</stp>
        <stp>1</stp>
        <tr r="D3085" s="1"/>
      </tp>
      <tp t="s">
        <v>信息技术</v>
        <stp/>
        <stp>EM_S_INFO_INDEX_EM</stp>
        <stp>2</stp>
        <stp>600654</stp>
        <stp>1</stp>
        <tr r="D2568" s="1"/>
      </tp>
      <tp t="s">
        <v>医药生物</v>
        <stp/>
        <stp>EM_S_INFO_INDEX_EM</stp>
        <stp>2</stp>
        <stp>600624</stp>
        <stp>1</stp>
        <tr r="D437" s="1"/>
      </tp>
      <tp t="s">
        <v>公用事业</v>
        <stp/>
        <stp>EM_S_INFO_INDEX_EM</stp>
        <stp>2</stp>
        <stp>300664</stp>
        <stp>1</stp>
        <tr r="D1901" s="1"/>
      </tp>
      <tp t="s">
        <v>互联网</v>
        <stp/>
        <stp>EM_S_INFO_INDEX_EM</stp>
        <stp>2</stp>
        <stp>600634</stp>
        <stp>1</stp>
        <tr r="D3293" s="1"/>
      </tp>
      <tp t="s">
        <v>文化传媒</v>
        <stp/>
        <stp>EM_S_INFO_INDEX_EM</stp>
        <stp>2</stp>
        <stp>300654</stp>
        <stp>1</stp>
        <tr r="D3061" s="1"/>
      </tp>
      <tp t="s">
        <v>房地产</v>
        <stp/>
        <stp>EM_S_INFO_INDEX_EM</stp>
        <stp>2</stp>
        <stp>600604</stp>
        <stp>1</stp>
        <tr r="D1429" s="1"/>
      </tp>
      <tp t="s">
        <v>基础化工</v>
        <stp/>
        <stp>EM_S_INFO_INDEX_EM</stp>
        <stp>2</stp>
        <stp>300644</stp>
        <stp>1</stp>
        <tr r="D2969" s="1"/>
      </tp>
      <tp t="s">
        <v>有色金属</v>
        <stp/>
        <stp>EM_S_INFO_INDEX_EM</stp>
        <stp>2</stp>
        <stp>600614</stp>
        <stp>1</stp>
        <tr r="D3373" s="1"/>
      </tp>
      <tp t="s">
        <v>综合</v>
        <stp/>
        <stp>EM_S_INFO_INDEX_EM</stp>
        <stp>2</stp>
        <stp>600784</stp>
        <stp>1</stp>
        <tr r="D2018" s="1"/>
      </tp>
      <tp t="s">
        <v>交通运输</v>
        <stp/>
        <stp>EM_S_INFO_INDEX_EM</stp>
        <stp>2</stp>
        <stp>600794</stp>
        <stp>1</stp>
        <tr r="D627" s="1"/>
      </tp>
      <tp t="s">
        <v>国防与装备</v>
        <stp/>
        <stp>EM_S_INFO_INDEX_EM</stp>
        <stp>2</stp>
        <stp>600764</stp>
        <stp>1</stp>
        <tr r="D1185" s="1"/>
      </tp>
      <tp t="s">
        <v>商贸零售</v>
        <stp/>
        <stp>EM_S_INFO_INDEX_EM</stp>
        <stp>2</stp>
        <stp>600774</stp>
        <stp>1</stp>
        <tr r="D3117" s="1"/>
      </tp>
      <tp t="s">
        <v>公用事业</v>
        <stp/>
        <stp>EM_S_INFO_INDEX_EM</stp>
        <stp>2</stp>
        <stp>600744</stp>
        <stp>1</stp>
        <tr r="D2416" s="1"/>
      </tp>
      <tp t="s">
        <v>休闲、生活及专业服务</v>
        <stp/>
        <stp>EM_S_INFO_INDEX_EM</stp>
        <stp>2</stp>
        <stp>600754</stp>
        <stp>1</stp>
        <tr r="D789" s="1"/>
      </tp>
      <tp t="s">
        <v>房地产</v>
        <stp/>
        <stp>EM_S_INFO_INDEX_EM</stp>
        <stp>2</stp>
        <stp>600724</stp>
        <stp>1</stp>
        <tr r="D1617" s="1"/>
      </tp>
      <tp t="s">
        <v>电子设备</v>
        <stp/>
        <stp>EM_S_INFO_INDEX_EM</stp>
        <stp>2</stp>
        <stp>600734</stp>
        <stp>1</stp>
        <tr r="D1850" s="1"/>
      </tp>
      <tp t="s">
        <v>交通运输</v>
        <stp/>
        <stp>EM_S_INFO_INDEX_EM</stp>
        <stp>2</stp>
        <stp>600704</stp>
        <stp>1</stp>
        <tr r="D1522" s="1"/>
      </tp>
      <tp t="s">
        <v>基础化工</v>
        <stp/>
        <stp>EM_S_INFO_INDEX_EM</stp>
        <stp>2</stp>
        <stp>600714</stp>
        <stp>1</stp>
        <tr r="D2212" s="1"/>
      </tp>
      <tp t="s">
        <v>互联网</v>
        <stp/>
        <stp>EM_S_INFO_INDEX_EM</stp>
        <stp>2</stp>
        <stp>300494</stp>
        <stp>1</stp>
        <tr r="D404" s="1"/>
      </tp>
      <tp t="s">
        <v>电气设备</v>
        <stp/>
        <stp>EM_S_INFO_INDEX_EM</stp>
        <stp>2</stp>
        <stp>300484</stp>
        <stp>1</stp>
        <tr r="D3031" s="1"/>
      </tp>
      <tp t="s">
        <v>家电</v>
        <stp/>
        <stp>EM_S_INFO_INDEX_EM</stp>
        <stp>2</stp>
        <stp>000404</stp>
        <stp>1</stp>
        <tr r="D2194" s="1"/>
      </tp>
      <tp t="s">
        <v>医药生物</v>
        <stp/>
        <stp>EM_S_INFO_INDEX_EM</stp>
        <stp>2</stp>
        <stp>300434</stp>
        <stp>1</stp>
        <tr r="D2981" s="1"/>
      </tp>
      <tp t="s">
        <v>国防与装备</v>
        <stp/>
        <stp>EM_S_INFO_INDEX_EM</stp>
        <stp>2</stp>
        <stp>300424</stp>
        <stp>1</stp>
        <tr r="D1457" s="1"/>
      </tp>
      <tp t="s">
        <v>电气设备</v>
        <stp/>
        <stp>EM_S_INFO_INDEX_EM</stp>
        <stp>2</stp>
        <stp>300414</stp>
        <stp>1</stp>
        <tr r="D3089" s="1"/>
      </tp>
      <tp t="s">
        <v>机械设备</v>
        <stp/>
        <stp>EM_S_INFO_INDEX_EM</stp>
        <stp>2</stp>
        <stp>600444</stp>
        <stp>1</stp>
        <tr r="D1702" s="1"/>
      </tp>
      <tp t="s">
        <v>医药生物</v>
        <stp/>
        <stp>EM_S_INFO_INDEX_EM</stp>
        <stp>2</stp>
        <stp>300404</stp>
        <stp>1</stp>
        <tr r="D1027" s="1"/>
      </tp>
      <tp t="s">
        <v>电子设备</v>
        <stp/>
        <stp>EM_S_INFO_INDEX_EM</stp>
        <stp>2</stp>
        <stp>300474</stp>
        <stp>1</stp>
        <tr r="D392" s="1"/>
      </tp>
      <tp t="s">
        <v>机械设备</v>
        <stp/>
        <stp>EM_S_INFO_INDEX_EM</stp>
        <stp>2</stp>
        <stp>300464</stp>
        <stp>1</stp>
        <tr r="D195" s="1"/>
      </tp>
      <tp t="s">
        <v>信息技术</v>
        <stp/>
        <stp>EM_S_INFO_INDEX_EM</stp>
        <stp>2</stp>
        <stp>300454</stp>
        <stp>1</stp>
        <tr r="D1028" s="1"/>
      </tp>
      <tp t="s">
        <v>电气设备</v>
        <stp/>
        <stp>EM_S_INFO_INDEX_EM</stp>
        <stp>2</stp>
        <stp>300444</stp>
        <stp>1</stp>
        <tr r="D3128" s="1"/>
      </tp>
      <tp t="s">
        <v>机械设备</v>
        <stp/>
        <stp>EM_S_INFO_INDEX_EM</stp>
        <stp>2</stp>
        <stp>000584</stp>
        <stp>1</stp>
        <tr r="D2403" s="1"/>
      </tp>
      <tp>
        <v>0</v>
        <stp/>
        <stp>EM_S_INFO_INDEX_EM</stp>
        <stp>2</stp>
        <stp>000594</stp>
        <stp>1</stp>
        <tr r="D3474" s="1"/>
      </tp>
      <tp t="s">
        <v>医药生物</v>
        <stp/>
        <stp>EM_S_INFO_INDEX_EM</stp>
        <stp>2</stp>
        <stp>300584</stp>
        <stp>1</stp>
        <tr r="D1602" s="1"/>
      </tp>
      <tp t="s">
        <v>电子设备</v>
        <stp/>
        <stp>EM_S_INFO_INDEX_EM</stp>
        <stp>2</stp>
        <stp>600584</stp>
        <stp>1</stp>
        <tr r="D62" s="1"/>
      </tp>
      <tp t="s">
        <v>医药生物</v>
        <stp/>
        <stp>EM_S_INFO_INDEX_EM</stp>
        <stp>2</stp>
        <stp>600594</stp>
        <stp>1</stp>
        <tr r="D2856" s="1"/>
      </tp>
      <tp t="s">
        <v>公用事业</v>
        <stp/>
        <stp>EM_S_INFO_INDEX_EM</stp>
        <stp>2</stp>
        <stp>000504</stp>
        <stp>1</stp>
        <tr r="D3431" s="1"/>
      </tp>
      <tp t="s">
        <v>医药生物</v>
        <stp/>
        <stp>EM_S_INFO_INDEX_EM</stp>
        <stp>2</stp>
        <stp>300534</stp>
        <stp>1</stp>
        <tr r="D2141" s="1"/>
      </tp>
      <tp t="s">
        <v>房地产</v>
        <stp/>
        <stp>EM_S_INFO_INDEX_EM</stp>
        <stp>2</stp>
        <stp>000514</stp>
        <stp>1</stp>
        <tr r="D3437" s="1"/>
      </tp>
      <tp t="s">
        <v>休闲、生活及专业服务</v>
        <stp/>
        <stp>EM_S_INFO_INDEX_EM</stp>
        <stp>2</stp>
        <stp>000524</stp>
        <stp>1</stp>
        <tr r="D1832" s="1"/>
      </tp>
      <tp t="s">
        <v>电气设备</v>
        <stp/>
        <stp>EM_S_INFO_INDEX_EM</stp>
        <stp>2</stp>
        <stp>300514</stp>
        <stp>1</stp>
        <tr r="D2250" s="1"/>
      </tp>
      <tp t="s">
        <v>房地产</v>
        <stp/>
        <stp>EM_S_INFO_INDEX_EM</stp>
        <stp>2</stp>
        <stp>000534</stp>
        <stp>1</stp>
        <tr r="D2858" s="1"/>
      </tp>
      <tp t="s">
        <v>信息技术</v>
        <stp/>
        <stp>EM_S_INFO_INDEX_EM</stp>
        <stp>2</stp>
        <stp>300504</stp>
        <stp>1</stp>
        <tr r="D2863" s="1"/>
      </tp>
      <tp t="s">
        <v>公用事业</v>
        <stp/>
        <stp>EM_S_INFO_INDEX_EM</stp>
        <stp>2</stp>
        <stp>000544</stp>
        <stp>1</stp>
        <tr r="D1160" s="1"/>
      </tp>
      <tp t="s">
        <v>化石能源</v>
        <stp/>
        <stp>EM_S_INFO_INDEX_EM</stp>
        <stp>2</stp>
        <stp>000554</stp>
        <stp>1</stp>
        <tr r="D2564" s="1"/>
      </tp>
      <tp t="s">
        <v>商贸零售</v>
        <stp/>
        <stp>EM_S_INFO_INDEX_EM</stp>
        <stp>2</stp>
        <stp>000564</stp>
        <stp>1</stp>
        <tr r="D3457" s="1"/>
      </tp>
      <tp t="s">
        <v>有色金属</v>
        <stp/>
        <stp>EM_S_INFO_INDEX_EM</stp>
        <stp>2</stp>
        <stp>300554</stp>
        <stp>1</stp>
        <tr r="D2839" s="1"/>
      </tp>
      <tp t="s">
        <v>有色金属</v>
        <stp/>
        <stp>EM_S_INFO_INDEX_EM</stp>
        <stp>2</stp>
        <stp>600884</stp>
        <stp>1</stp>
        <tr r="D1987" s="1"/>
      </tp>
      <tp t="s">
        <v>机械设备</v>
        <stp/>
        <stp>EM_S_INFO_INDEX_EM</stp>
        <stp>2</stp>
        <stp>600894</stp>
        <stp>1</stp>
        <tr r="D802" s="1"/>
      </tp>
      <tp t="s">
        <v>金融</v>
        <stp/>
        <stp>EM_S_INFO_INDEX_EM</stp>
        <stp>2</stp>
        <stp>600864</stp>
        <stp>1</stp>
        <tr r="D222" s="1"/>
      </tp>
      <tp t="s">
        <v>公用事业</v>
        <stp/>
        <stp>EM_S_INFO_INDEX_EM</stp>
        <stp>2</stp>
        <stp>600874</stp>
        <stp>1</stp>
        <tr r="D2879" s="1"/>
      </tp>
      <tp t="s">
        <v>基础化工</v>
        <stp/>
        <stp>EM_S_INFO_INDEX_EM</stp>
        <stp>2</stp>
        <stp>600844</stp>
        <stp>1</stp>
        <tr r="D467" s="1"/>
      </tp>
      <tp t="s">
        <v>家电</v>
        <stp/>
        <stp>EM_S_INFO_INDEX_EM</stp>
        <stp>2</stp>
        <stp>600854</stp>
        <stp>1</stp>
        <tr r="D1766" s="1"/>
      </tp>
      <tp t="s">
        <v>纺织服装</v>
        <stp/>
        <stp>EM_S_INFO_INDEX_EM</stp>
        <stp>2</stp>
        <stp>600824</stp>
        <stp>1</stp>
        <tr r="D2064" s="1"/>
      </tp>
      <tp t="s">
        <v>交通运输</v>
        <stp/>
        <stp>EM_S_INFO_INDEX_EM</stp>
        <stp>2</stp>
        <stp>600834</stp>
        <stp>1</stp>
        <tr r="D1990" s="1"/>
      </tp>
      <tp t="s">
        <v>信息技术</v>
        <stp/>
        <stp>EM_S_INFO_INDEX_EM</stp>
        <stp>2</stp>
        <stp>600804</stp>
        <stp>1</stp>
        <tr r="D2849" s="1"/>
      </tp>
      <tp t="s">
        <v>商贸零售</v>
        <stp/>
        <stp>EM_S_INFO_INDEX_EM</stp>
        <stp>2</stp>
        <stp>600814</stp>
        <stp>1</stp>
        <tr r="D2267" s="1"/>
      </tp>
      <tp t="s">
        <v>机械设备</v>
        <stp/>
        <stp>EM_S_INFO_INDEX_EM</stp>
        <stp>2</stp>
        <stp>600984</stp>
        <stp>1</stp>
        <tr r="D159" s="1"/>
      </tp>
      <tp t="s">
        <v>商贸零售</v>
        <stp/>
        <stp>EM_S_INFO_INDEX_EM</stp>
        <stp>2</stp>
        <stp>603214</stp>
        <stp>1</stp>
        <tr r="D1650" s="1"/>
      </tp>
      <tp t="s">
        <v>互联网</v>
        <stp/>
        <stp>EM_S_INFO_INDEX_EM</stp>
        <stp>2</stp>
        <stp>603444</stp>
        <stp>1</stp>
        <tr r="D141" s="1"/>
      </tp>
      <tp t="s">
        <v>交运设备</v>
        <stp/>
        <stp>EM_S_INFO_INDEX_EM</stp>
        <stp>2</stp>
        <stp>002284</stp>
        <stp>1</stp>
        <tr r="D1226" s="1"/>
      </tp>
      <tp t="s">
        <v>医药生物</v>
        <stp/>
        <stp>EM_S_INFO_INDEX_EM</stp>
        <stp>2</stp>
        <stp>002294</stp>
        <stp>1</stp>
        <tr r="D2519" s="1"/>
      </tp>
      <tp t="s">
        <v>机械设备</v>
        <stp/>
        <stp>EM_S_INFO_INDEX_EM</stp>
        <stp>2</stp>
        <stp>002204</stp>
        <stp>1</stp>
        <tr r="D1806" s="1"/>
      </tp>
      <tp t="s">
        <v>电子设备</v>
        <stp/>
        <stp>EM_S_INFO_INDEX_EM</stp>
        <stp>2</stp>
        <stp>002214</stp>
        <stp>1</stp>
        <tr r="D189" s="1"/>
      </tp>
      <tp t="s">
        <v>基础化工</v>
        <stp/>
        <stp>EM_S_INFO_INDEX_EM</stp>
        <stp>2</stp>
        <stp>002224</stp>
        <stp>1</stp>
        <tr r="D1500" s="1"/>
      </tp>
      <tp t="s">
        <v>农林牧渔</v>
        <stp/>
        <stp>EM_S_INFO_INDEX_EM</stp>
        <stp>2</stp>
        <stp>002234</stp>
        <stp>1</stp>
        <tr r="D58" s="1"/>
      </tp>
      <tp t="s">
        <v>房地产</v>
        <stp/>
        <stp>EM_S_INFO_INDEX_EM</stp>
        <stp>2</stp>
        <stp>002244</stp>
        <stp>1</stp>
        <tr r="D1120" s="1"/>
      </tp>
      <tp t="s">
        <v>基础化工</v>
        <stp/>
        <stp>EM_S_INFO_INDEX_EM</stp>
        <stp>2</stp>
        <stp>002254</stp>
        <stp>1</stp>
        <tr r="D2504" s="1"/>
      </tp>
      <tp t="s">
        <v>商贸零售</v>
        <stp/>
        <stp>EM_S_INFO_INDEX_EM</stp>
        <stp>2</stp>
        <stp>002264</stp>
        <stp>1</stp>
        <tr r="D2960" s="1"/>
      </tp>
      <tp t="s">
        <v>基础化工</v>
        <stp/>
        <stp>EM_S_INFO_INDEX_EM</stp>
        <stp>2</stp>
        <stp>002274</stp>
        <stp>1</stp>
        <tr r="D999" s="1"/>
      </tp>
      <tp t="s">
        <v>信息技术</v>
        <stp/>
        <stp>EM_S_INFO_INDEX_EM</stp>
        <stp>2</stp>
        <stp>002384</stp>
        <stp>1</stp>
        <tr r="D172" s="1"/>
      </tp>
      <tp t="s">
        <v>纺织服装</v>
        <stp/>
        <stp>EM_S_INFO_INDEX_EM</stp>
        <stp>2</stp>
        <stp>002394</stp>
        <stp>1</stp>
        <tr r="D2636" s="1"/>
      </tp>
      <tp t="s">
        <v>食品饮料</v>
        <stp/>
        <stp>EM_S_INFO_INDEX_EM</stp>
        <stp>2</stp>
        <stp>002304</stp>
        <stp>1</stp>
        <tr r="D1400" s="1"/>
      </tp>
      <tp t="s">
        <v>房地产</v>
        <stp/>
        <stp>EM_S_INFO_INDEX_EM</stp>
        <stp>2</stp>
        <stp>002314</stp>
        <stp>1</stp>
        <tr r="D1918" s="1"/>
      </tp>
      <tp t="s">
        <v>基础化工</v>
        <stp/>
        <stp>EM_S_INFO_INDEX_EM</stp>
        <stp>2</stp>
        <stp>002324</stp>
        <stp>1</stp>
        <tr r="D820" s="1"/>
      </tp>
      <tp t="s">
        <v>电气设备</v>
        <stp/>
        <stp>EM_S_INFO_INDEX_EM</stp>
        <stp>2</stp>
        <stp>002334</stp>
        <stp>1</stp>
        <tr r="D2234" s="1"/>
      </tp>
      <tp t="s">
        <v>商贸零售</v>
        <stp/>
        <stp>EM_S_INFO_INDEX_EM</stp>
        <stp>2</stp>
        <stp>002344</stp>
        <stp>1</stp>
        <tr r="D2491" s="1"/>
      </tp>
      <tp t="s">
        <v>互联网</v>
        <stp/>
        <stp>EM_S_INFO_INDEX_EM</stp>
        <stp>2</stp>
        <stp>002354</stp>
        <stp>1</stp>
        <tr r="D3345" s="1"/>
      </tp>
      <tp t="s">
        <v>电气设备</v>
        <stp/>
        <stp>EM_S_INFO_INDEX_EM</stp>
        <stp>2</stp>
        <stp>002364</stp>
        <stp>1</stp>
        <tr r="D2413" s="1"/>
      </tp>
      <tp t="s">
        <v>建筑</v>
        <stp/>
        <stp>EM_S_INFO_INDEX_EM</stp>
        <stp>2</stp>
        <stp>002374</stp>
        <stp>1</stp>
        <tr r="D2545" s="1"/>
      </tp>
      <tp t="s">
        <v>机械设备</v>
        <stp/>
        <stp>EM_S_INFO_INDEX_EM</stp>
        <stp>2</stp>
        <stp>002084</stp>
        <stp>1</stp>
        <tr r="D346" s="1"/>
      </tp>
      <tp t="s">
        <v>商贸零售</v>
        <stp/>
        <stp>EM_S_INFO_INDEX_EM</stp>
        <stp>2</stp>
        <stp>002094</stp>
        <stp>1</stp>
        <tr r="D2354" s="1"/>
      </tp>
      <tp t="s">
        <v>基础化工</v>
        <stp/>
        <stp>EM_S_INFO_INDEX_EM</stp>
        <stp>2</stp>
        <stp>002004</stp>
        <stp>1</stp>
        <tr r="D1958" s="1"/>
      </tp>
      <tp t="s">
        <v>轻工制造</v>
        <stp/>
        <stp>EM_S_INFO_INDEX_EM</stp>
        <stp>2</stp>
        <stp>002014</stp>
        <stp>1</stp>
        <tr r="D643" s="1"/>
      </tp>
      <tp t="s">
        <v>商贸零售</v>
        <stp/>
        <stp>EM_S_INFO_INDEX_EM</stp>
        <stp>2</stp>
        <stp>002024</stp>
        <stp>1</stp>
        <tr r="D2136" s="1"/>
      </tp>
      <tp t="s">
        <v>公用事业</v>
        <stp/>
        <stp>EM_S_INFO_INDEX_EM</stp>
        <stp>2</stp>
        <stp>002034</stp>
        <stp>1</stp>
        <tr r="D3612" s="1"/>
      </tp>
      <tp t="s">
        <v>医药生物</v>
        <stp/>
        <stp>EM_S_INFO_INDEX_EM</stp>
        <stp>2</stp>
        <stp>002044</stp>
        <stp>1</stp>
        <tr r="D2450" s="1"/>
      </tp>
      <tp t="s">
        <v>基础化工</v>
        <stp/>
        <stp>EM_S_INFO_INDEX_EM</stp>
        <stp>2</stp>
        <stp>002054</stp>
        <stp>1</stp>
        <tr r="D3620" s="1"/>
      </tp>
      <tp t="s">
        <v>基础化工</v>
        <stp/>
        <stp>EM_S_INFO_INDEX_EM</stp>
        <stp>2</stp>
        <stp>002064</stp>
        <stp>1</stp>
        <tr r="D557" s="1"/>
      </tp>
      <tp t="s">
        <v>电气设备</v>
        <stp/>
        <stp>EM_S_INFO_INDEX_EM</stp>
        <stp>2</stp>
        <stp>002074</stp>
        <stp>1</stp>
        <tr r="D1128" s="1"/>
      </tp>
      <tp t="s">
        <v>电气设备</v>
        <stp/>
        <stp>EM_S_INFO_INDEX_EM</stp>
        <stp>2</stp>
        <stp>002184</stp>
        <stp>1</stp>
        <tr r="D1608" s="1"/>
      </tp>
      <tp t="s">
        <v>信息技术</v>
        <stp/>
        <stp>EM_S_INFO_INDEX_EM</stp>
        <stp>2</stp>
        <stp>002194</stp>
        <stp>1</stp>
        <tr r="D48" s="1"/>
      </tp>
      <tp t="s">
        <v>信息技术</v>
        <stp/>
        <stp>EM_S_INFO_INDEX_EM</stp>
        <stp>2</stp>
        <stp>002104</stp>
        <stp>1</stp>
        <tr r="D962" s="1"/>
      </tp>
      <tp t="s">
        <v>有色金属</v>
        <stp/>
        <stp>EM_S_INFO_INDEX_EM</stp>
        <stp>2</stp>
        <stp>002114</stp>
        <stp>1</stp>
        <tr r="D3638" s="1"/>
      </tp>
      <tp t="s">
        <v>农林牧渔</v>
        <stp/>
        <stp>EM_S_INFO_INDEX_EM</stp>
        <stp>2</stp>
        <stp>002124</stp>
        <stp>1</stp>
        <tr r="D3641" s="1"/>
      </tp>
      <tp t="s">
        <v>电子设备</v>
        <stp/>
        <stp>EM_S_INFO_INDEX_EM</stp>
        <stp>2</stp>
        <stp>002134</stp>
        <stp>1</stp>
        <tr r="D424" s="1"/>
      </tp>
      <tp t="s">
        <v>纺织服装</v>
        <stp/>
        <stp>EM_S_INFO_INDEX_EM</stp>
        <stp>2</stp>
        <stp>002144</stp>
        <stp>1</stp>
        <tr r="D2202" s="1"/>
      </tp>
      <tp t="s">
        <v>纺织服装</v>
        <stp/>
        <stp>EM_S_INFO_INDEX_EM</stp>
        <stp>2</stp>
        <stp>002154</stp>
        <stp>1</stp>
        <tr r="D1861" s="1"/>
      </tp>
      <tp t="s">
        <v>机械设备</v>
        <stp/>
        <stp>EM_S_INFO_INDEX_EM</stp>
        <stp>2</stp>
        <stp>002164</stp>
        <stp>1</stp>
        <tr r="D733" s="1"/>
      </tp>
      <tp t="s">
        <v>互联网</v>
        <stp/>
        <stp>EM_S_INFO_INDEX_EM</stp>
        <stp>2</stp>
        <stp>002174</stp>
        <stp>1</stp>
        <tr r="D1138" s="1"/>
      </tp>
      <tp t="s">
        <v>交运设备</v>
        <stp/>
        <stp>EM_S_INFO_INDEX_EM</stp>
        <stp>2</stp>
        <stp>002684</stp>
        <stp>1</stp>
        <tr r="D2556" s="1"/>
      </tp>
      <tp t="s">
        <v>建材</v>
        <stp/>
        <stp>EM_S_INFO_INDEX_EM</stp>
        <stp>2</stp>
        <stp>002694</stp>
        <stp>1</stp>
        <tr r="D3113" s="1"/>
      </tp>
      <tp t="s">
        <v>农林牧渔</v>
        <stp/>
        <stp>EM_S_INFO_INDEX_EM</stp>
        <stp>2</stp>
        <stp>002604</stp>
        <stp>1</stp>
        <tr r="D1363" s="1"/>
      </tp>
      <tp t="s">
        <v>家电</v>
        <stp/>
        <stp>EM_S_INFO_INDEX_EM</stp>
        <stp>2</stp>
        <stp>002614</stp>
        <stp>1</stp>
        <tr r="D3257" s="1"/>
      </tp>
      <tp t="s">
        <v>互联网</v>
        <stp/>
        <stp>EM_S_INFO_INDEX_EM</stp>
        <stp>2</stp>
        <stp>002624</stp>
        <stp>1</stp>
        <tr r="D449" s="1"/>
      </tp>
      <tp t="s">
        <v>纺织服装</v>
        <stp/>
        <stp>EM_S_INFO_INDEX_EM</stp>
        <stp>2</stp>
        <stp>002634</stp>
        <stp>1</stp>
        <tr r="D713" s="1"/>
      </tp>
      <tp t="s">
        <v>医药生物</v>
        <stp/>
        <stp>EM_S_INFO_INDEX_EM</stp>
        <stp>2</stp>
        <stp>002644</stp>
        <stp>1</stp>
        <tr r="D2710" s="1"/>
      </tp>
      <tp t="s">
        <v>文化传媒</v>
        <stp/>
        <stp>EM_S_INFO_INDEX_EM</stp>
        <stp>2</stp>
        <stp>002654</stp>
        <stp>1</stp>
        <tr r="D606" s="1"/>
      </tp>
      <tp t="s">
        <v>国防与装备</v>
        <stp/>
        <stp>EM_S_INFO_INDEX_EM</stp>
        <stp>2</stp>
        <stp>002664</stp>
        <stp>1</stp>
        <tr r="D985" s="1"/>
      </tp>
      <tp t="s">
        <v>纺织服装</v>
        <stp/>
        <stp>EM_S_INFO_INDEX_EM</stp>
        <stp>2</stp>
        <stp>002674</stp>
        <stp>1</stp>
        <tr r="D622" s="1"/>
      </tp>
      <tp t="s">
        <v>农林牧渔</v>
        <stp/>
        <stp>EM_S_INFO_INDEX_EM</stp>
        <stp>2</stp>
        <stp>002714</stp>
        <stp>1</stp>
        <tr r="D46" s="1"/>
      </tp>
      <tp t="s">
        <v>家电</v>
        <stp/>
        <stp>EM_S_INFO_INDEX_EM</stp>
        <stp>2</stp>
        <stp>002724</stp>
        <stp>1</stp>
        <tr r="D757" s="1"/>
      </tp>
      <tp t="s">
        <v>基础化工</v>
        <stp/>
        <stp>EM_S_INFO_INDEX_EM</stp>
        <stp>2</stp>
        <stp>002734</stp>
        <stp>1</stp>
        <tr r="D875" s="1"/>
      </tp>
      <tp t="s">
        <v>机械设备</v>
        <stp/>
        <stp>EM_S_INFO_INDEX_EM</stp>
        <stp>2</stp>
        <stp>002774</stp>
        <stp>1</stp>
        <tr r="D2622" s="1"/>
      </tp>
      <tp t="s">
        <v>电子设备</v>
        <stp/>
        <stp>EM_S_INFO_INDEX_EM</stp>
        <stp>2</stp>
        <stp>002484</stp>
        <stp>1</stp>
        <tr r="D965" s="1"/>
      </tp>
      <tp t="s">
        <v>纺织服装</v>
        <stp/>
        <stp>EM_S_INFO_INDEX_EM</stp>
        <stp>2</stp>
        <stp>002494</stp>
        <stp>1</stp>
        <tr r="D2654" s="1"/>
      </tp>
      <tp t="s">
        <v>纺织服装</v>
        <stp/>
        <stp>EM_S_INFO_INDEX_EM</stp>
        <stp>2</stp>
        <stp>002404</stp>
        <stp>1</stp>
        <tr r="D1312" s="1"/>
      </tp>
      <tp t="s">
        <v>电子设备</v>
        <stp/>
        <stp>EM_S_INFO_INDEX_EM</stp>
        <stp>2</stp>
        <stp>002414</stp>
        <stp>1</stp>
        <tr r="D2621" s="1"/>
      </tp>
      <tp t="s">
        <v>医药生物</v>
        <stp/>
        <stp>EM_S_INFO_INDEX_EM</stp>
        <stp>2</stp>
        <stp>002424</stp>
        <stp>1</stp>
        <tr r="D2474" s="1"/>
      </tp>
      <tp t="s">
        <v>交运设备</v>
        <stp/>
        <stp>EM_S_INFO_INDEX_EM</stp>
        <stp>2</stp>
        <stp>002434</stp>
        <stp>1</stp>
        <tr r="D706" s="1"/>
      </tp>
      <tp t="s">
        <v>机械设备</v>
        <stp/>
        <stp>EM_S_INFO_INDEX_EM</stp>
        <stp>2</stp>
        <stp>002444</stp>
        <stp>1</stp>
        <tr r="D1624" s="1"/>
      </tp>
      <tp t="s">
        <v>交运设备</v>
        <stp/>
        <stp>EM_S_INFO_INDEX_EM</stp>
        <stp>2</stp>
        <stp>002454</stp>
        <stp>1</stp>
        <tr r="D1327" s="1"/>
      </tp>
      <tp t="s">
        <v>互联网</v>
        <stp/>
        <stp>EM_S_INFO_INDEX_EM</stp>
        <stp>2</stp>
        <stp>002464</stp>
        <stp>1</stp>
        <tr r="D3165" s="1"/>
      </tp>
      <tp t="s">
        <v>信息技术</v>
        <stp/>
        <stp>EM_S_INFO_INDEX_EM</stp>
        <stp>2</stp>
        <stp>002474</stp>
        <stp>1</stp>
        <tr r="D779" s="1"/>
      </tp>
      <tp t="s">
        <v>基础化工</v>
        <stp/>
        <stp>EM_S_INFO_INDEX_EM</stp>
        <stp>2</stp>
        <stp>002584</stp>
        <stp>1</stp>
        <tr r="D2985" s="1"/>
      </tp>
      <tp t="s">
        <v>交运设备</v>
        <stp/>
        <stp>EM_S_INFO_INDEX_EM</stp>
        <stp>2</stp>
        <stp>002594</stp>
        <stp>1</stp>
        <tr r="D2634" s="1"/>
      </tp>
      <tp t="s">
        <v>建筑</v>
        <stp/>
        <stp>EM_S_INFO_INDEX_EM</stp>
        <stp>2</stp>
        <stp>002504</stp>
        <stp>1</stp>
        <tr r="D2893" s="1"/>
      </tp>
      <tp t="s">
        <v>机械设备</v>
        <stp/>
        <stp>EM_S_INFO_INDEX_EM</stp>
        <stp>2</stp>
        <stp>002514</stp>
        <stp>1</stp>
        <tr r="D1830" s="1"/>
      </tp>
      <tp t="s">
        <v>医药生物</v>
        <stp/>
        <stp>EM_S_INFO_INDEX_EM</stp>
        <stp>2</stp>
        <stp>002524</stp>
        <stp>1</stp>
        <tr r="D120" s="1"/>
      </tp>
      <tp t="s">
        <v>电气设备</v>
        <stp/>
        <stp>EM_S_INFO_INDEX_EM</stp>
        <stp>2</stp>
        <stp>002534</stp>
        <stp>1</stp>
        <tr r="D721" s="1"/>
      </tp>
      <tp t="s">
        <v>信息技术</v>
        <stp/>
        <stp>EM_S_INFO_INDEX_EM</stp>
        <stp>2</stp>
        <stp>002544</stp>
        <stp>1</stp>
        <tr r="D1046" s="1"/>
      </tp>
      <tp t="s">
        <v>化石能源</v>
        <stp/>
        <stp>EM_S_INFO_INDEX_EM</stp>
        <stp>2</stp>
        <stp>002554</stp>
        <stp>1</stp>
        <tr r="D1656" s="1"/>
      </tp>
      <tp t="s">
        <v>建筑</v>
        <stp/>
        <stp>EM_S_INFO_INDEX_EM</stp>
        <stp>2</stp>
        <stp>002564</stp>
        <stp>1</stp>
        <tr r="D2712" s="1"/>
      </tp>
      <tp t="s">
        <v>轻工制造</v>
        <stp/>
        <stp>EM_S_INFO_INDEX_EM</stp>
        <stp>2</stp>
        <stp>002574</stp>
        <stp>1</stp>
        <tr r="D2095" s="1"/>
      </tp>
      <tp t="s">
        <v>机械设备</v>
        <stp/>
        <stp>EM_S_INFO_INDEX_EM</stp>
        <stp>2</stp>
        <stp>002884</stp>
        <stp>1</stp>
        <tr r="D3180" s="1"/>
      </tp>
      <tp t="s">
        <v>有色金属</v>
        <stp/>
        <stp>EM_S_INFO_INDEX_EM</stp>
        <stp>2</stp>
        <stp>002824</stp>
        <stp>1</stp>
        <tr r="D1249" s="1"/>
      </tp>
      <tp t="s">
        <v>医药生物</v>
        <stp/>
        <stp>EM_S_INFO_INDEX_EM</stp>
        <stp>2</stp>
        <stp>002864</stp>
        <stp>1</stp>
        <tr r="D2995" s="1"/>
      </tp>
      <tp t="s">
        <v>基础化工</v>
        <stp/>
        <stp>EM_S_INFO_INDEX_EM</stp>
        <stp>2</stp>
        <stp>601233</stp>
        <stp>1</stp>
        <tr r="D521" s="1"/>
      </tp>
      <tp t="s">
        <v>交通运输</v>
        <stp/>
        <stp>EM_S_INFO_INDEX_EM</stp>
        <stp>2</stp>
        <stp>601333</stp>
        <stp>1</stp>
        <tr r="D2471" s="1"/>
      </tp>
      <tp t="s">
        <v>钢铁</v>
        <stp/>
        <stp>EM_S_INFO_INDEX_EM</stp>
        <stp>2</stp>
        <stp>601003</stp>
        <stp>1</stp>
        <tr r="D2925" s="1"/>
      </tp>
      <tp t="s">
        <v>基础化工</v>
        <stp/>
        <stp>EM_S_INFO_INDEX_EM</stp>
        <stp>2</stp>
        <stp>601163</stp>
        <stp>1</stp>
        <tr r="D828" s="1"/>
      </tp>
      <tp t="s">
        <v>基础化工</v>
        <stp/>
        <stp>EM_S_INFO_INDEX_EM</stp>
        <stp>2</stp>
        <stp>601113</stp>
        <stp>1</stp>
        <tr r="D3390" s="1"/>
      </tp>
      <tp t="s">
        <v>交运设备</v>
        <stp/>
        <stp>EM_S_INFO_INDEX_EM</stp>
        <stp>2</stp>
        <stp>601633</stp>
        <stp>1</stp>
        <tr r="D446" s="1"/>
      </tp>
      <tp t="s">
        <v>商贸零售</v>
        <stp/>
        <stp>EM_S_INFO_INDEX_EM</stp>
        <stp>2</stp>
        <stp>601933</stp>
        <stp>1</stp>
        <tr r="D2507" s="1"/>
      </tp>
      <tp t="s">
        <v>机械设备</v>
        <stp/>
        <stp>EM_S_INFO_INDEX_EM</stp>
        <stp>2</stp>
        <stp>300293</stp>
        <stp>1</stp>
        <tr r="D1253" s="1"/>
      </tp>
      <tp t="s">
        <v>电气设备</v>
        <stp/>
        <stp>EM_S_INFO_INDEX_EM</stp>
        <stp>2</stp>
        <stp>300283</stp>
        <stp>1</stp>
        <tr r="D2236" s="1"/>
      </tp>
      <tp t="s">
        <v>公用事业</v>
        <stp/>
        <stp>EM_S_INFO_INDEX_EM</stp>
        <stp>2</stp>
        <stp>600283</stp>
        <stp>1</stp>
        <tr r="D2697" s="1"/>
      </tp>
      <tp t="s">
        <v>信息技术</v>
        <stp/>
        <stp>EM_S_INFO_INDEX_EM</stp>
        <stp>2</stp>
        <stp>600293</stp>
        <stp>1</stp>
        <tr r="D3052" s="1"/>
      </tp>
      <tp t="s">
        <v>医药生物</v>
        <stp/>
        <stp>EM_S_INFO_INDEX_EM</stp>
        <stp>2</stp>
        <stp>300233</stp>
        <stp>1</stp>
        <tr r="D694" s="1"/>
      </tp>
      <tp>
        <v>0</v>
        <stp/>
        <stp>EM_S_INFO_INDEX_EM</stp>
        <stp>2</stp>
        <stp>600263</stp>
        <stp>1</stp>
        <tr r="D2297" s="1"/>
      </tp>
      <tp t="s">
        <v>电子设备</v>
        <stp/>
        <stp>EM_S_INFO_INDEX_EM</stp>
        <stp>2</stp>
        <stp>300223</stp>
        <stp>1</stp>
        <tr r="D20" s="1"/>
      </tp>
      <tp t="s">
        <v>基础化工</v>
        <stp/>
        <stp>EM_S_INFO_INDEX_EM</stp>
        <stp>2</stp>
        <stp>600273</stp>
        <stp>1</stp>
        <tr r="D1116" s="1"/>
      </tp>
      <tp t="s">
        <v>信息技术</v>
        <stp/>
        <stp>EM_S_INFO_INDEX_EM</stp>
        <stp>2</stp>
        <stp>300213</stp>
        <stp>1</stp>
        <tr r="D1437" s="1"/>
      </tp>
      <tp t="s">
        <v>机械设备</v>
        <stp/>
        <stp>EM_S_INFO_INDEX_EM</stp>
        <stp>2</stp>
        <stp>600243</stp>
        <stp>1</stp>
        <tr r="D1495" s="1"/>
      </tp>
      <tp t="s">
        <v>机械设备</v>
        <stp/>
        <stp>EM_S_INFO_INDEX_EM</stp>
        <stp>2</stp>
        <stp>300203</stp>
        <stp>1</stp>
        <tr r="D3273" s="1"/>
      </tp>
      <tp>
        <v>0</v>
        <stp/>
        <stp>EM_S_INFO_INDEX_EM</stp>
        <stp>2</stp>
        <stp>600253</stp>
        <stp>1</stp>
        <tr r="D2296" s="1"/>
      </tp>
      <tp t="s">
        <v>医药生物</v>
        <stp/>
        <stp>EM_S_INFO_INDEX_EM</stp>
        <stp>2</stp>
        <stp>300273</stp>
        <stp>1</stp>
        <tr r="D1936" s="1"/>
      </tp>
      <tp t="s">
        <v>房地产</v>
        <stp/>
        <stp>EM_S_INFO_INDEX_EM</stp>
        <stp>2</stp>
        <stp>600223</stp>
        <stp>1</stp>
        <tr r="D86" s="1"/>
      </tp>
      <tp t="s">
        <v>公用事业</v>
        <stp/>
        <stp>EM_S_INFO_INDEX_EM</stp>
        <stp>2</stp>
        <stp>300263</stp>
        <stp>1</stp>
        <tr r="D837" s="1"/>
      </tp>
      <tp t="s">
        <v>交通运输</v>
        <stp/>
        <stp>EM_S_INFO_INDEX_EM</stp>
        <stp>2</stp>
        <stp>600233</stp>
        <stp>1</stp>
        <tr r="D1032" s="1"/>
      </tp>
      <tp t="s">
        <v>信息技术</v>
        <stp/>
        <stp>EM_S_INFO_INDEX_EM</stp>
        <stp>2</stp>
        <stp>300253</stp>
        <stp>1</stp>
        <tr r="D1336" s="1"/>
      </tp>
      <tp t="s">
        <v>电子设备</v>
        <stp/>
        <stp>EM_S_INFO_INDEX_EM</stp>
        <stp>2</stp>
        <stp>600203</stp>
        <stp>1</stp>
        <tr r="D655" s="1"/>
      </tp>
      <tp t="s">
        <v>基础化工</v>
        <stp/>
        <stp>EM_S_INFO_INDEX_EM</stp>
        <stp>2</stp>
        <stp>300243</stp>
        <stp>1</stp>
        <tr r="D2469" s="1"/>
      </tp>
      <tp t="s">
        <v>交运设备</v>
        <stp/>
        <stp>EM_S_INFO_INDEX_EM</stp>
        <stp>2</stp>
        <stp>600213</stp>
        <stp>1</stp>
        <tr r="D668" s="1"/>
      </tp>
      <tp t="s">
        <v>有色金属</v>
        <stp/>
        <stp>EM_S_INFO_INDEX_EM</stp>
        <stp>2</stp>
        <stp>300393</stp>
        <stp>1</stp>
        <tr r="D2477" s="1"/>
      </tp>
      <tp t="s">
        <v>互联网</v>
        <stp/>
        <stp>EM_S_INFO_INDEX_EM</stp>
        <stp>2</stp>
        <stp>300383</stp>
        <stp>1</stp>
        <tr r="D447" s="1"/>
      </tp>
      <tp t="s">
        <v>房地产</v>
        <stp/>
        <stp>EM_S_INFO_INDEX_EM</stp>
        <stp>2</stp>
        <stp>600383</stp>
        <stp>1</stp>
        <tr r="D593" s="1"/>
      </tp>
      <tp t="s">
        <v>房地产</v>
        <stp/>
        <stp>EM_S_INFO_INDEX_EM</stp>
        <stp>2</stp>
        <stp>600393</stp>
        <stp>1</stp>
        <tr r="D815" s="1"/>
      </tp>
      <tp t="s">
        <v>信息技术</v>
        <stp/>
        <stp>EM_S_INFO_INDEX_EM</stp>
        <stp>2</stp>
        <stp>300333</stp>
        <stp>1</stp>
        <tr r="D455" s="1"/>
      </tp>
      <tp t="s">
        <v>电子设备</v>
        <stp/>
        <stp>EM_S_INFO_INDEX_EM</stp>
        <stp>2</stp>
        <stp>600363</stp>
        <stp>1</stp>
        <tr r="D202" s="1"/>
      </tp>
      <tp t="s">
        <v>电子设备</v>
        <stp/>
        <stp>EM_S_INFO_INDEX_EM</stp>
        <stp>2</stp>
        <stp>300323</stp>
        <stp>1</stp>
        <tr r="D2365" s="1"/>
      </tp>
      <tp t="s">
        <v>文化传媒</v>
        <stp/>
        <stp>EM_S_INFO_INDEX_EM</stp>
        <stp>2</stp>
        <stp>600373</stp>
        <stp>1</stp>
        <tr r="D2059" s="1"/>
      </tp>
      <tp t="s">
        <v>农林牧渔</v>
        <stp/>
        <stp>EM_S_INFO_INDEX_EM</stp>
        <stp>2</stp>
        <stp>300313</stp>
        <stp>1</stp>
        <tr r="D2939" s="1"/>
      </tp>
      <tp t="s">
        <v>国防与装备</v>
        <stp/>
        <stp>EM_S_INFO_INDEX_EM</stp>
        <stp>2</stp>
        <stp>600343</stp>
        <stp>1</stp>
        <tr r="D1225" s="1"/>
      </tp>
      <tp t="s">
        <v>家电</v>
        <stp/>
        <stp>EM_S_INFO_INDEX_EM</stp>
        <stp>2</stp>
        <stp>000333</stp>
        <stp>1</stp>
        <tr r="D444" s="1"/>
      </tp>
      <tp t="s">
        <v>电子设备</v>
        <stp/>
        <stp>EM_S_INFO_INDEX_EM</stp>
        <stp>2</stp>
        <stp>300303</stp>
        <stp>1</stp>
        <tr r="D104" s="1"/>
      </tp>
      <tp t="s">
        <v>电子设备</v>
        <stp/>
        <stp>EM_S_INFO_INDEX_EM</stp>
        <stp>2</stp>
        <stp>600353</stp>
        <stp>1</stp>
        <tr r="D716" s="1"/>
      </tp>
      <tp t="s">
        <v>电子设备</v>
        <stp/>
        <stp>EM_S_INFO_INDEX_EM</stp>
        <stp>2</stp>
        <stp>300373</stp>
        <stp>1</stp>
        <tr r="D1293" s="1"/>
      </tp>
      <tp t="s">
        <v>公用事业</v>
        <stp/>
        <stp>EM_S_INFO_INDEX_EM</stp>
        <stp>2</stp>
        <stp>600323</stp>
        <stp>1</stp>
        <tr r="D1110" s="1"/>
      </tp>
      <tp t="s">
        <v>医药生物</v>
        <stp/>
        <stp>EM_S_INFO_INDEX_EM</stp>
        <stp>2</stp>
        <stp>300363</stp>
        <stp>1</stp>
        <tr r="D577" s="1"/>
      </tp>
      <tp t="s">
        <v>公用事业</v>
        <stp/>
        <stp>EM_S_INFO_INDEX_EM</stp>
        <stp>2</stp>
        <stp>600333</stp>
        <stp>1</stp>
        <tr r="D2670" s="1"/>
      </tp>
      <tp t="s">
        <v>信息技术</v>
        <stp/>
        <stp>EM_S_INFO_INDEX_EM</stp>
        <stp>2</stp>
        <stp>300353</stp>
        <stp>1</stp>
        <tr r="D614" s="1"/>
      </tp>
      <tp t="s">
        <v>交运设备</v>
        <stp/>
        <stp>EM_S_INFO_INDEX_EM</stp>
        <stp>2</stp>
        <stp>600303</stp>
        <stp>1</stp>
        <tr r="D2765" s="1"/>
      </tp>
      <tp t="s">
        <v>互联网</v>
        <stp/>
        <stp>EM_S_INFO_INDEX_EM</stp>
        <stp>2</stp>
        <stp>300343</stp>
        <stp>1</stp>
        <tr r="D3389" s="1"/>
      </tp>
      <tp t="s">
        <v>基础化工</v>
        <stp/>
        <stp>EM_S_INFO_INDEX_EM</stp>
        <stp>2</stp>
        <stp>600313</stp>
        <stp>1</stp>
        <tr r="D1063" s="1"/>
      </tp>
      <tp t="s">
        <v>建材</v>
        <stp/>
        <stp>EM_S_INFO_INDEX_EM</stp>
        <stp>2</stp>
        <stp>300093</stp>
        <stp>1</stp>
        <tr r="D239" s="1"/>
      </tp>
      <tp t="s">
        <v>电子设备</v>
        <stp/>
        <stp>EM_S_INFO_INDEX_EM</stp>
        <stp>2</stp>
        <stp>300083</stp>
        <stp>1</stp>
        <tr r="D377" s="1"/>
      </tp>
      <tp t="s">
        <v>建筑</v>
        <stp/>
        <stp>EM_S_INFO_INDEX_EM</stp>
        <stp>2</stp>
        <stp>600083</stp>
        <stp>1</stp>
        <tr r="D1494" s="1"/>
      </tp>
      <tp t="s">
        <v>金融</v>
        <stp/>
        <stp>EM_S_INFO_INDEX_EM</stp>
        <stp>2</stp>
        <stp>600093</stp>
        <stp>1</stp>
        <tr r="D227" s="1"/>
      </tp>
      <tp>
        <v>0</v>
        <stp/>
        <stp>EM_S_INFO_INDEX_EM</stp>
        <stp>2</stp>
        <stp>000003</stp>
        <stp>1</stp>
        <tr r="D2271" s="1"/>
      </tp>
      <tp t="s">
        <v>互联网</v>
        <stp/>
        <stp>EM_S_INFO_INDEX_EM</stp>
        <stp>2</stp>
        <stp>300033</stp>
        <stp>1</stp>
        <tr r="D49" s="1"/>
      </tp>
      <tp t="s">
        <v>基础化工</v>
        <stp/>
        <stp>EM_S_INFO_INDEX_EM</stp>
        <stp>2</stp>
        <stp>600063</stp>
        <stp>1</stp>
        <tr r="D327" s="1"/>
      </tp>
      <tp>
        <v>0</v>
        <stp/>
        <stp>EM_S_INFO_INDEX_EM</stp>
        <stp>2</stp>
        <stp>000013</stp>
        <stp>1</stp>
        <tr r="D2272" s="1"/>
      </tp>
      <tp t="s">
        <v>金融</v>
        <stp/>
        <stp>EM_S_INFO_INDEX_EM</stp>
        <stp>2</stp>
        <stp>300023</stp>
        <stp>1</stp>
        <tr r="D1352" s="1"/>
      </tp>
      <tp t="s">
        <v>食品饮料</v>
        <stp/>
        <stp>EM_S_INFO_INDEX_EM</stp>
        <stp>2</stp>
        <stp>600073</stp>
        <stp>1</stp>
        <tr r="D1973" s="1"/>
      </tp>
      <tp t="s">
        <v>建材</v>
        <stp/>
        <stp>EM_S_INFO_INDEX_EM</stp>
        <stp>2</stp>
        <stp>000023</stp>
        <stp>1</stp>
        <tr r="D2109" s="1"/>
      </tp>
      <tp t="s">
        <v>交通运输</v>
        <stp/>
        <stp>EM_S_INFO_INDEX_EM</stp>
        <stp>2</stp>
        <stp>300013</stp>
        <stp>1</stp>
        <tr r="D2628" s="1"/>
      </tp>
      <tp>
        <v>0</v>
        <stp/>
        <stp>EM_S_INFO_INDEX_EM</stp>
        <stp>2</stp>
        <stp>000033</stp>
        <stp>1</stp>
        <tr r="D2275" s="1"/>
      </tp>
      <tp t="s">
        <v>医药生物</v>
        <stp/>
        <stp>EM_S_INFO_INDEX_EM</stp>
        <stp>2</stp>
        <stp>300003</stp>
        <stp>1</stp>
        <tr r="D508" s="1"/>
      </tp>
      <tp t="s">
        <v>金融</v>
        <stp/>
        <stp>EM_S_INFO_INDEX_EM</stp>
        <stp>2</stp>
        <stp>600053</stp>
        <stp>1</stp>
        <tr r="D2410" s="1"/>
      </tp>
      <tp>
        <v>0</v>
        <stp/>
        <stp>EM_S_INFO_INDEX_EM</stp>
        <stp>2</stp>
        <stp>000043</stp>
        <stp>1</stp>
        <tr r="D4" s="1"/>
      </tp>
      <tp t="s">
        <v>有色金属</v>
        <stp/>
        <stp>EM_S_INFO_INDEX_EM</stp>
        <stp>2</stp>
        <stp>300073</stp>
        <stp>1</stp>
        <tr r="D2284" s="1"/>
      </tp>
      <tp t="s">
        <v>公用事业</v>
        <stp/>
        <stp>EM_S_INFO_INDEX_EM</stp>
        <stp>2</stp>
        <stp>600023</stp>
        <stp>1</stp>
        <tr r="D2977" s="1"/>
      </tp>
      <tp t="s">
        <v>文化传媒</v>
        <stp/>
        <stp>EM_S_INFO_INDEX_EM</stp>
        <stp>2</stp>
        <stp>300063</stp>
        <stp>1</stp>
        <tr r="D2700" s="1"/>
      </tp>
      <tp t="s">
        <v>交通运输</v>
        <stp/>
        <stp>EM_S_INFO_INDEX_EM</stp>
        <stp>2</stp>
        <stp>600033</stp>
        <stp>1</stp>
        <tr r="D2105" s="1"/>
      </tp>
      <tp t="s">
        <v>信息技术</v>
        <stp/>
        <stp>EM_S_INFO_INDEX_EM</stp>
        <stp>2</stp>
        <stp>000063</stp>
        <stp>1</stp>
        <tr r="D245" s="1"/>
      </tp>
      <tp t="s">
        <v>信息技术</v>
        <stp/>
        <stp>EM_S_INFO_INDEX_EM</stp>
        <stp>2</stp>
        <stp>300053</stp>
        <stp>1</stp>
        <tr r="D528" s="1"/>
      </tp>
      <tp>
        <v>0</v>
        <stp/>
        <stp>EM_S_INFO_INDEX_EM</stp>
        <stp>2</stp>
        <stp>600003</stp>
        <stp>1</stp>
        <tr r="D2287" s="1"/>
      </tp>
      <tp t="s">
        <v>互联网</v>
        <stp/>
        <stp>EM_S_INFO_INDEX_EM</stp>
        <stp>2</stp>
        <stp>300043</stp>
        <stp>1</stp>
        <tr r="D491" s="1"/>
      </tp>
      <tp t="s">
        <v>机械设备</v>
        <stp/>
        <stp>EM_S_INFO_INDEX_EM</stp>
        <stp>2</stp>
        <stp>300193</stp>
        <stp>1</stp>
        <tr r="D1114" s="1"/>
      </tp>
      <tp t="s">
        <v>电子设备</v>
        <stp/>
        <stp>EM_S_INFO_INDEX_EM</stp>
        <stp>2</stp>
        <stp>300183</stp>
        <stp>1</stp>
        <tr r="D1047" s="1"/>
      </tp>
      <tp t="s">
        <v>电子设备</v>
        <stp/>
        <stp>EM_S_INFO_INDEX_EM</stp>
        <stp>2</stp>
        <stp>600183</stp>
        <stp>1</stp>
        <tr r="D138" s="1"/>
      </tp>
      <tp t="s">
        <v>综合</v>
        <stp/>
        <stp>EM_S_INFO_INDEX_EM</stp>
        <stp>2</stp>
        <stp>600193</stp>
        <stp>1</stp>
        <tr r="D1171" s="1"/>
      </tp>
      <tp t="s">
        <v>文化传媒</v>
        <stp/>
        <stp>EM_S_INFO_INDEX_EM</stp>
        <stp>2</stp>
        <stp>300133</stp>
        <stp>1</stp>
        <tr r="D3041" s="1"/>
      </tp>
      <tp t="s">
        <v>公用事业</v>
        <stp/>
        <stp>EM_S_INFO_INDEX_EM</stp>
        <stp>2</stp>
        <stp>600163</stp>
        <stp>1</stp>
        <tr r="D1968" s="1"/>
      </tp>
      <tp t="s">
        <v>国防与装备</v>
        <stp/>
        <stp>EM_S_INFO_INDEX_EM</stp>
        <stp>2</stp>
        <stp>300123</stp>
        <stp>1</stp>
        <tr r="D2994" s="1"/>
      </tp>
      <tp t="s">
        <v>房地产</v>
        <stp/>
        <stp>EM_S_INFO_INDEX_EM</stp>
        <stp>2</stp>
        <stp>600173</stp>
        <stp>1</stp>
        <tr r="D786" s="1"/>
      </tp>
      <tp t="s">
        <v>互联网</v>
        <stp/>
        <stp>EM_S_INFO_INDEX_EM</stp>
        <stp>2</stp>
        <stp>300113</stp>
        <stp>1</stp>
        <tr r="D165" s="1"/>
      </tp>
      <tp t="s">
        <v>基础化工</v>
        <stp/>
        <stp>EM_S_INFO_INDEX_EM</stp>
        <stp>2</stp>
        <stp>600143</stp>
        <stp>1</stp>
        <tr r="D610" s="1"/>
      </tp>
      <tp t="s">
        <v>公用事业</v>
        <stp/>
        <stp>EM_S_INFO_INDEX_EM</stp>
        <stp>2</stp>
        <stp>300103</stp>
        <stp>1</stp>
        <tr r="D1115" s="1"/>
      </tp>
      <tp t="s">
        <v>交通运输</v>
        <stp/>
        <stp>EM_S_INFO_INDEX_EM</stp>
        <stp>2</stp>
        <stp>600153</stp>
        <stp>1</stp>
        <tr r="D1100" s="1"/>
      </tp>
      <tp t="s">
        <v>机械设备</v>
        <stp/>
        <stp>EM_S_INFO_INDEX_EM</stp>
        <stp>2</stp>
        <stp>300173</stp>
        <stp>1</stp>
        <tr r="D450" s="1"/>
      </tp>
      <tp t="s">
        <v>化石能源</v>
        <stp/>
        <stp>EM_S_INFO_INDEX_EM</stp>
        <stp>2</stp>
        <stp>600123</stp>
        <stp>1</stp>
        <tr r="D2399" s="1"/>
      </tp>
      <tp t="s">
        <v>医药生物</v>
        <stp/>
        <stp>EM_S_INFO_INDEX_EM</stp>
        <stp>2</stp>
        <stp>000153</stp>
        <stp>1</stp>
        <tr r="D917" s="1"/>
      </tp>
      <tp t="s">
        <v>基础化工</v>
        <stp/>
        <stp>EM_S_INFO_INDEX_EM</stp>
        <stp>2</stp>
        <stp>300163</stp>
        <stp>1</stp>
        <tr r="D1700" s="1"/>
      </tp>
      <tp t="s">
        <v>建筑</v>
        <stp/>
        <stp>EM_S_INFO_INDEX_EM</stp>
        <stp>2</stp>
        <stp>600133</stp>
        <stp>1</stp>
        <tr r="D2928" s="1"/>
      </tp>
      <tp t="s">
        <v>机械设备</v>
        <stp/>
        <stp>EM_S_INFO_INDEX_EM</stp>
        <stp>2</stp>
        <stp>300153</stp>
        <stp>1</stp>
        <tr r="D2698" s="1"/>
      </tp>
      <tp t="s">
        <v>轻工制造</v>
        <stp/>
        <stp>EM_S_INFO_INDEX_EM</stp>
        <stp>2</stp>
        <stp>600103</stp>
        <stp>1</stp>
        <tr r="D3018" s="1"/>
      </tp>
      <tp t="s">
        <v>医药生物</v>
        <stp/>
        <stp>EM_S_INFO_INDEX_EM</stp>
        <stp>2</stp>
        <stp>300143</stp>
        <stp>1</stp>
        <tr r="D2121" s="1"/>
      </tp>
      <tp t="s">
        <v>商贸零售</v>
        <stp/>
        <stp>EM_S_INFO_INDEX_EM</stp>
        <stp>2</stp>
        <stp>600113</stp>
        <stp>1</stp>
        <tr r="D2268" s="1"/>
      </tp>
      <tp t="s">
        <v>基础化工</v>
        <stp/>
        <stp>EM_S_INFO_INDEX_EM</stp>
        <stp>2</stp>
        <stp>000683</stp>
        <stp>1</stp>
        <tr r="D3507" s="1"/>
      </tp>
      <tp>
        <v>0</v>
        <stp/>
        <stp>EM_S_INFO_INDEX_EM</stp>
        <stp>2</stp>
        <stp>000693</stp>
        <stp>1</stp>
        <tr r="D3513" s="1"/>
      </tp>
      <tp t="s">
        <v>电气设备</v>
        <stp/>
        <stp>EM_S_INFO_INDEX_EM</stp>
        <stp>2</stp>
        <stp>300693</stp>
        <stp>1</stp>
        <tr r="D2842" s="1"/>
      </tp>
      <tp t="s">
        <v>医药生物</v>
        <stp/>
        <stp>EM_S_INFO_INDEX_EM</stp>
        <stp>2</stp>
        <stp>300683</stp>
        <stp>1</stp>
        <tr r="D1867" s="1"/>
      </tp>
      <tp t="s">
        <v>房地产</v>
        <stp/>
        <stp>EM_S_INFO_INDEX_EM</stp>
        <stp>2</stp>
        <stp>600683</stp>
        <stp>1</stp>
        <tr r="D2385" s="1"/>
      </tp>
      <tp t="s">
        <v>商贸零售</v>
        <stp/>
        <stp>EM_S_INFO_INDEX_EM</stp>
        <stp>2</stp>
        <stp>600693</stp>
        <stp>1</stp>
        <tr r="D2373" s="1"/>
      </tp>
      <tp t="s">
        <v>有色金属</v>
        <stp/>
        <stp>EM_S_INFO_INDEX_EM</stp>
        <stp>2</stp>
        <stp>000603</stp>
        <stp>1</stp>
        <tr r="D625" s="1"/>
      </tp>
      <tp t="s">
        <v>医药生物</v>
        <stp/>
        <stp>EM_S_INFO_INDEX_EM</stp>
        <stp>2</stp>
        <stp>300633</stp>
        <stp>1</stp>
        <tr r="D2972" s="1"/>
      </tp>
      <tp t="s">
        <v>房地产</v>
        <stp/>
        <stp>EM_S_INFO_INDEX_EM</stp>
        <stp>2</stp>
        <stp>600663</stp>
        <stp>1</stp>
        <tr r="D2066" s="1"/>
      </tp>
      <tp t="s">
        <v>休闲、生活及专业服务</v>
        <stp/>
        <stp>EM_S_INFO_INDEX_EM</stp>
        <stp>2</stp>
        <stp>000613</stp>
        <stp>1</stp>
        <tr r="D3064" s="1"/>
      </tp>
      <tp t="s">
        <v>电子设备</v>
        <stp/>
        <stp>EM_S_INFO_INDEX_EM</stp>
        <stp>2</stp>
        <stp>300623</stp>
        <stp>1</stp>
        <tr r="D1635" s="1"/>
      </tp>
      <tp t="s">
        <v>综合</v>
        <stp/>
        <stp>EM_S_INFO_INDEX_EM</stp>
        <stp>2</stp>
        <stp>600673</stp>
        <stp>1</stp>
        <tr r="D859" s="1"/>
      </tp>
      <tp t="s">
        <v>医药生物</v>
        <stp/>
        <stp>EM_S_INFO_INDEX_EM</stp>
        <stp>2</stp>
        <stp>000623</stp>
        <stp>1</stp>
        <tr r="D1489" s="1"/>
      </tp>
      <tp t="s">
        <v>电子设备</v>
        <stp/>
        <stp>EM_S_INFO_INDEX_EM</stp>
        <stp>2</stp>
        <stp>300613</stp>
        <stp>1</stp>
        <tr r="D258" s="1"/>
      </tp>
      <tp t="s">
        <v>金融</v>
        <stp/>
        <stp>EM_S_INFO_INDEX_EM</stp>
        <stp>2</stp>
        <stp>600643</stp>
        <stp>1</stp>
        <tr r="D1527" s="1"/>
      </tp>
      <tp t="s">
        <v>有色金属</v>
        <stp/>
        <stp>EM_S_INFO_INDEX_EM</stp>
        <stp>2</stp>
        <stp>000633</stp>
        <stp>1</stp>
        <tr r="D2730" s="1"/>
      </tp>
      <tp t="s">
        <v>信息技术</v>
        <stp/>
        <stp>EM_S_INFO_INDEX_EM</stp>
        <stp>2</stp>
        <stp>300603</stp>
        <stp>1</stp>
        <tr r="D3173" s="1"/>
      </tp>
      <tp t="s">
        <v>交运设备</v>
        <stp/>
        <stp>EM_S_INFO_INDEX_EM</stp>
        <stp>2</stp>
        <stp>600653</stp>
        <stp>1</stp>
        <tr r="D1829" s="1"/>
      </tp>
      <tp t="s">
        <v>农林牧渔</v>
        <stp/>
        <stp>EM_S_INFO_INDEX_EM</stp>
        <stp>2</stp>
        <stp>300673</stp>
        <stp>1</stp>
        <tr r="D3263" s="1"/>
      </tp>
      <tp t="s">
        <v>基础化工</v>
        <stp/>
        <stp>EM_S_INFO_INDEX_EM</stp>
        <stp>2</stp>
        <stp>600623</stp>
        <stp>1</stp>
        <tr r="D3024" s="1"/>
      </tp>
      <tp>
        <v>0</v>
        <stp/>
        <stp>EM_S_INFO_INDEX_EM</stp>
        <stp>2</stp>
        <stp>000653</stp>
        <stp>1</stp>
        <tr r="D3493" s="1"/>
      </tp>
      <tp t="s">
        <v>金融</v>
        <stp/>
        <stp>EM_S_INFO_INDEX_EM</stp>
        <stp>2</stp>
        <stp>300663</stp>
        <stp>1</stp>
        <tr r="D224" s="1"/>
      </tp>
      <tp t="s">
        <v>互联网</v>
        <stp/>
        <stp>EM_S_INFO_INDEX_EM</stp>
        <stp>2</stp>
        <stp>600633</stp>
        <stp>1</stp>
        <tr r="D1476" s="1"/>
      </tp>
      <tp t="s">
        <v>农林牧渔</v>
        <stp/>
        <stp>EM_S_INFO_INDEX_EM</stp>
        <stp>2</stp>
        <stp>000663</stp>
        <stp>1</stp>
        <tr r="D3498" s="1"/>
      </tp>
      <tp t="s">
        <v>医药生物</v>
        <stp/>
        <stp>EM_S_INFO_INDEX_EM</stp>
        <stp>2</stp>
        <stp>300653</stp>
        <stp>1</stp>
        <tr r="D539" s="1"/>
      </tp>
      <tp t="s">
        <v>房地产</v>
        <stp/>
        <stp>EM_S_INFO_INDEX_EM</stp>
        <stp>2</stp>
        <stp>600603</stp>
        <stp>1</stp>
        <tr r="D1271" s="1"/>
      </tp>
      <tp t="s">
        <v>文化传媒</v>
        <stp/>
        <stp>EM_S_INFO_INDEX_EM</stp>
        <stp>2</stp>
        <stp>000673</stp>
        <stp>1</stp>
        <tr r="D3503" s="1"/>
      </tp>
      <tp t="s">
        <v>交运设备</v>
        <stp/>
        <stp>EM_S_INFO_INDEX_EM</stp>
        <stp>2</stp>
        <stp>300643</stp>
        <stp>1</stp>
        <tr r="D149" s="1"/>
      </tp>
      <tp t="s">
        <v>医药生物</v>
        <stp/>
        <stp>EM_S_INFO_INDEX_EM</stp>
        <stp>2</stp>
        <stp>600613</stp>
        <stp>1</stp>
        <tr r="D768" s="1"/>
      </tp>
      <tp t="s">
        <v>金融</v>
        <stp/>
        <stp>EM_S_INFO_INDEX_EM</stp>
        <stp>2</stp>
        <stp>000783</stp>
        <stp>1</stp>
        <tr r="D3537" s="1"/>
      </tp>
      <tp t="s">
        <v>文化传媒</v>
        <stp/>
        <stp>EM_S_INFO_INDEX_EM</stp>
        <stp>2</stp>
        <stp>000793</stp>
        <stp>1</stp>
        <tr r="D3540" s="1"/>
      </tp>
      <tp t="s">
        <v>有色金属</v>
        <stp/>
        <stp>EM_S_INFO_INDEX_EM</stp>
        <stp>2</stp>
        <stp>600783</stp>
        <stp>1</stp>
        <tr r="D2462" s="1"/>
      </tp>
      <tp t="s">
        <v>轻工制造</v>
        <stp/>
        <stp>EM_S_INFO_INDEX_EM</stp>
        <stp>2</stp>
        <stp>600793</stp>
        <stp>1</stp>
        <tr r="D1843" s="1"/>
      </tp>
      <tp t="s">
        <v>基础化工</v>
        <stp/>
        <stp>EM_S_INFO_INDEX_EM</stp>
        <stp>2</stp>
        <stp>000703</stp>
        <stp>1</stp>
        <tr r="D1288" s="1"/>
      </tp>
      <tp t="s">
        <v>交运设备</v>
        <stp/>
        <stp>EM_S_INFO_INDEX_EM</stp>
        <stp>2</stp>
        <stp>300733</stp>
        <stp>1</stp>
        <tr r="D3184" s="1"/>
      </tp>
      <tp t="s">
        <v>医药生物</v>
        <stp/>
        <stp>EM_S_INFO_INDEX_EM</stp>
        <stp>2</stp>
        <stp>600763</stp>
        <stp>1</stp>
        <tr r="D136" s="1"/>
      </tp>
      <tp t="s">
        <v>农林牧渔</v>
        <stp/>
        <stp>EM_S_INFO_INDEX_EM</stp>
        <stp>2</stp>
        <stp>000713</stp>
        <stp>1</stp>
        <tr r="D252" s="1"/>
      </tp>
      <tp t="s">
        <v>医药生物</v>
        <stp/>
        <stp>EM_S_INFO_INDEX_EM</stp>
        <stp>2</stp>
        <stp>300723</stp>
        <stp>1</stp>
        <tr r="D648" s="1"/>
      </tp>
      <tp t="s">
        <v>房地产</v>
        <stp/>
        <stp>EM_S_INFO_INDEX_EM</stp>
        <stp>2</stp>
        <stp>600773</stp>
        <stp>1</stp>
        <tr r="D2483" s="1"/>
      </tp>
      <tp t="s">
        <v>化石能源</v>
        <stp/>
        <stp>EM_S_INFO_INDEX_EM</stp>
        <stp>2</stp>
        <stp>000723</stp>
        <stp>1</stp>
        <tr r="D44" s="1"/>
      </tp>
      <tp t="s">
        <v>电气设备</v>
        <stp/>
        <stp>EM_S_INFO_INDEX_EM</stp>
        <stp>2</stp>
        <stp>300713</stp>
        <stp>1</stp>
        <tr r="D3292" s="1"/>
      </tp>
      <tp t="s">
        <v>房地产</v>
        <stp/>
        <stp>EM_S_INFO_INDEX_EM</stp>
        <stp>2</stp>
        <stp>600743</stp>
        <stp>1</stp>
        <tr r="D2138" s="1"/>
      </tp>
      <tp t="s">
        <v>电子设备</v>
        <stp/>
        <stp>EM_S_INFO_INDEX_EM</stp>
        <stp>2</stp>
        <stp>000733</stp>
        <stp>1</stp>
        <tr r="D3522" s="1"/>
      </tp>
      <tp t="s">
        <v>轻工制造</v>
        <stp/>
        <stp>EM_S_INFO_INDEX_EM</stp>
        <stp>2</stp>
        <stp>300703</stp>
        <stp>1</stp>
        <tr r="D3050" s="1"/>
      </tp>
      <tp t="s">
        <v>商贸零售</v>
        <stp/>
        <stp>EM_S_INFO_INDEX_EM</stp>
        <stp>2</stp>
        <stp>600753</stp>
        <stp>1</stp>
        <tr r="D1909" s="1"/>
      </tp>
      <tp t="s">
        <v>商贸零售</v>
        <stp/>
        <stp>EM_S_INFO_INDEX_EM</stp>
        <stp>2</stp>
        <stp>600723</stp>
        <stp>1</stp>
        <tr r="D2405" s="1"/>
      </tp>
      <tp t="s">
        <v>交运设备</v>
        <stp/>
        <stp>EM_S_INFO_INDEX_EM</stp>
        <stp>2</stp>
        <stp>000753</stp>
        <stp>1</stp>
        <tr r="D2257" s="1"/>
      </tp>
      <tp t="s">
        <v>交运设备</v>
        <stp/>
        <stp>EM_S_INFO_INDEX_EM</stp>
        <stp>2</stp>
        <stp>600733</stp>
        <stp>1</stp>
        <tr r="D3186" s="1"/>
      </tp>
      <tp>
        <v>0</v>
        <stp/>
        <stp>EM_S_INFO_INDEX_EM</stp>
        <stp>2</stp>
        <stp>000763</stp>
        <stp>1</stp>
        <tr r="D3532" s="1"/>
      </tp>
      <tp t="s">
        <v>电子设备</v>
        <stp/>
        <stp>EM_S_INFO_INDEX_EM</stp>
        <stp>2</stp>
        <stp>600703</stp>
        <stp>1</stp>
        <tr r="D375" s="1"/>
      </tp>
      <tp t="s">
        <v>信息技术</v>
        <stp/>
        <stp>EM_S_INFO_INDEX_EM</stp>
        <stp>2</stp>
        <stp>300743</stp>
        <stp>1</stp>
        <tr r="D3368" s="1"/>
      </tp>
      <tp t="s">
        <v>医药生物</v>
        <stp/>
        <stp>EM_S_INFO_INDEX_EM</stp>
        <stp>2</stp>
        <stp>600713</stp>
        <stp>1</stp>
        <tr r="D1785" s="1"/>
      </tp>
      <tp t="s">
        <v>电子设备</v>
        <stp/>
        <stp>EM_S_INFO_INDEX_EM</stp>
        <stp>2</stp>
        <stp>300493</stp>
        <stp>1</stp>
        <tr r="D2536" s="1"/>
      </tp>
      <tp t="s">
        <v>建筑</v>
        <stp/>
        <stp>EM_S_INFO_INDEX_EM</stp>
        <stp>2</stp>
        <stp>300483</stp>
        <stp>1</stp>
        <tr r="D1094" s="1"/>
      </tp>
      <tp t="s">
        <v>公用事业</v>
        <stp/>
        <stp>EM_S_INFO_INDEX_EM</stp>
        <stp>2</stp>
        <stp>600483</stp>
        <stp>1</stp>
        <tr r="D1892" s="1"/>
      </tp>
      <tp t="s">
        <v>纺织服装</v>
        <stp/>
        <stp>EM_S_INFO_INDEX_EM</stp>
        <stp>2</stp>
        <stp>600493</stp>
        <stp>1</stp>
        <tr r="D2813" s="1"/>
      </tp>
      <tp t="s">
        <v>医药生物</v>
        <stp/>
        <stp>EM_S_INFO_INDEX_EM</stp>
        <stp>2</stp>
        <stp>000403</stp>
        <stp>1</stp>
        <tr r="D1103" s="1"/>
      </tp>
      <tp t="s">
        <v>电子设备</v>
        <stp/>
        <stp>EM_S_INFO_INDEX_EM</stp>
        <stp>2</stp>
        <stp>300433</stp>
        <stp>1</stp>
        <tr r="D140" s="1"/>
      </tp>
      <tp t="s">
        <v>房地产</v>
        <stp/>
        <stp>EM_S_INFO_INDEX_EM</stp>
        <stp>2</stp>
        <stp>600463</stp>
        <stp>1</stp>
        <tr r="D2180" s="1"/>
      </tp>
      <tp t="s">
        <v>电子设备</v>
        <stp/>
        <stp>EM_S_INFO_INDEX_EM</stp>
        <stp>2</stp>
        <stp>000413</stp>
        <stp>1</stp>
        <tr r="D3142" s="1"/>
      </tp>
      <tp t="s">
        <v>电气设备</v>
        <stp/>
        <stp>EM_S_INFO_INDEX_EM</stp>
        <stp>2</stp>
        <stp>300423</stp>
        <stp>1</stp>
        <tr r="D3152" s="1"/>
      </tp>
      <tp t="s">
        <v>医药生物</v>
        <stp/>
        <stp>EM_S_INFO_INDEX_EM</stp>
        <stp>2</stp>
        <stp>000423</stp>
        <stp>1</stp>
        <tr r="D3424" s="1"/>
      </tp>
      <tp t="s">
        <v>互联网</v>
        <stp/>
        <stp>EM_S_INFO_INDEX_EM</stp>
        <stp>2</stp>
        <stp>300413</stp>
        <stp>1</stp>
        <tr r="D2612" s="1"/>
      </tp>
      <tp t="s">
        <v>家电</v>
        <stp/>
        <stp>EM_S_INFO_INDEX_EM</stp>
        <stp>2</stp>
        <stp>300403</stp>
        <stp>1</stp>
        <tr r="D2252" s="1"/>
      </tp>
      <tp t="s">
        <v>交运设备</v>
        <stp/>
        <stp>EM_S_INFO_INDEX_EM</stp>
        <stp>2</stp>
        <stp>300473</stp>
        <stp>1</stp>
        <tr r="D898" s="1"/>
      </tp>
      <tp t="s">
        <v>基础化工</v>
        <stp/>
        <stp>EM_S_INFO_INDEX_EM</stp>
        <stp>2</stp>
        <stp>600423</stp>
        <stp>1</stp>
        <tr r="D2841" s="1"/>
      </tp>
      <tp t="s">
        <v>医药生物</v>
        <stp/>
        <stp>EM_S_INFO_INDEX_EM</stp>
        <stp>2</stp>
        <stp>300463</stp>
        <stp>1</stp>
        <tr r="D238" s="1"/>
      </tp>
      <tp t="s">
        <v>轻工制造</v>
        <stp/>
        <stp>EM_S_INFO_INDEX_EM</stp>
        <stp>2</stp>
        <stp>600433</stp>
        <stp>1</stp>
        <tr r="D2625" s="1"/>
      </tp>
      <tp t="s">
        <v>医药生物</v>
        <stp/>
        <stp>EM_S_INFO_INDEX_EM</stp>
        <stp>2</stp>
        <stp>300453</stp>
        <stp>1</stp>
        <tr r="D3248" s="1"/>
      </tp>
      <tp t="s">
        <v>化石能源</v>
        <stp/>
        <stp>EM_S_INFO_INDEX_EM</stp>
        <stp>2</stp>
        <stp>600403</stp>
        <stp>1</stp>
        <tr r="D1468" s="1"/>
      </tp>
      <tp t="s">
        <v>电气设备</v>
        <stp/>
        <stp>EM_S_INFO_INDEX_EM</stp>
        <stp>2</stp>
        <stp>300443</stp>
        <stp>1</stp>
        <tr r="D981" s="1"/>
      </tp>
      <tp>
        <v>0</v>
        <stp/>
        <stp>EM_S_INFO_INDEX_EM</stp>
        <stp>2</stp>
        <stp>000583</stp>
        <stp>1</stp>
        <tr r="D3466" s="1"/>
      </tp>
      <tp t="s">
        <v>公用事业</v>
        <stp/>
        <stp>EM_S_INFO_INDEX_EM</stp>
        <stp>2</stp>
        <stp>000593</stp>
        <stp>1</stp>
        <tr r="D3473" s="1"/>
      </tp>
      <tp t="s">
        <v>电气设备</v>
        <stp/>
        <stp>EM_S_INFO_INDEX_EM</stp>
        <stp>2</stp>
        <stp>300593</stp>
        <stp>1</stp>
        <tr r="D1675" s="1"/>
      </tp>
      <tp t="s">
        <v>医药生物</v>
        <stp/>
        <stp>EM_S_INFO_INDEX_EM</stp>
        <stp>2</stp>
        <stp>300583</stp>
        <stp>1</stp>
        <tr r="D2080" s="1"/>
      </tp>
      <tp t="s">
        <v>化石能源</v>
        <stp/>
        <stp>EM_S_INFO_INDEX_EM</stp>
        <stp>2</stp>
        <stp>600583</stp>
        <stp>1</stp>
        <tr r="D616" s="1"/>
      </tp>
      <tp t="s">
        <v>休闲、生活及专业服务</v>
        <stp/>
        <stp>EM_S_INFO_INDEX_EM</stp>
        <stp>2</stp>
        <stp>600593</stp>
        <stp>1</stp>
        <tr r="D387" s="1"/>
      </tp>
      <tp t="s">
        <v>医药生物</v>
        <stp/>
        <stp>EM_S_INFO_INDEX_EM</stp>
        <stp>2</stp>
        <stp>000503</stp>
        <stp>1</stp>
        <tr r="D3430" s="1"/>
      </tp>
      <tp t="s">
        <v>互联网</v>
        <stp/>
        <stp>EM_S_INFO_INDEX_EM</stp>
        <stp>2</stp>
        <stp>300533</stp>
        <stp>1</stp>
        <tr r="D687" s="1"/>
      </tp>
      <tp t="s">
        <v>电子设备</v>
        <stp/>
        <stp>EM_S_INFO_INDEX_EM</stp>
        <stp>2</stp>
        <stp>600563</stp>
        <stp>1</stp>
        <tr r="D1335" s="1"/>
      </tp>
      <tp t="s">
        <v>医药生物</v>
        <stp/>
        <stp>EM_S_INFO_INDEX_EM</stp>
        <stp>2</stp>
        <stp>000513</stp>
        <stp>1</stp>
        <tr r="D913" s="1"/>
      </tp>
      <tp t="s">
        <v>互联网</v>
        <stp/>
        <stp>EM_S_INFO_INDEX_EM</stp>
        <stp>2</stp>
        <stp>300523</stp>
        <stp>1</stp>
        <tr r="D3143" s="1"/>
      </tp>
      <tp t="s">
        <v>食品饮料</v>
        <stp/>
        <stp>EM_S_INFO_INDEX_EM</stp>
        <stp>2</stp>
        <stp>600573</stp>
        <stp>1</stp>
        <tr r="D2085" s="1"/>
      </tp>
      <tp t="s">
        <v>基础化工</v>
        <stp/>
        <stp>EM_S_INFO_INDEX_EM</stp>
        <stp>2</stp>
        <stp>000523</stp>
        <stp>1</stp>
        <tr r="D204" s="1"/>
      </tp>
      <tp t="s">
        <v>信息技术</v>
        <stp/>
        <stp>EM_S_INFO_INDEX_EM</stp>
        <stp>2</stp>
        <stp>300513</stp>
        <stp>1</stp>
        <tr r="D3312" s="1"/>
      </tp>
      <tp t="s">
        <v>食品饮料</v>
        <stp/>
        <stp>EM_S_INFO_INDEX_EM</stp>
        <stp>2</stp>
        <stp>600543</stp>
        <stp>1</stp>
        <tr r="D2825" s="1"/>
      </tp>
      <tp t="s">
        <v>电气设备</v>
        <stp/>
        <stp>EM_S_INFO_INDEX_EM</stp>
        <stp>2</stp>
        <stp>000533</stp>
        <stp>1</stp>
        <tr r="D3445" s="1"/>
      </tp>
      <tp t="s">
        <v>机械设备</v>
        <stp/>
        <stp>EM_S_INFO_INDEX_EM</stp>
        <stp>2</stp>
        <stp>300503</stp>
        <stp>1</stp>
        <tr r="D978" s="1"/>
      </tp>
      <tp>
        <v>0</v>
        <stp/>
        <stp>EM_S_INFO_INDEX_EM</stp>
        <stp>2</stp>
        <stp>600553</stp>
        <stp>1</stp>
        <tr r="D2304" s="1"/>
      </tp>
      <tp t="s">
        <v>公用事业</v>
        <stp/>
        <stp>EM_S_INFO_INDEX_EM</stp>
        <stp>2</stp>
        <stp>000543</stp>
        <stp>1</stp>
        <tr r="D2463" s="1"/>
      </tp>
      <tp t="s">
        <v>医药生物</v>
        <stp/>
        <stp>EM_S_INFO_INDEX_EM</stp>
        <stp>2</stp>
        <stp>300573</stp>
        <stp>1</stp>
        <tr r="D25" s="1"/>
      </tp>
      <tp t="s">
        <v>交运设备</v>
        <stp/>
        <stp>EM_S_INFO_INDEX_EM</stp>
        <stp>2</stp>
        <stp>600523</stp>
        <stp>1</stp>
        <tr r="D688" s="1"/>
      </tp>
      <tp t="s">
        <v>基础化工</v>
        <stp/>
        <stp>EM_S_INFO_INDEX_EM</stp>
        <stp>2</stp>
        <stp>000553</stp>
        <stp>1</stp>
        <tr r="D1907" s="1"/>
      </tp>
      <tp t="s">
        <v>电气设备</v>
        <stp/>
        <stp>EM_S_INFO_INDEX_EM</stp>
        <stp>2</stp>
        <stp>300563</stp>
        <stp>1</stp>
        <tr r="D1534" s="1"/>
      </tp>
      <tp t="s">
        <v>房地产</v>
        <stp/>
        <stp>EM_S_INFO_INDEX_EM</stp>
        <stp>2</stp>
        <stp>600533</stp>
        <stp>1</stp>
        <tr r="D1535" s="1"/>
      </tp>
      <tp t="s">
        <v>金融</v>
        <stp/>
        <stp>EM_S_INFO_INDEX_EM</stp>
        <stp>2</stp>
        <stp>000563</stp>
        <stp>1</stp>
        <tr r="D3456" s="1"/>
      </tp>
      <tp t="s">
        <v>机械设备</v>
        <stp/>
        <stp>EM_S_INFO_INDEX_EM</stp>
        <stp>2</stp>
        <stp>300553</stp>
        <stp>1</stp>
        <tr r="D1587" s="1"/>
      </tp>
      <tp t="s">
        <v>房地产</v>
        <stp/>
        <stp>EM_S_INFO_INDEX_EM</stp>
        <stp>2</stp>
        <stp>600503</stp>
        <stp>1</stp>
        <tr r="D2014" s="1"/>
      </tp>
      <tp t="s">
        <v>房地产</v>
        <stp/>
        <stp>EM_S_INFO_INDEX_EM</stp>
        <stp>2</stp>
        <stp>000573</stp>
        <stp>1</stp>
        <tr r="D2239" s="1"/>
      </tp>
      <tp t="s">
        <v>电子设备</v>
        <stp/>
        <stp>EM_S_INFO_INDEX_EM</stp>
        <stp>2</stp>
        <stp>300543</stp>
        <stp>1</stp>
        <tr r="D759" s="1"/>
      </tp>
      <tp t="s">
        <v>医药生物</v>
        <stp/>
        <stp>EM_S_INFO_INDEX_EM</stp>
        <stp>2</stp>
        <stp>600513</stp>
        <stp>1</stp>
        <tr r="D1324" s="1"/>
      </tp>
      <tp t="s">
        <v>公用事业</v>
        <stp/>
        <stp>EM_S_INFO_INDEX_EM</stp>
        <stp>2</stp>
        <stp>000883</stp>
        <stp>1</stp>
        <tr r="D1562" s="1"/>
      </tp>
      <tp t="s">
        <v>基础化工</v>
        <stp/>
        <stp>EM_S_INFO_INDEX_EM</stp>
        <stp>2</stp>
        <stp>000893</stp>
        <stp>1</stp>
        <tr r="D3566" s="1"/>
      </tp>
      <tp t="s">
        <v>建材</v>
        <stp/>
        <stp>EM_S_INFO_INDEX_EM</stp>
        <stp>2</stp>
        <stp>600883</stp>
        <stp>1</stp>
        <tr r="D1056" s="1"/>
      </tp>
      <tp t="s">
        <v>国防与装备</v>
        <stp/>
        <stp>EM_S_INFO_INDEX_EM</stp>
        <stp>2</stp>
        <stp>600893</stp>
        <stp>1</stp>
        <tr r="D2384" s="1"/>
      </tp>
      <tp t="s">
        <v>电气设备</v>
        <stp/>
        <stp>EM_S_INFO_INDEX_EM</stp>
        <stp>2</stp>
        <stp>000803</stp>
        <stp>1</stp>
        <tr r="D1520" s="1"/>
      </tp>
      <tp t="s">
        <v>公用事业</v>
        <stp/>
        <stp>EM_S_INFO_INDEX_EM</stp>
        <stp>2</stp>
        <stp>600863</stp>
        <stp>1</stp>
        <tr r="D1344" s="1"/>
      </tp>
      <tp t="s">
        <v>医药生物</v>
        <stp/>
        <stp>EM_S_INFO_INDEX_EM</stp>
        <stp>2</stp>
        <stp>000813</stp>
        <stp>1</stp>
        <tr r="D3236" s="1"/>
      </tp>
      <tp t="s">
        <v>农林牧渔</v>
        <stp/>
        <stp>EM_S_INFO_INDEX_EM</stp>
        <stp>2</stp>
        <stp>600873</stp>
        <stp>1</stp>
        <tr r="D2002" s="1"/>
      </tp>
      <tp t="s">
        <v>电子设备</v>
        <stp/>
        <stp>EM_S_INFO_INDEX_EM</stp>
        <stp>2</stp>
        <stp>000823</stp>
        <stp>1</stp>
        <tr r="D267" s="1"/>
      </tp>
      <tp t="s">
        <v>机械设备</v>
        <stp/>
        <stp>EM_S_INFO_INDEX_EM</stp>
        <stp>2</stp>
        <stp>600843</stp>
        <stp>1</stp>
        <tr r="D1525" s="1"/>
      </tp>
      <tp t="s">
        <v>综合</v>
        <stp/>
        <stp>EM_S_INFO_INDEX_EM</stp>
        <stp>2</stp>
        <stp>000833</stp>
        <stp>1</stp>
        <tr r="D1707" s="1"/>
      </tp>
      <tp t="s">
        <v>建筑</v>
        <stp/>
        <stp>EM_S_INFO_INDEX_EM</stp>
        <stp>2</stp>
        <stp>600853</stp>
        <stp>1</stp>
        <tr r="D2699" s="1"/>
      </tp>
      <tp t="s">
        <v>房地产</v>
        <stp/>
        <stp>EM_S_INFO_INDEX_EM</stp>
        <stp>2</stp>
        <stp>600823</stp>
        <stp>1</stp>
        <tr r="D1206" s="1"/>
      </tp>
      <tp t="s">
        <v>医药生物</v>
        <stp/>
        <stp>EM_S_INFO_INDEX_EM</stp>
        <stp>2</stp>
        <stp>600833</stp>
        <stp>1</stp>
        <tr r="D2110" s="1"/>
      </tp>
      <tp t="s">
        <v>房地产</v>
        <stp/>
        <stp>EM_S_INFO_INDEX_EM</stp>
        <stp>2</stp>
        <stp>000863</stp>
        <stp>1</stp>
        <tr r="D3557" s="1"/>
      </tp>
      <tp t="s">
        <v>公用事业</v>
        <stp/>
        <stp>EM_S_INFO_INDEX_EM</stp>
        <stp>2</stp>
        <stp>600803</stp>
        <stp>1</stp>
        <tr r="D1898" s="1"/>
      </tp>
      <tp>
        <v>0</v>
        <stp/>
        <stp>EM_S_INFO_INDEX_EM</stp>
        <stp>2</stp>
        <stp>600813</stp>
        <stp>1</stp>
        <tr r="D2327" s="1"/>
      </tp>
      <tp t="s">
        <v>化石能源</v>
        <stp/>
        <stp>EM_S_INFO_INDEX_EM</stp>
        <stp>2</stp>
        <stp>000983</stp>
        <stp>1</stp>
        <tr r="D1655" s="1"/>
      </tp>
      <tp t="s">
        <v>公用事业</v>
        <stp/>
        <stp>EM_S_INFO_INDEX_EM</stp>
        <stp>2</stp>
        <stp>000993</stp>
        <stp>1</stp>
        <tr r="D3600" s="1"/>
      </tp>
      <tp t="s">
        <v>家电</v>
        <stp/>
        <stp>EM_S_INFO_INDEX_EM</stp>
        <stp>2</stp>
        <stp>600983</stp>
        <stp>1</stp>
        <tr r="D2645" s="1"/>
      </tp>
      <tp t="s">
        <v>医药生物</v>
        <stp/>
        <stp>EM_S_INFO_INDEX_EM</stp>
        <stp>2</stp>
        <stp>600993</stp>
        <stp>1</stp>
        <tr r="D973" s="1"/>
      </tp>
      <tp t="s">
        <v>交运设备</v>
        <stp/>
        <stp>EM_S_INFO_INDEX_EM</stp>
        <stp>2</stp>
        <stp>000903</stp>
        <stp>1</stp>
        <tr r="D1940" s="1"/>
      </tp>
      <tp t="s">
        <v>轻工制造</v>
        <stp/>
        <stp>EM_S_INFO_INDEX_EM</stp>
        <stp>2</stp>
        <stp>600963</stp>
        <stp>1</stp>
        <tr r="D1727" s="1"/>
      </tp>
      <tp t="s">
        <v>交运设备</v>
        <stp/>
        <stp>EM_S_INFO_INDEX_EM</stp>
        <stp>2</stp>
        <stp>000913</stp>
        <stp>1</stp>
        <tr r="D1323" s="1"/>
      </tp>
      <tp t="s">
        <v>电气设备</v>
        <stp/>
        <stp>EM_S_INFO_INDEX_EM</stp>
        <stp>2</stp>
        <stp>600973</stp>
        <stp>1</stp>
        <tr r="D2049" s="1"/>
      </tp>
      <tp t="s">
        <v>钢铁</v>
        <stp/>
        <stp>EM_S_INFO_INDEX_EM</stp>
        <stp>2</stp>
        <stp>000923</stp>
        <stp>1</stp>
        <tr r="D3577" s="1"/>
      </tp>
      <tp t="s">
        <v>有色金属</v>
        <stp/>
        <stp>EM_S_INFO_INDEX_EM</stp>
        <stp>2</stp>
        <stp>000933</stp>
        <stp>1</stp>
        <tr r="D3581" s="1"/>
      </tp>
      <tp t="s">
        <v>基础化工</v>
        <stp/>
        <stp>EM_S_INFO_INDEX_EM</stp>
        <stp>2</stp>
        <stp>000953</stp>
        <stp>1</stp>
        <tr r="D3584" s="1"/>
      </tp>
      <tp t="s">
        <v>交运设备</v>
        <stp/>
        <stp>EM_S_INFO_INDEX_EM</stp>
        <stp>2</stp>
        <stp>600933</stp>
        <stp>1</stp>
        <tr r="D256" s="1"/>
      </tp>
      <tp t="s">
        <v>医药生物</v>
        <stp/>
        <stp>EM_S_INFO_INDEX_EM</stp>
        <stp>2</stp>
        <stp>000963</stp>
        <stp>1</stp>
        <tr r="D2741" s="1"/>
      </tp>
      <tp t="s">
        <v>公用事业</v>
        <stp/>
        <stp>EM_S_INFO_INDEX_EM</stp>
        <stp>2</stp>
        <stp>600903</stp>
        <stp>1</stp>
        <tr r="D3216" s="1"/>
      </tp>
      <tp t="s">
        <v>基础化工</v>
        <stp/>
        <stp>EM_S_INFO_INDEX_EM</stp>
        <stp>2</stp>
        <stp>000973</stp>
        <stp>1</stp>
        <tr r="D658" s="1"/>
      </tp>
      <tp t="s">
        <v>机械设备</v>
        <stp/>
        <stp>EM_S_INFO_INDEX_EM</stp>
        <stp>2</stp>
        <stp>603283</stp>
        <stp>1</stp>
        <tr r="D288" s="1"/>
      </tp>
      <tp t="s">
        <v>交通运输</v>
        <stp/>
        <stp>EM_S_INFO_INDEX_EM</stp>
        <stp>2</stp>
        <stp>603223</stp>
        <stp>1</stp>
        <tr r="D3307" s="1"/>
      </tp>
      <tp t="s">
        <v>医药生物</v>
        <stp/>
        <stp>EM_S_INFO_INDEX_EM</stp>
        <stp>2</stp>
        <stp>603233</stp>
        <stp>1</stp>
        <tr r="D958" s="1"/>
      </tp>
      <tp t="s">
        <v>机械设备</v>
        <stp/>
        <stp>EM_S_INFO_INDEX_EM</stp>
        <stp>2</stp>
        <stp>603203</stp>
        <stp>1</stp>
        <tr r="D761" s="1"/>
      </tp>
      <tp t="s">
        <v>信息技术</v>
        <stp/>
        <stp>EM_S_INFO_INDEX_EM</stp>
        <stp>2</stp>
        <stp>603383</stp>
        <stp>1</stp>
        <tr r="D88" s="1"/>
      </tp>
      <tp t="s">
        <v>公用事业</v>
        <stp/>
        <stp>EM_S_INFO_INDEX_EM</stp>
        <stp>2</stp>
        <stp>603393</stp>
        <stp>1</stp>
        <tr r="D2735" s="1"/>
      </tp>
      <tp t="s">
        <v>农林牧渔</v>
        <stp/>
        <stp>EM_S_INFO_INDEX_EM</stp>
        <stp>2</stp>
        <stp>603363</stp>
        <stp>1</stp>
        <tr r="D230" s="1"/>
      </tp>
      <tp t="s">
        <v>金融</v>
        <stp/>
        <stp>EM_S_INFO_INDEX_EM</stp>
        <stp>2</stp>
        <stp>603323</stp>
        <stp>1</stp>
        <tr r="D2888" s="1"/>
      </tp>
      <tp t="s">
        <v>电气设备</v>
        <stp/>
        <stp>EM_S_INFO_INDEX_EM</stp>
        <stp>2</stp>
        <stp>603333</stp>
        <stp>1</stp>
        <tr r="D196" s="1"/>
      </tp>
      <tp t="s">
        <v>电子设备</v>
        <stp/>
        <stp>EM_S_INFO_INDEX_EM</stp>
        <stp>2</stp>
        <stp>603303</stp>
        <stp>1</stp>
        <tr r="D2847" s="1"/>
      </tp>
      <tp t="s">
        <v>轻工制造</v>
        <stp/>
        <stp>EM_S_INFO_INDEX_EM</stp>
        <stp>2</stp>
        <stp>603313</stp>
        <stp>1</stp>
        <tr r="D2362" s="1"/>
      </tp>
      <tp t="s">
        <v>信息技术</v>
        <stp/>
        <stp>EM_S_INFO_INDEX_EM</stp>
        <stp>2</stp>
        <stp>603083</stp>
        <stp>1</stp>
        <tr r="D1659" s="1"/>
      </tp>
      <tp t="s">
        <v>电气设备</v>
        <stp/>
        <stp>EM_S_INFO_INDEX_EM</stp>
        <stp>2</stp>
        <stp>603063</stp>
        <stp>1</stp>
        <tr r="D636" s="1"/>
      </tp>
      <tp t="s">
        <v>食品饮料</v>
        <stp/>
        <stp>EM_S_INFO_INDEX_EM</stp>
        <stp>2</stp>
        <stp>603043</stp>
        <stp>1</stp>
        <tr r="D1672" s="1"/>
      </tp>
      <tp t="s">
        <v>交运设备</v>
        <stp/>
        <stp>EM_S_INFO_INDEX_EM</stp>
        <stp>2</stp>
        <stp>603023</stp>
        <stp>1</stp>
        <tr r="D2040" s="1"/>
      </tp>
      <tp t="s">
        <v>基础化工</v>
        <stp/>
        <stp>EM_S_INFO_INDEX_EM</stp>
        <stp>2</stp>
        <stp>603033</stp>
        <stp>1</stp>
        <tr r="D2572" s="1"/>
      </tp>
      <tp t="s">
        <v>机械设备</v>
        <stp/>
        <stp>EM_S_INFO_INDEX_EM</stp>
        <stp>2</stp>
        <stp>603003</stp>
        <stp>1</stp>
        <tr r="D1217" s="1"/>
      </tp>
      <tp t="s">
        <v>交运设备</v>
        <stp/>
        <stp>EM_S_INFO_INDEX_EM</stp>
        <stp>2</stp>
        <stp>603013</stp>
        <stp>1</stp>
        <tr r="D2867" s="1"/>
      </tp>
      <tp t="s">
        <v>综合</v>
        <stp/>
        <stp>EM_S_INFO_INDEX_EM</stp>
        <stp>2</stp>
        <stp>603183</stp>
        <stp>1</stp>
        <tr r="D3318" s="1"/>
      </tp>
      <tp t="s">
        <v>商贸零售</v>
        <stp/>
        <stp>EM_S_INFO_INDEX_EM</stp>
        <stp>2</stp>
        <stp>603123</stp>
        <stp>1</stp>
        <tr r="D1396" s="1"/>
      </tp>
      <tp t="s">
        <v>有色金属</v>
        <stp/>
        <stp>EM_S_INFO_INDEX_EM</stp>
        <stp>2</stp>
        <stp>603133</stp>
        <stp>1</stp>
        <tr r="D506" s="1"/>
      </tp>
      <tp t="s">
        <v>文化传媒</v>
        <stp/>
        <stp>EM_S_INFO_INDEX_EM</stp>
        <stp>2</stp>
        <stp>603103</stp>
        <stp>1</stp>
        <tr r="D2987" s="1"/>
      </tp>
      <tp t="s">
        <v>化石能源</v>
        <stp/>
        <stp>EM_S_INFO_INDEX_EM</stp>
        <stp>2</stp>
        <stp>603113</stp>
        <stp>1</stp>
        <tr r="D2475" s="1"/>
      </tp>
      <tp t="s">
        <v>基础化工</v>
        <stp/>
        <stp>EM_S_INFO_INDEX_EM</stp>
        <stp>2</stp>
        <stp>603683</stp>
        <stp>1</stp>
        <tr r="D2437" s="1"/>
      </tp>
      <tp t="s">
        <v>公用事业</v>
        <stp/>
        <stp>EM_S_INFO_INDEX_EM</stp>
        <stp>2</stp>
        <stp>603693</stp>
        <stp>1</stp>
        <tr r="D3179" s="1"/>
      </tp>
      <tp t="s">
        <v>有色金属</v>
        <stp/>
        <stp>EM_S_INFO_INDEX_EM</stp>
        <stp>2</stp>
        <stp>603663</stp>
        <stp>1</stp>
        <tr r="D3084" s="1"/>
      </tp>
      <tp t="s">
        <v>交运设备</v>
        <stp/>
        <stp>EM_S_INFO_INDEX_EM</stp>
        <stp>2</stp>
        <stp>603633</stp>
        <stp>1</stp>
        <tr r="D2051" s="1"/>
      </tp>
      <tp t="s">
        <v>公用事业</v>
        <stp/>
        <stp>EM_S_INFO_INDEX_EM</stp>
        <stp>2</stp>
        <stp>603603</stp>
        <stp>1</stp>
        <tr r="D3314" s="1"/>
      </tp>
      <tp t="s">
        <v>电子设备</v>
        <stp/>
        <stp>EM_S_INFO_INDEX_EM</stp>
        <stp>2</stp>
        <stp>603773</stp>
        <stp>1</stp>
        <tr r="D3149" s="1"/>
      </tp>
      <tp t="s">
        <v>轻工制造</v>
        <stp/>
        <stp>EM_S_INFO_INDEX_EM</stp>
        <stp>2</stp>
        <stp>603733</stp>
        <stp>1</stp>
        <tr r="D2668" s="1"/>
      </tp>
      <tp t="s">
        <v>电气设备</v>
        <stp/>
        <stp>EM_S_INFO_INDEX_EM</stp>
        <stp>2</stp>
        <stp>603703</stp>
        <stp>1</stp>
        <tr r="D347" s="1"/>
      </tp>
      <tp t="s">
        <v>互联网</v>
        <stp/>
        <stp>EM_S_INFO_INDEX_EM</stp>
        <stp>2</stp>
        <stp>603533</stp>
        <stp>1</stp>
        <tr r="D2569" s="1"/>
      </tp>
      <tp t="s">
        <v>医药生物</v>
        <stp/>
        <stp>EM_S_INFO_INDEX_EM</stp>
        <stp>2</stp>
        <stp>603883</stp>
        <stp>1</stp>
        <tr r="D819" s="1"/>
      </tp>
      <tp t="s">
        <v>建筑</v>
        <stp/>
        <stp>EM_S_INFO_INDEX_EM</stp>
        <stp>2</stp>
        <stp>603843</stp>
        <stp>1</stp>
        <tr r="D3316" s="1"/>
      </tp>
      <tp t="s">
        <v>基础化工</v>
        <stp/>
        <stp>EM_S_INFO_INDEX_EM</stp>
        <stp>2</stp>
        <stp>603823</stp>
        <stp>1</stp>
        <tr r="D322" s="1"/>
      </tp>
      <tp t="s">
        <v>轻工制造</v>
        <stp/>
        <stp>EM_S_INFO_INDEX_EM</stp>
        <stp>2</stp>
        <stp>603833</stp>
        <stp>1</stp>
        <tr r="D634" s="1"/>
      </tp>
      <tp t="s">
        <v>信息技术</v>
        <stp/>
        <stp>EM_S_INFO_INDEX_EM</stp>
        <stp>2</stp>
        <stp>603803</stp>
        <stp>1</stp>
        <tr r="D1040" s="1"/>
      </tp>
      <tp t="s">
        <v>交通运输</v>
        <stp/>
        <stp>EM_S_INFO_INDEX_EM</stp>
        <stp>2</stp>
        <stp>603813</stp>
        <stp>1</stp>
        <tr r="D2153" s="1"/>
      </tp>
      <tp t="s">
        <v>有色金属</v>
        <stp/>
        <stp>EM_S_INFO_INDEX_EM</stp>
        <stp>2</stp>
        <stp>603993</stp>
        <stp>1</stp>
        <tr r="D1415" s="1"/>
      </tp>
      <tp t="s">
        <v>医药生物</v>
        <stp/>
        <stp>EM_S_INFO_INDEX_EM</stp>
        <stp>2</stp>
        <stp>603963</stp>
        <stp>1</stp>
        <tr r="D2617" s="1"/>
      </tp>
      <tp t="s">
        <v>电子设备</v>
        <stp/>
        <stp>EM_S_INFO_INDEX_EM</stp>
        <stp>2</stp>
        <stp>603933</stp>
        <stp>1</stp>
        <tr r="D2900" s="1"/>
      </tp>
      <tp t="s">
        <v>公用事业</v>
        <stp/>
        <stp>EM_S_INFO_INDEX_EM</stp>
        <stp>2</stp>
        <stp>603903</stp>
        <stp>1</stp>
        <tr r="D3225" s="1"/>
      </tp>
      <tp t="s">
        <v>交运设备</v>
        <stp/>
        <stp>EM_S_INFO_INDEX_EM</stp>
        <stp>2</stp>
        <stp>002283</stp>
        <stp>1</stp>
        <tr r="D1746" s="1"/>
      </tp>
      <tp t="s">
        <v>纺织服装</v>
        <stp/>
        <stp>EM_S_INFO_INDEX_EM</stp>
        <stp>2</stp>
        <stp>002293</stp>
        <stp>1</stp>
        <tr r="D1996" s="1"/>
      </tp>
      <tp t="s">
        <v>有色金属</v>
        <stp/>
        <stp>EM_S_INFO_INDEX_EM</stp>
        <stp>2</stp>
        <stp>002203</stp>
        <stp>1</stp>
        <tr r="D951" s="1"/>
      </tp>
      <tp t="s">
        <v>交运设备</v>
        <stp/>
        <stp>EM_S_INFO_INDEX_EM</stp>
        <stp>2</stp>
        <stp>002213</stp>
        <stp>1</stp>
        <tr r="D924" s="1"/>
      </tp>
      <tp t="s">
        <v>医药生物</v>
        <stp/>
        <stp>EM_S_INFO_INDEX_EM</stp>
        <stp>2</stp>
        <stp>002223</stp>
        <stp>1</stp>
        <tr r="D2176" s="1"/>
      </tp>
      <tp t="s">
        <v>建材</v>
        <stp/>
        <stp>EM_S_INFO_INDEX_EM</stp>
        <stp>2</stp>
        <stp>002233</stp>
        <stp>1</stp>
        <tr r="D1157" s="1"/>
      </tp>
      <tp t="s">
        <v>轻工制造</v>
        <stp/>
        <stp>EM_S_INFO_INDEX_EM</stp>
        <stp>2</stp>
        <stp>002243</stp>
        <stp>1</stp>
        <tr r="D1825" s="1"/>
      </tp>
      <tp t="s">
        <v>信息技术</v>
        <stp/>
        <stp>EM_S_INFO_INDEX_EM</stp>
        <stp>2</stp>
        <stp>002253</stp>
        <stp>1</stp>
        <tr r="D1773" s="1"/>
      </tp>
      <tp t="s">
        <v>基础化工</v>
        <stp/>
        <stp>EM_S_INFO_INDEX_EM</stp>
        <stp>2</stp>
        <stp>002263</stp>
        <stp>1</stp>
        <tr r="D1203" s="1"/>
      </tp>
      <tp t="s">
        <v>电子设备</v>
        <stp/>
        <stp>EM_S_INFO_INDEX_EM</stp>
        <stp>2</stp>
        <stp>002273</stp>
        <stp>1</stp>
        <tr r="D318" s="1"/>
      </tp>
      <tp t="s">
        <v>信息技术</v>
        <stp/>
        <stp>EM_S_INFO_INDEX_EM</stp>
        <stp>2</stp>
        <stp>002383</stp>
        <stp>1</stp>
        <tr r="D3075" s="1"/>
      </tp>
      <tp t="s">
        <v>医药生物</v>
        <stp/>
        <stp>EM_S_INFO_INDEX_EM</stp>
        <stp>2</stp>
        <stp>002393</stp>
        <stp>1</stp>
        <tr r="D1123" s="1"/>
      </tp>
      <tp t="s">
        <v>轻工制造</v>
        <stp/>
        <stp>EM_S_INFO_INDEX_EM</stp>
        <stp>2</stp>
        <stp>002303</stp>
        <stp>1</stp>
        <tr r="D1611" s="1"/>
      </tp>
      <tp t="s">
        <v>信息技术</v>
        <stp/>
        <stp>EM_S_INFO_INDEX_EM</stp>
        <stp>2</stp>
        <stp>002313</stp>
        <stp>1</stp>
        <tr r="D2845" s="1"/>
      </tp>
      <tp t="s">
        <v>建筑</v>
        <stp/>
        <stp>EM_S_INFO_INDEX_EM</stp>
        <stp>2</stp>
        <stp>002323</stp>
        <stp>1</stp>
        <tr r="D80" s="1"/>
      </tp>
      <tp t="s">
        <v>建材</v>
        <stp/>
        <stp>EM_S_INFO_INDEX_EM</stp>
        <stp>2</stp>
        <stp>002333</stp>
        <stp>1</stp>
        <tr r="D3105" s="1"/>
      </tp>
      <tp t="s">
        <v>文化传媒</v>
        <stp/>
        <stp>EM_S_INFO_INDEX_EM</stp>
        <stp>2</stp>
        <stp>002343</stp>
        <stp>1</stp>
        <tr r="D1031" s="1"/>
      </tp>
      <tp t="s">
        <v>化石能源</v>
        <stp/>
        <stp>EM_S_INFO_INDEX_EM</stp>
        <stp>2</stp>
        <stp>002353</stp>
        <stp>1</stp>
        <tr r="D89" s="1"/>
      </tp>
      <tp t="s">
        <v>交运设备</v>
        <stp/>
        <stp>EM_S_INFO_INDEX_EM</stp>
        <stp>2</stp>
        <stp>002363</stp>
        <stp>1</stp>
        <tr r="D1055" s="1"/>
      </tp>
      <tp t="s">
        <v>信息技术</v>
        <stp/>
        <stp>EM_S_INFO_INDEX_EM</stp>
        <stp>2</stp>
        <stp>002373</stp>
        <stp>1</stp>
        <tr r="D379" s="1"/>
      </tp>
      <tp t="s">
        <v>纺织服装</v>
        <stp/>
        <stp>EM_S_INFO_INDEX_EM</stp>
        <stp>2</stp>
        <stp>002083</stp>
        <stp>1</stp>
        <tr r="D1111" s="1"/>
      </tp>
      <tp t="s">
        <v>信息技术</v>
        <stp/>
        <stp>EM_S_INFO_INDEX_EM</stp>
        <stp>2</stp>
        <stp>002093</stp>
        <stp>1</stp>
        <tr r="D3631" s="1"/>
      </tp>
      <tp t="s">
        <v>纺织服装</v>
        <stp/>
        <stp>EM_S_INFO_INDEX_EM</stp>
        <stp>2</stp>
        <stp>002003</stp>
        <stp>1</stp>
        <tr r="D2851" s="1"/>
      </tp>
      <tp t="s">
        <v>国防与装备</v>
        <stp/>
        <stp>EM_S_INFO_INDEX_EM</stp>
        <stp>2</stp>
        <stp>002013</stp>
        <stp>1</stp>
        <tr r="D1925" s="1"/>
      </tp>
      <tp t="s">
        <v>国防与装备</v>
        <stp/>
        <stp>EM_S_INFO_INDEX_EM</stp>
        <stp>2</stp>
        <stp>002023</stp>
        <stp>1</stp>
        <tr r="D1575" s="1"/>
      </tp>
      <tp t="s">
        <v>休闲、生活及专业服务</v>
        <stp/>
        <stp>EM_S_INFO_INDEX_EM</stp>
        <stp>2</stp>
        <stp>002033</stp>
        <stp>1</stp>
        <tr r="D3611" s="1"/>
      </tp>
      <tp t="s">
        <v>建材</v>
        <stp/>
        <stp>EM_S_INFO_INDEX_EM</stp>
        <stp>2</stp>
        <stp>002043</stp>
        <stp>1</stp>
        <tr r="D656" s="1"/>
      </tp>
      <tp t="s">
        <v>基础化工</v>
        <stp/>
        <stp>EM_S_INFO_INDEX_EM</stp>
        <stp>2</stp>
        <stp>002053</stp>
        <stp>1</stp>
        <tr r="D3619" s="1"/>
      </tp>
      <tp t="s">
        <v>信息技术</v>
        <stp/>
        <stp>EM_S_INFO_INDEX_EM</stp>
        <stp>2</stp>
        <stp>002063</stp>
        <stp>1</stp>
        <tr r="D118" s="1"/>
      </tp>
      <tp t="s">
        <v>机械设备</v>
        <stp/>
        <stp>EM_S_INFO_INDEX_EM</stp>
        <stp>2</stp>
        <stp>002073</stp>
        <stp>1</stp>
        <tr r="D3625" s="1"/>
      </tp>
      <tp t="s">
        <v>交通运输</v>
        <stp/>
        <stp>EM_S_INFO_INDEX_EM</stp>
        <stp>2</stp>
        <stp>002183</stp>
        <stp>1</stp>
        <tr r="D2949" s="1"/>
      </tp>
      <tp t="s">
        <v>纺织服装</v>
        <stp/>
        <stp>EM_S_INFO_INDEX_EM</stp>
        <stp>2</stp>
        <stp>002193</stp>
        <stp>1</stp>
        <tr r="D2773" s="1"/>
      </tp>
      <tp t="s">
        <v>文化传媒</v>
        <stp/>
        <stp>EM_S_INFO_INDEX_EM</stp>
        <stp>2</stp>
        <stp>002103</stp>
        <stp>1</stp>
        <tr r="D3635" s="1"/>
      </tp>
      <tp t="s">
        <v>互联网</v>
        <stp/>
        <stp>EM_S_INFO_INDEX_EM</stp>
        <stp>2</stp>
        <stp>002113</stp>
        <stp>1</stp>
        <tr r="D3352" s="1"/>
      </tp>
      <tp t="s">
        <v>信息技术</v>
        <stp/>
        <stp>EM_S_INFO_INDEX_EM</stp>
        <stp>2</stp>
        <stp>002123</stp>
        <stp>1</stp>
        <tr r="D78" s="1"/>
      </tp>
      <tp t="s">
        <v>房地产</v>
        <stp/>
        <stp>EM_S_INFO_INDEX_EM</stp>
        <stp>2</stp>
        <stp>002133</stp>
        <stp>1</stp>
        <tr r="D2546" s="1"/>
      </tp>
      <tp>
        <v>0</v>
        <stp/>
        <stp>EM_S_INFO_INDEX_EM</stp>
        <stp>2</stp>
        <stp>002143</stp>
        <stp>1</stp>
        <tr r="D3411" s="1"/>
      </tp>
      <tp t="s">
        <v>信息技术</v>
        <stp/>
        <stp>EM_S_INFO_INDEX_EM</stp>
        <stp>2</stp>
        <stp>002153</stp>
        <stp>1</stp>
        <tr r="D541" s="1"/>
      </tp>
      <tp t="s">
        <v>建材</v>
        <stp/>
        <stp>EM_S_INFO_INDEX_EM</stp>
        <stp>2</stp>
        <stp>002163</stp>
        <stp>1</stp>
        <tr r="D1572" s="1"/>
      </tp>
      <tp t="s">
        <v>医药生物</v>
        <stp/>
        <stp>EM_S_INFO_INDEX_EM</stp>
        <stp>2</stp>
        <stp>002173</stp>
        <stp>1</stp>
        <tr r="D2881" s="1"/>
      </tp>
      <tp t="s">
        <v>机械设备</v>
        <stp/>
        <stp>EM_S_INFO_INDEX_EM</stp>
        <stp>2</stp>
        <stp>002683</stp>
        <stp>1</stp>
        <tr r="D111" s="1"/>
      </tp>
      <tp t="s">
        <v>医药生物</v>
        <stp/>
        <stp>EM_S_INFO_INDEX_EM</stp>
        <stp>2</stp>
        <stp>002693</stp>
        <stp>1</stp>
        <tr r="D1309" s="1"/>
      </tp>
      <tp t="s">
        <v>医药生物</v>
        <stp/>
        <stp>EM_S_INFO_INDEX_EM</stp>
        <stp>2</stp>
        <stp>002603</stp>
        <stp>1</stp>
        <tr r="D1855" s="1"/>
      </tp>
      <tp t="s">
        <v>建材</v>
        <stp/>
        <stp>EM_S_INFO_INDEX_EM</stp>
        <stp>2</stp>
        <stp>002613</stp>
        <stp>1</stp>
        <tr r="D2072" s="1"/>
      </tp>
      <tp t="s">
        <v>电气设备</v>
        <stp/>
        <stp>EM_S_INFO_INDEX_EM</stp>
        <stp>2</stp>
        <stp>002623</stp>
        <stp>1</stp>
        <tr r="D556" s="1"/>
      </tp>
      <tp t="s">
        <v>机械设备</v>
        <stp/>
        <stp>EM_S_INFO_INDEX_EM</stp>
        <stp>2</stp>
        <stp>002633</stp>
        <stp>1</stp>
        <tr r="D2033" s="1"/>
      </tp>
      <tp t="s">
        <v>基础化工</v>
        <stp/>
        <stp>EM_S_INFO_INDEX_EM</stp>
        <stp>2</stp>
        <stp>002643</stp>
        <stp>1</stp>
        <tr r="D561" s="1"/>
      </tp>
      <tp t="s">
        <v>医药生物</v>
        <stp/>
        <stp>EM_S_INFO_INDEX_EM</stp>
        <stp>2</stp>
        <stp>002653</stp>
        <stp>1</stp>
        <tr r="D337" s="1"/>
      </tp>
      <tp t="s">
        <v>建筑</v>
        <stp/>
        <stp>EM_S_INFO_INDEX_EM</stp>
        <stp>2</stp>
        <stp>002663</stp>
        <stp>1</stp>
        <tr r="D1524" s="1"/>
      </tp>
      <tp t="s">
        <v>金融</v>
        <stp/>
        <stp>EM_S_INFO_INDEX_EM</stp>
        <stp>2</stp>
        <stp>002673</stp>
        <stp>1</stp>
        <tr r="D998" s="1"/>
      </tp>
      <tp t="s">
        <v>基础化工</v>
        <stp/>
        <stp>EM_S_INFO_INDEX_EM</stp>
        <stp>2</stp>
        <stp>002783</stp>
        <stp>1</stp>
        <tr r="D244" s="1"/>
      </tp>
      <tp t="s">
        <v>机械设备</v>
        <stp/>
        <stp>EM_S_INFO_INDEX_EM</stp>
        <stp>2</stp>
        <stp>002793</stp>
        <stp>1</stp>
        <tr r="D848" s="1"/>
      </tp>
      <tp t="s">
        <v>交运设备</v>
        <stp/>
        <stp>EM_S_INFO_INDEX_EM</stp>
        <stp>2</stp>
        <stp>002703</stp>
        <stp>1</stp>
        <tr r="D1670" s="1"/>
      </tp>
      <tp t="s">
        <v>建筑</v>
        <stp/>
        <stp>EM_S_INFO_INDEX_EM</stp>
        <stp>2</stp>
        <stp>002713</stp>
        <stp>1</stp>
        <tr r="D3382" s="1"/>
      </tp>
      <tp t="s">
        <v>家电</v>
        <stp/>
        <stp>EM_S_INFO_INDEX_EM</stp>
        <stp>2</stp>
        <stp>002723</stp>
        <stp>1</stp>
        <tr r="D2029" s="1"/>
      </tp>
      <tp t="s">
        <v>电气设备</v>
        <stp/>
        <stp>EM_S_INFO_INDEX_EM</stp>
        <stp>2</stp>
        <stp>002733</stp>
        <stp>1</stp>
        <tr r="D67" s="1"/>
      </tp>
      <tp t="s">
        <v>建筑</v>
        <stp/>
        <stp>EM_S_INFO_INDEX_EM</stp>
        <stp>2</stp>
        <stp>002743</stp>
        <stp>1</stp>
        <tr r="D1568" s="1"/>
      </tp>
      <tp t="s">
        <v>基础化工</v>
        <stp/>
        <stp>EM_S_INFO_INDEX_EM</stp>
        <stp>2</stp>
        <stp>002753</stp>
        <stp>1</stp>
        <tr r="D2896" s="1"/>
      </tp>
      <tp t="s">
        <v>纺织服装</v>
        <stp/>
        <stp>EM_S_INFO_INDEX_EM</stp>
        <stp>2</stp>
        <stp>002763</stp>
        <stp>1</stp>
        <tr r="D2122" s="1"/>
      </tp>
      <tp t="s">
        <v>医药生物</v>
        <stp/>
        <stp>EM_S_INFO_INDEX_EM</stp>
        <stp>2</stp>
        <stp>002773</stp>
        <stp>1</stp>
        <tr r="D1974" s="1"/>
      </tp>
      <tp t="s">
        <v>机械设备</v>
        <stp/>
        <stp>EM_S_INFO_INDEX_EM</stp>
        <stp>2</stp>
        <stp>002483</stp>
        <stp>1</stp>
        <tr r="D1478" s="1"/>
      </tp>
      <tp t="s">
        <v>基础化工</v>
        <stp/>
        <stp>EM_S_INFO_INDEX_EM</stp>
        <stp>2</stp>
        <stp>002493</stp>
        <stp>1</stp>
        <tr r="D1189" s="1"/>
      </tp>
      <tp t="s">
        <v>家电</v>
        <stp/>
        <stp>EM_S_INFO_INDEX_EM</stp>
        <stp>2</stp>
        <stp>002403</stp>
        <stp>1</stp>
        <tr r="D1774" s="1"/>
      </tp>
      <tp t="s">
        <v>信息技术</v>
        <stp/>
        <stp>EM_S_INFO_INDEX_EM</stp>
        <stp>2</stp>
        <stp>002413</stp>
        <stp>1</stp>
        <tr r="D2131" s="1"/>
      </tp>
      <tp t="s">
        <v>金融</v>
        <stp/>
        <stp>EM_S_INFO_INDEX_EM</stp>
        <stp>2</stp>
        <stp>002423</stp>
        <stp>1</stp>
        <tr r="D1697" s="1"/>
      </tp>
      <tp t="s">
        <v>医药生物</v>
        <stp/>
        <stp>EM_S_INFO_INDEX_EM</stp>
        <stp>2</stp>
        <stp>002433</stp>
        <stp>1</stp>
        <tr r="D2500" s="1"/>
      </tp>
      <tp t="s">
        <v>钢铁</v>
        <stp/>
        <stp>EM_S_INFO_INDEX_EM</stp>
        <stp>2</stp>
        <stp>002443</stp>
        <stp>1</stp>
        <tr r="D1085" s="1"/>
      </tp>
      <tp t="s">
        <v>互联网</v>
        <stp/>
        <stp>EM_S_INFO_INDEX_EM</stp>
        <stp>2</stp>
        <stp>002453</stp>
        <stp>1</stp>
        <tr r="D2057" s="1"/>
      </tp>
      <tp t="s">
        <v>电子设备</v>
        <stp/>
        <stp>EM_S_INFO_INDEX_EM</stp>
        <stp>2</stp>
        <stp>002463</stp>
        <stp>1</stp>
        <tr r="D42" s="1"/>
      </tp>
      <tp t="s">
        <v>家电</v>
        <stp/>
        <stp>EM_S_INFO_INDEX_EM</stp>
        <stp>2</stp>
        <stp>002473</stp>
        <stp>1</stp>
        <tr r="D797" s="1"/>
      </tp>
      <tp t="s">
        <v>信息技术</v>
        <stp/>
        <stp>EM_S_INFO_INDEX_EM</stp>
        <stp>2</stp>
        <stp>002583</stp>
        <stp>1</stp>
        <tr r="D1954" s="1"/>
      </tp>
      <tp t="s">
        <v>交运设备</v>
        <stp/>
        <stp>EM_S_INFO_INDEX_EM</stp>
        <stp>2</stp>
        <stp>002593</stp>
        <stp>1</stp>
        <tr r="D1008" s="1"/>
      </tp>
      <tp t="s">
        <v>纺织服装</v>
        <stp/>
        <stp>EM_S_INFO_INDEX_EM</stp>
        <stp>2</stp>
        <stp>002503</stp>
        <stp>1</stp>
        <tr r="D2089" s="1"/>
      </tp>
      <tp t="s">
        <v>基础化工</v>
        <stp/>
        <stp>EM_S_INFO_INDEX_EM</stp>
        <stp>2</stp>
        <stp>002513</stp>
        <stp>1</stp>
        <tr r="D1792" s="1"/>
      </tp>
      <tp t="s">
        <v>机械设备</v>
        <stp/>
        <stp>EM_S_INFO_INDEX_EM</stp>
        <stp>2</stp>
        <stp>002523</stp>
        <stp>1</stp>
        <tr r="D2054" s="1"/>
      </tp>
      <tp t="s">
        <v>电气设备</v>
        <stp/>
        <stp>EM_S_INFO_INDEX_EM</stp>
        <stp>2</stp>
        <stp>002533</stp>
        <stp>1</stp>
        <tr r="D1582" s="1"/>
      </tp>
      <tp t="s">
        <v>家电</v>
        <stp/>
        <stp>EM_S_INFO_INDEX_EM</stp>
        <stp>2</stp>
        <stp>002543</stp>
        <stp>1</stp>
        <tr r="D3167" s="1"/>
      </tp>
      <tp t="s">
        <v>交运设备</v>
        <stp/>
        <stp>EM_S_INFO_INDEX_EM</stp>
        <stp>2</stp>
        <stp>002553</stp>
        <stp>1</stp>
        <tr r="D2055" s="1"/>
      </tp>
      <tp t="s">
        <v>纺织服装</v>
        <stp/>
        <stp>EM_S_INFO_INDEX_EM</stp>
        <stp>2</stp>
        <stp>002563</stp>
        <stp>1</stp>
        <tr r="D1758" s="1"/>
      </tp>
      <tp t="s">
        <v>公用事业</v>
        <stp/>
        <stp>EM_S_INFO_INDEX_EM</stp>
        <stp>2</stp>
        <stp>002573</stp>
        <stp>1</stp>
        <tr r="D2784" s="1"/>
      </tp>
      <tp t="s">
        <v>休闲、生活及专业服务</v>
        <stp/>
        <stp>EM_S_INFO_INDEX_EM</stp>
        <stp>2</stp>
        <stp>002883</stp>
        <stp>1</stp>
        <tr r="D2216" s="1"/>
      </tp>
      <tp t="s">
        <v>公用事业</v>
        <stp/>
        <stp>EM_S_INFO_INDEX_EM</stp>
        <stp>2</stp>
        <stp>002893</stp>
        <stp>1</stp>
        <tr r="D3136" s="1"/>
      </tp>
      <tp t="s">
        <v>轻工制造</v>
        <stp/>
        <stp>EM_S_INFO_INDEX_EM</stp>
        <stp>2</stp>
        <stp>002803</stp>
        <stp>1</stp>
        <tr r="D257" s="1"/>
      </tp>
      <tp t="s">
        <v>交运设备</v>
        <stp/>
        <stp>EM_S_INFO_INDEX_EM</stp>
        <stp>2</stp>
        <stp>002813</stp>
        <stp>1</stp>
        <tr r="D2566" s="1"/>
      </tp>
      <tp t="s">
        <v>电气设备</v>
        <stp/>
        <stp>EM_S_INFO_INDEX_EM</stp>
        <stp>2</stp>
        <stp>002823</stp>
        <stp>1</stp>
        <tr r="D2753" s="1"/>
      </tp>
      <tp t="s">
        <v>机械设备</v>
        <stp/>
        <stp>EM_S_INFO_INDEX_EM</stp>
        <stp>2</stp>
        <stp>002833</stp>
        <stp>1</stp>
        <tr r="D1553" s="1"/>
      </tp>
      <tp t="s">
        <v>机械设备</v>
        <stp/>
        <stp>EM_S_INFO_INDEX_EM</stp>
        <stp>2</stp>
        <stp>002843</stp>
        <stp>1</stp>
        <tr r="D3239" s="1"/>
      </tp>
      <tp t="s">
        <v>轻工制造</v>
        <stp/>
        <stp>EM_S_INFO_INDEX_EM</stp>
        <stp>2</stp>
        <stp>002853</stp>
        <stp>1</stp>
        <tr r="D2233" s="1"/>
      </tp>
      <tp t="s">
        <v>交运设备</v>
        <stp/>
        <stp>EM_S_INFO_INDEX_EM</stp>
        <stp>2</stp>
        <stp>002863</stp>
        <stp>1</stp>
        <tr r="D2846" s="1"/>
      </tp>
      <tp t="s">
        <v>医药生物</v>
        <stp/>
        <stp>EM_S_INFO_INDEX_EM</stp>
        <stp>2</stp>
        <stp>002873</stp>
        <stp>1</stp>
        <tr r="D2205" s="1"/>
      </tp>
      <tp t="s">
        <v>机械设备</v>
        <stp/>
        <stp>EM_S_INFO_INDEX_EM</stp>
        <stp>2</stp>
        <stp>002903</stp>
        <stp>1</stp>
        <tr r="D2947" s="1"/>
      </tp>
      <tp t="s">
        <v>电子设备</v>
        <stp/>
        <stp>EM_S_INFO_INDEX_EM</stp>
        <stp>2</stp>
        <stp>002913</stp>
        <stp>1</stp>
        <tr r="D570" s="1"/>
      </tp>
      <tp t="s">
        <v>医药生物</v>
        <stp/>
        <stp>EM_S_INFO_INDEX_EM</stp>
        <stp>2</stp>
        <stp>002923</stp>
        <stp>1</stp>
        <tr r="D3191" s="1"/>
      </tp>
      <tp t="s">
        <v>电气设备</v>
        <stp/>
        <stp>EM_S_INFO_INDEX_EM</stp>
        <stp>2</stp>
        <stp>601222</stp>
        <stp>1</stp>
        <tr r="D2421" s="1"/>
      </tp>
      <tp t="s">
        <v>有色金属</v>
        <stp/>
        <stp>EM_S_INFO_INDEX_EM</stp>
        <stp>2</stp>
        <stp>601212</stp>
        <stp>1</stp>
        <tr r="D1088" s="1"/>
      </tp>
      <tp t="s">
        <v>机械设备</v>
        <stp/>
        <stp>EM_S_INFO_INDEX_EM</stp>
        <stp>2</stp>
        <stp>601002</stp>
        <stp>1</stp>
        <tr r="D1815" s="1"/>
      </tp>
      <tp t="s">
        <v>电气设备</v>
        <stp/>
        <stp>EM_S_INFO_INDEX_EM</stp>
        <stp>2</stp>
        <stp>601012</stp>
        <stp>1</stp>
        <tr r="D682" s="1"/>
      </tp>
      <tp t="s">
        <v>机械设备</v>
        <stp/>
        <stp>EM_S_INFO_INDEX_EM</stp>
        <stp>2</stp>
        <stp>601882</stp>
        <stp>1</stp>
        <tr r="D2144" s="1"/>
      </tp>
      <tp t="s">
        <v>交通运输</v>
        <stp/>
        <stp>EM_S_INFO_INDEX_EM</stp>
        <stp>2</stp>
        <stp>601872</stp>
        <stp>1</stp>
        <tr r="D137" s="1"/>
      </tp>
      <tp t="s">
        <v>建材</v>
        <stp/>
        <stp>EM_S_INFO_INDEX_EM</stp>
        <stp>2</stp>
        <stp>601992</stp>
        <stp>1</stp>
        <tr r="D2099" s="1"/>
      </tp>
      <tp t="s">
        <v>农林牧渔</v>
        <stp/>
        <stp>EM_S_INFO_INDEX_EM</stp>
        <stp>2</stp>
        <stp>601952</stp>
        <stp>1</stp>
        <tr r="D2012" s="1"/>
      </tp>
      <tp t="s">
        <v>信息技术</v>
        <stp/>
        <stp>EM_S_INFO_INDEX_EM</stp>
        <stp>2</stp>
        <stp>300292</stp>
        <stp>1</stp>
        <tr r="D894" s="1"/>
      </tp>
      <tp t="s">
        <v>文化传媒</v>
        <stp/>
        <stp>EM_S_INFO_INDEX_EM</stp>
        <stp>2</stp>
        <stp>300282</stp>
        <stp>1</stp>
        <tr r="D3268" s="1"/>
      </tp>
      <tp t="s">
        <v>钢铁</v>
        <stp/>
        <stp>EM_S_INFO_INDEX_EM</stp>
        <stp>2</stp>
        <stp>600282</stp>
        <stp>1</stp>
        <tr r="D2261" s="1"/>
      </tp>
      <tp t="s">
        <v>公用事业</v>
        <stp/>
        <stp>EM_S_INFO_INDEX_EM</stp>
        <stp>2</stp>
        <stp>600292</stp>
        <stp>1</stp>
        <tr r="D1533" s="1"/>
      </tp>
      <tp t="s">
        <v>电子设备</v>
        <stp/>
        <stp>EM_S_INFO_INDEX_EM</stp>
        <stp>2</stp>
        <stp>300232</stp>
        <stp>1</stp>
        <tr r="D1976" s="1"/>
      </tp>
      <tp t="s">
        <v>交运设备</v>
        <stp/>
        <stp>EM_S_INFO_INDEX_EM</stp>
        <stp>2</stp>
        <stp>600262</stp>
        <stp>1</stp>
        <tr r="D2020" s="1"/>
      </tp>
      <tp t="s">
        <v>机械设备</v>
        <stp/>
        <stp>EM_S_INFO_INDEX_EM</stp>
        <stp>2</stp>
        <stp>300222</stp>
        <stp>1</stp>
        <tr r="D3309" s="1"/>
      </tp>
      <tp t="s">
        <v>医药生物</v>
        <stp/>
        <stp>EM_S_INFO_INDEX_EM</stp>
        <stp>2</stp>
        <stp>600272</stp>
        <stp>1</stp>
        <tr r="D1919" s="1"/>
      </tp>
      <tp t="s">
        <v>信息技术</v>
        <stp/>
        <stp>EM_S_INFO_INDEX_EM</stp>
        <stp>2</stp>
        <stp>300212</stp>
        <stp>1</stp>
        <tr r="D426" s="1"/>
      </tp>
      <tp t="s">
        <v>互联网</v>
        <stp/>
        <stp>EM_S_INFO_INDEX_EM</stp>
        <stp>2</stp>
        <stp>600242</stp>
        <stp>1</stp>
        <tr r="D3360" s="1"/>
      </tp>
      <tp t="s">
        <v>信息技术</v>
        <stp/>
        <stp>EM_S_INFO_INDEX_EM</stp>
        <stp>2</stp>
        <stp>300202</stp>
        <stp>1</stp>
        <tr r="D299" s="1"/>
      </tp>
      <tp t="s">
        <v>医药生物</v>
        <stp/>
        <stp>EM_S_INFO_INDEX_EM</stp>
        <stp>2</stp>
        <stp>600252</stp>
        <stp>1</stp>
        <tr r="D1069" s="1"/>
      </tp>
      <tp t="s">
        <v>机械设备</v>
        <stp/>
        <stp>EM_S_INFO_INDEX_EM</stp>
        <stp>2</stp>
        <stp>300272</stp>
        <stp>1</stp>
        <tr r="D3189" s="1"/>
      </tp>
      <tp t="s">
        <v>医药生物</v>
        <stp/>
        <stp>EM_S_INFO_INDEX_EM</stp>
        <stp>2</stp>
        <stp>600222</stp>
        <stp>1</stp>
        <tr r="D1015" s="1"/>
      </tp>
      <tp t="s">
        <v>公用事业</v>
        <stp/>
        <stp>EM_S_INFO_INDEX_EM</stp>
        <stp>2</stp>
        <stp>300262</stp>
        <stp>1</stp>
        <tr r="D2823" s="1"/>
      </tp>
      <tp t="s">
        <v>纺织服装</v>
        <stp/>
        <stp>EM_S_INFO_INDEX_EM</stp>
        <stp>2</stp>
        <stp>600232</stp>
        <stp>1</stp>
        <tr r="D942" s="1"/>
      </tp>
      <tp t="s">
        <v>信息技术</v>
        <stp/>
        <stp>EM_S_INFO_INDEX_EM</stp>
        <stp>2</stp>
        <stp>300252</stp>
        <stp>1</stp>
        <tr r="D2966" s="1"/>
      </tp>
      <tp t="s">
        <v>机械设备</v>
        <stp/>
        <stp>EM_S_INFO_INDEX_EM</stp>
        <stp>2</stp>
        <stp>600202</stp>
        <stp>1</stp>
        <tr r="D605" s="1"/>
      </tp>
      <tp t="s">
        <v>文化传媒</v>
        <stp/>
        <stp>EM_S_INFO_INDEX_EM</stp>
        <stp>2</stp>
        <stp>300242</stp>
        <stp>1</stp>
        <tr r="D2537" s="1"/>
      </tp>
      <tp t="s">
        <v>公用事业</v>
        <stp/>
        <stp>EM_S_INFO_INDEX_EM</stp>
        <stp>2</stp>
        <stp>600212</stp>
        <stp>1</stp>
        <tr r="D2006" s="1"/>
      </tp>
      <tp t="s">
        <v>文化传媒</v>
        <stp/>
        <stp>EM_S_INFO_INDEX_EM</stp>
        <stp>2</stp>
        <stp>300392</stp>
        <stp>1</stp>
        <tr r="D2449" s="1"/>
      </tp>
      <tp t="s">
        <v>机械设备</v>
        <stp/>
        <stp>EM_S_INFO_INDEX_EM</stp>
        <stp>2</stp>
        <stp>300382</stp>
        <stp>1</stp>
        <tr r="D2351" s="1"/>
      </tp>
      <tp t="s">
        <v>房地产</v>
        <stp/>
        <stp>EM_S_INFO_INDEX_EM</stp>
        <stp>2</stp>
        <stp>600382</stp>
        <stp>1</stp>
        <tr r="D2733" s="1"/>
      </tp>
      <tp t="s">
        <v>有色金属</v>
        <stp/>
        <stp>EM_S_INFO_INDEX_EM</stp>
        <stp>2</stp>
        <stp>600392</stp>
        <stp>1</stp>
        <tr r="D1949" s="1"/>
      </tp>
      <tp t="s">
        <v>公用事业</v>
        <stp/>
        <stp>EM_S_INFO_INDEX_EM</stp>
        <stp>2</stp>
        <stp>300332</stp>
        <stp>1</stp>
        <tr r="D1799" s="1"/>
      </tp>
      <tp t="s">
        <v>有色金属</v>
        <stp/>
        <stp>EM_S_INFO_INDEX_EM</stp>
        <stp>2</stp>
        <stp>600362</stp>
        <stp>1</stp>
        <tr r="D900" s="1"/>
      </tp>
      <tp t="s">
        <v>电子设备</v>
        <stp/>
        <stp>EM_S_INFO_INDEX_EM</stp>
        <stp>2</stp>
        <stp>300322</stp>
        <stp>1</stp>
        <tr r="D123" s="1"/>
      </tp>
      <tp t="s">
        <v>国防与装备</v>
        <stp/>
        <stp>EM_S_INFO_INDEX_EM</stp>
        <stp>2</stp>
        <stp>600372</stp>
        <stp>1</stp>
        <tr r="D1736" s="1"/>
      </tp>
      <tp t="s">
        <v>信息技术</v>
        <stp/>
        <stp>EM_S_INFO_INDEX_EM</stp>
        <stp>2</stp>
        <stp>300312</stp>
        <stp>1</stp>
        <tr r="D3298" s="1"/>
      </tp>
      <tp t="s">
        <v>信息技术</v>
        <stp/>
        <stp>EM_S_INFO_INDEX_EM</stp>
        <stp>2</stp>
        <stp>300302</stp>
        <stp>1</stp>
        <tr r="D343" s="1"/>
      </tp>
      <tp t="s">
        <v>基础化工</v>
        <stp/>
        <stp>EM_S_INFO_INDEX_EM</stp>
        <stp>2</stp>
        <stp>600352</stp>
        <stp>1</stp>
        <tr r="D572" s="1"/>
      </tp>
      <tp>
        <v>0</v>
        <stp/>
        <stp>EM_S_INFO_INDEX_EM</stp>
        <stp>2</stp>
        <stp>300372</stp>
        <stp>1</stp>
        <tr r="D2283" s="1"/>
      </tp>
      <tp t="s">
        <v>房地产</v>
        <stp/>
        <stp>EM_S_INFO_INDEX_EM</stp>
        <stp>2</stp>
        <stp>600322</stp>
        <stp>1</stp>
        <tr r="D2723" s="1"/>
      </tp>
      <tp t="s">
        <v>机械设备</v>
        <stp/>
        <stp>EM_S_INFO_INDEX_EM</stp>
        <stp>2</stp>
        <stp>300362</stp>
        <stp>1</stp>
        <tr r="D3359" s="1"/>
      </tp>
      <tp t="s">
        <v>医药生物</v>
        <stp/>
        <stp>EM_S_INFO_INDEX_EM</stp>
        <stp>2</stp>
        <stp>600332</stp>
        <stp>1</stp>
        <tr r="D2596" s="1"/>
      </tp>
      <tp t="s">
        <v>信息技术</v>
        <stp/>
        <stp>EM_S_INFO_INDEX_EM</stp>
        <stp>2</stp>
        <stp>300352</stp>
        <stp>1</stp>
        <tr r="D122" s="1"/>
      </tp>
      <tp t="s">
        <v>机械设备</v>
        <stp/>
        <stp>EM_S_INFO_INDEX_EM</stp>
        <stp>2</stp>
        <stp>600302</stp>
        <stp>1</stp>
        <tr r="D1508" s="1"/>
      </tp>
      <tp t="s">
        <v>家电</v>
        <stp/>
        <stp>EM_S_INFO_INDEX_EM</stp>
        <stp>2</stp>
        <stp>300342</stp>
        <stp>1</stp>
        <tr r="D861" s="1"/>
      </tp>
      <tp t="s">
        <v>电气设备</v>
        <stp/>
        <stp>EM_S_INFO_INDEX_EM</stp>
        <stp>2</stp>
        <stp>600312</stp>
        <stp>1</stp>
        <tr r="D3067" s="1"/>
      </tp>
      <tp t="s">
        <v>机械设备</v>
        <stp/>
        <stp>EM_S_INFO_INDEX_EM</stp>
        <stp>2</stp>
        <stp>300092</stp>
        <stp>1</stp>
        <tr r="D1306" s="1"/>
      </tp>
      <tp t="s">
        <v>基础化工</v>
        <stp/>
        <stp>EM_S_INFO_INDEX_EM</stp>
        <stp>2</stp>
        <stp>300082</stp>
        <stp>1</stp>
        <tr r="D2238" s="1"/>
      </tp>
      <tp t="s">
        <v>房地产</v>
        <stp/>
        <stp>EM_S_INFO_INDEX_EM</stp>
        <stp>2</stp>
        <stp>600082</stp>
        <stp>1</stp>
        <tr r="D2681" s="1"/>
      </tp>
      <tp>
        <v>0</v>
        <stp/>
        <stp>EM_S_INFO_INDEX_EM</stp>
        <stp>2</stp>
        <stp>600092</stp>
        <stp>1</stp>
        <tr r="D2291" s="1"/>
      </tp>
      <tp t="s">
        <v>房地产</v>
        <stp/>
        <stp>EM_S_INFO_INDEX_EM</stp>
        <stp>2</stp>
        <stp>000002</stp>
        <stp>1</stp>
        <tr r="D725" s="1"/>
      </tp>
      <tp t="s">
        <v>电子设备</v>
        <stp/>
        <stp>EM_S_INFO_INDEX_EM</stp>
        <stp>2</stp>
        <stp>300032</stp>
        <stp>1</stp>
        <tr r="D987" s="1"/>
      </tp>
      <tp t="s">
        <v>医药生物</v>
        <stp/>
        <stp>EM_S_INFO_INDEX_EM</stp>
        <stp>2</stp>
        <stp>600062</stp>
        <stp>1</stp>
        <tr r="D1938" s="1"/>
      </tp>
      <tp t="s">
        <v>建材</v>
        <stp/>
        <stp>EM_S_INFO_INDEX_EM</stp>
        <stp>2</stp>
        <stp>000012</stp>
        <stp>1</stp>
        <tr r="D741" s="1"/>
      </tp>
      <tp t="s">
        <v>机械设备</v>
        <stp/>
        <stp>EM_S_INFO_INDEX_EM</stp>
        <stp>2</stp>
        <stp>300022</stp>
        <stp>1</stp>
        <tr r="D1917" s="1"/>
      </tp>
      <tp t="s">
        <v>建筑</v>
        <stp/>
        <stp>EM_S_INFO_INDEX_EM</stp>
        <stp>2</stp>
        <stp>600072</stp>
        <stp>1</stp>
        <tr r="D198" s="1"/>
      </tp>
      <tp>
        <v>0</v>
        <stp/>
        <stp>EM_S_INFO_INDEX_EM</stp>
        <stp>2</stp>
        <stp>000022</stp>
        <stp>1</stp>
        <tr r="D3" s="1"/>
      </tp>
      <tp t="s">
        <v>休闲、生活及专业服务</v>
        <stp/>
        <stp>EM_S_INFO_INDEX_EM</stp>
        <stp>2</stp>
        <stp>300012</stp>
        <stp>1</stp>
        <tr r="D112" s="1"/>
      </tp>
      <tp t="s">
        <v>商贸零售</v>
        <stp/>
        <stp>EM_S_INFO_INDEX_EM</stp>
        <stp>2</stp>
        <stp>000032</stp>
        <stp>1</stp>
        <tr r="D158" s="1"/>
      </tp>
      <tp t="s">
        <v>信息技术</v>
        <stp/>
        <stp>EM_S_INFO_INDEX_EM</stp>
        <stp>2</stp>
        <stp>300002</stp>
        <stp>1</stp>
        <tr r="D2398" s="1"/>
      </tp>
      <tp t="s">
        <v>房地产</v>
        <stp/>
        <stp>EM_S_INFO_INDEX_EM</stp>
        <stp>2</stp>
        <stp>600052</stp>
        <stp>1</stp>
        <tr r="D481" s="1"/>
      </tp>
      <tp t="s">
        <v>房地产</v>
        <stp/>
        <stp>EM_S_INFO_INDEX_EM</stp>
        <stp>2</stp>
        <stp>000042</stp>
        <stp>1</stp>
        <tr r="D2432" s="1"/>
      </tp>
      <tp t="s">
        <v>基础化工</v>
        <stp/>
        <stp>EM_S_INFO_INDEX_EM</stp>
        <stp>2</stp>
        <stp>300072</stp>
        <stp>1</stp>
        <tr r="D3283" s="1"/>
      </tp>
      <tp t="s">
        <v>钢铁</v>
        <stp/>
        <stp>EM_S_INFO_INDEX_EM</stp>
        <stp>2</stp>
        <stp>600022</stp>
        <stp>1</stp>
        <tr r="D2738" s="1"/>
      </tp>
      <tp t="s">
        <v>电气设备</v>
        <stp/>
        <stp>EM_S_INFO_INDEX_EM</stp>
        <stp>2</stp>
        <stp>300062</stp>
        <stp>1</stp>
        <tr r="D1772" s="1"/>
      </tp>
      <tp t="s">
        <v>商贸零售</v>
        <stp/>
        <stp>EM_S_INFO_INDEX_EM</stp>
        <stp>2</stp>
        <stp>000062</stp>
        <stp>1</stp>
        <tr r="D1072" s="1"/>
      </tp>
      <tp t="s">
        <v>互联网</v>
        <stp/>
        <stp>EM_S_INFO_INDEX_EM</stp>
        <stp>2</stp>
        <stp>300052</stp>
        <stp>1</stp>
        <tr r="D509" s="1"/>
      </tp>
      <tp>
        <v>0</v>
        <stp/>
        <stp>EM_S_INFO_INDEX_EM</stp>
        <stp>2</stp>
        <stp>600002</stp>
        <stp>1</stp>
        <tr r="D2286" s="1"/>
      </tp>
      <tp t="s">
        <v>信息技术</v>
        <stp/>
        <stp>EM_S_INFO_INDEX_EM</stp>
        <stp>2</stp>
        <stp>300042</stp>
        <stp>1</stp>
        <tr r="D1386" s="1"/>
      </tp>
      <tp t="s">
        <v>交通运输</v>
        <stp/>
        <stp>EM_S_INFO_INDEX_EM</stp>
        <stp>2</stp>
        <stp>600012</stp>
        <stp>1</stp>
        <tr r="D2470" s="1"/>
      </tp>
      <tp t="s">
        <v>基础化工</v>
        <stp/>
        <stp>EM_S_INFO_INDEX_EM</stp>
        <stp>2</stp>
        <stp>300192</stp>
        <stp>1</stp>
        <tr r="D413" s="1"/>
      </tp>
      <tp t="s">
        <v>文化传媒</v>
        <stp/>
        <stp>EM_S_INFO_INDEX_EM</stp>
        <stp>2</stp>
        <stp>300182</stp>
        <stp>1</stp>
        <tr r="D3029" s="1"/>
      </tp>
      <tp t="s">
        <v>基础化工</v>
        <stp/>
        <stp>EM_S_INFO_INDEX_EM</stp>
        <stp>2</stp>
        <stp>600182</stp>
        <stp>1</stp>
        <tr r="D1800" s="1"/>
      </tp>
      <tp t="s">
        <v>电气设备</v>
        <stp/>
        <stp>EM_S_INFO_INDEX_EM</stp>
        <stp>2</stp>
        <stp>600192</stp>
        <stp>1</stp>
        <tr r="D1193" s="1"/>
      </tp>
      <tp t="s">
        <v>基础化工</v>
        <stp/>
        <stp>EM_S_INFO_INDEX_EM</stp>
        <stp>2</stp>
        <stp>300132</stp>
        <stp>1</stp>
        <tr r="D2143" s="1"/>
      </tp>
      <tp t="s">
        <v>房地产</v>
        <stp/>
        <stp>EM_S_INFO_INDEX_EM</stp>
        <stp>2</stp>
        <stp>600162</stp>
        <stp>1</stp>
        <tr r="D2078" s="1"/>
      </tp>
      <tp t="s">
        <v>医药生物</v>
        <stp/>
        <stp>EM_S_INFO_INDEX_EM</stp>
        <stp>2</stp>
        <stp>300122</stp>
        <stp>1</stp>
        <tr r="D1101" s="1"/>
      </tp>
      <tp t="s">
        <v>有色金属</v>
        <stp/>
        <stp>EM_S_INFO_INDEX_EM</stp>
        <stp>2</stp>
        <stp>600172</stp>
        <stp>1</stp>
        <tr r="D2575" s="1"/>
      </tp>
      <tp t="s">
        <v>机械设备</v>
        <stp/>
        <stp>EM_S_INFO_INDEX_EM</stp>
        <stp>2</stp>
        <stp>300112</stp>
        <stp>1</stp>
        <tr r="D580" s="1"/>
      </tp>
      <tp t="s">
        <v>电子设备</v>
        <stp/>
        <stp>EM_S_INFO_INDEX_EM</stp>
        <stp>2</stp>
        <stp>300102</stp>
        <stp>1</stp>
        <tr r="D3006" s="1"/>
      </tp>
      <tp t="s">
        <v>电气设备</v>
        <stp/>
        <stp>EM_S_INFO_INDEX_EM</stp>
        <stp>2</stp>
        <stp>600152</stp>
        <stp>1</stp>
        <tr r="D1376" s="1"/>
      </tp>
      <tp t="s">
        <v>公用事业</v>
        <stp/>
        <stp>EM_S_INFO_INDEX_EM</stp>
        <stp>2</stp>
        <stp>300172</stp>
        <stp>1</stp>
        <tr r="D2415" s="1"/>
      </tp>
      <tp t="s">
        <v>商贸零售</v>
        <stp/>
        <stp>EM_S_INFO_INDEX_EM</stp>
        <stp>2</stp>
        <stp>600122</stp>
        <stp>1</stp>
        <tr r="D3190" s="1"/>
      </tp>
      <tp t="s">
        <v>电子设备</v>
        <stp/>
        <stp>EM_S_INFO_INDEX_EM</stp>
        <stp>2</stp>
        <stp>300162</stp>
        <stp>1</stp>
        <tr r="D194" s="1"/>
      </tp>
      <tp t="s">
        <v>食品饮料</v>
        <stp/>
        <stp>EM_S_INFO_INDEX_EM</stp>
        <stp>2</stp>
        <stp>600132</stp>
        <stp>1</stp>
        <tr r="D313" s="1"/>
      </tp>
      <tp t="s">
        <v>公用事业</v>
        <stp/>
        <stp>EM_S_INFO_INDEX_EM</stp>
        <stp>2</stp>
        <stp>300152</stp>
        <stp>1</stp>
        <tr r="D897" s="1"/>
      </tp>
      <tp>
        <v>0</v>
        <stp/>
        <stp>EM_S_INFO_INDEX_EM</stp>
        <stp>2</stp>
        <stp>600102</stp>
        <stp>1</stp>
        <tr r="D2292" s="1"/>
      </tp>
      <tp t="s">
        <v>医药生物</v>
        <stp/>
        <stp>EM_S_INFO_INDEX_EM</stp>
        <stp>2</stp>
        <stp>300142</stp>
        <stp>1</stp>
        <tr r="D360" s="1"/>
      </tp>
      <tp t="s">
        <v>电气设备</v>
        <stp/>
        <stp>EM_S_INFO_INDEX_EM</stp>
        <stp>2</stp>
        <stp>600112</stp>
        <stp>1</stp>
        <tr r="D3347" s="1"/>
      </tp>
      <tp t="s">
        <v>电气设备</v>
        <stp/>
        <stp>EM_S_INFO_INDEX_EM</stp>
        <stp>2</stp>
        <stp>000682</stp>
        <stp>1</stp>
        <tr r="D515" s="1"/>
      </tp>
      <tp t="s">
        <v>公用事业</v>
        <stp/>
        <stp>EM_S_INFO_INDEX_EM</stp>
        <stp>2</stp>
        <stp>000692</stp>
        <stp>1</stp>
        <tr r="D1493" s="1"/>
      </tp>
      <tp t="s">
        <v>公用事业</v>
        <stp/>
        <stp>EM_S_INFO_INDEX_EM</stp>
        <stp>2</stp>
        <stp>300692</stp>
        <stp>1</stp>
        <tr r="D2598" s="1"/>
      </tp>
      <tp t="s">
        <v>信息技术</v>
        <stp/>
        <stp>EM_S_INFO_INDEX_EM</stp>
        <stp>2</stp>
        <stp>300682</stp>
        <stp>1</stp>
        <tr r="D782" s="1"/>
      </tp>
      <tp t="s">
        <v>商贸零售</v>
        <stp/>
        <stp>EM_S_INFO_INDEX_EM</stp>
        <stp>2</stp>
        <stp>600682</stp>
        <stp>1</stp>
        <tr r="D1585" s="1"/>
      </tp>
      <tp t="s">
        <v>房地产</v>
        <stp/>
        <stp>EM_S_INFO_INDEX_EM</stp>
        <stp>2</stp>
        <stp>600692</stp>
        <stp>1</stp>
        <tr r="D2781" s="1"/>
      </tp>
      <tp>
        <v>0</v>
        <stp/>
        <stp>EM_S_INFO_INDEX_EM</stp>
        <stp>2</stp>
        <stp>000602</stp>
        <stp>1</stp>
        <tr r="D3478" s="1"/>
      </tp>
      <tp t="s">
        <v>电子设备</v>
        <stp/>
        <stp>EM_S_INFO_INDEX_EM</stp>
        <stp>2</stp>
        <stp>300632</stp>
        <stp>1</stp>
        <tr r="D320" s="1"/>
      </tp>
      <tp t="s">
        <v>交通运输</v>
        <stp/>
        <stp>EM_S_INFO_INDEX_EM</stp>
        <stp>2</stp>
        <stp>600662</stp>
        <stp>1</stp>
        <tr r="D1782" s="1"/>
      </tp>
      <tp t="s">
        <v>有色金属</v>
        <stp/>
        <stp>EM_S_INFO_INDEX_EM</stp>
        <stp>2</stp>
        <stp>000612</stp>
        <stp>1</stp>
        <tr r="D3484" s="1"/>
      </tp>
      <tp t="s">
        <v>商贸零售</v>
        <stp/>
        <stp>EM_S_INFO_INDEX_EM</stp>
        <stp>2</stp>
        <stp>300622</stp>
        <stp>1</stp>
        <tr r="D1369" s="1"/>
      </tp>
      <tp>
        <v>0</v>
        <stp/>
        <stp>EM_S_INFO_INDEX_EM</stp>
        <stp>2</stp>
        <stp>600672</stp>
        <stp>1</stp>
        <tr r="D2315" s="1"/>
      </tp>
      <tp t="s">
        <v>交运设备</v>
        <stp/>
        <stp>EM_S_INFO_INDEX_EM</stp>
        <stp>2</stp>
        <stp>000622</stp>
        <stp>1</stp>
        <tr r="D3279" s="1"/>
      </tp>
      <tp t="s">
        <v>文化传媒</v>
        <stp/>
        <stp>EM_S_INFO_INDEX_EM</stp>
        <stp>2</stp>
        <stp>300612</stp>
        <stp>1</stp>
        <tr r="D1593" s="1"/>
      </tp>
      <tp t="s">
        <v>化石能源</v>
        <stp/>
        <stp>EM_S_INFO_INDEX_EM</stp>
        <stp>2</stp>
        <stp>600642</stp>
        <stp>1</stp>
        <tr r="D1343" s="1"/>
      </tp>
      <tp t="s">
        <v>房地产</v>
        <stp/>
        <stp>EM_S_INFO_INDEX_EM</stp>
        <stp>2</stp>
        <stp>000632</stp>
        <stp>1</stp>
        <tr r="D438" s="1"/>
      </tp>
      <tp t="s">
        <v>电子设备</v>
        <stp/>
        <stp>EM_S_INFO_INDEX_EM</stp>
        <stp>2</stp>
        <stp>300602</stp>
        <stp>1</stp>
        <tr r="D1016" s="1"/>
      </tp>
      <tp t="s">
        <v>互联网</v>
        <stp/>
        <stp>EM_S_INFO_INDEX_EM</stp>
        <stp>2</stp>
        <stp>600652</stp>
        <stp>1</stp>
        <tr r="D3367" s="1"/>
      </tp>
      <tp t="s">
        <v>电子设备</v>
        <stp/>
        <stp>EM_S_INFO_INDEX_EM</stp>
        <stp>2</stp>
        <stp>300672</stp>
        <stp>1</stp>
        <tr r="D1657" s="1"/>
      </tp>
      <tp t="s">
        <v>房地产</v>
        <stp/>
        <stp>EM_S_INFO_INDEX_EM</stp>
        <stp>2</stp>
        <stp>600622</stp>
        <stp>1</stp>
        <tr r="D3247" s="1"/>
      </tp>
      <tp t="s">
        <v>综合</v>
        <stp/>
        <stp>EM_S_INFO_INDEX_EM</stp>
        <stp>2</stp>
        <stp>000652</stp>
        <stp>1</stp>
        <tr r="D1224" s="1"/>
      </tp>
      <tp t="s">
        <v>休闲、生活及专业服务</v>
        <stp/>
        <stp>EM_S_INFO_INDEX_EM</stp>
        <stp>2</stp>
        <stp>300662</stp>
        <stp>1</stp>
        <tr r="D1399" s="1"/>
      </tp>
      <tp>
        <v>0</v>
        <stp/>
        <stp>EM_S_INFO_INDEX_EM</stp>
        <stp>2</stp>
        <stp>600632</stp>
        <stp>1</stp>
        <tr r="D2310" s="1"/>
      </tp>
      <tp t="s">
        <v>信息技术</v>
        <stp/>
        <stp>EM_S_INFO_INDEX_EM</stp>
        <stp>2</stp>
        <stp>000662</stp>
        <stp>1</stp>
        <tr r="D3497" s="1"/>
      </tp>
      <tp t="s">
        <v>交运设备</v>
        <stp/>
        <stp>EM_S_INFO_INDEX_EM</stp>
        <stp>2</stp>
        <stp>300652</stp>
        <stp>1</stp>
        <tr r="D2079" s="1"/>
      </tp>
      <tp t="s">
        <v>信息技术</v>
        <stp/>
        <stp>EM_S_INFO_INDEX_EM</stp>
        <stp>2</stp>
        <stp>600602</stp>
        <stp>1</stp>
        <tr r="D353" s="1"/>
      </tp>
      <tp t="s">
        <v>建材</v>
        <stp/>
        <stp>EM_S_INFO_INDEX_EM</stp>
        <stp>2</stp>
        <stp>000672</stp>
        <stp>1</stp>
        <tr r="D150" s="1"/>
      </tp>
      <tp t="s">
        <v>医药生物</v>
        <stp/>
        <stp>EM_S_INFO_INDEX_EM</stp>
        <stp>2</stp>
        <stp>300642</stp>
        <stp>1</stp>
        <tr r="D1902" s="1"/>
      </tp>
      <tp t="s">
        <v>轻工制造</v>
        <stp/>
        <stp>EM_S_INFO_INDEX_EM</stp>
        <stp>2</stp>
        <stp>600612</stp>
        <stp>1</stp>
        <tr r="D2043" s="1"/>
      </tp>
      <tp t="s">
        <v>基础化工</v>
        <stp/>
        <stp>EM_S_INFO_INDEX_EM</stp>
        <stp>2</stp>
        <stp>000782</stp>
        <stp>1</stp>
        <tr r="D3032" s="1"/>
      </tp>
      <tp t="s">
        <v>基础化工</v>
        <stp/>
        <stp>EM_S_INFO_INDEX_EM</stp>
        <stp>2</stp>
        <stp>000792</stp>
        <stp>1</stp>
        <tr r="D3539" s="1"/>
      </tp>
      <tp t="s">
        <v>钢铁</v>
        <stp/>
        <stp>EM_S_INFO_INDEX_EM</stp>
        <stp>2</stp>
        <stp>600782</stp>
        <stp>1</stp>
        <tr r="D2374" s="1"/>
      </tp>
      <tp t="s">
        <v>化石能源</v>
        <stp/>
        <stp>EM_S_INFO_INDEX_EM</stp>
        <stp>2</stp>
        <stp>600792</stp>
        <stp>1</stp>
        <tr r="D952" s="1"/>
      </tp>
      <tp t="s">
        <v>农林牧渔</v>
        <stp/>
        <stp>EM_S_INFO_INDEX_EM</stp>
        <stp>2</stp>
        <stp>000702</stp>
        <stp>1</stp>
        <tr r="D3516" s="1"/>
      </tp>
      <tp t="s">
        <v>休闲、生活及专业服务</v>
        <stp/>
        <stp>EM_S_INFO_INDEX_EM</stp>
        <stp>2</stp>
        <stp>300732</stp>
        <stp>1</stp>
        <tr r="D3364" s="1"/>
      </tp>
      <tp>
        <v>0</v>
        <stp/>
        <stp>EM_S_INFO_INDEX_EM</stp>
        <stp>2</stp>
        <stp>600762</stp>
        <stp>1</stp>
        <tr r="D2320" s="1"/>
      </tp>
      <tp t="s">
        <v>金融</v>
        <stp/>
        <stp>EM_S_INFO_INDEX_EM</stp>
        <stp>2</stp>
        <stp>000712</stp>
        <stp>1</stp>
        <tr r="D3518" s="1"/>
      </tp>
      <tp t="s">
        <v>国防与装备</v>
        <stp/>
        <stp>EM_S_INFO_INDEX_EM</stp>
        <stp>2</stp>
        <stp>300722</stp>
        <stp>1</stp>
        <tr r="D3251" s="1"/>
      </tp>
      <tp>
        <v>0</v>
        <stp/>
        <stp>EM_S_INFO_INDEX_EM</stp>
        <stp>2</stp>
        <stp>600772</stp>
        <stp>1</stp>
        <tr r="D2321" s="1"/>
      </tp>
      <tp t="s">
        <v>公用事业</v>
        <stp/>
        <stp>EM_S_INFO_INDEX_EM</stp>
        <stp>2</stp>
        <stp>000722</stp>
        <stp>1</stp>
        <tr r="D1665" s="1"/>
      </tp>
      <tp t="s">
        <v>休闲、生活及专业服务</v>
        <stp/>
        <stp>EM_S_INFO_INDEX_EM</stp>
        <stp>2</stp>
        <stp>300712</stp>
        <stp>1</stp>
        <tr r="D3068" s="1"/>
      </tp>
      <tp t="s">
        <v>交运设备</v>
        <stp/>
        <stp>EM_S_INFO_INDEX_EM</stp>
        <stp>2</stp>
        <stp>600742</stp>
        <stp>1</stp>
        <tr r="D1197" s="1"/>
      </tp>
      <tp t="s">
        <v>房地产</v>
        <stp/>
        <stp>EM_S_INFO_INDEX_EM</stp>
        <stp>2</stp>
        <stp>000732</stp>
        <stp>1</stp>
        <tr r="D3385" s="1"/>
      </tp>
      <tp t="s">
        <v>医药生物</v>
        <stp/>
        <stp>EM_S_INFO_INDEX_EM</stp>
        <stp>2</stp>
        <stp>300702</stp>
        <stp>1</stp>
        <tr r="D105" s="1"/>
      </tp>
      <tp>
        <v>0</v>
        <stp/>
        <stp>EM_S_INFO_INDEX_EM</stp>
        <stp>2</stp>
        <stp>600752</stp>
        <stp>1</stp>
        <tr r="D2319" s="1"/>
      </tp>
      <tp t="s">
        <v>基础化工</v>
        <stp/>
        <stp>EM_S_INFO_INDEX_EM</stp>
        <stp>2</stp>
        <stp>600722</stp>
        <stp>1</stp>
        <tr r="D2048" s="1"/>
      </tp>
      <tp t="s">
        <v>食品饮料</v>
        <stp/>
        <stp>EM_S_INFO_INDEX_EM</stp>
        <stp>2</stp>
        <stp>000752</stp>
        <stp>1</stp>
        <tr r="D3527" s="1"/>
      </tp>
      <tp t="s">
        <v>电气设备</v>
        <stp/>
        <stp>EM_S_INFO_INDEX_EM</stp>
        <stp>2</stp>
        <stp>600732</stp>
        <stp>1</stp>
        <tr r="D281" s="1"/>
      </tp>
      <tp t="s">
        <v>有色金属</v>
        <stp/>
        <stp>EM_S_INFO_INDEX_EM</stp>
        <stp>2</stp>
        <stp>000762</stp>
        <stp>1</stp>
        <tr r="D3531" s="1"/>
      </tp>
      <tp t="s">
        <v>食品饮料</v>
        <stp/>
        <stp>EM_S_INFO_INDEX_EM</stp>
        <stp>2</stp>
        <stp>600702</stp>
        <stp>1</stp>
        <tr r="D882" s="1"/>
      </tp>
      <tp t="s">
        <v>交运设备</v>
        <stp/>
        <stp>EM_S_INFO_INDEX_EM</stp>
        <stp>2</stp>
        <stp>300742</stp>
        <stp>1</stp>
        <tr r="D3334" s="1"/>
      </tp>
      <tp t="s">
        <v>商贸零售</v>
        <stp/>
        <stp>EM_S_INFO_INDEX_EM</stp>
        <stp>2</stp>
        <stp>600712</stp>
        <stp>1</stp>
        <tr r="D59" s="1"/>
      </tp>
      <tp t="s">
        <v>休闲、生活及专业服务</v>
        <stp/>
        <stp>EM_S_INFO_INDEX_EM</stp>
        <stp>2</stp>
        <stp>300492</stp>
        <stp>1</stp>
        <tr r="D69" s="1"/>
      </tp>
      <tp t="s">
        <v>医药生物</v>
        <stp/>
        <stp>EM_S_INFO_INDEX_EM</stp>
        <stp>2</stp>
        <stp>300482</stp>
        <stp>1</stp>
        <tr r="D183" s="1"/>
      </tp>
      <tp t="s">
        <v>国防与装备</v>
        <stp/>
        <stp>EM_S_INFO_INDEX_EM</stp>
        <stp>2</stp>
        <stp>600482</stp>
        <stp>1</stp>
        <tr r="D2777" s="1"/>
      </tp>
      <tp t="s">
        <v>房地产</v>
        <stp/>
        <stp>EM_S_INFO_INDEX_EM</stp>
        <stp>2</stp>
        <stp>000402</stp>
        <stp>1</stp>
        <tr r="D3415" s="1"/>
      </tp>
      <tp t="s">
        <v>交运设备</v>
        <stp/>
        <stp>EM_S_INFO_INDEX_EM</stp>
        <stp>2</stp>
        <stp>300432</stp>
        <stp>1</stp>
        <tr r="D180" s="1"/>
      </tp>
      <tp t="s">
        <v>电子设备</v>
        <stp/>
        <stp>EM_S_INFO_INDEX_EM</stp>
        <stp>2</stp>
        <stp>600462</stp>
        <stp>1</stp>
        <tr r="D3369" s="1"/>
      </tp>
      <tp>
        <v>0</v>
        <stp/>
        <stp>EM_S_INFO_INDEX_EM</stp>
        <stp>2</stp>
        <stp>000412</stp>
        <stp>1</stp>
        <tr r="D3420" s="1"/>
      </tp>
      <tp t="s">
        <v>公用事业</v>
        <stp/>
        <stp>EM_S_INFO_INDEX_EM</stp>
        <stp>2</stp>
        <stp>300422</stp>
        <stp>1</stp>
        <tr r="D2032" s="1"/>
      </tp>
      <tp>
        <v>0</v>
        <stp/>
        <stp>EM_S_INFO_INDEX_EM</stp>
        <stp>2</stp>
        <stp>600472</stp>
        <stp>1</stp>
        <tr r="D2303" s="1"/>
      </tp>
      <tp t="s">
        <v>基础化工</v>
        <stp/>
        <stp>EM_S_INFO_INDEX_EM</stp>
        <stp>2</stp>
        <stp>000422</stp>
        <stp>1</stp>
        <tr r="D2350" s="1"/>
      </tp>
      <tp t="s">
        <v>机械设备</v>
        <stp/>
        <stp>EM_S_INFO_INDEX_EM</stp>
        <stp>2</stp>
        <stp>300412</stp>
        <stp>1</stp>
        <tr r="D2243" s="1"/>
      </tp>
      <tp t="s">
        <v>机械设备</v>
        <stp/>
        <stp>EM_S_INFO_INDEX_EM</stp>
        <stp>2</stp>
        <stp>300402</stp>
        <stp>1</stp>
        <tr r="D1278" s="1"/>
      </tp>
      <tp t="s">
        <v>公用事业</v>
        <stp/>
        <stp>EM_S_INFO_INDEX_EM</stp>
        <stp>2</stp>
        <stp>600452</stp>
        <stp>1</stp>
        <tr r="D1428" s="1"/>
      </tp>
      <tp t="s">
        <v>机械设备</v>
        <stp/>
        <stp>EM_S_INFO_INDEX_EM</stp>
        <stp>2</stp>
        <stp>300472</stp>
        <stp>1</stp>
        <tr r="D2439" s="1"/>
      </tp>
      <tp t="s">
        <v>医药生物</v>
        <stp/>
        <stp>EM_S_INFO_INDEX_EM</stp>
        <stp>2</stp>
        <stp>600422</stp>
        <stp>1</stp>
        <tr r="D333" s="1"/>
      </tp>
      <tp t="s">
        <v>信息技术</v>
        <stp/>
        <stp>EM_S_INFO_INDEX_EM</stp>
        <stp>2</stp>
        <stp>300462</stp>
        <stp>1</stp>
        <tr r="D369" s="1"/>
      </tp>
      <tp>
        <v>0</v>
        <stp/>
        <stp>EM_S_INFO_INDEX_EM</stp>
        <stp>2</stp>
        <stp>600432</stp>
        <stp>1</stp>
        <tr r="D2302" s="1"/>
      </tp>
      <tp t="s">
        <v>医药生物</v>
        <stp/>
        <stp>EM_S_INFO_INDEX_EM</stp>
        <stp>2</stp>
        <stp>300452</stp>
        <stp>1</stp>
        <tr r="D1739" s="1"/>
      </tp>
      <tp t="s">
        <v>机械设备</v>
        <stp/>
        <stp>EM_S_INFO_INDEX_EM</stp>
        <stp>2</stp>
        <stp>300442</stp>
        <stp>1</stp>
        <tr r="D1232" s="1"/>
      </tp>
      <tp t="s">
        <v>交通运输</v>
        <stp/>
        <stp>EM_S_INFO_INDEX_EM</stp>
        <stp>2</stp>
        <stp>000582</stp>
        <stp>1</stp>
        <tr r="D1167" s="1"/>
      </tp>
      <tp t="s">
        <v>农林牧渔</v>
        <stp/>
        <stp>EM_S_INFO_INDEX_EM</stp>
        <stp>2</stp>
        <stp>000592</stp>
        <stp>1</stp>
        <tr r="D1951" s="1"/>
      </tp>
      <tp t="s">
        <v>休闲、生活及专业服务</v>
        <stp/>
        <stp>EM_S_INFO_INDEX_EM</stp>
        <stp>2</stp>
        <stp>300592</stp>
        <stp>1</stp>
        <tr r="D1026" s="1"/>
      </tp>
      <tp t="s">
        <v>电子设备</v>
        <stp/>
        <stp>EM_S_INFO_INDEX_EM</stp>
        <stp>2</stp>
        <stp>300582</stp>
        <stp>1</stp>
        <tr r="D1308" s="1"/>
      </tp>
      <tp t="s">
        <v>机械设备</v>
        <stp/>
        <stp>EM_S_INFO_INDEX_EM</stp>
        <stp>2</stp>
        <stp>600582</stp>
        <stp>1</stp>
        <tr r="D2641" s="1"/>
      </tp>
      <tp t="s">
        <v>机械设备</v>
        <stp/>
        <stp>EM_S_INFO_INDEX_EM</stp>
        <stp>2</stp>
        <stp>600592</stp>
        <stp>1</stp>
        <tr r="D53" s="1"/>
      </tp>
      <tp t="s">
        <v>房地产</v>
        <stp/>
        <stp>EM_S_INFO_INDEX_EM</stp>
        <stp>2</stp>
        <stp>000502</stp>
        <stp>1</stp>
        <tr r="D3429" s="1"/>
      </tp>
      <tp t="s">
        <v>信息技术</v>
        <stp/>
        <stp>EM_S_INFO_INDEX_EM</stp>
        <stp>2</stp>
        <stp>300532</stp>
        <stp>1</stp>
        <tr r="D1967" s="1"/>
      </tp>
      <tp t="s">
        <v>电子设备</v>
        <stp/>
        <stp>EM_S_INFO_INDEX_EM</stp>
        <stp>2</stp>
        <stp>600562</stp>
        <stp>1</stp>
        <tr r="D1682" s="1"/>
      </tp>
      <tp t="s">
        <v>基础化工</v>
        <stp/>
        <stp>EM_S_INFO_INDEX_EM</stp>
        <stp>2</stp>
        <stp>300522</stp>
        <stp>1</stp>
        <tr r="D1837" s="1"/>
      </tp>
      <tp t="s">
        <v>医药生物</v>
        <stp/>
        <stp>EM_S_INFO_INDEX_EM</stp>
        <stp>2</stp>
        <stp>600572</stp>
        <stp>1</stp>
        <tr r="D2179" s="1"/>
      </tp>
      <tp>
        <v>0</v>
        <stp/>
        <stp>EM_S_INFO_INDEX_EM</stp>
        <stp>2</stp>
        <stp>000522</stp>
        <stp>1</stp>
        <tr r="D3442" s="1"/>
      </tp>
      <tp t="s">
        <v>机械设备</v>
        <stp/>
        <stp>EM_S_INFO_INDEX_EM</stp>
        <stp>2</stp>
        <stp>300512</stp>
        <stp>1</stp>
        <tr r="D2554" s="1"/>
      </tp>
      <tp t="s">
        <v>金融</v>
        <stp/>
        <stp>EM_S_INFO_INDEX_EM</stp>
        <stp>2</stp>
        <stp>000532</stp>
        <stp>1</stp>
        <tr r="D1180" s="1"/>
      </tp>
      <tp t="s">
        <v>信息技术</v>
        <stp/>
        <stp>EM_S_INFO_INDEX_EM</stp>
        <stp>2</stp>
        <stp>300502</stp>
        <stp>1</stp>
        <tr r="D171" s="1"/>
      </tp>
      <tp t="s">
        <v>电子设备</v>
        <stp/>
        <stp>EM_S_INFO_INDEX_EM</stp>
        <stp>2</stp>
        <stp>600552</stp>
        <stp>1</stp>
        <tr r="D420" s="1"/>
      </tp>
      <tp>
        <v>0</v>
        <stp/>
        <stp>EM_S_INFO_INDEX_EM</stp>
        <stp>2</stp>
        <stp>000542</stp>
        <stp>1</stp>
        <tr r="D3449" s="1"/>
      </tp>
      <tp t="s">
        <v>机械设备</v>
        <stp/>
        <stp>EM_S_INFO_INDEX_EM</stp>
        <stp>2</stp>
        <stp>300572</stp>
        <stp>1</stp>
        <tr r="D1863" s="1"/>
      </tp>
      <tp t="s">
        <v>信息技术</v>
        <stp/>
        <stp>EM_S_INFO_INDEX_EM</stp>
        <stp>2</stp>
        <stp>600522</stp>
        <stp>1</stp>
        <tr r="D2201" s="1"/>
      </tp>
      <tp t="s">
        <v>化石能源</v>
        <stp/>
        <stp>EM_S_INFO_INDEX_EM</stp>
        <stp>2</stp>
        <stp>000552</stp>
        <stp>1</stp>
        <tr r="D2352" s="1"/>
      </tp>
      <tp t="s">
        <v>医药生物</v>
        <stp/>
        <stp>EM_S_INFO_INDEX_EM</stp>
        <stp>2</stp>
        <stp>300562</stp>
        <stp>1</stp>
        <tr r="D550" s="1"/>
      </tp>
      <tp t="s">
        <v>化石能源</v>
        <stp/>
        <stp>EM_S_INFO_INDEX_EM</stp>
        <stp>2</stp>
        <stp>600532</stp>
        <stp>1</stp>
        <tr r="D2419" s="1"/>
      </tp>
      <tp>
        <v>0</v>
        <stp/>
        <stp>EM_S_INFO_INDEX_EM</stp>
        <stp>2</stp>
        <stp>000562</stp>
        <stp>1</stp>
        <tr r="D3455" s="1"/>
      </tp>
      <tp t="s">
        <v>信息技术</v>
        <stp/>
        <stp>EM_S_INFO_INDEX_EM</stp>
        <stp>2</stp>
        <stp>300552</stp>
        <stp>1</stp>
        <tr r="D15" s="1"/>
      </tp>
      <tp t="s">
        <v>建筑</v>
        <stp/>
        <stp>EM_S_INFO_INDEX_EM</stp>
        <stp>2</stp>
        <stp>600502</stp>
        <stp>1</stp>
        <tr r="D1556" s="1"/>
      </tp>
      <tp t="s">
        <v>交运设备</v>
        <stp/>
        <stp>EM_S_INFO_INDEX_EM</stp>
        <stp>2</stp>
        <stp>000572</stp>
        <stp>1</stp>
        <tr r="D3463" s="1"/>
      </tp>
      <tp t="s">
        <v>信息技术</v>
        <stp/>
        <stp>EM_S_INFO_INDEX_EM</stp>
        <stp>2</stp>
        <stp>300542</stp>
        <stp>1</stp>
        <tr r="D1783" s="1"/>
      </tp>
      <tp t="s">
        <v>建筑</v>
        <stp/>
        <stp>EM_S_INFO_INDEX_EM</stp>
        <stp>2</stp>
        <stp>600512</stp>
        <stp>1</stp>
        <tr r="D947" s="1"/>
      </tp>
      <tp t="s">
        <v>商贸零售</v>
        <stp/>
        <stp>EM_S_INFO_INDEX_EM</stp>
        <stp>2</stp>
        <stp>000882</stp>
        <stp>1</stp>
        <tr r="D2222" s="1"/>
      </tp>
      <tp t="s">
        <v>文化传媒</v>
        <stp/>
        <stp>EM_S_INFO_INDEX_EM</stp>
        <stp>2</stp>
        <stp>000892</stp>
        <stp>1</stp>
        <tr r="D3565" s="1"/>
      </tp>
      <tp t="s">
        <v>食品饮料</v>
        <stp/>
        <stp>EM_S_INFO_INDEX_EM</stp>
        <stp>2</stp>
        <stp>600882</stp>
        <stp>1</stp>
        <tr r="D211" s="1"/>
      </tp>
      <tp t="s">
        <v>互联网</v>
        <stp/>
        <stp>EM_S_INFO_INDEX_EM</stp>
        <stp>2</stp>
        <stp>600892</stp>
        <stp>1</stp>
        <tr r="D3227" s="1"/>
      </tp>
      <tp t="s">
        <v>文化传媒</v>
        <stp/>
        <stp>EM_S_INFO_INDEX_EM</stp>
        <stp>2</stp>
        <stp>000802</stp>
        <stp>1</stp>
        <tr r="D3543" s="1"/>
      </tp>
      <tp t="s">
        <v>国防与装备</v>
        <stp/>
        <stp>EM_S_INFO_INDEX_EM</stp>
        <stp>2</stp>
        <stp>600862</stp>
        <stp>1</stp>
        <tr r="D174" s="1"/>
      </tp>
      <tp t="s">
        <v>轻工制造</v>
        <stp/>
        <stp>EM_S_INFO_INDEX_EM</stp>
        <stp>2</stp>
        <stp>000812</stp>
        <stp>1</stp>
        <tr r="D2624" s="1"/>
      </tp>
      <tp t="s">
        <v>食品饮料</v>
        <stp/>
        <stp>EM_S_INFO_INDEX_EM</stp>
        <stp>2</stp>
        <stp>600872</stp>
        <stp>1</stp>
        <tr r="D909" s="1"/>
      </tp>
      <tp t="s">
        <v>基础化工</v>
        <stp/>
        <stp>EM_S_INFO_INDEX_EM</stp>
        <stp>2</stp>
        <stp>000822</stp>
        <stp>1</stp>
        <tr r="D2171" s="1"/>
      </tp>
      <tp>
        <v>0</v>
        <stp/>
        <stp>EM_S_INFO_INDEX_EM</stp>
        <stp>2</stp>
        <stp>600842</stp>
        <stp>1</stp>
        <tr r="D2330" s="1"/>
      </tp>
      <tp>
        <v>0</v>
        <stp/>
        <stp>EM_S_INFO_INDEX_EM</stp>
        <stp>2</stp>
        <stp>000832</stp>
        <stp>1</stp>
        <tr r="D3552" s="1"/>
      </tp>
      <tp>
        <v>0</v>
        <stp/>
        <stp>EM_S_INFO_INDEX_EM</stp>
        <stp>2</stp>
        <stp>600852</stp>
        <stp>1</stp>
        <tr r="D2331" s="1"/>
      </tp>
      <tp t="s">
        <v>商贸零售</v>
        <stp/>
        <stp>EM_S_INFO_INDEX_EM</stp>
        <stp>2</stp>
        <stp>600822</stp>
        <stp>1</stp>
        <tr r="D1393" s="1"/>
      </tp>
      <tp t="s">
        <v>机械设备</v>
        <stp/>
        <stp>EM_S_INFO_INDEX_EM</stp>
        <stp>2</stp>
        <stp>000852</stp>
        <stp>1</stp>
        <tr r="D2811" s="1"/>
      </tp>
      <tp>
        <v>0</v>
        <stp/>
        <stp>EM_S_INFO_INDEX_EM</stp>
        <stp>2</stp>
        <stp>600832</stp>
        <stp>1</stp>
        <tr r="D2328" s="1"/>
      </tp>
      <tp t="s">
        <v>公用事业</v>
        <stp/>
        <stp>EM_S_INFO_INDEX_EM</stp>
        <stp>2</stp>
        <stp>000862</stp>
        <stp>1</stp>
        <tr r="D331" s="1"/>
      </tp>
      <tp t="s">
        <v>建材</v>
        <stp/>
        <stp>EM_S_INFO_INDEX_EM</stp>
        <stp>2</stp>
        <stp>600802</stp>
        <stp>1</stp>
        <tr r="D1449" s="1"/>
      </tp>
      <tp t="s">
        <v>医药生物</v>
        <stp/>
        <stp>EM_S_INFO_INDEX_EM</stp>
        <stp>2</stp>
        <stp>600812</stp>
        <stp>1</stp>
        <tr r="D107" s="1"/>
      </tp>
      <tp t="s">
        <v>纺织服装</v>
        <stp/>
        <stp>EM_S_INFO_INDEX_EM</stp>
        <stp>2</stp>
        <stp>000982</stp>
        <stp>1</stp>
        <tr r="D3595" s="1"/>
      </tp>
      <tp t="s">
        <v>公用事业</v>
        <stp/>
        <stp>EM_S_INFO_INDEX_EM</stp>
        <stp>2</stp>
        <stp>600982</stp>
        <stp>1</stp>
        <tr r="D2729" s="1"/>
      </tp>
      <tp t="s">
        <v>机械设备</v>
        <stp/>
        <stp>EM_S_INFO_INDEX_EM</stp>
        <stp>2</stp>
        <stp>600992</stp>
        <stp>1</stp>
        <tr r="D2383" s="1"/>
      </tp>
      <tp t="s">
        <v>基础化工</v>
        <stp/>
        <stp>EM_S_INFO_INDEX_EM</stp>
        <stp>2</stp>
        <stp>000902</stp>
        <stp>1</stp>
        <tr r="D2826" s="1"/>
      </tp>
      <tp t="s">
        <v>食品饮料</v>
        <stp/>
        <stp>EM_S_INFO_INDEX_EM</stp>
        <stp>2</stp>
        <stp>600962</stp>
        <stp>1</stp>
        <tr r="D1599" s="1"/>
      </tp>
      <tp t="s">
        <v>基础化工</v>
        <stp/>
        <stp>EM_S_INFO_INDEX_EM</stp>
        <stp>2</stp>
        <stp>000912</stp>
        <stp>1</stp>
        <tr r="D2196" s="1"/>
      </tp>
      <tp t="s">
        <v>电气设备</v>
        <stp/>
        <stp>EM_S_INFO_INDEX_EM</stp>
        <stp>2</stp>
        <stp>000922</stp>
        <stp>1</stp>
        <tr r="D1487" s="1"/>
      </tp>
      <tp t="s">
        <v>钢铁</v>
        <stp/>
        <stp>EM_S_INFO_INDEX_EM</stp>
        <stp>2</stp>
        <stp>000932</stp>
        <stp>1</stp>
        <tr r="D3096" s="1"/>
      </tp>
      <tp t="s">
        <v>医药生物</v>
        <stp/>
        <stp>EM_S_INFO_INDEX_EM</stp>
        <stp>2</stp>
        <stp>000952</stp>
        <stp>1</stp>
        <tr r="D2593" s="1"/>
      </tp>
      <tp t="s">
        <v>有色金属</v>
        <stp/>
        <stp>EM_S_INFO_INDEX_EM</stp>
        <stp>2</stp>
        <stp>000962</stp>
        <stp>1</stp>
        <tr r="D1521" s="1"/>
      </tp>
      <tp t="s">
        <v>农林牧渔</v>
        <stp/>
        <stp>EM_S_INFO_INDEX_EM</stp>
        <stp>2</stp>
        <stp>000972</stp>
        <stp>1</stp>
        <tr r="D3590" s="1"/>
      </tp>
      <tp t="s">
        <v>医药生物</v>
        <stp/>
        <stp>EM_S_INFO_INDEX_EM</stp>
        <stp>2</stp>
        <stp>603222</stp>
        <stp>1</stp>
        <tr r="D29" s="1"/>
      </tp>
      <tp t="s">
        <v>信息技术</v>
        <stp/>
        <stp>EM_S_INFO_INDEX_EM</stp>
        <stp>2</stp>
        <stp>603232</stp>
        <stp>1</stp>
        <tr r="D680" s="1"/>
      </tp>
      <tp t="s">
        <v>信息技术</v>
        <stp/>
        <stp>EM_S_INFO_INDEX_EM</stp>
        <stp>2</stp>
        <stp>603322</stp>
        <stp>1</stp>
        <tr r="D3308" s="1"/>
      </tp>
      <tp>
        <v>0</v>
        <stp/>
        <stp>EM_S_INFO_INDEX_EM</stp>
        <stp>2</stp>
        <stp>603302</stp>
        <stp>1</stp>
        <tr r="D14" s="1"/>
      </tp>
      <tp t="s">
        <v>信息技术</v>
        <stp/>
        <stp>EM_S_INFO_INDEX_EM</stp>
        <stp>2</stp>
        <stp>603042</stp>
        <stp>1</stp>
        <tr r="D2387" s="1"/>
      </tp>
      <tp t="s">
        <v>轻工制造</v>
        <stp/>
        <stp>EM_S_INFO_INDEX_EM</stp>
        <stp>2</stp>
        <stp>603022</stp>
        <stp>1</stp>
        <tr r="D185" s="1"/>
      </tp>
      <tp t="s">
        <v>交通运输</v>
        <stp/>
        <stp>EM_S_INFO_INDEX_EM</stp>
        <stp>2</stp>
        <stp>603032</stp>
        <stp>1</stp>
        <tr r="D3116" s="1"/>
      </tp>
      <tp t="s">
        <v>电子设备</v>
        <stp/>
        <stp>EM_S_INFO_INDEX_EM</stp>
        <stp>2</stp>
        <stp>603002</stp>
        <stp>1</stp>
        <tr r="D1090" s="1"/>
      </tp>
      <tp t="s">
        <v>机械设备</v>
        <stp/>
        <stp>EM_S_INFO_INDEX_EM</stp>
        <stp>2</stp>
        <stp>603012</stp>
        <stp>1</stp>
        <tr r="D1606" s="1"/>
      </tp>
      <tp t="s">
        <v>信息技术</v>
        <stp/>
        <stp>EM_S_INFO_INDEX_EM</stp>
        <stp>2</stp>
        <stp>603602</stp>
        <stp>1</stp>
        <tr r="D2921" s="1"/>
      </tp>
      <tp t="s">
        <v>有色金属</v>
        <stp/>
        <stp>EM_S_INFO_INDEX_EM</stp>
        <stp>2</stp>
        <stp>603612</stp>
        <stp>1</stp>
        <tr r="D2028" s="1"/>
      </tp>
      <tp t="s">
        <v>基础化工</v>
        <stp/>
        <stp>EM_S_INFO_INDEX_EM</stp>
        <stp>2</stp>
        <stp>603722</stp>
        <stp>1</stp>
        <tr r="D673" s="1"/>
      </tp>
      <tp t="s">
        <v>信息技术</v>
        <stp/>
        <stp>EM_S_INFO_INDEX_EM</stp>
        <stp>2</stp>
        <stp>603712</stp>
        <stp>1</stp>
        <tr r="D824" s="1"/>
      </tp>
      <tp t="s">
        <v>医药生物</v>
        <stp/>
        <stp>EM_S_INFO_INDEX_EM</stp>
        <stp>2</stp>
        <stp>603882</stp>
        <stp>1</stp>
        <tr r="D116" s="1"/>
      </tp>
      <tp t="s">
        <v>基础化工</v>
        <stp/>
        <stp>EM_S_INFO_INDEX_EM</stp>
        <stp>2</stp>
        <stp>603822</stp>
        <stp>1</stp>
        <tr r="D1362" s="1"/>
      </tp>
      <tp t="s">
        <v>交运设备</v>
        <stp/>
        <stp>EM_S_INFO_INDEX_EM</stp>
        <stp>2</stp>
        <stp>603922</stp>
        <stp>1</stp>
        <tr r="D2100" s="1"/>
      </tp>
      <tp t="s">
        <v>机械设备</v>
        <stp/>
        <stp>EM_S_INFO_INDEX_EM</stp>
        <stp>2</stp>
        <stp>603912</stp>
        <stp>1</stp>
        <tr r="D2116" s="1"/>
      </tp>
      <tp t="s">
        <v>机械设备</v>
        <stp/>
        <stp>EM_S_INFO_INDEX_EM</stp>
        <stp>2</stp>
        <stp>002282</stp>
        <stp>1</stp>
        <tr r="D2263" s="1"/>
      </tp>
      <tp t="s">
        <v>文化传媒</v>
        <stp/>
        <stp>EM_S_INFO_INDEX_EM</stp>
        <stp>2</stp>
        <stp>002292</stp>
        <stp>1</stp>
        <tr r="D282" s="1"/>
      </tp>
      <tp t="s">
        <v>电气设备</v>
        <stp/>
        <stp>EM_S_INFO_INDEX_EM</stp>
        <stp>2</stp>
        <stp>002202</stp>
        <stp>1</stp>
        <tr r="D1408" s="1"/>
      </tp>
      <tp t="s">
        <v>电气设备</v>
        <stp/>
        <stp>EM_S_INFO_INDEX_EM</stp>
        <stp>2</stp>
        <stp>002212</stp>
        <stp>1</stp>
        <tr r="D305" s="1"/>
      </tp>
      <tp t="s">
        <v>电子设备</v>
        <stp/>
        <stp>EM_S_INFO_INDEX_EM</stp>
        <stp>2</stp>
        <stp>002222</stp>
        <stp>1</stp>
        <tr r="D1041" s="1"/>
      </tp>
      <tp t="s">
        <v>信息技术</v>
        <stp/>
        <stp>EM_S_INFO_INDEX_EM</stp>
        <stp>2</stp>
        <stp>002232</stp>
        <stp>1</stp>
        <tr r="D1004" s="1"/>
      </tp>
      <tp t="s">
        <v>家电</v>
        <stp/>
        <stp>EM_S_INFO_INDEX_EM</stp>
        <stp>2</stp>
        <stp>002242</stp>
        <stp>1</stp>
        <tr r="D504" s="1"/>
      </tp>
      <tp t="s">
        <v>医药生物</v>
        <stp/>
        <stp>EM_S_INFO_INDEX_EM</stp>
        <stp>2</stp>
        <stp>002252</stp>
        <stp>1</stp>
        <tr r="D2752" s="1"/>
      </tp>
      <tp t="s">
        <v>医药生物</v>
        <stp/>
        <stp>EM_S_INFO_INDEX_EM</stp>
        <stp>2</stp>
        <stp>002262</stp>
        <stp>1</stp>
        <tr r="D1001" s="1"/>
      </tp>
      <tp t="s">
        <v>机械设备</v>
        <stp/>
        <stp>EM_S_INFO_INDEX_EM</stp>
        <stp>2</stp>
        <stp>002272</stp>
        <stp>1</stp>
        <tr r="D1640" s="1"/>
      </tp>
      <tp t="s">
        <v>医药生物</v>
        <stp/>
        <stp>EM_S_INFO_INDEX_EM</stp>
        <stp>2</stp>
        <stp>002382</stp>
        <stp>1</stp>
        <tr r="D3033" s="1"/>
      </tp>
      <tp t="s">
        <v>建材</v>
        <stp/>
        <stp>EM_S_INFO_INDEX_EM</stp>
        <stp>2</stp>
        <stp>002392</stp>
        <stp>1</stp>
        <tr r="D1412" s="1"/>
      </tp>
      <tp t="s">
        <v>建材</v>
        <stp/>
        <stp>EM_S_INFO_INDEX_EM</stp>
        <stp>2</stp>
        <stp>002302</stp>
        <stp>1</stp>
        <tr r="D1075" s="1"/>
      </tp>
      <tp t="s">
        <v>信息技术</v>
        <stp/>
        <stp>EM_S_INFO_INDEX_EM</stp>
        <stp>2</stp>
        <stp>002312</stp>
        <stp>1</stp>
        <tr r="D876" s="1"/>
      </tp>
      <tp t="s">
        <v>信息技术</v>
        <stp/>
        <stp>EM_S_INFO_INDEX_EM</stp>
        <stp>2</stp>
        <stp>002322</stp>
        <stp>1</stp>
        <tr r="D932" s="1"/>
      </tp>
      <tp t="s">
        <v>医药生物</v>
        <stp/>
        <stp>EM_S_INFO_INDEX_EM</stp>
        <stp>2</stp>
        <stp>002332</stp>
        <stp>1</stp>
        <tr r="D458" s="1"/>
      </tp>
      <tp t="s">
        <v>机械设备</v>
        <stp/>
        <stp>EM_S_INFO_INDEX_EM</stp>
        <stp>2</stp>
        <stp>002342</stp>
        <stp>1</stp>
        <tr r="D2594" s="1"/>
      </tp>
      <tp t="s">
        <v>交通运输</v>
        <stp/>
        <stp>EM_S_INFO_INDEX_EM</stp>
        <stp>2</stp>
        <stp>002352</stp>
        <stp>1</stp>
        <tr r="D1475" s="1"/>
      </tp>
      <tp t="s">
        <v>信息技术</v>
        <stp/>
        <stp>EM_S_INFO_INDEX_EM</stp>
        <stp>2</stp>
        <stp>002362</stp>
        <stp>1</stp>
        <tr r="D1277" s="1"/>
      </tp>
      <tp t="s">
        <v>建材</v>
        <stp/>
        <stp>EM_S_INFO_INDEX_EM</stp>
        <stp>2</stp>
        <stp>002372</stp>
        <stp>1</stp>
        <tr r="D2991" s="1"/>
      </tp>
      <tp t="s">
        <v>有色金属</v>
        <stp/>
        <stp>EM_S_INFO_INDEX_EM</stp>
        <stp>2</stp>
        <stp>002082</stp>
        <stp>1</stp>
        <tr r="D3628" s="1"/>
      </tp>
      <tp t="s">
        <v>商贸零售</v>
        <stp/>
        <stp>EM_S_INFO_INDEX_EM</stp>
        <stp>2</stp>
        <stp>002092</stp>
        <stp>1</stp>
        <tr r="D2499" s="1"/>
      </tp>
      <tp t="s">
        <v>基础化工</v>
        <stp/>
        <stp>EM_S_INFO_INDEX_EM</stp>
        <stp>2</stp>
        <stp>002002</stp>
        <stp>1</stp>
        <tr r="D3603" s="1"/>
      </tp>
      <tp t="s">
        <v>轻工制造</v>
        <stp/>
        <stp>EM_S_INFO_INDEX_EM</stp>
        <stp>2</stp>
        <stp>002012</stp>
        <stp>1</stp>
        <tr r="D608" s="1"/>
      </tp>
      <tp t="s">
        <v>医药生物</v>
        <stp/>
        <stp>EM_S_INFO_INDEX_EM</stp>
        <stp>2</stp>
        <stp>002022</stp>
        <stp>1</stp>
        <tr r="D1340" s="1"/>
      </tp>
      <tp t="s">
        <v>家电</v>
        <stp/>
        <stp>EM_S_INFO_INDEX_EM</stp>
        <stp>2</stp>
        <stp>002032</stp>
        <stp>1</stp>
        <tr r="D638" s="1"/>
      </tp>
      <tp t="s">
        <v>纺织服装</v>
        <stp/>
        <stp>EM_S_INFO_INDEX_EM</stp>
        <stp>2</stp>
        <stp>002042</stp>
        <stp>1</stp>
        <tr r="D872" s="1"/>
      </tp>
      <tp t="s">
        <v>家电</v>
        <stp/>
        <stp>EM_S_INFO_INDEX_EM</stp>
        <stp>2</stp>
        <stp>002052</stp>
        <stp>1</stp>
        <tr r="D3618" s="1"/>
      </tp>
      <tp t="s">
        <v>建筑</v>
        <stp/>
        <stp>EM_S_INFO_INDEX_EM</stp>
        <stp>2</stp>
        <stp>002062</stp>
        <stp>1</stp>
        <tr r="D2740" s="1"/>
      </tp>
      <tp t="s">
        <v>互联网</v>
        <stp/>
        <stp>EM_S_INFO_INDEX_EM</stp>
        <stp>2</stp>
        <stp>002072</stp>
        <stp>1</stp>
        <tr r="D3624" s="1"/>
      </tp>
      <tp t="s">
        <v>有色金属</v>
        <stp/>
        <stp>EM_S_INFO_INDEX_EM</stp>
        <stp>2</stp>
        <stp>002182</stp>
        <stp>1</stp>
        <tr r="D558" s="1"/>
      </tp>
      <tp t="s">
        <v>机械设备</v>
        <stp/>
        <stp>EM_S_INFO_INDEX_EM</stp>
        <stp>2</stp>
        <stp>002192</stp>
        <stp>1</stp>
        <tr r="D988" s="1"/>
      </tp>
      <tp t="s">
        <v>商贸零售</v>
        <stp/>
        <stp>EM_S_INFO_INDEX_EM</stp>
        <stp>2</stp>
        <stp>002102</stp>
        <stp>1</stp>
        <tr r="D3634" s="1"/>
      </tp>
      <tp t="s">
        <v>电气设备</v>
        <stp/>
        <stp>EM_S_INFO_INDEX_EM</stp>
        <stp>2</stp>
        <stp>002112</stp>
        <stp>1</stp>
        <tr r="D2156" s="1"/>
      </tp>
      <tp t="s">
        <v>机械设备</v>
        <stp/>
        <stp>EM_S_INFO_INDEX_EM</stp>
        <stp>2</stp>
        <stp>002122</stp>
        <stp>1</stp>
        <tr r="D3640" s="1"/>
      </tp>
      <tp t="s">
        <v>机械设备</v>
        <stp/>
        <stp>EM_S_INFO_INDEX_EM</stp>
        <stp>2</stp>
        <stp>002132</stp>
        <stp>1</stp>
        <tr r="D1461" s="1"/>
      </tp>
      <tp t="s">
        <v>金融</v>
        <stp/>
        <stp>EM_S_INFO_INDEX_EM</stp>
        <stp>2</stp>
        <stp>002142</stp>
        <stp>1</stp>
        <tr r="D303" s="1"/>
      </tp>
      <tp t="s">
        <v>信息技术</v>
        <stp/>
        <stp>EM_S_INFO_INDEX_EM</stp>
        <stp>2</stp>
        <stp>002152</stp>
        <stp>1</stp>
        <tr r="D279" s="1"/>
      </tp>
      <tp t="s">
        <v>建材</v>
        <stp/>
        <stp>EM_S_INFO_INDEX_EM</stp>
        <stp>2</stp>
        <stp>002162</stp>
        <stp>1</stp>
        <tr r="D1080" s="1"/>
      </tp>
      <tp t="s">
        <v>基础化工</v>
        <stp/>
        <stp>EM_S_INFO_INDEX_EM</stp>
        <stp>2</stp>
        <stp>002172</stp>
        <stp>1</stp>
        <tr r="D2424" s="1"/>
      </tp>
      <tp t="s">
        <v>交运设备</v>
        <stp/>
        <stp>EM_S_INFO_INDEX_EM</stp>
        <stp>2</stp>
        <stp>002682</stp>
        <stp>1</stp>
        <tr r="D2134" s="1"/>
      </tp>
      <tp t="s">
        <v>电气设备</v>
        <stp/>
        <stp>EM_S_INFO_INDEX_EM</stp>
        <stp>2</stp>
        <stp>002692</stp>
        <stp>1</stp>
        <tr r="D2695" s="1"/>
      </tp>
      <tp t="s">
        <v>互联网</v>
        <stp/>
        <stp>EM_S_INFO_INDEX_EM</stp>
        <stp>2</stp>
        <stp>002602</stp>
        <stp>1</stp>
        <tr r="D3332" s="1"/>
      </tp>
      <tp t="s">
        <v>纺织服装</v>
        <stp/>
        <stp>EM_S_INFO_INDEX_EM</stp>
        <stp>2</stp>
        <stp>002612</stp>
        <stp>1</stp>
        <tr r="D1881" s="1"/>
      </tp>
      <tp t="s">
        <v>电气设备</v>
        <stp/>
        <stp>EM_S_INFO_INDEX_EM</stp>
        <stp>2</stp>
        <stp>002622</stp>
        <stp>1</stp>
        <tr r="D1510" s="1"/>
      </tp>
      <tp t="s">
        <v>基础化工</v>
        <stp/>
        <stp>EM_S_INFO_INDEX_EM</stp>
        <stp>2</stp>
        <stp>002632</stp>
        <stp>1</stp>
        <tr r="D1891" s="1"/>
      </tp>
      <tp t="s">
        <v>信息技术</v>
        <stp/>
        <stp>EM_S_INFO_INDEX_EM</stp>
        <stp>2</stp>
        <stp>002642</stp>
        <stp>1</stp>
        <tr r="D2603" s="1"/>
      </tp>
      <tp t="s">
        <v>机械设备</v>
        <stp/>
        <stp>EM_S_INFO_INDEX_EM</stp>
        <stp>2</stp>
        <stp>002652</stp>
        <stp>1</stp>
        <tr r="D2182" s="1"/>
      </tp>
      <tp t="s">
        <v>交运设备</v>
        <stp/>
        <stp>EM_S_INFO_INDEX_EM</stp>
        <stp>2</stp>
        <stp>002662</stp>
        <stp>1</stp>
        <tr r="D3217" s="1"/>
      </tp>
      <tp t="s">
        <v>公用事业</v>
        <stp/>
        <stp>EM_S_INFO_INDEX_EM</stp>
        <stp>2</stp>
        <stp>002672</stp>
        <stp>1</stp>
        <tr r="D3093" s="1"/>
      </tp>
      <tp t="s">
        <v>电子设备</v>
        <stp/>
        <stp>EM_S_INFO_INDEX_EM</stp>
        <stp>2</stp>
        <stp>002782</stp>
        <stp>1</stp>
        <tr r="D2525" s="1"/>
      </tp>
      <tp t="s">
        <v>信息技术</v>
        <stp/>
        <stp>EM_S_INFO_INDEX_EM</stp>
        <stp>2</stp>
        <stp>002792</stp>
        <stp>1</stp>
        <tr r="D2935" s="1"/>
      </tp>
      <tp t="s">
        <v>食品饮料</v>
        <stp/>
        <stp>EM_S_INFO_INDEX_EM</stp>
        <stp>2</stp>
        <stp>002702</stp>
        <stp>1</stp>
        <tr r="D1877" s="1"/>
      </tp>
      <tp t="s">
        <v>文化传媒</v>
        <stp/>
        <stp>EM_S_INFO_INDEX_EM</stp>
        <stp>2</stp>
        <stp>002712</stp>
        <stp>1</stp>
        <tr r="D708" s="1"/>
      </tp>
      <tp t="s">
        <v>机械设备</v>
        <stp/>
        <stp>EM_S_INFO_INDEX_EM</stp>
        <stp>2</stp>
        <stp>002722</stp>
        <stp>1</stp>
        <tr r="D1754" s="1"/>
      </tp>
      <tp t="s">
        <v>食品饮料</v>
        <stp/>
        <stp>EM_S_INFO_INDEX_EM</stp>
        <stp>2</stp>
        <stp>002732</stp>
        <stp>1</stp>
        <tr r="D992" s="1"/>
      </tp>
      <tp t="s">
        <v>建材</v>
        <stp/>
        <stp>EM_S_INFO_INDEX_EM</stp>
        <stp>2</stp>
        <stp>002742</stp>
        <stp>1</stp>
        <tr r="D3194" s="1"/>
      </tp>
      <tp t="s">
        <v>轻工制造</v>
        <stp/>
        <stp>EM_S_INFO_INDEX_EM</stp>
        <stp>2</stp>
        <stp>002752</stp>
        <stp>1</stp>
        <tr r="D2953" s="1"/>
      </tp>
      <tp t="s">
        <v>纺织服装</v>
        <stp/>
        <stp>EM_S_INFO_INDEX_EM</stp>
        <stp>2</stp>
        <stp>002762</stp>
        <stp>1</stp>
        <tr r="D2112" s="1"/>
      </tp>
      <tp t="s">
        <v>农林牧渔</v>
        <stp/>
        <stp>EM_S_INFO_INDEX_EM</stp>
        <stp>2</stp>
        <stp>002772</stp>
        <stp>1</stp>
        <tr r="D1906" s="1"/>
      </tp>
      <tp t="s">
        <v>建筑</v>
        <stp/>
        <stp>EM_S_INFO_INDEX_EM</stp>
        <stp>2</stp>
        <stp>002482</stp>
        <stp>1</stp>
        <tr r="D3133" s="1"/>
      </tp>
      <tp t="s">
        <v>交通运输</v>
        <stp/>
        <stp>EM_S_INFO_INDEX_EM</stp>
        <stp>2</stp>
        <stp>002492</stp>
        <stp>1</stp>
        <tr r="D1745" s="1"/>
      </tp>
      <tp t="s">
        <v>电子设备</v>
        <stp/>
        <stp>EM_S_INFO_INDEX_EM</stp>
        <stp>2</stp>
        <stp>002402</stp>
        <stp>1</stp>
        <tr r="D144" s="1"/>
      </tp>
      <tp t="s">
        <v>医药生物</v>
        <stp/>
        <stp>EM_S_INFO_INDEX_EM</stp>
        <stp>2</stp>
        <stp>002412</stp>
        <stp>1</stp>
        <tr r="D3306" s="1"/>
      </tp>
      <tp t="s">
        <v>医药生物</v>
        <stp/>
        <stp>EM_S_INFO_INDEX_EM</stp>
        <stp>2</stp>
        <stp>002422</stp>
        <stp>1</stp>
        <tr r="D1614" s="1"/>
      </tp>
      <tp t="s">
        <v>医药生物</v>
        <stp/>
        <stp>EM_S_INFO_INDEX_EM</stp>
        <stp>2</stp>
        <stp>002432</stp>
        <stp>1</stp>
        <tr r="D2464" s="1"/>
      </tp>
      <tp t="s">
        <v>基础化工</v>
        <stp/>
        <stp>EM_S_INFO_INDEX_EM</stp>
        <stp>2</stp>
        <stp>002442</stp>
        <stp>1</stp>
        <tr r="D3101" s="1"/>
      </tp>
      <tp t="s">
        <v>电气设备</v>
        <stp/>
        <stp>EM_S_INFO_INDEX_EM</stp>
        <stp>2</stp>
        <stp>002452</stp>
        <stp>1</stp>
        <tr r="D763" s="1"/>
      </tp>
      <tp t="s">
        <v>医药生物</v>
        <stp/>
        <stp>EM_S_INFO_INDEX_EM</stp>
        <stp>2</stp>
        <stp>002462</stp>
        <stp>1</stp>
        <tr r="D1795" s="1"/>
      </tp>
      <tp t="s">
        <v>交运设备</v>
        <stp/>
        <stp>EM_S_INFO_INDEX_EM</stp>
        <stp>2</stp>
        <stp>002472</stp>
        <stp>1</stp>
        <tr r="D2553" s="1"/>
      </tp>
      <tp t="s">
        <v>食品饮料</v>
        <stp/>
        <stp>EM_S_INFO_INDEX_EM</stp>
        <stp>2</stp>
        <stp>002582</stp>
        <stp>1</stp>
        <tr r="D1633" s="1"/>
      </tp>
      <tp t="s">
        <v>交运设备</v>
        <stp/>
        <stp>EM_S_INFO_INDEX_EM</stp>
        <stp>2</stp>
        <stp>002592</stp>
        <stp>1</stp>
        <tr r="D3324" s="1"/>
      </tp>
      <tp t="s">
        <v>文化传媒</v>
        <stp/>
        <stp>EM_S_INFO_INDEX_EM</stp>
        <stp>2</stp>
        <stp>002502</stp>
        <stp>1</stp>
        <tr r="D2997" s="1"/>
      </tp>
      <tp t="s">
        <v>电子设备</v>
        <stp/>
        <stp>EM_S_INFO_INDEX_EM</stp>
        <stp>2</stp>
        <stp>002512</stp>
        <stp>1</stp>
        <tr r="D1261" s="1"/>
      </tp>
      <tp t="s">
        <v>基础化工</v>
        <stp/>
        <stp>EM_S_INFO_INDEX_EM</stp>
        <stp>2</stp>
        <stp>002522</stp>
        <stp>1</stp>
        <tr r="D1044" s="1"/>
      </tp>
      <tp t="s">
        <v>机械设备</v>
        <stp/>
        <stp>EM_S_INFO_INDEX_EM</stp>
        <stp>2</stp>
        <stp>002532</stp>
        <stp>1</stp>
        <tr r="D1275" s="1"/>
      </tp>
      <tp t="s">
        <v>建筑</v>
        <stp/>
        <stp>EM_S_INFO_INDEX_EM</stp>
        <stp>2</stp>
        <stp>002542</stp>
        <stp>1</stp>
        <tr r="D2894" s="1"/>
      </tp>
      <tp t="s">
        <v>机械设备</v>
        <stp/>
        <stp>EM_S_INFO_INDEX_EM</stp>
        <stp>2</stp>
        <stp>002552</stp>
        <stp>1</stp>
        <tr r="D17" s="1"/>
      </tp>
      <tp t="s">
        <v>基础化工</v>
        <stp/>
        <stp>EM_S_INFO_INDEX_EM</stp>
        <stp>2</stp>
        <stp>002562</stp>
        <stp>1</stp>
        <tr r="D1598" s="1"/>
      </tp>
      <tp t="s">
        <v>轻工制造</v>
        <stp/>
        <stp>EM_S_INFO_INDEX_EM</stp>
        <stp>2</stp>
        <stp>002572</stp>
        <stp>1</stp>
        <tr r="D1070" s="1"/>
      </tp>
      <tp t="s">
        <v>电气设备</v>
        <stp/>
        <stp>EM_S_INFO_INDEX_EM</stp>
        <stp>2</stp>
        <stp>002882</stp>
        <stp>1</stp>
        <tr r="D1759" s="1"/>
      </tp>
      <tp t="s">
        <v>电气设备</v>
        <stp/>
        <stp>EM_S_INFO_INDEX_EM</stp>
        <stp>2</stp>
        <stp>002892</stp>
        <stp>1</stp>
        <tr r="D1688" s="1"/>
      </tp>
      <tp t="s">
        <v>基础化工</v>
        <stp/>
        <stp>EM_S_INFO_INDEX_EM</stp>
        <stp>2</stp>
        <stp>002802</stp>
        <stp>1</stp>
        <tr r="D2459" s="1"/>
      </tp>
      <tp t="s">
        <v>轻工制造</v>
        <stp/>
        <stp>EM_S_INFO_INDEX_EM</stp>
        <stp>2</stp>
        <stp>002812</stp>
        <stp>1</stp>
        <tr r="D2026" s="1"/>
      </tp>
      <tp t="s">
        <v>建筑</v>
        <stp/>
        <stp>EM_S_INFO_INDEX_EM</stp>
        <stp>2</stp>
        <stp>002822</stp>
        <stp>1</stp>
        <tr r="D219" s="1"/>
      </tp>
      <tp t="s">
        <v>纺织服装</v>
        <stp/>
        <stp>EM_S_INFO_INDEX_EM</stp>
        <stp>2</stp>
        <stp>002832</stp>
        <stp>1</stp>
        <tr r="D3123" s="1"/>
      </tp>
      <tp t="s">
        <v>有色金属</v>
        <stp/>
        <stp>EM_S_INFO_INDEX_EM</stp>
        <stp>2</stp>
        <stp>002842</stp>
        <stp>1</stp>
        <tr r="D2843" s="1"/>
      </tp>
      <tp t="s">
        <v>农林牧渔</v>
        <stp/>
        <stp>EM_S_INFO_INDEX_EM</stp>
        <stp>2</stp>
        <stp>002852</stp>
        <stp>1</stp>
        <tr r="D1784" s="1"/>
      </tp>
      <tp t="s">
        <v>轻工制造</v>
        <stp/>
        <stp>EM_S_INFO_INDEX_EM</stp>
        <stp>2</stp>
        <stp>002862</stp>
        <stp>1</stp>
        <tr r="D2070" s="1"/>
      </tp>
      <tp t="s">
        <v>医药生物</v>
        <stp/>
        <stp>EM_S_INFO_INDEX_EM</stp>
        <stp>2</stp>
        <stp>002872</stp>
        <stp>1</stp>
        <tr r="D3295" s="1"/>
      </tp>
      <tp t="s">
        <v>电子设备</v>
        <stp/>
        <stp>EM_S_INFO_INDEX_EM</stp>
        <stp>2</stp>
        <stp>002902</stp>
        <stp>1</stp>
        <tr r="D2409" s="1"/>
      </tp>
      <tp t="s">
        <v>信息技术</v>
        <stp/>
        <stp>EM_S_INFO_INDEX_EM</stp>
        <stp>2</stp>
        <stp>002912</stp>
        <stp>1</stp>
        <tr r="D494" s="1"/>
      </tp>
      <tp t="s">
        <v>电气设备</v>
        <stp/>
        <stp>EM_S_INFO_INDEX_EM</stp>
        <stp>2</stp>
        <stp>002922</stp>
        <stp>1</stp>
        <tr r="D2884" s="1"/>
      </tp>
      <tp t="s">
        <v>电子设备</v>
        <stp/>
        <stp>EM_S_INFO_INDEX_EM</stp>
        <stp>2</stp>
        <stp>601231</stp>
        <stp>1</stp>
        <tr r="D130" s="1"/>
      </tp>
      <tp t="s">
        <v>金融</v>
        <stp/>
        <stp>EM_S_INFO_INDEX_EM</stp>
        <stp>2</stp>
        <stp>601211</stp>
        <stp>1</stp>
        <tr r="D1188" s="1"/>
      </tp>
      <tp t="s">
        <v>交运设备</v>
        <stp/>
        <stp>EM_S_INFO_INDEX_EM</stp>
        <stp>2</stp>
        <stp>601311</stp>
        <stp>1</stp>
        <tr r="D1920" s="1"/>
      </tp>
      <tp t="s">
        <v>交通运输</v>
        <stp/>
        <stp>EM_S_INFO_INDEX_EM</stp>
        <stp>2</stp>
        <stp>601021</stp>
        <stp>1</stp>
        <tr r="D777" s="1"/>
      </tp>
      <tp t="s">
        <v>化石能源</v>
        <stp/>
        <stp>EM_S_INFO_INDEX_EM</stp>
        <stp>2</stp>
        <stp>601001</stp>
        <stp>1</stp>
        <tr r="D2169" s="1"/>
      </tp>
      <tp t="s">
        <v>化石能源</v>
        <stp/>
        <stp>EM_S_INFO_INDEX_EM</stp>
        <stp>2</stp>
        <stp>601011</stp>
        <stp>1</stp>
        <tr r="D3003" s="1"/>
      </tp>
      <tp t="s">
        <v>化石能源</v>
        <stp/>
        <stp>EM_S_INFO_INDEX_EM</stp>
        <stp>2</stp>
        <stp>601101</stp>
        <stp>1</stp>
        <tr r="D3038" s="1"/>
      </tp>
      <tp t="s">
        <v>交通运输</v>
        <stp/>
        <stp>EM_S_INFO_INDEX_EM</stp>
        <stp>2</stp>
        <stp>601111</stp>
        <stp>1</stp>
        <tr r="D1102" s="1"/>
      </tp>
      <tp t="s">
        <v>金融</v>
        <stp/>
        <stp>EM_S_INFO_INDEX_EM</stp>
        <stp>2</stp>
        <stp>601601</stp>
        <stp>1</stp>
        <tr r="D836" s="1"/>
      </tp>
      <tp t="s">
        <v>建筑</v>
        <stp/>
        <stp>EM_S_INFO_INDEX_EM</stp>
        <stp>2</stp>
        <stp>601611</stp>
        <stp>1</stp>
        <tr r="D1819" s="1"/>
      </tp>
      <tp t="s">
        <v>金融</v>
        <stp/>
        <stp>EM_S_INFO_INDEX_EM</stp>
        <stp>2</stp>
        <stp>601881</stp>
        <stp>1</stp>
        <tr r="D338" s="1"/>
      </tp>
      <tp t="s">
        <v>文化传媒</v>
        <stp/>
        <stp>EM_S_INFO_INDEX_EM</stp>
        <stp>2</stp>
        <stp>601801</stp>
        <stp>1</stp>
        <tr r="D3010" s="1"/>
      </tp>
      <tp t="s">
        <v>轻工制造</v>
        <stp/>
        <stp>EM_S_INFO_INDEX_EM</stp>
        <stp>2</stp>
        <stp>601811</stp>
        <stp>1</stp>
        <tr r="D728" s="1"/>
      </tp>
      <tp t="s">
        <v>公用事业</v>
        <stp/>
        <stp>EM_S_INFO_INDEX_EM</stp>
        <stp>2</stp>
        <stp>601991</stp>
        <stp>1</stp>
        <tr r="D3110" s="1"/>
      </tp>
      <tp t="s">
        <v>金融</v>
        <stp/>
        <stp>EM_S_INFO_INDEX_EM</stp>
        <stp>2</stp>
        <stp>601901</stp>
        <stp>1</stp>
        <tr r="D408" s="1"/>
      </tp>
      <tp t="s">
        <v>文化传媒</v>
        <stp/>
        <stp>EM_S_INFO_INDEX_EM</stp>
        <stp>2</stp>
        <stp>300291</stp>
        <stp>1</stp>
        <tr r="D808" s="1"/>
      </tp>
      <tp t="s">
        <v>机械设备</v>
        <stp/>
        <stp>EM_S_INFO_INDEX_EM</stp>
        <stp>2</stp>
        <stp>300281</stp>
        <stp>1</stp>
        <tr r="D832" s="1"/>
      </tp>
      <tp t="s">
        <v>商贸零售</v>
        <stp/>
        <stp>EM_S_INFO_INDEX_EM</stp>
        <stp>2</stp>
        <stp>600281</stp>
        <stp>1</stp>
        <tr r="D1503" s="1"/>
      </tp>
      <tp t="s">
        <v>金融</v>
        <stp/>
        <stp>EM_S_INFO_INDEX_EM</stp>
        <stp>2</stp>
        <stp>600291</stp>
        <stp>1</stp>
        <tr r="D2800" s="1"/>
      </tp>
      <tp t="s">
        <v>信息技术</v>
        <stp/>
        <stp>EM_S_INFO_INDEX_EM</stp>
        <stp>2</stp>
        <stp>300231</stp>
        <stp>1</stp>
        <tr r="D943" s="1"/>
      </tp>
      <tp t="s">
        <v>家电</v>
        <stp/>
        <stp>EM_S_INFO_INDEX_EM</stp>
        <stp>2</stp>
        <stp>600261</stp>
        <stp>1</stp>
        <tr r="D753" s="1"/>
      </tp>
      <tp t="s">
        <v>基础化工</v>
        <stp/>
        <stp>EM_S_INFO_INDEX_EM</stp>
        <stp>2</stp>
        <stp>300221</stp>
        <stp>1</stp>
        <tr r="D1732" s="1"/>
      </tp>
      <tp t="s">
        <v>信息技术</v>
        <stp/>
        <stp>EM_S_INFO_INDEX_EM</stp>
        <stp>2</stp>
        <stp>600271</stp>
        <stp>1</stp>
        <tr r="D2348" s="1"/>
      </tp>
      <tp t="s">
        <v>信息技术</v>
        <stp/>
        <stp>EM_S_INFO_INDEX_EM</stp>
        <stp>2</stp>
        <stp>300211</stp>
        <stp>1</stp>
        <tr r="D339" s="1"/>
      </tp>
      <tp t="s">
        <v>电气设备</v>
        <stp/>
        <stp>EM_S_INFO_INDEX_EM</stp>
        <stp>2</stp>
        <stp>600241</stp>
        <stp>1</stp>
        <tr r="D2745" s="1"/>
      </tp>
      <tp t="s">
        <v>交运设备</v>
        <stp/>
        <stp>EM_S_INFO_INDEX_EM</stp>
        <stp>2</stp>
        <stp>300201</stp>
        <stp>1</stp>
        <tr r="D2087" s="1"/>
      </tp>
      <tp t="s">
        <v>农林牧渔</v>
        <stp/>
        <stp>EM_S_INFO_INDEX_EM</stp>
        <stp>2</stp>
        <stp>600251</stp>
        <stp>1</stp>
        <tr r="D1731" s="1"/>
      </tp>
      <tp t="s">
        <v>信息技术</v>
        <stp/>
        <stp>EM_S_INFO_INDEX_EM</stp>
        <stp>2</stp>
        <stp>300271</stp>
        <stp>1</stp>
        <tr r="D312" s="1"/>
      </tp>
      <tp t="s">
        <v>交通运输</v>
        <stp/>
        <stp>EM_S_INFO_INDEX_EM</stp>
        <stp>2</stp>
        <stp>600221</stp>
        <stp>1</stp>
        <tr r="D2679" s="1"/>
      </tp>
      <tp t="s">
        <v>基础化工</v>
        <stp/>
        <stp>EM_S_INFO_INDEX_EM</stp>
        <stp>2</stp>
        <stp>300261</stp>
        <stp>1</stp>
        <tr r="D2999" s="1"/>
      </tp>
      <tp t="s">
        <v>钢铁</v>
        <stp/>
        <stp>EM_S_INFO_INDEX_EM</stp>
        <stp>2</stp>
        <stp>600231</stp>
        <stp>1</stp>
        <tr r="D2157" s="1"/>
      </tp>
      <tp t="s">
        <v>文化传媒</v>
        <stp/>
        <stp>EM_S_INFO_INDEX_EM</stp>
        <stp>2</stp>
        <stp>300251</stp>
        <stp>1</stp>
        <tr r="D501" s="1"/>
      </tp>
      <tp t="s">
        <v>农林牧渔</v>
        <stp/>
        <stp>EM_S_INFO_INDEX_EM</stp>
        <stp>2</stp>
        <stp>600201</stp>
        <stp>1</stp>
        <tr r="D1517" s="1"/>
      </tp>
      <tp t="s">
        <v>电子设备</v>
        <stp/>
        <stp>EM_S_INFO_INDEX_EM</stp>
        <stp>2</stp>
        <stp>300241</stp>
        <stp>1</stp>
        <tr r="D679" s="1"/>
      </tp>
      <tp t="s">
        <v>医药生物</v>
        <stp/>
        <stp>EM_S_INFO_INDEX_EM</stp>
        <stp>2</stp>
        <stp>600211</stp>
        <stp>1</stp>
        <tr r="D1937" s="1"/>
      </tp>
      <tp t="s">
        <v>机械设备</v>
        <stp/>
        <stp>EM_S_INFO_INDEX_EM</stp>
        <stp>2</stp>
        <stp>300391</stp>
        <stp>1</stp>
        <tr r="D3154" s="1"/>
      </tp>
      <tp t="s">
        <v>医药生物</v>
        <stp/>
        <stp>EM_S_INFO_INDEX_EM</stp>
        <stp>2</stp>
        <stp>300381</stp>
        <stp>1</stp>
        <tr r="D1162" s="1"/>
      </tp>
      <tp t="s">
        <v>食品饮料</v>
        <stp/>
        <stp>EM_S_INFO_INDEX_EM</stp>
        <stp>2</stp>
        <stp>600381</stp>
        <stp>1</stp>
        <tr r="D2664" s="1"/>
      </tp>
      <tp t="s">
        <v>国防与装备</v>
        <stp/>
        <stp>EM_S_INFO_INDEX_EM</stp>
        <stp>2</stp>
        <stp>600391</stp>
        <stp>1</stp>
        <tr r="D1045" s="1"/>
      </tp>
      <tp t="s">
        <v>基础化工</v>
        <stp/>
        <stp>EM_S_INFO_INDEX_EM</stp>
        <stp>2</stp>
        <stp>000301</stp>
        <stp>1</stp>
        <tr r="D2580" s="1"/>
      </tp>
      <tp t="s">
        <v>电子设备</v>
        <stp/>
        <stp>EM_S_INFO_INDEX_EM</stp>
        <stp>2</stp>
        <stp>300331</stp>
        <stp>1</stp>
        <tr r="D208" s="1"/>
      </tp>
      <tp t="s">
        <v>商贸零售</v>
        <stp/>
        <stp>EM_S_INFO_INDEX_EM</stp>
        <stp>2</stp>
        <stp>600361</stp>
        <stp>1</stp>
        <tr r="D1719" s="1"/>
      </tp>
      <tp t="s">
        <v>纺织服装</v>
        <stp/>
        <stp>EM_S_INFO_INDEX_EM</stp>
        <stp>2</stp>
        <stp>300321</stp>
        <stp>1</stp>
        <tr r="D1033" s="1"/>
      </tp>
      <tp t="s">
        <v>农林牧渔</v>
        <stp/>
        <stp>EM_S_INFO_INDEX_EM</stp>
        <stp>2</stp>
        <stp>600371</stp>
        <stp>1</stp>
        <tr r="D193" s="1"/>
      </tp>
      <tp t="s">
        <v>互联网</v>
        <stp/>
        <stp>EM_S_INFO_INDEX_EM</stp>
        <stp>2</stp>
        <stp>300311</stp>
        <stp>1</stp>
        <tr r="D362" s="1"/>
      </tp>
      <tp t="s">
        <v>电子设备</v>
        <stp/>
        <stp>EM_S_INFO_INDEX_EM</stp>
        <stp>2</stp>
        <stp>300301</stp>
        <stp>1</stp>
        <tr r="D2067" s="1"/>
      </tp>
      <tp t="s">
        <v>医药生物</v>
        <stp/>
        <stp>EM_S_INFO_INDEX_EM</stp>
        <stp>2</stp>
        <stp>600351</stp>
        <stp>1</stp>
        <tr r="D2200" s="1"/>
      </tp>
      <tp t="s">
        <v>机械设备</v>
        <stp/>
        <stp>EM_S_INFO_INDEX_EM</stp>
        <stp>2</stp>
        <stp>300371</stp>
        <stp>1</stp>
        <tr r="D1838" s="1"/>
      </tp>
      <tp t="s">
        <v>建材</v>
        <stp/>
        <stp>EM_S_INFO_INDEX_EM</stp>
        <stp>2</stp>
        <stp>600321</stp>
        <stp>1</stp>
        <tr r="D1240" s="1"/>
      </tp>
      <tp>
        <v>0</v>
        <stp/>
        <stp>EM_S_INFO_INDEX_EM</stp>
        <stp>2</stp>
        <stp>300361</stp>
        <stp>1</stp>
        <tr r="D9" s="1"/>
      </tp>
      <tp t="s">
        <v>有色金属</v>
        <stp/>
        <stp>EM_S_INFO_INDEX_EM</stp>
        <stp>2</stp>
        <stp>600331</stp>
        <stp>1</stp>
        <tr r="D903" s="1"/>
      </tp>
      <tp t="s">
        <v>交运设备</v>
        <stp/>
        <stp>EM_S_INFO_INDEX_EM</stp>
        <stp>2</stp>
        <stp>300351</stp>
        <stp>1</stp>
        <tr r="D1871" s="1"/>
      </tp>
      <tp t="s">
        <v>商贸零售</v>
        <stp/>
        <stp>EM_S_INFO_INDEX_EM</stp>
        <stp>2</stp>
        <stp>600301</stp>
        <stp>1</stp>
        <tr r="D1636" s="1"/>
      </tp>
      <tp t="s">
        <v>电气设备</v>
        <stp/>
        <stp>EM_S_INFO_INDEX_EM</stp>
        <stp>2</stp>
        <stp>300341</stp>
        <stp>1</stp>
        <tr r="D37" s="1"/>
      </tp>
      <tp t="s">
        <v>有色金属</v>
        <stp/>
        <stp>EM_S_INFO_INDEX_EM</stp>
        <stp>2</stp>
        <stp>600311</stp>
        <stp>1</stp>
        <tr r="D2820" s="1"/>
      </tp>
      <tp t="s">
        <v>机械设备</v>
        <stp/>
        <stp>EM_S_INFO_INDEX_EM</stp>
        <stp>2</stp>
        <stp>300091</stp>
        <stp>1</stp>
        <tr r="D1161" s="1"/>
      </tp>
      <tp t="s">
        <v>文化传媒</v>
        <stp/>
        <stp>EM_S_INFO_INDEX_EM</stp>
        <stp>2</stp>
        <stp>300081</stp>
        <stp>1</stp>
        <tr r="D1430" s="1"/>
      </tp>
      <tp t="s">
        <v>交运设备</v>
        <stp/>
        <stp>EM_S_INFO_INDEX_EM</stp>
        <stp>2</stp>
        <stp>600081</stp>
        <stp>1</stp>
        <tr r="D405" s="1"/>
      </tp>
      <tp t="s">
        <v>基础化工</v>
        <stp/>
        <stp>EM_S_INFO_INDEX_EM</stp>
        <stp>2</stp>
        <stp>600091</stp>
        <stp>1</stp>
        <tr r="D2402" s="1"/>
      </tp>
      <tp t="s">
        <v>金融</v>
        <stp/>
        <stp>EM_S_INFO_INDEX_EM</stp>
        <stp>2</stp>
        <stp>000001</stp>
        <stp>1</stp>
        <tr r="D265" s="1"/>
      </tp>
      <tp t="s">
        <v>互联网</v>
        <stp/>
        <stp>EM_S_INFO_INDEX_EM</stp>
        <stp>2</stp>
        <stp>300031</stp>
        <stp>1</stp>
        <tr r="D1669" s="1"/>
      </tp>
      <tp t="s">
        <v>金融</v>
        <stp/>
        <stp>EM_S_INFO_INDEX_EM</stp>
        <stp>2</stp>
        <stp>600061</stp>
        <stp>1</stp>
        <tr r="D518" s="1"/>
      </tp>
      <tp t="s">
        <v>房地产</v>
        <stp/>
        <stp>EM_S_INFO_INDEX_EM</stp>
        <stp>2</stp>
        <stp>000011</stp>
        <stp>1</stp>
        <tr r="D1983" s="1"/>
      </tp>
      <tp t="s">
        <v>农林牧渔</v>
        <stp/>
        <stp>EM_S_INFO_INDEX_EM</stp>
        <stp>2</stp>
        <stp>300021</stp>
        <stp>1</stp>
        <tr r="D1058" s="1"/>
      </tp>
      <tp t="s">
        <v>电子设备</v>
        <stp/>
        <stp>EM_S_INFO_INDEX_EM</stp>
        <stp>2</stp>
        <stp>600071</stp>
        <stp>1</stp>
        <tr r="D523" s="1"/>
      </tp>
      <tp t="s">
        <v>信息技术</v>
        <stp/>
        <stp>EM_S_INFO_INDEX_EM</stp>
        <stp>2</stp>
        <stp>000021</stp>
        <stp>1</stp>
        <tr r="D134" s="1"/>
      </tp>
      <tp t="s">
        <v>交运设备</v>
        <stp/>
        <stp>EM_S_INFO_INDEX_EM</stp>
        <stp>2</stp>
        <stp>300011</stp>
        <stp>1</stp>
        <tr r="D2446" s="1"/>
      </tp>
      <tp t="s">
        <v>房地产</v>
        <stp/>
        <stp>EM_S_INFO_INDEX_EM</stp>
        <stp>2</stp>
        <stp>000031</stp>
        <stp>1</stp>
        <tr r="D569" s="1"/>
      </tp>
      <tp t="s">
        <v>电气设备</v>
        <stp/>
        <stp>EM_S_INFO_INDEX_EM</stp>
        <stp>2</stp>
        <stp>300001</stp>
        <stp>1</stp>
        <tr r="D2358" s="1"/>
      </tp>
      <tp t="s">
        <v>综合</v>
        <stp/>
        <stp>EM_S_INFO_INDEX_EM</stp>
        <stp>2</stp>
        <stp>600051</stp>
        <stp>1</stp>
        <tr r="D1703" s="1"/>
      </tp>
      <tp t="s">
        <v>文化传媒</v>
        <stp/>
        <stp>EM_S_INFO_INDEX_EM</stp>
        <stp>2</stp>
        <stp>300071</stp>
        <stp>1</stp>
        <tr r="D3121" s="1"/>
      </tp>
      <tp t="s">
        <v>公用事业</v>
        <stp/>
        <stp>EM_S_INFO_INDEX_EM</stp>
        <stp>2</stp>
        <stp>600021</stp>
        <stp>1</stp>
        <tr r="D2411" s="1"/>
      </tp>
      <tp t="s">
        <v>轻工制造</v>
        <stp/>
        <stp>EM_S_INFO_INDEX_EM</stp>
        <stp>2</stp>
        <stp>300061</stp>
        <stp>1</stp>
        <tr r="D1862" s="1"/>
      </tp>
      <tp t="s">
        <v>机械设备</v>
        <stp/>
        <stp>EM_S_INFO_INDEX_EM</stp>
        <stp>2</stp>
        <stp>600031</stp>
        <stp>1</stp>
        <tr r="D148" s="1"/>
      </tp>
      <tp t="s">
        <v>商贸零售</v>
        <stp/>
        <stp>EM_S_INFO_INDEX_EM</stp>
        <stp>2</stp>
        <stp>000061</stp>
        <stp>1</stp>
        <tr r="D1460" s="1"/>
      </tp>
      <tp t="s">
        <v>互联网</v>
        <stp/>
        <stp>EM_S_INFO_INDEX_EM</stp>
        <stp>2</stp>
        <stp>300051</stp>
        <stp>1</stp>
        <tr r="D2016" s="1"/>
      </tp>
      <tp>
        <v>0</v>
        <stp/>
        <stp>EM_S_INFO_INDEX_EM</stp>
        <stp>2</stp>
        <stp>600001</stp>
        <stp>1</stp>
        <tr r="D2285" s="1"/>
      </tp>
      <tp t="s">
        <v>基础化工</v>
        <stp/>
        <stp>EM_S_INFO_INDEX_EM</stp>
        <stp>2</stp>
        <stp>300041</stp>
        <stp>1</stp>
        <tr r="D532" s="1"/>
      </tp>
      <tp t="s">
        <v>公用事业</v>
        <stp/>
        <stp>EM_S_INFO_INDEX_EM</stp>
        <stp>2</stp>
        <stp>600011</stp>
        <stp>1</stp>
        <tr r="D3146" s="1"/>
      </tp>
      <tp t="s">
        <v>化石能源</v>
        <stp/>
        <stp>EM_S_INFO_INDEX_EM</stp>
        <stp>2</stp>
        <stp>300191</stp>
        <stp>1</stp>
        <tr r="D602" s="1"/>
      </tp>
      <tp t="s">
        <v>医药生物</v>
        <stp/>
        <stp>EM_S_INFO_INDEX_EM</stp>
        <stp>2</stp>
        <stp>300181</stp>
        <stp>1</stp>
        <tr r="D2515" s="1"/>
      </tp>
      <tp>
        <v>0</v>
        <stp/>
        <stp>EM_S_INFO_INDEX_EM</stp>
        <stp>2</stp>
        <stp>600181</stp>
        <stp>1</stp>
        <tr r="D2294" s="1"/>
      </tp>
      <tp t="s">
        <v>农林牧渔</v>
        <stp/>
        <stp>EM_S_INFO_INDEX_EM</stp>
        <stp>2</stp>
        <stp>600191</stp>
        <stp>1</stp>
        <tr r="D885" s="1"/>
      </tp>
      <tp t="s">
        <v>电子设备</v>
        <stp/>
        <stp>EM_S_INFO_INDEX_EM</stp>
        <stp>2</stp>
        <stp>300131</stp>
        <stp>1</stp>
        <tr r="D1274" s="1"/>
      </tp>
      <tp t="s">
        <v>医药生物</v>
        <stp/>
        <stp>EM_S_INFO_INDEX_EM</stp>
        <stp>2</stp>
        <stp>600161</stp>
        <stp>1</stp>
        <tr r="D1011" s="1"/>
      </tp>
      <tp t="s">
        <v>基础化工</v>
        <stp/>
        <stp>EM_S_INFO_INDEX_EM</stp>
        <stp>2</stp>
        <stp>300121</stp>
        <stp>1</stp>
        <tr r="D3007" s="1"/>
      </tp>
      <tp t="s">
        <v>电子设备</v>
        <stp/>
        <stp>EM_S_INFO_INDEX_EM</stp>
        <stp>2</stp>
        <stp>600171</stp>
        <stp>1</stp>
        <tr r="D298" s="1"/>
      </tp>
      <tp t="s">
        <v>有色金属</v>
        <stp/>
        <stp>EM_S_INFO_INDEX_EM</stp>
        <stp>2</stp>
        <stp>300111</stp>
        <stp>1</stp>
        <tr r="D1403" s="1"/>
      </tp>
      <tp t="s">
        <v>基础化工</v>
        <stp/>
        <stp>EM_S_INFO_INDEX_EM</stp>
        <stp>2</stp>
        <stp>600141</stp>
        <stp>1</stp>
        <tr r="D2269" s="1"/>
      </tp>
      <tp t="s">
        <v>信息技术</v>
        <stp/>
        <stp>EM_S_INFO_INDEX_EM</stp>
        <stp>2</stp>
        <stp>300101</stp>
        <stp>1</stp>
        <tr r="D2605" s="1"/>
      </tp>
      <tp t="s">
        <v>电气设备</v>
        <stp/>
        <stp>EM_S_INFO_INDEX_EM</stp>
        <stp>2</stp>
        <stp>600151</stp>
        <stp>1</stp>
        <tr r="D1268" s="1"/>
      </tp>
      <tp t="s">
        <v>机械设备</v>
        <stp/>
        <stp>EM_S_INFO_INDEX_EM</stp>
        <stp>2</stp>
        <stp>300171</stp>
        <stp>1</stp>
        <tr r="D2262" s="1"/>
      </tp>
      <tp t="s">
        <v>化石能源</v>
        <stp/>
        <stp>EM_S_INFO_INDEX_EM</stp>
        <stp>2</stp>
        <stp>600121</stp>
        <stp>1</stp>
        <tr r="D3036" s="1"/>
      </tp>
      <tp t="s">
        <v>商贸零售</v>
        <stp/>
        <stp>EM_S_INFO_INDEX_EM</stp>
        <stp>2</stp>
        <stp>000151</stp>
        <stp>1</stp>
        <tr r="D2041" s="1"/>
      </tp>
      <tp t="s">
        <v>机械设备</v>
        <stp/>
        <stp>EM_S_INFO_INDEX_EM</stp>
        <stp>2</stp>
        <stp>300161</stp>
        <stp>1</stp>
        <tr r="D705" s="1"/>
      </tp>
      <tp t="s">
        <v>公用事业</v>
        <stp/>
        <stp>EM_S_INFO_INDEX_EM</stp>
        <stp>2</stp>
        <stp>600131</stp>
        <stp>1</stp>
        <tr r="D38" s="1"/>
      </tp>
      <tp t="s">
        <v>机械设备</v>
        <stp/>
        <stp>EM_S_INFO_INDEX_EM</stp>
        <stp>2</stp>
        <stp>300151</stp>
        <stp>1</stp>
        <tr r="D378" s="1"/>
      </tp>
      <tp t="s">
        <v>公用事业</v>
        <stp/>
        <stp>EM_S_INFO_INDEX_EM</stp>
        <stp>2</stp>
        <stp>600101</stp>
        <stp>1</stp>
        <tr r="D1988" s="1"/>
      </tp>
      <tp t="s">
        <v>电气设备</v>
        <stp/>
        <stp>EM_S_INFO_INDEX_EM</stp>
        <stp>2</stp>
        <stp>300141</stp>
        <stp>1</stp>
        <tr r="D2371" s="1"/>
      </tp>
      <tp t="s">
        <v>有色金属</v>
        <stp/>
        <stp>EM_S_INFO_INDEX_EM</stp>
        <stp>2</stp>
        <stp>600111</stp>
        <stp>1</stp>
        <tr r="D1118" s="1"/>
      </tp>
      <tp t="s">
        <v>文化传媒</v>
        <stp/>
        <stp>EM_S_INFO_INDEX_EM</stp>
        <stp>2</stp>
        <stp>000681</stp>
        <stp>1</stp>
        <tr r="D3208" s="1"/>
      </tp>
      <tp t="s">
        <v>房地产</v>
        <stp/>
        <stp>EM_S_INFO_INDEX_EM</stp>
        <stp>2</stp>
        <stp>000691</stp>
        <stp>1</stp>
        <tr r="D3512" s="1"/>
      </tp>
      <tp t="s">
        <v>电子设备</v>
        <stp/>
        <stp>EM_S_INFO_INDEX_EM</stp>
        <stp>2</stp>
        <stp>300691</stp>
        <stp>1</stp>
        <tr r="D2974" s="1"/>
      </tp>
      <tp t="s">
        <v>交运设备</v>
        <stp/>
        <stp>EM_S_INFO_INDEX_EM</stp>
        <stp>2</stp>
        <stp>300681</stp>
        <stp>1</stp>
        <tr r="D2417" s="1"/>
      </tp>
      <tp t="s">
        <v>公用事业</v>
        <stp/>
        <stp>EM_S_INFO_INDEX_EM</stp>
        <stp>2</stp>
        <stp>600681</stp>
        <stp>1</stp>
        <tr r="D3333" s="1"/>
      </tp>
      <tp t="s">
        <v>基础化工</v>
        <stp/>
        <stp>EM_S_INFO_INDEX_EM</stp>
        <stp>2</stp>
        <stp>600691</stp>
        <stp>1</stp>
        <tr r="D2883" s="1"/>
      </tp>
      <tp t="s">
        <v>公用事业</v>
        <stp/>
        <stp>EM_S_INFO_INDEX_EM</stp>
        <stp>2</stp>
        <stp>000601</stp>
        <stp>1</stp>
        <tr r="D3477" s="1"/>
      </tp>
      <tp t="s">
        <v>机械设备</v>
        <stp/>
        <stp>EM_S_INFO_INDEX_EM</stp>
        <stp>2</stp>
        <stp>300631</stp>
        <stp>1</stp>
        <tr r="D1619" s="1"/>
      </tp>
      <tp t="s">
        <v>文化传媒</v>
        <stp/>
        <stp>EM_S_INFO_INDEX_EM</stp>
        <stp>2</stp>
        <stp>600661</stp>
        <stp>1</stp>
        <tr r="D2866" s="1"/>
      </tp>
      <tp t="s">
        <v>纺织服装</v>
        <stp/>
        <stp>EM_S_INFO_INDEX_EM</stp>
        <stp>2</stp>
        <stp>000611</stp>
        <stp>1</stp>
        <tr r="D3483" s="1"/>
      </tp>
      <tp t="s">
        <v>建筑</v>
        <stp/>
        <stp>EM_S_INFO_INDEX_EM</stp>
        <stp>2</stp>
        <stp>300621</stp>
        <stp>1</stp>
        <tr r="D1811" s="1"/>
      </tp>
      <tp t="s">
        <v>医药生物</v>
        <stp/>
        <stp>EM_S_INFO_INDEX_EM</stp>
        <stp>2</stp>
        <stp>600671</stp>
        <stp>1</stp>
        <tr r="D3131" s="1"/>
      </tp>
      <tp>
        <v>0</v>
        <stp/>
        <stp>EM_S_INFO_INDEX_EM</stp>
        <stp>2</stp>
        <stp>000621</stp>
        <stp>1</stp>
        <tr r="D3486" s="1"/>
      </tp>
      <tp t="s">
        <v>交运设备</v>
        <stp/>
        <stp>EM_S_INFO_INDEX_EM</stp>
        <stp>2</stp>
        <stp>300611</stp>
        <stp>1</stp>
        <tr r="D1560" s="1"/>
      </tp>
      <tp t="s">
        <v>房地产</v>
        <stp/>
        <stp>EM_S_INFO_INDEX_EM</stp>
        <stp>2</stp>
        <stp>600641</stp>
        <stp>1</stp>
        <tr r="D147" s="1"/>
      </tp>
      <tp t="s">
        <v>房地产</v>
        <stp/>
        <stp>EM_S_INFO_INDEX_EM</stp>
        <stp>2</stp>
        <stp>000631</stp>
        <stp>1</stp>
        <tr r="D3490" s="1"/>
      </tp>
      <tp t="s">
        <v>医药生物</v>
        <stp/>
        <stp>EM_S_INFO_INDEX_EM</stp>
        <stp>2</stp>
        <stp>300601</stp>
        <stp>1</stp>
        <tr r="D93" s="1"/>
      </tp>
      <tp t="s">
        <v>家电</v>
        <stp/>
        <stp>EM_S_INFO_INDEX_EM</stp>
        <stp>2</stp>
        <stp>600651</stp>
        <stp>1</stp>
        <tr r="D810" s="1"/>
      </tp>
      <tp t="s">
        <v>电子设备</v>
        <stp/>
        <stp>EM_S_INFO_INDEX_EM</stp>
        <stp>2</stp>
        <stp>300671</stp>
        <stp>1</stp>
        <tr r="D929" s="1"/>
      </tp>
      <tp t="s">
        <v>金融</v>
        <stp/>
        <stp>EM_S_INFO_INDEX_EM</stp>
        <stp>2</stp>
        <stp>600621</stp>
        <stp>1</stp>
        <tr r="D302" s="1"/>
      </tp>
      <tp t="s">
        <v>家电</v>
        <stp/>
        <stp>EM_S_INFO_INDEX_EM</stp>
        <stp>2</stp>
        <stp>000651</stp>
        <stp>1</stp>
        <tr r="D229" s="1"/>
      </tp>
      <tp t="s">
        <v>电子设备</v>
        <stp/>
        <stp>EM_S_INFO_INDEX_EM</stp>
        <stp>2</stp>
        <stp>300661</stp>
        <stp>1</stp>
        <tr r="D19" s="1"/>
      </tp>
      <tp>
        <v>0</v>
        <stp/>
        <stp>EM_S_INFO_INDEX_EM</stp>
        <stp>2</stp>
        <stp>600631</stp>
        <stp>1</stp>
        <tr r="D2309" s="1"/>
      </tp>
      <tp t="s">
        <v>医药生物</v>
        <stp/>
        <stp>EM_S_INFO_INDEX_EM</stp>
        <stp>2</stp>
        <stp>000661</stp>
        <stp>1</stp>
        <tr r="D85" s="1"/>
      </tp>
      <tp t="s">
        <v>轻工制造</v>
        <stp/>
        <stp>EM_S_INFO_INDEX_EM</stp>
        <stp>2</stp>
        <stp>300651</stp>
        <stp>1</stp>
        <tr r="D3284" s="1"/>
      </tp>
      <tp t="s">
        <v>信息技术</v>
        <stp/>
        <stp>EM_S_INFO_INDEX_EM</stp>
        <stp>2</stp>
        <stp>600601</stp>
        <stp>1</stp>
        <tr r="D651" s="1"/>
      </tp>
      <tp t="s">
        <v>房地产</v>
        <stp/>
        <stp>EM_S_INFO_INDEX_EM</stp>
        <stp>2</stp>
        <stp>000671</stp>
        <stp>1</stp>
        <tr r="D373" s="1"/>
      </tp>
      <tp t="s">
        <v>基础化工</v>
        <stp/>
        <stp>EM_S_INFO_INDEX_EM</stp>
        <stp>2</stp>
        <stp>300641</stp>
        <stp>1</stp>
        <tr r="D2353" s="1"/>
      </tp>
      <tp t="s">
        <v>交通运输</v>
        <stp/>
        <stp>EM_S_INFO_INDEX_EM</stp>
        <stp>2</stp>
        <stp>600611</stp>
        <stp>1</stp>
        <tr r="D2175" s="1"/>
      </tp>
      <tp t="s">
        <v>公用事业</v>
        <stp/>
        <stp>EM_S_INFO_INDEX_EM</stp>
        <stp>2</stp>
        <stp>000791</stp>
        <stp>1</stp>
        <tr r="D3193" s="1"/>
      </tp>
      <tp t="s">
        <v>医药生物</v>
        <stp/>
        <stp>EM_S_INFO_INDEX_EM</stp>
        <stp>2</stp>
        <stp>600781</stp>
        <stp>1</stp>
        <tr r="D3379" s="1"/>
      </tp>
      <tp t="s">
        <v>房地产</v>
        <stp/>
        <stp>EM_S_INFO_INDEX_EM</stp>
        <stp>2</stp>
        <stp>600791</stp>
        <stp>1</stp>
        <tr r="D1982" s="1"/>
      </tp>
      <tp t="s">
        <v>商贸零售</v>
        <stp/>
        <stp>EM_S_INFO_INDEX_EM</stp>
        <stp>2</stp>
        <stp>000701</stp>
        <stp>1</stp>
        <tr r="D2836" s="1"/>
      </tp>
      <tp t="s">
        <v>基础化工</v>
        <stp/>
        <stp>EM_S_INFO_INDEX_EM</stp>
        <stp>2</stp>
        <stp>300731</stp>
        <stp>1</stp>
        <tr r="D1668" s="1"/>
      </tp>
      <tp t="s">
        <v>机械设备</v>
        <stp/>
        <stp>EM_S_INFO_INDEX_EM</stp>
        <stp>2</stp>
        <stp>600761</stp>
        <stp>1</stp>
        <tr r="D1761" s="1"/>
      </tp>
      <tp t="s">
        <v>建筑</v>
        <stp/>
        <stp>EM_S_INFO_INDEX_EM</stp>
        <stp>2</stp>
        <stp>000711</stp>
        <stp>1</stp>
        <tr r="D2850" s="1"/>
      </tp>
      <tp t="s">
        <v>基础化工</v>
        <stp/>
        <stp>EM_S_INFO_INDEX_EM</stp>
        <stp>2</stp>
        <stp>300721</stp>
        <stp>1</stp>
        <tr r="D2599" s="1"/>
      </tp>
      <tp t="s">
        <v>医药生物</v>
        <stp/>
        <stp>EM_S_INFO_INDEX_EM</stp>
        <stp>2</stp>
        <stp>600771</stp>
        <stp>1</stp>
        <tr r="D3341" s="1"/>
      </tp>
      <tp t="s">
        <v>休闲、生活及专业服务</v>
        <stp/>
        <stp>EM_S_INFO_INDEX_EM</stp>
        <stp>2</stp>
        <stp>000721</stp>
        <stp>1</stp>
        <tr r="D2092" s="1"/>
      </tp>
      <tp t="s">
        <v>信息技术</v>
        <stp/>
        <stp>EM_S_INFO_INDEX_EM</stp>
        <stp>2</stp>
        <stp>300711</stp>
        <stp>1</stp>
        <tr r="D3178" s="1"/>
      </tp>
      <tp t="s">
        <v>交运设备</v>
        <stp/>
        <stp>EM_S_INFO_INDEX_EM</stp>
        <stp>2</stp>
        <stp>600741</stp>
        <stp>1</stp>
        <tr r="D766" s="1"/>
      </tp>
      <tp t="s">
        <v>基础化工</v>
        <stp/>
        <stp>EM_S_INFO_INDEX_EM</stp>
        <stp>2</stp>
        <stp>000731</stp>
        <stp>1</stp>
        <tr r="D2107" s="1"/>
      </tp>
      <tp t="s">
        <v>电子设备</v>
        <stp/>
        <stp>EM_S_INFO_INDEX_EM</stp>
        <stp>2</stp>
        <stp>300701</stp>
        <stp>1</stp>
        <tr r="D2221" s="1"/>
      </tp>
      <tp t="s">
        <v>互联网</v>
        <stp/>
        <stp>EM_S_INFO_INDEX_EM</stp>
        <stp>2</stp>
        <stp>600751</stp>
        <stp>1</stp>
        <tr r="D1828" s="1"/>
      </tp>
      <tp t="s">
        <v>医药生物</v>
        <stp/>
        <stp>EM_S_INFO_INDEX_EM</stp>
        <stp>2</stp>
        <stp>600721</stp>
        <stp>1</stp>
        <tr r="D1284" s="1"/>
      </tp>
      <tp t="s">
        <v>有色金属</v>
        <stp/>
        <stp>EM_S_INFO_INDEX_EM</stp>
        <stp>2</stp>
        <stp>000751</stp>
        <stp>1</stp>
        <tr r="D1531" s="1"/>
      </tp>
      <tp t="s">
        <v>基础化工</v>
        <stp/>
        <stp>EM_S_INFO_INDEX_EM</stp>
        <stp>2</stp>
        <stp>600731</stp>
        <stp>1</stp>
        <tr r="D296" s="1"/>
      </tp>
      <tp t="s">
        <v>钢铁</v>
        <stp/>
        <stp>EM_S_INFO_INDEX_EM</stp>
        <stp>2</stp>
        <stp>000761</stp>
        <stp>1</stp>
        <tr r="D1372" s="1"/>
      </tp>
      <tp t="s">
        <v>信息技术</v>
        <stp/>
        <stp>EM_S_INFO_INDEX_EM</stp>
        <stp>2</stp>
        <stp>600701</stp>
        <stp>1</stp>
        <tr r="D3066" s="1"/>
      </tp>
      <tp t="s">
        <v>食品饮料</v>
        <stp/>
        <stp>EM_S_INFO_INDEX_EM</stp>
        <stp>2</stp>
        <stp>300741</stp>
        <stp>1</stp>
        <tr r="D2360" s="1"/>
      </tp>
      <tp t="s">
        <v>有色金属</v>
        <stp/>
        <stp>EM_S_INFO_INDEX_EM</stp>
        <stp>2</stp>
        <stp>600711</stp>
        <stp>1</stp>
        <tr r="D1456" s="1"/>
      </tp>
      <tp t="s">
        <v>电气设备</v>
        <stp/>
        <stp>EM_S_INFO_INDEX_EM</stp>
        <stp>2</stp>
        <stp>300491</stp>
        <stp>1</stp>
        <tr r="D2962" s="1"/>
      </tp>
      <tp t="s">
        <v>基础化工</v>
        <stp/>
        <stp>EM_S_INFO_INDEX_EM</stp>
        <stp>2</stp>
        <stp>300481</stp>
        <stp>1</stp>
        <tr r="D358" s="1"/>
      </tp>
      <tp t="s">
        <v>机械设备</v>
        <stp/>
        <stp>EM_S_INFO_INDEX_EM</stp>
        <stp>2</stp>
        <stp>600481</stp>
        <stp>1</stp>
        <tr r="D2397" s="1"/>
      </tp>
      <tp t="s">
        <v>建筑</v>
        <stp/>
        <stp>EM_S_INFO_INDEX_EM</stp>
        <stp>2</stp>
        <stp>600491</stp>
        <stp>1</stp>
        <tr r="D1872" s="1"/>
      </tp>
      <tp t="s">
        <v>建材</v>
        <stp/>
        <stp>EM_S_INFO_INDEX_EM</stp>
        <stp>2</stp>
        <stp>000401</stp>
        <stp>1</stp>
        <tr r="D849" s="1"/>
      </tp>
      <tp t="s">
        <v>互联网</v>
        <stp/>
        <stp>EM_S_INFO_INDEX_EM</stp>
        <stp>2</stp>
        <stp>300431</stp>
        <stp>1</stp>
        <tr r="D3388" s="1"/>
      </tp>
      <tp t="s">
        <v>公用事业</v>
        <stp/>
        <stp>EM_S_INFO_INDEX_EM</stp>
        <stp>2</stp>
        <stp>600461</stp>
        <stp>1</stp>
        <tr r="D1858" s="1"/>
      </tp>
      <tp t="s">
        <v>医药生物</v>
        <stp/>
        <stp>EM_S_INFO_INDEX_EM</stp>
        <stp>2</stp>
        <stp>000411</stp>
        <stp>1</stp>
        <tr r="D2518" s="1"/>
      </tp>
      <tp t="s">
        <v>机械设备</v>
        <stp/>
        <stp>EM_S_INFO_INDEX_EM</stp>
        <stp>2</stp>
        <stp>300421</stp>
        <stp>1</stp>
        <tr r="D3348" s="1"/>
      </tp>
      <tp t="s">
        <v>公用事业</v>
        <stp/>
        <stp>EM_S_INFO_INDEX_EM</stp>
        <stp>2</stp>
        <stp>000421</stp>
        <stp>1</stp>
        <tr r="D3423" s="1"/>
      </tp>
      <tp t="s">
        <v>机械设备</v>
        <stp/>
        <stp>EM_S_INFO_INDEX_EM</stp>
        <stp>2</stp>
        <stp>300411</stp>
        <stp>1</stp>
        <tr r="D2490" s="1"/>
      </tp>
      <tp t="s">
        <v>医药生物</v>
        <stp/>
        <stp>EM_S_INFO_INDEX_EM</stp>
        <stp>2</stp>
        <stp>300401</stp>
        <stp>1</stp>
        <tr r="D2232" s="1"/>
      </tp>
      <tp t="s">
        <v>机械设备</v>
        <stp/>
        <stp>EM_S_INFO_INDEX_EM</stp>
        <stp>2</stp>
        <stp>300471</stp>
        <stp>1</stp>
        <tr r="D341" s="1"/>
      </tp>
      <tp t="s">
        <v>休闲、生活及专业服务</v>
        <stp/>
        <stp>EM_S_INFO_INDEX_EM</stp>
        <stp>2</stp>
        <stp>600421</stp>
        <stp>1</stp>
        <tr r="D1884" s="1"/>
      </tp>
      <tp t="s">
        <v>机械设备</v>
        <stp/>
        <stp>EM_S_INFO_INDEX_EM</stp>
        <stp>2</stp>
        <stp>300461</stp>
        <stp>1</stp>
        <tr r="D1686" s="1"/>
      </tp>
      <tp t="s">
        <v>医药生物</v>
        <stp/>
        <stp>EM_S_INFO_INDEX_EM</stp>
        <stp>2</stp>
        <stp>300451</stp>
        <stp>1</stp>
        <tr r="D2693" s="1"/>
      </tp>
      <tp>
        <v>0</v>
        <stp/>
        <stp>EM_S_INFO_INDEX_EM</stp>
        <stp>2</stp>
        <stp>600401</stp>
        <stp>1</stp>
        <tr r="D3407" s="1"/>
      </tp>
      <tp t="s">
        <v>机械设备</v>
        <stp/>
        <stp>EM_S_INFO_INDEX_EM</stp>
        <stp>2</stp>
        <stp>300441</stp>
        <stp>1</stp>
        <tr r="D685" s="1"/>
      </tp>
      <tp t="s">
        <v>交运设备</v>
        <stp/>
        <stp>EM_S_INFO_INDEX_EM</stp>
        <stp>2</stp>
        <stp>000581</stp>
        <stp>1</stp>
        <tr r="D3465" s="1"/>
      </tp>
      <tp t="s">
        <v>电气设备</v>
        <stp/>
        <stp>EM_S_INFO_INDEX_EM</stp>
        <stp>2</stp>
        <stp>000591</stp>
        <stp>1</stp>
        <tr r="D1170" s="1"/>
      </tp>
      <tp t="s">
        <v>纺织服装</v>
        <stp/>
        <stp>EM_S_INFO_INDEX_EM</stp>
        <stp>2</stp>
        <stp>300591</stp>
        <stp>1</stp>
        <tr r="D2386" s="1"/>
      </tp>
      <tp t="s">
        <v>国防与装备</v>
        <stp/>
        <stp>EM_S_INFO_INDEX_EM</stp>
        <stp>2</stp>
        <stp>300581</stp>
        <stp>1</stp>
        <tr r="D989" s="1"/>
      </tp>
      <tp t="s">
        <v>钢铁</v>
        <stp/>
        <stp>EM_S_INFO_INDEX_EM</stp>
        <stp>2</stp>
        <stp>600581</stp>
        <stp>1</stp>
        <tr r="D2480" s="1"/>
      </tp>
      <tp>
        <v>0</v>
        <stp/>
        <stp>EM_S_INFO_INDEX_EM</stp>
        <stp>2</stp>
        <stp>600591</stp>
        <stp>1</stp>
        <tr r="D2305" s="1"/>
      </tp>
      <tp t="s">
        <v>商贸零售</v>
        <stp/>
        <stp>EM_S_INFO_INDEX_EM</stp>
        <stp>2</stp>
        <stp>000501</stp>
        <stp>1</stp>
        <tr r="D3428" s="1"/>
      </tp>
      <tp t="s">
        <v>信息技术</v>
        <stp/>
        <stp>EM_S_INFO_INDEX_EM</stp>
        <stp>2</stp>
        <stp>300531</stp>
        <stp>1</stp>
        <tr r="D2481" s="1"/>
      </tp>
      <tp t="s">
        <v>交通运输</v>
        <stp/>
        <stp>EM_S_INFO_INDEX_EM</stp>
        <stp>2</stp>
        <stp>600561</stp>
        <stp>1</stp>
        <tr r="D1927" s="1"/>
      </tp>
      <tp>
        <v>0</v>
        <stp/>
        <stp>EM_S_INFO_INDEX_EM</stp>
        <stp>2</stp>
        <stp>000511</stp>
        <stp>1</stp>
        <tr r="D3436" s="1"/>
      </tp>
      <tp t="s">
        <v>机械设备</v>
        <stp/>
        <stp>EM_S_INFO_INDEX_EM</stp>
        <stp>2</stp>
        <stp>300521</stp>
        <stp>1</stp>
        <tr r="D1258" s="1"/>
      </tp>
      <tp t="s">
        <v>信息技术</v>
        <stp/>
        <stp>EM_S_INFO_INDEX_EM</stp>
        <stp>2</stp>
        <stp>600571</stp>
        <stp>1</stp>
        <tr r="D555" s="1"/>
      </tp>
      <tp t="s">
        <v>家电</v>
        <stp/>
        <stp>EM_S_INFO_INDEX_EM</stp>
        <stp>2</stp>
        <stp>000521</stp>
        <stp>1</stp>
        <tr r="D1492" s="1"/>
      </tp>
      <tp t="s">
        <v>农林牧渔</v>
        <stp/>
        <stp>EM_S_INFO_INDEX_EM</stp>
        <stp>2</stp>
        <stp>300511</stp>
        <stp>1</stp>
        <tr r="D1595" s="1"/>
      </tp>
      <tp t="s">
        <v>公用事业</v>
        <stp/>
        <stp>EM_S_INFO_INDEX_EM</stp>
        <stp>2</stp>
        <stp>000531</stp>
        <stp>1</stp>
        <tr r="D806" s="1"/>
      </tp>
      <tp t="s">
        <v>基础化工</v>
        <stp/>
        <stp>EM_S_INFO_INDEX_EM</stp>
        <stp>2</stp>
        <stp>300501</stp>
        <stp>1</stp>
        <tr r="D3206" s="1"/>
      </tp>
      <tp t="s">
        <v>文化传媒</v>
        <stp/>
        <stp>EM_S_INFO_INDEX_EM</stp>
        <stp>2</stp>
        <stp>600551</stp>
        <stp>1</stp>
        <tr r="D2574" s="1"/>
      </tp>
      <tp t="s">
        <v>家电</v>
        <stp/>
        <stp>EM_S_INFO_INDEX_EM</stp>
        <stp>2</stp>
        <stp>000541</stp>
        <stp>1</stp>
        <tr r="D2586" s="1"/>
      </tp>
      <tp t="s">
        <v>信息技术</v>
        <stp/>
        <stp>EM_S_INFO_INDEX_EM</stp>
        <stp>2</stp>
        <stp>300571</stp>
        <stp>1</stp>
        <tr r="D939" s="1"/>
      </tp>
      <tp t="s">
        <v>医药生物</v>
        <stp/>
        <stp>EM_S_INFO_INDEX_EM</stp>
        <stp>2</stp>
        <stp>600521</stp>
        <stp>1</stp>
        <tr r="D489" s="1"/>
      </tp>
      <tp t="s">
        <v>机械设备</v>
        <stp/>
        <stp>EM_S_INFO_INDEX_EM</stp>
        <stp>2</stp>
        <stp>000551</stp>
        <stp>1</stp>
        <tr r="D1505" s="1"/>
      </tp>
      <tp t="s">
        <v>信息技术</v>
        <stp/>
        <stp>EM_S_INFO_INDEX_EM</stp>
        <stp>2</stp>
        <stp>300561</stp>
        <stp>1</stp>
        <tr r="D1339" s="1"/>
      </tp>
      <tp t="s">
        <v>有色金属</v>
        <stp/>
        <stp>EM_S_INFO_INDEX_EM</stp>
        <stp>2</stp>
        <stp>600531</stp>
        <stp>1</stp>
        <tr r="D855" s="1"/>
      </tp>
      <tp t="s">
        <v>信息技术</v>
        <stp/>
        <stp>EM_S_INFO_INDEX_EM</stp>
        <stp>2</stp>
        <stp>000561</stp>
        <stp>1</stp>
        <tr r="D926" s="1"/>
      </tp>
      <tp t="s">
        <v>机械设备</v>
        <stp/>
        <stp>EM_S_INFO_INDEX_EM</stp>
        <stp>2</stp>
        <stp>300551</stp>
        <stp>1</stp>
        <tr r="D113" s="1"/>
      </tp>
      <tp t="s">
        <v>机械设备</v>
        <stp/>
        <stp>EM_S_INFO_INDEX_EM</stp>
        <stp>2</stp>
        <stp>600501</stp>
        <stp>1</stp>
        <tr r="D972" s="1"/>
      </tp>
      <tp t="s">
        <v>综合</v>
        <stp/>
        <stp>EM_S_INFO_INDEX_EM</stp>
        <stp>2</stp>
        <stp>000571</stp>
        <stp>1</stp>
        <tr r="D3462" s="1"/>
      </tp>
      <tp t="s">
        <v>信息技术</v>
        <stp/>
        <stp>EM_S_INFO_INDEX_EM</stp>
        <stp>2</stp>
        <stp>300541</stp>
        <stp>1</stp>
        <tr r="D463" s="1"/>
      </tp>
      <tp t="s">
        <v>医药生物</v>
        <stp/>
        <stp>EM_S_INFO_INDEX_EM</stp>
        <stp>2</stp>
        <stp>600511</stp>
        <stp>1</stp>
        <tr r="D1450" s="1"/>
      </tp>
      <tp t="s">
        <v>基础化工</v>
        <stp/>
        <stp>EM_S_INFO_INDEX_EM</stp>
        <stp>2</stp>
        <stp>000881</stp>
        <stp>1</stp>
        <tr r="D2108" s="1"/>
      </tp>
      <tp t="s">
        <v>建筑</v>
        <stp/>
        <stp>EM_S_INFO_INDEX_EM</stp>
        <stp>2</stp>
        <stp>600881</stp>
        <stp>1</stp>
        <tr r="D2561" s="1"/>
      </tp>
      <tp t="s">
        <v>轻工制造</v>
        <stp/>
        <stp>EM_S_INFO_INDEX_EM</stp>
        <stp>2</stp>
        <stp>600891</stp>
        <stp>1</stp>
        <tr r="D3403" s="1"/>
      </tp>
      <tp t="s">
        <v>信息技术</v>
        <stp/>
        <stp>EM_S_INFO_INDEX_EM</stp>
        <stp>2</stp>
        <stp>000801</stp>
        <stp>1</stp>
        <tr r="D1131" s="1"/>
      </tp>
      <tp t="s">
        <v>商贸零售</v>
        <stp/>
        <stp>EM_S_INFO_INDEX_EM</stp>
        <stp>2</stp>
        <stp>600861</stp>
        <stp>1</stp>
        <tr r="D1151" s="1"/>
      </tp>
      <tp t="s">
        <v>机械设备</v>
        <stp/>
        <stp>EM_S_INFO_INDEX_EM</stp>
        <stp>2</stp>
        <stp>000811</stp>
        <stp>1</stp>
        <tr r="D843" s="1"/>
      </tp>
      <tp t="s">
        <v>化石能源</v>
        <stp/>
        <stp>EM_S_INFO_INDEX_EM</stp>
        <stp>2</stp>
        <stp>600871</stp>
        <stp>1</stp>
        <tr r="D1178" s="1"/>
      </tp>
      <tp t="s">
        <v>机械设备</v>
        <stp/>
        <stp>EM_S_INFO_INDEX_EM</stp>
        <stp>2</stp>
        <stp>000821</stp>
        <stp>1</stp>
        <tr r="D2937" s="1"/>
      </tp>
      <tp t="s">
        <v>机械设备</v>
        <stp/>
        <stp>EM_S_INFO_INDEX_EM</stp>
        <stp>2</stp>
        <stp>600841</stp>
        <stp>1</stp>
        <tr r="D1932" s="1"/>
      </tp>
      <tp t="s">
        <v>有色金属</v>
        <stp/>
        <stp>EM_S_INFO_INDEX_EM</stp>
        <stp>2</stp>
        <stp>000831</stp>
        <stp>1</stp>
        <tr r="D465" s="1"/>
      </tp>
      <tp t="s">
        <v>医药生物</v>
        <stp/>
        <stp>EM_S_INFO_INDEX_EM</stp>
        <stp>2</stp>
        <stp>600851</stp>
        <stp>1</stp>
        <tr r="D1652" s="1"/>
      </tp>
      <tp t="s">
        <v>商贸零售</v>
        <stp/>
        <stp>EM_S_INFO_INDEX_EM</stp>
        <stp>2</stp>
        <stp>600821</stp>
        <stp>1</stp>
        <tr r="D1516" s="1"/>
      </tp>
      <tp t="s">
        <v>信息技术</v>
        <stp/>
        <stp>EM_S_INFO_INDEX_EM</stp>
        <stp>2</stp>
        <stp>000851</stp>
        <stp>1</stp>
        <tr r="D1159" s="1"/>
      </tp>
      <tp t="s">
        <v>文化传媒</v>
        <stp/>
        <stp>EM_S_INFO_INDEX_EM</stp>
        <stp>2</stp>
        <stp>600831</stp>
        <stp>1</stp>
        <tr r="D788" s="1"/>
      </tp>
      <tp t="s">
        <v>商贸零售</v>
        <stp/>
        <stp>EM_S_INFO_INDEX_EM</stp>
        <stp>2</stp>
        <stp>000861</stp>
        <stp>1</stp>
        <tr r="D3556" s="1"/>
      </tp>
      <tp t="s">
        <v>建材</v>
        <stp/>
        <stp>EM_S_INFO_INDEX_EM</stp>
        <stp>2</stp>
        <stp>600801</stp>
        <stp>1</stp>
        <tr r="D585" s="1"/>
      </tp>
      <tp t="s">
        <v>农林牧渔</v>
        <stp/>
        <stp>EM_S_INFO_INDEX_EM</stp>
        <stp>2</stp>
        <stp>600811</stp>
        <stp>1</stp>
        <tr r="D2690" s="1"/>
      </tp>
      <tp t="s">
        <v>交运设备</v>
        <stp/>
        <stp>EM_S_INFO_INDEX_EM</stp>
        <stp>2</stp>
        <stp>000981</stp>
        <stp>1</stp>
        <tr r="D3594" s="1"/>
      </tp>
      <tp>
        <v>0</v>
        <stp/>
        <stp>EM_S_INFO_INDEX_EM</stp>
        <stp>2</stp>
        <stp>000991</stp>
        <stp>1</stp>
        <tr r="D3599" s="1"/>
      </tp>
      <tp t="s">
        <v>商贸零售</v>
        <stp/>
        <stp>EM_S_INFO_INDEX_EM</stp>
        <stp>2</stp>
        <stp>600981</stp>
        <stp>1</stp>
        <tr r="D2364" s="1"/>
      </tp>
      <tp>
        <v>0</v>
        <stp/>
        <stp>EM_S_INFO_INDEX_EM</stp>
        <stp>2</stp>
        <stp>600991</stp>
        <stp>1</stp>
        <tr r="D2334" s="1"/>
      </tp>
      <tp t="s">
        <v>机械设备</v>
        <stp/>
        <stp>EM_S_INFO_INDEX_EM</stp>
        <stp>2</stp>
        <stp>000901</stp>
        <stp>1</stp>
        <tr r="D3569" s="1"/>
      </tp>
      <tp t="s">
        <v>有色金属</v>
        <stp/>
        <stp>EM_S_INFO_INDEX_EM</stp>
        <stp>2</stp>
        <stp>600961</stp>
        <stp>1</stp>
        <tr r="D1803" s="1"/>
      </tp>
      <tp t="s">
        <v>农林牧渔</v>
        <stp/>
        <stp>EM_S_INFO_INDEX_EM</stp>
        <stp>2</stp>
        <stp>000911</stp>
        <stp>1</stp>
        <tr r="D3572" s="1"/>
      </tp>
      <tp t="s">
        <v>化石能源</v>
        <stp/>
        <stp>EM_S_INFO_INDEX_EM</stp>
        <stp>2</stp>
        <stp>600971</stp>
        <stp>1</stp>
        <tr r="D1930" s="1"/>
      </tp>
      <tp t="s">
        <v>家电</v>
        <stp/>
        <stp>EM_S_INFO_INDEX_EM</stp>
        <stp>2</stp>
        <stp>000921</stp>
        <stp>1</stp>
        <tr r="D344" s="1"/>
      </tp>
      <tp t="s">
        <v>医药生物</v>
        <stp/>
        <stp>EM_S_INFO_INDEX_EM</stp>
        <stp>2</stp>
        <stp>000931</stp>
        <stp>1</stp>
        <tr r="D720" s="1"/>
      </tp>
      <tp t="s">
        <v>交运设备</v>
        <stp/>
        <stp>EM_S_INFO_INDEX_EM</stp>
        <stp>2</stp>
        <stp>000951</stp>
        <stp>1</stp>
        <tr r="D163" s="1"/>
      </tp>
      <tp t="s">
        <v>房地产</v>
        <stp/>
        <stp>EM_S_INFO_INDEX_EM</stp>
        <stp>2</stp>
        <stp>000961</stp>
        <stp>1</stp>
        <tr r="D207" s="1"/>
      </tp>
      <tp t="s">
        <v>金融</v>
        <stp/>
        <stp>EM_S_INFO_INDEX_EM</stp>
        <stp>2</stp>
        <stp>600901</stp>
        <stp>1</stp>
        <tr r="D1864" s="1"/>
      </tp>
      <tp t="s">
        <v>互联网</v>
        <stp/>
        <stp>EM_S_INFO_INDEX_EM</stp>
        <stp>2</stp>
        <stp>000971</stp>
        <stp>1</stp>
        <tr r="D3589" s="1"/>
      </tp>
      <tp t="s">
        <v>机械设备</v>
        <stp/>
        <stp>EM_S_INFO_INDEX_EM</stp>
        <stp>2</stp>
        <stp>603321</stp>
        <stp>1</stp>
        <tr r="D1483" s="1"/>
      </tp>
      <tp t="s">
        <v>机械设备</v>
        <stp/>
        <stp>EM_S_INFO_INDEX_EM</stp>
        <stp>2</stp>
        <stp>603331</stp>
        <stp>1</stp>
        <tr r="D1621" s="1"/>
      </tp>
      <tp t="s">
        <v>医药生物</v>
        <stp/>
        <stp>EM_S_INFO_INDEX_EM</stp>
        <stp>2</stp>
        <stp>603301</stp>
        <stp>1</stp>
        <tr r="D3245" s="1"/>
      </tp>
      <tp t="s">
        <v>机械设备</v>
        <stp/>
        <stp>EM_S_INFO_INDEX_EM</stp>
        <stp>2</stp>
        <stp>603311</stp>
        <stp>1</stp>
        <tr r="D1757" s="1"/>
      </tp>
      <tp t="s">
        <v>建筑</v>
        <stp/>
        <stp>EM_S_INFO_INDEX_EM</stp>
        <stp>2</stp>
        <stp>603081</stp>
        <stp>1</stp>
        <tr r="D617" s="1"/>
      </tp>
      <tp t="s">
        <v>基础化工</v>
        <stp/>
        <stp>EM_S_INFO_INDEX_EM</stp>
        <stp>2</stp>
        <stp>603041</stp>
        <stp>1</stp>
        <tr r="D1218" s="1"/>
      </tp>
      <tp t="s">
        <v>建材</v>
        <stp/>
        <stp>EM_S_INFO_INDEX_EM</stp>
        <stp>2</stp>
        <stp>603021</stp>
        <stp>1</stp>
        <tr r="D717" s="1"/>
      </tp>
      <tp t="s">
        <v>商贸零售</v>
        <stp/>
        <stp>EM_S_INFO_INDEX_EM</stp>
        <stp>2</stp>
        <stp>603031</stp>
        <stp>1</stp>
        <tr r="D225" s="1"/>
      </tp>
      <tp t="s">
        <v>纺织服装</v>
        <stp/>
        <stp>EM_S_INFO_INDEX_EM</stp>
        <stp>2</stp>
        <stp>603001</stp>
        <stp>1</stp>
        <tr r="D2795" s="1"/>
      </tp>
      <tp t="s">
        <v>机械设备</v>
        <stp/>
        <stp>EM_S_INFO_INDEX_EM</stp>
        <stp>2</stp>
        <stp>603011</stp>
        <stp>1</stp>
        <tr r="D1463" s="1"/>
      </tp>
      <tp t="s">
        <v>基础化工</v>
        <stp/>
        <stp>EM_S_INFO_INDEX_EM</stp>
        <stp>2</stp>
        <stp>603181</stp>
        <stp>1</stp>
        <tr r="D1219" s="1"/>
      </tp>
      <tp t="s">
        <v>交运设备</v>
        <stp/>
        <stp>EM_S_INFO_INDEX_EM</stp>
        <stp>2</stp>
        <stp>603161</stp>
        <stp>1</stp>
        <tr r="D2902" s="1"/>
      </tp>
      <tp t="s">
        <v>机械设备</v>
        <stp/>
        <stp>EM_S_INFO_INDEX_EM</stp>
        <stp>2</stp>
        <stp>603131</stp>
        <stp>1</stp>
        <tr r="D2818" s="1"/>
      </tp>
      <tp t="s">
        <v>商贸零售</v>
        <stp/>
        <stp>EM_S_INFO_INDEX_EM</stp>
        <stp>2</stp>
        <stp>603101</stp>
        <stp>1</stp>
        <tr r="D3340" s="1"/>
      </tp>
      <tp t="s">
        <v>交运设备</v>
        <stp/>
        <stp>EM_S_INFO_INDEX_EM</stp>
        <stp>2</stp>
        <stp>603111</stp>
        <stp>1</stp>
        <tr r="D948" s="1"/>
      </tp>
      <tp t="s">
        <v>轻工制造</v>
        <stp/>
        <stp>EM_S_INFO_INDEX_EM</stp>
        <stp>2</stp>
        <stp>603661</stp>
        <stp>1</stp>
        <tr r="D578" s="1"/>
      </tp>
      <tp t="s">
        <v>基础化工</v>
        <stp/>
        <stp>EM_S_INFO_INDEX_EM</stp>
        <stp>2</stp>
        <stp>603601</stp>
        <stp>1</stp>
        <tr r="D2589" s="1"/>
      </tp>
      <tp t="s">
        <v>机械设备</v>
        <stp/>
        <stp>EM_S_INFO_INDEX_EM</stp>
        <stp>2</stp>
        <stp>603611</stp>
        <stp>1</stp>
        <tr r="D826" s="1"/>
      </tp>
      <tp t="s">
        <v>文化传媒</v>
        <stp/>
        <stp>EM_S_INFO_INDEX_EM</stp>
        <stp>2</stp>
        <stp>603721</stp>
        <stp>1</stp>
        <tr r="D277" s="1"/>
      </tp>
      <tp t="s">
        <v>交运设备</v>
        <stp/>
        <stp>EM_S_INFO_INDEX_EM</stp>
        <stp>2</stp>
        <stp>603701</stp>
        <stp>1</stp>
        <tr r="D1613" s="1"/>
      </tp>
      <tp t="s">
        <v>食品饮料</v>
        <stp/>
        <stp>EM_S_INFO_INDEX_EM</stp>
        <stp>2</stp>
        <stp>603711</stp>
        <stp>1</stp>
        <tr r="D1298" s="1"/>
      </tp>
      <tp t="s">
        <v>信息技术</v>
        <stp/>
        <stp>EM_S_INFO_INDEX_EM</stp>
        <stp>2</stp>
        <stp>603421</stp>
        <stp>1</stp>
        <tr r="D3047" s="1"/>
      </tp>
      <tp t="s">
        <v>电子设备</v>
        <stp/>
        <stp>EM_S_INFO_INDEX_EM</stp>
        <stp>2</stp>
        <stp>603501</stp>
        <stp>1</stp>
        <tr r="D18" s="1"/>
      </tp>
      <tp t="s">
        <v>信息技术</v>
        <stp/>
        <stp>EM_S_INFO_INDEX_EM</stp>
        <stp>2</stp>
        <stp>603881</stp>
        <stp>1</stp>
        <tr r="D513" s="1"/>
      </tp>
      <tp t="s">
        <v>电气设备</v>
        <stp/>
        <stp>EM_S_INFO_INDEX_EM</stp>
        <stp>2</stp>
        <stp>603861</stp>
        <stp>1</stp>
        <tr r="D3153" s="1"/>
      </tp>
      <tp t="s">
        <v>交通运输</v>
        <stp/>
        <stp>EM_S_INFO_INDEX_EM</stp>
        <stp>2</stp>
        <stp>603871</stp>
        <stp>1</stp>
        <tr r="D2770" s="1"/>
      </tp>
      <tp t="s">
        <v>轻工制造</v>
        <stp/>
        <stp>EM_S_INFO_INDEX_EM</stp>
        <stp>2</stp>
        <stp>603801</stp>
        <stp>1</stp>
        <tr r="D2581" s="1"/>
      </tp>
      <tp t="s">
        <v>医药生物</v>
        <stp/>
        <stp>EM_S_INFO_INDEX_EM</stp>
        <stp>2</stp>
        <stp>603811</stp>
        <stp>1</stp>
        <tr r="D503" s="1"/>
      </tp>
      <tp t="s">
        <v>基础化工</v>
        <stp/>
        <stp>EM_S_INFO_INDEX_EM</stp>
        <stp>2</stp>
        <stp>603991</stp>
        <stp>1</stp>
        <tr r="D2590" s="1"/>
      </tp>
      <tp t="s">
        <v>机械设备</v>
        <stp/>
        <stp>EM_S_INFO_INDEX_EM</stp>
        <stp>2</stp>
        <stp>603901</stp>
        <stp>1</stp>
        <tr r="D415" s="1"/>
      </tp>
      <tp t="s">
        <v>信息技术</v>
        <stp/>
        <stp>EM_S_INFO_INDEX_EM</stp>
        <stp>2</stp>
        <stp>002281</stp>
        <stp>1</stp>
        <tr r="D1737" s="1"/>
      </tp>
      <tp t="s">
        <v>纺织服装</v>
        <stp/>
        <stp>EM_S_INFO_INDEX_EM</stp>
        <stp>2</stp>
        <stp>002291</stp>
        <stp>1</stp>
        <tr r="D28" s="1"/>
      </tp>
      <tp t="s">
        <v>基础化工</v>
        <stp/>
        <stp>EM_S_INFO_INDEX_EM</stp>
        <stp>2</stp>
        <stp>002201</stp>
        <stp>1</stp>
        <tr r="D33" s="1"/>
      </tp>
      <tp t="s">
        <v>基础化工</v>
        <stp/>
        <stp>EM_S_INFO_INDEX_EM</stp>
        <stp>2</stp>
        <stp>002211</stp>
        <stp>1</stp>
        <tr r="D822" s="1"/>
      </tp>
      <tp t="s">
        <v>化石能源</v>
        <stp/>
        <stp>EM_S_INFO_INDEX_EM</stp>
        <stp>2</stp>
        <stp>002221</stp>
        <stp>1</stp>
        <tr r="D2543" s="1"/>
      </tp>
      <tp t="s">
        <v>信息技术</v>
        <stp/>
        <stp>EM_S_INFO_INDEX_EM</stp>
        <stp>2</stp>
        <stp>002231</stp>
        <stp>1</stp>
        <tr r="D2167" s="1"/>
      </tp>
      <tp t="s">
        <v>电子设备</v>
        <stp/>
        <stp>EM_S_INFO_INDEX_EM</stp>
        <stp>2</stp>
        <stp>002241</stp>
        <stp>1</stp>
        <tr r="D52" s="1"/>
      </tp>
      <tp t="s">
        <v>商贸零售</v>
        <stp/>
        <stp>EM_S_INFO_INDEX_EM</stp>
        <stp>2</stp>
        <stp>002251</stp>
        <stp>1</stp>
        <tr r="D1280" s="1"/>
      </tp>
      <tp t="s">
        <v>文化传媒</v>
        <stp/>
        <stp>EM_S_INFO_INDEX_EM</stp>
        <stp>2</stp>
        <stp>002261</stp>
        <stp>1</stp>
        <tr r="D164" s="1"/>
      </tp>
      <tp t="s">
        <v>建材</v>
        <stp/>
        <stp>EM_S_INFO_INDEX_EM</stp>
        <stp>2</stp>
        <stp>002271</stp>
        <stp>1</stp>
        <tr r="D152" s="1"/>
      </tp>
      <tp t="s">
        <v>基础化工</v>
        <stp/>
        <stp>EM_S_INFO_INDEX_EM</stp>
        <stp>2</stp>
        <stp>002381</stp>
        <stp>1</stp>
        <tr r="D1089" s="1"/>
      </tp>
      <tp t="s">
        <v>基础化工</v>
        <stp/>
        <stp>EM_S_INFO_INDEX_EM</stp>
        <stp>2</stp>
        <stp>002391</stp>
        <stp>1</stp>
        <tr r="D3106" s="1"/>
      </tp>
      <tp t="s">
        <v>轻工制造</v>
        <stp/>
        <stp>EM_S_INFO_INDEX_EM</stp>
        <stp>2</stp>
        <stp>002301</stp>
        <stp>1</stp>
        <tr r="D732" s="1"/>
      </tp>
      <tp t="s">
        <v>农林牧渔</v>
        <stp/>
        <stp>EM_S_INFO_INDEX_EM</stp>
        <stp>2</stp>
        <stp>002311</stp>
        <stp>1</stp>
        <tr r="D476" s="1"/>
      </tp>
      <tp t="s">
        <v>农林牧渔</v>
        <stp/>
        <stp>EM_S_INFO_INDEX_EM</stp>
        <stp>2</stp>
        <stp>002321</stp>
        <stp>1</stp>
        <tr r="D1897" s="1"/>
      </tp>
      <tp t="s">
        <v>信息技术</v>
        <stp/>
        <stp>EM_S_INFO_INDEX_EM</stp>
        <stp>2</stp>
        <stp>002331</stp>
        <stp>1</stp>
        <tr r="D1715" s="1"/>
      </tp>
      <tp t="s">
        <v>基础化工</v>
        <stp/>
        <stp>EM_S_INFO_INDEX_EM</stp>
        <stp>2</stp>
        <stp>002341</stp>
        <stp>1</stp>
        <tr r="D3376" s="1"/>
      </tp>
      <tp t="s">
        <v>电子设备</v>
        <stp/>
        <stp>EM_S_INFO_INDEX_EM</stp>
        <stp>2</stp>
        <stp>002351</stp>
        <stp>1</stp>
        <tr r="D22" s="1"/>
      </tp>
      <tp t="s">
        <v>基础化工</v>
        <stp/>
        <stp>EM_S_INFO_INDEX_EM</stp>
        <stp>2</stp>
        <stp>002361</stp>
        <stp>1</stp>
        <tr r="D1315" s="1"/>
      </tp>
      <tp t="s">
        <v>电子设备</v>
        <stp/>
        <stp>EM_S_INFO_INDEX_EM</stp>
        <stp>2</stp>
        <stp>002371</stp>
        <stp>1</stp>
        <tr r="D103" s="1"/>
      </tp>
      <tp t="s">
        <v>建筑</v>
        <stp/>
        <stp>EM_S_INFO_INDEX_EM</stp>
        <stp>2</stp>
        <stp>002081</stp>
        <stp>1</stp>
        <tr r="D1856" s="1"/>
      </tp>
      <tp t="s">
        <v>商贸零售</v>
        <stp/>
        <stp>EM_S_INFO_INDEX_EM</stp>
        <stp>2</stp>
        <stp>002091</stp>
        <stp>1</stp>
        <tr r="D1200" s="1"/>
      </tp>
      <tp t="s">
        <v>医药生物</v>
        <stp/>
        <stp>EM_S_INFO_INDEX_EM</stp>
        <stp>2</stp>
        <stp>002001</stp>
        <stp>1</stp>
        <tr r="D565" s="1"/>
      </tp>
      <tp t="s">
        <v>机械设备</v>
        <stp/>
        <stp>EM_S_INFO_INDEX_EM</stp>
        <stp>2</stp>
        <stp>002011</stp>
        <stp>1</stp>
        <tr r="D3606" s="1"/>
      </tp>
      <tp t="s">
        <v>机械设备</v>
        <stp/>
        <stp>EM_S_INFO_INDEX_EM</stp>
        <stp>2</stp>
        <stp>002021</stp>
        <stp>1</stp>
        <tr r="D3609" s="1"/>
      </tp>
      <tp t="s">
        <v>机械设备</v>
        <stp/>
        <stp>EM_S_INFO_INDEX_EM</stp>
        <stp>2</stp>
        <stp>002031</stp>
        <stp>1</stp>
        <tr r="D1994" s="1"/>
      </tp>
      <tp t="s">
        <v>农林牧渔</v>
        <stp/>
        <stp>EM_S_INFO_INDEX_EM</stp>
        <stp>2</stp>
        <stp>002041</stp>
        <stp>1</stp>
        <tr r="D3615" s="1"/>
      </tp>
      <tp t="s">
        <v>建筑</v>
        <stp/>
        <stp>EM_S_INFO_INDEX_EM</stp>
        <stp>2</stp>
        <stp>002051</stp>
        <stp>1</stp>
        <tr r="D3617" s="1"/>
      </tp>
      <tp t="s">
        <v>建筑</v>
        <stp/>
        <stp>EM_S_INFO_INDEX_EM</stp>
        <stp>2</stp>
        <stp>002061</stp>
        <stp>1</stp>
        <tr r="D3337" s="1"/>
      </tp>
      <tp t="s">
        <v>文化传媒</v>
        <stp/>
        <stp>EM_S_INFO_INDEX_EM</stp>
        <stp>2</stp>
        <stp>002071</stp>
        <stp>1</stp>
        <tr r="D3623" s="1"/>
      </tp>
      <tp t="s">
        <v>文化传媒</v>
        <stp/>
        <stp>EM_S_INFO_INDEX_EM</stp>
        <stp>2</stp>
        <stp>002181</stp>
        <stp>1</stp>
        <tr r="D406" s="1"/>
      </tp>
      <tp t="s">
        <v>轻工制造</v>
        <stp/>
        <stp>EM_S_INFO_INDEX_EM</stp>
        <stp>2</stp>
        <stp>002191</stp>
        <stp>1</stp>
        <tr r="D626" s="1"/>
      </tp>
      <tp t="s">
        <v>交运设备</v>
        <stp/>
        <stp>EM_S_INFO_INDEX_EM</stp>
        <stp>2</stp>
        <stp>002101</stp>
        <stp>1</stp>
        <tr r="D2834" s="1"/>
      </tp>
      <tp t="s">
        <v>机械设备</v>
        <stp/>
        <stp>EM_S_INFO_INDEX_EM</stp>
        <stp>2</stp>
        <stp>002111</stp>
        <stp>1</stp>
        <tr r="D421" s="1"/>
      </tp>
      <tp t="s">
        <v>电气设备</v>
        <stp/>
        <stp>EM_S_INFO_INDEX_EM</stp>
        <stp>2</stp>
        <stp>002121</stp>
        <stp>1</stp>
        <tr r="D3639" s="1"/>
      </tp>
      <tp t="s">
        <v>互联网</v>
        <stp/>
        <stp>EM_S_INFO_INDEX_EM</stp>
        <stp>2</stp>
        <stp>002131</stp>
        <stp>1</stp>
        <tr r="D178" s="1"/>
      </tp>
      <tp t="s">
        <v>电子设备</v>
        <stp/>
        <stp>EM_S_INFO_INDEX_EM</stp>
        <stp>2</stp>
        <stp>002141</stp>
        <stp>1</stp>
        <tr r="D2946" s="1"/>
      </tp>
      <tp t="s">
        <v>信息技术</v>
        <stp/>
        <stp>EM_S_INFO_INDEX_EM</stp>
        <stp>2</stp>
        <stp>002151</stp>
        <stp>1</stp>
        <tr r="D1237" s="1"/>
      </tp>
      <tp t="s">
        <v>电子设备</v>
        <stp/>
        <stp>EM_S_INFO_INDEX_EM</stp>
        <stp>2</stp>
        <stp>002161</stp>
        <stp>1</stp>
        <tr r="D278" s="1"/>
      </tp>
      <tp t="s">
        <v>有色金属</v>
        <stp/>
        <stp>EM_S_INFO_INDEX_EM</stp>
        <stp>2</stp>
        <stp>002171</stp>
        <stp>1</stp>
        <tr r="D435" s="1"/>
      </tp>
      <tp t="s">
        <v>电子设备</v>
        <stp/>
        <stp>EM_S_INFO_INDEX_EM</stp>
        <stp>2</stp>
        <stp>002681</stp>
        <stp>1</stp>
        <tr r="D536" s="1"/>
      </tp>
      <tp t="s">
        <v>机械设备</v>
        <stp/>
        <stp>EM_S_INFO_INDEX_EM</stp>
        <stp>2</stp>
        <stp>002691</stp>
        <stp>1</stp>
        <tr r="D3060" s="1"/>
      </tp>
      <tp t="s">
        <v>基础化工</v>
        <stp/>
        <stp>EM_S_INFO_INDEX_EM</stp>
        <stp>2</stp>
        <stp>002601</stp>
        <stp>1</stp>
        <tr r="D1076" s="1"/>
      </tp>
      <tp t="s">
        <v>交运设备</v>
        <stp/>
        <stp>EM_S_INFO_INDEX_EM</stp>
        <stp>2</stp>
        <stp>002611</stp>
        <stp>1</stp>
        <tr r="D1539" s="1"/>
      </tp>
      <tp t="s">
        <v>文化传媒</v>
        <stp/>
        <stp>EM_S_INFO_INDEX_EM</stp>
        <stp>2</stp>
        <stp>002621</stp>
        <stp>1</stp>
        <tr r="D3271" s="1"/>
      </tp>
      <tp t="s">
        <v>轻工制造</v>
        <stp/>
        <stp>EM_S_INFO_INDEX_EM</stp>
        <stp>2</stp>
        <stp>002631</stp>
        <stp>1</stp>
        <tr r="D1082" s="1"/>
      </tp>
      <tp t="s">
        <v>建材</v>
        <stp/>
        <stp>EM_S_INFO_INDEX_EM</stp>
        <stp>2</stp>
        <stp>002641</stp>
        <stp>1</stp>
        <tr r="D718" s="1"/>
      </tp>
      <tp t="s">
        <v>机械设备</v>
        <stp/>
        <stp>EM_S_INFO_INDEX_EM</stp>
        <stp>2</stp>
        <stp>002651</stp>
        <stp>1</stp>
        <tr r="D1383" s="1"/>
      </tp>
      <tp t="s">
        <v>食品饮料</v>
        <stp/>
        <stp>EM_S_INFO_INDEX_EM</stp>
        <stp>2</stp>
        <stp>002661</stp>
        <stp>1</stp>
        <tr r="D2711" s="1"/>
      </tp>
      <tp t="s">
        <v>建材</v>
        <stp/>
        <stp>EM_S_INFO_INDEX_EM</stp>
        <stp>2</stp>
        <stp>002671</stp>
        <stp>1</stp>
        <tr r="D1752" s="1"/>
      </tp>
      <tp t="s">
        <v>建筑</v>
        <stp/>
        <stp>EM_S_INFO_INDEX_EM</stp>
        <stp>2</stp>
        <stp>002781</stp>
        <stp>1</stp>
        <tr r="D1532" s="1"/>
      </tp>
      <tp t="s">
        <v>机械设备</v>
        <stp/>
        <stp>EM_S_INFO_INDEX_EM</stp>
        <stp>2</stp>
        <stp>002791</stp>
        <stp>1</stp>
        <tr r="D43" s="1"/>
      </tp>
      <tp t="s">
        <v>轻工制造</v>
        <stp/>
        <stp>EM_S_INFO_INDEX_EM</stp>
        <stp>2</stp>
        <stp>002701</stp>
        <stp>1</stp>
        <tr r="D2874" s="1"/>
      </tp>
      <tp t="s">
        <v>交通运输</v>
        <stp/>
        <stp>EM_S_INFO_INDEX_EM</stp>
        <stp>2</stp>
        <stp>002711</stp>
        <stp>1</stp>
        <tr r="D3398" s="1"/>
      </tp>
      <tp t="s">
        <v>轻工制造</v>
        <stp/>
        <stp>EM_S_INFO_INDEX_EM</stp>
        <stp>2</stp>
        <stp>002721</stp>
        <stp>1</stp>
        <tr r="D2808" s="1"/>
      </tp>
      <tp t="s">
        <v>有色金属</v>
        <stp/>
        <stp>EM_S_INFO_INDEX_EM</stp>
        <stp>2</stp>
        <stp>002731</stp>
        <stp>1</stp>
        <tr r="D3386" s="1"/>
      </tp>
      <tp t="s">
        <v>基础化工</v>
        <stp/>
        <stp>EM_S_INFO_INDEX_EM</stp>
        <stp>2</stp>
        <stp>002741</stp>
        <stp>1</stp>
        <tr r="D3107" s="1"/>
      </tp>
      <tp t="s">
        <v>轻工制造</v>
        <stp/>
        <stp>EM_S_INFO_INDEX_EM</stp>
        <stp>2</stp>
        <stp>002751</stp>
        <stp>1</stp>
        <tr r="D1394" s="1"/>
      </tp>
      <tp t="s">
        <v>纺织服装</v>
        <stp/>
        <stp>EM_S_INFO_INDEX_EM</stp>
        <stp>2</stp>
        <stp>002761</stp>
        <stp>1</stp>
        <tr r="D3296" s="1"/>
      </tp>
      <tp t="s">
        <v>信息技术</v>
        <stp/>
        <stp>EM_S_INFO_INDEX_EM</stp>
        <stp>2</stp>
        <stp>002771</stp>
        <stp>1</stp>
        <tr r="D2174" s="1"/>
      </tp>
      <tp t="s">
        <v>食品饮料</v>
        <stp/>
        <stp>EM_S_INFO_INDEX_EM</stp>
        <stp>2</stp>
        <stp>002481</stp>
        <stp>1</stp>
        <tr r="D57" s="1"/>
      </tp>
      <tp t="s">
        <v>信息技术</v>
        <stp/>
        <stp>EM_S_INFO_INDEX_EM</stp>
        <stp>2</stp>
        <stp>002491</stp>
        <stp>1</stp>
        <tr r="D2970" s="1"/>
      </tp>
      <tp t="s">
        <v>信息技术</v>
        <stp/>
        <stp>EM_S_INFO_INDEX_EM</stp>
        <stp>2</stp>
        <stp>002401</stp>
        <stp>1</stp>
        <tr r="D1098" s="1"/>
      </tp>
      <tp t="s">
        <v>医药生物</v>
        <stp/>
        <stp>EM_S_INFO_INDEX_EM</stp>
        <stp>2</stp>
        <stp>002411</stp>
        <stp>1</stp>
        <tr r="D3164" s="1"/>
      </tp>
      <tp t="s">
        <v>信息技术</v>
        <stp/>
        <stp>EM_S_INFO_INDEX_EM</stp>
        <stp>2</stp>
        <stp>002421</stp>
        <stp>1</stp>
        <tr r="D2669" s="1"/>
      </tp>
      <tp t="s">
        <v>建筑</v>
        <stp/>
        <stp>EM_S_INFO_INDEX_EM</stp>
        <stp>2</stp>
        <stp>002431</stp>
        <stp>1</stp>
        <tr r="D2936" s="1"/>
      </tp>
      <tp t="s">
        <v>电气设备</v>
        <stp/>
        <stp>EM_S_INFO_INDEX_EM</stp>
        <stp>2</stp>
        <stp>002441</stp>
        <stp>1</stp>
        <tr r="D1561" s="1"/>
      </tp>
      <tp t="s">
        <v>电气设备</v>
        <stp/>
        <stp>EM_S_INFO_INDEX_EM</stp>
        <stp>2</stp>
        <stp>002451</stp>
        <stp>1</stp>
        <tr r="D3095" s="1"/>
      </tp>
      <tp t="s">
        <v>食品饮料</v>
        <stp/>
        <stp>EM_S_INFO_INDEX_EM</stp>
        <stp>2</stp>
        <stp>002461</stp>
        <stp>1</stp>
        <tr r="D428" s="1"/>
      </tp>
      <tp t="s">
        <v>电气设备</v>
        <stp/>
        <stp>EM_S_INFO_INDEX_EM</stp>
        <stp>2</stp>
        <stp>002471</stp>
        <stp>1</stp>
        <tr r="D2871" s="1"/>
      </tp>
      <tp t="s">
        <v>医药生物</v>
        <stp/>
        <stp>EM_S_INFO_INDEX_EM</stp>
        <stp>2</stp>
        <stp>002581</stp>
        <stp>1</stp>
        <tr r="D2170" s="1"/>
      </tp>
      <tp t="s">
        <v>文化传媒</v>
        <stp/>
        <stp>EM_S_INFO_INDEX_EM</stp>
        <stp>2</stp>
        <stp>002591</stp>
        <stp>1</stp>
        <tr r="D814" s="1"/>
      </tp>
      <tp t="s">
        <v>机械设备</v>
        <stp/>
        <stp>EM_S_INFO_INDEX_EM</stp>
        <stp>2</stp>
        <stp>002501</stp>
        <stp>1</stp>
        <tr r="D3330" s="1"/>
      </tp>
      <tp t="s">
        <v>轻工制造</v>
        <stp/>
        <stp>EM_S_INFO_INDEX_EM</stp>
        <stp>2</stp>
        <stp>002511</stp>
        <stp>1</stp>
        <tr r="D611" s="1"/>
      </tp>
      <tp t="s">
        <v>轻工制造</v>
        <stp/>
        <stp>EM_S_INFO_INDEX_EM</stp>
        <stp>2</stp>
        <stp>002521</stp>
        <stp>1</stp>
        <tr r="D1904" s="1"/>
      </tp>
      <tp t="s">
        <v>电气设备</v>
        <stp/>
        <stp>EM_S_INFO_INDEX_EM</stp>
        <stp>2</stp>
        <stp>002531</stp>
        <stp>1</stp>
        <tr r="D787" s="1"/>
      </tp>
      <tp t="s">
        <v>建筑</v>
        <stp/>
        <stp>EM_S_INFO_INDEX_EM</stp>
        <stp>2</stp>
        <stp>002541</stp>
        <stp>1</stp>
        <tr r="D538" s="1"/>
      </tp>
      <tp t="s">
        <v>医药生物</v>
        <stp/>
        <stp>EM_S_INFO_INDEX_EM</stp>
        <stp>2</stp>
        <stp>002551</stp>
        <stp>1</stp>
        <tr r="D2390" s="1"/>
      </tp>
      <tp t="s">
        <v>商贸零售</v>
        <stp/>
        <stp>EM_S_INFO_INDEX_EM</stp>
        <stp>2</stp>
        <stp>002561</stp>
        <stp>1</stp>
        <tr r="D1959" s="1"/>
      </tp>
      <tp t="s">
        <v>轻工制造</v>
        <stp/>
        <stp>EM_S_INFO_INDEX_EM</stp>
        <stp>2</stp>
        <stp>002571</stp>
        <stp>1</stp>
        <tr r="D2579" s="1"/>
      </tp>
      <tp t="s">
        <v>电子设备</v>
        <stp/>
        <stp>EM_S_INFO_INDEX_EM</stp>
        <stp>2</stp>
        <stp>002881</stp>
        <stp>1</stp>
        <tr r="D534" s="1"/>
      </tp>
      <tp t="s">
        <v>食品饮料</v>
        <stp/>
        <stp>EM_S_INFO_INDEX_EM</stp>
        <stp>2</stp>
        <stp>002891</stp>
        <stp>1</stp>
        <tr r="D3025" s="1"/>
      </tp>
      <tp t="s">
        <v>电气设备</v>
        <stp/>
        <stp>EM_S_INFO_INDEX_EM</stp>
        <stp>2</stp>
        <stp>002801</stp>
        <stp>1</stp>
        <tr r="D345" s="1"/>
      </tp>
      <tp t="s">
        <v>建筑</v>
        <stp/>
        <stp>EM_S_INFO_INDEX_EM</stp>
        <stp>2</stp>
        <stp>002811</stp>
        <stp>1</stp>
        <tr r="D2796" s="1"/>
      </tp>
      <tp t="s">
        <v>医药生物</v>
        <stp/>
        <stp>EM_S_INFO_INDEX_EM</stp>
        <stp>2</stp>
        <stp>002821</stp>
        <stp>1</stp>
        <tr r="D209" s="1"/>
      </tp>
      <tp t="s">
        <v>轻工制造</v>
        <stp/>
        <stp>EM_S_INFO_INDEX_EM</stp>
        <stp>2</stp>
        <stp>002831</stp>
        <stp>1</stp>
        <tr r="D3252" s="1"/>
      </tp>
      <tp t="s">
        <v>电子设备</v>
        <stp/>
        <stp>EM_S_INFO_INDEX_EM</stp>
        <stp>2</stp>
        <stp>002841</stp>
        <stp>1</stp>
        <tr r="D563" s="1"/>
      </tp>
      <tp t="s">
        <v>电气设备</v>
        <stp/>
        <stp>EM_S_INFO_INDEX_EM</stp>
        <stp>2</stp>
        <stp>002851</stp>
        <stp>1</stp>
        <tr r="D2406" s="1"/>
      </tp>
      <tp t="s">
        <v>电子设备</v>
        <stp/>
        <stp>EM_S_INFO_INDEX_EM</stp>
        <stp>2</stp>
        <stp>002861</stp>
        <stp>1</stp>
        <tr r="D286" s="1"/>
      </tp>
      <tp t="s">
        <v>机械设备</v>
        <stp/>
        <stp>EM_S_INFO_INDEX_EM</stp>
        <stp>2</stp>
        <stp>002871</stp>
        <stp>1</stp>
        <tr r="D2391" s="1"/>
      </tp>
      <tp t="s">
        <v>医药生物</v>
        <stp/>
        <stp>EM_S_INFO_INDEX_EM</stp>
        <stp>2</stp>
        <stp>002901</stp>
        <stp>1</stp>
        <tr r="D184" s="1"/>
      </tp>
      <tp t="s">
        <v>公用事业</v>
        <stp/>
        <stp>EM_S_INFO_INDEX_EM</stp>
        <stp>2</stp>
        <stp>002911</stp>
        <stp>1</stp>
        <tr r="D2725" s="1"/>
      </tp>
      <tp t="s">
        <v>交运设备</v>
        <stp/>
        <stp>EM_S_INFO_INDEX_EM</stp>
        <stp>2</stp>
        <stp>002921</stp>
        <stp>1</stp>
        <tr r="D3207" s="1"/>
      </tp>
      <tp t="s">
        <v>机械设备</v>
        <stp/>
        <stp>EM_S_INFO_INDEX_EM</stp>
        <stp>2</stp>
        <stp>002931</stp>
        <stp>1</stp>
        <tr r="D2638" s="1"/>
      </tp>
      <tp t="s">
        <v>公用事业</v>
        <stp/>
        <stp>EM_S_INFO_INDEX_EM</stp>
        <stp>2</stp>
        <stp>601200</stp>
        <stp>1</stp>
        <tr r="D2980" s="1"/>
      </tp>
      <tp t="s">
        <v>建筑</v>
        <stp/>
        <stp>EM_S_INFO_INDEX_EM</stp>
        <stp>2</stp>
        <stp>601390</stp>
        <stp>1</stp>
        <tr r="D2944" s="1"/>
      </tp>
      <tp t="s">
        <v>信息技术</v>
        <stp/>
        <stp>EM_S_INFO_INDEX_EM</stp>
        <stp>2</stp>
        <stp>601360</stp>
        <stp>1</stp>
        <tr r="D1479" s="1"/>
      </tp>
      <tp t="s">
        <v>公用事业</v>
        <stp/>
        <stp>EM_S_INFO_INDEX_EM</stp>
        <stp>2</stp>
        <stp>601330</stp>
        <stp>1</stp>
        <tr r="D2943" s="1"/>
      </tp>
      <tp t="s">
        <v>有色金属</v>
        <stp/>
        <stp>EM_S_INFO_INDEX_EM</stp>
        <stp>2</stp>
        <stp>601020</stp>
        <stp>1</stp>
        <tr r="D1826" s="1"/>
      </tp>
      <tp t="s">
        <v>交通运输</v>
        <stp/>
        <stp>EM_S_INFO_INDEX_EM</stp>
        <stp>2</stp>
        <stp>601000</stp>
        <stp>1</stp>
        <tr r="D1833" s="1"/>
      </tp>
      <tp t="s">
        <v>商贸零售</v>
        <stp/>
        <stp>EM_S_INFO_INDEX_EM</stp>
        <stp>2</stp>
        <stp>601010</stp>
        <stp>1</stp>
        <tr r="D1981" s="1"/>
      </tp>
      <tp t="s">
        <v>机械设备</v>
        <stp/>
        <stp>EM_S_INFO_INDEX_EM</stp>
        <stp>2</stp>
        <stp>601100</stp>
        <stp>1</stp>
        <tr r="D79" s="1"/>
      </tp>
      <tp t="s">
        <v>有色金属</v>
        <stp/>
        <stp>EM_S_INFO_INDEX_EM</stp>
        <stp>2</stp>
        <stp>601600</stp>
        <stp>1</stp>
        <tr r="D2346" s="1"/>
      </tp>
      <tp t="s">
        <v>电气设备</v>
        <stp/>
        <stp>EM_S_INFO_INDEX_EM</stp>
        <stp>2</stp>
        <stp>601700</stp>
        <stp>1</stp>
        <tr r="D297" s="1"/>
      </tp>
      <tp t="s">
        <v>基础化工</v>
        <stp/>
        <stp>EM_S_INFO_INDEX_EM</stp>
        <stp>2</stp>
        <stp>601500</stp>
        <stp>1</stp>
        <tr r="D2436" s="1"/>
      </tp>
      <tp t="s">
        <v>交通运输</v>
        <stp/>
        <stp>EM_S_INFO_INDEX_EM</stp>
        <stp>2</stp>
        <stp>601880</stp>
        <stp>1</stp>
        <tr r="D1781" s="1"/>
      </tp>
      <tp t="s">
        <v>国防与装备</v>
        <stp/>
        <stp>EM_S_INFO_INDEX_EM</stp>
        <stp>2</stp>
        <stp>601890</stp>
        <stp>1</stp>
        <tr r="D410" s="1"/>
      </tp>
      <tp t="s">
        <v>建筑</v>
        <stp/>
        <stp>EM_S_INFO_INDEX_EM</stp>
        <stp>2</stp>
        <stp>601800</stp>
        <stp>1</stp>
        <tr r="D3086" s="1"/>
      </tp>
      <tp t="s">
        <v>金融</v>
        <stp/>
        <stp>EM_S_INFO_INDEX_EM</stp>
        <stp>2</stp>
        <stp>601990</stp>
        <stp>1</stp>
        <tr r="D632" s="1"/>
      </tp>
      <tp t="s">
        <v>文化传媒</v>
        <stp/>
        <stp>EM_S_INFO_INDEX_EM</stp>
        <stp>2</stp>
        <stp>601900</stp>
        <stp>1</stp>
        <tr r="D1823" s="1"/>
      </tp>
      <tp t="s">
        <v>信息技术</v>
        <stp/>
        <stp>EM_S_INFO_INDEX_EM</stp>
        <stp>2</stp>
        <stp>300290</stp>
        <stp>1</stp>
        <tr r="D1839" s="1"/>
      </tp>
      <tp t="s">
        <v>文化传媒</v>
        <stp/>
        <stp>EM_S_INFO_INDEX_EM</stp>
        <stp>2</stp>
        <stp>300280</stp>
        <stp>1</stp>
        <tr r="D3363" s="1"/>
      </tp>
      <tp t="s">
        <v>商贸零售</v>
        <stp/>
        <stp>EM_S_INFO_INDEX_EM</stp>
        <stp>2</stp>
        <stp>600280</stp>
        <stp>1</stp>
        <tr r="D2933" s="1"/>
      </tp>
      <tp t="s">
        <v>电气设备</v>
        <stp/>
        <stp>EM_S_INFO_INDEX_EM</stp>
        <stp>2</stp>
        <stp>600290</stp>
        <stp>1</stp>
        <tr r="D3277" s="1"/>
      </tp>
      <tp t="s">
        <v>基础化工</v>
        <stp/>
        <stp>EM_S_INFO_INDEX_EM</stp>
        <stp>2</stp>
        <stp>300230</stp>
        <stp>1</stp>
        <tr r="D2958" s="1"/>
      </tp>
      <tp t="s">
        <v>信息技术</v>
        <stp/>
        <stp>EM_S_INFO_INDEX_EM</stp>
        <stp>2</stp>
        <stp>600260</stp>
        <stp>1</stp>
        <tr r="D3108" s="1"/>
      </tp>
      <tp t="s">
        <v>电子设备</v>
        <stp/>
        <stp>EM_S_INFO_INDEX_EM</stp>
        <stp>2</stp>
        <stp>300220</stp>
        <stp>1</stp>
        <tr r="D27" s="1"/>
      </tp>
      <tp>
        <v>0</v>
        <stp/>
        <stp>EM_S_INFO_INDEX_EM</stp>
        <stp>2</stp>
        <stp>600270</stp>
        <stp>1</stp>
        <tr r="D2298" s="1"/>
      </tp>
      <tp t="s">
        <v>机械设备</v>
        <stp/>
        <stp>EM_S_INFO_INDEX_EM</stp>
        <stp>2</stp>
        <stp>300210</stp>
        <stp>1</stp>
        <tr r="D3058" s="1"/>
      </tp>
      <tp t="s">
        <v>房地产</v>
        <stp/>
        <stp>EM_S_INFO_INDEX_EM</stp>
        <stp>2</stp>
        <stp>600240</stp>
        <stp>1</stp>
        <tr r="D3408" s="1"/>
      </tp>
      <tp t="s">
        <v>基础化工</v>
        <stp/>
        <stp>EM_S_INFO_INDEX_EM</stp>
        <stp>2</stp>
        <stp>300200</stp>
        <stp>1</stp>
        <tr r="D246" s="1"/>
      </tp>
      <tp t="s">
        <v>商贸零售</v>
        <stp/>
        <stp>EM_S_INFO_INDEX_EM</stp>
        <stp>2</stp>
        <stp>600250</stp>
        <stp>1</stp>
        <tr r="D3043" s="1"/>
      </tp>
      <tp t="s">
        <v>电子设备</v>
        <stp/>
        <stp>EM_S_INFO_INDEX_EM</stp>
        <stp>2</stp>
        <stp>300270</stp>
        <stp>1</stp>
        <tr r="D966" s="1"/>
      </tp>
      <tp t="s">
        <v>纺织服装</v>
        <stp/>
        <stp>EM_S_INFO_INDEX_EM</stp>
        <stp>2</stp>
        <stp>600220</stp>
        <stp>1</stp>
        <tr r="D1873" s="1"/>
      </tp>
      <tp t="s">
        <v>机械设备</v>
        <stp/>
        <stp>EM_S_INFO_INDEX_EM</stp>
        <stp>2</stp>
        <stp>300260</stp>
        <stp>1</stp>
        <tr r="D893" s="1"/>
      </tp>
      <tp t="s">
        <v>基础化工</v>
        <stp/>
        <stp>EM_S_INFO_INDEX_EM</stp>
        <stp>2</stp>
        <stp>600230</stp>
        <stp>1</stp>
        <tr r="D3272" s="1"/>
      </tp>
      <tp t="s">
        <v>信息技术</v>
        <stp/>
        <stp>EM_S_INFO_INDEX_EM</stp>
        <stp>2</stp>
        <stp>300250</stp>
        <stp>1</stp>
        <tr r="D1446" s="1"/>
      </tp>
      <tp t="s">
        <v>医药生物</v>
        <stp/>
        <stp>EM_S_INFO_INDEX_EM</stp>
        <stp>2</stp>
        <stp>600200</stp>
        <stp>1</stp>
        <tr r="D2906" s="1"/>
      </tp>
      <tp t="s">
        <v>交通运输</v>
        <stp/>
        <stp>EM_S_INFO_INDEX_EM</stp>
        <stp>2</stp>
        <stp>300240</stp>
        <stp>1</stp>
        <tr r="D2840" s="1"/>
      </tp>
      <tp t="s">
        <v>轻工制造</v>
        <stp/>
        <stp>EM_S_INFO_INDEX_EM</stp>
        <stp>2</stp>
        <stp>600210</stp>
        <stp>1</stp>
        <tr r="D2091" s="1"/>
      </tp>
      <tp t="s">
        <v>电子设备</v>
        <stp/>
        <stp>EM_S_INFO_INDEX_EM</stp>
        <stp>2</stp>
        <stp>300390</stp>
        <stp>1</stp>
        <tr r="D2862" s="1"/>
      </tp>
      <tp t="s">
        <v>信息技术</v>
        <stp/>
        <stp>EM_S_INFO_INDEX_EM</stp>
        <stp>2</stp>
        <stp>300380</stp>
        <stp>1</stp>
        <tr r="D1006" s="1"/>
      </tp>
      <tp t="s">
        <v>医药生物</v>
        <stp/>
        <stp>EM_S_INFO_INDEX_EM</stp>
        <stp>2</stp>
        <stp>600380</stp>
        <stp>1</stp>
        <tr r="D567" s="1"/>
      </tp>
      <tp t="s">
        <v>金融</v>
        <stp/>
        <stp>EM_S_INFO_INDEX_EM</stp>
        <stp>2</stp>
        <stp>600390</stp>
        <stp>1</stp>
        <tr r="D1389" s="1"/>
      </tp>
      <tp t="s">
        <v>信息技术</v>
        <stp/>
        <stp>EM_S_INFO_INDEX_EM</stp>
        <stp>2</stp>
        <stp>300330</stp>
        <stp>1</stp>
        <tr r="D758" s="1"/>
      </tp>
      <tp t="s">
        <v>电子设备</v>
        <stp/>
        <stp>EM_S_INFO_INDEX_EM</stp>
        <stp>2</stp>
        <stp>600360</stp>
        <stp>1</stp>
        <tr r="D920" s="1"/>
      </tp>
      <tp t="s">
        <v>基础化工</v>
        <stp/>
        <stp>EM_S_INFO_INDEX_EM</stp>
        <stp>2</stp>
        <stp>300320</stp>
        <stp>1</stp>
        <tr r="D1658" s="1"/>
      </tp>
      <tp t="s">
        <v>纺织服装</v>
        <stp/>
        <stp>EM_S_INFO_INDEX_EM</stp>
        <stp>2</stp>
        <stp>600370</stp>
        <stp>1</stp>
        <tr r="D1676" s="1"/>
      </tp>
      <tp t="s">
        <v>信息技术</v>
        <stp/>
        <stp>EM_S_INFO_INDEX_EM</stp>
        <stp>2</stp>
        <stp>300310</stp>
        <stp>1</stp>
        <tr r="D2231" s="1"/>
      </tp>
      <tp t="s">
        <v>房地产</v>
        <stp/>
        <stp>EM_S_INFO_INDEX_EM</stp>
        <stp>2</stp>
        <stp>600340</stp>
        <stp>1</stp>
        <tr r="D1641" s="1"/>
      </tp>
      <tp t="s">
        <v>信息技术</v>
        <stp/>
        <stp>EM_S_INFO_INDEX_EM</stp>
        <stp>2</stp>
        <stp>300300</stp>
        <stp>1</stp>
        <tr r="D2824" s="1"/>
      </tp>
      <tp t="s">
        <v>交通运输</v>
        <stp/>
        <stp>EM_S_INFO_INDEX_EM</stp>
        <stp>2</stp>
        <stp>600350</stp>
        <stp>1</stp>
        <tr r="D1896" s="1"/>
      </tp>
      <tp t="s">
        <v>电气设备</v>
        <stp/>
        <stp>EM_S_INFO_INDEX_EM</stp>
        <stp>2</stp>
        <stp>300370</stp>
        <stp>1</stp>
        <tr r="D888" s="1"/>
      </tp>
      <tp t="s">
        <v>机械设备</v>
        <stp/>
        <stp>EM_S_INFO_INDEX_EM</stp>
        <stp>2</stp>
        <stp>600320</stp>
        <stp>1</stp>
        <tr r="D1504" s="1"/>
      </tp>
      <tp t="s">
        <v>电气设备</v>
        <stp/>
        <stp>EM_S_INFO_INDEX_EM</stp>
        <stp>2</stp>
        <stp>300360</stp>
        <stp>1</stp>
        <tr r="D187" s="1"/>
      </tp>
      <tp t="s">
        <v>有色金属</v>
        <stp/>
        <stp>EM_S_INFO_INDEX_EM</stp>
        <stp>2</stp>
        <stp>600330</stp>
        <stp>1</stp>
        <tr r="D654" s="1"/>
      </tp>
      <tp t="s">
        <v>信息技术</v>
        <stp/>
        <stp>EM_S_INFO_INDEX_EM</stp>
        <stp>2</stp>
        <stp>300350</stp>
        <stp>1</stp>
        <tr r="D2687" s="1"/>
      </tp>
      <tp t="s">
        <v>食品饮料</v>
        <stp/>
        <stp>EM_S_INFO_INDEX_EM</stp>
        <stp>2</stp>
        <stp>600300</stp>
        <stp>1</stp>
        <tr r="D1995" s="1"/>
      </tp>
      <tp t="s">
        <v>有色金属</v>
        <stp/>
        <stp>EM_S_INFO_INDEX_EM</stp>
        <stp>2</stp>
        <stp>300340</stp>
        <stp>1</stp>
        <tr r="D2737" s="1"/>
      </tp>
      <tp t="s">
        <v>公用事业</v>
        <stp/>
        <stp>EM_S_INFO_INDEX_EM</stp>
        <stp>2</stp>
        <stp>600310</stp>
        <stp>1</stp>
        <tr r="D1303" s="1"/>
      </tp>
      <tp t="s">
        <v>建筑</v>
        <stp/>
        <stp>EM_S_INFO_INDEX_EM</stp>
        <stp>2</stp>
        <stp>000090</stp>
        <stp>1</stp>
        <tr r="D479" s="1"/>
      </tp>
      <tp t="s">
        <v>公用事业</v>
        <stp/>
        <stp>EM_S_INFO_INDEX_EM</stp>
        <stp>2</stp>
        <stp>300090</stp>
        <stp>1</stp>
        <tr r="D3294" s="1"/>
      </tp>
      <tp t="s">
        <v>有色金属</v>
        <stp/>
        <stp>EM_S_INFO_INDEX_EM</stp>
        <stp>2</stp>
        <stp>300080</stp>
        <stp>1</stp>
        <tr r="D1199" s="1"/>
      </tp>
      <tp t="s">
        <v>医药生物</v>
        <stp/>
        <stp>EM_S_INFO_INDEX_EM</stp>
        <stp>2</stp>
        <stp>600080</stp>
        <stp>1</stp>
        <tr r="D2993" s="1"/>
      </tp>
      <tp t="s">
        <v>医药生物</v>
        <stp/>
        <stp>EM_S_INFO_INDEX_EM</stp>
        <stp>2</stp>
        <stp>600090</stp>
        <stp>1</stp>
        <tr r="D3138" s="1"/>
      </tp>
      <tp t="s">
        <v>医药生物</v>
        <stp/>
        <stp>EM_S_INFO_INDEX_EM</stp>
        <stp>2</stp>
        <stp>300030</stp>
        <stp>1</stp>
        <tr r="D663" s="1"/>
      </tp>
      <tp t="s">
        <v>家电</v>
        <stp/>
        <stp>EM_S_INFO_INDEX_EM</stp>
        <stp>2</stp>
        <stp>600060</stp>
        <stp>1</stp>
        <tr r="D1112" s="1"/>
      </tp>
      <tp t="s">
        <v>建筑</v>
        <stp/>
        <stp>EM_S_INFO_INDEX_EM</stp>
        <stp>2</stp>
        <stp>000010</stp>
        <stp>1</stp>
        <tr r="D2039" s="1"/>
      </tp>
      <tp t="s">
        <v>信息技术</v>
        <stp/>
        <stp>EM_S_INFO_INDEX_EM</stp>
        <stp>2</stp>
        <stp>300020</stp>
        <stp>1</stp>
        <tr r="D927" s="1"/>
      </tp>
      <tp t="s">
        <v>纺织服装</v>
        <stp/>
        <stp>EM_S_INFO_INDEX_EM</stp>
        <stp>2</stp>
        <stp>600070</stp>
        <stp>1</stp>
        <tr r="D667" s="1"/>
      </tp>
      <tp t="s">
        <v>电子设备</v>
        <stp/>
        <stp>EM_S_INFO_INDEX_EM</stp>
        <stp>2</stp>
        <stp>000020</stp>
        <stp>1</stp>
        <tr r="D2164" s="1"/>
      </tp>
      <tp t="s">
        <v>文化传媒</v>
        <stp/>
        <stp>EM_S_INFO_INDEX_EM</stp>
        <stp>2</stp>
        <stp>300010</stp>
        <stp>1</stp>
        <tr r="D280" s="1"/>
      </tp>
      <tp t="s">
        <v>交运设备</v>
        <stp/>
        <stp>EM_S_INFO_INDEX_EM</stp>
        <stp>2</stp>
        <stp>000030</stp>
        <stp>1</stp>
        <tr r="D883" s="1"/>
      </tp>
      <tp t="s">
        <v>信息技术</v>
        <stp/>
        <stp>EM_S_INFO_INDEX_EM</stp>
        <stp>2</stp>
        <stp>600050</stp>
        <stp>1</stp>
        <tr r="D1536" s="1"/>
      </tp>
      <tp t="s">
        <v>公用事业</v>
        <stp/>
        <stp>EM_S_INFO_INDEX_EM</stp>
        <stp>2</stp>
        <stp>000040</stp>
        <stp>1</stp>
        <tr r="D3327" s="1"/>
      </tp>
      <tp t="s">
        <v>公用事业</v>
        <stp/>
        <stp>EM_S_INFO_INDEX_EM</stp>
        <stp>2</stp>
        <stp>300070</stp>
        <stp>1</stp>
        <tr r="D2453" s="1"/>
      </tp>
      <tp t="s">
        <v>交通运输</v>
        <stp/>
        <stp>EM_S_INFO_INDEX_EM</stp>
        <stp>2</stp>
        <stp>600020</stp>
        <stp>1</stp>
        <tr r="D1292" s="1"/>
      </tp>
      <tp t="s">
        <v>电子设备</v>
        <stp/>
        <stp>EM_S_INFO_INDEX_EM</stp>
        <stp>2</stp>
        <stp>000050</stp>
        <stp>1</stp>
        <tr r="D348" s="1"/>
      </tp>
      <tp t="s">
        <v>金融</v>
        <stp/>
        <stp>EM_S_INFO_INDEX_EM</stp>
        <stp>2</stp>
        <stp>600030</stp>
        <stp>1</stp>
        <tr r="D423" s="1"/>
      </tp>
      <tp t="s">
        <v>有色金属</v>
        <stp/>
        <stp>EM_S_INFO_INDEX_EM</stp>
        <stp>2</stp>
        <stp>000060</stp>
        <stp>1</stp>
        <tr r="D1710" s="1"/>
      </tp>
      <tp t="s">
        <v>信息技术</v>
        <stp/>
        <stp>EM_S_INFO_INDEX_EM</stp>
        <stp>2</stp>
        <stp>300050</stp>
        <stp>1</stp>
        <tr r="D2656" s="1"/>
      </tp>
      <tp t="s">
        <v>金融</v>
        <stp/>
        <stp>EM_S_INFO_INDEX_EM</stp>
        <stp>2</stp>
        <stp>600000</stp>
        <stp>1</stp>
        <tr r="D1062" s="1"/>
      </tp>
      <tp t="s">
        <v>信息技术</v>
        <stp/>
        <stp>EM_S_INFO_INDEX_EM</stp>
        <stp>2</stp>
        <stp>000070</stp>
        <stp>1</stp>
        <tr r="D228" s="1"/>
      </tp>
      <tp t="s">
        <v>公用事业</v>
        <stp/>
        <stp>EM_S_INFO_INDEX_EM</stp>
        <stp>2</stp>
        <stp>300040</stp>
        <stp>1</stp>
        <tr r="D1626" s="1"/>
      </tp>
      <tp t="s">
        <v>钢铁</v>
        <stp/>
        <stp>EM_S_INFO_INDEX_EM</stp>
        <stp>2</stp>
        <stp>600010</stp>
        <stp>1</stp>
        <tr r="D2792" s="1"/>
      </tp>
      <tp t="s">
        <v>公用事业</v>
        <stp/>
        <stp>EM_S_INFO_INDEX_EM</stp>
        <stp>2</stp>
        <stp>300190</stp>
        <stp>1</stp>
        <tr r="D746" s="1"/>
      </tp>
      <tp t="s">
        <v>基础化工</v>
        <stp/>
        <stp>EM_S_INFO_INDEX_EM</stp>
        <stp>2</stp>
        <stp>300180</stp>
        <stp>1</stp>
        <tr r="D3053" s="1"/>
      </tp>
      <tp t="s">
        <v>化石能源</v>
        <stp/>
        <stp>EM_S_INFO_INDEX_EM</stp>
        <stp>2</stp>
        <stp>600180</stp>
        <stp>1</stp>
        <tr r="D2347" s="1"/>
      </tp>
      <tp t="s">
        <v>交通运输</v>
        <stp/>
        <stp>EM_S_INFO_INDEX_EM</stp>
        <stp>2</stp>
        <stp>600190</stp>
        <stp>1</stp>
        <tr r="D1541" s="1"/>
      </tp>
      <tp t="s">
        <v>家电</v>
        <stp/>
        <stp>EM_S_INFO_INDEX_EM</stp>
        <stp>2</stp>
        <stp>000100</stp>
        <stp>1</stp>
        <tr r="D212" s="1"/>
      </tp>
      <tp t="s">
        <v>信息技术</v>
        <stp/>
        <stp>EM_S_INFO_INDEX_EM</stp>
        <stp>2</stp>
        <stp>300130</stp>
        <stp>1</stp>
        <tr r="D478" s="1"/>
      </tp>
      <tp t="s">
        <v>基础化工</v>
        <stp/>
        <stp>EM_S_INFO_INDEX_EM</stp>
        <stp>2</stp>
        <stp>600160</stp>
        <stp>1</stp>
        <tr r="D1738" s="1"/>
      </tp>
      <tp t="s">
        <v>电子设备</v>
        <stp/>
        <stp>EM_S_INFO_INDEX_EM</stp>
        <stp>2</stp>
        <stp>300120</stp>
        <stp>1</stp>
        <tr r="D2024" s="1"/>
      </tp>
      <tp t="s">
        <v>建筑</v>
        <stp/>
        <stp>EM_S_INFO_INDEX_EM</stp>
        <stp>2</stp>
        <stp>600170</stp>
        <stp>1</stp>
        <tr r="D1414" s="1"/>
      </tp>
      <tp t="s">
        <v>医药生物</v>
        <stp/>
        <stp>EM_S_INFO_INDEX_EM</stp>
        <stp>2</stp>
        <stp>300110</stp>
        <stp>1</stp>
        <tr r="D956" s="1"/>
      </tp>
      <tp t="s">
        <v>交运设备</v>
        <stp/>
        <stp>EM_S_INFO_INDEX_EM</stp>
        <stp>2</stp>
        <stp>300100</stp>
        <stp>1</stp>
        <tr r="D3326" s="1"/>
      </tp>
      <tp t="s">
        <v>国防与装备</v>
        <stp/>
        <stp>EM_S_INFO_INDEX_EM</stp>
        <stp>2</stp>
        <stp>600150</stp>
        <stp>1</stp>
        <tr r="D395" s="1"/>
      </tp>
      <tp t="s">
        <v>信息技术</v>
        <stp/>
        <stp>EM_S_INFO_INDEX_EM</stp>
        <stp>2</stp>
        <stp>300170</stp>
        <stp>1</stp>
        <tr r="D2376" s="1"/>
      </tp>
      <tp t="s">
        <v>金融</v>
        <stp/>
        <stp>EM_S_INFO_INDEX_EM</stp>
        <stp>2</stp>
        <stp>600120</stp>
        <stp>1</stp>
        <tr r="D3210" s="1"/>
      </tp>
      <tp t="s">
        <v>医药生物</v>
        <stp/>
        <stp>EM_S_INFO_INDEX_EM</stp>
        <stp>2</stp>
        <stp>000150</stp>
        <stp>1</stp>
        <tr r="D3399" s="1"/>
      </tp>
      <tp t="s">
        <v>建材</v>
        <stp/>
        <stp>EM_S_INFO_INDEX_EM</stp>
        <stp>2</stp>
        <stp>300160</stp>
        <stp>1</stp>
        <tr r="D1712" s="1"/>
      </tp>
      <tp t="s">
        <v>信息技术</v>
        <stp/>
        <stp>EM_S_INFO_INDEX_EM</stp>
        <stp>2</stp>
        <stp>600130</stp>
        <stp>1</stp>
        <tr r="D2075" s="1"/>
      </tp>
      <tp t="s">
        <v>信息技术</v>
        <stp/>
        <stp>EM_S_INFO_INDEX_EM</stp>
        <stp>2</stp>
        <stp>300150</stp>
        <stp>1</stp>
        <tr r="D2203" s="1"/>
      </tp>
      <tp t="s">
        <v>信息技术</v>
        <stp/>
        <stp>EM_S_INFO_INDEX_EM</stp>
        <stp>2</stp>
        <stp>600100</stp>
        <stp>1</stp>
        <tr r="D2791" s="1"/>
      </tp>
      <tp t="s">
        <v>公用事业</v>
        <stp/>
        <stp>EM_S_INFO_INDEX_EM</stp>
        <stp>2</stp>
        <stp>300140</stp>
        <stp>1</stp>
        <tr r="D1419" s="1"/>
      </tp>
      <tp t="s">
        <v>电气设备</v>
        <stp/>
        <stp>EM_S_INFO_INDEX_EM</stp>
        <stp>2</stp>
        <stp>600110</stp>
        <stp>1</stp>
        <tr r="D1434" s="1"/>
      </tp>
      <tp t="s">
        <v>机械设备</v>
        <stp/>
        <stp>EM_S_INFO_INDEX_EM</stp>
        <stp>2</stp>
        <stp>000680</stp>
        <stp>1</stp>
        <tr r="D1767" s="1"/>
      </tp>
      <tp t="s">
        <v>公用事业</v>
        <stp/>
        <stp>EM_S_INFO_INDEX_EM</stp>
        <stp>2</stp>
        <stp>000690</stp>
        <stp>1</stp>
        <tr r="D2957" s="1"/>
      </tp>
      <tp t="s">
        <v>电气设备</v>
        <stp/>
        <stp>EM_S_INFO_INDEX_EM</stp>
        <stp>2</stp>
        <stp>300690</stp>
        <stp>1</stp>
        <tr r="D735" s="1"/>
      </tp>
      <tp t="s">
        <v>交运设备</v>
        <stp/>
        <stp>EM_S_INFO_INDEX_EM</stp>
        <stp>2</stp>
        <stp>300680</stp>
        <stp>1</stp>
        <tr r="D910" s="1"/>
      </tp>
      <tp>
        <v>0</v>
        <stp/>
        <stp>EM_S_INFO_INDEX_EM</stp>
        <stp>2</stp>
        <stp>600680</stp>
        <stp>1</stp>
        <tr r="D2316" s="1"/>
      </tp>
      <tp t="s">
        <v>家电</v>
        <stp/>
        <stp>EM_S_INFO_INDEX_EM</stp>
        <stp>2</stp>
        <stp>600690</stp>
        <stp>1</stp>
        <tr r="D748" s="1"/>
      </tp>
      <tp t="s">
        <v>公用事业</v>
        <stp/>
        <stp>EM_S_INFO_INDEX_EM</stp>
        <stp>2</stp>
        <stp>000600</stp>
        <stp>1</stp>
        <tr r="D2456" s="1"/>
      </tp>
      <tp t="s">
        <v>医药生物</v>
        <stp/>
        <stp>EM_S_INFO_INDEX_EM</stp>
        <stp>2</stp>
        <stp>300630</stp>
        <stp>1</stp>
        <tr r="D1074" s="1"/>
      </tp>
      <tp t="s">
        <v>交运设备</v>
        <stp/>
        <stp>EM_S_INFO_INDEX_EM</stp>
        <stp>2</stp>
        <stp>600660</stp>
        <stp>1</stp>
        <tr r="D2159" s="1"/>
      </tp>
      <tp t="s">
        <v>休闲、生活及专业服务</v>
        <stp/>
        <stp>EM_S_INFO_INDEX_EM</stp>
        <stp>2</stp>
        <stp>000610</stp>
        <stp>1</stp>
        <tr r="D1211" s="1"/>
      </tp>
      <tp t="s">
        <v>信息技术</v>
        <stp/>
        <stp>EM_S_INFO_INDEX_EM</stp>
        <stp>2</stp>
        <stp>300620</stp>
        <stp>1</stp>
        <tr r="D2759" s="1"/>
      </tp>
      <tp>
        <v>0</v>
        <stp/>
        <stp>EM_S_INFO_INDEX_EM</stp>
        <stp>2</stp>
        <stp>600670</stp>
        <stp>1</stp>
        <tr r="D2314" s="1"/>
      </tp>
      <tp t="s">
        <v>房地产</v>
        <stp/>
        <stp>EM_S_INFO_INDEX_EM</stp>
        <stp>2</stp>
        <stp>000620</stp>
        <stp>1</stp>
        <tr r="D2102" s="1"/>
      </tp>
      <tp t="s">
        <v>基础化工</v>
        <stp/>
        <stp>EM_S_INFO_INDEX_EM</stp>
        <stp>2</stp>
        <stp>300610</stp>
        <stp>1</stp>
        <tr r="D2478" s="1"/>
      </tp>
      <tp t="s">
        <v>互联网</v>
        <stp/>
        <stp>EM_S_INFO_INDEX_EM</stp>
        <stp>2</stp>
        <stp>600640</stp>
        <stp>1</stp>
        <tr r="D66" s="1"/>
      </tp>
      <tp t="s">
        <v>有色金属</v>
        <stp/>
        <stp>EM_S_INFO_INDEX_EM</stp>
        <stp>2</stp>
        <stp>000630</stp>
        <stp>1</stp>
        <tr r="D1285" s="1"/>
      </tp>
      <tp t="s">
        <v>国防与装备</v>
        <stp/>
        <stp>EM_S_INFO_INDEX_EM</stp>
        <stp>2</stp>
        <stp>300600</stp>
        <stp>1</stp>
        <tr r="D3297" s="1"/>
      </tp>
      <tp t="s">
        <v>交通运输</v>
        <stp/>
        <stp>EM_S_INFO_INDEX_EM</stp>
        <stp>2</stp>
        <stp>600650</stp>
        <stp>1</stp>
        <tr r="D1878" s="1"/>
      </tp>
      <tp t="s">
        <v>电气设备</v>
        <stp/>
        <stp>EM_S_INFO_INDEX_EM</stp>
        <stp>2</stp>
        <stp>300670</stp>
        <stp>1</stp>
        <tr r="D3362" s="1"/>
      </tp>
      <tp t="s">
        <v>交通运输</v>
        <stp/>
        <stp>EM_S_INFO_INDEX_EM</stp>
        <stp>2</stp>
        <stp>600620</stp>
        <stp>1</stp>
        <tr r="D1374" s="1"/>
      </tp>
      <tp t="s">
        <v>医药生物</v>
        <stp/>
        <stp>EM_S_INFO_INDEX_EM</stp>
        <stp>2</stp>
        <stp>000650</stp>
        <stp>1</stp>
        <tr r="D1616" s="1"/>
      </tp>
      <tp t="s">
        <v>电气设备</v>
        <stp/>
        <stp>EM_S_INFO_INDEX_EM</stp>
        <stp>2</stp>
        <stp>300660</stp>
        <stp>1</stp>
        <tr r="D2965" s="1"/>
      </tp>
      <tp t="s">
        <v>纺织服装</v>
        <stp/>
        <stp>EM_S_INFO_INDEX_EM</stp>
        <stp>2</stp>
        <stp>600630</stp>
        <stp>1</stp>
        <tr r="D2003" s="1"/>
      </tp>
      <tp>
        <v>0</v>
        <stp/>
        <stp>EM_S_INFO_INDEX_EM</stp>
        <stp>2</stp>
        <stp>000660</stp>
        <stp>1</stp>
        <tr r="D3496" s="1"/>
      </tp>
      <tp t="s">
        <v>家电</v>
        <stp/>
        <stp>EM_S_INFO_INDEX_EM</stp>
        <stp>2</stp>
        <stp>300650</stp>
        <stp>1</stp>
        <tr r="D1066" s="1"/>
      </tp>
      <tp t="s">
        <v>食品饮料</v>
        <stp/>
        <stp>EM_S_INFO_INDEX_EM</stp>
        <stp>2</stp>
        <stp>600600</stp>
        <stp>1</stp>
        <tr r="D615" s="1"/>
      </tp>
      <tp t="s">
        <v>电子设备</v>
        <stp/>
        <stp>EM_S_INFO_INDEX_EM</stp>
        <stp>2</stp>
        <stp>000670</stp>
        <stp>1</stp>
        <tr r="D3502" s="1"/>
      </tp>
      <tp t="s">
        <v>轻工制造</v>
        <stp/>
        <stp>EM_S_INFO_INDEX_EM</stp>
        <stp>2</stp>
        <stp>300640</stp>
        <stp>1</stp>
        <tr r="D2861" s="1"/>
      </tp>
      <tp t="s">
        <v>建筑</v>
        <stp/>
        <stp>EM_S_INFO_INDEX_EM</stp>
        <stp>2</stp>
        <stp>600610</stp>
        <stp>1</stp>
        <tr r="D203" s="1"/>
      </tp>
      <tp t="s">
        <v>化石能源</v>
        <stp/>
        <stp>EM_S_INFO_INDEX_EM</stp>
        <stp>2</stp>
        <stp>000780</stp>
        <stp>1</stp>
        <tr r="D3536" s="1"/>
      </tp>
      <tp t="s">
        <v>医药生物</v>
        <stp/>
        <stp>EM_S_INFO_INDEX_EM</stp>
        <stp>2</stp>
        <stp>000790</stp>
        <stp>1</stp>
        <tr r="D1849" s="1"/>
      </tp>
      <tp t="s">
        <v>公用事业</v>
        <stp/>
        <stp>EM_S_INFO_INDEX_EM</stp>
        <stp>2</stp>
        <stp>600780</stp>
        <stp>1</stp>
        <tr r="D1853" s="1"/>
      </tp>
      <tp t="s">
        <v>商贸零售</v>
        <stp/>
        <stp>EM_S_INFO_INDEX_EM</stp>
        <stp>2</stp>
        <stp>600790</stp>
        <stp>1</stp>
        <tr r="D2647" s="1"/>
      </tp>
      <tp t="s">
        <v>交运设备</v>
        <stp/>
        <stp>EM_S_INFO_INDEX_EM</stp>
        <stp>2</stp>
        <stp>000700</stp>
        <stp>1</stp>
        <tr r="D854" s="1"/>
      </tp>
      <tp t="s">
        <v>信息技术</v>
        <stp/>
        <stp>EM_S_INFO_INDEX_EM</stp>
        <stp>2</stp>
        <stp>300730</stp>
        <stp>1</stp>
        <tr r="D3065" s="1"/>
      </tp>
      <tp t="s">
        <v>国防与装备</v>
        <stp/>
        <stp>EM_S_INFO_INDEX_EM</stp>
        <stp>2</stp>
        <stp>600760</stp>
        <stp>1</stp>
        <tr r="D1639" s="1"/>
      </tp>
      <tp t="s">
        <v>医药生物</v>
        <stp/>
        <stp>EM_S_INFO_INDEX_EM</stp>
        <stp>2</stp>
        <stp>000710</stp>
        <stp>1</stp>
        <tr r="D1684" s="1"/>
      </tp>
      <tp t="s">
        <v>机械设备</v>
        <stp/>
        <stp>EM_S_INFO_INDEX_EM</stp>
        <stp>2</stp>
        <stp>300720</stp>
        <stp>1</stp>
        <tr r="D3311" s="1"/>
      </tp>
      <tp t="s">
        <v>综合</v>
        <stp/>
        <stp>EM_S_INFO_INDEX_EM</stp>
        <stp>2</stp>
        <stp>600770</stp>
        <stp>1</stp>
        <tr r="D1467" s="1"/>
      </tp>
      <tp t="s">
        <v>电气设备</v>
        <stp/>
        <stp>EM_S_INFO_INDEX_EM</stp>
        <stp>2</stp>
        <stp>000720</stp>
        <stp>1</stp>
        <tr r="D432" s="1"/>
      </tp>
      <tp t="s">
        <v>信息技术</v>
        <stp/>
        <stp>EM_S_INFO_INDEX_EM</stp>
        <stp>2</stp>
        <stp>300710</stp>
        <stp>1</stp>
        <tr r="D1068" s="1"/>
      </tp>
      <tp t="s">
        <v>化石能源</v>
        <stp/>
        <stp>EM_S_INFO_INDEX_EM</stp>
        <stp>2</stp>
        <stp>600740</stp>
        <stp>1</stp>
        <tr r="D2680" s="1"/>
      </tp>
      <tp>
        <v>0</v>
        <stp/>
        <stp>EM_S_INFO_INDEX_EM</stp>
        <stp>2</stp>
        <stp>000730</stp>
        <stp>1</stp>
        <tr r="D2278" s="1"/>
      </tp>
      <tp t="s">
        <v>机械设备</v>
        <stp/>
        <stp>EM_S_INFO_INDEX_EM</stp>
        <stp>2</stp>
        <stp>300700</stp>
        <stp>1</stp>
        <tr r="D3042" s="1"/>
      </tp>
      <tp t="s">
        <v>医药生物</v>
        <stp/>
        <stp>EM_S_INFO_INDEX_EM</stp>
        <stp>2</stp>
        <stp>600750</stp>
        <stp>1</stp>
        <tr r="D3185" s="1"/>
      </tp>
      <tp t="s">
        <v>建材</v>
        <stp/>
        <stp>EM_S_INFO_INDEX_EM</stp>
        <stp>2</stp>
        <stp>600720</stp>
        <stp>1</stp>
        <tr r="D201" s="1"/>
      </tp>
      <tp t="s">
        <v>金融</v>
        <stp/>
        <stp>EM_S_INFO_INDEX_EM</stp>
        <stp>2</stp>
        <stp>000750</stp>
        <stp>1</stp>
        <tr r="D3526" s="1"/>
      </tp>
      <tp t="s">
        <v>文化传媒</v>
        <stp/>
        <stp>EM_S_INFO_INDEX_EM</stp>
        <stp>2</stp>
        <stp>600730</stp>
        <stp>1</stp>
        <tr r="D2242" s="1"/>
      </tp>
      <tp t="s">
        <v>交运设备</v>
        <stp/>
        <stp>EM_S_INFO_INDEX_EM</stp>
        <stp>2</stp>
        <stp>000760</stp>
        <stp>1</stp>
        <tr r="D3530" s="1"/>
      </tp>
      <tp t="s">
        <v>电气设备</v>
        <stp/>
        <stp>EM_S_INFO_INDEX_EM</stp>
        <stp>2</stp>
        <stp>300750</stp>
        <stp>1</stp>
        <tr r="D579" s="1"/>
      </tp>
      <tp>
        <v>0</v>
        <stp/>
        <stp>EM_S_INFO_INDEX_EM</stp>
        <stp>2</stp>
        <stp>600700</stp>
        <stp>1</stp>
        <tr r="D2317" s="1"/>
      </tp>
      <tp t="s">
        <v>基础化工</v>
        <stp/>
        <stp>EM_S_INFO_INDEX_EM</stp>
        <stp>2</stp>
        <stp>300740</stp>
        <stp>1</stp>
        <tr r="D3353" s="1"/>
      </tp>
      <tp t="s">
        <v>商贸零售</v>
        <stp/>
        <stp>EM_S_INFO_INDEX_EM</stp>
        <stp>2</stp>
        <stp>600710</stp>
        <stp>1</stp>
        <tr r="D584" s="1"/>
      </tp>
      <tp t="s">
        <v>电气设备</v>
        <stp/>
        <stp>EM_S_INFO_INDEX_EM</stp>
        <stp>2</stp>
        <stp>300490</stp>
        <stp>1</stp>
        <tr r="D2910" s="1"/>
      </tp>
      <tp t="s">
        <v>机械设备</v>
        <stp/>
        <stp>EM_S_INFO_INDEX_EM</stp>
        <stp>2</stp>
        <stp>300480</stp>
        <stp>1</stp>
        <tr r="D213" s="1"/>
      </tp>
      <tp t="s">
        <v>交运设备</v>
        <stp/>
        <stp>EM_S_INFO_INDEX_EM</stp>
        <stp>2</stp>
        <stp>600480</stp>
        <stp>1</stp>
        <tr r="D2408" s="1"/>
      </tp>
      <tp t="s">
        <v>有色金属</v>
        <stp/>
        <stp>EM_S_INFO_INDEX_EM</stp>
        <stp>2</stp>
        <stp>600490</stp>
        <stp>1</stp>
        <tr r="D2114" s="1"/>
      </tp>
      <tp t="s">
        <v>电气设备</v>
        <stp/>
        <stp>EM_S_INFO_INDEX_EM</stp>
        <stp>2</stp>
        <stp>000400</stp>
        <stp>1</stp>
        <tr r="D3414" s="1"/>
      </tp>
      <tp t="s">
        <v>机械设备</v>
        <stp/>
        <stp>EM_S_INFO_INDEX_EM</stp>
        <stp>2</stp>
        <stp>300430</stp>
        <stp>1</stp>
        <tr r="D2455" s="1"/>
      </tp>
      <tp t="s">
        <v>电子设备</v>
        <stp/>
        <stp>EM_S_INFO_INDEX_EM</stp>
        <stp>2</stp>
        <stp>600460</stp>
        <stp>1</stp>
        <tr r="D200" s="1"/>
      </tp>
      <tp t="s">
        <v>机械设备</v>
        <stp/>
        <stp>EM_S_INFO_INDEX_EM</stp>
        <stp>2</stp>
        <stp>000410</stp>
        <stp>1</stp>
        <tr r="D3419" s="1"/>
      </tp>
      <tp t="s">
        <v>机械设备</v>
        <stp/>
        <stp>EM_S_INFO_INDEX_EM</stp>
        <stp>2</stp>
        <stp>300420</stp>
        <stp>1</stp>
        <tr r="D1747" s="1"/>
      </tp>
      <tp t="s">
        <v>基础化工</v>
        <stp/>
        <stp>EM_S_INFO_INDEX_EM</stp>
        <stp>2</stp>
        <stp>600470</stp>
        <stp>1</stp>
        <tr r="D1540" s="1"/>
      </tp>
      <tp t="s">
        <v>基础化工</v>
        <stp/>
        <stp>EM_S_INFO_INDEX_EM</stp>
        <stp>2</stp>
        <stp>000420</stp>
        <stp>1</stp>
        <tr r="D1603" s="1"/>
      </tp>
      <tp t="s">
        <v>机械设备</v>
        <stp/>
        <stp>EM_S_INFO_INDEX_EM</stp>
        <stp>2</stp>
        <stp>300410</stp>
        <stp>1</stp>
        <tr r="D3396" s="1"/>
      </tp>
      <tp t="s">
        <v>休闲、生活及专业服务</v>
        <stp/>
        <stp>EM_S_INFO_INDEX_EM</stp>
        <stp>2</stp>
        <stp>000430</stp>
        <stp>1</stp>
        <tr r="D3426" s="1"/>
      </tp>
      <tp t="s">
        <v>机械设备</v>
        <stp/>
        <stp>EM_S_INFO_INDEX_EM</stp>
        <stp>2</stp>
        <stp>300400</stp>
        <stp>1</stp>
        <tr r="D2511" s="1"/>
      </tp>
      <tp t="s">
        <v>机械设备</v>
        <stp/>
        <stp>EM_S_INFO_INDEX_EM</stp>
        <stp>2</stp>
        <stp>300470</stp>
        <stp>1</stp>
        <tr r="D1244" s="1"/>
      </tp>
      <tp t="s">
        <v>医药生物</v>
        <stp/>
        <stp>EM_S_INFO_INDEX_EM</stp>
        <stp>2</stp>
        <stp>600420</stp>
        <stp>1</stp>
        <tr r="D2530" s="1"/>
      </tp>
      <tp t="s">
        <v>电子设备</v>
        <stp/>
        <stp>EM_S_INFO_INDEX_EM</stp>
        <stp>2</stp>
        <stp>300460</stp>
        <stp>1</stp>
        <tr r="D170" s="1"/>
      </tp>
      <tp t="s">
        <v>机械设备</v>
        <stp/>
        <stp>EM_S_INFO_INDEX_EM</stp>
        <stp>2</stp>
        <stp>300450</stp>
        <stp>1</stp>
        <tr r="D468" s="1"/>
      </tp>
      <tp t="s">
        <v>纺织服装</v>
        <stp/>
        <stp>EM_S_INFO_INDEX_EM</stp>
        <stp>2</stp>
        <stp>600400</stp>
        <stp>1</stp>
        <tr r="D2812" s="1"/>
      </tp>
      <tp t="s">
        <v>信息技术</v>
        <stp/>
        <stp>EM_S_INFO_INDEX_EM</stp>
        <stp>2</stp>
        <stp>300440</stp>
        <stp>1</stp>
        <tr r="D675" s="1"/>
      </tp>
      <tp t="s">
        <v>信息技术</v>
        <stp/>
        <stp>EM_S_INFO_INDEX_EM</stp>
        <stp>2</stp>
        <stp>600410</stp>
        <stp>1</stp>
        <tr r="D272" s="1"/>
      </tp>
      <tp t="s">
        <v>医药生物</v>
        <stp/>
        <stp>EM_S_INFO_INDEX_EM</stp>
        <stp>2</stp>
        <stp>000590</stp>
        <stp>1</stp>
        <tr r="D3472" s="1"/>
      </tp>
      <tp t="s">
        <v>信息技术</v>
        <stp/>
        <stp>EM_S_INFO_INDEX_EM</stp>
        <stp>2</stp>
        <stp>300590</stp>
        <stp>1</stp>
        <tr r="D609" s="1"/>
      </tp>
      <tp t="s">
        <v>交运设备</v>
        <stp/>
        <stp>EM_S_INFO_INDEX_EM</stp>
        <stp>2</stp>
        <stp>300580</stp>
        <stp>1</stp>
        <tr r="D1402" s="1"/>
      </tp>
      <tp t="s">
        <v>电气设备</v>
        <stp/>
        <stp>EM_S_INFO_INDEX_EM</stp>
        <stp>2</stp>
        <stp>600580</stp>
        <stp>1</stp>
        <tr r="D186" s="1"/>
      </tp>
      <tp t="s">
        <v>电气设备</v>
        <stp/>
        <stp>EM_S_INFO_INDEX_EM</stp>
        <stp>2</stp>
        <stp>600590</stp>
        <stp>1</stp>
        <tr r="D1835" s="1"/>
      </tp>
      <tp t="s">
        <v>基础化工</v>
        <stp/>
        <stp>EM_S_INFO_INDEX_EM</stp>
        <stp>2</stp>
        <stp>300530</stp>
        <stp>1</stp>
        <tr r="D1349" s="1"/>
      </tp>
      <tp t="s">
        <v>机械设备</v>
        <stp/>
        <stp>EM_S_INFO_INDEX_EM</stp>
        <stp>2</stp>
        <stp>600560</stp>
        <stp>1</stp>
        <tr r="D1883" s="1"/>
      </tp>
      <tp t="s">
        <v>基础化工</v>
        <stp/>
        <stp>EM_S_INFO_INDEX_EM</stp>
        <stp>2</stp>
        <stp>000510</stp>
        <stp>1</stp>
        <tr r="D1993" s="1"/>
      </tp>
      <tp t="s">
        <v>信息技术</v>
        <stp/>
        <stp>EM_S_INFO_INDEX_EM</stp>
        <stp>2</stp>
        <stp>300520</stp>
        <stp>1</stp>
        <tr r="D1078" s="1"/>
      </tp>
      <tp t="s">
        <v>信息技术</v>
        <stp/>
        <stp>EM_S_INFO_INDEX_EM</stp>
        <stp>2</stp>
        <stp>600570</stp>
        <stp>1</stp>
        <tr r="D583" s="1"/>
      </tp>
      <tp t="s">
        <v>交通运输</v>
        <stp/>
        <stp>EM_S_INFO_INDEX_EM</stp>
        <stp>2</stp>
        <stp>000520</stp>
        <stp>1</stp>
        <tr r="D641" s="1"/>
      </tp>
      <tp t="s">
        <v>电气设备</v>
        <stp/>
        <stp>EM_S_INFO_INDEX_EM</stp>
        <stp>2</stp>
        <stp>300510</stp>
        <stp>1</stp>
        <tr r="D3188" s="1"/>
      </tp>
      <tp t="s">
        <v>农林牧渔</v>
        <stp/>
        <stp>EM_S_INFO_INDEX_EM</stp>
        <stp>2</stp>
        <stp>600540</stp>
        <stp>1</stp>
        <tr r="D1667" s="1"/>
      </tp>
      <tp t="s">
        <v>机械设备</v>
        <stp/>
        <stp>EM_S_INFO_INDEX_EM</stp>
        <stp>2</stp>
        <stp>000530</stp>
        <stp>1</stp>
        <tr r="D3444" s="1"/>
      </tp>
      <tp t="s">
        <v>休闲、生活及专业服务</v>
        <stp/>
        <stp>EM_S_INFO_INDEX_EM</stp>
        <stp>2</stp>
        <stp>300500</stp>
        <stp>1</stp>
        <tr r="D3235" s="1"/>
      </tp>
      <tp t="s">
        <v>电气设备</v>
        <stp/>
        <stp>EM_S_INFO_INDEX_EM</stp>
        <stp>2</stp>
        <stp>600550</stp>
        <stp>1</stp>
        <tr r="D2983" s="1"/>
      </tp>
      <tp t="s">
        <v>房地产</v>
        <stp/>
        <stp>EM_S_INFO_INDEX_EM</stp>
        <stp>2</stp>
        <stp>000540</stp>
        <stp>1</stp>
        <tr r="D3448" s="1"/>
      </tp>
      <tp t="s">
        <v>信息技术</v>
        <stp/>
        <stp>EM_S_INFO_INDEX_EM</stp>
        <stp>2</stp>
        <stp>300570</stp>
        <stp>1</stp>
        <tr r="D674" s="1"/>
      </tp>
      <tp t="s">
        <v>机械设备</v>
        <stp/>
        <stp>EM_S_INFO_INDEX_EM</stp>
        <stp>2</stp>
        <stp>600520</stp>
        <stp>1</stp>
        <tr r="D3023" s="1"/>
      </tp>
      <tp t="s">
        <v>交运设备</v>
        <stp/>
        <stp>EM_S_INFO_INDEX_EM</stp>
        <stp>2</stp>
        <stp>000550</stp>
        <stp>1</stp>
        <tr r="D3452" s="1"/>
      </tp>
      <tp t="s">
        <v>信息技术</v>
        <stp/>
        <stp>EM_S_INFO_INDEX_EM</stp>
        <stp>2</stp>
        <stp>300560</stp>
        <stp>1</stp>
        <tr r="D3115" s="1"/>
      </tp>
      <tp t="s">
        <v>医药生物</v>
        <stp/>
        <stp>EM_S_INFO_INDEX_EM</stp>
        <stp>2</stp>
        <stp>600530</stp>
        <stp>1</stp>
        <tr r="D1765" s="1"/>
      </tp>
      <tp t="s">
        <v>房地产</v>
        <stp/>
        <stp>EM_S_INFO_INDEX_EM</stp>
        <stp>2</stp>
        <stp>000560</stp>
        <stp>1</stp>
        <tr r="D2688" s="1"/>
      </tp>
      <tp t="s">
        <v>信息技术</v>
        <stp/>
        <stp>EM_S_INFO_INDEX_EM</stp>
        <stp>2</stp>
        <stp>300550</stp>
        <stp>1</stp>
        <tr r="D3349" s="1"/>
      </tp>
      <tp t="s">
        <v>基础化工</v>
        <stp/>
        <stp>EM_S_INFO_INDEX_EM</stp>
        <stp>2</stp>
        <stp>600500</stp>
        <stp>1</stp>
        <tr r="D3109" s="1"/>
      </tp>
      <tp t="s">
        <v>机械设备</v>
        <stp/>
        <stp>EM_S_INFO_INDEX_EM</stp>
        <stp>2</stp>
        <stp>000570</stp>
        <stp>1</stp>
        <tr r="D3461" s="1"/>
      </tp>
      <tp t="s">
        <v>机械设备</v>
        <stp/>
        <stp>EM_S_INFO_INDEX_EM</stp>
        <stp>2</stp>
        <stp>300540</stp>
        <stp>1</stp>
        <tr r="D1366" s="1"/>
      </tp>
      <tp t="s">
        <v>房地产</v>
        <stp/>
        <stp>EM_S_INFO_INDEX_EM</stp>
        <stp>2</stp>
        <stp>600510</stp>
        <stp>1</stp>
        <tr r="D1618" s="1"/>
      </tp>
      <tp t="s">
        <v>机械设备</v>
        <stp/>
        <stp>EM_S_INFO_INDEX_EM</stp>
        <stp>2</stp>
        <stp>000880</stp>
        <stp>1</stp>
        <tr r="D1865" s="1"/>
      </tp>
      <tp t="s">
        <v>机械设备</v>
        <stp/>
        <stp>EM_S_INFO_INDEX_EM</stp>
        <stp>2</stp>
        <stp>000890</stp>
        <stp>1</stp>
        <tr r="D3564" s="1"/>
      </tp>
      <tp t="s">
        <v>文化传媒</v>
        <stp/>
        <stp>EM_S_INFO_INDEX_EM</stp>
        <stp>2</stp>
        <stp>600880</stp>
        <stp>1</stp>
        <tr r="D1852" s="1"/>
      </tp>
      <tp t="s">
        <v>房地产</v>
        <stp/>
        <stp>EM_S_INFO_INDEX_EM</stp>
        <stp>2</stp>
        <stp>600890</stp>
        <stp>1</stp>
        <tr r="D3134" s="1"/>
      </tp>
      <tp t="s">
        <v>交运设备</v>
        <stp/>
        <stp>EM_S_INFO_INDEX_EM</stp>
        <stp>2</stp>
        <stp>000800</stp>
        <stp>1</stp>
        <tr r="D3542" s="1"/>
      </tp>
      <tp t="s">
        <v>机械设备</v>
        <stp/>
        <stp>EM_S_INFO_INDEX_EM</stp>
        <stp>2</stp>
        <stp>600860</stp>
        <stp>1</stp>
        <tr r="D816" s="1"/>
      </tp>
      <tp t="s">
        <v>家电</v>
        <stp/>
        <stp>EM_S_INFO_INDEX_EM</stp>
        <stp>2</stp>
        <stp>000810</stp>
        <stp>1</stp>
        <tr r="D139" s="1"/>
      </tp>
      <tp t="s">
        <v>商贸零售</v>
        <stp/>
        <stp>EM_S_INFO_INDEX_EM</stp>
        <stp>2</stp>
        <stp>600870</stp>
        <stp>1</stp>
        <tr r="D2830" s="1"/>
      </tp>
      <tp t="s">
        <v>公用事业</v>
        <stp/>
        <stp>EM_S_INFO_INDEX_EM</stp>
        <stp>2</stp>
        <stp>000820</stp>
        <stp>1</stp>
        <tr r="D3549" s="1"/>
      </tp>
      <tp>
        <v>0</v>
        <stp/>
        <stp>EM_S_INFO_INDEX_EM</stp>
        <stp>2</stp>
        <stp>600840</stp>
        <stp>1</stp>
        <tr r="D2329" s="1"/>
      </tp>
      <tp t="s">
        <v>基础化工</v>
        <stp/>
        <stp>EM_S_INFO_INDEX_EM</stp>
        <stp>2</stp>
        <stp>000830</stp>
        <stp>1</stp>
        <tr r="D2036" s="1"/>
      </tp>
      <tp t="s">
        <v>信息技术</v>
        <stp/>
        <stp>EM_S_INFO_INDEX_EM</stp>
        <stp>2</stp>
        <stp>600850</stp>
        <stp>1</stp>
        <tr r="D441" s="1"/>
      </tp>
      <tp t="s">
        <v>建筑</v>
        <stp/>
        <stp>EM_S_INFO_INDEX_EM</stp>
        <stp>2</stp>
        <stp>600820</stp>
        <stp>1</stp>
        <tr r="D2521" s="1"/>
      </tp>
      <tp t="s">
        <v>纺织服装</v>
        <stp/>
        <stp>EM_S_INFO_INDEX_EM</stp>
        <stp>2</stp>
        <stp>000850</stp>
        <stp>1</stp>
        <tr r="D1049" s="1"/>
      </tp>
      <tp t="s">
        <v>商贸零售</v>
        <stp/>
        <stp>EM_S_INFO_INDEX_EM</stp>
        <stp>2</stp>
        <stp>600830</stp>
        <stp>1</stp>
        <tr r="D1448" s="1"/>
      </tp>
      <tp t="s">
        <v>食品饮料</v>
        <stp/>
        <stp>EM_S_INFO_INDEX_EM</stp>
        <stp>2</stp>
        <stp>000860</stp>
        <stp>1</stp>
        <tr r="D371" s="1"/>
      </tp>
      <tp t="s">
        <v>电子设备</v>
        <stp/>
        <stp>EM_S_INFO_INDEX_EM</stp>
        <stp>2</stp>
        <stp>600800</stp>
        <stp>1</stp>
        <tr r="D1729" s="1"/>
      </tp>
      <tp t="s">
        <v>基础化工</v>
        <stp/>
        <stp>EM_S_INFO_INDEX_EM</stp>
        <stp>2</stp>
        <stp>600810</stp>
        <stp>1</stp>
        <tr r="D3112" s="1"/>
      </tp>
      <tp t="s">
        <v>交运设备</v>
        <stp/>
        <stp>EM_S_INFO_INDEX_EM</stp>
        <stp>2</stp>
        <stp>000980</stp>
        <stp>1</stp>
        <tr r="D3593" s="1"/>
      </tp>
      <tp t="s">
        <v>基础化工</v>
        <stp/>
        <stp>EM_S_INFO_INDEX_EM</stp>
        <stp>2</stp>
        <stp>000990</stp>
        <stp>1</stp>
        <tr r="D1153" s="1"/>
      </tp>
      <tp t="s">
        <v>机械设备</v>
        <stp/>
        <stp>EM_S_INFO_INDEX_EM</stp>
        <stp>2</stp>
        <stp>600980</stp>
        <stp>1</stp>
        <tr r="D669" s="1"/>
      </tp>
      <tp t="s">
        <v>国防与装备</v>
        <stp/>
        <stp>EM_S_INFO_INDEX_EM</stp>
        <stp>2</stp>
        <stp>600990</stp>
        <stp>1</stp>
        <tr r="D934" s="1"/>
      </tp>
      <tp t="s">
        <v>交通运输</v>
        <stp/>
        <stp>EM_S_INFO_INDEX_EM</stp>
        <stp>2</stp>
        <stp>000900</stp>
        <stp>1</stp>
        <tr r="D1632" s="1"/>
      </tp>
      <tp t="s">
        <v>交运设备</v>
        <stp/>
        <stp>EM_S_INFO_INDEX_EM</stp>
        <stp>2</stp>
        <stp>600960</stp>
        <stp>1</stp>
        <tr r="D2720" s="1"/>
      </tp>
      <tp t="s">
        <v>轻工制造</v>
        <stp/>
        <stp>EM_S_INFO_INDEX_EM</stp>
        <stp>2</stp>
        <stp>000910</stp>
        <stp>1</stp>
        <tr r="D880" s="1"/>
      </tp>
      <tp t="s">
        <v>建筑</v>
        <stp/>
        <stp>EM_S_INFO_INDEX_EM</stp>
        <stp>2</stp>
        <stp>600970</stp>
        <stp>1</stp>
        <tr r="D1048" s="1"/>
      </tp>
      <tp t="s">
        <v>基础化工</v>
        <stp/>
        <stp>EM_S_INFO_INDEX_EM</stp>
        <stp>2</stp>
        <stp>000920</stp>
        <stp>1</stp>
        <tr r="D969" s="1"/>
      </tp>
      <tp t="s">
        <v>农林牧渔</v>
        <stp/>
        <stp>EM_S_INFO_INDEX_EM</stp>
        <stp>2</stp>
        <stp>000930</stp>
        <stp>1</stp>
        <tr r="D2797" s="1"/>
      </tp>
      <tp t="s">
        <v>医药生物</v>
        <stp/>
        <stp>EM_S_INFO_INDEX_EM</stp>
        <stp>2</stp>
        <stp>000950</stp>
        <stp>1</stp>
        <tr r="D1579" s="1"/>
      </tp>
      <tp t="s">
        <v>有色金属</v>
        <stp/>
        <stp>EM_S_INFO_INDEX_EM</stp>
        <stp>2</stp>
        <stp>000960</stp>
        <stp>1</stp>
        <tr r="D1651" s="1"/>
      </tp>
      <tp t="s">
        <v>公用事业</v>
        <stp/>
        <stp>EM_S_INFO_INDEX_EM</stp>
        <stp>2</stp>
        <stp>600900</stp>
        <stp>1</stp>
        <tr r="D1447" s="1"/>
      </tp>
      <tp t="s">
        <v>有色金属</v>
        <stp/>
        <stp>EM_S_INFO_INDEX_EM</stp>
        <stp>2</stp>
        <stp>000970</stp>
        <stp>1</stp>
        <tr r="D573" s="1"/>
      </tp>
      <tp t="s">
        <v>有色金属</v>
        <stp/>
        <stp>EM_S_INFO_INDEX_EM</stp>
        <stp>2</stp>
        <stp>603260</stp>
        <stp>1</stp>
        <tr r="D3246" s="1"/>
      </tp>
      <tp t="s">
        <v>公用事业</v>
        <stp/>
        <stp>EM_S_INFO_INDEX_EM</stp>
        <stp>2</stp>
        <stp>603200</stp>
        <stp>1</stp>
        <tr r="D3342" s="1"/>
      </tp>
      <tp t="s">
        <v>电子设备</v>
        <stp/>
        <stp>EM_S_INFO_INDEX_EM</stp>
        <stp>2</stp>
        <stp>603380</stp>
        <stp>1</stp>
        <tr r="D1980" s="1"/>
      </tp>
      <tp t="s">
        <v>基础化工</v>
        <stp/>
        <stp>EM_S_INFO_INDEX_EM</stp>
        <stp>2</stp>
        <stp>603360</stp>
        <stp>1</stp>
        <tr r="D51" s="1"/>
      </tp>
      <tp t="s">
        <v>电气设备</v>
        <stp/>
        <stp>EM_S_INFO_INDEX_EM</stp>
        <stp>2</stp>
        <stp>603320</stp>
        <stp>1</stp>
        <tr r="D2682" s="1"/>
      </tp>
      <tp t="s">
        <v>基础化工</v>
        <stp/>
        <stp>EM_S_INFO_INDEX_EM</stp>
        <stp>2</stp>
        <stp>603330</stp>
        <stp>1</stp>
        <tr r="D3151" s="1"/>
      </tp>
      <tp t="s">
        <v>机械设备</v>
        <stp/>
        <stp>EM_S_INFO_INDEX_EM</stp>
        <stp>2</stp>
        <stp>603300</stp>
        <stp>1</stp>
        <tr r="D370" s="1"/>
      </tp>
      <tp t="s">
        <v>公用事业</v>
        <stp/>
        <stp>EM_S_INFO_INDEX_EM</stp>
        <stp>2</stp>
        <stp>603080</stp>
        <stp>1</stp>
        <tr r="D3079" s="1"/>
      </tp>
      <tp t="s">
        <v>机械设备</v>
        <stp/>
        <stp>EM_S_INFO_INDEX_EM</stp>
        <stp>2</stp>
        <stp>603090</stp>
        <stp>1</stp>
        <tr r="D1077" s="1"/>
      </tp>
      <tp t="s">
        <v>休闲、生活及专业服务</v>
        <stp/>
        <stp>EM_S_INFO_INDEX_EM</stp>
        <stp>2</stp>
        <stp>603060</stp>
        <stp>1</stp>
        <tr r="D1134" s="1"/>
      </tp>
      <tp t="s">
        <v>交运设备</v>
        <stp/>
        <stp>EM_S_INFO_INDEX_EM</stp>
        <stp>2</stp>
        <stp>603040</stp>
        <stp>1</stp>
        <tr r="D891" s="1"/>
      </tp>
      <tp t="s">
        <v>电气设备</v>
        <stp/>
        <stp>EM_S_INFO_INDEX_EM</stp>
        <stp>2</stp>
        <stp>603050</stp>
        <stp>1</stp>
        <tr r="D2950" s="1"/>
      </tp>
      <tp t="s">
        <v>食品饮料</v>
        <stp/>
        <stp>EM_S_INFO_INDEX_EM</stp>
        <stp>2</stp>
        <stp>603020</stp>
        <stp>1</stp>
        <tr r="D1717" s="1"/>
      </tp>
      <tp t="s">
        <v>建筑</v>
        <stp/>
        <stp>EM_S_INFO_INDEX_EM</stp>
        <stp>2</stp>
        <stp>603030</stp>
        <stp>1</stp>
        <tr r="D1545" s="1"/>
      </tp>
      <tp t="s">
        <v>互联网</v>
        <stp/>
        <stp>EM_S_INFO_INDEX_EM</stp>
        <stp>2</stp>
        <stp>603000</stp>
        <stp>1</stp>
        <tr r="D61" s="1"/>
      </tp>
      <tp t="s">
        <v>基础化工</v>
        <stp/>
        <stp>EM_S_INFO_INDEX_EM</stp>
        <stp>2</stp>
        <stp>603010</stp>
        <stp>1</stp>
        <tr r="D3049" s="1"/>
      </tp>
      <tp t="s">
        <v>轻工制造</v>
        <stp/>
        <stp>EM_S_INFO_INDEX_EM</stp>
        <stp>2</stp>
        <stp>603180</stp>
        <stp>1</stp>
        <tr r="D1458" s="1"/>
      </tp>
      <tp t="s">
        <v>电子设备</v>
        <stp/>
        <stp>EM_S_INFO_INDEX_EM</stp>
        <stp>2</stp>
        <stp>603160</stp>
        <stp>1</stp>
        <tr r="D70" s="1"/>
      </tp>
      <tp t="s">
        <v>电气设备</v>
        <stp/>
        <stp>EM_S_INFO_INDEX_EM</stp>
        <stp>2</stp>
        <stp>603100</stp>
        <stp>1</stp>
        <tr r="D1357" s="1"/>
      </tp>
      <tp t="s">
        <v>基础化工</v>
        <stp/>
        <stp>EM_S_INFO_INDEX_EM</stp>
        <stp>2</stp>
        <stp>603110</stp>
        <stp>1</stp>
        <tr r="D453" s="1"/>
      </tp>
      <tp t="s">
        <v>交运设备</v>
        <stp/>
        <stp>EM_S_INFO_INDEX_EM</stp>
        <stp>2</stp>
        <stp>603680</stp>
        <stp>1</stp>
        <tr r="D3264" s="1"/>
      </tp>
      <tp t="s">
        <v>机械设备</v>
        <stp/>
        <stp>EM_S_INFO_INDEX_EM</stp>
        <stp>2</stp>
        <stp>603690</stp>
        <stp>1</stp>
        <tr r="D133" s="1"/>
      </tp>
      <tp t="s">
        <v>信息技术</v>
        <stp/>
        <stp>EM_S_INFO_INDEX_EM</stp>
        <stp>2</stp>
        <stp>603660</stp>
        <stp>1</stp>
        <tr r="D3259" s="1"/>
      </tp>
      <tp t="s">
        <v>基础化工</v>
        <stp/>
        <stp>EM_S_INFO_INDEX_EM</stp>
        <stp>2</stp>
        <stp>603650</stp>
        <stp>1</stp>
        <tr r="D2848" s="1"/>
      </tp>
      <tp t="s">
        <v>基础化工</v>
        <stp/>
        <stp>EM_S_INFO_INDEX_EM</stp>
        <stp>2</stp>
        <stp>603630</stp>
        <stp>1</stp>
        <tr r="D2235" s="1"/>
      </tp>
      <tp t="s">
        <v>轻工制造</v>
        <stp/>
        <stp>EM_S_INFO_INDEX_EM</stp>
        <stp>2</stp>
        <stp>603600</stp>
        <stp>1</stp>
        <tr r="D311" s="1"/>
      </tp>
      <tp t="s">
        <v>交运设备</v>
        <stp/>
        <stp>EM_S_INFO_INDEX_EM</stp>
        <stp>2</stp>
        <stp>603730</stp>
        <stp>1</stp>
        <tr r="D677" s="1"/>
      </tp>
      <tp t="s">
        <v>基础化工</v>
        <stp/>
        <stp>EM_S_INFO_INDEX_EM</stp>
        <stp>2</stp>
        <stp>603580</stp>
        <stp>1</stp>
        <tr r="D3094" s="1"/>
      </tp>
      <tp t="s">
        <v>医药生物</v>
        <stp/>
        <stp>EM_S_INFO_INDEX_EM</stp>
        <stp>2</stp>
        <stp>603520</stp>
        <stp>1</stp>
        <tr r="D419" s="1"/>
      </tp>
      <tp t="s">
        <v>交运设备</v>
        <stp/>
        <stp>EM_S_INFO_INDEX_EM</stp>
        <stp>2</stp>
        <stp>603500</stp>
        <stp>1</stp>
        <tr r="D1345" s="1"/>
      </tp>
      <tp t="s">
        <v>医药生物</v>
        <stp/>
        <stp>EM_S_INFO_INDEX_EM</stp>
        <stp>2</stp>
        <stp>603880</stp>
        <stp>1</stp>
        <tr r="D2774" s="1"/>
      </tp>
      <tp t="s">
        <v>电子设备</v>
        <stp/>
        <stp>EM_S_INFO_INDEX_EM</stp>
        <stp>2</stp>
        <stp>603890</stp>
        <stp>1</stp>
        <tr r="D2755" s="1"/>
      </tp>
      <tp t="s">
        <v>休闲、生活及专业服务</v>
        <stp/>
        <stp>EM_S_INFO_INDEX_EM</stp>
        <stp>2</stp>
        <stp>603860</stp>
        <stp>1</stp>
        <tr r="D1627" s="1"/>
      </tp>
      <tp t="s">
        <v>化石能源</v>
        <stp/>
        <stp>EM_S_INFO_INDEX_EM</stp>
        <stp>2</stp>
        <stp>603800</stp>
        <stp>1</stp>
        <tr r="D1378" s="1"/>
      </tp>
      <tp t="s">
        <v>基础化工</v>
        <stp/>
        <stp>EM_S_INFO_INDEX_EM</stp>
        <stp>2</stp>
        <stp>603980</stp>
        <stp>1</stp>
        <tr r="D3238" s="1"/>
      </tp>
      <tp t="s">
        <v>信息技术</v>
        <stp/>
        <stp>EM_S_INFO_INDEX_EM</stp>
        <stp>2</stp>
        <stp>603990</stp>
        <stp>1</stp>
        <tr r="D2011" s="1"/>
      </tp>
      <tp t="s">
        <v>机械设备</v>
        <stp/>
        <stp>EM_S_INFO_INDEX_EM</stp>
        <stp>2</stp>
        <stp>603960</stp>
        <stp>1</stp>
        <tr r="D1420" s="1"/>
      </tp>
      <tp t="s">
        <v>基础化工</v>
        <stp/>
        <stp>EM_S_INFO_INDEX_EM</stp>
        <stp>2</stp>
        <stp>603970</stp>
        <stp>1</stp>
        <tr r="D3016" s="1"/>
      </tp>
      <tp t="s">
        <v>电子设备</v>
        <stp/>
        <stp>EM_S_INFO_INDEX_EM</stp>
        <stp>2</stp>
        <stp>603920</stp>
        <stp>1</stp>
        <tr r="D354" s="1"/>
      </tp>
      <tp t="s">
        <v>轻工制造</v>
        <stp/>
        <stp>EM_S_INFO_INDEX_EM</stp>
        <stp>2</stp>
        <stp>603900</stp>
        <stp>1</stp>
        <tr r="D3083" s="1"/>
      </tp>
      <tp t="s">
        <v>互联网</v>
        <stp/>
        <stp>EM_S_INFO_INDEX_EM</stp>
        <stp>2</stp>
        <stp>002280</stp>
        <stp>1</stp>
        <tr r="D2214" s="1"/>
      </tp>
      <tp t="s">
        <v>家电</v>
        <stp/>
        <stp>EM_S_INFO_INDEX_EM</stp>
        <stp>2</stp>
        <stp>002290</stp>
        <stp>1</stp>
        <tr r="D3357" s="1"/>
      </tp>
      <tp t="s">
        <v>建筑</v>
        <stp/>
        <stp>EM_S_INFO_INDEX_EM</stp>
        <stp>2</stp>
        <stp>002200</stp>
        <stp>1</stp>
        <tr r="D1257" s="1"/>
      </tp>
      <tp t="s">
        <v>交通运输</v>
        <stp/>
        <stp>EM_S_INFO_INDEX_EM</stp>
        <stp>2</stp>
        <stp>002210</stp>
        <stp>1</stp>
        <tr r="D3397" s="1"/>
      </tp>
      <tp t="s">
        <v>农林牧渔</v>
        <stp/>
        <stp>EM_S_INFO_INDEX_EM</stp>
        <stp>2</stp>
        <stp>002220</stp>
        <stp>1</stp>
        <tr r="D3336" s="1"/>
      </tp>
      <tp t="s">
        <v>信息技术</v>
        <stp/>
        <stp>EM_S_INFO_INDEX_EM</stp>
        <stp>2</stp>
        <stp>002230</stp>
        <stp>1</stp>
        <tr r="D734" s="1"/>
      </tp>
      <tp t="s">
        <v>轻工制造</v>
        <stp/>
        <stp>EM_S_INFO_INDEX_EM</stp>
        <stp>2</stp>
        <stp>002240</stp>
        <stp>1</stp>
        <tr r="D1935" s="1"/>
      </tp>
      <tp t="s">
        <v>基础化工</v>
        <stp/>
        <stp>EM_S_INFO_INDEX_EM</stp>
        <stp>2</stp>
        <stp>002250</stp>
        <stp>1</stp>
        <tr r="D271" s="1"/>
      </tp>
      <tp t="s">
        <v>家电</v>
        <stp/>
        <stp>EM_S_INFO_INDEX_EM</stp>
        <stp>2</stp>
        <stp>002260</stp>
        <stp>1</stp>
        <tr r="D2467" s="1"/>
      </tp>
      <tp t="s">
        <v>电气设备</v>
        <stp/>
        <stp>EM_S_INFO_INDEX_EM</stp>
        <stp>2</stp>
        <stp>002270</stp>
        <stp>1</stp>
        <tr r="D2017" s="1"/>
      </tp>
      <tp t="s">
        <v>信息技术</v>
        <stp/>
        <stp>EM_S_INFO_INDEX_EM</stp>
        <stp>2</stp>
        <stp>002380</stp>
        <stp>1</stp>
        <tr r="D853" s="1"/>
      </tp>
      <tp t="s">
        <v>医药生物</v>
        <stp/>
        <stp>EM_S_INFO_INDEX_EM</stp>
        <stp>2</stp>
        <stp>002390</stp>
        <stp>1</stp>
        <tr r="D1014" s="1"/>
      </tp>
      <tp t="s">
        <v>电气设备</v>
        <stp/>
        <stp>EM_S_INFO_INDEX_EM</stp>
        <stp>2</stp>
        <stp>002300</stp>
        <stp>1</stp>
        <tr r="D1241" s="1"/>
      </tp>
      <tp t="s">
        <v>建筑</v>
        <stp/>
        <stp>EM_S_INFO_INDEX_EM</stp>
        <stp>2</stp>
        <stp>002310</stp>
        <stp>1</stp>
        <tr r="D3198" s="1"/>
      </tp>
      <tp t="s">
        <v>交通运输</v>
        <stp/>
        <stp>EM_S_INFO_INDEX_EM</stp>
        <stp>2</stp>
        <stp>002320</stp>
        <stp>1</stp>
        <tr r="D2750" s="1"/>
      </tp>
      <tp t="s">
        <v>食品饮料</v>
        <stp/>
        <stp>EM_S_INFO_INDEX_EM</stp>
        <stp>2</stp>
        <stp>002330</stp>
        <stp>1</stp>
        <tr r="D253" s="1"/>
      </tp>
      <tp t="s">
        <v>有色金属</v>
        <stp/>
        <stp>EM_S_INFO_INDEX_EM</stp>
        <stp>2</stp>
        <stp>002340</stp>
        <stp>1</stp>
        <tr r="D1005" s="1"/>
      </tp>
      <tp t="s">
        <v>电气设备</v>
        <stp/>
        <stp>EM_S_INFO_INDEX_EM</stp>
        <stp>2</stp>
        <stp>002350</stp>
        <stp>1</stp>
        <tr r="D2684" s="1"/>
      </tp>
      <tp t="s">
        <v>基础化工</v>
        <stp/>
        <stp>EM_S_INFO_INDEX_EM</stp>
        <stp>2</stp>
        <stp>002360</stp>
        <stp>1</stp>
        <tr r="D2452" s="1"/>
      </tp>
      <tp t="s">
        <v>医药生物</v>
        <stp/>
        <stp>EM_S_INFO_INDEX_EM</stp>
        <stp>2</stp>
        <stp>002370</stp>
        <stp>1</stp>
        <tr r="D3395" s="1"/>
      </tp>
      <tp t="s">
        <v>基础化工</v>
        <stp/>
        <stp>EM_S_INFO_INDEX_EM</stp>
        <stp>2</stp>
        <stp>002080</stp>
        <stp>1</stp>
        <tr r="D599" s="1"/>
      </tp>
      <tp t="s">
        <v>电气设备</v>
        <stp/>
        <stp>EM_S_INFO_INDEX_EM</stp>
        <stp>2</stp>
        <stp>002090</stp>
        <stp>1</stp>
        <tr r="D3281" s="1"/>
      </tp>
      <tp t="s">
        <v>交通运输</v>
        <stp/>
        <stp>EM_S_INFO_INDEX_EM</stp>
        <stp>2</stp>
        <stp>002010</stp>
        <stp>1</stp>
        <tr r="D1950" s="1"/>
      </tp>
      <tp t="s">
        <v>医药生物</v>
        <stp/>
        <stp>EM_S_INFO_INDEX_EM</stp>
        <stp>2</stp>
        <stp>002020</stp>
        <stp>1</stp>
        <tr r="D1187" s="1"/>
      </tp>
      <tp t="s">
        <v>医药生物</v>
        <stp/>
        <stp>EM_S_INFO_INDEX_EM</stp>
        <stp>2</stp>
        <stp>002030</stp>
        <stp>1</stp>
        <tr r="D3610" s="1"/>
      </tp>
      <tp t="s">
        <v>交通运输</v>
        <stp/>
        <stp>EM_S_INFO_INDEX_EM</stp>
        <stp>2</stp>
        <stp>002040</stp>
        <stp>1</stp>
        <tr r="D2768" s="1"/>
      </tp>
      <tp t="s">
        <v>家电</v>
        <stp/>
        <stp>EM_S_INFO_INDEX_EM</stp>
        <stp>2</stp>
        <stp>002050</stp>
        <stp>1</stp>
        <tr r="D791" s="1"/>
      </tp>
      <tp t="s">
        <v>建筑</v>
        <stp/>
        <stp>EM_S_INFO_INDEX_EM</stp>
        <stp>2</stp>
        <stp>002060</stp>
        <stp>1</stp>
        <tr r="D1677" s="1"/>
      </tp>
      <tp>
        <v>0</v>
        <stp/>
        <stp>EM_S_INFO_INDEX_EM</stp>
        <stp>2</stp>
        <stp>002070</stp>
        <stp>1</stp>
        <tr r="D3622" s="1"/>
      </tp>
      <tp t="s">
        <v>电子设备</v>
        <stp/>
        <stp>EM_S_INFO_INDEX_EM</stp>
        <stp>2</stp>
        <stp>002180</stp>
        <stp>1</stp>
        <tr r="D700" s="1"/>
      </tp>
      <tp t="s">
        <v>电气设备</v>
        <stp/>
        <stp>EM_S_INFO_INDEX_EM</stp>
        <stp>2</stp>
        <stp>002190</stp>
        <stp>1</stp>
        <tr r="D842" s="1"/>
      </tp>
      <tp t="s">
        <v>农林牧渔</v>
        <stp/>
        <stp>EM_S_INFO_INDEX_EM</stp>
        <stp>2</stp>
        <stp>002100</stp>
        <stp>1</stp>
        <tr r="D54" s="1"/>
      </tp>
      <tp t="s">
        <v>钢铁</v>
        <stp/>
        <stp>EM_S_INFO_INDEX_EM</stp>
        <stp>2</stp>
        <stp>002110</stp>
        <stp>1</stp>
        <tr r="D3202" s="1"/>
      </tp>
      <tp t="s">
        <v>交通运输</v>
        <stp/>
        <stp>EM_S_INFO_INDEX_EM</stp>
        <stp>2</stp>
        <stp>002120</stp>
        <stp>1</stp>
        <tr r="D1786" s="1"/>
      </tp>
      <tp t="s">
        <v>有色金属</v>
        <stp/>
        <stp>EM_S_INFO_INDEX_EM</stp>
        <stp>2</stp>
        <stp>002130</stp>
        <stp>1</stp>
        <tr r="D517" s="1"/>
      </tp>
      <tp t="s">
        <v>建筑</v>
        <stp/>
        <stp>EM_S_INFO_INDEX_EM</stp>
        <stp>2</stp>
        <stp>002140</stp>
        <stp>1</stp>
        <tr r="D1194" s="1"/>
      </tp>
      <tp t="s">
        <v>机械设备</v>
        <stp/>
        <stp>EM_S_INFO_INDEX_EM</stp>
        <stp>2</stp>
        <stp>002150</stp>
        <stp>1</stp>
        <tr r="D1664" s="1"/>
      </tp>
      <tp t="s">
        <v>有色金属</v>
        <stp/>
        <stp>EM_S_INFO_INDEX_EM</stp>
        <stp>2</stp>
        <stp>002160</stp>
        <stp>1</stp>
        <tr r="D3009" s="1"/>
      </tp>
      <tp t="s">
        <v>基础化工</v>
        <stp/>
        <stp>EM_S_INFO_INDEX_EM</stp>
        <stp>2</stp>
        <stp>002170</stp>
        <stp>1</stp>
        <tr r="D1698" s="1"/>
      </tp>
      <tp>
        <v>0</v>
        <stp/>
        <stp>EM_S_INFO_INDEX_EM</stp>
        <stp>2</stp>
        <stp>002680</stp>
        <stp>1</stp>
        <tr r="D3406" s="1"/>
      </tp>
      <tp t="s">
        <v>机械设备</v>
        <stp/>
        <stp>EM_S_INFO_INDEX_EM</stp>
        <stp>2</stp>
        <stp>002690</stp>
        <stp>1</stp>
        <tr r="D233" s="1"/>
      </tp>
      <tp t="s">
        <v>电子设备</v>
        <stp/>
        <stp>EM_S_INFO_INDEX_EM</stp>
        <stp>2</stp>
        <stp>002600</stp>
        <stp>1</stp>
        <tr r="D23" s="1"/>
      </tp>
      <tp t="s">
        <v>电气设备</v>
        <stp/>
        <stp>EM_S_INFO_INDEX_EM</stp>
        <stp>2</stp>
        <stp>002610</stp>
        <stp>1</stp>
        <tr r="D2135" s="1"/>
      </tp>
      <tp t="s">
        <v>建筑</v>
        <stp/>
        <stp>EM_S_INFO_INDEX_EM</stp>
        <stp>2</stp>
        <stp>002620</stp>
        <stp>1</stp>
        <tr r="D2023" s="1"/>
      </tp>
      <tp t="s">
        <v>电气设备</v>
        <stp/>
        <stp>EM_S_INFO_INDEX_EM</stp>
        <stp>2</stp>
        <stp>002630</stp>
        <stp>1</stp>
        <tr r="D2954" s="1"/>
      </tp>
      <tp t="s">
        <v>互联网</v>
        <stp/>
        <stp>EM_S_INFO_INDEX_EM</stp>
        <stp>2</stp>
        <stp>002640</stp>
        <stp>1</stp>
        <tr r="D3219" s="1"/>
      </tp>
      <tp t="s">
        <v>食品饮料</v>
        <stp/>
        <stp>EM_S_INFO_INDEX_EM</stp>
        <stp>2</stp>
        <stp>002650</stp>
        <stp>1</stp>
        <tr r="D2392" s="1"/>
      </tp>
      <tp t="s">
        <v>电子设备</v>
        <stp/>
        <stp>EM_S_INFO_INDEX_EM</stp>
        <stp>2</stp>
        <stp>002660</stp>
        <stp>1</stp>
        <tr r="D568" s="1"/>
      </tp>
      <tp t="s">
        <v>金融</v>
        <stp/>
        <stp>EM_S_INFO_INDEX_EM</stp>
        <stp>2</stp>
        <stp>002670</stp>
        <stp>1</stp>
        <tr r="D1233" s="1"/>
      </tp>
      <tp t="s">
        <v>纺织服装</v>
        <stp/>
        <stp>EM_S_INFO_INDEX_EM</stp>
        <stp>2</stp>
        <stp>002780</stp>
        <stp>1</stp>
        <tr r="D661" s="1"/>
      </tp>
      <tp t="s">
        <v>轻工制造</v>
        <stp/>
        <stp>EM_S_INFO_INDEX_EM</stp>
        <stp>2</stp>
        <stp>002790</stp>
        <stp>1</stp>
        <tr r="D3304" s="1"/>
      </tp>
      <tp t="s">
        <v>公用事业</v>
        <stp/>
        <stp>EM_S_INFO_INDEX_EM</stp>
        <stp>2</stp>
        <stp>002700</stp>
        <stp>1</stp>
        <tr r="D3204" s="1"/>
      </tp>
      <tp>
        <v>0</v>
        <stp/>
        <stp>EM_S_INFO_INDEX_EM</stp>
        <stp>2</stp>
        <stp>002710</stp>
        <stp>1</stp>
        <tr r="D7" s="1"/>
      </tp>
      <tp>
        <v>0</v>
        <stp/>
        <stp>EM_S_INFO_INDEX_EM</stp>
        <stp>2</stp>
        <stp>002720</stp>
        <stp>1</stp>
        <tr r="D8" s="1"/>
      </tp>
      <tp t="s">
        <v>电气设备</v>
        <stp/>
        <stp>EM_S_INFO_INDEX_EM</stp>
        <stp>2</stp>
        <stp>002730</stp>
        <stp>1</stp>
        <tr r="D1216" s="1"/>
      </tp>
      <tp t="s">
        <v>轻工制造</v>
        <stp/>
        <stp>EM_S_INFO_INDEX_EM</stp>
        <stp>2</stp>
        <stp>002740</stp>
        <stp>1</stp>
        <tr r="D1265" s="1"/>
      </tp>
      <tp t="s">
        <v>医药生物</v>
        <stp/>
        <stp>EM_S_INFO_INDEX_EM</stp>
        <stp>2</stp>
        <stp>002750</stp>
        <stp>1</stp>
        <tr r="D121" s="1"/>
      </tp>
      <tp t="s">
        <v>机械设备</v>
        <stp/>
        <stp>EM_S_INFO_INDEX_EM</stp>
        <stp>2</stp>
        <stp>002760</stp>
        <stp>1</stp>
        <tr r="D1204" s="1"/>
      </tp>
      <tp t="s">
        <v>食品饮料</v>
        <stp/>
        <stp>EM_S_INFO_INDEX_EM</stp>
        <stp>2</stp>
        <stp>002770</stp>
        <stp>1</stp>
        <tr r="D2889" s="1"/>
      </tp>
      <tp t="s">
        <v>交运设备</v>
        <stp/>
        <stp>EM_S_INFO_INDEX_EM</stp>
        <stp>2</stp>
        <stp>002480</stp>
        <stp>1</stp>
        <tr r="D3063" s="1"/>
      </tp>
      <tp t="s">
        <v>机械设备</v>
        <stp/>
        <stp>EM_S_INFO_INDEX_EM</stp>
        <stp>2</stp>
        <stp>002490</stp>
        <stp>1</stp>
        <tr r="D2775" s="1"/>
      </tp>
      <tp t="s">
        <v>文化传媒</v>
        <stp/>
        <stp>EM_S_INFO_INDEX_EM</stp>
        <stp>2</stp>
        <stp>002400</stp>
        <stp>1</stp>
        <tr r="D1851" s="1"/>
      </tp>
      <tp t="s">
        <v>信息技术</v>
        <stp/>
        <stp>EM_S_INFO_INDEX_EM</stp>
        <stp>2</stp>
        <stp>002410</stp>
        <stp>1</stp>
        <tr r="D427" s="1"/>
      </tp>
      <tp t="s">
        <v>家电</v>
        <stp/>
        <stp>EM_S_INFO_INDEX_EM</stp>
        <stp>2</stp>
        <stp>002420</stp>
        <stp>1</stp>
        <tr r="D1302" s="1"/>
      </tp>
      <tp t="s">
        <v>机械设备</v>
        <stp/>
        <stp>EM_S_INFO_INDEX_EM</stp>
        <stp>2</stp>
        <stp>002430</stp>
        <stp>1</stp>
        <tr r="D751" s="1"/>
      </tp>
      <tp t="s">
        <v>基础化工</v>
        <stp/>
        <stp>EM_S_INFO_INDEX_EM</stp>
        <stp>2</stp>
        <stp>002440</stp>
        <stp>1</stp>
        <tr r="D1133" s="1"/>
      </tp>
      <tp t="s">
        <v>基础化工</v>
        <stp/>
        <stp>EM_S_INFO_INDEX_EM</stp>
        <stp>2</stp>
        <stp>002450</stp>
        <stp>1</stp>
        <tr r="D3380" s="1"/>
      </tp>
      <tp t="s">
        <v>有色金属</v>
        <stp/>
        <stp>EM_S_INFO_INDEX_EM</stp>
        <stp>2</stp>
        <stp>002460</stp>
        <stp>1</stp>
        <tr r="D490" s="1"/>
      </tp>
      <tp t="s">
        <v>基础化工</v>
        <stp/>
        <stp>EM_S_INFO_INDEX_EM</stp>
        <stp>2</stp>
        <stp>002470</stp>
        <stp>1</stp>
        <tr r="D3391" s="1"/>
      </tp>
      <tp t="s">
        <v>电气设备</v>
        <stp/>
        <stp>EM_S_INFO_INDEX_EM</stp>
        <stp>2</stp>
        <stp>002580</stp>
        <stp>1</stp>
        <tr r="D1977" s="1"/>
      </tp>
      <tp t="s">
        <v>交运设备</v>
        <stp/>
        <stp>EM_S_INFO_INDEX_EM</stp>
        <stp>2</stp>
        <stp>002590</stp>
        <stp>1</stp>
        <tr r="D1706" s="1"/>
      </tp>
      <tp t="s">
        <v>金融</v>
        <stp/>
        <stp>EM_S_INFO_INDEX_EM</stp>
        <stp>2</stp>
        <stp>002500</stp>
        <stp>1</stp>
        <tr r="D731" s="1"/>
      </tp>
      <tp t="s">
        <v>交运设备</v>
        <stp/>
        <stp>EM_S_INFO_INDEX_EM</stp>
        <stp>2</stp>
        <stp>002510</stp>
        <stp>1</stp>
        <tr r="D994" s="1"/>
      </tp>
      <tp t="s">
        <v>机械设备</v>
        <stp/>
        <stp>EM_S_INFO_INDEX_EM</stp>
        <stp>2</stp>
        <stp>002520</stp>
        <stp>1</stp>
        <tr r="D2660" s="1"/>
      </tp>
      <tp t="s">
        <v>互联网</v>
        <stp/>
        <stp>EM_S_INFO_INDEX_EM</stp>
        <stp>2</stp>
        <stp>002530</stp>
        <stp>1</stp>
        <tr r="D250" s="1"/>
      </tp>
      <tp t="s">
        <v>有色金属</v>
        <stp/>
        <stp>EM_S_INFO_INDEX_EM</stp>
        <stp>2</stp>
        <stp>002540</stp>
        <stp>1</stp>
        <tr r="D2657" s="1"/>
      </tp>
      <tp t="s">
        <v>医药生物</v>
        <stp/>
        <stp>EM_S_INFO_INDEX_EM</stp>
        <stp>2</stp>
        <stp>002550</stp>
        <stp>1</stp>
        <tr r="D1338" s="1"/>
      </tp>
      <tp t="s">
        <v>电气设备</v>
        <stp/>
        <stp>EM_S_INFO_INDEX_EM</stp>
        <stp>2</stp>
        <stp>002560</stp>
        <stp>1</stp>
        <tr r="D1921" s="1"/>
      </tp>
      <tp t="s">
        <v>食品饮料</v>
        <stp/>
        <stp>EM_S_INFO_INDEX_EM</stp>
        <stp>2</stp>
        <stp>002570</stp>
        <stp>1</stp>
        <tr r="D1926" s="1"/>
      </tp>
      <tp t="s">
        <v>医药生物</v>
        <stp/>
        <stp>EM_S_INFO_INDEX_EM</stp>
        <stp>2</stp>
        <stp>002880</stp>
        <stp>1</stp>
        <tr r="D1086" s="1"/>
      </tp>
      <tp t="s">
        <v>机械设备</v>
        <stp/>
        <stp>EM_S_INFO_INDEX_EM</stp>
        <stp>2</stp>
        <stp>002890</stp>
        <stp>1</stp>
        <tr r="D756" s="1"/>
      </tp>
      <tp t="s">
        <v>交通运输</v>
        <stp/>
        <stp>EM_S_INFO_INDEX_EM</stp>
        <stp>2</stp>
        <stp>002800</stp>
        <stp>1</stp>
        <tr r="D363" s="1"/>
      </tp>
      <tp t="s">
        <v>基础化工</v>
        <stp/>
        <stp>EM_S_INFO_INDEX_EM</stp>
        <stp>2</stp>
        <stp>002810</stp>
        <stp>1</stp>
        <tr r="D1778" s="1"/>
      </tp>
      <tp t="s">
        <v>食品饮料</v>
        <stp/>
        <stp>EM_S_INFO_INDEX_EM</stp>
        <stp>2</stp>
        <stp>002820</stp>
        <stp>1</stp>
        <tr r="D2429" s="1"/>
      </tp>
      <tp t="s">
        <v>建筑</v>
        <stp/>
        <stp>EM_S_INFO_INDEX_EM</stp>
        <stp>2</stp>
        <stp>002830</stp>
        <stp>1</stp>
        <tr r="D2632" s="1"/>
      </tp>
      <tp t="s">
        <v>食品饮料</v>
        <stp/>
        <stp>EM_S_INFO_INDEX_EM</stp>
        <stp>2</stp>
        <stp>002840</stp>
        <stp>1</stp>
        <tr r="D1148" s="1"/>
      </tp>
      <tp t="s">
        <v>有色金属</v>
        <stp/>
        <stp>EM_S_INFO_INDEX_EM</stp>
        <stp>2</stp>
        <stp>002850</stp>
        <stp>1</stp>
        <tr r="D87" s="1"/>
      </tp>
      <tp t="s">
        <v>家电</v>
        <stp/>
        <stp>EM_S_INFO_INDEX_EM</stp>
        <stp>2</stp>
        <stp>002860</stp>
        <stp>1</stp>
        <tr r="D1191" s="1"/>
      </tp>
      <tp t="s">
        <v>机械设备</v>
        <stp/>
        <stp>EM_S_INFO_INDEX_EM</stp>
        <stp>2</stp>
        <stp>002870</stp>
        <stp>1</stp>
        <tr r="D411" s="1"/>
      </tp>
      <tp t="s">
        <v>医药生物</v>
        <stp/>
        <stp>EM_S_INFO_INDEX_EM</stp>
        <stp>2</stp>
        <stp>002900</stp>
        <stp>1</stp>
        <tr r="D2567" s="1"/>
      </tp>
      <tp t="s">
        <v>食品饮料</v>
        <stp/>
        <stp>EM_S_INFO_INDEX_EM</stp>
        <stp>2</stp>
        <stp>002910</stp>
        <stp>1</stp>
        <tr r="D2541" s="1"/>
      </tp>
      <tp t="s">
        <v>交运设备</v>
        <stp/>
        <stp>EM_S_INFO_INDEX_EM</stp>
        <stp>2</stp>
        <stp>002920</stp>
        <stp>1</stp>
        <tr r="D269" s="1"/>
      </tp>
      <tp t="s">
        <v>交通运输</v>
        <stp/>
        <stp>EM_S_INFO_INDEX_EM</stp>
        <stp>2</stp>
        <stp>002930</stp>
        <stp>1</stp>
        <tr r="D3331" s="1"/>
      </tp>
      <tp>
        <v>33.190609406198803</v>
        <stp/>
        <stp>EM_S_VAL_PETTMDEDUCTED</stp>
        <stp>2</stp>
        <stp>603698</stp>
        <stp>12/31/2018</stp>
        <tr r="M2873" s="1"/>
      </tp>
      <tp>
        <v>38.872081673746202</v>
        <stp/>
        <stp>EM_S_VAL_PETTMDEDUCTED</stp>
        <stp>2</stp>
        <stp>603699</stp>
        <stp>12/31/2018</stp>
        <tr r="M1395" s="1"/>
      </tp>
      <tp>
        <v>43.7209403101863</v>
        <stp/>
        <stp>EM_S_VAL_PETTMDEDUCTED</stp>
        <stp>2</stp>
        <stp>603696</stp>
        <stp>12/31/2018</stp>
        <tr r="M2853" s="1"/>
      </tp>
      <tp>
        <v>23.131859665472099</v>
        <stp/>
        <stp>EM_S_VAL_PETTMDEDUCTED</stp>
        <stp>2</stp>
        <stp>603693</stp>
        <stp>12/31/2018</stp>
        <tr r="M3179" s="1"/>
      </tp>
      <tp>
        <v>86.499778436497294</v>
        <stp/>
        <stp>EM_S_VAL_PETTMDEDUCTED</stp>
        <stp>2</stp>
        <stp>603690</stp>
        <stp>12/31/2018</stp>
        <tr r="M133" s="1"/>
      </tp>
      <tp>
        <v>30.908125306116201</v>
        <stp/>
        <stp>EM_S_VAL_PETTMDEDUCTED</stp>
        <stp>2</stp>
        <stp>603688</stp>
        <stp>12/31/2018</stp>
        <tr r="M342" s="1"/>
      </tp>
      <tp>
        <v>25.919829642742101</v>
        <stp/>
        <stp>EM_S_VAL_PETTMDEDUCTED</stp>
        <stp>2</stp>
        <stp>603689</stp>
        <stp>12/31/2018</stp>
        <tr r="M2038" s="1"/>
      </tp>
      <tp>
        <v>12.702766561476601</v>
        <stp/>
        <stp>EM_S_VAL_PETTMDEDUCTED</stp>
        <stp>2</stp>
        <stp>603686</stp>
        <stp>12/31/2018</stp>
        <tr r="M2229" s="1"/>
      </tp>
      <tp>
        <v>20.384858166801902</v>
        <stp/>
        <stp>EM_S_VAL_PETTMDEDUCTED</stp>
        <stp>2</stp>
        <stp>603685</stp>
        <stp>12/31/2018</stp>
        <tr r="M2615" s="1"/>
      </tp>
      <tp>
        <v>72.224133132473</v>
        <stp/>
        <stp>EM_S_VAL_PETTMDEDUCTED</stp>
        <stp>2</stp>
        <stp>603683</stp>
        <stp>12/31/2018</stp>
        <tr r="M2437" s="1"/>
      </tp>
      <tp>
        <v>19.154408794132699</v>
        <stp/>
        <stp>EM_S_VAL_PETTMDEDUCTED</stp>
        <stp>2</stp>
        <stp>603680</stp>
        <stp>12/31/2018</stp>
        <tr r="M3264" s="1"/>
      </tp>
      <tp>
        <v>26.116312961714399</v>
        <stp/>
        <stp>EM_S_VAL_PETTMDEDUCTED</stp>
        <stp>2</stp>
        <stp>603678</stp>
        <stp>12/31/2018</stp>
        <tr r="M631" s="1"/>
      </tp>
      <tp>
        <v>37.372967065054603</v>
        <stp/>
        <stp>EM_S_VAL_PETTMDEDUCTED</stp>
        <stp>2</stp>
        <stp>603679</stp>
        <stp>12/31/2018</stp>
        <tr r="M247" s="1"/>
      </tp>
      <tp>
        <v>87.2931521575061</v>
        <stp/>
        <stp>EM_S_VAL_PETTMDEDUCTED</stp>
        <stp>2</stp>
        <stp>603676</stp>
        <stp>12/31/2018</stp>
        <tr r="M2673" s="1"/>
      </tp>
      <tp>
        <v>35.039244840898697</v>
        <stp/>
        <stp>EM_S_VAL_PETTMDEDUCTED</stp>
        <stp>2</stp>
        <stp>603677</stp>
        <stp>12/31/2018</stp>
        <tr r="M2785" s="1"/>
      </tp>
      <tp>
        <v>26.688059744592099</v>
        <stp/>
        <stp>EM_S_VAL_PETTMDEDUCTED</stp>
        <stp>2</stp>
        <stp>603668</stp>
        <stp>12/31/2018</stp>
        <tr r="M1555" s="1"/>
      </tp>
      <tp>
        <v>27.748155395862302</v>
        <stp/>
        <stp>EM_S_VAL_PETTMDEDUCTED</stp>
        <stp>2</stp>
        <stp>603669</stp>
        <stp>12/31/2018</stp>
        <tr r="M3197" s="1"/>
      </tp>
      <tp>
        <v>29.895321229609198</v>
        <stp/>
        <stp>EM_S_VAL_PETTMDEDUCTED</stp>
        <stp>2</stp>
        <stp>603666</stp>
        <stp>12/31/2018</stp>
        <tr r="M575" s="1"/>
      </tp>
      <tp>
        <v>22.569536955113598</v>
        <stp/>
        <stp>EM_S_VAL_PETTMDEDUCTED</stp>
        <stp>2</stp>
        <stp>603667</stp>
        <stp>12/31/2018</stp>
        <tr r="M1247" s="1"/>
      </tp>
      <tp>
        <v>39.042549516985702</v>
        <stp/>
        <stp>EM_S_VAL_PETTMDEDUCTED</stp>
        <stp>2</stp>
        <stp>603665</stp>
        <stp>12/31/2018</stp>
        <tr r="M3001" s="1"/>
      </tp>
      <tp>
        <v>29.740433768653201</v>
        <stp/>
        <stp>EM_S_VAL_PETTMDEDUCTED</stp>
        <stp>2</stp>
        <stp>603663</stp>
        <stp>12/31/2018</stp>
        <tr r="M3084" s="1"/>
      </tp>
      <tp>
        <v>19.990802262453599</v>
        <stp/>
        <stp>EM_S_VAL_PETTMDEDUCTED</stp>
        <stp>2</stp>
        <stp>603660</stp>
        <stp>12/31/2018</stp>
        <tr r="M3259" s="1"/>
      </tp>
      <tp>
        <v>30.990909275358501</v>
        <stp/>
        <stp>EM_S_VAL_PETTMDEDUCTED</stp>
        <stp>2</stp>
        <stp>603661</stp>
        <stp>12/31/2018</stp>
        <tr r="M578" s="1"/>
      </tp>
      <tp>
        <v>40.375617514639401</v>
        <stp/>
        <stp>EM_S_VAL_PETTMDEDUCTED</stp>
        <stp>2</stp>
        <stp>603658</stp>
        <stp>12/31/2018</stp>
        <tr r="M188" s="1"/>
      </tp>
      <tp>
        <v>45.1850458184595</v>
        <stp/>
        <stp>EM_S_VAL_PETTMDEDUCTED</stp>
        <stp>2</stp>
        <stp>603659</stp>
        <stp>12/31/2018</stp>
        <tr r="M241" s="1"/>
      </tp>
      <tp>
        <v>31.2535824043579</v>
        <stp/>
        <stp>EM_S_VAL_PETTMDEDUCTED</stp>
        <stp>2</stp>
        <stp>603656</stp>
        <stp>12/31/2018</stp>
        <tr r="M1868" s="1"/>
      </tp>
      <tp>
        <v>57.595648484078602</v>
        <stp/>
        <stp>EM_S_VAL_PETTMDEDUCTED</stp>
        <stp>2</stp>
        <stp>603655</stp>
        <stp>12/31/2018</stp>
        <tr r="M604" s="1"/>
      </tp>
      <tp>
        <v>28.7303171058381</v>
        <stp/>
        <stp>EM_S_VAL_PETTMDEDUCTED</stp>
        <stp>2</stp>
        <stp>603650</stp>
        <stp>12/31/2018</stp>
        <tr r="M2848" s="1"/>
      </tp>
      <tp>
        <v>28.924650484582301</v>
        <stp/>
        <stp>EM_S_VAL_PETTMDEDUCTED</stp>
        <stp>2</stp>
        <stp>603648</stp>
        <stp>12/31/2018</stp>
        <tr r="M2597" s="1"/>
      </tp>
      <tp>
        <v>29.945655387737901</v>
        <stp/>
        <stp>EM_S_VAL_PETTMDEDUCTED</stp>
        <stp>2</stp>
        <stp>603638</stp>
        <stp>12/31/2018</stp>
        <tr r="M1019" s="1"/>
      </tp>
      <tp>
        <v>11.298193880857101</v>
        <stp/>
        <stp>EM_S_VAL_PETTMDEDUCTED</stp>
        <stp>2</stp>
        <stp>603639</stp>
        <stp>12/31/2018</stp>
        <tr r="M2640" s="1"/>
      </tp>
      <tp>
        <v>29.766984899681098</v>
        <stp/>
        <stp>EM_S_VAL_PETTMDEDUCTED</stp>
        <stp>2</stp>
        <stp>603636</stp>
        <stp>12/31/2018</stp>
        <tr r="M1377" s="1"/>
      </tp>
      <tp>
        <v>75.943673723769194</v>
        <stp/>
        <stp>EM_S_VAL_PETTMDEDUCTED</stp>
        <stp>2</stp>
        <stp>603637</stp>
        <stp>12/31/2018</stp>
        <tr r="M2119" s="1"/>
      </tp>
      <tp>
        <v>35.722133334136899</v>
        <stp/>
        <stp>EM_S_VAL_PETTMDEDUCTED</stp>
        <stp>2</stp>
        <stp>603633</stp>
        <stp>12/31/2018</stp>
        <tr r="M2051" s="1"/>
      </tp>
      <tp>
        <v>19.263221918203499</v>
        <stp/>
        <stp>EM_S_VAL_PETTMDEDUCTED</stp>
        <stp>2</stp>
        <stp>603630</stp>
        <stp>12/31/2018</stp>
        <tr r="M2235" s="1"/>
      </tp>
      <tp>
        <v>284.47940146284901</v>
        <stp/>
        <stp>EM_S_VAL_PETTMDEDUCTED</stp>
        <stp>2</stp>
        <stp>603628</stp>
        <stp>12/31/2018</stp>
        <tr r="M1789" s="1"/>
      </tp>
      <tp>
        <v>20.482926717722801</v>
        <stp/>
        <stp>EM_S_VAL_PETTMDEDUCTED</stp>
        <stp>2</stp>
        <stp>603626</stp>
        <stp>12/31/2018</stp>
        <tr r="M770" s="1"/>
      </tp>
      <tp>
        <v>39.741647990361102</v>
        <stp/>
        <stp>EM_S_VAL_PETTMDEDUCTED</stp>
        <stp>2</stp>
        <stp>603618</stp>
        <stp>12/31/2018</stp>
        <tr r="M2025" s="1"/>
      </tp>
      <tp>
        <v>51.133185252429101</v>
        <stp/>
        <stp>EM_S_VAL_PETTMDEDUCTED</stp>
        <stp>2</stp>
        <stp>603619</stp>
        <stp>12/31/2018</stp>
        <tr r="M2734" s="1"/>
      </tp>
      <tp>
        <v>-75.228980736207703</v>
        <stp/>
        <stp>EM_S_VAL_PETTMDEDUCTED</stp>
        <stp>2</stp>
        <stp>603616</stp>
        <stp>12/31/2018</stp>
        <tr r="M3209" s="1"/>
      </tp>
      <tp>
        <v>26.494033499989399</v>
        <stp/>
        <stp>EM_S_VAL_PETTMDEDUCTED</stp>
        <stp>2</stp>
        <stp>603617</stp>
        <stp>12/31/2018</stp>
        <tr r="M2807" s="1"/>
      </tp>
      <tp>
        <v>26.830010591496599</v>
        <stp/>
        <stp>EM_S_VAL_PETTMDEDUCTED</stp>
        <stp>2</stp>
        <stp>603615</stp>
        <stp>12/31/2018</stp>
        <tr r="M1733" s="1"/>
      </tp>
      <tp>
        <v>12.5951137694829</v>
        <stp/>
        <stp>EM_S_VAL_PETTMDEDUCTED</stp>
        <stp>2</stp>
        <stp>603612</stp>
        <stp>12/31/2018</stp>
        <tr r="M2028" s="1"/>
      </tp>
      <tp>
        <v>21.180589081631201</v>
        <stp/>
        <stp>EM_S_VAL_PETTMDEDUCTED</stp>
        <stp>2</stp>
        <stp>603611</stp>
        <stp>12/31/2018</stp>
        <tr r="M826" s="1"/>
      </tp>
      <tp>
        <v>23.646833449657599</v>
        <stp/>
        <stp>EM_S_VAL_PETTMDEDUCTED</stp>
        <stp>2</stp>
        <stp>603608</stp>
        <stp>12/31/2018</stp>
        <tr r="M2963" s="1"/>
      </tp>
      <tp>
        <v>11.9643904232608</v>
        <stp/>
        <stp>EM_S_VAL_PETTMDEDUCTED</stp>
        <stp>2</stp>
        <stp>603609</stp>
        <stp>12/31/2018</stp>
        <tr r="M548" s="1"/>
      </tp>
      <tp>
        <v>37.024063081425702</v>
        <stp/>
        <stp>EM_S_VAL_PETTMDEDUCTED</stp>
        <stp>2</stp>
        <stp>603606</stp>
        <stp>12/31/2018</stp>
        <tr r="M1264" s="1"/>
      </tp>
      <tp>
        <v>29.3744847202728</v>
        <stp/>
        <stp>EM_S_VAL_PETTMDEDUCTED</stp>
        <stp>2</stp>
        <stp>603607</stp>
        <stp>12/31/2018</stp>
        <tr r="M1256" s="1"/>
      </tp>
      <tp>
        <v>36.812408000979801</v>
        <stp/>
        <stp>EM_S_VAL_PETTMDEDUCTED</stp>
        <stp>2</stp>
        <stp>603605</stp>
        <stp>12/31/2018</stp>
        <tr r="M169" s="1"/>
      </tp>
      <tp>
        <v>63.085592752748497</v>
        <stp/>
        <stp>EM_S_VAL_PETTMDEDUCTED</stp>
        <stp>2</stp>
        <stp>603602</stp>
        <stp>12/31/2018</stp>
        <tr r="M2921" s="1"/>
      </tp>
      <tp>
        <v>26.8043089685994</v>
        <stp/>
        <stp>EM_S_VAL_PETTMDEDUCTED</stp>
        <stp>2</stp>
        <stp>603603</stp>
        <stp>12/31/2018</stp>
        <tr r="M3314" s="1"/>
      </tp>
      <tp>
        <v>37.885452884941699</v>
        <stp/>
        <stp>EM_S_VAL_PETTMDEDUCTED</stp>
        <stp>2</stp>
        <stp>603600</stp>
        <stp>12/31/2018</stp>
        <tr r="M311" s="1"/>
      </tp>
      <tp>
        <v>32.383309073819703</v>
        <stp/>
        <stp>EM_S_VAL_PETTMDEDUCTED</stp>
        <stp>2</stp>
        <stp>603601</stp>
        <stp>12/31/2018</stp>
        <tr r="M2589" s="1"/>
      </tp>
      <tp>
        <v>24.255829670214801</v>
        <stp/>
        <stp>EM_S_VAL_PETTMDEDUCTED</stp>
        <stp>2</stp>
        <stp>603798</stp>
        <stp>12/31/2018</stp>
        <tr r="M878" s="1"/>
      </tp>
      <tp>
        <v>9.4171683300168905</v>
        <stp/>
        <stp>EM_S_VAL_PETTMDEDUCTED</stp>
        <stp>2</stp>
        <stp>603799</stp>
        <stp>12/31/2018</stp>
        <tr r="M912" s="1"/>
      </tp>
      <tp>
        <v>35.976806587960098</v>
        <stp/>
        <stp>EM_S_VAL_PETTMDEDUCTED</stp>
        <stp>2</stp>
        <stp>603797</stp>
        <stp>12/31/2018</stp>
        <tr r="M2635" s="1"/>
      </tp>
      <tp>
        <v>14.046214293792399</v>
        <stp/>
        <stp>EM_S_VAL_PETTMDEDUCTED</stp>
        <stp>2</stp>
        <stp>603788</stp>
        <stp>12/31/2018</stp>
        <tr r="M1735" s="1"/>
      </tp>
      <tp>
        <v>-119.209311269897</v>
        <stp/>
        <stp>EM_S_VAL_PETTMDEDUCTED</stp>
        <stp>2</stp>
        <stp>603789</stp>
        <stp>12/31/2018</stp>
        <tr r="M1413" s="1"/>
      </tp>
      <tp>
        <v>41.4558303434019</v>
        <stp/>
        <stp>EM_S_VAL_PETTMDEDUCTED</stp>
        <stp>2</stp>
        <stp>603787</stp>
        <stp>12/31/2018</stp>
        <tr r="M662" s="1"/>
      </tp>
      <tp>
        <v>29.030551408062799</v>
        <stp/>
        <stp>EM_S_VAL_PETTMDEDUCTED</stp>
        <stp>2</stp>
        <stp>603778</stp>
        <stp>12/31/2018</stp>
        <tr r="M2264" s="1"/>
      </tp>
      <tp>
        <v>47.880305220219199</v>
        <stp/>
        <stp>EM_S_VAL_PETTMDEDUCTED</stp>
        <stp>2</stp>
        <stp>603779</stp>
        <stp>12/31/2018</stp>
        <tr r="M3383" s="1"/>
      </tp>
      <tp>
        <v>20.379563584486601</v>
        <stp/>
        <stp>EM_S_VAL_PETTMDEDUCTED</stp>
        <stp>2</stp>
        <stp>603776</stp>
        <stp>12/31/2018</stp>
        <tr r="M2890" s="1"/>
      </tp>
      <tp>
        <v>-82.673997591980594</v>
        <stp/>
        <stp>EM_S_VAL_PETTMDEDUCTED</stp>
        <stp>2</stp>
        <stp>603777</stp>
        <stp>12/31/2018</stp>
        <tr r="M1212" s="1"/>
      </tp>
      <tp>
        <v>19.355718738817501</v>
        <stp/>
        <stp>EM_S_VAL_PETTMDEDUCTED</stp>
        <stp>2</stp>
        <stp>603773</stp>
        <stp>12/31/2018</stp>
        <tr r="M3149" s="1"/>
      </tp>
      <tp>
        <v>27.154248508806699</v>
        <stp/>
        <stp>EM_S_VAL_PETTMDEDUCTED</stp>
        <stp>2</stp>
        <stp>603768</stp>
        <stp>12/31/2018</stp>
        <tr r="M2158" s="1"/>
      </tp>
      <tp>
        <v>10.981107571860701</v>
        <stp/>
        <stp>EM_S_VAL_PETTMDEDUCTED</stp>
        <stp>2</stp>
        <stp>603766</stp>
        <stp>12/31/2018</stp>
        <tr r="M2719" s="1"/>
      </tp>
      <tp>
        <v>39.856267265242202</v>
        <stp/>
        <stp>EM_S_VAL_PETTMDEDUCTED</stp>
        <stp>2</stp>
        <stp>603767</stp>
        <stp>12/31/2018</stp>
        <tr r="M1821" s="1"/>
      </tp>
      <tp>
        <v>329.06550202481498</v>
        <stp/>
        <stp>EM_S_VAL_PETTMDEDUCTED</stp>
        <stp>2</stp>
        <stp>603758</stp>
        <stp>12/31/2018</stp>
        <tr r="M2185" s="1"/>
      </tp>
      <tp>
        <v>12.025170163131801</v>
        <stp/>
        <stp>EM_S_VAL_PETTMDEDUCTED</stp>
        <stp>2</stp>
        <stp>603757</stp>
        <stp>12/31/2018</stp>
        <tr r="M3019" s="1"/>
      </tp>
      <tp>
        <v>37.731511899196398</v>
        <stp/>
        <stp>EM_S_VAL_PETTMDEDUCTED</stp>
        <stp>2</stp>
        <stp>603738</stp>
        <stp>12/31/2018</stp>
        <tr r="M418" s="1"/>
      </tp>
      <tp>
        <v>25.9694186344604</v>
        <stp/>
        <stp>EM_S_VAL_PETTMDEDUCTED</stp>
        <stp>2</stp>
        <stp>603737</stp>
        <stp>12/31/2018</stp>
        <tr r="M124" s="1"/>
      </tp>
      <tp>
        <v>26.998003377460002</v>
        <stp/>
        <stp>EM_S_VAL_PETTMDEDUCTED</stp>
        <stp>2</stp>
        <stp>603733</stp>
        <stp>12/31/2018</stp>
        <tr r="M2668" s="1"/>
      </tp>
      <tp>
        <v>15.0828351056601</v>
        <stp/>
        <stp>EM_S_VAL_PETTMDEDUCTED</stp>
        <stp>2</stp>
        <stp>603730</stp>
        <stp>12/31/2018</stp>
        <tr r="M677" s="1"/>
      </tp>
      <tp>
        <v>34.643951661403499</v>
        <stp/>
        <stp>EM_S_VAL_PETTMDEDUCTED</stp>
        <stp>2</stp>
        <stp>603728</stp>
        <stp>12/31/2018</stp>
        <tr r="M2855" s="1"/>
      </tp>
      <tp>
        <v>33.858714761281803</v>
        <stp/>
        <stp>EM_S_VAL_PETTMDEDUCTED</stp>
        <stp>2</stp>
        <stp>603729</stp>
        <stp>12/31/2018</stp>
        <tr r="M2042" s="1"/>
      </tp>
      <tp>
        <v>22.429099103997999</v>
        <stp/>
        <stp>EM_S_VAL_PETTMDEDUCTED</stp>
        <stp>2</stp>
        <stp>603726</stp>
        <stp>12/31/2018</stp>
        <tr r="M3291" s="1"/>
      </tp>
      <tp>
        <v>-35.855975861403998</v>
        <stp/>
        <stp>EM_S_VAL_PETTMDEDUCTED</stp>
        <stp>2</stp>
        <stp>603727</stp>
        <stp>12/31/2018</stp>
        <tr r="M592" s="1"/>
      </tp>
      <tp>
        <v>33.141967617827603</v>
        <stp/>
        <stp>EM_S_VAL_PETTMDEDUCTED</stp>
        <stp>2</stp>
        <stp>603725</stp>
        <stp>12/31/2018</stp>
        <tr r="M3230" s="1"/>
      </tp>
      <tp>
        <v>49.788296377709003</v>
        <stp/>
        <stp>EM_S_VAL_PETTMDEDUCTED</stp>
        <stp>2</stp>
        <stp>603722</stp>
        <stp>12/31/2018</stp>
        <tr r="M673" s="1"/>
      </tp>
      <tp>
        <v>112.628103677689</v>
        <stp/>
        <stp>EM_S_VAL_PETTMDEDUCTED</stp>
        <stp>2</stp>
        <stp>603721</stp>
        <stp>12/31/2018</stp>
        <tr r="M277" s="1"/>
      </tp>
      <tp>
        <v>165.45005175555801</v>
        <stp/>
        <stp>EM_S_VAL_PETTMDEDUCTED</stp>
        <stp>2</stp>
        <stp>603718</stp>
        <stp>12/31/2018</stp>
        <tr r="M2359" s="1"/>
      </tp>
      <tp>
        <v>36.433372450584599</v>
        <stp/>
        <stp>EM_S_VAL_PETTMDEDUCTED</stp>
        <stp>2</stp>
        <stp>603716</stp>
        <stp>12/31/2018</stp>
        <tr r="M2838" s="1"/>
      </tp>
      <tp>
        <v>19.0398208263871</v>
        <stp/>
        <stp>EM_S_VAL_PETTMDEDUCTED</stp>
        <stp>2</stp>
        <stp>603717</stp>
        <stp>12/31/2018</stp>
        <tr r="M2608" s="1"/>
      </tp>
      <tp>
        <v>74.782577346569596</v>
        <stp/>
        <stp>EM_S_VAL_PETTMDEDUCTED</stp>
        <stp>2</stp>
        <stp>603712</stp>
        <stp>12/31/2018</stp>
        <tr r="M824" s="1"/>
      </tp>
      <tp>
        <v>36.3029789971242</v>
        <stp/>
        <stp>EM_S_VAL_PETTMDEDUCTED</stp>
        <stp>2</stp>
        <stp>603711</stp>
        <stp>12/31/2018</stp>
        <tr r="M1298" s="1"/>
      </tp>
      <tp>
        <v>25.7469141280957</v>
        <stp/>
        <stp>EM_S_VAL_PETTMDEDUCTED</stp>
        <stp>2</stp>
        <stp>603708</stp>
        <stp>12/31/2018</stp>
        <tr r="M1222" s="1"/>
      </tp>
      <tp>
        <v>34.815031062190897</v>
        <stp/>
        <stp>EM_S_VAL_PETTMDEDUCTED</stp>
        <stp>2</stp>
        <stp>603709</stp>
        <stp>12/31/2018</stp>
        <tr r="M2206" s="1"/>
      </tp>
      <tp>
        <v>63.160582430842098</v>
        <stp/>
        <stp>EM_S_VAL_PETTMDEDUCTED</stp>
        <stp>2</stp>
        <stp>603706</stp>
        <stp>12/31/2018</stp>
        <tr r="M3177" s="1"/>
      </tp>
      <tp>
        <v>25.584598508769002</v>
        <stp/>
        <stp>EM_S_VAL_PETTMDEDUCTED</stp>
        <stp>2</stp>
        <stp>603707</stp>
        <stp>12/31/2018</stp>
        <tr r="M131" s="1"/>
      </tp>
      <tp>
        <v>-139.645093985795</v>
        <stp/>
        <stp>EM_S_VAL_PETTMDEDUCTED</stp>
        <stp>2</stp>
        <stp>603703</stp>
        <stp>12/31/2018</stp>
        <tr r="M347" s="1"/>
      </tp>
      <tp>
        <v>26.088161073388498</v>
        <stp/>
        <stp>EM_S_VAL_PETTMDEDUCTED</stp>
        <stp>2</stp>
        <stp>603701</stp>
        <stp>12/31/2018</stp>
        <tr r="M1613" s="1"/>
      </tp>
      <tp>
        <v>52.178062060419897</v>
        <stp/>
        <stp>EM_S_VAL_PETTMDEDUCTED</stp>
        <stp>2</stp>
        <stp>603499</stp>
        <stp>12/31/2018</stp>
        <tr r="M3091" s="1"/>
      </tp>
      <tp>
        <v>37.211194005330199</v>
        <stp/>
        <stp>EM_S_VAL_PETTMDEDUCTED</stp>
        <stp>2</stp>
        <stp>603496</stp>
        <stp>12/31/2018</stp>
        <tr r="M2724" s="1"/>
      </tp>
      <tp>
        <v>29.2132538957487</v>
        <stp/>
        <stp>EM_S_VAL_PETTMDEDUCTED</stp>
        <stp>2</stp>
        <stp>603488</stp>
        <stp>12/31/2018</stp>
        <tr r="M1208" s="1"/>
      </tp>
      <tp>
        <v>41.431131201644099</v>
        <stp/>
        <stp>EM_S_VAL_PETTMDEDUCTED</stp>
        <stp>2</stp>
        <stp>603486</stp>
        <stp>12/31/2018</stp>
        <tr r="M3384" s="1"/>
      </tp>
      <tp>
        <v>28.7348343201988</v>
        <stp/>
        <stp>EM_S_VAL_PETTMDEDUCTED</stp>
        <stp>2</stp>
        <stp>603477</stp>
        <stp>12/31/2018</stp>
        <tr r="M496" s="1"/>
      </tp>
      <tp>
        <v>25.6605162041993</v>
        <stp/>
        <stp>EM_S_VAL_PETTMDEDUCTED</stp>
        <stp>2</stp>
        <stp>603466</stp>
        <stp>12/31/2018</stp>
        <tr r="M2505" s="1"/>
      </tp>
      <tp>
        <v>15.237608118323401</v>
        <stp/>
        <stp>EM_S_VAL_PETTMDEDUCTED</stp>
        <stp>2</stp>
        <stp>603458</stp>
        <stp>12/31/2018</stp>
        <tr r="M3290" s="1"/>
      </tp>
      <tp>
        <v>33.698319583385</v>
        <stp/>
        <stp>EM_S_VAL_PETTMDEDUCTED</stp>
        <stp>2</stp>
        <stp>603456</stp>
        <stp>12/31/2018</stp>
        <tr r="M126" s="1"/>
      </tp>
      <tp>
        <v>17.8344825427755</v>
        <stp/>
        <stp>EM_S_VAL_PETTMDEDUCTED</stp>
        <stp>2</stp>
        <stp>603444</stp>
        <stp>12/31/2018</stp>
        <tr r="M141" s="1"/>
      </tp>
      <tp>
        <v>46.464841629654899</v>
        <stp/>
        <stp>EM_S_VAL_PETTMDEDUCTED</stp>
        <stp>2</stp>
        <stp>603429</stp>
        <stp>12/31/2018</stp>
        <tr r="M535" s="1"/>
      </tp>
      <tp>
        <v>35.4713883713152</v>
        <stp/>
        <stp>EM_S_VAL_PETTMDEDUCTED</stp>
        <stp>2</stp>
        <stp>603421</stp>
        <stp>12/31/2018</stp>
        <tr r="M3047" s="1"/>
      </tp>
      <tp>
        <v>24.9756404740188</v>
        <stp/>
        <stp>EM_S_VAL_PETTMDEDUCTED</stp>
        <stp>2</stp>
        <stp>603416</stp>
        <stp>12/31/2018</stp>
        <tr r="M745" s="1"/>
      </tp>
      <tp>
        <v>28.438302571847402</v>
        <stp/>
        <stp>EM_S_VAL_PETTMDEDUCTED</stp>
        <stp>2</stp>
        <stp>603598</stp>
        <stp>12/31/2018</stp>
        <tr r="M273" s="1"/>
      </tp>
      <tp>
        <v>12.0835750995089</v>
        <stp/>
        <stp>EM_S_VAL_PETTMDEDUCTED</stp>
        <stp>2</stp>
        <stp>603599</stp>
        <stp>12/31/2018</stp>
        <tr r="M724" s="1"/>
      </tp>
      <tp>
        <v>30.587990941786099</v>
        <stp/>
        <stp>EM_S_VAL_PETTMDEDUCTED</stp>
        <stp>2</stp>
        <stp>603596</stp>
        <stp>12/31/2018</stp>
        <tr r="M2425" s="1"/>
      </tp>
      <tp>
        <v>27.178457200621001</v>
        <stp/>
        <stp>EM_S_VAL_PETTMDEDUCTED</stp>
        <stp>2</stp>
        <stp>603595</stp>
        <stp>12/31/2018</stp>
        <tr r="M3013" s="1"/>
      </tp>
      <tp>
        <v>17.4009714582239</v>
        <stp/>
        <stp>EM_S_VAL_PETTMDEDUCTED</stp>
        <stp>2</stp>
        <stp>603588</stp>
        <stp>12/31/2018</stp>
        <tr r="M1304" s="1"/>
      </tp>
      <tp>
        <v>16.106850426132301</v>
        <stp/>
        <stp>EM_S_VAL_PETTMDEDUCTED</stp>
        <stp>2</stp>
        <stp>603589</stp>
        <stp>12/31/2018</stp>
        <tr r="M454" s="1"/>
      </tp>
      <tp>
        <v>32.813710267704799</v>
        <stp/>
        <stp>EM_S_VAL_PETTMDEDUCTED</stp>
        <stp>2</stp>
        <stp>603586</stp>
        <stp>12/31/2018</stp>
        <tr r="M698" s="1"/>
      </tp>
      <tp>
        <v>18.430499756398302</v>
        <stp/>
        <stp>EM_S_VAL_PETTMDEDUCTED</stp>
        <stp>2</stp>
        <stp>603587</stp>
        <stp>12/31/2018</stp>
        <tr r="M1574" s="1"/>
      </tp>
      <tp>
        <v>13.551498496488801</v>
        <stp/>
        <stp>EM_S_VAL_PETTMDEDUCTED</stp>
        <stp>2</stp>
        <stp>603585</stp>
        <stp>12/31/2018</stp>
        <tr r="M2125" s="1"/>
      </tp>
      <tp>
        <v>42.693934454130897</v>
        <stp/>
        <stp>EM_S_VAL_PETTMDEDUCTED</stp>
        <stp>2</stp>
        <stp>603580</stp>
        <stp>12/31/2018</stp>
        <tr r="M3094" s="1"/>
      </tp>
      <tp>
        <v>29.556005713817001</v>
        <stp/>
        <stp>EM_S_VAL_PETTMDEDUCTED</stp>
        <stp>2</stp>
        <stp>603578</stp>
        <stp>12/31/2018</stp>
        <tr r="M1869" s="1"/>
      </tp>
      <tp>
        <v>15.159655761307301</v>
        <stp/>
        <stp>EM_S_VAL_PETTMDEDUCTED</stp>
        <stp>2</stp>
        <stp>603579</stp>
        <stp>12/31/2018</stp>
        <tr r="M1908" s="1"/>
      </tp>
      <tp>
        <v>54.0748578430089</v>
        <stp/>
        <stp>EM_S_VAL_PETTMDEDUCTED</stp>
        <stp>2</stp>
        <stp>603577</stp>
        <stp>12/31/2018</stp>
        <tr r="M1423" s="1"/>
      </tp>
      <tp>
        <v>22.657191944819001</v>
        <stp/>
        <stp>EM_S_VAL_PETTMDEDUCTED</stp>
        <stp>2</stp>
        <stp>603568</stp>
        <stp>12/31/2018</stp>
        <tr r="M2253" s="1"/>
      </tp>
      <tp>
        <v>18.732300360531699</v>
        <stp/>
        <stp>EM_S_VAL_PETTMDEDUCTED</stp>
        <stp>2</stp>
        <stp>603569</stp>
        <stp>12/31/2018</stp>
        <tr r="M2510" s="1"/>
      </tp>
      <tp>
        <v>43.679310215181097</v>
        <stp/>
        <stp>EM_S_VAL_PETTMDEDUCTED</stp>
        <stp>2</stp>
        <stp>603566</stp>
        <stp>12/31/2018</stp>
        <tr r="M482" s="1"/>
      </tp>
      <tp>
        <v>21.994298115860602</v>
        <stp/>
        <stp>EM_S_VAL_PETTMDEDUCTED</stp>
        <stp>2</stp>
        <stp>603567</stp>
        <stp>12/31/2018</stp>
        <tr r="M2492" s="1"/>
      </tp>
      <tp>
        <v>29.775777433621201</v>
        <stp/>
        <stp>EM_S_VAL_PETTMDEDUCTED</stp>
        <stp>2</stp>
        <stp>603558</stp>
        <stp>12/31/2018</stp>
        <tr r="M2587" s="1"/>
      </tp>
      <tp>
        <v>129.270204888265</v>
        <stp/>
        <stp>EM_S_VAL_PETTMDEDUCTED</stp>
        <stp>2</stp>
        <stp>603559</stp>
        <stp>12/31/2018</stp>
        <tr r="M3183" s="1"/>
      </tp>
      <tp>
        <v>16.332466674696601</v>
        <stp/>
        <stp>EM_S_VAL_PETTMDEDUCTED</stp>
        <stp>2</stp>
        <stp>603556</stp>
        <stp>12/31/2018</stp>
        <tr r="M1158" s="1"/>
      </tp>
      <tp>
        <v>21.7134175056832</v>
        <stp/>
        <stp>EM_S_VAL_PETTMDEDUCTED</stp>
        <stp>2</stp>
        <stp>603557</stp>
        <stp>12/31/2018</stp>
        <tr r="M1610" s="1"/>
      </tp>
      <tp>
        <v>-44.253378025416801</v>
        <stp/>
        <stp>EM_S_VAL_PETTMDEDUCTED</stp>
        <stp>2</stp>
        <stp>603555</stp>
        <stp>12/31/2018</stp>
        <tr r="M2224" s="1"/>
      </tp>
      <tp>
        <v>81.663063229909895</v>
        <stp/>
        <stp>EM_S_VAL_PETTMDEDUCTED</stp>
        <stp>2</stp>
        <stp>603538</stp>
        <stp>12/31/2018</stp>
        <tr r="M1150" s="1"/>
      </tp>
      <tp>
        <v>30.8867684001703</v>
        <stp/>
        <stp>EM_S_VAL_PETTMDEDUCTED</stp>
        <stp>2</stp>
        <stp>603536</stp>
        <stp>12/31/2018</stp>
        <tr r="M60" s="1"/>
      </tp>
      <tp>
        <v>25.577017882653202</v>
        <stp/>
        <stp>EM_S_VAL_PETTMDEDUCTED</stp>
        <stp>2</stp>
        <stp>603535</stp>
        <stp>12/31/2018</stp>
        <tr r="M2420" s="1"/>
      </tp>
      <tp>
        <v>56.614368103720402</v>
        <stp/>
        <stp>EM_S_VAL_PETTMDEDUCTED</stp>
        <stp>2</stp>
        <stp>603533</stp>
        <stp>12/31/2018</stp>
        <tr r="M2569" s="1"/>
      </tp>
      <tp>
        <v>34.353501101994503</v>
        <stp/>
        <stp>EM_S_VAL_PETTMDEDUCTED</stp>
        <stp>2</stp>
        <stp>603528</stp>
        <stp>12/31/2018</stp>
        <tr r="M1609" s="1"/>
      </tp>
      <tp>
        <v>20.396897521099302</v>
        <stp/>
        <stp>EM_S_VAL_PETTMDEDUCTED</stp>
        <stp>2</stp>
        <stp>603527</stp>
        <stp>12/31/2018</stp>
        <tr r="M1518" s="1"/>
      </tp>
      <tp>
        <v>40.1192637072688</v>
        <stp/>
        <stp>EM_S_VAL_PETTMDEDUCTED</stp>
        <stp>2</stp>
        <stp>603520</stp>
        <stp>12/31/2018</stp>
        <tr r="M419" s="1"/>
      </tp>
      <tp>
        <v>11.8622727929114</v>
        <stp/>
        <stp>EM_S_VAL_PETTMDEDUCTED</stp>
        <stp>2</stp>
        <stp>603518</stp>
        <stp>12/31/2018</stp>
        <tr r="M3366" s="1"/>
      </tp>
      <tp>
        <v>24.373338991471499</v>
        <stp/>
        <stp>EM_S_VAL_PETTMDEDUCTED</stp>
        <stp>2</stp>
        <stp>603519</stp>
        <stp>12/31/2018</stp>
        <tr r="M531" s="1"/>
      </tp>
      <tp>
        <v>38.511848848899398</v>
        <stp/>
        <stp>EM_S_VAL_PETTMDEDUCTED</stp>
        <stp>2</stp>
        <stp>603516</stp>
        <stp>12/31/2018</stp>
        <tr r="M366" s="1"/>
      </tp>
      <tp>
        <v>22.7113001939741</v>
        <stp/>
        <stp>EM_S_VAL_PETTMDEDUCTED</stp>
        <stp>2</stp>
        <stp>603517</stp>
        <stp>12/31/2018</stp>
        <tr r="M793" s="1"/>
      </tp>
      <tp>
        <v>33.191036552310599</v>
        <stp/>
        <stp>EM_S_VAL_PETTMDEDUCTED</stp>
        <stp>2</stp>
        <stp>603515</stp>
        <stp>12/31/2018</stp>
        <tr r="M2247" s="1"/>
      </tp>
      <tp>
        <v>52.626156677839703</v>
        <stp/>
        <stp>EM_S_VAL_PETTMDEDUCTED</stp>
        <stp>2</stp>
        <stp>603508</stp>
        <stp>12/31/2018</stp>
        <tr r="M586" s="1"/>
      </tp>
      <tp>
        <v>32.201936612854702</v>
        <stp/>
        <stp>EM_S_VAL_PETTMDEDUCTED</stp>
        <stp>2</stp>
        <stp>603506</stp>
        <stp>12/31/2018</stp>
        <tr r="M2595" s="1"/>
      </tp>
      <tp>
        <v>58.0607856918651</v>
        <stp/>
        <stp>EM_S_VAL_PETTMDEDUCTED</stp>
        <stp>2</stp>
        <stp>603507</stp>
        <stp>12/31/2018</stp>
        <tr r="M2178" s="1"/>
      </tp>
      <tp>
        <v>31.204350051551899</v>
        <stp/>
        <stp>EM_S_VAL_PETTMDEDUCTED</stp>
        <stp>2</stp>
        <stp>603505</stp>
        <stp>12/31/2018</stp>
        <tr r="M335" s="1"/>
      </tp>
      <tp>
        <v>31.684785754058598</v>
        <stp/>
        <stp>EM_S_VAL_PETTMDEDUCTED</stp>
        <stp>2</stp>
        <stp>603500</stp>
        <stp>12/31/2018</stp>
        <tr r="M1345" s="1"/>
      </tp>
      <tp>
        <v>49.069320719196</v>
        <stp/>
        <stp>EM_S_VAL_PETTMDEDUCTED</stp>
        <stp>2</stp>
        <stp>603501</stp>
        <stp>12/31/2018</stp>
        <tr r="M18" s="1"/>
      </tp>
      <tp>
        <v>15.7995219899605</v>
        <stp/>
        <stp>EM_S_VAL_PETTMDEDUCTED</stp>
        <stp>2</stp>
        <stp>603298</stp>
        <stp>12/31/2018</stp>
        <tr r="M1939" s="1"/>
      </tp>
      <tp>
        <v>16.996295477562501</v>
        <stp/>
        <stp>EM_S_VAL_PETTMDEDUCTED</stp>
        <stp>2</stp>
        <stp>603299</stp>
        <stp>12/31/2018</stp>
        <tr r="M852" s="1"/>
      </tp>
      <tp>
        <v>47.597759580545201</v>
        <stp/>
        <stp>EM_S_VAL_PETTMDEDUCTED</stp>
        <stp>2</stp>
        <stp>603288</stp>
        <stp>12/31/2018</stp>
        <tr r="M469" s="1"/>
      </tp>
      <tp>
        <v>24.9101936416581</v>
        <stp/>
        <stp>EM_S_VAL_PETTMDEDUCTED</stp>
        <stp>2</stp>
        <stp>603289</stp>
        <stp>12/31/2018</stp>
        <tr r="M1451" s="1"/>
      </tp>
      <tp>
        <v>52.3612979143128</v>
        <stp/>
        <stp>EM_S_VAL_PETTMDEDUCTED</stp>
        <stp>2</stp>
        <stp>603286</stp>
        <stp>12/31/2018</stp>
        <tr r="M1812" s="1"/>
      </tp>
      <tp>
        <v>31.369532579992502</v>
        <stp/>
        <stp>EM_S_VAL_PETTMDEDUCTED</stp>
        <stp>2</stp>
        <stp>603283</stp>
        <stp>12/31/2018</stp>
        <tr r="M288" s="1"/>
      </tp>
      <tp>
        <v>18.920425858459701</v>
        <stp/>
        <stp>EM_S_VAL_PETTMDEDUCTED</stp>
        <stp>2</stp>
        <stp>603278</stp>
        <stp>12/31/2018</stp>
        <tr r="M3255" s="1"/>
      </tp>
      <tp>
        <v>20.002973476741399</v>
        <stp/>
        <stp>EM_S_VAL_PETTMDEDUCTED</stp>
        <stp>2</stp>
        <stp>603277</stp>
        <stp>12/31/2018</stp>
        <tr r="M1326" s="1"/>
      </tp>
      <tp>
        <v>44.261362951402901</v>
        <stp/>
        <stp>EM_S_VAL_PETTMDEDUCTED</stp>
        <stp>2</stp>
        <stp>603268</stp>
        <stp>12/31/2018</stp>
        <tr r="M2529" s="1"/>
      </tp>
      <tp>
        <v>41.095915785631902</v>
        <stp/>
        <stp>EM_S_VAL_PETTMDEDUCTED</stp>
        <stp>2</stp>
        <stp>603269</stp>
        <stp>12/31/2018</stp>
        <tr r="M2502" s="1"/>
      </tp>
      <tp>
        <v>33.652857947926002</v>
        <stp/>
        <stp>EM_S_VAL_PETTMDEDUCTED</stp>
        <stp>2</stp>
        <stp>603266</stp>
        <stp>12/31/2018</stp>
        <tr r="M2948" s="1"/>
      </tp>
      <tp>
        <v>10.915886687445999</v>
        <stp/>
        <stp>EM_S_VAL_PETTMDEDUCTED</stp>
        <stp>2</stp>
        <stp>603260</stp>
        <stp>12/31/2018</stp>
        <tr r="M3246" s="1"/>
      </tp>
      <tp>
        <v>45.520783128166997</v>
        <stp/>
        <stp>EM_S_VAL_PETTMDEDUCTED</stp>
        <stp>2</stp>
        <stp>603258</stp>
        <stp>12/31/2018</stp>
        <tr r="M727" s="1"/>
      </tp>
      <tp>
        <v>63.524325875255002</v>
        <stp/>
        <stp>EM_S_VAL_PETTMDEDUCTED</stp>
        <stp>2</stp>
        <stp>603259</stp>
        <stp>12/31/2018</stp>
        <tr r="M1205" s="1"/>
      </tp>
      <tp>
        <v>54.034850459394399</v>
        <stp/>
        <stp>EM_S_VAL_PETTMDEDUCTED</stp>
        <stp>2</stp>
        <stp>603238</stp>
        <stp>12/31/2018</stp>
        <tr r="M2678" s="1"/>
      </tp>
      <tp>
        <v>18.971817752886899</v>
        <stp/>
        <stp>EM_S_VAL_PETTMDEDUCTED</stp>
        <stp>2</stp>
        <stp>603239</stp>
        <stp>12/31/2018</stp>
        <tr r="M1957" s="1"/>
      </tp>
      <tp>
        <v>37.387309469262497</v>
        <stp/>
        <stp>EM_S_VAL_PETTMDEDUCTED</stp>
        <stp>2</stp>
        <stp>603232</stp>
        <stp>12/31/2018</stp>
        <tr r="M680" s="1"/>
      </tp>
      <tp>
        <v>31.535544425476999</v>
        <stp/>
        <stp>EM_S_VAL_PETTMDEDUCTED</stp>
        <stp>2</stp>
        <stp>603233</stp>
        <stp>12/31/2018</stp>
        <tr r="M958" s="1"/>
      </tp>
      <tp>
        <v>27.725179573624501</v>
        <stp/>
        <stp>EM_S_VAL_PETTMDEDUCTED</stp>
        <stp>2</stp>
        <stp>603228</stp>
        <stp>12/31/2018</stp>
        <tr r="M2805" s="1"/>
      </tp>
      <tp>
        <v>38.204548665540401</v>
        <stp/>
        <stp>EM_S_VAL_PETTMDEDUCTED</stp>
        <stp>2</stp>
        <stp>603229</stp>
        <stp>12/31/2018</stp>
        <tr r="M274" s="1"/>
      </tp>
      <tp>
        <v>23.091709915066399</v>
        <stp/>
        <stp>EM_S_VAL_PETTMDEDUCTED</stp>
        <stp>2</stp>
        <stp>603226</stp>
        <stp>12/31/2018</stp>
        <tr r="M1365" s="1"/>
      </tp>
      <tp>
        <v>86.694741994762794</v>
        <stp/>
        <stp>EM_S_VAL_PETTMDEDUCTED</stp>
        <stp>2</stp>
        <stp>603227</stp>
        <stp>12/31/2018</stp>
        <tr r="M1007" s="1"/>
      </tp>
      <tp>
        <v>8.1160346131424106</v>
        <stp/>
        <stp>EM_S_VAL_PETTMDEDUCTED</stp>
        <stp>2</stp>
        <stp>603225</stp>
        <stp>12/31/2018</stp>
        <tr r="M3262" s="1"/>
      </tp>
      <tp>
        <v>92.864781029037999</v>
        <stp/>
        <stp>EM_S_VAL_PETTMDEDUCTED</stp>
        <stp>2</stp>
        <stp>603222</stp>
        <stp>12/31/2018</stp>
        <tr r="M29" s="1"/>
      </tp>
      <tp>
        <v>33.714417736791198</v>
        <stp/>
        <stp>EM_S_VAL_PETTMDEDUCTED</stp>
        <stp>2</stp>
        <stp>603223</stp>
        <stp>12/31/2018</stp>
        <tr r="M3307" s="1"/>
      </tp>
      <tp>
        <v>30.4481309020243</v>
        <stp/>
        <stp>EM_S_VAL_PETTMDEDUCTED</stp>
        <stp>2</stp>
        <stp>603218</stp>
        <stp>12/31/2018</stp>
        <tr r="M1213" s="1"/>
      </tp>
      <tp>
        <v>39.128492515968098</v>
        <stp/>
        <stp>EM_S_VAL_PETTMDEDUCTED</stp>
        <stp>2</stp>
        <stp>603214</stp>
        <stp>12/31/2018</stp>
        <tr r="M1650" s="1"/>
      </tp>
      <tp>
        <v>18.144062410498599</v>
        <stp/>
        <stp>EM_S_VAL_PETTMDEDUCTED</stp>
        <stp>2</stp>
        <stp>603208</stp>
        <stp>12/31/2018</stp>
        <tr r="M181" s="1"/>
      </tp>
      <tp>
        <v>24.055112916010099</v>
        <stp/>
        <stp>EM_S_VAL_PETTMDEDUCTED</stp>
        <stp>2</stp>
        <stp>603203</stp>
        <stp>12/31/2018</stp>
        <tr r="M761" s="1"/>
      </tp>
      <tp>
        <v>42.935025390499902</v>
        <stp/>
        <stp>EM_S_VAL_PETTMDEDUCTED</stp>
        <stp>2</stp>
        <stp>603200</stp>
        <stp>12/31/2018</stp>
        <tr r="M3342" s="1"/>
      </tp>
      <tp>
        <v>58.240745690395798</v>
        <stp/>
        <stp>EM_S_VAL_PETTMDEDUCTED</stp>
        <stp>2</stp>
        <stp>603398</stp>
        <stp>12/31/2018</stp>
        <tr r="M2667" s="1"/>
      </tp>
      <tp>
        <v>49.4269375686603</v>
        <stp/>
        <stp>EM_S_VAL_PETTMDEDUCTED</stp>
        <stp>2</stp>
        <stp>603399</stp>
        <stp>12/31/2018</stp>
        <tr r="M1095" s="1"/>
      </tp>
      <tp>
        <v>23.4377853470708</v>
        <stp/>
        <stp>EM_S_VAL_PETTMDEDUCTED</stp>
        <stp>2</stp>
        <stp>603396</stp>
        <stp>12/31/2018</stp>
        <tr r="M3014" s="1"/>
      </tp>
      <tp>
        <v>22.5067083013959</v>
        <stp/>
        <stp>EM_S_VAL_PETTMDEDUCTED</stp>
        <stp>2</stp>
        <stp>603393</stp>
        <stp>12/31/2018</stp>
        <tr r="M2735" s="1"/>
      </tp>
      <tp>
        <v>17.212473150571899</v>
        <stp/>
        <stp>EM_S_VAL_PETTMDEDUCTED</stp>
        <stp>2</stp>
        <stp>603388</stp>
        <stp>12/31/2018</stp>
        <tr r="M3051" s="1"/>
      </tp>
      <tp>
        <v>-204.93725375350499</v>
        <stp/>
        <stp>EM_S_VAL_PETTMDEDUCTED</stp>
        <stp>2</stp>
        <stp>603389</stp>
        <stp>12/31/2018</stp>
        <tr r="M3343" s="1"/>
      </tp>
      <tp>
        <v>44.570639668117401</v>
        <stp/>
        <stp>EM_S_VAL_PETTMDEDUCTED</stp>
        <stp>2</stp>
        <stp>603386</stp>
        <stp>12/31/2018</stp>
        <tr r="M2198" s="1"/>
      </tp>
      <tp>
        <v>24.578138154551301</v>
        <stp/>
        <stp>EM_S_VAL_PETTMDEDUCTED</stp>
        <stp>2</stp>
        <stp>603387</stp>
        <stp>12/31/2018</stp>
        <tr r="M2919" s="1"/>
      </tp>
      <tp>
        <v>14.144294936894299</v>
        <stp/>
        <stp>EM_S_VAL_PETTMDEDUCTED</stp>
        <stp>2</stp>
        <stp>603385</stp>
        <stp>12/31/2018</stp>
        <tr r="M711" s="1"/>
      </tp>
      <tp>
        <v>37.621330096990299</v>
        <stp/>
        <stp>EM_S_VAL_PETTMDEDUCTED</stp>
        <stp>2</stp>
        <stp>603383</stp>
        <stp>12/31/2018</stp>
        <tr r="M88" s="1"/>
      </tp>
      <tp>
        <v>25.9897343388824</v>
        <stp/>
        <stp>EM_S_VAL_PETTMDEDUCTED</stp>
        <stp>2</stp>
        <stp>603380</stp>
        <stp>12/31/2018</stp>
        <tr r="M1980" s="1"/>
      </tp>
      <tp>
        <v>35.096159003550902</v>
        <stp/>
        <stp>EM_S_VAL_PETTMDEDUCTED</stp>
        <stp>2</stp>
        <stp>603378</stp>
        <stp>12/31/2018</stp>
        <tr r="M357" s="1"/>
      </tp>
      <tp>
        <v>88.666544329392494</v>
        <stp/>
        <stp>EM_S_VAL_PETTMDEDUCTED</stp>
        <stp>2</stp>
        <stp>603377</stp>
        <stp>12/31/2018</stp>
        <tr r="M1083" s="1"/>
      </tp>
      <tp>
        <v>13.5068531839757</v>
        <stp/>
        <stp>EM_S_VAL_PETTMDEDUCTED</stp>
        <stp>2</stp>
        <stp>603368</stp>
        <stp>12/31/2018</stp>
        <tr r="M1009" s="1"/>
      </tp>
      <tp>
        <v>16.292353202332599</v>
        <stp/>
        <stp>EM_S_VAL_PETTMDEDUCTED</stp>
        <stp>2</stp>
        <stp>603369</stp>
        <stp>12/31/2018</stp>
        <tr r="M109" s="1"/>
      </tp>
      <tp>
        <v>-26.891219015954398</v>
        <stp/>
        <stp>EM_S_VAL_PETTMDEDUCTED</stp>
        <stp>2</stp>
        <stp>603366</stp>
        <stp>12/31/2018</stp>
        <tr r="M1104" s="1"/>
      </tp>
      <tp>
        <v>13.480524006293001</v>
        <stp/>
        <stp>EM_S_VAL_PETTMDEDUCTED</stp>
        <stp>2</stp>
        <stp>603367</stp>
        <stp>12/31/2018</stp>
        <tr r="M1963" s="1"/>
      </tp>
      <tp>
        <v>15.504481160020401</v>
        <stp/>
        <stp>EM_S_VAL_PETTMDEDUCTED</stp>
        <stp>2</stp>
        <stp>603365</stp>
        <stp>12/31/2018</stp>
        <tr r="M2148" s="1"/>
      </tp>
      <tp>
        <v>93.948093288302204</v>
        <stp/>
        <stp>EM_S_VAL_PETTMDEDUCTED</stp>
        <stp>2</stp>
        <stp>603363</stp>
        <stp>12/31/2018</stp>
        <tr r="M230" s="1"/>
      </tp>
      <tp>
        <v>19.3602415210073</v>
        <stp/>
        <stp>EM_S_VAL_PETTMDEDUCTED</stp>
        <stp>2</stp>
        <stp>603360</stp>
        <stp>12/31/2018</stp>
        <tr r="M51" s="1"/>
      </tp>
      <tp>
        <v>15.062167945478</v>
        <stp/>
        <stp>EM_S_VAL_PETTMDEDUCTED</stp>
        <stp>2</stp>
        <stp>603358</stp>
        <stp>12/31/2018</stp>
        <tr r="M844" s="1"/>
      </tp>
      <tp>
        <v>19.557907761201701</v>
        <stp/>
        <stp>EM_S_VAL_PETTMDEDUCTED</stp>
        <stp>2</stp>
        <stp>603359</stp>
        <stp>12/31/2018</stp>
        <tr r="M2716" s="1"/>
      </tp>
      <tp>
        <v>39.293223205694702</v>
        <stp/>
        <stp>EM_S_VAL_PETTMDEDUCTED</stp>
        <stp>2</stp>
        <stp>603356</stp>
        <stp>12/31/2018</stp>
        <tr r="M3040" s="1"/>
      </tp>
      <tp>
        <v>13.9653063458102</v>
        <stp/>
        <stp>EM_S_VAL_PETTMDEDUCTED</stp>
        <stp>2</stp>
        <stp>603357</stp>
        <stp>12/31/2018</stp>
        <tr r="M3354" s="1"/>
      </tp>
      <tp>
        <v>20.683125839405601</v>
        <stp/>
        <stp>EM_S_VAL_PETTMDEDUCTED</stp>
        <stp>2</stp>
        <stp>603355</stp>
        <stp>12/31/2018</stp>
        <tr r="M1769" s="1"/>
      </tp>
      <tp>
        <v>31.3761129891728</v>
        <stp/>
        <stp>EM_S_VAL_PETTMDEDUCTED</stp>
        <stp>2</stp>
        <stp>603348</stp>
        <stp>12/31/2018</stp>
        <tr r="M2404" s="1"/>
      </tp>
      <tp>
        <v>34.067028048694503</v>
        <stp/>
        <stp>EM_S_VAL_PETTMDEDUCTED</stp>
        <stp>2</stp>
        <stp>603345</stp>
        <stp>12/31/2018</stp>
        <tr r="M351" s="1"/>
      </tp>
      <tp>
        <v>34.337047603453897</v>
        <stp/>
        <stp>EM_S_VAL_PETTMDEDUCTED</stp>
        <stp>2</stp>
        <stp>603338</stp>
        <stp>12/31/2018</stp>
        <tr r="M1029" s="1"/>
      </tp>
      <tp>
        <v>17.1820664325646</v>
        <stp/>
        <stp>EM_S_VAL_PETTMDEDUCTED</stp>
        <stp>2</stp>
        <stp>603339</stp>
        <stp>12/31/2018</stp>
        <tr r="M2771" s="1"/>
      </tp>
      <tp>
        <v>42.851049297516298</v>
        <stp/>
        <stp>EM_S_VAL_PETTMDEDUCTED</stp>
        <stp>2</stp>
        <stp>603336</stp>
        <stp>12/31/2018</stp>
        <tr r="M2819" s="1"/>
      </tp>
      <tp>
        <v>23.637972989548999</v>
        <stp/>
        <stp>EM_S_VAL_PETTMDEDUCTED</stp>
        <stp>2</stp>
        <stp>603337</stp>
        <stp>12/31/2018</stp>
        <tr r="M3338" s="1"/>
      </tp>
      <tp>
        <v>-4202.3993180962298</v>
        <stp/>
        <stp>EM_S_VAL_PETTMDEDUCTED</stp>
        <stp>2</stp>
        <stp>603335</stp>
        <stp>12/31/2018</stp>
        <tr r="M3070" s="1"/>
      </tp>
      <tp>
        <v>62.595991159937597</v>
        <stp/>
        <stp>EM_S_VAL_PETTMDEDUCTED</stp>
        <stp>2</stp>
        <stp>603333</stp>
        <stp>12/31/2018</stp>
        <tr r="M196" s="1"/>
      </tp>
      <tp>
        <v>41.266958048959097</v>
        <stp/>
        <stp>EM_S_VAL_PETTMDEDUCTED</stp>
        <stp>2</stp>
        <stp>603330</stp>
        <stp>12/31/2018</stp>
        <tr r="M3151" s="1"/>
      </tp>
      <tp>
        <v>28.6544897359767</v>
        <stp/>
        <stp>EM_S_VAL_PETTMDEDUCTED</stp>
        <stp>2</stp>
        <stp>603331</stp>
        <stp>12/31/2018</stp>
        <tr r="M1621" s="1"/>
      </tp>
      <tp>
        <v>16.358464301228999</v>
        <stp/>
        <stp>EM_S_VAL_PETTMDEDUCTED</stp>
        <stp>2</stp>
        <stp>603328</stp>
        <stp>12/31/2018</stp>
        <tr r="M1464" s="1"/>
      </tp>
      <tp>
        <v>31.194227047550299</v>
        <stp/>
        <stp>EM_S_VAL_PETTMDEDUCTED</stp>
        <stp>2</stp>
        <stp>603329</stp>
        <stp>12/31/2018</stp>
        <tr r="M2895" s="1"/>
      </tp>
      <tp>
        <v>25.980597990392098</v>
        <stp/>
        <stp>EM_S_VAL_PETTMDEDUCTED</stp>
        <stp>2</stp>
        <stp>603326</stp>
        <stp>12/31/2018</stp>
        <tr r="M798" s="1"/>
      </tp>
      <tp>
        <v>223.770767755149</v>
        <stp/>
        <stp>EM_S_VAL_PETTMDEDUCTED</stp>
        <stp>2</stp>
        <stp>603322</stp>
        <stp>12/31/2018</stp>
        <tr r="M3308" s="1"/>
      </tp>
      <tp>
        <v>10.644873404958499</v>
        <stp/>
        <stp>EM_S_VAL_PETTMDEDUCTED</stp>
        <stp>2</stp>
        <stp>603323</stp>
        <stp>12/31/2018</stp>
        <tr r="M2888" s="1"/>
      </tp>
      <tp>
        <v>47.994609621585603</v>
        <stp/>
        <stp>EM_S_VAL_PETTMDEDUCTED</stp>
        <stp>2</stp>
        <stp>603320</stp>
        <stp>12/31/2018</stp>
        <tr r="M2682" s="1"/>
      </tp>
      <tp>
        <v>61.670976976797299</v>
        <stp/>
        <stp>EM_S_VAL_PETTMDEDUCTED</stp>
        <stp>2</stp>
        <stp>603321</stp>
        <stp>12/31/2018</stp>
        <tr r="M1483" s="1"/>
      </tp>
      <tp>
        <v>384.48321881088901</v>
        <stp/>
        <stp>EM_S_VAL_PETTMDEDUCTED</stp>
        <stp>2</stp>
        <stp>603318</stp>
        <stp>12/31/2018</stp>
        <tr r="M2674" s="1"/>
      </tp>
      <tp>
        <v>17.8631473274401</v>
        <stp/>
        <stp>EM_S_VAL_PETTMDEDUCTED</stp>
        <stp>2</stp>
        <stp>603319</stp>
        <stp>12/31/2018</stp>
        <tr r="M2802" s="1"/>
      </tp>
      <tp>
        <v>27.430707446929102</v>
        <stp/>
        <stp>EM_S_VAL_PETTMDEDUCTED</stp>
        <stp>2</stp>
        <stp>603316</stp>
        <stp>12/31/2018</stp>
        <tr r="M1325" s="1"/>
      </tp>
      <tp>
        <v>-149.67381148707699</v>
        <stp/>
        <stp>EM_S_VAL_PETTMDEDUCTED</stp>
        <stp>2</stp>
        <stp>603315</stp>
        <stp>12/31/2018</stp>
        <tr r="M2056" s="1"/>
      </tp>
      <tp>
        <v>35.0187100302836</v>
        <stp/>
        <stp>EM_S_VAL_PETTMDEDUCTED</stp>
        <stp>2</stp>
        <stp>603313</stp>
        <stp>12/31/2018</stp>
        <tr r="M2362" s="1"/>
      </tp>
      <tp>
        <v>31.373539038662599</v>
        <stp/>
        <stp>EM_S_VAL_PETTMDEDUCTED</stp>
        <stp>2</stp>
        <stp>603311</stp>
        <stp>12/31/2018</stp>
        <tr r="M1757" s="1"/>
      </tp>
      <tp>
        <v>95.428008480818207</v>
        <stp/>
        <stp>EM_S_VAL_PETTMDEDUCTED</stp>
        <stp>2</stp>
        <stp>603308</stp>
        <stp>12/31/2018</stp>
        <tr r="M218" s="1"/>
      </tp>
      <tp>
        <v>40.219779805290003</v>
        <stp/>
        <stp>EM_S_VAL_PETTMDEDUCTED</stp>
        <stp>2</stp>
        <stp>603309</stp>
        <stp>12/31/2018</stp>
        <tr r="M620" s="1"/>
      </tp>
      <tp>
        <v>15.4414607893053</v>
        <stp/>
        <stp>EM_S_VAL_PETTMDEDUCTED</stp>
        <stp>2</stp>
        <stp>603306</stp>
        <stp>12/31/2018</stp>
        <tr r="M2468" s="1"/>
      </tp>
      <tp>
        <v>43.805609236525299</v>
        <stp/>
        <stp>EM_S_VAL_PETTMDEDUCTED</stp>
        <stp>2</stp>
        <stp>603305</stp>
        <stp>12/31/2018</stp>
        <tr r="M1751" s="1"/>
      </tp>
      <tp>
        <v>0</v>
        <stp/>
        <stp>EM_S_VAL_PETTMDEDUCTED</stp>
        <stp>2</stp>
        <stp>603302</stp>
        <stp>12/31/2018</stp>
        <tr r="M14" s="1"/>
      </tp>
      <tp>
        <v>28.474067436195899</v>
        <stp/>
        <stp>EM_S_VAL_PETTMDEDUCTED</stp>
        <stp>2</stp>
        <stp>603303</stp>
        <stp>12/31/2018</stp>
        <tr r="M2847" s="1"/>
      </tp>
      <tp>
        <v>39.567294266789403</v>
        <stp/>
        <stp>EM_S_VAL_PETTMDEDUCTED</stp>
        <stp>2</stp>
        <stp>603300</stp>
        <stp>12/31/2018</stp>
        <tr r="M370" s="1"/>
      </tp>
      <tp>
        <v>39.2901345876123</v>
        <stp/>
        <stp>EM_S_VAL_PETTMDEDUCTED</stp>
        <stp>2</stp>
        <stp>603301</stp>
        <stp>12/31/2018</stp>
        <tr r="M3245" s="1"/>
      </tp>
      <tp>
        <v>31.180424475848302</v>
        <stp/>
        <stp>EM_S_VAL_PETTMDEDUCTED</stp>
        <stp>2</stp>
        <stp>603098</stp>
        <stp>12/31/2018</stp>
        <tr r="M3054" s="1"/>
      </tp>
      <tp>
        <v>32.028645418900403</v>
        <stp/>
        <stp>EM_S_VAL_PETTMDEDUCTED</stp>
        <stp>2</stp>
        <stp>603099</stp>
        <stp>12/31/2018</stp>
        <tr r="M1625" s="1"/>
      </tp>
      <tp>
        <v>43.0458005383027</v>
        <stp/>
        <stp>EM_S_VAL_PETTMDEDUCTED</stp>
        <stp>2</stp>
        <stp>603096</stp>
        <stp>12/31/2018</stp>
        <tr r="M2758" s="1"/>
      </tp>
      <tp>
        <v>54.911415438758603</v>
        <stp/>
        <stp>EM_S_VAL_PETTMDEDUCTED</stp>
        <stp>2</stp>
        <stp>603090</stp>
        <stp>12/31/2018</stp>
        <tr r="M1077" s="1"/>
      </tp>
      <tp>
        <v>34.553619399159402</v>
        <stp/>
        <stp>EM_S_VAL_PETTMDEDUCTED</stp>
        <stp>2</stp>
        <stp>603088</stp>
        <stp>12/31/2018</stp>
        <tr r="M3087" s="1"/>
      </tp>
      <tp>
        <v>26.538950894233899</v>
        <stp/>
        <stp>EM_S_VAL_PETTMDEDUCTED</stp>
        <stp>2</stp>
        <stp>603089</stp>
        <stp>12/31/2018</stp>
        <tr r="M2683" s="1"/>
      </tp>
      <tp>
        <v>12.6714090228767</v>
        <stp/>
        <stp>EM_S_VAL_PETTMDEDUCTED</stp>
        <stp>2</stp>
        <stp>603086</stp>
        <stp>12/31/2018</stp>
        <tr r="M1630" s="1"/>
      </tp>
      <tp>
        <v>41.007774129961199</v>
        <stp/>
        <stp>EM_S_VAL_PETTMDEDUCTED</stp>
        <stp>2</stp>
        <stp>603085</stp>
        <stp>12/31/2018</stp>
        <tr r="M1947" s="1"/>
      </tp>
      <tp>
        <v>110.372086840083</v>
        <stp/>
        <stp>EM_S_VAL_PETTMDEDUCTED</stp>
        <stp>2</stp>
        <stp>603083</stp>
        <stp>12/31/2018</stp>
        <tr r="M1659" s="1"/>
      </tp>
      <tp>
        <v>32.706987371221103</v>
        <stp/>
        <stp>EM_S_VAL_PETTMDEDUCTED</stp>
        <stp>2</stp>
        <stp>603080</stp>
        <stp>12/31/2018</stp>
        <tr r="M3079" s="1"/>
      </tp>
      <tp>
        <v>22.210204029067299</v>
        <stp/>
        <stp>EM_S_VAL_PETTMDEDUCTED</stp>
        <stp>2</stp>
        <stp>603081</stp>
        <stp>12/31/2018</stp>
        <tr r="M617" s="1"/>
      </tp>
      <tp>
        <v>81.228770518182003</v>
        <stp/>
        <stp>EM_S_VAL_PETTMDEDUCTED</stp>
        <stp>2</stp>
        <stp>603078</stp>
        <stp>12/31/2018</stp>
        <tr r="M1260" s="1"/>
      </tp>
      <tp>
        <v>28.952282094013398</v>
        <stp/>
        <stp>EM_S_VAL_PETTMDEDUCTED</stp>
        <stp>2</stp>
        <stp>603079</stp>
        <stp>12/31/2018</stp>
        <tr r="M90" s="1"/>
      </tp>
      <tp>
        <v>32.019993407430903</v>
        <stp/>
        <stp>EM_S_VAL_PETTMDEDUCTED</stp>
        <stp>2</stp>
        <stp>603076</stp>
        <stp>12/31/2018</stp>
        <tr r="M2382" s="1"/>
      </tp>
      <tp>
        <v>23.129930882703299</v>
        <stp/>
        <stp>EM_S_VAL_PETTMDEDUCTED</stp>
        <stp>2</stp>
        <stp>603077</stp>
        <stp>12/31/2018</stp>
        <tr r="M2778" s="1"/>
      </tp>
      <tp>
        <v>59.044790827765802</v>
        <stp/>
        <stp>EM_S_VAL_PETTMDEDUCTED</stp>
        <stp>2</stp>
        <stp>603069</stp>
        <stp>12/31/2018</stp>
        <tr r="M464" s="1"/>
      </tp>
      <tp>
        <v>37.554746411427303</v>
        <stp/>
        <stp>EM_S_VAL_PETTMDEDUCTED</stp>
        <stp>2</stp>
        <stp>603066</stp>
        <stp>12/31/2018</stp>
        <tr r="M1845" s="1"/>
      </tp>
      <tp>
        <v>15.318577115333801</v>
        <stp/>
        <stp>EM_S_VAL_PETTMDEDUCTED</stp>
        <stp>2</stp>
        <stp>603067</stp>
        <stp>12/31/2018</stp>
        <tr r="M3099" s="1"/>
      </tp>
      <tp>
        <v>51.074399690085102</v>
        <stp/>
        <stp>EM_S_VAL_PETTMDEDUCTED</stp>
        <stp>2</stp>
        <stp>603063</stp>
        <stp>12/31/2018</stp>
        <tr r="M636" s="1"/>
      </tp>
      <tp>
        <v>32.788200873557997</v>
        <stp/>
        <stp>EM_S_VAL_PETTMDEDUCTED</stp>
        <stp>2</stp>
        <stp>603060</stp>
        <stp>12/31/2018</stp>
        <tr r="M1134" s="1"/>
      </tp>
      <tp>
        <v>35.215357192863202</v>
        <stp/>
        <stp>EM_S_VAL_PETTMDEDUCTED</stp>
        <stp>2</stp>
        <stp>603058</stp>
        <stp>12/31/2018</stp>
        <tr r="M3088" s="1"/>
      </tp>
      <tp>
        <v>28.749010423903201</v>
        <stp/>
        <stp>EM_S_VAL_PETTMDEDUCTED</stp>
        <stp>2</stp>
        <stp>603059</stp>
        <stp>12/31/2018</stp>
        <tr r="M2986" s="1"/>
      </tp>
      <tp>
        <v>41.152524679390702</v>
        <stp/>
        <stp>EM_S_VAL_PETTMDEDUCTED</stp>
        <stp>2</stp>
        <stp>603056</stp>
        <stp>12/31/2018</stp>
        <tr r="M3254" s="1"/>
      </tp>
      <tp>
        <v>14.0701375972902</v>
        <stp/>
        <stp>EM_S_VAL_PETTMDEDUCTED</stp>
        <stp>2</stp>
        <stp>603055</stp>
        <stp>12/31/2018</stp>
        <tr r="M3266" s="1"/>
      </tp>
      <tp>
        <v>27.6567360519613</v>
        <stp/>
        <stp>EM_S_VAL_PETTMDEDUCTED</stp>
        <stp>2</stp>
        <stp>603050</stp>
        <stp>12/31/2018</stp>
        <tr r="M2950" s="1"/>
      </tp>
      <tp>
        <v>62.793661126398398</v>
        <stp/>
        <stp>EM_S_VAL_PETTMDEDUCTED</stp>
        <stp>2</stp>
        <stp>603045</stp>
        <stp>12/31/2018</stp>
        <tr r="M3358" s="1"/>
      </tp>
      <tp>
        <v>347.08310435625498</v>
        <stp/>
        <stp>EM_S_VAL_PETTMDEDUCTED</stp>
        <stp>2</stp>
        <stp>603042</stp>
        <stp>12/31/2018</stp>
        <tr r="M2387" s="1"/>
      </tp>
      <tp>
        <v>25.937175908605901</v>
        <stp/>
        <stp>EM_S_VAL_PETTMDEDUCTED</stp>
        <stp>2</stp>
        <stp>603043</stp>
        <stp>12/31/2018</stp>
        <tr r="M1672" s="1"/>
      </tp>
      <tp>
        <v>21.3789353977742</v>
        <stp/>
        <stp>EM_S_VAL_PETTMDEDUCTED</stp>
        <stp>2</stp>
        <stp>603040</stp>
        <stp>12/31/2018</stp>
        <tr r="M891" s="1"/>
      </tp>
      <tp>
        <v>55.732944518820403</v>
        <stp/>
        <stp>EM_S_VAL_PETTMDEDUCTED</stp>
        <stp>2</stp>
        <stp>603041</stp>
        <stp>12/31/2018</stp>
        <tr r="M1218" s="1"/>
      </tp>
      <tp>
        <v>26.450811062738602</v>
        <stp/>
        <stp>EM_S_VAL_PETTMDEDUCTED</stp>
        <stp>2</stp>
        <stp>603038</stp>
        <stp>12/31/2018</stp>
        <tr r="M2833" s="1"/>
      </tp>
      <tp>
        <v>96.661180874808096</v>
        <stp/>
        <stp>EM_S_VAL_PETTMDEDUCTED</stp>
        <stp>2</stp>
        <stp>603039</stp>
        <stp>12/31/2018</stp>
        <tr r="M3129" s="1"/>
      </tp>
      <tp>
        <v>104.79556898823201</v>
        <stp/>
        <stp>EM_S_VAL_PETTMDEDUCTED</stp>
        <stp>2</stp>
        <stp>603036</stp>
        <stp>12/31/2018</stp>
        <tr r="M2651" s="1"/>
      </tp>
      <tp>
        <v>16.4267724782442</v>
        <stp/>
        <stp>EM_S_VAL_PETTMDEDUCTED</stp>
        <stp>2</stp>
        <stp>603037</stp>
        <stp>12/31/2018</stp>
        <tr r="M2448" s="1"/>
      </tp>
      <tp>
        <v>14.918629547832699</v>
        <stp/>
        <stp>EM_S_VAL_PETTMDEDUCTED</stp>
        <stp>2</stp>
        <stp>603035</stp>
        <stp>12/31/2018</stp>
        <tr r="M1913" s="1"/>
      </tp>
      <tp>
        <v>-1410.13763982927</v>
        <stp/>
        <stp>EM_S_VAL_PETTMDEDUCTED</stp>
        <stp>2</stp>
        <stp>603032</stp>
        <stp>12/31/2018</stp>
        <tr r="M3116" s="1"/>
      </tp>
      <tp>
        <v>25.137525603170399</v>
        <stp/>
        <stp>EM_S_VAL_PETTMDEDUCTED</stp>
        <stp>2</stp>
        <stp>603033</stp>
        <stp>12/31/2018</stp>
        <tr r="M2572" s="1"/>
      </tp>
      <tp>
        <v>11.803021915807101</v>
        <stp/>
        <stp>EM_S_VAL_PETTMDEDUCTED</stp>
        <stp>2</stp>
        <stp>603030</stp>
        <stp>12/31/2018</stp>
        <tr r="M1545" s="1"/>
      </tp>
      <tp>
        <v>78.586471890635806</v>
        <stp/>
        <stp>EM_S_VAL_PETTMDEDUCTED</stp>
        <stp>2</stp>
        <stp>603031</stp>
        <stp>12/31/2018</stp>
        <tr r="M225" s="1"/>
      </tp>
      <tp>
        <v>208.03034035312601</v>
        <stp/>
        <stp>EM_S_VAL_PETTMDEDUCTED</stp>
        <stp>2</stp>
        <stp>603028</stp>
        <stp>12/31/2018</stp>
        <tr r="M383" s="1"/>
      </tp>
      <tp>
        <v>-1692.7429970824501</v>
        <stp/>
        <stp>EM_S_VAL_PETTMDEDUCTED</stp>
        <stp>2</stp>
        <stp>603029</stp>
        <stp>12/31/2018</stp>
        <tr r="M1695" s="1"/>
      </tp>
      <tp>
        <v>17.276241062629101</v>
        <stp/>
        <stp>EM_S_VAL_PETTMDEDUCTED</stp>
        <stp>2</stp>
        <stp>603026</stp>
        <stp>12/31/2018</stp>
        <tr r="M220" s="1"/>
      </tp>
      <tp>
        <v>39.796261016138303</v>
        <stp/>
        <stp>EM_S_VAL_PETTMDEDUCTED</stp>
        <stp>2</stp>
        <stp>603027</stp>
        <stp>12/31/2018</stp>
        <tr r="M783" s="1"/>
      </tp>
      <tp>
        <v>27.771020970086798</v>
        <stp/>
        <stp>EM_S_VAL_PETTMDEDUCTED</stp>
        <stp>2</stp>
        <stp>603025</stp>
        <stp>12/31/2018</stp>
        <tr r="M2951" s="1"/>
      </tp>
      <tp>
        <v>39.794457856402403</v>
        <stp/>
        <stp>EM_S_VAL_PETTMDEDUCTED</stp>
        <stp>2</stp>
        <stp>603022</stp>
        <stp>12/31/2018</stp>
        <tr r="M185" s="1"/>
      </tp>
      <tp>
        <v>24.947125659419498</v>
        <stp/>
        <stp>EM_S_VAL_PETTMDEDUCTED</stp>
        <stp>2</stp>
        <stp>603023</stp>
        <stp>12/31/2018</stp>
        <tr r="M2040" s="1"/>
      </tp>
      <tp>
        <v>23.1210189161683</v>
        <stp/>
        <stp>EM_S_VAL_PETTMDEDUCTED</stp>
        <stp>2</stp>
        <stp>603020</stp>
        <stp>12/31/2018</stp>
        <tr r="M1717" s="1"/>
      </tp>
      <tp>
        <v>-37.823871743180398</v>
        <stp/>
        <stp>EM_S_VAL_PETTMDEDUCTED</stp>
        <stp>2</stp>
        <stp>603021</stp>
        <stp>12/31/2018</stp>
        <tr r="M717" s="1"/>
      </tp>
      <tp>
        <v>16.481148712677701</v>
        <stp/>
        <stp>EM_S_VAL_PETTMDEDUCTED</stp>
        <stp>2</stp>
        <stp>603018</stp>
        <stp>12/31/2018</stp>
        <tr r="M3325" s="1"/>
      </tp>
      <tp>
        <v>100.31874132388999</v>
        <stp/>
        <stp>EM_S_VAL_PETTMDEDUCTED</stp>
        <stp>2</stp>
        <stp>603019</stp>
        <stp>12/31/2018</stp>
        <tr r="M2496" s="1"/>
      </tp>
      <tp>
        <v>52.975669095630302</v>
        <stp/>
        <stp>EM_S_VAL_PETTMDEDUCTED</stp>
        <stp>2</stp>
        <stp>603016</stp>
        <stp>12/31/2018</stp>
        <tr r="M2520" s="1"/>
      </tp>
      <tp>
        <v>17.676128485839001</v>
        <stp/>
        <stp>EM_S_VAL_PETTMDEDUCTED</stp>
        <stp>2</stp>
        <stp>603017</stp>
        <stp>12/31/2018</stp>
        <tr r="M1945" s="1"/>
      </tp>
      <tp>
        <v>35.933733276771299</v>
        <stp/>
        <stp>EM_S_VAL_PETTMDEDUCTED</stp>
        <stp>2</stp>
        <stp>603015</stp>
        <stp>12/31/2018</stp>
        <tr r="M1933" s="1"/>
      </tp>
      <tp>
        <v>29.050440821685001</v>
        <stp/>
        <stp>EM_S_VAL_PETTMDEDUCTED</stp>
        <stp>2</stp>
        <stp>603012</stp>
        <stp>12/31/2018</stp>
        <tr r="M1606" s="1"/>
      </tp>
      <tp>
        <v>28.977511361648499</v>
        <stp/>
        <stp>EM_S_VAL_PETTMDEDUCTED</stp>
        <stp>2</stp>
        <stp>603013</stp>
        <stp>12/31/2018</stp>
        <tr r="M2867" s="1"/>
      </tp>
      <tp>
        <v>39.836899087756002</v>
        <stp/>
        <stp>EM_S_VAL_PETTMDEDUCTED</stp>
        <stp>2</stp>
        <stp>603010</stp>
        <stp>12/31/2018</stp>
        <tr r="M3049" s="1"/>
      </tp>
      <tp>
        <v>90.496919587845497</v>
        <stp/>
        <stp>EM_S_VAL_PETTMDEDUCTED</stp>
        <stp>2</stp>
        <stp>603011</stp>
        <stp>12/31/2018</stp>
        <tr r="M1463" s="1"/>
      </tp>
      <tp>
        <v>17.7270989573978</v>
        <stp/>
        <stp>EM_S_VAL_PETTMDEDUCTED</stp>
        <stp>2</stp>
        <stp>603008</stp>
        <stp>12/31/2018</stp>
        <tr r="M376" s="1"/>
      </tp>
      <tp>
        <v>31.583269318700602</v>
        <stp/>
        <stp>EM_S_VAL_PETTMDEDUCTED</stp>
        <stp>2</stp>
        <stp>603009</stp>
        <stp>12/31/2018</stp>
        <tr r="M1875" s="1"/>
      </tp>
      <tp>
        <v>19.7859634351586</v>
        <stp/>
        <stp>EM_S_VAL_PETTMDEDUCTED</stp>
        <stp>2</stp>
        <stp>603006</stp>
        <stp>12/31/2018</stp>
        <tr r="M1371" s="1"/>
      </tp>
      <tp>
        <v>15.505188905453201</v>
        <stp/>
        <stp>EM_S_VAL_PETTMDEDUCTED</stp>
        <stp>2</stp>
        <stp>603007</stp>
        <stp>12/31/2018</stp>
        <tr r="M2914" s="1"/>
      </tp>
      <tp>
        <v>99.035512010418302</v>
        <stp/>
        <stp>EM_S_VAL_PETTMDEDUCTED</stp>
        <stp>2</stp>
        <stp>603005</stp>
        <stp>12/31/2018</stp>
        <tr r="M98" s="1"/>
      </tp>
      <tp>
        <v>26.252442045380899</v>
        <stp/>
        <stp>EM_S_VAL_PETTMDEDUCTED</stp>
        <stp>2</stp>
        <stp>603002</stp>
        <stp>12/31/2018</stp>
        <tr r="M1090" s="1"/>
      </tp>
      <tp>
        <v>78.221573309361801</v>
        <stp/>
        <stp>EM_S_VAL_PETTMDEDUCTED</stp>
        <stp>2</stp>
        <stp>603003</stp>
        <stp>12/31/2018</stp>
        <tr r="M1217" s="1"/>
      </tp>
      <tp>
        <v>66.481763864367096</v>
        <stp/>
        <stp>EM_S_VAL_PETTMDEDUCTED</stp>
        <stp>2</stp>
        <stp>603000</stp>
        <stp>12/31/2018</stp>
        <tr r="M61" s="1"/>
      </tp>
      <tp>
        <v>25.666441024859299</v>
        <stp/>
        <stp>EM_S_VAL_PETTMDEDUCTED</stp>
        <stp>2</stp>
        <stp>603001</stp>
        <stp>12/31/2018</stp>
        <tr r="M2795" s="1"/>
      </tp>
      <tp>
        <v>16.313136492085601</v>
        <stp/>
        <stp>EM_S_VAL_PETTMDEDUCTED</stp>
        <stp>2</stp>
        <stp>603198</stp>
        <stp>12/31/2018</stp>
        <tr r="M704" s="1"/>
      </tp>
      <tp>
        <v>25.2717026193145</v>
        <stp/>
        <stp>EM_S_VAL_PETTMDEDUCTED</stp>
        <stp>2</stp>
        <stp>603199</stp>
        <stp>12/31/2018</stp>
        <tr r="M1084" s="1"/>
      </tp>
      <tp>
        <v>71.013669751098604</v>
        <stp/>
        <stp>EM_S_VAL_PETTMDEDUCTED</stp>
        <stp>2</stp>
        <stp>603196</stp>
        <stp>12/31/2018</stp>
        <tr r="M3158" s="1"/>
      </tp>
      <tp>
        <v>26.4965854292894</v>
        <stp/>
        <stp>EM_S_VAL_PETTMDEDUCTED</stp>
        <stp>2</stp>
        <stp>603197</stp>
        <stp>12/31/2018</stp>
        <tr r="M545" s="1"/>
      </tp>
      <tp>
        <v>13.554891256881399</v>
        <stp/>
        <stp>EM_S_VAL_PETTMDEDUCTED</stp>
        <stp>2</stp>
        <stp>603188</stp>
        <stp>12/31/2018</stp>
        <tr r="M2816" s="1"/>
      </tp>
      <tp>
        <v>204.202767874161</v>
        <stp/>
        <stp>EM_S_VAL_PETTMDEDUCTED</stp>
        <stp>2</stp>
        <stp>603189</stp>
        <stp>12/31/2018</stp>
        <tr r="M591" s="1"/>
      </tp>
      <tp>
        <v>27.3800037187752</v>
        <stp/>
        <stp>EM_S_VAL_PETTMDEDUCTED</stp>
        <stp>2</stp>
        <stp>603186</stp>
        <stp>12/31/2018</stp>
        <tr r="M82" s="1"/>
      </tp>
      <tp>
        <v>38.090594074914399</v>
        <stp/>
        <stp>EM_S_VAL_PETTMDEDUCTED</stp>
        <stp>2</stp>
        <stp>603183</stp>
        <stp>12/31/2018</stp>
        <tr r="M3318" s="1"/>
      </tp>
      <tp>
        <v>26.347587410818701</v>
        <stp/>
        <stp>EM_S_VAL_PETTMDEDUCTED</stp>
        <stp>2</stp>
        <stp>603180</stp>
        <stp>12/31/2018</stp>
        <tr r="M1458" s="1"/>
      </tp>
      <tp>
        <v>16.641789023297399</v>
        <stp/>
        <stp>EM_S_VAL_PETTMDEDUCTED</stp>
        <stp>2</stp>
        <stp>603181</stp>
        <stp>12/31/2018</stp>
        <tr r="M1219" s="1"/>
      </tp>
      <tp>
        <v>33.744495238169399</v>
        <stp/>
        <stp>EM_S_VAL_PETTMDEDUCTED</stp>
        <stp>2</stp>
        <stp>603178</stp>
        <stp>12/31/2018</stp>
        <tr r="M1243" s="1"/>
      </tp>
      <tp>
        <v>12.0903754451152</v>
        <stp/>
        <stp>EM_S_VAL_PETTMDEDUCTED</stp>
        <stp>2</stp>
        <stp>603179</stp>
        <stp>12/31/2018</stp>
        <tr r="M1445" s="1"/>
      </tp>
      <tp>
        <v>122.89830292278501</v>
        <stp/>
        <stp>EM_S_VAL_PETTMDEDUCTED</stp>
        <stp>2</stp>
        <stp>603177</stp>
        <stp>12/31/2018</stp>
        <tr r="M1680" s="1"/>
      </tp>
      <tp>
        <v>48.837938806118999</v>
        <stp/>
        <stp>EM_S_VAL_PETTMDEDUCTED</stp>
        <stp>2</stp>
        <stp>603168</stp>
        <stp>12/31/2018</stp>
        <tr r="M1079" s="1"/>
      </tp>
      <tp>
        <v>-23.267166160844901</v>
        <stp/>
        <stp>EM_S_VAL_PETTMDEDUCTED</stp>
        <stp>2</stp>
        <stp>603169</stp>
        <stp>12/31/2018</stp>
        <tr r="M821" s="1"/>
      </tp>
      <tp>
        <v>39.0623244369094</v>
        <stp/>
        <stp>EM_S_VAL_PETTMDEDUCTED</stp>
        <stp>2</stp>
        <stp>603166</stp>
        <stp>12/31/2018</stp>
        <tr r="M1347" s="1"/>
      </tp>
      <tp>
        <v>18.757148115686501</v>
        <stp/>
        <stp>EM_S_VAL_PETTMDEDUCTED</stp>
        <stp>2</stp>
        <stp>603167</stp>
        <stp>12/31/2018</stp>
        <tr r="M1235" s="1"/>
      </tp>
      <tp>
        <v>10.626943672393001</v>
        <stp/>
        <stp>EM_S_VAL_PETTMDEDUCTED</stp>
        <stp>2</stp>
        <stp>603165</stp>
        <stp>12/31/2018</stp>
        <tr r="M1558" s="1"/>
      </tp>
      <tp>
        <v>92.4752788925896</v>
        <stp/>
        <stp>EM_S_VAL_PETTMDEDUCTED</stp>
        <stp>2</stp>
        <stp>603160</stp>
        <stp>12/31/2018</stp>
        <tr r="M70" s="1"/>
      </tp>
      <tp>
        <v>23.157472740902801</v>
        <stp/>
        <stp>EM_S_VAL_PETTMDEDUCTED</stp>
        <stp>2</stp>
        <stp>603161</stp>
        <stp>12/31/2018</stp>
        <tr r="M2902" s="1"/>
      </tp>
      <tp>
        <v>31.381295595116999</v>
        <stp/>
        <stp>EM_S_VAL_PETTMDEDUCTED</stp>
        <stp>2</stp>
        <stp>603158</stp>
        <stp>12/31/2018</stp>
        <tr r="M2653" s="1"/>
      </tp>
      <tp>
        <v>45.222335024784101</v>
        <stp/>
        <stp>EM_S_VAL_PETTMDEDUCTED</stp>
        <stp>2</stp>
        <stp>603159</stp>
        <stp>12/31/2018</stp>
        <tr r="M3276" s="1"/>
      </tp>
      <tp>
        <v>14.9546679900293</v>
        <stp/>
        <stp>EM_S_VAL_PETTMDEDUCTED</stp>
        <stp>2</stp>
        <stp>603156</stp>
        <stp>12/31/2018</stp>
        <tr r="M3226" s="1"/>
      </tp>
      <tp>
        <v>18.605221352509801</v>
        <stp/>
        <stp>EM_S_VAL_PETTMDEDUCTED</stp>
        <stp>2</stp>
        <stp>603157</stp>
        <stp>12/31/2018</stp>
        <tr r="M3240" s="1"/>
      </tp>
      <tp>
        <v>56.275139170954702</v>
        <stp/>
        <stp>EM_S_VAL_PETTMDEDUCTED</stp>
        <stp>2</stp>
        <stp>603138</stp>
        <stp>12/31/2018</stp>
        <tr r="M2938" s="1"/>
      </tp>
      <tp>
        <v>31.242372519514799</v>
        <stp/>
        <stp>EM_S_VAL_PETTMDEDUCTED</stp>
        <stp>2</stp>
        <stp>603139</stp>
        <stp>12/31/2018</stp>
        <tr r="M1742" s="1"/>
      </tp>
      <tp>
        <v>24.276486687267301</v>
        <stp/>
        <stp>EM_S_VAL_PETTMDEDUCTED</stp>
        <stp>2</stp>
        <stp>603136</stp>
        <stp>12/31/2018</stp>
        <tr r="M2787" s="1"/>
      </tp>
      <tp>
        <v>78.934937810776304</v>
        <stp/>
        <stp>EM_S_VAL_PETTMDEDUCTED</stp>
        <stp>2</stp>
        <stp>603133</stp>
        <stp>12/31/2018</stp>
        <tr r="M506" s="1"/>
      </tp>
      <tp>
        <v>71.948821224125496</v>
        <stp/>
        <stp>EM_S_VAL_PETTMDEDUCTED</stp>
        <stp>2</stp>
        <stp>603131</stp>
        <stp>12/31/2018</stp>
        <tr r="M2818" s="1"/>
      </tp>
      <tp>
        <v>19.359829544705601</v>
        <stp/>
        <stp>EM_S_VAL_PETTMDEDUCTED</stp>
        <stp>2</stp>
        <stp>603128</stp>
        <stp>12/31/2018</stp>
        <tr r="M1380" s="1"/>
      </tp>
      <tp>
        <v>24.073009483274198</v>
        <stp/>
        <stp>EM_S_VAL_PETTMDEDUCTED</stp>
        <stp>2</stp>
        <stp>603129</stp>
        <stp>12/31/2018</stp>
        <tr r="M76" s="1"/>
      </tp>
      <tp>
        <v>25.7028780716042</v>
        <stp/>
        <stp>EM_S_VAL_PETTMDEDUCTED</stp>
        <stp>2</stp>
        <stp>603126</stp>
        <stp>12/31/2018</stp>
        <tr r="M2549" s="1"/>
      </tp>
      <tp>
        <v>67.676352533535194</v>
        <stp/>
        <stp>EM_S_VAL_PETTMDEDUCTED</stp>
        <stp>2</stp>
        <stp>603127</stp>
        <stp>12/31/2018</stp>
        <tr r="M1307" s="1"/>
      </tp>
      <tp>
        <v>21.517874950206402</v>
        <stp/>
        <stp>EM_S_VAL_PETTMDEDUCTED</stp>
        <stp>2</stp>
        <stp>603123</stp>
        <stp>12/31/2018</stp>
        <tr r="M1396" s="1"/>
      </tp>
      <tp>
        <v>89.287486108404593</v>
        <stp/>
        <stp>EM_S_VAL_PETTMDEDUCTED</stp>
        <stp>2</stp>
        <stp>603118</stp>
        <stp>12/31/2018</stp>
        <tr r="M261" s="1"/>
      </tp>
      <tp>
        <v>17.350328871336401</v>
        <stp/>
        <stp>EM_S_VAL_PETTMDEDUCTED</stp>
        <stp>2</stp>
        <stp>603116</stp>
        <stp>12/31/2018</stp>
        <tr r="M2418" s="1"/>
      </tp>
      <tp>
        <v>24.096583484879499</v>
        <stp/>
        <stp>EM_S_VAL_PETTMDEDUCTED</stp>
        <stp>2</stp>
        <stp>603117</stp>
        <stp>12/31/2018</stp>
        <tr r="M1955" s="1"/>
      </tp>
      <tp>
        <v>8.1808652340825194</v>
        <stp/>
        <stp>EM_S_VAL_PETTMDEDUCTED</stp>
        <stp>2</stp>
        <stp>603113</stp>
        <stp>12/31/2018</stp>
        <tr r="M2475" s="1"/>
      </tp>
      <tp>
        <v>53.032689979490897</v>
        <stp/>
        <stp>EM_S_VAL_PETTMDEDUCTED</stp>
        <stp>2</stp>
        <stp>603110</stp>
        <stp>12/31/2018</stp>
        <tr r="M453" s="1"/>
      </tp>
      <tp>
        <v>34.074801568397298</v>
        <stp/>
        <stp>EM_S_VAL_PETTMDEDUCTED</stp>
        <stp>2</stp>
        <stp>603111</stp>
        <stp>12/31/2018</stp>
        <tr r="M948" s="1"/>
      </tp>
      <tp>
        <v>13.971713103816899</v>
        <stp/>
        <stp>EM_S_VAL_PETTMDEDUCTED</stp>
        <stp>2</stp>
        <stp>603108</stp>
        <stp>12/31/2018</stp>
        <tr r="M803" s="1"/>
      </tp>
      <tp>
        <v>64.267662531386506</v>
        <stp/>
        <stp>EM_S_VAL_PETTMDEDUCTED</stp>
        <stp>2</stp>
        <stp>603106</stp>
        <stp>12/31/2018</stp>
        <tr r="M2923" s="1"/>
      </tp>
      <tp>
        <v>56.193320216079599</v>
        <stp/>
        <stp>EM_S_VAL_PETTMDEDUCTED</stp>
        <stp>2</stp>
        <stp>603105</stp>
        <stp>12/31/2018</stp>
        <tr r="M3344" s="1"/>
      </tp>
      <tp>
        <v>35.0180886850695</v>
        <stp/>
        <stp>EM_S_VAL_PETTMDEDUCTED</stp>
        <stp>2</stp>
        <stp>603103</stp>
        <stp>12/31/2018</stp>
        <tr r="M2987" s="1"/>
      </tp>
      <tp>
        <v>23.404327405298101</v>
        <stp/>
        <stp>EM_S_VAL_PETTMDEDUCTED</stp>
        <stp>2</stp>
        <stp>603100</stp>
        <stp>12/31/2018</stp>
        <tr r="M1357" s="1"/>
      </tp>
      <tp>
        <v>41.554428707221398</v>
        <stp/>
        <stp>EM_S_VAL_PETTMDEDUCTED</stp>
        <stp>2</stp>
        <stp>603101</stp>
        <stp>12/31/2018</stp>
        <tr r="M3340" s="1"/>
      </tp>
      <tp>
        <v>13.876096431278</v>
        <stp/>
        <stp>EM_S_VAL_PETTMDEDUCTED</stp>
        <stp>2</stp>
        <stp>603898</stp>
        <stp>12/31/2018</stp>
        <tr r="M2001" s="1"/>
      </tp>
      <tp>
        <v>41.153893122059003</v>
        <stp/>
        <stp>EM_S_VAL_PETTMDEDUCTED</stp>
        <stp>2</stp>
        <stp>603899</stp>
        <stp>12/31/2018</stp>
        <tr r="M439" s="1"/>
      </tp>
      <tp>
        <v>46.5326026297966</v>
        <stp/>
        <stp>EM_S_VAL_PETTMDEDUCTED</stp>
        <stp>2</stp>
        <stp>603896</stp>
        <stp>12/31/2018</stp>
        <tr r="M1605" s="1"/>
      </tp>
      <tp>
        <v>22.130498458126201</v>
        <stp/>
        <stp>EM_S_VAL_PETTMDEDUCTED</stp>
        <stp>2</stp>
        <stp>603897</stp>
        <stp>12/31/2018</stp>
        <tr r="M2927" s="1"/>
      </tp>
      <tp>
        <v>47.183497052062798</v>
        <stp/>
        <stp>EM_S_VAL_PETTMDEDUCTED</stp>
        <stp>2</stp>
        <stp>603895</stp>
        <stp>12/31/2018</stp>
        <tr r="M2804" s="1"/>
      </tp>
      <tp>
        <v>19.271637133904601</v>
        <stp/>
        <stp>EM_S_VAL_PETTMDEDUCTED</stp>
        <stp>2</stp>
        <stp>603890</stp>
        <stp>12/31/2018</stp>
        <tr r="M2755" s="1"/>
      </tp>
      <tp>
        <v>35.289218685654497</v>
        <stp/>
        <stp>EM_S_VAL_PETTMDEDUCTED</stp>
        <stp>2</stp>
        <stp>603888</stp>
        <stp>12/31/2018</stp>
        <tr r="M402" s="1"/>
      </tp>
      <tp>
        <v>15.6369448203098</v>
        <stp/>
        <stp>EM_S_VAL_PETTMDEDUCTED</stp>
        <stp>2</stp>
        <stp>603889</stp>
        <stp>12/31/2018</stp>
        <tr r="M3265" s="1"/>
      </tp>
      <tp>
        <v>18.5676010615556</v>
        <stp/>
        <stp>EM_S_VAL_PETTMDEDUCTED</stp>
        <stp>2</stp>
        <stp>603886</stp>
        <stp>12/31/2018</stp>
        <tr r="M2380" s="1"/>
      </tp>
      <tp>
        <v>27.581888248284201</v>
        <stp/>
        <stp>EM_S_VAL_PETTMDEDUCTED</stp>
        <stp>2</stp>
        <stp>603887</stp>
        <stp>12/31/2018</stp>
        <tr r="M293" s="1"/>
      </tp>
      <tp>
        <v>17.418147744823202</v>
        <stp/>
        <stp>EM_S_VAL_PETTMDEDUCTED</stp>
        <stp>2</stp>
        <stp>603885</stp>
        <stp>12/31/2018</stp>
        <tr r="M1184" s="1"/>
      </tp>
      <tp>
        <v>65.107960182551807</v>
        <stp/>
        <stp>EM_S_VAL_PETTMDEDUCTED</stp>
        <stp>2</stp>
        <stp>603882</stp>
        <stp>12/31/2018</stp>
        <tr r="M116" s="1"/>
      </tp>
      <tp>
        <v>34.1953932188338</v>
        <stp/>
        <stp>EM_S_VAL_PETTMDEDUCTED</stp>
        <stp>2</stp>
        <stp>603883</stp>
        <stp>12/31/2018</stp>
        <tr r="M819" s="1"/>
      </tp>
      <tp>
        <v>38.448322690340397</v>
        <stp/>
        <stp>EM_S_VAL_PETTMDEDUCTED</stp>
        <stp>2</stp>
        <stp>603880</stp>
        <stp>12/31/2018</stp>
        <tr r="M2774" s="1"/>
      </tp>
      <tp>
        <v>40.775492694889699</v>
        <stp/>
        <stp>EM_S_VAL_PETTMDEDUCTED</stp>
        <stp>2</stp>
        <stp>603881</stp>
        <stp>12/31/2018</stp>
        <tr r="M513" s="1"/>
      </tp>
      <tp>
        <v>15.4287079870591</v>
        <stp/>
        <stp>EM_S_VAL_PETTMDEDUCTED</stp>
        <stp>2</stp>
        <stp>603878</stp>
        <stp>12/31/2018</stp>
        <tr r="M2363" s="1"/>
      </tp>
      <tp>
        <v>42.096014679594902</v>
        <stp/>
        <stp>EM_S_VAL_PETTMDEDUCTED</stp>
        <stp>2</stp>
        <stp>603879</stp>
        <stp>12/31/2018</stp>
        <tr r="M1251" s="1"/>
      </tp>
      <tp>
        <v>27.6522020118054</v>
        <stp/>
        <stp>EM_S_VAL_PETTMDEDUCTED</stp>
        <stp>2</stp>
        <stp>603876</stp>
        <stp>12/31/2018</stp>
        <tr r="M2926" s="1"/>
      </tp>
      <tp>
        <v>23.201634936745201</v>
        <stp/>
        <stp>EM_S_VAL_PETTMDEDUCTED</stp>
        <stp>2</stp>
        <stp>603877</stp>
        <stp>12/31/2018</stp>
        <tr r="M2990" s="1"/>
      </tp>
      <tp>
        <v>16.061637816532201</v>
        <stp/>
        <stp>EM_S_VAL_PETTMDEDUCTED</stp>
        <stp>2</stp>
        <stp>603871</stp>
        <stp>12/31/2018</stp>
        <tr r="M2770" s="1"/>
      </tp>
      <tp>
        <v>20.867852963017999</v>
        <stp/>
        <stp>EM_S_VAL_PETTMDEDUCTED</stp>
        <stp>2</stp>
        <stp>603868</stp>
        <stp>12/31/2018</stp>
        <tr r="M2443" s="1"/>
      </tp>
      <tp>
        <v>18.095532350762099</v>
        <stp/>
        <stp>EM_S_VAL_PETTMDEDUCTED</stp>
        <stp>2</stp>
        <stp>603869</stp>
        <stp>12/31/2018</stp>
        <tr r="M3074" s="1"/>
      </tp>
      <tp>
        <v>35.483284423380198</v>
        <stp/>
        <stp>EM_S_VAL_PETTMDEDUCTED</stp>
        <stp>2</stp>
        <stp>603866</stp>
        <stp>12/31/2018</stp>
        <tr r="M2655" s="1"/>
      </tp>
      <tp>
        <v>41.233569382698001</v>
        <stp/>
        <stp>EM_S_VAL_PETTMDEDUCTED</stp>
        <stp>2</stp>
        <stp>603860</stp>
        <stp>12/31/2018</stp>
        <tr r="M1627" s="1"/>
      </tp>
      <tp>
        <v>41.4431842723804</v>
        <stp/>
        <stp>EM_S_VAL_PETTMDEDUCTED</stp>
        <stp>2</stp>
        <stp>603861</stp>
        <stp>12/31/2018</stp>
        <tr r="M3153" s="1"/>
      </tp>
      <tp>
        <v>17.186135691696698</v>
        <stp/>
        <stp>EM_S_VAL_PETTMDEDUCTED</stp>
        <stp>2</stp>
        <stp>603858</stp>
        <stp>12/31/2018</stp>
        <tr r="M3059" s="1"/>
      </tp>
      <tp>
        <v>65.341282536612496</v>
        <stp/>
        <stp>EM_S_VAL_PETTMDEDUCTED</stp>
        <stp>2</stp>
        <stp>603859</stp>
        <stp>12/31/2018</stp>
        <tr r="M443" s="1"/>
      </tp>
      <tp>
        <v>28.379262201764799</v>
        <stp/>
        <stp>EM_S_VAL_PETTMDEDUCTED</stp>
        <stp>2</stp>
        <stp>603856</stp>
        <stp>12/31/2018</stp>
        <tr r="M2996" s="1"/>
      </tp>
      <tp>
        <v>18.961232314227999</v>
        <stp/>
        <stp>EM_S_VAL_PETTMDEDUCTED</stp>
        <stp>2</stp>
        <stp>603855</stp>
        <stp>12/31/2018</stp>
        <tr r="M1126" s="1"/>
      </tp>
      <tp>
        <v>28.373639832725601</v>
        <stp/>
        <stp>EM_S_VAL_PETTMDEDUCTED</stp>
        <stp>2</stp>
        <stp>603848</stp>
        <stp>12/31/2018</stp>
        <tr r="M2703" s="1"/>
      </tp>
      <tp>
        <v>50.226936265448003</v>
        <stp/>
        <stp>EM_S_VAL_PETTMDEDUCTED</stp>
        <stp>2</stp>
        <stp>603843</stp>
        <stp>12/31/2018</stp>
        <tr r="M3316" s="1"/>
      </tp>
      <tp>
        <v>44.573861133670697</v>
        <stp/>
        <stp>EM_S_VAL_PETTMDEDUCTED</stp>
        <stp>2</stp>
        <stp>603838</stp>
        <stp>12/31/2018</stp>
        <tr r="M2880" s="1"/>
      </tp>
      <tp>
        <v>18.9925629363998</v>
        <stp/>
        <stp>EM_S_VAL_PETTMDEDUCTED</stp>
        <stp>2</stp>
        <stp>603839</stp>
        <stp>12/31/2018</stp>
        <tr r="M1152" s="1"/>
      </tp>
      <tp>
        <v>23.204058749805199</v>
        <stp/>
        <stp>EM_S_VAL_PETTMDEDUCTED</stp>
        <stp>2</stp>
        <stp>603833</stp>
        <stp>12/31/2018</stp>
        <tr r="M634" s="1"/>
      </tp>
      <tp>
        <v>40.403741346603098</v>
        <stp/>
        <stp>EM_S_VAL_PETTMDEDUCTED</stp>
        <stp>2</stp>
        <stp>603828</stp>
        <stp>12/31/2018</stp>
        <tr r="M3237" s="1"/>
      </tp>
      <tp>
        <v>38.220017524691897</v>
        <stp/>
        <stp>EM_S_VAL_PETTMDEDUCTED</stp>
        <stp>2</stp>
        <stp>603829</stp>
        <stp>12/31/2018</stp>
        <tr r="M1573" s="1"/>
      </tp>
      <tp>
        <v>41.516551674258203</v>
        <stp/>
        <stp>EM_S_VAL_PETTMDEDUCTED</stp>
        <stp>2</stp>
        <stp>603826</stp>
        <stp>12/31/2018</stp>
        <tr r="M1431" s="1"/>
      </tp>
      <tp>
        <v>19.161312592410798</v>
        <stp/>
        <stp>EM_S_VAL_PETTMDEDUCTED</stp>
        <stp>2</stp>
        <stp>603825</stp>
        <stp>12/31/2018</stp>
        <tr r="M901" s="1"/>
      </tp>
      <tp>
        <v>36.946424686249202</v>
        <stp/>
        <stp>EM_S_VAL_PETTMDEDUCTED</stp>
        <stp>2</stp>
        <stp>603822</stp>
        <stp>12/31/2018</stp>
        <tr r="M1362" s="1"/>
      </tp>
      <tp>
        <v>21.5711256998439</v>
        <stp/>
        <stp>EM_S_VAL_PETTMDEDUCTED</stp>
        <stp>2</stp>
        <stp>603823</stp>
        <stp>12/31/2018</stp>
        <tr r="M322" s="1"/>
      </tp>
      <tp>
        <v>22.3994071030383</v>
        <stp/>
        <stp>EM_S_VAL_PETTMDEDUCTED</stp>
        <stp>2</stp>
        <stp>603818</stp>
        <stp>12/31/2018</stp>
        <tr r="M1096" s="1"/>
      </tp>
      <tp>
        <v>52.235258141205797</v>
        <stp/>
        <stp>EM_S_VAL_PETTMDEDUCTED</stp>
        <stp>2</stp>
        <stp>603819</stp>
        <stp>12/31/2018</stp>
        <tr r="M2892" s="1"/>
      </tp>
      <tp>
        <v>25.0444950750923</v>
        <stp/>
        <stp>EM_S_VAL_PETTMDEDUCTED</stp>
        <stp>2</stp>
        <stp>603816</stp>
        <stp>12/31/2018</stp>
        <tr r="M2230" s="1"/>
      </tp>
      <tp>
        <v>27.120888737907801</v>
        <stp/>
        <stp>EM_S_VAL_PETTMDEDUCTED</stp>
        <stp>2</stp>
        <stp>603817</stp>
        <stp>12/31/2018</stp>
        <tr r="M1638" s="1"/>
      </tp>
      <tp>
        <v>34.146417413968599</v>
        <stp/>
        <stp>EM_S_VAL_PETTMDEDUCTED</stp>
        <stp>2</stp>
        <stp>603813</stp>
        <stp>12/31/2018</stp>
        <tr r="M2153" s="1"/>
      </tp>
      <tp>
        <v>20.493734629940398</v>
        <stp/>
        <stp>EM_S_VAL_PETTMDEDUCTED</stp>
        <stp>2</stp>
        <stp>603811</stp>
        <stp>12/31/2018</stp>
        <tr r="M503" s="1"/>
      </tp>
      <tp>
        <v>15.5562378211142</v>
        <stp/>
        <stp>EM_S_VAL_PETTMDEDUCTED</stp>
        <stp>2</stp>
        <stp>603808</stp>
        <stp>12/31/2018</stp>
        <tr r="M2714" s="1"/>
      </tp>
      <tp>
        <v>14.385868603799601</v>
        <stp/>
        <stp>EM_S_VAL_PETTMDEDUCTED</stp>
        <stp>2</stp>
        <stp>603809</stp>
        <stp>12/31/2018</stp>
        <tr r="M3285" s="1"/>
      </tp>
      <tp>
        <v>27.4069608749762</v>
        <stp/>
        <stp>EM_S_VAL_PETTMDEDUCTED</stp>
        <stp>2</stp>
        <stp>603806</stp>
        <stp>12/31/2018</stp>
        <tr r="M249" s="1"/>
      </tp>
      <tp>
        <v>30.457209638231902</v>
        <stp/>
        <stp>EM_S_VAL_PETTMDEDUCTED</stp>
        <stp>2</stp>
        <stp>603803</stp>
        <stp>12/31/2018</stp>
        <tr r="M1040" s="1"/>
      </tp>
      <tp>
        <v>45.885106584874897</v>
        <stp/>
        <stp>EM_S_VAL_PETTMDEDUCTED</stp>
        <stp>2</stp>
        <stp>603800</stp>
        <stp>12/31/2018</stp>
        <tr r="M1378" s="1"/>
      </tp>
      <tp>
        <v>15.050477724212101</v>
        <stp/>
        <stp>EM_S_VAL_PETTMDEDUCTED</stp>
        <stp>2</stp>
        <stp>603801</stp>
        <stp>12/31/2018</stp>
        <tr r="M2581" s="1"/>
      </tp>
      <tp>
        <v>61.629142922581202</v>
        <stp/>
        <stp>EM_S_VAL_PETTMDEDUCTED</stp>
        <stp>2</stp>
        <stp>603998</stp>
        <stp>12/31/2018</stp>
        <tr r="M287" s="1"/>
      </tp>
      <tp>
        <v>79.779871998972595</v>
        <stp/>
        <stp>EM_S_VAL_PETTMDEDUCTED</stp>
        <stp>2</stp>
        <stp>603999</stp>
        <stp>12/31/2018</stp>
        <tr r="M473" s="1"/>
      </tp>
      <tp>
        <v>14.785036048193801</v>
        <stp/>
        <stp>EM_S_VAL_PETTMDEDUCTED</stp>
        <stp>2</stp>
        <stp>603996</stp>
        <stp>12/31/2018</stp>
        <tr r="M3243" s="1"/>
      </tp>
      <tp>
        <v>15.893003783073199</v>
        <stp/>
        <stp>EM_S_VAL_PETTMDEDUCTED</stp>
        <stp>2</stp>
        <stp>603997</stp>
        <stp>12/31/2018</stp>
        <tr r="M1914" s="1"/>
      </tp>
      <tp>
        <v>15.350841144203301</v>
        <stp/>
        <stp>EM_S_VAL_PETTMDEDUCTED</stp>
        <stp>2</stp>
        <stp>603993</stp>
        <stp>12/31/2018</stp>
        <tr r="M1415" s="1"/>
      </tp>
      <tp>
        <v>97.019235579093305</v>
        <stp/>
        <stp>EM_S_VAL_PETTMDEDUCTED</stp>
        <stp>2</stp>
        <stp>603990</stp>
        <stp>12/31/2018</stp>
        <tr r="M2011" s="1"/>
      </tp>
      <tp>
        <v>39.423975152676199</v>
        <stp/>
        <stp>EM_S_VAL_PETTMDEDUCTED</stp>
        <stp>2</stp>
        <stp>603991</stp>
        <stp>12/31/2018</stp>
        <tr r="M2590" s="1"/>
      </tp>
      <tp>
        <v>56.5413243693597</v>
        <stp/>
        <stp>EM_S_VAL_PETTMDEDUCTED</stp>
        <stp>2</stp>
        <stp>603988</stp>
        <stp>12/31/2018</stp>
        <tr r="M2544" s="1"/>
      </tp>
      <tp>
        <v>28.2474931680438</v>
        <stp/>
        <stp>EM_S_VAL_PETTMDEDUCTED</stp>
        <stp>2</stp>
        <stp>603989</stp>
        <stp>12/31/2018</stp>
        <tr r="M1726" s="1"/>
      </tp>
      <tp>
        <v>45.423159654167002</v>
        <stp/>
        <stp>EM_S_VAL_PETTMDEDUCTED</stp>
        <stp>2</stp>
        <stp>603986</stp>
        <stp>12/31/2018</stp>
        <tr r="M35" s="1"/>
      </tp>
      <tp>
        <v>21.613112303601199</v>
        <stp/>
        <stp>EM_S_VAL_PETTMDEDUCTED</stp>
        <stp>2</stp>
        <stp>603987</stp>
        <stp>12/31/2018</stp>
        <tr r="M1117" s="1"/>
      </tp>
      <tp>
        <v>18.7864818191313</v>
        <stp/>
        <stp>EM_S_VAL_PETTMDEDUCTED</stp>
        <stp>2</stp>
        <stp>603985</stp>
        <stp>12/31/2018</stp>
        <tr r="M3160" s="1"/>
      </tp>
      <tp>
        <v>9.4321088344283606</v>
        <stp/>
        <stp>EM_S_VAL_PETTMDEDUCTED</stp>
        <stp>2</stp>
        <stp>603980</stp>
        <stp>12/31/2018</stp>
        <tr r="M3238" s="1"/>
      </tp>
      <tp>
        <v>34.521922191039103</v>
        <stp/>
        <stp>EM_S_VAL_PETTMDEDUCTED</stp>
        <stp>2</stp>
        <stp>603978</stp>
        <stp>12/31/2018</stp>
        <tr r="M780" s="1"/>
      </tp>
      <tp>
        <v>17.113016122873798</v>
        <stp/>
        <stp>EM_S_VAL_PETTMDEDUCTED</stp>
        <stp>2</stp>
        <stp>603979</stp>
        <stp>12/31/2018</stp>
        <tr r="M1297" s="1"/>
      </tp>
      <tp>
        <v>30.036312707220901</v>
        <stp/>
        <stp>EM_S_VAL_PETTMDEDUCTED</stp>
        <stp>2</stp>
        <stp>603976</stp>
        <stp>12/31/2018</stp>
        <tr r="M1880" s="1"/>
      </tp>
      <tp>
        <v>58.896901269235698</v>
        <stp/>
        <stp>EM_S_VAL_PETTMDEDUCTED</stp>
        <stp>2</stp>
        <stp>603977</stp>
        <stp>12/31/2018</stp>
        <tr r="M1382" s="1"/>
      </tp>
      <tp>
        <v>27.295448087413799</v>
        <stp/>
        <stp>EM_S_VAL_PETTMDEDUCTED</stp>
        <stp>2</stp>
        <stp>603970</stp>
        <stp>12/31/2018</stp>
        <tr r="M3016" s="1"/>
      </tp>
      <tp>
        <v>13.580933396854601</v>
        <stp/>
        <stp>EM_S_VAL_PETTMDEDUCTED</stp>
        <stp>2</stp>
        <stp>603968</stp>
        <stp>12/31/2018</stp>
        <tr r="M1405" s="1"/>
      </tp>
      <tp>
        <v>36.514194544903503</v>
        <stp/>
        <stp>EM_S_VAL_PETTMDEDUCTED</stp>
        <stp>2</stp>
        <stp>603969</stp>
        <stp>12/31/2018</stp>
        <tr r="M2760" s="1"/>
      </tp>
      <tp>
        <v>29.362393229361299</v>
        <stp/>
        <stp>EM_S_VAL_PETTMDEDUCTED</stp>
        <stp>2</stp>
        <stp>603966</stp>
        <stp>12/31/2018</stp>
        <tr r="M1319" s="1"/>
      </tp>
      <tp>
        <v>-442.90277761980798</v>
        <stp/>
        <stp>EM_S_VAL_PETTMDEDUCTED</stp>
        <stp>2</stp>
        <stp>603963</stp>
        <stp>12/31/2018</stp>
        <tr r="M2617" s="1"/>
      </tp>
      <tp>
        <v>59.8191923780712</v>
        <stp/>
        <stp>EM_S_VAL_PETTMDEDUCTED</stp>
        <stp>2</stp>
        <stp>603960</stp>
        <stp>12/31/2018</stp>
        <tr r="M1420" s="1"/>
      </tp>
      <tp>
        <v>-45.5493323995167</v>
        <stp/>
        <stp>EM_S_VAL_PETTMDEDUCTED</stp>
        <stp>2</stp>
        <stp>603958</stp>
        <stp>12/31/2018</stp>
        <tr r="M2677" s="1"/>
      </tp>
      <tp>
        <v>34.945295209934002</v>
        <stp/>
        <stp>EM_S_VAL_PETTMDEDUCTED</stp>
        <stp>2</stp>
        <stp>603959</stp>
        <stp>12/31/2018</stp>
        <tr r="M3275" s="1"/>
      </tp>
      <tp>
        <v>20.804223099360801</v>
        <stp/>
        <stp>EM_S_VAL_PETTMDEDUCTED</stp>
        <stp>2</stp>
        <stp>603955</stp>
        <stp>12/31/2018</stp>
        <tr r="M1547" s="1"/>
      </tp>
      <tp>
        <v>23.176247740644001</v>
        <stp/>
        <stp>EM_S_VAL_PETTMDEDUCTED</stp>
        <stp>2</stp>
        <stp>603938</stp>
        <stp>12/31/2018</stp>
        <tr r="M1870" s="1"/>
      </tp>
      <tp>
        <v>41.2490330934314</v>
        <stp/>
        <stp>EM_S_VAL_PETTMDEDUCTED</stp>
        <stp>2</stp>
        <stp>603939</stp>
        <stp>12/31/2018</stp>
        <tr r="M285" s="1"/>
      </tp>
      <tp>
        <v>42.309465361492499</v>
        <stp/>
        <stp>EM_S_VAL_PETTMDEDUCTED</stp>
        <stp>2</stp>
        <stp>603936</stp>
        <stp>12/31/2018</stp>
        <tr r="M1179" s="1"/>
      </tp>
      <tp>
        <v>23.6323179879913</v>
        <stp/>
        <stp>EM_S_VAL_PETTMDEDUCTED</stp>
        <stp>2</stp>
        <stp>603937</stp>
        <stp>12/31/2018</stp>
        <tr r="M2150" s="1"/>
      </tp>
      <tp>
        <v>26.3431760062949</v>
        <stp/>
        <stp>EM_S_VAL_PETTMDEDUCTED</stp>
        <stp>2</stp>
        <stp>603933</stp>
        <stp>12/31/2018</stp>
        <tr r="M2900" s="1"/>
      </tp>
      <tp>
        <v>20.445723009187201</v>
        <stp/>
        <stp>EM_S_VAL_PETTMDEDUCTED</stp>
        <stp>2</stp>
        <stp>603928</stp>
        <stp>12/31/2018</stp>
        <tr r="M2878" s="1"/>
      </tp>
      <tp>
        <v>21.9291837940204</v>
        <stp/>
        <stp>EM_S_VAL_PETTMDEDUCTED</stp>
        <stp>2</stp>
        <stp>603929</stp>
        <stp>12/31/2018</stp>
        <tr r="M2220" s="1"/>
      </tp>
      <tp>
        <v>27.312156261456899</v>
        <stp/>
        <stp>EM_S_VAL_PETTMDEDUCTED</stp>
        <stp>2</stp>
        <stp>603926</stp>
        <stp>12/31/2018</stp>
        <tr r="M2907" s="1"/>
      </tp>
      <tp>
        <v>38.932742149701198</v>
        <stp/>
        <stp>EM_S_VAL_PETTMDEDUCTED</stp>
        <stp>2</stp>
        <stp>603922</stp>
        <stp>12/31/2018</stp>
        <tr r="M2100" s="1"/>
      </tp>
      <tp>
        <v>27.2932359130807</v>
        <stp/>
        <stp>EM_S_VAL_PETTMDEDUCTED</stp>
        <stp>2</stp>
        <stp>603920</stp>
        <stp>12/31/2018</stp>
        <tr r="M354" s="1"/>
      </tp>
      <tp>
        <v>41.4803518954472</v>
        <stp/>
        <stp>EM_S_VAL_PETTMDEDUCTED</stp>
        <stp>2</stp>
        <stp>603918</stp>
        <stp>12/31/2018</stp>
        <tr r="M2585" s="1"/>
      </tp>
      <tp>
        <v>18.331600307967499</v>
        <stp/>
        <stp>EM_S_VAL_PETTMDEDUCTED</stp>
        <stp>2</stp>
        <stp>603919</stp>
        <stp>12/31/2018</stp>
        <tr r="M540" s="1"/>
      </tp>
      <tp>
        <v>29.089181544426602</v>
        <stp/>
        <stp>EM_S_VAL_PETTMDEDUCTED</stp>
        <stp>2</stp>
        <stp>603916</stp>
        <stp>12/31/2018</stp>
        <tr r="M639" s="1"/>
      </tp>
      <tp>
        <v>22.766563071243802</v>
        <stp/>
        <stp>EM_S_VAL_PETTMDEDUCTED</stp>
        <stp>2</stp>
        <stp>603917</stp>
        <stp>12/31/2018</stp>
        <tr r="M2852" s="1"/>
      </tp>
      <tp>
        <v>30.307843112068799</v>
        <stp/>
        <stp>EM_S_VAL_PETTMDEDUCTED</stp>
        <stp>2</stp>
        <stp>603912</stp>
        <stp>12/31/2018</stp>
        <tr r="M2116" s="1"/>
      </tp>
      <tp>
        <v>57.057338558671397</v>
        <stp/>
        <stp>EM_S_VAL_PETTMDEDUCTED</stp>
        <stp>2</stp>
        <stp>603908</stp>
        <stp>12/31/2018</stp>
        <tr r="M2189" s="1"/>
      </tp>
      <tp>
        <v>68.961571677091598</v>
        <stp/>
        <stp>EM_S_VAL_PETTMDEDUCTED</stp>
        <stp>2</stp>
        <stp>603909</stp>
        <stp>12/31/2018</stp>
        <tr r="M3356" s="1"/>
      </tp>
      <tp>
        <v>43.083755955458599</v>
        <stp/>
        <stp>EM_S_VAL_PETTMDEDUCTED</stp>
        <stp>2</stp>
        <stp>603906</stp>
        <stp>12/31/2018</stp>
        <tr r="M1119" s="1"/>
      </tp>
      <tp>
        <v>22.431878087511102</v>
        <stp/>
        <stp>EM_S_VAL_PETTMDEDUCTED</stp>
        <stp>2</stp>
        <stp>603903</stp>
        <stp>12/31/2018</stp>
        <tr r="M3225" s="1"/>
      </tp>
      <tp>
        <v>17.3904301556957</v>
        <stp/>
        <stp>EM_S_VAL_PETTMDEDUCTED</stp>
        <stp>2</stp>
        <stp>603900</stp>
        <stp>12/31/2018</stp>
        <tr r="M3083" s="1"/>
      </tp>
      <tp>
        <v>47.8454198367915</v>
        <stp/>
        <stp>EM_S_VAL_PETTMDEDUCTED</stp>
        <stp>2</stp>
        <stp>603901</stp>
        <stp>12/31/2018</stp>
        <tr r="M415" s="1"/>
      </tp>
      <tp>
        <v>3862977712.4400001</v>
        <stp/>
        <stp>EM_HKS_VAL_MV</stp>
        <stp>3</stp>
        <stp>002088</stp>
        <stp>2019-12-31</stp>
        <stp>2</stp>
        <tr r="L1065" s="1"/>
      </tp>
      <tp>
        <v>1046521434.96</v>
        <stp/>
        <stp>EM_HKS_VAL_MV</stp>
        <stp>3</stp>
        <stp>002188</stp>
        <stp>2019-12-31</stp>
        <stp>2</stp>
        <tr r="L2426" s="1"/>
      </tp>
      <tp>
        <v>4509155720.96</v>
        <stp/>
        <stp>EM_HKS_VAL_MV</stp>
        <stp>3</stp>
        <stp>002288</stp>
        <stp>2019-12-31</stp>
        <stp>2</stp>
        <tr r="L1928" s="1"/>
      </tp>
      <tp>
        <v>3627119520</v>
        <stp/>
        <stp>EM_HKS_VAL_MV</stp>
        <stp>3</stp>
        <stp>002388</stp>
        <stp>2019-12-31</stp>
        <stp>2</stp>
        <tr r="L895" s="1"/>
      </tp>
      <tp>
        <v>7210667137.3199997</v>
        <stp/>
        <stp>EM_HKS_VAL_MV</stp>
        <stp>3</stp>
        <stp>002488</stp>
        <stp>2019-12-31</stp>
        <stp>2</stp>
        <tr r="L1900" s="1"/>
      </tp>
      <tp>
        <v>4523416440</v>
        <stp/>
        <stp>EM_HKS_VAL_MV</stp>
        <stp>3</stp>
        <stp>002588</stp>
        <stp>2019-12-31</stp>
        <stp>2</stp>
        <tr r="L2389" s="1"/>
      </tp>
      <tp>
        <v>3995971929.9499998</v>
        <stp/>
        <stp>EM_HKS_VAL_MV</stp>
        <stp>3</stp>
        <stp>002688</stp>
        <stp>2019-12-31</stp>
        <stp>2</stp>
        <tr r="L809" s="1"/>
      </tp>
      <tp>
        <v>2663668086</v>
        <stp/>
        <stp>EM_HKS_VAL_MV</stp>
        <stp>3</stp>
        <stp>002788</stp>
        <stp>2019-12-31</stp>
        <stp>2</stp>
        <tr r="L3288" s="1"/>
      </tp>
      <tp>
        <v>2710464936</v>
        <stp/>
        <stp>EM_HKS_VAL_MV</stp>
        <stp>3</stp>
        <stp>002888</stp>
        <stp>2019-12-31</stp>
        <stp>2</stp>
        <tr r="L1442" s="1"/>
      </tp>
      <tp>
        <v>10934586000</v>
        <stp/>
        <stp>EM_HKS_VAL_MV</stp>
        <stp>3</stp>
        <stp>000088</stp>
        <stp>2019-12-31</stp>
        <stp>2</stp>
        <tr r="L1566" s="1"/>
      </tp>
      <tp>
        <v>14784455738</v>
        <stp/>
        <stp>EM_HKS_VAL_MV</stp>
        <stp>3</stp>
        <stp>000488</stp>
        <stp>2019-12-31</stp>
        <stp>2</stp>
        <tr r="L3427" s="1"/>
      </tp>
      <tp>
        <v>1743301240.53</v>
        <stp/>
        <stp>EM_HKS_VAL_MV</stp>
        <stp>3</stp>
        <stp>000588</stp>
        <stp>2019-12-31</stp>
        <stp>2</stp>
        <tr r="L3470" s="1"/>
      </tp>
      <tp>
        <v>15592373594.940001</v>
        <stp/>
        <stp>EM_HKS_VAL_MV</stp>
        <stp>3</stp>
        <stp>000688</stp>
        <stp>2019-12-31</stp>
        <stp>2</stp>
        <tr r="L3510" s="1"/>
      </tp>
      <tp>
        <v>3969276250.5</v>
        <stp/>
        <stp>EM_HKS_VAL_MV</stp>
        <stp>3</stp>
        <stp>000788</stp>
        <stp>2019-12-31</stp>
        <stp>2</stp>
        <tr r="L1145" s="1"/>
      </tp>
      <tp>
        <v>3456549949.1199999</v>
        <stp/>
        <stp>EM_HKS_VAL_MV</stp>
        <stp>3</stp>
        <stp>000888</stp>
        <stp>2019-12-31</stp>
        <stp>2</stp>
        <tr r="L3563" s="1"/>
      </tp>
      <tp>
        <v>20401649925.029999</v>
        <stp/>
        <stp>EM_HKS_VAL_MV</stp>
        <stp>3</stp>
        <stp>000988</stp>
        <stp>2019-12-31</stp>
        <stp>2</stp>
        <tr r="L328" s="1"/>
      </tp>
      <tp>
        <v>2543138789.5999999</v>
        <stp/>
        <stp>EM_HKS_VAL_MV</stp>
        <stp>3</stp>
        <stp>002089</stp>
        <stp>2019-12-31</stp>
        <stp>2</stp>
        <tr r="L3630" s="1"/>
      </tp>
      <tp>
        <v>5324882406.4799995</v>
        <stp/>
        <stp>EM_HKS_VAL_MV</stp>
        <stp>3</stp>
        <stp>002189</stp>
        <stp>2019-12-31</stp>
        <stp>2</stp>
        <tr r="L409" s="1"/>
      </tp>
      <tp>
        <v>2261647625.3099999</v>
        <stp/>
        <stp>EM_HKS_VAL_MV</stp>
        <stp>3</stp>
        <stp>002289</stp>
        <stp>2019-12-31</stp>
        <stp>2</stp>
        <tr r="L380" s="1"/>
      </tp>
      <tp>
        <v>10501295803.5</v>
        <stp/>
        <stp>EM_HKS_VAL_MV</stp>
        <stp>3</stp>
        <stp>002389</stp>
        <stp>2019-12-31</stp>
        <stp>2</stp>
        <tr r="L2708" s="1"/>
      </tp>
      <tp>
        <v>9116335947.5699997</v>
        <stp/>
        <stp>EM_HKS_VAL_MV</stp>
        <stp>3</stp>
        <stp>002489</stp>
        <stp>2019-12-31</stp>
        <stp>2</stp>
        <tr r="L452" s="1"/>
      </tp>
      <tp>
        <v>11571223521.99</v>
        <stp/>
        <stp>EM_HKS_VAL_MV</stp>
        <stp>3</stp>
        <stp>002589</stp>
        <stp>2019-12-31</stp>
        <stp>2</stp>
        <tr r="L1768" s="1"/>
      </tp>
      <tp>
        <v>3776784824.5</v>
        <stp/>
        <stp>EM_HKS_VAL_MV</stp>
        <stp>3</stp>
        <stp>002689</stp>
        <stp>2019-12-31</stp>
        <stp>2</stp>
        <tr r="L1692" s="1"/>
      </tp>
      <tp>
        <v>2284562000</v>
        <stp/>
        <stp>EM_HKS_VAL_MV</stp>
        <stp>3</stp>
        <stp>002789</stp>
        <stp>2019-12-31</stp>
        <stp>2</stp>
        <tr r="L2208" s="1"/>
      </tp>
      <tp>
        <v>3596161211.1599998</v>
        <stp/>
        <stp>EM_HKS_VAL_MV</stp>
        <stp>3</stp>
        <stp>002889</stp>
        <stp>2019-12-31</stp>
        <stp>2</stp>
        <tr r="L1842" s="1"/>
      </tp>
      <tp>
        <v>20036018102.93</v>
        <stp/>
        <stp>EM_HKS_VAL_MV</stp>
        <stp>3</stp>
        <stp>000089</stp>
        <stp>2019-12-31</stp>
        <stp>2</stp>
        <tr r="L1035" s="1"/>
      </tp>
      <tp>
        <v>3613663656.6399999</v>
        <stp/>
        <stp>EM_HKS_VAL_MV</stp>
        <stp>3</stp>
        <stp>000589</stp>
        <stp>2019-12-31</stp>
        <stp>2</stp>
        <tr r="L3471" s="1"/>
      </tp>
      <tp>
        <v>543046400</v>
        <stp/>
        <stp>EM_HKS_VAL_MV</stp>
        <stp>3</stp>
        <stp>000689</stp>
        <stp>2019-12-31</stp>
        <stp>2</stp>
        <tr r="L3511" s="1"/>
      </tp>
      <tp>
        <v>9735932608.3799992</v>
        <stp/>
        <stp>EM_HKS_VAL_MV</stp>
        <stp>3</stp>
        <stp>000789</stp>
        <stp>2019-12-31</stp>
        <stp>2</stp>
        <tr r="L2031" s="1"/>
      </tp>
      <tp>
        <v>6256102606.0500002</v>
        <stp/>
        <stp>EM_HKS_VAL_MV</stp>
        <stp>3</stp>
        <stp>000889</stp>
        <stp>2019-12-31</stp>
        <stp>2</stp>
        <tr r="L2649" s="1"/>
      </tp>
      <tp>
        <v>7259107870.6000004</v>
        <stp/>
        <stp>EM_HKS_VAL_MV</stp>
        <stp>3</stp>
        <stp>000989</stp>
        <stp>2019-12-31</stp>
        <stp>2</stp>
        <tr r="L3598" s="1"/>
      </tp>
      <tp>
        <v>2249100000</v>
        <stp/>
        <stp>EM_HKS_VAL_MV</stp>
        <stp>3</stp>
        <stp>002082</stp>
        <stp>2019-12-31</stp>
        <stp>2</stp>
        <tr r="L3628" s="1"/>
      </tp>
      <tp>
        <v>5979408476.5</v>
        <stp/>
        <stp>EM_HKS_VAL_MV</stp>
        <stp>3</stp>
        <stp>002182</stp>
        <stp>2019-12-31</stp>
        <stp>2</stp>
        <tr r="L558" s="1"/>
      </tp>
      <tp>
        <v>3668248722.1799998</v>
        <stp/>
        <stp>EM_HKS_VAL_MV</stp>
        <stp>3</stp>
        <stp>002282</stp>
        <stp>2019-12-31</stp>
        <stp>2</stp>
        <tr r="L2263" s="1"/>
      </tp>
      <tp>
        <v>11703337384.040001</v>
        <stp/>
        <stp>EM_HKS_VAL_MV</stp>
        <stp>3</stp>
        <stp>002382</stp>
        <stp>2019-12-31</stp>
        <stp>2</stp>
        <tr r="L3033" s="1"/>
      </tp>
      <tp>
        <v>6733284897.6599998</v>
        <stp/>
        <stp>EM_HKS_VAL_MV</stp>
        <stp>3</stp>
        <stp>002482</stp>
        <stp>2019-12-31</stp>
        <stp>2</stp>
        <tr r="L3133" s="1"/>
      </tp>
      <tp>
        <v>4326590102.3999996</v>
        <stp/>
        <stp>EM_HKS_VAL_MV</stp>
        <stp>3</stp>
        <stp>002582</stp>
        <stp>2019-12-31</stp>
        <stp>2</stp>
        <tr r="L1633" s="1"/>
      </tp>
      <tp>
        <v>2491292871.4200001</v>
        <stp/>
        <stp>EM_HKS_VAL_MV</stp>
        <stp>3</stp>
        <stp>002682</stp>
        <stp>2019-12-31</stp>
        <stp>2</stp>
        <tr r="L2134" s="1"/>
      </tp>
      <tp>
        <v>4519860000</v>
        <stp/>
        <stp>EM_HKS_VAL_MV</stp>
        <stp>3</stp>
        <stp>002782</stp>
        <stp>2019-12-31</stp>
        <stp>2</stp>
        <tr r="L2525" s="1"/>
      </tp>
      <tp>
        <v>4614714000</v>
        <stp/>
        <stp>EM_HKS_VAL_MV</stp>
        <stp>3</stp>
        <stp>002882</stp>
        <stp>2019-12-31</stp>
        <stp>2</stp>
        <tr r="L1759" s="1"/>
      </tp>
      <tp>
        <v>14629820843.299999</v>
        <stp/>
        <stp>EM_HKS_VAL_MV</stp>
        <stp>3</stp>
        <stp>000582</stp>
        <stp>2019-12-31</stp>
        <stp>2</stp>
        <tr r="L1167" s="1"/>
      </tp>
      <tp>
        <v>6757264115.2799997</v>
        <stp/>
        <stp>EM_HKS_VAL_MV</stp>
        <stp>3</stp>
        <stp>000682</stp>
        <stp>2019-12-31</stp>
        <stp>2</stp>
        <tr r="L515" s="1"/>
      </tp>
      <tp>
        <v>1843207284.27</v>
        <stp/>
        <stp>EM_HKS_VAL_MV</stp>
        <stp>3</stp>
        <stp>000782</stp>
        <stp>2019-12-31</stp>
        <stp>2</stp>
        <tr r="L3032" s="1"/>
      </tp>
      <tp>
        <v>6159041880.75</v>
        <stp/>
        <stp>EM_HKS_VAL_MV</stp>
        <stp>3</stp>
        <stp>000882</stp>
        <stp>2019-12-31</stp>
        <stp>2</stp>
        <tr r="L2222" s="1"/>
      </tp>
      <tp>
        <v>7927091318.5799999</v>
        <stp/>
        <stp>EM_HKS_VAL_MV</stp>
        <stp>3</stp>
        <stp>000982</stp>
        <stp>2019-12-31</stp>
        <stp>2</stp>
        <tr r="L3595" s="1"/>
      </tp>
      <tp>
        <v>5647760031.1000004</v>
        <stp/>
        <stp>EM_HKS_VAL_MV</stp>
        <stp>3</stp>
        <stp>002083</stp>
        <stp>2019-12-31</stp>
        <stp>2</stp>
        <tr r="L1111" s="1"/>
      </tp>
      <tp>
        <v>8936557817.9899998</v>
        <stp/>
        <stp>EM_HKS_VAL_MV</stp>
        <stp>3</stp>
        <stp>002183</stp>
        <stp>2019-12-31</stp>
        <stp>2</stp>
        <tr r="L2949" s="1"/>
      </tp>
      <tp>
        <v>4149398639.04</v>
        <stp/>
        <stp>EM_HKS_VAL_MV</stp>
        <stp>3</stp>
        <stp>002283</stp>
        <stp>2019-12-31</stp>
        <stp>2</stp>
        <tr r="L1746" s="1"/>
      </tp>
      <tp>
        <v>6944874274.8800001</v>
        <stp/>
        <stp>EM_HKS_VAL_MV</stp>
        <stp>3</stp>
        <stp>002383</stp>
        <stp>2019-12-31</stp>
        <stp>2</stp>
        <tr r="L3075" s="1"/>
      </tp>
      <tp>
        <v>2851178502.4000001</v>
        <stp/>
        <stp>EM_HKS_VAL_MV</stp>
        <stp>3</stp>
        <stp>002483</stp>
        <stp>2019-12-31</stp>
        <stp>2</stp>
        <tr r="L1478" s="1"/>
      </tp>
      <tp>
        <v>15470817264.309999</v>
        <stp/>
        <stp>EM_HKS_VAL_MV</stp>
        <stp>3</stp>
        <stp>002583</stp>
        <stp>2019-12-31</stp>
        <stp>2</stp>
        <tr r="L1954" s="1"/>
      </tp>
      <tp>
        <v>13329003726.35</v>
        <stp/>
        <stp>EM_HKS_VAL_MV</stp>
        <stp>3</stp>
        <stp>002683</stp>
        <stp>2019-12-31</stp>
        <stp>2</stp>
        <tr r="L111" s="1"/>
      </tp>
      <tp>
        <v>4414035726.2399998</v>
        <stp/>
        <stp>EM_HKS_VAL_MV</stp>
        <stp>3</stp>
        <stp>002783</stp>
        <stp>2019-12-31</stp>
        <stp>2</stp>
        <tr r="L244" s="1"/>
      </tp>
      <tp>
        <v>1725084338.2</v>
        <stp/>
        <stp>EM_HKS_VAL_MV</stp>
        <stp>3</stp>
        <stp>002883</stp>
        <stp>2019-12-31</stp>
        <stp>2</stp>
        <tr r="L2216" s="1"/>
      </tp>
      <tp>
        <v>176058707.44</v>
        <stp/>
        <stp>EM_HKS_VAL_MV</stp>
        <stp>3</stp>
        <stp>000583</stp>
        <stp>2019-12-31</stp>
        <stp>2</stp>
        <tr r="L3466" s="1"/>
      </tp>
      <tp>
        <v>8908385709.5699997</v>
        <stp/>
        <stp>EM_HKS_VAL_MV</stp>
        <stp>3</stp>
        <stp>000683</stp>
        <stp>2019-12-31</stp>
        <stp>2</stp>
        <tr r="L3507" s="1"/>
      </tp>
      <tp>
        <v>39481082875.919998</v>
        <stp/>
        <stp>EM_HKS_VAL_MV</stp>
        <stp>3</stp>
        <stp>000783</stp>
        <stp>2019-12-31</stp>
        <stp>2</stp>
        <tr r="L3537" s="1"/>
      </tp>
      <tp>
        <v>27136064356.619999</v>
        <stp/>
        <stp>EM_HKS_VAL_MV</stp>
        <stp>3</stp>
        <stp>000883</stp>
        <stp>2019-12-31</stp>
        <stp>2</stp>
        <tr r="L1562" s="1"/>
      </tp>
      <tp>
        <v>19316856000</v>
        <stp/>
        <stp>EM_HKS_VAL_MV</stp>
        <stp>3</stp>
        <stp>000983</stp>
        <stp>2019-12-31</stp>
        <stp>2</stp>
        <tr r="L1655" s="1"/>
      </tp>
      <tp>
        <v>20808732441.599998</v>
        <stp/>
        <stp>EM_HKS_VAL_MV</stp>
        <stp>3</stp>
        <stp>002080</stp>
        <stp>2019-12-31</stp>
        <stp>2</stp>
        <tr r="L599" s="1"/>
      </tp>
      <tp>
        <v>35007566593.160004</v>
        <stp/>
        <stp>EM_HKS_VAL_MV</stp>
        <stp>3</stp>
        <stp>002180</stp>
        <stp>2019-12-31</stp>
        <stp>2</stp>
        <tr r="L700" s="1"/>
      </tp>
      <tp>
        <v>8425569242.25</v>
        <stp/>
        <stp>EM_HKS_VAL_MV</stp>
        <stp>3</stp>
        <stp>002280</stp>
        <stp>2019-12-31</stp>
        <stp>2</stp>
        <tr r="L2214" s="1"/>
      </tp>
      <tp>
        <v>3355083253.02</v>
        <stp/>
        <stp>EM_HKS_VAL_MV</stp>
        <stp>3</stp>
        <stp>002380</stp>
        <stp>2019-12-31</stp>
        <stp>2</stp>
        <tr r="L853" s="1"/>
      </tp>
      <tp>
        <v>2578063098.5999999</v>
        <stp/>
        <stp>EM_HKS_VAL_MV</stp>
        <stp>3</stp>
        <stp>002480</stp>
        <stp>2019-12-31</stp>
        <stp>2</stp>
        <tr r="L3063" s="1"/>
      </tp>
      <tp>
        <v>1885301973</v>
        <stp/>
        <stp>EM_HKS_VAL_MV</stp>
        <stp>3</stp>
        <stp>002580</stp>
        <stp>2019-12-31</stp>
        <stp>2</stp>
        <tr r="L1977" s="1"/>
      </tp>
      <tp>
        <v>749741591.05999994</v>
        <stp/>
        <stp>EM_HKS_VAL_MV</stp>
        <stp>3</stp>
        <stp>002680</stp>
        <stp>2019-12-31</stp>
        <stp>2</stp>
        <tr r="L3406" s="1"/>
      </tp>
      <tp>
        <v>2691613780.7600002</v>
        <stp/>
        <stp>EM_HKS_VAL_MV</stp>
        <stp>3</stp>
        <stp>002780</stp>
        <stp>2019-12-31</stp>
        <stp>2</stp>
        <tr r="L661" s="1"/>
      </tp>
      <tp>
        <v>5643000000</v>
        <stp/>
        <stp>EM_HKS_VAL_MV</stp>
        <stp>3</stp>
        <stp>002880</stp>
        <stp>2019-12-31</stp>
        <stp>2</stp>
        <tr r="L1086" s="1"/>
      </tp>
      <tp>
        <v>4528874780.1499996</v>
        <stp/>
        <stp>EM_HKS_VAL_MV</stp>
        <stp>3</stp>
        <stp>000680</stp>
        <stp>2019-12-31</stp>
        <stp>2</stp>
        <tr r="L1767" s="1"/>
      </tp>
      <tp>
        <v>3042918972</v>
        <stp/>
        <stp>EM_HKS_VAL_MV</stp>
        <stp>3</stp>
        <stp>000780</stp>
        <stp>2019-12-31</stp>
        <stp>2</stp>
        <tr r="L3536" s="1"/>
      </tp>
      <tp>
        <v>2161866915</v>
        <stp/>
        <stp>EM_HKS_VAL_MV</stp>
        <stp>3</stp>
        <stp>000880</stp>
        <stp>2019-12-31</stp>
        <stp>2</stp>
        <tr r="L1865" s="1"/>
      </tp>
      <tp>
        <v>5941076873.8400002</v>
        <stp/>
        <stp>EM_HKS_VAL_MV</stp>
        <stp>3</stp>
        <stp>000980</stp>
        <stp>2019-12-31</stp>
        <stp>2</stp>
        <tr r="L3593" s="1"/>
      </tp>
      <tp>
        <v>23605924636.98</v>
        <stp/>
        <stp>EM_HKS_VAL_MV</stp>
        <stp>3</stp>
        <stp>002081</stp>
        <stp>2019-12-31</stp>
        <stp>2</stp>
        <tr r="L1856" s="1"/>
      </tp>
      <tp>
        <v>6525146937.8800001</v>
        <stp/>
        <stp>EM_HKS_VAL_MV</stp>
        <stp>3</stp>
        <stp>002181</stp>
        <stp>2019-12-31</stp>
        <stp>2</stp>
        <tr r="L406" s="1"/>
      </tp>
      <tp>
        <v>20162010518.040001</v>
        <stp/>
        <stp>EM_HKS_VAL_MV</stp>
        <stp>3</stp>
        <stp>002281</stp>
        <stp>2019-12-31</stp>
        <stp>2</stp>
        <tr r="L1737" s="1"/>
      </tp>
      <tp>
        <v>3486017076.0799999</v>
        <stp/>
        <stp>EM_HKS_VAL_MV</stp>
        <stp>3</stp>
        <stp>002381</stp>
        <stp>2019-12-31</stp>
        <stp>2</stp>
        <tr r="L1089" s="1"/>
      </tp>
      <tp>
        <v>9872516600</v>
        <stp/>
        <stp>EM_HKS_VAL_MV</stp>
        <stp>3</stp>
        <stp>002481</stp>
        <stp>2019-12-31</stp>
        <stp>2</stp>
        <tr r="L57" s="1"/>
      </tp>
      <tp>
        <v>4776485642.6400003</v>
        <stp/>
        <stp>EM_HKS_VAL_MV</stp>
        <stp>3</stp>
        <stp>002581</stp>
        <stp>2019-12-31</stp>
        <stp>2</stp>
        <tr r="L2170" s="1"/>
      </tp>
      <tp>
        <v>11346340595.76</v>
        <stp/>
        <stp>EM_HKS_VAL_MV</stp>
        <stp>3</stp>
        <stp>002681</stp>
        <stp>2019-12-31</stp>
        <stp>2</stp>
        <tr r="L536" s="1"/>
      </tp>
      <tp>
        <v>3658500000</v>
        <stp/>
        <stp>EM_HKS_VAL_MV</stp>
        <stp>3</stp>
        <stp>002781</stp>
        <stp>2019-12-31</stp>
        <stp>2</stp>
        <tr r="L1532" s="1"/>
      </tp>
      <tp>
        <v>4834497740</v>
        <stp/>
        <stp>EM_HKS_VAL_MV</stp>
        <stp>3</stp>
        <stp>002881</stp>
        <stp>2019-12-31</stp>
        <stp>2</stp>
        <tr r="L534" s="1"/>
      </tp>
      <tp>
        <v>19220508358.5</v>
        <stp/>
        <stp>EM_HKS_VAL_MV</stp>
        <stp>3</stp>
        <stp>000581</stp>
        <stp>2019-12-31</stp>
        <stp>2</stp>
        <tr r="L3465" s="1"/>
      </tp>
      <tp>
        <v>12077954996.639999</v>
        <stp/>
        <stp>EM_HKS_VAL_MV</stp>
        <stp>3</stp>
        <stp>000681</stp>
        <stp>2019-12-31</stp>
        <stp>2</stp>
        <tr r="L3208" s="1"/>
      </tp>
      <tp>
        <v>6495075349.0500002</v>
        <stp/>
        <stp>EM_HKS_VAL_MV</stp>
        <stp>3</stp>
        <stp>000881</stp>
        <stp>2019-12-31</stp>
        <stp>2</stp>
        <tr r="L2108" s="1"/>
      </tp>
      <tp>
        <v>7411501382.8800001</v>
        <stp/>
        <stp>EM_HKS_VAL_MV</stp>
        <stp>3</stp>
        <stp>000981</stp>
        <stp>2019-12-31</stp>
        <stp>2</stp>
        <tr r="L3594" s="1"/>
      </tp>
      <tp>
        <v>2798495000</v>
        <stp/>
        <stp>EM_HKS_VAL_MV</stp>
        <stp>3</stp>
        <stp>002086</stp>
        <stp>2019-12-31</stp>
        <stp>2</stp>
        <tr r="L3629" s="1"/>
      </tp>
      <tp>
        <v>3180263376.0500002</v>
        <stp/>
        <stp>EM_HKS_VAL_MV</stp>
        <stp>3</stp>
        <stp>002186</stp>
        <stp>2019-12-31</stp>
        <stp>2</stp>
        <tr r="L2772" s="1"/>
      </tp>
      <tp>
        <v>2222921120</v>
        <stp/>
        <stp>EM_HKS_VAL_MV</stp>
        <stp>3</stp>
        <stp>002286</stp>
        <stp>2019-12-31</stp>
        <stp>2</stp>
        <tr r="L1755" s="1"/>
      </tp>
      <tp>
        <v>4568013549.4499998</v>
        <stp/>
        <stp>EM_HKS_VAL_MV</stp>
        <stp>3</stp>
        <stp>002386</stp>
        <stp>2019-12-31</stp>
        <stp>2</stp>
        <tr r="L1776" s="1"/>
      </tp>
      <tp>
        <v>2720640000</v>
        <stp/>
        <stp>EM_HKS_VAL_MV</stp>
        <stp>3</stp>
        <stp>002486</stp>
        <stp>2019-12-31</stp>
        <stp>2</stp>
        <tr r="L2922" s="1"/>
      </tp>
      <tp>
        <v>3569977987.6799998</v>
        <stp/>
        <stp>EM_HKS_VAL_MV</stp>
        <stp>3</stp>
        <stp>002586</stp>
        <stp>2019-12-31</stp>
        <stp>2</stp>
        <tr r="L3213" s="1"/>
      </tp>
      <tp>
        <v>2744081953.1999998</v>
        <stp/>
        <stp>EM_HKS_VAL_MV</stp>
        <stp>3</stp>
        <stp>002686</stp>
        <stp>2019-12-31</stp>
        <stp>2</stp>
        <tr r="L2783" s="1"/>
      </tp>
      <tp>
        <v>3175729200</v>
        <stp/>
        <stp>EM_HKS_VAL_MV</stp>
        <stp>3</stp>
        <stp>002786</stp>
        <stp>2019-12-31</stp>
        <stp>2</stp>
        <tr r="L785" s="1"/>
      </tp>
      <tp>
        <v>2852094000</v>
        <stp/>
        <stp>EM_HKS_VAL_MV</stp>
        <stp>3</stp>
        <stp>002886</stp>
        <stp>2019-12-31</stp>
        <stp>2</stp>
        <tr r="L774" s="1"/>
      </tp>
      <tp>
        <v>1963416000</v>
        <stp/>
        <stp>EM_HKS_VAL_MV</stp>
        <stp>3</stp>
        <stp>000586</stp>
        <stp>2019-12-31</stp>
        <stp>2</stp>
        <tr r="L3468" s="1"/>
      </tp>
      <tp>
        <v>21766212109.5</v>
        <stp/>
        <stp>EM_HKS_VAL_MV</stp>
        <stp>3</stp>
        <stp>000686</stp>
        <stp>2019-12-31</stp>
        <stp>2</stp>
        <tr r="L3508" s="1"/>
      </tp>
      <tp>
        <v>42997974578.900002</v>
        <stp/>
        <stp>EM_HKS_VAL_MV</stp>
        <stp>3</stp>
        <stp>000786</stp>
        <stp>2019-12-31</stp>
        <stp>2</stp>
        <tr r="L216" s="1"/>
      </tp>
      <tp>
        <v>4113525728</v>
        <stp/>
        <stp>EM_HKS_VAL_MV</stp>
        <stp>3</stp>
        <stp>000886</stp>
        <stp>2019-12-31</stp>
        <stp>2</stp>
        <tr r="L3562" s="1"/>
      </tp>
      <tp>
        <v>2915955775.9499998</v>
        <stp/>
        <stp>EM_HKS_VAL_MV</stp>
        <stp>3</stp>
        <stp>002087</stp>
        <stp>2019-12-31</stp>
        <stp>2</stp>
        <tr r="L2227" s="1"/>
      </tp>
      <tp>
        <v>2951682536.1599998</v>
        <stp/>
        <stp>EM_HKS_VAL_MV</stp>
        <stp>3</stp>
        <stp>002187</stp>
        <stp>2019-12-31</stp>
        <stp>2</stp>
        <tr r="L1956" s="1"/>
      </tp>
      <tp>
        <v>11542039912.83</v>
        <stp/>
        <stp>EM_HKS_VAL_MV</stp>
        <stp>3</stp>
        <stp>002287</stp>
        <stp>2019-12-31</stp>
        <stp>2</stp>
        <tr r="L2908" s="1"/>
      </tp>
      <tp>
        <v>21745842431.400002</v>
        <stp/>
        <stp>EM_HKS_VAL_MV</stp>
        <stp>3</stp>
        <stp>002387</stp>
        <stp>2019-12-31</stp>
        <stp>2</stp>
        <tr r="L135" s="1"/>
      </tp>
      <tp>
        <v>3019689600</v>
        <stp/>
        <stp>EM_HKS_VAL_MV</stp>
        <stp>3</stp>
        <stp>002487</stp>
        <stp>2019-12-31</stp>
        <stp>2</stp>
        <tr r="L525" s="1"/>
      </tp>
      <tp>
        <v>4836289255.1999998</v>
        <stp/>
        <stp>EM_HKS_VAL_MV</stp>
        <stp>3</stp>
        <stp>002587</stp>
        <stp>2019-12-31</stp>
        <stp>2</stp>
        <tr r="L422" s="1"/>
      </tp>
      <tp>
        <v>2152500000</v>
        <stp/>
        <stp>EM_HKS_VAL_MV</stp>
        <stp>3</stp>
        <stp>002687</stp>
        <stp>2019-12-31</stp>
        <stp>2</stp>
        <tr r="L2607" s="1"/>
      </tp>
      <tp>
        <v>2267363523.8699999</v>
        <stp/>
        <stp>EM_HKS_VAL_MV</stp>
        <stp>3</stp>
        <stp>002787</stp>
        <stp>2019-12-31</stp>
        <stp>2</stp>
        <tr r="L1847" s="1"/>
      </tp>
      <tp>
        <v>3196960000</v>
        <stp/>
        <stp>EM_HKS_VAL_MV</stp>
        <stp>3</stp>
        <stp>002887</stp>
        <stp>2019-12-31</stp>
        <stp>2</stp>
        <tr r="L2528" s="1"/>
      </tp>
      <tp>
        <v>3865223780.5999999</v>
        <stp/>
        <stp>EM_HKS_VAL_MV</stp>
        <stp>3</stp>
        <stp>000587</stp>
        <stp>2019-12-31</stp>
        <stp>2</stp>
        <tr r="L3469" s="1"/>
      </tp>
      <tp>
        <v>5141197719.0200005</v>
        <stp/>
        <stp>EM_HKS_VAL_MV</stp>
        <stp>3</stp>
        <stp>000687</stp>
        <stp>2019-12-31</stp>
        <stp>2</stp>
        <tr r="L3509" s="1"/>
      </tp>
      <tp>
        <v>8820480244.6800003</v>
        <stp/>
        <stp>EM_HKS_VAL_MV</stp>
        <stp>3</stp>
        <stp>000787</stp>
        <stp>2019-12-31</stp>
        <stp>2</stp>
        <tr r="L3538" s="1"/>
      </tp>
      <tp>
        <v>11048429570.35</v>
        <stp/>
        <stp>EM_HKS_VAL_MV</stp>
        <stp>3</stp>
        <stp>000887</stp>
        <stp>2019-12-31</stp>
        <stp>2</stp>
        <tr r="L2794" s="1"/>
      </tp>
      <tp>
        <v>26620395571.18</v>
        <stp/>
        <stp>EM_HKS_VAL_MV</stp>
        <stp>3</stp>
        <stp>000987</stp>
        <stp>2019-12-31</stp>
        <stp>2</stp>
        <tr r="L3597" s="1"/>
      </tp>
      <tp>
        <v>3286488155.7199998</v>
        <stp/>
        <stp>EM_HKS_VAL_MV</stp>
        <stp>3</stp>
        <stp>002084</stp>
        <stp>2019-12-31</stp>
        <stp>2</stp>
        <tr r="L346" s="1"/>
      </tp>
      <tp>
        <v>2551502673.1799998</v>
        <stp/>
        <stp>EM_HKS_VAL_MV</stp>
        <stp>3</stp>
        <stp>002184</stp>
        <stp>2019-12-31</stp>
        <stp>2</stp>
        <tr r="L1608" s="1"/>
      </tp>
      <tp>
        <v>3747044560.7600002</v>
        <stp/>
        <stp>EM_HKS_VAL_MV</stp>
        <stp>3</stp>
        <stp>002284</stp>
        <stp>2019-12-31</stp>
        <stp>2</stp>
        <tr r="L1226" s="1"/>
      </tp>
      <tp>
        <v>37192152842.550003</v>
        <stp/>
        <stp>EM_HKS_VAL_MV</stp>
        <stp>3</stp>
        <stp>002384</stp>
        <stp>2019-12-31</stp>
        <stp>2</stp>
        <tr r="L172" s="1"/>
      </tp>
      <tp>
        <v>6390818657.4399996</v>
        <stp/>
        <stp>EM_HKS_VAL_MV</stp>
        <stp>3</stp>
        <stp>002484</stp>
        <stp>2019-12-31</stp>
        <stp>2</stp>
        <tr r="L965" s="1"/>
      </tp>
      <tp>
        <v>2972899423.7600002</v>
        <stp/>
        <stp>EM_HKS_VAL_MV</stp>
        <stp>3</stp>
        <stp>002584</stp>
        <stp>2019-12-31</stp>
        <stp>2</stp>
        <tr r="L2985" s="1"/>
      </tp>
      <tp>
        <v>3239707761.1900001</v>
        <stp/>
        <stp>EM_HKS_VAL_MV</stp>
        <stp>3</stp>
        <stp>002684</stp>
        <stp>2019-12-31</stp>
        <stp>2</stp>
        <tr r="L2556" s="1"/>
      </tp>
      <tp>
        <v>2909570619.5999999</v>
        <stp/>
        <stp>EM_HKS_VAL_MV</stp>
        <stp>3</stp>
        <stp>002884</stp>
        <stp>2019-12-31</stp>
        <stp>2</stp>
        <tr r="L3180" s="1"/>
      </tp>
      <tp>
        <v>3845543605.5300002</v>
        <stp/>
        <stp>EM_HKS_VAL_MV</stp>
        <stp>3</stp>
        <stp>000584</stp>
        <stp>2019-12-31</stp>
        <stp>2</stp>
        <tr r="L2403" s="1"/>
      </tp>
      <tp>
        <v>15308157746</v>
        <stp/>
        <stp>EM_HKS_VAL_MV</stp>
        <stp>3</stp>
        <stp>002085</stp>
        <stp>2019-12-31</stp>
        <stp>2</stp>
        <tr r="L2749" s="1"/>
      </tp>
      <tp>
        <v>20467828191.779999</v>
        <stp/>
        <stp>EM_HKS_VAL_MV</stp>
        <stp>3</stp>
        <stp>002185</stp>
        <stp>2019-12-31</stp>
        <stp>2</stp>
        <tr r="L243" s="1"/>
      </tp>
      <tp>
        <v>7641587520</v>
        <stp/>
        <stp>EM_HKS_VAL_MV</stp>
        <stp>3</stp>
        <stp>002285</stp>
        <stp>2019-12-31</stp>
        <stp>2</stp>
        <tr r="L3147" s="1"/>
      </tp>
      <tp>
        <v>20892740885.099998</v>
        <stp/>
        <stp>EM_HKS_VAL_MV</stp>
        <stp>3</stp>
        <stp>002385</stp>
        <stp>2019-12-31</stp>
        <stp>2</stp>
        <tr r="L707" s="1"/>
      </tp>
      <tp>
        <v>3748160000</v>
        <stp/>
        <stp>EM_HKS_VAL_MV</stp>
        <stp>3</stp>
        <stp>002485</stp>
        <stp>2019-12-31</stp>
        <stp>2</stp>
        <tr r="L2666" s="1"/>
      </tp>
      <tp>
        <v>5307316410.1499996</v>
        <stp/>
        <stp>EM_HKS_VAL_MV</stp>
        <stp>3</stp>
        <stp>002585</stp>
        <stp>2019-12-31</stp>
        <stp>2</stp>
        <tr r="L2748" s="1"/>
      </tp>
      <tp>
        <v>6832142545.9799995</v>
        <stp/>
        <stp>EM_HKS_VAL_MV</stp>
        <stp>3</stp>
        <stp>002685</stp>
        <stp>2019-12-31</stp>
        <stp>2</stp>
        <tr r="L775" s="1"/>
      </tp>
      <tp>
        <v>2866000000</v>
        <stp/>
        <stp>EM_HKS_VAL_MV</stp>
        <stp>3</stp>
        <stp>002785</stp>
        <stp>2019-12-31</stp>
        <stp>2</stp>
        <tr r="L500" s="1"/>
      </tp>
      <tp>
        <v>3013200000</v>
        <stp/>
        <stp>EM_HKS_VAL_MV</stp>
        <stp>3</stp>
        <stp>002885</stp>
        <stp>2019-12-31</stp>
        <stp>2</stp>
        <tr r="L3090" s="1"/>
      </tp>
      <tp>
        <v>1711805200</v>
        <stp/>
        <stp>EM_HKS_VAL_MV</stp>
        <stp>3</stp>
        <stp>000585</stp>
        <stp>2019-12-31</stp>
        <stp>2</stp>
        <tr r="L3467" s="1"/>
      </tp>
      <tp>
        <v>12154917532.24</v>
        <stp/>
        <stp>EM_HKS_VAL_MV</stp>
        <stp>3</stp>
        <stp>000685</stp>
        <stp>2019-12-31</stp>
        <stp>2</stp>
        <tr r="L1353" s="1"/>
      </tp>
      <tp>
        <v>59957507805.959999</v>
        <stp/>
        <stp>EM_HKS_VAL_MV</stp>
        <stp>3</stp>
        <stp>000785</stp>
        <stp>2019-12-31</stp>
        <stp>2</stp>
        <tr r="L560" s="1"/>
      </tp>
      <tp>
        <v>5455237993.1700001</v>
        <stp/>
        <stp>EM_HKS_VAL_MV</stp>
        <stp>3</stp>
        <stp>000885</stp>
        <stp>2019-12-31</stp>
        <stp>2</stp>
        <tr r="L3561" s="1"/>
      </tp>
      <tp>
        <v>2131273380</v>
        <stp/>
        <stp>EM_HKS_VAL_MV</stp>
        <stp>3</stp>
        <stp>000985</stp>
        <stp>2019-12-31</stp>
        <stp>2</stp>
        <tr r="L3596" s="1"/>
      </tp>
      <tp>
        <v>41.021288914238497</v>
        <stp/>
        <stp>EM_S_VAL_PETTMDEDUCTED</stp>
        <stp>2</stp>
        <stp>002698</stp>
        <stp>12/31/2018</stp>
        <tr r="M1301" s="1"/>
      </tp>
      <tp>
        <v>-349.77193760686498</v>
        <stp/>
        <stp>EM_S_VAL_PETTMDEDUCTED</stp>
        <stp>2</stp>
        <stp>002699</stp>
        <stp>12/31/2018</stp>
        <tr r="M1025" s="1"/>
      </tp>
      <tp>
        <v>19.405756526005302</v>
        <stp/>
        <stp>EM_S_VAL_PETTMDEDUCTED</stp>
        <stp>2</stp>
        <stp>002696</stp>
        <stp>12/31/2018</stp>
        <tr r="M3242" s="1"/>
      </tp>
      <tp>
        <v>25.8682291275498</v>
        <stp/>
        <stp>EM_S_VAL_PETTMDEDUCTED</stp>
        <stp>2</stp>
        <stp>002697</stp>
        <stp>12/31/2018</stp>
        <tr r="M629" s="1"/>
      </tp>
      <tp>
        <v>-775.48497575239003</v>
        <stp/>
        <stp>EM_S_VAL_PETTMDEDUCTED</stp>
        <stp>2</stp>
        <stp>002694</stp>
        <stp>12/31/2018</stp>
        <tr r="M3113" s="1"/>
      </tp>
      <tp>
        <v>28.703238534980098</v>
        <stp/>
        <stp>EM_S_VAL_PETTMDEDUCTED</stp>
        <stp>2</stp>
        <stp>002695</stp>
        <stp>12/31/2018</stp>
        <tr r="M430" s="1"/>
      </tp>
      <tp>
        <v>216.20391101602701</v>
        <stp/>
        <stp>EM_S_VAL_PETTMDEDUCTED</stp>
        <stp>2</stp>
        <stp>002692</stp>
        <stp>12/31/2018</stp>
        <tr r="M2695" s="1"/>
      </tp>
      <tp>
        <v>-19.992707611517499</v>
        <stp/>
        <stp>EM_S_VAL_PETTMDEDUCTED</stp>
        <stp>2</stp>
        <stp>002693</stp>
        <stp>12/31/2018</stp>
        <tr r="M1309" s="1"/>
      </tp>
      <tp>
        <v>39.402270871722898</v>
        <stp/>
        <stp>EM_S_VAL_PETTMDEDUCTED</stp>
        <stp>2</stp>
        <stp>002690</stp>
        <stp>12/31/2018</stp>
        <tr r="M233" s="1"/>
      </tp>
      <tp>
        <v>212.46719372838399</v>
        <stp/>
        <stp>EM_S_VAL_PETTMDEDUCTED</stp>
        <stp>2</stp>
        <stp>002691</stp>
        <stp>12/31/2018</stp>
        <tr r="M3060" s="1"/>
      </tp>
      <tp>
        <v>21.234552236593</v>
        <stp/>
        <stp>EM_S_VAL_PETTMDEDUCTED</stp>
        <stp>2</stp>
        <stp>002688</stp>
        <stp>12/31/2018</stp>
        <tr r="M809" s="1"/>
      </tp>
      <tp>
        <v>-120.502104383488</v>
        <stp/>
        <stp>EM_S_VAL_PETTMDEDUCTED</stp>
        <stp>2</stp>
        <stp>002689</stp>
        <stp>12/31/2018</stp>
        <tr r="M1692" s="1"/>
      </tp>
      <tp>
        <v>30.615137810390699</v>
        <stp/>
        <stp>EM_S_VAL_PETTMDEDUCTED</stp>
        <stp>2</stp>
        <stp>002686</stp>
        <stp>12/31/2018</stp>
        <tr r="M2783" s="1"/>
      </tp>
      <tp>
        <v>25.3669949945584</v>
        <stp/>
        <stp>EM_S_VAL_PETTMDEDUCTED</stp>
        <stp>2</stp>
        <stp>002687</stp>
        <stp>12/31/2018</stp>
        <tr r="M2607" s="1"/>
      </tp>
      <tp>
        <v>-4.1079390511289402</v>
        <stp/>
        <stp>EM_S_VAL_PETTMDEDUCTED</stp>
        <stp>2</stp>
        <stp>002684</stp>
        <stp>12/31/2018</stp>
        <tr r="M2556" s="1"/>
      </tp>
      <tp>
        <v>11.4492922589082</v>
        <stp/>
        <stp>EM_S_VAL_PETTMDEDUCTED</stp>
        <stp>2</stp>
        <stp>002685</stp>
        <stp>12/31/2018</stp>
        <tr r="M775" s="1"/>
      </tp>
      <tp>
        <v>22.1123244298612</v>
        <stp/>
        <stp>EM_S_VAL_PETTMDEDUCTED</stp>
        <stp>2</stp>
        <stp>002682</stp>
        <stp>12/31/2018</stp>
        <tr r="M2134" s="1"/>
      </tp>
      <tp>
        <v>28.597699985071898</v>
        <stp/>
        <stp>EM_S_VAL_PETTMDEDUCTED</stp>
        <stp>2</stp>
        <stp>002683</stp>
        <stp>12/31/2018</stp>
        <tr r="M111" s="1"/>
      </tp>
      <tp>
        <v>6.7716465351055097</v>
        <stp/>
        <stp>EM_S_VAL_PETTMDEDUCTED</stp>
        <stp>2</stp>
        <stp>002680</stp>
        <stp>12/31/2018</stp>
        <tr r="M3406" s="1"/>
      </tp>
      <tp>
        <v>20.1511211369194</v>
        <stp/>
        <stp>EM_S_VAL_PETTMDEDUCTED</stp>
        <stp>2</stp>
        <stp>002681</stp>
        <stp>12/31/2018</stp>
        <tr r="M536" s="1"/>
      </tp>
      <tp>
        <v>995.29025616033198</v>
        <stp/>
        <stp>EM_S_VAL_PETTMDEDUCTED</stp>
        <stp>2</stp>
        <stp>002618</stp>
        <stp>12/31/2018</stp>
        <tr r="M2739" s="1"/>
      </tp>
      <tp>
        <v>14.0063686037191</v>
        <stp/>
        <stp>EM_S_VAL_PETTMDEDUCTED</stp>
        <stp>2</stp>
        <stp>002619</stp>
        <stp>12/31/2018</stp>
        <tr r="M2620" s="1"/>
      </tp>
      <tp>
        <v>48.669130276737</v>
        <stp/>
        <stp>EM_S_VAL_PETTMDEDUCTED</stp>
        <stp>2</stp>
        <stp>002616</stp>
        <stp>12/31/2018</stp>
        <tr r="M1661" s="1"/>
      </tp>
      <tp>
        <v>20.2607568147602</v>
        <stp/>
        <stp>EM_S_VAL_PETTMDEDUCTED</stp>
        <stp>2</stp>
        <stp>002617</stp>
        <stp>12/31/2018</stp>
        <tr r="M760" s="1"/>
      </tp>
      <tp>
        <v>27.972916684614901</v>
        <stp/>
        <stp>EM_S_VAL_PETTMDEDUCTED</stp>
        <stp>2</stp>
        <stp>002614</stp>
        <stp>12/31/2018</stp>
        <tr r="M3257" s="1"/>
      </tp>
      <tp>
        <v>21.1196108867228</v>
        <stp/>
        <stp>EM_S_VAL_PETTMDEDUCTED</stp>
        <stp>2</stp>
        <stp>002615</stp>
        <stp>12/31/2018</stp>
        <tr r="M1586" s="1"/>
      </tp>
      <tp>
        <v>14.8557045355646</v>
        <stp/>
        <stp>EM_S_VAL_PETTMDEDUCTED</stp>
        <stp>2</stp>
        <stp>002612</stp>
        <stp>12/31/2018</stp>
        <tr r="M1881" s="1"/>
      </tp>
      <tp>
        <v>-51.498206437674099</v>
        <stp/>
        <stp>EM_S_VAL_PETTMDEDUCTED</stp>
        <stp>2</stp>
        <stp>002613</stp>
        <stp>12/31/2018</stp>
        <tr r="M2072" s="1"/>
      </tp>
      <tp>
        <v>121.003965542041</v>
        <stp/>
        <stp>EM_S_VAL_PETTMDEDUCTED</stp>
        <stp>2</stp>
        <stp>002610</stp>
        <stp>12/31/2018</stp>
        <tr r="M2135" s="1"/>
      </tp>
      <tp>
        <v>12.5452149666307</v>
        <stp/>
        <stp>EM_S_VAL_PETTMDEDUCTED</stp>
        <stp>2</stp>
        <stp>002611</stp>
        <stp>12/31/2018</stp>
        <tr r="M1539" s="1"/>
      </tp>
      <tp>
        <v>12.060608021767999</v>
        <stp/>
        <stp>EM_S_VAL_PETTMDEDUCTED</stp>
        <stp>2</stp>
        <stp>002608</stp>
        <stp>12/31/2018</stp>
        <tr r="M2248" s="1"/>
      </tp>
      <tp>
        <v>31.198445192880399</v>
        <stp/>
        <stp>EM_S_VAL_PETTMDEDUCTED</stp>
        <stp>2</stp>
        <stp>002609</stp>
        <stp>12/31/2018</stp>
        <tr r="M507" s="1"/>
      </tp>
      <tp>
        <v>-198.41241124419</v>
        <stp/>
        <stp>EM_S_VAL_PETTMDEDUCTED</stp>
        <stp>2</stp>
        <stp>002606</stp>
        <stp>12/31/2018</stp>
        <tr r="M2831" s="1"/>
      </tp>
      <tp>
        <v>204.69846723256501</v>
        <stp/>
        <stp>EM_S_VAL_PETTMDEDUCTED</stp>
        <stp>2</stp>
        <stp>002607</stp>
        <stp>12/31/2018</stp>
        <tr r="M95" s="1"/>
      </tp>
      <tp>
        <v>-0.64693036388512204</v>
        <stp/>
        <stp>EM_S_VAL_PETTMDEDUCTED</stp>
        <stp>2</stp>
        <stp>002604</stp>
        <stp>12/31/2018</stp>
        <tr r="M1363" s="1"/>
      </tp>
      <tp>
        <v>32.724918252250298</v>
        <stp/>
        <stp>EM_S_VAL_PETTMDEDUCTED</stp>
        <stp>2</stp>
        <stp>002605</stp>
        <stp>12/31/2018</stp>
        <tr r="M74" s="1"/>
      </tp>
      <tp>
        <v>62.3031705731035</v>
        <stp/>
        <stp>EM_S_VAL_PETTMDEDUCTED</stp>
        <stp>2</stp>
        <stp>002602</stp>
        <stp>12/31/2018</stp>
        <tr r="M3332" s="1"/>
      </tp>
      <tp>
        <v>21.0039166397702</v>
        <stp/>
        <stp>EM_S_VAL_PETTMDEDUCTED</stp>
        <stp>2</stp>
        <stp>002603</stp>
        <stp>12/31/2018</stp>
        <tr r="M1855" s="1"/>
      </tp>
      <tp>
        <v>-16.9156823930077</v>
        <stp/>
        <stp>EM_S_VAL_PETTMDEDUCTED</stp>
        <stp>2</stp>
        <stp>002600</stp>
        <stp>12/31/2018</stp>
        <tr r="M23" s="1"/>
      </tp>
      <tp>
        <v>10.1620211223516</v>
        <stp/>
        <stp>EM_S_VAL_PETTMDEDUCTED</stp>
        <stp>2</stp>
        <stp>002601</stp>
        <stp>12/31/2018</stp>
        <tr r="M1076" s="1"/>
      </tp>
      <tp>
        <v>64.486377929851301</v>
        <stp/>
        <stp>EM_S_VAL_PETTMDEDUCTED</stp>
        <stp>2</stp>
        <stp>002638</stp>
        <stp>12/31/2018</stp>
        <tr r="M689" s="1"/>
      </tp>
      <tp>
        <v>-42.925748476823003</v>
        <stp/>
        <stp>EM_S_VAL_PETTMDEDUCTED</stp>
        <stp>2</stp>
        <stp>002639</stp>
        <stp>12/31/2018</stp>
        <tr r="M434" s="1"/>
      </tp>
      <tp>
        <v>15.7755976588519</v>
        <stp/>
        <stp>EM_S_VAL_PETTMDEDUCTED</stp>
        <stp>2</stp>
        <stp>002636</stp>
        <stp>12/31/2018</stp>
        <tr r="M1181" s="1"/>
      </tp>
      <tp>
        <v>24.694564003286899</v>
        <stp/>
        <stp>EM_S_VAL_PETTMDEDUCTED</stp>
        <stp>2</stp>
        <stp>002637</stp>
        <stp>12/31/2018</stp>
        <tr r="M640" s="1"/>
      </tp>
      <tp>
        <v>71.879827011958497</v>
        <stp/>
        <stp>EM_S_VAL_PETTMDEDUCTED</stp>
        <stp>2</stp>
        <stp>002634</stp>
        <stp>12/31/2018</stp>
        <tr r="M713" s="1"/>
      </tp>
      <tp>
        <v>38.392544203660698</v>
        <stp/>
        <stp>EM_S_VAL_PETTMDEDUCTED</stp>
        <stp>2</stp>
        <stp>002635</stp>
        <stp>12/31/2018</stp>
        <tr r="M547" s="1"/>
      </tp>
      <tp>
        <v>22.392320074763401</v>
        <stp/>
        <stp>EM_S_VAL_PETTMDEDUCTED</stp>
        <stp>2</stp>
        <stp>002632</stp>
        <stp>12/31/2018</stp>
        <tr r="M1891" s="1"/>
      </tp>
      <tp>
        <v>367.40441704871699</v>
        <stp/>
        <stp>EM_S_VAL_PETTMDEDUCTED</stp>
        <stp>2</stp>
        <stp>002633</stp>
        <stp>12/31/2018</stp>
        <tr r="M2033" s="1"/>
      </tp>
      <tp>
        <v>28.829361906959399</v>
        <stp/>
        <stp>EM_S_VAL_PETTMDEDUCTED</stp>
        <stp>2</stp>
        <stp>002630</stp>
        <stp>12/31/2018</stp>
        <tr r="M2954" s="1"/>
      </tp>
      <tp>
        <v>51.394916746977898</v>
        <stp/>
        <stp>EM_S_VAL_PETTMDEDUCTED</stp>
        <stp>2</stp>
        <stp>002631</stp>
        <stp>12/31/2018</stp>
        <tr r="M1082" s="1"/>
      </tp>
      <tp>
        <v>242.57891993617801</v>
        <stp/>
        <stp>EM_S_VAL_PETTMDEDUCTED</stp>
        <stp>2</stp>
        <stp>002628</stp>
        <stp>12/31/2018</stp>
        <tr r="M2357" s="1"/>
      </tp>
      <tp>
        <v>-207.887622268234</v>
        <stp/>
        <stp>EM_S_VAL_PETTMDEDUCTED</stp>
        <stp>2</stp>
        <stp>002629</stp>
        <stp>12/31/2018</stp>
        <tr r="M3220" s="1"/>
      </tp>
      <tp>
        <v>8.6041423896744895</v>
        <stp/>
        <stp>EM_S_VAL_PETTMDEDUCTED</stp>
        <stp>2</stp>
        <stp>002626</stp>
        <stp>12/31/2018</stp>
        <tr r="M414" s="1"/>
      </tp>
      <tp>
        <v>38.6215970424172</v>
        <stp/>
        <stp>EM_S_VAL_PETTMDEDUCTED</stp>
        <stp>2</stp>
        <stp>002627</stp>
        <stp>12/31/2018</stp>
        <tr r="M389" s="1"/>
      </tp>
      <tp>
        <v>24.403367733116401</v>
        <stp/>
        <stp>EM_S_VAL_PETTMDEDUCTED</stp>
        <stp>2</stp>
        <stp>002624</stp>
        <stp>12/31/2018</stp>
        <tr r="M449" s="1"/>
      </tp>
      <tp>
        <v>1789.3348517521799</v>
        <stp/>
        <stp>EM_S_VAL_PETTMDEDUCTED</stp>
        <stp>2</stp>
        <stp>002625</stp>
        <stp>12/31/2018</stp>
        <tr r="M2630" s="1"/>
      </tp>
      <tp>
        <v>49.821358236016401</v>
        <stp/>
        <stp>EM_S_VAL_PETTMDEDUCTED</stp>
        <stp>2</stp>
        <stp>002622</stp>
        <stp>12/31/2018</stp>
        <tr r="M1510" s="1"/>
      </tp>
      <tp>
        <v>175.117931857396</v>
        <stp/>
        <stp>EM_S_VAL_PETTMDEDUCTED</stp>
        <stp>2</stp>
        <stp>002623</stp>
        <stp>12/31/2018</stp>
        <tr r="M556" s="1"/>
      </tp>
      <tp>
        <v>14.241113635624</v>
        <stp/>
        <stp>EM_S_VAL_PETTMDEDUCTED</stp>
        <stp>2</stp>
        <stp>002620</stp>
        <stp>12/31/2018</stp>
        <tr r="M2023" s="1"/>
      </tp>
      <tp>
        <v>-395.47163226939102</v>
        <stp/>
        <stp>EM_S_VAL_PETTMDEDUCTED</stp>
        <stp>2</stp>
        <stp>002621</stp>
        <stp>12/31/2018</stp>
        <tr r="M3271" s="1"/>
      </tp>
      <tp>
        <v>18.447774918899</v>
        <stp/>
        <stp>EM_S_VAL_PETTMDEDUCTED</stp>
        <stp>2</stp>
        <stp>002658</stp>
        <stp>12/31/2018</stp>
        <tr r="M2191" s="1"/>
      </tp>
      <tp>
        <v>-47.506956285798502</v>
        <stp/>
        <stp>EM_S_VAL_PETTMDEDUCTED</stp>
        <stp>2</stp>
        <stp>002659</stp>
        <stp>12/31/2018</stp>
        <tr r="M3175" s="1"/>
      </tp>
      <tp>
        <v>65.568823024804004</v>
        <stp/>
        <stp>EM_S_VAL_PETTMDEDUCTED</stp>
        <stp>2</stp>
        <stp>002656</stp>
        <stp>12/31/2018</stp>
        <tr r="M3289" s="1"/>
      </tp>
      <tp>
        <v>-11.9605904611127</v>
        <stp/>
        <stp>EM_S_VAL_PETTMDEDUCTED</stp>
        <stp>2</stp>
        <stp>002657</stp>
        <stp>12/31/2018</stp>
        <tr r="M628" s="1"/>
      </tp>
      <tp>
        <v>164.553115474046</v>
        <stp/>
        <stp>EM_S_VAL_PETTMDEDUCTED</stp>
        <stp>2</stp>
        <stp>002654</stp>
        <stp>12/31/2018</stp>
        <tr r="M606" s="1"/>
      </tp>
      <tp>
        <v>-13.0694854898576</v>
        <stp/>
        <stp>EM_S_VAL_PETTMDEDUCTED</stp>
        <stp>2</stp>
        <stp>002655</stp>
        <stp>12/31/2018</stp>
        <tr r="M153" s="1"/>
      </tp>
      <tp>
        <v>29.238753979499499</v>
        <stp/>
        <stp>EM_S_VAL_PETTMDEDUCTED</stp>
        <stp>2</stp>
        <stp>002652</stp>
        <stp>12/31/2018</stp>
        <tr r="M2182" s="1"/>
      </tp>
      <tp>
        <v>114.90083012163799</v>
        <stp/>
        <stp>EM_S_VAL_PETTMDEDUCTED</stp>
        <stp>2</stp>
        <stp>002653</stp>
        <stp>12/31/2018</stp>
        <tr r="M337" s="1"/>
      </tp>
      <tp>
        <v>31.5300596158046</v>
        <stp/>
        <stp>EM_S_VAL_PETTMDEDUCTED</stp>
        <stp>2</stp>
        <stp>002650</stp>
        <stp>12/31/2018</stp>
        <tr r="M2392" s="1"/>
      </tp>
      <tp>
        <v>30.724056212803401</v>
        <stp/>
        <stp>EM_S_VAL_PETTMDEDUCTED</stp>
        <stp>2</stp>
        <stp>002651</stp>
        <stp>12/31/2018</stp>
        <tr r="M1383" s="1"/>
      </tp>
      <tp>
        <v>11.160512084857899</v>
        <stp/>
        <stp>EM_S_VAL_PETTMDEDUCTED</stp>
        <stp>2</stp>
        <stp>002648</stp>
        <stp>12/31/2018</stp>
        <tr r="M309" s="1"/>
      </tp>
      <tp>
        <v>21.567651247386401</v>
        <stp/>
        <stp>EM_S_VAL_PETTMDEDUCTED</stp>
        <stp>2</stp>
        <stp>002649</stp>
        <stp>12/31/2018</stp>
        <tr r="M807" s="1"/>
      </tp>
      <tp>
        <v>-34.116151811950402</v>
        <stp/>
        <stp>EM_S_VAL_PETTMDEDUCTED</stp>
        <stp>2</stp>
        <stp>002646</stp>
        <stp>12/31/2018</stp>
        <tr r="M2254" s="1"/>
      </tp>
      <tp>
        <v>-40.623416910545103</v>
        <stp/>
        <stp>EM_S_VAL_PETTMDEDUCTED</stp>
        <stp>2</stp>
        <stp>002647</stp>
        <stp>12/31/2018</stp>
        <tr r="M963" s="1"/>
      </tp>
      <tp>
        <v>59.042620798153202</v>
        <stp/>
        <stp>EM_S_VAL_PETTMDEDUCTED</stp>
        <stp>2</stp>
        <stp>002644</stp>
        <stp>12/31/2018</stp>
        <tr r="M2710" s="1"/>
      </tp>
      <tp>
        <v>17.497123251941002</v>
        <stp/>
        <stp>EM_S_VAL_PETTMDEDUCTED</stp>
        <stp>2</stp>
        <stp>002645</stp>
        <stp>12/31/2018</stp>
        <tr r="M1368" s="1"/>
      </tp>
      <tp>
        <v>-17.8243725918575</v>
        <stp/>
        <stp>EM_S_VAL_PETTMDEDUCTED</stp>
        <stp>2</stp>
        <stp>002642</stp>
        <stp>12/31/2018</stp>
        <tr r="M2603" s="1"/>
      </tp>
      <tp>
        <v>24.108578669231399</v>
        <stp/>
        <stp>EM_S_VAL_PETTMDEDUCTED</stp>
        <stp>2</stp>
        <stp>002643</stp>
        <stp>12/31/2018</stp>
        <tr r="M561" s="1"/>
      </tp>
      <tp>
        <v>16.303007762141998</v>
        <stp/>
        <stp>EM_S_VAL_PETTMDEDUCTED</stp>
        <stp>2</stp>
        <stp>002640</stp>
        <stp>12/31/2018</stp>
        <tr r="M3219" s="1"/>
      </tp>
      <tp>
        <v>16.916212897190601</v>
        <stp/>
        <stp>EM_S_VAL_PETTMDEDUCTED</stp>
        <stp>2</stp>
        <stp>002641</stp>
        <stp>12/31/2018</stp>
        <tr r="M718" s="1"/>
      </tp>
      <tp>
        <v>53.105176245473601</v>
        <stp/>
        <stp>EM_S_VAL_PETTMDEDUCTED</stp>
        <stp>2</stp>
        <stp>002678</stp>
        <stp>12/31/2018</stp>
        <tr r="M697" s="1"/>
      </tp>
      <tp>
        <v>69.943104940183403</v>
        <stp/>
        <stp>EM_S_VAL_PETTMDEDUCTED</stp>
        <stp>2</stp>
        <stp>002679</stp>
        <stp>12/31/2018</stp>
        <tr r="M2584" s="1"/>
      </tp>
      <tp>
        <v>-28.323016714153699</v>
        <stp/>
        <stp>EM_S_VAL_PETTMDEDUCTED</stp>
        <stp>2</stp>
        <stp>002676</stp>
        <stp>12/31/2018</stp>
        <tr r="M1749" s="1"/>
      </tp>
      <tp>
        <v>17.9706213338956</v>
        <stp/>
        <stp>EM_S_VAL_PETTMDEDUCTED</stp>
        <stp>2</stp>
        <stp>002677</stp>
        <stp>12/31/2018</stp>
        <tr r="M839" s="1"/>
      </tp>
      <tp>
        <v>41.546471328440198</v>
        <stp/>
        <stp>EM_S_VAL_PETTMDEDUCTED</stp>
        <stp>2</stp>
        <stp>002674</stp>
        <stp>12/31/2018</stp>
        <tr r="M622" s="1"/>
      </tp>
      <tp>
        <v>26.692995908977199</v>
        <stp/>
        <stp>EM_S_VAL_PETTMDEDUCTED</stp>
        <stp>2</stp>
        <stp>002675</stp>
        <stp>12/31/2018</stp>
        <tr r="M177" s="1"/>
      </tp>
      <tp>
        <v>20.273511087060001</v>
        <stp/>
        <stp>EM_S_VAL_PETTMDEDUCTED</stp>
        <stp>2</stp>
        <stp>002672</stp>
        <stp>12/31/2018</stp>
        <tr r="M3093" s="1"/>
      </tp>
      <tp>
        <v>77.402775391604706</v>
        <stp/>
        <stp>EM_S_VAL_PETTMDEDUCTED</stp>
        <stp>2</stp>
        <stp>002673</stp>
        <stp>12/31/2018</stp>
        <tr r="M998" s="1"/>
      </tp>
      <tp>
        <v>697.18011968570602</v>
        <stp/>
        <stp>EM_S_VAL_PETTMDEDUCTED</stp>
        <stp>2</stp>
        <stp>002670</stp>
        <stp>12/31/2018</stp>
        <tr r="M1233" s="1"/>
      </tp>
      <tp>
        <v>20.153314646300601</v>
        <stp/>
        <stp>EM_S_VAL_PETTMDEDUCTED</stp>
        <stp>2</stp>
        <stp>002671</stp>
        <stp>12/31/2018</stp>
        <tr r="M1752" s="1"/>
      </tp>
      <tp>
        <v>8.9923989309841694</v>
        <stp/>
        <stp>EM_S_VAL_PETTMDEDUCTED</stp>
        <stp>2</stp>
        <stp>002668</stp>
        <stp>12/31/2018</stp>
        <tr r="M1444" s="1"/>
      </tp>
      <tp>
        <v>55.850013549833001</v>
        <stp/>
        <stp>EM_S_VAL_PETTMDEDUCTED</stp>
        <stp>2</stp>
        <stp>002669</stp>
        <stp>12/31/2018</stp>
        <tr r="M830" s="1"/>
      </tp>
      <tp>
        <v>20.310672773458801</v>
        <stp/>
        <stp>EM_S_VAL_PETTMDEDUCTED</stp>
        <stp>2</stp>
        <stp>002666</stp>
        <stp>12/31/2018</stp>
        <tr r="M1190" s="1"/>
      </tp>
      <tp>
        <v>264.06888169705201</v>
        <stp/>
        <stp>EM_S_VAL_PETTMDEDUCTED</stp>
        <stp>2</stp>
        <stp>002667</stp>
        <stp>12/31/2018</stp>
        <tr r="M1882" s="1"/>
      </tp>
      <tp>
        <v>19.199833189683002</v>
        <stp/>
        <stp>EM_S_VAL_PETTMDEDUCTED</stp>
        <stp>2</stp>
        <stp>002664</stp>
        <stp>12/31/2018</stp>
        <tr r="M985" s="1"/>
      </tp>
      <tp>
        <v>-138.10494939785301</v>
        <stp/>
        <stp>EM_S_VAL_PETTMDEDUCTED</stp>
        <stp>2</stp>
        <stp>002665</stp>
        <stp>12/31/2018</stp>
        <tr r="M1281" s="1"/>
      </tp>
      <tp>
        <v>-11.998457373930201</v>
        <stp/>
        <stp>EM_S_VAL_PETTMDEDUCTED</stp>
        <stp>2</stp>
        <stp>002662</stp>
        <stp>12/31/2018</stp>
        <tr r="M3217" s="1"/>
      </tp>
      <tp>
        <v>29.1683578317189</v>
        <stp/>
        <stp>EM_S_VAL_PETTMDEDUCTED</stp>
        <stp>2</stp>
        <stp>002663</stp>
        <stp>12/31/2018</stp>
        <tr r="M1524" s="1"/>
      </tp>
      <tp>
        <v>-81.328729686161097</v>
        <stp/>
        <stp>EM_S_VAL_PETTMDEDUCTED</stp>
        <stp>2</stp>
        <stp>002660</stp>
        <stp>12/31/2018</stp>
        <tr r="M568" s="1"/>
      </tp>
      <tp>
        <v>31.7218119109491</v>
        <stp/>
        <stp>EM_S_VAL_PETTMDEDUCTED</stp>
        <stp>2</stp>
        <stp>002661</stp>
        <stp>12/31/2018</stp>
        <tr r="M2711" s="1"/>
      </tp>
      <tp>
        <v>18.334376022435698</v>
        <stp/>
        <stp>EM_S_VAL_PETTMDEDUCTED</stp>
        <stp>2</stp>
        <stp>002798</stp>
        <stp>12/31/2018</stp>
        <tr r="M231" s="1"/>
      </tp>
      <tp>
        <v>84.9949870573666</v>
        <stp/>
        <stp>EM_S_VAL_PETTMDEDUCTED</stp>
        <stp>2</stp>
        <stp>002799</stp>
        <stp>12/31/2018</stp>
        <tr r="M657" s="1"/>
      </tp>
      <tp>
        <v>162.579838482621</v>
        <stp/>
        <stp>EM_S_VAL_PETTMDEDUCTED</stp>
        <stp>2</stp>
        <stp>002796</stp>
        <stp>12/31/2018</stp>
        <tr r="M2130" s="1"/>
      </tp>
      <tp>
        <v>80.150966630865</v>
        <stp/>
        <stp>EM_S_VAL_PETTMDEDUCTED</stp>
        <stp>2</stp>
        <stp>002797</stp>
        <stp>12/31/2018</stp>
        <tr r="M505" s="1"/>
      </tp>
      <tp>
        <v>39.241719193234204</v>
        <stp/>
        <stp>EM_S_VAL_PETTMDEDUCTED</stp>
        <stp>2</stp>
        <stp>002795</stp>
        <stp>12/31/2018</stp>
        <tr r="M2685" s="1"/>
      </tp>
      <tp>
        <v>225.48558970821199</v>
        <stp/>
        <stp>EM_S_VAL_PETTMDEDUCTED</stp>
        <stp>2</stp>
        <stp>002792</stp>
        <stp>12/31/2018</stp>
        <tr r="M2935" s="1"/>
      </tp>
      <tp>
        <v>19.430803787354701</v>
        <stp/>
        <stp>EM_S_VAL_PETTMDEDUCTED</stp>
        <stp>2</stp>
        <stp>002793</stp>
        <stp>12/31/2018</stp>
        <tr r="M848" s="1"/>
      </tp>
      <tp>
        <v>19.968755895927998</v>
        <stp/>
        <stp>EM_S_VAL_PETTMDEDUCTED</stp>
        <stp>2</stp>
        <stp>002790</stp>
        <stp>12/31/2018</stp>
        <tr r="M3304" s="1"/>
      </tp>
      <tp>
        <v>29.783423752009099</v>
        <stp/>
        <stp>EM_S_VAL_PETTMDEDUCTED</stp>
        <stp>2</stp>
        <stp>002791</stp>
        <stp>12/31/2018</stp>
        <tr r="M43" s="1"/>
      </tp>
      <tp>
        <v>14.764459103899799</v>
        <stp/>
        <stp>EM_S_VAL_PETTMDEDUCTED</stp>
        <stp>2</stp>
        <stp>002788</stp>
        <stp>12/31/2018</stp>
        <tr r="M3288" s="1"/>
      </tp>
      <tp>
        <v>22.221941868712602</v>
        <stp/>
        <stp>EM_S_VAL_PETTMDEDUCTED</stp>
        <stp>2</stp>
        <stp>002789</stp>
        <stp>12/31/2018</stp>
        <tr r="M2208" s="1"/>
      </tp>
      <tp>
        <v>188.02805137362199</v>
        <stp/>
        <stp>EM_S_VAL_PETTMDEDUCTED</stp>
        <stp>2</stp>
        <stp>002786</stp>
        <stp>12/31/2018</stp>
        <tr r="M785" s="1"/>
      </tp>
      <tp>
        <v>28.9862539505509</v>
        <stp/>
        <stp>EM_S_VAL_PETTMDEDUCTED</stp>
        <stp>2</stp>
        <stp>002787</stp>
        <stp>12/31/2018</stp>
        <tr r="M1847" s="1"/>
      </tp>
      <tp>
        <v>-136.97030390253201</v>
        <stp/>
        <stp>EM_S_VAL_PETTMDEDUCTED</stp>
        <stp>2</stp>
        <stp>002785</stp>
        <stp>12/31/2018</stp>
        <tr r="M500" s="1"/>
      </tp>
      <tp>
        <v>59.621526369966503</v>
        <stp/>
        <stp>EM_S_VAL_PETTMDEDUCTED</stp>
        <stp>2</stp>
        <stp>002782</stp>
        <stp>12/31/2018</stp>
        <tr r="M2525" s="1"/>
      </tp>
      <tp>
        <v>21.546832250991098</v>
        <stp/>
        <stp>EM_S_VAL_PETTMDEDUCTED</stp>
        <stp>2</stp>
        <stp>002783</stp>
        <stp>12/31/2018</stp>
        <tr r="M244" s="1"/>
      </tp>
      <tp>
        <v>-211.57819518402499</v>
        <stp/>
        <stp>EM_S_VAL_PETTMDEDUCTED</stp>
        <stp>2</stp>
        <stp>002780</stp>
        <stp>12/31/2018</stp>
        <tr r="M661" s="1"/>
      </tp>
      <tp>
        <v>20.855386305636902</v>
        <stp/>
        <stp>EM_S_VAL_PETTMDEDUCTED</stp>
        <stp>2</stp>
        <stp>002781</stp>
        <stp>12/31/2018</stp>
        <tr r="M1532" s="1"/>
      </tp>
      <tp>
        <v>29.569127670315901</v>
        <stp/>
        <stp>EM_S_VAL_PETTMDEDUCTED</stp>
        <stp>2</stp>
        <stp>002718</stp>
        <stp>12/31/2018</stp>
        <tr r="M3310" s="1"/>
      </tp>
      <tp>
        <v>236.634334666379</v>
        <stp/>
        <stp>EM_S_VAL_PETTMDEDUCTED</stp>
        <stp>2</stp>
        <stp>002719</stp>
        <stp>12/31/2018</stp>
        <tr r="M2151" s="1"/>
      </tp>
      <tp>
        <v>20.894009978972701</v>
        <stp/>
        <stp>EM_S_VAL_PETTMDEDUCTED</stp>
        <stp>2</stp>
        <stp>002716</stp>
        <stp>12/31/2018</stp>
        <tr r="M3375" s="1"/>
      </tp>
      <tp>
        <v>11.7603644580495</v>
        <stp/>
        <stp>EM_S_VAL_PETTMDEDUCTED</stp>
        <stp>2</stp>
        <stp>002717</stp>
        <stp>12/31/2018</stp>
        <tr r="M3355" s="1"/>
      </tp>
      <tp>
        <v>68.615464261813599</v>
        <stp/>
        <stp>EM_S_VAL_PETTMDEDUCTED</stp>
        <stp>2</stp>
        <stp>002714</stp>
        <stp>12/31/2018</stp>
        <tr r="M46" s="1"/>
      </tp>
      <tp>
        <v>401.27116887260797</v>
        <stp/>
        <stp>EM_S_VAL_PETTMDEDUCTED</stp>
        <stp>2</stp>
        <stp>002715</stp>
        <stp>12/31/2018</stp>
        <tr r="M1693" s="1"/>
      </tp>
      <tp>
        <v>15.039680929888601</v>
        <stp/>
        <stp>EM_S_VAL_PETTMDEDUCTED</stp>
        <stp>2</stp>
        <stp>002712</stp>
        <stp>12/31/2018</stp>
        <tr r="M708" s="1"/>
      </tp>
      <tp>
        <v>17.264275628216399</v>
        <stp/>
        <stp>EM_S_VAL_PETTMDEDUCTED</stp>
        <stp>2</stp>
        <stp>002713</stp>
        <stp>12/31/2018</stp>
        <tr r="M3382" s="1"/>
      </tp>
      <tp>
        <v>0</v>
        <stp/>
        <stp>EM_S_VAL_PETTMDEDUCTED</stp>
        <stp>2</stp>
        <stp>002710</stp>
        <stp>12/31/2018</stp>
        <tr r="M7" s="1"/>
      </tp>
      <tp>
        <v>30.7873020480225</v>
        <stp/>
        <stp>EM_S_VAL_PETTMDEDUCTED</stp>
        <stp>2</stp>
        <stp>002711</stp>
        <stp>12/31/2018</stp>
        <tr r="M3398" s="1"/>
      </tp>
      <tp>
        <v>-46542.626679876499</v>
        <stp/>
        <stp>EM_S_VAL_PETTMDEDUCTED</stp>
        <stp>2</stp>
        <stp>002708</stp>
        <stp>12/31/2018</stp>
        <tr r="M1971" s="1"/>
      </tp>
      <tp>
        <v>166.45521633128899</v>
        <stp/>
        <stp>EM_S_VAL_PETTMDEDUCTED</stp>
        <stp>2</stp>
        <stp>002709</stp>
        <stp>12/31/2018</stp>
        <tr r="M2533" s="1"/>
      </tp>
      <tp>
        <v>23.683444097781901</v>
        <stp/>
        <stp>EM_S_VAL_PETTMDEDUCTED</stp>
        <stp>2</stp>
        <stp>002706</stp>
        <stp>12/31/2018</stp>
        <tr r="M778" s="1"/>
      </tp>
      <tp>
        <v>23.010841321790199</v>
        <stp/>
        <stp>EM_S_VAL_PETTMDEDUCTED</stp>
        <stp>2</stp>
        <stp>002707</stp>
        <stp>12/31/2018</stp>
        <tr r="M2368" s="1"/>
      </tp>
      <tp>
        <v>15.536108684084599</v>
        <stp/>
        <stp>EM_S_VAL_PETTMDEDUCTED</stp>
        <stp>2</stp>
        <stp>002705</stp>
        <stp>12/31/2018</stp>
        <tr r="M240" s="1"/>
      </tp>
      <tp>
        <v>107.647462333768</v>
        <stp/>
        <stp>EM_S_VAL_PETTMDEDUCTED</stp>
        <stp>2</stp>
        <stp>002702</stp>
        <stp>12/31/2018</stp>
        <tr r="M1877" s="1"/>
      </tp>
      <tp>
        <v>-107.416649458611</v>
        <stp/>
        <stp>EM_S_VAL_PETTMDEDUCTED</stp>
        <stp>2</stp>
        <stp>002703</stp>
        <stp>12/31/2018</stp>
        <tr r="M1670" s="1"/>
      </tp>
      <tp>
        <v>60.800484586431899</v>
        <stp/>
        <stp>EM_S_VAL_PETTMDEDUCTED</stp>
        <stp>2</stp>
        <stp>002700</stp>
        <stp>12/31/2018</stp>
        <tr r="M3204" s="1"/>
      </tp>
      <tp>
        <v>17.800372199655001</v>
        <stp/>
        <stp>EM_S_VAL_PETTMDEDUCTED</stp>
        <stp>2</stp>
        <stp>002701</stp>
        <stp>12/31/2018</stp>
        <tr r="M2874" s="1"/>
      </tp>
      <tp>
        <v>42.372989203857202</v>
        <stp/>
        <stp>EM_S_VAL_PETTMDEDUCTED</stp>
        <stp>2</stp>
        <stp>002738</stp>
        <stp>12/31/2018</stp>
        <tr r="M1459" s="1"/>
      </tp>
      <tp>
        <v>28.174894751159702</v>
        <stp/>
        <stp>EM_S_VAL_PETTMDEDUCTED</stp>
        <stp>2</stp>
        <stp>002739</stp>
        <stp>12/31/2018</stp>
        <tr r="M2975" s="1"/>
      </tp>
      <tp>
        <v>21.764860531163301</v>
        <stp/>
        <stp>EM_S_VAL_PETTMDEDUCTED</stp>
        <stp>2</stp>
        <stp>002736</stp>
        <stp>12/31/2018</stp>
        <tr r="M549" s="1"/>
      </tp>
      <tp>
        <v>19.387851639606101</v>
        <stp/>
        <stp>EM_S_VAL_PETTMDEDUCTED</stp>
        <stp>2</stp>
        <stp>002737</stp>
        <stp>12/31/2018</stp>
        <tr r="M2433" s="1"/>
      </tp>
      <tp>
        <v>18.3541236013785</v>
        <stp/>
        <stp>EM_S_VAL_PETTMDEDUCTED</stp>
        <stp>2</stp>
        <stp>002734</stp>
        <stp>12/31/2018</stp>
        <tr r="M875" s="1"/>
      </tp>
      <tp>
        <v>55.230588514563898</v>
        <stp/>
        <stp>EM_S_VAL_PETTMDEDUCTED</stp>
        <stp>2</stp>
        <stp>002735</stp>
        <stp>12/31/2018</stp>
        <tr r="M2934" s="1"/>
      </tp>
      <tp>
        <v>34.9824762561108</v>
        <stp/>
        <stp>EM_S_VAL_PETTMDEDUCTED</stp>
        <stp>2</stp>
        <stp>002732</stp>
        <stp>12/31/2018</stp>
        <tr r="M992" s="1"/>
      </tp>
      <tp>
        <v>129.75942738765099</v>
        <stp/>
        <stp>EM_S_VAL_PETTMDEDUCTED</stp>
        <stp>2</stp>
        <stp>002733</stp>
        <stp>12/31/2018</stp>
        <tr r="M67" s="1"/>
      </tp>
      <tp>
        <v>30.045953205355499</v>
        <stp/>
        <stp>EM_S_VAL_PETTMDEDUCTED</stp>
        <stp>2</stp>
        <stp>002730</stp>
        <stp>12/31/2018</stp>
        <tr r="M1216" s="1"/>
      </tp>
      <tp>
        <v>58.064189723804198</v>
        <stp/>
        <stp>EM_S_VAL_PETTMDEDUCTED</stp>
        <stp>2</stp>
        <stp>002731</stp>
        <stp>12/31/2018</stp>
        <tr r="M3386" s="1"/>
      </tp>
      <tp>
        <v>19.9452102944317</v>
        <stp/>
        <stp>EM_S_VAL_PETTMDEDUCTED</stp>
        <stp>2</stp>
        <stp>002728</stp>
        <stp>12/31/2018</stp>
        <tr r="M991" s="1"/>
      </tp>
      <tp>
        <v>89.504483215074004</v>
        <stp/>
        <stp>EM_S_VAL_PETTMDEDUCTED</stp>
        <stp>2</stp>
        <stp>002729</stp>
        <stp>12/31/2018</stp>
        <tr r="M92" s="1"/>
      </tp>
      <tp>
        <v>42.340789382988198</v>
        <stp/>
        <stp>EM_S_VAL_PETTMDEDUCTED</stp>
        <stp>2</stp>
        <stp>002726</stp>
        <stp>12/31/2018</stp>
        <tr r="M2844" s="1"/>
      </tp>
      <tp>
        <v>20.380267171104599</v>
        <stp/>
        <stp>EM_S_VAL_PETTMDEDUCTED</stp>
        <stp>2</stp>
        <stp>002727</stp>
        <stp>12/31/2018</stp>
        <tr r="M946" s="1"/>
      </tp>
      <tp>
        <v>28.100726992078702</v>
        <stp/>
        <stp>EM_S_VAL_PETTMDEDUCTED</stp>
        <stp>2</stp>
        <stp>002724</stp>
        <stp>12/31/2018</stp>
        <tr r="M757" s="1"/>
      </tp>
      <tp>
        <v>58.284656341467098</v>
        <stp/>
        <stp>EM_S_VAL_PETTMDEDUCTED</stp>
        <stp>2</stp>
        <stp>002725</stp>
        <stp>12/31/2018</stp>
        <tr r="M1230" s="1"/>
      </tp>
      <tp>
        <v>29.598428117173398</v>
        <stp/>
        <stp>EM_S_VAL_PETTMDEDUCTED</stp>
        <stp>2</stp>
        <stp>002722</stp>
        <stp>12/31/2018</stp>
        <tr r="M1754" s="1"/>
      </tp>
      <tp>
        <v>-71.775875001004493</v>
        <stp/>
        <stp>EM_S_VAL_PETTMDEDUCTED</stp>
        <stp>2</stp>
        <stp>002723</stp>
        <stp>12/31/2018</stp>
        <tr r="M2029" s="1"/>
      </tp>
      <tp>
        <v>0</v>
        <stp/>
        <stp>EM_S_VAL_PETTMDEDUCTED</stp>
        <stp>2</stp>
        <stp>002720</stp>
        <stp>12/31/2018</stp>
        <tr r="M8" s="1"/>
      </tp>
      <tp>
        <v>59.743024065048097</v>
        <stp/>
        <stp>EM_S_VAL_PETTMDEDUCTED</stp>
        <stp>2</stp>
        <stp>002721</stp>
        <stp>12/31/2018</stp>
        <tr r="M2808" s="1"/>
      </tp>
      <tp>
        <v>46.882194321538002</v>
        <stp/>
        <stp>EM_S_VAL_PETTMDEDUCTED</stp>
        <stp>2</stp>
        <stp>002758</stp>
        <stp>12/31/2018</stp>
        <tr r="M633" s="1"/>
      </tp>
      <tp>
        <v>-40.709332603499099</v>
        <stp/>
        <stp>EM_S_VAL_PETTMDEDUCTED</stp>
        <stp>2</stp>
        <stp>002759</stp>
        <stp>12/31/2018</stp>
        <tr r="M1470" s="1"/>
      </tp>
      <tp>
        <v>12.6047683875821</v>
        <stp/>
        <stp>EM_S_VAL_PETTMDEDUCTED</stp>
        <stp>2</stp>
        <stp>002756</stp>
        <stp>12/31/2018</stp>
        <tr r="M470" s="1"/>
      </tp>
      <tp>
        <v>27.658141801417699</v>
        <stp/>
        <stp>EM_S_VAL_PETTMDEDUCTED</stp>
        <stp>2</stp>
        <stp>002757</stp>
        <stp>12/31/2018</stp>
        <tr r="M3322" s="1"/>
      </tp>
      <tp>
        <v>164.48848603879799</v>
        <stp/>
        <stp>EM_S_VAL_PETTMDEDUCTED</stp>
        <stp>2</stp>
        <stp>002755</stp>
        <stp>12/31/2018</stp>
        <tr r="M1289" s="1"/>
      </tp>
      <tp>
        <v>137.798241139921</v>
        <stp/>
        <stp>EM_S_VAL_PETTMDEDUCTED</stp>
        <stp>2</stp>
        <stp>002752</stp>
        <stp>12/31/2018</stp>
        <tr r="M2953" s="1"/>
      </tp>
      <tp>
        <v>9.1036649131588394</v>
        <stp/>
        <stp>EM_S_VAL_PETTMDEDUCTED</stp>
        <stp>2</stp>
        <stp>002753</stp>
        <stp>12/31/2018</stp>
        <tr r="M2896" s="1"/>
      </tp>
      <tp>
        <v>-666.39335862894495</v>
        <stp/>
        <stp>EM_S_VAL_PETTMDEDUCTED</stp>
        <stp>2</stp>
        <stp>002750</stp>
        <stp>12/31/2018</stp>
        <tr r="M121" s="1"/>
      </tp>
      <tp>
        <v>59.209559319281603</v>
        <stp/>
        <stp>EM_S_VAL_PETTMDEDUCTED</stp>
        <stp>2</stp>
        <stp>002751</stp>
        <stp>12/31/2018</stp>
        <tr r="M1394" s="1"/>
      </tp>
      <tp>
        <v>39.667969697109001</v>
        <stp/>
        <stp>EM_S_VAL_PETTMDEDUCTED</stp>
        <stp>2</stp>
        <stp>002748</stp>
        <stp>12/31/2018</stp>
        <tr r="M2044" s="1"/>
      </tp>
      <tp>
        <v>19.132750655596499</v>
        <stp/>
        <stp>EM_S_VAL_PETTMDEDUCTED</stp>
        <stp>2</stp>
        <stp>002749</stp>
        <stp>12/31/2018</stp>
        <tr r="M3174" s="1"/>
      </tp>
      <tp>
        <v>20.042393831572799</v>
        <stp/>
        <stp>EM_S_VAL_PETTMDEDUCTED</stp>
        <stp>2</stp>
        <stp>002746</stp>
        <stp>12/31/2018</stp>
        <tr r="M1580" s="1"/>
      </tp>
      <tp>
        <v>91.623500129556902</v>
        <stp/>
        <stp>EM_S_VAL_PETTMDEDUCTED</stp>
        <stp>2</stp>
        <stp>002747</stp>
        <stp>12/31/2018</stp>
        <tr r="M862" s="1"/>
      </tp>
      <tp>
        <v>50.1385899600103</v>
        <stp/>
        <stp>EM_S_VAL_PETTMDEDUCTED</stp>
        <stp>2</stp>
        <stp>002745</stp>
        <stp>12/31/2018</stp>
        <tr r="M1165" s="1"/>
      </tp>
      <tp>
        <v>31.3517817412746</v>
        <stp/>
        <stp>EM_S_VAL_PETTMDEDUCTED</stp>
        <stp>2</stp>
        <stp>002742</stp>
        <stp>12/31/2018</stp>
        <tr r="M3194" s="1"/>
      </tp>
      <tp>
        <v>25.251054925535399</v>
        <stp/>
        <stp>EM_S_VAL_PETTMDEDUCTED</stp>
        <stp>2</stp>
        <stp>002743</stp>
        <stp>12/31/2018</stp>
        <tr r="M1568" s="1"/>
      </tp>
      <tp>
        <v>50.884044982261997</v>
        <stp/>
        <stp>EM_S_VAL_PETTMDEDUCTED</stp>
        <stp>2</stp>
        <stp>002740</stp>
        <stp>12/31/2018</stp>
        <tr r="M1265" s="1"/>
      </tp>
      <tp>
        <v>45.466235531929897</v>
        <stp/>
        <stp>EM_S_VAL_PETTMDEDUCTED</stp>
        <stp>2</stp>
        <stp>002741</stp>
        <stp>12/31/2018</stp>
        <tr r="M3107" s="1"/>
      </tp>
      <tp>
        <v>56.000026217418203</v>
        <stp/>
        <stp>EM_S_VAL_PETTMDEDUCTED</stp>
        <stp>2</stp>
        <stp>002778</stp>
        <stp>12/31/2018</stp>
        <tr r="M1331" s="1"/>
      </tp>
      <tp>
        <v>-387.79010219759601</v>
        <stp/>
        <stp>EM_S_VAL_PETTMDEDUCTED</stp>
        <stp>2</stp>
        <stp>002779</stp>
        <stp>12/31/2018</stp>
        <tr r="M2173" s="1"/>
      </tp>
      <tp>
        <v>48.1069228857612</v>
        <stp/>
        <stp>EM_S_VAL_PETTMDEDUCTED</stp>
        <stp>2</stp>
        <stp>002776</stp>
        <stp>12/31/2018</stp>
        <tr r="M3377" s="1"/>
      </tp>
      <tp>
        <v>42.951717340348701</v>
        <stp/>
        <stp>EM_S_VAL_PETTMDEDUCTED</stp>
        <stp>2</stp>
        <stp>002777</stp>
        <stp>12/31/2018</stp>
        <tr r="M647" s="1"/>
      </tp>
      <tp>
        <v>115.404332722769</v>
        <stp/>
        <stp>EM_S_VAL_PETTMDEDUCTED</stp>
        <stp>2</stp>
        <stp>002774</stp>
        <stp>12/31/2018</stp>
        <tr r="M2622" s="1"/>
      </tp>
      <tp>
        <v>12.0806684344868</v>
        <stp/>
        <stp>EM_S_VAL_PETTMDEDUCTED</stp>
        <stp>2</stp>
        <stp>002775</stp>
        <stp>12/31/2018</stp>
        <tr r="M2512" s="1"/>
      </tp>
      <tp>
        <v>22.516182552490601</v>
        <stp/>
        <stp>EM_S_VAL_PETTMDEDUCTED</stp>
        <stp>2</stp>
        <stp>002772</stp>
        <stp>12/31/2018</stp>
        <tr r="M1906" s="1"/>
      </tp>
      <tp>
        <v>34.6118695553386</v>
        <stp/>
        <stp>EM_S_VAL_PETTMDEDUCTED</stp>
        <stp>2</stp>
        <stp>002773</stp>
        <stp>12/31/2018</stp>
        <tr r="M1974" s="1"/>
      </tp>
      <tp>
        <v>28.678456074534299</v>
        <stp/>
        <stp>EM_S_VAL_PETTMDEDUCTED</stp>
        <stp>2</stp>
        <stp>002770</stp>
        <stp>12/31/2018</stp>
        <tr r="M2889" s="1"/>
      </tp>
      <tp>
        <v>34.599855806602598</v>
        <stp/>
        <stp>EM_S_VAL_PETTMDEDUCTED</stp>
        <stp>2</stp>
        <stp>002771</stp>
        <stp>12/31/2018</stp>
        <tr r="M2174" s="1"/>
      </tp>
      <tp>
        <v>22.7024649855869</v>
        <stp/>
        <stp>EM_S_VAL_PETTMDEDUCTED</stp>
        <stp>2</stp>
        <stp>002768</stp>
        <stp>12/31/2018</stp>
        <tr r="M2063" s="1"/>
      </tp>
      <tp>
        <v>-1125.4145635847699</v>
        <stp/>
        <stp>EM_S_VAL_PETTMDEDUCTED</stp>
        <stp>2</stp>
        <stp>002769</stp>
        <stp>12/31/2018</stp>
        <tr r="M2989" s="1"/>
      </tp>
      <tp>
        <v>25.851836810738199</v>
        <stp/>
        <stp>EM_S_VAL_PETTMDEDUCTED</stp>
        <stp>2</stp>
        <stp>002766</stp>
        <stp>12/31/2018</stp>
        <tr r="M3305" s="1"/>
      </tp>
      <tp>
        <v>79.710754989144505</v>
        <stp/>
        <stp>EM_S_VAL_PETTMDEDUCTED</stp>
        <stp>2</stp>
        <stp>002767</stp>
        <stp>12/31/2018</stp>
        <tr r="M1895" s="1"/>
      </tp>
      <tp>
        <v>47.816634901553698</v>
        <stp/>
        <stp>EM_S_VAL_PETTMDEDUCTED</stp>
        <stp>2</stp>
        <stp>002765</stp>
        <stp>12/31/2018</stp>
        <tr r="M3005" s="1"/>
      </tp>
      <tp>
        <v>21.5616152955822</v>
        <stp/>
        <stp>EM_S_VAL_PETTMDEDUCTED</stp>
        <stp>2</stp>
        <stp>002762</stp>
        <stp>12/31/2018</stp>
        <tr r="M2112" s="1"/>
      </tp>
      <tp>
        <v>15.830033646140601</v>
        <stp/>
        <stp>EM_S_VAL_PETTMDEDUCTED</stp>
        <stp>2</stp>
        <stp>002763</stp>
        <stp>12/31/2018</stp>
        <tr r="M2122" s="1"/>
      </tp>
      <tp>
        <v>-16.2264053029065</v>
        <stp/>
        <stp>EM_S_VAL_PETTMDEDUCTED</stp>
        <stp>2</stp>
        <stp>002760</stp>
        <stp>12/31/2018</stp>
        <tr r="M1204" s="1"/>
      </tp>
      <tp>
        <v>95.687568567952695</v>
        <stp/>
        <stp>EM_S_VAL_PETTMDEDUCTED</stp>
        <stp>2</stp>
        <stp>002761</stp>
        <stp>12/31/2018</stp>
        <tr r="M3296" s="1"/>
      </tp>
      <tp>
        <v>34.784669082697299</v>
        <stp/>
        <stp>EM_S_VAL_PETTMDEDUCTED</stp>
        <stp>2</stp>
        <stp>002498</stp>
        <stp>12/31/2018</stp>
        <tr r="M544" s="1"/>
      </tp>
      <tp>
        <v>-48.101962987662901</v>
        <stp/>
        <stp>EM_S_VAL_PETTMDEDUCTED</stp>
        <stp>2</stp>
        <stp>002499</stp>
        <stp>12/31/2018</stp>
        <tr r="M3287" s="1"/>
      </tp>
      <tp>
        <v>-22.537486084084001</v>
        <stp/>
        <stp>EM_S_VAL_PETTMDEDUCTED</stp>
        <stp>2</stp>
        <stp>002496</stp>
        <stp>12/31/2018</stp>
        <tr r="M600" s="1"/>
      </tp>
      <tp>
        <v>28.447021009571301</v>
        <stp/>
        <stp>EM_S_VAL_PETTMDEDUCTED</stp>
        <stp>2</stp>
        <stp>002497</stp>
        <stp>12/31/2018</stp>
        <tr r="M1848" s="1"/>
      </tp>
      <tp>
        <v>-28.319785724846199</v>
        <stp/>
        <stp>EM_S_VAL_PETTMDEDUCTED</stp>
        <stp>2</stp>
        <stp>002494</stp>
        <stp>12/31/2018</stp>
        <tr r="M2654" s="1"/>
      </tp>
      <tp>
        <v>94.540938784485704</v>
        <stp/>
        <stp>EM_S_VAL_PETTMDEDUCTED</stp>
        <stp>2</stp>
        <stp>002495</stp>
        <stp>12/31/2018</stp>
        <tr r="M2707" s="1"/>
      </tp>
      <tp>
        <v>37.879532036320299</v>
        <stp/>
        <stp>EM_S_VAL_PETTMDEDUCTED</stp>
        <stp>2</stp>
        <stp>002492</stp>
        <stp>12/31/2018</stp>
        <tr r="M1745" s="1"/>
      </tp>
      <tp>
        <v>31.3801075589184</v>
        <stp/>
        <stp>EM_S_VAL_PETTMDEDUCTED</stp>
        <stp>2</stp>
        <stp>002493</stp>
        <stp>12/31/2018</stp>
        <tr r="M1189" s="1"/>
      </tp>
      <tp>
        <v>58.9620679415209</v>
        <stp/>
        <stp>EM_S_VAL_PETTMDEDUCTED</stp>
        <stp>2</stp>
        <stp>002490</stp>
        <stp>12/31/2018</stp>
        <tr r="M2775" s="1"/>
      </tp>
      <tp>
        <v>19.032656589317501</v>
        <stp/>
        <stp>EM_S_VAL_PETTMDEDUCTED</stp>
        <stp>2</stp>
        <stp>002491</stp>
        <stp>12/31/2018</stp>
        <tr r="M2970" s="1"/>
      </tp>
      <tp>
        <v>77.936501897487901</v>
        <stp/>
        <stp>EM_S_VAL_PETTMDEDUCTED</stp>
        <stp>2</stp>
        <stp>002488</stp>
        <stp>12/31/2018</stp>
        <tr r="M1900" s="1"/>
      </tp>
      <tp>
        <v>-44.329923049642503</v>
        <stp/>
        <stp>EM_S_VAL_PETTMDEDUCTED</stp>
        <stp>2</stp>
        <stp>002489</stp>
        <stp>12/31/2018</stp>
        <tr r="M452" s="1"/>
      </tp>
      <tp>
        <v>-175.495577824414</v>
        <stp/>
        <stp>EM_S_VAL_PETTMDEDUCTED</stp>
        <stp>2</stp>
        <stp>002486</stp>
        <stp>12/31/2018</stp>
        <tr r="M2922" s="1"/>
      </tp>
      <tp>
        <v>62.916123160484403</v>
        <stp/>
        <stp>EM_S_VAL_PETTMDEDUCTED</stp>
        <stp>2</stp>
        <stp>002487</stp>
        <stp>12/31/2018</stp>
        <tr r="M525" s="1"/>
      </tp>
      <tp>
        <v>29.069111818468201</v>
        <stp/>
        <stp>EM_S_VAL_PETTMDEDUCTED</stp>
        <stp>2</stp>
        <stp>002484</stp>
        <stp>12/31/2018</stp>
        <tr r="M965" s="1"/>
      </tp>
      <tp>
        <v>-229.95066577034899</v>
        <stp/>
        <stp>EM_S_VAL_PETTMDEDUCTED</stp>
        <stp>2</stp>
        <stp>002485</stp>
        <stp>12/31/2018</stp>
        <tr r="M2666" s="1"/>
      </tp>
      <tp>
        <v>16.577070552008902</v>
        <stp/>
        <stp>EM_S_VAL_PETTMDEDUCTED</stp>
        <stp>2</stp>
        <stp>002482</stp>
        <stp>12/31/2018</stp>
        <tr r="M3133" s="1"/>
      </tp>
      <tp>
        <v>81.162459578108098</v>
        <stp/>
        <stp>EM_S_VAL_PETTMDEDUCTED</stp>
        <stp>2</stp>
        <stp>002483</stp>
        <stp>12/31/2018</stp>
        <tr r="M1478" s="1"/>
      </tp>
      <tp>
        <v>-18.773140612765399</v>
        <stp/>
        <stp>EM_S_VAL_PETTMDEDUCTED</stp>
        <stp>2</stp>
        <stp>002480</stp>
        <stp>12/31/2018</stp>
        <tr r="M3063" s="1"/>
      </tp>
      <tp>
        <v>184.700074753595</v>
        <stp/>
        <stp>EM_S_VAL_PETTMDEDUCTED</stp>
        <stp>2</stp>
        <stp>002481</stp>
        <stp>12/31/2018</stp>
        <tr r="M57" s="1"/>
      </tp>
      <tp>
        <v>-52.516978705311502</v>
        <stp/>
        <stp>EM_S_VAL_PETTMDEDUCTED</stp>
        <stp>2</stp>
        <stp>002418</stp>
        <stp>12/31/2018</stp>
        <tr r="M2643" s="1"/>
      </tp>
      <tp>
        <v>16.689901778341898</v>
        <stp/>
        <stp>EM_S_VAL_PETTMDEDUCTED</stp>
        <stp>2</stp>
        <stp>002419</stp>
        <stp>12/31/2018</stp>
        <tr r="M2535" s="1"/>
      </tp>
      <tp>
        <v>29.658697468072798</v>
        <stp/>
        <stp>EM_S_VAL_PETTMDEDUCTED</stp>
        <stp>2</stp>
        <stp>002416</stp>
        <stp>12/31/2018</stp>
        <tr r="M976" s="1"/>
      </tp>
      <tp>
        <v>-55.875170338161503</v>
        <stp/>
        <stp>EM_S_VAL_PETTMDEDUCTED</stp>
        <stp>2</stp>
        <stp>002417</stp>
        <stp>12/31/2018</stp>
        <tr r="M3078" s="1"/>
      </tp>
      <tp>
        <v>144.877935273779</v>
        <stp/>
        <stp>EM_S_VAL_PETTMDEDUCTED</stp>
        <stp>2</stp>
        <stp>002414</stp>
        <stp>12/31/2018</stp>
        <tr r="M2621" s="1"/>
      </tp>
      <tp>
        <v>23.032143901765501</v>
        <stp/>
        <stp>EM_S_VAL_PETTMDEDUCTED</stp>
        <stp>2</stp>
        <stp>002415</stp>
        <stp>12/31/2018</stp>
        <tr r="M1038" s="1"/>
      </tp>
      <tp>
        <v>32.799056942116202</v>
        <stp/>
        <stp>EM_S_VAL_PETTMDEDUCTED</stp>
        <stp>2</stp>
        <stp>002412</stp>
        <stp>12/31/2018</stp>
        <tr r="M3306" s="1"/>
      </tp>
      <tp>
        <v>46.850090777687598</v>
        <stp/>
        <stp>EM_S_VAL_PETTMDEDUCTED</stp>
        <stp>2</stp>
        <stp>002413</stp>
        <stp>12/31/2018</stp>
        <tr r="M2131" s="1"/>
      </tp>
      <tp>
        <v>57.784269921328701</v>
        <stp/>
        <stp>EM_S_VAL_PETTMDEDUCTED</stp>
        <stp>2</stp>
        <stp>002410</stp>
        <stp>12/31/2018</stp>
        <tr r="M427" s="1"/>
      </tp>
      <tp>
        <v>34.998047947693202</v>
        <stp/>
        <stp>EM_S_VAL_PETTMDEDUCTED</stp>
        <stp>2</stp>
        <stp>002411</stp>
        <stp>12/31/2018</stp>
        <tr r="M3164" s="1"/>
      </tp>
      <tp>
        <v>12.9470613577992</v>
        <stp/>
        <stp>EM_S_VAL_PETTMDEDUCTED</stp>
        <stp>2</stp>
        <stp>002408</stp>
        <stp>12/31/2018</stp>
        <tr r="M2019" s="1"/>
      </tp>
      <tp>
        <v>86.614849923423506</v>
        <stp/>
        <stp>EM_S_VAL_PETTMDEDUCTED</stp>
        <stp>2</stp>
        <stp>002409</stp>
        <stp>12/31/2018</stp>
        <tr r="M294" s="1"/>
      </tp>
      <tp>
        <v>14.433466001232301</v>
        <stp/>
        <stp>EM_S_VAL_PETTMDEDUCTED</stp>
        <stp>2</stp>
        <stp>002406</stp>
        <stp>12/31/2018</stp>
        <tr r="M1384" s="1"/>
      </tp>
      <tp>
        <v>51.0266973801061</v>
        <stp/>
        <stp>EM_S_VAL_PETTMDEDUCTED</stp>
        <stp>2</stp>
        <stp>002407</stp>
        <stp>12/31/2018</stp>
        <tr r="M1316" s="1"/>
      </tp>
      <tp>
        <v>-130.52972133199199</v>
        <stp/>
        <stp>EM_S_VAL_PETTMDEDUCTED</stp>
        <stp>2</stp>
        <stp>002404</stp>
        <stp>12/31/2018</stp>
        <tr r="M1312" s="1"/>
      </tp>
      <tp>
        <v>76.117072782732805</v>
        <stp/>
        <stp>EM_S_VAL_PETTMDEDUCTED</stp>
        <stp>2</stp>
        <stp>002405</stp>
        <stp>12/31/2018</stp>
        <tr r="M1559" s="1"/>
      </tp>
      <tp>
        <v>25.368300954295201</v>
        <stp/>
        <stp>EM_S_VAL_PETTMDEDUCTED</stp>
        <stp>2</stp>
        <stp>002402</stp>
        <stp>12/31/2018</stp>
        <tr r="M144" s="1"/>
      </tp>
      <tp>
        <v>16.361644565301301</v>
        <stp/>
        <stp>EM_S_VAL_PETTMDEDUCTED</stp>
        <stp>2</stp>
        <stp>002403</stp>
        <stp>12/31/2018</stp>
        <tr r="M1774" s="1"/>
      </tp>
      <tp>
        <v>-12.996658733849801</v>
        <stp/>
        <stp>EM_S_VAL_PETTMDEDUCTED</stp>
        <stp>2</stp>
        <stp>002400</stp>
        <stp>12/31/2018</stp>
        <tr r="M1851" s="1"/>
      </tp>
      <tp>
        <v>51.755321222461397</v>
        <stp/>
        <stp>EM_S_VAL_PETTMDEDUCTED</stp>
        <stp>2</stp>
        <stp>002401</stp>
        <stp>12/31/2018</stp>
        <tr r="M1098" s="1"/>
      </tp>
      <tp>
        <v>46.471400229505399</v>
        <stp/>
        <stp>EM_S_VAL_PETTMDEDUCTED</stp>
        <stp>2</stp>
        <stp>002438</stp>
        <stp>12/31/2018</stp>
        <tr r="M726" s="1"/>
      </tp>
      <tp>
        <v>58.2943947725322</v>
        <stp/>
        <stp>EM_S_VAL_PETTMDEDUCTED</stp>
        <stp>2</stp>
        <stp>002439</stp>
        <stp>12/31/2018</stp>
        <tr r="M349" s="1"/>
      </tp>
      <tp>
        <v>44.642015452208902</v>
        <stp/>
        <stp>EM_S_VAL_PETTMDEDUCTED</stp>
        <stp>2</stp>
        <stp>002436</stp>
        <stp>12/31/2018</stp>
        <tr r="M221" s="1"/>
      </tp>
      <tp>
        <v>23.273516492344601</v>
        <stp/>
        <stp>EM_S_VAL_PETTMDEDUCTED</stp>
        <stp>2</stp>
        <stp>002437</stp>
        <stp>12/31/2018</stp>
        <tr r="M1992" s="1"/>
      </tp>
      <tp>
        <v>30.122815238944799</v>
        <stp/>
        <stp>EM_S_VAL_PETTMDEDUCTED</stp>
        <stp>2</stp>
        <stp>002434</stp>
        <stp>12/31/2018</stp>
        <tr r="M706" s="1"/>
      </tp>
      <tp>
        <v>14.6266510738453</v>
        <stp/>
        <stp>EM_S_VAL_PETTMDEDUCTED</stp>
        <stp>2</stp>
        <stp>002435</stp>
        <stp>12/31/2018</stp>
        <tr r="M3162" s="1"/>
      </tp>
      <tp>
        <v>-12.936269082622299</v>
        <stp/>
        <stp>EM_S_VAL_PETTMDEDUCTED</stp>
        <stp>2</stp>
        <stp>002432</stp>
        <stp>12/31/2018</stp>
        <tr r="M2464" s="1"/>
      </tp>
      <tp>
        <v>17.176602988500701</v>
        <stp/>
        <stp>EM_S_VAL_PETTMDEDUCTED</stp>
        <stp>2</stp>
        <stp>002433</stp>
        <stp>12/31/2018</stp>
        <tr r="M2500" s="1"/>
      </tp>
      <tp>
        <v>13.8982832350687</v>
        <stp/>
        <stp>EM_S_VAL_PETTMDEDUCTED</stp>
        <stp>2</stp>
        <stp>002430</stp>
        <stp>12/31/2018</stp>
        <tr r="M751" s="1"/>
      </tp>
      <tp>
        <v>49.160944876717998</v>
        <stp/>
        <stp>EM_S_VAL_PETTMDEDUCTED</stp>
        <stp>2</stp>
        <stp>002431</stp>
        <stp>12/31/2018</stp>
        <tr r="M2936" s="1"/>
      </tp>
      <tp>
        <v>7630.0293712672301</v>
        <stp/>
        <stp>EM_S_VAL_PETTMDEDUCTED</stp>
        <stp>2</stp>
        <stp>002428</stp>
        <stp>12/31/2018</stp>
        <tr r="M268" s="1"/>
      </tp>
      <tp>
        <v>34.286902027986002</v>
        <stp/>
        <stp>EM_S_VAL_PETTMDEDUCTED</stp>
        <stp>2</stp>
        <stp>002429</stp>
        <stp>12/31/2018</stp>
        <tr r="M242" s="1"/>
      </tp>
      <tp>
        <v>44.924113240661804</v>
        <stp/>
        <stp>EM_S_VAL_PETTMDEDUCTED</stp>
        <stp>2</stp>
        <stp>002426</stp>
        <stp>12/31/2018</stp>
        <tr r="M2106" s="1"/>
      </tp>
      <tp>
        <v>57.623088997627697</v>
        <stp/>
        <stp>EM_S_VAL_PETTMDEDUCTED</stp>
        <stp>2</stp>
        <stp>002427</stp>
        <stp>12/31/2018</stp>
        <tr r="M3260" s="1"/>
      </tp>
      <tp>
        <v>22.4181934614179</v>
        <stp/>
        <stp>EM_S_VAL_PETTMDEDUCTED</stp>
        <stp>2</stp>
        <stp>002424</stp>
        <stp>12/31/2018</stp>
        <tr r="M2474" s="1"/>
      </tp>
      <tp>
        <v>18.3659262076369</v>
        <stp/>
        <stp>EM_S_VAL_PETTMDEDUCTED</stp>
        <stp>2</stp>
        <stp>002425</stp>
        <stp>12/31/2018</stp>
        <tr r="M2629" s="1"/>
      </tp>
      <tp>
        <v>43.364058474306802</v>
        <stp/>
        <stp>EM_S_VAL_PETTMDEDUCTED</stp>
        <stp>2</stp>
        <stp>002422</stp>
        <stp>12/31/2018</stp>
        <tr r="M1614" s="1"/>
      </tp>
      <tp>
        <v>-22.184883159959799</v>
        <stp/>
        <stp>EM_S_VAL_PETTMDEDUCTED</stp>
        <stp>2</stp>
        <stp>002423</stp>
        <stp>12/31/2018</stp>
        <tr r="M1697" s="1"/>
      </tp>
      <tp>
        <v>-1.80699390561244</v>
        <stp/>
        <stp>EM_S_VAL_PETTMDEDUCTED</stp>
        <stp>2</stp>
        <stp>002420</stp>
        <stp>12/31/2018</stp>
        <tr r="M1302" s="1"/>
      </tp>
      <tp>
        <v>27.553450325047798</v>
        <stp/>
        <stp>EM_S_VAL_PETTMDEDUCTED</stp>
        <stp>2</stp>
        <stp>002421</stp>
        <stp>12/31/2018</stp>
        <tr r="M2669" s="1"/>
      </tp>
      <tp>
        <v>299.25163530291201</v>
        <stp/>
        <stp>EM_S_VAL_PETTMDEDUCTED</stp>
        <stp>2</stp>
        <stp>002458</stp>
        <stp>12/31/2018</stp>
        <tr r="M190" s="1"/>
      </tp>
      <tp>
        <v>3194.91336895116</v>
        <stp/>
        <stp>EM_S_VAL_PETTMDEDUCTED</stp>
        <stp>2</stp>
        <stp>002459</stp>
        <stp>12/31/2018</stp>
        <tr r="M871" s="1"/>
      </tp>
      <tp>
        <v>21.996072659012999</v>
        <stp/>
        <stp>EM_S_VAL_PETTMDEDUCTED</stp>
        <stp>2</stp>
        <stp>002456</stp>
        <stp>12/31/2018</stp>
        <tr r="M316" s="1"/>
      </tp>
      <tp>
        <v>31.465574271793301</v>
        <stp/>
        <stp>EM_S_VAL_PETTMDEDUCTED</stp>
        <stp>2</stp>
        <stp>002457</stp>
        <stp>12/31/2018</stp>
        <tr r="M2255" s="1"/>
      </tp>
      <tp>
        <v>11.4481116078128</v>
        <stp/>
        <stp>EM_S_VAL_PETTMDEDUCTED</stp>
        <stp>2</stp>
        <stp>002454</stp>
        <stp>12/31/2018</stp>
        <tr r="M1327" s="1"/>
      </tp>
      <tp>
        <v>28.596909209412601</v>
        <stp/>
        <stp>EM_S_VAL_PETTMDEDUCTED</stp>
        <stp>2</stp>
        <stp>002455</stp>
        <stp>12/31/2018</stp>
        <tr r="M1250" s="1"/>
      </tp>
      <tp>
        <v>-34.744628611921698</v>
        <stp/>
        <stp>EM_S_VAL_PETTMDEDUCTED</stp>
        <stp>2</stp>
        <stp>002452</stp>
        <stp>12/31/2018</stp>
        <tr r="M763" s="1"/>
      </tp>
      <tp>
        <v>3016.1374868763</v>
        <stp/>
        <stp>EM_S_VAL_PETTMDEDUCTED</stp>
        <stp>2</stp>
        <stp>002453</stp>
        <stp>12/31/2018</stp>
        <tr r="M2057" s="1"/>
      </tp>
      <tp>
        <v>9.9316444577337695</v>
        <stp/>
        <stp>EM_S_VAL_PETTMDEDUCTED</stp>
        <stp>2</stp>
        <stp>002450</stp>
        <stp>12/31/2018</stp>
        <tr r="M3380" s="1"/>
      </tp>
      <tp>
        <v>604.40966447645701</v>
        <stp/>
        <stp>EM_S_VAL_PETTMDEDUCTED</stp>
        <stp>2</stp>
        <stp>002451</stp>
        <stp>12/31/2018</stp>
        <tr r="M3095" s="1"/>
      </tp>
      <tp>
        <v>12.7954659476698</v>
        <stp/>
        <stp>EM_S_VAL_PETTMDEDUCTED</stp>
        <stp>2</stp>
        <stp>002448</stp>
        <stp>12/31/2018</stp>
        <tr r="M2396" s="1"/>
      </tp>
      <tp>
        <v>15.2144701862488</v>
        <stp/>
        <stp>EM_S_VAL_PETTMDEDUCTED</stp>
        <stp>2</stp>
        <stp>002449</stp>
        <stp>12/31/2018</stp>
        <tr r="M1099" s="1"/>
      </tp>
      <tp>
        <v>66.213823779383802</v>
        <stp/>
        <stp>EM_S_VAL_PETTMDEDUCTED</stp>
        <stp>2</stp>
        <stp>002446</stp>
        <stp>12/31/2018</stp>
        <tr r="M1496" s="1"/>
      </tp>
      <tp>
        <v>43.912590337125799</v>
        <stp/>
        <stp>EM_S_VAL_PETTMDEDUCTED</stp>
        <stp>2</stp>
        <stp>002447</stp>
        <stp>12/31/2018</stp>
        <tr r="M1388" s="1"/>
      </tp>
      <tp>
        <v>14.1675550722811</v>
        <stp/>
        <stp>EM_S_VAL_PETTMDEDUCTED</stp>
        <stp>2</stp>
        <stp>002444</stp>
        <stp>12/31/2018</stp>
        <tr r="M1624" s="1"/>
      </tp>
      <tp>
        <v>407.48452754969998</v>
        <stp/>
        <stp>EM_S_VAL_PETTMDEDUCTED</stp>
        <stp>2</stp>
        <stp>002445</stp>
        <stp>12/31/2018</stp>
        <tr r="M3228" s="1"/>
      </tp>
      <tp>
        <v>43.235137082672203</v>
        <stp/>
        <stp>EM_S_VAL_PETTMDEDUCTED</stp>
        <stp>2</stp>
        <stp>002442</stp>
        <stp>12/31/2018</stp>
        <tr r="M3101" s="1"/>
      </tp>
      <tp>
        <v>21.7238892928812</v>
        <stp/>
        <stp>EM_S_VAL_PETTMDEDUCTED</stp>
        <stp>2</stp>
        <stp>002443</stp>
        <stp>12/31/2018</stp>
        <tr r="M1085" s="1"/>
      </tp>
      <tp>
        <v>8.4541633213798804</v>
        <stp/>
        <stp>EM_S_VAL_PETTMDEDUCTED</stp>
        <stp>2</stp>
        <stp>002440</stp>
        <stp>12/31/2018</stp>
        <tr r="M1133" s="1"/>
      </tp>
      <tp>
        <v>18.972251461901401</v>
        <stp/>
        <stp>EM_S_VAL_PETTMDEDUCTED</stp>
        <stp>2</stp>
        <stp>002441</stp>
        <stp>12/31/2018</stp>
        <tr r="M1561" s="1"/>
      </tp>
      <tp>
        <v>10.7029248761333</v>
        <stp/>
        <stp>EM_S_VAL_PETTMDEDUCTED</stp>
        <stp>2</stp>
        <stp>002478</stp>
        <stp>12/31/2018</stp>
        <tr r="M1021" s="1"/>
      </tp>
      <tp>
        <v>14.9096750560104</v>
        <stp/>
        <stp>EM_S_VAL_PETTMDEDUCTED</stp>
        <stp>2</stp>
        <stp>002479</stp>
        <stp>12/31/2018</stp>
        <tr r="M445" s="1"/>
      </tp>
      <tp>
        <v>-499.97888179413201</v>
        <stp/>
        <stp>EM_S_VAL_PETTMDEDUCTED</stp>
        <stp>2</stp>
        <stp>002476</stp>
        <stp>12/31/2018</stp>
        <tr r="M660" s="1"/>
      </tp>
      <tp>
        <v>-3.09501084976299</v>
        <stp/>
        <stp>EM_S_VAL_PETTMDEDUCTED</stp>
        <stp>2</stp>
        <stp>002477</stp>
        <stp>12/31/2018</stp>
        <tr r="M3410" s="1"/>
      </tp>
      <tp>
        <v>331.54543222198402</v>
        <stp/>
        <stp>EM_S_VAL_PETTMDEDUCTED</stp>
        <stp>2</stp>
        <stp>002474</stp>
        <stp>12/31/2018</stp>
        <tr r="M779" s="1"/>
      </tp>
      <tp>
        <v>28.327101890086201</v>
        <stp/>
        <stp>EM_S_VAL_PETTMDEDUCTED</stp>
        <stp>2</stp>
        <stp>002475</stp>
        <stp>12/31/2018</stp>
        <tr r="M81" s="1"/>
      </tp>
      <tp>
        <v>20.200155355807599</v>
        <stp/>
        <stp>EM_S_VAL_PETTMDEDUCTED</stp>
        <stp>2</stp>
        <stp>002472</stp>
        <stp>12/31/2018</stp>
        <tr r="M2553" s="1"/>
      </tp>
      <tp>
        <v>-16.218363036754599</v>
        <stp/>
        <stp>EM_S_VAL_PETTMDEDUCTED</stp>
        <stp>2</stp>
        <stp>002473</stp>
        <stp>12/31/2018</stp>
        <tr r="M797" s="1"/>
      </tp>
      <tp>
        <v>29.5466646895769</v>
        <stp/>
        <stp>EM_S_VAL_PETTMDEDUCTED</stp>
        <stp>2</stp>
        <stp>002470</stp>
        <stp>12/31/2018</stp>
        <tr r="M3391" s="1"/>
      </tp>
      <tp>
        <v>52.273655364540303</v>
        <stp/>
        <stp>EM_S_VAL_PETTMDEDUCTED</stp>
        <stp>2</stp>
        <stp>002471</stp>
        <stp>12/31/2018</stp>
        <tr r="M2871" s="1"/>
      </tp>
      <tp>
        <v>16.000191471793201</v>
        <stp/>
        <stp>EM_S_VAL_PETTMDEDUCTED</stp>
        <stp>2</stp>
        <stp>002468</stp>
        <stp>12/31/2018</stp>
        <tr r="M1355" s="1"/>
      </tp>
      <tp>
        <v>49.098535375985001</v>
        <stp/>
        <stp>EM_S_VAL_PETTMDEDUCTED</stp>
        <stp>2</stp>
        <stp>002469</stp>
        <stp>12/31/2018</stp>
        <tr r="M1922" s="1"/>
      </tp>
      <tp>
        <v>15.047572012928301</v>
        <stp/>
        <stp>EM_S_VAL_PETTMDEDUCTED</stp>
        <stp>2</stp>
        <stp>002466</stp>
        <stp>12/31/2018</stp>
        <tr r="M2482" s="1"/>
      </tp>
      <tp>
        <v>127.530972356147</v>
        <stp/>
        <stp>EM_S_VAL_PETTMDEDUCTED</stp>
        <stp>2</stp>
        <stp>002467</stp>
        <stp>12/31/2018</stp>
        <tr r="M1888" s="1"/>
      </tp>
      <tp>
        <v>-118.701500791684</v>
        <stp/>
        <stp>EM_S_VAL_PETTMDEDUCTED</stp>
        <stp>2</stp>
        <stp>002464</stp>
        <stp>12/31/2018</stp>
        <tr r="M3165" s="1"/>
      </tp>
      <tp>
        <v>101.661950124212</v>
        <stp/>
        <stp>EM_S_VAL_PETTMDEDUCTED</stp>
        <stp>2</stp>
        <stp>002465</stp>
        <stp>12/31/2018</stp>
        <tr r="M738" s="1"/>
      </tp>
      <tp>
        <v>11.5195630886319</v>
        <stp/>
        <stp>EM_S_VAL_PETTMDEDUCTED</stp>
        <stp>2</stp>
        <stp>002462</stp>
        <stp>12/31/2018</stp>
        <tr r="M1795" s="1"/>
      </tp>
      <tp>
        <v>33.569022090054403</v>
        <stp/>
        <stp>EM_S_VAL_PETTMDEDUCTED</stp>
        <stp>2</stp>
        <stp>002463</stp>
        <stp>12/31/2018</stp>
        <tr r="M42" s="1"/>
      </tp>
      <tp>
        <v>21.327825390699001</v>
        <stp/>
        <stp>EM_S_VAL_PETTMDEDUCTED</stp>
        <stp>2</stp>
        <stp>002460</stp>
        <stp>12/31/2018</stp>
        <tr r="M490" s="1"/>
      </tp>
      <tp>
        <v>68.617984227885103</v>
        <stp/>
        <stp>EM_S_VAL_PETTMDEDUCTED</stp>
        <stp>2</stp>
        <stp>002461</stp>
        <stp>12/31/2018</stp>
        <tr r="M428" s="1"/>
      </tp>
      <tp>
        <v>27.676992899955</v>
        <stp/>
        <stp>EM_S_VAL_PETTMDEDUCTED</stp>
        <stp>2</stp>
        <stp>002598</stp>
        <stp>12/31/2018</stp>
        <tr r="M2728" s="1"/>
      </tp>
      <tp>
        <v>34.403024026466298</v>
        <stp/>
        <stp>EM_S_VAL_PETTMDEDUCTED</stp>
        <stp>2</stp>
        <stp>002599</stp>
        <stp>12/31/2018</stp>
        <tr r="M3370" s="1"/>
      </tp>
      <tp>
        <v>37.710004852566399</v>
        <stp/>
        <stp>EM_S_VAL_PETTMDEDUCTED</stp>
        <stp>2</stp>
        <stp>002596</stp>
        <stp>12/31/2018</stp>
        <tr r="M1810" s="1"/>
      </tp>
      <tp>
        <v>8.6565445353047199</v>
        <stp/>
        <stp>EM_S_VAL_PETTMDEDUCTED</stp>
        <stp>2</stp>
        <stp>002597</stp>
        <stp>12/31/2018</stp>
        <tr r="M765" s="1"/>
      </tp>
      <tp>
        <v>163.13238582456501</v>
        <stp/>
        <stp>EM_S_VAL_PETTMDEDUCTED</stp>
        <stp>2</stp>
        <stp>002594</stp>
        <stp>12/31/2018</stp>
        <tr r="M2634" s="1"/>
      </tp>
      <tp>
        <v>18.690679969838701</v>
        <stp/>
        <stp>EM_S_VAL_PETTMDEDUCTED</stp>
        <stp>2</stp>
        <stp>002595</stp>
        <stp>12/31/2018</stp>
        <tr r="M1354" s="1"/>
      </tp>
      <tp>
        <v>156.48445270824499</v>
        <stp/>
        <stp>EM_S_VAL_PETTMDEDUCTED</stp>
        <stp>2</stp>
        <stp>002592</stp>
        <stp>12/31/2018</stp>
        <tr r="M3324" s="1"/>
      </tp>
      <tp>
        <v>30.996440182306699</v>
        <stp/>
        <stp>EM_S_VAL_PETTMDEDUCTED</stp>
        <stp>2</stp>
        <stp>002593</stp>
        <stp>12/31/2018</stp>
        <tr r="M1008" s="1"/>
      </tp>
      <tp>
        <v>31.302377001201702</v>
        <stp/>
        <stp>EM_S_VAL_PETTMDEDUCTED</stp>
        <stp>2</stp>
        <stp>002590</stp>
        <stp>12/31/2018</stp>
        <tr r="M1706" s="1"/>
      </tp>
      <tp>
        <v>127.47647801630799</v>
        <stp/>
        <stp>EM_S_VAL_PETTMDEDUCTED</stp>
        <stp>2</stp>
        <stp>002591</stp>
        <stp>12/31/2018</stp>
        <tr r="M814" s="1"/>
      </tp>
      <tp>
        <v>27.883535395345</v>
        <stp/>
        <stp>EM_S_VAL_PETTMDEDUCTED</stp>
        <stp>2</stp>
        <stp>002588</stp>
        <stp>12/31/2018</stp>
        <tr r="M2389" s="1"/>
      </tp>
      <tp>
        <v>9.6647610148098604</v>
        <stp/>
        <stp>EM_S_VAL_PETTMDEDUCTED</stp>
        <stp>2</stp>
        <stp>002589</stp>
        <stp>12/31/2018</stp>
        <tr r="M1768" s="1"/>
      </tp>
      <tp>
        <v>20.339749506653099</v>
        <stp/>
        <stp>EM_S_VAL_PETTMDEDUCTED</stp>
        <stp>2</stp>
        <stp>002586</stp>
        <stp>12/31/2018</stp>
        <tr r="M3213" s="1"/>
      </tp>
      <tp>
        <v>19.758544810293898</v>
        <stp/>
        <stp>EM_S_VAL_PETTMDEDUCTED</stp>
        <stp>2</stp>
        <stp>002587</stp>
        <stp>12/31/2018</stp>
        <tr r="M422" s="1"/>
      </tp>
      <tp>
        <v>48.940691589193101</v>
        <stp/>
        <stp>EM_S_VAL_PETTMDEDUCTED</stp>
        <stp>2</stp>
        <stp>002584</stp>
        <stp>12/31/2018</stp>
        <tr r="M2985" s="1"/>
      </tp>
      <tp>
        <v>39.673389254259099</v>
        <stp/>
        <stp>EM_S_VAL_PETTMDEDUCTED</stp>
        <stp>2</stp>
        <stp>002585</stp>
        <stp>12/31/2018</stp>
        <tr r="M2748" s="1"/>
      </tp>
      <tp>
        <v>44.950617856855203</v>
        <stp/>
        <stp>EM_S_VAL_PETTMDEDUCTED</stp>
        <stp>2</stp>
        <stp>002582</stp>
        <stp>12/31/2018</stp>
        <tr r="M1633" s="1"/>
      </tp>
      <tp>
        <v>58.688884743418697</v>
        <stp/>
        <stp>EM_S_VAL_PETTMDEDUCTED</stp>
        <stp>2</stp>
        <stp>002583</stp>
        <stp>12/31/2018</stp>
        <tr r="M1954" s="1"/>
      </tp>
      <tp>
        <v>456.457848640235</v>
        <stp/>
        <stp>EM_S_VAL_PETTMDEDUCTED</stp>
        <stp>2</stp>
        <stp>002580</stp>
        <stp>12/31/2018</stp>
        <tr r="M1977" s="1"/>
      </tp>
      <tp>
        <v>35.594437930864103</v>
        <stp/>
        <stp>EM_S_VAL_PETTMDEDUCTED</stp>
        <stp>2</stp>
        <stp>002581</stp>
        <stp>12/31/2018</stp>
        <tr r="M2170" s="1"/>
      </tp>
      <tp>
        <v>13.008776496751</v>
        <stp/>
        <stp>EM_S_VAL_PETTMDEDUCTED</stp>
        <stp>2</stp>
        <stp>002518</stp>
        <stp>12/31/2018</stp>
        <tr r="M588" s="1"/>
      </tp>
      <tp>
        <v>43.780123820563098</v>
        <stp/>
        <stp>EM_S_VAL_PETTMDEDUCTED</stp>
        <stp>2</stp>
        <stp>002519</stp>
        <stp>12/31/2018</stp>
        <tr r="M1671" s="1"/>
      </tp>
      <tp>
        <v>14.507459236037199</v>
        <stp/>
        <stp>EM_S_VAL_PETTMDEDUCTED</stp>
        <stp>2</stp>
        <stp>002516</stp>
        <stp>12/31/2018</stp>
        <tr r="M2588" s="1"/>
      </tp>
      <tp>
        <v>8.3614119461883103</v>
        <stp/>
        <stp>EM_S_VAL_PETTMDEDUCTED</stp>
        <stp>2</stp>
        <stp>002517</stp>
        <stp>12/31/2018</stp>
        <tr r="M3215" s="1"/>
      </tp>
      <tp>
        <v>-62.890619741986498</v>
        <stp/>
        <stp>EM_S_VAL_PETTMDEDUCTED</stp>
        <stp>2</stp>
        <stp>002514</stp>
        <stp>12/31/2018</stp>
        <tr r="M1830" s="1"/>
      </tp>
      <tp>
        <v>-205.261744095296</v>
        <stp/>
        <stp>EM_S_VAL_PETTMDEDUCTED</stp>
        <stp>2</stp>
        <stp>002515</stp>
        <stp>12/31/2018</stp>
        <tr r="M982" s="1"/>
      </tp>
      <tp>
        <v>-18.588384653821102</v>
        <stp/>
        <stp>EM_S_VAL_PETTMDEDUCTED</stp>
        <stp>2</stp>
        <stp>002512</stp>
        <stp>12/31/2018</stp>
        <tr r="M1261" s="1"/>
      </tp>
      <tp>
        <v>-26.055200100385498</v>
        <stp/>
        <stp>EM_S_VAL_PETTMDEDUCTED</stp>
        <stp>2</stp>
        <stp>002513</stp>
        <stp>12/31/2018</stp>
        <tr r="M1792" s="1"/>
      </tp>
      <tp>
        <v>31.332441254512499</v>
        <stp/>
        <stp>EM_S_VAL_PETTMDEDUCTED</stp>
        <stp>2</stp>
        <stp>002510</stp>
        <stp>12/31/2018</stp>
        <tr r="M994" s="1"/>
      </tp>
      <tp>
        <v>28.661841625558001</v>
        <stp/>
        <stp>EM_S_VAL_PETTMDEDUCTED</stp>
        <stp>2</stp>
        <stp>002511</stp>
        <stp>12/31/2018</stp>
        <tr r="M611" s="1"/>
      </tp>
      <tp>
        <v>13.4509824389679</v>
        <stp/>
        <stp>EM_S_VAL_PETTMDEDUCTED</stp>
        <stp>2</stp>
        <stp>002508</stp>
        <stp>12/31/2018</stp>
        <tr r="M332" s="1"/>
      </tp>
      <tp>
        <v>13.177302365996001</v>
        <stp/>
        <stp>EM_S_VAL_PETTMDEDUCTED</stp>
        <stp>2</stp>
        <stp>002509</stp>
        <stp>12/31/2018</stp>
        <tr r="M3313" s="1"/>
      </tp>
      <tp>
        <v>-89.203120677321905</v>
        <stp/>
        <stp>EM_S_VAL_PETTMDEDUCTED</stp>
        <stp>2</stp>
        <stp>002506</stp>
        <stp>12/31/2018</stp>
        <tr r="M1358" s="1"/>
      </tp>
      <tp>
        <v>28.543233214126602</v>
        <stp/>
        <stp>EM_S_VAL_PETTMDEDUCTED</stp>
        <stp>2</stp>
        <stp>002507</stp>
        <stp>12/31/2018</stp>
        <tr r="M1166" s="1"/>
      </tp>
      <tp>
        <v>-16.231401007827699</v>
        <stp/>
        <stp>EM_S_VAL_PETTMDEDUCTED</stp>
        <stp>2</stp>
        <stp>002504</stp>
        <stp>12/31/2018</stp>
        <tr r="M2893" s="1"/>
      </tp>
      <tp>
        <v>-87.0758683395037</v>
        <stp/>
        <stp>EM_S_VAL_PETTMDEDUCTED</stp>
        <stp>2</stp>
        <stp>002505</stp>
        <stp>12/31/2018</stp>
        <tr r="M1975" s="1"/>
      </tp>
      <tp>
        <v>43.872314048045801</v>
        <stp/>
        <stp>EM_S_VAL_PETTMDEDUCTED</stp>
        <stp>2</stp>
        <stp>002502</stp>
        <stp>12/31/2018</stp>
        <tr r="M2997" s="1"/>
      </tp>
      <tp>
        <v>15.112489573043</v>
        <stp/>
        <stp>EM_S_VAL_PETTMDEDUCTED</stp>
        <stp>2</stp>
        <stp>002503</stp>
        <stp>12/31/2018</stp>
        <tr r="M2089" s="1"/>
      </tp>
      <tp>
        <v>118.591952870662</v>
        <stp/>
        <stp>EM_S_VAL_PETTMDEDUCTED</stp>
        <stp>2</stp>
        <stp>002500</stp>
        <stp>12/31/2018</stp>
        <tr r="M731" s="1"/>
      </tp>
      <tp>
        <v>-3.8460623049799998</v>
        <stp/>
        <stp>EM_S_VAL_PETTMDEDUCTED</stp>
        <stp>2</stp>
        <stp>002501</stp>
        <stp>12/31/2018</stp>
        <tr r="M3330" s="1"/>
      </tp>
      <tp>
        <v>14.3854906954799</v>
        <stp/>
        <stp>EM_S_VAL_PETTMDEDUCTED</stp>
        <stp>2</stp>
        <stp>002538</stp>
        <stp>12/31/2018</stp>
        <tr r="M2472" s="1"/>
      </tp>
      <tp>
        <v>39.872345156639703</v>
        <stp/>
        <stp>EM_S_VAL_PETTMDEDUCTED</stp>
        <stp>2</stp>
        <stp>002539</stp>
        <stp>12/31/2018</stp>
        <tr r="M1332" s="1"/>
      </tp>
      <tp>
        <v>12.623192755616101</v>
        <stp/>
        <stp>EM_S_VAL_PETTMDEDUCTED</stp>
        <stp>2</stp>
        <stp>002536</stp>
        <stp>12/31/2018</stp>
        <tr r="M3350" s="1"/>
      </tp>
      <tp>
        <v>33.890150028181097</v>
        <stp/>
        <stp>EM_S_VAL_PETTMDEDUCTED</stp>
        <stp>2</stp>
        <stp>002537</stp>
        <stp>12/31/2018</stp>
        <tr r="M3234" s="1"/>
      </tp>
      <tp>
        <v>34.963656878304697</v>
        <stp/>
        <stp>EM_S_VAL_PETTMDEDUCTED</stp>
        <stp>2</stp>
        <stp>002534</stp>
        <stp>12/31/2018</stp>
        <tr r="M721" s="1"/>
      </tp>
      <tp>
        <v>79.509269314123699</v>
        <stp/>
        <stp>EM_S_VAL_PETTMDEDUCTED</stp>
        <stp>2</stp>
        <stp>002535</stp>
        <stp>12/31/2018</stp>
        <tr r="M2901" s="1"/>
      </tp>
      <tp>
        <v>21.580465458341401</v>
        <stp/>
        <stp>EM_S_VAL_PETTMDEDUCTED</stp>
        <stp>2</stp>
        <stp>002532</stp>
        <stp>12/31/2018</stp>
        <tr r="M1275" s="1"/>
      </tp>
      <tp>
        <v>21.818064158328799</v>
        <stp/>
        <stp>EM_S_VAL_PETTMDEDUCTED</stp>
        <stp>2</stp>
        <stp>002533</stp>
        <stp>12/31/2018</stp>
        <tr r="M1582" s="1"/>
      </tp>
      <tp>
        <v>22.709927640163599</v>
        <stp/>
        <stp>EM_S_VAL_PETTMDEDUCTED</stp>
        <stp>2</stp>
        <stp>002530</stp>
        <stp>12/31/2018</stp>
        <tr r="M250" s="1"/>
      </tp>
      <tp>
        <v>17.4034533202611</v>
        <stp/>
        <stp>EM_S_VAL_PETTMDEDUCTED</stp>
        <stp>2</stp>
        <stp>002531</stp>
        <stp>12/31/2018</stp>
        <tr r="M787" s="1"/>
      </tp>
      <tp>
        <v>47.035011829425201</v>
        <stp/>
        <stp>EM_S_VAL_PETTMDEDUCTED</stp>
        <stp>2</stp>
        <stp>002528</stp>
        <stp>12/31/2018</stp>
        <tr r="M665" s="1"/>
      </tp>
      <tp>
        <v>-33.013755054254403</v>
        <stp/>
        <stp>EM_S_VAL_PETTMDEDUCTED</stp>
        <stp>2</stp>
        <stp>002529</stp>
        <stp>12/31/2018</stp>
        <tr r="M2916" s="1"/>
      </tp>
      <tp>
        <v>26.9462693590161</v>
        <stp/>
        <stp>EM_S_VAL_PETTMDEDUCTED</stp>
        <stp>2</stp>
        <stp>002526</stp>
        <stp>12/31/2018</stp>
        <tr r="M1267" s="1"/>
      </tp>
      <tp>
        <v>-902.36573563468505</v>
        <stp/>
        <stp>EM_S_VAL_PETTMDEDUCTED</stp>
        <stp>2</stp>
        <stp>002527</stp>
        <stp>12/31/2018</stp>
        <tr r="M2484" s="1"/>
      </tp>
      <tp>
        <v>-395.37884048493902</v>
        <stp/>
        <stp>EM_S_VAL_PETTMDEDUCTED</stp>
        <stp>2</stp>
        <stp>002524</stp>
        <stp>12/31/2018</stp>
        <tr r="M120" s="1"/>
      </tp>
      <tp>
        <v>0</v>
        <stp/>
        <stp>EM_S_VAL_PETTMDEDUCTED</stp>
        <stp>2</stp>
        <stp>002525</stp>
        <stp>12/31/2018</stp>
        <tr r="M6" s="1"/>
      </tp>
      <tp>
        <v>235.65688836643699</v>
        <stp/>
        <stp>EM_S_VAL_PETTMDEDUCTED</stp>
        <stp>2</stp>
        <stp>002522</stp>
        <stp>12/31/2018</stp>
        <tr r="M1044" s="1"/>
      </tp>
      <tp>
        <v>39.640567157701803</v>
        <stp/>
        <stp>EM_S_VAL_PETTMDEDUCTED</stp>
        <stp>2</stp>
        <stp>002523</stp>
        <stp>12/31/2018</stp>
        <tr r="M2054" s="1"/>
      </tp>
      <tp>
        <v>76.235603667002195</v>
        <stp/>
        <stp>EM_S_VAL_PETTMDEDUCTED</stp>
        <stp>2</stp>
        <stp>002520</stp>
        <stp>12/31/2018</stp>
        <tr r="M2660" s="1"/>
      </tp>
      <tp>
        <v>38.984096413177099</v>
        <stp/>
        <stp>EM_S_VAL_PETTMDEDUCTED</stp>
        <stp>2</stp>
        <stp>002521</stp>
        <stp>12/31/2018</stp>
        <tr r="M1904" s="1"/>
      </tp>
      <tp>
        <v>32.345610604984401</v>
        <stp/>
        <stp>EM_S_VAL_PETTMDEDUCTED</stp>
        <stp>2</stp>
        <stp>002558</stp>
        <stp>12/31/2018</stp>
        <tr r="M2676" s="1"/>
      </tp>
      <tp>
        <v>24.622809188022899</v>
        <stp/>
        <stp>EM_S_VAL_PETTMDEDUCTED</stp>
        <stp>2</stp>
        <stp>002559</stp>
        <stp>12/31/2018</stp>
        <tr r="M2941" s="1"/>
      </tp>
      <tp>
        <v>26.323494212645301</v>
        <stp/>
        <stp>EM_S_VAL_PETTMDEDUCTED</stp>
        <stp>2</stp>
        <stp>002556</stp>
        <stp>12/31/2018</stp>
        <tr r="M1846" s="1"/>
      </tp>
      <tp>
        <v>32.579779280407202</v>
        <stp/>
        <stp>EM_S_VAL_PETTMDEDUCTED</stp>
        <stp>2</stp>
        <stp>002557</stp>
        <stp>12/31/2018</stp>
        <tr r="M276" s="1"/>
      </tp>
      <tp>
        <v>53.318459084199901</v>
        <stp/>
        <stp>EM_S_VAL_PETTMDEDUCTED</stp>
        <stp>2</stp>
        <stp>002554</stp>
        <stp>12/31/2018</stp>
        <tr r="M1656" s="1"/>
      </tp>
      <tp>
        <v>17.499782956001201</v>
        <stp/>
        <stp>EM_S_VAL_PETTMDEDUCTED</stp>
        <stp>2</stp>
        <stp>002555</stp>
        <stp>12/31/2018</stp>
        <tr r="M50" s="1"/>
      </tp>
      <tp>
        <v>-6.6391676205655603</v>
        <stp/>
        <stp>EM_S_VAL_PETTMDEDUCTED</stp>
        <stp>2</stp>
        <stp>002552</stp>
        <stp>12/31/2018</stp>
        <tr r="M17" s="1"/>
      </tp>
      <tp>
        <v>31.820139455777699</v>
        <stp/>
        <stp>EM_S_VAL_PETTMDEDUCTED</stp>
        <stp>2</stp>
        <stp>002553</stp>
        <stp>12/31/2018</stp>
        <tr r="M2055" s="1"/>
      </tp>
      <tp>
        <v>43.199516261195797</v>
        <stp/>
        <stp>EM_S_VAL_PETTMDEDUCTED</stp>
        <stp>2</stp>
        <stp>002550</stp>
        <stp>12/31/2018</stp>
        <tr r="M1338" s="1"/>
      </tp>
      <tp>
        <v>28.691076977513202</v>
        <stp/>
        <stp>EM_S_VAL_PETTMDEDUCTED</stp>
        <stp>2</stp>
        <stp>002551</stp>
        <stp>12/31/2018</stp>
        <tr r="M2390" s="1"/>
      </tp>
      <tp>
        <v>-23.1379080240165</v>
        <stp/>
        <stp>EM_S_VAL_PETTMDEDUCTED</stp>
        <stp>2</stp>
        <stp>002548</stp>
        <stp>12/31/2018</stp>
        <tr r="M938" s="1"/>
      </tp>
      <tp>
        <v>36.363953321230397</v>
        <stp/>
        <stp>EM_S_VAL_PETTMDEDUCTED</stp>
        <stp>2</stp>
        <stp>002549</stp>
        <stp>12/31/2018</stp>
        <tr r="M1576" s="1"/>
      </tp>
      <tp>
        <v>46.681790556726099</v>
        <stp/>
        <stp>EM_S_VAL_PETTMDEDUCTED</stp>
        <stp>2</stp>
        <stp>002546</stp>
        <stp>12/31/2018</stp>
        <tr r="M1763" s="1"/>
      </tp>
      <tp>
        <v>-16.0419686720535</v>
        <stp/>
        <stp>EM_S_VAL_PETTMDEDUCTED</stp>
        <stp>2</stp>
        <stp>002547</stp>
        <stp>12/31/2018</stp>
        <tr r="M524" s="1"/>
      </tp>
      <tp>
        <v>70.181731455995603</v>
        <stp/>
        <stp>EM_S_VAL_PETTMDEDUCTED</stp>
        <stp>2</stp>
        <stp>002544</stp>
        <stp>12/31/2018</stp>
        <tr r="M1046" s="1"/>
      </tp>
      <tp>
        <v>70.6174750820405</v>
        <stp/>
        <stp>EM_S_VAL_PETTMDEDUCTED</stp>
        <stp>2</stp>
        <stp>002545</stp>
        <stp>12/31/2018</stp>
        <tr r="M996" s="1"/>
      </tp>
      <tp>
        <v>31.154488776364701</v>
        <stp/>
        <stp>EM_S_VAL_PETTMDEDUCTED</stp>
        <stp>2</stp>
        <stp>002542</stp>
        <stp>12/31/2018</stp>
        <tr r="M2894" s="1"/>
      </tp>
      <tp>
        <v>16.709094546529801</v>
        <stp/>
        <stp>EM_S_VAL_PETTMDEDUCTED</stp>
        <stp>2</stp>
        <stp>002543</stp>
        <stp>12/31/2018</stp>
        <tr r="M3167" s="1"/>
      </tp>
      <tp>
        <v>18.946668385619699</v>
        <stp/>
        <stp>EM_S_VAL_PETTMDEDUCTED</stp>
        <stp>2</stp>
        <stp>002540</stp>
        <stp>12/31/2018</stp>
        <tr r="M2657" s="1"/>
      </tp>
      <tp>
        <v>17.738714771242201</v>
        <stp/>
        <stp>EM_S_VAL_PETTMDEDUCTED</stp>
        <stp>2</stp>
        <stp>002541</stp>
        <stp>12/31/2018</stp>
        <tr r="M538" s="1"/>
      </tp>
      <tp>
        <v>93.913689843570197</v>
        <stp/>
        <stp>EM_S_VAL_PETTMDEDUCTED</stp>
        <stp>2</stp>
        <stp>002578</stp>
        <stp>12/31/2018</stp>
        <tr r="M1903" s="1"/>
      </tp>
      <tp>
        <v>48.867547762279301</v>
        <stp/>
        <stp>EM_S_VAL_PETTMDEDUCTED</stp>
        <stp>2</stp>
        <stp>002579</stp>
        <stp>12/31/2018</stp>
        <tr r="M396" s="1"/>
      </tp>
      <tp>
        <v>81.254935945046</v>
        <stp/>
        <stp>EM_S_VAL_PETTMDEDUCTED</stp>
        <stp>2</stp>
        <stp>002576</stp>
        <stp>12/31/2018</stp>
        <tr r="M2458" s="1"/>
      </tp>
      <tp>
        <v>-2008.91556375349</v>
        <stp/>
        <stp>EM_S_VAL_PETTMDEDUCTED</stp>
        <stp>2</stp>
        <stp>002577</stp>
        <stp>12/31/2018</stp>
        <tr r="M919" s="1"/>
      </tp>
      <tp>
        <v>87.174236650198694</v>
        <stp/>
        <stp>EM_S_VAL_PETTMDEDUCTED</stp>
        <stp>2</stp>
        <stp>002574</stp>
        <stp>12/31/2018</stp>
        <tr r="M2095" s="1"/>
      </tp>
      <tp>
        <v>-409.50636487857003</v>
        <stp/>
        <stp>EM_S_VAL_PETTMDEDUCTED</stp>
        <stp>2</stp>
        <stp>002575</stp>
        <stp>12/31/2018</stp>
        <tr r="M2631" s="1"/>
      </tp>
      <tp>
        <v>15.5816844431597</v>
        <stp/>
        <stp>EM_S_VAL_PETTMDEDUCTED</stp>
        <stp>2</stp>
        <stp>002572</stp>
        <stp>12/31/2018</stp>
        <tr r="M1070" s="1"/>
      </tp>
      <tp>
        <v>16.0702647582205</v>
        <stp/>
        <stp>EM_S_VAL_PETTMDEDUCTED</stp>
        <stp>2</stp>
        <stp>002573</stp>
        <stp>12/31/2018</stp>
        <tr r="M2784" s="1"/>
      </tp>
      <tp>
        <v>-6.0950901004934996</v>
        <stp/>
        <stp>EM_S_VAL_PETTMDEDUCTED</stp>
        <stp>2</stp>
        <stp>002570</stp>
        <stp>12/31/2018</stp>
        <tr r="M1926" s="1"/>
      </tp>
      <tp>
        <v>-42.710837727737903</v>
        <stp/>
        <stp>EM_S_VAL_PETTMDEDUCTED</stp>
        <stp>2</stp>
        <stp>002571</stp>
        <stp>12/31/2018</stp>
        <tr r="M2579" s="1"/>
      </tp>
      <tp>
        <v>32.1472358731382</v>
        <stp/>
        <stp>EM_S_VAL_PETTMDEDUCTED</stp>
        <stp>2</stp>
        <stp>002568</stp>
        <stp>12/31/2018</stp>
        <tr r="M47" s="1"/>
      </tp>
      <tp>
        <v>-79.753494295457799</v>
        <stp/>
        <stp>EM_S_VAL_PETTMDEDUCTED</stp>
        <stp>2</stp>
        <stp>002569</stp>
        <stp>12/31/2018</stp>
        <tr r="M2052" s="1"/>
      </tp>
      <tp>
        <v>31.900937007694498</v>
        <stp/>
        <stp>EM_S_VAL_PETTMDEDUCTED</stp>
        <stp>2</stp>
        <stp>002566</stp>
        <stp>12/31/2018</stp>
        <tr r="M1514" s="1"/>
      </tp>
      <tp>
        <v>20.748064576577701</v>
        <stp/>
        <stp>EM_S_VAL_PETTMDEDUCTED</stp>
        <stp>2</stp>
        <stp>002567</stp>
        <stp>12/31/2018</stp>
        <tr r="M485" s="1"/>
      </tp>
      <tp>
        <v>95.142368976915094</v>
        <stp/>
        <stp>EM_S_VAL_PETTMDEDUCTED</stp>
        <stp>2</stp>
        <stp>002564</stp>
        <stp>12/31/2018</stp>
        <tr r="M2712" s="1"/>
      </tp>
      <tp>
        <v>39.128435720342203</v>
        <stp/>
        <stp>EM_S_VAL_PETTMDEDUCTED</stp>
        <stp>2</stp>
        <stp>002565</stp>
        <stp>12/31/2018</stp>
        <tr r="M336" s="1"/>
      </tp>
      <tp>
        <v>18.366979231993401</v>
        <stp/>
        <stp>EM_S_VAL_PETTMDEDUCTED</stp>
        <stp>2</stp>
        <stp>002562</stp>
        <stp>12/31/2018</stp>
        <tr r="M1598" s="1"/>
      </tp>
      <tp>
        <v>18.9207182016183</v>
        <stp/>
        <stp>EM_S_VAL_PETTMDEDUCTED</stp>
        <stp>2</stp>
        <stp>002563</stp>
        <stp>12/31/2018</stp>
        <tr r="M1758" s="1"/>
      </tp>
      <tp>
        <v>79.852171458010901</v>
        <stp/>
        <stp>EM_S_VAL_PETTMDEDUCTED</stp>
        <stp>2</stp>
        <stp>002560</stp>
        <stp>12/31/2018</stp>
        <tr r="M1921" s="1"/>
      </tp>
      <tp>
        <v>15.173672442258299</v>
        <stp/>
        <stp>EM_S_VAL_PETTMDEDUCTED</stp>
        <stp>2</stp>
        <stp>002561</stp>
        <stp>12/31/2018</stp>
        <tr r="M1959" s="1"/>
      </tp>
      <tp>
        <v>26.6681924359997</v>
        <stp/>
        <stp>EM_S_VAL_PETTMDEDUCTED</stp>
        <stp>2</stp>
        <stp>002298</stp>
        <stp>12/31/2018</stp>
        <tr r="M1002" s="1"/>
      </tp>
      <tp>
        <v>24.9647596791403</v>
        <stp/>
        <stp>EM_S_VAL_PETTMDEDUCTED</stp>
        <stp>2</stp>
        <stp>002299</stp>
        <stp>12/31/2018</stp>
        <tr r="M644" s="1"/>
      </tp>
      <tp>
        <v>-12.5008535334733</v>
        <stp/>
        <stp>EM_S_VAL_PETTMDEDUCTED</stp>
        <stp>2</stp>
        <stp>002296</stp>
        <stp>12/31/2018</stp>
        <tr r="M457" s="1"/>
      </tp>
      <tp>
        <v>-59.402885348252802</v>
        <stp/>
        <stp>EM_S_VAL_PETTMDEDUCTED</stp>
        <stp>2</stp>
        <stp>002297</stp>
        <stp>12/31/2018</stp>
        <tr r="M1894" s="1"/>
      </tp>
      <tp>
        <v>15.228036482630101</v>
        <stp/>
        <stp>EM_S_VAL_PETTMDEDUCTED</stp>
        <stp>2</stp>
        <stp>002294</stp>
        <stp>12/31/2018</stp>
        <tr r="M2519" s="1"/>
      </tp>
      <tp>
        <v>40.839344835824498</v>
        <stp/>
        <stp>EM_S_VAL_PETTMDEDUCTED</stp>
        <stp>2</stp>
        <stp>002295</stp>
        <stp>12/31/2018</stp>
        <tr r="M2213" s="1"/>
      </tp>
      <tp>
        <v>-22.220708211238001</v>
        <stp/>
        <stp>EM_S_VAL_PETTMDEDUCTED</stp>
        <stp>2</stp>
        <stp>002292</stp>
        <stp>12/31/2018</stp>
        <tr r="M282" s="1"/>
      </tp>
      <tp>
        <v>17.7166855720047</v>
        <stp/>
        <stp>EM_S_VAL_PETTMDEDUCTED</stp>
        <stp>2</stp>
        <stp>002293</stp>
        <stp>12/31/2018</stp>
        <tr r="M1996" s="1"/>
      </tp>
      <tp>
        <v>306.57398395477497</v>
        <stp/>
        <stp>EM_S_VAL_PETTMDEDUCTED</stp>
        <stp>2</stp>
        <stp>002290</stp>
        <stp>12/31/2018</stp>
        <tr r="M3357" s="1"/>
      </tp>
      <tp>
        <v>-5.0336717121863304</v>
        <stp/>
        <stp>EM_S_VAL_PETTMDEDUCTED</stp>
        <stp>2</stp>
        <stp>002291</stp>
        <stp>12/31/2018</stp>
        <tr r="M28" s="1"/>
      </tp>
      <tp>
        <v>73.708971542370193</v>
        <stp/>
        <stp>EM_S_VAL_PETTMDEDUCTED</stp>
        <stp>2</stp>
        <stp>002288</stp>
        <stp>12/31/2018</stp>
        <tr r="M1928" s="1"/>
      </tp>
      <tp>
        <v>-11.643037293565699</v>
        <stp/>
        <stp>EM_S_VAL_PETTMDEDUCTED</stp>
        <stp>2</stp>
        <stp>002289</stp>
        <stp>12/31/2018</stp>
        <tr r="M380" s="1"/>
      </tp>
      <tp>
        <v>62.707664726339701</v>
        <stp/>
        <stp>EM_S_VAL_PETTMDEDUCTED</stp>
        <stp>2</stp>
        <stp>002286</stp>
        <stp>12/31/2018</stp>
        <tr r="M1755" s="1"/>
      </tp>
      <tp>
        <v>33.132140163798603</v>
        <stp/>
        <stp>EM_S_VAL_PETTMDEDUCTED</stp>
        <stp>2</stp>
        <stp>002287</stp>
        <stp>12/31/2018</stp>
        <tr r="M2908" s="1"/>
      </tp>
      <tp>
        <v>469.34137875250099</v>
        <stp/>
        <stp>EM_S_VAL_PETTMDEDUCTED</stp>
        <stp>2</stp>
        <stp>002284</stp>
        <stp>12/31/2018</stp>
        <tr r="M1226" s="1"/>
      </tp>
      <tp>
        <v>12.9420466343489</v>
        <stp/>
        <stp>EM_S_VAL_PETTMDEDUCTED</stp>
        <stp>2</stp>
        <stp>002285</stp>
        <stp>12/31/2018</stp>
        <tr r="M3147" s="1"/>
      </tp>
      <tp>
        <v>51.393756473238298</v>
        <stp/>
        <stp>EM_S_VAL_PETTMDEDUCTED</stp>
        <stp>2</stp>
        <stp>002282</stp>
        <stp>12/31/2018</stp>
        <tr r="M2263" s="1"/>
      </tp>
      <tp>
        <v>11.9577852995562</v>
        <stp/>
        <stp>EM_S_VAL_PETTMDEDUCTED</stp>
        <stp>2</stp>
        <stp>002283</stp>
        <stp>12/31/2018</stp>
        <tr r="M1746" s="1"/>
      </tp>
      <tp>
        <v>-21.615538534333599</v>
        <stp/>
        <stp>EM_S_VAL_PETTMDEDUCTED</stp>
        <stp>2</stp>
        <stp>002280</stp>
        <stp>12/31/2018</stp>
        <tr r="M2214" s="1"/>
      </tp>
      <tp>
        <v>68.769711680423995</v>
        <stp/>
        <stp>EM_S_VAL_PETTMDEDUCTED</stp>
        <stp>2</stp>
        <stp>002281</stp>
        <stp>12/31/2018</stp>
        <tr r="M1737" s="1"/>
      </tp>
      <tp>
        <v>41.647453286975598</v>
        <stp/>
        <stp>EM_S_VAL_PETTMDEDUCTED</stp>
        <stp>2</stp>
        <stp>002218</stp>
        <stp>12/31/2018</stp>
        <tr r="M1748" s="1"/>
      </tp>
      <tp>
        <v>-14.920716116106901</v>
        <stp/>
        <stp>EM_S_VAL_PETTMDEDUCTED</stp>
        <stp>2</stp>
        <stp>002219</stp>
        <stp>12/31/2018</stp>
        <tr r="M3232" s="1"/>
      </tp>
      <tp>
        <v>96.303814246639703</v>
        <stp/>
        <stp>EM_S_VAL_PETTMDEDUCTED</stp>
        <stp>2</stp>
        <stp>002216</stp>
        <stp>12/31/2018</stp>
        <tr r="M197" s="1"/>
      </tp>
      <tp>
        <v>13.4960039426075</v>
        <stp/>
        <stp>EM_S_VAL_PETTMDEDUCTED</stp>
        <stp>2</stp>
        <stp>002217</stp>
        <stp>12/31/2018</stp>
        <tr r="M1404" s="1"/>
      </tp>
      <tp>
        <v>131.434824962253</v>
        <stp/>
        <stp>EM_S_VAL_PETTMDEDUCTED</stp>
        <stp>2</stp>
        <stp>002214</stp>
        <stp>12/31/2018</stp>
        <tr r="M189" s="1"/>
      </tp>
      <tp>
        <v>20.9108927727269</v>
        <stp/>
        <stp>EM_S_VAL_PETTMDEDUCTED</stp>
        <stp>2</stp>
        <stp>002215</stp>
        <stp>12/31/2018</stp>
        <tr r="M2430" s="1"/>
      </tp>
      <tp>
        <v>36.4766610771484</v>
        <stp/>
        <stp>EM_S_VAL_PETTMDEDUCTED</stp>
        <stp>2</stp>
        <stp>002212</stp>
        <stp>12/31/2018</stp>
        <tr r="M305" s="1"/>
      </tp>
      <tp>
        <v>-433.40418178517001</v>
        <stp/>
        <stp>EM_S_VAL_PETTMDEDUCTED</stp>
        <stp>2</stp>
        <stp>002213</stp>
        <stp>12/31/2018</stp>
        <tr r="M924" s="1"/>
      </tp>
      <tp>
        <v>-219.94098508663399</v>
        <stp/>
        <stp>EM_S_VAL_PETTMDEDUCTED</stp>
        <stp>2</stp>
        <stp>002210</stp>
        <stp>12/31/2018</stp>
        <tr r="M3397" s="1"/>
      </tp>
      <tp>
        <v>-1266.8771076898699</v>
        <stp/>
        <stp>EM_S_VAL_PETTMDEDUCTED</stp>
        <stp>2</stp>
        <stp>002211</stp>
        <stp>12/31/2018</stp>
        <tr r="M822" s="1"/>
      </tp>
      <tp>
        <v>10.923748001036399</v>
        <stp/>
        <stp>EM_S_VAL_PETTMDEDUCTED</stp>
        <stp>2</stp>
        <stp>002208</stp>
        <stp>12/31/2018</stp>
        <tr r="M3250" s="1"/>
      </tp>
      <tp>
        <v>-136.48395490673701</v>
        <stp/>
        <stp>EM_S_VAL_PETTMDEDUCTED</stp>
        <stp>2</stp>
        <stp>002209</stp>
        <stp>12/31/2018</stp>
        <tr r="M2160" s="1"/>
      </tp>
      <tp>
        <v>13.95563635826</v>
        <stp/>
        <stp>EM_S_VAL_PETTMDEDUCTED</stp>
        <stp>2</stp>
        <stp>002206</stp>
        <stp>12/31/2018</stp>
        <tr r="M2495" s="1"/>
      </tp>
      <tp>
        <v>-12.2109139570296</v>
        <stp/>
        <stp>EM_S_VAL_PETTMDEDUCTED</stp>
        <stp>2</stp>
        <stp>002207</stp>
        <stp>12/31/2018</stp>
        <tr r="M968" s="1"/>
      </tp>
      <tp>
        <v>-29.609809335955401</v>
        <stp/>
        <stp>EM_S_VAL_PETTMDEDUCTED</stp>
        <stp>2</stp>
        <stp>002204</stp>
        <stp>12/31/2018</stp>
        <tr r="M1806" s="1"/>
      </tp>
      <tp>
        <v>367.05286753222202</v>
        <stp/>
        <stp>EM_S_VAL_PETTMDEDUCTED</stp>
        <stp>2</stp>
        <stp>002205</stp>
        <stp>12/31/2018</stp>
        <tr r="M1137" s="1"/>
      </tp>
      <tp>
        <v>11.7364674468086</v>
        <stp/>
        <stp>EM_S_VAL_PETTMDEDUCTED</stp>
        <stp>2</stp>
        <stp>002202</stp>
        <stp>12/31/2018</stp>
        <tr r="M1408" s="1"/>
      </tp>
      <tp>
        <v>17.139453565337899</v>
        <stp/>
        <stp>EM_S_VAL_PETTMDEDUCTED</stp>
        <stp>2</stp>
        <stp>002203</stp>
        <stp>12/31/2018</stp>
        <tr r="M951" s="1"/>
      </tp>
      <tp>
        <v>-1.7810519958413999</v>
        <stp/>
        <stp>EM_S_VAL_PETTMDEDUCTED</stp>
        <stp>2</stp>
        <stp>002200</stp>
        <stp>12/31/2018</stp>
        <tr r="M1257" s="1"/>
      </tp>
      <tp>
        <v>-164.12197841125001</v>
        <stp/>
        <stp>EM_S_VAL_PETTMDEDUCTED</stp>
        <stp>2</stp>
        <stp>002201</stp>
        <stp>12/31/2018</stp>
        <tr r="M33" s="1"/>
      </tp>
      <tp>
        <v>21.236397626028001</v>
        <stp/>
        <stp>EM_S_VAL_PETTMDEDUCTED</stp>
        <stp>2</stp>
        <stp>002238</stp>
        <stp>12/31/2018</stp>
        <tr r="M1196" s="1"/>
      </tp>
      <tp>
        <v>30.876192299256701</v>
        <stp/>
        <stp>EM_S_VAL_PETTMDEDUCTED</stp>
        <stp>2</stp>
        <stp>002239</stp>
        <stp>12/31/2018</stp>
        <tr r="M2868" s="1"/>
      </tp>
      <tp>
        <v>13.5075385133776</v>
        <stp/>
        <stp>EM_S_VAL_PETTMDEDUCTED</stp>
        <stp>2</stp>
        <stp>002236</stp>
        <stp>12/31/2018</stp>
        <tr r="M283" s="1"/>
      </tp>
      <tp>
        <v>16.543183371333601</v>
        <stp/>
        <stp>EM_S_VAL_PETTMDEDUCTED</stp>
        <stp>2</stp>
        <stp>002237</stp>
        <stp>12/31/2018</stp>
        <tr r="M382" s="1"/>
      </tp>
      <tp>
        <v>27.0818687009046</v>
        <stp/>
        <stp>EM_S_VAL_PETTMDEDUCTED</stp>
        <stp>2</stp>
        <stp>002234</stp>
        <stp>12/31/2018</stp>
        <tr r="M58" s="1"/>
      </tp>
      <tp>
        <v>-7.6617301030149498</v>
        <stp/>
        <stp>EM_S_VAL_PETTMDEDUCTED</stp>
        <stp>2</stp>
        <stp>002235</stp>
        <stp>12/31/2018</stp>
        <tr r="M359" s="1"/>
      </tp>
      <tp>
        <v>45.038818433487897</v>
        <stp/>
        <stp>EM_S_VAL_PETTMDEDUCTED</stp>
        <stp>2</stp>
        <stp>002232</stp>
        <stp>12/31/2018</stp>
        <tr r="M1004" s="1"/>
      </tp>
      <tp>
        <v>8.4869429248812498</v>
        <stp/>
        <stp>EM_S_VAL_PETTMDEDUCTED</stp>
        <stp>2</stp>
        <stp>002233</stp>
        <stp>12/31/2018</stp>
        <tr r="M1157" s="1"/>
      </tp>
      <tp>
        <v>196.749059225417</v>
        <stp/>
        <stp>EM_S_VAL_PETTMDEDUCTED</stp>
        <stp>2</stp>
        <stp>002230</stp>
        <stp>12/31/2018</stp>
        <tr r="M734" s="1"/>
      </tp>
      <tp>
        <v>1688.56266121877</v>
        <stp/>
        <stp>EM_S_VAL_PETTMDEDUCTED</stp>
        <stp>2</stp>
        <stp>002231</stp>
        <stp>12/31/2018</stp>
        <tr r="M2167" s="1"/>
      </tp>
      <tp>
        <v>24.287997004031102</v>
        <stp/>
        <stp>EM_S_VAL_PETTMDEDUCTED</stp>
        <stp>2</stp>
        <stp>002228</stp>
        <stp>12/31/2018</stp>
        <tr r="M2642" s="1"/>
      </tp>
      <tp>
        <v>292.29401500077</v>
        <stp/>
        <stp>EM_S_VAL_PETTMDEDUCTED</stp>
        <stp>2</stp>
        <stp>002229</stp>
        <stp>12/31/2018</stp>
        <tr r="M2717" s="1"/>
      </tp>
      <tp>
        <v>65.406475725541497</v>
        <stp/>
        <stp>EM_S_VAL_PETTMDEDUCTED</stp>
        <stp>2</stp>
        <stp>002226</stp>
        <stp>12/31/2018</stp>
        <tr r="M1997" s="1"/>
      </tp>
      <tp>
        <v>1013.60126209664</v>
        <stp/>
        <stp>EM_S_VAL_PETTMDEDUCTED</stp>
        <stp>2</stp>
        <stp>002227</stp>
        <stp>12/31/2018</stp>
        <tr r="M1779" s="1"/>
      </tp>
      <tp>
        <v>28.561353440920399</v>
        <stp/>
        <stp>EM_S_VAL_PETTMDEDUCTED</stp>
        <stp>2</stp>
        <stp>002224</stp>
        <stp>12/31/2018</stp>
        <tr r="M1500" s="1"/>
      </tp>
      <tp>
        <v>20.500256153732501</v>
        <stp/>
        <stp>EM_S_VAL_PETTMDEDUCTED</stp>
        <stp>2</stp>
        <stp>002225</stp>
        <stp>12/31/2018</stp>
        <tr r="M2508" s="1"/>
      </tp>
      <tp>
        <v>26.332390820150501</v>
        <stp/>
        <stp>EM_S_VAL_PETTMDEDUCTED</stp>
        <stp>2</stp>
        <stp>002222</stp>
        <stp>12/31/2018</stp>
        <tr r="M1041" s="1"/>
      </tp>
      <tp>
        <v>32.688081737275198</v>
        <stp/>
        <stp>EM_S_VAL_PETTMDEDUCTED</stp>
        <stp>2</stp>
        <stp>002223</stp>
        <stp>12/31/2018</stp>
        <tr r="M2176" s="1"/>
      </tp>
      <tp>
        <v>39.910127641889197</v>
        <stp/>
        <stp>EM_S_VAL_PETTMDEDUCTED</stp>
        <stp>2</stp>
        <stp>002220</stp>
        <stp>12/31/2018</stp>
        <tr r="M3336" s="1"/>
      </tp>
      <tp>
        <v>14.289415149000201</v>
        <stp/>
        <stp>EM_S_VAL_PETTMDEDUCTED</stp>
        <stp>2</stp>
        <stp>002221</stp>
        <stp>12/31/2018</stp>
        <tr r="M2543" s="1"/>
      </tp>
      <tp>
        <v>11.5117717717654</v>
        <stp/>
        <stp>EM_S_VAL_PETTMDEDUCTED</stp>
        <stp>2</stp>
        <stp>002258</stp>
        <stp>12/31/2018</stp>
        <tr r="M1840" s="1"/>
      </tp>
      <tp>
        <v>-31.077782564332001</v>
        <stp/>
        <stp>EM_S_VAL_PETTMDEDUCTED</stp>
        <stp>2</stp>
        <stp>002259</stp>
        <stp>12/31/2018</stp>
        <tr r="M2658" s="1"/>
      </tp>
      <tp>
        <v>45.7220409998503</v>
        <stp/>
        <stp>EM_S_VAL_PETTMDEDUCTED</stp>
        <stp>2</stp>
        <stp>002256</stp>
        <stp>12/31/2018</stp>
        <tr r="M2915" s="1"/>
      </tp>
      <tp>
        <v>0</v>
        <stp/>
        <stp>EM_S_VAL_PETTMDEDUCTED</stp>
        <stp>2</stp>
        <stp>002257</stp>
        <stp>12/31/2018</stp>
        <tr r="M5" s="1"/>
      </tp>
      <tp>
        <v>51.144312838192697</v>
        <stp/>
        <stp>EM_S_VAL_PETTMDEDUCTED</stp>
        <stp>2</stp>
        <stp>002254</stp>
        <stp>12/31/2018</stp>
        <tr r="M2504" s="1"/>
      </tp>
      <tp>
        <v>31.951231093967099</v>
        <stp/>
        <stp>EM_S_VAL_PETTMDEDUCTED</stp>
        <stp>2</stp>
        <stp>002255</stp>
        <stp>12/31/2018</stp>
        <tr r="M3028" s="1"/>
      </tp>
      <tp>
        <v>74.724597853530398</v>
        <stp/>
        <stp>EM_S_VAL_PETTMDEDUCTED</stp>
        <stp>2</stp>
        <stp>002252</stp>
        <stp>12/31/2018</stp>
        <tr r="M2752" s="1"/>
      </tp>
      <tp>
        <v>78.603809239253096</v>
        <stp/>
        <stp>EM_S_VAL_PETTMDEDUCTED</stp>
        <stp>2</stp>
        <stp>002253</stp>
        <stp>12/31/2018</stp>
        <tr r="M1773" s="1"/>
      </tp>
      <tp>
        <v>79.153861312770999</v>
        <stp/>
        <stp>EM_S_VAL_PETTMDEDUCTED</stp>
        <stp>2</stp>
        <stp>002250</stp>
        <stp>12/31/2018</stp>
        <tr r="M271" s="1"/>
      </tp>
      <tp>
        <v>50.6193511378859</v>
        <stp/>
        <stp>EM_S_VAL_PETTMDEDUCTED</stp>
        <stp>2</stp>
        <stp>002251</stp>
        <stp>12/31/2018</stp>
        <tr r="M1280" s="1"/>
      </tp>
      <tp>
        <v>-9.4163682174119501</v>
        <stp/>
        <stp>EM_S_VAL_PETTMDEDUCTED</stp>
        <stp>2</stp>
        <stp>002248</stp>
        <stp>12/31/2018</stp>
        <tr r="M2746" s="1"/>
      </tp>
      <tp>
        <v>32.526780975037603</v>
        <stp/>
        <stp>EM_S_VAL_PETTMDEDUCTED</stp>
        <stp>2</stp>
        <stp>002249</stp>
        <stp>12/31/2018</stp>
        <tr r="M1320" s="1"/>
      </tp>
      <tp>
        <v>61.932685623311599</v>
        <stp/>
        <stp>EM_S_VAL_PETTMDEDUCTED</stp>
        <stp>2</stp>
        <stp>002246</stp>
        <stp>12/31/2018</stp>
        <tr r="M1557" s="1"/>
      </tp>
      <tp>
        <v>7.8536150203707402</v>
        <stp/>
        <stp>EM_S_VAL_PETTMDEDUCTED</stp>
        <stp>2</stp>
        <stp>002247</stp>
        <stp>12/31/2018</stp>
        <tr r="M3301" s="1"/>
      </tp>
      <tp>
        <v>10.511585012116001</v>
        <stp/>
        <stp>EM_S_VAL_PETTMDEDUCTED</stp>
        <stp>2</stp>
        <stp>002244</stp>
        <stp>12/31/2018</stp>
        <tr r="M1120" s="1"/>
      </tp>
      <tp>
        <v>13.268601972601401</v>
        <stp/>
        <stp>EM_S_VAL_PETTMDEDUCTED</stp>
        <stp>2</stp>
        <stp>002245</stp>
        <stp>12/31/2018</stp>
        <tr r="M2022" s="1"/>
      </tp>
      <tp>
        <v>20.822017935608301</v>
        <stp/>
        <stp>EM_S_VAL_PETTMDEDUCTED</stp>
        <stp>2</stp>
        <stp>002242</stp>
        <stp>12/31/2018</stp>
        <tr r="M504" s="1"/>
      </tp>
      <tp>
        <v>93.211120447707998</v>
        <stp/>
        <stp>EM_S_VAL_PETTMDEDUCTED</stp>
        <stp>2</stp>
        <stp>002243</stp>
        <stp>12/31/2018</stp>
        <tr r="M1825" s="1"/>
      </tp>
      <tp>
        <v>39.310508298105297</v>
        <stp/>
        <stp>EM_S_VAL_PETTMDEDUCTED</stp>
        <stp>2</stp>
        <stp>002240</stp>
        <stp>12/31/2018</stp>
        <tr r="M1935" s="1"/>
      </tp>
      <tp>
        <v>15.6625168976254</v>
        <stp/>
        <stp>EM_S_VAL_PETTMDEDUCTED</stp>
        <stp>2</stp>
        <stp>002241</stp>
        <stp>12/31/2018</stp>
        <tr r="M52" s="1"/>
      </tp>
      <tp>
        <v>407.209055227965</v>
        <stp/>
        <stp>EM_S_VAL_PETTMDEDUCTED</stp>
        <stp>2</stp>
        <stp>002278</stp>
        <stp>12/31/2018</stp>
        <tr r="M2576" s="1"/>
      </tp>
      <tp>
        <v>16.609190418306699</v>
        <stp/>
        <stp>EM_S_VAL_PETTMDEDUCTED</stp>
        <stp>2</stp>
        <stp>002279</stp>
        <stp>12/31/2018</stp>
        <tr r="M2897" s="1"/>
      </tp>
      <tp>
        <v>70.652315319865906</v>
        <stp/>
        <stp>EM_S_VAL_PETTMDEDUCTED</stp>
        <stp>2</stp>
        <stp>002276</stp>
        <stp>12/31/2018</stp>
        <tr r="M361" s="1"/>
      </tp>
      <tp>
        <v>19.675922507112499</v>
        <stp/>
        <stp>EM_S_VAL_PETTMDEDUCTED</stp>
        <stp>2</stp>
        <stp>002277</stp>
        <stp>12/31/2018</stp>
        <tr r="M2034" s="1"/>
      </tp>
      <tp>
        <v>19.085180084328702</v>
        <stp/>
        <stp>EM_S_VAL_PETTMDEDUCTED</stp>
        <stp>2</stp>
        <stp>002274</stp>
        <stp>12/31/2018</stp>
        <tr r="M999" s="1"/>
      </tp>
      <tp>
        <v>16.550205833160099</v>
        <stp/>
        <stp>EM_S_VAL_PETTMDEDUCTED</stp>
        <stp>2</stp>
        <stp>002275</stp>
        <stp>12/31/2018</stp>
        <tr r="M2210" s="1"/>
      </tp>
      <tp>
        <v>-35.014284362650997</v>
        <stp/>
        <stp>EM_S_VAL_PETTMDEDUCTED</stp>
        <stp>2</stp>
        <stp>002272</stp>
        <stp>12/31/2018</stp>
        <tr r="M1640" s="1"/>
      </tp>
      <tp>
        <v>24.910966680578799</v>
        <stp/>
        <stp>EM_S_VAL_PETTMDEDUCTED</stp>
        <stp>2</stp>
        <stp>002273</stp>
        <stp>12/31/2018</stp>
        <tr r="M318" s="1"/>
      </tp>
      <tp>
        <v>17.6264172497924</v>
        <stp/>
        <stp>EM_S_VAL_PETTMDEDUCTED</stp>
        <stp>2</stp>
        <stp>002270</stp>
        <stp>12/31/2018</stp>
        <tr r="M2017" s="1"/>
      </tp>
      <tp>
        <v>14.7462161959174</v>
        <stp/>
        <stp>EM_S_VAL_PETTMDEDUCTED</stp>
        <stp>2</stp>
        <stp>002271</stp>
        <stp>12/31/2018</stp>
        <tr r="M152" s="1"/>
      </tp>
      <tp>
        <v>116.29788994512499</v>
        <stp/>
        <stp>EM_S_VAL_PETTMDEDUCTED</stp>
        <stp>2</stp>
        <stp>002268</stp>
        <stp>12/31/2018</stp>
        <tr r="M691" s="1"/>
      </tp>
      <tp>
        <v>-33.142498894650402</v>
        <stp/>
        <stp>EM_S_VAL_PETTMDEDUCTED</stp>
        <stp>2</stp>
        <stp>002269</stp>
        <stp>12/31/2018</stp>
        <tr r="M1454" s="1"/>
      </tp>
      <tp>
        <v>149.92787554018801</v>
        <stp/>
        <stp>EM_S_VAL_PETTMDEDUCTED</stp>
        <stp>2</stp>
        <stp>002266</stp>
        <stp>12/31/2018</stp>
        <tr r="M2187" s="1"/>
      </tp>
      <tp>
        <v>17.4708543527193</v>
        <stp/>
        <stp>EM_S_VAL_PETTMDEDUCTED</stp>
        <stp>2</stp>
        <stp>002267</stp>
        <stp>12/31/2018</stp>
        <tr r="M2497" s="1"/>
      </tp>
      <tp>
        <v>-103.726808833992</v>
        <stp/>
        <stp>EM_S_VAL_PETTMDEDUCTED</stp>
        <stp>2</stp>
        <stp>002264</stp>
        <stp>12/31/2018</stp>
        <tr r="M2960" s="1"/>
      </tp>
      <tp>
        <v>-198.28052400286199</v>
        <stp/>
        <stp>EM_S_VAL_PETTMDEDUCTED</stp>
        <stp>2</stp>
        <stp>002265</stp>
        <stp>12/31/2018</stp>
        <tr r="M2427" s="1"/>
      </tp>
      <tp>
        <v>19.8659341212363</v>
        <stp/>
        <stp>EM_S_VAL_PETTMDEDUCTED</stp>
        <stp>2</stp>
        <stp>002262</stp>
        <stp>12/31/2018</stp>
        <tr r="M1001" s="1"/>
      </tp>
      <tp>
        <v>-4.74209156301057</v>
        <stp/>
        <stp>EM_S_VAL_PETTMDEDUCTED</stp>
        <stp>2</stp>
        <stp>002263</stp>
        <stp>12/31/2018</stp>
        <tr r="M1203" s="1"/>
      </tp>
      <tp>
        <v>-1.5339748404411899</v>
        <stp/>
        <stp>EM_S_VAL_PETTMDEDUCTED</stp>
        <stp>2</stp>
        <stp>002260</stp>
        <stp>12/31/2018</stp>
        <tr r="M2467" s="1"/>
      </tp>
      <tp>
        <v>-108.87944800925899</v>
        <stp/>
        <stp>EM_S_VAL_PETTMDEDUCTED</stp>
        <stp>2</stp>
        <stp>002261</stp>
        <stp>12/31/2018</stp>
        <tr r="M164" s="1"/>
      </tp>
      <tp>
        <v>13.380866291356099</v>
        <stp/>
        <stp>EM_S_VAL_PETTMDEDUCTED</stp>
        <stp>2</stp>
        <stp>002398</stp>
        <stp>12/31/2018</stp>
        <tr r="M850" s="1"/>
      </tp>
      <tp>
        <v>72.203367877258401</v>
        <stp/>
        <stp>EM_S_VAL_PETTMDEDUCTED</stp>
        <stp>2</stp>
        <stp>002399</stp>
        <stp>12/31/2018</stp>
        <tr r="M2973" s="1"/>
      </tp>
      <tp>
        <v>21.3633888282599</v>
        <stp/>
        <stp>EM_S_VAL_PETTMDEDUCTED</stp>
        <stp>2</stp>
        <stp>002396</stp>
        <stp>12/31/2018</stp>
        <tr r="M155" s="1"/>
      </tp>
      <tp>
        <v>44.8380289296706</v>
        <stp/>
        <stp>EM_S_VAL_PETTMDEDUCTED</stp>
        <stp>2</stp>
        <stp>002397</stp>
        <stp>12/31/2018</stp>
        <tr r="M1300" s="1"/>
      </tp>
      <tp>
        <v>11.0956666395408</v>
        <stp/>
        <stp>EM_S_VAL_PETTMDEDUCTED</stp>
        <stp>2</stp>
        <stp>002394</stp>
        <stp>12/31/2018</stp>
        <tr r="M2636" s="1"/>
      </tp>
      <tp>
        <v>132.62231369812699</v>
        <stp/>
        <stp>EM_S_VAL_PETTMDEDUCTED</stp>
        <stp>2</stp>
        <stp>002395</stp>
        <stp>12/31/2018</stp>
        <tr r="M101" s="1"/>
      </tp>
      <tp>
        <v>16.4868457812128</v>
        <stp/>
        <stp>EM_S_VAL_PETTMDEDUCTED</stp>
        <stp>2</stp>
        <stp>002392</stp>
        <stp>12/31/2018</stp>
        <tr r="M1412" s="1"/>
      </tp>
      <tp>
        <v>35.028480612279303</v>
        <stp/>
        <stp>EM_S_VAL_PETTMDEDUCTED</stp>
        <stp>2</stp>
        <stp>002393</stp>
        <stp>12/31/2018</stp>
        <tr r="M1123" s="1"/>
      </tp>
      <tp>
        <v>22.251888409189501</v>
        <stp/>
        <stp>EM_S_VAL_PETTMDEDUCTED</stp>
        <stp>2</stp>
        <stp>002390</stp>
        <stp>12/31/2018</stp>
        <tr r="M1014" s="1"/>
      </tp>
      <tp>
        <v>11.9280256660204</v>
        <stp/>
        <stp>EM_S_VAL_PETTMDEDUCTED</stp>
        <stp>2</stp>
        <stp>002391</stp>
        <stp>12/31/2018</stp>
        <tr r="M3106" s="1"/>
      </tp>
      <tp>
        <v>104.820431670171</v>
        <stp/>
        <stp>EM_S_VAL_PETTMDEDUCTED</stp>
        <stp>2</stp>
        <stp>002388</stp>
        <stp>12/31/2018</stp>
        <tr r="M895" s="1"/>
      </tp>
      <tp>
        <v>61.488604508563</v>
        <stp/>
        <stp>EM_S_VAL_PETTMDEDUCTED</stp>
        <stp>2</stp>
        <stp>002389</stp>
        <stp>12/31/2018</stp>
        <tr r="M2708" s="1"/>
      </tp>
      <tp>
        <v>27.391124909884098</v>
        <stp/>
        <stp>EM_S_VAL_PETTMDEDUCTED</stp>
        <stp>2</stp>
        <stp>002386</stp>
        <stp>12/31/2018</stp>
        <tr r="M1776" s="1"/>
      </tp>
      <tp>
        <v>-11.8291227634006</v>
        <stp/>
        <stp>EM_S_VAL_PETTMDEDUCTED</stp>
        <stp>2</stp>
        <stp>002387</stp>
        <stp>12/31/2018</stp>
        <tr r="M135" s="1"/>
      </tp>
      <tp>
        <v>35.284852968114002</v>
        <stp/>
        <stp>EM_S_VAL_PETTMDEDUCTED</stp>
        <stp>2</stp>
        <stp>002384</stp>
        <stp>12/31/2018</stp>
        <tr r="M172" s="1"/>
      </tp>
      <tp>
        <v>41.294731005269597</v>
        <stp/>
        <stp>EM_S_VAL_PETTMDEDUCTED</stp>
        <stp>2</stp>
        <stp>002385</stp>
        <stp>12/31/2018</stp>
        <tr r="M707" s="1"/>
      </tp>
      <tp>
        <v>45.384627745685101</v>
        <stp/>
        <stp>EM_S_VAL_PETTMDEDUCTED</stp>
        <stp>2</stp>
        <stp>002382</stp>
        <stp>12/31/2018</stp>
        <tr r="M3033" s="1"/>
      </tp>
      <tp>
        <v>22.103515929376499</v>
        <stp/>
        <stp>EM_S_VAL_PETTMDEDUCTED</stp>
        <stp>2</stp>
        <stp>002383</stp>
        <stp>12/31/2018</stp>
        <tr r="M3075" s="1"/>
      </tp>
      <tp>
        <v>28.3459639780198</v>
        <stp/>
        <stp>EM_S_VAL_PETTMDEDUCTED</stp>
        <stp>2</stp>
        <stp>002380</stp>
        <stp>12/31/2018</stp>
        <tr r="M853" s="1"/>
      </tp>
      <tp>
        <v>24.076884361976099</v>
        <stp/>
        <stp>EM_S_VAL_PETTMDEDUCTED</stp>
        <stp>2</stp>
        <stp>002381</stp>
        <stp>12/31/2018</stp>
        <tr r="M1089" s="1"/>
      </tp>
      <tp>
        <v>24.325871094361698</v>
        <stp/>
        <stp>EM_S_VAL_PETTMDEDUCTED</stp>
        <stp>2</stp>
        <stp>002318</stp>
        <stp>12/31/2018</stp>
        <tr r="M566" s="1"/>
      </tp>
      <tp>
        <v>-26016.703949051702</v>
        <stp/>
        <stp>EM_S_VAL_PETTMDEDUCTED</stp>
        <stp>2</stp>
        <stp>002319</stp>
        <stp>12/31/2018</stp>
        <tr r="M3323" s="1"/>
      </tp>
      <tp>
        <v>35.358467475092901</v>
        <stp/>
        <stp>EM_S_VAL_PETTMDEDUCTED</stp>
        <stp>2</stp>
        <stp>002316</stp>
        <stp>12/31/2018</stp>
        <tr r="M1910" s="1"/>
      </tp>
      <tp>
        <v>17.404558428485402</v>
        <stp/>
        <stp>EM_S_VAL_PETTMDEDUCTED</stp>
        <stp>2</stp>
        <stp>002317</stp>
        <stp>12/31/2018</stp>
        <tr r="M653" s="1"/>
      </tp>
      <tp>
        <v>10.258522669828899</v>
        <stp/>
        <stp>EM_S_VAL_PETTMDEDUCTED</stp>
        <stp>2</stp>
        <stp>002314</stp>
        <stp>12/31/2018</stp>
        <tr r="M1918" s="1"/>
      </tp>
      <tp>
        <v>71.778754984799903</v>
        <stp/>
        <stp>EM_S_VAL_PETTMDEDUCTED</stp>
        <stp>2</stp>
        <stp>002315</stp>
        <stp>12/31/2018</stp>
        <tr r="M403" s="1"/>
      </tp>
      <tp>
        <v>-9.9046650220038792</v>
        <stp/>
        <stp>EM_S_VAL_PETTMDEDUCTED</stp>
        <stp>2</stp>
        <stp>002312</stp>
        <stp>12/31/2018</stp>
        <tr r="M876" s="1"/>
      </tp>
      <tp>
        <v>60.895666002301198</v>
        <stp/>
        <stp>EM_S_VAL_PETTMDEDUCTED</stp>
        <stp>2</stp>
        <stp>002313</stp>
        <stp>12/31/2018</stp>
        <tr r="M2845" s="1"/>
      </tp>
      <tp>
        <v>8.2519181163350304</v>
        <stp/>
        <stp>EM_S_VAL_PETTMDEDUCTED</stp>
        <stp>2</stp>
        <stp>002310</stp>
        <stp>12/31/2018</stp>
        <tr r="M3198" s="1"/>
      </tp>
      <tp>
        <v>28.5308531862077</v>
        <stp/>
        <stp>EM_S_VAL_PETTMDEDUCTED</stp>
        <stp>2</stp>
        <stp>002311</stp>
        <stp>12/31/2018</stp>
        <tr r="M476" s="1"/>
      </tp>
      <tp>
        <v>34.256175610314202</v>
        <stp/>
        <stp>EM_S_VAL_PETTMDEDUCTED</stp>
        <stp>2</stp>
        <stp>002308</stp>
        <stp>12/31/2018</stp>
        <tr r="M2098" s="1"/>
      </tp>
      <tp>
        <v>33.227719793370603</v>
        <stp/>
        <stp>EM_S_VAL_PETTMDEDUCTED</stp>
        <stp>2</stp>
        <stp>002309</stp>
        <stp>12/31/2018</stp>
        <tr r="M3182" s="1"/>
      </tp>
      <tp>
        <v>-118.29315001206299</v>
        <stp/>
        <stp>EM_S_VAL_PETTMDEDUCTED</stp>
        <stp>2</stp>
        <stp>002306</stp>
        <stp>12/31/2018</stp>
        <tr r="M3111" s="1"/>
      </tp>
      <tp>
        <v>119.071531541927</v>
        <stp/>
        <stp>EM_S_VAL_PETTMDEDUCTED</stp>
        <stp>2</stp>
        <stp>002307</stp>
        <stp>12/31/2018</stp>
        <tr r="M1740" s="1"/>
      </tp>
      <tp>
        <v>19.3685980230883</v>
        <stp/>
        <stp>EM_S_VAL_PETTMDEDUCTED</stp>
        <stp>2</stp>
        <stp>002304</stp>
        <stp>12/31/2018</stp>
        <tr r="M1400" s="1"/>
      </tp>
      <tp>
        <v>-64.773452968512501</v>
        <stp/>
        <stp>EM_S_VAL_PETTMDEDUCTED</stp>
        <stp>2</stp>
        <stp>002305</stp>
        <stp>12/31/2018</stp>
        <tr r="M3140" s="1"/>
      </tp>
      <tp>
        <v>53.281249684697499</v>
        <stp/>
        <stp>EM_S_VAL_PETTMDEDUCTED</stp>
        <stp>2</stp>
        <stp>002302</stp>
        <stp>12/31/2018</stp>
        <tr r="M1075" s="1"/>
      </tp>
      <tp>
        <v>19.123302535722502</v>
        <stp/>
        <stp>EM_S_VAL_PETTMDEDUCTED</stp>
        <stp>2</stp>
        <stp>002303</stp>
        <stp>12/31/2018</stp>
        <tr r="M1611" s="1"/>
      </tp>
      <tp>
        <v>41.806768042383801</v>
        <stp/>
        <stp>EM_S_VAL_PETTMDEDUCTED</stp>
        <stp>2</stp>
        <stp>002300</stp>
        <stp>12/31/2018</stp>
        <tr r="M1241" s="1"/>
      </tp>
      <tp>
        <v>35.970195203215603</v>
        <stp/>
        <stp>EM_S_VAL_PETTMDEDUCTED</stp>
        <stp>2</stp>
        <stp>002301</stp>
        <stp>12/31/2018</stp>
        <tr r="M732" s="1"/>
      </tp>
      <tp>
        <v>132.03354815587099</v>
        <stp/>
        <stp>EM_S_VAL_PETTMDEDUCTED</stp>
        <stp>2</stp>
        <stp>002338</stp>
        <stp>12/31/2018</stp>
        <tr r="M1311" s="1"/>
      </tp>
      <tp>
        <v>35.832465441759098</v>
        <stp/>
        <stp>EM_S_VAL_PETTMDEDUCTED</stp>
        <stp>2</stp>
        <stp>002339</stp>
        <stp>12/31/2018</stp>
        <tr r="M1989" s="1"/>
      </tp>
      <tp>
        <v>-10.0343669246265</v>
        <stp/>
        <stp>EM_S_VAL_PETTMDEDUCTED</stp>
        <stp>2</stp>
        <stp>002336</stp>
        <stp>12/31/2018</stp>
        <tr r="M2961" s="1"/>
      </tp>
      <tp>
        <v>-35.7720931701799</v>
        <stp/>
        <stp>EM_S_VAL_PETTMDEDUCTED</stp>
        <stp>2</stp>
        <stp>002337</stp>
        <stp>12/31/2018</stp>
        <tr r="M2558" s="1"/>
      </tp>
      <tp>
        <v>19.469013895164899</v>
        <stp/>
        <stp>EM_S_VAL_PETTMDEDUCTED</stp>
        <stp>2</stp>
        <stp>002334</stp>
        <stp>12/31/2018</stp>
        <tr r="M2234" s="1"/>
      </tp>
      <tp>
        <v>25.916593664087799</v>
        <stp/>
        <stp>EM_S_VAL_PETTMDEDUCTED</stp>
        <stp>2</stp>
        <stp>002335</stp>
        <stp>12/31/2018</stp>
        <tr r="M1827" s="1"/>
      </tp>
      <tp>
        <v>22.306377809387399</v>
        <stp/>
        <stp>EM_S_VAL_PETTMDEDUCTED</stp>
        <stp>2</stp>
        <stp>002332</stp>
        <stp>12/31/2018</stp>
        <tr r="M458" s="1"/>
      </tp>
      <tp>
        <v>-26.4012060166989</v>
        <stp/>
        <stp>EM_S_VAL_PETTMDEDUCTED</stp>
        <stp>2</stp>
        <stp>002333</stp>
        <stp>12/31/2018</stp>
        <tr r="M3105" s="1"/>
      </tp>
      <tp>
        <v>-209.32504807913</v>
        <stp/>
        <stp>EM_S_VAL_PETTMDEDUCTED</stp>
        <stp>2</stp>
        <stp>002330</stp>
        <stp>12/31/2018</stp>
        <tr r="M253" s="1"/>
      </tp>
      <tp>
        <v>50.313516203227898</v>
        <stp/>
        <stp>EM_S_VAL_PETTMDEDUCTED</stp>
        <stp>2</stp>
        <stp>002331</stp>
        <stp>12/31/2018</stp>
        <tr r="M1715" s="1"/>
      </tp>
      <tp>
        <v>41.2529297962719</v>
        <stp/>
        <stp>EM_S_VAL_PETTMDEDUCTED</stp>
        <stp>2</stp>
        <stp>002328</stp>
        <stp>12/31/2018</stp>
        <tr r="M3199" s="1"/>
      </tp>
      <tp>
        <v>-19.699567539149399</v>
        <stp/>
        <stp>EM_S_VAL_PETTMDEDUCTED</stp>
        <stp>2</stp>
        <stp>002329</stp>
        <stp>12/31/2018</stp>
        <tr r="M907" s="1"/>
      </tp>
      <tp>
        <v>85.451038888520401</v>
        <stp/>
        <stp>EM_S_VAL_PETTMDEDUCTED</stp>
        <stp>2</stp>
        <stp>002326</stp>
        <stp>12/31/2018</stp>
        <tr r="M623" s="1"/>
      </tp>
      <tp>
        <v>13.224829400060599</v>
        <stp/>
        <stp>EM_S_VAL_PETTMDEDUCTED</stp>
        <stp>2</stp>
        <stp>002327</stp>
        <stp>12/31/2018</stp>
        <tr r="M2672" s="1"/>
      </tp>
      <tp>
        <v>41.605635030115302</v>
        <stp/>
        <stp>EM_S_VAL_PETTMDEDUCTED</stp>
        <stp>2</stp>
        <stp>002324</stp>
        <stp>12/31/2018</stp>
        <tr r="M820" s="1"/>
      </tp>
      <tp>
        <v>69.191193450644306</v>
        <stp/>
        <stp>EM_S_VAL_PETTMDEDUCTED</stp>
        <stp>2</stp>
        <stp>002325</stp>
        <stp>12/31/2018</stp>
        <tr r="M1760" s="1"/>
      </tp>
      <tp>
        <v>14.416904945386401</v>
        <stp/>
        <stp>EM_S_VAL_PETTMDEDUCTED</stp>
        <stp>2</stp>
        <stp>002322</stp>
        <stp>12/31/2018</stp>
        <tr r="M932" s="1"/>
      </tp>
      <tp>
        <v>11.3464994344844</v>
        <stp/>
        <stp>EM_S_VAL_PETTMDEDUCTED</stp>
        <stp>2</stp>
        <stp>002323</stp>
        <stp>12/31/2018</stp>
        <tr r="M80" s="1"/>
      </tp>
      <tp>
        <v>41.986289940000702</v>
        <stp/>
        <stp>EM_S_VAL_PETTMDEDUCTED</stp>
        <stp>2</stp>
        <stp>002320</stp>
        <stp>12/31/2018</stp>
        <tr r="M2750" s="1"/>
      </tp>
      <tp>
        <v>45.167960698805899</v>
        <stp/>
        <stp>EM_S_VAL_PETTMDEDUCTED</stp>
        <stp>2</stp>
        <stp>002321</stp>
        <stp>12/31/2018</stp>
        <tr r="M1897" s="1"/>
      </tp>
      <tp>
        <v>37.148546525548603</v>
        <stp/>
        <stp>EM_S_VAL_PETTMDEDUCTED</stp>
        <stp>2</stp>
        <stp>002358</stp>
        <stp>12/31/2018</stp>
        <tr r="M3394" s="1"/>
      </tp>
      <tp>
        <v>21.581278355664299</v>
        <stp/>
        <stp>EM_S_VAL_PETTMDEDUCTED</stp>
        <stp>2</stp>
        <stp>002359</stp>
        <stp>12/31/2018</stp>
        <tr r="M3401" s="1"/>
      </tp>
      <tp>
        <v>-9.1630206839011308</v>
        <stp/>
        <stp>EM_S_VAL_PETTMDEDUCTED</stp>
        <stp>2</stp>
        <stp>002356</stp>
        <stp>12/31/2018</stp>
        <tr r="M3400" s="1"/>
      </tp>
      <tp>
        <v>52.193015835409902</v>
        <stp/>
        <stp>EM_S_VAL_PETTMDEDUCTED</stp>
        <stp>2</stp>
        <stp>002357</stp>
        <stp>12/31/2018</stp>
        <tr r="M1607" s="1"/>
      </tp>
      <tp>
        <v>22.588115600737499</v>
        <stp/>
        <stp>EM_S_VAL_PETTMDEDUCTED</stp>
        <stp>2</stp>
        <stp>002354</stp>
        <stp>12/31/2018</stp>
        <tr r="M3345" s="1"/>
      </tp>
      <tp>
        <v>88.606013986549897</v>
        <stp/>
        <stp>EM_S_VAL_PETTMDEDUCTED</stp>
        <stp>2</stp>
        <stp>002355</stp>
        <stp>12/31/2018</stp>
        <tr r="M2718" s="1"/>
      </tp>
      <tp>
        <v>37.350271455524798</v>
        <stp/>
        <stp>EM_S_VAL_PETTMDEDUCTED</stp>
        <stp>2</stp>
        <stp>002352</stp>
        <stp>12/31/2018</stp>
        <tr r="M1475" s="1"/>
      </tp>
      <tp>
        <v>41.907864166233999</v>
        <stp/>
        <stp>EM_S_VAL_PETTMDEDUCTED</stp>
        <stp>2</stp>
        <stp>002353</stp>
        <stp>12/31/2018</stp>
        <tr r="M89" s="1"/>
      </tp>
      <tp>
        <v>25.092259997131102</v>
        <stp/>
        <stp>EM_S_VAL_PETTMDEDUCTED</stp>
        <stp>2</stp>
        <stp>002350</stp>
        <stp>12/31/2018</stp>
        <tr r="M2684" s="1"/>
      </tp>
      <tp>
        <v>93.072896735017395</v>
        <stp/>
        <stp>EM_S_VAL_PETTMDEDUCTED</stp>
        <stp>2</stp>
        <stp>002351</stp>
        <stp>12/31/2018</stp>
        <tr r="M22" s="1"/>
      </tp>
      <tp>
        <v>55.852066994344703</v>
        <stp/>
        <stp>EM_S_VAL_PETTMDEDUCTED</stp>
        <stp>2</stp>
        <stp>002348</stp>
        <stp>12/31/2018</stp>
        <tr r="M2047" s="1"/>
      </tp>
      <tp>
        <v>28.621359091620999</v>
        <stp/>
        <stp>EM_S_VAL_PETTMDEDUCTED</stp>
        <stp>2</stp>
        <stp>002349</stp>
        <stp>12/31/2018</stp>
        <tr r="M3126" s="1"/>
      </tp>
      <tp>
        <v>49.353012498499901</v>
        <stp/>
        <stp>EM_S_VAL_PETTMDEDUCTED</stp>
        <stp>2</stp>
        <stp>002346</stp>
        <stp>12/31/2018</stp>
        <tr r="M2763" s="1"/>
      </tp>
      <tp>
        <v>-10.7263759311651</v>
        <stp/>
        <stp>EM_S_VAL_PETTMDEDUCTED</stp>
        <stp>2</stp>
        <stp>002347</stp>
        <stp>12/31/2018</stp>
        <tr r="M1192" s="1"/>
      </tp>
      <tp>
        <v>20.123616018674898</v>
        <stp/>
        <stp>EM_S_VAL_PETTMDEDUCTED</stp>
        <stp>2</stp>
        <stp>002344</stp>
        <stp>12/31/2018</stp>
        <tr r="M2491" s="1"/>
      </tp>
      <tp>
        <v>16.285973113489</v>
        <stp/>
        <stp>EM_S_VAL_PETTMDEDUCTED</stp>
        <stp>2</stp>
        <stp>002345</stp>
        <stp>12/31/2018</stp>
        <tr r="M2799" s="1"/>
      </tp>
      <tp>
        <v>-72.480327579767405</v>
        <stp/>
        <stp>EM_S_VAL_PETTMDEDUCTED</stp>
        <stp>2</stp>
        <stp>002342</stp>
        <stp>12/31/2018</stp>
        <tr r="M2594" s="1"/>
      </tp>
      <tp>
        <v>8.6009510670949307</v>
        <stp/>
        <stp>EM_S_VAL_PETTMDEDUCTED</stp>
        <stp>2</stp>
        <stp>002343</stp>
        <stp>12/31/2018</stp>
        <tr r="M1031" s="1"/>
      </tp>
      <tp>
        <v>21.391632561130098</v>
        <stp/>
        <stp>EM_S_VAL_PETTMDEDUCTED</stp>
        <stp>2</stp>
        <stp>002340</stp>
        <stp>12/31/2018</stp>
        <tr r="M1005" s="1"/>
      </tp>
      <tp>
        <v>44.862358318881398</v>
        <stp/>
        <stp>EM_S_VAL_PETTMDEDUCTED</stp>
        <stp>2</stp>
        <stp>002341</stp>
        <stp>12/31/2018</stp>
        <tr r="M3376" s="1"/>
      </tp>
      <tp>
        <v>193.26527253560599</v>
        <stp/>
        <stp>EM_S_VAL_PETTMDEDUCTED</stp>
        <stp>2</stp>
        <stp>002378</stp>
        <stp>12/31/2018</stp>
        <tr r="M1552" s="1"/>
      </tp>
      <tp>
        <v>224.17351990744399</v>
        <stp/>
        <stp>EM_S_VAL_PETTMDEDUCTED</stp>
        <stp>2</stp>
        <stp>002379</stp>
        <stp>12/31/2018</stp>
        <tr r="M881" s="1"/>
      </tp>
      <tp>
        <v>30.0375165210517</v>
        <stp/>
        <stp>EM_S_VAL_PETTMDEDUCTED</stp>
        <stp>2</stp>
        <stp>002376</stp>
        <stp>12/31/2018</stp>
        <tr r="M3097" s="1"/>
      </tp>
      <tp>
        <v>17.167966152457101</v>
        <stp/>
        <stp>EM_S_VAL_PETTMDEDUCTED</stp>
        <stp>2</stp>
        <stp>002377</stp>
        <stp>12/31/2018</stp>
        <tr r="M2493" s="1"/>
      </tp>
      <tp>
        <v>554.979401026191</v>
        <stp/>
        <stp>EM_S_VAL_PETTMDEDUCTED</stp>
        <stp>2</stp>
        <stp>002374</stp>
        <stp>12/31/2018</stp>
        <tr r="M2545" s="1"/>
      </tp>
      <tp>
        <v>25.450746813603999</v>
        <stp/>
        <stp>EM_S_VAL_PETTMDEDUCTED</stp>
        <stp>2</stp>
        <stp>002375</stp>
        <stp>12/31/2018</stp>
        <tr r="M1491" s="1"/>
      </tp>
      <tp>
        <v>22.822405854986201</v>
        <stp/>
        <stp>EM_S_VAL_PETTMDEDUCTED</stp>
        <stp>2</stp>
        <stp>002372</stp>
        <stp>12/31/2018</stp>
        <tr r="M2991" s="1"/>
      </tp>
      <tp>
        <v>34.914545783300397</v>
        <stp/>
        <stp>EM_S_VAL_PETTMDEDUCTED</stp>
        <stp>2</stp>
        <stp>002373</stp>
        <stp>12/31/2018</stp>
        <tr r="M379" s="1"/>
      </tp>
      <tp>
        <v>42.522055222541198</v>
        <stp/>
        <stp>EM_S_VAL_PETTMDEDUCTED</stp>
        <stp>2</stp>
        <stp>002370</stp>
        <stp>12/31/2018</stp>
        <tr r="M3395" s="1"/>
      </tp>
      <tp>
        <v>234.43336158213501</v>
        <stp/>
        <stp>EM_S_VAL_PETTMDEDUCTED</stp>
        <stp>2</stp>
        <stp>002371</stp>
        <stp>12/31/2018</stp>
        <tr r="M103" s="1"/>
      </tp>
      <tp>
        <v>35.388695753651902</v>
        <stp/>
        <stp>EM_S_VAL_PETTMDEDUCTED</stp>
        <stp>2</stp>
        <stp>002368</stp>
        <stp>12/31/2018</stp>
        <tr r="M315" s="1"/>
      </tp>
      <tp>
        <v>180.52799408591099</v>
        <stp/>
        <stp>EM_S_VAL_PETTMDEDUCTED</stp>
        <stp>2</stp>
        <stp>002369</stp>
        <stp>12/31/2018</stp>
        <tr r="M1109" s="1"/>
      </tp>
      <tp>
        <v>12.541760012448499</v>
        <stp/>
        <stp>EM_S_VAL_PETTMDEDUCTED</stp>
        <stp>2</stp>
        <stp>002366</stp>
        <stp>12/31/2018</stp>
        <tr r="M3168" s="1"/>
      </tp>
      <tp>
        <v>125.602503246284</v>
        <stp/>
        <stp>EM_S_VAL_PETTMDEDUCTED</stp>
        <stp>2</stp>
        <stp>002367</stp>
        <stp>12/31/2018</stp>
        <tr r="M773" s="1"/>
      </tp>
      <tp>
        <v>170.66716889200001</v>
        <stp/>
        <stp>EM_S_VAL_PETTMDEDUCTED</stp>
        <stp>2</stp>
        <stp>002364</stp>
        <stp>12/31/2018</stp>
        <tr r="M2413" s="1"/>
      </tp>
      <tp>
        <v>18.855880082131701</v>
        <stp/>
        <stp>EM_S_VAL_PETTMDEDUCTED</stp>
        <stp>2</stp>
        <stp>002365</stp>
        <stp>12/31/2018</stp>
        <tr r="M2692" s="1"/>
      </tp>
      <tp>
        <v>86.877797336580898</v>
        <stp/>
        <stp>EM_S_VAL_PETTMDEDUCTED</stp>
        <stp>2</stp>
        <stp>002362</stp>
        <stp>12/31/2018</stp>
        <tr r="M1277" s="1"/>
      </tp>
      <tp>
        <v>29.640192595380299</v>
        <stp/>
        <stp>EM_S_VAL_PETTMDEDUCTED</stp>
        <stp>2</stp>
        <stp>002363</stp>
        <stp>12/31/2018</stp>
        <tr r="M1055" s="1"/>
      </tp>
      <tp>
        <v>14.8562608737566</v>
        <stp/>
        <stp>EM_S_VAL_PETTMDEDUCTED</stp>
        <stp>2</stp>
        <stp>002360</stp>
        <stp>12/31/2018</stp>
        <tr r="M2452" s="1"/>
      </tp>
      <tp>
        <v>31.416298366160099</v>
        <stp/>
        <stp>EM_S_VAL_PETTMDEDUCTED</stp>
        <stp>2</stp>
        <stp>002361</stp>
        <stp>12/31/2018</stp>
        <tr r="M1315" s="1"/>
      </tp>
      <tp>
        <v>37.020916414816803</v>
        <stp/>
        <stp>EM_S_VAL_PETTMDEDUCTED</stp>
        <stp>2</stp>
        <stp>002098</stp>
        <stp>12/31/2018</stp>
        <tr r="M3633" s="1"/>
      </tp>
      <tp>
        <v>14.375052385226899</v>
        <stp/>
        <stp>EM_S_VAL_PETTMDEDUCTED</stp>
        <stp>2</stp>
        <stp>002099</stp>
        <stp>12/31/2018</stp>
        <tr r="M498" s="1"/>
      </tp>
      <tp>
        <v>-1589.57394390268</v>
        <stp/>
        <stp>EM_S_VAL_PETTMDEDUCTED</stp>
        <stp>2</stp>
        <stp>002096</stp>
        <stp>12/31/2018</stp>
        <tr r="M3632" s="1"/>
      </tp>
      <tp>
        <v>14.9576259718266</v>
        <stp/>
        <stp>EM_S_VAL_PETTMDEDUCTED</stp>
        <stp>2</stp>
        <stp>002097</stp>
        <stp>12/31/2018</stp>
        <tr r="M1946" s="1"/>
      </tp>
      <tp>
        <v>17.5618694389191</v>
        <stp/>
        <stp>EM_S_VAL_PETTMDEDUCTED</stp>
        <stp>2</stp>
        <stp>002094</stp>
        <stp>12/31/2018</stp>
        <tr r="M2354" s="1"/>
      </tp>
      <tp>
        <v>171.32403616641099</v>
        <stp/>
        <stp>EM_S_VAL_PETTMDEDUCTED</stp>
        <stp>2</stp>
        <stp>002095</stp>
        <stp>12/31/2018</stp>
        <tr r="M1584" s="1"/>
      </tp>
      <tp>
        <v>6.7268867023563699</v>
        <stp/>
        <stp>EM_S_VAL_PETTMDEDUCTED</stp>
        <stp>2</stp>
        <stp>002092</stp>
        <stp>12/31/2018</stp>
        <tr r="M2499" s="1"/>
      </tp>
      <tp>
        <v>52.248541942055297</v>
        <stp/>
        <stp>EM_S_VAL_PETTMDEDUCTED</stp>
        <stp>2</stp>
        <stp>002093</stp>
        <stp>12/31/2018</stp>
        <tr r="M3631" s="1"/>
      </tp>
      <tp>
        <v>47.422740346957802</v>
        <stp/>
        <stp>EM_S_VAL_PETTMDEDUCTED</stp>
        <stp>2</stp>
        <stp>002090</stp>
        <stp>12/31/2018</stp>
        <tr r="M3281" s="1"/>
      </tp>
      <tp>
        <v>12.9633640702409</v>
        <stp/>
        <stp>EM_S_VAL_PETTMDEDUCTED</stp>
        <stp>2</stp>
        <stp>002091</stp>
        <stp>12/31/2018</stp>
        <tr r="M1200" s="1"/>
      </tp>
      <tp>
        <v>10.143292222444501</v>
        <stp/>
        <stp>EM_S_VAL_PETTMDEDUCTED</stp>
        <stp>2</stp>
        <stp>002088</stp>
        <stp>12/31/2018</stp>
        <tr r="M1065" s="1"/>
      </tp>
      <tp>
        <v>-17.3327115987335</v>
        <stp/>
        <stp>EM_S_VAL_PETTMDEDUCTED</stp>
        <stp>2</stp>
        <stp>002089</stp>
        <stp>12/31/2018</stp>
        <tr r="M3630" s="1"/>
      </tp>
      <tp>
        <v>54.982728840661203</v>
        <stp/>
        <stp>EM_S_VAL_PETTMDEDUCTED</stp>
        <stp>2</stp>
        <stp>002086</stp>
        <stp>12/31/2018</stp>
        <tr r="M3629" s="1"/>
      </tp>
      <tp>
        <v>8.46201271489997</v>
        <stp/>
        <stp>EM_S_VAL_PETTMDEDUCTED</stp>
        <stp>2</stp>
        <stp>002087</stp>
        <stp>12/31/2018</stp>
        <tr r="M2227" s="1"/>
      </tp>
      <tp>
        <v>54.122667452342597</v>
        <stp/>
        <stp>EM_S_VAL_PETTMDEDUCTED</stp>
        <stp>2</stp>
        <stp>002084</stp>
        <stp>12/31/2018</stp>
        <tr r="M346" s="1"/>
      </tp>
      <tp>
        <v>19.302286592152601</v>
        <stp/>
        <stp>EM_S_VAL_PETTMDEDUCTED</stp>
        <stp>2</stp>
        <stp>002085</stp>
        <stp>12/31/2018</stp>
        <tr r="M2749" s="1"/>
      </tp>
      <tp>
        <v>29.7445603073547</v>
        <stp/>
        <stp>EM_S_VAL_PETTMDEDUCTED</stp>
        <stp>2</stp>
        <stp>002082</stp>
        <stp>12/31/2018</stp>
        <tr r="M3628" s="1"/>
      </tp>
      <tp>
        <v>13.884629041807701</v>
        <stp/>
        <stp>EM_S_VAL_PETTMDEDUCTED</stp>
        <stp>2</stp>
        <stp>002083</stp>
        <stp>12/31/2018</stp>
        <tr r="M1111" s="1"/>
      </tp>
      <tp>
        <v>12.7071819518506</v>
        <stp/>
        <stp>EM_S_VAL_PETTMDEDUCTED</stp>
        <stp>2</stp>
        <stp>002080</stp>
        <stp>12/31/2018</stp>
        <tr r="M599" s="1"/>
      </tp>
      <tp>
        <v>10.560152539178301</v>
        <stp/>
        <stp>EM_S_VAL_PETTMDEDUCTED</stp>
        <stp>2</stp>
        <stp>002081</stp>
        <stp>12/31/2018</stp>
        <tr r="M1856" s="1"/>
      </tp>
      <tp>
        <v>-2.32700240069398</v>
        <stp/>
        <stp>EM_S_VAL_PETTMDEDUCTED</stp>
        <stp>2</stp>
        <stp>002018</stp>
        <stp>12/31/2018</stp>
        <tr r="M3608" s="1"/>
      </tp>
      <tp>
        <v>11.732790657168801</v>
        <stp/>
        <stp>EM_S_VAL_PETTMDEDUCTED</stp>
        <stp>2</stp>
        <stp>002019</stp>
        <stp>12/31/2018</stp>
        <tr r="M581" s="1"/>
      </tp>
      <tp>
        <v>7.1959006537632204</v>
        <stp/>
        <stp>EM_S_VAL_PETTMDEDUCTED</stp>
        <stp>2</stp>
        <stp>002016</stp>
        <stp>12/31/2018</stp>
        <tr r="M2526" s="1"/>
      </tp>
      <tp>
        <v>100.4727140855</v>
        <stp/>
        <stp>EM_S_VAL_PETTMDEDUCTED</stp>
        <stp>2</stp>
        <stp>002017</stp>
        <stp>12/31/2018</stp>
        <tr r="M3607" s="1"/>
      </tp>
      <tp>
        <v>16.559620504201899</v>
        <stp/>
        <stp>EM_S_VAL_PETTMDEDUCTED</stp>
        <stp>2</stp>
        <stp>002014</stp>
        <stp>12/31/2018</stp>
        <tr r="M643" s="1"/>
      </tp>
      <tp>
        <v>169.77437561602599</v>
        <stp/>
        <stp>EM_S_VAL_PETTMDEDUCTED</stp>
        <stp>2</stp>
        <stp>002015</stp>
        <stp>12/31/2018</stp>
        <tr r="M1673" s="1"/>
      </tp>
      <tp>
        <v>113.21501804645</v>
        <stp/>
        <stp>EM_S_VAL_PETTMDEDUCTED</stp>
        <stp>2</stp>
        <stp>002012</stp>
        <stp>12/31/2018</stp>
        <tr r="M608" s="1"/>
      </tp>
      <tp>
        <v>36.622156787263101</v>
        <stp/>
        <stp>EM_S_VAL_PETTMDEDUCTED</stp>
        <stp>2</stp>
        <stp>002013</stp>
        <stp>12/31/2018</stp>
        <tr r="M1925" s="1"/>
      </tp>
      <tp>
        <v>38.720168983597297</v>
        <stp/>
        <stp>EM_S_VAL_PETTMDEDUCTED</stp>
        <stp>2</stp>
        <stp>002010</stp>
        <stp>12/31/2018</stp>
        <tr r="M1950" s="1"/>
      </tp>
      <tp>
        <v>-120.07994774213</v>
        <stp/>
        <stp>EM_S_VAL_PETTMDEDUCTED</stp>
        <stp>2</stp>
        <stp>002011</stp>
        <stp>12/31/2018</stp>
        <tr r="M3606" s="1"/>
      </tp>
      <tp>
        <v>21.2438959364429</v>
        <stp/>
        <stp>EM_S_VAL_PETTMDEDUCTED</stp>
        <stp>2</stp>
        <stp>002008</stp>
        <stp>12/31/2018</stp>
        <tr r="M3605" s="1"/>
      </tp>
      <tp>
        <v>26.945423010756301</v>
        <stp/>
        <stp>EM_S_VAL_PETTMDEDUCTED</stp>
        <stp>2</stp>
        <stp>002009</stp>
        <stp>12/31/2018</stp>
        <tr r="M2192" s="1"/>
      </tp>
      <tp>
        <v>53.443885976232004</v>
        <stp/>
        <stp>EM_S_VAL_PETTMDEDUCTED</stp>
        <stp>2</stp>
        <stp>002006</stp>
        <stp>12/31/2018</stp>
        <tr r="M2930" s="1"/>
      </tp>
      <tp>
        <v>35.039147010165799</v>
        <stp/>
        <stp>EM_S_VAL_PETTMDEDUCTED</stp>
        <stp>2</stp>
        <stp>002007</stp>
        <stp>12/31/2018</stp>
        <tr r="M2145" s="1"/>
      </tp>
      <tp>
        <v>18.777382331431301</v>
        <stp/>
        <stp>EM_S_VAL_PETTMDEDUCTED</stp>
        <stp>2</stp>
        <stp>002004</stp>
        <stp>12/31/2018</stp>
        <tr r="M1958" s="1"/>
      </tp>
      <tp>
        <v>-4.01079948572698</v>
        <stp/>
        <stp>EM_S_VAL_PETTMDEDUCTED</stp>
        <stp>2</stp>
        <stp>002005</stp>
        <stp>12/31/2018</stp>
        <tr r="M3604" s="1"/>
      </tp>
      <tp>
        <v>9.3293481419615905</v>
        <stp/>
        <stp>EM_S_VAL_PETTMDEDUCTED</stp>
        <stp>2</stp>
        <stp>002002</stp>
        <stp>12/31/2018</stp>
        <tr r="M3603" s="1"/>
      </tp>
      <tp>
        <v>13.886451041758701</v>
        <stp/>
        <stp>EM_S_VAL_PETTMDEDUCTED</stp>
        <stp>2</stp>
        <stp>002003</stp>
        <stp>12/31/2018</stp>
        <tr r="M2851" s="1"/>
      </tp>
      <tp>
        <v>10.049614783728501</v>
        <stp/>
        <stp>EM_S_VAL_PETTMDEDUCTED</stp>
        <stp>2</stp>
        <stp>002001</stp>
        <stp>12/31/2018</stp>
        <tr r="M565" s="1"/>
      </tp>
      <tp>
        <v>30.851128523642</v>
        <stp/>
        <stp>EM_S_VAL_PETTMDEDUCTED</stp>
        <stp>2</stp>
        <stp>002038</stp>
        <stp>12/31/2018</stp>
        <tr r="M3361" s="1"/>
      </tp>
      <tp>
        <v>15.0699193767996</v>
        <stp/>
        <stp>EM_S_VAL_PETTMDEDUCTED</stp>
        <stp>2</stp>
        <stp>002039</stp>
        <stp>12/31/2018</stp>
        <tr r="M3614" s="1"/>
      </tp>
      <tp>
        <v>18.432297755805099</v>
        <stp/>
        <stp>EM_S_VAL_PETTMDEDUCTED</stp>
        <stp>2</stp>
        <stp>002036</stp>
        <stp>12/31/2018</stp>
        <tr r="M3613" s="1"/>
      </tp>
      <tp>
        <v>52.281953153079897</v>
        <stp/>
        <stp>EM_S_VAL_PETTMDEDUCTED</stp>
        <stp>2</stp>
        <stp>002037</stp>
        <stp>12/31/2018</stp>
        <tr r="M2964" s="1"/>
      </tp>
      <tp>
        <v>19.5688532708274</v>
        <stp/>
        <stp>EM_S_VAL_PETTMDEDUCTED</stp>
        <stp>2</stp>
        <stp>002034</stp>
        <stp>12/31/2018</stp>
        <tr r="M3612" s="1"/>
      </tp>
      <tp>
        <v>12.633613107426999</v>
        <stp/>
        <stp>EM_S_VAL_PETTMDEDUCTED</stp>
        <stp>2</stp>
        <stp>002035</stp>
        <stp>12/31/2018</stp>
        <tr r="M527" s="1"/>
      </tp>
      <tp>
        <v>31.150186377274402</v>
        <stp/>
        <stp>EM_S_VAL_PETTMDEDUCTED</stp>
        <stp>2</stp>
        <stp>002032</stp>
        <stp>12/31/2018</stp>
        <tr r="M638" s="1"/>
      </tp>
      <tp>
        <v>14.207171043472499</v>
        <stp/>
        <stp>EM_S_VAL_PETTMDEDUCTED</stp>
        <stp>2</stp>
        <stp>002033</stp>
        <stp>12/31/2018</stp>
        <tr r="M3611" s="1"/>
      </tp>
      <tp>
        <v>134.78122930469999</v>
        <stp/>
        <stp>EM_S_VAL_PETTMDEDUCTED</stp>
        <stp>2</stp>
        <stp>002030</stp>
        <stp>12/31/2018</stp>
        <tr r="M3610" s="1"/>
      </tp>
      <tp>
        <v>189.84467123459601</v>
        <stp/>
        <stp>EM_S_VAL_PETTMDEDUCTED</stp>
        <stp>2</stp>
        <stp>002031</stp>
        <stp>12/31/2018</stp>
        <tr r="M1994" s="1"/>
      </tp>
      <tp>
        <v>33.130454134490698</v>
        <stp/>
        <stp>EM_S_VAL_PETTMDEDUCTED</stp>
        <stp>2</stp>
        <stp>002028</stp>
        <stp>12/31/2018</stp>
        <tr r="M743" s="1"/>
      </tp>
      <tp>
        <v>27.584697821072002</v>
        <stp/>
        <stp>EM_S_VAL_PETTMDEDUCTED</stp>
        <stp>2</stp>
        <stp>002029</stp>
        <stp>12/31/2018</stp>
        <tr r="M2562" s="1"/>
      </tp>
      <tp>
        <v>15.3912681190684</v>
        <stp/>
        <stp>EM_S_VAL_PETTMDEDUCTED</stp>
        <stp>2</stp>
        <stp>002026</stp>
        <stp>12/31/2018</stp>
        <tr r="M2623" s="1"/>
      </tp>
      <tp>
        <v>13.616477802246299</v>
        <stp/>
        <stp>EM_S_VAL_PETTMDEDUCTED</stp>
        <stp>2</stp>
        <stp>002027</stp>
        <stp>12/31/2018</stp>
        <tr r="M1266" s="1"/>
      </tp>
      <tp>
        <v>-721.12395100772198</v>
        <stp/>
        <stp>EM_S_VAL_PETTMDEDUCTED</stp>
        <stp>2</stp>
        <stp>002024</stp>
        <stp>12/31/2018</stp>
        <tr r="M2136" s="1"/>
      </tp>
      <tp>
        <v>27.473601373093</v>
        <stp/>
        <stp>EM_S_VAL_PETTMDEDUCTED</stp>
        <stp>2</stp>
        <stp>002025</stp>
        <stp>12/31/2018</stp>
        <tr r="M1156" s="1"/>
      </tp>
      <tp>
        <v>21.9200371747168</v>
        <stp/>
        <stp>EM_S_VAL_PETTMDEDUCTED</stp>
        <stp>2</stp>
        <stp>002022</stp>
        <stp>12/31/2018</stp>
        <tr r="M1340" s="1"/>
      </tp>
      <tp>
        <v>-208.22224770393501</v>
        <stp/>
        <stp>EM_S_VAL_PETTMDEDUCTED</stp>
        <stp>2</stp>
        <stp>002023</stp>
        <stp>12/31/2018</stp>
        <tr r="M1575" s="1"/>
      </tp>
      <tp>
        <v>56.888468609319702</v>
        <stp/>
        <stp>EM_S_VAL_PETTMDEDUCTED</stp>
        <stp>2</stp>
        <stp>002020</stp>
        <stp>12/31/2018</stp>
        <tr r="M1187" s="1"/>
      </tp>
      <tp>
        <v>-32.769791713762402</v>
        <stp/>
        <stp>EM_S_VAL_PETTMDEDUCTED</stp>
        <stp>2</stp>
        <stp>002021</stp>
        <stp>12/31/2018</stp>
        <tr r="M3609" s="1"/>
      </tp>
      <tp>
        <v>478.62734652211799</v>
        <stp/>
        <stp>EM_S_VAL_PETTMDEDUCTED</stp>
        <stp>2</stp>
        <stp>002058</stp>
        <stp>12/31/2018</stp>
        <tr r="M306" s="1"/>
      </tp>
      <tp>
        <v>112.845826359969</v>
        <stp/>
        <stp>EM_S_VAL_PETTMDEDUCTED</stp>
        <stp>2</stp>
        <stp>002059</stp>
        <stp>12/31/2018</stp>
        <tr r="M2514" s="1"/>
      </tp>
      <tp>
        <v>15.967729716730499</v>
        <stp/>
        <stp>EM_S_VAL_PETTMDEDUCTED</stp>
        <stp>2</stp>
        <stp>002056</stp>
        <stp>12/31/2018</stp>
        <tr r="M553" s="1"/>
      </tp>
      <tp>
        <v>23.660533404159299</v>
        <stp/>
        <stp>EM_S_VAL_PETTMDEDUCTED</stp>
        <stp>2</stp>
        <stp>002057</stp>
        <stp>12/31/2018</stp>
        <tr r="M460" s="1"/>
      </tp>
      <tp>
        <v>125.392576599451</v>
        <stp/>
        <stp>EM_S_VAL_PETTMDEDUCTED</stp>
        <stp>2</stp>
        <stp>002054</stp>
        <stp>12/31/2018</stp>
        <tr r="M3620" s="1"/>
      </tp>
      <tp>
        <v>43.964773095416099</v>
        <stp/>
        <stp>EM_S_VAL_PETTMDEDUCTED</stp>
        <stp>2</stp>
        <stp>002055</stp>
        <stp>12/31/2018</stp>
        <tr r="M1666" s="1"/>
      </tp>
      <tp>
        <v>-27.242122973071801</v>
        <stp/>
        <stp>EM_S_VAL_PETTMDEDUCTED</stp>
        <stp>2</stp>
        <stp>002052</stp>
        <stp>12/31/2018</stp>
        <tr r="M3618" s="1"/>
      </tp>
      <tp>
        <v>39.0487553765211</v>
        <stp/>
        <stp>EM_S_VAL_PETTMDEDUCTED</stp>
        <stp>2</stp>
        <stp>002053</stp>
        <stp>12/31/2018</stp>
        <tr r="M3619" s="1"/>
      </tp>
      <tp>
        <v>20.966588349036801</v>
        <stp/>
        <stp>EM_S_VAL_PETTMDEDUCTED</stp>
        <stp>2</stp>
        <stp>002050</stp>
        <stp>12/31/2018</stp>
        <tr r="M791" s="1"/>
      </tp>
      <tp>
        <v>7.7524251499566503</v>
        <stp/>
        <stp>EM_S_VAL_PETTMDEDUCTED</stp>
        <stp>2</stp>
        <stp>002051</stp>
        <stp>12/31/2018</stp>
        <tr r="M3617" s="1"/>
      </tp>
      <tp>
        <v>10.7229655657184</v>
        <stp/>
        <stp>EM_S_VAL_PETTMDEDUCTED</stp>
        <stp>2</stp>
        <stp>002048</stp>
        <stp>12/31/2018</stp>
        <tr r="M510" s="1"/>
      </tp>
      <tp>
        <v>87.550137576508305</v>
        <stp/>
        <stp>EM_S_VAL_PETTMDEDUCTED</stp>
        <stp>2</stp>
        <stp>002049</stp>
        <stp>12/31/2018</stp>
        <tr r="M262" s="1"/>
      </tp>
      <tp>
        <v>-43.6663357790638</v>
        <stp/>
        <stp>EM_S_VAL_PETTMDEDUCTED</stp>
        <stp>2</stp>
        <stp>002046</stp>
        <stp>12/31/2018</stp>
        <tr r="M1952" s="1"/>
      </tp>
      <tp>
        <v>26.379319188167202</v>
        <stp/>
        <stp>EM_S_VAL_PETTMDEDUCTED</stp>
        <stp>2</stp>
        <stp>002047</stp>
        <stp>12/31/2018</stp>
        <tr r="M3616" s="1"/>
      </tp>
      <tp>
        <v>66.963400109454199</v>
        <stp/>
        <stp>EM_S_VAL_PETTMDEDUCTED</stp>
        <stp>2</stp>
        <stp>002044</stp>
        <stp>12/31/2018</stp>
        <tr r="M2450" s="1"/>
      </tp>
      <tp>
        <v>-31.708324955915401</v>
        <stp/>
        <stp>EM_S_VAL_PETTMDEDUCTED</stp>
        <stp>2</stp>
        <stp>002045</stp>
        <stp>12/31/2018</stp>
        <tr r="M63" s="1"/>
      </tp>
      <tp>
        <v>18.274447151476799</v>
        <stp/>
        <stp>EM_S_VAL_PETTMDEDUCTED</stp>
        <stp>2</stp>
        <stp>002042</stp>
        <stp>12/31/2018</stp>
        <tr r="M872" s="1"/>
      </tp>
      <tp>
        <v>14.009176930999599</v>
        <stp/>
        <stp>EM_S_VAL_PETTMDEDUCTED</stp>
        <stp>2</stp>
        <stp>002043</stp>
        <stp>12/31/2018</stp>
        <tr r="M656" s="1"/>
      </tp>
      <tp>
        <v>24.194964026026501</v>
        <stp/>
        <stp>EM_S_VAL_PETTMDEDUCTED</stp>
        <stp>2</stp>
        <stp>002040</stp>
        <stp>12/31/2018</stp>
        <tr r="M2768" s="1"/>
      </tp>
      <tp>
        <v>90.783235638351698</v>
        <stp/>
        <stp>EM_S_VAL_PETTMDEDUCTED</stp>
        <stp>2</stp>
        <stp>002041</stp>
        <stp>12/31/2018</stp>
        <tr r="M3615" s="1"/>
      </tp>
      <tp>
        <v>6.0159805130672996</v>
        <stp/>
        <stp>EM_S_VAL_PETTMDEDUCTED</stp>
        <stp>2</stp>
        <stp>002078</stp>
        <stp>12/31/2018</stp>
        <tr r="M275" s="1"/>
      </tp>
      <tp>
        <v>33.090445517838397</v>
        <stp/>
        <stp>EM_S_VAL_PETTMDEDUCTED</stp>
        <stp>2</stp>
        <stp>002079</stp>
        <stp>12/31/2018</stp>
        <tr r="M84" s="1"/>
      </tp>
      <tp>
        <v>-78.581823624272801</v>
        <stp/>
        <stp>EM_S_VAL_PETTMDEDUCTED</stp>
        <stp>2</stp>
        <stp>002076</stp>
        <stp>12/31/2018</stp>
        <tr r="M3626" s="1"/>
      </tp>
      <tp>
        <v>-17.5473514224125</v>
        <stp/>
        <stp>EM_S_VAL_PETTMDEDUCTED</stp>
        <stp>2</stp>
        <stp>002077</stp>
        <stp>12/31/2018</stp>
        <tr r="M3627" s="1"/>
      </tp>
      <tp>
        <v>31.709841754425899</v>
        <stp/>
        <stp>EM_S_VAL_PETTMDEDUCTED</stp>
        <stp>2</stp>
        <stp>002074</stp>
        <stp>12/31/2018</stp>
        <tr r="M1128" s="1"/>
      </tp>
      <tp>
        <v>14.879028777294099</v>
        <stp/>
        <stp>EM_S_VAL_PETTMDEDUCTED</stp>
        <stp>2</stp>
        <stp>002075</stp>
        <stp>12/31/2018</stp>
        <tr r="M3139" s="1"/>
      </tp>
      <tp>
        <v>-19.133740035588399</v>
        <stp/>
        <stp>EM_S_VAL_PETTMDEDUCTED</stp>
        <stp>2</stp>
        <stp>002072</stp>
        <stp>12/31/2018</stp>
        <tr r="M3624" s="1"/>
      </tp>
      <tp>
        <v>-261.09201013417902</v>
        <stp/>
        <stp>EM_S_VAL_PETTMDEDUCTED</stp>
        <stp>2</stp>
        <stp>002073</stp>
        <stp>12/31/2018</stp>
        <tr r="M3625" s="1"/>
      </tp>
      <tp>
        <v>-6.4058519423331104</v>
        <stp/>
        <stp>EM_S_VAL_PETTMDEDUCTED</stp>
        <stp>2</stp>
        <stp>002070</stp>
        <stp>12/31/2018</stp>
        <tr r="M3622" s="1"/>
      </tp>
      <tp>
        <v>20.8218423019174</v>
        <stp/>
        <stp>EM_S_VAL_PETTMDEDUCTED</stp>
        <stp>2</stp>
        <stp>002071</stp>
        <stp>12/31/2018</stp>
        <tr r="M3623" s="1"/>
      </tp>
      <tp>
        <v>7.1469085601737703</v>
        <stp/>
        <stp>EM_S_VAL_PETTMDEDUCTED</stp>
        <stp>2</stp>
        <stp>002068</stp>
        <stp>12/31/2018</stp>
        <tr r="M3034" s="1"/>
      </tp>
      <tp>
        <v>-13.657820264335999</v>
        <stp/>
        <stp>EM_S_VAL_PETTMDEDUCTED</stp>
        <stp>2</stp>
        <stp>002069</stp>
        <stp>12/31/2018</stp>
        <tr r="M3621" s="1"/>
      </tp>
      <tp>
        <v>-55.136971009879403</v>
        <stp/>
        <stp>EM_S_VAL_PETTMDEDUCTED</stp>
        <stp>2</stp>
        <stp>002066</stp>
        <stp>12/31/2018</stp>
        <tr r="M1696" s="1"/>
      </tp>
      <tp>
        <v>8.4673986213008892</v>
        <stp/>
        <stp>EM_S_VAL_PETTMDEDUCTED</stp>
        <stp>2</stp>
        <stp>002067</stp>
        <stp>12/31/2018</stp>
        <tr r="M2531" s="1"/>
      </tp>
      <tp>
        <v>16.336180720319199</v>
        <stp/>
        <stp>EM_S_VAL_PETTMDEDUCTED</stp>
        <stp>2</stp>
        <stp>002064</stp>
        <stp>12/31/2018</stp>
        <tr r="M557" s="1"/>
      </tp>
      <tp>
        <v>55.942407718200201</v>
        <stp/>
        <stp>EM_S_VAL_PETTMDEDUCTED</stp>
        <stp>2</stp>
        <stp>002065</stp>
        <stp>12/31/2018</stp>
        <tr r="M619" s="1"/>
      </tp>
      <tp>
        <v>14.174642634636699</v>
        <stp/>
        <stp>EM_S_VAL_PETTMDEDUCTED</stp>
        <stp>2</stp>
        <stp>002062</stp>
        <stp>12/31/2018</stp>
        <tr r="M2740" s="1"/>
      </tp>
      <tp>
        <v>28.905282336943699</v>
        <stp/>
        <stp>EM_S_VAL_PETTMDEDUCTED</stp>
        <stp>2</stp>
        <stp>002063</stp>
        <stp>12/31/2018</stp>
        <tr r="M118" s="1"/>
      </tp>
      <tp>
        <v>18.330747623468099</v>
        <stp/>
        <stp>EM_S_VAL_PETTMDEDUCTED</stp>
        <stp>2</stp>
        <stp>002060</stp>
        <stp>12/31/2018</stp>
        <tr r="M1677" s="1"/>
      </tp>
      <tp>
        <v>13.865283056632499</v>
        <stp/>
        <stp>EM_S_VAL_PETTMDEDUCTED</stp>
        <stp>2</stp>
        <stp>002061</stp>
        <stp>12/31/2018</stp>
        <tr r="M3337" s="1"/>
      </tp>
      <tp>
        <v>-12.214897432306</v>
        <stp/>
        <stp>EM_S_VAL_PETTMDEDUCTED</stp>
        <stp>2</stp>
        <stp>002198</stp>
        <stp>12/31/2018</stp>
        <tr r="M2082" s="1"/>
      </tp>
      <tp>
        <v>-113.42761117459899</v>
        <stp/>
        <stp>EM_S_VAL_PETTMDEDUCTED</stp>
        <stp>2</stp>
        <stp>002199</stp>
        <stp>12/31/2018</stp>
        <tr r="M2124" s="1"/>
      </tp>
      <tp>
        <v>50.823581087709101</v>
        <stp/>
        <stp>EM_S_VAL_PETTMDEDUCTED</stp>
        <stp>2</stp>
        <stp>002196</stp>
        <stp>12/31/2018</stp>
        <tr r="M1966" s="1"/>
      </tp>
      <tp>
        <v>209.325119439861</v>
        <stp/>
        <stp>EM_S_VAL_PETTMDEDUCTED</stp>
        <stp>2</stp>
        <stp>002197</stp>
        <stp>12/31/2018</stp>
        <tr r="M1474" s="1"/>
      </tp>
      <tp>
        <v>-16.6682544928378</v>
        <stp/>
        <stp>EM_S_VAL_PETTMDEDUCTED</stp>
        <stp>2</stp>
        <stp>002194</stp>
        <stp>12/31/2018</stp>
        <tr r="M48" s="1"/>
      </tp>
      <tp>
        <v>12.8187621991655</v>
        <stp/>
        <stp>EM_S_VAL_PETTMDEDUCTED</stp>
        <stp>2</stp>
        <stp>002195</stp>
        <stp>12/31/2018</stp>
        <tr r="M2857" s="1"/>
      </tp>
      <tp>
        <v>188.98019793743799</v>
        <stp/>
        <stp>EM_S_VAL_PETTMDEDUCTED</stp>
        <stp>2</stp>
        <stp>002192</stp>
        <stp>12/31/2018</stp>
        <tr r="M988" s="1"/>
      </tp>
      <tp>
        <v>40.624740997428098</v>
        <stp/>
        <stp>EM_S_VAL_PETTMDEDUCTED</stp>
        <stp>2</stp>
        <stp>002193</stp>
        <stp>12/31/2018</stp>
        <tr r="M2773" s="1"/>
      </tp>
      <tp>
        <v>-25.817293231691501</v>
        <stp/>
        <stp>EM_S_VAL_PETTMDEDUCTED</stp>
        <stp>2</stp>
        <stp>002190</stp>
        <stp>12/31/2018</stp>
        <tr r="M842" s="1"/>
      </tp>
      <tp>
        <v>18.032454086470398</v>
        <stp/>
        <stp>EM_S_VAL_PETTMDEDUCTED</stp>
        <stp>2</stp>
        <stp>002191</stp>
        <stp>12/31/2018</stp>
        <tr r="M626" s="1"/>
      </tp>
      <tp>
        <v>-0.59574426302628403</v>
        <stp/>
        <stp>EM_S_VAL_PETTMDEDUCTED</stp>
        <stp>2</stp>
        <stp>002188</stp>
        <stp>12/31/2018</stp>
        <tr r="M2426" s="1"/>
      </tp>
      <tp>
        <v>64.081953470510001</v>
        <stp/>
        <stp>EM_S_VAL_PETTMDEDUCTED</stp>
        <stp>2</stp>
        <stp>002189</stp>
        <stp>12/31/2018</stp>
        <tr r="M409" s="1"/>
      </tp>
      <tp>
        <v>30.494384743400001</v>
        <stp/>
        <stp>EM_S_VAL_PETTMDEDUCTED</stp>
        <stp>2</stp>
        <stp>002186</stp>
        <stp>12/31/2018</stp>
        <tr r="M2772" s="1"/>
      </tp>
      <tp>
        <v>18.539661649424499</v>
        <stp/>
        <stp>EM_S_VAL_PETTMDEDUCTED</stp>
        <stp>2</stp>
        <stp>002187</stp>
        <stp>12/31/2018</stp>
        <tr r="M1956" s="1"/>
      </tp>
      <tp>
        <v>-48.0892508498832</v>
        <stp/>
        <stp>EM_S_VAL_PETTMDEDUCTED</stp>
        <stp>2</stp>
        <stp>002184</stp>
        <stp>12/31/2018</stp>
        <tr r="M1608" s="1"/>
      </tp>
      <tp>
        <v>24.349880826174299</v>
        <stp/>
        <stp>EM_S_VAL_PETTMDEDUCTED</stp>
        <stp>2</stp>
        <stp>002185</stp>
        <stp>12/31/2018</stp>
        <tr r="M243" s="1"/>
      </tp>
      <tp>
        <v>27.902356116708901</v>
        <stp/>
        <stp>EM_S_VAL_PETTMDEDUCTED</stp>
        <stp>2</stp>
        <stp>002182</stp>
        <stp>12/31/2018</stp>
        <tr r="M558" s="1"/>
      </tp>
      <tp>
        <v>22.047745245514701</v>
        <stp/>
        <stp>EM_S_VAL_PETTMDEDUCTED</stp>
        <stp>2</stp>
        <stp>002183</stp>
        <stp>12/31/2018</stp>
        <tr r="M2949" s="1"/>
      </tp>
      <tp>
        <v>85.152763471361993</v>
        <stp/>
        <stp>EM_S_VAL_PETTMDEDUCTED</stp>
        <stp>2</stp>
        <stp>002180</stp>
        <stp>12/31/2018</stp>
        <tr r="M700" s="1"/>
      </tp>
      <tp>
        <v>45.6875640333744</v>
        <stp/>
        <stp>EM_S_VAL_PETTMDEDUCTED</stp>
        <stp>2</stp>
        <stp>002181</stp>
        <stp>12/31/2018</stp>
        <tr r="M406" s="1"/>
      </tp>
      <tp>
        <v>10.3136756192556</v>
        <stp/>
        <stp>EM_S_VAL_PETTMDEDUCTED</stp>
        <stp>2</stp>
        <stp>002118</stp>
        <stp>12/31/2018</stp>
        <tr r="M754" s="1"/>
      </tp>
      <tp>
        <v>36.2292843986382</v>
        <stp/>
        <stp>EM_S_VAL_PETTMDEDUCTED</stp>
        <stp>2</stp>
        <stp>002119</stp>
        <stp>12/31/2018</stp>
        <tr r="M493" s="1"/>
      </tp>
      <tp>
        <v>20.3280398479125</v>
        <stp/>
        <stp>EM_S_VAL_PETTMDEDUCTED</stp>
        <stp>2</stp>
        <stp>002116</stp>
        <stp>12/31/2018</stp>
        <tr r="M1546" s="1"/>
      </tp>
      <tp>
        <v>21.554837762715302</v>
        <stp/>
        <stp>EM_S_VAL_PETTMDEDUCTED</stp>
        <stp>2</stp>
        <stp>002117</stp>
        <stp>12/31/2018</stp>
        <tr r="M2798" s="1"/>
      </tp>
      <tp>
        <v>-17.762381155457302</v>
        <stp/>
        <stp>EM_S_VAL_PETTMDEDUCTED</stp>
        <stp>2</stp>
        <stp>002114</stp>
        <stp>12/31/2018</stp>
        <tr r="M3638" s="1"/>
      </tp>
      <tp>
        <v>49.0027879982824</v>
        <stp/>
        <stp>EM_S_VAL_PETTMDEDUCTED</stp>
        <stp>2</stp>
        <stp>002115</stp>
        <stp>12/31/2018</stp>
        <tr r="M2756" s="1"/>
      </tp>
      <tp>
        <v>-10.283331037355</v>
        <stp/>
        <stp>EM_S_VAL_PETTMDEDUCTED</stp>
        <stp>2</stp>
        <stp>002112</stp>
        <stp>12/31/2018</stp>
        <tr r="M2156" s="1"/>
      </tp>
      <tp>
        <v>-17.964212385907501</v>
        <stp/>
        <stp>EM_S_VAL_PETTMDEDUCTED</stp>
        <stp>2</stp>
        <stp>002113</stp>
        <stp>12/31/2018</stp>
        <tr r="M3352" s="1"/>
      </tp>
      <tp>
        <v>3.5293519060127898</v>
        <stp/>
        <stp>EM_S_VAL_PETTMDEDUCTED</stp>
        <stp>2</stp>
        <stp>002110</stp>
        <stp>12/31/2018</stp>
        <tr r="M3202" s="1"/>
      </tp>
      <tp>
        <v>33.595585431034699</v>
        <stp/>
        <stp>EM_S_VAL_PETTMDEDUCTED</stp>
        <stp>2</stp>
        <stp>002111</stp>
        <stp>12/31/2018</stp>
        <tr r="M421" s="1"/>
      </tp>
      <tp>
        <v>22.506398073701799</v>
        <stp/>
        <stp>EM_S_VAL_PETTMDEDUCTED</stp>
        <stp>2</stp>
        <stp>002108</stp>
        <stp>12/31/2018</stp>
        <tr r="M3637" s="1"/>
      </tp>
      <tp>
        <v>16.416902323079999</v>
        <stp/>
        <stp>EM_S_VAL_PETTMDEDUCTED</stp>
        <stp>2</stp>
        <stp>002109</stp>
        <stp>12/31/2018</stp>
        <tr r="M2560" s="1"/>
      </tp>
      <tp>
        <v>22.8722729071693</v>
        <stp/>
        <stp>EM_S_VAL_PETTMDEDUCTED</stp>
        <stp>2</stp>
        <stp>002106</stp>
        <stp>12/31/2018</stp>
        <tr r="M474" s="1"/>
      </tp>
      <tp>
        <v>58.282422591179802</v>
        <stp/>
        <stp>EM_S_VAL_PETTMDEDUCTED</stp>
        <stp>2</stp>
        <stp>002107</stp>
        <stp>12/31/2018</stp>
        <tr r="M1136" s="1"/>
      </tp>
      <tp>
        <v>45.856358092515002</v>
        <stp/>
        <stp>EM_S_VAL_PETTMDEDUCTED</stp>
        <stp>2</stp>
        <stp>002104</stp>
        <stp>12/31/2018</stp>
        <tr r="M962" s="1"/>
      </tp>
      <tp>
        <v>-896.46311581748296</v>
        <stp/>
        <stp>EM_S_VAL_PETTMDEDUCTED</stp>
        <stp>2</stp>
        <stp>002105</stp>
        <stp>12/31/2018</stp>
        <tr r="M3636" s="1"/>
      </tp>
      <tp>
        <v>9.1422344237944806</v>
        <stp/>
        <stp>EM_S_VAL_PETTMDEDUCTED</stp>
        <stp>2</stp>
        <stp>002102</stp>
        <stp>12/31/2018</stp>
        <tr r="M3634" s="1"/>
      </tp>
      <tp>
        <v>-46.735766483699699</v>
        <stp/>
        <stp>EM_S_VAL_PETTMDEDUCTED</stp>
        <stp>2</stp>
        <stp>002103</stp>
        <stp>12/31/2018</stp>
        <tr r="M3635" s="1"/>
      </tp>
      <tp>
        <v>12.166888843162599</v>
        <stp/>
        <stp>EM_S_VAL_PETTMDEDUCTED</stp>
        <stp>2</stp>
        <stp>002100</stp>
        <stp>12/31/2018</stp>
        <tr r="M54" s="1"/>
      </tp>
      <tp>
        <v>14.207815671176901</v>
        <stp/>
        <stp>EM_S_VAL_PETTMDEDUCTED</stp>
        <stp>2</stp>
        <stp>002101</stp>
        <stp>12/31/2018</stp>
        <tr r="M2834" s="1"/>
      </tp>
      <tp>
        <v>31.524082441282498</v>
        <stp/>
        <stp>EM_S_VAL_PETTMDEDUCTED</stp>
        <stp>2</stp>
        <stp>002138</stp>
        <stp>12/31/2018</stp>
        <tr r="M329" s="1"/>
      </tp>
      <tp>
        <v>17.7445152382403</v>
        <stp/>
        <stp>EM_S_VAL_PETTMDEDUCTED</stp>
        <stp>2</stp>
        <stp>002139</stp>
        <stp>12/31/2018</stp>
        <tr r="M684" s="1"/>
      </tp>
      <tp>
        <v>17.233075930961999</v>
        <stp/>
        <stp>EM_S_VAL_PETTMDEDUCTED</stp>
        <stp>2</stp>
        <stp>002136</stp>
        <stp>12/31/2018</stp>
        <tr r="M2611" s="1"/>
      </tp>
      <tp>
        <v>134.97151360346501</v>
        <stp/>
        <stp>EM_S_VAL_PETTMDEDUCTED</stp>
        <stp>2</stp>
        <stp>002137</stp>
        <stp>12/31/2018</stp>
        <tr r="M1770" s="1"/>
      </tp>
      <tp>
        <v>-67.449288740449106</v>
        <stp/>
        <stp>EM_S_VAL_PETTMDEDUCTED</stp>
        <stp>2</stp>
        <stp>002134</stp>
        <stp>12/31/2018</stp>
        <tr r="M424" s="1"/>
      </tp>
      <tp>
        <v>32.577052098147703</v>
        <stp/>
        <stp>EM_S_VAL_PETTMDEDUCTED</stp>
        <stp>2</stp>
        <stp>002135</stp>
        <stp>12/31/2018</stp>
        <tr r="M1756" s="1"/>
      </tp>
      <tp>
        <v>-36.639257385160299</v>
        <stp/>
        <stp>EM_S_VAL_PETTMDEDUCTED</stp>
        <stp>2</stp>
        <stp>002132</stp>
        <stp>12/31/2018</stp>
        <tr r="M1461" s="1"/>
      </tp>
      <tp>
        <v>7.1197658745973902</v>
        <stp/>
        <stp>EM_S_VAL_PETTMDEDUCTED</stp>
        <stp>2</stp>
        <stp>002133</stp>
        <stp>12/31/2018</stp>
        <tr r="M2546" s="1"/>
      </tp>
      <tp>
        <v>37.594617799682297</v>
        <stp/>
        <stp>EM_S_VAL_PETTMDEDUCTED</stp>
        <stp>2</stp>
        <stp>002130</stp>
        <stp>12/31/2018</stp>
        <tr r="M517" s="1"/>
      </tp>
      <tp>
        <v>121.162872014681</v>
        <stp/>
        <stp>EM_S_VAL_PETTMDEDUCTED</stp>
        <stp>2</stp>
        <stp>002131</stp>
        <stp>12/31/2018</stp>
        <tr r="M178" s="1"/>
      </tp>
      <tp>
        <v>5.8123474330152796</v>
        <stp/>
        <stp>EM_S_VAL_PETTMDEDUCTED</stp>
        <stp>2</stp>
        <stp>002128</stp>
        <stp>12/31/2018</stp>
        <tr r="M1209" s="1"/>
      </tp>
      <tp>
        <v>55.310042046883098</v>
        <stp/>
        <stp>EM_S_VAL_PETTMDEDUCTED</stp>
        <stp>2</stp>
        <stp>002129</stp>
        <stp>12/31/2018</stp>
        <tr r="M384" s="1"/>
      </tp>
      <tp>
        <v>18.3738200931286</v>
        <stp/>
        <stp>EM_S_VAL_PETTMDEDUCTED</stp>
        <stp>2</stp>
        <stp>002126</stp>
        <stp>12/31/2018</stp>
        <tr r="M1836" s="1"/>
      </tp>
      <tp>
        <v>26.251479149717699</v>
        <stp/>
        <stp>EM_S_VAL_PETTMDEDUCTED</stp>
        <stp>2</stp>
        <stp>002127</stp>
        <stp>12/31/2018</stp>
        <tr r="M645" s="1"/>
      </tp>
      <tp>
        <v>411.72231862733702</v>
        <stp/>
        <stp>EM_S_VAL_PETTMDEDUCTED</stp>
        <stp>2</stp>
        <stp>002124</stp>
        <stp>12/31/2018</stp>
        <tr r="M3641" s="1"/>
      </tp>
      <tp>
        <v>34.693422505884399</v>
        <stp/>
        <stp>EM_S_VAL_PETTMDEDUCTED</stp>
        <stp>2</stp>
        <stp>002125</stp>
        <stp>12/31/2018</stp>
        <tr r="M3120" s="1"/>
      </tp>
      <tp>
        <v>-3.4974198577726399</v>
        <stp/>
        <stp>EM_S_VAL_PETTMDEDUCTED</stp>
        <stp>2</stp>
        <stp>002122</stp>
        <stp>12/31/2018</stp>
        <tr r="M3640" s="1"/>
      </tp>
      <tp>
        <v>55.2763602585391</v>
        <stp/>
        <stp>EM_S_VAL_PETTMDEDUCTED</stp>
        <stp>2</stp>
        <stp>002123</stp>
        <stp>12/31/2018</stp>
        <tr r="M78" s="1"/>
      </tp>
      <tp>
        <v>28.631618837883799</v>
        <stp/>
        <stp>EM_S_VAL_PETTMDEDUCTED</stp>
        <stp>2</stp>
        <stp>002120</stp>
        <stp>12/31/2018</stp>
        <tr r="M1786" s="1"/>
      </tp>
      <tp>
        <v>-29.224265108145399</v>
        <stp/>
        <stp>EM_S_VAL_PETTMDEDUCTED</stp>
        <stp>2</stp>
        <stp>002121</stp>
        <stp>12/31/2018</stp>
        <tr r="M3639" s="1"/>
      </tp>
      <tp>
        <v>21.8101813269483</v>
        <stp/>
        <stp>EM_S_VAL_PETTMDEDUCTED</stp>
        <stp>2</stp>
        <stp>002158</stp>
        <stp>12/31/2018</stp>
        <tr r="M1124" s="1"/>
      </tp>
      <tp>
        <v>570.12570486040102</v>
        <stp/>
        <stp>EM_S_VAL_PETTMDEDUCTED</stp>
        <stp>2</stp>
        <stp>002159</stp>
        <stp>12/31/2018</stp>
        <tr r="M3212" s="1"/>
      </tp>
      <tp>
        <v>107.887973487446</v>
        <stp/>
        <stp>EM_S_VAL_PETTMDEDUCTED</stp>
        <stp>2</stp>
        <stp>002156</stp>
        <stp>12/31/2018</stp>
        <tr r="M102" s="1"/>
      </tp>
      <tp>
        <v>68.313396305476601</v>
        <stp/>
        <stp>EM_S_VAL_PETTMDEDUCTED</stp>
        <stp>2</stp>
        <stp>002157</stp>
        <stp>12/31/2018</stp>
        <tr r="M45" s="1"/>
      </tp>
      <tp>
        <v>49.251216555516201</v>
        <stp/>
        <stp>EM_S_VAL_PETTMDEDUCTED</stp>
        <stp>2</stp>
        <stp>002154</stp>
        <stp>12/31/2018</stp>
        <tr r="M1861" s="1"/>
      </tp>
      <tp>
        <v>41.395775842217603</v>
        <stp/>
        <stp>EM_S_VAL_PETTMDEDUCTED</stp>
        <stp>2</stp>
        <stp>002155</stp>
        <stp>12/31/2018</stp>
        <tr r="M2369" s="1"/>
      </tp>
      <tp>
        <v>23.494219020117502</v>
        <stp/>
        <stp>EM_S_VAL_PETTMDEDUCTED</stp>
        <stp>2</stp>
        <stp>002152</stp>
        <stp>12/31/2018</stp>
        <tr r="M279" s="1"/>
      </tp>
      <tp>
        <v>66.503165788163201</v>
        <stp/>
        <stp>EM_S_VAL_PETTMDEDUCTED</stp>
        <stp>2</stp>
        <stp>002153</stp>
        <stp>12/31/2018</stp>
        <tr r="M541" s="1"/>
      </tp>
      <tp>
        <v>17.256294865617999</v>
        <stp/>
        <stp>EM_S_VAL_PETTMDEDUCTED</stp>
        <stp>2</stp>
        <stp>002150</stp>
        <stp>12/31/2018</stp>
        <tr r="M1664" s="1"/>
      </tp>
      <tp>
        <v>3334.9894809683601</v>
        <stp/>
        <stp>EM_S_VAL_PETTMDEDUCTED</stp>
        <stp>2</stp>
        <stp>002151</stp>
        <stp>12/31/2018</stp>
        <tr r="M1237" s="1"/>
      </tp>
      <tp>
        <v>99.619933957369199</v>
        <stp/>
        <stp>EM_S_VAL_PETTMDEDUCTED</stp>
        <stp>2</stp>
        <stp>002148</stp>
        <stp>12/31/2018</stp>
        <tr r="M2885" s="1"/>
      </tp>
      <tp>
        <v>129.68828659462901</v>
        <stp/>
        <stp>EM_S_VAL_PETTMDEDUCTED</stp>
        <stp>2</stp>
        <stp>002149</stp>
        <stp>12/31/2018</stp>
        <tr r="M618" s="1"/>
      </tp>
      <tp>
        <v>5.3512721587701604</v>
        <stp/>
        <stp>EM_S_VAL_PETTMDEDUCTED</stp>
        <stp>2</stp>
        <stp>002146</stp>
        <stp>12/31/2018</stp>
        <tr r="M1173" s="1"/>
      </tp>
      <tp>
        <v>4.0304508321819004</v>
        <stp/>
        <stp>EM_S_VAL_PETTMDEDUCTED</stp>
        <stp>2</stp>
        <stp>002147</stp>
        <stp>12/31/2018</stp>
        <tr r="M3244" s="1"/>
      </tp>
      <tp>
        <v>19.359267650856602</v>
        <stp/>
        <stp>EM_S_VAL_PETTMDEDUCTED</stp>
        <stp>2</stp>
        <stp>002144</stp>
        <stp>12/31/2018</stp>
        <tr r="M2202" s="1"/>
      </tp>
      <tp>
        <v>12.7220703152495</v>
        <stp/>
        <stp>EM_S_VAL_PETTMDEDUCTED</stp>
        <stp>2</stp>
        <stp>002145</stp>
        <stp>12/31/2018</stp>
        <tr r="M805" s="1"/>
      </tp>
      <tp>
        <v>7.8066949065999198</v>
        <stp/>
        <stp>EM_S_VAL_PETTMDEDUCTED</stp>
        <stp>2</stp>
        <stp>002142</stp>
        <stp>12/31/2018</stp>
        <tr r="M303" s="1"/>
      </tp>
      <tp>
        <v>-16.768503295038499</v>
        <stp/>
        <stp>EM_S_VAL_PETTMDEDUCTED</stp>
        <stp>2</stp>
        <stp>002143</stp>
        <stp>12/31/2018</stp>
        <tr r="M3411" s="1"/>
      </tp>
      <tp>
        <v>-57.9612508597207</v>
        <stp/>
        <stp>EM_S_VAL_PETTMDEDUCTED</stp>
        <stp>2</stp>
        <stp>002140</stp>
        <stp>12/31/2018</stp>
        <tr r="M1194" s="1"/>
      </tp>
      <tp>
        <v>1204.8501688059901</v>
        <stp/>
        <stp>EM_S_VAL_PETTMDEDUCTED</stp>
        <stp>2</stp>
        <stp>002141</stp>
        <stp>12/31/2018</stp>
        <tr r="M2946" s="1"/>
      </tp>
      <tp>
        <v>620.57894917073099</v>
        <stp/>
        <stp>EM_S_VAL_PETTMDEDUCTED</stp>
        <stp>2</stp>
        <stp>002178</stp>
        <stp>12/31/2018</stp>
        <tr r="M1588" s="1"/>
      </tp>
      <tp>
        <v>31.1222263093245</v>
        <stp/>
        <stp>EM_S_VAL_PETTMDEDUCTED</stp>
        <stp>2</stp>
        <stp>002179</stp>
        <stp>12/31/2018</stp>
        <tr r="M1453" s="1"/>
      </tp>
      <tp>
        <v>41.604203079318197</v>
        <stp/>
        <stp>EM_S_VAL_PETTMDEDUCTED</stp>
        <stp>2</stp>
        <stp>002176</stp>
        <stp>12/31/2018</stp>
        <tr r="M3286" s="1"/>
      </tp>
      <tp>
        <v>-91.624468416586097</v>
        <stp/>
        <stp>EM_S_VAL_PETTMDEDUCTED</stp>
        <stp>2</stp>
        <stp>002177</stp>
        <stp>12/31/2018</stp>
        <tr r="M284" s="1"/>
      </tp>
      <tp>
        <v>23.083985220574899</v>
        <stp/>
        <stp>EM_S_VAL_PETTMDEDUCTED</stp>
        <stp>2</stp>
        <stp>002174</stp>
        <stp>12/31/2018</stp>
        <tr r="M1138" s="1"/>
      </tp>
      <tp>
        <v>-6.5730281921460598</v>
        <stp/>
        <stp>EM_S_VAL_PETTMDEDUCTED</stp>
        <stp>2</stp>
        <stp>002175</stp>
        <stp>12/31/2018</stp>
        <tr r="M3335" s="1"/>
      </tp>
      <tp>
        <v>-60.812729059096199</v>
        <stp/>
        <stp>EM_S_VAL_PETTMDEDUCTED</stp>
        <stp>2</stp>
        <stp>002172</stp>
        <stp>12/31/2018</stp>
        <tr r="M2424" s="1"/>
      </tp>
      <tp>
        <v>29.7689628656053</v>
        <stp/>
        <stp>EM_S_VAL_PETTMDEDUCTED</stp>
        <stp>2</stp>
        <stp>002173</stp>
        <stp>12/31/2018</stp>
        <tr r="M2881" s="1"/>
      </tp>
      <tp>
        <v>-20.423898668918198</v>
        <stp/>
        <stp>EM_S_VAL_PETTMDEDUCTED</stp>
        <stp>2</stp>
        <stp>002170</stp>
        <stp>12/31/2018</stp>
        <tr r="M1698" s="1"/>
      </tp>
      <tp>
        <v>21.851919587847799</v>
        <stp/>
        <stp>EM_S_VAL_PETTMDEDUCTED</stp>
        <stp>2</stp>
        <stp>002171</stp>
        <stp>12/31/2018</stp>
        <tr r="M435" s="1"/>
      </tp>
      <tp>
        <v>26.048818753076901</v>
        <stp/>
        <stp>EM_S_VAL_PETTMDEDUCTED</stp>
        <stp>2</stp>
        <stp>002168</stp>
        <stp>12/31/2018</stp>
        <tr r="M3021" s="1"/>
      </tp>
      <tp>
        <v>26.0546104615917</v>
        <stp/>
        <stp>EM_S_VAL_PETTMDEDUCTED</stp>
        <stp>2</stp>
        <stp>002169</stp>
        <stp>12/31/2018</stp>
        <tr r="M182" s="1"/>
      </tp>
      <tp>
        <v>36.357217071287202</v>
        <stp/>
        <stp>EM_S_VAL_PETTMDEDUCTED</stp>
        <stp>2</stp>
        <stp>002166</stp>
        <stp>12/31/2018</stp>
        <tr r="M1282" s="1"/>
      </tp>
      <tp>
        <v>-58.059999814603003</v>
        <stp/>
        <stp>EM_S_VAL_PETTMDEDUCTED</stp>
        <stp>2</stp>
        <stp>002167</stp>
        <stp>12/31/2018</stp>
        <tr r="M860" s="1"/>
      </tp>
      <tp>
        <v>-0.60289354677455897</v>
        <stp/>
        <stp>EM_S_VAL_PETTMDEDUCTED</stp>
        <stp>2</stp>
        <stp>002164</stp>
        <stp>12/31/2018</stp>
        <tr r="M733" s="1"/>
      </tp>
      <tp>
        <v>-261.55304002980398</v>
        <stp/>
        <stp>EM_S_VAL_PETTMDEDUCTED</stp>
        <stp>2</stp>
        <stp>002165</stp>
        <stp>12/31/2018</stp>
        <tr r="M1121" s="1"/>
      </tp>
      <tp>
        <v>-286.36891846982701</v>
        <stp/>
        <stp>EM_S_VAL_PETTMDEDUCTED</stp>
        <stp>2</stp>
        <stp>002162</stp>
        <stp>12/31/2018</stp>
        <tr r="M1080" s="1"/>
      </tp>
      <tp>
        <v>-114.349551105071</v>
        <stp/>
        <stp>EM_S_VAL_PETTMDEDUCTED</stp>
        <stp>2</stp>
        <stp>002163</stp>
        <stp>12/31/2018</stp>
        <tr r="M1572" s="1"/>
      </tp>
      <tp>
        <v>33.295293654855499</v>
        <stp/>
        <stp>EM_S_VAL_PETTMDEDUCTED</stp>
        <stp>2</stp>
        <stp>002160</stp>
        <stp>12/31/2018</stp>
        <tr r="M3009" s="1"/>
      </tp>
      <tp>
        <v>-37.9738447541705</v>
        <stp/>
        <stp>EM_S_VAL_PETTMDEDUCTED</stp>
        <stp>2</stp>
        <stp>002161</stp>
        <stp>12/31/2018</stp>
        <tr r="M278" s="1"/>
      </tp>
      <tp>
        <v>39.585678549805003</v>
        <stp/>
        <stp>EM_S_VAL_PETTMDEDUCTED</stp>
        <stp>2</stp>
        <stp>002898</stp>
        <stp>12/31/2018</stp>
        <tr r="M2713" s="1"/>
      </tp>
      <tp>
        <v>30.722206897607101</v>
        <stp/>
        <stp>EM_S_VAL_PETTMDEDUCTED</stp>
        <stp>2</stp>
        <stp>002899</stp>
        <stp>12/31/2018</stp>
        <tr r="M2501" s="1"/>
      </tp>
      <tp>
        <v>40.912730735280903</v>
        <stp/>
        <stp>EM_S_VAL_PETTMDEDUCTED</stp>
        <stp>2</stp>
        <stp>002896</stp>
        <stp>12/31/2018</stp>
        <tr r="M3187" s="1"/>
      </tp>
      <tp>
        <v>46.503289476718003</v>
        <stp/>
        <stp>EM_S_VAL_PETTMDEDUCTED</stp>
        <stp>2</stp>
        <stp>002897</stp>
        <stp>12/31/2018</stp>
        <tr r="M887" s="1"/>
      </tp>
      <tp>
        <v>75.186202933104397</v>
        <stp/>
        <stp>EM_S_VAL_PETTMDEDUCTED</stp>
        <stp>2</stp>
        <stp>002895</stp>
        <stp>12/31/2018</stp>
        <tr r="M2097" s="1"/>
      </tp>
      <tp>
        <v>44.998871470316303</v>
        <stp/>
        <stp>EM_S_VAL_PETTMDEDUCTED</stp>
        <stp>2</stp>
        <stp>002892</stp>
        <stp>12/31/2018</stp>
        <tr r="M1688" s="1"/>
      </tp>
      <tp>
        <v>58.359653358500303</v>
        <stp/>
        <stp>EM_S_VAL_PETTMDEDUCTED</stp>
        <stp>2</stp>
        <stp>002893</stp>
        <stp>12/31/2018</stp>
        <tr r="M3136" s="1"/>
      </tp>
      <tp>
        <v>142.79861808635999</v>
        <stp/>
        <stp>EM_S_VAL_PETTMDEDUCTED</stp>
        <stp>2</stp>
        <stp>002890</stp>
        <stp>12/31/2018</stp>
        <tr r="M756" s="1"/>
      </tp>
      <tp>
        <v>55.791558522223603</v>
        <stp/>
        <stp>EM_S_VAL_PETTMDEDUCTED</stp>
        <stp>2</stp>
        <stp>002891</stp>
        <stp>12/31/2018</stp>
        <tr r="M3025" s="1"/>
      </tp>
      <tp>
        <v>109.16758716551401</v>
        <stp/>
        <stp>EM_S_VAL_PETTMDEDUCTED</stp>
        <stp>2</stp>
        <stp>002888</stp>
        <stp>12/31/2018</stp>
        <tr r="M1442" s="1"/>
      </tp>
      <tp>
        <v>33.526131242814799</v>
        <stp/>
        <stp>EM_S_VAL_PETTMDEDUCTED</stp>
        <stp>2</stp>
        <stp>002889</stp>
        <stp>12/31/2018</stp>
        <tr r="M1842" s="1"/>
      </tp>
      <tp>
        <v>78.008873375027093</v>
        <stp/>
        <stp>EM_S_VAL_PETTMDEDUCTED</stp>
        <stp>2</stp>
        <stp>002886</stp>
        <stp>12/31/2018</stp>
        <tr r="M774" s="1"/>
      </tp>
      <tp>
        <v>20.180307416539598</v>
        <stp/>
        <stp>EM_S_VAL_PETTMDEDUCTED</stp>
        <stp>2</stp>
        <stp>002887</stp>
        <stp>12/31/2018</stp>
        <tr r="M2528" s="1"/>
      </tp>
      <tp>
        <v>14.358917497064301</v>
        <stp/>
        <stp>EM_S_VAL_PETTMDEDUCTED</stp>
        <stp>2</stp>
        <stp>002884</stp>
        <stp>12/31/2018</stp>
        <tr r="M3180" s="1"/>
      </tp>
      <tp>
        <v>43.9214312332278</v>
        <stp/>
        <stp>EM_S_VAL_PETTMDEDUCTED</stp>
        <stp>2</stp>
        <stp>002885</stp>
        <stp>12/31/2018</stp>
        <tr r="M3090" s="1"/>
      </tp>
      <tp>
        <v>17.613419194265699</v>
        <stp/>
        <stp>EM_S_VAL_PETTMDEDUCTED</stp>
        <stp>2</stp>
        <stp>002882</stp>
        <stp>12/31/2018</stp>
        <tr r="M1759" s="1"/>
      </tp>
      <tp>
        <v>34.427919166069799</v>
        <stp/>
        <stp>EM_S_VAL_PETTMDEDUCTED</stp>
        <stp>2</stp>
        <stp>002883</stp>
        <stp>12/31/2018</stp>
        <tr r="M2216" s="1"/>
      </tp>
      <tp>
        <v>30.513594207840001</v>
        <stp/>
        <stp>EM_S_VAL_PETTMDEDUCTED</stp>
        <stp>2</stp>
        <stp>002880</stp>
        <stp>12/31/2018</stp>
        <tr r="M1086" s="1"/>
      </tp>
      <tp>
        <v>66.681009864826294</v>
        <stp/>
        <stp>EM_S_VAL_PETTMDEDUCTED</stp>
        <stp>2</stp>
        <stp>002881</stp>
        <stp>12/31/2018</stp>
        <tr r="M534" s="1"/>
      </tp>
      <tp>
        <v>13.435421501121001</v>
        <stp/>
        <stp>EM_S_VAL_PETTMDEDUCTED</stp>
        <stp>2</stp>
        <stp>002818</stp>
        <stp>12/31/2018</stp>
        <tr r="M3300" s="1"/>
      </tp>
      <tp>
        <v>82.608413854092902</v>
        <stp/>
        <stp>EM_S_VAL_PETTMDEDUCTED</stp>
        <stp>2</stp>
        <stp>002819</stp>
        <stp>12/31/2018</stp>
        <tr r="M1242" s="1"/>
      </tp>
      <tp>
        <v>154.53854186749601</v>
        <stp/>
        <stp>EM_S_VAL_PETTMDEDUCTED</stp>
        <stp>2</stp>
        <stp>002816</stp>
        <stp>12/31/2018</stp>
        <tr r="M652" s="1"/>
      </tp>
      <tp>
        <v>57.9865954062779</v>
        <stp/>
        <stp>EM_S_VAL_PETTMDEDUCTED</stp>
        <stp>2</stp>
        <stp>002817</stp>
        <stp>12/31/2018</stp>
        <tr r="M851" s="1"/>
      </tp>
      <tp>
        <v>23.2364624062409</v>
        <stp/>
        <stp>EM_S_VAL_PETTMDEDUCTED</stp>
        <stp>2</stp>
        <stp>002815</stp>
        <stp>12/31/2018</stp>
        <tr r="M1314" s="1"/>
      </tp>
      <tp>
        <v>113.145407561583</v>
        <stp/>
        <stp>EM_S_VAL_PETTMDEDUCTED</stp>
        <stp>2</stp>
        <stp>002812</stp>
        <stp>12/31/2018</stp>
        <tr r="M2026" s="1"/>
      </tp>
      <tp>
        <v>-102.09702484977799</v>
        <stp/>
        <stp>EM_S_VAL_PETTMDEDUCTED</stp>
        <stp>2</stp>
        <stp>002813</stp>
        <stp>12/31/2018</stp>
        <tr r="M2566" s="1"/>
      </tp>
      <tp>
        <v>32.576143350842699</v>
        <stp/>
        <stp>EM_S_VAL_PETTMDEDUCTED</stp>
        <stp>2</stp>
        <stp>002810</stp>
        <stp>12/31/2018</stp>
        <tr r="M1778" s="1"/>
      </tp>
      <tp>
        <v>29.398030957777198</v>
        <stp/>
        <stp>EM_S_VAL_PETTMDEDUCTED</stp>
        <stp>2</stp>
        <stp>002811</stp>
        <stp>12/31/2018</stp>
        <tr r="M2796" s="1"/>
      </tp>
      <tp>
        <v>74.111796200087397</v>
        <stp/>
        <stp>EM_S_VAL_PETTMDEDUCTED</stp>
        <stp>2</stp>
        <stp>002808</stp>
        <stp>12/31/2018</stp>
        <tr r="M3161" s="1"/>
      </tp>
      <tp>
        <v>24.750330356817798</v>
        <stp/>
        <stp>EM_S_VAL_PETTMDEDUCTED</stp>
        <stp>2</stp>
        <stp>002809</stp>
        <stp>12/31/2018</stp>
        <tr r="M961" s="1"/>
      </tp>
      <tp>
        <v>117.770361065545</v>
        <stp/>
        <stp>EM_S_VAL_PETTMDEDUCTED</stp>
        <stp>2</stp>
        <stp>002806</stp>
        <stp>12/31/2018</stp>
        <tr r="M3132" s="1"/>
      </tp>
      <tp>
        <v>9.7541707488766605</v>
        <stp/>
        <stp>EM_S_VAL_PETTMDEDUCTED</stp>
        <stp>2</stp>
        <stp>002807</stp>
        <stp>12/31/2018</stp>
        <tr r="M2715" s="1"/>
      </tp>
      <tp>
        <v>71.557685971620899</v>
        <stp/>
        <stp>EM_S_VAL_PETTMDEDUCTED</stp>
        <stp>2</stp>
        <stp>002805</stp>
        <stp>12/31/2018</stp>
        <tr r="M3062" s="1"/>
      </tp>
      <tp>
        <v>35.304574213785997</v>
        <stp/>
        <stp>EM_S_VAL_PETTMDEDUCTED</stp>
        <stp>2</stp>
        <stp>002802</stp>
        <stp>12/31/2018</stp>
        <tr r="M2459" s="1"/>
      </tp>
      <tp>
        <v>17.2604188185291</v>
        <stp/>
        <stp>EM_S_VAL_PETTMDEDUCTED</stp>
        <stp>2</stp>
        <stp>002803</stp>
        <stp>12/31/2018</stp>
        <tr r="M257" s="1"/>
      </tp>
      <tp>
        <v>-224.355639273739</v>
        <stp/>
        <stp>EM_S_VAL_PETTMDEDUCTED</stp>
        <stp>2</stp>
        <stp>002800</stp>
        <stp>12/31/2018</stp>
        <tr r="M363" s="1"/>
      </tp>
      <tp>
        <v>28.929004024277599</v>
        <stp/>
        <stp>EM_S_VAL_PETTMDEDUCTED</stp>
        <stp>2</stp>
        <stp>002801</stp>
        <stp>12/31/2018</stp>
        <tr r="M345" s="1"/>
      </tp>
      <tp>
        <v>45.168935536666503</v>
        <stp/>
        <stp>EM_S_VAL_PETTMDEDUCTED</stp>
        <stp>2</stp>
        <stp>002838</stp>
        <stp>12/31/2018</stp>
        <tr r="M3303" s="1"/>
      </tp>
      <tp>
        <v>11.4452494641539</v>
        <stp/>
        <stp>EM_S_VAL_PETTMDEDUCTED</stp>
        <stp>2</stp>
        <stp>002839</stp>
        <stp>12/31/2018</stp>
        <tr r="M1722" s="1"/>
      </tp>
      <tp>
        <v>45.372286822408299</v>
        <stp/>
        <stp>EM_S_VAL_PETTMDEDUCTED</stp>
        <stp>2</stp>
        <stp>002836</stp>
        <stp>12/31/2018</stp>
        <tr r="M2009" s="1"/>
      </tp>
      <tp>
        <v>37.537070156827397</v>
        <stp/>
        <stp>EM_S_VAL_PETTMDEDUCTED</stp>
        <stp>2</stp>
        <stp>002837</stp>
        <stp>12/31/2018</stp>
        <tr r="M1629" s="1"/>
      </tp>
      <tp>
        <v>-82.038878395971295</v>
        <stp/>
        <stp>EM_S_VAL_PETTMDEDUCTED</stp>
        <stp>2</stp>
        <stp>002835</stp>
        <stp>12/31/2018</stp>
        <tr r="M321" s="1"/>
      </tp>
      <tp>
        <v>25.802343402889498</v>
        <stp/>
        <stp>EM_S_VAL_PETTMDEDUCTED</stp>
        <stp>2</stp>
        <stp>002832</stp>
        <stp>12/31/2018</stp>
        <tr r="M3123" s="1"/>
      </tp>
      <tp>
        <v>18.338227271120299</v>
        <stp/>
        <stp>EM_S_VAL_PETTMDEDUCTED</stp>
        <stp>2</stp>
        <stp>002833</stp>
        <stp>12/31/2018</stp>
        <tr r="M1553" s="1"/>
      </tp>
      <tp>
        <v>42.781692611366999</v>
        <stp/>
        <stp>EM_S_VAL_PETTMDEDUCTED</stp>
        <stp>2</stp>
        <stp>002830</stp>
        <stp>12/31/2018</stp>
        <tr r="M2632" s="1"/>
      </tp>
      <tp>
        <v>21.055301904505399</v>
        <stp/>
        <stp>EM_S_VAL_PETTMDEDUCTED</stp>
        <stp>2</stp>
        <stp>002831</stp>
        <stp>12/31/2018</stp>
        <tr r="M3252" s="1"/>
      </tp>
      <tp>
        <v>35.536678458577903</v>
        <stp/>
        <stp>EM_S_VAL_PETTMDEDUCTED</stp>
        <stp>2</stp>
        <stp>002828</stp>
        <stp>12/31/2018</stp>
        <tr r="M2577" s="1"/>
      </tp>
      <tp>
        <v>138.65713156790301</v>
        <stp/>
        <stp>EM_S_VAL_PETTMDEDUCTED</stp>
        <stp>2</stp>
        <stp>002829</stp>
        <stp>12/31/2018</stp>
        <tr r="M1147" s="1"/>
      </tp>
      <tp>
        <v>64.486455651537696</v>
        <stp/>
        <stp>EM_S_VAL_PETTMDEDUCTED</stp>
        <stp>2</stp>
        <stp>002826</stp>
        <stp>12/31/2018</stp>
        <tr r="M2473" s="1"/>
      </tp>
      <tp>
        <v>36.175733468406001</v>
        <stp/>
        <stp>EM_S_VAL_PETTMDEDUCTED</stp>
        <stp>2</stp>
        <stp>002827</stp>
        <stp>12/31/2018</stp>
        <tr r="M3229" s="1"/>
      </tp>
      <tp>
        <v>44.977672284720398</v>
        <stp/>
        <stp>EM_S_VAL_PETTMDEDUCTED</stp>
        <stp>2</stp>
        <stp>002824</stp>
        <stp>12/31/2018</stp>
        <tr r="M1249" s="1"/>
      </tp>
      <tp>
        <v>36.905949115569697</v>
        <stp/>
        <stp>EM_S_VAL_PETTMDEDUCTED</stp>
        <stp>2</stp>
        <stp>002825</stp>
        <stp>12/31/2018</stp>
        <tr r="M2522" s="1"/>
      </tp>
      <tp>
        <v>17.740860500745601</v>
        <stp/>
        <stp>EM_S_VAL_PETTMDEDUCTED</stp>
        <stp>2</stp>
        <stp>002822</stp>
        <stp>12/31/2018</stp>
        <tr r="M219" s="1"/>
      </tp>
      <tp>
        <v>20.5923580276691</v>
        <stp/>
        <stp>EM_S_VAL_PETTMDEDUCTED</stp>
        <stp>2</stp>
        <stp>002823</stp>
        <stp>12/31/2018</stp>
        <tr r="M2753" s="1"/>
      </tp>
      <tp>
        <v>33.391769251855003</v>
        <stp/>
        <stp>EM_S_VAL_PETTMDEDUCTED</stp>
        <stp>2</stp>
        <stp>002820</stp>
        <stp>12/31/2018</stp>
        <tr r="M2429" s="1"/>
      </tp>
      <tp>
        <v>41.1423785858657</v>
        <stp/>
        <stp>EM_S_VAL_PETTMDEDUCTED</stp>
        <stp>2</stp>
        <stp>002821</stp>
        <stp>12/31/2018</stp>
        <tr r="M209" s="1"/>
      </tp>
      <tp>
        <v>47.4359732745896</v>
        <stp/>
        <stp>EM_S_VAL_PETTMDEDUCTED</stp>
        <stp>2</stp>
        <stp>002858</stp>
        <stp>12/31/2018</stp>
        <tr r="M1816" s="1"/>
      </tp>
      <tp>
        <v>30.3422926921073</v>
        <stp/>
        <stp>EM_S_VAL_PETTMDEDUCTED</stp>
        <stp>2</stp>
        <stp>002859</stp>
        <stp>12/31/2018</stp>
        <tr r="M1645" s="1"/>
      </tp>
      <tp>
        <v>72.808917614481103</v>
        <stp/>
        <stp>EM_S_VAL_PETTMDEDUCTED</stp>
        <stp>2</stp>
        <stp>002856</stp>
        <stp>12/31/2018</stp>
        <tr r="M2870" s="1"/>
      </tp>
      <tp>
        <v>52.612881072129603</v>
        <stp/>
        <stp>EM_S_VAL_PETTMDEDUCTED</stp>
        <stp>2</stp>
        <stp>002857</stp>
        <stp>12/31/2018</stp>
        <tr r="M2140" s="1"/>
      </tp>
      <tp>
        <v>42.439336881543703</v>
        <stp/>
        <stp>EM_S_VAL_PETTMDEDUCTED</stp>
        <stp>2</stp>
        <stp>002855</stp>
        <stp>12/31/2018</stp>
        <tr r="M475" s="1"/>
      </tp>
      <tp>
        <v>23.867971573497702</v>
        <stp/>
        <stp>EM_S_VAL_PETTMDEDUCTED</stp>
        <stp>2</stp>
        <stp>002852</stp>
        <stp>12/31/2018</stp>
        <tr r="M1784" s="1"/>
      </tp>
      <tp>
        <v>26.519216709667301</v>
        <stp/>
        <stp>EM_S_VAL_PETTMDEDUCTED</stp>
        <stp>2</stp>
        <stp>002853</stp>
        <stp>12/31/2018</stp>
        <tr r="M2233" s="1"/>
      </tp>
      <tp>
        <v>317.78892282089498</v>
        <stp/>
        <stp>EM_S_VAL_PETTMDEDUCTED</stp>
        <stp>2</stp>
        <stp>002850</stp>
        <stp>12/31/2018</stp>
        <tr r="M87" s="1"/>
      </tp>
      <tp>
        <v>51.334918051801303</v>
        <stp/>
        <stp>EM_S_VAL_PETTMDEDUCTED</stp>
        <stp>2</stp>
        <stp>002851</stp>
        <stp>12/31/2018</stp>
        <tr r="M2406" s="1"/>
      </tp>
      <tp>
        <v>-56.949142553193703</v>
        <stp/>
        <stp>EM_S_VAL_PETTMDEDUCTED</stp>
        <stp>2</stp>
        <stp>002848</stp>
        <stp>12/31/2018</stp>
        <tr r="M1699" s="1"/>
      </tp>
      <tp>
        <v>29.695677780349001</v>
        <stp/>
        <stp>EM_S_VAL_PETTMDEDUCTED</stp>
        <stp>2</stp>
        <stp>002849</stp>
        <stp>12/31/2018</stp>
        <tr r="M2282" s="1"/>
      </tp>
      <tp>
        <v>76.400554185857004</v>
        <stp/>
        <stp>EM_S_VAL_PETTMDEDUCTED</stp>
        <stp>2</stp>
        <stp>002846</stp>
        <stp>12/31/2018</stp>
        <tr r="M237" s="1"/>
      </tp>
      <tp>
        <v>122.71698021612301</v>
        <stp/>
        <stp>EM_S_VAL_PETTMDEDUCTED</stp>
        <stp>2</stp>
        <stp>002847</stp>
        <stp>12/31/2018</stp>
        <tr r="M368" s="1"/>
      </tp>
      <tp>
        <v>43.325370168302697</v>
        <stp/>
        <stp>EM_S_VAL_PETTMDEDUCTED</stp>
        <stp>2</stp>
        <stp>002845</stp>
        <stp>12/31/2018</stp>
        <tr r="M1899" s="1"/>
      </tp>
      <tp>
        <v>25.821427350073701</v>
        <stp/>
        <stp>EM_S_VAL_PETTMDEDUCTED</stp>
        <stp>2</stp>
        <stp>002842</stp>
        <stp>12/31/2018</stp>
        <tr r="M2843" s="1"/>
      </tp>
      <tp>
        <v>34.3407848258313</v>
        <stp/>
        <stp>EM_S_VAL_PETTMDEDUCTED</stp>
        <stp>2</stp>
        <stp>002843</stp>
        <stp>12/31/2018</stp>
        <tr r="M3239" s="1"/>
      </tp>
      <tp>
        <v>43.216584057699301</v>
        <stp/>
        <stp>EM_S_VAL_PETTMDEDUCTED</stp>
        <stp>2</stp>
        <stp>002840</stp>
        <stp>12/31/2018</stp>
        <tr r="M1148" s="1"/>
      </tp>
      <tp>
        <v>41.218399516560702</v>
        <stp/>
        <stp>EM_S_VAL_PETTMDEDUCTED</stp>
        <stp>2</stp>
        <stp>002841</stp>
        <stp>12/31/2018</stp>
        <tr r="M563" s="1"/>
      </tp>
      <tp>
        <v>42.220689764245698</v>
        <stp/>
        <stp>EM_S_VAL_PETTMDEDUCTED</stp>
        <stp>2</stp>
        <stp>002878</stp>
        <stp>12/31/2018</stp>
        <tr r="M1941" s="1"/>
      </tp>
      <tp>
        <v>22.315990605634401</v>
        <stp/>
        <stp>EM_S_VAL_PETTMDEDUCTED</stp>
        <stp>2</stp>
        <stp>002879</stp>
        <stp>12/31/2018</stp>
        <tr r="M1221" s="1"/>
      </tp>
      <tp>
        <v>87.684441782370797</v>
        <stp/>
        <stp>EM_S_VAL_PETTMDEDUCTED</stp>
        <stp>2</stp>
        <stp>002876</stp>
        <stp>12/31/2018</stp>
        <tr r="M487" s="1"/>
      </tp>
      <tp>
        <v>67.1209161767583</v>
        <stp/>
        <stp>EM_S_VAL_PETTMDEDUCTED</stp>
        <stp>2</stp>
        <stp>002877</stp>
        <stp>12/31/2018</stp>
        <tr r="M3315" s="1"/>
      </tp>
      <tp>
        <v>29.791079852395299</v>
        <stp/>
        <stp>EM_S_VAL_PETTMDEDUCTED</stp>
        <stp>2</stp>
        <stp>002875</stp>
        <stp>12/31/2018</stp>
        <tr r="M1887" s="1"/>
      </tp>
      <tp>
        <v>13.343059680467899</v>
        <stp/>
        <stp>EM_S_VAL_PETTMDEDUCTED</stp>
        <stp>2</stp>
        <stp>002872</stp>
        <stp>12/31/2018</stp>
        <tr r="M3295" s="1"/>
      </tp>
      <tp>
        <v>29.747703720859</v>
        <stp/>
        <stp>EM_S_VAL_PETTMDEDUCTED</stp>
        <stp>2</stp>
        <stp>002873</stp>
        <stp>12/31/2018</stp>
        <tr r="M2205" s="1"/>
      </tp>
      <tp>
        <v>94.594651604678205</v>
        <stp/>
        <stp>EM_S_VAL_PETTMDEDUCTED</stp>
        <stp>2</stp>
        <stp>002870</stp>
        <stp>12/31/2018</stp>
        <tr r="M411" s="1"/>
      </tp>
      <tp>
        <v>44.582154134072198</v>
        <stp/>
        <stp>EM_S_VAL_PETTMDEDUCTED</stp>
        <stp>2</stp>
        <stp>002871</stp>
        <stp>12/31/2018</stp>
        <tr r="M2391" s="1"/>
      </tp>
      <tp>
        <v>32.373698401433302</v>
        <stp/>
        <stp>EM_S_VAL_PETTMDEDUCTED</stp>
        <stp>2</stp>
        <stp>002868</stp>
        <stp>12/31/2018</stp>
        <tr r="M1313" s="1"/>
      </tp>
      <tp>
        <v>160.270755272266</v>
        <stp/>
        <stp>EM_S_VAL_PETTMDEDUCTED</stp>
        <stp>2</stp>
        <stp>002869</stp>
        <stp>12/31/2018</stp>
        <tr r="M26" s="1"/>
      </tp>
      <tp>
        <v>25.0782999057149</v>
        <stp/>
        <stp>EM_S_VAL_PETTMDEDUCTED</stp>
        <stp>2</stp>
        <stp>002866</stp>
        <stp>12/31/2018</stp>
        <tr r="M796" s="1"/>
      </tp>
      <tp>
        <v>18.548664645280098</v>
        <stp/>
        <stp>EM_S_VAL_PETTMDEDUCTED</stp>
        <stp>2</stp>
        <stp>002867</stp>
        <stp>12/31/2018</stp>
        <tr r="M3224" s="1"/>
      </tp>
      <tp>
        <v>68.902506781788702</v>
        <stp/>
        <stp>EM_S_VAL_PETTMDEDUCTED</stp>
        <stp>2</stp>
        <stp>002864</stp>
        <stp>12/31/2018</stp>
        <tr r="M2995" s="1"/>
      </tp>
      <tp>
        <v>36.242386956945197</v>
        <stp/>
        <stp>EM_S_VAL_PETTMDEDUCTED</stp>
        <stp>2</stp>
        <stp>002865</stp>
        <stp>12/31/2018</stp>
        <tr r="M3027" s="1"/>
      </tp>
      <tp>
        <v>60.232210313605798</v>
        <stp/>
        <stp>EM_S_VAL_PETTMDEDUCTED</stp>
        <stp>2</stp>
        <stp>002862</stp>
        <stp>12/31/2018</stp>
        <tr r="M2070" s="1"/>
      </tp>
      <tp>
        <v>48.508506940134403</v>
        <stp/>
        <stp>EM_S_VAL_PETTMDEDUCTED</stp>
        <stp>2</stp>
        <stp>002863</stp>
        <stp>12/31/2018</stp>
        <tr r="M2846" s="1"/>
      </tp>
      <tp>
        <v>22.238418801966201</v>
        <stp/>
        <stp>EM_S_VAL_PETTMDEDUCTED</stp>
        <stp>2</stp>
        <stp>002860</stp>
        <stp>12/31/2018</stp>
        <tr r="M1191" s="1"/>
      </tp>
      <tp>
        <v>34.961973112543802</v>
        <stp/>
        <stp>EM_S_VAL_PETTMDEDUCTED</stp>
        <stp>2</stp>
        <stp>002861</stp>
        <stp>12/31/2018</stp>
        <tr r="M286" s="1"/>
      </tp>
      <tp>
        <v>12.789283785196201</v>
        <stp/>
        <stp>EM_S_VAL_PETTMDEDUCTED</stp>
        <stp>2</stp>
        <stp>002918</stp>
        <stp>12/31/2018</stp>
        <tr r="M1272" s="1"/>
      </tp>
      <tp>
        <v>55.979421343519498</v>
        <stp/>
        <stp>EM_S_VAL_PETTMDEDUCTED</stp>
        <stp>2</stp>
        <stp>002919</stp>
        <stp>12/31/2018</stp>
        <tr r="M3159" s="1"/>
      </tp>
      <tp>
        <v>42.473457661323501</v>
        <stp/>
        <stp>EM_S_VAL_PETTMDEDUCTED</stp>
        <stp>2</stp>
        <stp>002916</stp>
        <stp>12/31/2018</stp>
        <tr r="M264" s="1"/>
      </tp>
      <tp>
        <v>49.137504326201601</v>
        <stp/>
        <stp>EM_S_VAL_PETTMDEDUCTED</stp>
        <stp>2</stp>
        <stp>002917</stp>
        <stp>12/31/2018</stp>
        <tr r="M3192" s="1"/>
      </tp>
      <tp>
        <v>76.580268357226004</v>
        <stp/>
        <stp>EM_S_VAL_PETTMDEDUCTED</stp>
        <stp>2</stp>
        <stp>002915</stp>
        <stp>12/31/2018</stp>
        <tr r="M1164" s="1"/>
      </tp>
      <tp>
        <v>46.322485949436199</v>
        <stp/>
        <stp>EM_S_VAL_PETTMDEDUCTED</stp>
        <stp>2</stp>
        <stp>002912</stp>
        <stp>12/31/2018</stp>
        <tr r="M494" s="1"/>
      </tp>
      <tp>
        <v>26.8676000294221</v>
        <stp/>
        <stp>EM_S_VAL_PETTMDEDUCTED</stp>
        <stp>2</stp>
        <stp>002913</stp>
        <stp>12/31/2018</stp>
        <tr r="M570" s="1"/>
      </tp>
      <tp>
        <v>51.926357294747902</v>
        <stp/>
        <stp>EM_S_VAL_PETTMDEDUCTED</stp>
        <stp>2</stp>
        <stp>002910</stp>
        <stp>12/31/2018</stp>
        <tr r="M2541" s="1"/>
      </tp>
      <tp>
        <v>23.433321879119099</v>
        <stp/>
        <stp>EM_S_VAL_PETTMDEDUCTED</stp>
        <stp>2</stp>
        <stp>002911</stp>
        <stp>12/31/2018</stp>
        <tr r="M2725" s="1"/>
      </tp>
      <tp>
        <v>56.601681874090801</v>
        <stp/>
        <stp>EM_S_VAL_PETTMDEDUCTED</stp>
        <stp>2</stp>
        <stp>002908</stp>
        <stp>12/31/2018</stp>
        <tr r="M3201" s="1"/>
      </tp>
      <tp>
        <v>150.08303405060801</v>
        <stp/>
        <stp>EM_S_VAL_PETTMDEDUCTED</stp>
        <stp>2</stp>
        <stp>002909</stp>
        <stp>12/31/2018</stp>
        <tr r="M2046" s="1"/>
      </tp>
      <tp>
        <v>55.775456045413399</v>
        <stp/>
        <stp>EM_S_VAL_PETTMDEDUCTED</stp>
        <stp>2</stp>
        <stp>002906</stp>
        <stp>12/31/2018</stp>
        <tr r="M1168" s="1"/>
      </tp>
      <tp>
        <v>74.180824922418793</v>
        <stp/>
        <stp>EM_S_VAL_PETTMDEDUCTED</stp>
        <stp>2</stp>
        <stp>002907</stp>
        <stp>12/31/2018</stp>
        <tr r="M2905" s="1"/>
      </tp>
      <tp>
        <v>23.3346575529505</v>
        <stp/>
        <stp>EM_S_VAL_PETTMDEDUCTED</stp>
        <stp>2</stp>
        <stp>002905</stp>
        <stp>12/31/2018</stp>
        <tr r="M980" s="1"/>
      </tp>
      <tp>
        <v>128.94992151705401</v>
        <stp/>
        <stp>EM_S_VAL_PETTMDEDUCTED</stp>
        <stp>2</stp>
        <stp>002902</stp>
        <stp>12/31/2018</stp>
        <tr r="M2409" s="1"/>
      </tp>
      <tp>
        <v>92.649803687505099</v>
        <stp/>
        <stp>EM_S_VAL_PETTMDEDUCTED</stp>
        <stp>2</stp>
        <stp>002903</stp>
        <stp>12/31/2018</stp>
        <tr r="M2947" s="1"/>
      </tp>
      <tp>
        <v>27.488327189286601</v>
        <stp/>
        <stp>EM_S_VAL_PETTMDEDUCTED</stp>
        <stp>2</stp>
        <stp>002900</stp>
        <stp>12/31/2018</stp>
        <tr r="M2567" s="1"/>
      </tp>
      <tp>
        <v>38.465441510426203</v>
        <stp/>
        <stp>EM_S_VAL_PETTMDEDUCTED</stp>
        <stp>2</stp>
        <stp>002901</stp>
        <stp>12/31/2018</stp>
        <tr r="M184" s="1"/>
      </tp>
      <tp>
        <v>66.1761904600055</v>
        <stp/>
        <stp>EM_S_VAL_PETTMDEDUCTED</stp>
        <stp>2</stp>
        <stp>002930</stp>
        <stp>12/31/2018</stp>
        <tr r="M3331" s="1"/>
      </tp>
      <tp>
        <v>70.198624187957705</v>
        <stp/>
        <stp>EM_S_VAL_PETTMDEDUCTED</stp>
        <stp>2</stp>
        <stp>002931</stp>
        <stp>12/31/2018</stp>
        <tr r="M2638" s="1"/>
      </tp>
      <tp>
        <v>25.5190023686011</v>
        <stp/>
        <stp>EM_S_VAL_PETTMDEDUCTED</stp>
        <stp>2</stp>
        <stp>002928</stp>
        <stp>12/31/2018</stp>
        <tr r="M3274" s="1"/>
      </tp>
      <tp>
        <v>31.232100647184499</v>
        <stp/>
        <stp>EM_S_VAL_PETTMDEDUCTED</stp>
        <stp>2</stp>
        <stp>002929</stp>
        <stp>12/31/2018</stp>
        <tr r="M2978" s="1"/>
      </tp>
      <tp>
        <v>24.840852363991601</v>
        <stp/>
        <stp>EM_S_VAL_PETTMDEDUCTED</stp>
        <stp>2</stp>
        <stp>002926</stp>
        <stp>12/31/2018</stp>
        <tr r="M890" s="1"/>
      </tp>
      <tp>
        <v>82.900005959723501</v>
        <stp/>
        <stp>EM_S_VAL_PETTMDEDUCTED</stp>
        <stp>2</stp>
        <stp>002927</stp>
        <stp>12/31/2018</stp>
        <tr r="M3378" s="1"/>
      </tp>
      <tp>
        <v>25.632391421705201</v>
        <stp/>
        <stp>EM_S_VAL_PETTMDEDUCTED</stp>
        <stp>2</stp>
        <stp>002925</stp>
        <stp>12/31/2018</stp>
        <tr r="M2367" s="1"/>
      </tp>
      <tp>
        <v>52.706628426524901</v>
        <stp/>
        <stp>EM_S_VAL_PETTMDEDUCTED</stp>
        <stp>2</stp>
        <stp>002922</stp>
        <stp>12/31/2018</stp>
        <tr r="M2884" s="1"/>
      </tp>
      <tp>
        <v>32.460891529856603</v>
        <stp/>
        <stp>EM_S_VAL_PETTMDEDUCTED</stp>
        <stp>2</stp>
        <stp>002923</stp>
        <stp>12/31/2018</stp>
        <tr r="M3191" s="1"/>
      </tp>
      <tp>
        <v>21.5470661983213</v>
        <stp/>
        <stp>EM_S_VAL_PETTMDEDUCTED</stp>
        <stp>2</stp>
        <stp>002920</stp>
        <stp>12/31/2018</stp>
        <tr r="M269" s="1"/>
      </tp>
      <tp>
        <v>54.675080748286298</v>
        <stp/>
        <stp>EM_S_VAL_PETTMDEDUCTED</stp>
        <stp>2</stp>
        <stp>002921</stp>
        <stp>12/31/2018</stp>
        <tr r="M3207" s="1"/>
      </tp>
      <tp>
        <v>2495260000</v>
        <stp/>
        <stp>EM_HKS_VAL_MV</stp>
        <stp>3</stp>
        <stp>002098</stp>
        <stp>2019-12-31</stp>
        <stp>2</stp>
        <tr r="L3633" s="1"/>
      </tp>
      <tp>
        <v>2745628277.6799998</v>
        <stp/>
        <stp>EM_HKS_VAL_MV</stp>
        <stp>3</stp>
        <stp>002198</stp>
        <stp>2019-12-31</stp>
        <stp>2</stp>
        <tr r="L2082" s="1"/>
      </tp>
      <tp>
        <v>5227784717.3999996</v>
        <stp/>
        <stp>EM_HKS_VAL_MV</stp>
        <stp>3</stp>
        <stp>002298</stp>
        <stp>2019-12-31</stp>
        <stp>2</stp>
        <tr r="L1002" s="1"/>
      </tp>
      <tp>
        <v>4182752107.0799999</v>
        <stp/>
        <stp>EM_HKS_VAL_MV</stp>
        <stp>3</stp>
        <stp>002398</stp>
        <stp>2019-12-31</stp>
        <stp>2</stp>
        <tr r="L850" s="1"/>
      </tp>
      <tp>
        <v>10013655960</v>
        <stp/>
        <stp>EM_HKS_VAL_MV</stp>
        <stp>3</stp>
        <stp>002498</stp>
        <stp>2019-12-31</stp>
        <stp>2</stp>
        <tr r="L544" s="1"/>
      </tp>
      <tp>
        <v>1940640000</v>
        <stp/>
        <stp>EM_HKS_VAL_MV</stp>
        <stp>3</stp>
        <stp>002598</stp>
        <stp>2019-12-31</stp>
        <stp>2</stp>
        <tr r="L2728" s="1"/>
      </tp>
      <tp>
        <v>10757226000</v>
        <stp/>
        <stp>EM_HKS_VAL_MV</stp>
        <stp>3</stp>
        <stp>002698</stp>
        <stp>2019-12-31</stp>
        <stp>2</stp>
        <tr r="L1301" s="1"/>
      </tp>
      <tp>
        <v>9643262128.2000008</v>
        <stp/>
        <stp>EM_HKS_VAL_MV</stp>
        <stp>3</stp>
        <stp>002798</stp>
        <stp>2019-12-31</stp>
        <stp>2</stp>
        <tr r="L231" s="1"/>
      </tp>
      <tp>
        <v>2220800000</v>
        <stp/>
        <stp>EM_HKS_VAL_MV</stp>
        <stp>3</stp>
        <stp>002898</stp>
        <stp>2019-12-31</stp>
        <stp>2</stp>
        <tr r="L2713" s="1"/>
      </tp>
      <tp>
        <v>5242250814.8400002</v>
        <stp/>
        <stp>EM_HKS_VAL_MV</stp>
        <stp>3</stp>
        <stp>000498</stp>
        <stp>2019-12-31</stp>
        <stp>2</stp>
        <tr r="L2686" s="1"/>
      </tp>
      <tp>
        <v>13826192127.26</v>
        <stp/>
        <stp>EM_HKS_VAL_MV</stp>
        <stp>3</stp>
        <stp>000598</stp>
        <stp>2019-12-31</stp>
        <stp>2</stp>
        <tr r="L1507" s="1"/>
      </tp>
      <tp>
        <v>2753568367.1999998</v>
        <stp/>
        <stp>EM_HKS_VAL_MV</stp>
        <stp>3</stp>
        <stp>000698</stp>
        <stp>2019-12-31</stp>
        <stp>2</stp>
        <tr r="L3514" s="1"/>
      </tp>
      <tp>
        <v>1964648250</v>
        <stp/>
        <stp>EM_HKS_VAL_MV</stp>
        <stp>3</stp>
        <stp>000798</stp>
        <stp>2019-12-31</stp>
        <stp>2</stp>
        <tr r="L3541" s="1"/>
      </tp>
      <tp>
        <v>31507588173.349998</v>
        <stp/>
        <stp>EM_HKS_VAL_MV</stp>
        <stp>3</stp>
        <stp>000898</stp>
        <stp>2019-12-31</stp>
        <stp>2</stp>
        <tr r="L3280" s="1"/>
      </tp>
      <tp>
        <v>19372633083.580002</v>
        <stp/>
        <stp>EM_HKS_VAL_MV</stp>
        <stp>3</stp>
        <stp>000998</stp>
        <stp>2019-12-31</stp>
        <stp>2</stp>
        <tr r="L2742" s="1"/>
      </tp>
      <tp>
        <v>11525252601.360001</v>
        <stp/>
        <stp>EM_HKS_VAL_MV</stp>
        <stp>3</stp>
        <stp>002099</stp>
        <stp>2019-12-31</stp>
        <stp>2</stp>
        <tr r="L498" s="1"/>
      </tp>
      <tp>
        <v>2251841857.75</v>
        <stp/>
        <stp>EM_HKS_VAL_MV</stp>
        <stp>3</stp>
        <stp>002199</stp>
        <stp>2019-12-31</stp>
        <stp>2</stp>
        <tr r="L2124" s="1"/>
      </tp>
      <tp>
        <v>29846690849.360001</v>
        <stp/>
        <stp>EM_HKS_VAL_MV</stp>
        <stp>3</stp>
        <stp>002299</stp>
        <stp>2019-12-31</stp>
        <stp>2</stp>
        <tr r="L644" s="1"/>
      </tp>
      <tp>
        <v>24332905245.040001</v>
        <stp/>
        <stp>EM_HKS_VAL_MV</stp>
        <stp>3</stp>
        <stp>002399</stp>
        <stp>2019-12-31</stp>
        <stp>2</stp>
        <tr r="L2973" s="1"/>
      </tp>
      <tp>
        <v>882630000</v>
        <stp/>
        <stp>EM_HKS_VAL_MV</stp>
        <stp>3</stp>
        <stp>002499</stp>
        <stp>2019-12-31</stp>
        <stp>2</stp>
        <tr r="L3287" s="1"/>
      </tp>
      <tp>
        <v>2582497771.23</v>
        <stp/>
        <stp>EM_HKS_VAL_MV</stp>
        <stp>3</stp>
        <stp>002599</stp>
        <stp>2019-12-31</stp>
        <stp>2</stp>
        <tr r="L3370" s="1"/>
      </tp>
      <tp>
        <v>6139615893.75</v>
        <stp/>
        <stp>EM_HKS_VAL_MV</stp>
        <stp>3</stp>
        <stp>002699</stp>
        <stp>2019-12-31</stp>
        <stp>2</stp>
        <tr r="L1025" s="1"/>
      </tp>
      <tp>
        <v>2712000000</v>
        <stp/>
        <stp>EM_HKS_VAL_MV</stp>
        <stp>3</stp>
        <stp>002799</stp>
        <stp>2019-12-31</stp>
        <stp>2</stp>
        <tr r="L657" s="1"/>
      </tp>
      <tp>
        <v>1677600000</v>
        <stp/>
        <stp>EM_HKS_VAL_MV</stp>
        <stp>3</stp>
        <stp>002899</stp>
        <stp>2019-12-31</stp>
        <stp>2</stp>
        <tr r="L2501" s="1"/>
      </tp>
      <tp>
        <v>4478860403.8000002</v>
        <stp/>
        <stp>EM_HKS_VAL_MV</stp>
        <stp>3</stp>
        <stp>000099</stp>
        <stp>2019-12-31</stp>
        <stp>2</stp>
        <tr r="L899" s="1"/>
      </tp>
      <tp>
        <v>3918820093.4299998</v>
        <stp/>
        <stp>EM_HKS_VAL_MV</stp>
        <stp>3</stp>
        <stp>000599</stp>
        <stp>2019-12-31</stp>
        <stp>2</stp>
        <tr r="L3476" s="1"/>
      </tp>
      <tp>
        <v>291152431.25999999</v>
        <stp/>
        <stp>EM_HKS_VAL_MV</stp>
        <stp>3</stp>
        <stp>000699</stp>
        <stp>2019-12-31</stp>
        <stp>2</stp>
        <tr r="L3515" s="1"/>
      </tp>
      <tp>
        <v>11648703933</v>
        <stp/>
        <stp>EM_HKS_VAL_MV</stp>
        <stp>3</stp>
        <stp>000799</stp>
        <stp>2019-12-31</stp>
        <stp>2</stp>
        <tr r="L114" s="1"/>
      </tp>
      <tp>
        <v>4751550691.1999998</v>
        <stp/>
        <stp>EM_HKS_VAL_MV</stp>
        <stp>3</stp>
        <stp>000899</stp>
        <stp>2019-12-31</stp>
        <stp>2</stp>
        <tr r="L1690" s="1"/>
      </tp>
      <tp>
        <v>31011552000</v>
        <stp/>
        <stp>EM_HKS_VAL_MV</stp>
        <stp>3</stp>
        <stp>000999</stp>
        <stp>2019-12-31</stp>
        <stp>2</stp>
        <tr r="L1163" s="1"/>
      </tp>
      <tp>
        <v>14574392770.42</v>
        <stp/>
        <stp>EM_HKS_VAL_MV</stp>
        <stp>3</stp>
        <stp>002092</stp>
        <stp>2019-12-31</stp>
        <stp>2</stp>
        <tr r="L2499" s="1"/>
      </tp>
      <tp>
        <v>6527731803.4200001</v>
        <stp/>
        <stp>EM_HKS_VAL_MV</stp>
        <stp>3</stp>
        <stp>002192</stp>
        <stp>2019-12-31</stp>
        <stp>2</stp>
        <tr r="L988" s="1"/>
      </tp>
      <tp>
        <v>13476594083.25</v>
        <stp/>
        <stp>EM_HKS_VAL_MV</stp>
        <stp>3</stp>
        <stp>002292</stp>
        <stp>2019-12-31</stp>
        <stp>2</stp>
        <tr r="L282" s="1"/>
      </tp>
      <tp>
        <v>4583389730.1499996</v>
        <stp/>
        <stp>EM_HKS_VAL_MV</stp>
        <stp>3</stp>
        <stp>002392</stp>
        <stp>2019-12-31</stp>
        <stp>2</stp>
        <tr r="L1412" s="1"/>
      </tp>
      <tp>
        <v>2385450000</v>
        <stp/>
        <stp>EM_HKS_VAL_MV</stp>
        <stp>3</stp>
        <stp>002492</stp>
        <stp>2019-12-31</stp>
        <stp>2</stp>
        <tr r="L1745" s="1"/>
      </tp>
      <tp>
        <v>3904303343.46</v>
        <stp/>
        <stp>EM_HKS_VAL_MV</stp>
        <stp>3</stp>
        <stp>002592</stp>
        <stp>2019-12-31</stp>
        <stp>2</stp>
        <tr r="L3324" s="1"/>
      </tp>
      <tp>
        <v>2606869980</v>
        <stp/>
        <stp>EM_HKS_VAL_MV</stp>
        <stp>3</stp>
        <stp>002692</stp>
        <stp>2019-12-31</stp>
        <stp>2</stp>
        <tr r="L2695" s="1"/>
      </tp>
      <tp>
        <v>9027090144</v>
        <stp/>
        <stp>EM_HKS_VAL_MV</stp>
        <stp>3</stp>
        <stp>002792</stp>
        <stp>2019-12-31</stp>
        <stp>2</stp>
        <tr r="L2935" s="1"/>
      </tp>
      <tp>
        <v>4168379600</v>
        <stp/>
        <stp>EM_HKS_VAL_MV</stp>
        <stp>3</stp>
        <stp>002892</stp>
        <stp>2019-12-31</stp>
        <stp>2</stp>
        <tr r="L1688" s="1"/>
      </tp>
      <tp>
        <v>5602164586.8000002</v>
        <stp/>
        <stp>EM_HKS_VAL_MV</stp>
        <stp>3</stp>
        <stp>000592</stp>
        <stp>2019-12-31</stp>
        <stp>2</stp>
        <tr r="L1951" s="1"/>
      </tp>
      <tp>
        <v>1566528949.4400001</v>
        <stp/>
        <stp>EM_HKS_VAL_MV</stp>
        <stp>3</stp>
        <stp>000692</stp>
        <stp>2019-12-31</stp>
        <stp>2</stp>
        <tr r="L1493" s="1"/>
      </tp>
      <tp>
        <v>24517597288.799999</v>
        <stp/>
        <stp>EM_HKS_VAL_MV</stp>
        <stp>3</stp>
        <stp>000792</stp>
        <stp>2019-12-31</stp>
        <stp>2</stp>
        <tr r="L3539" s="1"/>
      </tp>
      <tp>
        <v>4914712169.7299995</v>
        <stp/>
        <stp>EM_HKS_VAL_MV</stp>
        <stp>3</stp>
        <stp>000892</stp>
        <stp>2019-12-31</stp>
        <stp>2</stp>
        <tr r="L3565" s="1"/>
      </tp>
      <tp>
        <v>8120450000</v>
        <stp/>
        <stp>EM_HKS_VAL_MV</stp>
        <stp>3</stp>
        <stp>002093</stp>
        <stp>2019-12-31</stp>
        <stp>2</stp>
        <tr r="L3631" s="1"/>
      </tp>
      <tp>
        <v>2057084223</v>
        <stp/>
        <stp>EM_HKS_VAL_MV</stp>
        <stp>3</stp>
        <stp>002193</stp>
        <stp>2019-12-31</stp>
        <stp>2</stp>
        <tr r="L2773" s="1"/>
      </tp>
      <tp>
        <v>7546967857.8800001</v>
        <stp/>
        <stp>EM_HKS_VAL_MV</stp>
        <stp>3</stp>
        <stp>002293</stp>
        <stp>2019-12-31</stp>
        <stp>2</stp>
        <tr r="L1996" s="1"/>
      </tp>
      <tp>
        <v>4986494931.3599997</v>
        <stp/>
        <stp>EM_HKS_VAL_MV</stp>
        <stp>3</stp>
        <stp>002393</stp>
        <stp>2019-12-31</stp>
        <stp>2</stp>
        <tr r="L1123" s="1"/>
      </tp>
      <tp>
        <v>77946825022.5</v>
        <stp/>
        <stp>EM_HKS_VAL_MV</stp>
        <stp>3</stp>
        <stp>002493</stp>
        <stp>2019-12-31</stp>
        <stp>2</stp>
        <tr r="L1189" s="1"/>
      </tp>
      <tp>
        <v>2720306800</v>
        <stp/>
        <stp>EM_HKS_VAL_MV</stp>
        <stp>3</stp>
        <stp>002593</stp>
        <stp>2019-12-31</stp>
        <stp>2</stp>
        <tr r="L1008" s="1"/>
      </tp>
      <tp>
        <v>1887300000</v>
        <stp/>
        <stp>EM_HKS_VAL_MV</stp>
        <stp>3</stp>
        <stp>002693</stp>
        <stp>2019-12-31</stp>
        <stp>2</stp>
        <tr r="L1309" s="1"/>
      </tp>
      <tp>
        <v>4856009832</v>
        <stp/>
        <stp>EM_HKS_VAL_MV</stp>
        <stp>3</stp>
        <stp>002793</stp>
        <stp>2019-12-31</stp>
        <stp>2</stp>
        <tr r="L848" s="1"/>
      </tp>
      <tp>
        <v>1963317668</v>
        <stp/>
        <stp>EM_HKS_VAL_MV</stp>
        <stp>3</stp>
        <stp>002893</stp>
        <stp>2019-12-31</stp>
        <stp>2</stp>
        <tr r="L3136" s="1"/>
      </tp>
      <tp>
        <v>2166131294.3600001</v>
        <stp/>
        <stp>EM_HKS_VAL_MV</stp>
        <stp>3</stp>
        <stp>000593</stp>
        <stp>2019-12-31</stp>
        <stp>2</stp>
        <tr r="L3473" s="1"/>
      </tp>
      <tp>
        <v>201092011.50999999</v>
        <stp/>
        <stp>EM_HKS_VAL_MV</stp>
        <stp>3</stp>
        <stp>000693</stp>
        <stp>2019-12-31</stp>
        <stp>2</stp>
        <tr r="L3513" s="1"/>
      </tp>
      <tp>
        <v>6730717190.0900002</v>
        <stp/>
        <stp>EM_HKS_VAL_MV</stp>
        <stp>3</stp>
        <stp>000793</stp>
        <stp>2019-12-31</stp>
        <stp>2</stp>
        <tr r="L3540" s="1"/>
      </tp>
      <tp>
        <v>4601971893.7600002</v>
        <stp/>
        <stp>EM_HKS_VAL_MV</stp>
        <stp>3</stp>
        <stp>000893</stp>
        <stp>2019-12-31</stp>
        <stp>2</stp>
        <tr r="L3566" s="1"/>
      </tp>
      <tp>
        <v>3361363679.6999998</v>
        <stp/>
        <stp>EM_HKS_VAL_MV</stp>
        <stp>3</stp>
        <stp>000993</stp>
        <stp>2019-12-31</stp>
        <stp>2</stp>
        <tr r="L3600" s="1"/>
      </tp>
      <tp>
        <v>4289250970.96</v>
        <stp/>
        <stp>EM_HKS_VAL_MV</stp>
        <stp>3</stp>
        <stp>002090</stp>
        <stp>2019-12-31</stp>
        <stp>2</stp>
        <tr r="L3281" s="1"/>
      </tp>
      <tp>
        <v>7762902982.5200005</v>
        <stp/>
        <stp>EM_HKS_VAL_MV</stp>
        <stp>3</stp>
        <stp>002190</stp>
        <stp>2019-12-31</stp>
        <stp>2</stp>
        <tr r="L842" s="1"/>
      </tp>
      <tp>
        <v>1211134526.7</v>
        <stp/>
        <stp>EM_HKS_VAL_MV</stp>
        <stp>3</stp>
        <stp>002290</stp>
        <stp>2019-12-31</stp>
        <stp>2</stp>
        <tr r="L3357" s="1"/>
      </tp>
      <tp>
        <v>8752950207.75</v>
        <stp/>
        <stp>EM_HKS_VAL_MV</stp>
        <stp>3</stp>
        <stp>002390</stp>
        <stp>2019-12-31</stp>
        <stp>2</stp>
        <tr r="L1014" s="1"/>
      </tp>
      <tp>
        <v>3023845436</v>
        <stp/>
        <stp>EM_HKS_VAL_MV</stp>
        <stp>3</stp>
        <stp>002490</stp>
        <stp>2019-12-31</stp>
        <stp>2</stp>
        <tr r="L2775" s="1"/>
      </tp>
      <tp>
        <v>3309563789.4000001</v>
        <stp/>
        <stp>EM_HKS_VAL_MV</stp>
        <stp>3</stp>
        <stp>002590</stp>
        <stp>2019-12-31</stp>
        <stp>2</stp>
        <tr r="L1706" s="1"/>
      </tp>
      <tp>
        <v>26431600000</v>
        <stp/>
        <stp>EM_HKS_VAL_MV</stp>
        <stp>3</stp>
        <stp>002690</stp>
        <stp>2019-12-31</stp>
        <stp>2</stp>
        <tr r="L233" s="1"/>
      </tp>
      <tp>
        <v>2650112000</v>
        <stp/>
        <stp>EM_HKS_VAL_MV</stp>
        <stp>3</stp>
        <stp>002790</stp>
        <stp>2019-12-31</stp>
        <stp>2</stp>
        <tr r="L3304" s="1"/>
      </tp>
      <tp>
        <v>1712085600</v>
        <stp/>
        <stp>EM_HKS_VAL_MV</stp>
        <stp>3</stp>
        <stp>002890</stp>
        <stp>2019-12-31</stp>
        <stp>2</stp>
        <tr r="L756" s="1"/>
      </tp>
      <tp>
        <v>9903290800.2000008</v>
        <stp/>
        <stp>EM_HKS_VAL_MV</stp>
        <stp>3</stp>
        <stp>000090</stp>
        <stp>2019-12-31</stp>
        <stp>2</stp>
        <tr r="L479" s="1"/>
      </tp>
      <tp>
        <v>2864076353.3200002</v>
        <stp/>
        <stp>EM_HKS_VAL_MV</stp>
        <stp>3</stp>
        <stp>000590</stp>
        <stp>2019-12-31</stp>
        <stp>2</stp>
        <tr r="L3472" s="1"/>
      </tp>
      <tp>
        <v>12293766420.299999</v>
        <stp/>
        <stp>EM_HKS_VAL_MV</stp>
        <stp>3</stp>
        <stp>000690</stp>
        <stp>2019-12-31</stp>
        <stp>2</stp>
        <tr r="L2957" s="1"/>
      </tp>
      <tp>
        <v>2792113354.9200001</v>
        <stp/>
        <stp>EM_HKS_VAL_MV</stp>
        <stp>3</stp>
        <stp>000790</stp>
        <stp>2019-12-31</stp>
        <stp>2</stp>
        <tr r="L1849" s="1"/>
      </tp>
      <tp>
        <v>2080435968</v>
        <stp/>
        <stp>EM_HKS_VAL_MV</stp>
        <stp>3</stp>
        <stp>000890</stp>
        <stp>2019-12-31</stp>
        <stp>2</stp>
        <tr r="L3564" s="1"/>
      </tp>
      <tp>
        <v>18569636639.580002</v>
        <stp/>
        <stp>EM_HKS_VAL_MV</stp>
        <stp>3</stp>
        <stp>000990</stp>
        <stp>2019-12-31</stp>
        <stp>2</stp>
        <tr r="L1153" s="1"/>
      </tp>
      <tp>
        <v>10741496428.26</v>
        <stp/>
        <stp>EM_HKS_VAL_MV</stp>
        <stp>3</stp>
        <stp>002091</stp>
        <stp>2019-12-31</stp>
        <stp>2</stp>
        <tr r="L1200" s="1"/>
      </tp>
      <tp>
        <v>16714171834.5</v>
        <stp/>
        <stp>EM_HKS_VAL_MV</stp>
        <stp>3</stp>
        <stp>002191</stp>
        <stp>2019-12-31</stp>
        <stp>2</stp>
        <tr r="L626" s="1"/>
      </tp>
      <tp>
        <v>14526041079.969999</v>
        <stp/>
        <stp>EM_HKS_VAL_MV</stp>
        <stp>3</stp>
        <stp>002291</stp>
        <stp>2019-12-31</stp>
        <stp>2</stp>
        <tr r="L28" s="1"/>
      </tp>
      <tp>
        <v>4421953016.6000004</v>
        <stp/>
        <stp>EM_HKS_VAL_MV</stp>
        <stp>3</stp>
        <stp>002391</stp>
        <stp>2019-12-31</stp>
        <stp>2</stp>
        <tr r="L3106" s="1"/>
      </tp>
      <tp>
        <v>8338866281.8400002</v>
        <stp/>
        <stp>EM_HKS_VAL_MV</stp>
        <stp>3</stp>
        <stp>002491</stp>
        <stp>2019-12-31</stp>
        <stp>2</stp>
        <tr r="L2970" s="1"/>
      </tp>
      <tp>
        <v>2809582762.4400001</v>
        <stp/>
        <stp>EM_HKS_VAL_MV</stp>
        <stp>3</stp>
        <stp>002591</stp>
        <stp>2019-12-31</stp>
        <stp>2</stp>
        <tr r="L814" s="1"/>
      </tp>
      <tp>
        <v>2040000000</v>
        <stp/>
        <stp>EM_HKS_VAL_MV</stp>
        <stp>3</stp>
        <stp>002691</stp>
        <stp>2019-12-31</stp>
        <stp>2</stp>
        <tr r="L3060" s="1"/>
      </tp>
      <tp>
        <v>9803754600</v>
        <stp/>
        <stp>EM_HKS_VAL_MV</stp>
        <stp>3</stp>
        <stp>002791</stp>
        <stp>2019-12-31</stp>
        <stp>2</stp>
        <tr r="L43" s="1"/>
      </tp>
      <tp>
        <v>4671633553.0799999</v>
        <stp/>
        <stp>EM_HKS_VAL_MV</stp>
        <stp>3</stp>
        <stp>002891</stp>
        <stp>2019-12-31</stp>
        <stp>2</stp>
        <tr r="L3025" s="1"/>
      </tp>
      <tp>
        <v>11005978797.120001</v>
        <stp/>
        <stp>EM_HKS_VAL_MV</stp>
        <stp>3</stp>
        <stp>000591</stp>
        <stp>2019-12-31</stp>
        <stp>2</stp>
        <tr r="L1170" s="1"/>
      </tp>
      <tp>
        <v>1296312700</v>
        <stp/>
        <stp>EM_HKS_VAL_MV</stp>
        <stp>3</stp>
        <stp>000691</stp>
        <stp>2019-12-31</stp>
        <stp>2</stp>
        <tr r="L3512" s="1"/>
      </tp>
      <tp>
        <v>5003242182.3999996</v>
        <stp/>
        <stp>EM_HKS_VAL_MV</stp>
        <stp>3</stp>
        <stp>000791</stp>
        <stp>2019-12-31</stp>
        <stp>2</stp>
        <tr r="L3193" s="1"/>
      </tp>
      <tp>
        <v>0</v>
        <stp/>
        <stp>EM_HKS_VAL_MV</stp>
        <stp>3</stp>
        <stp>000991</stp>
        <stp>2019-12-31</stp>
        <stp>2</stp>
        <tr r="L3599" s="1"/>
      </tp>
      <tp>
        <v>2413365500</v>
        <stp/>
        <stp>EM_HKS_VAL_MV</stp>
        <stp>3</stp>
        <stp>002096</stp>
        <stp>2019-12-31</stp>
        <stp>2</stp>
        <tr r="L3632" s="1"/>
      </tp>
      <tp>
        <v>2502830926.1999998</v>
        <stp/>
        <stp>EM_HKS_VAL_MV</stp>
        <stp>3</stp>
        <stp>002196</stp>
        <stp>2019-12-31</stp>
        <stp>2</stp>
        <tr r="L1966" s="1"/>
      </tp>
      <tp>
        <v>2998185103.1999998</v>
        <stp/>
        <stp>EM_HKS_VAL_MV</stp>
        <stp>3</stp>
        <stp>002296</stp>
        <stp>2019-12-31</stp>
        <stp>2</stp>
        <tr r="L457" s="1"/>
      </tp>
      <tp>
        <v>20741446685.68</v>
        <stp/>
        <stp>EM_HKS_VAL_MV</stp>
        <stp>3</stp>
        <stp>002396</stp>
        <stp>2019-12-31</stp>
        <stp>2</stp>
        <tr r="L155" s="1"/>
      </tp>
      <tp>
        <v>4311628017.8400002</v>
        <stp/>
        <stp>EM_HKS_VAL_MV</stp>
        <stp>3</stp>
        <stp>002496</stp>
        <stp>2019-12-31</stp>
        <stp>2</stp>
        <tr r="L600" s="1"/>
      </tp>
      <tp>
        <v>7479307667</v>
        <stp/>
        <stp>EM_HKS_VAL_MV</stp>
        <stp>3</stp>
        <stp>002596</stp>
        <stp>2019-12-31</stp>
        <stp>2</stp>
        <tr r="L1810" s="1"/>
      </tp>
      <tp>
        <v>2096321460</v>
        <stp/>
        <stp>EM_HKS_VAL_MV</stp>
        <stp>3</stp>
        <stp>002696</stp>
        <stp>2019-12-31</stp>
        <stp>2</stp>
        <tr r="L3242" s="1"/>
      </tp>
      <tp>
        <v>6058489752</v>
        <stp/>
        <stp>EM_HKS_VAL_MV</stp>
        <stp>3</stp>
        <stp>002796</stp>
        <stp>2019-12-31</stp>
        <stp>2</stp>
        <tr r="L2130" s="1"/>
      </tp>
      <tp>
        <v>1758400000</v>
        <stp/>
        <stp>EM_HKS_VAL_MV</stp>
        <stp>3</stp>
        <stp>002896</stp>
        <stp>2019-12-31</stp>
        <stp>2</stp>
        <tr r="L3187" s="1"/>
      </tp>
      <tp>
        <v>6019200000</v>
        <stp/>
        <stp>EM_HKS_VAL_MV</stp>
        <stp>3</stp>
        <stp>000096</stp>
        <stp>2019-12-31</stp>
        <stp>2</stp>
        <tr r="L1146" s="1"/>
      </tp>
      <tp>
        <v>68449312000</v>
        <stp/>
        <stp>EM_HKS_VAL_MV</stp>
        <stp>3</stp>
        <stp>000596</stp>
        <stp>2019-12-31</stp>
        <stp>2</stp>
        <tr r="L77" s="1"/>
      </tp>
      <tp>
        <v>7315332350.3800001</v>
        <stp/>
        <stp>EM_HKS_VAL_MV</stp>
        <stp>3</stp>
        <stp>000796</stp>
        <stp>2019-12-31</stp>
        <stp>2</stp>
        <tr r="L776" s="1"/>
      </tp>
      <tp>
        <v>3657000000</v>
        <stp/>
        <stp>EM_HKS_VAL_MV</stp>
        <stp>3</stp>
        <stp>000996</stp>
        <stp>2019-12-31</stp>
        <stp>2</stp>
        <tr r="L1113" s="1"/>
      </tp>
      <tp>
        <v>6664056674.3999996</v>
        <stp/>
        <stp>EM_HKS_VAL_MV</stp>
        <stp>3</stp>
        <stp>001696</stp>
        <stp>2019-12-31</stp>
        <stp>2</stp>
        <tr r="L863" s="1"/>
      </tp>
      <tp>
        <v>4096092735.3200002</v>
        <stp/>
        <stp>EM_HKS_VAL_MV</stp>
        <stp>3</stp>
        <stp>001896</stp>
        <stp>2019-12-31</stp>
        <stp>2</stp>
        <tr r="L3602" s="1"/>
      </tp>
      <tp>
        <v>6395896294.1999998</v>
        <stp/>
        <stp>EM_HKS_VAL_MV</stp>
        <stp>3</stp>
        <stp>002097</stp>
        <stp>2019-12-31</stp>
        <stp>2</stp>
        <tr r="L1946" s="1"/>
      </tp>
      <tp>
        <v>4121255584</v>
        <stp/>
        <stp>EM_HKS_VAL_MV</stp>
        <stp>3</stp>
        <stp>002197</stp>
        <stp>2019-12-31</stp>
        <stp>2</stp>
        <tr r="L1474" s="1"/>
      </tp>
      <tp>
        <v>3025842588.9000001</v>
        <stp/>
        <stp>EM_HKS_VAL_MV</stp>
        <stp>3</stp>
        <stp>002297</stp>
        <stp>2019-12-31</stp>
        <stp>2</stp>
        <tr r="L1894" s="1"/>
      </tp>
      <tp>
        <v>3743950070.6999998</v>
        <stp/>
        <stp>EM_HKS_VAL_MV</stp>
        <stp>3</stp>
        <stp>002397</stp>
        <stp>2019-12-31</stp>
        <stp>2</stp>
        <tr r="L1300" s="1"/>
      </tp>
      <tp>
        <v>7449174392.3100004</v>
        <stp/>
        <stp>EM_HKS_VAL_MV</stp>
        <stp>3</stp>
        <stp>002497</stp>
        <stp>2019-12-31</stp>
        <stp>2</stp>
        <tr r="L1848" s="1"/>
      </tp>
      <tp>
        <v>12633820246.110001</v>
        <stp/>
        <stp>EM_HKS_VAL_MV</stp>
        <stp>3</stp>
        <stp>002597</stp>
        <stp>2019-12-31</stp>
        <stp>2</stp>
        <tr r="L765" s="1"/>
      </tp>
      <tp>
        <v>10268000000</v>
        <stp/>
        <stp>EM_HKS_VAL_MV</stp>
        <stp>3</stp>
        <stp>002697</stp>
        <stp>2019-12-31</stp>
        <stp>2</stp>
        <tr r="L629" s="1"/>
      </tp>
      <tp>
        <v>28999872000</v>
        <stp/>
        <stp>EM_HKS_VAL_MV</stp>
        <stp>3</stp>
        <stp>002797</stp>
        <stp>2019-12-31</stp>
        <stp>2</stp>
        <tr r="L505" s="1"/>
      </tp>
      <tp>
        <v>4579129760</v>
        <stp/>
        <stp>EM_HKS_VAL_MV</stp>
        <stp>3</stp>
        <stp>002897</stp>
        <stp>2019-12-31</stp>
        <stp>2</stp>
        <tr r="L887" s="1"/>
      </tp>
      <tp>
        <v>6749260659.8000002</v>
        <stp/>
        <stp>EM_HKS_VAL_MV</stp>
        <stp>3</stp>
        <stp>000597</stp>
        <stp>2019-12-31</stp>
        <stp>2</stp>
        <tr r="L3256" s="1"/>
      </tp>
      <tp>
        <v>7119130225.3999996</v>
        <stp/>
        <stp>EM_HKS_VAL_MV</stp>
        <stp>3</stp>
        <stp>000697</stp>
        <stp>2019-12-31</stp>
        <stp>2</stp>
        <tr r="L2913" s="1"/>
      </tp>
      <tp>
        <v>5484586487.9700003</v>
        <stp/>
        <stp>EM_HKS_VAL_MV</stp>
        <stp>3</stp>
        <stp>000797</stp>
        <stp>2019-12-31</stp>
        <stp>2</stp>
        <tr r="L3127" s="1"/>
      </tp>
      <tp>
        <v>3396271691.4000001</v>
        <stp/>
        <stp>EM_HKS_VAL_MV</stp>
        <stp>3</stp>
        <stp>000897</stp>
        <stp>2019-12-31</stp>
        <stp>2</stp>
        <tr r="L3568" s="1"/>
      </tp>
      <tp>
        <v>16577445105.959999</v>
        <stp/>
        <stp>EM_HKS_VAL_MV</stp>
        <stp>3</stp>
        <stp>000997</stp>
        <stp>2019-12-31</stp>
        <stp>2</stp>
        <tr r="L1814" s="1"/>
      </tp>
      <tp>
        <v>3316308235.1999998</v>
        <stp/>
        <stp>EM_HKS_VAL_MV</stp>
        <stp>3</stp>
        <stp>002094</stp>
        <stp>2019-12-31</stp>
        <stp>2</stp>
        <tr r="L2354" s="1"/>
      </tp>
      <tp>
        <v>10926359120.700001</v>
        <stp/>
        <stp>EM_HKS_VAL_MV</stp>
        <stp>3</stp>
        <stp>002194</stp>
        <stp>2019-12-31</stp>
        <stp>2</stp>
        <tr r="L48" s="1"/>
      </tp>
      <tp>
        <v>20857559040</v>
        <stp/>
        <stp>EM_HKS_VAL_MV</stp>
        <stp>3</stp>
        <stp>002294</stp>
        <stp>2019-12-31</stp>
        <stp>2</stp>
        <tr r="L2519" s="1"/>
      </tp>
      <tp>
        <v>3184690080</v>
        <stp/>
        <stp>EM_HKS_VAL_MV</stp>
        <stp>3</stp>
        <stp>002394</stp>
        <stp>2019-12-31</stp>
        <stp>2</stp>
        <tr r="L2636" s="1"/>
      </tp>
      <tp>
        <v>2259386393.48</v>
        <stp/>
        <stp>EM_HKS_VAL_MV</stp>
        <stp>3</stp>
        <stp>002494</stp>
        <stp>2019-12-31</stp>
        <stp>2</stp>
        <tr r="L2654" s="1"/>
      </tp>
      <tp>
        <v>130050569897.85001</v>
        <stp/>
        <stp>EM_HKS_VAL_MV</stp>
        <stp>3</stp>
        <stp>002594</stp>
        <stp>2019-12-31</stp>
        <stp>2</stp>
        <tr r="L2634" s="1"/>
      </tp>
      <tp>
        <v>1940889600</v>
        <stp/>
        <stp>EM_HKS_VAL_MV</stp>
        <stp>3</stp>
        <stp>002694</stp>
        <stp>2019-12-31</stp>
        <stp>2</stp>
        <tr r="L3113" s="1"/>
      </tp>
      <tp>
        <v>1926965740.6800001</v>
        <stp/>
        <stp>EM_HKS_VAL_MV</stp>
        <stp>3</stp>
        <stp>000594</stp>
        <stp>2019-12-31</stp>
        <stp>2</stp>
        <tr r="L3474" s="1"/>
      </tp>
      <tp>
        <v>5630601600</v>
        <stp/>
        <stp>EM_HKS_VAL_MV</stp>
        <stp>3</stp>
        <stp>002095</stp>
        <stp>2019-12-31</stp>
        <stp>2</stp>
        <tr r="L1584" s="1"/>
      </tp>
      <tp>
        <v>18638481609.889999</v>
        <stp/>
        <stp>EM_HKS_VAL_MV</stp>
        <stp>3</stp>
        <stp>002195</stp>
        <stp>2019-12-31</stp>
        <stp>2</stp>
        <tr r="L2857" s="1"/>
      </tp>
      <tp>
        <v>1932249360</v>
        <stp/>
        <stp>EM_HKS_VAL_MV</stp>
        <stp>3</stp>
        <stp>002295</stp>
        <stp>2019-12-31</stp>
        <stp>2</stp>
        <tr r="L2213" s="1"/>
      </tp>
      <tp>
        <v>4613194800</v>
        <stp/>
        <stp>EM_HKS_VAL_MV</stp>
        <stp>3</stp>
        <stp>002395</stp>
        <stp>2019-12-31</stp>
        <stp>2</stp>
        <tr r="L101" s="1"/>
      </tp>
      <tp>
        <v>2694601728</v>
        <stp/>
        <stp>EM_HKS_VAL_MV</stp>
        <stp>3</stp>
        <stp>002495</stp>
        <stp>2019-12-31</stp>
        <stp>2</stp>
        <tr r="L2707" s="1"/>
      </tp>
      <tp>
        <v>15120000000</v>
        <stp/>
        <stp>EM_HKS_VAL_MV</stp>
        <stp>3</stp>
        <stp>002595</stp>
        <stp>2019-12-31</stp>
        <stp>2</stp>
        <tr r="L1354" s="1"/>
      </tp>
      <tp>
        <v>8419405694.3999996</v>
        <stp/>
        <stp>EM_HKS_VAL_MV</stp>
        <stp>3</stp>
        <stp>002695</stp>
        <stp>2019-12-31</stp>
        <stp>2</stp>
        <tr r="L430" s="1"/>
      </tp>
      <tp>
        <v>2786000000</v>
        <stp/>
        <stp>EM_HKS_VAL_MV</stp>
        <stp>3</stp>
        <stp>002795</stp>
        <stp>2019-12-31</stp>
        <stp>2</stp>
        <tr r="L2685" s="1"/>
      </tp>
      <tp>
        <v>5046409880</v>
        <stp/>
        <stp>EM_HKS_VAL_MV</stp>
        <stp>3</stp>
        <stp>002895</stp>
        <stp>2019-12-31</stp>
        <stp>2</stp>
        <tr r="L2097" s="1"/>
      </tp>
      <tp>
        <v>2438050807.5</v>
        <stp/>
        <stp>EM_HKS_VAL_MV</stp>
        <stp>3</stp>
        <stp>000595</stp>
        <stp>2019-12-31</stp>
        <stp>2</stp>
        <tr r="L3475" s="1"/>
      </tp>
      <tp>
        <v>1661663591.72</v>
        <stp/>
        <stp>EM_HKS_VAL_MV</stp>
        <stp>3</stp>
        <stp>000695</stp>
        <stp>2019-12-31</stp>
        <stp>2</stp>
        <tr r="L2992" s="1"/>
      </tp>
      <tp>
        <v>6904136187.2700005</v>
        <stp/>
        <stp>EM_HKS_VAL_MV</stp>
        <stp>3</stp>
        <stp>000795</stp>
        <stp>2019-12-31</stp>
        <stp>2</stp>
        <tr r="L292" s="1"/>
      </tp>
      <tp>
        <v>96358761975.699997</v>
        <stp/>
        <stp>EM_HKS_VAL_MV</stp>
        <stp>3</stp>
        <stp>000895</stp>
        <stp>2019-12-31</stp>
        <stp>2</stp>
        <tr r="L3567" s="1"/>
      </tp>
      <tp>
        <v>1325237760</v>
        <stp/>
        <stp>EM_HKS_VAL_MV</stp>
        <stp>3</stp>
        <stp>000995</stp>
        <stp>2019-12-31</stp>
        <stp>2</stp>
        <tr r="L3601" s="1"/>
      </tp>
      <tp>
        <v>15.1246861958005</v>
        <stp/>
        <stp>EM_S_VAL_PETTMDEDUCTED</stp>
        <stp>2</stp>
        <stp>001696</stp>
        <stp>12/31/2018</stp>
        <tr r="M863" s="1"/>
      </tp>
      <tp>
        <v>6.4414972068605696</v>
        <stp/>
        <stp>EM_S_VAL_PETTMDEDUCTED</stp>
        <stp>2</stp>
        <stp>601699</stp>
        <stp>12/31/2018</stp>
        <tr r="M1809" s="1"/>
      </tp>
      <tp>
        <v>23.345999834678899</v>
        <stp/>
        <stp>EM_S_VAL_PETTMDEDUCTED</stp>
        <stp>2</stp>
        <stp>601688</stp>
        <stp>12/31/2018</stp>
        <tr r="M1013" s="1"/>
      </tp>
      <tp>
        <v>14.3873597724841</v>
        <stp/>
        <stp>EM_S_VAL_PETTMDEDUCTED</stp>
        <stp>2</stp>
        <stp>601689</stp>
        <stp>12/31/2018</stp>
        <tr r="M1375" s="1"/>
      </tp>
      <tp>
        <v>7.1572535497510197</v>
        <stp/>
        <stp>EM_S_VAL_PETTMDEDUCTED</stp>
        <stp>2</stp>
        <stp>601678</stp>
        <stp>12/31/2018</stp>
        <tr r="M1202" s="1"/>
      </tp>
      <tp>
        <v>13.8084855692536</v>
        <stp/>
        <stp>EM_S_VAL_PETTMDEDUCTED</stp>
        <stp>2</stp>
        <stp>601677</stp>
        <stp>12/31/2018</stp>
        <tr r="M925" s="1"/>
      </tp>
      <tp>
        <v>7.1676750098882396</v>
        <stp/>
        <stp>EM_S_VAL_PETTMDEDUCTED</stp>
        <stp>2</stp>
        <stp>601668</stp>
        <stp>12/31/2018</stp>
        <tr r="M2444" s="1"/>
      </tp>
      <tp>
        <v>10.935861649903</v>
        <stp/>
        <stp>EM_S_VAL_PETTMDEDUCTED</stp>
        <stp>2</stp>
        <stp>601669</stp>
        <stp>12/31/2018</stp>
        <tr r="M2887" s="1"/>
      </tp>
      <tp>
        <v>9.3272589685792404</v>
        <stp/>
        <stp>EM_S_VAL_PETTMDEDUCTED</stp>
        <stp>2</stp>
        <stp>601666</stp>
        <stp>12/31/2018</stp>
        <tr r="M1590" s="1"/>
      </tp>
      <tp>
        <v>8.6740135559139908</v>
        <stp/>
        <stp>EM_S_VAL_PETTMDEDUCTED</stp>
        <stp>2</stp>
        <stp>601636</stp>
        <stp>12/31/2018</stp>
        <tr r="M666" s="1"/>
      </tp>
      <tp>
        <v>9.3113008062951508</v>
        <stp/>
        <stp>EM_S_VAL_PETTMDEDUCTED</stp>
        <stp>2</stp>
        <stp>601633</stp>
        <stp>12/31/2018</stp>
        <tr r="M446" s="1"/>
      </tp>
      <tp>
        <v>22.567934171985701</v>
        <stp/>
        <stp>EM_S_VAL_PETTMDEDUCTED</stp>
        <stp>2</stp>
        <stp>601628</stp>
        <stp>12/31/2018</stp>
        <tr r="M308" s="1"/>
      </tp>
      <tp>
        <v>11.0162322254392</v>
        <stp/>
        <stp>EM_S_VAL_PETTMDEDUCTED</stp>
        <stp>2</stp>
        <stp>601618</stp>
        <stp>12/31/2018</stp>
        <tr r="M2782" s="1"/>
      </tp>
      <tp>
        <v>33.896634749229499</v>
        <stp/>
        <stp>EM_S_VAL_PETTMDEDUCTED</stp>
        <stp>2</stp>
        <stp>601619</stp>
        <stp>12/31/2018</stp>
        <tr r="M3015" s="1"/>
      </tp>
      <tp>
        <v>375.61959533206402</v>
        <stp/>
        <stp>EM_S_VAL_PETTMDEDUCTED</stp>
        <stp>2</stp>
        <stp>601616</stp>
        <stp>12/31/2018</stp>
        <tr r="M2516" s="1"/>
      </tp>
      <tp>
        <v>18.859530406447099</v>
        <stp/>
        <stp>EM_S_VAL_PETTMDEDUCTED</stp>
        <stp>2</stp>
        <stp>601611</stp>
        <stp>12/31/2018</stp>
        <tr r="M1819" s="1"/>
      </tp>
      <tp>
        <v>-233.05183880295101</v>
        <stp/>
        <stp>EM_S_VAL_PETTMDEDUCTED</stp>
        <stp>2</stp>
        <stp>601608</stp>
        <stp>12/31/2018</stp>
        <tr r="M692" s="1"/>
      </tp>
      <tp>
        <v>16.345193872579301</v>
        <stp/>
        <stp>EM_S_VAL_PETTMDEDUCTED</stp>
        <stp>2</stp>
        <stp>601607</stp>
        <stp>12/31/2018</stp>
        <tr r="M1979" s="1"/>
      </tp>
      <tp>
        <v>192.22113780227301</v>
        <stp/>
        <stp>EM_S_VAL_PETTMDEDUCTED</stp>
        <stp>2</stp>
        <stp>601600</stp>
        <stp>12/31/2018</stp>
        <tr r="M2346" s="1"/>
      </tp>
      <tp>
        <v>15.752531947416699</v>
        <stp/>
        <stp>EM_S_VAL_PETTMDEDUCTED</stp>
        <stp>2</stp>
        <stp>601601</stp>
        <stp>12/31/2018</stp>
        <tr r="M836" s="1"/>
      </tp>
      <tp>
        <v>-8.9587274032428503</v>
        <stp/>
        <stp>EM_S_VAL_PETTMDEDUCTED</stp>
        <stp>2</stp>
        <stp>601798</stp>
        <stp>12/31/2018</stp>
        <tr r="M1042" s="1"/>
      </tp>
      <tp>
        <v>25.377694873020999</v>
        <stp/>
        <stp>EM_S_VAL_PETTMDEDUCTED</stp>
        <stp>2</stp>
        <stp>601799</stp>
        <stp>12/31/2018</stp>
        <tr r="M166" s="1"/>
      </tp>
      <tp>
        <v>22.781418342509902</v>
        <stp/>
        <stp>EM_S_VAL_PETTMDEDUCTED</stp>
        <stp>2</stp>
        <stp>601788</stp>
        <stp>12/31/2018</stp>
        <tr r="M576" s="1"/>
      </tp>
      <tp>
        <v>15.6238920415951</v>
        <stp/>
        <stp>EM_S_VAL_PETTMDEDUCTED</stp>
        <stp>2</stp>
        <stp>601789</stp>
        <stp>12/31/2018</stp>
        <tr r="M1262" s="1"/>
      </tp>
      <tp>
        <v>-23.530121636350302</v>
        <stp/>
        <stp>EM_S_VAL_PETTMDEDUCTED</stp>
        <stp>2</stp>
        <stp>601777</stp>
        <stp>12/31/2018</stp>
        <tr r="M3037" s="1"/>
      </tp>
      <tp>
        <v>30.836849163674302</v>
        <stp/>
        <stp>EM_S_VAL_PETTMDEDUCTED</stp>
        <stp>2</stp>
        <stp>601766</stp>
        <stp>12/31/2018</stp>
        <tr r="M3076" s="1"/>
      </tp>
      <tp>
        <v>36.432275080161901</v>
        <stp/>
        <stp>EM_S_VAL_PETTMDEDUCTED</stp>
        <stp>2</stp>
        <stp>601727</stp>
        <stp>12/31/2018</stp>
        <tr r="M2339" s="1"/>
      </tp>
      <tp>
        <v>-63.251742696297697</v>
        <stp/>
        <stp>EM_S_VAL_PETTMDEDUCTED</stp>
        <stp>2</stp>
        <stp>601718</stp>
        <stp>12/31/2018</stp>
        <tr r="M2524" s="1"/>
      </tp>
      <tp>
        <v>15.868499656439701</v>
        <stp/>
        <stp>EM_S_VAL_PETTMDEDUCTED</stp>
        <stp>2</stp>
        <stp>601717</stp>
        <stp>12/31/2018</stp>
        <tr r="M1407" s="1"/>
      </tp>
      <tp>
        <v>-581.80554304488703</v>
        <stp/>
        <stp>EM_S_VAL_PETTMDEDUCTED</stp>
        <stp>2</stp>
        <stp>601700</stp>
        <stp>12/31/2018</stp>
        <tr r="M297" s="1"/>
      </tp>
      <tp>
        <v>12.707638811071099</v>
        <stp/>
        <stp>EM_S_VAL_PETTMDEDUCTED</stp>
        <stp>2</stp>
        <stp>601599</stp>
        <stp>12/31/2018</stp>
        <tr r="M1857" s="1"/>
      </tp>
      <tp>
        <v>40.160584639045197</v>
        <stp/>
        <stp>EM_S_VAL_PETTMDEDUCTED</stp>
        <stp>2</stp>
        <stp>601595</stp>
        <stp>12/31/2018</stp>
        <tr r="M1270" s="1"/>
      </tp>
      <tp>
        <v>5.9105632237492101</v>
        <stp/>
        <stp>EM_S_VAL_PETTMDEDUCTED</stp>
        <stp>2</stp>
        <stp>601588</stp>
        <stp>12/31/2018</stp>
        <tr r="M1361" s="1"/>
      </tp>
      <tp>
        <v>25.954364127874999</v>
        <stp/>
        <stp>EM_S_VAL_PETTMDEDUCTED</stp>
        <stp>2</stp>
        <stp>601579</stp>
        <stp>12/31/2018</stp>
        <tr r="M2532" s="1"/>
      </tp>
      <tp>
        <v>17.651126426978301</v>
        <stp/>
        <stp>EM_S_VAL_PETTMDEDUCTED</stp>
        <stp>2</stp>
        <stp>601566</stp>
        <stp>12/31/2018</stp>
        <tr r="M2920" s="1"/>
      </tp>
      <tp>
        <v>12.2304456653661</v>
        <stp/>
        <stp>EM_S_VAL_PETTMDEDUCTED</stp>
        <stp>2</stp>
        <stp>601567</stp>
        <stp>12/31/2018</stp>
        <tr r="M931" s="1"/>
      </tp>
      <tp>
        <v>-13.489032987212299</v>
        <stp/>
        <stp>EM_S_VAL_PETTMDEDUCTED</stp>
        <stp>2</stp>
        <stp>601558</stp>
        <stp>12/31/2018</stp>
        <tr r="M2379" s="1"/>
      </tp>
      <tp>
        <v>127.296026943336</v>
        <stp/>
        <stp>EM_S_VAL_PETTMDEDUCTED</stp>
        <stp>2</stp>
        <stp>601555</stp>
        <stp>12/31/2018</stp>
        <tr r="M582" s="1"/>
      </tp>
      <tp>
        <v>20.938463119756999</v>
        <stp/>
        <stp>EM_S_VAL_PETTMDEDUCTED</stp>
        <stp>2</stp>
        <stp>601518</stp>
        <stp>12/31/2018</stp>
        <tr r="M2183" s="1"/>
      </tp>
      <tp>
        <v>-568.42613862149199</v>
        <stp/>
        <stp>EM_S_VAL_PETTMDEDUCTED</stp>
        <stp>2</stp>
        <stp>601519</stp>
        <stp>12/31/2018</stp>
        <tr r="M99" s="1"/>
      </tp>
      <tp>
        <v>12.831074919382401</v>
        <stp/>
        <stp>EM_S_VAL_PETTMDEDUCTED</stp>
        <stp>2</stp>
        <stp>601515</stp>
        <stp>12/31/2018</stp>
        <tr r="M2559" s="1"/>
      </tp>
      <tp>
        <v>32.068462369642099</v>
        <stp/>
        <stp>EM_S_VAL_PETTMDEDUCTED</stp>
        <stp>2</stp>
        <stp>601500</stp>
        <stp>12/31/2018</stp>
        <tr r="M2436" s="1"/>
      </tp>
      <tp>
        <v>67.125203492160296</v>
        <stp/>
        <stp>EM_S_VAL_PETTMDEDUCTED</stp>
        <stp>2</stp>
        <stp>601299</stp>
        <stp>12/31/2018</stp>
        <tr r="M2336" s="1"/>
      </tp>
      <tp>
        <v>6.1655929627736699</v>
        <stp/>
        <stp>EM_S_VAL_PETTMDEDUCTED</stp>
        <stp>2</stp>
        <stp>601288</stp>
        <stp>12/31/2018</stp>
        <tr r="M2090" s="1"/>
      </tp>
      <tp>
        <v>51.457314342155499</v>
        <stp/>
        <stp>EM_S_VAL_PETTMDEDUCTED</stp>
        <stp>2</stp>
        <stp>601268</stp>
        <stp>12/31/2018</stp>
        <tr r="M2338" s="1"/>
      </tp>
      <tp>
        <v>-5.6131543467459499</v>
        <stp/>
        <stp>EM_S_VAL_PETTMDEDUCTED</stp>
        <stp>2</stp>
        <stp>601258</stp>
        <stp>12/31/2018</stp>
        <tr r="M2081" s="1"/>
      </tp>
      <tp>
        <v>9.9015396456404492</v>
        <stp/>
        <stp>EM_S_VAL_PETTMDEDUCTED</stp>
        <stp>2</stp>
        <stp>601238</stp>
        <stp>12/31/2018</stp>
        <tr r="M1583" s="1"/>
      </tp>
      <tp>
        <v>5.7642177744715397</v>
        <stp/>
        <stp>EM_S_VAL_PETTMDEDUCTED</stp>
        <stp>2</stp>
        <stp>601233</stp>
        <stp>12/31/2018</stp>
        <tr r="M521" s="1"/>
      </tp>
      <tp>
        <v>17.271262842533201</v>
        <stp/>
        <stp>EM_S_VAL_PETTMDEDUCTED</stp>
        <stp>2</stp>
        <stp>601231</stp>
        <stp>12/31/2018</stp>
        <tr r="M130" s="1"/>
      </tp>
      <tp>
        <v>33.805553878598197</v>
        <stp/>
        <stp>EM_S_VAL_PETTMDEDUCTED</stp>
        <stp>2</stp>
        <stp>601228</stp>
        <stp>12/31/2018</stp>
        <tr r="M2498" s="1"/>
      </tp>
      <tp>
        <v>6.8653476298169904</v>
        <stp/>
        <stp>EM_S_VAL_PETTMDEDUCTED</stp>
        <stp>2</stp>
        <stp>601229</stp>
        <stp>12/31/2018</stp>
        <tr r="M2929" s="1"/>
      </tp>
      <tp>
        <v>74.500027634817698</v>
        <stp/>
        <stp>EM_S_VAL_PETTMDEDUCTED</stp>
        <stp>2</stp>
        <stp>601226</stp>
        <stp>12/31/2018</stp>
        <tr r="M1486" s="1"/>
      </tp>
      <tp>
        <v>6.62206757558282</v>
        <stp/>
        <stp>EM_S_VAL_PETTMDEDUCTED</stp>
        <stp>2</stp>
        <stp>601225</stp>
        <stp>12/31/2018</stp>
        <tr r="M1210" s="1"/>
      </tp>
      <tp>
        <v>11.246842573716499</v>
        <stp/>
        <stp>EM_S_VAL_PETTMDEDUCTED</stp>
        <stp>2</stp>
        <stp>601222</stp>
        <stp>12/31/2018</stp>
        <tr r="M2421" s="1"/>
      </tp>
      <tp>
        <v>-18.903848810983</v>
        <stp/>
        <stp>EM_S_VAL_PETTMDEDUCTED</stp>
        <stp>2</stp>
        <stp>601218</stp>
        <stp>12/31/2018</stp>
        <tr r="M1106" s="1"/>
      </tp>
      <tp>
        <v>9.1651842949334394</v>
        <stp/>
        <stp>EM_S_VAL_PETTMDEDUCTED</stp>
        <stp>2</stp>
        <stp>601216</stp>
        <stp>12/31/2018</stp>
        <tr r="M1321" s="1"/>
      </tp>
      <tp>
        <v>-62.827666091547499</v>
        <stp/>
        <stp>EM_S_VAL_PETTMDEDUCTED</stp>
        <stp>2</stp>
        <stp>601212</stp>
        <stp>12/31/2018</stp>
        <tr r="M1088" s="1"/>
      </tp>
      <tp>
        <v>18.245828705726101</v>
        <stp/>
        <stp>EM_S_VAL_PETTMDEDUCTED</stp>
        <stp>2</stp>
        <stp>601211</stp>
        <stp>12/31/2018</stp>
        <tr r="M1188" s="1"/>
      </tp>
      <tp>
        <v>129.336512015631</v>
        <stp/>
        <stp>EM_S_VAL_PETTMDEDUCTED</stp>
        <stp>2</stp>
        <stp>601208</stp>
        <stp>12/31/2018</stp>
        <tr r="M874" s="1"/>
      </tp>
      <tp>
        <v>0</v>
        <stp/>
        <stp>EM_S_VAL_PETTMDEDUCTED</stp>
        <stp>2</stp>
        <stp>601206</stp>
        <stp>12/31/2018</stp>
        <tr r="M13" s="1"/>
      </tp>
      <tp>
        <v>23.294815029126202</v>
        <stp/>
        <stp>EM_S_VAL_PETTMDEDUCTED</stp>
        <stp>2</stp>
        <stp>601200</stp>
        <stp>12/31/2018</stp>
        <tr r="M2980" s="1"/>
      </tp>
      <tp>
        <v>6.3814367285074898</v>
        <stp/>
        <stp>EM_S_VAL_PETTMDEDUCTED</stp>
        <stp>2</stp>
        <stp>601398</stp>
        <stp>12/31/2018</stp>
        <tr r="M1662" s="1"/>
      </tp>
      <tp>
        <v>9.3789317131020198</v>
        <stp/>
        <stp>EM_S_VAL_PETTMDEDUCTED</stp>
        <stp>2</stp>
        <stp>601390</stp>
        <stp>12/31/2018</stp>
        <tr r="M2944" s="1"/>
      </tp>
      <tp>
        <v>26.1178375448842</v>
        <stp/>
        <stp>EM_S_VAL_PETTMDEDUCTED</stp>
        <stp>2</stp>
        <stp>601388</stp>
        <stp>12/31/2018</stp>
        <tr r="M2423" s="1"/>
      </tp>
      <tp>
        <v>32.829734744177102</v>
        <stp/>
        <stp>EM_S_VAL_PETTMDEDUCTED</stp>
        <stp>2</stp>
        <stp>601377</stp>
        <stp>12/31/2018</stp>
        <tr r="M499" s="1"/>
      </tp>
      <tp>
        <v>80.310321650062605</v>
        <stp/>
        <stp>EM_S_VAL_PETTMDEDUCTED</stp>
        <stp>2</stp>
        <stp>601375</stp>
        <stp>12/31/2018</stp>
        <tr r="M1087" s="1"/>
      </tp>
      <tp>
        <v>15.411039577209101</v>
        <stp/>
        <stp>EM_S_VAL_PETTMDEDUCTED</stp>
        <stp>2</stp>
        <stp>601368</stp>
        <stp>12/31/2018</stp>
        <tr r="M2204" s="1"/>
      </tp>
      <tp>
        <v>153.90895075157201</v>
        <stp/>
        <stp>EM_S_VAL_PETTMDEDUCTED</stp>
        <stp>2</stp>
        <stp>601369</stp>
        <stp>12/31/2018</stp>
        <tr r="M1777" s="1"/>
      </tp>
      <tp>
        <v>14.825107872467401</v>
        <stp/>
        <stp>EM_S_VAL_PETTMDEDUCTED</stp>
        <stp>2</stp>
        <stp>601366</stp>
        <stp>12/31/2018</stp>
        <tr r="M2886" s="1"/>
      </tp>
      <tp>
        <v>-1873.5486528215199</v>
        <stp/>
        <stp>EM_S_VAL_PETTMDEDUCTED</stp>
        <stp>2</stp>
        <stp>601360</stp>
        <stp>12/31/2018</stp>
        <tr r="M1479" s="1"/>
      </tp>
      <tp>
        <v>17.8540523837863</v>
        <stp/>
        <stp>EM_S_VAL_PETTMDEDUCTED</stp>
        <stp>2</stp>
        <stp>601339</stp>
        <stp>12/31/2018</stp>
        <tr r="M3196" s="1"/>
      </tp>
      <tp>
        <v>16.2237932016745</v>
        <stp/>
        <stp>EM_S_VAL_PETTMDEDUCTED</stp>
        <stp>2</stp>
        <stp>601336</stp>
        <stp>12/31/2018</stp>
        <tr r="M1427" s="1"/>
      </tp>
      <tp>
        <v>19.3835587427021</v>
        <stp/>
        <stp>EM_S_VAL_PETTMDEDUCTED</stp>
        <stp>2</stp>
        <stp>601333</stp>
        <stp>12/31/2018</stp>
        <tr r="M2471" s="1"/>
      </tp>
      <tp>
        <v>52.172927409438898</v>
        <stp/>
        <stp>EM_S_VAL_PETTMDEDUCTED</stp>
        <stp>2</stp>
        <stp>601330</stp>
        <stp>12/31/2018</stp>
        <tr r="M2943" s="1"/>
      </tp>
      <tp>
        <v>5.92946642498966</v>
        <stp/>
        <stp>EM_S_VAL_PETTMDEDUCTED</stp>
        <stp>2</stp>
        <stp>601328</stp>
        <stp>12/31/2018</stp>
        <tr r="M2457" s="1"/>
      </tp>
      <tp>
        <v>16.9070804762544</v>
        <stp/>
        <stp>EM_S_VAL_PETTMDEDUCTED</stp>
        <stp>2</stp>
        <stp>601326</stp>
        <stp>12/31/2018</stp>
        <tr r="M2259" s="1"/>
      </tp>
      <tp>
        <v>10.033475619812201</v>
        <stp/>
        <stp>EM_S_VAL_PETTMDEDUCTED</stp>
        <stp>2</stp>
        <stp>601318</stp>
        <stp>12/31/2018</stp>
        <tr r="M516" s="1"/>
      </tp>
      <tp>
        <v>16.224476299964799</v>
        <stp/>
        <stp>EM_S_VAL_PETTMDEDUCTED</stp>
        <stp>2</stp>
        <stp>601311</stp>
        <stp>12/31/2018</stp>
        <tr r="M1920" s="1"/>
      </tp>
      <tp>
        <v>20.7165000253447</v>
        <stp/>
        <stp>EM_S_VAL_PETTMDEDUCTED</stp>
        <stp>2</stp>
        <stp>601098</stp>
        <stp>12/31/2018</stp>
        <tr r="M2563" s="1"/>
      </tp>
      <tp>
        <v>-121.370637134866</v>
        <stp/>
        <stp>EM_S_VAL_PETTMDEDUCTED</stp>
        <stp>2</stp>
        <stp>601099</stp>
        <stp>12/31/2018</stp>
        <tr r="M526" s="1"/>
      </tp>
      <tp>
        <v>7.7993402626973198</v>
        <stp/>
        <stp>EM_S_VAL_PETTMDEDUCTED</stp>
        <stp>2</stp>
        <stp>601088</stp>
        <stp>12/31/2018</stp>
        <tr r="M2181" s="1"/>
      </tp>
      <tp>
        <v>26.9754885495535</v>
        <stp/>
        <stp>EM_S_VAL_PETTMDEDUCTED</stp>
        <stp>2</stp>
        <stp>601086</stp>
        <stp>12/31/2018</stp>
        <tr r="M2246" s="1"/>
      </tp>
      <tp>
        <v>448.29080881285398</v>
        <stp/>
        <stp>EM_S_VAL_PETTMDEDUCTED</stp>
        <stp>2</stp>
        <stp>601069</stp>
        <stp>12/31/2018</stp>
        <tr r="M2244" s="1"/>
      </tp>
      <tp>
        <v>21.089474579724101</v>
        <stp/>
        <stp>EM_S_VAL_PETTMDEDUCTED</stp>
        <stp>2</stp>
        <stp>601066</stp>
        <stp>12/31/2018</stp>
        <tr r="M31" s="1"/>
      </tp>
      <tp>
        <v>9.6938323919611609</v>
        <stp/>
        <stp>EM_S_VAL_PETTMDEDUCTED</stp>
        <stp>2</stp>
        <stp>601058</stp>
        <stp>12/31/2018</stp>
        <tr r="M167" s="1"/>
      </tp>
      <tp>
        <v>-8.4100050262753001</v>
        <stp/>
        <stp>EM_S_VAL_PETTMDEDUCTED</stp>
        <stp>2</stp>
        <stp>601038</stp>
        <stp>12/31/2018</stp>
        <tr r="M646" s="1"/>
      </tp>
      <tp>
        <v>-186.498654669464</v>
        <stp/>
        <stp>EM_S_VAL_PETTMDEDUCTED</stp>
        <stp>2</stp>
        <stp>601028</stp>
        <stp>12/31/2018</stp>
        <tr r="M1709" s="1"/>
      </tp>
      <tp>
        <v>18.1510651341978</v>
        <stp/>
        <stp>EM_S_VAL_PETTMDEDUCTED</stp>
        <stp>2</stp>
        <stp>601020</stp>
        <stp>12/31/2018</stp>
        <tr r="M1826" s="1"/>
      </tp>
      <tp>
        <v>22.478580810710799</v>
        <stp/>
        <stp>EM_S_VAL_PETTMDEDUCTED</stp>
        <stp>2</stp>
        <stp>601021</stp>
        <stp>12/31/2018</stp>
        <tr r="M777" s="1"/>
      </tp>
      <tp>
        <v>17.525108914077901</v>
        <stp/>
        <stp>EM_S_VAL_PETTMDEDUCTED</stp>
        <stp>2</stp>
        <stp>601018</stp>
        <stp>12/31/2018</stp>
        <tr r="M1529" s="1"/>
      </tp>
      <tp>
        <v>11.6774601974187</v>
        <stp/>
        <stp>EM_S_VAL_PETTMDEDUCTED</stp>
        <stp>2</stp>
        <stp>601019</stp>
        <stp>12/31/2018</stp>
        <tr r="M2814" s="1"/>
      </tp>
      <tp>
        <v>17.6341285145235</v>
        <stp/>
        <stp>EM_S_VAL_PETTMDEDUCTED</stp>
        <stp>2</stp>
        <stp>601016</stp>
        <stp>12/31/2018</stp>
        <tr r="M2133" s="1"/>
      </tp>
      <tp>
        <v>26.997843436132399</v>
        <stp/>
        <stp>EM_S_VAL_PETTMDEDUCTED</stp>
        <stp>2</stp>
        <stp>601015</stp>
        <stp>12/31/2018</stp>
        <tr r="M3317" s="1"/>
      </tp>
      <tp>
        <v>17.0361660738841</v>
        <stp/>
        <stp>EM_S_VAL_PETTMDEDUCTED</stp>
        <stp>2</stp>
        <stp>601012</stp>
        <stp>12/31/2018</stp>
        <tr r="M682" s="1"/>
      </tp>
      <tp>
        <v>19.702585209428999</v>
        <stp/>
        <stp>EM_S_VAL_PETTMDEDUCTED</stp>
        <stp>2</stp>
        <stp>601010</stp>
        <stp>12/31/2018</stp>
        <tr r="M1981" s="1"/>
      </tp>
      <tp>
        <v>34.819385861200303</v>
        <stp/>
        <stp>EM_S_VAL_PETTMDEDUCTED</stp>
        <stp>2</stp>
        <stp>601011</stp>
        <stp>12/31/2018</stp>
        <tr r="M3003" s="1"/>
      </tp>
      <tp>
        <v>-90.604693662700399</v>
        <stp/>
        <stp>EM_S_VAL_PETTMDEDUCTED</stp>
        <stp>2</stp>
        <stp>601008</stp>
        <stp>12/31/2018</stp>
        <tr r="M1067" s="1"/>
      </tp>
      <tp>
        <v>5.0643145663585702</v>
        <stp/>
        <stp>EM_S_VAL_PETTMDEDUCTED</stp>
        <stp>2</stp>
        <stp>601009</stp>
        <stp>12/31/2018</stp>
        <tr r="M813" s="1"/>
      </tp>
      <tp>
        <v>8.5659680086157692</v>
        <stp/>
        <stp>EM_S_VAL_PETTMDEDUCTED</stp>
        <stp>2</stp>
        <stp>601006</stp>
        <stp>12/31/2018</stp>
        <tr r="M2343" s="1"/>
      </tp>
      <tp>
        <v>33.063567508490699</v>
        <stp/>
        <stp>EM_S_VAL_PETTMDEDUCTED</stp>
        <stp>2</stp>
        <stp>601007</stp>
        <stp>12/31/2018</stp>
        <tr r="M1482" s="1"/>
      </tp>
      <tp>
        <v>34.505697535194599</v>
        <stp/>
        <stp>EM_S_VAL_PETTMDEDUCTED</stp>
        <stp>2</stp>
        <stp>601005</stp>
        <stp>12/31/2018</stp>
        <tr r="M2547" s="1"/>
      </tp>
      <tp>
        <v>34.237950601598698</v>
        <stp/>
        <stp>EM_S_VAL_PETTMDEDUCTED</stp>
        <stp>2</stp>
        <stp>601002</stp>
        <stp>12/31/2018</stp>
        <tr r="M1815" s="1"/>
      </tp>
      <tp>
        <v>3.8066293367102699</v>
        <stp/>
        <stp>EM_S_VAL_PETTMDEDUCTED</stp>
        <stp>2</stp>
        <stp>601003</stp>
        <stp>12/31/2018</stp>
        <tr r="M2925" s="1"/>
      </tp>
      <tp>
        <v>9.2890754632401293</v>
        <stp/>
        <stp>EM_S_VAL_PETTMDEDUCTED</stp>
        <stp>2</stp>
        <stp>601000</stp>
        <stp>12/31/2018</stp>
        <tr r="M1833" s="1"/>
      </tp>
      <tp>
        <v>11.917400509887701</v>
        <stp/>
        <stp>EM_S_VAL_PETTMDEDUCTED</stp>
        <stp>2</stp>
        <stp>601001</stp>
        <stp>12/31/2018</stp>
        <tr r="M2169" s="1"/>
      </tp>
      <tp>
        <v>23.083518802929198</v>
        <stp/>
        <stp>EM_S_VAL_PETTMDEDUCTED</stp>
        <stp>2</stp>
        <stp>601198</stp>
        <stp>12/31/2018</stp>
        <tr r="M769" s="1"/>
      </tp>
      <tp>
        <v>19.557321372952298</v>
        <stp/>
        <stp>EM_S_VAL_PETTMDEDUCTED</stp>
        <stp>2</stp>
        <stp>601199</stp>
        <stp>12/31/2018</stp>
        <tr r="M1924" s="1"/>
      </tp>
      <tp>
        <v>11.786023760616899</v>
        <stp/>
        <stp>EM_S_VAL_PETTMDEDUCTED</stp>
        <stp>2</stp>
        <stp>601188</stp>
        <stp>12/31/2018</stp>
        <tr r="M2146" s="1"/>
      </tp>
      <tp>
        <v>8.7035490775664499</v>
        <stp/>
        <stp>EM_S_VAL_PETTMDEDUCTED</stp>
        <stp>2</stp>
        <stp>601186</stp>
        <stp>12/31/2018</stp>
        <tr r="M2665" s="1"/>
      </tp>
      <tp>
        <v>51.049171735279799</v>
        <stp/>
        <stp>EM_S_VAL_PETTMDEDUCTED</stp>
        <stp>2</stp>
        <stp>601179</stp>
        <stp>12/31/2018</stp>
        <tr r="M1813" s="1"/>
      </tp>
      <tp>
        <v>-247.512811271152</v>
        <stp/>
        <stp>EM_S_VAL_PETTMDEDUCTED</stp>
        <stp>2</stp>
        <stp>601177</stp>
        <stp>12/31/2018</stp>
        <tr r="M2162" s="1"/>
      </tp>
      <tp>
        <v>22.517160664013002</v>
        <stp/>
        <stp>EM_S_VAL_PETTMDEDUCTED</stp>
        <stp>2</stp>
        <stp>601168</stp>
        <stp>12/31/2018</stp>
        <tr r="M1406" s="1"/>
      </tp>
      <tp>
        <v>5.9667056575240203</v>
        <stp/>
        <stp>EM_S_VAL_PETTMDEDUCTED</stp>
        <stp>2</stp>
        <stp>601169</stp>
        <stp>12/31/2018</stp>
        <tr r="M2223" s="1"/>
      </tp>
      <tp>
        <v>5.5388944180308401</v>
        <stp/>
        <stp>EM_S_VAL_PETTMDEDUCTED</stp>
        <stp>2</stp>
        <stp>601166</stp>
        <stp>12/31/2018</stp>
        <tr r="M877" s="1"/>
      </tp>
      <tp>
        <v>25.397509469996301</v>
        <stp/>
        <stp>EM_S_VAL_PETTMDEDUCTED</stp>
        <stp>2</stp>
        <stp>601163</stp>
        <stp>12/31/2018</stp>
        <tr r="M828" s="1"/>
      </tp>
      <tp>
        <v>15.0389362102225</v>
        <stp/>
        <stp>EM_S_VAL_PETTMDEDUCTED</stp>
        <stp>2</stp>
        <stp>601158</stp>
        <stp>12/31/2018</stp>
        <tr r="M2337" s="1"/>
      </tp>
      <tp>
        <v>9.2673466552912007</v>
        <stp/>
        <stp>EM_S_VAL_PETTMDEDUCTED</stp>
        <stp>2</stp>
        <stp>601155</stp>
        <stp>12/31/2018</stp>
        <tr r="M397" s="1"/>
      </tp>
      <tp>
        <v>13.8919851531217</v>
        <stp/>
        <stp>EM_S_VAL_PETTMDEDUCTED</stp>
        <stp>2</stp>
        <stp>601138</stp>
        <stp>12/31/2018</stp>
        <tr r="M537" s="1"/>
      </tp>
      <tp>
        <v>17.240049058509101</v>
        <stp/>
        <stp>EM_S_VAL_PETTMDEDUCTED</stp>
        <stp>2</stp>
        <stp>601139</stp>
        <stp>12/31/2018</stp>
        <tr r="M649" s="1"/>
      </tp>
      <tp>
        <v>12.781885178284799</v>
        <stp/>
        <stp>EM_S_VAL_PETTMDEDUCTED</stp>
        <stp>2</stp>
        <stp>601137</stp>
        <stp>12/31/2018</stp>
        <tr r="M356" s="1"/>
      </tp>
      <tp>
        <v>9.1747615749241493</v>
        <stp/>
        <stp>EM_S_VAL_PETTMDEDUCTED</stp>
        <stp>2</stp>
        <stp>601128</stp>
        <stp>12/31/2018</stp>
        <tr r="M693" s="1"/>
      </tp>
      <tp>
        <v>18.469823622176602</v>
        <stp/>
        <stp>EM_S_VAL_PETTMDEDUCTED</stp>
        <stp>2</stp>
        <stp>601126</stp>
        <stp>12/31/2018</stp>
        <tr r="M1793" s="1"/>
      </tp>
      <tp>
        <v>358.25916213977001</v>
        <stp/>
        <stp>EM_S_VAL_PETTMDEDUCTED</stp>
        <stp>2</stp>
        <stp>601127</stp>
        <stp>12/31/2018</stp>
        <tr r="M3258" s="1"/>
      </tp>
      <tp>
        <v>-20.635829445047701</v>
        <stp/>
        <stp>EM_S_VAL_PETTMDEDUCTED</stp>
        <stp>2</stp>
        <stp>601118</stp>
        <stp>12/31/2018</stp>
        <tr r="M1724" s="1"/>
      </tp>
      <tp>
        <v>75.414213796010998</v>
        <stp/>
        <stp>EM_S_VAL_PETTMDEDUCTED</stp>
        <stp>2</stp>
        <stp>601116</stp>
        <stp>12/31/2018</stp>
        <tr r="M1294" s="1"/>
      </tp>
      <tp>
        <v>15.1177851732274</v>
        <stp/>
        <stp>EM_S_VAL_PETTMDEDUCTED</stp>
        <stp>2</stp>
        <stp>601117</stp>
        <stp>12/31/2018</stp>
        <tr r="M1279" s="1"/>
      </tp>
      <tp>
        <v>34.177272863144097</v>
        <stp/>
        <stp>EM_S_VAL_PETTMDEDUCTED</stp>
        <stp>2</stp>
        <stp>601113</stp>
        <stp>12/31/2018</stp>
        <tr r="M3390" s="1"/>
      </tp>
      <tp>
        <v>19.805713035695</v>
        <stp/>
        <stp>EM_S_VAL_PETTMDEDUCTED</stp>
        <stp>2</stp>
        <stp>601111</stp>
        <stp>12/31/2018</stp>
        <tr r="M1102" s="1"/>
      </tp>
      <tp>
        <v>27.248769085858399</v>
        <stp/>
        <stp>EM_S_VAL_PETTMDEDUCTED</stp>
        <stp>2</stp>
        <stp>601108</stp>
        <stp>12/31/2018</stp>
        <tr r="M471" s="1"/>
      </tp>
      <tp>
        <v>225.81777209362099</v>
        <stp/>
        <stp>EM_S_VAL_PETTMDEDUCTED</stp>
        <stp>2</stp>
        <stp>601106</stp>
        <stp>12/31/2018</stp>
        <tr r="M1844" s="1"/>
      </tp>
      <tp>
        <v>14.5218541940443</v>
        <stp/>
        <stp>EM_S_VAL_PETTMDEDUCTED</stp>
        <stp>2</stp>
        <stp>601107</stp>
        <stp>12/31/2018</stp>
        <tr r="M1498" s="1"/>
      </tp>
      <tp>
        <v>24.237686984154902</v>
        <stp/>
        <stp>EM_S_VAL_PETTMDEDUCTED</stp>
        <stp>2</stp>
        <stp>601100</stp>
        <stp>12/31/2018</stp>
        <tr r="M79" s="1"/>
      </tp>
      <tp>
        <v>7.5475381606875498</v>
        <stp/>
        <stp>EM_S_VAL_PETTMDEDUCTED</stp>
        <stp>2</stp>
        <stp>601101</stp>
        <stp>12/31/2018</stp>
        <tr r="M3038" s="1"/>
      </tp>
      <tp>
        <v>-9.2121944096450594</v>
        <stp/>
        <stp>EM_S_VAL_PETTMDEDUCTED</stp>
        <stp>2</stp>
        <stp>001896</stp>
        <stp>12/31/2018</stp>
        <tr r="M3602" s="1"/>
      </tp>
      <tp>
        <v>15.6542441677562</v>
        <stp/>
        <stp>EM_S_VAL_PETTMDEDUCTED</stp>
        <stp>2</stp>
        <stp>601898</stp>
        <stp>12/31/2018</stp>
        <tr r="M1860" s="1"/>
      </tp>
      <tp>
        <v>17.893628578093299</v>
        <stp/>
        <stp>EM_S_VAL_PETTMDEDUCTED</stp>
        <stp>2</stp>
        <stp>601899</stp>
        <stp>12/31/2018</stp>
        <tr r="M838" s="1"/>
      </tp>
      <tp>
        <v>-65.446426971560697</v>
        <stp/>
        <stp>EM_S_VAL_PETTMDEDUCTED</stp>
        <stp>2</stp>
        <stp>601890</stp>
        <stp>12/31/2018</stp>
        <tr r="M410" s="1"/>
      </tp>
      <tp>
        <v>36.020220698688298</v>
        <stp/>
        <stp>EM_S_VAL_PETTMDEDUCTED</stp>
        <stp>2</stp>
        <stp>601888</stp>
        <stp>12/31/2018</stp>
        <tr r="M601" s="1"/>
      </tp>
      <tp>
        <v>16.8777580981778</v>
        <stp/>
        <stp>EM_S_VAL_PETTMDEDUCTED</stp>
        <stp>2</stp>
        <stp>601886</stp>
        <stp>12/31/2018</stp>
        <tr r="M2479" s="1"/>
      </tp>
      <tp>
        <v>38.808445355096801</v>
        <stp/>
        <stp>EM_S_VAL_PETTMDEDUCTED</stp>
        <stp>2</stp>
        <stp>601882</stp>
        <stp>12/31/2018</stp>
        <tr r="M2144" s="1"/>
      </tp>
      <tp>
        <v>56.345686838818501</v>
        <stp/>
        <stp>EM_S_VAL_PETTMDEDUCTED</stp>
        <stp>2</stp>
        <stp>601880</stp>
        <stp>12/31/2018</stp>
        <tr r="M1781" s="1"/>
      </tp>
      <tp>
        <v>27.717364622938099</v>
        <stp/>
        <stp>EM_S_VAL_PETTMDEDUCTED</stp>
        <stp>2</stp>
        <stp>601881</stp>
        <stp>12/31/2018</stp>
        <tr r="M338" s="1"/>
      </tp>
      <tp>
        <v>30.228497295926299</v>
        <stp/>
        <stp>EM_S_VAL_PETTMDEDUCTED</stp>
        <stp>2</stp>
        <stp>601878</stp>
        <stp>12/31/2018</stp>
        <tr r="M466" s="1"/>
      </tp>
      <tp>
        <v>14.5862514851413</v>
        <stp/>
        <stp>EM_S_VAL_PETTMDEDUCTED</stp>
        <stp>2</stp>
        <stp>601877</stp>
        <stp>12/31/2018</stp>
        <tr r="M1679" s="1"/>
      </tp>
      <tp>
        <v>-549.40481752016206</v>
        <stp/>
        <stp>EM_S_VAL_PETTMDEDUCTED</stp>
        <stp>2</stp>
        <stp>601872</stp>
        <stp>12/31/2018</stp>
        <tr r="M137" s="1"/>
      </tp>
      <tp>
        <v>26.075517353879999</v>
        <stp/>
        <stp>EM_S_VAL_PETTMDEDUCTED</stp>
        <stp>2</stp>
        <stp>601866</stp>
        <stp>12/31/2018</stp>
        <tr r="M1597" s="1"/>
      </tp>
      <tp>
        <v>18.567104559132101</v>
        <stp/>
        <stp>EM_S_VAL_PETTMDEDUCTED</stp>
        <stp>2</stp>
        <stp>601858</stp>
        <stp>12/31/2018</stp>
        <tr r="M1108" s="1"/>
      </tp>
      <tp>
        <v>20.945401661367001</v>
        <stp/>
        <stp>EM_S_VAL_PETTMDEDUCTED</stp>
        <stp>2</stp>
        <stp>601857</stp>
        <stp>12/31/2018</stp>
        <tr r="M3048" s="1"/>
      </tp>
      <tp>
        <v>6.5202376274315004</v>
        <stp/>
        <stp>EM_S_VAL_PETTMDEDUCTED</stp>
        <stp>2</stp>
        <stp>601838</stp>
        <stp>12/31/2018</stp>
        <tr r="M1663" s="1"/>
      </tp>
      <tp>
        <v>14.096087569982</v>
        <stp/>
        <stp>EM_S_VAL_PETTMDEDUCTED</stp>
        <stp>2</stp>
        <stp>601828</stp>
        <stp>12/31/2018</stp>
        <tr r="M2154" s="1"/>
      </tp>
      <tp>
        <v>5.7501193726069602</v>
        <stp/>
        <stp>EM_S_VAL_PETTMDEDUCTED</stp>
        <stp>2</stp>
        <stp>601818</stp>
        <stp>12/31/2018</stp>
        <tr r="M1342" s="1"/>
      </tp>
      <tp>
        <v>14.7119297867791</v>
        <stp/>
        <stp>EM_S_VAL_PETTMDEDUCTED</stp>
        <stp>2</stp>
        <stp>601811</stp>
        <stp>12/31/2018</stp>
        <tr r="M728" s="1"/>
      </tp>
      <tp>
        <v>-54.918323018867902</v>
        <stp/>
        <stp>EM_S_VAL_PETTMDEDUCTED</stp>
        <stp>2</stp>
        <stp>601808</stp>
        <stp>12/31/2018</stp>
        <tr r="M119" s="1"/>
      </tp>
      <tp>
        <v>11.096774140407801</v>
        <stp/>
        <stp>EM_S_VAL_PETTMDEDUCTED</stp>
        <stp>2</stp>
        <stp>601800</stp>
        <stp>12/31/2018</stp>
        <tr r="M3086" s="1"/>
      </tp>
      <tp>
        <v>21.5821545334204</v>
        <stp/>
        <stp>EM_S_VAL_PETTMDEDUCTED</stp>
        <stp>2</stp>
        <stp>601801</stp>
        <stp>12/31/2018</stp>
        <tr r="M3010" s="1"/>
      </tp>
      <tp>
        <v>5.9970461946628104</v>
        <stp/>
        <stp>EM_S_VAL_PETTMDEDUCTED</stp>
        <stp>2</stp>
        <stp>601998</stp>
        <stp>12/31/2018</stp>
        <tr r="M1567" s="1"/>
      </tp>
      <tp>
        <v>43.159425342737201</v>
        <stp/>
        <stp>EM_S_VAL_PETTMDEDUCTED</stp>
        <stp>2</stp>
        <stp>601999</stp>
        <stp>12/31/2018</stp>
        <tr r="M1305" s="1"/>
      </tp>
      <tp>
        <v>31.832420717703702</v>
        <stp/>
        <stp>EM_S_VAL_PETTMDEDUCTED</stp>
        <stp>2</stp>
        <stp>601996</stp>
        <stp>12/31/2018</stp>
        <tr r="M2340" s="1"/>
      </tp>
      <tp>
        <v>4.8829847123293098</v>
        <stp/>
        <stp>EM_S_VAL_PETTMDEDUCTED</stp>
        <stp>2</stp>
        <stp>601997</stp>
        <stp>12/31/2018</stp>
        <tr r="M2788" s="1"/>
      </tp>
      <tp>
        <v>14.4396090065731</v>
        <stp/>
        <stp>EM_S_VAL_PETTMDEDUCTED</stp>
        <stp>2</stp>
        <stp>601992</stp>
        <stp>12/31/2018</stp>
        <tr r="M2099" s="1"/>
      </tp>
      <tp>
        <v>75.113984464417499</v>
        <stp/>
        <stp>EM_S_VAL_PETTMDEDUCTED</stp>
        <stp>2</stp>
        <stp>601990</stp>
        <stp>12/31/2018</stp>
        <tr r="M632" s="1"/>
      </tp>
      <tp>
        <v>39.236234665456998</v>
        <stp/>
        <stp>EM_S_VAL_PETTMDEDUCTED</stp>
        <stp>2</stp>
        <stp>601991</stp>
        <stp>12/31/2018</stp>
        <tr r="M3110" s="1"/>
      </tp>
      <tp>
        <v>5.9410774059705398</v>
        <stp/>
        <stp>EM_S_VAL_PETTMDEDUCTED</stp>
        <stp>2</stp>
        <stp>601988</stp>
        <stp>12/31/2018</stp>
        <tr r="M2120" s="1"/>
      </tp>
      <tp>
        <v>169.24523372596801</v>
        <stp/>
        <stp>EM_S_VAL_PETTMDEDUCTED</stp>
        <stp>2</stp>
        <stp>601989</stp>
        <stp>12/31/2018</stp>
        <tr r="M1155" s="1"/>
      </tp>
      <tp>
        <v>18.946947928783</v>
        <stp/>
        <stp>EM_S_VAL_PETTMDEDUCTED</stp>
        <stp>2</stp>
        <stp>601985</stp>
        <stp>12/31/2018</stp>
        <tr r="M2565" s="1"/>
      </tp>
      <tp>
        <v>81.765178048537805</v>
        <stp/>
        <stp>EM_S_VAL_PETTMDEDUCTED</stp>
        <stp>2</stp>
        <stp>601968</stp>
        <stp>12/31/2018</stp>
        <tr r="M1000" s="1"/>
      </tp>
      <tp>
        <v>-18.171075689424502</v>
        <stp/>
        <stp>EM_S_VAL_PETTMDEDUCTED</stp>
        <stp>2</stp>
        <stp>601969</stp>
        <stp>12/31/2018</stp>
        <tr r="M915" s="1"/>
      </tp>
      <tp>
        <v>14.027869367378001</v>
        <stp/>
        <stp>EM_S_VAL_PETTMDEDUCTED</stp>
        <stp>2</stp>
        <stp>601966</stp>
        <stp>12/31/2018</stp>
        <tr r="M385" s="1"/>
      </tp>
      <tp>
        <v>20.378553821185498</v>
        <stp/>
        <stp>EM_S_VAL_PETTMDEDUCTED</stp>
        <stp>2</stp>
        <stp>601965</stp>
        <stp>12/31/2018</stp>
        <tr r="M1351" s="1"/>
      </tp>
      <tp>
        <v>82.406301229401905</v>
        <stp/>
        <stp>EM_S_VAL_PETTMDEDUCTED</stp>
        <stp>2</stp>
        <stp>601958</stp>
        <stp>12/31/2018</stp>
        <tr r="M799" s="1"/>
      </tp>
      <tp>
        <v>19.747559091745199</v>
        <stp/>
        <stp>EM_S_VAL_PETTMDEDUCTED</stp>
        <stp>2</stp>
        <stp>601952</stp>
        <stp>12/31/2018</stp>
        <tr r="M2012" s="1"/>
      </tp>
      <tp>
        <v>16.723522291278702</v>
        <stp/>
        <stp>EM_S_VAL_PETTMDEDUCTED</stp>
        <stp>2</stp>
        <stp>601949</stp>
        <stp>12/31/2018</stp>
        <tr r="M681" s="1"/>
      </tp>
      <tp>
        <v>6.25147664419696</v>
        <stp/>
        <stp>EM_S_VAL_PETTMDEDUCTED</stp>
        <stp>2</stp>
        <stp>601939</stp>
        <stp>12/31/2018</stp>
        <tr r="M1554" s="1"/>
      </tp>
      <tp>
        <v>58.953534442823198</v>
        <stp/>
        <stp>EM_S_VAL_PETTMDEDUCTED</stp>
        <stp>2</stp>
        <stp>601933</stp>
        <stp>12/31/2018</stp>
        <tr r="M2507" s="1"/>
      </tp>
      <tp>
        <v>21.162458393041401</v>
        <stp/>
        <stp>EM_S_VAL_PETTMDEDUCTED</stp>
        <stp>2</stp>
        <stp>601928</stp>
        <stp>12/31/2018</stp>
        <tr r="M2548" s="1"/>
      </tp>
      <tp>
        <v>22.763346957824901</v>
        <stp/>
        <stp>EM_S_VAL_PETTMDEDUCTED</stp>
        <stp>2</stp>
        <stp>601929</stp>
        <stp>12/31/2018</stp>
        <tr r="M2062" s="1"/>
      </tp>
      <tp>
        <v>11.022490525084701</v>
        <stp/>
        <stp>EM_S_VAL_PETTMDEDUCTED</stp>
        <stp>2</stp>
        <stp>601918</stp>
        <stp>12/31/2018</stp>
        <tr r="M1915" s="1"/>
      </tp>
      <tp>
        <v>9.00561728825509</v>
        <stp/>
        <stp>EM_S_VAL_PETTMDEDUCTED</stp>
        <stp>2</stp>
        <stp>001979</stp>
        <stp>12/31/2018</stp>
        <tr r="M1473" s="1"/>
      </tp>
      <tp>
        <v>-75.935962761687605</v>
        <stp/>
        <stp>EM_S_VAL_PETTMDEDUCTED</stp>
        <stp>2</stp>
        <stp>601919</stp>
        <stp>12/31/2018</stp>
        <tr r="M933" s="1"/>
      </tp>
      <tp>
        <v>14.9167834178039</v>
        <stp/>
        <stp>EM_S_VAL_PETTMDEDUCTED</stp>
        <stp>2</stp>
        <stp>601908</stp>
        <stp>12/31/2018</stp>
        <tr r="M2539" s="1"/>
      </tp>
      <tp>
        <v>13.8857333561179</v>
        <stp/>
        <stp>EM_S_VAL_PETTMDEDUCTED</stp>
        <stp>2</stp>
        <stp>001965</stp>
        <stp>12/31/2018</stp>
        <tr r="M1808" s="1"/>
      </tp>
      <tp>
        <v>15.2723570274294</v>
        <stp/>
        <stp>EM_S_VAL_PETTMDEDUCTED</stp>
        <stp>2</stp>
        <stp>601900</stp>
        <stp>12/31/2018</stp>
        <tr r="M1823" s="1"/>
      </tp>
      <tp>
        <v>99.934552983472699</v>
        <stp/>
        <stp>EM_S_VAL_PETTMDEDUCTED</stp>
        <stp>2</stp>
        <stp>601901</stp>
        <stp>12/31/2018</stp>
        <tr r="M408" s="1"/>
      </tp>
      <tp>
        <v>10459704518.26</v>
        <stp/>
        <stp>EM_HKS_VAL_MV</stp>
        <stp>3</stp>
        <stp>300098</stp>
        <stp>2019-12-31</stp>
        <stp>2</stp>
        <tr r="L2821" s="1"/>
      </tp>
      <tp>
        <v>4456289692.8000002</v>
        <stp/>
        <stp>EM_HKS_VAL_MV</stp>
        <stp>3</stp>
        <stp>300198</stp>
        <stp>2019-12-31</stp>
        <stp>2</stp>
        <tr r="L522" s="1"/>
      </tp>
      <tp>
        <v>8474067862.6599998</v>
        <stp/>
        <stp>EM_HKS_VAL_MV</stp>
        <stp>3</stp>
        <stp>300298</stp>
        <stp>2019-12-31</stp>
        <stp>2</stp>
        <tr r="L742" s="1"/>
      </tp>
      <tp>
        <v>7738748318.6000004</v>
        <stp/>
        <stp>EM_HKS_VAL_MV</stp>
        <stp>3</stp>
        <stp>300398</stp>
        <stp>2019-12-31</stp>
        <stp>2</stp>
        <tr r="L2573" s="1"/>
      </tp>
      <tp>
        <v>178487394187.20001</v>
        <stp/>
        <stp>EM_HKS_VAL_MV</stp>
        <stp>3</stp>
        <stp>300498</stp>
        <stp>2019-12-31</stp>
        <stp>2</stp>
        <tr r="L1017" s="1"/>
      </tp>
      <tp>
        <v>10053600000</v>
        <stp/>
        <stp>EM_HKS_VAL_MV</stp>
        <stp>3</stp>
        <stp>300598</stp>
        <stp>2019-12-31</stp>
        <stp>2</stp>
        <tr r="L16" s="1"/>
      </tp>
      <tp>
        <v>2178840000</v>
        <stp/>
        <stp>EM_HKS_VAL_MV</stp>
        <stp>3</stp>
        <stp>300698</stp>
        <stp>2019-12-31</stp>
        <stp>2</stp>
        <tr r="L2793" s="1"/>
      </tp>
      <tp>
        <v>4142126738.4499998</v>
        <stp/>
        <stp>EM_HKS_VAL_MV</stp>
        <stp>3</stp>
        <stp>300099</stp>
        <stp>2019-12-31</stp>
        <stp>2</stp>
        <tr r="L551" s="1"/>
      </tp>
      <tp>
        <v>5318176832</v>
        <stp/>
        <stp>EM_HKS_VAL_MV</stp>
        <stp>3</stp>
        <stp>300199</stp>
        <stp>2019-12-31</stp>
        <stp>2</stp>
        <tr r="L3302" s="1"/>
      </tp>
      <tp>
        <v>3475816523.25</v>
        <stp/>
        <stp>EM_HKS_VAL_MV</stp>
        <stp>3</stp>
        <stp>300299</stp>
        <stp>2019-12-31</stp>
        <stp>2</stp>
        <tr r="L2152" s="1"/>
      </tp>
      <tp>
        <v>2722928000</v>
        <stp/>
        <stp>EM_HKS_VAL_MV</stp>
        <stp>3</stp>
        <stp>300399</stp>
        <stp>2019-12-31</stp>
        <stp>2</stp>
        <tr r="L472" s="1"/>
      </tp>
      <tp>
        <v>2207504178</v>
        <stp/>
        <stp>EM_HKS_VAL_MV</stp>
        <stp>3</stp>
        <stp>300499</stp>
        <stp>2019-12-31</stp>
        <stp>2</stp>
        <tr r="L3080" s="1"/>
      </tp>
      <tp>
        <v>3185920000</v>
        <stp/>
        <stp>EM_HKS_VAL_MV</stp>
        <stp>3</stp>
        <stp>300599</stp>
        <stp>2019-12-31</stp>
        <stp>2</stp>
        <tr r="L2093" s="1"/>
      </tp>
      <tp>
        <v>23584925000</v>
        <stp/>
        <stp>EM_HKS_VAL_MV</stp>
        <stp>3</stp>
        <stp>300699</stp>
        <stp>2019-12-31</stp>
        <stp>2</stp>
        <tr r="L995" s="1"/>
      </tp>
      <tp>
        <v>1688356710</v>
        <stp/>
        <stp>EM_HKS_VAL_MV</stp>
        <stp>3</stp>
        <stp>300092</stp>
        <stp>2019-12-31</stp>
        <stp>2</stp>
        <tr r="L1306" s="1"/>
      </tp>
      <tp>
        <v>3400551000</v>
        <stp/>
        <stp>EM_HKS_VAL_MV</stp>
        <stp>3</stp>
        <stp>300192</stp>
        <stp>2019-12-31</stp>
        <stp>2</stp>
        <tr r="L413" s="1"/>
      </tp>
      <tp>
        <v>6437994903.8000002</v>
        <stp/>
        <stp>EM_HKS_VAL_MV</stp>
        <stp>3</stp>
        <stp>300292</stp>
        <stp>2019-12-31</stp>
        <stp>2</stp>
        <tr r="L894" s="1"/>
      </tp>
      <tp>
        <v>2876160000</v>
        <stp/>
        <stp>EM_HKS_VAL_MV</stp>
        <stp>3</stp>
        <stp>300392</stp>
        <stp>2019-12-31</stp>
        <stp>2</stp>
        <tr r="L2449" s="1"/>
      </tp>
      <tp>
        <v>4212416000</v>
        <stp/>
        <stp>EM_HKS_VAL_MV</stp>
        <stp>3</stp>
        <stp>300492</stp>
        <stp>2019-12-31</stp>
        <stp>2</stp>
        <tr r="L69" s="1"/>
      </tp>
      <tp>
        <v>1411054083</v>
        <stp/>
        <stp>EM_HKS_VAL_MV</stp>
        <stp>3</stp>
        <stp>300592</stp>
        <stp>2019-12-31</stp>
        <stp>2</stp>
        <tr r="L1026" s="1"/>
      </tp>
      <tp>
        <v>2074524366.5999999</v>
        <stp/>
        <stp>EM_HKS_VAL_MV</stp>
        <stp>3</stp>
        <stp>300692</stp>
        <stp>2019-12-31</stp>
        <stp>2</stp>
        <tr r="L2598" s="1"/>
      </tp>
      <tp>
        <v>2371680000</v>
        <stp/>
        <stp>EM_HKS_VAL_MV</stp>
        <stp>3</stp>
        <stp>300093</stp>
        <stp>2019-12-31</stp>
        <stp>2</stp>
        <tr r="L239" s="1"/>
      </tp>
      <tp>
        <v>4592525868.6000004</v>
        <stp/>
        <stp>EM_HKS_VAL_MV</stp>
        <stp>3</stp>
        <stp>300193</stp>
        <stp>2019-12-31</stp>
        <stp>2</stp>
        <tr r="L1114" s="1"/>
      </tp>
      <tp>
        <v>2162700000</v>
        <stp/>
        <stp>EM_HKS_VAL_MV</stp>
        <stp>3</stp>
        <stp>300293</stp>
        <stp>2019-12-31</stp>
        <stp>2</stp>
        <tr r="L1253" s="1"/>
      </tp>
      <tp>
        <v>5203720090.8000002</v>
        <stp/>
        <stp>EM_HKS_VAL_MV</stp>
        <stp>3</stp>
        <stp>300393</stp>
        <stp>2019-12-31</stp>
        <stp>2</stp>
        <tr r="L2477" s="1"/>
      </tp>
      <tp>
        <v>4160041348.6399999</v>
        <stp/>
        <stp>EM_HKS_VAL_MV</stp>
        <stp>3</stp>
        <stp>300493</stp>
        <stp>2019-12-31</stp>
        <stp>2</stp>
        <tr r="L2536" s="1"/>
      </tp>
      <tp>
        <v>3006947328</v>
        <stp/>
        <stp>EM_HKS_VAL_MV</stp>
        <stp>3</stp>
        <stp>300593</stp>
        <stp>2019-12-31</stp>
        <stp>2</stp>
        <tr r="L1675" s="1"/>
      </tp>
      <tp>
        <v>1961065214.5699999</v>
        <stp/>
        <stp>EM_HKS_VAL_MV</stp>
        <stp>3</stp>
        <stp>300693</stp>
        <stp>2019-12-31</stp>
        <stp>2</stp>
        <tr r="L2842" s="1"/>
      </tp>
      <tp>
        <v>1795135973.9200001</v>
        <stp/>
        <stp>EM_HKS_VAL_MV</stp>
        <stp>3</stp>
        <stp>300090</stp>
        <stp>2019-12-31</stp>
        <stp>2</stp>
        <tr r="L3294" s="1"/>
      </tp>
      <tp>
        <v>5384602654.5900002</v>
        <stp/>
        <stp>EM_HKS_VAL_MV</stp>
        <stp>3</stp>
        <stp>300190</stp>
        <stp>2019-12-31</stp>
        <stp>2</stp>
        <tr r="L746" s="1"/>
      </tp>
      <tp>
        <v>3521892681.96</v>
        <stp/>
        <stp>EM_HKS_VAL_MV</stp>
        <stp>3</stp>
        <stp>300290</stp>
        <stp>2019-12-31</stp>
        <stp>2</stp>
        <tr r="L1839" s="1"/>
      </tp>
      <tp>
        <v>3456500520</v>
        <stp/>
        <stp>EM_HKS_VAL_MV</stp>
        <stp>3</stp>
        <stp>300390</stp>
        <stp>2019-12-31</stp>
        <stp>2</stp>
        <tr r="L2862" s="1"/>
      </tp>
      <tp>
        <v>2900943495.4000001</v>
        <stp/>
        <stp>EM_HKS_VAL_MV</stp>
        <stp>3</stp>
        <stp>300490</stp>
        <stp>2019-12-31</stp>
        <stp>2</stp>
        <tr r="L2910" s="1"/>
      </tp>
      <tp>
        <v>5842708200</v>
        <stp/>
        <stp>EM_HKS_VAL_MV</stp>
        <stp>3</stp>
        <stp>300590</stp>
        <stp>2019-12-31</stp>
        <stp>2</stp>
        <tr r="L609" s="1"/>
      </tp>
      <tp>
        <v>2803175299.3299999</v>
        <stp/>
        <stp>EM_HKS_VAL_MV</stp>
        <stp>3</stp>
        <stp>300690</stp>
        <stp>2019-12-31</stp>
        <stp>2</stp>
        <tr r="L735" s="1"/>
      </tp>
      <tp>
        <v>5068689896.5600004</v>
        <stp/>
        <stp>EM_HKS_VAL_MV</stp>
        <stp>3</stp>
        <stp>300091</stp>
        <stp>2019-12-31</stp>
        <stp>2</stp>
        <tr r="L1161" s="1"/>
      </tp>
      <tp>
        <v>6921600000</v>
        <stp/>
        <stp>EM_HKS_VAL_MV</stp>
        <stp>3</stp>
        <stp>300191</stp>
        <stp>2019-12-31</stp>
        <stp>2</stp>
        <tr r="L602" s="1"/>
      </tp>
      <tp>
        <v>4937465503.04</v>
        <stp/>
        <stp>EM_HKS_VAL_MV</stp>
        <stp>3</stp>
        <stp>300291</stp>
        <stp>2019-12-31</stp>
        <stp>2</stp>
        <tr r="L808" s="1"/>
      </tp>
      <tp>
        <v>2546943534.2399998</v>
        <stp/>
        <stp>EM_HKS_VAL_MV</stp>
        <stp>3</stp>
        <stp>300391</stp>
        <stp>2019-12-31</stp>
        <stp>2</stp>
        <tr r="L3154" s="1"/>
      </tp>
      <tp>
        <v>2091507154.03</v>
        <stp/>
        <stp>EM_HKS_VAL_MV</stp>
        <stp>3</stp>
        <stp>300491</stp>
        <stp>2019-12-31</stp>
        <stp>2</stp>
        <tr r="L2962" s="1"/>
      </tp>
      <tp>
        <v>1784640000</v>
        <stp/>
        <stp>EM_HKS_VAL_MV</stp>
        <stp>3</stp>
        <stp>300591</stp>
        <stp>2019-12-31</stp>
        <stp>2</stp>
        <tr r="L2386" s="1"/>
      </tp>
      <tp>
        <v>4132187965.4400001</v>
        <stp/>
        <stp>EM_HKS_VAL_MV</stp>
        <stp>3</stp>
        <stp>300691</stp>
        <stp>2019-12-31</stp>
        <stp>2</stp>
        <tr r="L2974" s="1"/>
      </tp>
      <tp>
        <v>4175300000</v>
        <stp/>
        <stp>EM_HKS_VAL_MV</stp>
        <stp>3</stp>
        <stp>300096</stp>
        <stp>2019-12-31</stp>
        <stp>2</stp>
        <tr r="L1359" s="1"/>
      </tp>
      <tp>
        <v>4807908062.8199997</v>
        <stp/>
        <stp>EM_HKS_VAL_MV</stp>
        <stp>3</stp>
        <stp>300196</stp>
        <stp>2019-12-31</stp>
        <stp>2</stp>
        <tr r="L904" s="1"/>
      </tp>
      <tp>
        <v>19503863337.919998</v>
        <stp/>
        <stp>EM_HKS_VAL_MV</stp>
        <stp>3</stp>
        <stp>300296</stp>
        <stp>2019-12-31</stp>
        <stp>2</stp>
        <tr r="L2149" s="1"/>
      </tp>
      <tp>
        <v>4673187900</v>
        <stp/>
        <stp>EM_HKS_VAL_MV</stp>
        <stp>3</stp>
        <stp>300396</stp>
        <stp>2019-12-31</stp>
        <stp>2</stp>
        <tr r="L723" s="1"/>
      </tp>
      <tp>
        <v>18169531478.580002</v>
        <stp/>
        <stp>EM_HKS_VAL_MV</stp>
        <stp>3</stp>
        <stp>300496</stp>
        <stp>2019-12-31</stp>
        <stp>2</stp>
        <tr r="L156" s="1"/>
      </tp>
      <tp>
        <v>7525932518.1999998</v>
        <stp/>
        <stp>EM_HKS_VAL_MV</stp>
        <stp>3</stp>
        <stp>300596</stp>
        <stp>2019-12-31</stp>
        <stp>2</stp>
        <tr r="L1350" s="1"/>
      </tp>
      <tp>
        <v>2674848000</v>
        <stp/>
        <stp>EM_HKS_VAL_MV</stp>
        <stp>3</stp>
        <stp>300696</stp>
        <stp>2019-12-31</stp>
        <stp>2</stp>
        <tr r="L2215" s="1"/>
      </tp>
      <tp>
        <v>2744107352.1900001</v>
        <stp/>
        <stp>EM_HKS_VAL_MV</stp>
        <stp>3</stp>
        <stp>300097</stp>
        <stp>2019-12-31</stp>
        <stp>2</stp>
        <tr r="L2911" s="1"/>
      </tp>
      <tp>
        <v>7179757373.3400002</v>
        <stp/>
        <stp>EM_HKS_VAL_MV</stp>
        <stp>3</stp>
        <stp>300197</stp>
        <stp>2019-12-31</stp>
        <stp>2</stp>
        <tr r="L3073" s="1"/>
      </tp>
      <tp>
        <v>7048850534.1599998</v>
        <stp/>
        <stp>EM_HKS_VAL_MV</stp>
        <stp>3</stp>
        <stp>300297</stp>
        <stp>2019-12-31</stp>
        <stp>2</stp>
        <tr r="L1570" s="1"/>
      </tp>
      <tp>
        <v>7082400000</v>
        <stp/>
        <stp>EM_HKS_VAL_MV</stp>
        <stp>3</stp>
        <stp>300397</stp>
        <stp>2019-12-31</stp>
        <stp>2</stp>
        <tr r="L41" s="1"/>
      </tp>
      <tp>
        <v>5156758086.6599998</v>
        <stp/>
        <stp>EM_HKS_VAL_MV</stp>
        <stp>3</stp>
        <stp>300497</stp>
        <stp>2019-12-31</stp>
        <stp>2</stp>
        <tr r="L2053" s="1"/>
      </tp>
      <tp>
        <v>2824800000</v>
        <stp/>
        <stp>EM_HKS_VAL_MV</stp>
        <stp>3</stp>
        <stp>300597</stp>
        <stp>2019-12-31</stp>
        <stp>2</stp>
        <tr r="L3046" s="1"/>
      </tp>
      <tp>
        <v>3130400000</v>
        <stp/>
        <stp>EM_HKS_VAL_MV</stp>
        <stp>3</stp>
        <stp>300697</stp>
        <stp>2019-12-31</stp>
        <stp>2</stp>
        <tr r="L772" s="1"/>
      </tp>
      <tp>
        <v>3868004963.75</v>
        <stp/>
        <stp>EM_HKS_VAL_MV</stp>
        <stp>3</stp>
        <stp>300094</stp>
        <stp>2019-12-31</stp>
        <stp>2</stp>
        <tr r="L2998" s="1"/>
      </tp>
      <tp>
        <v>6591006596.2799997</v>
        <stp/>
        <stp>EM_HKS_VAL_MV</stp>
        <stp>3</stp>
        <stp>300194</stp>
        <stp>2019-12-31</stp>
        <stp>2</stp>
        <tr r="L334" s="1"/>
      </tp>
      <tp>
        <v>13532735471.49</v>
        <stp/>
        <stp>EM_HKS_VAL_MV</stp>
        <stp>3</stp>
        <stp>300294</stp>
        <stp>2019-12-31</stp>
        <stp>2</stp>
        <tr r="L1530" s="1"/>
      </tp>
      <tp>
        <v>7609987076.6000004</v>
        <stp/>
        <stp>EM_HKS_VAL_MV</stp>
        <stp>3</stp>
        <stp>300394</stp>
        <stp>2019-12-31</stp>
        <stp>2</stp>
        <tr r="L554" s="1"/>
      </tp>
      <tp>
        <v>3808800000</v>
        <stp/>
        <stp>EM_HKS_VAL_MV</stp>
        <stp>3</stp>
        <stp>300494</stp>
        <stp>2019-12-31</stp>
        <stp>2</stp>
        <tr r="L404" s="1"/>
      </tp>
      <tp>
        <v>2249542472.7600002</v>
        <stp/>
        <stp>EM_HKS_VAL_MV</stp>
        <stp>3</stp>
        <stp>300095</stp>
        <stp>2019-12-31</stp>
        <stp>2</stp>
        <tr r="L950" s="1"/>
      </tp>
      <tp>
        <v>3164430499</v>
        <stp/>
        <stp>EM_HKS_VAL_MV</stp>
        <stp>3</stp>
        <stp>300195</stp>
        <stp>2019-12-31</stp>
        <stp>2</stp>
        <tr r="L2722" s="1"/>
      </tp>
      <tp>
        <v>2546513076</v>
        <stp/>
        <stp>EM_HKS_VAL_MV</stp>
        <stp>3</stp>
        <stp>300295</stp>
        <stp>2019-12-31</stp>
        <stp>2</stp>
        <tr r="L1480" s="1"/>
      </tp>
      <tp>
        <v>7405667733.6000004</v>
        <stp/>
        <stp>EM_HKS_VAL_MV</stp>
        <stp>3</stp>
        <stp>300395</stp>
        <stp>2019-12-31</stp>
        <stp>2</stp>
        <tr r="L574" s="1"/>
      </tp>
      <tp>
        <v>7471016727.04</v>
        <stp/>
        <stp>EM_HKS_VAL_MV</stp>
        <stp>3</stp>
        <stp>300495</stp>
        <stp>2019-12-31</stp>
        <stp>2</stp>
        <tr r="L2945" s="1"/>
      </tp>
      <tp>
        <v>19151548724.400002</v>
        <stp/>
        <stp>EM_HKS_VAL_MV</stp>
        <stp>3</stp>
        <stp>300595</stp>
        <stp>2019-12-31</stp>
        <stp>2</stp>
        <tr r="L1286" s="1"/>
      </tp>
      <tp>
        <v>3994661007</v>
        <stp/>
        <stp>EM_HKS_VAL_MV</stp>
        <stp>3</stp>
        <stp>300695</stp>
        <stp>2019-12-31</stp>
        <stp>2</stp>
        <tr r="L1890" s="1"/>
      </tp>
      <tp>
        <v>-484.02192863249797</v>
        <stp/>
        <stp>EM_S_VAL_PETTMDEDUCTED</stp>
        <stp>2</stp>
        <stp>000698</stp>
        <stp>12/31/2018</stp>
        <tr r="M3514" s="1"/>
      </tp>
      <tp>
        <v>-179.43677479860199</v>
        <stp/>
        <stp>EM_S_VAL_PETTMDEDUCTED</stp>
        <stp>2</stp>
        <stp>000699</stp>
        <stp>12/31/2018</stp>
        <tr r="M3515" s="1"/>
      </tp>
      <tp>
        <v>-34.803190150492</v>
        <stp/>
        <stp>EM_S_VAL_PETTMDEDUCTED</stp>
        <stp>2</stp>
        <stp>000697</stp>
        <stp>12/31/2018</stp>
        <tr r="M2913" s="1"/>
      </tp>
      <tp>
        <v>-176.04467197986199</v>
        <stp/>
        <stp>EM_S_VAL_PETTMDEDUCTED</stp>
        <stp>2</stp>
        <stp>000695</stp>
        <stp>12/31/2018</stp>
        <tr r="M2992" s="1"/>
      </tp>
      <tp>
        <v>-3.7026386048668001</v>
        <stp/>
        <stp>EM_S_VAL_PETTMDEDUCTED</stp>
        <stp>2</stp>
        <stp>000692</stp>
        <stp>12/31/2018</stp>
        <tr r="M1493" s="1"/>
      </tp>
      <tp>
        <v>-0.79417952661979796</v>
        <stp/>
        <stp>EM_S_VAL_PETTMDEDUCTED</stp>
        <stp>2</stp>
        <stp>000693</stp>
        <stp>12/31/2018</stp>
        <tr r="M3513" s="1"/>
      </tp>
      <tp>
        <v>75.557869401648901</v>
        <stp/>
        <stp>EM_S_VAL_PETTMDEDUCTED</stp>
        <stp>2</stp>
        <stp>000690</stp>
        <stp>12/31/2018</stp>
        <tr r="M2957" s="1"/>
      </tp>
      <tp>
        <v>-144.766069152954</v>
        <stp/>
        <stp>EM_S_VAL_PETTMDEDUCTED</stp>
        <stp>2</stp>
        <stp>000691</stp>
        <stp>12/31/2018</stp>
        <tr r="M3512" s="1"/>
      </tp>
      <tp>
        <v>32.3635890258915</v>
        <stp/>
        <stp>EM_S_VAL_PETTMDEDUCTED</stp>
        <stp>2</stp>
        <stp>000688</stp>
        <stp>12/31/2018</stp>
        <tr r="M3510" s="1"/>
      </tp>
      <tp>
        <v>0</v>
        <stp/>
        <stp>EM_S_VAL_PETTMDEDUCTED</stp>
        <stp>2</stp>
        <stp>000689</stp>
        <stp>12/31/2018</stp>
        <tr r="M3511" s="1"/>
      </tp>
      <tp>
        <v>53.679642761072401</v>
        <stp/>
        <stp>EM_S_VAL_PETTMDEDUCTED</stp>
        <stp>2</stp>
        <stp>000686</stp>
        <stp>12/31/2018</stp>
        <tr r="M3508" s="1"/>
      </tp>
      <tp>
        <v>47.810380486308198</v>
        <stp/>
        <stp>EM_S_VAL_PETTMDEDUCTED</stp>
        <stp>2</stp>
        <stp>000687</stp>
        <stp>12/31/2018</stp>
        <tr r="M3509" s="1"/>
      </tp>
      <tp>
        <v>13.336906979939499</v>
        <stp/>
        <stp>EM_S_VAL_PETTMDEDUCTED</stp>
        <stp>2</stp>
        <stp>000685</stp>
        <stp>12/31/2018</stp>
        <tr r="M1353" s="1"/>
      </tp>
      <tp>
        <v>45.2569980358873</v>
        <stp/>
        <stp>EM_S_VAL_PETTMDEDUCTED</stp>
        <stp>2</stp>
        <stp>000682</stp>
        <stp>12/31/2018</stp>
        <tr r="M515" s="1"/>
      </tp>
      <tp>
        <v>8.4820526733943105</v>
        <stp/>
        <stp>EM_S_VAL_PETTMDEDUCTED</stp>
        <stp>2</stp>
        <stp>000683</stp>
        <stp>12/31/2018</stp>
        <tr r="M3507" s="1"/>
      </tp>
      <tp>
        <v>387.02734756490599</v>
        <stp/>
        <stp>EM_S_VAL_PETTMDEDUCTED</stp>
        <stp>2</stp>
        <stp>000680</stp>
        <stp>12/31/2018</stp>
        <tr r="M1767" s="1"/>
      </tp>
      <tp>
        <v>48.5493974851492</v>
        <stp/>
        <stp>EM_S_VAL_PETTMDEDUCTED</stp>
        <stp>2</stp>
        <stp>000681</stp>
        <stp>12/31/2018</stp>
        <tr r="M3208" s="1"/>
      </tp>
      <tp>
        <v>78.929208470013904</v>
        <stp/>
        <stp>EM_S_VAL_PETTMDEDUCTED</stp>
        <stp>2</stp>
        <stp>300688</stp>
        <stp>12/31/2018</stp>
        <tr r="M3329" s="1"/>
      </tp>
      <tp>
        <v>49.068495631571203</v>
        <stp/>
        <stp>EM_S_VAL_PETTMDEDUCTED</stp>
        <stp>2</stp>
        <stp>300689</stp>
        <stp>12/31/2018</stp>
        <tr r="M977" s="1"/>
      </tp>
      <tp>
        <v>102.533867244409</v>
        <stp/>
        <stp>EM_S_VAL_PETTMDEDUCTED</stp>
        <stp>2</stp>
        <stp>300686</stp>
        <stp>12/31/2018</stp>
        <tr r="M205" s="1"/>
      </tp>
      <tp>
        <v>31.8984871748054</v>
        <stp/>
        <stp>EM_S_VAL_PETTMDEDUCTED</stp>
        <stp>2</stp>
        <stp>300687</stp>
        <stp>12/31/2018</stp>
        <tr r="M3104" s="1"/>
      </tp>
      <tp>
        <v>30.423445546164501</v>
        <stp/>
        <stp>EM_S_VAL_PETTMDEDUCTED</stp>
        <stp>2</stp>
        <stp>300684</stp>
        <stp>12/31/2018</stp>
        <tr r="M2979" s="1"/>
      </tp>
      <tp>
        <v>59.961023252396998</v>
        <stp/>
        <stp>EM_S_VAL_PETTMDEDUCTED</stp>
        <stp>2</stp>
        <stp>300685</stp>
        <stp>12/31/2018</stp>
        <tr r="M436" s="1"/>
      </tp>
      <tp>
        <v>201.73090061765501</v>
        <stp/>
        <stp>EM_S_VAL_PETTMDEDUCTED</stp>
        <stp>2</stp>
        <stp>300682</stp>
        <stp>12/31/2018</stp>
        <tr r="M782" s="1"/>
      </tp>
      <tp>
        <v>42.958250610500897</v>
        <stp/>
        <stp>EM_S_VAL_PETTMDEDUCTED</stp>
        <stp>2</stp>
        <stp>300683</stp>
        <stp>12/31/2018</stp>
        <tr r="M1867" s="1"/>
      </tp>
      <tp>
        <v>326.473152951217</v>
        <stp/>
        <stp>EM_S_VAL_PETTMDEDUCTED</stp>
        <stp>2</stp>
        <stp>300680</stp>
        <stp>12/31/2018</stp>
        <tr r="M910" s="1"/>
      </tp>
      <tp>
        <v>33.8608441254501</v>
        <stp/>
        <stp>EM_S_VAL_PETTMDEDUCTED</stp>
        <stp>2</stp>
        <stp>300681</stp>
        <stp>12/31/2018</stp>
        <tr r="M2417" s="1"/>
      </tp>
      <tp>
        <v>-573.97181813457598</v>
        <stp/>
        <stp>EM_S_VAL_PETTMDEDUCTED</stp>
        <stp>2</stp>
        <stp>300698</stp>
        <stp>12/31/2018</stp>
        <tr r="M2793" s="1"/>
      </tp>
      <tp>
        <v>56.381442716459802</v>
        <stp/>
        <stp>EM_S_VAL_PETTMDEDUCTED</stp>
        <stp>2</stp>
        <stp>300699</stp>
        <stp>12/31/2018</stp>
        <tr r="M995" s="1"/>
      </tp>
      <tp>
        <v>37.817965415034003</v>
        <stp/>
        <stp>EM_S_VAL_PETTMDEDUCTED</stp>
        <stp>2</stp>
        <stp>300696</stp>
        <stp>12/31/2018</stp>
        <tr r="M2215" s="1"/>
      </tp>
      <tp>
        <v>37.940121895770702</v>
        <stp/>
        <stp>EM_S_VAL_PETTMDEDUCTED</stp>
        <stp>2</stp>
        <stp>300697</stp>
        <stp>12/31/2018</stp>
        <tr r="M772" s="1"/>
      </tp>
      <tp>
        <v>21.168343368519899</v>
        <stp/>
        <stp>EM_S_VAL_PETTMDEDUCTED</stp>
        <stp>2</stp>
        <stp>300695</stp>
        <stp>12/31/2018</stp>
        <tr r="M1890" s="1"/>
      </tp>
      <tp>
        <v>39.498273051206603</v>
        <stp/>
        <stp>EM_S_VAL_PETTMDEDUCTED</stp>
        <stp>2</stp>
        <stp>300692</stp>
        <stp>12/31/2018</stp>
        <tr r="M2598" s="1"/>
      </tp>
      <tp>
        <v>51.001830438349998</v>
        <stp/>
        <stp>EM_S_VAL_PETTMDEDUCTED</stp>
        <stp>2</stp>
        <stp>300693</stp>
        <stp>12/31/2018</stp>
        <tr r="M2842" s="1"/>
      </tp>
      <tp>
        <v>25.699268504017901</v>
        <stp/>
        <stp>EM_S_VAL_PETTMDEDUCTED</stp>
        <stp>2</stp>
        <stp>300690</stp>
        <stp>12/31/2018</stp>
        <tr r="M735" s="1"/>
      </tp>
      <tp>
        <v>54.006638665643301</v>
        <stp/>
        <stp>EM_S_VAL_PETTMDEDUCTED</stp>
        <stp>2</stp>
        <stp>300691</stp>
        <stp>12/31/2018</stp>
        <tr r="M2974" s="1"/>
      </tp>
      <tp>
        <v>-43.961101483989601</v>
        <stp/>
        <stp>EM_S_VAL_PETTMDEDUCTED</stp>
        <stp>2</stp>
        <stp>600698</stp>
        <stp>12/31/2018</stp>
        <tr r="M3214" s="1"/>
      </tp>
      <tp>
        <v>123.03077923827</v>
        <stp/>
        <stp>EM_S_VAL_PETTMDEDUCTED</stp>
        <stp>2</stp>
        <stp>600699</stp>
        <stp>12/31/2018</stp>
        <tr r="M3125" s="1"/>
      </tp>
      <tp>
        <v>73.111891827788597</v>
        <stp/>
        <stp>EM_S_VAL_PETTMDEDUCTED</stp>
        <stp>2</stp>
        <stp>600696</stp>
        <stp>12/31/2018</stp>
        <tr r="M71" s="1"/>
      </tp>
      <tp>
        <v>11.2327636665774</v>
        <stp/>
        <stp>EM_S_VAL_PETTMDEDUCTED</stp>
        <stp>2</stp>
        <stp>600697</stp>
        <stp>12/31/2018</stp>
        <tr r="M2616" s="1"/>
      </tp>
      <tp>
        <v>7.0633128137875199</v>
        <stp/>
        <stp>EM_S_VAL_PETTMDEDUCTED</stp>
        <stp>2</stp>
        <stp>600694</stp>
        <stp>12/31/2018</stp>
        <tr r="M1594" s="1"/>
      </tp>
      <tp>
        <v>-57.0255974936195</v>
        <stp/>
        <stp>EM_S_VAL_PETTMDEDUCTED</stp>
        <stp>2</stp>
        <stp>600695</stp>
        <stp>12/31/2018</stp>
        <tr r="M307" s="1"/>
      </tp>
      <tp>
        <v>49.3604732999327</v>
        <stp/>
        <stp>EM_S_VAL_PETTMDEDUCTED</stp>
        <stp>2</stp>
        <stp>600692</stp>
        <stp>12/31/2018</stp>
        <tr r="M2781" s="1"/>
      </tp>
      <tp>
        <v>33.430871701975597</v>
        <stp/>
        <stp>EM_S_VAL_PETTMDEDUCTED</stp>
        <stp>2</stp>
        <stp>600693</stp>
        <stp>12/31/2018</stp>
        <tr r="M2373" s="1"/>
      </tp>
      <tp>
        <v>13.6722763744177</v>
        <stp/>
        <stp>EM_S_VAL_PETTMDEDUCTED</stp>
        <stp>2</stp>
        <stp>600690</stp>
        <stp>12/31/2018</stp>
        <tr r="M748" s="1"/>
      </tp>
      <tp>
        <v>-22.316269493546098</v>
        <stp/>
        <stp>EM_S_VAL_PETTMDEDUCTED</stp>
        <stp>2</stp>
        <stp>600691</stp>
        <stp>12/31/2018</stp>
        <tr r="M2883" s="1"/>
      </tp>
      <tp>
        <v>7.8953204703907396</v>
        <stp/>
        <stp>EM_S_VAL_PETTMDEDUCTED</stp>
        <stp>2</stp>
        <stp>600688</stp>
        <stp>12/31/2018</stp>
        <tr r="M3114" s="1"/>
      </tp>
      <tp>
        <v>-78.692069939771002</v>
        <stp/>
        <stp>EM_S_VAL_PETTMDEDUCTED</stp>
        <stp>2</stp>
        <stp>600689</stp>
        <stp>12/31/2018</stp>
        <tr r="M2646" s="1"/>
      </tp>
      <tp>
        <v>18.5811631351019</v>
        <stp/>
        <stp>EM_S_VAL_PETTMDEDUCTED</stp>
        <stp>2</stp>
        <stp>600686</stp>
        <stp>12/31/2018</stp>
        <tr r="M2161" s="1"/>
      </tp>
      <tp>
        <v>34.631819279767697</v>
        <stp/>
        <stp>EM_S_VAL_PETTMDEDUCTED</stp>
        <stp>2</stp>
        <stp>600687</stp>
        <stp>12/31/2018</stp>
        <tr r="M3392" s="1"/>
      </tp>
      <tp>
        <v>19.719961266719501</v>
        <stp/>
        <stp>EM_S_VAL_PETTMDEDUCTED</stp>
        <stp>2</stp>
        <stp>600684</stp>
        <stp>12/31/2018</stp>
        <tr r="M2854" s="1"/>
      </tp>
      <tp>
        <v>-11.2364938900495</v>
        <stp/>
        <stp>EM_S_VAL_PETTMDEDUCTED</stp>
        <stp>2</stp>
        <stp>600685</stp>
        <stp>12/31/2018</stp>
        <tr r="M512" s="1"/>
      </tp>
      <tp>
        <v>-10.745590551196999</v>
        <stp/>
        <stp>EM_S_VAL_PETTMDEDUCTED</stp>
        <stp>2</stp>
        <stp>600682</stp>
        <stp>12/31/2018</stp>
        <tr r="M1585" s="1"/>
      </tp>
      <tp>
        <v>9.1621369274991906</v>
        <stp/>
        <stp>EM_S_VAL_PETTMDEDUCTED</stp>
        <stp>2</stp>
        <stp>600683</stp>
        <stp>12/31/2018</stp>
        <tr r="M2385" s="1"/>
      </tp>
      <tp>
        <v>-9.2448018899563298</v>
        <stp/>
        <stp>EM_S_VAL_PETTMDEDUCTED</stp>
        <stp>2</stp>
        <stp>600680</stp>
        <stp>12/31/2018</stp>
        <tr r="M2316" s="1"/>
      </tp>
      <tp>
        <v>10.610594556408801</v>
        <stp/>
        <stp>EM_S_VAL_PETTMDEDUCTED</stp>
        <stp>2</stp>
        <stp>600681</stp>
        <stp>12/31/2018</stp>
        <tr r="M3333" s="1"/>
      </tp>
      <tp>
        <v>104.117940969199</v>
        <stp/>
        <stp>EM_S_VAL_PETTMDEDUCTED</stp>
        <stp>2</stp>
        <stp>000618</stp>
        <stp>12/31/2018</stp>
        <tr r="M3485" s="1"/>
      </tp>
      <tp>
        <v>34.519219761628101</v>
        <stp/>
        <stp>EM_S_VAL_PETTMDEDUCTED</stp>
        <stp>2</stp>
        <stp>300628</stp>
        <stp>12/31/2018</stp>
        <tr r="M2626" s="1"/>
      </tp>
      <tp>
        <v>46.507181314195897</v>
        <stp/>
        <stp>EM_S_VAL_PETTMDEDUCTED</stp>
        <stp>2</stp>
        <stp>600678</stp>
        <stp>12/31/2018</stp>
        <tr r="M1034" s="1"/>
      </tp>
      <tp>
        <v>-36.353115539508003</v>
        <stp/>
        <stp>EM_S_VAL_PETTMDEDUCTED</stp>
        <stp>2</stp>
        <stp>000619</stp>
        <stp>12/31/2018</stp>
        <tr r="M1623" s="1"/>
      </tp>
      <tp>
        <v>79.9806019801388</v>
        <stp/>
        <stp>EM_S_VAL_PETTMDEDUCTED</stp>
        <stp>2</stp>
        <stp>300629</stp>
        <stp>12/31/2018</stp>
        <tr r="M1628" s="1"/>
      </tp>
      <tp>
        <v>172.50918793217801</v>
        <stp/>
        <stp>EM_S_VAL_PETTMDEDUCTED</stp>
        <stp>2</stp>
        <stp>600679</stp>
        <stp>12/31/2018</stp>
        <tr r="M1214" s="1"/>
      </tp>
      <tp>
        <v>-22.321630643110002</v>
        <stp/>
        <stp>EM_S_VAL_PETTMDEDUCTED</stp>
        <stp>2</stp>
        <stp>000616</stp>
        <stp>12/31/2018</stp>
        <tr r="M2228" s="1"/>
      </tp>
      <tp>
        <v>34.845913918806097</v>
        <stp/>
        <stp>EM_S_VAL_PETTMDEDUCTED</stp>
        <stp>2</stp>
        <stp>300626</stp>
        <stp>12/31/2018</stp>
        <tr r="M2555" s="1"/>
      </tp>
      <tp>
        <v>24.742748736851802</v>
        <stp/>
        <stp>EM_S_VAL_PETTMDEDUCTED</stp>
        <stp>2</stp>
        <stp>600676</stp>
        <stp>12/31/2018</stp>
        <tr r="M2345" s="1"/>
      </tp>
      <tp>
        <v>12.839049037535</v>
        <stp/>
        <stp>EM_S_VAL_PETTMDEDUCTED</stp>
        <stp>2</stp>
        <stp>000617</stp>
        <stp>12/31/2018</stp>
        <tr r="M1592" s="1"/>
      </tp>
      <tp>
        <v>41.122040656781003</v>
        <stp/>
        <stp>EM_S_VAL_PETTMDEDUCTED</stp>
        <stp>2</stp>
        <stp>300627</stp>
        <stp>12/31/2018</stp>
        <tr r="M908" s="1"/>
      </tp>
      <tp>
        <v>29.6304517763867</v>
        <stp/>
        <stp>EM_S_VAL_PETTMDEDUCTED</stp>
        <stp>2</stp>
        <stp>600677</stp>
        <stp>12/31/2018</stp>
        <tr r="M2619" s="1"/>
      </tp>
      <tp>
        <v>56.6556269187613</v>
        <stp/>
        <stp>EM_S_VAL_PETTMDEDUCTED</stp>
        <stp>2</stp>
        <stp>300624</stp>
        <stp>12/31/2018</stp>
        <tr r="M1409" s="1"/>
      </tp>
      <tp>
        <v>12.060882328883601</v>
        <stp/>
        <stp>EM_S_VAL_PETTMDEDUCTED</stp>
        <stp>2</stp>
        <stp>600674</stp>
        <stp>12/31/2018</stp>
        <tr r="M1589" s="1"/>
      </tp>
      <tp>
        <v>11.9436566143777</v>
        <stp/>
        <stp>EM_S_VAL_PETTMDEDUCTED</stp>
        <stp>2</stp>
        <stp>000615</stp>
        <stp>12/31/2018</stp>
        <tr r="M3000" s="1"/>
      </tp>
      <tp>
        <v>25.180510160038899</v>
        <stp/>
        <stp>EM_S_VAL_PETTMDEDUCTED</stp>
        <stp>2</stp>
        <stp>300625</stp>
        <stp>12/31/2018</stp>
        <tr r="M1465" s="1"/>
      </tp>
      <tp>
        <v>31.711014832239002</v>
        <stp/>
        <stp>EM_S_VAL_PETTMDEDUCTED</stp>
        <stp>2</stp>
        <stp>600675</stp>
        <stp>12/31/2018</stp>
        <tr r="M2967" s="1"/>
      </tp>
      <tp>
        <v>-18.581644203539799</v>
        <stp/>
        <stp>EM_S_VAL_PETTMDEDUCTED</stp>
        <stp>2</stp>
        <stp>000612</stp>
        <stp>12/31/2018</stp>
        <tr r="M3484" s="1"/>
      </tp>
      <tp>
        <v>31.034512848353501</v>
        <stp/>
        <stp>EM_S_VAL_PETTMDEDUCTED</stp>
        <stp>2</stp>
        <stp>300622</stp>
        <stp>12/31/2018</stp>
        <tr r="M1369" s="1"/>
      </tp>
      <tp>
        <v>31.752983620965999</v>
        <stp/>
        <stp>EM_S_VAL_PETTMDEDUCTED</stp>
        <stp>2</stp>
        <stp>600672</stp>
        <stp>12/31/2018</stp>
        <tr r="M2315" s="1"/>
      </tp>
      <tp>
        <v>2399.2336501431801</v>
        <stp/>
        <stp>EM_S_VAL_PETTMDEDUCTED</stp>
        <stp>2</stp>
        <stp>000613</stp>
        <stp>12/31/2018</stp>
        <tr r="M3064" s="1"/>
      </tp>
      <tp>
        <v>28.2597423983451</v>
        <stp/>
        <stp>EM_S_VAL_PETTMDEDUCTED</stp>
        <stp>2</stp>
        <stp>300623</stp>
        <stp>12/31/2018</stp>
        <tr r="M1635" s="1"/>
      </tp>
      <tp>
        <v>27.2849473188604</v>
        <stp/>
        <stp>EM_S_VAL_PETTMDEDUCTED</stp>
        <stp>2</stp>
        <stp>600673</stp>
        <stp>12/31/2018</stp>
        <tr r="M859" s="1"/>
      </tp>
      <tp>
        <v>-50.906364702734102</v>
        <stp/>
        <stp>EM_S_VAL_PETTMDEDUCTED</stp>
        <stp>2</stp>
        <stp>000610</stp>
        <stp>12/31/2018</stp>
        <tr r="M1211" s="1"/>
      </tp>
      <tp>
        <v>54.948045578591902</v>
        <stp/>
        <stp>EM_S_VAL_PETTMDEDUCTED</stp>
        <stp>2</stp>
        <stp>300620</stp>
        <stp>12/31/2018</stp>
        <tr r="M2759" s="1"/>
      </tp>
      <tp>
        <v>74.441792533602893</v>
        <stp/>
        <stp>EM_S_VAL_PETTMDEDUCTED</stp>
        <stp>2</stp>
        <stp>600670</stp>
        <stp>12/31/2018</stp>
        <tr r="M2314" s="1"/>
      </tp>
      <tp>
        <v>-31.653727361819499</v>
        <stp/>
        <stp>EM_S_VAL_PETTMDEDUCTED</stp>
        <stp>2</stp>
        <stp>000611</stp>
        <stp>12/31/2018</stp>
        <tr r="M3483" s="1"/>
      </tp>
      <tp>
        <v>21.716632266974099</v>
        <stp/>
        <stp>EM_S_VAL_PETTMDEDUCTED</stp>
        <stp>2</stp>
        <stp>300621</stp>
        <stp>12/31/2018</stp>
        <tr r="M1811" s="1"/>
      </tp>
      <tp>
        <v>-146.22756867279199</v>
        <stp/>
        <stp>EM_S_VAL_PETTMDEDUCTED</stp>
        <stp>2</stp>
        <stp>600671</stp>
        <stp>12/31/2018</stp>
        <tr r="M3131" s="1"/>
      </tp>
      <tp>
        <v>-11.9971634907783</v>
        <stp/>
        <stp>EM_S_VAL_PETTMDEDUCTED</stp>
        <stp>2</stp>
        <stp>000608</stp>
        <stp>12/31/2018</stp>
        <tr r="M3481" s="1"/>
      </tp>
      <tp>
        <v>47.123757066570199</v>
        <stp/>
        <stp>EM_S_VAL_PETTMDEDUCTED</stp>
        <stp>2</stp>
        <stp>300638</stp>
        <stp>12/31/2018</stp>
        <tr r="M110" s="1"/>
      </tp>
      <tp>
        <v>7.66304059657016</v>
        <stp/>
        <stp>EM_S_VAL_PETTMDEDUCTED</stp>
        <stp>2</stp>
        <stp>600668</stp>
        <stp>12/31/2018</stp>
        <tr r="M921" s="1"/>
      </tp>
      <tp>
        <v>-100.24140653007601</v>
        <stp/>
        <stp>EM_S_VAL_PETTMDEDUCTED</stp>
        <stp>2</stp>
        <stp>000609</stp>
        <stp>12/31/2018</stp>
        <tr r="M3482" s="1"/>
      </tp>
      <tp>
        <v>28.556145518239301</v>
        <stp/>
        <stp>EM_S_VAL_PETTMDEDUCTED</stp>
        <stp>2</stp>
        <stp>300639</stp>
        <stp>12/31/2018</stp>
        <tr r="M429" s="1"/>
      </tp>
      <tp>
        <v>32822.801716867201</v>
        <stp/>
        <stp>EM_S_VAL_PETTMDEDUCTED</stp>
        <stp>2</stp>
        <stp>600669</stp>
        <stp>12/31/2018</stp>
        <tr r="M2313" s="1"/>
      </tp>
      <tp>
        <v>61.239556929993903</v>
        <stp/>
        <stp>EM_S_VAL_PETTMDEDUCTED</stp>
        <stp>2</stp>
        <stp>000606</stp>
        <stp>12/31/2018</stp>
        <tr r="M2652" s="1"/>
      </tp>
      <tp>
        <v>53.963902157750198</v>
        <stp/>
        <stp>EM_S_VAL_PETTMDEDUCTED</stp>
        <stp>2</stp>
        <stp>300636</stp>
        <stp>12/31/2018</stp>
        <tr r="M456" s="1"/>
      </tp>
      <tp>
        <v>-49.949997399907403</v>
        <stp/>
        <stp>EM_S_VAL_PETTMDEDUCTED</stp>
        <stp>2</stp>
        <stp>600666</stp>
        <stp>12/31/2018</stp>
        <tr r="M3218" s="1"/>
      </tp>
      <tp>
        <v>40.455591795306198</v>
        <stp/>
        <stp>EM_S_VAL_PETTMDEDUCTED</stp>
        <stp>2</stp>
        <stp>000607</stp>
        <stp>12/31/2018</stp>
        <tr r="M3480" s="1"/>
      </tp>
      <tp>
        <v>27.111457370615799</v>
        <stp/>
        <stp>EM_S_VAL_PETTMDEDUCTED</stp>
        <stp>2</stp>
        <stp>300637</stp>
        <stp>12/31/2018</stp>
        <tr r="M3365" s="1"/>
      </tp>
      <tp>
        <v>22.597140306152198</v>
        <stp/>
        <stp>EM_S_VAL_PETTMDEDUCTED</stp>
        <stp>2</stp>
        <stp>600667</stp>
        <stp>12/31/2018</stp>
        <tr r="M398" s="1"/>
      </tp>
      <tp>
        <v>71.121898507568304</v>
        <stp/>
        <stp>EM_S_VAL_PETTMDEDUCTED</stp>
        <stp>2</stp>
        <stp>300634</stp>
        <stp>12/31/2018</stp>
        <tr r="M3171" s="1"/>
      </tp>
      <tp>
        <v>41.015298959888497</v>
        <stp/>
        <stp>EM_S_VAL_PETTMDEDUCTED</stp>
        <stp>2</stp>
        <stp>600664</stp>
        <stp>12/31/2018</stp>
        <tr r="M2644" s="1"/>
      </tp>
      <tp>
        <v>51.590605629511003</v>
        <stp/>
        <stp>EM_S_VAL_PETTMDEDUCTED</stp>
        <stp>2</stp>
        <stp>000605</stp>
        <stp>12/31/2018</stp>
        <tr r="M3479" s="1"/>
      </tp>
      <tp>
        <v>52.5800642267154</v>
        <stp/>
        <stp>EM_S_VAL_PETTMDEDUCTED</stp>
        <stp>2</stp>
        <stp>300635</stp>
        <stp>12/31/2018</stp>
        <tr r="M3011" s="1"/>
      </tp>
      <tp>
        <v>6.73756489188656</v>
        <stp/>
        <stp>EM_S_VAL_PETTMDEDUCTED</stp>
        <stp>2</stp>
        <stp>600665</stp>
        <stp>12/31/2018</stp>
        <tr r="M2096" s="1"/>
      </tp>
      <tp>
        <v>45.648537172898699</v>
        <stp/>
        <stp>EM_S_VAL_PETTMDEDUCTED</stp>
        <stp>2</stp>
        <stp>000602</stp>
        <stp>12/31/2018</stp>
        <tr r="M3478" s="1"/>
      </tp>
      <tp>
        <v>26.584731115090499</v>
        <stp/>
        <stp>EM_S_VAL_PETTMDEDUCTED</stp>
        <stp>2</stp>
        <stp>300632</stp>
        <stp>12/31/2018</stp>
        <tr r="M320" s="1"/>
      </tp>
      <tp>
        <v>87.197416221384401</v>
        <stp/>
        <stp>EM_S_VAL_PETTMDEDUCTED</stp>
        <stp>2</stp>
        <stp>600662</stp>
        <stp>12/31/2018</stp>
        <tr r="M1782" s="1"/>
      </tp>
      <tp>
        <v>20.301884393812699</v>
        <stp/>
        <stp>EM_S_VAL_PETTMDEDUCTED</stp>
        <stp>2</stp>
        <stp>000603</stp>
        <stp>12/31/2018</stp>
        <tr r="M625" s="1"/>
      </tp>
      <tp>
        <v>51.691371113223603</v>
        <stp/>
        <stp>EM_S_VAL_PETTMDEDUCTED</stp>
        <stp>2</stp>
        <stp>300633</stp>
        <stp>12/31/2018</stp>
        <tr r="M2972" s="1"/>
      </tp>
      <tp>
        <v>11.827061219426399</v>
        <stp/>
        <stp>EM_S_VAL_PETTMDEDUCTED</stp>
        <stp>2</stp>
        <stp>600663</stp>
        <stp>12/31/2018</stp>
        <tr r="M2066" s="1"/>
      </tp>
      <tp>
        <v>42.5764576098099</v>
        <stp/>
        <stp>EM_S_VAL_PETTMDEDUCTED</stp>
        <stp>2</stp>
        <stp>000600</stp>
        <stp>12/31/2018</stp>
        <tr r="M2456" s="1"/>
      </tp>
      <tp>
        <v>55.438658584465401</v>
        <stp/>
        <stp>EM_S_VAL_PETTMDEDUCTED</stp>
        <stp>2</stp>
        <stp>300630</stp>
        <stp>12/31/2018</stp>
        <tr r="M1074" s="1"/>
      </tp>
      <tp>
        <v>15.1984596623932</v>
        <stp/>
        <stp>EM_S_VAL_PETTMDEDUCTED</stp>
        <stp>2</stp>
        <stp>600660</stp>
        <stp>12/31/2018</stp>
        <tr r="M2159" s="1"/>
      </tp>
      <tp>
        <v>22.897344698720701</v>
        <stp/>
        <stp>EM_S_VAL_PETTMDEDUCTED</stp>
        <stp>2</stp>
        <stp>000601</stp>
        <stp>12/31/2018</stp>
        <tr r="M3477" s="1"/>
      </tp>
      <tp>
        <v>38.442862113679197</v>
        <stp/>
        <stp>EM_S_VAL_PETTMDEDUCTED</stp>
        <stp>2</stp>
        <stp>300631</stp>
        <stp>12/31/2018</stp>
        <tr r="M1619" s="1"/>
      </tp>
      <tp>
        <v>72.560747525245006</v>
        <stp/>
        <stp>EM_S_VAL_PETTMDEDUCTED</stp>
        <stp>2</stp>
        <stp>600661</stp>
        <stp>12/31/2018</stp>
        <tr r="M2866" s="1"/>
      </tp>
      <tp>
        <v>-60.337276849688003</v>
        <stp/>
        <stp>EM_S_VAL_PETTMDEDUCTED</stp>
        <stp>2</stp>
        <stp>000638</stp>
        <stp>12/31/2018</stp>
        <tr r="M3492" s="1"/>
      </tp>
      <tp>
        <v>30.604680116910199</v>
        <stp/>
        <stp>EM_S_VAL_PETTMDEDUCTED</stp>
        <stp>2</stp>
        <stp>300608</stp>
        <stp>12/31/2018</stp>
        <tr r="M2460" s="1"/>
      </tp>
      <tp>
        <v>12.288992527652701</v>
        <stp/>
        <stp>EM_S_VAL_PETTMDEDUCTED</stp>
        <stp>2</stp>
        <stp>600658</stp>
        <stp>12/31/2018</stp>
        <tr r="M2829" s="1"/>
      </tp>
      <tp>
        <v>11.792647006276299</v>
        <stp/>
        <stp>EM_S_VAL_PETTMDEDUCTED</stp>
        <stp>2</stp>
        <stp>000639</stp>
        <stp>12/31/2018</stp>
        <tr r="M3211" s="1"/>
      </tp>
      <tp>
        <v>49.563034600675302</v>
        <stp/>
        <stp>EM_S_VAL_PETTMDEDUCTED</stp>
        <stp>2</stp>
        <stp>300609</stp>
        <stp>12/31/2018</stp>
        <tr r="M784" s="1"/>
      </tp>
      <tp>
        <v>1341.68965282256</v>
        <stp/>
        <stp>EM_S_VAL_PETTMDEDUCTED</stp>
        <stp>2</stp>
        <stp>600659</stp>
        <stp>12/31/2018</stp>
        <tr r="M2324" s="1"/>
      </tp>
      <tp>
        <v>11.0919831781012</v>
        <stp/>
        <stp>EM_S_VAL_PETTMDEDUCTED</stp>
        <stp>2</stp>
        <stp>000636</stp>
        <stp>12/31/2018</stp>
        <tr r="M714" s="1"/>
      </tp>
      <tp>
        <v>32.734507468526402</v>
        <stp/>
        <stp>EM_S_VAL_PETTMDEDUCTED</stp>
        <stp>2</stp>
        <stp>300606</stp>
        <stp>12/31/2018</stp>
        <tr r="M1432" s="1"/>
      </tp>
      <tp>
        <v>-32.633211015520303</v>
        <stp/>
        <stp>EM_S_VAL_PETTMDEDUCTED</stp>
        <stp>2</stp>
        <stp>600656</stp>
        <stp>12/31/2018</stp>
        <tr r="M2312" s="1"/>
      </tp>
      <tp>
        <v>37.324028063217</v>
        <stp/>
        <stp>EM_S_VAL_PETTMDEDUCTED</stp>
        <stp>2</stp>
        <stp>000637</stp>
        <stp>12/31/2018</stp>
        <tr r="M3491" s="1"/>
      </tp>
      <tp>
        <v>26.983812100079199</v>
        <stp/>
        <stp>EM_S_VAL_PETTMDEDUCTED</stp>
        <stp>2</stp>
        <stp>300607</stp>
        <stp>12/31/2018</stp>
        <tr r="M484" s="1"/>
      </tp>
      <tp>
        <v>16.082280310099598</v>
        <stp/>
        <stp>EM_S_VAL_PETTMDEDUCTED</stp>
        <stp>2</stp>
        <stp>600657</stp>
        <stp>12/31/2018</stp>
        <tr r="M2195" s="1"/>
      </tp>
      <tp>
        <v>100.473283152208</v>
        <stp/>
        <stp>EM_S_VAL_PETTMDEDUCTED</stp>
        <stp>2</stp>
        <stp>300604</stp>
        <stp>12/31/2018</stp>
        <tr r="M3085" s="1"/>
      </tp>
      <tp>
        <v>-3.6721660968051699</v>
        <stp/>
        <stp>EM_S_VAL_PETTMDEDUCTED</stp>
        <stp>2</stp>
        <stp>600654</stp>
        <stp>12/31/2018</stp>
        <tr r="M2568" s="1"/>
      </tp>
      <tp>
        <v>33.1728008408653</v>
        <stp/>
        <stp>EM_S_VAL_PETTMDEDUCTED</stp>
        <stp>2</stp>
        <stp>000635</stp>
        <stp>12/31/2018</stp>
        <tr r="M2661" s="1"/>
      </tp>
      <tp>
        <v>39.176680085712697</v>
        <stp/>
        <stp>EM_S_VAL_PETTMDEDUCTED</stp>
        <stp>2</stp>
        <stp>300605</stp>
        <stp>12/31/2018</stp>
        <tr r="M2903" s="1"/>
      </tp>
      <tp>
        <v>48.823701378075803</v>
        <stp/>
        <stp>EM_S_VAL_PETTMDEDUCTED</stp>
        <stp>2</stp>
        <stp>600655</stp>
        <stp>12/31/2018</stp>
        <tr r="M2010" s="1"/>
      </tp>
      <tp>
        <v>56.610328545312797</v>
        <stp/>
        <stp>EM_S_VAL_PETTMDEDUCTED</stp>
        <stp>2</stp>
        <stp>000632</stp>
        <stp>12/31/2018</stp>
        <tr r="M438" s="1"/>
      </tp>
      <tp>
        <v>47.039280752225999</v>
        <stp/>
        <stp>EM_S_VAL_PETTMDEDUCTED</stp>
        <stp>2</stp>
        <stp>300602</stp>
        <stp>12/31/2018</stp>
        <tr r="M1016" s="1"/>
      </tp>
      <tp>
        <v>-7.5885159017862804</v>
        <stp/>
        <stp>EM_S_VAL_PETTMDEDUCTED</stp>
        <stp>2</stp>
        <stp>600652</stp>
        <stp>12/31/2018</stp>
        <tr r="M3367" s="1"/>
      </tp>
      <tp>
        <v>-105.94873491475801</v>
        <stp/>
        <stp>EM_S_VAL_PETTMDEDUCTED</stp>
        <stp>2</stp>
        <stp>000633</stp>
        <stp>12/31/2018</stp>
        <tr r="M2730" s="1"/>
      </tp>
      <tp>
        <v>48.783687352990903</v>
        <stp/>
        <stp>EM_S_VAL_PETTMDEDUCTED</stp>
        <stp>2</stp>
        <stp>300603</stp>
        <stp>12/31/2018</stp>
        <tr r="M3173" s="1"/>
      </tp>
      <tp>
        <v>-5.7547290508701101</v>
        <stp/>
        <stp>EM_S_VAL_PETTMDEDUCTED</stp>
        <stp>2</stp>
        <stp>600653</stp>
        <stp>12/31/2018</stp>
        <tr r="M1829" s="1"/>
      </tp>
      <tp>
        <v>29.046709817863601</v>
        <stp/>
        <stp>EM_S_VAL_PETTMDEDUCTED</stp>
        <stp>2</stp>
        <stp>000630</stp>
        <stp>12/31/2018</stp>
        <tr r="M1285" s="1"/>
      </tp>
      <tp>
        <v>35.229471322929903</v>
        <stp/>
        <stp>EM_S_VAL_PETTMDEDUCTED</stp>
        <stp>2</stp>
        <stp>300600</stp>
        <stp>12/31/2018</stp>
        <tr r="M3297" s="1"/>
      </tp>
      <tp>
        <v>22.785037661778301</v>
        <stp/>
        <stp>EM_S_VAL_PETTMDEDUCTED</stp>
        <stp>2</stp>
        <stp>600650</stp>
        <stp>12/31/2018</stp>
        <tr r="M1878" s="1"/>
      </tp>
      <tp>
        <v>7.5448253285164499</v>
        <stp/>
        <stp>EM_S_VAL_PETTMDEDUCTED</stp>
        <stp>2</stp>
        <stp>000631</stp>
        <stp>12/31/2018</stp>
        <tr r="M3490" s="1"/>
      </tp>
      <tp>
        <v>56.825943315630603</v>
        <stp/>
        <stp>EM_S_VAL_PETTMDEDUCTED</stp>
        <stp>2</stp>
        <stp>300601</stp>
        <stp>12/31/2018</stp>
        <tr r="M93" s="1"/>
      </tp>
      <tp>
        <v>-3.2478731459691099</v>
        <stp/>
        <stp>EM_S_VAL_PETTMDEDUCTED</stp>
        <stp>2</stp>
        <stp>600651</stp>
        <stp>12/31/2018</stp>
        <tr r="M810" s="1"/>
      </tp>
      <tp>
        <v>554.71001516270996</v>
        <stp/>
        <stp>EM_S_VAL_PETTMDEDUCTED</stp>
        <stp>2</stp>
        <stp>000628</stp>
        <stp>12/31/2018</stp>
        <tr r="M2503" s="1"/>
      </tp>
      <tp>
        <v>16.969324231584199</v>
        <stp/>
        <stp>EM_S_VAL_PETTMDEDUCTED</stp>
        <stp>2</stp>
        <stp>300618</stp>
        <stp>12/31/2018</stp>
        <tr r="M1876" s="1"/>
      </tp>
      <tp>
        <v>17.057410277496398</v>
        <stp/>
        <stp>EM_S_VAL_PETTMDEDUCTED</stp>
        <stp>2</stp>
        <stp>600648</stp>
        <stp>12/31/2018</stp>
        <tr r="M1052" s="1"/>
      </tp>
      <tp>
        <v>11.4674390805322</v>
        <stp/>
        <stp>EM_S_VAL_PETTMDEDUCTED</stp>
        <stp>2</stp>
        <stp>000629</stp>
        <stp>12/31/2018</stp>
        <tr r="M2438" s="1"/>
      </tp>
      <tp>
        <v>47.434681046242403</v>
        <stp/>
        <stp>EM_S_VAL_PETTMDEDUCTED</stp>
        <stp>2</stp>
        <stp>300619</stp>
        <stp>12/31/2018</stp>
        <tr r="M2952" s="1"/>
      </tp>
      <tp>
        <v>15.8112971331326</v>
        <stp/>
        <stp>EM_S_VAL_PETTMDEDUCTED</stp>
        <stp>2</stp>
        <stp>600649</stp>
        <stp>12/31/2018</stp>
        <tr r="M2008" s="1"/>
      </tp>
      <tp>
        <v>-13.1448853141986</v>
        <stp/>
        <stp>EM_S_VAL_PETTMDEDUCTED</stp>
        <stp>2</stp>
        <stp>000626</stp>
        <stp>12/31/2018</stp>
        <tr r="M3488" s="1"/>
      </tp>
      <tp>
        <v>35.000509941812098</v>
        <stp/>
        <stp>EM_S_VAL_PETTMDEDUCTED</stp>
        <stp>2</stp>
        <stp>300616</stp>
        <stp>12/31/2018</stp>
        <tr r="M1091" s="1"/>
      </tp>
      <tp>
        <v>11260.608514085399</v>
        <stp/>
        <stp>EM_S_VAL_PETTMDEDUCTED</stp>
        <stp>2</stp>
        <stp>600646</stp>
        <stp>12/31/2018</stp>
        <tr r="M2311" s="1"/>
      </tp>
      <tp>
        <v>22.269668878402701</v>
        <stp/>
        <stp>EM_S_VAL_PETTMDEDUCTED</stp>
        <stp>2</stp>
        <stp>000627</stp>
        <stp>12/31/2018</stp>
        <tr r="M3489" s="1"/>
      </tp>
      <tp>
        <v>29.434820964451799</v>
        <stp/>
        <stp>EM_S_VAL_PETTMDEDUCTED</stp>
        <stp>2</stp>
        <stp>300617</stp>
        <stp>12/31/2018</stp>
        <tr r="M1581" s="1"/>
      </tp>
      <tp>
        <v>-42.422979691737702</v>
        <stp/>
        <stp>EM_S_VAL_PETTMDEDUCTED</stp>
        <stp>2</stp>
        <stp>600647</stp>
        <stp>12/31/2018</stp>
        <tr r="M1435" s="1"/>
      </tp>
      <tp>
        <v>23.6172056872479</v>
        <stp/>
        <stp>EM_S_VAL_PETTMDEDUCTED</stp>
        <stp>2</stp>
        <stp>600644</stp>
        <stp>12/31/2018</stp>
        <tr r="M1143" s="1"/>
      </tp>
      <tp>
        <v>29.8099763602461</v>
        <stp/>
        <stp>EM_S_VAL_PETTMDEDUCTED</stp>
        <stp>2</stp>
        <stp>000625</stp>
        <stp>12/31/2018</stp>
        <tr r="M3487" s="1"/>
      </tp>
      <tp>
        <v>98.730417155823901</v>
        <stp/>
        <stp>EM_S_VAL_PETTMDEDUCTED</stp>
        <stp>2</stp>
        <stp>300615</stp>
        <stp>12/31/2018</stp>
        <tr r="M1398" s="1"/>
      </tp>
      <tp>
        <v>-16243.1274659301</v>
        <stp/>
        <stp>EM_S_VAL_PETTMDEDUCTED</stp>
        <stp>2</stp>
        <stp>600645</stp>
        <stp>12/31/2018</stp>
        <tr r="M2094" s="1"/>
      </tp>
      <tp>
        <v>-151.32032138971201</v>
        <stp/>
        <stp>EM_S_VAL_PETTMDEDUCTED</stp>
        <stp>2</stp>
        <stp>000622</stp>
        <stp>12/31/2018</stp>
        <tr r="M3279" s="1"/>
      </tp>
      <tp>
        <v>55.599708387691003</v>
        <stp/>
        <stp>EM_S_VAL_PETTMDEDUCTED</stp>
        <stp>2</stp>
        <stp>300612</stp>
        <stp>12/31/2018</stp>
        <tr r="M1593" s="1"/>
      </tp>
      <tp>
        <v>17.532368604599</v>
        <stp/>
        <stp>EM_S_VAL_PETTMDEDUCTED</stp>
        <stp>2</stp>
        <stp>600642</stp>
        <stp>12/31/2018</stp>
        <tr r="M1343" s="1"/>
      </tp>
      <tp>
        <v>12.825889443948199</v>
        <stp/>
        <stp>EM_S_VAL_PETTMDEDUCTED</stp>
        <stp>2</stp>
        <stp>000623</stp>
        <stp>12/31/2018</stp>
        <tr r="M1489" s="1"/>
      </tp>
      <tp>
        <v>68.932351400627894</v>
        <stp/>
        <stp>EM_S_VAL_PETTMDEDUCTED</stp>
        <stp>2</stp>
        <stp>300613</stp>
        <stp>12/31/2018</stp>
        <tr r="M258" s="1"/>
      </tp>
      <tp>
        <v>13.204233693787399</v>
        <stp/>
        <stp>EM_S_VAL_PETTMDEDUCTED</stp>
        <stp>2</stp>
        <stp>600643</stp>
        <stp>12/31/2018</stp>
        <tr r="M1527" s="1"/>
      </tp>
      <tp>
        <v>14.2260506154014</v>
        <stp/>
        <stp>EM_S_VAL_PETTMDEDUCTED</stp>
        <stp>2</stp>
        <stp>000620</stp>
        <stp>12/31/2018</stp>
        <tr r="M2102" s="1"/>
      </tp>
      <tp>
        <v>26.038668485611499</v>
        <stp/>
        <stp>EM_S_VAL_PETTMDEDUCTED</stp>
        <stp>2</stp>
        <stp>300610</stp>
        <stp>12/31/2018</stp>
        <tr r="M2478" s="1"/>
      </tp>
      <tp>
        <v>52.116551340075397</v>
        <stp/>
        <stp>EM_S_VAL_PETTMDEDUCTED</stp>
        <stp>2</stp>
        <stp>600640</stp>
        <stp>12/31/2018</stp>
        <tr r="M66" s="1"/>
      </tp>
      <tp>
        <v>0</v>
        <stp/>
        <stp>EM_S_VAL_PETTMDEDUCTED</stp>
        <stp>2</stp>
        <stp>000621</stp>
        <stp>12/31/2018</stp>
        <tr r="M3486" s="1"/>
      </tp>
      <tp>
        <v>47.563841225335899</v>
        <stp/>
        <stp>EM_S_VAL_PETTMDEDUCTED</stp>
        <stp>2</stp>
        <stp>300611</stp>
        <stp>12/31/2018</stp>
        <tr r="M1560" s="1"/>
      </tp>
      <tp>
        <v>7.6209893162128504</v>
        <stp/>
        <stp>EM_S_VAL_PETTMDEDUCTED</stp>
        <stp>2</stp>
        <stp>600641</stp>
        <stp>12/31/2018</stp>
        <tr r="M147" s="1"/>
      </tp>
      <tp>
        <v>-959.66115003244295</v>
        <stp/>
        <stp>EM_S_VAL_PETTMDEDUCTED</stp>
        <stp>2</stp>
        <stp>000658</stp>
        <stp>12/31/2018</stp>
        <tr r="M3495" s="1"/>
      </tp>
      <tp>
        <v>25.785333646480101</v>
        <stp/>
        <stp>EM_S_VAL_PETTMDEDUCTED</stp>
        <stp>2</stp>
        <stp>300668</stp>
        <stp>12/31/2018</stp>
        <tr r="M2582" s="1"/>
      </tp>
      <tp>
        <v>61.6156954904393</v>
        <stp/>
        <stp>EM_S_VAL_PETTMDEDUCTED</stp>
        <stp>2</stp>
        <stp>600638</stp>
        <stp>12/31/2018</stp>
        <tr r="M3026" s="1"/>
      </tp>
      <tp>
        <v>-253.00953427274999</v>
        <stp/>
        <stp>EM_S_VAL_PETTMDEDUCTED</stp>
        <stp>2</stp>
        <stp>000659</stp>
        <stp>12/31/2018</stp>
        <tr r="M3261" s="1"/>
      </tp>
      <tp>
        <v>51.387995923849601</v>
        <stp/>
        <stp>EM_S_VAL_PETTMDEDUCTED</stp>
        <stp>2</stp>
        <stp>300669</stp>
        <stp>12/31/2018</stp>
        <tr r="M488" s="1"/>
      </tp>
      <tp>
        <v>16.9341582094914</v>
        <stp/>
        <stp>EM_S_VAL_PETTMDEDUCTED</stp>
        <stp>2</stp>
        <stp>600639</stp>
        <stp>12/31/2018</stp>
        <tr r="M1287" s="1"/>
      </tp>
      <tp>
        <v>11.0824918994557</v>
        <stp/>
        <stp>EM_S_VAL_PETTMDEDUCTED</stp>
        <stp>2</stp>
        <stp>000656</stp>
        <stp>12/31/2018</stp>
        <tr r="M1182" s="1"/>
      </tp>
      <tp>
        <v>168.729637642509</v>
        <stp/>
        <stp>EM_S_VAL_PETTMDEDUCTED</stp>
        <stp>2</stp>
        <stp>300666</stp>
        <stp>12/31/2018</stp>
        <tr r="M2037" s="1"/>
      </tp>
      <tp>
        <v>57.701670222790803</v>
        <stp/>
        <stp>EM_S_VAL_PETTMDEDUCTED</stp>
        <stp>2</stp>
        <stp>600636</stp>
        <stp>12/31/2018</stp>
        <tr r="M2618" s="1"/>
      </tp>
      <tp>
        <v>68.645462512924198</v>
        <stp/>
        <stp>EM_S_VAL_PETTMDEDUCTED</stp>
        <stp>2</stp>
        <stp>000657</stp>
        <stp>12/31/2018</stp>
        <tr r="M974" s="1"/>
      </tp>
      <tp>
        <v>67.666835038289307</v>
        <stp/>
        <stp>EM_S_VAL_PETTMDEDUCTED</stp>
        <stp>2</stp>
        <stp>300667</stp>
        <stp>12/31/2018</stp>
        <tr r="M1538" s="1"/>
      </tp>
      <tp>
        <v>26.8220007508192</v>
        <stp/>
        <stp>EM_S_VAL_PETTMDEDUCTED</stp>
        <stp>2</stp>
        <stp>600637</stp>
        <stp>12/31/2018</stp>
        <tr r="M2727" s="1"/>
      </tp>
      <tp>
        <v>35.301507513658599</v>
        <stp/>
        <stp>EM_S_VAL_PETTMDEDUCTED</stp>
        <stp>2</stp>
        <stp>300664</stp>
        <stp>12/31/2018</stp>
        <tr r="M1901" s="1"/>
      </tp>
      <tp>
        <v>-21.2637195085969</v>
        <stp/>
        <stp>EM_S_VAL_PETTMDEDUCTED</stp>
        <stp>2</stp>
        <stp>600634</stp>
        <stp>12/31/2018</stp>
        <tr r="M3293" s="1"/>
      </tp>
      <tp>
        <v>-6.9429315629743904</v>
        <stp/>
        <stp>EM_S_VAL_PETTMDEDUCTED</stp>
        <stp>2</stp>
        <stp>000655</stp>
        <stp>12/31/2018</stp>
        <tr r="M3494" s="1"/>
      </tp>
      <tp>
        <v>35.9467839721896</v>
        <stp/>
        <stp>EM_S_VAL_PETTMDEDUCTED</stp>
        <stp>2</stp>
        <stp>300665</stp>
        <stp>12/31/2018</stp>
        <tr r="M1720" s="1"/>
      </tp>
      <tp>
        <v>62.987744623035503</v>
        <stp/>
        <stp>EM_S_VAL_PETTMDEDUCTED</stp>
        <stp>2</stp>
        <stp>600635</stp>
        <stp>12/31/2018</stp>
        <tr r="M2147" s="1"/>
      </tp>
      <tp>
        <v>14.7306047676979</v>
        <stp/>
        <stp>EM_S_VAL_PETTMDEDUCTED</stp>
        <stp>2</stp>
        <stp>000652</stp>
        <stp>12/31/2018</stp>
        <tr r="M1224" s="1"/>
      </tp>
      <tp>
        <v>48.763952669598801</v>
        <stp/>
        <stp>EM_S_VAL_PETTMDEDUCTED</stp>
        <stp>2</stp>
        <stp>300662</stp>
        <stp>12/31/2018</stp>
        <tr r="M1399" s="1"/>
      </tp>
      <tp>
        <v>70.224077552162498</v>
        <stp/>
        <stp>EM_S_VAL_PETTMDEDUCTED</stp>
        <stp>2</stp>
        <stp>600632</stp>
        <stp>12/31/2018</stp>
        <tr r="M2310" s="1"/>
      </tp>
      <tp>
        <v>0</v>
        <stp/>
        <stp>EM_S_VAL_PETTMDEDUCTED</stp>
        <stp>2</stp>
        <stp>000653</stp>
        <stp>12/31/2018</stp>
        <tr r="M3493" s="1"/>
      </tp>
      <tp>
        <v>78.981428025445098</v>
        <stp/>
        <stp>EM_S_VAL_PETTMDEDUCTED</stp>
        <stp>2</stp>
        <stp>300663</stp>
        <stp>12/31/2018</stp>
        <tr r="M224" s="1"/>
      </tp>
      <tp>
        <v>55.665857993471597</v>
        <stp/>
        <stp>EM_S_VAL_PETTMDEDUCTED</stp>
        <stp>2</stp>
        <stp>600633</stp>
        <stp>12/31/2018</stp>
        <tr r="M1476" s="1"/>
      </tp>
      <tp>
        <v>13.3799771090593</v>
        <stp/>
        <stp>EM_S_VAL_PETTMDEDUCTED</stp>
        <stp>2</stp>
        <stp>000650</stp>
        <stp>12/31/2018</stp>
        <tr r="M1616" s="1"/>
      </tp>
      <tp>
        <v>18.6102826317913</v>
        <stp/>
        <stp>EM_S_VAL_PETTMDEDUCTED</stp>
        <stp>2</stp>
        <stp>300660</stp>
        <stp>12/31/2018</stp>
        <tr r="M2965" s="1"/>
      </tp>
      <tp>
        <v>183.07441939524099</v>
        <stp/>
        <stp>EM_S_VAL_PETTMDEDUCTED</stp>
        <stp>2</stp>
        <stp>600630</stp>
        <stp>12/31/2018</stp>
        <tr r="M2003" s="1"/>
      </tp>
      <tp>
        <v>7.9790784415212297</v>
        <stp/>
        <stp>EM_S_VAL_PETTMDEDUCTED</stp>
        <stp>2</stp>
        <stp>000651</stp>
        <stp>12/31/2018</stp>
        <tr r="M229" s="1"/>
      </tp>
      <tp>
        <v>55.7995643581637</v>
        <stp/>
        <stp>EM_S_VAL_PETTMDEDUCTED</stp>
        <stp>2</stp>
        <stp>300661</stp>
        <stp>12/31/2018</stp>
        <tr r="M19" s="1"/>
      </tp>
      <tp>
        <v>30.378181795597101</v>
        <stp/>
        <stp>EM_S_VAL_PETTMDEDUCTED</stp>
        <stp>2</stp>
        <stp>600631</stp>
        <stp>12/31/2018</stp>
        <tr r="M2309" s="1"/>
      </tp>
      <tp>
        <v>96.662871279321493</v>
        <stp/>
        <stp>EM_S_VAL_PETTMDEDUCTED</stp>
        <stp>2</stp>
        <stp>300678</stp>
        <stp>12/31/2018</stp>
        <tr r="M1418" s="1"/>
      </tp>
      <tp>
        <v>20.109016820525</v>
        <stp/>
        <stp>EM_S_VAL_PETTMDEDUCTED</stp>
        <stp>2</stp>
        <stp>600628</stp>
        <stp>12/31/2018</stp>
        <tr r="M603" s="1"/>
      </tp>
      <tp>
        <v>22.986936612728101</v>
        <stp/>
        <stp>EM_S_VAL_PETTMDEDUCTED</stp>
        <stp>2</stp>
        <stp>300679</stp>
        <stp>12/31/2018</stp>
        <tr r="M739" s="1"/>
      </tp>
      <tp>
        <v>18.6853933443758</v>
        <stp/>
        <stp>EM_S_VAL_PETTMDEDUCTED</stp>
        <stp>2</stp>
        <stp>600629</stp>
        <stp>12/31/2018</stp>
        <tr r="M3119" s="1"/>
      </tp>
      <tp>
        <v>74.532971464229902</v>
        <stp/>
        <stp>EM_S_VAL_PETTMDEDUCTED</stp>
        <stp>2</stp>
        <stp>300676</stp>
        <stp>12/31/2018</stp>
        <tr r="M1637" s="1"/>
      </tp>
      <tp>
        <v>32.285319136763697</v>
        <stp/>
        <stp>EM_S_VAL_PETTMDEDUCTED</stp>
        <stp>2</stp>
        <stp>600626</stp>
        <stp>12/31/2018</stp>
        <tr r="M1387" s="1"/>
      </tp>
      <tp>
        <v>18.870828979877501</v>
        <stp/>
        <stp>EM_S_VAL_PETTMDEDUCTED</stp>
        <stp>2</stp>
        <stp>300677</stp>
        <stp>12/31/2018</stp>
        <tr r="M1528" s="1"/>
      </tp>
      <tp>
        <v>30.3887651977508</v>
        <stp/>
        <stp>EM_S_VAL_PETTMDEDUCTED</stp>
        <stp>2</stp>
        <stp>600627</stp>
        <stp>12/31/2018</stp>
        <tr r="M2308" s="1"/>
      </tp>
      <tp>
        <v>382.724157861072</v>
        <stp/>
        <stp>EM_S_VAL_PETTMDEDUCTED</stp>
        <stp>2</stp>
        <stp>600624</stp>
        <stp>12/31/2018</stp>
        <tr r="M437" s="1"/>
      </tp>
      <tp>
        <v>220.107256253093</v>
        <stp/>
        <stp>EM_S_VAL_PETTMDEDUCTED</stp>
        <stp>2</stp>
        <stp>300675</stp>
        <stp>12/31/2018</stp>
        <tr r="M3339" s="1"/>
      </tp>
      <tp>
        <v>2405.9851171010901</v>
        <stp/>
        <stp>EM_S_VAL_PETTMDEDUCTED</stp>
        <stp>2</stp>
        <stp>600625</stp>
        <stp>12/31/2018</stp>
        <tr r="M2307" s="1"/>
      </tp>
      <tp>
        <v>3202.4291761064701</v>
        <stp/>
        <stp>EM_S_VAL_PETTMDEDUCTED</stp>
        <stp>2</stp>
        <stp>300672</stp>
        <stp>12/31/2018</stp>
        <tr r="M1657" s="1"/>
      </tp>
      <tp>
        <v>11.1973294329384</v>
        <stp/>
        <stp>EM_S_VAL_PETTMDEDUCTED</stp>
        <stp>2</stp>
        <stp>600622</stp>
        <stp>12/31/2018</stp>
        <tr r="M3247" s="1"/>
      </tp>
      <tp>
        <v>38.451605249265398</v>
        <stp/>
        <stp>EM_S_VAL_PETTMDEDUCTED</stp>
        <stp>2</stp>
        <stp>300673</stp>
        <stp>12/31/2018</stp>
        <tr r="M3263" s="1"/>
      </tp>
      <tp>
        <v>17.628253501909398</v>
        <stp/>
        <stp>EM_S_VAL_PETTMDEDUCTED</stp>
        <stp>2</stp>
        <stp>600623</stp>
        <stp>12/31/2018</stp>
        <tr r="M3024" s="1"/>
      </tp>
      <tp>
        <v>76.848202395129206</v>
        <stp/>
        <stp>EM_S_VAL_PETTMDEDUCTED</stp>
        <stp>2</stp>
        <stp>300670</stp>
        <stp>12/31/2018</stp>
        <tr r="M3362" s="1"/>
      </tp>
      <tp>
        <v>69.906233554133607</v>
        <stp/>
        <stp>EM_S_VAL_PETTMDEDUCTED</stp>
        <stp>2</stp>
        <stp>600620</stp>
        <stp>12/31/2018</stp>
        <tr r="M1374" s="1"/>
      </tp>
      <tp>
        <v>36.388375410332699</v>
        <stp/>
        <stp>EM_S_VAL_PETTMDEDUCTED</stp>
        <stp>2</stp>
        <stp>300671</stp>
        <stp>12/31/2018</stp>
        <tr r="M929" s="1"/>
      </tp>
      <tp>
        <v>13.776281326245201</v>
        <stp/>
        <stp>EM_S_VAL_PETTMDEDUCTED</stp>
        <stp>2</stp>
        <stp>600621</stp>
        <stp>12/31/2018</stp>
        <tr r="M302" s="1"/>
      </tp>
      <tp>
        <v>-69.528694817502696</v>
        <stp/>
        <stp>EM_S_VAL_PETTMDEDUCTED</stp>
        <stp>2</stp>
        <stp>000678</stp>
        <stp>12/31/2018</stp>
        <tr r="M3505" s="1"/>
      </tp>
      <tp>
        <v>56.397705383962602</v>
        <stp/>
        <stp>EM_S_VAL_PETTMDEDUCTED</stp>
        <stp>2</stp>
        <stp>300648</stp>
        <stp>12/31/2018</stp>
        <tr r="M2494" s="1"/>
      </tp>
      <tp>
        <v>7.0628400883187101</v>
        <stp/>
        <stp>EM_S_VAL_PETTMDEDUCTED</stp>
        <stp>2</stp>
        <stp>600618</stp>
        <stp>12/31/2018</stp>
        <tr r="M1601" s="1"/>
      </tp>
      <tp>
        <v>-7.1514134475146598</v>
        <stp/>
        <stp>EM_S_VAL_PETTMDEDUCTED</stp>
        <stp>2</stp>
        <stp>000679</stp>
        <stp>12/31/2018</stp>
        <tr r="M3506" s="1"/>
      </tp>
      <tp>
        <v>67.983043941797106</v>
        <stp/>
        <stp>EM_S_VAL_PETTMDEDUCTED</stp>
        <stp>2</stp>
        <stp>300649</stp>
        <stp>12/31/2018</stp>
        <tr r="M3039" s="1"/>
      </tp>
      <tp>
        <v>30.022569678799702</v>
        <stp/>
        <stp>EM_S_VAL_PETTMDEDUCTED</stp>
        <stp>2</stp>
        <stp>600619</stp>
        <stp>12/31/2018</stp>
        <tr r="M2513" s="1"/>
      </tp>
      <tp>
        <v>12.40777508257</v>
        <stp/>
        <stp>EM_S_VAL_PETTMDEDUCTED</stp>
        <stp>2</stp>
        <stp>000676</stp>
        <stp>12/31/2018</stp>
        <tr r="M2517" s="1"/>
      </tp>
      <tp>
        <v>0</v>
        <stp/>
        <stp>EM_S_VAL_PETTMDEDUCTED</stp>
        <stp>2</stp>
        <stp>300646</stp>
        <stp>12/31/2018</stp>
        <tr r="M10" s="1"/>
      </tp>
      <tp>
        <v>76.276240370550994</v>
        <stp/>
        <stp>EM_S_VAL_PETTMDEDUCTED</stp>
        <stp>2</stp>
        <stp>600616</stp>
        <stp>12/31/2018</stp>
        <tr r="M2035" s="1"/>
      </tp>
      <tp>
        <v>-20526.1351208632</v>
        <stp/>
        <stp>EM_S_VAL_PETTMDEDUCTED</stp>
        <stp>2</stp>
        <stp>000677</stp>
        <stp>12/31/2018</stp>
        <tr r="M699" s="1"/>
      </tp>
      <tp>
        <v>582.91513635907995</v>
        <stp/>
        <stp>EM_S_VAL_PETTMDEDUCTED</stp>
        <stp>2</stp>
        <stp>300647</stp>
        <stp>12/31/2018</stp>
        <tr r="M2744" s="1"/>
      </tp>
      <tp>
        <v>-28.409708166421701</v>
        <stp/>
        <stp>EM_S_VAL_PETTMDEDUCTED</stp>
        <stp>2</stp>
        <stp>600617</stp>
        <stp>12/31/2018</stp>
        <tr r="M2412" s="1"/>
      </tp>
      <tp>
        <v>55.417748410935999</v>
        <stp/>
        <stp>EM_S_VAL_PETTMDEDUCTED</stp>
        <stp>2</stp>
        <stp>300644</stp>
        <stp>12/31/2018</stp>
        <tr r="M2969" s="1"/>
      </tp>
      <tp>
        <v>21.6371672020144</v>
        <stp/>
        <stp>EM_S_VAL_PETTMDEDUCTED</stp>
        <stp>2</stp>
        <stp>600614</stp>
        <stp>12/31/2018</stp>
        <tr r="M3373" s="1"/>
      </tp>
      <tp>
        <v>-16.2983393396525</v>
        <stp/>
        <stp>EM_S_VAL_PETTMDEDUCTED</stp>
        <stp>2</stp>
        <stp>000675</stp>
        <stp>12/31/2018</stp>
        <tr r="M3504" s="1"/>
      </tp>
      <tp>
        <v>51.720455890080601</v>
        <stp/>
        <stp>EM_S_VAL_PETTMDEDUCTED</stp>
        <stp>2</stp>
        <stp>300645</stp>
        <stp>12/31/2018</stp>
        <tr r="M3374" s="1"/>
      </tp>
      <tp>
        <v>1871.0906546260801</v>
        <stp/>
        <stp>EM_S_VAL_PETTMDEDUCTED</stp>
        <stp>2</stp>
        <stp>600615</stp>
        <stp>12/31/2018</stp>
        <tr r="M1631" s="1"/>
      </tp>
      <tp>
        <v>5.54151967561081</v>
        <stp/>
        <stp>EM_S_VAL_PETTMDEDUCTED</stp>
        <stp>2</stp>
        <stp>000672</stp>
        <stp>12/31/2018</stp>
        <tr r="M150" s="1"/>
      </tp>
      <tp>
        <v>28.750671644496499</v>
        <stp/>
        <stp>EM_S_VAL_PETTMDEDUCTED</stp>
        <stp>2</stp>
        <stp>300642</stp>
        <stp>12/31/2018</stp>
        <tr r="M1902" s="1"/>
      </tp>
      <tp>
        <v>20.733589281664901</v>
        <stp/>
        <stp>EM_S_VAL_PETTMDEDUCTED</stp>
        <stp>2</stp>
        <stp>600612</stp>
        <stp>12/31/2018</stp>
        <tr r="M2043" s="1"/>
      </tp>
      <tp>
        <v>21.4719571954281</v>
        <stp/>
        <stp>EM_S_VAL_PETTMDEDUCTED</stp>
        <stp>2</stp>
        <stp>000673</stp>
        <stp>12/31/2018</stp>
        <tr r="M3503" s="1"/>
      </tp>
      <tp>
        <v>77.622715254303301</v>
        <stp/>
        <stp>EM_S_VAL_PETTMDEDUCTED</stp>
        <stp>2</stp>
        <stp>300643</stp>
        <stp>12/31/2018</stp>
        <tr r="M149" s="1"/>
      </tp>
      <tp>
        <v>27.458905417638601</v>
        <stp/>
        <stp>EM_S_VAL_PETTMDEDUCTED</stp>
        <stp>2</stp>
        <stp>600613</stp>
        <stp>12/31/2018</stp>
        <tr r="M768" s="1"/>
      </tp>
      <tp>
        <v>-6.9746917176516998</v>
        <stp/>
        <stp>EM_S_VAL_PETTMDEDUCTED</stp>
        <stp>2</stp>
        <stp>000670</stp>
        <stp>12/31/2018</stp>
        <tr r="M3502" s="1"/>
      </tp>
      <tp>
        <v>54.538455825186198</v>
        <stp/>
        <stp>EM_S_VAL_PETTMDEDUCTED</stp>
        <stp>2</stp>
        <stp>300640</stp>
        <stp>12/31/2018</stp>
        <tr r="M2861" s="1"/>
      </tp>
      <tp>
        <v>-1.6674213565182101</v>
        <stp/>
        <stp>EM_S_VAL_PETTMDEDUCTED</stp>
        <stp>2</stp>
        <stp>600610</stp>
        <stp>12/31/2018</stp>
        <tr r="M203" s="1"/>
      </tp>
      <tp>
        <v>7.5878171747410903</v>
        <stp/>
        <stp>EM_S_VAL_PETTMDEDUCTED</stp>
        <stp>2</stp>
        <stp>000671</stp>
        <stp>12/31/2018</stp>
        <tr r="M373" s="1"/>
      </tp>
      <tp>
        <v>40.569345948606703</v>
        <stp/>
        <stp>EM_S_VAL_PETTMDEDUCTED</stp>
        <stp>2</stp>
        <stp>300641</stp>
        <stp>12/31/2018</stp>
        <tr r="M2353" s="1"/>
      </tp>
      <tp>
        <v>19.440180046543201</v>
        <stp/>
        <stp>EM_S_VAL_PETTMDEDUCTED</stp>
        <stp>2</stp>
        <stp>600611</stp>
        <stp>12/31/2018</stp>
        <tr r="M2175" s="1"/>
      </tp>
      <tp>
        <v>42.668485491026303</v>
        <stp/>
        <stp>EM_S_VAL_PETTMDEDUCTED</stp>
        <stp>2</stp>
        <stp>000668</stp>
        <stp>12/31/2018</stp>
        <tr r="M3500" s="1"/>
      </tp>
      <tp>
        <v>36.8457161056144</v>
        <stp/>
        <stp>EM_S_VAL_PETTMDEDUCTED</stp>
        <stp>2</stp>
        <stp>300658</stp>
        <stp>12/31/2018</stp>
        <tr r="M886" s="1"/>
      </tp>
      <tp>
        <v>-101.14865813035701</v>
        <stp/>
        <stp>EM_S_VAL_PETTMDEDUCTED</stp>
        <stp>2</stp>
        <stp>600608</stp>
        <stp>12/31/2018</stp>
        <tr r="M1802" s="1"/>
      </tp>
      <tp>
        <v>33.067892149023201</v>
        <stp/>
        <stp>EM_S_VAL_PETTMDEDUCTED</stp>
        <stp>2</stp>
        <stp>000669</stp>
        <stp>12/31/2018</stp>
        <tr r="M3501" s="1"/>
      </tp>
      <tp>
        <v>126.786637512105</v>
        <stp/>
        <stp>EM_S_VAL_PETTMDEDUCTED</stp>
        <stp>2</stp>
        <stp>300659</stp>
        <stp>12/31/2018</stp>
        <tr r="M39" s="1"/>
      </tp>
      <tp>
        <v>-58.074326928128698</v>
        <stp/>
        <stp>EM_S_VAL_PETTMDEDUCTED</stp>
        <stp>2</stp>
        <stp>600609</stp>
        <stp>12/31/2018</stp>
        <tr r="M955" s="1"/>
      </tp>
      <tp>
        <v>17.076994440077499</v>
        <stp/>
        <stp>EM_S_VAL_PETTMDEDUCTED</stp>
        <stp>2</stp>
        <stp>000666</stp>
        <stp>12/31/2018</stp>
        <tr r="M1969" s="1"/>
      </tp>
      <tp>
        <v>44.342979944024499</v>
        <stp/>
        <stp>EM_S_VAL_PETTMDEDUCTED</stp>
        <stp>2</stp>
        <stp>300656</stp>
        <stp>12/31/2018</stp>
        <tr r="M2217" s="1"/>
      </tp>
      <tp>
        <v>6.03642656000219</v>
        <stp/>
        <stp>EM_S_VAL_PETTMDEDUCTED</stp>
        <stp>2</stp>
        <stp>600606</stp>
        <stp>12/31/2018</stp>
        <tr r="M1591" s="1"/>
      </tp>
      <tp>
        <v>-87.362718389536298</v>
        <stp/>
        <stp>EM_S_VAL_PETTMDEDUCTED</stp>
        <stp>2</stp>
        <stp>000667</stp>
        <stp>12/31/2018</stp>
        <tr r="M3499" s="1"/>
      </tp>
      <tp>
        <v>102.151306687608</v>
        <stp/>
        <stp>EM_S_VAL_PETTMDEDUCTED</stp>
        <stp>2</stp>
        <stp>300657</stp>
        <stp>12/31/2018</stp>
        <tr r="M1186" s="1"/>
      </tp>
      <tp>
        <v>57.093842419987602</v>
        <stp/>
        <stp>EM_S_VAL_PETTMDEDUCTED</stp>
        <stp>2</stp>
        <stp>600607</stp>
        <stp>12/31/2018</stp>
        <tr r="M2306" s="1"/>
      </tp>
      <tp>
        <v>57.760116030023397</v>
        <stp/>
        <stp>EM_S_VAL_PETTMDEDUCTED</stp>
        <stp>2</stp>
        <stp>300654</stp>
        <stp>12/31/2018</stp>
        <tr r="M3061" s="1"/>
      </tp>
      <tp>
        <v>73.3807643710782</v>
        <stp/>
        <stp>EM_S_VAL_PETTMDEDUCTED</stp>
        <stp>2</stp>
        <stp>600604</stp>
        <stp>12/31/2018</stp>
        <tr r="M1429" s="1"/>
      </tp>
      <tp>
        <v>15.4722195210888</v>
        <stp/>
        <stp>EM_S_VAL_PETTMDEDUCTED</stp>
        <stp>2</stp>
        <stp>000665</stp>
        <stp>12/31/2018</stp>
        <tr r="M3156" s="1"/>
      </tp>
      <tp>
        <v>45.479542841406499</v>
        <stp/>
        <stp>EM_S_VAL_PETTMDEDUCTED</stp>
        <stp>2</stp>
        <stp>300655</stp>
        <stp>12/31/2018</stp>
        <tr r="M94" s="1"/>
      </tp>
      <tp>
        <v>45.128126551190697</v>
        <stp/>
        <stp>EM_S_VAL_PETTMDEDUCTED</stp>
        <stp>2</stp>
        <stp>600605</stp>
        <stp>12/31/2018</stp>
        <tr r="M1488" s="1"/>
      </tp>
      <tp>
        <v>13.198469704757899</v>
        <stp/>
        <stp>EM_S_VAL_PETTMDEDUCTED</stp>
        <stp>2</stp>
        <stp>000662</stp>
        <stp>12/31/2018</stp>
        <tr r="M3497" s="1"/>
      </tp>
      <tp>
        <v>22.677432364271301</v>
        <stp/>
        <stp>EM_S_VAL_PETTMDEDUCTED</stp>
        <stp>2</stp>
        <stp>300652</stp>
        <stp>12/31/2018</stp>
        <tr r="M2079" s="1"/>
      </tp>
      <tp>
        <v>45.0031130789163</v>
        <stp/>
        <stp>EM_S_VAL_PETTMDEDUCTED</stp>
        <stp>2</stp>
        <stp>600602</stp>
        <stp>12/31/2018</stp>
        <tr r="M353" s="1"/>
      </tp>
      <tp>
        <v>-14.355472934502099</v>
        <stp/>
        <stp>EM_S_VAL_PETTMDEDUCTED</stp>
        <stp>2</stp>
        <stp>000663</stp>
        <stp>12/31/2018</stp>
        <tr r="M3498" s="1"/>
      </tp>
      <tp>
        <v>44.815540212316201</v>
        <stp/>
        <stp>EM_S_VAL_PETTMDEDUCTED</stp>
        <stp>2</stp>
        <stp>300653</stp>
        <stp>12/31/2018</stp>
        <tr r="M539" s="1"/>
      </tp>
      <tp>
        <v>10.521909621321599</v>
        <stp/>
        <stp>EM_S_VAL_PETTMDEDUCTED</stp>
        <stp>2</stp>
        <stp>600603</stp>
        <stp>12/31/2018</stp>
        <tr r="M1271" s="1"/>
      </tp>
      <tp>
        <v>15.3838723359626</v>
        <stp/>
        <stp>EM_S_VAL_PETTMDEDUCTED</stp>
        <stp>2</stp>
        <stp>000660</stp>
        <stp>12/31/2018</stp>
        <tr r="M3496" s="1"/>
      </tp>
      <tp>
        <v>29.571813032858199</v>
        <stp/>
        <stp>EM_S_VAL_PETTMDEDUCTED</stp>
        <stp>2</stp>
        <stp>300650</stp>
        <stp>12/31/2018</stp>
        <tr r="M1066" s="1"/>
      </tp>
      <tp>
        <v>43.280142147559502</v>
        <stp/>
        <stp>EM_S_VAL_PETTMDEDUCTED</stp>
        <stp>2</stp>
        <stp>600600</stp>
        <stp>12/31/2018</stp>
        <tr r="M615" s="1"/>
      </tp>
      <tp>
        <v>30.008193461893399</v>
        <stp/>
        <stp>EM_S_VAL_PETTMDEDUCTED</stp>
        <stp>2</stp>
        <stp>000661</stp>
        <stp>12/31/2018</stp>
        <tr r="M85" s="1"/>
      </tp>
      <tp>
        <v>73.027575894556193</v>
        <stp/>
        <stp>EM_S_VAL_PETTMDEDUCTED</stp>
        <stp>2</stp>
        <stp>300651</stp>
        <stp>12/31/2018</stp>
        <tr r="M3284" s="1"/>
      </tp>
      <tp>
        <v>-5.9183868604727401</v>
        <stp/>
        <stp>EM_S_VAL_PETTMDEDUCTED</stp>
        <stp>2</stp>
        <stp>600601</stp>
        <stp>12/31/2018</stp>
        <tr r="M651" s="1"/>
      </tp>
      <tp>
        <v>559.77237057182504</v>
        <stp/>
        <stp>EM_S_VAL_PETTMDEDUCTED</stp>
        <stp>2</stp>
        <stp>000798</stp>
        <stp>12/31/2018</stp>
        <tr r="M3541" s="1"/>
      </tp>
      <tp>
        <v>25.420818726525699</v>
        <stp/>
        <stp>EM_S_VAL_PETTMDEDUCTED</stp>
        <stp>2</stp>
        <stp>000799</stp>
        <stp>12/31/2018</stp>
        <tr r="M114" s="1"/>
      </tp>
      <tp>
        <v>32.926991892462098</v>
        <stp/>
        <stp>EM_S_VAL_PETTMDEDUCTED</stp>
        <stp>2</stp>
        <stp>000796</stp>
        <stp>12/31/2018</stp>
        <tr r="M776" s="1"/>
      </tp>
      <tp>
        <v>18.4097723046863</v>
        <stp/>
        <stp>EM_S_VAL_PETTMDEDUCTED</stp>
        <stp>2</stp>
        <stp>000797</stp>
        <stp>12/31/2018</stp>
        <tr r="M3127" s="1"/>
      </tp>
      <tp>
        <v>124.965984560725</v>
        <stp/>
        <stp>EM_S_VAL_PETTMDEDUCTED</stp>
        <stp>2</stp>
        <stp>000795</stp>
        <stp>12/31/2018</stp>
        <tr r="M292" s="1"/>
      </tp>
      <tp>
        <v>-3.0895310720556002</v>
        <stp/>
        <stp>EM_S_VAL_PETTMDEDUCTED</stp>
        <stp>2</stp>
        <stp>000792</stp>
        <stp>12/31/2018</stp>
        <tr r="M3539" s="1"/>
      </tp>
      <tp>
        <v>-19.7302753398852</v>
        <stp/>
        <stp>EM_S_VAL_PETTMDEDUCTED</stp>
        <stp>2</stp>
        <stp>000793</stp>
        <stp>12/31/2018</stp>
        <tr r="M3540" s="1"/>
      </tp>
      <tp>
        <v>91.304951571598906</v>
        <stp/>
        <stp>EM_S_VAL_PETTMDEDUCTED</stp>
        <stp>2</stp>
        <stp>000790</stp>
        <stp>12/31/2018</stp>
        <tr r="M1849" s="1"/>
      </tp>
      <tp>
        <v>10.1232685283119</v>
        <stp/>
        <stp>EM_S_VAL_PETTMDEDUCTED</stp>
        <stp>2</stp>
        <stp>000791</stp>
        <stp>12/31/2018</stp>
        <tr r="M3193" s="1"/>
      </tp>
      <tp>
        <v>67.128721004438503</v>
        <stp/>
        <stp>EM_S_VAL_PETTMDEDUCTED</stp>
        <stp>2</stp>
        <stp>000788</stp>
        <stp>12/31/2018</stp>
        <tr r="M1145" s="1"/>
      </tp>
      <tp>
        <v>5.7800821226201702</v>
        <stp/>
        <stp>EM_S_VAL_PETTMDEDUCTED</stp>
        <stp>2</stp>
        <stp>000789</stp>
        <stp>12/31/2018</stp>
        <tr r="M2031" s="1"/>
      </tp>
      <tp>
        <v>8.2369316457766999</v>
        <stp/>
        <stp>EM_S_VAL_PETTMDEDUCTED</stp>
        <stp>2</stp>
        <stp>000786</stp>
        <stp>12/31/2018</stp>
        <tr r="M216" s="1"/>
      </tp>
      <tp>
        <v>121.184174045357</v>
        <stp/>
        <stp>EM_S_VAL_PETTMDEDUCTED</stp>
        <stp>2</stp>
        <stp>000787</stp>
        <stp>12/31/2018</stp>
        <tr r="M3538" s="1"/>
      </tp>
      <tp>
        <v>61.658089426428099</v>
        <stp/>
        <stp>EM_S_VAL_PETTMDEDUCTED</stp>
        <stp>2</stp>
        <stp>000785</stp>
        <stp>12/31/2018</stp>
        <tr r="M560" s="1"/>
      </tp>
      <tp>
        <v>43.754164000027799</v>
        <stp/>
        <stp>EM_S_VAL_PETTMDEDUCTED</stp>
        <stp>2</stp>
        <stp>000782</stp>
        <stp>12/31/2018</stp>
        <tr r="M3032" s="1"/>
      </tp>
      <tp>
        <v>50.308899795886902</v>
        <stp/>
        <stp>EM_S_VAL_PETTMDEDUCTED</stp>
        <stp>2</stp>
        <stp>000783</stp>
        <stp>12/31/2018</stp>
        <tr r="M3537" s="1"/>
      </tp>
      <tp>
        <v>125.805995296795</v>
        <stp/>
        <stp>EM_S_VAL_PETTMDEDUCTED</stp>
        <stp>2</stp>
        <stp>000780</stp>
        <stp>12/31/2018</stp>
        <tr r="M3536" s="1"/>
      </tp>
      <tp>
        <v>23.733297117131599</v>
        <stp/>
        <stp>EM_S_VAL_PETTMDEDUCTED</stp>
        <stp>2</stp>
        <stp>600798</stp>
        <stp>12/31/2018</stp>
        <tr r="M1796" s="1"/>
      </tp>
      <tp>
        <v>-0.30496757968242799</v>
        <stp/>
        <stp>EM_S_VAL_PETTMDEDUCTED</stp>
        <stp>2</stp>
        <stp>600799</stp>
        <stp>12/31/2018</stp>
        <tr r="M2325" s="1"/>
      </tp>
      <tp>
        <v>-62.354045958363002</v>
        <stp/>
        <stp>EM_S_VAL_PETTMDEDUCTED</stp>
        <stp>2</stp>
        <stp>600796</stp>
        <stp>12/31/2018</stp>
        <tr r="M1931" s="1"/>
      </tp>
      <tp>
        <v>41.308596844817501</v>
        <stp/>
        <stp>EM_S_VAL_PETTMDEDUCTED</stp>
        <stp>2</stp>
        <stp>600797</stp>
        <stp>12/31/2018</stp>
        <tr r="M719" s="1"/>
      </tp>
      <tp>
        <v>-3565.8821694799599</v>
        <stp/>
        <stp>EM_S_VAL_PETTMDEDUCTED</stp>
        <stp>2</stp>
        <stp>600794</stp>
        <stp>12/31/2018</stp>
        <tr r="M627" s="1"/>
      </tp>
      <tp>
        <v>28.272704672035498</v>
        <stp/>
        <stp>EM_S_VAL_PETTMDEDUCTED</stp>
        <stp>2</stp>
        <stp>600795</stp>
        <stp>12/31/2018</stp>
        <tr r="M2731" s="1"/>
      </tp>
      <tp>
        <v>20.129246746977099</v>
        <stp/>
        <stp>EM_S_VAL_PETTMDEDUCTED</stp>
        <stp>2</stp>
        <stp>600792</stp>
        <stp>12/31/2018</stp>
        <tr r="M952" s="1"/>
      </tp>
      <tp>
        <v>-116.980220403256</v>
        <stp/>
        <stp>EM_S_VAL_PETTMDEDUCTED</stp>
        <stp>2</stp>
        <stp>600793</stp>
        <stp>12/31/2018</stp>
        <tr r="M1843" s="1"/>
      </tp>
      <tp>
        <v>15.283200056979201</v>
        <stp/>
        <stp>EM_S_VAL_PETTMDEDUCTED</stp>
        <stp>2</stp>
        <stp>600790</stp>
        <stp>12/31/2018</stp>
        <tr r="M2647" s="1"/>
      </tp>
      <tp>
        <v>643.37219795038902</v>
        <stp/>
        <stp>EM_S_VAL_PETTMDEDUCTED</stp>
        <stp>2</stp>
        <stp>600791</stp>
        <stp>12/31/2018</stp>
        <tr r="M1982" s="1"/>
      </tp>
      <tp>
        <v>-675.95863767017102</v>
        <stp/>
        <stp>EM_S_VAL_PETTMDEDUCTED</stp>
        <stp>2</stp>
        <stp>600788</stp>
        <stp>12/31/2018</stp>
        <tr r="M2323" s="1"/>
      </tp>
      <tp>
        <v>33.345081893363698</v>
        <stp/>
        <stp>EM_S_VAL_PETTMDEDUCTED</stp>
        <stp>2</stp>
        <stp>600789</stp>
        <stp>12/31/2018</stp>
        <tr r="M2875" s="1"/>
      </tp>
      <tp>
        <v>59.621561153993703</v>
        <stp/>
        <stp>EM_S_VAL_PETTMDEDUCTED</stp>
        <stp>2</stp>
        <stp>600786</stp>
        <stp>12/31/2018</stp>
        <tr r="M2322" s="1"/>
      </tp>
      <tp>
        <v>-710.27564088903398</v>
        <stp/>
        <stp>EM_S_VAL_PETTMDEDUCTED</stp>
        <stp>2</stp>
        <stp>600787</stp>
        <stp>12/31/2018</stp>
        <tr r="M2015" s="1"/>
      </tp>
      <tp>
        <v>-14.2043600164171</v>
        <stp/>
        <stp>EM_S_VAL_PETTMDEDUCTED</stp>
        <stp>2</stp>
        <stp>600784</stp>
        <stp>12/31/2018</stp>
        <tr r="M2018" s="1"/>
      </tp>
      <tp>
        <v>20.590690585877901</v>
        <stp/>
        <stp>EM_S_VAL_PETTMDEDUCTED</stp>
        <stp>2</stp>
        <stp>600785</stp>
        <stp>12/31/2018</stp>
        <tr r="M2709" s="1"/>
      </tp>
      <tp>
        <v>2.88764897357607</v>
        <stp/>
        <stp>EM_S_VAL_PETTMDEDUCTED</stp>
        <stp>2</stp>
        <stp>600782</stp>
        <stp>12/31/2018</stp>
        <tr r="M2374" s="1"/>
      </tp>
      <tp>
        <v>17352.408981589098</v>
        <stp/>
        <stp>EM_S_VAL_PETTMDEDUCTED</stp>
        <stp>2</stp>
        <stp>600783</stp>
        <stp>12/31/2018</stp>
        <tr r="M2462" s="1"/>
      </tp>
      <tp>
        <v>15.8914383079691</v>
        <stp/>
        <stp>EM_S_VAL_PETTMDEDUCTED</stp>
        <stp>2</stp>
        <stp>600780</stp>
        <stp>12/31/2018</stp>
        <tr r="M1853" s="1"/>
      </tp>
      <tp>
        <v>11.5311661606752</v>
        <stp/>
        <stp>EM_S_VAL_PETTMDEDUCTED</stp>
        <stp>2</stp>
        <stp>600781</stp>
        <stp>12/31/2018</stp>
        <tr r="M3379" s="1"/>
      </tp>
      <tp>
        <v>8.5026901840947193</v>
        <stp/>
        <stp>EM_S_VAL_PETTMDEDUCTED</stp>
        <stp>2</stp>
        <stp>000718</stp>
        <stp>12/31/2018</stp>
        <tr r="M3519" s="1"/>
      </tp>
      <tp>
        <v>0</v>
        <stp/>
        <stp>EM_S_VAL_PETTMDEDUCTED</stp>
        <stp>2</stp>
        <stp>300728</stp>
        <stp>12/31/2018</stp>
        <tr r="M11" s="1"/>
      </tp>
      <tp>
        <v>14.659009072542901</v>
        <stp/>
        <stp>EM_S_VAL_PETTMDEDUCTED</stp>
        <stp>2</stp>
        <stp>600778</stp>
        <stp>12/31/2018</stp>
        <tr r="M1299" s="1"/>
      </tp>
      <tp>
        <v>11.3237826455786</v>
        <stp/>
        <stp>EM_S_VAL_PETTMDEDUCTED</stp>
        <stp>2</stp>
        <stp>000719</stp>
        <stp>12/31/2018</stp>
        <tr r="M2726" s="1"/>
      </tp>
      <tp>
        <v>39.749929375032202</v>
        <stp/>
        <stp>EM_S_VAL_PETTMDEDUCTED</stp>
        <stp>2</stp>
        <stp>300729</stp>
        <stp>12/31/2018</stp>
        <tr r="M1886" s="1"/>
      </tp>
      <tp>
        <v>25.80065316792</v>
        <stp/>
        <stp>EM_S_VAL_PETTMDEDUCTED</stp>
        <stp>2</stp>
        <stp>600779</stp>
        <stp>12/31/2018</stp>
        <tr r="M355" s="1"/>
      </tp>
      <tp>
        <v>70.471860664506295</v>
        <stp/>
        <stp>EM_S_VAL_PETTMDEDUCTED</stp>
        <stp>2</stp>
        <stp>000716</stp>
        <stp>12/31/2018</stp>
        <tr r="M812" s="1"/>
      </tp>
      <tp>
        <v>32.487849976005798</v>
        <stp/>
        <stp>EM_S_VAL_PETTMDEDUCTED</stp>
        <stp>2</stp>
        <stp>300726</stp>
        <stp>12/31/2018</stp>
        <tr r="M613" s="1"/>
      </tp>
      <tp>
        <v>248.914866512939</v>
        <stp/>
        <stp>EM_S_VAL_PETTMDEDUCTED</stp>
        <stp>2</stp>
        <stp>600776</stp>
        <stp>12/31/2018</stp>
        <tr r="M255" s="1"/>
      </tp>
      <tp>
        <v>3.0784648120411</v>
        <stp/>
        <stp>EM_S_VAL_PETTMDEDUCTED</stp>
        <stp>2</stp>
        <stp>000717</stp>
        <stp>12/31/2018</stp>
        <tr r="M2113" s="1"/>
      </tp>
      <tp>
        <v>42.9484893269371</v>
        <stp/>
        <stp>EM_S_VAL_PETTMDEDUCTED</stp>
        <stp>2</stp>
        <stp>300727</stp>
        <stp>12/31/2018</stp>
        <tr r="M3144" s="1"/>
      </tp>
      <tp>
        <v>14.837557604344299</v>
        <stp/>
        <stp>EM_S_VAL_PETTMDEDUCTED</stp>
        <stp>2</stp>
        <stp>600777</stp>
        <stp>12/31/2018</stp>
        <tr r="M1771" s="1"/>
      </tp>
      <tp>
        <v>195.56678058943601</v>
        <stp/>
        <stp>EM_S_VAL_PETTMDEDUCTED</stp>
        <stp>2</stp>
        <stp>600774</stp>
        <stp>12/31/2018</stp>
        <tr r="M3117" s="1"/>
      </tp>
      <tp>
        <v>16.1828960037749</v>
        <stp/>
        <stp>EM_S_VAL_PETTMDEDUCTED</stp>
        <stp>2</stp>
        <stp>000715</stp>
        <stp>12/31/2018</stp>
        <tr r="M2071" s="1"/>
      </tp>
      <tp>
        <v>59.206654236239103</v>
        <stp/>
        <stp>EM_S_VAL_PETTMDEDUCTED</stp>
        <stp>2</stp>
        <stp>300725</stp>
        <stp>12/31/2018</stp>
        <tr r="M1231" s="1"/>
      </tp>
      <tp>
        <v>67.965246998885405</v>
        <stp/>
        <stp>EM_S_VAL_PETTMDEDUCTED</stp>
        <stp>2</stp>
        <stp>600775</stp>
        <stp>12/31/2018</stp>
        <tr r="M1097" s="1"/>
      </tp>
      <tp>
        <v>-129.394205422152</v>
        <stp/>
        <stp>EM_S_VAL_PETTMDEDUCTED</stp>
        <stp>2</stp>
        <stp>000712</stp>
        <stp>12/31/2018</stp>
        <tr r="M3518" s="1"/>
      </tp>
      <tp>
        <v>65.991715427006895</v>
        <stp/>
        <stp>EM_S_VAL_PETTMDEDUCTED</stp>
        <stp>2</stp>
        <stp>300722</stp>
        <stp>12/31/2018</stp>
        <tr r="M3251" s="1"/>
      </tp>
      <tp>
        <v>-2.54907939861612</v>
        <stp/>
        <stp>EM_S_VAL_PETTMDEDUCTED</stp>
        <stp>2</stp>
        <stp>600772</stp>
        <stp>12/31/2018</stp>
        <tr r="M2321" s="1"/>
      </tp>
      <tp>
        <v>-29.334045869305299</v>
        <stp/>
        <stp>EM_S_VAL_PETTMDEDUCTED</stp>
        <stp>2</stp>
        <stp>000713</stp>
        <stp>12/31/2018</stp>
        <tr r="M252" s="1"/>
      </tp>
      <tp>
        <v>26.246831770078099</v>
        <stp/>
        <stp>EM_S_VAL_PETTMDEDUCTED</stp>
        <stp>2</stp>
        <stp>300723</stp>
        <stp>12/31/2018</stp>
        <tr r="M648" s="1"/>
      </tp>
      <tp>
        <v>63.041635775021803</v>
        <stp/>
        <stp>EM_S_VAL_PETTMDEDUCTED</stp>
        <stp>2</stp>
        <stp>600773</stp>
        <stp>12/31/2018</stp>
        <tr r="M2483" s="1"/>
      </tp>
      <tp>
        <v>37.082444206697403</v>
        <stp/>
        <stp>EM_S_VAL_PETTMDEDUCTED</stp>
        <stp>2</stp>
        <stp>000710</stp>
        <stp>12/31/2018</stp>
        <tr r="M1684" s="1"/>
      </tp>
      <tp>
        <v>48.122469259563303</v>
        <stp/>
        <stp>EM_S_VAL_PETTMDEDUCTED</stp>
        <stp>2</stp>
        <stp>300720</stp>
        <stp>12/31/2018</stp>
        <tr r="M3311" s="1"/>
      </tp>
      <tp>
        <v>-176.86899388928401</v>
        <stp/>
        <stp>EM_S_VAL_PETTMDEDUCTED</stp>
        <stp>2</stp>
        <stp>600770</stp>
        <stp>12/31/2018</stp>
        <tr r="M1467" s="1"/>
      </tp>
      <tp>
        <v>19.605847885004099</v>
        <stp/>
        <stp>EM_S_VAL_PETTMDEDUCTED</stp>
        <stp>2</stp>
        <stp>000711</stp>
        <stp>12/31/2018</stp>
        <tr r="M2850" s="1"/>
      </tp>
      <tp>
        <v>39.376542193980399</v>
        <stp/>
        <stp>EM_S_VAL_PETTMDEDUCTED</stp>
        <stp>2</stp>
        <stp>300721</stp>
        <stp>12/31/2018</stp>
        <tr r="M2599" s="1"/>
      </tp>
      <tp>
        <v>30.300045207320501</v>
        <stp/>
        <stp>EM_S_VAL_PETTMDEDUCTED</stp>
        <stp>2</stp>
        <stp>600771</stp>
        <stp>12/31/2018</stp>
        <tr r="M3341" s="1"/>
      </tp>
      <tp>
        <v>7.3375134523240098</v>
        <stp/>
        <stp>EM_S_VAL_PETTMDEDUCTED</stp>
        <stp>2</stp>
        <stp>000708</stp>
        <stp>12/31/2018</stp>
        <tr r="M73" s="1"/>
      </tp>
      <tp>
        <v>64.055077400151902</v>
        <stp/>
        <stp>EM_S_VAL_PETTMDEDUCTED</stp>
        <stp>2</stp>
        <stp>300738</stp>
        <stp>12/31/2018</stp>
        <tr r="M2898" s="1"/>
      </tp>
      <tp>
        <v>-44.179909115136901</v>
        <stp/>
        <stp>EM_S_VAL_PETTMDEDUCTED</stp>
        <stp>2</stp>
        <stp>600768</stp>
        <stp>12/31/2018</stp>
        <tr r="M914" s="1"/>
      </tp>
      <tp>
        <v>10.1257406078245</v>
        <stp/>
        <stp>EM_S_VAL_PETTMDEDUCTED</stp>
        <stp>2</stp>
        <stp>000709</stp>
        <stp>12/31/2018</stp>
        <tr r="M2736" s="1"/>
      </tp>
      <tp>
        <v>39.495190857948202</v>
        <stp/>
        <stp>EM_S_VAL_PETTMDEDUCTED</stp>
        <stp>2</stp>
        <stp>300739</stp>
        <stp>12/31/2018</stp>
        <tr r="M2754" s="1"/>
      </tp>
      <tp>
        <v>-1893.2157263101899</v>
        <stp/>
        <stp>EM_S_VAL_PETTMDEDUCTED</stp>
        <stp>2</stp>
        <stp>600769</stp>
        <stp>12/31/2018</stp>
        <tr r="M695" s="1"/>
      </tp>
      <tp>
        <v>94.354072391681001</v>
        <stp/>
        <stp>EM_S_VAL_PETTMDEDUCTED</stp>
        <stp>2</stp>
        <stp>300736</stp>
        <stp>12/31/2018</stp>
        <tr r="M3372" s="1"/>
      </tp>
      <tp>
        <v>2997.5042535831999</v>
        <stp/>
        <stp>EM_S_VAL_PETTMDEDUCTED</stp>
        <stp>2</stp>
        <stp>600766</stp>
        <stp>12/31/2018</stp>
        <tr r="M2671" s="1"/>
      </tp>
      <tp>
        <v>-1.11224310446738</v>
        <stp/>
        <stp>EM_S_VAL_PETTMDEDUCTED</stp>
        <stp>2</stp>
        <stp>000707</stp>
        <stp>12/31/2018</stp>
        <tr r="M3517" s="1"/>
      </tp>
      <tp>
        <v>28.5535422042453</v>
        <stp/>
        <stp>EM_S_VAL_PETTMDEDUCTED</stp>
        <stp>2</stp>
        <stp>300737</stp>
        <stp>12/31/2018</stp>
        <tr r="M983" s="1"/>
      </tp>
      <tp>
        <v>-97.287156147763397</v>
        <stp/>
        <stp>EM_S_VAL_PETTMDEDUCTED</stp>
        <stp>2</stp>
        <stp>600767</stp>
        <stp>12/31/2018</stp>
        <tr r="M2211" s="1"/>
      </tp>
      <tp>
        <v>214.379242174696</v>
        <stp/>
        <stp>EM_S_VAL_PETTMDEDUCTED</stp>
        <stp>2</stp>
        <stp>600764</stp>
        <stp>12/31/2018</stp>
        <tr r="M1185" s="1"/>
      </tp>
      <tp>
        <v>41.358795395847402</v>
        <stp/>
        <stp>EM_S_VAL_PETTMDEDUCTED</stp>
        <stp>2</stp>
        <stp>000705</stp>
        <stp>12/31/2018</stp>
        <tr r="M1817" s="1"/>
      </tp>
      <tp>
        <v>30.7834161017499</v>
        <stp/>
        <stp>EM_S_VAL_PETTMDEDUCTED</stp>
        <stp>2</stp>
        <stp>300735</stp>
        <stp>12/31/2018</stp>
        <tr r="M394" s="1"/>
      </tp>
      <tp>
        <v>30.9455135276887</v>
        <stp/>
        <stp>EM_S_VAL_PETTMDEDUCTED</stp>
        <stp>2</stp>
        <stp>600765</stp>
        <stp>12/31/2018</stp>
        <tr r="M867" s="1"/>
      </tp>
      <tp>
        <v>-260.61729300603997</v>
        <stp/>
        <stp>EM_S_VAL_PETTMDEDUCTED</stp>
        <stp>2</stp>
        <stp>000702</stp>
        <stp>12/31/2018</stp>
        <tr r="M3516" s="1"/>
      </tp>
      <tp>
        <v>17.249925359567499</v>
        <stp/>
        <stp>EM_S_VAL_PETTMDEDUCTED</stp>
        <stp>2</stp>
        <stp>300732</stp>
        <stp>12/31/2018</stp>
        <tr r="M3364" s="1"/>
      </tp>
      <tp>
        <v>-3.06413125790329</v>
        <stp/>
        <stp>EM_S_VAL_PETTMDEDUCTED</stp>
        <stp>2</stp>
        <stp>600762</stp>
        <stp>12/31/2018</stp>
        <tr r="M2320" s="1"/>
      </tp>
      <tp>
        <v>12.9570015081131</v>
        <stp/>
        <stp>EM_S_VAL_PETTMDEDUCTED</stp>
        <stp>2</stp>
        <stp>000703</stp>
        <stp>12/31/2018</stp>
        <tr r="M1288" s="1"/>
      </tp>
      <tp>
        <v>36.255644697117297</v>
        <stp/>
        <stp>EM_S_VAL_PETTMDEDUCTED</stp>
        <stp>2</stp>
        <stp>300733</stp>
        <stp>12/31/2018</stp>
        <tr r="M3184" s="1"/>
      </tp>
      <tp>
        <v>50.013945998719898</v>
        <stp/>
        <stp>EM_S_VAL_PETTMDEDUCTED</stp>
        <stp>2</stp>
        <stp>600763</stp>
        <stp>12/31/2018</stp>
        <tr r="M136" s="1"/>
      </tp>
      <tp>
        <v>-11.6723056320117</v>
        <stp/>
        <stp>EM_S_VAL_PETTMDEDUCTED</stp>
        <stp>2</stp>
        <stp>000700</stp>
        <stp>12/31/2018</stp>
        <tr r="M854" s="1"/>
      </tp>
      <tp>
        <v>67.215970228426301</v>
        <stp/>
        <stp>EM_S_VAL_PETTMDEDUCTED</stp>
        <stp>2</stp>
        <stp>300730</stp>
        <stp>12/31/2018</stp>
        <tr r="M3065" s="1"/>
      </tp>
      <tp>
        <v>55.502508387697802</v>
        <stp/>
        <stp>EM_S_VAL_PETTMDEDUCTED</stp>
        <stp>2</stp>
        <stp>600760</stp>
        <stp>12/31/2018</stp>
        <tr r="M1639" s="1"/>
      </tp>
      <tp>
        <v>-6.3651993449482402</v>
        <stp/>
        <stp>EM_S_VAL_PETTMDEDUCTED</stp>
        <stp>2</stp>
        <stp>000701</stp>
        <stp>12/31/2018</stp>
        <tr r="M2836" s="1"/>
      </tp>
      <tp>
        <v>44.165737649559603</v>
        <stp/>
        <stp>EM_S_VAL_PETTMDEDUCTED</stp>
        <stp>2</stp>
        <stp>300731</stp>
        <stp>12/31/2018</stp>
        <tr r="M1668" s="1"/>
      </tp>
      <tp>
        <v>15.5265356256703</v>
        <stp/>
        <stp>EM_S_VAL_PETTMDEDUCTED</stp>
        <stp>2</stp>
        <stp>600761</stp>
        <stp>12/31/2018</stp>
        <tr r="M1761" s="1"/>
      </tp>
      <tp>
        <v>55.132719169180099</v>
        <stp/>
        <stp>EM_S_VAL_PETTMDEDUCTED</stp>
        <stp>2</stp>
        <stp>000738</stp>
        <stp>12/31/2018</stp>
        <tr r="M1824" s="1"/>
      </tp>
      <tp>
        <v>-32.103558810447097</v>
        <stp/>
        <stp>EM_S_VAL_PETTMDEDUCTED</stp>
        <stp>2</stp>
        <stp>300708</stp>
        <stp>12/31/2018</stp>
        <tr r="M1073" s="1"/>
      </tp>
      <tp>
        <v>-121.095479402362</v>
        <stp/>
        <stp>EM_S_VAL_PETTMDEDUCTED</stp>
        <stp>2</stp>
        <stp>600758</stp>
        <stp>12/31/2018</stp>
        <tr r="M884" s="1"/>
      </tp>
      <tp>
        <v>27.870022749441901</v>
        <stp/>
        <stp>EM_S_VAL_PETTMDEDUCTED</stp>
        <stp>2</stp>
        <stp>000739</stp>
        <stp>12/31/2018</stp>
        <tr r="M340" s="1"/>
      </tp>
      <tp>
        <v>42.384407303492701</v>
        <stp/>
        <stp>EM_S_VAL_PETTMDEDUCTED</stp>
        <stp>2</stp>
        <stp>300709</stp>
        <stp>12/31/2018</stp>
        <tr r="M30" s="1"/>
      </tp>
      <tp>
        <v>-54.93476137359</v>
        <stp/>
        <stp>EM_S_VAL_PETTMDEDUCTED</stp>
        <stp>2</stp>
        <stp>600759</stp>
        <stp>12/31/2018</stp>
        <tr r="M1390" s="1"/>
      </tp>
      <tp>
        <v>17.242971531109202</v>
        <stp/>
        <stp>EM_S_VAL_PETTMDEDUCTED</stp>
        <stp>2</stp>
        <stp>000736</stp>
        <stp>12/31/2018</stp>
        <tr r="M2610" s="1"/>
      </tp>
      <tp>
        <v>165.22988090759401</v>
        <stp/>
        <stp>EM_S_VAL_PETTMDEDUCTED</stp>
        <stp>2</stp>
        <stp>300706</stp>
        <stp>12/31/2018</stp>
        <tr r="M1440" s="1"/>
      </tp>
      <tp>
        <v>27.061394422706101</v>
        <stp/>
        <stp>EM_S_VAL_PETTMDEDUCTED</stp>
        <stp>2</stp>
        <stp>600756</stp>
        <stp>12/31/2018</stp>
        <tr r="M829" s="1"/>
      </tp>
      <tp>
        <v>-4.6548419810814199</v>
        <stp/>
        <stp>EM_S_VAL_PETTMDEDUCTED</stp>
        <stp>2</stp>
        <stp>000737</stp>
        <stp>12/31/2018</stp>
        <tr r="M3524" s="1"/>
      </tp>
      <tp>
        <v>29.651732913551701</v>
        <stp/>
        <stp>EM_S_VAL_PETTMDEDUCTED</stp>
        <stp>2</stp>
        <stp>300707</stp>
        <stp>12/31/2018</stp>
        <tr r="M1481" s="1"/>
      </tp>
      <tp>
        <v>13.109683506807</v>
        <stp/>
        <stp>EM_S_VAL_PETTMDEDUCTED</stp>
        <stp>2</stp>
        <stp>600757</stp>
        <stp>12/31/2018</stp>
        <tr r="M2613" s="1"/>
      </tp>
      <tp>
        <v>23.844856813616701</v>
        <stp/>
        <stp>EM_S_VAL_PETTMDEDUCTED</stp>
        <stp>2</stp>
        <stp>600754</stp>
        <stp>12/31/2018</stp>
        <tr r="M789" s="1"/>
      </tp>
      <tp>
        <v>-139.87016978036999</v>
        <stp/>
        <stp>EM_S_VAL_PETTMDEDUCTED</stp>
        <stp>2</stp>
        <stp>000735</stp>
        <stp>12/31/2018</stp>
        <tr r="M3523" s="1"/>
      </tp>
      <tp>
        <v>44.436641591565497</v>
        <stp/>
        <stp>EM_S_VAL_PETTMDEDUCTED</stp>
        <stp>2</stp>
        <stp>300705</stp>
        <stp>12/31/2018</stp>
        <tr r="M2226" s="1"/>
      </tp>
      <tp>
        <v>8.5871406248443005</v>
        <stp/>
        <stp>EM_S_VAL_PETTMDEDUCTED</stp>
        <stp>2</stp>
        <stp>600755</stp>
        <stp>12/31/2018</stp>
        <tr r="M1998" s="1"/>
      </tp>
      <tp>
        <v>8.6683632563640796</v>
        <stp/>
        <stp>EM_S_VAL_PETTMDEDUCTED</stp>
        <stp>2</stp>
        <stp>000732</stp>
        <stp>12/31/2018</stp>
        <tr r="M3385" s="1"/>
      </tp>
      <tp>
        <v>42.964605814516503</v>
        <stp/>
        <stp>EM_S_VAL_PETTMDEDUCTED</stp>
        <stp>2</stp>
        <stp>300702</stp>
        <stp>12/31/2018</stp>
        <tr r="M105" s="1"/>
      </tp>
      <tp>
        <v>-236.023221886588</v>
        <stp/>
        <stp>EM_S_VAL_PETTMDEDUCTED</stp>
        <stp>2</stp>
        <stp>600752</stp>
        <stp>12/31/2018</stp>
        <tr r="M2319" s="1"/>
      </tp>
      <tp>
        <v>33.399021864460899</v>
        <stp/>
        <stp>EM_S_VAL_PETTMDEDUCTED</stp>
        <stp>2</stp>
        <stp>000733</stp>
        <stp>12/31/2018</stp>
        <tr r="M3522" s="1"/>
      </tp>
      <tp>
        <v>27.6918188150274</v>
        <stp/>
        <stp>EM_S_VAL_PETTMDEDUCTED</stp>
        <stp>2</stp>
        <stp>300703</stp>
        <stp>12/31/2018</stp>
        <tr r="M3050" s="1"/>
      </tp>
      <tp>
        <v>230.67116243662301</v>
        <stp/>
        <stp>EM_S_VAL_PETTMDEDUCTED</stp>
        <stp>2</stp>
        <stp>600753</stp>
        <stp>12/31/2018</stp>
        <tr r="M1909" s="1"/>
      </tp>
      <tp>
        <v>24.130131721425499</v>
        <stp/>
        <stp>EM_S_VAL_PETTMDEDUCTED</stp>
        <stp>2</stp>
        <stp>000730</stp>
        <stp>12/31/2018</stp>
        <tr r="M2278" s="1"/>
      </tp>
      <tp>
        <v>22.8521080971632</v>
        <stp/>
        <stp>EM_S_VAL_PETTMDEDUCTED</stp>
        <stp>2</stp>
        <stp>300700</stp>
        <stp>12/31/2018</stp>
        <tr r="M3042" s="1"/>
      </tp>
      <tp>
        <v>16.100676740322498</v>
        <stp/>
        <stp>EM_S_VAL_PETTMDEDUCTED</stp>
        <stp>2</stp>
        <stp>600750</stp>
        <stp>12/31/2018</stp>
        <tr r="M3185" s="1"/>
      </tp>
      <tp>
        <v>12.757799807888199</v>
        <stp/>
        <stp>EM_S_VAL_PETTMDEDUCTED</stp>
        <stp>2</stp>
        <stp>000731</stp>
        <stp>12/31/2018</stp>
        <tr r="M2107" s="1"/>
      </tp>
      <tp>
        <v>43.623841998974903</v>
        <stp/>
        <stp>EM_S_VAL_PETTMDEDUCTED</stp>
        <stp>2</stp>
        <stp>300701</stp>
        <stp>12/31/2018</stp>
        <tr r="M2221" s="1"/>
      </tp>
      <tp>
        <v>15.605360524514699</v>
        <stp/>
        <stp>EM_S_VAL_PETTMDEDUCTED</stp>
        <stp>2</stp>
        <stp>600751</stp>
        <stp>12/31/2018</stp>
        <tr r="M1828" s="1"/>
      </tp>
      <tp>
        <v>36.727619811023601</v>
        <stp/>
        <stp>EM_S_VAL_PETTMDEDUCTED</stp>
        <stp>2</stp>
        <stp>000728</stp>
        <stp>12/31/2018</stp>
        <tr r="M3521" s="1"/>
      </tp>
      <tp>
        <v>24.9559130903652</v>
        <stp/>
        <stp>EM_S_VAL_PETTMDEDUCTED</stp>
        <stp>2</stp>
        <stp>300718</stp>
        <stp>12/31/2018</stp>
        <tr r="M730" s="1"/>
      </tp>
      <tp>
        <v>15.726336789398699</v>
        <stp/>
        <stp>EM_S_VAL_PETTMDEDUCTED</stp>
        <stp>2</stp>
        <stp>600748</stp>
        <stp>12/31/2018</stp>
        <tr r="M1694" s="1"/>
      </tp>
      <tp>
        <v>243.474989841428</v>
        <stp/>
        <stp>EM_S_VAL_PETTMDEDUCTED</stp>
        <stp>2</stp>
        <stp>000729</stp>
        <stp>12/31/2018</stp>
        <tr r="M1469" s="1"/>
      </tp>
      <tp>
        <v>46.699530631706601</v>
        <stp/>
        <stp>EM_S_VAL_PETTMDEDUCTED</stp>
        <stp>2</stp>
        <stp>300719</stp>
        <stp>12/31/2018</stp>
        <tr r="M1490" s="1"/>
      </tp>
      <tp>
        <v>-43.062929265359202</v>
        <stp/>
        <stp>EM_S_VAL_PETTMDEDUCTED</stp>
        <stp>2</stp>
        <stp>600749</stp>
        <stp>12/31/2018</stp>
        <tr r="M2258" s="1"/>
      </tp>
      <tp>
        <v>11.1574354362313</v>
        <stp/>
        <stp>EM_S_VAL_PETTMDEDUCTED</stp>
        <stp>2</stp>
        <stp>000726</stp>
        <stp>12/31/2018</stp>
        <tr r="M2606" s="1"/>
      </tp>
      <tp>
        <v>32.080985290769398</v>
        <stp/>
        <stp>EM_S_VAL_PETTMDEDUCTED</stp>
        <stp>2</stp>
        <stp>300716</stp>
        <stp>12/31/2018</stp>
        <tr r="M2689" s="1"/>
      </tp>
      <tp>
        <v>-681.90381535037704</v>
        <stp/>
        <stp>EM_S_VAL_PETTMDEDUCTED</stp>
        <stp>2</stp>
        <stp>600746</stp>
        <stp>12/31/2018</stp>
        <tr r="M1254" s="1"/>
      </tp>
      <tp>
        <v>-3.7848010613451599</v>
        <stp/>
        <stp>EM_S_VAL_PETTMDEDUCTED</stp>
        <stp>2</stp>
        <stp>000727</stp>
        <stp>12/31/2018</stp>
        <tr r="M3520" s="1"/>
      </tp>
      <tp>
        <v>37.678442552733898</v>
        <stp/>
        <stp>EM_S_VAL_PETTMDEDUCTED</stp>
        <stp>2</stp>
        <stp>300717</stp>
        <stp>12/31/2018</stp>
        <tr r="M1526" s="1"/>
      </tp>
      <tp>
        <v>-181.09313876653201</v>
        <stp/>
        <stp>EM_S_VAL_PETTMDEDUCTED</stp>
        <stp>2</stp>
        <stp>600747</stp>
        <stp>12/31/2018</stp>
        <tr r="M3404" s="1"/>
      </tp>
      <tp>
        <v>-6.7694103416532103</v>
        <stp/>
        <stp>EM_S_VAL_PETTMDEDUCTED</stp>
        <stp>2</stp>
        <stp>600744</stp>
        <stp>12/31/2018</stp>
        <tr r="M2416" s="1"/>
      </tp>
      <tp>
        <v>49.173286555515702</v>
        <stp/>
        <stp>EM_S_VAL_PETTMDEDUCTED</stp>
        <stp>2</stp>
        <stp>000725</stp>
        <stp>12/31/2018</stp>
        <tr r="M291" s="1"/>
      </tp>
      <tp>
        <v>45.9866336240908</v>
        <stp/>
        <stp>EM_S_VAL_PETTMDEDUCTED</stp>
        <stp>2</stp>
        <stp>300715</stp>
        <stp>12/31/2018</stp>
        <tr r="M1509" s="1"/>
      </tp>
      <tp>
        <v>-74.311286967004904</v>
        <stp/>
        <stp>EM_S_VAL_PETTMDEDUCTED</stp>
        <stp>2</stp>
        <stp>600745</stp>
        <stp>12/31/2018</stp>
        <tr r="M24" s="1"/>
      </tp>
      <tp>
        <v>38.8191216500446</v>
        <stp/>
        <stp>EM_S_VAL_PETTMDEDUCTED</stp>
        <stp>2</stp>
        <stp>000722</stp>
        <stp>12/31/2018</stp>
        <tr r="M1665" s="1"/>
      </tp>
      <tp>
        <v>27.605427512821201</v>
        <stp/>
        <stp>EM_S_VAL_PETTMDEDUCTED</stp>
        <stp>2</stp>
        <stp>300712</stp>
        <stp>12/31/2018</stp>
        <tr r="M3068" s="1"/>
      </tp>
      <tp>
        <v>11.9266930591362</v>
        <stp/>
        <stp>EM_S_VAL_PETTMDEDUCTED</stp>
        <stp>2</stp>
        <stp>600742</stp>
        <stp>12/31/2018</stp>
        <tr r="M1197" s="1"/>
      </tp>
      <tp>
        <v>8.8197599651603298</v>
        <stp/>
        <stp>EM_S_VAL_PETTMDEDUCTED</stp>
        <stp>2</stp>
        <stp>000723</stp>
        <stp>12/31/2018</stp>
        <tr r="M44" s="1"/>
      </tp>
      <tp>
        <v>39.705473316978903</v>
        <stp/>
        <stp>EM_S_VAL_PETTMDEDUCTED</stp>
        <stp>2</stp>
        <stp>300713</stp>
        <stp>12/31/2018</stp>
        <tr r="M3292" s="1"/>
      </tp>
      <tp>
        <v>9.0878718429534793</v>
        <stp/>
        <stp>EM_S_VAL_PETTMDEDUCTED</stp>
        <stp>2</stp>
        <stp>600743</stp>
        <stp>12/31/2018</stp>
        <tr r="M2138" s="1"/>
      </tp>
      <tp>
        <v>10.5040067410783</v>
        <stp/>
        <stp>EM_S_VAL_PETTMDEDUCTED</stp>
        <stp>2</stp>
        <stp>000720</stp>
        <stp>12/31/2018</stp>
        <tr r="M432" s="1"/>
      </tp>
      <tp>
        <v>351.60889130169102</v>
        <stp/>
        <stp>EM_S_VAL_PETTMDEDUCTED</stp>
        <stp>2</stp>
        <stp>300710</stp>
        <stp>12/31/2018</stp>
        <tr r="M1068" s="1"/>
      </tp>
      <tp>
        <v>10.458447837109199</v>
        <stp/>
        <stp>EM_S_VAL_PETTMDEDUCTED</stp>
        <stp>2</stp>
        <stp>600740</stp>
        <stp>12/31/2018</stp>
        <tr r="M2680" s="1"/>
      </tp>
      <tp>
        <v>-189.04206963680301</v>
        <stp/>
        <stp>EM_S_VAL_PETTMDEDUCTED</stp>
        <stp>2</stp>
        <stp>000721</stp>
        <stp>12/31/2018</stp>
        <tr r="M2092" s="1"/>
      </tp>
      <tp>
        <v>111.70533105719301</v>
        <stp/>
        <stp>EM_S_VAL_PETTMDEDUCTED</stp>
        <stp>2</stp>
        <stp>300711</stp>
        <stp>12/31/2018</stp>
        <tr r="M3178" s="1"/>
      </tp>
      <tp>
        <v>8.7890522643182294</v>
        <stp/>
        <stp>EM_S_VAL_PETTMDEDUCTED</stp>
        <stp>2</stp>
        <stp>600741</stp>
        <stp>12/31/2018</stp>
        <tr r="M766" s="1"/>
      </tp>
      <tp>
        <v>75.129014780557497</v>
        <stp/>
        <stp>EM_S_VAL_PETTMDEDUCTED</stp>
        <stp>2</stp>
        <stp>000758</stp>
        <stp>12/31/2018</stp>
        <tr r="M3529" s="1"/>
      </tp>
      <tp>
        <v>33.332742905922203</v>
        <stp/>
        <stp>EM_S_VAL_PETTMDEDUCTED</stp>
        <stp>2</stp>
        <stp>600738</stp>
        <stp>12/31/2018</stp>
        <tr r="M2955" s="1"/>
      </tp>
      <tp>
        <v>49.446829852009799</v>
        <stp/>
        <stp>EM_S_VAL_PETTMDEDUCTED</stp>
        <stp>2</stp>
        <stp>000759</stp>
        <stp>12/31/2018</stp>
        <tr r="M752" s="1"/>
      </tp>
      <tp>
        <v>18.341316445804701</v>
        <stp/>
        <stp>EM_S_VAL_PETTMDEDUCTED</stp>
        <stp>2</stp>
        <stp>600739</stp>
        <stp>12/31/2018</stp>
        <tr r="M642" s="1"/>
      </tp>
      <tp>
        <v>15.4542474427508</v>
        <stp/>
        <stp>EM_S_VAL_PETTMDEDUCTED</stp>
        <stp>2</stp>
        <stp>000756</stp>
        <stp>12/31/2018</stp>
        <tr r="M945" s="1"/>
      </tp>
      <tp>
        <v>16.184612384687</v>
        <stp/>
        <stp>EM_S_VAL_PETTMDEDUCTED</stp>
        <stp>2</stp>
        <stp>600736</stp>
        <stp>12/31/2018</stp>
        <tr r="M1764" s="1"/>
      </tp>
      <tp>
        <v>39.682318670998498</v>
        <stp/>
        <stp>EM_S_VAL_PETTMDEDUCTED</stp>
        <stp>2</stp>
        <stp>000757</stp>
        <stp>12/31/2018</stp>
        <tr r="M2835" s="1"/>
      </tp>
      <tp>
        <v>19.162764191586898</v>
        <stp/>
        <stp>EM_S_VAL_PETTMDEDUCTED</stp>
        <stp>2</stp>
        <stp>600737</stp>
        <stp>12/31/2018</stp>
        <tr r="M1484" s="1"/>
      </tp>
      <tp>
        <v>24.028805200331199</v>
        <stp/>
        <stp>EM_S_VAL_PETTMDEDUCTED</stp>
        <stp>2</stp>
        <stp>600734</stp>
        <stp>12/31/2018</stp>
        <tr r="M1850" s="1"/>
      </tp>
      <tp>
        <v>-5.3299815150979404</v>
        <stp/>
        <stp>EM_S_VAL_PETTMDEDUCTED</stp>
        <stp>2</stp>
        <stp>000755</stp>
        <stp>12/31/2018</stp>
        <tr r="M3528" s="1"/>
      </tp>
      <tp>
        <v>24.7380041322157</v>
        <stp/>
        <stp>EM_S_VAL_PETTMDEDUCTED</stp>
        <stp>2</stp>
        <stp>600735</stp>
        <stp>12/31/2018</stp>
        <tr r="M990" s="1"/>
      </tp>
      <tp>
        <v>-1839.65759263877</v>
        <stp/>
        <stp>EM_S_VAL_PETTMDEDUCTED</stp>
        <stp>2</stp>
        <stp>000752</stp>
        <stp>12/31/2018</stp>
        <tr r="M3527" s="1"/>
      </tp>
      <tp>
        <v>-101.105164458128</v>
        <stp/>
        <stp>EM_S_VAL_PETTMDEDUCTED</stp>
        <stp>2</stp>
        <stp>600732</stp>
        <stp>12/31/2018</stp>
        <tr r="M281" s="1"/>
      </tp>
      <tp>
        <v>-238.11785730632101</v>
        <stp/>
        <stp>EM_S_VAL_PETTMDEDUCTED</stp>
        <stp>2</stp>
        <stp>000753</stp>
        <stp>12/31/2018</stp>
        <tr r="M2257" s="1"/>
      </tp>
      <tp>
        <v>1091.7003260096001</v>
        <stp/>
        <stp>EM_S_VAL_PETTMDEDUCTED</stp>
        <stp>2</stp>
        <stp>600733</stp>
        <stp>12/31/2018</stp>
        <tr r="M3186" s="1"/>
      </tp>
      <tp>
        <v>-218.53835814361699</v>
        <stp/>
        <stp>EM_S_VAL_PETTMDEDUCTED</stp>
        <stp>2</stp>
        <stp>000750</stp>
        <stp>12/31/2018</stp>
        <tr r="M3526" s="1"/>
      </tp>
      <tp>
        <v>-22.106846689648801</v>
        <stp/>
        <stp>EM_S_VAL_PETTMDEDUCTED</stp>
        <stp>2</stp>
        <stp>600730</stp>
        <stp>12/31/2018</stp>
        <tr r="M2242" s="1"/>
      </tp>
      <tp>
        <v>55.510968678907297</v>
        <stp/>
        <stp>EM_S_VAL_PETTMDEDUCTED</stp>
        <stp>2</stp>
        <stp>000751</stp>
        <stp>12/31/2018</stp>
        <tr r="M1531" s="1"/>
      </tp>
      <tp>
        <v>21.1990633892575</v>
        <stp/>
        <stp>EM_S_VAL_PETTMDEDUCTED</stp>
        <stp>2</stp>
        <stp>600731</stp>
        <stp>12/31/2018</stp>
        <tr r="M296" s="1"/>
      </tp>
      <tp>
        <v>129.03472644108899</v>
        <stp/>
        <stp>EM_S_VAL_PETTMDEDUCTED</stp>
        <stp>2</stp>
        <stp>000748</stp>
        <stp>12/31/2018</stp>
        <tr r="M3525" s="1"/>
      </tp>
      <tp>
        <v>46.947079617030603</v>
        <stp/>
        <stp>EM_S_VAL_PETTMDEDUCTED</stp>
        <stp>2</stp>
        <stp>600728</stp>
        <stp>12/31/2018</stp>
        <tr r="M794" s="1"/>
      </tp>
      <tp>
        <v>13.5554658214191</v>
        <stp/>
        <stp>EM_S_VAL_PETTMDEDUCTED</stp>
        <stp>2</stp>
        <stp>600729</stp>
        <stp>12/31/2018</stp>
        <tr r="M2021" s="1"/>
      </tp>
      <tp>
        <v>-3.6079124349054799</v>
        <stp/>
        <stp>EM_S_VAL_PETTMDEDUCTED</stp>
        <stp>2</stp>
        <stp>600726</stp>
        <stp>12/31/2018</stp>
        <tr r="M3137" s="1"/>
      </tp>
      <tp>
        <v>15.128114281417499</v>
        <stp/>
        <stp>EM_S_VAL_PETTMDEDUCTED</stp>
        <stp>2</stp>
        <stp>600727</stp>
        <stp>12/31/2018</stp>
        <tr r="M964" s="1"/>
      </tp>
      <tp>
        <v>-6.6475342739083896</v>
        <stp/>
        <stp>EM_S_VAL_PETTMDEDUCTED</stp>
        <stp>2</stp>
        <stp>600724</stp>
        <stp>12/31/2018</stp>
        <tr r="M1617" s="1"/>
      </tp>
      <tp>
        <v>111.880762275705</v>
        <stp/>
        <stp>EM_S_VAL_PETTMDEDUCTED</stp>
        <stp>2</stp>
        <stp>600725</stp>
        <stp>12/31/2018</stp>
        <tr r="M1728" s="1"/>
      </tp>
      <tp>
        <v>76.990312738023803</v>
        <stp/>
        <stp>EM_S_VAL_PETTMDEDUCTED</stp>
        <stp>2</stp>
        <stp>600722</stp>
        <stp>12/31/2018</stp>
        <tr r="M2048" s="1"/>
      </tp>
      <tp>
        <v>12.741519468248001</v>
        <stp/>
        <stp>EM_S_VAL_PETTMDEDUCTED</stp>
        <stp>2</stp>
        <stp>600723</stp>
        <stp>12/31/2018</stp>
        <tr r="M2405" s="1"/>
      </tp>
      <tp>
        <v>9.0320150218656305</v>
        <stp/>
        <stp>EM_S_VAL_PETTMDEDUCTED</stp>
        <stp>2</stp>
        <stp>600720</stp>
        <stp>12/31/2018</stp>
        <tr r="M201" s="1"/>
      </tp>
      <tp>
        <v>-3.6864840983179099</v>
        <stp/>
        <stp>EM_S_VAL_PETTMDEDUCTED</stp>
        <stp>2</stp>
        <stp>600721</stp>
        <stp>12/31/2018</stp>
        <tr r="M1284" s="1"/>
      </tp>
      <tp>
        <v>10.099290486365099</v>
        <stp/>
        <stp>EM_S_VAL_PETTMDEDUCTED</stp>
        <stp>2</stp>
        <stp>000778</stp>
        <stp>12/31/2018</stp>
        <tr r="M3535" s="1"/>
      </tp>
      <tp>
        <v>81.5979778929822</v>
        <stp/>
        <stp>EM_S_VAL_PETTMDEDUCTED</stp>
        <stp>2</stp>
        <stp>600718</stp>
        <stp>12/31/2018</stp>
        <tr r="M2488" s="1"/>
      </tp>
      <tp>
        <v>-70.148914182192797</v>
        <stp/>
        <stp>EM_S_VAL_PETTMDEDUCTED</stp>
        <stp>2</stp>
        <stp>000779</stp>
        <stp>12/31/2018</stp>
        <tr r="M1367" s="1"/>
      </tp>
      <tp>
        <v>-137.46297121582899</v>
        <stp/>
        <stp>EM_S_VAL_PETTMDEDUCTED</stp>
        <stp>2</stp>
        <stp>600719</stp>
        <stp>12/31/2018</stp>
        <tr r="M1059" s="1"/>
      </tp>
      <tp>
        <v>16.419889472442801</v>
        <stp/>
        <stp>EM_S_VAL_PETTMDEDUCTED</stp>
        <stp>2</stp>
        <stp>000776</stp>
        <stp>12/31/2018</stp>
        <tr r="M3534" s="1"/>
      </tp>
      <tp>
        <v>61.134989157133901</v>
        <stp/>
        <stp>EM_S_VAL_PETTMDEDUCTED</stp>
        <stp>2</stp>
        <stp>300746</stp>
        <stp>12/31/2018</stp>
        <tr r="M3170" s="1"/>
      </tp>
      <tp>
        <v>-33.1722548409141</v>
        <stp/>
        <stp>EM_S_VAL_PETTMDEDUCTED</stp>
        <stp>2</stp>
        <stp>600716</stp>
        <stp>12/31/2018</stp>
        <tr r="M954" s="1"/>
      </tp>
      <tp>
        <v>46.503906182519998</v>
        <stp/>
        <stp>EM_S_VAL_PETTMDEDUCTED</stp>
        <stp>2</stp>
        <stp>000777</stp>
        <stp>12/31/2018</stp>
        <tr r="M1259" s="1"/>
      </tp>
      <tp>
        <v>45.685670093792197</v>
        <stp/>
        <stp>EM_S_VAL_PETTMDEDUCTED</stp>
        <stp>2</stp>
        <stp>300747</stp>
        <stp>12/31/2018</stp>
        <tr r="M2959" s="1"/>
      </tp>
      <tp>
        <v>20.841634148739299</v>
        <stp/>
        <stp>EM_S_VAL_PETTMDEDUCTED</stp>
        <stp>2</stp>
        <stp>600717</stp>
        <stp>12/31/2018</stp>
        <tr r="M2806" s="1"/>
      </tp>
      <tp>
        <v>95.346933218358402</v>
        <stp/>
        <stp>EM_S_VAL_PETTMDEDUCTED</stp>
        <stp>2</stp>
        <stp>600714</stp>
        <stp>12/31/2018</stp>
        <tr r="M2212" s="1"/>
      </tp>
      <tp>
        <v>65.090189261927605</v>
        <stp/>
        <stp>EM_S_VAL_PETTMDEDUCTED</stp>
        <stp>2</stp>
        <stp>300745</stp>
        <stp>12/31/2018</stp>
        <tr r="M3282" s="1"/>
      </tp>
      <tp>
        <v>145.03528484842599</v>
        <stp/>
        <stp>EM_S_VAL_PETTMDEDUCTED</stp>
        <stp>2</stp>
        <stp>600715</stp>
        <stp>12/31/2018</stp>
        <tr r="M3118" s="1"/>
      </tp>
      <tp>
        <v>43.2333427688339</v>
        <stp/>
        <stp>EM_S_VAL_PETTMDEDUCTED</stp>
        <stp>2</stp>
        <stp>300742</stp>
        <stp>12/31/2018</stp>
        <tr r="M3334" s="1"/>
      </tp>
      <tp>
        <v>-73.506405205773405</v>
        <stp/>
        <stp>EM_S_VAL_PETTMDEDUCTED</stp>
        <stp>2</stp>
        <stp>600712</stp>
        <stp>12/31/2018</stp>
        <tr r="M59" s="1"/>
      </tp>
      <tp>
        <v>67.201284614849101</v>
        <stp/>
        <stp>EM_S_VAL_PETTMDEDUCTED</stp>
        <stp>2</stp>
        <stp>300743</stp>
        <stp>12/31/2018</stp>
        <tr r="M3368" s="1"/>
      </tp>
      <tp>
        <v>19.1943151548343</v>
        <stp/>
        <stp>EM_S_VAL_PETTMDEDUCTED</stp>
        <stp>2</stp>
        <stp>600713</stp>
        <stp>12/31/2018</stp>
        <tr r="M1785" s="1"/>
      </tp>
      <tp>
        <v>32.853465937281896</v>
        <stp/>
        <stp>EM_S_VAL_PETTMDEDUCTED</stp>
        <stp>2</stp>
        <stp>300740</stp>
        <stp>12/31/2018</stp>
        <tr r="M3353" s="1"/>
      </tp>
      <tp>
        <v>13.629512026555201</v>
        <stp/>
        <stp>EM_S_VAL_PETTMDEDUCTED</stp>
        <stp>2</stp>
        <stp>600710</stp>
        <stp>12/31/2018</stp>
        <tr r="M584" s="1"/>
      </tp>
      <tp>
        <v>17.8796110896869</v>
        <stp/>
        <stp>EM_S_VAL_PETTMDEDUCTED</stp>
        <stp>2</stp>
        <stp>300741</stp>
        <stp>12/31/2018</stp>
        <tr r="M2360" s="1"/>
      </tp>
      <tp>
        <v>13.637711552068501</v>
        <stp/>
        <stp>EM_S_VAL_PETTMDEDUCTED</stp>
        <stp>2</stp>
        <stp>600711</stp>
        <stp>12/31/2018</stp>
        <tr r="M1456" s="1"/>
      </tp>
      <tp>
        <v>76.298716496337505</v>
        <stp/>
        <stp>EM_S_VAL_PETTMDEDUCTED</stp>
        <stp>2</stp>
        <stp>000768</stp>
        <stp>12/31/2018</stp>
        <tr r="M1149" s="1"/>
      </tp>
      <tp>
        <v>3.51939877228142</v>
        <stp/>
        <stp>EM_S_VAL_PETTMDEDUCTED</stp>
        <stp>2</stp>
        <stp>600708</stp>
        <stp>12/31/2018</stp>
        <tr r="M2225" s="1"/>
      </tp>
      <tp>
        <v>-28.829301218530698</v>
        <stp/>
        <stp>EM_S_VAL_PETTMDEDUCTED</stp>
        <stp>2</stp>
        <stp>000769</stp>
        <stp>12/31/2018</stp>
        <tr r="M2279" s="1"/>
      </tp>
      <tp>
        <v>-156.86146341856201</v>
        <stp/>
        <stp>EM_S_VAL_PETTMDEDUCTED</stp>
        <stp>2</stp>
        <stp>600709</stp>
        <stp>12/31/2018</stp>
        <tr r="M2318" s="1"/>
      </tp>
      <tp>
        <v>27.620695078371</v>
        <stp/>
        <stp>EM_S_VAL_PETTMDEDUCTED</stp>
        <stp>2</stp>
        <stp>000766</stp>
        <stp>12/31/2018</stp>
        <tr r="M2592" s="1"/>
      </tp>
      <tp>
        <v>20.499322691672401</v>
        <stp/>
        <stp>EM_S_VAL_PETTMDEDUCTED</stp>
        <stp>2</stp>
        <stp>600706</stp>
        <stp>12/31/2018</stp>
        <tr r="M2912" s="1"/>
      </tp>
      <tp>
        <v>-5.5837460195529403</v>
        <stp/>
        <stp>EM_S_VAL_PETTMDEDUCTED</stp>
        <stp>2</stp>
        <stp>000767</stp>
        <stp>12/31/2018</stp>
        <tr r="M2442" s="1"/>
      </tp>
      <tp>
        <v>-25.212832720496799</v>
        <stp/>
        <stp>EM_S_VAL_PETTMDEDUCTED</stp>
        <stp>2</stp>
        <stp>600707</stp>
        <stp>12/31/2018</stp>
        <tr r="M2050" s="1"/>
      </tp>
      <tp>
        <v>13.092267570396601</v>
        <stp/>
        <stp>EM_S_VAL_PETTMDEDUCTED</stp>
        <stp>2</stp>
        <stp>600704</stp>
        <stp>12/31/2018</stp>
        <tr r="M1522" s="1"/>
      </tp>
      <tp>
        <v>17.789226929973001</v>
        <stp/>
        <stp>EM_S_VAL_PETTMDEDUCTED</stp>
        <stp>2</stp>
        <stp>000765</stp>
        <stp>12/31/2018</stp>
        <tr r="M3533" s="1"/>
      </tp>
      <tp>
        <v>14.533394136394</v>
        <stp/>
        <stp>EM_S_VAL_PETTMDEDUCTED</stp>
        <stp>2</stp>
        <stp>600705</stp>
        <stp>12/31/2018</stp>
        <tr r="M1501" s="1"/>
      </tp>
      <tp>
        <v>-74.347018972586795</v>
        <stp/>
        <stp>EM_S_VAL_PETTMDEDUCTED</stp>
        <stp>2</stp>
        <stp>000762</stp>
        <stp>12/31/2018</stp>
        <tr r="M3531" s="1"/>
      </tp>
      <tp>
        <v>27.3128170424472</v>
        <stp/>
        <stp>EM_S_VAL_PETTMDEDUCTED</stp>
        <stp>2</stp>
        <stp>600702</stp>
        <stp>12/31/2018</stp>
        <tr r="M882" s="1"/>
      </tp>
      <tp>
        <v>-4.7739795821188098</v>
        <stp/>
        <stp>EM_S_VAL_PETTMDEDUCTED</stp>
        <stp>2</stp>
        <stp>000763</stp>
        <stp>12/31/2018</stp>
        <tr r="M3532" s="1"/>
      </tp>
      <tp>
        <v>16.523609311667901</v>
        <stp/>
        <stp>EM_S_VAL_PETTMDEDUCTED</stp>
        <stp>2</stp>
        <stp>600703</stp>
        <stp>12/31/2018</stp>
        <tr r="M375" s="1"/>
      </tp>
      <tp>
        <v>-4.1262940450685903</v>
        <stp/>
        <stp>EM_S_VAL_PETTMDEDUCTED</stp>
        <stp>2</stp>
        <stp>000760</stp>
        <stp>12/31/2018</stp>
        <tr r="M3530" s="1"/>
      </tp>
      <tp>
        <v>63.221403623929</v>
        <stp/>
        <stp>EM_S_VAL_PETTMDEDUCTED</stp>
        <stp>2</stp>
        <stp>300750</stp>
        <stp>12/31/2018</stp>
        <tr r="M579" s="1"/>
      </tp>
      <tp>
        <v>-3.16443912434731</v>
        <stp/>
        <stp>EM_S_VAL_PETTMDEDUCTED</stp>
        <stp>2</stp>
        <stp>600700</stp>
        <stp>12/31/2018</stp>
        <tr r="M2317" s="1"/>
      </tp>
      <tp>
        <v>12.150489740854701</v>
        <stp/>
        <stp>EM_S_VAL_PETTMDEDUCTED</stp>
        <stp>2</stp>
        <stp>000761</stp>
        <stp>12/31/2018</stp>
        <tr r="M1372" s="1"/>
      </tp>
      <tp>
        <v>-5.0594990574724203</v>
        <stp/>
        <stp>EM_S_VAL_PETTMDEDUCTED</stp>
        <stp>2</stp>
        <stp>600701</stp>
        <stp>12/31/2018</stp>
        <tr r="M3066" s="1"/>
      </tp>
      <tp>
        <v>12.6600079656824</v>
        <stp/>
        <stp>EM_S_VAL_PETTMDEDUCTED</stp>
        <stp>2</stp>
        <stp>000498</stp>
        <stp>12/31/2018</stp>
        <tr r="M2686" s="1"/>
      </tp>
      <tp>
        <v>5.3274984576019504</v>
        <stp/>
        <stp>EM_S_VAL_PETTMDEDUCTED</stp>
        <stp>2</stp>
        <stp>000488</stp>
        <stp>12/31/2018</stp>
        <tr r="M3427" s="1"/>
      </tp>
      <tp>
        <v>28.0257987649337</v>
        <stp/>
        <stp>EM_S_VAL_PETTMDEDUCTED</stp>
        <stp>2</stp>
        <stp>300488</stp>
        <stp>12/31/2018</stp>
        <tr r="M3270" s="1"/>
      </tp>
      <tp>
        <v>-527.13394584166599</v>
        <stp/>
        <stp>EM_S_VAL_PETTMDEDUCTED</stp>
        <stp>2</stp>
        <stp>300489</stp>
        <stp>12/31/2018</stp>
        <tr r="M317" s="1"/>
      </tp>
      <tp>
        <v>46.901170899357403</v>
        <stp/>
        <stp>EM_S_VAL_PETTMDEDUCTED</stp>
        <stp>2</stp>
        <stp>300486</stp>
        <stp>12/31/2018</stp>
        <tr r="M459" s="1"/>
      </tp>
      <tp>
        <v>50.066155770268203</v>
        <stp/>
        <stp>EM_S_VAL_PETTMDEDUCTED</stp>
        <stp>2</stp>
        <stp>300487</stp>
        <stp>12/31/2018</stp>
        <tr r="M612" s="1"/>
      </tp>
      <tp>
        <v>122.95312467430399</v>
        <stp/>
        <stp>EM_S_VAL_PETTMDEDUCTED</stp>
        <stp>2</stp>
        <stp>300484</stp>
        <stp>12/31/2018</stp>
        <tr r="M3031" s="1"/>
      </tp>
      <tp>
        <v>17.2832450549685</v>
        <stp/>
        <stp>EM_S_VAL_PETTMDEDUCTED</stp>
        <stp>2</stp>
        <stp>300485</stp>
        <stp>12/31/2018</stp>
        <tr r="M2810" s="1"/>
      </tp>
      <tp>
        <v>34.373847413377703</v>
        <stp/>
        <stp>EM_S_VAL_PETTMDEDUCTED</stp>
        <stp>2</stp>
        <stp>300482</stp>
        <stp>12/31/2018</stp>
        <tr r="M183" s="1"/>
      </tp>
      <tp>
        <v>-321.23131338566998</v>
        <stp/>
        <stp>EM_S_VAL_PETTMDEDUCTED</stp>
        <stp>2</stp>
        <stp>300483</stp>
        <stp>12/31/2018</stp>
        <tr r="M1094" s="1"/>
      </tp>
      <tp>
        <v>48.852290439834299</v>
        <stp/>
        <stp>EM_S_VAL_PETTMDEDUCTED</stp>
        <stp>2</stp>
        <stp>300480</stp>
        <stp>12/31/2018</stp>
        <tr r="M213" s="1"/>
      </tp>
      <tp>
        <v>28.635961565686699</v>
        <stp/>
        <stp>EM_S_VAL_PETTMDEDUCTED</stp>
        <stp>2</stp>
        <stp>300481</stp>
        <stp>12/31/2018</stp>
        <tr r="M358" s="1"/>
      </tp>
      <tp>
        <v>24.9964768368168</v>
        <stp/>
        <stp>EM_S_VAL_PETTMDEDUCTED</stp>
        <stp>2</stp>
        <stp>300498</stp>
        <stp>12/31/2018</stp>
        <tr r="M1017" s="1"/>
      </tp>
      <tp>
        <v>60.5713730367804</v>
        <stp/>
        <stp>EM_S_VAL_PETTMDEDUCTED</stp>
        <stp>2</stp>
        <stp>300499</stp>
        <stp>12/31/2018</stp>
        <tr r="M3080" s="1"/>
      </tp>
      <tp>
        <v>90.882525471582596</v>
        <stp/>
        <stp>EM_S_VAL_PETTMDEDUCTED</stp>
        <stp>2</stp>
        <stp>300496</stp>
        <stp>12/31/2018</stp>
        <tr r="M156" s="1"/>
      </tp>
      <tp>
        <v>19.7902464510518</v>
        <stp/>
        <stp>EM_S_VAL_PETTMDEDUCTED</stp>
        <stp>2</stp>
        <stp>300497</stp>
        <stp>12/31/2018</stp>
        <tr r="M2053" s="1"/>
      </tp>
      <tp>
        <v>40.449486423215099</v>
        <stp/>
        <stp>EM_S_VAL_PETTMDEDUCTED</stp>
        <stp>2</stp>
        <stp>300494</stp>
        <stp>12/31/2018</stp>
        <tr r="M404" s="1"/>
      </tp>
      <tp>
        <v>23.563836158451601</v>
        <stp/>
        <stp>EM_S_VAL_PETTMDEDUCTED</stp>
        <stp>2</stp>
        <stp>300495</stp>
        <stp>12/31/2018</stp>
        <tr r="M2945" s="1"/>
      </tp>
      <tp>
        <v>71.072122058499502</v>
        <stp/>
        <stp>EM_S_VAL_PETTMDEDUCTED</stp>
        <stp>2</stp>
        <stp>300492</stp>
        <stp>12/31/2018</stp>
        <tr r="M69" s="1"/>
      </tp>
      <tp>
        <v>70.907231608759005</v>
        <stp/>
        <stp>EM_S_VAL_PETTMDEDUCTED</stp>
        <stp>2</stp>
        <stp>300493</stp>
        <stp>12/31/2018</stp>
        <tr r="M2536" s="1"/>
      </tp>
      <tp>
        <v>52.3502514514593</v>
        <stp/>
        <stp>EM_S_VAL_PETTMDEDUCTED</stp>
        <stp>2</stp>
        <stp>300490</stp>
        <stp>12/31/2018</stp>
        <tr r="M2910" s="1"/>
      </tp>
      <tp>
        <v>165.71432251729399</v>
        <stp/>
        <stp>EM_S_VAL_PETTMDEDUCTED</stp>
        <stp>2</stp>
        <stp>300491</stp>
        <stp>12/31/2018</stp>
        <tr r="M2962" s="1"/>
      </tp>
      <tp>
        <v>40.372162527365802</v>
        <stp/>
        <stp>EM_S_VAL_PETTMDEDUCTED</stp>
        <stp>2</stp>
        <stp>600498</stp>
        <stp>12/31/2018</stp>
        <tr r="M2489" s="1"/>
      </tp>
      <tp>
        <v>31.9586750109465</v>
        <stp/>
        <stp>EM_S_VAL_PETTMDEDUCTED</stp>
        <stp>2</stp>
        <stp>600499</stp>
        <stp>12/31/2018</stp>
        <tr r="M1885" s="1"/>
      </tp>
      <tp>
        <v>40.425005079819698</v>
        <stp/>
        <stp>EM_S_VAL_PETTMDEDUCTED</stp>
        <stp>2</stp>
        <stp>600496</stp>
        <stp>12/31/2018</stp>
        <tr r="M1831" s="1"/>
      </tp>
      <tp>
        <v>17.8188927206083</v>
        <stp/>
        <stp>EM_S_VAL_PETTMDEDUCTED</stp>
        <stp>2</stp>
        <stp>600497</stp>
        <stp>12/31/2018</stp>
        <tr r="M1854" s="1"/>
      </tp>
      <tp>
        <v>-365.30879882146502</v>
        <stp/>
        <stp>EM_S_VAL_PETTMDEDUCTED</stp>
        <stp>2</stp>
        <stp>600495</stp>
        <stp>12/31/2018</stp>
        <tr r="M2218" s="1"/>
      </tp>
      <tp>
        <v>35.175632349415601</v>
        <stp/>
        <stp>EM_S_VAL_PETTMDEDUCTED</stp>
        <stp>2</stp>
        <stp>600493</stp>
        <stp>12/31/2018</stp>
        <tr r="M2813" s="1"/>
      </tp>
      <tp>
        <v>30.9833138702379</v>
        <stp/>
        <stp>EM_S_VAL_PETTMDEDUCTED</stp>
        <stp>2</stp>
        <stp>600490</stp>
        <stp>12/31/2018</stp>
        <tr r="M2114" s="1"/>
      </tp>
      <tp>
        <v>14.4971974135744</v>
        <stp/>
        <stp>EM_S_VAL_PETTMDEDUCTED</stp>
        <stp>2</stp>
        <stp>600491</stp>
        <stp>12/31/2018</stp>
        <tr r="M1872" s="1"/>
      </tp>
      <tp>
        <v>27.6873746142081</v>
        <stp/>
        <stp>EM_S_VAL_PETTMDEDUCTED</stp>
        <stp>2</stp>
        <stp>600488</stp>
        <stp>12/31/2018</stp>
        <tr r="M1787" s="1"/>
      </tp>
      <tp>
        <v>557.051631299664</v>
        <stp/>
        <stp>EM_S_VAL_PETTMDEDUCTED</stp>
        <stp>2</stp>
        <stp>600489</stp>
        <stp>12/31/2018</stp>
        <tr r="M2454" s="1"/>
      </tp>
      <tp>
        <v>12.382552668088801</v>
        <stp/>
        <stp>EM_S_VAL_PETTMDEDUCTED</stp>
        <stp>2</stp>
        <stp>600486</stp>
        <stp>12/31/2018</stp>
        <tr r="M235" s="1"/>
      </tp>
      <tp>
        <v>14.1947954918082</v>
        <stp/>
        <stp>EM_S_VAL_PETTMDEDUCTED</stp>
        <stp>2</stp>
        <stp>600487</stp>
        <stp>12/31/2018</stp>
        <tr r="M2604" s="1"/>
      </tp>
      <tp>
        <v>-14.077571669089</v>
        <stp/>
        <stp>EM_S_VAL_PETTMDEDUCTED</stp>
        <stp>2</stp>
        <stp>600485</stp>
        <stp>12/31/2018</stp>
        <tr r="M3405" s="1"/>
      </tp>
      <tp>
        <v>36.043987556218298</v>
        <stp/>
        <stp>EM_S_VAL_PETTMDEDUCTED</stp>
        <stp>2</stp>
        <stp>600482</stp>
        <stp>12/31/2018</stp>
        <tr r="M2777" s="1"/>
      </tp>
      <tp>
        <v>12.234015930238099</v>
        <stp/>
        <stp>EM_S_VAL_PETTMDEDUCTED</stp>
        <stp>2</stp>
        <stp>600483</stp>
        <stp>12/31/2018</stp>
        <tr r="M1892" s="1"/>
      </tp>
      <tp>
        <v>17.393854405397299</v>
        <stp/>
        <stp>EM_S_VAL_PETTMDEDUCTED</stp>
        <stp>2</stp>
        <stp>600480</stp>
        <stp>12/31/2018</stp>
        <tr r="M2408" s="1"/>
      </tp>
      <tp>
        <v>37.4288572412595</v>
        <stp/>
        <stp>EM_S_VAL_PETTMDEDUCTED</stp>
        <stp>2</stp>
        <stp>600481</stp>
        <stp>12/31/2018</stp>
        <tr r="M2397" s="1"/>
      </tp>
      <tp>
        <v>16.457193658352999</v>
        <stp/>
        <stp>EM_S_VAL_PETTMDEDUCTED</stp>
        <stp>2</stp>
        <stp>000418</stp>
        <stp>12/31/2018</stp>
        <tr r="M870" s="1"/>
      </tp>
      <tp>
        <v>55.516651149963202</v>
        <stp/>
        <stp>EM_S_VAL_PETTMDEDUCTED</stp>
        <stp>2</stp>
        <stp>300428</stp>
        <stp>12/31/2018</stp>
        <tr r="M1051" s="1"/>
      </tp>
      <tp>
        <v>-134.24647118702001</v>
        <stp/>
        <stp>EM_S_VAL_PETTMDEDUCTED</stp>
        <stp>2</stp>
        <stp>600478</stp>
        <stp>12/31/2018</stp>
        <tr r="M1797" s="1"/>
      </tp>
      <tp>
        <v>18.304300839369098</v>
        <stp/>
        <stp>EM_S_VAL_PETTMDEDUCTED</stp>
        <stp>2</stp>
        <stp>000419</stp>
        <stp>12/31/2018</stp>
        <tr r="M3422" s="1"/>
      </tp>
      <tp>
        <v>64.460482332189898</v>
        <stp/>
        <stp>EM_S_VAL_PETTMDEDUCTED</stp>
        <stp>2</stp>
        <stp>300429</stp>
        <stp>12/31/2018</stp>
        <tr r="M3351" s="1"/>
      </tp>
      <tp>
        <v>16.0865131238555</v>
        <stp/>
        <stp>EM_S_VAL_PETTMDEDUCTED</stp>
        <stp>2</stp>
        <stp>600479</stp>
        <stp>12/31/2018</stp>
        <tr r="M1683" s="1"/>
      </tp>
      <tp>
        <v>159.06625790466299</v>
        <stp/>
        <stp>EM_S_VAL_PETTMDEDUCTED</stp>
        <stp>2</stp>
        <stp>000416</stp>
        <stp>12/31/2018</stp>
        <tr r="M3421" s="1"/>
      </tp>
      <tp>
        <v>16.2730651164233</v>
        <stp/>
        <stp>EM_S_VAL_PETTMDEDUCTED</stp>
        <stp>2</stp>
        <stp>300426</stp>
        <stp>12/31/2018</stp>
        <tr r="M2691" s="1"/>
      </tp>
      <tp>
        <v>-101.429236744573</v>
        <stp/>
        <stp>EM_S_VAL_PETTMDEDUCTED</stp>
        <stp>2</stp>
        <stp>600476</stp>
        <stp>12/31/2018</stp>
        <tr r="M1132" s="1"/>
      </tp>
      <tp>
        <v>27.972753885490601</v>
        <stp/>
        <stp>EM_S_VAL_PETTMDEDUCTED</stp>
        <stp>2</stp>
        <stp>000417</stp>
        <stp>12/31/2018</stp>
        <tr r="M1571" s="1"/>
      </tp>
      <tp>
        <v>15.360042101783099</v>
        <stp/>
        <stp>EM_S_VAL_PETTMDEDUCTED</stp>
        <stp>2</stp>
        <stp>300427</stp>
        <stp>12/31/2018</stp>
        <tr r="M971" s="1"/>
      </tp>
      <tp>
        <v>9.9851735126819108</v>
        <stp/>
        <stp>EM_S_VAL_PETTMDEDUCTED</stp>
        <stp>2</stp>
        <stp>600477</stp>
        <stp>12/31/2018</stp>
        <tr r="M3098" s="1"/>
      </tp>
      <tp>
        <v>59.886229707210198</v>
        <stp/>
        <stp>EM_S_VAL_PETTMDEDUCTED</stp>
        <stp>2</stp>
        <stp>300424</stp>
        <stp>12/31/2018</stp>
        <tr r="M1457" s="1"/>
      </tp>
      <tp>
        <v>9.6355912676591498</v>
        <stp/>
        <stp>EM_S_VAL_PETTMDEDUCTED</stp>
        <stp>2</stp>
        <stp>000415</stp>
        <stp>12/31/2018</stp>
        <tr r="M2000" s="1"/>
      </tp>
      <tp>
        <v>23.026808044742101</v>
        <stp/>
        <stp>EM_S_VAL_PETTMDEDUCTED</stp>
        <stp>2</stp>
        <stp>300425</stp>
        <stp>12/31/2018</stp>
        <tr r="M2401" s="1"/>
      </tp>
      <tp>
        <v>11.7559850606204</v>
        <stp/>
        <stp>EM_S_VAL_PETTMDEDUCTED</stp>
        <stp>2</stp>
        <stp>600475</stp>
        <stp>12/31/2018</stp>
        <tr r="M1220" s="1"/>
      </tp>
      <tp>
        <v>0</v>
        <stp/>
        <stp>EM_S_VAL_PETTMDEDUCTED</stp>
        <stp>2</stp>
        <stp>000412</stp>
        <stp>12/31/2018</stp>
        <tr r="M3420" s="1"/>
      </tp>
      <tp>
        <v>15.614958445146099</v>
        <stp/>
        <stp>EM_S_VAL_PETTMDEDUCTED</stp>
        <stp>2</stp>
        <stp>300422</stp>
        <stp>12/31/2018</stp>
        <tr r="M2032" s="1"/>
      </tp>
      <tp>
        <v>31.604436200345202</v>
        <stp/>
        <stp>EM_S_VAL_PETTMDEDUCTED</stp>
        <stp>2</stp>
        <stp>600472</stp>
        <stp>12/31/2018</stp>
        <tr r="M2303" s="1"/>
      </tp>
      <tp>
        <v>14.1375631359592</v>
        <stp/>
        <stp>EM_S_VAL_PETTMDEDUCTED</stp>
        <stp>2</stp>
        <stp>000413</stp>
        <stp>12/31/2018</stp>
        <tr r="M3142" s="1"/>
      </tp>
      <tp>
        <v>14.856593787240699</v>
        <stp/>
        <stp>EM_S_VAL_PETTMDEDUCTED</stp>
        <stp>2</stp>
        <stp>300423</stp>
        <stp>12/31/2018</stp>
        <tr r="M3152" s="1"/>
      </tp>
      <tp>
        <v>-10.398966407359699</v>
        <stp/>
        <stp>EM_S_VAL_PETTMDEDUCTED</stp>
        <stp>2</stp>
        <stp>000410</stp>
        <stp>12/31/2018</stp>
        <tr r="M3419" s="1"/>
      </tp>
      <tp>
        <v>43.711950359151402</v>
        <stp/>
        <stp>EM_S_VAL_PETTMDEDUCTED</stp>
        <stp>2</stp>
        <stp>300420</stp>
        <stp>12/31/2018</stp>
        <tr r="M1747" s="1"/>
      </tp>
      <tp>
        <v>27.866211339554699</v>
        <stp/>
        <stp>EM_S_VAL_PETTMDEDUCTED</stp>
        <stp>2</stp>
        <stp>600470</stp>
        <stp>12/31/2018</stp>
        <tr r="M1540" s="1"/>
      </tp>
      <tp>
        <v>27.476437980607098</v>
        <stp/>
        <stp>EM_S_VAL_PETTMDEDUCTED</stp>
        <stp>2</stp>
        <stp>000411</stp>
        <stp>12/31/2018</stp>
        <tr r="M2518" s="1"/>
      </tp>
      <tp>
        <v>26.288101430527998</v>
        <stp/>
        <stp>EM_S_VAL_PETTMDEDUCTED</stp>
        <stp>2</stp>
        <stp>300421</stp>
        <stp>12/31/2018</stp>
        <tr r="M3348" s="1"/>
      </tp>
      <tp>
        <v>17.279916779878501</v>
        <stp/>
        <stp>EM_S_VAL_PETTMDEDUCTED</stp>
        <stp>2</stp>
        <stp>000408</stp>
        <stp>12/31/2018</stp>
        <tr r="M3418" s="1"/>
      </tp>
      <tp>
        <v>17.4284573910275</v>
        <stp/>
        <stp>EM_S_VAL_PETTMDEDUCTED</stp>
        <stp>2</stp>
        <stp>300438</stp>
        <stp>12/31/2018</stp>
        <tr r="M364" s="1"/>
      </tp>
      <tp>
        <v>108.235104382489</v>
        <stp/>
        <stp>EM_S_VAL_PETTMDEDUCTED</stp>
        <stp>2</stp>
        <stp>600468</stp>
        <stp>12/31/2018</stp>
        <tr r="M3233" s="1"/>
      </tp>
      <tp>
        <v>-5.4738653076772197</v>
        <stp/>
        <stp>EM_S_VAL_PETTMDEDUCTED</stp>
        <stp>2</stp>
        <stp>000409</stp>
        <stp>12/31/2018</stp>
        <tr r="M2918" s="1"/>
      </tp>
      <tp>
        <v>21.617796186127499</v>
        <stp/>
        <stp>EM_S_VAL_PETTMDEDUCTED</stp>
        <stp>2</stp>
        <stp>300439</stp>
        <stp>12/31/2018</stp>
        <tr r="M2237" s="1"/>
      </tp>
      <tp>
        <v>-7.0378474800326902</v>
        <stp/>
        <stp>EM_S_VAL_PETTMDEDUCTED</stp>
        <stp>2</stp>
        <stp>600469</stp>
        <stp>12/31/2018</stp>
        <tr r="M749" s="1"/>
      </tp>
      <tp>
        <v>11.058201145611999</v>
        <stp/>
        <stp>EM_S_VAL_PETTMDEDUCTED</stp>
        <stp>2</stp>
        <stp>000406</stp>
        <stp>12/31/2018</stp>
        <tr r="M3417" s="1"/>
      </tp>
      <tp>
        <v>504.09844556626098</v>
        <stp/>
        <stp>EM_S_VAL_PETTMDEDUCTED</stp>
        <stp>2</stp>
        <stp>300436</stp>
        <stp>12/31/2018</stp>
        <tr r="M879" s="1"/>
      </tp>
      <tp>
        <v>7.9141725577373201</v>
        <stp/>
        <stp>EM_S_VAL_PETTMDEDUCTED</stp>
        <stp>2</stp>
        <stp>600466</stp>
        <stp>12/31/2018</stp>
        <tr r="M865" s="1"/>
      </tp>
      <tp>
        <v>70.182000868053095</v>
        <stp/>
        <stp>EM_S_VAL_PETTMDEDUCTED</stp>
        <stp>2</stp>
        <stp>000407</stp>
        <stp>12/31/2018</stp>
        <tr r="M2601" s="1"/>
      </tp>
      <tp>
        <v>11.4097389018984</v>
        <stp/>
        <stp>EM_S_VAL_PETTMDEDUCTED</stp>
        <stp>2</stp>
        <stp>300437</stp>
        <stp>12/31/2018</stp>
        <tr r="M2786" s="1"/>
      </tp>
      <tp>
        <v>68.097031505227903</v>
        <stp/>
        <stp>EM_S_VAL_PETTMDEDUCTED</stp>
        <stp>2</stp>
        <stp>600467</stp>
        <stp>12/31/2018</stp>
        <tr r="M2199" s="1"/>
      </tp>
      <tp>
        <v>889.72596077420098</v>
        <stp/>
        <stp>EM_S_VAL_PETTMDEDUCTED</stp>
        <stp>2</stp>
        <stp>000404</stp>
        <stp>12/31/2018</stp>
        <tr r="M2194" s="1"/>
      </tp>
      <tp>
        <v>24.3549025815656</v>
        <stp/>
        <stp>EM_S_VAL_PETTMDEDUCTED</stp>
        <stp>2</stp>
        <stp>300434</stp>
        <stp>12/31/2018</stp>
        <tr r="M2981" s="1"/>
      </tp>
      <tp>
        <v>-611.38597645055404</v>
        <stp/>
        <stp>EM_S_VAL_PETTMDEDUCTED</stp>
        <stp>2</stp>
        <stp>000405</stp>
        <stp>12/31/2018</stp>
        <tr r="M3416" s="1"/>
      </tp>
      <tp>
        <v>45.528711701500299</v>
        <stp/>
        <stp>EM_S_VAL_PETTMDEDUCTED</stp>
        <stp>2</stp>
        <stp>300435</stp>
        <stp>12/31/2018</stp>
        <tr r="M1794" s="1"/>
      </tp>
      <tp>
        <v>15.3417022135471</v>
        <stp/>
        <stp>EM_S_VAL_PETTMDEDUCTED</stp>
        <stp>2</stp>
        <stp>000402</stp>
        <stp>12/31/2018</stp>
        <tr r="M3415" s="1"/>
      </tp>
      <tp>
        <v>18.365732987920602</v>
        <stp/>
        <stp>EM_S_VAL_PETTMDEDUCTED</stp>
        <stp>2</stp>
        <stp>300432</stp>
        <stp>12/31/2018</stp>
        <tr r="M180" s="1"/>
      </tp>
      <tp>
        <v>-215.03932422427999</v>
        <stp/>
        <stp>EM_S_VAL_PETTMDEDUCTED</stp>
        <stp>2</stp>
        <stp>600462</stp>
        <stp>12/31/2018</stp>
        <tr r="M3369" s="1"/>
      </tp>
      <tp>
        <v>84.174748812349094</v>
        <stp/>
        <stp>EM_S_VAL_PETTMDEDUCTED</stp>
        <stp>2</stp>
        <stp>000403</stp>
        <stp>12/31/2018</stp>
        <tr r="M1103" s="1"/>
      </tp>
      <tp>
        <v>24.5785708026905</v>
        <stp/>
        <stp>EM_S_VAL_PETTMDEDUCTED</stp>
        <stp>2</stp>
        <stp>300433</stp>
        <stp>12/31/2018</stp>
        <tr r="M140" s="1"/>
      </tp>
      <tp>
        <v>-40.501213414374099</v>
        <stp/>
        <stp>EM_S_VAL_PETTMDEDUCTED</stp>
        <stp>2</stp>
        <stp>600463</stp>
        <stp>12/31/2018</stp>
        <tr r="M2180" s="1"/>
      </tp>
      <tp>
        <v>20.234976029837402</v>
        <stp/>
        <stp>EM_S_VAL_PETTMDEDUCTED</stp>
        <stp>2</stp>
        <stp>000400</stp>
        <stp>12/31/2018</stp>
        <tr r="M3414" s="1"/>
      </tp>
      <tp>
        <v>21.309520884360399</v>
        <stp/>
        <stp>EM_S_VAL_PETTMDEDUCTED</stp>
        <stp>2</stp>
        <stp>300430</stp>
        <stp>12/31/2018</stp>
        <tr r="M2455" s="1"/>
      </tp>
      <tp>
        <v>94.040271485655296</v>
        <stp/>
        <stp>EM_S_VAL_PETTMDEDUCTED</stp>
        <stp>2</stp>
        <stp>600460</stp>
        <stp>12/31/2018</stp>
        <tr r="M200" s="1"/>
      </tp>
      <tp>
        <v>29.8638645465971</v>
        <stp/>
        <stp>EM_S_VAL_PETTMDEDUCTED</stp>
        <stp>2</stp>
        <stp>000401</stp>
        <stp>12/31/2018</stp>
        <tr r="M849" s="1"/>
      </tp>
      <tp>
        <v>-13.869195414687599</v>
        <stp/>
        <stp>EM_S_VAL_PETTMDEDUCTED</stp>
        <stp>2</stp>
        <stp>300431</stp>
        <stp>12/31/2018</stp>
        <tr r="M3388" s="1"/>
      </tp>
      <tp>
        <v>15.5023111144839</v>
        <stp/>
        <stp>EM_S_VAL_PETTMDEDUCTED</stp>
        <stp>2</stp>
        <stp>600461</stp>
        <stp>12/31/2018</stp>
        <tr r="M1858" s="1"/>
      </tp>
      <tp>
        <v>23.455747075384298</v>
        <stp/>
        <stp>EM_S_VAL_PETTMDEDUCTED</stp>
        <stp>2</stp>
        <stp>300408</stp>
        <stp>12/31/2018</stp>
        <tr r="M858" s="1"/>
      </tp>
      <tp>
        <v>183.41255225914099</v>
        <stp/>
        <stp>EM_S_VAL_PETTMDEDUCTED</stp>
        <stp>2</stp>
        <stp>600458</stp>
        <stp>12/31/2018</stp>
        <tr r="M2074" s="1"/>
      </tp>
      <tp>
        <v>24.423598469551699</v>
        <stp/>
        <stp>EM_S_VAL_PETTMDEDUCTED</stp>
        <stp>2</stp>
        <stp>300409</stp>
        <stp>12/31/2018</stp>
        <tr r="M2377" s="1"/>
      </tp>
      <tp>
        <v>30.457776016853099</v>
        <stp/>
        <stp>EM_S_VAL_PETTMDEDUCTED</stp>
        <stp>2</stp>
        <stp>600459</stp>
        <stp>12/31/2018</stp>
        <tr r="M755" s="1"/>
      </tp>
      <tp>
        <v>18.023280347424102</v>
        <stp/>
        <stp>EM_S_VAL_PETTMDEDUCTED</stp>
        <stp>2</stp>
        <stp>300406</stp>
        <stp>12/31/2018</stp>
        <tr r="M400" s="1"/>
      </tp>
      <tp>
        <v>58.861006813984901</v>
        <stp/>
        <stp>EM_S_VAL_PETTMDEDUCTED</stp>
        <stp>2</stp>
        <stp>600456</stp>
        <stp>12/31/2018</stp>
        <tr r="M393" s="1"/>
      </tp>
      <tp>
        <v>431.76675710465702</v>
        <stp/>
        <stp>EM_S_VAL_PETTMDEDUCTED</stp>
        <stp>2</stp>
        <stp>300407</stp>
        <stp>12/31/2018</stp>
        <tr r="M2060" s="1"/>
      </tp>
      <tp>
        <v>-83.037501598624502</v>
        <stp/>
        <stp>EM_S_VAL_PETTMDEDUCTED</stp>
        <stp>2</stp>
        <stp>300404</stp>
        <stp>12/31/2018</stp>
        <tr r="M1027" s="1"/>
      </tp>
      <tp>
        <v>163.44749521083099</v>
        <stp/>
        <stp>EM_S_VAL_PETTMDEDUCTED</stp>
        <stp>2</stp>
        <stp>300405</stp>
        <stp>12/31/2018</stp>
        <tr r="M2766" s="1"/>
      </tp>
      <tp>
        <v>1210.71850376522</v>
        <stp/>
        <stp>EM_S_VAL_PETTMDEDUCTED</stp>
        <stp>2</stp>
        <stp>600455</stp>
        <stp>12/31/2018</stp>
        <tr r="M440" s="1"/>
      </tp>
      <tp>
        <v>-367.50192438198297</v>
        <stp/>
        <stp>EM_S_VAL_PETTMDEDUCTED</stp>
        <stp>2</stp>
        <stp>300402</stp>
        <stp>12/31/2018</stp>
        <tr r="M1278" s="1"/>
      </tp>
      <tp>
        <v>13.942374894025599</v>
        <stp/>
        <stp>EM_S_VAL_PETTMDEDUCTED</stp>
        <stp>2</stp>
        <stp>600452</stp>
        <stp>12/31/2018</stp>
        <tr r="M1428" s="1"/>
      </tp>
      <tp>
        <v>22.850458181655</v>
        <stp/>
        <stp>EM_S_VAL_PETTMDEDUCTED</stp>
        <stp>2</stp>
        <stp>300403</stp>
        <stp>12/31/2018</stp>
        <tr r="M2252" s="1"/>
      </tp>
      <tp>
        <v>429.920321412242</v>
        <stp/>
        <stp>EM_S_VAL_PETTMDEDUCTED</stp>
        <stp>2</stp>
        <stp>000430</stp>
        <stp>12/31/2018</stp>
        <tr r="M3426" s="1"/>
      </tp>
      <tp>
        <v>37.799795113103798</v>
        <stp/>
        <stp>EM_S_VAL_PETTMDEDUCTED</stp>
        <stp>2</stp>
        <stp>300400</stp>
        <stp>12/31/2018</stp>
        <tr r="M2511" s="1"/>
      </tp>
      <tp>
        <v>24.6642746992726</v>
        <stp/>
        <stp>EM_S_VAL_PETTMDEDUCTED</stp>
        <stp>2</stp>
        <stp>300401</stp>
        <stp>12/31/2018</stp>
        <tr r="M2232" s="1"/>
      </tp>
      <tp>
        <v>-3.5750270300646001</v>
        <stp/>
        <stp>EM_S_VAL_PETTMDEDUCTED</stp>
        <stp>2</stp>
        <stp>000428</stp>
        <stp>12/31/2018</stp>
        <tr r="M3425" s="1"/>
      </tp>
      <tp>
        <v>12.508629773012</v>
        <stp/>
        <stp>EM_S_VAL_PETTMDEDUCTED</stp>
        <stp>2</stp>
        <stp>300418</stp>
        <stp>12/31/2018</stp>
        <tr r="M889" s="1"/>
      </tp>
      <tp>
        <v>720.926499467947</v>
        <stp/>
        <stp>EM_S_VAL_PETTMDEDUCTED</stp>
        <stp>2</stp>
        <stp>600448</stp>
        <stp>12/31/2018</stp>
        <tr r="M1775" s="1"/>
      </tp>
      <tp>
        <v>12.305843783142601</v>
        <stp/>
        <stp>EM_S_VAL_PETTMDEDUCTED</stp>
        <stp>2</stp>
        <stp>000429</stp>
        <stp>12/31/2018</stp>
        <tr r="M2465" s="1"/>
      </tp>
      <tp>
        <v>77.221858570147106</v>
        <stp/>
        <stp>EM_S_VAL_PETTMDEDUCTED</stp>
        <stp>2</stp>
        <stp>300419</stp>
        <stp>12/31/2018</stp>
        <tr r="M1348" s="1"/>
      </tp>
      <tp>
        <v>10.620536454032999</v>
        <stp/>
        <stp>EM_S_VAL_PETTMDEDUCTED</stp>
        <stp>2</stp>
        <stp>600449</stp>
        <stp>12/31/2018</stp>
        <tr r="M621" s="1"/>
      </tp>
      <tp>
        <v>12.624116674898699</v>
        <stp/>
        <stp>EM_S_VAL_PETTMDEDUCTED</stp>
        <stp>2</stp>
        <stp>000426</stp>
        <stp>12/31/2018</stp>
        <tr r="M2266" s="1"/>
      </tp>
      <tp>
        <v>42.104906224161198</v>
        <stp/>
        <stp>EM_S_VAL_PETTMDEDUCTED</stp>
        <stp>2</stp>
        <stp>300416</stp>
        <stp>12/31/2018</stp>
        <tr r="M301" s="1"/>
      </tp>
      <tp>
        <v>59.156463795894503</v>
        <stp/>
        <stp>EM_S_VAL_PETTMDEDUCTED</stp>
        <stp>2</stp>
        <stp>600446</stp>
        <stp>12/31/2018</stp>
        <tr r="M127" s="1"/>
      </tp>
      <tp>
        <v>44.027703859510197</v>
        <stp/>
        <stp>EM_S_VAL_PETTMDEDUCTED</stp>
        <stp>2</stp>
        <stp>300417</stp>
        <stp>12/31/2018</stp>
        <tr r="M56" s="1"/>
      </tp>
      <tp>
        <v>95.805218026351199</v>
        <stp/>
        <stp>EM_S_VAL_PETTMDEDUCTED</stp>
        <stp>2</stp>
        <stp>300414</stp>
        <stp>12/31/2018</stp>
        <tr r="M3089" s="1"/>
      </tp>
      <tp>
        <v>-24.712177305580401</v>
        <stp/>
        <stp>EM_S_VAL_PETTMDEDUCTED</stp>
        <stp>2</stp>
        <stp>600444</stp>
        <stp>12/31/2018</stp>
        <tr r="M1702" s="1"/>
      </tp>
      <tp>
        <v>16.6229997282738</v>
        <stp/>
        <stp>EM_S_VAL_PETTMDEDUCTED</stp>
        <stp>2</stp>
        <stp>000425</stp>
        <stp>12/31/2018</stp>
        <tr r="M319" s="1"/>
      </tp>
      <tp>
        <v>13.111807860360599</v>
        <stp/>
        <stp>EM_S_VAL_PETTMDEDUCTED</stp>
        <stp>2</stp>
        <stp>300415</stp>
        <stp>12/31/2018</stp>
        <tr r="M374" s="1"/>
      </tp>
      <tp>
        <v>-0.61882366776466502</v>
        <stp/>
        <stp>EM_S_VAL_PETTMDEDUCTED</stp>
        <stp>2</stp>
        <stp>000422</stp>
        <stp>12/31/2018</stp>
        <tr r="M2350" s="1"/>
      </tp>
      <tp>
        <v>113.859105343519</v>
        <stp/>
        <stp>EM_S_VAL_PETTMDEDUCTED</stp>
        <stp>2</stp>
        <stp>300412</stp>
        <stp>12/31/2018</stp>
        <tr r="M2243" s="1"/>
      </tp>
      <tp>
        <v>13.693591205203701</v>
        <stp/>
        <stp>EM_S_VAL_PETTMDEDUCTED</stp>
        <stp>2</stp>
        <stp>000423</stp>
        <stp>12/31/2018</stp>
        <tr r="M3424" s="1"/>
      </tp>
      <tp>
        <v>-123.746804160431</v>
        <stp/>
        <stp>EM_S_VAL_PETTMDEDUCTED</stp>
        <stp>2</stp>
        <stp>300413</stp>
        <stp>12/31/2018</stp>
        <tr r="M2612" s="1"/>
      </tp>
      <tp>
        <v>29.295141594507601</v>
        <stp/>
        <stp>EM_S_VAL_PETTMDEDUCTED</stp>
        <stp>2</stp>
        <stp>000420</stp>
        <stp>12/31/2018</stp>
        <tr r="M1603" s="1"/>
      </tp>
      <tp>
        <v>25.747985027737499</v>
        <stp/>
        <stp>EM_S_VAL_PETTMDEDUCTED</stp>
        <stp>2</stp>
        <stp>300410</stp>
        <stp>12/31/2018</stp>
        <tr r="M3396" s="1"/>
      </tp>
      <tp>
        <v>17.760763490442699</v>
        <stp/>
        <stp>EM_S_VAL_PETTMDEDUCTED</stp>
        <stp>2</stp>
        <stp>000421</stp>
        <stp>12/31/2018</stp>
        <tr r="M3423" s="1"/>
      </tp>
      <tp>
        <v>44.874485787590999</v>
        <stp/>
        <stp>EM_S_VAL_PETTMDEDUCTED</stp>
        <stp>2</stp>
        <stp>300411</stp>
        <stp>12/31/2018</stp>
        <tr r="M2490" s="1"/>
      </tp>
      <tp>
        <v>27.691872347501999</v>
        <stp/>
        <stp>EM_S_VAL_PETTMDEDUCTED</stp>
        <stp>2</stp>
        <stp>300468</stp>
        <stp>12/31/2018</stp>
        <tr r="M55" s="1"/>
      </tp>
      <tp>
        <v>15.7042414170252</v>
        <stp/>
        <stp>EM_S_VAL_PETTMDEDUCTED</stp>
        <stp>2</stp>
        <stp>600438</stp>
        <stp>12/31/2018</stp>
        <tr r="M448" s="1"/>
      </tp>
      <tp>
        <v>97.192616202273499</v>
        <stp/>
        <stp>EM_S_VAL_PETTMDEDUCTED</stp>
        <stp>2</stp>
        <stp>300469</stp>
        <stp>12/31/2018</stp>
        <tr r="M2968" s="1"/>
      </tp>
      <tp>
        <v>12.341614082385201</v>
        <stp/>
        <stp>EM_S_VAL_PETTMDEDUCTED</stp>
        <stp>2</stp>
        <stp>600439</stp>
        <stp>12/31/2018</stp>
        <tr r="M823" s="1"/>
      </tp>
      <tp>
        <v>112.234364273004</v>
        <stp/>
        <stp>EM_S_VAL_PETTMDEDUCTED</stp>
        <stp>2</stp>
        <stp>300466</stp>
        <stp>12/31/2018</stp>
        <tr r="M1519" s="1"/>
      </tp>
      <tp>
        <v>50.675931449299497</v>
        <stp/>
        <stp>EM_S_VAL_PETTMDEDUCTED</stp>
        <stp>2</stp>
        <stp>600436</stp>
        <stp>12/31/2018</stp>
        <tr r="M1060" s="1"/>
      </tp>
      <tp>
        <v>23.555694303378701</v>
        <stp/>
        <stp>EM_S_VAL_PETTMDEDUCTED</stp>
        <stp>2</stp>
        <stp>300467</stp>
        <stp>12/31/2018</stp>
        <tr r="M2940" s="1"/>
      </tp>
      <tp>
        <v>-151.32372090221301</v>
        <stp/>
        <stp>EM_S_VAL_PETTMDEDUCTED</stp>
        <stp>2</stp>
        <stp>300464</stp>
        <stp>12/31/2018</stp>
        <tr r="M195" s="1"/>
      </tp>
      <tp>
        <v>54.3098796955003</v>
        <stp/>
        <stp>EM_S_VAL_PETTMDEDUCTED</stp>
        <stp>2</stp>
        <stp>300465</stp>
        <stp>12/31/2018</stp>
        <tr r="M477" s="1"/>
      </tp>
      <tp>
        <v>1183.01487943137</v>
        <stp/>
        <stp>EM_S_VAL_PETTMDEDUCTED</stp>
        <stp>2</stp>
        <stp>600435</stp>
        <stp>12/31/2018</stp>
        <tr r="M1564" s="1"/>
      </tp>
      <tp>
        <v>59.5389790724034</v>
        <stp/>
        <stp>EM_S_VAL_PETTMDEDUCTED</stp>
        <stp>2</stp>
        <stp>300462</stp>
        <stp>12/31/2018</stp>
        <tr r="M369" s="1"/>
      </tp>
      <tp>
        <v>-1.05713033135339</v>
        <stp/>
        <stp>EM_S_VAL_PETTMDEDUCTED</stp>
        <stp>2</stp>
        <stp>600432</stp>
        <stp>12/31/2018</stp>
        <tr r="M2302" s="1"/>
      </tp>
      <tp>
        <v>19.075354514161798</v>
        <stp/>
        <stp>EM_S_VAL_PETTMDEDUCTED</stp>
        <stp>2</stp>
        <stp>300463</stp>
        <stp>12/31/2018</stp>
        <tr r="M238" s="1"/>
      </tp>
      <tp>
        <v>44.974964484894102</v>
        <stp/>
        <stp>EM_S_VAL_PETTMDEDUCTED</stp>
        <stp>2</stp>
        <stp>600433</stp>
        <stp>12/31/2018</stp>
        <tr r="M2625" s="1"/>
      </tp>
      <tp>
        <v>85.607515083736899</v>
        <stp/>
        <stp>EM_S_VAL_PETTMDEDUCTED</stp>
        <stp>2</stp>
        <stp>300460</stp>
        <stp>12/31/2018</stp>
        <tr r="M170" s="1"/>
      </tp>
      <tp>
        <v>28.702637733801598</v>
        <stp/>
        <stp>EM_S_VAL_PETTMDEDUCTED</stp>
        <stp>2</stp>
        <stp>300461</stp>
        <stp>12/31/2018</stp>
        <tr r="M1686" s="1"/>
      </tp>
      <tp>
        <v>36.6364359799799</v>
        <stp/>
        <stp>EM_S_VAL_PETTMDEDUCTED</stp>
        <stp>2</stp>
        <stp>300478</stp>
        <stp>12/31/2018</stp>
        <tr r="M3004" s="1"/>
      </tp>
      <tp>
        <v>46.476721518083103</v>
        <stp/>
        <stp>EM_S_VAL_PETTMDEDUCTED</stp>
        <stp>2</stp>
        <stp>600428</stp>
        <stp>12/31/2018</stp>
        <tr r="M1477" s="1"/>
      </tp>
      <tp>
        <v>2016.8711368504701</v>
        <stp/>
        <stp>EM_S_VAL_PETTMDEDUCTED</stp>
        <stp>2</stp>
        <stp>300479</stp>
        <stp>12/31/2018</stp>
        <tr r="M1154" s="1"/>
      </tp>
      <tp>
        <v>314.35598004209299</v>
        <stp/>
        <stp>EM_S_VAL_PETTMDEDUCTED</stp>
        <stp>2</stp>
        <stp>600429</stp>
        <stp>12/31/2018</stp>
        <tr r="M2394" s="1"/>
      </tp>
      <tp>
        <v>21.193000915440098</v>
        <stp/>
        <stp>EM_S_VAL_PETTMDEDUCTED</stp>
        <stp>2</stp>
        <stp>300476</stp>
        <stp>12/31/2018</stp>
        <tr r="M744" s="1"/>
      </tp>
      <tp>
        <v>6.6977387045193497</v>
        <stp/>
        <stp>EM_S_VAL_PETTMDEDUCTED</stp>
        <stp>2</stp>
        <stp>600426</stp>
        <stp>12/31/2018</stp>
        <tr r="M417" s="1"/>
      </tp>
      <tp>
        <v>40.537410618755402</v>
        <stp/>
        <stp>EM_S_VAL_PETTMDEDUCTED</stp>
        <stp>2</stp>
        <stp>300477</stp>
        <stp>12/31/2018</stp>
        <tr r="M3020" s="1"/>
      </tp>
      <tp>
        <v>101.095747234933</v>
        <stp/>
        <stp>EM_S_VAL_PETTMDEDUCTED</stp>
        <stp>2</stp>
        <stp>300474</stp>
        <stp>12/31/2018</stp>
        <tr r="M392" s="1"/>
      </tp>
      <tp>
        <v>44.190067137677602</v>
        <stp/>
        <stp>EM_S_VAL_PETTMDEDUCTED</stp>
        <stp>2</stp>
        <stp>300475</stp>
        <stp>12/31/2018</stp>
        <tr r="M864" s="1"/>
      </tp>
      <tp>
        <v>-82.615739656657098</v>
        <stp/>
        <stp>EM_S_VAL_PETTMDEDUCTED</stp>
        <stp>2</stp>
        <stp>600425</stp>
        <stp>12/31/2018</stp>
        <tr r="M935" s="1"/>
      </tp>
      <tp>
        <v>53.8202705832039</v>
        <stp/>
        <stp>EM_S_VAL_PETTMDEDUCTED</stp>
        <stp>2</stp>
        <stp>300472</stp>
        <stp>12/31/2018</stp>
        <tr r="M2439" s="1"/>
      </tp>
      <tp>
        <v>19.457393754261801</v>
        <stp/>
        <stp>EM_S_VAL_PETTMDEDUCTED</stp>
        <stp>2</stp>
        <stp>600422</stp>
        <stp>12/31/2018</stp>
        <tr r="M333" s="1"/>
      </tp>
      <tp>
        <v>19.084501379192599</v>
        <stp/>
        <stp>EM_S_VAL_PETTMDEDUCTED</stp>
        <stp>2</stp>
        <stp>300473</stp>
        <stp>12/31/2018</stp>
        <tr r="M898" s="1"/>
      </tp>
      <tp>
        <v>-8.7762517845291192</v>
        <stp/>
        <stp>EM_S_VAL_PETTMDEDUCTED</stp>
        <stp>2</stp>
        <stp>600423</stp>
        <stp>12/31/2018</stp>
        <tr r="M2841" s="1"/>
      </tp>
      <tp>
        <v>26.262249034609201</v>
        <stp/>
        <stp>EM_S_VAL_PETTMDEDUCTED</stp>
        <stp>2</stp>
        <stp>300470</stp>
        <stp>12/31/2018</stp>
        <tr r="M1244" s="1"/>
      </tp>
      <tp>
        <v>16.997910914914399</v>
        <stp/>
        <stp>EM_S_VAL_PETTMDEDUCTED</stp>
        <stp>2</stp>
        <stp>600420</stp>
        <stp>12/31/2018</stp>
        <tr r="M2530" s="1"/>
      </tp>
      <tp>
        <v>-10.1589157710096</v>
        <stp/>
        <stp>EM_S_VAL_PETTMDEDUCTED</stp>
        <stp>2</stp>
        <stp>300471</stp>
        <stp>12/31/2018</stp>
        <tr r="M341" s="1"/>
      </tp>
      <tp>
        <v>-151.814031957049</v>
        <stp/>
        <stp>EM_S_VAL_PETTMDEDUCTED</stp>
        <stp>2</stp>
        <stp>600421</stp>
        <stp>12/31/2018</stp>
        <tr r="M1884" s="1"/>
      </tp>
      <tp>
        <v>37.645033686199099</v>
        <stp/>
        <stp>EM_S_VAL_PETTMDEDUCTED</stp>
        <stp>2</stp>
        <stp>300448</stp>
        <stp>12/31/2018</stp>
        <tr r="M3181" s="1"/>
      </tp>
      <tp>
        <v>-10.4578736728843</v>
        <stp/>
        <stp>EM_S_VAL_PETTMDEDUCTED</stp>
        <stp>2</stp>
        <stp>600418</stp>
        <stp>12/31/2018</stp>
        <tr r="M2111" s="1"/>
      </tp>
      <tp>
        <v>33.999116011343197</v>
        <stp/>
        <stp>EM_S_VAL_PETTMDEDUCTED</stp>
        <stp>2</stp>
        <stp>300449</stp>
        <stp>12/31/2018</stp>
        <tr r="M3249" s="1"/>
      </tp>
      <tp>
        <v>22.4060279209871</v>
        <stp/>
        <stp>EM_S_VAL_PETTMDEDUCTED</stp>
        <stp>2</stp>
        <stp>600419</stp>
        <stp>12/31/2018</stp>
        <tr r="M2434" s="1"/>
      </tp>
      <tp>
        <v>19.022577971119301</v>
        <stp/>
        <stp>EM_S_VAL_PETTMDEDUCTED</stp>
        <stp>2</stp>
        <stp>300446</stp>
        <stp>12/31/2018</stp>
        <tr r="M1334" s="1"/>
      </tp>
      <tp>
        <v>-10.601370007529701</v>
        <stp/>
        <stp>EM_S_VAL_PETTMDEDUCTED</stp>
        <stp>2</stp>
        <stp>600416</stp>
        <stp>12/31/2018</stp>
        <tr r="M795" s="1"/>
      </tp>
      <tp>
        <v>24.0860863607097</v>
        <stp/>
        <stp>EM_S_VAL_PETTMDEDUCTED</stp>
        <stp>2</stp>
        <stp>300447</stp>
        <stp>12/31/2018</stp>
        <tr r="M1960" s="1"/>
      </tp>
      <tp>
        <v>25.421026163027999</v>
        <stp/>
        <stp>EM_S_VAL_PETTMDEDUCTED</stp>
        <stp>2</stp>
        <stp>300444</stp>
        <stp>12/31/2018</stp>
        <tr r="M3128" s="1"/>
      </tp>
      <tp>
        <v>26.5872623430364</v>
        <stp/>
        <stp>EM_S_VAL_PETTMDEDUCTED</stp>
        <stp>2</stp>
        <stp>300445</stp>
        <stp>12/31/2018</stp>
        <tr r="M314" s="1"/>
      </tp>
      <tp>
        <v>16.4743109956325</v>
        <stp/>
        <stp>EM_S_VAL_PETTMDEDUCTED</stp>
        <stp>2</stp>
        <stp>600415</stp>
        <stp>12/31/2018</stp>
        <tr r="M1685" s="1"/>
      </tp>
      <tp>
        <v>-38.275727870469701</v>
        <stp/>
        <stp>EM_S_VAL_PETTMDEDUCTED</stp>
        <stp>2</stp>
        <stp>300442</stp>
        <stp>12/31/2018</stp>
        <tr r="M1232" s="1"/>
      </tp>
      <tp>
        <v>27.072252185192301</v>
        <stp/>
        <stp>EM_S_VAL_PETTMDEDUCTED</stp>
        <stp>2</stp>
        <stp>300443</stp>
        <stp>12/31/2018</stp>
        <tr r="M981" s="1"/>
      </tp>
      <tp>
        <v>45.163523301908903</v>
        <stp/>
        <stp>EM_S_VAL_PETTMDEDUCTED</stp>
        <stp>2</stp>
        <stp>300440</stp>
        <stp>12/31/2018</stp>
        <tr r="M675" s="1"/>
      </tp>
      <tp>
        <v>-118.677720683491</v>
        <stp/>
        <stp>EM_S_VAL_PETTMDEDUCTED</stp>
        <stp>2</stp>
        <stp>600410</stp>
        <stp>12/31/2018</stp>
        <tr r="M272" s="1"/>
      </tp>
      <tp>
        <v>27.441505435405201</v>
        <stp/>
        <stp>EM_S_VAL_PETTMDEDUCTED</stp>
        <stp>2</stp>
        <stp>300441</stp>
        <stp>12/31/2018</stp>
        <tr r="M685" s="1"/>
      </tp>
      <tp>
        <v>71.302040538782705</v>
        <stp/>
        <stp>EM_S_VAL_PETTMDEDUCTED</stp>
        <stp>2</stp>
        <stp>300458</stp>
        <stp>12/31/2018</stp>
        <tr r="M425" s="1"/>
      </tp>
      <tp>
        <v>9.8296185988387794</v>
        <stp/>
        <stp>EM_S_VAL_PETTMDEDUCTED</stp>
        <stp>2</stp>
        <stp>600408</stp>
        <stp>12/31/2018</stp>
        <tr r="M2702" s="1"/>
      </tp>
      <tp>
        <v>17.562149910910598</v>
        <stp/>
        <stp>EM_S_VAL_PETTMDEDUCTED</stp>
        <stp>2</stp>
        <stp>300459</stp>
        <stp>12/31/2018</stp>
        <tr r="M3387" s="1"/>
      </tp>
      <tp>
        <v>5.8303921378612298</v>
        <stp/>
        <stp>EM_S_VAL_PETTMDEDUCTED</stp>
        <stp>2</stp>
        <stp>600409</stp>
        <stp>12/31/2018</stp>
        <tr r="M1750" s="1"/>
      </tp>
      <tp>
        <v>63.441210824122898</v>
        <stp/>
        <stp>EM_S_VAL_PETTMDEDUCTED</stp>
        <stp>2</stp>
        <stp>300456</stp>
        <stp>12/31/2018</stp>
        <tr r="M1723" s="1"/>
      </tp>
      <tp>
        <v>36.411539403494203</v>
        <stp/>
        <stp>EM_S_VAL_PETTMDEDUCTED</stp>
        <stp>2</stp>
        <stp>600406</stp>
        <stp>12/31/2018</stp>
        <tr r="M1471" s="1"/>
      </tp>
      <tp>
        <v>43.404384560565099</v>
        <stp/>
        <stp>EM_S_VAL_PETTMDEDUCTED</stp>
        <stp>2</stp>
        <stp>300457</stp>
        <stp>12/31/2018</stp>
        <tr r="M1422" s="1"/>
      </tp>
      <tp>
        <v>67.551658700366602</v>
        <stp/>
        <stp>EM_S_VAL_PETTMDEDUCTED</stp>
        <stp>2</stp>
        <stp>300454</stp>
        <stp>12/31/2018</stp>
        <tr r="M1028" s="1"/>
      </tp>
      <tp>
        <v>47.183720707347099</v>
        <stp/>
        <stp>EM_S_VAL_PETTMDEDUCTED</stp>
        <stp>2</stp>
        <stp>300455</stp>
        <stp>12/31/2018</stp>
        <tr r="M388" s="1"/>
      </tp>
      <tp>
        <v>-163.07647768733599</v>
        <stp/>
        <stp>EM_S_VAL_PETTMDEDUCTED</stp>
        <stp>2</stp>
        <stp>600405</stp>
        <stp>12/31/2018</stp>
        <tr r="M1472" s="1"/>
      </tp>
      <tp>
        <v>33.388447894783901</v>
        <stp/>
        <stp>EM_S_VAL_PETTMDEDUCTED</stp>
        <stp>2</stp>
        <stp>300452</stp>
        <stp>12/31/2018</stp>
        <tr r="M1739" s="1"/>
      </tp>
      <tp>
        <v>53.581225968443903</v>
        <stp/>
        <stp>EM_S_VAL_PETTMDEDUCTED</stp>
        <stp>2</stp>
        <stp>300453</stp>
        <stp>12/31/2018</stp>
        <tr r="M3248" s="1"/>
      </tp>
      <tp>
        <v>11.203432309762899</v>
        <stp/>
        <stp>EM_S_VAL_PETTMDEDUCTED</stp>
        <stp>2</stp>
        <stp>600403</stp>
        <stp>12/31/2018</stp>
        <tr r="M1468" s="1"/>
      </tp>
      <tp>
        <v>32.154164434579798</v>
        <stp/>
        <stp>EM_S_VAL_PETTMDEDUCTED</stp>
        <stp>2</stp>
        <stp>300450</stp>
        <stp>12/31/2018</stp>
        <tr r="M468" s="1"/>
      </tp>
      <tp>
        <v>52.4622729552365</v>
        <stp/>
        <stp>EM_S_VAL_PETTMDEDUCTED</stp>
        <stp>2</stp>
        <stp>600400</stp>
        <stp>12/31/2018</stp>
        <tr r="M2812" s="1"/>
      </tp>
      <tp>
        <v>49.794227525179103</v>
        <stp/>
        <stp>EM_S_VAL_PETTMDEDUCTED</stp>
        <stp>2</stp>
        <stp>300451</stp>
        <stp>12/31/2018</stp>
        <tr r="M2693" s="1"/>
      </tp>
      <tp>
        <v>-1.91044288447378</v>
        <stp/>
        <stp>EM_S_VAL_PETTMDEDUCTED</stp>
        <stp>2</stp>
        <stp>600401</stp>
        <stp>12/31/2018</stp>
        <tr r="M3407" s="1"/>
      </tp>
      <tp>
        <v>12.110012448881401</v>
        <stp/>
        <stp>EM_S_VAL_PETTMDEDUCTED</stp>
        <stp>2</stp>
        <stp>000598</stp>
        <stp>12/31/2018</stp>
        <tr r="M1507" s="1"/>
      </tp>
      <tp>
        <v>-36.835110790257303</v>
        <stp/>
        <stp>EM_S_VAL_PETTMDEDUCTED</stp>
        <stp>2</stp>
        <stp>000599</stp>
        <stp>12/31/2018</stp>
        <tr r="M3476" s="1"/>
      </tp>
      <tp>
        <v>17.422578766647401</v>
        <stp/>
        <stp>EM_S_VAL_PETTMDEDUCTED</stp>
        <stp>2</stp>
        <stp>000596</stp>
        <stp>12/31/2018</stp>
        <tr r="M77" s="1"/>
      </tp>
      <tp>
        <v>32.020497220007201</v>
        <stp/>
        <stp>EM_S_VAL_PETTMDEDUCTED</stp>
        <stp>2</stp>
        <stp>000597</stp>
        <stp>12/31/2018</stp>
        <tr r="M3256" s="1"/>
      </tp>
      <tp>
        <v>-61.578008849801101</v>
        <stp/>
        <stp>EM_S_VAL_PETTMDEDUCTED</stp>
        <stp>2</stp>
        <stp>000594</stp>
        <stp>12/31/2018</stp>
        <tr r="M3474" s="1"/>
      </tp>
      <tp>
        <v>-30.395218370509301</v>
        <stp/>
        <stp>EM_S_VAL_PETTMDEDUCTED</stp>
        <stp>2</stp>
        <stp>000595</stp>
        <stp>12/31/2018</stp>
        <tr r="M3475" s="1"/>
      </tp>
      <tp>
        <v>-194.48349343790599</v>
        <stp/>
        <stp>EM_S_VAL_PETTMDEDUCTED</stp>
        <stp>2</stp>
        <stp>000592</stp>
        <stp>12/31/2018</stp>
        <tr r="M1951" s="1"/>
      </tp>
      <tp>
        <v>66.360028887951998</v>
        <stp/>
        <stp>EM_S_VAL_PETTMDEDUCTED</stp>
        <stp>2</stp>
        <stp>000593</stp>
        <stp>12/31/2018</stp>
        <tr r="M3473" s="1"/>
      </tp>
      <tp>
        <v>-139.001351390889</v>
        <stp/>
        <stp>EM_S_VAL_PETTMDEDUCTED</stp>
        <stp>2</stp>
        <stp>000590</stp>
        <stp>12/31/2018</stp>
        <tr r="M3472" s="1"/>
      </tp>
      <tp>
        <v>11.141059088647699</v>
        <stp/>
        <stp>EM_S_VAL_PETTMDEDUCTED</stp>
        <stp>2</stp>
        <stp>000591</stp>
        <stp>12/31/2018</stp>
        <tr r="M1170" s="1"/>
      </tp>
      <tp>
        <v>169.495006610947</v>
        <stp/>
        <stp>EM_S_VAL_PETTMDEDUCTED</stp>
        <stp>2</stp>
        <stp>000588</stp>
        <stp>12/31/2018</stp>
        <tr r="M3470" s="1"/>
      </tp>
      <tp>
        <v>-20.743536377073699</v>
        <stp/>
        <stp>EM_S_VAL_PETTMDEDUCTED</stp>
        <stp>2</stp>
        <stp>000589</stp>
        <stp>12/31/2018</stp>
        <tr r="M3471" s="1"/>
      </tp>
      <tp>
        <v>-315.08085110981398</v>
        <stp/>
        <stp>EM_S_VAL_PETTMDEDUCTED</stp>
        <stp>2</stp>
        <stp>000586</stp>
        <stp>12/31/2018</stp>
        <tr r="M3468" s="1"/>
      </tp>
      <tp>
        <v>50.541437426901297</v>
        <stp/>
        <stp>EM_S_VAL_PETTMDEDUCTED</stp>
        <stp>2</stp>
        <stp>000587</stp>
        <stp>12/31/2018</stp>
        <tr r="M3469" s="1"/>
      </tp>
      <tp>
        <v>58.913758450216498</v>
        <stp/>
        <stp>EM_S_VAL_PETTMDEDUCTED</stp>
        <stp>2</stp>
        <stp>000584</stp>
        <stp>12/31/2018</stp>
        <tr r="M2403" s="1"/>
      </tp>
      <tp>
        <v>-20.6888255175264</v>
        <stp/>
        <stp>EM_S_VAL_PETTMDEDUCTED</stp>
        <stp>2</stp>
        <stp>000585</stp>
        <stp>12/31/2018</stp>
        <tr r="M3467" s="1"/>
      </tp>
      <tp>
        <v>21.4598318898793</v>
        <stp/>
        <stp>EM_S_VAL_PETTMDEDUCTED</stp>
        <stp>2</stp>
        <stp>000582</stp>
        <stp>12/31/2018</stp>
        <tr r="M1167" s="1"/>
      </tp>
      <tp>
        <v>-9.4934623747962199</v>
        <stp/>
        <stp>EM_S_VAL_PETTMDEDUCTED</stp>
        <stp>2</stp>
        <stp>000583</stp>
        <stp>12/31/2018</stp>
        <tr r="M3466" s="1"/>
      </tp>
      <tp>
        <v>7.2301719158397004</v>
        <stp/>
        <stp>EM_S_VAL_PETTMDEDUCTED</stp>
        <stp>2</stp>
        <stp>000581</stp>
        <stp>12/31/2018</stp>
        <tr r="M3465" s="1"/>
      </tp>
      <tp>
        <v>43.024747746714297</v>
        <stp/>
        <stp>EM_S_VAL_PETTMDEDUCTED</stp>
        <stp>2</stp>
        <stp>300588</stp>
        <stp>12/31/2018</stp>
        <tr r="M2696" s="1"/>
      </tp>
      <tp>
        <v>86.745279602634099</v>
        <stp/>
        <stp>EM_S_VAL_PETTMDEDUCTED</stp>
        <stp>2</stp>
        <stp>300589</stp>
        <stp>12/31/2018</stp>
        <tr r="M1439" s="1"/>
      </tp>
      <tp>
        <v>54.714418484794599</v>
        <stp/>
        <stp>EM_S_VAL_PETTMDEDUCTED</stp>
        <stp>2</stp>
        <stp>300586</stp>
        <stp>12/31/2018</stp>
        <tr r="M117" s="1"/>
      </tp>
      <tp>
        <v>30.9983680695413</v>
        <stp/>
        <stp>EM_S_VAL_PETTMDEDUCTED</stp>
        <stp>2</stp>
        <stp>300587</stp>
        <stp>12/31/2018</stp>
        <tr r="M2762" s="1"/>
      </tp>
      <tp>
        <v>37.3840326333398</v>
        <stp/>
        <stp>EM_S_VAL_PETTMDEDUCTED</stp>
        <stp>2</stp>
        <stp>300584</stp>
        <stp>12/31/2018</stp>
        <tr r="M1602" s="1"/>
      </tp>
      <tp>
        <v>35.765231841012103</v>
        <stp/>
        <stp>EM_S_VAL_PETTMDEDUCTED</stp>
        <stp>2</stp>
        <stp>300585</stp>
        <stp>12/31/2018</stp>
        <tr r="M290" s="1"/>
      </tp>
      <tp>
        <v>41.693253204355798</v>
        <stp/>
        <stp>EM_S_VAL_PETTMDEDUCTED</stp>
        <stp>2</stp>
        <stp>300582</stp>
        <stp>12/31/2018</stp>
        <tr r="M1308" s="1"/>
      </tp>
      <tp>
        <v>29.0664990044258</v>
        <stp/>
        <stp>EM_S_VAL_PETTMDEDUCTED</stp>
        <stp>2</stp>
        <stp>300583</stp>
        <stp>12/31/2018</stp>
        <tr r="M2080" s="1"/>
      </tp>
      <tp>
        <v>19.0114884450403</v>
        <stp/>
        <stp>EM_S_VAL_PETTMDEDUCTED</stp>
        <stp>2</stp>
        <stp>300580</stp>
        <stp>12/31/2018</stp>
        <tr r="M1402" s="1"/>
      </tp>
      <tp>
        <v>64.546456446015796</v>
        <stp/>
        <stp>EM_S_VAL_PETTMDEDUCTED</stp>
        <stp>2</stp>
        <stp>300581</stp>
        <stp>12/31/2018</stp>
        <tr r="M989" s="1"/>
      </tp>
      <tp>
        <v>193.230765689924</v>
        <stp/>
        <stp>EM_S_VAL_PETTMDEDUCTED</stp>
        <stp>2</stp>
        <stp>300598</stp>
        <stp>12/31/2018</stp>
        <tr r="M16" s="1"/>
      </tp>
      <tp>
        <v>16.580600561017</v>
        <stp/>
        <stp>EM_S_VAL_PETTMDEDUCTED</stp>
        <stp>2</stp>
        <stp>300599</stp>
        <stp>12/31/2018</stp>
        <tr r="M2093" s="1"/>
      </tp>
      <tp>
        <v>32.337343238846501</v>
        <stp/>
        <stp>EM_S_VAL_PETTMDEDUCTED</stp>
        <stp>2</stp>
        <stp>300596</stp>
        <stp>12/31/2018</stp>
        <tr r="M1350" s="1"/>
      </tp>
      <tp>
        <v>112.729714503452</v>
        <stp/>
        <stp>EM_S_VAL_PETTMDEDUCTED</stp>
        <stp>2</stp>
        <stp>300597</stp>
        <stp>12/31/2018</stp>
        <tr r="M3046" s="1"/>
      </tp>
      <tp>
        <v>49.313796479764399</v>
        <stp/>
        <stp>EM_S_VAL_PETTMDEDUCTED</stp>
        <stp>2</stp>
        <stp>300595</stp>
        <stp>12/31/2018</stp>
        <tr r="M1286" s="1"/>
      </tp>
      <tp>
        <v>45.843740100760201</v>
        <stp/>
        <stp>EM_S_VAL_PETTMDEDUCTED</stp>
        <stp>2</stp>
        <stp>300592</stp>
        <stp>12/31/2018</stp>
        <tr r="M1026" s="1"/>
      </tp>
      <tp>
        <v>58.639250695350697</v>
        <stp/>
        <stp>EM_S_VAL_PETTMDEDUCTED</stp>
        <stp>2</stp>
        <stp>300593</stp>
        <stp>12/31/2018</stp>
        <tr r="M1675" s="1"/>
      </tp>
      <tp>
        <v>39.402498789577699</v>
        <stp/>
        <stp>EM_S_VAL_PETTMDEDUCTED</stp>
        <stp>2</stp>
        <stp>300590</stp>
        <stp>12/31/2018</stp>
        <tr r="M609" s="1"/>
      </tp>
      <tp>
        <v>74.374298865476106</v>
        <stp/>
        <stp>EM_S_VAL_PETTMDEDUCTED</stp>
        <stp>2</stp>
        <stp>300591</stp>
        <stp>12/31/2018</stp>
        <tr r="M2386" s="1"/>
      </tp>
      <tp>
        <v>15.562004865948801</v>
        <stp/>
        <stp>EM_S_VAL_PETTMDEDUCTED</stp>
        <stp>2</stp>
        <stp>600598</stp>
        <stp>12/31/2018</stp>
        <tr r="M1569" s="1"/>
      </tp>
      <tp>
        <v>54.532031251683001</v>
        <stp/>
        <stp>EM_S_VAL_PETTMDEDUCTED</stp>
        <stp>2</stp>
        <stp>600599</stp>
        <stp>12/31/2018</stp>
        <tr r="M2128" s="1"/>
      </tp>
      <tp>
        <v>6.2426776214862301</v>
        <stp/>
        <stp>EM_S_VAL_PETTMDEDUCTED</stp>
        <stp>2</stp>
        <stp>600596</stp>
        <stp>12/31/2018</stp>
        <tr r="M2764" s="1"/>
      </tp>
      <tp>
        <v>22.531281990246999</v>
        <stp/>
        <stp>EM_S_VAL_PETTMDEDUCTED</stp>
        <stp>2</stp>
        <stp>600597</stp>
        <stp>12/31/2018</stp>
        <tr r="M587" s="1"/>
      </tp>
      <tp>
        <v>19.953179185830699</v>
        <stp/>
        <stp>EM_S_VAL_PETTMDEDUCTED</stp>
        <stp>2</stp>
        <stp>600594</stp>
        <stp>12/31/2018</stp>
        <tr r="M2856" s="1"/>
      </tp>
      <tp>
        <v>-4.9366675629106096</v>
        <stp/>
        <stp>EM_S_VAL_PETTMDEDUCTED</stp>
        <stp>2</stp>
        <stp>600595</stp>
        <stp>12/31/2018</stp>
        <tr r="M1620" s="1"/>
      </tp>
      <tp>
        <v>39.891012606414101</v>
        <stp/>
        <stp>EM_S_VAL_PETTMDEDUCTED</stp>
        <stp>2</stp>
        <stp>600592</stp>
        <stp>12/31/2018</stp>
        <tr r="M53" s="1"/>
      </tp>
      <tp>
        <v>63.894447952231502</v>
        <stp/>
        <stp>EM_S_VAL_PETTMDEDUCTED</stp>
        <stp>2</stp>
        <stp>600593</stp>
        <stp>12/31/2018</stp>
        <tr r="M387" s="1"/>
      </tp>
      <tp>
        <v>17.5864056530143</v>
        <stp/>
        <stp>EM_S_VAL_PETTMDEDUCTED</stp>
        <stp>2</stp>
        <stp>600590</stp>
        <stp>12/31/2018</stp>
        <tr r="M1835" s="1"/>
      </tp>
      <tp>
        <v>-6.8808278276849597</v>
        <stp/>
        <stp>EM_S_VAL_PETTMDEDUCTED</stp>
        <stp>2</stp>
        <stp>600591</stp>
        <stp>12/31/2018</stp>
        <tr r="M2305" s="1"/>
      </tp>
      <tp>
        <v>55.250508769008398</v>
        <stp/>
        <stp>EM_S_VAL_PETTMDEDUCTED</stp>
        <stp>2</stp>
        <stp>600588</stp>
        <stp>12/31/2018</stp>
        <tr r="M868" s="1"/>
      </tp>
      <tp>
        <v>20.607238730132401</v>
        <stp/>
        <stp>EM_S_VAL_PETTMDEDUCTED</stp>
        <stp>2</stp>
        <stp>600589</stp>
        <stp>12/31/2018</stp>
        <tr r="M818" s="1"/>
      </tp>
      <tp>
        <v>11.7307165752326</v>
        <stp/>
        <stp>EM_S_VAL_PETTMDEDUCTED</stp>
        <stp>2</stp>
        <stp>600586</stp>
        <stp>12/31/2018</stp>
        <tr r="M2118" s="1"/>
      </tp>
      <tp>
        <v>113.737203443037</v>
        <stp/>
        <stp>EM_S_VAL_PETTMDEDUCTED</stp>
        <stp>2</stp>
        <stp>600587</stp>
        <stp>12/31/2018</stp>
        <tr r="M1818" s="1"/>
      </tp>
      <tp>
        <v>-450.49469396518799</v>
        <stp/>
        <stp>EM_S_VAL_PETTMDEDUCTED</stp>
        <stp>2</stp>
        <stp>600584</stp>
        <stp>12/31/2018</stp>
        <tr r="M62" s="1"/>
      </tp>
      <tp>
        <v>5.9183879786581697</v>
        <stp/>
        <stp>EM_S_VAL_PETTMDEDUCTED</stp>
        <stp>2</stp>
        <stp>600585</stp>
        <stp>12/31/2018</stp>
        <tr r="M248" s="1"/>
      </tp>
      <tp>
        <v>13.0097878129032</v>
        <stp/>
        <stp>EM_S_VAL_PETTMDEDUCTED</stp>
        <stp>2</stp>
        <stp>600582</stp>
        <stp>12/31/2018</stp>
        <tr r="M2641" s="1"/>
      </tp>
      <tp>
        <v>-122.468885192179</v>
        <stp/>
        <stp>EM_S_VAL_PETTMDEDUCTED</stp>
        <stp>2</stp>
        <stp>600583</stp>
        <stp>12/31/2018</stp>
        <tr r="M616" s="1"/>
      </tp>
      <tp>
        <v>18.180197416223901</v>
        <stp/>
        <stp>EM_S_VAL_PETTMDEDUCTED</stp>
        <stp>2</stp>
        <stp>600580</stp>
        <stp>12/31/2018</stp>
        <tr r="M186" s="1"/>
      </tp>
      <tp>
        <v>6.2411985743035796</v>
        <stp/>
        <stp>EM_S_VAL_PETTMDEDUCTED</stp>
        <stp>2</stp>
        <stp>600581</stp>
        <stp>12/31/2018</stp>
        <tr r="M2480" s="1"/>
      </tp>
      <tp>
        <v>-106.86600300095</v>
        <stp/>
        <stp>EM_S_VAL_PETTMDEDUCTED</stp>
        <stp>2</stp>
        <stp>000518</stp>
        <stp>12/31/2018</stp>
        <tr r="M3441" s="1"/>
      </tp>
      <tp>
        <v>34.333575380553697</v>
        <stp/>
        <stp>EM_S_VAL_PETTMDEDUCTED</stp>
        <stp>2</stp>
        <stp>300528</stp>
        <stp>12/31/2018</stp>
        <tr r="M3044" s="1"/>
      </tp>
      <tp>
        <v>23.115743817923601</v>
        <stp/>
        <stp>EM_S_VAL_PETTMDEDUCTED</stp>
        <stp>2</stp>
        <stp>600578</stp>
        <stp>12/31/2018</stp>
        <tr r="M1962" s="1"/>
      </tp>
      <tp>
        <v>25.145064741279501</v>
        <stp/>
        <stp>EM_S_VAL_PETTMDEDUCTED</stp>
        <stp>2</stp>
        <stp>000519</stp>
        <stp>12/31/2018</stp>
        <tr r="M1223" s="1"/>
      </tp>
      <tp>
        <v>52.638060377796698</v>
        <stp/>
        <stp>EM_S_VAL_PETTMDEDUCTED</stp>
        <stp>2</stp>
        <stp>300529</stp>
        <stp>12/31/2018</stp>
        <tr r="M323" s="1"/>
      </tp>
      <tp>
        <v>-154.518827413753</v>
        <stp/>
        <stp>EM_S_VAL_PETTMDEDUCTED</stp>
        <stp>2</stp>
        <stp>600579</stp>
        <stp>12/31/2018</stp>
        <tr r="M3071" s="1"/>
      </tp>
      <tp>
        <v>157.84620661648401</v>
        <stp/>
        <stp>EM_S_VAL_PETTMDEDUCTED</stp>
        <stp>2</stp>
        <stp>000516</stp>
        <stp>12/31/2018</stp>
        <tr r="M3439" s="1"/>
      </tp>
      <tp>
        <v>84.985457058006006</v>
        <stp/>
        <stp>EM_S_VAL_PETTMDEDUCTED</stp>
        <stp>2</stp>
        <stp>300526</stp>
        <stp>12/31/2018</stp>
        <tr r="M21" s="1"/>
      </tp>
      <tp>
        <v>186.15070833977799</v>
        <stp/>
        <stp>EM_S_VAL_PETTMDEDUCTED</stp>
        <stp>2</stp>
        <stp>600576</stp>
        <stp>12/31/2018</stp>
        <tr r="M1411" s="1"/>
      </tp>
      <tp>
        <v>17.4251087436745</v>
        <stp/>
        <stp>EM_S_VAL_PETTMDEDUCTED</stp>
        <stp>2</stp>
        <stp>000517</stp>
        <stp>12/31/2018</stp>
        <tr r="M3440" s="1"/>
      </tp>
      <tp>
        <v>31.390030512291201</v>
        <stp/>
        <stp>EM_S_VAL_PETTMDEDUCTED</stp>
        <stp>2</stp>
        <stp>300527</stp>
        <stp>12/31/2018</stp>
        <tr r="M365" s="1"/>
      </tp>
      <tp>
        <v>17.223461412288501</v>
        <stp/>
        <stp>EM_S_VAL_PETTMDEDUCTED</stp>
        <stp>2</stp>
        <stp>600577</stp>
        <stp>12/31/2018</stp>
        <tr r="M2701" s="1"/>
      </tp>
      <tp>
        <v>102.423152891819</v>
        <stp/>
        <stp>EM_S_VAL_PETTMDEDUCTED</stp>
        <stp>2</stp>
        <stp>000514</stp>
        <stp>12/31/2018</stp>
        <tr r="M3437" s="1"/>
      </tp>
      <tp>
        <v>-26.9975999843026</v>
        <stp/>
        <stp>EM_S_VAL_PETTMDEDUCTED</stp>
        <stp>2</stp>
        <stp>000515</stp>
        <stp>12/31/2018</stp>
        <tr r="M3438" s="1"/>
      </tp>
      <tp>
        <v>71.665927384904506</v>
        <stp/>
        <stp>EM_S_VAL_PETTMDEDUCTED</stp>
        <stp>2</stp>
        <stp>300525</stp>
        <stp>12/31/2018</stp>
        <tr r="M381" s="1"/>
      </tp>
      <tp>
        <v>37.7914427575556</v>
        <stp/>
        <stp>EM_S_VAL_PETTMDEDUCTED</stp>
        <stp>2</stp>
        <stp>600575</stp>
        <stp>12/31/2018</stp>
        <tr r="M1229" s="1"/>
      </tp>
      <tp>
        <v>35.409505740305399</v>
        <stp/>
        <stp>EM_S_VAL_PETTMDEDUCTED</stp>
        <stp>2</stp>
        <stp>300522</stp>
        <stp>12/31/2018</stp>
        <tr r="M1837" s="1"/>
      </tp>
      <tp>
        <v>19.084133722504099</v>
        <stp/>
        <stp>EM_S_VAL_PETTMDEDUCTED</stp>
        <stp>2</stp>
        <stp>600572</stp>
        <stp>12/31/2018</stp>
        <tr r="M2179" s="1"/>
      </tp>
      <tp>
        <v>19.310738138172901</v>
        <stp/>
        <stp>EM_S_VAL_PETTMDEDUCTED</stp>
        <stp>2</stp>
        <stp>000513</stp>
        <stp>12/31/2018</stp>
        <tr r="M913" s="1"/>
      </tp>
      <tp>
        <v>52.618393904358697</v>
        <stp/>
        <stp>EM_S_VAL_PETTMDEDUCTED</stp>
        <stp>2</stp>
        <stp>300523</stp>
        <stp>12/31/2018</stp>
        <tr r="M3143" s="1"/>
      </tp>
      <tp>
        <v>-205.272682286117</v>
        <stp/>
        <stp>EM_S_VAL_PETTMDEDUCTED</stp>
        <stp>2</stp>
        <stp>600573</stp>
        <stp>12/31/2018</stp>
        <tr r="M2085" s="1"/>
      </tp>
      <tp>
        <v>21.639911063481001</v>
        <stp/>
        <stp>EM_S_VAL_PETTMDEDUCTED</stp>
        <stp>2</stp>
        <stp>000510</stp>
        <stp>12/31/2018</stp>
        <tr r="M1993" s="1"/>
      </tp>
      <tp>
        <v>94.597664428141996</v>
        <stp/>
        <stp>EM_S_VAL_PETTMDEDUCTED</stp>
        <stp>2</stp>
        <stp>300520</stp>
        <stp>12/31/2018</stp>
        <tr r="M1078" s="1"/>
      </tp>
      <tp>
        <v>116.890756100554</v>
        <stp/>
        <stp>EM_S_VAL_PETTMDEDUCTED</stp>
        <stp>2</stp>
        <stp>600570</stp>
        <stp>12/31/2018</stp>
        <tr r="M583" s="1"/>
      </tp>
      <tp>
        <v>3.32933225563887</v>
        <stp/>
        <stp>EM_S_VAL_PETTMDEDUCTED</stp>
        <stp>2</stp>
        <stp>000511</stp>
        <stp>12/31/2018</stp>
        <tr r="M3436" s="1"/>
      </tp>
      <tp>
        <v>60.903844674563402</v>
        <stp/>
        <stp>EM_S_VAL_PETTMDEDUCTED</stp>
        <stp>2</stp>
        <stp>300521</stp>
        <stp>12/31/2018</stp>
        <tr r="M1258" s="1"/>
      </tp>
      <tp>
        <v>-8.8210155315313106</v>
        <stp/>
        <stp>EM_S_VAL_PETTMDEDUCTED</stp>
        <stp>2</stp>
        <stp>600571</stp>
        <stp>12/31/2018</stp>
        <tr r="M555" s="1"/>
      </tp>
      <tp>
        <v>0</v>
        <stp/>
        <stp>EM_S_VAL_PETTMDEDUCTED</stp>
        <stp>2</stp>
        <stp>000508</stp>
        <stp>12/31/2018</stp>
        <tr r="M3434" s="1"/>
      </tp>
      <tp>
        <v>60.370981172973998</v>
        <stp/>
        <stp>EM_S_VAL_PETTMDEDUCTED</stp>
        <stp>2</stp>
        <stp>300538</stp>
        <stp>12/31/2018</stp>
        <tr r="M2971" s="1"/>
      </tp>
      <tp>
        <v>-42.1337150069429</v>
        <stp/>
        <stp>EM_S_VAL_PETTMDEDUCTED</stp>
        <stp>2</stp>
        <stp>600568</stp>
        <stp>12/31/2018</stp>
        <tr r="M3135" s="1"/>
      </tp>
      <tp>
        <v>-59.509696070483898</v>
        <stp/>
        <stp>EM_S_VAL_PETTMDEDUCTED</stp>
        <stp>2</stp>
        <stp>000509</stp>
        <stp>12/31/2018</stp>
        <tr r="M3435" s="1"/>
      </tp>
      <tp>
        <v>130.198066460798</v>
        <stp/>
        <stp>EM_S_VAL_PETTMDEDUCTED</stp>
        <stp>2</stp>
        <stp>300539</stp>
        <stp>12/31/2018</stp>
        <tr r="M2767" s="1"/>
      </tp>
      <tp>
        <v>3.3028424810384198</v>
        <stp/>
        <stp>EM_S_VAL_PETTMDEDUCTED</stp>
        <stp>2</stp>
        <stp>600569</stp>
        <stp>12/31/2018</stp>
        <tr r="M3012" s="1"/>
      </tp>
      <tp>
        <v>-7.0928528131008601</v>
        <stp/>
        <stp>EM_S_VAL_PETTMDEDUCTED</stp>
        <stp>2</stp>
        <stp>000506</stp>
        <stp>12/31/2018</stp>
        <tr r="M3433" s="1"/>
      </tp>
      <tp>
        <v>27.566166441369301</v>
        <stp/>
        <stp>EM_S_VAL_PETTMDEDUCTED</stp>
        <stp>2</stp>
        <stp>300536</stp>
        <stp>12/31/2018</stp>
        <tr r="M2931" s="1"/>
      </tp>
      <tp>
        <v>17.812501180356101</v>
        <stp/>
        <stp>EM_S_VAL_PETTMDEDUCTED</stp>
        <stp>2</stp>
        <stp>600566</stp>
        <stp>12/31/2018</stp>
        <tr r="M3221" s="1"/>
      </tp>
      <tp>
        <v>33.395910378870703</v>
        <stp/>
        <stp>EM_S_VAL_PETTMDEDUCTED</stp>
        <stp>2</stp>
        <stp>000507</stp>
        <stp>12/31/2018</stp>
        <tr r="M2637" s="1"/>
      </tp>
      <tp>
        <v>35.752693556412098</v>
        <stp/>
        <stp>EM_S_VAL_PETTMDEDUCTED</stp>
        <stp>2</stp>
        <stp>300537</stp>
        <stp>12/31/2018</stp>
        <tr r="M142" s="1"/>
      </tp>
      <tp>
        <v>5.6246939425447904</v>
        <stp/>
        <stp>EM_S_VAL_PETTMDEDUCTED</stp>
        <stp>2</stp>
        <stp>600567</stp>
        <stp>12/31/2018</stp>
        <tr r="M1183" s="1"/>
      </tp>
      <tp>
        <v>-100.00044612845601</v>
        <stp/>
        <stp>EM_S_VAL_PETTMDEDUCTED</stp>
        <stp>2</stp>
        <stp>000504</stp>
        <stp>12/31/2018</stp>
        <tr r="M3431" s="1"/>
      </tp>
      <tp>
        <v>148.354695461029</v>
        <stp/>
        <stp>EM_S_VAL_PETTMDEDUCTED</stp>
        <stp>2</stp>
        <stp>300534</stp>
        <stp>12/31/2018</stp>
        <tr r="M2141" s="1"/>
      </tp>
      <tp>
        <v>22.276184385634</v>
        <stp/>
        <stp>EM_S_VAL_PETTMDEDUCTED</stp>
        <stp>2</stp>
        <stp>000505</stp>
        <stp>12/31/2018</stp>
        <tr r="M3432" s="1"/>
      </tp>
      <tp>
        <v>36.5248548381973</v>
        <stp/>
        <stp>EM_S_VAL_PETTMDEDUCTED</stp>
        <stp>2</stp>
        <stp>300535</stp>
        <stp>12/31/2018</stp>
        <tr r="M1948" s="1"/>
      </tp>
      <tp>
        <v>12.278646387729699</v>
        <stp/>
        <stp>EM_S_VAL_PETTMDEDUCTED</stp>
        <stp>2</stp>
        <stp>600565</stp>
        <stp>12/31/2018</stp>
        <tr r="M845" s="1"/>
      </tp>
      <tp>
        <v>-21.190788472571899</v>
        <stp/>
        <stp>EM_S_VAL_PETTMDEDUCTED</stp>
        <stp>2</stp>
        <stp>000502</stp>
        <stp>12/31/2018</stp>
        <tr r="M3429" s="1"/>
      </tp>
      <tp>
        <v>60.549097096891998</v>
        <stp/>
        <stp>EM_S_VAL_PETTMDEDUCTED</stp>
        <stp>2</stp>
        <stp>300532</stp>
        <stp>12/31/2018</stp>
        <tr r="M1967" s="1"/>
      </tp>
      <tp>
        <v>125.627703207618</v>
        <stp/>
        <stp>EM_S_VAL_PETTMDEDUCTED</stp>
        <stp>2</stp>
        <stp>600562</stp>
        <stp>12/31/2018</stp>
        <tr r="M1682" s="1"/>
      </tp>
      <tp>
        <v>-64.658043676415502</v>
        <stp/>
        <stp>EM_S_VAL_PETTMDEDUCTED</stp>
        <stp>2</stp>
        <stp>000503</stp>
        <stp>12/31/2018</stp>
        <tr r="M3430" s="1"/>
      </tp>
      <tp>
        <v>38.0921163054321</v>
        <stp/>
        <stp>EM_S_VAL_PETTMDEDUCTED</stp>
        <stp>2</stp>
        <stp>300533</stp>
        <stp>12/31/2018</stp>
        <tr r="M687" s="1"/>
      </tp>
      <tp>
        <v>21.7119293676237</v>
        <stp/>
        <stp>EM_S_VAL_PETTMDEDUCTED</stp>
        <stp>2</stp>
        <stp>600563</stp>
        <stp>12/31/2018</stp>
        <tr r="M1335" s="1"/>
      </tp>
      <tp>
        <v>62.508068175026899</v>
        <stp/>
        <stp>EM_S_VAL_PETTMDEDUCTED</stp>
        <stp>2</stp>
        <stp>300530</stp>
        <stp>12/31/2018</stp>
        <tr r="M1349" s="1"/>
      </tp>
      <tp>
        <v>115.12518356948</v>
        <stp/>
        <stp>EM_S_VAL_PETTMDEDUCTED</stp>
        <stp>2</stp>
        <stp>600560</stp>
        <stp>12/31/2018</stp>
        <tr r="M1883" s="1"/>
      </tp>
      <tp>
        <v>6.4643677678153901</v>
        <stp/>
        <stp>EM_S_VAL_PETTMDEDUCTED</stp>
        <stp>2</stp>
        <stp>000501</stp>
        <stp>12/31/2018</stp>
        <tr r="M3428" s="1"/>
      </tp>
      <tp>
        <v>50.832274064924597</v>
        <stp/>
        <stp>EM_S_VAL_PETTMDEDUCTED</stp>
        <stp>2</stp>
        <stp>300531</stp>
        <stp>12/31/2018</stp>
        <tr r="M2481" s="1"/>
      </tp>
      <tp>
        <v>-20.371899140387601</v>
        <stp/>
        <stp>EM_S_VAL_PETTMDEDUCTED</stp>
        <stp>2</stp>
        <stp>600561</stp>
        <stp>12/31/2018</stp>
        <tr r="M1927" s="1"/>
      </tp>
      <tp>
        <v>27.618607519738902</v>
        <stp/>
        <stp>EM_S_VAL_PETTMDEDUCTED</stp>
        <stp>2</stp>
        <stp>000538</stp>
        <stp>12/31/2018</stp>
        <tr r="M1317" s="1"/>
      </tp>
      <tp>
        <v>97.914259618281307</v>
        <stp/>
        <stp>EM_S_VAL_PETTMDEDUCTED</stp>
        <stp>2</stp>
        <stp>300508</stp>
        <stp>12/31/2018</stp>
        <tr r="M1385" s="1"/>
      </tp>
      <tp>
        <v>42.564550037816197</v>
        <stp/>
        <stp>EM_S_VAL_PETTMDEDUCTED</stp>
        <stp>2</stp>
        <stp>600558</stp>
        <stp>12/31/2018</stp>
        <tr r="M2115" s="1"/>
      </tp>
      <tp>
        <v>30.244759361809098</v>
        <stp/>
        <stp>EM_S_VAL_PETTMDEDUCTED</stp>
        <stp>2</stp>
        <stp>000539</stp>
        <stp>12/31/2018</stp>
        <tr r="M2832" s="1"/>
      </tp>
      <tp>
        <v>38.3243644073372</v>
        <stp/>
        <stp>EM_S_VAL_PETTMDEDUCTED</stp>
        <stp>2</stp>
        <stp>300509</stp>
        <stp>12/31/2018</stp>
        <tr r="M3148" s="1"/>
      </tp>
      <tp>
        <v>30.822884968208999</v>
        <stp/>
        <stp>EM_S_VAL_PETTMDEDUCTED</stp>
        <stp>2</stp>
        <stp>600559</stp>
        <stp>12/31/2018</stp>
        <tr r="M2704" s="1"/>
      </tp>
      <tp>
        <v>-6.1467820906497401</v>
        <stp/>
        <stp>EM_S_VAL_PETTMDEDUCTED</stp>
        <stp>2</stp>
        <stp>000536</stp>
        <stp>12/31/2018</stp>
        <tr r="M3447" s="1"/>
      </tp>
      <tp>
        <v>15.8822590099736</v>
        <stp/>
        <stp>EM_S_VAL_PETTMDEDUCTED</stp>
        <stp>2</stp>
        <stp>300506</stp>
        <stp>12/31/2018</stp>
        <tr r="M3320" s="1"/>
      </tp>
      <tp>
        <v>-262.65715743759199</v>
        <stp/>
        <stp>EM_S_VAL_PETTMDEDUCTED</stp>
        <stp>2</stp>
        <stp>600556</stp>
        <stp>12/31/2018</stp>
        <tr r="M210" s="1"/>
      </tp>
      <tp>
        <v>4.4795865923318301</v>
        <stp/>
        <stp>EM_S_VAL_PETTMDEDUCTED</stp>
        <stp>2</stp>
        <stp>000537</stp>
        <stp>12/31/2018</stp>
        <tr r="M2013" s="1"/>
      </tp>
      <tp>
        <v>24.9760293377267</v>
        <stp/>
        <stp>EM_S_VAL_PETTMDEDUCTED</stp>
        <stp>2</stp>
        <stp>300507</stp>
        <stp>12/31/2018</stp>
        <tr r="M3002" s="1"/>
      </tp>
      <tp>
        <v>17.081103514241502</v>
        <stp/>
        <stp>EM_S_VAL_PETTMDEDUCTED</stp>
        <stp>2</stp>
        <stp>600557</stp>
        <stp>12/31/2018</stp>
        <tr r="M737" s="1"/>
      </tp>
      <tp>
        <v>-21.478033662079</v>
        <stp/>
        <stp>EM_S_VAL_PETTMDEDUCTED</stp>
        <stp>2</stp>
        <stp>000534</stp>
        <stp>12/31/2018</stp>
        <tr r="M2858" s="1"/>
      </tp>
      <tp>
        <v>40.642769090703702</v>
        <stp/>
        <stp>EM_S_VAL_PETTMDEDUCTED</stp>
        <stp>2</stp>
        <stp>300504</stp>
        <stp>12/31/2018</stp>
        <tr r="M2863" s="1"/>
      </tp>
      <tp>
        <v>121.87351948418601</v>
        <stp/>
        <stp>EM_S_VAL_PETTMDEDUCTED</stp>
        <stp>2</stp>
        <stp>000535</stp>
        <stp>12/31/2018</stp>
        <tr r="M3446" s="1"/>
      </tp>
      <tp>
        <v>37.021973201837397</v>
        <stp/>
        <stp>EM_S_VAL_PETTMDEDUCTED</stp>
        <stp>2</stp>
        <stp>300505</stp>
        <stp>12/31/2018</stp>
        <tr r="M2103" s="1"/>
      </tp>
      <tp>
        <v>-33.626220742354299</v>
        <stp/>
        <stp>EM_S_VAL_PETTMDEDUCTED</stp>
        <stp>2</stp>
        <stp>600555</stp>
        <stp>12/31/2018</stp>
        <tr r="M3045" s="1"/>
      </tp>
      <tp>
        <v>80.837478524442702</v>
        <stp/>
        <stp>EM_S_VAL_PETTMDEDUCTED</stp>
        <stp>2</stp>
        <stp>000532</stp>
        <stp>12/31/2018</stp>
        <tr r="M1180" s="1"/>
      </tp>
      <tp>
        <v>495.245699125633</v>
        <stp/>
        <stp>EM_S_VAL_PETTMDEDUCTED</stp>
        <stp>2</stp>
        <stp>300502</stp>
        <stp>12/31/2018</stp>
        <tr r="M171" s="1"/>
      </tp>
      <tp>
        <v>-32.245320019361003</v>
        <stp/>
        <stp>EM_S_VAL_PETTMDEDUCTED</stp>
        <stp>2</stp>
        <stp>600552</stp>
        <stp>12/31/2018</stp>
        <tr r="M420" s="1"/>
      </tp>
      <tp>
        <v>-44.2094013307252</v>
        <stp/>
        <stp>EM_S_VAL_PETTMDEDUCTED</stp>
        <stp>2</stp>
        <stp>000533</stp>
        <stp>12/31/2018</stp>
        <tr r="M3445" s="1"/>
      </tp>
      <tp>
        <v>38.043403513732599</v>
        <stp/>
        <stp>EM_S_VAL_PETTMDEDUCTED</stp>
        <stp>2</stp>
        <stp>300503</stp>
        <stp>12/31/2018</stp>
        <tr r="M978" s="1"/>
      </tp>
      <tp>
        <v>58.552688316014297</v>
        <stp/>
        <stp>EM_S_VAL_PETTMDEDUCTED</stp>
        <stp>2</stp>
        <stp>600553</stp>
        <stp>12/31/2018</stp>
        <tr r="M2304" s="1"/>
      </tp>
      <tp>
        <v>24.013392182706198</v>
        <stp/>
        <stp>EM_S_VAL_PETTMDEDUCTED</stp>
        <stp>2</stp>
        <stp>000530</stp>
        <stp>12/31/2018</stp>
        <tr r="M3444" s="1"/>
      </tp>
      <tp>
        <v>36.8845089256112</v>
        <stp/>
        <stp>EM_S_VAL_PETTMDEDUCTED</stp>
        <stp>2</stp>
        <stp>300500</stp>
        <stp>12/31/2018</stp>
        <tr r="M3235" s="1"/>
      </tp>
      <tp>
        <v>-31.345372003533601</v>
        <stp/>
        <stp>EM_S_VAL_PETTMDEDUCTED</stp>
        <stp>2</stp>
        <stp>600550</stp>
        <stp>12/31/2018</stp>
        <tr r="M2983" s="1"/>
      </tp>
      <tp>
        <v>34.270144500524403</v>
        <stp/>
        <stp>EM_S_VAL_PETTMDEDUCTED</stp>
        <stp>2</stp>
        <stp>000531</stp>
        <stp>12/31/2018</stp>
        <tr r="M806" s="1"/>
      </tp>
      <tp>
        <v>27.850510895345501</v>
        <stp/>
        <stp>EM_S_VAL_PETTMDEDUCTED</stp>
        <stp>2</stp>
        <stp>300501</stp>
        <stp>12/31/2018</stp>
        <tr r="M3206" s="1"/>
      </tp>
      <tp>
        <v>69.290872922499503</v>
        <stp/>
        <stp>EM_S_VAL_PETTMDEDUCTED</stp>
        <stp>2</stp>
        <stp>600551</stp>
        <stp>12/31/2018</stp>
        <tr r="M2574" s="1"/>
      </tp>
      <tp>
        <v>13.745612965148799</v>
        <stp/>
        <stp>EM_S_VAL_PETTMDEDUCTED</stp>
        <stp>2</stp>
        <stp>000528</stp>
        <stp>12/31/2018</stp>
        <tr r="M1542" s="1"/>
      </tp>
      <tp>
        <v>-3515.31482866546</v>
        <stp/>
        <stp>EM_S_VAL_PETTMDEDUCTED</stp>
        <stp>2</stp>
        <stp>300518</stp>
        <stp>12/31/2018</stp>
        <tr r="M1346" s="1"/>
      </tp>
      <tp>
        <v>13.629099694256499</v>
        <stp/>
        <stp>EM_S_VAL_PETTMDEDUCTED</stp>
        <stp>2</stp>
        <stp>600548</stp>
        <stp>12/31/2018</stp>
        <tr r="M1053" s="1"/>
      </tp>
      <tp>
        <v>16.343284846533699</v>
        <stp/>
        <stp>EM_S_VAL_PETTMDEDUCTED</stp>
        <stp>2</stp>
        <stp>000529</stp>
        <stp>12/31/2018</stp>
        <tr r="M546" s="1"/>
      </tp>
      <tp>
        <v>24.253011075799201</v>
        <stp/>
        <stp>EM_S_VAL_PETTMDEDUCTED</stp>
        <stp>2</stp>
        <stp>300519</stp>
        <stp>12/31/2018</stp>
        <tr r="M2466" s="1"/>
      </tp>
      <tp>
        <v>54.488317805321103</v>
        <stp/>
        <stp>EM_S_VAL_PETTMDEDUCTED</stp>
        <stp>2</stp>
        <stp>600549</stp>
        <stp>12/31/2018</stp>
        <tr r="M1788" s="1"/>
      </tp>
      <tp>
        <v>316.89398902227202</v>
        <stp/>
        <stp>EM_S_VAL_PETTMDEDUCTED</stp>
        <stp>2</stp>
        <stp>000526</stp>
        <stp>12/31/2018</stp>
        <tr r="M325" s="1"/>
      </tp>
      <tp>
        <v>86.254257064439898</v>
        <stp/>
        <stp>EM_S_VAL_PETTMDEDUCTED</stp>
        <stp>2</stp>
        <stp>300516</stp>
        <stp>12/31/2018</stp>
        <tr r="M1820" s="1"/>
      </tp>
      <tp>
        <v>-6.04368981709713</v>
        <stp/>
        <stp>EM_S_VAL_PETTMDEDUCTED</stp>
        <stp>2</stp>
        <stp>600546</stp>
        <stp>12/31/2018</stp>
        <tr r="M191" s="1"/>
      </tp>
      <tp>
        <v>13.078139943685899</v>
        <stp/>
        <stp>EM_S_VAL_PETTMDEDUCTED</stp>
        <stp>2</stp>
        <stp>000527</stp>
        <stp>12/31/2018</stp>
        <tr r="M3443" s="1"/>
      </tp>
      <tp>
        <v>43.171009419528502</v>
        <stp/>
        <stp>EM_S_VAL_PETTMDEDUCTED</stp>
        <stp>2</stp>
        <stp>300517</stp>
        <stp>12/31/2018</stp>
        <tr r="M1512" s="1"/>
      </tp>
      <tp>
        <v>66.275941501589799</v>
        <stp/>
        <stp>EM_S_VAL_PETTMDEDUCTED</stp>
        <stp>2</stp>
        <stp>600547</stp>
        <stp>12/31/2018</stp>
        <tr r="M1942" s="1"/>
      </tp>
      <tp>
        <v>28.6416311716298</v>
        <stp/>
        <stp>EM_S_VAL_PETTMDEDUCTED</stp>
        <stp>2</stp>
        <stp>000524</stp>
        <stp>12/31/2018</stp>
        <tr r="M1832" s="1"/>
      </tp>
      <tp>
        <v>59.694898795493899</v>
        <stp/>
        <stp>EM_S_VAL_PETTMDEDUCTED</stp>
        <stp>2</stp>
        <stp>300514</stp>
        <stp>12/31/2018</stp>
        <tr r="M2250" s="1"/>
      </tp>
      <tp>
        <v>13.531020355940701</v>
        <stp/>
        <stp>EM_S_VAL_PETTMDEDUCTED</stp>
        <stp>2</stp>
        <stp>000525</stp>
        <stp>12/31/2018</stp>
        <tr r="M3231" s="1"/>
      </tp>
      <tp>
        <v>72.015664614716798</v>
        <stp/>
        <stp>EM_S_VAL_PETTMDEDUCTED</stp>
        <stp>2</stp>
        <stp>300515</stp>
        <stp>12/31/2018</stp>
        <tr r="M1615" s="1"/>
      </tp>
      <tp>
        <v>19.928442264439401</v>
        <stp/>
        <stp>EM_S_VAL_PETTMDEDUCTED</stp>
        <stp>2</stp>
        <stp>600545</stp>
        <stp>12/31/2018</stp>
        <tr r="M3035" s="1"/>
      </tp>
      <tp>
        <v>32.1579268291812</v>
        <stp/>
        <stp>EM_S_VAL_PETTMDEDUCTED</stp>
        <stp>2</stp>
        <stp>000522</stp>
        <stp>12/31/2018</stp>
        <tr r="M3442" s="1"/>
      </tp>
      <tp>
        <v>20.671089263312901</v>
        <stp/>
        <stp>EM_S_VAL_PETTMDEDUCTED</stp>
        <stp>2</stp>
        <stp>300512</stp>
        <stp>12/31/2018</stp>
        <tr r="M2554" s="1"/>
      </tp>
      <tp>
        <v>142.311317824464</v>
        <stp/>
        <stp>EM_S_VAL_PETTMDEDUCTED</stp>
        <stp>2</stp>
        <stp>000523</stp>
        <stp>12/31/2018</stp>
        <tr r="M204" s="1"/>
      </tp>
      <tp>
        <v>35.597822713798998</v>
        <stp/>
        <stp>EM_S_VAL_PETTMDEDUCTED</stp>
        <stp>2</stp>
        <stp>300513</stp>
        <stp>12/31/2018</stp>
        <tr r="M3312" s="1"/>
      </tp>
      <tp>
        <v>107.603201694053</v>
        <stp/>
        <stp>EM_S_VAL_PETTMDEDUCTED</stp>
        <stp>2</stp>
        <stp>600543</stp>
        <stp>12/31/2018</stp>
        <tr r="M2825" s="1"/>
      </tp>
      <tp>
        <v>39.896230879554501</v>
        <stp/>
        <stp>EM_S_VAL_PETTMDEDUCTED</stp>
        <stp>2</stp>
        <stp>000520</stp>
        <stp>12/31/2018</stp>
        <tr r="M641" s="1"/>
      </tp>
      <tp>
        <v>35.883590307817002</v>
        <stp/>
        <stp>EM_S_VAL_PETTMDEDUCTED</stp>
        <stp>2</stp>
        <stp>300510</stp>
        <stp>12/31/2018</stp>
        <tr r="M3188" s="1"/>
      </tp>
      <tp>
        <v>-36.5633151466972</v>
        <stp/>
        <stp>EM_S_VAL_PETTMDEDUCTED</stp>
        <stp>2</stp>
        <stp>600540</stp>
        <stp>12/31/2018</stp>
        <tr r="M1667" s="1"/>
      </tp>
      <tp>
        <v>-16.1029353706889</v>
        <stp/>
        <stp>EM_S_VAL_PETTMDEDUCTED</stp>
        <stp>2</stp>
        <stp>000521</stp>
        <stp>12/31/2018</stp>
        <tr r="M1492" s="1"/>
      </tp>
      <tp>
        <v>42.807761820855397</v>
        <stp/>
        <stp>EM_S_VAL_PETTMDEDUCTED</stp>
        <stp>2</stp>
        <stp>300511</stp>
        <stp>12/31/2018</stp>
        <tr r="M1595" s="1"/>
      </tp>
      <tp>
        <v>-41.288854483121099</v>
        <stp/>
        <stp>EM_S_VAL_PETTMDEDUCTED</stp>
        <stp>2</stp>
        <stp>000558</stp>
        <stp>12/31/2018</stp>
        <tr r="M3454" s="1"/>
      </tp>
      <tp>
        <v>42.997866943074101</v>
        <stp/>
        <stp>EM_S_VAL_PETTMDEDUCTED</stp>
        <stp>2</stp>
        <stp>300568</stp>
        <stp>12/31/2018</stp>
        <tr r="M800" s="1"/>
      </tp>
      <tp>
        <v>-121.082149853161</v>
        <stp/>
        <stp>EM_S_VAL_PETTMDEDUCTED</stp>
        <stp>2</stp>
        <stp>600538</stp>
        <stp>12/31/2018</stp>
        <tr r="M1379" s="1"/>
      </tp>
      <tp>
        <v>19.6680516311228</v>
        <stp/>
        <stp>EM_S_VAL_PETTMDEDUCTED</stp>
        <stp>2</stp>
        <stp>000559</stp>
        <stp>12/31/2018</stp>
        <tr r="M1985" s="1"/>
      </tp>
      <tp>
        <v>27.073804050809098</v>
        <stp/>
        <stp>EM_S_VAL_PETTMDEDUCTED</stp>
        <stp>2</stp>
        <stp>300569</stp>
        <stp>12/31/2018</stp>
        <tr r="M1506" s="1"/>
      </tp>
      <tp>
        <v>-24.454945389032201</v>
        <stp/>
        <stp>EM_S_VAL_PETTMDEDUCTED</stp>
        <stp>2</stp>
        <stp>600539</stp>
        <stp>12/31/2018</stp>
        <tr r="M1929" s="1"/>
      </tp>
      <tp>
        <v>41.070758081805799</v>
        <stp/>
        <stp>EM_S_VAL_PETTMDEDUCTED</stp>
        <stp>2</stp>
        <stp>000556</stp>
        <stp>12/31/2018</stp>
        <tr r="M3453" s="1"/>
      </tp>
      <tp>
        <v>63.580215186381203</v>
        <stp/>
        <stp>EM_S_VAL_PETTMDEDUCTED</stp>
        <stp>2</stp>
        <stp>300566</stp>
        <stp>12/31/2018</stp>
        <tr r="M215" s="1"/>
      </tp>
      <tp>
        <v>794.850931596485</v>
        <stp/>
        <stp>EM_S_VAL_PETTMDEDUCTED</stp>
        <stp>2</stp>
        <stp>600536</stp>
        <stp>12/31/2018</stp>
        <tr r="M32" s="1"/>
      </tp>
      <tp>
        <v>46.7990177321768</v>
        <stp/>
        <stp>EM_S_VAL_PETTMDEDUCTED</stp>
        <stp>2</stp>
        <stp>000557</stp>
        <stp>12/31/2018</stp>
        <tr r="M2277" s="1"/>
      </tp>
      <tp>
        <v>36.862209975500697</v>
        <stp/>
        <stp>EM_S_VAL_PETTMDEDUCTED</stp>
        <stp>2</stp>
        <stp>300567</stp>
        <stp>12/31/2018</stp>
        <tr r="M1721" s="1"/>
      </tp>
      <tp>
        <v>116.999499588104</v>
        <stp/>
        <stp>EM_S_VAL_PETTMDEDUCTED</stp>
        <stp>2</stp>
        <stp>600537</stp>
        <stp>12/31/2018</stp>
        <tr r="M1744" s="1"/>
      </tp>
      <tp>
        <v>449.44524125938398</v>
        <stp/>
        <stp>EM_S_VAL_PETTMDEDUCTED</stp>
        <stp>2</stp>
        <stp>000554</stp>
        <stp>12/31/2018</stp>
        <tr r="M2564" s="1"/>
      </tp>
      <tp>
        <v>32.476271029291098</v>
        <stp/>
        <stp>EM_S_VAL_PETTMDEDUCTED</stp>
        <stp>2</stp>
        <stp>000555</stp>
        <stp>12/31/2018</stp>
        <tr r="M519" s="1"/>
      </tp>
      <tp>
        <v>113.817885571042</v>
        <stp/>
        <stp>EM_S_VAL_PETTMDEDUCTED</stp>
        <stp>2</stp>
        <stp>300565</stp>
        <stp>12/31/2018</stp>
        <tr r="M3141" s="1"/>
      </tp>
      <tp>
        <v>20.017452625892702</v>
        <stp/>
        <stp>EM_S_VAL_PETTMDEDUCTED</stp>
        <stp>2</stp>
        <stp>600535</stp>
        <stp>12/31/2018</stp>
        <tr r="M3081" s="1"/>
      </tp>
      <tp>
        <v>8.1440786826267502</v>
        <stp/>
        <stp>EM_S_VAL_PETTMDEDUCTED</stp>
        <stp>2</stp>
        <stp>000552</stp>
        <stp>12/31/2018</stp>
        <tr r="M2352" s="1"/>
      </tp>
      <tp>
        <v>78.889504421519007</v>
        <stp/>
        <stp>EM_S_VAL_PETTMDEDUCTED</stp>
        <stp>2</stp>
        <stp>300562</stp>
        <stp>12/31/2018</stp>
        <tr r="M550" s="1"/>
      </tp>
      <tp>
        <v>-25.104865670963999</v>
        <stp/>
        <stp>EM_S_VAL_PETTMDEDUCTED</stp>
        <stp>2</stp>
        <stp>600532</stp>
        <stp>12/31/2018</stp>
        <tr r="M2419" s="1"/>
      </tp>
      <tp>
        <v>24.494242105929199</v>
        <stp/>
        <stp>EM_S_VAL_PETTMDEDUCTED</stp>
        <stp>2</stp>
        <stp>000553</stp>
        <stp>12/31/2018</stp>
        <tr r="M1907" s="1"/>
      </tp>
      <tp>
        <v>49.006925117398197</v>
        <stp/>
        <stp>EM_S_VAL_PETTMDEDUCTED</stp>
        <stp>2</stp>
        <stp>300563</stp>
        <stp>12/31/2018</stp>
        <tr r="M1534" s="1"/>
      </tp>
      <tp>
        <v>22.5671389951947</v>
        <stp/>
        <stp>EM_S_VAL_PETTMDEDUCTED</stp>
        <stp>2</stp>
        <stp>600533</stp>
        <stp>12/31/2018</stp>
        <tr r="M1535" s="1"/>
      </tp>
      <tp>
        <v>-46.044513144998497</v>
        <stp/>
        <stp>EM_S_VAL_PETTMDEDUCTED</stp>
        <stp>2</stp>
        <stp>000550</stp>
        <stp>12/31/2018</stp>
        <tr r="M3452" s="1"/>
      </tp>
      <tp>
        <v>82.294361198180795</v>
        <stp/>
        <stp>EM_S_VAL_PETTMDEDUCTED</stp>
        <stp>2</stp>
        <stp>300560</stp>
        <stp>12/31/2018</stp>
        <tr r="M3115" s="1"/>
      </tp>
      <tp>
        <v>75.666155978128302</v>
        <stp/>
        <stp>EM_S_VAL_PETTMDEDUCTED</stp>
        <stp>2</stp>
        <stp>600530</stp>
        <stp>12/31/2018</stp>
        <tr r="M1765" s="1"/>
      </tp>
      <tp>
        <v>39.5185120332767</v>
        <stp/>
        <stp>EM_S_VAL_PETTMDEDUCTED</stp>
        <stp>2</stp>
        <stp>000551</stp>
        <stp>12/31/2018</stp>
        <tr r="M1505" s="1"/>
      </tp>
      <tp>
        <v>74.214823285346696</v>
        <stp/>
        <stp>EM_S_VAL_PETTMDEDUCTED</stp>
        <stp>2</stp>
        <stp>300561</stp>
        <stp>12/31/2018</stp>
        <tr r="M1339" s="1"/>
      </tp>
      <tp>
        <v>22.447203181496501</v>
        <stp/>
        <stp>EM_S_VAL_PETTMDEDUCTED</stp>
        <stp>2</stp>
        <stp>600531</stp>
        <stp>12/31/2018</stp>
        <tr r="M855" s="1"/>
      </tp>
      <tp>
        <v>174.923833518187</v>
        <stp/>
        <stp>EM_S_VAL_PETTMDEDUCTED</stp>
        <stp>2</stp>
        <stp>000548</stp>
        <stp>12/31/2018</stp>
        <tr r="M3450" s="1"/>
      </tp>
      <tp>
        <v>64.815956976203395</v>
        <stp/>
        <stp>EM_S_VAL_PETTMDEDUCTED</stp>
        <stp>2</stp>
        <stp>300578</stp>
        <stp>12/31/2018</stp>
        <tr r="M543" s="1"/>
      </tp>
      <tp>
        <v>15.6951997048343</v>
        <stp/>
        <stp>EM_S_VAL_PETTMDEDUCTED</stp>
        <stp>2</stp>
        <stp>600528</stp>
        <stp>12/31/2018</stp>
        <tr r="M2069" s="1"/>
      </tp>
      <tp>
        <v>29.860145179735699</v>
        <stp/>
        <stp>EM_S_VAL_PETTMDEDUCTED</stp>
        <stp>2</stp>
        <stp>000549</stp>
        <stp>12/31/2018</stp>
        <tr r="M3451" s="1"/>
      </tp>
      <tp>
        <v>40.102714709316203</v>
        <stp/>
        <stp>EM_S_VAL_PETTMDEDUCTED</stp>
        <stp>2</stp>
        <stp>300579</stp>
        <stp>12/31/2018</stp>
        <tr r="M330" s="1"/>
      </tp>
      <tp>
        <v>25.603254393153001</v>
        <stp/>
        <stp>EM_S_VAL_PETTMDEDUCTED</stp>
        <stp>2</stp>
        <stp>600529</stp>
        <stp>12/31/2018</stp>
        <tr r="M589" s="1"/>
      </tp>
      <tp>
        <v>14.297209625714199</v>
        <stp/>
        <stp>EM_S_VAL_PETTMDEDUCTED</stp>
        <stp>2</stp>
        <stp>000546</stp>
        <stp>12/31/2018</stp>
        <tr r="M1381" s="1"/>
      </tp>
      <tp>
        <v>57.971044669357198</v>
        <stp/>
        <stp>EM_S_VAL_PETTMDEDUCTED</stp>
        <stp>2</stp>
        <stp>300576</stp>
        <stp>12/31/2018</stp>
        <tr r="M161" s="1"/>
      </tp>
      <tp>
        <v>-11.0241407498551</v>
        <stp/>
        <stp>EM_S_VAL_PETTMDEDUCTED</stp>
        <stp>2</stp>
        <stp>600526</stp>
        <stp>12/31/2018</stp>
        <tr r="M1544" s="1"/>
      </tp>
      <tp>
        <v>39.478172504499902</v>
        <stp/>
        <stp>EM_S_VAL_PETTMDEDUCTED</stp>
        <stp>2</stp>
        <stp>000547</stp>
        <stp>12/31/2018</stp>
        <tr r="M790" s="1"/>
      </tp>
      <tp>
        <v>48.507235797110901</v>
        <stp/>
        <stp>EM_S_VAL_PETTMDEDUCTED</stp>
        <stp>2</stp>
        <stp>300577</stp>
        <stp>12/31/2018</stp>
        <tr r="M1691" s="1"/>
      </tp>
      <tp>
        <v>35.212382883863803</v>
        <stp/>
        <stp>EM_S_VAL_PETTMDEDUCTED</stp>
        <stp>2</stp>
        <stp>600527</stp>
        <stp>12/31/2018</stp>
        <tr r="M2084" s="1"/>
      </tp>
      <tp>
        <v>13.988264575735601</v>
        <stp/>
        <stp>EM_S_VAL_PETTMDEDUCTED</stp>
        <stp>2</stp>
        <stp>000544</stp>
        <stp>12/31/2018</stp>
        <tr r="M1160" s="1"/>
      </tp>
      <tp>
        <v>37.607127360438099</v>
        <stp/>
        <stp>EM_S_VAL_PETTMDEDUCTED</stp>
        <stp>2</stp>
        <stp>000545</stp>
        <stp>12/31/2018</stp>
        <tr r="M2486" s="1"/>
      </tp>
      <tp>
        <v>18.856799410202601</v>
        <stp/>
        <stp>EM_S_VAL_PETTMDEDUCTED</stp>
        <stp>2</stp>
        <stp>300575</stp>
        <stp>12/31/2018</stp>
        <tr r="M3269" s="1"/>
      </tp>
      <tp>
        <v>15.424223893514499</v>
        <stp/>
        <stp>EM_S_VAL_PETTMDEDUCTED</stp>
        <stp>2</stp>
        <stp>600525</stp>
        <stp>12/31/2018</stp>
        <tr r="M831" s="1"/>
      </tp>
      <tp>
        <v>16.075762908608301</v>
        <stp/>
        <stp>EM_S_VAL_PETTMDEDUCTED</stp>
        <stp>2</stp>
        <stp>000542</stp>
        <stp>12/31/2018</stp>
        <tr r="M3449" s="1"/>
      </tp>
      <tp>
        <v>52.923201790637997</v>
        <stp/>
        <stp>EM_S_VAL_PETTMDEDUCTED</stp>
        <stp>2</stp>
        <stp>300572</stp>
        <stp>12/31/2018</stp>
        <tr r="M1863" s="1"/>
      </tp>
      <tp>
        <v>14.3936256817573</v>
        <stp/>
        <stp>EM_S_VAL_PETTMDEDUCTED</stp>
        <stp>2</stp>
        <stp>600522</stp>
        <stp>12/31/2018</stp>
        <tr r="M2201" s="1"/>
      </tp>
      <tp>
        <v>26.818643606332</v>
        <stp/>
        <stp>EM_S_VAL_PETTMDEDUCTED</stp>
        <stp>2</stp>
        <stp>000543</stp>
        <stp>12/31/2018</stp>
        <tr r="M2463" s="1"/>
      </tp>
      <tp>
        <v>180.09388386981101</v>
        <stp/>
        <stp>EM_S_VAL_PETTMDEDUCTED</stp>
        <stp>2</stp>
        <stp>300573</stp>
        <stp>12/31/2018</stp>
        <tr r="M25" s="1"/>
      </tp>
      <tp>
        <v>29.505050838783902</v>
        <stp/>
        <stp>EM_S_VAL_PETTMDEDUCTED</stp>
        <stp>2</stp>
        <stp>600523</stp>
        <stp>12/31/2018</stp>
        <tr r="M688" s="1"/>
      </tp>
      <tp>
        <v>103.494794026842</v>
        <stp/>
        <stp>EM_S_VAL_PETTMDEDUCTED</stp>
        <stp>2</stp>
        <stp>000540</stp>
        <stp>12/31/2018</stp>
        <tr r="M3448" s="1"/>
      </tp>
      <tp>
        <v>40.487351511985402</v>
        <stp/>
        <stp>EM_S_VAL_PETTMDEDUCTED</stp>
        <stp>2</stp>
        <stp>300570</stp>
        <stp>12/31/2018</stp>
        <tr r="M674" s="1"/>
      </tp>
      <tp>
        <v>-108.003354771652</v>
        <stp/>
        <stp>EM_S_VAL_PETTMDEDUCTED</stp>
        <stp>2</stp>
        <stp>600520</stp>
        <stp>12/31/2018</stp>
        <tr r="M3023" s="1"/>
      </tp>
      <tp>
        <v>18.916516668889098</v>
        <stp/>
        <stp>EM_S_VAL_PETTMDEDUCTED</stp>
        <stp>2</stp>
        <stp>000541</stp>
        <stp>12/31/2018</stp>
        <tr r="M2586" s="1"/>
      </tp>
      <tp>
        <v>25.2399090591827</v>
        <stp/>
        <stp>EM_S_VAL_PETTMDEDUCTED</stp>
        <stp>2</stp>
        <stp>300571</stp>
        <stp>12/31/2018</stp>
        <tr r="M939" s="1"/>
      </tp>
      <tp>
        <v>29.612937861679899</v>
        <stp/>
        <stp>EM_S_VAL_PETTMDEDUCTED</stp>
        <stp>2</stp>
        <stp>600521</stp>
        <stp>12/31/2018</stp>
        <tr r="M489" s="1"/>
      </tp>
      <tp>
        <v>49.576061385311803</v>
        <stp/>
        <stp>EM_S_VAL_PETTMDEDUCTED</stp>
        <stp>2</stp>
        <stp>000578</stp>
        <stp>12/31/2018</stp>
        <tr r="M3464" s="1"/>
      </tp>
      <tp>
        <v>55.652541785669499</v>
        <stp/>
        <stp>EM_S_VAL_PETTMDEDUCTED</stp>
        <stp>2</stp>
        <stp>300548</stp>
        <stp>12/31/2018</stp>
        <tr r="M199" s="1"/>
      </tp>
      <tp>
        <v>9.7647586159363904</v>
        <stp/>
        <stp>EM_S_VAL_PETTMDEDUCTED</stp>
        <stp>2</stp>
        <stp>600518</stp>
        <stp>12/31/2018</stp>
        <tr r="M3393" s="1"/>
      </tp>
      <tp>
        <v>31.942750034692601</v>
        <stp/>
        <stp>EM_S_VAL_PETTMDEDUCTED</stp>
        <stp>2</stp>
        <stp>300549</stp>
        <stp>12/31/2018</stp>
        <tr r="M1330" s="1"/>
      </tp>
      <tp>
        <v>23.113805197316701</v>
        <stp/>
        <stp>EM_S_VAL_PETTMDEDUCTED</stp>
        <stp>2</stp>
        <stp>600519</stp>
        <stp>12/31/2018</stp>
        <tr r="M160" s="1"/>
      </tp>
      <tp>
        <v>-9.4832247989566891</v>
        <stp/>
        <stp>EM_S_VAL_PETTMDEDUCTED</stp>
        <stp>2</stp>
        <stp>000576</stp>
        <stp>12/31/2018</stp>
        <tr r="M1024" s="1"/>
      </tp>
      <tp>
        <v>40.454248358078701</v>
        <stp/>
        <stp>EM_S_VAL_PETTMDEDUCTED</stp>
        <stp>2</stp>
        <stp>300546</stp>
        <stp>12/31/2018</stp>
        <tr r="M1654" s="1"/>
      </tp>
      <tp>
        <v>4.9630193167099801</v>
        <stp/>
        <stp>EM_S_VAL_PETTMDEDUCTED</stp>
        <stp>2</stp>
        <stp>600516</stp>
        <stp>12/31/2018</stp>
        <tr r="M3163" s="1"/>
      </tp>
      <tp>
        <v>18.441131921362398</v>
        <stp/>
        <stp>EM_S_VAL_PETTMDEDUCTED</stp>
        <stp>2</stp>
        <stp>300547</stp>
        <stp>12/31/2018</stp>
        <tr r="M3328" s="1"/>
      </tp>
      <tp>
        <v>-61.3016417640738</v>
        <stp/>
        <stp>EM_S_VAL_PETTMDEDUCTED</stp>
        <stp>2</stp>
        <stp>600517</stp>
        <stp>12/31/2018</stp>
        <tr r="M72" s="1"/>
      </tp>
      <tp>
        <v>40.444542542264998</v>
        <stp/>
        <stp>EM_S_VAL_PETTMDEDUCTED</stp>
        <stp>2</stp>
        <stp>300545</stp>
        <stp>12/31/2018</stp>
        <tr r="M1071" s="1"/>
      </tp>
      <tp>
        <v>10.069682947752099</v>
        <stp/>
        <stp>EM_S_VAL_PETTMDEDUCTED</stp>
        <stp>2</stp>
        <stp>600515</stp>
        <stp>12/31/2018</stp>
        <tr r="M2485" s="1"/>
      </tp>
      <tp>
        <v>-2.3293075008116402</v>
        <stp/>
        <stp>EM_S_VAL_PETTMDEDUCTED</stp>
        <stp>2</stp>
        <stp>000572</stp>
        <stp>12/31/2018</stp>
        <tr r="M3463" s="1"/>
      </tp>
      <tp>
        <v>63.0245228268383</v>
        <stp/>
        <stp>EM_S_VAL_PETTMDEDUCTED</stp>
        <stp>2</stp>
        <stp>300542</stp>
        <stp>12/31/2018</stp>
        <tr r="M1783" s="1"/>
      </tp>
      <tp>
        <v>-750.39850447383003</v>
        <stp/>
        <stp>EM_S_VAL_PETTMDEDUCTED</stp>
        <stp>2</stp>
        <stp>600512</stp>
        <stp>12/31/2018</stp>
        <tr r="M947" s="1"/>
      </tp>
      <tp>
        <v>-29.011913070533002</v>
        <stp/>
        <stp>EM_S_VAL_PETTMDEDUCTED</stp>
        <stp>2</stp>
        <stp>000573</stp>
        <stp>12/31/2018</stp>
        <tr r="M2239" s="1"/>
      </tp>
      <tp>
        <v>50.317315191184797</v>
        <stp/>
        <stp>EM_S_VAL_PETTMDEDUCTED</stp>
        <stp>2</stp>
        <stp>300543</stp>
        <stp>12/31/2018</stp>
        <tr r="M759" s="1"/>
      </tp>
      <tp>
        <v>23.918750187954799</v>
        <stp/>
        <stp>EM_S_VAL_PETTMDEDUCTED</stp>
        <stp>2</stp>
        <stp>600513</stp>
        <stp>12/31/2018</stp>
        <tr r="M1324" s="1"/>
      </tp>
      <tp>
        <v>241.43715081242999</v>
        <stp/>
        <stp>EM_S_VAL_PETTMDEDUCTED</stp>
        <stp>2</stp>
        <stp>000570</stp>
        <stp>12/31/2018</stp>
        <tr r="M3461" s="1"/>
      </tp>
      <tp>
        <v>247.70468313076199</v>
        <stp/>
        <stp>EM_S_VAL_PETTMDEDUCTED</stp>
        <stp>2</stp>
        <stp>300540</stp>
        <stp>12/31/2018</stp>
        <tr r="M1366" s="1"/>
      </tp>
      <tp>
        <v>48.4024268669883</v>
        <stp/>
        <stp>EM_S_VAL_PETTMDEDUCTED</stp>
        <stp>2</stp>
        <stp>600510</stp>
        <stp>12/31/2018</stp>
        <tr r="M1618" s="1"/>
      </tp>
      <tp>
        <v>-21.639216258848201</v>
        <stp/>
        <stp>EM_S_VAL_PETTMDEDUCTED</stp>
        <stp>2</stp>
        <stp>000571</stp>
        <stp>12/31/2018</stp>
        <tr r="M3462" s="1"/>
      </tp>
      <tp>
        <v>53.134894829518799</v>
        <stp/>
        <stp>EM_S_VAL_PETTMDEDUCTED</stp>
        <stp>2</stp>
        <stp>300541</stp>
        <stp>12/31/2018</stp>
        <tr r="M463" s="1"/>
      </tp>
      <tp>
        <v>14.5686199104066</v>
        <stp/>
        <stp>EM_S_VAL_PETTMDEDUCTED</stp>
        <stp>2</stp>
        <stp>600511</stp>
        <stp>12/31/2018</stp>
        <tr r="M1450" s="1"/>
      </tp>
      <tp>
        <v>18.101244385636601</v>
        <stp/>
        <stp>EM_S_VAL_PETTMDEDUCTED</stp>
        <stp>2</stp>
        <stp>000568</stp>
        <stp>12/31/2018</stp>
        <tr r="M129" s="1"/>
      </tp>
      <tp>
        <v>74.074028333564797</v>
        <stp/>
        <stp>EM_S_VAL_PETTMDEDUCTED</stp>
        <stp>2</stp>
        <stp>300558</stp>
        <stp>12/31/2018</stp>
        <tr r="M157" s="1"/>
      </tp>
      <tp>
        <v>10.3433111420287</v>
        <stp/>
        <stp>EM_S_VAL_PETTMDEDUCTED</stp>
        <stp>2</stp>
        <stp>600508</stp>
        <stp>12/31/2018</stp>
        <tr r="M2440" s="1"/>
      </tp>
      <tp>
        <v>-10.8603838436066</v>
        <stp/>
        <stp>EM_S_VAL_PETTMDEDUCTED</stp>
        <stp>2</stp>
        <stp>000569</stp>
        <stp>12/31/2018</stp>
        <tr r="M3460" s="1"/>
      </tp>
      <tp>
        <v>45.723652026238398</v>
        <stp/>
        <stp>EM_S_VAL_PETTMDEDUCTED</stp>
        <stp>2</stp>
        <stp>300559</stp>
        <stp>12/31/2018</stp>
        <tr r="M2942" s="1"/>
      </tp>
      <tp>
        <v>-55.992157385210199</v>
        <stp/>
        <stp>EM_S_VAL_PETTMDEDUCTED</stp>
        <stp>2</stp>
        <stp>600509</stp>
        <stp>12/31/2018</stp>
        <tr r="M2207" s="1"/>
      </tp>
      <tp>
        <v>-1524.2952140395901</v>
        <stp/>
        <stp>EM_S_VAL_PETTMDEDUCTED</stp>
        <stp>2</stp>
        <stp>000566</stp>
        <stp>12/31/2018</stp>
        <tr r="M1499" s="1"/>
      </tp>
      <tp>
        <v>120.310104518953</v>
        <stp/>
        <stp>EM_S_VAL_PETTMDEDUCTED</stp>
        <stp>2</stp>
        <stp>300556</stp>
        <stp>12/31/2018</stp>
        <tr r="M2073" s="1"/>
      </tp>
      <tp>
        <v>-136.97830830593901</v>
        <stp/>
        <stp>EM_S_VAL_PETTMDEDUCTED</stp>
        <stp>2</stp>
        <stp>600506</stp>
        <stp>12/31/2018</stp>
        <tr r="M2132" s="1"/>
      </tp>
      <tp>
        <v>52.7286782537617</v>
        <stp/>
        <stp>EM_S_VAL_PETTMDEDUCTED</stp>
        <stp>2</stp>
        <stp>000567</stp>
        <stp>12/31/2018</stp>
        <tr r="M3459" s="1"/>
      </tp>
      <tp>
        <v>-53.221119689459599</v>
        <stp/>
        <stp>EM_S_VAL_PETTMDEDUCTED</stp>
        <stp>2</stp>
        <stp>300557</stp>
        <stp>12/31/2018</stp>
        <tr r="M1012" s="1"/>
      </tp>
      <tp>
        <v>4.5763177387523797</v>
        <stp/>
        <stp>EM_S_VAL_PETTMDEDUCTED</stp>
        <stp>2</stp>
        <stp>600507</stp>
        <stp>12/31/2018</stp>
        <tr r="M2209" s="1"/>
      </tp>
      <tp>
        <v>13.6203527073888</v>
        <stp/>
        <stp>EM_S_VAL_PETTMDEDUCTED</stp>
        <stp>2</stp>
        <stp>000564</stp>
        <stp>12/31/2018</stp>
        <tr r="M3457" s="1"/>
      </tp>
      <tp>
        <v>16.494128891747099</v>
        <stp/>
        <stp>EM_S_VAL_PETTMDEDUCTED</stp>
        <stp>2</stp>
        <stp>300554</stp>
        <stp>12/31/2018</stp>
        <tr r="M2839" s="1"/>
      </tp>
      <tp>
        <v>52.219858693863301</v>
        <stp/>
        <stp>EM_S_VAL_PETTMDEDUCTED</stp>
        <stp>2</stp>
        <stp>000565</stp>
        <stp>12/31/2018</stp>
        <tr r="M3458" s="1"/>
      </tp>
      <tp>
        <v>67.689684042226602</v>
        <stp/>
        <stp>EM_S_VAL_PETTMDEDUCTED</stp>
        <stp>2</stp>
        <stp>300555</stp>
        <stp>12/31/2018</stp>
        <tr r="M1438" s="1"/>
      </tp>
      <tp>
        <v>36.410431797891398</v>
        <stp/>
        <stp>EM_S_VAL_PETTMDEDUCTED</stp>
        <stp>2</stp>
        <stp>600505</stp>
        <stp>12/31/2018</stp>
        <tr r="M146" s="1"/>
      </tp>
      <tp>
        <v>90.796048539369593</v>
        <stp/>
        <stp>EM_S_VAL_PETTMDEDUCTED</stp>
        <stp>2</stp>
        <stp>000562</stp>
        <stp>12/31/2018</stp>
        <tr r="M3455" s="1"/>
      </tp>
      <tp>
        <v>3800.7891964225901</v>
        <stp/>
        <stp>EM_S_VAL_PETTMDEDUCTED</stp>
        <stp>2</stp>
        <stp>300552</stp>
        <stp>12/31/2018</stp>
        <tr r="M15" s="1"/>
      </tp>
      <tp>
        <v>8.7168656746001503</v>
        <stp/>
        <stp>EM_S_VAL_PETTMDEDUCTED</stp>
        <stp>2</stp>
        <stp>600502</stp>
        <stp>12/31/2018</stp>
        <tr r="M1556" s="1"/>
      </tp>
      <tp>
        <v>40.118821928986399</v>
        <stp/>
        <stp>EM_S_VAL_PETTMDEDUCTED</stp>
        <stp>2</stp>
        <stp>000563</stp>
        <stp>12/31/2018</stp>
        <tr r="M3456" s="1"/>
      </tp>
      <tp>
        <v>83.153728917456306</v>
        <stp/>
        <stp>EM_S_VAL_PETTMDEDUCTED</stp>
        <stp>2</stp>
        <stp>300553</stp>
        <stp>12/31/2018</stp>
        <tr r="M1587" s="1"/>
      </tp>
      <tp>
        <v>39.641556087540401</v>
        <stp/>
        <stp>EM_S_VAL_PETTMDEDUCTED</stp>
        <stp>2</stp>
        <stp>600503</stp>
        <stp>12/31/2018</stp>
        <tr r="M2014" s="1"/>
      </tp>
      <tp>
        <v>20.015099735872798</v>
        <stp/>
        <stp>EM_S_VAL_PETTMDEDUCTED</stp>
        <stp>2</stp>
        <stp>000560</stp>
        <stp>12/31/2018</stp>
        <tr r="M2688" s="1"/>
      </tp>
      <tp>
        <v>141.979845477894</v>
        <stp/>
        <stp>EM_S_VAL_PETTMDEDUCTED</stp>
        <stp>2</stp>
        <stp>300550</stp>
        <stp>12/31/2018</stp>
        <tr r="M3349" s="1"/>
      </tp>
      <tp>
        <v>27.7153477687073</v>
        <stp/>
        <stp>EM_S_VAL_PETTMDEDUCTED</stp>
        <stp>2</stp>
        <stp>600500</stp>
        <stp>12/31/2018</stp>
        <tr r="M3109" s="1"/>
      </tp>
      <tp>
        <v>55.747671101714403</v>
        <stp/>
        <stp>EM_S_VAL_PETTMDEDUCTED</stp>
        <stp>2</stp>
        <stp>000561</stp>
        <stp>12/31/2018</stp>
        <tr r="M926" s="1"/>
      </tp>
      <tp>
        <v>259.67060351885601</v>
        <stp/>
        <stp>EM_S_VAL_PETTMDEDUCTED</stp>
        <stp>2</stp>
        <stp>300551</stp>
        <stp>12/31/2018</stp>
        <tr r="M113" s="1"/>
      </tp>
      <tp>
        <v>-25.554731270812599</v>
        <stp/>
        <stp>EM_S_VAL_PETTMDEDUCTED</stp>
        <stp>2</stp>
        <stp>600501</stp>
        <stp>12/31/2018</stp>
        <tr r="M972" s="1"/>
      </tp>
      <tp>
        <v>56.265434207625901</v>
        <stp/>
        <stp>EM_S_VAL_PETTMDEDUCTED</stp>
        <stp>2</stp>
        <stp>300288</stp>
        <stp>12/31/2018</stp>
        <tr r="M2609" s="1"/>
      </tp>
      <tp>
        <v>39.878111012583801</v>
        <stp/>
        <stp>EM_S_VAL_PETTMDEDUCTED</stp>
        <stp>2</stp>
        <stp>300289</stp>
        <stp>12/31/2018</stp>
        <tr r="M2864" s="1"/>
      </tp>
      <tp>
        <v>21.547054107702198</v>
        <stp/>
        <stp>EM_S_VAL_PETTMDEDUCTED</stp>
        <stp>2</stp>
        <stp>300286</stp>
        <stp>12/31/2018</stp>
        <tr r="M747" s="1"/>
      </tp>
      <tp>
        <v>16.972165089286602</v>
        <stp/>
        <stp>EM_S_VAL_PETTMDEDUCTED</stp>
        <stp>2</stp>
        <stp>300287</stp>
        <stp>12/31/2018</stp>
        <tr r="M2172" s="1"/>
      </tp>
      <tp>
        <v>16.807693661555799</v>
        <stp/>
        <stp>EM_S_VAL_PETTMDEDUCTED</stp>
        <stp>2</stp>
        <stp>300284</stp>
        <stp>12/31/2018</stp>
        <tr r="M3100" s="1"/>
      </tp>
      <tp>
        <v>35.230415396419403</v>
        <stp/>
        <stp>EM_S_VAL_PETTMDEDUCTED</stp>
        <stp>2</stp>
        <stp>300285</stp>
        <stp>12/31/2018</stp>
        <tr r="M750" s="1"/>
      </tp>
      <tp>
        <v>39.351561166559499</v>
        <stp/>
        <stp>EM_S_VAL_PETTMDEDUCTED</stp>
        <stp>2</stp>
        <stp>300282</stp>
        <stp>12/31/2018</stp>
        <tr r="M3268" s="1"/>
      </tp>
      <tp>
        <v>284.99874491512099</v>
        <stp/>
        <stp>EM_S_VAL_PETTMDEDUCTED</stp>
        <stp>2</stp>
        <stp>300283</stp>
        <stp>12/31/2018</stp>
        <tr r="M2236" s="1"/>
      </tp>
      <tp>
        <v>91.554098933456601</v>
        <stp/>
        <stp>EM_S_VAL_PETTMDEDUCTED</stp>
        <stp>2</stp>
        <stp>300280</stp>
        <stp>12/31/2018</stp>
        <tr r="M3363" s="1"/>
      </tp>
      <tp>
        <v>61.042600830048599</v>
        <stp/>
        <stp>EM_S_VAL_PETTMDEDUCTED</stp>
        <stp>2</stp>
        <stp>300281</stp>
        <stp>12/31/2018</stp>
        <tr r="M832" s="1"/>
      </tp>
      <tp>
        <v>24.072199532795398</v>
        <stp/>
        <stp>EM_S_VAL_PETTMDEDUCTED</stp>
        <stp>2</stp>
        <stp>300298</stp>
        <stp>12/31/2018</stp>
        <tr r="M742" s="1"/>
      </tp>
      <tp>
        <v>-8.9371618414253806</v>
        <stp/>
        <stp>EM_S_VAL_PETTMDEDUCTED</stp>
        <stp>2</stp>
        <stp>300299</stp>
        <stp>12/31/2018</stp>
        <tr r="M2152" s="1"/>
      </tp>
      <tp>
        <v>13.4814533972388</v>
        <stp/>
        <stp>EM_S_VAL_PETTMDEDUCTED</stp>
        <stp>2</stp>
        <stp>300296</stp>
        <stp>12/31/2018</stp>
        <tr r="M2149" s="1"/>
      </tp>
      <tp>
        <v>15.3589339427489</v>
        <stp/>
        <stp>EM_S_VAL_PETTMDEDUCTED</stp>
        <stp>2</stp>
        <stp>300297</stp>
        <stp>12/31/2018</stp>
        <tr r="M1570" s="1"/>
      </tp>
      <tp>
        <v>28.663282566511398</v>
        <stp/>
        <stp>EM_S_VAL_PETTMDEDUCTED</stp>
        <stp>2</stp>
        <stp>300294</stp>
        <stp>12/31/2018</stp>
        <tr r="M1530" s="1"/>
      </tp>
      <tp>
        <v>29.440989419724499</v>
        <stp/>
        <stp>EM_S_VAL_PETTMDEDUCTED</stp>
        <stp>2</stp>
        <stp>300295</stp>
        <stp>12/31/2018</stp>
        <tr r="M1480" s="1"/>
      </tp>
      <tp>
        <v>35.326121448006703</v>
        <stp/>
        <stp>EM_S_VAL_PETTMDEDUCTED</stp>
        <stp>2</stp>
        <stp>300292</stp>
        <stp>12/31/2018</stp>
        <tr r="M894" s="1"/>
      </tp>
      <tp>
        <v>-582.01991921329</v>
        <stp/>
        <stp>EM_S_VAL_PETTMDEDUCTED</stp>
        <stp>2</stp>
        <stp>300293</stp>
        <stp>12/31/2018</stp>
        <tr r="M1253" s="1"/>
      </tp>
      <tp>
        <v>328.68931565483598</v>
        <stp/>
        <stp>EM_S_VAL_PETTMDEDUCTED</stp>
        <stp>2</stp>
        <stp>300290</stp>
        <stp>12/31/2018</stp>
        <tr r="M1839" s="1"/>
      </tp>
      <tp>
        <v>-11.6501774621688</v>
        <stp/>
        <stp>EM_S_VAL_PETTMDEDUCTED</stp>
        <stp>2</stp>
        <stp>300291</stp>
        <stp>12/31/2018</stp>
        <tr r="M808" s="1"/>
      </tp>
      <tp>
        <v>24.127526849540899</v>
        <stp/>
        <stp>EM_S_VAL_PETTMDEDUCTED</stp>
        <stp>2</stp>
        <stp>600298</stp>
        <stp>12/31/2018</stp>
        <tr r="M1273" s="1"/>
      </tp>
      <tp>
        <v>28.292747960833701</v>
        <stp/>
        <stp>EM_S_VAL_PETTMDEDUCTED</stp>
        <stp>2</stp>
        <stp>600299</stp>
        <stp>12/31/2018</stp>
        <tr r="M2551" s="1"/>
      </tp>
      <tp>
        <v>27.500540188354499</v>
        <stp/>
        <stp>EM_S_VAL_PETTMDEDUCTED</stp>
        <stp>2</stp>
        <stp>600296</stp>
        <stp>12/31/2018</stp>
        <tr r="M2300" s="1"/>
      </tp>
      <tp>
        <v>9.9769641519570005</v>
        <stp/>
        <stp>EM_S_VAL_PETTMDEDUCTED</stp>
        <stp>2</stp>
        <stp>600297</stp>
        <stp>12/31/2018</stp>
        <tr r="M3057" s="1"/>
      </tp>
      <tp>
        <v>10.548188258445499</v>
        <stp/>
        <stp>EM_S_VAL_PETTMDEDUCTED</stp>
        <stp>2</stp>
        <stp>600295</stp>
        <stp>12/31/2018</stp>
        <tr r="M1322" s="1"/>
      </tp>
      <tp>
        <v>32.567248963997301</v>
        <stp/>
        <stp>EM_S_VAL_PETTMDEDUCTED</stp>
        <stp>2</stp>
        <stp>600292</stp>
        <stp>12/31/2018</stp>
        <tr r="M1533" s="1"/>
      </tp>
      <tp>
        <v>11.1112927751818</v>
        <stp/>
        <stp>EM_S_VAL_PETTMDEDUCTED</stp>
        <stp>2</stp>
        <stp>600293</stp>
        <stp>12/31/2018</stp>
        <tr r="M3052" s="1"/>
      </tp>
      <tp>
        <v>619.91511152281305</v>
        <stp/>
        <stp>EM_S_VAL_PETTMDEDUCTED</stp>
        <stp>2</stp>
        <stp>600290</stp>
        <stp>12/31/2018</stp>
        <tr r="M3277" s="1"/>
      </tp>
      <tp>
        <v>93.758176956695706</v>
        <stp/>
        <stp>EM_S_VAL_PETTMDEDUCTED</stp>
        <stp>2</stp>
        <stp>600291</stp>
        <stp>12/31/2018</stp>
        <tr r="M2800" s="1"/>
      </tp>
      <tp>
        <v>60.987948984484802</v>
        <stp/>
        <stp>EM_S_VAL_PETTMDEDUCTED</stp>
        <stp>2</stp>
        <stp>600288</stp>
        <stp>12/31/2018</stp>
        <tr r="M324" s="1"/>
      </tp>
      <tp>
        <v>-1.64339633821095</v>
        <stp/>
        <stp>EM_S_VAL_PETTMDEDUCTED</stp>
        <stp>2</stp>
        <stp>600289</stp>
        <stp>12/31/2018</stp>
        <tr r="M840" s="1"/>
      </tp>
      <tp>
        <v>21.119121880429699</v>
        <stp/>
        <stp>EM_S_VAL_PETTMDEDUCTED</stp>
        <stp>2</stp>
        <stp>600286</stp>
        <stp>12/31/2018</stp>
        <tr r="M2299" s="1"/>
      </tp>
      <tp>
        <v>47.371975823575099</v>
        <stp/>
        <stp>EM_S_VAL_PETTMDEDUCTED</stp>
        <stp>2</stp>
        <stp>600287</stp>
        <stp>12/31/2018</stp>
        <tr r="M1135" s="1"/>
      </tp>
      <tp>
        <v>18.097196866157098</v>
        <stp/>
        <stp>EM_S_VAL_PETTMDEDUCTED</stp>
        <stp>2</stp>
        <stp>600284</stp>
        <stp>12/31/2018</stp>
        <tr r="M1018" s="1"/>
      </tp>
      <tp>
        <v>18.619199065315399</v>
        <stp/>
        <stp>EM_S_VAL_PETTMDEDUCTED</stp>
        <stp>2</stp>
        <stp>600285</stp>
        <stp>12/31/2018</stp>
        <tr r="M1003" s="1"/>
      </tp>
      <tp>
        <v>3.32133911281284</v>
        <stp/>
        <stp>EM_S_VAL_PETTMDEDUCTED</stp>
        <stp>2</stp>
        <stp>600282</stp>
        <stp>12/31/2018</stp>
        <tr r="M2261" s="1"/>
      </tp>
      <tp>
        <v>47.161749389516501</v>
        <stp/>
        <stp>EM_S_VAL_PETTMDEDUCTED</stp>
        <stp>2</stp>
        <stp>600283</stp>
        <stp>12/31/2018</stp>
        <tr r="M2697" s="1"/>
      </tp>
      <tp>
        <v>101.617232459509</v>
        <stp/>
        <stp>EM_S_VAL_PETTMDEDUCTED</stp>
        <stp>2</stp>
        <stp>600280</stp>
        <stp>12/31/2018</stp>
        <tr r="M2933" s="1"/>
      </tp>
      <tp>
        <v>-65.639662969784496</v>
        <stp/>
        <stp>EM_S_VAL_PETTMDEDUCTED</stp>
        <stp>2</stp>
        <stp>600281</stp>
        <stp>12/31/2018</stp>
        <tr r="M1503" s="1"/>
      </tp>
      <tp>
        <v>-41.687643670971298</v>
        <stp/>
        <stp>EM_S_VAL_PETTMDEDUCTED</stp>
        <stp>2</stp>
        <stp>300228</stp>
        <stp>12/31/2018</stp>
        <tr r="M1991" s="1"/>
      </tp>
      <tp>
        <v>71.434424965564602</v>
        <stp/>
        <stp>EM_S_VAL_PETTMDEDUCTED</stp>
        <stp>2</stp>
        <stp>600278</stp>
        <stp>12/31/2018</stp>
        <tr r="M923" s="1"/>
      </tp>
      <tp>
        <v>32.312944942274001</v>
        <stp/>
        <stp>EM_S_VAL_PETTMDEDUCTED</stp>
        <stp>2</stp>
        <stp>300229</stp>
        <stp>12/31/2018</stp>
        <tr r="M529" s="1"/>
      </tp>
      <tp>
        <v>31.7039386502985</v>
        <stp/>
        <stp>EM_S_VAL_PETTMDEDUCTED</stp>
        <stp>2</stp>
        <stp>600279</stp>
        <stp>12/31/2018</stp>
        <tr r="M1653" s="1"/>
      </tp>
      <tp>
        <v>64.383400300525395</v>
        <stp/>
        <stp>EM_S_VAL_PETTMDEDUCTED</stp>
        <stp>2</stp>
        <stp>300226</stp>
        <stp>12/31/2018</stp>
        <tr r="M350" s="1"/>
      </tp>
      <tp>
        <v>53.8691172290997</v>
        <stp/>
        <stp>EM_S_VAL_PETTMDEDUCTED</stp>
        <stp>2</stp>
        <stp>600276</stp>
        <stp>12/31/2018</stp>
        <tr r="M401" s="1"/>
      </tp>
      <tp>
        <v>32.849118681796803</v>
        <stp/>
        <stp>EM_S_VAL_PETTMDEDUCTED</stp>
        <stp>2</stp>
        <stp>300227</stp>
        <stp>12/31/2018</stp>
        <tr r="M659" s="1"/>
      </tp>
      <tp>
        <v>20.434079295738702</v>
        <stp/>
        <stp>EM_S_VAL_PETTMDEDUCTED</stp>
        <stp>2</stp>
        <stp>600277</stp>
        <stp>12/31/2018</stp>
        <tr r="M3055" s="1"/>
      </tp>
      <tp>
        <v>108.19982438303001</v>
        <stp/>
        <stp>EM_S_VAL_PETTMDEDUCTED</stp>
        <stp>2</stp>
        <stp>300224</stp>
        <stp>12/31/2018</stp>
        <tr r="M372" s="1"/>
      </tp>
      <tp>
        <v>136.08144281951201</v>
        <stp/>
        <stp>EM_S_VAL_PETTMDEDUCTED</stp>
        <stp>2</stp>
        <stp>300225</stp>
        <stp>12/31/2018</stp>
        <tr r="M940" s="1"/>
      </tp>
      <tp>
        <v>-62.607838408139997</v>
        <stp/>
        <stp>EM_S_VAL_PETTMDEDUCTED</stp>
        <stp>2</stp>
        <stp>600275</stp>
        <stp>12/31/2018</stp>
        <tr r="M3082" s="1"/>
      </tp>
      <tp>
        <v>34.4117721163095</v>
        <stp/>
        <stp>EM_S_VAL_PETTMDEDUCTED</stp>
        <stp>2</stp>
        <stp>300222</stp>
        <stp>12/31/2018</stp>
        <tr r="M3309" s="1"/>
      </tp>
      <tp>
        <v>53.634997391328703</v>
        <stp/>
        <stp>EM_S_VAL_PETTMDEDUCTED</stp>
        <stp>2</stp>
        <stp>600272</stp>
        <stp>12/31/2018</stp>
        <tr r="M1919" s="1"/>
      </tp>
      <tp>
        <v>-461.485586233834</v>
        <stp/>
        <stp>EM_S_VAL_PETTMDEDUCTED</stp>
        <stp>2</stp>
        <stp>300223</stp>
        <stp>12/31/2018</stp>
        <tr r="M20" s="1"/>
      </tp>
      <tp>
        <v>11.485349596557</v>
        <stp/>
        <stp>EM_S_VAL_PETTMDEDUCTED</stp>
        <stp>2</stp>
        <stp>600273</stp>
        <stp>12/31/2018</stp>
        <tr r="M1116" s="1"/>
      </tp>
      <tp>
        <v>-21.3069607773642</v>
        <stp/>
        <stp>EM_S_VAL_PETTMDEDUCTED</stp>
        <stp>2</stp>
        <stp>300220</stp>
        <stp>12/31/2018</stp>
        <tr r="M27" s="1"/>
      </tp>
      <tp>
        <v>16.7156022995092</v>
        <stp/>
        <stp>EM_S_VAL_PETTMDEDUCTED</stp>
        <stp>2</stp>
        <stp>600270</stp>
        <stp>12/31/2018</stp>
        <tr r="M2298" s="1"/>
      </tp>
      <tp>
        <v>31.7006153630802</v>
        <stp/>
        <stp>EM_S_VAL_PETTMDEDUCTED</stp>
        <stp>2</stp>
        <stp>300221</stp>
        <stp>12/31/2018</stp>
        <tr r="M1732" s="1"/>
      </tp>
      <tp>
        <v>29.267734128850499</v>
        <stp/>
        <stp>EM_S_VAL_PETTMDEDUCTED</stp>
        <stp>2</stp>
        <stp>600271</stp>
        <stp>12/31/2018</stp>
        <tr r="M2348" s="1"/>
      </tp>
      <tp>
        <v>49.641733154486701</v>
        <stp/>
        <stp>EM_S_VAL_PETTMDEDUCTED</stp>
        <stp>2</stp>
        <stp>300238</stp>
        <stp>12/31/2018</stp>
        <tr r="M179" s="1"/>
      </tp>
      <tp>
        <v>-47.103460580146802</v>
        <stp/>
        <stp>EM_S_VAL_PETTMDEDUCTED</stp>
        <stp>2</stp>
        <stp>600268</stp>
        <stp>12/31/2018</stp>
        <tr r="M1195" s="1"/>
      </tp>
      <tp>
        <v>64.648203993677797</v>
        <stp/>
        <stp>EM_S_VAL_PETTMDEDUCTED</stp>
        <stp>2</stp>
        <stp>300239</stp>
        <stp>12/31/2018</stp>
        <tr r="M984" s="1"/>
      </tp>
      <tp>
        <v>16.000921465255999</v>
        <stp/>
        <stp>EM_S_VAL_PETTMDEDUCTED</stp>
        <stp>2</stp>
        <stp>600269</stp>
        <stp>12/31/2018</stp>
        <tr r="M1972" s="1"/>
      </tp>
      <tp>
        <v>2291.45003381073</v>
        <stp/>
        <stp>EM_S_VAL_PETTMDEDUCTED</stp>
        <stp>2</stp>
        <stp>300236</stp>
        <stp>12/31/2018</stp>
        <tr r="M1622" s="1"/>
      </tp>
      <tp>
        <v>8.0234661239058909</v>
        <stp/>
        <stp>EM_S_VAL_PETTMDEDUCTED</stp>
        <stp>2</stp>
        <stp>600266</stp>
        <stp>12/31/2018</stp>
        <tr r="M2129" s="1"/>
      </tp>
      <tp>
        <v>9.5919513887190604</v>
        <stp/>
        <stp>EM_S_VAL_PETTMDEDUCTED</stp>
        <stp>2</stp>
        <stp>300237</stp>
        <stp>12/31/2018</stp>
        <tr r="M3205" s="1"/>
      </tp>
      <tp>
        <v>-34.848913691580996</v>
        <stp/>
        <stp>EM_S_VAL_PETTMDEDUCTED</stp>
        <stp>2</stp>
        <stp>600267</stp>
        <stp>12/31/2018</stp>
        <tr r="M1513" s="1"/>
      </tp>
      <tp>
        <v>-73.918509142731494</v>
        <stp/>
        <stp>EM_S_VAL_PETTMDEDUCTED</stp>
        <stp>2</stp>
        <stp>300234</stp>
        <stp>12/31/2018</stp>
        <tr r="M173" s="1"/>
      </tp>
      <tp>
        <v>122.67858192922</v>
        <stp/>
        <stp>EM_S_VAL_PETTMDEDUCTED</stp>
        <stp>2</stp>
        <stp>300235</stp>
        <stp>12/31/2018</stp>
        <tr r="M431" s="1"/>
      </tp>
      <tp>
        <v>-91.113864196033205</v>
        <stp/>
        <stp>EM_S_VAL_PETTMDEDUCTED</stp>
        <stp>2</stp>
        <stp>600265</stp>
        <stp>12/31/2018</stp>
        <tr r="M2743" s="1"/>
      </tp>
      <tp>
        <v>20.023590763913301</v>
        <stp/>
        <stp>EM_S_VAL_PETTMDEDUCTED</stp>
        <stp>2</stp>
        <stp>300232</stp>
        <stp>12/31/2018</stp>
        <tr r="M1976" s="1"/>
      </tp>
      <tp>
        <v>60.807919483572199</v>
        <stp/>
        <stp>EM_S_VAL_PETTMDEDUCTED</stp>
        <stp>2</stp>
        <stp>600262</stp>
        <stp>12/31/2018</stp>
        <tr r="M2020" s="1"/>
      </tp>
      <tp>
        <v>16.0597150042579</v>
        <stp/>
        <stp>EM_S_VAL_PETTMDEDUCTED</stp>
        <stp>2</stp>
        <stp>300233</stp>
        <stp>12/31/2018</stp>
        <tr r="M694" s="1"/>
      </tp>
      <tp>
        <v>35.071957745082599</v>
        <stp/>
        <stp>EM_S_VAL_PETTMDEDUCTED</stp>
        <stp>2</stp>
        <stp>600263</stp>
        <stp>12/31/2018</stp>
        <tr r="M2297" s="1"/>
      </tp>
      <tp>
        <v>11.174655354387699</v>
        <stp/>
        <stp>EM_S_VAL_PETTMDEDUCTED</stp>
        <stp>2</stp>
        <stp>300230</stp>
        <stp>12/31/2018</stp>
        <tr r="M2958" s="1"/>
      </tp>
      <tp>
        <v>12.113549759783201</v>
        <stp/>
        <stp>EM_S_VAL_PETTMDEDUCTED</stp>
        <stp>2</stp>
        <stp>600260</stp>
        <stp>12/31/2018</stp>
        <tr r="M3108" s="1"/>
      </tp>
      <tp>
        <v>21.837874674247502</v>
        <stp/>
        <stp>EM_S_VAL_PETTMDEDUCTED</stp>
        <stp>2</stp>
        <stp>300231</stp>
        <stp>12/31/2018</stp>
        <tr r="M943" s="1"/>
      </tp>
      <tp>
        <v>16.6645885089243</v>
        <stp/>
        <stp>EM_S_VAL_PETTMDEDUCTED</stp>
        <stp>2</stp>
        <stp>600261</stp>
        <stp>12/31/2018</stp>
        <tr r="M753" s="1"/>
      </tp>
      <tp>
        <v>15.6986895358512</v>
        <stp/>
        <stp>EM_S_VAL_PETTMDEDUCTED</stp>
        <stp>2</stp>
        <stp>300208</stp>
        <stp>12/31/2018</stp>
        <tr r="M1037" s="1"/>
      </tp>
      <tp>
        <v>21.868261835239501</v>
        <stp/>
        <stp>EM_S_VAL_PETTMDEDUCTED</stp>
        <stp>2</stp>
        <stp>600258</stp>
        <stp>12/31/2018</stp>
        <tr r="M833" s="1"/>
      </tp>
      <tp>
        <v>-184.14582056661499</v>
        <stp/>
        <stp>EM_S_VAL_PETTMDEDUCTED</stp>
        <stp>2</stp>
        <stp>300209</stp>
        <stp>12/31/2018</stp>
        <tr r="M866" s="1"/>
      </tp>
      <tp>
        <v>-34.799426908040097</v>
        <stp/>
        <stp>EM_S_VAL_PETTMDEDUCTED</stp>
        <stp>2</stp>
        <stp>600259</stp>
        <stp>12/31/2018</stp>
        <tr r="M486" s="1"/>
      </tp>
      <tp>
        <v>142.33578763000199</v>
        <stp/>
        <stp>EM_S_VAL_PETTMDEDUCTED</stp>
        <stp>2</stp>
        <stp>300206</stp>
        <stp>12/31/2018</stp>
        <tr r="M1176" s="1"/>
      </tp>
      <tp>
        <v>13.527876237391901</v>
        <stp/>
        <stp>EM_S_VAL_PETTMDEDUCTED</stp>
        <stp>2</stp>
        <stp>600256</stp>
        <stp>12/31/2018</stp>
        <tr r="M2837" s="1"/>
      </tp>
      <tp>
        <v>25.441329329088301</v>
        <stp/>
        <stp>EM_S_VAL_PETTMDEDUCTED</stp>
        <stp>2</stp>
        <stp>300207</stp>
        <stp>12/31/2018</stp>
        <tr r="M108" s="1"/>
      </tp>
      <tp>
        <v>391.584726686294</v>
        <stp/>
        <stp>EM_S_VAL_PETTMDEDUCTED</stp>
        <stp>2</stp>
        <stp>600257</stp>
        <stp>12/31/2018</stp>
        <tr r="M2166" s="1"/>
      </tp>
      <tp>
        <v>34.877412689783803</v>
        <stp/>
        <stp>EM_S_VAL_PETTMDEDUCTED</stp>
        <stp>2</stp>
        <stp>300204</stp>
        <stp>12/31/2018</stp>
        <tr r="M2375" s="1"/>
      </tp>
      <tp>
        <v>86.310599360248901</v>
        <stp/>
        <stp>EM_S_VAL_PETTMDEDUCTED</stp>
        <stp>2</stp>
        <stp>300205</stp>
        <stp>12/31/2018</stp>
        <tr r="M825" s="1"/>
      </tp>
      <tp>
        <v>61.630744395670597</v>
        <stp/>
        <stp>EM_S_VAL_PETTMDEDUCTED</stp>
        <stp>2</stp>
        <stp>600255</stp>
        <stp>12/31/2018</stp>
        <tr r="M2860" s="1"/>
      </tp>
      <tp>
        <v>78.5685057009687</v>
        <stp/>
        <stp>EM_S_VAL_PETTMDEDUCTED</stp>
        <stp>2</stp>
        <stp>300202</stp>
        <stp>12/31/2018</stp>
        <tr r="M299" s="1"/>
      </tp>
      <tp>
        <v>18.549280450495299</v>
        <stp/>
        <stp>EM_S_VAL_PETTMDEDUCTED</stp>
        <stp>2</stp>
        <stp>600252</stp>
        <stp>12/31/2018</stp>
        <tr r="M1069" s="1"/>
      </tp>
      <tp>
        <v>26.960328626889101</v>
        <stp/>
        <stp>EM_S_VAL_PETTMDEDUCTED</stp>
        <stp>2</stp>
        <stp>300203</stp>
        <stp>12/31/2018</stp>
        <tr r="M3273" s="1"/>
      </tp>
      <tp>
        <v>128.50215286559799</v>
        <stp/>
        <stp>EM_S_VAL_PETTMDEDUCTED</stp>
        <stp>2</stp>
        <stp>600253</stp>
        <stp>12/31/2018</stp>
        <tr r="M2296" s="1"/>
      </tp>
      <tp>
        <v>32.518125949589901</v>
        <stp/>
        <stp>EM_S_VAL_PETTMDEDUCTED</stp>
        <stp>2</stp>
        <stp>300200</stp>
        <stp>12/31/2018</stp>
        <tr r="M246" s="1"/>
      </tp>
      <tp>
        <v>12.038213838736301</v>
        <stp/>
        <stp>EM_S_VAL_PETTMDEDUCTED</stp>
        <stp>2</stp>
        <stp>600250</stp>
        <stp>12/31/2018</stp>
        <tr r="M3043" s="1"/>
      </tp>
      <tp>
        <v>32.278409779207301</v>
        <stp/>
        <stp>EM_S_VAL_PETTMDEDUCTED</stp>
        <stp>2</stp>
        <stp>300201</stp>
        <stp>12/31/2018</stp>
        <tr r="M2087" s="1"/>
      </tp>
      <tp>
        <v>36.319325664488503</v>
        <stp/>
        <stp>EM_S_VAL_PETTMDEDUCTED</stp>
        <stp>2</stp>
        <stp>600251</stp>
        <stp>12/31/2018</stp>
        <tr r="M1731" s="1"/>
      </tp>
      <tp>
        <v>-107.937450740321</v>
        <stp/>
        <stp>EM_S_VAL_PETTMDEDUCTED</stp>
        <stp>2</stp>
        <stp>300218</stp>
        <stp>12/31/2018</stp>
        <tr r="M970" s="1"/>
      </tp>
      <tp>
        <v>26.577622501990099</v>
        <stp/>
        <stp>EM_S_VAL_PETTMDEDUCTED</stp>
        <stp>2</stp>
        <stp>600248</stp>
        <stp>12/31/2018</stp>
        <tr r="M1689" s="1"/>
      </tp>
      <tp>
        <v>17.274920652413901</v>
        <stp/>
        <stp>EM_S_VAL_PETTMDEDUCTED</stp>
        <stp>2</stp>
        <stp>300219</stp>
        <stp>12/31/2018</stp>
        <tr r="M2822" s="1"/>
      </tp>
      <tp>
        <v>-20.443705646822899</v>
        <stp/>
        <stp>EM_S_VAL_PETTMDEDUCTED</stp>
        <stp>2</stp>
        <stp>600249</stp>
        <stp>12/31/2018</stp>
        <tr r="M1050" s="1"/>
      </tp>
      <tp>
        <v>-1.3914868827301099</v>
        <stp/>
        <stp>EM_S_VAL_PETTMDEDUCTED</stp>
        <stp>2</stp>
        <stp>300216</stp>
        <stp>12/31/2018</stp>
        <tr r="M2361" s="1"/>
      </tp>
      <tp>
        <v>19.9288994432175</v>
        <stp/>
        <stp>EM_S_VAL_PETTMDEDUCTED</stp>
        <stp>2</stp>
        <stp>600246</stp>
        <stp>12/31/2018</stp>
        <tr r="M495" s="1"/>
      </tp>
      <tp>
        <v>21.485053168885099</v>
        <stp/>
        <stp>EM_S_VAL_PETTMDEDUCTED</stp>
        <stp>2</stp>
        <stp>300217</stp>
        <stp>12/31/2018</stp>
        <tr r="M2065" s="1"/>
      </tp>
      <tp>
        <v>5.9519958501053001</v>
        <stp/>
        <stp>EM_S_VAL_PETTMDEDUCTED</stp>
        <stp>2</stp>
        <stp>600247</stp>
        <stp>12/31/2018</stp>
        <tr r="M3103" s="1"/>
      </tp>
      <tp>
        <v>32.966021666082597</v>
        <stp/>
        <stp>EM_S_VAL_PETTMDEDUCTED</stp>
        <stp>2</stp>
        <stp>300214</stp>
        <stp>12/31/2018</stp>
        <tr r="M590" s="1"/>
      </tp>
      <tp>
        <v>33.746236961019001</v>
        <stp/>
        <stp>EM_S_VAL_PETTMDEDUCTED</stp>
        <stp>2</stp>
        <stp>300215</stp>
        <stp>12/31/2018</stp>
        <tr r="M1169" s="1"/>
      </tp>
      <tp>
        <v>43.8309688999936</v>
        <stp/>
        <stp>EM_S_VAL_PETTMDEDUCTED</stp>
        <stp>2</stp>
        <stp>300212</stp>
        <stp>12/31/2018</stp>
        <tr r="M426" s="1"/>
      </tp>
      <tp>
        <v>61.9532480500744</v>
        <stp/>
        <stp>EM_S_VAL_PETTMDEDUCTED</stp>
        <stp>2</stp>
        <stp>600242</stp>
        <stp>12/31/2018</stp>
        <tr r="M3360" s="1"/>
      </tp>
      <tp>
        <v>29.430110799225201</v>
        <stp/>
        <stp>EM_S_VAL_PETTMDEDUCTED</stp>
        <stp>2</stp>
        <stp>300213</stp>
        <stp>12/31/2018</stp>
        <tr r="M1437" s="1"/>
      </tp>
      <tp>
        <v>-12.9544492707555</v>
        <stp/>
        <stp>EM_S_VAL_PETTMDEDUCTED</stp>
        <stp>2</stp>
        <stp>600243</stp>
        <stp>12/31/2018</stp>
        <tr r="M1495" s="1"/>
      </tp>
      <tp>
        <v>142.26979228995299</v>
        <stp/>
        <stp>EM_S_VAL_PETTMDEDUCTED</stp>
        <stp>2</stp>
        <stp>300210</stp>
        <stp>12/31/2018</stp>
        <tr r="M3058" s="1"/>
      </tp>
      <tp>
        <v>93.5645087555814</v>
        <stp/>
        <stp>EM_S_VAL_PETTMDEDUCTED</stp>
        <stp>2</stp>
        <stp>600240</stp>
        <stp>12/31/2018</stp>
        <tr r="M3408" s="1"/>
      </tp>
      <tp>
        <v>687.76611679985001</v>
        <stp/>
        <stp>EM_S_VAL_PETTMDEDUCTED</stp>
        <stp>2</stp>
        <stp>300211</stp>
        <stp>12/31/2018</stp>
        <tr r="M339" s="1"/>
      </tp>
      <tp>
        <v>-28.835172162606501</v>
        <stp/>
        <stp>EM_S_VAL_PETTMDEDUCTED</stp>
        <stp>2</stp>
        <stp>600241</stp>
        <stp>12/31/2018</stp>
        <tr r="M2745" s="1"/>
      </tp>
      <tp>
        <v>-146.69842313304099</v>
        <stp/>
        <stp>EM_S_VAL_PETTMDEDUCTED</stp>
        <stp>2</stp>
        <stp>300268</stp>
        <stp>12/31/2018</stp>
        <tr r="M1057" s="1"/>
      </tp>
      <tp>
        <v>-7.0912927480955297</v>
        <stp/>
        <stp>EM_S_VAL_PETTMDEDUCTED</stp>
        <stp>2</stp>
        <stp>600238</stp>
        <stp>12/31/2018</stp>
        <tr r="M1030" s="1"/>
      </tp>
      <tp>
        <v>-7.33076112148912</v>
        <stp/>
        <stp>EM_S_VAL_PETTMDEDUCTED</stp>
        <stp>2</stp>
        <stp>300269</stp>
        <stp>12/31/2018</stp>
        <tr r="M2751" s="1"/>
      </tp>
      <tp>
        <v>12.344987878623099</v>
        <stp/>
        <stp>EM_S_VAL_PETTMDEDUCTED</stp>
        <stp>2</stp>
        <stp>600239</stp>
        <stp>12/31/2018</stp>
        <tr r="M2256" s="1"/>
      </tp>
      <tp>
        <v>239.208539793548</v>
        <stp/>
        <stp>EM_S_VAL_PETTMDEDUCTED</stp>
        <stp>2</stp>
        <stp>300266</stp>
        <stp>12/31/2018</stp>
        <tr r="M2378" s="1"/>
      </tp>
      <tp>
        <v>12.3339718673421</v>
        <stp/>
        <stp>EM_S_VAL_PETTMDEDUCTED</stp>
        <stp>2</stp>
        <stp>600236</stp>
        <stp>12/31/2018</stp>
        <tr r="M2882" s="1"/>
      </tp>
      <tp>
        <v>36.456657252912301</v>
        <stp/>
        <stp>EM_S_VAL_PETTMDEDUCTED</stp>
        <stp>2</stp>
        <stp>300267</stp>
        <stp>12/31/2018</stp>
        <tr r="M928" s="1"/>
      </tp>
      <tp>
        <v>-81.939920926992798</v>
        <stp/>
        <stp>EM_S_VAL_PETTMDEDUCTED</stp>
        <stp>2</stp>
        <stp>600237</stp>
        <stp>12/31/2018</stp>
        <tr r="M1805" s="1"/>
      </tp>
      <tp>
        <v>-30.532990273824499</v>
        <stp/>
        <stp>EM_S_VAL_PETTMDEDUCTED</stp>
        <stp>2</stp>
        <stp>300264</stp>
        <stp>12/31/2018</stp>
        <tr r="M2027" s="1"/>
      </tp>
      <tp>
        <v>-106.87026753232399</v>
        <stp/>
        <stp>EM_S_VAL_PETTMDEDUCTED</stp>
        <stp>2</stp>
        <stp>600234</stp>
        <stp>12/31/2018</stp>
        <tr r="M1543" s="1"/>
      </tp>
      <tp>
        <v>397.74300260453799</v>
        <stp/>
        <stp>EM_S_VAL_PETTMDEDUCTED</stp>
        <stp>2</stp>
        <stp>300265</stp>
        <stp>12/31/2018</stp>
        <tr r="M2552" s="1"/>
      </tp>
      <tp>
        <v>118.650444459927</v>
        <stp/>
        <stp>EM_S_VAL_PETTMDEDUCTED</stp>
        <stp>2</stp>
        <stp>600235</stp>
        <stp>12/31/2018</stp>
        <tr r="M2924" s="1"/>
      </tp>
      <tp>
        <v>74.377965118267298</v>
        <stp/>
        <stp>EM_S_VAL_PETTMDEDUCTED</stp>
        <stp>2</stp>
        <stp>300262</stp>
        <stp>12/31/2018</stp>
        <tr r="M2823" s="1"/>
      </tp>
      <tp>
        <v>90.245489059538599</v>
        <stp/>
        <stp>EM_S_VAL_PETTMDEDUCTED</stp>
        <stp>2</stp>
        <stp>600232</stp>
        <stp>12/31/2018</stp>
        <tr r="M942" s="1"/>
      </tp>
      <tp>
        <v>44.3313413768307</v>
        <stp/>
        <stp>EM_S_VAL_PETTMDEDUCTED</stp>
        <stp>2</stp>
        <stp>300263</stp>
        <stp>12/31/2018</stp>
        <tr r="M837" s="1"/>
      </tp>
      <tp>
        <v>17.8563645365494</v>
        <stp/>
        <stp>EM_S_VAL_PETTMDEDUCTED</stp>
        <stp>2</stp>
        <stp>600233</stp>
        <stp>12/31/2018</stp>
        <tr r="M1032" s="1"/>
      </tp>
      <tp>
        <v>48.491018039231697</v>
        <stp/>
        <stp>EM_S_VAL_PETTMDEDUCTED</stp>
        <stp>2</stp>
        <stp>300260</stp>
        <stp>12/31/2018</stp>
        <tr r="M893" s="1"/>
      </tp>
      <tp>
        <v>4.9243193606963596</v>
        <stp/>
        <stp>EM_S_VAL_PETTMDEDUCTED</stp>
        <stp>2</stp>
        <stp>600230</stp>
        <stp>12/31/2018</stp>
        <tr r="M3272" s="1"/>
      </tp>
      <tp>
        <v>36.200706332497901</v>
        <stp/>
        <stp>EM_S_VAL_PETTMDEDUCTED</stp>
        <stp>2</stp>
        <stp>300261</stp>
        <stp>12/31/2018</stp>
        <tr r="M2999" s="1"/>
      </tp>
      <tp>
        <v>4.8882701475574901</v>
        <stp/>
        <stp>EM_S_VAL_PETTMDEDUCTED</stp>
        <stp>2</stp>
        <stp>600231</stp>
        <stp>12/31/2018</stp>
        <tr r="M2157" s="1"/>
      </tp>
      <tp>
        <v>152.564680592028</v>
        <stp/>
        <stp>EM_S_VAL_PETTMDEDUCTED</stp>
        <stp>2</stp>
        <stp>300278</stp>
        <stp>12/31/2018</stp>
        <tr r="M3145" s="1"/>
      </tp>
      <tp>
        <v>-105.057582448703</v>
        <stp/>
        <stp>EM_S_VAL_PETTMDEDUCTED</stp>
        <stp>2</stp>
        <stp>600228</stp>
        <stp>12/31/2018</stp>
        <tr r="M3169" s="1"/>
      </tp>
      <tp>
        <v>-37.459410829418402</v>
        <stp/>
        <stp>EM_S_VAL_PETTMDEDUCTED</stp>
        <stp>2</stp>
        <stp>300279</stp>
        <stp>12/31/2018</stp>
        <tr r="M1022" s="1"/>
      </tp>
      <tp>
        <v>16.603791944721099</v>
        <stp/>
        <stp>EM_S_VAL_PETTMDEDUCTED</stp>
        <stp>2</stp>
        <stp>600229</stp>
        <stp>12/31/2018</stp>
        <tr r="M2004" s="1"/>
      </tp>
      <tp>
        <v>25.798224149116301</v>
        <stp/>
        <stp>EM_S_VAL_PETTMDEDUCTED</stp>
        <stp>2</stp>
        <stp>300276</stp>
        <stp>12/31/2018</stp>
        <tr r="M3092" s="1"/>
      </tp>
      <tp>
        <v>37.638851291549102</v>
        <stp/>
        <stp>EM_S_VAL_PETTMDEDUCTED</stp>
        <stp>2</stp>
        <stp>600226</stp>
        <stp>12/31/2018</stp>
        <tr r="M1718" s="1"/>
      </tp>
      <tp>
        <v>423.58244549506998</v>
        <stp/>
        <stp>EM_S_VAL_PETTMDEDUCTED</stp>
        <stp>2</stp>
        <stp>300277</stp>
        <stp>12/31/2018</stp>
        <tr r="M492" s="1"/>
      </tp>
      <tp>
        <v>20.436606553903701</v>
        <stp/>
        <stp>EM_S_VAL_PETTMDEDUCTED</stp>
        <stp>2</stp>
        <stp>600227</stp>
        <stp>12/31/2018</stp>
        <tr r="M2732" s="1"/>
      </tp>
      <tp>
        <v>16.680788447023701</v>
        <stp/>
        <stp>EM_S_VAL_PETTMDEDUCTED</stp>
        <stp>2</stp>
        <stp>300274</stp>
        <stp>12/31/2018</stp>
        <tr r="M1283" s="1"/>
      </tp>
      <tp>
        <v>89.195108785547404</v>
        <stp/>
        <stp>EM_S_VAL_PETTMDEDUCTED</stp>
        <stp>2</stp>
        <stp>300275</stp>
        <stp>12/31/2018</stp>
        <tr r="M386" s="1"/>
      </tp>
      <tp>
        <v>-7.14116674743563</v>
        <stp/>
        <stp>EM_S_VAL_PETTMDEDUCTED</stp>
        <stp>2</stp>
        <stp>600225</stp>
        <stp>12/31/2018</stp>
        <tr r="M2872" s="1"/>
      </tp>
      <tp>
        <v>285.88974637970199</v>
        <stp/>
        <stp>EM_S_VAL_PETTMDEDUCTED</stp>
        <stp>2</stp>
        <stp>300272</stp>
        <stp>12/31/2018</stp>
        <tr r="M3189" s="1"/>
      </tp>
      <tp>
        <v>4096.32650328611</v>
        <stp/>
        <stp>EM_S_VAL_PETTMDEDUCTED</stp>
        <stp>2</stp>
        <stp>600222</stp>
        <stp>12/31/2018</stp>
        <tr r="M1015" s="1"/>
      </tp>
      <tp>
        <v>47.293278897776197</v>
        <stp/>
        <stp>EM_S_VAL_PETTMDEDUCTED</stp>
        <stp>2</stp>
        <stp>300273</stp>
        <stp>12/31/2018</stp>
        <tr r="M1936" s="1"/>
      </tp>
      <tp>
        <v>22.455289299297998</v>
        <stp/>
        <stp>EM_S_VAL_PETTMDEDUCTED</stp>
        <stp>2</stp>
        <stp>600223</stp>
        <stp>12/31/2018</stp>
        <tr r="M86" s="1"/>
      </tp>
      <tp>
        <v>-269.97100734468597</v>
        <stp/>
        <stp>EM_S_VAL_PETTMDEDUCTED</stp>
        <stp>2</stp>
        <stp>300270</stp>
        <stp>12/31/2018</stp>
        <tr r="M966" s="1"/>
      </tp>
      <tp>
        <v>29.812623329353801</v>
        <stp/>
        <stp>EM_S_VAL_PETTMDEDUCTED</stp>
        <stp>2</stp>
        <stp>600220</stp>
        <stp>12/31/2018</stp>
        <tr r="M1873" s="1"/>
      </tp>
      <tp>
        <v>26.8276413609019</v>
        <stp/>
        <stp>EM_S_VAL_PETTMDEDUCTED</stp>
        <stp>2</stp>
        <stp>300271</stp>
        <stp>12/31/2018</stp>
        <tr r="M312" s="1"/>
      </tp>
      <tp>
        <v>107.33955794408701</v>
        <stp/>
        <stp>EM_S_VAL_PETTMDEDUCTED</stp>
        <stp>2</stp>
        <stp>600221</stp>
        <stp>12/31/2018</stp>
        <tr r="M2679" s="1"/>
      </tp>
      <tp>
        <v>40.160107264789502</v>
        <stp/>
        <stp>EM_S_VAL_PETTMDEDUCTED</stp>
        <stp>2</stp>
        <stp>300248</stp>
        <stp>12/31/2018</stp>
        <tr r="M1276" s="1"/>
      </tp>
      <tp>
        <v>-208.17125911233501</v>
        <stp/>
        <stp>EM_S_VAL_PETTMDEDUCTED</stp>
        <stp>2</stp>
        <stp>600218</stp>
        <stp>12/31/2018</stp>
        <tr r="M83" s="1"/>
      </tp>
      <tp>
        <v>27.5149259236725</v>
        <stp/>
        <stp>EM_S_VAL_PETTMDEDUCTED</stp>
        <stp>2</stp>
        <stp>300249</stp>
        <stp>12/31/2018</stp>
        <tr r="M2557" s="1"/>
      </tp>
      <tp>
        <v>15.077034497675101</v>
        <stp/>
        <stp>EM_S_VAL_PETTMDEDUCTED</stp>
        <stp>2</stp>
        <stp>600219</stp>
        <stp>12/31/2018</stp>
        <tr r="M1916" s="1"/>
      </tp>
      <tp>
        <v>36.587600277242899</v>
        <stp/>
        <stp>EM_S_VAL_PETTMDEDUCTED</stp>
        <stp>2</stp>
        <stp>300246</stp>
        <stp>12/31/2018</stp>
        <tr r="M740" s="1"/>
      </tp>
      <tp>
        <v>13.083657128297901</v>
        <stp/>
        <stp>EM_S_VAL_PETTMDEDUCTED</stp>
        <stp>2</stp>
        <stp>600216</stp>
        <stp>12/31/2018</stp>
        <tr r="M597" s="1"/>
      </tp>
      <tp>
        <v>36.865518970283702</v>
        <stp/>
        <stp>EM_S_VAL_PETTMDEDUCTED</stp>
        <stp>2</stp>
        <stp>300247</stp>
        <stp>12/31/2018</stp>
        <tr r="M2984" s="1"/>
      </tp>
      <tp>
        <v>20.5176389844619</v>
        <stp/>
        <stp>EM_S_VAL_PETTMDEDUCTED</stp>
        <stp>2</stp>
        <stp>600217</stp>
        <stp>12/31/2018</stp>
        <tr r="M1105" s="1"/>
      </tp>
      <tp>
        <v>34.082215868451797</v>
        <stp/>
        <stp>EM_S_VAL_PETTMDEDUCTED</stp>
        <stp>2</stp>
        <stp>300244</stp>
        <stp>12/31/2018</stp>
        <tr r="M671" s="1"/>
      </tp>
      <tp>
        <v>126.62886089841101</v>
        <stp/>
        <stp>EM_S_VAL_PETTMDEDUCTED</stp>
        <stp>2</stp>
        <stp>300245</stp>
        <stp>12/31/2018</stp>
        <tr r="M1646" s="1"/>
      </tp>
      <tp>
        <v>66.468658426544295</v>
        <stp/>
        <stp>EM_S_VAL_PETTMDEDUCTED</stp>
        <stp>2</stp>
        <stp>600215</stp>
        <stp>12/31/2018</stp>
        <tr r="M2571" s="1"/>
      </tp>
      <tp>
        <v>44.666471116243599</v>
        <stp/>
        <stp>EM_S_VAL_PETTMDEDUCTED</stp>
        <stp>2</stp>
        <stp>300242</stp>
        <stp>12/31/2018</stp>
        <tr r="M2537" s="1"/>
      </tp>
      <tp>
        <v>-62.729659323946201</v>
        <stp/>
        <stp>EM_S_VAL_PETTMDEDUCTED</stp>
        <stp>2</stp>
        <stp>600212</stp>
        <stp>12/31/2018</stp>
        <tr r="M2006" s="1"/>
      </tp>
      <tp>
        <v>17.8239471680881</v>
        <stp/>
        <stp>EM_S_VAL_PETTMDEDUCTED</stp>
        <stp>2</stp>
        <stp>300243</stp>
        <stp>12/31/2018</stp>
        <tr r="M2469" s="1"/>
      </tp>
      <tp>
        <v>32.738150922182299</v>
        <stp/>
        <stp>EM_S_VAL_PETTMDEDUCTED</stp>
        <stp>2</stp>
        <stp>600213</stp>
        <stp>12/31/2018</stp>
        <tr r="M668" s="1"/>
      </tp>
      <tp>
        <v>266.79530324301101</v>
        <stp/>
        <stp>EM_S_VAL_PETTMDEDUCTED</stp>
        <stp>2</stp>
        <stp>300240</stp>
        <stp>12/31/2018</stp>
        <tr r="M2840" s="1"/>
      </tp>
      <tp>
        <v>26.003554369127901</v>
        <stp/>
        <stp>EM_S_VAL_PETTMDEDUCTED</stp>
        <stp>2</stp>
        <stp>600210</stp>
        <stp>12/31/2018</stp>
        <tr r="M2091" s="1"/>
      </tp>
      <tp>
        <v>37.991811197018897</v>
        <stp/>
        <stp>EM_S_VAL_PETTMDEDUCTED</stp>
        <stp>2</stp>
        <stp>300241</stp>
        <stp>12/31/2018</stp>
        <tr r="M679" s="1"/>
      </tp>
      <tp>
        <v>21.4080800242733</v>
        <stp/>
        <stp>EM_S_VAL_PETTMDEDUCTED</stp>
        <stp>2</stp>
        <stp>600211</stp>
        <stp>12/31/2018</stp>
        <tr r="M1937" s="1"/>
      </tp>
      <tp>
        <v>18.2059100112963</v>
        <stp/>
        <stp>EM_S_VAL_PETTMDEDUCTED</stp>
        <stp>2</stp>
        <stp>300258</stp>
        <stp>12/31/2018</stp>
        <tr r="M2705" s="1"/>
      </tp>
      <tp>
        <v>8.4825108981595196</v>
        <stp/>
        <stp>EM_S_VAL_PETTMDEDUCTED</stp>
        <stp>2</stp>
        <stp>600208</stp>
        <stp>12/31/2018</stp>
        <tr r="M957" s="1"/>
      </tp>
      <tp>
        <v>23.9652883968281</v>
        <stp/>
        <stp>EM_S_VAL_PETTMDEDUCTED</stp>
        <stp>2</stp>
        <stp>300259</stp>
        <stp>12/31/2018</stp>
        <tr r="M399" s="1"/>
      </tp>
      <tp>
        <v>-33.461059899709298</v>
        <stp/>
        <stp>EM_S_VAL_PETTMDEDUCTED</stp>
        <stp>2</stp>
        <stp>600209</stp>
        <stp>12/31/2018</stp>
        <tr r="M3022" s="1"/>
      </tp>
      <tp>
        <v>-64.377860968667605</v>
        <stp/>
        <stp>EM_S_VAL_PETTMDEDUCTED</stp>
        <stp>2</stp>
        <stp>300256</stp>
        <stp>12/31/2018</stp>
        <tr r="M154" s="1"/>
      </tp>
      <tp>
        <v>441.96464956691398</v>
        <stp/>
        <stp>EM_S_VAL_PETTMDEDUCTED</stp>
        <stp>2</stp>
        <stp>600206</stp>
        <stp>12/31/2018</stp>
        <tr r="M232" s="1"/>
      </tp>
      <tp>
        <v>72.543450106083696</v>
        <stp/>
        <stp>EM_S_VAL_PETTMDEDUCTED</stp>
        <stp>2</stp>
        <stp>300257</stp>
        <stp>12/31/2018</stp>
        <tr r="M1743" s="1"/>
      </tp>
      <tp>
        <v>-158.07310721588701</v>
        <stp/>
        <stp>EM_S_VAL_PETTMDEDUCTED</stp>
        <stp>2</stp>
        <stp>600207</stp>
        <stp>12/31/2018</stp>
        <tr r="M1807" s="1"/>
      </tp>
      <tp>
        <v>-224.979270139091</v>
        <stp/>
        <stp>EM_S_VAL_PETTMDEDUCTED</stp>
        <stp>2</stp>
        <stp>300254</stp>
        <stp>12/31/2018</stp>
        <tr r="M1140" s="1"/>
      </tp>
      <tp>
        <v>17.5799437045183</v>
        <stp/>
        <stp>EM_S_VAL_PETTMDEDUCTED</stp>
        <stp>2</stp>
        <stp>300255</stp>
        <stp>12/31/2018</stp>
        <tr r="M922" s="1"/>
      </tp>
      <tp>
        <v>16.366755128703801</v>
        <stp/>
        <stp>EM_S_VAL_PETTMDEDUCTED</stp>
        <stp>2</stp>
        <stp>600205</stp>
        <stp>12/31/2018</stp>
        <tr r="M2295" s="1"/>
      </tp>
      <tp>
        <v>71.590766474718805</v>
        <stp/>
        <stp>EM_S_VAL_PETTMDEDUCTED</stp>
        <stp>2</stp>
        <stp>300252</stp>
        <stp>12/31/2018</stp>
        <tr r="M2966" s="1"/>
      </tp>
      <tp>
        <v>-21.669740830915099</v>
        <stp/>
        <stp>EM_S_VAL_PETTMDEDUCTED</stp>
        <stp>2</stp>
        <stp>600202</stp>
        <stp>12/31/2018</stp>
        <tr r="M605" s="1"/>
      </tp>
      <tp>
        <v>78.470347617478396</v>
        <stp/>
        <stp>EM_S_VAL_PETTMDEDUCTED</stp>
        <stp>2</stp>
        <stp>300253</stp>
        <stp>12/31/2018</stp>
        <tr r="M1336" s="1"/>
      </tp>
      <tp>
        <v>-8.9058097856351601</v>
        <stp/>
        <stp>EM_S_VAL_PETTMDEDUCTED</stp>
        <stp>2</stp>
        <stp>600203</stp>
        <stp>12/31/2018</stp>
        <tr r="M655" s="1"/>
      </tp>
      <tp>
        <v>78.745752781169202</v>
        <stp/>
        <stp>EM_S_VAL_PETTMDEDUCTED</stp>
        <stp>2</stp>
        <stp>300250</stp>
        <stp>12/31/2018</stp>
        <tr r="M1446" s="1"/>
      </tp>
      <tp>
        <v>1906.6139414198799</v>
        <stp/>
        <stp>EM_S_VAL_PETTMDEDUCTED</stp>
        <stp>2</stp>
        <stp>600200</stp>
        <stp>12/31/2018</stp>
        <tr r="M2906" s="1"/>
      </tp>
      <tp>
        <v>55.275161749006003</v>
        <stp/>
        <stp>EM_S_VAL_PETTMDEDUCTED</stp>
        <stp>2</stp>
        <stp>300251</stp>
        <stp>12/31/2018</stp>
        <tr r="M501" s="1"/>
      </tp>
      <tp>
        <v>22.505315392034898</v>
        <stp/>
        <stp>EM_S_VAL_PETTMDEDUCTED</stp>
        <stp>2</stp>
        <stp>600201</stp>
        <stp>12/31/2018</stp>
        <tr r="M1517" s="1"/>
      </tp>
      <tp>
        <v>16.872771653953301</v>
        <stp/>
        <stp>EM_S_VAL_PETTMDEDUCTED</stp>
        <stp>2</stp>
        <stp>300388</stp>
        <stp>12/31/2018</stp>
        <tr r="M1290" s="1"/>
      </tp>
      <tp>
        <v>24.111969191924398</v>
        <stp/>
        <stp>EM_S_VAL_PETTMDEDUCTED</stp>
        <stp>2</stp>
        <stp>300389</stp>
        <stp>12/31/2018</stp>
        <tr r="M3203" s="1"/>
      </tp>
      <tp>
        <v>40.852022820592303</v>
        <stp/>
        <stp>EM_S_VAL_PETTMDEDUCTED</stp>
        <stp>2</stp>
        <stp>300386</stp>
        <stp>12/31/2018</stp>
        <tr r="M696" s="1"/>
      </tp>
      <tp>
        <v>23.673482930752201</v>
        <stp/>
        <stp>EM_S_VAL_PETTMDEDUCTED</stp>
        <stp>2</stp>
        <stp>300387</stp>
        <stp>12/31/2018</stp>
        <tr r="M304" s="1"/>
      </tp>
      <tp>
        <v>29.2814487067999</v>
        <stp/>
        <stp>EM_S_VAL_PETTMDEDUCTED</stp>
        <stp>2</stp>
        <stp>300384</stp>
        <stp>12/31/2018</stp>
        <tr r="M530" s="1"/>
      </tp>
      <tp>
        <v>28.334062324295999</v>
        <stp/>
        <stp>EM_S_VAL_PETTMDEDUCTED</stp>
        <stp>2</stp>
        <stp>300385</stp>
        <stp>12/31/2018</stp>
        <tr r="M2956" s="1"/>
      </tp>
      <tp>
        <v>19.828570950937898</v>
        <stp/>
        <stp>EM_S_VAL_PETTMDEDUCTED</stp>
        <stp>2</stp>
        <stp>300382</stp>
        <stp>12/31/2018</stp>
        <tr r="M2351" s="1"/>
      </tp>
      <tp>
        <v>33.347356436859897</v>
        <stp/>
        <stp>EM_S_VAL_PETTMDEDUCTED</stp>
        <stp>2</stp>
        <stp>300383</stp>
        <stp>12/31/2018</stp>
        <tr r="M447" s="1"/>
      </tp>
      <tp>
        <v>105.985372928063</v>
        <stp/>
        <stp>EM_S_VAL_PETTMDEDUCTED</stp>
        <stp>2</stp>
        <stp>300380</stp>
        <stp>12/31/2018</stp>
        <tr r="M1006" s="1"/>
      </tp>
      <tp>
        <v>52.733377953943197</v>
        <stp/>
        <stp>EM_S_VAL_PETTMDEDUCTED</stp>
        <stp>2</stp>
        <stp>300381</stp>
        <stp>12/31/2018</stp>
        <tr r="M1162" s="1"/>
      </tp>
      <tp>
        <v>25.946765878815</v>
        <stp/>
        <stp>EM_S_VAL_PETTMDEDUCTED</stp>
        <stp>2</stp>
        <stp>300398</stp>
        <stp>12/31/2018</stp>
        <tr r="M2573" s="1"/>
      </tp>
      <tp>
        <v>175.75341111297701</v>
        <stp/>
        <stp>EM_S_VAL_PETTMDEDUCTED</stp>
        <stp>2</stp>
        <stp>300399</stp>
        <stp>12/31/2018</stp>
        <tr r="M472" s="1"/>
      </tp>
      <tp>
        <v>18.832621752401401</v>
        <stp/>
        <stp>EM_S_VAL_PETTMDEDUCTED</stp>
        <stp>2</stp>
        <stp>300396</stp>
        <stp>12/31/2018</stp>
        <tr r="M723" s="1"/>
      </tp>
      <tp>
        <v>-11.2457820677448</v>
        <stp/>
        <stp>EM_S_VAL_PETTMDEDUCTED</stp>
        <stp>2</stp>
        <stp>300397</stp>
        <stp>12/31/2018</stp>
        <tr r="M41" s="1"/>
      </tp>
      <tp>
        <v>43.920396477219597</v>
        <stp/>
        <stp>EM_S_VAL_PETTMDEDUCTED</stp>
        <stp>2</stp>
        <stp>300394</stp>
        <stp>12/31/2018</stp>
        <tr r="M554" s="1"/>
      </tp>
      <tp>
        <v>28.106929987357901</v>
        <stp/>
        <stp>EM_S_VAL_PETTMDEDUCTED</stp>
        <stp>2</stp>
        <stp>300395</stp>
        <stp>12/31/2018</stp>
        <tr r="M574" s="1"/>
      </tp>
      <tp>
        <v>-14.7698381125964</v>
        <stp/>
        <stp>EM_S_VAL_PETTMDEDUCTED</stp>
        <stp>2</stp>
        <stp>300392</stp>
        <stp>12/31/2018</stp>
        <tr r="M2449" s="1"/>
      </tp>
      <tp>
        <v>25.8503263143173</v>
        <stp/>
        <stp>EM_S_VAL_PETTMDEDUCTED</stp>
        <stp>2</stp>
        <stp>300393</stp>
        <stp>12/31/2018</stp>
        <tr r="M2477" s="1"/>
      </tp>
      <tp>
        <v>58.192276818961801</v>
        <stp/>
        <stp>EM_S_VAL_PETTMDEDUCTED</stp>
        <stp>2</stp>
        <stp>300390</stp>
        <stp>12/31/2018</stp>
        <tr r="M2862" s="1"/>
      </tp>
      <tp>
        <v>21.710357621500901</v>
        <stp/>
        <stp>EM_S_VAL_PETTMDEDUCTED</stp>
        <stp>2</stp>
        <stp>300391</stp>
        <stp>12/31/2018</stp>
        <tr r="M3154" s="1"/>
      </tp>
      <tp>
        <v>11.480692165919701</v>
        <stp/>
        <stp>EM_S_VAL_PETTMDEDUCTED</stp>
        <stp>2</stp>
        <stp>600398</stp>
        <stp>12/31/2018</stp>
        <tr r="M2779" s="1"/>
      </tp>
      <tp>
        <v>-3.3113217214148598</v>
        <stp/>
        <stp>EM_S_VAL_PETTMDEDUCTED</stp>
        <stp>2</stp>
        <stp>600399</stp>
        <stp>12/31/2018</stp>
        <tr r="M902" s="1"/>
      </tp>
      <tp>
        <v>-2.7059608989876902</v>
        <stp/>
        <stp>EM_S_VAL_PETTMDEDUCTED</stp>
        <stp>2</stp>
        <stp>600396</stp>
        <stp>12/31/2018</stp>
        <tr r="M2422" s="1"/>
      </tp>
      <tp>
        <v>-4.4684317209307798</v>
        <stp/>
        <stp>EM_S_VAL_PETTMDEDUCTED</stp>
        <stp>2</stp>
        <stp>600397</stp>
        <stp>12/31/2018</stp>
        <tr r="M1122" s="1"/>
      </tp>
      <tp>
        <v>9.9226879273109301</v>
        <stp/>
        <stp>EM_S_VAL_PETTMDEDUCTED</stp>
        <stp>2</stp>
        <stp>600395</stp>
        <stp>12/31/2018</stp>
        <tr r="M1227" s="1"/>
      </tp>
      <tp>
        <v>57.169175373157799</v>
        <stp/>
        <stp>EM_S_VAL_PETTMDEDUCTED</stp>
        <stp>2</stp>
        <stp>600392</stp>
        <stp>12/31/2018</stp>
        <tr r="M1949" s="1"/>
      </tp>
      <tp>
        <v>18.350010817901602</v>
        <stp/>
        <stp>EM_S_VAL_PETTMDEDUCTED</stp>
        <stp>2</stp>
        <stp>600393</stp>
        <stp>12/31/2018</stp>
        <tr r="M815" s="1"/>
      </tp>
      <tp>
        <v>17.523672012061599</v>
        <stp/>
        <stp>EM_S_VAL_PETTMDEDUCTED</stp>
        <stp>2</stp>
        <stp>600390</stp>
        <stp>12/31/2018</stp>
        <tr r="M1389" s="1"/>
      </tp>
      <tp>
        <v>-61.011626202137201</v>
        <stp/>
        <stp>EM_S_VAL_PETTMDEDUCTED</stp>
        <stp>2</stp>
        <stp>600391</stp>
        <stp>12/31/2018</stp>
        <tr r="M1045" s="1"/>
      </tp>
      <tp>
        <v>15.789409238873001</v>
        <stp/>
        <stp>EM_S_VAL_PETTMDEDUCTED</stp>
        <stp>2</stp>
        <stp>600388</stp>
        <stp>12/31/2018</stp>
        <tr r="M2538" s="1"/>
      </tp>
      <tp>
        <v>12.081621171625301</v>
        <stp/>
        <stp>EM_S_VAL_PETTMDEDUCTED</stp>
        <stp>2</stp>
        <stp>600389</stp>
        <stp>12/31/2018</stp>
        <tr r="M1130" s="1"/>
      </tp>
      <tp>
        <v>45.486481901125003</v>
        <stp/>
        <stp>EM_S_VAL_PETTMDEDUCTED</stp>
        <stp>2</stp>
        <stp>600386</stp>
        <stp>12/31/2018</stp>
        <tr r="M1578" s="1"/>
      </tp>
      <tp>
        <v>20.6212538268625</v>
        <stp/>
        <stp>EM_S_VAL_PETTMDEDUCTED</stp>
        <stp>2</stp>
        <stp>600387</stp>
        <stp>12/31/2018</stp>
        <tr r="M1984" s="1"/>
      </tp>
      <tp>
        <v>-294.75506417587297</v>
        <stp/>
        <stp>EM_S_VAL_PETTMDEDUCTED</stp>
        <stp>2</stp>
        <stp>600385</stp>
        <stp>12/31/2018</stp>
        <tr r="M3030" s="1"/>
      </tp>
      <tp>
        <v>12.908117209104301</v>
        <stp/>
        <stp>EM_S_VAL_PETTMDEDUCTED</stp>
        <stp>2</stp>
        <stp>600382</stp>
        <stp>12/31/2018</stp>
        <tr r="M2733" s="1"/>
      </tp>
      <tp>
        <v>5.2968378736166297</v>
        <stp/>
        <stp>EM_S_VAL_PETTMDEDUCTED</stp>
        <stp>2</stp>
        <stp>600383</stp>
        <stp>12/31/2018</stp>
        <tr r="M593" s="1"/>
      </tp>
      <tp>
        <v>19.399850760990301</v>
        <stp/>
        <stp>EM_S_VAL_PETTMDEDUCTED</stp>
        <stp>2</stp>
        <stp>600380</stp>
        <stp>12/31/2018</stp>
        <tr r="M567" s="1"/>
      </tp>
      <tp>
        <v>22.134316997129599</v>
        <stp/>
        <stp>EM_S_VAL_PETTMDEDUCTED</stp>
        <stp>2</stp>
        <stp>600381</stp>
        <stp>12/31/2018</stp>
        <tr r="M2664" s="1"/>
      </tp>
      <tp>
        <v>58.762623890728101</v>
        <stp/>
        <stp>EM_S_VAL_PETTMDEDUCTED</stp>
        <stp>2</stp>
        <stp>300328</stp>
        <stp>12/31/2018</stp>
        <tr r="M97" s="1"/>
      </tp>
      <tp>
        <v>114.610479250381</v>
        <stp/>
        <stp>EM_S_VAL_PETTMDEDUCTED</stp>
        <stp>2</stp>
        <stp>600378</stp>
        <stp>12/31/2018</stp>
        <tr r="M132" s="1"/>
      </tp>
      <tp>
        <v>41.823741260292898</v>
        <stp/>
        <stp>EM_S_VAL_PETTMDEDUCTED</stp>
        <stp>2</stp>
        <stp>300329</stp>
        <stp>12/31/2018</stp>
        <tr r="M1174" s="1"/>
      </tp>
      <tp>
        <v>48.2152012026515</v>
        <stp/>
        <stp>EM_S_VAL_PETTMDEDUCTED</stp>
        <stp>2</stp>
        <stp>600379</stp>
        <stp>12/31/2018</stp>
        <tr r="M2976" s="1"/>
      </tp>
      <tp>
        <v>34.0623642308489</v>
        <stp/>
        <stp>EM_S_VAL_PETTMDEDUCTED</stp>
        <stp>2</stp>
        <stp>300326</stp>
        <stp>12/31/2018</stp>
        <tr r="M483" s="1"/>
      </tp>
      <tp>
        <v>7.8558420234832003</v>
        <stp/>
        <stp>EM_S_VAL_PETTMDEDUCTED</stp>
        <stp>2</stp>
        <stp>600376</stp>
        <stp>12/31/2018</stp>
        <tr r="M1649" s="1"/>
      </tp>
      <tp>
        <v>28.809451929639799</v>
        <stp/>
        <stp>EM_S_VAL_PETTMDEDUCTED</stp>
        <stp>2</stp>
        <stp>300327</stp>
        <stp>12/31/2018</stp>
        <tr r="M690" s="1"/>
      </tp>
      <tp>
        <v>12.729188629744399</v>
        <stp/>
        <stp>EM_S_VAL_PETTMDEDUCTED</stp>
        <stp>2</stp>
        <stp>600377</stp>
        <stp>12/31/2018</stp>
        <tr r="M1600" s="1"/>
      </tp>
      <tp>
        <v>21.7116091508945</v>
        <stp/>
        <stp>EM_S_VAL_PETTMDEDUCTED</stp>
        <stp>2</stp>
        <stp>300324</stp>
        <stp>12/31/2018</stp>
        <tr r="M2393" s="1"/>
      </tp>
      <tp>
        <v>242.212076129986</v>
        <stp/>
        <stp>EM_S_VAL_PETTMDEDUCTED</stp>
        <stp>2</stp>
        <stp>300325</stp>
        <stp>12/31/2018</stp>
        <tr r="M1879" s="1"/>
      </tp>
      <tp>
        <v>-245.33966108265199</v>
        <stp/>
        <stp>EM_S_VAL_PETTMDEDUCTED</stp>
        <stp>2</stp>
        <stp>600375</stp>
        <stp>12/31/2018</stp>
        <tr r="M856" s="1"/>
      </tp>
      <tp>
        <v>96.200978244086699</v>
        <stp/>
        <stp>EM_S_VAL_PETTMDEDUCTED</stp>
        <stp>2</stp>
        <stp>300322</stp>
        <stp>12/31/2018</stp>
        <tr r="M123" s="1"/>
      </tp>
      <tp>
        <v>58.426054863503801</v>
        <stp/>
        <stp>EM_S_VAL_PETTMDEDUCTED</stp>
        <stp>2</stp>
        <stp>600372</stp>
        <stp>12/31/2018</stp>
        <tr r="M1736" s="1"/>
      </tp>
      <tp>
        <v>24.1734947273799</v>
        <stp/>
        <stp>EM_S_VAL_PETTMDEDUCTED</stp>
        <stp>2</stp>
        <stp>300323</stp>
        <stp>12/31/2018</stp>
        <tr r="M2365" s="1"/>
      </tp>
      <tp>
        <v>12.327483815467</v>
        <stp/>
        <stp>EM_S_VAL_PETTMDEDUCTED</stp>
        <stp>2</stp>
        <stp>600373</stp>
        <stp>12/31/2018</stp>
        <tr r="M2059" s="1"/>
      </tp>
      <tp>
        <v>16.7038460493564</v>
        <stp/>
        <stp>EM_S_VAL_PETTMDEDUCTED</stp>
        <stp>2</stp>
        <stp>300320</stp>
        <stp>12/31/2018</stp>
        <tr r="M1658" s="1"/>
      </tp>
      <tp>
        <v>45.875095413582201</v>
        <stp/>
        <stp>EM_S_VAL_PETTMDEDUCTED</stp>
        <stp>2</stp>
        <stp>600370</stp>
        <stp>12/31/2018</stp>
        <tr r="M1676" s="1"/>
      </tp>
      <tp>
        <v>46.072580407471499</v>
        <stp/>
        <stp>EM_S_VAL_PETTMDEDUCTED</stp>
        <stp>2</stp>
        <stp>300321</stp>
        <stp>12/31/2018</stp>
        <tr r="M1033" s="1"/>
      </tp>
      <tp>
        <v>23.791794724636301</v>
        <stp/>
        <stp>EM_S_VAL_PETTMDEDUCTED</stp>
        <stp>2</stp>
        <stp>600371</stp>
        <stp>12/31/2018</stp>
        <tr r="M193" s="1"/>
      </tp>
      <tp>
        <v>16.261827841037402</v>
        <stp/>
        <stp>EM_S_VAL_PETTMDEDUCTED</stp>
        <stp>2</stp>
        <stp>300338</stp>
        <stp>12/31/2018</stp>
        <tr r="M520" s="1"/>
      </tp>
      <tp>
        <v>11.583101972659099</v>
        <stp/>
        <stp>EM_S_VAL_PETTMDEDUCTED</stp>
        <stp>2</stp>
        <stp>600368</stp>
        <stp>12/31/2018</stp>
        <tr r="M637" s="1"/>
      </tp>
      <tp>
        <v>25.600248277206301</v>
        <stp/>
        <stp>EM_S_VAL_PETTMDEDUCTED</stp>
        <stp>2</stp>
        <stp>300339</stp>
        <stp>12/31/2018</stp>
        <tr r="M650" s="1"/>
      </tp>
      <tp>
        <v>63.476231559620203</v>
        <stp/>
        <stp>EM_S_VAL_PETTMDEDUCTED</stp>
        <stp>2</stp>
        <stp>600369</stp>
        <stp>12/31/2018</stp>
        <tr r="M559" s="1"/>
      </tp>
      <tp>
        <v>18.988712195046698</v>
        <stp/>
        <stp>EM_S_VAL_PETTMDEDUCTED</stp>
        <stp>2</stp>
        <stp>300336</stp>
        <stp>12/31/2018</stp>
        <tr r="M2614" s="1"/>
      </tp>
      <tp>
        <v>52.138742398256802</v>
        <stp/>
        <stp>EM_S_VAL_PETTMDEDUCTED</stp>
        <stp>2</stp>
        <stp>600366</stp>
        <stp>12/31/2018</stp>
        <tr r="M846" s="1"/>
      </tp>
      <tp>
        <v>-549.84047961230704</v>
        <stp/>
        <stp>EM_S_VAL_PETTMDEDUCTED</stp>
        <stp>2</stp>
        <stp>300337</stp>
        <stp>12/31/2018</stp>
        <tr r="M2721" s="1"/>
      </tp>
      <tp>
        <v>17.4313560593924</v>
        <stp/>
        <stp>EM_S_VAL_PETTMDEDUCTED</stp>
        <stp>2</stp>
        <stp>600367</stp>
        <stp>12/31/2018</stp>
        <tr r="M1964" s="1"/>
      </tp>
      <tp>
        <v>-30.821500466556099</v>
        <stp/>
        <stp>EM_S_VAL_PETTMDEDUCTED</stp>
        <stp>2</stp>
        <stp>300334</stp>
        <stp>12/31/2018</stp>
        <tr r="M2828" s="1"/>
      </tp>
      <tp>
        <v>11.5027615205739</v>
        <stp/>
        <stp>EM_S_VAL_PETTMDEDUCTED</stp>
        <stp>2</stp>
        <stp>300335</stp>
        <stp>12/31/2018</stp>
        <tr r="M2659" s="1"/>
      </tp>
      <tp>
        <v>234.50152377701201</v>
        <stp/>
        <stp>EM_S_VAL_PETTMDEDUCTED</stp>
        <stp>2</stp>
        <stp>600365</stp>
        <stp>12/31/2018</stp>
        <tr r="M1502" s="1"/>
      </tp>
      <tp>
        <v>85.5730747336289</v>
        <stp/>
        <stp>EM_S_VAL_PETTMDEDUCTED</stp>
        <stp>2</stp>
        <stp>300332</stp>
        <stp>12/31/2018</stp>
        <tr r="M1799" s="1"/>
      </tp>
      <tp>
        <v>23.158624632300501</v>
        <stp/>
        <stp>EM_S_VAL_PETTMDEDUCTED</stp>
        <stp>2</stp>
        <stp>600362</stp>
        <stp>12/31/2018</stp>
        <tr r="M900" s="1"/>
      </tp>
      <tp>
        <v>1954.5184094625999</v>
        <stp/>
        <stp>EM_S_VAL_PETTMDEDUCTED</stp>
        <stp>2</stp>
        <stp>300333</stp>
        <stp>12/31/2018</stp>
        <tr r="M455" s="1"/>
      </tp>
      <tp>
        <v>19.053931101884299</v>
        <stp/>
        <stp>EM_S_VAL_PETTMDEDUCTED</stp>
        <stp>2</stp>
        <stp>600363</stp>
        <stp>12/31/2018</stp>
        <tr r="M202" s="1"/>
      </tp>
      <tp>
        <v>-108.938402613693</v>
        <stp/>
        <stp>EM_S_VAL_PETTMDEDUCTED</stp>
        <stp>2</stp>
        <stp>300330</stp>
        <stp>12/31/2018</stp>
        <tr r="M758" s="1"/>
      </tp>
      <tp>
        <v>37.028203962187099</v>
        <stp/>
        <stp>EM_S_VAL_PETTMDEDUCTED</stp>
        <stp>2</stp>
        <stp>600360</stp>
        <stp>12/31/2018</stp>
        <tr r="M920" s="1"/>
      </tp>
      <tp>
        <v>-113.853932985518</v>
        <stp/>
        <stp>EM_S_VAL_PETTMDEDUCTED</stp>
        <stp>2</stp>
        <stp>000301</stp>
        <stp>12/31/2018</stp>
        <tr r="M2580" s="1"/>
      </tp>
      <tp>
        <v>37.547505915858103</v>
        <stp/>
        <stp>EM_S_VAL_PETTMDEDUCTED</stp>
        <stp>2</stp>
        <stp>300331</stp>
        <stp>12/31/2018</stp>
        <tr r="M208" s="1"/>
      </tp>
      <tp>
        <v>33.332894529326097</v>
        <stp/>
        <stp>EM_S_VAL_PETTMDEDUCTED</stp>
        <stp>2</stp>
        <stp>600361</stp>
        <stp>12/31/2018</stp>
        <tr r="M1719" s="1"/>
      </tp>
      <tp>
        <v>8.0150710782195702</v>
        <stp/>
        <stp>EM_S_VAL_PETTMDEDUCTED</stp>
        <stp>2</stp>
        <stp>000338</stp>
        <stp>12/31/2018</stp>
        <tr r="M162" s="1"/>
      </tp>
      <tp>
        <v>30.5003466804217</v>
        <stp/>
        <stp>EM_S_VAL_PETTMDEDUCTED</stp>
        <stp>2</stp>
        <stp>300308</stp>
        <stp>12/31/2018</stp>
        <tr r="M975" s="1"/>
      </tp>
      <tp>
        <v>-118.708322904033</v>
        <stp/>
        <stp>EM_S_VAL_PETTMDEDUCTED</stp>
        <stp>2</stp>
        <stp>600358</stp>
        <stp>12/31/2018</stp>
        <tr r="M1391" s="1"/>
      </tp>
      <tp>
        <v>21.894687674372999</v>
        <stp/>
        <stp>EM_S_VAL_PETTMDEDUCTED</stp>
        <stp>2</stp>
        <stp>300309</stp>
        <stp>12/31/2018</stp>
        <tr r="M3321" s="1"/>
      </tp>
      <tp>
        <v>-12.6656128256037</v>
        <stp/>
        <stp>EM_S_VAL_PETTMDEDUCTED</stp>
        <stp>2</stp>
        <stp>600359</stp>
        <stp>12/31/2018</stp>
        <tr r="M997" s="1"/>
      </tp>
      <tp>
        <v>-28.002085692102</v>
        <stp/>
        <stp>EM_S_VAL_PETTMDEDUCTED</stp>
        <stp>2</stp>
        <stp>300306</stp>
        <stp>12/31/2018</stp>
        <tr r="M300" s="1"/>
      </tp>
      <tp>
        <v>21.7840984249776</v>
        <stp/>
        <stp>EM_S_VAL_PETTMDEDUCTED</stp>
        <stp>2</stp>
        <stp>600356</stp>
        <stp>12/31/2018</stp>
        <tr r="M712" s="1"/>
      </tp>
      <tp>
        <v>49.587956363761499</v>
        <stp/>
        <stp>EM_S_VAL_PETTMDEDUCTED</stp>
        <stp>2</stp>
        <stp>300307</stp>
        <stp>12/31/2018</stp>
        <tr r="M2197" s="1"/>
      </tp>
      <tp>
        <v>-30.296447873082599</v>
        <stp/>
        <stp>EM_S_VAL_PETTMDEDUCTED</stp>
        <stp>2</stp>
        <stp>600357</stp>
        <stp>12/31/2018</stp>
        <tr r="M2301" s="1"/>
      </tp>
      <tp>
        <v>30.983883713842001</v>
        <stp/>
        <stp>EM_S_VAL_PETTMDEDUCTED</stp>
        <stp>2</stp>
        <stp>300304</stp>
        <stp>12/31/2018</stp>
        <tr r="M949" s="1"/>
      </tp>
      <tp>
        <v>-8.01894611504148</v>
        <stp/>
        <stp>EM_S_VAL_PETTMDEDUCTED</stp>
        <stp>2</stp>
        <stp>600354</stp>
        <stp>12/31/2018</stp>
        <tr r="M804" s="1"/>
      </tp>
      <tp>
        <v>46.454880892385397</v>
        <stp/>
        <stp>EM_S_VAL_PETTMDEDUCTED</stp>
        <stp>2</stp>
        <stp>300305</stp>
        <stp>12/31/2018</stp>
        <tr r="M1934" s="1"/>
      </tp>
      <tp>
        <v>-34.615547584819602</v>
        <stp/>
        <stp>EM_S_VAL_PETTMDEDUCTED</stp>
        <stp>2</stp>
        <stp>600355</stp>
        <stp>12/31/2018</stp>
        <tr r="M2366" s="1"/>
      </tp>
      <tp>
        <v>60.205752671818402</v>
        <stp/>
        <stp>EM_S_VAL_PETTMDEDUCTED</stp>
        <stp>2</stp>
        <stp>300302</stp>
        <stp>12/31/2018</stp>
        <tr r="M343" s="1"/>
      </tp>
      <tp>
        <v>9.1238470327240808</v>
        <stp/>
        <stp>EM_S_VAL_PETTMDEDUCTED</stp>
        <stp>2</stp>
        <stp>600352</stp>
        <stp>12/31/2018</stp>
        <tr r="M572" s="1"/>
      </tp>
      <tp>
        <v>12.997275086633</v>
        <stp/>
        <stp>EM_S_VAL_PETTMDEDUCTED</stp>
        <stp>2</stp>
        <stp>000333</stp>
        <stp>12/31/2018</stp>
        <tr r="M444" s="1"/>
      </tp>
      <tp>
        <v>59.142456032586601</v>
        <stp/>
        <stp>EM_S_VAL_PETTMDEDUCTED</stp>
        <stp>2</stp>
        <stp>300303</stp>
        <stp>12/31/2018</stp>
        <tr r="M104" s="1"/>
      </tp>
      <tp>
        <v>47.1694001285789</v>
        <stp/>
        <stp>EM_S_VAL_PETTMDEDUCTED</stp>
        <stp>2</stp>
        <stp>600353</stp>
        <stp>12/31/2018</stp>
        <tr r="M716" s="1"/>
      </tp>
      <tp>
        <v>275.833708399572</v>
        <stp/>
        <stp>EM_S_VAL_PETTMDEDUCTED</stp>
        <stp>2</stp>
        <stp>300300</stp>
        <stp>12/31/2018</stp>
        <tr r="M2824" s="1"/>
      </tp>
      <tp>
        <v>11.2808553068253</v>
        <stp/>
        <stp>EM_S_VAL_PETTMDEDUCTED</stp>
        <stp>2</stp>
        <stp>600350</stp>
        <stp>12/31/2018</stp>
        <tr r="M1896" s="1"/>
      </tp>
      <tp>
        <v>1470.2387892331201</v>
        <stp/>
        <stp>EM_S_VAL_PETTMDEDUCTED</stp>
        <stp>2</stp>
        <stp>300301</stp>
        <stp>12/31/2018</stp>
        <tr r="M2067" s="1"/>
      </tp>
      <tp>
        <v>17.600569444863702</v>
        <stp/>
        <stp>EM_S_VAL_PETTMDEDUCTED</stp>
        <stp>2</stp>
        <stp>600351</stp>
        <stp>12/31/2018</stp>
        <tr r="M2200" s="1"/>
      </tp>
      <tp>
        <v>-12.0369619968475</v>
        <stp/>
        <stp>EM_S_VAL_PETTMDEDUCTED</stp>
        <stp>2</stp>
        <stp>300318</stp>
        <stp>12/31/2018</stp>
        <tr r="M2155" s="1"/>
      </tp>
      <tp>
        <v>7.25640560406646</v>
        <stp/>
        <stp>EM_S_VAL_PETTMDEDUCTED</stp>
        <stp>2</stp>
        <stp>600348</stp>
        <stp>12/31/2018</stp>
        <tr r="M1741" s="1"/>
      </tp>
      <tp>
        <v>-11.595488489713601</v>
        <stp/>
        <stp>EM_S_VAL_PETTMDEDUCTED</stp>
        <stp>2</stp>
        <stp>300319</stp>
        <stp>12/31/2018</stp>
        <tr r="M128" s="1"/>
      </tp>
      <tp>
        <v>0</v>
        <stp/>
        <stp>EM_S_VAL_PETTMDEDUCTED</stp>
        <stp>2</stp>
        <stp>600349</stp>
        <stp>12/31/2018</stp>
        <tr r="M12" s="1"/>
      </tp>
      <tp>
        <v>24.083003909813598</v>
        <stp/>
        <stp>EM_S_VAL_PETTMDEDUCTED</stp>
        <stp>2</stp>
        <stp>300316</stp>
        <stp>12/31/2018</stp>
        <tr r="M480" s="1"/>
      </tp>
      <tp>
        <v>17.686843049554898</v>
        <stp/>
        <stp>EM_S_VAL_PETTMDEDUCTED</stp>
        <stp>2</stp>
        <stp>600346</stp>
        <stp>12/31/2018</stp>
        <tr r="M1252" s="1"/>
      </tp>
      <tp>
        <v>697.72941223314399</v>
        <stp/>
        <stp>EM_S_VAL_PETTMDEDUCTED</stp>
        <stp>2</stp>
        <stp>300317</stp>
        <stp>12/31/2018</stp>
        <tr r="M1978" s="1"/>
      </tp>
      <tp>
        <v>108.445991445312</v>
        <stp/>
        <stp>EM_S_VAL_PETTMDEDUCTED</stp>
        <stp>2</stp>
        <stp>300314</stp>
        <stp>12/31/2018</stp>
        <tr r="M1678" s="1"/>
      </tp>
      <tp>
        <v>42.5663720506274</v>
        <stp/>
        <stp>EM_S_VAL_PETTMDEDUCTED</stp>
        <stp>2</stp>
        <stp>300315</stp>
        <stp>12/31/2018</stp>
        <tr r="M254" s="1"/>
      </tp>
      <tp>
        <v>16.908850386981701</v>
        <stp/>
        <stp>EM_S_VAL_PETTMDEDUCTED</stp>
        <stp>2</stp>
        <stp>600345</stp>
        <stp>12/31/2018</stp>
        <tr r="M2249" s="1"/>
      </tp>
      <tp>
        <v>-23.3052569878508</v>
        <stp/>
        <stp>EM_S_VAL_PETTMDEDUCTED</stp>
        <stp>2</stp>
        <stp>300312</stp>
        <stp>12/31/2018</stp>
        <tr r="M3298" s="1"/>
      </tp>
      <tp>
        <v>41.295617175610197</v>
        <stp/>
        <stp>EM_S_VAL_PETTMDEDUCTED</stp>
        <stp>2</stp>
        <stp>300313</stp>
        <stp>12/31/2018</stp>
        <tr r="M2939" s="1"/>
      </tp>
      <tp>
        <v>803.58802826452802</v>
        <stp/>
        <stp>EM_S_VAL_PETTMDEDUCTED</stp>
        <stp>2</stp>
        <stp>600343</stp>
        <stp>12/31/2018</stp>
        <tr r="M1225" s="1"/>
      </tp>
      <tp>
        <v>-8.8296294256719303</v>
        <stp/>
        <stp>EM_S_VAL_PETTMDEDUCTED</stp>
        <stp>2</stp>
        <stp>300310</stp>
        <stp>12/31/2018</stp>
        <tr r="M2231" s="1"/>
      </tp>
      <tp>
        <v>7.9742720748115898</v>
        <stp/>
        <stp>EM_S_VAL_PETTMDEDUCTED</stp>
        <stp>2</stp>
        <stp>600340</stp>
        <stp>12/31/2018</stp>
        <tr r="M1641" s="1"/>
      </tp>
      <tp>
        <v>-91.092898599387894</v>
        <stp/>
        <stp>EM_S_VAL_PETTMDEDUCTED</stp>
        <stp>2</stp>
        <stp>300311</stp>
        <stp>12/31/2018</stp>
        <tr r="M362" s="1"/>
      </tp>
      <tp>
        <v>-13.103627947938801</v>
        <stp/>
        <stp>EM_S_VAL_PETTMDEDUCTED</stp>
        <stp>2</stp>
        <stp>300368</stp>
        <stp>12/31/2018</stp>
        <tr r="M686" s="1"/>
      </tp>
      <tp>
        <v>11.7887993080922</v>
        <stp/>
        <stp>EM_S_VAL_PETTMDEDUCTED</stp>
        <stp>2</stp>
        <stp>600338</stp>
        <stp>12/31/2018</stp>
        <tr r="M2747" s="1"/>
      </tp>
      <tp>
        <v>66.117355520901299</v>
        <stp/>
        <stp>EM_S_VAL_PETTMDEDUCTED</stp>
        <stp>2</stp>
        <stp>300369</stp>
        <stp>12/31/2018</stp>
        <tr r="M143" s="1"/>
      </tp>
      <tp>
        <v>41.5223514349738</v>
        <stp/>
        <stp>EM_S_VAL_PETTMDEDUCTED</stp>
        <stp>2</stp>
        <stp>600339</stp>
        <stp>12/31/2018</stp>
        <tr r="M2706" s="1"/>
      </tp>
      <tp>
        <v>24.567062069697101</v>
        <stp/>
        <stp>EM_S_VAL_PETTMDEDUCTED</stp>
        <stp>2</stp>
        <stp>300366</stp>
        <stp>12/31/2018</stp>
        <tr r="M702" s="1"/>
      </tp>
      <tp>
        <v>251.48218253392699</v>
        <stp/>
        <stp>EM_S_VAL_PETTMDEDUCTED</stp>
        <stp>2</stp>
        <stp>600336</stp>
        <stp>12/31/2018</stp>
        <tr r="M936" s="1"/>
      </tp>
      <tp>
        <v>18.958584025358199</v>
        <stp/>
        <stp>EM_S_VAL_PETTMDEDUCTED</stp>
        <stp>2</stp>
        <stp>300367</stp>
        <stp>12/31/2018</stp>
        <tr r="M3371" s="1"/>
      </tp>
      <tp>
        <v>17.176738544171599</v>
        <stp/>
        <stp>EM_S_VAL_PETTMDEDUCTED</stp>
        <stp>2</stp>
        <stp>600337</stp>
        <stp>12/31/2018</stp>
        <tr r="M1687" s="1"/>
      </tp>
      <tp>
        <v>-73.519782504359995</v>
        <stp/>
        <stp>EM_S_VAL_PETTMDEDUCTED</stp>
        <stp>2</stp>
        <stp>300364</stp>
        <stp>12/31/2018</stp>
        <tr r="M2917" s="1"/>
      </tp>
      <tp>
        <v>36.724239889281499</v>
        <stp/>
        <stp>EM_S_VAL_PETTMDEDUCTED</stp>
        <stp>2</stp>
        <stp>300365</stp>
        <stp>12/31/2018</stp>
        <tr r="M3299" s="1"/>
      </tp>
      <tp>
        <v>14.2928873636993</v>
        <stp/>
        <stp>EM_S_VAL_PETTMDEDUCTED</stp>
        <stp>2</stp>
        <stp>600335</stp>
        <stp>12/31/2018</stp>
        <tr r="M2633" s="1"/>
      </tp>
      <tp>
        <v>-8.7610383071579498</v>
        <stp/>
        <stp>EM_S_VAL_PETTMDEDUCTED</stp>
        <stp>2</stp>
        <stp>300362</stp>
        <stp>12/31/2018</stp>
        <tr r="M3359" s="1"/>
      </tp>
      <tp>
        <v>21.754936666434698</v>
        <stp/>
        <stp>EM_S_VAL_PETTMDEDUCTED</stp>
        <stp>2</stp>
        <stp>600332</stp>
        <stp>12/31/2018</stp>
        <tr r="M2596" s="1"/>
      </tp>
      <tp>
        <v>74.273134592928102</v>
        <stp/>
        <stp>EM_S_VAL_PETTMDEDUCTED</stp>
        <stp>2</stp>
        <stp>300363</stp>
        <stp>12/31/2018</stp>
        <tr r="M577" s="1"/>
      </tp>
      <tp>
        <v>-41.643230039399597</v>
        <stp/>
        <stp>EM_S_VAL_PETTMDEDUCTED</stp>
        <stp>2</stp>
        <stp>600333</stp>
        <stp>12/31/2018</stp>
        <tr r="M2670" s="1"/>
      </tp>
      <tp>
        <v>18.878069899802401</v>
        <stp/>
        <stp>EM_S_VAL_PETTMDEDUCTED</stp>
        <stp>2</stp>
        <stp>300360</stp>
        <stp>12/31/2018</stp>
        <tr r="M187" s="1"/>
      </tp>
      <tp>
        <v>30.842048268070101</v>
        <stp/>
        <stp>EM_S_VAL_PETTMDEDUCTED</stp>
        <stp>2</stp>
        <stp>600330</stp>
        <stp>12/31/2018</stp>
        <tr r="M654" s="1"/>
      </tp>
      <tp>
        <v>0</v>
        <stp/>
        <stp>EM_S_VAL_PETTMDEDUCTED</stp>
        <stp>2</stp>
        <stp>300361</stp>
        <stp>12/31/2018</stp>
        <tr r="M9" s="1"/>
      </tp>
      <tp>
        <v>181.92814584365101</v>
        <stp/>
        <stp>EM_S_VAL_PETTMDEDUCTED</stp>
        <stp>2</stp>
        <stp>600331</stp>
        <stp>12/31/2018</stp>
        <tr r="M903" s="1"/>
      </tp>
      <tp>
        <v>47.709827052166901</v>
        <stp/>
        <stp>EM_S_VAL_PETTMDEDUCTED</stp>
        <stp>2</stp>
        <stp>300378</stp>
        <stp>12/31/2018</stp>
        <tr r="M552" s="1"/>
      </tp>
      <tp>
        <v>11.739780596048201</v>
        <stp/>
        <stp>EM_S_VAL_PETTMDEDUCTED</stp>
        <stp>2</stp>
        <stp>600328</stp>
        <stp>12/31/2018</stp>
        <tr r="M1295" s="1"/>
      </tp>
      <tp>
        <v>-11.4968770630118</v>
        <stp/>
        <stp>EM_S_VAL_PETTMDEDUCTED</stp>
        <stp>2</stp>
        <stp>300379</stp>
        <stp>12/31/2018</stp>
        <tr r="M36" s="1"/>
      </tp>
      <tp>
        <v>19.244721450942301</v>
        <stp/>
        <stp>EM_S_VAL_PETTMDEDUCTED</stp>
        <stp>2</stp>
        <stp>600329</stp>
        <stp>12/31/2018</stp>
        <tr r="M1791" s="1"/>
      </tp>
      <tp>
        <v>16.522378936397999</v>
        <stp/>
        <stp>EM_S_VAL_PETTMDEDUCTED</stp>
        <stp>2</stp>
        <stp>300376</stp>
        <stp>12/31/2018</stp>
        <tr r="M1822" s="1"/>
      </tp>
      <tp>
        <v>13.8369490384678</v>
        <stp/>
        <stp>EM_S_VAL_PETTMDEDUCTED</stp>
        <stp>2</stp>
        <stp>600326</stp>
        <stp>12/31/2018</stp>
        <tr r="M1643" s="1"/>
      </tp>
      <tp>
        <v>35.454099354965599</v>
        <stp/>
        <stp>EM_S_VAL_PETTMDEDUCTED</stp>
        <stp>2</stp>
        <stp>300377</stp>
        <stp>12/31/2018</stp>
        <tr r="M2142" s="1"/>
      </tp>
      <tp>
        <v>11.4336239634229</v>
        <stp/>
        <stp>EM_S_VAL_PETTMDEDUCTED</stp>
        <stp>2</stp>
        <stp>600327</stp>
        <stp>12/31/2018</stp>
        <tr r="M2932" s="1"/>
      </tp>
      <tp>
        <v>36.424802918215498</v>
        <stp/>
        <stp>EM_S_VAL_PETTMDEDUCTED</stp>
        <stp>2</stp>
        <stp>300374</stp>
        <stp>12/31/2018</stp>
        <tr r="M2349" s="1"/>
      </tp>
      <tp>
        <v>24.435824045435101</v>
        <stp/>
        <stp>EM_S_VAL_PETTMDEDUCTED</stp>
        <stp>2</stp>
        <stp>300375</stp>
        <stp>12/31/2018</stp>
        <tr r="M3267" s="1"/>
      </tp>
      <tp>
        <v>5.6123281706276504</v>
        <stp/>
        <stp>EM_S_VAL_PETTMDEDUCTED</stp>
        <stp>2</stp>
        <stp>600325</stp>
        <stp>12/31/2018</stp>
        <tr r="M1081" s="1"/>
      </tp>
      <tp>
        <v>-1.9907620221962601</v>
        <stp/>
        <stp>EM_S_VAL_PETTMDEDUCTED</stp>
        <stp>2</stp>
        <stp>300372</stp>
        <stp>12/31/2018</stp>
        <tr r="M2283" s="1"/>
      </tp>
      <tp>
        <v>17.176090809820298</v>
        <stp/>
        <stp>EM_S_VAL_PETTMDEDUCTED</stp>
        <stp>2</stp>
        <stp>600322</stp>
        <stp>12/31/2018</stp>
        <tr r="M2723" s="1"/>
      </tp>
      <tp>
        <v>26.9894839921086</v>
        <stp/>
        <stp>EM_S_VAL_PETTMDEDUCTED</stp>
        <stp>2</stp>
        <stp>300373</stp>
        <stp>12/31/2018</stp>
        <tr r="M1293" s="1"/>
      </tp>
      <tp>
        <v>15.45517056792</v>
        <stp/>
        <stp>EM_S_VAL_PETTMDEDUCTED</stp>
        <stp>2</stp>
        <stp>600323</stp>
        <stp>12/31/2018</stp>
        <tr r="M1110" s="1"/>
      </tp>
      <tp>
        <v>39.378095627732698</v>
        <stp/>
        <stp>EM_S_VAL_PETTMDEDUCTED</stp>
        <stp>2</stp>
        <stp>300370</stp>
        <stp>12/31/2018</stp>
        <tr r="M888" s="1"/>
      </tp>
      <tp>
        <v>67.561353699629905</v>
        <stp/>
        <stp>EM_S_VAL_PETTMDEDUCTED</stp>
        <stp>2</stp>
        <stp>600320</stp>
        <stp>12/31/2018</stp>
        <tr r="M1504" s="1"/>
      </tp>
      <tp>
        <v>19.801190498156199</v>
        <stp/>
        <stp>EM_S_VAL_PETTMDEDUCTED</stp>
        <stp>2</stp>
        <stp>300371</stp>
        <stp>12/31/2018</stp>
        <tr r="M1838" s="1"/>
      </tp>
      <tp>
        <v>128.43646419828201</v>
        <stp/>
        <stp>EM_S_VAL_PETTMDEDUCTED</stp>
        <stp>2</stp>
        <stp>600321</stp>
        <stp>12/31/2018</stp>
        <tr r="M1240" s="1"/>
      </tp>
      <tp>
        <v>59.196488375032402</v>
        <stp/>
        <stp>EM_S_VAL_PETTMDEDUCTED</stp>
        <stp>2</stp>
        <stp>300348</stp>
        <stp>12/31/2018</stp>
        <tr r="M1093" s="1"/>
      </tp>
      <tp>
        <v>-11.076717851325499</v>
        <stp/>
        <stp>EM_S_VAL_PETTMDEDUCTED</stp>
        <stp>2</stp>
        <stp>600318</stp>
        <stp>12/31/2018</stp>
        <tr r="M2381" s="1"/>
      </tp>
      <tp>
        <v>14.949514141282901</v>
        <stp/>
        <stp>EM_S_VAL_PETTMDEDUCTED</stp>
        <stp>2</stp>
        <stp>300349</stp>
        <stp>12/31/2018</stp>
        <tr r="M2578" s="1"/>
      </tp>
      <tp>
        <v>60.195503391761797</v>
        <stp/>
        <stp>EM_S_VAL_PETTMDEDUCTED</stp>
        <stp>2</stp>
        <stp>600319</stp>
        <stp>12/31/2018</stp>
        <tr r="M2240" s="1"/>
      </tp>
      <tp>
        <v>54.740288676966102</v>
        <stp/>
        <stp>EM_S_VAL_PETTMDEDUCTED</stp>
        <stp>2</stp>
        <stp>300346</stp>
        <stp>12/31/2018</stp>
        <tr r="M214" s="1"/>
      </tp>
      <tp>
        <v>-102.03765725718</v>
        <stp/>
        <stp>EM_S_VAL_PETTMDEDUCTED</stp>
        <stp>2</stp>
        <stp>600316</stp>
        <stp>12/31/2018</stp>
        <tr r="M937" s="1"/>
      </tp>
      <tp>
        <v>63.899760213061199</v>
        <stp/>
        <stp>EM_S_VAL_PETTMDEDUCTED</stp>
        <stp>2</stp>
        <stp>300347</stp>
        <stp>12/31/2018</stp>
        <tr r="M672" s="1"/>
      </tp>
      <tp>
        <v>21.222462244091499</v>
        <stp/>
        <stp>EM_S_VAL_PETTMDEDUCTED</stp>
        <stp>2</stp>
        <stp>600317</stp>
        <stp>12/31/2018</stp>
        <tr r="M1634" s="1"/>
      </tp>
      <tp>
        <v>341.45048569480599</v>
        <stp/>
        <stp>EM_S_VAL_PETTMDEDUCTED</stp>
        <stp>2</stp>
        <stp>300344</stp>
        <stp>12/31/2018</stp>
        <tr r="M2757" s="1"/>
      </tp>
      <tp>
        <v>-14.807438327939799</v>
        <stp/>
        <stp>EM_S_VAL_PETTMDEDUCTED</stp>
        <stp>2</stp>
        <stp>300345</stp>
        <stp>12/31/2018</stp>
        <tr r="M115" s="1"/>
      </tp>
      <tp>
        <v>48.205670431972401</v>
        <stp/>
        <stp>EM_S_VAL_PETTMDEDUCTED</stp>
        <stp>2</stp>
        <stp>600315</stp>
        <stp>12/31/2018</stp>
        <tr r="M1565" s="1"/>
      </tp>
      <tp>
        <v>21.146740222584899</v>
        <stp/>
        <stp>EM_S_VAL_PETTMDEDUCTED</stp>
        <stp>2</stp>
        <stp>300342</stp>
        <stp>12/31/2018</stp>
        <tr r="M861" s="1"/>
      </tp>
      <tp>
        <v>71.291929231245106</v>
        <stp/>
        <stp>EM_S_VAL_PETTMDEDUCTED</stp>
        <stp>2</stp>
        <stp>600312</stp>
        <stp>12/31/2018</stp>
        <tr r="M3067" s="1"/>
      </tp>
      <tp>
        <v>15.649870409947299</v>
        <stp/>
        <stp>EM_S_VAL_PETTMDEDUCTED</stp>
        <stp>2</stp>
        <stp>300343</stp>
        <stp>12/31/2018</stp>
        <tr r="M3389" s="1"/>
      </tp>
      <tp>
        <v>-8.3465367234232293</v>
        <stp/>
        <stp>EM_S_VAL_PETTMDEDUCTED</stp>
        <stp>2</stp>
        <stp>600313</stp>
        <stp>12/31/2018</stp>
        <tr r="M1063" s="1"/>
      </tp>
      <tp>
        <v>50.123452623821201</v>
        <stp/>
        <stp>EM_S_VAL_PETTMDEDUCTED</stp>
        <stp>2</stp>
        <stp>300340</stp>
        <stp>12/31/2018</stp>
        <tr r="M2737" s="1"/>
      </tp>
      <tp>
        <v>-26.701004323630301</v>
        <stp/>
        <stp>EM_S_VAL_PETTMDEDUCTED</stp>
        <stp>2</stp>
        <stp>600310</stp>
        <stp>12/31/2018</stp>
        <tr r="M1303" s="1"/>
      </tp>
      <tp>
        <v>18.875044962442299</v>
        <stp/>
        <stp>EM_S_VAL_PETTMDEDUCTED</stp>
        <stp>2</stp>
        <stp>300341</stp>
        <stp>12/31/2018</stp>
        <tr r="M37" s="1"/>
      </tp>
      <tp>
        <v>-42.253682819475699</v>
        <stp/>
        <stp>EM_S_VAL_PETTMDEDUCTED</stp>
        <stp>2</stp>
        <stp>600311</stp>
        <stp>12/31/2018</stp>
        <tr r="M2820" s="1"/>
      </tp>
      <tp>
        <v>52.705926540807503</v>
        <stp/>
        <stp>EM_S_VAL_PETTMDEDUCTED</stp>
        <stp>2</stp>
        <stp>300358</stp>
        <stp>12/31/2018</stp>
        <tr r="M2761" s="1"/>
      </tp>
      <tp>
        <v>6.2943241180247798</v>
        <stp/>
        <stp>EM_S_VAL_PETTMDEDUCTED</stp>
        <stp>2</stp>
        <stp>600308</stp>
        <stp>12/31/2018</stp>
        <tr r="M1999" s="1"/>
      </tp>
      <tp>
        <v>129.49217570964399</v>
        <stp/>
        <stp>EM_S_VAL_PETTMDEDUCTED</stp>
        <stp>2</stp>
        <stp>300359</stp>
        <stp>12/31/2018</stp>
        <tr r="M2431" s="1"/>
      </tp>
      <tp>
        <v>6.6975617651857204</v>
        <stp/>
        <stp>EM_S_VAL_PETTMDEDUCTED</stp>
        <stp>2</stp>
        <stp>600309</stp>
        <stp>12/31/2018</stp>
        <tr r="M168" s="1"/>
      </tp>
      <tp>
        <v>-5.9202680214333698</v>
        <stp/>
        <stp>EM_S_VAL_PETTMDEDUCTED</stp>
        <stp>2</stp>
        <stp>300356</stp>
        <stp>12/31/2018</stp>
        <tr r="M792" s="1"/>
      </tp>
      <tp>
        <v>-9.9939171751912301</v>
        <stp/>
        <stp>EM_S_VAL_PETTMDEDUCTED</stp>
        <stp>2</stp>
        <stp>600306</stp>
        <stp>12/31/2018</stp>
        <tr r="M2801" s="1"/>
      </tp>
      <tp>
        <v>49.582853666690397</v>
        <stp/>
        <stp>EM_S_VAL_PETTMDEDUCTED</stp>
        <stp>2</stp>
        <stp>300357</stp>
        <stp>12/31/2018</stp>
        <tr r="M1410" s="1"/>
      </tp>
      <tp>
        <v>13.255042338120401</v>
        <stp/>
        <stp>EM_S_VAL_PETTMDEDUCTED</stp>
        <stp>2</stp>
        <stp>600307</stp>
        <stp>12/31/2018</stp>
        <tr r="M1905" s="1"/>
      </tp>
      <tp>
        <v>235.40981632498799</v>
        <stp/>
        <stp>EM_S_VAL_PETTMDEDUCTED</stp>
        <stp>2</stp>
        <stp>300354</stp>
        <stp>12/31/2018</stp>
        <tr r="M542" s="1"/>
      </tp>
      <tp>
        <v>13.3565698366936</v>
        <stp/>
        <stp>EM_S_VAL_PETTMDEDUCTED</stp>
        <stp>2</stp>
        <stp>300355</stp>
        <stp>12/31/2018</stp>
        <tr r="M2877" s="1"/>
      </tp>
      <tp>
        <v>38.690179923825703</v>
        <stp/>
        <stp>EM_S_VAL_PETTMDEDUCTED</stp>
        <stp>2</stp>
        <stp>600305</stp>
        <stp>12/31/2018</stp>
        <tr r="M676" s="1"/>
      </tp>
      <tp>
        <v>86.152035546035407</v>
        <stp/>
        <stp>EM_S_VAL_PETTMDEDUCTED</stp>
        <stp>2</stp>
        <stp>300352</stp>
        <stp>12/31/2018</stp>
        <tr r="M122" s="1"/>
      </tp>
      <tp>
        <v>-30.696651219935799</v>
        <stp/>
        <stp>EM_S_VAL_PETTMDEDUCTED</stp>
        <stp>2</stp>
        <stp>600302</stp>
        <stp>12/31/2018</stp>
        <tr r="M1508" s="1"/>
      </tp>
      <tp>
        <v>89.466455533183805</v>
        <stp/>
        <stp>EM_S_VAL_PETTMDEDUCTED</stp>
        <stp>2</stp>
        <stp>300353</stp>
        <stp>12/31/2018</stp>
        <tr r="M614" s="1"/>
      </tp>
      <tp>
        <v>-24.972938806177101</v>
        <stp/>
        <stp>EM_S_VAL_PETTMDEDUCTED</stp>
        <stp>2</stp>
        <stp>600303</stp>
        <stp>12/31/2018</stp>
        <tr r="M2765" s="1"/>
      </tp>
      <tp>
        <v>-10.0002139269625</v>
        <stp/>
        <stp>EM_S_VAL_PETTMDEDUCTED</stp>
        <stp>2</stp>
        <stp>300350</stp>
        <stp>12/31/2018</stp>
        <tr r="M2687" s="1"/>
      </tp>
      <tp>
        <v>-49.500525400890901</v>
        <stp/>
        <stp>EM_S_VAL_PETTMDEDUCTED</stp>
        <stp>2</stp>
        <stp>600300</stp>
        <stp>12/31/2018</stp>
        <tr r="M1995" s="1"/>
      </tp>
      <tp>
        <v>19.023424202941001</v>
        <stp/>
        <stp>EM_S_VAL_PETTMDEDUCTED</stp>
        <stp>2</stp>
        <stp>300351</stp>
        <stp>12/31/2018</stp>
        <tr r="M1871" s="1"/>
      </tp>
      <tp>
        <v>-32.530366946343598</v>
        <stp/>
        <stp>EM_S_VAL_PETTMDEDUCTED</stp>
        <stp>2</stp>
        <stp>600301</stp>
        <stp>12/31/2018</stp>
        <tr r="M1636" s="1"/>
      </tp>
      <tp>
        <v>36.2374636646691</v>
        <stp/>
        <stp>EM_S_VAL_PETTMDEDUCTED</stp>
        <stp>2</stp>
        <stp>000099</stp>
        <stp>12/31/2018</stp>
        <tr r="M899" s="1"/>
      </tp>
      <tp>
        <v>40.480868802448498</v>
        <stp/>
        <stp>EM_S_VAL_PETTMDEDUCTED</stp>
        <stp>2</stp>
        <stp>000096</stp>
        <stp>12/31/2018</stp>
        <tr r="M1146" s="1"/>
      </tp>
      <tp>
        <v>27.535532160242902</v>
        <stp/>
        <stp>EM_S_VAL_PETTMDEDUCTED</stp>
        <stp>2</stp>
        <stp>000090</stp>
        <stp>12/31/2018</stp>
        <tr r="M479" s="1"/>
      </tp>
      <tp>
        <v>23.7622117382897</v>
        <stp/>
        <stp>EM_S_VAL_PETTMDEDUCTED</stp>
        <stp>2</stp>
        <stp>000088</stp>
        <stp>12/31/2018</stp>
        <tr r="M1566" s="1"/>
      </tp>
      <tp>
        <v>23.233158189589702</v>
        <stp/>
        <stp>EM_S_VAL_PETTMDEDUCTED</stp>
        <stp>2</stp>
        <stp>000089</stp>
        <stp>12/31/2018</stp>
        <tr r="M1035" s="1"/>
      </tp>
      <tp>
        <v>14.3378164115923</v>
        <stp/>
        <stp>EM_S_VAL_PETTMDEDUCTED</stp>
        <stp>2</stp>
        <stp>300088</stp>
        <stp>12/31/2018</stp>
        <tr r="M96" s="1"/>
      </tp>
      <tp>
        <v>16.1813179897275</v>
        <stp/>
        <stp>EM_S_VAL_PETTMDEDUCTED</stp>
        <stp>2</stp>
        <stp>300089</stp>
        <stp>12/31/2018</stp>
        <tr r="M3253" s="1"/>
      </tp>
      <tp>
        <v>76.757642575603299</v>
        <stp/>
        <stp>EM_S_VAL_PETTMDEDUCTED</stp>
        <stp>2</stp>
        <stp>300086</stp>
        <stp>12/31/2018</stp>
        <tr r="M3069" s="1"/>
      </tp>
      <tp>
        <v>108.98487887310699</v>
        <stp/>
        <stp>EM_S_VAL_PETTMDEDUCTED</stp>
        <stp>2</stp>
        <stp>300087</stp>
        <stp>12/31/2018</stp>
        <tr r="M2662" s="1"/>
      </tp>
      <tp>
        <v>-159.79861047532401</v>
        <stp/>
        <stp>EM_S_VAL_PETTMDEDUCTED</stp>
        <stp>2</stp>
        <stp>300084</stp>
        <stp>12/31/2018</stp>
        <tr r="M2639" s="1"/>
      </tp>
      <tp>
        <v>-526.25280897535595</v>
        <stp/>
        <stp>EM_S_VAL_PETTMDEDUCTED</stp>
        <stp>2</stp>
        <stp>300085</stp>
        <stp>12/31/2018</stp>
        <tr r="M175" s="1"/>
      </tp>
      <tp>
        <v>15.115732253236001</v>
        <stp/>
        <stp>EM_S_VAL_PETTMDEDUCTED</stp>
        <stp>2</stp>
        <stp>300082</stp>
        <stp>12/31/2018</stp>
        <tr r="M2238" s="1"/>
      </tp>
      <tp>
        <v>-41.0389770601032</v>
        <stp/>
        <stp>EM_S_VAL_PETTMDEDUCTED</stp>
        <stp>2</stp>
        <stp>300083</stp>
        <stp>12/31/2018</stp>
        <tr r="M377" s="1"/>
      </tp>
      <tp>
        <v>-2.3698675204230999</v>
        <stp/>
        <stp>EM_S_VAL_PETTMDEDUCTED</stp>
        <stp>2</stp>
        <stp>300080</stp>
        <stp>12/31/2018</stp>
        <tr r="M1199" s="1"/>
      </tp>
      <tp>
        <v>37.493420992439802</v>
        <stp/>
        <stp>EM_S_VAL_PETTMDEDUCTED</stp>
        <stp>2</stp>
        <stp>300081</stp>
        <stp>12/31/2018</stp>
        <tr r="M1430" s="1"/>
      </tp>
      <tp>
        <v>23.917748262649301</v>
        <stp/>
        <stp>EM_S_VAL_PETTMDEDUCTED</stp>
        <stp>2</stp>
        <stp>300098</stp>
        <stp>12/31/2018</stp>
        <tr r="M2821" s="1"/>
      </tp>
      <tp>
        <v>28.5396097724939</v>
        <stp/>
        <stp>EM_S_VAL_PETTMDEDUCTED</stp>
        <stp>2</stp>
        <stp>300099</stp>
        <stp>12/31/2018</stp>
        <tr r="M551" s="1"/>
      </tp>
      <tp>
        <v>-367.59890402826198</v>
        <stp/>
        <stp>EM_S_VAL_PETTMDEDUCTED</stp>
        <stp>2</stp>
        <stp>300096</stp>
        <stp>12/31/2018</stp>
        <tr r="M1359" s="1"/>
      </tp>
      <tp>
        <v>24.173803420462999</v>
        <stp/>
        <stp>EM_S_VAL_PETTMDEDUCTED</stp>
        <stp>2</stp>
        <stp>300097</stp>
        <stp>12/31/2018</stp>
        <tr r="M2911" s="1"/>
      </tp>
      <tp>
        <v>22.518248738101899</v>
        <stp/>
        <stp>EM_S_VAL_PETTMDEDUCTED</stp>
        <stp>2</stp>
        <stp>300094</stp>
        <stp>12/31/2018</stp>
        <tr r="M2998" s="1"/>
      </tp>
      <tp>
        <v>41.941079811844403</v>
        <stp/>
        <stp>EM_S_VAL_PETTMDEDUCTED</stp>
        <stp>2</stp>
        <stp>300095</stp>
        <stp>12/31/2018</stp>
        <tr r="M950" s="1"/>
      </tp>
      <tp>
        <v>239.71392471719801</v>
        <stp/>
        <stp>EM_S_VAL_PETTMDEDUCTED</stp>
        <stp>2</stp>
        <stp>300092</stp>
        <stp>12/31/2018</stp>
        <tr r="M1306" s="1"/>
      </tp>
      <tp>
        <v>69.6434108606</v>
        <stp/>
        <stp>EM_S_VAL_PETTMDEDUCTED</stp>
        <stp>2</stp>
        <stp>300093</stp>
        <stp>12/31/2018</stp>
        <tr r="M239" s="1"/>
      </tp>
      <tp>
        <v>-2.04282215628275</v>
        <stp/>
        <stp>EM_S_VAL_PETTMDEDUCTED</stp>
        <stp>2</stp>
        <stp>300090</stp>
        <stp>12/31/2018</stp>
        <tr r="M3294" s="1"/>
      </tp>
      <tp>
        <v>23.809615528240901</v>
        <stp/>
        <stp>EM_S_VAL_PETTMDEDUCTED</stp>
        <stp>2</stp>
        <stp>300091</stp>
        <stp>12/31/2018</stp>
        <tr r="M1161" s="1"/>
      </tp>
      <tp>
        <v>21.615229701864202</v>
        <stp/>
        <stp>EM_S_VAL_PETTMDEDUCTED</stp>
        <stp>2</stp>
        <stp>600098</stp>
        <stp>12/31/2018</stp>
        <tr r="M1455" s="1"/>
      </tp>
      <tp>
        <v>-587.73207736582197</v>
        <stp/>
        <stp>EM_S_VAL_PETTMDEDUCTED</stp>
        <stp>2</stp>
        <stp>600099</stp>
        <stp>12/31/2018</stp>
        <tr r="M1401" s="1"/>
      </tp>
      <tp>
        <v>-35.575341829588403</v>
        <stp/>
        <stp>EM_S_VAL_PETTMDEDUCTED</stp>
        <stp>2</stp>
        <stp>600096</stp>
        <stp>12/31/2018</stp>
        <tr r="M2005" s="1"/>
      </tp>
      <tp>
        <v>11.4235378671543</v>
        <stp/>
        <stp>EM_S_VAL_PETTMDEDUCTED</stp>
        <stp>2</stp>
        <stp>600097</stp>
        <stp>12/31/2018</stp>
        <tr r="M2540" s="1"/>
      </tp>
      <tp>
        <v>12.178053625033399</v>
        <stp/>
        <stp>EM_S_VAL_PETTMDEDUCTED</stp>
        <stp>2</stp>
        <stp>600094</stp>
        <stp>12/31/2018</stp>
        <tr r="M451" s="1"/>
      </tp>
      <tp>
        <v>98.128342542007999</v>
        <stp/>
        <stp>EM_S_VAL_PETTMDEDUCTED</stp>
        <stp>2</stp>
        <stp>600095</stp>
        <stp>12/31/2018</stp>
        <tr r="M100" s="1"/>
      </tp>
      <tp>
        <v>-116.768960440908</v>
        <stp/>
        <stp>EM_S_VAL_PETTMDEDUCTED</stp>
        <stp>2</stp>
        <stp>600092</stp>
        <stp>12/31/2018</stp>
        <tr r="M2291" s="1"/>
      </tp>
      <tp>
        <v>9.7465864954002104</v>
        <stp/>
        <stp>EM_S_VAL_PETTMDEDUCTED</stp>
        <stp>2</stp>
        <stp>600093</stp>
        <stp>12/31/2018</stp>
        <tr r="M227" s="1"/>
      </tp>
      <tp>
        <v>15.175275529642599</v>
        <stp/>
        <stp>EM_S_VAL_PETTMDEDUCTED</stp>
        <stp>2</stp>
        <stp>600090</stp>
        <stp>12/31/2018</stp>
        <tr r="M3138" s="1"/>
      </tp>
      <tp>
        <v>-25.3596412269168</v>
        <stp/>
        <stp>EM_S_VAL_PETTMDEDUCTED</stp>
        <stp>2</stp>
        <stp>600091</stp>
        <stp>12/31/2018</stp>
        <tr r="M2402" s="1"/>
      </tp>
      <tp>
        <v>38.548966856103</v>
        <stp/>
        <stp>EM_S_VAL_PETTMDEDUCTED</stp>
        <stp>2</stp>
        <stp>600088</stp>
        <stp>12/31/2018</stp>
        <tr r="M412" s="1"/>
      </tp>
      <tp>
        <v>12.4368257014811</v>
        <stp/>
        <stp>EM_S_VAL_PETTMDEDUCTED</stp>
        <stp>2</stp>
        <stp>600089</stp>
        <stp>12/31/2018</stp>
        <tr r="M2447" s="1"/>
      </tp>
      <tp>
        <v>-31.917092140531601</v>
        <stp/>
        <stp>EM_S_VAL_PETTMDEDUCTED</stp>
        <stp>2</stp>
        <stp>600086</stp>
        <stp>12/31/2018</stp>
        <tr r="M3319" s="1"/>
      </tp>
      <tp>
        <v>14.1521569886806</v>
        <stp/>
        <stp>EM_S_VAL_PETTMDEDUCTED</stp>
        <stp>2</stp>
        <stp>600087</stp>
        <stp>12/31/2018</stp>
        <tr r="M2290" s="1"/>
      </tp>
      <tp>
        <v>-26.730931996731499</v>
        <stp/>
        <stp>EM_S_VAL_PETTMDEDUCTED</stp>
        <stp>2</stp>
        <stp>600084</stp>
        <stp>12/31/2018</stp>
        <tr r="M2817" s="1"/>
      </tp>
      <tp>
        <v>36.747103499627002</v>
        <stp/>
        <stp>EM_S_VAL_PETTMDEDUCTED</stp>
        <stp>2</stp>
        <stp>600085</stp>
        <stp>12/31/2018</stp>
        <tr r="M2188" s="1"/>
      </tp>
      <tp>
        <v>-69.536380970892196</v>
        <stp/>
        <stp>EM_S_VAL_PETTMDEDUCTED</stp>
        <stp>2</stp>
        <stp>600082</stp>
        <stp>12/31/2018</stp>
        <tr r="M2681" s="1"/>
      </tp>
      <tp>
        <v>485.74727046816997</v>
        <stp/>
        <stp>EM_S_VAL_PETTMDEDUCTED</stp>
        <stp>2</stp>
        <stp>600083</stp>
        <stp>12/31/2018</stp>
        <tr r="M1494" s="1"/>
      </tp>
      <tp>
        <v>66.776446440303204</v>
        <stp/>
        <stp>EM_S_VAL_PETTMDEDUCTED</stp>
        <stp>2</stp>
        <stp>600080</stp>
        <stp>12/31/2018</stp>
        <tr r="M2993" s="1"/>
      </tp>
      <tp>
        <v>17.017932215071902</v>
        <stp/>
        <stp>EM_S_VAL_PETTMDEDUCTED</stp>
        <stp>2</stp>
        <stp>600081</stp>
        <stp>12/31/2018</stp>
        <tr r="M405" s="1"/>
      </tp>
      <tp>
        <v>-17.265114227866601</v>
        <stp/>
        <stp>EM_S_VAL_PETTMDEDUCTED</stp>
        <stp>2</stp>
        <stp>000018</stp>
        <stp>12/31/2018</stp>
        <tr r="M3409" s="1"/>
      </tp>
      <tp>
        <v>-1.5127931856850501</v>
        <stp/>
        <stp>EM_S_VAL_PETTMDEDUCTED</stp>
        <stp>2</stp>
        <stp>300028</stp>
        <stp>12/31/2018</stp>
        <tr r="M2280" s="1"/>
      </tp>
      <tp>
        <v>-65.617277202389602</v>
        <stp/>
        <stp>EM_S_VAL_PETTMDEDUCTED</stp>
        <stp>2</stp>
        <stp>600078</stp>
        <stp>12/31/2018</stp>
        <tr r="M391" s="1"/>
      </tp>
      <tp>
        <v>-135.95343698034901</v>
        <stp/>
        <stp>EM_S_VAL_PETTMDEDUCTED</stp>
        <stp>2</stp>
        <stp>000019</stp>
        <stp>12/31/2018</stp>
        <tr r="M2891" s="1"/>
      </tp>
      <tp>
        <v>23.267190281919198</v>
        <stp/>
        <stp>EM_S_VAL_PETTMDEDUCTED</stp>
        <stp>2</stp>
        <stp>300029</stp>
        <stp>12/31/2018</stp>
        <tr r="M944" s="1"/>
      </tp>
      <tp>
        <v>27.847300242319101</v>
        <stp/>
        <stp>EM_S_VAL_PETTMDEDUCTED</stp>
        <stp>2</stp>
        <stp>600079</stp>
        <stp>12/31/2018</stp>
        <tr r="M1010" s="1"/>
      </tp>
      <tp>
        <v>-14.957875982909799</v>
        <stp/>
        <stp>EM_S_VAL_PETTMDEDUCTED</stp>
        <stp>2</stp>
        <stp>000016</stp>
        <stp>12/31/2018</stp>
        <tr r="M767" s="1"/>
      </tp>
      <tp>
        <v>22.670720255077999</v>
        <stp/>
        <stp>EM_S_VAL_PETTMDEDUCTED</stp>
        <stp>2</stp>
        <stp>300026</stp>
        <stp>12/31/2018</stp>
        <tr r="M1577" s="1"/>
      </tp>
      <tp>
        <v>9.0751511405018501</v>
        <stp/>
        <stp>EM_S_VAL_PETTMDEDUCTED</stp>
        <stp>2</stp>
        <stp>600076</stp>
        <stp>12/31/2018</stp>
        <tr r="M2007" s="1"/>
      </tp>
      <tp>
        <v>646.67951952891303</v>
        <stp/>
        <stp>EM_S_VAL_PETTMDEDUCTED</stp>
        <stp>2</stp>
        <stp>000017</stp>
        <stp>12/31/2018</stp>
        <tr r="M2076" s="1"/>
      </tp>
      <tp>
        <v>45.8958758775373</v>
        <stp/>
        <stp>EM_S_VAL_PETTMDEDUCTED</stp>
        <stp>2</stp>
        <stp>300027</stp>
        <stp>12/31/2018</stp>
        <tr r="M2241" s="1"/>
      </tp>
      <tp>
        <v>13.747666920734</v>
        <stp/>
        <stp>EM_S_VAL_PETTMDEDUCTED</stp>
        <stp>2</stp>
        <stp>600077</stp>
        <stp>12/31/2018</stp>
        <tr r="M1551" s="1"/>
      </tp>
      <tp>
        <v>-218.725379131094</v>
        <stp/>
        <stp>EM_S_VAL_PETTMDEDUCTED</stp>
        <stp>2</stp>
        <stp>000014</stp>
        <stp>12/31/2018</stp>
        <tr r="M2219" s="1"/>
      </tp>
      <tp>
        <v>56.064375663382599</v>
        <stp/>
        <stp>EM_S_VAL_PETTMDEDUCTED</stp>
        <stp>2</stp>
        <stp>300024</stp>
        <stp>12/31/2018</stp>
        <tr r="M1953" s="1"/>
      </tp>
      <tp>
        <v>-0.34398314614937497</v>
        <stp/>
        <stp>EM_S_VAL_PETTMDEDUCTED</stp>
        <stp>2</stp>
        <stp>600074</stp>
        <stp>12/31/2018</stp>
        <tr r="M2876" s="1"/>
      </tp>
      <tp>
        <v>508.12160368747601</v>
        <stp/>
        <stp>EM_S_VAL_PETTMDEDUCTED</stp>
        <stp>2</stp>
        <stp>000015</stp>
        <stp>12/31/2018</stp>
        <tr r="M2273" s="1"/>
      </tp>
      <tp>
        <v>-6.7336858790075098</v>
        <stp/>
        <stp>EM_S_VAL_PETTMDEDUCTED</stp>
        <stp>2</stp>
        <stp>300025</stp>
        <stp>12/31/2018</stp>
        <tr r="M1834" s="1"/>
      </tp>
      <tp>
        <v>13.0379126530208</v>
        <stp/>
        <stp>EM_S_VAL_PETTMDEDUCTED</stp>
        <stp>2</stp>
        <stp>600075</stp>
        <stp>12/31/2018</stp>
        <tr r="M1714" s="1"/>
      </tp>
      <tp>
        <v>21.7242477422969</v>
        <stp/>
        <stp>EM_S_VAL_PETTMDEDUCTED</stp>
        <stp>2</stp>
        <stp>000012</stp>
        <stp>12/31/2018</stp>
        <tr r="M741" s="1"/>
      </tp>
      <tp>
        <v>-23.5350956219484</v>
        <stp/>
        <stp>EM_S_VAL_PETTMDEDUCTED</stp>
        <stp>2</stp>
        <stp>300022</stp>
        <stp>12/31/2018</stp>
        <tr r="M1917" s="1"/>
      </tp>
      <tp>
        <v>-1141.6210532462601</v>
        <stp/>
        <stp>EM_S_VAL_PETTMDEDUCTED</stp>
        <stp>2</stp>
        <stp>600072</stp>
        <stp>12/31/2018</stp>
        <tr r="M198" s="1"/>
      </tp>
      <tp>
        <v>-9.2899417400478406</v>
        <stp/>
        <stp>EM_S_VAL_PETTMDEDUCTED</stp>
        <stp>2</stp>
        <stp>000013</stp>
        <stp>12/31/2018</stp>
        <tr r="M2272" s="1"/>
      </tp>
      <tp>
        <v>-14.788496644441</v>
        <stp/>
        <stp>EM_S_VAL_PETTMDEDUCTED</stp>
        <stp>2</stp>
        <stp>300023</stp>
        <stp>12/31/2018</stp>
        <tr r="M1352" s="1"/>
      </tp>
      <tp>
        <v>37.799670696901998</v>
        <stp/>
        <stp>EM_S_VAL_PETTMDEDUCTED</stp>
        <stp>2</stp>
        <stp>600073</stp>
        <stp>12/31/2018</stp>
        <tr r="M1973" s="1"/>
      </tp>
      <tp>
        <v>-2.0544083848144599</v>
        <stp/>
        <stp>EM_S_VAL_PETTMDEDUCTED</stp>
        <stp>2</stp>
        <stp>000010</stp>
        <stp>12/31/2018</stp>
        <tr r="M2039" s="1"/>
      </tp>
      <tp>
        <v>-33.1939248898287</v>
        <stp/>
        <stp>EM_S_VAL_PETTMDEDUCTED</stp>
        <stp>2</stp>
        <stp>300020</stp>
        <stp>12/31/2018</stp>
        <tr r="M927" s="1"/>
      </tp>
      <tp>
        <v>23.554213764085901</v>
        <stp/>
        <stp>EM_S_VAL_PETTMDEDUCTED</stp>
        <stp>2</stp>
        <stp>600070</stp>
        <stp>12/31/2018</stp>
        <tr r="M667" s="1"/>
      </tp>
      <tp>
        <v>43.888146074422103</v>
        <stp/>
        <stp>EM_S_VAL_PETTMDEDUCTED</stp>
        <stp>2</stp>
        <stp>000011</stp>
        <stp>12/31/2018</stp>
        <tr r="M1983" s="1"/>
      </tp>
      <tp>
        <v>33.146090295073101</v>
        <stp/>
        <stp>EM_S_VAL_PETTMDEDUCTED</stp>
        <stp>2</stp>
        <stp>300021</stp>
        <stp>12/31/2018</stp>
        <tr r="M1058" s="1"/>
      </tp>
      <tp>
        <v>-86.930003603616399</v>
        <stp/>
        <stp>EM_S_VAL_PETTMDEDUCTED</stp>
        <stp>2</stp>
        <stp>600071</stp>
        <stp>12/31/2018</stp>
        <tr r="M523" s="1"/>
      </tp>
      <tp>
        <v>24.631758640714299</v>
        <stp/>
        <stp>EM_S_VAL_PETTMDEDUCTED</stp>
        <stp>2</stp>
        <stp>000008</stp>
        <stp>12/31/2018</stp>
        <tr r="M2627" s="1"/>
      </tp>
      <tp>
        <v>15.1368367764884</v>
        <stp/>
        <stp>EM_S_VAL_PETTMDEDUCTED</stp>
        <stp>2</stp>
        <stp>300038</stp>
        <stp>12/31/2018</stp>
        <tr r="M2648" s="1"/>
      </tp>
      <tp>
        <v>7.1860444559311603</v>
        <stp/>
        <stp>EM_S_VAL_PETTMDEDUCTED</stp>
        <stp>2</stp>
        <stp>600068</stp>
        <stp>12/31/2018</stp>
        <tr r="M2190" s="1"/>
      </tp>
      <tp>
        <v>-699.09855107812098</v>
        <stp/>
        <stp>EM_S_VAL_PETTMDEDUCTED</stp>
        <stp>2</stp>
        <stp>000009</stp>
        <stp>12/31/2018</stp>
        <tr r="M295" s="1"/>
      </tp>
      <tp>
        <v>19.977989574548001</v>
        <stp/>
        <stp>EM_S_VAL_PETTMDEDUCTED</stp>
        <stp>2</stp>
        <stp>300039</stp>
        <stp>12/31/2018</stp>
        <tr r="M1356" s="1"/>
      </tp>
      <tp>
        <v>497.74609667437898</v>
        <stp/>
        <stp>EM_S_VAL_PETTMDEDUCTED</stp>
        <stp>2</stp>
        <stp>600069</stp>
        <stp>12/31/2018</stp>
        <tr r="M2650" s="1"/>
      </tp>
      <tp>
        <v>7.23564930586892</v>
        <stp/>
        <stp>EM_S_VAL_PETTMDEDUCTED</stp>
        <stp>2</stp>
        <stp>000006</stp>
        <stp>12/31/2018</stp>
        <tr r="M1889" s="1"/>
      </tp>
      <tp>
        <v>40.485625520135201</v>
        <stp/>
        <stp>EM_S_VAL_PETTMDEDUCTED</stp>
        <stp>2</stp>
        <stp>300036</stp>
        <stp>12/31/2018</stp>
        <tr r="M1798" s="1"/>
      </tp>
      <tp>
        <v>12.6521161551562</v>
        <stp/>
        <stp>EM_S_VAL_PETTMDEDUCTED</stp>
        <stp>2</stp>
        <stp>600066</stp>
        <stp>12/31/2018</stp>
        <tr r="M1296" s="1"/>
      </tp>
      <tp>
        <v>123.273529661946</v>
        <stp/>
        <stp>EM_S_VAL_PETTMDEDUCTED</stp>
        <stp>2</stp>
        <stp>000007</stp>
        <stp>12/31/2018</stp>
        <tr r="M1370" s="1"/>
      </tp>
      <tp>
        <v>34.706386317314198</v>
        <stp/>
        <stp>EM_S_VAL_PETTMDEDUCTED</stp>
        <stp>2</stp>
        <stp>300037</stp>
        <stp>12/31/2018</stp>
        <tr r="M533" s="1"/>
      </tp>
      <tp>
        <v>15.0747187618319</v>
        <stp/>
        <stp>EM_S_VAL_PETTMDEDUCTED</stp>
        <stp>2</stp>
        <stp>600067</stp>
        <stp>12/31/2018</stp>
        <tr r="M1911" s="1"/>
      </tp>
      <tp>
        <v>-1583.3798703755001</v>
        <stp/>
        <stp>EM_S_VAL_PETTMDEDUCTED</stp>
        <stp>2</stp>
        <stp>000004</stp>
        <stp>12/31/2018</stp>
        <tr r="M715" s="1"/>
      </tp>
      <tp>
        <v>50.383937245644503</v>
        <stp/>
        <stp>EM_S_VAL_PETTMDEDUCTED</stp>
        <stp>2</stp>
        <stp>300034</stp>
        <stp>12/31/2018</stp>
        <tr r="M226" s="1"/>
      </tp>
      <tp>
        <v>10.989864440988701</v>
        <stp/>
        <stp>EM_S_VAL_PETTMDEDUCTED</stp>
        <stp>2</stp>
        <stp>600064</stp>
        <stp>12/31/2018</stp>
        <tr r="M1144" s="1"/>
      </tp>
      <tp>
        <v>-80.347433816999995</v>
        <stp/>
        <stp>EM_S_VAL_PETTMDEDUCTED</stp>
        <stp>2</stp>
        <stp>000005</stp>
        <stp>12/31/2018</stp>
        <tr r="M1466" s="1"/>
      </tp>
      <tp>
        <v>38.910448762648599</v>
        <stp/>
        <stp>EM_S_VAL_PETTMDEDUCTED</stp>
        <stp>2</stp>
        <stp>300035</stp>
        <stp>12/31/2018</stp>
        <tr r="M263" s="1"/>
      </tp>
      <tp>
        <v>14.9910293244975</v>
        <stp/>
        <stp>EM_S_VAL_PETTMDEDUCTED</stp>
        <stp>2</stp>
        <stp>600065</stp>
        <stp>12/31/2018</stp>
        <tr r="M2289" s="1"/>
      </tp>
      <tp>
        <v>8.5846765268363701</v>
        <stp/>
        <stp>EM_S_VAL_PETTMDEDUCTED</stp>
        <stp>2</stp>
        <stp>000002</stp>
        <stp>12/31/2018</stp>
        <tr r="M725" s="1"/>
      </tp>
      <tp>
        <v>-1.0733716455228699</v>
        <stp/>
        <stp>EM_S_VAL_PETTMDEDUCTED</stp>
        <stp>2</stp>
        <stp>300032</stp>
        <stp>12/31/2018</stp>
        <tr r="M987" s="1"/>
      </tp>
      <tp>
        <v>13.581839639830299</v>
        <stp/>
        <stp>EM_S_VAL_PETTMDEDUCTED</stp>
        <stp>2</stp>
        <stp>600062</stp>
        <stp>12/31/2018</stp>
        <tr r="M1938" s="1"/>
      </tp>
      <tp>
        <v>-278.93240930128201</v>
        <stp/>
        <stp>EM_S_VAL_PETTMDEDUCTED</stp>
        <stp>2</stp>
        <stp>000003</stp>
        <stp>12/31/2018</stp>
        <tr r="M2271" s="1"/>
      </tp>
      <tp>
        <v>36.999647927026899</v>
        <stp/>
        <stp>EM_S_VAL_PETTMDEDUCTED</stp>
        <stp>2</stp>
        <stp>300033</stp>
        <stp>12/31/2018</stp>
        <tr r="M49" s="1"/>
      </tp>
      <tp>
        <v>70.409455735196005</v>
        <stp/>
        <stp>EM_S_VAL_PETTMDEDUCTED</stp>
        <stp>2</stp>
        <stp>600063</stp>
        <stp>12/31/2018</stp>
        <tr r="M327" s="1"/>
      </tp>
      <tp>
        <v>2269.65572551579</v>
        <stp/>
        <stp>EM_S_VAL_PETTMDEDUCTED</stp>
        <stp>2</stp>
        <stp>300030</stp>
        <stp>12/31/2018</stp>
        <tr r="M663" s="1"/>
      </tp>
      <tp>
        <v>30.872384648047301</v>
        <stp/>
        <stp>EM_S_VAL_PETTMDEDUCTED</stp>
        <stp>2</stp>
        <stp>600060</stp>
        <stp>12/31/2018</stp>
        <tr r="M1112" s="1"/>
      </tp>
      <tp>
        <v>6.6064423730702702</v>
        <stp/>
        <stp>EM_S_VAL_PETTMDEDUCTED</stp>
        <stp>2</stp>
        <stp>000001</stp>
        <stp>12/31/2018</stp>
        <tr r="M265" s="1"/>
      </tp>
      <tp>
        <v>18.877418614681101</v>
        <stp/>
        <stp>EM_S_VAL_PETTMDEDUCTED</stp>
        <stp>2</stp>
        <stp>300031</stp>
        <stp>12/31/2018</stp>
        <tr r="M1669" s="1"/>
      </tp>
      <tp>
        <v>22.0710859589995</v>
        <stp/>
        <stp>EM_S_VAL_PETTMDEDUCTED</stp>
        <stp>2</stp>
        <stp>600061</stp>
        <stp>12/31/2018</stp>
        <tr r="M518" s="1"/>
      </tp>
      <tp>
        <v>24.6249024541656</v>
        <stp/>
        <stp>EM_S_VAL_PETTMDEDUCTED</stp>
        <stp>2</stp>
        <stp>000038</stp>
        <stp>12/31/2018</stp>
        <tr r="M2663" s="1"/>
      </tp>
      <tp>
        <v>-1.80107005083098</v>
        <stp/>
        <stp>EM_S_VAL_PETTMDEDUCTED</stp>
        <stp>2</stp>
        <stp>300008</stp>
        <stp>12/31/2018</stp>
        <tr r="M1648" s="1"/>
      </tp>
      <tp>
        <v>-25.0709752271101</v>
        <stp/>
        <stp>EM_S_VAL_PETTMDEDUCTED</stp>
        <stp>2</stp>
        <stp>600058</stp>
        <stp>12/31/2018</stp>
        <tr r="M1269" s="1"/>
      </tp>
      <tp>
        <v>27.749711345146402</v>
        <stp/>
        <stp>EM_S_VAL_PETTMDEDUCTED</stp>
        <stp>2</stp>
        <stp>000039</stp>
        <stp>12/31/2018</stp>
        <tr r="M1426" s="1"/>
      </tp>
      <tp>
        <v>44.566928658965502</v>
        <stp/>
        <stp>EM_S_VAL_PETTMDEDUCTED</stp>
        <stp>2</stp>
        <stp>300009</stp>
        <stp>12/31/2018</stp>
        <tr r="M1660" s="1"/>
      </tp>
      <tp>
        <v>36.3092731992339</v>
        <stp/>
        <stp>EM_S_VAL_PETTMDEDUCTED</stp>
        <stp>2</stp>
        <stp>600059</stp>
        <stp>12/31/2018</stp>
        <tr r="M979" s="1"/>
      </tp>
      <tp>
        <v>6.4251242929658803</v>
        <stp/>
        <stp>EM_S_VAL_PETTMDEDUCTED</stp>
        <stp>2</stp>
        <stp>000036</stp>
        <stp>12/31/2018</stp>
        <tr r="M3122" s="1"/>
      </tp>
      <tp>
        <v>75.2650842848536</v>
        <stp/>
        <stp>EM_S_VAL_PETTMDEDUCTED</stp>
        <stp>2</stp>
        <stp>300006</stp>
        <stp>12/31/2018</stp>
        <tr r="M461" s="1"/>
      </tp>
      <tp>
        <v>10.5214280400142</v>
        <stp/>
        <stp>EM_S_VAL_PETTMDEDUCTED</stp>
        <stp>2</stp>
        <stp>600056</stp>
        <stp>12/31/2018</stp>
        <tr r="M2165" s="1"/>
      </tp>
      <tp>
        <v>55.157949773283804</v>
        <stp/>
        <stp>EM_S_VAL_PETTMDEDUCTED</stp>
        <stp>2</stp>
        <stp>000037</stp>
        <stp>12/31/2018</stp>
        <tr r="M68" s="1"/>
      </tp>
      <tp>
        <v>55.533734893971001</v>
        <stp/>
        <stp>EM_S_VAL_PETTMDEDUCTED</stp>
        <stp>2</stp>
        <stp>300007</stp>
        <stp>12/31/2018</stp>
        <tr r="M352" s="1"/>
      </tp>
      <tp>
        <v>23.252437879975901</v>
        <stp/>
        <stp>EM_S_VAL_PETTMDEDUCTED</stp>
        <stp>2</stp>
        <stp>600057</stp>
        <stp>12/31/2018</stp>
        <tr r="M2370" s="1"/>
      </tp>
      <tp>
        <v>22.7160261433927</v>
        <stp/>
        <stp>EM_S_VAL_PETTMDEDUCTED</stp>
        <stp>2</stp>
        <stp>000034</stp>
        <stp>12/31/2018</stp>
        <tr r="M564" s="1"/>
      </tp>
      <tp>
        <v>-6.5403251986682198</v>
        <stp/>
        <stp>EM_S_VAL_PETTMDEDUCTED</stp>
        <stp>2</stp>
        <stp>300004</stp>
        <stp>12/31/2018</stp>
        <tr r="M259" s="1"/>
      </tp>
      <tp>
        <v>21.037820482513499</v>
        <stp/>
        <stp>EM_S_VAL_PETTMDEDUCTED</stp>
        <stp>2</stp>
        <stp>600054</stp>
        <stp>12/31/2018</stp>
        <tr r="M2451" s="1"/>
      </tp>
      <tp>
        <v>29.271424654690499</v>
        <stp/>
        <stp>EM_S_VAL_PETTMDEDUCTED</stp>
        <stp>2</stp>
        <stp>000035</stp>
        <stp>12/31/2018</stp>
        <tr r="M1341" s="1"/>
      </tp>
      <tp>
        <v>-12.3692163468753</v>
        <stp/>
        <stp>EM_S_VAL_PETTMDEDUCTED</stp>
        <stp>2</stp>
        <stp>300005</stp>
        <stp>12/31/2018</stp>
        <tr r="M801" s="1"/>
      </tp>
      <tp>
        <v>45.242414576776298</v>
        <stp/>
        <stp>EM_S_VAL_PETTMDEDUCTED</stp>
        <stp>2</stp>
        <stp>600055</stp>
        <stp>12/31/2018</stp>
        <tr r="M1416" s="1"/>
      </tp>
      <tp>
        <v>90.181257555372</v>
        <stp/>
        <stp>EM_S_VAL_PETTMDEDUCTED</stp>
        <stp>2</stp>
        <stp>000032</stp>
        <stp>12/31/2018</stp>
        <tr r="M158" s="1"/>
      </tp>
      <tp>
        <v>3198.6126083243598</v>
        <stp/>
        <stp>EM_S_VAL_PETTMDEDUCTED</stp>
        <stp>2</stp>
        <stp>300002</stp>
        <stp>12/31/2018</stp>
        <tr r="M2398" s="1"/>
      </tp>
      <tp>
        <v>10.8714747833099</v>
        <stp/>
        <stp>EM_S_VAL_PETTMDEDUCTED</stp>
        <stp>2</stp>
        <stp>600052</stp>
        <stp>12/31/2018</stp>
        <tr r="M481" s="1"/>
      </tp>
      <tp>
        <v>-71.764480960686001</v>
        <stp/>
        <stp>EM_S_VAL_PETTMDEDUCTED</stp>
        <stp>2</stp>
        <stp>000033</stp>
        <stp>12/31/2018</stp>
        <tr r="M2275" s="1"/>
      </tp>
      <tp>
        <v>32.649548134351697</v>
        <stp/>
        <stp>EM_S_VAL_PETTMDEDUCTED</stp>
        <stp>2</stp>
        <stp>300003</stp>
        <stp>12/31/2018</stp>
        <tr r="M508" s="1"/>
      </tp>
      <tp>
        <v>30.663091523198201</v>
        <stp/>
        <stp>EM_S_VAL_PETTMDEDUCTED</stp>
        <stp>2</stp>
        <stp>600053</stp>
        <stp>12/31/2018</stp>
        <tr r="M2410" s="1"/>
      </tp>
      <tp>
        <v>8.5124884920494406</v>
        <stp/>
        <stp>EM_S_VAL_PETTMDEDUCTED</stp>
        <stp>2</stp>
        <stp>000030</stp>
        <stp>12/31/2018</stp>
        <tr r="M883" s="1"/>
      </tp>
      <tp>
        <v>41.538568464257303</v>
        <stp/>
        <stp>EM_S_VAL_PETTMDEDUCTED</stp>
        <stp>2</stp>
        <stp>600050</stp>
        <stp>12/31/2018</stp>
        <tr r="M1536" s="1"/>
      </tp>
      <tp>
        <v>6.7945066535527898</v>
        <stp/>
        <stp>EM_S_VAL_PETTMDEDUCTED</stp>
        <stp>2</stp>
        <stp>000031</stp>
        <stp>12/31/2018</stp>
        <tr r="M569" s="1"/>
      </tp>
      <tp>
        <v>634.11383105829395</v>
        <stp/>
        <stp>EM_S_VAL_PETTMDEDUCTED</stp>
        <stp>2</stp>
        <stp>300001</stp>
        <stp>12/31/2018</stp>
        <tr r="M2358" s="1"/>
      </tp>
      <tp>
        <v>20.542930254482101</v>
        <stp/>
        <stp>EM_S_VAL_PETTMDEDUCTED</stp>
        <stp>2</stp>
        <stp>600051</stp>
        <stp>12/31/2018</stp>
        <tr r="M1703" s="1"/>
      </tp>
      <tp>
        <v>15.428792680855199</v>
        <stp/>
        <stp>EM_S_VAL_PETTMDEDUCTED</stp>
        <stp>2</stp>
        <stp>000028</stp>
        <stp>12/31/2018</stp>
        <tr r="M1704" s="1"/>
      </tp>
      <tp>
        <v>42.137701031159303</v>
        <stp/>
        <stp>EM_S_VAL_PETTMDEDUCTED</stp>
        <stp>2</stp>
        <stp>300018</stp>
        <stp>12/31/2018</stp>
        <tr r="M1441" s="1"/>
      </tp>
      <tp>
        <v>8.6286290508088204</v>
        <stp/>
        <stp>EM_S_VAL_PETTMDEDUCTED</stp>
        <stp>2</stp>
        <stp>600048</stp>
        <stp>12/31/2018</stp>
        <tr r="M771" s="1"/>
      </tp>
      <tp>
        <v>27.830454462683502</v>
        <stp/>
        <stp>EM_S_VAL_PETTMDEDUCTED</stp>
        <stp>2</stp>
        <stp>000029</stp>
        <stp>12/31/2018</stp>
        <tr r="M2341" s="1"/>
      </tp>
      <tp>
        <v>67.837373243131694</v>
        <stp/>
        <stp>EM_S_VAL_PETTMDEDUCTED</stp>
        <stp>2</stp>
        <stp>300019</stp>
        <stp>12/31/2018</stp>
        <tr r="M390" s="1"/>
      </tp>
      <tp>
        <v>23.396887489905499</v>
        <stp/>
        <stp>EM_S_VAL_PETTMDEDUCTED</stp>
        <stp>2</stp>
        <stp>000026</stp>
        <stp>12/31/2018</stp>
        <tr r="M462" s="1"/>
      </tp>
      <tp>
        <v>28.858687771175902</v>
        <stp/>
        <stp>EM_S_VAL_PETTMDEDUCTED</stp>
        <stp>2</stp>
        <stp>300016</stp>
        <stp>12/31/2018</stp>
        <tr r="M993" s="1"/>
      </tp>
      <tp>
        <v>35.418646614914998</v>
        <stp/>
        <stp>EM_S_VAL_PETTMDEDUCTED</stp>
        <stp>2</stp>
        <stp>000027</stp>
        <stp>12/31/2018</stp>
        <tr r="M1310" s="1"/>
      </tp>
      <tp>
        <v>24.7568240255981</v>
        <stp/>
        <stp>EM_S_VAL_PETTMDEDUCTED</stp>
        <stp>2</stp>
        <stp>300017</stp>
        <stp>12/31/2018</stp>
        <tr r="M1215" s="1"/>
      </tp>
      <tp>
        <v>26.038622764058001</v>
        <stp/>
        <stp>EM_S_VAL_PETTMDEDUCTED</stp>
        <stp>2</stp>
        <stp>000024</stp>
        <stp>12/31/2018</stp>
        <tr r="M2274" s="1"/>
      </tp>
      <tp>
        <v>40.908646592047603</v>
        <stp/>
        <stp>EM_S_VAL_PETTMDEDUCTED</stp>
        <stp>2</stp>
        <stp>300014</stp>
        <stp>12/31/2018</stp>
        <tr r="M40" s="1"/>
      </tp>
      <tp>
        <v>150.16205128501301</v>
        <stp/>
        <stp>EM_S_VAL_PETTMDEDUCTED</stp>
        <stp>2</stp>
        <stp>000025</stp>
        <stp>12/31/2018</stp>
        <tr r="M1436" s="1"/>
      </tp>
      <tp>
        <v>60.3149747343762</v>
        <stp/>
        <stp>EM_S_VAL_PETTMDEDUCTED</stp>
        <stp>2</stp>
        <stp>300015</stp>
        <stp>12/31/2018</stp>
        <tr r="M607" s="1"/>
      </tp>
      <tp>
        <v>0</v>
        <stp/>
        <stp>EM_S_VAL_PETTMDEDUCTED</stp>
        <stp>2</stp>
        <stp>000022</stp>
        <stp>12/31/2018</stp>
        <tr r="M3" s="1"/>
      </tp>
      <tp>
        <v>84.825801796611103</v>
        <stp/>
        <stp>EM_S_VAL_PETTMDEDUCTED</stp>
        <stp>2</stp>
        <stp>300012</stp>
        <stp>12/31/2018</stp>
        <tr r="M112" s="1"/>
      </tp>
      <tp>
        <v>308.53671312647703</v>
        <stp/>
        <stp>EM_S_VAL_PETTMDEDUCTED</stp>
        <stp>2</stp>
        <stp>000023</stp>
        <stp>12/31/2018</stp>
        <tr r="M2109" s="1"/>
      </tp>
      <tp>
        <v>96.862135991473195</v>
        <stp/>
        <stp>EM_S_VAL_PETTMDEDUCTED</stp>
        <stp>2</stp>
        <stp>300013</stp>
        <stp>12/31/2018</stp>
        <tr r="M2628" s="1"/>
      </tp>
      <tp>
        <v>1454.9130216869</v>
        <stp/>
        <stp>EM_S_VAL_PETTMDEDUCTED</stp>
        <stp>2</stp>
        <stp>000020</stp>
        <stp>12/31/2018</stp>
        <tr r="M2164" s="1"/>
      </tp>
      <tp>
        <v>52.709565207674501</v>
        <stp/>
        <stp>EM_S_VAL_PETTMDEDUCTED</stp>
        <stp>2</stp>
        <stp>300010</stp>
        <stp>12/31/2018</stp>
        <tr r="M280" s="1"/>
      </tp>
      <tp>
        <v>-329.45348238203798</v>
        <stp/>
        <stp>EM_S_VAL_PETTMDEDUCTED</stp>
        <stp>2</stp>
        <stp>000021</stp>
        <stp>12/31/2018</stp>
        <tr r="M134" s="1"/>
      </tp>
      <tp>
        <v>111.87123722979899</v>
        <stp/>
        <stp>EM_S_VAL_PETTMDEDUCTED</stp>
        <stp>2</stp>
        <stp>300011</stp>
        <stp>12/31/2018</stp>
        <tr r="M2446" s="1"/>
      </tp>
      <tp>
        <v>39.379544146212702</v>
        <stp/>
        <stp>EM_S_VAL_PETTMDEDUCTED</stp>
        <stp>2</stp>
        <stp>000058</stp>
        <stp>12/31/2018</stp>
        <tr r="M1127" s="1"/>
      </tp>
      <tp>
        <v>40.657829452617896</v>
        <stp/>
        <stp>EM_S_VAL_PETTMDEDUCTED</stp>
        <stp>2</stp>
        <stp>300068</stp>
        <stp>12/31/2018</stp>
        <tr r="M3130" s="1"/>
      </tp>
      <tp>
        <v>46.338546621036002</v>
        <stp/>
        <stp>EM_S_VAL_PETTMDEDUCTED</stp>
        <stp>2</stp>
        <stp>600038</stp>
        <stp>12/31/2018</stp>
        <tr r="M1039" s="1"/>
      </tp>
      <tp>
        <v>5.5850024687215898</v>
        <stp/>
        <stp>EM_S_VAL_PETTMDEDUCTED</stp>
        <stp>2</stp>
        <stp>000059</stp>
        <stp>12/31/2018</stp>
        <tr r="M1923" s="1"/>
      </tp>
      <tp>
        <v>-50.181080382454297</v>
        <stp/>
        <stp>EM_S_VAL_PETTMDEDUCTED</stp>
        <stp>2</stp>
        <stp>300069</stp>
        <stp>12/31/2018</stp>
        <tr r="M270" s="1"/>
      </tp>
      <tp>
        <v>9.8136819323786302</v>
        <stp/>
        <stp>EM_S_VAL_PETTMDEDUCTED</stp>
        <stp>2</stp>
        <stp>600039</stp>
        <stp>12/31/2018</stp>
        <tr r="M2260" s="1"/>
      </tp>
      <tp>
        <v>86.935940374728105</v>
        <stp/>
        <stp>EM_S_VAL_PETTMDEDUCTED</stp>
        <stp>2</stp>
        <stp>000056</stp>
        <stp>12/31/2018</stp>
        <tr r="M2827" s="1"/>
      </tp>
      <tp>
        <v>38.587020781027903</v>
        <stp/>
        <stp>EM_S_VAL_PETTMDEDUCTED</stp>
        <stp>2</stp>
        <stp>300066</stp>
        <stp>12/31/2018</stp>
        <tr r="M710" s="1"/>
      </tp>
      <tp>
        <v>8.1054484707775902</v>
        <stp/>
        <stp>EM_S_VAL_PETTMDEDUCTED</stp>
        <stp>2</stp>
        <stp>600036</stp>
        <stp>12/31/2018</stp>
        <tr r="M562" s="1"/>
      </tp>
      <tp>
        <v>28.112799225032699</v>
        <stp/>
        <stp>EM_S_VAL_PETTMDEDUCTED</stp>
        <stp>2</stp>
        <stp>300067</stp>
        <stp>12/31/2018</stp>
        <tr r="M2899" s="1"/>
      </tp>
      <tp>
        <v>23.416550062511099</v>
        <stp/>
        <stp>EM_S_VAL_PETTMDEDUCTED</stp>
        <stp>2</stp>
        <stp>600037</stp>
        <stp>12/31/2018</stp>
        <tr r="M2030" s="1"/>
      </tp>
      <tp>
        <v>27.206907173716001</v>
        <stp/>
        <stp>EM_S_VAL_PETTMDEDUCTED</stp>
        <stp>2</stp>
        <stp>300064</stp>
        <stp>12/31/2018</stp>
        <tr r="M3172" s="1"/>
      </tp>
      <tp>
        <v>14.635456073277799</v>
        <stp/>
        <stp>EM_S_VAL_PETTMDEDUCTED</stp>
        <stp>2</stp>
        <stp>000055</stp>
        <stp>12/31/2018</stp>
        <tr r="M1107" s="1"/>
      </tp>
      <tp>
        <v>43.813474603490697</v>
        <stp/>
        <stp>EM_S_VAL_PETTMDEDUCTED</stp>
        <stp>2</stp>
        <stp>300065</stp>
        <stp>12/31/2018</stp>
        <tr r="M1337" s="1"/>
      </tp>
      <tp>
        <v>8.9413562216905405</v>
        <stp/>
        <stp>EM_S_VAL_PETTMDEDUCTED</stp>
        <stp>2</stp>
        <stp>600035</stp>
        <stp>12/31/2018</stp>
        <tr r="M1452" s="1"/>
      </tp>
      <tp>
        <v>-19.482575161917701</v>
        <stp/>
        <stp>EM_S_VAL_PETTMDEDUCTED</stp>
        <stp>2</stp>
        <stp>300062</stp>
        <stp>12/31/2018</stp>
        <tr r="M1772" s="1"/>
      </tp>
      <tp>
        <v>-6.3656441011709903</v>
        <stp/>
        <stp>EM_S_VAL_PETTMDEDUCTED</stp>
        <stp>2</stp>
        <stp>300063</stp>
        <stp>12/31/2018</stp>
        <tr r="M2700" s="1"/>
      </tp>
      <tp>
        <v>12.0973013995856</v>
        <stp/>
        <stp>EM_S_VAL_PETTMDEDUCTED</stp>
        <stp>2</stp>
        <stp>600033</stp>
        <stp>12/31/2018</stp>
        <tr r="M2105" s="1"/>
      </tp>
      <tp>
        <v>-76.441480247595706</v>
        <stp/>
        <stp>EM_S_VAL_PETTMDEDUCTED</stp>
        <stp>2</stp>
        <stp>000050</stp>
        <stp>12/31/2018</stp>
        <tr r="M348" s="1"/>
      </tp>
      <tp>
        <v>17.987472109007001</v>
        <stp/>
        <stp>EM_S_VAL_PETTMDEDUCTED</stp>
        <stp>2</stp>
        <stp>600030</stp>
        <stp>12/31/2018</stp>
        <tr r="M423" s="1"/>
      </tp>
      <tp>
        <v>13.1402655095411</v>
        <stp/>
        <stp>EM_S_VAL_PETTMDEDUCTED</stp>
        <stp>2</stp>
        <stp>300061</stp>
        <stp>12/31/2018</stp>
        <tr r="M1862" s="1"/>
      </tp>
      <tp>
        <v>11.884231925442</v>
        <stp/>
        <stp>EM_S_VAL_PETTMDEDUCTED</stp>
        <stp>2</stp>
        <stp>600031</stp>
        <stp>12/31/2018</stp>
        <tr r="M148" s="1"/>
      </tp>
      <tp>
        <v>16.166743712812998</v>
        <stp/>
        <stp>EM_S_VAL_PETTMDEDUCTED</stp>
        <stp>2</stp>
        <stp>000048</stp>
        <stp>12/31/2018</stp>
        <tr r="M1177" s="1"/>
      </tp>
      <tp>
        <v>71.599934375196</v>
        <stp/>
        <stp>EM_S_VAL_PETTMDEDUCTED</stp>
        <stp>2</stp>
        <stp>300078</stp>
        <stp>12/31/2018</stp>
        <tr r="M1234" s="1"/>
      </tp>
      <tp>
        <v>9.2618173222695201</v>
        <stp/>
        <stp>EM_S_VAL_PETTMDEDUCTED</stp>
        <stp>2</stp>
        <stp>600028</stp>
        <stp>12/31/2018</stp>
        <tr r="M2245" s="1"/>
      </tp>
      <tp>
        <v>15.8733166882358</v>
        <stp/>
        <stp>EM_S_VAL_PETTMDEDUCTED</stp>
        <stp>2</stp>
        <stp>000049</stp>
        <stp>12/31/2018</stp>
        <tr r="M678" s="1"/>
      </tp>
      <tp>
        <v>134.10290245722501</v>
        <stp/>
        <stp>EM_S_VAL_PETTMDEDUCTED</stp>
        <stp>2</stp>
        <stp>300079</stp>
        <stp>12/31/2018</stp>
        <tr r="M236" s="1"/>
      </tp>
      <tp>
        <v>34.928826749159498</v>
        <stp/>
        <stp>EM_S_VAL_PETTMDEDUCTED</stp>
        <stp>2</stp>
        <stp>600029</stp>
        <stp>12/31/2018</stp>
        <tr r="M1859" s="1"/>
      </tp>
      <tp>
        <v>12.0188813361586</v>
        <stp/>
        <stp>EM_S_VAL_PETTMDEDUCTED</stp>
        <stp>2</stp>
        <stp>000046</stp>
        <stp>12/31/2018</stp>
        <tr r="M2270" s="1"/>
      </tp>
      <tp>
        <v>-16.446731820909399</v>
        <stp/>
        <stp>EM_S_VAL_PETTMDEDUCTED</stp>
        <stp>2</stp>
        <stp>300076</stp>
        <stp>12/31/2018</stp>
        <tr r="M594" s="1"/>
      </tp>
      <tp>
        <v>-102.49773295226601</v>
        <stp/>
        <stp>EM_S_VAL_PETTMDEDUCTED</stp>
        <stp>2</stp>
        <stp>600026</stp>
        <stp>12/31/2018</stp>
        <tr r="M703" s="1"/>
      </tp>
      <tp>
        <v>-286.25474402825802</v>
        <stp/>
        <stp>EM_S_VAL_PETTMDEDUCTED</stp>
        <stp>2</stp>
        <stp>000047</stp>
        <stp>12/31/2018</stp>
        <tr r="M2276" s="1"/>
      </tp>
      <tp>
        <v>-7.1306654609118203</v>
        <stp/>
        <stp>EM_S_VAL_PETTMDEDUCTED</stp>
        <stp>2</stp>
        <stp>300077</stp>
        <stp>12/31/2018</stp>
        <tr r="M3056" s="1"/>
      </tp>
      <tp>
        <v>26.742574219427901</v>
        <stp/>
        <stp>EM_S_VAL_PETTMDEDUCTED</stp>
        <stp>2</stp>
        <stp>600027</stp>
        <stp>12/31/2018</stp>
        <tr r="M3124" s="1"/>
      </tp>
      <tp>
        <v>241.913103289937</v>
        <stp/>
        <stp>EM_S_VAL_PETTMDEDUCTED</stp>
        <stp>2</stp>
        <stp>300074</stp>
        <stp>12/31/2018</stp>
        <tr r="M1462" s="1"/>
      </tp>
      <tp>
        <v>-137.88001106383399</v>
        <stp/>
        <stp>EM_S_VAL_PETTMDEDUCTED</stp>
        <stp>2</stp>
        <stp>000045</stp>
        <stp>12/31/2018</stp>
        <tr r="M967" s="1"/>
      </tp>
      <tp>
        <v>27.474995659824799</v>
        <stp/>
        <stp>EM_S_VAL_PETTMDEDUCTED</stp>
        <stp>2</stp>
        <stp>300075</stp>
        <stp>12/31/2018</stp>
        <tr r="M2077" s="1"/>
      </tp>
      <tp>
        <v>18.151922636074801</v>
        <stp/>
        <stp>EM_S_VAL_PETTMDEDUCTED</stp>
        <stp>2</stp>
        <stp>600025</stp>
        <stp>12/31/2018</stp>
        <tr r="M835" s="1"/>
      </tp>
      <tp>
        <v>7.5043959154284696</v>
        <stp/>
        <stp>EM_S_VAL_PETTMDEDUCTED</stp>
        <stp>2</stp>
        <stp>000042</stp>
        <stp>12/31/2018</stp>
        <tr r="M2432" s="1"/>
      </tp>
      <tp>
        <v>13.4161683408923</v>
        <stp/>
        <stp>EM_S_VAL_PETTMDEDUCTED</stp>
        <stp>2</stp>
        <stp>300072</stp>
        <stp>12/31/2018</stp>
        <tr r="M3283" s="1"/>
      </tp>
      <tp>
        <v>5.1828487013407996</v>
        <stp/>
        <stp>EM_S_VAL_PETTMDEDUCTED</stp>
        <stp>2</stp>
        <stp>600022</stp>
        <stp>12/31/2018</stp>
        <tr r="M2738" s="1"/>
      </tp>
      <tp>
        <v>-20.877764308329301</v>
        <stp/>
        <stp>EM_S_VAL_PETTMDEDUCTED</stp>
        <stp>2</stp>
        <stp>000043</stp>
        <stp>12/31/2018</stp>
        <tr r="M4" s="1"/>
      </tp>
      <tp>
        <v>46.9255025076706</v>
        <stp/>
        <stp>EM_S_VAL_PETTMDEDUCTED</stp>
        <stp>2</stp>
        <stp>300073</stp>
        <stp>12/31/2018</stp>
        <tr r="M2284" s="1"/>
      </tp>
      <tp>
        <v>15.6811784226709</v>
        <stp/>
        <stp>EM_S_VAL_PETTMDEDUCTED</stp>
        <stp>2</stp>
        <stp>600023</stp>
        <stp>12/31/2018</stp>
        <tr r="M2977" s="1"/>
      </tp>
      <tp>
        <v>19.8004905660429</v>
        <stp/>
        <stp>EM_S_VAL_PETTMDEDUCTED</stp>
        <stp>2</stp>
        <stp>000040</stp>
        <stp>12/31/2018</stp>
        <tr r="M3327" s="1"/>
      </tp>
      <tp>
        <v>10.7424714749567</v>
        <stp/>
        <stp>EM_S_VAL_PETTMDEDUCTED</stp>
        <stp>2</stp>
        <stp>300070</stp>
        <stp>12/31/2018</stp>
        <tr r="M2453" s="1"/>
      </tp>
      <tp>
        <v>7.9495674037671202</v>
        <stp/>
        <stp>EM_S_VAL_PETTMDEDUCTED</stp>
        <stp>2</stp>
        <stp>600020</stp>
        <stp>12/31/2018</stp>
        <tr r="M1292" s="1"/>
      </tp>
      <tp>
        <v>-6.3442738291240897</v>
        <stp/>
        <stp>EM_S_VAL_PETTMDEDUCTED</stp>
        <stp>2</stp>
        <stp>300071</stp>
        <stp>12/31/2018</stp>
        <tr r="M3121" s="1"/>
      </tp>
      <tp>
        <v>36.693225432480702</v>
        <stp/>
        <stp>EM_S_VAL_PETTMDEDUCTED</stp>
        <stp>2</stp>
        <stp>600021</stp>
        <stp>12/31/2018</stp>
        <tr r="M2411" s="1"/>
      </tp>
      <tp>
        <v>11.677909252235301</v>
        <stp/>
        <stp>EM_S_VAL_PETTMDEDUCTED</stp>
        <stp>2</stp>
        <stp>000078</stp>
        <stp>12/31/2018</stp>
        <tr r="M1064" s="1"/>
      </tp>
      <tp>
        <v>99.279537941872505</v>
        <stp/>
        <stp>EM_S_VAL_PETTMDEDUCTED</stp>
        <stp>2</stp>
        <stp>300048</stp>
        <stp>12/31/2018</stp>
        <tr r="M2355" s="1"/>
      </tp>
      <tp>
        <v>15.795761666737199</v>
        <stp/>
        <stp>EM_S_VAL_PETTMDEDUCTED</stp>
        <stp>2</stp>
        <stp>600018</stp>
        <stp>12/31/2018</stp>
        <tr r="M1725" s="1"/>
      </tp>
      <tp>
        <v>31.4133584714276</v>
        <stp/>
        <stp>EM_S_VAL_PETTMDEDUCTED</stp>
        <stp>2</stp>
        <stp>300049</stp>
        <stp>12/31/2018</stp>
        <tr r="M3166" s="1"/>
      </tp>
      <tp>
        <v>6.7403114609527801</v>
        <stp/>
        <stp>EM_S_VAL_PETTMDEDUCTED</stp>
        <stp>2</stp>
        <stp>600019</stp>
        <stp>12/31/2018</stp>
        <tr r="M2815" s="1"/>
      </tp>
      <tp>
        <v>85.183170359396001</v>
        <stp/>
        <stp>EM_S_VAL_PETTMDEDUCTED</stp>
        <stp>2</stp>
        <stp>300046</stp>
        <stp>12/31/2018</stp>
        <tr r="M595" s="1"/>
      </tp>
      <tp>
        <v>4.7769914126180097</v>
        <stp/>
        <stp>EM_S_VAL_PETTMDEDUCTED</stp>
        <stp>2</stp>
        <stp>600016</stp>
        <stp>12/31/2018</stp>
        <tr r="M1730" s="1"/>
      </tp>
      <tp>
        <v>23.903490231227401</v>
        <stp/>
        <stp>EM_S_VAL_PETTMDEDUCTED</stp>
        <stp>2</stp>
        <stp>300047</stp>
        <stp>12/31/2018</stp>
        <tr r="M3200" s="1"/>
      </tp>
      <tp>
        <v>15.006359288361701</v>
        <stp/>
        <stp>EM_S_VAL_PETTMDEDUCTED</stp>
        <stp>2</stp>
        <stp>600017</stp>
        <stp>12/31/2018</stp>
        <tr r="M1986" s="1"/>
      </tp>
      <tp>
        <v>30.969151175271499</v>
        <stp/>
        <stp>EM_S_VAL_PETTMDEDUCTED</stp>
        <stp>2</stp>
        <stp>300044</stp>
        <stp>12/31/2018</stp>
        <tr r="M1874" s="1"/>
      </tp>
      <tp>
        <v>46.580068430576297</v>
        <stp/>
        <stp>EM_S_VAL_PETTMDEDUCTED</stp>
        <stp>2</stp>
        <stp>300045</stp>
        <stp>12/31/2018</stp>
        <tr r="M1141" s="1"/>
      </tp>
      <tp>
        <v>4.7304140557942302</v>
        <stp/>
        <stp>EM_S_VAL_PETTMDEDUCTED</stp>
        <stp>2</stp>
        <stp>600015</stp>
        <stp>12/31/2018</stp>
        <tr r="M2083" s="1"/>
      </tp>
      <tp>
        <v>37.8592410859547</v>
        <stp/>
        <stp>EM_S_VAL_PETTMDEDUCTED</stp>
        <stp>2</stp>
        <stp>300042</stp>
        <stp>12/31/2018</stp>
        <tr r="M1386" s="1"/>
      </tp>
      <tp>
        <v>8.8566951043405098</v>
        <stp/>
        <stp>EM_S_VAL_PETTMDEDUCTED</stp>
        <stp>2</stp>
        <stp>600012</stp>
        <stp>12/31/2018</stp>
        <tr r="M2470" s="1"/>
      </tp>
      <tp>
        <v>24.993705635405501</v>
        <stp/>
        <stp>EM_S_VAL_PETTMDEDUCTED</stp>
        <stp>2</stp>
        <stp>300043</stp>
        <stp>12/31/2018</stp>
        <tr r="M491" s="1"/>
      </tp>
      <tp>
        <v>19.1693873262662</v>
        <stp/>
        <stp>EM_S_VAL_PETTMDEDUCTED</stp>
        <stp>2</stp>
        <stp>000070</stp>
        <stp>12/31/2018</stp>
        <tr r="M228" s="1"/>
      </tp>
      <tp>
        <v>37.674420366192997</v>
        <stp/>
        <stp>EM_S_VAL_PETTMDEDUCTED</stp>
        <stp>2</stp>
        <stp>300040</stp>
        <stp>12/31/2018</stp>
        <tr r="M1626" s="1"/>
      </tp>
      <tp>
        <v>22.948474482357401</v>
        <stp/>
        <stp>EM_S_VAL_PETTMDEDUCTED</stp>
        <stp>2</stp>
        <stp>600010</stp>
        <stp>12/31/2018</stp>
        <tr r="M2792" s="1"/>
      </tp>
      <tp>
        <v>25.822646101559499</v>
        <stp/>
        <stp>EM_S_VAL_PETTMDEDUCTED</stp>
        <stp>2</stp>
        <stp>300041</stp>
        <stp>12/31/2018</stp>
        <tr r="M532" s="1"/>
      </tp>
      <tp>
        <v>313.70937534121799</v>
        <stp/>
        <stp>EM_S_VAL_PETTMDEDUCTED</stp>
        <stp>2</stp>
        <stp>600011</stp>
        <stp>12/31/2018</stp>
        <tr r="M3146" s="1"/>
      </tp>
      <tp>
        <v>-365.11531249541599</v>
        <stp/>
        <stp>EM_S_VAL_PETTMDEDUCTED</stp>
        <stp>2</stp>
        <stp>000068</stp>
        <stp>12/31/2018</stp>
        <tr r="M2414" s="1"/>
      </tp>
      <tp>
        <v>31.797237115281899</v>
        <stp/>
        <stp>EM_S_VAL_PETTMDEDUCTED</stp>
        <stp>2</stp>
        <stp>300058</stp>
        <stp>12/31/2018</stp>
        <tr r="M873" s="1"/>
      </tp>
      <tp>
        <v>35.340510446856598</v>
        <stp/>
        <stp>EM_S_VAL_PETTMDEDUCTED</stp>
        <stp>2</stp>
        <stp>600008</stp>
        <stp>12/31/2018</stp>
        <tr r="M2550" s="1"/>
      </tp>
      <tp>
        <v>6.4621678374724203</v>
        <stp/>
        <stp>EM_S_VAL_PETTMDEDUCTED</stp>
        <stp>2</stp>
        <stp>000069</stp>
        <stp>12/31/2018</stp>
        <tr r="M986" s="1"/>
      </tp>
      <tp>
        <v>65.417338925140399</v>
        <stp/>
        <stp>EM_S_VAL_PETTMDEDUCTED</stp>
        <stp>2</stp>
        <stp>300059</stp>
        <stp>12/31/2018</stp>
        <tr r="M916" s="1"/>
      </tp>
      <tp>
        <v>23.6702800445508</v>
        <stp/>
        <stp>EM_S_VAL_PETTMDEDUCTED</stp>
        <stp>2</stp>
        <stp>600009</stp>
        <stp>12/31/2018</stp>
        <tr r="M511" s="1"/>
      </tp>
      <tp>
        <v>-300.98955700905202</v>
        <stp/>
        <stp>EM_S_VAL_PETTMDEDUCTED</stp>
        <stp>2</stp>
        <stp>000066</stp>
        <stp>12/31/2018</stp>
        <tr r="M34" s="1"/>
      </tp>
      <tp>
        <v>39.867346219225098</v>
        <stp/>
        <stp>EM_S_VAL_PETTMDEDUCTED</stp>
        <stp>2</stp>
        <stp>300056</stp>
        <stp>12/31/2018</stp>
        <tr r="M1201" s="1"/>
      </tp>
      <tp>
        <v>15.982329851942101</v>
        <stp/>
        <stp>EM_S_VAL_PETTMDEDUCTED</stp>
        <stp>2</stp>
        <stp>600006</stp>
        <stp>12/31/2018</stp>
        <tr r="M1054" s="1"/>
      </tp>
      <tp>
        <v>40.486922113885797</v>
        <stp/>
        <stp>EM_S_VAL_PETTMDEDUCTED</stp>
        <stp>2</stp>
        <stp>300057</stp>
        <stp>12/31/2018</stp>
        <tr r="M2435" s="1"/>
      </tp>
      <tp>
        <v>16.812220154206202</v>
        <stp/>
        <stp>EM_S_VAL_PETTMDEDUCTED</stp>
        <stp>2</stp>
        <stp>600007</stp>
        <stp>12/31/2018</stp>
        <tr r="M722" s="1"/>
      </tp>
      <tp>
        <v>21.171346572241902</v>
        <stp/>
        <stp>EM_S_VAL_PETTMDEDUCTED</stp>
        <stp>2</stp>
        <stp>300054</stp>
        <stp>12/31/2018</stp>
        <tr r="M635" s="1"/>
      </tp>
      <tp>
        <v>16.245419561819201</v>
        <stp/>
        <stp>EM_S_VAL_PETTMDEDUCTED</stp>
        <stp>2</stp>
        <stp>600004</stp>
        <stp>12/31/2018</stp>
        <tr r="M266" s="1"/>
      </tp>
      <tp>
        <v>10.3539641990072</v>
        <stp/>
        <stp>EM_S_VAL_PETTMDEDUCTED</stp>
        <stp>2</stp>
        <stp>000065</stp>
        <stp>12/31/2018</stp>
        <tr r="M1549" s="1"/>
      </tp>
      <tp>
        <v>27.7780622896381</v>
        <stp/>
        <stp>EM_S_VAL_PETTMDEDUCTED</stp>
        <stp>2</stp>
        <stp>300055</stp>
        <stp>12/31/2018</stp>
        <tr r="M2859" s="1"/>
      </tp>
      <tp>
        <v>-6.0561837182103604</v>
        <stp/>
        <stp>EM_S_VAL_PETTMDEDUCTED</stp>
        <stp>2</stp>
        <stp>600005</stp>
        <stp>12/31/2018</stp>
        <tr r="M2288" s="1"/>
      </tp>
      <tp>
        <v>21.733369624885601</v>
        <stp/>
        <stp>EM_S_VAL_PETTMDEDUCTED</stp>
        <stp>2</stp>
        <stp>000062</stp>
        <stp>12/31/2018</stp>
        <tr r="M1072" s="1"/>
      </tp>
      <tp>
        <v>189.89132828890101</v>
        <stp/>
        <stp>EM_S_VAL_PETTMDEDUCTED</stp>
        <stp>2</stp>
        <stp>300052</stp>
        <stp>12/31/2018</stp>
        <tr r="M509" s="1"/>
      </tp>
      <tp>
        <v>10.6744160686704</v>
        <stp/>
        <stp>EM_S_VAL_PETTMDEDUCTED</stp>
        <stp>2</stp>
        <stp>600002</stp>
        <stp>12/31/2018</stp>
        <tr r="M2286" s="1"/>
      </tp>
      <tp>
        <v>-28.150676773938301</v>
        <stp/>
        <stp>EM_S_VAL_PETTMDEDUCTED</stp>
        <stp>2</stp>
        <stp>000063</stp>
        <stp>12/31/2018</stp>
        <tr r="M245" s="1"/>
      </tp>
      <tp>
        <v>64.521144887449296</v>
        <stp/>
        <stp>EM_S_VAL_PETTMDEDUCTED</stp>
        <stp>2</stp>
        <stp>300053</stp>
        <stp>12/31/2018</stp>
        <tr r="M528" s="1"/>
      </tp>
      <tp>
        <v>20.9825232871381</v>
        <stp/>
        <stp>EM_S_VAL_PETTMDEDUCTED</stp>
        <stp>2</stp>
        <stp>600003</stp>
        <stp>12/31/2018</stp>
        <tr r="M2287" s="1"/>
      </tp>
      <tp>
        <v>17.689089920939299</v>
        <stp/>
        <stp>EM_S_VAL_PETTMDEDUCTED</stp>
        <stp>2</stp>
        <stp>000060</stp>
        <stp>12/31/2018</stp>
        <tr r="M1710" s="1"/>
      </tp>
      <tp>
        <v>71.876791814400704</v>
        <stp/>
        <stp>EM_S_VAL_PETTMDEDUCTED</stp>
        <stp>2</stp>
        <stp>300050</stp>
        <stp>12/31/2018</stp>
        <tr r="M2656" s="1"/>
      </tp>
      <tp>
        <v>5.1573355067790203</v>
        <stp/>
        <stp>EM_S_VAL_PETTMDEDUCTED</stp>
        <stp>2</stp>
        <stp>600000</stp>
        <stp>12/31/2018</stp>
        <tr r="M1062" s="1"/>
      </tp>
      <tp>
        <v>-89.011857170203101</v>
        <stp/>
        <stp>EM_S_VAL_PETTMDEDUCTED</stp>
        <stp>2</stp>
        <stp>000061</stp>
        <stp>12/31/2018</stp>
        <tr r="M1460" s="1"/>
      </tp>
      <tp>
        <v>75.998383203363005</v>
        <stp/>
        <stp>EM_S_VAL_PETTMDEDUCTED</stp>
        <stp>2</stp>
        <stp>300051</stp>
        <stp>12/31/2018</stp>
        <tr r="M2016" s="1"/>
      </tp>
      <tp>
        <v>-251.492532382821</v>
        <stp/>
        <stp>EM_S_VAL_PETTMDEDUCTED</stp>
        <stp>2</stp>
        <stp>600001</stp>
        <stp>12/31/2018</stp>
        <tr r="M2285" s="1"/>
      </tp>
      <tp>
        <v>46.303549704449999</v>
        <stp/>
        <stp>EM_S_VAL_PETTMDEDUCTED</stp>
        <stp>2</stp>
        <stp>300188</stp>
        <stp>12/31/2018</stp>
        <tr r="M906" s="1"/>
      </tp>
      <tp>
        <v>-46.346597585608798</v>
        <stp/>
        <stp>EM_S_VAL_PETTMDEDUCTED</stp>
        <stp>2</stp>
        <stp>300189</stp>
        <stp>12/31/2018</stp>
        <tr r="M624" s="1"/>
      </tp>
      <tp>
        <v>146.198191365523</v>
        <stp/>
        <stp>EM_S_VAL_PETTMDEDUCTED</stp>
        <stp>2</stp>
        <stp>300186</stp>
        <stp>12/31/2018</stp>
        <tr r="M2281" s="1"/>
      </tp>
      <tp>
        <v>42.759339534382498</v>
        <stp/>
        <stp>EM_S_VAL_PETTMDEDUCTED</stp>
        <stp>2</stp>
        <stp>300187</stp>
        <stp>12/31/2018</stp>
        <tr r="M2789" s="1"/>
      </tp>
      <tp>
        <v>15.5944947901672</v>
        <stp/>
        <stp>EM_S_VAL_PETTMDEDUCTED</stp>
        <stp>2</stp>
        <stp>300184</stp>
        <stp>12/31/2018</stp>
        <tr r="M2506" s="1"/>
      </tp>
      <tp>
        <v>25.274521815270301</v>
        <stp/>
        <stp>EM_S_VAL_PETTMDEDUCTED</stp>
        <stp>2</stp>
        <stp>300185</stp>
        <stp>12/31/2018</stp>
        <tr r="M1705" s="1"/>
      </tp>
      <tp>
        <v>10.8054373727129</v>
        <stp/>
        <stp>EM_S_VAL_PETTMDEDUCTED</stp>
        <stp>2</stp>
        <stp>300182</stp>
        <stp>12/31/2018</stp>
        <tr r="M3029" s="1"/>
      </tp>
      <tp>
        <v>38.890676918172502</v>
        <stp/>
        <stp>EM_S_VAL_PETTMDEDUCTED</stp>
        <stp>2</stp>
        <stp>300183</stp>
        <stp>12/31/2018</stp>
        <tr r="M1047" s="1"/>
      </tp>
      <tp>
        <v>41.709491771695703</v>
        <stp/>
        <stp>EM_S_VAL_PETTMDEDUCTED</stp>
        <stp>2</stp>
        <stp>300180</stp>
        <stp>12/31/2018</stp>
        <tr r="M3053" s="1"/>
      </tp>
      <tp>
        <v>272.17053284007198</v>
        <stp/>
        <stp>EM_S_VAL_PETTMDEDUCTED</stp>
        <stp>2</stp>
        <stp>300181</stp>
        <stp>12/31/2018</stp>
        <tr r="M2515" s="1"/>
      </tp>
      <tp>
        <v>120.89016676249101</v>
        <stp/>
        <stp>EM_S_VAL_PETTMDEDUCTED</stp>
        <stp>2</stp>
        <stp>300198</stp>
        <stp>12/31/2018</stp>
        <tr r="M522" s="1"/>
      </tp>
      <tp>
        <v>23.632973592131599</v>
        <stp/>
        <stp>EM_S_VAL_PETTMDEDUCTED</stp>
        <stp>2</stp>
        <stp>300199</stp>
        <stp>12/31/2018</stp>
        <tr r="M3302" s="1"/>
      </tp>
      <tp>
        <v>18.2827106284754</v>
        <stp/>
        <stp>EM_S_VAL_PETTMDEDUCTED</stp>
        <stp>2</stp>
        <stp>300196</stp>
        <stp>12/31/2018</stp>
        <tr r="M904" s="1"/>
      </tp>
      <tp>
        <v>13.424122095066201</v>
        <stp/>
        <stp>EM_S_VAL_PETTMDEDUCTED</stp>
        <stp>2</stp>
        <stp>300197</stp>
        <stp>12/31/2018</stp>
        <tr r="M3073" s="1"/>
      </tp>
      <tp>
        <v>15.4661543192052</v>
        <stp/>
        <stp>EM_S_VAL_PETTMDEDUCTED</stp>
        <stp>2</stp>
        <stp>300194</stp>
        <stp>12/31/2018</stp>
        <tr r="M334" s="1"/>
      </tp>
      <tp>
        <v>43.340435598746701</v>
        <stp/>
        <stp>EM_S_VAL_PETTMDEDUCTED</stp>
        <stp>2</stp>
        <stp>300195</stp>
        <stp>12/31/2018</stp>
        <tr r="M2722" s="1"/>
      </tp>
      <tp>
        <v>86.097231150164205</v>
        <stp/>
        <stp>EM_S_VAL_PETTMDEDUCTED</stp>
        <stp>2</stp>
        <stp>300192</stp>
        <stp>12/31/2018</stp>
        <tr r="M413" s="1"/>
      </tp>
      <tp>
        <v>34.496639617147501</v>
        <stp/>
        <stp>EM_S_VAL_PETTMDEDUCTED</stp>
        <stp>2</stp>
        <stp>300193</stp>
        <stp>12/31/2018</stp>
        <tr r="M1114" s="1"/>
      </tp>
      <tp>
        <v>22.009433750077299</v>
        <stp/>
        <stp>EM_S_VAL_PETTMDEDUCTED</stp>
        <stp>2</stp>
        <stp>300190</stp>
        <stp>12/31/2018</stp>
        <tr r="M746" s="1"/>
      </tp>
      <tp>
        <v>302.95492310583899</v>
        <stp/>
        <stp>EM_S_VAL_PETTMDEDUCTED</stp>
        <stp>2</stp>
        <stp>300191</stp>
        <stp>12/31/2018</stp>
        <tr r="M602" s="1"/>
      </tp>
      <tp>
        <v>-1.8363188254740099</v>
        <stp/>
        <stp>EM_S_VAL_PETTMDEDUCTED</stp>
        <stp>2</stp>
        <stp>600198</stp>
        <stp>12/31/2018</stp>
        <tr r="M416" s="1"/>
      </tp>
      <tp>
        <v>-180.03452624871099</v>
        <stp/>
        <stp>EM_S_VAL_PETTMDEDUCTED</stp>
        <stp>2</stp>
        <stp>600199</stp>
        <stp>12/31/2018</stp>
        <tr r="M781" s="1"/>
      </tp>
      <tp>
        <v>28.646460348009999</v>
        <stp/>
        <stp>EM_S_VAL_PETTMDEDUCTED</stp>
        <stp>2</stp>
        <stp>600196</stp>
        <stp>12/31/2018</stp>
        <tr r="M1604" s="1"/>
      </tp>
      <tp>
        <v>16.4525956843971</v>
        <stp/>
        <stp>EM_S_VAL_PETTMDEDUCTED</stp>
        <stp>2</stp>
        <stp>600197</stp>
        <stp>12/31/2018</stp>
        <tr r="M1198" s="1"/>
      </tp>
      <tp>
        <v>14.585097528001</v>
        <stp/>
        <stp>EM_S_VAL_PETTMDEDUCTED</stp>
        <stp>2</stp>
        <stp>600195</stp>
        <stp>12/31/2018</stp>
        <tr r="M1893" s="1"/>
      </tp>
      <tp>
        <v>-55.677558441969097</v>
        <stp/>
        <stp>EM_S_VAL_PETTMDEDUCTED</stp>
        <stp>2</stp>
        <stp>600192</stp>
        <stp>12/31/2018</stp>
        <tr r="M1193" s="1"/>
      </tp>
      <tp>
        <v>4491.5434960060202</v>
        <stp/>
        <stp>EM_S_VAL_PETTMDEDUCTED</stp>
        <stp>2</stp>
        <stp>600193</stp>
        <stp>12/31/2018</stp>
        <tr r="M1171" s="1"/>
      </tp>
      <tp>
        <v>38.591918604838803</v>
        <stp/>
        <stp>EM_S_VAL_PETTMDEDUCTED</stp>
        <stp>2</stp>
        <stp>600190</stp>
        <stp>12/31/2018</stp>
        <tr r="M1541" s="1"/>
      </tp>
      <tp>
        <v>-16.2487519894892</v>
        <stp/>
        <stp>EM_S_VAL_PETTMDEDUCTED</stp>
        <stp>2</stp>
        <stp>600191</stp>
        <stp>12/31/2018</stp>
        <tr r="M885" s="1"/>
      </tp>
      <tp>
        <v>5.9290320517605801</v>
        <stp/>
        <stp>EM_S_VAL_PETTMDEDUCTED</stp>
        <stp>2</stp>
        <stp>600188</stp>
        <stp>12/31/2018</stp>
        <tr r="M1329" s="1"/>
      </tp>
      <tp>
        <v>-61.8338335671301</v>
        <stp/>
        <stp>EM_S_VAL_PETTMDEDUCTED</stp>
        <stp>2</stp>
        <stp>600189</stp>
        <stp>12/31/2018</stp>
        <tr r="M2168" s="1"/>
      </tp>
      <tp>
        <v>-12.3205041570153</v>
        <stp/>
        <stp>EM_S_VAL_PETTMDEDUCTED</stp>
        <stp>2</stp>
        <stp>600186</stp>
        <stp>12/31/2018</stp>
        <tr r="M709" s="1"/>
      </tp>
      <tp>
        <v>-185.441053654228</v>
        <stp/>
        <stp>EM_S_VAL_PETTMDEDUCTED</stp>
        <stp>2</stp>
        <stp>600187</stp>
        <stp>12/31/2018</stp>
        <tr r="M2117" s="1"/>
      </tp>
      <tp>
        <v>72.818794126441006</v>
        <stp/>
        <stp>EM_S_VAL_PETTMDEDUCTED</stp>
        <stp>2</stp>
        <stp>600184</stp>
        <stp>12/31/2018</stp>
        <tr r="M1421" s="1"/>
      </tp>
      <tp>
        <v>13.2142741160495</v>
        <stp/>
        <stp>EM_S_VAL_PETTMDEDUCTED</stp>
        <stp>2</stp>
        <stp>600185</stp>
        <stp>12/31/2018</stp>
        <tr r="M1239" s="1"/>
      </tp>
      <tp>
        <v>53.364028452108201</v>
        <stp/>
        <stp>EM_S_VAL_PETTMDEDUCTED</stp>
        <stp>2</stp>
        <stp>600182</stp>
        <stp>12/31/2018</stp>
        <tr r="M1800" s="1"/>
      </tp>
      <tp>
        <v>21.849999011001</v>
        <stp/>
        <stp>EM_S_VAL_PETTMDEDUCTED</stp>
        <stp>2</stp>
        <stp>600183</stp>
        <stp>12/31/2018</stp>
        <tr r="M138" s="1"/>
      </tp>
      <tp>
        <v>7.8989834080197001</v>
        <stp/>
        <stp>EM_S_VAL_PETTMDEDUCTED</stp>
        <stp>2</stp>
        <stp>600180</stp>
        <stp>12/31/2018</stp>
        <tr r="M2347" s="1"/>
      </tp>
      <tp>
        <v>-3.0411525268217798</v>
        <stp/>
        <stp>EM_S_VAL_PETTMDEDUCTED</stp>
        <stp>2</stp>
        <stp>600181</stp>
        <stp>12/31/2018</stp>
        <tr r="M2294" s="1"/>
      </tp>
      <tp>
        <v>580.54324241996198</v>
        <stp/>
        <stp>EM_S_VAL_PETTMDEDUCTED</stp>
        <stp>2</stp>
        <stp>300128</stp>
        <stp>12/31/2018</stp>
        <tr r="M1612" s="1"/>
      </tp>
      <tp>
        <v>-73.128541466396399</v>
        <stp/>
        <stp>EM_S_VAL_PETTMDEDUCTED</stp>
        <stp>2</stp>
        <stp>600178</stp>
        <stp>12/31/2018</stp>
        <tr r="M1550" s="1"/>
      </tp>
      <tp>
        <v>164.14578160529601</v>
        <stp/>
        <stp>EM_S_VAL_PETTMDEDUCTED</stp>
        <stp>2</stp>
        <stp>300129</stp>
        <stp>12/31/2018</stp>
        <tr r="M310" s="1"/>
      </tp>
      <tp>
        <v>18.5753144536889</v>
        <stp/>
        <stp>EM_S_VAL_PETTMDEDUCTED</stp>
        <stp>2</stp>
        <stp>600179</stp>
        <stp>12/31/2018</stp>
        <tr r="M3223" s="1"/>
      </tp>
      <tp>
        <v>-69.645247687106703</v>
        <stp/>
        <stp>EM_S_VAL_PETTMDEDUCTED</stp>
        <stp>2</stp>
        <stp>300126</stp>
        <stp>12/31/2018</stp>
        <tr r="M1497" s="1"/>
      </tp>
      <tp>
        <v>13.604217673492601</v>
        <stp/>
        <stp>EM_S_VAL_PETTMDEDUCTED</stp>
        <stp>2</stp>
        <stp>600176</stp>
        <stp>12/31/2018</stp>
        <tr r="M1596" s="1"/>
      </tp>
      <tp>
        <v>21.017607409985299</v>
        <stp/>
        <stp>EM_S_VAL_PETTMDEDUCTED</stp>
        <stp>2</stp>
        <stp>300127</stp>
        <stp>12/31/2018</stp>
        <tr r="M251" s="1"/>
      </tp>
      <tp>
        <v>-33.499955727026403</v>
        <stp/>
        <stp>EM_S_VAL_PETTMDEDUCTED</stp>
        <stp>2</stp>
        <stp>600177</stp>
        <stp>12/31/2018</stp>
        <tr r="M2487" s="1"/>
      </tp>
      <tp>
        <v>32.581888224730697</v>
        <stp/>
        <stp>EM_S_VAL_PETTMDEDUCTED</stp>
        <stp>2</stp>
        <stp>300124</stp>
        <stp>12/31/2018</stp>
        <tr r="M514" s="1"/>
      </tp>
      <tp>
        <v>-8.8041296102335398</v>
        <stp/>
        <stp>EM_S_VAL_PETTMDEDUCTED</stp>
        <stp>2</stp>
        <stp>300125</stp>
        <stp>12/31/2018</stp>
        <tr r="M841" s="1"/>
      </tp>
      <tp>
        <v>27.260864158247202</v>
        <stp/>
        <stp>EM_S_VAL_PETTMDEDUCTED</stp>
        <stp>2</stp>
        <stp>600175</stp>
        <stp>12/31/2018</stp>
        <tr r="M2982" s="1"/>
      </tp>
      <tp>
        <v>49.684959744993698</v>
        <stp/>
        <stp>EM_S_VAL_PETTMDEDUCTED</stp>
        <stp>2</stp>
        <stp>300122</stp>
        <stp>12/31/2018</stp>
        <tr r="M1101" s="1"/>
      </tp>
      <tp>
        <v>14.0208681507634</v>
        <stp/>
        <stp>EM_S_VAL_PETTMDEDUCTED</stp>
        <stp>2</stp>
        <stp>600172</stp>
        <stp>12/31/2018</stp>
        <tr r="M2575" s="1"/>
      </tp>
      <tp>
        <v>37.131830677989299</v>
        <stp/>
        <stp>EM_S_VAL_PETTMDEDUCTED</stp>
        <stp>2</stp>
        <stp>300123</stp>
        <stp>12/31/2018</stp>
        <tr r="M2994" s="1"/>
      </tp>
      <tp>
        <v>6.7759936087792898</v>
        <stp/>
        <stp>EM_S_VAL_PETTMDEDUCTED</stp>
        <stp>2</stp>
        <stp>600173</stp>
        <stp>12/31/2018</stp>
        <tr r="M786" s="1"/>
      </tp>
      <tp>
        <v>18.911908634750802</v>
        <stp/>
        <stp>EM_S_VAL_PETTMDEDUCTED</stp>
        <stp>2</stp>
        <stp>300120</stp>
        <stp>12/31/2018</stp>
        <tr r="M2024" s="1"/>
      </tp>
      <tp>
        <v>11.86600443088</v>
        <stp/>
        <stp>EM_S_VAL_PETTMDEDUCTED</stp>
        <stp>2</stp>
        <stp>600170</stp>
        <stp>12/31/2018</stp>
        <tr r="M1414" s="1"/>
      </tp>
      <tp>
        <v>8.36698804475974</v>
        <stp/>
        <stp>EM_S_VAL_PETTMDEDUCTED</stp>
        <stp>2</stp>
        <stp>300121</stp>
        <stp>12/31/2018</stp>
        <tr r="M3007" s="1"/>
      </tp>
      <tp>
        <v>70.7554144427137</v>
        <stp/>
        <stp>EM_S_VAL_PETTMDEDUCTED</stp>
        <stp>2</stp>
        <stp>600171</stp>
        <stp>12/31/2018</stp>
        <tr r="M298" s="1"/>
      </tp>
      <tp>
        <v>22.113418129646501</v>
        <stp/>
        <stp>EM_S_VAL_PETTMDEDUCTED</stp>
        <stp>2</stp>
        <stp>300138</stp>
        <stp>12/31/2018</stp>
        <tr r="M941" s="1"/>
      </tp>
      <tp>
        <v>15.580704685926699</v>
        <stp/>
        <stp>EM_S_VAL_PETTMDEDUCTED</stp>
        <stp>2</stp>
        <stp>600168</stp>
        <stp>12/31/2018</stp>
        <tr r="M1443" s="1"/>
      </tp>
      <tp>
        <v>-26.552866169118399</v>
        <stp/>
        <stp>EM_S_VAL_PETTMDEDUCTED</stp>
        <stp>2</stp>
        <stp>300139</stp>
        <stp>12/31/2018</stp>
        <tr r="M1318" s="1"/>
      </tp>
      <tp>
        <v>-499.80888643491602</v>
        <stp/>
        <stp>EM_S_VAL_PETTMDEDUCTED</stp>
        <stp>2</stp>
        <stp>600169</stp>
        <stp>12/31/2018</stp>
        <tr r="M2058" s="1"/>
      </tp>
      <tp>
        <v>24.659635089978199</v>
        <stp/>
        <stp>EM_S_VAL_PETTMDEDUCTED</stp>
        <stp>2</stp>
        <stp>300136</stp>
        <stp>12/31/2018</stp>
        <tr r="M145" s="1"/>
      </tp>
      <tp>
        <v>-4.8029084690054402</v>
        <stp/>
        <stp>EM_S_VAL_PETTMDEDUCTED</stp>
        <stp>2</stp>
        <stp>600166</stp>
        <stp>12/31/2018</stp>
        <tr r="M1515" s="1"/>
      </tp>
      <tp>
        <v>18.879092979483101</v>
        <stp/>
        <stp>EM_S_VAL_PETTMDEDUCTED</stp>
        <stp>2</stp>
        <stp>300137</stp>
        <stp>12/31/2018</stp>
        <tr r="M2600" s="1"/>
      </tp>
      <tp>
        <v>15.697806908536499</v>
        <stp/>
        <stp>EM_S_VAL_PETTMDEDUCTED</stp>
        <stp>2</stp>
        <stp>600167</stp>
        <stp>12/31/2018</stp>
        <tr r="M683" s="1"/>
      </tp>
      <tp>
        <v>-23.911305641406202</v>
        <stp/>
        <stp>EM_S_VAL_PETTMDEDUCTED</stp>
        <stp>2</stp>
        <stp>300134</stp>
        <stp>12/31/2018</stp>
        <tr r="M367" s="1"/>
      </tp>
      <tp>
        <v>-63.7655933737814</v>
        <stp/>
        <stp>EM_S_VAL_PETTMDEDUCTED</stp>
        <stp>2</stp>
        <stp>300135</stp>
        <stp>12/31/2018</stp>
        <tr r="M2372" s="1"/>
      </tp>
      <tp>
        <v>-138.43384909164399</v>
        <stp/>
        <stp>EM_S_VAL_PETTMDEDUCTED</stp>
        <stp>2</stp>
        <stp>600165</stp>
        <stp>12/31/2018</stp>
        <tr r="M3077" s="1"/>
      </tp>
      <tp>
        <v>13.2817743103198</v>
        <stp/>
        <stp>EM_S_VAL_PETTMDEDUCTED</stp>
        <stp>2</stp>
        <stp>300132</stp>
        <stp>12/31/2018</stp>
        <tr r="M2143" s="1"/>
      </tp>
      <tp>
        <v>11.159049795002</v>
        <stp/>
        <stp>EM_S_VAL_PETTMDEDUCTED</stp>
        <stp>2</stp>
        <stp>600162</stp>
        <stp>12/31/2018</stp>
        <tr r="M2078" s="1"/>
      </tp>
      <tp>
        <v>25.7828005787674</v>
        <stp/>
        <stp>EM_S_VAL_PETTMDEDUCTED</stp>
        <stp>2</stp>
        <stp>300133</stp>
        <stp>12/31/2018</stp>
        <tr r="M3041" s="1"/>
      </tp>
      <tp>
        <v>18.445685073482501</v>
        <stp/>
        <stp>EM_S_VAL_PETTMDEDUCTED</stp>
        <stp>2</stp>
        <stp>600163</stp>
        <stp>12/31/2018</stp>
        <tr r="M1968" s="1"/>
      </tp>
      <tp>
        <v>19.638010241780101</v>
        <stp/>
        <stp>EM_S_VAL_PETTMDEDUCTED</stp>
        <stp>2</stp>
        <stp>000100</stp>
        <stp>12/31/2018</stp>
        <tr r="M212" s="1"/>
      </tp>
      <tp>
        <v>50.348064975744002</v>
        <stp/>
        <stp>EM_S_VAL_PETTMDEDUCTED</stp>
        <stp>2</stp>
        <stp>300130</stp>
        <stp>12/31/2018</stp>
        <tr r="M478" s="1"/>
      </tp>
      <tp>
        <v>11.400832387623501</v>
        <stp/>
        <stp>EM_S_VAL_PETTMDEDUCTED</stp>
        <stp>2</stp>
        <stp>600160</stp>
        <stp>12/31/2018</stp>
        <tr r="M1738" s="1"/>
      </tp>
      <tp>
        <v>26.969074462549699</v>
        <stp/>
        <stp>EM_S_VAL_PETTMDEDUCTED</stp>
        <stp>2</stp>
        <stp>300131</stp>
        <stp>12/31/2018</stp>
        <tr r="M1274" s="1"/>
      </tp>
      <tp>
        <v>35.4497866512678</v>
        <stp/>
        <stp>EM_S_VAL_PETTMDEDUCTED</stp>
        <stp>2</stp>
        <stp>600161</stp>
        <stp>12/31/2018</stp>
        <tr r="M1011" s="1"/>
      </tp>
      <tp>
        <v>38.644075981334403</v>
        <stp/>
        <stp>EM_S_VAL_PETTMDEDUCTED</stp>
        <stp>2</stp>
        <stp>300108</stp>
        <stp>12/31/2018</stp>
        <tr r="M3150" s="1"/>
      </tp>
      <tp>
        <v>123.135763019641</v>
        <stp/>
        <stp>EM_S_VAL_PETTMDEDUCTED</stp>
        <stp>2</stp>
        <stp>600158</stp>
        <stp>12/31/2018</stp>
        <tr r="M1644" s="1"/>
      </tp>
      <tp>
        <v>31.268854083317699</v>
        <stp/>
        <stp>EM_S_VAL_PETTMDEDUCTED</stp>
        <stp>2</stp>
        <stp>300109</stp>
        <stp>12/31/2018</stp>
        <tr r="M1364" s="1"/>
      </tp>
      <tp>
        <v>71.432987266099502</v>
        <stp/>
        <stp>EM_S_VAL_PETTMDEDUCTED</stp>
        <stp>2</stp>
        <stp>600159</stp>
        <stp>12/31/2018</stp>
        <tr r="M1961" s="1"/>
      </tp>
      <tp>
        <v>-3.0395264083604898</v>
        <stp/>
        <stp>EM_S_VAL_PETTMDEDUCTED</stp>
        <stp>2</stp>
        <stp>300106</stp>
        <stp>12/31/2018</stp>
        <tr r="M1125" s="1"/>
      </tp>
      <tp>
        <v>-16.1879838491441</v>
        <stp/>
        <stp>EM_S_VAL_PETTMDEDUCTED</stp>
        <stp>2</stp>
        <stp>600156</stp>
        <stp>12/31/2018</stp>
        <tr r="M1708" s="1"/>
      </tp>
      <tp>
        <v>9.5893552535179705</v>
        <stp/>
        <stp>EM_S_VAL_PETTMDEDUCTED</stp>
        <stp>2</stp>
        <stp>300107</stp>
        <stp>12/31/2018</stp>
        <tr r="M3155" s="1"/>
      </tp>
      <tp>
        <v>-46.401332935259099</v>
        <stp/>
        <stp>EM_S_VAL_PETTMDEDUCTED</stp>
        <stp>2</stp>
        <stp>600157</stp>
        <stp>12/31/2018</stp>
        <tr r="M1912" s="1"/>
      </tp>
      <tp>
        <v>-0.73030008321763096</v>
        <stp/>
        <stp>EM_S_VAL_PETTMDEDUCTED</stp>
        <stp>2</stp>
        <stp>300104</stp>
        <stp>12/31/2018</stp>
        <tr r="M3241" s="1"/>
      </tp>
      <tp>
        <v>-53.967628890734602</v>
        <stp/>
        <stp>EM_S_VAL_PETTMDEDUCTED</stp>
        <stp>2</stp>
        <stp>300105</stp>
        <stp>12/31/2018</stp>
        <tr r="M1424" s="1"/>
      </tp>
      <tp>
        <v>96.816146932867795</v>
        <stp/>
        <stp>EM_S_VAL_PETTMDEDUCTED</stp>
        <stp>2</stp>
        <stp>600155</stp>
        <stp>12/31/2018</stp>
        <tr r="M234" s="1"/>
      </tp>
      <tp>
        <v>55.773195887720298</v>
        <stp/>
        <stp>EM_S_VAL_PETTMDEDUCTED</stp>
        <stp>2</stp>
        <stp>300102</stp>
        <stp>12/31/2018</stp>
        <tr r="M3006" s="1"/>
      </tp>
      <tp>
        <v>-25.811094268199199</v>
        <stp/>
        <stp>EM_S_VAL_PETTMDEDUCTED</stp>
        <stp>2</stp>
        <stp>600152</stp>
        <stp>12/31/2018</stp>
        <tr r="M1376" s="1"/>
      </tp>
      <tp>
        <v>53.857256252830901</v>
        <stp/>
        <stp>EM_S_VAL_PETTMDEDUCTED</stp>
        <stp>2</stp>
        <stp>300103</stp>
        <stp>12/31/2018</stp>
        <tr r="M1115" s="1"/>
      </tp>
      <tp>
        <v>7.6535115495047901</v>
        <stp/>
        <stp>EM_S_VAL_PETTMDEDUCTED</stp>
        <stp>2</stp>
        <stp>600153</stp>
        <stp>12/31/2018</stp>
        <tr r="M1100" s="1"/>
      </tp>
      <tp>
        <v>-286.09324263191297</v>
        <stp/>
        <stp>EM_S_VAL_PETTMDEDUCTED</stp>
        <stp>2</stp>
        <stp>300100</stp>
        <stp>12/31/2018</stp>
        <tr r="M3326" s="1"/>
      </tp>
      <tp>
        <v>-6.4944806683944902</v>
        <stp/>
        <stp>EM_S_VAL_PETTMDEDUCTED</stp>
        <stp>2</stp>
        <stp>600150</stp>
        <stp>12/31/2018</stp>
        <tr r="M395" s="1"/>
      </tp>
      <tp>
        <v>1005.43726464488</v>
        <stp/>
        <stp>EM_S_VAL_PETTMDEDUCTED</stp>
        <stp>2</stp>
        <stp>300101</stp>
        <stp>12/31/2018</stp>
        <tr r="M2605" s="1"/>
      </tp>
      <tp>
        <v>-11.119066238092101</v>
        <stp/>
        <stp>EM_S_VAL_PETTMDEDUCTED</stp>
        <stp>2</stp>
        <stp>600151</stp>
        <stp>12/31/2018</stp>
        <tr r="M1268" s="1"/>
      </tp>
      <tp>
        <v>11.236232004635101</v>
        <stp/>
        <stp>EM_S_VAL_PETTMDEDUCTED</stp>
        <stp>2</stp>
        <stp>300118</stp>
        <stp>12/31/2018</stp>
        <tr r="M91" s="1"/>
      </tp>
      <tp>
        <v>118.013810038831</v>
        <stp/>
        <stp>EM_S_VAL_PETTMDEDUCTED</stp>
        <stp>2</stp>
        <stp>600148</stp>
        <stp>12/31/2018</stp>
        <tr r="M2591" s="1"/>
      </tp>
      <tp>
        <v>33.291452074525097</v>
        <stp/>
        <stp>EM_S_VAL_PETTMDEDUCTED</stp>
        <stp>2</stp>
        <stp>300119</stp>
        <stp>12/31/2018</stp>
        <tr r="M217" s="1"/>
      </tp>
      <tp>
        <v>-118.254342822363</v>
        <stp/>
        <stp>EM_S_VAL_PETTMDEDUCTED</stp>
        <stp>2</stp>
        <stp>600149</stp>
        <stp>12/31/2018</stp>
        <tr r="M1642" s="1"/>
      </tp>
      <tp>
        <v>-0.43339057748436799</v>
        <stp/>
        <stp>EM_S_VAL_PETTMDEDUCTED</stp>
        <stp>2</stp>
        <stp>300116</stp>
        <stp>12/31/2018</stp>
        <tr r="M911" s="1"/>
      </tp>
      <tp>
        <v>-18.741456391051202</v>
        <stp/>
        <stp>EM_S_VAL_PETTMDEDUCTED</stp>
        <stp>2</stp>
        <stp>600146</stp>
        <stp>12/31/2018</stp>
        <tr r="M192" s="1"/>
      </tp>
      <tp>
        <v>277.29276591286401</v>
        <stp/>
        <stp>EM_S_VAL_PETTMDEDUCTED</stp>
        <stp>2</stp>
        <stp>300117</stp>
        <stp>12/31/2018</stp>
        <tr r="M2769" s="1"/>
      </tp>
      <tp>
        <v>27.2351211059867</v>
        <stp/>
        <stp>EM_S_VAL_PETTMDEDUCTED</stp>
        <stp>2</stp>
        <stp>300114</stp>
        <stp>12/31/2018</stp>
        <tr r="M433" s="1"/>
      </tp>
      <tp>
        <v>45.326225578959999</v>
        <stp/>
        <stp>EM_S_VAL_PETTMDEDUCTED</stp>
        <stp>2</stp>
        <stp>300115</stp>
        <stp>12/31/2018</stp>
        <tr r="M125" s="1"/>
      </tp>
      <tp>
        <v>-114.09286753939</v>
        <stp/>
        <stp>EM_S_VAL_PETTMDEDUCTED</stp>
        <stp>2</stp>
        <stp>600145</stp>
        <stp>12/31/2018</stp>
        <tr r="M2293" s="1"/>
      </tp>
      <tp>
        <v>42.058989675076603</v>
        <stp/>
        <stp>EM_S_VAL_PETTMDEDUCTED</stp>
        <stp>2</stp>
        <stp>300112</stp>
        <stp>12/31/2018</stp>
        <tr r="M580" s="1"/>
      </tp>
      <tp>
        <v>16.031273608987501</v>
        <stp/>
        <stp>EM_S_VAL_PETTMDEDUCTED</stp>
        <stp>2</stp>
        <stp>300113</stp>
        <stp>12/31/2018</stp>
        <tr r="M165" s="1"/>
      </tp>
      <tp>
        <v>29.373379338274201</v>
        <stp/>
        <stp>EM_S_VAL_PETTMDEDUCTED</stp>
        <stp>2</stp>
        <stp>600143</stp>
        <stp>12/31/2018</stp>
        <tr r="M610" s="1"/>
      </tp>
      <tp>
        <v>90.991465297740405</v>
        <stp/>
        <stp>EM_S_VAL_PETTMDEDUCTED</stp>
        <stp>2</stp>
        <stp>300110</stp>
        <stp>12/31/2018</stp>
        <tr r="M956" s="1"/>
      </tp>
      <tp>
        <v>-6.2791363222885703</v>
        <stp/>
        <stp>EM_S_VAL_PETTMDEDUCTED</stp>
        <stp>2</stp>
        <stp>300111</stp>
        <stp>12/31/2018</stp>
        <tr r="M1403" s="1"/>
      </tp>
      <tp>
        <v>10.2831048113368</v>
        <stp/>
        <stp>EM_S_VAL_PETTMDEDUCTED</stp>
        <stp>2</stp>
        <stp>600141</stp>
        <stp>12/31/2018</stp>
        <tr r="M2269" s="1"/>
      </tp>
      <tp>
        <v>-39.040476709717801</v>
        <stp/>
        <stp>EM_S_VAL_PETTMDEDUCTED</stp>
        <stp>2</stp>
        <stp>000158</stp>
        <stp>12/31/2018</stp>
        <tr r="M3412" s="1"/>
      </tp>
      <tp>
        <v>50.022315976653204</v>
        <stp/>
        <stp>EM_S_VAL_PETTMDEDUCTED</stp>
        <stp>2</stp>
        <stp>300168</stp>
        <stp>12/31/2018</stp>
        <tr r="M960" s="1"/>
      </tp>
      <tp>
        <v>18.368281031835899</v>
        <stp/>
        <stp>EM_S_VAL_PETTMDEDUCTED</stp>
        <stp>2</stp>
        <stp>600138</stp>
        <stp>12/31/2018</stp>
        <tr r="M2400" s="1"/>
      </tp>
      <tp>
        <v>-88.116493063464603</v>
        <stp/>
        <stp>EM_S_VAL_PETTMDEDUCTED</stp>
        <stp>2</stp>
        <stp>000159</stp>
        <stp>12/31/2018</stp>
        <tr r="M847" s="1"/>
      </tp>
      <tp>
        <v>-38.511902406405497</v>
        <stp/>
        <stp>EM_S_VAL_PETTMDEDUCTED</stp>
        <stp>2</stp>
        <stp>300169</stp>
        <stp>12/31/2018</stp>
        <tr r="M1392" s="1"/>
      </tp>
      <tp>
        <v>-10.7281781524417</v>
        <stp/>
        <stp>EM_S_VAL_PETTMDEDUCTED</stp>
        <stp>2</stp>
        <stp>600139</stp>
        <stp>12/31/2018</stp>
        <tr r="M1360" s="1"/>
      </tp>
      <tp>
        <v>20.985729896083399</v>
        <stp/>
        <stp>EM_S_VAL_PETTMDEDUCTED</stp>
        <stp>2</stp>
        <stp>000156</stp>
        <stp>12/31/2018</stp>
        <tr r="M834" s="1"/>
      </tp>
      <tp>
        <v>28.8462795566032</v>
        <stp/>
        <stp>EM_S_VAL_PETTMDEDUCTED</stp>
        <stp>2</stp>
        <stp>300166</stp>
        <stp>12/31/2018</stp>
        <tr r="M1061" s="1"/>
      </tp>
      <tp>
        <v>19.836499281467699</v>
        <stp/>
        <stp>EM_S_VAL_PETTMDEDUCTED</stp>
        <stp>2</stp>
        <stp>600136</stp>
        <stp>12/31/2018</stp>
        <tr r="M571" s="1"/>
      </tp>
      <tp>
        <v>31.8359378155142</v>
        <stp/>
        <stp>EM_S_VAL_PETTMDEDUCTED</stp>
        <stp>2</stp>
        <stp>000157</stp>
        <stp>12/31/2018</stp>
        <tr r="M223" s="1"/>
      </tp>
      <tp>
        <v>-34.624625081205501</v>
        <stp/>
        <stp>EM_S_VAL_PETTMDEDUCTED</stp>
        <stp>2</stp>
        <stp>300167</stp>
        <stp>12/31/2018</stp>
        <tr r="M2101" s="1"/>
      </tp>
      <tp>
        <v>64.9738861221321</v>
        <stp/>
        <stp>EM_S_VAL_PETTMDEDUCTED</stp>
        <stp>2</stp>
        <stp>600137</stp>
        <stp>12/31/2018</stp>
        <tr r="M896" s="1"/>
      </tp>
      <tp>
        <v>26.063554484359599</v>
        <stp/>
        <stp>EM_S_VAL_PETTMDEDUCTED</stp>
        <stp>2</stp>
        <stp>300164</stp>
        <stp>12/31/2018</stp>
        <tr r="M2988" s="1"/>
      </tp>
      <tp>
        <v>121.724802496237</v>
        <stp/>
        <stp>EM_S_VAL_PETTMDEDUCTED</stp>
        <stp>2</stp>
        <stp>000155</stp>
        <stp>12/31/2018</stp>
        <tr r="M1263" s="1"/>
      </tp>
      <tp>
        <v>56.015898954368403</v>
        <stp/>
        <stp>EM_S_VAL_PETTMDEDUCTED</stp>
        <stp>2</stp>
        <stp>300165</stp>
        <stp>12/31/2018</stp>
        <tr r="M1207" s="1"/>
      </tp>
      <tp>
        <v>557.16356145659904</v>
        <stp/>
        <stp>EM_S_VAL_PETTMDEDUCTED</stp>
        <stp>2</stp>
        <stp>600135</stp>
        <stp>12/31/2018</stp>
        <tr r="M1020" s="1"/>
      </tp>
      <tp>
        <v>1014.39120776433</v>
        <stp/>
        <stp>EM_S_VAL_PETTMDEDUCTED</stp>
        <stp>2</stp>
        <stp>300162</stp>
        <stp>12/31/2018</stp>
        <tr r="M194" s="1"/>
      </tp>
      <tp>
        <v>41.408739233212998</v>
        <stp/>
        <stp>EM_S_VAL_PETTMDEDUCTED</stp>
        <stp>2</stp>
        <stp>600132</stp>
        <stp>12/31/2018</stp>
        <tr r="M313" s="1"/>
      </tp>
      <tp>
        <v>26.8832689379154</v>
        <stp/>
        <stp>EM_S_VAL_PETTMDEDUCTED</stp>
        <stp>2</stp>
        <stp>000153</stp>
        <stp>12/31/2018</stp>
        <tr r="M917" s="1"/>
      </tp>
      <tp>
        <v>-8.3094509604368092</v>
        <stp/>
        <stp>EM_S_VAL_PETTMDEDUCTED</stp>
        <stp>2</stp>
        <stp>300163</stp>
        <stp>12/31/2018</stp>
        <tr r="M1700" s="1"/>
      </tp>
      <tp>
        <v>12.612216788811301</v>
        <stp/>
        <stp>EM_S_VAL_PETTMDEDUCTED</stp>
        <stp>2</stp>
        <stp>600133</stp>
        <stp>12/31/2018</stp>
        <tr r="M2928" s="1"/>
      </tp>
      <tp>
        <v>48.397706611587502</v>
        <stp/>
        <stp>EM_S_VAL_PETTMDEDUCTED</stp>
        <stp>2</stp>
        <stp>000150</stp>
        <stp>12/31/2018</stp>
        <tr r="M3399" s="1"/>
      </tp>
      <tp>
        <v>-235.163914456578</v>
        <stp/>
        <stp>EM_S_VAL_PETTMDEDUCTED</stp>
        <stp>2</stp>
        <stp>300160</stp>
        <stp>12/31/2018</stp>
        <tr r="M1712" s="1"/>
      </tp>
      <tp>
        <v>-32.856036810311501</v>
        <stp/>
        <stp>EM_S_VAL_PETTMDEDUCTED</stp>
        <stp>2</stp>
        <stp>600130</stp>
        <stp>12/31/2018</stp>
        <tr r="M2075" s="1"/>
      </tp>
      <tp>
        <v>40.844440372356203</v>
        <stp/>
        <stp>EM_S_VAL_PETTMDEDUCTED</stp>
        <stp>2</stp>
        <stp>000151</stp>
        <stp>12/31/2018</stp>
        <tr r="M2041" s="1"/>
      </tp>
      <tp>
        <v>-13.234753538727199</v>
        <stp/>
        <stp>EM_S_VAL_PETTMDEDUCTED</stp>
        <stp>2</stp>
        <stp>300161</stp>
        <stp>12/31/2018</stp>
        <tr r="M705" s="1"/>
      </tp>
      <tp>
        <v>25.628351786216399</v>
        <stp/>
        <stp>EM_S_VAL_PETTMDEDUCTED</stp>
        <stp>2</stp>
        <stp>600131</stp>
        <stp>12/31/2018</stp>
        <tr r="M38" s="1"/>
      </tp>
      <tp>
        <v>20.749779363760901</v>
        <stp/>
        <stp>EM_S_VAL_PETTMDEDUCTED</stp>
        <stp>2</stp>
        <stp>300178</stp>
        <stp>12/31/2018</stp>
        <tr r="M3346" s="1"/>
      </tp>
      <tp>
        <v>-22.885293139494799</v>
        <stp/>
        <stp>EM_S_VAL_PETTMDEDUCTED</stp>
        <stp>2</stp>
        <stp>600128</stp>
        <stp>12/31/2018</stp>
        <tr r="M2583" s="1"/>
      </tp>
      <tp>
        <v>46.158489215618602</v>
        <stp/>
        <stp>EM_S_VAL_PETTMDEDUCTED</stp>
        <stp>2</stp>
        <stp>300179</stp>
        <stp>12/31/2018</stp>
        <tr r="M596" s="1"/>
      </tp>
      <tp>
        <v>60.730368273769997</v>
        <stp/>
        <stp>EM_S_VAL_PETTMDEDUCTED</stp>
        <stp>2</stp>
        <stp>600129</stp>
        <stp>12/31/2018</stp>
        <tr r="M892" s="1"/>
      </tp>
      <tp>
        <v>24.948163449083101</v>
        <stp/>
        <stp>EM_S_VAL_PETTMDEDUCTED</stp>
        <stp>2</stp>
        <stp>300176</stp>
        <stp>12/31/2018</stp>
        <tr r="M3402" s="1"/>
      </tp>
      <tp>
        <v>7.0437714732150702</v>
        <stp/>
        <stp>EM_S_VAL_PETTMDEDUCTED</stp>
        <stp>2</stp>
        <stp>600126</stp>
        <stp>12/31/2018</stp>
        <tr r="M1866" s="1"/>
      </tp>
      <tp>
        <v>64.110366082590502</v>
        <stp/>
        <stp>EM_S_VAL_PETTMDEDUCTED</stp>
        <stp>2</stp>
        <stp>300177</stp>
        <stp>12/31/2018</stp>
        <tr r="M2865" s="1"/>
      </tp>
      <tp>
        <v>-54.910827732186199</v>
        <stp/>
        <stp>EM_S_VAL_PETTMDEDUCTED</stp>
        <stp>2</stp>
        <stp>600127</stp>
        <stp>12/31/2018</stp>
        <tr r="M762" s="1"/>
      </tp>
      <tp>
        <v>31.6811366963395</v>
        <stp/>
        <stp>EM_S_VAL_PETTMDEDUCTED</stp>
        <stp>2</stp>
        <stp>300174</stp>
        <stp>12/31/2018</stp>
        <tr r="M701" s="1"/>
      </tp>
      <tp>
        <v>-249.32821644791699</v>
        <stp/>
        <stp>EM_S_VAL_PETTMDEDUCTED</stp>
        <stp>2</stp>
        <stp>300175</stp>
        <stp>12/31/2018</stp>
        <tr r="M630" s="1"/>
      </tp>
      <tp>
        <v>21.1039719849263</v>
        <stp/>
        <stp>EM_S_VAL_PETTMDEDUCTED</stp>
        <stp>2</stp>
        <stp>600125</stp>
        <stp>12/31/2018</stp>
        <tr r="M2904" s="1"/>
      </tp>
      <tp>
        <v>28.447262504779498</v>
        <stp/>
        <stp>EM_S_VAL_PETTMDEDUCTED</stp>
        <stp>2</stp>
        <stp>300172</stp>
        <stp>12/31/2018</stp>
        <tr r="M2415" s="1"/>
      </tp>
      <tp>
        <v>-11.161562067069401</v>
        <stp/>
        <stp>EM_S_VAL_PETTMDEDUCTED</stp>
        <stp>2</stp>
        <stp>600122</stp>
        <stp>12/31/2018</stp>
        <tr r="M3190" s="1"/>
      </tp>
      <tp>
        <v>62.649481848990398</v>
        <stp/>
        <stp>EM_S_VAL_PETTMDEDUCTED</stp>
        <stp>2</stp>
        <stp>300173</stp>
        <stp>12/31/2018</stp>
        <tr r="M450" s="1"/>
      </tp>
      <tp>
        <v>7.5158193692845403</v>
        <stp/>
        <stp>EM_S_VAL_PETTMDEDUCTED</stp>
        <stp>2</stp>
        <stp>600123</stp>
        <stp>12/31/2018</stp>
        <tr r="M2399" s="1"/>
      </tp>
      <tp>
        <v>28.959307304556202</v>
        <stp/>
        <stp>EM_S_VAL_PETTMDEDUCTED</stp>
        <stp>2</stp>
        <stp>300170</stp>
        <stp>12/31/2018</stp>
        <tr r="M2376" s="1"/>
      </tp>
      <tp>
        <v>26.816258809310099</v>
        <stp/>
        <stp>EM_S_VAL_PETTMDEDUCTED</stp>
        <stp>2</stp>
        <stp>600120</stp>
        <stp>12/31/2018</stp>
        <tr r="M3210" s="1"/>
      </tp>
      <tp>
        <v>240.67935613216201</v>
        <stp/>
        <stp>EM_S_VAL_PETTMDEDUCTED</stp>
        <stp>2</stp>
        <stp>300171</stp>
        <stp>12/31/2018</stp>
        <tr r="M2262" s="1"/>
      </tp>
      <tp>
        <v>19.5803309803097</v>
        <stp/>
        <stp>EM_S_VAL_PETTMDEDUCTED</stp>
        <stp>2</stp>
        <stp>600121</stp>
        <stp>12/31/2018</stp>
        <tr r="M3036" s="1"/>
      </tp>
      <tp>
        <v>36.862703497490102</v>
        <stp/>
        <stp>EM_S_VAL_PETTMDEDUCTED</stp>
        <stp>2</stp>
        <stp>300148</stp>
        <stp>12/31/2018</stp>
        <tr r="M2790" s="1"/>
      </tp>
      <tp>
        <v>55.470491838586902</v>
        <stp/>
        <stp>EM_S_VAL_PETTMDEDUCTED</stp>
        <stp>2</stp>
        <stp>600118</stp>
        <stp>12/31/2018</stp>
        <tr r="M1129" s="1"/>
      </tp>
      <tp>
        <v>65.459700883828205</v>
        <stp/>
        <stp>EM_S_VAL_PETTMDEDUCTED</stp>
        <stp>2</stp>
        <stp>300149</stp>
        <stp>12/31/2018</stp>
        <tr r="M2776" s="1"/>
      </tp>
      <tp>
        <v>-5.1128052897419396</v>
        <stp/>
        <stp>EM_S_VAL_PETTMDEDUCTED</stp>
        <stp>2</stp>
        <stp>600119</stp>
        <stp>12/31/2018</stp>
        <tr r="M3176" s="1"/>
      </tp>
      <tp>
        <v>25.865077030678101</v>
        <stp/>
        <stp>EM_S_VAL_PETTMDEDUCTED</stp>
        <stp>2</stp>
        <stp>300146</stp>
        <stp>12/31/2018</stp>
        <tr r="M2523" s="1"/>
      </tp>
      <tp>
        <v>50.241626289398504</v>
        <stp/>
        <stp>EM_S_VAL_PETTMDEDUCTED</stp>
        <stp>2</stp>
        <stp>600116</stp>
        <stp>12/31/2018</stp>
        <tr r="M2123" s="1"/>
      </tp>
      <tp>
        <v>-32.097661091679697</v>
        <stp/>
        <stp>EM_S_VAL_PETTMDEDUCTED</stp>
        <stp>2</stp>
        <stp>300147</stp>
        <stp>12/31/2018</stp>
        <tr r="M905" s="1"/>
      </tp>
      <tp>
        <v>-3.2163320318530899</v>
        <stp/>
        <stp>EM_S_VAL_PETTMDEDUCTED</stp>
        <stp>2</stp>
        <stp>600117</stp>
        <stp>12/31/2018</stp>
        <tr r="M2068" s="1"/>
      </tp>
      <tp>
        <v>23.932989454179001</v>
        <stp/>
        <stp>EM_S_VAL_PETTMDEDUCTED</stp>
        <stp>2</stp>
        <stp>300144</stp>
        <stp>12/31/2018</stp>
        <tr r="M664" s="1"/>
      </tp>
      <tp>
        <v>15.963221893544899</v>
        <stp/>
        <stp>EM_S_VAL_PETTMDEDUCTED</stp>
        <stp>2</stp>
        <stp>600114</stp>
        <stp>12/31/2018</stp>
        <tr r="M729" s="1"/>
      </tp>
      <tp>
        <v>10.750190301396</v>
        <stp/>
        <stp>EM_S_VAL_PETTMDEDUCTED</stp>
        <stp>2</stp>
        <stp>300145</stp>
        <stp>12/31/2018</stp>
        <tr r="M1801" s="1"/>
      </tp>
      <tp>
        <v>22.355573191119099</v>
        <stp/>
        <stp>EM_S_VAL_PETTMDEDUCTED</stp>
        <stp>2</stp>
        <stp>600115</stp>
        <stp>12/31/2018</stp>
        <tr r="M1172" s="1"/>
      </tp>
      <tp>
        <v>-280.346903675818</v>
        <stp/>
        <stp>EM_S_VAL_PETTMDEDUCTED</stp>
        <stp>2</stp>
        <stp>300142</stp>
        <stp>12/31/2018</stp>
        <tr r="M360" s="1"/>
      </tp>
      <tp>
        <v>-21.450585149599799</v>
        <stp/>
        <stp>EM_S_VAL_PETTMDEDUCTED</stp>
        <stp>2</stp>
        <stp>600112</stp>
        <stp>12/31/2018</stp>
        <tr r="M3347" s="1"/>
      </tp>
      <tp>
        <v>80.905489196706995</v>
        <stp/>
        <stp>EM_S_VAL_PETTMDEDUCTED</stp>
        <stp>2</stp>
        <stp>300143</stp>
        <stp>12/31/2018</stp>
        <tr r="M2121" s="1"/>
      </tp>
      <tp>
        <v>22.841419666203901</v>
        <stp/>
        <stp>EM_S_VAL_PETTMDEDUCTED</stp>
        <stp>2</stp>
        <stp>600113</stp>
        <stp>12/31/2018</stp>
        <tr r="M2268" s="1"/>
      </tp>
      <tp>
        <v>339.56349317533397</v>
        <stp/>
        <stp>EM_S_VAL_PETTMDEDUCTED</stp>
        <stp>2</stp>
        <stp>300140</stp>
        <stp>12/31/2018</stp>
        <tr r="M1419" s="1"/>
      </tp>
      <tp>
        <v>101.648070755123</v>
        <stp/>
        <stp>EM_S_VAL_PETTMDEDUCTED</stp>
        <stp>2</stp>
        <stp>600110</stp>
        <stp>12/31/2018</stp>
        <tr r="M1434" s="1"/>
      </tp>
      <tp>
        <v>-346.175576597933</v>
        <stp/>
        <stp>EM_S_VAL_PETTMDEDUCTED</stp>
        <stp>2</stp>
        <stp>300141</stp>
        <stp>12/31/2018</stp>
        <tr r="M2371" s="1"/>
      </tp>
      <tp>
        <v>108.08898622898499</v>
        <stp/>
        <stp>EM_S_VAL_PETTMDEDUCTED</stp>
        <stp>2</stp>
        <stp>600111</stp>
        <stp>12/31/2018</stp>
        <tr r="M1118" s="1"/>
      </tp>
      <tp>
        <v>38.2844539524461</v>
        <stp/>
        <stp>EM_S_VAL_PETTMDEDUCTED</stp>
        <stp>2</stp>
        <stp>300158</stp>
        <stp>12/31/2018</stp>
        <tr r="M1236" s="1"/>
      </tp>
      <tp>
        <v>65.103203185244993</v>
        <stp/>
        <stp>EM_S_VAL_PETTMDEDUCTED</stp>
        <stp>2</stp>
        <stp>600108</stp>
        <stp>12/31/2018</stp>
        <tr r="M1790" s="1"/>
      </tp>
      <tp>
        <v>20.934103110818501</v>
        <stp/>
        <stp>EM_S_VAL_PETTMDEDUCTED</stp>
        <stp>2</stp>
        <stp>300159</stp>
        <stp>12/31/2018</stp>
        <tr r="M2909" s="1"/>
      </tp>
      <tp>
        <v>22.805907772750199</v>
        <stp/>
        <stp>EM_S_VAL_PETTMDEDUCTED</stp>
        <stp>2</stp>
        <stp>600109</stp>
        <stp>12/31/2018</stp>
        <tr r="M918" s="1"/>
      </tp>
      <tp>
        <v>21.988597843755802</v>
        <stp/>
        <stp>EM_S_VAL_PETTMDEDUCTED</stp>
        <stp>2</stp>
        <stp>000166</stp>
        <stp>12/31/2018</stp>
        <tr r="M3413" s="1"/>
      </tp>
      <tp>
        <v>-10.176571096513801</v>
        <stp/>
        <stp>EM_S_VAL_PETTMDEDUCTED</stp>
        <stp>2</stp>
        <stp>300156</stp>
        <stp>12/31/2018</stp>
        <tr r="M3381" s="1"/>
      </tp>
      <tp>
        <v>19.621557646527599</v>
        <stp/>
        <stp>EM_S_VAL_PETTMDEDUCTED</stp>
        <stp>2</stp>
        <stp>600106</stp>
        <stp>12/31/2018</stp>
        <tr r="M2193" s="1"/>
      </tp>
      <tp>
        <v>-5.2766667113467003</v>
        <stp/>
        <stp>EM_S_VAL_PETTMDEDUCTED</stp>
        <stp>2</stp>
        <stp>300157</stp>
        <stp>12/31/2018</stp>
        <tr r="M2441" s="1"/>
      </tp>
      <tp>
        <v>4702.1463713295498</v>
        <stp/>
        <stp>EM_S_VAL_PETTMDEDUCTED</stp>
        <stp>2</stp>
        <stp>600107</stp>
        <stp>12/31/2018</stp>
        <tr r="M1238" s="1"/>
      </tp>
      <tp>
        <v>25.187162259511201</v>
        <stp/>
        <stp>EM_S_VAL_PETTMDEDUCTED</stp>
        <stp>2</stp>
        <stp>300154</stp>
        <stp>12/31/2018</stp>
        <tr r="M1433" s="1"/>
      </tp>
      <tp>
        <v>9.0636556491265008</v>
        <stp/>
        <stp>EM_S_VAL_PETTMDEDUCTED</stp>
        <stp>2</stp>
        <stp>600104</stp>
        <stp>12/31/2018</stp>
        <tr r="M2780" s="1"/>
      </tp>
      <tp>
        <v>109.70251739069801</v>
        <stp/>
        <stp>EM_S_VAL_PETTMDEDUCTED</stp>
        <stp>2</stp>
        <stp>300155</stp>
        <stp>12/31/2018</stp>
        <tr r="M1092" s="1"/>
      </tp>
      <tp>
        <v>25.926120201710301</v>
        <stp/>
        <stp>EM_S_VAL_PETTMDEDUCTED</stp>
        <stp>2</stp>
        <stp>600105</stp>
        <stp>12/31/2018</stp>
        <tr r="M1397" s="1"/>
      </tp>
      <tp>
        <v>-6.0256747073606398</v>
        <stp/>
        <stp>EM_S_VAL_PETTMDEDUCTED</stp>
        <stp>2</stp>
        <stp>300152</stp>
        <stp>12/31/2018</stp>
        <tr r="M897" s="1"/>
      </tp>
      <tp>
        <v>20.014899418389199</v>
        <stp/>
        <stp>EM_S_VAL_PETTMDEDUCTED</stp>
        <stp>2</stp>
        <stp>600102</stp>
        <stp>12/31/2018</stp>
        <tr r="M2292" s="1"/>
      </tp>
      <tp>
        <v>145.53306918461399</v>
        <stp/>
        <stp>EM_S_VAL_PETTMDEDUCTED</stp>
        <stp>2</stp>
        <stp>300153</stp>
        <stp>12/31/2018</stp>
        <tr r="M2698" s="1"/>
      </tp>
      <tp>
        <v>32.3065189409173</v>
        <stp/>
        <stp>EM_S_VAL_PETTMDEDUCTED</stp>
        <stp>2</stp>
        <stp>600103</stp>
        <stp>12/31/2018</stp>
        <tr r="M3018" s="1"/>
      </tp>
      <tp>
        <v>56.276409614583002</v>
        <stp/>
        <stp>EM_S_VAL_PETTMDEDUCTED</stp>
        <stp>2</stp>
        <stp>300150</stp>
        <stp>12/31/2018</stp>
        <tr r="M2203" s="1"/>
      </tp>
      <tp>
        <v>-61.690935253909302</v>
        <stp/>
        <stp>EM_S_VAL_PETTMDEDUCTED</stp>
        <stp>2</stp>
        <stp>600100</stp>
        <stp>12/31/2018</stp>
        <tr r="M2791" s="1"/>
      </tp>
      <tp>
        <v>55.506759250914698</v>
        <stp/>
        <stp>EM_S_VAL_PETTMDEDUCTED</stp>
        <stp>2</stp>
        <stp>300151</stp>
        <stp>12/31/2018</stp>
        <tr r="M378" s="1"/>
      </tp>
      <tp>
        <v>21.949672660898901</v>
        <stp/>
        <stp>EM_S_VAL_PETTMDEDUCTED</stp>
        <stp>2</stp>
        <stp>600101</stp>
        <stp>12/31/2018</stp>
        <tr r="M1988" s="1"/>
      </tp>
      <tp>
        <v>4.8238321101000796</v>
        <stp/>
        <stp>EM_S_VAL_PETTMDEDUCTED</stp>
        <stp>2</stp>
        <stp>000898</stp>
        <stp>12/31/2018</stp>
        <tr r="M3280" s="1"/>
      </tp>
      <tp>
        <v>24.638251857073602</v>
        <stp/>
        <stp>EM_S_VAL_PETTMDEDUCTED</stp>
        <stp>2</stp>
        <stp>000899</stp>
        <stp>12/31/2018</stp>
        <tr r="M1690" s="1"/>
      </tp>
      <tp>
        <v>-33.609020705257201</v>
        <stp/>
        <stp>EM_S_VAL_PETTMDEDUCTED</stp>
        <stp>2</stp>
        <stp>000897</stp>
        <stp>12/31/2018</stp>
        <tr r="M3568" s="1"/>
      </tp>
      <tp>
        <v>17.512200130302698</v>
        <stp/>
        <stp>EM_S_VAL_PETTMDEDUCTED</stp>
        <stp>2</stp>
        <stp>000895</stp>
        <stp>12/31/2018</stp>
        <tr r="M3567" s="1"/>
      </tp>
      <tp>
        <v>7.8371043211059304</v>
        <stp/>
        <stp>EM_S_VAL_PETTMDEDUCTED</stp>
        <stp>2</stp>
        <stp>000892</stp>
        <stp>12/31/2018</stp>
        <tr r="M3565" s="1"/>
      </tp>
      <tp>
        <v>-4.8427249237356396</v>
        <stp/>
        <stp>EM_S_VAL_PETTMDEDUCTED</stp>
        <stp>2</stp>
        <stp>000893</stp>
        <stp>12/31/2018</stp>
        <tr r="M3566" s="1"/>
      </tp>
      <tp>
        <v>17.982634705667</v>
        <stp/>
        <stp>EM_S_VAL_PETTMDEDUCTED</stp>
        <stp>2</stp>
        <stp>000890</stp>
        <stp>12/31/2018</stp>
        <tr r="M3564" s="1"/>
      </tp>
      <tp>
        <v>14.001228834041999</v>
        <stp/>
        <stp>EM_S_VAL_PETTMDEDUCTED</stp>
        <stp>2</stp>
        <stp>000888</stp>
        <stp>12/31/2018</stp>
        <tr r="M3563" s="1"/>
      </tp>
      <tp>
        <v>31.800288983037301</v>
        <stp/>
        <stp>EM_S_VAL_PETTMDEDUCTED</stp>
        <stp>2</stp>
        <stp>000889</stp>
        <stp>12/31/2018</stp>
        <tr r="M2649" s="1"/>
      </tp>
      <tp>
        <v>86.967975901574604</v>
        <stp/>
        <stp>EM_S_VAL_PETTMDEDUCTED</stp>
        <stp>2</stp>
        <stp>000886</stp>
        <stp>12/31/2018</stp>
        <tr r="M3562" s="1"/>
      </tp>
      <tp>
        <v>11.3607023524402</v>
        <stp/>
        <stp>EM_S_VAL_PETTMDEDUCTED</stp>
        <stp>2</stp>
        <stp>000887</stp>
        <stp>12/31/2018</stp>
        <tr r="M2794" s="1"/>
      </tp>
      <tp>
        <v>7.5078618265939596</v>
        <stp/>
        <stp>EM_S_VAL_PETTMDEDUCTED</stp>
        <stp>2</stp>
        <stp>000885</stp>
        <stp>12/31/2018</stp>
        <tr r="M3561" s="1"/>
      </tp>
      <tp>
        <v>-32.231150440653998</v>
        <stp/>
        <stp>EM_S_VAL_PETTMDEDUCTED</stp>
        <stp>2</stp>
        <stp>000882</stp>
        <stp>12/31/2018</stp>
        <tr r="M2222" s="1"/>
      </tp>
      <tp>
        <v>14.279776133900199</v>
        <stp/>
        <stp>EM_S_VAL_PETTMDEDUCTED</stp>
        <stp>2</stp>
        <stp>000883</stp>
        <stp>12/31/2018</stp>
        <tr r="M1562" s="1"/>
      </tp>
      <tp>
        <v>33.829368846398097</v>
        <stp/>
        <stp>EM_S_VAL_PETTMDEDUCTED</stp>
        <stp>2</stp>
        <stp>000880</stp>
        <stp>12/31/2018</stp>
        <tr r="M1865" s="1"/>
      </tp>
      <tp>
        <v>37.946256189947903</v>
        <stp/>
        <stp>EM_S_VAL_PETTMDEDUCTED</stp>
        <stp>2</stp>
        <stp>000881</stp>
        <stp>12/31/2018</stp>
        <tr r="M2108" s="1"/>
      </tp>
      <tp>
        <v>-26.673550648339599</v>
        <stp/>
        <stp>EM_S_VAL_PETTMDEDUCTED</stp>
        <stp>2</stp>
        <stp>600898</stp>
        <stp>12/31/2018</stp>
        <tr r="M2388" s="1"/>
      </tp>
      <tp>
        <v>-1.0242112320837</v>
        <stp/>
        <stp>EM_S_VAL_PETTMDEDUCTED</stp>
        <stp>2</stp>
        <stp>600899</stp>
        <stp>12/31/2018</stp>
        <tr r="M2333" s="1"/>
      </tp>
      <tp>
        <v>-13.8833740746713</v>
        <stp/>
        <stp>EM_S_VAL_PETTMDEDUCTED</stp>
        <stp>2</stp>
        <stp>600896</stp>
        <stp>12/31/2018</stp>
        <tr r="M1511" s="1"/>
      </tp>
      <tp>
        <v>14.2443501819569</v>
        <stp/>
        <stp>EM_S_VAL_PETTMDEDUCTED</stp>
        <stp>2</stp>
        <stp>600897</stp>
        <stp>12/31/2018</stp>
        <tr r="M2061" s="1"/>
      </tp>
      <tp>
        <v>21.661844830788699</v>
        <stp/>
        <stp>EM_S_VAL_PETTMDEDUCTED</stp>
        <stp>2</stp>
        <stp>600894</stp>
        <stp>12/31/2018</stp>
        <tr r="M802" s="1"/>
      </tp>
      <tp>
        <v>49.8847674911854</v>
        <stp/>
        <stp>EM_S_VAL_PETTMDEDUCTED</stp>
        <stp>2</stp>
        <stp>600895</stp>
        <stp>12/31/2018</stp>
        <tr r="M2139" s="1"/>
      </tp>
      <tp>
        <v>248.30680318929501</v>
        <stp/>
        <stp>EM_S_VAL_PETTMDEDUCTED</stp>
        <stp>2</stp>
        <stp>600892</stp>
        <stp>12/31/2018</stp>
        <tr r="M3227" s="1"/>
      </tp>
      <tp>
        <v>68.030651593456696</v>
        <stp/>
        <stp>EM_S_VAL_PETTMDEDUCTED</stp>
        <stp>2</stp>
        <stp>600893</stp>
        <stp>12/31/2018</stp>
        <tr r="M2384" s="1"/>
      </tp>
      <tp>
        <v>-588.59518149631901</v>
        <stp/>
        <stp>EM_S_VAL_PETTMDEDUCTED</stp>
        <stp>2</stp>
        <stp>600890</stp>
        <stp>12/31/2018</stp>
        <tr r="M3134" s="1"/>
      </tp>
      <tp>
        <v>38.402127737802303</v>
        <stp/>
        <stp>EM_S_VAL_PETTMDEDUCTED</stp>
        <stp>2</stp>
        <stp>600891</stp>
        <stp>12/31/2018</stp>
        <tr r="M3403" s="1"/>
      </tp>
      <tp>
        <v>34.695834501202597</v>
        <stp/>
        <stp>EM_S_VAL_PETTMDEDUCTED</stp>
        <stp>2</stp>
        <stp>600888</stp>
        <stp>12/31/2018</stp>
        <tr r="M1734" s="1"/>
      </tp>
      <tp>
        <v>-15.6874019749008</v>
        <stp/>
        <stp>EM_S_VAL_PETTMDEDUCTED</stp>
        <stp>2</stp>
        <stp>600889</stp>
        <stp>12/31/2018</stp>
        <tr r="M2344" s="1"/>
      </tp>
      <tp>
        <v>14.208349632667501</v>
        <stp/>
        <stp>EM_S_VAL_PETTMDEDUCTED</stp>
        <stp>2</stp>
        <stp>600886</stp>
        <stp>12/31/2018</stp>
        <tr r="M1548" s="1"/>
      </tp>
      <tp>
        <v>25.502032944274902</v>
        <stp/>
        <stp>EM_S_VAL_PETTMDEDUCTED</stp>
        <stp>2</stp>
        <stp>600887</stp>
        <stp>12/31/2018</stp>
        <tr r="M827" s="1"/>
      </tp>
      <tp>
        <v>32.019993485268898</v>
        <stp/>
        <stp>EM_S_VAL_PETTMDEDUCTED</stp>
        <stp>2</stp>
        <stp>600884</stp>
        <stp>12/31/2018</stp>
        <tr r="M1987" s="1"/>
      </tp>
      <tp>
        <v>27.196071397858798</v>
        <stp/>
        <stp>EM_S_VAL_PETTMDEDUCTED</stp>
        <stp>2</stp>
        <stp>600885</stp>
        <stp>12/31/2018</stp>
        <tr r="M497" s="1"/>
      </tp>
      <tp>
        <v>-135.60428550754199</v>
        <stp/>
        <stp>EM_S_VAL_PETTMDEDUCTED</stp>
        <stp>2</stp>
        <stp>600882</stp>
        <stp>12/31/2018</stp>
        <tr r="M211" s="1"/>
      </tp>
      <tp>
        <v>-111.67674173866099</v>
        <stp/>
        <stp>EM_S_VAL_PETTMDEDUCTED</stp>
        <stp>2</stp>
        <stp>600883</stp>
        <stp>12/31/2018</stp>
        <tr r="M1056" s="1"/>
      </tp>
      <tp>
        <v>-136.11374687830499</v>
        <stp/>
        <stp>EM_S_VAL_PETTMDEDUCTED</stp>
        <stp>2</stp>
        <stp>600880</stp>
        <stp>12/31/2018</stp>
        <tr r="M1852" s="1"/>
      </tp>
      <tp>
        <v>17.067734211782302</v>
        <stp/>
        <stp>EM_S_VAL_PETTMDEDUCTED</stp>
        <stp>2</stp>
        <stp>600881</stp>
        <stp>12/31/2018</stp>
        <tr r="M2561" s="1"/>
      </tp>
      <tp>
        <v>14.866829199527899</v>
        <stp/>
        <stp>EM_S_VAL_PETTMDEDUCTED</stp>
        <stp>2</stp>
        <stp>000818</stp>
        <stp>12/31/2018</stp>
        <tr r="M176" s="1"/>
      </tp>
      <tp>
        <v>-179.75523959844</v>
        <stp/>
        <stp>EM_S_VAL_PETTMDEDUCTED</stp>
        <stp>2</stp>
        <stp>600878</stp>
        <stp>12/31/2018</stp>
        <tr r="M2332" s="1"/>
      </tp>
      <tp>
        <v>93.473914436091604</v>
        <stp/>
        <stp>EM_S_VAL_PETTMDEDUCTED</stp>
        <stp>2</stp>
        <stp>000819</stp>
        <stp>12/31/2018</stp>
        <tr r="M2694" s="1"/>
      </tp>
      <tp>
        <v>29.0403884714306</v>
        <stp/>
        <stp>EM_S_VAL_PETTMDEDUCTED</stp>
        <stp>2</stp>
        <stp>600879</stp>
        <stp>12/31/2018</stp>
        <tr r="M1674" s="1"/>
      </tp>
      <tp>
        <v>-7.4947356637978197</v>
        <stp/>
        <stp>EM_S_VAL_PETTMDEDUCTED</stp>
        <stp>2</stp>
        <stp>000816</stp>
        <stp>12/31/2018</stp>
        <tr r="M3547" s="1"/>
      </tp>
      <tp>
        <v>-126.750046259529</v>
        <stp/>
        <stp>EM_S_VAL_PETTMDEDUCTED</stp>
        <stp>2</stp>
        <stp>600876</stp>
        <stp>12/31/2018</stp>
        <tr r="M598" s="1"/>
      </tp>
      <tp>
        <v>12.223072943908299</v>
        <stp/>
        <stp>EM_S_VAL_PETTMDEDUCTED</stp>
        <stp>2</stp>
        <stp>000817</stp>
        <stp>12/31/2018</stp>
        <tr r="M3548" s="1"/>
      </tp>
      <tp>
        <v>-11.774085057790501</v>
        <stp/>
        <stp>EM_S_VAL_PETTMDEDUCTED</stp>
        <stp>2</stp>
        <stp>600877</stp>
        <stp>12/31/2018</stp>
        <tr r="M1175" s="1"/>
      </tp>
      <tp>
        <v>25.3235918839402</v>
        <stp/>
        <stp>EM_S_VAL_PETTMDEDUCTED</stp>
        <stp>2</stp>
        <stp>600874</stp>
        <stp>12/31/2018</stp>
        <tr r="M2879" s="1"/>
      </tp>
      <tp>
        <v>161.05018469425201</v>
        <stp/>
        <stp>EM_S_VAL_PETTMDEDUCTED</stp>
        <stp>2</stp>
        <stp>000815</stp>
        <stp>12/31/2018</stp>
        <tr r="M2186" s="1"/>
      </tp>
      <tp>
        <v>31.0298370010496</v>
        <stp/>
        <stp>EM_S_VAL_PETTMDEDUCTED</stp>
        <stp>2</stp>
        <stp>600875</stp>
        <stp>12/31/2018</stp>
        <tr r="M1425" s="1"/>
      </tp>
      <tp>
        <v>63.102805165702897</v>
        <stp/>
        <stp>EM_S_VAL_PETTMDEDUCTED</stp>
        <stp>2</stp>
        <stp>000812</stp>
        <stp>12/31/2018</stp>
        <tr r="M2624" s="1"/>
      </tp>
      <tp>
        <v>42.2950821837292</v>
        <stp/>
        <stp>EM_S_VAL_PETTMDEDUCTED</stp>
        <stp>2</stp>
        <stp>600872</stp>
        <stp>12/31/2018</stp>
        <tr r="M909" s="1"/>
      </tp>
      <tp>
        <v>23.2461447658807</v>
        <stp/>
        <stp>EM_S_VAL_PETTMDEDUCTED</stp>
        <stp>2</stp>
        <stp>000813</stp>
        <stp>12/31/2018</stp>
        <tr r="M3236" s="1"/>
      </tp>
      <tp>
        <v>14.060045430558199</v>
        <stp/>
        <stp>EM_S_VAL_PETTMDEDUCTED</stp>
        <stp>2</stp>
        <stp>600873</stp>
        <stp>12/31/2018</stp>
        <tr r="M2002" s="1"/>
      </tp>
      <tp>
        <v>26.4554249480781</v>
        <stp/>
        <stp>EM_S_VAL_PETTMDEDUCTED</stp>
        <stp>2</stp>
        <stp>000810</stp>
        <stp>12/31/2018</stp>
        <tr r="M139" s="1"/>
      </tp>
      <tp>
        <v>-99.291583958319904</v>
        <stp/>
        <stp>EM_S_VAL_PETTMDEDUCTED</stp>
        <stp>2</stp>
        <stp>600870</stp>
        <stp>12/31/2018</stp>
        <tr r="M2830" s="1"/>
      </tp>
      <tp>
        <v>14.6556635528984</v>
        <stp/>
        <stp>EM_S_VAL_PETTMDEDUCTED</stp>
        <stp>2</stp>
        <stp>000811</stp>
        <stp>12/31/2018</stp>
        <tr r="M843" s="1"/>
      </tp>
      <tp>
        <v>-4.9230791182771503</v>
        <stp/>
        <stp>EM_S_VAL_PETTMDEDUCTED</stp>
        <stp>2</stp>
        <stp>600871</stp>
        <stp>12/31/2018</stp>
        <tr r="M1178" s="1"/>
      </tp>
      <tp>
        <v>1312.2884977834401</v>
        <stp/>
        <stp>EM_S_VAL_PETTMDEDUCTED</stp>
        <stp>2</stp>
        <stp>600868</stp>
        <stp>12/31/2018</stp>
        <tr r="M1248" s="1"/>
      </tp>
      <tp>
        <v>29.1895312446992</v>
        <stp/>
        <stp>EM_S_VAL_PETTMDEDUCTED</stp>
        <stp>2</stp>
        <stp>000809</stp>
        <stp>12/31/2018</stp>
        <tr r="M2356" s="1"/>
      </tp>
      <tp>
        <v>67.122108890074301</v>
        <stp/>
        <stp>EM_S_VAL_PETTMDEDUCTED</stp>
        <stp>2</stp>
        <stp>600869</stp>
        <stp>12/31/2018</stp>
        <tr r="M2251" s="1"/>
      </tp>
      <tp>
        <v>-32.632987007202203</v>
        <stp/>
        <stp>EM_S_VAL_PETTMDEDUCTED</stp>
        <stp>2</stp>
        <stp>000806</stp>
        <stp>12/31/2018</stp>
        <tr r="M3545" s="1"/>
      </tp>
      <tp>
        <v>-23.534799172746101</v>
        <stp/>
        <stp>EM_S_VAL_PETTMDEDUCTED</stp>
        <stp>2</stp>
        <stp>600866</stp>
        <stp>12/31/2018</stp>
        <tr r="M736" s="1"/>
      </tp>
      <tp>
        <v>34.001902024237801</v>
        <stp/>
        <stp>EM_S_VAL_PETTMDEDUCTED</stp>
        <stp>2</stp>
        <stp>000807</stp>
        <stp>12/31/2018</stp>
        <tr r="M3546" s="1"/>
      </tp>
      <tp>
        <v>32.933684216994898</v>
        <stp/>
        <stp>EM_S_VAL_PETTMDEDUCTED</stp>
        <stp>2</stp>
        <stp>600867</stp>
        <stp>12/31/2018</stp>
        <tr r="M2809" s="1"/>
      </tp>
      <tp>
        <v>-40.556821319461001</v>
        <stp/>
        <stp>EM_S_VAL_PETTMDEDUCTED</stp>
        <stp>2</stp>
        <stp>600864</stp>
        <stp>12/31/2018</stp>
        <tr r="M222" s="1"/>
      </tp>
      <tp>
        <v>35.435129056761298</v>
        <stp/>
        <stp>EM_S_VAL_PETTMDEDUCTED</stp>
        <stp>2</stp>
        <stp>000805</stp>
        <stp>12/31/2018</stp>
        <tr r="M3544" s="1"/>
      </tp>
      <tp>
        <v>33.1803302268682</v>
        <stp/>
        <stp>EM_S_VAL_PETTMDEDUCTED</stp>
        <stp>2</stp>
        <stp>600865</stp>
        <stp>12/31/2018</stp>
        <tr r="M1563" s="1"/>
      </tp>
      <tp>
        <v>23.9398755422386</v>
        <stp/>
        <stp>EM_S_VAL_PETTMDEDUCTED</stp>
        <stp>2</stp>
        <stp>000802</stp>
        <stp>12/31/2018</stp>
        <tr r="M3543" s="1"/>
      </tp>
      <tp>
        <v>678.28861215294398</v>
        <stp/>
        <stp>EM_S_VAL_PETTMDEDUCTED</stp>
        <stp>2</stp>
        <stp>600862</stp>
        <stp>12/31/2018</stp>
        <tr r="M174" s="1"/>
      </tp>
      <tp>
        <v>53.154917222513802</v>
        <stp/>
        <stp>EM_S_VAL_PETTMDEDUCTED</stp>
        <stp>2</stp>
        <stp>000803</stp>
        <stp>12/31/2018</stp>
        <tr r="M1520" s="1"/>
      </tp>
      <tp>
        <v>29.528130062707099</v>
        <stp/>
        <stp>EM_S_VAL_PETTMDEDUCTED</stp>
        <stp>2</stp>
        <stp>600863</stp>
        <stp>12/31/2018</stp>
        <tr r="M1344" s="1"/>
      </tp>
      <tp>
        <v>309.41243322304302</v>
        <stp/>
        <stp>EM_S_VAL_PETTMDEDUCTED</stp>
        <stp>2</stp>
        <stp>000800</stp>
        <stp>12/31/2018</stp>
        <tr r="M3542" s="1"/>
      </tp>
      <tp>
        <v>-43.417345528663901</v>
        <stp/>
        <stp>EM_S_VAL_PETTMDEDUCTED</stp>
        <stp>2</stp>
        <stp>600860</stp>
        <stp>12/31/2018</stp>
        <tr r="M816" s="1"/>
      </tp>
      <tp>
        <v>-496.29428367296998</v>
        <stp/>
        <stp>EM_S_VAL_PETTMDEDUCTED</stp>
        <stp>2</stp>
        <stp>000801</stp>
        <stp>12/31/2018</stp>
        <tr r="M1131" s="1"/>
      </tp>
      <tp>
        <v>39.0606106565779</v>
        <stp/>
        <stp>EM_S_VAL_PETTMDEDUCTED</stp>
        <stp>2</stp>
        <stp>600861</stp>
        <stp>12/31/2018</stp>
        <tr r="M1151" s="1"/>
      </tp>
      <tp>
        <v>44.241399030806498</v>
        <stp/>
        <stp>EM_S_VAL_PETTMDEDUCTED</stp>
        <stp>2</stp>
        <stp>000838</stp>
        <stp>12/31/2018</stp>
        <tr r="M1804" s="1"/>
      </tp>
      <tp>
        <v>163.16394491545901</v>
        <stp/>
        <stp>EM_S_VAL_PETTMDEDUCTED</stp>
        <stp>2</stp>
        <stp>600858</stp>
        <stp>12/31/2018</stp>
        <tr r="M2088" s="1"/>
      </tp>
      <tp>
        <v>-137.932071006256</v>
        <stp/>
        <stp>EM_S_VAL_PETTMDEDUCTED</stp>
        <stp>2</stp>
        <stp>000839</stp>
        <stp>12/31/2018</stp>
        <tr r="M3555" s="1"/>
      </tp>
      <tp>
        <v>10.1094640113397</v>
        <stp/>
        <stp>EM_S_VAL_PETTMDEDUCTED</stp>
        <stp>2</stp>
        <stp>600859</stp>
        <stp>12/31/2018</stp>
        <tr r="M2086" s="1"/>
      </tp>
      <tp>
        <v>82.964469980996597</v>
        <stp/>
        <stp>EM_S_VAL_PETTMDEDUCTED</stp>
        <stp>2</stp>
        <stp>000836</stp>
        <stp>12/31/2018</stp>
        <tr r="M2534" s="1"/>
      </tp>
      <tp>
        <v>17.219763067681399</v>
        <stp/>
        <stp>EM_S_VAL_PETTMDEDUCTED</stp>
        <stp>2</stp>
        <stp>600856</stp>
        <stp>12/31/2018</stp>
        <tr r="M3278" s="1"/>
      </tp>
      <tp>
        <v>-33.0404344785373</v>
        <stp/>
        <stp>EM_S_VAL_PETTMDEDUCTED</stp>
        <stp>2</stp>
        <stp>000837</stp>
        <stp>12/31/2018</stp>
        <tr r="M3554" s="1"/>
      </tp>
      <tp>
        <v>72.797144592406099</v>
        <stp/>
        <stp>EM_S_VAL_PETTMDEDUCTED</stp>
        <stp>2</stp>
        <stp>600857</stp>
        <stp>12/31/2018</stp>
        <tr r="M1701" s="1"/>
      </tp>
      <tp>
        <v>27.545986722111099</v>
        <stp/>
        <stp>EM_S_VAL_PETTMDEDUCTED</stp>
        <stp>2</stp>
        <stp>600854</stp>
        <stp>12/31/2018</stp>
        <tr r="M1766" s="1"/>
      </tp>
      <tp>
        <v>-35.107881493340699</v>
        <stp/>
        <stp>EM_S_VAL_PETTMDEDUCTED</stp>
        <stp>2</stp>
        <stp>000835</stp>
        <stp>12/31/2018</stp>
        <tr r="M3553" s="1"/>
      </tp>
      <tp>
        <v>204.589115972879</v>
        <stp/>
        <stp>EM_S_VAL_PETTMDEDUCTED</stp>
        <stp>2</stp>
        <stp>600855</stp>
        <stp>12/31/2018</stp>
        <tr r="M817" s="1"/>
      </tp>
      <tp>
        <v>-75.923186365472702</v>
        <stp/>
        <stp>EM_S_VAL_PETTMDEDUCTED</stp>
        <stp>2</stp>
        <stp>000832</stp>
        <stp>12/31/2018</stp>
        <tr r="M3552" s="1"/>
      </tp>
      <tp>
        <v>7.6692661001151397</v>
        <stp/>
        <stp>EM_S_VAL_PETTMDEDUCTED</stp>
        <stp>2</stp>
        <stp>600852</stp>
        <stp>12/31/2018</stp>
        <tr r="M2331" s="1"/>
      </tp>
      <tp>
        <v>31.597344001653401</v>
        <stp/>
        <stp>EM_S_VAL_PETTMDEDUCTED</stp>
        <stp>2</stp>
        <stp>000833</stp>
        <stp>12/31/2018</stp>
        <tr r="M1707" s="1"/>
      </tp>
      <tp>
        <v>12.669073412283501</v>
        <stp/>
        <stp>EM_S_VAL_PETTMDEDUCTED</stp>
        <stp>2</stp>
        <stp>600853</stp>
        <stp>12/31/2018</stp>
        <tr r="M2699" s="1"/>
      </tp>
      <tp>
        <v>4.4246692107746401</v>
        <stp/>
        <stp>EM_S_VAL_PETTMDEDUCTED</stp>
        <stp>2</stp>
        <stp>000830</stp>
        <stp>12/31/2018</stp>
        <tr r="M2036" s="1"/>
      </tp>
      <tp>
        <v>21.743204125350001</v>
        <stp/>
        <stp>EM_S_VAL_PETTMDEDUCTED</stp>
        <stp>2</stp>
        <stp>600850</stp>
        <stp>12/31/2018</stp>
        <tr r="M441" s="1"/>
      </tp>
      <tp>
        <v>106.20438259871599</v>
        <stp/>
        <stp>EM_S_VAL_PETTMDEDUCTED</stp>
        <stp>2</stp>
        <stp>000831</stp>
        <stp>12/31/2018</stp>
        <tr r="M465" s="1"/>
      </tp>
      <tp>
        <v>81.276347353513401</v>
        <stp/>
        <stp>EM_S_VAL_PETTMDEDUCTED</stp>
        <stp>2</stp>
        <stp>600851</stp>
        <stp>12/31/2018</stp>
        <tr r="M1652" s="1"/>
      </tp>
      <tp>
        <v>8.8355147753473293</v>
        <stp/>
        <stp>EM_S_VAL_PETTMDEDUCTED</stp>
        <stp>2</stp>
        <stp>000828</stp>
        <stp>12/31/2018</stp>
        <tr r="M1711" s="1"/>
      </tp>
      <tp>
        <v>55.264541910923199</v>
        <stp/>
        <stp>EM_S_VAL_PETTMDEDUCTED</stp>
        <stp>2</stp>
        <stp>600848</stp>
        <stp>12/31/2018</stp>
        <tr r="M1417" s="1"/>
      </tp>
      <tp>
        <v>29.274520913788798</v>
        <stp/>
        <stp>EM_S_VAL_PETTMDEDUCTED</stp>
        <stp>2</stp>
        <stp>000829</stp>
        <stp>12/31/2018</stp>
        <tr r="M3551" s="1"/>
      </tp>
      <tp>
        <v>14.1626297495937</v>
        <stp/>
        <stp>EM_S_VAL_PETTMDEDUCTED</stp>
        <stp>2</stp>
        <stp>600849</stp>
        <stp>12/31/2018</stp>
        <tr r="M2335" s="1"/>
      </tp>
      <tp>
        <v>12.157236310622601</v>
        <stp/>
        <stp>EM_S_VAL_PETTMDEDUCTED</stp>
        <stp>2</stp>
        <stp>000826</stp>
        <stp>12/31/2018</stp>
        <tr r="M2803" s="1"/>
      </tp>
      <tp>
        <v>16.276457369525001</v>
        <stp/>
        <stp>EM_S_VAL_PETTMDEDUCTED</stp>
        <stp>2</stp>
        <stp>600846</stp>
        <stp>12/31/2018</stp>
        <tr r="M959" s="1"/>
      </tp>
      <tp>
        <v>0</v>
        <stp/>
        <stp>EM_S_VAL_PETTMDEDUCTED</stp>
        <stp>2</stp>
        <stp>000827</stp>
        <stp>12/31/2018</stp>
        <tr r="M3550" s="1"/>
      </tp>
      <tp>
        <v>-182.05711249640001</v>
        <stp/>
        <stp>EM_S_VAL_PETTMDEDUCTED</stp>
        <stp>2</stp>
        <stp>600847</stp>
        <stp>12/31/2018</stp>
        <tr r="M2395" s="1"/>
      </tp>
      <tp>
        <v>-82.148418276962801</v>
        <stp/>
        <stp>EM_S_VAL_PETTMDEDUCTED</stp>
        <stp>2</stp>
        <stp>600844</stp>
        <stp>12/31/2018</stp>
        <tr r="M467" s="1"/>
      </tp>
      <tp>
        <v>3.5716482060114201</v>
        <stp/>
        <stp>EM_S_VAL_PETTMDEDUCTED</stp>
        <stp>2</stp>
        <stp>000825</stp>
        <stp>12/31/2018</stp>
        <tr r="M2407" s="1"/>
      </tp>
      <tp>
        <v>32.458436156769203</v>
        <stp/>
        <stp>EM_S_VAL_PETTMDEDUCTED</stp>
        <stp>2</stp>
        <stp>600845</stp>
        <stp>12/31/2018</stp>
        <tr r="M442" s="1"/>
      </tp>
      <tp>
        <v>7.2008113970365404</v>
        <stp/>
        <stp>EM_S_VAL_PETTMDEDUCTED</stp>
        <stp>2</stp>
        <stp>000822</stp>
        <stp>12/31/2018</stp>
        <tr r="M2171" s="1"/>
      </tp>
      <tp>
        <v>-1682.80056280454</v>
        <stp/>
        <stp>EM_S_VAL_PETTMDEDUCTED</stp>
        <stp>2</stp>
        <stp>600842</stp>
        <stp>12/31/2018</stp>
        <tr r="M2330" s="1"/>
      </tp>
      <tp>
        <v>17.982440389592298</v>
        <stp/>
        <stp>EM_S_VAL_PETTMDEDUCTED</stp>
        <stp>2</stp>
        <stp>000823</stp>
        <stp>12/31/2018</stp>
        <tr r="M267" s="1"/>
      </tp>
      <tp>
        <v>33.052463186712501</v>
        <stp/>
        <stp>EM_S_VAL_PETTMDEDUCTED</stp>
        <stp>2</stp>
        <stp>600843</stp>
        <stp>12/31/2018</stp>
        <tr r="M1525" s="1"/>
      </tp>
      <tp>
        <v>-39.0679009308299</v>
        <stp/>
        <stp>EM_S_VAL_PETTMDEDUCTED</stp>
        <stp>2</stp>
        <stp>000820</stp>
        <stp>12/31/2018</stp>
        <tr r="M3549" s="1"/>
      </tp>
      <tp>
        <v>127.288457180824</v>
        <stp/>
        <stp>EM_S_VAL_PETTMDEDUCTED</stp>
        <stp>2</stp>
        <stp>600840</stp>
        <stp>12/31/2018</stp>
        <tr r="M2329" s="1"/>
      </tp>
      <tp>
        <v>24.024441451443199</v>
        <stp/>
        <stp>EM_S_VAL_PETTMDEDUCTED</stp>
        <stp>2</stp>
        <stp>000821</stp>
        <stp>12/31/2018</stp>
        <tr r="M2937" s="1"/>
      </tp>
      <tp>
        <v>51.079422301179797</v>
        <stp/>
        <stp>EM_S_VAL_PETTMDEDUCTED</stp>
        <stp>2</stp>
        <stp>600841</stp>
        <stp>12/31/2018</stp>
        <tr r="M1932" s="1"/>
      </tp>
      <tp>
        <v>16.271914903589501</v>
        <stp/>
        <stp>EM_S_VAL_PETTMDEDUCTED</stp>
        <stp>2</stp>
        <stp>000858</stp>
        <stp>12/31/2018</stp>
        <tr r="M65" s="1"/>
      </tp>
      <tp>
        <v>25.003361432951898</v>
        <stp/>
        <stp>EM_S_VAL_PETTMDEDUCTED</stp>
        <stp>2</stp>
        <stp>600838</stp>
        <stp>12/31/2018</stp>
        <tr r="M1970" s="1"/>
      </tp>
      <tp>
        <v>-36.548709636163402</v>
        <stp/>
        <stp>EM_S_VAL_PETTMDEDUCTED</stp>
        <stp>2</stp>
        <stp>000859</stp>
        <stp>12/31/2018</stp>
        <tr r="M151" s="1"/>
      </tp>
      <tp>
        <v>42.043909970591699</v>
        <stp/>
        <stp>EM_S_VAL_PETTMDEDUCTED</stp>
        <stp>2</stp>
        <stp>600839</stp>
        <stp>12/31/2018</stp>
        <tr r="M1139" s="1"/>
      </tp>
      <tp>
        <v>-447.44480496685401</v>
        <stp/>
        <stp>EM_S_VAL_PETTMDEDUCTED</stp>
        <stp>2</stp>
        <stp>000856</stp>
        <stp>12/31/2018</stp>
        <tr r="M3157" s="1"/>
      </tp>
      <tp>
        <v>-200.287449561014</v>
        <stp/>
        <stp>EM_S_VAL_PETTMDEDUCTED</stp>
        <stp>2</stp>
        <stp>600836</stp>
        <stp>12/31/2018</stp>
        <tr r="M857" s="1"/>
      </tp>
      <tp>
        <v>18.314440017436102</v>
        <stp/>
        <stp>EM_S_VAL_PETTMDEDUCTED</stp>
        <stp>2</stp>
        <stp>600837</stp>
        <stp>12/31/2018</stp>
        <tr r="M260" s="1"/>
      </tp>
      <tp>
        <v>336.83058735025401</v>
        <stp/>
        <stp>EM_S_VAL_PETTMDEDUCTED</stp>
        <stp>2</stp>
        <stp>600834</stp>
        <stp>12/31/2018</stp>
        <tr r="M1990" s="1"/>
      </tp>
      <tp>
        <v>11.6644975180301</v>
        <stp/>
        <stp>EM_S_VAL_PETTMDEDUCTED</stp>
        <stp>2</stp>
        <stp>600835</stp>
        <stp>12/31/2018</stp>
        <tr r="M1537" s="1"/>
      </tp>
      <tp>
        <v>-708.58766182103705</v>
        <stp/>
        <stp>EM_S_VAL_PETTMDEDUCTED</stp>
        <stp>2</stp>
        <stp>000852</stp>
        <stp>12/31/2018</stp>
        <tr r="M2811" s="1"/>
      </tp>
      <tp>
        <v>109.42064429902</v>
        <stp/>
        <stp>EM_S_VAL_PETTMDEDUCTED</stp>
        <stp>2</stp>
        <stp>600832</stp>
        <stp>12/31/2018</stp>
        <tr r="M2328" s="1"/>
      </tp>
      <tp>
        <v>63.172835162281999</v>
        <stp/>
        <stp>EM_S_VAL_PETTMDEDUCTED</stp>
        <stp>2</stp>
        <stp>600833</stp>
        <stp>12/31/2018</stp>
        <tr r="M2110" s="1"/>
      </tp>
      <tp>
        <v>-31.823064890610901</v>
        <stp/>
        <stp>EM_S_VAL_PETTMDEDUCTED</stp>
        <stp>2</stp>
        <stp>000850</stp>
        <stp>12/31/2018</stp>
        <tr r="M1049" s="1"/>
      </tp>
      <tp>
        <v>70.014200062491796</v>
        <stp/>
        <stp>EM_S_VAL_PETTMDEDUCTED</stp>
        <stp>2</stp>
        <stp>600830</stp>
        <stp>12/31/2018</stp>
        <tr r="M1448" s="1"/>
      </tp>
      <tp>
        <v>-60.750102616451599</v>
        <stp/>
        <stp>EM_S_VAL_PETTMDEDUCTED</stp>
        <stp>2</stp>
        <stp>000851</stp>
        <stp>12/31/2018</stp>
        <tr r="M1159" s="1"/>
      </tp>
      <tp>
        <v>24.195629454207499</v>
        <stp/>
        <stp>EM_S_VAL_PETTMDEDUCTED</stp>
        <stp>2</stp>
        <stp>600831</stp>
        <stp>12/31/2018</stp>
        <tr r="M788" s="1"/>
      </tp>
      <tp>
        <v>17.386673058517001</v>
        <stp/>
        <stp>EM_S_VAL_PETTMDEDUCTED</stp>
        <stp>2</stp>
        <stp>000848</stp>
        <stp>12/31/2018</stp>
        <tr r="M2428" s="1"/>
      </tp>
      <tp>
        <v>8.5957636132933004</v>
        <stp/>
        <stp>EM_S_VAL_PETTMDEDUCTED</stp>
        <stp>2</stp>
        <stp>600828</stp>
        <stp>12/31/2018</stp>
        <tr r="M2265" s="1"/>
      </tp>
      <tp>
        <v>14.001165054003501</v>
        <stp/>
        <stp>EM_S_VAL_PETTMDEDUCTED</stp>
        <stp>2</stp>
        <stp>600829</stp>
        <stp>12/31/2018</stp>
        <tr r="M1485" s="1"/>
      </tp>
      <tp>
        <v>39.469331671234897</v>
        <stp/>
        <stp>EM_S_VAL_PETTMDEDUCTED</stp>
        <stp>2</stp>
        <stp>600826</stp>
        <stp>12/31/2018</stp>
        <tr r="M1328" s="1"/>
      </tp>
      <tp>
        <v>22.928421197220501</v>
        <stp/>
        <stp>EM_S_VAL_PETTMDEDUCTED</stp>
        <stp>2</stp>
        <stp>600827</stp>
        <stp>12/31/2018</stp>
        <tr r="M1943" s="1"/>
      </tp>
      <tp>
        <v>33.124593284343902</v>
        <stp/>
        <stp>EM_S_VAL_PETTMDEDUCTED</stp>
        <stp>2</stp>
        <stp>600824</stp>
        <stp>12/31/2018</stp>
        <tr r="M2064" s="1"/>
      </tp>
      <tp>
        <v>-48.510617252761499</v>
        <stp/>
        <stp>EM_S_VAL_PETTMDEDUCTED</stp>
        <stp>2</stp>
        <stp>600825</stp>
        <stp>12/31/2018</stp>
        <tr r="M1333" s="1"/>
      </tp>
      <tp>
        <v>99.504202035158499</v>
        <stp/>
        <stp>EM_S_VAL_PETTMDEDUCTED</stp>
        <stp>2</stp>
        <stp>600822</stp>
        <stp>12/31/2018</stp>
        <tr r="M1393" s="1"/>
      </tp>
      <tp>
        <v>7.6077519129634998</v>
        <stp/>
        <stp>EM_S_VAL_PETTMDEDUCTED</stp>
        <stp>2</stp>
        <stp>600823</stp>
        <stp>12/31/2018</stp>
        <tr r="M1206" s="1"/>
      </tp>
      <tp>
        <v>10.922243878560501</v>
        <stp/>
        <stp>EM_S_VAL_PETTMDEDUCTED</stp>
        <stp>2</stp>
        <stp>600820</stp>
        <stp>12/31/2018</stp>
        <tr r="M2521" s="1"/>
      </tp>
      <tp>
        <v>-7.2145462471194097</v>
        <stp/>
        <stp>EM_S_VAL_PETTMDEDUCTED</stp>
        <stp>2</stp>
        <stp>600821</stp>
        <stp>12/31/2018</stp>
        <tr r="M1516" s="1"/>
      </tp>
      <tp>
        <v>28.675318931174001</v>
        <stp/>
        <stp>EM_S_VAL_PETTMDEDUCTED</stp>
        <stp>2</stp>
        <stp>000878</stp>
        <stp>12/31/2018</stp>
        <tr r="M3560" s="1"/>
      </tp>
      <tp>
        <v>-64.595516530943499</v>
        <stp/>
        <stp>EM_S_VAL_PETTMDEDUCTED</stp>
        <stp>2</stp>
        <stp>600818</stp>
        <stp>12/31/2018</stp>
        <tr r="M1647" s="1"/>
      </tp>
      <tp>
        <v>-242.317679153992</v>
        <stp/>
        <stp>EM_S_VAL_PETTMDEDUCTED</stp>
        <stp>2</stp>
        <stp>600819</stp>
        <stp>12/31/2018</stp>
        <tr r="M1023" s="1"/>
      </tp>
      <tp>
        <v>15.243889994408599</v>
        <stp/>
        <stp>EM_S_VAL_PETTMDEDUCTED</stp>
        <stp>2</stp>
        <stp>000876</stp>
        <stp>12/31/2018</stp>
        <tr r="M64" s="1"/>
      </tp>
      <tp>
        <v>33.720577392865302</v>
        <stp/>
        <stp>EM_S_VAL_PETTMDEDUCTED</stp>
        <stp>2</stp>
        <stp>600816</stp>
        <stp>12/31/2018</stp>
        <tr r="M2137" s="1"/>
      </tp>
      <tp>
        <v>12.2397226885048</v>
        <stp/>
        <stp>EM_S_VAL_PETTMDEDUCTED</stp>
        <stp>2</stp>
        <stp>000877</stp>
        <stp>12/31/2018</stp>
        <tr r="M407" s="1"/>
      </tp>
      <tp>
        <v>-712.47996344012995</v>
        <stp/>
        <stp>EM_S_VAL_PETTMDEDUCTED</stp>
        <stp>2</stp>
        <stp>600817</stp>
        <stp>12/31/2018</stp>
        <tr r="M2126" s="1"/>
      </tp>
      <tp>
        <v>23.659722315611099</v>
        <stp/>
        <stp>EM_S_VAL_PETTMDEDUCTED</stp>
        <stp>2</stp>
        <stp>600814</stp>
        <stp>12/31/2018</stp>
        <tr r="M2267" s="1"/>
      </tp>
      <tp>
        <v>-22.044660352047199</v>
        <stp/>
        <stp>EM_S_VAL_PETTMDEDUCTED</stp>
        <stp>2</stp>
        <stp>000875</stp>
        <stp>12/31/2018</stp>
        <tr r="M1036" s="1"/>
      </tp>
      <tp>
        <v>-6.9846374596624798</v>
        <stp/>
        <stp>EM_S_VAL_PETTMDEDUCTED</stp>
        <stp>2</stp>
        <stp>600815</stp>
        <stp>12/31/2018</stp>
        <tr r="M2476" s="1"/>
      </tp>
      <tp>
        <v>290.42912343069901</v>
        <stp/>
        <stp>EM_S_VAL_PETTMDEDUCTED</stp>
        <stp>2</stp>
        <stp>600812</stp>
        <stp>12/31/2018</stp>
        <tr r="M107" s="1"/>
      </tp>
      <tp>
        <v>-59.159508940306601</v>
        <stp/>
        <stp>EM_S_VAL_PETTMDEDUCTED</stp>
        <stp>2</stp>
        <stp>600813</stp>
        <stp>12/31/2018</stp>
        <tr r="M2327" s="1"/>
      </tp>
      <tp>
        <v>7.9888048484481802</v>
        <stp/>
        <stp>EM_S_VAL_PETTMDEDUCTED</stp>
        <stp>2</stp>
        <stp>600810</stp>
        <stp>12/31/2018</stp>
        <tr r="M3112" s="1"/>
      </tp>
      <tp>
        <v>13.275942752171</v>
        <stp/>
        <stp>EM_S_VAL_PETTMDEDUCTED</stp>
        <stp>2</stp>
        <stp>600811</stp>
        <stp>12/31/2018</stp>
        <tr r="M2690" s="1"/>
      </tp>
      <tp>
        <v>-6.2833104099078998</v>
        <stp/>
        <stp>EM_S_VAL_PETTMDEDUCTED</stp>
        <stp>2</stp>
        <stp>000868</stp>
        <stp>12/31/2018</stp>
        <tr r="M3559" s="1"/>
      </tp>
      <tp>
        <v>4.0930514616880398</v>
        <stp/>
        <stp>EM_S_VAL_PETTMDEDUCTED</stp>
        <stp>2</stp>
        <stp>600808</stp>
        <stp>12/31/2018</stp>
        <tr r="M2869" s="1"/>
      </tp>
      <tp>
        <v>19.5241512335718</v>
        <stp/>
        <stp>EM_S_VAL_PETTMDEDUCTED</stp>
        <stp>2</stp>
        <stp>000869</stp>
        <stp>12/31/2018</stp>
        <tr r="M1713" s="1"/>
      </tp>
      <tp>
        <v>21.613439417730898</v>
        <stp/>
        <stp>EM_S_VAL_PETTMDEDUCTED</stp>
        <stp>2</stp>
        <stp>600809</stp>
        <stp>12/31/2018</stp>
        <tr r="M75" s="1"/>
      </tp>
      <tp>
        <v>16.9068534394948</v>
        <stp/>
        <stp>EM_S_VAL_PETTMDEDUCTED</stp>
        <stp>2</stp>
        <stp>000866</stp>
        <stp>12/31/2018</stp>
        <tr r="M3558" s="1"/>
      </tp>
      <tp>
        <v>-2.4781258746757202</v>
        <stp/>
        <stp>EM_S_VAL_PETTMDEDUCTED</stp>
        <stp>2</stp>
        <stp>600806</stp>
        <stp>12/31/2018</stp>
        <tr r="M2326" s="1"/>
      </tp>
      <tp>
        <v>-2.1653288828739798</v>
        <stp/>
        <stp>EM_S_VAL_PETTMDEDUCTED</stp>
        <stp>2</stp>
        <stp>600807</stp>
        <stp>12/31/2018</stp>
        <tr r="M2570" s="1"/>
      </tp>
      <tp>
        <v>15.7965197742048</v>
        <stp/>
        <stp>EM_S_VAL_PETTMDEDUCTED</stp>
        <stp>2</stp>
        <stp>600804</stp>
        <stp>12/31/2018</stp>
        <tr r="M2849" s="1"/>
      </tp>
      <tp>
        <v>84.162983587703707</v>
        <stp/>
        <stp>EM_S_VAL_PETTMDEDUCTED</stp>
        <stp>2</stp>
        <stp>600805</stp>
        <stp>12/31/2018</stp>
        <tr r="M1762" s="1"/>
      </tp>
      <tp>
        <v>-65.423587090834005</v>
        <stp/>
        <stp>EM_S_VAL_PETTMDEDUCTED</stp>
        <stp>2</stp>
        <stp>000862</stp>
        <stp>12/31/2018</stp>
        <tr r="M331" s="1"/>
      </tp>
      <tp>
        <v>12.7178024308008</v>
        <stp/>
        <stp>EM_S_VAL_PETTMDEDUCTED</stp>
        <stp>2</stp>
        <stp>600802</stp>
        <stp>12/31/2018</stp>
        <tr r="M1449" s="1"/>
      </tp>
      <tp>
        <v>18.5702937585563</v>
        <stp/>
        <stp>EM_S_VAL_PETTMDEDUCTED</stp>
        <stp>2</stp>
        <stp>000863</stp>
        <stp>12/31/2018</stp>
        <tr r="M3557" s="1"/>
      </tp>
      <tp>
        <v>9.55493621408724</v>
        <stp/>
        <stp>EM_S_VAL_PETTMDEDUCTED</stp>
        <stp>2</stp>
        <stp>600803</stp>
        <stp>12/31/2018</stp>
        <tr r="M1898" s="1"/>
      </tp>
      <tp>
        <v>28.969968971034302</v>
        <stp/>
        <stp>EM_S_VAL_PETTMDEDUCTED</stp>
        <stp>2</stp>
        <stp>000860</stp>
        <stp>12/31/2018</stp>
        <tr r="M371" s="1"/>
      </tp>
      <tp>
        <v>-55.4136647189898</v>
        <stp/>
        <stp>EM_S_VAL_PETTMDEDUCTED</stp>
        <stp>2</stp>
        <stp>600800</stp>
        <stp>12/31/2018</stp>
        <tr r="M1729" s="1"/>
      </tp>
      <tp>
        <v>27.1486151711463</v>
        <stp/>
        <stp>EM_S_VAL_PETTMDEDUCTED</stp>
        <stp>2</stp>
        <stp>000861</stp>
        <stp>12/31/2018</stp>
        <tr r="M3556" s="1"/>
      </tp>
      <tp>
        <v>5.9917532766859196</v>
        <stp/>
        <stp>EM_S_VAL_PETTMDEDUCTED</stp>
        <stp>2</stp>
        <stp>600801</stp>
        <stp>12/31/2018</stp>
        <tr r="M585" s="1"/>
      </tp>
      <tp>
        <v>43.649119003287304</v>
        <stp/>
        <stp>EM_S_VAL_PETTMDEDUCTED</stp>
        <stp>2</stp>
        <stp>000998</stp>
        <stp>12/31/2018</stp>
        <tr r="M2742" s="1"/>
      </tp>
      <tp>
        <v>19.5409961674542</v>
        <stp/>
        <stp>EM_S_VAL_PETTMDEDUCTED</stp>
        <stp>2</stp>
        <stp>000999</stp>
        <stp>12/31/2018</stp>
        <tr r="M1163" s="1"/>
      </tp>
      <tp>
        <v>270.13023947087902</v>
        <stp/>
        <stp>EM_S_VAL_PETTMDEDUCTED</stp>
        <stp>2</stp>
        <stp>000996</stp>
        <stp>12/31/2018</stp>
        <tr r="M1113" s="1"/>
      </tp>
      <tp>
        <v>28.504544450394</v>
        <stp/>
        <stp>EM_S_VAL_PETTMDEDUCTED</stp>
        <stp>2</stp>
        <stp>000997</stp>
        <stp>12/31/2018</stp>
        <tr r="M1814" s="1"/>
      </tp>
      <tp>
        <v>-5.82177269742881</v>
        <stp/>
        <stp>EM_S_VAL_PETTMDEDUCTED</stp>
        <stp>2</stp>
        <stp>000995</stp>
        <stp>12/31/2018</stp>
        <tr r="M3601" s="1"/>
      </tp>
      <tp>
        <v>-13.1849456525597</v>
        <stp/>
        <stp>EM_S_VAL_PETTMDEDUCTED</stp>
        <stp>2</stp>
        <stp>000993</stp>
        <stp>12/31/2018</stp>
        <tr r="M3600" s="1"/>
      </tp>
      <tp>
        <v>22.656930207704001</v>
        <stp/>
        <stp>EM_S_VAL_PETTMDEDUCTED</stp>
        <stp>2</stp>
        <stp>000990</stp>
        <stp>12/31/2018</stp>
        <tr r="M1153" s="1"/>
      </tp>
      <tp>
        <v>0</v>
        <stp/>
        <stp>EM_S_VAL_PETTMDEDUCTED</stp>
        <stp>2</stp>
        <stp>000991</stp>
        <stp>12/31/2018</stp>
        <tr r="M3599" s="1"/>
      </tp>
      <tp>
        <v>52.602427363399499</v>
        <stp/>
        <stp>EM_S_VAL_PETTMDEDUCTED</stp>
        <stp>2</stp>
        <stp>000988</stp>
        <stp>12/31/2018</stp>
        <tr r="M328" s="1"/>
      </tp>
      <tp>
        <v>18.6157938066364</v>
        <stp/>
        <stp>EM_S_VAL_PETTMDEDUCTED</stp>
        <stp>2</stp>
        <stp>000989</stp>
        <stp>12/31/2018</stp>
        <tr r="M3598" s="1"/>
      </tp>
      <tp>
        <v>50.6643307787214</v>
        <stp/>
        <stp>EM_S_VAL_PETTMDEDUCTED</stp>
        <stp>2</stp>
        <stp>000987</stp>
        <stp>12/31/2018</stp>
        <tr r="M3597" s="1"/>
      </tp>
      <tp>
        <v>-152.57903862940199</v>
        <stp/>
        <stp>EM_S_VAL_PETTMDEDUCTED</stp>
        <stp>2</stp>
        <stp>000985</stp>
        <stp>12/31/2018</stp>
        <tr r="M3596" s="1"/>
      </tp>
      <tp>
        <v>-2.6656737600989402</v>
        <stp/>
        <stp>EM_S_VAL_PETTMDEDUCTED</stp>
        <stp>2</stp>
        <stp>000982</stp>
        <stp>12/31/2018</stp>
        <tr r="M3595" s="1"/>
      </tp>
      <tp>
        <v>9.5897916925325006</v>
        <stp/>
        <stp>EM_S_VAL_PETTMDEDUCTED</stp>
        <stp>2</stp>
        <stp>000983</stp>
        <stp>12/31/2018</stp>
        <tr r="M1655" s="1"/>
      </tp>
      <tp>
        <v>8.6522028713586003</v>
        <stp/>
        <stp>EM_S_VAL_PETTMDEDUCTED</stp>
        <stp>2</stp>
        <stp>000980</stp>
        <stp>12/31/2018</stp>
        <tr r="M3593" s="1"/>
      </tp>
      <tp>
        <v>-116.072943863397</v>
        <stp/>
        <stp>EM_S_VAL_PETTMDEDUCTED</stp>
        <stp>2</stp>
        <stp>000981</stp>
        <stp>12/31/2018</stp>
        <tr r="M3594" s="1"/>
      </tp>
      <tp>
        <v>24.0771552396278</v>
        <stp/>
        <stp>EM_S_VAL_PETTMDEDUCTED</stp>
        <stp>2</stp>
        <stp>600998</stp>
        <stp>12/31/2018</stp>
        <tr r="M2675" s="1"/>
      </tp>
      <tp>
        <v>19.2925674054691</v>
        <stp/>
        <stp>EM_S_VAL_PETTMDEDUCTED</stp>
        <stp>2</stp>
        <stp>600999</stp>
        <stp>12/31/2018</stp>
        <tr r="M764" s="1"/>
      </tp>
      <tp>
        <v>20.3627928404877</v>
        <stp/>
        <stp>EM_S_VAL_PETTMDEDUCTED</stp>
        <stp>2</stp>
        <stp>600996</stp>
        <stp>12/31/2018</stp>
        <tr r="M1043" s="1"/>
      </tp>
      <tp>
        <v>7.6287578420745499</v>
        <stp/>
        <stp>EM_S_VAL_PETTMDEDUCTED</stp>
        <stp>2</stp>
        <stp>600997</stp>
        <stp>12/31/2018</stp>
        <tr r="M2542" s="1"/>
      </tp>
      <tp>
        <v>12.138548794750401</v>
        <stp/>
        <stp>EM_S_VAL_PETTMDEDUCTED</stp>
        <stp>2</stp>
        <stp>600995</stp>
        <stp>12/31/2018</stp>
        <tr r="M1373" s="1"/>
      </tp>
      <tp>
        <v>208.336286311039</v>
        <stp/>
        <stp>EM_S_VAL_PETTMDEDUCTED</stp>
        <stp>2</stp>
        <stp>600992</stp>
        <stp>12/31/2018</stp>
        <tr r="M2383" s="1"/>
      </tp>
      <tp>
        <v>20.844302095018399</v>
        <stp/>
        <stp>EM_S_VAL_PETTMDEDUCTED</stp>
        <stp>2</stp>
        <stp>600993</stp>
        <stp>12/31/2018</stp>
        <tr r="M973" s="1"/>
      </tp>
      <tp>
        <v>107.976593152623</v>
        <stp/>
        <stp>EM_S_VAL_PETTMDEDUCTED</stp>
        <stp>2</stp>
        <stp>600990</stp>
        <stp>12/31/2018</stp>
        <tr r="M934" s="1"/>
      </tp>
      <tp>
        <v>-84.377602328071006</v>
        <stp/>
        <stp>EM_S_VAL_PETTMDEDUCTED</stp>
        <stp>2</stp>
        <stp>600991</stp>
        <stp>12/31/2018</stp>
        <tr r="M2334" s="1"/>
      </tp>
      <tp>
        <v>31.8761076786652</v>
        <stp/>
        <stp>EM_S_VAL_PETTMDEDUCTED</stp>
        <stp>2</stp>
        <stp>600988</stp>
        <stp>12/31/2018</stp>
        <tr r="M1255" s="1"/>
      </tp>
      <tp>
        <v>14.2494045148414</v>
        <stp/>
        <stp>EM_S_VAL_PETTMDEDUCTED</stp>
        <stp>2</stp>
        <stp>600986</stp>
        <stp>12/31/2018</stp>
        <tr r="M1246" s="1"/>
      </tp>
      <tp>
        <v>10.6159686825587</v>
        <stp/>
        <stp>EM_S_VAL_PETTMDEDUCTED</stp>
        <stp>2</stp>
        <stp>600987</stp>
        <stp>12/31/2018</stp>
        <tr r="M3102" s="1"/>
      </tp>
      <tp>
        <v>41.906001064404997</v>
        <stp/>
        <stp>EM_S_VAL_PETTMDEDUCTED</stp>
        <stp>2</stp>
        <stp>600984</stp>
        <stp>12/31/2018</stp>
        <tr r="M159" s="1"/>
      </tp>
      <tp>
        <v>53.9430905832752</v>
        <stp/>
        <stp>EM_S_VAL_PETTMDEDUCTED</stp>
        <stp>2</stp>
        <stp>600985</stp>
        <stp>12/31/2018</stp>
        <tr r="M1841" s="1"/>
      </tp>
      <tp>
        <v>99.071700774807297</v>
        <stp/>
        <stp>EM_S_VAL_PETTMDEDUCTED</stp>
        <stp>2</stp>
        <stp>600982</stp>
        <stp>12/31/2018</stp>
        <tr r="M2729" s="1"/>
      </tp>
      <tp>
        <v>-44.5224992811237</v>
        <stp/>
        <stp>EM_S_VAL_PETTMDEDUCTED</stp>
        <stp>2</stp>
        <stp>600983</stp>
        <stp>12/31/2018</stp>
        <tr r="M2645" s="1"/>
      </tp>
      <tp>
        <v>54.0523685259408</v>
        <stp/>
        <stp>EM_S_VAL_PETTMDEDUCTED</stp>
        <stp>2</stp>
        <stp>600980</stp>
        <stp>12/31/2018</stp>
        <tr r="M669" s="1"/>
      </tp>
      <tp>
        <v>-45.791571630568001</v>
        <stp/>
        <stp>EM_S_VAL_PETTMDEDUCTED</stp>
        <stp>2</stp>
        <stp>600981</stp>
        <stp>12/31/2018</stp>
        <tr r="M2364" s="1"/>
      </tp>
      <tp>
        <v>-9.6733596832622304</v>
        <stp/>
        <stp>EM_S_VAL_PETTMDEDUCTED</stp>
        <stp>2</stp>
        <stp>000918</stp>
        <stp>12/31/2018</stp>
        <tr r="M3575" s="1"/>
      </tp>
      <tp>
        <v>11.144349297345601</v>
        <stp/>
        <stp>EM_S_VAL_PETTMDEDUCTED</stp>
        <stp>2</stp>
        <stp>600978</stp>
        <stp>12/31/2018</stp>
        <tr r="M3195" s="1"/>
      </tp>
      <tp>
        <v>27.481991491884902</v>
        <stp/>
        <stp>EM_S_VAL_PETTMDEDUCTED</stp>
        <stp>2</stp>
        <stp>000919</stp>
        <stp>12/31/2018</stp>
        <tr r="M3576" s="1"/>
      </tp>
      <tp>
        <v>15.4017361315776</v>
        <stp/>
        <stp>EM_S_VAL_PETTMDEDUCTED</stp>
        <stp>2</stp>
        <stp>600979</stp>
        <stp>12/31/2018</stp>
        <tr r="M2045" s="1"/>
      </tp>
      <tp>
        <v>0</v>
        <stp/>
        <stp>EM_S_VAL_PETTMDEDUCTED</stp>
        <stp>2</stp>
        <stp>000916</stp>
        <stp>12/31/2018</stp>
        <tr r="M3574" s="1"/>
      </tp>
      <tp>
        <v>29.288364743141798</v>
        <stp/>
        <stp>EM_S_VAL_PETTMDEDUCTED</stp>
        <stp>2</stp>
        <stp>600976</stp>
        <stp>12/31/2018</stp>
        <tr r="M1228" s="1"/>
      </tp>
      <tp>
        <v>-11.7090052140524</v>
        <stp/>
        <stp>EM_S_VAL_PETTMDEDUCTED</stp>
        <stp>2</stp>
        <stp>000917</stp>
        <stp>12/31/2018</stp>
        <tr r="M2445" s="1"/>
      </tp>
      <tp>
        <v>28.609633985798698</v>
        <stp/>
        <stp>EM_S_VAL_PETTMDEDUCTED</stp>
        <stp>2</stp>
        <stp>600977</stp>
        <stp>12/31/2018</stp>
        <tr r="M1944" s="1"/>
      </tp>
      <tp>
        <v>16.853803158899201</v>
        <stp/>
        <stp>EM_S_VAL_PETTMDEDUCTED</stp>
        <stp>2</stp>
        <stp>000915</stp>
        <stp>12/31/2018</stp>
        <tr r="M3573" s="1"/>
      </tp>
      <tp>
        <v>-33.700346603617398</v>
        <stp/>
        <stp>EM_S_VAL_PETTMDEDUCTED</stp>
        <stp>2</stp>
        <stp>600975</stp>
        <stp>12/31/2018</stp>
        <tr r="M106" s="1"/>
      </tp>
      <tp>
        <v>-7.4183065381665001</v>
        <stp/>
        <stp>EM_S_VAL_PETTMDEDUCTED</stp>
        <stp>2</stp>
        <stp>000912</stp>
        <stp>12/31/2018</stp>
        <tr r="M2196" s="1"/>
      </tp>
      <tp>
        <v>55.3211182526817</v>
        <stp/>
        <stp>EM_S_VAL_PETTMDEDUCTED</stp>
        <stp>2</stp>
        <stp>000913</stp>
        <stp>12/31/2018</stp>
        <tr r="M1323" s="1"/>
      </tp>
      <tp>
        <v>76.758644053933395</v>
        <stp/>
        <stp>EM_S_VAL_PETTMDEDUCTED</stp>
        <stp>2</stp>
        <stp>600973</stp>
        <stp>12/31/2018</stp>
        <tr r="M2049" s="1"/>
      </tp>
      <tp>
        <v>7.8807440217676801</v>
        <stp/>
        <stp>EM_S_VAL_PETTMDEDUCTED</stp>
        <stp>2</stp>
        <stp>000910</stp>
        <stp>12/31/2018</stp>
        <tr r="M880" s="1"/>
      </tp>
      <tp>
        <v>9.2042144335663103</v>
        <stp/>
        <stp>EM_S_VAL_PETTMDEDUCTED</stp>
        <stp>2</stp>
        <stp>600970</stp>
        <stp>12/31/2018</stp>
        <tr r="M1048" s="1"/>
      </tp>
      <tp>
        <v>-2.1053090104931198</v>
        <stp/>
        <stp>EM_S_VAL_PETTMDEDUCTED</stp>
        <stp>2</stp>
        <stp>000911</stp>
        <stp>12/31/2018</stp>
        <tr r="M3572" s="1"/>
      </tp>
      <tp>
        <v>6.7647558881565004</v>
        <stp/>
        <stp>EM_S_VAL_PETTMDEDUCTED</stp>
        <stp>2</stp>
        <stp>600971</stp>
        <stp>12/31/2018</stp>
        <tr r="M1930" s="1"/>
      </tp>
      <tp>
        <v>25.879525114479101</v>
        <stp/>
        <stp>EM_S_VAL_PETTMDEDUCTED</stp>
        <stp>2</stp>
        <stp>000908</stp>
        <stp>12/31/2018</stp>
        <tr r="M3008" s="1"/>
      </tp>
      <tp>
        <v>116.504284147923</v>
        <stp/>
        <stp>EM_S_VAL_PETTMDEDUCTED</stp>
        <stp>2</stp>
        <stp>000909</stp>
        <stp>12/31/2018</stp>
        <tr r="M3571" s="1"/>
      </tp>
      <tp>
        <v>481.81379437241401</v>
        <stp/>
        <stp>EM_S_VAL_PETTMDEDUCTED</stp>
        <stp>2</stp>
        <stp>600969</stp>
        <stp>12/31/2018</stp>
        <tr r="M1681" s="1"/>
      </tp>
      <tp>
        <v>14.111545916642701</v>
        <stp/>
        <stp>EM_S_VAL_PETTMDEDUCTED</stp>
        <stp>2</stp>
        <stp>000906</stp>
        <stp>12/31/2018</stp>
        <tr r="M1291" s="1"/>
      </tp>
      <tp>
        <v>5.5284835873932199</v>
        <stp/>
        <stp>EM_S_VAL_PETTMDEDUCTED</stp>
        <stp>2</stp>
        <stp>600966</stp>
        <stp>12/31/2018</stp>
        <tr r="M326" s="1"/>
      </tp>
      <tp>
        <v>35.661777558310703</v>
        <stp/>
        <stp>EM_S_VAL_PETTMDEDUCTED</stp>
        <stp>2</stp>
        <stp>600967</stp>
        <stp>12/31/2018</stp>
        <tr r="M2184" s="1"/>
      </tp>
      <tp>
        <v>-412.34549436968803</v>
        <stp/>
        <stp>EM_S_VAL_PETTMDEDUCTED</stp>
        <stp>2</stp>
        <stp>000905</stp>
        <stp>12/31/2018</stp>
        <tr r="M3570" s="1"/>
      </tp>
      <tp>
        <v>48.379665933300899</v>
        <stp/>
        <stp>EM_S_VAL_PETTMDEDUCTED</stp>
        <stp>2</stp>
        <stp>600965</stp>
        <stp>12/31/2018</stp>
        <tr r="M3222" s="1"/>
      </tp>
      <tp>
        <v>14.359621332173701</v>
        <stp/>
        <stp>EM_S_VAL_PETTMDEDUCTED</stp>
        <stp>2</stp>
        <stp>000902</stp>
        <stp>12/31/2018</stp>
        <tr r="M2826" s="1"/>
      </tp>
      <tp>
        <v>-133.325419544206</v>
        <stp/>
        <stp>EM_S_VAL_PETTMDEDUCTED</stp>
        <stp>2</stp>
        <stp>600962</stp>
        <stp>12/31/2018</stp>
        <tr r="M1599" s="1"/>
      </tp>
      <tp>
        <v>22.420752540476101</v>
        <stp/>
        <stp>EM_S_VAL_PETTMDEDUCTED</stp>
        <stp>2</stp>
        <stp>000903</stp>
        <stp>12/31/2018</stp>
        <tr r="M1940" s="1"/>
      </tp>
      <tp>
        <v>14.3000851839353</v>
        <stp/>
        <stp>EM_S_VAL_PETTMDEDUCTED</stp>
        <stp>2</stp>
        <stp>600963</stp>
        <stp>12/31/2018</stp>
        <tr r="M1727" s="1"/>
      </tp>
      <tp>
        <v>6.6325424832788196</v>
        <stp/>
        <stp>EM_S_VAL_PETTMDEDUCTED</stp>
        <stp>2</stp>
        <stp>000900</stp>
        <stp>12/31/2018</stp>
        <tr r="M1632" s="1"/>
      </tp>
      <tp>
        <v>34.646779496080903</v>
        <stp/>
        <stp>EM_S_VAL_PETTMDEDUCTED</stp>
        <stp>2</stp>
        <stp>600960</stp>
        <stp>12/31/2018</stp>
        <tr r="M2720" s="1"/>
      </tp>
      <tp>
        <v>41.644291429293098</v>
        <stp/>
        <stp>EM_S_VAL_PETTMDEDUCTED</stp>
        <stp>2</stp>
        <stp>000901</stp>
        <stp>12/31/2018</stp>
        <tr r="M3569" s="1"/>
      </tp>
      <tp>
        <v>-5.7263615779328196</v>
        <stp/>
        <stp>EM_S_VAL_PETTMDEDUCTED</stp>
        <stp>2</stp>
        <stp>600961</stp>
        <stp>12/31/2018</stp>
        <tr r="M1803" s="1"/>
      </tp>
      <tp>
        <v>40.029220367334297</v>
        <stp/>
        <stp>EM_S_VAL_PETTMDEDUCTED</stp>
        <stp>2</stp>
        <stp>000938</stp>
        <stp>12/31/2018</stp>
        <tr r="M2342" s="1"/>
      </tp>
      <tp>
        <v>31.483574162864901</v>
        <stp/>
        <stp>EM_S_VAL_PETTMDEDUCTED</stp>
        <stp>2</stp>
        <stp>600958</stp>
        <stp>12/31/2018</stp>
        <tr r="M811" s="1"/>
      </tp>
      <tp>
        <v>-1.0425720716515601</v>
        <stp/>
        <stp>EM_S_VAL_PETTMDEDUCTED</stp>
        <stp>2</stp>
        <stp>000939</stp>
        <stp>12/31/2018</stp>
        <tr r="M3583" s="1"/>
      </tp>
      <tp>
        <v>42.012585176026597</v>
        <stp/>
        <stp>EM_S_VAL_PETTMDEDUCTED</stp>
        <stp>2</stp>
        <stp>600959</stp>
        <stp>12/31/2018</stp>
        <tr r="M2509" s="1"/>
      </tp>
      <tp>
        <v>15.838619298340401</v>
        <stp/>
        <stp>EM_S_VAL_PETTMDEDUCTED</stp>
        <stp>2</stp>
        <stp>000936</stp>
        <stp>12/31/2018</stp>
        <tr r="M953" s="1"/>
      </tp>
      <tp>
        <v>11.585368504728899</v>
        <stp/>
        <stp>EM_S_VAL_PETTMDEDUCTED</stp>
        <stp>2</stp>
        <stp>000937</stp>
        <stp>12/31/2018</stp>
        <tr r="M2461" s="1"/>
      </tp>
      <tp>
        <v>19.4918571059507</v>
        <stp/>
        <stp>EM_S_VAL_PETTMDEDUCTED</stp>
        <stp>2</stp>
        <stp>000935</stp>
        <stp>12/31/2018</stp>
        <tr r="M3582" s="1"/>
      </tp>
      <tp>
        <v>2.60759071748488</v>
        <stp/>
        <stp>EM_S_VAL_PETTMDEDUCTED</stp>
        <stp>2</stp>
        <stp>000932</stp>
        <stp>12/31/2018</stp>
        <tr r="M3096" s="1"/>
      </tp>
      <tp>
        <v>-10.0751181855011</v>
        <stp/>
        <stp>EM_S_VAL_PETTMDEDUCTED</stp>
        <stp>2</stp>
        <stp>000933</stp>
        <stp>12/31/2018</stp>
        <tr r="M3581" s="1"/>
      </tp>
      <tp>
        <v>40.474347429293402</v>
        <stp/>
        <stp>EM_S_VAL_PETTMDEDUCTED</stp>
        <stp>2</stp>
        <stp>000930</stp>
        <stp>12/31/2018</stp>
        <tr r="M2797" s="1"/>
      </tp>
      <tp>
        <v>43.759851357497404</v>
        <stp/>
        <stp>EM_S_VAL_PETTMDEDUCTED</stp>
        <stp>2</stp>
        <stp>000931</stp>
        <stp>12/31/2018</stp>
        <tr r="M720" s="1"/>
      </tp>
      <tp>
        <v>19.378647421436199</v>
        <stp/>
        <stp>EM_S_VAL_PETTMDEDUCTED</stp>
        <stp>2</stp>
        <stp>000928</stp>
        <stp>12/31/2018</stp>
        <tr r="M1780" s="1"/>
      </tp>
      <tp>
        <v>105.275187448037</v>
        <stp/>
        <stp>EM_S_VAL_PETTMDEDUCTED</stp>
        <stp>2</stp>
        <stp>000929</stp>
        <stp>12/31/2018</stp>
        <tr r="M3580" s="1"/>
      </tp>
      <tp>
        <v>8.8081800293727603</v>
        <stp/>
        <stp>EM_S_VAL_PETTMDEDUCTED</stp>
        <stp>2</stp>
        <stp>000926</stp>
        <stp>12/31/2018</stp>
        <tr r="M3578" s="1"/>
      </tp>
      <tp>
        <v>-3.2756770113797402</v>
        <stp/>
        <stp>EM_S_VAL_PETTMDEDUCTED</stp>
        <stp>2</stp>
        <stp>000927</stp>
        <stp>12/31/2018</stp>
        <tr r="M3579" s="1"/>
      </tp>
      <tp>
        <v>66.055638747571706</v>
        <stp/>
        <stp>EM_S_VAL_PETTMDEDUCTED</stp>
        <stp>2</stp>
        <stp>000925</stp>
        <stp>12/31/2018</stp>
        <tr r="M1523" s="1"/>
      </tp>
      <tp>
        <v>11.894704518469901</v>
        <stp/>
        <stp>EM_S_VAL_PETTMDEDUCTED</stp>
        <stp>2</stp>
        <stp>000922</stp>
        <stp>12/31/2018</stp>
        <tr r="M1487" s="1"/>
      </tp>
      <tp>
        <v>-206.43990911417399</v>
        <stp/>
        <stp>EM_S_VAL_PETTMDEDUCTED</stp>
        <stp>2</stp>
        <stp>000923</stp>
        <stp>12/31/2018</stp>
        <tr r="M3577" s="1"/>
      </tp>
      <tp>
        <v>26.4417227106523</v>
        <stp/>
        <stp>EM_S_VAL_PETTMDEDUCTED</stp>
        <stp>2</stp>
        <stp>000920</stp>
        <stp>12/31/2018</stp>
        <tr r="M969" s="1"/>
      </tp>
      <tp>
        <v>8.5270229465139398</v>
        <stp/>
        <stp>EM_S_VAL_PETTMDEDUCTED</stp>
        <stp>2</stp>
        <stp>000921</stp>
        <stp>12/31/2018</stp>
        <tr r="M344" s="1"/>
      </tp>
      <tp>
        <v>156.225114122782</v>
        <stp/>
        <stp>EM_S_VAL_PETTMDEDUCTED</stp>
        <stp>2</stp>
        <stp>000958</stp>
        <stp>12/31/2018</stp>
        <tr r="M289" s="1"/>
      </tp>
      <tp>
        <v>7.6528586544554704</v>
        <stp/>
        <stp>EM_S_VAL_PETTMDEDUCTED</stp>
        <stp>2</stp>
        <stp>000959</stp>
        <stp>12/31/2018</stp>
        <tr r="M2602" s="1"/>
      </tp>
      <tp>
        <v>25.274965063004199</v>
        <stp/>
        <stp>EM_S_VAL_PETTMDEDUCTED</stp>
        <stp>2</stp>
        <stp>600939</stp>
        <stp>12/31/2018</stp>
        <tr r="M2104" s="1"/>
      </tp>
      <tp>
        <v>13.1511606197682</v>
        <stp/>
        <stp>EM_S_VAL_PETTMDEDUCTED</stp>
        <stp>2</stp>
        <stp>000956</stp>
        <stp>12/31/2018</stp>
        <tr r="M3586" s="1"/>
      </tp>
      <tp>
        <v>56.188744272644101</v>
        <stp/>
        <stp>EM_S_VAL_PETTMDEDUCTED</stp>
        <stp>2</stp>
        <stp>600936</stp>
        <stp>12/31/2018</stp>
        <tr r="M2127" s="1"/>
      </tp>
      <tp>
        <v>42.152803344676897</v>
        <stp/>
        <stp>EM_S_VAL_PETTMDEDUCTED</stp>
        <stp>2</stp>
        <stp>000957</stp>
        <stp>12/31/2018</stp>
        <tr r="M3587" s="1"/>
      </tp>
      <tp>
        <v>-29.133131034255602</v>
        <stp/>
        <stp>EM_S_VAL_PETTMDEDUCTED</stp>
        <stp>2</stp>
        <stp>000955</stp>
        <stp>12/31/2018</stp>
        <tr r="M3585" s="1"/>
      </tp>
      <tp>
        <v>15.1834885732929</v>
        <stp/>
        <stp>EM_S_VAL_PETTMDEDUCTED</stp>
        <stp>2</stp>
        <stp>000952</stp>
        <stp>12/31/2018</stp>
        <tr r="M2593" s="1"/>
      </tp>
      <tp>
        <v>-7.9133136030170101</v>
        <stp/>
        <stp>EM_S_VAL_PETTMDEDUCTED</stp>
        <stp>2</stp>
        <stp>000953</stp>
        <stp>12/31/2018</stp>
        <tr r="M3584" s="1"/>
      </tp>
      <tp>
        <v>15.218298880297001</v>
        <stp/>
        <stp>EM_S_VAL_PETTMDEDUCTED</stp>
        <stp>2</stp>
        <stp>600933</stp>
        <stp>12/31/2018</stp>
        <tr r="M256" s="1"/>
      </tp>
      <tp>
        <v>13.517291946951101</v>
        <stp/>
        <stp>EM_S_VAL_PETTMDEDUCTED</stp>
        <stp>2</stp>
        <stp>000950</stp>
        <stp>12/31/2018</stp>
        <tr r="M1579" s="1"/>
      </tp>
      <tp>
        <v>9.6573500787049191</v>
        <stp/>
        <stp>EM_S_VAL_PETTMDEDUCTED</stp>
        <stp>2</stp>
        <stp>000951</stp>
        <stp>12/31/2018</stp>
        <tr r="M163" s="1"/>
      </tp>
      <tp>
        <v>84.848827272935097</v>
        <stp/>
        <stp>EM_S_VAL_PETTMDEDUCTED</stp>
        <stp>2</stp>
        <stp>000948</stp>
        <stp>12/31/2018</stp>
        <tr r="M1716" s="1"/>
      </tp>
      <tp>
        <v>69.891615312881399</v>
        <stp/>
        <stp>EM_S_VAL_PETTMDEDUCTED</stp>
        <stp>2</stp>
        <stp>000949</stp>
        <stp>12/31/2018</stp>
        <tr r="M670" s="1"/>
      </tp>
      <tp>
        <v>46.086569496767702</v>
        <stp/>
        <stp>EM_S_VAL_PETTMDEDUCTED</stp>
        <stp>2</stp>
        <stp>600929</stp>
        <stp>12/31/2018</stp>
        <tr r="M3072" s="1"/>
      </tp>
      <tp>
        <v>7.1732806579161696</v>
        <stp/>
        <stp>EM_S_VAL_PETTMDEDUCTED</stp>
        <stp>2</stp>
        <stp>600926</stp>
        <stp>12/31/2018</stp>
        <tr r="M1142" s="1"/>
      </tp>
      <tp>
        <v>28.216971603076502</v>
        <stp/>
        <stp>EM_S_VAL_PETTMDEDUCTED</stp>
        <stp>2</stp>
        <stp>000978</stp>
        <stp>12/31/2018</stp>
        <tr r="M2177" s="1"/>
      </tp>
      <tp>
        <v>-0.43090182178496</v>
        <stp/>
        <stp>EM_S_VAL_PETTMDEDUCTED</stp>
        <stp>2</stp>
        <stp>000979</stp>
        <stp>12/31/2018</stp>
        <tr r="M3592" s="1"/>
      </tp>
      <tp>
        <v>5.3660755502358803</v>
        <stp/>
        <stp>EM_S_VAL_PETTMDEDUCTED</stp>
        <stp>2</stp>
        <stp>600919</stp>
        <stp>12/31/2018</stp>
        <tr r="M1245" s="1"/>
      </tp>
      <tp>
        <v>21.102732795163099</v>
        <stp/>
        <stp>EM_S_VAL_PETTMDEDUCTED</stp>
        <stp>2</stp>
        <stp>000976</stp>
        <stp>12/31/2018</stp>
        <tr r="M3591" s="1"/>
      </tp>
      <tp>
        <v>41.569114884469698</v>
        <stp/>
        <stp>EM_S_VAL_PETTMDEDUCTED</stp>
        <stp>2</stp>
        <stp>000977</stp>
        <stp>12/31/2018</stp>
        <tr r="M206" s="1"/>
      </tp>
      <tp>
        <v>39.456681403056699</v>
        <stp/>
        <stp>EM_S_VAL_PETTMDEDUCTED</stp>
        <stp>2</stp>
        <stp>600917</stp>
        <stp>12/31/2018</stp>
        <tr r="M2163" s="1"/>
      </tp>
      <tp>
        <v>38.104585397410403</v>
        <stp/>
        <stp>EM_S_VAL_PETTMDEDUCTED</stp>
        <stp>2</stp>
        <stp>000975</stp>
        <stp>12/31/2018</stp>
        <tr r="M930" s="1"/>
      </tp>
      <tp>
        <v>-21.275879535102799</v>
        <stp/>
        <stp>EM_S_VAL_PETTMDEDUCTED</stp>
        <stp>2</stp>
        <stp>000972</stp>
        <stp>12/31/2018</stp>
        <tr r="M3590" s="1"/>
      </tp>
      <tp>
        <v>68.293916313784607</v>
        <stp/>
        <stp>EM_S_VAL_PETTMDEDUCTED</stp>
        <stp>2</stp>
        <stp>000973</stp>
        <stp>12/31/2018</stp>
        <tr r="M658" s="1"/>
      </tp>
      <tp>
        <v>31.434255981762998</v>
        <stp/>
        <stp>EM_S_VAL_PETTMDEDUCTED</stp>
        <stp>2</stp>
        <stp>000970</stp>
        <stp>12/31/2018</stp>
        <tr r="M573" s="1"/>
      </tp>
      <tp>
        <v>69.1504938101818</v>
        <stp/>
        <stp>EM_S_VAL_PETTMDEDUCTED</stp>
        <stp>2</stp>
        <stp>000971</stp>
        <stp>12/31/2018</stp>
        <tr r="M3589" s="1"/>
      </tp>
      <tp>
        <v>16.065537584634001</v>
        <stp/>
        <stp>EM_S_VAL_PETTMDEDUCTED</stp>
        <stp>2</stp>
        <stp>000968</stp>
        <stp>12/31/2018</stp>
        <tr r="M2527" s="1"/>
      </tp>
      <tp>
        <v>8.8049917779274907</v>
        <stp/>
        <stp>EM_S_VAL_PETTMDEDUCTED</stp>
        <stp>2</stp>
        <stp>600908</stp>
        <stp>12/31/2018</stp>
        <tr r="M1965" s="1"/>
      </tp>
      <tp>
        <v>-29.578805395860901</v>
        <stp/>
        <stp>EM_S_VAL_PETTMDEDUCTED</stp>
        <stp>2</stp>
        <stp>000969</stp>
        <stp>12/31/2018</stp>
        <tr r="M3588" s="1"/>
      </tp>
      <tp>
        <v>43.066042139832</v>
        <stp/>
        <stp>EM_S_VAL_PETTMDEDUCTED</stp>
        <stp>2</stp>
        <stp>600909</stp>
        <stp>12/31/2018</stp>
        <tr r="M502" s="1"/>
      </tp>
      <tp>
        <v>202.974266493459</v>
        <stp/>
        <stp>EM_S_VAL_PETTMDEDUCTED</stp>
        <stp>2</stp>
        <stp>000966</stp>
        <stp>12/31/2018</stp>
        <tr r="M869" s="1"/>
      </tp>
      <tp>
        <v>37.213204762158803</v>
        <stp/>
        <stp>EM_S_VAL_PETTMDEDUCTED</stp>
        <stp>2</stp>
        <stp>000967</stp>
        <stp>12/31/2018</stp>
        <tr r="M1753" s="1"/>
      </tp>
      <tp>
        <v>6.9581148569211697</v>
        <stp/>
        <stp>EM_S_VAL_PETTMDEDUCTED</stp>
        <stp>2</stp>
        <stp>000965</stp>
        <stp>12/31/2018</stp>
        <tr r="M3017" s="1"/>
      </tp>
      <tp>
        <v>-10.731395881154601</v>
        <stp/>
        <stp>EM_S_VAL_PETTMDEDUCTED</stp>
        <stp>2</stp>
        <stp>000962</stp>
        <stp>12/31/2018</stp>
        <tr r="M1521" s="1"/>
      </tp>
      <tp>
        <v>18.876529732368699</v>
        <stp/>
        <stp>EM_S_VAL_PETTMDEDUCTED</stp>
        <stp>2</stp>
        <stp>000963</stp>
        <stp>12/31/2018</stp>
        <tr r="M2741" s="1"/>
      </tp>
      <tp>
        <v>134.57676204441199</v>
        <stp/>
        <stp>EM_S_VAL_PETTMDEDUCTED</stp>
        <stp>2</stp>
        <stp>600903</stp>
        <stp>12/31/2018</stp>
        <tr r="M3216" s="1"/>
      </tp>
      <tp>
        <v>14.8526953177967</v>
        <stp/>
        <stp>EM_S_VAL_PETTMDEDUCTED</stp>
        <stp>2</stp>
        <stp>000960</stp>
        <stp>12/31/2018</stp>
        <tr r="M1651" s="1"/>
      </tp>
      <tp>
        <v>15.7025344615999</v>
        <stp/>
        <stp>EM_S_VAL_PETTMDEDUCTED</stp>
        <stp>2</stp>
        <stp>600900</stp>
        <stp>12/31/2018</stp>
        <tr r="M1447" s="1"/>
      </tp>
      <tp>
        <v>20.387024012156299</v>
        <stp/>
        <stp>EM_S_VAL_PETTMDEDUCTED</stp>
        <stp>2</stp>
        <stp>000961</stp>
        <stp>12/31/2018</stp>
        <tr r="M207" s="1"/>
      </tp>
      <tp>
        <v>16.7926908602183</v>
        <stp/>
        <stp>EM_S_VAL_PETTMDEDUCTED</stp>
        <stp>2</stp>
        <stp>600901</stp>
        <stp>12/31/2018</stp>
        <tr r="M1864" s="1"/>
      </tp>
      <tp>
        <v>24976897715.380001</v>
        <stp/>
        <stp>EM_HKS_VAL_MV</stp>
        <stp>3</stp>
        <stp>300088</stp>
        <stp>2019-12-31</stp>
        <stp>2</stp>
        <tr r="L96" s="1"/>
      </tp>
      <tp>
        <v>13748292560.700001</v>
        <stp/>
        <stp>EM_HKS_VAL_MV</stp>
        <stp>3</stp>
        <stp>300188</stp>
        <stp>2019-12-31</stp>
        <stp>2</stp>
        <tr r="L906" s="1"/>
      </tp>
      <tp>
        <v>4119505690.3800001</v>
        <stp/>
        <stp>EM_HKS_VAL_MV</stp>
        <stp>3</stp>
        <stp>300288</stp>
        <stp>2019-12-31</stp>
        <stp>2</stp>
        <tr r="L2609" s="1"/>
      </tp>
      <tp>
        <v>7061281194.2399998</v>
        <stp/>
        <stp>EM_HKS_VAL_MV</stp>
        <stp>3</stp>
        <stp>300388</stp>
        <stp>2019-12-31</stp>
        <stp>2</stp>
        <tr r="L1290" s="1"/>
      </tp>
      <tp>
        <v>2695195943.9899998</v>
        <stp/>
        <stp>EM_HKS_VAL_MV</stp>
        <stp>3</stp>
        <stp>300488</stp>
        <stp>2019-12-31</stp>
        <stp>2</stp>
        <tr r="L3270" s="1"/>
      </tp>
      <tp>
        <v>1635780030</v>
        <stp/>
        <stp>EM_HKS_VAL_MV</stp>
        <stp>3</stp>
        <stp>300588</stp>
        <stp>2019-12-31</stp>
        <stp>2</stp>
        <tr r="L2696" s="1"/>
      </tp>
      <tp>
        <v>2174368000</v>
        <stp/>
        <stp>EM_HKS_VAL_MV</stp>
        <stp>3</stp>
        <stp>300688</stp>
        <stp>2019-12-31</stp>
        <stp>2</stp>
        <tr r="L3329" s="1"/>
      </tp>
      <tp>
        <v>1693320182.4000001</v>
        <stp/>
        <stp>EM_HKS_VAL_MV</stp>
        <stp>3</stp>
        <stp>300089</stp>
        <stp>2019-12-31</stp>
        <stp>2</stp>
        <tr r="L3253" s="1"/>
      </tp>
      <tp>
        <v>3696640000</v>
        <stp/>
        <stp>EM_HKS_VAL_MV</stp>
        <stp>3</stp>
        <stp>300189</stp>
        <stp>2019-12-31</stp>
        <stp>2</stp>
        <tr r="L624" s="1"/>
      </tp>
      <tp>
        <v>2450522552.6999998</v>
        <stp/>
        <stp>EM_HKS_VAL_MV</stp>
        <stp>3</stp>
        <stp>300289</stp>
        <stp>2019-12-31</stp>
        <stp>2</stp>
        <tr r="L2864" s="1"/>
      </tp>
      <tp>
        <v>3501835327.3499999</v>
        <stp/>
        <stp>EM_HKS_VAL_MV</stp>
        <stp>3</stp>
        <stp>300389</stp>
        <stp>2019-12-31</stp>
        <stp>2</stp>
        <tr r="L3203" s="1"/>
      </tp>
      <tp>
        <v>1820445000</v>
        <stp/>
        <stp>EM_HKS_VAL_MV</stp>
        <stp>3</stp>
        <stp>300489</stp>
        <stp>2019-12-31</stp>
        <stp>2</stp>
        <tr r="L317" s="1"/>
      </tp>
      <tp>
        <v>2604052152</v>
        <stp/>
        <stp>EM_HKS_VAL_MV</stp>
        <stp>3</stp>
        <stp>300589</stp>
        <stp>2019-12-31</stp>
        <stp>2</stp>
        <tr r="L1439" s="1"/>
      </tp>
      <tp>
        <v>2781880000</v>
        <stp/>
        <stp>EM_HKS_VAL_MV</stp>
        <stp>3</stp>
        <stp>300689</stp>
        <stp>2019-12-31</stp>
        <stp>2</stp>
        <tr r="L977" s="1"/>
      </tp>
      <tp>
        <v>4084320000</v>
        <stp/>
        <stp>EM_HKS_VAL_MV</stp>
        <stp>3</stp>
        <stp>300082</stp>
        <stp>2019-12-31</stp>
        <stp>2</stp>
        <tr r="L2238" s="1"/>
      </tp>
      <tp>
        <v>8986613216.4300003</v>
        <stp/>
        <stp>EM_HKS_VAL_MV</stp>
        <stp>3</stp>
        <stp>300182</stp>
        <stp>2019-12-31</stp>
        <stp>2</stp>
        <tr r="L3029" s="1"/>
      </tp>
      <tp>
        <v>2945138933.5500002</v>
        <stp/>
        <stp>EM_HKS_VAL_MV</stp>
        <stp>3</stp>
        <stp>300282</stp>
        <stp>2019-12-31</stp>
        <stp>2</stp>
        <tr r="L3268" s="1"/>
      </tp>
      <tp>
        <v>3178525806.4499998</v>
        <stp/>
        <stp>EM_HKS_VAL_MV</stp>
        <stp>3</stp>
        <stp>300382</stp>
        <stp>2019-12-31</stp>
        <stp>2</stp>
        <tr r="L2351" s="1"/>
      </tp>
      <tp>
        <v>17741224530.810001</v>
        <stp/>
        <stp>EM_HKS_VAL_MV</stp>
        <stp>3</stp>
        <stp>300482</stp>
        <stp>2019-12-31</stp>
        <stp>2</stp>
        <tr r="L183" s="1"/>
      </tp>
      <tp>
        <v>2350260000</v>
        <stp/>
        <stp>EM_HKS_VAL_MV</stp>
        <stp>3</stp>
        <stp>300582</stp>
        <stp>2019-12-31</stp>
        <stp>2</stp>
        <tr r="L1308" s="1"/>
      </tp>
      <tp>
        <v>15394136546.59</v>
        <stp/>
        <stp>EM_HKS_VAL_MV</stp>
        <stp>3</stp>
        <stp>300682</stp>
        <stp>2019-12-31</stp>
        <stp>2</stp>
        <tr r="L782" s="1"/>
      </tp>
      <tp>
        <v>5709438901.3199997</v>
        <stp/>
        <stp>EM_HKS_VAL_MV</stp>
        <stp>3</stp>
        <stp>300083</stp>
        <stp>2019-12-31</stp>
        <stp>2</stp>
        <tr r="L377" s="1"/>
      </tp>
      <tp>
        <v>6861875120.8800001</v>
        <stp/>
        <stp>EM_HKS_VAL_MV</stp>
        <stp>3</stp>
        <stp>300183</stp>
        <stp>2019-12-31</stp>
        <stp>2</stp>
        <tr r="L1047" s="1"/>
      </tp>
      <tp>
        <v>1860482461.5</v>
        <stp/>
        <stp>EM_HKS_VAL_MV</stp>
        <stp>3</stp>
        <stp>300283</stp>
        <stp>2019-12-31</stp>
        <stp>2</stp>
        <tr r="L2236" s="1"/>
      </tp>
      <tp>
        <v>30955271149.529999</v>
        <stp/>
        <stp>EM_HKS_VAL_MV</stp>
        <stp>3</stp>
        <stp>300383</stp>
        <stp>2019-12-31</stp>
        <stp>2</stp>
        <tr r="L447" s="1"/>
      </tp>
      <tp>
        <v>3956246345.5999999</v>
        <stp/>
        <stp>EM_HKS_VAL_MV</stp>
        <stp>3</stp>
        <stp>300483</stp>
        <stp>2019-12-31</stp>
        <stp>2</stp>
        <tr r="L1094" s="1"/>
      </tp>
      <tp>
        <v>3699135451.4400001</v>
        <stp/>
        <stp>EM_HKS_VAL_MV</stp>
        <stp>3</stp>
        <stp>300583</stp>
        <stp>2019-12-31</stp>
        <stp>2</stp>
        <tr r="L2080" s="1"/>
      </tp>
      <tp>
        <v>3109953153.5999999</v>
        <stp/>
        <stp>EM_HKS_VAL_MV</stp>
        <stp>3</stp>
        <stp>300683</stp>
        <stp>2019-12-31</stp>
        <stp>2</stp>
        <tr r="L1867" s="1"/>
      </tp>
      <tp>
        <v>10646565057.48</v>
        <stp/>
        <stp>EM_HKS_VAL_MV</stp>
        <stp>3</stp>
        <stp>300080</stp>
        <stp>2019-12-31</stp>
        <stp>2</stp>
        <tr r="L1199" s="1"/>
      </tp>
      <tp>
        <v>15061181514.6</v>
        <stp/>
        <stp>EM_HKS_VAL_MV</stp>
        <stp>3</stp>
        <stp>300180</stp>
        <stp>2019-12-31</stp>
        <stp>2</stp>
        <tr r="L3053" s="1"/>
      </tp>
      <tp>
        <v>2640050969.7600002</v>
        <stp/>
        <stp>EM_HKS_VAL_MV</stp>
        <stp>3</stp>
        <stp>300280</stp>
        <stp>2019-12-31</stp>
        <stp>2</stp>
        <tr r="L3363" s="1"/>
      </tp>
      <tp>
        <v>2710316800</v>
        <stp/>
        <stp>EM_HKS_VAL_MV</stp>
        <stp>3</stp>
        <stp>300380</stp>
        <stp>2019-12-31</stp>
        <stp>2</stp>
        <tr r="L1006" s="1"/>
      </tp>
      <tp>
        <v>3239551504.5900002</v>
        <stp/>
        <stp>EM_HKS_VAL_MV</stp>
        <stp>3</stp>
        <stp>300480</stp>
        <stp>2019-12-31</stp>
        <stp>2</stp>
        <tr r="L213" s="1"/>
      </tp>
      <tp>
        <v>3004000000</v>
        <stp/>
        <stp>EM_HKS_VAL_MV</stp>
        <stp>3</stp>
        <stp>300580</stp>
        <stp>2019-12-31</stp>
        <stp>2</stp>
        <tr r="L1402" s="1"/>
      </tp>
      <tp>
        <v>1694330038.8</v>
        <stp/>
        <stp>EM_HKS_VAL_MV</stp>
        <stp>3</stp>
        <stp>300680</stp>
        <stp>2019-12-31</stp>
        <stp>2</stp>
        <tr r="L910" s="1"/>
      </tp>
      <tp>
        <v>5349786126.3599997</v>
        <stp/>
        <stp>EM_HKS_VAL_MV</stp>
        <stp>3</stp>
        <stp>300081</stp>
        <stp>2019-12-31</stp>
        <stp>2</stp>
        <tr r="L1430" s="1"/>
      </tp>
      <tp>
        <v>3073555482.4000001</v>
        <stp/>
        <stp>EM_HKS_VAL_MV</stp>
        <stp>3</stp>
        <stp>300181</stp>
        <stp>2019-12-31</stp>
        <stp>2</stp>
        <tr r="L2515" s="1"/>
      </tp>
      <tp>
        <v>2521919951.5999999</v>
        <stp/>
        <stp>EM_HKS_VAL_MV</stp>
        <stp>3</stp>
        <stp>300281</stp>
        <stp>2019-12-31</stp>
        <stp>2</stp>
        <tr r="L832" s="1"/>
      </tp>
      <tp>
        <v>4358833466.8400002</v>
        <stp/>
        <stp>EM_HKS_VAL_MV</stp>
        <stp>3</stp>
        <stp>300381</stp>
        <stp>2019-12-31</stp>
        <stp>2</stp>
        <tr r="L1162" s="1"/>
      </tp>
      <tp>
        <v>4609157520</v>
        <stp/>
        <stp>EM_HKS_VAL_MV</stp>
        <stp>3</stp>
        <stp>300481</stp>
        <stp>2019-12-31</stp>
        <stp>2</stp>
        <tr r="L358" s="1"/>
      </tp>
      <tp>
        <v>2646821600</v>
        <stp/>
        <stp>EM_HKS_VAL_MV</stp>
        <stp>3</stp>
        <stp>300581</stp>
        <stp>2019-12-31</stp>
        <stp>2</stp>
        <tr r="L989" s="1"/>
      </tp>
      <tp>
        <v>2581740000</v>
        <stp/>
        <stp>EM_HKS_VAL_MV</stp>
        <stp>3</stp>
        <stp>300681</stp>
        <stp>2019-12-31</stp>
        <stp>2</stp>
        <tr r="L2417" s="1"/>
      </tp>
      <tp>
        <v>2367000000</v>
        <stp/>
        <stp>EM_HKS_VAL_MV</stp>
        <stp>3</stp>
        <stp>300086</stp>
        <stp>2019-12-31</stp>
        <stp>2</stp>
        <tr r="L3069" s="1"/>
      </tp>
      <tp>
        <v>24658624800</v>
        <stp/>
        <stp>EM_HKS_VAL_MV</stp>
        <stp>3</stp>
        <stp>300186</stp>
        <stp>2019-12-31</stp>
        <stp>2</stp>
        <tr r="L2281" s="1"/>
      </tp>
      <tp>
        <v>2485580625</v>
        <stp/>
        <stp>EM_HKS_VAL_MV</stp>
        <stp>3</stp>
        <stp>300286</stp>
        <stp>2019-12-31</stp>
        <stp>2</stp>
        <tr r="L747" s="1"/>
      </tp>
      <tp>
        <v>6600914760</v>
        <stp/>
        <stp>EM_HKS_VAL_MV</stp>
        <stp>3</stp>
        <stp>300386</stp>
        <stp>2019-12-31</stp>
        <stp>2</stp>
        <tr r="L696" s="1"/>
      </tp>
      <tp>
        <v>3712785679.8000002</v>
        <stp/>
        <stp>EM_HKS_VAL_MV</stp>
        <stp>3</stp>
        <stp>300486</stp>
        <stp>2019-12-31</stp>
        <stp>2</stp>
        <tr r="L459" s="1"/>
      </tp>
      <tp>
        <v>5100000000</v>
        <stp/>
        <stp>EM_HKS_VAL_MV</stp>
        <stp>3</stp>
        <stp>300586</stp>
        <stp>2019-12-31</stp>
        <stp>2</stp>
        <tr r="L117" s="1"/>
      </tp>
      <tp>
        <v>4254895840</v>
        <stp/>
        <stp>EM_HKS_VAL_MV</stp>
        <stp>3</stp>
        <stp>300686</stp>
        <stp>2019-12-31</stp>
        <stp>2</stp>
        <tr r="L205" s="1"/>
      </tp>
      <tp>
        <v>4359243619.2299995</v>
        <stp/>
        <stp>EM_HKS_VAL_MV</stp>
        <stp>3</stp>
        <stp>300087</stp>
        <stp>2019-12-31</stp>
        <stp>2</stp>
        <tr r="L2662" s="1"/>
      </tp>
      <tp>
        <v>3029150775.5</v>
        <stp/>
        <stp>EM_HKS_VAL_MV</stp>
        <stp>3</stp>
        <stp>300187</stp>
        <stp>2019-12-31</stp>
        <stp>2</stp>
        <tr r="L2789" s="1"/>
      </tp>
      <tp>
        <v>5511451422.7200003</v>
        <stp/>
        <stp>EM_HKS_VAL_MV</stp>
        <stp>3</stp>
        <stp>300287</stp>
        <stp>2019-12-31</stp>
        <stp>2</stp>
        <tr r="L2172" s="1"/>
      </tp>
      <tp>
        <v>3005509285.4000001</v>
        <stp/>
        <stp>EM_HKS_VAL_MV</stp>
        <stp>3</stp>
        <stp>300387</stp>
        <stp>2019-12-31</stp>
        <stp>2</stp>
        <tr r="L304" s="1"/>
      </tp>
      <tp>
        <v>7542861875</v>
        <stp/>
        <stp>EM_HKS_VAL_MV</stp>
        <stp>3</stp>
        <stp>300487</stp>
        <stp>2019-12-31</stp>
        <stp>2</stp>
        <tr r="L612" s="1"/>
      </tp>
      <tp>
        <v>2881968180</v>
        <stp/>
        <stp>EM_HKS_VAL_MV</stp>
        <stp>3</stp>
        <stp>300587</stp>
        <stp>2019-12-31</stp>
        <stp>2</stp>
        <tr r="L2762" s="1"/>
      </tp>
      <tp>
        <v>3372982125</v>
        <stp/>
        <stp>EM_HKS_VAL_MV</stp>
        <stp>3</stp>
        <stp>300687</stp>
        <stp>2019-12-31</stp>
        <stp>2</stp>
        <tr r="L3104" s="1"/>
      </tp>
      <tp>
        <v>1727598163.6199999</v>
        <stp/>
        <stp>EM_HKS_VAL_MV</stp>
        <stp>3</stp>
        <stp>300084</stp>
        <stp>2019-12-31</stp>
        <stp>2</stp>
        <tr r="L2639" s="1"/>
      </tp>
      <tp>
        <v>8541647109.5</v>
        <stp/>
        <stp>EM_HKS_VAL_MV</stp>
        <stp>3</stp>
        <stp>300184</stp>
        <stp>2019-12-31</stp>
        <stp>2</stp>
        <tr r="L2506" s="1"/>
      </tp>
      <tp>
        <v>7936386856.6000004</v>
        <stp/>
        <stp>EM_HKS_VAL_MV</stp>
        <stp>3</stp>
        <stp>300284</stp>
        <stp>2019-12-31</stp>
        <stp>2</stp>
        <tr r="L3100" s="1"/>
      </tp>
      <tp>
        <v>5713786845.1000004</v>
        <stp/>
        <stp>EM_HKS_VAL_MV</stp>
        <stp>3</stp>
        <stp>300384</stp>
        <stp>2019-12-31</stp>
        <stp>2</stp>
        <tr r="L530" s="1"/>
      </tp>
      <tp>
        <v>1903200000</v>
        <stp/>
        <stp>EM_HKS_VAL_MV</stp>
        <stp>3</stp>
        <stp>300484</stp>
        <stp>2019-12-31</stp>
        <stp>2</stp>
        <tr r="L3031" s="1"/>
      </tp>
      <tp>
        <v>3379200000</v>
        <stp/>
        <stp>EM_HKS_VAL_MV</stp>
        <stp>3</stp>
        <stp>300584</stp>
        <stp>2019-12-31</stp>
        <stp>2</stp>
        <tr r="L1602" s="1"/>
      </tp>
      <tp>
        <v>6540707880</v>
        <stp/>
        <stp>EM_HKS_VAL_MV</stp>
        <stp>3</stp>
        <stp>300684</stp>
        <stp>2019-12-31</stp>
        <stp>2</stp>
        <tr r="L2979" s="1"/>
      </tp>
      <tp>
        <v>10938795481.799999</v>
        <stp/>
        <stp>EM_HKS_VAL_MV</stp>
        <stp>3</stp>
        <stp>300085</stp>
        <stp>2019-12-31</stp>
        <stp>2</stp>
        <tr r="L175" s="1"/>
      </tp>
      <tp>
        <v>5849261631.1199999</v>
        <stp/>
        <stp>EM_HKS_VAL_MV</stp>
        <stp>3</stp>
        <stp>300185</stp>
        <stp>2019-12-31</stp>
        <stp>2</stp>
        <tr r="L1705" s="1"/>
      </tp>
      <tp>
        <v>22012343198.150002</v>
        <stp/>
        <stp>EM_HKS_VAL_MV</stp>
        <stp>3</stp>
        <stp>300285</stp>
        <stp>2019-12-31</stp>
        <stp>2</stp>
        <tr r="L750" s="1"/>
      </tp>
      <tp>
        <v>2521498278.8800001</v>
        <stp/>
        <stp>EM_HKS_VAL_MV</stp>
        <stp>3</stp>
        <stp>300385</stp>
        <stp>2019-12-31</stp>
        <stp>2</stp>
        <tr r="L2956" s="1"/>
      </tp>
      <tp>
        <v>4362335660</v>
        <stp/>
        <stp>EM_HKS_VAL_MV</stp>
        <stp>3</stp>
        <stp>300485</stp>
        <stp>2019-12-31</stp>
        <stp>2</stp>
        <tr r="L2810" s="1"/>
      </tp>
      <tp>
        <v>2697600000</v>
        <stp/>
        <stp>EM_HKS_VAL_MV</stp>
        <stp>3</stp>
        <stp>300585</stp>
        <stp>2019-12-31</stp>
        <stp>2</stp>
        <tr r="L290" s="1"/>
      </tp>
      <tp>
        <v>9836304920</v>
        <stp/>
        <stp>EM_HKS_VAL_MV</stp>
        <stp>3</stp>
        <stp>300685</stp>
        <stp>2019-12-31</stp>
        <stp>2</stp>
        <tr r="L436" s="1"/>
      </tp>
      <tp>
        <v>1392384000</v>
        <stp/>
        <stp>EM_HKS_VAL_MV</stp>
        <stp>3</stp>
        <stp>603088</stp>
        <stp>2019-12-31</stp>
        <stp>2</stp>
        <tr r="L3087" s="1"/>
      </tp>
      <tp>
        <v>3790080000</v>
        <stp/>
        <stp>EM_HKS_VAL_MV</stp>
        <stp>3</stp>
        <stp>603188</stp>
        <stp>2019-12-31</stp>
        <stp>2</stp>
        <tr r="L2816" s="1"/>
      </tp>
      <tp>
        <v>290316707743.40002</v>
        <stp/>
        <stp>EM_HKS_VAL_MV</stp>
        <stp>3</stp>
        <stp>603288</stp>
        <stp>2019-12-31</stp>
        <stp>2</stp>
        <tr r="L469" s="1"/>
      </tp>
      <tp>
        <v>2340769025</v>
        <stp/>
        <stp>EM_HKS_VAL_MV</stp>
        <stp>3</stp>
        <stp>603388</stp>
        <stp>2019-12-31</stp>
        <stp>2</stp>
        <tr r="L3051" s="1"/>
      </tp>
      <tp>
        <v>1836591390</v>
        <stp/>
        <stp>EM_HKS_VAL_MV</stp>
        <stp>3</stp>
        <stp>603488</stp>
        <stp>2019-12-31</stp>
        <stp>2</stp>
        <tr r="L1208" s="1"/>
      </tp>
      <tp>
        <v>6403703921.5</v>
        <stp/>
        <stp>EM_HKS_VAL_MV</stp>
        <stp>3</stp>
        <stp>603588</stp>
        <stp>2019-12-31</stp>
        <stp>2</stp>
        <tr r="L1304" s="1"/>
      </tp>
      <tp>
        <v>6341176080</v>
        <stp/>
        <stp>EM_HKS_VAL_MV</stp>
        <stp>3</stp>
        <stp>603688</stp>
        <stp>2019-12-31</stp>
        <stp>2</stp>
        <tr r="L342" s="1"/>
      </tp>
      <tp>
        <v>3689496224.7199998</v>
        <stp/>
        <stp>EM_HKS_VAL_MV</stp>
        <stp>3</stp>
        <stp>603788</stp>
        <stp>2019-12-31</stp>
        <stp>2</stp>
        <tr r="L1735" s="1"/>
      </tp>
      <tp>
        <v>10951519496</v>
        <stp/>
        <stp>EM_HKS_VAL_MV</stp>
        <stp>3</stp>
        <stp>603888</stp>
        <stp>2019-12-31</stp>
        <stp>2</stp>
        <tr r="L402" s="1"/>
      </tp>
      <tp>
        <v>2272032000</v>
        <stp/>
        <stp>EM_HKS_VAL_MV</stp>
        <stp>3</stp>
        <stp>603988</stp>
        <stp>2019-12-31</stp>
        <stp>2</stp>
        <tr r="L2544" s="1"/>
      </tp>
      <tp>
        <v>5293472184</v>
        <stp/>
        <stp>EM_HKS_VAL_MV</stp>
        <stp>3</stp>
        <stp>600088</stp>
        <stp>2019-12-31</stp>
        <stp>2</stp>
        <tr r="L412" s="1"/>
      </tp>
      <tp>
        <v>51870888960</v>
        <stp/>
        <stp>EM_HKS_VAL_MV</stp>
        <stp>3</stp>
        <stp>600188</stp>
        <stp>2019-12-31</stp>
        <stp>2</stp>
        <tr r="L1329" s="1"/>
      </tp>
      <tp>
        <v>5119296000</v>
        <stp/>
        <stp>EM_HKS_VAL_MV</stp>
        <stp>3</stp>
        <stp>600288</stp>
        <stp>2019-12-31</stp>
        <stp>2</stp>
        <tr r="L324" s="1"/>
      </tp>
      <tp>
        <v>10423237500</v>
        <stp/>
        <stp>EM_HKS_VAL_MV</stp>
        <stp>3</stp>
        <stp>600388</stp>
        <stp>2019-12-31</stp>
        <stp>2</stp>
        <tr r="L2538" s="1"/>
      </tp>
      <tp>
        <v>4542248588.8000002</v>
        <stp/>
        <stp>EM_HKS_VAL_MV</stp>
        <stp>3</stp>
        <stp>600488</stp>
        <stp>2019-12-31</stp>
        <stp>2</stp>
        <tr r="L1787" s="1"/>
      </tp>
      <tp>
        <v>71110707857.600006</v>
        <stp/>
        <stp>EM_HKS_VAL_MV</stp>
        <stp>3</stp>
        <stp>600588</stp>
        <stp>2019-12-31</stp>
        <stp>2</stp>
        <tr r="L868" s="1"/>
      </tp>
      <tp>
        <v>41888158245</v>
        <stp/>
        <stp>EM_HKS_VAL_MV</stp>
        <stp>3</stp>
        <stp>600688</stp>
        <stp>2019-12-31</stp>
        <stp>2</stp>
        <tr r="L3114" s="1"/>
      </tp>
      <tp>
        <v>988841876.75</v>
        <stp/>
        <stp>EM_HKS_VAL_MV</stp>
        <stp>3</stp>
        <stp>600788</stp>
        <stp>2019-12-31</stp>
        <stp>2</stp>
        <tr r="L2323" s="1"/>
      </tp>
      <tp>
        <v>4752822171.6000004</v>
        <stp/>
        <stp>EM_HKS_VAL_MV</stp>
        <stp>3</stp>
        <stp>600888</stp>
        <stp>2019-12-31</stp>
        <stp>2</stp>
        <tr r="L1734" s="1"/>
      </tp>
      <tp>
        <v>7822501951.2200003</v>
        <stp/>
        <stp>EM_HKS_VAL_MV</stp>
        <stp>3</stp>
        <stp>600988</stp>
        <stp>2019-12-31</stp>
        <stp>2</stp>
        <tr r="L1255" s="1"/>
      </tp>
      <tp>
        <v>362985573303.75</v>
        <stp/>
        <stp>EM_HKS_VAL_MV</stp>
        <stp>3</stp>
        <stp>601088</stp>
        <stp>2019-12-31</stp>
        <stp>2</stp>
        <tr r="L2181" s="1"/>
      </tp>
      <tp>
        <v>3987112070.1300001</v>
        <stp/>
        <stp>EM_HKS_VAL_MV</stp>
        <stp>3</stp>
        <stp>601188</stp>
        <stp>2019-12-31</stp>
        <stp>2</stp>
        <tr r="L2146" s="1"/>
      </tp>
      <tp>
        <v>1291437394991.3701</v>
        <stp/>
        <stp>EM_HKS_VAL_MV</stp>
        <stp>3</stp>
        <stp>601288</stp>
        <stp>2019-12-31</stp>
        <stp>2</stp>
        <tr r="L2090" s="1"/>
      </tp>
      <tp>
        <v>3909022000</v>
        <stp/>
        <stp>EM_HKS_VAL_MV</stp>
        <stp>3</stp>
        <stp>601388</stp>
        <stp>2019-12-31</stp>
        <stp>2</stp>
        <tr r="L2423" s="1"/>
      </tp>
      <tp>
        <v>11043825600</v>
        <stp/>
        <stp>EM_HKS_VAL_MV</stp>
        <stp>3</stp>
        <stp>601588</stp>
        <stp>2019-12-31</stp>
        <stp>2</stp>
        <tr r="L1361" s="1"/>
      </tp>
      <tp>
        <v>184346761500</v>
        <stp/>
        <stp>EM_HKS_VAL_MV</stp>
        <stp>3</stp>
        <stp>601688</stp>
        <stp>2019-12-31</stp>
        <stp>2</stp>
        <tr r="L1013" s="1"/>
      </tp>
      <tp>
        <v>60401318070.900002</v>
        <stp/>
        <stp>EM_HKS_VAL_MV</stp>
        <stp>3</stp>
        <stp>601788</stp>
        <stp>2019-12-31</stp>
        <stp>2</stp>
        <tr r="L576" s="1"/>
      </tp>
      <tp>
        <v>173672699638.79999</v>
        <stp/>
        <stp>EM_HKS_VAL_MV</stp>
        <stp>3</stp>
        <stp>601888</stp>
        <stp>2019-12-31</stp>
        <stp>2</stp>
        <tr r="L601" s="1"/>
      </tp>
      <tp>
        <v>1086290949679.29</v>
        <stp/>
        <stp>EM_HKS_VAL_MV</stp>
        <stp>3</stp>
        <stp>601988</stp>
        <stp>2019-12-31</stp>
        <stp>2</stp>
        <tr r="L2120" s="1"/>
      </tp>
      <tp>
        <v>2210255735</v>
        <stp/>
        <stp>EM_HKS_VAL_MV</stp>
        <stp>3</stp>
        <stp>603089</stp>
        <stp>2019-12-31</stp>
        <stp>2</stp>
        <tr r="L2683" s="1"/>
      </tp>
      <tp>
        <v>3746976000</v>
        <stp/>
        <stp>EM_HKS_VAL_MV</stp>
        <stp>3</stp>
        <stp>603189</stp>
        <stp>2019-12-31</stp>
        <stp>2</stp>
        <tr r="L591" s="1"/>
      </tp>
      <tp>
        <v>2467900000</v>
        <stp/>
        <stp>EM_HKS_VAL_MV</stp>
        <stp>3</stp>
        <stp>603289</stp>
        <stp>2019-12-31</stp>
        <stp>2</stp>
        <tr r="L1451" s="1"/>
      </tp>
      <tp>
        <v>1534471680</v>
        <stp/>
        <stp>EM_HKS_VAL_MV</stp>
        <stp>3</stp>
        <stp>603389</stp>
        <stp>2019-12-31</stp>
        <stp>2</stp>
        <tr r="L3343" s="1"/>
      </tp>
      <tp>
        <v>32946000000</v>
        <stp/>
        <stp>EM_HKS_VAL_MV</stp>
        <stp>3</stp>
        <stp>603589</stp>
        <stp>2019-12-31</stp>
        <stp>2</stp>
        <tr r="L454" s="1"/>
      </tp>
      <tp>
        <v>3746400000</v>
        <stp/>
        <stp>EM_HKS_VAL_MV</stp>
        <stp>3</stp>
        <stp>603689</stp>
        <stp>2019-12-31</stp>
        <stp>2</stp>
        <tr r="L2038" s="1"/>
      </tp>
      <tp>
        <v>3723200000</v>
        <stp/>
        <stp>EM_HKS_VAL_MV</stp>
        <stp>3</stp>
        <stp>603789</stp>
        <stp>2019-12-31</stp>
        <stp>2</stp>
        <tr r="L1413" s="1"/>
      </tp>
      <tp>
        <v>2922071875.48</v>
        <stp/>
        <stp>EM_HKS_VAL_MV</stp>
        <stp>3</stp>
        <stp>603889</stp>
        <stp>2019-12-31</stp>
        <stp>2</stp>
        <tr r="L3265" s="1"/>
      </tp>
      <tp>
        <v>8509847174.8400002</v>
        <stp/>
        <stp>EM_HKS_VAL_MV</stp>
        <stp>3</stp>
        <stp>603989</stp>
        <stp>2019-12-31</stp>
        <stp>2</stp>
        <tr r="L1726" s="1"/>
      </tp>
      <tp>
        <v>24700180046.849998</v>
        <stp/>
        <stp>EM_HKS_VAL_MV</stp>
        <stp>3</stp>
        <stp>600089</stp>
        <stp>2019-12-31</stp>
        <stp>2</stp>
        <tr r="L2447" s="1"/>
      </tp>
      <tp>
        <v>2724124532.5999999</v>
        <stp/>
        <stp>EM_HKS_VAL_MV</stp>
        <stp>3</stp>
        <stp>600189</stp>
        <stp>2019-12-31</stp>
        <stp>2</stp>
        <tr r="L2168" s="1"/>
      </tp>
      <tp>
        <v>2227613803.5700002</v>
        <stp/>
        <stp>EM_HKS_VAL_MV</stp>
        <stp>3</stp>
        <stp>600289</stp>
        <stp>2019-12-31</stp>
        <stp>2</stp>
        <tr r="L840" s="1"/>
      </tp>
      <tp>
        <v>6138990000</v>
        <stp/>
        <stp>EM_HKS_VAL_MV</stp>
        <stp>3</stp>
        <stp>600389</stp>
        <stp>2019-12-31</stp>
        <stp>2</stp>
        <tr r="L1130" s="1"/>
      </tp>
      <tp>
        <v>29265643362.720001</v>
        <stp/>
        <stp>EM_HKS_VAL_MV</stp>
        <stp>3</stp>
        <stp>600489</stp>
        <stp>2019-12-31</stp>
        <stp>2</stp>
        <tr r="L2454" s="1"/>
      </tp>
      <tp>
        <v>3829941048.6399999</v>
        <stp/>
        <stp>EM_HKS_VAL_MV</stp>
        <stp>3</stp>
        <stp>600589</stp>
        <stp>2019-12-31</stp>
        <stp>2</stp>
        <tr r="L818" s="1"/>
      </tp>
      <tp>
        <v>1969715161.4000001</v>
        <stp/>
        <stp>EM_HKS_VAL_MV</stp>
        <stp>3</stp>
        <stp>600689</stp>
        <stp>2019-12-31</stp>
        <stp>2</stp>
        <tr r="L2646" s="1"/>
      </tp>
      <tp>
        <v>6346456389.3500004</v>
        <stp/>
        <stp>EM_HKS_VAL_MV</stp>
        <stp>3</stp>
        <stp>600789</stp>
        <stp>2019-12-31</stp>
        <stp>2</stp>
        <tr r="L2875" s="1"/>
      </tp>
      <tp>
        <v>1692518566.2</v>
        <stp/>
        <stp>EM_HKS_VAL_MV</stp>
        <stp>3</stp>
        <stp>600889</stp>
        <stp>2019-12-31</stp>
        <stp>2</stp>
        <tr r="L2344" s="1"/>
      </tp>
      <tp>
        <v>18388436465.07</v>
        <stp/>
        <stp>EM_HKS_VAL_MV</stp>
        <stp>3</stp>
        <stp>601689</stp>
        <stp>2019-12-31</stp>
        <stp>2</stp>
        <tr r="L1375" s="1"/>
      </tp>
      <tp>
        <v>3718864800</v>
        <stp/>
        <stp>EM_HKS_VAL_MV</stp>
        <stp>3</stp>
        <stp>601789</stp>
        <stp>2019-12-31</stp>
        <stp>2</stp>
        <tr r="L1262" s="1"/>
      </tp>
      <tp>
        <v>119482665097.75999</v>
        <stp/>
        <stp>EM_HKS_VAL_MV</stp>
        <stp>3</stp>
        <stp>601989</stp>
        <stp>2019-12-31</stp>
        <stp>2</stp>
        <tr r="L1155" s="1"/>
      </tp>
      <tp>
        <v>23452848033.939999</v>
        <stp/>
        <stp>EM_HKS_VAL_MV</stp>
        <stp>3</stp>
        <stp>603882</stp>
        <stp>2019-12-31</stp>
        <stp>2</stp>
        <tr r="L116" s="1"/>
      </tp>
      <tp>
        <v>2597385620.52</v>
        <stp/>
        <stp>EM_HKS_VAL_MV</stp>
        <stp>3</stp>
        <stp>600082</stp>
        <stp>2019-12-31</stp>
        <stp>2</stp>
        <tr r="L2681" s="1"/>
      </tp>
      <tp>
        <v>5514800000</v>
        <stp/>
        <stp>EM_HKS_VAL_MV</stp>
        <stp>3</stp>
        <stp>600182</stp>
        <stp>2019-12-31</stp>
        <stp>2</stp>
        <tr r="L1800" s="1"/>
      </tp>
      <tp>
        <v>15281666176.65</v>
        <stp/>
        <stp>EM_HKS_VAL_MV</stp>
        <stp>3</stp>
        <stp>600282</stp>
        <stp>2019-12-31</stp>
        <stp>2</stp>
        <tr r="L2261" s="1"/>
      </tp>
      <tp>
        <v>4242036433.3499999</v>
        <stp/>
        <stp>EM_HKS_VAL_MV</stp>
        <stp>3</stp>
        <stp>600382</stp>
        <stp>2019-12-31</stp>
        <stp>2</stp>
        <tr r="L2733" s="1"/>
      </tp>
      <tp>
        <v>33899919240</v>
        <stp/>
        <stp>EM_HKS_VAL_MV</stp>
        <stp>3</stp>
        <stp>600482</stp>
        <stp>2019-12-31</stp>
        <stp>2</stp>
        <tr r="L2777" s="1"/>
      </tp>
      <tp>
        <v>13202098565.48</v>
        <stp/>
        <stp>EM_HKS_VAL_MV</stp>
        <stp>3</stp>
        <stp>600582</stp>
        <stp>2019-12-31</stp>
        <stp>2</stp>
        <tr r="L2641" s="1"/>
      </tp>
      <tp>
        <v>13609396754.309999</v>
        <stp/>
        <stp>EM_HKS_VAL_MV</stp>
        <stp>3</stp>
        <stp>600682</stp>
        <stp>2019-12-31</stp>
        <stp>2</stp>
        <tr r="L1585" s="1"/>
      </tp>
      <tp>
        <v>16358147430.48</v>
        <stp/>
        <stp>EM_HKS_VAL_MV</stp>
        <stp>3</stp>
        <stp>600782</stp>
        <stp>2019-12-31</stp>
        <stp>2</stp>
        <tr r="L2374" s="1"/>
      </tp>
      <tp>
        <v>5968425716.1000004</v>
        <stp/>
        <stp>EM_HKS_VAL_MV</stp>
        <stp>3</stp>
        <stp>600882</stp>
        <stp>2019-12-31</stp>
        <stp>2</stp>
        <tr r="L211" s="1"/>
      </tp>
      <tp>
        <v>3281820443.2199998</v>
        <stp/>
        <stp>EM_HKS_VAL_MV</stp>
        <stp>3</stp>
        <stp>600982</stp>
        <stp>2019-12-31</stp>
        <stp>2</stp>
        <tr r="L2729" s="1"/>
      </tp>
      <tp>
        <v>3784500000</v>
        <stp/>
        <stp>EM_HKS_VAL_MV</stp>
        <stp>3</stp>
        <stp>601882</stp>
        <stp>2019-12-31</stp>
        <stp>2</stp>
        <tr r="L2144" s="1"/>
      </tp>
      <tp>
        <v>4830989279.3999996</v>
        <stp/>
        <stp>EM_HKS_VAL_MV</stp>
        <stp>3</stp>
        <stp>603083</stp>
        <stp>2019-12-31</stp>
        <stp>2</stp>
        <tr r="L1659" s="1"/>
      </tp>
      <tp>
        <v>2030806536.6400001</v>
        <stp/>
        <stp>EM_HKS_VAL_MV</stp>
        <stp>3</stp>
        <stp>603183</stp>
        <stp>2019-12-31</stp>
        <stp>2</stp>
        <tr r="L3318" s="1"/>
      </tp>
      <tp>
        <v>5502825531.25</v>
        <stp/>
        <stp>EM_HKS_VAL_MV</stp>
        <stp>3</stp>
        <stp>603283</stp>
        <stp>2019-12-31</stp>
        <stp>2</stp>
        <tr r="L288" s="1"/>
      </tp>
      <tp>
        <v>8769916962.7999992</v>
        <stp/>
        <stp>EM_HKS_VAL_MV</stp>
        <stp>3</stp>
        <stp>603383</stp>
        <stp>2019-12-31</stp>
        <stp>2</stp>
        <tr r="L88" s="1"/>
      </tp>
      <tp>
        <v>1720178600</v>
        <stp/>
        <stp>EM_HKS_VAL_MV</stp>
        <stp>3</stp>
        <stp>603683</stp>
        <stp>2019-12-31</stp>
        <stp>2</stp>
        <tr r="L2437" s="1"/>
      </tp>
      <tp>
        <v>18370924426.799999</v>
        <stp/>
        <stp>EM_HKS_VAL_MV</stp>
        <stp>3</stp>
        <stp>603883</stp>
        <stp>2019-12-31</stp>
        <stp>2</stp>
        <tr r="L819" s="1"/>
      </tp>
      <tp>
        <v>4899000000</v>
        <stp/>
        <stp>EM_HKS_VAL_MV</stp>
        <stp>3</stp>
        <stp>600083</stp>
        <stp>2019-12-31</stp>
        <stp>2</stp>
        <tr r="L1494" s="1"/>
      </tp>
      <tp>
        <v>47617922832.800003</v>
        <stp/>
        <stp>EM_HKS_VAL_MV</stp>
        <stp>3</stp>
        <stp>600183</stp>
        <stp>2019-12-31</stp>
        <stp>2</stp>
        <tr r="L138" s="1"/>
      </tp>
      <tp>
        <v>3692335628.6799998</v>
        <stp/>
        <stp>EM_HKS_VAL_MV</stp>
        <stp>3</stp>
        <stp>600283</stp>
        <stp>2019-12-31</stp>
        <stp>2</stp>
        <tr r="L2697" s="1"/>
      </tp>
      <tp>
        <v>65461461794</v>
        <stp/>
        <stp>EM_HKS_VAL_MV</stp>
        <stp>3</stp>
        <stp>600383</stp>
        <stp>2019-12-31</stp>
        <stp>2</stp>
        <tr r="L593" s="1"/>
      </tp>
      <tp>
        <v>14276871015.200001</v>
        <stp/>
        <stp>EM_HKS_VAL_MV</stp>
        <stp>3</stp>
        <stp>600483</stp>
        <stp>2019-12-31</stp>
        <stp>2</stp>
        <tr r="L1892" s="1"/>
      </tp>
      <tp>
        <v>32629598424</v>
        <stp/>
        <stp>EM_HKS_VAL_MV</stp>
        <stp>3</stp>
        <stp>600583</stp>
        <stp>2019-12-31</stp>
        <stp>2</stp>
        <tr r="L616" s="1"/>
      </tp>
      <tp>
        <v>3355722514.4099998</v>
        <stp/>
        <stp>EM_HKS_VAL_MV</stp>
        <stp>3</stp>
        <stp>600683</stp>
        <stp>2019-12-31</stp>
        <stp>2</stp>
        <tr r="L2385" s="1"/>
      </tp>
      <tp>
        <v>11716215287.559999</v>
        <stp/>
        <stp>EM_HKS_VAL_MV</stp>
        <stp>3</stp>
        <stp>600783</stp>
        <stp>2019-12-31</stp>
        <stp>2</stp>
        <tr r="L2462" s="1"/>
      </tp>
      <tp>
        <v>1803712320</v>
        <stp/>
        <stp>EM_HKS_VAL_MV</stp>
        <stp>3</stp>
        <stp>600883</stp>
        <stp>2019-12-31</stp>
        <stp>2</stp>
        <tr r="L1056" s="1"/>
      </tp>
      <tp>
        <v>3778544270</v>
        <stp/>
        <stp>EM_HKS_VAL_MV</stp>
        <stp>3</stp>
        <stp>600983</stp>
        <stp>2019-12-31</stp>
        <stp>2</stp>
        <tr r="L2645" s="1"/>
      </tp>
      <tp>
        <v>2347485000</v>
        <stp/>
        <stp>EM_HKS_VAL_MV</stp>
        <stp>3</stp>
        <stp>603080</stp>
        <stp>2019-12-31</stp>
        <stp>2</stp>
        <tr r="L3079" s="1"/>
      </tp>
      <tp>
        <v>4488676533.1800003</v>
        <stp/>
        <stp>EM_HKS_VAL_MV</stp>
        <stp>3</stp>
        <stp>603180</stp>
        <stp>2019-12-31</stp>
        <stp>2</stp>
        <tr r="L1458" s="1"/>
      </tp>
      <tp>
        <v>2672000000</v>
        <stp/>
        <stp>EM_HKS_VAL_MV</stp>
        <stp>3</stp>
        <stp>603380</stp>
        <stp>2019-12-31</stp>
        <stp>2</stp>
        <tr r="L1980" s="1"/>
      </tp>
      <tp>
        <v>1643868856</v>
        <stp/>
        <stp>EM_HKS_VAL_MV</stp>
        <stp>3</stp>
        <stp>603580</stp>
        <stp>2019-12-31</stp>
        <stp>2</stp>
        <tr r="L3094" s="1"/>
      </tp>
      <tp>
        <v>8234004987</v>
        <stp/>
        <stp>EM_HKS_VAL_MV</stp>
        <stp>3</stp>
        <stp>603680</stp>
        <stp>2019-12-31</stp>
        <stp>2</stp>
        <tr r="L3264" s="1"/>
      </tp>
      <tp>
        <v>1975610000</v>
        <stp/>
        <stp>EM_HKS_VAL_MV</stp>
        <stp>3</stp>
        <stp>603880</stp>
        <stp>2019-12-31</stp>
        <stp>2</stp>
        <tr r="L2774" s="1"/>
      </tp>
      <tp>
        <v>5775000000</v>
        <stp/>
        <stp>EM_HKS_VAL_MV</stp>
        <stp>3</stp>
        <stp>603980</stp>
        <stp>2019-12-31</stp>
        <stp>2</stp>
        <tr r="L3238" s="1"/>
      </tp>
      <tp>
        <v>2250819818.5500002</v>
        <stp/>
        <stp>EM_HKS_VAL_MV</stp>
        <stp>3</stp>
        <stp>600080</stp>
        <stp>2019-12-31</stp>
        <stp>2</stp>
        <tr r="L2993" s="1"/>
      </tp>
      <tp>
        <v>7095012698.7200003</v>
        <stp/>
        <stp>EM_HKS_VAL_MV</stp>
        <stp>3</stp>
        <stp>600180</stp>
        <stp>2019-12-31</stp>
        <stp>2</stp>
        <tr r="L2347" s="1"/>
      </tp>
      <tp>
        <v>3192370944.1599998</v>
        <stp/>
        <stp>EM_HKS_VAL_MV</stp>
        <stp>3</stp>
        <stp>600280</stp>
        <stp>2019-12-31</stp>
        <stp>2</stp>
        <tr r="L2933" s="1"/>
      </tp>
      <tp>
        <v>20058645048.299999</v>
        <stp/>
        <stp>EM_HKS_VAL_MV</stp>
        <stp>3</stp>
        <stp>600380</stp>
        <stp>2019-12-31</stp>
        <stp>2</stp>
        <tr r="L567" s="1"/>
      </tp>
      <tp>
        <v>4212331952.6399999</v>
        <stp/>
        <stp>EM_HKS_VAL_MV</stp>
        <stp>3</stp>
        <stp>600480</stp>
        <stp>2019-12-31</stp>
        <stp>2</stp>
        <tr r="L2408" s="1"/>
      </tp>
      <tp>
        <v>15543778223.719999</v>
        <stp/>
        <stp>EM_HKS_VAL_MV</stp>
        <stp>3</stp>
        <stp>600580</stp>
        <stp>2019-12-31</stp>
        <stp>2</stp>
        <tr r="L186" s="1"/>
      </tp>
      <tp>
        <v>2939312841.5300002</v>
        <stp/>
        <stp>EM_HKS_VAL_MV</stp>
        <stp>3</stp>
        <stp>600680</stp>
        <stp>2019-12-31</stp>
        <stp>2</stp>
        <tr r="L2316" s="1"/>
      </tp>
      <tp>
        <v>4035688880.96</v>
        <stp/>
        <stp>EM_HKS_VAL_MV</stp>
        <stp>3</stp>
        <stp>600780</stp>
        <stp>2019-12-31</stp>
        <stp>2</stp>
        <tr r="L1853" s="1"/>
      </tp>
      <tp>
        <v>4362395047.0799999</v>
        <stp/>
        <stp>EM_HKS_VAL_MV</stp>
        <stp>3</stp>
        <stp>600880</stp>
        <stp>2019-12-31</stp>
        <stp>2</stp>
        <tr r="L1852" s="1"/>
      </tp>
      <tp>
        <v>2182250912.8000002</v>
        <stp/>
        <stp>EM_HKS_VAL_MV</stp>
        <stp>3</stp>
        <stp>600980</stp>
        <stp>2019-12-31</stp>
        <stp>2</stp>
        <tr r="L669" s="1"/>
      </tp>
      <tp>
        <v>26175908077.970001</v>
        <stp/>
        <stp>EM_HKS_VAL_MV</stp>
        <stp>3</stp>
        <stp>601880</stp>
        <stp>2019-12-31</stp>
        <stp>2</stp>
        <tr r="L1781" s="1"/>
      </tp>
      <tp>
        <v>6553438375.6800003</v>
        <stp/>
        <stp>EM_HKS_VAL_MV</stp>
        <stp>3</stp>
        <stp>603081</stp>
        <stp>2019-12-31</stp>
        <stp>2</stp>
        <tr r="L617" s="1"/>
      </tp>
      <tp>
        <v>4844000000</v>
        <stp/>
        <stp>EM_HKS_VAL_MV</stp>
        <stp>3</stp>
        <stp>603181</stp>
        <stp>2019-12-31</stp>
        <stp>2</stp>
        <tr r="L1219" s="1"/>
      </tp>
      <tp>
        <v>7991757978.6000004</v>
        <stp/>
        <stp>EM_HKS_VAL_MV</stp>
        <stp>3</stp>
        <stp>603881</stp>
        <stp>2019-12-31</stp>
        <stp>2</stp>
        <tr r="L513" s="1"/>
      </tp>
      <tp>
        <v>3627889200</v>
        <stp/>
        <stp>EM_HKS_VAL_MV</stp>
        <stp>3</stp>
        <stp>600081</stp>
        <stp>2019-12-31</stp>
        <stp>2</stp>
        <tr r="L405" s="1"/>
      </tp>
      <tp>
        <v>355098948.48000002</v>
        <stp/>
        <stp>EM_HKS_VAL_MV</stp>
        <stp>3</stp>
        <stp>600181</stp>
        <stp>2019-12-31</stp>
        <stp>2</stp>
        <tr r="L2294" s="1"/>
      </tp>
      <tp>
        <v>2119336343</v>
        <stp/>
        <stp>EM_HKS_VAL_MV</stp>
        <stp>3</stp>
        <stp>600281</stp>
        <stp>2019-12-31</stp>
        <stp>2</stp>
        <tr r="L1503" s="1"/>
      </tp>
      <tp>
        <v>3164257393.9899998</v>
        <stp/>
        <stp>EM_HKS_VAL_MV</stp>
        <stp>3</stp>
        <stp>600381</stp>
        <stp>2019-12-31</stp>
        <stp>2</stp>
        <tr r="L2664" s="1"/>
      </tp>
      <tp>
        <v>5435954882.5600004</v>
        <stp/>
        <stp>EM_HKS_VAL_MV</stp>
        <stp>3</stp>
        <stp>600481</stp>
        <stp>2019-12-31</stp>
        <stp>2</stp>
        <tr r="L2397" s="1"/>
      </tp>
      <tp>
        <v>5457116417.1999998</v>
        <stp/>
        <stp>EM_HKS_VAL_MV</stp>
        <stp>3</stp>
        <stp>600581</stp>
        <stp>2019-12-31</stp>
        <stp>2</stp>
        <tr r="L2480" s="1"/>
      </tp>
      <tp>
        <v>9810634108</v>
        <stp/>
        <stp>EM_HKS_VAL_MV</stp>
        <stp>3</stp>
        <stp>600681</stp>
        <stp>2019-12-31</stp>
        <stp>2</stp>
        <tr r="L3333" s="1"/>
      </tp>
      <tp>
        <v>3643785144.7199998</v>
        <stp/>
        <stp>EM_HKS_VAL_MV</stp>
        <stp>3</stp>
        <stp>600781</stp>
        <stp>2019-12-31</stp>
        <stp>2</stp>
        <tr r="L3379" s="1"/>
      </tp>
      <tp>
        <v>10364034345.719999</v>
        <stp/>
        <stp>EM_HKS_VAL_MV</stp>
        <stp>3</stp>
        <stp>600881</stp>
        <stp>2019-12-31</stp>
        <stp>2</stp>
        <tr r="L2561" s="1"/>
      </tp>
      <tp>
        <v>8341851474.2399998</v>
        <stp/>
        <stp>EM_HKS_VAL_MV</stp>
        <stp>3</stp>
        <stp>600981</stp>
        <stp>2019-12-31</stp>
        <stp>2</stp>
        <tr r="L2364" s="1"/>
      </tp>
      <tp>
        <v>117693574168.77</v>
        <stp/>
        <stp>EM_HKS_VAL_MV</stp>
        <stp>3</stp>
        <stp>601881</stp>
        <stp>2019-12-31</stp>
        <stp>2</stp>
        <tr r="L338" s="1"/>
      </tp>
      <tp>
        <v>2797760000</v>
        <stp/>
        <stp>EM_HKS_VAL_MV</stp>
        <stp>3</stp>
        <stp>603086</stp>
        <stp>2019-12-31</stp>
        <stp>2</stp>
        <tr r="L1630" s="1"/>
      </tp>
      <tp>
        <v>4935996000</v>
        <stp/>
        <stp>EM_HKS_VAL_MV</stp>
        <stp>3</stp>
        <stp>603186</stp>
        <stp>2019-12-31</stp>
        <stp>2</stp>
        <tr r="L82" s="1"/>
      </tp>
      <tp>
        <v>1373104840</v>
        <stp/>
        <stp>EM_HKS_VAL_MV</stp>
        <stp>3</stp>
        <stp>603286</stp>
        <stp>2019-12-31</stp>
        <stp>2</stp>
        <tr r="L1812" s="1"/>
      </tp>
      <tp>
        <v>3609497249.5999999</v>
        <stp/>
        <stp>EM_HKS_VAL_MV</stp>
        <stp>3</stp>
        <stp>603386</stp>
        <stp>2019-12-31</stp>
        <stp>2</stp>
        <tr r="L2198" s="1"/>
      </tp>
      <tp>
        <v>11453250504</v>
        <stp/>
        <stp>EM_HKS_VAL_MV</stp>
        <stp>3</stp>
        <stp>603486</stp>
        <stp>2019-12-31</stp>
        <stp>2</stp>
        <tr r="L3384" s="1"/>
      </tp>
      <tp>
        <v>3644885343</v>
        <stp/>
        <stp>EM_HKS_VAL_MV</stp>
        <stp>3</stp>
        <stp>603586</stp>
        <stp>2019-12-31</stp>
        <stp>2</stp>
        <tr r="L698" s="1"/>
      </tp>
      <tp>
        <v>4538960648.04</v>
        <stp/>
        <stp>EM_HKS_VAL_MV</stp>
        <stp>3</stp>
        <stp>603686</stp>
        <stp>2019-12-31</stp>
        <stp>2</stp>
        <tr r="L2229" s="1"/>
      </tp>
      <tp>
        <v>4250400000</v>
        <stp/>
        <stp>EM_HKS_VAL_MV</stp>
        <stp>3</stp>
        <stp>603886</stp>
        <stp>2019-12-31</stp>
        <stp>2</stp>
        <tr r="L2380" s="1"/>
      </tp>
      <tp>
        <v>65785225989.139999</v>
        <stp/>
        <stp>EM_HKS_VAL_MV</stp>
        <stp>3</stp>
        <stp>603986</stp>
        <stp>2019-12-31</stp>
        <stp>2</stp>
        <tr r="L35" s="1"/>
      </tp>
      <tp>
        <v>3739500000</v>
        <stp/>
        <stp>EM_HKS_VAL_MV</stp>
        <stp>3</stp>
        <stp>600086</stp>
        <stp>2019-12-31</stp>
        <stp>2</stp>
        <tr r="L3319" s="1"/>
      </tp>
      <tp>
        <v>2941807341.4699998</v>
        <stp/>
        <stp>EM_HKS_VAL_MV</stp>
        <stp>3</stp>
        <stp>600186</stp>
        <stp>2019-12-31</stp>
        <stp>2</stp>
        <tr r="L709" s="1"/>
      </tp>
      <tp>
        <v>548649600</v>
        <stp/>
        <stp>EM_HKS_VAL_MV</stp>
        <stp>3</stp>
        <stp>600286</stp>
        <stp>2019-12-31</stp>
        <stp>2</stp>
        <tr r="L2299" s="1"/>
      </tp>
      <tp>
        <v>2999808000</v>
        <stp/>
        <stp>EM_HKS_VAL_MV</stp>
        <stp>3</stp>
        <stp>600386</stp>
        <stp>2019-12-31</stp>
        <stp>2</stp>
        <tr r="L1578" s="1"/>
      </tp>
      <tp>
        <v>21268361987.41</v>
        <stp/>
        <stp>EM_HKS_VAL_MV</stp>
        <stp>3</stp>
        <stp>600486</stp>
        <stp>2019-12-31</stp>
        <stp>2</stp>
        <tr r="L235" s="1"/>
      </tp>
      <tp>
        <v>4114857600</v>
        <stp/>
        <stp>EM_HKS_VAL_MV</stp>
        <stp>3</stp>
        <stp>600586</stp>
        <stp>2019-12-31</stp>
        <stp>2</stp>
        <tr r="L2118" s="1"/>
      </tp>
      <tp>
        <v>4259304347.2199998</v>
        <stp/>
        <stp>EM_HKS_VAL_MV</stp>
        <stp>3</stp>
        <stp>600686</stp>
        <stp>2019-12-31</stp>
        <stp>2</stp>
        <tr r="L2161" s="1"/>
      </tp>
      <tp>
        <v>34120295740</v>
        <stp/>
        <stp>EM_HKS_VAL_MV</stp>
        <stp>3</stp>
        <stp>600786</stp>
        <stp>2019-12-31</stp>
        <stp>2</stp>
        <tr r="L2322" s="1"/>
      </tp>
      <tp>
        <v>62295694325.459999</v>
        <stp/>
        <stp>EM_HKS_VAL_MV</stp>
        <stp>3</stp>
        <stp>600886</stp>
        <stp>2019-12-31</stp>
        <stp>2</stp>
        <tr r="L1548" s="1"/>
      </tp>
      <tp>
        <v>6572954110.5600004</v>
        <stp/>
        <stp>EM_HKS_VAL_MV</stp>
        <stp>3</stp>
        <stp>600986</stp>
        <stp>2019-12-31</stp>
        <stp>2</stp>
        <tr r="L1246" s="1"/>
      </tp>
      <tp>
        <v>3396600000</v>
        <stp/>
        <stp>EM_HKS_VAL_MV</stp>
        <stp>3</stp>
        <stp>601086</stp>
        <stp>2019-12-31</stp>
        <stp>2</stp>
        <tr r="L2246" s="1"/>
      </tp>
      <tp>
        <v>137696550810</v>
        <stp/>
        <stp>EM_HKS_VAL_MV</stp>
        <stp>3</stp>
        <stp>601186</stp>
        <stp>2019-12-31</stp>
        <stp>2</stp>
        <tr r="L2665" s="1"/>
      </tp>
      <tp>
        <v>8378403000</v>
        <stp/>
        <stp>EM_HKS_VAL_MV</stp>
        <stp>3</stp>
        <stp>601886</stp>
        <stp>2019-12-31</stp>
        <stp>2</stp>
        <tr r="L2479" s="1"/>
      </tp>
      <tp>
        <v>6001760636.5500002</v>
        <stp/>
        <stp>EM_HKS_VAL_MV</stp>
        <stp>3</stp>
        <stp>603387</stp>
        <stp>2019-12-31</stp>
        <stp>2</stp>
        <tr r="L2919" s="1"/>
      </tp>
      <tp>
        <v>10177380000</v>
        <stp/>
        <stp>EM_HKS_VAL_MV</stp>
        <stp>3</stp>
        <stp>603587</stp>
        <stp>2019-12-31</stp>
        <stp>2</stp>
        <tr r="L1574" s="1"/>
      </tp>
      <tp>
        <v>2821320000</v>
        <stp/>
        <stp>EM_HKS_VAL_MV</stp>
        <stp>3</stp>
        <stp>603787</stp>
        <stp>2019-12-31</stp>
        <stp>2</stp>
        <tr r="L662" s="1"/>
      </tp>
      <tp>
        <v>6646059060.9399996</v>
        <stp/>
        <stp>EM_HKS_VAL_MV</stp>
        <stp>3</stp>
        <stp>603887</stp>
        <stp>2019-12-31</stp>
        <stp>2</stp>
        <tr r="L293" s="1"/>
      </tp>
      <tp>
        <v>3585865080</v>
        <stp/>
        <stp>EM_HKS_VAL_MV</stp>
        <stp>3</stp>
        <stp>603987</stp>
        <stp>2019-12-31</stp>
        <stp>2</stp>
        <tr r="L1117" s="1"/>
      </tp>
      <tp>
        <v>4169422019.9200001</v>
        <stp/>
        <stp>EM_HKS_VAL_MV</stp>
        <stp>3</stp>
        <stp>600087</stp>
        <stp>2019-12-31</stp>
        <stp>2</stp>
        <tr r="L2290" s="1"/>
      </tp>
      <tp>
        <v>4234073927.6799998</v>
        <stp/>
        <stp>EM_HKS_VAL_MV</stp>
        <stp>3</stp>
        <stp>600187</stp>
        <stp>2019-12-31</stp>
        <stp>2</stp>
        <tr r="L2117" s="1"/>
      </tp>
      <tp>
        <v>2633880326.2199998</v>
        <stp/>
        <stp>EM_HKS_VAL_MV</stp>
        <stp>3</stp>
        <stp>600287</stp>
        <stp>2019-12-31</stp>
        <stp>2</stp>
        <tr r="L1135" s="1"/>
      </tp>
      <tp>
        <v>3915728051.1999998</v>
        <stp/>
        <stp>EM_HKS_VAL_MV</stp>
        <stp>3</stp>
        <stp>600387</stp>
        <stp>2019-12-31</stp>
        <stp>2</stp>
        <tr r="L1984" s="1"/>
      </tp>
      <tp>
        <v>30954058895.34</v>
        <stp/>
        <stp>EM_HKS_VAL_MV</stp>
        <stp>3</stp>
        <stp>600487</stp>
        <stp>2019-12-31</stp>
        <stp>2</stp>
        <tr r="L2604" s="1"/>
      </tp>
      <tp>
        <v>5803793139.4799995</v>
        <stp/>
        <stp>EM_HKS_VAL_MV</stp>
        <stp>3</stp>
        <stp>600587</stp>
        <stp>2019-12-31</stp>
        <stp>2</stp>
        <tr r="L1818" s="1"/>
      </tp>
      <tp>
        <v>2590364628.96</v>
        <stp/>
        <stp>EM_HKS_VAL_MV</stp>
        <stp>3</stp>
        <stp>600687</stp>
        <stp>2019-12-31</stp>
        <stp>2</stp>
        <tr r="L3392" s="1"/>
      </tp>
      <tp>
        <v>11460963381.93</v>
        <stp/>
        <stp>EM_HKS_VAL_MV</stp>
        <stp>3</stp>
        <stp>600787</stp>
        <stp>2019-12-31</stp>
        <stp>2</stp>
        <tr r="L2015" s="1"/>
      </tp>
      <tp>
        <v>188621961866.51999</v>
        <stp/>
        <stp>EM_HKS_VAL_MV</stp>
        <stp>3</stp>
        <stp>600887</stp>
        <stp>2019-12-31</stp>
        <stp>2</stp>
        <tr r="L827" s="1"/>
      </tp>
      <tp>
        <v>6841583263.5299997</v>
        <stp/>
        <stp>EM_HKS_VAL_MV</stp>
        <stp>3</stp>
        <stp>600987</stp>
        <stp>2019-12-31</stp>
        <stp>2</stp>
        <tr r="L3102" s="1"/>
      </tp>
      <tp>
        <v>2921689758</v>
        <stp/>
        <stp>EM_HKS_VAL_MV</stp>
        <stp>3</stp>
        <stp>600084</stp>
        <stp>2019-12-31</stp>
        <stp>2</stp>
        <tr r="L2817" s="1"/>
      </tp>
      <tp>
        <v>5769347766.8400002</v>
        <stp/>
        <stp>EM_HKS_VAL_MV</stp>
        <stp>3</stp>
        <stp>600184</stp>
        <stp>2019-12-31</stp>
        <stp>2</stp>
        <tr r="L1421" s="1"/>
      </tp>
      <tp>
        <v>6161125600</v>
        <stp/>
        <stp>EM_HKS_VAL_MV</stp>
        <stp>3</stp>
        <stp>600284</stp>
        <stp>2019-12-31</stp>
        <stp>2</stp>
        <tr r="L1018" s="1"/>
      </tp>
      <tp>
        <v>35231182718.900002</v>
        <stp/>
        <stp>EM_HKS_VAL_MV</stp>
        <stp>3</stp>
        <stp>600584</stp>
        <stp>2019-12-31</stp>
        <stp>2</stp>
        <tr r="L62" s="1"/>
      </tp>
      <tp>
        <v>3234616140.1700001</v>
        <stp/>
        <stp>EM_HKS_VAL_MV</stp>
        <stp>3</stp>
        <stp>600684</stp>
        <stp>2019-12-31</stp>
        <stp>2</stp>
        <tr r="L2854" s="1"/>
      </tp>
      <tp>
        <v>2977251913.04</v>
        <stp/>
        <stp>EM_HKS_VAL_MV</stp>
        <stp>3</stp>
        <stp>600784</stp>
        <stp>2019-12-31</stp>
        <stp>2</stp>
        <tr r="L2018" s="1"/>
      </tp>
      <tp>
        <v>15168554960.860001</v>
        <stp/>
        <stp>EM_HKS_VAL_MV</stp>
        <stp>3</stp>
        <stp>600884</stp>
        <stp>2019-12-31</stp>
        <stp>2</stp>
        <tr r="L1987" s="1"/>
      </tp>
      <tp>
        <v>8551106483.1199999</v>
        <stp/>
        <stp>EM_HKS_VAL_MV</stp>
        <stp>3</stp>
        <stp>600984</stp>
        <stp>2019-12-31</stp>
        <stp>2</stp>
        <tr r="L159" s="1"/>
      </tp>
      <tp>
        <v>2374446837.1199999</v>
        <stp/>
        <stp>EM_HKS_VAL_MV</stp>
        <stp>3</stp>
        <stp>603085</stp>
        <stp>2019-12-31</stp>
        <stp>2</stp>
        <tr r="L1947" s="1"/>
      </tp>
      <tp>
        <v>4251753070.4400001</v>
        <stp/>
        <stp>EM_HKS_VAL_MV</stp>
        <stp>3</stp>
        <stp>603385</stp>
        <stp>2019-12-31</stp>
        <stp>2</stp>
        <tr r="L711" s="1"/>
      </tp>
      <tp>
        <v>3783600000</v>
        <stp/>
        <stp>EM_HKS_VAL_MV</stp>
        <stp>3</stp>
        <stp>603585</stp>
        <stp>2019-12-31</stp>
        <stp>2</stp>
        <tr r="L2125" s="1"/>
      </tp>
      <tp>
        <v>2237560000</v>
        <stp/>
        <stp>EM_HKS_VAL_MV</stp>
        <stp>3</stp>
        <stp>603685</stp>
        <stp>2019-12-31</stp>
        <stp>2</stp>
        <tr r="L2615" s="1"/>
      </tp>
      <tp>
        <v>29492162355</v>
        <stp/>
        <stp>EM_HKS_VAL_MV</stp>
        <stp>3</stp>
        <stp>603885</stp>
        <stp>2019-12-31</stp>
        <stp>2</stp>
        <tr r="L1184" s="1"/>
      </tp>
      <tp>
        <v>2271360000</v>
        <stp/>
        <stp>EM_HKS_VAL_MV</stp>
        <stp>3</stp>
        <stp>603985</stp>
        <stp>2019-12-31</stp>
        <stp>2</stp>
        <tr r="L3160" s="1"/>
      </tp>
      <tp>
        <v>38648031983.160004</v>
        <stp/>
        <stp>EM_HKS_VAL_MV</stp>
        <stp>3</stp>
        <stp>600085</stp>
        <stp>2019-12-31</stp>
        <stp>2</stp>
        <tr r="L2188" s="1"/>
      </tp>
      <tp>
        <v>9975682521.2000008</v>
        <stp/>
        <stp>EM_HKS_VAL_MV</stp>
        <stp>3</stp>
        <stp>600185</stp>
        <stp>2019-12-31</stp>
        <stp>2</stp>
        <tr r="L1239" s="1"/>
      </tp>
      <tp>
        <v>5621309020.8000002</v>
        <stp/>
        <stp>EM_HKS_VAL_MV</stp>
        <stp>3</stp>
        <stp>600285</stp>
        <stp>2019-12-31</stp>
        <stp>2</stp>
        <tr r="L1003" s="1"/>
      </tp>
      <tp>
        <v>1158197897.3599999</v>
        <stp/>
        <stp>EM_HKS_VAL_MV</stp>
        <stp>3</stp>
        <stp>600385</stp>
        <stp>2019-12-31</stp>
        <stp>2</stp>
        <tr r="L3030" s="1"/>
      </tp>
      <tp>
        <v>8946652912.9200001</v>
        <stp/>
        <stp>EM_HKS_VAL_MV</stp>
        <stp>3</stp>
        <stp>600485</stp>
        <stp>2019-12-31</stp>
        <stp>2</stp>
        <tr r="L3405" s="1"/>
      </tp>
      <tp>
        <v>290401781329.20001</v>
        <stp/>
        <stp>EM_HKS_VAL_MV</stp>
        <stp>3</stp>
        <stp>600585</stp>
        <stp>2019-12-31</stp>
        <stp>2</stp>
        <tr r="L248" s="1"/>
      </tp>
      <tp>
        <v>20849219075.5</v>
        <stp/>
        <stp>EM_HKS_VAL_MV</stp>
        <stp>3</stp>
        <stp>600685</stp>
        <stp>2019-12-31</stp>
        <stp>2</stp>
        <tr r="L512" s="1"/>
      </tp>
      <tp>
        <v>3388981825.5999999</v>
        <stp/>
        <stp>EM_HKS_VAL_MV</stp>
        <stp>3</stp>
        <stp>600785</stp>
        <stp>2019-12-31</stp>
        <stp>2</stp>
        <tr r="L2709" s="1"/>
      </tp>
      <tp>
        <v>25657035466.400002</v>
        <stp/>
        <stp>EM_HKS_VAL_MV</stp>
        <stp>3</stp>
        <stp>600885</stp>
        <stp>2019-12-31</stp>
        <stp>2</stp>
        <tr r="L497" s="1"/>
      </tp>
      <tp>
        <v>21702398227.650002</v>
        <stp/>
        <stp>EM_HKS_VAL_MV</stp>
        <stp>3</stp>
        <stp>600985</stp>
        <stp>2019-12-31</stp>
        <stp>2</stp>
        <tr r="L1841" s="1"/>
      </tp>
      <tp>
        <v>77827233765</v>
        <stp/>
        <stp>EM_HKS_VAL_MV</stp>
        <stp>3</stp>
        <stp>601985</stp>
        <stp>2019-12-31</stp>
        <stp>2</stp>
        <tr r="L2565" s="1"/>
      </tp>
      <tp>
        <v>5318532960</v>
        <stp/>
        <stp>EM_HKS_VAL_MV</stp>
        <stp>3</stp>
        <stp>603098</stp>
        <stp>2019-12-31</stp>
        <stp>2</stp>
        <tr r="L3054" s="1"/>
      </tp>
      <tp>
        <v>15936000000</v>
        <stp/>
        <stp>EM_HKS_VAL_MV</stp>
        <stp>3</stp>
        <stp>603198</stp>
        <stp>2019-12-31</stp>
        <stp>2</stp>
        <tr r="L704" s="1"/>
      </tp>
      <tp>
        <v>7970841838.3999996</v>
        <stp/>
        <stp>EM_HKS_VAL_MV</stp>
        <stp>3</stp>
        <stp>603298</stp>
        <stp>2019-12-31</stp>
        <stp>2</stp>
        <tr r="L1939" s="1"/>
      </tp>
      <tp>
        <v>3011249248</v>
        <stp/>
        <stp>EM_HKS_VAL_MV</stp>
        <stp>3</stp>
        <stp>603398</stp>
        <stp>2019-12-31</stp>
        <stp>2</stp>
        <tr r="L2667" s="1"/>
      </tp>
      <tp>
        <v>4597884770</v>
        <stp/>
        <stp>EM_HKS_VAL_MV</stp>
        <stp>3</stp>
        <stp>603598</stp>
        <stp>2019-12-31</stp>
        <stp>2</stp>
        <tr r="L273" s="1"/>
      </tp>
      <tp>
        <v>6737394300</v>
        <stp/>
        <stp>EM_HKS_VAL_MV</stp>
        <stp>3</stp>
        <stp>603698</stp>
        <stp>2019-12-31</stp>
        <stp>2</stp>
        <tr r="L2873" s="1"/>
      </tp>
      <tp>
        <v>2756000000</v>
        <stp/>
        <stp>EM_HKS_VAL_MV</stp>
        <stp>3</stp>
        <stp>603798</stp>
        <stp>2019-12-31</stp>
        <stp>2</stp>
        <tr r="L878" s="1"/>
      </tp>
      <tp>
        <v>5058875209.2399998</v>
        <stp/>
        <stp>EM_HKS_VAL_MV</stp>
        <stp>3</stp>
        <stp>603898</stp>
        <stp>2019-12-31</stp>
        <stp>2</stp>
        <tr r="L2001" s="1"/>
      </tp>
      <tp>
        <v>3605990776</v>
        <stp/>
        <stp>EM_HKS_VAL_MV</stp>
        <stp>3</stp>
        <stp>603998</stp>
        <stp>2019-12-31</stp>
        <stp>2</stp>
        <tr r="L287" s="1"/>
      </tp>
      <tp>
        <v>17829325489.32</v>
        <stp/>
        <stp>EM_HKS_VAL_MV</stp>
        <stp>3</stp>
        <stp>600098</stp>
        <stp>2019-12-31</stp>
        <stp>2</stp>
        <tr r="L1455" s="1"/>
      </tp>
      <tp>
        <v>9429739565.6800003</v>
        <stp/>
        <stp>EM_HKS_VAL_MV</stp>
        <stp>3</stp>
        <stp>600198</stp>
        <stp>2019-12-31</stp>
        <stp>2</stp>
        <tr r="L416" s="1"/>
      </tp>
      <tp>
        <v>25274562521.810001</v>
        <stp/>
        <stp>EM_HKS_VAL_MV</stp>
        <stp>3</stp>
        <stp>600298</stp>
        <stp>2019-12-31</stp>
        <stp>2</stp>
        <tr r="L1273" s="1"/>
      </tp>
      <tp>
        <v>33945695854.080002</v>
        <stp/>
        <stp>EM_HKS_VAL_MV</stp>
        <stp>3</stp>
        <stp>600398</stp>
        <stp>2019-12-31</stp>
        <stp>2</stp>
        <tr r="L2779" s="1"/>
      </tp>
      <tp>
        <v>32143528203.299999</v>
        <stp/>
        <stp>EM_HKS_VAL_MV</stp>
        <stp>3</stp>
        <stp>600498</stp>
        <stp>2019-12-31</stp>
        <stp>2</stp>
        <tr r="L2489" s="1"/>
      </tp>
      <tp>
        <v>17314602313.66</v>
        <stp/>
        <stp>EM_HKS_VAL_MV</stp>
        <stp>3</stp>
        <stp>600598</stp>
        <stp>2019-12-31</stp>
        <stp>2</stp>
        <tr r="L1569" s="1"/>
      </tp>
      <tp>
        <v>3108077293.4400001</v>
        <stp/>
        <stp>EM_HKS_VAL_MV</stp>
        <stp>3</stp>
        <stp>600698</stp>
        <stp>2019-12-31</stp>
        <stp>2</stp>
        <tr r="L3214" s="1"/>
      </tp>
      <tp>
        <v>4295261755.5600004</v>
        <stp/>
        <stp>EM_HKS_VAL_MV</stp>
        <stp>3</stp>
        <stp>600798</stp>
        <stp>2019-12-31</stp>
        <stp>2</stp>
        <tr r="L1796" s="1"/>
      </tp>
      <tp>
        <v>1984837225.2</v>
        <stp/>
        <stp>EM_HKS_VAL_MV</stp>
        <stp>3</stp>
        <stp>600898</stp>
        <stp>2019-12-31</stp>
        <stp>2</stp>
        <tr r="L2388" s="1"/>
      </tp>
      <tp>
        <v>26568947793.25</v>
        <stp/>
        <stp>EM_HKS_VAL_MV</stp>
        <stp>3</stp>
        <stp>600998</stp>
        <stp>2019-12-31</stp>
        <stp>2</stp>
        <tr r="L2675" s="1"/>
      </tp>
      <tp>
        <v>21444240000</v>
        <stp/>
        <stp>EM_HKS_VAL_MV</stp>
        <stp>3</stp>
        <stp>601098</stp>
        <stp>2019-12-31</stp>
        <stp>2</stp>
        <tr r="L2563" s="1"/>
      </tp>
      <tp>
        <v>36239603032.980003</v>
        <stp/>
        <stp>EM_HKS_VAL_MV</stp>
        <stp>3</stp>
        <stp>601198</stp>
        <stp>2019-12-31</stp>
        <stp>2</stp>
        <tr r="L769" s="1"/>
      </tp>
      <tp>
        <v>2095668791683.3201</v>
        <stp/>
        <stp>EM_HKS_VAL_MV</stp>
        <stp>3</stp>
        <stp>601398</stp>
        <stp>2019-12-31</stp>
        <stp>2</stp>
        <tr r="L1662" s="1"/>
      </tp>
      <tp>
        <v>2201620109.5799999</v>
        <stp/>
        <stp>EM_HKS_VAL_MV</stp>
        <stp>3</stp>
        <stp>601798</stp>
        <stp>2019-12-31</stp>
        <stp>2</stp>
        <tr r="L1042" s="1"/>
      </tp>
      <tp>
        <v>66558490268</v>
        <stp/>
        <stp>EM_HKS_VAL_MV</stp>
        <stp>3</stp>
        <stp>601898</stp>
        <stp>2019-12-31</stp>
        <stp>2</stp>
        <tr r="L1860" s="1"/>
      </tp>
      <tp>
        <v>301927784524.02002</v>
        <stp/>
        <stp>EM_HKS_VAL_MV</stp>
        <stp>3</stp>
        <stp>601998</stp>
        <stp>2019-12-31</stp>
        <stp>2</stp>
        <tr r="L1567" s="1"/>
      </tp>
      <tp>
        <v>2650699800</v>
        <stp/>
        <stp>EM_HKS_VAL_MV</stp>
        <stp>3</stp>
        <stp>603099</stp>
        <stp>2019-12-31</stp>
        <stp>2</stp>
        <tr r="L1625" s="1"/>
      </tp>
      <tp>
        <v>2614261600</v>
        <stp/>
        <stp>EM_HKS_VAL_MV</stp>
        <stp>3</stp>
        <stp>603199</stp>
        <stp>2019-12-31</stp>
        <stp>2</stp>
        <tr r="L1084" s="1"/>
      </tp>
      <tp>
        <v>5360300201.1400003</v>
        <stp/>
        <stp>EM_HKS_VAL_MV</stp>
        <stp>3</stp>
        <stp>603299</stp>
        <stp>2019-12-31</stp>
        <stp>2</stp>
        <tr r="L852" s="1"/>
      </tp>
      <tp>
        <v>7381133761.5</v>
        <stp/>
        <stp>EM_HKS_VAL_MV</stp>
        <stp>3</stp>
        <stp>603399</stp>
        <stp>2019-12-31</stp>
        <stp>2</stp>
        <tr r="L1095" s="1"/>
      </tp>
      <tp>
        <v>2255358714</v>
        <stp/>
        <stp>EM_HKS_VAL_MV</stp>
        <stp>3</stp>
        <stp>603499</stp>
        <stp>2019-12-31</stp>
        <stp>2</stp>
        <tr r="L3091" s="1"/>
      </tp>
      <tp>
        <v>6965540233.6499996</v>
        <stp/>
        <stp>EM_HKS_VAL_MV</stp>
        <stp>3</stp>
        <stp>603599</stp>
        <stp>2019-12-31</stp>
        <stp>2</stp>
        <tr r="L724" s="1"/>
      </tp>
      <tp>
        <v>10365000000</v>
        <stp/>
        <stp>EM_HKS_VAL_MV</stp>
        <stp>3</stp>
        <stp>603699</stp>
        <stp>2019-12-31</stp>
        <stp>2</stp>
        <tr r="L1395" s="1"/>
      </tp>
      <tp>
        <v>42488869242.690002</v>
        <stp/>
        <stp>EM_HKS_VAL_MV</stp>
        <stp>3</stp>
        <stp>603799</stp>
        <stp>2019-12-31</stp>
        <stp>2</stp>
        <tr r="L912" s="1"/>
      </tp>
      <tp>
        <v>44840800000</v>
        <stp/>
        <stp>EM_HKS_VAL_MV</stp>
        <stp>3</stp>
        <stp>603899</stp>
        <stp>2019-12-31</stp>
        <stp>2</stp>
        <tr r="L439" s="1"/>
      </tp>
      <tp>
        <v>4227840000</v>
        <stp/>
        <stp>EM_HKS_VAL_MV</stp>
        <stp>3</stp>
        <stp>603999</stp>
        <stp>2019-12-31</stp>
        <stp>2</stp>
        <tr r="L473" s="1"/>
      </tp>
      <tp>
        <v>1454956800</v>
        <stp/>
        <stp>EM_HKS_VAL_MV</stp>
        <stp>3</stp>
        <stp>600099</stp>
        <stp>2019-12-31</stp>
        <stp>2</stp>
        <tr r="L1401" s="1"/>
      </tp>
      <tp>
        <v>4098074213.52</v>
        <stp/>
        <stp>EM_HKS_VAL_MV</stp>
        <stp>3</stp>
        <stp>600199</stp>
        <stp>2019-12-31</stp>
        <stp>2</stp>
        <tr r="L781" s="1"/>
      </tp>
      <tp>
        <v>29661828079.380001</v>
        <stp/>
        <stp>EM_HKS_VAL_MV</stp>
        <stp>3</stp>
        <stp>600299</stp>
        <stp>2019-12-31</stp>
        <stp>2</stp>
        <tr r="L2551" s="1"/>
      </tp>
      <tp>
        <v>6507930000</v>
        <stp/>
        <stp>EM_HKS_VAL_MV</stp>
        <stp>3</stp>
        <stp>600399</stp>
        <stp>2019-12-31</stp>
        <stp>2</stp>
        <tr r="L902" s="1"/>
      </tp>
      <tp>
        <v>6829300689.6599998</v>
        <stp/>
        <stp>EM_HKS_VAL_MV</stp>
        <stp>3</stp>
        <stp>600499</stp>
        <stp>2019-12-31</stp>
        <stp>2</stp>
        <tr r="L1885" s="1"/>
      </tp>
      <tp>
        <v>1746320000</v>
        <stp/>
        <stp>EM_HKS_VAL_MV</stp>
        <stp>3</stp>
        <stp>600599</stp>
        <stp>2019-12-31</stp>
        <stp>2</stp>
        <tr r="L2128" s="1"/>
      </tp>
      <tp>
        <v>22147008863.5</v>
        <stp/>
        <stp>EM_HKS_VAL_MV</stp>
        <stp>3</stp>
        <stp>600699</stp>
        <stp>2019-12-31</stp>
        <stp>2</stp>
        <tr r="L3125" s="1"/>
      </tp>
      <tp>
        <v>210515760</v>
        <stp/>
        <stp>EM_HKS_VAL_MV</stp>
        <stp>3</stp>
        <stp>600799</stp>
        <stp>2019-12-31</stp>
        <stp>2</stp>
        <tr r="L2325" s="1"/>
      </tp>
      <tp>
        <v>200581225.16999999</v>
        <stp/>
        <stp>EM_HKS_VAL_MV</stp>
        <stp>3</stp>
        <stp>600899</stp>
        <stp>2019-12-31</stp>
        <stp>2</stp>
        <tr r="L2333" s="1"/>
      </tp>
      <tp>
        <v>122532196627.41</v>
        <stp/>
        <stp>EM_HKS_VAL_MV</stp>
        <stp>3</stp>
        <stp>600999</stp>
        <stp>2019-12-31</stp>
        <stp>2</stp>
        <tr r="L764" s="1"/>
      </tp>
      <tp>
        <v>25833839042.299999</v>
        <stp/>
        <stp>EM_HKS_VAL_MV</stp>
        <stp>3</stp>
        <stp>601099</stp>
        <stp>2019-12-31</stp>
        <stp>2</stp>
        <tr r="L526" s="1"/>
      </tp>
      <tp>
        <v>3544447006.6799998</v>
        <stp/>
        <stp>EM_HKS_VAL_MV</stp>
        <stp>3</stp>
        <stp>601199</stp>
        <stp>2019-12-31</stp>
        <stp>2</stp>
        <tr r="L1924" s="1"/>
      </tp>
      <tp>
        <v>367548213483.94</v>
        <stp/>
        <stp>EM_HKS_VAL_MV</stp>
        <stp>3</stp>
        <stp>601299</stp>
        <stp>2019-12-31</stp>
        <stp>2</stp>
        <tr r="L2336" s="1"/>
      </tp>
      <tp>
        <v>2963846880.48</v>
        <stp/>
        <stp>EM_HKS_VAL_MV</stp>
        <stp>3</stp>
        <stp>601599</stp>
        <stp>2019-12-31</stp>
        <stp>2</stp>
        <tr r="L1857" s="1"/>
      </tp>
      <tp>
        <v>21717630792</v>
        <stp/>
        <stp>EM_HKS_VAL_MV</stp>
        <stp>3</stp>
        <stp>601699</stp>
        <stp>2019-12-31</stp>
        <stp>2</stp>
        <tr r="L1809" s="1"/>
      </tp>
      <tp>
        <v>26229223935.360001</v>
        <stp/>
        <stp>EM_HKS_VAL_MV</stp>
        <stp>3</stp>
        <stp>601799</stp>
        <stp>2019-12-31</stp>
        <stp>2</stp>
        <tr r="L166" s="1"/>
      </tp>
      <tp>
        <v>116481623152.14</v>
        <stp/>
        <stp>EM_HKS_VAL_MV</stp>
        <stp>3</stp>
        <stp>601899</stp>
        <stp>2019-12-31</stp>
        <stp>2</stp>
        <tr r="L838" s="1"/>
      </tp>
      <tp>
        <v>3283451612</v>
        <stp/>
        <stp>EM_HKS_VAL_MV</stp>
        <stp>3</stp>
        <stp>601999</stp>
        <stp>2019-12-31</stp>
        <stp>2</stp>
        <tr r="L1305" s="1"/>
      </tp>
      <tp>
        <v>250748352</v>
        <stp/>
        <stp>EM_HKS_VAL_MV</stp>
        <stp>3</stp>
        <stp>600092</stp>
        <stp>2019-12-31</stp>
        <stp>2</stp>
        <tr r="L2291" s="1"/>
      </tp>
      <tp>
        <v>2270584720</v>
        <stp/>
        <stp>EM_HKS_VAL_MV</stp>
        <stp>3</stp>
        <stp>600192</stp>
        <stp>2019-12-31</stp>
        <stp>2</stp>
        <tr r="L1193" s="1"/>
      </tp>
      <tp>
        <v>4427231766.3000002</v>
        <stp/>
        <stp>EM_HKS_VAL_MV</stp>
        <stp>3</stp>
        <stp>600292</stp>
        <stp>2019-12-31</stp>
        <stp>2</stp>
        <tr r="L1533" s="1"/>
      </tp>
      <tp>
        <v>15919365297.690001</v>
        <stp/>
        <stp>EM_HKS_VAL_MV</stp>
        <stp>3</stp>
        <stp>600392</stp>
        <stp>2019-12-31</stp>
        <stp>2</stp>
        <tr r="L1949" s="1"/>
      </tp>
      <tp>
        <v>6189084814.79</v>
        <stp/>
        <stp>EM_HKS_VAL_MV</stp>
        <stp>3</stp>
        <stp>600592</stp>
        <stp>2019-12-31</stp>
        <stp>2</stp>
        <tr r="L53" s="1"/>
      </tp>
      <tp>
        <v>2247772368.96</v>
        <stp/>
        <stp>EM_HKS_VAL_MV</stp>
        <stp>3</stp>
        <stp>600692</stp>
        <stp>2019-12-31</stp>
        <stp>2</stp>
        <tr r="L2781" s="1"/>
      </tp>
      <tp>
        <v>3474631836</v>
        <stp/>
        <stp>EM_HKS_VAL_MV</stp>
        <stp>3</stp>
        <stp>600792</stp>
        <stp>2019-12-31</stp>
        <stp>2</stp>
        <tr r="L952" s="1"/>
      </tp>
      <tp>
        <v>3194540513.48</v>
        <stp/>
        <stp>EM_HKS_VAL_MV</stp>
        <stp>3</stp>
        <stp>600892</stp>
        <stp>2019-12-31</stp>
        <stp>2</stp>
        <tr r="L3227" s="1"/>
      </tp>
      <tp>
        <v>1681317400</v>
        <stp/>
        <stp>EM_HKS_VAL_MV</stp>
        <stp>3</stp>
        <stp>600992</stp>
        <stp>2019-12-31</stp>
        <stp>2</stp>
        <tr r="L2383" s="1"/>
      </tp>
      <tp>
        <v>39828086329.82</v>
        <stp/>
        <stp>EM_HKS_VAL_MV</stp>
        <stp>3</stp>
        <stp>601992</stp>
        <stp>2019-12-31</stp>
        <stp>2</stp>
        <tr r="L2099" s="1"/>
      </tp>
      <tp>
        <v>6224960000</v>
        <stp/>
        <stp>EM_HKS_VAL_MV</stp>
        <stp>3</stp>
        <stp>603393</stp>
        <stp>2019-12-31</stp>
        <stp>2</stp>
        <tr r="L2735" s="1"/>
      </tp>
      <tp>
        <v>6291240000</v>
        <stp/>
        <stp>EM_HKS_VAL_MV</stp>
        <stp>3</stp>
        <stp>603693</stp>
        <stp>2019-12-31</stp>
        <stp>2</stp>
        <tr r="L3179" s="1"/>
      </tp>
      <tp>
        <v>94172688941.880005</v>
        <stp/>
        <stp>EM_HKS_VAL_MV</stp>
        <stp>3</stp>
        <stp>603993</stp>
        <stp>2019-12-31</stp>
        <stp>2</stp>
        <tr r="L1415" s="1"/>
      </tp>
      <tp>
        <v>15669367100</v>
        <stp/>
        <stp>EM_HKS_VAL_MV</stp>
        <stp>3</stp>
        <stp>600093</stp>
        <stp>2019-12-31</stp>
        <stp>2</stp>
        <tr r="L227" s="1"/>
      </tp>
      <tp>
        <v>1646193510</v>
        <stp/>
        <stp>EM_HKS_VAL_MV</stp>
        <stp>3</stp>
        <stp>600193</stp>
        <stp>2019-12-31</stp>
        <stp>2</stp>
        <tr r="L1171" s="1"/>
      </tp>
      <tp>
        <v>3649094624.4400001</v>
        <stp/>
        <stp>EM_HKS_VAL_MV</stp>
        <stp>3</stp>
        <stp>600293</stp>
        <stp>2019-12-31</stp>
        <stp>2</stp>
        <tr r="L3052" s="1"/>
      </tp>
      <tp>
        <v>6847869249</v>
        <stp/>
        <stp>EM_HKS_VAL_MV</stp>
        <stp>3</stp>
        <stp>600393</stp>
        <stp>2019-12-31</stp>
        <stp>2</stp>
        <tr r="L815" s="1"/>
      </tp>
      <tp>
        <v>1523200000</v>
        <stp/>
        <stp>EM_HKS_VAL_MV</stp>
        <stp>3</stp>
        <stp>600493</stp>
        <stp>2019-12-31</stp>
        <stp>2</stp>
        <tr r="L2813" s="1"/>
      </tp>
      <tp>
        <v>5597648000</v>
        <stp/>
        <stp>EM_HKS_VAL_MV</stp>
        <stp>3</stp>
        <stp>600593</stp>
        <stp>2019-12-31</stp>
        <stp>2</stp>
        <tr r="L387" s="1"/>
      </tp>
      <tp>
        <v>4697738444.04</v>
        <stp/>
        <stp>EM_HKS_VAL_MV</stp>
        <stp>3</stp>
        <stp>600693</stp>
        <stp>2019-12-31</stp>
        <stp>2</stp>
        <tr r="L2373" s="1"/>
      </tp>
      <tp>
        <v>2038186800</v>
        <stp/>
        <stp>EM_HKS_VAL_MV</stp>
        <stp>3</stp>
        <stp>600793</stp>
        <stp>2019-12-31</stp>
        <stp>2</stp>
        <tr r="L1843" s="1"/>
      </tp>
      <tp>
        <v>48776627676</v>
        <stp/>
        <stp>EM_HKS_VAL_MV</stp>
        <stp>3</stp>
        <stp>600893</stp>
        <stp>2019-12-31</stp>
        <stp>2</stp>
        <tr r="L2384" s="1"/>
      </tp>
      <tp>
        <v>7539132553.5900002</v>
        <stp/>
        <stp>EM_HKS_VAL_MV</stp>
        <stp>3</stp>
        <stp>600993</stp>
        <stp>2019-12-31</stp>
        <stp>2</stp>
        <tr r="L973" s="1"/>
      </tp>
      <tp>
        <v>1638000000</v>
        <stp/>
        <stp>EM_HKS_VAL_MV</stp>
        <stp>3</stp>
        <stp>603090</stp>
        <stp>2019-12-31</stp>
        <stp>2</stp>
        <tr r="L1077" s="1"/>
      </tp>
      <tp>
        <v>8437829905.2200003</v>
        <stp/>
        <stp>EM_HKS_VAL_MV</stp>
        <stp>3</stp>
        <stp>603690</stp>
        <stp>2019-12-31</stp>
        <stp>2</stp>
        <tr r="L133" s="1"/>
      </tp>
      <tp>
        <v>2893281600</v>
        <stp/>
        <stp>EM_HKS_VAL_MV</stp>
        <stp>3</stp>
        <stp>603890</stp>
        <stp>2019-12-31</stp>
        <stp>2</stp>
        <tr r="L2755" s="1"/>
      </tp>
      <tp>
        <v>3902180727.1999998</v>
        <stp/>
        <stp>EM_HKS_VAL_MV</stp>
        <stp>3</stp>
        <stp>603990</stp>
        <stp>2019-12-31</stp>
        <stp>2</stp>
        <tr r="L2011" s="1"/>
      </tp>
      <tp>
        <v>6017791110.1000004</v>
        <stp/>
        <stp>EM_HKS_VAL_MV</stp>
        <stp>3</stp>
        <stp>600090</stp>
        <stp>2019-12-31</stp>
        <stp>2</stp>
        <tr r="L3138" s="1"/>
      </tp>
      <tp>
        <v>6127011990</v>
        <stp/>
        <stp>EM_HKS_VAL_MV</stp>
        <stp>3</stp>
        <stp>600190</stp>
        <stp>2019-12-31</stp>
        <stp>2</stp>
        <tr r="L1541" s="1"/>
      </tp>
      <tp>
        <v>2158125971.2399998</v>
        <stp/>
        <stp>EM_HKS_VAL_MV</stp>
        <stp>3</stp>
        <stp>600290</stp>
        <stp>2019-12-31</stp>
        <stp>2</stp>
        <tr r="L3277" s="1"/>
      </tp>
      <tp>
        <v>37154020691.339996</v>
        <stp/>
        <stp>EM_HKS_VAL_MV</stp>
        <stp>3</stp>
        <stp>600390</stp>
        <stp>2019-12-31</stp>
        <stp>2</stp>
        <tr r="L1389" s="1"/>
      </tp>
      <tp>
        <v>10303316917.35</v>
        <stp/>
        <stp>EM_HKS_VAL_MV</stp>
        <stp>3</stp>
        <stp>600490</stp>
        <stp>2019-12-31</stp>
        <stp>2</stp>
        <tr r="L2114" s="1"/>
      </tp>
      <tp>
        <v>5041858922.8800001</v>
        <stp/>
        <stp>EM_HKS_VAL_MV</stp>
        <stp>3</stp>
        <stp>600590</stp>
        <stp>2019-12-31</stp>
        <stp>2</stp>
        <tr r="L1835" s="1"/>
      </tp>
      <tp>
        <v>128301549226.5</v>
        <stp/>
        <stp>EM_HKS_VAL_MV</stp>
        <stp>3</stp>
        <stp>600690</stp>
        <stp>2019-12-31</stp>
        <stp>2</stp>
        <tr r="L748" s="1"/>
      </tp>
      <tp>
        <v>4983689155.1999998</v>
        <stp/>
        <stp>EM_HKS_VAL_MV</stp>
        <stp>3</stp>
        <stp>600790</stp>
        <stp>2019-12-31</stp>
        <stp>2</stp>
        <tr r="L2647" s="1"/>
      </tp>
      <tp>
        <v>3666303875.25</v>
        <stp/>
        <stp>EM_HKS_VAL_MV</stp>
        <stp>3</stp>
        <stp>600890</stp>
        <stp>2019-12-31</stp>
        <stp>2</stp>
        <tr r="L3134" s="1"/>
      </tp>
      <tp>
        <v>7096204723.8000002</v>
        <stp/>
        <stp>EM_HKS_VAL_MV</stp>
        <stp>3</stp>
        <stp>600990</stp>
        <stp>2019-12-31</stp>
        <stp>2</stp>
        <tr r="L934" s="1"/>
      </tp>
      <tp>
        <v>145951319941.01999</v>
        <stp/>
        <stp>EM_HKS_VAL_MV</stp>
        <stp>3</stp>
        <stp>601390</stp>
        <stp>2019-12-31</stp>
        <stp>2</stp>
        <tr r="L2944" s="1"/>
      </tp>
      <tp>
        <v>5487768000</v>
        <stp/>
        <stp>EM_HKS_VAL_MV</stp>
        <stp>3</stp>
        <stp>601890</stp>
        <stp>2019-12-31</stp>
        <stp>2</stp>
        <tr r="L410" s="1"/>
      </tp>
      <tp>
        <v>42587810145.639999</v>
        <stp/>
        <stp>EM_HKS_VAL_MV</stp>
        <stp>3</stp>
        <stp>601990</stp>
        <stp>2019-12-31</stp>
        <stp>2</stp>
        <tr r="L632" s="1"/>
      </tp>
      <tp>
        <v>1279020565.6800001</v>
        <stp/>
        <stp>EM_HKS_VAL_MV</stp>
        <stp>3</stp>
        <stp>603991</stp>
        <stp>2019-12-31</stp>
        <stp>2</stp>
        <tr r="L2590" s="1"/>
      </tp>
      <tp>
        <v>1631548714.52</v>
        <stp/>
        <stp>EM_HKS_VAL_MV</stp>
        <stp>3</stp>
        <stp>600091</stp>
        <stp>2019-12-31</stp>
        <stp>2</stp>
        <tr r="L2402" s="1"/>
      </tp>
      <tp>
        <v>2521646400</v>
        <stp/>
        <stp>EM_HKS_VAL_MV</stp>
        <stp>3</stp>
        <stp>600191</stp>
        <stp>2019-12-31</stp>
        <stp>2</stp>
        <tr r="L885" s="1"/>
      </tp>
      <tp>
        <v>9826648758.2199993</v>
        <stp/>
        <stp>EM_HKS_VAL_MV</stp>
        <stp>3</stp>
        <stp>600291</stp>
        <stp>2019-12-31</stp>
        <stp>2</stp>
        <tr r="L2800" s="1"/>
      </tp>
      <tp>
        <v>4559086558.2700005</v>
        <stp/>
        <stp>EM_HKS_VAL_MV</stp>
        <stp>3</stp>
        <stp>600391</stp>
        <stp>2019-12-31</stp>
        <stp>2</stp>
        <tr r="L1045" s="1"/>
      </tp>
      <tp>
        <v>11182530651.049999</v>
        <stp/>
        <stp>EM_HKS_VAL_MV</stp>
        <stp>3</stp>
        <stp>600491</stp>
        <stp>2019-12-31</stp>
        <stp>2</stp>
        <tr r="L1872" s="1"/>
      </tp>
      <tp>
        <v>9478060394</v>
        <stp/>
        <stp>EM_HKS_VAL_MV</stp>
        <stp>3</stp>
        <stp>600591</stp>
        <stp>2019-12-31</stp>
        <stp>2</stp>
        <tr r="L2305" s="1"/>
      </tp>
      <tp>
        <v>4989562099.1999998</v>
        <stp/>
        <stp>EM_HKS_VAL_MV</stp>
        <stp>3</stp>
        <stp>600691</stp>
        <stp>2019-12-31</stp>
        <stp>2</stp>
        <tr r="L2883" s="1"/>
      </tp>
      <tp>
        <v>1739059200</v>
        <stp/>
        <stp>EM_HKS_VAL_MV</stp>
        <stp>3</stp>
        <stp>600791</stp>
        <stp>2019-12-31</stp>
        <stp>2</stp>
        <tr r="L1982" s="1"/>
      </tp>
      <tp>
        <v>926378704.5</v>
        <stp/>
        <stp>EM_HKS_VAL_MV</stp>
        <stp>3</stp>
        <stp>600891</stp>
        <stp>2019-12-31</stp>
        <stp>2</stp>
        <tr r="L3403" s="1"/>
      </tp>
      <tp>
        <v>9281928169.7999992</v>
        <stp/>
        <stp>EM_HKS_VAL_MV</stp>
        <stp>3</stp>
        <stp>600991</stp>
        <stp>2019-12-31</stp>
        <stp>2</stp>
        <tr r="L2334" s="1"/>
      </tp>
      <tp>
        <v>45341440734.800003</v>
        <stp/>
        <stp>EM_HKS_VAL_MV</stp>
        <stp>3</stp>
        <stp>601991</stp>
        <stp>2019-12-31</stp>
        <stp>2</stp>
        <tr r="L3110" s="1"/>
      </tp>
      <tp>
        <v>7482532400</v>
        <stp/>
        <stp>EM_HKS_VAL_MV</stp>
        <stp>3</stp>
        <stp>603096</stp>
        <stp>2019-12-31</stp>
        <stp>2</stp>
        <tr r="L2758" s="1"/>
      </tp>
      <tp>
        <v>2450400000</v>
        <stp/>
        <stp>EM_HKS_VAL_MV</stp>
        <stp>3</stp>
        <stp>603196</stp>
        <stp>2019-12-31</stp>
        <stp>2</stp>
        <tr r="L3158" s="1"/>
      </tp>
      <tp>
        <v>2266851127.6199999</v>
        <stp/>
        <stp>EM_HKS_VAL_MV</stp>
        <stp>3</stp>
        <stp>603396</stp>
        <stp>2019-12-31</stp>
        <stp>2</stp>
        <tr r="L3014" s="1"/>
      </tp>
      <tp>
        <v>4426234307.04</v>
        <stp/>
        <stp>EM_HKS_VAL_MV</stp>
        <stp>3</stp>
        <stp>603496</stp>
        <stp>2019-12-31</stp>
        <stp>2</stp>
        <tr r="L2724" s="1"/>
      </tp>
      <tp>
        <v>9192622500</v>
        <stp/>
        <stp>EM_HKS_VAL_MV</stp>
        <stp>3</stp>
        <stp>603596</stp>
        <stp>2019-12-31</stp>
        <stp>2</stp>
        <tr r="L2425" s="1"/>
      </tp>
      <tp>
        <v>1982736000</v>
        <stp/>
        <stp>EM_HKS_VAL_MV</stp>
        <stp>3</stp>
        <stp>603696</stp>
        <stp>2019-12-31</stp>
        <stp>2</stp>
        <tr r="L2853" s="1"/>
      </tp>
      <tp>
        <v>4347799872.8800001</v>
        <stp/>
        <stp>EM_HKS_VAL_MV</stp>
        <stp>3</stp>
        <stp>603896</stp>
        <stp>2019-12-31</stp>
        <stp>2</stp>
        <tr r="L1605" s="1"/>
      </tp>
      <tp>
        <v>1509754500</v>
        <stp/>
        <stp>EM_HKS_VAL_MV</stp>
        <stp>3</stp>
        <stp>603996</stp>
        <stp>2019-12-31</stp>
        <stp>2</stp>
        <tr r="L3243" s="1"/>
      </tp>
      <tp>
        <v>7566677171.3999996</v>
        <stp/>
        <stp>EM_HKS_VAL_MV</stp>
        <stp>3</stp>
        <stp>600096</stp>
        <stp>2019-12-31</stp>
        <stp>2</stp>
        <tr r="L2005" s="1"/>
      </tp>
      <tp>
        <v>68173101297</v>
        <stp/>
        <stp>EM_HKS_VAL_MV</stp>
        <stp>3</stp>
        <stp>600196</stp>
        <stp>2019-12-31</stp>
        <stp>2</stp>
        <tr r="L1604" s="1"/>
      </tp>
      <tp>
        <v>7923391304.5799999</v>
        <stp/>
        <stp>EM_HKS_VAL_MV</stp>
        <stp>3</stp>
        <stp>600296</stp>
        <stp>2019-12-31</stp>
        <stp>2</stp>
        <tr r="L2300" s="1"/>
      </tp>
      <tp>
        <v>2739234679.6199999</v>
        <stp/>
        <stp>EM_HKS_VAL_MV</stp>
        <stp>3</stp>
        <stp>600396</stp>
        <stp>2019-12-31</stp>
        <stp>2</stp>
        <tr r="L2422" s="1"/>
      </tp>
      <tp>
        <v>5232186628</v>
        <stp/>
        <stp>EM_HKS_VAL_MV</stp>
        <stp>3</stp>
        <stp>600496</stp>
        <stp>2019-12-31</stp>
        <stp>2</stp>
        <tr r="L1831" s="1"/>
      </tp>
      <tp>
        <v>6940000788.7200003</v>
        <stp/>
        <stp>EM_HKS_VAL_MV</stp>
        <stp>3</stp>
        <stp>600596</stp>
        <stp>2019-12-31</stp>
        <stp>2</stp>
        <tr r="L2764" s="1"/>
      </tp>
      <tp>
        <v>4301276882.6599998</v>
        <stp/>
        <stp>EM_HKS_VAL_MV</stp>
        <stp>3</stp>
        <stp>600696</stp>
        <stp>2019-12-31</stp>
        <stp>2</stp>
        <tr r="L71" s="1"/>
      </tp>
      <tp>
        <v>1633599620.48</v>
        <stp/>
        <stp>EM_HKS_VAL_MV</stp>
        <stp>3</stp>
        <stp>600796</stp>
        <stp>2019-12-31</stp>
        <stp>2</stp>
        <tr r="L1931" s="1"/>
      </tp>
      <tp>
        <v>3719744041</v>
        <stp/>
        <stp>EM_HKS_VAL_MV</stp>
        <stp>3</stp>
        <stp>600896</stp>
        <stp>2019-12-31</stp>
        <stp>2</stp>
        <tr r="L1511" s="1"/>
      </tp>
      <tp>
        <v>8466147100.6000004</v>
        <stp/>
        <stp>EM_HKS_VAL_MV</stp>
        <stp>3</stp>
        <stp>600996</stp>
        <stp>2019-12-31</stp>
        <stp>2</stp>
        <tr r="L1043" s="1"/>
      </tp>
      <tp>
        <v>3242435144</v>
        <stp/>
        <stp>EM_HKS_VAL_MV</stp>
        <stp>3</stp>
        <stp>601996</stp>
        <stp>2019-12-31</stp>
        <stp>2</stp>
        <tr r="L2340" s="1"/>
      </tp>
      <tp>
        <v>5236437668.9099998</v>
        <stp/>
        <stp>EM_HKS_VAL_MV</stp>
        <stp>3</stp>
        <stp>603197</stp>
        <stp>2019-12-31</stp>
        <stp>2</stp>
        <tr r="L545" s="1"/>
      </tp>
      <tp>
        <v>3586183042.5</v>
        <stp/>
        <stp>EM_HKS_VAL_MV</stp>
        <stp>3</stp>
        <stp>603797</stp>
        <stp>2019-12-31</stp>
        <stp>2</stp>
        <tr r="L2635" s="1"/>
      </tp>
      <tp>
        <v>3434231839.5</v>
        <stp/>
        <stp>EM_HKS_VAL_MV</stp>
        <stp>3</stp>
        <stp>603897</stp>
        <stp>2019-12-31</stp>
        <stp>2</stp>
        <tr r="L2927" s="1"/>
      </tp>
      <tp>
        <v>8270711601.6800003</v>
        <stp/>
        <stp>EM_HKS_VAL_MV</stp>
        <stp>3</stp>
        <stp>603997</stp>
        <stp>2019-12-31</stp>
        <stp>2</stp>
        <tr r="L1914" s="1"/>
      </tp>
      <tp>
        <v>2380453202.9200001</v>
        <stp/>
        <stp>EM_HKS_VAL_MV</stp>
        <stp>3</stp>
        <stp>600097</stp>
        <stp>2019-12-31</stp>
        <stp>2</stp>
        <tr r="L2540" s="1"/>
      </tp>
      <tp>
        <v>7069281744.8400002</v>
        <stp/>
        <stp>EM_HKS_VAL_MV</stp>
        <stp>3</stp>
        <stp>600197</stp>
        <stp>2019-12-31</stp>
        <stp>2</stp>
        <tr r="L1198" s="1"/>
      </tp>
      <tp>
        <v>26601532681</v>
        <stp/>
        <stp>EM_HKS_VAL_MV</stp>
        <stp>3</stp>
        <stp>600297</stp>
        <stp>2019-12-31</stp>
        <stp>2</stp>
        <tr r="L3057" s="1"/>
      </tp>
      <tp>
        <v>2791686867.2399998</v>
        <stp/>
        <stp>EM_HKS_VAL_MV</stp>
        <stp>3</stp>
        <stp>600397</stp>
        <stp>2019-12-31</stp>
        <stp>2</stp>
        <tr r="L1122" s="1"/>
      </tp>
      <tp>
        <v>22299857067.84</v>
        <stp/>
        <stp>EM_HKS_VAL_MV</stp>
        <stp>3</stp>
        <stp>600497</stp>
        <stp>2019-12-31</stp>
        <stp>2</stp>
        <tr r="L1854" s="1"/>
      </tp>
      <tp>
        <v>15538746489.209999</v>
        <stp/>
        <stp>EM_HKS_VAL_MV</stp>
        <stp>3</stp>
        <stp>600597</stp>
        <stp>2019-12-31</stp>
        <stp>2</stp>
        <tr r="L587" s="1"/>
      </tp>
      <tp>
        <v>2823813331.25</v>
        <stp/>
        <stp>EM_HKS_VAL_MV</stp>
        <stp>3</stp>
        <stp>600697</stp>
        <stp>2019-12-31</stp>
        <stp>2</stp>
        <tr r="L2616" s="1"/>
      </tp>
      <tp>
        <v>10539620602.77</v>
        <stp/>
        <stp>EM_HKS_VAL_MV</stp>
        <stp>3</stp>
        <stp>600797</stp>
        <stp>2019-12-31</stp>
        <stp>2</stp>
        <tr r="L719" s="1"/>
      </tp>
      <tp>
        <v>6653075400</v>
        <stp/>
        <stp>EM_HKS_VAL_MV</stp>
        <stp>3</stp>
        <stp>600897</stp>
        <stp>2019-12-31</stp>
        <stp>2</stp>
        <tr r="L2061" s="1"/>
      </tp>
      <tp>
        <v>8637631189.4400005</v>
        <stp/>
        <stp>EM_HKS_VAL_MV</stp>
        <stp>3</stp>
        <stp>600997</stp>
        <stp>2019-12-31</stp>
        <stp>2</stp>
        <tr r="L2542" s="1"/>
      </tp>
      <tp>
        <v>30764353989.599998</v>
        <stp/>
        <stp>EM_HKS_VAL_MV</stp>
        <stp>3</stp>
        <stp>601997</stp>
        <stp>2019-12-31</stp>
        <stp>2</stp>
        <tr r="L2788" s="1"/>
      </tp>
      <tp>
        <v>14480651583.450001</v>
        <stp/>
        <stp>EM_HKS_VAL_MV</stp>
        <stp>3</stp>
        <stp>600094</stp>
        <stp>2019-12-31</stp>
        <stp>2</stp>
        <tr r="L451" s="1"/>
      </tp>
      <tp>
        <v>3943798452</v>
        <stp/>
        <stp>EM_HKS_VAL_MV</stp>
        <stp>3</stp>
        <stp>600594</stp>
        <stp>2019-12-31</stp>
        <stp>2</stp>
        <tr r="L2856" s="1"/>
      </tp>
      <tp>
        <v>8044953905.6700001</v>
        <stp/>
        <stp>EM_HKS_VAL_MV</stp>
        <stp>3</stp>
        <stp>600694</stp>
        <stp>2019-12-31</stp>
        <stp>2</stp>
        <tr r="L1594" s="1"/>
      </tp>
      <tp>
        <v>4630421239.7399998</v>
        <stp/>
        <stp>EM_HKS_VAL_MV</stp>
        <stp>3</stp>
        <stp>600794</stp>
        <stp>2019-12-31</stp>
        <stp>2</stp>
        <tr r="L627" s="1"/>
      </tp>
      <tp>
        <v>6458201181.4499998</v>
        <stp/>
        <stp>EM_HKS_VAL_MV</stp>
        <stp>3</stp>
        <stp>600894</stp>
        <stp>2019-12-31</stp>
        <stp>2</stp>
        <tr r="L802" s="1"/>
      </tp>
      <tp>
        <v>5526195902.3100004</v>
        <stp/>
        <stp>EM_HKS_VAL_MV</stp>
        <stp>3</stp>
        <stp>603595</stp>
        <stp>2019-12-31</stp>
        <stp>2</stp>
        <tr r="L3013" s="1"/>
      </tp>
      <tp>
        <v>2498809600</v>
        <stp/>
        <stp>EM_HKS_VAL_MV</stp>
        <stp>3</stp>
        <stp>603895</stp>
        <stp>2019-12-31</stp>
        <stp>2</stp>
        <tr r="L2804" s="1"/>
      </tp>
      <tp>
        <v>3547608208.3000002</v>
        <stp/>
        <stp>EM_HKS_VAL_MV</stp>
        <stp>3</stp>
        <stp>600095</stp>
        <stp>2019-12-31</stp>
        <stp>2</stp>
        <tr r="L100" s="1"/>
      </tp>
      <tp>
        <v>9729812400</v>
        <stp/>
        <stp>EM_HKS_VAL_MV</stp>
        <stp>3</stp>
        <stp>600195</stp>
        <stp>2019-12-31</stp>
        <stp>2</stp>
        <tr r="L1893" s="1"/>
      </tp>
      <tp>
        <v>12880082562.379999</v>
        <stp/>
        <stp>EM_HKS_VAL_MV</stp>
        <stp>3</stp>
        <stp>600295</stp>
        <stp>2019-12-31</stp>
        <stp>2</stp>
        <tr r="L1322" s="1"/>
      </tp>
      <tp>
        <v>10112366870.709999</v>
        <stp/>
        <stp>EM_HKS_VAL_MV</stp>
        <stp>3</stp>
        <stp>600395</stp>
        <stp>2019-12-31</stp>
        <stp>2</stp>
        <tr r="L1227" s="1"/>
      </tp>
      <tp>
        <v>5074401721.1999998</v>
        <stp/>
        <stp>EM_HKS_VAL_MV</stp>
        <stp>3</stp>
        <stp>600495</stp>
        <stp>2019-12-31</stp>
        <stp>2</stp>
        <tr r="L2218" s="1"/>
      </tp>
      <tp>
        <v>4314692925.3999996</v>
        <stp/>
        <stp>EM_HKS_VAL_MV</stp>
        <stp>3</stp>
        <stp>600595</stp>
        <stp>2019-12-31</stp>
        <stp>2</stp>
        <tr r="L1620" s="1"/>
      </tp>
      <tp>
        <v>6236628517</v>
        <stp/>
        <stp>EM_HKS_VAL_MV</stp>
        <stp>3</stp>
        <stp>600695</stp>
        <stp>2019-12-31</stp>
        <stp>2</stp>
        <tr r="L307" s="1"/>
      </tp>
      <tp>
        <v>45981930957.300003</v>
        <stp/>
        <stp>EM_HKS_VAL_MV</stp>
        <stp>3</stp>
        <stp>600795</stp>
        <stp>2019-12-31</stp>
        <stp>2</stp>
        <tr r="L2731" s="1"/>
      </tp>
      <tp>
        <v>23710437010.5</v>
        <stp/>
        <stp>EM_HKS_VAL_MV</stp>
        <stp>3</stp>
        <stp>600895</stp>
        <stp>2019-12-31</stp>
        <stp>2</stp>
        <tr r="L2139" s="1"/>
      </tp>
      <tp>
        <v>3732505920</v>
        <stp/>
        <stp>EM_HKS_VAL_MV</stp>
        <stp>3</stp>
        <stp>600995</stp>
        <stp>2019-12-31</stp>
        <stp>2</stp>
        <tr r="L1373" s="1"/>
      </tp>
      <tp>
        <v>5419485000</v>
        <stp/>
        <stp>EM_HKS_VAL_MV</stp>
        <stp>3</stp>
        <stp>601595</stp>
        <stp>2019-12-31</stp>
        <stp>2</stp>
        <tr r="L1270" s="1"/>
      </tp>
      <tp>
        <v>42682770600</v>
        <stp/>
        <stp>EM_HKS_VAL_MV</stp>
        <stp>3</stp>
        <stp>002008</stp>
        <stp>2019-12-31</stp>
        <stp>2</stp>
        <tr r="L3605" s="1"/>
      </tp>
      <tp>
        <v>5544083618.0900002</v>
        <stp/>
        <stp>EM_HKS_VAL_MV</stp>
        <stp>3</stp>
        <stp>002108</stp>
        <stp>2019-12-31</stp>
        <stp>2</stp>
        <tr r="L3637" s="1"/>
      </tp>
      <tp>
        <v>3416107200</v>
        <stp/>
        <stp>EM_HKS_VAL_MV</stp>
        <stp>3</stp>
        <stp>002208</stp>
        <stp>2019-12-31</stp>
        <stp>2</stp>
        <tr r="L3250" s="1"/>
      </tp>
      <tp>
        <v>4186711687.6199999</v>
        <stp/>
        <stp>EM_HKS_VAL_MV</stp>
        <stp>3</stp>
        <stp>002308</stp>
        <stp>2019-12-31</stp>
        <stp>2</stp>
        <tr r="L2098" s="1"/>
      </tp>
      <tp>
        <v>12692746158.950001</v>
        <stp/>
        <stp>EM_HKS_VAL_MV</stp>
        <stp>3</stp>
        <stp>002408</stp>
        <stp>2019-12-31</stp>
        <stp>2</stp>
        <tr r="L2019" s="1"/>
      </tp>
      <tp>
        <v>32086503130.5</v>
        <stp/>
        <stp>EM_HKS_VAL_MV</stp>
        <stp>3</stp>
        <stp>002508</stp>
        <stp>2019-12-31</stp>
        <stp>2</stp>
        <tr r="L332" s="1"/>
      </tp>
      <tp>
        <v>29128994517.84</v>
        <stp/>
        <stp>EM_HKS_VAL_MV</stp>
        <stp>3</stp>
        <stp>002608</stp>
        <stp>2019-12-31</stp>
        <stp>2</stp>
        <tr r="L2248" s="1"/>
      </tp>
      <tp>
        <v>3802463326.3600001</v>
        <stp/>
        <stp>EM_HKS_VAL_MV</stp>
        <stp>3</stp>
        <stp>002708</stp>
        <stp>2019-12-31</stp>
        <stp>2</stp>
        <tr r="L1971" s="1"/>
      </tp>
      <tp>
        <v>2583168000</v>
        <stp/>
        <stp>EM_HKS_VAL_MV</stp>
        <stp>3</stp>
        <stp>002808</stp>
        <stp>2019-12-31</stp>
        <stp>2</stp>
        <tr r="L3161" s="1"/>
      </tp>
      <tp>
        <v>2579070006</v>
        <stp/>
        <stp>EM_HKS_VAL_MV</stp>
        <stp>3</stp>
        <stp>002908</stp>
        <stp>2019-12-31</stp>
        <stp>2</stp>
        <tr r="L3201" s="1"/>
      </tp>
      <tp>
        <v>2800102891.3200002</v>
        <stp/>
        <stp>EM_HKS_VAL_MV</stp>
        <stp>3</stp>
        <stp>603168</stp>
        <stp>2019-12-31</stp>
        <stp>2</stp>
        <tr r="L1079" s="1"/>
      </tp>
      <tp>
        <v>1985459112</v>
        <stp/>
        <stp>EM_HKS_VAL_MV</stp>
        <stp>3</stp>
        <stp>603268</stp>
        <stp>2019-12-31</stp>
        <stp>2</stp>
        <tr r="L2529" s="1"/>
      </tp>
      <tp>
        <v>8715230555.2399998</v>
        <stp/>
        <stp>EM_HKS_VAL_MV</stp>
        <stp>3</stp>
        <stp>603368</stp>
        <stp>2019-12-31</stp>
        <stp>2</stp>
        <tr r="L1009" s="1"/>
      </tp>
      <tp>
        <v>21899369797.799999</v>
        <stp/>
        <stp>EM_HKS_VAL_MV</stp>
        <stp>3</stp>
        <stp>603568</stp>
        <stp>2019-12-31</stp>
        <stp>2</stp>
        <tr r="L2253" s="1"/>
      </tp>
      <tp>
        <v>2813653376.52</v>
        <stp/>
        <stp>EM_HKS_VAL_MV</stp>
        <stp>3</stp>
        <stp>603668</stp>
        <stp>2019-12-31</stp>
        <stp>2</stp>
        <tr r="L1555" s="1"/>
      </tp>
      <tp>
        <v>2225640000</v>
        <stp/>
        <stp>EM_HKS_VAL_MV</stp>
        <stp>3</stp>
        <stp>603768</stp>
        <stp>2019-12-31</stp>
        <stp>2</stp>
        <tr r="L2158" s="1"/>
      </tp>
      <tp>
        <v>16413408000</v>
        <stp/>
        <stp>EM_HKS_VAL_MV</stp>
        <stp>3</stp>
        <stp>603868</stp>
        <stp>2019-12-31</stp>
        <stp>2</stp>
        <tr r="L2443" s="1"/>
      </tp>
      <tp>
        <v>3018124800</v>
        <stp/>
        <stp>EM_HKS_VAL_MV</stp>
        <stp>3</stp>
        <stp>603968</stp>
        <stp>2019-12-31</stp>
        <stp>2</stp>
        <tr r="L1405" s="1"/>
      </tp>
      <tp>
        <v>10094287105.98</v>
        <stp/>
        <stp>EM_HKS_VAL_MV</stp>
        <stp>3</stp>
        <stp>000008</stp>
        <stp>2019-12-31</stp>
        <stp>2</stp>
        <tr r="L2627" s="1"/>
      </tp>
      <tp>
        <v>10101149800.26</v>
        <stp/>
        <stp>EM_HKS_VAL_MV</stp>
        <stp>3</stp>
        <stp>300038</stp>
        <stp>2019-12-31</stp>
        <stp>2</stp>
        <tr r="L2648" s="1"/>
      </tp>
      <tp>
        <v>30759913112.16</v>
        <stp/>
        <stp>EM_HKS_VAL_MV</stp>
        <stp>3</stp>
        <stp>600068</stp>
        <stp>2019-12-31</stp>
        <stp>2</stp>
        <tr r="L2190" s="1"/>
      </tp>
      <tp>
        <v>3828769154.3200002</v>
        <stp/>
        <stp>EM_HKS_VAL_MV</stp>
        <stp>3</stp>
        <stp>300138</stp>
        <stp>2019-12-31</stp>
        <stp>2</stp>
        <tr r="L941" s="1"/>
      </tp>
      <tp>
        <v>4747021239.4799995</v>
        <stp/>
        <stp>EM_HKS_VAL_MV</stp>
        <stp>3</stp>
        <stp>600168</stp>
        <stp>2019-12-31</stp>
        <stp>2</stp>
        <tr r="L1443" s="1"/>
      </tp>
      <tp>
        <v>5067125446.1099997</v>
        <stp/>
        <stp>EM_HKS_VAL_MV</stp>
        <stp>3</stp>
        <stp>300238</stp>
        <stp>2019-12-31</stp>
        <stp>2</stp>
        <tr r="L179" s="1"/>
      </tp>
      <tp>
        <v>3573663045.7600002</v>
        <stp/>
        <stp>EM_HKS_VAL_MV</stp>
        <stp>3</stp>
        <stp>600268</stp>
        <stp>2019-12-31</stp>
        <stp>2</stp>
        <tr r="L1195" s="1"/>
      </tp>
      <tp>
        <v>3638864375.1999998</v>
        <stp/>
        <stp>EM_HKS_VAL_MV</stp>
        <stp>3</stp>
        <stp>300338</stp>
        <stp>2019-12-31</stp>
        <stp>2</stp>
        <tr r="L520" s="1"/>
      </tp>
      <tp>
        <v>5087856947.3599997</v>
        <stp/>
        <stp>EM_HKS_VAL_MV</stp>
        <stp>3</stp>
        <stp>600368</stp>
        <stp>2019-12-31</stp>
        <stp>2</stp>
        <tr r="L637" s="1"/>
      </tp>
      <tp>
        <v>14714092872.360001</v>
        <stp/>
        <stp>EM_HKS_VAL_MV</stp>
        <stp>3</stp>
        <stp>000408</stp>
        <stp>2019-12-31</stp>
        <stp>2</stp>
        <tr r="L3418" s="1"/>
      </tp>
      <tp>
        <v>7534870196.3999996</v>
        <stp/>
        <stp>EM_HKS_VAL_MV</stp>
        <stp>3</stp>
        <stp>300438</stp>
        <stp>2019-12-31</stp>
        <stp>2</stp>
        <tr r="L364" s="1"/>
      </tp>
      <tp>
        <v>4151011640.5999999</v>
        <stp/>
        <stp>EM_HKS_VAL_MV</stp>
        <stp>3</stp>
        <stp>600468</stp>
        <stp>2019-12-31</stp>
        <stp>2</stp>
        <tr r="L3233" s="1"/>
      </tp>
      <tp>
        <v>13144163058</v>
        <stp/>
        <stp>EM_HKS_VAL_MV</stp>
        <stp>3</stp>
        <stp>000508</stp>
        <stp>2019-12-31</stp>
        <stp>2</stp>
        <tr r="L3434" s="1"/>
      </tp>
      <tp>
        <v>2680814298.2399998</v>
        <stp/>
        <stp>EM_HKS_VAL_MV</stp>
        <stp>3</stp>
        <stp>300538</stp>
        <stp>2019-12-31</stp>
        <stp>2</stp>
        <tr r="L2971" s="1"/>
      </tp>
      <tp>
        <v>3487521941.75</v>
        <stp/>
        <stp>EM_HKS_VAL_MV</stp>
        <stp>3</stp>
        <stp>600568</stp>
        <stp>2019-12-31</stp>
        <stp>2</stp>
        <tr r="L3135" s="1"/>
      </tp>
      <tp>
        <v>3697072613.3699999</v>
        <stp/>
        <stp>EM_HKS_VAL_MV</stp>
        <stp>3</stp>
        <stp>000608</stp>
        <stp>2019-12-31</stp>
        <stp>2</stp>
        <tr r="L3481" s="1"/>
      </tp>
      <tp>
        <v>8415857653.5</v>
        <stp/>
        <stp>EM_HKS_VAL_MV</stp>
        <stp>3</stp>
        <stp>300638</stp>
        <stp>2019-12-31</stp>
        <stp>2</stp>
        <tr r="L110" s="1"/>
      </tp>
      <tp>
        <v>5436524482.3999996</v>
        <stp/>
        <stp>EM_HKS_VAL_MV</stp>
        <stp>3</stp>
        <stp>600668</stp>
        <stp>2019-12-31</stp>
        <stp>2</stp>
        <tr r="L921" s="1"/>
      </tp>
      <tp>
        <v>68077058192.860001</v>
        <stp/>
        <stp>EM_HKS_VAL_MV</stp>
        <stp>3</stp>
        <stp>000708</stp>
        <stp>2019-12-31</stp>
        <stp>2</stp>
        <tr r="L73" s="1"/>
      </tp>
      <tp>
        <v>4083563088</v>
        <stp/>
        <stp>EM_HKS_VAL_MV</stp>
        <stp>3</stp>
        <stp>300738</stp>
        <stp>2019-12-31</stp>
        <stp>2</stp>
        <tr r="L2898" s="1"/>
      </tp>
      <tp>
        <v>1638403200</v>
        <stp/>
        <stp>EM_HKS_VAL_MV</stp>
        <stp>3</stp>
        <stp>600768</stp>
        <stp>2019-12-31</stp>
        <stp>2</stp>
        <tr r="L914" s="1"/>
      </tp>
      <tp>
        <v>6548612942.5500002</v>
        <stp/>
        <stp>EM_HKS_VAL_MV</stp>
        <stp>3</stp>
        <stp>600868</stp>
        <stp>2019-12-31</stp>
        <stp>2</stp>
        <tr r="L1248" s="1"/>
      </tp>
      <tp>
        <v>3334344790.29</v>
        <stp/>
        <stp>EM_HKS_VAL_MV</stp>
        <stp>3</stp>
        <stp>000908</stp>
        <stp>2019-12-31</stp>
        <stp>2</stp>
        <tr r="L3008" s="1"/>
      </tp>
      <tp>
        <v>15775460000</v>
        <stp/>
        <stp>EM_HKS_VAL_MV</stp>
        <stp>3</stp>
        <stp>601168</stp>
        <stp>2019-12-31</stp>
        <stp>2</stp>
        <tr r="L1406" s="1"/>
      </tp>
      <tp>
        <v>17080419610.4</v>
        <stp/>
        <stp>EM_HKS_VAL_MV</stp>
        <stp>3</stp>
        <stp>601268</stp>
        <stp>2019-12-31</stp>
        <stp>2</stp>
        <tr r="L2338" s="1"/>
      </tp>
      <tp>
        <v>5156562769.6800003</v>
        <stp/>
        <stp>EM_HKS_VAL_MV</stp>
        <stp>3</stp>
        <stp>601368</stp>
        <stp>2019-12-31</stp>
        <stp>2</stp>
        <tr r="L2204" s="1"/>
      </tp>
      <tp>
        <v>235903038975.82001</v>
        <stp/>
        <stp>EM_HKS_VAL_MV</stp>
        <stp>3</stp>
        <stp>601668</stp>
        <stp>2019-12-31</stp>
        <stp>2</stp>
        <tr r="L2444" s="1"/>
      </tp>
      <tp>
        <v>4224999831</v>
        <stp/>
        <stp>EM_HKS_VAL_MV</stp>
        <stp>3</stp>
        <stp>601968</stp>
        <stp>2019-12-31</stp>
        <stp>2</stp>
        <tr r="L1000" s="1"/>
      </tp>
      <tp>
        <v>2834703170.0999999</v>
        <stp/>
        <stp>EM_HKS_VAL_MV</stp>
        <stp>3</stp>
        <stp>002009</stp>
        <stp>2019-12-31</stp>
        <stp>2</stp>
        <tr r="L2192" s="1"/>
      </tp>
      <tp>
        <v>3558953386.8200002</v>
        <stp/>
        <stp>EM_HKS_VAL_MV</stp>
        <stp>3</stp>
        <stp>002109</stp>
        <stp>2019-12-31</stp>
        <stp>2</stp>
        <tr r="L2560" s="1"/>
      </tp>
      <tp>
        <v>1354993707</v>
        <stp/>
        <stp>EM_HKS_VAL_MV</stp>
        <stp>3</stp>
        <stp>002209</stp>
        <stp>2019-12-31</stp>
        <stp>2</stp>
        <tr r="L2160" s="1"/>
      </tp>
      <tp>
        <v>5361490468.1999998</v>
        <stp/>
        <stp>EM_HKS_VAL_MV</stp>
        <stp>3</stp>
        <stp>002309</stp>
        <stp>2019-12-31</stp>
        <stp>2</stp>
        <tr r="L3182" s="1"/>
      </tp>
      <tp>
        <v>10738201269.6</v>
        <stp/>
        <stp>EM_HKS_VAL_MV</stp>
        <stp>3</stp>
        <stp>002409</stp>
        <stp>2019-12-31</stp>
        <stp>2</stp>
        <tr r="L294" s="1"/>
      </tp>
      <tp>
        <v>3539339628.3200002</v>
        <stp/>
        <stp>EM_HKS_VAL_MV</stp>
        <stp>3</stp>
        <stp>002509</stp>
        <stp>2019-12-31</stp>
        <stp>2</stp>
        <tr r="L3313" s="1"/>
      </tp>
      <tp>
        <v>5543983775.1899996</v>
        <stp/>
        <stp>EM_HKS_VAL_MV</stp>
        <stp>3</stp>
        <stp>002609</stp>
        <stp>2019-12-31</stp>
        <stp>2</stp>
        <tr r="L507" s="1"/>
      </tp>
      <tp>
        <v>11350312782.299999</v>
        <stp/>
        <stp>EM_HKS_VAL_MV</stp>
        <stp>3</stp>
        <stp>002709</stp>
        <stp>2019-12-31</stp>
        <stp>2</stp>
        <tr r="L2533" s="1"/>
      </tp>
      <tp>
        <v>2290800000</v>
        <stp/>
        <stp>EM_HKS_VAL_MV</stp>
        <stp>3</stp>
        <stp>002809</stp>
        <stp>2019-12-31</stp>
        <stp>2</stp>
        <tr r="L961" s="1"/>
      </tp>
      <tp>
        <v>1932000000</v>
        <stp/>
        <stp>EM_HKS_VAL_MV</stp>
        <stp>3</stp>
        <stp>002909</stp>
        <stp>2019-12-31</stp>
        <stp>2</stp>
        <tr r="L2046" s="1"/>
      </tp>
      <tp>
        <v>3270600000</v>
        <stp/>
        <stp>EM_HKS_VAL_MV</stp>
        <stp>3</stp>
        <stp>603069</stp>
        <stp>2019-12-31</stp>
        <stp>2</stp>
        <tr r="L464" s="1"/>
      </tp>
      <tp>
        <v>6140774751.8400002</v>
        <stp/>
        <stp>EM_HKS_VAL_MV</stp>
        <stp>3</stp>
        <stp>603169</stp>
        <stp>2019-12-31</stp>
        <stp>2</stp>
        <tr r="L821" s="1"/>
      </tp>
      <tp>
        <v>1267774200</v>
        <stp/>
        <stp>EM_HKS_VAL_MV</stp>
        <stp>3</stp>
        <stp>603269</stp>
        <stp>2019-12-31</stp>
        <stp>2</stp>
        <tr r="L2502" s="1"/>
      </tp>
      <tp>
        <v>41047240000</v>
        <stp/>
        <stp>EM_HKS_VAL_MV</stp>
        <stp>3</stp>
        <stp>603369</stp>
        <stp>2019-12-31</stp>
        <stp>2</stp>
        <tr r="L109" s="1"/>
      </tp>
      <tp>
        <v>5838060675.54</v>
        <stp/>
        <stp>EM_HKS_VAL_MV</stp>
        <stp>3</stp>
        <stp>603569</stp>
        <stp>2019-12-31</stp>
        <stp>2</stp>
        <tr r="L2510" s="1"/>
      </tp>
      <tp>
        <v>3740464000</v>
        <stp/>
        <stp>EM_HKS_VAL_MV</stp>
        <stp>3</stp>
        <stp>603669</stp>
        <stp>2019-12-31</stp>
        <stp>2</stp>
        <tr r="L3197" s="1"/>
      </tp>
      <tp>
        <v>6013646055.3599997</v>
        <stp/>
        <stp>EM_HKS_VAL_MV</stp>
        <stp>3</stp>
        <stp>603869</stp>
        <stp>2019-12-31</stp>
        <stp>2</stp>
        <tr r="L3074" s="1"/>
      </tp>
      <tp>
        <v>3591070000</v>
        <stp/>
        <stp>EM_HKS_VAL_MV</stp>
        <stp>3</stp>
        <stp>603969</stp>
        <stp>2019-12-31</stp>
        <stp>2</stp>
        <tr r="L2760" s="1"/>
      </tp>
      <tp>
        <v>15965334443.35</v>
        <stp/>
        <stp>EM_HKS_VAL_MV</stp>
        <stp>3</stp>
        <stp>000009</stp>
        <stp>2019-12-31</stp>
        <stp>2</stp>
        <tr r="L295" s="1"/>
      </tp>
      <tp>
        <v>5240460000</v>
        <stp/>
        <stp>EM_HKS_VAL_MV</stp>
        <stp>3</stp>
        <stp>300039</stp>
        <stp>2019-12-31</stp>
        <stp>2</stp>
        <tr r="L1356" s="1"/>
      </tp>
      <tp>
        <v>4335636363.4799995</v>
        <stp/>
        <stp>EM_HKS_VAL_MV</stp>
        <stp>3</stp>
        <stp>600069</stp>
        <stp>2019-12-31</stp>
        <stp>2</stp>
        <tr r="L2650" s="1"/>
      </tp>
      <tp>
        <v>2381060000</v>
        <stp/>
        <stp>EM_HKS_VAL_MV</stp>
        <stp>3</stp>
        <stp>300139</stp>
        <stp>2019-12-31</stp>
        <stp>2</stp>
        <tr r="L1318" s="1"/>
      </tp>
      <tp>
        <v>5974015150</v>
        <stp/>
        <stp>EM_HKS_VAL_MV</stp>
        <stp>3</stp>
        <stp>600169</stp>
        <stp>2019-12-31</stp>
        <stp>2</stp>
        <tr r="L2058" s="1"/>
      </tp>
      <tp>
        <v>2634640384.3200002</v>
        <stp/>
        <stp>EM_HKS_VAL_MV</stp>
        <stp>3</stp>
        <stp>300239</stp>
        <stp>2019-12-31</stp>
        <stp>2</stp>
        <tr r="L984" s="1"/>
      </tp>
      <tp>
        <v>9645230967.8199997</v>
        <stp/>
        <stp>EM_HKS_VAL_MV</stp>
        <stp>3</stp>
        <stp>600269</stp>
        <stp>2019-12-31</stp>
        <stp>2</stp>
        <tr r="L1972" s="1"/>
      </tp>
      <tp>
        <v>11046218364.67</v>
        <stp/>
        <stp>EM_HKS_VAL_MV</stp>
        <stp>3</stp>
        <stp>300339</stp>
        <stp>2019-12-31</stp>
        <stp>2</stp>
        <tr r="L650" s="1"/>
      </tp>
      <tp>
        <v>29298116353.560001</v>
        <stp/>
        <stp>EM_HKS_VAL_MV</stp>
        <stp>3</stp>
        <stp>600369</stp>
        <stp>2019-12-31</stp>
        <stp>2</stp>
        <tr r="L559" s="1"/>
      </tp>
      <tp>
        <v>2462688181.5599999</v>
        <stp/>
        <stp>EM_HKS_VAL_MV</stp>
        <stp>3</stp>
        <stp>000409</stp>
        <stp>2019-12-31</stp>
        <stp>2</stp>
        <tr r="L2918" s="1"/>
      </tp>
      <tp>
        <v>4692662605.8000002</v>
        <stp/>
        <stp>EM_HKS_VAL_MV</stp>
        <stp>3</stp>
        <stp>300439</stp>
        <stp>2019-12-31</stp>
        <stp>2</stp>
        <tr r="L2237" s="1"/>
      </tp>
      <tp>
        <v>2767073052.2399998</v>
        <stp/>
        <stp>EM_HKS_VAL_MV</stp>
        <stp>3</stp>
        <stp>600469</stp>
        <stp>2019-12-31</stp>
        <stp>2</stp>
        <tr r="L749" s="1"/>
      </tp>
      <tp>
        <v>1981159480.8</v>
        <stp/>
        <stp>EM_HKS_VAL_MV</stp>
        <stp>3</stp>
        <stp>000509</stp>
        <stp>2019-12-31</stp>
        <stp>2</stp>
        <tr r="L3435" s="1"/>
      </tp>
      <tp>
        <v>1605869322.7</v>
        <stp/>
        <stp>EM_HKS_VAL_MV</stp>
        <stp>3</stp>
        <stp>300539</stp>
        <stp>2019-12-31</stp>
        <stp>2</stp>
        <tr r="L2767" s="1"/>
      </tp>
      <tp>
        <v>7324674534.3000002</v>
        <stp/>
        <stp>EM_HKS_VAL_MV</stp>
        <stp>3</stp>
        <stp>600569</stp>
        <stp>2019-12-31</stp>
        <stp>2</stp>
        <tr r="L3012" s="1"/>
      </tp>
      <tp>
        <v>1645960371</v>
        <stp/>
        <stp>EM_HKS_VAL_MV</stp>
        <stp>3</stp>
        <stp>000609</stp>
        <stp>2019-12-31</stp>
        <stp>2</stp>
        <tr r="L3482" s="1"/>
      </tp>
      <tp>
        <v>5312800120.6800003</v>
        <stp/>
        <stp>EM_HKS_VAL_MV</stp>
        <stp>3</stp>
        <stp>300639</stp>
        <stp>2019-12-31</stp>
        <stp>2</stp>
        <tr r="L429" s="1"/>
      </tp>
      <tp>
        <v>1231689504.8099999</v>
        <stp/>
        <stp>EM_HKS_VAL_MV</stp>
        <stp>3</stp>
        <stp>600669</stp>
        <stp>2019-12-31</stp>
        <stp>2</stp>
        <tr r="L2313" s="1"/>
      </tp>
      <tp>
        <v>27396008258.16</v>
        <stp/>
        <stp>EM_HKS_VAL_MV</stp>
        <stp>3</stp>
        <stp>000709</stp>
        <stp>2019-12-31</stp>
        <stp>2</stp>
        <tr r="L2736" s="1"/>
      </tp>
      <tp>
        <v>5283432000</v>
        <stp/>
        <stp>EM_HKS_VAL_MV</stp>
        <stp>3</stp>
        <stp>300739</stp>
        <stp>2019-12-31</stp>
        <stp>2</stp>
        <tr r="L2754" s="1"/>
      </tp>
      <tp>
        <v>2081123460</v>
        <stp/>
        <stp>EM_HKS_VAL_MV</stp>
        <stp>3</stp>
        <stp>600769</stp>
        <stp>2019-12-31</stp>
        <stp>2</stp>
        <tr r="L695" s="1"/>
      </tp>
      <tp>
        <v>1954755364.4100001</v>
        <stp/>
        <stp>EM_HKS_VAL_MV</stp>
        <stp>3</stp>
        <stp>000809</stp>
        <stp>2019-12-31</stp>
        <stp>2</stp>
        <tr r="L2356" s="1"/>
      </tp>
      <tp>
        <v>10874828455.4</v>
        <stp/>
        <stp>EM_HKS_VAL_MV</stp>
        <stp>3</stp>
        <stp>600869</stp>
        <stp>2019-12-31</stp>
        <stp>2</stp>
        <tr r="L2251" s="1"/>
      </tp>
      <tp>
        <v>2430102169.9200001</v>
        <stp/>
        <stp>EM_HKS_VAL_MV</stp>
        <stp>3</stp>
        <stp>000909</stp>
        <stp>2019-12-31</stp>
        <stp>2</stp>
        <tr r="L3571" s="1"/>
      </tp>
      <tp>
        <v>2449734204.0799999</v>
        <stp/>
        <stp>EM_HKS_VAL_MV</stp>
        <stp>3</stp>
        <stp>600969</stp>
        <stp>2019-12-31</stp>
        <stp>2</stp>
        <tr r="L1681" s="1"/>
      </tp>
      <tp>
        <v>9603600000</v>
        <stp/>
        <stp>EM_HKS_VAL_MV</stp>
        <stp>3</stp>
        <stp>601069</stp>
        <stp>2019-12-31</stp>
        <stp>2</stp>
        <tr r="L2244" s="1"/>
      </tp>
      <tp>
        <v>120092150664.96001</v>
        <stp/>
        <stp>EM_HKS_VAL_MV</stp>
        <stp>3</stp>
        <stp>601169</stp>
        <stp>2019-12-31</stp>
        <stp>2</stp>
        <tr r="L2223" s="1"/>
      </tp>
      <tp>
        <v>11160896049.450001</v>
        <stp/>
        <stp>EM_HKS_VAL_MV</stp>
        <stp>3</stp>
        <stp>601369</stp>
        <stp>2019-12-31</stp>
        <stp>2</stp>
        <tr r="L1777" s="1"/>
      </tp>
      <tp>
        <v>66397812004.160004</v>
        <stp/>
        <stp>EM_HKS_VAL_MV</stp>
        <stp>3</stp>
        <stp>601669</stp>
        <stp>2019-12-31</stp>
        <stp>2</stp>
        <tr r="L2887" s="1"/>
      </tp>
      <tp>
        <v>11317830618.059999</v>
        <stp/>
        <stp>EM_HKS_VAL_MV</stp>
        <stp>3</stp>
        <stp>601969</stp>
        <stp>2019-12-31</stp>
        <stp>2</stp>
        <tr r="L915" s="1"/>
      </tp>
      <tp>
        <v>10769049362.24</v>
        <stp/>
        <stp>EM_HKS_VAL_MV</stp>
        <stp>3</stp>
        <stp>002002</stp>
        <stp>2019-12-31</stp>
        <stp>2</stp>
        <tr r="L3603" s="1"/>
      </tp>
      <tp>
        <v>5820778200.8999996</v>
        <stp/>
        <stp>EM_HKS_VAL_MV</stp>
        <stp>3</stp>
        <stp>002102</stp>
        <stp>2019-12-31</stp>
        <stp>2</stp>
        <tr r="L3634" s="1"/>
      </tp>
      <tp>
        <v>50489558381.650002</v>
        <stp/>
        <stp>EM_HKS_VAL_MV</stp>
        <stp>3</stp>
        <stp>002202</stp>
        <stp>2019-12-31</stp>
        <stp>2</stp>
        <tr r="L1408" s="1"/>
      </tp>
      <tp>
        <v>14251980092.16</v>
        <stp/>
        <stp>EM_HKS_VAL_MV</stp>
        <stp>3</stp>
        <stp>002302</stp>
        <stp>2019-12-31</stp>
        <stp>2</stp>
        <tr r="L1075" s="1"/>
      </tp>
      <tp>
        <v>11277720684.299999</v>
        <stp/>
        <stp>EM_HKS_VAL_MV</stp>
        <stp>3</stp>
        <stp>002402</stp>
        <stp>2019-12-31</stp>
        <stp>2</stp>
        <tr r="L144" s="1"/>
      </tp>
      <tp>
        <v>2734255819.3200002</v>
        <stp/>
        <stp>EM_HKS_VAL_MV</stp>
        <stp>3</stp>
        <stp>002502</stp>
        <stp>2019-12-31</stp>
        <stp>2</stp>
        <tr r="L2997" s="1"/>
      </tp>
      <tp>
        <v>68082027932.699997</v>
        <stp/>
        <stp>EM_HKS_VAL_MV</stp>
        <stp>3</stp>
        <stp>002602</stp>
        <stp>2019-12-31</stp>
        <stp>2</stp>
        <tr r="L3332" s="1"/>
      </tp>
      <tp>
        <v>2072075600</v>
        <stp/>
        <stp>EM_HKS_VAL_MV</stp>
        <stp>3</stp>
        <stp>002702</stp>
        <stp>2019-12-31</stp>
        <stp>2</stp>
        <tr r="L1877" s="1"/>
      </tp>
      <tp>
        <v>2198350485</v>
        <stp/>
        <stp>EM_HKS_VAL_MV</stp>
        <stp>3</stp>
        <stp>002802</stp>
        <stp>2019-12-31</stp>
        <stp>2</stp>
        <tr r="L2459" s="1"/>
      </tp>
      <tp>
        <v>4872000000</v>
        <stp/>
        <stp>EM_HKS_VAL_MV</stp>
        <stp>3</stp>
        <stp>002902</stp>
        <stp>2019-12-31</stp>
        <stp>2</stp>
        <tr r="L2409" s="1"/>
      </tp>
      <tp>
        <v>363702961772.17999</v>
        <stp/>
        <stp>EM_HKS_VAL_MV</stp>
        <stp>3</stp>
        <stp>000002</stp>
        <stp>2019-12-31</stp>
        <stp>2</stp>
        <tr r="L725" s="1"/>
      </tp>
      <tp>
        <v>2995822637.8400002</v>
        <stp/>
        <stp>EM_HKS_VAL_MV</stp>
        <stp>3</stp>
        <stp>300032</stp>
        <stp>2019-12-31</stp>
        <stp>2</stp>
        <tr r="L987" s="1"/>
      </tp>
      <tp>
        <v>13614252115.5</v>
        <stp/>
        <stp>EM_HKS_VAL_MV</stp>
        <stp>3</stp>
        <stp>600062</stp>
        <stp>2019-12-31</stp>
        <stp>2</stp>
        <tr r="L1938" s="1"/>
      </tp>
      <tp>
        <v>5697887172.5799999</v>
        <stp/>
        <stp>EM_HKS_VAL_MV</stp>
        <stp>3</stp>
        <stp>300132</stp>
        <stp>2019-12-31</stp>
        <stp>2</stp>
        <tr r="L2143" s="1"/>
      </tp>
      <tp>
        <v>7776339460.96</v>
        <stp/>
        <stp>EM_HKS_VAL_MV</stp>
        <stp>3</stp>
        <stp>600162</stp>
        <stp>2019-12-31</stp>
        <stp>2</stp>
        <tr r="L2078" s="1"/>
      </tp>
      <tp>
        <v>9162185513.4599991</v>
        <stp/>
        <stp>EM_HKS_VAL_MV</stp>
        <stp>3</stp>
        <stp>300232</stp>
        <stp>2019-12-31</stp>
        <stp>2</stp>
        <tr r="L1976" s="1"/>
      </tp>
      <tp>
        <v>3085500000</v>
        <stp/>
        <stp>EM_HKS_VAL_MV</stp>
        <stp>3</stp>
        <stp>600262</stp>
        <stp>2019-12-31</stp>
        <stp>2</stp>
        <tr r="L2020" s="1"/>
      </tp>
      <tp>
        <v>3582417496.1300001</v>
        <stp/>
        <stp>EM_HKS_VAL_MV</stp>
        <stp>3</stp>
        <stp>300332</stp>
        <stp>2019-12-31</stp>
        <stp>2</stp>
        <tr r="L1799" s="1"/>
      </tp>
      <tp>
        <v>58624008826.650002</v>
        <stp/>
        <stp>EM_HKS_VAL_MV</stp>
        <stp>3</stp>
        <stp>600362</stp>
        <stp>2019-12-31</stp>
        <stp>2</stp>
        <tr r="L900" s="1"/>
      </tp>
      <tp>
        <v>24270110844.84</v>
        <stp/>
        <stp>EM_HKS_VAL_MV</stp>
        <stp>3</stp>
        <stp>000402</stp>
        <stp>2019-12-31</stp>
        <stp>2</stp>
        <tr r="L3415" s="1"/>
      </tp>
      <tp>
        <v>5386240916.2799997</v>
        <stp/>
        <stp>EM_HKS_VAL_MV</stp>
        <stp>3</stp>
        <stp>300432</stp>
        <stp>2019-12-31</stp>
        <stp>2</stp>
        <tr r="L180" s="1"/>
      </tp>
      <tp>
        <v>875399200</v>
        <stp/>
        <stp>EM_HKS_VAL_MV</stp>
        <stp>3</stp>
        <stp>600462</stp>
        <stp>2019-12-31</stp>
        <stp>2</stp>
        <tr r="L3369" s="1"/>
      </tp>
      <tp>
        <v>1317763797.9100001</v>
        <stp/>
        <stp>EM_HKS_VAL_MV</stp>
        <stp>3</stp>
        <stp>000502</stp>
        <stp>2019-12-31</stp>
        <stp>2</stp>
        <tr r="L3429" s="1"/>
      </tp>
      <tp>
        <v>2926369676.1599998</v>
        <stp/>
        <stp>EM_HKS_VAL_MV</stp>
        <stp>3</stp>
        <stp>300532</stp>
        <stp>2019-12-31</stp>
        <stp>2</stp>
        <tr r="L1967" s="1"/>
      </tp>
      <tp>
        <v>8924509310.4599991</v>
        <stp/>
        <stp>EM_HKS_VAL_MV</stp>
        <stp>3</stp>
        <stp>600562</stp>
        <stp>2019-12-31</stp>
        <stp>2</stp>
        <tr r="L1682" s="1"/>
      </tp>
      <tp>
        <v>13532678676.18</v>
        <stp/>
        <stp>EM_HKS_VAL_MV</stp>
        <stp>3</stp>
        <stp>000602</stp>
        <stp>2019-12-31</stp>
        <stp>2</stp>
        <tr r="L3478" s="1"/>
      </tp>
      <tp>
        <v>4411720057.6700001</v>
        <stp/>
        <stp>EM_HKS_VAL_MV</stp>
        <stp>3</stp>
        <stp>300632</stp>
        <stp>2019-12-31</stp>
        <stp>2</stp>
        <tr r="L320" s="1"/>
      </tp>
      <tp>
        <v>4782264347.1400003</v>
        <stp/>
        <stp>EM_HKS_VAL_MV</stp>
        <stp>3</stp>
        <stp>600662</stp>
        <stp>2019-12-31</stp>
        <stp>2</stp>
        <tr r="L1782" s="1"/>
      </tp>
      <tp>
        <v>1535815157.76</v>
        <stp/>
        <stp>EM_HKS_VAL_MV</stp>
        <stp>3</stp>
        <stp>000702</stp>
        <stp>2019-12-31</stp>
        <stp>2</stp>
        <tr r="L3516" s="1"/>
      </tp>
      <tp>
        <v>3288751931.8800001</v>
        <stp/>
        <stp>EM_HKS_VAL_MV</stp>
        <stp>3</stp>
        <stp>300732</stp>
        <stp>2019-12-31</stp>
        <stp>2</stp>
        <tr r="L3364" s="1"/>
      </tp>
      <tp>
        <v>81361280</v>
        <stp/>
        <stp>EM_HKS_VAL_MV</stp>
        <stp>3</stp>
        <stp>600762</stp>
        <stp>2019-12-31</stp>
        <stp>2</stp>
        <tr r="L2320" s="1"/>
      </tp>
      <tp>
        <v>6650713368.9499998</v>
        <stp/>
        <stp>EM_HKS_VAL_MV</stp>
        <stp>3</stp>
        <stp>000802</stp>
        <stp>2019-12-31</stp>
        <stp>2</stp>
        <tr r="L3543" s="1"/>
      </tp>
      <tp>
        <v>15351401159.139999</v>
        <stp/>
        <stp>EM_HKS_VAL_MV</stp>
        <stp>3</stp>
        <stp>600862</stp>
        <stp>2019-12-31</stp>
        <stp>2</stp>
        <tr r="L174" s="1"/>
      </tp>
      <tp>
        <v>10305781391</v>
        <stp/>
        <stp>EM_HKS_VAL_MV</stp>
        <stp>3</stp>
        <stp>000902</stp>
        <stp>2019-12-31</stp>
        <stp>2</stp>
        <tr r="L2826" s="1"/>
      </tp>
      <tp>
        <v>2144877800</v>
        <stp/>
        <stp>EM_HKS_VAL_MV</stp>
        <stp>3</stp>
        <stp>600962</stp>
        <stp>2019-12-31</stp>
        <stp>2</stp>
        <tr r="L1599" s="1"/>
      </tp>
      <tp>
        <v>4639085019.3599997</v>
        <stp/>
        <stp>EM_HKS_VAL_MV</stp>
        <stp>3</stp>
        <stp>002003</stp>
        <stp>2019-12-31</stp>
        <stp>2</stp>
        <tr r="L2851" s="1"/>
      </tp>
      <tp>
        <v>2673554811.9000001</v>
        <stp/>
        <stp>EM_HKS_VAL_MV</stp>
        <stp>3</stp>
        <stp>002103</stp>
        <stp>2019-12-31</stp>
        <stp>2</stp>
        <tr r="L3635" s="1"/>
      </tp>
      <tp>
        <v>20009101178</v>
        <stp/>
        <stp>EM_HKS_VAL_MV</stp>
        <stp>3</stp>
        <stp>002203</stp>
        <stp>2019-12-31</stp>
        <stp>2</stp>
        <tr r="L951" s="1"/>
      </tp>
      <tp>
        <v>8131328767.3500004</v>
        <stp/>
        <stp>EM_HKS_VAL_MV</stp>
        <stp>3</stp>
        <stp>002303</stp>
        <stp>2019-12-31</stp>
        <stp>2</stp>
        <tr r="L1611" s="1"/>
      </tp>
      <tp>
        <v>2977726808.5</v>
        <stp/>
        <stp>EM_HKS_VAL_MV</stp>
        <stp>3</stp>
        <stp>002403</stp>
        <stp>2019-12-31</stp>
        <stp>2</stp>
        <tr r="L1774" s="1"/>
      </tp>
      <tp>
        <v>7391087896.4399996</v>
        <stp/>
        <stp>EM_HKS_VAL_MV</stp>
        <stp>3</stp>
        <stp>002503</stp>
        <stp>2019-12-31</stp>
        <stp>2</stp>
        <tr r="L2089" s="1"/>
      </tp>
      <tp>
        <v>14962208065.09</v>
        <stp/>
        <stp>EM_HKS_VAL_MV</stp>
        <stp>3</stp>
        <stp>002603</stp>
        <stp>2019-12-31</stp>
        <stp>2</stp>
        <tr r="L1855" s="1"/>
      </tp>
      <tp>
        <v>3632365330.1999998</v>
        <stp/>
        <stp>EM_HKS_VAL_MV</stp>
        <stp>3</stp>
        <stp>002703</stp>
        <stp>2019-12-31</stp>
        <stp>2</stp>
        <tr r="L1670" s="1"/>
      </tp>
      <tp>
        <v>5894281149.5200005</v>
        <stp/>
        <stp>EM_HKS_VAL_MV</stp>
        <stp>3</stp>
        <stp>002803</stp>
        <stp>2019-12-31</stp>
        <stp>2</stp>
        <tr r="L257" s="1"/>
      </tp>
      <tp>
        <v>2193000000</v>
        <stp/>
        <stp>EM_HKS_VAL_MV</stp>
        <stp>3</stp>
        <stp>002903</stp>
        <stp>2019-12-31</stp>
        <stp>2</stp>
        <tr r="L2947" s="1"/>
      </tp>
      <tp>
        <v>4024512600</v>
        <stp/>
        <stp>EM_HKS_VAL_MV</stp>
        <stp>3</stp>
        <stp>603063</stp>
        <stp>2019-12-31</stp>
        <stp>2</stp>
        <tr r="L636" s="1"/>
      </tp>
      <tp>
        <v>6877819080</v>
        <stp/>
        <stp>EM_HKS_VAL_MV</stp>
        <stp>3</stp>
        <stp>603363</stp>
        <stp>2019-12-31</stp>
        <stp>2</stp>
        <tr r="L230" s="1"/>
      </tp>
      <tp>
        <v>2542088999.52</v>
        <stp/>
        <stp>EM_HKS_VAL_MV</stp>
        <stp>3</stp>
        <stp>603663</stp>
        <stp>2019-12-31</stp>
        <stp>2</stp>
        <tr r="L3084" s="1"/>
      </tp>
      <tp>
        <v>1909700000</v>
        <stp/>
        <stp>EM_HKS_VAL_MV</stp>
        <stp>3</stp>
        <stp>603963</stp>
        <stp>2019-12-31</stp>
        <stp>2</stp>
        <tr r="L2617" s="1"/>
      </tp>
      <tp>
        <v>1084325975.0599999</v>
        <stp/>
        <stp>EM_HKS_VAL_MV</stp>
        <stp>3</stp>
        <stp>000003</stp>
        <stp>2019-12-31</stp>
        <stp>2</stp>
        <tr r="L2271" s="1"/>
      </tp>
      <tp>
        <v>58657536000</v>
        <stp/>
        <stp>EM_HKS_VAL_MV</stp>
        <stp>3</stp>
        <stp>300033</stp>
        <stp>2019-12-31</stp>
        <stp>2</stp>
        <tr r="L49" s="1"/>
      </tp>
      <tp>
        <v>7549507192.6400003</v>
        <stp/>
        <stp>EM_HKS_VAL_MV</stp>
        <stp>3</stp>
        <stp>600063</stp>
        <stp>2019-12-31</stp>
        <stp>2</stp>
        <tr r="L327" s="1"/>
      </tp>
      <tp>
        <v>12991985387.4</v>
        <stp/>
        <stp>EM_HKS_VAL_MV</stp>
        <stp>3</stp>
        <stp>300133</stp>
        <stp>2019-12-31</stp>
        <stp>2</stp>
        <tr r="L3041" s="1"/>
      </tp>
      <tp>
        <v>3458149695.8000002</v>
        <stp/>
        <stp>EM_HKS_VAL_MV</stp>
        <stp>3</stp>
        <stp>600163</stp>
        <stp>2019-12-31</stp>
        <stp>2</stp>
        <tr r="L1968" s="1"/>
      </tp>
      <tp>
        <v>7804071924.3000002</v>
        <stp/>
        <stp>EM_HKS_VAL_MV</stp>
        <stp>3</stp>
        <stp>300233</stp>
        <stp>2019-12-31</stp>
        <stp>2</stp>
        <tr r="L694" s="1"/>
      </tp>
      <tp>
        <v>6705625354.3000002</v>
        <stp/>
        <stp>EM_HKS_VAL_MV</stp>
        <stp>3</stp>
        <stp>600263</stp>
        <stp>2019-12-31</stp>
        <stp>2</stp>
        <tr r="L2297" s="1"/>
      </tp>
      <tp>
        <v>3548160000</v>
        <stp/>
        <stp>EM_HKS_VAL_MV</stp>
        <stp>3</stp>
        <stp>300333</stp>
        <stp>2019-12-31</stp>
        <stp>2</stp>
        <tr r="L455" s="1"/>
      </tp>
      <tp>
        <v>6780759507.5</v>
        <stp/>
        <stp>EM_HKS_VAL_MV</stp>
        <stp>3</stp>
        <stp>600363</stp>
        <stp>2019-12-31</stp>
        <stp>2</stp>
        <tr r="L202" s="1"/>
      </tp>
      <tp>
        <v>8804256447.7000008</v>
        <stp/>
        <stp>EM_HKS_VAL_MV</stp>
        <stp>3</stp>
        <stp>000403</stp>
        <stp>2019-12-31</stp>
        <stp>2</stp>
        <tr r="L1103" s="1"/>
      </tp>
      <tp>
        <v>58749050158.279999</v>
        <stp/>
        <stp>EM_HKS_VAL_MV</stp>
        <stp>3</stp>
        <stp>300433</stp>
        <stp>2019-12-31</stp>
        <stp>2</stp>
        <tr r="L140" s="1"/>
      </tp>
      <tp>
        <v>2187000000</v>
        <stp/>
        <stp>EM_HKS_VAL_MV</stp>
        <stp>3</stp>
        <stp>600463</stp>
        <stp>2019-12-31</stp>
        <stp>2</stp>
        <tr r="L2180" s="1"/>
      </tp>
      <tp>
        <v>15387836132.48</v>
        <stp/>
        <stp>EM_HKS_VAL_MV</stp>
        <stp>3</stp>
        <stp>000503</stp>
        <stp>2019-12-31</stp>
        <stp>2</stp>
        <tr r="L3430" s="1"/>
      </tp>
      <tp>
        <v>4518021196</v>
        <stp/>
        <stp>EM_HKS_VAL_MV</stp>
        <stp>3</stp>
        <stp>300533</stp>
        <stp>2019-12-31</stp>
        <stp>2</stp>
        <tr r="L687" s="1"/>
      </tp>
      <tp>
        <v>11126250000</v>
        <stp/>
        <stp>EM_HKS_VAL_MV</stp>
        <stp>3</stp>
        <stp>600563</stp>
        <stp>2019-12-31</stp>
        <stp>2</stp>
        <tr r="L1335" s="1"/>
      </tp>
      <tp>
        <v>10342640496.540001</v>
        <stp/>
        <stp>EM_HKS_VAL_MV</stp>
        <stp>3</stp>
        <stp>000603</stp>
        <stp>2019-12-31</stp>
        <stp>2</stp>
        <tr r="L625" s="1"/>
      </tp>
      <tp>
        <v>9697664000</v>
        <stp/>
        <stp>EM_HKS_VAL_MV</stp>
        <stp>3</stp>
        <stp>300633</stp>
        <stp>2019-12-31</stp>
        <stp>2</stp>
        <tr r="L2972" s="1"/>
      </tp>
      <tp>
        <v>54502007414.400002</v>
        <stp/>
        <stp>EM_HKS_VAL_MV</stp>
        <stp>3</stp>
        <stp>600663</stp>
        <stp>2019-12-31</stp>
        <stp>2</stp>
        <tr r="L2066" s="1"/>
      </tp>
      <tp>
        <v>39556818598.080002</v>
        <stp/>
        <stp>EM_HKS_VAL_MV</stp>
        <stp>3</stp>
        <stp>000703</stp>
        <stp>2019-12-31</stp>
        <stp>2</stp>
        <tr r="L1288" s="1"/>
      </tp>
      <tp>
        <v>1856000000</v>
        <stp/>
        <stp>EM_HKS_VAL_MV</stp>
        <stp>3</stp>
        <stp>300733</stp>
        <stp>2019-12-31</stp>
        <stp>2</stp>
        <tr r="L3184" s="1"/>
      </tp>
      <tp>
        <v>32875219200</v>
        <stp/>
        <stp>EM_HKS_VAL_MV</stp>
        <stp>3</stp>
        <stp>600763</stp>
        <stp>2019-12-31</stp>
        <stp>2</stp>
        <tr r="L136" s="1"/>
      </tp>
      <tp>
        <v>1776736721.6300001</v>
        <stp/>
        <stp>EM_HKS_VAL_MV</stp>
        <stp>3</stp>
        <stp>000803</stp>
        <stp>2019-12-31</stp>
        <stp>2</stp>
        <tr r="L1520" s="1"/>
      </tp>
      <tp>
        <v>15973355156</v>
        <stp/>
        <stp>EM_HKS_VAL_MV</stp>
        <stp>3</stp>
        <stp>600863</stp>
        <stp>2019-12-31</stp>
        <stp>2</stp>
        <tr r="L1344" s="1"/>
      </tp>
      <tp>
        <v>5025542185.3500004</v>
        <stp/>
        <stp>EM_HKS_VAL_MV</stp>
        <stp>3</stp>
        <stp>000903</stp>
        <stp>2019-12-31</stp>
        <stp>2</stp>
        <tr r="L1940" s="1"/>
      </tp>
      <tp>
        <v>6191957845.6400003</v>
        <stp/>
        <stp>EM_HKS_VAL_MV</stp>
        <stp>3</stp>
        <stp>600963</stp>
        <stp>2019-12-31</stp>
        <stp>2</stp>
        <tr r="L1727" s="1"/>
      </tp>
      <tp>
        <v>12240000000</v>
        <stp/>
        <stp>EM_HKS_VAL_MV</stp>
        <stp>3</stp>
        <stp>601163</stp>
        <stp>2019-12-31</stp>
        <stp>2</stp>
        <tr r="L828" s="1"/>
      </tp>
      <tp>
        <v>13597849288.26</v>
        <stp/>
        <stp>EM_HKS_VAL_MV</stp>
        <stp>3</stp>
        <stp>002100</stp>
        <stp>2019-12-31</stp>
        <stp>2</stp>
        <tr r="L54" s="1"/>
      </tp>
      <tp>
        <v>1250262323.0999999</v>
        <stp/>
        <stp>EM_HKS_VAL_MV</stp>
        <stp>3</stp>
        <stp>002200</stp>
        <stp>2019-12-31</stp>
        <stp>2</stp>
        <tr r="L1257" s="1"/>
      </tp>
      <tp>
        <v>3975820200</v>
        <stp/>
        <stp>EM_HKS_VAL_MV</stp>
        <stp>3</stp>
        <stp>002300</stp>
        <stp>2019-12-31</stp>
        <stp>2</stp>
        <tr r="L1241" s="1"/>
      </tp>
      <tp>
        <v>5753012522.3999996</v>
        <stp/>
        <stp>EM_HKS_VAL_MV</stp>
        <stp>3</stp>
        <stp>002400</stp>
        <stp>2019-12-31</stp>
        <stp>2</stp>
        <tr r="L1851" s="1"/>
      </tp>
      <tp>
        <v>23450131518.369999</v>
        <stp/>
        <stp>EM_HKS_VAL_MV</stp>
        <stp>3</stp>
        <stp>002500</stp>
        <stp>2019-12-31</stp>
        <stp>2</stp>
        <tr r="L731" s="1"/>
      </tp>
      <tp>
        <v>74073790224</v>
        <stp/>
        <stp>EM_HKS_VAL_MV</stp>
        <stp>3</stp>
        <stp>002600</stp>
        <stp>2019-12-31</stp>
        <stp>2</stp>
        <tr r="L23" s="1"/>
      </tp>
      <tp>
        <v>2999230848</v>
        <stp/>
        <stp>EM_HKS_VAL_MV</stp>
        <stp>3</stp>
        <stp>002700</stp>
        <stp>2019-12-31</stp>
        <stp>2</stp>
        <tr r="L3204" s="1"/>
      </tp>
      <tp>
        <v>2061168000</v>
        <stp/>
        <stp>EM_HKS_VAL_MV</stp>
        <stp>3</stp>
        <stp>002800</stp>
        <stp>2019-12-31</stp>
        <stp>2</stp>
        <tr r="L363" s="1"/>
      </tp>
      <tp>
        <v>3780204597</v>
        <stp/>
        <stp>EM_HKS_VAL_MV</stp>
        <stp>3</stp>
        <stp>002900</stp>
        <stp>2019-12-31</stp>
        <stp>2</stp>
        <tr r="L2567" s="1"/>
      </tp>
      <tp>
        <v>7478240000</v>
        <stp/>
        <stp>EM_HKS_VAL_MV</stp>
        <stp>3</stp>
        <stp>603060</stp>
        <stp>2019-12-31</stp>
        <stp>2</stp>
        <tr r="L1134" s="1"/>
      </tp>
      <tp>
        <v>94017573077.399994</v>
        <stp/>
        <stp>EM_HKS_VAL_MV</stp>
        <stp>3</stp>
        <stp>603160</stp>
        <stp>2019-12-31</stp>
        <stp>2</stp>
        <tr r="L70" s="1"/>
      </tp>
      <tp>
        <v>27642860000</v>
        <stp/>
        <stp>EM_HKS_VAL_MV</stp>
        <stp>3</stp>
        <stp>603260</stp>
        <stp>2019-12-31</stp>
        <stp>2</stp>
        <tr r="L3246" s="1"/>
      </tp>
      <tp>
        <v>6528059720</v>
        <stp/>
        <stp>EM_HKS_VAL_MV</stp>
        <stp>3</stp>
        <stp>603360</stp>
        <stp>2019-12-31</stp>
        <stp>2</stp>
        <tr r="L51" s="1"/>
      </tp>
      <tp>
        <v>5541870587</v>
        <stp/>
        <stp>EM_HKS_VAL_MV</stp>
        <stp>3</stp>
        <stp>603660</stp>
        <stp>2019-12-31</stp>
        <stp>2</stp>
        <tr r="L3259" s="1"/>
      </tp>
      <tp>
        <v>1824364800</v>
        <stp/>
        <stp>EM_HKS_VAL_MV</stp>
        <stp>3</stp>
        <stp>603860</stp>
        <stp>2019-12-31</stp>
        <stp>2</stp>
        <tr r="L1627" s="1"/>
      </tp>
      <tp>
        <v>5662987200</v>
        <stp/>
        <stp>EM_HKS_VAL_MV</stp>
        <stp>3</stp>
        <stp>603960</stp>
        <stp>2019-12-31</stp>
        <stp>2</stp>
        <tr r="L1420" s="1"/>
      </tp>
      <tp>
        <v>2201714160.9499998</v>
        <stp/>
        <stp>EM_HKS_VAL_MV</stp>
        <stp>3</stp>
        <stp>300030</stp>
        <stp>2019-12-31</stp>
        <stp>2</stp>
        <tr r="L663" s="1"/>
      </tp>
      <tp>
        <v>14197021258.700001</v>
        <stp/>
        <stp>EM_HKS_VAL_MV</stp>
        <stp>3</stp>
        <stp>600060</stp>
        <stp>2019-12-31</stp>
        <stp>2</stp>
        <tr r="L1112" s="1"/>
      </tp>
      <tp>
        <v>60472121073.93</v>
        <stp/>
        <stp>EM_HKS_VAL_MV</stp>
        <stp>3</stp>
        <stp>000100</stp>
        <stp>2019-12-31</stp>
        <stp>2</stp>
        <tr r="L212" s="1"/>
      </tp>
      <tp>
        <v>8544019865.6300001</v>
        <stp/>
        <stp>EM_HKS_VAL_MV</stp>
        <stp>3</stp>
        <stp>300130</stp>
        <stp>2019-12-31</stp>
        <stp>2</stp>
        <tr r="L478" s="1"/>
      </tp>
      <tp>
        <v>19984809229.84</v>
        <stp/>
        <stp>EM_HKS_VAL_MV</stp>
        <stp>3</stp>
        <stp>600160</stp>
        <stp>2019-12-31</stp>
        <stp>2</stp>
        <tr r="L1738" s="1"/>
      </tp>
      <tp>
        <v>3379093009.7399998</v>
        <stp/>
        <stp>EM_HKS_VAL_MV</stp>
        <stp>3</stp>
        <stp>300230</stp>
        <stp>2019-12-31</stp>
        <stp>2</stp>
        <tr r="L2958" s="1"/>
      </tp>
      <tp>
        <v>13579702943.530001</v>
        <stp/>
        <stp>EM_HKS_VAL_MV</stp>
        <stp>3</stp>
        <stp>600260</stp>
        <stp>2019-12-31</stp>
        <stp>2</stp>
        <tr r="L3108" s="1"/>
      </tp>
      <tp>
        <v>1634640000</v>
        <stp/>
        <stp>EM_HKS_VAL_MV</stp>
        <stp>3</stp>
        <stp>300330</stp>
        <stp>2019-12-31</stp>
        <stp>2</stp>
        <tr r="L758" s="1"/>
      </tp>
      <tp>
        <v>6352570893.3599997</v>
        <stp/>
        <stp>EM_HKS_VAL_MV</stp>
        <stp>3</stp>
        <stp>600360</stp>
        <stp>2019-12-31</stp>
        <stp>2</stp>
        <tr r="L920" s="1"/>
      </tp>
      <tp>
        <v>10859685117.93</v>
        <stp/>
        <stp>EM_HKS_VAL_MV</stp>
        <stp>3</stp>
        <stp>000400</stp>
        <stp>2019-12-31</stp>
        <stp>2</stp>
        <tr r="L3414" s="1"/>
      </tp>
      <tp>
        <v>2157030545.2800002</v>
        <stp/>
        <stp>EM_HKS_VAL_MV</stp>
        <stp>3</stp>
        <stp>300430</stp>
        <stp>2019-12-31</stp>
        <stp>2</stp>
        <tr r="L2455" s="1"/>
      </tp>
      <tp>
        <v>20297593168.580002</v>
        <stp/>
        <stp>EM_HKS_VAL_MV</stp>
        <stp>3</stp>
        <stp>600460</stp>
        <stp>2019-12-31</stp>
        <stp>2</stp>
        <tr r="L200" s="1"/>
      </tp>
      <tp>
        <v>3779746110</v>
        <stp/>
        <stp>EM_HKS_VAL_MV</stp>
        <stp>3</stp>
        <stp>300530</stp>
        <stp>2019-12-31</stp>
        <stp>2</stp>
        <tr r="L1349" s="1"/>
      </tp>
      <tp>
        <v>1945715850</v>
        <stp/>
        <stp>EM_HKS_VAL_MV</stp>
        <stp>3</stp>
        <stp>600560</stp>
        <stp>2019-12-31</stp>
        <stp>2</stp>
        <tr r="L1883" s="1"/>
      </tp>
      <tp>
        <v>8761052978.6399994</v>
        <stp/>
        <stp>EM_HKS_VAL_MV</stp>
        <stp>3</stp>
        <stp>000600</stp>
        <stp>2019-12-31</stp>
        <stp>2</stp>
        <tr r="L2456" s="1"/>
      </tp>
      <tp>
        <v>15562669492.799999</v>
        <stp/>
        <stp>EM_HKS_VAL_MV</stp>
        <stp>3</stp>
        <stp>300630</stp>
        <stp>2019-12-31</stp>
        <stp>2</stp>
        <tr r="L1074" s="1"/>
      </tp>
      <tp>
        <v>60181734592.68</v>
        <stp/>
        <stp>EM_HKS_VAL_MV</stp>
        <stp>3</stp>
        <stp>600660</stp>
        <stp>2019-12-31</stp>
        <stp>2</stp>
        <tr r="L2159" s="1"/>
      </tp>
      <tp>
        <v>3250824564.3899999</v>
        <stp/>
        <stp>EM_HKS_VAL_MV</stp>
        <stp>3</stp>
        <stp>000700</stp>
        <stp>2019-12-31</stp>
        <stp>2</stp>
        <tr r="L854" s="1"/>
      </tp>
      <tp>
        <v>2256357067.4400001</v>
        <stp/>
        <stp>EM_HKS_VAL_MV</stp>
        <stp>3</stp>
        <stp>300730</stp>
        <stp>2019-12-31</stp>
        <stp>2</stp>
        <tr r="L3065" s="1"/>
      </tp>
      <tp>
        <v>44252301406</v>
        <stp/>
        <stp>EM_HKS_VAL_MV</stp>
        <stp>3</stp>
        <stp>600760</stp>
        <stp>2019-12-31</stp>
        <stp>2</stp>
        <tr r="L1639" s="1"/>
      </tp>
      <tp>
        <v>16226175000</v>
        <stp/>
        <stp>EM_HKS_VAL_MV</stp>
        <stp>3</stp>
        <stp>000800</stp>
        <stp>2019-12-31</stp>
        <stp>2</stp>
        <tr r="L3542" s="1"/>
      </tp>
      <tp>
        <v>2532000000</v>
        <stp/>
        <stp>EM_HKS_VAL_MV</stp>
        <stp>3</stp>
        <stp>600860</stp>
        <stp>2019-12-31</stp>
        <stp>2</stp>
        <tr r="L816" s="1"/>
      </tp>
      <tp>
        <v>6617731536.2399998</v>
        <stp/>
        <stp>EM_HKS_VAL_MV</stp>
        <stp>3</stp>
        <stp>000900</stp>
        <stp>2019-12-31</stp>
        <stp>2</stp>
        <tr r="L1632" s="1"/>
      </tp>
      <tp>
        <v>3032144502.4200001</v>
        <stp/>
        <stp>EM_HKS_VAL_MV</stp>
        <stp>3</stp>
        <stp>600960</stp>
        <stp>2019-12-31</stp>
        <stp>2</stp>
        <tr r="L2720" s="1"/>
      </tp>
      <tp>
        <v>159022936976.17001</v>
        <stp/>
        <stp>EM_HKS_VAL_MV</stp>
        <stp>3</stp>
        <stp>601360</stp>
        <stp>2019-12-31</stp>
        <stp>2</stp>
        <tr r="L1479" s="1"/>
      </tp>
      <tp>
        <v>49977885098</v>
        <stp/>
        <stp>EM_HKS_VAL_MV</stp>
        <stp>3</stp>
        <stp>002001</stp>
        <stp>2019-12-31</stp>
        <stp>2</stp>
        <tr r="L565" s="1"/>
      </tp>
      <tp>
        <v>3801074433.2399998</v>
        <stp/>
        <stp>EM_HKS_VAL_MV</stp>
        <stp>3</stp>
        <stp>002101</stp>
        <stp>2019-12-31</stp>
        <stp>2</stp>
        <tr r="L2834" s="1"/>
      </tp>
      <tp>
        <v>7021712966.3999996</v>
        <stp/>
        <stp>EM_HKS_VAL_MV</stp>
        <stp>3</stp>
        <stp>002201</stp>
        <stp>2019-12-31</stp>
        <stp>2</stp>
        <tr r="L33" s="1"/>
      </tp>
      <tp>
        <v>8925684403.8400002</v>
        <stp/>
        <stp>EM_HKS_VAL_MV</stp>
        <stp>3</stp>
        <stp>002301</stp>
        <stp>2019-12-31</stp>
        <stp>2</stp>
        <tr r="L732" s="1"/>
      </tp>
      <tp>
        <v>3426612000</v>
        <stp/>
        <stp>EM_HKS_VAL_MV</stp>
        <stp>3</stp>
        <stp>002401</stp>
        <stp>2019-12-31</stp>
        <stp>2</stp>
        <tr r="L1098" s="1"/>
      </tp>
      <tp>
        <v>2101665553.4000001</v>
        <stp/>
        <stp>EM_HKS_VAL_MV</stp>
        <stp>3</stp>
        <stp>002501</stp>
        <stp>2019-12-31</stp>
        <stp>2</stp>
        <tr r="L3330" s="1"/>
      </tp>
      <tp>
        <v>31272801481.709999</v>
        <stp/>
        <stp>EM_HKS_VAL_MV</stp>
        <stp>3</stp>
        <stp>002601</stp>
        <stp>2019-12-31</stp>
        <stp>2</stp>
        <tr r="L1076" s="1"/>
      </tp>
      <tp>
        <v>10386544896</v>
        <stp/>
        <stp>EM_HKS_VAL_MV</stp>
        <stp>3</stp>
        <stp>002701</stp>
        <stp>2019-12-31</stp>
        <stp>2</stp>
        <tr r="L2874" s="1"/>
      </tp>
      <tp>
        <v>4375961600</v>
        <stp/>
        <stp>EM_HKS_VAL_MV</stp>
        <stp>3</stp>
        <stp>002801</stp>
        <stp>2019-12-31</stp>
        <stp>2</stp>
        <tr r="L345" s="1"/>
      </tp>
      <tp>
        <v>23769844759</v>
        <stp/>
        <stp>EM_HKS_VAL_MV</stp>
        <stp>3</stp>
        <stp>002901</stp>
        <stp>2019-12-31</stp>
        <stp>2</stp>
        <tr r="L184" s="1"/>
      </tp>
      <tp>
        <v>1814240000</v>
        <stp/>
        <stp>EM_HKS_VAL_MV</stp>
        <stp>3</stp>
        <stp>603161</stp>
        <stp>2019-12-31</stp>
        <stp>2</stp>
        <tr r="L2902" s="1"/>
      </tp>
      <tp>
        <v>4394000000</v>
        <stp/>
        <stp>EM_HKS_VAL_MV</stp>
        <stp>3</stp>
        <stp>603661</stp>
        <stp>2019-12-31</stp>
        <stp>2</stp>
        <tr r="L578" s="1"/>
      </tp>
      <tp>
        <v>3945354557.04</v>
        <stp/>
        <stp>EM_HKS_VAL_MV</stp>
        <stp>3</stp>
        <stp>603861</stp>
        <stp>2019-12-31</stp>
        <stp>2</stp>
        <tr r="L3153" s="1"/>
      </tp>
      <tp>
        <v>319227354357.09998</v>
        <stp/>
        <stp>EM_HKS_VAL_MV</stp>
        <stp>3</stp>
        <stp>000001</stp>
        <stp>2019-12-31</stp>
        <stp>2</stp>
        <tr r="L265" s="1"/>
      </tp>
      <tp>
        <v>5951518290</v>
        <stp/>
        <stp>EM_HKS_VAL_MV</stp>
        <stp>3</stp>
        <stp>300031</stp>
        <stp>2019-12-31</stp>
        <stp>2</stp>
        <tr r="L1669" s="1"/>
      </tp>
      <tp>
        <v>63998744066.779999</v>
        <stp/>
        <stp>EM_HKS_VAL_MV</stp>
        <stp>3</stp>
        <stp>600061</stp>
        <stp>2019-12-31</stp>
        <stp>2</stp>
        <tr r="L518" s="1"/>
      </tp>
      <tp>
        <v>5486670565.3800001</v>
        <stp/>
        <stp>EM_HKS_VAL_MV</stp>
        <stp>3</stp>
        <stp>300131</stp>
        <stp>2019-12-31</stp>
        <stp>2</stp>
        <tr r="L1274" s="1"/>
      </tp>
      <tp>
        <v>29207548587.580002</v>
        <stp/>
        <stp>EM_HKS_VAL_MV</stp>
        <stp>3</stp>
        <stp>600161</stp>
        <stp>2019-12-31</stp>
        <stp>2</stp>
        <tr r="L1011" s="1"/>
      </tp>
      <tp>
        <v>3691536837</v>
        <stp/>
        <stp>EM_HKS_VAL_MV</stp>
        <stp>3</stp>
        <stp>300231</stp>
        <stp>2019-12-31</stp>
        <stp>2</stp>
        <tr r="L943" s="1"/>
      </tp>
      <tp>
        <v>6897488917.5</v>
        <stp/>
        <stp>EM_HKS_VAL_MV</stp>
        <stp>3</stp>
        <stp>600261</stp>
        <stp>2019-12-31</stp>
        <stp>2</stp>
        <tr r="L753" s="1"/>
      </tp>
      <tp>
        <v>20870495689.959999</v>
        <stp/>
        <stp>EM_HKS_VAL_MV</stp>
        <stp>3</stp>
        <stp>000301</stp>
        <stp>2019-12-31</stp>
        <stp>2</stp>
        <tr r="L2580" s="1"/>
      </tp>
      <tp>
        <v>4704076381.21</v>
        <stp/>
        <stp>EM_HKS_VAL_MV</stp>
        <stp>3</stp>
        <stp>300331</stp>
        <stp>2019-12-31</stp>
        <stp>2</stp>
        <tr r="L208" s="1"/>
      </tp>
      <tp>
        <v>2516753930.04</v>
        <stp/>
        <stp>EM_HKS_VAL_MV</stp>
        <stp>3</stp>
        <stp>600361</stp>
        <stp>2019-12-31</stp>
        <stp>2</stp>
        <tr r="L1719" s="1"/>
      </tp>
      <tp>
        <v>22921364767.139999</v>
        <stp/>
        <stp>EM_HKS_VAL_MV</stp>
        <stp>3</stp>
        <stp>000401</stp>
        <stp>2019-12-31</stp>
        <stp>2</stp>
        <tr r="L849" s="1"/>
      </tp>
      <tp>
        <v>1202764472.45</v>
        <stp/>
        <stp>EM_HKS_VAL_MV</stp>
        <stp>3</stp>
        <stp>300431</stp>
        <stp>2019-12-31</stp>
        <stp>2</stp>
        <tr r="L3388" s="1"/>
      </tp>
      <tp>
        <v>5624655505.4700003</v>
        <stp/>
        <stp>EM_HKS_VAL_MV</stp>
        <stp>3</stp>
        <stp>600461</stp>
        <stp>2019-12-31</stp>
        <stp>2</stp>
        <tr r="L1858" s="1"/>
      </tp>
      <tp>
        <v>10212223467.68</v>
        <stp/>
        <stp>EM_HKS_VAL_MV</stp>
        <stp>3</stp>
        <stp>000501</stp>
        <stp>2019-12-31</stp>
        <stp>2</stp>
        <tr r="L3428" s="1"/>
      </tp>
      <tp>
        <v>5083938054.4200001</v>
        <stp/>
        <stp>EM_HKS_VAL_MV</stp>
        <stp>3</stp>
        <stp>300531</stp>
        <stp>2019-12-31</stp>
        <stp>2</stp>
        <tr r="L2481" s="1"/>
      </tp>
      <tp>
        <v>1384453760</v>
        <stp/>
        <stp>EM_HKS_VAL_MV</stp>
        <stp>3</stp>
        <stp>600561</stp>
        <stp>2019-12-31</stp>
        <stp>2</stp>
        <tr r="L1927" s="1"/>
      </tp>
      <tp>
        <v>5986256246.2600002</v>
        <stp/>
        <stp>EM_HKS_VAL_MV</stp>
        <stp>3</stp>
        <stp>000601</stp>
        <stp>2019-12-31</stp>
        <stp>2</stp>
        <tr r="L3477" s="1"/>
      </tp>
      <tp>
        <v>1772251660</v>
        <stp/>
        <stp>EM_HKS_VAL_MV</stp>
        <stp>3</stp>
        <stp>300631</stp>
        <stp>2019-12-31</stp>
        <stp>2</stp>
        <tr r="L1619" s="1"/>
      </tp>
      <tp>
        <v>4920043411.1000004</v>
        <stp/>
        <stp>EM_HKS_VAL_MV</stp>
        <stp>3</stp>
        <stp>600661</stp>
        <stp>2019-12-31</stp>
        <stp>2</stp>
        <tr r="L2866" s="1"/>
      </tp>
      <tp>
        <v>2159115327.3600001</v>
        <stp/>
        <stp>EM_HKS_VAL_MV</stp>
        <stp>3</stp>
        <stp>000701</stp>
        <stp>2019-12-31</stp>
        <stp>2</stp>
        <tr r="L2836" s="1"/>
      </tp>
      <tp>
        <v>3745996410</v>
        <stp/>
        <stp>EM_HKS_VAL_MV</stp>
        <stp>3</stp>
        <stp>300731</stp>
        <stp>2019-12-31</stp>
        <stp>2</stp>
        <tr r="L1668" s="1"/>
      </tp>
      <tp>
        <v>7201959203.46</v>
        <stp/>
        <stp>EM_HKS_VAL_MV</stp>
        <stp>3</stp>
        <stp>600761</stp>
        <stp>2019-12-31</stp>
        <stp>2</stp>
        <tr r="L1761" s="1"/>
      </tp>
      <tp>
        <v>5523155888.3999996</v>
        <stp/>
        <stp>EM_HKS_VAL_MV</stp>
        <stp>3</stp>
        <stp>000801</stp>
        <stp>2019-12-31</stp>
        <stp>2</stp>
        <tr r="L1131" s="1"/>
      </tp>
      <tp>
        <v>2696010115.9899998</v>
        <stp/>
        <stp>EM_HKS_VAL_MV</stp>
        <stp>3</stp>
        <stp>600861</stp>
        <stp>2019-12-31</stp>
        <stp>2</stp>
        <tr r="L1151" s="1"/>
      </tp>
      <tp>
        <v>6878936041.6000004</v>
        <stp/>
        <stp>EM_HKS_VAL_MV</stp>
        <stp>3</stp>
        <stp>000901</stp>
        <stp>2019-12-31</stp>
        <stp>2</stp>
        <tr r="L3569" s="1"/>
      </tp>
      <tp>
        <v>4383175265.3400002</v>
        <stp/>
        <stp>EM_HKS_VAL_MV</stp>
        <stp>3</stp>
        <stp>600961</stp>
        <stp>2019-12-31</stp>
        <stp>2</stp>
        <tr r="L1803" s="1"/>
      </tp>
      <tp>
        <v>2121045600</v>
        <stp/>
        <stp>EM_HKS_VAL_MV</stp>
        <stp>3</stp>
        <stp>002006</stp>
        <stp>2019-12-31</stp>
        <stp>2</stp>
        <tr r="L2930" s="1"/>
      </tp>
      <tp>
        <v>6712311681.6000004</v>
        <stp/>
        <stp>EM_HKS_VAL_MV</stp>
        <stp>3</stp>
        <stp>002106</stp>
        <stp>2019-12-31</stp>
        <stp>2</stp>
        <tr r="L474" s="1"/>
      </tp>
      <tp>
        <v>4586357418.75</v>
        <stp/>
        <stp>EM_HKS_VAL_MV</stp>
        <stp>3</stp>
        <stp>002206</stp>
        <stp>2019-12-31</stp>
        <stp>2</stp>
        <tr r="L2495" s="1"/>
      </tp>
      <tp>
        <v>2016000000</v>
        <stp/>
        <stp>EM_HKS_VAL_MV</stp>
        <stp>3</stp>
        <stp>002306</stp>
        <stp>2019-12-31</stp>
        <stp>2</stp>
        <tr r="L3111" s="1"/>
      </tp>
      <tp>
        <v>3371610000</v>
        <stp/>
        <stp>EM_HKS_VAL_MV</stp>
        <stp>3</stp>
        <stp>002406</stp>
        <stp>2019-12-31</stp>
        <stp>2</stp>
        <tr r="L1384" s="1"/>
      </tp>
      <tp>
        <v>30031906128</v>
        <stp/>
        <stp>EM_HKS_VAL_MV</stp>
        <stp>3</stp>
        <stp>002506</stp>
        <stp>2019-12-31</stp>
        <stp>2</stp>
        <tr r="L1358" s="1"/>
      </tp>
      <tp>
        <v>2347176960</v>
        <stp/>
        <stp>EM_HKS_VAL_MV</stp>
        <stp>3</stp>
        <stp>002606</stp>
        <stp>2019-12-31</stp>
        <stp>2</stp>
        <tr r="L2831" s="1"/>
      </tp>
      <tp>
        <v>6594133644</v>
        <stp/>
        <stp>EM_HKS_VAL_MV</stp>
        <stp>3</stp>
        <stp>002706</stp>
        <stp>2019-12-31</stp>
        <stp>2</stp>
        <tr r="L778" s="1"/>
      </tp>
      <tp>
        <v>2447962515.7800002</v>
        <stp/>
        <stp>EM_HKS_VAL_MV</stp>
        <stp>3</stp>
        <stp>002806</stp>
        <stp>2019-12-31</stp>
        <stp>2</stp>
        <tr r="L3132" s="1"/>
      </tp>
      <tp>
        <v>5620428000</v>
        <stp/>
        <stp>EM_HKS_VAL_MV</stp>
        <stp>3</stp>
        <stp>002906</stp>
        <stp>2019-12-31</stp>
        <stp>2</stp>
        <tr r="L1168" s="1"/>
      </tp>
      <tp>
        <v>2309398272</v>
        <stp/>
        <stp>EM_HKS_VAL_MV</stp>
        <stp>3</stp>
        <stp>603066</stp>
        <stp>2019-12-31</stp>
        <stp>2</stp>
        <tr r="L1845" s="1"/>
      </tp>
      <tp>
        <v>3529884150.3000002</v>
        <stp/>
        <stp>EM_HKS_VAL_MV</stp>
        <stp>3</stp>
        <stp>603166</stp>
        <stp>2019-12-31</stp>
        <stp>2</stp>
        <tr r="L1347" s="1"/>
      </tp>
      <tp>
        <v>2291351408.4000001</v>
        <stp/>
        <stp>EM_HKS_VAL_MV</stp>
        <stp>3</stp>
        <stp>603266</stp>
        <stp>2019-12-31</stp>
        <stp>2</stp>
        <tr r="L2948" s="1"/>
      </tp>
      <tp>
        <v>4576000000</v>
        <stp/>
        <stp>EM_HKS_VAL_MV</stp>
        <stp>3</stp>
        <stp>603366</stp>
        <stp>2019-12-31</stp>
        <stp>2</stp>
        <tr r="L1104" s="1"/>
      </tp>
      <tp>
        <v>4323749820</v>
        <stp/>
        <stp>EM_HKS_VAL_MV</stp>
        <stp>3</stp>
        <stp>603466</stp>
        <stp>2019-12-31</stp>
        <stp>2</stp>
        <tr r="L2505" s="1"/>
      </tp>
      <tp>
        <v>6082704320</v>
        <stp/>
        <stp>EM_HKS_VAL_MV</stp>
        <stp>3</stp>
        <stp>603566</stp>
        <stp>2019-12-31</stp>
        <stp>2</stp>
        <tr r="L482" s="1"/>
      </tp>
      <tp>
        <v>7011159036</v>
        <stp/>
        <stp>EM_HKS_VAL_MV</stp>
        <stp>3</stp>
        <stp>603666</stp>
        <stp>2019-12-31</stp>
        <stp>2</stp>
        <tr r="L575" s="1"/>
      </tp>
      <tp>
        <v>7659711100.5</v>
        <stp/>
        <stp>EM_HKS_VAL_MV</stp>
        <stp>3</stp>
        <stp>603766</stp>
        <stp>2019-12-31</stp>
        <stp>2</stp>
        <tr r="L2719" s="1"/>
      </tp>
      <tp>
        <v>27962714416</v>
        <stp/>
        <stp>EM_HKS_VAL_MV</stp>
        <stp>3</stp>
        <stp>603866</stp>
        <stp>2019-12-31</stp>
        <stp>2</stp>
        <tr r="L2655" s="1"/>
      </tp>
      <tp>
        <v>2177309472</v>
        <stp/>
        <stp>EM_HKS_VAL_MV</stp>
        <stp>3</stp>
        <stp>603966</stp>
        <stp>2019-12-31</stp>
        <stp>2</stp>
        <tr r="L1319" s="1"/>
      </tp>
      <tp>
        <v>7235973446.5600004</v>
        <stp/>
        <stp>EM_HKS_VAL_MV</stp>
        <stp>3</stp>
        <stp>000006</stp>
        <stp>2019-12-31</stp>
        <stp>2</stp>
        <tr r="L1889" s="1"/>
      </tp>
      <tp>
        <v>8959279724.3099995</v>
        <stp/>
        <stp>EM_HKS_VAL_MV</stp>
        <stp>3</stp>
        <stp>300036</stp>
        <stp>2019-12-31</stp>
        <stp>2</stp>
        <tr r="L1798" s="1"/>
      </tp>
      <tp>
        <v>31548633927.75</v>
        <stp/>
        <stp>EM_HKS_VAL_MV</stp>
        <stp>3</stp>
        <stp>600066</stp>
        <stp>2019-12-31</stp>
        <stp>2</stp>
        <tr r="L1296" s="1"/>
      </tp>
      <tp>
        <v>43956881657.080002</v>
        <stp/>
        <stp>EM_HKS_VAL_MV</stp>
        <stp>3</stp>
        <stp>300136</stp>
        <stp>2019-12-31</stp>
        <stp>2</stp>
        <tr r="L145" s="1"/>
      </tp>
      <tp>
        <v>13742151378.23</v>
        <stp/>
        <stp>EM_HKS_VAL_MV</stp>
        <stp>3</stp>
        <stp>600166</stp>
        <stp>2019-12-31</stp>
        <stp>2</stp>
        <tr r="L1515" s="1"/>
      </tp>
      <tp>
        <v>8042255505.7200003</v>
        <stp/>
        <stp>EM_HKS_VAL_MV</stp>
        <stp>3</stp>
        <stp>300236</stp>
        <stp>2019-12-31</stp>
        <stp>2</stp>
        <tr r="L1622" s="1"/>
      </tp>
      <tp>
        <v>15231628800</v>
        <stp/>
        <stp>EM_HKS_VAL_MV</stp>
        <stp>3</stp>
        <stp>600266</stp>
        <stp>2019-12-31</stp>
        <stp>2</stp>
        <tr r="L2129" s="1"/>
      </tp>
      <tp>
        <v>3297481485.2800002</v>
        <stp/>
        <stp>EM_HKS_VAL_MV</stp>
        <stp>3</stp>
        <stp>300336</stp>
        <stp>2019-12-31</stp>
        <stp>2</stp>
        <tr r="L2614" s="1"/>
      </tp>
      <tp>
        <v>6587497381.8599997</v>
        <stp/>
        <stp>EM_HKS_VAL_MV</stp>
        <stp>3</stp>
        <stp>600366</stp>
        <stp>2019-12-31</stp>
        <stp>2</stp>
        <tr r="L846" s="1"/>
      </tp>
      <tp>
        <v>3683959392.96</v>
        <stp/>
        <stp>EM_HKS_VAL_MV</stp>
        <stp>3</stp>
        <stp>000406</stp>
        <stp>2019-12-31</stp>
        <stp>2</stp>
        <tr r="L3417" s="1"/>
      </tp>
      <tp>
        <v>4663400000</v>
        <stp/>
        <stp>EM_HKS_VAL_MV</stp>
        <stp>3</stp>
        <stp>300436</stp>
        <stp>2019-12-31</stp>
        <stp>2</stp>
        <tr r="L879" s="1"/>
      </tp>
      <tp>
        <v>22202243177.950001</v>
        <stp/>
        <stp>EM_HKS_VAL_MV</stp>
        <stp>3</stp>
        <stp>600466</stp>
        <stp>2019-12-31</stp>
        <stp>2</stp>
        <tr r="L865" s="1"/>
      </tp>
      <tp>
        <v>2675571151.6799998</v>
        <stp/>
        <stp>EM_HKS_VAL_MV</stp>
        <stp>3</stp>
        <stp>000506</stp>
        <stp>2019-12-31</stp>
        <stp>2</stp>
        <tr r="L3433" s="1"/>
      </tp>
      <tp>
        <v>2182063709.52</v>
        <stp/>
        <stp>EM_HKS_VAL_MV</stp>
        <stp>3</stp>
        <stp>300536</stp>
        <stp>2019-12-31</stp>
        <stp>2</stp>
        <tr r="L2931" s="1"/>
      </tp>
      <tp>
        <v>19704818167.32</v>
        <stp/>
        <stp>EM_HKS_VAL_MV</stp>
        <stp>3</stp>
        <stp>600566</stp>
        <stp>2019-12-31</stp>
        <stp>2</stp>
        <tr r="L3221" s="1"/>
      </tp>
      <tp>
        <v>4250186409.1500001</v>
        <stp/>
        <stp>EM_HKS_VAL_MV</stp>
        <stp>3</stp>
        <stp>000606</stp>
        <stp>2019-12-31</stp>
        <stp>2</stp>
        <tr r="L2652" s="1"/>
      </tp>
      <tp>
        <v>2402625680</v>
        <stp/>
        <stp>EM_HKS_VAL_MV</stp>
        <stp>3</stp>
        <stp>300636</stp>
        <stp>2019-12-31</stp>
        <stp>2</stp>
        <tr r="L456" s="1"/>
      </tp>
      <tp>
        <v>2700117728</v>
        <stp/>
        <stp>EM_HKS_VAL_MV</stp>
        <stp>3</stp>
        <stp>600666</stp>
        <stp>2019-12-31</stp>
        <stp>2</stp>
        <tr r="L3218" s="1"/>
      </tp>
      <tp>
        <v>1420625971.2</v>
        <stp/>
        <stp>EM_HKS_VAL_MV</stp>
        <stp>3</stp>
        <stp>300736</stp>
        <stp>2019-12-31</stp>
        <stp>2</stp>
        <tr r="L3372" s="1"/>
      </tp>
      <tp>
        <v>1670489823.9000001</v>
        <stp/>
        <stp>EM_HKS_VAL_MV</stp>
        <stp>3</stp>
        <stp>600766</stp>
        <stp>2019-12-31</stp>
        <stp>2</stp>
        <tr r="L2671" s="1"/>
      </tp>
      <tp>
        <v>2485800582.1199999</v>
        <stp/>
        <stp>EM_HKS_VAL_MV</stp>
        <stp>3</stp>
        <stp>000806</stp>
        <stp>2019-12-31</stp>
        <stp>2</stp>
        <tr r="L3545" s="1"/>
      </tp>
      <tp>
        <v>3281245097.04</v>
        <stp/>
        <stp>EM_HKS_VAL_MV</stp>
        <stp>3</stp>
        <stp>600866</stp>
        <stp>2019-12-31</stp>
        <stp>2</stp>
        <tr r="L736" s="1"/>
      </tp>
      <tp>
        <v>3973735472.75</v>
        <stp/>
        <stp>EM_HKS_VAL_MV</stp>
        <stp>3</stp>
        <stp>000906</stp>
        <stp>2019-12-31</stp>
        <stp>2</stp>
        <tr r="L1291" s="1"/>
      </tp>
      <tp>
        <v>7098643169.2799997</v>
        <stp/>
        <stp>EM_HKS_VAL_MV</stp>
        <stp>3</stp>
        <stp>600966</stp>
        <stp>2019-12-31</stp>
        <stp>2</stp>
        <tr r="L326" s="1"/>
      </tp>
      <tp>
        <v>232450111235.20001</v>
        <stp/>
        <stp>EM_HKS_VAL_MV</stp>
        <stp>3</stp>
        <stp>601066</stp>
        <stp>2019-12-31</stp>
        <stp>2</stp>
        <tr r="L31" s="1"/>
      </tp>
      <tp>
        <v>411328976869.79999</v>
        <stp/>
        <stp>EM_HKS_VAL_MV</stp>
        <stp>3</stp>
        <stp>601166</stp>
        <stp>2019-12-31</stp>
        <stp>2</stp>
        <tr r="L877" s="1"/>
      </tp>
      <tp>
        <v>4844617589.8000002</v>
        <stp/>
        <stp>EM_HKS_VAL_MV</stp>
        <stp>3</stp>
        <stp>601366</stp>
        <stp>2019-12-31</stp>
        <stp>2</stp>
        <tr r="L2886" s="1"/>
      </tp>
      <tp>
        <v>6573848996</v>
        <stp/>
        <stp>EM_HKS_VAL_MV</stp>
        <stp>3</stp>
        <stp>601566</stp>
        <stp>2019-12-31</stp>
        <stp>2</stp>
        <tr r="L2920" s="1"/>
      </tp>
      <tp>
        <v>9491883227.6399994</v>
        <stp/>
        <stp>EM_HKS_VAL_MV</stp>
        <stp>3</stp>
        <stp>601666</stp>
        <stp>2019-12-31</stp>
        <stp>2</stp>
        <tr r="L1590" s="1"/>
      </tp>
      <tp>
        <v>204909889588.32001</v>
        <stp/>
        <stp>EM_HKS_VAL_MV</stp>
        <stp>3</stp>
        <stp>601766</stp>
        <stp>2019-12-31</stp>
        <stp>2</stp>
        <tr r="L3076" s="1"/>
      </tp>
      <tp>
        <v>30065043750</v>
        <stp/>
        <stp>EM_HKS_VAL_MV</stp>
        <stp>3</stp>
        <stp>601866</stp>
        <stp>2019-12-31</stp>
        <stp>2</stp>
        <tr r="L1597" s="1"/>
      </tp>
      <tp>
        <v>27516322074.779999</v>
        <stp/>
        <stp>EM_HKS_VAL_MV</stp>
        <stp>3</stp>
        <stp>601966</stp>
        <stp>2019-12-31</stp>
        <stp>2</stp>
        <tr r="L385" s="1"/>
      </tp>
      <tp>
        <v>49317524553</v>
        <stp/>
        <stp>EM_HKS_VAL_MV</stp>
        <stp>3</stp>
        <stp>002007</stp>
        <stp>2019-12-31</stp>
        <stp>2</stp>
        <tr r="L2145" s="1"/>
      </tp>
      <tp>
        <v>3084463800</v>
        <stp/>
        <stp>EM_HKS_VAL_MV</stp>
        <stp>3</stp>
        <stp>002107</stp>
        <stp>2019-12-31</stp>
        <stp>2</stp>
        <tr r="L1136" s="1"/>
      </tp>
      <tp>
        <v>1375269923.5</v>
        <stp/>
        <stp>EM_HKS_VAL_MV</stp>
        <stp>3</stp>
        <stp>002207</stp>
        <stp>2019-12-31</stp>
        <stp>2</stp>
        <tr r="L968" s="1"/>
      </tp>
      <tp>
        <v>5299417972.3999996</v>
        <stp/>
        <stp>EM_HKS_VAL_MV</stp>
        <stp>3</stp>
        <stp>002307</stp>
        <stp>2019-12-31</stp>
        <stp>2</stp>
        <tr r="L1740" s="1"/>
      </tp>
      <tp>
        <v>8966197505.9099998</v>
        <stp/>
        <stp>EM_HKS_VAL_MV</stp>
        <stp>3</stp>
        <stp>002407</stp>
        <stp>2019-12-31</stp>
        <stp>2</stp>
        <tr r="L1316" s="1"/>
      </tp>
      <tp>
        <v>21099519051.93</v>
        <stp/>
        <stp>EM_HKS_VAL_MV</stp>
        <stp>3</stp>
        <stp>002507</stp>
        <stp>2019-12-31</stp>
        <stp>2</stp>
        <tr r="L1166" s="1"/>
      </tp>
      <tp>
        <v>110273101075.32001</v>
        <stp/>
        <stp>EM_HKS_VAL_MV</stp>
        <stp>3</stp>
        <stp>002607</stp>
        <stp>2019-12-31</stp>
        <stp>2</stp>
        <tr r="L95" s="1"/>
      </tp>
      <tp>
        <v>5485677699.8400002</v>
        <stp/>
        <stp>EM_HKS_VAL_MV</stp>
        <stp>3</stp>
        <stp>002707</stp>
        <stp>2019-12-31</stp>
        <stp>2</stp>
        <tr r="L2368" s="1"/>
      </tp>
      <tp>
        <v>10121446022.5</v>
        <stp/>
        <stp>EM_HKS_VAL_MV</stp>
        <stp>3</stp>
        <stp>002807</stp>
        <stp>2019-12-31</stp>
        <stp>2</stp>
        <tr r="L2715" s="1"/>
      </tp>
      <tp>
        <v>6689766189.3999996</v>
        <stp/>
        <stp>EM_HKS_VAL_MV</stp>
        <stp>3</stp>
        <stp>002907</stp>
        <stp>2019-12-31</stp>
        <stp>2</stp>
        <tr r="L2905" s="1"/>
      </tp>
      <tp>
        <v>2613072000</v>
        <stp/>
        <stp>EM_HKS_VAL_MV</stp>
        <stp>3</stp>
        <stp>603067</stp>
        <stp>2019-12-31</stp>
        <stp>2</stp>
        <tr r="L3099" s="1"/>
      </tp>
      <tp>
        <v>5101583246.3699999</v>
        <stp/>
        <stp>EM_HKS_VAL_MV</stp>
        <stp>3</stp>
        <stp>603167</stp>
        <stp>2019-12-31</stp>
        <stp>2</stp>
        <tr r="L1235" s="1"/>
      </tp>
      <tp>
        <v>7502992150</v>
        <stp/>
        <stp>EM_HKS_VAL_MV</stp>
        <stp>3</stp>
        <stp>603367</stp>
        <stp>2019-12-31</stp>
        <stp>2</stp>
        <tr r="L1963" s="1"/>
      </tp>
      <tp>
        <v>10818298400</v>
        <stp/>
        <stp>EM_HKS_VAL_MV</stp>
        <stp>3</stp>
        <stp>603567</stp>
        <stp>2019-12-31</stp>
        <stp>2</stp>
        <tr r="L2492" s="1"/>
      </tp>
      <tp>
        <v>2791700722.6500001</v>
        <stp/>
        <stp>EM_HKS_VAL_MV</stp>
        <stp>3</stp>
        <stp>603667</stp>
        <stp>2019-12-31</stp>
        <stp>2</stp>
        <tr r="L1247" s="1"/>
      </tp>
      <tp>
        <v>2274308140</v>
        <stp/>
        <stp>EM_HKS_VAL_MV</stp>
        <stp>3</stp>
        <stp>603767</stp>
        <stp>2019-12-31</stp>
        <stp>2</stp>
        <tr r="L1821" s="1"/>
      </tp>
      <tp>
        <v>3291256418</v>
        <stp/>
        <stp>EM_HKS_VAL_MV</stp>
        <stp>3</stp>
        <stp>000007</stp>
        <stp>2019-12-31</stp>
        <stp>2</stp>
        <tr r="L1370" s="1"/>
      </tp>
      <tp>
        <v>13765641713.120001</v>
        <stp/>
        <stp>EM_HKS_VAL_MV</stp>
        <stp>3</stp>
        <stp>300037</stp>
        <stp>2019-12-31</stp>
        <stp>2</stp>
        <tr r="L533" s="1"/>
      </tp>
      <tp>
        <v>5938600685.5</v>
        <stp/>
        <stp>EM_HKS_VAL_MV</stp>
        <stp>3</stp>
        <stp>600067</stp>
        <stp>2019-12-31</stp>
        <stp>2</stp>
        <tr r="L1911" s="1"/>
      </tp>
      <tp>
        <v>4231929984</v>
        <stp/>
        <stp>EM_HKS_VAL_MV</stp>
        <stp>3</stp>
        <stp>300137</stp>
        <stp>2019-12-31</stp>
        <stp>2</stp>
        <tr r="L2600" s="1"/>
      </tp>
      <tp>
        <v>30111652291</v>
        <stp/>
        <stp>EM_HKS_VAL_MV</stp>
        <stp>3</stp>
        <stp>600167</stp>
        <stp>2019-12-31</stp>
        <stp>2</stp>
        <tr r="L683" s="1"/>
      </tp>
      <tp>
        <v>3792519251.0999999</v>
        <stp/>
        <stp>EM_HKS_VAL_MV</stp>
        <stp>3</stp>
        <stp>300237</stp>
        <stp>2019-12-31</stp>
        <stp>2</stp>
        <tr r="L3205" s="1"/>
      </tp>
      <tp>
        <v>9568420554.2199993</v>
        <stp/>
        <stp>EM_HKS_VAL_MV</stp>
        <stp>3</stp>
        <stp>600267</stp>
        <stp>2019-12-31</stp>
        <stp>2</stp>
        <tr r="L1513" s="1"/>
      </tp>
      <tp>
        <v>2621924800</v>
        <stp/>
        <stp>EM_HKS_VAL_MV</stp>
        <stp>3</stp>
        <stp>300337</stp>
        <stp>2019-12-31</stp>
        <stp>2</stp>
        <tr r="L2721" s="1"/>
      </tp>
      <tp>
        <v>2253220200</v>
        <stp/>
        <stp>EM_HKS_VAL_MV</stp>
        <stp>3</stp>
        <stp>600367</stp>
        <stp>2019-12-31</stp>
        <stp>2</stp>
        <tr r="L1964" s="1"/>
      </tp>
      <tp>
        <v>3133101375.3600001</v>
        <stp/>
        <stp>EM_HKS_VAL_MV</stp>
        <stp>3</stp>
        <stp>000407</stp>
        <stp>2019-12-31</stp>
        <stp>2</stp>
        <tr r="L2601" s="1"/>
      </tp>
      <tp>
        <v>2281495967.8499999</v>
        <stp/>
        <stp>EM_HKS_VAL_MV</stp>
        <stp>3</stp>
        <stp>300437</stp>
        <stp>2019-12-31</stp>
        <stp>2</stp>
        <tr r="L2786" s="1"/>
      </tp>
      <tp>
        <v>3623265873.9200001</v>
        <stp/>
        <stp>EM_HKS_VAL_MV</stp>
        <stp>3</stp>
        <stp>600467</stp>
        <stp>2019-12-31</stp>
        <stp>2</stp>
        <tr r="L2199" s="1"/>
      </tp>
      <tp>
        <v>5712808855.3000002</v>
        <stp/>
        <stp>EM_HKS_VAL_MV</stp>
        <stp>3</stp>
        <stp>000507</stp>
        <stp>2019-12-31</stp>
        <stp>2</stp>
        <tr r="L2637" s="1"/>
      </tp>
      <tp>
        <v>3640500234.2399998</v>
        <stp/>
        <stp>EM_HKS_VAL_MV</stp>
        <stp>3</stp>
        <stp>300537</stp>
        <stp>2019-12-31</stp>
        <stp>2</stp>
        <tr r="L142" s="1"/>
      </tp>
      <tp>
        <v>17284407365.029999</v>
        <stp/>
        <stp>EM_HKS_VAL_MV</stp>
        <stp>3</stp>
        <stp>600567</stp>
        <stp>2019-12-31</stp>
        <stp>2</stp>
        <tr r="L1183" s="1"/>
      </tp>
      <tp>
        <v>5027430145.3999996</v>
        <stp/>
        <stp>EM_HKS_VAL_MV</stp>
        <stp>3</stp>
        <stp>000607</stp>
        <stp>2019-12-31</stp>
        <stp>2</stp>
        <tr r="L3480" s="1"/>
      </tp>
      <tp>
        <v>2936850102</v>
        <stp/>
        <stp>EM_HKS_VAL_MV</stp>
        <stp>3</stp>
        <stp>300637</stp>
        <stp>2019-12-31</stp>
        <stp>2</stp>
        <tr r="L3365" s="1"/>
      </tp>
      <tp>
        <v>17081202343.58</v>
        <stp/>
        <stp>EM_HKS_VAL_MV</stp>
        <stp>3</stp>
        <stp>600667</stp>
        <stp>2019-12-31</stp>
        <stp>2</stp>
        <tr r="L398" s="1"/>
      </tp>
      <tp>
        <v>1429568956.2</v>
        <stp/>
        <stp>EM_HKS_VAL_MV</stp>
        <stp>3</stp>
        <stp>000707</stp>
        <stp>2019-12-31</stp>
        <stp>2</stp>
        <tr r="L3517" s="1"/>
      </tp>
      <tp>
        <v>6879431152</v>
        <stp/>
        <stp>EM_HKS_VAL_MV</stp>
        <stp>3</stp>
        <stp>300737</stp>
        <stp>2019-12-31</stp>
        <stp>2</stp>
        <tr r="L983" s="1"/>
      </tp>
      <tp>
        <v>1626618568.1400001</v>
        <stp/>
        <stp>EM_HKS_VAL_MV</stp>
        <stp>3</stp>
        <stp>600767</stp>
        <stp>2019-12-31</stp>
        <stp>2</stp>
        <tr r="L2211" s="1"/>
      </tp>
      <tp>
        <v>13399151416.58</v>
        <stp/>
        <stp>EM_HKS_VAL_MV</stp>
        <stp>3</stp>
        <stp>000807</stp>
        <stp>2019-12-31</stp>
        <stp>2</stp>
        <tr r="L3546" s="1"/>
      </tp>
      <tp>
        <v>25729954740.049999</v>
        <stp/>
        <stp>EM_HKS_VAL_MV</stp>
        <stp>3</stp>
        <stp>600867</stp>
        <stp>2019-12-31</stp>
        <stp>2</stp>
        <tr r="L2809" s="1"/>
      </tp>
      <tp>
        <v>17960786214.709999</v>
        <stp/>
        <stp>EM_HKS_VAL_MV</stp>
        <stp>3</stp>
        <stp>600967</stp>
        <stp>2019-12-31</stp>
        <stp>2</stp>
        <tr r="L2184" s="1"/>
      </tp>
      <tp>
        <v>10260610992.200001</v>
        <stp/>
        <stp>EM_HKS_VAL_MV</stp>
        <stp>3</stp>
        <stp>601567</stp>
        <stp>2019-12-31</stp>
        <stp>2</stp>
        <tr r="L931" s="1"/>
      </tp>
      <tp>
        <v>9780800803.5400009</v>
        <stp/>
        <stp>EM_HKS_VAL_MV</stp>
        <stp>3</stp>
        <stp>002004</stp>
        <stp>2019-12-31</stp>
        <stp>2</stp>
        <tr r="L1958" s="1"/>
      </tp>
      <tp>
        <v>5331448358.1000004</v>
        <stp/>
        <stp>EM_HKS_VAL_MV</stp>
        <stp>3</stp>
        <stp>002104</stp>
        <stp>2019-12-31</stp>
        <stp>2</stp>
        <tr r="L962" s="1"/>
      </tp>
      <tp>
        <v>6199697802.7200003</v>
        <stp/>
        <stp>EM_HKS_VAL_MV</stp>
        <stp>3</stp>
        <stp>002204</stp>
        <stp>2019-12-31</stp>
        <stp>2</stp>
        <tr r="L1806" s="1"/>
      </tp>
      <tp>
        <v>166522174000</v>
        <stp/>
        <stp>EM_HKS_VAL_MV</stp>
        <stp>3</stp>
        <stp>002304</stp>
        <stp>2019-12-31</stp>
        <stp>2</stp>
        <tr r="L1400" s="1"/>
      </tp>
      <tp>
        <v>3662450883.9400001</v>
        <stp/>
        <stp>EM_HKS_VAL_MV</stp>
        <stp>3</stp>
        <stp>002404</stp>
        <stp>2019-12-31</stp>
        <stp>2</stp>
        <tr r="L1312" s="1"/>
      </tp>
      <tp>
        <v>3282561673.5999999</v>
        <stp/>
        <stp>EM_HKS_VAL_MV</stp>
        <stp>3</stp>
        <stp>002504</stp>
        <stp>2019-12-31</stp>
        <stp>2</stp>
        <tr r="L2893" s="1"/>
      </tp>
      <tp>
        <v>1175140347.9200001</v>
        <stp/>
        <stp>EM_HKS_VAL_MV</stp>
        <stp>3</stp>
        <stp>002604</stp>
        <stp>2019-12-31</stp>
        <stp>2</stp>
        <tr r="L1363" s="1"/>
      </tp>
      <tp>
        <v>1897033291.5599999</v>
        <stp/>
        <stp>EM_HKS_VAL_MV</stp>
        <stp>3</stp>
        <stp>000004</stp>
        <stp>2019-12-31</stp>
        <stp>2</stp>
        <tr r="L715" s="1"/>
      </tp>
      <tp>
        <v>7495374428.5200005</v>
        <stp/>
        <stp>EM_HKS_VAL_MV</stp>
        <stp>3</stp>
        <stp>300034</stp>
        <stp>2019-12-31</stp>
        <stp>2</stp>
        <tr r="L226" s="1"/>
      </tp>
      <tp>
        <v>12050579658</v>
        <stp/>
        <stp>EM_HKS_VAL_MV</stp>
        <stp>3</stp>
        <stp>600064</stp>
        <stp>2019-12-31</stp>
        <stp>2</stp>
        <tr r="L1144" s="1"/>
      </tp>
      <tp>
        <v>11834819252.52</v>
        <stp/>
        <stp>EM_HKS_VAL_MV</stp>
        <stp>3</stp>
        <stp>300134</stp>
        <stp>2019-12-31</stp>
        <stp>2</stp>
        <tr r="L367" s="1"/>
      </tp>
      <tp>
        <v>3260159460.8800001</v>
        <stp/>
        <stp>EM_HKS_VAL_MV</stp>
        <stp>3</stp>
        <stp>300234</stp>
        <stp>2019-12-31</stp>
        <stp>2</stp>
        <tr r="L173" s="1"/>
      </tp>
      <tp>
        <v>2038941153</v>
        <stp/>
        <stp>EM_HKS_VAL_MV</stp>
        <stp>3</stp>
        <stp>300334</stp>
        <stp>2019-12-31</stp>
        <stp>2</stp>
        <tr r="L2828" s="1"/>
      </tp>
      <tp>
        <v>2749184117.0500002</v>
        <stp/>
        <stp>EM_HKS_VAL_MV</stp>
        <stp>3</stp>
        <stp>000404</stp>
        <stp>2019-12-31</stp>
        <stp>2</stp>
        <tr r="L2194" s="1"/>
      </tp>
      <tp>
        <v>3073340620.8000002</v>
        <stp/>
        <stp>EM_HKS_VAL_MV</stp>
        <stp>3</stp>
        <stp>300434</stp>
        <stp>2019-12-31</stp>
        <stp>2</stp>
        <tr r="L2981" s="1"/>
      </tp>
      <tp>
        <v>2517517120.0799999</v>
        <stp/>
        <stp>EM_HKS_VAL_MV</stp>
        <stp>3</stp>
        <stp>000504</stp>
        <stp>2019-12-31</stp>
        <stp>2</stp>
        <tr r="L3431" s="1"/>
      </tp>
      <tp>
        <v>1804902750</v>
        <stp/>
        <stp>EM_HKS_VAL_MV</stp>
        <stp>3</stp>
        <stp>300534</stp>
        <stp>2019-12-31</stp>
        <stp>2</stp>
        <tr r="L2141" s="1"/>
      </tp>
      <tp>
        <v>7224180600</v>
        <stp/>
        <stp>EM_HKS_VAL_MV</stp>
        <stp>3</stp>
        <stp>300634</stp>
        <stp>2019-12-31</stp>
        <stp>2</stp>
        <tr r="L3171" s="1"/>
      </tp>
      <tp>
        <v>9501602298.0400009</v>
        <stp/>
        <stp>EM_HKS_VAL_MV</stp>
        <stp>3</stp>
        <stp>600664</stp>
        <stp>2019-12-31</stp>
        <stp>2</stp>
        <tr r="L2644" s="1"/>
      </tp>
      <tp>
        <v>17977275207.48</v>
        <stp/>
        <stp>EM_HKS_VAL_MV</stp>
        <stp>3</stp>
        <stp>600764</stp>
        <stp>2019-12-31</stp>
        <stp>2</stp>
        <tr r="L1185" s="1"/>
      </tp>
      <tp>
        <v>16769398391.200001</v>
        <stp/>
        <stp>EM_HKS_VAL_MV</stp>
        <stp>3</stp>
        <stp>600864</stp>
        <stp>2019-12-31</stp>
        <stp>2</stp>
        <tr r="L222" s="1"/>
      </tp>
      <tp>
        <v>3423556800</v>
        <stp/>
        <stp>EM_HKS_VAL_MV</stp>
        <stp>3</stp>
        <stp>002005</stp>
        <stp>2019-12-31</stp>
        <stp>2</stp>
        <tr r="L3604" s="1"/>
      </tp>
      <tp>
        <v>2174150000</v>
        <stp/>
        <stp>EM_HKS_VAL_MV</stp>
        <stp>3</stp>
        <stp>002105</stp>
        <stp>2019-12-31</stp>
        <stp>2</stp>
        <tr r="L3636" s="1"/>
      </tp>
      <tp>
        <v>1666781458.3</v>
        <stp/>
        <stp>EM_HKS_VAL_MV</stp>
        <stp>3</stp>
        <stp>002205</stp>
        <stp>2019-12-31</stp>
        <stp>2</stp>
        <tr r="L1137" s="1"/>
      </tp>
      <tp>
        <v>3815274694</v>
        <stp/>
        <stp>EM_HKS_VAL_MV</stp>
        <stp>3</stp>
        <stp>002305</stp>
        <stp>2019-12-31</stp>
        <stp>2</stp>
        <tr r="L3140" s="1"/>
      </tp>
      <tp>
        <v>31581167037</v>
        <stp/>
        <stp>EM_HKS_VAL_MV</stp>
        <stp>3</stp>
        <stp>002405</stp>
        <stp>2019-12-31</stp>
        <stp>2</stp>
        <tr r="L1559" s="1"/>
      </tp>
      <tp>
        <v>9599401350</v>
        <stp/>
        <stp>EM_HKS_VAL_MV</stp>
        <stp>3</stp>
        <stp>002505</stp>
        <stp>2019-12-31</stp>
        <stp>2</stp>
        <tr r="L1975" s="1"/>
      </tp>
      <tp>
        <v>7768594306.0500002</v>
        <stp/>
        <stp>EM_HKS_VAL_MV</stp>
        <stp>3</stp>
        <stp>002605</stp>
        <stp>2019-12-31</stp>
        <stp>2</stp>
        <tr r="L74" s="1"/>
      </tp>
      <tp>
        <v>13216287873.65</v>
        <stp/>
        <stp>EM_HKS_VAL_MV</stp>
        <stp>3</stp>
        <stp>002705</stp>
        <stp>2019-12-31</stp>
        <stp>2</stp>
        <tr r="L240" s="1"/>
      </tp>
      <tp>
        <v>1718281674</v>
        <stp/>
        <stp>EM_HKS_VAL_MV</stp>
        <stp>3</stp>
        <stp>002805</stp>
        <stp>2019-12-31</stp>
        <stp>2</stp>
        <tr r="L3062" s="1"/>
      </tp>
      <tp>
        <v>4445952000</v>
        <stp/>
        <stp>EM_HKS_VAL_MV</stp>
        <stp>3</stp>
        <stp>002905</stp>
        <stp>2019-12-31</stp>
        <stp>2</stp>
        <tr r="L980" s="1"/>
      </tp>
      <tp>
        <v>3000795840</v>
        <stp/>
        <stp>EM_HKS_VAL_MV</stp>
        <stp>3</stp>
        <stp>603165</stp>
        <stp>2019-12-31</stp>
        <stp>2</stp>
        <tr r="L1558" s="1"/>
      </tp>
      <tp>
        <v>4085384400</v>
        <stp/>
        <stp>EM_HKS_VAL_MV</stp>
        <stp>3</stp>
        <stp>603365</stp>
        <stp>2019-12-31</stp>
        <stp>2</stp>
        <tr r="L2148" s="1"/>
      </tp>
      <tp>
        <v>2188000000</v>
        <stp/>
        <stp>EM_HKS_VAL_MV</stp>
        <stp>3</stp>
        <stp>603665</stp>
        <stp>2019-12-31</stp>
        <stp>2</stp>
        <tr r="L3001" s="1"/>
      </tp>
      <tp>
        <v>3270878841.7800002</v>
        <stp/>
        <stp>EM_HKS_VAL_MV</stp>
        <stp>3</stp>
        <stp>000005</stp>
        <stp>2019-12-31</stp>
        <stp>2</stp>
        <tr r="L1466" s="1"/>
      </tp>
      <tp>
        <v>5041556816.8800001</v>
        <stp/>
        <stp>EM_HKS_VAL_MV</stp>
        <stp>3</stp>
        <stp>300035</stp>
        <stp>2019-12-31</stp>
        <stp>2</stp>
        <tr r="L263" s="1"/>
      </tp>
      <tp>
        <v>1101615974.9000001</v>
        <stp/>
        <stp>EM_HKS_VAL_MV</stp>
        <stp>3</stp>
        <stp>600065</stp>
        <stp>2019-12-31</stp>
        <stp>2</stp>
        <tr r="L2289" s="1"/>
      </tp>
      <tp>
        <v>2442240000</v>
        <stp/>
        <stp>EM_HKS_VAL_MV</stp>
        <stp>3</stp>
        <stp>300135</stp>
        <stp>2019-12-31</stp>
        <stp>2</stp>
        <tr r="L2372" s="1"/>
      </tp>
      <tp>
        <v>2650500209.25</v>
        <stp/>
        <stp>EM_HKS_VAL_MV</stp>
        <stp>3</stp>
        <stp>600165</stp>
        <stp>2019-12-31</stp>
        <stp>2</stp>
        <tr r="L3077" s="1"/>
      </tp>
      <tp>
        <v>2302642554.8000002</v>
        <stp/>
        <stp>EM_HKS_VAL_MV</stp>
        <stp>3</stp>
        <stp>300235</stp>
        <stp>2019-12-31</stp>
        <stp>2</stp>
        <tr r="L431" s="1"/>
      </tp>
      <tp>
        <v>3137266000</v>
        <stp/>
        <stp>EM_HKS_VAL_MV</stp>
        <stp>3</stp>
        <stp>600265</stp>
        <stp>2019-12-31</stp>
        <stp>2</stp>
        <tr r="L2743" s="1"/>
      </tp>
      <tp>
        <v>2108553783.3499999</v>
        <stp/>
        <stp>EM_HKS_VAL_MV</stp>
        <stp>3</stp>
        <stp>300335</stp>
        <stp>2019-12-31</stp>
        <stp>2</stp>
        <tr r="L2659" s="1"/>
      </tp>
      <tp>
        <v>1676000000</v>
        <stp/>
        <stp>EM_HKS_VAL_MV</stp>
        <stp>3</stp>
        <stp>600365</stp>
        <stp>2019-12-31</stp>
        <stp>2</stp>
        <tr r="L1502" s="1"/>
      </tp>
      <tp>
        <v>877642771.72000003</v>
        <stp/>
        <stp>EM_HKS_VAL_MV</stp>
        <stp>3</stp>
        <stp>000405</stp>
        <stp>2019-12-31</stp>
        <stp>2</stp>
        <tr r="L3416" s="1"/>
      </tp>
      <tp>
        <v>4069989368</v>
        <stp/>
        <stp>EM_HKS_VAL_MV</stp>
        <stp>3</stp>
        <stp>300435</stp>
        <stp>2019-12-31</stp>
        <stp>2</stp>
        <tr r="L1794" s="1"/>
      </tp>
      <tp>
        <v>3771847002</v>
        <stp/>
        <stp>EM_HKS_VAL_MV</stp>
        <stp>3</stp>
        <stp>000505</stp>
        <stp>2019-12-31</stp>
        <stp>2</stp>
        <tr r="L3432" s="1"/>
      </tp>
      <tp>
        <v>1421871744.24</v>
        <stp/>
        <stp>EM_HKS_VAL_MV</stp>
        <stp>3</stp>
        <stp>300535</stp>
        <stp>2019-12-31</stp>
        <stp>2</stp>
        <tr r="L1948" s="1"/>
      </tp>
      <tp>
        <v>8720795096.7199993</v>
        <stp/>
        <stp>EM_HKS_VAL_MV</stp>
        <stp>3</stp>
        <stp>600565</stp>
        <stp>2019-12-31</stp>
        <stp>2</stp>
        <tr r="L845" s="1"/>
      </tp>
      <tp>
        <v>2415711410</v>
        <stp/>
        <stp>EM_HKS_VAL_MV</stp>
        <stp>3</stp>
        <stp>000605</stp>
        <stp>2019-12-31</stp>
        <stp>2</stp>
        <tr r="L3479" s="1"/>
      </tp>
      <tp>
        <v>2173163960</v>
        <stp/>
        <stp>EM_HKS_VAL_MV</stp>
        <stp>3</stp>
        <stp>300635</stp>
        <stp>2019-12-31</stp>
        <stp>2</stp>
        <tr r="L3011" s="1"/>
      </tp>
      <tp>
        <v>3197253327.6999998</v>
        <stp/>
        <stp>EM_HKS_VAL_MV</stp>
        <stp>3</stp>
        <stp>600665</stp>
        <stp>2019-12-31</stp>
        <stp>2</stp>
        <tr r="L2096" s="1"/>
      </tp>
      <tp>
        <v>2225261084.7600002</v>
        <stp/>
        <stp>EM_HKS_VAL_MV</stp>
        <stp>3</stp>
        <stp>000705</stp>
        <stp>2019-12-31</stp>
        <stp>2</stp>
        <tr r="L1817" s="1"/>
      </tp>
      <tp>
        <v>12025070720</v>
        <stp/>
        <stp>EM_HKS_VAL_MV</stp>
        <stp>3</stp>
        <stp>300735</stp>
        <stp>2019-12-31</stp>
        <stp>2</stp>
        <tr r="L394" s="1"/>
      </tp>
      <tp>
        <v>9550767283.2000008</v>
        <stp/>
        <stp>EM_HKS_VAL_MV</stp>
        <stp>3</stp>
        <stp>600765</stp>
        <stp>2019-12-31</stp>
        <stp>2</stp>
        <tr r="L867" s="1"/>
      </tp>
      <tp>
        <v>322699723.31999999</v>
        <stp/>
        <stp>EM_HKS_VAL_MV</stp>
        <stp>3</stp>
        <stp>000805</stp>
        <stp>2019-12-31</stp>
        <stp>2</stp>
        <tr r="L3544" s="1"/>
      </tp>
      <tp>
        <v>2370313990.8000002</v>
        <stp/>
        <stp>EM_HKS_VAL_MV</stp>
        <stp>3</stp>
        <stp>600865</stp>
        <stp>2019-12-31</stp>
        <stp>2</stp>
        <tr r="L1563" s="1"/>
      </tp>
      <tp>
        <v>3966570000</v>
        <stp/>
        <stp>EM_HKS_VAL_MV</stp>
        <stp>3</stp>
        <stp>000905</stp>
        <stp>2019-12-31</stp>
        <stp>2</stp>
        <tr r="L3570" s="1"/>
      </tp>
      <tp>
        <v>5796402761.3999996</v>
        <stp/>
        <stp>EM_HKS_VAL_MV</stp>
        <stp>3</stp>
        <stp>600965</stp>
        <stp>2019-12-31</stp>
        <stp>2</stp>
        <tr r="L3222" s="1"/>
      </tp>
      <tp>
        <v>8030086142.7600002</v>
        <stp/>
        <stp>EM_HKS_VAL_MV</stp>
        <stp>3</stp>
        <stp>601965</stp>
        <stp>2019-12-31</stp>
        <stp>2</stp>
        <tr r="L1351" s="1"/>
      </tp>
      <tp>
        <v>592235129.72000003</v>
        <stp/>
        <stp>EM_HKS_VAL_MV</stp>
        <stp>3</stp>
        <stp>002018</stp>
        <stp>2019-12-31</stp>
        <stp>2</stp>
        <tr r="L3608" s="1"/>
      </tp>
      <tp>
        <v>7991941314.2399998</v>
        <stp/>
        <stp>EM_HKS_VAL_MV</stp>
        <stp>3</stp>
        <stp>002118</stp>
        <stp>2019-12-31</stp>
        <stp>2</stp>
        <tr r="L754" s="1"/>
      </tp>
      <tp>
        <v>3709026312</v>
        <stp/>
        <stp>EM_HKS_VAL_MV</stp>
        <stp>3</stp>
        <stp>002218</stp>
        <stp>2019-12-31</stp>
        <stp>2</stp>
        <tr r="L1748" s="1"/>
      </tp>
      <tp>
        <v>7893624592.1400003</v>
        <stp/>
        <stp>EM_HKS_VAL_MV</stp>
        <stp>3</stp>
        <stp>002318</stp>
        <stp>2019-12-31</stp>
        <stp>2</stp>
        <tr r="L566" s="1"/>
      </tp>
      <tp>
        <v>3250104000</v>
        <stp/>
        <stp>EM_HKS_VAL_MV</stp>
        <stp>3</stp>
        <stp>002418</stp>
        <stp>2019-12-31</stp>
        <stp>2</stp>
        <tr r="L2643" s="1"/>
      </tp>
      <tp>
        <v>6214692353.9799995</v>
        <stp/>
        <stp>EM_HKS_VAL_MV</stp>
        <stp>3</stp>
        <stp>002518</stp>
        <stp>2019-12-31</stp>
        <stp>2</stp>
        <tr r="L588" s="1"/>
      </tp>
      <tp>
        <v>6755853600</v>
        <stp/>
        <stp>EM_HKS_VAL_MV</stp>
        <stp>3</stp>
        <stp>002618</stp>
        <stp>2019-12-31</stp>
        <stp>2</stp>
        <tr r="L2739" s="1"/>
      </tp>
      <tp>
        <v>2200436657.46</v>
        <stp/>
        <stp>EM_HKS_VAL_MV</stp>
        <stp>3</stp>
        <stp>002718</stp>
        <stp>2019-12-31</stp>
        <stp>2</stp>
        <tr r="L3310" s="1"/>
      </tp>
      <tp>
        <v>9569660485</v>
        <stp/>
        <stp>EM_HKS_VAL_MV</stp>
        <stp>3</stp>
        <stp>002818</stp>
        <stp>2019-12-31</stp>
        <stp>2</stp>
        <tr r="L3300" s="1"/>
      </tp>
      <tp>
        <v>8051763720</v>
        <stp/>
        <stp>EM_HKS_VAL_MV</stp>
        <stp>3</stp>
        <stp>002918</stp>
        <stp>2019-12-31</stp>
        <stp>2</stp>
        <tr r="L1272" s="1"/>
      </tp>
      <tp>
        <v>3732456000</v>
        <stp/>
        <stp>EM_HKS_VAL_MV</stp>
        <stp>3</stp>
        <stp>603078</stp>
        <stp>2019-12-31</stp>
        <stp>2</stp>
        <tr r="L1260" s="1"/>
      </tp>
      <tp>
        <v>2412009510</v>
        <stp/>
        <stp>EM_HKS_VAL_MV</stp>
        <stp>3</stp>
        <stp>603178</stp>
        <stp>2019-12-31</stp>
        <stp>2</stp>
        <tr r="L1243" s="1"/>
      </tp>
      <tp>
        <v>2792004714</v>
        <stp/>
        <stp>EM_HKS_VAL_MV</stp>
        <stp>3</stp>
        <stp>603278</stp>
        <stp>2019-12-31</stp>
        <stp>2</stp>
        <tr r="L3255" s="1"/>
      </tp>
      <tp>
        <v>4347936000</v>
        <stp/>
        <stp>EM_HKS_VAL_MV</stp>
        <stp>3</stp>
        <stp>603378</stp>
        <stp>2019-12-31</stp>
        <stp>2</stp>
        <tr r="L357" s="1"/>
      </tp>
      <tp>
        <v>1792807076.0599999</v>
        <stp/>
        <stp>EM_HKS_VAL_MV</stp>
        <stp>3</stp>
        <stp>603578</stp>
        <stp>2019-12-31</stp>
        <stp>2</stp>
        <tr r="L1869" s="1"/>
      </tp>
      <tp>
        <v>10384156893</v>
        <stp/>
        <stp>EM_HKS_VAL_MV</stp>
        <stp>3</stp>
        <stp>603678</stp>
        <stp>2019-12-31</stp>
        <stp>2</stp>
        <tr r="L631" s="1"/>
      </tp>
      <tp>
        <v>2135000000</v>
        <stp/>
        <stp>EM_HKS_VAL_MV</stp>
        <stp>3</stp>
        <stp>603778</stp>
        <stp>2019-12-31</stp>
        <stp>2</stp>
        <tr r="L2264" s="1"/>
      </tp>
      <tp>
        <v>3277634864</v>
        <stp/>
        <stp>EM_HKS_VAL_MV</stp>
        <stp>3</stp>
        <stp>603878</stp>
        <stp>2019-12-31</stp>
        <stp>2</stp>
        <tr r="L2363" s="1"/>
      </tp>
      <tp>
        <v>4129600000</v>
        <stp/>
        <stp>EM_HKS_VAL_MV</stp>
        <stp>3</stp>
        <stp>603978</stp>
        <stp>2019-12-31</stp>
        <stp>2</stp>
        <tr r="L780" s="1"/>
      </tp>
      <tp>
        <v>458526152.97000003</v>
        <stp/>
        <stp>EM_HKS_VAL_MV</stp>
        <stp>3</stp>
        <stp>000018</stp>
        <stp>2019-12-31</stp>
        <stp>2</stp>
        <tr r="L3409" s="1"/>
      </tp>
      <tp>
        <v>264864600</v>
        <stp/>
        <stp>EM_HKS_VAL_MV</stp>
        <stp>3</stp>
        <stp>300028</stp>
        <stp>2019-12-31</stp>
        <stp>2</stp>
        <tr r="L2280" s="1"/>
      </tp>
      <tp>
        <v>3418875962.7600002</v>
        <stp/>
        <stp>EM_HKS_VAL_MV</stp>
        <stp>3</stp>
        <stp>600078</stp>
        <stp>2019-12-31</stp>
        <stp>2</stp>
        <tr r="L391" s="1"/>
      </tp>
      <tp>
        <v>4398343956.2399998</v>
        <stp/>
        <stp>EM_HKS_VAL_MV</stp>
        <stp>3</stp>
        <stp>300128</stp>
        <stp>2019-12-31</stp>
        <stp>2</stp>
        <tr r="L1612" s="1"/>
      </tp>
      <tp>
        <v>2217984000</v>
        <stp/>
        <stp>EM_HKS_VAL_MV</stp>
        <stp>3</stp>
        <stp>600178</stp>
        <stp>2019-12-31</stp>
        <stp>2</stp>
        <tr r="L1550" s="1"/>
      </tp>
      <tp>
        <v>2401527541.3600001</v>
        <stp/>
        <stp>EM_HKS_VAL_MV</stp>
        <stp>3</stp>
        <stp>300228</stp>
        <stp>2019-12-31</stp>
        <stp>2</stp>
        <tr r="L1991" s="1"/>
      </tp>
      <tp>
        <v>5540984850.79</v>
        <stp/>
        <stp>EM_HKS_VAL_MV</stp>
        <stp>3</stp>
        <stp>600278</stp>
        <stp>2019-12-31</stp>
        <stp>2</stp>
        <tr r="L923" s="1"/>
      </tp>
      <tp>
        <v>6784562576</v>
        <stp/>
        <stp>EM_HKS_VAL_MV</stp>
        <stp>3</stp>
        <stp>300328</stp>
        <stp>2019-12-31</stp>
        <stp>2</stp>
        <tr r="L97" s="1"/>
      </tp>
      <tp>
        <v>17313822126.669998</v>
        <stp/>
        <stp>EM_HKS_VAL_MV</stp>
        <stp>3</stp>
        <stp>600378</stp>
        <stp>2019-12-31</stp>
        <stp>2</stp>
        <tr r="L132" s="1"/>
      </tp>
      <tp>
        <v>36298472775.959999</v>
        <stp/>
        <stp>EM_HKS_VAL_MV</stp>
        <stp>3</stp>
        <stp>000418</stp>
        <stp>2019-12-31</stp>
        <stp>2</stp>
        <tr r="L870" s="1"/>
      </tp>
      <tp>
        <v>8131871697.1800003</v>
        <stp/>
        <stp>EM_HKS_VAL_MV</stp>
        <stp>3</stp>
        <stp>300428</stp>
        <stp>2019-12-31</stp>
        <stp>2</stp>
        <tr r="L1051" s="1"/>
      </tp>
      <tp>
        <v>7274438098.3999996</v>
        <stp/>
        <stp>EM_HKS_VAL_MV</stp>
        <stp>3</stp>
        <stp>600478</stp>
        <stp>2019-12-31</stp>
        <stp>2</stp>
        <tr r="L1797" s="1"/>
      </tp>
      <tp>
        <v>3737289085.8600001</v>
        <stp/>
        <stp>EM_HKS_VAL_MV</stp>
        <stp>3</stp>
        <stp>000518</stp>
        <stp>2019-12-31</stp>
        <stp>2</stp>
        <tr r="L3441" s="1"/>
      </tp>
      <tp>
        <v>2526282606.1199999</v>
        <stp/>
        <stp>EM_HKS_VAL_MV</stp>
        <stp>3</stp>
        <stp>300528</stp>
        <stp>2019-12-31</stp>
        <stp>2</stp>
        <tr r="L3044" s="1"/>
      </tp>
      <tp>
        <v>21049811505.84</v>
        <stp/>
        <stp>EM_HKS_VAL_MV</stp>
        <stp>3</stp>
        <stp>600578</stp>
        <stp>2019-12-31</stp>
        <stp>2</stp>
        <tr r="L1962" s="1"/>
      </tp>
      <tp>
        <v>18660048720</v>
        <stp/>
        <stp>EM_HKS_VAL_MV</stp>
        <stp>3</stp>
        <stp>000618</stp>
        <stp>2019-12-31</stp>
        <stp>2</stp>
        <tr r="L3485" s="1"/>
      </tp>
      <tp>
        <v>43407333060</v>
        <stp/>
        <stp>EM_HKS_VAL_MV</stp>
        <stp>3</stp>
        <stp>300628</stp>
        <stp>2019-12-31</stp>
        <stp>2</stp>
        <tr r="L2626" s="1"/>
      </tp>
      <tp>
        <v>2725611900</v>
        <stp/>
        <stp>EM_HKS_VAL_MV</stp>
        <stp>3</stp>
        <stp>600678</stp>
        <stp>2019-12-31</stp>
        <stp>2</stp>
        <tr r="L1034" s="1"/>
      </tp>
      <tp>
        <v>11592310986.879999</v>
        <stp/>
        <stp>EM_HKS_VAL_MV</stp>
        <stp>3</stp>
        <stp>000718</stp>
        <stp>2019-12-31</stp>
        <stp>2</stp>
        <tr r="L3519" s="1"/>
      </tp>
      <tp>
        <v>0</v>
        <stp/>
        <stp>EM_HKS_VAL_MV</stp>
        <stp>3</stp>
        <stp>300728</stp>
        <stp>2019-12-31</stp>
        <stp>2</stp>
        <tr r="L11" s="1"/>
      </tp>
      <tp>
        <v>1691398041.3599999</v>
        <stp/>
        <stp>EM_HKS_VAL_MV</stp>
        <stp>3</stp>
        <stp>600778</stp>
        <stp>2019-12-31</stp>
        <stp>2</stp>
        <tr r="L1299" s="1"/>
      </tp>
      <tp>
        <v>13784002200</v>
        <stp/>
        <stp>EM_HKS_VAL_MV</stp>
        <stp>3</stp>
        <stp>000818</stp>
        <stp>2019-12-31</stp>
        <stp>2</stp>
        <tr r="L176" s="1"/>
      </tp>
      <tp>
        <v>3520398488.6399999</v>
        <stp/>
        <stp>EM_HKS_VAL_MV</stp>
        <stp>3</stp>
        <stp>600878</stp>
        <stp>2019-12-31</stp>
        <stp>2</stp>
        <tr r="L2332" s="1"/>
      </tp>
      <tp>
        <v>10771023255</v>
        <stp/>
        <stp>EM_HKS_VAL_MV</stp>
        <stp>3</stp>
        <stp>000918</stp>
        <stp>2019-12-31</stp>
        <stp>2</stp>
        <tr r="L3575" s="1"/>
      </tp>
      <tp>
        <v>4404123911.8800001</v>
        <stp/>
        <stp>EM_HKS_VAL_MV</stp>
        <stp>3</stp>
        <stp>600978</stp>
        <stp>2019-12-31</stp>
        <stp>2</stp>
        <tr r="L3195" s="1"/>
      </tp>
      <tp>
        <v>7891884000</v>
        <stp/>
        <stp>EM_HKS_VAL_MV</stp>
        <stp>3</stp>
        <stp>601678</stp>
        <stp>2019-12-31</stp>
        <stp>2</stp>
        <tr r="L1202" s="1"/>
      </tp>
      <tp>
        <v>37100146255.620003</v>
        <stp/>
        <stp>EM_HKS_VAL_MV</stp>
        <stp>3</stp>
        <stp>601878</stp>
        <stp>2019-12-31</stp>
        <stp>2</stp>
        <tr r="L466" s="1"/>
      </tp>
      <tp>
        <v>20099699376.25</v>
        <stp/>
        <stp>EM_HKS_VAL_MV</stp>
        <stp>3</stp>
        <stp>002019</stp>
        <stp>2019-12-31</stp>
        <stp>2</stp>
        <tr r="L581" s="1"/>
      </tp>
      <tp>
        <v>4792376680</v>
        <stp/>
        <stp>EM_HKS_VAL_MV</stp>
        <stp>3</stp>
        <stp>002119</stp>
        <stp>2019-12-31</stp>
        <stp>2</stp>
        <tr r="L493" s="1"/>
      </tp>
      <tp>
        <v>4457915067.6999998</v>
        <stp/>
        <stp>EM_HKS_VAL_MV</stp>
        <stp>3</stp>
        <stp>002219</stp>
        <stp>2019-12-31</stp>
        <stp>2</stp>
        <tr r="L3232" s="1"/>
      </tp>
      <tp>
        <v>1828000000</v>
        <stp/>
        <stp>EM_HKS_VAL_MV</stp>
        <stp>3</stp>
        <stp>002319</stp>
        <stp>2019-12-31</stp>
        <stp>2</stp>
        <tr r="L3323" s="1"/>
      </tp>
      <tp>
        <v>12663165000</v>
        <stp/>
        <stp>EM_HKS_VAL_MV</stp>
        <stp>3</stp>
        <stp>002419</stp>
        <stp>2019-12-31</stp>
        <stp>2</stp>
        <tr r="L2535" s="1"/>
      </tp>
      <tp>
        <v>4415609120.1599998</v>
        <stp/>
        <stp>EM_HKS_VAL_MV</stp>
        <stp>3</stp>
        <stp>002519</stp>
        <stp>2019-12-31</stp>
        <stp>2</stp>
        <tr r="L1671" s="1"/>
      </tp>
      <tp>
        <v>5811423127.6499996</v>
        <stp/>
        <stp>EM_HKS_VAL_MV</stp>
        <stp>3</stp>
        <stp>002619</stp>
        <stp>2019-12-31</stp>
        <stp>2</stp>
        <tr r="L2620" s="1"/>
      </tp>
      <tp>
        <v>2044397225.1800001</v>
        <stp/>
        <stp>EM_HKS_VAL_MV</stp>
        <stp>3</stp>
        <stp>002719</stp>
        <stp>2019-12-31</stp>
        <stp>2</stp>
        <tr r="L2151" s="1"/>
      </tp>
      <tp>
        <v>3995169664.96</v>
        <stp/>
        <stp>EM_HKS_VAL_MV</stp>
        <stp>3</stp>
        <stp>002819</stp>
        <stp>2019-12-31</stp>
        <stp>2</stp>
        <tr r="L1242" s="1"/>
      </tp>
      <tp>
        <v>1852799251.6500001</v>
        <stp/>
        <stp>EM_HKS_VAL_MV</stp>
        <stp>3</stp>
        <stp>002919</stp>
        <stp>2019-12-31</stp>
        <stp>2</stp>
        <tr r="L3159" s="1"/>
      </tp>
      <tp>
        <v>4459840000</v>
        <stp/>
        <stp>EM_HKS_VAL_MV</stp>
        <stp>3</stp>
        <stp>603079</stp>
        <stp>2019-12-31</stp>
        <stp>2</stp>
        <tr r="L90" s="1"/>
      </tp>
      <tp>
        <v>4286206561.9099998</v>
        <stp/>
        <stp>EM_HKS_VAL_MV</stp>
        <stp>3</stp>
        <stp>603179</stp>
        <stp>2019-12-31</stp>
        <stp>2</stp>
        <tr r="L1445" s="1"/>
      </tp>
      <tp>
        <v>4354000000</v>
        <stp/>
        <stp>EM_HKS_VAL_MV</stp>
        <stp>3</stp>
        <stp>603579</stp>
        <stp>2019-12-31</stp>
        <stp>2</stp>
        <tr r="L1908" s="1"/>
      </tp>
      <tp>
        <v>4205284000</v>
        <stp/>
        <stp>EM_HKS_VAL_MV</stp>
        <stp>3</stp>
        <stp>603679</stp>
        <stp>2019-12-31</stp>
        <stp>2</stp>
        <tr r="L247" s="1"/>
      </tp>
      <tp>
        <v>1999822415.54</v>
        <stp/>
        <stp>EM_HKS_VAL_MV</stp>
        <stp>3</stp>
        <stp>603779</stp>
        <stp>2019-12-31</stp>
        <stp>2</stp>
        <tr r="L3383" s="1"/>
      </tp>
      <tp>
        <v>2445026400</v>
        <stp/>
        <stp>EM_HKS_VAL_MV</stp>
        <stp>3</stp>
        <stp>603879</stp>
        <stp>2019-12-31</stp>
        <stp>2</stp>
        <tr r="L1251" s="1"/>
      </tp>
      <tp>
        <v>5209837297.7600002</v>
        <stp/>
        <stp>EM_HKS_VAL_MV</stp>
        <stp>3</stp>
        <stp>603979</stp>
        <stp>2019-12-31</stp>
        <stp>2</stp>
        <tr r="L1297" s="1"/>
      </tp>
      <tp>
        <v>7007414344.3199997</v>
        <stp/>
        <stp>EM_HKS_VAL_MV</stp>
        <stp>3</stp>
        <stp>000019</stp>
        <stp>2019-12-31</stp>
        <stp>2</stp>
        <tr r="L2891" s="1"/>
      </tp>
      <tp>
        <v>1188000000</v>
        <stp/>
        <stp>EM_HKS_VAL_MV</stp>
        <stp>3</stp>
        <stp>300029</stp>
        <stp>2019-12-31</stp>
        <stp>2</stp>
        <tr r="L944" s="1"/>
      </tp>
      <tp>
        <v>18288545120.02</v>
        <stp/>
        <stp>EM_HKS_VAL_MV</stp>
        <stp>3</stp>
        <stp>600079</stp>
        <stp>2019-12-31</stp>
        <stp>2</stp>
        <tr r="L1010" s="1"/>
      </tp>
      <tp>
        <v>3495084824.1599998</v>
        <stp/>
        <stp>EM_HKS_VAL_MV</stp>
        <stp>3</stp>
        <stp>300129</stp>
        <stp>2019-12-31</stp>
        <stp>2</stp>
        <tr r="L310" s="1"/>
      </tp>
      <tp>
        <v>6512972027.6999998</v>
        <stp/>
        <stp>EM_HKS_VAL_MV</stp>
        <stp>3</stp>
        <stp>600179</stp>
        <stp>2019-12-31</stp>
        <stp>2</stp>
        <tr r="L3223" s="1"/>
      </tp>
      <tp>
        <v>6166344738</v>
        <stp/>
        <stp>EM_HKS_VAL_MV</stp>
        <stp>3</stp>
        <stp>300229</stp>
        <stp>2019-12-31</stp>
        <stp>2</stp>
        <tr r="L529" s="1"/>
      </tp>
      <tp>
        <v>5459584901.8000002</v>
        <stp/>
        <stp>EM_HKS_VAL_MV</stp>
        <stp>3</stp>
        <stp>600279</stp>
        <stp>2019-12-31</stp>
        <stp>2</stp>
        <tr r="L1653" s="1"/>
      </tp>
      <tp>
        <v>2416611491.4000001</v>
        <stp/>
        <stp>EM_HKS_VAL_MV</stp>
        <stp>3</stp>
        <stp>300329</stp>
        <stp>2019-12-31</stp>
        <stp>2</stp>
        <tr r="L1174" s="1"/>
      </tp>
      <tp>
        <v>1898658993</v>
        <stp/>
        <stp>EM_HKS_VAL_MV</stp>
        <stp>3</stp>
        <stp>600379</stp>
        <stp>2019-12-31</stp>
        <stp>2</stp>
        <tr r="L2976" s="1"/>
      </tp>
      <tp>
        <v>2484172733.3499999</v>
        <stp/>
        <stp>EM_HKS_VAL_MV</stp>
        <stp>3</stp>
        <stp>000419</stp>
        <stp>2019-12-31</stp>
        <stp>2</stp>
        <tr r="L3422" s="1"/>
      </tp>
      <tp>
        <v>8589273977.96</v>
        <stp/>
        <stp>EM_HKS_VAL_MV</stp>
        <stp>3</stp>
        <stp>300429</stp>
        <stp>2019-12-31</stp>
        <stp>2</stp>
        <tr r="L3351" s="1"/>
      </tp>
      <tp>
        <v>3670307416.0900002</v>
        <stp/>
        <stp>EM_HKS_VAL_MV</stp>
        <stp>3</stp>
        <stp>600479</stp>
        <stp>2019-12-31</stp>
        <stp>2</stp>
        <tr r="L1683" s="1"/>
      </tp>
      <tp>
        <v>10611299442.84</v>
        <stp/>
        <stp>EM_HKS_VAL_MV</stp>
        <stp>3</stp>
        <stp>000519</stp>
        <stp>2019-12-31</stp>
        <stp>2</stp>
        <tr r="L1223" s="1"/>
      </tp>
      <tp>
        <v>30076775782.400002</v>
        <stp/>
        <stp>EM_HKS_VAL_MV</stp>
        <stp>3</stp>
        <stp>300529</stp>
        <stp>2019-12-31</stp>
        <stp>2</stp>
        <tr r="L323" s="1"/>
      </tp>
      <tp>
        <v>5874585813.9499998</v>
        <stp/>
        <stp>EM_HKS_VAL_MV</stp>
        <stp>3</stp>
        <stp>600579</stp>
        <stp>2019-12-31</stp>
        <stp>2</stp>
        <tr r="L3071" s="1"/>
      </tp>
      <tp>
        <v>2084400000</v>
        <stp/>
        <stp>EM_HKS_VAL_MV</stp>
        <stp>3</stp>
        <stp>000619</stp>
        <stp>2019-12-31</stp>
        <stp>2</stp>
        <tr r="L1623" s="1"/>
      </tp>
      <tp>
        <v>2090449526.52</v>
        <stp/>
        <stp>EM_HKS_VAL_MV</stp>
        <stp>3</stp>
        <stp>300629</stp>
        <stp>2019-12-31</stp>
        <stp>2</stp>
        <tr r="L1628" s="1"/>
      </tp>
      <tp>
        <v>4963135005.9799995</v>
        <stp/>
        <stp>EM_HKS_VAL_MV</stp>
        <stp>3</stp>
        <stp>600679</stp>
        <stp>2019-12-31</stp>
        <stp>2</stp>
        <tr r="L1214" s="1"/>
      </tp>
      <tp>
        <v>7326138842.8400002</v>
        <stp/>
        <stp>EM_HKS_VAL_MV</stp>
        <stp>3</stp>
        <stp>000719</stp>
        <stp>2019-12-31</stp>
        <stp>2</stp>
        <tr r="L2726" s="1"/>
      </tp>
      <tp>
        <v>2064753746.0999999</v>
        <stp/>
        <stp>EM_HKS_VAL_MV</stp>
        <stp>3</stp>
        <stp>300729</stp>
        <stp>2019-12-31</stp>
        <stp>2</stp>
        <tr r="L1886" s="1"/>
      </tp>
      <tp>
        <v>25282239871.5</v>
        <stp/>
        <stp>EM_HKS_VAL_MV</stp>
        <stp>3</stp>
        <stp>600779</stp>
        <stp>2019-12-31</stp>
        <stp>2</stp>
        <tr r="L355" s="1"/>
      </tp>
      <tp>
        <v>2307730540.5</v>
        <stp/>
        <stp>EM_HKS_VAL_MV</stp>
        <stp>3</stp>
        <stp>000819</stp>
        <stp>2019-12-31</stp>
        <stp>2</stp>
        <tr r="L2694" s="1"/>
      </tp>
      <tp>
        <v>16261242278.32</v>
        <stp/>
        <stp>EM_HKS_VAL_MV</stp>
        <stp>3</stp>
        <stp>600879</stp>
        <stp>2019-12-31</stp>
        <stp>2</stp>
        <tr r="L1674" s="1"/>
      </tp>
      <tp>
        <v>3679200000</v>
        <stp/>
        <stp>EM_HKS_VAL_MV</stp>
        <stp>3</stp>
        <stp>000919</stp>
        <stp>2019-12-31</stp>
        <stp>2</stp>
        <tr r="L3576" s="1"/>
      </tp>
      <tp>
        <v>3971668091.7399998</v>
        <stp/>
        <stp>EM_HKS_VAL_MV</stp>
        <stp>3</stp>
        <stp>600979</stp>
        <stp>2019-12-31</stp>
        <stp>2</stp>
        <tr r="L2045" s="1"/>
      </tp>
      <tp>
        <v>18658211761.279999</v>
        <stp/>
        <stp>EM_HKS_VAL_MV</stp>
        <stp>3</stp>
        <stp>601179</stp>
        <stp>2019-12-31</stp>
        <stp>2</stp>
        <tr r="L1813" s="1"/>
      </tp>
      <tp>
        <v>4257401600</v>
        <stp/>
        <stp>EM_HKS_VAL_MV</stp>
        <stp>3</stp>
        <stp>601579</stp>
        <stp>2019-12-31</stp>
        <stp>2</stp>
        <tr r="L2532" s="1"/>
      </tp>
      <tp>
        <v>2660788924.3000002</v>
        <stp/>
        <stp>EM_HKS_VAL_MV</stp>
        <stp>3</stp>
        <stp>002012</stp>
        <stp>2019-12-31</stp>
        <stp>2</stp>
        <tr r="L608" s="1"/>
      </tp>
      <tp>
        <v>1378944000</v>
        <stp/>
        <stp>EM_HKS_VAL_MV</stp>
        <stp>3</stp>
        <stp>002112</stp>
        <stp>2019-12-31</stp>
        <stp>2</stp>
        <tr r="L2156" s="1"/>
      </tp>
      <tp>
        <v>22022767247.849998</v>
        <stp/>
        <stp>EM_HKS_VAL_MV</stp>
        <stp>3</stp>
        <stp>002212</stp>
        <stp>2019-12-31</stp>
        <stp>2</stp>
        <tr r="L305" s="1"/>
      </tp>
      <tp>
        <v>5801766195.9300003</v>
        <stp/>
        <stp>EM_HKS_VAL_MV</stp>
        <stp>3</stp>
        <stp>002312</stp>
        <stp>2019-12-31</stp>
        <stp>2</stp>
        <tr r="L876" s="1"/>
      </tp>
      <tp>
        <v>4413064000</v>
        <stp/>
        <stp>EM_HKS_VAL_MV</stp>
        <stp>3</stp>
        <stp>002412</stp>
        <stp>2019-12-31</stp>
        <stp>2</stp>
        <tr r="L3306" s="1"/>
      </tp>
      <tp>
        <v>7065240551.3999996</v>
        <stp/>
        <stp>EM_HKS_VAL_MV</stp>
        <stp>3</stp>
        <stp>002512</stp>
        <stp>2019-12-31</stp>
        <stp>2</stp>
        <tr r="L1261" s="1"/>
      </tp>
      <tp>
        <v>4228887631.6799998</v>
        <stp/>
        <stp>EM_HKS_VAL_MV</stp>
        <stp>3</stp>
        <stp>002612</stp>
        <stp>2019-12-31</stp>
        <stp>2</stp>
        <tr r="L1881" s="1"/>
      </tp>
      <tp>
        <v>4876288874.3199997</v>
        <stp/>
        <stp>EM_HKS_VAL_MV</stp>
        <stp>3</stp>
        <stp>002712</stp>
        <stp>2019-12-31</stp>
        <stp>2</stp>
        <tr r="L708" s="1"/>
      </tp>
      <tp>
        <v>40671223885</v>
        <stp/>
        <stp>EM_HKS_VAL_MV</stp>
        <stp>3</stp>
        <stp>002812</stp>
        <stp>2019-12-31</stp>
        <stp>2</stp>
        <tr r="L2026" s="1"/>
      </tp>
      <tp>
        <v>13446720000</v>
        <stp/>
        <stp>EM_HKS_VAL_MV</stp>
        <stp>3</stp>
        <stp>002912</stp>
        <stp>2019-12-31</stp>
        <stp>2</stp>
        <tr r="L494" s="1"/>
      </tp>
      <tp>
        <v>15572062776.629999</v>
        <stp/>
        <stp>EM_HKS_VAL_MV</stp>
        <stp>3</stp>
        <stp>000012</stp>
        <stp>2019-12-31</stp>
        <stp>2</stp>
        <tr r="L741" s="1"/>
      </tp>
      <tp>
        <v>1463925463</v>
        <stp/>
        <stp>EM_HKS_VAL_MV</stp>
        <stp>3</stp>
        <stp>300022</stp>
        <stp>2019-12-31</stp>
        <stp>2</stp>
        <tr r="L1917" s="1"/>
      </tp>
      <tp>
        <v>9851023434.5400009</v>
        <stp/>
        <stp>EM_HKS_VAL_MV</stp>
        <stp>3</stp>
        <stp>600072</stp>
        <stp>2019-12-31</stp>
        <stp>2</stp>
        <tr r="L198" s="1"/>
      </tp>
      <tp>
        <v>79456000000</v>
        <stp/>
        <stp>EM_HKS_VAL_MV</stp>
        <stp>3</stp>
        <stp>300122</stp>
        <stp>2019-12-31</stp>
        <stp>2</stp>
        <tr r="L1101" s="1"/>
      </tp>
      <tp>
        <v>4196756825.1599998</v>
        <stp/>
        <stp>EM_HKS_VAL_MV</stp>
        <stp>3</stp>
        <stp>600172</stp>
        <stp>2019-12-31</stp>
        <stp>2</stp>
        <tr r="L2575" s="1"/>
      </tp>
      <tp>
        <v>6761923004.6999998</v>
        <stp/>
        <stp>EM_HKS_VAL_MV</stp>
        <stp>3</stp>
        <stp>300222</stp>
        <stp>2019-12-31</stp>
        <stp>2</stp>
        <tr r="L3309" s="1"/>
      </tp>
      <tp>
        <v>1849230000</v>
        <stp/>
        <stp>EM_HKS_VAL_MV</stp>
        <stp>3</stp>
        <stp>600272</stp>
        <stp>2019-12-31</stp>
        <stp>2</stp>
        <tr r="L1919" s="1"/>
      </tp>
      <tp>
        <v>8322511131</v>
        <stp/>
        <stp>EM_HKS_VAL_MV</stp>
        <stp>3</stp>
        <stp>300322</stp>
        <stp>2019-12-31</stp>
        <stp>2</stp>
        <tr r="L123" s="1"/>
      </tp>
      <tp>
        <v>25055606152.959999</v>
        <stp/>
        <stp>EM_HKS_VAL_MV</stp>
        <stp>3</stp>
        <stp>600372</stp>
        <stp>2019-12-31</stp>
        <stp>2</stp>
        <tr r="L1736" s="1"/>
      </tp>
      <tp>
        <v>835099243.63999999</v>
        <stp/>
        <stp>EM_HKS_VAL_MV</stp>
        <stp>3</stp>
        <stp>000412</stp>
        <stp>2019-12-31</stp>
        <stp>2</stp>
        <tr r="L3420" s="1"/>
      </tp>
      <tp>
        <v>3722036715</v>
        <stp/>
        <stp>EM_HKS_VAL_MV</stp>
        <stp>3</stp>
        <stp>300422</stp>
        <stp>2019-12-31</stp>
        <stp>2</stp>
        <tr r="L2032" s="1"/>
      </tp>
      <tp>
        <v>21140550000</v>
        <stp/>
        <stp>EM_HKS_VAL_MV</stp>
        <stp>3</stp>
        <stp>600472</stp>
        <stp>2019-12-31</stp>
        <stp>2</stp>
        <tr r="L2303" s="1"/>
      </tp>
      <tp>
        <v>2213952300</v>
        <stp/>
        <stp>EM_HKS_VAL_MV</stp>
        <stp>3</stp>
        <stp>300522</stp>
        <stp>2019-12-31</stp>
        <stp>2</stp>
        <tr r="L1837" s="1"/>
      </tp>
      <tp>
        <v>16404019230</v>
        <stp/>
        <stp>EM_HKS_VAL_MV</stp>
        <stp>3</stp>
        <stp>600572</stp>
        <stp>2019-12-31</stp>
        <stp>2</stp>
        <tr r="L2179" s="1"/>
      </tp>
      <tp>
        <v>5150301382.0799999</v>
        <stp/>
        <stp>EM_HKS_VAL_MV</stp>
        <stp>3</stp>
        <stp>000612</stp>
        <stp>2019-12-31</stp>
        <stp>2</stp>
        <tr r="L3484" s="1"/>
      </tp>
      <tp>
        <v>2373507321.1199999</v>
        <stp/>
        <stp>EM_HKS_VAL_MV</stp>
        <stp>3</stp>
        <stp>300622</stp>
        <stp>2019-12-31</stp>
        <stp>2</stp>
        <tr r="L1369" s="1"/>
      </tp>
      <tp>
        <v>321031226.60000002</v>
        <stp/>
        <stp>EM_HKS_VAL_MV</stp>
        <stp>3</stp>
        <stp>600672</stp>
        <stp>2019-12-31</stp>
        <stp>2</stp>
        <tr r="L2315" s="1"/>
      </tp>
      <tp>
        <v>13619200000</v>
        <stp/>
        <stp>EM_HKS_VAL_MV</stp>
        <stp>3</stp>
        <stp>000712</stp>
        <stp>2019-12-31</stp>
        <stp>2</stp>
        <tr r="L3518" s="1"/>
      </tp>
      <tp>
        <v>2350880000</v>
        <stp/>
        <stp>EM_HKS_VAL_MV</stp>
        <stp>3</stp>
        <stp>300722</stp>
        <stp>2019-12-31</stp>
        <stp>2</stp>
        <tr r="L3251" s="1"/>
      </tp>
      <tp>
        <v>373800960</v>
        <stp/>
        <stp>EM_HKS_VAL_MV</stp>
        <stp>3</stp>
        <stp>600772</stp>
        <stp>2019-12-31</stp>
        <stp>2</stp>
        <tr r="L2321" s="1"/>
      </tp>
      <tp>
        <v>2536685626.1999998</v>
        <stp/>
        <stp>EM_HKS_VAL_MV</stp>
        <stp>3</stp>
        <stp>000812</stp>
        <stp>2019-12-31</stp>
        <stp>2</stp>
        <tr r="L2624" s="1"/>
      </tp>
      <tp>
        <v>31347673583.900002</v>
        <stp/>
        <stp>EM_HKS_VAL_MV</stp>
        <stp>3</stp>
        <stp>600872</stp>
        <stp>2019-12-31</stp>
        <stp>2</stp>
        <tr r="L909" s="1"/>
      </tp>
      <tp>
        <v>7573440000</v>
        <stp/>
        <stp>EM_HKS_VAL_MV</stp>
        <stp>3</stp>
        <stp>000912</stp>
        <stp>2019-12-31</stp>
        <stp>2</stp>
        <tr r="L2196" s="1"/>
      </tp>
      <tp>
        <v>50110220546.82</v>
        <stp/>
        <stp>EM_HKS_VAL_MV</stp>
        <stp>3</stp>
        <stp>601872</stp>
        <stp>2019-12-31</stp>
        <stp>2</stp>
        <tr r="L137" s="1"/>
      </tp>
      <tp>
        <v>25044131331.580002</v>
        <stp/>
        <stp>EM_HKS_VAL_MV</stp>
        <stp>3</stp>
        <stp>002013</stp>
        <stp>2019-12-31</stp>
        <stp>2</stp>
        <tr r="L1925" s="1"/>
      </tp>
      <tp>
        <v>3004078142.8000002</v>
        <stp/>
        <stp>EM_HKS_VAL_MV</stp>
        <stp>3</stp>
        <stp>002113</stp>
        <stp>2019-12-31</stp>
        <stp>2</stp>
        <tr r="L3352" s="1"/>
      </tp>
      <tp>
        <v>2564700000</v>
        <stp/>
        <stp>EM_HKS_VAL_MV</stp>
        <stp>3</stp>
        <stp>002213</stp>
        <stp>2019-12-31</stp>
        <stp>2</stp>
        <tr r="L924" s="1"/>
      </tp>
      <tp>
        <v>6177600000</v>
        <stp/>
        <stp>EM_HKS_VAL_MV</stp>
        <stp>3</stp>
        <stp>002313</stp>
        <stp>2019-12-31</stp>
        <stp>2</stp>
        <tr r="L2845" s="1"/>
      </tp>
      <tp>
        <v>5881550928</v>
        <stp/>
        <stp>EM_HKS_VAL_MV</stp>
        <stp>3</stp>
        <stp>002413</stp>
        <stp>2019-12-31</stp>
        <stp>2</stp>
        <tr r="L2131" s="1"/>
      </tp>
      <tp>
        <v>2418013436.5799999</v>
        <stp/>
        <stp>EM_HKS_VAL_MV</stp>
        <stp>3</stp>
        <stp>002513</stp>
        <stp>2019-12-31</stp>
        <stp>2</stp>
        <tr r="L1792" s="1"/>
      </tp>
      <tp>
        <v>2577217500</v>
        <stp/>
        <stp>EM_HKS_VAL_MV</stp>
        <stp>3</stp>
        <stp>002613</stp>
        <stp>2019-12-31</stp>
        <stp>2</stp>
        <tr r="L2072" s="1"/>
      </tp>
      <tp>
        <v>2982907927.8000002</v>
        <stp/>
        <stp>EM_HKS_VAL_MV</stp>
        <stp>3</stp>
        <stp>002713</stp>
        <stp>2019-12-31</stp>
        <stp>2</stp>
        <tr r="L3382" s="1"/>
      </tp>
      <tp>
        <v>2908800000</v>
        <stp/>
        <stp>EM_HKS_VAL_MV</stp>
        <stp>3</stp>
        <stp>002813</stp>
        <stp>2019-12-31</stp>
        <stp>2</stp>
        <tr r="L2566" s="1"/>
      </tp>
      <tp>
        <v>8758913352.6599998</v>
        <stp/>
        <stp>EM_HKS_VAL_MV</stp>
        <stp>3</stp>
        <stp>002913</stp>
        <stp>2019-12-31</stp>
        <stp>2</stp>
        <tr r="L570" s="1"/>
      </tp>
      <tp>
        <v>3186924281.6399999</v>
        <stp/>
        <stp>EM_HKS_VAL_MV</stp>
        <stp>3</stp>
        <stp>603773</stp>
        <stp>2019-12-31</stp>
        <stp>2</stp>
        <tr r="L3149" s="1"/>
      </tp>
      <tp>
        <v>749286798.13</v>
        <stp/>
        <stp>EM_HKS_VAL_MV</stp>
        <stp>3</stp>
        <stp>000013</stp>
        <stp>2019-12-31</stp>
        <stp>2</stp>
        <tr r="L2272" s="1"/>
      </tp>
      <tp>
        <v>2307579457.5</v>
        <stp/>
        <stp>EM_HKS_VAL_MV</stp>
        <stp>3</stp>
        <stp>300023</stp>
        <stp>2019-12-31</stp>
        <stp>2</stp>
        <tr r="L1352" s="1"/>
      </tp>
      <tp>
        <v>7473703891.8400002</v>
        <stp/>
        <stp>EM_HKS_VAL_MV</stp>
        <stp>3</stp>
        <stp>600073</stp>
        <stp>2019-12-31</stp>
        <stp>2</stp>
        <tr r="L1973" s="1"/>
      </tp>
      <tp>
        <v>7647917946.5699997</v>
        <stp/>
        <stp>EM_HKS_VAL_MV</stp>
        <stp>3</stp>
        <stp>300123</stp>
        <stp>2019-12-31</stp>
        <stp>2</stp>
        <tr r="L2994" s="1"/>
      </tp>
      <tp>
        <v>3652826051.2399998</v>
        <stp/>
        <stp>EM_HKS_VAL_MV</stp>
        <stp>3</stp>
        <stp>600173</stp>
        <stp>2019-12-31</stp>
        <stp>2</stp>
        <tr r="L786" s="1"/>
      </tp>
      <tp>
        <v>17545697551.200001</v>
        <stp/>
        <stp>EM_HKS_VAL_MV</stp>
        <stp>3</stp>
        <stp>300223</stp>
        <stp>2019-12-31</stp>
        <stp>2</stp>
        <tr r="L20" s="1"/>
      </tp>
      <tp>
        <v>16118218608.75</v>
        <stp/>
        <stp>EM_HKS_VAL_MV</stp>
        <stp>3</stp>
        <stp>600273</stp>
        <stp>2019-12-31</stp>
        <stp>2</stp>
        <tr r="L1116" s="1"/>
      </tp>
      <tp>
        <v>7645130003</v>
        <stp/>
        <stp>EM_HKS_VAL_MV</stp>
        <stp>3</stp>
        <stp>300323</stp>
        <stp>2019-12-31</stp>
        <stp>2</stp>
        <tr r="L2365" s="1"/>
      </tp>
      <tp>
        <v>18442417215.59</v>
        <stp/>
        <stp>EM_HKS_VAL_MV</stp>
        <stp>3</stp>
        <stp>600373</stp>
        <stp>2019-12-31</stp>
        <stp>2</stp>
        <tr r="L2059" s="1"/>
      </tp>
      <tp>
        <v>19253640396.48</v>
        <stp/>
        <stp>EM_HKS_VAL_MV</stp>
        <stp>3</stp>
        <stp>000413</stp>
        <stp>2019-12-31</stp>
        <stp>2</stp>
        <tr r="L3142" s="1"/>
      </tp>
      <tp>
        <v>6610840435.6000004</v>
        <stp/>
        <stp>EM_HKS_VAL_MV</stp>
        <stp>3</stp>
        <stp>300423</stp>
        <stp>2019-12-31</stp>
        <stp>2</stp>
        <tr r="L3152" s="1"/>
      </tp>
      <tp>
        <v>31501502147.5</v>
        <stp/>
        <stp>EM_HKS_VAL_MV</stp>
        <stp>3</stp>
        <stp>000513</stp>
        <stp>2019-12-31</stp>
        <stp>2</stp>
        <tr r="L913" s="1"/>
      </tp>
      <tp>
        <v>10436124440.68</v>
        <stp/>
        <stp>EM_HKS_VAL_MV</stp>
        <stp>3</stp>
        <stp>300523</stp>
        <stp>2019-12-31</stp>
        <stp>2</stp>
        <tr r="L3143" s="1"/>
      </tp>
      <tp>
        <v>1660000000</v>
        <stp/>
        <stp>EM_HKS_VAL_MV</stp>
        <stp>3</stp>
        <stp>600573</stp>
        <stp>2019-12-31</stp>
        <stp>2</stp>
        <tr r="L2085" s="1"/>
      </tp>
      <tp>
        <v>2191882000</v>
        <stp/>
        <stp>EM_HKS_VAL_MV</stp>
        <stp>3</stp>
        <stp>000613</stp>
        <stp>2019-12-31</stp>
        <stp>2</stp>
        <tr r="L3064" s="1"/>
      </tp>
      <tp>
        <v>7095565108.8000002</v>
        <stp/>
        <stp>EM_HKS_VAL_MV</stp>
        <stp>3</stp>
        <stp>300623</stp>
        <stp>2019-12-31</stp>
        <stp>2</stp>
        <tr r="L1635" s="1"/>
      </tp>
      <tp>
        <v>30862307932.16</v>
        <stp/>
        <stp>EM_HKS_VAL_MV</stp>
        <stp>3</stp>
        <stp>600673</stp>
        <stp>2019-12-31</stp>
        <stp>2</stp>
        <tr r="L859" s="1"/>
      </tp>
      <tp>
        <v>3710404811.3400002</v>
        <stp/>
        <stp>EM_HKS_VAL_MV</stp>
        <stp>3</stp>
        <stp>000713</stp>
        <stp>2019-12-31</stp>
        <stp>2</stp>
        <tr r="L252" s="1"/>
      </tp>
      <tp>
        <v>6181437808</v>
        <stp/>
        <stp>EM_HKS_VAL_MV</stp>
        <stp>3</stp>
        <stp>300723</stp>
        <stp>2019-12-31</stp>
        <stp>2</stp>
        <tr r="L648" s="1"/>
      </tp>
      <tp>
        <v>4754032315.1999998</v>
        <stp/>
        <stp>EM_HKS_VAL_MV</stp>
        <stp>3</stp>
        <stp>600773</stp>
        <stp>2019-12-31</stp>
        <stp>2</stp>
        <tr r="L2483" s="1"/>
      </tp>
      <tp>
        <v>14098920522</v>
        <stp/>
        <stp>EM_HKS_VAL_MV</stp>
        <stp>3</stp>
        <stp>000813</stp>
        <stp>2019-12-31</stp>
        <stp>2</stp>
        <tr r="L3236" s="1"/>
      </tp>
      <tp>
        <v>13814088889.1</v>
        <stp/>
        <stp>EM_HKS_VAL_MV</stp>
        <stp>3</stp>
        <stp>600873</stp>
        <stp>2019-12-31</stp>
        <stp>2</stp>
        <tr r="L2002" s="1"/>
      </tp>
      <tp>
        <v>4993431360</v>
        <stp/>
        <stp>EM_HKS_VAL_MV</stp>
        <stp>3</stp>
        <stp>000913</stp>
        <stp>2019-12-31</stp>
        <stp>2</stp>
        <tr r="L1323" s="1"/>
      </tp>
      <tp>
        <v>4644027564.6000004</v>
        <stp/>
        <stp>EM_HKS_VAL_MV</stp>
        <stp>3</stp>
        <stp>600973</stp>
        <stp>2019-12-31</stp>
        <stp>2</stp>
        <tr r="L2049" s="1"/>
      </tp>
      <tp>
        <v>22739546452.439999</v>
        <stp/>
        <stp>EM_HKS_VAL_MV</stp>
        <stp>3</stp>
        <stp>002010</stp>
        <stp>2019-12-31</stp>
        <stp>2</stp>
        <tr r="L1950" s="1"/>
      </tp>
      <tp>
        <v>22946753587.68</v>
        <stp/>
        <stp>EM_HKS_VAL_MV</stp>
        <stp>3</stp>
        <stp>002110</stp>
        <stp>2019-12-31</stp>
        <stp>2</stp>
        <tr r="L3202" s="1"/>
      </tp>
      <tp>
        <v>2132215697.9400001</v>
        <stp/>
        <stp>EM_HKS_VAL_MV</stp>
        <stp>3</stp>
        <stp>002210</stp>
        <stp>2019-12-31</stp>
        <stp>2</stp>
        <tr r="L3397" s="1"/>
      </tp>
      <tp>
        <v>13481019260.08</v>
        <stp/>
        <stp>EM_HKS_VAL_MV</stp>
        <stp>3</stp>
        <stp>002310</stp>
        <stp>2019-12-31</stp>
        <stp>2</stp>
        <tr r="L3198" s="1"/>
      </tp>
      <tp>
        <v>38314214887.220001</v>
        <stp/>
        <stp>EM_HKS_VAL_MV</stp>
        <stp>3</stp>
        <stp>002410</stp>
        <stp>2019-12-31</stp>
        <stp>2</stp>
        <tr r="L427" s="1"/>
      </tp>
      <tp>
        <v>4300374786.4399996</v>
        <stp/>
        <stp>EM_HKS_VAL_MV</stp>
        <stp>3</stp>
        <stp>002510</stp>
        <stp>2019-12-31</stp>
        <stp>2</stp>
        <tr r="L994" s="1"/>
      </tp>
      <tp>
        <v>7227484442.9200001</v>
        <stp/>
        <stp>EM_HKS_VAL_MV</stp>
        <stp>3</stp>
        <stp>002610</stp>
        <stp>2019-12-31</stp>
        <stp>2</stp>
        <tr r="L2135" s="1"/>
      </tp>
      <tp>
        <v>0</v>
        <stp/>
        <stp>EM_HKS_VAL_MV</stp>
        <stp>3</stp>
        <stp>002710</stp>
        <stp>2019-12-31</stp>
        <stp>2</stp>
        <tr r="L7" s="1"/>
      </tp>
      <tp>
        <v>3691761024</v>
        <stp/>
        <stp>EM_HKS_VAL_MV</stp>
        <stp>3</stp>
        <stp>002810</stp>
        <stp>2019-12-31</stp>
        <stp>2</stp>
        <tr r="L1778" s="1"/>
      </tp>
      <tp>
        <v>2183292870</v>
        <stp/>
        <stp>EM_HKS_VAL_MV</stp>
        <stp>3</stp>
        <stp>002910</stp>
        <stp>2019-12-31</stp>
        <stp>2</stp>
        <tr r="L2541" s="1"/>
      </tp>
      <tp>
        <v>2474881237.4400001</v>
        <stp/>
        <stp>EM_HKS_VAL_MV</stp>
        <stp>3</stp>
        <stp>603970</stp>
        <stp>2019-12-31</stp>
        <stp>2</stp>
        <tr r="L3016" s="1"/>
      </tp>
      <tp>
        <v>2787506024.1999998</v>
        <stp/>
        <stp>EM_HKS_VAL_MV</stp>
        <stp>3</stp>
        <stp>000010</stp>
        <stp>2019-12-31</stp>
        <stp>2</stp>
        <tr r="L2039" s="1"/>
      </tp>
      <tp>
        <v>5508628322.3999996</v>
        <stp/>
        <stp>EM_HKS_VAL_MV</stp>
        <stp>3</stp>
        <stp>300020</stp>
        <stp>2019-12-31</stp>
        <stp>2</stp>
        <tr r="L927" s="1"/>
      </tp>
      <tp>
        <v>5036780038.6999998</v>
        <stp/>
        <stp>EM_HKS_VAL_MV</stp>
        <stp>3</stp>
        <stp>600070</stp>
        <stp>2019-12-31</stp>
        <stp>2</stp>
        <tr r="L667" s="1"/>
      </tp>
      <tp>
        <v>2974442310.4000001</v>
        <stp/>
        <stp>EM_HKS_VAL_MV</stp>
        <stp>3</stp>
        <stp>300120</stp>
        <stp>2019-12-31</stp>
        <stp>2</stp>
        <tr r="L2024" s="1"/>
      </tp>
      <tp>
        <v>31521567957.119999</v>
        <stp/>
        <stp>EM_HKS_VAL_MV</stp>
        <stp>3</stp>
        <stp>600170</stp>
        <stp>2019-12-31</stp>
        <stp>2</stp>
        <tr r="L1414" s="1"/>
      </tp>
      <tp>
        <v>4924080000</v>
        <stp/>
        <stp>EM_HKS_VAL_MV</stp>
        <stp>3</stp>
        <stp>300220</stp>
        <stp>2019-12-31</stp>
        <stp>2</stp>
        <tr r="L27" s="1"/>
      </tp>
      <tp>
        <v>19006061302.799999</v>
        <stp/>
        <stp>EM_HKS_VAL_MV</stp>
        <stp>3</stp>
        <stp>600270</stp>
        <stp>2019-12-31</stp>
        <stp>2</stp>
        <tr r="L2298" s="1"/>
      </tp>
      <tp>
        <v>2921998168.2600002</v>
        <stp/>
        <stp>EM_HKS_VAL_MV</stp>
        <stp>3</stp>
        <stp>300320</stp>
        <stp>2019-12-31</stp>
        <stp>2</stp>
        <tr r="L1658" s="1"/>
      </tp>
      <tp>
        <v>2431594901.5</v>
        <stp/>
        <stp>EM_HKS_VAL_MV</stp>
        <stp>3</stp>
        <stp>600370</stp>
        <stp>2019-12-31</stp>
        <stp>2</stp>
        <tr r="L1676" s="1"/>
      </tp>
      <tp>
        <v>11468284778.639999</v>
        <stp/>
        <stp>EM_HKS_VAL_MV</stp>
        <stp>3</stp>
        <stp>000410</stp>
        <stp>2019-12-31</stp>
        <stp>2</stp>
        <tr r="L3419" s="1"/>
      </tp>
      <tp>
        <v>3928811384.6100001</v>
        <stp/>
        <stp>EM_HKS_VAL_MV</stp>
        <stp>3</stp>
        <stp>300420</stp>
        <stp>2019-12-31</stp>
        <stp>2</stp>
        <tr r="L1747" s="1"/>
      </tp>
      <tp>
        <v>2232448000</v>
        <stp/>
        <stp>EM_HKS_VAL_MV</stp>
        <stp>3</stp>
        <stp>600470</stp>
        <stp>2019-12-31</stp>
        <stp>2</stp>
        <tr r="L1540" s="1"/>
      </tp>
      <tp>
        <v>2534198176.6399999</v>
        <stp/>
        <stp>EM_HKS_VAL_MV</stp>
        <stp>3</stp>
        <stp>000510</stp>
        <stp>2019-12-31</stp>
        <stp>2</stp>
        <tr r="L1993" s="1"/>
      </tp>
      <tp>
        <v>4624606554.1400003</v>
        <stp/>
        <stp>EM_HKS_VAL_MV</stp>
        <stp>3</stp>
        <stp>300520</stp>
        <stp>2019-12-31</stp>
        <stp>2</stp>
        <tr r="L1078" s="1"/>
      </tp>
      <tp>
        <v>62428595633.82</v>
        <stp/>
        <stp>EM_HKS_VAL_MV</stp>
        <stp>3</stp>
        <stp>600570</stp>
        <stp>2019-12-31</stp>
        <stp>2</stp>
        <tr r="L583" s="1"/>
      </tp>
      <tp>
        <v>2170978252.1700001</v>
        <stp/>
        <stp>EM_HKS_VAL_MV</stp>
        <stp>3</stp>
        <stp>000610</stp>
        <stp>2019-12-31</stp>
        <stp>2</stp>
        <tr r="L1211" s="1"/>
      </tp>
      <tp>
        <v>3561987910</v>
        <stp/>
        <stp>EM_HKS_VAL_MV</stp>
        <stp>3</stp>
        <stp>300620</stp>
        <stp>2019-12-31</stp>
        <stp>2</stp>
        <tr r="L2759" s="1"/>
      </tp>
      <tp>
        <v>402757673.07999998</v>
        <stp/>
        <stp>EM_HKS_VAL_MV</stp>
        <stp>3</stp>
        <stp>600670</stp>
        <stp>2019-12-31</stp>
        <stp>2</stp>
        <tr r="L2314" s="1"/>
      </tp>
      <tp>
        <v>12978574659</v>
        <stp/>
        <stp>EM_HKS_VAL_MV</stp>
        <stp>3</stp>
        <stp>000710</stp>
        <stp>2019-12-31</stp>
        <stp>2</stp>
        <tr r="L1684" s="1"/>
      </tp>
      <tp>
        <v>1655640000</v>
        <stp/>
        <stp>EM_HKS_VAL_MV</stp>
        <stp>3</stp>
        <stp>300720</stp>
        <stp>2019-12-31</stp>
        <stp>2</stp>
        <tr r="L3311" s="1"/>
      </tp>
      <tp>
        <v>7007000000</v>
        <stp/>
        <stp>EM_HKS_VAL_MV</stp>
        <stp>3</stp>
        <stp>600770</stp>
        <stp>2019-12-31</stp>
        <stp>2</stp>
        <tr r="L1467" s="1"/>
      </tp>
      <tp>
        <v>12688819572.66</v>
        <stp/>
        <stp>EM_HKS_VAL_MV</stp>
        <stp>3</stp>
        <stp>000810</stp>
        <stp>2019-12-31</stp>
        <stp>2</stp>
        <tr r="L139" s="1"/>
      </tp>
      <tp>
        <v>1559135001.7</v>
        <stp/>
        <stp>EM_HKS_VAL_MV</stp>
        <stp>3</stp>
        <stp>600870</stp>
        <stp>2019-12-31</stp>
        <stp>2</stp>
        <tr r="L2830" s="1"/>
      </tp>
      <tp>
        <v>7745836305</v>
        <stp/>
        <stp>EM_HKS_VAL_MV</stp>
        <stp>3</stp>
        <stp>000910</stp>
        <stp>2019-12-31</stp>
        <stp>2</stp>
        <tr r="L880" s="1"/>
      </tp>
      <tp>
        <v>12124829755.41</v>
        <stp/>
        <stp>EM_HKS_VAL_MV</stp>
        <stp>3</stp>
        <stp>600970</stp>
        <stp>2019-12-31</stp>
        <stp>2</stp>
        <tr r="L1048" s="1"/>
      </tp>
      <tp>
        <v>4448479073</v>
        <stp/>
        <stp>EM_HKS_VAL_MV</stp>
        <stp>3</stp>
        <stp>002011</stp>
        <stp>2019-12-31</stp>
        <stp>2</stp>
        <tr r="L3606" s="1"/>
      </tp>
      <tp>
        <v>5971782162.5600004</v>
        <stp/>
        <stp>EM_HKS_VAL_MV</stp>
        <stp>3</stp>
        <stp>002111</stp>
        <stp>2019-12-31</stp>
        <stp>2</stp>
        <tr r="L421" s="1"/>
      </tp>
      <tp>
        <v>2720272649.9099998</v>
        <stp/>
        <stp>EM_HKS_VAL_MV</stp>
        <stp>3</stp>
        <stp>002211</stp>
        <stp>2019-12-31</stp>
        <stp>2</stp>
        <tr r="L822" s="1"/>
      </tp>
      <tp>
        <v>56892869784</v>
        <stp/>
        <stp>EM_HKS_VAL_MV</stp>
        <stp>3</stp>
        <stp>002311</stp>
        <stp>2019-12-31</stp>
        <stp>2</stp>
        <tr r="L476" s="1"/>
      </tp>
      <tp>
        <v>23949597497.669998</v>
        <stp/>
        <stp>EM_HKS_VAL_MV</stp>
        <stp>3</stp>
        <stp>002411</stp>
        <stp>2019-12-31</stp>
        <stp>2</stp>
        <tr r="L3164" s="1"/>
      </tp>
      <tp>
        <v>16570563516.18</v>
        <stp/>
        <stp>EM_HKS_VAL_MV</stp>
        <stp>3</stp>
        <stp>002511</stp>
        <stp>2019-12-31</stp>
        <stp>2</stp>
        <tr r="L611" s="1"/>
      </tp>
      <tp>
        <v>7814250158</v>
        <stp/>
        <stp>EM_HKS_VAL_MV</stp>
        <stp>3</stp>
        <stp>002611</stp>
        <stp>2019-12-31</stp>
        <stp>2</stp>
        <tr r="L1539" s="1"/>
      </tp>
      <tp>
        <v>1330648704</v>
        <stp/>
        <stp>EM_HKS_VAL_MV</stp>
        <stp>3</stp>
        <stp>002711</stp>
        <stp>2019-12-31</stp>
        <stp>2</stp>
        <tr r="L3398" s="1"/>
      </tp>
      <tp>
        <v>2867447232.4499998</v>
        <stp/>
        <stp>EM_HKS_VAL_MV</stp>
        <stp>3</stp>
        <stp>002811</stp>
        <stp>2019-12-31</stp>
        <stp>2</stp>
        <tr r="L2796" s="1"/>
      </tp>
      <tp>
        <v>8573520000</v>
        <stp/>
        <stp>EM_HKS_VAL_MV</stp>
        <stp>3</stp>
        <stp>002911</stp>
        <stp>2019-12-31</stp>
        <stp>2</stp>
        <tr r="L2725" s="1"/>
      </tp>
      <tp>
        <v>4810624000</v>
        <stp/>
        <stp>EM_HKS_VAL_MV</stp>
        <stp>3</stp>
        <stp>603871</stp>
        <stp>2019-12-31</stp>
        <stp>2</stp>
        <tr r="L2770" s="1"/>
      </tp>
      <tp>
        <v>5608163255.7200003</v>
        <stp/>
        <stp>EM_HKS_VAL_MV</stp>
        <stp>3</stp>
        <stp>000011</stp>
        <stp>2019-12-31</stp>
        <stp>2</stp>
        <tr r="L1983" s="1"/>
      </tp>
      <tp>
        <v>4226011641.0999999</v>
        <stp/>
        <stp>EM_HKS_VAL_MV</stp>
        <stp>3</stp>
        <stp>300021</stp>
        <stp>2019-12-31</stp>
        <stp>2</stp>
        <tr r="L1058" s="1"/>
      </tp>
      <tp>
        <v>3226836767.9400001</v>
        <stp/>
        <stp>EM_HKS_VAL_MV</stp>
        <stp>3</stp>
        <stp>600071</stp>
        <stp>2019-12-31</stp>
        <stp>2</stp>
        <tr r="L523" s="1"/>
      </tp>
      <tp>
        <v>2743598644.3600001</v>
        <stp/>
        <stp>EM_HKS_VAL_MV</stp>
        <stp>3</stp>
        <stp>300121</stp>
        <stp>2019-12-31</stp>
        <stp>2</stp>
        <tr r="L3007" s="1"/>
      </tp>
      <tp>
        <v>11085491245.5</v>
        <stp/>
        <stp>EM_HKS_VAL_MV</stp>
        <stp>3</stp>
        <stp>600171</stp>
        <stp>2019-12-31</stp>
        <stp>2</stp>
        <tr r="L298" s="1"/>
      </tp>
      <tp>
        <v>2582726432.73</v>
        <stp/>
        <stp>EM_HKS_VAL_MV</stp>
        <stp>3</stp>
        <stp>300221</stp>
        <stp>2019-12-31</stp>
        <stp>2</stp>
        <tr r="L1732" s="1"/>
      </tp>
      <tp>
        <v>43154530729.870003</v>
        <stp/>
        <stp>EM_HKS_VAL_MV</stp>
        <stp>3</stp>
        <stp>600271</stp>
        <stp>2019-12-31</stp>
        <stp>2</stp>
        <tr r="L2348" s="1"/>
      </tp>
      <tp>
        <v>1425240000</v>
        <stp/>
        <stp>EM_HKS_VAL_MV</stp>
        <stp>3</stp>
        <stp>300321</stp>
        <stp>2019-12-31</stp>
        <stp>2</stp>
        <tr r="L1033" s="1"/>
      </tp>
      <tp>
        <v>2745732000</v>
        <stp/>
        <stp>EM_HKS_VAL_MV</stp>
        <stp>3</stp>
        <stp>600371</stp>
        <stp>2019-12-31</stp>
        <stp>2</stp>
        <tr r="L193" s="1"/>
      </tp>
      <tp>
        <v>3029599008.9499998</v>
        <stp/>
        <stp>EM_HKS_VAL_MV</stp>
        <stp>3</stp>
        <stp>000411</stp>
        <stp>2019-12-31</stp>
        <stp>2</stp>
        <tr r="L2518" s="1"/>
      </tp>
      <tp>
        <v>1692972243.5599999</v>
        <stp/>
        <stp>EM_HKS_VAL_MV</stp>
        <stp>3</stp>
        <stp>300421</stp>
        <stp>2019-12-31</stp>
        <stp>2</stp>
        <tr r="L3348" s="1"/>
      </tp>
      <tp>
        <v>704447526.71000004</v>
        <stp/>
        <stp>EM_HKS_VAL_MV</stp>
        <stp>3</stp>
        <stp>000511</stp>
        <stp>2019-12-31</stp>
        <stp>2</stp>
        <tr r="L3436" s="1"/>
      </tp>
      <tp>
        <v>1523520000</v>
        <stp/>
        <stp>EM_HKS_VAL_MV</stp>
        <stp>3</stp>
        <stp>300521</stp>
        <stp>2019-12-31</stp>
        <stp>2</stp>
        <tr r="L1258" s="1"/>
      </tp>
      <tp>
        <v>4190142947.54</v>
        <stp/>
        <stp>EM_HKS_VAL_MV</stp>
        <stp>3</stp>
        <stp>600571</stp>
        <stp>2019-12-31</stp>
        <stp>2</stp>
        <tr r="L555" s="1"/>
      </tp>
      <tp>
        <v>1297236564.48</v>
        <stp/>
        <stp>EM_HKS_VAL_MV</stp>
        <stp>3</stp>
        <stp>000611</stp>
        <stp>2019-12-31</stp>
        <stp>2</stp>
        <tr r="L3483" s="1"/>
      </tp>
      <tp>
        <v>2165727200</v>
        <stp/>
        <stp>EM_HKS_VAL_MV</stp>
        <stp>3</stp>
        <stp>300621</stp>
        <stp>2019-12-31</stp>
        <stp>2</stp>
        <tr r="L1811" s="1"/>
      </tp>
      <tp>
        <v>1500315863.2</v>
        <stp/>
        <stp>EM_HKS_VAL_MV</stp>
        <stp>3</stp>
        <stp>600671</stp>
        <stp>2019-12-31</stp>
        <stp>2</stp>
        <tr r="L3131" s="1"/>
      </tp>
      <tp>
        <v>5568752919.04</v>
        <stp/>
        <stp>EM_HKS_VAL_MV</stp>
        <stp>3</stp>
        <stp>000711</stp>
        <stp>2019-12-31</stp>
        <stp>2</stp>
        <tr r="L2850" s="1"/>
      </tp>
      <tp>
        <v>1521444800</v>
        <stp/>
        <stp>EM_HKS_VAL_MV</stp>
        <stp>3</stp>
        <stp>300721</stp>
        <stp>2019-12-31</stp>
        <stp>2</stp>
        <tr r="L2599" s="1"/>
      </tp>
      <tp>
        <v>8344314861.1199999</v>
        <stp/>
        <stp>EM_HKS_VAL_MV</stp>
        <stp>3</stp>
        <stp>600771</stp>
        <stp>2019-12-31</stp>
        <stp>2</stp>
        <tr r="L3341" s="1"/>
      </tp>
      <tp>
        <v>5228323006.04</v>
        <stp/>
        <stp>EM_HKS_VAL_MV</stp>
        <stp>3</stp>
        <stp>000811</stp>
        <stp>2019-12-31</stp>
        <stp>2</stp>
        <tr r="L843" s="1"/>
      </tp>
      <tp>
        <v>42904608474.580002</v>
        <stp/>
        <stp>EM_HKS_VAL_MV</stp>
        <stp>3</stp>
        <stp>600871</stp>
        <stp>2019-12-31</stp>
        <stp>2</stp>
        <tr r="L1178" s="1"/>
      </tp>
      <tp>
        <v>1944485622</v>
        <stp/>
        <stp>EM_HKS_VAL_MV</stp>
        <stp>3</stp>
        <stp>000911</stp>
        <stp>2019-12-31</stp>
        <stp>2</stp>
        <tr r="L3572" s="1"/>
      </tp>
      <tp>
        <v>7176029206.3199997</v>
        <stp/>
        <stp>EM_HKS_VAL_MV</stp>
        <stp>3</stp>
        <stp>600971</stp>
        <stp>2019-12-31</stp>
        <stp>2</stp>
        <tr r="L1930" s="1"/>
      </tp>
      <tp>
        <v>7006768173.1199999</v>
        <stp/>
        <stp>EM_HKS_VAL_MV</stp>
        <stp>3</stp>
        <stp>002016</stp>
        <stp>2019-12-31</stp>
        <stp>2</stp>
        <tr r="L2526" s="1"/>
      </tp>
      <tp>
        <v>3261682005.7800002</v>
        <stp/>
        <stp>EM_HKS_VAL_MV</stp>
        <stp>3</stp>
        <stp>002116</stp>
        <stp>2019-12-31</stp>
        <stp>2</stp>
        <tr r="L1546" s="1"/>
      </tp>
      <tp>
        <v>11429392631.799999</v>
        <stp/>
        <stp>EM_HKS_VAL_MV</stp>
        <stp>3</stp>
        <stp>002216</stp>
        <stp>2019-12-31</stp>
        <stp>2</stp>
        <tr r="L197" s="1"/>
      </tp>
      <tp>
        <v>2940537600</v>
        <stp/>
        <stp>EM_HKS_VAL_MV</stp>
        <stp>3</stp>
        <stp>002316</stp>
        <stp>2019-12-31</stp>
        <stp>2</stp>
        <tr r="L1910" s="1"/>
      </tp>
      <tp>
        <v>9430934543.6599998</v>
        <stp/>
        <stp>EM_HKS_VAL_MV</stp>
        <stp>3</stp>
        <stp>002416</stp>
        <stp>2019-12-31</stp>
        <stp>2</stp>
        <tr r="L976" s="1"/>
      </tp>
      <tp>
        <v>3956556054.5799999</v>
        <stp/>
        <stp>EM_HKS_VAL_MV</stp>
        <stp>3</stp>
        <stp>002516</stp>
        <stp>2019-12-31</stp>
        <stp>2</stp>
        <tr r="L2588" s="1"/>
      </tp>
      <tp>
        <v>6068604117.9200001</v>
        <stp/>
        <stp>EM_HKS_VAL_MV</stp>
        <stp>3</stp>
        <stp>002616</stp>
        <stp>2019-12-31</stp>
        <stp>2</stp>
        <tr r="L1661" s="1"/>
      </tp>
      <tp>
        <v>2756572411.04</v>
        <stp/>
        <stp>EM_HKS_VAL_MV</stp>
        <stp>3</stp>
        <stp>002716</stp>
        <stp>2019-12-31</stp>
        <stp>2</stp>
        <tr r="L3375" s="1"/>
      </tp>
      <tp>
        <v>2160000000</v>
        <stp/>
        <stp>EM_HKS_VAL_MV</stp>
        <stp>3</stp>
        <stp>002816</stp>
        <stp>2019-12-31</stp>
        <stp>2</stp>
        <tr r="L652" s="1"/>
      </tp>
      <tp>
        <v>48223056000</v>
        <stp/>
        <stp>EM_HKS_VAL_MV</stp>
        <stp>3</stp>
        <stp>002916</stp>
        <stp>2019-12-31</stp>
        <stp>2</stp>
        <tr r="L264" s="1"/>
      </tp>
      <tp>
        <v>1812585000</v>
        <stp/>
        <stp>EM_HKS_VAL_MV</stp>
        <stp>3</stp>
        <stp>603076</stp>
        <stp>2019-12-31</stp>
        <stp>2</stp>
        <tr r="L2382" s="1"/>
      </tp>
      <tp>
        <v>4488030000</v>
        <stp/>
        <stp>EM_HKS_VAL_MV</stp>
        <stp>3</stp>
        <stp>603676</stp>
        <stp>2019-12-31</stp>
        <stp>2</stp>
        <tr r="L2673" s="1"/>
      </tp>
      <tp>
        <v>3207618000</v>
        <stp/>
        <stp>EM_HKS_VAL_MV</stp>
        <stp>3</stp>
        <stp>603776</stp>
        <stp>2019-12-31</stp>
        <stp>2</stp>
        <tr r="L2890" s="1"/>
      </tp>
      <tp>
        <v>6877281762.7799997</v>
        <stp/>
        <stp>EM_HKS_VAL_MV</stp>
        <stp>3</stp>
        <stp>603876</stp>
        <stp>2019-12-31</stp>
        <stp>2</stp>
        <tr r="L2926" s="1"/>
      </tp>
      <tp>
        <v>2636928000</v>
        <stp/>
        <stp>EM_HKS_VAL_MV</stp>
        <stp>3</stp>
        <stp>603976</stp>
        <stp>2019-12-31</stp>
        <stp>2</stp>
        <tr r="L1880" s="1"/>
      </tp>
      <tp>
        <v>10522721432.959999</v>
        <stp/>
        <stp>EM_HKS_VAL_MV</stp>
        <stp>3</stp>
        <stp>000016</stp>
        <stp>2019-12-31</stp>
        <stp>2</stp>
        <tr r="L767" s="1"/>
      </tp>
      <tp>
        <v>10550023977.870001</v>
        <stp/>
        <stp>EM_HKS_VAL_MV</stp>
        <stp>3</stp>
        <stp>300026</stp>
        <stp>2019-12-31</stp>
        <stp>2</stp>
        <tr r="L1577" s="1"/>
      </tp>
      <tp>
        <v>4540419526.3100004</v>
        <stp/>
        <stp>EM_HKS_VAL_MV</stp>
        <stp>3</stp>
        <stp>600076</stp>
        <stp>2019-12-31</stp>
        <stp>2</stp>
        <tr r="L2007" s="1"/>
      </tp>
      <tp>
        <v>1808547720</v>
        <stp/>
        <stp>EM_HKS_VAL_MV</stp>
        <stp>3</stp>
        <stp>300126</stp>
        <stp>2019-12-31</stp>
        <stp>2</stp>
        <tr r="L1497" s="1"/>
      </tp>
      <tp>
        <v>38175144654.099998</v>
        <stp/>
        <stp>EM_HKS_VAL_MV</stp>
        <stp>3</stp>
        <stp>600176</stp>
        <stp>2019-12-31</stp>
        <stp>2</stp>
        <tr r="L1596" s="1"/>
      </tp>
      <tp>
        <v>12378668530</v>
        <stp/>
        <stp>EM_HKS_VAL_MV</stp>
        <stp>3</stp>
        <stp>300226</stp>
        <stp>2019-12-31</stp>
        <stp>2</stp>
        <tr r="L350" s="1"/>
      </tp>
      <tp>
        <v>387084698521.44</v>
        <stp/>
        <stp>EM_HKS_VAL_MV</stp>
        <stp>3</stp>
        <stp>600276</stp>
        <stp>2019-12-31</stp>
        <stp>2</stp>
        <tr r="L401" s="1"/>
      </tp>
      <tp>
        <v>9787562123.3999996</v>
        <stp/>
        <stp>EM_HKS_VAL_MV</stp>
        <stp>3</stp>
        <stp>300326</stp>
        <stp>2019-12-31</stp>
        <stp>2</stp>
        <tr r="L483" s="1"/>
      </tp>
      <tp>
        <v>20559134978.740002</v>
        <stp/>
        <stp>EM_HKS_VAL_MV</stp>
        <stp>3</stp>
        <stp>600376</stp>
        <stp>2019-12-31</stp>
        <stp>2</stp>
        <tr r="L1649" s="1"/>
      </tp>
      <tp>
        <v>2951886791.6999998</v>
        <stp/>
        <stp>EM_HKS_VAL_MV</stp>
        <stp>3</stp>
        <stp>000416</stp>
        <stp>2019-12-31</stp>
        <stp>2</stp>
        <tr r="L3421" s="1"/>
      </tp>
      <tp>
        <v>2617220500</v>
        <stp/>
        <stp>EM_HKS_VAL_MV</stp>
        <stp>3</stp>
        <stp>300426</stp>
        <stp>2019-12-31</stp>
        <stp>2</stp>
        <tr r="L2691" s="1"/>
      </tp>
      <tp>
        <v>2353232700</v>
        <stp/>
        <stp>EM_HKS_VAL_MV</stp>
        <stp>3</stp>
        <stp>600476</stp>
        <stp>2019-12-31</stp>
        <stp>2</stp>
        <tr r="L1132" s="1"/>
      </tp>
      <tp>
        <v>9559589114.7000008</v>
        <stp/>
        <stp>EM_HKS_VAL_MV</stp>
        <stp>3</stp>
        <stp>000516</stp>
        <stp>2019-12-31</stp>
        <stp>2</stp>
        <tr r="L3439" s="1"/>
      </tp>
      <tp>
        <v>9557005696</v>
        <stp/>
        <stp>EM_HKS_VAL_MV</stp>
        <stp>3</stp>
        <stp>300526</stp>
        <stp>2019-12-31</stp>
        <stp>2</stp>
        <tr r="L21" s="1"/>
      </tp>
      <tp>
        <v>3028877780.0100002</v>
        <stp/>
        <stp>EM_HKS_VAL_MV</stp>
        <stp>3</stp>
        <stp>600576</stp>
        <stp>2019-12-31</stp>
        <stp>2</stp>
        <tr r="L1411" s="1"/>
      </tp>
      <tp>
        <v>3475469652.75</v>
        <stp/>
        <stp>EM_HKS_VAL_MV</stp>
        <stp>3</stp>
        <stp>000616</stp>
        <stp>2019-12-31</stp>
        <stp>2</stp>
        <tr r="L2228" s="1"/>
      </tp>
      <tp>
        <v>1521000000</v>
        <stp/>
        <stp>EM_HKS_VAL_MV</stp>
        <stp>3</stp>
        <stp>300626</stp>
        <stp>2019-12-31</stp>
        <stp>2</stp>
        <tr r="L2555" s="1"/>
      </tp>
      <tp>
        <v>4443089518.0799999</v>
        <stp/>
        <stp>EM_HKS_VAL_MV</stp>
        <stp>3</stp>
        <stp>600676</stp>
        <stp>2019-12-31</stp>
        <stp>2</stp>
        <tr r="L2345" s="1"/>
      </tp>
      <tp>
        <v>3105006964.8000002</v>
        <stp/>
        <stp>EM_HKS_VAL_MV</stp>
        <stp>3</stp>
        <stp>000716</stp>
        <stp>2019-12-31</stp>
        <stp>2</stp>
        <tr r="L812" s="1"/>
      </tp>
      <tp>
        <v>10530632000</v>
        <stp/>
        <stp>EM_HKS_VAL_MV</stp>
        <stp>3</stp>
        <stp>300726</stp>
        <stp>2019-12-31</stp>
        <stp>2</stp>
        <tr r="L613" s="1"/>
      </tp>
      <tp>
        <v>26162481333.119999</v>
        <stp/>
        <stp>EM_HKS_VAL_MV</stp>
        <stp>3</stp>
        <stp>600776</stp>
        <stp>2019-12-31</stp>
        <stp>2</stp>
        <tr r="L255" s="1"/>
      </tp>
      <tp>
        <v>2128204977</v>
        <stp/>
        <stp>EM_HKS_VAL_MV</stp>
        <stp>3</stp>
        <stp>000816</stp>
        <stp>2019-12-31</stp>
        <stp>2</stp>
        <tr r="L3547" s="1"/>
      </tp>
      <tp>
        <v>8910155690.1700001</v>
        <stp/>
        <stp>EM_HKS_VAL_MV</stp>
        <stp>3</stp>
        <stp>600876</stp>
        <stp>2019-12-31</stp>
        <stp>2</stp>
        <tr r="L598" s="1"/>
      </tp>
      <tp>
        <v>9613800000</v>
        <stp/>
        <stp>EM_HKS_VAL_MV</stp>
        <stp>3</stp>
        <stp>000916</stp>
        <stp>2019-12-31</stp>
        <stp>2</stp>
        <tr r="L3574" s="1"/>
      </tp>
      <tp>
        <v>2725893122</v>
        <stp/>
        <stp>EM_HKS_VAL_MV</stp>
        <stp>3</stp>
        <stp>600976</stp>
        <stp>2019-12-31</stp>
        <stp>2</stp>
        <tr r="L1228" s="1"/>
      </tp>
      <tp>
        <v>6657107512.4399996</v>
        <stp/>
        <stp>EM_HKS_VAL_MV</stp>
        <stp>3</stp>
        <stp>002017</stp>
        <stp>2019-12-31</stp>
        <stp>2</stp>
        <tr r="L3607" s="1"/>
      </tp>
      <tp>
        <v>6793546941.4499998</v>
        <stp/>
        <stp>EM_HKS_VAL_MV</stp>
        <stp>3</stp>
        <stp>002117</stp>
        <stp>2019-12-31</stp>
        <stp>2</stp>
        <tr r="L2798" s="1"/>
      </tp>
      <tp>
        <v>17296110021</v>
        <stp/>
        <stp>EM_HKS_VAL_MV</stp>
        <stp>3</stp>
        <stp>002217</stp>
        <stp>2019-12-31</stp>
        <stp>2</stp>
        <tr r="L1404" s="1"/>
      </tp>
      <tp>
        <v>10343655665.200001</v>
        <stp/>
        <stp>EM_HKS_VAL_MV</stp>
        <stp>3</stp>
        <stp>002317</stp>
        <stp>2019-12-31</stp>
        <stp>2</stp>
        <tr r="L653" s="1"/>
      </tp>
      <tp>
        <v>1876500000</v>
        <stp/>
        <stp>EM_HKS_VAL_MV</stp>
        <stp>3</stp>
        <stp>002417</stp>
        <stp>2019-12-31</stp>
        <stp>2</stp>
        <tr r="L3078" s="1"/>
      </tp>
      <tp>
        <v>5553495495.7200003</v>
        <stp/>
        <stp>EM_HKS_VAL_MV</stp>
        <stp>3</stp>
        <stp>002517</stp>
        <stp>2019-12-31</stp>
        <stp>2</stp>
        <tr r="L3215" s="1"/>
      </tp>
      <tp>
        <v>8187822912.2799997</v>
        <stp/>
        <stp>EM_HKS_VAL_MV</stp>
        <stp>3</stp>
        <stp>002617</stp>
        <stp>2019-12-31</stp>
        <stp>2</stp>
        <tr r="L760" s="1"/>
      </tp>
      <tp>
        <v>7224761195.1000004</v>
        <stp/>
        <stp>EM_HKS_VAL_MV</stp>
        <stp>3</stp>
        <stp>002717</stp>
        <stp>2019-12-31</stp>
        <stp>2</stp>
        <tr r="L3355" s="1"/>
      </tp>
      <tp>
        <v>1961342100</v>
        <stp/>
        <stp>EM_HKS_VAL_MV</stp>
        <stp>3</stp>
        <stp>002817</stp>
        <stp>2019-12-31</stp>
        <stp>2</stp>
        <tr r="L851" s="1"/>
      </tp>
      <tp>
        <v>2966694400</v>
        <stp/>
        <stp>EM_HKS_VAL_MV</stp>
        <stp>3</stp>
        <stp>002917</stp>
        <stp>2019-12-31</stp>
        <stp>2</stp>
        <tr r="L3192" s="1"/>
      </tp>
      <tp>
        <v>13070250337.440001</v>
        <stp/>
        <stp>EM_HKS_VAL_MV</stp>
        <stp>3</stp>
        <stp>603077</stp>
        <stp>2019-12-31</stp>
        <stp>2</stp>
        <tr r="L2778" s="1"/>
      </tp>
      <tp>
        <v>2048280000</v>
        <stp/>
        <stp>EM_HKS_VAL_MV</stp>
        <stp>3</stp>
        <stp>603177</stp>
        <stp>2019-12-31</stp>
        <stp>2</stp>
        <tr r="L1680" s="1"/>
      </tp>
      <tp>
        <v>4404151800</v>
        <stp/>
        <stp>EM_HKS_VAL_MV</stp>
        <stp>3</stp>
        <stp>603277</stp>
        <stp>2019-12-31</stp>
        <stp>2</stp>
        <tr r="L1326" s="1"/>
      </tp>
      <tp>
        <v>10736880000</v>
        <stp/>
        <stp>EM_HKS_VAL_MV</stp>
        <stp>3</stp>
        <stp>603377</stp>
        <stp>2019-12-31</stp>
        <stp>2</stp>
        <tr r="L1083" s="1"/>
      </tp>
      <tp>
        <v>2894400000</v>
        <stp/>
        <stp>EM_HKS_VAL_MV</stp>
        <stp>3</stp>
        <stp>603477</stp>
        <stp>2019-12-31</stp>
        <stp>2</stp>
        <tr r="L496" s="1"/>
      </tp>
      <tp>
        <v>2184661408.02</v>
        <stp/>
        <stp>EM_HKS_VAL_MV</stp>
        <stp>3</stp>
        <stp>603577</stp>
        <stp>2019-12-31</stp>
        <stp>2</stp>
        <tr r="L1423" s="1"/>
      </tp>
      <tp>
        <v>2418681830.3400002</v>
        <stp/>
        <stp>EM_HKS_VAL_MV</stp>
        <stp>3</stp>
        <stp>603677</stp>
        <stp>2019-12-31</stp>
        <stp>2</stp>
        <tr r="L2785" s="1"/>
      </tp>
      <tp>
        <v>3990827582.2800002</v>
        <stp/>
        <stp>EM_HKS_VAL_MV</stp>
        <stp>3</stp>
        <stp>603777</stp>
        <stp>2019-12-31</stp>
        <stp>2</stp>
        <tr r="L1212" s="1"/>
      </tp>
      <tp>
        <v>7312484620.5</v>
        <stp/>
        <stp>EM_HKS_VAL_MV</stp>
        <stp>3</stp>
        <stp>603877</stp>
        <stp>2019-12-31</stp>
        <stp>2</stp>
        <tr r="L2990" s="1"/>
      </tp>
      <tp>
        <v>3212030975.8000002</v>
        <stp/>
        <stp>EM_HKS_VAL_MV</stp>
        <stp>3</stp>
        <stp>603977</stp>
        <stp>2019-12-31</stp>
        <stp>2</stp>
        <tr r="L1382" s="1"/>
      </tp>
      <tp>
        <v>2492092720.4400001</v>
        <stp/>
        <stp>EM_HKS_VAL_MV</stp>
        <stp>3</stp>
        <stp>000017</stp>
        <stp>2019-12-31</stp>
        <stp>2</stp>
        <tr r="L2076" s="1"/>
      </tp>
      <tp>
        <v>12908254424.969999</v>
        <stp/>
        <stp>EM_HKS_VAL_MV</stp>
        <stp>3</stp>
        <stp>300027</stp>
        <stp>2019-12-31</stp>
        <stp>2</stp>
        <tr r="L2241" s="1"/>
      </tp>
      <tp>
        <v>4006965754.7399998</v>
        <stp/>
        <stp>EM_HKS_VAL_MV</stp>
        <stp>3</stp>
        <stp>600077</stp>
        <stp>2019-12-31</stp>
        <stp>2</stp>
        <tr r="L1551" s="1"/>
      </tp>
      <tp>
        <v>6101003276.8000002</v>
        <stp/>
        <stp>EM_HKS_VAL_MV</stp>
        <stp>3</stp>
        <stp>300127</stp>
        <stp>2019-12-31</stp>
        <stp>2</stp>
        <tr r="L251" s="1"/>
      </tp>
      <tp>
        <v>34947763269.18</v>
        <stp/>
        <stp>EM_HKS_VAL_MV</stp>
        <stp>3</stp>
        <stp>600177</stp>
        <stp>2019-12-31</stp>
        <stp>2</stp>
        <tr r="L2487" s="1"/>
      </tp>
      <tp>
        <v>3357428471.8200002</v>
        <stp/>
        <stp>EM_HKS_VAL_MV</stp>
        <stp>3</stp>
        <stp>300227</stp>
        <stp>2019-12-31</stp>
        <stp>2</stp>
        <tr r="L659" s="1"/>
      </tp>
      <tp>
        <v>12489567079.440001</v>
        <stp/>
        <stp>EM_HKS_VAL_MV</stp>
        <stp>3</stp>
        <stp>600277</stp>
        <stp>2019-12-31</stp>
        <stp>2</stp>
        <tr r="L3055" s="1"/>
      </tp>
      <tp>
        <v>6544549432.96</v>
        <stp/>
        <stp>EM_HKS_VAL_MV</stp>
        <stp>3</stp>
        <stp>300327</stp>
        <stp>2019-12-31</stp>
        <stp>2</stp>
        <tr r="L690" s="1"/>
      </tp>
      <tp>
        <v>56523526950</v>
        <stp/>
        <stp>EM_HKS_VAL_MV</stp>
        <stp>3</stp>
        <stp>600377</stp>
        <stp>2019-12-31</stp>
        <stp>2</stp>
        <tr r="L1600" s="1"/>
      </tp>
      <tp>
        <v>3844829106</v>
        <stp/>
        <stp>EM_HKS_VAL_MV</stp>
        <stp>3</stp>
        <stp>000417</stp>
        <stp>2019-12-31</stp>
        <stp>2</stp>
        <tr r="L1571" s="1"/>
      </tp>
      <tp>
        <v>5045437816.3199997</v>
        <stp/>
        <stp>EM_HKS_VAL_MV</stp>
        <stp>3</stp>
        <stp>300427</stp>
        <stp>2019-12-31</stp>
        <stp>2</stp>
        <tr r="L971" s="1"/>
      </tp>
      <tp>
        <v>6075255187.0200005</v>
        <stp/>
        <stp>EM_HKS_VAL_MV</stp>
        <stp>3</stp>
        <stp>600477</stp>
        <stp>2019-12-31</stp>
        <stp>2</stp>
        <tr r="L3098" s="1"/>
      </tp>
      <tp>
        <v>8787626058.6000004</v>
        <stp/>
        <stp>EM_HKS_VAL_MV</stp>
        <stp>3</stp>
        <stp>000517</stp>
        <stp>2019-12-31</stp>
        <stp>2</stp>
        <tr r="L3440" s="1"/>
      </tp>
      <tp>
        <v>9997060778.1000004</v>
        <stp/>
        <stp>EM_HKS_VAL_MV</stp>
        <stp>3</stp>
        <stp>300527</stp>
        <stp>2019-12-31</stp>
        <stp>2</stp>
        <tr r="L365" s="1"/>
      </tp>
      <tp>
        <v>5245436171.4300003</v>
        <stp/>
        <stp>EM_HKS_VAL_MV</stp>
        <stp>3</stp>
        <stp>600577</stp>
        <stp>2019-12-31</stp>
        <stp>2</stp>
        <tr r="L2701" s="1"/>
      </tp>
      <tp>
        <v>109895787422.45</v>
        <stp/>
        <stp>EM_HKS_VAL_MV</stp>
        <stp>3</stp>
        <stp>000617</stp>
        <stp>2019-12-31</stp>
        <stp>2</stp>
        <tr r="L1592" s="1"/>
      </tp>
      <tp>
        <v>5287318833.6000004</v>
        <stp/>
        <stp>EM_HKS_VAL_MV</stp>
        <stp>3</stp>
        <stp>300627</stp>
        <stp>2019-12-31</stp>
        <stp>2</stp>
        <tr r="L908" s="1"/>
      </tp>
      <tp>
        <v>4550023624</v>
        <stp/>
        <stp>EM_HKS_VAL_MV</stp>
        <stp>3</stp>
        <stp>600677</stp>
        <stp>2019-12-31</stp>
        <stp>2</stp>
        <tr r="L2619" s="1"/>
      </tp>
      <tp>
        <v>11468545703.4</v>
        <stp/>
        <stp>EM_HKS_VAL_MV</stp>
        <stp>3</stp>
        <stp>000717</stp>
        <stp>2019-12-31</stp>
        <stp>2</stp>
        <tr r="L2113" s="1"/>
      </tp>
      <tp>
        <v>1887974400</v>
        <stp/>
        <stp>EM_HKS_VAL_MV</stp>
        <stp>3</stp>
        <stp>300727</stp>
        <stp>2019-12-31</stp>
        <stp>2</stp>
        <tr r="L3144" s="1"/>
      </tp>
      <tp>
        <v>14281041232.5</v>
        <stp/>
        <stp>EM_HKS_VAL_MV</stp>
        <stp>3</stp>
        <stp>600777</stp>
        <stp>2019-12-31</stp>
        <stp>2</stp>
        <tr r="L1771" s="1"/>
      </tp>
      <tp>
        <v>9625000000</v>
        <stp/>
        <stp>EM_HKS_VAL_MV</stp>
        <stp>3</stp>
        <stp>000817</stp>
        <stp>2019-12-31</stp>
        <stp>2</stp>
        <tr r="L3548" s="1"/>
      </tp>
      <tp>
        <v>4776759447.9499998</v>
        <stp/>
        <stp>EM_HKS_VAL_MV</stp>
        <stp>3</stp>
        <stp>600877</stp>
        <stp>2019-12-31</stp>
        <stp>2</stp>
        <tr r="L1175" s="1"/>
      </tp>
      <tp>
        <v>9554329718.1200008</v>
        <stp/>
        <stp>EM_HKS_VAL_MV</stp>
        <stp>3</stp>
        <stp>000917</stp>
        <stp>2019-12-31</stp>
        <stp>2</stp>
        <tr r="L2445" s="1"/>
      </tp>
      <tp>
        <v>28415740000</v>
        <stp/>
        <stp>EM_HKS_VAL_MV</stp>
        <stp>3</stp>
        <stp>600977</stp>
        <stp>2019-12-31</stp>
        <stp>2</stp>
        <tr r="L1944" s="1"/>
      </tp>
      <tp>
        <v>3748562200</v>
        <stp/>
        <stp>EM_HKS_VAL_MV</stp>
        <stp>3</stp>
        <stp>601177</stp>
        <stp>2019-12-31</stp>
        <stp>2</stp>
        <tr r="L2162" s="1"/>
      </tp>
      <tp>
        <v>47412435451.919998</v>
        <stp/>
        <stp>EM_HKS_VAL_MV</stp>
        <stp>3</stp>
        <stp>601377</stp>
        <stp>2019-12-31</stp>
        <stp>2</stp>
        <tr r="L499" s="1"/>
      </tp>
      <tp>
        <v>7105884958.8900003</v>
        <stp/>
        <stp>EM_HKS_VAL_MV</stp>
        <stp>3</stp>
        <stp>601677</stp>
        <stp>2019-12-31</stp>
        <stp>2</stp>
        <tr r="L925" s="1"/>
      </tp>
      <tp>
        <v>4046373343.3200002</v>
        <stp/>
        <stp>EM_HKS_VAL_MV</stp>
        <stp>3</stp>
        <stp>601777</stp>
        <stp>2019-12-31</stp>
        <stp>2</stp>
        <tr r="L3037" s="1"/>
      </tp>
      <tp>
        <v>57653229748.800003</v>
        <stp/>
        <stp>EM_HKS_VAL_MV</stp>
        <stp>3</stp>
        <stp>601877</stp>
        <stp>2019-12-31</stp>
        <stp>2</stp>
        <tr r="L1679" s="1"/>
      </tp>
      <tp>
        <v>4895154557.2799997</v>
        <stp/>
        <stp>EM_HKS_VAL_MV</stp>
        <stp>3</stp>
        <stp>002014</stp>
        <stp>2019-12-31</stp>
        <stp>2</stp>
        <tr r="L643" s="1"/>
      </tp>
      <tp>
        <v>2409294739.1500001</v>
        <stp/>
        <stp>EM_HKS_VAL_MV</stp>
        <stp>3</stp>
        <stp>002114</stp>
        <stp>2019-12-31</stp>
        <stp>2</stp>
        <tr r="L3638" s="1"/>
      </tp>
      <tp>
        <v>4857279992.9399996</v>
        <stp/>
        <stp>EM_HKS_VAL_MV</stp>
        <stp>3</stp>
        <stp>002214</stp>
        <stp>2019-12-31</stp>
        <stp>2</stp>
        <tr r="L189" s="1"/>
      </tp>
      <tp>
        <v>8312892314.9099998</v>
        <stp/>
        <stp>EM_HKS_VAL_MV</stp>
        <stp>3</stp>
        <stp>002314</stp>
        <stp>2019-12-31</stp>
        <stp>2</stp>
        <tr r="L1918" s="1"/>
      </tp>
      <tp>
        <v>19664064966</v>
        <stp/>
        <stp>EM_HKS_VAL_MV</stp>
        <stp>3</stp>
        <stp>002414</stp>
        <stp>2019-12-31</stp>
        <stp>2</stp>
        <tr r="L2621" s="1"/>
      </tp>
      <tp>
        <v>3213398731.1999998</v>
        <stp/>
        <stp>EM_HKS_VAL_MV</stp>
        <stp>3</stp>
        <stp>002514</stp>
        <stp>2019-12-31</stp>
        <stp>2</stp>
        <tr r="L1830" s="1"/>
      </tp>
      <tp>
        <v>5938051450</v>
        <stp/>
        <stp>EM_HKS_VAL_MV</stp>
        <stp>3</stp>
        <stp>002614</stp>
        <stp>2019-12-31</stp>
        <stp>2</stp>
        <tr r="L3257" s="1"/>
      </tp>
      <tp>
        <v>191954907615.38</v>
        <stp/>
        <stp>EM_HKS_VAL_MV</stp>
        <stp>3</stp>
        <stp>002714</stp>
        <stp>2019-12-31</stp>
        <stp>2</stp>
        <tr r="L46" s="1"/>
      </tp>
      <tp>
        <v>1877875290.97</v>
        <stp/>
        <stp>EM_HKS_VAL_MV</stp>
        <stp>3</stp>
        <stp>000014</stp>
        <stp>2019-12-31</stp>
        <stp>2</stp>
        <tr r="L2219" s="1"/>
      </tp>
      <tp>
        <v>21843354638</v>
        <stp/>
        <stp>EM_HKS_VAL_MV</stp>
        <stp>3</stp>
        <stp>300024</stp>
        <stp>2019-12-31</stp>
        <stp>2</stp>
        <tr r="L1953" s="1"/>
      </tp>
      <tp>
        <v>2535401490.96</v>
        <stp/>
        <stp>EM_HKS_VAL_MV</stp>
        <stp>3</stp>
        <stp>600074</stp>
        <stp>2019-12-31</stp>
        <stp>2</stp>
        <tr r="L2876" s="1"/>
      </tp>
      <tp>
        <v>53094194803.839996</v>
        <stp/>
        <stp>EM_HKS_VAL_MV</stp>
        <stp>3</stp>
        <stp>300124</stp>
        <stp>2019-12-31</stp>
        <stp>2</stp>
        <tr r="L514" s="1"/>
      </tp>
      <tp>
        <v>7824865944.2399998</v>
        <stp/>
        <stp>EM_HKS_VAL_MV</stp>
        <stp>3</stp>
        <stp>300224</stp>
        <stp>2019-12-31</stp>
        <stp>2</stp>
        <tr r="L372" s="1"/>
      </tp>
      <tp>
        <v>9783953732</v>
        <stp/>
        <stp>EM_HKS_VAL_MV</stp>
        <stp>3</stp>
        <stp>300324</stp>
        <stp>2019-12-31</stp>
        <stp>2</stp>
        <tr r="L2393" s="1"/>
      </tp>
      <tp>
        <v>3841631039.6999998</v>
        <stp/>
        <stp>EM_HKS_VAL_MV</stp>
        <stp>3</stp>
        <stp>300424</stp>
        <stp>2019-12-31</stp>
        <stp>2</stp>
        <tr r="L1457" s="1"/>
      </tp>
      <tp>
        <v>3974161245.1500001</v>
        <stp/>
        <stp>EM_HKS_VAL_MV</stp>
        <stp>3</stp>
        <stp>000514</stp>
        <stp>2019-12-31</stp>
        <stp>2</stp>
        <tr r="L3437" s="1"/>
      </tp>
      <tp>
        <v>5138075250</v>
        <stp/>
        <stp>EM_HKS_VAL_MV</stp>
        <stp>3</stp>
        <stp>300624</stp>
        <stp>2019-12-31</stp>
        <stp>2</stp>
        <tr r="L1409" s="1"/>
      </tp>
      <tp>
        <v>43361083728</v>
        <stp/>
        <stp>EM_HKS_VAL_MV</stp>
        <stp>3</stp>
        <stp>600674</stp>
        <stp>2019-12-31</stp>
        <stp>2</stp>
        <tr r="L1589" s="1"/>
      </tp>
      <tp>
        <v>2532739702.3200002</v>
        <stp/>
        <stp>EM_HKS_VAL_MV</stp>
        <stp>3</stp>
        <stp>600774</stp>
        <stp>2019-12-31</stp>
        <stp>2</stp>
        <tr r="L3117" s="1"/>
      </tp>
      <tp>
        <v>10261772411.700001</v>
        <stp/>
        <stp>EM_HKS_VAL_MV</stp>
        <stp>3</stp>
        <stp>600874</stp>
        <stp>2019-12-31</stp>
        <stp>2</stp>
        <tr r="L2879" s="1"/>
      </tp>
      <tp>
        <v>7127471114.2399998</v>
        <stp/>
        <stp>EM_HKS_VAL_MV</stp>
        <stp>3</stp>
        <stp>002015</stp>
        <stp>2019-12-31</stp>
        <stp>2</stp>
        <tr r="L1673" s="1"/>
      </tp>
      <tp>
        <v>6393599802.3100004</v>
        <stp/>
        <stp>EM_HKS_VAL_MV</stp>
        <stp>3</stp>
        <stp>002115</stp>
        <stp>2019-12-31</stp>
        <stp>2</stp>
        <tr r="L2756" s="1"/>
      </tp>
      <tp>
        <v>6087748717.4399996</v>
        <stp/>
        <stp>EM_HKS_VAL_MV</stp>
        <stp>3</stp>
        <stp>002215</stp>
        <stp>2019-12-31</stp>
        <stp>2</stp>
        <tr r="L2430" s="1"/>
      </tp>
      <tp>
        <v>4493200000</v>
        <stp/>
        <stp>EM_HKS_VAL_MV</stp>
        <stp>3</stp>
        <stp>002315</stp>
        <stp>2019-12-31</stp>
        <stp>2</stp>
        <tr r="L403" s="1"/>
      </tp>
      <tp>
        <v>305955650187.03998</v>
        <stp/>
        <stp>EM_HKS_VAL_MV</stp>
        <stp>3</stp>
        <stp>002415</stp>
        <stp>2019-12-31</stp>
        <stp>2</stp>
        <tr r="L1038" s="1"/>
      </tp>
      <tp>
        <v>5341590508.8000002</v>
        <stp/>
        <stp>EM_HKS_VAL_MV</stp>
        <stp>3</stp>
        <stp>002515</stp>
        <stp>2019-12-31</stp>
        <stp>2</stp>
        <tr r="L982" s="1"/>
      </tp>
      <tp>
        <v>2269512000</v>
        <stp/>
        <stp>EM_HKS_VAL_MV</stp>
        <stp>3</stp>
        <stp>002615</stp>
        <stp>2019-12-31</stp>
        <stp>2</stp>
        <tr r="L1586" s="1"/>
      </tp>
      <tp>
        <v>1674400000</v>
        <stp/>
        <stp>EM_HKS_VAL_MV</stp>
        <stp>3</stp>
        <stp>002715</stp>
        <stp>2019-12-31</stp>
        <stp>2</stp>
        <tr r="L1693" s="1"/>
      </tp>
      <tp>
        <v>15284822300.02</v>
        <stp/>
        <stp>EM_HKS_VAL_MV</stp>
        <stp>3</stp>
        <stp>002815</stp>
        <stp>2019-12-31</stp>
        <stp>2</stp>
        <tr r="L1314" s="1"/>
      </tp>
      <tp>
        <v>3808504522.1700001</v>
        <stp/>
        <stp>EM_HKS_VAL_MV</stp>
        <stp>3</stp>
        <stp>002915</stp>
        <stp>2019-12-31</stp>
        <stp>2</stp>
        <tr r="L1164" s="1"/>
      </tp>
      <tp>
        <v>10951513308.950001</v>
        <stp/>
        <stp>EM_HKS_VAL_MV</stp>
        <stp>3</stp>
        <stp>000015</stp>
        <stp>2019-12-31</stp>
        <stp>2</stp>
        <tr r="L2273" s="1"/>
      </tp>
      <tp>
        <v>2202647088.6799998</v>
        <stp/>
        <stp>EM_HKS_VAL_MV</stp>
        <stp>3</stp>
        <stp>300025</stp>
        <stp>2019-12-31</stp>
        <stp>2</stp>
        <tr r="L1834" s="1"/>
      </tp>
      <tp>
        <v>4920963101.1199999</v>
        <stp/>
        <stp>EM_HKS_VAL_MV</stp>
        <stp>3</stp>
        <stp>600075</stp>
        <stp>2019-12-31</stp>
        <stp>2</stp>
        <tr r="L1714" s="1"/>
      </tp>
      <tp>
        <v>4516154914.9499998</v>
        <stp/>
        <stp>EM_HKS_VAL_MV</stp>
        <stp>3</stp>
        <stp>300125</stp>
        <stp>2019-12-31</stp>
        <stp>2</stp>
        <tr r="L841" s="1"/>
      </tp>
      <tp>
        <v>6509209566.8599997</v>
        <stp/>
        <stp>EM_HKS_VAL_MV</stp>
        <stp>3</stp>
        <stp>600175</stp>
        <stp>2019-12-31</stp>
        <stp>2</stp>
        <tr r="L2982" s="1"/>
      </tp>
      <tp>
        <v>2765599200</v>
        <stp/>
        <stp>EM_HKS_VAL_MV</stp>
        <stp>3</stp>
        <stp>300225</stp>
        <stp>2019-12-31</stp>
        <stp>2</stp>
        <tr r="L940" s="1"/>
      </tp>
      <tp>
        <v>1114353551.22</v>
        <stp/>
        <stp>EM_HKS_VAL_MV</stp>
        <stp>3</stp>
        <stp>600275</stp>
        <stp>2019-12-31</stp>
        <stp>2</stp>
        <tr r="L3082" s="1"/>
      </tp>
      <tp>
        <v>3168090717.75</v>
        <stp/>
        <stp>EM_HKS_VAL_MV</stp>
        <stp>3</stp>
        <stp>300325</stp>
        <stp>2019-12-31</stp>
        <stp>2</stp>
        <tr r="L1879" s="1"/>
      </tp>
      <tp>
        <v>2600865993.96</v>
        <stp/>
        <stp>EM_HKS_VAL_MV</stp>
        <stp>3</stp>
        <stp>600375</stp>
        <stp>2019-12-31</stp>
        <stp>2</stp>
        <tr r="L856" s="1"/>
      </tp>
      <tp>
        <v>23501180871.599998</v>
        <stp/>
        <stp>EM_HKS_VAL_MV</stp>
        <stp>3</stp>
        <stp>000415</stp>
        <stp>2019-12-31</stp>
        <stp>2</stp>
        <tr r="L2000" s="1"/>
      </tp>
      <tp>
        <v>2961196875.48</v>
        <stp/>
        <stp>EM_HKS_VAL_MV</stp>
        <stp>3</stp>
        <stp>300425</stp>
        <stp>2019-12-31</stp>
        <stp>2</stp>
        <tr r="L2401" s="1"/>
      </tp>
      <tp>
        <v>5588328187.8900003</v>
        <stp/>
        <stp>EM_HKS_VAL_MV</stp>
        <stp>3</stp>
        <stp>600475</stp>
        <stp>2019-12-31</stp>
        <stp>2</stp>
        <tr r="L1220" s="1"/>
      </tp>
      <tp>
        <v>2862402491.52</v>
        <stp/>
        <stp>EM_HKS_VAL_MV</stp>
        <stp>3</stp>
        <stp>000515</stp>
        <stp>2019-12-31</stp>
        <stp>2</stp>
        <tr r="L3438" s="1"/>
      </tp>
      <tp>
        <v>8267949968.8999996</v>
        <stp/>
        <stp>EM_HKS_VAL_MV</stp>
        <stp>3</stp>
        <stp>300525</stp>
        <stp>2019-12-31</stp>
        <stp>2</stp>
        <tr r="L381" s="1"/>
      </tp>
      <tp>
        <v>9987690937.0499992</v>
        <stp/>
        <stp>EM_HKS_VAL_MV</stp>
        <stp>3</stp>
        <stp>600575</stp>
        <stp>2019-12-31</stp>
        <stp>2</stp>
        <tr r="L1229" s="1"/>
      </tp>
      <tp>
        <v>3465623009.1100001</v>
        <stp/>
        <stp>EM_HKS_VAL_MV</stp>
        <stp>3</stp>
        <stp>000615</stp>
        <stp>2019-12-31</stp>
        <stp>2</stp>
        <tr r="L3000" s="1"/>
      </tp>
      <tp>
        <v>4569600000</v>
        <stp/>
        <stp>EM_HKS_VAL_MV</stp>
        <stp>3</stp>
        <stp>300625</stp>
        <stp>2019-12-31</stp>
        <stp>2</stp>
        <tr r="L1465" s="1"/>
      </tp>
      <tp>
        <v>28347028921.799999</v>
        <stp/>
        <stp>EM_HKS_VAL_MV</stp>
        <stp>3</stp>
        <stp>600675</stp>
        <stp>2019-12-31</stp>
        <stp>2</stp>
        <tr r="L2967" s="1"/>
      </tp>
      <tp>
        <v>2531728344.5999999</v>
        <stp/>
        <stp>EM_HKS_VAL_MV</stp>
        <stp>3</stp>
        <stp>000715</stp>
        <stp>2019-12-31</stp>
        <stp>2</stp>
        <tr r="L2071" s="1"/>
      </tp>
      <tp>
        <v>9893466603.3299999</v>
        <stp/>
        <stp>EM_HKS_VAL_MV</stp>
        <stp>3</stp>
        <stp>300725</stp>
        <stp>2019-12-31</stp>
        <stp>2</stp>
        <tr r="L1231" s="1"/>
      </tp>
      <tp>
        <v>9284599454.6399994</v>
        <stp/>
        <stp>EM_HKS_VAL_MV</stp>
        <stp>3</stp>
        <stp>600775</stp>
        <stp>2019-12-31</stp>
        <stp>2</stp>
        <tr r="L1097" s="1"/>
      </tp>
      <tp>
        <v>4706930746.9499998</v>
        <stp/>
        <stp>EM_HKS_VAL_MV</stp>
        <stp>3</stp>
        <stp>000815</stp>
        <stp>2019-12-31</stp>
        <stp>2</stp>
        <tr r="L2186" s="1"/>
      </tp>
      <tp>
        <v>28404483530.889999</v>
        <stp/>
        <stp>EM_HKS_VAL_MV</stp>
        <stp>3</stp>
        <stp>600875</stp>
        <stp>2019-12-31</stp>
        <stp>2</stp>
        <tr r="L1425" s="1"/>
      </tp>
      <tp>
        <v>6209784352.5</v>
        <stp/>
        <stp>EM_HKS_VAL_MV</stp>
        <stp>3</stp>
        <stp>000915</stp>
        <stp>2019-12-31</stp>
        <stp>2</stp>
        <tr r="L3573" s="1"/>
      </tp>
      <tp>
        <v>5247511695.3599997</v>
        <stp/>
        <stp>EM_HKS_VAL_MV</stp>
        <stp>3</stp>
        <stp>600975</stp>
        <stp>2019-12-31</stp>
        <stp>2</stp>
        <tr r="L106" s="1"/>
      </tp>
      <tp>
        <v>20738218952</v>
        <stp/>
        <stp>EM_HKS_VAL_MV</stp>
        <stp>3</stp>
        <stp>601375</stp>
        <stp>2019-12-31</stp>
        <stp>2</stp>
        <tr r="L1087" s="1"/>
      </tp>
      <tp>
        <v>10468081813.139999</v>
        <stp/>
        <stp>EM_HKS_VAL_MV</stp>
        <stp>3</stp>
        <stp>002028</stp>
        <stp>2019-12-31</stp>
        <stp>2</stp>
        <tr r="L743" s="1"/>
      </tp>
      <tp>
        <v>16640826449.379999</v>
        <stp/>
        <stp>EM_HKS_VAL_MV</stp>
        <stp>3</stp>
        <stp>002128</stp>
        <stp>2019-12-31</stp>
        <stp>2</stp>
        <tr r="L1209" s="1"/>
      </tp>
      <tp>
        <v>4701458130.96</v>
        <stp/>
        <stp>EM_HKS_VAL_MV</stp>
        <stp>3</stp>
        <stp>002228</stp>
        <stp>2019-12-31</stp>
        <stp>2</stp>
        <tr r="L2642" s="1"/>
      </tp>
      <tp>
        <v>3031844600</v>
        <stp/>
        <stp>EM_HKS_VAL_MV</stp>
        <stp>3</stp>
        <stp>002328</stp>
        <stp>2019-12-31</stp>
        <stp>2</stp>
        <tr r="L3199" s="1"/>
      </tp>
      <tp>
        <v>5558051200</v>
        <stp/>
        <stp>EM_HKS_VAL_MV</stp>
        <stp>3</stp>
        <stp>002428</stp>
        <stp>2019-12-31</stp>
        <stp>2</stp>
        <tr r="L268" s="1"/>
      </tp>
      <tp>
        <v>6305030931.3199997</v>
        <stp/>
        <stp>EM_HKS_VAL_MV</stp>
        <stp>3</stp>
        <stp>002528</stp>
        <stp>2019-12-31</stp>
        <stp>2</stp>
        <tr r="L665" s="1"/>
      </tp>
      <tp>
        <v>3582416210.5</v>
        <stp/>
        <stp>EM_HKS_VAL_MV</stp>
        <stp>3</stp>
        <stp>002628</stp>
        <stp>2019-12-31</stp>
        <stp>2</stp>
        <tr r="L2357" s="1"/>
      </tp>
      <tp>
        <v>3431510706.6799998</v>
        <stp/>
        <stp>EM_HKS_VAL_MV</stp>
        <stp>3</stp>
        <stp>002728</stp>
        <stp>2019-12-31</stp>
        <stp>2</stp>
        <tr r="L991" s="1"/>
      </tp>
      <tp>
        <v>2241325781</v>
        <stp/>
        <stp>EM_HKS_VAL_MV</stp>
        <stp>3</stp>
        <stp>002828</stp>
        <stp>2019-12-31</stp>
        <stp>2</stp>
        <tr r="L2577" s="1"/>
      </tp>
      <tp>
        <v>7317135000</v>
        <stp/>
        <stp>EM_HKS_VAL_MV</stp>
        <stp>3</stp>
        <stp>002928</stp>
        <stp>2019-12-31</stp>
        <stp>2</stp>
        <tr r="L3274" s="1"/>
      </tp>
      <tp>
        <v>5379434660.04</v>
        <stp/>
        <stp>EM_HKS_VAL_MV</stp>
        <stp>3</stp>
        <stp>603348</stp>
        <stp>2019-12-31</stp>
        <stp>2</stp>
        <tr r="L2404" s="1"/>
      </tp>
      <tp>
        <v>3671920332</v>
        <stp/>
        <stp>EM_HKS_VAL_MV</stp>
        <stp>3</stp>
        <stp>603648</stp>
        <stp>2019-12-31</stp>
        <stp>2</stp>
        <tr r="L2597" s="1"/>
      </tp>
      <tp>
        <v>5561870000</v>
        <stp/>
        <stp>EM_HKS_VAL_MV</stp>
        <stp>3</stp>
        <stp>603848</stp>
        <stp>2019-12-31</stp>
        <stp>2</stp>
        <tr r="L2703" s="1"/>
      </tp>
      <tp>
        <v>19419839948.880001</v>
        <stp/>
        <stp>EM_HKS_VAL_MV</stp>
        <stp>3</stp>
        <stp>000028</stp>
        <stp>2019-12-31</stp>
        <stp>2</stp>
        <tr r="L1704" s="1"/>
      </tp>
      <tp>
        <v>2499440836.48</v>
        <stp/>
        <stp>EM_HKS_VAL_MV</stp>
        <stp>3</stp>
        <stp>300018</stp>
        <stp>2019-12-31</stp>
        <stp>2</stp>
        <tr r="L1441" s="1"/>
      </tp>
      <tp>
        <v>193070684121.16</v>
        <stp/>
        <stp>EM_HKS_VAL_MV</stp>
        <stp>3</stp>
        <stp>600048</stp>
        <stp>2019-12-31</stp>
        <stp>2</stp>
        <tr r="L771" s="1"/>
      </tp>
      <tp>
        <v>12483835182.85</v>
        <stp/>
        <stp>EM_HKS_VAL_MV</stp>
        <stp>3</stp>
        <stp>300118</stp>
        <stp>2019-12-31</stp>
        <stp>2</stp>
        <tr r="L91" s="1"/>
      </tp>
      <tp>
        <v>1887829443</v>
        <stp/>
        <stp>EM_HKS_VAL_MV</stp>
        <stp>3</stp>
        <stp>600148</stp>
        <stp>2019-12-31</stp>
        <stp>2</stp>
        <tr r="L2591" s="1"/>
      </tp>
      <tp>
        <v>1722876780</v>
        <stp/>
        <stp>EM_HKS_VAL_MV</stp>
        <stp>3</stp>
        <stp>300218</stp>
        <stp>2019-12-31</stp>
        <stp>2</stp>
        <tr r="L970" s="1"/>
      </tp>
      <tp>
        <v>4038991756.8000002</v>
        <stp/>
        <stp>EM_HKS_VAL_MV</stp>
        <stp>3</stp>
        <stp>600248</stp>
        <stp>2019-12-31</stp>
        <stp>2</stp>
        <tr r="L1689" s="1"/>
      </tp>
      <tp>
        <v>3341123024.5500002</v>
        <stp/>
        <stp>EM_HKS_VAL_MV</stp>
        <stp>3</stp>
        <stp>300318</stp>
        <stp>2019-12-31</stp>
        <stp>2</stp>
        <tr r="L2155" s="1"/>
      </tp>
      <tp>
        <v>13299650000</v>
        <stp/>
        <stp>EM_HKS_VAL_MV</stp>
        <stp>3</stp>
        <stp>600348</stp>
        <stp>2019-12-31</stp>
        <stp>2</stp>
        <tr r="L1741" s="1"/>
      </tp>
      <tp>
        <v>2669586120</v>
        <stp/>
        <stp>EM_HKS_VAL_MV</stp>
        <stp>3</stp>
        <stp>000428</stp>
        <stp>2019-12-31</stp>
        <stp>2</stp>
        <tr r="L3425" s="1"/>
      </tp>
      <tp>
        <v>19235181654.5</v>
        <stp/>
        <stp>EM_HKS_VAL_MV</stp>
        <stp>3</stp>
        <stp>300418</stp>
        <stp>2019-12-31</stp>
        <stp>2</stp>
        <tr r="L889" s="1"/>
      </tp>
      <tp>
        <v>2839436974.3800001</v>
        <stp/>
        <stp>EM_HKS_VAL_MV</stp>
        <stp>3</stp>
        <stp>600448</stp>
        <stp>2019-12-31</stp>
        <stp>2</stp>
        <tr r="L1775" s="1"/>
      </tp>
      <tp>
        <v>10242894349.440001</v>
        <stp/>
        <stp>EM_HKS_VAL_MV</stp>
        <stp>3</stp>
        <stp>000528</stp>
        <stp>2019-12-31</stp>
        <stp>2</stp>
        <tr r="L1542" s="1"/>
      </tp>
      <tp>
        <v>2546315200</v>
        <stp/>
        <stp>EM_HKS_VAL_MV</stp>
        <stp>3</stp>
        <stp>300518</stp>
        <stp>2019-12-31</stp>
        <stp>2</stp>
        <tr r="L1346" s="1"/>
      </tp>
      <tp>
        <v>25078858749</v>
        <stp/>
        <stp>EM_HKS_VAL_MV</stp>
        <stp>3</stp>
        <stp>600548</stp>
        <stp>2019-12-31</stp>
        <stp>2</stp>
        <tr r="L1053" s="1"/>
      </tp>
      <tp>
        <v>3074307600</v>
        <stp/>
        <stp>EM_HKS_VAL_MV</stp>
        <stp>3</stp>
        <stp>000628</stp>
        <stp>2019-12-31</stp>
        <stp>2</stp>
        <tr r="L2503" s="1"/>
      </tp>
      <tp>
        <v>22150159900.330002</v>
        <stp/>
        <stp>EM_HKS_VAL_MV</stp>
        <stp>3</stp>
        <stp>300618</stp>
        <stp>2019-12-31</stp>
        <stp>2</stp>
        <tr r="L1876" s="1"/>
      </tp>
      <tp>
        <v>19721014283.880001</v>
        <stp/>
        <stp>EM_HKS_VAL_MV</stp>
        <stp>3</stp>
        <stp>600648</stp>
        <stp>2019-12-31</stp>
        <stp>2</stp>
        <tr r="L1052" s="1"/>
      </tp>
      <tp>
        <v>31197694125.689999</v>
        <stp/>
        <stp>EM_HKS_VAL_MV</stp>
        <stp>3</stp>
        <stp>000728</stp>
        <stp>2019-12-31</stp>
        <stp>2</stp>
        <tr r="L3521" s="1"/>
      </tp>
      <tp>
        <v>4104540000</v>
        <stp/>
        <stp>EM_HKS_VAL_MV</stp>
        <stp>3</stp>
        <stp>300718</stp>
        <stp>2019-12-31</stp>
        <stp>2</stp>
        <tr r="L730" s="1"/>
      </tp>
      <tp>
        <v>10956703578.48</v>
        <stp/>
        <stp>EM_HKS_VAL_MV</stp>
        <stp>3</stp>
        <stp>600748</stp>
        <stp>2019-12-31</stp>
        <stp>2</stp>
        <tr r="L1694" s="1"/>
      </tp>
      <tp>
        <v>8565620014.0799999</v>
        <stp/>
        <stp>EM_HKS_VAL_MV</stp>
        <stp>3</stp>
        <stp>000828</stp>
        <stp>2019-12-31</stp>
        <stp>2</stp>
        <tr r="L1711" s="1"/>
      </tp>
      <tp>
        <v>51605774604.599998</v>
        <stp/>
        <stp>EM_HKS_VAL_MV</stp>
        <stp>3</stp>
        <stp>600848</stp>
        <stp>2019-12-31</stp>
        <stp>2</stp>
        <tr r="L1417" s="1"/>
      </tp>
      <tp>
        <v>6094815268.6999998</v>
        <stp/>
        <stp>EM_HKS_VAL_MV</stp>
        <stp>3</stp>
        <stp>000928</stp>
        <stp>2019-12-31</stp>
        <stp>2</stp>
        <tr r="L1780" s="1"/>
      </tp>
      <tp>
        <v>4420669500</v>
        <stp/>
        <stp>EM_HKS_VAL_MV</stp>
        <stp>3</stp>
        <stp>002029</stp>
        <stp>2019-12-31</stp>
        <stp>2</stp>
        <tr r="L2562" s="1"/>
      </tp>
      <tp>
        <v>32892697946.130001</v>
        <stp/>
        <stp>EM_HKS_VAL_MV</stp>
        <stp>3</stp>
        <stp>002129</stp>
        <stp>2019-12-31</stp>
        <stp>2</stp>
        <tr r="L384" s="1"/>
      </tp>
      <tp>
        <v>3318972791.5799999</v>
        <stp/>
        <stp>EM_HKS_VAL_MV</stp>
        <stp>3</stp>
        <stp>002229</stp>
        <stp>2019-12-31</stp>
        <stp>2</stp>
        <tr r="L2717" s="1"/>
      </tp>
      <tp>
        <v>3685616154</v>
        <stp/>
        <stp>EM_HKS_VAL_MV</stp>
        <stp>3</stp>
        <stp>002329</stp>
        <stp>2019-12-31</stp>
        <stp>2</stp>
        <tr r="L907" s="1"/>
      </tp>
      <tp>
        <v>15753753312.360001</v>
        <stp/>
        <stp>EM_HKS_VAL_MV</stp>
        <stp>3</stp>
        <stp>002429</stp>
        <stp>2019-12-31</stp>
        <stp>2</stp>
        <tr r="L242" s="1"/>
      </tp>
      <tp>
        <v>1492400000</v>
        <stp/>
        <stp>EM_HKS_VAL_MV</stp>
        <stp>3</stp>
        <stp>002529</stp>
        <stp>2019-12-31</stp>
        <stp>2</stp>
        <tr r="L2916" s="1"/>
      </tp>
      <tp>
        <v>1071064800</v>
        <stp/>
        <stp>EM_HKS_VAL_MV</stp>
        <stp>3</stp>
        <stp>002629</stp>
        <stp>2019-12-31</stp>
        <stp>2</stp>
        <tr r="L3220" s="1"/>
      </tp>
      <tp>
        <v>3350670000</v>
        <stp/>
        <stp>EM_HKS_VAL_MV</stp>
        <stp>3</stp>
        <stp>002729</stp>
        <stp>2019-12-31</stp>
        <stp>2</stp>
        <tr r="L92" s="1"/>
      </tp>
      <tp>
        <v>3417473535</v>
        <stp/>
        <stp>EM_HKS_VAL_MV</stp>
        <stp>3</stp>
        <stp>002829</stp>
        <stp>2019-12-31</stp>
        <stp>2</stp>
        <tr r="L1147" s="1"/>
      </tp>
      <tp>
        <v>6114673811.8999996</v>
        <stp/>
        <stp>EM_HKS_VAL_MV</stp>
        <stp>3</stp>
        <stp>002929</stp>
        <stp>2019-12-31</stp>
        <stp>2</stp>
        <tr r="L2978" s="1"/>
      </tp>
      <tp>
        <v>11097910200</v>
        <stp/>
        <stp>EM_HKS_VAL_MV</stp>
        <stp>3</stp>
        <stp>000029</stp>
        <stp>2019-12-31</stp>
        <stp>2</stp>
        <tr r="L2341" s="1"/>
      </tp>
      <tp>
        <v>3348727744.1199999</v>
        <stp/>
        <stp>EM_HKS_VAL_MV</stp>
        <stp>3</stp>
        <stp>300019</stp>
        <stp>2019-12-31</stp>
        <stp>2</stp>
        <tr r="L390" s="1"/>
      </tp>
      <tp>
        <v>5844930540.3500004</v>
        <stp/>
        <stp>EM_HKS_VAL_MV</stp>
        <stp>3</stp>
        <stp>300119</stp>
        <stp>2019-12-31</stp>
        <stp>2</stp>
        <tr r="L217" s="1"/>
      </tp>
      <tp>
        <v>2033856000</v>
        <stp/>
        <stp>EM_HKS_VAL_MV</stp>
        <stp>3</stp>
        <stp>600149</stp>
        <stp>2019-12-31</stp>
        <stp>2</stp>
        <tr r="L1642" s="1"/>
      </tp>
      <tp>
        <v>4821807220.6800003</v>
        <stp/>
        <stp>EM_HKS_VAL_MV</stp>
        <stp>3</stp>
        <stp>300219</stp>
        <stp>2019-12-31</stp>
        <stp>2</stp>
        <tr r="L2822" s="1"/>
      </tp>
      <tp>
        <v>2513500000</v>
        <stp/>
        <stp>EM_HKS_VAL_MV</stp>
        <stp>3</stp>
        <stp>600249</stp>
        <stp>2019-12-31</stp>
        <stp>2</stp>
        <tr r="L1050" s="1"/>
      </tp>
      <tp>
        <v>8794279633.1499996</v>
        <stp/>
        <stp>EM_HKS_VAL_MV</stp>
        <stp>3</stp>
        <stp>300319</stp>
        <stp>2019-12-31</stp>
        <stp>2</stp>
        <tr r="L128" s="1"/>
      </tp>
      <tp>
        <v>0</v>
        <stp/>
        <stp>EM_HKS_VAL_MV</stp>
        <stp>3</stp>
        <stp>600349</stp>
        <stp>2019-12-31</stp>
        <stp>2</stp>
        <tr r="L12" s="1"/>
      </tp>
      <tp>
        <v>17270058600.759998</v>
        <stp/>
        <stp>EM_HKS_VAL_MV</stp>
        <stp>3</stp>
        <stp>000429</stp>
        <stp>2019-12-31</stp>
        <stp>2</stp>
        <tr r="L2465" s="1"/>
      </tp>
      <tp>
        <v>2258008147.8000002</v>
        <stp/>
        <stp>EM_HKS_VAL_MV</stp>
        <stp>3</stp>
        <stp>300419</stp>
        <stp>2019-12-31</stp>
        <stp>2</stp>
        <tr r="L1348" s="1"/>
      </tp>
      <tp>
        <v>5336500428.7200003</v>
        <stp/>
        <stp>EM_HKS_VAL_MV</stp>
        <stp>3</stp>
        <stp>600449</stp>
        <stp>2019-12-31</stp>
        <stp>2</stp>
        <tr r="L621" s="1"/>
      </tp>
      <tp>
        <v>3998963760.5</v>
        <stp/>
        <stp>EM_HKS_VAL_MV</stp>
        <stp>3</stp>
        <stp>000529</stp>
        <stp>2019-12-31</stp>
        <stp>2</stp>
        <tr r="L546" s="1"/>
      </tp>
      <tp>
        <v>2168000000</v>
        <stp/>
        <stp>EM_HKS_VAL_MV</stp>
        <stp>3</stp>
        <stp>300519</stp>
        <stp>2019-12-31</stp>
        <stp>2</stp>
        <tr r="L2466" s="1"/>
      </tp>
      <tp>
        <v>18334842448</v>
        <stp/>
        <stp>EM_HKS_VAL_MV</stp>
        <stp>3</stp>
        <stp>600549</stp>
        <stp>2019-12-31</stp>
        <stp>2</stp>
        <tr r="L1788" s="1"/>
      </tp>
      <tp>
        <v>25082058909.84</v>
        <stp/>
        <stp>EM_HKS_VAL_MV</stp>
        <stp>3</stp>
        <stp>000629</stp>
        <stp>2019-12-31</stp>
        <stp>2</stp>
        <tr r="L2438" s="1"/>
      </tp>
      <tp>
        <v>1734816400</v>
        <stp/>
        <stp>EM_HKS_VAL_MV</stp>
        <stp>3</stp>
        <stp>300619</stp>
        <stp>2019-12-31</stp>
        <stp>2</stp>
        <tr r="L2952" s="1"/>
      </tp>
      <tp>
        <v>14469172626.48</v>
        <stp/>
        <stp>EM_HKS_VAL_MV</stp>
        <stp>3</stp>
        <stp>600649</stp>
        <stp>2019-12-31</stp>
        <stp>2</stp>
        <tr r="L2008" s="1"/>
      </tp>
      <tp>
        <v>18376876503.32</v>
        <stp/>
        <stp>EM_HKS_VAL_MV</stp>
        <stp>3</stp>
        <stp>000729</stp>
        <stp>2019-12-31</stp>
        <stp>2</stp>
        <tr r="L1469" s="1"/>
      </tp>
      <tp>
        <v>2980173320</v>
        <stp/>
        <stp>EM_HKS_VAL_MV</stp>
        <stp>3</stp>
        <stp>300719</stp>
        <stp>2019-12-31</stp>
        <stp>2</stp>
        <tr r="L1490" s="1"/>
      </tp>
      <tp>
        <v>2151633101.1599998</v>
        <stp/>
        <stp>EM_HKS_VAL_MV</stp>
        <stp>3</stp>
        <stp>600749</stp>
        <stp>2019-12-31</stp>
        <stp>2</stp>
        <tr r="L2258" s="1"/>
      </tp>
      <tp>
        <v>6504030251.7299995</v>
        <stp/>
        <stp>EM_HKS_VAL_MV</stp>
        <stp>3</stp>
        <stp>000829</stp>
        <stp>2019-12-31</stp>
        <stp>2</stp>
        <tr r="L3551" s="1"/>
      </tp>
      <tp>
        <v>41863975713.059998</v>
        <stp/>
        <stp>EM_HKS_VAL_MV</stp>
        <stp>3</stp>
        <stp>600849</stp>
        <stp>2019-12-31</stp>
        <stp>2</stp>
        <tr r="L2335" s="1"/>
      </tp>
      <tp>
        <v>1289216040</v>
        <stp/>
        <stp>EM_HKS_VAL_MV</stp>
        <stp>3</stp>
        <stp>000929</stp>
        <stp>2019-12-31</stp>
        <stp>2</stp>
        <tr r="L3580" s="1"/>
      </tp>
      <tp>
        <v>11536425000</v>
        <stp/>
        <stp>EM_HKS_VAL_MV</stp>
        <stp>3</stp>
        <stp>601949</stp>
        <stp>2019-12-31</stp>
        <stp>2</stp>
        <tr r="L681" s="1"/>
      </tp>
      <tp>
        <v>6009670606.2399998</v>
        <stp/>
        <stp>EM_HKS_VAL_MV</stp>
        <stp>3</stp>
        <stp>002022</stp>
        <stp>2019-12-31</stp>
        <stp>2</stp>
        <tr r="L1340" s="1"/>
      </tp>
      <tp>
        <v>2316600000</v>
        <stp/>
        <stp>EM_HKS_VAL_MV</stp>
        <stp>3</stp>
        <stp>002122</stp>
        <stp>2019-12-31</stp>
        <stp>2</stp>
        <tr r="L3640" s="1"/>
      </tp>
      <tp>
        <v>5245425000</v>
        <stp/>
        <stp>EM_HKS_VAL_MV</stp>
        <stp>3</stp>
        <stp>002222</stp>
        <stp>2019-12-31</stp>
        <stp>2</stp>
        <tr r="L1041" s="1"/>
      </tp>
      <tp>
        <v>4700447129.25</v>
        <stp/>
        <stp>EM_HKS_VAL_MV</stp>
        <stp>3</stp>
        <stp>002322</stp>
        <stp>2019-12-31</stp>
        <stp>2</stp>
        <tr r="L932" s="1"/>
      </tp>
      <tp>
        <v>33820574549.400002</v>
        <stp/>
        <stp>EM_HKS_VAL_MV</stp>
        <stp>3</stp>
        <stp>002422</stp>
        <stp>2019-12-31</stp>
        <stp>2</stp>
        <tr r="L1614" s="1"/>
      </tp>
      <tp>
        <v>5561485436.1800003</v>
        <stp/>
        <stp>EM_HKS_VAL_MV</stp>
        <stp>3</stp>
        <stp>002522</stp>
        <stp>2019-12-31</stp>
        <stp>2</stp>
        <tr r="L1044" s="1"/>
      </tp>
      <tp>
        <v>2881200000</v>
        <stp/>
        <stp>EM_HKS_VAL_MV</stp>
        <stp>3</stp>
        <stp>002622</stp>
        <stp>2019-12-31</stp>
        <stp>2</stp>
        <tr r="L1510" s="1"/>
      </tp>
      <tp>
        <v>2746051382.3000002</v>
        <stp/>
        <stp>EM_HKS_VAL_MV</stp>
        <stp>3</stp>
        <stp>002722</stp>
        <stp>2019-12-31</stp>
        <stp>2</stp>
        <tr r="L1754" s="1"/>
      </tp>
      <tp>
        <v>6758005040.9899998</v>
        <stp/>
        <stp>EM_HKS_VAL_MV</stp>
        <stp>3</stp>
        <stp>002822</stp>
        <stp>2019-12-31</stp>
        <stp>2</stp>
        <tr r="L219" s="1"/>
      </tp>
      <tp>
        <v>2027272125</v>
        <stp/>
        <stp>EM_HKS_VAL_MV</stp>
        <stp>3</stp>
        <stp>002922</stp>
        <stp>2019-12-31</stp>
        <stp>2</stp>
        <tr r="L2884" s="1"/>
      </tp>
      <tp>
        <v>2074000000</v>
        <stp/>
        <stp>EM_HKS_VAL_MV</stp>
        <stp>3</stp>
        <stp>603042</stp>
        <stp>2019-12-31</stp>
        <stp>2</stp>
        <tr r="L2387" s="1"/>
      </tp>
      <tp>
        <v>24713782945.740002</v>
        <stp/>
        <stp>EM_HKS_VAL_MV</stp>
        <stp>3</stp>
        <stp>300012</stp>
        <stp>2019-12-31</stp>
        <stp>2</stp>
        <tr r="L112" s="1"/>
      </tp>
      <tp>
        <v>2713309478.4000001</v>
        <stp/>
        <stp>EM_HKS_VAL_MV</stp>
        <stp>3</stp>
        <stp>300112</stp>
        <stp>2019-12-31</stp>
        <stp>2</stp>
        <tr r="L580" s="1"/>
      </tp>
      <tp>
        <v>18114693616.799999</v>
        <stp/>
        <stp>EM_HKS_VAL_MV</stp>
        <stp>3</stp>
        <stp>300212</stp>
        <stp>2019-12-31</stp>
        <stp>2</stp>
        <tr r="L426" s="1"/>
      </tp>
      <tp>
        <v>3593954510.1399999</v>
        <stp/>
        <stp>EM_HKS_VAL_MV</stp>
        <stp>3</stp>
        <stp>600242</stp>
        <stp>2019-12-31</stp>
        <stp>2</stp>
        <tr r="L3360" s="1"/>
      </tp>
      <tp>
        <v>1872234000</v>
        <stp/>
        <stp>EM_HKS_VAL_MV</stp>
        <stp>3</stp>
        <stp>300312</stp>
        <stp>2019-12-31</stp>
        <stp>2</stp>
        <tr r="L3298" s="1"/>
      </tp>
      <tp>
        <v>2603813464.8000002</v>
        <stp/>
        <stp>EM_HKS_VAL_MV</stp>
        <stp>3</stp>
        <stp>000422</stp>
        <stp>2019-12-31</stp>
        <stp>2</stp>
        <tr r="L2350" s="1"/>
      </tp>
      <tp>
        <v>1715241480</v>
        <stp/>
        <stp>EM_HKS_VAL_MV</stp>
        <stp>3</stp>
        <stp>300412</stp>
        <stp>2019-12-31</stp>
        <stp>2</stp>
        <tr r="L2243" s="1"/>
      </tp>
      <tp>
        <v>10914879343.030001</v>
        <stp/>
        <stp>EM_HKS_VAL_MV</stp>
        <stp>3</stp>
        <stp>000522</stp>
        <stp>2019-12-31</stp>
        <stp>2</stp>
        <tr r="L3442" s="1"/>
      </tp>
      <tp>
        <v>3099600000</v>
        <stp/>
        <stp>EM_HKS_VAL_MV</stp>
        <stp>3</stp>
        <stp>300512</stp>
        <stp>2019-12-31</stp>
        <stp>2</stp>
        <tr r="L2554" s="1"/>
      </tp>
      <tp>
        <v>2028328020</v>
        <stp/>
        <stp>EM_HKS_VAL_MV</stp>
        <stp>3</stp>
        <stp>000622</stp>
        <stp>2019-12-31</stp>
        <stp>2</stp>
        <tr r="L3279" s="1"/>
      </tp>
      <tp>
        <v>2765340000</v>
        <stp/>
        <stp>EM_HKS_VAL_MV</stp>
        <stp>3</stp>
        <stp>300612</stp>
        <stp>2019-12-31</stp>
        <stp>2</stp>
        <tr r="L1593" s="1"/>
      </tp>
      <tp>
        <v>28538942615.959999</v>
        <stp/>
        <stp>EM_HKS_VAL_MV</stp>
        <stp>3</stp>
        <stp>600642</stp>
        <stp>2019-12-31</stp>
        <stp>2</stp>
        <tr r="L1343" s="1"/>
      </tp>
      <tp>
        <v>3137709986.3200002</v>
        <stp/>
        <stp>EM_HKS_VAL_MV</stp>
        <stp>3</stp>
        <stp>000722</stp>
        <stp>2019-12-31</stp>
        <stp>2</stp>
        <tr r="L1665" s="1"/>
      </tp>
      <tp>
        <v>2114227440</v>
        <stp/>
        <stp>EM_HKS_VAL_MV</stp>
        <stp>3</stp>
        <stp>300712</stp>
        <stp>2019-12-31</stp>
        <stp>2</stp>
        <tr r="L3068" s="1"/>
      </tp>
      <tp>
        <v>6137562974.3999996</v>
        <stp/>
        <stp>EM_HKS_VAL_MV</stp>
        <stp>3</stp>
        <stp>600742</stp>
        <stp>2019-12-31</stp>
        <stp>2</stp>
        <tr r="L1197" s="1"/>
      </tp>
      <tp>
        <v>4394901356.6599998</v>
        <stp/>
        <stp>EM_HKS_VAL_MV</stp>
        <stp>3</stp>
        <stp>000822</stp>
        <stp>2019-12-31</stp>
        <stp>2</stp>
        <tr r="L2171" s="1"/>
      </tp>
      <tp>
        <v>3009701006.8800001</v>
        <stp/>
        <stp>EM_HKS_VAL_MV</stp>
        <stp>3</stp>
        <stp>600842</stp>
        <stp>2019-12-31</stp>
        <stp>2</stp>
        <tr r="L2330" s="1"/>
      </tp>
      <tp>
        <v>3772179010.5999999</v>
        <stp/>
        <stp>EM_HKS_VAL_MV</stp>
        <stp>3</stp>
        <stp>000922</stp>
        <stp>2019-12-31</stp>
        <stp>2</stp>
        <tr r="L1487" s="1"/>
      </tp>
      <tp>
        <v>9119331586.1499996</v>
        <stp/>
        <stp>EM_HKS_VAL_MV</stp>
        <stp>3</stp>
        <stp>002023</stp>
        <stp>2019-12-31</stp>
        <stp>2</stp>
        <tr r="L1575" s="1"/>
      </tp>
      <tp>
        <v>15382447060.549999</v>
        <stp/>
        <stp>EM_HKS_VAL_MV</stp>
        <stp>3</stp>
        <stp>002123</stp>
        <stp>2019-12-31</stp>
        <stp>2</stp>
        <tr r="L78" s="1"/>
      </tp>
      <tp>
        <v>20370331197.279999</v>
        <stp/>
        <stp>EM_HKS_VAL_MV</stp>
        <stp>3</stp>
        <stp>002223</stp>
        <stp>2019-12-31</stp>
        <stp>2</stp>
        <tr r="L2176" s="1"/>
      </tp>
      <tp>
        <v>2349048416.4000001</v>
        <stp/>
        <stp>EM_HKS_VAL_MV</stp>
        <stp>3</stp>
        <stp>002323</stp>
        <stp>2019-12-31</stp>
        <stp>2</stp>
        <tr r="L80" s="1"/>
      </tp>
      <tp>
        <v>22372865133.25</v>
        <stp/>
        <stp>EM_HKS_VAL_MV</stp>
        <stp>3</stp>
        <stp>002423</stp>
        <stp>2019-12-31</stp>
        <stp>2</stp>
        <tr r="L1697" s="1"/>
      </tp>
      <tp>
        <v>4349087256</v>
        <stp/>
        <stp>EM_HKS_VAL_MV</stp>
        <stp>3</stp>
        <stp>002523</stp>
        <stp>2019-12-31</stp>
        <stp>2</stp>
        <tr r="L2054" s="1"/>
      </tp>
      <tp>
        <v>3568000000</v>
        <stp/>
        <stp>EM_HKS_VAL_MV</stp>
        <stp>3</stp>
        <stp>002623</stp>
        <stp>2019-12-31</stp>
        <stp>2</stp>
        <tr r="L556" s="1"/>
      </tp>
      <tp>
        <v>1826412000</v>
        <stp/>
        <stp>EM_HKS_VAL_MV</stp>
        <stp>3</stp>
        <stp>002723</stp>
        <stp>2019-12-31</stp>
        <stp>2</stp>
        <tr r="L2029" s="1"/>
      </tp>
      <tp>
        <v>2696947189.1199999</v>
        <stp/>
        <stp>EM_HKS_VAL_MV</stp>
        <stp>3</stp>
        <stp>002823</stp>
        <stp>2019-12-31</stp>
        <stp>2</stp>
        <tr r="L2753" s="1"/>
      </tp>
      <tp>
        <v>3228153495</v>
        <stp/>
        <stp>EM_HKS_VAL_MV</stp>
        <stp>3</stp>
        <stp>002923</stp>
        <stp>2019-12-31</stp>
        <stp>2</stp>
        <tr r="L3191" s="1"/>
      </tp>
      <tp>
        <v>12269364108.08</v>
        <stp/>
        <stp>EM_HKS_VAL_MV</stp>
        <stp>3</stp>
        <stp>603043</stp>
        <stp>2019-12-31</stp>
        <stp>2</stp>
        <tr r="L1672" s="1"/>
      </tp>
      <tp>
        <v>2620819656</v>
        <stp/>
        <stp>EM_HKS_VAL_MV</stp>
        <stp>3</stp>
        <stp>603843</stp>
        <stp>2019-12-31</stp>
        <stp>2</stp>
        <tr r="L3316" s="1"/>
      </tp>
      <tp>
        <v>1806606244.8</v>
        <stp/>
        <stp>EM_HKS_VAL_MV</stp>
        <stp>3</stp>
        <stp>000023</stp>
        <stp>2019-12-31</stp>
        <stp>2</stp>
        <tr r="L2109" s="1"/>
      </tp>
      <tp>
        <v>4109521458</v>
        <stp/>
        <stp>EM_HKS_VAL_MV</stp>
        <stp>3</stp>
        <stp>300013</stp>
        <stp>2019-12-31</stp>
        <stp>2</stp>
        <tr r="L2628" s="1"/>
      </tp>
      <tp>
        <v>17836239195.599998</v>
        <stp/>
        <stp>EM_HKS_VAL_MV</stp>
        <stp>3</stp>
        <stp>300113</stp>
        <stp>2019-12-31</stp>
        <stp>2</stp>
        <tr r="L165" s="1"/>
      </tp>
      <tp>
        <v>18735970657.040001</v>
        <stp/>
        <stp>EM_HKS_VAL_MV</stp>
        <stp>3</stp>
        <stp>600143</stp>
        <stp>2019-12-31</stp>
        <stp>2</stp>
        <tr r="L610" s="1"/>
      </tp>
      <tp>
        <v>3890818564.4400001</v>
        <stp/>
        <stp>EM_HKS_VAL_MV</stp>
        <stp>3</stp>
        <stp>300213</stp>
        <stp>2019-12-31</stp>
        <stp>2</stp>
        <tr r="L1437" s="1"/>
      </tp>
      <tp>
        <v>1926551500</v>
        <stp/>
        <stp>EM_HKS_VAL_MV</stp>
        <stp>3</stp>
        <stp>600243</stp>
        <stp>2019-12-31</stp>
        <stp>2</stp>
        <tr r="L1495" s="1"/>
      </tp>
      <tp>
        <v>1702597034.24</v>
        <stp/>
        <stp>EM_HKS_VAL_MV</stp>
        <stp>3</stp>
        <stp>300313</stp>
        <stp>2019-12-31</stp>
        <stp>2</stp>
        <tr r="L2939" s="1"/>
      </tp>
      <tp>
        <v>5839588084.1999998</v>
        <stp/>
        <stp>EM_HKS_VAL_MV</stp>
        <stp>3</stp>
        <stp>600343</stp>
        <stp>2019-12-31</stp>
        <stp>2</stp>
        <tr r="L1225" s="1"/>
      </tp>
      <tp>
        <v>23132741763.689999</v>
        <stp/>
        <stp>EM_HKS_VAL_MV</stp>
        <stp>3</stp>
        <stp>000423</stp>
        <stp>2019-12-31</stp>
        <stp>2</stp>
        <tr r="L3424" s="1"/>
      </tp>
      <tp>
        <v>62241997784.559998</v>
        <stp/>
        <stp>EM_HKS_VAL_MV</stp>
        <stp>3</stp>
        <stp>300413</stp>
        <stp>2019-12-31</stp>
        <stp>2</stp>
        <tr r="L2612" s="1"/>
      </tp>
      <tp>
        <v>4650020456.25</v>
        <stp/>
        <stp>EM_HKS_VAL_MV</stp>
        <stp>3</stp>
        <stp>000523</stp>
        <stp>2019-12-31</stp>
        <stp>2</stp>
        <tr r="L204" s="1"/>
      </tp>
      <tp>
        <v>4263062796.4499998</v>
        <stp/>
        <stp>EM_HKS_VAL_MV</stp>
        <stp>3</stp>
        <stp>300513</stp>
        <stp>2019-12-31</stp>
        <stp>2</stp>
        <tr r="L3312" s="1"/>
      </tp>
      <tp>
        <v>1859284800</v>
        <stp/>
        <stp>EM_HKS_VAL_MV</stp>
        <stp>3</stp>
        <stp>600543</stp>
        <stp>2019-12-31</stp>
        <stp>2</stp>
        <tr r="L2825" s="1"/>
      </tp>
      <tp>
        <v>19224934531.259998</v>
        <stp/>
        <stp>EM_HKS_VAL_MV</stp>
        <stp>3</stp>
        <stp>000623</stp>
        <stp>2019-12-31</stp>
        <stp>2</stp>
        <tr r="L1489" s="1"/>
      </tp>
      <tp>
        <v>7208057664</v>
        <stp/>
        <stp>EM_HKS_VAL_MV</stp>
        <stp>3</stp>
        <stp>300613</stp>
        <stp>2019-12-31</stp>
        <stp>2</stp>
        <tr r="L258" s="1"/>
      </tp>
      <tp>
        <v>15570455539.200001</v>
        <stp/>
        <stp>EM_HKS_VAL_MV</stp>
        <stp>3</stp>
        <stp>600643</stp>
        <stp>2019-12-31</stp>
        <stp>2</stp>
        <tr r="L1527" s="1"/>
      </tp>
      <tp>
        <v>38656050580.360001</v>
        <stp/>
        <stp>EM_HKS_VAL_MV</stp>
        <stp>3</stp>
        <stp>000723</stp>
        <stp>2019-12-31</stp>
        <stp>2</stp>
        <tr r="L44" s="1"/>
      </tp>
      <tp>
        <v>1973700000</v>
        <stp/>
        <stp>EM_HKS_VAL_MV</stp>
        <stp>3</stp>
        <stp>300713</stp>
        <stp>2019-12-31</stp>
        <stp>2</stp>
        <tr r="L3292" s="1"/>
      </tp>
      <tp>
        <v>5841791176.2600002</v>
        <stp/>
        <stp>EM_HKS_VAL_MV</stp>
        <stp>3</stp>
        <stp>600743</stp>
        <stp>2019-12-31</stp>
        <stp>2</stp>
        <tr r="L2138" s="1"/>
      </tp>
      <tp>
        <v>7254410660</v>
        <stp/>
        <stp>EM_HKS_VAL_MV</stp>
        <stp>3</stp>
        <stp>000823</stp>
        <stp>2019-12-31</stp>
        <stp>2</stp>
        <tr r="L267" s="1"/>
      </tp>
      <tp>
        <v>4218654024</v>
        <stp/>
        <stp>EM_HKS_VAL_MV</stp>
        <stp>3</stp>
        <stp>600843</stp>
        <stp>2019-12-31</stp>
        <stp>2</stp>
        <tr r="L1525" s="1"/>
      </tp>
      <tp>
        <v>9640806753.9699993</v>
        <stp/>
        <stp>EM_HKS_VAL_MV</stp>
        <stp>3</stp>
        <stp>000923</stp>
        <stp>2019-12-31</stp>
        <stp>2</stp>
        <tr r="L3577" s="1"/>
      </tp>
      <tp>
        <v>7785125280</v>
        <stp/>
        <stp>EM_HKS_VAL_MV</stp>
        <stp>3</stp>
        <stp>002020</stp>
        <stp>2019-12-31</stp>
        <stp>2</stp>
        <tr r="L1187" s="1"/>
      </tp>
      <tp>
        <v>74135339384.399994</v>
        <stp/>
        <stp>EM_HKS_VAL_MV</stp>
        <stp>3</stp>
        <stp>002120</stp>
        <stp>2019-12-31</stp>
        <stp>2</stp>
        <tr r="L1786" s="1"/>
      </tp>
      <tp>
        <v>1126725824.9100001</v>
        <stp/>
        <stp>EM_HKS_VAL_MV</stp>
        <stp>3</stp>
        <stp>002220</stp>
        <stp>2019-12-31</stp>
        <stp>2</stp>
        <tr r="L3336" s="1"/>
      </tp>
      <tp>
        <v>12680153241.6</v>
        <stp/>
        <stp>EM_HKS_VAL_MV</stp>
        <stp>3</stp>
        <stp>002320</stp>
        <stp>2019-12-31</stp>
        <stp>2</stp>
        <tr r="L2750" s="1"/>
      </tp>
      <tp>
        <v>1591970000</v>
        <stp/>
        <stp>EM_HKS_VAL_MV</stp>
        <stp>3</stp>
        <stp>002420</stp>
        <stp>2019-12-31</stp>
        <stp>2</stp>
        <tr r="L1302" s="1"/>
      </tp>
      <tp>
        <v>5071830544.2200003</v>
        <stp/>
        <stp>EM_HKS_VAL_MV</stp>
        <stp>3</stp>
        <stp>002520</stp>
        <stp>2019-12-31</stp>
        <stp>2</stp>
        <tr r="L2660" s="1"/>
      </tp>
      <tp>
        <v>2313429300</v>
        <stp/>
        <stp>EM_HKS_VAL_MV</stp>
        <stp>3</stp>
        <stp>002620</stp>
        <stp>2019-12-31</stp>
        <stp>2</stp>
        <tr r="L2023" s="1"/>
      </tp>
      <tp>
        <v>0</v>
        <stp/>
        <stp>EM_HKS_VAL_MV</stp>
        <stp>3</stp>
        <stp>002720</stp>
        <stp>2019-12-31</stp>
        <stp>2</stp>
        <tr r="L8" s="1"/>
      </tp>
      <tp>
        <v>2426880000</v>
        <stp/>
        <stp>EM_HKS_VAL_MV</stp>
        <stp>3</stp>
        <stp>002820</stp>
        <stp>2019-12-31</stp>
        <stp>2</stp>
        <tr r="L2429" s="1"/>
      </tp>
      <tp>
        <v>16681500000</v>
        <stp/>
        <stp>EM_HKS_VAL_MV</stp>
        <stp>3</stp>
        <stp>002920</stp>
        <stp>2019-12-31</stp>
        <stp>2</stp>
        <tr r="L269" s="1"/>
      </tp>
      <tp>
        <v>2767594020.8800001</v>
        <stp/>
        <stp>EM_HKS_VAL_MV</stp>
        <stp>3</stp>
        <stp>603040</stp>
        <stp>2019-12-31</stp>
        <stp>2</stp>
        <tr r="L891" s="1"/>
      </tp>
      <tp>
        <v>3021330292.0900002</v>
        <stp/>
        <stp>EM_HKS_VAL_MV</stp>
        <stp>3</stp>
        <stp>000020</stp>
        <stp>2019-12-31</stp>
        <stp>2</stp>
        <tr r="L2164" s="1"/>
      </tp>
      <tp>
        <v>11210071192.77</v>
        <stp/>
        <stp>EM_HKS_VAL_MV</stp>
        <stp>3</stp>
        <stp>300010</stp>
        <stp>2019-12-31</stp>
        <stp>2</stp>
        <tr r="L280" s="1"/>
      </tp>
      <tp>
        <v>4988938784.04</v>
        <stp/>
        <stp>EM_HKS_VAL_MV</stp>
        <stp>3</stp>
        <stp>300110</stp>
        <stp>2019-12-31</stp>
        <stp>2</stp>
        <tr r="L956" s="1"/>
      </tp>
      <tp>
        <v>1656032239.26</v>
        <stp/>
        <stp>EM_HKS_VAL_MV</stp>
        <stp>3</stp>
        <stp>300210</stp>
        <stp>2019-12-31</stp>
        <stp>2</stp>
        <tr r="L3058" s="1"/>
      </tp>
      <tp>
        <v>498488760</v>
        <stp/>
        <stp>EM_HKS_VAL_MV</stp>
        <stp>3</stp>
        <stp>600240</stp>
        <stp>2019-12-31</stp>
        <stp>2</stp>
        <tr r="L3408" s="1"/>
      </tp>
      <tp>
        <v>4487641922.79</v>
        <stp/>
        <stp>EM_HKS_VAL_MV</stp>
        <stp>3</stp>
        <stp>300310</stp>
        <stp>2019-12-31</stp>
        <stp>2</stp>
        <tr r="L2231" s="1"/>
      </tp>
      <tp>
        <v>86481305588.300003</v>
        <stp/>
        <stp>EM_HKS_VAL_MV</stp>
        <stp>3</stp>
        <stp>600340</stp>
        <stp>2019-12-31</stp>
        <stp>2</stp>
        <tr r="L1641" s="1"/>
      </tp>
      <tp>
        <v>4256726376.96</v>
        <stp/>
        <stp>EM_HKS_VAL_MV</stp>
        <stp>3</stp>
        <stp>000420</stp>
        <stp>2019-12-31</stp>
        <stp>2</stp>
        <tr r="L1603" s="1"/>
      </tp>
      <tp>
        <v>3103702439.6399999</v>
        <stp/>
        <stp>EM_HKS_VAL_MV</stp>
        <stp>3</stp>
        <stp>300410</stp>
        <stp>2019-12-31</stp>
        <stp>2</stp>
        <tr r="L3396" s="1"/>
      </tp>
      <tp>
        <v>4270992180.0999999</v>
        <stp/>
        <stp>EM_HKS_VAL_MV</stp>
        <stp>3</stp>
        <stp>000520</stp>
        <stp>2019-12-31</stp>
        <stp>2</stp>
        <tr r="L641" s="1"/>
      </tp>
      <tp>
        <v>6180194888</v>
        <stp/>
        <stp>EM_HKS_VAL_MV</stp>
        <stp>3</stp>
        <stp>300510</stp>
        <stp>2019-12-31</stp>
        <stp>2</stp>
        <tr r="L3188" s="1"/>
      </tp>
      <tp>
        <v>1846019386.96</v>
        <stp/>
        <stp>EM_HKS_VAL_MV</stp>
        <stp>3</stp>
        <stp>600540</stp>
        <stp>2019-12-31</stp>
        <stp>2</stp>
        <tr r="L1667" s="1"/>
      </tp>
      <tp>
        <v>7681596201</v>
        <stp/>
        <stp>EM_HKS_VAL_MV</stp>
        <stp>3</stp>
        <stp>000620</stp>
        <stp>2019-12-31</stp>
        <stp>2</stp>
        <tr r="L2102" s="1"/>
      </tp>
      <tp>
        <v>1865418400</v>
        <stp/>
        <stp>EM_HKS_VAL_MV</stp>
        <stp>3</stp>
        <stp>300610</stp>
        <stp>2019-12-31</stp>
        <stp>2</stp>
        <tr r="L2478" s="1"/>
      </tp>
      <tp>
        <v>20536912211.400002</v>
        <stp/>
        <stp>EM_HKS_VAL_MV</stp>
        <stp>3</stp>
        <stp>600640</stp>
        <stp>2019-12-31</stp>
        <stp>2</stp>
        <tr r="L66" s="1"/>
      </tp>
      <tp>
        <v>7028597742.8999996</v>
        <stp/>
        <stp>EM_HKS_VAL_MV</stp>
        <stp>3</stp>
        <stp>000720</stp>
        <stp>2019-12-31</stp>
        <stp>2</stp>
        <tr r="L432" s="1"/>
      </tp>
      <tp>
        <v>1998725820</v>
        <stp/>
        <stp>EM_HKS_VAL_MV</stp>
        <stp>3</stp>
        <stp>300710</stp>
        <stp>2019-12-31</stp>
        <stp>2</stp>
        <tr r="L1068" s="1"/>
      </tp>
      <tp>
        <v>11309718229.200001</v>
        <stp/>
        <stp>EM_HKS_VAL_MV</stp>
        <stp>3</stp>
        <stp>600740</stp>
        <stp>2019-12-31</stp>
        <stp>2</stp>
        <tr r="L2680" s="1"/>
      </tp>
      <tp>
        <v>1070571972.96</v>
        <stp/>
        <stp>EM_HKS_VAL_MV</stp>
        <stp>3</stp>
        <stp>000820</stp>
        <stp>2019-12-31</stp>
        <stp>2</stp>
        <tr r="L3549" s="1"/>
      </tp>
      <tp>
        <v>7237159454</v>
        <stp/>
        <stp>EM_HKS_VAL_MV</stp>
        <stp>3</stp>
        <stp>600840</stp>
        <stp>2019-12-31</stp>
        <stp>2</stp>
        <tr r="L2329" s="1"/>
      </tp>
      <tp>
        <v>2802080000</v>
        <stp/>
        <stp>EM_HKS_VAL_MV</stp>
        <stp>3</stp>
        <stp>000920</stp>
        <stp>2019-12-31</stp>
        <stp>2</stp>
        <tr r="L969" s="1"/>
      </tp>
      <tp>
        <v>1705781299.2</v>
        <stp/>
        <stp>EM_HKS_VAL_MV</stp>
        <stp>3</stp>
        <stp>002021</stp>
        <stp>2019-12-31</stp>
        <stp>2</stp>
        <tr r="L3609" s="1"/>
      </tp>
      <tp>
        <v>6027734349.1599998</v>
        <stp/>
        <stp>EM_HKS_VAL_MV</stp>
        <stp>3</stp>
        <stp>002121</stp>
        <stp>2019-12-31</stp>
        <stp>2</stp>
        <tr r="L3639" s="1"/>
      </tp>
      <tp>
        <v>12802314714.24</v>
        <stp/>
        <stp>EM_HKS_VAL_MV</stp>
        <stp>3</stp>
        <stp>002221</stp>
        <stp>2019-12-31</stp>
        <stp>2</stp>
        <tr r="L2543" s="1"/>
      </tp>
      <tp>
        <v>2986687249</v>
        <stp/>
        <stp>EM_HKS_VAL_MV</stp>
        <stp>3</stp>
        <stp>002321</stp>
        <stp>2019-12-31</stp>
        <stp>2</stp>
        <tr r="L1897" s="1"/>
      </tp>
      <tp>
        <v>6985491616.6899996</v>
        <stp/>
        <stp>EM_HKS_VAL_MV</stp>
        <stp>3</stp>
        <stp>002421</stp>
        <stp>2019-12-31</stp>
        <stp>2</stp>
        <tr r="L2669" s="1"/>
      </tp>
      <tp>
        <v>2948327481.2399998</v>
        <stp/>
        <stp>EM_HKS_VAL_MV</stp>
        <stp>3</stp>
        <stp>002521</stp>
        <stp>2019-12-31</stp>
        <stp>2</stp>
        <tr r="L1904" s="1"/>
      </tp>
      <tp>
        <v>6470152337.3999996</v>
        <stp/>
        <stp>EM_HKS_VAL_MV</stp>
        <stp>3</stp>
        <stp>002621</stp>
        <stp>2019-12-31</stp>
        <stp>2</stp>
        <tr r="L3271" s="1"/>
      </tp>
      <tp>
        <v>4757893477.8000002</v>
        <stp/>
        <stp>EM_HKS_VAL_MV</stp>
        <stp>3</stp>
        <stp>002721</stp>
        <stp>2019-12-31</stp>
        <stp>2</stp>
        <tr r="L2808" s="1"/>
      </tp>
      <tp>
        <v>29963989979</v>
        <stp/>
        <stp>EM_HKS_VAL_MV</stp>
        <stp>3</stp>
        <stp>002821</stp>
        <stp>2019-12-31</stp>
        <stp>2</stp>
        <tr r="L209" s="1"/>
      </tp>
      <tp>
        <v>1468800000</v>
        <stp/>
        <stp>EM_HKS_VAL_MV</stp>
        <stp>3</stp>
        <stp>002921</stp>
        <stp>2019-12-31</stp>
        <stp>2</stp>
        <tr r="L3207" s="1"/>
      </tp>
      <tp>
        <v>1737091276</v>
        <stp/>
        <stp>EM_HKS_VAL_MV</stp>
        <stp>3</stp>
        <stp>603041</stp>
        <stp>2019-12-31</stp>
        <stp>2</stp>
        <tr r="L1218" s="1"/>
      </tp>
      <tp>
        <v>17919939041.34</v>
        <stp/>
        <stp>EM_HKS_VAL_MV</stp>
        <stp>3</stp>
        <stp>000021</stp>
        <stp>2019-12-31</stp>
        <stp>2</stp>
        <tr r="L134" s="1"/>
      </tp>
      <tp>
        <v>3301623787.1700001</v>
        <stp/>
        <stp>EM_HKS_VAL_MV</stp>
        <stp>3</stp>
        <stp>300011</stp>
        <stp>2019-12-31</stp>
        <stp>2</stp>
        <tr r="L2446" s="1"/>
      </tp>
      <tp>
        <v>2620332000</v>
        <stp/>
        <stp>EM_HKS_VAL_MV</stp>
        <stp>3</stp>
        <stp>300111</stp>
        <stp>2019-12-31</stp>
        <stp>2</stp>
        <tr r="L1403" s="1"/>
      </tp>
      <tp>
        <v>10570231775.639999</v>
        <stp/>
        <stp>EM_HKS_VAL_MV</stp>
        <stp>3</stp>
        <stp>600141</stp>
        <stp>2019-12-31</stp>
        <stp>2</stp>
        <tr r="L2269" s="1"/>
      </tp>
      <tp>
        <v>2424434543.73</v>
        <stp/>
        <stp>EM_HKS_VAL_MV</stp>
        <stp>3</stp>
        <stp>300211</stp>
        <stp>2019-12-31</stp>
        <stp>2</stp>
        <tr r="L339" s="1"/>
      </tp>
      <tp>
        <v>1495054744.2</v>
        <stp/>
        <stp>EM_HKS_VAL_MV</stp>
        <stp>3</stp>
        <stp>600241</stp>
        <stp>2019-12-31</stp>
        <stp>2</stp>
        <tr r="L2745" s="1"/>
      </tp>
      <tp>
        <v>6589091675.4899998</v>
        <stp/>
        <stp>EM_HKS_VAL_MV</stp>
        <stp>3</stp>
        <stp>300311</stp>
        <stp>2019-12-31</stp>
        <stp>2</stp>
        <tr r="L362" s="1"/>
      </tp>
      <tp>
        <v>2594090611.02</v>
        <stp/>
        <stp>EM_HKS_VAL_MV</stp>
        <stp>3</stp>
        <stp>000421</stp>
        <stp>2019-12-31</stp>
        <stp>2</stp>
        <tr r="L3423" s="1"/>
      </tp>
      <tp>
        <v>3372427157.71</v>
        <stp/>
        <stp>EM_HKS_VAL_MV</stp>
        <stp>3</stp>
        <stp>300411</stp>
        <stp>2019-12-31</stp>
        <stp>2</stp>
        <tr r="L2490" s="1"/>
      </tp>
      <tp>
        <v>3582970731.8299999</v>
        <stp/>
        <stp>EM_HKS_VAL_MV</stp>
        <stp>3</stp>
        <stp>000521</stp>
        <stp>2019-12-31</stp>
        <stp>2</stp>
        <tr r="L1492" s="1"/>
      </tp>
      <tp>
        <v>2905954292.25</v>
        <stp/>
        <stp>EM_HKS_VAL_MV</stp>
        <stp>3</stp>
        <stp>300511</stp>
        <stp>2019-12-31</stp>
        <stp>2</stp>
        <tr r="L1595" s="1"/>
      </tp>
      <tp>
        <v>1728157176.3399999</v>
        <stp/>
        <stp>EM_HKS_VAL_MV</stp>
        <stp>3</stp>
        <stp>000621</stp>
        <stp>2019-12-31</stp>
        <stp>2</stp>
        <tr r="L3486" s="1"/>
      </tp>
      <tp>
        <v>1721504291</v>
        <stp/>
        <stp>EM_HKS_VAL_MV</stp>
        <stp>3</stp>
        <stp>300611</stp>
        <stp>2019-12-31</stp>
        <stp>2</stp>
        <tr r="L1560" s="1"/>
      </tp>
      <tp>
        <v>15155784462.4</v>
        <stp/>
        <stp>EM_HKS_VAL_MV</stp>
        <stp>3</stp>
        <stp>600641</stp>
        <stp>2019-12-31</stp>
        <stp>2</stp>
        <tr r="L147" s="1"/>
      </tp>
      <tp>
        <v>2066091508.8</v>
        <stp/>
        <stp>EM_HKS_VAL_MV</stp>
        <stp>3</stp>
        <stp>000721</stp>
        <stp>2019-12-31</stp>
        <stp>2</stp>
        <tr r="L2092" s="1"/>
      </tp>
      <tp>
        <v>2474402559.1999998</v>
        <stp/>
        <stp>EM_HKS_VAL_MV</stp>
        <stp>3</stp>
        <stp>300711</stp>
        <stp>2019-12-31</stp>
        <stp>2</stp>
        <tr r="L3178" s="1"/>
      </tp>
      <tp>
        <v>81939296344.160004</v>
        <stp/>
        <stp>EM_HKS_VAL_MV</stp>
        <stp>3</stp>
        <stp>600741</stp>
        <stp>2019-12-31</stp>
        <stp>2</stp>
        <tr r="L766" s="1"/>
      </tp>
      <tp>
        <v>3493146967.1999998</v>
        <stp/>
        <stp>EM_HKS_VAL_MV</stp>
        <stp>3</stp>
        <stp>000821</stp>
        <stp>2019-12-31</stp>
        <stp>2</stp>
        <tr r="L2937" s="1"/>
      </tp>
      <tp>
        <v>6127497098.1000004</v>
        <stp/>
        <stp>EM_HKS_VAL_MV</stp>
        <stp>3</stp>
        <stp>600841</stp>
        <stp>2019-12-31</stp>
        <stp>2</stp>
        <tr r="L1932" s="1"/>
      </tp>
      <tp>
        <v>16802403812.1</v>
        <stp/>
        <stp>EM_HKS_VAL_MV</stp>
        <stp>3</stp>
        <stp>000921</stp>
        <stp>2019-12-31</stp>
        <stp>2</stp>
        <tr r="L344" s="1"/>
      </tp>
      <tp>
        <v>2192913747.1799998</v>
        <stp/>
        <stp>EM_HKS_VAL_MV</stp>
        <stp>3</stp>
        <stp>002026</stp>
        <stp>2019-12-31</stp>
        <stp>2</stp>
        <tr r="L2623" s="1"/>
      </tp>
      <tp>
        <v>6408049391.3599997</v>
        <stp/>
        <stp>EM_HKS_VAL_MV</stp>
        <stp>3</stp>
        <stp>002126</stp>
        <stp>2019-12-31</stp>
        <stp>2</stp>
        <tr r="L1836" s="1"/>
      </tp>
      <tp>
        <v>6844419661.1999998</v>
        <stp/>
        <stp>EM_HKS_VAL_MV</stp>
        <stp>3</stp>
        <stp>002226</stp>
        <stp>2019-12-31</stp>
        <stp>2</stp>
        <tr r="L1997" s="1"/>
      </tp>
      <tp>
        <v>8702065043.1000004</v>
        <stp/>
        <stp>EM_HKS_VAL_MV</stp>
        <stp>3</stp>
        <stp>002326</stp>
        <stp>2019-12-31</stp>
        <stp>2</stp>
        <tr r="L623" s="1"/>
      </tp>
      <tp>
        <v>8121981816.8400002</v>
        <stp/>
        <stp>EM_HKS_VAL_MV</stp>
        <stp>3</stp>
        <stp>002426</stp>
        <stp>2019-12-31</stp>
        <stp>2</stp>
        <tr r="L2106" s="1"/>
      </tp>
      <tp>
        <v>4029114069.3600001</v>
        <stp/>
        <stp>EM_HKS_VAL_MV</stp>
        <stp>3</stp>
        <stp>002526</stp>
        <stp>2019-12-31</stp>
        <stp>2</stp>
        <tr r="L1267" s="1"/>
      </tp>
      <tp>
        <v>12021397576.5</v>
        <stp/>
        <stp>EM_HKS_VAL_MV</stp>
        <stp>3</stp>
        <stp>002626</stp>
        <stp>2019-12-31</stp>
        <stp>2</stp>
        <tr r="L414" s="1"/>
      </tp>
      <tp>
        <v>6875486800</v>
        <stp/>
        <stp>EM_HKS_VAL_MV</stp>
        <stp>3</stp>
        <stp>002726</stp>
        <stp>2019-12-31</stp>
        <stp>2</stp>
        <tr r="L2844" s="1"/>
      </tp>
      <tp>
        <v>1953353100</v>
        <stp/>
        <stp>EM_HKS_VAL_MV</stp>
        <stp>3</stp>
        <stp>002826</stp>
        <stp>2019-12-31</stp>
        <stp>2</stp>
        <tr r="L2473" s="1"/>
      </tp>
      <tp>
        <v>28901250000</v>
        <stp/>
        <stp>EM_HKS_VAL_MV</stp>
        <stp>3</stp>
        <stp>002926</stp>
        <stp>2019-12-31</stp>
        <stp>2</stp>
        <tr r="L890" s="1"/>
      </tp>
      <tp>
        <v>4912524890.29</v>
        <stp/>
        <stp>EM_HKS_VAL_MV</stp>
        <stp>3</stp>
        <stp>000026</stp>
        <stp>2019-12-31</stp>
        <stp>2</stp>
        <tr r="L462" s="1"/>
      </tp>
      <tp>
        <v>4447261985.2399998</v>
        <stp/>
        <stp>EM_HKS_VAL_MV</stp>
        <stp>3</stp>
        <stp>300016</stp>
        <stp>2019-12-31</stp>
        <stp>2</stp>
        <tr r="L993" s="1"/>
      </tp>
      <tp>
        <v>4767748145.4399996</v>
        <stp/>
        <stp>EM_HKS_VAL_MV</stp>
        <stp>3</stp>
        <stp>300116</stp>
        <stp>2019-12-31</stp>
        <stp>2</stp>
        <tr r="L911" s="1"/>
      </tp>
      <tp>
        <v>6344595000</v>
        <stp/>
        <stp>EM_HKS_VAL_MV</stp>
        <stp>3</stp>
        <stp>600146</stp>
        <stp>2019-12-31</stp>
        <stp>2</stp>
        <tr r="L192" s="1"/>
      </tp>
      <tp>
        <v>1377067045.2</v>
        <stp/>
        <stp>EM_HKS_VAL_MV</stp>
        <stp>3</stp>
        <stp>300216</stp>
        <stp>2019-12-31</stp>
        <stp>2</stp>
        <tr r="L2361" s="1"/>
      </tp>
      <tp>
        <v>10804088928.52</v>
        <stp/>
        <stp>EM_HKS_VAL_MV</stp>
        <stp>3</stp>
        <stp>600246</stp>
        <stp>2019-12-31</stp>
        <stp>2</stp>
        <tr r="L495" s="1"/>
      </tp>
      <tp>
        <v>20192172802.080002</v>
        <stp/>
        <stp>EM_HKS_VAL_MV</stp>
        <stp>3</stp>
        <stp>300316</stp>
        <stp>2019-12-31</stp>
        <stp>2</stp>
        <tr r="L480" s="1"/>
      </tp>
      <tp>
        <v>113188724558.88</v>
        <stp/>
        <stp>EM_HKS_VAL_MV</stp>
        <stp>3</stp>
        <stp>600346</stp>
        <stp>2019-12-31</stp>
        <stp>2</stp>
        <tr r="L1252" s="1"/>
      </tp>
      <tp>
        <v>9130845328.4300003</v>
        <stp/>
        <stp>EM_HKS_VAL_MV</stp>
        <stp>3</stp>
        <stp>000426</stp>
        <stp>2019-12-31</stp>
        <stp>2</stp>
        <tr r="L2266" s="1"/>
      </tp>
      <tp>
        <v>4357461717.7799997</v>
        <stp/>
        <stp>EM_HKS_VAL_MV</stp>
        <stp>3</stp>
        <stp>300416</stp>
        <stp>2019-12-31</stp>
        <stp>2</stp>
        <tr r="L301" s="1"/>
      </tp>
      <tp>
        <v>17707865160.720001</v>
        <stp/>
        <stp>EM_HKS_VAL_MV</stp>
        <stp>3</stp>
        <stp>600446</stp>
        <stp>2019-12-31</stp>
        <stp>2</stp>
        <tr r="L127" s="1"/>
      </tp>
      <tp>
        <v>2991667827.6999998</v>
        <stp/>
        <stp>EM_HKS_VAL_MV</stp>
        <stp>3</stp>
        <stp>000526</stp>
        <stp>2019-12-31</stp>
        <stp>2</stp>
        <tr r="L325" s="1"/>
      </tp>
      <tp>
        <v>5344200000</v>
        <stp/>
        <stp>EM_HKS_VAL_MV</stp>
        <stp>3</stp>
        <stp>300516</stp>
        <stp>2019-12-31</stp>
        <stp>2</stp>
        <tr r="L1820" s="1"/>
      </tp>
      <tp>
        <v>13837543857.200001</v>
        <stp/>
        <stp>EM_HKS_VAL_MV</stp>
        <stp>3</stp>
        <stp>600546</stp>
        <stp>2019-12-31</stp>
        <stp>2</stp>
        <tr r="L191" s="1"/>
      </tp>
      <tp>
        <v>4082419263.04</v>
        <stp/>
        <stp>EM_HKS_VAL_MV</stp>
        <stp>3</stp>
        <stp>000626</stp>
        <stp>2019-12-31</stp>
        <stp>2</stp>
        <tr r="L3488" s="1"/>
      </tp>
      <tp>
        <v>14805529272</v>
        <stp/>
        <stp>EM_HKS_VAL_MV</stp>
        <stp>3</stp>
        <stp>300616</stp>
        <stp>2019-12-31</stp>
        <stp>2</stp>
        <tr r="L1091" s="1"/>
      </tp>
      <tp>
        <v>1045911443.4</v>
        <stp/>
        <stp>EM_HKS_VAL_MV</stp>
        <stp>3</stp>
        <stp>600646</stp>
        <stp>2019-12-31</stp>
        <stp>2</stp>
        <tr r="L2311" s="1"/>
      </tp>
      <tp>
        <v>7851812100.1499996</v>
        <stp/>
        <stp>EM_HKS_VAL_MV</stp>
        <stp>3</stp>
        <stp>000726</stp>
        <stp>2019-12-31</stp>
        <stp>2</stp>
        <tr r="L2606" s="1"/>
      </tp>
      <tp>
        <v>1661007600</v>
        <stp/>
        <stp>EM_HKS_VAL_MV</stp>
        <stp>3</stp>
        <stp>300716</stp>
        <stp>2019-12-31</stp>
        <stp>2</stp>
        <tr r="L2689" s="1"/>
      </tp>
      <tp>
        <v>2209298668.9200001</v>
        <stp/>
        <stp>EM_HKS_VAL_MV</stp>
        <stp>3</stp>
        <stp>600746</stp>
        <stp>2019-12-31</stp>
        <stp>2</stp>
        <tr r="L1254" s="1"/>
      </tp>
      <tp>
        <v>13132713237.120001</v>
        <stp/>
        <stp>EM_HKS_VAL_MV</stp>
        <stp>3</stp>
        <stp>000826</stp>
        <stp>2019-12-31</stp>
        <stp>2</stp>
        <tr r="L2803" s="1"/>
      </tp>
      <tp>
        <v>5816529713.96</v>
        <stp/>
        <stp>EM_HKS_VAL_MV</stp>
        <stp>3</stp>
        <stp>600846</stp>
        <stp>2019-12-31</stp>
        <stp>2</stp>
        <tr r="L959" s="1"/>
      </tp>
      <tp>
        <v>6256006081</v>
        <stp/>
        <stp>EM_HKS_VAL_MV</stp>
        <stp>3</stp>
        <stp>000926</stp>
        <stp>2019-12-31</stp>
        <stp>2</stp>
        <tr r="L3578" s="1"/>
      </tp>
      <tp>
        <v>91883530552.800003</v>
        <stp/>
        <stp>EM_HKS_VAL_MV</stp>
        <stp>3</stp>
        <stp>002027</stp>
        <stp>2019-12-31</stp>
        <stp>2</stp>
        <tr r="L1266" s="1"/>
      </tp>
      <tp>
        <v>26782636096.73</v>
        <stp/>
        <stp>EM_HKS_VAL_MV</stp>
        <stp>3</stp>
        <stp>002127</stp>
        <stp>2019-12-31</stp>
        <stp>2</stp>
        <tr r="L645" s="1"/>
      </tp>
      <tp>
        <v>2444219192</v>
        <stp/>
        <stp>EM_HKS_VAL_MV</stp>
        <stp>3</stp>
        <stp>002227</stp>
        <stp>2019-12-31</stp>
        <stp>2</stp>
        <tr r="L1779" s="1"/>
      </tp>
      <tp>
        <v>5899466721.9399996</v>
        <stp/>
        <stp>EM_HKS_VAL_MV</stp>
        <stp>3</stp>
        <stp>002327</stp>
        <stp>2019-12-31</stp>
        <stp>2</stp>
        <tr r="L2672" s="1"/>
      </tp>
      <tp>
        <v>3475890164.3400002</v>
        <stp/>
        <stp>EM_HKS_VAL_MV</stp>
        <stp>3</stp>
        <stp>002427</stp>
        <stp>2019-12-31</stp>
        <stp>2</stp>
        <tr r="L3260" s="1"/>
      </tp>
      <tp>
        <v>3224995025.1999998</v>
        <stp/>
        <stp>EM_HKS_VAL_MV</stp>
        <stp>3</stp>
        <stp>002527</stp>
        <stp>2019-12-31</stp>
        <stp>2</stp>
        <tr r="L2484" s="1"/>
      </tp>
      <tp>
        <v>3363416987.1100001</v>
        <stp/>
        <stp>EM_HKS_VAL_MV</stp>
        <stp>3</stp>
        <stp>002627</stp>
        <stp>2019-12-31</stp>
        <stp>2</stp>
        <tr r="L389" s="1"/>
      </tp>
      <tp>
        <v>13206331758.42</v>
        <stp/>
        <stp>EM_HKS_VAL_MV</stp>
        <stp>3</stp>
        <stp>002727</stp>
        <stp>2019-12-31</stp>
        <stp>2</stp>
        <tr r="L946" s="1"/>
      </tp>
      <tp>
        <v>2685480000</v>
        <stp/>
        <stp>EM_HKS_VAL_MV</stp>
        <stp>3</stp>
        <stp>002827</stp>
        <stp>2019-12-31</stp>
        <stp>2</stp>
        <tr r="L3229" s="1"/>
      </tp>
      <tp>
        <v>3424562960</v>
        <stp/>
        <stp>EM_HKS_VAL_MV</stp>
        <stp>3</stp>
        <stp>002927</stp>
        <stp>2019-12-31</stp>
        <stp>2</stp>
        <tr r="L3378" s="1"/>
      </tp>
      <tp>
        <v>24619492817.369999</v>
        <stp/>
        <stp>EM_HKS_VAL_MV</stp>
        <stp>3</stp>
        <stp>000027</stp>
        <stp>2019-12-31</stp>
        <stp>2</stp>
        <tr r="L1310" s="1"/>
      </tp>
      <tp>
        <v>23196168706.119999</v>
        <stp/>
        <stp>EM_HKS_VAL_MV</stp>
        <stp>3</stp>
        <stp>300017</stp>
        <stp>2019-12-31</stp>
        <stp>2</stp>
        <tr r="L1215" s="1"/>
      </tp>
      <tp>
        <v>2680682400</v>
        <stp/>
        <stp>EM_HKS_VAL_MV</stp>
        <stp>3</stp>
        <stp>300117</stp>
        <stp>2019-12-31</stp>
        <stp>2</stp>
        <tr r="L2769" s="1"/>
      </tp>
      <tp>
        <v>3094589705.5799999</v>
        <stp/>
        <stp>EM_HKS_VAL_MV</stp>
        <stp>3</stp>
        <stp>300217</stp>
        <stp>2019-12-31</stp>
        <stp>2</stp>
        <tr r="L2065" s="1"/>
      </tp>
      <tp>
        <v>1231376256</v>
        <stp/>
        <stp>EM_HKS_VAL_MV</stp>
        <stp>3</stp>
        <stp>600247</stp>
        <stp>2019-12-31</stp>
        <stp>2</stp>
        <tr r="L3103" s="1"/>
      </tp>
      <tp>
        <v>4030729924.8000002</v>
        <stp/>
        <stp>EM_HKS_VAL_MV</stp>
        <stp>3</stp>
        <stp>300317</stp>
        <stp>2019-12-31</stp>
        <stp>2</stp>
        <tr r="L1978" s="1"/>
      </tp>
      <tp>
        <v>3439440000</v>
        <stp/>
        <stp>EM_HKS_VAL_MV</stp>
        <stp>3</stp>
        <stp>300417</stp>
        <stp>2019-12-31</stp>
        <stp>2</stp>
        <tr r="L56" s="1"/>
      </tp>
      <tp>
        <v>47448554053</v>
        <stp/>
        <stp>EM_HKS_VAL_MV</stp>
        <stp>3</stp>
        <stp>000527</stp>
        <stp>2019-12-31</stp>
        <stp>2</stp>
        <tr r="L3443" s="1"/>
      </tp>
      <tp>
        <v>1613878560</v>
        <stp/>
        <stp>EM_HKS_VAL_MV</stp>
        <stp>3</stp>
        <stp>300517</stp>
        <stp>2019-12-31</stp>
        <stp>2</stp>
        <tr r="L1512" s="1"/>
      </tp>
      <tp>
        <v>101109331435.84</v>
        <stp/>
        <stp>EM_HKS_VAL_MV</stp>
        <stp>3</stp>
        <stp>600547</stp>
        <stp>2019-12-31</stp>
        <stp>2</stp>
        <tr r="L1942" s="1"/>
      </tp>
      <tp>
        <v>34782029321.599998</v>
        <stp/>
        <stp>EM_HKS_VAL_MV</stp>
        <stp>3</stp>
        <stp>000627</stp>
        <stp>2019-12-31</stp>
        <stp>2</stp>
        <tr r="L3489" s="1"/>
      </tp>
      <tp>
        <v>2493124650</v>
        <stp/>
        <stp>EM_HKS_VAL_MV</stp>
        <stp>3</stp>
        <stp>300617</stp>
        <stp>2019-12-31</stp>
        <stp>2</stp>
        <tr r="L1581" s="1"/>
      </tp>
      <tp>
        <v>1899309457.5</v>
        <stp/>
        <stp>EM_HKS_VAL_MV</stp>
        <stp>3</stp>
        <stp>600647</stp>
        <stp>2019-12-31</stp>
        <stp>2</stp>
        <tr r="L1435" s="1"/>
      </tp>
      <tp>
        <v>9466794988.2000008</v>
        <stp/>
        <stp>EM_HKS_VAL_MV</stp>
        <stp>3</stp>
        <stp>000727</stp>
        <stp>2019-12-31</stp>
        <stp>2</stp>
        <tr r="L3520" s="1"/>
      </tp>
      <tp>
        <v>1667072000</v>
        <stp/>
        <stp>EM_HKS_VAL_MV</stp>
        <stp>3</stp>
        <stp>300717</stp>
        <stp>2019-12-31</stp>
        <stp>2</stp>
        <tr r="L1526" s="1"/>
      </tp>
      <tp>
        <v>380725383.74000001</v>
        <stp/>
        <stp>EM_HKS_VAL_MV</stp>
        <stp>3</stp>
        <stp>600747</stp>
        <stp>2019-12-31</stp>
        <stp>2</stp>
        <tr r="L3404" s="1"/>
      </tp>
      <tp>
        <v>77417472</v>
        <stp/>
        <stp>EM_HKS_VAL_MV</stp>
        <stp>3</stp>
        <stp>000827</stp>
        <stp>2019-12-31</stp>
        <stp>2</stp>
        <tr r="L3550" s="1"/>
      </tp>
      <tp>
        <v>1707621636</v>
        <stp/>
        <stp>EM_HKS_VAL_MV</stp>
        <stp>3</stp>
        <stp>600847</stp>
        <stp>2019-12-31</stp>
        <stp>2</stp>
        <tr r="L2395" s="1"/>
      </tp>
      <tp>
        <v>8247049683.3999996</v>
        <stp/>
        <stp>EM_HKS_VAL_MV</stp>
        <stp>3</stp>
        <stp>000927</stp>
        <stp>2019-12-31</stp>
        <stp>2</stp>
        <tr r="L3579" s="1"/>
      </tp>
      <tp>
        <v>94124500912.050003</v>
        <stp/>
        <stp>EM_HKS_VAL_MV</stp>
        <stp>3</stp>
        <stp>002024</stp>
        <stp>2019-12-31</stp>
        <stp>2</stp>
        <tr r="L2136" s="1"/>
      </tp>
      <tp>
        <v>14553332629.9</v>
        <stp/>
        <stp>EM_HKS_VAL_MV</stp>
        <stp>3</stp>
        <stp>002124</stp>
        <stp>2019-12-31</stp>
        <stp>2</stp>
        <tr r="L3641" s="1"/>
      </tp>
      <tp>
        <v>4427736306.4499998</v>
        <stp/>
        <stp>EM_HKS_VAL_MV</stp>
        <stp>3</stp>
        <stp>002224</stp>
        <stp>2019-12-31</stp>
        <stp>2</stp>
        <tr r="L1500" s="1"/>
      </tp>
      <tp>
        <v>7087873072.9399996</v>
        <stp/>
        <stp>EM_HKS_VAL_MV</stp>
        <stp>3</stp>
        <stp>002324</stp>
        <stp>2019-12-31</stp>
        <stp>2</stp>
        <tr r="L820" s="1"/>
      </tp>
      <tp>
        <v>12291552000</v>
        <stp/>
        <stp>EM_HKS_VAL_MV</stp>
        <stp>3</stp>
        <stp>002424</stp>
        <stp>2019-12-31</stp>
        <stp>2</stp>
        <tr r="L2474" s="1"/>
      </tp>
      <tp>
        <v>5373902338.2200003</v>
        <stp/>
        <stp>EM_HKS_VAL_MV</stp>
        <stp>3</stp>
        <stp>002524</stp>
        <stp>2019-12-31</stp>
        <stp>2</stp>
        <tr r="L120" s="1"/>
      </tp>
      <tp>
        <v>57059684555.620003</v>
        <stp/>
        <stp>EM_HKS_VAL_MV</stp>
        <stp>3</stp>
        <stp>002624</stp>
        <stp>2019-12-31</stp>
        <stp>2</stp>
        <tr r="L449" s="1"/>
      </tp>
      <tp>
        <v>5140800000</v>
        <stp/>
        <stp>EM_HKS_VAL_MV</stp>
        <stp>3</stp>
        <stp>002724</stp>
        <stp>2019-12-31</stp>
        <stp>2</stp>
        <tr r="L757" s="1"/>
      </tp>
      <tp>
        <v>1994056728</v>
        <stp/>
        <stp>EM_HKS_VAL_MV</stp>
        <stp>3</stp>
        <stp>002824</stp>
        <stp>2019-12-31</stp>
        <stp>2</stp>
        <tr r="L1249" s="1"/>
      </tp>
      <tp>
        <v>21456125340.25</v>
        <stp/>
        <stp>EM_HKS_VAL_MV</stp>
        <stp>3</stp>
        <stp>603444</stp>
        <stp>2019-12-31</stp>
        <stp>2</stp>
        <tr r="L141" s="1"/>
      </tp>
      <tp>
        <v>104326005537</v>
        <stp/>
        <stp>EM_HKS_VAL_MV</stp>
        <stp>3</stp>
        <stp>000024</stp>
        <stp>2019-12-31</stp>
        <stp>2</stp>
        <tr r="L2274" s="1"/>
      </tp>
      <tp>
        <v>48612047101.199997</v>
        <stp/>
        <stp>EM_HKS_VAL_MV</stp>
        <stp>3</stp>
        <stp>300014</stp>
        <stp>2019-12-31</stp>
        <stp>2</stp>
        <tr r="L40" s="1"/>
      </tp>
      <tp>
        <v>6722854478.6199999</v>
        <stp/>
        <stp>EM_HKS_VAL_MV</stp>
        <stp>3</stp>
        <stp>300114</stp>
        <stp>2019-12-31</stp>
        <stp>2</stp>
        <tr r="L433" s="1"/>
      </tp>
      <tp>
        <v>3534244696.1999998</v>
        <stp/>
        <stp>EM_HKS_VAL_MV</stp>
        <stp>3</stp>
        <stp>300214</stp>
        <stp>2019-12-31</stp>
        <stp>2</stp>
        <tr r="L590" s="1"/>
      </tp>
      <tp>
        <v>2692800000</v>
        <stp/>
        <stp>EM_HKS_VAL_MV</stp>
        <stp>3</stp>
        <stp>300314</stp>
        <stp>2019-12-31</stp>
        <stp>2</stp>
        <tr r="L1678" s="1"/>
      </tp>
      <tp>
        <v>3939016942.5799999</v>
        <stp/>
        <stp>EM_HKS_VAL_MV</stp>
        <stp>3</stp>
        <stp>300414</stp>
        <stp>2019-12-31</stp>
        <stp>2</stp>
        <tr r="L3089" s="1"/>
      </tp>
      <tp>
        <v>1544751382.5999999</v>
        <stp/>
        <stp>EM_HKS_VAL_MV</stp>
        <stp>3</stp>
        <stp>600444</stp>
        <stp>2019-12-31</stp>
        <stp>2</stp>
        <tr r="L1702" s="1"/>
      </tp>
      <tp>
        <v>5019862391.5299997</v>
        <stp/>
        <stp>EM_HKS_VAL_MV</stp>
        <stp>3</stp>
        <stp>000524</stp>
        <stp>2019-12-31</stp>
        <stp>2</stp>
        <tr r="L1832" s="1"/>
      </tp>
      <tp>
        <v>2496000000</v>
        <stp/>
        <stp>EM_HKS_VAL_MV</stp>
        <stp>3</stp>
        <stp>300514</stp>
        <stp>2019-12-31</stp>
        <stp>2</stp>
        <tr r="L2250" s="1"/>
      </tp>
      <tp>
        <v>3009659683.8099999</v>
        <stp/>
        <stp>EM_HKS_VAL_MV</stp>
        <stp>3</stp>
        <stp>600644</stp>
        <stp>2019-12-31</stp>
        <stp>2</stp>
        <tr r="L1143" s="1"/>
      </tp>
      <tp>
        <v>4559678141.4399996</v>
        <stp/>
        <stp>EM_HKS_VAL_MV</stp>
        <stp>3</stp>
        <stp>600744</stp>
        <stp>2019-12-31</stp>
        <stp>2</stp>
        <tr r="L2416" s="1"/>
      </tp>
      <tp>
        <v>5031794988</v>
        <stp/>
        <stp>EM_HKS_VAL_MV</stp>
        <stp>3</stp>
        <stp>600844</stp>
        <stp>2019-12-31</stp>
        <stp>2</stp>
        <tr r="L467" s="1"/>
      </tp>
      <tp>
        <v>11398530000</v>
        <stp/>
        <stp>EM_HKS_VAL_MV</stp>
        <stp>3</stp>
        <stp>002025</stp>
        <stp>2019-12-31</stp>
        <stp>2</stp>
        <tr r="L1156" s="1"/>
      </tp>
      <tp>
        <v>2836684676.8800001</v>
        <stp/>
        <stp>EM_HKS_VAL_MV</stp>
        <stp>3</stp>
        <stp>002125</stp>
        <stp>2019-12-31</stp>
        <stp>2</stp>
        <tr r="L3120" s="1"/>
      </tp>
      <tp>
        <v>4424487574.1199999</v>
        <stp/>
        <stp>EM_HKS_VAL_MV</stp>
        <stp>3</stp>
        <stp>002225</stp>
        <stp>2019-12-31</stp>
        <stp>2</stp>
        <tr r="L2508" s="1"/>
      </tp>
      <tp>
        <v>4010708887.4099998</v>
        <stp/>
        <stp>EM_HKS_VAL_MV</stp>
        <stp>3</stp>
        <stp>002325</stp>
        <stp>2019-12-31</stp>
        <stp>2</stp>
        <tr r="L1760" s="1"/>
      </tp>
      <tp>
        <v>4500006708.96</v>
        <stp/>
        <stp>EM_HKS_VAL_MV</stp>
        <stp>3</stp>
        <stp>002425</stp>
        <stp>2019-12-31</stp>
        <stp>2</stp>
        <tr r="L2629" s="1"/>
      </tp>
      <tp>
        <v>0</v>
        <stp/>
        <stp>EM_HKS_VAL_MV</stp>
        <stp>3</stp>
        <stp>002525</stp>
        <stp>2019-12-31</stp>
        <stp>2</stp>
        <tr r="L6" s="1"/>
      </tp>
      <tp>
        <v>19714478937.299999</v>
        <stp/>
        <stp>EM_HKS_VAL_MV</stp>
        <stp>3</stp>
        <stp>002625</stp>
        <stp>2019-12-31</stp>
        <stp>2</stp>
        <tr r="L2630" s="1"/>
      </tp>
      <tp>
        <v>2485760000</v>
        <stp/>
        <stp>EM_HKS_VAL_MV</stp>
        <stp>3</stp>
        <stp>002725</stp>
        <stp>2019-12-31</stp>
        <stp>2</stp>
        <tr r="L1230" s="1"/>
      </tp>
      <tp>
        <v>1941391767.5999999</v>
        <stp/>
        <stp>EM_HKS_VAL_MV</stp>
        <stp>3</stp>
        <stp>002825</stp>
        <stp>2019-12-31</stp>
        <stp>2</stp>
        <tr r="L2522" s="1"/>
      </tp>
      <tp>
        <v>20134743180</v>
        <stp/>
        <stp>EM_HKS_VAL_MV</stp>
        <stp>3</stp>
        <stp>002925</stp>
        <stp>2019-12-31</stp>
        <stp>2</stp>
        <tr r="L2367" s="1"/>
      </tp>
      <tp>
        <v>2064300000</v>
        <stp/>
        <stp>EM_HKS_VAL_MV</stp>
        <stp>3</stp>
        <stp>603045</stp>
        <stp>2019-12-31</stp>
        <stp>2</stp>
        <tr r="L3358" s="1"/>
      </tp>
      <tp>
        <v>13668259617.09</v>
        <stp/>
        <stp>EM_HKS_VAL_MV</stp>
        <stp>3</stp>
        <stp>603345</stp>
        <stp>2019-12-31</stp>
        <stp>2</stp>
        <tr r="L351" s="1"/>
      </tp>
      <tp>
        <v>9138436384</v>
        <stp/>
        <stp>EM_HKS_VAL_MV</stp>
        <stp>3</stp>
        <stp>000025</stp>
        <stp>2019-12-31</stp>
        <stp>2</stp>
        <tr r="L1436" s="1"/>
      </tp>
      <tp>
        <v>122549412140.12</v>
        <stp/>
        <stp>EM_HKS_VAL_MV</stp>
        <stp>3</stp>
        <stp>300015</stp>
        <stp>2019-12-31</stp>
        <stp>2</stp>
        <tr r="L607" s="1"/>
      </tp>
      <tp>
        <v>16186414060.98</v>
        <stp/>
        <stp>EM_HKS_VAL_MV</stp>
        <stp>3</stp>
        <stp>300115</stp>
        <stp>2019-12-31</stp>
        <stp>2</stp>
        <tr r="L125" s="1"/>
      </tp>
      <tp>
        <v>2788357710.5999999</v>
        <stp/>
        <stp>EM_HKS_VAL_MV</stp>
        <stp>3</stp>
        <stp>600145</stp>
        <stp>2019-12-31</stp>
        <stp>2</stp>
        <tr r="L2293" s="1"/>
      </tp>
      <tp>
        <v>5027678088.8100004</v>
        <stp/>
        <stp>EM_HKS_VAL_MV</stp>
        <stp>3</stp>
        <stp>300215</stp>
        <stp>2019-12-31</stp>
        <stp>2</stp>
        <tr r="L1169" s="1"/>
      </tp>
      <tp>
        <v>17013677464.639999</v>
        <stp/>
        <stp>EM_HKS_VAL_MV</stp>
        <stp>3</stp>
        <stp>300315</stp>
        <stp>2019-12-31</stp>
        <stp>2</stp>
        <tr r="L254" s="1"/>
      </tp>
      <tp>
        <v>4464900000</v>
        <stp/>
        <stp>EM_HKS_VAL_MV</stp>
        <stp>3</stp>
        <stp>600345</stp>
        <stp>2019-12-31</stp>
        <stp>2</stp>
        <tr r="L2249" s="1"/>
      </tp>
      <tp>
        <v>42850166312.099998</v>
        <stp/>
        <stp>EM_HKS_VAL_MV</stp>
        <stp>3</stp>
        <stp>000425</stp>
        <stp>2019-12-31</stp>
        <stp>2</stp>
        <tr r="L319" s="1"/>
      </tp>
      <tp>
        <v>4237920000</v>
        <stp/>
        <stp>EM_HKS_VAL_MV</stp>
        <stp>3</stp>
        <stp>300415</stp>
        <stp>2019-12-31</stp>
        <stp>2</stp>
        <tr r="L374" s="1"/>
      </tp>
      <tp>
        <v>5645112325.5600004</v>
        <stp/>
        <stp>EM_HKS_VAL_MV</stp>
        <stp>3</stp>
        <stp>000525</stp>
        <stp>2019-12-31</stp>
        <stp>2</stp>
        <tr r="L3231" s="1"/>
      </tp>
      <tp>
        <v>1959109000</v>
        <stp/>
        <stp>EM_HKS_VAL_MV</stp>
        <stp>3</stp>
        <stp>300515</stp>
        <stp>2019-12-31</stp>
        <stp>2</stp>
        <tr r="L1615" s="1"/>
      </tp>
      <tp>
        <v>11505156879.65</v>
        <stp/>
        <stp>EM_HKS_VAL_MV</stp>
        <stp>3</stp>
        <stp>600545</stp>
        <stp>2019-12-31</stp>
        <stp>2</stp>
        <tr r="L3035" s="1"/>
      </tp>
      <tp>
        <v>48170564565.330002</v>
        <stp/>
        <stp>EM_HKS_VAL_MV</stp>
        <stp>3</stp>
        <stp>000625</stp>
        <stp>2019-12-31</stp>
        <stp>2</stp>
        <tr r="L3487" s="1"/>
      </tp>
      <tp>
        <v>3823263204.8000002</v>
        <stp/>
        <stp>EM_HKS_VAL_MV</stp>
        <stp>3</stp>
        <stp>300615</stp>
        <stp>2019-12-31</stp>
        <stp>2</stp>
        <tr r="L1398" s="1"/>
      </tp>
      <tp>
        <v>7922730237.6999998</v>
        <stp/>
        <stp>EM_HKS_VAL_MV</stp>
        <stp>3</stp>
        <stp>600645</stp>
        <stp>2019-12-31</stp>
        <stp>2</stp>
        <tr r="L2094" s="1"/>
      </tp>
      <tp>
        <v>157984730384.01999</v>
        <stp/>
        <stp>EM_HKS_VAL_MV</stp>
        <stp>3</stp>
        <stp>000725</stp>
        <stp>2019-12-31</stp>
        <stp>2</stp>
        <tr r="L291" s="1"/>
      </tp>
      <tp>
        <v>3556585075</v>
        <stp/>
        <stp>EM_HKS_VAL_MV</stp>
        <stp>3</stp>
        <stp>300715</stp>
        <stp>2019-12-31</stp>
        <stp>2</stp>
        <tr r="L1509" s="1"/>
      </tp>
      <tp>
        <v>103973118082.5</v>
        <stp/>
        <stp>EM_HKS_VAL_MV</stp>
        <stp>3</stp>
        <stp>600745</stp>
        <stp>2019-12-31</stp>
        <stp>2</stp>
        <tr r="L24" s="1"/>
      </tp>
      <tp>
        <v>23297653485.639999</v>
        <stp/>
        <stp>EM_HKS_VAL_MV</stp>
        <stp>3</stp>
        <stp>000825</stp>
        <stp>2019-12-31</stp>
        <stp>2</stp>
        <tr r="L2407" s="1"/>
      </tp>
      <tp>
        <v>37518181290.800003</v>
        <stp/>
        <stp>EM_HKS_VAL_MV</stp>
        <stp>3</stp>
        <stp>600845</stp>
        <stp>2019-12-31</stp>
        <stp>2</stp>
        <tr r="L442" s="1"/>
      </tp>
      <tp>
        <v>3682084850.0999999</v>
        <stp/>
        <stp>EM_HKS_VAL_MV</stp>
        <stp>3</stp>
        <stp>000925</stp>
        <stp>2019-12-31</stp>
        <stp>2</stp>
        <tr r="L1523" s="1"/>
      </tp>
      <tp>
        <v>13509652500</v>
        <stp/>
        <stp>EM_HKS_VAL_MV</stp>
        <stp>3</stp>
        <stp>002038</stp>
        <stp>2019-12-31</stp>
        <stp>2</stp>
        <tr r="L3361" s="1"/>
      </tp>
      <tp>
        <v>18625953977.400002</v>
        <stp/>
        <stp>EM_HKS_VAL_MV</stp>
        <stp>3</stp>
        <stp>002138</stp>
        <stp>2019-12-31</stp>
        <stp>2</stp>
        <tr r="L329" s="1"/>
      </tp>
      <tp>
        <v>4833875556</v>
        <stp/>
        <stp>EM_HKS_VAL_MV</stp>
        <stp>3</stp>
        <stp>002238</stp>
        <stp>2019-12-31</stp>
        <stp>2</stp>
        <tr r="L1196" s="1"/>
      </tp>
      <tp>
        <v>3165600000</v>
        <stp/>
        <stp>EM_HKS_VAL_MV</stp>
        <stp>3</stp>
        <stp>002338</stp>
        <stp>2019-12-31</stp>
        <stp>2</stp>
        <tr r="L1311" s="1"/>
      </tp>
      <tp>
        <v>3929767302.04</v>
        <stp/>
        <stp>EM_HKS_VAL_MV</stp>
        <stp>3</stp>
        <stp>002438</stp>
        <stp>2019-12-31</stp>
        <stp>2</stp>
        <tr r="L726" s="1"/>
      </tp>
      <tp>
        <v>3418281573.5599999</v>
        <stp/>
        <stp>EM_HKS_VAL_MV</stp>
        <stp>3</stp>
        <stp>002538</stp>
        <stp>2019-12-31</stp>
        <stp>2</stp>
        <tr r="L2472" s="1"/>
      </tp>
      <tp>
        <v>5603949768.0600004</v>
        <stp/>
        <stp>EM_HKS_VAL_MV</stp>
        <stp>3</stp>
        <stp>002638</stp>
        <stp>2019-12-31</stp>
        <stp>2</stp>
        <tr r="L689" s="1"/>
      </tp>
      <tp>
        <v>4685840385.3599997</v>
        <stp/>
        <stp>EM_HKS_VAL_MV</stp>
        <stp>3</stp>
        <stp>002738</stp>
        <stp>2019-12-31</stp>
        <stp>2</stp>
        <tr r="L1459" s="1"/>
      </tp>
      <tp>
        <v>4351123975</v>
        <stp/>
        <stp>EM_HKS_VAL_MV</stp>
        <stp>3</stp>
        <stp>002838</stp>
        <stp>2019-12-31</stp>
        <stp>2</stp>
        <tr r="L3303" s="1"/>
      </tp>
      <tp>
        <v>3109532048</v>
        <stp/>
        <stp>EM_HKS_VAL_MV</stp>
        <stp>3</stp>
        <stp>603058</stp>
        <stp>2019-12-31</stp>
        <stp>2</stp>
        <tr r="L3088" s="1"/>
      </tp>
      <tp>
        <v>3350035328</v>
        <stp/>
        <stp>EM_HKS_VAL_MV</stp>
        <stp>3</stp>
        <stp>603158</stp>
        <stp>2019-12-31</stp>
        <stp>2</stp>
        <tr r="L2653" s="1"/>
      </tp>
      <tp>
        <v>5733369880</v>
        <stp/>
        <stp>EM_HKS_VAL_MV</stp>
        <stp>3</stp>
        <stp>603258</stp>
        <stp>2019-12-31</stp>
        <stp>2</stp>
        <tr r="L727" s="1"/>
      </tp>
      <tp>
        <v>4638144000</v>
        <stp/>
        <stp>EM_HKS_VAL_MV</stp>
        <stp>3</stp>
        <stp>603358</stp>
        <stp>2019-12-31</stp>
        <stp>2</stp>
        <tr r="L844" s="1"/>
      </tp>
      <tp>
        <v>3548652069.4299998</v>
        <stp/>
        <stp>EM_HKS_VAL_MV</stp>
        <stp>3</stp>
        <stp>603458</stp>
        <stp>2019-12-31</stp>
        <stp>2</stp>
        <tr r="L3290" s="1"/>
      </tp>
      <tp>
        <v>4475830751.75</v>
        <stp/>
        <stp>EM_HKS_VAL_MV</stp>
        <stp>3</stp>
        <stp>603558</stp>
        <stp>2019-12-31</stp>
        <stp>2</stp>
        <tr r="L2587" s="1"/>
      </tp>
      <tp>
        <v>40479600000</v>
        <stp/>
        <stp>EM_HKS_VAL_MV</stp>
        <stp>3</stp>
        <stp>603658</stp>
        <stp>2019-12-31</stp>
        <stp>2</stp>
        <tr r="L188" s="1"/>
      </tp>
      <tp>
        <v>2768809379.1900001</v>
        <stp/>
        <stp>EM_HKS_VAL_MV</stp>
        <stp>3</stp>
        <stp>603758</stp>
        <stp>2019-12-31</stp>
        <stp>2</stp>
        <tr r="L2185" s="1"/>
      </tp>
      <tp>
        <v>23539392178.200001</v>
        <stp/>
        <stp>EM_HKS_VAL_MV</stp>
        <stp>3</stp>
        <stp>603858</stp>
        <stp>2019-12-31</stp>
        <stp>2</stp>
        <tr r="L3059" s="1"/>
      </tp>
      <tp>
        <v>1608464000</v>
        <stp/>
        <stp>EM_HKS_VAL_MV</stp>
        <stp>3</stp>
        <stp>603958</stp>
        <stp>2019-12-31</stp>
        <stp>2</stp>
        <tr r="L2677" s="1"/>
      </tp>
      <tp>
        <v>6194912415.1499996</v>
        <stp/>
        <stp>EM_HKS_VAL_MV</stp>
        <stp>3</stp>
        <stp>000038</stp>
        <stp>2019-12-31</stp>
        <stp>2</stp>
        <tr r="L2663" s="1"/>
      </tp>
      <tp>
        <v>2774446774.6500001</v>
        <stp/>
        <stp>EM_HKS_VAL_MV</stp>
        <stp>3</stp>
        <stp>300008</stp>
        <stp>2019-12-31</stp>
        <stp>2</stp>
        <tr r="L1648" s="1"/>
      </tp>
      <tp>
        <v>8596723902.2199993</v>
        <stp/>
        <stp>EM_HKS_VAL_MV</stp>
        <stp>3</stp>
        <stp>600058</stp>
        <stp>2019-12-31</stp>
        <stp>2</stp>
        <tr r="L1269" s="1"/>
      </tp>
      <tp>
        <v>2624097815.5599999</v>
        <stp/>
        <stp>EM_HKS_VAL_MV</stp>
        <stp>3</stp>
        <stp>300108</stp>
        <stp>2019-12-31</stp>
        <stp>2</stp>
        <tr r="L3150" s="1"/>
      </tp>
      <tp>
        <v>8462665791.1899996</v>
        <stp/>
        <stp>EM_HKS_VAL_MV</stp>
        <stp>3</stp>
        <stp>600158</stp>
        <stp>2019-12-31</stp>
        <stp>2</stp>
        <tr r="L1644" s="1"/>
      </tp>
      <tp>
        <v>5381230500</v>
        <stp/>
        <stp>EM_HKS_VAL_MV</stp>
        <stp>3</stp>
        <stp>300208</stp>
        <stp>2019-12-31</stp>
        <stp>2</stp>
        <tr r="L1037" s="1"/>
      </tp>
      <tp>
        <v>20356970246.82</v>
        <stp/>
        <stp>EM_HKS_VAL_MV</stp>
        <stp>3</stp>
        <stp>600258</stp>
        <stp>2019-12-31</stp>
        <stp>2</stp>
        <tr r="L833" s="1"/>
      </tp>
      <tp>
        <v>125989917452.60001</v>
        <stp/>
        <stp>EM_HKS_VAL_MV</stp>
        <stp>3</stp>
        <stp>000338</stp>
        <stp>2019-12-31</stp>
        <stp>2</stp>
        <tr r="L162" s="1"/>
      </tp>
      <tp>
        <v>37222968919.150002</v>
        <stp/>
        <stp>EM_HKS_VAL_MV</stp>
        <stp>3</stp>
        <stp>300308</stp>
        <stp>2019-12-31</stp>
        <stp>2</stp>
        <tr r="L975" s="1"/>
      </tp>
      <tp>
        <v>2120733972</v>
        <stp/>
        <stp>EM_HKS_VAL_MV</stp>
        <stp>3</stp>
        <stp>600358</stp>
        <stp>2019-12-31</stp>
        <stp>2</stp>
        <tr r="L1391" s="1"/>
      </tp>
      <tp>
        <v>38837672130.160004</v>
        <stp/>
        <stp>EM_HKS_VAL_MV</stp>
        <stp>3</stp>
        <stp>300408</stp>
        <stp>2019-12-31</stp>
        <stp>2</stp>
        <tr r="L858" s="1"/>
      </tp>
      <tp>
        <v>5659726971.6000004</v>
        <stp/>
        <stp>EM_HKS_VAL_MV</stp>
        <stp>3</stp>
        <stp>600458</stp>
        <stp>2019-12-31</stp>
        <stp>2</stp>
        <tr r="L2074" s="1"/>
      </tp>
      <tp>
        <v>114238178639.31</v>
        <stp/>
        <stp>EM_HKS_VAL_MV</stp>
        <stp>3</stp>
        <stp>000538</stp>
        <stp>2019-12-31</stp>
        <stp>2</stp>
        <tr r="L1317" s="1"/>
      </tp>
      <tp>
        <v>2610992640</v>
        <stp/>
        <stp>EM_HKS_VAL_MV</stp>
        <stp>3</stp>
        <stp>300508</stp>
        <stp>2019-12-31</stp>
        <stp>2</stp>
        <tr r="L1385" s="1"/>
      </tp>
      <tp>
        <v>2926191749.0599999</v>
        <stp/>
        <stp>EM_HKS_VAL_MV</stp>
        <stp>3</stp>
        <stp>600558</stp>
        <stp>2019-12-31</stp>
        <stp>2</stp>
        <tr r="L2115" s="1"/>
      </tp>
      <tp>
        <v>1528436000</v>
        <stp/>
        <stp>EM_HKS_VAL_MV</stp>
        <stp>3</stp>
        <stp>000638</stp>
        <stp>2019-12-31</stp>
        <stp>2</stp>
        <tr r="L3492" s="1"/>
      </tp>
      <tp>
        <v>2689538206.7199998</v>
        <stp/>
        <stp>EM_HKS_VAL_MV</stp>
        <stp>3</stp>
        <stp>300608</stp>
        <stp>2019-12-31</stp>
        <stp>2</stp>
        <tr r="L2460" s="1"/>
      </tp>
      <tp>
        <v>5906129037.6000004</v>
        <stp/>
        <stp>EM_HKS_VAL_MV</stp>
        <stp>3</stp>
        <stp>600658</stp>
        <stp>2019-12-31</stp>
        <stp>2</stp>
        <tr r="L2829" s="1"/>
      </tp>
      <tp>
        <v>14973545501.43</v>
        <stp/>
        <stp>EM_HKS_VAL_MV</stp>
        <stp>3</stp>
        <stp>000738</stp>
        <stp>2019-12-31</stp>
        <stp>2</stp>
        <tr r="L1824" s="1"/>
      </tp>
      <tp>
        <v>3498388600</v>
        <stp/>
        <stp>EM_HKS_VAL_MV</stp>
        <stp>3</stp>
        <stp>300708</stp>
        <stp>2019-12-31</stp>
        <stp>2</stp>
        <tr r="L1073" s="1"/>
      </tp>
      <tp>
        <v>5737555489.96</v>
        <stp/>
        <stp>EM_HKS_VAL_MV</stp>
        <stp>3</stp>
        <stp>600758</stp>
        <stp>2019-12-31</stp>
        <stp>2</stp>
        <tr r="L884" s="1"/>
      </tp>
      <tp>
        <v>3532483565.6999998</v>
        <stp/>
        <stp>EM_HKS_VAL_MV</stp>
        <stp>3</stp>
        <stp>000838</stp>
        <stp>2019-12-31</stp>
        <stp>2</stp>
        <tr r="L1804" s="1"/>
      </tp>
      <tp>
        <v>2688744265.1300001</v>
        <stp/>
        <stp>EM_HKS_VAL_MV</stp>
        <stp>3</stp>
        <stp>600858</stp>
        <stp>2019-12-31</stp>
        <stp>2</stp>
        <tr r="L2088" s="1"/>
      </tp>
      <tp>
        <v>64556088593.599998</v>
        <stp/>
        <stp>EM_HKS_VAL_MV</stp>
        <stp>3</stp>
        <stp>000938</stp>
        <stp>2019-12-31</stp>
        <stp>2</stp>
        <tr r="L2342" s="1"/>
      </tp>
      <tp>
        <v>75251736440.279999</v>
        <stp/>
        <stp>EM_HKS_VAL_MV</stp>
        <stp>3</stp>
        <stp>600958</stp>
        <stp>2019-12-31</stp>
        <stp>2</stp>
        <tr r="L811" s="1"/>
      </tp>
      <tp>
        <v>12070165230.66</v>
        <stp/>
        <stp>EM_HKS_VAL_MV</stp>
        <stp>3</stp>
        <stp>601058</stp>
        <stp>2019-12-31</stp>
        <stp>2</stp>
        <tr r="L167" s="1"/>
      </tp>
      <tp>
        <v>26880000000</v>
        <stp/>
        <stp>EM_HKS_VAL_MV</stp>
        <stp>3</stp>
        <stp>601158</stp>
        <stp>2019-12-31</stp>
        <stp>2</stp>
        <tr r="L2337" s="1"/>
      </tp>
      <tp>
        <v>14318115098</v>
        <stp/>
        <stp>EM_HKS_VAL_MV</stp>
        <stp>3</stp>
        <stp>601258</stp>
        <stp>2019-12-31</stp>
        <stp>2</stp>
        <tr r="L2081" s="1"/>
      </tp>
      <tp>
        <v>6573354000</v>
        <stp/>
        <stp>EM_HKS_VAL_MV</stp>
        <stp>3</stp>
        <stp>601558</stp>
        <stp>2019-12-31</stp>
        <stp>2</stp>
        <tr r="L2379" s="1"/>
      </tp>
      <tp>
        <v>8663880000</v>
        <stp/>
        <stp>EM_HKS_VAL_MV</stp>
        <stp>3</stp>
        <stp>601858</stp>
        <stp>2019-12-31</stp>
        <stp>2</stp>
        <tr r="L1108" s="1"/>
      </tp>
      <tp>
        <v>25845101244</v>
        <stp/>
        <stp>EM_HKS_VAL_MV</stp>
        <stp>3</stp>
        <stp>601958</stp>
        <stp>2019-12-31</stp>
        <stp>2</stp>
        <tr r="L799" s="1"/>
      </tp>
      <tp>
        <v>4458820465.1999998</v>
        <stp/>
        <stp>EM_HKS_VAL_MV</stp>
        <stp>3</stp>
        <stp>002039</stp>
        <stp>2019-12-31</stp>
        <stp>2</stp>
        <tr r="L3614" s="1"/>
      </tp>
      <tp>
        <v>5664393275.6400003</v>
        <stp/>
        <stp>EM_HKS_VAL_MV</stp>
        <stp>3</stp>
        <stp>002139</stp>
        <stp>2019-12-31</stp>
        <stp>2</stp>
        <tr r="L684" s="1"/>
      </tp>
      <tp>
        <v>5573819762.2600002</v>
        <stp/>
        <stp>EM_HKS_VAL_MV</stp>
        <stp>3</stp>
        <stp>002239</stp>
        <stp>2019-12-31</stp>
        <stp>2</stp>
        <tr r="L2868" s="1"/>
      </tp>
      <tp>
        <v>3296022912</v>
        <stp/>
        <stp>EM_HKS_VAL_MV</stp>
        <stp>3</stp>
        <stp>002339</stp>
        <stp>2019-12-31</stp>
        <stp>2</stp>
        <tr r="L1989" s="1"/>
      </tp>
      <tp>
        <v>30308501945.799999</v>
        <stp/>
        <stp>EM_HKS_VAL_MV</stp>
        <stp>3</stp>
        <stp>002439</stp>
        <stp>2019-12-31</stp>
        <stp>2</stp>
        <tr r="L349" s="1"/>
      </tp>
      <tp>
        <v>4959591000</v>
        <stp/>
        <stp>EM_HKS_VAL_MV</stp>
        <stp>3</stp>
        <stp>002539</stp>
        <stp>2019-12-31</stp>
        <stp>2</stp>
        <tr r="L1332" s="1"/>
      </tp>
      <tp>
        <v>5743099974.8400002</v>
        <stp/>
        <stp>EM_HKS_VAL_MV</stp>
        <stp>3</stp>
        <stp>002639</stp>
        <stp>2019-12-31</stp>
        <stp>2</stp>
        <tr r="L434" s="1"/>
      </tp>
      <tp>
        <v>37723473427.199997</v>
        <stp/>
        <stp>EM_HKS_VAL_MV</stp>
        <stp>3</stp>
        <stp>002739</stp>
        <stp>2019-12-31</stp>
        <stp>2</stp>
        <tr r="L2975" s="1"/>
      </tp>
      <tp>
        <v>10736928223.559999</v>
        <stp/>
        <stp>EM_HKS_VAL_MV</stp>
        <stp>3</stp>
        <stp>002839</stp>
        <stp>2019-12-31</stp>
        <stp>2</stp>
        <tr r="L1722" s="1"/>
      </tp>
      <tp>
        <v>2820000000</v>
        <stp/>
        <stp>EM_HKS_VAL_MV</stp>
        <stp>3</stp>
        <stp>603059</stp>
        <stp>2019-12-31</stp>
        <stp>2</stp>
        <tr r="L2986" s="1"/>
      </tp>
      <tp>
        <v>1619800000</v>
        <stp/>
        <stp>EM_HKS_VAL_MV</stp>
        <stp>3</stp>
        <stp>603159</stp>
        <stp>2019-12-31</stp>
        <stp>2</stp>
        <tr r="L3276" s="1"/>
      </tp>
      <tp>
        <v>152101776035.72</v>
        <stp/>
        <stp>EM_HKS_VAL_MV</stp>
        <stp>3</stp>
        <stp>603259</stp>
        <stp>2019-12-31</stp>
        <stp>2</stp>
        <tr r="L1205" s="1"/>
      </tp>
      <tp>
        <v>4776413600</v>
        <stp/>
        <stp>EM_HKS_VAL_MV</stp>
        <stp>3</stp>
        <stp>603359</stp>
        <stp>2019-12-31</stp>
        <stp>2</stp>
        <tr r="L2716" s="1"/>
      </tp>
      <tp>
        <v>2549541952.5300002</v>
        <stp/>
        <stp>EM_HKS_VAL_MV</stp>
        <stp>3</stp>
        <stp>603559</stp>
        <stp>2019-12-31</stp>
        <stp>2</stp>
        <tr r="L3183" s="1"/>
      </tp>
      <tp>
        <v>37058882608.150002</v>
        <stp/>
        <stp>EM_HKS_VAL_MV</stp>
        <stp>3</stp>
        <stp>603659</stp>
        <stp>2019-12-31</stp>
        <stp>2</stp>
        <tr r="L241" s="1"/>
      </tp>
      <tp>
        <v>3840603342</v>
        <stp/>
        <stp>EM_HKS_VAL_MV</stp>
        <stp>3</stp>
        <stp>603859</stp>
        <stp>2019-12-31</stp>
        <stp>2</stp>
        <tr r="L443" s="1"/>
      </tp>
      <tp>
        <v>4434304000</v>
        <stp/>
        <stp>EM_HKS_VAL_MV</stp>
        <stp>3</stp>
        <stp>603959</stp>
        <stp>2019-12-31</stp>
        <stp>2</stp>
        <tr r="L3275" s="1"/>
      </tp>
      <tp>
        <v>35199833031.239998</v>
        <stp/>
        <stp>EM_HKS_VAL_MV</stp>
        <stp>3</stp>
        <stp>000039</stp>
        <stp>2019-12-31</stp>
        <stp>2</stp>
        <tr r="L1426" s="1"/>
      </tp>
      <tp>
        <v>15849326053.620001</v>
        <stp/>
        <stp>EM_HKS_VAL_MV</stp>
        <stp>3</stp>
        <stp>300009</stp>
        <stp>2019-12-31</stp>
        <stp>2</stp>
        <tr r="L1660" s="1"/>
      </tp>
      <tp>
        <v>6880540644.1499996</v>
        <stp/>
        <stp>EM_HKS_VAL_MV</stp>
        <stp>3</stp>
        <stp>600059</stp>
        <stp>2019-12-31</stp>
        <stp>2</stp>
        <tr r="L979" s="1"/>
      </tp>
      <tp>
        <v>5288639251.71</v>
        <stp/>
        <stp>EM_HKS_VAL_MV</stp>
        <stp>3</stp>
        <stp>300109</stp>
        <stp>2019-12-31</stp>
        <stp>2</stp>
        <tr r="L1364" s="1"/>
      </tp>
      <tp>
        <v>2116508241.5999999</v>
        <stp/>
        <stp>EM_HKS_VAL_MV</stp>
        <stp>3</stp>
        <stp>600159</stp>
        <stp>2019-12-31</stp>
        <stp>2</stp>
        <tr r="L1961" s="1"/>
      </tp>
      <tp>
        <v>6081441333.6000004</v>
        <stp/>
        <stp>EM_HKS_VAL_MV</stp>
        <stp>3</stp>
        <stp>300209</stp>
        <stp>2019-12-31</stp>
        <stp>2</stp>
        <tr r="L866" s="1"/>
      </tp>
      <tp>
        <v>10493665658.07</v>
        <stp/>
        <stp>EM_HKS_VAL_MV</stp>
        <stp>3</stp>
        <stp>600259</stp>
        <stp>2019-12-31</stp>
        <stp>2</stp>
        <tr r="L486" s="1"/>
      </tp>
      <tp>
        <v>4173642933.1500001</v>
        <stp/>
        <stp>EM_HKS_VAL_MV</stp>
        <stp>3</stp>
        <stp>300309</stp>
        <stp>2019-12-31</stp>
        <stp>2</stp>
        <tr r="L3321" s="1"/>
      </tp>
      <tp>
        <v>2086875125.4000001</v>
        <stp/>
        <stp>EM_HKS_VAL_MV</stp>
        <stp>3</stp>
        <stp>600359</stp>
        <stp>2019-12-31</stp>
        <stp>2</stp>
        <tr r="L997" s="1"/>
      </tp>
      <tp>
        <v>6223651088.8199997</v>
        <stp/>
        <stp>EM_HKS_VAL_MV</stp>
        <stp>3</stp>
        <stp>300409</stp>
        <stp>2019-12-31</stp>
        <stp>2</stp>
        <tr r="L2377" s="1"/>
      </tp>
      <tp>
        <v>6609390966.1000004</v>
        <stp/>
        <stp>EM_HKS_VAL_MV</stp>
        <stp>3</stp>
        <stp>600459</stp>
        <stp>2019-12-31</stp>
        <stp>2</stp>
        <tr r="L755" s="1"/>
      </tp>
      <tp>
        <v>21526164342.599998</v>
        <stp/>
        <stp>EM_HKS_VAL_MV</stp>
        <stp>3</stp>
        <stp>000539</stp>
        <stp>2019-12-31</stp>
        <stp>2</stp>
        <tr r="L2832" s="1"/>
      </tp>
      <tp>
        <v>2097600000</v>
        <stp/>
        <stp>EM_HKS_VAL_MV</stp>
        <stp>3</stp>
        <stp>300509</stp>
        <stp>2019-12-31</stp>
        <stp>2</stp>
        <tr r="L3148" s="1"/>
      </tp>
      <tp>
        <v>10085510870.559999</v>
        <stp/>
        <stp>EM_HKS_VAL_MV</stp>
        <stp>3</stp>
        <stp>600559</stp>
        <stp>2019-12-31</stp>
        <stp>2</stp>
        <tr r="L2704" s="1"/>
      </tp>
      <tp>
        <v>4889809270.3500004</v>
        <stp/>
        <stp>EM_HKS_VAL_MV</stp>
        <stp>3</stp>
        <stp>000639</stp>
        <stp>2019-12-31</stp>
        <stp>2</stp>
        <tr r="L3211" s="1"/>
      </tp>
      <tp>
        <v>3746364566.0799999</v>
        <stp/>
        <stp>EM_HKS_VAL_MV</stp>
        <stp>3</stp>
        <stp>300609</stp>
        <stp>2019-12-31</stp>
        <stp>2</stp>
        <tr r="L784" s="1"/>
      </tp>
      <tp>
        <v>1266774626.6099999</v>
        <stp/>
        <stp>EM_HKS_VAL_MV</stp>
        <stp>3</stp>
        <stp>600659</stp>
        <stp>2019-12-31</stp>
        <stp>2</stp>
        <tr r="L2324" s="1"/>
      </tp>
      <tp>
        <v>15285449691.24</v>
        <stp/>
        <stp>EM_HKS_VAL_MV</stp>
        <stp>3</stp>
        <stp>000739</stp>
        <stp>2019-12-31</stp>
        <stp>2</stp>
        <tr r="L340" s="1"/>
      </tp>
      <tp>
        <v>8666798805</v>
        <stp/>
        <stp>EM_HKS_VAL_MV</stp>
        <stp>3</stp>
        <stp>300709</stp>
        <stp>2019-12-31</stp>
        <stp>2</stp>
        <tr r="L30" s="1"/>
      </tp>
      <tp>
        <v>6269915824.8599997</v>
        <stp/>
        <stp>EM_HKS_VAL_MV</stp>
        <stp>3</stp>
        <stp>600759</stp>
        <stp>2019-12-31</stp>
        <stp>2</stp>
        <tr r="L1390" s="1"/>
      </tp>
      <tp>
        <v>13876185286.08</v>
        <stp/>
        <stp>EM_HKS_VAL_MV</stp>
        <stp>3</stp>
        <stp>000839</stp>
        <stp>2019-12-31</stp>
        <stp>2</stp>
        <tr r="L3555" s="1"/>
      </tp>
      <tp>
        <v>10859742396.5</v>
        <stp/>
        <stp>EM_HKS_VAL_MV</stp>
        <stp>3</stp>
        <stp>600859</stp>
        <stp>2019-12-31</stp>
        <stp>2</stp>
        <tr r="L2086" s="1"/>
      </tp>
      <tp>
        <v>4126075268.6999998</v>
        <stp/>
        <stp>EM_HKS_VAL_MV</stp>
        <stp>3</stp>
        <stp>000939</stp>
        <stp>2019-12-31</stp>
        <stp>2</stp>
        <tr r="L3583" s="1"/>
      </tp>
      <tp>
        <v>19902856390.279999</v>
        <stp/>
        <stp>EM_HKS_VAL_MV</stp>
        <stp>3</stp>
        <stp>600959</stp>
        <stp>2019-12-31</stp>
        <stp>2</stp>
        <tr r="L2509" s="1"/>
      </tp>
      <tp>
        <v>63045586689.800003</v>
        <stp/>
        <stp>EM_HKS_VAL_MV</stp>
        <stp>3</stp>
        <stp>002032</stp>
        <stp>2019-12-31</stp>
        <stp>2</stp>
        <tr r="L638" s="1"/>
      </tp>
      <tp>
        <v>3907710033.3299999</v>
        <stp/>
        <stp>EM_HKS_VAL_MV</stp>
        <stp>3</stp>
        <stp>002132</stp>
        <stp>2019-12-31</stp>
        <stp>2</stp>
        <tr r="L1461" s="1"/>
      </tp>
      <tp>
        <v>3550286073.9499998</v>
        <stp/>
        <stp>EM_HKS_VAL_MV</stp>
        <stp>3</stp>
        <stp>002232</stp>
        <stp>2019-12-31</stp>
        <stp>2</stp>
        <tr r="L1004" s="1"/>
      </tp>
      <tp>
        <v>9043014078.4200001</v>
        <stp/>
        <stp>EM_HKS_VAL_MV</stp>
        <stp>3</stp>
        <stp>002332</stp>
        <stp>2019-12-31</stp>
        <stp>2</stp>
        <tr r="L458" s="1"/>
      </tp>
      <tp>
        <v>2198654078.6799998</v>
        <stp/>
        <stp>EM_HKS_VAL_MV</stp>
        <stp>3</stp>
        <stp>002432</stp>
        <stp>2019-12-31</stp>
        <stp>2</stp>
        <tr r="L2464" s="1"/>
      </tp>
      <tp>
        <v>3033572538.6900001</v>
        <stp/>
        <stp>EM_HKS_VAL_MV</stp>
        <stp>3</stp>
        <stp>002532</stp>
        <stp>2019-12-31</stp>
        <stp>2</stp>
        <tr r="L1275" s="1"/>
      </tp>
      <tp>
        <v>4615787275.1000004</v>
        <stp/>
        <stp>EM_HKS_VAL_MV</stp>
        <stp>3</stp>
        <stp>002632</stp>
        <stp>2019-12-31</stp>
        <stp>2</stp>
        <tr r="L1891" s="1"/>
      </tp>
      <tp>
        <v>3458553000</v>
        <stp/>
        <stp>EM_HKS_VAL_MV</stp>
        <stp>3</stp>
        <stp>002732</stp>
        <stp>2019-12-31</stp>
        <stp>2</stp>
        <tr r="L992" s="1"/>
      </tp>
      <tp>
        <v>8005935511</v>
        <stp/>
        <stp>EM_HKS_VAL_MV</stp>
        <stp>3</stp>
        <stp>002832</stp>
        <stp>2019-12-31</stp>
        <stp>2</stp>
        <tr r="L3123" s="1"/>
      </tp>
      <tp>
        <v>0</v>
        <stp/>
        <stp>EM_HKS_VAL_MV</stp>
        <stp>3</stp>
        <stp>000022</stp>
        <stp>2019-12-30</stp>
        <stp>2</stp>
        <tr r="L3" s="1"/>
      </tp>
      <tp>
        <v>5867719186.1999998</v>
        <stp/>
        <stp>EM_HKS_VAL_MV</stp>
        <stp>3</stp>
        <stp>000032</stp>
        <stp>2019-12-31</stp>
        <stp>2</stp>
        <tr r="L158" s="1"/>
      </tp>
      <tp>
        <v>6393159867.8400002</v>
        <stp/>
        <stp>EM_HKS_VAL_MV</stp>
        <stp>3</stp>
        <stp>300002</stp>
        <stp>2019-12-31</stp>
        <stp>2</stp>
        <tr r="L2398" s="1"/>
      </tp>
      <tp>
        <v>3923050914</v>
        <stp/>
        <stp>EM_HKS_VAL_MV</stp>
        <stp>3</stp>
        <stp>600052</stp>
        <stp>2019-12-31</stp>
        <stp>2</stp>
        <tr r="L481" s="1"/>
      </tp>
      <tp>
        <v>3360700102.25</v>
        <stp/>
        <stp>EM_HKS_VAL_MV</stp>
        <stp>3</stp>
        <stp>300102</stp>
        <stp>2019-12-31</stp>
        <stp>2</stp>
        <tr r="L3006" s="1"/>
      </tp>
      <tp>
        <v>2845419788.1199999</v>
        <stp/>
        <stp>EM_HKS_VAL_MV</stp>
        <stp>3</stp>
        <stp>600152</stp>
        <stp>2019-12-31</stp>
        <stp>2</stp>
        <tr r="L1376" s="1"/>
      </tp>
      <tp>
        <v>6126969600</v>
        <stp/>
        <stp>EM_HKS_VAL_MV</stp>
        <stp>3</stp>
        <stp>300202</stp>
        <stp>2019-12-31</stp>
        <stp>2</stp>
        <tr r="L299" s="1"/>
      </tp>
      <tp>
        <v>11328849299.219999</v>
        <stp/>
        <stp>EM_HKS_VAL_MV</stp>
        <stp>3</stp>
        <stp>600252</stp>
        <stp>2019-12-31</stp>
        <stp>2</stp>
        <tr r="L1069" s="1"/>
      </tp>
      <tp>
        <v>5583602856.96</v>
        <stp/>
        <stp>EM_HKS_VAL_MV</stp>
        <stp>3</stp>
        <stp>300302</stp>
        <stp>2019-12-31</stp>
        <stp>2</stp>
        <tr r="L343" s="1"/>
      </tp>
      <tp>
        <v>47075712014.199997</v>
        <stp/>
        <stp>EM_HKS_VAL_MV</stp>
        <stp>3</stp>
        <stp>600352</stp>
        <stp>2019-12-31</stp>
        <stp>2</stp>
        <tr r="L572" s="1"/>
      </tp>
      <tp>
        <v>1860420000</v>
        <stp/>
        <stp>EM_HKS_VAL_MV</stp>
        <stp>3</stp>
        <stp>300402</stp>
        <stp>2019-12-31</stp>
        <stp>2</stp>
        <tr r="L1278" s="1"/>
      </tp>
      <tp>
        <v>5785920000</v>
        <stp/>
        <stp>EM_HKS_VAL_MV</stp>
        <stp>3</stp>
        <stp>600452</stp>
        <stp>2019-12-31</stp>
        <stp>2</stp>
        <tr r="L1428" s="1"/>
      </tp>
      <tp>
        <v>4098582162.5999999</v>
        <stp/>
        <stp>EM_HKS_VAL_MV</stp>
        <stp>3</stp>
        <stp>000532</stp>
        <stp>2019-12-31</stp>
        <stp>2</stp>
        <tr r="L1180" s="1"/>
      </tp>
      <tp>
        <v>9491470281</v>
        <stp/>
        <stp>EM_HKS_VAL_MV</stp>
        <stp>3</stp>
        <stp>300502</stp>
        <stp>2019-12-31</stp>
        <stp>2</stp>
        <tr r="L171" s="1"/>
      </tp>
      <tp>
        <v>4491637937.6400003</v>
        <stp/>
        <stp>EM_HKS_VAL_MV</stp>
        <stp>3</stp>
        <stp>600552</stp>
        <stp>2019-12-31</stp>
        <stp>2</stp>
        <tr r="L420" s="1"/>
      </tp>
      <tp>
        <v>3011911617.9000001</v>
        <stp/>
        <stp>EM_HKS_VAL_MV</stp>
        <stp>3</stp>
        <stp>000632</stp>
        <stp>2019-12-31</stp>
        <stp>2</stp>
        <tr r="L438" s="1"/>
      </tp>
      <tp>
        <v>12985084800</v>
        <stp/>
        <stp>EM_HKS_VAL_MV</stp>
        <stp>3</stp>
        <stp>300602</stp>
        <stp>2019-12-31</stp>
        <stp>2</stp>
        <tr r="L1016" s="1"/>
      </tp>
      <tp>
        <v>1931872115.3599999</v>
        <stp/>
        <stp>EM_HKS_VAL_MV</stp>
        <stp>3</stp>
        <stp>600652</stp>
        <stp>2019-12-31</stp>
        <stp>2</stp>
        <tr r="L3367" s="1"/>
      </tp>
      <tp>
        <v>15306743856</v>
        <stp/>
        <stp>EM_HKS_VAL_MV</stp>
        <stp>3</stp>
        <stp>000732</stp>
        <stp>2019-12-31</stp>
        <stp>2</stp>
        <tr r="L3385" s="1"/>
      </tp>
      <tp>
        <v>9133829906.8799992</v>
        <stp/>
        <stp>EM_HKS_VAL_MV</stp>
        <stp>3</stp>
        <stp>300702</stp>
        <stp>2019-12-31</stp>
        <stp>2</stp>
        <tr r="L105" s="1"/>
      </tp>
      <tp>
        <v>284309867.51999998</v>
        <stp/>
        <stp>EM_HKS_VAL_MV</stp>
        <stp>3</stp>
        <stp>600752</stp>
        <stp>2019-12-31</stp>
        <stp>2</stp>
        <tr r="L2319" s="1"/>
      </tp>
      <tp>
        <v>510501170.85000002</v>
        <stp/>
        <stp>EM_HKS_VAL_MV</stp>
        <stp>3</stp>
        <stp>000832</stp>
        <stp>2019-12-31</stp>
        <stp>2</stp>
        <tr r="L3552" s="1"/>
      </tp>
      <tp>
        <v>118302193.44</v>
        <stp/>
        <stp>EM_HKS_VAL_MV</stp>
        <stp>3</stp>
        <stp>600852</stp>
        <stp>2019-12-31</stp>
        <stp>2</stp>
        <tr r="L2331" s="1"/>
      </tp>
      <tp>
        <v>20180729967.299999</v>
        <stp/>
        <stp>EM_HKS_VAL_MV</stp>
        <stp>3</stp>
        <stp>000932</stp>
        <stp>2019-12-31</stp>
        <stp>2</stp>
        <tr r="L3096" s="1"/>
      </tp>
      <tp>
        <v>9632220000</v>
        <stp/>
        <stp>EM_HKS_VAL_MV</stp>
        <stp>3</stp>
        <stp>601952</stp>
        <stp>2019-12-31</stp>
        <stp>2</stp>
        <tr r="L2012" s="1"/>
      </tp>
      <tp>
        <v>3434316943.75</v>
        <stp/>
        <stp>EM_HKS_VAL_MV</stp>
        <stp>3</stp>
        <stp>002033</stp>
        <stp>2019-12-31</stp>
        <stp>2</stp>
        <tr r="L3611" s="1"/>
      </tp>
      <tp>
        <v>2562417219.25</v>
        <stp/>
        <stp>EM_HKS_VAL_MV</stp>
        <stp>3</stp>
        <stp>002133</stp>
        <stp>2019-12-31</stp>
        <stp>2</stp>
        <tr r="L2546" s="1"/>
      </tp>
      <tp>
        <v>15022665201.6</v>
        <stp/>
        <stp>EM_HKS_VAL_MV</stp>
        <stp>3</stp>
        <stp>002233</stp>
        <stp>2019-12-31</stp>
        <stp>2</stp>
        <tr r="L1157" s="1"/>
      </tp>
      <tp>
        <v>2261716200</v>
        <stp/>
        <stp>EM_HKS_VAL_MV</stp>
        <stp>3</stp>
        <stp>002333</stp>
        <stp>2019-12-31</stp>
        <stp>2</stp>
        <tr r="L3105" s="1"/>
      </tp>
      <tp>
        <v>3519488988</v>
        <stp/>
        <stp>EM_HKS_VAL_MV</stp>
        <stp>3</stp>
        <stp>002433</stp>
        <stp>2019-12-31</stp>
        <stp>2</stp>
        <tr r="L2500" s="1"/>
      </tp>
      <tp>
        <v>2837204001.5999999</v>
        <stp/>
        <stp>EM_HKS_VAL_MV</stp>
        <stp>3</stp>
        <stp>002533</stp>
        <stp>2019-12-31</stp>
        <stp>2</stp>
        <tr r="L1582" s="1"/>
      </tp>
      <tp>
        <v>1272000000</v>
        <stp/>
        <stp>EM_HKS_VAL_MV</stp>
        <stp>3</stp>
        <stp>002633</stp>
        <stp>2019-12-31</stp>
        <stp>2</stp>
        <tr r="L2033" s="1"/>
      </tp>
      <tp>
        <v>9411043004.1599998</v>
        <stp/>
        <stp>EM_HKS_VAL_MV</stp>
        <stp>3</stp>
        <stp>002733</stp>
        <stp>2019-12-31</stp>
        <stp>2</stp>
        <tr r="L67" s="1"/>
      </tp>
      <tp>
        <v>5380137301</v>
        <stp/>
        <stp>EM_HKS_VAL_MV</stp>
        <stp>3</stp>
        <stp>002833</stp>
        <stp>2019-12-31</stp>
        <stp>2</stp>
        <tr r="L1553" s="1"/>
      </tp>
      <tp>
        <v>730524059.5</v>
        <stp/>
        <stp>EM_HKS_VAL_MV</stp>
        <stp>3</stp>
        <stp>000033</stp>
        <stp>2019-12-31</stp>
        <stp>2</stp>
        <tr r="L2275" s="1"/>
      </tp>
      <tp>
        <v>58937078626.68</v>
        <stp/>
        <stp>EM_HKS_VAL_MV</stp>
        <stp>3</stp>
        <stp>300003</stp>
        <stp>2019-12-31</stp>
        <stp>2</stp>
        <tr r="L508" s="1"/>
      </tp>
      <tp>
        <v>11024942544</v>
        <stp/>
        <stp>EM_HKS_VAL_MV</stp>
        <stp>3</stp>
        <stp>600053</stp>
        <stp>2019-12-31</stp>
        <stp>2</stp>
        <tr r="L2410" s="1"/>
      </tp>
      <tp>
        <v>2960041320</v>
        <stp/>
        <stp>EM_HKS_VAL_MV</stp>
        <stp>3</stp>
        <stp>300103</stp>
        <stp>2019-12-31</stp>
        <stp>2</stp>
        <tr r="L1115" s="1"/>
      </tp>
      <tp>
        <v>25488452764.700001</v>
        <stp/>
        <stp>EM_HKS_VAL_MV</stp>
        <stp>3</stp>
        <stp>600153</stp>
        <stp>2019-12-31</stp>
        <stp>2</stp>
        <tr r="L1100" s="1"/>
      </tp>
      <tp>
        <v>7561565754</v>
        <stp/>
        <stp>EM_HKS_VAL_MV</stp>
        <stp>3</stp>
        <stp>300203</stp>
        <stp>2019-12-31</stp>
        <stp>2</stp>
        <tr r="L3273" s="1"/>
      </tp>
      <tp>
        <v>2629200000</v>
        <stp/>
        <stp>EM_HKS_VAL_MV</stp>
        <stp>3</stp>
        <stp>600253</stp>
        <stp>2019-12-31</stp>
        <stp>2</stp>
        <tr r="L2296" s="1"/>
      </tp>
      <tp>
        <v>404191101788.75</v>
        <stp/>
        <stp>EM_HKS_VAL_MV</stp>
        <stp>3</stp>
        <stp>000333</stp>
        <stp>2019-12-31</stp>
        <stp>2</stp>
        <tr r="L444" s="1"/>
      </tp>
      <tp>
        <v>7173151095.9899998</v>
        <stp/>
        <stp>EM_HKS_VAL_MV</stp>
        <stp>3</stp>
        <stp>300303</stp>
        <stp>2019-12-31</stp>
        <stp>2</stp>
        <tr r="L104" s="1"/>
      </tp>
      <tp>
        <v>3050269200</v>
        <stp/>
        <stp>EM_HKS_VAL_MV</stp>
        <stp>3</stp>
        <stp>600353</stp>
        <stp>2019-12-31</stp>
        <stp>2</stp>
        <tr r="L716" s="1"/>
      </tp>
      <tp>
        <v>3087360000</v>
        <stp/>
        <stp>EM_HKS_VAL_MV</stp>
        <stp>3</stp>
        <stp>300403</stp>
        <stp>2019-12-31</stp>
        <stp>2</stp>
        <tr r="L2252" s="1"/>
      </tp>
      <tp>
        <v>1899744000</v>
        <stp/>
        <stp>EM_HKS_VAL_MV</stp>
        <stp>3</stp>
        <stp>000533</stp>
        <stp>2019-12-31</stp>
        <stp>2</stp>
        <tr r="L3445" s="1"/>
      </tp>
      <tp>
        <v>3342551577.5300002</v>
        <stp/>
        <stp>EM_HKS_VAL_MV</stp>
        <stp>3</stp>
        <stp>300503</stp>
        <stp>2019-12-31</stp>
        <stp>2</stp>
        <tr r="L978" s="1"/>
      </tp>
      <tp>
        <v>5692400000</v>
        <stp/>
        <stp>EM_HKS_VAL_MV</stp>
        <stp>3</stp>
        <stp>600553</stp>
        <stp>2019-12-31</stp>
        <stp>2</stp>
        <tr r="L2304" s="1"/>
      </tp>
      <tp>
        <v>1594340384.22</v>
        <stp/>
        <stp>EM_HKS_VAL_MV</stp>
        <stp>3</stp>
        <stp>000633</stp>
        <stp>2019-12-31</stp>
        <stp>2</stp>
        <tr r="L2730" s="1"/>
      </tp>
      <tp>
        <v>4943786614.2200003</v>
        <stp/>
        <stp>EM_HKS_VAL_MV</stp>
        <stp>3</stp>
        <stp>300603</stp>
        <stp>2019-12-31</stp>
        <stp>2</stp>
        <tr r="L3173" s="1"/>
      </tp>
      <tp>
        <v>3970615846.6799998</v>
        <stp/>
        <stp>EM_HKS_VAL_MV</stp>
        <stp>3</stp>
        <stp>600653</stp>
        <stp>2019-12-31</stp>
        <stp>2</stp>
        <tr r="L1829" s="1"/>
      </tp>
      <tp>
        <v>8828916348.7000008</v>
        <stp/>
        <stp>EM_HKS_VAL_MV</stp>
        <stp>3</stp>
        <stp>000733</stp>
        <stp>2019-12-31</stp>
        <stp>2</stp>
        <tr r="L3522" s="1"/>
      </tp>
      <tp>
        <v>2194255808</v>
        <stp/>
        <stp>EM_HKS_VAL_MV</stp>
        <stp>3</stp>
        <stp>300703</stp>
        <stp>2019-12-31</stp>
        <stp>2</stp>
        <tr r="L3050" s="1"/>
      </tp>
      <tp>
        <v>1991680000</v>
        <stp/>
        <stp>EM_HKS_VAL_MV</stp>
        <stp>3</stp>
        <stp>600753</stp>
        <stp>2019-12-31</stp>
        <stp>2</stp>
        <tr r="L1909" s="1"/>
      </tp>
      <tp>
        <v>3362061310.5300002</v>
        <stp/>
        <stp>EM_HKS_VAL_MV</stp>
        <stp>3</stp>
        <stp>000833</stp>
        <stp>2019-12-31</stp>
        <stp>2</stp>
        <tr r="L1707" s="1"/>
      </tp>
      <tp>
        <v>2662989096.9000001</v>
        <stp/>
        <stp>EM_HKS_VAL_MV</stp>
        <stp>3</stp>
        <stp>600853</stp>
        <stp>2019-12-31</stp>
        <stp>2</stp>
        <tr r="L2699" s="1"/>
      </tp>
      <tp>
        <v>10414740000</v>
        <stp/>
        <stp>EM_HKS_VAL_MV</stp>
        <stp>3</stp>
        <stp>000933</stp>
        <stp>2019-12-31</stp>
        <stp>2</stp>
        <tr r="L3581" s="1"/>
      </tp>
      <tp>
        <v>9170243968.5</v>
        <stp/>
        <stp>EM_HKS_VAL_MV</stp>
        <stp>3</stp>
        <stp>002030</stp>
        <stp>2019-12-31</stp>
        <stp>2</stp>
        <tr r="L3610" s="1"/>
      </tp>
      <tp>
        <v>6219376326.2799997</v>
        <stp/>
        <stp>EM_HKS_VAL_MV</stp>
        <stp>3</stp>
        <stp>002130</stp>
        <stp>2019-12-31</stp>
        <stp>2</stp>
        <tr r="L517" s="1"/>
      </tp>
      <tp>
        <v>75806868310.160004</v>
        <stp/>
        <stp>EM_HKS_VAL_MV</stp>
        <stp>3</stp>
        <stp>002230</stp>
        <stp>2019-12-31</stp>
        <stp>2</stp>
        <tr r="L734" s="1"/>
      </tp>
      <tp>
        <v>3885480000</v>
        <stp/>
        <stp>EM_HKS_VAL_MV</stp>
        <stp>3</stp>
        <stp>002330</stp>
        <stp>2019-12-31</stp>
        <stp>2</stp>
        <tr r="L253" s="1"/>
      </tp>
      <tp>
        <v>12983566838.42</v>
        <stp/>
        <stp>EM_HKS_VAL_MV</stp>
        <stp>3</stp>
        <stp>002430</stp>
        <stp>2019-12-31</stp>
        <stp>2</stp>
        <tr r="L751" s="1"/>
      </tp>
      <tp>
        <v>9015322884.75</v>
        <stp/>
        <stp>EM_HKS_VAL_MV</stp>
        <stp>3</stp>
        <stp>002530</stp>
        <stp>2019-12-31</stp>
        <stp>2</stp>
        <tr r="L250" s="1"/>
      </tp>
      <tp>
        <v>2822112000</v>
        <stp/>
        <stp>EM_HKS_VAL_MV</stp>
        <stp>3</stp>
        <stp>002630</stp>
        <stp>2019-12-31</stp>
        <stp>2</stp>
        <tr r="L2954" s="1"/>
      </tp>
      <tp>
        <v>2613659400</v>
        <stp/>
        <stp>EM_HKS_VAL_MV</stp>
        <stp>3</stp>
        <stp>002730</stp>
        <stp>2019-12-31</stp>
        <stp>2</stp>
        <tr r="L1216" s="1"/>
      </tp>
      <tp>
        <v>1885427600</v>
        <stp/>
        <stp>EM_HKS_VAL_MV</stp>
        <stp>3</stp>
        <stp>002830</stp>
        <stp>2019-12-31</stp>
        <stp>2</stp>
        <tr r="L2632" s="1"/>
      </tp>
      <tp>
        <v>5126588970.1599998</v>
        <stp/>
        <stp>EM_HKS_VAL_MV</stp>
        <stp>3</stp>
        <stp>002930</stp>
        <stp>2019-12-31</stp>
        <stp>2</stp>
        <tr r="L3331" s="1"/>
      </tp>
      <tp>
        <v>1808803175</v>
        <stp/>
        <stp>EM_HKS_VAL_MV</stp>
        <stp>3</stp>
        <stp>603050</stp>
        <stp>2019-12-31</stp>
        <stp>2</stp>
        <tr r="L2950" s="1"/>
      </tp>
      <tp>
        <v>10207902250</v>
        <stp/>
        <stp>EM_HKS_VAL_MV</stp>
        <stp>3</stp>
        <stp>603650</stp>
        <stp>2019-12-31</stp>
        <stp>2</stp>
        <tr r="L2848" s="1"/>
      </tp>
      <tp>
        <v>8618228048.3600006</v>
        <stp/>
        <stp>EM_HKS_VAL_MV</stp>
        <stp>3</stp>
        <stp>000030</stp>
        <stp>2019-12-31</stp>
        <stp>2</stp>
        <tr r="L883" s="1"/>
      </tp>
      <tp>
        <v>182788526496.42999</v>
        <stp/>
        <stp>EM_HKS_VAL_MV</stp>
        <stp>3</stp>
        <stp>600050</stp>
        <stp>2019-12-31</stp>
        <stp>2</stp>
        <tr r="L1536" s="1"/>
      </tp>
      <tp>
        <v>2730268363.6799998</v>
        <stp/>
        <stp>EM_HKS_VAL_MV</stp>
        <stp>3</stp>
        <stp>300100</stp>
        <stp>2019-12-31</stp>
        <stp>2</stp>
        <tr r="L3326" s="1"/>
      </tp>
      <tp>
        <v>29987838932.48</v>
        <stp/>
        <stp>EM_HKS_VAL_MV</stp>
        <stp>3</stp>
        <stp>600150</stp>
        <stp>2019-12-31</stp>
        <stp>2</stp>
        <tr r="L395" s="1"/>
      </tp>
      <tp>
        <v>3346321596.0500002</v>
        <stp/>
        <stp>EM_HKS_VAL_MV</stp>
        <stp>3</stp>
        <stp>300200</stp>
        <stp>2019-12-31</stp>
        <stp>2</stp>
        <tr r="L246" s="1"/>
      </tp>
      <tp>
        <v>2006436458.3399999</v>
        <stp/>
        <stp>EM_HKS_VAL_MV</stp>
        <stp>3</stp>
        <stp>600250</stp>
        <stp>2019-12-31</stp>
        <stp>2</stp>
        <tr r="L3043" s="1"/>
      </tp>
      <tp>
        <v>7255021984.7600002</v>
        <stp/>
        <stp>EM_HKS_VAL_MV</stp>
        <stp>3</stp>
        <stp>300300</stp>
        <stp>2019-12-31</stp>
        <stp>2</stp>
        <tr r="L2824" s="1"/>
      </tp>
      <tp>
        <v>23622824357.869999</v>
        <stp/>
        <stp>EM_HKS_VAL_MV</stp>
        <stp>3</stp>
        <stp>600350</stp>
        <stp>2019-12-31</stp>
        <stp>2</stp>
        <tr r="L1896" s="1"/>
      </tp>
      <tp>
        <v>2109100144.0599999</v>
        <stp/>
        <stp>EM_HKS_VAL_MV</stp>
        <stp>3</stp>
        <stp>000430</stp>
        <stp>2019-12-31</stp>
        <stp>2</stp>
        <tr r="L3426" s="1"/>
      </tp>
      <tp>
        <v>3501311030</v>
        <stp/>
        <stp>EM_HKS_VAL_MV</stp>
        <stp>3</stp>
        <stp>300400</stp>
        <stp>2019-12-31</stp>
        <stp>2</stp>
        <tr r="L2511" s="1"/>
      </tp>
      <tp>
        <v>3313825152.5100002</v>
        <stp/>
        <stp>EM_HKS_VAL_MV</stp>
        <stp>3</stp>
        <stp>000530</stp>
        <stp>2019-12-31</stp>
        <stp>2</stp>
        <tr r="L3444" s="1"/>
      </tp>
      <tp>
        <v>2629416403.02</v>
        <stp/>
        <stp>EM_HKS_VAL_MV</stp>
        <stp>3</stp>
        <stp>300500</stp>
        <stp>2019-12-31</stp>
        <stp>2</stp>
        <tr r="L3235" s="1"/>
      </tp>
      <tp>
        <v>5671907718.3999996</v>
        <stp/>
        <stp>EM_HKS_VAL_MV</stp>
        <stp>3</stp>
        <stp>600550</stp>
        <stp>2019-12-31</stp>
        <stp>2</stp>
        <tr r="L2983" s="1"/>
      </tp>
      <tp>
        <v>24526822607.639999</v>
        <stp/>
        <stp>EM_HKS_VAL_MV</stp>
        <stp>3</stp>
        <stp>000630</stp>
        <stp>2019-12-31</stp>
        <stp>2</stp>
        <tr r="L1285" s="1"/>
      </tp>
      <tp>
        <v>3032826138</v>
        <stp/>
        <stp>EM_HKS_VAL_MV</stp>
        <stp>3</stp>
        <stp>300600</stp>
        <stp>2019-12-31</stp>
        <stp>2</stp>
        <tr r="L3297" s="1"/>
      </tp>
      <tp>
        <v>5598842586.0500002</v>
        <stp/>
        <stp>EM_HKS_VAL_MV</stp>
        <stp>3</stp>
        <stp>600650</stp>
        <stp>2019-12-31</stp>
        <stp>2</stp>
        <tr r="L1878" s="1"/>
      </tp>
      <tp>
        <v>899164674.20000005</v>
        <stp/>
        <stp>EM_HKS_VAL_MV</stp>
        <stp>3</stp>
        <stp>000730</stp>
        <stp>2019-12-31</stp>
        <stp>2</stp>
        <tr r="L2278" s="1"/>
      </tp>
      <tp>
        <v>1664568799.2</v>
        <stp/>
        <stp>EM_HKS_VAL_MV</stp>
        <stp>3</stp>
        <stp>300700</stp>
        <stp>2019-12-31</stp>
        <stp>2</stp>
        <tr r="L3042" s="1"/>
      </tp>
      <tp>
        <v>6578250000</v>
        <stp/>
        <stp>EM_HKS_VAL_MV</stp>
        <stp>3</stp>
        <stp>600750</stp>
        <stp>2019-12-31</stp>
        <stp>2</stp>
        <tr r="L3185" s="1"/>
      </tp>
      <tp>
        <v>15395686776.780001</v>
        <stp/>
        <stp>EM_HKS_VAL_MV</stp>
        <stp>3</stp>
        <stp>000830</stp>
        <stp>2019-12-31</stp>
        <stp>2</stp>
        <tr r="L2036" s="1"/>
      </tp>
      <tp>
        <v>10824972502.08</v>
        <stp/>
        <stp>EM_HKS_VAL_MV</stp>
        <stp>3</stp>
        <stp>600850</stp>
        <stp>2019-12-31</stp>
        <stp>2</stp>
        <tr r="L441" s="1"/>
      </tp>
      <tp>
        <v>12194452888.200001</v>
        <stp/>
        <stp>EM_HKS_VAL_MV</stp>
        <stp>3</stp>
        <stp>000930</stp>
        <stp>2019-12-31</stp>
        <stp>2</stp>
        <tr r="L2797" s="1"/>
      </tp>
      <tp>
        <v>4354803426.6000004</v>
        <stp/>
        <stp>EM_HKS_VAL_MV</stp>
        <stp>3</stp>
        <stp>002031</stp>
        <stp>2019-12-31</stp>
        <stp>2</stp>
        <tr r="L1994" s="1"/>
      </tp>
      <tp>
        <v>19843883966.610001</v>
        <stp/>
        <stp>EM_HKS_VAL_MV</stp>
        <stp>3</stp>
        <stp>002131</stp>
        <stp>2019-12-31</stp>
        <stp>2</stp>
        <tr r="L178" s="1"/>
      </tp>
      <tp>
        <v>2497600000</v>
        <stp/>
        <stp>EM_HKS_VAL_MV</stp>
        <stp>3</stp>
        <stp>002231</stp>
        <stp>2019-12-31</stp>
        <stp>2</stp>
        <tr r="L2167" s="1"/>
      </tp>
      <tp>
        <v>4067155269.0300002</v>
        <stp/>
        <stp>EM_HKS_VAL_MV</stp>
        <stp>3</stp>
        <stp>002331</stp>
        <stp>2019-12-31</stp>
        <stp>2</stp>
        <tr r="L1715" s="1"/>
      </tp>
      <tp>
        <v>4535305622.5</v>
        <stp/>
        <stp>EM_HKS_VAL_MV</stp>
        <stp>3</stp>
        <stp>002431</stp>
        <stp>2019-12-31</stp>
        <stp>2</stp>
        <tr r="L2936" s="1"/>
      </tp>
      <tp>
        <v>11243400377.040001</v>
        <stp/>
        <stp>EM_HKS_VAL_MV</stp>
        <stp>3</stp>
        <stp>002531</stp>
        <stp>2019-12-31</stp>
        <stp>2</stp>
        <tr r="L787" s="1"/>
      </tp>
      <tp>
        <v>5385818464.6000004</v>
        <stp/>
        <stp>EM_HKS_VAL_MV</stp>
        <stp>3</stp>
        <stp>002631</stp>
        <stp>2019-12-31</stp>
        <stp>2</stp>
        <tr r="L1082" s="1"/>
      </tp>
      <tp>
        <v>1985209000</v>
        <stp/>
        <stp>EM_HKS_VAL_MV</stp>
        <stp>3</stp>
        <stp>002731</stp>
        <stp>2019-12-31</stp>
        <stp>2</stp>
        <tr r="L3386" s="1"/>
      </tp>
      <tp>
        <v>23286968254.799999</v>
        <stp/>
        <stp>EM_HKS_VAL_MV</stp>
        <stp>3</stp>
        <stp>002831</stp>
        <stp>2019-12-31</stp>
        <stp>2</stp>
        <tr r="L3252" s="1"/>
      </tp>
      <tp>
        <v>2630848000</v>
        <stp/>
        <stp>EM_HKS_VAL_MV</stp>
        <stp>3</stp>
        <stp>002931</stp>
        <stp>2019-12-31</stp>
        <stp>2</stp>
        <tr r="L2638" s="1"/>
      </tp>
      <tp>
        <v>28187749026.84</v>
        <stp/>
        <stp>EM_HKS_VAL_MV</stp>
        <stp>3</stp>
        <stp>000031</stp>
        <stp>2019-12-31</stp>
        <stp>2</stp>
        <tr r="L569" s="1"/>
      </tp>
      <tp>
        <v>17138253888.5</v>
        <stp/>
        <stp>EM_HKS_VAL_MV</stp>
        <stp>3</stp>
        <stp>300001</stp>
        <stp>2019-12-31</stp>
        <stp>2</stp>
        <tr r="L2358" s="1"/>
      </tp>
      <tp>
        <v>1865280000</v>
        <stp/>
        <stp>EM_HKS_VAL_MV</stp>
        <stp>3</stp>
        <stp>600051</stp>
        <stp>2019-12-31</stp>
        <stp>2</stp>
        <tr r="L1703" s="1"/>
      </tp>
      <tp>
        <v>5086522950</v>
        <stp/>
        <stp>EM_HKS_VAL_MV</stp>
        <stp>3</stp>
        <stp>300101</stp>
        <stp>2019-12-31</stp>
        <stp>2</stp>
        <tr r="L2605" s="1"/>
      </tp>
      <tp>
        <v>6798355840.3800001</v>
        <stp/>
        <stp>EM_HKS_VAL_MV</stp>
        <stp>3</stp>
        <stp>600151</stp>
        <stp>2019-12-31</stp>
        <stp>2</stp>
        <tr r="L1268" s="1"/>
      </tp>
      <tp>
        <v>4257369008.6199999</v>
        <stp/>
        <stp>EM_HKS_VAL_MV</stp>
        <stp>3</stp>
        <stp>300201</stp>
        <stp>2019-12-31</stp>
        <stp>2</stp>
        <tr r="L2087" s="1"/>
      </tp>
      <tp>
        <v>4285237363.6799998</v>
        <stp/>
        <stp>EM_HKS_VAL_MV</stp>
        <stp>3</stp>
        <stp>600251</stp>
        <stp>2019-12-31</stp>
        <stp>2</stp>
        <tr r="L1731" s="1"/>
      </tp>
      <tp>
        <v>2970808971.4400001</v>
        <stp/>
        <stp>EM_HKS_VAL_MV</stp>
        <stp>3</stp>
        <stp>300301</stp>
        <stp>2019-12-31</stp>
        <stp>2</stp>
        <tr r="L2067" s="1"/>
      </tp>
      <tp>
        <v>4489100134.0900002</v>
        <stp/>
        <stp>EM_HKS_VAL_MV</stp>
        <stp>3</stp>
        <stp>600351</stp>
        <stp>2019-12-31</stp>
        <stp>2</stp>
        <tr r="L2200" s="1"/>
      </tp>
      <tp>
        <v>5967139521.75</v>
        <stp/>
        <stp>EM_HKS_VAL_MV</stp>
        <stp>3</stp>
        <stp>300401</stp>
        <stp>2019-12-31</stp>
        <stp>2</stp>
        <tr r="L2232" s="1"/>
      </tp>
      <tp>
        <v>4706518973.3999996</v>
        <stp/>
        <stp>EM_HKS_VAL_MV</stp>
        <stp>3</stp>
        <stp>000531</stp>
        <stp>2019-12-31</stp>
        <stp>2</stp>
        <tr r="L806" s="1"/>
      </tp>
      <tp>
        <v>1890879984</v>
        <stp/>
        <stp>EM_HKS_VAL_MV</stp>
        <stp>3</stp>
        <stp>300501</stp>
        <stp>2019-12-31</stp>
        <stp>2</stp>
        <tr r="L3206" s="1"/>
      </tp>
      <tp>
        <v>4147767427.1999998</v>
        <stp/>
        <stp>EM_HKS_VAL_MV</stp>
        <stp>3</stp>
        <stp>600551</stp>
        <stp>2019-12-31</stp>
        <stp>2</stp>
        <tr r="L2574" s="1"/>
      </tp>
      <tp>
        <v>7443508654.0799999</v>
        <stp/>
        <stp>EM_HKS_VAL_MV</stp>
        <stp>3</stp>
        <stp>000631</stp>
        <stp>2019-12-31</stp>
        <stp>2</stp>
        <tr r="L3490" s="1"/>
      </tp>
      <tp>
        <v>56643943688.900002</v>
        <stp/>
        <stp>EM_HKS_VAL_MV</stp>
        <stp>3</stp>
        <stp>300601</stp>
        <stp>2019-12-31</stp>
        <stp>2</stp>
        <tr r="L93" s="1"/>
      </tp>
      <tp>
        <v>4354672408.8400002</v>
        <stp/>
        <stp>EM_HKS_VAL_MV</stp>
        <stp>3</stp>
        <stp>600651</stp>
        <stp>2019-12-31</stp>
        <stp>2</stp>
        <tr r="L810" s="1"/>
      </tp>
      <tp>
        <v>3081633473.9200001</v>
        <stp/>
        <stp>EM_HKS_VAL_MV</stp>
        <stp>3</stp>
        <stp>000731</stp>
        <stp>2019-12-31</stp>
        <stp>2</stp>
        <tr r="L2107" s="1"/>
      </tp>
      <tp>
        <v>3879600000</v>
        <stp/>
        <stp>EM_HKS_VAL_MV</stp>
        <stp>3</stp>
        <stp>300701</stp>
        <stp>2019-12-31</stp>
        <stp>2</stp>
        <tr r="L2221" s="1"/>
      </tp>
      <tp>
        <v>8495059704.1899996</v>
        <stp/>
        <stp>EM_HKS_VAL_MV</stp>
        <stp>3</stp>
        <stp>600751</stp>
        <stp>2019-12-31</stp>
        <stp>2</stp>
        <tr r="L1828" s="1"/>
      </tp>
      <tp>
        <v>12712321193.76</v>
        <stp/>
        <stp>EM_HKS_VAL_MV</stp>
        <stp>3</stp>
        <stp>000831</stp>
        <stp>2019-12-31</stp>
        <stp>2</stp>
        <tr r="L465" s="1"/>
      </tp>
      <tp>
        <v>9704735803.6800003</v>
        <stp/>
        <stp>EM_HKS_VAL_MV</stp>
        <stp>3</stp>
        <stp>600851</stp>
        <stp>2019-12-31</stp>
        <stp>2</stp>
        <tr r="L1652" s="1"/>
      </tp>
      <tp>
        <v>7388175693.4200001</v>
        <stp/>
        <stp>EM_HKS_VAL_MV</stp>
        <stp>3</stp>
        <stp>000931</stp>
        <stp>2019-12-31</stp>
        <stp>2</stp>
        <tr r="L720" s="1"/>
      </tp>
      <tp>
        <v>12167107411.41</v>
        <stp/>
        <stp>EM_HKS_VAL_MV</stp>
        <stp>3</stp>
        <stp>002036</stp>
        <stp>2019-12-31</stp>
        <stp>2</stp>
        <tr r="L3613" s="1"/>
      </tp>
      <tp>
        <v>1640602600</v>
        <stp/>
        <stp>EM_HKS_VAL_MV</stp>
        <stp>3</stp>
        <stp>002136</stp>
        <stp>2019-12-31</stp>
        <stp>2</stp>
        <tr r="L2611" s="1"/>
      </tp>
      <tp>
        <v>59798865652.400002</v>
        <stp/>
        <stp>EM_HKS_VAL_MV</stp>
        <stp>3</stp>
        <stp>002236</stp>
        <stp>2019-12-31</stp>
        <stp>2</stp>
        <tr r="L283" s="1"/>
      </tp>
      <tp>
        <v>2305600000</v>
        <stp/>
        <stp>EM_HKS_VAL_MV</stp>
        <stp>3</stp>
        <stp>002336</stp>
        <stp>2019-12-31</stp>
        <stp>2</stp>
        <tr r="L2961" s="1"/>
      </tp>
      <tp>
        <v>12111567082.559999</v>
        <stp/>
        <stp>EM_HKS_VAL_MV</stp>
        <stp>3</stp>
        <stp>002436</stp>
        <stp>2019-12-31</stp>
        <stp>2</stp>
        <tr r="L221" s="1"/>
      </tp>
      <tp>
        <v>2498551951.8600001</v>
        <stp/>
        <stp>EM_HKS_VAL_MV</stp>
        <stp>3</stp>
        <stp>002536</stp>
        <stp>2019-12-31</stp>
        <stp>2</stp>
        <tr r="L3350" s="1"/>
      </tp>
      <tp>
        <v>6238960000</v>
        <stp/>
        <stp>EM_HKS_VAL_MV</stp>
        <stp>3</stp>
        <stp>002636</stp>
        <stp>2019-12-31</stp>
        <stp>2</stp>
        <tr r="L1181" s="1"/>
      </tp>
      <tp>
        <v>102910000000</v>
        <stp/>
        <stp>EM_HKS_VAL_MV</stp>
        <stp>3</stp>
        <stp>002736</stp>
        <stp>2019-12-31</stp>
        <stp>2</stp>
        <tr r="L549" s="1"/>
      </tp>
      <tp>
        <v>1934400000</v>
        <stp/>
        <stp>EM_HKS_VAL_MV</stp>
        <stp>3</stp>
        <stp>002836</stp>
        <stp>2019-12-31</stp>
        <stp>2</stp>
        <tr r="L2009" s="1"/>
      </tp>
      <tp>
        <v>10665600000</v>
        <stp/>
        <stp>EM_HKS_VAL_MV</stp>
        <stp>3</stp>
        <stp>603056</stp>
        <stp>2019-12-31</stp>
        <stp>2</stp>
        <tr r="L3254" s="1"/>
      </tp>
      <tp>
        <v>30614399340</v>
        <stp/>
        <stp>EM_HKS_VAL_MV</stp>
        <stp>3</stp>
        <stp>603156</stp>
        <stp>2019-12-31</stp>
        <stp>2</stp>
        <tr r="L3226" s="1"/>
      </tp>
      <tp>
        <v>1709418800</v>
        <stp/>
        <stp>EM_HKS_VAL_MV</stp>
        <stp>3</stp>
        <stp>603356</stp>
        <stp>2019-12-31</stp>
        <stp>2</stp>
        <tr r="L3040" s="1"/>
      </tp>
      <tp>
        <v>11230933451.74</v>
        <stp/>
        <stp>EM_HKS_VAL_MV</stp>
        <stp>3</stp>
        <stp>603456</stp>
        <stp>2019-12-31</stp>
        <stp>2</stp>
        <tr r="L126" s="1"/>
      </tp>
      <tp>
        <v>7993543961</v>
        <stp/>
        <stp>EM_HKS_VAL_MV</stp>
        <stp>3</stp>
        <stp>603556</stp>
        <stp>2019-12-31</stp>
        <stp>2</stp>
        <tr r="L1158" s="1"/>
      </tp>
      <tp>
        <v>2230246368</v>
        <stp/>
        <stp>EM_HKS_VAL_MV</stp>
        <stp>3</stp>
        <stp>603656</stp>
        <stp>2019-12-31</stp>
        <stp>2</stp>
        <tr r="L1868" s="1"/>
      </tp>
      <tp>
        <v>2653891110</v>
        <stp/>
        <stp>EM_HKS_VAL_MV</stp>
        <stp>3</stp>
        <stp>603856</stp>
        <stp>2019-12-31</stp>
        <stp>2</stp>
        <tr r="L2996" s="1"/>
      </tp>
      <tp>
        <v>6395755647.75</v>
        <stp/>
        <stp>EM_HKS_VAL_MV</stp>
        <stp>3</stp>
        <stp>000036</stp>
        <stp>2019-12-31</stp>
        <stp>2</stp>
        <tr r="L3122" s="1"/>
      </tp>
      <tp>
        <v>4589162808.25</v>
        <stp/>
        <stp>EM_HKS_VAL_MV</stp>
        <stp>3</stp>
        <stp>300006</stp>
        <stp>2019-12-31</stp>
        <stp>2</stp>
        <tr r="L461" s="1"/>
      </tp>
      <tp>
        <v>13943736218.700001</v>
        <stp/>
        <stp>EM_HKS_VAL_MV</stp>
        <stp>3</stp>
        <stp>600056</stp>
        <stp>2019-12-31</stp>
        <stp>2</stp>
        <tr r="L2165" s="1"/>
      </tp>
      <tp>
        <v>1432833061.8</v>
        <stp/>
        <stp>EM_HKS_VAL_MV</stp>
        <stp>3</stp>
        <stp>300106</stp>
        <stp>2019-12-31</stp>
        <stp>2</stp>
        <tr r="L1125" s="1"/>
      </tp>
      <tp>
        <v>1797434837.9400001</v>
        <stp/>
        <stp>EM_HKS_VAL_MV</stp>
        <stp>3</stp>
        <stp>600156</stp>
        <stp>2019-12-31</stp>
        <stp>2</stp>
        <tr r="L1708" s="1"/>
      </tp>
      <tp>
        <v>4200031728.1199999</v>
        <stp/>
        <stp>EM_HKS_VAL_MV</stp>
        <stp>3</stp>
        <stp>300206</stp>
        <stp>2019-12-31</stp>
        <stp>2</stp>
        <tr r="L1176" s="1"/>
      </tp>
      <tp>
        <v>22488057150.700001</v>
        <stp/>
        <stp>EM_HKS_VAL_MV</stp>
        <stp>3</stp>
        <stp>600256</stp>
        <stp>2019-12-31</stp>
        <stp>2</stp>
        <tr r="L2837" s="1"/>
      </tp>
      <tp>
        <v>3325416588.7199998</v>
        <stp/>
        <stp>EM_HKS_VAL_MV</stp>
        <stp>3</stp>
        <stp>300306</stp>
        <stp>2019-12-31</stp>
        <stp>2</stp>
        <tr r="L300" s="1"/>
      </tp>
      <tp>
        <v>2315168179.5</v>
        <stp/>
        <stp>EM_HKS_VAL_MV</stp>
        <stp>3</stp>
        <stp>600356</stp>
        <stp>2019-12-31</stp>
        <stp>2</stp>
        <tr r="L712" s="1"/>
      </tp>
      <tp>
        <v>8159071953.1800003</v>
        <stp/>
        <stp>EM_HKS_VAL_MV</stp>
        <stp>3</stp>
        <stp>300406</stp>
        <stp>2019-12-31</stp>
        <stp>2</stp>
        <tr r="L400" s="1"/>
      </tp>
      <tp>
        <v>10451153853</v>
        <stp/>
        <stp>EM_HKS_VAL_MV</stp>
        <stp>3</stp>
        <stp>600456</stp>
        <stp>2019-12-31</stp>
        <stp>2</stp>
        <tr r="L393" s="1"/>
      </tp>
      <tp>
        <v>7468288568.1000004</v>
        <stp/>
        <stp>EM_HKS_VAL_MV</stp>
        <stp>3</stp>
        <stp>000536</stp>
        <stp>2019-12-31</stp>
        <stp>2</stp>
        <tr r="L3447" s="1"/>
      </tp>
      <tp>
        <v>5613742300.3199997</v>
        <stp/>
        <stp>EM_HKS_VAL_MV</stp>
        <stp>3</stp>
        <stp>300506</stp>
        <stp>2019-12-31</stp>
        <stp>2</stp>
        <tr r="L3320" s="1"/>
      </tp>
      <tp>
        <v>20400302624.099998</v>
        <stp/>
        <stp>EM_HKS_VAL_MV</stp>
        <stp>3</stp>
        <stp>600556</stp>
        <stp>2019-12-31</stp>
        <stp>2</stp>
        <tr r="L210" s="1"/>
      </tp>
      <tp>
        <v>13330021022.790001</v>
        <stp/>
        <stp>EM_HKS_VAL_MV</stp>
        <stp>3</stp>
        <stp>000636</stp>
        <stp>2019-12-31</stp>
        <stp>2</stp>
        <tr r="L714" s="1"/>
      </tp>
      <tp>
        <v>1876768000</v>
        <stp/>
        <stp>EM_HKS_VAL_MV</stp>
        <stp>3</stp>
        <stp>300606</stp>
        <stp>2019-12-31</stp>
        <stp>2</stp>
        <tr r="L1432" s="1"/>
      </tp>
      <tp>
        <v>854643114.22000003</v>
        <stp/>
        <stp>EM_HKS_VAL_MV</stp>
        <stp>3</stp>
        <stp>600656</stp>
        <stp>2019-12-31</stp>
        <stp>2</stp>
        <tr r="L2312" s="1"/>
      </tp>
      <tp>
        <v>3808836823.04</v>
        <stp/>
        <stp>EM_HKS_VAL_MV</stp>
        <stp>3</stp>
        <stp>000736</stp>
        <stp>2019-12-31</stp>
        <stp>2</stp>
        <tr r="L2610" s="1"/>
      </tp>
      <tp>
        <v>3855398400</v>
        <stp/>
        <stp>EM_HKS_VAL_MV</stp>
        <stp>3</stp>
        <stp>300706</stp>
        <stp>2019-12-31</stp>
        <stp>2</stp>
        <tr r="L1440" s="1"/>
      </tp>
      <tp>
        <v>6702362212.04</v>
        <stp/>
        <stp>EM_HKS_VAL_MV</stp>
        <stp>3</stp>
        <stp>600756</stp>
        <stp>2019-12-31</stp>
        <stp>2</stp>
        <tr r="L829" s="1"/>
      </tp>
      <tp>
        <v>4483368881.04</v>
        <stp/>
        <stp>EM_HKS_VAL_MV</stp>
        <stp>3</stp>
        <stp>000836</stp>
        <stp>2019-12-31</stp>
        <stp>2</stp>
        <tr r="L2534" s="1"/>
      </tp>
      <tp>
        <v>3430302491.29</v>
        <stp/>
        <stp>EM_HKS_VAL_MV</stp>
        <stp>3</stp>
        <stp>600856</stp>
        <stp>2019-12-31</stp>
        <stp>2</stp>
        <tr r="L3278" s="1"/>
      </tp>
      <tp>
        <v>6919760647.4700003</v>
        <stp/>
        <stp>EM_HKS_VAL_MV</stp>
        <stp>3</stp>
        <stp>000936</stp>
        <stp>2019-12-31</stp>
        <stp>2</stp>
        <tr r="L953" s="1"/>
      </tp>
      <tp>
        <v>3359738379.0100002</v>
        <stp/>
        <stp>EM_HKS_VAL_MV</stp>
        <stp>3</stp>
        <stp>002037</stp>
        <stp>2019-12-31</stp>
        <stp>2</stp>
        <tr r="L2964" s="1"/>
      </tp>
      <tp>
        <v>4204235337.1199999</v>
        <stp/>
        <stp>EM_HKS_VAL_MV</stp>
        <stp>3</stp>
        <stp>002137</stp>
        <stp>2019-12-31</stp>
        <stp>2</stp>
        <tr r="L1770" s="1"/>
      </tp>
      <tp>
        <v>12782016000</v>
        <stp/>
        <stp>EM_HKS_VAL_MV</stp>
        <stp>3</stp>
        <stp>002237</stp>
        <stp>2019-12-31</stp>
        <stp>2</stp>
        <tr r="L382" s="1"/>
      </tp>
      <tp>
        <v>2130789015</v>
        <stp/>
        <stp>EM_HKS_VAL_MV</stp>
        <stp>3</stp>
        <stp>002337</stp>
        <stp>2019-12-31</stp>
        <stp>2</stp>
        <tr r="L2558" s="1"/>
      </tp>
      <tp>
        <v>6660312538.5</v>
        <stp/>
        <stp>EM_HKS_VAL_MV</stp>
        <stp>3</stp>
        <stp>002437</stp>
        <stp>2019-12-31</stp>
        <stp>2</stp>
        <tr r="L1992" s="1"/>
      </tp>
      <tp>
        <v>8729617377.7800007</v>
        <stp/>
        <stp>EM_HKS_VAL_MV</stp>
        <stp>3</stp>
        <stp>002537</stp>
        <stp>2019-12-31</stp>
        <stp>2</stp>
        <tr r="L3234" s="1"/>
      </tp>
      <tp>
        <v>4459274000</v>
        <stp/>
        <stp>EM_HKS_VAL_MV</stp>
        <stp>3</stp>
        <stp>002637</stp>
        <stp>2019-12-31</stp>
        <stp>2</stp>
        <tr r="L640" s="1"/>
      </tp>
      <tp>
        <v>8619840000</v>
        <stp/>
        <stp>EM_HKS_VAL_MV</stp>
        <stp>3</stp>
        <stp>002737</stp>
        <stp>2019-12-31</stp>
        <stp>2</stp>
        <tr r="L2433" s="1"/>
      </tp>
      <tp>
        <v>3686381676.1199999</v>
        <stp/>
        <stp>EM_HKS_VAL_MV</stp>
        <stp>3</stp>
        <stp>002837</stp>
        <stp>2019-12-31</stp>
        <stp>2</stp>
        <tr r="L1629" s="1"/>
      </tp>
      <tp>
        <v>3121728359.4000001</v>
        <stp/>
        <stp>EM_HKS_VAL_MV</stp>
        <stp>3</stp>
        <stp>603157</stp>
        <stp>2019-12-31</stp>
        <stp>2</stp>
        <tr r="L3240" s="1"/>
      </tp>
      <tp>
        <v>4781789182.96</v>
        <stp/>
        <stp>EM_HKS_VAL_MV</stp>
        <stp>3</stp>
        <stp>603357</stp>
        <stp>2019-12-31</stp>
        <stp>2</stp>
        <tr r="L3354" s="1"/>
      </tp>
      <tp>
        <v>3921961971.6599998</v>
        <stp/>
        <stp>EM_HKS_VAL_MV</stp>
        <stp>3</stp>
        <stp>603557</stp>
        <stp>2019-12-31</stp>
        <stp>2</stp>
        <tr r="L1610" s="1"/>
      </tp>
      <tp>
        <v>2544201520</v>
        <stp/>
        <stp>EM_HKS_VAL_MV</stp>
        <stp>3</stp>
        <stp>603757</stp>
        <stp>2019-12-31</stp>
        <stp>2</stp>
        <tr r="L3019" s="1"/>
      </tp>
      <tp>
        <v>7558642953.8400002</v>
        <stp/>
        <stp>EM_HKS_VAL_MV</stp>
        <stp>3</stp>
        <stp>000037</stp>
        <stp>2019-12-31</stp>
        <stp>2</stp>
        <tr r="L68" s="1"/>
      </tp>
      <tp>
        <v>4793853106.1599998</v>
        <stp/>
        <stp>EM_HKS_VAL_MV</stp>
        <stp>3</stp>
        <stp>300007</stp>
        <stp>2019-12-31</stp>
        <stp>2</stp>
        <tr r="L352" s="1"/>
      </tp>
      <tp>
        <v>8953434452.75</v>
        <stp/>
        <stp>EM_HKS_VAL_MV</stp>
        <stp>3</stp>
        <stp>600057</stp>
        <stp>2019-12-31</stp>
        <stp>2</stp>
        <tr r="L2370" s="1"/>
      </tp>
      <tp>
        <v>4078013613.2399998</v>
        <stp/>
        <stp>EM_HKS_VAL_MV</stp>
        <stp>3</stp>
        <stp>300107</stp>
        <stp>2019-12-31</stp>
        <stp>2</stp>
        <tr r="L3155" s="1"/>
      </tp>
      <tp>
        <v>17768887316.18</v>
        <stp/>
        <stp>EM_HKS_VAL_MV</stp>
        <stp>3</stp>
        <stp>600157</stp>
        <stp>2019-12-31</stp>
        <stp>2</stp>
        <tr r="L1912" s="1"/>
      </tp>
      <tp>
        <v>30212044864</v>
        <stp/>
        <stp>EM_HKS_VAL_MV</stp>
        <stp>3</stp>
        <stp>300207</stp>
        <stp>2019-12-31</stp>
        <stp>2</stp>
        <tr r="L108" s="1"/>
      </tp>
      <tp>
        <v>2078944652.1600001</v>
        <stp/>
        <stp>EM_HKS_VAL_MV</stp>
        <stp>3</stp>
        <stp>600257</stp>
        <stp>2019-12-31</stp>
        <stp>2</stp>
        <tr r="L2166" s="1"/>
      </tp>
      <tp>
        <v>3496720000</v>
        <stp/>
        <stp>EM_HKS_VAL_MV</stp>
        <stp>3</stp>
        <stp>300307</stp>
        <stp>2019-12-31</stp>
        <stp>2</stp>
        <tr r="L2197" s="1"/>
      </tp>
      <tp>
        <v>7256936096</v>
        <stp/>
        <stp>EM_HKS_VAL_MV</stp>
        <stp>3</stp>
        <stp>600357</stp>
        <stp>2019-12-31</stp>
        <stp>2</stp>
        <tr r="L2301" s="1"/>
      </tp>
      <tp>
        <v>2397678325.3800001</v>
        <stp/>
        <stp>EM_HKS_VAL_MV</stp>
        <stp>3</stp>
        <stp>300407</stp>
        <stp>2019-12-31</stp>
        <stp>2</stp>
        <tr r="L2060" s="1"/>
      </tp>
      <tp>
        <v>14471785994.4</v>
        <stp/>
        <stp>EM_HKS_VAL_MV</stp>
        <stp>3</stp>
        <stp>000537</stp>
        <stp>2019-12-31</stp>
        <stp>2</stp>
        <tr r="L2013" s="1"/>
      </tp>
      <tp>
        <v>3150744318</v>
        <stp/>
        <stp>EM_HKS_VAL_MV</stp>
        <stp>3</stp>
        <stp>300507</stp>
        <stp>2019-12-31</stp>
        <stp>2</stp>
        <tr r="L3002" s="1"/>
      </tp>
      <tp>
        <v>8739066500.1200008</v>
        <stp/>
        <stp>EM_HKS_VAL_MV</stp>
        <stp>3</stp>
        <stp>600557</stp>
        <stp>2019-12-31</stp>
        <stp>2</stp>
        <tr r="L737" s="1"/>
      </tp>
      <tp>
        <v>2329041594.8800001</v>
        <stp/>
        <stp>EM_HKS_VAL_MV</stp>
        <stp>3</stp>
        <stp>000637</stp>
        <stp>2019-12-31</stp>
        <stp>2</stp>
        <tr r="L3491" s="1"/>
      </tp>
      <tp>
        <v>7071261308.6000004</v>
        <stp/>
        <stp>EM_HKS_VAL_MV</stp>
        <stp>3</stp>
        <stp>300607</stp>
        <stp>2019-12-31</stp>
        <stp>2</stp>
        <tr r="L484" s="1"/>
      </tp>
      <tp>
        <v>11378995594.049999</v>
        <stp/>
        <stp>EM_HKS_VAL_MV</stp>
        <stp>3</stp>
        <stp>600657</stp>
        <stp>2019-12-31</stp>
        <stp>2</stp>
        <tr r="L2195" s="1"/>
      </tp>
      <tp>
        <v>1613354400</v>
        <stp/>
        <stp>EM_HKS_VAL_MV</stp>
        <stp>3</stp>
        <stp>000737</stp>
        <stp>2019-12-31</stp>
        <stp>2</stp>
        <tr r="L3524" s="1"/>
      </tp>
      <tp>
        <v>2892480000</v>
        <stp/>
        <stp>EM_HKS_VAL_MV</stp>
        <stp>3</stp>
        <stp>300707</stp>
        <stp>2019-12-31</stp>
        <stp>2</stp>
        <tr r="L1481" s="1"/>
      </tp>
      <tp>
        <v>7476085681.6800003</v>
        <stp/>
        <stp>EM_HKS_VAL_MV</stp>
        <stp>3</stp>
        <stp>600757</stp>
        <stp>2019-12-31</stp>
        <stp>2</stp>
        <tr r="L2613" s="1"/>
      </tp>
      <tp>
        <v>2967627494.8000002</v>
        <stp/>
        <stp>EM_HKS_VAL_MV</stp>
        <stp>3</stp>
        <stp>000837</stp>
        <stp>2019-12-31</stp>
        <stp>2</stp>
        <tr r="L3554" s="1"/>
      </tp>
      <tp>
        <v>2065986453.99</v>
        <stp/>
        <stp>EM_HKS_VAL_MV</stp>
        <stp>3</stp>
        <stp>600857</stp>
        <stp>2019-12-31</stp>
        <stp>2</stp>
        <tr r="L1701" s="1"/>
      </tp>
      <tp>
        <v>12932781471</v>
        <stp/>
        <stp>EM_HKS_VAL_MV</stp>
        <stp>3</stp>
        <stp>000937</stp>
        <stp>2019-12-31</stp>
        <stp>2</stp>
        <tr r="L2461" s="1"/>
      </tp>
      <tp>
        <v>1067012300678.9399</v>
        <stp/>
        <stp>EM_HKS_VAL_MV</stp>
        <stp>3</stp>
        <stp>601857</stp>
        <stp>2019-12-31</stp>
        <stp>2</stp>
        <tr r="L3048" s="1"/>
      </tp>
      <tp>
        <v>6169328316.4499998</v>
        <stp/>
        <stp>EM_HKS_VAL_MV</stp>
        <stp>3</stp>
        <stp>002034</stp>
        <stp>2019-12-31</stp>
        <stp>2</stp>
        <tr r="L3612" s="1"/>
      </tp>
      <tp>
        <v>2308529321.52</v>
        <stp/>
        <stp>EM_HKS_VAL_MV</stp>
        <stp>3</stp>
        <stp>002134</stp>
        <stp>2019-12-31</stp>
        <stp>2</stp>
        <tr r="L424" s="1"/>
      </tp>
      <tp>
        <v>9608103363.9200001</v>
        <stp/>
        <stp>EM_HKS_VAL_MV</stp>
        <stp>3</stp>
        <stp>002234</stp>
        <stp>2019-12-31</stp>
        <stp>2</stp>
        <tr r="L58" s="1"/>
      </tp>
      <tp>
        <v>3255112267.1999998</v>
        <stp/>
        <stp>EM_HKS_VAL_MV</stp>
        <stp>3</stp>
        <stp>002334</stp>
        <stp>2019-12-31</stp>
        <stp>2</stp>
        <tr r="L2234" s="1"/>
      </tp>
      <tp>
        <v>12703200000</v>
        <stp/>
        <stp>EM_HKS_VAL_MV</stp>
        <stp>3</stp>
        <stp>002434</stp>
        <stp>2019-12-31</stp>
        <stp>2</stp>
        <tr r="L706" s="1"/>
      </tp>
      <tp>
        <v>5707132362</v>
        <stp/>
        <stp>EM_HKS_VAL_MV</stp>
        <stp>3</stp>
        <stp>002534</stp>
        <stp>2019-12-31</stp>
        <stp>2</stp>
        <tr r="L721" s="1"/>
      </tp>
      <tp>
        <v>3233841691.52</v>
        <stp/>
        <stp>EM_HKS_VAL_MV</stp>
        <stp>3</stp>
        <stp>002634</stp>
        <stp>2019-12-31</stp>
        <stp>2</stp>
        <tr r="L713" s="1"/>
      </tp>
      <tp>
        <v>3965956768.8000002</v>
        <stp/>
        <stp>EM_HKS_VAL_MV</stp>
        <stp>3</stp>
        <stp>002734</stp>
        <stp>2019-12-31</stp>
        <stp>2</stp>
        <tr r="L875" s="1"/>
      </tp>
      <tp>
        <v>12983298114.9</v>
        <stp/>
        <stp>EM_HKS_VAL_MV</stp>
        <stp>3</stp>
        <stp>000034</stp>
        <stp>2019-12-31</stp>
        <stp>2</stp>
        <tr r="L564" s="1"/>
      </tp>
      <tp>
        <v>3283156210.3200002</v>
        <stp/>
        <stp>EM_HKS_VAL_MV</stp>
        <stp>3</stp>
        <stp>300004</stp>
        <stp>2019-12-31</stp>
        <stp>2</stp>
        <tr r="L259" s="1"/>
      </tp>
      <tp>
        <v>6688409464.8000002</v>
        <stp/>
        <stp>EM_HKS_VAL_MV</stp>
        <stp>3</stp>
        <stp>600054</stp>
        <stp>2019-12-31</stp>
        <stp>2</stp>
        <tr r="L2451" s="1"/>
      </tp>
      <tp>
        <v>6742153924.4799995</v>
        <stp/>
        <stp>EM_HKS_VAL_MV</stp>
        <stp>3</stp>
        <stp>300104</stp>
        <stp>2019-12-31</stp>
        <stp>2</stp>
        <tr r="L3241" s="1"/>
      </tp>
      <tp>
        <v>5293504129.2799997</v>
        <stp/>
        <stp>EM_HKS_VAL_MV</stp>
        <stp>3</stp>
        <stp>300204</stp>
        <stp>2019-12-31</stp>
        <stp>2</stp>
        <tr r="L2375" s="1"/>
      </tp>
      <tp>
        <v>3810558479.1999998</v>
        <stp/>
        <stp>EM_HKS_VAL_MV</stp>
        <stp>3</stp>
        <stp>300304</stp>
        <stp>2019-12-31</stp>
        <stp>2</stp>
        <tr r="L949" s="1"/>
      </tp>
      <tp>
        <v>2739292795.1999998</v>
        <stp/>
        <stp>EM_HKS_VAL_MV</stp>
        <stp>3</stp>
        <stp>600354</stp>
        <stp>2019-12-31</stp>
        <stp>2</stp>
        <tr r="L804" s="1"/>
      </tp>
      <tp>
        <v>2591462900</v>
        <stp/>
        <stp>EM_HKS_VAL_MV</stp>
        <stp>3</stp>
        <stp>300404</stp>
        <stp>2019-12-31</stp>
        <stp>2</stp>
        <tr r="L1027" s="1"/>
      </tp>
      <tp>
        <v>4563765690.8800001</v>
        <stp/>
        <stp>EM_HKS_VAL_MV</stp>
        <stp>3</stp>
        <stp>000534</stp>
        <stp>2019-12-31</stp>
        <stp>2</stp>
        <tr r="L2858" s="1"/>
      </tp>
      <tp>
        <v>6027376320</v>
        <stp/>
        <stp>EM_HKS_VAL_MV</stp>
        <stp>3</stp>
        <stp>300504</stp>
        <stp>2019-12-31</stp>
        <stp>2</stp>
        <tr r="L2863" s="1"/>
      </tp>
      <tp>
        <v>7486025521.6199999</v>
        <stp/>
        <stp>EM_HKS_VAL_MV</stp>
        <stp>3</stp>
        <stp>300604</stp>
        <stp>2019-12-31</stp>
        <stp>2</stp>
        <tr r="L3085" s="1"/>
      </tp>
      <tp>
        <v>2437739884.8000002</v>
        <stp/>
        <stp>EM_HKS_VAL_MV</stp>
        <stp>3</stp>
        <stp>600654</stp>
        <stp>2019-12-31</stp>
        <stp>2</stp>
        <tr r="L2568" s="1"/>
      </tp>
      <tp>
        <v>27502355192.400002</v>
        <stp/>
        <stp>EM_HKS_VAL_MV</stp>
        <stp>3</stp>
        <stp>600754</stp>
        <stp>2019-12-31</stp>
        <stp>2</stp>
        <tr r="L789" s="1"/>
      </tp>
      <tp>
        <v>1979137029.78</v>
        <stp/>
        <stp>EM_HKS_VAL_MV</stp>
        <stp>3</stp>
        <stp>600854</stp>
        <stp>2019-12-31</stp>
        <stp>2</stp>
        <tr r="L1766" s="1"/>
      </tp>
      <tp>
        <v>11710870724.08</v>
        <stp/>
        <stp>EM_HKS_VAL_MV</stp>
        <stp>3</stp>
        <stp>002035</stp>
        <stp>2019-12-31</stp>
        <stp>2</stp>
        <tr r="L527" s="1"/>
      </tp>
      <tp>
        <v>5637491990</v>
        <stp/>
        <stp>EM_HKS_VAL_MV</stp>
        <stp>3</stp>
        <stp>002135</stp>
        <stp>2019-12-31</stp>
        <stp>2</stp>
        <tr r="L1756" s="1"/>
      </tp>
      <tp>
        <v>5008818285.2399998</v>
        <stp/>
        <stp>EM_HKS_VAL_MV</stp>
        <stp>3</stp>
        <stp>002235</stp>
        <stp>2019-12-31</stp>
        <stp>2</stp>
        <tr r="L359" s="1"/>
      </tp>
      <tp>
        <v>4417471442.1000004</v>
        <stp/>
        <stp>EM_HKS_VAL_MV</stp>
        <stp>3</stp>
        <stp>002335</stp>
        <stp>2019-12-31</stp>
        <stp>2</stp>
        <tr r="L1827" s="1"/>
      </tp>
      <tp>
        <v>4943932080</v>
        <stp/>
        <stp>EM_HKS_VAL_MV</stp>
        <stp>3</stp>
        <stp>002435</stp>
        <stp>2019-12-31</stp>
        <stp>2</stp>
        <tr r="L3162" s="1"/>
      </tp>
      <tp>
        <v>2220662114.98</v>
        <stp/>
        <stp>EM_HKS_VAL_MV</stp>
        <stp>3</stp>
        <stp>002535</stp>
        <stp>2019-12-31</stp>
        <stp>2</stp>
        <tr r="L2901" s="1"/>
      </tp>
      <tp>
        <v>11489131883.57</v>
        <stp/>
        <stp>EM_HKS_VAL_MV</stp>
        <stp>3</stp>
        <stp>002635</stp>
        <stp>2019-12-31</stp>
        <stp>2</stp>
        <tr r="L547" s="1"/>
      </tp>
      <tp>
        <v>2604297447.5</v>
        <stp/>
        <stp>EM_HKS_VAL_MV</stp>
        <stp>3</stp>
        <stp>002735</stp>
        <stp>2019-12-31</stp>
        <stp>2</stp>
        <tr r="L2934" s="1"/>
      </tp>
      <tp>
        <v>2702060231.5700002</v>
        <stp/>
        <stp>EM_HKS_VAL_MV</stp>
        <stp>3</stp>
        <stp>002835</stp>
        <stp>2019-12-31</stp>
        <stp>2</stp>
        <tr r="L321" s="1"/>
      </tp>
      <tp>
        <v>5236164661.9300003</v>
        <stp/>
        <stp>EM_HKS_VAL_MV</stp>
        <stp>3</stp>
        <stp>603055</stp>
        <stp>2019-12-31</stp>
        <stp>2</stp>
        <tr r="L3266" s="1"/>
      </tp>
      <tp>
        <v>9491670000</v>
        <stp/>
        <stp>EM_HKS_VAL_MV</stp>
        <stp>3</stp>
        <stp>603355</stp>
        <stp>2019-12-31</stp>
        <stp>2</stp>
        <tr r="L1769" s="1"/>
      </tp>
      <tp>
        <v>3708752643.6999998</v>
        <stp/>
        <stp>EM_HKS_VAL_MV</stp>
        <stp>3</stp>
        <stp>603555</stp>
        <stp>2019-12-31</stp>
        <stp>2</stp>
        <tr r="L2224" s="1"/>
      </tp>
      <tp>
        <v>2338360000</v>
        <stp/>
        <stp>EM_HKS_VAL_MV</stp>
        <stp>3</stp>
        <stp>603655</stp>
        <stp>2019-12-31</stp>
        <stp>2</stp>
        <tr r="L604" s="1"/>
      </tp>
      <tp>
        <v>3241175300</v>
        <stp/>
        <stp>EM_HKS_VAL_MV</stp>
        <stp>3</stp>
        <stp>603855</stp>
        <stp>2019-12-31</stp>
        <stp>2</stp>
        <tr r="L1126" s="1"/>
      </tp>
      <tp>
        <v>1810731000</v>
        <stp/>
        <stp>EM_HKS_VAL_MV</stp>
        <stp>3</stp>
        <stp>603955</stp>
        <stp>2019-12-31</stp>
        <stp>2</stp>
        <tr r="L1547" s="1"/>
      </tp>
      <tp>
        <v>15571705922.49</v>
        <stp/>
        <stp>EM_HKS_VAL_MV</stp>
        <stp>3</stp>
        <stp>000035</stp>
        <stp>2019-12-31</stp>
        <stp>2</stp>
        <tr r="L1341" s="1"/>
      </tp>
      <tp>
        <v>3939519055.6799998</v>
        <stp/>
        <stp>EM_HKS_VAL_MV</stp>
        <stp>3</stp>
        <stp>300005</stp>
        <stp>2019-12-31</stp>
        <stp>2</stp>
        <tr r="L801" s="1"/>
      </tp>
      <tp>
        <v>5581223173.6800003</v>
        <stp/>
        <stp>EM_HKS_VAL_MV</stp>
        <stp>3</stp>
        <stp>600055</stp>
        <stp>2019-12-31</stp>
        <stp>2</stp>
        <tr r="L1416" s="1"/>
      </tp>
      <tp>
        <v>2253018240</v>
        <stp/>
        <stp>EM_HKS_VAL_MV</stp>
        <stp>3</stp>
        <stp>300105</stp>
        <stp>2019-12-31</stp>
        <stp>2</stp>
        <tr r="L1424" s="1"/>
      </tp>
      <tp>
        <v>24405979771.439999</v>
        <stp/>
        <stp>EM_HKS_VAL_MV</stp>
        <stp>3</stp>
        <stp>600155</stp>
        <stp>2019-12-31</stp>
        <stp>2</stp>
        <tr r="L234" s="1"/>
      </tp>
      <tp>
        <v>4713413760</v>
        <stp/>
        <stp>EM_HKS_VAL_MV</stp>
        <stp>3</stp>
        <stp>300205</stp>
        <stp>2019-12-31</stp>
        <stp>2</stp>
        <tr r="L825" s="1"/>
      </tp>
      <tp>
        <v>2760565945.8000002</v>
        <stp/>
        <stp>EM_HKS_VAL_MV</stp>
        <stp>3</stp>
        <stp>600255</stp>
        <stp>2019-12-31</stp>
        <stp>2</stp>
        <tr r="L2860" s="1"/>
      </tp>
      <tp>
        <v>2425525200</v>
        <stp/>
        <stp>EM_HKS_VAL_MV</stp>
        <stp>3</stp>
        <stp>300305</stp>
        <stp>2019-12-31</stp>
        <stp>2</stp>
        <tr r="L1934" s="1"/>
      </tp>
      <tp>
        <v>1678024172</v>
        <stp/>
        <stp>EM_HKS_VAL_MV</stp>
        <stp>3</stp>
        <stp>600355</stp>
        <stp>2019-12-31</stp>
        <stp>2</stp>
        <tr r="L2366" s="1"/>
      </tp>
      <tp>
        <v>1528363101.72</v>
        <stp/>
        <stp>EM_HKS_VAL_MV</stp>
        <stp>3</stp>
        <stp>300405</stp>
        <stp>2019-12-31</stp>
        <stp>2</stp>
        <tr r="L2766" s="1"/>
      </tp>
      <tp>
        <v>2196023280</v>
        <stp/>
        <stp>EM_HKS_VAL_MV</stp>
        <stp>3</stp>
        <stp>600455</stp>
        <stp>2019-12-31</stp>
        <stp>2</stp>
        <tr r="L440" s="1"/>
      </tp>
      <tp>
        <v>426362401</v>
        <stp/>
        <stp>EM_HKS_VAL_MV</stp>
        <stp>3</stp>
        <stp>000535</stp>
        <stp>2019-12-31</stp>
        <stp>2</stp>
        <tr r="L3446" s="1"/>
      </tp>
      <tp>
        <v>2317127112.0999999</v>
        <stp/>
        <stp>EM_HKS_VAL_MV</stp>
        <stp>3</stp>
        <stp>300505</stp>
        <stp>2019-12-31</stp>
        <stp>2</stp>
        <tr r="L2103" s="1"/>
      </tp>
      <tp>
        <v>3011085000</v>
        <stp/>
        <stp>EM_HKS_VAL_MV</stp>
        <stp>3</stp>
        <stp>600555</stp>
        <stp>2019-12-31</stp>
        <stp>2</stp>
        <tr r="L3045" s="1"/>
      </tp>
      <tp>
        <v>2382268551.7199998</v>
        <stp/>
        <stp>EM_HKS_VAL_MV</stp>
        <stp>3</stp>
        <stp>000635</stp>
        <stp>2019-12-31</stp>
        <stp>2</stp>
        <tr r="L2661" s="1"/>
      </tp>
      <tp>
        <v>2109407801.1600001</v>
        <stp/>
        <stp>EM_HKS_VAL_MV</stp>
        <stp>3</stp>
        <stp>300605</stp>
        <stp>2019-12-31</stp>
        <stp>2</stp>
        <tr r="L2903" s="1"/>
      </tp>
      <tp>
        <v>30448693797.759998</v>
        <stp/>
        <stp>EM_HKS_VAL_MV</stp>
        <stp>3</stp>
        <stp>600655</stp>
        <stp>2019-12-31</stp>
        <stp>2</stp>
        <tr r="L2010" s="1"/>
      </tp>
      <tp>
        <v>11699377952.48</v>
        <stp/>
        <stp>EM_HKS_VAL_MV</stp>
        <stp>3</stp>
        <stp>000735</stp>
        <stp>2019-12-31</stp>
        <stp>2</stp>
        <tr r="L3523" s="1"/>
      </tp>
      <tp>
        <v>2884217200</v>
        <stp/>
        <stp>EM_HKS_VAL_MV</stp>
        <stp>3</stp>
        <stp>300705</stp>
        <stp>2019-12-31</stp>
        <stp>2</stp>
        <tr r="L2226" s="1"/>
      </tp>
      <tp>
        <v>13579517697.540001</v>
        <stp/>
        <stp>EM_HKS_VAL_MV</stp>
        <stp>3</stp>
        <stp>600755</stp>
        <stp>2019-12-31</stp>
        <stp>2</stp>
        <tr r="L1998" s="1"/>
      </tp>
      <tp>
        <v>1568449795.2</v>
        <stp/>
        <stp>EM_HKS_VAL_MV</stp>
        <stp>3</stp>
        <stp>000835</stp>
        <stp>2019-12-31</stp>
        <stp>2</stp>
        <tr r="L3553" s="1"/>
      </tp>
      <tp>
        <v>5402574459.2299995</v>
        <stp/>
        <stp>EM_HKS_VAL_MV</stp>
        <stp>3</stp>
        <stp>600855</stp>
        <stp>2019-12-31</stp>
        <stp>2</stp>
        <tr r="L817" s="1"/>
      </tp>
      <tp>
        <v>12589131091.17</v>
        <stp/>
        <stp>EM_HKS_VAL_MV</stp>
        <stp>3</stp>
        <stp>000935</stp>
        <stp>2019-12-31</stp>
        <stp>2</stp>
        <tr r="L3582" s="1"/>
      </tp>
      <tp>
        <v>87380360481.919998</v>
        <stp/>
        <stp>EM_HKS_VAL_MV</stp>
        <stp>3</stp>
        <stp>601155</stp>
        <stp>2019-12-31</stp>
        <stp>2</stp>
        <tr r="L397" s="1"/>
      </tp>
      <tp>
        <v>29970000000</v>
        <stp/>
        <stp>EM_HKS_VAL_MV</stp>
        <stp>3</stp>
        <stp>601555</stp>
        <stp>2019-12-31</stp>
        <stp>2</stp>
        <tr r="L582" s="1"/>
      </tp>
      <tp>
        <v>9681474274.4400005</v>
        <stp/>
        <stp>EM_HKS_VAL_MV</stp>
        <stp>3</stp>
        <stp>002048</stp>
        <stp>2019-12-31</stp>
        <stp>2</stp>
        <tr r="L510" s="1"/>
      </tp>
      <tp>
        <v>2919392431.3200002</v>
        <stp/>
        <stp>EM_HKS_VAL_MV</stp>
        <stp>3</stp>
        <stp>002148</stp>
        <stp>2019-12-31</stp>
        <stp>2</stp>
        <tr r="L2885" s="1"/>
      </tp>
      <tp>
        <v>2438440108</v>
        <stp/>
        <stp>EM_HKS_VAL_MV</stp>
        <stp>3</stp>
        <stp>002248</stp>
        <stp>2019-12-31</stp>
        <stp>2</stp>
        <tr r="L2746" s="1"/>
      </tp>
      <tp>
        <v>3040512000</v>
        <stp/>
        <stp>EM_HKS_VAL_MV</stp>
        <stp>3</stp>
        <stp>002348</stp>
        <stp>2019-12-31</stp>
        <stp>2</stp>
        <tr r="L2047" s="1"/>
      </tp>
      <tp>
        <v>3255503762.8000002</v>
        <stp/>
        <stp>EM_HKS_VAL_MV</stp>
        <stp>3</stp>
        <stp>002448</stp>
        <stp>2019-12-31</stp>
        <stp>2</stp>
        <tr r="L2396" s="1"/>
      </tp>
      <tp>
        <v>3834694650.8000002</v>
        <stp/>
        <stp>EM_HKS_VAL_MV</stp>
        <stp>3</stp>
        <stp>002548</stp>
        <stp>2019-12-31</stp>
        <stp>2</stp>
        <tr r="L938" s="1"/>
      </tp>
      <tp>
        <v>17424289928.099998</v>
        <stp/>
        <stp>EM_HKS_VAL_MV</stp>
        <stp>3</stp>
        <stp>002648</stp>
        <stp>2019-12-31</stp>
        <stp>2</stp>
        <tr r="L309" s="1"/>
      </tp>
      <tp>
        <v>1773600000</v>
        <stp/>
        <stp>EM_HKS_VAL_MV</stp>
        <stp>3</stp>
        <stp>002748</stp>
        <stp>2019-12-31</stp>
        <stp>2</stp>
        <tr r="L2044" s="1"/>
      </tp>
      <tp>
        <v>2131162500</v>
        <stp/>
        <stp>EM_HKS_VAL_MV</stp>
        <stp>3</stp>
        <stp>002848</stp>
        <stp>2019-12-31</stp>
        <stp>2</stp>
        <tr r="L1699" s="1"/>
      </tp>
      <tp>
        <v>2609856000</v>
        <stp/>
        <stp>EM_HKS_VAL_MV</stp>
        <stp>3</stp>
        <stp>603028</stp>
        <stp>2019-12-31</stp>
        <stp>2</stp>
        <tr r="L383" s="1"/>
      </tp>
      <tp>
        <v>6385962007.4300003</v>
        <stp/>
        <stp>EM_HKS_VAL_MV</stp>
        <stp>3</stp>
        <stp>603128</stp>
        <stp>2019-12-31</stp>
        <stp>2</stp>
        <tr r="L1380" s="1"/>
      </tp>
      <tp>
        <v>26395923950.200001</v>
        <stp/>
        <stp>EM_HKS_VAL_MV</stp>
        <stp>3</stp>
        <stp>603228</stp>
        <stp>2019-12-31</stp>
        <stp>2</stp>
        <tr r="L2805" s="1"/>
      </tp>
      <tp>
        <v>11300666628.6</v>
        <stp/>
        <stp>EM_HKS_VAL_MV</stp>
        <stp>3</stp>
        <stp>603328</stp>
        <stp>2019-12-31</stp>
        <stp>2</stp>
        <tr r="L1464" s="1"/>
      </tp>
      <tp>
        <v>4313037600</v>
        <stp/>
        <stp>EM_HKS_VAL_MV</stp>
        <stp>3</stp>
        <stp>603528</stp>
        <stp>2019-12-31</stp>
        <stp>2</stp>
        <tr r="L1609" s="1"/>
      </tp>
      <tp>
        <v>2179448000</v>
        <stp/>
        <stp>EM_HKS_VAL_MV</stp>
        <stp>3</stp>
        <stp>603628</stp>
        <stp>2019-12-31</stp>
        <stp>2</stp>
        <tr r="L1789" s="1"/>
      </tp>
      <tp>
        <v>4609280000</v>
        <stp/>
        <stp>EM_HKS_VAL_MV</stp>
        <stp>3</stp>
        <stp>603728</stp>
        <stp>2019-12-31</stp>
        <stp>2</stp>
        <tr r="L2855" s="1"/>
      </tp>
      <tp>
        <v>2866272585.6799998</v>
        <stp/>
        <stp>EM_HKS_VAL_MV</stp>
        <stp>3</stp>
        <stp>603828</stp>
        <stp>2019-12-31</stp>
        <stp>2</stp>
        <tr r="L3237" s="1"/>
      </tp>
      <tp>
        <v>2483712000</v>
        <stp/>
        <stp>EM_HKS_VAL_MV</stp>
        <stp>3</stp>
        <stp>603928</stp>
        <stp>2019-12-31</stp>
        <stp>2</stp>
        <tr r="L2878" s="1"/>
      </tp>
      <tp>
        <v>8705896141.5300007</v>
        <stp/>
        <stp>EM_HKS_VAL_MV</stp>
        <stp>3</stp>
        <stp>000048</stp>
        <stp>2019-12-31</stp>
        <stp>2</stp>
        <tr r="L1177" s="1"/>
      </tp>
      <tp>
        <v>10551902722.48</v>
        <stp/>
        <stp>EM_HKS_VAL_MV</stp>
        <stp>3</stp>
        <stp>300078</stp>
        <stp>2019-12-31</stp>
        <stp>2</stp>
        <tr r="L1234" s="1"/>
      </tp>
      <tp>
        <v>618673881291.06006</v>
        <stp/>
        <stp>EM_HKS_VAL_MV</stp>
        <stp>3</stp>
        <stp>600028</stp>
        <stp>2019-12-31</stp>
        <stp>2</stp>
        <tr r="L2245" s="1"/>
      </tp>
      <tp>
        <v>3057881133.2800002</v>
        <stp/>
        <stp>EM_HKS_VAL_MV</stp>
        <stp>3</stp>
        <stp>300178</stp>
        <stp>2019-12-31</stp>
        <stp>2</stp>
        <tr r="L3346" s="1"/>
      </tp>
      <tp>
        <v>1858159275</v>
        <stp/>
        <stp>EM_HKS_VAL_MV</stp>
        <stp>3</stp>
        <stp>600128</stp>
        <stp>2019-12-31</stp>
        <stp>2</stp>
        <tr r="L2583" s="1"/>
      </tp>
      <tp>
        <v>2561916837.48</v>
        <stp/>
        <stp>EM_HKS_VAL_MV</stp>
        <stp>3</stp>
        <stp>300278</stp>
        <stp>2019-12-31</stp>
        <stp>2</stp>
        <tr r="L3145" s="1"/>
      </tp>
      <tp>
        <v>1510663200</v>
        <stp/>
        <stp>EM_HKS_VAL_MV</stp>
        <stp>3</stp>
        <stp>600228</stp>
        <stp>2019-12-31</stp>
        <stp>2</stp>
        <tr r="L3169" s="1"/>
      </tp>
      <tp>
        <v>3967973298.7600002</v>
        <stp/>
        <stp>EM_HKS_VAL_MV</stp>
        <stp>3</stp>
        <stp>300378</stp>
        <stp>2019-12-31</stp>
        <stp>2</stp>
        <tr r="L552" s="1"/>
      </tp>
      <tp>
        <v>3618136662.98</v>
        <stp/>
        <stp>EM_HKS_VAL_MV</stp>
        <stp>3</stp>
        <stp>600328</stp>
        <stp>2019-12-31</stp>
        <stp>2</stp>
        <tr r="L1295" s="1"/>
      </tp>
      <tp>
        <v>1503608510</v>
        <stp/>
        <stp>EM_HKS_VAL_MV</stp>
        <stp>3</stp>
        <stp>300478</stp>
        <stp>2019-12-31</stp>
        <stp>2</stp>
        <tr r="L3004" s="1"/>
      </tp>
      <tp>
        <v>8028473883.54</v>
        <stp/>
        <stp>EM_HKS_VAL_MV</stp>
        <stp>3</stp>
        <stp>600428</stp>
        <stp>2019-12-31</stp>
        <stp>2</stp>
        <tr r="L1477" s="1"/>
      </tp>
      <tp>
        <v>2091714248.0899999</v>
        <stp/>
        <stp>EM_HKS_VAL_MV</stp>
        <stp>3</stp>
        <stp>000548</stp>
        <stp>2019-12-31</stp>
        <stp>2</stp>
        <tr r="L3450" s="1"/>
      </tp>
      <tp>
        <v>4443764322.0500002</v>
        <stp/>
        <stp>EM_HKS_VAL_MV</stp>
        <stp>3</stp>
        <stp>300578</stp>
        <stp>2019-12-31</stp>
        <stp>2</stp>
        <tr r="L543" s="1"/>
      </tp>
      <tp>
        <v>25547843262</v>
        <stp/>
        <stp>EM_HKS_VAL_MV</stp>
        <stp>3</stp>
        <stp>600528</stp>
        <stp>2019-12-31</stp>
        <stp>2</stp>
        <tr r="L2069" s="1"/>
      </tp>
      <tp>
        <v>3880800000</v>
        <stp/>
        <stp>EM_HKS_VAL_MV</stp>
        <stp>3</stp>
        <stp>300678</stp>
        <stp>2019-12-31</stp>
        <stp>2</stp>
        <tr r="L1418" s="1"/>
      </tp>
      <tp>
        <v>6093566117.2799997</v>
        <stp/>
        <stp>EM_HKS_VAL_MV</stp>
        <stp>3</stp>
        <stp>600628</stp>
        <stp>2019-12-31</stp>
        <stp>2</stp>
        <tr r="L603" s="1"/>
      </tp>
      <tp>
        <v>16548965887.860001</v>
        <stp/>
        <stp>EM_HKS_VAL_MV</stp>
        <stp>3</stp>
        <stp>000748</stp>
        <stp>2019-12-31</stp>
        <stp>2</stp>
        <tr r="L3525" s="1"/>
      </tp>
      <tp>
        <v>15672280587.879999</v>
        <stp/>
        <stp>EM_HKS_VAL_MV</stp>
        <stp>3</stp>
        <stp>600728</stp>
        <stp>2019-12-31</stp>
        <stp>2</stp>
        <tr r="L794" s="1"/>
      </tp>
      <tp>
        <v>7701288669.3599997</v>
        <stp/>
        <stp>EM_HKS_VAL_MV</stp>
        <stp>3</stp>
        <stp>000848</stp>
        <stp>2019-12-31</stp>
        <stp>2</stp>
        <tr r="L2428" s="1"/>
      </tp>
      <tp>
        <v>8140317966.1999998</v>
        <stp/>
        <stp>EM_HKS_VAL_MV</stp>
        <stp>3</stp>
        <stp>600828</stp>
        <stp>2019-12-31</stp>
        <stp>2</stp>
        <tr r="L2265" s="1"/>
      </tp>
      <tp>
        <v>3382201912.4499998</v>
        <stp/>
        <stp>EM_HKS_VAL_MV</stp>
        <stp>3</stp>
        <stp>000948</stp>
        <stp>2019-12-31</stp>
        <stp>2</stp>
        <tr r="L1716" s="1"/>
      </tp>
      <tp>
        <v>4001261633.5999999</v>
        <stp/>
        <stp>EM_HKS_VAL_MV</stp>
        <stp>3</stp>
        <stp>601028</stp>
        <stp>2019-12-31</stp>
        <stp>2</stp>
        <tr r="L1709" s="1"/>
      </tp>
      <tp>
        <v>24969197476.75</v>
        <stp/>
        <stp>EM_HKS_VAL_MV</stp>
        <stp>3</stp>
        <stp>601128</stp>
        <stp>2019-12-31</stp>
        <stp>2</stp>
        <tr r="L693" s="1"/>
      </tp>
      <tp>
        <v>23719879400</v>
        <stp/>
        <stp>EM_HKS_VAL_MV</stp>
        <stp>3</stp>
        <stp>601228</stp>
        <stp>2019-12-31</stp>
        <stp>2</stp>
        <tr r="L2498" s="1"/>
      </tp>
      <tp>
        <v>418099151011.34998</v>
        <stp/>
        <stp>EM_HKS_VAL_MV</stp>
        <stp>3</stp>
        <stp>601328</stp>
        <stp>2019-12-31</stp>
        <stp>2</stp>
        <tr r="L2457" s="1"/>
      </tp>
      <tp>
        <v>985590263350</v>
        <stp/>
        <stp>EM_HKS_VAL_MV</stp>
        <stp>3</stp>
        <stp>601628</stp>
        <stp>2019-12-31</stp>
        <stp>2</stp>
        <tr r="L308" s="1"/>
      </tp>
      <tp>
        <v>40221500000</v>
        <stp/>
        <stp>EM_HKS_VAL_MV</stp>
        <stp>3</stp>
        <stp>601828</stp>
        <stp>2019-12-31</stp>
        <stp>2</stp>
        <tr r="L2154" s="1"/>
      </tp>
      <tp>
        <v>19366689000</v>
        <stp/>
        <stp>EM_HKS_VAL_MV</stp>
        <stp>3</stp>
        <stp>601928</stp>
        <stp>2019-12-31</stp>
        <stp>2</stp>
        <tr r="L2548" s="1"/>
      </tp>
      <tp>
        <v>30850625493.119999</v>
        <stp/>
        <stp>EM_HKS_VAL_MV</stp>
        <stp>3</stp>
        <stp>002049</stp>
        <stp>2019-12-31</stp>
        <stp>2</stp>
        <tr r="L262" s="1"/>
      </tp>
      <tp>
        <v>3284198195.2800002</v>
        <stp/>
        <stp>EM_HKS_VAL_MV</stp>
        <stp>3</stp>
        <stp>002149</stp>
        <stp>2019-12-31</stp>
        <stp>2</stp>
        <tr r="L618" s="1"/>
      </tp>
      <tp>
        <v>9130946433.0400009</v>
        <stp/>
        <stp>EM_HKS_VAL_MV</stp>
        <stp>3</stp>
        <stp>002249</stp>
        <stp>2019-12-31</stp>
        <stp>2</stp>
        <tr r="L1320" s="1"/>
      </tp>
      <tp>
        <v>3744045195.52</v>
        <stp/>
        <stp>EM_HKS_VAL_MV</stp>
        <stp>3</stp>
        <stp>002349</stp>
        <stp>2019-12-31</stp>
        <stp>2</stp>
        <tr r="L3126" s="1"/>
      </tp>
      <tp>
        <v>7910322991.5100002</v>
        <stp/>
        <stp>EM_HKS_VAL_MV</stp>
        <stp>3</stp>
        <stp>002449</stp>
        <stp>2019-12-31</stp>
        <stp>2</stp>
        <tr r="L1099" s="1"/>
      </tp>
      <tp>
        <v>3829518000</v>
        <stp/>
        <stp>EM_HKS_VAL_MV</stp>
        <stp>3</stp>
        <stp>002549</stp>
        <stp>2019-12-31</stp>
        <stp>2</stp>
        <tr r="L1576" s="1"/>
      </tp>
      <tp>
        <v>5209981361.2799997</v>
        <stp/>
        <stp>EM_HKS_VAL_MV</stp>
        <stp>3</stp>
        <stp>002649</stp>
        <stp>2019-12-31</stp>
        <stp>2</stp>
        <tr r="L807" s="1"/>
      </tp>
      <tp>
        <v>4595525369.4200001</v>
        <stp/>
        <stp>EM_HKS_VAL_MV</stp>
        <stp>3</stp>
        <stp>002749</stp>
        <stp>2019-12-31</stp>
        <stp>2</stp>
        <tr r="L3174" s="1"/>
      </tp>
      <tp>
        <v>1879063409</v>
        <stp/>
        <stp>EM_HKS_VAL_MV</stp>
        <stp>3</stp>
        <stp>002849</stp>
        <stp>2019-12-31</stp>
        <stp>2</stp>
        <tr r="L2282" s="1"/>
      </tp>
      <tp>
        <v>1363697400</v>
        <stp/>
        <stp>EM_HKS_VAL_MV</stp>
        <stp>3</stp>
        <stp>603029</stp>
        <stp>2019-12-31</stp>
        <stp>2</stp>
        <tr r="L1695" s="1"/>
      </tp>
      <tp>
        <v>5684502420</v>
        <stp/>
        <stp>EM_HKS_VAL_MV</stp>
        <stp>3</stp>
        <stp>603129</stp>
        <stp>2019-12-31</stp>
        <stp>2</stp>
        <tr r="L76" s="1"/>
      </tp>
      <tp>
        <v>3241600000</v>
        <stp/>
        <stp>EM_HKS_VAL_MV</stp>
        <stp>3</stp>
        <stp>603229</stp>
        <stp>2019-12-31</stp>
        <stp>2</stp>
        <tr r="L274" s="1"/>
      </tp>
      <tp>
        <v>1820280000</v>
        <stp/>
        <stp>EM_HKS_VAL_MV</stp>
        <stp>3</stp>
        <stp>603329</stp>
        <stp>2019-12-31</stp>
        <stp>2</stp>
        <tr r="L2895" s="1"/>
      </tp>
      <tp>
        <v>9394009701.5</v>
        <stp/>
        <stp>EM_HKS_VAL_MV</stp>
        <stp>3</stp>
        <stp>603429</stp>
        <stp>2019-12-31</stp>
        <stp>2</stp>
        <tr r="L535" s="1"/>
      </tp>
      <tp>
        <v>1484074200</v>
        <stp/>
        <stp>EM_HKS_VAL_MV</stp>
        <stp>3</stp>
        <stp>603729</stp>
        <stp>2019-12-31</stp>
        <stp>2</stp>
        <tr r="L2042" s="1"/>
      </tp>
      <tp>
        <v>1718400000</v>
        <stp/>
        <stp>EM_HKS_VAL_MV</stp>
        <stp>3</stp>
        <stp>603829</stp>
        <stp>2019-12-31</stp>
        <stp>2</stp>
        <tr r="L1573" s="1"/>
      </tp>
      <tp>
        <v>3251606400</v>
        <stp/>
        <stp>EM_HKS_VAL_MV</stp>
        <stp>3</stp>
        <stp>603929</stp>
        <stp>2019-12-31</stp>
        <stp>2</stp>
        <tr r="L2220" s="1"/>
      </tp>
      <tp>
        <v>8441235846.1199999</v>
        <stp/>
        <stp>EM_HKS_VAL_MV</stp>
        <stp>3</stp>
        <stp>000049</stp>
        <stp>2019-12-31</stp>
        <stp>2</stp>
        <tr r="L678" s="1"/>
      </tp>
      <tp>
        <v>8464468463.04</v>
        <stp/>
        <stp>EM_HKS_VAL_MV</stp>
        <stp>3</stp>
        <stp>300079</stp>
        <stp>2019-12-31</stp>
        <stp>2</stp>
        <tr r="L236" s="1"/>
      </tp>
      <tp>
        <v>88078297013.479996</v>
        <stp/>
        <stp>EM_HKS_VAL_MV</stp>
        <stp>3</stp>
        <stp>600029</stp>
        <stp>2019-12-31</stp>
        <stp>2</stp>
        <tr r="L1859" s="1"/>
      </tp>
      <tp>
        <v>2990700000</v>
        <stp/>
        <stp>EM_HKS_VAL_MV</stp>
        <stp>3</stp>
        <stp>300179</stp>
        <stp>2019-12-31</stp>
        <stp>2</stp>
        <tr r="L596" s="1"/>
      </tp>
      <tp>
        <v>6331847759.2799997</v>
        <stp/>
        <stp>EM_HKS_VAL_MV</stp>
        <stp>3</stp>
        <stp>600129</stp>
        <stp>2019-12-31</stp>
        <stp>2</stp>
        <tr r="L892" s="1"/>
      </tp>
      <tp>
        <v>2693651988</v>
        <stp/>
        <stp>EM_HKS_VAL_MV</stp>
        <stp>3</stp>
        <stp>300279</stp>
        <stp>2019-12-31</stp>
        <stp>2</stp>
        <tr r="L1022" s="1"/>
      </tp>
      <tp>
        <v>4984881671</v>
        <stp/>
        <stp>EM_HKS_VAL_MV</stp>
        <stp>3</stp>
        <stp>600229</stp>
        <stp>2019-12-31</stp>
        <stp>2</stp>
        <tr r="L2004" s="1"/>
      </tp>
      <tp>
        <v>13000930870</v>
        <stp/>
        <stp>EM_HKS_VAL_MV</stp>
        <stp>3</stp>
        <stp>300379</stp>
        <stp>2019-12-31</stp>
        <stp>2</stp>
        <tr r="L36" s="1"/>
      </tp>
      <tp>
        <v>10656580833.360001</v>
        <stp/>
        <stp>EM_HKS_VAL_MV</stp>
        <stp>3</stp>
        <stp>600329</stp>
        <stp>2019-12-31</stp>
        <stp>2</stp>
        <tr r="L1791" s="1"/>
      </tp>
      <tp>
        <v>2686588451.1900001</v>
        <stp/>
        <stp>EM_HKS_VAL_MV</stp>
        <stp>3</stp>
        <stp>300479</stp>
        <stp>2019-12-31</stp>
        <stp>2</stp>
        <tr r="L1154" s="1"/>
      </tp>
      <tp>
        <v>8161687971.6999998</v>
        <stp/>
        <stp>EM_HKS_VAL_MV</stp>
        <stp>3</stp>
        <stp>600429</stp>
        <stp>2019-12-31</stp>
        <stp>2</stp>
        <tr r="L2394" s="1"/>
      </tp>
      <tp>
        <v>8332950384</v>
        <stp/>
        <stp>EM_HKS_VAL_MV</stp>
        <stp>3</stp>
        <stp>000549</stp>
        <stp>2019-12-31</stp>
        <stp>2</stp>
        <tr r="L3451" s="1"/>
      </tp>
      <tp>
        <v>6996600000</v>
        <stp/>
        <stp>EM_HKS_VAL_MV</stp>
        <stp>3</stp>
        <stp>300579</stp>
        <stp>2019-12-31</stp>
        <stp>2</stp>
        <tr r="L330" s="1"/>
      </tp>
      <tp>
        <v>16444908527.08</v>
        <stp/>
        <stp>EM_HKS_VAL_MV</stp>
        <stp>3</stp>
        <stp>600529</stp>
        <stp>2019-12-31</stp>
        <stp>2</stp>
        <tr r="L589" s="1"/>
      </tp>
      <tp>
        <v>10684440000</v>
        <stp/>
        <stp>EM_HKS_VAL_MV</stp>
        <stp>3</stp>
        <stp>300679</stp>
        <stp>2019-12-31</stp>
        <stp>2</stp>
        <tr r="L739" s="1"/>
      </tp>
      <tp>
        <v>4641789900.2200003</v>
        <stp/>
        <stp>EM_HKS_VAL_MV</stp>
        <stp>3</stp>
        <stp>600629</stp>
        <stp>2019-12-31</stp>
        <stp>2</stp>
        <tr r="L3119" s="1"/>
      </tp>
      <tp>
        <v>12134874680.25</v>
        <stp/>
        <stp>EM_HKS_VAL_MV</stp>
        <stp>3</stp>
        <stp>600729</stp>
        <stp>2019-12-31</stp>
        <stp>2</stp>
        <tr r="L2021" s="1"/>
      </tp>
      <tp>
        <v>3954840231.54</v>
        <stp/>
        <stp>EM_HKS_VAL_MV</stp>
        <stp>3</stp>
        <stp>600829</stp>
        <stp>2019-12-31</stp>
        <stp>2</stp>
        <tr r="L1485" s="1"/>
      </tp>
      <tp>
        <v>4867128909.6300001</v>
        <stp/>
        <stp>EM_HKS_VAL_MV</stp>
        <stp>3</stp>
        <stp>000949</stp>
        <stp>2019-12-31</stp>
        <stp>2</stp>
        <tr r="L670" s="1"/>
      </tp>
      <tp>
        <v>6020447530.8800001</v>
        <stp/>
        <stp>EM_HKS_VAL_MV</stp>
        <stp>3</stp>
        <stp>600929</stp>
        <stp>2019-12-31</stp>
        <stp>2</stp>
        <tr r="L3072" s="1"/>
      </tp>
      <tp>
        <v>134819957363</v>
        <stp/>
        <stp>EM_HKS_VAL_MV</stp>
        <stp>3</stp>
        <stp>601229</stp>
        <stp>2019-12-31</stp>
        <stp>2</stp>
        <tr r="L2929" s="1"/>
      </tp>
      <tp>
        <v>6626560522.1400003</v>
        <stp/>
        <stp>EM_HKS_VAL_MV</stp>
        <stp>3</stp>
        <stp>601929</stp>
        <stp>2019-12-31</stp>
        <stp>2</stp>
        <tr r="L2062" s="1"/>
      </tp>
      <tp>
        <v>11152216573.700001</v>
        <stp/>
        <stp>EM_HKS_VAL_MV</stp>
        <stp>3</stp>
        <stp>002042</stp>
        <stp>2019-12-31</stp>
        <stp>2</stp>
        <tr r="L872" s="1"/>
      </tp>
      <tp>
        <v>158437476213.20001</v>
        <stp/>
        <stp>EM_HKS_VAL_MV</stp>
        <stp>3</stp>
        <stp>002142</stp>
        <stp>2019-12-31</stp>
        <stp>2</stp>
        <tr r="L303" s="1"/>
      </tp>
      <tp>
        <v>19305569920</v>
        <stp/>
        <stp>EM_HKS_VAL_MV</stp>
        <stp>3</stp>
        <stp>002242</stp>
        <stp>2019-12-31</stp>
        <stp>2</stp>
        <tr r="L504" s="1"/>
      </tp>
      <tp>
        <v>3014400000</v>
        <stp/>
        <stp>EM_HKS_VAL_MV</stp>
        <stp>3</stp>
        <stp>002342</stp>
        <stp>2019-12-31</stp>
        <stp>2</stp>
        <tr r="L2594" s="1"/>
      </tp>
      <tp>
        <v>2716800000</v>
        <stp/>
        <stp>EM_HKS_VAL_MV</stp>
        <stp>3</stp>
        <stp>002442</stp>
        <stp>2019-12-31</stp>
        <stp>2</stp>
        <tr r="L3101" s="1"/>
      </tp>
      <tp>
        <v>6752750208.1599998</v>
        <stp/>
        <stp>EM_HKS_VAL_MV</stp>
        <stp>3</stp>
        <stp>002542</stp>
        <stp>2019-12-31</stp>
        <stp>2</stp>
        <tr r="L2894" s="1"/>
      </tp>
      <tp>
        <v>4115029546.8600001</v>
        <stp/>
        <stp>EM_HKS_VAL_MV</stp>
        <stp>3</stp>
        <stp>002642</stp>
        <stp>2019-12-31</stp>
        <stp>2</stp>
        <tr r="L2603" s="1"/>
      </tp>
      <tp>
        <v>2617920000</v>
        <stp/>
        <stp>EM_HKS_VAL_MV</stp>
        <stp>3</stp>
        <stp>002742</stp>
        <stp>2019-12-31</stp>
        <stp>2</stp>
        <tr r="L3194" s="1"/>
      </tp>
      <tp>
        <v>3520392512</v>
        <stp/>
        <stp>EM_HKS_VAL_MV</stp>
        <stp>3</stp>
        <stp>002842</stp>
        <stp>2019-12-31</stp>
        <stp>2</stp>
        <tr r="L2843" s="1"/>
      </tp>
      <tp>
        <v>2546000000</v>
        <stp/>
        <stp>EM_HKS_VAL_MV</stp>
        <stp>3</stp>
        <stp>603022</stp>
        <stp>2019-12-31</stp>
        <stp>2</stp>
        <tr r="L185" s="1"/>
      </tp>
      <tp>
        <v>17600000000</v>
        <stp/>
        <stp>EM_HKS_VAL_MV</stp>
        <stp>3</stp>
        <stp>603222</stp>
        <stp>2019-12-31</stp>
        <stp>2</stp>
        <tr r="L29" s="1"/>
      </tp>
      <tp>
        <v>3263442000</v>
        <stp/>
        <stp>EM_HKS_VAL_MV</stp>
        <stp>3</stp>
        <stp>603322</stp>
        <stp>2019-12-31</stp>
        <stp>2</stp>
        <tr r="L3308" s="1"/>
      </tp>
      <tp>
        <v>2722380000</v>
        <stp/>
        <stp>EM_HKS_VAL_MV</stp>
        <stp>3</stp>
        <stp>603722</stp>
        <stp>2019-12-31</stp>
        <stp>2</stp>
        <tr r="L673" s="1"/>
      </tp>
      <tp>
        <v>2002592127.9000001</v>
        <stp/>
        <stp>EM_HKS_VAL_MV</stp>
        <stp>3</stp>
        <stp>603822</stp>
        <stp>2019-12-31</stp>
        <stp>2</stp>
        <tr r="L1362" s="1"/>
      </tp>
      <tp>
        <v>1971200000</v>
        <stp/>
        <stp>EM_HKS_VAL_MV</stp>
        <stp>3</stp>
        <stp>603922</stp>
        <stp>2019-12-31</stp>
        <stp>2</stp>
        <tr r="L2100" s="1"/>
      </tp>
      <tp>
        <v>7220066169.54</v>
        <stp/>
        <stp>EM_HKS_VAL_MV</stp>
        <stp>3</stp>
        <stp>000042</stp>
        <stp>2019-12-31</stp>
        <stp>2</stp>
        <tr r="L2432" s="1"/>
      </tp>
      <tp>
        <v>14850232308.639999</v>
        <stp/>
        <stp>EM_HKS_VAL_MV</stp>
        <stp>3</stp>
        <stp>300072</stp>
        <stp>2019-12-31</stp>
        <stp>2</stp>
        <tr r="L3283" s="1"/>
      </tp>
      <tp>
        <v>15653565950.879999</v>
        <stp/>
        <stp>EM_HKS_VAL_MV</stp>
        <stp>3</stp>
        <stp>600022</stp>
        <stp>2019-12-31</stp>
        <stp>2</stp>
        <tr r="L2738" s="1"/>
      </tp>
      <tp>
        <v>2672384000</v>
        <stp/>
        <stp>EM_HKS_VAL_MV</stp>
        <stp>3</stp>
        <stp>300172</stp>
        <stp>2019-12-31</stp>
        <stp>2</stp>
        <tr r="L2415" s="1"/>
      </tp>
      <tp>
        <v>3069384627.5</v>
        <stp/>
        <stp>EM_HKS_VAL_MV</stp>
        <stp>3</stp>
        <stp>600122</stp>
        <stp>2019-12-31</stp>
        <stp>2</stp>
        <tr r="L3190" s="1"/>
      </tp>
      <tp>
        <v>2845128371.9200001</v>
        <stp/>
        <stp>EM_HKS_VAL_MV</stp>
        <stp>3</stp>
        <stp>300272</stp>
        <stp>2019-12-31</stp>
        <stp>2</stp>
        <tr r="L3189" s="1"/>
      </tp>
      <tp>
        <v>2622660313.3099999</v>
        <stp/>
        <stp>EM_HKS_VAL_MV</stp>
        <stp>3</stp>
        <stp>600222</stp>
        <stp>2019-12-31</stp>
        <stp>2</stp>
        <tr r="L1015" s="1"/>
      </tp>
      <tp>
        <v>253904682.63999999</v>
        <stp/>
        <stp>EM_HKS_VAL_MV</stp>
        <stp>3</stp>
        <stp>300372</stp>
        <stp>2019-12-31</stp>
        <stp>2</stp>
        <tr r="L2283" s="1"/>
      </tp>
      <tp>
        <v>3317100000</v>
        <stp/>
        <stp>EM_HKS_VAL_MV</stp>
        <stp>3</stp>
        <stp>600322</stp>
        <stp>2019-12-31</stp>
        <stp>2</stp>
        <tr r="L2723" s="1"/>
      </tp>
      <tp>
        <v>2852867286.2399998</v>
        <stp/>
        <stp>EM_HKS_VAL_MV</stp>
        <stp>3</stp>
        <stp>300472</stp>
        <stp>2019-12-31</stp>
        <stp>2</stp>
        <tr r="L2439" s="1"/>
      </tp>
      <tp>
        <v>8164969808.1599998</v>
        <stp/>
        <stp>EM_HKS_VAL_MV</stp>
        <stp>3</stp>
        <stp>600422</stp>
        <stp>2019-12-31</stp>
        <stp>2</stp>
        <tr r="L333" s="1"/>
      </tp>
      <tp>
        <v>5142894592</v>
        <stp/>
        <stp>EM_HKS_VAL_MV</stp>
        <stp>3</stp>
        <stp>000542</stp>
        <stp>2019-12-31</stp>
        <stp>2</stp>
        <tr r="L3449" s="1"/>
      </tp>
      <tp>
        <v>9310652766.7199993</v>
        <stp/>
        <stp>EM_HKS_VAL_MV</stp>
        <stp>3</stp>
        <stp>300572</stp>
        <stp>2019-12-31</stp>
        <stp>2</stp>
        <tr r="L1863" s="1"/>
      </tp>
      <tp>
        <v>25448482509</v>
        <stp/>
        <stp>EM_HKS_VAL_MV</stp>
        <stp>3</stp>
        <stp>600522</stp>
        <stp>2019-12-31</stp>
        <stp>2</stp>
        <tr r="L2201" s="1"/>
      </tp>
      <tp>
        <v>7318574824.9200001</v>
        <stp/>
        <stp>EM_HKS_VAL_MV</stp>
        <stp>3</stp>
        <stp>300672</stp>
        <stp>2019-12-31</stp>
        <stp>2</stp>
        <tr r="L1657" s="1"/>
      </tp>
      <tp>
        <v>5848773067.8000002</v>
        <stp/>
        <stp>EM_HKS_VAL_MV</stp>
        <stp>3</stp>
        <stp>600622</stp>
        <stp>2019-12-31</stp>
        <stp>2</stp>
        <tr r="L3247" s="1"/>
      </tp>
      <tp>
        <v>3224715264.2399998</v>
        <stp/>
        <stp>EM_HKS_VAL_MV</stp>
        <stp>3</stp>
        <stp>600722</stp>
        <stp>2019-12-31</stp>
        <stp>2</stp>
        <tr r="L2048" s="1"/>
      </tp>
      <tp>
        <v>5068843181.0799999</v>
        <stp/>
        <stp>EM_HKS_VAL_MV</stp>
        <stp>3</stp>
        <stp>600822</stp>
        <stp>2019-12-31</stp>
        <stp>2</stp>
        <tr r="L1393" s="1"/>
      </tp>
      <tp>
        <v>8542280379.6000004</v>
        <stp/>
        <stp>EM_HKS_VAL_MV</stp>
        <stp>3</stp>
        <stp>601222</stp>
        <stp>2019-12-31</stp>
        <stp>2</stp>
        <tr r="L2421" s="1"/>
      </tp>
      <tp>
        <v>5694456614.6999998</v>
        <stp/>
        <stp>EM_HKS_VAL_MV</stp>
        <stp>3</stp>
        <stp>002043</stp>
        <stp>2019-12-31</stp>
        <stp>2</stp>
        <tr r="L656" s="1"/>
      </tp>
      <tp>
        <v>442458546</v>
        <stp/>
        <stp>EM_HKS_VAL_MV</stp>
        <stp>3</stp>
        <stp>002143</stp>
        <stp>2019-12-31</stp>
        <stp>2</stp>
        <tr r="L3411" s="1"/>
      </tp>
      <tp>
        <v>17469090885</v>
        <stp/>
        <stp>EM_HKS_VAL_MV</stp>
        <stp>3</stp>
        <stp>002243</stp>
        <stp>2019-12-31</stp>
        <stp>2</stp>
        <tr r="L1825" s="1"/>
      </tp>
      <tp>
        <v>5751640697.46</v>
        <stp/>
        <stp>EM_HKS_VAL_MV</stp>
        <stp>3</stp>
        <stp>002343</stp>
        <stp>2019-12-31</stp>
        <stp>2</stp>
        <tr r="L1031" s="1"/>
      </tp>
      <tp>
        <v>3497998694.4000001</v>
        <stp/>
        <stp>EM_HKS_VAL_MV</stp>
        <stp>3</stp>
        <stp>002443</stp>
        <stp>2019-12-31</stp>
        <stp>2</stp>
        <tr r="L1085" s="1"/>
      </tp>
      <tp>
        <v>7116252000</v>
        <stp/>
        <stp>EM_HKS_VAL_MV</stp>
        <stp>3</stp>
        <stp>002543</stp>
        <stp>2019-12-31</stp>
        <stp>2</stp>
        <tr r="L3167" s="1"/>
      </tp>
      <tp>
        <v>13809733535.85</v>
        <stp/>
        <stp>EM_HKS_VAL_MV</stp>
        <stp>3</stp>
        <stp>002643</stp>
        <stp>2019-12-31</stp>
        <stp>2</stp>
        <tr r="L561" s="1"/>
      </tp>
      <tp>
        <v>2186118220</v>
        <stp/>
        <stp>EM_HKS_VAL_MV</stp>
        <stp>3</stp>
        <stp>002743</stp>
        <stp>2019-12-31</stp>
        <stp>2</stp>
        <tr r="L1568" s="1"/>
      </tp>
      <tp>
        <v>1722000000</v>
        <stp/>
        <stp>EM_HKS_VAL_MV</stp>
        <stp>3</stp>
        <stp>002843</stp>
        <stp>2019-12-31</stp>
        <stp>2</stp>
        <tr r="L3239" s="1"/>
      </tp>
      <tp>
        <v>2185075794.1399999</v>
        <stp/>
        <stp>EM_HKS_VAL_MV</stp>
        <stp>3</stp>
        <stp>603023</stp>
        <stp>2019-12-31</stp>
        <stp>2</stp>
        <tr r="L2040" s="1"/>
      </tp>
      <tp>
        <v>3579905036.2600002</v>
        <stp/>
        <stp>EM_HKS_VAL_MV</stp>
        <stp>3</stp>
        <stp>603123</stp>
        <stp>2019-12-31</stp>
        <stp>2</stp>
        <tr r="L1396" s="1"/>
      </tp>
      <tp>
        <v>1780934400</v>
        <stp/>
        <stp>EM_HKS_VAL_MV</stp>
        <stp>3</stp>
        <stp>603223</stp>
        <stp>2019-12-31</stp>
        <stp>2</stp>
        <tr r="L3307" s="1"/>
      </tp>
      <tp>
        <v>9538215135.4699993</v>
        <stp/>
        <stp>EM_HKS_VAL_MV</stp>
        <stp>3</stp>
        <stp>603323</stp>
        <stp>2019-12-31</stp>
        <stp>2</stp>
        <tr r="L2888" s="1"/>
      </tp>
      <tp>
        <v>5962500000</v>
        <stp/>
        <stp>EM_HKS_VAL_MV</stp>
        <stp>3</stp>
        <stp>603823</stp>
        <stp>2019-12-31</stp>
        <stp>2</stp>
        <tr r="L322" s="1"/>
      </tp>
      <tp>
        <v>0</v>
        <stp/>
        <stp>EM_HKS_VAL_MV</stp>
        <stp>3</stp>
        <stp>000043</stp>
        <stp>2019-12-31</stp>
        <stp>2</stp>
        <tr r="L4" s="1"/>
      </tp>
      <tp>
        <v>11922531702.9</v>
        <stp/>
        <stp>EM_HKS_VAL_MV</stp>
        <stp>3</stp>
        <stp>300073</stp>
        <stp>2019-12-31</stp>
        <stp>2</stp>
        <tr r="L2284" s="1"/>
      </tp>
      <tp>
        <v>53858732352.480003</v>
        <stp/>
        <stp>EM_HKS_VAL_MV</stp>
        <stp>3</stp>
        <stp>600023</stp>
        <stp>2019-12-31</stp>
        <stp>2</stp>
        <tr r="L2977" s="1"/>
      </tp>
      <tp>
        <v>4326012112.1400003</v>
        <stp/>
        <stp>EM_HKS_VAL_MV</stp>
        <stp>3</stp>
        <stp>300173</stp>
        <stp>2019-12-31</stp>
        <stp>2</stp>
        <tr r="L450" s="1"/>
      </tp>
      <tp>
        <v>7334208000</v>
        <stp/>
        <stp>EM_HKS_VAL_MV</stp>
        <stp>3</stp>
        <stp>600123</stp>
        <stp>2019-12-31</stp>
        <stp>2</stp>
        <tr r="L2399" s="1"/>
      </tp>
      <tp>
        <v>3957012264.48</v>
        <stp/>
        <stp>EM_HKS_VAL_MV</stp>
        <stp>3</stp>
        <stp>300273</stp>
        <stp>2019-12-31</stp>
        <stp>2</stp>
        <tr r="L1936" s="1"/>
      </tp>
      <tp>
        <v>8438160240</v>
        <stp/>
        <stp>EM_HKS_VAL_MV</stp>
        <stp>3</stp>
        <stp>600223</stp>
        <stp>2019-12-31</stp>
        <stp>2</stp>
        <tr r="L86" s="1"/>
      </tp>
      <tp>
        <v>8120692639.6000004</v>
        <stp/>
        <stp>EM_HKS_VAL_MV</stp>
        <stp>3</stp>
        <stp>300373</stp>
        <stp>2019-12-31</stp>
        <stp>2</stp>
        <tr r="L1293" s="1"/>
      </tp>
      <tp>
        <v>13440270875.719999</v>
        <stp/>
        <stp>EM_HKS_VAL_MV</stp>
        <stp>3</stp>
        <stp>600323</stp>
        <stp>2019-12-31</stp>
        <stp>2</stp>
        <tr r="L1110" s="1"/>
      </tp>
      <tp>
        <v>4917731308.6000004</v>
        <stp/>
        <stp>EM_HKS_VAL_MV</stp>
        <stp>3</stp>
        <stp>300473</stp>
        <stp>2019-12-31</stp>
        <stp>2</stp>
        <tr r="L898" s="1"/>
      </tp>
      <tp>
        <v>2659654436.5799999</v>
        <stp/>
        <stp>EM_HKS_VAL_MV</stp>
        <stp>3</stp>
        <stp>600423</stp>
        <stp>2019-12-31</stp>
        <stp>2</stp>
        <tr r="L2841" s="1"/>
      </tp>
      <tp>
        <v>10518245855.84</v>
        <stp/>
        <stp>EM_HKS_VAL_MV</stp>
        <stp>3</stp>
        <stp>000543</stp>
        <stp>2019-12-31</stp>
        <stp>2</stp>
        <tr r="L2463" s="1"/>
      </tp>
      <tp>
        <v>6047064800</v>
        <stp/>
        <stp>EM_HKS_VAL_MV</stp>
        <stp>3</stp>
        <stp>300573</stp>
        <stp>2019-12-31</stp>
        <stp>2</stp>
        <tr r="L25" s="1"/>
      </tp>
      <tp>
        <v>5539065084</v>
        <stp/>
        <stp>EM_HKS_VAL_MV</stp>
        <stp>3</stp>
        <stp>600523</stp>
        <stp>2019-12-31</stp>
        <stp>2</stp>
        <tr r="L688" s="1"/>
      </tp>
      <tp>
        <v>4088869230</v>
        <stp/>
        <stp>EM_HKS_VAL_MV</stp>
        <stp>3</stp>
        <stp>300673</stp>
        <stp>2019-12-31</stp>
        <stp>2</stp>
        <tr r="L3263" s="1"/>
      </tp>
      <tp>
        <v>14000223473.950001</v>
        <stp/>
        <stp>EM_HKS_VAL_MV</stp>
        <stp>3</stp>
        <stp>600623</stp>
        <stp>2019-12-31</stp>
        <stp>2</stp>
        <tr r="L3024" s="1"/>
      </tp>
      <tp>
        <v>4029454230.48</v>
        <stp/>
        <stp>EM_HKS_VAL_MV</stp>
        <stp>3</stp>
        <stp>600723</stp>
        <stp>2019-12-31</stp>
        <stp>2</stp>
        <tr r="L2405" s="1"/>
      </tp>
      <tp>
        <v>16880257174.5</v>
        <stp/>
        <stp>EM_HKS_VAL_MV</stp>
        <stp>3</stp>
        <stp>600823</stp>
        <stp>2019-12-31</stp>
        <stp>2</stp>
        <tr r="L1206" s="1"/>
      </tp>
      <tp>
        <v>3392607268</v>
        <stp/>
        <stp>EM_HKS_VAL_MV</stp>
        <stp>3</stp>
        <stp>002040</stp>
        <stp>2019-12-31</stp>
        <stp>2</stp>
        <tr r="L2768" s="1"/>
      </tp>
      <tp>
        <v>3757394908.8000002</v>
        <stp/>
        <stp>EM_HKS_VAL_MV</stp>
        <stp>3</stp>
        <stp>002140</stp>
        <stp>2019-12-31</stp>
        <stp>2</stp>
        <tr r="L1194" s="1"/>
      </tp>
      <tp>
        <v>5224788248.5500002</v>
        <stp/>
        <stp>EM_HKS_VAL_MV</stp>
        <stp>3</stp>
        <stp>002240</stp>
        <stp>2019-12-31</stp>
        <stp>2</stp>
        <tr r="L1935" s="1"/>
      </tp>
      <tp>
        <v>20208716961.509998</v>
        <stp/>
        <stp>EM_HKS_VAL_MV</stp>
        <stp>3</stp>
        <stp>002340</stp>
        <stp>2019-12-31</stp>
        <stp>2</stp>
        <tr r="L1005" s="1"/>
      </tp>
      <tp>
        <v>12885600000</v>
        <stp/>
        <stp>EM_HKS_VAL_MV</stp>
        <stp>3</stp>
        <stp>002440</stp>
        <stp>2019-12-31</stp>
        <stp>2</stp>
        <tr r="L1133" s="1"/>
      </tp>
      <tp>
        <v>5412455670</v>
        <stp/>
        <stp>EM_HKS_VAL_MV</stp>
        <stp>3</stp>
        <stp>002540</stp>
        <stp>2019-12-31</stp>
        <stp>2</stp>
        <tr r="L2657" s="1"/>
      </tp>
      <tp>
        <v>12028079067.6</v>
        <stp/>
        <stp>EM_HKS_VAL_MV</stp>
        <stp>3</stp>
        <stp>002640</stp>
        <stp>2019-12-31</stp>
        <stp>2</stp>
        <tr r="L3219" s="1"/>
      </tp>
      <tp>
        <v>2851503563.5599999</v>
        <stp/>
        <stp>EM_HKS_VAL_MV</stp>
        <stp>3</stp>
        <stp>002740</stp>
        <stp>2019-12-31</stp>
        <stp>2</stp>
        <tr r="L1265" s="1"/>
      </tp>
      <tp>
        <v>4521620815</v>
        <stp/>
        <stp>EM_HKS_VAL_MV</stp>
        <stp>3</stp>
        <stp>002840</stp>
        <stp>2019-12-31</stp>
        <stp>2</stp>
        <tr r="L1148" s="1"/>
      </tp>
      <tp>
        <v>2630400000</v>
        <stp/>
        <stp>EM_HKS_VAL_MV</stp>
        <stp>3</stp>
        <stp>603020</stp>
        <stp>2019-12-31</stp>
        <stp>2</stp>
        <tr r="L1717" s="1"/>
      </tp>
      <tp>
        <v>1684000000</v>
        <stp/>
        <stp>EM_HKS_VAL_MV</stp>
        <stp>3</stp>
        <stp>603320</stp>
        <stp>2019-12-31</stp>
        <stp>2</stp>
        <tr r="L2682" s="1"/>
      </tp>
      <tp>
        <v>7135681490</v>
        <stp/>
        <stp>EM_HKS_VAL_MV</stp>
        <stp>3</stp>
        <stp>603520</stp>
        <stp>2019-12-31</stp>
        <stp>2</stp>
        <tr r="L419" s="1"/>
      </tp>
      <tp>
        <v>7820623208</v>
        <stp/>
        <stp>EM_HKS_VAL_MV</stp>
        <stp>3</stp>
        <stp>603920</stp>
        <stp>2019-12-31</stp>
        <stp>2</stp>
        <tr r="L354" s="1"/>
      </tp>
      <tp>
        <v>6215132776.6000004</v>
        <stp/>
        <stp>EM_HKS_VAL_MV</stp>
        <stp>3</stp>
        <stp>000040</stp>
        <stp>2019-12-31</stp>
        <stp>2</stp>
        <tr r="L3327" s="1"/>
      </tp>
      <tp>
        <v>24050934114.400002</v>
        <stp/>
        <stp>EM_HKS_VAL_MV</stp>
        <stp>3</stp>
        <stp>300070</stp>
        <stp>2019-12-31</stp>
        <stp>2</stp>
        <tr r="L2453" s="1"/>
      </tp>
      <tp>
        <v>9888436060.7999992</v>
        <stp/>
        <stp>EM_HKS_VAL_MV</stp>
        <stp>3</stp>
        <stp>600020</stp>
        <stp>2019-12-31</stp>
        <stp>2</stp>
        <tr r="L1292" s="1"/>
      </tp>
      <tp>
        <v>8566124138.9099998</v>
        <stp/>
        <stp>EM_HKS_VAL_MV</stp>
        <stp>3</stp>
        <stp>300170</stp>
        <stp>2019-12-31</stp>
        <stp>2</stp>
        <tr r="L2376" s="1"/>
      </tp>
      <tp>
        <v>13892802660.9</v>
        <stp/>
        <stp>EM_HKS_VAL_MV</stp>
        <stp>3</stp>
        <stp>600120</stp>
        <stp>2019-12-31</stp>
        <stp>2</stp>
        <tr r="L3210" s="1"/>
      </tp>
      <tp>
        <v>2489065550.1599998</v>
        <stp/>
        <stp>EM_HKS_VAL_MV</stp>
        <stp>3</stp>
        <stp>300270</stp>
        <stp>2019-12-31</stp>
        <stp>2</stp>
        <tr r="L966" s="1"/>
      </tp>
      <tp>
        <v>4066015943.2800002</v>
        <stp/>
        <stp>EM_HKS_VAL_MV</stp>
        <stp>3</stp>
        <stp>600220</stp>
        <stp>2019-12-31</stp>
        <stp>2</stp>
        <tr r="L1873" s="1"/>
      </tp>
      <tp>
        <v>3340440740.5599999</v>
        <stp/>
        <stp>EM_HKS_VAL_MV</stp>
        <stp>3</stp>
        <stp>300370</stp>
        <stp>2019-12-31</stp>
        <stp>2</stp>
        <tr r="L888" s="1"/>
      </tp>
      <tp>
        <v>19124123208.630001</v>
        <stp/>
        <stp>EM_HKS_VAL_MV</stp>
        <stp>3</stp>
        <stp>600320</stp>
        <stp>2019-12-31</stp>
        <stp>2</stp>
        <tr r="L1504" s="1"/>
      </tp>
      <tp>
        <v>5316106642</v>
        <stp/>
        <stp>EM_HKS_VAL_MV</stp>
        <stp>3</stp>
        <stp>300470</stp>
        <stp>2019-12-31</stp>
        <stp>2</stp>
        <tr r="L1244" s="1"/>
      </tp>
      <tp>
        <v>9180845924.3999996</v>
        <stp/>
        <stp>EM_HKS_VAL_MV</stp>
        <stp>3</stp>
        <stp>600420</stp>
        <stp>2019-12-31</stp>
        <stp>2</stp>
        <tr r="L2530" s="1"/>
      </tp>
      <tp>
        <v>23327498081.07</v>
        <stp/>
        <stp>EM_HKS_VAL_MV</stp>
        <stp>3</stp>
        <stp>000540</stp>
        <stp>2019-12-31</stp>
        <stp>2</stp>
        <tr r="L3448" s="1"/>
      </tp>
      <tp>
        <v>6262812864</v>
        <stp/>
        <stp>EM_HKS_VAL_MV</stp>
        <stp>3</stp>
        <stp>300570</stp>
        <stp>2019-12-31</stp>
        <stp>2</stp>
        <tr r="L674" s="1"/>
      </tp>
      <tp>
        <v>1712628300</v>
        <stp/>
        <stp>EM_HKS_VAL_MV</stp>
        <stp>3</stp>
        <stp>600520</stp>
        <stp>2019-12-31</stp>
        <stp>2</stp>
        <tr r="L3023" s="1"/>
      </tp>
      <tp>
        <v>2647162214.02</v>
        <stp/>
        <stp>EM_HKS_VAL_MV</stp>
        <stp>3</stp>
        <stp>300670</stp>
        <stp>2019-12-31</stp>
        <stp>2</stp>
        <tr r="L3362" s="1"/>
      </tp>
      <tp>
        <v>4442800921.1099997</v>
        <stp/>
        <stp>EM_HKS_VAL_MV</stp>
        <stp>3</stp>
        <stp>600620</stp>
        <stp>2019-12-31</stp>
        <stp>2</stp>
        <tr r="L1374" s="1"/>
      </tp>
      <tp>
        <v>9742443039.1000004</v>
        <stp/>
        <stp>EM_HKS_VAL_MV</stp>
        <stp>3</stp>
        <stp>600720</stp>
        <stp>2019-12-31</stp>
        <stp>2</stp>
        <tr r="L201" s="1"/>
      </tp>
      <tp>
        <v>18990340407.759998</v>
        <stp/>
        <stp>EM_HKS_VAL_MV</stp>
        <stp>3</stp>
        <stp>600820</stp>
        <stp>2019-12-31</stp>
        <stp>2</stp>
        <tr r="L2521" s="1"/>
      </tp>
      <tp>
        <v>4801620292.6999998</v>
        <stp/>
        <stp>EM_HKS_VAL_MV</stp>
        <stp>3</stp>
        <stp>601020</stp>
        <stp>2019-12-31</stp>
        <stp>2</stp>
        <tr r="L1826" s="1"/>
      </tp>
      <tp>
        <v>8474400000</v>
        <stp/>
        <stp>EM_HKS_VAL_MV</stp>
        <stp>3</stp>
        <stp>002041</stp>
        <stp>2019-12-31</stp>
        <stp>2</stp>
        <tr r="L3615" s="1"/>
      </tp>
      <tp>
        <v>4164189424.73</v>
        <stp/>
        <stp>EM_HKS_VAL_MV</stp>
        <stp>3</stp>
        <stp>002141</stp>
        <stp>2019-12-31</stp>
        <stp>2</stp>
        <tr r="L2946" s="1"/>
      </tp>
      <tp>
        <v>64642470644.160004</v>
        <stp/>
        <stp>EM_HKS_VAL_MV</stp>
        <stp>3</stp>
        <stp>002241</stp>
        <stp>2019-12-31</stp>
        <stp>2</stp>
        <tr r="L52" s="1"/>
      </tp>
      <tp>
        <v>6544578882.5600004</v>
        <stp/>
        <stp>EM_HKS_VAL_MV</stp>
        <stp>3</stp>
        <stp>002341</stp>
        <stp>2019-12-31</stp>
        <stp>2</stp>
        <tr r="L3376" s="1"/>
      </tp>
      <tp>
        <v>4059106492.0500002</v>
        <stp/>
        <stp>EM_HKS_VAL_MV</stp>
        <stp>3</stp>
        <stp>002441</stp>
        <stp>2019-12-31</stp>
        <stp>2</stp>
        <tr r="L1561" s="1"/>
      </tp>
      <tp>
        <v>5546182653.2700005</v>
        <stp/>
        <stp>EM_HKS_VAL_MV</stp>
        <stp>3</stp>
        <stp>002541</stp>
        <stp>2019-12-31</stp>
        <stp>2</stp>
        <tr r="L538" s="1"/>
      </tp>
      <tp>
        <v>5245344000</v>
        <stp/>
        <stp>EM_HKS_VAL_MV</stp>
        <stp>3</stp>
        <stp>002641</stp>
        <stp>2019-12-31</stp>
        <stp>2</stp>
        <tr r="L718" s="1"/>
      </tp>
      <tp>
        <v>4662968448.8800001</v>
        <stp/>
        <stp>EM_HKS_VAL_MV</stp>
        <stp>3</stp>
        <stp>002741</stp>
        <stp>2019-12-31</stp>
        <stp>2</stp>
        <tr r="L3107" s="1"/>
      </tp>
      <tp>
        <v>56190177095.099998</v>
        <stp/>
        <stp>EM_HKS_VAL_MV</stp>
        <stp>3</stp>
        <stp>002841</stp>
        <stp>2019-12-31</stp>
        <stp>2</stp>
        <tr r="L563" s="1"/>
      </tp>
      <tp>
        <v>2652369500.3000002</v>
        <stp/>
        <stp>EM_HKS_VAL_MV</stp>
        <stp>3</stp>
        <stp>603021</stp>
        <stp>2019-12-31</stp>
        <stp>2</stp>
        <tr r="L717" s="1"/>
      </tp>
      <tp>
        <v>2529680000</v>
        <stp/>
        <stp>EM_HKS_VAL_MV</stp>
        <stp>3</stp>
        <stp>603321</stp>
        <stp>2019-12-31</stp>
        <stp>2</stp>
        <tr r="L1483" s="1"/>
      </tp>
      <tp>
        <v>8127338381.8000002</v>
        <stp/>
        <stp>EM_HKS_VAL_MV</stp>
        <stp>3</stp>
        <stp>603421</stp>
        <stp>2019-12-31</stp>
        <stp>2</stp>
        <tr r="L3047" s="1"/>
      </tp>
      <tp>
        <v>3424200000</v>
        <stp/>
        <stp>EM_HKS_VAL_MV</stp>
        <stp>3</stp>
        <stp>603721</stp>
        <stp>2019-12-31</stp>
        <stp>2</stp>
        <tr r="L277" s="1"/>
      </tp>
      <tp>
        <v>1926879025.4000001</v>
        <stp/>
        <stp>EM_HKS_VAL_MV</stp>
        <stp>3</stp>
        <stp>300071</stp>
        <stp>2019-12-31</stp>
        <stp>2</stp>
        <tr r="L3121" s="1"/>
      </tp>
      <tp>
        <v>21068171785.849998</v>
        <stp/>
        <stp>EM_HKS_VAL_MV</stp>
        <stp>3</stp>
        <stp>600021</stp>
        <stp>2019-12-31</stp>
        <stp>2</stp>
        <tr r="L2411" s="1"/>
      </tp>
      <tp>
        <v>4454909613.6000004</v>
        <stp/>
        <stp>EM_HKS_VAL_MV</stp>
        <stp>3</stp>
        <stp>300171</stp>
        <stp>2019-12-31</stp>
        <stp>2</stp>
        <tr r="L2262" s="1"/>
      </tp>
      <tp>
        <v>2887636530.0599999</v>
        <stp/>
        <stp>EM_HKS_VAL_MV</stp>
        <stp>3</stp>
        <stp>600121</stp>
        <stp>2019-12-31</stp>
        <stp>2</stp>
        <tr r="L3036" s="1"/>
      </tp>
      <tp>
        <v>20558524364.200001</v>
        <stp/>
        <stp>EM_HKS_VAL_MV</stp>
        <stp>3</stp>
        <stp>300271</stp>
        <stp>2019-12-31</stp>
        <stp>2</stp>
        <tr r="L312" s="1"/>
      </tp>
      <tp>
        <v>29074588170.900002</v>
        <stp/>
        <stp>EM_HKS_VAL_MV</stp>
        <stp>3</stp>
        <stp>600221</stp>
        <stp>2019-12-31</stp>
        <stp>2</stp>
        <tr r="L2679" s="1"/>
      </tp>
      <tp>
        <v>2258886812</v>
        <stp/>
        <stp>EM_HKS_VAL_MV</stp>
        <stp>3</stp>
        <stp>300371</stp>
        <stp>2019-12-31</stp>
        <stp>2</stp>
        <tr r="L1838" s="1"/>
      </tp>
      <tp>
        <v>3277893500</v>
        <stp/>
        <stp>EM_HKS_VAL_MV</stp>
        <stp>3</stp>
        <stp>600321</stp>
        <stp>2019-12-31</stp>
        <stp>2</stp>
        <tr r="L1240" s="1"/>
      </tp>
      <tp>
        <v>3318952000</v>
        <stp/>
        <stp>EM_HKS_VAL_MV</stp>
        <stp>3</stp>
        <stp>300471</stp>
        <stp>2019-12-31</stp>
        <stp>2</stp>
        <tr r="L341" s="1"/>
      </tp>
      <tp>
        <v>1596096000</v>
        <stp/>
        <stp>EM_HKS_VAL_MV</stp>
        <stp>3</stp>
        <stp>600421</stp>
        <stp>2019-12-31</stp>
        <stp>2</stp>
        <tr r="L1884" s="1"/>
      </tp>
      <tp>
        <v>6856796154.6000004</v>
        <stp/>
        <stp>EM_HKS_VAL_MV</stp>
        <stp>3</stp>
        <stp>000541</stp>
        <stp>2019-12-31</stp>
        <stp>2</stp>
        <tr r="L2586" s="1"/>
      </tp>
      <tp>
        <v>6837922599.1999998</v>
        <stp/>
        <stp>EM_HKS_VAL_MV</stp>
        <stp>3</stp>
        <stp>300571</stp>
        <stp>2019-12-31</stp>
        <stp>2</stp>
        <tr r="L939" s="1"/>
      </tp>
      <tp>
        <v>22824122631.52</v>
        <stp/>
        <stp>EM_HKS_VAL_MV</stp>
        <stp>3</stp>
        <stp>600521</stp>
        <stp>2019-12-31</stp>
        <stp>2</stp>
        <tr r="L489" s="1"/>
      </tp>
      <tp>
        <v>3142863500</v>
        <stp/>
        <stp>EM_HKS_VAL_MV</stp>
        <stp>3</stp>
        <stp>300671</stp>
        <stp>2019-12-31</stp>
        <stp>2</stp>
        <tr r="L929" s="1"/>
      </tp>
      <tp>
        <v>16242368160.52</v>
        <stp/>
        <stp>EM_HKS_VAL_MV</stp>
        <stp>3</stp>
        <stp>600621</stp>
        <stp>2019-12-31</stp>
        <stp>2</stp>
        <tr r="L302" s="1"/>
      </tp>
      <tp>
        <v>2562472921.5999999</v>
        <stp/>
        <stp>EM_HKS_VAL_MV</stp>
        <stp>3</stp>
        <stp>600721</stp>
        <stp>2019-12-31</stp>
        <stp>2</stp>
        <tr r="L1284" s="1"/>
      </tp>
      <tp>
        <v>1910671152.75</v>
        <stp/>
        <stp>EM_HKS_VAL_MV</stp>
        <stp>3</stp>
        <stp>600821</stp>
        <stp>2019-12-31</stp>
        <stp>2</stp>
        <tr r="L1516" s="1"/>
      </tp>
      <tp>
        <v>40235179323.57</v>
        <stp/>
        <stp>EM_HKS_VAL_MV</stp>
        <stp>3</stp>
        <stp>601021</stp>
        <stp>2019-12-31</stp>
        <stp>2</stp>
        <tr r="L777" s="1"/>
      </tp>
      <tp>
        <v>3539356276.5</v>
        <stp/>
        <stp>EM_HKS_VAL_MV</stp>
        <stp>3</stp>
        <stp>002046</stp>
        <stp>2019-12-31</stp>
        <stp>2</stp>
        <tr r="L1952" s="1"/>
      </tp>
      <tp>
        <v>42742450655.330002</v>
        <stp/>
        <stp>EM_HKS_VAL_MV</stp>
        <stp>3</stp>
        <stp>002146</stp>
        <stp>2019-12-31</stp>
        <stp>2</stp>
        <tr r="L1173" s="1"/>
      </tp>
      <tp>
        <v>4128741650.8800001</v>
        <stp/>
        <stp>EM_HKS_VAL_MV</stp>
        <stp>3</stp>
        <stp>002246</stp>
        <stp>2019-12-31</stp>
        <stp>2</stp>
        <tr r="L1557" s="1"/>
      </tp>
      <tp>
        <v>4963307675.8400002</v>
        <stp/>
        <stp>EM_HKS_VAL_MV</stp>
        <stp>3</stp>
        <stp>002346</stp>
        <stp>2019-12-31</stp>
        <stp>2</stp>
        <tr r="L2763" s="1"/>
      </tp>
      <tp>
        <v>8118718981</v>
        <stp/>
        <stp>EM_HKS_VAL_MV</stp>
        <stp>3</stp>
        <stp>002446</stp>
        <stp>2019-12-31</stp>
        <stp>2</stp>
        <tr r="L1496" s="1"/>
      </tp>
      <tp>
        <v>3461303748.4000001</v>
        <stp/>
        <stp>EM_HKS_VAL_MV</stp>
        <stp>3</stp>
        <stp>002546</stp>
        <stp>2019-12-31</stp>
        <stp>2</stp>
        <tr r="L1763" s="1"/>
      </tp>
      <tp>
        <v>4819500000</v>
        <stp/>
        <stp>EM_HKS_VAL_MV</stp>
        <stp>3</stp>
        <stp>002646</stp>
        <stp>2019-12-31</stp>
        <stp>2</stp>
        <tr r="L2254" s="1"/>
      </tp>
      <tp>
        <v>7219692396.2700005</v>
        <stp/>
        <stp>EM_HKS_VAL_MV</stp>
        <stp>3</stp>
        <stp>002746</stp>
        <stp>2019-12-31</stp>
        <stp>2</stp>
        <tr r="L1580" s="1"/>
      </tp>
      <tp>
        <v>3657246720</v>
        <stp/>
        <stp>EM_HKS_VAL_MV</stp>
        <stp>3</stp>
        <stp>002846</stp>
        <stp>2019-12-31</stp>
        <stp>2</stp>
        <tr r="L237" s="1"/>
      </tp>
      <tp>
        <v>7097853600</v>
        <stp/>
        <stp>EM_HKS_VAL_MV</stp>
        <stp>3</stp>
        <stp>603026</stp>
        <stp>2019-12-31</stp>
        <stp>2</stp>
        <tr r="L220" s="1"/>
      </tp>
      <tp>
        <v>2991450000</v>
        <stp/>
        <stp>EM_HKS_VAL_MV</stp>
        <stp>3</stp>
        <stp>603126</stp>
        <stp>2019-12-31</stp>
        <stp>2</stp>
        <tr r="L2549" s="1"/>
      </tp>
      <tp>
        <v>2878316571</v>
        <stp/>
        <stp>EM_HKS_VAL_MV</stp>
        <stp>3</stp>
        <stp>603226</stp>
        <stp>2019-12-31</stp>
        <stp>2</stp>
        <tr r="L1365" s="1"/>
      </tp>
      <tp>
        <v>3468179000</v>
        <stp/>
        <stp>EM_HKS_VAL_MV</stp>
        <stp>3</stp>
        <stp>603326</stp>
        <stp>2019-12-31</stp>
        <stp>2</stp>
        <tr r="L798" s="1"/>
      </tp>
      <tp>
        <v>4403381806.3400002</v>
        <stp/>
        <stp>EM_HKS_VAL_MV</stp>
        <stp>3</stp>
        <stp>603626</stp>
        <stp>2019-12-31</stp>
        <stp>2</stp>
        <tr r="L770" s="1"/>
      </tp>
      <tp>
        <v>2172119040</v>
        <stp/>
        <stp>EM_HKS_VAL_MV</stp>
        <stp>3</stp>
        <stp>603726</stp>
        <stp>2019-12-31</stp>
        <stp>2</stp>
        <tr r="L3291" s="1"/>
      </tp>
      <tp>
        <v>7670520000</v>
        <stp/>
        <stp>EM_HKS_VAL_MV</stp>
        <stp>3</stp>
        <stp>603826</stp>
        <stp>2019-12-31</stp>
        <stp>2</stp>
        <tr r="L1431" s="1"/>
      </tp>
      <tp>
        <v>1916350995</v>
        <stp/>
        <stp>EM_HKS_VAL_MV</stp>
        <stp>3</stp>
        <stp>603926</stp>
        <stp>2019-12-31</stp>
        <stp>2</stp>
        <tr r="L2907" s="1"/>
      </tp>
      <tp>
        <v>23642712984.799999</v>
        <stp/>
        <stp>EM_HKS_VAL_MV</stp>
        <stp>3</stp>
        <stp>000046</stp>
        <stp>2019-12-31</stp>
        <stp>2</stp>
        <tr r="L2270" s="1"/>
      </tp>
      <tp>
        <v>2476160000</v>
        <stp/>
        <stp>EM_HKS_VAL_MV</stp>
        <stp>3</stp>
        <stp>300076</stp>
        <stp>2019-12-31</stp>
        <stp>2</stp>
        <tr r="L594" s="1"/>
      </tp>
      <tp>
        <v>25724369653.18</v>
        <stp/>
        <stp>EM_HKS_VAL_MV</stp>
        <stp>3</stp>
        <stp>600026</stp>
        <stp>2019-12-31</stp>
        <stp>2</stp>
        <tr r="L703" s="1"/>
      </tp>
      <tp>
        <v>3470035968</v>
        <stp/>
        <stp>EM_HKS_VAL_MV</stp>
        <stp>3</stp>
        <stp>300176</stp>
        <stp>2019-12-31</stp>
        <stp>2</stp>
        <tr r="L3402" s="1"/>
      </tp>
      <tp>
        <v>16514454615.870001</v>
        <stp/>
        <stp>EM_HKS_VAL_MV</stp>
        <stp>3</stp>
        <stp>600126</stp>
        <stp>2019-12-31</stp>
        <stp>2</stp>
        <tr r="L1866" s="1"/>
      </tp>
      <tp>
        <v>6321594798.1499996</v>
        <stp/>
        <stp>EM_HKS_VAL_MV</stp>
        <stp>3</stp>
        <stp>300276</stp>
        <stp>2019-12-31</stp>
        <stp>2</stp>
        <tr r="L3092" s="1"/>
      </tp>
      <tp>
        <v>9855330067.8600006</v>
        <stp/>
        <stp>EM_HKS_VAL_MV</stp>
        <stp>3</stp>
        <stp>600226</stp>
        <stp>2019-12-31</stp>
        <stp>2</stp>
        <tr r="L1718" s="1"/>
      </tp>
      <tp>
        <v>10624798664.879999</v>
        <stp/>
        <stp>EM_HKS_VAL_MV</stp>
        <stp>3</stp>
        <stp>300376</stp>
        <stp>2019-12-31</stp>
        <stp>2</stp>
        <tr r="L1822" s="1"/>
      </tp>
      <tp>
        <v>6343268458.3000002</v>
        <stp/>
        <stp>EM_HKS_VAL_MV</stp>
        <stp>3</stp>
        <stp>600326</stp>
        <stp>2019-12-31</stp>
        <stp>2</stp>
        <tr r="L1643" s="1"/>
      </tp>
      <tp>
        <v>12707936092.25</v>
        <stp/>
        <stp>EM_HKS_VAL_MV</stp>
        <stp>3</stp>
        <stp>300476</stp>
        <stp>2019-12-31</stp>
        <stp>2</stp>
        <tr r="L744" s="1"/>
      </tp>
      <tp>
        <v>32321729232.5</v>
        <stp/>
        <stp>EM_HKS_VAL_MV</stp>
        <stp>3</stp>
        <stp>600426</stp>
        <stp>2019-12-31</stp>
        <stp>2</stp>
        <tr r="L417" s="1"/>
      </tp>
      <tp>
        <v>7217908399.6000004</v>
        <stp/>
        <stp>EM_HKS_VAL_MV</stp>
        <stp>3</stp>
        <stp>000546</stp>
        <stp>2019-12-31</stp>
        <stp>2</stp>
        <tr r="L1381" s="1"/>
      </tp>
      <tp>
        <v>3190800000</v>
        <stp/>
        <stp>EM_HKS_VAL_MV</stp>
        <stp>3</stp>
        <stp>300576</stp>
        <stp>2019-12-31</stp>
        <stp>2</stp>
        <tr r="L161" s="1"/>
      </tp>
      <tp>
        <v>2775341687.04</v>
        <stp/>
        <stp>EM_HKS_VAL_MV</stp>
        <stp>3</stp>
        <stp>600526</stp>
        <stp>2019-12-31</stp>
        <stp>2</stp>
        <tr r="L1544" s="1"/>
      </tp>
      <tp>
        <v>27486870000</v>
        <stp/>
        <stp>EM_HKS_VAL_MV</stp>
        <stp>3</stp>
        <stp>300676</stp>
        <stp>2019-12-31</stp>
        <stp>2</stp>
        <tr r="L1637" s="1"/>
      </tp>
      <tp>
        <v>5096702069.6800003</v>
        <stp/>
        <stp>EM_HKS_VAL_MV</stp>
        <stp>3</stp>
        <stp>600626</stp>
        <stp>2019-12-31</stp>
        <stp>2</stp>
        <tr r="L1387" s="1"/>
      </tp>
      <tp>
        <v>3481015020.8099999</v>
        <stp/>
        <stp>EM_HKS_VAL_MV</stp>
        <stp>3</stp>
        <stp>600726</stp>
        <stp>2019-12-31</stp>
        <stp>2</stp>
        <tr r="L3137" s="1"/>
      </tp>
      <tp>
        <v>4791115660.3199997</v>
        <stp/>
        <stp>EM_HKS_VAL_MV</stp>
        <stp>3</stp>
        <stp>600826</stp>
        <stp>2019-12-31</stp>
        <stp>2</stp>
        <tr r="L1328" s="1"/>
      </tp>
      <tp>
        <v>46992635957.120003</v>
        <stp/>
        <stp>EM_HKS_VAL_MV</stp>
        <stp>3</stp>
        <stp>600926</stp>
        <stp>2019-12-31</stp>
        <stp>2</stp>
        <tr r="L1142" s="1"/>
      </tp>
      <tp>
        <v>4504972880</v>
        <stp/>
        <stp>EM_HKS_VAL_MV</stp>
        <stp>3</stp>
        <stp>601126</stp>
        <stp>2019-12-31</stp>
        <stp>2</stp>
        <tr r="L1793" s="1"/>
      </tp>
      <tp>
        <v>4897200000</v>
        <stp/>
        <stp>EM_HKS_VAL_MV</stp>
        <stp>3</stp>
        <stp>601226</stp>
        <stp>2019-12-31</stp>
        <stp>2</stp>
        <tr r="L1486" s="1"/>
      </tp>
      <tp>
        <v>17823844280</v>
        <stp/>
        <stp>EM_HKS_VAL_MV</stp>
        <stp>3</stp>
        <stp>601326</stp>
        <stp>2019-12-31</stp>
        <stp>2</stp>
        <tr r="L2259" s="1"/>
      </tp>
      <tp>
        <v>7739283234.1700001</v>
        <stp/>
        <stp>EM_HKS_VAL_MV</stp>
        <stp>3</stp>
        <stp>002047</stp>
        <stp>2019-12-31</stp>
        <stp>2</stp>
        <tr r="L3616" s="1"/>
      </tp>
      <tp>
        <v>3875521999.8000002</v>
        <stp/>
        <stp>EM_HKS_VAL_MV</stp>
        <stp>3</stp>
        <stp>002147</stp>
        <stp>2019-12-31</stp>
        <stp>2</stp>
        <tr r="L3244" s="1"/>
      </tp>
      <tp>
        <v>2416470939.1599998</v>
        <stp/>
        <stp>EM_HKS_VAL_MV</stp>
        <stp>3</stp>
        <stp>002247</stp>
        <stp>2019-12-31</stp>
        <stp>2</stp>
        <tr r="L3301" s="1"/>
      </tp>
      <tp>
        <v>2016058675.6199999</v>
        <stp/>
        <stp>EM_HKS_VAL_MV</stp>
        <stp>3</stp>
        <stp>002347</stp>
        <stp>2019-12-31</stp>
        <stp>2</stp>
        <tr r="L1192" s="1"/>
      </tp>
      <tp>
        <v>4838184270</v>
        <stp/>
        <stp>EM_HKS_VAL_MV</stp>
        <stp>3</stp>
        <stp>002447</stp>
        <stp>2019-12-31</stp>
        <stp>2</stp>
        <tr r="L1388" s="1"/>
      </tp>
      <tp>
        <v>9272629920.9599991</v>
        <stp/>
        <stp>EM_HKS_VAL_MV</stp>
        <stp>3</stp>
        <stp>002547</stp>
        <stp>2019-12-31</stp>
        <stp>2</stp>
        <tr r="L524" s="1"/>
      </tp>
      <tp>
        <v>9373339521</v>
        <stp/>
        <stp>EM_HKS_VAL_MV</stp>
        <stp>3</stp>
        <stp>002647</stp>
        <stp>2019-12-31</stp>
        <stp>2</stp>
        <tr r="L963" s="1"/>
      </tp>
      <tp>
        <v>9401328870.1599998</v>
        <stp/>
        <stp>EM_HKS_VAL_MV</stp>
        <stp>3</stp>
        <stp>002747</stp>
        <stp>2019-12-31</stp>
        <stp>2</stp>
        <tr r="L862" s="1"/>
      </tp>
      <tp>
        <v>4635240000</v>
        <stp/>
        <stp>EM_HKS_VAL_MV</stp>
        <stp>3</stp>
        <stp>002847</stp>
        <stp>2019-12-31</stp>
        <stp>2</stp>
        <tr r="L368" s="1"/>
      </tp>
      <tp>
        <v>9903986349.7199993</v>
        <stp/>
        <stp>EM_HKS_VAL_MV</stp>
        <stp>3</stp>
        <stp>603027</stp>
        <stp>2019-12-31</stp>
        <stp>2</stp>
        <tr r="L783" s="1"/>
      </tp>
      <tp>
        <v>9347237976</v>
        <stp/>
        <stp>EM_HKS_VAL_MV</stp>
        <stp>3</stp>
        <stp>603127</stp>
        <stp>2019-12-31</stp>
        <stp>2</stp>
        <tr r="L1307" s="1"/>
      </tp>
      <tp>
        <v>3062955000</v>
        <stp/>
        <stp>EM_HKS_VAL_MV</stp>
        <stp>3</stp>
        <stp>603227</stp>
        <stp>2019-12-31</stp>
        <stp>2</stp>
        <tr r="L1007" s="1"/>
      </tp>
      <tp>
        <v>2060312800</v>
        <stp/>
        <stp>EM_HKS_VAL_MV</stp>
        <stp>3</stp>
        <stp>603527</stp>
        <stp>2019-12-31</stp>
        <stp>2</stp>
        <tr r="L1518" s="1"/>
      </tp>
      <tp>
        <v>4547095900</v>
        <stp/>
        <stp>EM_HKS_VAL_MV</stp>
        <stp>3</stp>
        <stp>603727</stp>
        <stp>2019-12-31</stp>
        <stp>2</stp>
        <tr r="L592" s="1"/>
      </tp>
      <tp>
        <v>1482797982.49</v>
        <stp/>
        <stp>EM_HKS_VAL_MV</stp>
        <stp>3</stp>
        <stp>000047</stp>
        <stp>2019-12-31</stp>
        <stp>2</stp>
        <tr r="L2276" s="1"/>
      </tp>
      <tp>
        <v>3351266150</v>
        <stp/>
        <stp>EM_HKS_VAL_MV</stp>
        <stp>3</stp>
        <stp>300077</stp>
        <stp>2019-12-31</stp>
        <stp>2</stp>
        <tr r="L3056" s="1"/>
      </tp>
      <tp>
        <v>36197124316.510002</v>
        <stp/>
        <stp>EM_HKS_VAL_MV</stp>
        <stp>3</stp>
        <stp>600027</stp>
        <stp>2019-12-31</stp>
        <stp>2</stp>
        <tr r="L3124" s="1"/>
      </tp>
      <tp>
        <v>5994135739.6800003</v>
        <stp/>
        <stp>EM_HKS_VAL_MV</stp>
        <stp>3</stp>
        <stp>300177</stp>
        <stp>2019-12-31</stp>
        <stp>2</stp>
        <tr r="L2865" s="1"/>
      </tp>
      <tp>
        <v>2573550704.1799998</v>
        <stp/>
        <stp>EM_HKS_VAL_MV</stp>
        <stp>3</stp>
        <stp>600127</stp>
        <stp>2019-12-31</stp>
        <stp>2</stp>
        <tr r="L762" s="1"/>
      </tp>
      <tp>
        <v>3172450000</v>
        <stp/>
        <stp>EM_HKS_VAL_MV</stp>
        <stp>3</stp>
        <stp>300277</stp>
        <stp>2019-12-31</stp>
        <stp>2</stp>
        <tr r="L492" s="1"/>
      </tp>
      <tp>
        <v>4249766844.5100002</v>
        <stp/>
        <stp>EM_HKS_VAL_MV</stp>
        <stp>3</stp>
        <stp>600227</stp>
        <stp>2019-12-31</stp>
        <stp>2</stp>
        <tr r="L2732" s="1"/>
      </tp>
      <tp>
        <v>8526637999.1999998</v>
        <stp/>
        <stp>EM_HKS_VAL_MV</stp>
        <stp>3</stp>
        <stp>300377</stp>
        <stp>2019-12-31</stp>
        <stp>2</stp>
        <tr r="L2142" s="1"/>
      </tp>
      <tp>
        <v>3114423903.3600001</v>
        <stp/>
        <stp>EM_HKS_VAL_MV</stp>
        <stp>3</stp>
        <stp>600327</stp>
        <stp>2019-12-31</stp>
        <stp>2</stp>
        <tr r="L2932" s="1"/>
      </tp>
      <tp>
        <v>6164020165.1999998</v>
        <stp/>
        <stp>EM_HKS_VAL_MV</stp>
        <stp>3</stp>
        <stp>300477</stp>
        <stp>2019-12-31</stp>
        <stp>2</stp>
        <tr r="L3020" s="1"/>
      </tp>
      <tp>
        <v>16410038163.82</v>
        <stp/>
        <stp>EM_HKS_VAL_MV</stp>
        <stp>3</stp>
        <stp>000547</stp>
        <stp>2019-12-31</stp>
        <stp>2</stp>
        <tr r="L790" s="1"/>
      </tp>
      <tp>
        <v>7653000432</v>
        <stp/>
        <stp>EM_HKS_VAL_MV</stp>
        <stp>3</stp>
        <stp>300577</stp>
        <stp>2019-12-31</stp>
        <stp>2</stp>
        <tr r="L1691" s="1"/>
      </tp>
      <tp>
        <v>3016150237.6500001</v>
        <stp/>
        <stp>EM_HKS_VAL_MV</stp>
        <stp>3</stp>
        <stp>600527</stp>
        <stp>2019-12-31</stp>
        <stp>2</stp>
        <tr r="L2084" s="1"/>
      </tp>
      <tp>
        <v>3289780642.2600002</v>
        <stp/>
        <stp>EM_HKS_VAL_MV</stp>
        <stp>3</stp>
        <stp>300677</stp>
        <stp>2019-12-31</stp>
        <stp>2</stp>
        <tr r="L1528" s="1"/>
      </tp>
      <tp>
        <v>14881147435.959999</v>
        <stp/>
        <stp>EM_HKS_VAL_MV</stp>
        <stp>3</stp>
        <stp>600627</stp>
        <stp>2019-12-31</stp>
        <stp>2</stp>
        <tr r="L2308" s="1"/>
      </tp>
      <tp>
        <v>2488495043.6300001</v>
        <stp/>
        <stp>EM_HKS_VAL_MV</stp>
        <stp>3</stp>
        <stp>600727</stp>
        <stp>2019-12-31</stp>
        <stp>2</stp>
        <tr r="L964" s="1"/>
      </tp>
      <tp>
        <v>16021829690.66</v>
        <stp/>
        <stp>EM_HKS_VAL_MV</stp>
        <stp>3</stp>
        <stp>600827</stp>
        <stp>2019-12-31</stp>
        <stp>2</stp>
        <tr r="L1943" s="1"/>
      </tp>
      <tp>
        <v>10715377354.799999</v>
        <stp/>
        <stp>EM_HKS_VAL_MV</stp>
        <stp>3</stp>
        <stp>601127</stp>
        <stp>2019-12-31</stp>
        <stp>2</stp>
        <tr r="L3258" s="1"/>
      </tp>
      <tp>
        <v>75459262841.639999</v>
        <stp/>
        <stp>EM_HKS_VAL_MV</stp>
        <stp>3</stp>
        <stp>601727</stp>
        <stp>2019-12-31</stp>
        <stp>2</stp>
        <tr r="L2339" s="1"/>
      </tp>
      <tp>
        <v>58367623302.860001</v>
        <stp/>
        <stp>EM_HKS_VAL_MV</stp>
        <stp>3</stp>
        <stp>002044</stp>
        <stp>2019-12-31</stp>
        <stp>2</stp>
        <tr r="L2450" s="1"/>
      </tp>
      <tp>
        <v>1765857654.72</v>
        <stp/>
        <stp>EM_HKS_VAL_MV</stp>
        <stp>3</stp>
        <stp>002144</stp>
        <stp>2019-12-31</stp>
        <stp>2</stp>
        <tr r="L2202" s="1"/>
      </tp>
      <tp>
        <v>15308303938.799999</v>
        <stp/>
        <stp>EM_HKS_VAL_MV</stp>
        <stp>3</stp>
        <stp>002244</stp>
        <stp>2019-12-31</stp>
        <stp>2</stp>
        <tr r="L1120" s="1"/>
      </tp>
      <tp>
        <v>5592768400.5600004</v>
        <stp/>
        <stp>EM_HKS_VAL_MV</stp>
        <stp>3</stp>
        <stp>002344</stp>
        <stp>2019-12-31</stp>
        <stp>2</stp>
        <tr r="L2491" s="1"/>
      </tp>
      <tp>
        <v>11548160298</v>
        <stp/>
        <stp>EM_HKS_VAL_MV</stp>
        <stp>3</stp>
        <stp>002444</stp>
        <stp>2019-12-31</stp>
        <stp>2</stp>
        <tr r="L1624" s="1"/>
      </tp>
      <tp>
        <v>7779161336.3999996</v>
        <stp/>
        <stp>EM_HKS_VAL_MV</stp>
        <stp>3</stp>
        <stp>002544</stp>
        <stp>2019-12-31</stp>
        <stp>2</stp>
        <tr r="L1046" s="1"/>
      </tp>
      <tp>
        <v>3758435520</v>
        <stp/>
        <stp>EM_HKS_VAL_MV</stp>
        <stp>3</stp>
        <stp>002644</stp>
        <stp>2019-12-31</stp>
        <stp>2</stp>
        <tr r="L2710" s="1"/>
      </tp>
      <tp>
        <v>2407990044</v>
        <stp/>
        <stp>EM_HKS_VAL_MV</stp>
        <stp>3</stp>
        <stp>300074</stp>
        <stp>2019-12-31</stp>
        <stp>2</stp>
        <tr r="L1462" s="1"/>
      </tp>
      <tp>
        <v>3892320000</v>
        <stp/>
        <stp>EM_HKS_VAL_MV</stp>
        <stp>3</stp>
        <stp>300174</stp>
        <stp>2019-12-31</stp>
        <stp>2</stp>
        <tr r="L701" s="1"/>
      </tp>
      <tp>
        <v>15343124530.5</v>
        <stp/>
        <stp>EM_HKS_VAL_MV</stp>
        <stp>3</stp>
        <stp>300274</stp>
        <stp>2019-12-31</stp>
        <stp>2</stp>
        <tr r="L1283" s="1"/>
      </tp>
      <tp>
        <v>2306657721.0599999</v>
        <stp/>
        <stp>EM_HKS_VAL_MV</stp>
        <stp>3</stp>
        <stp>300374</stp>
        <stp>2019-12-31</stp>
        <stp>2</stp>
        <tr r="L2349" s="1"/>
      </tp>
      <tp>
        <v>17648580189.720001</v>
        <stp/>
        <stp>EM_HKS_VAL_MV</stp>
        <stp>3</stp>
        <stp>300474</stp>
        <stp>2019-12-31</stp>
        <stp>2</stp>
        <tr r="L392" s="1"/>
      </tp>
      <tp>
        <v>6101524894.8800001</v>
        <stp/>
        <stp>EM_HKS_VAL_MV</stp>
        <stp>3</stp>
        <stp>000544</stp>
        <stp>2019-12-31</stp>
        <stp>2</stp>
        <tr r="L1160" s="1"/>
      </tp>
      <tp>
        <v>6634859376.8999996</v>
        <stp/>
        <stp>EM_HKS_VAL_MV</stp>
        <stp>3</stp>
        <stp>600624</stp>
        <stp>2019-12-31</stp>
        <stp>2</stp>
        <tr r="L437" s="1"/>
      </tp>
      <tp>
        <v>5448558837.6700001</v>
        <stp/>
        <stp>EM_HKS_VAL_MV</stp>
        <stp>3</stp>
        <stp>600724</stp>
        <stp>2019-12-31</stp>
        <stp>2</stp>
        <tr r="L1617" s="1"/>
      </tp>
      <tp>
        <v>3625853131.1199999</v>
        <stp/>
        <stp>EM_HKS_VAL_MV</stp>
        <stp>3</stp>
        <stp>600824</stp>
        <stp>2019-12-31</stp>
        <stp>2</stp>
        <tr r="L2064" s="1"/>
      </tp>
      <tp>
        <v>5709599899.4700003</v>
        <stp/>
        <stp>EM_HKS_VAL_MV</stp>
        <stp>3</stp>
        <stp>002045</stp>
        <stp>2019-12-31</stp>
        <stp>2</stp>
        <tr r="L63" s="1"/>
      </tp>
      <tp>
        <v>6953743167.1199999</v>
        <stp/>
        <stp>EM_HKS_VAL_MV</stp>
        <stp>3</stp>
        <stp>002145</stp>
        <stp>2019-12-31</stp>
        <stp>2</stp>
        <tr r="L805" s="1"/>
      </tp>
      <tp>
        <v>4013565172.02</v>
        <stp/>
        <stp>EM_HKS_VAL_MV</stp>
        <stp>3</stp>
        <stp>002245</stp>
        <stp>2019-12-31</stp>
        <stp>2</stp>
        <tr r="L2022" s="1"/>
      </tp>
      <tp>
        <v>3648813209.21</v>
        <stp/>
        <stp>EM_HKS_VAL_MV</stp>
        <stp>3</stp>
        <stp>002345</stp>
        <stp>2019-12-31</stp>
        <stp>2</stp>
        <tr r="L2799" s="1"/>
      </tp>
      <tp>
        <v>1903465164.47</v>
        <stp/>
        <stp>EM_HKS_VAL_MV</stp>
        <stp>3</stp>
        <stp>002445</stp>
        <stp>2019-12-31</stp>
        <stp>2</stp>
        <tr r="L3228" s="1"/>
      </tp>
      <tp>
        <v>9392668726.6499996</v>
        <stp/>
        <stp>EM_HKS_VAL_MV</stp>
        <stp>3</stp>
        <stp>002545</stp>
        <stp>2019-12-31</stp>
        <stp>2</stp>
        <tr r="L996" s="1"/>
      </tp>
      <tp>
        <v>3925167203.6799998</v>
        <stp/>
        <stp>EM_HKS_VAL_MV</stp>
        <stp>3</stp>
        <stp>002645</stp>
        <stp>2019-12-31</stp>
        <stp>2</stp>
        <tr r="L1368" s="1"/>
      </tp>
      <tp>
        <v>17382263829.400002</v>
        <stp/>
        <stp>EM_HKS_VAL_MV</stp>
        <stp>3</stp>
        <stp>002745</stp>
        <stp>2019-12-31</stp>
        <stp>2</stp>
        <tr r="L1165" s="1"/>
      </tp>
      <tp>
        <v>3994922969.5999999</v>
        <stp/>
        <stp>EM_HKS_VAL_MV</stp>
        <stp>3</stp>
        <stp>002845</stp>
        <stp>2019-12-31</stp>
        <stp>2</stp>
        <tr r="L1899" s="1"/>
      </tp>
      <tp>
        <v>8770656703.1700001</v>
        <stp/>
        <stp>EM_HKS_VAL_MV</stp>
        <stp>3</stp>
        <stp>603025</stp>
        <stp>2019-12-31</stp>
        <stp>2</stp>
        <tr r="L2951" s="1"/>
      </tp>
      <tp>
        <v>17284662132.400002</v>
        <stp/>
        <stp>EM_HKS_VAL_MV</stp>
        <stp>3</stp>
        <stp>603225</stp>
        <stp>2019-12-31</stp>
        <stp>2</stp>
        <tr r="L3262" s="1"/>
      </tp>
      <tp>
        <v>1568889280</v>
        <stp/>
        <stp>EM_HKS_VAL_MV</stp>
        <stp>3</stp>
        <stp>603725</stp>
        <stp>2019-12-31</stp>
        <stp>2</stp>
        <tr r="L3230" s="1"/>
      </tp>
      <tp>
        <v>4470271752.6000004</v>
        <stp/>
        <stp>EM_HKS_VAL_MV</stp>
        <stp>3</stp>
        <stp>603825</stp>
        <stp>2019-12-31</stp>
        <stp>2</stp>
        <tr r="L901" s="1"/>
      </tp>
      <tp>
        <v>3794571296.0500002</v>
        <stp/>
        <stp>EM_HKS_VAL_MV</stp>
        <stp>3</stp>
        <stp>000045</stp>
        <stp>2019-12-31</stp>
        <stp>2</stp>
        <tr r="L967" s="1"/>
      </tp>
      <tp>
        <v>4858434170.9499998</v>
        <stp/>
        <stp>EM_HKS_VAL_MV</stp>
        <stp>3</stp>
        <stp>300075</stp>
        <stp>2019-12-31</stp>
        <stp>2</stp>
        <tr r="L2077" s="1"/>
      </tp>
      <tp>
        <v>75960000000</v>
        <stp/>
        <stp>EM_HKS_VAL_MV</stp>
        <stp>3</stp>
        <stp>600025</stp>
        <stp>2019-12-31</stp>
        <stp>2</stp>
        <tr r="L835" s="1"/>
      </tp>
      <tp>
        <v>2848340000</v>
        <stp/>
        <stp>EM_HKS_VAL_MV</stp>
        <stp>3</stp>
        <stp>300175</stp>
        <stp>2019-12-31</stp>
        <stp>2</stp>
        <tr r="L630" s="1"/>
      </tp>
      <tp>
        <v>7807020806.5200005</v>
        <stp/>
        <stp>EM_HKS_VAL_MV</stp>
        <stp>3</stp>
        <stp>600125</stp>
        <stp>2019-12-31</stp>
        <stp>2</stp>
        <tr r="L2904" s="1"/>
      </tp>
      <tp>
        <v>2081251320</v>
        <stp/>
        <stp>EM_HKS_VAL_MV</stp>
        <stp>3</stp>
        <stp>300275</stp>
        <stp>2019-12-31</stp>
        <stp>2</stp>
        <tr r="L386" s="1"/>
      </tp>
      <tp>
        <v>2769058140.4000001</v>
        <stp/>
        <stp>EM_HKS_VAL_MV</stp>
        <stp>3</stp>
        <stp>600225</stp>
        <stp>2019-12-31</stp>
        <stp>2</stp>
        <tr r="L2872" s="1"/>
      </tp>
      <tp>
        <v>2635576683.52</v>
        <stp/>
        <stp>EM_HKS_VAL_MV</stp>
        <stp>3</stp>
        <stp>300375</stp>
        <stp>2019-12-31</stp>
        <stp>2</stp>
        <tr r="L3267" s="1"/>
      </tp>
      <tp>
        <v>16577829593.280001</v>
        <stp/>
        <stp>EM_HKS_VAL_MV</stp>
        <stp>3</stp>
        <stp>600325</stp>
        <stp>2019-12-31</stp>
        <stp>2</stp>
        <tr r="L1081" s="1"/>
      </tp>
      <tp>
        <v>3312000000</v>
        <stp/>
        <stp>EM_HKS_VAL_MV</stp>
        <stp>3</stp>
        <stp>300475</stp>
        <stp>2019-12-31</stp>
        <stp>2</stp>
        <tr r="L864" s="1"/>
      </tp>
      <tp>
        <v>5432432938.8400002</v>
        <stp/>
        <stp>EM_HKS_VAL_MV</stp>
        <stp>3</stp>
        <stp>600425</stp>
        <stp>2019-12-31</stp>
        <stp>2</stp>
        <tr r="L935" s="1"/>
      </tp>
      <tp>
        <v>2999972611.8400002</v>
        <stp/>
        <stp>EM_HKS_VAL_MV</stp>
        <stp>3</stp>
        <stp>000545</stp>
        <stp>2019-12-31</stp>
        <stp>2</stp>
        <tr r="L2486" s="1"/>
      </tp>
      <tp>
        <v>3650629500</v>
        <stp/>
        <stp>EM_HKS_VAL_MV</stp>
        <stp>3</stp>
        <stp>300575</stp>
        <stp>2019-12-31</stp>
        <stp>2</stp>
        <tr r="L3269" s="1"/>
      </tp>
      <tp>
        <v>7743246651.3599997</v>
        <stp/>
        <stp>EM_HKS_VAL_MV</stp>
        <stp>3</stp>
        <stp>600525</stp>
        <stp>2019-12-31</stp>
        <stp>2</stp>
        <tr r="L831" s="1"/>
      </tp>
      <tp>
        <v>2123733816</v>
        <stp/>
        <stp>EM_HKS_VAL_MV</stp>
        <stp>3</stp>
        <stp>300675</stp>
        <stp>2019-12-31</stp>
        <stp>2</stp>
        <tr r="L3339" s="1"/>
      </tp>
      <tp>
        <v>1134724800</v>
        <stp/>
        <stp>EM_HKS_VAL_MV</stp>
        <stp>3</stp>
        <stp>600625</stp>
        <stp>2019-12-31</stp>
        <stp>2</stp>
        <tr r="L2307" s="1"/>
      </tp>
      <tp>
        <v>3216746700</v>
        <stp/>
        <stp>EM_HKS_VAL_MV</stp>
        <stp>3</stp>
        <stp>600725</stp>
        <stp>2019-12-31</stp>
        <stp>2</stp>
        <tr r="L1728" s="1"/>
      </tp>
      <tp>
        <v>5987207380.5</v>
        <stp/>
        <stp>EM_HKS_VAL_MV</stp>
        <stp>3</stp>
        <stp>600825</stp>
        <stp>2019-12-31</stp>
        <stp>2</stp>
        <tr r="L1333" s="1"/>
      </tp>
      <tp>
        <v>89900000000</v>
        <stp/>
        <stp>EM_HKS_VAL_MV</stp>
        <stp>3</stp>
        <stp>601225</stp>
        <stp>2019-12-31</stp>
        <stp>2</stp>
        <tr r="L1210" s="1"/>
      </tp>
      <tp>
        <v>3233325403.2800002</v>
        <stp/>
        <stp>EM_HKS_VAL_MV</stp>
        <stp>3</stp>
        <stp>002058</stp>
        <stp>2019-12-31</stp>
        <stp>2</stp>
        <tr r="L306" s="1"/>
      </tp>
      <tp>
        <v>4772456735.4399996</v>
        <stp/>
        <stp>EM_HKS_VAL_MV</stp>
        <stp>3</stp>
        <stp>002158</stp>
        <stp>2019-12-31</stp>
        <stp>2</stp>
        <tr r="L1124" s="1"/>
      </tp>
      <tp>
        <v>7409438616.7799997</v>
        <stp/>
        <stp>EM_HKS_VAL_MV</stp>
        <stp>3</stp>
        <stp>002258</stp>
        <stp>2019-12-31</stp>
        <stp>2</stp>
        <tr r="L1840" s="1"/>
      </tp>
      <tp>
        <v>6499001269.2299995</v>
        <stp/>
        <stp>EM_HKS_VAL_MV</stp>
        <stp>3</stp>
        <stp>002358</stp>
        <stp>2019-12-31</stp>
        <stp>2</stp>
        <tr r="L3394" s="1"/>
      </tp>
      <tp>
        <v>16330711603.5</v>
        <stp/>
        <stp>EM_HKS_VAL_MV</stp>
        <stp>3</stp>
        <stp>002458</stp>
        <stp>2019-12-31</stp>
        <stp>2</stp>
        <tr r="L190" s="1"/>
      </tp>
      <tp>
        <v>36560301571.919998</v>
        <stp/>
        <stp>EM_HKS_VAL_MV</stp>
        <stp>3</stp>
        <stp>002558</stp>
        <stp>2019-12-31</stp>
        <stp>2</stp>
        <tr r="L2676" s="1"/>
      </tp>
      <tp>
        <v>4379457675.5600004</v>
        <stp/>
        <stp>EM_HKS_VAL_MV</stp>
        <stp>3</stp>
        <stp>002658</stp>
        <stp>2019-12-31</stp>
        <stp>2</stp>
        <tr r="L2191" s="1"/>
      </tp>
      <tp>
        <v>2238032353.9499998</v>
        <stp/>
        <stp>EM_HKS_VAL_MV</stp>
        <stp>3</stp>
        <stp>002758</stp>
        <stp>2019-12-31</stp>
        <stp>2</stp>
        <tr r="L633" s="1"/>
      </tp>
      <tp>
        <v>1901116000</v>
        <stp/>
        <stp>EM_HKS_VAL_MV</stp>
        <stp>3</stp>
        <stp>002858</stp>
        <stp>2019-12-31</stp>
        <stp>2</stp>
        <tr r="L1816" s="1"/>
      </tp>
      <tp>
        <v>1916997716.6199999</v>
        <stp/>
        <stp>EM_HKS_VAL_MV</stp>
        <stp>3</stp>
        <stp>603038</stp>
        <stp>2019-12-31</stp>
        <stp>2</stp>
        <tr r="L2833" s="1"/>
      </tp>
      <tp>
        <v>3399242817.5999999</v>
        <stp/>
        <stp>EM_HKS_VAL_MV</stp>
        <stp>3</stp>
        <stp>603138</stp>
        <stp>2019-12-31</stp>
        <stp>2</stp>
        <tr r="L2938" s="1"/>
      </tp>
      <tp>
        <v>2084400000</v>
        <stp/>
        <stp>EM_HKS_VAL_MV</stp>
        <stp>3</stp>
        <stp>603238</stp>
        <stp>2019-12-31</stp>
        <stp>2</stp>
        <tr r="L2678" s="1"/>
      </tp>
      <tp>
        <v>24794441672</v>
        <stp/>
        <stp>EM_HKS_VAL_MV</stp>
        <stp>3</stp>
        <stp>603338</stp>
        <stp>2019-12-31</stp>
        <stp>2</stp>
        <tr r="L1029" s="1"/>
      </tp>
      <tp>
        <v>3695648580</v>
        <stp/>
        <stp>EM_HKS_VAL_MV</stp>
        <stp>3</stp>
        <stp>603538</stp>
        <stp>2019-12-31</stp>
        <stp>2</stp>
        <tr r="L1150" s="1"/>
      </tp>
      <tp>
        <v>12579131658.540001</v>
        <stp/>
        <stp>EM_HKS_VAL_MV</stp>
        <stp>3</stp>
        <stp>603638</stp>
        <stp>2019-12-31</stp>
        <stp>2</stp>
        <tr r="L1019" s="1"/>
      </tp>
      <tp>
        <v>3272043483.2800002</v>
        <stp/>
        <stp>EM_HKS_VAL_MV</stp>
        <stp>3</stp>
        <stp>603738</stp>
        <stp>2019-12-31</stp>
        <stp>2</stp>
        <tr r="L418" s="1"/>
      </tp>
      <tp>
        <v>2234778400</v>
        <stp/>
        <stp>EM_HKS_VAL_MV</stp>
        <stp>3</stp>
        <stp>603838</stp>
        <stp>2019-12-31</stp>
        <stp>2</stp>
        <tr r="L2880" s="1"/>
      </tp>
      <tp>
        <v>3194043582</v>
        <stp/>
        <stp>EM_HKS_VAL_MV</stp>
        <stp>3</stp>
        <stp>603938</stp>
        <stp>2019-12-31</stp>
        <stp>2</stp>
        <tr r="L1870" s="1"/>
      </tp>
      <tp>
        <v>9082073430.1499996</v>
        <stp/>
        <stp>EM_HKS_VAL_MV</stp>
        <stp>3</stp>
        <stp>000058</stp>
        <stp>2019-12-31</stp>
        <stp>2</stp>
        <tr r="L1127" s="1"/>
      </tp>
      <tp>
        <v>9386519580.8999996</v>
        <stp/>
        <stp>EM_HKS_VAL_MV</stp>
        <stp>3</stp>
        <stp>300068</stp>
        <stp>2019-12-31</stp>
        <stp>2</stp>
        <tr r="L3130" s="1"/>
      </tp>
      <tp>
        <v>28123934120.360001</v>
        <stp/>
        <stp>EM_HKS_VAL_MV</stp>
        <stp>3</stp>
        <stp>600038</stp>
        <stp>2019-12-31</stp>
        <stp>2</stp>
        <tr r="L1039" s="1"/>
      </tp>
      <tp>
        <v>10902566037.219999</v>
        <stp/>
        <stp>EM_HKS_VAL_MV</stp>
        <stp>3</stp>
        <stp>000158</stp>
        <stp>2019-12-31</stp>
        <stp>2</stp>
        <tr r="L3412" s="1"/>
      </tp>
      <tp>
        <v>17587947544.029999</v>
        <stp/>
        <stp>EM_HKS_VAL_MV</stp>
        <stp>3</stp>
        <stp>300168</stp>
        <stp>2019-12-31</stp>
        <stp>2</stp>
        <tr r="L960" s="1"/>
      </tp>
      <tp>
        <v>9120384000</v>
        <stp/>
        <stp>EM_HKS_VAL_MV</stp>
        <stp>3</stp>
        <stp>600138</stp>
        <stp>2019-12-31</stp>
        <stp>2</stp>
        <tr r="L2400" s="1"/>
      </tp>
      <tp>
        <v>1863940000</v>
        <stp/>
        <stp>EM_HKS_VAL_MV</stp>
        <stp>3</stp>
        <stp>300268</stp>
        <stp>2019-12-31</stp>
        <stp>2</stp>
        <tr r="L1057" s="1"/>
      </tp>
      <tp>
        <v>2653344000</v>
        <stp/>
        <stp>EM_HKS_VAL_MV</stp>
        <stp>3</stp>
        <stp>600238</stp>
        <stp>2019-12-31</stp>
        <stp>2</stp>
        <tr r="L1030" s="1"/>
      </tp>
      <tp>
        <v>4372575364.5</v>
        <stp/>
        <stp>EM_HKS_VAL_MV</stp>
        <stp>3</stp>
        <stp>300368</stp>
        <stp>2019-12-31</stp>
        <stp>2</stp>
        <tr r="L686" s="1"/>
      </tp>
      <tp>
        <v>11427627100</v>
        <stp/>
        <stp>EM_HKS_VAL_MV</stp>
        <stp>3</stp>
        <stp>600338</stp>
        <stp>2019-12-31</stp>
        <stp>2</stp>
        <tr r="L2747" s="1"/>
      </tp>
      <tp>
        <v>6513735956.6700001</v>
        <stp/>
        <stp>EM_HKS_VAL_MV</stp>
        <stp>3</stp>
        <stp>300468</stp>
        <stp>2019-12-31</stp>
        <stp>2</stp>
        <tr r="L55" s="1"/>
      </tp>
      <tp>
        <v>50978467045.480003</v>
        <stp/>
        <stp>EM_HKS_VAL_MV</stp>
        <stp>3</stp>
        <stp>600438</stp>
        <stp>2019-12-31</stp>
        <stp>2</stp>
        <tr r="L448" s="1"/>
      </tp>
      <tp>
        <v>4254439031.6999998</v>
        <stp/>
        <stp>EM_HKS_VAL_MV</stp>
        <stp>3</stp>
        <stp>000558</stp>
        <stp>2019-12-31</stp>
        <stp>2</stp>
        <tr r="L3454" s="1"/>
      </tp>
      <tp>
        <v>6960600938.0100002</v>
        <stp/>
        <stp>EM_HKS_VAL_MV</stp>
        <stp>3</stp>
        <stp>300568</stp>
        <stp>2019-12-31</stp>
        <stp>2</stp>
        <tr r="L800" s="1"/>
      </tp>
      <tp>
        <v>2349869996.0999999</v>
        <stp/>
        <stp>EM_HKS_VAL_MV</stp>
        <stp>3</stp>
        <stp>600538</stp>
        <stp>2019-12-31</stp>
        <stp>2</stp>
        <tr r="L1379" s="1"/>
      </tp>
      <tp>
        <v>665771592.48000002</v>
        <stp/>
        <stp>EM_HKS_VAL_MV</stp>
        <stp>3</stp>
        <stp>000658</stp>
        <stp>2019-12-31</stp>
        <stp>2</stp>
        <tr r="L3495" s="1"/>
      </tp>
      <tp>
        <v>1804801925</v>
        <stp/>
        <stp>EM_HKS_VAL_MV</stp>
        <stp>3</stp>
        <stp>300668</stp>
        <stp>2019-12-31</stp>
        <stp>2</stp>
        <tr r="L2582" s="1"/>
      </tp>
      <tp>
        <v>4727245437.7200003</v>
        <stp/>
        <stp>EM_HKS_VAL_MV</stp>
        <stp>3</stp>
        <stp>600638</stp>
        <stp>2019-12-31</stp>
        <stp>2</stp>
        <tr r="L3026" s="1"/>
      </tp>
      <tp>
        <v>8625877497.1200008</v>
        <stp/>
        <stp>EM_HKS_VAL_MV</stp>
        <stp>3</stp>
        <stp>000758</stp>
        <stp>2019-12-31</stp>
        <stp>2</stp>
        <tr r="L3529" s="1"/>
      </tp>
      <tp>
        <v>3820914511.4400001</v>
        <stp/>
        <stp>EM_HKS_VAL_MV</stp>
        <stp>3</stp>
        <stp>600738</stp>
        <stp>2019-12-31</stp>
        <stp>2</stp>
        <tr r="L2955" s="1"/>
      </tp>
      <tp>
        <v>516292680745.04999</v>
        <stp/>
        <stp>EM_HKS_VAL_MV</stp>
        <stp>3</stp>
        <stp>000858</stp>
        <stp>2019-12-31</stp>
        <stp>2</stp>
        <tr r="L65" s="1"/>
      </tp>
      <tp>
        <v>2557627038.7800002</v>
        <stp/>
        <stp>EM_HKS_VAL_MV</stp>
        <stp>3</stp>
        <stp>600838</stp>
        <stp>2019-12-31</stp>
        <stp>2</stp>
        <tr r="L1970" s="1"/>
      </tp>
      <tp>
        <v>6150684601.0799999</v>
        <stp/>
        <stp>EM_HKS_VAL_MV</stp>
        <stp>3</stp>
        <stp>000958</stp>
        <stp>2019-12-31</stp>
        <stp>2</stp>
        <tr r="L289" s="1"/>
      </tp>
      <tp>
        <v>6841799000</v>
        <stp/>
        <stp>EM_HKS_VAL_MV</stp>
        <stp>3</stp>
        <stp>601038</stp>
        <stp>2019-12-31</stp>
        <stp>2</stp>
        <tr r="L646" s="1"/>
      </tp>
      <tp>
        <v>362747778794.72998</v>
        <stp/>
        <stp>EM_HKS_VAL_MV</stp>
        <stp>3</stp>
        <stp>601138</stp>
        <stp>2019-12-31</stp>
        <stp>2</stp>
        <tr r="L537" s="1"/>
      </tp>
      <tp>
        <v>119678801154.28999</v>
        <stp/>
        <stp>EM_HKS_VAL_MV</stp>
        <stp>3</stp>
        <stp>601238</stp>
        <stp>2019-12-31</stp>
        <stp>2</stp>
        <tr r="L1583" s="1"/>
      </tp>
      <tp>
        <v>32763119599.380001</v>
        <stp/>
        <stp>EM_HKS_VAL_MV</stp>
        <stp>3</stp>
        <stp>601838</stp>
        <stp>2019-12-31</stp>
        <stp>2</stp>
        <tr r="L1663" s="1"/>
      </tp>
      <tp>
        <v>5052049716.8699999</v>
        <stp/>
        <stp>EM_HKS_VAL_MV</stp>
        <stp>3</stp>
        <stp>002059</stp>
        <stp>2019-12-31</stp>
        <stp>2</stp>
        <tr r="L2514" s="1"/>
      </tp>
      <tp>
        <v>1706986658.46</v>
        <stp/>
        <stp>EM_HKS_VAL_MV</stp>
        <stp>3</stp>
        <stp>002159</stp>
        <stp>2019-12-31</stp>
        <stp>2</stp>
        <tr r="L3212" s="1"/>
      </tp>
      <tp>
        <v>1685215318.0799999</v>
        <stp/>
        <stp>EM_HKS_VAL_MV</stp>
        <stp>3</stp>
        <stp>002259</stp>
        <stp>2019-12-31</stp>
        <stp>2</stp>
        <tr r="L2658" s="1"/>
      </tp>
      <tp>
        <v>2283102696</v>
        <stp/>
        <stp>EM_HKS_VAL_MV</stp>
        <stp>3</stp>
        <stp>002359</stp>
        <stp>2019-12-31</stp>
        <stp>2</stp>
        <tr r="L3401" s="1"/>
      </tp>
      <tp>
        <v>14999930636.6</v>
        <stp/>
        <stp>EM_HKS_VAL_MV</stp>
        <stp>3</stp>
        <stp>002459</stp>
        <stp>2019-12-31</stp>
        <stp>2</stp>
        <tr r="L871" s="1"/>
      </tp>
      <tp>
        <v>3167753938.2800002</v>
        <stp/>
        <stp>EM_HKS_VAL_MV</stp>
        <stp>3</stp>
        <stp>002559</stp>
        <stp>2019-12-31</stp>
        <stp>2</stp>
        <tr r="L2941" s="1"/>
      </tp>
      <tp>
        <v>3111057998.8800001</v>
        <stp/>
        <stp>EM_HKS_VAL_MV</stp>
        <stp>3</stp>
        <stp>002659</stp>
        <stp>2019-12-31</stp>
        <stp>2</stp>
        <tr r="L3175" s="1"/>
      </tp>
      <tp>
        <v>3659588359.6999998</v>
        <stp/>
        <stp>EM_HKS_VAL_MV</stp>
        <stp>3</stp>
        <stp>002759</stp>
        <stp>2019-12-31</stp>
        <stp>2</stp>
        <tr r="L1470" s="1"/>
      </tp>
      <tp>
        <v>8945646700</v>
        <stp/>
        <stp>EM_HKS_VAL_MV</stp>
        <stp>3</stp>
        <stp>002859</stp>
        <stp>2019-12-31</stp>
        <stp>2</stp>
        <tr r="L1645" s="1"/>
      </tp>
      <tp>
        <v>8870957316</v>
        <stp/>
        <stp>EM_HKS_VAL_MV</stp>
        <stp>3</stp>
        <stp>603039</stp>
        <stp>2019-12-31</stp>
        <stp>2</stp>
        <tr r="L3129" s="1"/>
      </tp>
      <tp>
        <v>1719933600</v>
        <stp/>
        <stp>EM_HKS_VAL_MV</stp>
        <stp>3</stp>
        <stp>603139</stp>
        <stp>2019-12-31</stp>
        <stp>2</stp>
        <tr r="L1742" s="1"/>
      </tp>
      <tp>
        <v>3034771200</v>
        <stp/>
        <stp>EM_HKS_VAL_MV</stp>
        <stp>3</stp>
        <stp>603239</stp>
        <stp>2019-12-31</stp>
        <stp>2</stp>
        <tr r="L1957" s="1"/>
      </tp>
      <tp>
        <v>2856751305</v>
        <stp/>
        <stp>EM_HKS_VAL_MV</stp>
        <stp>3</stp>
        <stp>603339</stp>
        <stp>2019-12-31</stp>
        <stp>2</stp>
        <tr r="L2771" s="1"/>
      </tp>
      <tp>
        <v>4225704002.5999999</v>
        <stp/>
        <stp>EM_HKS_VAL_MV</stp>
        <stp>3</stp>
        <stp>603639</stp>
        <stp>2019-12-31</stp>
        <stp>2</stp>
        <tr r="L2640" s="1"/>
      </tp>
      <tp>
        <v>5263945699.6000004</v>
        <stp/>
        <stp>EM_HKS_VAL_MV</stp>
        <stp>3</stp>
        <stp>603839</stp>
        <stp>2019-12-31</stp>
        <stp>2</stp>
        <tr r="L1152" s="1"/>
      </tp>
      <tp>
        <v>27744705889.32</v>
        <stp/>
        <stp>EM_HKS_VAL_MV</stp>
        <stp>3</stp>
        <stp>603939</stp>
        <stp>2019-12-31</stp>
        <stp>2</stp>
        <tr r="L285" s="1"/>
      </tp>
      <tp>
        <v>9740605050.3299999</v>
        <stp/>
        <stp>EM_HKS_VAL_MV</stp>
        <stp>3</stp>
        <stp>000059</stp>
        <stp>2019-12-31</stp>
        <stp>2</stp>
        <tr r="L1923" s="1"/>
      </tp>
      <tp>
        <v>1862640000</v>
        <stp/>
        <stp>EM_HKS_VAL_MV</stp>
        <stp>3</stp>
        <stp>300069</stp>
        <stp>2019-12-31</stp>
        <stp>2</stp>
        <tr r="L270" s="1"/>
      </tp>
      <tp>
        <v>12131365713.6</v>
        <stp/>
        <stp>EM_HKS_VAL_MV</stp>
        <stp>3</stp>
        <stp>600039</stp>
        <stp>2019-12-31</stp>
        <stp>2</stp>
        <tr r="L2260" s="1"/>
      </tp>
      <tp>
        <v>2735103300.1700001</v>
        <stp/>
        <stp>EM_HKS_VAL_MV</stp>
        <stp>3</stp>
        <stp>000159</stp>
        <stp>2019-12-31</stp>
        <stp>2</stp>
        <tr r="L847" s="1"/>
      </tp>
      <tp>
        <v>1854850894.5999999</v>
        <stp/>
        <stp>EM_HKS_VAL_MV</stp>
        <stp>3</stp>
        <stp>300169</stp>
        <stp>2019-12-31</stp>
        <stp>2</stp>
        <tr r="L1392" s="1"/>
      </tp>
      <tp>
        <v>2323235683.0799999</v>
        <stp/>
        <stp>EM_HKS_VAL_MV</stp>
        <stp>3</stp>
        <stp>600139</stp>
        <stp>2019-12-31</stp>
        <stp>2</stp>
        <tr r="L1360" s="1"/>
      </tp>
      <tp>
        <v>2934275641.7600002</v>
        <stp/>
        <stp>EM_HKS_VAL_MV</stp>
        <stp>3</stp>
        <stp>300269</stp>
        <stp>2019-12-31</stp>
        <stp>2</stp>
        <tr r="L2751" s="1"/>
      </tp>
      <tp>
        <v>4640435167.0100002</v>
        <stp/>
        <stp>EM_HKS_VAL_MV</stp>
        <stp>3</stp>
        <stp>600239</stp>
        <stp>2019-12-31</stp>
        <stp>2</stp>
        <tr r="L2256" s="1"/>
      </tp>
      <tp>
        <v>14461892017.32</v>
        <stp/>
        <stp>EM_HKS_VAL_MV</stp>
        <stp>3</stp>
        <stp>300369</stp>
        <stp>2019-12-31</stp>
        <stp>2</stp>
        <tr r="L143" s="1"/>
      </tp>
      <tp>
        <v>18926869926.689999</v>
        <stp/>
        <stp>EM_HKS_VAL_MV</stp>
        <stp>3</stp>
        <stp>600339</stp>
        <stp>2019-12-31</stp>
        <stp>2</stp>
        <tr r="L2706" s="1"/>
      </tp>
      <tp>
        <v>3294474138.5599999</v>
        <stp/>
        <stp>EM_HKS_VAL_MV</stp>
        <stp>3</stp>
        <stp>300469</stp>
        <stp>2019-12-31</stp>
        <stp>2</stp>
        <tr r="L2968" s="1"/>
      </tp>
      <tp>
        <v>4063827729.5999999</v>
        <stp/>
        <stp>EM_HKS_VAL_MV</stp>
        <stp>3</stp>
        <stp>600439</stp>
        <stp>2019-12-31</stp>
        <stp>2</stp>
        <tr r="L823" s="1"/>
      </tp>
      <tp>
        <v>14784466267.98</v>
        <stp/>
        <stp>EM_HKS_VAL_MV</stp>
        <stp>3</stp>
        <stp>000559</stp>
        <stp>2019-12-31</stp>
        <stp>2</stp>
        <tr r="L1985" s="1"/>
      </tp>
      <tp>
        <v>3357268560</v>
        <stp/>
        <stp>EM_HKS_VAL_MV</stp>
        <stp>3</stp>
        <stp>300569</stp>
        <stp>2019-12-31</stp>
        <stp>2</stp>
        <tr r="L1506" s="1"/>
      </tp>
      <tp>
        <v>1561700000</v>
        <stp/>
        <stp>EM_HKS_VAL_MV</stp>
        <stp>3</stp>
        <stp>600539</stp>
        <stp>2019-12-31</stp>
        <stp>2</stp>
        <tr r="L1929" s="1"/>
      </tp>
      <tp>
        <v>3497110854.4000001</v>
        <stp/>
        <stp>EM_HKS_VAL_MV</stp>
        <stp>3</stp>
        <stp>000659</stp>
        <stp>2019-12-31</stp>
        <stp>2</stp>
        <tr r="L3261" s="1"/>
      </tp>
      <tp>
        <v>2421785510.5500002</v>
        <stp/>
        <stp>EM_HKS_VAL_MV</stp>
        <stp>3</stp>
        <stp>300669</stp>
        <stp>2019-12-31</stp>
        <stp>2</stp>
        <tr r="L488" s="1"/>
      </tp>
      <tp>
        <v>15152574055.5</v>
        <stp/>
        <stp>EM_HKS_VAL_MV</stp>
        <stp>3</stp>
        <stp>600639</stp>
        <stp>2019-12-31</stp>
        <stp>2</stp>
        <tr r="L1287" s="1"/>
      </tp>
      <tp>
        <v>5073610175</v>
        <stp/>
        <stp>EM_HKS_VAL_MV</stp>
        <stp>3</stp>
        <stp>000759</stp>
        <stp>2019-12-31</stp>
        <stp>2</stp>
        <tr r="L752" s="1"/>
      </tp>
      <tp>
        <v>23297480497.68</v>
        <stp/>
        <stp>EM_HKS_VAL_MV</stp>
        <stp>3</stp>
        <stp>600739</stp>
        <stp>2019-12-31</stp>
        <stp>2</stp>
        <tr r="L642" s="1"/>
      </tp>
      <tp>
        <v>4229652455.5999999</v>
        <stp/>
        <stp>EM_HKS_VAL_MV</stp>
        <stp>3</stp>
        <stp>000859</stp>
        <stp>2019-12-31</stp>
        <stp>2</stp>
        <tr r="L151" s="1"/>
      </tp>
      <tp>
        <v>13433270686.02</v>
        <stp/>
        <stp>EM_HKS_VAL_MV</stp>
        <stp>3</stp>
        <stp>600839</stp>
        <stp>2019-12-31</stp>
        <stp>2</stp>
        <tr r="L1139" s="1"/>
      </tp>
      <tp>
        <v>18671545288</v>
        <stp/>
        <stp>EM_HKS_VAL_MV</stp>
        <stp>3</stp>
        <stp>000959</stp>
        <stp>2019-12-31</stp>
        <stp>2</stp>
        <tr r="L2602" s="1"/>
      </tp>
      <tp>
        <v>8727745000</v>
        <stp/>
        <stp>EM_HKS_VAL_MV</stp>
        <stp>3</stp>
        <stp>600939</stp>
        <stp>2019-12-31</stp>
        <stp>2</stp>
        <tr r="L2104" s="1"/>
      </tp>
      <tp>
        <v>22525089869.52</v>
        <stp/>
        <stp>EM_HKS_VAL_MV</stp>
        <stp>3</stp>
        <stp>601139</stp>
        <stp>2019-12-31</stp>
        <stp>2</stp>
        <tr r="L649" s="1"/>
      </tp>
      <tp>
        <v>5985000000</v>
        <stp/>
        <stp>EM_HKS_VAL_MV</stp>
        <stp>3</stp>
        <stp>601339</stp>
        <stp>2019-12-31</stp>
        <stp>2</stp>
        <tr r="L3196" s="1"/>
      </tp>
      <tp>
        <v>1807579367223.78</v>
        <stp/>
        <stp>EM_HKS_VAL_MV</stp>
        <stp>3</stp>
        <stp>601939</stp>
        <stp>2019-12-31</stp>
        <stp>2</stp>
        <tr r="L1554" s="1"/>
      </tp>
      <tp>
        <v>2372151826.9200001</v>
        <stp/>
        <stp>EM_HKS_VAL_MV</stp>
        <stp>3</stp>
        <stp>002052</stp>
        <stp>2019-12-31</stp>
        <stp>2</stp>
        <tr r="L3618" s="1"/>
      </tp>
      <tp>
        <v>23150431869.110001</v>
        <stp/>
        <stp>EM_HKS_VAL_MV</stp>
        <stp>3</stp>
        <stp>002152</stp>
        <stp>2019-12-31</stp>
        <stp>2</stp>
        <tr r="L279" s="1"/>
      </tp>
      <tp>
        <v>36911695974.580002</v>
        <stp/>
        <stp>EM_HKS_VAL_MV</stp>
        <stp>3</stp>
        <stp>002252</stp>
        <stp>2019-12-31</stp>
        <stp>2</stp>
        <tr r="L2752" s="1"/>
      </tp>
      <tp>
        <v>164178426005.35001</v>
        <stp/>
        <stp>EM_HKS_VAL_MV</stp>
        <stp>3</stp>
        <stp>002352</stp>
        <stp>2019-12-31</stp>
        <stp>2</stp>
        <tr r="L1475" s="1"/>
      </tp>
      <tp>
        <v>2530532000</v>
        <stp/>
        <stp>EM_HKS_VAL_MV</stp>
        <stp>3</stp>
        <stp>002452</stp>
        <stp>2019-12-31</stp>
        <stp>2</stp>
        <tr r="L763" s="1"/>
      </tp>
      <tp>
        <v>7720117240.9799995</v>
        <stp/>
        <stp>EM_HKS_VAL_MV</stp>
        <stp>3</stp>
        <stp>002552</stp>
        <stp>2019-12-31</stp>
        <stp>2</stp>
        <tr r="L17" s="1"/>
      </tp>
      <tp>
        <v>2002170240</v>
        <stp/>
        <stp>EM_HKS_VAL_MV</stp>
        <stp>3</stp>
        <stp>002652</stp>
        <stp>2019-12-31</stp>
        <stp>2</stp>
        <tr r="L2182" s="1"/>
      </tp>
      <tp>
        <v>5115728386.6599998</v>
        <stp/>
        <stp>EM_HKS_VAL_MV</stp>
        <stp>3</stp>
        <stp>002752</stp>
        <stp>2019-12-31</stp>
        <stp>2</stp>
        <tr r="L2953" s="1"/>
      </tp>
      <tp>
        <v>3895720000</v>
        <stp/>
        <stp>EM_HKS_VAL_MV</stp>
        <stp>3</stp>
        <stp>002852</stp>
        <stp>2019-12-31</stp>
        <stp>2</stp>
        <tr r="L1784" s="1"/>
      </tp>
      <tp>
        <v>3552177600</v>
        <stp/>
        <stp>EM_HKS_VAL_MV</stp>
        <stp>3</stp>
        <stp>603032</stp>
        <stp>2019-12-31</stp>
        <stp>2</stp>
        <tr r="L3116" s="1"/>
      </tp>
      <tp>
        <v>3942422680</v>
        <stp/>
        <stp>EM_HKS_VAL_MV</stp>
        <stp>3</stp>
        <stp>603232</stp>
        <stp>2019-12-31</stp>
        <stp>2</stp>
        <tr r="L680" s="1"/>
      </tp>
      <tp>
        <v>1669360000</v>
        <stp/>
        <stp>EM_HKS_VAL_MV</stp>
        <stp>3</stp>
        <stp>300062</stp>
        <stp>2019-12-31</stp>
        <stp>2</stp>
        <tr r="L1772" s="1"/>
      </tp>
      <tp>
        <v>3145590270</v>
        <stp/>
        <stp>EM_HKS_VAL_MV</stp>
        <stp>3</stp>
        <stp>300162</stp>
        <stp>2019-12-31</stp>
        <stp>2</stp>
        <tr r="L194" s="1"/>
      </tp>
      <tp>
        <v>25147143448.080002</v>
        <stp/>
        <stp>EM_HKS_VAL_MV</stp>
        <stp>3</stp>
        <stp>600132</stp>
        <stp>2019-12-31</stp>
        <stp>2</stp>
        <tr r="L313" s="1"/>
      </tp>
      <tp>
        <v>3248369945.1500001</v>
        <stp/>
        <stp>EM_HKS_VAL_MV</stp>
        <stp>3</stp>
        <stp>300262</stp>
        <stp>2019-12-31</stp>
        <stp>2</stp>
        <tr r="L2823" s="1"/>
      </tp>
      <tp>
        <v>2341493052.48</v>
        <stp/>
        <stp>EM_HKS_VAL_MV</stp>
        <stp>3</stp>
        <stp>600232</stp>
        <stp>2019-12-31</stp>
        <stp>2</stp>
        <tr r="L942" s="1"/>
      </tp>
      <tp>
        <v>1175527821.0999999</v>
        <stp/>
        <stp>EM_HKS_VAL_MV</stp>
        <stp>3</stp>
        <stp>300362</stp>
        <stp>2019-12-31</stp>
        <stp>2</stp>
        <tr r="L3359" s="1"/>
      </tp>
      <tp>
        <v>57894415693.889999</v>
        <stp/>
        <stp>EM_HKS_VAL_MV</stp>
        <stp>3</stp>
        <stp>600332</stp>
        <stp>2019-12-31</stp>
        <stp>2</stp>
        <tr r="L2596" s="1"/>
      </tp>
      <tp>
        <v>4859120295.25</v>
        <stp/>
        <stp>EM_HKS_VAL_MV</stp>
        <stp>3</stp>
        <stp>300462</stp>
        <stp>2019-12-31</stp>
        <stp>2</stp>
        <tr r="L369" s="1"/>
      </tp>
      <tp>
        <v>1081367614.98</v>
        <stp/>
        <stp>EM_HKS_VAL_MV</stp>
        <stp>3</stp>
        <stp>600432</stp>
        <stp>2019-12-31</stp>
        <stp>2</stp>
        <tr r="L2302" s="1"/>
      </tp>
      <tp>
        <v>5900385309</v>
        <stp/>
        <stp>EM_HKS_VAL_MV</stp>
        <stp>3</stp>
        <stp>000552</stp>
        <stp>2019-12-31</stp>
        <stp>2</stp>
        <tr r="L2352" s="1"/>
      </tp>
      <tp>
        <v>2873531863.8600001</v>
        <stp/>
        <stp>EM_HKS_VAL_MV</stp>
        <stp>3</stp>
        <stp>300562</stp>
        <stp>2019-12-31</stp>
        <stp>2</stp>
        <tr r="L550" s="1"/>
      </tp>
      <tp>
        <v>1945567764.4000001</v>
        <stp/>
        <stp>EM_HKS_VAL_MV</stp>
        <stp>3</stp>
        <stp>600532</stp>
        <stp>2019-12-31</stp>
        <stp>2</stp>
        <tr r="L2419" s="1"/>
      </tp>
      <tp>
        <v>5548157683.5200005</v>
        <stp/>
        <stp>EM_HKS_VAL_MV</stp>
        <stp>3</stp>
        <stp>000652</stp>
        <stp>2019-12-31</stp>
        <stp>2</stp>
        <tr r="L1224" s="1"/>
      </tp>
      <tp>
        <v>5722200000</v>
        <stp/>
        <stp>EM_HKS_VAL_MV</stp>
        <stp>3</stp>
        <stp>300662</stp>
        <stp>2019-12-31</stp>
        <stp>2</stp>
        <tr r="L1399" s="1"/>
      </tp>
      <tp>
        <v>4027376675.3299999</v>
        <stp/>
        <stp>EM_HKS_VAL_MV</stp>
        <stp>3</stp>
        <stp>600632</stp>
        <stp>2019-12-31</stp>
        <stp>2</stp>
        <tr r="L2310" s="1"/>
      </tp>
      <tp>
        <v>1200101134.05</v>
        <stp/>
        <stp>EM_HKS_VAL_MV</stp>
        <stp>3</stp>
        <stp>000752</stp>
        <stp>2019-12-31</stp>
        <stp>2</stp>
        <tr r="L3527" s="1"/>
      </tp>
      <tp>
        <v>14254829311.700001</v>
        <stp/>
        <stp>EM_HKS_VAL_MV</stp>
        <stp>3</stp>
        <stp>600732</stp>
        <stp>2019-12-31</stp>
        <stp>2</stp>
        <tr r="L281" s="1"/>
      </tp>
      <tp>
        <v>4930015680.9799995</v>
        <stp/>
        <stp>EM_HKS_VAL_MV</stp>
        <stp>3</stp>
        <stp>000852</stp>
        <stp>2019-12-31</stp>
        <stp>2</stp>
        <tr r="L2811" s="1"/>
      </tp>
      <tp>
        <v>73859242379.320007</v>
        <stp/>
        <stp>EM_HKS_VAL_MV</stp>
        <stp>3</stp>
        <stp>600832</stp>
        <stp>2019-12-31</stp>
        <stp>2</stp>
        <tr r="L2328" s="1"/>
      </tp>
      <tp>
        <v>2398753538.8899999</v>
        <stp/>
        <stp>EM_HKS_VAL_MV</stp>
        <stp>3</stp>
        <stp>000952</stp>
        <stp>2019-12-31</stp>
        <stp>2</stp>
        <tr r="L2593" s="1"/>
      </tp>
      <tp>
        <v>5509484817.8400002</v>
        <stp/>
        <stp>EM_HKS_VAL_MV</stp>
        <stp>3</stp>
        <stp>002053</stp>
        <stp>2019-12-31</stp>
        <stp>2</stp>
        <tr r="L3619" s="1"/>
      </tp>
      <tp>
        <v>41648617959</v>
        <stp/>
        <stp>EM_HKS_VAL_MV</stp>
        <stp>3</stp>
        <stp>002153</stp>
        <stp>2019-12-31</stp>
        <stp>2</stp>
        <tr r="L541" s="1"/>
      </tp>
      <tp>
        <v>3260297072.75</v>
        <stp/>
        <stp>EM_HKS_VAL_MV</stp>
        <stp>3</stp>
        <stp>002253</stp>
        <stp>2019-12-31</stp>
        <stp>2</stp>
        <tr r="L1773" s="1"/>
      </tp>
      <tp>
        <v>35402283544.32</v>
        <stp/>
        <stp>EM_HKS_VAL_MV</stp>
        <stp>3</stp>
        <stp>002353</stp>
        <stp>2019-12-31</stp>
        <stp>2</stp>
        <tr r="L89" s="1"/>
      </tp>
      <tp>
        <v>3096446000</v>
        <stp/>
        <stp>EM_HKS_VAL_MV</stp>
        <stp>3</stp>
        <stp>002453</stp>
        <stp>2019-12-31</stp>
        <stp>2</stp>
        <tr r="L2057" s="1"/>
      </tp>
      <tp>
        <v>1879200000</v>
        <stp/>
        <stp>EM_HKS_VAL_MV</stp>
        <stp>3</stp>
        <stp>002553</stp>
        <stp>2019-12-31</stp>
        <stp>2</stp>
        <tr r="L2055" s="1"/>
      </tp>
      <tp>
        <v>22076348000</v>
        <stp/>
        <stp>EM_HKS_VAL_MV</stp>
        <stp>3</stp>
        <stp>002653</stp>
        <stp>2019-12-31</stp>
        <stp>2</stp>
        <tr r="L337" s="1"/>
      </tp>
      <tp>
        <v>2939678843.1300001</v>
        <stp/>
        <stp>EM_HKS_VAL_MV</stp>
        <stp>3</stp>
        <stp>002753</stp>
        <stp>2019-12-31</stp>
        <stp>2</stp>
        <tr r="L2896" s="1"/>
      </tp>
      <tp>
        <v>2836535790</v>
        <stp/>
        <stp>EM_HKS_VAL_MV</stp>
        <stp>3</stp>
        <stp>002853</stp>
        <stp>2019-12-31</stp>
        <stp>2</stp>
        <tr r="L2233" s="1"/>
      </tp>
      <tp>
        <v>5646956608.3000002</v>
        <stp/>
        <stp>EM_HKS_VAL_MV</stp>
        <stp>3</stp>
        <stp>603033</stp>
        <stp>2019-12-31</stp>
        <stp>2</stp>
        <tr r="L2572" s="1"/>
      </tp>
      <tp>
        <v>5247141750</v>
        <stp/>
        <stp>EM_HKS_VAL_MV</stp>
        <stp>3</stp>
        <stp>603133</stp>
        <stp>2019-12-31</stp>
        <stp>2</stp>
        <tr r="L506" s="1"/>
      </tp>
      <tp>
        <v>28191057639.25</v>
        <stp/>
        <stp>EM_HKS_VAL_MV</stp>
        <stp>3</stp>
        <stp>603233</stp>
        <stp>2019-12-31</stp>
        <stp>2</stp>
        <tr r="L958" s="1"/>
      </tp>
      <tp>
        <v>5318628150</v>
        <stp/>
        <stp>EM_HKS_VAL_MV</stp>
        <stp>3</stp>
        <stp>603333</stp>
        <stp>2019-12-31</stp>
        <stp>2</stp>
        <tr r="L196" s="1"/>
      </tp>
      <tp>
        <v>6792940000</v>
        <stp/>
        <stp>EM_HKS_VAL_MV</stp>
        <stp>3</stp>
        <stp>603533</stp>
        <stp>2019-12-31</stp>
        <stp>2</stp>
        <tr r="L2569" s="1"/>
      </tp>
      <tp>
        <v>2088830705</v>
        <stp/>
        <stp>EM_HKS_VAL_MV</stp>
        <stp>3</stp>
        <stp>603633</stp>
        <stp>2019-12-31</stp>
        <stp>2</stp>
        <tr r="L2051" s="1"/>
      </tp>
      <tp>
        <v>8727120000</v>
        <stp/>
        <stp>EM_HKS_VAL_MV</stp>
        <stp>3</stp>
        <stp>603733</stp>
        <stp>2019-12-31</stp>
        <stp>2</stp>
        <tr r="L2668" s="1"/>
      </tp>
      <tp>
        <v>49159909305</v>
        <stp/>
        <stp>EM_HKS_VAL_MV</stp>
        <stp>3</stp>
        <stp>603833</stp>
        <stp>2019-12-31</stp>
        <stp>2</stp>
        <tr r="L634" s="1"/>
      </tp>
      <tp>
        <v>3207657208</v>
        <stp/>
        <stp>EM_HKS_VAL_MV</stp>
        <stp>3</stp>
        <stp>603933</stp>
        <stp>2019-12-31</stp>
        <stp>2</stp>
        <tr r="L2900" s="1"/>
      </tp>
      <tp>
        <v>2344376103.5</v>
        <stp/>
        <stp>EM_HKS_VAL_MV</stp>
        <stp>3</stp>
        <stp>300063</stp>
        <stp>2019-12-31</stp>
        <stp>2</stp>
        <tr r="L2700" s="1"/>
      </tp>
      <tp>
        <v>8425308000</v>
        <stp/>
        <stp>EM_HKS_VAL_MV</stp>
        <stp>3</stp>
        <stp>600033</stp>
        <stp>2019-12-31</stp>
        <stp>2</stp>
        <tr r="L2105" s="1"/>
      </tp>
      <tp>
        <v>2063253530.3</v>
        <stp/>
        <stp>EM_HKS_VAL_MV</stp>
        <stp>3</stp>
        <stp>000153</stp>
        <stp>2019-12-31</stp>
        <stp>2</stp>
        <tr r="L917" s="1"/>
      </tp>
      <tp>
        <v>1744320000</v>
        <stp/>
        <stp>EM_HKS_VAL_MV</stp>
        <stp>3</stp>
        <stp>300163</stp>
        <stp>2019-12-31</stp>
        <stp>2</stp>
        <tr r="L1700" s="1"/>
      </tp>
      <tp>
        <v>4040381341.04</v>
        <stp/>
        <stp>EM_HKS_VAL_MV</stp>
        <stp>3</stp>
        <stp>600133</stp>
        <stp>2019-12-31</stp>
        <stp>2</stp>
        <tr r="L2928" s="1"/>
      </tp>
      <tp>
        <v>5004335092.8800001</v>
        <stp/>
        <stp>EM_HKS_VAL_MV</stp>
        <stp>3</stp>
        <stp>300263</stp>
        <stp>2019-12-31</stp>
        <stp>2</stp>
        <tr r="L837" s="1"/>
      </tp>
      <tp>
        <v>35963069484.099998</v>
        <stp/>
        <stp>EM_HKS_VAL_MV</stp>
        <stp>3</stp>
        <stp>600233</stp>
        <stp>2019-12-31</stp>
        <stp>2</stp>
        <tr r="L1032" s="1"/>
      </tp>
      <tp>
        <v>7766717197.2299995</v>
        <stp/>
        <stp>EM_HKS_VAL_MV</stp>
        <stp>3</stp>
        <stp>300363</stp>
        <stp>2019-12-31</stp>
        <stp>2</stp>
        <tr r="L577" s="1"/>
      </tp>
      <tp>
        <v>3166959556.8000002</v>
        <stp/>
        <stp>EM_HKS_VAL_MV</stp>
        <stp>3</stp>
        <stp>600333</stp>
        <stp>2019-12-31</stp>
        <stp>2</stp>
        <tr r="L2670" s="1"/>
      </tp>
      <tp>
        <v>15041148502.799999</v>
        <stp/>
        <stp>EM_HKS_VAL_MV</stp>
        <stp>3</stp>
        <stp>300463</stp>
        <stp>2019-12-31</stp>
        <stp>2</stp>
        <tr r="L238" s="1"/>
      </tp>
      <tp>
        <v>4208054116.3299999</v>
        <stp/>
        <stp>EM_HKS_VAL_MV</stp>
        <stp>3</stp>
        <stp>600433</stp>
        <stp>2019-12-31</stp>
        <stp>2</stp>
        <tr r="L2625" s="1"/>
      </tp>
      <tp>
        <v>24465535820</v>
        <stp/>
        <stp>EM_HKS_VAL_MV</stp>
        <stp>3</stp>
        <stp>000553</stp>
        <stp>2019-12-31</stp>
        <stp>2</stp>
        <tr r="L1907" s="1"/>
      </tp>
      <tp>
        <v>2240000000</v>
        <stp/>
        <stp>EM_HKS_VAL_MV</stp>
        <stp>3</stp>
        <stp>300563</stp>
        <stp>2019-12-31</stp>
        <stp>2</stp>
        <tr r="L1534" s="1"/>
      </tp>
      <tp>
        <v>3517500000</v>
        <stp/>
        <stp>EM_HKS_VAL_MV</stp>
        <stp>3</stp>
        <stp>600533</stp>
        <stp>2019-12-31</stp>
        <stp>2</stp>
        <tr r="L1535" s="1"/>
      </tp>
      <tp>
        <v>744745614</v>
        <stp/>
        <stp>EM_HKS_VAL_MV</stp>
        <stp>3</stp>
        <stp>000653</stp>
        <stp>2019-12-31</stp>
        <stp>2</stp>
        <tr r="L3493" s="1"/>
      </tp>
      <tp>
        <v>7702974383.1499996</v>
        <stp/>
        <stp>EM_HKS_VAL_MV</stp>
        <stp>3</stp>
        <stp>300663</stp>
        <stp>2019-12-31</stp>
        <stp>2</stp>
        <tr r="L224" s="1"/>
      </tp>
      <tp>
        <v>11912604169.950001</v>
        <stp/>
        <stp>EM_HKS_VAL_MV</stp>
        <stp>3</stp>
        <stp>600633</stp>
        <stp>2019-12-31</stp>
        <stp>2</stp>
        <tr r="L1476" s="1"/>
      </tp>
      <tp>
        <v>2964528402.29</v>
        <stp/>
        <stp>EM_HKS_VAL_MV</stp>
        <stp>3</stp>
        <stp>000753</stp>
        <stp>2019-12-31</stp>
        <stp>2</stp>
        <tr r="L2257" s="1"/>
      </tp>
      <tp>
        <v>20402970528.080002</v>
        <stp/>
        <stp>EM_HKS_VAL_MV</stp>
        <stp>3</stp>
        <stp>600733</stp>
        <stp>2019-12-31</stp>
        <stp>2</stp>
        <tr r="L3186" s="1"/>
      </tp>
      <tp>
        <v>2099242525.27</v>
        <stp/>
        <stp>EM_HKS_VAL_MV</stp>
        <stp>3</stp>
        <stp>600833</stp>
        <stp>2019-12-31</stp>
        <stp>2</stp>
        <tr r="L2110" s="1"/>
      </tp>
      <tp>
        <v>1276217956.5799999</v>
        <stp/>
        <stp>EM_HKS_VAL_MV</stp>
        <stp>3</stp>
        <stp>000953</stp>
        <stp>2019-12-31</stp>
        <stp>2</stp>
        <tr r="L3584" s="1"/>
      </tp>
      <tp>
        <v>11953598790</v>
        <stp/>
        <stp>EM_HKS_VAL_MV</stp>
        <stp>3</stp>
        <stp>600933</stp>
        <stp>2019-12-31</stp>
        <stp>2</stp>
        <tr r="L256" s="1"/>
      </tp>
      <tp>
        <v>27700482781.939999</v>
        <stp/>
        <stp>EM_HKS_VAL_MV</stp>
        <stp>3</stp>
        <stp>601233</stp>
        <stp>2019-12-31</stp>
        <stp>2</stp>
        <tr r="L521" s="1"/>
      </tp>
      <tp>
        <v>21675623220</v>
        <stp/>
        <stp>EM_HKS_VAL_MV</stp>
        <stp>3</stp>
        <stp>601333</stp>
        <stp>2019-12-31</stp>
        <stp>2</stp>
        <tr r="L2471" s="1"/>
      </tp>
      <tp>
        <v>80776330650</v>
        <stp/>
        <stp>EM_HKS_VAL_MV</stp>
        <stp>3</stp>
        <stp>601633</stp>
        <stp>2019-12-31</stp>
        <stp>2</stp>
        <tr r="L446" s="1"/>
      </tp>
      <tp>
        <v>72161284294.320007</v>
        <stp/>
        <stp>EM_HKS_VAL_MV</stp>
        <stp>3</stp>
        <stp>601933</stp>
        <stp>2019-12-31</stp>
        <stp>2</stp>
        <tr r="L2507" s="1"/>
      </tp>
      <tp>
        <v>47928851372.339996</v>
        <stp/>
        <stp>EM_HKS_VAL_MV</stp>
        <stp>3</stp>
        <stp>002050</stp>
        <stp>2019-12-31</stp>
        <stp>2</stp>
        <tr r="L791" s="1"/>
      </tp>
      <tp>
        <v>2438576642.52</v>
        <stp/>
        <stp>EM_HKS_VAL_MV</stp>
        <stp>3</stp>
        <stp>002150</stp>
        <stp>2019-12-31</stp>
        <stp>2</stp>
        <tr r="L1664" s="1"/>
      </tp>
      <tp>
        <v>15826031099.280001</v>
        <stp/>
        <stp>EM_HKS_VAL_MV</stp>
        <stp>3</stp>
        <stp>002250</stp>
        <stp>2019-12-31</stp>
        <stp>2</stp>
        <tr r="L271" s="1"/>
      </tp>
      <tp>
        <v>2761170501.5999999</v>
        <stp/>
        <stp>EM_HKS_VAL_MV</stp>
        <stp>3</stp>
        <stp>002350</stp>
        <stp>2019-12-31</stp>
        <stp>2</stp>
        <tr r="L2684" s="1"/>
      </tp>
      <tp>
        <v>12463968992.639999</v>
        <stp/>
        <stp>EM_HKS_VAL_MV</stp>
        <stp>3</stp>
        <stp>002450</stp>
        <stp>2019-12-31</stp>
        <stp>2</stp>
        <tr r="L3380" s="1"/>
      </tp>
      <tp>
        <v>5862285500</v>
        <stp/>
        <stp>EM_HKS_VAL_MV</stp>
        <stp>3</stp>
        <stp>002550</stp>
        <stp>2019-12-31</stp>
        <stp>2</stp>
        <tr r="L1338" s="1"/>
      </tp>
      <tp>
        <v>4124160000</v>
        <stp/>
        <stp>EM_HKS_VAL_MV</stp>
        <stp>3</stp>
        <stp>002650</stp>
        <stp>2019-12-31</stp>
        <stp>2</stp>
        <tr r="L2392" s="1"/>
      </tp>
      <tp>
        <v>5154435000</v>
        <stp/>
        <stp>EM_HKS_VAL_MV</stp>
        <stp>3</stp>
        <stp>002750</stp>
        <stp>2019-12-31</stp>
        <stp>2</stp>
        <tr r="L121" s="1"/>
      </tp>
      <tp>
        <v>9555000000</v>
        <stp/>
        <stp>EM_HKS_VAL_MV</stp>
        <stp>3</stp>
        <stp>002850</stp>
        <stp>2019-12-31</stp>
        <stp>2</stp>
        <tr r="L87" s="1"/>
      </tp>
      <tp>
        <v>3105493816.4099998</v>
        <stp/>
        <stp>EM_HKS_VAL_MV</stp>
        <stp>3</stp>
        <stp>603030</stp>
        <stp>2019-12-31</stp>
        <stp>2</stp>
        <tr r="L1545" s="1"/>
      </tp>
      <tp>
        <v>1653288000</v>
        <stp/>
        <stp>EM_HKS_VAL_MV</stp>
        <stp>3</stp>
        <stp>603330</stp>
        <stp>2019-12-31</stp>
        <stp>2</stp>
        <tr r="L3151" s="1"/>
      </tp>
      <tp>
        <v>3060720000</v>
        <stp/>
        <stp>EM_HKS_VAL_MV</stp>
        <stp>3</stp>
        <stp>603630</stp>
        <stp>2019-12-31</stp>
        <stp>2</stp>
        <tr r="L2235" s="1"/>
      </tp>
      <tp>
        <v>12101960449.200001</v>
        <stp/>
        <stp>EM_HKS_VAL_MV</stp>
        <stp>3</stp>
        <stp>603730</stp>
        <stp>2019-12-31</stp>
        <stp>2</stp>
        <tr r="L677" s="1"/>
      </tp>
      <tp>
        <v>33363924500.790001</v>
        <stp/>
        <stp>EM_HKS_VAL_MV</stp>
        <stp>3</stp>
        <stp>000050</stp>
        <stp>2019-12-31</stp>
        <stp>2</stp>
        <tr r="L348" s="1"/>
      </tp>
      <tp>
        <v>306557782520</v>
        <stp/>
        <stp>EM_HKS_VAL_MV</stp>
        <stp>3</stp>
        <stp>600030</stp>
        <stp>2019-12-31</stp>
        <stp>2</stp>
        <tr r="L423" s="1"/>
      </tp>
      <tp>
        <v>4204171298.0300002</v>
        <stp/>
        <stp>EM_HKS_VAL_MV</stp>
        <stp>3</stp>
        <stp>000150</stp>
        <stp>2019-12-31</stp>
        <stp>2</stp>
        <tr r="L3399" s="1"/>
      </tp>
      <tp>
        <v>2319384086.25</v>
        <stp/>
        <stp>EM_HKS_VAL_MV</stp>
        <stp>3</stp>
        <stp>300160</stp>
        <stp>2019-12-31</stp>
        <stp>2</stp>
        <tr r="L1712" s="1"/>
      </tp>
      <tp>
        <v>2810880000</v>
        <stp/>
        <stp>EM_HKS_VAL_MV</stp>
        <stp>3</stp>
        <stp>600130</stp>
        <stp>2019-12-31</stp>
        <stp>2</stp>
        <tr r="L2075" s="1"/>
      </tp>
      <tp>
        <v>2376833800</v>
        <stp/>
        <stp>EM_HKS_VAL_MV</stp>
        <stp>3</stp>
        <stp>300260</stp>
        <stp>2019-12-31</stp>
        <stp>2</stp>
        <tr r="L893" s="1"/>
      </tp>
      <tp>
        <v>4254549975.6599998</v>
        <stp/>
        <stp>EM_HKS_VAL_MV</stp>
        <stp>3</stp>
        <stp>600230</stp>
        <stp>2019-12-31</stp>
        <stp>2</stp>
        <tr r="L3272" s="1"/>
      </tp>
      <tp>
        <v>5181682247.5</v>
        <stp/>
        <stp>EM_HKS_VAL_MV</stp>
        <stp>3</stp>
        <stp>300360</stp>
        <stp>2019-12-31</stp>
        <stp>2</stp>
        <tr r="L187" s="1"/>
      </tp>
      <tp>
        <v>8012388469.1999998</v>
        <stp/>
        <stp>EM_HKS_VAL_MV</stp>
        <stp>3</stp>
        <stp>600330</stp>
        <stp>2019-12-31</stp>
        <stp>2</stp>
        <tr r="L654" s="1"/>
      </tp>
      <tp>
        <v>2764745106</v>
        <stp/>
        <stp>EM_HKS_VAL_MV</stp>
        <stp>3</stp>
        <stp>300460</stp>
        <stp>2019-12-31</stp>
        <stp>2</stp>
        <tr r="L170" s="1"/>
      </tp>
      <tp>
        <v>11912353200</v>
        <stp/>
        <stp>EM_HKS_VAL_MV</stp>
        <stp>3</stp>
        <stp>000550</stp>
        <stp>2019-12-31</stp>
        <stp>2</stp>
        <tr r="L3452" s="1"/>
      </tp>
      <tp>
        <v>2972386800</v>
        <stp/>
        <stp>EM_HKS_VAL_MV</stp>
        <stp>3</stp>
        <stp>300560</stp>
        <stp>2019-12-31</stp>
        <stp>2</stp>
        <tr r="L3115" s="1"/>
      </tp>
      <tp>
        <v>3837600000</v>
        <stp/>
        <stp>EM_HKS_VAL_MV</stp>
        <stp>3</stp>
        <stp>600530</stp>
        <stp>2019-12-31</stp>
        <stp>2</stp>
        <tr r="L1765" s="1"/>
      </tp>
      <tp>
        <v>7826309280.3199997</v>
        <stp/>
        <stp>EM_HKS_VAL_MV</stp>
        <stp>3</stp>
        <stp>000650</stp>
        <stp>2019-12-31</stp>
        <stp>2</stp>
        <tr r="L1616" s="1"/>
      </tp>
      <tp>
        <v>4157736686.5999999</v>
        <stp/>
        <stp>EM_HKS_VAL_MV</stp>
        <stp>3</stp>
        <stp>300660</stp>
        <stp>2019-12-31</stp>
        <stp>2</stp>
        <tr r="L2965" s="1"/>
      </tp>
      <tp>
        <v>3224699521.23</v>
        <stp/>
        <stp>EM_HKS_VAL_MV</stp>
        <stp>3</stp>
        <stp>600630</stp>
        <stp>2019-12-31</stp>
        <stp>2</stp>
        <tr r="L2003" s="1"/>
      </tp>
      <tp>
        <v>22510994130.48</v>
        <stp/>
        <stp>EM_HKS_VAL_MV</stp>
        <stp>3</stp>
        <stp>000750</stp>
        <stp>2019-12-31</stp>
        <stp>2</stp>
        <tr r="L3526" s="1"/>
      </tp>
      <tp>
        <v>2909813769.9200001</v>
        <stp/>
        <stp>EM_HKS_VAL_MV</stp>
        <stp>3</stp>
        <stp>600730</stp>
        <stp>2019-12-31</stp>
        <stp>2</stp>
        <tr r="L2242" s="1"/>
      </tp>
      <tp>
        <v>3812406636.3600001</v>
        <stp/>
        <stp>EM_HKS_VAL_MV</stp>
        <stp>3</stp>
        <stp>000850</stp>
        <stp>2019-12-31</stp>
        <stp>2</stp>
        <tr r="L1049" s="1"/>
      </tp>
      <tp>
        <v>2503318335.9699998</v>
        <stp/>
        <stp>EM_HKS_VAL_MV</stp>
        <stp>3</stp>
        <stp>600830</stp>
        <stp>2019-12-31</stp>
        <stp>2</stp>
        <tr r="L1448" s="1"/>
      </tp>
      <tp>
        <v>9954343848.9599991</v>
        <stp/>
        <stp>EM_HKS_VAL_MV</stp>
        <stp>3</stp>
        <stp>000950</stp>
        <stp>2019-12-31</stp>
        <stp>2</stp>
        <tr r="L1579" s="1"/>
      </tp>
      <tp>
        <v>12343556000</v>
        <stp/>
        <stp>EM_HKS_VAL_MV</stp>
        <stp>3</stp>
        <stp>601330</stp>
        <stp>2019-12-31</stp>
        <stp>2</stp>
        <tr r="L2943" s="1"/>
      </tp>
      <tp>
        <v>12027614867.639999</v>
        <stp/>
        <stp>EM_HKS_VAL_MV</stp>
        <stp>3</stp>
        <stp>002051</stp>
        <stp>2019-12-31</stp>
        <stp>2</stp>
        <tr r="L3617" s="1"/>
      </tp>
      <tp>
        <v>12365707681.48</v>
        <stp/>
        <stp>EM_HKS_VAL_MV</stp>
        <stp>3</stp>
        <stp>002151</stp>
        <stp>2019-12-31</stp>
        <stp>2</stp>
        <tr r="L1237" s="1"/>
      </tp>
      <tp>
        <v>7861525954.1000004</v>
        <stp/>
        <stp>EM_HKS_VAL_MV</stp>
        <stp>3</stp>
        <stp>002251</stp>
        <stp>2019-12-31</stp>
        <stp>2</stp>
        <tr r="L1280" s="1"/>
      </tp>
      <tp>
        <v>13337212500</v>
        <stp/>
        <stp>EM_HKS_VAL_MV</stp>
        <stp>3</stp>
        <stp>002351</stp>
        <stp>2019-12-31</stp>
        <stp>2</stp>
        <tr r="L22" s="1"/>
      </tp>
      <tp>
        <v>4247064000</v>
        <stp/>
        <stp>EM_HKS_VAL_MV</stp>
        <stp>3</stp>
        <stp>002451</stp>
        <stp>2019-12-31</stp>
        <stp>2</stp>
        <tr r="L3095" s="1"/>
      </tp>
      <tp>
        <v>3261571060.4400001</v>
        <stp/>
        <stp>EM_HKS_VAL_MV</stp>
        <stp>3</stp>
        <stp>002551</stp>
        <stp>2019-12-31</stp>
        <stp>2</stp>
        <tr r="L2390" s="1"/>
      </tp>
      <tp>
        <v>4934875000</v>
        <stp/>
        <stp>EM_HKS_VAL_MV</stp>
        <stp>3</stp>
        <stp>002651</stp>
        <stp>2019-12-31</stp>
        <stp>2</stp>
        <tr r="L1383" s="1"/>
      </tp>
      <tp>
        <v>3889751423.0799999</v>
        <stp/>
        <stp>EM_HKS_VAL_MV</stp>
        <stp>3</stp>
        <stp>002751</stp>
        <stp>2019-12-31</stp>
        <stp>2</stp>
        <tr r="L1394" s="1"/>
      </tp>
      <tp>
        <v>9727163668.3199997</v>
        <stp/>
        <stp>EM_HKS_VAL_MV</stp>
        <stp>3</stp>
        <stp>002851</stp>
        <stp>2019-12-31</stp>
        <stp>2</stp>
        <tr r="L2406" s="1"/>
      </tp>
      <tp>
        <v>2699200000</v>
        <stp/>
        <stp>EM_HKS_VAL_MV</stp>
        <stp>3</stp>
        <stp>603031</stp>
        <stp>2019-12-31</stp>
        <stp>2</stp>
        <tr r="L225" s="1"/>
      </tp>
      <tp>
        <v>4442100300.4399996</v>
        <stp/>
        <stp>EM_HKS_VAL_MV</stp>
        <stp>3</stp>
        <stp>603131</stp>
        <stp>2019-12-31</stp>
        <stp>2</stp>
        <tr r="L2818" s="1"/>
      </tp>
      <tp>
        <v>2099868105</v>
        <stp/>
        <stp>EM_HKS_VAL_MV</stp>
        <stp>3</stp>
        <stp>603331</stp>
        <stp>2019-12-31</stp>
        <stp>2</stp>
        <tr r="L1621" s="1"/>
      </tp>
      <tp>
        <v>4318711402.9399996</v>
        <stp/>
        <stp>EM_HKS_VAL_MV</stp>
        <stp>3</stp>
        <stp>300061</stp>
        <stp>2019-12-31</stp>
        <stp>2</stp>
        <tr r="L1862" s="1"/>
      </tp>
      <tp>
        <v>143667498511.35001</v>
        <stp/>
        <stp>EM_HKS_VAL_MV</stp>
        <stp>3</stp>
        <stp>600031</stp>
        <stp>2019-12-31</stp>
        <stp>2</stp>
        <tr r="L148" s="1"/>
      </tp>
      <tp>
        <v>3107790000</v>
        <stp/>
        <stp>EM_HKS_VAL_MV</stp>
        <stp>3</stp>
        <stp>000151</stp>
        <stp>2019-12-31</stp>
        <stp>2</stp>
        <tr r="L2041" s="1"/>
      </tp>
      <tp>
        <v>2429083647.0599999</v>
        <stp/>
        <stp>EM_HKS_VAL_MV</stp>
        <stp>3</stp>
        <stp>300161</stp>
        <stp>2019-12-31</stp>
        <stp>2</stp>
        <tr r="L705" s="1"/>
      </tp>
      <tp>
        <v>21947602694.82</v>
        <stp/>
        <stp>EM_HKS_VAL_MV</stp>
        <stp>3</stp>
        <stp>600131</stp>
        <stp>2019-12-31</stp>
        <stp>2</stp>
        <tr r="L38" s="1"/>
      </tp>
      <tp>
        <v>4132597630.5900002</v>
        <stp/>
        <stp>EM_HKS_VAL_MV</stp>
        <stp>3</stp>
        <stp>300261</stp>
        <stp>2019-12-31</stp>
        <stp>2</stp>
        <tr r="L2999" s="1"/>
      </tp>
      <tp>
        <v>7648188370.6800003</v>
        <stp/>
        <stp>EM_HKS_VAL_MV</stp>
        <stp>3</stp>
        <stp>600231</stp>
        <stp>2019-12-31</stp>
        <stp>2</stp>
        <tr r="L2157" s="1"/>
      </tp>
      <tp>
        <v>0</v>
        <stp/>
        <stp>EM_HKS_VAL_MV</stp>
        <stp>3</stp>
        <stp>300361</stp>
        <stp>2019-12-31</stp>
        <stp>2</stp>
        <tr r="L9" s="1"/>
      </tp>
      <tp>
        <v>5344160000</v>
        <stp/>
        <stp>EM_HKS_VAL_MV</stp>
        <stp>3</stp>
        <stp>600331</stp>
        <stp>2019-12-31</stp>
        <stp>2</stp>
        <tr r="L903" s="1"/>
      </tp>
      <tp>
        <v>2368377138.5999999</v>
        <stp/>
        <stp>EM_HKS_VAL_MV</stp>
        <stp>3</stp>
        <stp>300461</stp>
        <stp>2019-12-31</stp>
        <stp>2</stp>
        <tr r="L1686" s="1"/>
      </tp>
      <tp>
        <v>2672537105.4000001</v>
        <stp/>
        <stp>EM_HKS_VAL_MV</stp>
        <stp>3</stp>
        <stp>000551</stp>
        <stp>2019-12-31</stp>
        <stp>2</stp>
        <tr r="L1505" s="1"/>
      </tp>
      <tp>
        <v>3940533249.4400001</v>
        <stp/>
        <stp>EM_HKS_VAL_MV</stp>
        <stp>3</stp>
        <stp>300561</stp>
        <stp>2019-12-31</stp>
        <stp>2</stp>
        <tr r="L1339" s="1"/>
      </tp>
      <tp>
        <v>5113237953.46</v>
        <stp/>
        <stp>EM_HKS_VAL_MV</stp>
        <stp>3</stp>
        <stp>600531</stp>
        <stp>2019-12-31</stp>
        <stp>2</stp>
        <tr r="L855" s="1"/>
      </tp>
      <tp>
        <v>394511630979.23999</v>
        <stp/>
        <stp>EM_HKS_VAL_MV</stp>
        <stp>3</stp>
        <stp>000651</stp>
        <stp>2019-12-31</stp>
        <stp>2</stp>
        <tr r="L229" s="1"/>
      </tp>
      <tp>
        <v>26162475743.040001</v>
        <stp/>
        <stp>EM_HKS_VAL_MV</stp>
        <stp>3</stp>
        <stp>300661</stp>
        <stp>2019-12-31</stp>
        <stp>2</stp>
        <tr r="L19" s="1"/>
      </tp>
      <tp>
        <v>17264107985.599998</v>
        <stp/>
        <stp>EM_HKS_VAL_MV</stp>
        <stp>3</stp>
        <stp>600631</stp>
        <stp>2019-12-31</stp>
        <stp>2</stp>
        <tr r="L2309" s="1"/>
      </tp>
      <tp>
        <v>4553877771.1700001</v>
        <stp/>
        <stp>EM_HKS_VAL_MV</stp>
        <stp>3</stp>
        <stp>000751</stp>
        <stp>2019-12-31</stp>
        <stp>2</stp>
        <tr r="L1531" s="1"/>
      </tp>
      <tp>
        <v>2564707879.5599999</v>
        <stp/>
        <stp>EM_HKS_VAL_MV</stp>
        <stp>3</stp>
        <stp>600731</stp>
        <stp>2019-12-31</stp>
        <stp>2</stp>
        <tr r="L296" s="1"/>
      </tp>
      <tp>
        <v>5246100631.2600002</v>
        <stp/>
        <stp>EM_HKS_VAL_MV</stp>
        <stp>3</stp>
        <stp>000851</stp>
        <stp>2019-12-31</stp>
        <stp>2</stp>
        <tr r="L1159" s="1"/>
      </tp>
      <tp>
        <v>6563912367.2799997</v>
        <stp/>
        <stp>EM_HKS_VAL_MV</stp>
        <stp>3</stp>
        <stp>600831</stp>
        <stp>2019-12-31</stp>
        <stp>2</stp>
        <tr r="L788" s="1"/>
      </tp>
      <tp>
        <v>15099318000</v>
        <stp/>
        <stp>EM_HKS_VAL_MV</stp>
        <stp>3</stp>
        <stp>000951</stp>
        <stp>2019-12-31</stp>
        <stp>2</stp>
        <tr r="L163" s="1"/>
      </tp>
      <tp>
        <v>41903862816.900002</v>
        <stp/>
        <stp>EM_HKS_VAL_MV</stp>
        <stp>3</stp>
        <stp>601231</stp>
        <stp>2019-12-31</stp>
        <stp>2</stp>
        <tr r="L130" s="1"/>
      </tp>
      <tp>
        <v>13477520000</v>
        <stp/>
        <stp>EM_HKS_VAL_MV</stp>
        <stp>3</stp>
        <stp>002056</stp>
        <stp>2019-12-31</stp>
        <stp>2</stp>
        <tr r="L553" s="1"/>
      </tp>
      <tp>
        <v>18978440209.400002</v>
        <stp/>
        <stp>EM_HKS_VAL_MV</stp>
        <stp>3</stp>
        <stp>002156</stp>
        <stp>2019-12-31</stp>
        <stp>2</stp>
        <tr r="L102" s="1"/>
      </tp>
      <tp>
        <v>4875446748.4799995</v>
        <stp/>
        <stp>EM_HKS_VAL_MV</stp>
        <stp>3</stp>
        <stp>002256</stp>
        <stp>2019-12-31</stp>
        <stp>2</stp>
        <tr r="L2915" s="1"/>
      </tp>
      <tp>
        <v>1161174405.5999999</v>
        <stp/>
        <stp>EM_HKS_VAL_MV</stp>
        <stp>3</stp>
        <stp>002356</stp>
        <stp>2019-12-31</stp>
        <stp>2</stp>
        <tr r="L3400" s="1"/>
      </tp>
      <tp>
        <v>42320727150</v>
        <stp/>
        <stp>EM_HKS_VAL_MV</stp>
        <stp>3</stp>
        <stp>002456</stp>
        <stp>2019-12-31</stp>
        <stp>2</stp>
        <tr r="L316" s="1"/>
      </tp>
      <tp>
        <v>4075968000</v>
        <stp/>
        <stp>EM_HKS_VAL_MV</stp>
        <stp>3</stp>
        <stp>002556</stp>
        <stp>2019-12-31</stp>
        <stp>2</stp>
        <tr r="L1846" s="1"/>
      </tp>
      <tp>
        <v>2800202986.9200001</v>
        <stp/>
        <stp>EM_HKS_VAL_MV</stp>
        <stp>3</stp>
        <stp>002656</stp>
        <stp>2019-12-31</stp>
        <stp>2</stp>
        <tr r="L3289" s="1"/>
      </tp>
      <tp>
        <v>6462000000</v>
        <stp/>
        <stp>EM_HKS_VAL_MV</stp>
        <stp>3</stp>
        <stp>002756</stp>
        <stp>2019-12-31</stp>
        <stp>2</stp>
        <tr r="L470" s="1"/>
      </tp>
      <tp>
        <v>2275285680</v>
        <stp/>
        <stp>EM_HKS_VAL_MV</stp>
        <stp>3</stp>
        <stp>002856</stp>
        <stp>2019-12-31</stp>
        <stp>2</stp>
        <tr r="L2870" s="1"/>
      </tp>
      <tp>
        <v>2206613430</v>
        <stp/>
        <stp>EM_HKS_VAL_MV</stp>
        <stp>3</stp>
        <stp>603036</stp>
        <stp>2019-12-31</stp>
        <stp>2</stp>
        <tr r="L2651" s="1"/>
      </tp>
      <tp>
        <v>3087920000</v>
        <stp/>
        <stp>EM_HKS_VAL_MV</stp>
        <stp>3</stp>
        <stp>603136</stp>
        <stp>2019-12-31</stp>
        <stp>2</stp>
        <tr r="L2787" s="1"/>
      </tp>
      <tp>
        <v>3119003160</v>
        <stp/>
        <stp>EM_HKS_VAL_MV</stp>
        <stp>3</stp>
        <stp>603336</stp>
        <stp>2019-12-31</stp>
        <stp>2</stp>
        <tr r="L2819" s="1"/>
      </tp>
      <tp>
        <v>3966480000</v>
        <stp/>
        <stp>EM_HKS_VAL_MV</stp>
        <stp>3</stp>
        <stp>603536</stp>
        <stp>2019-12-31</stp>
        <stp>2</stp>
        <tr r="L60" s="1"/>
      </tp>
      <tp>
        <v>5965108042.96</v>
        <stp/>
        <stp>EM_HKS_VAL_MV</stp>
        <stp>3</stp>
        <stp>603636</stp>
        <stp>2019-12-31</stp>
        <stp>2</stp>
        <tr r="L1377" s="1"/>
      </tp>
      <tp>
        <v>5415508084.7700005</v>
        <stp/>
        <stp>EM_HKS_VAL_MV</stp>
        <stp>3</stp>
        <stp>603936</stp>
        <stp>2019-12-31</stp>
        <stp>2</stp>
        <tr r="L1179" s="1"/>
      </tp>
      <tp>
        <v>4865929823.5200005</v>
        <stp/>
        <stp>EM_HKS_VAL_MV</stp>
        <stp>3</stp>
        <stp>000056</stp>
        <stp>2019-12-31</stp>
        <stp>2</stp>
        <tr r="L2827" s="1"/>
      </tp>
      <tp>
        <v>4815354003.0600004</v>
        <stp/>
        <stp>EM_HKS_VAL_MV</stp>
        <stp>3</stp>
        <stp>300066</stp>
        <stp>2019-12-31</stp>
        <stp>2</stp>
        <tr r="L710" s="1"/>
      </tp>
      <tp>
        <v>947761797685.57996</v>
        <stp/>
        <stp>EM_HKS_VAL_MV</stp>
        <stp>3</stp>
        <stp>600036</stp>
        <stp>2019-12-31</stp>
        <stp>2</stp>
        <tr r="L562" s="1"/>
      </tp>
      <tp>
        <v>14964193856.879999</v>
        <stp/>
        <stp>EM_HKS_VAL_MV</stp>
        <stp>3</stp>
        <stp>000156</stp>
        <stp>2019-12-31</stp>
        <stp>2</stp>
        <tr r="L834" s="1"/>
      </tp>
      <tp>
        <v>13736841222</v>
        <stp/>
        <stp>EM_HKS_VAL_MV</stp>
        <stp>3</stp>
        <stp>300166</stp>
        <stp>2019-12-31</stp>
        <stp>2</stp>
        <tr r="L1061" s="1"/>
      </tp>
      <tp>
        <v>7190809062.8999996</v>
        <stp/>
        <stp>EM_HKS_VAL_MV</stp>
        <stp>3</stp>
        <stp>600136</stp>
        <stp>2019-12-31</stp>
        <stp>2</stp>
        <tr r="L571" s="1"/>
      </tp>
      <tp>
        <v>5491153010.0699997</v>
        <stp/>
        <stp>EM_HKS_VAL_MV</stp>
        <stp>3</stp>
        <stp>300266</stp>
        <stp>2019-12-31</stp>
        <stp>2</stp>
        <tr r="L2378" s="1"/>
      </tp>
      <tp>
        <v>38544827451.779999</v>
        <stp/>
        <stp>EM_HKS_VAL_MV</stp>
        <stp>3</stp>
        <stp>600236</stp>
        <stp>2019-12-31</stp>
        <stp>2</stp>
        <tr r="L2882" s="1"/>
      </tp>
      <tp>
        <v>5434457391</v>
        <stp/>
        <stp>EM_HKS_VAL_MV</stp>
        <stp>3</stp>
        <stp>300366</stp>
        <stp>2019-12-31</stp>
        <stp>2</stp>
        <tr r="L702" s="1"/>
      </tp>
      <tp>
        <v>3508414550.9099998</v>
        <stp/>
        <stp>EM_HKS_VAL_MV</stp>
        <stp>3</stp>
        <stp>600336</stp>
        <stp>2019-12-31</stp>
        <stp>2</stp>
        <tr r="L936" s="1"/>
      </tp>
      <tp>
        <v>3157797743.0999999</v>
        <stp/>
        <stp>EM_HKS_VAL_MV</stp>
        <stp>3</stp>
        <stp>300466</stp>
        <stp>2019-12-31</stp>
        <stp>2</stp>
        <tr r="L1519" s="1"/>
      </tp>
      <tp>
        <v>66286461862.699997</v>
        <stp/>
        <stp>EM_HKS_VAL_MV</stp>
        <stp>3</stp>
        <stp>600436</stp>
        <stp>2019-12-31</stp>
        <stp>2</stp>
        <tr r="L1060" s="1"/>
      </tp>
      <tp>
        <v>373077192</v>
        <stp/>
        <stp>EM_HKS_VAL_MV</stp>
        <stp>3</stp>
        <stp>000556</stp>
        <stp>2019-12-31</stp>
        <stp>2</stp>
        <tr r="L3453" s="1"/>
      </tp>
      <tp>
        <v>3817932300</v>
        <stp/>
        <stp>EM_HKS_VAL_MV</stp>
        <stp>3</stp>
        <stp>300566</stp>
        <stp>2019-12-31</stp>
        <stp>2</stp>
        <tr r="L215" s="1"/>
      </tp>
      <tp>
        <v>35455205841.580002</v>
        <stp/>
        <stp>EM_HKS_VAL_MV</stp>
        <stp>3</stp>
        <stp>600536</stp>
        <stp>2019-12-31</stp>
        <stp>2</stp>
        <tr r="L32" s="1"/>
      </tp>
      <tp>
        <v>41009017466.879997</v>
        <stp/>
        <stp>EM_HKS_VAL_MV</stp>
        <stp>3</stp>
        <stp>000656</stp>
        <stp>2019-12-31</stp>
        <stp>2</stp>
        <tr r="L1182" s="1"/>
      </tp>
      <tp>
        <v>9384804000</v>
        <stp/>
        <stp>EM_HKS_VAL_MV</stp>
        <stp>3</stp>
        <stp>300666</stp>
        <stp>2019-12-31</stp>
        <stp>2</stp>
        <tr r="L2037" s="1"/>
      </tp>
      <tp>
        <v>4540878751.6000004</v>
        <stp/>
        <stp>EM_HKS_VAL_MV</stp>
        <stp>3</stp>
        <stp>600636</stp>
        <stp>2019-12-31</stp>
        <stp>2</stp>
        <tr r="L2618" s="1"/>
      </tp>
      <tp>
        <v>4676383041.4399996</v>
        <stp/>
        <stp>EM_HKS_VAL_MV</stp>
        <stp>3</stp>
        <stp>000756</stp>
        <stp>2019-12-31</stp>
        <stp>2</stp>
        <tr r="L945" s="1"/>
      </tp>
      <tp>
        <v>6712037647.8100004</v>
        <stp/>
        <stp>EM_HKS_VAL_MV</stp>
        <stp>3</stp>
        <stp>600736</stp>
        <stp>2019-12-31</stp>
        <stp>2</stp>
        <tr r="L1764" s="1"/>
      </tp>
      <tp>
        <v>2444790000</v>
        <stp/>
        <stp>EM_HKS_VAL_MV</stp>
        <stp>3</stp>
        <stp>000856</stp>
        <stp>2019-12-31</stp>
        <stp>2</stp>
        <tr r="L3157" s="1"/>
      </tp>
      <tp>
        <v>3293882767.8400002</v>
        <stp/>
        <stp>EM_HKS_VAL_MV</stp>
        <stp>3</stp>
        <stp>600836</stp>
        <stp>2019-12-31</stp>
        <stp>2</stp>
        <tr r="L857" s="1"/>
      </tp>
      <tp>
        <v>10417081500</v>
        <stp/>
        <stp>EM_HKS_VAL_MV</stp>
        <stp>3</stp>
        <stp>000956</stp>
        <stp>2019-12-31</stp>
        <stp>2</stp>
        <tr r="L3586" s="1"/>
      </tp>
      <tp>
        <v>6416740757.7600002</v>
        <stp/>
        <stp>EM_HKS_VAL_MV</stp>
        <stp>3</stp>
        <stp>600936</stp>
        <stp>2019-12-31</stp>
        <stp>2</stp>
        <tr r="L2127" s="1"/>
      </tp>
      <tp>
        <v>153325715390</v>
        <stp/>
        <stp>EM_HKS_VAL_MV</stp>
        <stp>3</stp>
        <stp>601336</stp>
        <stp>2019-12-31</stp>
        <stp>2</stp>
        <tr r="L1427" s="1"/>
      </tp>
      <tp>
        <v>14755489140.6</v>
        <stp/>
        <stp>EM_HKS_VAL_MV</stp>
        <stp>3</stp>
        <stp>601636</stp>
        <stp>2019-12-31</stp>
        <stp>2</stp>
        <tr r="L666" s="1"/>
      </tp>
      <tp>
        <v>5281141783.6800003</v>
        <stp/>
        <stp>EM_HKS_VAL_MV</stp>
        <stp>3</stp>
        <stp>002057</stp>
        <stp>2019-12-31</stp>
        <stp>2</stp>
        <tr r="L460" s="1"/>
      </tp>
      <tp>
        <v>39784305967.199997</v>
        <stp/>
        <stp>EM_HKS_VAL_MV</stp>
        <stp>3</stp>
        <stp>002157</stp>
        <stp>2019-12-31</stp>
        <stp>2</stp>
        <tr r="L45" s="1"/>
      </tp>
      <tp>
        <v>0</v>
        <stp/>
        <stp>EM_HKS_VAL_MV</stp>
        <stp>3</stp>
        <stp>002257</stp>
        <stp>2019-12-31</stp>
        <stp>2</stp>
        <tr r="L5" s="1"/>
      </tp>
      <tp>
        <v>1956171584.6400001</v>
        <stp/>
        <stp>EM_HKS_VAL_MV</stp>
        <stp>3</stp>
        <stp>002357</stp>
        <stp>2019-12-31</stp>
        <stp>2</stp>
        <tr r="L1607" s="1"/>
      </tp>
      <tp>
        <v>2716785120</v>
        <stp/>
        <stp>EM_HKS_VAL_MV</stp>
        <stp>3</stp>
        <stp>002457</stp>
        <stp>2019-12-31</stp>
        <stp>2</stp>
        <tr r="L2255" s="1"/>
      </tp>
      <tp>
        <v>17222790000</v>
        <stp/>
        <stp>EM_HKS_VAL_MV</stp>
        <stp>3</stp>
        <stp>002557</stp>
        <stp>2019-12-31</stp>
        <stp>2</stp>
        <tr r="L276" s="1"/>
      </tp>
      <tp>
        <v>6258671758.4399996</v>
        <stp/>
        <stp>EM_HKS_VAL_MV</stp>
        <stp>3</stp>
        <stp>002657</stp>
        <stp>2019-12-31</stp>
        <stp>2</stp>
        <tr r="L628" s="1"/>
      </tp>
      <tp>
        <v>3311492035.2199998</v>
        <stp/>
        <stp>EM_HKS_VAL_MV</stp>
        <stp>3</stp>
        <stp>002757</stp>
        <stp>2019-12-31</stp>
        <stp>2</stp>
        <tr r="L3322" s="1"/>
      </tp>
      <tp>
        <v>1556480000</v>
        <stp/>
        <stp>EM_HKS_VAL_MV</stp>
        <stp>3</stp>
        <stp>002857</stp>
        <stp>2019-12-31</stp>
        <stp>2</stp>
        <tr r="L2140" s="1"/>
      </tp>
      <tp>
        <v>2005359115</v>
        <stp/>
        <stp>EM_HKS_VAL_MV</stp>
        <stp>3</stp>
        <stp>603037</stp>
        <stp>2019-12-31</stp>
        <stp>2</stp>
        <tr r="L2448" s="1"/>
      </tp>
      <tp>
        <v>9347108227.2000008</v>
        <stp/>
        <stp>EM_HKS_VAL_MV</stp>
        <stp>3</stp>
        <stp>603337</stp>
        <stp>2019-12-31</stp>
        <stp>2</stp>
        <tr r="L3338" s="1"/>
      </tp>
      <tp>
        <v>2692018895.46</v>
        <stp/>
        <stp>EM_HKS_VAL_MV</stp>
        <stp>3</stp>
        <stp>603637</stp>
        <stp>2019-12-31</stp>
        <stp>2</stp>
        <tr r="L2119" s="1"/>
      </tp>
      <tp>
        <v>15031585792.65</v>
        <stp/>
        <stp>EM_HKS_VAL_MV</stp>
        <stp>3</stp>
        <stp>603737</stp>
        <stp>2019-12-31</stp>
        <stp>2</stp>
        <tr r="L124" s="1"/>
      </tp>
      <tp>
        <v>2347811200</v>
        <stp/>
        <stp>EM_HKS_VAL_MV</stp>
        <stp>3</stp>
        <stp>603937</stp>
        <stp>2019-12-31</stp>
        <stp>2</stp>
        <tr r="L2150" s="1"/>
      </tp>
      <tp>
        <v>4001794191.5999999</v>
        <stp/>
        <stp>EM_HKS_VAL_MV</stp>
        <stp>3</stp>
        <stp>300067</stp>
        <stp>2019-12-31</stp>
        <stp>2</stp>
        <tr r="L2899" s="1"/>
      </tp>
      <tp>
        <v>12539918734.84</v>
        <stp/>
        <stp>EM_HKS_VAL_MV</stp>
        <stp>3</stp>
        <stp>600037</stp>
        <stp>2019-12-31</stp>
        <stp>2</stp>
        <tr r="L2030" s="1"/>
      </tp>
      <tp>
        <v>52604832051.440002</v>
        <stp/>
        <stp>EM_HKS_VAL_MV</stp>
        <stp>3</stp>
        <stp>000157</stp>
        <stp>2019-12-31</stp>
        <stp>2</stp>
        <tr r="L223" s="1"/>
      </tp>
      <tp>
        <v>1633305600</v>
        <stp/>
        <stp>EM_HKS_VAL_MV</stp>
        <stp>3</stp>
        <stp>300167</stp>
        <stp>2019-12-31</stp>
        <stp>2</stp>
        <tr r="L2101" s="1"/>
      </tp>
      <tp>
        <v>1514650021.04</v>
        <stp/>
        <stp>EM_HKS_VAL_MV</stp>
        <stp>3</stp>
        <stp>600137</stp>
        <stp>2019-12-31</stp>
        <stp>2</stp>
        <tr r="L896" s="1"/>
      </tp>
      <tp>
        <v>10643041129.200001</v>
        <stp/>
        <stp>EM_HKS_VAL_MV</stp>
        <stp>3</stp>
        <stp>300267</stp>
        <stp>2019-12-31</stp>
        <stp>2</stp>
        <tr r="L928" s="1"/>
      </tp>
      <tp>
        <v>1986580868.8</v>
        <stp/>
        <stp>EM_HKS_VAL_MV</stp>
        <stp>3</stp>
        <stp>600237</stp>
        <stp>2019-12-31</stp>
        <stp>2</stp>
        <tr r="L1805" s="1"/>
      </tp>
      <tp>
        <v>5177694994.2799997</v>
        <stp/>
        <stp>EM_HKS_VAL_MV</stp>
        <stp>3</stp>
        <stp>300367</stp>
        <stp>2019-12-31</stp>
        <stp>2</stp>
        <tr r="L3371" s="1"/>
      </tp>
      <tp>
        <v>7845143420.4799995</v>
        <stp/>
        <stp>EM_HKS_VAL_MV</stp>
        <stp>3</stp>
        <stp>600337</stp>
        <stp>2019-12-31</stp>
        <stp>2</stp>
        <tr r="L1687" s="1"/>
      </tp>
      <tp>
        <v>4310617731.6999998</v>
        <stp/>
        <stp>EM_HKS_VAL_MV</stp>
        <stp>3</stp>
        <stp>300467</stp>
        <stp>2019-12-31</stp>
        <stp>2</stp>
        <tr r="L2940" s="1"/>
      </tp>
      <tp>
        <v>5031392835.75</v>
        <stp/>
        <stp>EM_HKS_VAL_MV</stp>
        <stp>3</stp>
        <stp>000557</stp>
        <stp>2019-12-31</stp>
        <stp>2</stp>
        <tr r="L2277" s="1"/>
      </tp>
      <tp>
        <v>13457824895.639999</v>
        <stp/>
        <stp>EM_HKS_VAL_MV</stp>
        <stp>3</stp>
        <stp>300567</stp>
        <stp>2019-12-31</stp>
        <stp>2</stp>
        <tr r="L1721" s="1"/>
      </tp>
      <tp>
        <v>3658477323.48</v>
        <stp/>
        <stp>EM_HKS_VAL_MV</stp>
        <stp>3</stp>
        <stp>600537</stp>
        <stp>2019-12-31</stp>
        <stp>2</stp>
        <tr r="L1744" s="1"/>
      </tp>
      <tp>
        <v>6028798223.6499996</v>
        <stp/>
        <stp>EM_HKS_VAL_MV</stp>
        <stp>3</stp>
        <stp>000657</stp>
        <stp>2019-12-31</stp>
        <stp>2</stp>
        <tr r="L974" s="1"/>
      </tp>
      <tp>
        <v>3657906163.8400002</v>
        <stp/>
        <stp>EM_HKS_VAL_MV</stp>
        <stp>3</stp>
        <stp>300667</stp>
        <stp>2019-12-31</stp>
        <stp>2</stp>
        <tr r="L1538" s="1"/>
      </tp>
      <tp>
        <v>31959721881.360001</v>
        <stp/>
        <stp>EM_HKS_VAL_MV</stp>
        <stp>3</stp>
        <stp>600637</stp>
        <stp>2019-12-31</stp>
        <stp>2</stp>
        <tr r="L2727" s="1"/>
      </tp>
      <tp>
        <v>2789818823.5300002</v>
        <stp/>
        <stp>EM_HKS_VAL_MV</stp>
        <stp>3</stp>
        <stp>000757</stp>
        <stp>2019-12-31</stp>
        <stp>2</stp>
        <tr r="L2835" s="1"/>
      </tp>
      <tp>
        <v>18094656008.880001</v>
        <stp/>
        <stp>EM_HKS_VAL_MV</stp>
        <stp>3</stp>
        <stp>600737</stp>
        <stp>2019-12-31</stp>
        <stp>2</stp>
        <tr r="L1484" s="1"/>
      </tp>
      <tp>
        <v>177816282000</v>
        <stp/>
        <stp>EM_HKS_VAL_MV</stp>
        <stp>3</stp>
        <stp>600837</stp>
        <stp>2019-12-31</stp>
        <stp>2</stp>
        <tr r="L260" s="1"/>
      </tp>
      <tp>
        <v>3954669253.1199999</v>
        <stp/>
        <stp>EM_HKS_VAL_MV</stp>
        <stp>3</stp>
        <stp>000957</stp>
        <stp>2019-12-31</stp>
        <stp>2</stp>
        <tr r="L3587" s="1"/>
      </tp>
      <tp>
        <v>7707700525.9799995</v>
        <stp/>
        <stp>EM_HKS_VAL_MV</stp>
        <stp>3</stp>
        <stp>601137</stp>
        <stp>2019-12-31</stp>
        <stp>2</stp>
        <tr r="L356" s="1"/>
      </tp>
      <tp>
        <v>3194538909.3600001</v>
        <stp/>
        <stp>EM_HKS_VAL_MV</stp>
        <stp>3</stp>
        <stp>002054</stp>
        <stp>2019-12-31</stp>
        <stp>2</stp>
        <tr r="L3620" s="1"/>
      </tp>
      <tp>
        <v>3920710234.2800002</v>
        <stp/>
        <stp>EM_HKS_VAL_MV</stp>
        <stp>3</stp>
        <stp>002154</stp>
        <stp>2019-12-31</stp>
        <stp>2</stp>
        <tr r="L1861" s="1"/>
      </tp>
      <tp>
        <v>6383211120</v>
        <stp/>
        <stp>EM_HKS_VAL_MV</stp>
        <stp>3</stp>
        <stp>002254</stp>
        <stp>2019-12-31</stp>
        <stp>2</stp>
        <tr r="L2504" s="1"/>
      </tp>
      <tp>
        <v>2665928694</v>
        <stp/>
        <stp>EM_HKS_VAL_MV</stp>
        <stp>3</stp>
        <stp>002354</stp>
        <stp>2019-12-31</stp>
        <stp>2</stp>
        <tr r="L3345" s="1"/>
      </tp>
      <tp>
        <v>3061192392</v>
        <stp/>
        <stp>EM_HKS_VAL_MV</stp>
        <stp>3</stp>
        <stp>002454</stp>
        <stp>2019-12-31</stp>
        <stp>2</stp>
        <tr r="L1327" s="1"/>
      </tp>
      <tp>
        <v>3255262400</v>
        <stp/>
        <stp>EM_HKS_VAL_MV</stp>
        <stp>3</stp>
        <stp>002554</stp>
        <stp>2019-12-31</stp>
        <stp>2</stp>
        <tr r="L1656" s="1"/>
      </tp>
      <tp>
        <v>4846278904.5</v>
        <stp/>
        <stp>EM_HKS_VAL_MV</stp>
        <stp>3</stp>
        <stp>002654</stp>
        <stp>2019-12-31</stp>
        <stp>2</stp>
        <tr r="L606" s="1"/>
      </tp>
      <tp>
        <v>3978072763.5</v>
        <stp/>
        <stp>EM_HKS_VAL_MV</stp>
        <stp>3</stp>
        <stp>300064</stp>
        <stp>2019-12-31</stp>
        <stp>2</stp>
        <tr r="L3172" s="1"/>
      </tp>
      <tp>
        <v>2346251226.8000002</v>
        <stp/>
        <stp>EM_HKS_VAL_MV</stp>
        <stp>3</stp>
        <stp>300164</stp>
        <stp>2019-12-31</stp>
        <stp>2</stp>
        <tr r="L2988" s="1"/>
      </tp>
      <tp>
        <v>1991142000</v>
        <stp/>
        <stp>EM_HKS_VAL_MV</stp>
        <stp>3</stp>
        <stp>300264</stp>
        <stp>2019-12-31</stp>
        <stp>2</stp>
        <tr r="L2027" s="1"/>
      </tp>
      <tp>
        <v>1824037378.8</v>
        <stp/>
        <stp>EM_HKS_VAL_MV</stp>
        <stp>3</stp>
        <stp>600234</stp>
        <stp>2019-12-31</stp>
        <stp>2</stp>
        <tr r="L1543" s="1"/>
      </tp>
      <tp>
        <v>2989183724.0999999</v>
        <stp/>
        <stp>EM_HKS_VAL_MV</stp>
        <stp>3</stp>
        <stp>300364</stp>
        <stp>2019-12-31</stp>
        <stp>2</stp>
        <tr r="L2917" s="1"/>
      </tp>
      <tp>
        <v>5293301403.25</v>
        <stp/>
        <stp>EM_HKS_VAL_MV</stp>
        <stp>3</stp>
        <stp>300464</stp>
        <stp>2019-12-31</stp>
        <stp>2</stp>
        <tr r="L195" s="1"/>
      </tp>
      <tp>
        <v>2355887268</v>
        <stp/>
        <stp>EM_HKS_VAL_MV</stp>
        <stp>3</stp>
        <stp>000554</stp>
        <stp>2019-12-31</stp>
        <stp>2</stp>
        <tr r="L2564" s="1"/>
      </tp>
      <tp>
        <v>6220800000</v>
        <stp/>
        <stp>EM_HKS_VAL_MV</stp>
        <stp>3</stp>
        <stp>300664</stp>
        <stp>2019-12-31</stp>
        <stp>2</stp>
        <tr r="L1901" s="1"/>
      </tp>
      <tp>
        <v>903899367.16999996</v>
        <stp/>
        <stp>EM_HKS_VAL_MV</stp>
        <stp>3</stp>
        <stp>600634</stp>
        <stp>2019-12-31</stp>
        <stp>2</stp>
        <tr r="L3293" s="1"/>
      </tp>
      <tp>
        <v>4225908025.6399999</v>
        <stp/>
        <stp>EM_HKS_VAL_MV</stp>
        <stp>3</stp>
        <stp>600734</stp>
        <stp>2019-12-31</stp>
        <stp>2</stp>
        <tr r="L1850" s="1"/>
      </tp>
      <tp>
        <v>3446697354.0999999</v>
        <stp/>
        <stp>EM_HKS_VAL_MV</stp>
        <stp>3</stp>
        <stp>600834</stp>
        <stp>2019-12-31</stp>
        <stp>2</stp>
        <tr r="L1990" s="1"/>
      </tp>
      <tp>
        <v>5151914591.04</v>
        <stp/>
        <stp>EM_HKS_VAL_MV</stp>
        <stp>3</stp>
        <stp>002055</stp>
        <stp>2019-12-31</stp>
        <stp>2</stp>
        <tr r="L1666" s="1"/>
      </tp>
      <tp>
        <v>9484091449.8600006</v>
        <stp/>
        <stp>EM_HKS_VAL_MV</stp>
        <stp>3</stp>
        <stp>002155</stp>
        <stp>2019-12-31</stp>
        <stp>2</stp>
        <tr r="L2369" s="1"/>
      </tp>
      <tp>
        <v>2686844665.4499998</v>
        <stp/>
        <stp>EM_HKS_VAL_MV</stp>
        <stp>3</stp>
        <stp>002255</stp>
        <stp>2019-12-31</stp>
        <stp>2</stp>
        <tr r="L3028" s="1"/>
      </tp>
      <tp>
        <v>4195055904</v>
        <stp/>
        <stp>EM_HKS_VAL_MV</stp>
        <stp>3</stp>
        <stp>002355</stp>
        <stp>2019-12-31</stp>
        <stp>2</stp>
        <tr r="L2718" s="1"/>
      </tp>
      <tp>
        <v>3272465308.8600001</v>
        <stp/>
        <stp>EM_HKS_VAL_MV</stp>
        <stp>3</stp>
        <stp>002455</stp>
        <stp>2019-12-31</stp>
        <stp>2</stp>
        <tr r="L1250" s="1"/>
      </tp>
      <tp>
        <v>56882938200.209999</v>
        <stp/>
        <stp>EM_HKS_VAL_MV</stp>
        <stp>3</stp>
        <stp>002555</stp>
        <stp>2019-12-31</stp>
        <stp>2</stp>
        <tr r="L50" s="1"/>
      </tp>
      <tp>
        <v>4820400000</v>
        <stp/>
        <stp>EM_HKS_VAL_MV</stp>
        <stp>3</stp>
        <stp>002655</stp>
        <stp>2019-12-31</stp>
        <stp>2</stp>
        <tr r="L153" s="1"/>
      </tp>
      <tp>
        <v>14999071272.16</v>
        <stp/>
        <stp>EM_HKS_VAL_MV</stp>
        <stp>3</stp>
        <stp>002755</stp>
        <stp>2019-12-31</stp>
        <stp>2</stp>
        <tr r="L1289" s="1"/>
      </tp>
      <tp>
        <v>3306934385</v>
        <stp/>
        <stp>EM_HKS_VAL_MV</stp>
        <stp>3</stp>
        <stp>002855</stp>
        <stp>2019-12-31</stp>
        <stp>2</stp>
        <tr r="L475" s="1"/>
      </tp>
      <tp>
        <v>3640000000</v>
        <stp/>
        <stp>EM_HKS_VAL_MV</stp>
        <stp>3</stp>
        <stp>603035</stp>
        <stp>2019-12-31</stp>
        <stp>2</stp>
        <tr r="L1913" s="1"/>
      </tp>
      <tp>
        <v>2076501310</v>
        <stp/>
        <stp>EM_HKS_VAL_MV</stp>
        <stp>3</stp>
        <stp>603335</stp>
        <stp>2019-12-31</stp>
        <stp>2</stp>
        <tr r="L3070" s="1"/>
      </tp>
      <tp>
        <v>2725248000</v>
        <stp/>
        <stp>EM_HKS_VAL_MV</stp>
        <stp>3</stp>
        <stp>603535</stp>
        <stp>2019-12-31</stp>
        <stp>2</stp>
        <tr r="L2420" s="1"/>
      </tp>
      <tp>
        <v>5425945632.8699999</v>
        <stp/>
        <stp>EM_HKS_VAL_MV</stp>
        <stp>3</stp>
        <stp>000055</stp>
        <stp>2019-12-31</stp>
        <stp>2</stp>
        <tr r="L1107" s="1"/>
      </tp>
      <tp>
        <v>4853741486.6499996</v>
        <stp/>
        <stp>EM_HKS_VAL_MV</stp>
        <stp>3</stp>
        <stp>300065</stp>
        <stp>2019-12-31</stp>
        <stp>2</stp>
        <tr r="L1337" s="1"/>
      </tp>
      <tp>
        <v>5772882164.6099997</v>
        <stp/>
        <stp>EM_HKS_VAL_MV</stp>
        <stp>3</stp>
        <stp>600035</stp>
        <stp>2019-12-31</stp>
        <stp>2</stp>
        <tr r="L1452" s="1"/>
      </tp>
      <tp>
        <v>5499100000</v>
        <stp/>
        <stp>EM_HKS_VAL_MV</stp>
        <stp>3</stp>
        <stp>000155</stp>
        <stp>2019-12-31</stp>
        <stp>2</stp>
        <tr r="L1263" s="1"/>
      </tp>
      <tp>
        <v>2193360000</v>
        <stp/>
        <stp>EM_HKS_VAL_MV</stp>
        <stp>3</stp>
        <stp>300165</stp>
        <stp>2019-12-31</stp>
        <stp>2</stp>
        <tr r="L1207" s="1"/>
      </tp>
      <tp>
        <v>3544576860.8699999</v>
        <stp/>
        <stp>EM_HKS_VAL_MV</stp>
        <stp>3</stp>
        <stp>600135</stp>
        <stp>2019-12-31</stp>
        <stp>2</stp>
        <tr r="L1020" s="1"/>
      </tp>
      <tp>
        <v>2598750000</v>
        <stp/>
        <stp>EM_HKS_VAL_MV</stp>
        <stp>3</stp>
        <stp>300265</stp>
        <stp>2019-12-31</stp>
        <stp>2</stp>
        <tr r="L2552" s="1"/>
      </tp>
      <tp>
        <v>2037540000</v>
        <stp/>
        <stp>EM_HKS_VAL_MV</stp>
        <stp>3</stp>
        <stp>600235</stp>
        <stp>2019-12-31</stp>
        <stp>2</stp>
        <tr r="L2924" s="1"/>
      </tp>
      <tp>
        <v>7839556258.8599997</v>
        <stp/>
        <stp>EM_HKS_VAL_MV</stp>
        <stp>3</stp>
        <stp>300365</stp>
        <stp>2019-12-31</stp>
        <stp>2</stp>
        <tr r="L3299" s="1"/>
      </tp>
      <tp>
        <v>8449877035.8000002</v>
        <stp/>
        <stp>EM_HKS_VAL_MV</stp>
        <stp>3</stp>
        <stp>600335</stp>
        <stp>2019-12-31</stp>
        <stp>2</stp>
        <tr r="L2633" s="1"/>
      </tp>
      <tp>
        <v>4508089477.1300001</v>
        <stp/>
        <stp>EM_HKS_VAL_MV</stp>
        <stp>3</stp>
        <stp>300465</stp>
        <stp>2019-12-31</stp>
        <stp>2</stp>
        <tr r="L477" s="1"/>
      </tp>
      <tp>
        <v>12391142400</v>
        <stp/>
        <stp>EM_HKS_VAL_MV</stp>
        <stp>3</stp>
        <stp>600435</stp>
        <stp>2019-12-31</stp>
        <stp>2</stp>
        <tr r="L1564" s="1"/>
      </tp>
      <tp>
        <v>14371346653.129999</v>
        <stp/>
        <stp>EM_HKS_VAL_MV</stp>
        <stp>3</stp>
        <stp>000555</stp>
        <stp>2019-12-31</stp>
        <stp>2</stp>
        <tr r="L519" s="1"/>
      </tp>
      <tp>
        <v>2360800000</v>
        <stp/>
        <stp>EM_HKS_VAL_MV</stp>
        <stp>3</stp>
        <stp>300565</stp>
        <stp>2019-12-31</stp>
        <stp>2</stp>
        <tr r="L3141" s="1"/>
      </tp>
      <tp>
        <v>23325313251.18</v>
        <stp/>
        <stp>EM_HKS_VAL_MV</stp>
        <stp>3</stp>
        <stp>600535</stp>
        <stp>2019-12-31</stp>
        <stp>2</stp>
        <tr r="L3081" s="1"/>
      </tp>
      <tp>
        <v>3292231471.9000001</v>
        <stp/>
        <stp>EM_HKS_VAL_MV</stp>
        <stp>3</stp>
        <stp>000655</stp>
        <stp>2019-12-31</stp>
        <stp>2</stp>
        <tr r="L3494" s="1"/>
      </tp>
      <tp>
        <v>1297472000</v>
        <stp/>
        <stp>EM_HKS_VAL_MV</stp>
        <stp>3</stp>
        <stp>300665</stp>
        <stp>2019-12-31</stp>
        <stp>2</stp>
        <tr r="L1720" s="1"/>
      </tp>
      <tp>
        <v>14496454254.25</v>
        <stp/>
        <stp>EM_HKS_VAL_MV</stp>
        <stp>3</stp>
        <stp>600635</stp>
        <stp>2019-12-31</stp>
        <stp>2</stp>
        <tr r="L2147" s="1"/>
      </tp>
      <tp>
        <v>1853595252.95</v>
        <stp/>
        <stp>EM_HKS_VAL_MV</stp>
        <stp>3</stp>
        <stp>000755</stp>
        <stp>2019-12-31</stp>
        <stp>2</stp>
        <tr r="L3528" s="1"/>
      </tp>
      <tp>
        <v>2496588845.4400001</v>
        <stp/>
        <stp>EM_HKS_VAL_MV</stp>
        <stp>3</stp>
        <stp>600735</stp>
        <stp>2019-12-31</stp>
        <stp>2</stp>
        <tr r="L990" s="1"/>
      </tp>
      <tp>
        <v>16946790333.559999</v>
        <stp/>
        <stp>EM_HKS_VAL_MV</stp>
        <stp>3</stp>
        <stp>600835</stp>
        <stp>2019-12-31</stp>
        <stp>2</stp>
        <tr r="L1537" s="1"/>
      </tp>
      <tp>
        <v>4414839000</v>
        <stp/>
        <stp>EM_HKS_VAL_MV</stp>
        <stp>3</stp>
        <stp>000955</stp>
        <stp>2019-12-31</stp>
        <stp>2</stp>
        <tr r="L3585" s="1"/>
      </tp>
      <tp>
        <v>3497175896.7600002</v>
        <stp/>
        <stp>EM_HKS_VAL_MV</stp>
        <stp>3</stp>
        <stp>002068</stp>
        <stp>2019-12-31</stp>
        <stp>2</stp>
        <tr r="L3034" s="1"/>
      </tp>
      <tp>
        <v>6575822457.6000004</v>
        <stp/>
        <stp>EM_HKS_VAL_MV</stp>
        <stp>3</stp>
        <stp>002168</stp>
        <stp>2019-12-31</stp>
        <stp>2</stp>
        <tr r="L3021" s="1"/>
      </tp>
      <tp>
        <v>21620686162.119999</v>
        <stp/>
        <stp>EM_HKS_VAL_MV</stp>
        <stp>3</stp>
        <stp>002268</stp>
        <stp>2019-12-31</stp>
        <stp>2</stp>
        <tr r="L691" s="1"/>
      </tp>
      <tp>
        <v>16065301195.16</v>
        <stp/>
        <stp>EM_HKS_VAL_MV</stp>
        <stp>3</stp>
        <stp>002368</stp>
        <stp>2019-12-31</stp>
        <stp>2</stp>
        <tr r="L315" s="1"/>
      </tp>
      <tp>
        <v>29850642237</v>
        <stp/>
        <stp>EM_HKS_VAL_MV</stp>
        <stp>3</stp>
        <stp>002468</stp>
        <stp>2019-12-31</stp>
        <stp>2</stp>
        <tr r="L1355" s="1"/>
      </tp>
      <tp>
        <v>13655215615.5</v>
        <stp/>
        <stp>EM_HKS_VAL_MV</stp>
        <stp>3</stp>
        <stp>002568</stp>
        <stp>2019-12-31</stp>
        <stp>2</stp>
        <tr r="L47" s="1"/>
      </tp>
      <tp>
        <v>6125229568.1999998</v>
        <stp/>
        <stp>EM_HKS_VAL_MV</stp>
        <stp>3</stp>
        <stp>002668</stp>
        <stp>2019-12-31</stp>
        <stp>2</stp>
        <tr r="L1444" s="1"/>
      </tp>
      <tp>
        <v>6317412500</v>
        <stp/>
        <stp>EM_HKS_VAL_MV</stp>
        <stp>3</stp>
        <stp>002768</stp>
        <stp>2019-12-31</stp>
        <stp>2</stp>
        <tr r="L2063" s="1"/>
      </tp>
      <tp>
        <v>2154000000</v>
        <stp/>
        <stp>EM_HKS_VAL_MV</stp>
        <stp>3</stp>
        <stp>002868</stp>
        <stp>2019-12-31</stp>
        <stp>2</stp>
        <tr r="L1313" s="1"/>
      </tp>
      <tp>
        <v>6050901564.8900003</v>
        <stp/>
        <stp>EM_HKS_VAL_MV</stp>
        <stp>3</stp>
        <stp>603008</stp>
        <stp>2019-12-31</stp>
        <stp>2</stp>
        <tr r="L376" s="1"/>
      </tp>
      <tp>
        <v>5760568745.2600002</v>
        <stp/>
        <stp>EM_HKS_VAL_MV</stp>
        <stp>3</stp>
        <stp>603108</stp>
        <stp>2019-12-31</stp>
        <stp>2</stp>
        <tr r="L803" s="1"/>
      </tp>
      <tp>
        <v>4118386468.5599999</v>
        <stp/>
        <stp>EM_HKS_VAL_MV</stp>
        <stp>3</stp>
        <stp>603208</stp>
        <stp>2019-12-31</stp>
        <stp>2</stp>
        <tr r="L181" s="1"/>
      </tp>
      <tp>
        <v>7324310910.8599997</v>
        <stp/>
        <stp>EM_HKS_VAL_MV</stp>
        <stp>3</stp>
        <stp>603308</stp>
        <stp>2019-12-31</stp>
        <stp>2</stp>
        <tr r="L218" s="1"/>
      </tp>
      <tp>
        <v>11524639284.18</v>
        <stp/>
        <stp>EM_HKS_VAL_MV</stp>
        <stp>3</stp>
        <stp>603508</stp>
        <stp>2019-12-31</stp>
        <stp>2</stp>
        <tr r="L586" s="1"/>
      </tp>
      <tp>
        <v>4094006564.8299999</v>
        <stp/>
        <stp>EM_HKS_VAL_MV</stp>
        <stp>3</stp>
        <stp>603608</stp>
        <stp>2019-12-31</stp>
        <stp>2</stp>
        <tr r="L2963" s="1"/>
      </tp>
      <tp>
        <v>14808456000</v>
        <stp/>
        <stp>EM_HKS_VAL_MV</stp>
        <stp>3</stp>
        <stp>603708</stp>
        <stp>2019-12-31</stp>
        <stp>2</stp>
        <tr r="L1222" s="1"/>
      </tp>
      <tp>
        <v>4944603790.5699997</v>
        <stp/>
        <stp>EM_HKS_VAL_MV</stp>
        <stp>3</stp>
        <stp>603808</stp>
        <stp>2019-12-31</stp>
        <stp>2</stp>
        <tr r="L2714" s="1"/>
      </tp>
      <tp>
        <v>1664582400</v>
        <stp/>
        <stp>EM_HKS_VAL_MV</stp>
        <stp>3</stp>
        <stp>603908</stp>
        <stp>2019-12-31</stp>
        <stp>2</stp>
        <tr r="L2189" s="1"/>
      </tp>
      <tp>
        <v>4197820004.8800001</v>
        <stp/>
        <stp>EM_HKS_VAL_MV</stp>
        <stp>3</stp>
        <stp>000068</stp>
        <stp>2019-12-31</stp>
        <stp>2</stp>
        <tr r="L2414" s="1"/>
      </tp>
      <tp>
        <v>14074363762.1</v>
        <stp/>
        <stp>EM_HKS_VAL_MV</stp>
        <stp>3</stp>
        <stp>300058</stp>
        <stp>2019-12-31</stp>
        <stp>2</stp>
        <tr r="L873" s="1"/>
      </tp>
      <tp>
        <v>18705124601.029999</v>
        <stp/>
        <stp>EM_HKS_VAL_MV</stp>
        <stp>3</stp>
        <stp>600008</stp>
        <stp>2019-12-31</stp>
        <stp>2</stp>
        <tr r="L2550" s="1"/>
      </tp>
      <tp>
        <v>4999984554.3999996</v>
        <stp/>
        <stp>EM_HKS_VAL_MV</stp>
        <stp>3</stp>
        <stp>300158</stp>
        <stp>2019-12-31</stp>
        <stp>2</stp>
        <tr r="L1236" s="1"/>
      </tp>
      <tp>
        <v>5665523002.1099997</v>
        <stp/>
        <stp>EM_HKS_VAL_MV</stp>
        <stp>3</stp>
        <stp>600108</stp>
        <stp>2019-12-31</stp>
        <stp>2</stp>
        <tr r="L1790" s="1"/>
      </tp>
      <tp>
        <v>4531950000</v>
        <stp/>
        <stp>EM_HKS_VAL_MV</stp>
        <stp>3</stp>
        <stp>300258</stp>
        <stp>2019-12-31</stp>
        <stp>2</stp>
        <tr r="L2705" s="1"/>
      </tp>
      <tp>
        <v>32505518566.080002</v>
        <stp/>
        <stp>EM_HKS_VAL_MV</stp>
        <stp>3</stp>
        <stp>600208</stp>
        <stp>2019-12-31</stp>
        <stp>2</stp>
        <tr r="L957" s="1"/>
      </tp>
      <tp>
        <v>3242459425.5900002</v>
        <stp/>
        <stp>EM_HKS_VAL_MV</stp>
        <stp>3</stp>
        <stp>300358</stp>
        <stp>2019-12-31</stp>
        <stp>2</stp>
        <tr r="L2761" s="1"/>
      </tp>
      <tp>
        <v>5359106913.21</v>
        <stp/>
        <stp>EM_HKS_VAL_MV</stp>
        <stp>3</stp>
        <stp>600308</stp>
        <stp>2019-12-31</stp>
        <stp>2</stp>
        <tr r="L1999" s="1"/>
      </tp>
      <tp>
        <v>10576238116.43</v>
        <stp/>
        <stp>EM_HKS_VAL_MV</stp>
        <stp>3</stp>
        <stp>300458</stp>
        <stp>2019-12-31</stp>
        <stp>2</stp>
        <tr r="L425" s="1"/>
      </tp>
      <tp>
        <v>2396184000</v>
        <stp/>
        <stp>EM_HKS_VAL_MV</stp>
        <stp>3</stp>
        <stp>600408</stp>
        <stp>2019-12-31</stp>
        <stp>2</stp>
        <tr r="L2702" s="1"/>
      </tp>
      <tp>
        <v>126964744619.67999</v>
        <stp/>
        <stp>EM_HKS_VAL_MV</stp>
        <stp>3</stp>
        <stp>000568</stp>
        <stp>2019-12-31</stp>
        <stp>2</stp>
        <tr r="L129" s="1"/>
      </tp>
      <tp>
        <v>26345700000</v>
        <stp/>
        <stp>EM_HKS_VAL_MV</stp>
        <stp>3</stp>
        <stp>300558</stp>
        <stp>2019-12-31</stp>
        <stp>2</stp>
        <tr r="L157" s="1"/>
      </tp>
      <tp>
        <v>6786322020</v>
        <stp/>
        <stp>EM_HKS_VAL_MV</stp>
        <stp>3</stp>
        <stp>600508</stp>
        <stp>2019-12-31</stp>
        <stp>2</stp>
        <tr r="L2440" s="1"/>
      </tp>
      <tp>
        <v>1967681326</v>
        <stp/>
        <stp>EM_HKS_VAL_MV</stp>
        <stp>3</stp>
        <stp>000668</stp>
        <stp>2019-12-31</stp>
        <stp>2</stp>
        <tr r="L3500" s="1"/>
      </tp>
      <tp>
        <v>2266024500</v>
        <stp/>
        <stp>EM_HKS_VAL_MV</stp>
        <stp>3</stp>
        <stp>300658</stp>
        <stp>2019-12-31</stp>
        <stp>2</stp>
        <tr r="L886" s="1"/>
      </tp>
      <tp>
        <v>1493030942.1400001</v>
        <stp/>
        <stp>EM_HKS_VAL_MV</stp>
        <stp>3</stp>
        <stp>600608</stp>
        <stp>2019-12-31</stp>
        <stp>2</stp>
        <tr r="L1802" s="1"/>
      </tp>
      <tp>
        <v>45350406262.980003</v>
        <stp/>
        <stp>EM_HKS_VAL_MV</stp>
        <stp>3</stp>
        <stp>000768</stp>
        <stp>2019-12-31</stp>
        <stp>2</stp>
        <tr r="L1149" s="1"/>
      </tp>
      <tp>
        <v>7844801335.3599997</v>
        <stp/>
        <stp>EM_HKS_VAL_MV</stp>
        <stp>3</stp>
        <stp>600708</stp>
        <stp>2019-12-31</stp>
        <stp>2</stp>
        <tr r="L2225" s="1"/>
      </tp>
      <tp>
        <v>3930644340.48</v>
        <stp/>
        <stp>EM_HKS_VAL_MV</stp>
        <stp>3</stp>
        <stp>000868</stp>
        <stp>2019-12-31</stp>
        <stp>2</stp>
        <tr r="L3559" s="1"/>
      </tp>
      <tp>
        <v>23641091241.02</v>
        <stp/>
        <stp>EM_HKS_VAL_MV</stp>
        <stp>3</stp>
        <stp>600808</stp>
        <stp>2019-12-31</stp>
        <stp>2</stp>
        <tr r="L2869" s="1"/>
      </tp>
      <tp>
        <v>9926577291.6000004</v>
        <stp/>
        <stp>EM_HKS_VAL_MV</stp>
        <stp>3</stp>
        <stp>000968</stp>
        <stp>2019-12-31</stp>
        <stp>2</stp>
        <tr r="L2527" s="1"/>
      </tp>
      <tp>
        <v>10257836889.450001</v>
        <stp/>
        <stp>EM_HKS_VAL_MV</stp>
        <stp>3</stp>
        <stp>600908</stp>
        <stp>2019-12-31</stp>
        <stp>2</stp>
        <tr r="L1965" s="1"/>
      </tp>
      <tp>
        <v>4233107440.4400001</v>
        <stp/>
        <stp>EM_HKS_VAL_MV</stp>
        <stp>3</stp>
        <stp>601008</stp>
        <stp>2019-12-31</stp>
        <stp>2</stp>
        <tr r="L1067" s="1"/>
      </tp>
      <tp>
        <v>40699260000</v>
        <stp/>
        <stp>EM_HKS_VAL_MV</stp>
        <stp>3</stp>
        <stp>601108</stp>
        <stp>2019-12-31</stp>
        <stp>2</stp>
        <tr r="L471" s="1"/>
      </tp>
      <tp>
        <v>3082876920</v>
        <stp/>
        <stp>EM_HKS_VAL_MV</stp>
        <stp>3</stp>
        <stp>601208</stp>
        <stp>2019-12-31</stp>
        <stp>2</stp>
        <tr r="L874" s="1"/>
      </tp>
      <tp>
        <v>16142639769.959999</v>
        <stp/>
        <stp>EM_HKS_VAL_MV</stp>
        <stp>3</stp>
        <stp>601608</stp>
        <stp>2019-12-31</stp>
        <stp>2</stp>
        <tr r="L692" s="1"/>
      </tp>
      <tp>
        <v>91614566400</v>
        <stp/>
        <stp>EM_HKS_VAL_MV</stp>
        <stp>3</stp>
        <stp>601808</stp>
        <stp>2019-12-31</stp>
        <stp>2</stp>
        <tr r="L119" s="1"/>
      </tp>
      <tp>
        <v>5979053103</v>
        <stp/>
        <stp>EM_HKS_VAL_MV</stp>
        <stp>3</stp>
        <stp>601908</stp>
        <stp>2019-12-31</stp>
        <stp>2</stp>
        <tr r="L2539" s="1"/>
      </tp>
      <tp>
        <v>1905780679.9200001</v>
        <stp/>
        <stp>EM_HKS_VAL_MV</stp>
        <stp>3</stp>
        <stp>002069</stp>
        <stp>2019-12-31</stp>
        <stp>2</stp>
        <tr r="L3621" s="1"/>
      </tp>
      <tp>
        <v>5341229719.3199997</v>
        <stp/>
        <stp>EM_HKS_VAL_MV</stp>
        <stp>3</stp>
        <stp>002169</stp>
        <stp>2019-12-31</stp>
        <stp>2</stp>
        <tr r="L182" s="1"/>
      </tp>
      <tp>
        <v>6406875000</v>
        <stp/>
        <stp>EM_HKS_VAL_MV</stp>
        <stp>3</stp>
        <stp>002269</stp>
        <stp>2019-12-31</stp>
        <stp>2</stp>
        <tr r="L1454" s="1"/>
      </tp>
      <tp>
        <v>5305183542.7200003</v>
        <stp/>
        <stp>EM_HKS_VAL_MV</stp>
        <stp>3</stp>
        <stp>002369</stp>
        <stp>2019-12-31</stp>
        <stp>2</stp>
        <tr r="L1109" s="1"/>
      </tp>
      <tp>
        <v>2063377680.9000001</v>
        <stp/>
        <stp>EM_HKS_VAL_MV</stp>
        <stp>3</stp>
        <stp>002469</stp>
        <stp>2019-12-31</stp>
        <stp>2</stp>
        <tr r="L1922" s="1"/>
      </tp>
      <tp>
        <v>1369297800</v>
        <stp/>
        <stp>EM_HKS_VAL_MV</stp>
        <stp>3</stp>
        <stp>002569</stp>
        <stp>2019-12-31</stp>
        <stp>2</stp>
        <tr r="L2052" s="1"/>
      </tp>
      <tp>
        <v>3348056132.46</v>
        <stp/>
        <stp>EM_HKS_VAL_MV</stp>
        <stp>3</stp>
        <stp>002669</stp>
        <stp>2019-12-31</stp>
        <stp>2</stp>
        <tr r="L830" s="1"/>
      </tp>
      <tp>
        <v>3139604834.1399999</v>
        <stp/>
        <stp>EM_HKS_VAL_MV</stp>
        <stp>3</stp>
        <stp>002769</stp>
        <stp>2019-12-31</stp>
        <stp>2</stp>
        <tr r="L2989" s="1"/>
      </tp>
      <tp>
        <v>7873451458.1300001</v>
        <stp/>
        <stp>EM_HKS_VAL_MV</stp>
        <stp>3</stp>
        <stp>002869</stp>
        <stp>2019-12-31</stp>
        <stp>2</stp>
        <tr r="L26" s="1"/>
      </tp>
      <tp>
        <v>2229403370.1300001</v>
        <stp/>
        <stp>EM_HKS_VAL_MV</stp>
        <stp>3</stp>
        <stp>603009</stp>
        <stp>2019-12-31</stp>
        <stp>2</stp>
        <tr r="L1875" s="1"/>
      </tp>
      <tp>
        <v>2932000000</v>
        <stp/>
        <stp>EM_HKS_VAL_MV</stp>
        <stp>3</stp>
        <stp>603309</stp>
        <stp>2019-12-31</stp>
        <stp>2</stp>
        <tr r="L620" s="1"/>
      </tp>
      <tp>
        <v>10910861004.68</v>
        <stp/>
        <stp>EM_HKS_VAL_MV</stp>
        <stp>3</stp>
        <stp>603609</stp>
        <stp>2019-12-31</stp>
        <stp>2</stp>
        <tr r="L548" s="1"/>
      </tp>
      <tp>
        <v>2016000000</v>
        <stp/>
        <stp>EM_HKS_VAL_MV</stp>
        <stp>3</stp>
        <stp>603709</stp>
        <stp>2019-12-31</stp>
        <stp>2</stp>
        <tr r="L2206" s="1"/>
      </tp>
      <tp>
        <v>1994558328</v>
        <stp/>
        <stp>EM_HKS_VAL_MV</stp>
        <stp>3</stp>
        <stp>603809</stp>
        <stp>2019-12-31</stp>
        <stp>2</stp>
        <tr r="L3285" s="1"/>
      </tp>
      <tp>
        <v>1940525720</v>
        <stp/>
        <stp>EM_HKS_VAL_MV</stp>
        <stp>3</stp>
        <stp>603909</stp>
        <stp>2019-12-31</stp>
        <stp>2</stp>
        <tr r="L3356" s="1"/>
      </tp>
      <tp>
        <v>63897524972.849998</v>
        <stp/>
        <stp>EM_HKS_VAL_MV</stp>
        <stp>3</stp>
        <stp>000069</stp>
        <stp>2019-12-31</stp>
        <stp>2</stp>
        <tr r="L986" s="1"/>
      </tp>
      <tp>
        <v>105905148489.35001</v>
        <stp/>
        <stp>EM_HKS_VAL_MV</stp>
        <stp>3</stp>
        <stp>300059</stp>
        <stp>2019-12-31</stp>
        <stp>2</stp>
        <tr r="L916" s="1"/>
      </tp>
      <tp>
        <v>151747977780</v>
        <stp/>
        <stp>EM_HKS_VAL_MV</stp>
        <stp>3</stp>
        <stp>600009</stp>
        <stp>2019-12-31</stp>
        <stp>2</stp>
        <tr r="L511" s="1"/>
      </tp>
      <tp>
        <v>5842211991.8400002</v>
        <stp/>
        <stp>EM_HKS_VAL_MV</stp>
        <stp>3</stp>
        <stp>300159</stp>
        <stp>2019-12-31</stp>
        <stp>2</stp>
        <tr r="L2909" s="1"/>
      </tp>
      <tp>
        <v>28126541583</v>
        <stp/>
        <stp>EM_HKS_VAL_MV</stp>
        <stp>3</stp>
        <stp>600109</stp>
        <stp>2019-12-31</stp>
        <stp>2</stp>
        <tr r="L918" s="1"/>
      </tp>
      <tp>
        <v>5125868696.8800001</v>
        <stp/>
        <stp>EM_HKS_VAL_MV</stp>
        <stp>3</stp>
        <stp>300259</stp>
        <stp>2019-12-31</stp>
        <stp>2</stp>
        <tr r="L399" s="1"/>
      </tp>
      <tp>
        <v>1426786299.25</v>
        <stp/>
        <stp>EM_HKS_VAL_MV</stp>
        <stp>3</stp>
        <stp>600209</stp>
        <stp>2019-12-31</stp>
        <stp>2</stp>
        <tr r="L3022" s="1"/>
      </tp>
      <tp>
        <v>3608617471.1799998</v>
        <stp/>
        <stp>EM_HKS_VAL_MV</stp>
        <stp>3</stp>
        <stp>300359</stp>
        <stp>2019-12-31</stp>
        <stp>2</stp>
        <tr r="L2431" s="1"/>
      </tp>
      <tp>
        <v>176359567982.42001</v>
        <stp/>
        <stp>EM_HKS_VAL_MV</stp>
        <stp>3</stp>
        <stp>600309</stp>
        <stp>2019-12-31</stp>
        <stp>2</stp>
        <tr r="L168" s="1"/>
      </tp>
      <tp>
        <v>11303905548.209999</v>
        <stp/>
        <stp>EM_HKS_VAL_MV</stp>
        <stp>3</stp>
        <stp>300459</stp>
        <stp>2019-12-31</stp>
        <stp>2</stp>
        <tr r="L3387" s="1"/>
      </tp>
      <tp>
        <v>13046688511.360001</v>
        <stp/>
        <stp>EM_HKS_VAL_MV</stp>
        <stp>3</stp>
        <stp>600409</stp>
        <stp>2019-12-31</stp>
        <stp>2</stp>
        <tr r="L1750" s="1"/>
      </tp>
      <tp>
        <v>5317913354.5500002</v>
        <stp/>
        <stp>EM_HKS_VAL_MV</stp>
        <stp>3</stp>
        <stp>000569</stp>
        <stp>2019-12-31</stp>
        <stp>2</stp>
        <tr r="L3460" s="1"/>
      </tp>
      <tp>
        <v>7804157403.5</v>
        <stp/>
        <stp>EM_HKS_VAL_MV</stp>
        <stp>3</stp>
        <stp>300559</stp>
        <stp>2019-12-31</stp>
        <stp>2</stp>
        <tr r="L2942" s="1"/>
      </tp>
      <tp>
        <v>4168122361.54</v>
        <stp/>
        <stp>EM_HKS_VAL_MV</stp>
        <stp>3</stp>
        <stp>600509</stp>
        <stp>2019-12-31</stp>
        <stp>2</stp>
        <tr r="L2207" s="1"/>
      </tp>
      <tp>
        <v>2551532988.75</v>
        <stp/>
        <stp>EM_HKS_VAL_MV</stp>
        <stp>3</stp>
        <stp>000669</stp>
        <stp>2019-12-31</stp>
        <stp>2</stp>
        <tr r="L3501" s="1"/>
      </tp>
      <tp>
        <v>8497327010</v>
        <stp/>
        <stp>EM_HKS_VAL_MV</stp>
        <stp>3</stp>
        <stp>300659</stp>
        <stp>2019-12-31</stp>
        <stp>2</stp>
        <tr r="L39" s="1"/>
      </tp>
      <tp>
        <v>4326961842.7200003</v>
        <stp/>
        <stp>EM_HKS_VAL_MV</stp>
        <stp>3</stp>
        <stp>600609</stp>
        <stp>2019-12-31</stp>
        <stp>2</stp>
        <tr r="L955" s="1"/>
      </tp>
      <tp>
        <v>166860000</v>
        <stp/>
        <stp>EM_HKS_VAL_MV</stp>
        <stp>3</stp>
        <stp>000769</stp>
        <stp>2019-12-31</stp>
        <stp>2</stp>
        <tr r="L2279" s="1"/>
      </tp>
      <tp>
        <v>1347038438.3599999</v>
        <stp/>
        <stp>EM_HKS_VAL_MV</stp>
        <stp>3</stp>
        <stp>600709</stp>
        <stp>2019-12-31</stp>
        <stp>2</stp>
        <tr r="L2318" s="1"/>
      </tp>
      <tp>
        <v>19672816800</v>
        <stp/>
        <stp>EM_HKS_VAL_MV</stp>
        <stp>3</stp>
        <stp>000869</stp>
        <stp>2019-12-31</stp>
        <stp>2</stp>
        <tr r="L1713" s="1"/>
      </tp>
      <tp>
        <v>78176085460.199997</v>
        <stp/>
        <stp>EM_HKS_VAL_MV</stp>
        <stp>3</stp>
        <stp>600809</stp>
        <stp>2019-12-31</stp>
        <stp>2</stp>
        <tr r="L75" s="1"/>
      </tp>
      <tp>
        <v>6833213926.0200005</v>
        <stp/>
        <stp>EM_HKS_VAL_MV</stp>
        <stp>3</stp>
        <stp>000969</stp>
        <stp>2019-12-31</stp>
        <stp>2</stp>
        <tr r="L3588" s="1"/>
      </tp>
      <tp>
        <v>26433300000</v>
        <stp/>
        <stp>EM_HKS_VAL_MV</stp>
        <stp>3</stp>
        <stp>600909</stp>
        <stp>2019-12-31</stp>
        <stp>2</stp>
        <tr r="L502" s="1"/>
      </tp>
      <tp>
        <v>74388963493.479996</v>
        <stp/>
        <stp>EM_HKS_VAL_MV</stp>
        <stp>3</stp>
        <stp>601009</stp>
        <stp>2019-12-31</stp>
        <stp>2</stp>
        <tr r="L813" s="1"/>
      </tp>
      <tp>
        <v>3869775000</v>
        <stp/>
        <stp>EM_HKS_VAL_MV</stp>
        <stp>3</stp>
        <stp>002062</stp>
        <stp>2019-12-31</stp>
        <stp>2</stp>
        <tr r="L2740" s="1"/>
      </tp>
      <tp>
        <v>3124816500</v>
        <stp/>
        <stp>EM_HKS_VAL_MV</stp>
        <stp>3</stp>
        <stp>002162</stp>
        <stp>2019-12-31</stp>
        <stp>2</stp>
        <tr r="L1080" s="1"/>
      </tp>
      <tp>
        <v>11855479078.93</v>
        <stp/>
        <stp>EM_HKS_VAL_MV</stp>
        <stp>3</stp>
        <stp>002262</stp>
        <stp>2019-12-31</stp>
        <stp>2</stp>
        <tr r="L1001" s="1"/>
      </tp>
      <tp>
        <v>3467488886.1599998</v>
        <stp/>
        <stp>EM_HKS_VAL_MV</stp>
        <stp>3</stp>
        <stp>002362</stp>
        <stp>2019-12-31</stp>
        <stp>2</stp>
        <tr r="L1277" s="1"/>
      </tp>
      <tp>
        <v>4678982204.8000002</v>
        <stp/>
        <stp>EM_HKS_VAL_MV</stp>
        <stp>3</stp>
        <stp>002462</stp>
        <stp>2019-12-31</stp>
        <stp>2</stp>
        <tr r="L1795" s="1"/>
      </tp>
      <tp>
        <v>4401912802.5600004</v>
        <stp/>
        <stp>EM_HKS_VAL_MV</stp>
        <stp>3</stp>
        <stp>002562</stp>
        <stp>2019-12-31</stp>
        <stp>2</stp>
        <tr r="L1598" s="1"/>
      </tp>
      <tp>
        <v>3960000000</v>
        <stp/>
        <stp>EM_HKS_VAL_MV</stp>
        <stp>3</stp>
        <stp>002662</stp>
        <stp>2019-12-31</stp>
        <stp>2</stp>
        <tr r="L3217" s="1"/>
      </tp>
      <tp>
        <v>1982540000</v>
        <stp/>
        <stp>EM_HKS_VAL_MV</stp>
        <stp>3</stp>
        <stp>002762</stp>
        <stp>2019-12-31</stp>
        <stp>2</stp>
        <tr r="L2112" s="1"/>
      </tp>
      <tp>
        <v>1776800000</v>
        <stp/>
        <stp>EM_HKS_VAL_MV</stp>
        <stp>3</stp>
        <stp>002862</stp>
        <stp>2019-12-31</stp>
        <stp>2</stp>
        <tr r="L2070" s="1"/>
      </tp>
      <tp>
        <v>2617393842</v>
        <stp/>
        <stp>EM_HKS_VAL_MV</stp>
        <stp>3</stp>
        <stp>603002</stp>
        <stp>2019-12-31</stp>
        <stp>2</stp>
        <tr r="L1090" s="1"/>
      </tp>
      <tp>
        <v>0</v>
        <stp/>
        <stp>EM_HKS_VAL_MV</stp>
        <stp>3</stp>
        <stp>603302</stp>
        <stp>2019-12-31</stp>
        <stp>2</stp>
        <tr r="L14" s="1"/>
      </tp>
      <tp>
        <v>3708320000</v>
        <stp/>
        <stp>EM_HKS_VAL_MV</stp>
        <stp>3</stp>
        <stp>603602</stp>
        <stp>2019-12-31</stp>
        <stp>2</stp>
        <tr r="L2921" s="1"/>
      </tp>
      <tp>
        <v>14893748745.280001</v>
        <stp/>
        <stp>EM_HKS_VAL_MV</stp>
        <stp>3</stp>
        <stp>000062</stp>
        <stp>2019-12-31</stp>
        <stp>2</stp>
        <tr r="L1072" s="1"/>
      </tp>
      <tp>
        <v>4086912900</v>
        <stp/>
        <stp>EM_HKS_VAL_MV</stp>
        <stp>3</stp>
        <stp>300052</stp>
        <stp>2019-12-31</stp>
        <stp>2</stp>
        <tr r="L509" s="1"/>
      </tp>
      <tp>
        <v>19675500000</v>
        <stp/>
        <stp>EM_HKS_VAL_MV</stp>
        <stp>3</stp>
        <stp>600002</stp>
        <stp>2019-12-31</stp>
        <stp>2</stp>
        <tr r="L2286" s="1"/>
      </tp>
      <tp>
        <v>2452032000</v>
        <stp/>
        <stp>EM_HKS_VAL_MV</stp>
        <stp>3</stp>
        <stp>300152</stp>
        <stp>2019-12-31</stp>
        <stp>2</stp>
        <tr r="L897" s="1"/>
      </tp>
      <tp>
        <v>6575807145.96</v>
        <stp/>
        <stp>EM_HKS_VAL_MV</stp>
        <stp>3</stp>
        <stp>600102</stp>
        <stp>2019-12-31</stp>
        <stp>2</stp>
        <tr r="L2292" s="1"/>
      </tp>
      <tp>
        <v>5286905081.1000004</v>
        <stp/>
        <stp>EM_HKS_VAL_MV</stp>
        <stp>3</stp>
        <stp>300252</stp>
        <stp>2019-12-31</stp>
        <stp>2</stp>
        <tr r="L2966" s="1"/>
      </tp>
      <tp>
        <v>1870702479.3599999</v>
        <stp/>
        <stp>EM_HKS_VAL_MV</stp>
        <stp>3</stp>
        <stp>600202</stp>
        <stp>2019-12-31</stp>
        <stp>2</stp>
        <tr r="L605" s="1"/>
      </tp>
      <tp>
        <v>10569217594.23</v>
        <stp/>
        <stp>EM_HKS_VAL_MV</stp>
        <stp>3</stp>
        <stp>300352</stp>
        <stp>2019-12-31</stp>
        <stp>2</stp>
        <tr r="L122" s="1"/>
      </tp>
      <tp>
        <v>1743889412.1600001</v>
        <stp/>
        <stp>EM_HKS_VAL_MV</stp>
        <stp>3</stp>
        <stp>600302</stp>
        <stp>2019-12-31</stp>
        <stp>2</stp>
        <tr r="L1508" s="1"/>
      </tp>
      <tp>
        <v>2126976000</v>
        <stp/>
        <stp>EM_HKS_VAL_MV</stp>
        <stp>3</stp>
        <stp>300452</stp>
        <stp>2019-12-31</stp>
        <stp>2</stp>
        <tr r="L1739" s="1"/>
      </tp>
      <tp>
        <v>121158454126</v>
        <stp/>
        <stp>EM_HKS_VAL_MV</stp>
        <stp>3</stp>
        <stp>000562</stp>
        <stp>2019-12-31</stp>
        <stp>2</stp>
        <tr r="L3455" s="1"/>
      </tp>
      <tp>
        <v>9278733440</v>
        <stp/>
        <stp>EM_HKS_VAL_MV</stp>
        <stp>3</stp>
        <stp>300552</stp>
        <stp>2019-12-31</stp>
        <stp>2</stp>
        <tr r="L15" s="1"/>
      </tp>
      <tp>
        <v>6987910704.3199997</v>
        <stp/>
        <stp>EM_HKS_VAL_MV</stp>
        <stp>3</stp>
        <stp>600502</stp>
        <stp>2019-12-31</stp>
        <stp>2</stp>
        <tr r="L1556" s="1"/>
      </tp>
      <tp>
        <v>5869934831.5799999</v>
        <stp/>
        <stp>EM_HKS_VAL_MV</stp>
        <stp>3</stp>
        <stp>000662</stp>
        <stp>2019-12-31</stp>
        <stp>2</stp>
        <tr r="L3497" s="1"/>
      </tp>
      <tp>
        <v>1754720000</v>
        <stp/>
        <stp>EM_HKS_VAL_MV</stp>
        <stp>3</stp>
        <stp>300652</stp>
        <stp>2019-12-31</stp>
        <stp>2</stp>
        <tr r="L2079" s="1"/>
      </tp>
      <tp>
        <v>11269629269.200001</v>
        <stp/>
        <stp>EM_HKS_VAL_MV</stp>
        <stp>3</stp>
        <stp>600602</stp>
        <stp>2019-12-31</stp>
        <stp>2</stp>
        <tr r="L353" s="1"/>
      </tp>
      <tp>
        <v>3885311530.4000001</v>
        <stp/>
        <stp>EM_HKS_VAL_MV</stp>
        <stp>3</stp>
        <stp>000762</stp>
        <stp>2019-12-31</stp>
        <stp>2</stp>
        <tr r="L3531" s="1"/>
      </tp>
      <tp>
        <v>10114480370</v>
        <stp/>
        <stp>EM_HKS_VAL_MV</stp>
        <stp>3</stp>
        <stp>600702</stp>
        <stp>2019-12-31</stp>
        <stp>2</stp>
        <tr r="L882" s="1"/>
      </tp>
      <tp>
        <v>3558839744.8800001</v>
        <stp/>
        <stp>EM_HKS_VAL_MV</stp>
        <stp>3</stp>
        <stp>000862</stp>
        <stp>2019-12-31</stp>
        <stp>2</stp>
        <tr r="L331" s="1"/>
      </tp>
      <tp>
        <v>3375763207.4400001</v>
        <stp/>
        <stp>EM_HKS_VAL_MV</stp>
        <stp>3</stp>
        <stp>600802</stp>
        <stp>2019-12-31</stp>
        <stp>2</stp>
        <tr r="L1449" s="1"/>
      </tp>
      <tp>
        <v>3085828508</v>
        <stp/>
        <stp>EM_HKS_VAL_MV</stp>
        <stp>3</stp>
        <stp>000962</stp>
        <stp>2019-12-31</stp>
        <stp>2</stp>
        <tr r="L1521" s="1"/>
      </tp>
      <tp>
        <v>4661017200</v>
        <stp/>
        <stp>EM_HKS_VAL_MV</stp>
        <stp>3</stp>
        <stp>601002</stp>
        <stp>2019-12-31</stp>
        <stp>2</stp>
        <tr r="L1815" s="1"/>
      </tp>
      <tp>
        <v>10223927551.9</v>
        <stp/>
        <stp>EM_HKS_VAL_MV</stp>
        <stp>3</stp>
        <stp>002063</stp>
        <stp>2019-12-31</stp>
        <stp>2</stp>
        <tr r="L118" s="1"/>
      </tp>
      <tp>
        <v>4459702500</v>
        <stp/>
        <stp>EM_HKS_VAL_MV</stp>
        <stp>3</stp>
        <stp>002163</stp>
        <stp>2019-12-31</stp>
        <stp>2</stp>
        <tr r="L1572" s="1"/>
      </tp>
      <tp>
        <v>3869421806</v>
        <stp/>
        <stp>EM_HKS_VAL_MV</stp>
        <stp>3</stp>
        <stp>002263</stp>
        <stp>2019-12-31</stp>
        <stp>2</stp>
        <tr r="L1203" s="1"/>
      </tp>
      <tp>
        <v>2542372839.1100001</v>
        <stp/>
        <stp>EM_HKS_VAL_MV</stp>
        <stp>3</stp>
        <stp>002363</stp>
        <stp>2019-12-31</stp>
        <stp>2</stp>
        <tr r="L1055" s="1"/>
      </tp>
      <tp>
        <v>38305972632.230003</v>
        <stp/>
        <stp>EM_HKS_VAL_MV</stp>
        <stp>3</stp>
        <stp>002463</stp>
        <stp>2019-12-31</stp>
        <stp>2</stp>
        <tr r="L42" s="1"/>
      </tp>
      <tp>
        <v>26634551307</v>
        <stp/>
        <stp>EM_HKS_VAL_MV</stp>
        <stp>3</stp>
        <stp>002563</stp>
        <stp>2019-12-31</stp>
        <stp>2</stp>
        <tr r="L1758" s="1"/>
      </tp>
      <tp>
        <v>5244000119.8400002</v>
        <stp/>
        <stp>EM_HKS_VAL_MV</stp>
        <stp>3</stp>
        <stp>002663</stp>
        <stp>2019-12-31</stp>
        <stp>2</stp>
        <tr r="L1524" s="1"/>
      </tp>
      <tp>
        <v>3421434750</v>
        <stp/>
        <stp>EM_HKS_VAL_MV</stp>
        <stp>3</stp>
        <stp>002763</stp>
        <stp>2019-12-31</stp>
        <stp>2</stp>
        <tr r="L2122" s="1"/>
      </tp>
      <tp>
        <v>2101172882.4000001</v>
        <stp/>
        <stp>EM_HKS_VAL_MV</stp>
        <stp>3</stp>
        <stp>002863</stp>
        <stp>2019-12-31</stp>
        <stp>2</stp>
        <tr r="L2846" s="1"/>
      </tp>
      <tp>
        <v>3382243104.2399998</v>
        <stp/>
        <stp>EM_HKS_VAL_MV</stp>
        <stp>3</stp>
        <stp>603003</stp>
        <stp>2019-12-31</stp>
        <stp>2</stp>
        <tr r="L1217" s="1"/>
      </tp>
      <tp>
        <v>11929302000</v>
        <stp/>
        <stp>EM_HKS_VAL_MV</stp>
        <stp>3</stp>
        <stp>603103</stp>
        <stp>2019-12-31</stp>
        <stp>2</stp>
        <tr r="L2987" s="1"/>
      </tp>
      <tp>
        <v>4359401402.3999996</v>
        <stp/>
        <stp>EM_HKS_VAL_MV</stp>
        <stp>3</stp>
        <stp>603203</stp>
        <stp>2019-12-31</stp>
        <stp>2</stp>
        <tr r="L761" s="1"/>
      </tp>
      <tp>
        <v>5028345423.46</v>
        <stp/>
        <stp>EM_HKS_VAL_MV</stp>
        <stp>3</stp>
        <stp>603303</stp>
        <stp>2019-12-31</stp>
        <stp>2</stp>
        <tr r="L2847" s="1"/>
      </tp>
      <tp>
        <v>3835257634.0799999</v>
        <stp/>
        <stp>EM_HKS_VAL_MV</stp>
        <stp>3</stp>
        <stp>603603</stp>
        <stp>2019-12-31</stp>
        <stp>2</stp>
        <tr r="L3314" s="1"/>
      </tp>
      <tp>
        <v>3498331000</v>
        <stp/>
        <stp>EM_HKS_VAL_MV</stp>
        <stp>3</stp>
        <stp>603703</stp>
        <stp>2019-12-31</stp>
        <stp>2</stp>
        <tr r="L347" s="1"/>
      </tp>
      <tp>
        <v>5431616685.3000002</v>
        <stp/>
        <stp>EM_HKS_VAL_MV</stp>
        <stp>3</stp>
        <stp>603803</stp>
        <stp>2019-12-31</stp>
        <stp>2</stp>
        <tr r="L1040" s="1"/>
      </tp>
      <tp>
        <v>2007247872</v>
        <stp/>
        <stp>EM_HKS_VAL_MV</stp>
        <stp>3</stp>
        <stp>603903</stp>
        <stp>2019-12-31</stp>
        <stp>2</stp>
        <tr r="L3225" s="1"/>
      </tp>
      <tp>
        <v>149612282063.91</v>
        <stp/>
        <stp>EM_HKS_VAL_MV</stp>
        <stp>3</stp>
        <stp>000063</stp>
        <stp>2019-12-31</stp>
        <stp>2</stp>
        <tr r="L245" s="1"/>
      </tp>
      <tp>
        <v>8720804993.0400009</v>
        <stp/>
        <stp>EM_HKS_VAL_MV</stp>
        <stp>3</stp>
        <stp>300053</stp>
        <stp>2019-12-31</stp>
        <stp>2</stp>
        <tr r="L528" s="1"/>
      </tp>
      <tp>
        <v>4695084000</v>
        <stp/>
        <stp>EM_HKS_VAL_MV</stp>
        <stp>3</stp>
        <stp>600003</stp>
        <stp>2019-12-31</stp>
        <stp>2</stp>
        <tr r="L2287" s="1"/>
      </tp>
      <tp>
        <v>2115200000</v>
        <stp/>
        <stp>EM_HKS_VAL_MV</stp>
        <stp>3</stp>
        <stp>300153</stp>
        <stp>2019-12-31</stp>
        <stp>2</stp>
        <tr r="L2698" s="1"/>
      </tp>
      <tp>
        <v>4773042860.4899998</v>
        <stp/>
        <stp>EM_HKS_VAL_MV</stp>
        <stp>3</stp>
        <stp>600103</stp>
        <stp>2019-12-31</stp>
        <stp>2</stp>
        <tr r="L3018" s="1"/>
      </tp>
      <tp>
        <v>24583735613.080002</v>
        <stp/>
        <stp>EM_HKS_VAL_MV</stp>
        <stp>3</stp>
        <stp>300253</stp>
        <stp>2019-12-31</stp>
        <stp>2</stp>
        <tr r="L1336" s="1"/>
      </tp>
      <tp>
        <v>2921261568</v>
        <stp/>
        <stp>EM_HKS_VAL_MV</stp>
        <stp>3</stp>
        <stp>600203</stp>
        <stp>2019-12-31</stp>
        <stp>2</stp>
        <tr r="L655" s="1"/>
      </tp>
      <tp>
        <v>6550775099.54</v>
        <stp/>
        <stp>EM_HKS_VAL_MV</stp>
        <stp>3</stp>
        <stp>300353</stp>
        <stp>2019-12-31</stp>
        <stp>2</stp>
        <tr r="L614" s="1"/>
      </tp>
      <tp>
        <v>2378126822.7199998</v>
        <stp/>
        <stp>EM_HKS_VAL_MV</stp>
        <stp>3</stp>
        <stp>600303</stp>
        <stp>2019-12-31</stp>
        <stp>2</stp>
        <tr r="L2765" s="1"/>
      </tp>
      <tp>
        <v>1983422750</v>
        <stp/>
        <stp>EM_HKS_VAL_MV</stp>
        <stp>3</stp>
        <stp>300453</stp>
        <stp>2019-12-31</stp>
        <stp>2</stp>
        <tr r="L3248" s="1"/>
      </tp>
      <tp>
        <v>9802330848.2000008</v>
        <stp/>
        <stp>EM_HKS_VAL_MV</stp>
        <stp>3</stp>
        <stp>600403</stp>
        <stp>2019-12-31</stp>
        <stp>2</stp>
        <tr r="L1468" s="1"/>
      </tp>
      <tp>
        <v>17560576907.779999</v>
        <stp/>
        <stp>EM_HKS_VAL_MV</stp>
        <stp>3</stp>
        <stp>000563</stp>
        <stp>2019-12-31</stp>
        <stp>2</stp>
        <tr r="L3456" s="1"/>
      </tp>
      <tp>
        <v>1765920000</v>
        <stp/>
        <stp>EM_HKS_VAL_MV</stp>
        <stp>3</stp>
        <stp>300553</stp>
        <stp>2019-12-31</stp>
        <stp>2</stp>
        <tr r="L1587" s="1"/>
      </tp>
      <tp>
        <v>5095282200</v>
        <stp/>
        <stp>EM_HKS_VAL_MV</stp>
        <stp>3</stp>
        <stp>600503</stp>
        <stp>2019-12-31</stp>
        <stp>2</stp>
        <tr r="L2014" s="1"/>
      </tp>
      <tp>
        <v>1616082859.2</v>
        <stp/>
        <stp>EM_HKS_VAL_MV</stp>
        <stp>3</stp>
        <stp>000663</stp>
        <stp>2019-12-31</stp>
        <stp>2</stp>
        <tr r="L3498" s="1"/>
      </tp>
      <tp>
        <v>5640000000</v>
        <stp/>
        <stp>EM_HKS_VAL_MV</stp>
        <stp>3</stp>
        <stp>300653</stp>
        <stp>2019-12-31</stp>
        <stp>2</stp>
        <tr r="L539" s="1"/>
      </tp>
      <tp>
        <v>6211095422.3999996</v>
        <stp/>
        <stp>EM_HKS_VAL_MV</stp>
        <stp>3</stp>
        <stp>600603</stp>
        <stp>2019-12-31</stp>
        <stp>2</stp>
        <tr r="L1271" s="1"/>
      </tp>
      <tp>
        <v>3323250000</v>
        <stp/>
        <stp>EM_HKS_VAL_MV</stp>
        <stp>3</stp>
        <stp>000763</stp>
        <stp>2019-12-31</stp>
        <stp>2</stp>
        <tr r="L3532" s="1"/>
      </tp>
      <tp>
        <v>74879881678.080002</v>
        <stp/>
        <stp>EM_HKS_VAL_MV</stp>
        <stp>3</stp>
        <stp>600703</stp>
        <stp>2019-12-31</stp>
        <stp>2</stp>
        <tr r="L375" s="1"/>
      </tp>
      <tp>
        <v>6362697894.7200003</v>
        <stp/>
        <stp>EM_HKS_VAL_MV</stp>
        <stp>3</stp>
        <stp>000863</stp>
        <stp>2019-12-31</stp>
        <stp>2</stp>
        <tr r="L3557" s="1"/>
      </tp>
      <tp>
        <v>13080345531.120001</v>
        <stp/>
        <stp>EM_HKS_VAL_MV</stp>
        <stp>3</stp>
        <stp>600803</stp>
        <stp>2019-12-31</stp>
        <stp>2</stp>
        <tr r="L1898" s="1"/>
      </tp>
      <tp>
        <v>42660356780.239998</v>
        <stp/>
        <stp>EM_HKS_VAL_MV</stp>
        <stp>3</stp>
        <stp>000963</stp>
        <stp>2019-12-31</stp>
        <stp>2</stp>
        <tr r="L2741" s="1"/>
      </tp>
      <tp>
        <v>16822374699.059999</v>
        <stp/>
        <stp>EM_HKS_VAL_MV</stp>
        <stp>3</stp>
        <stp>600903</stp>
        <stp>2019-12-31</stp>
        <stp>2</stp>
        <tr r="L3216" s="1"/>
      </tp>
      <tp>
        <v>14479781580</v>
        <stp/>
        <stp>EM_HKS_VAL_MV</stp>
        <stp>3</stp>
        <stp>601003</stp>
        <stp>2019-12-31</stp>
        <stp>2</stp>
        <tr r="L2925" s="1"/>
      </tp>
      <tp>
        <v>3642854035.7399998</v>
        <stp/>
        <stp>EM_HKS_VAL_MV</stp>
        <stp>3</stp>
        <stp>002060</stp>
        <stp>2019-12-31</stp>
        <stp>2</stp>
        <tr r="L1677" s="1"/>
      </tp>
      <tp>
        <v>2466304125.5999999</v>
        <stp/>
        <stp>EM_HKS_VAL_MV</stp>
        <stp>3</stp>
        <stp>002160</stp>
        <stp>2019-12-31</stp>
        <stp>2</stp>
        <tr r="L3009" s="1"/>
      </tp>
      <tp>
        <v>835380000</v>
        <stp/>
        <stp>EM_HKS_VAL_MV</stp>
        <stp>3</stp>
        <stp>002260</stp>
        <stp>2019-12-31</stp>
        <stp>2</stp>
        <tr r="L2467" s="1"/>
      </tp>
      <tp>
        <v>2110252914</v>
        <stp/>
        <stp>EM_HKS_VAL_MV</stp>
        <stp>3</stp>
        <stp>002360</stp>
        <stp>2019-12-31</stp>
        <stp>2</stp>
        <tr r="L2452" s="1"/>
      </tp>
      <tp>
        <v>45021286177.470001</v>
        <stp/>
        <stp>EM_HKS_VAL_MV</stp>
        <stp>3</stp>
        <stp>002460</stp>
        <stp>2019-12-31</stp>
        <stp>2</stp>
        <tr r="L490" s="1"/>
      </tp>
      <tp>
        <v>2556611153.2800002</v>
        <stp/>
        <stp>EM_HKS_VAL_MV</stp>
        <stp>3</stp>
        <stp>002560</stp>
        <stp>2019-12-31</stp>
        <stp>2</stp>
        <tr r="L1921" s="1"/>
      </tp>
      <tp>
        <v>2405853990.3899999</v>
        <stp/>
        <stp>EM_HKS_VAL_MV</stp>
        <stp>3</stp>
        <stp>002660</stp>
        <stp>2019-12-31</stp>
        <stp>2</stp>
        <tr r="L568" s="1"/>
      </tp>
      <tp>
        <v>1585760000</v>
        <stp/>
        <stp>EM_HKS_VAL_MV</stp>
        <stp>3</stp>
        <stp>002760</stp>
        <stp>2019-12-31</stp>
        <stp>2</stp>
        <tr r="L1204" s="1"/>
      </tp>
      <tp>
        <v>2710096302.5999999</v>
        <stp/>
        <stp>EM_HKS_VAL_MV</stp>
        <stp>3</stp>
        <stp>002860</stp>
        <stp>2019-12-31</stp>
        <stp>2</stp>
        <tr r="L1191" s="1"/>
      </tp>
      <tp>
        <v>21881625998.240002</v>
        <stp/>
        <stp>EM_HKS_VAL_MV</stp>
        <stp>3</stp>
        <stp>603000</stp>
        <stp>2019-12-31</stp>
        <stp>2</stp>
        <tr r="L61" s="1"/>
      </tp>
      <tp>
        <v>3507600000</v>
        <stp/>
        <stp>EM_HKS_VAL_MV</stp>
        <stp>3</stp>
        <stp>603100</stp>
        <stp>2019-12-31</stp>
        <stp>2</stp>
        <tr r="L1357" s="1"/>
      </tp>
      <tp>
        <v>1949065583.4000001</v>
        <stp/>
        <stp>EM_HKS_VAL_MV</stp>
        <stp>3</stp>
        <stp>603200</stp>
        <stp>2019-12-31</stp>
        <stp>2</stp>
        <tr r="L3342" s="1"/>
      </tp>
      <tp>
        <v>5291046082.3199997</v>
        <stp/>
        <stp>EM_HKS_VAL_MV</stp>
        <stp>3</stp>
        <stp>603300</stp>
        <stp>2019-12-31</stp>
        <stp>2</stp>
        <tr r="L370" s="1"/>
      </tp>
      <tp>
        <v>2194416000</v>
        <stp/>
        <stp>EM_HKS_VAL_MV</stp>
        <stp>3</stp>
        <stp>603500</stp>
        <stp>2019-12-31</stp>
        <stp>2</stp>
        <tr r="L1345" s="1"/>
      </tp>
      <tp>
        <v>3715235408</v>
        <stp/>
        <stp>EM_HKS_VAL_MV</stp>
        <stp>3</stp>
        <stp>603600</stp>
        <stp>2019-12-31</stp>
        <stp>2</stp>
        <tr r="L311" s="1"/>
      </tp>
      <tp>
        <v>2739360000</v>
        <stp/>
        <stp>EM_HKS_VAL_MV</stp>
        <stp>3</stp>
        <stp>603800</stp>
        <stp>2019-12-31</stp>
        <stp>2</stp>
        <tr r="L1378" s="1"/>
      </tp>
      <tp>
        <v>3217477788</v>
        <stp/>
        <stp>EM_HKS_VAL_MV</stp>
        <stp>3</stp>
        <stp>603900</stp>
        <stp>2019-12-31</stp>
        <stp>2</stp>
        <tr r="L3083" s="1"/>
      </tp>
      <tp>
        <v>15349646906.1</v>
        <stp/>
        <stp>EM_HKS_VAL_MV</stp>
        <stp>3</stp>
        <stp>000060</stp>
        <stp>2019-12-31</stp>
        <stp>2</stp>
        <tr r="L1710" s="1"/>
      </tp>
      <tp>
        <v>3094729358.2399998</v>
        <stp/>
        <stp>EM_HKS_VAL_MV</stp>
        <stp>3</stp>
        <stp>300050</stp>
        <stp>2019-12-31</stp>
        <stp>2</stp>
        <tr r="L2656" s="1"/>
      </tp>
      <tp>
        <v>363085234510.89001</v>
        <stp/>
        <stp>EM_HKS_VAL_MV</stp>
        <stp>3</stp>
        <stp>600000</stp>
        <stp>2019-12-31</stp>
        <stp>2</stp>
        <tr r="L1062" s="1"/>
      </tp>
      <tp>
        <v>2510104967.3699999</v>
        <stp/>
        <stp>EM_HKS_VAL_MV</stp>
        <stp>3</stp>
        <stp>300150</stp>
        <stp>2019-12-31</stp>
        <stp>2</stp>
        <tr r="L2203" s="1"/>
      </tp>
      <tp>
        <v>25993393800.27</v>
        <stp/>
        <stp>EM_HKS_VAL_MV</stp>
        <stp>3</stp>
        <stp>600100</stp>
        <stp>2019-12-31</stp>
        <stp>2</stp>
        <tr r="L2791" s="1"/>
      </tp>
      <tp>
        <v>2804871250.5</v>
        <stp/>
        <stp>EM_HKS_VAL_MV</stp>
        <stp>3</stp>
        <stp>300250</stp>
        <stp>2019-12-31</stp>
        <stp>2</stp>
        <tr r="L1446" s="1"/>
      </tp>
      <tp>
        <v>3832651916.1599998</v>
        <stp/>
        <stp>EM_HKS_VAL_MV</stp>
        <stp>3</stp>
        <stp>600200</stp>
        <stp>2019-12-31</stp>
        <stp>2</stp>
        <tr r="L2906" s="1"/>
      </tp>
      <tp>
        <v>2478967051.5999999</v>
        <stp/>
        <stp>EM_HKS_VAL_MV</stp>
        <stp>3</stp>
        <stp>300350</stp>
        <stp>2019-12-31</stp>
        <stp>2</stp>
        <tr r="L2687" s="1"/>
      </tp>
      <tp>
        <v>4932400000</v>
        <stp/>
        <stp>EM_HKS_VAL_MV</stp>
        <stp>3</stp>
        <stp>600300</stp>
        <stp>2019-12-31</stp>
        <stp>2</stp>
        <tr r="L1995" s="1"/>
      </tp>
      <tp>
        <v>39612195373.800003</v>
        <stp/>
        <stp>EM_HKS_VAL_MV</stp>
        <stp>3</stp>
        <stp>300450</stp>
        <stp>2019-12-31</stp>
        <stp>2</stp>
        <tr r="L468" s="1"/>
      </tp>
      <tp>
        <v>8511743224.3199997</v>
        <stp/>
        <stp>EM_HKS_VAL_MV</stp>
        <stp>3</stp>
        <stp>600400</stp>
        <stp>2019-12-31</stp>
        <stp>2</stp>
        <tr r="L2812" s="1"/>
      </tp>
      <tp>
        <v>10152208667.809999</v>
        <stp/>
        <stp>EM_HKS_VAL_MV</stp>
        <stp>3</stp>
        <stp>000560</stp>
        <stp>2019-12-31</stp>
        <stp>2</stp>
        <tr r="L2688" s="1"/>
      </tp>
      <tp>
        <v>3269318220</v>
        <stp/>
        <stp>EM_HKS_VAL_MV</stp>
        <stp>3</stp>
        <stp>300550</stp>
        <stp>2019-12-31</stp>
        <stp>2</stp>
        <tr r="L3349" s="1"/>
      </tp>
      <tp>
        <v>14351957301.6</v>
        <stp/>
        <stp>EM_HKS_VAL_MV</stp>
        <stp>3</stp>
        <stp>600500</stp>
        <stp>2019-12-31</stp>
        <stp>2</stp>
        <tr r="L3109" s="1"/>
      </tp>
      <tp>
        <v>569400531.98000002</v>
        <stp/>
        <stp>EM_HKS_VAL_MV</stp>
        <stp>3</stp>
        <stp>000660</stp>
        <stp>2019-12-31</stp>
        <stp>2</stp>
        <tr r="L3496" s="1"/>
      </tp>
      <tp>
        <v>1816389072</v>
        <stp/>
        <stp>EM_HKS_VAL_MV</stp>
        <stp>3</stp>
        <stp>300650</stp>
        <stp>2019-12-31</stp>
        <stp>2</stp>
        <tr r="L1066" s="1"/>
      </tp>
      <tp>
        <v>68900122545</v>
        <stp/>
        <stp>EM_HKS_VAL_MV</stp>
        <stp>3</stp>
        <stp>600600</stp>
        <stp>2019-12-31</stp>
        <stp>2</stp>
        <tr r="L615" s="1"/>
      </tp>
      <tp>
        <v>1157766942</v>
        <stp/>
        <stp>EM_HKS_VAL_MV</stp>
        <stp>3</stp>
        <stp>000760</stp>
        <stp>2019-12-31</stp>
        <stp>2</stp>
        <tr r="L3530" s="1"/>
      </tp>
      <tp>
        <v>234973728080</v>
        <stp/>
        <stp>EM_HKS_VAL_MV</stp>
        <stp>3</stp>
        <stp>300750</stp>
        <stp>2019-12-31</stp>
        <stp>2</stp>
        <tr r="L579" s="1"/>
      </tp>
      <tp>
        <v>186174750.72</v>
        <stp/>
        <stp>EM_HKS_VAL_MV</stp>
        <stp>3</stp>
        <stp>600700</stp>
        <stp>2019-12-31</stp>
        <stp>2</stp>
        <tr r="L2317" s="1"/>
      </tp>
      <tp>
        <v>39076284980.519997</v>
        <stp/>
        <stp>EM_HKS_VAL_MV</stp>
        <stp>3</stp>
        <stp>000860</stp>
        <stp>2019-12-31</stp>
        <stp>2</stp>
        <tr r="L371" s="1"/>
      </tp>
      <tp>
        <v>3386441600.3800001</v>
        <stp/>
        <stp>EM_HKS_VAL_MV</stp>
        <stp>3</stp>
        <stp>600800</stp>
        <stp>2019-12-31</stp>
        <stp>2</stp>
        <tr r="L1729" s="1"/>
      </tp>
      <tp>
        <v>17422025396.759998</v>
        <stp/>
        <stp>EM_HKS_VAL_MV</stp>
        <stp>3</stp>
        <stp>000960</stp>
        <stp>2019-12-31</stp>
        <stp>2</stp>
        <tr r="L1651" s="1"/>
      </tp>
      <tp>
        <v>404360000000</v>
        <stp/>
        <stp>EM_HKS_VAL_MV</stp>
        <stp>3</stp>
        <stp>600900</stp>
        <stp>2019-12-31</stp>
        <stp>2</stp>
        <tr r="L1447" s="1"/>
      </tp>
      <tp>
        <v>15407414396.4</v>
        <stp/>
        <stp>EM_HKS_VAL_MV</stp>
        <stp>3</stp>
        <stp>601000</stp>
        <stp>2019-12-31</stp>
        <stp>2</stp>
        <tr r="L1833" s="1"/>
      </tp>
      <tp>
        <v>43879500000</v>
        <stp/>
        <stp>EM_HKS_VAL_MV</stp>
        <stp>3</stp>
        <stp>601100</stp>
        <stp>2019-12-31</stp>
        <stp>2</stp>
        <tr r="L79" s="1"/>
      </tp>
      <tp>
        <v>10138602304.5</v>
        <stp/>
        <stp>EM_HKS_VAL_MV</stp>
        <stp>3</stp>
        <stp>601200</stp>
        <stp>2019-12-31</stp>
        <stp>2</stp>
        <tr r="L2980" s="1"/>
      </tp>
      <tp>
        <v>5678608485.8999996</v>
        <stp/>
        <stp>EM_HKS_VAL_MV</stp>
        <stp>3</stp>
        <stp>601500</stp>
        <stp>2019-12-31</stp>
        <stp>2</stp>
        <tr r="L2436" s="1"/>
      </tp>
      <tp>
        <v>60260262246.540001</v>
        <stp/>
        <stp>EM_HKS_VAL_MV</stp>
        <stp>3</stp>
        <stp>601600</stp>
        <stp>2019-12-31</stp>
        <stp>2</stp>
        <tr r="L2346" s="1"/>
      </tp>
      <tp>
        <v>7320678720</v>
        <stp/>
        <stp>EM_HKS_VAL_MV</stp>
        <stp>3</stp>
        <stp>601700</stp>
        <stp>2019-12-31</stp>
        <stp>2</stp>
        <tr r="L297" s="1"/>
      </tp>
      <tp>
        <v>148160576493</v>
        <stp/>
        <stp>EM_HKS_VAL_MV</stp>
        <stp>3</stp>
        <stp>601800</stp>
        <stp>2019-12-31</stp>
        <stp>2</stp>
        <tr r="L3086" s="1"/>
      </tp>
      <tp>
        <v>8295817001.1599998</v>
        <stp/>
        <stp>EM_HKS_VAL_MV</stp>
        <stp>3</stp>
        <stp>601900</stp>
        <stp>2019-12-31</stp>
        <stp>2</stp>
        <tr r="L1823" s="1"/>
      </tp>
      <tp>
        <v>8075000918.2600002</v>
        <stp/>
        <stp>EM_HKS_VAL_MV</stp>
        <stp>3</stp>
        <stp>002061</stp>
        <stp>2019-12-31</stp>
        <stp>2</stp>
        <tr r="L3337" s="1"/>
      </tp>
      <tp>
        <v>7012900152</v>
        <stp/>
        <stp>EM_HKS_VAL_MV</stp>
        <stp>3</stp>
        <stp>002161</stp>
        <stp>2019-12-31</stp>
        <stp>2</stp>
        <tr r="L278" s="1"/>
      </tp>
      <tp>
        <v>9114349716.7199993</v>
        <stp/>
        <stp>EM_HKS_VAL_MV</stp>
        <stp>3</stp>
        <stp>002261</stp>
        <stp>2019-12-31</stp>
        <stp>2</stp>
        <tr r="L164" s="1"/>
      </tp>
      <tp>
        <v>3660198886.9200001</v>
        <stp/>
        <stp>EM_HKS_VAL_MV</stp>
        <stp>3</stp>
        <stp>002361</stp>
        <stp>2019-12-31</stp>
        <stp>2</stp>
        <tr r="L1315" s="1"/>
      </tp>
      <tp>
        <v>15803165347.200001</v>
        <stp/>
        <stp>EM_HKS_VAL_MV</stp>
        <stp>3</stp>
        <stp>002461</stp>
        <stp>2019-12-31</stp>
        <stp>2</stp>
        <tr r="L428" s="1"/>
      </tp>
      <tp>
        <v>3400941340</v>
        <stp/>
        <stp>EM_HKS_VAL_MV</stp>
        <stp>3</stp>
        <stp>002561</stp>
        <stp>2019-12-31</stp>
        <stp>2</stp>
        <tr r="L1959" s="1"/>
      </tp>
      <tp>
        <v>3745128245.5</v>
        <stp/>
        <stp>EM_HKS_VAL_MV</stp>
        <stp>3</stp>
        <stp>002661</stp>
        <stp>2019-12-31</stp>
        <stp>2</stp>
        <tr r="L2711" s="1"/>
      </tp>
      <tp>
        <v>3783588000</v>
        <stp/>
        <stp>EM_HKS_VAL_MV</stp>
        <stp>3</stp>
        <stp>002761</stp>
        <stp>2019-12-31</stp>
        <stp>2</stp>
        <tr r="L3296" s="1"/>
      </tp>
      <tp>
        <v>3953342448</v>
        <stp/>
        <stp>EM_HKS_VAL_MV</stp>
        <stp>3</stp>
        <stp>002861</stp>
        <stp>2019-12-31</stp>
        <stp>2</stp>
        <tr r="L286" s="1"/>
      </tp>
      <tp>
        <v>3608820000</v>
        <stp/>
        <stp>EM_HKS_VAL_MV</stp>
        <stp>3</stp>
        <stp>603001</stp>
        <stp>2019-12-31</stp>
        <stp>2</stp>
        <tr r="L2795" s="1"/>
      </tp>
      <tp>
        <v>3007200000</v>
        <stp/>
        <stp>EM_HKS_VAL_MV</stp>
        <stp>3</stp>
        <stp>603101</stp>
        <stp>2019-12-31</stp>
        <stp>2</stp>
        <tr r="L3340" s="1"/>
      </tp>
      <tp>
        <v>3045000000</v>
        <stp/>
        <stp>EM_HKS_VAL_MV</stp>
        <stp>3</stp>
        <stp>603301</stp>
        <stp>2019-12-31</stp>
        <stp>2</stp>
        <tr r="L3245" s="1"/>
      </tp>
      <tp>
        <v>123849144853.2</v>
        <stp/>
        <stp>EM_HKS_VAL_MV</stp>
        <stp>3</stp>
        <stp>603501</stp>
        <stp>2019-12-31</stp>
        <stp>2</stp>
        <tr r="L18" s="1"/>
      </tp>
      <tp>
        <v>5376541726.8000002</v>
        <stp/>
        <stp>EM_HKS_VAL_MV</stp>
        <stp>3</stp>
        <stp>603601</stp>
        <stp>2019-12-31</stp>
        <stp>2</stp>
        <tr r="L2589" s="1"/>
      </tp>
      <tp>
        <v>2610684518.4000001</v>
        <stp/>
        <stp>EM_HKS_VAL_MV</stp>
        <stp>3</stp>
        <stp>603701</stp>
        <stp>2019-12-31</stp>
        <stp>2</stp>
        <tr r="L1613" s="1"/>
      </tp>
      <tp>
        <v>5201433954.3999996</v>
        <stp/>
        <stp>EM_HKS_VAL_MV</stp>
        <stp>3</stp>
        <stp>603801</stp>
        <stp>2019-12-31</stp>
        <stp>2</stp>
        <tr r="L2581" s="1"/>
      </tp>
      <tp>
        <v>4675099236.6400003</v>
        <stp/>
        <stp>EM_HKS_VAL_MV</stp>
        <stp>3</stp>
        <stp>603901</stp>
        <stp>2019-12-31</stp>
        <stp>2</stp>
        <tr r="L415" s="1"/>
      </tp>
      <tp>
        <v>9486029492.2900009</v>
        <stp/>
        <stp>EM_HKS_VAL_MV</stp>
        <stp>3</stp>
        <stp>000061</stp>
        <stp>2019-12-31</stp>
        <stp>2</stp>
        <tr r="L1460" s="1"/>
      </tp>
      <tp>
        <v>2270988864.9000001</v>
        <stp/>
        <stp>EM_HKS_VAL_MV</stp>
        <stp>3</stp>
        <stp>300051</stp>
        <stp>2019-12-31</stp>
        <stp>2</stp>
        <tr r="L2016" s="1"/>
      </tp>
      <tp>
        <v>14899055250.01</v>
        <stp/>
        <stp>EM_HKS_VAL_MV</stp>
        <stp>3</stp>
        <stp>600001</stp>
        <stp>2019-12-31</stp>
        <stp>2</stp>
        <tr r="L2285" s="1"/>
      </tp>
      <tp>
        <v>4301400000</v>
        <stp/>
        <stp>EM_HKS_VAL_MV</stp>
        <stp>3</stp>
        <stp>300151</stp>
        <stp>2019-12-31</stp>
        <stp>2</stp>
        <tr r="L378" s="1"/>
      </tp>
      <tp>
        <v>2933171383.1999998</v>
        <stp/>
        <stp>EM_HKS_VAL_MV</stp>
        <stp>3</stp>
        <stp>600101</stp>
        <stp>2019-12-31</stp>
        <stp>2</stp>
        <tr r="L1988" s="1"/>
      </tp>
      <tp>
        <v>34616579497.599998</v>
        <stp/>
        <stp>EM_HKS_VAL_MV</stp>
        <stp>3</stp>
        <stp>300251</stp>
        <stp>2019-12-31</stp>
        <stp>2</stp>
        <tr r="L501" s="1"/>
      </tp>
      <tp>
        <v>21083217311.52</v>
        <stp/>
        <stp>EM_HKS_VAL_MV</stp>
        <stp>3</stp>
        <stp>600201</stp>
        <stp>2019-12-31</stp>
        <stp>2</stp>
        <tr r="L1517" s="1"/>
      </tp>
      <tp>
        <v>3379884760.1700001</v>
        <stp/>
        <stp>EM_HKS_VAL_MV</stp>
        <stp>3</stp>
        <stp>300351</stp>
        <stp>2019-12-31</stp>
        <stp>2</stp>
        <tr r="L1871" s="1"/>
      </tp>
      <tp>
        <v>1617819203.2</v>
        <stp/>
        <stp>EM_HKS_VAL_MV</stp>
        <stp>3</stp>
        <stp>600301</stp>
        <stp>2019-12-31</stp>
        <stp>2</stp>
        <tr r="L1636" s="1"/>
      </tp>
      <tp>
        <v>13271140564.5</v>
        <stp/>
        <stp>EM_HKS_VAL_MV</stp>
        <stp>3</stp>
        <stp>300451</stp>
        <stp>2019-12-31</stp>
        <stp>2</stp>
        <tr r="L2693" s="1"/>
      </tp>
      <tp>
        <v>708740272.79999995</v>
        <stp/>
        <stp>EM_HKS_VAL_MV</stp>
        <stp>3</stp>
        <stp>600401</stp>
        <stp>2019-12-31</stp>
        <stp>2</stp>
        <tr r="L3407" s="1"/>
      </tp>
      <tp>
        <v>4414253943.3000002</v>
        <stp/>
        <stp>EM_HKS_VAL_MV</stp>
        <stp>3</stp>
        <stp>000561</stp>
        <stp>2019-12-31</stp>
        <stp>2</stp>
        <tr r="L926" s="1"/>
      </tp>
      <tp>
        <v>3161804800</v>
        <stp/>
        <stp>EM_HKS_VAL_MV</stp>
        <stp>3</stp>
        <stp>300551</stp>
        <stp>2019-12-31</stp>
        <stp>2</stp>
        <tr r="L113" s="1"/>
      </tp>
      <tp>
        <v>3290224916</v>
        <stp/>
        <stp>EM_HKS_VAL_MV</stp>
        <stp>3</stp>
        <stp>600501</stp>
        <stp>2019-12-31</stp>
        <stp>2</stp>
        <tr r="L972" s="1"/>
      </tp>
      <tp>
        <v>90454984815</v>
        <stp/>
        <stp>EM_HKS_VAL_MV</stp>
        <stp>3</stp>
        <stp>000661</stp>
        <stp>2019-12-31</stp>
        <stp>2</stp>
        <tr r="L85" s="1"/>
      </tp>
      <tp>
        <v>3525086836.4000001</v>
        <stp/>
        <stp>EM_HKS_VAL_MV</stp>
        <stp>3</stp>
        <stp>300651</stp>
        <stp>2019-12-31</stp>
        <stp>2</stp>
        <tr r="L3284" s="1"/>
      </tp>
      <tp>
        <v>8033301806.6400003</v>
        <stp/>
        <stp>EM_HKS_VAL_MV</stp>
        <stp>3</stp>
        <stp>600601</stp>
        <stp>2019-12-31</stp>
        <stp>2</stp>
        <tr r="L651" s="1"/>
      </tp>
      <tp>
        <v>15268963836.08</v>
        <stp/>
        <stp>EM_HKS_VAL_MV</stp>
        <stp>3</stp>
        <stp>000761</stp>
        <stp>2019-12-31</stp>
        <stp>2</stp>
        <tr r="L1372" s="1"/>
      </tp>
      <tp>
        <v>1862523392.4000001</v>
        <stp/>
        <stp>EM_HKS_VAL_MV</stp>
        <stp>3</stp>
        <stp>600701</stp>
        <stp>2019-12-31</stp>
        <stp>2</stp>
        <tr r="L3066" s="1"/>
      </tp>
      <tp>
        <v>5523625478.9300003</v>
        <stp/>
        <stp>EM_HKS_VAL_MV</stp>
        <stp>3</stp>
        <stp>000861</stp>
        <stp>2019-12-31</stp>
        <stp>2</stp>
        <tr r="L3556" s="1"/>
      </tp>
      <tp>
        <v>55413134167.650002</v>
        <stp/>
        <stp>EM_HKS_VAL_MV</stp>
        <stp>3</stp>
        <stp>600801</stp>
        <stp>2019-12-31</stp>
        <stp>2</stp>
        <tr r="L585" s="1"/>
      </tp>
      <tp>
        <v>39326580889.449997</v>
        <stp/>
        <stp>EM_HKS_VAL_MV</stp>
        <stp>3</stp>
        <stp>000961</stp>
        <stp>2019-12-31</stp>
        <stp>2</stp>
        <tr r="L207" s="1"/>
      </tp>
      <tp>
        <v>18875627797.759998</v>
        <stp/>
        <stp>EM_HKS_VAL_MV</stp>
        <stp>3</stp>
        <stp>600901</stp>
        <stp>2019-12-31</stp>
        <stp>2</stp>
        <tr r="L1864" s="1"/>
      </tp>
      <tp>
        <v>7364280000</v>
        <stp/>
        <stp>EM_HKS_VAL_MV</stp>
        <stp>3</stp>
        <stp>601001</stp>
        <stp>2019-12-31</stp>
        <stp>2</stp>
        <tr r="L2169" s="1"/>
      </tp>
      <tp>
        <v>5867991550.0799999</v>
        <stp/>
        <stp>EM_HKS_VAL_MV</stp>
        <stp>3</stp>
        <stp>601101</stp>
        <stp>2019-12-31</stp>
        <stp>2</stp>
        <tr r="L3038" s="1"/>
      </tp>
      <tp>
        <v>342906080000</v>
        <stp/>
        <stp>EM_HKS_VAL_MV</stp>
        <stp>3</stp>
        <stp>601601</stp>
        <stp>2019-12-31</stp>
        <stp>2</stp>
        <tr r="L836" s="1"/>
      </tp>
      <tp>
        <v>10900841958.76</v>
        <stp/>
        <stp>EM_HKS_VAL_MV</stp>
        <stp>3</stp>
        <stp>601801</stp>
        <stp>2019-12-31</stp>
        <stp>2</stp>
        <tr r="L3010" s="1"/>
      </tp>
      <tp>
        <v>71372319094.649994</v>
        <stp/>
        <stp>EM_HKS_VAL_MV</stp>
        <stp>3</stp>
        <stp>601901</stp>
        <stp>2019-12-31</stp>
        <stp>2</stp>
        <tr r="L408" s="1"/>
      </tp>
      <tp>
        <v>1813350000</v>
        <stp/>
        <stp>EM_HKS_VAL_MV</stp>
        <stp>3</stp>
        <stp>002066</stp>
        <stp>2019-12-31</stp>
        <stp>2</stp>
        <tr r="L1696" s="1"/>
      </tp>
      <tp>
        <v>4578239394</v>
        <stp/>
        <stp>EM_HKS_VAL_MV</stp>
        <stp>3</stp>
        <stp>002166</stp>
        <stp>2019-12-31</stp>
        <stp>2</stp>
        <tr r="L1282" s="1"/>
      </tp>
      <tp>
        <v>8152325777.8800001</v>
        <stp/>
        <stp>EM_HKS_VAL_MV</stp>
        <stp>3</stp>
        <stp>002266</stp>
        <stp>2019-12-31</stp>
        <stp>2</stp>
        <tr r="L2187" s="1"/>
      </tp>
      <tp>
        <v>6034719156</v>
        <stp/>
        <stp>EM_HKS_VAL_MV</stp>
        <stp>3</stp>
        <stp>002366</stp>
        <stp>2019-12-31</stp>
        <stp>2</stp>
        <tr r="L3168" s="1"/>
      </tp>
      <tp>
        <v>44578859378.940002</v>
        <stp/>
        <stp>EM_HKS_VAL_MV</stp>
        <stp>3</stp>
        <stp>002466</stp>
        <stp>2019-12-31</stp>
        <stp>2</stp>
        <tr r="L2482" s="1"/>
      </tp>
      <tp>
        <v>2207447172</v>
        <stp/>
        <stp>EM_HKS_VAL_MV</stp>
        <stp>3</stp>
        <stp>002566</stp>
        <stp>2019-12-31</stp>
        <stp>2</stp>
        <tr r="L1514" s="1"/>
      </tp>
      <tp>
        <v>3567977437.6399999</v>
        <stp/>
        <stp>EM_HKS_VAL_MV</stp>
        <stp>3</stp>
        <stp>002666</stp>
        <stp>2019-12-31</stp>
        <stp>2</stp>
        <tr r="L1190" s="1"/>
      </tp>
      <tp>
        <v>1324307603.96</v>
        <stp/>
        <stp>EM_HKS_VAL_MV</stp>
        <stp>3</stp>
        <stp>002766</stp>
        <stp>2019-12-31</stp>
        <stp>2</stp>
        <tr r="L3305" s="1"/>
      </tp>
      <tp>
        <v>3491155245.0999999</v>
        <stp/>
        <stp>EM_HKS_VAL_MV</stp>
        <stp>3</stp>
        <stp>002866</stp>
        <stp>2019-12-31</stp>
        <stp>2</stp>
        <tr r="L796" s="1"/>
      </tp>
      <tp>
        <v>2101860046</v>
        <stp/>
        <stp>EM_HKS_VAL_MV</stp>
        <stp>3</stp>
        <stp>603006</stp>
        <stp>2019-12-31</stp>
        <stp>2</stp>
        <tr r="L1371" s="1"/>
      </tp>
      <tp>
        <v>3527524000</v>
        <stp/>
        <stp>EM_HKS_VAL_MV</stp>
        <stp>3</stp>
        <stp>603106</stp>
        <stp>2019-12-31</stp>
        <stp>2</stp>
        <tr r="L2923" s="1"/>
      </tp>
      <tp>
        <v>4295248183.9799995</v>
        <stp/>
        <stp>EM_HKS_VAL_MV</stp>
        <stp>3</stp>
        <stp>603306</stp>
        <stp>2019-12-31</stp>
        <stp>2</stp>
        <tr r="L2468" s="1"/>
      </tp>
      <tp>
        <v>2851539701.0999999</v>
        <stp/>
        <stp>EM_HKS_VAL_MV</stp>
        <stp>3</stp>
        <stp>603506</stp>
        <stp>2019-12-31</stp>
        <stp>2</stp>
        <tr r="L2595" s="1"/>
      </tp>
      <tp>
        <v>7182067640.5799999</v>
        <stp/>
        <stp>EM_HKS_VAL_MV</stp>
        <stp>3</stp>
        <stp>603606</stp>
        <stp>2019-12-31</stp>
        <stp>2</stp>
        <tr r="L1264" s="1"/>
      </tp>
      <tp>
        <v>3201600000</v>
        <stp/>
        <stp>EM_HKS_VAL_MV</stp>
        <stp>3</stp>
        <stp>603706</stp>
        <stp>2019-12-31</stp>
        <stp>2</stp>
        <tr r="L3177" s="1"/>
      </tp>
      <tp>
        <v>25398360000</v>
        <stp/>
        <stp>EM_HKS_VAL_MV</stp>
        <stp>3</stp>
        <stp>603806</stp>
        <stp>2019-12-31</stp>
        <stp>2</stp>
        <tr r="L249" s="1"/>
      </tp>
      <tp>
        <v>3189542284.8000002</v>
        <stp/>
        <stp>EM_HKS_VAL_MV</stp>
        <stp>3</stp>
        <stp>603906</stp>
        <stp>2019-12-31</stp>
        <stp>2</stp>
        <tr r="L1119" s="1"/>
      </tp>
      <tp>
        <v>45562512744.68</v>
        <stp/>
        <stp>EM_HKS_VAL_MV</stp>
        <stp>3</stp>
        <stp>000066</stp>
        <stp>2019-12-31</stp>
        <stp>2</stp>
        <tr r="L34" s="1"/>
      </tp>
      <tp>
        <v>2563511445.9499998</v>
        <stp/>
        <stp>EM_HKS_VAL_MV</stp>
        <stp>3</stp>
        <stp>300056</stp>
        <stp>2019-12-31</stp>
        <stp>2</stp>
        <tr r="L1201" s="1"/>
      </tp>
      <tp>
        <v>9160000000</v>
        <stp/>
        <stp>EM_HKS_VAL_MV</stp>
        <stp>3</stp>
        <stp>600006</stp>
        <stp>2019-12-31</stp>
        <stp>2</stp>
        <tr r="L1054" s="1"/>
      </tp>
      <tp>
        <v>128204516147.2</v>
        <stp/>
        <stp>EM_HKS_VAL_MV</stp>
        <stp>3</stp>
        <stp>000166</stp>
        <stp>2019-12-31</stp>
        <stp>2</stp>
        <tr r="L3413" s="1"/>
      </tp>
      <tp>
        <v>1696841017.2</v>
        <stp/>
        <stp>EM_HKS_VAL_MV</stp>
        <stp>3</stp>
        <stp>300156</stp>
        <stp>2019-12-31</stp>
        <stp>2</stp>
        <tr r="L3381" s="1"/>
      </tp>
      <tp>
        <v>3757516312.2199998</v>
        <stp/>
        <stp>EM_HKS_VAL_MV</stp>
        <stp>3</stp>
        <stp>600106</stp>
        <stp>2019-12-31</stp>
        <stp>2</stp>
        <tr r="L2193" s="1"/>
      </tp>
      <tp>
        <v>5785935831.8400002</v>
        <stp/>
        <stp>EM_HKS_VAL_MV</stp>
        <stp>3</stp>
        <stp>300256</stp>
        <stp>2019-12-31</stp>
        <stp>2</stp>
        <tr r="L154" s="1"/>
      </tp>
      <tp>
        <v>10329512250.4</v>
        <stp/>
        <stp>EM_HKS_VAL_MV</stp>
        <stp>3</stp>
        <stp>600206</stp>
        <stp>2019-12-31</stp>
        <stp>2</stp>
        <tr r="L232" s="1"/>
      </tp>
      <tp>
        <v>3297169327.4000001</v>
        <stp/>
        <stp>EM_HKS_VAL_MV</stp>
        <stp>3</stp>
        <stp>300356</stp>
        <stp>2019-12-31</stp>
        <stp>2</stp>
        <tr r="L792" s="1"/>
      </tp>
      <tp>
        <v>1013610443.42</v>
        <stp/>
        <stp>EM_HKS_VAL_MV</stp>
        <stp>3</stp>
        <stp>600306</stp>
        <stp>2019-12-31</stp>
        <stp>2</stp>
        <tr r="L2801" s="1"/>
      </tp>
      <tp>
        <v>15803543039.6</v>
        <stp/>
        <stp>EM_HKS_VAL_MV</stp>
        <stp>3</stp>
        <stp>300456</stp>
        <stp>2019-12-31</stp>
        <stp>2</stp>
        <tr r="L1723" s="1"/>
      </tp>
      <tp>
        <v>97896398347.5</v>
        <stp/>
        <stp>EM_HKS_VAL_MV</stp>
        <stp>3</stp>
        <stp>600406</stp>
        <stp>2019-12-31</stp>
        <stp>2</stp>
        <tr r="L1471" s="1"/>
      </tp>
      <tp>
        <v>7989155998.7200003</v>
        <stp/>
        <stp>EM_HKS_VAL_MV</stp>
        <stp>3</stp>
        <stp>000566</stp>
        <stp>2019-12-31</stp>
        <stp>2</stp>
        <tr r="L1499" s="1"/>
      </tp>
      <tp>
        <v>1929208050</v>
        <stp/>
        <stp>EM_HKS_VAL_MV</stp>
        <stp>3</stp>
        <stp>300556</stp>
        <stp>2019-12-31</stp>
        <stp>2</stp>
        <tr r="L2073" s="1"/>
      </tp>
      <tp>
        <v>1506610104.5999999</v>
        <stp/>
        <stp>EM_HKS_VAL_MV</stp>
        <stp>3</stp>
        <stp>600506</stp>
        <stp>2019-12-31</stp>
        <stp>2</stp>
        <tr r="L2132" s="1"/>
      </tp>
      <tp>
        <v>7921462500</v>
        <stp/>
        <stp>EM_HKS_VAL_MV</stp>
        <stp>3</stp>
        <stp>000666</stp>
        <stp>2019-12-31</stp>
        <stp>2</stp>
        <tr r="L1969" s="1"/>
      </tp>
      <tp>
        <v>2051280000</v>
        <stp/>
        <stp>EM_HKS_VAL_MV</stp>
        <stp>3</stp>
        <stp>300656</stp>
        <stp>2019-12-31</stp>
        <stp>2</stp>
        <tr r="L2217" s="1"/>
      </tp>
      <tp>
        <v>84568672975.75</v>
        <stp/>
        <stp>EM_HKS_VAL_MV</stp>
        <stp>3</stp>
        <stp>600606</stp>
        <stp>2019-12-31</stp>
        <stp>2</stp>
        <tr r="L1591" s="1"/>
      </tp>
      <tp>
        <v>6320875383.7799997</v>
        <stp/>
        <stp>EM_HKS_VAL_MV</stp>
        <stp>3</stp>
        <stp>000766</stp>
        <stp>2019-12-31</stp>
        <stp>2</stp>
        <tr r="L2592" s="1"/>
      </tp>
      <tp>
        <v>1902084516.3</v>
        <stp/>
        <stp>EM_HKS_VAL_MV</stp>
        <stp>3</stp>
        <stp>600706</stp>
        <stp>2019-12-31</stp>
        <stp>2</stp>
        <tr r="L2912" s="1"/>
      </tp>
      <tp>
        <v>32247200000</v>
        <stp/>
        <stp>EM_HKS_VAL_MV</stp>
        <stp>3</stp>
        <stp>000866</stp>
        <stp>2019-12-31</stp>
        <stp>2</stp>
        <tr r="L3558" s="1"/>
      </tp>
      <tp>
        <v>780689221.40999997</v>
        <stp/>
        <stp>EM_HKS_VAL_MV</stp>
        <stp>3</stp>
        <stp>600806</stp>
        <stp>2019-12-31</stp>
        <stp>2</stp>
        <tr r="L2326" s="1"/>
      </tp>
      <tp>
        <v>5153520972</v>
        <stp/>
        <stp>EM_HKS_VAL_MV</stp>
        <stp>3</stp>
        <stp>000966</stp>
        <stp>2019-12-31</stp>
        <stp>2</stp>
        <tr r="L869" s="1"/>
      </tp>
      <tp>
        <v>122056358141.11</v>
        <stp/>
        <stp>EM_HKS_VAL_MV</stp>
        <stp>3</stp>
        <stp>601006</stp>
        <stp>2019-12-31</stp>
        <stp>2</stp>
        <tr r="L2343" s="1"/>
      </tp>
      <tp>
        <v>19956148317.57</v>
        <stp/>
        <stp>EM_HKS_VAL_MV</stp>
        <stp>3</stp>
        <stp>601106</stp>
        <stp>2019-12-31</stp>
        <stp>2</stp>
        <tr r="L1844" s="1"/>
      </tp>
      <tp>
        <v>0</v>
        <stp/>
        <stp>EM_HKS_VAL_MV</stp>
        <stp>3</stp>
        <stp>601206</stp>
        <stp>2019-12-31</stp>
        <stp>2</stp>
        <tr r="L13" s="1"/>
      </tp>
      <tp>
        <v>3711411340</v>
        <stp/>
        <stp>EM_HKS_VAL_MV</stp>
        <stp>3</stp>
        <stp>002067</stp>
        <stp>2019-12-31</stp>
        <stp>2</stp>
        <tr r="L2531" s="1"/>
      </tp>
      <tp>
        <v>4346622000</v>
        <stp/>
        <stp>EM_HKS_VAL_MV</stp>
        <stp>3</stp>
        <stp>002167</stp>
        <stp>2019-12-31</stp>
        <stp>2</stp>
        <tr r="L860" s="1"/>
      </tp>
      <tp>
        <v>7973580940.6499996</v>
        <stp/>
        <stp>EM_HKS_VAL_MV</stp>
        <stp>3</stp>
        <stp>002267</stp>
        <stp>2019-12-31</stp>
        <stp>2</stp>
        <tr r="L2497" s="1"/>
      </tp>
      <tp>
        <v>6341338861.6499996</v>
        <stp/>
        <stp>EM_HKS_VAL_MV</stp>
        <stp>3</stp>
        <stp>002367</stp>
        <stp>2019-12-31</stp>
        <stp>2</stp>
        <tr r="L773" s="1"/>
      </tp>
      <tp>
        <v>7296470909.4200001</v>
        <stp/>
        <stp>EM_HKS_VAL_MV</stp>
        <stp>3</stp>
        <stp>002467</stp>
        <stp>2019-12-31</stp>
        <stp>2</stp>
        <tr r="L1888" s="1"/>
      </tp>
      <tp>
        <v>7495674359.04</v>
        <stp/>
        <stp>EM_HKS_VAL_MV</stp>
        <stp>3</stp>
        <stp>002567</stp>
        <stp>2019-12-31</stp>
        <stp>2</stp>
        <tr r="L485" s="1"/>
      </tp>
      <tp>
        <v>1620235320</v>
        <stp/>
        <stp>EM_HKS_VAL_MV</stp>
        <stp>3</stp>
        <stp>002667</stp>
        <stp>2019-12-31</stp>
        <stp>2</stp>
        <tr r="L1882" s="1"/>
      </tp>
      <tp>
        <v>2227500000</v>
        <stp/>
        <stp>EM_HKS_VAL_MV</stp>
        <stp>3</stp>
        <stp>002767</stp>
        <stp>2019-12-31</stp>
        <stp>2</stp>
        <tr r="L1895" s="1"/>
      </tp>
      <tp>
        <v>13916434779.52</v>
        <stp/>
        <stp>EM_HKS_VAL_MV</stp>
        <stp>3</stp>
        <stp>002867</stp>
        <stp>2019-12-31</stp>
        <stp>2</stp>
        <tr r="L3224" s="1"/>
      </tp>
      <tp>
        <v>2315834406</v>
        <stp/>
        <stp>EM_HKS_VAL_MV</stp>
        <stp>3</stp>
        <stp>603007</stp>
        <stp>2019-12-31</stp>
        <stp>2</stp>
        <tr r="L2914" s="1"/>
      </tp>
      <tp>
        <v>2879045072</v>
        <stp/>
        <stp>EM_HKS_VAL_MV</stp>
        <stp>3</stp>
        <stp>603507</stp>
        <stp>2019-12-31</stp>
        <stp>2</stp>
        <tr r="L2178" s="1"/>
      </tp>
      <tp>
        <v>2806539120</v>
        <stp/>
        <stp>EM_HKS_VAL_MV</stp>
        <stp>3</stp>
        <stp>603607</stp>
        <stp>2019-12-31</stp>
        <stp>2</stp>
        <tr r="L1256" s="1"/>
      </tp>
      <tp>
        <v>29802313507.720001</v>
        <stp/>
        <stp>EM_HKS_VAL_MV</stp>
        <stp>3</stp>
        <stp>603707</stp>
        <stp>2019-12-31</stp>
        <stp>2</stp>
        <tr r="L131" s="1"/>
      </tp>
      <tp>
        <v>4069487417.8000002</v>
        <stp/>
        <stp>EM_HKS_VAL_MV</stp>
        <stp>3</stp>
        <stp>300057</stp>
        <stp>2019-12-31</stp>
        <stp>2</stp>
        <tr r="L2435" s="1"/>
      </tp>
      <tp>
        <v>17627444345</v>
        <stp/>
        <stp>EM_HKS_VAL_MV</stp>
        <stp>3</stp>
        <stp>600007</stp>
        <stp>2019-12-31</stp>
        <stp>2</stp>
        <tr r="L722" s="1"/>
      </tp>
      <tp>
        <v>2898300955.9899998</v>
        <stp/>
        <stp>EM_HKS_VAL_MV</stp>
        <stp>3</stp>
        <stp>300157</stp>
        <stp>2019-12-31</stp>
        <stp>2</stp>
        <tr r="L2441" s="1"/>
      </tp>
      <tp>
        <v>2451600000</v>
        <stp/>
        <stp>EM_HKS_VAL_MV</stp>
        <stp>3</stp>
        <stp>600107</stp>
        <stp>2019-12-31</stp>
        <stp>2</stp>
        <tr r="L1238" s="1"/>
      </tp>
      <tp>
        <v>9335040000</v>
        <stp/>
        <stp>EM_HKS_VAL_MV</stp>
        <stp>3</stp>
        <stp>300257</stp>
        <stp>2019-12-31</stp>
        <stp>2</stp>
        <tr r="L1743" s="1"/>
      </tp>
      <tp>
        <v>4030004398.5799999</v>
        <stp/>
        <stp>EM_HKS_VAL_MV</stp>
        <stp>3</stp>
        <stp>600207</stp>
        <stp>2019-12-31</stp>
        <stp>2</stp>
        <tr r="L1807" s="1"/>
      </tp>
      <tp>
        <v>23116233600</v>
        <stp/>
        <stp>EM_HKS_VAL_MV</stp>
        <stp>3</stp>
        <stp>300357</stp>
        <stp>2019-12-31</stp>
        <stp>2</stp>
        <tr r="L1410" s="1"/>
      </tp>
      <tp>
        <v>12902516293.440001</v>
        <stp/>
        <stp>EM_HKS_VAL_MV</stp>
        <stp>3</stp>
        <stp>600307</stp>
        <stp>2019-12-31</stp>
        <stp>2</stp>
        <tr r="L1905" s="1"/>
      </tp>
      <tp>
        <v>12765317806.5</v>
        <stp/>
        <stp>EM_HKS_VAL_MV</stp>
        <stp>3</stp>
        <stp>300457</stp>
        <stp>2019-12-31</stp>
        <stp>2</stp>
        <tr r="L1422" s="1"/>
      </tp>
      <tp>
        <v>5776661723.2600002</v>
        <stp/>
        <stp>EM_HKS_VAL_MV</stp>
        <stp>3</stp>
        <stp>000567</stp>
        <stp>2019-12-31</stp>
        <stp>2</stp>
        <tr r="L3459" s="1"/>
      </tp>
      <tp>
        <v>1561502547</v>
        <stp/>
        <stp>EM_HKS_VAL_MV</stp>
        <stp>3</stp>
        <stp>300557</stp>
        <stp>2019-12-31</stp>
        <stp>2</stp>
        <tr r="L1012" s="1"/>
      </tp>
      <tp>
        <v>14564570384.959999</v>
        <stp/>
        <stp>EM_HKS_VAL_MV</stp>
        <stp>3</stp>
        <stp>600507</stp>
        <stp>2019-12-31</stp>
        <stp>2</stp>
        <tr r="L2209" s="1"/>
      </tp>
      <tp>
        <v>6734878968.0900002</v>
        <stp/>
        <stp>EM_HKS_VAL_MV</stp>
        <stp>3</stp>
        <stp>000667</stp>
        <stp>2019-12-31</stp>
        <stp>2</stp>
        <tr r="L3499" s="1"/>
      </tp>
      <tp>
        <v>7360811231.1199999</v>
        <stp/>
        <stp>EM_HKS_VAL_MV</stp>
        <stp>3</stp>
        <stp>300657</stp>
        <stp>2019-12-31</stp>
        <stp>2</stp>
        <tr r="L1186" s="1"/>
      </tp>
      <tp>
        <v>8651004589.9200001</v>
        <stp/>
        <stp>EM_HKS_VAL_MV</stp>
        <stp>3</stp>
        <stp>600607</stp>
        <stp>2019-12-31</stp>
        <stp>2</stp>
        <tr r="L2306" s="1"/>
      </tp>
      <tp>
        <v>7476969592.1700001</v>
        <stp/>
        <stp>EM_HKS_VAL_MV</stp>
        <stp>3</stp>
        <stp>000767</stp>
        <stp>2019-12-31</stp>
        <stp>2</stp>
        <tr r="L2442" s="1"/>
      </tp>
      <tp>
        <v>15071236874.4</v>
        <stp/>
        <stp>EM_HKS_VAL_MV</stp>
        <stp>3</stp>
        <stp>600707</stp>
        <stp>2019-12-31</stp>
        <stp>2</stp>
        <tr r="L2050" s="1"/>
      </tp>
      <tp>
        <v>3193531378.9099998</v>
        <stp/>
        <stp>EM_HKS_VAL_MV</stp>
        <stp>3</stp>
        <stp>600807</stp>
        <stp>2019-12-31</stp>
        <stp>2</stp>
        <tr r="L2570" s="1"/>
      </tp>
      <tp>
        <v>19516093440.82</v>
        <stp/>
        <stp>EM_HKS_VAL_MV</stp>
        <stp>3</stp>
        <stp>000967</stp>
        <stp>2019-12-31</stp>
        <stp>2</stp>
        <tr r="L1753" s="1"/>
      </tp>
      <tp>
        <v>2781000000</v>
        <stp/>
        <stp>EM_HKS_VAL_MV</stp>
        <stp>3</stp>
        <stp>601007</stp>
        <stp>2019-12-31</stp>
        <stp>2</stp>
        <tr r="L1482" s="1"/>
      </tp>
      <tp>
        <v>12874432600</v>
        <stp/>
        <stp>EM_HKS_VAL_MV</stp>
        <stp>3</stp>
        <stp>601107</stp>
        <stp>2019-12-31</stp>
        <stp>2</stp>
        <tr r="L1498" s="1"/>
      </tp>
      <tp>
        <v>52209180845.139999</v>
        <stp/>
        <stp>EM_HKS_VAL_MV</stp>
        <stp>3</stp>
        <stp>601607</stp>
        <stp>2019-12-31</stp>
        <stp>2</stp>
        <tr r="L1979" s="1"/>
      </tp>
      <tp>
        <v>26863495131.25</v>
        <stp/>
        <stp>EM_HKS_VAL_MV</stp>
        <stp>3</stp>
        <stp>002064</stp>
        <stp>2019-12-31</stp>
        <stp>2</stp>
        <tr r="L557" s="1"/>
      </tp>
      <tp>
        <v>2650526198.7800002</v>
        <stp/>
        <stp>EM_HKS_VAL_MV</stp>
        <stp>3</stp>
        <stp>002164</stp>
        <stp>2019-12-31</stp>
        <stp>2</stp>
        <tr r="L733" s="1"/>
      </tp>
      <tp>
        <v>3292752262.8000002</v>
        <stp/>
        <stp>EM_HKS_VAL_MV</stp>
        <stp>3</stp>
        <stp>002264</stp>
        <stp>2019-12-31</stp>
        <stp>2</stp>
        <tr r="L2960" s="1"/>
      </tp>
      <tp>
        <v>6520446587.1999998</v>
        <stp/>
        <stp>EM_HKS_VAL_MV</stp>
        <stp>3</stp>
        <stp>002364</stp>
        <stp>2019-12-31</stp>
        <stp>2</stp>
        <tr r="L2413" s="1"/>
      </tp>
      <tp>
        <v>3329048195.4400001</v>
        <stp/>
        <stp>EM_HKS_VAL_MV</stp>
        <stp>3</stp>
        <stp>002464</stp>
        <stp>2019-12-31</stp>
        <stp>2</stp>
        <tr r="L3165" s="1"/>
      </tp>
      <tp>
        <v>3973045038.7399998</v>
        <stp/>
        <stp>EM_HKS_VAL_MV</stp>
        <stp>3</stp>
        <stp>002564</stp>
        <stp>2019-12-31</stp>
        <stp>2</stp>
        <tr r="L2712" s="1"/>
      </tp>
      <tp>
        <v>6536326800</v>
        <stp/>
        <stp>EM_HKS_VAL_MV</stp>
        <stp>3</stp>
        <stp>002664</stp>
        <stp>2019-12-31</stp>
        <stp>2</stp>
        <tr r="L985" s="1"/>
      </tp>
      <tp>
        <v>2381691600</v>
        <stp/>
        <stp>EM_HKS_VAL_MV</stp>
        <stp>3</stp>
        <stp>002864</stp>
        <stp>2019-12-31</stp>
        <stp>2</stp>
        <tr r="L2995" s="1"/>
      </tp>
      <tp>
        <v>9716535684.8999996</v>
        <stp/>
        <stp>EM_HKS_VAL_MV</stp>
        <stp>3</stp>
        <stp>300054</stp>
        <stp>2019-12-31</stp>
        <stp>2</stp>
        <tr r="L635" s="1"/>
      </tp>
      <tp>
        <v>36109642969.300003</v>
        <stp/>
        <stp>EM_HKS_VAL_MV</stp>
        <stp>3</stp>
        <stp>600004</stp>
        <stp>2019-12-31</stp>
        <stp>2</stp>
        <tr r="L266" s="1"/>
      </tp>
      <tp>
        <v>2579658200</v>
        <stp/>
        <stp>EM_HKS_VAL_MV</stp>
        <stp>3</stp>
        <stp>300154</stp>
        <stp>2019-12-31</stp>
        <stp>2</stp>
        <tr r="L1433" s="1"/>
      </tp>
      <tp>
        <v>278650553555.25</v>
        <stp/>
        <stp>EM_HKS_VAL_MV</stp>
        <stp>3</stp>
        <stp>600104</stp>
        <stp>2019-12-31</stp>
        <stp>2</stp>
        <tr r="L2780" s="1"/>
      </tp>
      <tp>
        <v>1689377880</v>
        <stp/>
        <stp>EM_HKS_VAL_MV</stp>
        <stp>3</stp>
        <stp>300254</stp>
        <stp>2019-12-31</stp>
        <stp>2</stp>
        <tr r="L1140" s="1"/>
      </tp>
      <tp>
        <v>1708254482.3499999</v>
        <stp/>
        <stp>EM_HKS_VAL_MV</stp>
        <stp>3</stp>
        <stp>300354</stp>
        <stp>2019-12-31</stp>
        <stp>2</stp>
        <tr r="L542" s="1"/>
      </tp>
      <tp>
        <v>46779052684.5</v>
        <stp/>
        <stp>EM_HKS_VAL_MV</stp>
        <stp>3</stp>
        <stp>300454</stp>
        <stp>2019-12-31</stp>
        <stp>2</stp>
        <tr r="L1028" s="1"/>
      </tp>
      <tp>
        <v>14358709472.09</v>
        <stp/>
        <stp>EM_HKS_VAL_MV</stp>
        <stp>3</stp>
        <stp>000564</stp>
        <stp>2019-12-31</stp>
        <stp>2</stp>
        <tr r="L3457" s="1"/>
      </tp>
      <tp>
        <v>1542528000</v>
        <stp/>
        <stp>EM_HKS_VAL_MV</stp>
        <stp>3</stp>
        <stp>300554</stp>
        <stp>2019-12-31</stp>
        <stp>2</stp>
        <tr r="L2839" s="1"/>
      </tp>
      <tp>
        <v>1561278750</v>
        <stp/>
        <stp>EM_HKS_VAL_MV</stp>
        <stp>3</stp>
        <stp>300654</stp>
        <stp>2019-12-31</stp>
        <stp>2</stp>
        <tr r="L3061" s="1"/>
      </tp>
      <tp>
        <v>16597480563.440001</v>
        <stp/>
        <stp>EM_HKS_VAL_MV</stp>
        <stp>3</stp>
        <stp>600604</stp>
        <stp>2019-12-31</stp>
        <stp>2</stp>
        <tr r="L1429" s="1"/>
      </tp>
      <tp>
        <v>26576455710</v>
        <stp/>
        <stp>EM_HKS_VAL_MV</stp>
        <stp>3</stp>
        <stp>600704</stp>
        <stp>2019-12-31</stp>
        <stp>2</stp>
        <tr r="L1522" s="1"/>
      </tp>
      <tp>
        <v>8766253109.8799992</v>
        <stp/>
        <stp>EM_HKS_VAL_MV</stp>
        <stp>3</stp>
        <stp>600804</stp>
        <stp>2019-12-31</stp>
        <stp>2</stp>
        <tr r="L2849" s="1"/>
      </tp>
      <tp>
        <v>32151778110</v>
        <stp/>
        <stp>EM_HKS_VAL_MV</stp>
        <stp>3</stp>
        <stp>002065</stp>
        <stp>2019-12-31</stp>
        <stp>2</stp>
        <tr r="L619" s="1"/>
      </tp>
      <tp>
        <v>2588849873</v>
        <stp/>
        <stp>EM_HKS_VAL_MV</stp>
        <stp>3</stp>
        <stp>002165</stp>
        <stp>2019-12-31</stp>
        <stp>2</stp>
        <tr r="L1121" s="1"/>
      </tp>
      <tp>
        <v>2793825328.4400001</v>
        <stp/>
        <stp>EM_HKS_VAL_MV</stp>
        <stp>3</stp>
        <stp>002265</stp>
        <stp>2019-12-31</stp>
        <stp>2</stp>
        <tr r="L2427" s="1"/>
      </tp>
      <tp>
        <v>2905569450</v>
        <stp/>
        <stp>EM_HKS_VAL_MV</stp>
        <stp>3</stp>
        <stp>002365</stp>
        <stp>2019-12-31</stp>
        <stp>2</stp>
        <tr r="L2692" s="1"/>
      </tp>
      <tp>
        <v>24966668017.200001</v>
        <stp/>
        <stp>EM_HKS_VAL_MV</stp>
        <stp>3</stp>
        <stp>002465</stp>
        <stp>2019-12-31</stp>
        <stp>2</stp>
        <tr r="L738" s="1"/>
      </tp>
      <tp>
        <v>6785004300.8000002</v>
        <stp/>
        <stp>EM_HKS_VAL_MV</stp>
        <stp>3</stp>
        <stp>002565</stp>
        <stp>2019-12-31</stp>
        <stp>2</stp>
        <tr r="L336" s="1"/>
      </tp>
      <tp>
        <v>8530101676.3199997</v>
        <stp/>
        <stp>EM_HKS_VAL_MV</stp>
        <stp>3</stp>
        <stp>002665</stp>
        <stp>2019-12-31</stp>
        <stp>2</stp>
        <tr r="L1281" s="1"/>
      </tp>
      <tp>
        <v>2470000592.6100001</v>
        <stp/>
        <stp>EM_HKS_VAL_MV</stp>
        <stp>3</stp>
        <stp>002765</stp>
        <stp>2019-12-31</stp>
        <stp>2</stp>
        <tr r="L3005" s="1"/>
      </tp>
      <tp>
        <v>1910200613.4000001</v>
        <stp/>
        <stp>EM_HKS_VAL_MV</stp>
        <stp>3</stp>
        <stp>002865</stp>
        <stp>2019-12-31</stp>
        <stp>2</stp>
        <tr r="L3027" s="1"/>
      </tp>
      <tp>
        <v>9044776937.8999996</v>
        <stp/>
        <stp>EM_HKS_VAL_MV</stp>
        <stp>3</stp>
        <stp>603005</stp>
        <stp>2019-12-31</stp>
        <stp>2</stp>
        <tr r="L98" s="1"/>
      </tp>
      <tp>
        <v>3575000000</v>
        <stp/>
        <stp>EM_HKS_VAL_MV</stp>
        <stp>3</stp>
        <stp>603105</stp>
        <stp>2019-12-31</stp>
        <stp>2</stp>
        <tr r="L3344" s="1"/>
      </tp>
      <tp>
        <v>13600452260.85</v>
        <stp/>
        <stp>EM_HKS_VAL_MV</stp>
        <stp>3</stp>
        <stp>603305</stp>
        <stp>2019-12-31</stp>
        <stp>2</stp>
        <tr r="L1751" s="1"/>
      </tp>
      <tp>
        <v>4989600000</v>
        <stp/>
        <stp>EM_HKS_VAL_MV</stp>
        <stp>3</stp>
        <stp>603505</stp>
        <stp>2019-12-31</stp>
        <stp>2</stp>
        <tr r="L335" s="1"/>
      </tp>
      <tp>
        <v>17721784758</v>
        <stp/>
        <stp>EM_HKS_VAL_MV</stp>
        <stp>3</stp>
        <stp>603605</stp>
        <stp>2019-12-31</stp>
        <stp>2</stp>
        <tr r="L169" s="1"/>
      </tp>
      <tp>
        <v>6656221796.5</v>
        <stp/>
        <stp>EM_HKS_VAL_MV</stp>
        <stp>3</stp>
        <stp>000065</stp>
        <stp>2019-12-31</stp>
        <stp>2</stp>
        <tr r="L1549" s="1"/>
      </tp>
      <tp>
        <v>5770782716.0500002</v>
        <stp/>
        <stp>EM_HKS_VAL_MV</stp>
        <stp>3</stp>
        <stp>300055</stp>
        <stp>2019-12-31</stp>
        <stp>2</stp>
        <tr r="L2859" s="1"/>
      </tp>
      <tp>
        <v>37447923143.330002</v>
        <stp/>
        <stp>EM_HKS_VAL_MV</stp>
        <stp>3</stp>
        <stp>600005</stp>
        <stp>2019-12-31</stp>
        <stp>2</stp>
        <tr r="L2288" s="1"/>
      </tp>
      <tp>
        <v>2923333838.7600002</v>
        <stp/>
        <stp>EM_HKS_VAL_MV</stp>
        <stp>3</stp>
        <stp>300155</stp>
        <stp>2019-12-31</stp>
        <stp>2</stp>
        <tr r="L1092" s="1"/>
      </tp>
      <tp>
        <v>5604513300</v>
        <stp/>
        <stp>EM_HKS_VAL_MV</stp>
        <stp>3</stp>
        <stp>600105</stp>
        <stp>2019-12-31</stp>
        <stp>2</stp>
        <tr r="L1397" s="1"/>
      </tp>
      <tp>
        <v>5086219816.3199997</v>
        <stp/>
        <stp>EM_HKS_VAL_MV</stp>
        <stp>3</stp>
        <stp>300255</stp>
        <stp>2019-12-31</stp>
        <stp>2</stp>
        <tr r="L922" s="1"/>
      </tp>
      <tp>
        <v>17075520000</v>
        <stp/>
        <stp>EM_HKS_VAL_MV</stp>
        <stp>3</stp>
        <stp>600205</stp>
        <stp>2019-12-31</stp>
        <stp>2</stp>
        <tr r="L2295" s="1"/>
      </tp>
      <tp>
        <v>5470465496.21</v>
        <stp/>
        <stp>EM_HKS_VAL_MV</stp>
        <stp>3</stp>
        <stp>300355</stp>
        <stp>2019-12-31</stp>
        <stp>2</stp>
        <tr r="L2877" s="1"/>
      </tp>
      <tp>
        <v>11949280850</v>
        <stp/>
        <stp>EM_HKS_VAL_MV</stp>
        <stp>3</stp>
        <stp>600305</stp>
        <stp>2019-12-31</stp>
        <stp>2</stp>
        <tr r="L676" s="1"/>
      </tp>
      <tp>
        <v>7227923115.5200005</v>
        <stp/>
        <stp>EM_HKS_VAL_MV</stp>
        <stp>3</stp>
        <stp>300455</stp>
        <stp>2019-12-31</stp>
        <stp>2</stp>
        <tr r="L388" s="1"/>
      </tp>
      <tp>
        <v>2648530144.04</v>
        <stp/>
        <stp>EM_HKS_VAL_MV</stp>
        <stp>3</stp>
        <stp>600405</stp>
        <stp>2019-12-31</stp>
        <stp>2</stp>
        <tr r="L1472" s="1"/>
      </tp>
      <tp>
        <v>2337062065.8000002</v>
        <stp/>
        <stp>EM_HKS_VAL_MV</stp>
        <stp>3</stp>
        <stp>000565</stp>
        <stp>2019-12-31</stp>
        <stp>2</stp>
        <tr r="L3458" s="1"/>
      </tp>
      <tp>
        <v>1872000000</v>
        <stp/>
        <stp>EM_HKS_VAL_MV</stp>
        <stp>3</stp>
        <stp>300555</stp>
        <stp>2019-12-31</stp>
        <stp>2</stp>
        <tr r="L1438" s="1"/>
      </tp>
      <tp>
        <v>3477973950</v>
        <stp/>
        <stp>EM_HKS_VAL_MV</stp>
        <stp>3</stp>
        <stp>600505</stp>
        <stp>2019-12-31</stp>
        <stp>2</stp>
        <tr r="L146" s="1"/>
      </tp>
      <tp>
        <v>5155137468.9499998</v>
        <stp/>
        <stp>EM_HKS_VAL_MV</stp>
        <stp>3</stp>
        <stp>000665</stp>
        <stp>2019-12-31</stp>
        <stp>2</stp>
        <tr r="L3156" s="1"/>
      </tp>
      <tp>
        <v>4874402521.5299997</v>
        <stp/>
        <stp>EM_HKS_VAL_MV</stp>
        <stp>3</stp>
        <stp>300655</stp>
        <stp>2019-12-31</stp>
        <stp>2</stp>
        <tr r="L94" s="1"/>
      </tp>
      <tp>
        <v>1639945308.96</v>
        <stp/>
        <stp>EM_HKS_VAL_MV</stp>
        <stp>3</stp>
        <stp>600605</stp>
        <stp>2019-12-31</stp>
        <stp>2</stp>
        <tr r="L1488" s="1"/>
      </tp>
      <tp>
        <v>1652000000</v>
        <stp/>
        <stp>EM_HKS_VAL_MV</stp>
        <stp>3</stp>
        <stp>000765</stp>
        <stp>2019-12-31</stp>
        <stp>2</stp>
        <tr r="L3533" s="1"/>
      </tp>
      <tp>
        <v>43535179965.099998</v>
        <stp/>
        <stp>EM_HKS_VAL_MV</stp>
        <stp>3</stp>
        <stp>600705</stp>
        <stp>2019-12-31</stp>
        <stp>2</stp>
        <tr r="L1501" s="1"/>
      </tp>
      <tp>
        <v>4314035084.5799999</v>
        <stp/>
        <stp>EM_HKS_VAL_MV</stp>
        <stp>3</stp>
        <stp>600805</stp>
        <stp>2019-12-31</stp>
        <stp>2</stp>
        <tr r="L1762" s="1"/>
      </tp>
      <tp>
        <v>3529262246.0999999</v>
        <stp/>
        <stp>EM_HKS_VAL_MV</stp>
        <stp>3</stp>
        <stp>000965</stp>
        <stp>2019-12-31</stp>
        <stp>2</stp>
        <tr r="L3017" s="1"/>
      </tp>
      <tp>
        <v>16499414193.950001</v>
        <stp/>
        <stp>EM_HKS_VAL_MV</stp>
        <stp>3</stp>
        <stp>601005</stp>
        <stp>2019-12-31</stp>
        <stp>2</stp>
        <tr r="L2547" s="1"/>
      </tp>
      <tp>
        <v>54182966054.260002</v>
        <stp/>
        <stp>EM_HKS_VAL_MV</stp>
        <stp>3</stp>
        <stp>001965</stp>
        <stp>2019-12-31</stp>
        <stp>2</stp>
        <tr r="L1808" s="1"/>
      </tp>
      <tp>
        <v>25503033341.040001</v>
        <stp/>
        <stp>EM_HKS_VAL_MV</stp>
        <stp>3</stp>
        <stp>002078</stp>
        <stp>2019-12-31</stp>
        <stp>2</stp>
        <tr r="L275" s="1"/>
      </tp>
      <tp>
        <v>2983921074.1900001</v>
        <stp/>
        <stp>EM_HKS_VAL_MV</stp>
        <stp>3</stp>
        <stp>002178</stp>
        <stp>2019-12-31</stp>
        <stp>2</stp>
        <tr r="L1588" s="1"/>
      </tp>
      <tp>
        <v>2303548071.8400002</v>
        <stp/>
        <stp>EM_HKS_VAL_MV</stp>
        <stp>3</stp>
        <stp>002278</stp>
        <stp>2019-12-31</stp>
        <stp>2</stp>
        <tr r="L2576" s="1"/>
      </tp>
      <tp>
        <v>4879604062.0799999</v>
        <stp/>
        <stp>EM_HKS_VAL_MV</stp>
        <stp>3</stp>
        <stp>002378</stp>
        <stp>2019-12-31</stp>
        <stp>2</stp>
        <tr r="L1552" s="1"/>
      </tp>
      <tp>
        <v>5683157843.6800003</v>
        <stp/>
        <stp>EM_HKS_VAL_MV</stp>
        <stp>3</stp>
        <stp>002478</stp>
        <stp>2019-12-31</stp>
        <stp>2</stp>
        <tr r="L1021" s="1"/>
      </tp>
      <tp>
        <v>3517612133.7600002</v>
        <stp/>
        <stp>EM_HKS_VAL_MV</stp>
        <stp>3</stp>
        <stp>002578</stp>
        <stp>2019-12-31</stp>
        <stp>2</stp>
        <tr r="L1903" s="1"/>
      </tp>
      <tp>
        <v>11314808290.59</v>
        <stp/>
        <stp>EM_HKS_VAL_MV</stp>
        <stp>3</stp>
        <stp>002678</stp>
        <stp>2019-12-31</stp>
        <stp>2</stp>
        <tr r="L697" s="1"/>
      </tp>
      <tp>
        <v>1876646070</v>
        <stp/>
        <stp>EM_HKS_VAL_MV</stp>
        <stp>3</stp>
        <stp>002778</stp>
        <stp>2019-12-31</stp>
        <stp>2</stp>
        <tr r="L1331" s="1"/>
      </tp>
      <tp>
        <v>3866550056.5</v>
        <stp/>
        <stp>EM_HKS_VAL_MV</stp>
        <stp>3</stp>
        <stp>002878</stp>
        <stp>2019-12-31</stp>
        <stp>2</stp>
        <tr r="L1941" s="1"/>
      </tp>
      <tp>
        <v>4778394465.6000004</v>
        <stp/>
        <stp>EM_HKS_VAL_MV</stp>
        <stp>3</stp>
        <stp>603018</stp>
        <stp>2019-12-31</stp>
        <stp>2</stp>
        <tr r="L3325" s="1"/>
      </tp>
      <tp>
        <v>8719242651.6800003</v>
        <stp/>
        <stp>EM_HKS_VAL_MV</stp>
        <stp>3</stp>
        <stp>603118</stp>
        <stp>2019-12-31</stp>
        <stp>2</stp>
        <tr r="L261" s="1"/>
      </tp>
      <tp>
        <v>11036077190</v>
        <stp/>
        <stp>EM_HKS_VAL_MV</stp>
        <stp>3</stp>
        <stp>603218</stp>
        <stp>2019-12-31</stp>
        <stp>2</stp>
        <tr r="L1213" s="1"/>
      </tp>
      <tp>
        <v>4636931053.8100004</v>
        <stp/>
        <stp>EM_HKS_VAL_MV</stp>
        <stp>3</stp>
        <stp>603318</stp>
        <stp>2019-12-31</stp>
        <stp>2</stp>
        <tr r="L2674" s="1"/>
      </tp>
      <tp>
        <v>1784272797.3</v>
        <stp/>
        <stp>EM_HKS_VAL_MV</stp>
        <stp>3</stp>
        <stp>603518</stp>
        <stp>2019-12-31</stp>
        <stp>2</stp>
        <tr r="L3366" s="1"/>
      </tp>
      <tp>
        <v>3800642246.5</v>
        <stp/>
        <stp>EM_HKS_VAL_MV</stp>
        <stp>3</stp>
        <stp>603618</stp>
        <stp>2019-12-31</stp>
        <stp>2</stp>
        <tr r="L2025" s="1"/>
      </tp>
      <tp>
        <v>8243200000</v>
        <stp/>
        <stp>EM_HKS_VAL_MV</stp>
        <stp>3</stp>
        <stp>603718</stp>
        <stp>2019-12-31</stp>
        <stp>2</stp>
        <tr r="L2359" s="1"/>
      </tp>
      <tp>
        <v>4085339720</v>
        <stp/>
        <stp>EM_HKS_VAL_MV</stp>
        <stp>3</stp>
        <stp>603818</stp>
        <stp>2019-12-31</stp>
        <stp>2</stp>
        <tr r="L1096" s="1"/>
      </tp>
      <tp>
        <v>2615576613</v>
        <stp/>
        <stp>EM_HKS_VAL_MV</stp>
        <stp>3</stp>
        <stp>603918</stp>
        <stp>2019-12-31</stp>
        <stp>2</stp>
        <tr r="L2585" s="1"/>
      </tp>
      <tp>
        <v>10304435548.610001</v>
        <stp/>
        <stp>EM_HKS_VAL_MV</stp>
        <stp>3</stp>
        <stp>000078</stp>
        <stp>2019-12-31</stp>
        <stp>2</stp>
        <tr r="L1064" s="1"/>
      </tp>
      <tp>
        <v>2685167430.3699999</v>
        <stp/>
        <stp>EM_HKS_VAL_MV</stp>
        <stp>3</stp>
        <stp>300048</stp>
        <stp>2019-12-31</stp>
        <stp>2</stp>
        <tr r="L2355" s="1"/>
      </tp>
      <tp>
        <v>133712102730.5</v>
        <stp/>
        <stp>EM_HKS_VAL_MV</stp>
        <stp>3</stp>
        <stp>600018</stp>
        <stp>2019-12-31</stp>
        <stp>2</stp>
        <tr r="L1725" s="1"/>
      </tp>
      <tp>
        <v>3329041717.2399998</v>
        <stp/>
        <stp>EM_HKS_VAL_MV</stp>
        <stp>3</stp>
        <stp>300148</stp>
        <stp>2019-12-31</stp>
        <stp>2</stp>
        <tr r="L2790" s="1"/>
      </tp>
      <tp>
        <v>25269792814.950001</v>
        <stp/>
        <stp>EM_HKS_VAL_MV</stp>
        <stp>3</stp>
        <stp>600118</stp>
        <stp>2019-12-31</stp>
        <stp>2</stp>
        <tr r="L1129" s="1"/>
      </tp>
      <tp>
        <v>3949769383.9499998</v>
        <stp/>
        <stp>EM_HKS_VAL_MV</stp>
        <stp>3</stp>
        <stp>300248</stp>
        <stp>2019-12-31</stp>
        <stp>2</stp>
        <tr r="L1276" s="1"/>
      </tp>
      <tp>
        <v>4122680900</v>
        <stp/>
        <stp>EM_HKS_VAL_MV</stp>
        <stp>3</stp>
        <stp>600218</stp>
        <stp>2019-12-31</stp>
        <stp>2</stp>
        <tr r="L83" s="1"/>
      </tp>
      <tp>
        <v>10079470827.48</v>
        <stp/>
        <stp>EM_HKS_VAL_MV</stp>
        <stp>3</stp>
        <stp>300348</stp>
        <stp>2019-12-31</stp>
        <stp>2</stp>
        <tr r="L1093" s="1"/>
      </tp>
      <tp>
        <v>3593551003</v>
        <stp/>
        <stp>EM_HKS_VAL_MV</stp>
        <stp>3</stp>
        <stp>600318</stp>
        <stp>2019-12-31</stp>
        <stp>2</stp>
        <tr r="L2381" s="1"/>
      </tp>
      <tp>
        <v>5261642746.3999996</v>
        <stp/>
        <stp>EM_HKS_VAL_MV</stp>
        <stp>3</stp>
        <stp>300448</stp>
        <stp>2019-12-31</stp>
        <stp>2</stp>
        <tr r="L3181" s="1"/>
      </tp>
      <tp>
        <v>9504426827.3400002</v>
        <stp/>
        <stp>EM_HKS_VAL_MV</stp>
        <stp>3</stp>
        <stp>600418</stp>
        <stp>2019-12-31</stp>
        <stp>2</stp>
        <tr r="L2111" s="1"/>
      </tp>
      <tp>
        <v>74972534037.960007</v>
        <stp/>
        <stp>EM_HKS_VAL_MV</stp>
        <stp>3</stp>
        <stp>000578</stp>
        <stp>2019-12-31</stp>
        <stp>2</stp>
        <tr r="L3464" s="1"/>
      </tp>
      <tp>
        <v>5796716100</v>
        <stp/>
        <stp>EM_HKS_VAL_MV</stp>
        <stp>3</stp>
        <stp>300548</stp>
        <stp>2019-12-31</stp>
        <stp>2</stp>
        <tr r="L199" s="1"/>
      </tp>
      <tp>
        <v>18552504047.75</v>
        <stp/>
        <stp>EM_HKS_VAL_MV</stp>
        <stp>3</stp>
        <stp>600518</stp>
        <stp>2019-12-31</stp>
        <stp>2</stp>
        <tr r="L3393" s="1"/>
      </tp>
      <tp>
        <v>3189705871.1799998</v>
        <stp/>
        <stp>EM_HKS_VAL_MV</stp>
        <stp>3</stp>
        <stp>000678</stp>
        <stp>2019-12-31</stp>
        <stp>2</stp>
        <tr r="L3505" s="1"/>
      </tp>
      <tp>
        <v>2152860000</v>
        <stp/>
        <stp>EM_HKS_VAL_MV</stp>
        <stp>3</stp>
        <stp>300648</stp>
        <stp>2019-12-31</stp>
        <stp>2</stp>
        <tr r="L2494" s="1"/>
      </tp>
      <tp>
        <v>8545795822.6400003</v>
        <stp/>
        <stp>EM_HKS_VAL_MV</stp>
        <stp>3</stp>
        <stp>600618</stp>
        <stp>2019-12-31</stp>
        <stp>2</stp>
        <tr r="L1601" s="1"/>
      </tp>
      <tp>
        <v>16641970333.92</v>
        <stp/>
        <stp>EM_HKS_VAL_MV</stp>
        <stp>3</stp>
        <stp>000778</stp>
        <stp>2019-12-31</stp>
        <stp>2</stp>
        <tr r="L3535" s="1"/>
      </tp>
      <tp>
        <v>14100902848.25</v>
        <stp/>
        <stp>EM_HKS_VAL_MV</stp>
        <stp>3</stp>
        <stp>600718</stp>
        <stp>2019-12-31</stp>
        <stp>2</stp>
        <tr r="L2488" s="1"/>
      </tp>
      <tp>
        <v>23217609129.599998</v>
        <stp/>
        <stp>EM_HKS_VAL_MV</stp>
        <stp>3</stp>
        <stp>000878</stp>
        <stp>2019-12-31</stp>
        <stp>2</stp>
        <tr r="L3560" s="1"/>
      </tp>
      <tp>
        <v>3831659087.1999998</v>
        <stp/>
        <stp>EM_HKS_VAL_MV</stp>
        <stp>3</stp>
        <stp>600818</stp>
        <stp>2019-12-31</stp>
        <stp>2</stp>
        <tr r="L1647" s="1"/>
      </tp>
      <tp>
        <v>1915732000</v>
        <stp/>
        <stp>EM_HKS_VAL_MV</stp>
        <stp>3</stp>
        <stp>000978</stp>
        <stp>2019-12-31</stp>
        <stp>2</stp>
        <tr r="L2177" s="1"/>
      </tp>
      <tp>
        <v>50056821674.199997</v>
        <stp/>
        <stp>EM_HKS_VAL_MV</stp>
        <stp>3</stp>
        <stp>601018</stp>
        <stp>2019-12-31</stp>
        <stp>2</stp>
        <tr r="L1529" s="1"/>
      </tp>
      <tp>
        <v>21054784761.240002</v>
        <stp/>
        <stp>EM_HKS_VAL_MV</stp>
        <stp>3</stp>
        <stp>601118</stp>
        <stp>2019-12-31</stp>
        <stp>2</stp>
        <tr r="L1724" s="1"/>
      </tp>
      <tp>
        <v>2816598400</v>
        <stp/>
        <stp>EM_HKS_VAL_MV</stp>
        <stp>3</stp>
        <stp>601218</stp>
        <stp>2019-12-31</stp>
        <stp>2</stp>
        <tr r="L1106" s="1"/>
      </tp>
      <tp>
        <v>1562229430898.6001</v>
        <stp/>
        <stp>EM_HKS_VAL_MV</stp>
        <stp>3</stp>
        <stp>601318</stp>
        <stp>2019-12-31</stp>
        <stp>2</stp>
        <tr r="L516" s="1"/>
      </tp>
      <tp>
        <v>3565043119.4400001</v>
        <stp/>
        <stp>EM_HKS_VAL_MV</stp>
        <stp>3</stp>
        <stp>601518</stp>
        <stp>2019-12-31</stp>
        <stp>2</stp>
        <tr r="L2183" s="1"/>
      </tp>
      <tp>
        <v>58026133676</v>
        <stp/>
        <stp>EM_HKS_VAL_MV</stp>
        <stp>3</stp>
        <stp>601618</stp>
        <stp>2019-12-31</stp>
        <stp>2</stp>
        <tr r="L2782" s="1"/>
      </tp>
      <tp>
        <v>14316711857.040001</v>
        <stp/>
        <stp>EM_HKS_VAL_MV</stp>
        <stp>3</stp>
        <stp>601718</stp>
        <stp>2019-12-31</stp>
        <stp>2</stp>
        <tr r="L2524" s="1"/>
      </tp>
      <tp>
        <v>231477914875.41</v>
        <stp/>
        <stp>EM_HKS_VAL_MV</stp>
        <stp>3</stp>
        <stp>601818</stp>
        <stp>2019-12-31</stp>
        <stp>2</stp>
        <tr r="L1342" s="1"/>
      </tp>
      <tp>
        <v>8393355432</v>
        <stp/>
        <stp>EM_HKS_VAL_MV</stp>
        <stp>3</stp>
        <stp>601918</stp>
        <stp>2019-12-31</stp>
        <stp>2</stp>
        <tr r="L1915" s="1"/>
      </tp>
      <tp>
        <v>8619182406.0799999</v>
        <stp/>
        <stp>EM_HKS_VAL_MV</stp>
        <stp>3</stp>
        <stp>002079</stp>
        <stp>2019-12-31</stp>
        <stp>2</stp>
        <tr r="L84" s="1"/>
      </tp>
      <tp>
        <v>41800540453.559998</v>
        <stp/>
        <stp>EM_HKS_VAL_MV</stp>
        <stp>3</stp>
        <stp>002179</stp>
        <stp>2019-12-31</stp>
        <stp>2</stp>
        <tr r="L1453" s="1"/>
      </tp>
      <tp>
        <v>4317310213.9399996</v>
        <stp/>
        <stp>EM_HKS_VAL_MV</stp>
        <stp>3</stp>
        <stp>002279</stp>
        <stp>2019-12-31</stp>
        <stp>2</stp>
        <tr r="L2897" s="1"/>
      </tp>
      <tp>
        <v>3325776000</v>
        <stp/>
        <stp>EM_HKS_VAL_MV</stp>
        <stp>3</stp>
        <stp>002379</stp>
        <stp>2019-12-31</stp>
        <stp>2</stp>
        <tr r="L881" s="1"/>
      </tp>
      <tp>
        <v>6231104880</v>
        <stp/>
        <stp>EM_HKS_VAL_MV</stp>
        <stp>3</stp>
        <stp>002479</stp>
        <stp>2019-12-31</stp>
        <stp>2</stp>
        <tr r="L445" s="1"/>
      </tp>
      <tp>
        <v>5186197785.6000004</v>
        <stp/>
        <stp>EM_HKS_VAL_MV</stp>
        <stp>3</stp>
        <stp>002579</stp>
        <stp>2019-12-31</stp>
        <stp>2</stp>
        <tr r="L396" s="1"/>
      </tp>
      <tp>
        <v>3800386720</v>
        <stp/>
        <stp>EM_HKS_VAL_MV</stp>
        <stp>3</stp>
        <stp>002679</stp>
        <stp>2019-12-31</stp>
        <stp>2</stp>
        <tr r="L2584" s="1"/>
      </tp>
      <tp>
        <v>2191200000</v>
        <stp/>
        <stp>EM_HKS_VAL_MV</stp>
        <stp>3</stp>
        <stp>002779</stp>
        <stp>2019-12-31</stp>
        <stp>2</stp>
        <tr r="L2173" s="1"/>
      </tp>
      <tp>
        <v>3132205920.8000002</v>
        <stp/>
        <stp>EM_HKS_VAL_MV</stp>
        <stp>3</stp>
        <stp>002879</stp>
        <stp>2019-12-31</stp>
        <stp>2</stp>
        <tr r="L1221" s="1"/>
      </tp>
      <tp>
        <v>31132684251.759998</v>
        <stp/>
        <stp>EM_HKS_VAL_MV</stp>
        <stp>3</stp>
        <stp>603019</stp>
        <stp>2019-12-31</stp>
        <stp>2</stp>
        <tr r="L2496" s="1"/>
      </tp>
      <tp>
        <v>1877737745</v>
        <stp/>
        <stp>EM_HKS_VAL_MV</stp>
        <stp>3</stp>
        <stp>603319</stp>
        <stp>2019-12-31</stp>
        <stp>2</stp>
        <tr r="L2802" s="1"/>
      </tp>
      <tp>
        <v>3109377522.6599998</v>
        <stp/>
        <stp>EM_HKS_VAL_MV</stp>
        <stp>3</stp>
        <stp>603519</stp>
        <stp>2019-12-31</stp>
        <stp>2</stp>
        <tr r="L531" s="1"/>
      </tp>
      <tp>
        <v>5576001394</v>
        <stp/>
        <stp>EM_HKS_VAL_MV</stp>
        <stp>3</stp>
        <stp>603619</stp>
        <stp>2019-12-31</stp>
        <stp>2</stp>
        <tr r="L2734" s="1"/>
      </tp>
      <tp>
        <v>2341259702.5999999</v>
        <stp/>
        <stp>EM_HKS_VAL_MV</stp>
        <stp>3</stp>
        <stp>603819</stp>
        <stp>2019-12-31</stp>
        <stp>2</stp>
        <tr r="L2892" s="1"/>
      </tp>
      <tp>
        <v>6910441964.5799999</v>
        <stp/>
        <stp>EM_HKS_VAL_MV</stp>
        <stp>3</stp>
        <stp>603919</stp>
        <stp>2019-12-31</stp>
        <stp>2</stp>
        <tr r="L540" s="1"/>
      </tp>
      <tp>
        <v>1999203560</v>
        <stp/>
        <stp>EM_HKS_VAL_MV</stp>
        <stp>3</stp>
        <stp>300049</stp>
        <stp>2019-12-31</stp>
        <stp>2</stp>
        <tr r="L3166" s="1"/>
      </tp>
      <tp>
        <v>127855402552.5</v>
        <stp/>
        <stp>EM_HKS_VAL_MV</stp>
        <stp>3</stp>
        <stp>600019</stp>
        <stp>2019-12-31</stp>
        <stp>2</stp>
        <tr r="L2815" s="1"/>
      </tp>
      <tp>
        <v>6627041587.9200001</v>
        <stp/>
        <stp>EM_HKS_VAL_MV</stp>
        <stp>3</stp>
        <stp>300149</stp>
        <stp>2019-12-31</stp>
        <stp>2</stp>
        <tr r="L2776" s="1"/>
      </tp>
      <tp>
        <v>1672256000</v>
        <stp/>
        <stp>EM_HKS_VAL_MV</stp>
        <stp>3</stp>
        <stp>600119</stp>
        <stp>2019-12-31</stp>
        <stp>2</stp>
        <tr r="L3176" s="1"/>
      </tp>
      <tp>
        <v>2764811626.0799999</v>
        <stp/>
        <stp>EM_HKS_VAL_MV</stp>
        <stp>3</stp>
        <stp>300249</stp>
        <stp>2019-12-31</stp>
        <stp>2</stp>
        <tr r="L2557" s="1"/>
      </tp>
      <tp>
        <v>26769078604.799999</v>
        <stp/>
        <stp>EM_HKS_VAL_MV</stp>
        <stp>3</stp>
        <stp>600219</stp>
        <stp>2019-12-31</stp>
        <stp>2</stp>
        <tr r="L1916" s="1"/>
      </tp>
      <tp>
        <v>6544072146.25</v>
        <stp/>
        <stp>EM_HKS_VAL_MV</stp>
        <stp>3</stp>
        <stp>300349</stp>
        <stp>2019-12-31</stp>
        <stp>2</stp>
        <tr r="L2578" s="1"/>
      </tp>
      <tp>
        <v>1461200220</v>
        <stp/>
        <stp>EM_HKS_VAL_MV</stp>
        <stp>3</stp>
        <stp>600319</stp>
        <stp>2019-12-31</stp>
        <stp>2</stp>
        <tr r="L2240" s="1"/>
      </tp>
      <tp>
        <v>3118414393.6999998</v>
        <stp/>
        <stp>EM_HKS_VAL_MV</stp>
        <stp>3</stp>
        <stp>300449</stp>
        <stp>2019-12-31</stp>
        <stp>2</stp>
        <tr r="L3249" s="1"/>
      </tp>
      <tp>
        <v>2858178968.4000001</v>
        <stp/>
        <stp>EM_HKS_VAL_MV</stp>
        <stp>3</stp>
        <stp>600419</stp>
        <stp>2019-12-31</stp>
        <stp>2</stp>
        <tr r="L2434" s="1"/>
      </tp>
      <tp>
        <v>1806757000</v>
        <stp/>
        <stp>EM_HKS_VAL_MV</stp>
        <stp>3</stp>
        <stp>300549</stp>
        <stp>2019-12-31</stp>
        <stp>2</stp>
        <tr r="L1330" s="1"/>
      </tp>
      <tp>
        <v>1486081997400</v>
        <stp/>
        <stp>EM_HKS_VAL_MV</stp>
        <stp>3</stp>
        <stp>600519</stp>
        <stp>2019-12-31</stp>
        <stp>2</stp>
        <tr r="L160" s="1"/>
      </tp>
      <tp>
        <v>1272348000</v>
        <stp/>
        <stp>EM_HKS_VAL_MV</stp>
        <stp>3</stp>
        <stp>000679</stp>
        <stp>2019-12-31</stp>
        <stp>2</stp>
        <tr r="L3506" s="1"/>
      </tp>
      <tp>
        <v>2561280000</v>
        <stp/>
        <stp>EM_HKS_VAL_MV</stp>
        <stp>3</stp>
        <stp>300649</stp>
        <stp>2019-12-31</stp>
        <stp>2</stp>
        <tr r="L3039" s="1"/>
      </tp>
      <tp>
        <v>7287227103.75</v>
        <stp/>
        <stp>EM_HKS_VAL_MV</stp>
        <stp>3</stp>
        <stp>600619</stp>
        <stp>2019-12-31</stp>
        <stp>2</stp>
        <tr r="L2513" s="1"/>
      </tp>
      <tp>
        <v>3894584504.3200002</v>
        <stp/>
        <stp>EM_HKS_VAL_MV</stp>
        <stp>3</stp>
        <stp>000779</stp>
        <stp>2019-12-31</stp>
        <stp>2</stp>
        <tr r="L1367" s="1"/>
      </tp>
      <tp>
        <v>1869250152</v>
        <stp/>
        <stp>EM_HKS_VAL_MV</stp>
        <stp>3</stp>
        <stp>600719</stp>
        <stp>2019-12-31</stp>
        <stp>2</stp>
        <tr r="L1059" s="1"/>
      </tp>
      <tp>
        <v>4758722791.21</v>
        <stp/>
        <stp>EM_HKS_VAL_MV</stp>
        <stp>3</stp>
        <stp>600819</stp>
        <stp>2019-12-31</stp>
        <stp>2</stp>
        <tr r="L1023" s="1"/>
      </tp>
      <tp>
        <v>1845932263.78</v>
        <stp/>
        <stp>EM_HKS_VAL_MV</stp>
        <stp>3</stp>
        <stp>000979</stp>
        <stp>2019-12-31</stp>
        <stp>2</stp>
        <tr r="L3592" s="1"/>
      </tp>
      <tp>
        <v>83582179862.440002</v>
        <stp/>
        <stp>EM_HKS_VAL_MV</stp>
        <stp>3</stp>
        <stp>600919</stp>
        <stp>2019-12-31</stp>
        <stp>2</stp>
        <tr r="L1245" s="1"/>
      </tp>
      <tp>
        <v>14503955000</v>
        <stp/>
        <stp>EM_HKS_VAL_MV</stp>
        <stp>3</stp>
        <stp>601019</stp>
        <stp>2019-12-31</stp>
        <stp>2</stp>
        <tr r="L2814" s="1"/>
      </tp>
      <tp>
        <v>15682953000</v>
        <stp/>
        <stp>EM_HKS_VAL_MV</stp>
        <stp>3</stp>
        <stp>601519</stp>
        <stp>2019-12-31</stp>
        <stp>2</stp>
        <tr r="L99" s="1"/>
      </tp>
      <tp>
        <v>7923062000</v>
        <stp/>
        <stp>EM_HKS_VAL_MV</stp>
        <stp>3</stp>
        <stp>601619</stp>
        <stp>2019-12-31</stp>
        <stp>2</stp>
        <tr r="L3015" s="1"/>
      </tp>
      <tp>
        <v>157252745140.03</v>
        <stp/>
        <stp>EM_HKS_VAL_MV</stp>
        <stp>3</stp>
        <stp>001979</stp>
        <stp>2019-12-31</stp>
        <stp>2</stp>
        <tr r="L1473" s="1"/>
      </tp>
      <tp>
        <v>64607719026.290001</v>
        <stp/>
        <stp>EM_HKS_VAL_MV</stp>
        <stp>3</stp>
        <stp>601919</stp>
        <stp>2019-12-31</stp>
        <stp>2</stp>
        <tr r="L933" s="1"/>
      </tp>
      <tp>
        <v>1024320000</v>
        <stp/>
        <stp>EM_HKS_VAL_MV</stp>
        <stp>3</stp>
        <stp>002072</stp>
        <stp>2019-12-31</stp>
        <stp>2</stp>
        <tr r="L3624" s="1"/>
      </tp>
      <tp>
        <v>2904040293.8800001</v>
        <stp/>
        <stp>EM_HKS_VAL_MV</stp>
        <stp>3</stp>
        <stp>002172</stp>
        <stp>2019-12-31</stp>
        <stp>2</stp>
        <tr r="L2424" s="1"/>
      </tp>
      <tp>
        <v>1931598000</v>
        <stp/>
        <stp>EM_HKS_VAL_MV</stp>
        <stp>3</stp>
        <stp>002272</stp>
        <stp>2019-12-31</stp>
        <stp>2</stp>
        <tr r="L1640" s="1"/>
      </tp>
      <tp>
        <v>20717898051.959999</v>
        <stp/>
        <stp>EM_HKS_VAL_MV</stp>
        <stp>3</stp>
        <stp>002372</stp>
        <stp>2019-12-31</stp>
        <stp>2</stp>
        <tr r="L2991" s="1"/>
      </tp>
      <tp>
        <v>3844678549.5999999</v>
        <stp/>
        <stp>EM_HKS_VAL_MV</stp>
        <stp>3</stp>
        <stp>002472</stp>
        <stp>2019-12-31</stp>
        <stp>2</stp>
        <tr r="L2553" s="1"/>
      </tp>
      <tp>
        <v>19114152296.099998</v>
        <stp/>
        <stp>EM_HKS_VAL_MV</stp>
        <stp>3</stp>
        <stp>002572</stp>
        <stp>2019-12-31</stp>
        <stp>2</stp>
        <tr r="L1070" s="1"/>
      </tp>
      <tp>
        <v>7913403918</v>
        <stp/>
        <stp>EM_HKS_VAL_MV</stp>
        <stp>3</stp>
        <stp>002672</stp>
        <stp>2019-12-31</stp>
        <stp>2</stp>
        <tr r="L3093" s="1"/>
      </tp>
      <tp>
        <v>2540796006.1900001</v>
        <stp/>
        <stp>EM_HKS_VAL_MV</stp>
        <stp>3</stp>
        <stp>002772</stp>
        <stp>2019-12-31</stp>
        <stp>2</stp>
        <tr r="L1906" s="1"/>
      </tp>
      <tp>
        <v>1707660000</v>
        <stp/>
        <stp>EM_HKS_VAL_MV</stp>
        <stp>3</stp>
        <stp>002872</stp>
        <stp>2019-12-31</stp>
        <stp>2</stp>
        <tr r="L3295" s="1"/>
      </tp>
      <tp>
        <v>5678115200</v>
        <stp/>
        <stp>EM_HKS_VAL_MV</stp>
        <stp>3</stp>
        <stp>603012</stp>
        <stp>2019-12-31</stp>
        <stp>2</stp>
        <tr r="L1606" s="1"/>
      </tp>
      <tp>
        <v>4175267195.4000001</v>
        <stp/>
        <stp>EM_HKS_VAL_MV</stp>
        <stp>3</stp>
        <stp>603612</stp>
        <stp>2019-12-31</stp>
        <stp>2</stp>
        <tr r="L2028" s="1"/>
      </tp>
      <tp>
        <v>18666960000</v>
        <stp/>
        <stp>EM_HKS_VAL_MV</stp>
        <stp>3</stp>
        <stp>603712</stp>
        <stp>2019-12-31</stp>
        <stp>2</stp>
        <tr r="L824" s="1"/>
      </tp>
      <tp>
        <v>2983081750</v>
        <stp/>
        <stp>EM_HKS_VAL_MV</stp>
        <stp>3</stp>
        <stp>603912</stp>
        <stp>2019-12-31</stp>
        <stp>2</stp>
        <tr r="L2116" s="1"/>
      </tp>
      <tp>
        <v>3186360000</v>
        <stp/>
        <stp>EM_HKS_VAL_MV</stp>
        <stp>3</stp>
        <stp>300042</stp>
        <stp>2019-12-31</stp>
        <stp>2</stp>
        <tr r="L1386" s="1"/>
      </tp>
      <tp>
        <v>9752626800</v>
        <stp/>
        <stp>EM_HKS_VAL_MV</stp>
        <stp>3</stp>
        <stp>600012</stp>
        <stp>2019-12-31</stp>
        <stp>2</stp>
        <tr r="L2470" s="1"/>
      </tp>
      <tp>
        <v>49874455760.959999</v>
        <stp/>
        <stp>EM_HKS_VAL_MV</stp>
        <stp>3</stp>
        <stp>300142</stp>
        <stp>2019-12-31</stp>
        <stp>2</stp>
        <tr r="L360" s="1"/>
      </tp>
      <tp>
        <v>1069330176.6</v>
        <stp/>
        <stp>EM_HKS_VAL_MV</stp>
        <stp>3</stp>
        <stp>600112</stp>
        <stp>2019-12-31</stp>
        <stp>2</stp>
        <tr r="L3347" s="1"/>
      </tp>
      <tp>
        <v>2563603104.96</v>
        <stp/>
        <stp>EM_HKS_VAL_MV</stp>
        <stp>3</stp>
        <stp>300242</stp>
        <stp>2019-12-31</stp>
        <stp>2</stp>
        <tr r="L2537" s="1"/>
      </tp>
      <tp>
        <v>2113309489.6900001</v>
        <stp/>
        <stp>EM_HKS_VAL_MV</stp>
        <stp>3</stp>
        <stp>600212</stp>
        <stp>2019-12-31</stp>
        <stp>2</stp>
        <tr r="L2006" s="1"/>
      </tp>
      <tp>
        <v>4111157469.4400001</v>
        <stp/>
        <stp>EM_HKS_VAL_MV</stp>
        <stp>3</stp>
        <stp>300342</stp>
        <stp>2019-12-31</stp>
        <stp>2</stp>
        <tr r="L861" s="1"/>
      </tp>
      <tp>
        <v>8765711656.1399994</v>
        <stp/>
        <stp>EM_HKS_VAL_MV</stp>
        <stp>3</stp>
        <stp>600312</stp>
        <stp>2019-12-31</stp>
        <stp>2</stp>
        <tr r="L3067" s="1"/>
      </tp>
      <tp>
        <v>1519000000</v>
        <stp/>
        <stp>EM_HKS_VAL_MV</stp>
        <stp>3</stp>
        <stp>300442</stp>
        <stp>2019-12-31</stp>
        <stp>2</stp>
        <tr r="L1232" s="1"/>
      </tp>
      <tp>
        <v>3108362845.1399999</v>
        <stp/>
        <stp>EM_HKS_VAL_MV</stp>
        <stp>3</stp>
        <stp>000572</stp>
        <stp>2019-12-31</stp>
        <stp>2</stp>
        <tr r="L3463" s="1"/>
      </tp>
      <tp>
        <v>3429605539.1999998</v>
        <stp/>
        <stp>EM_HKS_VAL_MV</stp>
        <stp>3</stp>
        <stp>300542</stp>
        <stp>2019-12-31</stp>
        <stp>2</stp>
        <tr r="L1783" s="1"/>
      </tp>
      <tp>
        <v>4492916957.9200001</v>
        <stp/>
        <stp>EM_HKS_VAL_MV</stp>
        <stp>3</stp>
        <stp>600512</stp>
        <stp>2019-12-31</stp>
        <stp>2</stp>
        <tr r="L947" s="1"/>
      </tp>
      <tp>
        <v>14881107440.59</v>
        <stp/>
        <stp>EM_HKS_VAL_MV</stp>
        <stp>3</stp>
        <stp>000672</stp>
        <stp>2019-12-31</stp>
        <stp>2</stp>
        <tr r="L150" s="1"/>
      </tp>
      <tp>
        <v>3738955239.9000001</v>
        <stp/>
        <stp>EM_HKS_VAL_MV</stp>
        <stp>3</stp>
        <stp>300642</stp>
        <stp>2019-12-31</stp>
        <stp>2</stp>
        <tr r="L1902" s="1"/>
      </tp>
      <tp>
        <v>24905636744.040001</v>
        <stp/>
        <stp>EM_HKS_VAL_MV</stp>
        <stp>3</stp>
        <stp>600612</stp>
        <stp>2019-12-31</stp>
        <stp>2</stp>
        <tr r="L2043" s="1"/>
      </tp>
      <tp>
        <v>1735603382.7</v>
        <stp/>
        <stp>EM_HKS_VAL_MV</stp>
        <stp>3</stp>
        <stp>300742</stp>
        <stp>2019-12-31</stp>
        <stp>2</stp>
        <tr r="L3334" s="1"/>
      </tp>
      <tp>
        <v>5272263884.8000002</v>
        <stp/>
        <stp>EM_HKS_VAL_MV</stp>
        <stp>3</stp>
        <stp>600712</stp>
        <stp>2019-12-31</stp>
        <stp>2</stp>
        <tr r="L59" s="1"/>
      </tp>
      <tp>
        <v>16047118533.360001</v>
        <stp/>
        <stp>EM_HKS_VAL_MV</stp>
        <stp>3</stp>
        <stp>600812</stp>
        <stp>2019-12-31</stp>
        <stp>2</stp>
        <tr r="L107" s="1"/>
      </tp>
      <tp>
        <v>2668641183.3400002</v>
        <stp/>
        <stp>EM_HKS_VAL_MV</stp>
        <stp>3</stp>
        <stp>000972</stp>
        <stp>2019-12-31</stp>
        <stp>2</stp>
        <tr r="L3590" s="1"/>
      </tp>
      <tp>
        <v>93659176076.309998</v>
        <stp/>
        <stp>EM_HKS_VAL_MV</stp>
        <stp>3</stp>
        <stp>601012</stp>
        <stp>2019-12-31</stp>
        <stp>2</stp>
        <tr r="L682" s="1"/>
      </tp>
      <tp>
        <v>27249570200.48</v>
        <stp/>
        <stp>EM_HKS_VAL_MV</stp>
        <stp>3</stp>
        <stp>601212</stp>
        <stp>2019-12-31</stp>
        <stp>2</stp>
        <tr r="L1088" s="1"/>
      </tp>
      <tp>
        <v>4371057634.3199997</v>
        <stp/>
        <stp>EM_HKS_VAL_MV</stp>
        <stp>3</stp>
        <stp>002073</stp>
        <stp>2019-12-31</stp>
        <stp>2</stp>
        <tr r="L3625" s="1"/>
      </tp>
      <tp>
        <v>2838303717.5999999</v>
        <stp/>
        <stp>EM_HKS_VAL_MV</stp>
        <stp>3</stp>
        <stp>002173</stp>
        <stp>2019-12-31</stp>
        <stp>2</stp>
        <tr r="L2881" s="1"/>
      </tp>
      <tp>
        <v>18680977178.080002</v>
        <stp/>
        <stp>EM_HKS_VAL_MV</stp>
        <stp>3</stp>
        <stp>002273</stp>
        <stp>2019-12-31</stp>
        <stp>2</stp>
        <tr r="L318" s="1"/>
      </tp>
      <tp>
        <v>26897996741</v>
        <stp/>
        <stp>EM_HKS_VAL_MV</stp>
        <stp>3</stp>
        <stp>002373</stp>
        <stp>2019-12-31</stp>
        <stp>2</stp>
        <tr r="L379" s="1"/>
      </tp>
      <tp>
        <v>1416000000</v>
        <stp/>
        <stp>EM_HKS_VAL_MV</stp>
        <stp>3</stp>
        <stp>002473</stp>
        <stp>2019-12-31</stp>
        <stp>2</stp>
        <tr r="L797" s="1"/>
      </tp>
      <tp>
        <v>6974205045</v>
        <stp/>
        <stp>EM_HKS_VAL_MV</stp>
        <stp>3</stp>
        <stp>002573</stp>
        <stp>2019-12-31</stp>
        <stp>2</stp>
        <tr r="L2784" s="1"/>
      </tp>
      <tp>
        <v>34318029746</v>
        <stp/>
        <stp>EM_HKS_VAL_MV</stp>
        <stp>3</stp>
        <stp>002673</stp>
        <stp>2019-12-31</stp>
        <stp>2</stp>
        <tr r="L998" s="1"/>
      </tp>
      <tp>
        <v>32370846377.48</v>
        <stp/>
        <stp>EM_HKS_VAL_MV</stp>
        <stp>3</stp>
        <stp>002773</stp>
        <stp>2019-12-31</stp>
        <stp>2</stp>
        <tr r="L1974" s="1"/>
      </tp>
      <tp>
        <v>1974238560</v>
        <stp/>
        <stp>EM_HKS_VAL_MV</stp>
        <stp>3</stp>
        <stp>002873</stp>
        <stp>2019-12-31</stp>
        <stp>2</stp>
        <tr r="L2205" s="1"/>
      </tp>
      <tp>
        <v>7833600000</v>
        <stp/>
        <stp>EM_HKS_VAL_MV</stp>
        <stp>3</stp>
        <stp>603013</stp>
        <stp>2019-12-31</stp>
        <stp>2</stp>
        <tr r="L2867" s="1"/>
      </tp>
      <tp>
        <v>7293386719.4499998</v>
        <stp/>
        <stp>EM_HKS_VAL_MV</stp>
        <stp>3</stp>
        <stp>603113</stp>
        <stp>2019-12-31</stp>
        <stp>2</stp>
        <tr r="L2475" s="1"/>
      </tp>
      <tp>
        <v>7041988912.8299999</v>
        <stp/>
        <stp>EM_HKS_VAL_MV</stp>
        <stp>3</stp>
        <stp>603313</stp>
        <stp>2019-12-31</stp>
        <stp>2</stp>
        <tr r="L2362" s="1"/>
      </tp>
      <tp>
        <v>1700749920</v>
        <stp/>
        <stp>EM_HKS_VAL_MV</stp>
        <stp>3</stp>
        <stp>603813</stp>
        <stp>2019-12-31</stp>
        <stp>2</stp>
        <tr r="L2153" s="1"/>
      </tp>
      <tp>
        <v>6382737797.1300001</v>
        <stp/>
        <stp>EM_HKS_VAL_MV</stp>
        <stp>3</stp>
        <stp>300043</stp>
        <stp>2019-12-31</stp>
        <stp>2</stp>
        <tr r="L491" s="1"/>
      </tp>
      <tp>
        <v>5131030081.6000004</v>
        <stp/>
        <stp>EM_HKS_VAL_MV</stp>
        <stp>3</stp>
        <stp>300143</stp>
        <stp>2019-12-31</stp>
        <stp>2</stp>
        <tr r="L2121" s="1"/>
      </tp>
      <tp>
        <v>2949961417.1999998</v>
        <stp/>
        <stp>EM_HKS_VAL_MV</stp>
        <stp>3</stp>
        <stp>600113</stp>
        <stp>2019-12-31</stp>
        <stp>2</stp>
        <tr r="L2268" s="1"/>
      </tp>
      <tp>
        <v>1777269810.1500001</v>
        <stp/>
        <stp>EM_HKS_VAL_MV</stp>
        <stp>3</stp>
        <stp>300243</stp>
        <stp>2019-12-31</stp>
        <stp>2</stp>
        <tr r="L2469" s="1"/>
      </tp>
      <tp>
        <v>1909600000</v>
        <stp/>
        <stp>EM_HKS_VAL_MV</stp>
        <stp>3</stp>
        <stp>600213</stp>
        <stp>2019-12-31</stp>
        <stp>2</stp>
        <tr r="L668" s="1"/>
      </tp>
      <tp>
        <v>3374282028.8800001</v>
        <stp/>
        <stp>EM_HKS_VAL_MV</stp>
        <stp>3</stp>
        <stp>300343</stp>
        <stp>2019-12-31</stp>
        <stp>2</stp>
        <tr r="L3389" s="1"/>
      </tp>
      <tp>
        <v>3051800229.6599998</v>
        <stp/>
        <stp>EM_HKS_VAL_MV</stp>
        <stp>3</stp>
        <stp>600313</stp>
        <stp>2019-12-31</stp>
        <stp>2</stp>
        <tr r="L1063" s="1"/>
      </tp>
      <tp>
        <v>3330414659.98</v>
        <stp/>
        <stp>EM_HKS_VAL_MV</stp>
        <stp>3</stp>
        <stp>300443</stp>
        <stp>2019-12-31</stp>
        <stp>2</stp>
        <tr r="L981" s="1"/>
      </tp>
      <tp>
        <v>2004577566.3599999</v>
        <stp/>
        <stp>EM_HKS_VAL_MV</stp>
        <stp>3</stp>
        <stp>000573</stp>
        <stp>2019-12-31</stp>
        <stp>2</stp>
        <tr r="L2239" s="1"/>
      </tp>
      <tp>
        <v>2816133306</v>
        <stp/>
        <stp>EM_HKS_VAL_MV</stp>
        <stp>3</stp>
        <stp>300543</stp>
        <stp>2019-12-31</stp>
        <stp>2</stp>
        <tr r="L759" s="1"/>
      </tp>
      <tp>
        <v>2244340832.3000002</v>
        <stp/>
        <stp>EM_HKS_VAL_MV</stp>
        <stp>3</stp>
        <stp>600513</stp>
        <stp>2019-12-31</stp>
        <stp>2</stp>
        <tr r="L1324" s="1"/>
      </tp>
      <tp>
        <v>4036907254.1999998</v>
        <stp/>
        <stp>EM_HKS_VAL_MV</stp>
        <stp>3</stp>
        <stp>000673</stp>
        <stp>2019-12-31</stp>
        <stp>2</stp>
        <tr r="L3503" s="1"/>
      </tp>
      <tp>
        <v>4440000000</v>
        <stp/>
        <stp>EM_HKS_VAL_MV</stp>
        <stp>3</stp>
        <stp>300643</stp>
        <stp>2019-12-31</stp>
        <stp>2</stp>
        <tr r="L149" s="1"/>
      </tp>
      <tp>
        <v>3855997154.1599998</v>
        <stp/>
        <stp>EM_HKS_VAL_MV</stp>
        <stp>3</stp>
        <stp>600613</stp>
        <stp>2019-12-31</stp>
        <stp>2</stp>
        <tr r="L768" s="1"/>
      </tp>
      <tp>
        <v>1988660820</v>
        <stp/>
        <stp>EM_HKS_VAL_MV</stp>
        <stp>3</stp>
        <stp>300743</stp>
        <stp>2019-12-31</stp>
        <stp>2</stp>
        <tr r="L3368" s="1"/>
      </tp>
      <tp>
        <v>4874740621.9200001</v>
        <stp/>
        <stp>EM_HKS_VAL_MV</stp>
        <stp>3</stp>
        <stp>600713</stp>
        <stp>2019-12-31</stp>
        <stp>2</stp>
        <tr r="L1785" s="1"/>
      </tp>
      <tp>
        <v>1407754800</v>
        <stp/>
        <stp>EM_HKS_VAL_MV</stp>
        <stp>3</stp>
        <stp>600813</stp>
        <stp>2019-12-31</stp>
        <stp>2</stp>
        <tr r="L2327" s="1"/>
      </tp>
      <tp>
        <v>4488843513.4399996</v>
        <stp/>
        <stp>EM_HKS_VAL_MV</stp>
        <stp>3</stp>
        <stp>000973</stp>
        <stp>2019-12-31</stp>
        <stp>2</stp>
        <tr r="L658" s="1"/>
      </tp>
      <tp>
        <v>3903865269.6599998</v>
        <stp/>
        <stp>EM_HKS_VAL_MV</stp>
        <stp>3</stp>
        <stp>601113</stp>
        <stp>2019-12-31</stp>
        <stp>2</stp>
        <tr r="L3390" s="1"/>
      </tp>
      <tp>
        <v>451033290.75999999</v>
        <stp/>
        <stp>EM_HKS_VAL_MV</stp>
        <stp>3</stp>
        <stp>002070</stp>
        <stp>2019-12-31</stp>
        <stp>2</stp>
        <tr r="L3622" s="1"/>
      </tp>
      <tp>
        <v>2917778042.8299999</v>
        <stp/>
        <stp>EM_HKS_VAL_MV</stp>
        <stp>3</stp>
        <stp>002170</stp>
        <stp>2019-12-31</stp>
        <stp>2</stp>
        <tr r="L1698" s="1"/>
      </tp>
      <tp>
        <v>3735456519.5999999</v>
        <stp/>
        <stp>EM_HKS_VAL_MV</stp>
        <stp>3</stp>
        <stp>002270</stp>
        <stp>2019-12-31</stp>
        <stp>2</stp>
        <tr r="L2017" s="1"/>
      </tp>
      <tp>
        <v>3449745063.98</v>
        <stp/>
        <stp>EM_HKS_VAL_MV</stp>
        <stp>3</stp>
        <stp>002370</stp>
        <stp>2019-12-31</stp>
        <stp>2</stp>
        <tr r="L3395" s="1"/>
      </tp>
      <tp>
        <v>8740833793.7199993</v>
        <stp/>
        <stp>EM_HKS_VAL_MV</stp>
        <stp>3</stp>
        <stp>002470</stp>
        <stp>2019-12-31</stp>
        <stp>2</stp>
        <tr r="L3391" s="1"/>
      </tp>
      <tp>
        <v>5480707200</v>
        <stp/>
        <stp>EM_HKS_VAL_MV</stp>
        <stp>3</stp>
        <stp>002570</stp>
        <stp>2019-12-31</stp>
        <stp>2</stp>
        <tr r="L1926" s="1"/>
      </tp>
      <tp>
        <v>24594925939.630001</v>
        <stp/>
        <stp>EM_HKS_VAL_MV</stp>
        <stp>3</stp>
        <stp>002670</stp>
        <stp>2019-12-31</stp>
        <stp>2</stp>
        <tr r="L1233" s="1"/>
      </tp>
      <tp>
        <v>2627682712.8000002</v>
        <stp/>
        <stp>EM_HKS_VAL_MV</stp>
        <stp>3</stp>
        <stp>002770</stp>
        <stp>2019-12-31</stp>
        <stp>2</stp>
        <tr r="L2889" s="1"/>
      </tp>
      <tp>
        <v>2595211500</v>
        <stp/>
        <stp>EM_HKS_VAL_MV</stp>
        <stp>3</stp>
        <stp>002870</stp>
        <stp>2019-12-31</stp>
        <stp>2</stp>
        <tr r="L411" s="1"/>
      </tp>
      <tp>
        <v>3922209874.4400001</v>
        <stp/>
        <stp>EM_HKS_VAL_MV</stp>
        <stp>3</stp>
        <stp>603010</stp>
        <stp>2019-12-31</stp>
        <stp>2</stp>
        <tr r="L3049" s="1"/>
      </tp>
      <tp>
        <v>2355790098.1999998</v>
        <stp/>
        <stp>EM_HKS_VAL_MV</stp>
        <stp>3</stp>
        <stp>603110</stp>
        <stp>2019-12-31</stp>
        <stp>2</stp>
        <tr r="L453" s="1"/>
      </tp>
      <tp>
        <v>8842774944.1499996</v>
        <stp/>
        <stp>EM_HKS_VAL_MV</stp>
        <stp>3</stp>
        <stp>000070</stp>
        <stp>2019-12-31</stp>
        <stp>2</stp>
        <tr r="L228" s="1"/>
      </tp>
      <tp>
        <v>1900397302.1600001</v>
        <stp/>
        <stp>EM_HKS_VAL_MV</stp>
        <stp>3</stp>
        <stp>300040</stp>
        <stp>2019-12-31</stp>
        <stp>2</stp>
        <tr r="L1626" s="1"/>
      </tp>
      <tp>
        <v>60172243095.360001</v>
        <stp/>
        <stp>EM_HKS_VAL_MV</stp>
        <stp>3</stp>
        <stp>600010</stp>
        <stp>2019-12-31</stp>
        <stp>2</stp>
        <tr r="L2792" s="1"/>
      </tp>
      <tp>
        <v>4580056237.4399996</v>
        <stp/>
        <stp>EM_HKS_VAL_MV</stp>
        <stp>3</stp>
        <stp>300140</stp>
        <stp>2019-12-31</stp>
        <stp>2</stp>
        <tr r="L1419" s="1"/>
      </tp>
      <tp>
        <v>5383460613.96</v>
        <stp/>
        <stp>EM_HKS_VAL_MV</stp>
        <stp>3</stp>
        <stp>600110</stp>
        <stp>2019-12-31</stp>
        <stp>2</stp>
        <tr r="L1434" s="1"/>
      </tp>
      <tp>
        <v>2372482777.5</v>
        <stp/>
        <stp>EM_HKS_VAL_MV</stp>
        <stp>3</stp>
        <stp>300240</stp>
        <stp>2019-12-31</stp>
        <stp>2</stp>
        <tr r="L2840" s="1"/>
      </tp>
      <tp>
        <v>5718095315.6599998</v>
        <stp/>
        <stp>EM_HKS_VAL_MV</stp>
        <stp>3</stp>
        <stp>600210</stp>
        <stp>2019-12-31</stp>
        <stp>2</stp>
        <tr r="L2091" s="1"/>
      </tp>
      <tp>
        <v>2689995049.5999999</v>
        <stp/>
        <stp>EM_HKS_VAL_MV</stp>
        <stp>3</stp>
        <stp>300340</stp>
        <stp>2019-12-31</stp>
        <stp>2</stp>
        <tr r="L2737" s="1"/>
      </tp>
      <tp>
        <v>3551154750</v>
        <stp/>
        <stp>EM_HKS_VAL_MV</stp>
        <stp>3</stp>
        <stp>600310</stp>
        <stp>2019-12-31</stp>
        <stp>2</stp>
        <tr r="L1303" s="1"/>
      </tp>
      <tp>
        <v>3615360000</v>
        <stp/>
        <stp>EM_HKS_VAL_MV</stp>
        <stp>3</stp>
        <stp>300440</stp>
        <stp>2019-12-31</stp>
        <stp>2</stp>
        <tr r="L675" s="1"/>
      </tp>
      <tp>
        <v>11328044278.73</v>
        <stp/>
        <stp>EM_HKS_VAL_MV</stp>
        <stp>3</stp>
        <stp>600410</stp>
        <stp>2019-12-31</stp>
        <stp>2</stp>
        <tr r="L272" s="1"/>
      </tp>
      <tp>
        <v>2576708156.3400002</v>
        <stp/>
        <stp>EM_HKS_VAL_MV</stp>
        <stp>3</stp>
        <stp>000570</stp>
        <stp>2019-12-31</stp>
        <stp>2</stp>
        <tr r="L3461" s="1"/>
      </tp>
      <tp>
        <v>1768387800</v>
        <stp/>
        <stp>EM_HKS_VAL_MV</stp>
        <stp>3</stp>
        <stp>300540</stp>
        <stp>2019-12-31</stp>
        <stp>2</stp>
        <tr r="L1366" s="1"/>
      </tp>
      <tp>
        <v>7015536667.5</v>
        <stp/>
        <stp>EM_HKS_VAL_MV</stp>
        <stp>3</stp>
        <stp>600510</stp>
        <stp>2019-12-31</stp>
        <stp>2</stp>
        <tr r="L1618" s="1"/>
      </tp>
      <tp>
        <v>1739416276.8</v>
        <stp/>
        <stp>EM_HKS_VAL_MV</stp>
        <stp>3</stp>
        <stp>000670</stp>
        <stp>2019-12-31</stp>
        <stp>2</stp>
        <tr r="L3502" s="1"/>
      </tp>
      <tp>
        <v>1833171200</v>
        <stp/>
        <stp>EM_HKS_VAL_MV</stp>
        <stp>3</stp>
        <stp>300640</stp>
        <stp>2019-12-31</stp>
        <stp>2</stp>
        <tr r="L2861" s="1"/>
      </tp>
      <tp>
        <v>3492355212.3000002</v>
        <stp/>
        <stp>EM_HKS_VAL_MV</stp>
        <stp>3</stp>
        <stp>600610</stp>
        <stp>2019-12-31</stp>
        <stp>2</stp>
        <tr r="L203" s="1"/>
      </tp>
      <tp>
        <v>3901536467.9200001</v>
        <stp/>
        <stp>EM_HKS_VAL_MV</stp>
        <stp>3</stp>
        <stp>300740</stp>
        <stp>2019-12-31</stp>
        <stp>2</stp>
        <tr r="L3353" s="1"/>
      </tp>
      <tp>
        <v>7252459358.6999998</v>
        <stp/>
        <stp>EM_HKS_VAL_MV</stp>
        <stp>3</stp>
        <stp>600710</stp>
        <stp>2019-12-31</stp>
        <stp>2</stp>
        <tr r="L584" s="1"/>
      </tp>
      <tp>
        <v>4536465960</v>
        <stp/>
        <stp>EM_HKS_VAL_MV</stp>
        <stp>3</stp>
        <stp>600810</stp>
        <stp>2019-12-31</stp>
        <stp>2</stp>
        <tr r="L3112" s="1"/>
      </tp>
      <tp>
        <v>11450900000</v>
        <stp/>
        <stp>EM_HKS_VAL_MV</stp>
        <stp>3</stp>
        <stp>000970</stp>
        <stp>2019-12-31</stp>
        <stp>2</stp>
        <tr r="L573" s="1"/>
      </tp>
      <tp>
        <v>5654880000</v>
        <stp/>
        <stp>EM_HKS_VAL_MV</stp>
        <stp>3</stp>
        <stp>601010</stp>
        <stp>2019-12-31</stp>
        <stp>2</stp>
        <tr r="L1981" s="1"/>
      </tp>
      <tp>
        <v>1812733079.0999999</v>
        <stp/>
        <stp>EM_HKS_VAL_MV</stp>
        <stp>3</stp>
        <stp>002071</stp>
        <stp>2019-12-31</stp>
        <stp>2</stp>
        <tr r="L3623" s="1"/>
      </tp>
      <tp>
        <v>9882478583.25</v>
        <stp/>
        <stp>EM_HKS_VAL_MV</stp>
        <stp>3</stp>
        <stp>002171</stp>
        <stp>2019-12-31</stp>
        <stp>2</stp>
        <tr r="L435" s="1"/>
      </tp>
      <tp>
        <v>39142321241.790001</v>
        <stp/>
        <stp>EM_HKS_VAL_MV</stp>
        <stp>3</stp>
        <stp>002271</stp>
        <stp>2019-12-31</stp>
        <stp>2</stp>
        <tr r="L152" s="1"/>
      </tp>
      <tp>
        <v>43176916024</v>
        <stp/>
        <stp>EM_HKS_VAL_MV</stp>
        <stp>3</stp>
        <stp>002371</stp>
        <stp>2019-12-31</stp>
        <stp>2</stp>
        <tr r="L103" s="1"/>
      </tp>
      <tp>
        <v>2979800000</v>
        <stp/>
        <stp>EM_HKS_VAL_MV</stp>
        <stp>3</stp>
        <stp>002471</stp>
        <stp>2019-12-31</stp>
        <stp>2</stp>
        <tr r="L2871" s="1"/>
      </tp>
      <tp>
        <v>2002868077</v>
        <stp/>
        <stp>EM_HKS_VAL_MV</stp>
        <stp>3</stp>
        <stp>002571</stp>
        <stp>2019-12-31</stp>
        <stp>2</stp>
        <tr r="L2579" s="1"/>
      </tp>
      <tp>
        <v>2144886561.96</v>
        <stp/>
        <stp>EM_HKS_VAL_MV</stp>
        <stp>3</stp>
        <stp>002671</stp>
        <stp>2019-12-31</stp>
        <stp>2</stp>
        <tr r="L1752" s="1"/>
      </tp>
      <tp>
        <v>2365184185</v>
        <stp/>
        <stp>EM_HKS_VAL_MV</stp>
        <stp>3</stp>
        <stp>002771</stp>
        <stp>2019-12-31</stp>
        <stp>2</stp>
        <tr r="L2174" s="1"/>
      </tp>
      <tp>
        <v>2238727960</v>
        <stp/>
        <stp>EM_HKS_VAL_MV</stp>
        <stp>3</stp>
        <stp>002871</stp>
        <stp>2019-12-31</stp>
        <stp>2</stp>
        <tr r="L2391" s="1"/>
      </tp>
      <tp>
        <v>2278966213.8200002</v>
        <stp/>
        <stp>EM_HKS_VAL_MV</stp>
        <stp>3</stp>
        <stp>603011</stp>
        <stp>2019-12-31</stp>
        <stp>2</stp>
        <tr r="L1463" s="1"/>
      </tp>
      <tp>
        <v>5244494555.5200005</v>
        <stp/>
        <stp>EM_HKS_VAL_MV</stp>
        <stp>3</stp>
        <stp>603111</stp>
        <stp>2019-12-31</stp>
        <stp>2</stp>
        <tr r="L948" s="1"/>
      </tp>
      <tp>
        <v>2347800000</v>
        <stp/>
        <stp>EM_HKS_VAL_MV</stp>
        <stp>3</stp>
        <stp>603311</stp>
        <stp>2019-12-31</stp>
        <stp>2</stp>
        <tr r="L1757" s="1"/>
      </tp>
      <tp>
        <v>4419692308.0799999</v>
        <stp/>
        <stp>EM_HKS_VAL_MV</stp>
        <stp>3</stp>
        <stp>603611</stp>
        <stp>2019-12-31</stp>
        <stp>2</stp>
        <tr r="L826" s="1"/>
      </tp>
      <tp>
        <v>10735360000</v>
        <stp/>
        <stp>EM_HKS_VAL_MV</stp>
        <stp>3</stp>
        <stp>603711</stp>
        <stp>2019-12-31</stp>
        <stp>2</stp>
        <tr r="L1298" s="1"/>
      </tp>
      <tp>
        <v>3069074400</v>
        <stp/>
        <stp>EM_HKS_VAL_MV</stp>
        <stp>3</stp>
        <stp>603811</stp>
        <stp>2019-12-31</stp>
        <stp>2</stp>
        <tr r="L503" s="1"/>
      </tp>
      <tp>
        <v>4316723857.6800003</v>
        <stp/>
        <stp>EM_HKS_VAL_MV</stp>
        <stp>3</stp>
        <stp>300041</stp>
        <stp>2019-12-31</stp>
        <stp>2</stp>
        <tr r="L532" s="1"/>
      </tp>
      <tp>
        <v>87595360943.220001</v>
        <stp/>
        <stp>EM_HKS_VAL_MV</stp>
        <stp>3</stp>
        <stp>600011</stp>
        <stp>2019-12-31</stp>
        <stp>2</stp>
        <tr r="L3146" s="1"/>
      </tp>
      <tp>
        <v>1703915532</v>
        <stp/>
        <stp>EM_HKS_VAL_MV</stp>
        <stp>3</stp>
        <stp>300141</stp>
        <stp>2019-12-31</stp>
        <stp>2</stp>
        <tr r="L2371" s="1"/>
      </tp>
      <tp>
        <v>39382435440</v>
        <stp/>
        <stp>EM_HKS_VAL_MV</stp>
        <stp>3</stp>
        <stp>600111</stp>
        <stp>2019-12-31</stp>
        <stp>2</stp>
        <tr r="L1118" s="1"/>
      </tp>
      <tp>
        <v>3556054003.9499998</v>
        <stp/>
        <stp>EM_HKS_VAL_MV</stp>
        <stp>3</stp>
        <stp>300241</stp>
        <stp>2019-12-31</stp>
        <stp>2</stp>
        <tr r="L679" s="1"/>
      </tp>
      <tp>
        <v>5665379703.4099998</v>
        <stp/>
        <stp>EM_HKS_VAL_MV</stp>
        <stp>3</stp>
        <stp>600211</stp>
        <stp>2019-12-31</stp>
        <stp>2</stp>
        <tr r="L1937" s="1"/>
      </tp>
      <tp>
        <v>7698364740.2399998</v>
        <stp/>
        <stp>EM_HKS_VAL_MV</stp>
        <stp>3</stp>
        <stp>300341</stp>
        <stp>2019-12-31</stp>
        <stp>2</stp>
        <tr r="L37" s="1"/>
      </tp>
      <tp>
        <v>2256384000</v>
        <stp/>
        <stp>EM_HKS_VAL_MV</stp>
        <stp>3</stp>
        <stp>600311</stp>
        <stp>2019-12-31</stp>
        <stp>2</stp>
        <tr r="L2820" s="1"/>
      </tp>
      <tp>
        <v>6442206469.4799995</v>
        <stp/>
        <stp>EM_HKS_VAL_MV</stp>
        <stp>3</stp>
        <stp>300441</stp>
        <stp>2019-12-31</stp>
        <stp>2</stp>
        <tr r="L685" s="1"/>
      </tp>
      <tp>
        <v>2222394720</v>
        <stp/>
        <stp>EM_HKS_VAL_MV</stp>
        <stp>3</stp>
        <stp>000571</stp>
        <stp>2019-12-31</stp>
        <stp>2</stp>
        <tr r="L3462" s="1"/>
      </tp>
      <tp>
        <v>4109084622.1799998</v>
        <stp/>
        <stp>EM_HKS_VAL_MV</stp>
        <stp>3</stp>
        <stp>300541</stp>
        <stp>2019-12-31</stp>
        <stp>2</stp>
        <tr r="L463" s="1"/>
      </tp>
      <tp>
        <v>20590386815.419998</v>
        <stp/>
        <stp>EM_HKS_VAL_MV</stp>
        <stp>3</stp>
        <stp>600511</stp>
        <stp>2019-12-31</stp>
        <stp>2</stp>
        <tr r="L1450" s="1"/>
      </tp>
      <tp>
        <v>34437205277.5</v>
        <stp/>
        <stp>EM_HKS_VAL_MV</stp>
        <stp>3</stp>
        <stp>000671</stp>
        <stp>2019-12-31</stp>
        <stp>2</stp>
        <tr r="L373" s="1"/>
      </tp>
      <tp>
        <v>2423520000</v>
        <stp/>
        <stp>EM_HKS_VAL_MV</stp>
        <stp>3</stp>
        <stp>300641</stp>
        <stp>2019-12-31</stp>
        <stp>2</stp>
        <tr r="L2353" s="1"/>
      </tp>
      <tp>
        <v>9598338827.8400002</v>
        <stp/>
        <stp>EM_HKS_VAL_MV</stp>
        <stp>3</stp>
        <stp>600611</stp>
        <stp>2019-12-31</stp>
        <stp>2</stp>
        <tr r="L2175" s="1"/>
      </tp>
      <tp>
        <v>19018374400</v>
        <stp/>
        <stp>EM_HKS_VAL_MV</stp>
        <stp>3</stp>
        <stp>300741</stp>
        <stp>2019-12-31</stp>
        <stp>2</stp>
        <tr r="L2360" s="1"/>
      </tp>
      <tp>
        <v>12209500891.549999</v>
        <stp/>
        <stp>EM_HKS_VAL_MV</stp>
        <stp>3</stp>
        <stp>600711</stp>
        <stp>2019-12-31</stp>
        <stp>2</stp>
        <tr r="L1456" s="1"/>
      </tp>
      <tp>
        <v>12480975776.639999</v>
        <stp/>
        <stp>EM_HKS_VAL_MV</stp>
        <stp>3</stp>
        <stp>600811</stp>
        <stp>2019-12-31</stp>
        <stp>2</stp>
        <tr r="L2690" s="1"/>
      </tp>
      <tp>
        <v>3294329466.75</v>
        <stp/>
        <stp>EM_HKS_VAL_MV</stp>
        <stp>3</stp>
        <stp>000971</stp>
        <stp>2019-12-31</stp>
        <stp>2</stp>
        <tr r="L3589" s="1"/>
      </tp>
      <tp>
        <v>7265315032.4700003</v>
        <stp/>
        <stp>EM_HKS_VAL_MV</stp>
        <stp>3</stp>
        <stp>601011</stp>
        <stp>2019-12-31</stp>
        <stp>2</stp>
        <tr r="L3003" s="1"/>
      </tp>
      <tp>
        <v>140745459142.64999</v>
        <stp/>
        <stp>EM_HKS_VAL_MV</stp>
        <stp>3</stp>
        <stp>601111</stp>
        <stp>2019-12-31</stp>
        <stp>2</stp>
        <tr r="L1102" s="1"/>
      </tp>
      <tp>
        <v>164707961459.91</v>
        <stp/>
        <stp>EM_HKS_VAL_MV</stp>
        <stp>3</stp>
        <stp>601211</stp>
        <stp>2019-12-31</stp>
        <stp>2</stp>
        <tr r="L1188" s="1"/>
      </tp>
      <tp>
        <v>8102666474.8400002</v>
        <stp/>
        <stp>EM_HKS_VAL_MV</stp>
        <stp>3</stp>
        <stp>601311</stp>
        <stp>2019-12-31</stp>
        <stp>2</stp>
        <tr r="L1920" s="1"/>
      </tp>
      <tp>
        <v>18716250000</v>
        <stp/>
        <stp>EM_HKS_VAL_MV</stp>
        <stp>3</stp>
        <stp>601611</stp>
        <stp>2019-12-31</stp>
        <stp>2</stp>
        <tr r="L1819" s="1"/>
      </tp>
      <tp>
        <v>16274362790</v>
        <stp/>
        <stp>EM_HKS_VAL_MV</stp>
        <stp>3</stp>
        <stp>601811</stp>
        <stp>2019-12-31</stp>
        <stp>2</stp>
        <tr r="L728" s="1"/>
      </tp>
      <tp>
        <v>1929198314.0799999</v>
        <stp/>
        <stp>EM_HKS_VAL_MV</stp>
        <stp>3</stp>
        <stp>002076</stp>
        <stp>2019-12-31</stp>
        <stp>2</stp>
        <tr r="L3626" s="1"/>
      </tp>
      <tp>
        <v>6415784184.5600004</v>
        <stp/>
        <stp>EM_HKS_VAL_MV</stp>
        <stp>3</stp>
        <stp>002176</stp>
        <stp>2019-12-31</stp>
        <stp>2</stp>
        <tr r="L3286" s="1"/>
      </tp>
      <tp>
        <v>8604914404.3799992</v>
        <stp/>
        <stp>EM_HKS_VAL_MV</stp>
        <stp>3</stp>
        <stp>002276</stp>
        <stp>2019-12-31</stp>
        <stp>2</stp>
        <tr r="L361" s="1"/>
      </tp>
      <tp>
        <v>8055120064.1999998</v>
        <stp/>
        <stp>EM_HKS_VAL_MV</stp>
        <stp>3</stp>
        <stp>002376</stp>
        <stp>2019-12-31</stp>
        <stp>2</stp>
        <tr r="L3097" s="1"/>
      </tp>
      <tp>
        <v>3904560000</v>
        <stp/>
        <stp>EM_HKS_VAL_MV</stp>
        <stp>3</stp>
        <stp>002476</stp>
        <stp>2019-12-31</stp>
        <stp>2</stp>
        <tr r="L660" s="1"/>
      </tp>
      <tp>
        <v>1621282000</v>
        <stp/>
        <stp>EM_HKS_VAL_MV</stp>
        <stp>3</stp>
        <stp>002576</stp>
        <stp>2019-12-31</stp>
        <stp>2</stp>
        <tr r="L2458" s="1"/>
      </tp>
      <tp>
        <v>2260800000</v>
        <stp/>
        <stp>EM_HKS_VAL_MV</stp>
        <stp>3</stp>
        <stp>002676</stp>
        <stp>2019-12-31</stp>
        <stp>2</stp>
        <tr r="L1749" s="1"/>
      </tp>
      <tp>
        <v>4142516116.1999998</v>
        <stp/>
        <stp>EM_HKS_VAL_MV</stp>
        <stp>3</stp>
        <stp>002776</stp>
        <stp>2019-12-31</stp>
        <stp>2</stp>
        <tr r="L3377" s="1"/>
      </tp>
      <tp>
        <v>5075200000</v>
        <stp/>
        <stp>EM_HKS_VAL_MV</stp>
        <stp>3</stp>
        <stp>002876</stp>
        <stp>2019-12-31</stp>
        <stp>2</stp>
        <tr r="L487" s="1"/>
      </tp>
      <tp>
        <v>2503904000</v>
        <stp/>
        <stp>EM_HKS_VAL_MV</stp>
        <stp>3</stp>
        <stp>603016</stp>
        <stp>2019-12-31</stp>
        <stp>2</stp>
        <tr r="L2520" s="1"/>
      </tp>
      <tp>
        <v>3935451464</v>
        <stp/>
        <stp>EM_HKS_VAL_MV</stp>
        <stp>3</stp>
        <stp>603116</stp>
        <stp>2019-12-31</stp>
        <stp>2</stp>
        <tr r="L2418" s="1"/>
      </tp>
      <tp>
        <v>1888471200</v>
        <stp/>
        <stp>EM_HKS_VAL_MV</stp>
        <stp>3</stp>
        <stp>603316</stp>
        <stp>2019-12-31</stp>
        <stp>2</stp>
        <tr r="L1325" s="1"/>
      </tp>
      <tp>
        <v>3934274400</v>
        <stp/>
        <stp>EM_HKS_VAL_MV</stp>
        <stp>3</stp>
        <stp>603416</stp>
        <stp>2019-12-31</stp>
        <stp>2</stp>
        <tr r="L745" s="1"/>
      </tp>
      <tp>
        <v>4975374786.1999998</v>
        <stp/>
        <stp>EM_HKS_VAL_MV</stp>
        <stp>3</stp>
        <stp>603516</stp>
        <stp>2019-12-31</stp>
        <stp>2</stp>
        <tr r="L366" s="1"/>
      </tp>
      <tp>
        <v>2417286400</v>
        <stp/>
        <stp>EM_HKS_VAL_MV</stp>
        <stp>3</stp>
        <stp>603616</stp>
        <stp>2019-12-31</stp>
        <stp>2</stp>
        <tr r="L3209" s="1"/>
      </tp>
      <tp>
        <v>3464877245.0100002</v>
        <stp/>
        <stp>EM_HKS_VAL_MV</stp>
        <stp>3</stp>
        <stp>603716</stp>
        <stp>2019-12-31</stp>
        <stp>2</stp>
        <tr r="L2838" s="1"/>
      </tp>
      <tp>
        <v>27520939449.209999</v>
        <stp/>
        <stp>EM_HKS_VAL_MV</stp>
        <stp>3</stp>
        <stp>603816</stp>
        <stp>2019-12-31</stp>
        <stp>2</stp>
        <tr r="L2230" s="1"/>
      </tp>
      <tp>
        <v>5243096800</v>
        <stp/>
        <stp>EM_HKS_VAL_MV</stp>
        <stp>3</stp>
        <stp>603916</stp>
        <stp>2019-12-31</stp>
        <stp>2</stp>
        <tr r="L639" s="1"/>
      </tp>
      <tp>
        <v>3409920000</v>
        <stp/>
        <stp>EM_HKS_VAL_MV</stp>
        <stp>3</stp>
        <stp>300046</stp>
        <stp>2019-12-31</stp>
        <stp>2</stp>
        <tr r="L595" s="1"/>
      </tp>
      <tp>
        <v>276267060747.62</v>
        <stp/>
        <stp>EM_HKS_VAL_MV</stp>
        <stp>3</stp>
        <stp>600016</stp>
        <stp>2019-12-31</stp>
        <stp>2</stp>
        <tr r="L1730" s="1"/>
      </tp>
      <tp>
        <v>25778803704.66</v>
        <stp/>
        <stp>EM_HKS_VAL_MV</stp>
        <stp>3</stp>
        <stp>300146</stp>
        <stp>2019-12-31</stp>
        <stp>2</stp>
        <tr r="L2523" s="1"/>
      </tp>
      <tp>
        <v>7536911760.1800003</v>
        <stp/>
        <stp>EM_HKS_VAL_MV</stp>
        <stp>3</stp>
        <stp>600116</stp>
        <stp>2019-12-31</stp>
        <stp>2</stp>
        <tr r="L2123" s="1"/>
      </tp>
      <tp>
        <v>2261442240</v>
        <stp/>
        <stp>EM_HKS_VAL_MV</stp>
        <stp>3</stp>
        <stp>300246</stp>
        <stp>2019-12-31</stp>
        <stp>2</stp>
        <tr r="L740" s="1"/>
      </tp>
      <tp>
        <v>12884458800</v>
        <stp/>
        <stp>EM_HKS_VAL_MV</stp>
        <stp>3</stp>
        <stp>600216</stp>
        <stp>2019-12-31</stp>
        <stp>2</stp>
        <tr r="L597" s="1"/>
      </tp>
      <tp>
        <v>6668940949.5500002</v>
        <stp/>
        <stp>EM_HKS_VAL_MV</stp>
        <stp>3</stp>
        <stp>300346</stp>
        <stp>2019-12-31</stp>
        <stp>2</stp>
        <tr r="L214" s="1"/>
      </tp>
      <tp>
        <v>9344002091.3600006</v>
        <stp/>
        <stp>EM_HKS_VAL_MV</stp>
        <stp>3</stp>
        <stp>600316</stp>
        <stp>2019-12-31</stp>
        <stp>2</stp>
        <tr r="L937" s="1"/>
      </tp>
      <tp>
        <v>3205080000</v>
        <stp/>
        <stp>EM_HKS_VAL_MV</stp>
        <stp>3</stp>
        <stp>300446</stp>
        <stp>2019-12-31</stp>
        <stp>2</stp>
        <tr r="L1334" s="1"/>
      </tp>
      <tp>
        <v>6753257080.5</v>
        <stp/>
        <stp>EM_HKS_VAL_MV</stp>
        <stp>3</stp>
        <stp>600416</stp>
        <stp>2019-12-31</stp>
        <stp>2</stp>
        <tr r="L795" s="1"/>
      </tp>
      <tp>
        <v>3370174675.6399999</v>
        <stp/>
        <stp>EM_HKS_VAL_MV</stp>
        <stp>3</stp>
        <stp>000576</stp>
        <stp>2019-12-31</stp>
        <stp>2</stp>
        <tr r="L1024" s="1"/>
      </tp>
      <tp>
        <v>3950305765</v>
        <stp/>
        <stp>EM_HKS_VAL_MV</stp>
        <stp>3</stp>
        <stp>300546</stp>
        <stp>2019-12-31</stp>
        <stp>2</stp>
        <tr r="L1654" s="1"/>
      </tp>
      <tp>
        <v>33057571198.080002</v>
        <stp/>
        <stp>EM_HKS_VAL_MV</stp>
        <stp>3</stp>
        <stp>600516</stp>
        <stp>2019-12-31</stp>
        <stp>2</stp>
        <tr r="L3163" s="1"/>
      </tp>
      <tp>
        <v>11987040876.879999</v>
        <stp/>
        <stp>EM_HKS_VAL_MV</stp>
        <stp>3</stp>
        <stp>000676</stp>
        <stp>2019-12-31</stp>
        <stp>2</stp>
        <tr r="L2517" s="1"/>
      </tp>
      <tp>
        <v>0</v>
        <stp/>
        <stp>EM_HKS_VAL_MV</stp>
        <stp>3</stp>
        <stp>300646</stp>
        <stp>2019-12-31</stp>
        <stp>2</stp>
        <tr r="L10" s="1"/>
      </tp>
      <tp>
        <v>2598826919.5999999</v>
        <stp/>
        <stp>EM_HKS_VAL_MV</stp>
        <stp>3</stp>
        <stp>600616</stp>
        <stp>2019-12-31</stp>
        <stp>2</stp>
        <tr r="L2035" s="1"/>
      </tp>
      <tp>
        <v>115611899862.88</v>
        <stp/>
        <stp>EM_HKS_VAL_MV</stp>
        <stp>3</stp>
        <stp>000776</stp>
        <stp>2019-12-31</stp>
        <stp>2</stp>
        <tr r="L3534" s="1"/>
      </tp>
      <tp>
        <v>3085842943.7600002</v>
        <stp/>
        <stp>EM_HKS_VAL_MV</stp>
        <stp>3</stp>
        <stp>300746</stp>
        <stp>2019-12-31</stp>
        <stp>2</stp>
        <tr r="L3170" s="1"/>
      </tp>
      <tp>
        <v>3903372660.3000002</v>
        <stp/>
        <stp>EM_HKS_VAL_MV</stp>
        <stp>3</stp>
        <stp>600716</stp>
        <stp>2019-12-31</stp>
        <stp>2</stp>
        <tr r="L954" s="1"/>
      </tp>
      <tp>
        <v>84109499429.550003</v>
        <stp/>
        <stp>EM_HKS_VAL_MV</stp>
        <stp>3</stp>
        <stp>000876</stp>
        <stp>2019-12-31</stp>
        <stp>2</stp>
        <tr r="L64" s="1"/>
      </tp>
      <tp>
        <v>24282972360.360001</v>
        <stp/>
        <stp>EM_HKS_VAL_MV</stp>
        <stp>3</stp>
        <stp>600816</stp>
        <stp>2019-12-31</stp>
        <stp>2</stp>
        <tr r="L2137" s="1"/>
      </tp>
      <tp>
        <v>8201789011.4399996</v>
        <stp/>
        <stp>EM_HKS_VAL_MV</stp>
        <stp>3</stp>
        <stp>000976</stp>
        <stp>2019-12-31</stp>
        <stp>2</stp>
        <tr r="L3591" s="1"/>
      </tp>
      <tp>
        <v>10014899600</v>
        <stp/>
        <stp>EM_HKS_VAL_MV</stp>
        <stp>3</stp>
        <stp>601016</stp>
        <stp>2019-12-31</stp>
        <stp>2</stp>
        <tr r="L2133" s="1"/>
      </tp>
      <tp>
        <v>7070528144</v>
        <stp/>
        <stp>EM_HKS_VAL_MV</stp>
        <stp>3</stp>
        <stp>601116</stp>
        <stp>2019-12-31</stp>
        <stp>2</stp>
        <tr r="L1294" s="1"/>
      </tp>
      <tp>
        <v>26410994430.700001</v>
        <stp/>
        <stp>EM_HKS_VAL_MV</stp>
        <stp>3</stp>
        <stp>601216</stp>
        <stp>2019-12-31</stp>
        <stp>2</stp>
        <tr r="L1321" s="1"/>
      </tp>
      <tp>
        <v>2853503750</v>
        <stp/>
        <stp>EM_HKS_VAL_MV</stp>
        <stp>3</stp>
        <stp>601616</stp>
        <stp>2019-12-31</stp>
        <stp>2</stp>
        <tr r="L2516" s="1"/>
      </tp>
      <tp>
        <v>3453073652.3499999</v>
        <stp/>
        <stp>EM_HKS_VAL_MV</stp>
        <stp>3</stp>
        <stp>002077</stp>
        <stp>2019-12-31</stp>
        <stp>2</stp>
        <tr r="L3627" s="1"/>
      </tp>
      <tp>
        <v>4194164029.9400001</v>
        <stp/>
        <stp>EM_HKS_VAL_MV</stp>
        <stp>3</stp>
        <stp>002177</stp>
        <stp>2019-12-31</stp>
        <stp>2</stp>
        <tr r="L284" s="1"/>
      </tp>
      <tp>
        <v>4614711968</v>
        <stp/>
        <stp>EM_HKS_VAL_MV</stp>
        <stp>3</stp>
        <stp>002277</stp>
        <stp>2019-12-31</stp>
        <stp>2</stp>
        <tr r="L2034" s="1"/>
      </tp>
      <tp>
        <v>3793586332.1399999</v>
        <stp/>
        <stp>EM_HKS_VAL_MV</stp>
        <stp>3</stp>
        <stp>002377</stp>
        <stp>2019-12-31</stp>
        <stp>2</stp>
        <tr r="L2493" s="1"/>
      </tp>
      <tp>
        <v>532977137.10000002</v>
        <stp/>
        <stp>EM_HKS_VAL_MV</stp>
        <stp>3</stp>
        <stp>002477</stp>
        <stp>2019-12-31</stp>
        <stp>2</stp>
        <tr r="L3410" s="1"/>
      </tp>
      <tp>
        <v>3635008000</v>
        <stp/>
        <stp>EM_HKS_VAL_MV</stp>
        <stp>3</stp>
        <stp>002577</stp>
        <stp>2019-12-31</stp>
        <stp>2</stp>
        <tr r="L919" s="1"/>
      </tp>
      <tp>
        <v>8631250003.9200001</v>
        <stp/>
        <stp>EM_HKS_VAL_MV</stp>
        <stp>3</stp>
        <stp>002677</stp>
        <stp>2019-12-31</stp>
        <stp>2</stp>
        <tr r="L839" s="1"/>
      </tp>
      <tp>
        <v>8164620791.6000004</v>
        <stp/>
        <stp>EM_HKS_VAL_MV</stp>
        <stp>3</stp>
        <stp>002777</stp>
        <stp>2019-12-31</stp>
        <stp>2</stp>
        <tr r="L647" s="1"/>
      </tp>
      <tp>
        <v>2849463296</v>
        <stp/>
        <stp>EM_HKS_VAL_MV</stp>
        <stp>3</stp>
        <stp>002877</stp>
        <stp>2019-12-31</stp>
        <stp>2</stp>
        <tr r="L3315" s="1"/>
      </tp>
      <tp>
        <v>2894206938.5599999</v>
        <stp/>
        <stp>EM_HKS_VAL_MV</stp>
        <stp>3</stp>
        <stp>603017</stp>
        <stp>2019-12-31</stp>
        <stp>2</stp>
        <tr r="L1945" s="1"/>
      </tp>
      <tp>
        <v>2443464163</v>
        <stp/>
        <stp>EM_HKS_VAL_MV</stp>
        <stp>3</stp>
        <stp>603117</stp>
        <stp>2019-12-31</stp>
        <stp>2</stp>
        <tr r="L1955" s="1"/>
      </tp>
      <tp>
        <v>28270895782.75</v>
        <stp/>
        <stp>EM_HKS_VAL_MV</stp>
        <stp>3</stp>
        <stp>603517</stp>
        <stp>2019-12-31</stp>
        <stp>2</stp>
        <tr r="L793" s="1"/>
      </tp>
      <tp>
        <v>2091967528</v>
        <stp/>
        <stp>EM_HKS_VAL_MV</stp>
        <stp>3</stp>
        <stp>603617</stp>
        <stp>2019-12-31</stp>
        <stp>2</stp>
        <tr r="L2807" s="1"/>
      </tp>
      <tp>
        <v>2120553024.8</v>
        <stp/>
        <stp>EM_HKS_VAL_MV</stp>
        <stp>3</stp>
        <stp>603717</stp>
        <stp>2019-12-31</stp>
        <stp>2</stp>
        <tr r="L2608" s="1"/>
      </tp>
      <tp>
        <v>3033024344.8800001</v>
        <stp/>
        <stp>EM_HKS_VAL_MV</stp>
        <stp>3</stp>
        <stp>603817</stp>
        <stp>2019-12-31</stp>
        <stp>2</stp>
        <tr r="L1638" s="1"/>
      </tp>
      <tp>
        <v>1646400000</v>
        <stp/>
        <stp>EM_HKS_VAL_MV</stp>
        <stp>3</stp>
        <stp>603917</stp>
        <stp>2019-12-31</stp>
        <stp>2</stp>
        <tr r="L2852" s="1"/>
      </tp>
      <tp>
        <v>5076447589.1199999</v>
        <stp/>
        <stp>EM_HKS_VAL_MV</stp>
        <stp>3</stp>
        <stp>300047</stp>
        <stp>2019-12-31</stp>
        <stp>2</stp>
        <tr r="L3200" s="1"/>
      </tp>
      <tp>
        <v>8950152814.0799999</v>
        <stp/>
        <stp>EM_HKS_VAL_MV</stp>
        <stp>3</stp>
        <stp>600017</stp>
        <stp>2019-12-31</stp>
        <stp>2</stp>
        <tr r="L1986" s="1"/>
      </tp>
      <tp>
        <v>5860680328.1000004</v>
        <stp/>
        <stp>EM_HKS_VAL_MV</stp>
        <stp>3</stp>
        <stp>300147</stp>
        <stp>2019-12-31</stp>
        <stp>2</stp>
        <tr r="L905" s="1"/>
      </tp>
      <tp>
        <v>3731072159.6399999</v>
        <stp/>
        <stp>EM_HKS_VAL_MV</stp>
        <stp>3</stp>
        <stp>600117</stp>
        <stp>2019-12-31</stp>
        <stp>2</stp>
        <tr r="L2068" s="1"/>
      </tp>
      <tp>
        <v>2275434085.79</v>
        <stp/>
        <stp>EM_HKS_VAL_MV</stp>
        <stp>3</stp>
        <stp>300247</stp>
        <stp>2019-12-31</stp>
        <stp>2</stp>
        <tr r="L2984" s="1"/>
      </tp>
      <tp>
        <v>7109938083.8400002</v>
        <stp/>
        <stp>EM_HKS_VAL_MV</stp>
        <stp>3</stp>
        <stp>600217</stp>
        <stp>2019-12-31</stp>
        <stp>2</stp>
        <tr r="L1105" s="1"/>
      </tp>
      <tp>
        <v>47334532506.900002</v>
        <stp/>
        <stp>EM_HKS_VAL_MV</stp>
        <stp>3</stp>
        <stp>300347</stp>
        <stp>2019-12-31</stp>
        <stp>2</stp>
        <tr r="L672" s="1"/>
      </tp>
      <tp>
        <v>16506106657.65</v>
        <stp/>
        <stp>EM_HKS_VAL_MV</stp>
        <stp>3</stp>
        <stp>600317</stp>
        <stp>2019-12-31</stp>
        <stp>2</stp>
        <tr r="L1634" s="1"/>
      </tp>
      <tp>
        <v>2840835928.8000002</v>
        <stp/>
        <stp>EM_HKS_VAL_MV</stp>
        <stp>3</stp>
        <stp>300447</stp>
        <stp>2019-12-31</stp>
        <stp>2</stp>
        <tr r="L1960" s="1"/>
      </tp>
      <tp>
        <v>2075792085.1800001</v>
        <stp/>
        <stp>EM_HKS_VAL_MV</stp>
        <stp>3</stp>
        <stp>300547</stp>
        <stp>2019-12-31</stp>
        <stp>2</stp>
        <tr r="L3328" s="1"/>
      </tp>
      <tp>
        <v>11174822861.52</v>
        <stp/>
        <stp>EM_HKS_VAL_MV</stp>
        <stp>3</stp>
        <stp>600517</stp>
        <stp>2019-12-31</stp>
        <stp>2</stp>
        <tr r="L72" s="1"/>
      </tp>
      <tp>
        <v>3188078628.1199999</v>
        <stp/>
        <stp>EM_HKS_VAL_MV</stp>
        <stp>3</stp>
        <stp>000677</stp>
        <stp>2019-12-31</stp>
        <stp>2</stp>
        <tr r="L699" s="1"/>
      </tp>
      <tp>
        <v>3140813385.5999999</v>
        <stp/>
        <stp>EM_HKS_VAL_MV</stp>
        <stp>3</stp>
        <stp>300647</stp>
        <stp>2019-12-31</stp>
        <stp>2</stp>
        <tr r="L2744" s="1"/>
      </tp>
      <tp>
        <v>5173845810.8400002</v>
        <stp/>
        <stp>EM_HKS_VAL_MV</stp>
        <stp>3</stp>
        <stp>600617</stp>
        <stp>2019-12-31</stp>
        <stp>2</stp>
        <tr r="L2412" s="1"/>
      </tp>
      <tp>
        <v>4666192106.8100004</v>
        <stp/>
        <stp>EM_HKS_VAL_MV</stp>
        <stp>3</stp>
        <stp>000777</stp>
        <stp>2019-12-31</stp>
        <stp>2</stp>
        <tr r="L1259" s="1"/>
      </tp>
      <tp>
        <v>22617600000</v>
        <stp/>
        <stp>EM_HKS_VAL_MV</stp>
        <stp>3</stp>
        <stp>300747</stp>
        <stp>2019-12-31</stp>
        <stp>2</stp>
        <tr r="L2959" s="1"/>
      </tp>
      <tp>
        <v>12621060088.32</v>
        <stp/>
        <stp>EM_HKS_VAL_MV</stp>
        <stp>3</stp>
        <stp>600717</stp>
        <stp>2019-12-31</stp>
        <stp>2</stp>
        <tr r="L2806" s="1"/>
      </tp>
      <tp>
        <v>12427367064.15</v>
        <stp/>
        <stp>EM_HKS_VAL_MV</stp>
        <stp>3</stp>
        <stp>000877</stp>
        <stp>2019-12-31</stp>
        <stp>2</stp>
        <tr r="L407" s="1"/>
      </tp>
      <tp>
        <v>1169816296.1400001</v>
        <stp/>
        <stp>EM_HKS_VAL_MV</stp>
        <stp>3</stp>
        <stp>600817</stp>
        <stp>2019-12-31</stp>
        <stp>2</stp>
        <tr r="L2126" s="1"/>
      </tp>
      <tp>
        <v>38806490347.099998</v>
        <stp/>
        <stp>EM_HKS_VAL_MV</stp>
        <stp>3</stp>
        <stp>000977</stp>
        <stp>2019-12-31</stp>
        <stp>2</stp>
        <tr r="L206" s="1"/>
      </tp>
      <tp>
        <v>11296560000</v>
        <stp/>
        <stp>EM_HKS_VAL_MV</stp>
        <stp>3</stp>
        <stp>600917</stp>
        <stp>2019-12-31</stp>
        <stp>2</stp>
        <tr r="L2163" s="1"/>
      </tp>
      <tp>
        <v>31768520000</v>
        <stp/>
        <stp>EM_HKS_VAL_MV</stp>
        <stp>3</stp>
        <stp>601117</stp>
        <stp>2019-12-31</stp>
        <stp>2</stp>
        <tr r="L1279" s="1"/>
      </tp>
      <tp>
        <v>11209089763.9</v>
        <stp/>
        <stp>EM_HKS_VAL_MV</stp>
        <stp>3</stp>
        <stp>601717</stp>
        <stp>2019-12-31</stp>
        <stp>2</stp>
        <tr r="L1407" s="1"/>
      </tp>
      <tp>
        <v>16538269416.450001</v>
        <stp/>
        <stp>EM_HKS_VAL_MV</stp>
        <stp>3</stp>
        <stp>002074</stp>
        <stp>2019-12-31</stp>
        <stp>2</stp>
        <tr r="L1128" s="1"/>
      </tp>
      <tp>
        <v>20674647404.709999</v>
        <stp/>
        <stp>EM_HKS_VAL_MV</stp>
        <stp>3</stp>
        <stp>002174</stp>
        <stp>2019-12-31</stp>
        <stp>2</stp>
        <tr r="L1138" s="1"/>
      </tp>
      <tp>
        <v>6123704673.7799997</v>
        <stp/>
        <stp>EM_HKS_VAL_MV</stp>
        <stp>3</stp>
        <stp>002274</stp>
        <stp>2019-12-31</stp>
        <stp>2</stp>
        <tr r="L999" s="1"/>
      </tp>
      <tp>
        <v>2553313931.8800001</v>
        <stp/>
        <stp>EM_HKS_VAL_MV</stp>
        <stp>3</stp>
        <stp>002374</stp>
        <stp>2019-12-31</stp>
        <stp>2</stp>
        <tr r="L2545" s="1"/>
      </tp>
      <tp>
        <v>5319810000</v>
        <stp/>
        <stp>EM_HKS_VAL_MV</stp>
        <stp>3</stp>
        <stp>002474</stp>
        <stp>2019-12-31</stp>
        <stp>2</stp>
        <tr r="L779" s="1"/>
      </tp>
      <tp>
        <v>2698080000</v>
        <stp/>
        <stp>EM_HKS_VAL_MV</stp>
        <stp>3</stp>
        <stp>002574</stp>
        <stp>2019-12-31</stp>
        <stp>2</stp>
        <tr r="L2095" s="1"/>
      </tp>
      <tp>
        <v>3341028711.7199998</v>
        <stp/>
        <stp>EM_HKS_VAL_MV</stp>
        <stp>3</stp>
        <stp>002674</stp>
        <stp>2019-12-31</stp>
        <stp>2</stp>
        <tr r="L622" s="1"/>
      </tp>
      <tp>
        <v>2611306080</v>
        <stp/>
        <stp>EM_HKS_VAL_MV</stp>
        <stp>3</stp>
        <stp>002774</stp>
        <stp>2019-12-31</stp>
        <stp>2</stp>
        <tr r="L2622" s="1"/>
      </tp>
      <tp>
        <v>4296683900</v>
        <stp/>
        <stp>EM_HKS_VAL_MV</stp>
        <stp>3</stp>
        <stp>603214</stp>
        <stp>2019-12-31</stp>
        <stp>2</stp>
        <tr r="L1650" s="1"/>
      </tp>
      <tp>
        <v>5147150906.9200001</v>
        <stp/>
        <stp>EM_HKS_VAL_MV</stp>
        <stp>3</stp>
        <stp>300044</stp>
        <stp>2019-12-31</stp>
        <stp>2</stp>
        <tr r="L1874" s="1"/>
      </tp>
      <tp>
        <v>44900107098</v>
        <stp/>
        <stp>EM_HKS_VAL_MV</stp>
        <stp>3</stp>
        <stp>300144</stp>
        <stp>2019-12-31</stp>
        <stp>2</stp>
        <tr r="L664" s="1"/>
      </tp>
      <tp>
        <v>5289484517.46</v>
        <stp/>
        <stp>EM_HKS_VAL_MV</stp>
        <stp>3</stp>
        <stp>600114</stp>
        <stp>2019-12-31</stp>
        <stp>2</stp>
        <tr r="L729" s="1"/>
      </tp>
      <tp>
        <v>13730742090.48</v>
        <stp/>
        <stp>EM_HKS_VAL_MV</stp>
        <stp>3</stp>
        <stp>300244</stp>
        <stp>2019-12-31</stp>
        <stp>2</stp>
        <tr r="L671" s="1"/>
      </tp>
      <tp>
        <v>2986611481.2800002</v>
        <stp/>
        <stp>EM_HKS_VAL_MV</stp>
        <stp>3</stp>
        <stp>300344</stp>
        <stp>2019-12-31</stp>
        <stp>2</stp>
        <tr r="L2757" s="1"/>
      </tp>
      <tp>
        <v>2922746003.5799999</v>
        <stp/>
        <stp>EM_HKS_VAL_MV</stp>
        <stp>3</stp>
        <stp>300444</stp>
        <stp>2019-12-31</stp>
        <stp>2</stp>
        <tr r="L3128" s="1"/>
      </tp>
      <tp>
        <v>1898240000</v>
        <stp/>
        <stp>EM_HKS_VAL_MV</stp>
        <stp>3</stp>
        <stp>300644</stp>
        <stp>2019-12-31</stp>
        <stp>2</stp>
        <tr r="L2969" s="1"/>
      </tp>
      <tp>
        <v>2857021225.54</v>
        <stp/>
        <stp>EM_HKS_VAL_MV</stp>
        <stp>3</stp>
        <stp>600614</stp>
        <stp>2019-12-31</stp>
        <stp>2</stp>
        <tr r="L3373" s="1"/>
      </tp>
      <tp>
        <v>1674304146.1300001</v>
        <stp/>
        <stp>EM_HKS_VAL_MV</stp>
        <stp>3</stp>
        <stp>600714</stp>
        <stp>2019-12-31</stp>
        <stp>2</stp>
        <tr r="L2212" s="1"/>
      </tp>
      <tp>
        <v>3639486198.2199998</v>
        <stp/>
        <stp>EM_HKS_VAL_MV</stp>
        <stp>3</stp>
        <stp>600814</stp>
        <stp>2019-12-31</stp>
        <stp>2</stp>
        <tr r="L2267" s="1"/>
      </tp>
      <tp>
        <v>13748188139.559999</v>
        <stp/>
        <stp>EM_HKS_VAL_MV</stp>
        <stp>3</stp>
        <stp>002075</stp>
        <stp>2019-12-31</stp>
        <stp>2</stp>
        <tr r="L3139" s="1"/>
      </tp>
      <tp>
        <v>1447254167.04</v>
        <stp/>
        <stp>EM_HKS_VAL_MV</stp>
        <stp>3</stp>
        <stp>002175</stp>
        <stp>2019-12-31</stp>
        <stp>2</stp>
        <tr r="L3335" s="1"/>
      </tp>
      <tp>
        <v>7743424000</v>
        <stp/>
        <stp>EM_HKS_VAL_MV</stp>
        <stp>3</stp>
        <stp>002275</stp>
        <stp>2019-12-31</stp>
        <stp>2</stp>
        <tr r="L2210" s="1"/>
      </tp>
      <tp>
        <v>7771979688.3999996</v>
        <stp/>
        <stp>EM_HKS_VAL_MV</stp>
        <stp>3</stp>
        <stp>002375</stp>
        <stp>2019-12-31</stp>
        <stp>2</stp>
        <tr r="L1491" s="1"/>
      </tp>
      <tp>
        <v>195238563437</v>
        <stp/>
        <stp>EM_HKS_VAL_MV</stp>
        <stp>3</stp>
        <stp>002475</stp>
        <stp>2019-12-31</stp>
        <stp>2</stp>
        <tr r="L81" s="1"/>
      </tp>
      <tp>
        <v>4349601600</v>
        <stp/>
        <stp>EM_HKS_VAL_MV</stp>
        <stp>3</stp>
        <stp>002575</stp>
        <stp>2019-12-31</stp>
        <stp>2</stp>
        <tr r="L2631" s="1"/>
      </tp>
      <tp>
        <v>12923672791.860001</v>
        <stp/>
        <stp>EM_HKS_VAL_MV</stp>
        <stp>3</stp>
        <stp>002675</stp>
        <stp>2019-12-31</stp>
        <stp>2</stp>
        <tr r="L177" s="1"/>
      </tp>
      <tp>
        <v>2999647755</v>
        <stp/>
        <stp>EM_HKS_VAL_MV</stp>
        <stp>3</stp>
        <stp>002775</stp>
        <stp>2019-12-31</stp>
        <stp>2</stp>
        <tr r="L2512" s="1"/>
      </tp>
      <tp>
        <v>2066589569.0699999</v>
        <stp/>
        <stp>EM_HKS_VAL_MV</stp>
        <stp>3</stp>
        <stp>002875</stp>
        <stp>2019-12-31</stp>
        <stp>2</stp>
        <tr r="L1887" s="1"/>
      </tp>
      <tp>
        <v>2601292320</v>
        <stp/>
        <stp>EM_HKS_VAL_MV</stp>
        <stp>3</stp>
        <stp>603015</stp>
        <stp>2019-12-31</stp>
        <stp>2</stp>
        <tr r="L1933" s="1"/>
      </tp>
      <tp>
        <v>3730369107.5999999</v>
        <stp/>
        <stp>EM_HKS_VAL_MV</stp>
        <stp>3</stp>
        <stp>603315</stp>
        <stp>2019-12-31</stp>
        <stp>2</stp>
        <tr r="L2056" s="1"/>
      </tp>
      <tp>
        <v>21252952153.049999</v>
        <stp/>
        <stp>EM_HKS_VAL_MV</stp>
        <stp>3</stp>
        <stp>603515</stp>
        <stp>2019-12-31</stp>
        <stp>2</stp>
        <tr r="L2247" s="1"/>
      </tp>
      <tp>
        <v>2309590400</v>
        <stp/>
        <stp>EM_HKS_VAL_MV</stp>
        <stp>3</stp>
        <stp>603615</stp>
        <stp>2019-12-31</stp>
        <stp>2</stp>
        <tr r="L1733" s="1"/>
      </tp>
      <tp>
        <v>5731812926.8400002</v>
        <stp/>
        <stp>EM_HKS_VAL_MV</stp>
        <stp>3</stp>
        <stp>300045</stp>
        <stp>2019-12-31</stp>
        <stp>2</stp>
        <tr r="L1141" s="1"/>
      </tp>
      <tp>
        <v>118020007949.61</v>
        <stp/>
        <stp>EM_HKS_VAL_MV</stp>
        <stp>3</stp>
        <stp>600015</stp>
        <stp>2019-12-31</stp>
        <stp>2</stp>
        <tr r="L2083" s="1"/>
      </tp>
      <tp>
        <v>6674330678.9200001</v>
        <stp/>
        <stp>EM_HKS_VAL_MV</stp>
        <stp>3</stp>
        <stp>300145</stp>
        <stp>2019-12-31</stp>
        <stp>2</stp>
        <tr r="L1801" s="1"/>
      </tp>
      <tp>
        <v>95164948469.429993</v>
        <stp/>
        <stp>EM_HKS_VAL_MV</stp>
        <stp>3</stp>
        <stp>600115</stp>
        <stp>2019-12-31</stp>
        <stp>2</stp>
        <tr r="L1172" s="1"/>
      </tp>
      <tp>
        <v>3031133957.3099999</v>
        <stp/>
        <stp>EM_HKS_VAL_MV</stp>
        <stp>3</stp>
        <stp>300245</stp>
        <stp>2019-12-31</stp>
        <stp>2</stp>
        <tr r="L1646" s="1"/>
      </tp>
      <tp>
        <v>3050615692.8000002</v>
        <stp/>
        <stp>EM_HKS_VAL_MV</stp>
        <stp>3</stp>
        <stp>600215</stp>
        <stp>2019-12-31</stp>
        <stp>2</stp>
        <tr r="L2571" s="1"/>
      </tp>
      <tp>
        <v>3415627038.4200001</v>
        <stp/>
        <stp>EM_HKS_VAL_MV</stp>
        <stp>3</stp>
        <stp>300345</stp>
        <stp>2019-12-31</stp>
        <stp>2</stp>
        <tr r="L115" s="1"/>
      </tp>
      <tp>
        <v>20768427383.34</v>
        <stp/>
        <stp>EM_HKS_VAL_MV</stp>
        <stp>3</stp>
        <stp>600315</stp>
        <stp>2019-12-31</stp>
        <stp>2</stp>
        <tr r="L1565" s="1"/>
      </tp>
      <tp>
        <v>2696555064</v>
        <stp/>
        <stp>EM_HKS_VAL_MV</stp>
        <stp>3</stp>
        <stp>300445</stp>
        <stp>2019-12-31</stp>
        <stp>2</stp>
        <tr r="L314" s="1"/>
      </tp>
      <tp>
        <v>21065238861.119999</v>
        <stp/>
        <stp>EM_HKS_VAL_MV</stp>
        <stp>3</stp>
        <stp>600415</stp>
        <stp>2019-12-31</stp>
        <stp>2</stp>
        <tr r="L1685" s="1"/>
      </tp>
      <tp>
        <v>3811113634.4000001</v>
        <stp/>
        <stp>EM_HKS_VAL_MV</stp>
        <stp>3</stp>
        <stp>300545</stp>
        <stp>2019-12-31</stp>
        <stp>2</stp>
        <tr r="L1071" s="1"/>
      </tp>
      <tp>
        <v>17427862371.599998</v>
        <stp/>
        <stp>EM_HKS_VAL_MV</stp>
        <stp>3</stp>
        <stp>600515</stp>
        <stp>2019-12-31</stp>
        <stp>2</stp>
        <tr r="L2485" s="1"/>
      </tp>
      <tp>
        <v>907941080.27999997</v>
        <stp/>
        <stp>EM_HKS_VAL_MV</stp>
        <stp>3</stp>
        <stp>000675</stp>
        <stp>2019-12-31</stp>
        <stp>2</stp>
        <tr r="L3504" s="1"/>
      </tp>
      <tp>
        <v>1843000004.8499999</v>
        <stp/>
        <stp>EM_HKS_VAL_MV</stp>
        <stp>3</stp>
        <stp>300645</stp>
        <stp>2019-12-31</stp>
        <stp>2</stp>
        <tr r="L3374" s="1"/>
      </tp>
      <tp>
        <v>2150954611.52</v>
        <stp/>
        <stp>EM_HKS_VAL_MV</stp>
        <stp>3</stp>
        <stp>600615</stp>
        <stp>2019-12-31</stp>
        <stp>2</stp>
        <tr r="L1631" s="1"/>
      </tp>
      <tp>
        <v>2610881625.5999999</v>
        <stp/>
        <stp>EM_HKS_VAL_MV</stp>
        <stp>3</stp>
        <stp>300745</stp>
        <stp>2019-12-31</stp>
        <stp>2</stp>
        <tr r="L3282" s="1"/>
      </tp>
      <tp>
        <v>6584729925</v>
        <stp/>
        <stp>EM_HKS_VAL_MV</stp>
        <stp>3</stp>
        <stp>600715</stp>
        <stp>2019-12-31</stp>
        <stp>2</stp>
        <tr r="L3118" s="1"/>
      </tp>
      <tp>
        <v>6739425897.1999998</v>
        <stp/>
        <stp>EM_HKS_VAL_MV</stp>
        <stp>3</stp>
        <stp>000875</stp>
        <stp>2019-12-31</stp>
        <stp>2</stp>
        <tr r="L1036" s="1"/>
      </tp>
      <tp>
        <v>5127133047.1999998</v>
        <stp/>
        <stp>EM_HKS_VAL_MV</stp>
        <stp>3</stp>
        <stp>600815</stp>
        <stp>2019-12-31</stp>
        <stp>2</stp>
        <tr r="L2476" s="1"/>
      </tp>
      <tp>
        <v>26993707169.669998</v>
        <stp/>
        <stp>EM_HKS_VAL_MV</stp>
        <stp>3</stp>
        <stp>000975</stp>
        <stp>2019-12-31</stp>
        <stp>2</stp>
        <tr r="L930" s="1"/>
      </tp>
      <tp>
        <v>5215326313.6000004</v>
        <stp/>
        <stp>EM_HKS_VAL_MV</stp>
        <stp>3</stp>
        <stp>601015</stp>
        <stp>2019-12-31</stp>
        <stp>2</stp>
        <tr r="L3317" s="1"/>
      </tp>
      <tp>
        <v>9007200000</v>
        <stp/>
        <stp>EM_HKS_VAL_MV</stp>
        <stp>3</stp>
        <stp>601515</stp>
        <stp>2019-12-31</stp>
        <stp>2</stp>
        <tr r="L2559" s="1"/>
      </tp>
      <tp>
        <v>58.523981390000003</v>
        <stp/>
        <stp>EM_S_PQ_PCTCHANGE</stp>
        <stp>4</stp>
        <stp>300468</stp>
        <stp>2018-01-01</stp>
        <stp>2019-12-31</stp>
        <stp>3</stp>
        <tr r="F55" s="1"/>
      </tp>
      <tp>
        <v>39.713971399999998</v>
        <stp/>
        <stp>EM_S_PQ_PCTCHANGE</stp>
        <stp>4</stp>
        <stp>300679</stp>
        <stp>2018-12-31</stp>
        <stp>2019-12-30</stp>
        <stp>1</stp>
        <tr r="G739" s="1"/>
      </tp>
      <tp>
        <v>11.005494880000001</v>
        <stp/>
        <stp>EM_S_PQ_PCTCHANGE</stp>
        <stp>4</stp>
        <stp>600438</stp>
        <stp>2018-01-01</stp>
        <stp>2019-12-31</stp>
        <stp>3</stp>
        <tr r="F448" s="1"/>
      </tp>
      <tp>
        <v>-23.247559890000002</v>
        <stp/>
        <stp>EM_S_PQ_PCTCHANGE</stp>
        <stp>4</stp>
        <stp>600629</stp>
        <stp>2018-12-31</stp>
        <stp>2019-12-30</stp>
        <stp>1</stp>
        <tr r="G3119" s="1"/>
      </tp>
      <tp>
        <v>111.23980089</v>
        <stp/>
        <stp>EM_S_PQ_PCTCHANGE</stp>
        <stp>4</stp>
        <stp>002458</stp>
        <stp>2018-01-01</stp>
        <stp>2019-12-31</stp>
        <stp>3</stp>
        <tr r="F190" s="1"/>
      </tp>
      <tp>
        <v>35.74351978</v>
        <stp/>
        <stp>EM_S_PQ_PCTCHANGE</stp>
        <stp>4</stp>
        <stp>002649</stp>
        <stp>2018-12-31</stp>
        <stp>2019-12-30</stp>
        <stp>1</stp>
        <tr r="G807" s="1"/>
      </tp>
      <tp>
        <v>70.720941640000007</v>
        <stp/>
        <stp>EM_S_PQ_PCTCHANGE</stp>
        <stp>4</stp>
        <stp>601628</stp>
        <stp>2018-12-31</stp>
        <stp>2019-12-30</stp>
        <stp>1</stp>
        <tr r="G308" s="1"/>
      </tp>
      <tp>
        <v>22.680234559999999</v>
        <stp/>
        <stp>EM_S_PQ_PCTCHANGE</stp>
        <stp>4</stp>
        <stp>300469</stp>
        <stp>2018-01-01</stp>
        <stp>2019-12-31</stp>
        <stp>3</stp>
        <tr r="F2968" s="1"/>
      </tp>
      <tp>
        <v>16.41870351</v>
        <stp/>
        <stp>EM_S_PQ_PCTCHANGE</stp>
        <stp>4</stp>
        <stp>300678</stp>
        <stp>2018-12-31</stp>
        <stp>2019-12-30</stp>
        <stp>1</stp>
        <tr r="G1418" s="1"/>
      </tp>
      <tp>
        <v>-34.042240970000002</v>
        <stp/>
        <stp>EM_S_PQ_PCTCHANGE</stp>
        <stp>4</stp>
        <stp>600439</stp>
        <stp>2018-01-01</stp>
        <stp>2019-12-31</stp>
        <stp>3</stp>
        <tr r="F823" s="1"/>
      </tp>
      <tp>
        <v>47.476340690000001</v>
        <stp/>
        <stp>EM_S_PQ_PCTCHANGE</stp>
        <stp>4</stp>
        <stp>600628</stp>
        <stp>2018-12-31</stp>
        <stp>2019-12-30</stp>
        <stp>1</stp>
        <tr r="G603" s="1"/>
      </tp>
      <tp>
        <v>9.1034482800000003</v>
        <stp/>
        <stp>EM_S_PQ_PCTCHANGE</stp>
        <stp>4</stp>
        <stp>603628</stp>
        <stp>2018-12-31</stp>
        <stp>2019-12-30</stp>
        <stp>1</stp>
        <tr r="G1789" s="1"/>
      </tp>
      <tp>
        <v>-5.8922558900000004</v>
        <stp/>
        <stp>EM_S_PQ_PCTCHANGE</stp>
        <stp>4</stp>
        <stp>002459</stp>
        <stp>2018-01-01</stp>
        <stp>2019-12-31</stp>
        <stp>3</stp>
        <tr r="F871" s="1"/>
      </tp>
      <tp>
        <v>70.630816960000004</v>
        <stp/>
        <stp>EM_S_PQ_PCTCHANGE</stp>
        <stp>4</stp>
        <stp>002648</stp>
        <stp>2018-12-31</stp>
        <stp>2019-12-30</stp>
        <stp>1</stp>
        <tr r="G309" s="1"/>
      </tp>
      <tp>
        <v>23.98968378</v>
        <stp/>
        <stp>EM_S_PQ_PCTCHANGE</stp>
        <stp>4</stp>
        <stp>300460</stp>
        <stp>2018-01-01</stp>
        <stp>2019-12-31</stp>
        <stp>3</stp>
        <tr r="F170" s="1"/>
      </tp>
      <tp>
        <v>30.046674450000001</v>
        <stp/>
        <stp>EM_S_PQ_PCTCHANGE</stp>
        <stp>4</stp>
        <stp>300671</stp>
        <stp>2018-12-31</stp>
        <stp>2019-12-30</stp>
        <stp>1</stp>
        <tr r="G929" s="1"/>
      </tp>
      <tp>
        <v>71.867881550000007</v>
        <stp/>
        <stp>EM_S_PQ_PCTCHANGE</stp>
        <stp>4</stp>
        <stp>600621</stp>
        <stp>2018-12-31</stp>
        <stp>2019-12-30</stp>
        <stp>1</stp>
        <tr r="G302" s="1"/>
      </tp>
      <tp>
        <v>-84.078893719999996</v>
        <stp/>
        <stp>EM_S_PQ_PCTCHANGE</stp>
        <stp>4</stp>
        <stp>002450</stp>
        <stp>2018-01-01</stp>
        <stp>2019-12-31</stp>
        <stp>3</stp>
        <tr r="F3380" s="1"/>
      </tp>
      <tp>
        <v>40.797546009999998</v>
        <stp/>
        <stp>EM_S_PQ_PCTCHANGE</stp>
        <stp>4</stp>
        <stp>002641</stp>
        <stp>2018-12-31</stp>
        <stp>2019-12-30</stp>
        <stp>1</stp>
        <tr r="G718" s="1"/>
      </tp>
      <tp>
        <v>-39.171772050000001</v>
        <stp/>
        <stp>EM_S_PQ_PCTCHANGE</stp>
        <stp>4</stp>
        <stp>300461</stp>
        <stp>2018-01-01</stp>
        <stp>2019-12-31</stp>
        <stp>3</stp>
        <tr r="F1686" s="1"/>
      </tp>
      <tp>
        <v>-48.841463410000003</v>
        <stp/>
        <stp>EM_S_PQ_PCTCHANGE</stp>
        <stp>4</stp>
        <stp>300670</stp>
        <stp>2018-12-31</stp>
        <stp>2019-12-30</stp>
        <stp>1</stp>
        <tr r="G3362" s="1"/>
      </tp>
      <tp>
        <v>17.777777780000001</v>
        <stp/>
        <stp>EM_S_PQ_PCTCHANGE</stp>
        <stp>4</stp>
        <stp>600620</stp>
        <stp>2018-12-31</stp>
        <stp>2019-12-30</stp>
        <stp>1</stp>
        <tr r="G1374" s="1"/>
      </tp>
      <tp>
        <v>-67.408156390000002</v>
        <stp/>
        <stp>EM_S_PQ_PCTCHANGE</stp>
        <stp>4</stp>
        <stp>002451</stp>
        <stp>2018-01-01</stp>
        <stp>2019-12-31</stp>
        <stp>3</stp>
        <tr r="F3095" s="1"/>
      </tp>
      <tp>
        <v>-30.092592589999999</v>
        <stp/>
        <stp>EM_S_PQ_PCTCHANGE</stp>
        <stp>4</stp>
        <stp>002640</stp>
        <stp>2018-12-31</stp>
        <stp>2019-12-30</stp>
        <stp>1</stp>
        <tr r="G3219" s="1"/>
      </tp>
      <tp>
        <v>8.3074721700000005</v>
        <stp/>
        <stp>EM_S_PQ_PCTCHANGE</stp>
        <stp>4</stp>
        <stp>300462</stp>
        <stp>2018-01-01</stp>
        <stp>2019-12-31</stp>
        <stp>3</stp>
        <tr r="F369" s="1"/>
      </tp>
      <tp>
        <v>-34.113475180000002</v>
        <stp/>
        <stp>EM_S_PQ_PCTCHANGE</stp>
        <stp>4</stp>
        <stp>300673</stp>
        <stp>2018-12-31</stp>
        <stp>2019-12-30</stp>
        <stp>1</stp>
        <tr r="G3263" s="1"/>
      </tp>
      <tp>
        <v>-79.525222549999995</v>
        <stp/>
        <stp>EM_S_PQ_PCTCHANGE</stp>
        <stp>4</stp>
        <stp>600432</stp>
        <stp>2018-01-01</stp>
        <stp>2019-12-31</stp>
        <stp>3</stp>
        <tr r="F2302" s="1"/>
      </tp>
      <tp>
        <v>-18.06930693</v>
        <stp/>
        <stp>EM_S_PQ_PCTCHANGE</stp>
        <stp>4</stp>
        <stp>600623</stp>
        <stp>2018-12-31</stp>
        <stp>2019-12-30</stp>
        <stp>1</stp>
        <tr r="G3024" s="1"/>
      </tp>
      <tp>
        <v>-21.562343569999999</v>
        <stp/>
        <stp>EM_S_PQ_PCTCHANGE</stp>
        <stp>4</stp>
        <stp>002452</stp>
        <stp>2018-01-01</stp>
        <stp>2019-12-31</stp>
        <stp>3</stp>
        <tr r="F763" s="1"/>
      </tp>
      <tp>
        <v>50.197628459999997</v>
        <stp/>
        <stp>EM_S_PQ_PCTCHANGE</stp>
        <stp>4</stp>
        <stp>002643</stp>
        <stp>2018-12-31</stp>
        <stp>2019-12-30</stp>
        <stp>1</stp>
        <tr r="G561" s="1"/>
      </tp>
      <tp>
        <v>13.79671909</v>
        <stp/>
        <stp>EM_S_PQ_PCTCHANGE</stp>
        <stp>4</stp>
        <stp>300463</stp>
        <stp>2018-01-01</stp>
        <stp>2019-12-31</stp>
        <stp>3</stp>
        <tr r="F238" s="1"/>
      </tp>
      <tp>
        <v>11.429358300000001</v>
        <stp/>
        <stp>EM_S_PQ_PCTCHANGE</stp>
        <stp>4</stp>
        <stp>300672</stp>
        <stp>2018-12-31</stp>
        <stp>2019-12-30</stp>
        <stp>1</stp>
        <tr r="G1657" s="1"/>
      </tp>
      <tp>
        <v>-27.93773989</v>
        <stp/>
        <stp>EM_S_PQ_PCTCHANGE</stp>
        <stp>4</stp>
        <stp>600433</stp>
        <stp>2018-01-01</stp>
        <stp>2019-12-31</stp>
        <stp>3</stp>
        <tr r="F2625" s="1"/>
      </tp>
      <tp>
        <v>-32.627865960000001</v>
        <stp/>
        <stp>EM_S_PQ_PCTCHANGE</stp>
        <stp>4</stp>
        <stp>600622</stp>
        <stp>2018-12-31</stp>
        <stp>2019-12-30</stp>
        <stp>1</stp>
        <tr r="G3247" s="1"/>
      </tp>
      <tp>
        <v>-30.423620029999999</v>
        <stp/>
        <stp>EM_S_PQ_PCTCHANGE</stp>
        <stp>4</stp>
        <stp>002453</stp>
        <stp>2018-01-01</stp>
        <stp>2019-12-31</stp>
        <stp>3</stp>
        <tr r="F2057" s="1"/>
      </tp>
      <tp>
        <v>-5.9006211200000003</v>
        <stp/>
        <stp>EM_S_PQ_PCTCHANGE</stp>
        <stp>4</stp>
        <stp>002642</stp>
        <stp>2018-12-31</stp>
        <stp>2019-12-30</stp>
        <stp>1</stp>
        <tr r="G2603" s="1"/>
      </tp>
      <tp>
        <v>39.832089549999999</v>
        <stp/>
        <stp>EM_S_PQ_PCTCHANGE</stp>
        <stp>4</stp>
        <stp>300464</stp>
        <stp>2018-01-01</stp>
        <stp>2019-12-31</stp>
        <stp>3</stp>
        <tr r="F195" s="1"/>
      </tp>
      <tp>
        <v>-43.786521229999998</v>
        <stp/>
        <stp>EM_S_PQ_PCTCHANGE</stp>
        <stp>4</stp>
        <stp>300675</stp>
        <stp>2018-12-31</stp>
        <stp>2019-12-30</stp>
        <stp>1</stp>
        <tr r="G3339" s="1"/>
      </tp>
      <tp>
        <v>0</v>
        <stp/>
        <stp>EM_S_PQ_PCTCHANGE</stp>
        <stp>4</stp>
        <stp>600625</stp>
        <stp>2018-12-31</stp>
        <stp>2019-12-30</stp>
        <stp>1</stp>
        <tr r="G2307" s="1"/>
      </tp>
      <tp>
        <v>-34.884116229999997</v>
        <stp/>
        <stp>EM_S_PQ_PCTCHANGE</stp>
        <stp>4</stp>
        <stp>002454</stp>
        <stp>2018-01-01</stp>
        <stp>2019-12-31</stp>
        <stp>3</stp>
        <tr r="F1327" s="1"/>
      </tp>
      <tp>
        <v>17.97752809</v>
        <stp/>
        <stp>EM_S_PQ_PCTCHANGE</stp>
        <stp>4</stp>
        <stp>002645</stp>
        <stp>2018-12-31</stp>
        <stp>2019-12-30</stp>
        <stp>1</stp>
        <tr r="G1368" s="1"/>
      </tp>
      <tp>
        <v>9.6683275599999998</v>
        <stp/>
        <stp>EM_S_PQ_PCTCHANGE</stp>
        <stp>4</stp>
        <stp>300465</stp>
        <stp>2018-01-01</stp>
        <stp>2019-12-31</stp>
        <stp>3</stp>
        <tr r="F477" s="1"/>
      </tp>
      <tp>
        <v>-32.37734605</v>
        <stp/>
        <stp>EM_S_PQ_PCTCHANGE</stp>
        <stp>4</stp>
        <stp>600435</stp>
        <stp>2018-01-01</stp>
        <stp>2019-12-31</stp>
        <stp>3</stp>
        <tr r="F1564" s="1"/>
      </tp>
      <tp>
        <v>58.842975209999999</v>
        <stp/>
        <stp>EM_S_PQ_PCTCHANGE</stp>
        <stp>4</stp>
        <stp>600624</stp>
        <stp>2018-12-31</stp>
        <stp>2019-12-30</stp>
        <stp>1</stp>
        <tr r="G437" s="1"/>
      </tp>
      <tp>
        <v>-32.10511486</v>
        <stp/>
        <stp>EM_S_PQ_PCTCHANGE</stp>
        <stp>4</stp>
        <stp>002455</stp>
        <stp>2018-01-01</stp>
        <stp>2019-12-31</stp>
        <stp>3</stp>
        <tr r="F1250" s="1"/>
      </tp>
      <tp>
        <v>-8.7067861700000009</v>
        <stp/>
        <stp>EM_S_PQ_PCTCHANGE</stp>
        <stp>4</stp>
        <stp>002644</stp>
        <stp>2018-12-31</stp>
        <stp>2019-12-30</stp>
        <stp>1</stp>
        <tr r="G2710" s="1"/>
      </tp>
      <tp>
        <v>-46.757652149999998</v>
        <stp/>
        <stp>EM_S_PQ_PCTCHANGE</stp>
        <stp>4</stp>
        <stp>300466</stp>
        <stp>2018-01-01</stp>
        <stp>2019-12-31</stp>
        <stp>3</stp>
        <tr r="F1519" s="1"/>
      </tp>
      <tp>
        <v>14.07205982</v>
        <stp/>
        <stp>EM_S_PQ_PCTCHANGE</stp>
        <stp>4</stp>
        <stp>300677</stp>
        <stp>2018-12-31</stp>
        <stp>2019-12-30</stp>
        <stp>1</stp>
        <tr r="G1528" s="1"/>
      </tp>
      <tp>
        <v>75.42392925</v>
        <stp/>
        <stp>EM_S_PQ_PCTCHANGE</stp>
        <stp>4</stp>
        <stp>600436</stp>
        <stp>2018-01-01</stp>
        <stp>2019-12-31</stp>
        <stp>3</stp>
        <tr r="F1060" s="1"/>
      </tp>
      <tp>
        <v>0</v>
        <stp/>
        <stp>EM_S_PQ_PCTCHANGE</stp>
        <stp>4</stp>
        <stp>600627</stp>
        <stp>2018-12-31</stp>
        <stp>2019-12-30</stp>
        <stp>1</stp>
        <tr r="G2308" s="1"/>
      </tp>
      <tp>
        <v>-23.99830051</v>
        <stp/>
        <stp>EM_S_PQ_PCTCHANGE</stp>
        <stp>4</stp>
        <stp>002456</stp>
        <stp>2018-01-01</stp>
        <stp>2019-12-31</stp>
        <stp>3</stp>
        <tr r="F316" s="1"/>
      </tp>
      <tp>
        <v>28.808864270000001</v>
        <stp/>
        <stp>EM_S_PQ_PCTCHANGE</stp>
        <stp>4</stp>
        <stp>002647</stp>
        <stp>2018-12-31</stp>
        <stp>2019-12-30</stp>
        <stp>1</stp>
        <tr r="G963" s="1"/>
      </tp>
      <tp>
        <v>-58.85913523</v>
        <stp/>
        <stp>EM_S_PQ_PCTCHANGE</stp>
        <stp>4</stp>
        <stp>300467</stp>
        <stp>2018-01-01</stp>
        <stp>2019-12-31</stp>
        <stp>3</stp>
        <tr r="F2940" s="1"/>
      </tp>
      <tp>
        <v>11.83333333</v>
        <stp/>
        <stp>EM_S_PQ_PCTCHANGE</stp>
        <stp>4</stp>
        <stp>300676</stp>
        <stp>2018-12-31</stp>
        <stp>2019-12-30</stp>
        <stp>1</stp>
        <tr r="G1637" s="1"/>
      </tp>
      <tp>
        <v>17.40890688</v>
        <stp/>
        <stp>EM_S_PQ_PCTCHANGE</stp>
        <stp>4</stp>
        <stp>600626</stp>
        <stp>2018-12-31</stp>
        <stp>2019-12-30</stp>
        <stp>1</stp>
        <tr r="G1387" s="1"/>
      </tp>
      <tp>
        <v>38.007863700000001</v>
        <stp/>
        <stp>EM_S_PQ_PCTCHANGE</stp>
        <stp>4</stp>
        <stp>603626</stp>
        <stp>2018-12-31</stp>
        <stp>2019-12-30</stp>
        <stp>1</stp>
        <tr r="G770" s="1"/>
      </tp>
      <tp>
        <v>-29.344685160000001</v>
        <stp/>
        <stp>EM_S_PQ_PCTCHANGE</stp>
        <stp>4</stp>
        <stp>002457</stp>
        <stp>2018-01-01</stp>
        <stp>2019-12-31</stp>
        <stp>3</stp>
        <tr r="F2255" s="1"/>
      </tp>
      <tp>
        <v>0.37348272999999999</v>
        <stp/>
        <stp>EM_S_PQ_PCTCHANGE</stp>
        <stp>4</stp>
        <stp>002646</stp>
        <stp>2018-12-31</stp>
        <stp>2019-12-30</stp>
        <stp>1</stp>
        <tr r="G2254" s="1"/>
      </tp>
      <tp>
        <v>-33.902439020000003</v>
        <stp/>
        <stp>EM_S_PQ_PCTCHANGE</stp>
        <stp>4</stp>
        <stp>000659</stp>
        <stp>2018-12-31</stp>
        <stp>2019-12-30</stp>
        <stp>1</stp>
        <tr r="G3261" s="1"/>
      </tp>
      <tp>
        <v>-46.288317849999999</v>
        <stp/>
        <stp>EM_S_PQ_PCTCHANGE</stp>
        <stp>4</stp>
        <stp>300478</stp>
        <stp>2018-01-01</stp>
        <stp>2019-12-31</stp>
        <stp>3</stp>
        <tr r="F3004" s="1"/>
      </tp>
      <tp>
        <v>55.317982460000003</v>
        <stp/>
        <stp>EM_S_PQ_PCTCHANGE</stp>
        <stp>4</stp>
        <stp>300669</stp>
        <stp>2018-12-31</stp>
        <stp>2019-12-30</stp>
        <stp>1</stp>
        <tr r="G488" s="1"/>
      </tp>
      <tp>
        <v>-32.991453049999997</v>
        <stp/>
        <stp>EM_S_PQ_PCTCHANGE</stp>
        <stp>4</stp>
        <stp>600428</stp>
        <stp>2018-01-01</stp>
        <stp>2019-12-31</stp>
        <stp>3</stp>
        <tr r="F1477" s="1"/>
      </tp>
      <tp>
        <v>19.715808169999999</v>
        <stp/>
        <stp>EM_S_PQ_PCTCHANGE</stp>
        <stp>4</stp>
        <stp>600639</stp>
        <stp>2018-12-31</stp>
        <stp>2019-12-30</stp>
        <stp>1</stp>
        <tr r="G1287" s="1"/>
      </tp>
      <tp>
        <v>-6.7068575700000004</v>
        <stp/>
        <stp>EM_S_PQ_PCTCHANGE</stp>
        <stp>4</stp>
        <stp>603639</stp>
        <stp>2018-12-31</stp>
        <stp>2019-12-30</stp>
        <stp>1</stp>
        <tr r="G2640" s="1"/>
      </tp>
      <tp>
        <v>-38.474383119999999</v>
        <stp/>
        <stp>EM_S_PQ_PCTCHANGE</stp>
        <stp>4</stp>
        <stp>002448</stp>
        <stp>2018-01-01</stp>
        <stp>2019-12-31</stp>
        <stp>3</stp>
        <tr r="F2396" s="1"/>
      </tp>
      <tp>
        <v>-26.340882000000001</v>
        <stp/>
        <stp>EM_S_PQ_PCTCHANGE</stp>
        <stp>4</stp>
        <stp>002659</stp>
        <stp>2018-12-31</stp>
        <stp>2019-12-30</stp>
        <stp>1</stp>
        <tr r="G3175" s="1"/>
      </tp>
      <tp>
        <v>-24.52964235</v>
        <stp/>
        <stp>EM_S_PQ_PCTCHANGE</stp>
        <stp>4</stp>
        <stp>300479</stp>
        <stp>2018-01-01</stp>
        <stp>2019-12-31</stp>
        <stp>3</stp>
        <tr r="F1154" s="1"/>
      </tp>
      <tp>
        <v>-5.5463117000000004</v>
        <stp/>
        <stp>EM_S_PQ_PCTCHANGE</stp>
        <stp>4</stp>
        <stp>300668</stp>
        <stp>2018-12-31</stp>
        <stp>2019-12-30</stp>
        <stp>1</stp>
        <tr r="G2582" s="1"/>
      </tp>
      <tp>
        <v>-14.06327125</v>
        <stp/>
        <stp>EM_S_PQ_PCTCHANGE</stp>
        <stp>4</stp>
        <stp>600429</stp>
        <stp>2018-01-01</stp>
        <stp>2019-12-31</stp>
        <stp>3</stp>
        <tr r="F2394" s="1"/>
      </tp>
      <tp>
        <v>-18.075117370000001</v>
        <stp/>
        <stp>EM_S_PQ_PCTCHANGE</stp>
        <stp>4</stp>
        <stp>600638</stp>
        <stp>2018-12-31</stp>
        <stp>2019-12-30</stp>
        <stp>1</stp>
        <tr r="G3026" s="1"/>
      </tp>
      <tp>
        <v>55.188868030000002</v>
        <stp/>
        <stp>EM_S_PQ_PCTCHANGE</stp>
        <stp>4</stp>
        <stp>603429</stp>
        <stp>2018-01-01</stp>
        <stp>2019-12-31</stp>
        <stp>3</stp>
        <tr r="F535" s="1"/>
      </tp>
      <tp>
        <v>27.013630729999999</v>
        <stp/>
        <stp>EM_S_PQ_PCTCHANGE</stp>
        <stp>4</stp>
        <stp>603638</stp>
        <stp>2018-12-31</stp>
        <stp>2019-12-30</stp>
        <stp>1</stp>
        <tr r="G1019" s="1"/>
      </tp>
      <tp>
        <v>-4.782231E-2</v>
        <stp/>
        <stp>EM_S_PQ_PCTCHANGE</stp>
        <stp>4</stp>
        <stp>002449</stp>
        <stp>2018-01-01</stp>
        <stp>2019-12-31</stp>
        <stp>3</stp>
        <tr r="F1099" s="1"/>
      </tp>
      <tp>
        <v>1.4084506999999999</v>
        <stp/>
        <stp>EM_S_PQ_PCTCHANGE</stp>
        <stp>4</stp>
        <stp>002658</stp>
        <stp>2018-12-31</stp>
        <stp>2019-12-30</stp>
        <stp>1</stp>
        <tr r="G2191" s="1"/>
      </tp>
      <tp>
        <v>83.748949289999999</v>
        <stp/>
        <stp>EM_S_PQ_PCTCHANGE</stp>
        <stp>4</stp>
        <stp>000651</stp>
        <stp>2018-12-31</stp>
        <stp>2019-12-30</stp>
        <stp>1</stp>
        <tr r="G229" s="1"/>
      </tp>
      <tp>
        <v>27.297484959999998</v>
        <stp/>
        <stp>EM_S_PQ_PCTCHANGE</stp>
        <stp>4</stp>
        <stp>300470</stp>
        <stp>2018-01-01</stp>
        <stp>2019-12-31</stp>
        <stp>3</stp>
        <tr r="F1244" s="1"/>
      </tp>
      <tp>
        <v>-28.608208789999999</v>
        <stp/>
        <stp>EM_S_PQ_PCTCHANGE</stp>
        <stp>4</stp>
        <stp>600420</stp>
        <stp>2018-01-01</stp>
        <stp>2019-12-31</stp>
        <stp>3</stp>
        <tr r="F2530" s="1"/>
      </tp>
      <tp>
        <v>0</v>
        <stp/>
        <stp>EM_S_PQ_PCTCHANGE</stp>
        <stp>4</stp>
        <stp>600631</stp>
        <stp>2018-12-31</stp>
        <stp>2019-12-30</stp>
        <stp>1</stp>
        <tr r="G2309" s="1"/>
      </tp>
      <tp>
        <v>-9.1322064800000007</v>
        <stp/>
        <stp>EM_S_PQ_PCTCHANGE</stp>
        <stp>4</stp>
        <stp>002440</stp>
        <stp>2018-01-01</stp>
        <stp>2019-12-31</stp>
        <stp>3</stp>
        <tr r="F1133" s="1"/>
      </tp>
      <tp>
        <v>17.603911979999999</v>
        <stp/>
        <stp>EM_S_PQ_PCTCHANGE</stp>
        <stp>4</stp>
        <stp>002651</stp>
        <stp>2018-12-31</stp>
        <stp>2019-12-30</stp>
        <stp>1</stp>
        <tr r="G1383" s="1"/>
      </tp>
      <tp>
        <v>12.408759119999999</v>
        <stp/>
        <stp>EM_S_PQ_PCTCHANGE</stp>
        <stp>4</stp>
        <stp>000650</stp>
        <stp>2018-12-31</stp>
        <stp>2019-12-30</stp>
        <stp>1</stp>
        <tr r="G1616" s="1"/>
      </tp>
      <tp>
        <v>-26.863705039999999</v>
        <stp/>
        <stp>EM_S_PQ_PCTCHANGE</stp>
        <stp>4</stp>
        <stp>300471</stp>
        <stp>2018-01-01</stp>
        <stp>2019-12-31</stp>
        <stp>3</stp>
        <tr r="F341" s="1"/>
      </tp>
      <tp>
        <v>-16.233090529999998</v>
        <stp/>
        <stp>EM_S_PQ_PCTCHANGE</stp>
        <stp>4</stp>
        <stp>300660</stp>
        <stp>2018-12-31</stp>
        <stp>2019-12-30</stp>
        <stp>1</stp>
        <tr r="G2965" s="1"/>
      </tp>
      <tp>
        <v>-30.017152660000001</v>
        <stp/>
        <stp>EM_S_PQ_PCTCHANGE</stp>
        <stp>4</stp>
        <stp>600421</stp>
        <stp>2018-01-01</stp>
        <stp>2019-12-31</stp>
        <stp>3</stp>
        <tr r="F1884" s="1"/>
      </tp>
      <tp>
        <v>5.2098408100000002</v>
        <stp/>
        <stp>EM_S_PQ_PCTCHANGE</stp>
        <stp>4</stp>
        <stp>600630</stp>
        <stp>2018-12-31</stp>
        <stp>2019-12-30</stp>
        <stp>1</stp>
        <tr r="G2003" s="1"/>
      </tp>
      <tp>
        <v>-30.866480710000001</v>
        <stp/>
        <stp>EM_S_PQ_PCTCHANGE</stp>
        <stp>4</stp>
        <stp>603421</stp>
        <stp>2018-01-01</stp>
        <stp>2019-12-31</stp>
        <stp>3</stp>
        <tr r="F3047" s="1"/>
      </tp>
      <tp>
        <v>0.68702289999999999</v>
        <stp/>
        <stp>EM_S_PQ_PCTCHANGE</stp>
        <stp>4</stp>
        <stp>603630</stp>
        <stp>2018-12-31</stp>
        <stp>2019-12-30</stp>
        <stp>1</stp>
        <tr r="G2235" s="1"/>
      </tp>
      <tp>
        <v>-21.829138690000001</v>
        <stp/>
        <stp>EM_S_PQ_PCTCHANGE</stp>
        <stp>4</stp>
        <stp>002441</stp>
        <stp>2018-01-01</stp>
        <stp>2019-12-31</stp>
        <stp>3</stp>
        <tr r="F1561" s="1"/>
      </tp>
      <tp>
        <v>-1.38888889</v>
        <stp/>
        <stp>EM_S_PQ_PCTCHANGE</stp>
        <stp>4</stp>
        <stp>002650</stp>
        <stp>2018-12-31</stp>
        <stp>2019-12-30</stp>
        <stp>1</stp>
        <tr r="G2392" s="1"/>
      </tp>
      <tp>
        <v>57.857142860000003</v>
        <stp/>
        <stp>EM_S_PQ_PCTCHANGE</stp>
        <stp>4</stp>
        <stp>601633</stp>
        <stp>2018-12-31</stp>
        <stp>2019-12-30</stp>
        <stp>1</stp>
        <tr r="G446" s="1"/>
      </tp>
      <tp>
        <v>-26.258390760000001</v>
        <stp/>
        <stp>EM_S_PQ_PCTCHANGE</stp>
        <stp>4</stp>
        <stp>300472</stp>
        <stp>2018-01-01</stp>
        <stp>2019-12-31</stp>
        <stp>3</stp>
        <tr r="F2439" s="1"/>
      </tp>
      <tp>
        <v>84.765342959999998</v>
        <stp/>
        <stp>EM_S_PQ_PCTCHANGE</stp>
        <stp>4</stp>
        <stp>300663</stp>
        <stp>2018-12-31</stp>
        <stp>2019-12-30</stp>
        <stp>1</stp>
        <tr r="G224" s="1"/>
      </tp>
      <tp>
        <v>18.490572790000002</v>
        <stp/>
        <stp>EM_S_PQ_PCTCHANGE</stp>
        <stp>4</stp>
        <stp>600422</stp>
        <stp>2018-01-01</stp>
        <stp>2019-12-31</stp>
        <stp>3</stp>
        <tr r="F333" s="1"/>
      </tp>
      <tp>
        <v>15.092024540000001</v>
        <stp/>
        <stp>EM_S_PQ_PCTCHANGE</stp>
        <stp>4</stp>
        <stp>600633</stp>
        <stp>2018-12-31</stp>
        <stp>2019-12-30</stp>
        <stp>1</stp>
        <tr r="G1476" s="1"/>
      </tp>
      <tp>
        <v>4.0918163700000001</v>
        <stp/>
        <stp>EM_S_PQ_PCTCHANGE</stp>
        <stp>4</stp>
        <stp>603633</stp>
        <stp>2018-12-31</stp>
        <stp>2019-12-30</stp>
        <stp>1</stp>
        <tr r="G2051" s="1"/>
      </tp>
      <tp>
        <v>-54.22454055</v>
        <stp/>
        <stp>EM_S_PQ_PCTCHANGE</stp>
        <stp>4</stp>
        <stp>002442</stp>
        <stp>2018-01-01</stp>
        <stp>2019-12-31</stp>
        <stp>3</stp>
        <tr r="F3101" s="1"/>
      </tp>
      <tp>
        <v>68.208578639999999</v>
        <stp/>
        <stp>EM_S_PQ_PCTCHANGE</stp>
        <stp>4</stp>
        <stp>002653</stp>
        <stp>2018-12-31</stp>
        <stp>2019-12-30</stp>
        <stp>1</stp>
        <tr r="G337" s="1"/>
      </tp>
      <tp>
        <v>21.262458469999999</v>
        <stp/>
        <stp>EM_S_PQ_PCTCHANGE</stp>
        <stp>4</stp>
        <stp>000652</stp>
        <stp>2018-12-31</stp>
        <stp>2019-12-30</stp>
        <stp>1</stp>
        <tr r="G1224" s="1"/>
      </tp>
      <tp>
        <v>12.46670978</v>
        <stp/>
        <stp>EM_S_PQ_PCTCHANGE</stp>
        <stp>4</stp>
        <stp>300473</stp>
        <stp>2018-01-01</stp>
        <stp>2019-12-31</stp>
        <stp>3</stp>
        <tr r="F898" s="1"/>
      </tp>
      <tp>
        <v>17.030075190000002</v>
        <stp/>
        <stp>EM_S_PQ_PCTCHANGE</stp>
        <stp>4</stp>
        <stp>300662</stp>
        <stp>2018-12-31</stp>
        <stp>2019-12-30</stp>
        <stp>1</stp>
        <tr r="G1399" s="1"/>
      </tp>
      <tp>
        <v>-29.130204760000002</v>
        <stp/>
        <stp>EM_S_PQ_PCTCHANGE</stp>
        <stp>4</stp>
        <stp>600423</stp>
        <stp>2018-01-01</stp>
        <stp>2019-12-31</stp>
        <stp>3</stp>
        <tr r="F2841" s="1"/>
      </tp>
      <tp>
        <v>0</v>
        <stp/>
        <stp>EM_S_PQ_PCTCHANGE</stp>
        <stp>4</stp>
        <stp>600632</stp>
        <stp>2018-12-31</stp>
        <stp>2019-12-30</stp>
        <stp>1</stp>
        <tr r="G2310" s="1"/>
      </tp>
      <tp>
        <v>-22.084145589999999</v>
        <stp/>
        <stp>EM_S_PQ_PCTCHANGE</stp>
        <stp>4</stp>
        <stp>002443</stp>
        <stp>2018-01-01</stp>
        <stp>2019-12-31</stp>
        <stp>3</stp>
        <tr r="F1085" s="1"/>
      </tp>
      <tp>
        <v>1.5544041500000001</v>
        <stp/>
        <stp>EM_S_PQ_PCTCHANGE</stp>
        <stp>4</stp>
        <stp>002652</stp>
        <stp>2018-12-31</stp>
        <stp>2019-12-30</stp>
        <stp>1</stp>
        <tr r="G2182" s="1"/>
      </tp>
      <tp>
        <v>9.4238905099999997</v>
        <stp/>
        <stp>EM_S_PQ_PCTCHANGE</stp>
        <stp>4</stp>
        <stp>300474</stp>
        <stp>2018-01-01</stp>
        <stp>2019-12-31</stp>
        <stp>3</stp>
        <tr r="F392" s="1"/>
      </tp>
      <tp>
        <v>10.32325339</v>
        <stp/>
        <stp>EM_S_PQ_PCTCHANGE</stp>
        <stp>4</stp>
        <stp>300665</stp>
        <stp>2018-12-31</stp>
        <stp>2019-12-30</stp>
        <stp>1</stp>
        <tr r="G1720" s="1"/>
      </tp>
      <tp>
        <v>2.3454157800000002</v>
        <stp/>
        <stp>EM_S_PQ_PCTCHANGE</stp>
        <stp>4</stp>
        <stp>600635</stp>
        <stp>2018-12-31</stp>
        <stp>2019-12-30</stp>
        <stp>1</stp>
        <tr r="G2147" s="1"/>
      </tp>
      <tp>
        <v>-20.8462952</v>
        <stp/>
        <stp>EM_S_PQ_PCTCHANGE</stp>
        <stp>4</stp>
        <stp>002444</stp>
        <stp>2018-01-01</stp>
        <stp>2019-12-31</stp>
        <stp>3</stp>
        <tr r="F1624" s="1"/>
      </tp>
      <tp>
        <v>105.81929556</v>
        <stp/>
        <stp>EM_S_PQ_PCTCHANGE</stp>
        <stp>4</stp>
        <stp>002655</stp>
        <stp>2018-12-31</stp>
        <stp>2019-12-30</stp>
        <stp>1</stp>
        <tr r="G153" s="1"/>
      </tp>
      <tp>
        <v>16.64826424</v>
        <stp/>
        <stp>EM_S_PQ_PCTCHANGE</stp>
        <stp>4</stp>
        <stp>300475</stp>
        <stp>2018-01-01</stp>
        <stp>2019-12-31</stp>
        <stp>3</stp>
        <tr r="F864" s="1"/>
      </tp>
      <tp>
        <v>6.9166666699999997</v>
        <stp/>
        <stp>EM_S_PQ_PCTCHANGE</stp>
        <stp>4</stp>
        <stp>300664</stp>
        <stp>2018-12-31</stp>
        <stp>2019-12-30</stp>
        <stp>1</stp>
        <tr r="G1901" s="1"/>
      </tp>
      <tp>
        <v>0.76726342999999997</v>
        <stp/>
        <stp>EM_S_PQ_PCTCHANGE</stp>
        <stp>4</stp>
        <stp>600425</stp>
        <stp>2018-01-01</stp>
        <stp>2019-12-31</stp>
        <stp>3</stp>
        <tr r="F935" s="1"/>
      </tp>
      <tp>
        <v>-37.647058819999998</v>
        <stp/>
        <stp>EM_S_PQ_PCTCHANGE</stp>
        <stp>4</stp>
        <stp>600634</stp>
        <stp>2018-12-31</stp>
        <stp>2019-12-30</stp>
        <stp>1</stp>
        <tr r="G3293" s="1"/>
      </tp>
      <tp>
        <v>-81.897542450000003</v>
        <stp/>
        <stp>EM_S_PQ_PCTCHANGE</stp>
        <stp>4</stp>
        <stp>002445</stp>
        <stp>2018-01-01</stp>
        <stp>2019-12-31</stp>
        <stp>3</stp>
        <tr r="F3228" s="1"/>
      </tp>
      <tp>
        <v>47.088607590000002</v>
        <stp/>
        <stp>EM_S_PQ_PCTCHANGE</stp>
        <stp>4</stp>
        <stp>002654</stp>
        <stp>2018-12-31</stp>
        <stp>2019-12-30</stp>
        <stp>1</stp>
        <tr r="G606" s="1"/>
      </tp>
      <tp>
        <v>28.383458650000001</v>
        <stp/>
        <stp>EM_S_PQ_PCTCHANGE</stp>
        <stp>4</stp>
        <stp>000657</stp>
        <stp>2018-12-31</stp>
        <stp>2019-12-30</stp>
        <stp>1</stp>
        <tr r="G974" s="1"/>
      </tp>
      <tp>
        <v>25.6894326</v>
        <stp/>
        <stp>EM_S_PQ_PCTCHANGE</stp>
        <stp>4</stp>
        <stp>300476</stp>
        <stp>2018-01-01</stp>
        <stp>2019-12-31</stp>
        <stp>3</stp>
        <tr r="F744" s="1"/>
      </tp>
      <tp>
        <v>13.877397520000001</v>
        <stp/>
        <stp>EM_S_PQ_PCTCHANGE</stp>
        <stp>4</stp>
        <stp>300667</stp>
        <stp>2018-12-31</stp>
        <stp>2019-12-30</stp>
        <stp>1</stp>
        <tr r="G1538" s="1"/>
      </tp>
      <tp>
        <v>27.515388999999999</v>
        <stp/>
        <stp>EM_S_PQ_PCTCHANGE</stp>
        <stp>4</stp>
        <stp>600426</stp>
        <stp>2018-01-01</stp>
        <stp>2019-12-31</stp>
        <stp>3</stp>
        <tr r="F417" s="1"/>
      </tp>
      <tp>
        <v>-9.27734375</v>
        <stp/>
        <stp>EM_S_PQ_PCTCHANGE</stp>
        <stp>4</stp>
        <stp>600637</stp>
        <stp>2018-12-31</stp>
        <stp>2019-12-30</stp>
        <stp>1</stp>
        <tr r="G2727" s="1"/>
      </tp>
      <tp>
        <v>2.7740189399999999</v>
        <stp/>
        <stp>EM_S_PQ_PCTCHANGE</stp>
        <stp>4</stp>
        <stp>603637</stp>
        <stp>2018-12-31</stp>
        <stp>2019-12-30</stp>
        <stp>1</stp>
        <tr r="G2119" s="1"/>
      </tp>
      <tp>
        <v>-11.431298979999999</v>
        <stp/>
        <stp>EM_S_PQ_PCTCHANGE</stp>
        <stp>4</stp>
        <stp>002446</stp>
        <stp>2018-01-01</stp>
        <stp>2019-12-31</stp>
        <stp>3</stp>
        <tr r="F1496" s="1"/>
      </tp>
      <tp>
        <v>45.859872609999996</v>
        <stp/>
        <stp>EM_S_PQ_PCTCHANGE</stp>
        <stp>4</stp>
        <stp>002657</stp>
        <stp>2018-12-31</stp>
        <stp>2019-12-30</stp>
        <stp>1</stp>
        <tr r="G628" s="1"/>
      </tp>
      <tp>
        <v>44.21052632</v>
        <stp/>
        <stp>EM_S_PQ_PCTCHANGE</stp>
        <stp>4</stp>
        <stp>601636</stp>
        <stp>2018-12-31</stp>
        <stp>2019-12-30</stp>
        <stp>1</stp>
        <tr r="G666" s="1"/>
      </tp>
      <tp>
        <v>22.132471729999999</v>
        <stp/>
        <stp>EM_S_PQ_PCTCHANGE</stp>
        <stp>4</stp>
        <stp>000656</stp>
        <stp>2018-12-31</stp>
        <stp>2019-12-30</stp>
        <stp>1</stp>
        <tr r="G1182" s="1"/>
      </tp>
      <tp>
        <v>-13.874131520000001</v>
        <stp/>
        <stp>EM_S_PQ_PCTCHANGE</stp>
        <stp>4</stp>
        <stp>300477</stp>
        <stp>2018-01-01</stp>
        <stp>2019-12-31</stp>
        <stp>3</stp>
        <tr r="F3020" s="1"/>
      </tp>
      <tp>
        <v>4.3562439499999996</v>
        <stp/>
        <stp>EM_S_PQ_PCTCHANGE</stp>
        <stp>4</stp>
        <stp>300666</stp>
        <stp>2018-12-31</stp>
        <stp>2019-12-30</stp>
        <stp>1</stp>
        <tr r="G2037" s="1"/>
      </tp>
      <tp>
        <v>-6.2094531999999996</v>
        <stp/>
        <stp>EM_S_PQ_PCTCHANGE</stp>
        <stp>4</stp>
        <stp>600636</stp>
        <stp>2018-12-31</stp>
        <stp>2019-12-30</stp>
        <stp>1</stp>
        <tr r="G2618" s="1"/>
      </tp>
      <tp>
        <v>17.708333329999999</v>
        <stp/>
        <stp>EM_S_PQ_PCTCHANGE</stp>
        <stp>4</stp>
        <stp>603636</stp>
        <stp>2018-12-31</stp>
        <stp>2019-12-30</stp>
        <stp>1</stp>
        <tr r="G1377" s="1"/>
      </tp>
      <tp>
        <v>-35.673624289999999</v>
        <stp/>
        <stp>EM_S_PQ_PCTCHANGE</stp>
        <stp>4</stp>
        <stp>002447</stp>
        <stp>2018-01-01</stp>
        <stp>2019-12-31</stp>
        <stp>3</stp>
        <tr r="F1388" s="1"/>
      </tp>
      <tp>
        <v>-37.096774189999998</v>
        <stp/>
        <stp>EM_S_PQ_PCTCHANGE</stp>
        <stp>4</stp>
        <stp>002656</stp>
        <stp>2018-12-31</stp>
        <stp>2019-12-30</stp>
        <stp>1</stp>
        <tr r="G3289" s="1"/>
      </tp>
      <tp>
        <v>6.4842275999999996</v>
        <stp/>
        <stp>EM_S_PQ_PCTCHANGE</stp>
        <stp>4</stp>
        <stp>300448</stp>
        <stp>2018-01-01</stp>
        <stp>2019-12-31</stp>
        <stp>3</stp>
        <tr r="F3181" s="1"/>
      </tp>
      <tp>
        <v>224.35573522000001</v>
        <stp/>
        <stp>EM_S_PQ_PCTCHANGE</stp>
        <stp>4</stp>
        <stp>300659</stp>
        <stp>2018-12-31</stp>
        <stp>2019-12-30</stp>
        <stp>1</stp>
        <tr r="G39" s="1"/>
      </tp>
      <tp>
        <v>-46.34948627</v>
        <stp/>
        <stp>EM_S_PQ_PCTCHANGE</stp>
        <stp>4</stp>
        <stp>600418</stp>
        <stp>2018-01-01</stp>
        <stp>2019-12-31</stp>
        <stp>3</stp>
        <tr r="F2111" s="1"/>
      </tp>
      <tp>
        <v>29.03225806</v>
        <stp/>
        <stp>EM_S_PQ_PCTCHANGE</stp>
        <stp>4</stp>
        <stp>600609</stp>
        <stp>2018-12-31</stp>
        <stp>2019-12-30</stp>
        <stp>1</stp>
        <tr r="G955" s="1"/>
      </tp>
      <tp>
        <v>50.967741940000003</v>
        <stp/>
        <stp>EM_S_PQ_PCTCHANGE</stp>
        <stp>4</stp>
        <stp>603609</stp>
        <stp>2018-12-31</stp>
        <stp>2019-12-30</stp>
        <stp>1</stp>
        <tr r="G548" s="1"/>
      </tp>
      <tp>
        <v>13.229260910000001</v>
        <stp/>
        <stp>EM_S_PQ_PCTCHANGE</stp>
        <stp>4</stp>
        <stp>002478</stp>
        <stp>2018-01-01</stp>
        <stp>2019-12-31</stp>
        <stp>3</stp>
        <tr r="F1021" s="1"/>
      </tp>
      <tp>
        <v>34.714003939999998</v>
        <stp/>
        <stp>EM_S_PQ_PCTCHANGE</stp>
        <stp>4</stp>
        <stp>002669</stp>
        <stp>2018-12-31</stp>
        <stp>2019-12-30</stp>
        <stp>1</stp>
        <tr r="G830" s="1"/>
      </tp>
      <tp>
        <v>42.69230769</v>
        <stp/>
        <stp>EM_S_PQ_PCTCHANGE</stp>
        <stp>4</stp>
        <stp>601608</stp>
        <stp>2018-12-31</stp>
        <stp>2019-12-30</stp>
        <stp>1</stp>
        <tr r="G692" s="1"/>
      </tp>
      <tp>
        <v>-5.1594249200000002</v>
        <stp/>
        <stp>EM_S_PQ_PCTCHANGE</stp>
        <stp>4</stp>
        <stp>300449</stp>
        <stp>2018-01-01</stp>
        <stp>2019-12-31</stp>
        <stp>3</stp>
        <tr r="F3249" s="1"/>
      </tp>
      <tp>
        <v>31.91865606</v>
        <stp/>
        <stp>EM_S_PQ_PCTCHANGE</stp>
        <stp>4</stp>
        <stp>300658</stp>
        <stp>2018-12-31</stp>
        <stp>2019-12-30</stp>
        <stp>1</stp>
        <tr r="G886" s="1"/>
      </tp>
      <tp>
        <v>-38.237308380000002</v>
        <stp/>
        <stp>EM_S_PQ_PCTCHANGE</stp>
        <stp>4</stp>
        <stp>600419</stp>
        <stp>2018-01-01</stp>
        <stp>2019-12-31</stp>
        <stp>3</stp>
        <tr r="F2434" s="1"/>
      </tp>
      <tp>
        <v>8.9156626499999998</v>
        <stp/>
        <stp>EM_S_PQ_PCTCHANGE</stp>
        <stp>4</stp>
        <stp>600608</stp>
        <stp>2018-12-31</stp>
        <stp>2019-12-30</stp>
        <stp>1</stp>
        <tr r="G1802" s="1"/>
      </tp>
      <tp>
        <v>-16.184448459999999</v>
        <stp/>
        <stp>EM_S_PQ_PCTCHANGE</stp>
        <stp>4</stp>
        <stp>603608</stp>
        <stp>2018-12-31</stp>
        <stp>2019-12-30</stp>
        <stp>1</stp>
        <tr r="G2963" s="1"/>
      </tp>
      <tp>
        <v>-25.93795987</v>
        <stp/>
        <stp>EM_S_PQ_PCTCHANGE</stp>
        <stp>4</stp>
        <stp>002479</stp>
        <stp>2018-01-01</stp>
        <stp>2019-12-31</stp>
        <stp>3</stp>
        <tr r="F445" s="1"/>
      </tp>
      <tp>
        <v>15.8110883</v>
        <stp/>
        <stp>EM_S_PQ_PCTCHANGE</stp>
        <stp>4</stp>
        <stp>002668</stp>
        <stp>2018-12-31</stp>
        <stp>2019-12-30</stp>
        <stp>1</stp>
        <tr r="G1444" s="1"/>
      </tp>
      <tp>
        <v>34.540977839999996</v>
        <stp/>
        <stp>EM_S_PQ_PCTCHANGE</stp>
        <stp>4</stp>
        <stp>601601</stp>
        <stp>2018-12-31</stp>
        <stp>2019-12-30</stp>
        <stp>1</stp>
        <tr r="G836" s="1"/>
      </tp>
      <tp>
        <v>149.08000000000001</v>
        <stp/>
        <stp>EM_S_PQ_PCTCHANGE</stp>
        <stp>4</stp>
        <stp>000661</stp>
        <stp>2018-12-31</stp>
        <stp>2019-12-30</stp>
        <stp>1</stp>
        <tr r="G85" s="1"/>
      </tp>
      <tp>
        <v>-17.154679040000001</v>
        <stp/>
        <stp>EM_S_PQ_PCTCHANGE</stp>
        <stp>4</stp>
        <stp>300440</stp>
        <stp>2018-01-01</stp>
        <stp>2019-12-31</stp>
        <stp>3</stp>
        <tr r="F675" s="1"/>
      </tp>
      <tp>
        <v>-36.583679109999999</v>
        <stp/>
        <stp>EM_S_PQ_PCTCHANGE</stp>
        <stp>4</stp>
        <stp>300651</stp>
        <stp>2018-12-31</stp>
        <stp>2019-12-30</stp>
        <stp>1</stp>
        <tr r="G3284" s="1"/>
      </tp>
      <tp>
        <v>-1.30845185</v>
        <stp/>
        <stp>EM_S_PQ_PCTCHANGE</stp>
        <stp>4</stp>
        <stp>600410</stp>
        <stp>2018-01-01</stp>
        <stp>2019-12-31</stp>
        <stp>3</stp>
        <tr r="F272" s="1"/>
      </tp>
      <tp>
        <v>44.841269840000002</v>
        <stp/>
        <stp>EM_S_PQ_PCTCHANGE</stp>
        <stp>4</stp>
        <stp>600601</stp>
        <stp>2018-12-31</stp>
        <stp>2019-12-30</stp>
        <stp>1</stp>
        <tr r="G651" s="1"/>
      </tp>
      <tp>
        <v>-5.6356487499999997</v>
        <stp/>
        <stp>EM_S_PQ_PCTCHANGE</stp>
        <stp>4</stp>
        <stp>603601</stp>
        <stp>2018-12-31</stp>
        <stp>2019-12-30</stp>
        <stp>1</stp>
        <tr r="G2589" s="1"/>
      </tp>
      <tp>
        <v>-70.614255110000002</v>
        <stp/>
        <stp>EM_S_PQ_PCTCHANGE</stp>
        <stp>4</stp>
        <stp>002470</stp>
        <stp>2018-01-01</stp>
        <stp>2019-12-31</stp>
        <stp>3</stp>
        <tr r="F3391" s="1"/>
      </tp>
      <tp>
        <v>-8.7520259300000003</v>
        <stp/>
        <stp>EM_S_PQ_PCTCHANGE</stp>
        <stp>4</stp>
        <stp>002661</stp>
        <stp>2018-12-31</stp>
        <stp>2019-12-30</stp>
        <stp>1</stp>
        <tr r="G2711" s="1"/>
      </tp>
      <tp>
        <v>-0.28169013999999998</v>
        <stp/>
        <stp>EM_S_PQ_PCTCHANGE</stp>
        <stp>4</stp>
        <stp>601600</stp>
        <stp>2018-12-31</stp>
        <stp>2019-12-30</stp>
        <stp>1</stp>
        <tr r="G2346" s="1"/>
      </tp>
      <tp>
        <v>-26.746893400000001</v>
        <stp/>
        <stp>EM_S_PQ_PCTCHANGE</stp>
        <stp>4</stp>
        <stp>300441</stp>
        <stp>2018-01-01</stp>
        <stp>2019-12-31</stp>
        <stp>3</stp>
        <tr r="F685" s="1"/>
      </tp>
      <tp>
        <v>25.85438336</v>
        <stp/>
        <stp>EM_S_PQ_PCTCHANGE</stp>
        <stp>4</stp>
        <stp>300650</stp>
        <stp>2018-12-31</stp>
        <stp>2019-12-30</stp>
        <stp>1</stp>
        <tr r="G1066" s="1"/>
      </tp>
      <tp>
        <v>46.557659209999997</v>
        <stp/>
        <stp>EM_S_PQ_PCTCHANGE</stp>
        <stp>4</stp>
        <stp>600600</stp>
        <stp>2018-12-31</stp>
        <stp>2019-12-30</stp>
        <stp>1</stp>
        <tr r="G615" s="1"/>
      </tp>
      <tp>
        <v>70.285714290000001</v>
        <stp/>
        <stp>EM_S_PQ_PCTCHANGE</stp>
        <stp>4</stp>
        <stp>603600</stp>
        <stp>2018-12-31</stp>
        <stp>2019-12-30</stp>
        <stp>1</stp>
        <tr r="G311" s="1"/>
      </tp>
      <tp>
        <v>-41.585487569999998</v>
        <stp/>
        <stp>EM_S_PQ_PCTCHANGE</stp>
        <stp>4</stp>
        <stp>002471</stp>
        <stp>2018-01-01</stp>
        <stp>2019-12-31</stp>
        <stp>3</stp>
        <tr r="F2871" s="1"/>
      </tp>
      <tp>
        <v>49.576988159999999</v>
        <stp/>
        <stp>EM_S_PQ_PCTCHANGE</stp>
        <stp>4</stp>
        <stp>002660</stp>
        <stp>2018-12-31</stp>
        <stp>2019-12-30</stp>
        <stp>1</stp>
        <tr r="G568" s="1"/>
      </tp>
      <tp>
        <v>-29.19644426</v>
        <stp/>
        <stp>EM_S_PQ_PCTCHANGE</stp>
        <stp>4</stp>
        <stp>300442</stp>
        <stp>2018-01-01</stp>
        <stp>2019-12-31</stp>
        <stp>3</stp>
        <tr r="F1232" s="1"/>
      </tp>
      <tp>
        <v>51.545277720000001</v>
        <stp/>
        <stp>EM_S_PQ_PCTCHANGE</stp>
        <stp>4</stp>
        <stp>300653</stp>
        <stp>2018-12-31</stp>
        <stp>2019-12-30</stp>
        <stp>1</stp>
        <tr r="G539" s="1"/>
      </tp>
      <tp>
        <v>20.09803922</v>
        <stp/>
        <stp>EM_S_PQ_PCTCHANGE</stp>
        <stp>4</stp>
        <stp>600603</stp>
        <stp>2018-12-31</stp>
        <stp>2019-12-30</stp>
        <stp>1</stp>
        <tr r="G1271" s="1"/>
      </tp>
      <tp>
        <v>-40.270270269999997</v>
        <stp/>
        <stp>EM_S_PQ_PCTCHANGE</stp>
        <stp>4</stp>
        <stp>603603</stp>
        <stp>2018-12-31</stp>
        <stp>2019-12-30</stp>
        <stp>1</stp>
        <tr r="G3314" s="1"/>
      </tp>
      <tp>
        <v>-41.799504929999998</v>
        <stp/>
        <stp>EM_S_PQ_PCTCHANGE</stp>
        <stp>4</stp>
        <stp>002472</stp>
        <stp>2018-01-01</stp>
        <stp>2019-12-31</stp>
        <stp>3</stp>
        <tr r="F2553" s="1"/>
      </tp>
      <tp>
        <v>14.17004049</v>
        <stp/>
        <stp>EM_S_PQ_PCTCHANGE</stp>
        <stp>4</stp>
        <stp>002663</stp>
        <stp>2018-12-31</stp>
        <stp>2019-12-30</stp>
        <stp>1</stp>
        <tr r="G1524" s="1"/>
      </tp>
      <tp>
        <v>-16.2705196</v>
        <stp/>
        <stp>EM_S_PQ_PCTCHANGE</stp>
        <stp>4</stp>
        <stp>300443</stp>
        <stp>2018-01-01</stp>
        <stp>2019-12-31</stp>
        <stp>3</stp>
        <tr r="F981" s="1"/>
      </tp>
      <tp>
        <v>3.6515388600000001</v>
        <stp/>
        <stp>EM_S_PQ_PCTCHANGE</stp>
        <stp>4</stp>
        <stp>300652</stp>
        <stp>2018-12-31</stp>
        <stp>2019-12-30</stp>
        <stp>1</stp>
        <tr r="G2079" s="1"/>
      </tp>
      <tp>
        <v>66.666666669999998</v>
        <stp/>
        <stp>EM_S_PQ_PCTCHANGE</stp>
        <stp>4</stp>
        <stp>600602</stp>
        <stp>2018-12-31</stp>
        <stp>2019-12-30</stp>
        <stp>1</stp>
        <tr r="G353" s="1"/>
      </tp>
      <tp>
        <v>-14.57049656</v>
        <stp/>
        <stp>EM_S_PQ_PCTCHANGE</stp>
        <stp>4</stp>
        <stp>603602</stp>
        <stp>2018-12-31</stp>
        <stp>2019-12-30</stp>
        <stp>1</stp>
        <tr r="G2921" s="1"/>
      </tp>
      <tp>
        <v>-17.212347990000001</v>
        <stp/>
        <stp>EM_S_PQ_PCTCHANGE</stp>
        <stp>4</stp>
        <stp>002473</stp>
        <stp>2018-01-01</stp>
        <stp>2019-12-31</stp>
        <stp>3</stp>
        <tr r="F797" s="1"/>
      </tp>
      <tp>
        <v>-29.973474800000002</v>
        <stp/>
        <stp>EM_S_PQ_PCTCHANGE</stp>
        <stp>4</stp>
        <stp>002662</stp>
        <stp>2018-12-31</stp>
        <stp>2019-12-30</stp>
        <stp>1</stp>
        <tr r="G3217" s="1"/>
      </tp>
      <tp>
        <v>-25.279329610000001</v>
        <stp/>
        <stp>EM_S_PQ_PCTCHANGE</stp>
        <stp>4</stp>
        <stp>000665</stp>
        <stp>2018-12-31</stp>
        <stp>2019-12-30</stp>
        <stp>1</stp>
        <tr r="G3156" s="1"/>
      </tp>
      <tp>
        <v>-46.785126320000003</v>
        <stp/>
        <stp>EM_S_PQ_PCTCHANGE</stp>
        <stp>4</stp>
        <stp>300444</stp>
        <stp>2018-01-01</stp>
        <stp>2019-12-31</stp>
        <stp>3</stp>
        <tr r="F3128" s="1"/>
      </tp>
      <tp>
        <v>143.72230428</v>
        <stp/>
        <stp>EM_S_PQ_PCTCHANGE</stp>
        <stp>4</stp>
        <stp>300655</stp>
        <stp>2018-12-31</stp>
        <stp>2019-12-30</stp>
        <stp>1</stp>
        <tr r="G94" s="1"/>
      </tp>
      <tp>
        <v>14.90236382</v>
        <stp/>
        <stp>EM_S_PQ_PCTCHANGE</stp>
        <stp>4</stp>
        <stp>600605</stp>
        <stp>2018-12-31</stp>
        <stp>2019-12-30</stp>
        <stp>1</stp>
        <tr r="G1488" s="1"/>
      </tp>
      <tp>
        <v>99.931926480000001</v>
        <stp/>
        <stp>EM_S_PQ_PCTCHANGE</stp>
        <stp>4</stp>
        <stp>603605</stp>
        <stp>2018-12-31</stp>
        <stp>2019-12-30</stp>
        <stp>1</stp>
        <tr r="G169" s="1"/>
      </tp>
      <tp>
        <v>1.7685308799999999</v>
        <stp/>
        <stp>EM_S_PQ_PCTCHANGE</stp>
        <stp>4</stp>
        <stp>002474</stp>
        <stp>2018-01-01</stp>
        <stp>2019-12-31</stp>
        <stp>3</stp>
        <tr r="F779" s="1"/>
      </tp>
      <tp>
        <v>19.928825620000001</v>
        <stp/>
        <stp>EM_S_PQ_PCTCHANGE</stp>
        <stp>4</stp>
        <stp>002665</stp>
        <stp>2018-12-31</stp>
        <stp>2019-12-30</stp>
        <stp>1</stp>
        <tr r="G1281" s="1"/>
      </tp>
      <tp>
        <v>6.1490155700000004</v>
        <stp/>
        <stp>EM_S_PQ_PCTCHANGE</stp>
        <stp>4</stp>
        <stp>300445</stp>
        <stp>2018-01-01</stp>
        <stp>2019-12-31</stp>
        <stp>3</stp>
        <tr r="F314" s="1"/>
      </tp>
      <tp>
        <v>-19.82758621</v>
        <stp/>
        <stp>EM_S_PQ_PCTCHANGE</stp>
        <stp>4</stp>
        <stp>300654</stp>
        <stp>2018-12-31</stp>
        <stp>2019-12-30</stp>
        <stp>1</stp>
        <tr r="G3061" s="1"/>
      </tp>
      <tp>
        <v>-30.80439582</v>
        <stp/>
        <stp>EM_S_PQ_PCTCHANGE</stp>
        <stp>4</stp>
        <stp>600415</stp>
        <stp>2018-01-01</stp>
        <stp>2019-12-31</stp>
        <stp>3</stp>
        <tr r="F1685" s="1"/>
      </tp>
      <tp>
        <v>16.08300908</v>
        <stp/>
        <stp>EM_S_PQ_PCTCHANGE</stp>
        <stp>4</stp>
        <stp>600604</stp>
        <stp>2018-12-31</stp>
        <stp>2019-12-30</stp>
        <stp>1</stp>
        <tr r="G1429" s="1"/>
      </tp>
      <tp>
        <v>164.30047847</v>
        <stp/>
        <stp>EM_S_PQ_PCTCHANGE</stp>
        <stp>4</stp>
        <stp>002475</stp>
        <stp>2018-01-01</stp>
        <stp>2019-12-31</stp>
        <stp>3</stp>
        <tr r="F81" s="1"/>
      </tp>
      <tp>
        <v>28.094462539999999</v>
        <stp/>
        <stp>EM_S_PQ_PCTCHANGE</stp>
        <stp>4</stp>
        <stp>002664</stp>
        <stp>2018-12-31</stp>
        <stp>2019-12-30</stp>
        <stp>1</stp>
        <tr r="G985" s="1"/>
      </tp>
      <tp>
        <v>5.5294117600000003</v>
        <stp/>
        <stp>EM_S_PQ_PCTCHANGE</stp>
        <stp>4</stp>
        <stp>601607</stp>
        <stp>2018-12-31</stp>
        <stp>2019-12-30</stp>
        <stp>1</stp>
        <tr r="G1979" s="1"/>
      </tp>
      <tp>
        <v>21.750267709999999</v>
        <stp/>
        <stp>EM_S_PQ_PCTCHANGE</stp>
        <stp>4</stp>
        <stp>300446</stp>
        <stp>2018-01-01</stp>
        <stp>2019-12-31</stp>
        <stp>3</stp>
        <tr r="F1334" s="1"/>
      </tp>
      <tp>
        <v>21.993127149999999</v>
        <stp/>
        <stp>EM_S_PQ_PCTCHANGE</stp>
        <stp>4</stp>
        <stp>300657</stp>
        <stp>2018-12-31</stp>
        <stp>2019-12-30</stp>
        <stp>1</stp>
        <tr r="G1186" s="1"/>
      </tp>
      <tp>
        <v>-42.622542299999999</v>
        <stp/>
        <stp>EM_S_PQ_PCTCHANGE</stp>
        <stp>4</stp>
        <stp>600416</stp>
        <stp>2018-01-01</stp>
        <stp>2019-12-31</stp>
        <stp>3</stp>
        <tr r="F795" s="1"/>
      </tp>
      <tp>
        <v>0</v>
        <stp/>
        <stp>EM_S_PQ_PCTCHANGE</stp>
        <stp>4</stp>
        <stp>600607</stp>
        <stp>2018-12-31</stp>
        <stp>2019-12-30</stp>
        <stp>1</stp>
        <tr r="G2306" s="1"/>
      </tp>
      <tp>
        <v>-9.6060471199999995</v>
        <stp/>
        <stp>EM_S_PQ_PCTCHANGE</stp>
        <stp>4</stp>
        <stp>603416</stp>
        <stp>2018-01-01</stp>
        <stp>2019-12-31</stp>
        <stp>3</stp>
        <tr r="F745" s="1"/>
      </tp>
      <tp>
        <v>20.538165840000001</v>
        <stp/>
        <stp>EM_S_PQ_PCTCHANGE</stp>
        <stp>4</stp>
        <stp>603607</stp>
        <stp>2018-12-31</stp>
        <stp>2019-12-30</stp>
        <stp>1</stp>
        <tr r="G1256" s="1"/>
      </tp>
      <tp>
        <v>13.79024517</v>
        <stp/>
        <stp>EM_S_PQ_PCTCHANGE</stp>
        <stp>4</stp>
        <stp>002476</stp>
        <stp>2018-01-01</stp>
        <stp>2019-12-31</stp>
        <stp>3</stp>
        <tr r="F660" s="1"/>
      </tp>
      <tp>
        <v>7.3170731699999996</v>
        <stp/>
        <stp>EM_S_PQ_PCTCHANGE</stp>
        <stp>4</stp>
        <stp>002667</stp>
        <stp>2018-12-31</stp>
        <stp>2019-12-30</stp>
        <stp>1</stp>
        <tr r="G1882" s="1"/>
      </tp>
      <tp>
        <v>5.6586270900000004</v>
        <stp/>
        <stp>EM_S_PQ_PCTCHANGE</stp>
        <stp>4</stp>
        <stp>000666</stp>
        <stp>2018-12-31</stp>
        <stp>2019-12-30</stp>
        <stp>1</stp>
        <tr r="G1969" s="1"/>
      </tp>
      <tp>
        <v>-47.95625742</v>
        <stp/>
        <stp>EM_S_PQ_PCTCHANGE</stp>
        <stp>4</stp>
        <stp>300447</stp>
        <stp>2018-01-01</stp>
        <stp>2019-12-31</stp>
        <stp>3</stp>
        <tr r="F1960" s="1"/>
      </tp>
      <tp>
        <v>1.0169491500000001</v>
        <stp/>
        <stp>EM_S_PQ_PCTCHANGE</stp>
        <stp>4</stp>
        <stp>300656</stp>
        <stp>2018-12-31</stp>
        <stp>2019-12-30</stp>
        <stp>1</stp>
        <tr r="G2217" s="1"/>
      </tp>
      <tp>
        <v>12.76595745</v>
        <stp/>
        <stp>EM_S_PQ_PCTCHANGE</stp>
        <stp>4</stp>
        <stp>600606</stp>
        <stp>2018-12-31</stp>
        <stp>2019-12-30</stp>
        <stp>1</stp>
        <tr r="G1591" s="1"/>
      </tp>
      <tp>
        <v>20.268757000000001</v>
        <stp/>
        <stp>EM_S_PQ_PCTCHANGE</stp>
        <stp>4</stp>
        <stp>603606</stp>
        <stp>2018-12-31</stp>
        <stp>2019-12-30</stp>
        <stp>1</stp>
        <tr r="G1264" s="1"/>
      </tp>
      <tp>
        <v>-96.147895599999998</v>
        <stp/>
        <stp>EM_S_PQ_PCTCHANGE</stp>
        <stp>4</stp>
        <stp>002477</stp>
        <stp>2018-01-01</stp>
        <stp>2019-12-31</stp>
        <stp>3</stp>
        <tr r="F3410" s="1"/>
      </tp>
      <tp>
        <v>21.81818182</v>
        <stp/>
        <stp>EM_S_PQ_PCTCHANGE</stp>
        <stp>4</stp>
        <stp>002666</stp>
        <stp>2018-12-31</stp>
        <stp>2019-12-30</stp>
        <stp>1</stp>
        <tr r="G1190" s="1"/>
      </tp>
      <tp>
        <v>-17.849462370000001</v>
        <stp/>
        <stp>EM_S_PQ_PCTCHANGE</stp>
        <stp>4</stp>
        <stp>601619</stp>
        <stp>2018-12-31</stp>
        <stp>2019-12-30</stp>
        <stp>1</stp>
        <tr r="G3015" s="1"/>
      </tp>
      <tp>
        <v>14.127031430000001</v>
        <stp/>
        <stp>EM_S_PQ_PCTCHANGE</stp>
        <stp>4</stp>
        <stp>300458</stp>
        <stp>2018-01-01</stp>
        <stp>2019-12-31</stp>
        <stp>3</stp>
        <tr r="F425" s="1"/>
      </tp>
      <tp>
        <v>-18.70888158</v>
        <stp/>
        <stp>EM_S_PQ_PCTCHANGE</stp>
        <stp>4</stp>
        <stp>300649</stp>
        <stp>2018-12-31</stp>
        <stp>2019-12-30</stp>
        <stp>1</stp>
        <tr r="G3039" s="1"/>
      </tp>
      <tp>
        <v>-24.444444440000002</v>
        <stp/>
        <stp>EM_S_PQ_PCTCHANGE</stp>
        <stp>4</stp>
        <stp>600408</stp>
        <stp>2018-01-01</stp>
        <stp>2019-12-31</stp>
        <stp>3</stp>
        <tr r="F2702" s="1"/>
      </tp>
      <tp>
        <v>-4.0141676500000001</v>
        <stp/>
        <stp>EM_S_PQ_PCTCHANGE</stp>
        <stp>4</stp>
        <stp>600619</stp>
        <stp>2018-12-31</stp>
        <stp>2019-12-30</stp>
        <stp>1</stp>
        <tr r="G2513" s="1"/>
      </tp>
      <tp>
        <v>-9.47164948</v>
        <stp/>
        <stp>EM_S_PQ_PCTCHANGE</stp>
        <stp>4</stp>
        <stp>603619</stp>
        <stp>2018-12-31</stp>
        <stp>2019-12-30</stp>
        <stp>1</stp>
        <tr r="G2734" s="1"/>
      </tp>
      <tp>
        <v>-18.704139529999999</v>
        <stp/>
        <stp>EM_S_PQ_PCTCHANGE</stp>
        <stp>4</stp>
        <stp>002468</stp>
        <stp>2018-01-01</stp>
        <stp>2019-12-31</stp>
        <stp>3</stp>
        <tr r="F1355" s="1"/>
      </tp>
      <tp>
        <v>-5.5652173899999999</v>
        <stp/>
        <stp>EM_S_PQ_PCTCHANGE</stp>
        <stp>4</stp>
        <stp>002679</stp>
        <stp>2018-12-31</stp>
        <stp>2019-12-30</stp>
        <stp>1</stp>
        <tr r="G2584" s="1"/>
      </tp>
      <tp>
        <v>-10.610932480000001</v>
        <stp/>
        <stp>EM_S_PQ_PCTCHANGE</stp>
        <stp>4</stp>
        <stp>601618</stp>
        <stp>2018-12-31</stp>
        <stp>2019-12-30</stp>
        <stp>1</stp>
        <tr r="G2782" s="1"/>
      </tp>
      <tp>
        <v>-47.802864620000001</v>
        <stp/>
        <stp>EM_S_PQ_PCTCHANGE</stp>
        <stp>4</stp>
        <stp>300459</stp>
        <stp>2018-01-01</stp>
        <stp>2019-12-31</stp>
        <stp>3</stp>
        <tr r="F3387" s="1"/>
      </tp>
      <tp>
        <v>-3.4083992699999999</v>
        <stp/>
        <stp>EM_S_PQ_PCTCHANGE</stp>
        <stp>4</stp>
        <stp>300648</stp>
        <stp>2018-12-31</stp>
        <stp>2019-12-30</stp>
        <stp>1</stp>
        <tr r="G2494" s="1"/>
      </tp>
      <tp>
        <v>-29.604942279999999</v>
        <stp/>
        <stp>EM_S_PQ_PCTCHANGE</stp>
        <stp>4</stp>
        <stp>600409</stp>
        <stp>2018-01-01</stp>
        <stp>2019-12-31</stp>
        <stp>3</stp>
        <tr r="F1750" s="1"/>
      </tp>
      <tp>
        <v>12.6348228</v>
        <stp/>
        <stp>EM_S_PQ_PCTCHANGE</stp>
        <stp>4</stp>
        <stp>600618</stp>
        <stp>2018-12-31</stp>
        <stp>2019-12-30</stp>
        <stp>1</stp>
        <tr r="G1601" s="1"/>
      </tp>
      <tp>
        <v>4.5977011499999998</v>
        <stp/>
        <stp>EM_S_PQ_PCTCHANGE</stp>
        <stp>4</stp>
        <stp>603618</stp>
        <stp>2018-12-31</stp>
        <stp>2019-12-30</stp>
        <stp>1</stp>
        <tr r="G2025" s="1"/>
      </tp>
      <tp>
        <v>-35.950331130000002</v>
        <stp/>
        <stp>EM_S_PQ_PCTCHANGE</stp>
        <stp>4</stp>
        <stp>002469</stp>
        <stp>2018-01-01</stp>
        <stp>2019-12-31</stp>
        <stp>3</stp>
        <tr r="F1922" s="1"/>
      </tp>
      <tp>
        <v>42.132867130000001</v>
        <stp/>
        <stp>EM_S_PQ_PCTCHANGE</stp>
        <stp>4</stp>
        <stp>002678</stp>
        <stp>2018-12-31</stp>
        <stp>2019-12-30</stp>
        <stp>1</stp>
        <tr r="G697" s="1"/>
      </tp>
      <tp>
        <v>8.5758039799999999</v>
        <stp/>
        <stp>EM_S_PQ_PCTCHANGE</stp>
        <stp>4</stp>
        <stp>601611</stp>
        <stp>2018-12-31</stp>
        <stp>2019-12-30</stp>
        <stp>1</stp>
        <tr r="G1819" s="1"/>
      </tp>
      <tp>
        <v>64.547206169999995</v>
        <stp/>
        <stp>EM_S_PQ_PCTCHANGE</stp>
        <stp>4</stp>
        <stp>000671</stp>
        <stp>2018-12-31</stp>
        <stp>2019-12-30</stp>
        <stp>1</stp>
        <tr r="G373" s="1"/>
      </tp>
      <tp>
        <v>59.67191794</v>
        <stp/>
        <stp>EM_S_PQ_PCTCHANGE</stp>
        <stp>4</stp>
        <stp>300450</stp>
        <stp>2018-01-01</stp>
        <stp>2019-12-31</stp>
        <stp>3</stp>
        <tr r="F468" s="1"/>
      </tp>
      <tp>
        <v>-0.40322581000000002</v>
        <stp/>
        <stp>EM_S_PQ_PCTCHANGE</stp>
        <stp>4</stp>
        <stp>300641</stp>
        <stp>2018-12-31</stp>
        <stp>2019-12-30</stp>
        <stp>1</stp>
        <tr r="G2353" s="1"/>
      </tp>
      <tp>
        <v>-31.50294139</v>
        <stp/>
        <stp>EM_S_PQ_PCTCHANGE</stp>
        <stp>4</stp>
        <stp>600400</stp>
        <stp>2018-01-01</stp>
        <stp>2019-12-31</stp>
        <stp>3</stp>
        <tr r="F2812" s="1"/>
      </tp>
      <tp>
        <v>1.75438596</v>
        <stp/>
        <stp>EM_S_PQ_PCTCHANGE</stp>
        <stp>4</stp>
        <stp>600611</stp>
        <stp>2018-12-31</stp>
        <stp>2019-12-30</stp>
        <stp>1</stp>
        <tr r="G2175" s="1"/>
      </tp>
      <tp>
        <v>34.77198697</v>
        <stp/>
        <stp>EM_S_PQ_PCTCHANGE</stp>
        <stp>4</stp>
        <stp>603611</stp>
        <stp>2018-12-31</stp>
        <stp>2019-12-30</stp>
        <stp>1</stp>
        <tr r="G826" s="1"/>
      </tp>
      <tp>
        <v>-25.755234139999999</v>
        <stp/>
        <stp>EM_S_PQ_PCTCHANGE</stp>
        <stp>4</stp>
        <stp>002460</stp>
        <stp>2018-01-01</stp>
        <stp>2019-12-31</stp>
        <stp>3</stp>
        <tr r="F490" s="1"/>
      </tp>
      <tp>
        <v>9.7560975600000006</v>
        <stp/>
        <stp>EM_S_PQ_PCTCHANGE</stp>
        <stp>4</stp>
        <stp>002671</stp>
        <stp>2018-12-31</stp>
        <stp>2019-12-30</stp>
        <stp>1</stp>
        <tr r="G1752" s="1"/>
      </tp>
      <tp>
        <v>150.14556146999999</v>
        <stp/>
        <stp>EM_S_PQ_PCTCHANGE</stp>
        <stp>4</stp>
        <stp>300451</stp>
        <stp>2018-01-01</stp>
        <stp>2019-12-31</stp>
        <stp>3</stp>
        <tr r="F2693" s="1"/>
      </tp>
      <tp>
        <v>-12.80167891</v>
        <stp/>
        <stp>EM_S_PQ_PCTCHANGE</stp>
        <stp>4</stp>
        <stp>300640</stp>
        <stp>2018-12-31</stp>
        <stp>2019-12-30</stp>
        <stp>1</stp>
        <tr r="G2861" s="1"/>
      </tp>
      <tp>
        <v>-86.956521739999999</v>
        <stp/>
        <stp>EM_S_PQ_PCTCHANGE</stp>
        <stp>4</stp>
        <stp>600401</stp>
        <stp>2018-01-01</stp>
        <stp>2019-12-31</stp>
        <stp>3</stp>
        <tr r="F3407" s="1"/>
      </tp>
      <tp>
        <v>89.534883719999996</v>
        <stp/>
        <stp>EM_S_PQ_PCTCHANGE</stp>
        <stp>4</stp>
        <stp>600610</stp>
        <stp>2018-12-31</stp>
        <stp>2019-12-30</stp>
        <stp>1</stp>
        <tr r="G203" s="1"/>
      </tp>
      <tp>
        <v>23.845316100000002</v>
        <stp/>
        <stp>EM_S_PQ_PCTCHANGE</stp>
        <stp>4</stp>
        <stp>002461</stp>
        <stp>2018-01-01</stp>
        <stp>2019-12-31</stp>
        <stp>3</stp>
        <tr r="F428" s="1"/>
      </tp>
      <tp>
        <v>21.031746030000001</v>
        <stp/>
        <stp>EM_S_PQ_PCTCHANGE</stp>
        <stp>4</stp>
        <stp>002670</stp>
        <stp>2018-12-31</stp>
        <stp>2019-12-30</stp>
        <stp>1</stp>
        <tr r="G1233" s="1"/>
      </tp>
      <tp>
        <v>-22.249366120000001</v>
        <stp/>
        <stp>EM_S_PQ_PCTCHANGE</stp>
        <stp>4</stp>
        <stp>300452</stp>
        <stp>2018-01-01</stp>
        <stp>2019-12-31</stp>
        <stp>3</stp>
        <tr r="F1739" s="1"/>
      </tp>
      <tp>
        <v>108.08270677</v>
        <stp/>
        <stp>EM_S_PQ_PCTCHANGE</stp>
        <stp>4</stp>
        <stp>300643</stp>
        <stp>2018-12-31</stp>
        <stp>2019-12-30</stp>
        <stp>1</stp>
        <tr r="G149" s="1"/>
      </tp>
      <tp>
        <v>38.085539709999999</v>
        <stp/>
        <stp>EM_S_PQ_PCTCHANGE</stp>
        <stp>4</stp>
        <stp>600613</stp>
        <stp>2018-12-31</stp>
        <stp>2019-12-30</stp>
        <stp>1</stp>
        <tr r="G768" s="1"/>
      </tp>
      <tp>
        <v>-37.348054329999997</v>
        <stp/>
        <stp>EM_S_PQ_PCTCHANGE</stp>
        <stp>4</stp>
        <stp>002462</stp>
        <stp>2018-01-01</stp>
        <stp>2019-12-31</stp>
        <stp>3</stp>
        <tr r="F1795" s="1"/>
      </tp>
      <tp>
        <v>27.640156449999999</v>
        <stp/>
        <stp>EM_S_PQ_PCTCHANGE</stp>
        <stp>4</stp>
        <stp>002673</stp>
        <stp>2018-12-31</stp>
        <stp>2019-12-30</stp>
        <stp>1</stp>
        <tr r="G998" s="1"/>
      </tp>
      <tp>
        <v>106.87203791</v>
        <stp/>
        <stp>EM_S_PQ_PCTCHANGE</stp>
        <stp>4</stp>
        <stp>000672</stp>
        <stp>2018-12-31</stp>
        <stp>2019-12-30</stp>
        <stp>1</stp>
        <tr r="G150" s="1"/>
      </tp>
      <tp>
        <v>-25.972127059999998</v>
        <stp/>
        <stp>EM_S_PQ_PCTCHANGE</stp>
        <stp>4</stp>
        <stp>300453</stp>
        <stp>2018-01-01</stp>
        <stp>2019-12-31</stp>
        <stp>3</stp>
        <tr r="F3248" s="1"/>
      </tp>
      <tp>
        <v>6.8938193300000004</v>
        <stp/>
        <stp>EM_S_PQ_PCTCHANGE</stp>
        <stp>4</stp>
        <stp>300642</stp>
        <stp>2018-12-31</stp>
        <stp>2019-12-30</stp>
        <stp>1</stp>
        <tr r="G1902" s="1"/>
      </tp>
      <tp>
        <v>-9.26355723</v>
        <stp/>
        <stp>EM_S_PQ_PCTCHANGE</stp>
        <stp>4</stp>
        <stp>600403</stp>
        <stp>2018-01-01</stp>
        <stp>2019-12-31</stp>
        <stp>3</stp>
        <tr r="F1468" s="1"/>
      </tp>
      <tp>
        <v>4.2666666700000002</v>
        <stp/>
        <stp>EM_S_PQ_PCTCHANGE</stp>
        <stp>4</stp>
        <stp>600612</stp>
        <stp>2018-12-31</stp>
        <stp>2019-12-30</stp>
        <stp>1</stp>
        <tr r="G2043" s="1"/>
      </tp>
      <tp>
        <v>212.69348622000001</v>
        <stp/>
        <stp>EM_S_PQ_PCTCHANGE</stp>
        <stp>4</stp>
        <stp>002463</stp>
        <stp>2019-01-01</stp>
        <stp>2019-12-31</stp>
        <stp>3</stp>
        <tr r="G42" s="1"/>
      </tp>
      <tp>
        <v>4.5532646000000003</v>
        <stp/>
        <stp>EM_S_PQ_PCTCHANGE</stp>
        <stp>4</stp>
        <stp>603612</stp>
        <stp>2018-12-31</stp>
        <stp>2019-12-30</stp>
        <stp>1</stp>
        <tr r="G2028" s="1"/>
      </tp>
      <tp>
        <v>325.36650141000001</v>
        <stp/>
        <stp>EM_S_PQ_PCTCHANGE</stp>
        <stp>4</stp>
        <stp>002463</stp>
        <stp>2018-01-01</stp>
        <stp>2019-12-31</stp>
        <stp>3</stp>
        <tr r="F42" s="1"/>
      </tp>
      <tp>
        <v>-21.67832168</v>
        <stp/>
        <stp>EM_S_PQ_PCTCHANGE</stp>
        <stp>4</stp>
        <stp>002672</stp>
        <stp>2018-12-31</stp>
        <stp>2019-12-30</stp>
        <stp>1</stp>
        <tr r="G3093" s="1"/>
      </tp>
      <tp>
        <v>281.05459674000002</v>
        <stp/>
        <stp>EM_S_PQ_PCTCHANGE</stp>
        <stp>4</stp>
        <stp>300454</stp>
        <stp>2018-01-01</stp>
        <stp>2019-12-31</stp>
        <stp>3</stp>
        <tr r="F1028" s="1"/>
      </tp>
      <tp>
        <v>-52.229708049999999</v>
        <stp/>
        <stp>EM_S_PQ_PCTCHANGE</stp>
        <stp>4</stp>
        <stp>300645</stp>
        <stp>2018-12-31</stp>
        <stp>2019-12-30</stp>
        <stp>1</stp>
        <tr r="G3374" s="1"/>
      </tp>
      <tp>
        <v>12.11832061</v>
        <stp/>
        <stp>EM_S_PQ_PCTCHANGE</stp>
        <stp>4</stp>
        <stp>600615</stp>
        <stp>2018-12-31</stp>
        <stp>2019-12-30</stp>
        <stp>1</stp>
        <tr r="G1631" s="1"/>
      </tp>
      <tp>
        <v>10.082063310000001</v>
        <stp/>
        <stp>EM_S_PQ_PCTCHANGE</stp>
        <stp>4</stp>
        <stp>603615</stp>
        <stp>2018-12-31</stp>
        <stp>2019-12-30</stp>
        <stp>1</stp>
        <tr r="G1733" s="1"/>
      </tp>
      <tp>
        <v>-49.331957449999997</v>
        <stp/>
        <stp>EM_S_PQ_PCTCHANGE</stp>
        <stp>4</stp>
        <stp>002464</stp>
        <stp>2018-01-01</stp>
        <stp>2019-12-31</stp>
        <stp>3</stp>
        <tr r="F3165" s="1"/>
      </tp>
      <tp>
        <v>96.060991110000003</v>
        <stp/>
        <stp>EM_S_PQ_PCTCHANGE</stp>
        <stp>4</stp>
        <stp>002675</stp>
        <stp>2018-12-31</stp>
        <stp>2019-12-30</stp>
        <stp>1</stp>
        <tr r="G177" s="1"/>
      </tp>
      <tp>
        <v>17.904306309999999</v>
        <stp/>
        <stp>EM_S_PQ_PCTCHANGE</stp>
        <stp>4</stp>
        <stp>300455</stp>
        <stp>2018-01-01</stp>
        <stp>2019-12-31</stp>
        <stp>3</stp>
        <tr r="F388" s="1"/>
      </tp>
      <tp>
        <v>-16.327683619999998</v>
        <stp/>
        <stp>EM_S_PQ_PCTCHANGE</stp>
        <stp>4</stp>
        <stp>300644</stp>
        <stp>2018-12-31</stp>
        <stp>2019-12-30</stp>
        <stp>1</stp>
        <tr r="G2969" s="1"/>
      </tp>
      <tp>
        <v>-27.453987730000001</v>
        <stp/>
        <stp>EM_S_PQ_PCTCHANGE</stp>
        <stp>4</stp>
        <stp>600405</stp>
        <stp>2018-01-01</stp>
        <stp>2019-12-31</stp>
        <stp>3</stp>
        <tr r="F1472" s="1"/>
      </tp>
      <tp>
        <v>-52.089136490000001</v>
        <stp/>
        <stp>EM_S_PQ_PCTCHANGE</stp>
        <stp>4</stp>
        <stp>600614</stp>
        <stp>2018-12-31</stp>
        <stp>2019-12-30</stp>
        <stp>1</stp>
        <tr r="G3373" s="1"/>
      </tp>
      <tp>
        <v>15.180402409999999</v>
        <stp/>
        <stp>EM_S_PQ_PCTCHANGE</stp>
        <stp>4</stp>
        <stp>002465</stp>
        <stp>2018-01-01</stp>
        <stp>2019-12-31</stp>
        <stp>3</stp>
        <tr r="F738" s="1"/>
      </tp>
      <tp>
        <v>46.24505929</v>
        <stp/>
        <stp>EM_S_PQ_PCTCHANGE</stp>
        <stp>4</stp>
        <stp>002674</stp>
        <stp>2018-12-31</stp>
        <stp>2019-12-30</stp>
        <stp>1</stp>
        <tr r="G622" s="1"/>
      </tp>
      <tp>
        <v>41.92307692</v>
        <stp/>
        <stp>EM_S_PQ_PCTCHANGE</stp>
        <stp>4</stp>
        <stp>000677</stp>
        <stp>2018-12-31</stp>
        <stp>2019-12-30</stp>
        <stp>1</stp>
        <tr r="G699" s="1"/>
      </tp>
      <tp>
        <v>56.433167859999998</v>
        <stp/>
        <stp>EM_S_PQ_PCTCHANGE</stp>
        <stp>4</stp>
        <stp>300456</stp>
        <stp>2018-01-01</stp>
        <stp>2019-12-31</stp>
        <stp>3</stp>
        <tr r="F1723" s="1"/>
      </tp>
      <tp>
        <v>-9.73269363</v>
        <stp/>
        <stp>EM_S_PQ_PCTCHANGE</stp>
        <stp>4</stp>
        <stp>300647</stp>
        <stp>2018-12-31</stp>
        <stp>2019-12-30</stp>
        <stp>1</stp>
        <tr r="G2744" s="1"/>
      </tp>
      <tp>
        <v>21.021715360000002</v>
        <stp/>
        <stp>EM_S_PQ_PCTCHANGE</stp>
        <stp>4</stp>
        <stp>600406</stp>
        <stp>2018-01-01</stp>
        <stp>2019-12-31</stp>
        <stp>3</stp>
        <tr r="F1471" s="1"/>
      </tp>
      <tp>
        <v>-1.8556701</v>
        <stp/>
        <stp>EM_S_PQ_PCTCHANGE</stp>
        <stp>4</stp>
        <stp>600617</stp>
        <stp>2018-12-31</stp>
        <stp>2019-12-30</stp>
        <stp>1</stp>
        <tr r="G2412" s="1"/>
      </tp>
      <tp>
        <v>-11.26506024</v>
        <stp/>
        <stp>EM_S_PQ_PCTCHANGE</stp>
        <stp>4</stp>
        <stp>603617</stp>
        <stp>2018-12-31</stp>
        <stp>2019-12-30</stp>
        <stp>1</stp>
        <tr r="G2807" s="1"/>
      </tp>
      <tp>
        <v>-31.856940959999999</v>
        <stp/>
        <stp>EM_S_PQ_PCTCHANGE</stp>
        <stp>4</stp>
        <stp>002466</stp>
        <stp>2018-01-01</stp>
        <stp>2019-12-31</stp>
        <stp>3</stp>
        <tr r="F2482" s="1"/>
      </tp>
      <tp>
        <v>34.403209629999999</v>
        <stp/>
        <stp>EM_S_PQ_PCTCHANGE</stp>
        <stp>4</stp>
        <stp>002677</stp>
        <stp>2018-12-31</stp>
        <stp>2019-12-30</stp>
        <stp>1</stp>
        <tr r="G839" s="1"/>
      </tp>
      <tp>
        <v>-4.10094637</v>
        <stp/>
        <stp>EM_S_PQ_PCTCHANGE</stp>
        <stp>4</stp>
        <stp>601616</stp>
        <stp>2018-12-31</stp>
        <stp>2019-12-30</stp>
        <stp>1</stp>
        <tr r="G2516" s="1"/>
      </tp>
      <tp>
        <v>-4.1095890400000004</v>
        <stp/>
        <stp>EM_S_PQ_PCTCHANGE</stp>
        <stp>4</stp>
        <stp>000676</stp>
        <stp>2018-12-31</stp>
        <stp>2019-12-30</stp>
        <stp>1</stp>
        <tr r="G2517" s="1"/>
      </tp>
      <tp>
        <v>27.478835409999999</v>
        <stp/>
        <stp>EM_S_PQ_PCTCHANGE</stp>
        <stp>4</stp>
        <stp>300457</stp>
        <stp>2018-01-01</stp>
        <stp>2019-12-31</stp>
        <stp>3</stp>
        <tr r="F1422" s="1"/>
      </tp>
      <tp>
        <v>0</v>
        <stp/>
        <stp>EM_S_PQ_PCTCHANGE</stp>
        <stp>4</stp>
        <stp>300646</stp>
        <stp>2018-12-31</stp>
        <stp>2019-12-30</stp>
        <stp>1</stp>
        <tr r="G10" s="1"/>
      </tp>
      <tp>
        <v>4.4117647099999999</v>
        <stp/>
        <stp>EM_S_PQ_PCTCHANGE</stp>
        <stp>4</stp>
        <stp>600616</stp>
        <stp>2018-12-31</stp>
        <stp>2019-12-30</stp>
        <stp>1</stp>
        <tr r="G2035" s="1"/>
      </tp>
      <tp>
        <v>-29.350649350000001</v>
        <stp/>
        <stp>EM_S_PQ_PCTCHANGE</stp>
        <stp>4</stp>
        <stp>603616</stp>
        <stp>2018-12-31</stp>
        <stp>2019-12-30</stp>
        <stp>1</stp>
        <tr r="G3209" s="1"/>
      </tp>
      <tp>
        <v>20.79819723</v>
        <stp/>
        <stp>EM_S_PQ_PCTCHANGE</stp>
        <stp>4</stp>
        <stp>002467</stp>
        <stp>2018-01-01</stp>
        <stp>2019-12-31</stp>
        <stp>3</stp>
        <tr r="F1888" s="1"/>
      </tp>
      <tp>
        <v>9.7902097900000005</v>
        <stp/>
        <stp>EM_S_PQ_PCTCHANGE</stp>
        <stp>4</stp>
        <stp>002676</stp>
        <stp>2018-12-31</stp>
        <stp>2019-12-30</stp>
        <stp>1</stp>
        <tr r="G1749" s="1"/>
      </tp>
      <tp>
        <v>-13.58024691</v>
        <stp/>
        <stp>EM_S_PQ_PCTCHANGE</stp>
        <stp>4</stp>
        <stp>601669</stp>
        <stp>2018-12-31</stp>
        <stp>2019-12-30</stp>
        <stp>1</stp>
        <tr r="G2887" s="1"/>
      </tp>
      <tp>
        <v>-8.2671249800000002</v>
        <stp/>
        <stp>EM_S_PQ_PCTCHANGE</stp>
        <stp>4</stp>
        <stp>000418</stp>
        <stp>2018-01-01</stp>
        <stp>2019-12-31</stp>
        <stp>3</stp>
        <tr r="F870" s="1"/>
      </tp>
      <tp>
        <v>-12.34644392</v>
        <stp/>
        <stp>EM_S_PQ_PCTCHANGE</stp>
        <stp>4</stp>
        <stp>300428</stp>
        <stp>2018-01-01</stp>
        <stp>2019-12-31</stp>
        <stp>3</stp>
        <tr r="F1051" s="1"/>
      </tp>
      <tp>
        <v>59.972770590000003</v>
        <stp/>
        <stp>EM_S_PQ_PCTCHANGE</stp>
        <stp>4</stp>
        <stp>300639</stp>
        <stp>2018-12-31</stp>
        <stp>2019-12-30</stp>
        <stp>1</stp>
        <tr r="G429" s="1"/>
      </tp>
      <tp>
        <v>-40.379403789999998</v>
        <stp/>
        <stp>EM_S_PQ_PCTCHANGE</stp>
        <stp>4</stp>
        <stp>600478</stp>
        <stp>2018-01-01</stp>
        <stp>2019-12-31</stp>
        <stp>3</stp>
        <tr r="F1797" s="1"/>
      </tp>
      <tp>
        <v>0</v>
        <stp/>
        <stp>EM_S_PQ_PCTCHANGE</stp>
        <stp>4</stp>
        <stp>600669</stp>
        <stp>2018-12-31</stp>
        <stp>2019-12-30</stp>
        <stp>1</stp>
        <tr r="G2313" s="1"/>
      </tp>
      <tp>
        <v>-27.878787880000001</v>
        <stp/>
        <stp>EM_S_PQ_PCTCHANGE</stp>
        <stp>4</stp>
        <stp>603669</stp>
        <stp>2018-12-31</stp>
        <stp>2019-12-30</stp>
        <stp>1</stp>
        <tr r="G3197" s="1"/>
      </tp>
      <tp>
        <v>-67.870033370000002</v>
        <stp/>
        <stp>EM_S_PQ_PCTCHANGE</stp>
        <stp>4</stp>
        <stp>002418</stp>
        <stp>2018-01-01</stp>
        <stp>2019-12-31</stp>
        <stp>3</stp>
        <tr r="F2643" s="1"/>
      </tp>
      <tp>
        <v>53.6101083</v>
        <stp/>
        <stp>EM_S_PQ_PCTCHANGE</stp>
        <stp>4</stp>
        <stp>002609</stp>
        <stp>2018-12-31</stp>
        <stp>2019-12-30</stp>
        <stp>1</stp>
        <tr r="G507" s="1"/>
      </tp>
      <tp>
        <v>-2.4561403500000001</v>
        <stp/>
        <stp>EM_S_PQ_PCTCHANGE</stp>
        <stp>4</stp>
        <stp>601668</stp>
        <stp>2018-12-31</stp>
        <stp>2019-12-30</stp>
        <stp>1</stp>
        <tr r="G2444" s="1"/>
      </tp>
      <tp>
        <v>-21.877313619999999</v>
        <stp/>
        <stp>EM_S_PQ_PCTCHANGE</stp>
        <stp>4</stp>
        <stp>000419</stp>
        <stp>2018-01-01</stp>
        <stp>2019-12-31</stp>
        <stp>3</stp>
        <tr r="F3422" s="1"/>
      </tp>
      <tp>
        <v>34.614080520000002</v>
        <stp/>
        <stp>EM_S_PQ_PCTCHANGE</stp>
        <stp>4</stp>
        <stp>300429</stp>
        <stp>2018-01-01</stp>
        <stp>2019-12-31</stp>
        <stp>3</stp>
        <tr r="F3351" s="1"/>
      </tp>
      <tp>
        <v>128.34360275</v>
        <stp/>
        <stp>EM_S_PQ_PCTCHANGE</stp>
        <stp>4</stp>
        <stp>300638</stp>
        <stp>2018-12-31</stp>
        <stp>2019-12-30</stp>
        <stp>1</stp>
        <tr r="G110" s="1"/>
      </tp>
      <tp>
        <v>-20.151466809999999</v>
        <stp/>
        <stp>EM_S_PQ_PCTCHANGE</stp>
        <stp>4</stp>
        <stp>600479</stp>
        <stp>2018-01-01</stp>
        <stp>2019-12-31</stp>
        <stp>3</stp>
        <tr r="F1683" s="1"/>
      </tp>
      <tp>
        <v>30.33898305</v>
        <stp/>
        <stp>EM_S_PQ_PCTCHANGE</stp>
        <stp>4</stp>
        <stp>600668</stp>
        <stp>2018-12-31</stp>
        <stp>2019-12-30</stp>
        <stp>1</stp>
        <tr r="G921" s="1"/>
      </tp>
      <tp>
        <v>13.49862259</v>
        <stp/>
        <stp>EM_S_PQ_PCTCHANGE</stp>
        <stp>4</stp>
        <stp>603668</stp>
        <stp>2018-12-31</stp>
        <stp>2019-12-30</stp>
        <stp>1</stp>
        <tr r="G1555" s="1"/>
      </tp>
      <tp>
        <v>9.2334954400000004</v>
        <stp/>
        <stp>EM_S_PQ_PCTCHANGE</stp>
        <stp>4</stp>
        <stp>002419</stp>
        <stp>2018-01-01</stp>
        <stp>2019-12-31</stp>
        <stp>3</stp>
        <tr r="F2535" s="1"/>
      </tp>
      <tp>
        <v>0.52287581999999999</v>
        <stp/>
        <stp>EM_S_PQ_PCTCHANGE</stp>
        <stp>4</stp>
        <stp>002608</stp>
        <stp>2018-12-31</stp>
        <stp>2019-12-30</stp>
        <stp>1</stp>
        <tr r="G2248" s="1"/>
      </tp>
      <tp>
        <v>-30.225409840000001</v>
        <stp/>
        <stp>EM_S_PQ_PCTCHANGE</stp>
        <stp>4</stp>
        <stp>000410</stp>
        <stp>2018-01-01</stp>
        <stp>2019-12-31</stp>
        <stp>3</stp>
        <tr r="F3419" s="1"/>
      </tp>
      <tp>
        <v>10.59975348</v>
        <stp/>
        <stp>EM_S_PQ_PCTCHANGE</stp>
        <stp>4</stp>
        <stp>300420</stp>
        <stp>2018-01-01</stp>
        <stp>2019-12-31</stp>
        <stp>3</stp>
        <tr r="F1747" s="1"/>
      </tp>
      <tp>
        <v>12.374581940000001</v>
        <stp/>
        <stp>EM_S_PQ_PCTCHANGE</stp>
        <stp>4</stp>
        <stp>300631</stp>
        <stp>2018-12-31</stp>
        <stp>2019-12-30</stp>
        <stp>1</stp>
        <tr r="G1619" s="1"/>
      </tp>
      <tp>
        <v>-23.562121659999999</v>
        <stp/>
        <stp>EM_S_PQ_PCTCHANGE</stp>
        <stp>4</stp>
        <stp>600470</stp>
        <stp>2018-01-01</stp>
        <stp>2019-12-31</stp>
        <stp>3</stp>
        <tr r="F1540" s="1"/>
      </tp>
      <tp>
        <v>-12.93456033</v>
        <stp/>
        <stp>EM_S_PQ_PCTCHANGE</stp>
        <stp>4</stp>
        <stp>600661</stp>
        <stp>2018-12-31</stp>
        <stp>2019-12-30</stp>
        <stp>1</stp>
        <tr r="G2866" s="1"/>
      </tp>
      <tp>
        <v>49.055967629999998</v>
        <stp/>
        <stp>EM_S_PQ_PCTCHANGE</stp>
        <stp>4</stp>
        <stp>603661</stp>
        <stp>2018-12-31</stp>
        <stp>2019-12-30</stp>
        <stp>1</stp>
        <tr r="G578" s="1"/>
      </tp>
      <tp>
        <v>76.424763389999995</v>
        <stp/>
        <stp>EM_S_PQ_PCTCHANGE</stp>
        <stp>4</stp>
        <stp>002410</stp>
        <stp>2018-01-01</stp>
        <stp>2019-12-31</stp>
        <stp>3</stp>
        <tr r="F427" s="1"/>
      </tp>
      <tp>
        <v>25.447154470000001</v>
        <stp/>
        <stp>EM_S_PQ_PCTCHANGE</stp>
        <stp>4</stp>
        <stp>002601</stp>
        <stp>2018-12-31</stp>
        <stp>2019-12-30</stp>
        <stp>1</stp>
        <tr r="G1076" s="1"/>
      </tp>
      <tp>
        <v>-38.206670899999999</v>
        <stp/>
        <stp>EM_S_PQ_PCTCHANGE</stp>
        <stp>4</stp>
        <stp>000411</stp>
        <stp>2018-01-01</stp>
        <stp>2019-12-31</stp>
        <stp>3</stp>
        <tr r="F2518" s="1"/>
      </tp>
      <tp>
        <v>-2.5896414299999999</v>
        <stp/>
        <stp>EM_S_PQ_PCTCHANGE</stp>
        <stp>4</stp>
        <stp>000600</stp>
        <stp>2018-12-31</stp>
        <stp>2019-12-30</stp>
        <stp>1</stp>
        <tr r="G2456" s="1"/>
      </tp>
      <tp>
        <v>-29.36317597</v>
        <stp/>
        <stp>EM_S_PQ_PCTCHANGE</stp>
        <stp>4</stp>
        <stp>300421</stp>
        <stp>2018-01-01</stp>
        <stp>2019-12-31</stp>
        <stp>3</stp>
        <tr r="F3348" s="1"/>
      </tp>
      <tp>
        <v>25.510667269999999</v>
        <stp/>
        <stp>EM_S_PQ_PCTCHANGE</stp>
        <stp>4</stp>
        <stp>300630</stp>
        <stp>2018-12-31</stp>
        <stp>2019-12-30</stp>
        <stp>1</stp>
        <tr r="G1074" s="1"/>
      </tp>
      <tp>
        <v>2.23880597</v>
        <stp/>
        <stp>EM_S_PQ_PCTCHANGE</stp>
        <stp>4</stp>
        <stp>600660</stp>
        <stp>2018-12-31</stp>
        <stp>2019-12-30</stp>
        <stp>1</stp>
        <tr r="G2159" s="1"/>
      </tp>
      <tp>
        <v>-33.773245350000003</v>
        <stp/>
        <stp>EM_S_PQ_PCTCHANGE</stp>
        <stp>4</stp>
        <stp>603660</stp>
        <stp>2018-12-31</stp>
        <stp>2019-12-30</stp>
        <stp>1</stp>
        <tr r="G3259" s="1"/>
      </tp>
      <tp>
        <v>-41.187300329999999</v>
        <stp/>
        <stp>EM_S_PQ_PCTCHANGE</stp>
        <stp>4</stp>
        <stp>002411</stp>
        <stp>2018-01-01</stp>
        <stp>2019-12-31</stp>
        <stp>3</stp>
        <tr r="F3164" s="1"/>
      </tp>
      <tp>
        <v>340</v>
        <stp/>
        <stp>EM_S_PQ_PCTCHANGE</stp>
        <stp>4</stp>
        <stp>002600</stp>
        <stp>2018-12-31</stp>
        <stp>2019-12-30</stp>
        <stp>1</stp>
        <tr r="G23" s="1"/>
      </tp>
      <tp>
        <v>0</v>
        <stp/>
        <stp>EM_S_PQ_PCTCHANGE</stp>
        <stp>4</stp>
        <stp>000412</stp>
        <stp>2018-01-01</stp>
        <stp>2019-12-31</stp>
        <stp>3</stp>
        <tr r="F3420" s="1"/>
      </tp>
      <tp>
        <v>46.1</v>
        <stp/>
        <stp>EM_S_PQ_PCTCHANGE</stp>
        <stp>4</stp>
        <stp>000603</stp>
        <stp>2018-12-31</stp>
        <stp>2019-12-30</stp>
        <stp>1</stp>
        <tr r="G625" s="1"/>
      </tp>
      <tp>
        <v>-38.171685230000001</v>
        <stp/>
        <stp>EM_S_PQ_PCTCHANGE</stp>
        <stp>4</stp>
        <stp>300422</stp>
        <stp>2018-01-01</stp>
        <stp>2019-12-31</stp>
        <stp>3</stp>
        <tr r="F2032" s="1"/>
      </tp>
      <tp>
        <v>-16.406533580000001</v>
        <stp/>
        <stp>EM_S_PQ_PCTCHANGE</stp>
        <stp>4</stp>
        <stp>300633</stp>
        <stp>2018-12-31</stp>
        <stp>2019-12-30</stp>
        <stp>1</stp>
        <tr r="G2972" s="1"/>
      </tp>
      <tp>
        <v>0</v>
        <stp/>
        <stp>EM_S_PQ_PCTCHANGE</stp>
        <stp>4</stp>
        <stp>600472</stp>
        <stp>2018-01-01</stp>
        <stp>2019-12-31</stp>
        <stp>3</stp>
        <tr r="F2303" s="1"/>
      </tp>
      <tp>
        <v>3.8491146999999999</v>
        <stp/>
        <stp>EM_S_PQ_PCTCHANGE</stp>
        <stp>4</stp>
        <stp>600663</stp>
        <stp>2018-12-31</stp>
        <stp>2019-12-30</stp>
        <stp>1</stp>
        <tr r="G2066" s="1"/>
      </tp>
      <tp>
        <v>-21.176470590000001</v>
        <stp/>
        <stp>EM_S_PQ_PCTCHANGE</stp>
        <stp>4</stp>
        <stp>603663</stp>
        <stp>2018-12-31</stp>
        <stp>2019-12-30</stp>
        <stp>1</stp>
        <tr r="G3084" s="1"/>
      </tp>
      <tp>
        <v>-10.024139379999999</v>
        <stp/>
        <stp>EM_S_PQ_PCTCHANGE</stp>
        <stp>4</stp>
        <stp>002412</stp>
        <stp>2018-01-01</stp>
        <stp>2019-12-31</stp>
        <stp>3</stp>
        <tr r="F3306" s="1"/>
      </tp>
      <tp>
        <v>8.0305927300000004</v>
        <stp/>
        <stp>EM_S_PQ_PCTCHANGE</stp>
        <stp>4</stp>
        <stp>002603</stp>
        <stp>2018-12-31</stp>
        <stp>2019-12-30</stp>
        <stp>1</stp>
        <tr r="G1855" s="1"/>
      </tp>
      <tp>
        <v>-63.228724759999999</v>
        <stp/>
        <stp>EM_S_PQ_PCTCHANGE</stp>
        <stp>4</stp>
        <stp>000413</stp>
        <stp>2018-01-01</stp>
        <stp>2019-12-31</stp>
        <stp>3</stp>
        <tr r="F3142" s="1"/>
      </tp>
      <tp>
        <v>39.695638170000002</v>
        <stp/>
        <stp>EM_S_PQ_PCTCHANGE</stp>
        <stp>4</stp>
        <stp>300423</stp>
        <stp>2018-01-01</stp>
        <stp>2019-12-31</stp>
        <stp>3</stp>
        <tr r="F3152" s="1"/>
      </tp>
      <tp>
        <v>69.592696630000006</v>
        <stp/>
        <stp>EM_S_PQ_PCTCHANGE</stp>
        <stp>4</stp>
        <stp>300632</stp>
        <stp>2018-12-31</stp>
        <stp>2019-12-30</stp>
        <stp>1</stp>
        <tr r="G320" s="1"/>
      </tp>
      <tp>
        <v>9.1787439600000003</v>
        <stp/>
        <stp>EM_S_PQ_PCTCHANGE</stp>
        <stp>4</stp>
        <stp>600662</stp>
        <stp>2018-12-31</stp>
        <stp>2019-12-30</stp>
        <stp>1</stp>
        <tr r="G1782" s="1"/>
      </tp>
      <tp>
        <v>-45.315183429999998</v>
        <stp/>
        <stp>EM_S_PQ_PCTCHANGE</stp>
        <stp>4</stp>
        <stp>002413</stp>
        <stp>2018-01-01</stp>
        <stp>2019-12-31</stp>
        <stp>3</stp>
        <tr r="F2131" s="1"/>
      </tp>
      <tp>
        <v>-42.51815981</v>
        <stp/>
        <stp>EM_S_PQ_PCTCHANGE</stp>
        <stp>4</stp>
        <stp>002602</stp>
        <stp>2018-12-31</stp>
        <stp>2019-12-30</stp>
        <stp>1</stp>
        <tr r="G3332" s="1"/>
      </tp>
      <tp>
        <v>-31.625222019999999</v>
        <stp/>
        <stp>EM_S_PQ_PCTCHANGE</stp>
        <stp>4</stp>
        <stp>300424</stp>
        <stp>2018-01-01</stp>
        <stp>2019-12-31</stp>
        <stp>3</stp>
        <tr r="F1457" s="1"/>
      </tp>
      <tp>
        <v>-17.816091950000001</v>
        <stp/>
        <stp>EM_S_PQ_PCTCHANGE</stp>
        <stp>4</stp>
        <stp>300635</stp>
        <stp>2018-12-31</stp>
        <stp>2019-12-30</stp>
        <stp>1</stp>
        <tr r="G3011" s="1"/>
      </tp>
      <tp>
        <v>3.1976744199999998</v>
        <stp/>
        <stp>EM_S_PQ_PCTCHANGE</stp>
        <stp>4</stp>
        <stp>600665</stp>
        <stp>2018-12-31</stp>
        <stp>2019-12-30</stp>
        <stp>1</stp>
        <tr r="G2096" s="1"/>
      </tp>
      <tp>
        <v>-17.338403039999999</v>
        <stp/>
        <stp>EM_S_PQ_PCTCHANGE</stp>
        <stp>4</stp>
        <stp>603665</stp>
        <stp>2018-12-31</stp>
        <stp>2019-12-30</stp>
        <stp>1</stp>
        <tr r="G3001" s="1"/>
      </tp>
      <tp>
        <v>87.797193269999994</v>
        <stp/>
        <stp>EM_S_PQ_PCTCHANGE</stp>
        <stp>4</stp>
        <stp>002414</stp>
        <stp>2018-01-01</stp>
        <stp>2019-12-31</stp>
        <stp>3</stp>
        <tr r="F2621" s="1"/>
      </tp>
      <tp>
        <v>-33.190920570000003</v>
        <stp/>
        <stp>EM_S_PQ_PCTCHANGE</stp>
        <stp>4</stp>
        <stp>000415</stp>
        <stp>2018-01-01</stp>
        <stp>2019-12-31</stp>
        <stp>3</stp>
        <tr r="F2000" s="1"/>
      </tp>
      <tp>
        <v>-25.14322246</v>
        <stp/>
        <stp>EM_S_PQ_PCTCHANGE</stp>
        <stp>4</stp>
        <stp>300425</stp>
        <stp>2018-01-01</stp>
        <stp>2019-12-31</stp>
        <stp>3</stp>
        <tr r="F2401" s="1"/>
      </tp>
      <tp>
        <v>-26.225387520000002</v>
        <stp/>
        <stp>EM_S_PQ_PCTCHANGE</stp>
        <stp>4</stp>
        <stp>300634</stp>
        <stp>2018-12-31</stp>
        <stp>2019-12-30</stp>
        <stp>1</stp>
        <tr r="G3171" s="1"/>
      </tp>
      <tp>
        <v>-28.78307152</v>
        <stp/>
        <stp>EM_S_PQ_PCTCHANGE</stp>
        <stp>4</stp>
        <stp>600475</stp>
        <stp>2018-01-01</stp>
        <stp>2019-12-31</stp>
        <stp>3</stp>
        <tr r="F1220" s="1"/>
      </tp>
      <tp>
        <v>-6.8354430400000004</v>
        <stp/>
        <stp>EM_S_PQ_PCTCHANGE</stp>
        <stp>4</stp>
        <stp>600664</stp>
        <stp>2018-12-31</stp>
        <stp>2019-12-30</stp>
        <stp>1</stp>
        <tr r="G2644" s="1"/>
      </tp>
      <tp>
        <v>-12.91230176</v>
        <stp/>
        <stp>EM_S_PQ_PCTCHANGE</stp>
        <stp>4</stp>
        <stp>002415</stp>
        <stp>2018-01-01</stp>
        <stp>2019-12-31</stp>
        <stp>3</stp>
        <tr r="F1038" s="1"/>
      </tp>
      <tp>
        <v>18.07228916</v>
        <stp/>
        <stp>EM_S_PQ_PCTCHANGE</stp>
        <stp>4</stp>
        <stp>002604</stp>
        <stp>2018-12-31</stp>
        <stp>2019-12-30</stp>
        <stp>1</stp>
        <tr r="G1363" s="1"/>
      </tp>
      <tp>
        <v>-20.93482328</v>
        <stp/>
        <stp>EM_S_PQ_PCTCHANGE</stp>
        <stp>4</stp>
        <stp>000416</stp>
        <stp>2018-01-01</stp>
        <stp>2019-12-31</stp>
        <stp>3</stp>
        <tr r="F3421" s="1"/>
      </tp>
      <tp>
        <v>-68.359598849999998</v>
        <stp/>
        <stp>EM_S_PQ_PCTCHANGE</stp>
        <stp>4</stp>
        <stp>300426</stp>
        <stp>2018-01-01</stp>
        <stp>2019-12-31</stp>
        <stp>3</stp>
        <tr r="F2691" s="1"/>
      </tp>
      <tp>
        <v>-49.492488829999999</v>
        <stp/>
        <stp>EM_S_PQ_PCTCHANGE</stp>
        <stp>4</stp>
        <stp>300637</stp>
        <stp>2018-12-31</stp>
        <stp>2019-12-30</stp>
        <stp>1</stp>
        <tr r="G3365" s="1"/>
      </tp>
      <tp>
        <v>-9.8148148099999997</v>
        <stp/>
        <stp>EM_S_PQ_PCTCHANGE</stp>
        <stp>4</stp>
        <stp>600476</stp>
        <stp>2018-01-01</stp>
        <stp>2019-12-31</stp>
        <stp>3</stp>
        <tr r="F1132" s="1"/>
      </tp>
      <tp>
        <v>62.426614479999998</v>
        <stp/>
        <stp>EM_S_PQ_PCTCHANGE</stp>
        <stp>4</stp>
        <stp>600667</stp>
        <stp>2018-12-31</stp>
        <stp>2019-12-30</stp>
        <stp>1</stp>
        <tr r="G398" s="1"/>
      </tp>
      <tp>
        <v>20.754716980000001</v>
        <stp/>
        <stp>EM_S_PQ_PCTCHANGE</stp>
        <stp>4</stp>
        <stp>603667</stp>
        <stp>2018-12-31</stp>
        <stp>2019-12-30</stp>
        <stp>1</stp>
        <tr r="G1247" s="1"/>
      </tp>
      <tp>
        <v>2.58574284</v>
        <stp/>
        <stp>EM_S_PQ_PCTCHANGE</stp>
        <stp>4</stp>
        <stp>002416</stp>
        <stp>2018-01-01</stp>
        <stp>2019-12-31</stp>
        <stp>3</stp>
        <tr r="F976" s="1"/>
      </tp>
      <tp>
        <v>143.61111111</v>
        <stp/>
        <stp>EM_S_PQ_PCTCHANGE</stp>
        <stp>4</stp>
        <stp>002607</stp>
        <stp>2018-12-31</stp>
        <stp>2019-12-30</stp>
        <stp>1</stp>
        <tr r="G95" s="1"/>
      </tp>
      <tp>
        <v>12.78409091</v>
        <stp/>
        <stp>EM_S_PQ_PCTCHANGE</stp>
        <stp>4</stp>
        <stp>601666</stp>
        <stp>2018-12-31</stp>
        <stp>2019-12-30</stp>
        <stp>1</stp>
        <tr r="G1590" s="1"/>
      </tp>
      <tp>
        <v>-35.513365139999998</v>
        <stp/>
        <stp>EM_S_PQ_PCTCHANGE</stp>
        <stp>4</stp>
        <stp>000417</stp>
        <stp>2018-01-01</stp>
        <stp>2019-12-31</stp>
        <stp>3</stp>
        <tr r="F1571" s="1"/>
      </tp>
      <tp>
        <v>-6.8907562999999996</v>
        <stp/>
        <stp>EM_S_PQ_PCTCHANGE</stp>
        <stp>4</stp>
        <stp>000606</stp>
        <stp>2018-12-31</stp>
        <stp>2019-12-30</stp>
        <stp>1</stp>
        <tr r="G2652" s="1"/>
      </tp>
      <tp>
        <v>-2.26640014</v>
        <stp/>
        <stp>EM_S_PQ_PCTCHANGE</stp>
        <stp>4</stp>
        <stp>300427</stp>
        <stp>2018-01-01</stp>
        <stp>2019-12-31</stp>
        <stp>3</stp>
        <tr r="F971" s="1"/>
      </tp>
      <tp>
        <v>56.926528320000003</v>
        <stp/>
        <stp>EM_S_PQ_PCTCHANGE</stp>
        <stp>4</stp>
        <stp>300636</stp>
        <stp>2018-12-31</stp>
        <stp>2019-12-30</stp>
        <stp>1</stp>
        <tr r="G456" s="1"/>
      </tp>
      <tp>
        <v>-56.907629300000004</v>
        <stp/>
        <stp>EM_S_PQ_PCTCHANGE</stp>
        <stp>4</stp>
        <stp>600477</stp>
        <stp>2018-01-01</stp>
        <stp>2019-12-31</stp>
        <stp>3</stp>
        <tr r="F3098" s="1"/>
      </tp>
      <tp>
        <v>-30.033003300000001</v>
        <stp/>
        <stp>EM_S_PQ_PCTCHANGE</stp>
        <stp>4</stp>
        <stp>600666</stp>
        <stp>2018-12-31</stp>
        <stp>2019-12-30</stp>
        <stp>1</stp>
        <tr r="G3218" s="1"/>
      </tp>
      <tp>
        <v>-35.194004219999997</v>
        <stp/>
        <stp>EM_S_PQ_PCTCHANGE</stp>
        <stp>4</stp>
        <stp>603477</stp>
        <stp>2018-01-01</stp>
        <stp>2019-12-31</stp>
        <stp>3</stp>
        <tr r="F496" s="1"/>
      </tp>
      <tp>
        <v>49.148471620000002</v>
        <stp/>
        <stp>EM_S_PQ_PCTCHANGE</stp>
        <stp>4</stp>
        <stp>603666</stp>
        <stp>2018-12-31</stp>
        <stp>2019-12-30</stp>
        <stp>1</stp>
        <tr r="G575" s="1"/>
      </tp>
      <tp>
        <v>-46.661550269999999</v>
        <stp/>
        <stp>EM_S_PQ_PCTCHANGE</stp>
        <stp>4</stp>
        <stp>002417</stp>
        <stp>2018-01-01</stp>
        <stp>2019-12-31</stp>
        <stp>3</stp>
        <tr r="F3078" s="1"/>
      </tp>
      <tp>
        <v>-12.04268293</v>
        <stp/>
        <stp>EM_S_PQ_PCTCHANGE</stp>
        <stp>4</stp>
        <stp>002606</stp>
        <stp>2018-12-31</stp>
        <stp>2019-12-30</stp>
        <stp>1</stp>
        <tr r="G2831" s="1"/>
      </tp>
      <tp>
        <v>-58.305084749999999</v>
        <stp/>
        <stp>EM_S_PQ_PCTCHANGE</stp>
        <stp>4</stp>
        <stp>000408</stp>
        <stp>2018-01-01</stp>
        <stp>2019-12-31</stp>
        <stp>3</stp>
        <tr r="F3418" s="1"/>
      </tp>
      <tp>
        <v>12.331406550000001</v>
        <stp/>
        <stp>EM_S_PQ_PCTCHANGE</stp>
        <stp>4</stp>
        <stp>000619</stp>
        <stp>2018-12-31</stp>
        <stp>2019-12-30</stp>
        <stp>1</stp>
        <tr r="G1623" s="1"/>
      </tp>
      <tp>
        <v>-9.0007656600000008</v>
        <stp/>
        <stp>EM_S_PQ_PCTCHANGE</stp>
        <stp>4</stp>
        <stp>300438</stp>
        <stp>2018-01-01</stp>
        <stp>2019-12-31</stp>
        <stp>3</stp>
        <tr r="F364" s="1"/>
      </tp>
      <tp>
        <v>12.150747239999999</v>
        <stp/>
        <stp>EM_S_PQ_PCTCHANGE</stp>
        <stp>4</stp>
        <stp>300629</stp>
        <stp>2018-12-31</stp>
        <stp>2019-12-30</stp>
        <stp>1</stp>
        <tr r="G1628" s="1"/>
      </tp>
      <tp>
        <v>-20.738753240000001</v>
        <stp/>
        <stp>EM_S_PQ_PCTCHANGE</stp>
        <stp>4</stp>
        <stp>600468</stp>
        <stp>2018-01-01</stp>
        <stp>2019-12-31</stp>
        <stp>3</stp>
        <tr r="F3233" s="1"/>
      </tp>
      <tp>
        <v>21.463897129999999</v>
        <stp/>
        <stp>EM_S_PQ_PCTCHANGE</stp>
        <stp>4</stp>
        <stp>600679</stp>
        <stp>2018-12-31</stp>
        <stp>2019-12-30</stp>
        <stp>1</stp>
        <tr r="G1214" s="1"/>
      </tp>
      <tp>
        <v>80.248007090000002</v>
        <stp/>
        <stp>EM_S_PQ_PCTCHANGE</stp>
        <stp>4</stp>
        <stp>603679</stp>
        <stp>2018-12-31</stp>
        <stp>2019-12-30</stp>
        <stp>1</stp>
        <tr r="G247" s="1"/>
      </tp>
      <tp>
        <v>-42.421997470000001</v>
        <stp/>
        <stp>EM_S_PQ_PCTCHANGE</stp>
        <stp>4</stp>
        <stp>002408</stp>
        <stp>2018-01-01</stp>
        <stp>2019-12-31</stp>
        <stp>3</stp>
        <tr r="F2019" s="1"/>
      </tp>
      <tp>
        <v>-6.2314540100000002</v>
        <stp/>
        <stp>EM_S_PQ_PCTCHANGE</stp>
        <stp>4</stp>
        <stp>002619</stp>
        <stp>2018-12-31</stp>
        <stp>2019-12-30</stp>
        <stp>1</stp>
        <tr r="G2620" s="1"/>
      </tp>
      <tp>
        <v>21.563981040000002</v>
        <stp/>
        <stp>EM_S_PQ_PCTCHANGE</stp>
        <stp>4</stp>
        <stp>601678</stp>
        <stp>2018-12-31</stp>
        <stp>2019-12-30</stp>
        <stp>1</stp>
        <tr r="G1202" s="1"/>
      </tp>
      <tp>
        <v>-8.0152671800000004</v>
        <stp/>
        <stp>EM_S_PQ_PCTCHANGE</stp>
        <stp>4</stp>
        <stp>000409</stp>
        <stp>2018-01-01</stp>
        <stp>2019-12-31</stp>
        <stp>3</stp>
        <tr r="F2918" s="1"/>
      </tp>
      <tp>
        <v>-27.57699611</v>
        <stp/>
        <stp>EM_S_PQ_PCTCHANGE</stp>
        <stp>4</stp>
        <stp>300439</stp>
        <stp>2018-01-01</stp>
        <stp>2019-12-31</stp>
        <stp>3</stp>
        <tr r="F2237" s="1"/>
      </tp>
      <tp>
        <v>-6.4125676</v>
        <stp/>
        <stp>EM_S_PQ_PCTCHANGE</stp>
        <stp>4</stp>
        <stp>300628</stp>
        <stp>2018-12-31</stp>
        <stp>2019-12-30</stp>
        <stp>1</stp>
        <tr r="G2626" s="1"/>
      </tp>
      <tp>
        <v>-13.234862769999999</v>
        <stp/>
        <stp>EM_S_PQ_PCTCHANGE</stp>
        <stp>4</stp>
        <stp>600469</stp>
        <stp>2018-01-01</stp>
        <stp>2019-12-31</stp>
        <stp>3</stp>
        <tr r="F749" s="1"/>
      </tp>
      <tp>
        <v>26.559714799999998</v>
        <stp/>
        <stp>EM_S_PQ_PCTCHANGE</stp>
        <stp>4</stp>
        <stp>600678</stp>
        <stp>2018-12-31</stp>
        <stp>2019-12-30</stp>
        <stp>1</stp>
        <tr r="G1034" s="1"/>
      </tp>
      <tp>
        <v>45.719720989999999</v>
        <stp/>
        <stp>EM_S_PQ_PCTCHANGE</stp>
        <stp>4</stp>
        <stp>603678</stp>
        <stp>2018-12-31</stp>
        <stp>2019-12-30</stp>
        <stp>1</stp>
        <tr r="G631" s="1"/>
      </tp>
      <tp>
        <v>-18.38049444</v>
        <stp/>
        <stp>EM_S_PQ_PCTCHANGE</stp>
        <stp>4</stp>
        <stp>002409</stp>
        <stp>2018-01-01</stp>
        <stp>2019-12-31</stp>
        <stp>3</stp>
        <tr r="F294" s="1"/>
      </tp>
      <tp>
        <v>-9.5860566400000007</v>
        <stp/>
        <stp>EM_S_PQ_PCTCHANGE</stp>
        <stp>4</stp>
        <stp>002618</stp>
        <stp>2018-12-31</stp>
        <stp>2019-12-30</stp>
        <stp>1</stp>
        <tr r="G2739" s="1"/>
      </tp>
      <tp>
        <v>-17.70604599</v>
        <stp/>
        <stp>EM_S_PQ_PCTCHANGE</stp>
        <stp>4</stp>
        <stp>000400</stp>
        <stp>2018-01-01</stp>
        <stp>2019-12-31</stp>
        <stp>3</stp>
        <tr r="F3414" s="1"/>
      </tp>
      <tp>
        <v>-41.564305019999999</v>
        <stp/>
        <stp>EM_S_PQ_PCTCHANGE</stp>
        <stp>4</stp>
        <stp>300430</stp>
        <stp>2018-01-01</stp>
        <stp>2019-12-31</stp>
        <stp>3</stp>
        <tr r="F2455" s="1"/>
      </tp>
      <tp>
        <v>8.6458333300000003</v>
        <stp/>
        <stp>EM_S_PQ_PCTCHANGE</stp>
        <stp>4</stp>
        <stp>300621</stp>
        <stp>2018-12-31</stp>
        <stp>2019-12-30</stp>
        <stp>1</stp>
        <tr r="G1811" s="1"/>
      </tp>
      <tp>
        <v>0.83906491999999999</v>
        <stp/>
        <stp>EM_S_PQ_PCTCHANGE</stp>
        <stp>4</stp>
        <stp>600460</stp>
        <stp>2018-01-01</stp>
        <stp>2019-12-31</stp>
        <stp>3</stp>
        <tr r="F200" s="1"/>
      </tp>
      <tp>
        <v>-23.9375</v>
        <stp/>
        <stp>EM_S_PQ_PCTCHANGE</stp>
        <stp>4</stp>
        <stp>600671</stp>
        <stp>2018-12-31</stp>
        <stp>2019-12-30</stp>
        <stp>1</stp>
        <tr r="G3131" s="1"/>
      </tp>
      <tp>
        <v>-37.882640369999997</v>
        <stp/>
        <stp>EM_S_PQ_PCTCHANGE</stp>
        <stp>4</stp>
        <stp>002400</stp>
        <stp>2018-01-01</stp>
        <stp>2019-12-31</stp>
        <stp>3</stp>
        <tr r="F1851" s="1"/>
      </tp>
      <tp>
        <v>13.866666670000001</v>
        <stp/>
        <stp>EM_S_PQ_PCTCHANGE</stp>
        <stp>4</stp>
        <stp>002611</stp>
        <stp>2018-12-31</stp>
        <stp>2019-12-30</stp>
        <stp>1</stp>
        <tr r="G1539" s="1"/>
      </tp>
      <tp>
        <v>26.401589439999999</v>
        <stp/>
        <stp>EM_S_PQ_PCTCHANGE</stp>
        <stp>4</stp>
        <stp>000401</stp>
        <stp>2018-01-01</stp>
        <stp>2019-12-31</stp>
        <stp>3</stp>
        <tr r="F849" s="1"/>
      </tp>
      <tp>
        <v>21.495327100000001</v>
        <stp/>
        <stp>EM_S_PQ_PCTCHANGE</stp>
        <stp>4</stp>
        <stp>000610</stp>
        <stp>2018-12-31</stp>
        <stp>2019-12-30</stp>
        <stp>1</stp>
        <tr r="G1211" s="1"/>
      </tp>
      <tp>
        <v>-83.243738629999996</v>
        <stp/>
        <stp>EM_S_PQ_PCTCHANGE</stp>
        <stp>4</stp>
        <stp>300431</stp>
        <stp>2018-01-01</stp>
        <stp>2019-12-31</stp>
        <stp>3</stp>
        <tr r="F3388" s="1"/>
      </tp>
      <tp>
        <v>-10.07945516</v>
        <stp/>
        <stp>EM_S_PQ_PCTCHANGE</stp>
        <stp>4</stp>
        <stp>300620</stp>
        <stp>2018-12-31</stp>
        <stp>2019-12-30</stp>
        <stp>1</stp>
        <tr r="G2759" s="1"/>
      </tp>
      <tp>
        <v>-4.5833104000000002</v>
        <stp/>
        <stp>EM_S_PQ_PCTCHANGE</stp>
        <stp>4</stp>
        <stp>600461</stp>
        <stp>2018-01-01</stp>
        <stp>2019-12-31</stp>
        <stp>3</stp>
        <tr r="F1858" s="1"/>
      </tp>
      <tp>
        <v>0</v>
        <stp/>
        <stp>EM_S_PQ_PCTCHANGE</stp>
        <stp>4</stp>
        <stp>600670</stp>
        <stp>2018-12-31</stp>
        <stp>2019-12-30</stp>
        <stp>1</stp>
        <tr r="G2314" s="1"/>
      </tp>
      <tp>
        <v>-4.7976548499999998</v>
        <stp/>
        <stp>EM_S_PQ_PCTCHANGE</stp>
        <stp>4</stp>
        <stp>002401</stp>
        <stp>2018-01-01</stp>
        <stp>2019-12-31</stp>
        <stp>3</stp>
        <tr r="F1098" s="1"/>
      </tp>
      <tp>
        <v>2.5477707000000001</v>
        <stp/>
        <stp>EM_S_PQ_PCTCHANGE</stp>
        <stp>4</stp>
        <stp>002610</stp>
        <stp>2018-12-31</stp>
        <stp>2019-12-30</stp>
        <stp>1</stp>
        <tr r="G2135" s="1"/>
      </tp>
      <tp>
        <v>-21.349226560000002</v>
        <stp/>
        <stp>EM_S_PQ_PCTCHANGE</stp>
        <stp>4</stp>
        <stp>000402</stp>
        <stp>2018-01-01</stp>
        <stp>2019-12-31</stp>
        <stp>3</stp>
        <tr r="F3415" s="1"/>
      </tp>
      <tp>
        <v>-19.946452480000001</v>
        <stp/>
        <stp>EM_S_PQ_PCTCHANGE</stp>
        <stp>4</stp>
        <stp>000613</stp>
        <stp>2018-12-31</stp>
        <stp>2019-12-30</stp>
        <stp>1</stp>
        <tr r="G3064" s="1"/>
      </tp>
      <tp>
        <v>-28.72216551</v>
        <stp/>
        <stp>EM_S_PQ_PCTCHANGE</stp>
        <stp>4</stp>
        <stp>300432</stp>
        <stp>2018-01-01</stp>
        <stp>2019-12-31</stp>
        <stp>3</stp>
        <tr r="F180" s="1"/>
      </tp>
      <tp>
        <v>11.88245315</v>
        <stp/>
        <stp>EM_S_PQ_PCTCHANGE</stp>
        <stp>4</stp>
        <stp>300623</stp>
        <stp>2018-12-31</stp>
        <stp>2019-12-30</stp>
        <stp>1</stp>
        <tr r="G1635" s="1"/>
      </tp>
      <tp>
        <v>-63.796909489999997</v>
        <stp/>
        <stp>EM_S_PQ_PCTCHANGE</stp>
        <stp>4</stp>
        <stp>600462</stp>
        <stp>2018-01-01</stp>
        <stp>2019-12-31</stp>
        <stp>3</stp>
        <tr r="F3369" s="1"/>
      </tp>
      <tp>
        <v>33.379120880000002</v>
        <stp/>
        <stp>EM_S_PQ_PCTCHANGE</stp>
        <stp>4</stp>
        <stp>600673</stp>
        <stp>2018-12-31</stp>
        <stp>2019-12-30</stp>
        <stp>1</stp>
        <tr r="G859" s="1"/>
      </tp>
      <tp>
        <v>110.0552036</v>
        <stp/>
        <stp>EM_S_PQ_PCTCHANGE</stp>
        <stp>4</stp>
        <stp>002402</stp>
        <stp>2019-01-01</stp>
        <stp>2019-12-31</stp>
        <stp>3</stp>
        <tr r="G144" s="1"/>
      </tp>
      <tp>
        <v>41.70037851</v>
        <stp/>
        <stp>EM_S_PQ_PCTCHANGE</stp>
        <stp>4</stp>
        <stp>002402</stp>
        <stp>2018-01-01</stp>
        <stp>2019-12-31</stp>
        <stp>3</stp>
        <tr r="F144" s="1"/>
      </tp>
      <tp>
        <v>3.7593985000000001</v>
        <stp/>
        <stp>EM_S_PQ_PCTCHANGE</stp>
        <stp>4</stp>
        <stp>002613</stp>
        <stp>2018-12-31</stp>
        <stp>2019-12-30</stp>
        <stp>1</stp>
        <tr r="G2072" s="1"/>
      </tp>
      <tp>
        <v>8.6444668700000005</v>
        <stp/>
        <stp>EM_S_PQ_PCTCHANGE</stp>
        <stp>4</stp>
        <stp>000403</stp>
        <stp>2018-01-01</stp>
        <stp>2019-12-31</stp>
        <stp>3</stp>
        <tr r="F1103" s="1"/>
      </tp>
      <tp>
        <v>-29.559188420000002</v>
        <stp/>
        <stp>EM_S_PQ_PCTCHANGE</stp>
        <stp>4</stp>
        <stp>300433</stp>
        <stp>2018-01-01</stp>
        <stp>2019-12-31</stp>
        <stp>3</stp>
        <tr r="F140" s="1"/>
      </tp>
      <tp>
        <v>17.962628089999999</v>
        <stp/>
        <stp>EM_S_PQ_PCTCHANGE</stp>
        <stp>4</stp>
        <stp>300622</stp>
        <stp>2018-12-31</stp>
        <stp>2019-12-30</stp>
        <stp>1</stp>
        <tr r="G1369" s="1"/>
      </tp>
      <tp>
        <v>-34.326365090000003</v>
        <stp/>
        <stp>EM_S_PQ_PCTCHANGE</stp>
        <stp>4</stp>
        <stp>600463</stp>
        <stp>2018-01-01</stp>
        <stp>2019-12-31</stp>
        <stp>3</stp>
        <tr r="F2180" s="1"/>
      </tp>
      <tp>
        <v>0</v>
        <stp/>
        <stp>EM_S_PQ_PCTCHANGE</stp>
        <stp>4</stp>
        <stp>600672</stp>
        <stp>2018-12-31</stp>
        <stp>2019-12-30</stp>
        <stp>1</stp>
        <tr r="G2315" s="1"/>
      </tp>
      <tp>
        <v>-28.86464595</v>
        <stp/>
        <stp>EM_S_PQ_PCTCHANGE</stp>
        <stp>4</stp>
        <stp>002403</stp>
        <stp>2018-01-01</stp>
        <stp>2019-12-31</stp>
        <stp>3</stp>
        <tr r="F1774" s="1"/>
      </tp>
      <tp>
        <v>7.4031890699999998</v>
        <stp/>
        <stp>EM_S_PQ_PCTCHANGE</stp>
        <stp>4</stp>
        <stp>002612</stp>
        <stp>2018-12-31</stp>
        <stp>2019-12-30</stp>
        <stp>1</stp>
        <tr r="G1881" s="1"/>
      </tp>
      <tp>
        <v>-36.51522087</v>
        <stp/>
        <stp>EM_S_PQ_PCTCHANGE</stp>
        <stp>4</stp>
        <stp>000404</stp>
        <stp>2018-01-01</stp>
        <stp>2019-12-31</stp>
        <stp>3</stp>
        <tr r="F2194" s="1"/>
      </tp>
      <tp>
        <v>-17.32580038</v>
        <stp/>
        <stp>EM_S_PQ_PCTCHANGE</stp>
        <stp>4</stp>
        <stp>000615</stp>
        <stp>2018-12-31</stp>
        <stp>2019-12-30</stp>
        <stp>1</stp>
        <tr r="G3000" s="1"/>
      </tp>
      <tp>
        <v>-41.964518949999999</v>
        <stp/>
        <stp>EM_S_PQ_PCTCHANGE</stp>
        <stp>4</stp>
        <stp>300434</stp>
        <stp>2018-01-01</stp>
        <stp>2019-12-31</stp>
        <stp>3</stp>
        <tr r="F2981" s="1"/>
      </tp>
      <tp>
        <v>15.351812369999999</v>
        <stp/>
        <stp>EM_S_PQ_PCTCHANGE</stp>
        <stp>4</stp>
        <stp>300625</stp>
        <stp>2018-12-31</stp>
        <stp>2019-12-30</stp>
        <stp>1</stp>
        <tr r="G1465" s="1"/>
      </tp>
      <tp>
        <v>-16.308243730000001</v>
        <stp/>
        <stp>EM_S_PQ_PCTCHANGE</stp>
        <stp>4</stp>
        <stp>600675</stp>
        <stp>2018-12-31</stp>
        <stp>2019-12-30</stp>
        <stp>1</stp>
        <tr r="G2967" s="1"/>
      </tp>
      <tp>
        <v>-2.6076692100000001</v>
        <stp/>
        <stp>EM_S_PQ_PCTCHANGE</stp>
        <stp>4</stp>
        <stp>002404</stp>
        <stp>2018-01-01</stp>
        <stp>2019-12-31</stp>
        <stp>3</stp>
        <tr r="F1312" s="1"/>
      </tp>
      <tp>
        <v>12.836438920000001</v>
        <stp/>
        <stp>EM_S_PQ_PCTCHANGE</stp>
        <stp>4</stp>
        <stp>002615</stp>
        <stp>2018-12-31</stp>
        <stp>2019-12-30</stp>
        <stp>1</stp>
        <tr r="G1586" s="1"/>
      </tp>
      <tp>
        <v>0</v>
        <stp/>
        <stp>EM_S_PQ_PCTCHANGE</stp>
        <stp>4</stp>
        <stp>000405</stp>
        <stp>2018-01-01</stp>
        <stp>2019-12-31</stp>
        <stp>3</stp>
        <tr r="F3416" s="1"/>
      </tp>
      <tp>
        <v>-32.231285649999997</v>
        <stp/>
        <stp>EM_S_PQ_PCTCHANGE</stp>
        <stp>4</stp>
        <stp>300435</stp>
        <stp>2018-01-01</stp>
        <stp>2019-12-31</stp>
        <stp>3</stp>
        <tr r="F1794" s="1"/>
      </tp>
      <tp>
        <v>16.722160559999999</v>
        <stp/>
        <stp>EM_S_PQ_PCTCHANGE</stp>
        <stp>4</stp>
        <stp>300624</stp>
        <stp>2018-12-31</stp>
        <stp>2019-12-30</stp>
        <stp>1</stp>
        <tr r="G1409" s="1"/>
      </tp>
      <tp>
        <v>12.80276817</v>
        <stp/>
        <stp>EM_S_PQ_PCTCHANGE</stp>
        <stp>4</stp>
        <stp>600674</stp>
        <stp>2018-12-31</stp>
        <stp>2019-12-30</stp>
        <stp>1</stp>
        <tr r="G1589" s="1"/>
      </tp>
      <tp>
        <v>-8.2286618800000007</v>
        <stp/>
        <stp>EM_S_PQ_PCTCHANGE</stp>
        <stp>4</stp>
        <stp>002405</stp>
        <stp>2018-01-01</stp>
        <stp>2019-12-31</stp>
        <stp>3</stp>
        <tr r="F1559" s="1"/>
      </tp>
      <tp>
        <v>-33.291536049999998</v>
        <stp/>
        <stp>EM_S_PQ_PCTCHANGE</stp>
        <stp>4</stp>
        <stp>002614</stp>
        <stp>2018-12-31</stp>
        <stp>2019-12-30</stp>
        <stp>1</stp>
        <tr r="G3257" s="1"/>
      </tp>
      <tp>
        <v>30.147895340000002</v>
        <stp/>
        <stp>EM_S_PQ_PCTCHANGE</stp>
        <stp>4</stp>
        <stp>601677</stp>
        <stp>2018-12-31</stp>
        <stp>2019-12-30</stp>
        <stp>1</stp>
        <tr r="G925" s="1"/>
      </tp>
      <tp>
        <v>0</v>
        <stp/>
        <stp>EM_S_PQ_PCTCHANGE</stp>
        <stp>4</stp>
        <stp>000406</stp>
        <stp>2018-01-01</stp>
        <stp>2019-12-31</stp>
        <stp>3</stp>
        <tr r="F3417" s="1"/>
      </tp>
      <tp>
        <v>12.74418605</v>
        <stp/>
        <stp>EM_S_PQ_PCTCHANGE</stp>
        <stp>4</stp>
        <stp>000617</stp>
        <stp>2018-12-31</stp>
        <stp>2019-12-30</stp>
        <stp>1</stp>
        <tr r="G1592" s="1"/>
      </tp>
      <tp>
        <v>13.739250889999999</v>
        <stp/>
        <stp>EM_S_PQ_PCTCHANGE</stp>
        <stp>4</stp>
        <stp>300436</stp>
        <stp>2018-01-01</stp>
        <stp>2019-12-31</stp>
        <stp>3</stp>
        <tr r="F879" s="1"/>
      </tp>
      <tp>
        <v>31.032482600000002</v>
        <stp/>
        <stp>EM_S_PQ_PCTCHANGE</stp>
        <stp>4</stp>
        <stp>300627</stp>
        <stp>2018-12-31</stp>
        <stp>2019-12-30</stp>
        <stp>1</stp>
        <tr r="G908" s="1"/>
      </tp>
      <tp>
        <v>16.210489039999999</v>
        <stp/>
        <stp>EM_S_PQ_PCTCHANGE</stp>
        <stp>4</stp>
        <stp>600466</stp>
        <stp>2018-01-01</stp>
        <stp>2019-12-31</stp>
        <stp>3</stp>
        <tr r="F865" s="1"/>
      </tp>
      <tp>
        <v>-6.2302006299999997</v>
        <stp/>
        <stp>EM_S_PQ_PCTCHANGE</stp>
        <stp>4</stp>
        <stp>600677</stp>
        <stp>2018-12-31</stp>
        <stp>2019-12-30</stp>
        <stp>1</stp>
        <tr r="G2619" s="1"/>
      </tp>
      <tp>
        <v>-44.421929069999997</v>
        <stp/>
        <stp>EM_S_PQ_PCTCHANGE</stp>
        <stp>4</stp>
        <stp>603466</stp>
        <stp>2018-01-01</stp>
        <stp>2019-12-31</stp>
        <stp>3</stp>
        <tr r="F2505" s="1"/>
      </tp>
      <tp>
        <v>-10.696338839999999</v>
        <stp/>
        <stp>EM_S_PQ_PCTCHANGE</stp>
        <stp>4</stp>
        <stp>603677</stp>
        <stp>2018-12-31</stp>
        <stp>2019-12-30</stp>
        <stp>1</stp>
        <tr r="G2785" s="1"/>
      </tp>
      <tp>
        <v>-10.344219020000001</v>
        <stp/>
        <stp>EM_S_PQ_PCTCHANGE</stp>
        <stp>4</stp>
        <stp>002406</stp>
        <stp>2018-01-01</stp>
        <stp>2019-12-31</stp>
        <stp>3</stp>
        <tr r="F1384" s="1"/>
      </tp>
      <tp>
        <v>38.693467339999998</v>
        <stp/>
        <stp>EM_S_PQ_PCTCHANGE</stp>
        <stp>4</stp>
        <stp>002617</stp>
        <stp>2018-12-31</stp>
        <stp>2019-12-30</stp>
        <stp>1</stp>
        <tr r="G760" s="1"/>
      </tp>
      <tp>
        <v>-53.706111829999998</v>
        <stp/>
        <stp>EM_S_PQ_PCTCHANGE</stp>
        <stp>4</stp>
        <stp>000407</stp>
        <stp>2018-01-01</stp>
        <stp>2019-12-31</stp>
        <stp>3</stp>
        <tr r="F2601" s="1"/>
      </tp>
      <tp>
        <v>0.82987551999999998</v>
        <stp/>
        <stp>EM_S_PQ_PCTCHANGE</stp>
        <stp>4</stp>
        <stp>000616</stp>
        <stp>2018-12-31</stp>
        <stp>2019-12-30</stp>
        <stp>1</stp>
        <tr r="G2228" s="1"/>
      </tp>
      <tp>
        <v>-32.160212280000003</v>
        <stp/>
        <stp>EM_S_PQ_PCTCHANGE</stp>
        <stp>4</stp>
        <stp>300437</stp>
        <stp>2018-01-01</stp>
        <stp>2019-12-31</stp>
        <stp>3</stp>
        <tr r="F2786" s="1"/>
      </tp>
      <tp>
        <v>-4.7511312200000004</v>
        <stp/>
        <stp>EM_S_PQ_PCTCHANGE</stp>
        <stp>4</stp>
        <stp>300626</stp>
        <stp>2018-12-31</stp>
        <stp>2019-12-30</stp>
        <stp>1</stp>
        <tr r="G2555" s="1"/>
      </tp>
      <tp>
        <v>-19.600242479999999</v>
        <stp/>
        <stp>EM_S_PQ_PCTCHANGE</stp>
        <stp>4</stp>
        <stp>600467</stp>
        <stp>2018-01-01</stp>
        <stp>2019-12-31</stp>
        <stp>3</stp>
        <tr r="F2199" s="1"/>
      </tp>
      <tp>
        <v>-0.23201856000000001</v>
        <stp/>
        <stp>EM_S_PQ_PCTCHANGE</stp>
        <stp>4</stp>
        <stp>600676</stp>
        <stp>2018-12-31</stp>
        <stp>2019-12-30</stp>
        <stp>1</stp>
        <tr r="G2345" s="1"/>
      </tp>
      <tp>
        <v>-7.63087844</v>
        <stp/>
        <stp>EM_S_PQ_PCTCHANGE</stp>
        <stp>4</stp>
        <stp>603676</stp>
        <stp>2018-12-31</stp>
        <stp>2019-12-30</stp>
        <stp>1</stp>
        <tr r="G2673" s="1"/>
      </tp>
      <tp>
        <v>-33.02367023</v>
        <stp/>
        <stp>EM_S_PQ_PCTCHANGE</stp>
        <stp>4</stp>
        <stp>002407</stp>
        <stp>2018-01-01</stp>
        <stp>2019-12-31</stp>
        <stp>3</stp>
        <tr r="F1316" s="1"/>
      </tp>
      <tp>
        <v>11.36986301</v>
        <stp/>
        <stp>EM_S_PQ_PCTCHANGE</stp>
        <stp>4</stp>
        <stp>002616</stp>
        <stp>2018-12-31</stp>
        <stp>2019-12-30</stp>
        <stp>1</stp>
        <tr r="G1661" s="1"/>
      </tp>
      <tp>
        <v>-2.3333333299999999</v>
        <stp/>
        <stp>EM_S_PQ_PCTCHANGE</stp>
        <stp>4</stp>
        <stp>000629</stp>
        <stp>2018-12-31</stp>
        <stp>2019-12-30</stp>
        <stp>1</stp>
        <tr r="G2438" s="1"/>
      </tp>
      <tp>
        <v>12.879364860000001</v>
        <stp/>
        <stp>EM_S_PQ_PCTCHANGE</stp>
        <stp>4</stp>
        <stp>300408</stp>
        <stp>2018-01-01</stp>
        <stp>2019-12-31</stp>
        <stp>3</stp>
        <tr r="F858" s="1"/>
      </tp>
      <tp>
        <v>-15.70909091</v>
        <stp/>
        <stp>EM_S_PQ_PCTCHANGE</stp>
        <stp>4</stp>
        <stp>300619</stp>
        <stp>2018-12-31</stp>
        <stp>2019-12-30</stp>
        <stp>1</stp>
        <tr r="G2952" s="1"/>
      </tp>
      <tp>
        <v>-29.20661183</v>
        <stp/>
        <stp>EM_S_PQ_PCTCHANGE</stp>
        <stp>4</stp>
        <stp>600458</stp>
        <stp>2018-01-01</stp>
        <stp>2019-12-31</stp>
        <stp>3</stp>
        <tr r="F2074" s="1"/>
      </tp>
      <tp>
        <v>5.1188299800000001</v>
        <stp/>
        <stp>EM_S_PQ_PCTCHANGE</stp>
        <stp>4</stp>
        <stp>600649</stp>
        <stp>2018-12-31</stp>
        <stp>2019-12-30</stp>
        <stp>1</stp>
        <tr r="G2008" s="1"/>
      </tp>
      <tp>
        <v>-61.868292099999998</v>
        <stp/>
        <stp>EM_S_PQ_PCTCHANGE</stp>
        <stp>4</stp>
        <stp>603458</stp>
        <stp>2018-01-01</stp>
        <stp>2019-12-31</stp>
        <stp>3</stp>
        <tr r="F3290" s="1"/>
      </tp>
      <tp>
        <v>14.97246331</v>
        <stp/>
        <stp>EM_S_PQ_PCTCHANGE</stp>
        <stp>4</stp>
        <stp>002438</stp>
        <stp>2018-01-01</stp>
        <stp>2019-12-31</stp>
        <stp>3</stp>
        <tr r="F726" s="1"/>
      </tp>
      <tp>
        <v>-30.102040819999999</v>
        <stp/>
        <stp>EM_S_PQ_PCTCHANGE</stp>
        <stp>4</stp>
        <stp>002629</stp>
        <stp>2018-12-31</stp>
        <stp>2019-12-30</stp>
        <stp>1</stp>
        <tr r="G3220" s="1"/>
      </tp>
      <tp>
        <v>-3.7487335399999999</v>
        <stp/>
        <stp>EM_S_PQ_PCTCHANGE</stp>
        <stp>4</stp>
        <stp>000628</stp>
        <stp>2018-12-31</stp>
        <stp>2019-12-30</stp>
        <stp>1</stp>
        <tr r="G2503" s="1"/>
      </tp>
      <tp>
        <v>-45.530174799999998</v>
        <stp/>
        <stp>EM_S_PQ_PCTCHANGE</stp>
        <stp>4</stp>
        <stp>300409</stp>
        <stp>2018-01-01</stp>
        <stp>2019-12-31</stp>
        <stp>3</stp>
        <tr r="F2377" s="1"/>
      </tp>
      <tp>
        <v>7.5863930899999996</v>
        <stp/>
        <stp>EM_S_PQ_PCTCHANGE</stp>
        <stp>4</stp>
        <stp>300618</stp>
        <stp>2018-12-31</stp>
        <stp>2019-12-30</stp>
        <stp>1</stp>
        <tr r="G1876" s="1"/>
      </tp>
      <tp>
        <v>-3.6137749499999998</v>
        <stp/>
        <stp>EM_S_PQ_PCTCHANGE</stp>
        <stp>4</stp>
        <stp>600459</stp>
        <stp>2018-01-01</stp>
        <stp>2019-12-31</stp>
        <stp>3</stp>
        <tr r="F755" s="1"/>
      </tp>
      <tp>
        <v>26.200873359999999</v>
        <stp/>
        <stp>EM_S_PQ_PCTCHANGE</stp>
        <stp>4</stp>
        <stp>600648</stp>
        <stp>2018-12-31</stp>
        <stp>2019-12-30</stp>
        <stp>1</stp>
        <tr r="G1052" s="1"/>
      </tp>
      <tp>
        <v>-5.8485139000000004</v>
        <stp/>
        <stp>EM_S_PQ_PCTCHANGE</stp>
        <stp>4</stp>
        <stp>603648</stp>
        <stp>2018-12-31</stp>
        <stp>2019-12-30</stp>
        <stp>1</stp>
        <tr r="G2597" s="1"/>
      </tp>
      <tp>
        <v>45.305884980000002</v>
        <stp/>
        <stp>EM_S_PQ_PCTCHANGE</stp>
        <stp>4</stp>
        <stp>002439</stp>
        <stp>2018-01-01</stp>
        <stp>2019-12-31</stp>
        <stp>3</stp>
        <tr r="F349" s="1"/>
      </tp>
      <tp>
        <v>-0.43763676000000001</v>
        <stp/>
        <stp>EM_S_PQ_PCTCHANGE</stp>
        <stp>4</stp>
        <stp>002628</stp>
        <stp>2018-12-31</stp>
        <stp>2019-12-30</stp>
        <stp>1</stp>
        <tr r="G2357" s="1"/>
      </tp>
      <tp>
        <v>-39.064327489999997</v>
        <stp/>
        <stp>EM_S_PQ_PCTCHANGE</stp>
        <stp>4</stp>
        <stp>000430</stp>
        <stp>2018-01-01</stp>
        <stp>2019-12-31</stp>
        <stp>3</stp>
        <tr r="F3426" s="1"/>
      </tp>
      <tp>
        <v>7.0895522399999997</v>
        <stp/>
        <stp>EM_S_PQ_PCTCHANGE</stp>
        <stp>4</stp>
        <stp>300400</stp>
        <stp>2018-01-01</stp>
        <stp>2019-12-31</stp>
        <stp>3</stp>
        <tr r="F2511" s="1"/>
      </tp>
      <tp>
        <v>13.38028169</v>
        <stp/>
        <stp>EM_S_PQ_PCTCHANGE</stp>
        <stp>4</stp>
        <stp>300611</stp>
        <stp>2018-12-31</stp>
        <stp>2019-12-30</stp>
        <stp>1</stp>
        <tr r="G1560" s="1"/>
      </tp>
      <tp>
        <v>108.70044052999999</v>
        <stp/>
        <stp>EM_S_PQ_PCTCHANGE</stp>
        <stp>4</stp>
        <stp>600641</stp>
        <stp>2018-12-31</stp>
        <stp>2019-12-30</stp>
        <stp>1</stp>
        <tr r="G147" s="1"/>
      </tp>
      <tp>
        <v>-1.8290673200000001</v>
        <stp/>
        <stp>EM_S_PQ_PCTCHANGE</stp>
        <stp>4</stp>
        <stp>002430</stp>
        <stp>2018-01-01</stp>
        <stp>2019-12-31</stp>
        <stp>3</stp>
        <tr r="F751" s="1"/>
      </tp>
      <tp>
        <v>-34.88783943</v>
        <stp/>
        <stp>EM_S_PQ_PCTCHANGE</stp>
        <stp>4</stp>
        <stp>002621</stp>
        <stp>2018-12-31</stp>
        <stp>2019-12-30</stp>
        <stp>1</stp>
        <tr r="G3271" s="1"/>
      </tp>
      <tp>
        <v>3.0690537099999999</v>
        <stp/>
        <stp>EM_S_PQ_PCTCHANGE</stp>
        <stp>4</stp>
        <stp>000620</stp>
        <stp>2018-12-31</stp>
        <stp>2019-12-30</stp>
        <stp>1</stp>
        <tr r="G2102" s="1"/>
      </tp>
      <tp>
        <v>-28.46473078</v>
        <stp/>
        <stp>EM_S_PQ_PCTCHANGE</stp>
        <stp>4</stp>
        <stp>300401</stp>
        <stp>2018-01-01</stp>
        <stp>2019-12-31</stp>
        <stp>3</stp>
        <tr r="F2232" s="1"/>
      </tp>
      <tp>
        <v>-3.0540328900000002</v>
        <stp/>
        <stp>EM_S_PQ_PCTCHANGE</stp>
        <stp>4</stp>
        <stp>300610</stp>
        <stp>2018-12-31</stp>
        <stp>2019-12-30</stp>
        <stp>1</stp>
        <tr r="G2478" s="1"/>
      </tp>
      <tp>
        <v>164.83180428</v>
        <stp/>
        <stp>EM_S_PQ_PCTCHANGE</stp>
        <stp>4</stp>
        <stp>600640</stp>
        <stp>2018-12-31</stp>
        <stp>2019-12-30</stp>
        <stp>1</stp>
        <tr r="G66" s="1"/>
      </tp>
      <tp>
        <v>-63.528138480000003</v>
        <stp/>
        <stp>EM_S_PQ_PCTCHANGE</stp>
        <stp>4</stp>
        <stp>002431</stp>
        <stp>2018-01-01</stp>
        <stp>2019-12-31</stp>
        <stp>3</stp>
        <tr r="F2936" s="1"/>
      </tp>
      <tp>
        <v>4.6312178399999997</v>
        <stp/>
        <stp>EM_S_PQ_PCTCHANGE</stp>
        <stp>4</stp>
        <stp>002620</stp>
        <stp>2018-12-31</stp>
        <stp>2019-12-30</stp>
        <stp>1</stp>
        <tr r="G2023" s="1"/>
      </tp>
      <tp>
        <v>14.8995149</v>
        <stp/>
        <stp>EM_S_PQ_PCTCHANGE</stp>
        <stp>4</stp>
        <stp>000623</stp>
        <stp>2018-12-31</stp>
        <stp>2019-12-30</stp>
        <stp>1</stp>
        <tr r="G1489" s="1"/>
      </tp>
      <tp>
        <v>-27.139589000000001</v>
        <stp/>
        <stp>EM_S_PQ_PCTCHANGE</stp>
        <stp>4</stp>
        <stp>300402</stp>
        <stp>2018-01-01</stp>
        <stp>2019-12-31</stp>
        <stp>3</stp>
        <tr r="F1278" s="1"/>
      </tp>
      <tp>
        <v>78.017337190000006</v>
        <stp/>
        <stp>EM_S_PQ_PCTCHANGE</stp>
        <stp>4</stp>
        <stp>300613</stp>
        <stp>2018-12-31</stp>
        <stp>2019-12-30</stp>
        <stp>1</stp>
        <tr r="G258" s="1"/>
      </tp>
      <tp>
        <v>7.5724937900000002</v>
        <stp/>
        <stp>EM_S_PQ_PCTCHANGE</stp>
        <stp>4</stp>
        <stp>600452</stp>
        <stp>2018-01-01</stp>
        <stp>2019-12-31</stp>
        <stp>3</stp>
        <tr r="F1428" s="1"/>
      </tp>
      <tp>
        <v>14.13427562</v>
        <stp/>
        <stp>EM_S_PQ_PCTCHANGE</stp>
        <stp>4</stp>
        <stp>600643</stp>
        <stp>2018-12-31</stp>
        <stp>2019-12-30</stp>
        <stp>1</stp>
        <tr r="G1527" s="1"/>
      </tp>
      <tp>
        <v>-45.493562230000002</v>
        <stp/>
        <stp>EM_S_PQ_PCTCHANGE</stp>
        <stp>4</stp>
        <stp>002432</stp>
        <stp>2018-01-01</stp>
        <stp>2019-12-31</stp>
        <stp>3</stp>
        <tr r="F2464" s="1"/>
      </tp>
      <tp>
        <v>50.391644909999997</v>
        <stp/>
        <stp>EM_S_PQ_PCTCHANGE</stp>
        <stp>4</stp>
        <stp>002623</stp>
        <stp>2018-12-31</stp>
        <stp>2019-12-30</stp>
        <stp>1</stp>
        <tr r="G556" s="1"/>
      </tp>
      <tp>
        <v>-35.95206391</v>
        <stp/>
        <stp>EM_S_PQ_PCTCHANGE</stp>
        <stp>4</stp>
        <stp>000622</stp>
        <stp>2018-12-31</stp>
        <stp>2019-12-30</stp>
        <stp>1</stp>
        <tr r="G3279" s="1"/>
      </tp>
      <tp>
        <v>-32.361011789999999</v>
        <stp/>
        <stp>EM_S_PQ_PCTCHANGE</stp>
        <stp>4</stp>
        <stp>300403</stp>
        <stp>2018-01-01</stp>
        <stp>2019-12-31</stp>
        <stp>3</stp>
        <tr r="F2252" s="1"/>
      </tp>
      <tp>
        <v>12.73458445</v>
        <stp/>
        <stp>EM_S_PQ_PCTCHANGE</stp>
        <stp>4</stp>
        <stp>300612</stp>
        <stp>2018-12-31</stp>
        <stp>2019-12-30</stp>
        <stp>1</stp>
        <tr r="G1593" s="1"/>
      </tp>
      <tp>
        <v>18.647540979999999</v>
        <stp/>
        <stp>EM_S_PQ_PCTCHANGE</stp>
        <stp>4</stp>
        <stp>600642</stp>
        <stp>2018-12-31</stp>
        <stp>2019-12-30</stp>
        <stp>1</stp>
        <tr r="G1343" s="1"/>
      </tp>
      <tp>
        <v>-44.994113429999999</v>
        <stp/>
        <stp>EM_S_PQ_PCTCHANGE</stp>
        <stp>4</stp>
        <stp>002433</stp>
        <stp>2018-01-01</stp>
        <stp>2019-12-31</stp>
        <stp>3</stp>
        <tr r="F2500" s="1"/>
      </tp>
      <tp>
        <v>14.379084969999999</v>
        <stp/>
        <stp>EM_S_PQ_PCTCHANGE</stp>
        <stp>4</stp>
        <stp>002622</stp>
        <stp>2018-12-31</stp>
        <stp>2019-12-30</stp>
        <stp>1</stp>
        <tr r="G1510" s="1"/>
      </tp>
      <tp>
        <v>-5.1216929699999998</v>
        <stp/>
        <stp>EM_S_PQ_PCTCHANGE</stp>
        <stp>4</stp>
        <stp>300404</stp>
        <stp>2018-01-01</stp>
        <stp>2019-12-31</stp>
        <stp>3</stp>
        <tr r="F1027" s="1"/>
      </tp>
      <tp>
        <v>17.088607589999999</v>
        <stp/>
        <stp>EM_S_PQ_PCTCHANGE</stp>
        <stp>4</stp>
        <stp>300615</stp>
        <stp>2018-12-31</stp>
        <stp>2019-12-30</stp>
        <stp>1</stp>
        <tr r="G1398" s="1"/>
      </tp>
      <tp>
        <v>3.2635467999999999</v>
        <stp/>
        <stp>EM_S_PQ_PCTCHANGE</stp>
        <stp>4</stp>
        <stp>600645</stp>
        <stp>2018-12-31</stp>
        <stp>2019-12-30</stp>
        <stp>1</stp>
        <tr r="G2094" s="1"/>
      </tp>
      <tp>
        <v>-6.0943946000000002</v>
        <stp/>
        <stp>EM_S_PQ_PCTCHANGE</stp>
        <stp>4</stp>
        <stp>002434</stp>
        <stp>2018-01-01</stp>
        <stp>2019-12-31</stp>
        <stp>3</stp>
        <tr r="F706" s="1"/>
      </tp>
      <tp>
        <v>-6.46464646</v>
        <stp/>
        <stp>EM_S_PQ_PCTCHANGE</stp>
        <stp>4</stp>
        <stp>002625</stp>
        <stp>2018-12-31</stp>
        <stp>2019-12-30</stp>
        <stp>1</stp>
        <tr r="G2630" s="1"/>
      </tp>
      <tp>
        <v>-18.825810669999999</v>
        <stp/>
        <stp>EM_S_PQ_PCTCHANGE</stp>
        <stp>4</stp>
        <stp>300405</stp>
        <stp>2018-01-01</stp>
        <stp>2019-12-31</stp>
        <stp>3</stp>
        <tr r="F2766" s="1"/>
      </tp>
      <tp>
        <v>-2.27904391</v>
        <stp/>
        <stp>EM_S_PQ_PCTCHANGE</stp>
        <stp>4</stp>
        <stp>600455</stp>
        <stp>2018-01-01</stp>
        <stp>2019-12-31</stp>
        <stp>3</stp>
        <tr r="F440" s="1"/>
      </tp>
      <tp>
        <v>23.608017820000001</v>
        <stp/>
        <stp>EM_S_PQ_PCTCHANGE</stp>
        <stp>4</stp>
        <stp>600644</stp>
        <stp>2018-12-31</stp>
        <stp>2019-12-30</stp>
        <stp>1</stp>
        <tr r="G1143" s="1"/>
      </tp>
      <tp>
        <v>-38.867805099999998</v>
        <stp/>
        <stp>EM_S_PQ_PCTCHANGE</stp>
        <stp>4</stp>
        <stp>002435</stp>
        <stp>2018-01-01</stp>
        <stp>2019-12-31</stp>
        <stp>3</stp>
        <tr r="F3162" s="1"/>
      </tp>
      <tp>
        <v>57.809694790000002</v>
        <stp/>
        <stp>EM_S_PQ_PCTCHANGE</stp>
        <stp>4</stp>
        <stp>002624</stp>
        <stp>2018-12-31</stp>
        <stp>2019-12-30</stp>
        <stp>1</stp>
        <tr r="G449" s="1"/>
      </tp>
      <tp>
        <v>10.28775469</v>
        <stp/>
        <stp>EM_S_PQ_PCTCHANGE</stp>
        <stp>4</stp>
        <stp>300406</stp>
        <stp>2018-01-01</stp>
        <stp>2019-12-31</stp>
        <stp>3</stp>
        <tr r="F400" s="1"/>
      </tp>
      <tp>
        <v>12.92984869</v>
        <stp/>
        <stp>EM_S_PQ_PCTCHANGE</stp>
        <stp>4</stp>
        <stp>300617</stp>
        <stp>2018-12-31</stp>
        <stp>2019-12-30</stp>
        <stp>1</stp>
        <tr r="G1581" s="1"/>
      </tp>
      <tp>
        <v>3.7046915399999998</v>
        <stp/>
        <stp>EM_S_PQ_PCTCHANGE</stp>
        <stp>4</stp>
        <stp>600456</stp>
        <stp>2018-01-01</stp>
        <stp>2019-12-31</stp>
        <stp>3</stp>
        <tr r="F393" s="1"/>
      </tp>
      <tp>
        <v>15.993265989999999</v>
        <stp/>
        <stp>EM_S_PQ_PCTCHANGE</stp>
        <stp>4</stp>
        <stp>600647</stp>
        <stp>2018-12-31</stp>
        <stp>2019-12-30</stp>
        <stp>1</stp>
        <tr r="G1435" s="1"/>
      </tp>
      <tp>
        <v>67.918578690000004</v>
        <stp/>
        <stp>EM_S_PQ_PCTCHANGE</stp>
        <stp>4</stp>
        <stp>603456</stp>
        <stp>2018-01-01</stp>
        <stp>2019-12-31</stp>
        <stp>3</stp>
        <tr r="F126" s="1"/>
      </tp>
      <tp>
        <v>40.581038679999999</v>
        <stp/>
        <stp>EM_S_PQ_PCTCHANGE</stp>
        <stp>4</stp>
        <stp>002436</stp>
        <stp>2018-01-01</stp>
        <stp>2019-12-31</stp>
        <stp>3</stp>
        <tr r="F221" s="1"/>
      </tp>
      <tp>
        <v>63.536776209999999</v>
        <stp/>
        <stp>EM_S_PQ_PCTCHANGE</stp>
        <stp>4</stp>
        <stp>002627</stp>
        <stp>2018-12-31</stp>
        <stp>2019-12-30</stp>
        <stp>1</stp>
        <tr r="G389" s="1"/>
      </tp>
      <tp>
        <v>-25.538007440000001</v>
        <stp/>
        <stp>EM_S_PQ_PCTCHANGE</stp>
        <stp>4</stp>
        <stp>300407</stp>
        <stp>2018-01-01</stp>
        <stp>2019-12-31</stp>
        <stp>3</stp>
        <tr r="F2060" s="1"/>
      </tp>
      <tp>
        <v>25.061708079999999</v>
        <stp/>
        <stp>EM_S_PQ_PCTCHANGE</stp>
        <stp>4</stp>
        <stp>300616</stp>
        <stp>2018-12-31</stp>
        <stp>2019-12-30</stp>
        <stp>1</stp>
        <tr r="G1091" s="1"/>
      </tp>
      <tp>
        <v>0</v>
        <stp/>
        <stp>EM_S_PQ_PCTCHANGE</stp>
        <stp>4</stp>
        <stp>600646</stp>
        <stp>2018-12-31</stp>
        <stp>2019-12-30</stp>
        <stp>1</stp>
        <tr r="G2311" s="1"/>
      </tp>
      <tp>
        <v>-55.844216719999999</v>
        <stp/>
        <stp>EM_S_PQ_PCTCHANGE</stp>
        <stp>4</stp>
        <stp>002437</stp>
        <stp>2018-01-01</stp>
        <stp>2019-12-31</stp>
        <stp>3</stp>
        <tr r="F1992" s="1"/>
      </tp>
      <tp>
        <v>60.981697169999997</v>
        <stp/>
        <stp>EM_S_PQ_PCTCHANGE</stp>
        <stp>4</stp>
        <stp>002626</stp>
        <stp>2018-12-31</stp>
        <stp>2019-12-30</stp>
        <stp>1</stp>
        <tr r="G414" s="1"/>
      </tp>
      <tp>
        <v>-37.32057416</v>
        <stp/>
        <stp>EM_S_PQ_PCTCHANGE</stp>
        <stp>4</stp>
        <stp>000428</stp>
        <stp>2018-01-01</stp>
        <stp>2019-12-31</stp>
        <stp>3</stp>
        <tr r="F3425" s="1"/>
      </tp>
      <tp>
        <v>-29.797191890000001</v>
        <stp/>
        <stp>EM_S_PQ_PCTCHANGE</stp>
        <stp>4</stp>
        <stp>000639</stp>
        <stp>2018-12-31</stp>
        <stp>2019-12-30</stp>
        <stp>1</stp>
        <tr r="G3211" s="1"/>
      </tp>
      <tp>
        <v>-18.21219022</v>
        <stp/>
        <stp>EM_S_PQ_PCTCHANGE</stp>
        <stp>4</stp>
        <stp>300418</stp>
        <stp>2018-01-01</stp>
        <stp>2019-12-31</stp>
        <stp>3</stp>
        <tr r="F889" s="1"/>
      </tp>
      <tp>
        <v>37.486177660000003</v>
        <stp/>
        <stp>EM_S_PQ_PCTCHANGE</stp>
        <stp>4</stp>
        <stp>300609</stp>
        <stp>2018-12-31</stp>
        <stp>2019-12-30</stp>
        <stp>1</stp>
        <tr r="G784" s="1"/>
      </tp>
      <tp>
        <v>-2.1699819200000001</v>
        <stp/>
        <stp>EM_S_PQ_PCTCHANGE</stp>
        <stp>4</stp>
        <stp>600448</stp>
        <stp>2018-01-01</stp>
        <stp>2019-12-31</stp>
        <stp>3</stp>
        <tr r="F1775" s="1"/>
      </tp>
      <tp>
        <v>0</v>
        <stp/>
        <stp>EM_S_PQ_PCTCHANGE</stp>
        <stp>4</stp>
        <stp>600659</stp>
        <stp>2018-12-31</stp>
        <stp>2019-12-30</stp>
        <stp>1</stp>
        <tr r="G2324" s="1"/>
      </tp>
      <tp>
        <v>81.223628689999998</v>
        <stp/>
        <stp>EM_S_PQ_PCTCHANGE</stp>
        <stp>4</stp>
        <stp>603659</stp>
        <stp>2018-12-31</stp>
        <stp>2019-12-30</stp>
        <stp>1</stp>
        <tr r="G241" s="1"/>
      </tp>
      <tp>
        <v>-29.49461475</v>
        <stp/>
        <stp>EM_S_PQ_PCTCHANGE</stp>
        <stp>4</stp>
        <stp>002428</stp>
        <stp>2018-01-01</stp>
        <stp>2019-12-31</stp>
        <stp>3</stp>
        <tr r="F268" s="1"/>
      </tp>
      <tp>
        <v>59.09943715</v>
        <stp/>
        <stp>EM_S_PQ_PCTCHANGE</stp>
        <stp>4</stp>
        <stp>002639</stp>
        <stp>2018-12-31</stp>
        <stp>2019-12-30</stp>
        <stp>1</stp>
        <tr r="G434" s="1"/>
      </tp>
      <tp>
        <v>15.549205929999999</v>
        <stp/>
        <stp>EM_S_PQ_PCTCHANGE</stp>
        <stp>4</stp>
        <stp>000429</stp>
        <stp>2018-01-01</stp>
        <stp>2019-12-31</stp>
        <stp>3</stp>
        <tr r="F2465" s="1"/>
      </tp>
      <tp>
        <v>-35.633854650000004</v>
        <stp/>
        <stp>EM_S_PQ_PCTCHANGE</stp>
        <stp>4</stp>
        <stp>300419</stp>
        <stp>2018-01-01</stp>
        <stp>2019-12-31</stp>
        <stp>3</stp>
        <tr r="F1348" s="1"/>
      </tp>
      <tp>
        <v>-2.6482440999999999</v>
        <stp/>
        <stp>EM_S_PQ_PCTCHANGE</stp>
        <stp>4</stp>
        <stp>300608</stp>
        <stp>2018-12-31</stp>
        <stp>2019-12-30</stp>
        <stp>1</stp>
        <tr r="G2460" s="1"/>
      </tp>
      <tp>
        <v>4.5254535499999999</v>
        <stp/>
        <stp>EM_S_PQ_PCTCHANGE</stp>
        <stp>4</stp>
        <stp>600449</stp>
        <stp>2018-01-01</stp>
        <stp>2019-12-31</stp>
        <stp>3</stp>
        <tr r="F621" s="1"/>
      </tp>
      <tp>
        <v>-11.94762684</v>
        <stp/>
        <stp>EM_S_PQ_PCTCHANGE</stp>
        <stp>4</stp>
        <stp>600658</stp>
        <stp>2018-12-31</stp>
        <stp>2019-12-30</stp>
        <stp>1</stp>
        <tr r="G2829" s="1"/>
      </tp>
      <tp>
        <v>93.700143179999998</v>
        <stp/>
        <stp>EM_S_PQ_PCTCHANGE</stp>
        <stp>4</stp>
        <stp>603658</stp>
        <stp>2018-12-31</stp>
        <stp>2019-12-30</stp>
        <stp>1</stp>
        <tr r="G188" s="1"/>
      </tp>
      <tp>
        <v>-2.7932960900000001</v>
        <stp/>
        <stp>EM_S_PQ_PCTCHANGE</stp>
        <stp>4</stp>
        <stp>002429</stp>
        <stp>2018-01-01</stp>
        <stp>2019-12-31</stp>
        <stp>3</stp>
        <tr r="F242" s="1"/>
      </tp>
      <tp>
        <v>42.801556419999997</v>
        <stp/>
        <stp>EM_S_PQ_PCTCHANGE</stp>
        <stp>4</stp>
        <stp>002638</stp>
        <stp>2018-12-31</stp>
        <stp>2019-12-30</stp>
        <stp>1</stp>
        <tr r="G689" s="1"/>
      </tp>
      <tp>
        <v>-30.990415339999998</v>
        <stp/>
        <stp>EM_S_PQ_PCTCHANGE</stp>
        <stp>4</stp>
        <stp>000420</stp>
        <stp>2018-01-01</stp>
        <stp>2019-12-31</stp>
        <stp>3</stp>
        <tr r="F1603" s="1"/>
      </tp>
      <tp>
        <v>-54.565946169999997</v>
        <stp/>
        <stp>EM_S_PQ_PCTCHANGE</stp>
        <stp>4</stp>
        <stp>300410</stp>
        <stp>2018-01-01</stp>
        <stp>2019-12-31</stp>
        <stp>3</stp>
        <tr r="F3396" s="1"/>
      </tp>
      <tp>
        <v>143.85131358000001</v>
        <stp/>
        <stp>EM_S_PQ_PCTCHANGE</stp>
        <stp>4</stp>
        <stp>300601</stp>
        <stp>2018-12-31</stp>
        <stp>2019-12-30</stp>
        <stp>1</stp>
        <tr r="G93" s="1"/>
      </tp>
      <tp>
        <v>35.603715170000001</v>
        <stp/>
        <stp>EM_S_PQ_PCTCHANGE</stp>
        <stp>4</stp>
        <stp>600651</stp>
        <stp>2018-12-31</stp>
        <stp>2019-12-30</stp>
        <stp>1</stp>
        <tr r="G810" s="1"/>
      </tp>
      <tp>
        <v>-24.66793169</v>
        <stp/>
        <stp>EM_S_PQ_PCTCHANGE</stp>
        <stp>4</stp>
        <stp>002420</stp>
        <stp>2018-01-01</stp>
        <stp>2019-12-31</stp>
        <stp>3</stp>
        <tr r="F1302" s="1"/>
      </tp>
      <tp>
        <v>25.310559009999999</v>
        <stp/>
        <stp>EM_S_PQ_PCTCHANGE</stp>
        <stp>4</stp>
        <stp>002631</stp>
        <stp>2018-12-31</stp>
        <stp>2019-12-30</stp>
        <stp>1</stp>
        <tr r="G1082" s="1"/>
      </tp>
      <tp>
        <v>-24.886876139999998</v>
        <stp/>
        <stp>EM_S_PQ_PCTCHANGE</stp>
        <stp>4</stp>
        <stp>000421</stp>
        <stp>2018-01-01</stp>
        <stp>2019-12-31</stp>
        <stp>3</stp>
        <tr r="F3423" s="1"/>
      </tp>
      <tp>
        <v>19.79695431</v>
        <stp/>
        <stp>EM_S_PQ_PCTCHANGE</stp>
        <stp>4</stp>
        <stp>000630</stp>
        <stp>2018-12-31</stp>
        <stp>2019-12-30</stp>
        <stp>1</stp>
        <tr r="G1285" s="1"/>
      </tp>
      <tp>
        <v>-62.437244149999998</v>
        <stp/>
        <stp>EM_S_PQ_PCTCHANGE</stp>
        <stp>4</stp>
        <stp>300411</stp>
        <stp>2018-01-01</stp>
        <stp>2019-12-31</stp>
        <stp>3</stp>
        <tr r="F2490" s="1"/>
      </tp>
      <tp>
        <v>-38.2517049</v>
        <stp/>
        <stp>EM_S_PQ_PCTCHANGE</stp>
        <stp>4</stp>
        <stp>300600</stp>
        <stp>2018-12-31</stp>
        <stp>2019-12-30</stp>
        <stp>1</stp>
        <tr r="G3297" s="1"/>
      </tp>
      <tp>
        <v>7.5132275100000001</v>
        <stp/>
        <stp>EM_S_PQ_PCTCHANGE</stp>
        <stp>4</stp>
        <stp>600650</stp>
        <stp>2018-12-31</stp>
        <stp>2019-12-30</stp>
        <stp>1</stp>
        <tr r="G1878" s="1"/>
      </tp>
      <tp>
        <v>-12.506303580000001</v>
        <stp/>
        <stp>EM_S_PQ_PCTCHANGE</stp>
        <stp>4</stp>
        <stp>603650</stp>
        <stp>2018-12-31</stp>
        <stp>2019-12-30</stp>
        <stp>1</stp>
        <tr r="G2848" s="1"/>
      </tp>
      <tp>
        <v>-39.928312660000003</v>
        <stp/>
        <stp>EM_S_PQ_PCTCHANGE</stp>
        <stp>4</stp>
        <stp>002421</stp>
        <stp>2018-01-01</stp>
        <stp>2019-12-31</stp>
        <stp>3</stp>
        <tr r="F2669" s="1"/>
      </tp>
      <tp>
        <v>-15.78947368</v>
        <stp/>
        <stp>EM_S_PQ_PCTCHANGE</stp>
        <stp>4</stp>
        <stp>002630</stp>
        <stp>2018-12-31</stp>
        <stp>2019-12-30</stp>
        <stp>1</stp>
        <tr r="G2954" s="1"/>
      </tp>
      <tp>
        <v>-28.921568629999999</v>
        <stp/>
        <stp>EM_S_PQ_PCTCHANGE</stp>
        <stp>4</stp>
        <stp>000422</stp>
        <stp>2018-01-01</stp>
        <stp>2019-12-31</stp>
        <stp>3</stp>
        <tr r="F2350" s="1"/>
      </tp>
      <tp>
        <v>-9.3681917200000004</v>
        <stp/>
        <stp>EM_S_PQ_PCTCHANGE</stp>
        <stp>4</stp>
        <stp>000633</stp>
        <stp>2018-12-31</stp>
        <stp>2019-12-30</stp>
        <stp>1</stp>
        <tr r="G2730" s="1"/>
      </tp>
      <tp>
        <v>-32.026398489999998</v>
        <stp/>
        <stp>EM_S_PQ_PCTCHANGE</stp>
        <stp>4</stp>
        <stp>300412</stp>
        <stp>2018-01-01</stp>
        <stp>2019-12-31</stp>
        <stp>3</stp>
        <tr r="F2243" s="1"/>
      </tp>
      <tp>
        <v>-26.278290030000001</v>
        <stp/>
        <stp>EM_S_PQ_PCTCHANGE</stp>
        <stp>4</stp>
        <stp>300603</stp>
        <stp>2018-12-31</stp>
        <stp>2019-12-30</stp>
        <stp>1</stp>
        <tr r="G3173" s="1"/>
      </tp>
      <tp>
        <v>8.4656084699999994</v>
        <stp/>
        <stp>EM_S_PQ_PCTCHANGE</stp>
        <stp>4</stp>
        <stp>600653</stp>
        <stp>2018-12-31</stp>
        <stp>2019-12-30</stp>
        <stp>1</stp>
        <tr r="G1829" s="1"/>
      </tp>
      <tp>
        <v>-4.33735757</v>
        <stp/>
        <stp>EM_S_PQ_PCTCHANGE</stp>
        <stp>4</stp>
        <stp>002422</stp>
        <stp>2018-01-01</stp>
        <stp>2019-12-31</stp>
        <stp>3</stp>
        <tr r="F1614" s="1"/>
      </tp>
      <tp>
        <v>4.4334975400000003</v>
        <stp/>
        <stp>EM_S_PQ_PCTCHANGE</stp>
        <stp>4</stp>
        <stp>002633</stp>
        <stp>2018-12-31</stp>
        <stp>2019-12-30</stp>
        <stp>1</stp>
        <tr r="G2033" s="1"/>
      </tp>
      <tp>
        <v>-38.251991769999997</v>
        <stp/>
        <stp>EM_S_PQ_PCTCHANGE</stp>
        <stp>4</stp>
        <stp>000423</stp>
        <stp>2018-01-01</stp>
        <stp>2019-12-31</stp>
        <stp>3</stp>
        <tr r="F3424" s="1"/>
      </tp>
      <tp>
        <v>58.808290159999999</v>
        <stp/>
        <stp>EM_S_PQ_PCTCHANGE</stp>
        <stp>4</stp>
        <stp>000632</stp>
        <stp>2018-12-31</stp>
        <stp>2019-12-30</stp>
        <stp>1</stp>
        <tr r="G438" s="1"/>
      </tp>
      <tp>
        <v>99.319489219999994</v>
        <stp/>
        <stp>EM_S_PQ_PCTCHANGE</stp>
        <stp>4</stp>
        <stp>300413</stp>
        <stp>2018-01-01</stp>
        <stp>2019-12-31</stp>
        <stp>3</stp>
        <tr r="F2612" s="1"/>
      </tp>
      <tp>
        <v>27.057767139999999</v>
        <stp/>
        <stp>EM_S_PQ_PCTCHANGE</stp>
        <stp>4</stp>
        <stp>300602</stp>
        <stp>2018-12-31</stp>
        <stp>2019-12-30</stp>
        <stp>1</stp>
        <tr r="G1016" s="1"/>
      </tp>
      <tp>
        <v>-49.88814318</v>
        <stp/>
        <stp>EM_S_PQ_PCTCHANGE</stp>
        <stp>4</stp>
        <stp>600652</stp>
        <stp>2018-12-31</stp>
        <stp>2019-12-30</stp>
        <stp>1</stp>
        <tr r="G3367" s="1"/>
      </tp>
      <tp>
        <v>-32.522585130000003</v>
        <stp/>
        <stp>EM_S_PQ_PCTCHANGE</stp>
        <stp>4</stp>
        <stp>002423</stp>
        <stp>2018-01-01</stp>
        <stp>2019-12-31</stp>
        <stp>3</stp>
        <tr r="F1697" s="1"/>
      </tp>
      <tp>
        <v>7.0707070700000001</v>
        <stp/>
        <stp>EM_S_PQ_PCTCHANGE</stp>
        <stp>4</stp>
        <stp>002632</stp>
        <stp>2018-12-31</stp>
        <stp>2019-12-30</stp>
        <stp>1</stp>
        <tr r="G1891" s="1"/>
      </tp>
      <tp>
        <v>-7.0588235299999997</v>
        <stp/>
        <stp>EM_S_PQ_PCTCHANGE</stp>
        <stp>4</stp>
        <stp>000635</stp>
        <stp>2018-12-31</stp>
        <stp>2019-12-30</stp>
        <stp>1</stp>
        <tr r="G2661" s="1"/>
      </tp>
      <tp>
        <v>5.6292873500000002</v>
        <stp/>
        <stp>EM_S_PQ_PCTCHANGE</stp>
        <stp>4</stp>
        <stp>300414</stp>
        <stp>2018-01-01</stp>
        <stp>2019-12-31</stp>
        <stp>3</stp>
        <tr r="F3089" s="1"/>
      </tp>
      <tp>
        <v>-14</v>
        <stp/>
        <stp>EM_S_PQ_PCTCHANGE</stp>
        <stp>4</stp>
        <stp>300605</stp>
        <stp>2018-12-31</stp>
        <stp>2019-12-30</stp>
        <stp>1</stp>
        <tr r="G2903" s="1"/>
      </tp>
      <tp>
        <v>-31.321710190000001</v>
        <stp/>
        <stp>EM_S_PQ_PCTCHANGE</stp>
        <stp>4</stp>
        <stp>600444</stp>
        <stp>2018-01-01</stp>
        <stp>2019-12-31</stp>
        <stp>3</stp>
        <tr r="F1702" s="1"/>
      </tp>
      <tp>
        <v>5</v>
        <stp/>
        <stp>EM_S_PQ_PCTCHANGE</stp>
        <stp>4</stp>
        <stp>600655</stp>
        <stp>2018-12-31</stp>
        <stp>2019-12-30</stp>
        <stp>1</stp>
        <tr r="G2010" s="1"/>
      </tp>
      <tp>
        <v>72.74578339</v>
        <stp/>
        <stp>EM_S_PQ_PCTCHANGE</stp>
        <stp>4</stp>
        <stp>603444</stp>
        <stp>2018-01-01</stp>
        <stp>2019-12-31</stp>
        <stp>3</stp>
        <tr r="F141" s="1"/>
      </tp>
      <tp>
        <v>47.435897439999998</v>
        <stp/>
        <stp>EM_S_PQ_PCTCHANGE</stp>
        <stp>4</stp>
        <stp>603655</stp>
        <stp>2018-12-31</stp>
        <stp>2019-12-30</stp>
        <stp>1</stp>
        <tr r="G604" s="1"/>
      </tp>
      <tp>
        <v>-42.658447150000001</v>
        <stp/>
        <stp>EM_S_PQ_PCTCHANGE</stp>
        <stp>4</stp>
        <stp>002424</stp>
        <stp>2018-01-01</stp>
        <stp>2019-12-31</stp>
        <stp>3</stp>
        <tr r="F2474" s="1"/>
      </tp>
      <tp>
        <v>51.103265669999999</v>
        <stp/>
        <stp>EM_S_PQ_PCTCHANGE</stp>
        <stp>4</stp>
        <stp>002635</stp>
        <stp>2018-12-31</stp>
        <stp>2019-12-30</stp>
        <stp>1</stp>
        <tr r="G547" s="1"/>
      </tp>
      <tp>
        <v>111.11875021</v>
        <stp/>
        <stp>EM_S_PQ_PCTCHANGE</stp>
        <stp>4</stp>
        <stp>603444</stp>
        <stp>2019-01-01</stp>
        <stp>2019-12-31</stp>
        <stp>3</stp>
        <tr r="G141" s="1"/>
      </tp>
      <tp>
        <v>20.8740804</v>
        <stp/>
        <stp>EM_S_PQ_PCTCHANGE</stp>
        <stp>4</stp>
        <stp>000425</stp>
        <stp>2018-01-01</stp>
        <stp>2019-12-31</stp>
        <stp>3</stp>
        <tr r="F319" s="1"/>
      </tp>
      <tp>
        <v>-41.278103010000002</v>
        <stp/>
        <stp>EM_S_PQ_PCTCHANGE</stp>
        <stp>4</stp>
        <stp>300415</stp>
        <stp>2018-01-01</stp>
        <stp>2019-12-31</stp>
        <stp>3</stp>
        <tr r="F374" s="1"/>
      </tp>
      <tp>
        <v>-21.20915033</v>
        <stp/>
        <stp>EM_S_PQ_PCTCHANGE</stp>
        <stp>4</stp>
        <stp>300604</stp>
        <stp>2018-12-31</stp>
        <stp>2019-12-30</stp>
        <stp>1</stp>
        <tr r="G3085" s="1"/>
      </tp>
      <tp>
        <v>-5</v>
        <stp/>
        <stp>EM_S_PQ_PCTCHANGE</stp>
        <stp>4</stp>
        <stp>600654</stp>
        <stp>2018-12-31</stp>
        <stp>2019-12-30</stp>
        <stp>1</stp>
        <tr r="G2568" s="1"/>
      </tp>
      <tp>
        <v>-20.84993639</v>
        <stp/>
        <stp>EM_S_PQ_PCTCHANGE</stp>
        <stp>4</stp>
        <stp>002425</stp>
        <stp>2018-01-01</stp>
        <stp>2019-12-31</stp>
        <stp>3</stp>
        <tr r="F2629" s="1"/>
      </tp>
      <tp>
        <v>41.093117409999998</v>
        <stp/>
        <stp>EM_S_PQ_PCTCHANGE</stp>
        <stp>4</stp>
        <stp>002634</stp>
        <stp>2018-12-31</stp>
        <stp>2019-12-30</stp>
        <stp>1</stp>
        <tr r="G713" s="1"/>
      </tp>
      <tp>
        <v>-49.299849629999997</v>
        <stp/>
        <stp>EM_S_PQ_PCTCHANGE</stp>
        <stp>4</stp>
        <stp>000426</stp>
        <stp>2018-01-01</stp>
        <stp>2019-12-31</stp>
        <stp>3</stp>
        <tr r="F2266" s="1"/>
      </tp>
      <tp>
        <v>34.051877169999997</v>
        <stp/>
        <stp>EM_S_PQ_PCTCHANGE</stp>
        <stp>4</stp>
        <stp>300416</stp>
        <stp>2018-01-01</stp>
        <stp>2019-12-31</stp>
        <stp>3</stp>
        <tr r="F301" s="1"/>
      </tp>
      <tp>
        <v>55.382113820000001</v>
        <stp/>
        <stp>EM_S_PQ_PCTCHANGE</stp>
        <stp>4</stp>
        <stp>300607</stp>
        <stp>2018-12-31</stp>
        <stp>2019-12-30</stp>
        <stp>1</stp>
        <tr r="G484" s="1"/>
      </tp>
      <tp>
        <v>36.263116660000001</v>
        <stp/>
        <stp>EM_S_PQ_PCTCHANGE</stp>
        <stp>4</stp>
        <stp>600446</stp>
        <stp>2018-01-01</stp>
        <stp>2019-12-31</stp>
        <stp>3</stp>
        <tr r="F127" s="1"/>
      </tp>
      <tp>
        <v>1.27226463</v>
        <stp/>
        <stp>EM_S_PQ_PCTCHANGE</stp>
        <stp>4</stp>
        <stp>600657</stp>
        <stp>2018-12-31</stp>
        <stp>2019-12-30</stp>
        <stp>1</stp>
        <tr r="G2195" s="1"/>
      </tp>
      <tp>
        <v>-59.229890849999997</v>
        <stp/>
        <stp>EM_S_PQ_PCTCHANGE</stp>
        <stp>4</stp>
        <stp>002426</stp>
        <stp>2018-01-01</stp>
        <stp>2019-12-31</stp>
        <stp>3</stp>
        <tr r="F2106" s="1"/>
      </tp>
      <tp>
        <v>45.23809524</v>
        <stp/>
        <stp>EM_S_PQ_PCTCHANGE</stp>
        <stp>4</stp>
        <stp>002637</stp>
        <stp>2018-12-31</stp>
        <stp>2019-12-30</stp>
        <stp>1</stp>
        <tr r="G640" s="1"/>
      </tp>
      <tp>
        <v>41.061452510000002</v>
        <stp/>
        <stp>EM_S_PQ_PCTCHANGE</stp>
        <stp>4</stp>
        <stp>000636</stp>
        <stp>2018-12-31</stp>
        <stp>2019-12-30</stp>
        <stp>1</stp>
        <tr r="G714" s="1"/>
      </tp>
      <tp>
        <v>86.740682770000006</v>
        <stp/>
        <stp>EM_S_PQ_PCTCHANGE</stp>
        <stp>4</stp>
        <stp>300417</stp>
        <stp>2018-01-01</stp>
        <stp>2019-12-31</stp>
        <stp>3</stp>
        <tr r="F56" s="1"/>
      </tp>
      <tp>
        <v>16.048699500000001</v>
        <stp/>
        <stp>EM_S_PQ_PCTCHANGE</stp>
        <stp>4</stp>
        <stp>300606</stp>
        <stp>2018-12-31</stp>
        <stp>2019-12-30</stp>
        <stp>1</stp>
        <tr r="G1432" s="1"/>
      </tp>
      <tp>
        <v>0</v>
        <stp/>
        <stp>EM_S_PQ_PCTCHANGE</stp>
        <stp>4</stp>
        <stp>600656</stp>
        <stp>2018-12-31</stp>
        <stp>2019-12-30</stp>
        <stp>1</stp>
        <tr r="G2312" s="1"/>
      </tp>
      <tp>
        <v>7.72532189</v>
        <stp/>
        <stp>EM_S_PQ_PCTCHANGE</stp>
        <stp>4</stp>
        <stp>603656</stp>
        <stp>2018-12-31</stp>
        <stp>2019-12-30</stp>
        <stp>1</stp>
        <tr r="G1868" s="1"/>
      </tp>
      <tp>
        <v>-72.676123110000006</v>
        <stp/>
        <stp>EM_S_PQ_PCTCHANGE</stp>
        <stp>4</stp>
        <stp>002427</stp>
        <stp>2018-01-01</stp>
        <stp>2019-12-31</stp>
        <stp>3</stp>
        <tr r="F3260" s="1"/>
      </tp>
      <tp>
        <v>22.1598878</v>
        <stp/>
        <stp>EM_S_PQ_PCTCHANGE</stp>
        <stp>4</stp>
        <stp>002636</stp>
        <stp>2018-12-31</stp>
        <stp>2019-12-30</stp>
        <stp>1</stp>
        <tr r="G1181" s="1"/>
      </tp>
      <tp>
        <v>17.72665765</v>
        <stp/>
        <stp>EM_S_PQ_PCTCHANGE</stp>
        <stp>4</stp>
        <stp>601689</stp>
        <stp>2018-12-31</stp>
        <stp>2019-12-30</stp>
        <stp>1</stp>
        <tr r="G1375" s="1"/>
      </tp>
      <tp>
        <v>-2.4419878599999998</v>
        <stp/>
        <stp>EM_S_PQ_PCTCHANGE</stp>
        <stp>4</stp>
        <stp>600498</stp>
        <stp>2018-01-01</stp>
        <stp>2019-12-31</stp>
        <stp>3</stp>
        <tr r="F2489" s="1"/>
      </tp>
      <tp>
        <v>-6.8466731000000003</v>
        <stp/>
        <stp>EM_S_PQ_PCTCHANGE</stp>
        <stp>4</stp>
        <stp>600689</stp>
        <stp>2018-12-31</stp>
        <stp>2019-12-30</stp>
        <stp>1</stp>
        <tr r="G2646" s="1"/>
      </tp>
      <tp>
        <v>4.3478260899999999</v>
        <stp/>
        <stp>EM_S_PQ_PCTCHANGE</stp>
        <stp>4</stp>
        <stp>603689</stp>
        <stp>2018-12-31</stp>
        <stp>2019-12-30</stp>
        <stp>1</stp>
        <tr r="G2038" s="1"/>
      </tp>
      <tp>
        <v>27.16049383</v>
        <stp/>
        <stp>EM_S_PQ_PCTCHANGE</stp>
        <stp>4</stp>
        <stp>601688</stp>
        <stp>2018-12-31</stp>
        <stp>2019-12-30</stp>
        <stp>1</stp>
        <tr r="G1013" s="1"/>
      </tp>
      <tp>
        <v>-60.705532689999998</v>
        <stp/>
        <stp>EM_S_PQ_PCTCHANGE</stp>
        <stp>4</stp>
        <stp>600499</stp>
        <stp>2018-01-01</stp>
        <stp>2019-12-31</stp>
        <stp>3</stp>
        <tr r="F1885" s="1"/>
      </tp>
      <tp>
        <v>-23.046092179999999</v>
        <stp/>
        <stp>EM_S_PQ_PCTCHANGE</stp>
        <stp>4</stp>
        <stp>600688</stp>
        <stp>2018-12-31</stp>
        <stp>2019-12-30</stp>
        <stp>1</stp>
        <tr r="G3114" s="1"/>
      </tp>
      <tp>
        <v>-8.7371462900000001</v>
        <stp/>
        <stp>EM_S_PQ_PCTCHANGE</stp>
        <stp>4</stp>
        <stp>603499</stp>
        <stp>2018-01-01</stp>
        <stp>2019-12-31</stp>
        <stp>3</stp>
        <tr r="F3091" s="1"/>
      </tp>
      <tp>
        <v>67.454545449999998</v>
        <stp/>
        <stp>EM_S_PQ_PCTCHANGE</stp>
        <stp>4</stp>
        <stp>603688</stp>
        <stp>2018-12-31</stp>
        <stp>2019-12-30</stp>
        <stp>1</stp>
        <tr r="G342" s="1"/>
      </tp>
      <tp>
        <v>-45.165094340000003</v>
        <stp/>
        <stp>EM_S_PQ_PCTCHANGE</stp>
        <stp>4</stp>
        <stp>600490</stp>
        <stp>2018-01-01</stp>
        <stp>2019-12-31</stp>
        <stp>3</stp>
        <tr r="F2114" s="1"/>
      </tp>
      <tp>
        <v>-42.652027029999999</v>
        <stp/>
        <stp>EM_S_PQ_PCTCHANGE</stp>
        <stp>4</stp>
        <stp>600681</stp>
        <stp>2018-12-31</stp>
        <stp>2019-12-30</stp>
        <stp>1</stp>
        <tr r="G3333" s="1"/>
      </tp>
      <tp>
        <v>-21.601117420000001</v>
        <stp/>
        <stp>EM_S_PQ_PCTCHANGE</stp>
        <stp>4</stp>
        <stp>600491</stp>
        <stp>2018-01-01</stp>
        <stp>2019-12-31</stp>
        <stp>3</stp>
        <tr r="F1872" s="1"/>
      </tp>
      <tp>
        <v>0</v>
        <stp/>
        <stp>EM_S_PQ_PCTCHANGE</stp>
        <stp>4</stp>
        <stp>600680</stp>
        <stp>2018-12-31</stp>
        <stp>2019-12-30</stp>
        <stp>1</stp>
        <tr r="G2316" s="1"/>
      </tp>
      <tp>
        <v>-34.262191260000002</v>
        <stp/>
        <stp>EM_S_PQ_PCTCHANGE</stp>
        <stp>4</stp>
        <stp>603680</stp>
        <stp>2018-12-31</stp>
        <stp>2019-12-30</stp>
        <stp>1</stp>
        <tr r="G3264" s="1"/>
      </tp>
      <tp>
        <v>-1.1990407700000001</v>
        <stp/>
        <stp>EM_S_PQ_PCTCHANGE</stp>
        <stp>4</stp>
        <stp>600683</stp>
        <stp>2018-12-31</stp>
        <stp>2019-12-30</stp>
        <stp>1</stp>
        <tr r="G2385" s="1"/>
      </tp>
      <tp>
        <v>-2.3138105599999998</v>
        <stp/>
        <stp>EM_S_PQ_PCTCHANGE</stp>
        <stp>4</stp>
        <stp>603683</stp>
        <stp>2018-12-31</stp>
        <stp>2019-12-30</stp>
        <stp>1</stp>
        <tr r="G2437" s="1"/>
      </tp>
      <tp>
        <v>-29.11034493</v>
        <stp/>
        <stp>EM_S_PQ_PCTCHANGE</stp>
        <stp>4</stp>
        <stp>600493</stp>
        <stp>2018-01-01</stp>
        <stp>2019-12-31</stp>
        <stp>3</stp>
        <tr r="F2813" s="1"/>
      </tp>
      <tp>
        <v>12.870159449999999</v>
        <stp/>
        <stp>EM_S_PQ_PCTCHANGE</stp>
        <stp>4</stp>
        <stp>600682</stp>
        <stp>2018-12-31</stp>
        <stp>2019-12-30</stp>
        <stp>1</stp>
        <tr r="G1585" s="1"/>
      </tp>
      <tp>
        <v>53.242677819999997</v>
        <stp/>
        <stp>EM_S_PQ_PCTCHANGE</stp>
        <stp>4</stp>
        <stp>600685</stp>
        <stp>2018-12-31</stp>
        <stp>2019-12-30</stp>
        <stp>1</stp>
        <tr r="G512" s="1"/>
      </tp>
      <tp>
        <v>-6.1495457699999996</v>
        <stp/>
        <stp>EM_S_PQ_PCTCHANGE</stp>
        <stp>4</stp>
        <stp>603685</stp>
        <stp>2018-12-31</stp>
        <stp>2019-12-30</stp>
        <stp>1</stp>
        <tr r="G2615" s="1"/>
      </tp>
      <tp>
        <v>-36.349621220000003</v>
        <stp/>
        <stp>EM_S_PQ_PCTCHANGE</stp>
        <stp>4</stp>
        <stp>600495</stp>
        <stp>2018-01-01</stp>
        <stp>2019-12-31</stp>
        <stp>3</stp>
        <tr r="F2218" s="1"/>
      </tp>
      <tp>
        <v>-12.64367816</v>
        <stp/>
        <stp>EM_S_PQ_PCTCHANGE</stp>
        <stp>4</stp>
        <stp>600684</stp>
        <stp>2018-12-31</stp>
        <stp>2019-12-30</stp>
        <stp>1</stp>
        <tr r="G2854" s="1"/>
      </tp>
      <tp>
        <v>-31.12810966</v>
        <stp/>
        <stp>EM_S_PQ_PCTCHANGE</stp>
        <stp>4</stp>
        <stp>600496</stp>
        <stp>2018-01-01</stp>
        <stp>2019-12-31</stp>
        <stp>3</stp>
        <tr r="F1831" s="1"/>
      </tp>
      <tp>
        <v>-58.072289159999997</v>
        <stp/>
        <stp>EM_S_PQ_PCTCHANGE</stp>
        <stp>4</stp>
        <stp>600687</stp>
        <stp>2018-12-31</stp>
        <stp>2019-12-30</stp>
        <stp>1</stp>
        <tr r="G3392" s="1"/>
      </tp>
      <tp>
        <v>26.046684290000002</v>
        <stp/>
        <stp>EM_S_PQ_PCTCHANGE</stp>
        <stp>4</stp>
        <stp>603496</stp>
        <stp>2018-01-01</stp>
        <stp>2019-12-31</stp>
        <stp>3</stp>
        <tr r="F2724" s="1"/>
      </tp>
      <tp>
        <v>-37.06572147</v>
        <stp/>
        <stp>EM_S_PQ_PCTCHANGE</stp>
        <stp>4</stp>
        <stp>600497</stp>
        <stp>2018-01-01</stp>
        <stp>2019-12-31</stp>
        <stp>3</stp>
        <tr r="F1854" s="1"/>
      </tp>
      <tp>
        <v>2.1897810199999999</v>
        <stp/>
        <stp>EM_S_PQ_PCTCHANGE</stp>
        <stp>4</stp>
        <stp>600686</stp>
        <stp>2018-12-31</stp>
        <stp>2019-12-30</stp>
        <stp>1</stp>
        <tr r="G2161" s="1"/>
      </tp>
      <tp>
        <v>0.82872928000000001</v>
        <stp/>
        <stp>EM_S_PQ_PCTCHANGE</stp>
        <stp>4</stp>
        <stp>603686</stp>
        <stp>2018-12-31</stp>
        <stp>2019-12-30</stp>
        <stp>1</stp>
        <tr r="G2229" s="1"/>
      </tp>
      <tp>
        <v>8.7087087099999998</v>
        <stp/>
        <stp>EM_S_PQ_PCTCHANGE</stp>
        <stp>4</stp>
        <stp>601699</stp>
        <stp>2018-12-31</stp>
        <stp>2019-12-30</stp>
        <stp>1</stp>
        <tr r="G1809" s="1"/>
      </tp>
      <tp>
        <v>-11.72600008</v>
        <stp/>
        <stp>EM_S_PQ_PCTCHANGE</stp>
        <stp>4</stp>
        <stp>600488</stp>
        <stp>2018-01-01</stp>
        <stp>2019-12-31</stp>
        <stp>3</stp>
        <tr r="F1787" s="1"/>
      </tp>
      <tp>
        <v>-23.672945210000002</v>
        <stp/>
        <stp>EM_S_PQ_PCTCHANGE</stp>
        <stp>4</stp>
        <stp>600699</stp>
        <stp>2018-12-31</stp>
        <stp>2019-12-30</stp>
        <stp>1</stp>
        <tr r="G3125" s="1"/>
      </tp>
      <tp>
        <v>-47.916716379999997</v>
        <stp/>
        <stp>EM_S_PQ_PCTCHANGE</stp>
        <stp>4</stp>
        <stp>603488</stp>
        <stp>2018-01-01</stp>
        <stp>2019-12-31</stp>
        <stp>3</stp>
        <tr r="F1208" s="1"/>
      </tp>
      <tp>
        <v>17.154811720000001</v>
        <stp/>
        <stp>EM_S_PQ_PCTCHANGE</stp>
        <stp>4</stp>
        <stp>603699</stp>
        <stp>2018-12-31</stp>
        <stp>2019-12-30</stp>
        <stp>1</stp>
        <tr r="G1395" s="1"/>
      </tp>
      <tp>
        <v>-13.6810153</v>
        <stp/>
        <stp>EM_S_PQ_PCTCHANGE</stp>
        <stp>4</stp>
        <stp>600489</stp>
        <stp>2018-01-01</stp>
        <stp>2019-12-31</stp>
        <stp>3</stp>
        <tr r="F2454" s="1"/>
      </tp>
      <tp>
        <v>-29.87951807</v>
        <stp/>
        <stp>EM_S_PQ_PCTCHANGE</stp>
        <stp>4</stp>
        <stp>600698</stp>
        <stp>2018-12-31</stp>
        <stp>2019-12-30</stp>
        <stp>1</stp>
        <tr r="G3214" s="1"/>
      </tp>
      <tp>
        <v>-13.189113750000001</v>
        <stp/>
        <stp>EM_S_PQ_PCTCHANGE</stp>
        <stp>4</stp>
        <stp>603698</stp>
        <stp>2018-12-31</stp>
        <stp>2019-12-30</stp>
        <stp>1</stp>
        <tr r="G2873" s="1"/>
      </tp>
      <tp>
        <v>-47.714512239999998</v>
        <stp/>
        <stp>EM_S_PQ_PCTCHANGE</stp>
        <stp>4</stp>
        <stp>600480</stp>
        <stp>2018-01-01</stp>
        <stp>2019-12-31</stp>
        <stp>3</stp>
        <tr r="F2408" s="1"/>
      </tp>
      <tp>
        <v>-13.524590160000001</v>
        <stp/>
        <stp>EM_S_PQ_PCTCHANGE</stp>
        <stp>4</stp>
        <stp>600691</stp>
        <stp>2018-12-31</stp>
        <stp>2019-12-30</stp>
        <stp>1</stp>
        <tr r="G2883" s="1"/>
      </tp>
      <tp>
        <v>-13.25719307</v>
        <stp/>
        <stp>EM_S_PQ_PCTCHANGE</stp>
        <stp>4</stp>
        <stp>600481</stp>
        <stp>2018-01-01</stp>
        <stp>2019-12-31</stp>
        <stp>3</stp>
        <tr r="F2397" s="1"/>
      </tp>
      <tp>
        <v>39.422382669999998</v>
        <stp/>
        <stp>EM_S_PQ_PCTCHANGE</stp>
        <stp>4</stp>
        <stp>600690</stp>
        <stp>2018-12-31</stp>
        <stp>2019-12-30</stp>
        <stp>1</stp>
        <tr r="G748" s="1"/>
      </tp>
      <tp>
        <v>-18.471290490000001</v>
        <stp/>
        <stp>EM_S_PQ_PCTCHANGE</stp>
        <stp>4</stp>
        <stp>600482</stp>
        <stp>2018-01-01</stp>
        <stp>2019-12-31</stp>
        <stp>3</stp>
        <tr r="F2777" s="1"/>
      </tp>
      <tp>
        <v>-0.76190475999999996</v>
        <stp/>
        <stp>EM_S_PQ_PCTCHANGE</stp>
        <stp>4</stp>
        <stp>600693</stp>
        <stp>2018-12-31</stp>
        <stp>2019-12-30</stp>
        <stp>1</stp>
        <tr r="G2373" s="1"/>
      </tp>
      <tp>
        <v>-26.540971720000002</v>
        <stp/>
        <stp>EM_S_PQ_PCTCHANGE</stp>
        <stp>4</stp>
        <stp>603693</stp>
        <stp>2018-12-31</stp>
        <stp>2019-12-30</stp>
        <stp>1</stp>
        <tr r="G3179" s="1"/>
      </tp>
      <tp>
        <v>27.951970370000002</v>
        <stp/>
        <stp>EM_S_PQ_PCTCHANGE</stp>
        <stp>4</stp>
        <stp>600483</stp>
        <stp>2018-01-01</stp>
        <stp>2019-12-31</stp>
        <stp>3</stp>
        <tr r="F1892" s="1"/>
      </tp>
      <tp>
        <v>-10.608203680000001</v>
        <stp/>
        <stp>EM_S_PQ_PCTCHANGE</stp>
        <stp>4</stp>
        <stp>600692</stp>
        <stp>2018-12-31</stp>
        <stp>2019-12-30</stp>
        <stp>1</stp>
        <tr r="G2781" s="1"/>
      </tp>
      <tp>
        <v>70.919324579999994</v>
        <stp/>
        <stp>EM_S_PQ_PCTCHANGE</stp>
        <stp>4</stp>
        <stp>600695</stp>
        <stp>2018-12-31</stp>
        <stp>2019-12-30</stp>
        <stp>1</stp>
        <tr r="G307" s="1"/>
      </tp>
      <tp>
        <v>-79.026730639999997</v>
        <stp/>
        <stp>EM_S_PQ_PCTCHANGE</stp>
        <stp>4</stp>
        <stp>600485</stp>
        <stp>2018-01-01</stp>
        <stp>2019-12-31</stp>
        <stp>3</stp>
        <tr r="F3405" s="1"/>
      </tp>
      <tp>
        <v>12.73253411</v>
        <stp/>
        <stp>EM_S_PQ_PCTCHANGE</stp>
        <stp>4</stp>
        <stp>600694</stp>
        <stp>2018-12-31</stp>
        <stp>2019-12-30</stp>
        <stp>1</stp>
        <tr r="G1594" s="1"/>
      </tp>
      <tp>
        <v>41.658407510000004</v>
        <stp/>
        <stp>EM_S_PQ_PCTCHANGE</stp>
        <stp>4</stp>
        <stp>600486</stp>
        <stp>2018-01-01</stp>
        <stp>2019-12-31</stp>
        <stp>3</stp>
        <tr r="F235" s="1"/>
      </tp>
      <tp>
        <v>-6.1990212099999997</v>
        <stp/>
        <stp>EM_S_PQ_PCTCHANGE</stp>
        <stp>4</stp>
        <stp>600697</stp>
        <stp>2018-12-31</stp>
        <stp>2019-12-30</stp>
        <stp>1</stp>
        <tr r="G2616" s="1"/>
      </tp>
      <tp>
        <v>43.274075949999997</v>
        <stp/>
        <stp>EM_S_PQ_PCTCHANGE</stp>
        <stp>4</stp>
        <stp>603486</stp>
        <stp>2018-01-01</stp>
        <stp>2019-12-31</stp>
        <stp>3</stp>
        <tr r="F3384" s="1"/>
      </tp>
      <tp>
        <v>-42.831757060000001</v>
        <stp/>
        <stp>EM_S_PQ_PCTCHANGE</stp>
        <stp>4</stp>
        <stp>600487</stp>
        <stp>2018-01-01</stp>
        <stp>2019-12-31</stp>
        <stp>3</stp>
        <tr r="F2604" s="1"/>
      </tp>
      <tp>
        <v>162.04081633000001</v>
        <stp/>
        <stp>EM_S_PQ_PCTCHANGE</stp>
        <stp>4</stp>
        <stp>600696</stp>
        <stp>2018-12-31</stp>
        <stp>2019-12-30</stp>
        <stp>1</stp>
        <tr r="G71" s="1"/>
      </tp>
      <tp>
        <v>-12.60330579</v>
        <stp/>
        <stp>EM_S_PQ_PCTCHANGE</stp>
        <stp>4</stp>
        <stp>603696</stp>
        <stp>2018-12-31</stp>
        <stp>2019-12-30</stp>
        <stp>1</stp>
        <tr r="G2853" s="1"/>
      </tp>
      <tp>
        <v>-27.919246449999999</v>
        <stp/>
        <stp>EM_S_PQ_PCTCHANGE</stp>
        <stp>4</stp>
        <stp>000498</stp>
        <stp>2018-01-01</stp>
        <stp>2019-12-31</stp>
        <stp>3</stp>
        <tr r="F2686" s="1"/>
      </tp>
      <tp>
        <v>-6.3990056900000001</v>
        <stp/>
        <stp>EM_S_PQ_PCTCHANGE</stp>
        <stp>4</stp>
        <stp>002498</stp>
        <stp>2018-01-01</stp>
        <stp>2019-12-31</stp>
        <stp>3</stp>
        <tr r="F544" s="1"/>
      </tp>
      <tp>
        <v>10.70336391</v>
        <stp/>
        <stp>EM_S_PQ_PCTCHANGE</stp>
        <stp>4</stp>
        <stp>002689</stp>
        <stp>2018-12-31</stp>
        <stp>2019-12-30</stp>
        <stp>1</stp>
        <tr r="G1692" s="1"/>
      </tp>
      <tp>
        <v>-76.659705079999995</v>
        <stp/>
        <stp>EM_S_PQ_PCTCHANGE</stp>
        <stp>4</stp>
        <stp>002499</stp>
        <stp>2018-01-01</stp>
        <stp>2019-12-31</stp>
        <stp>3</stp>
        <tr r="F3287" s="1"/>
      </tp>
      <tp>
        <v>35.650224219999998</v>
        <stp/>
        <stp>EM_S_PQ_PCTCHANGE</stp>
        <stp>4</stp>
        <stp>002688</stp>
        <stp>2018-12-31</stp>
        <stp>2019-12-30</stp>
        <stp>1</stp>
        <tr r="G809" s="1"/>
      </tp>
      <tp>
        <v>-29.28816467</v>
        <stp/>
        <stp>EM_S_PQ_PCTCHANGE</stp>
        <stp>4</stp>
        <stp>000681</stp>
        <stp>2018-12-31</stp>
        <stp>2019-12-30</stp>
        <stp>1</stp>
        <tr r="G3208" s="1"/>
      </tp>
      <tp>
        <v>-22.81059063</v>
        <stp/>
        <stp>EM_S_PQ_PCTCHANGE</stp>
        <stp>4</stp>
        <stp>002490</stp>
        <stp>2018-01-01</stp>
        <stp>2019-12-31</stp>
        <stp>3</stp>
        <tr r="F2775" s="1"/>
      </tp>
      <tp>
        <v>51.912568309999997</v>
        <stp/>
        <stp>EM_S_PQ_PCTCHANGE</stp>
        <stp>4</stp>
        <stp>002681</stp>
        <stp>2018-12-31</stp>
        <stp>2019-12-30</stp>
        <stp>1</stp>
        <tr r="G536" s="1"/>
      </tp>
      <tp>
        <v>9.4801223199999995</v>
        <stp/>
        <stp>EM_S_PQ_PCTCHANGE</stp>
        <stp>4</stp>
        <stp>000680</stp>
        <stp>2018-12-31</stp>
        <stp>2019-12-30</stp>
        <stp>1</stp>
        <tr r="G1767" s="1"/>
      </tp>
      <tp>
        <v>-46.950308419999999</v>
        <stp/>
        <stp>EM_S_PQ_PCTCHANGE</stp>
        <stp>4</stp>
        <stp>002491</stp>
        <stp>2018-01-01</stp>
        <stp>2019-12-31</stp>
        <stp>3</stp>
        <tr r="F2970" s="1"/>
      </tp>
      <tp>
        <v>-80.456852789999999</v>
        <stp/>
        <stp>EM_S_PQ_PCTCHANGE</stp>
        <stp>4</stp>
        <stp>002680</stp>
        <stp>2018-12-31</stp>
        <stp>2019-12-30</stp>
        <stp>1</stp>
        <tr r="G3406" s="1"/>
      </tp>
      <tp>
        <v>-20.065587369999999</v>
        <stp/>
        <stp>EM_S_PQ_PCTCHANGE</stp>
        <stp>4</stp>
        <stp>002492</stp>
        <stp>2018-01-01</stp>
        <stp>2019-12-31</stp>
        <stp>3</stp>
        <tr r="F1745" s="1"/>
      </tp>
      <tp>
        <v>126.9744836</v>
        <stp/>
        <stp>EM_S_PQ_PCTCHANGE</stp>
        <stp>4</stp>
        <stp>002683</stp>
        <stp>2018-12-31</stp>
        <stp>2019-12-30</stp>
        <stp>1</stp>
        <tr r="G111" s="1"/>
      </tp>
      <tp>
        <v>53.172205439999999</v>
        <stp/>
        <stp>EM_S_PQ_PCTCHANGE</stp>
        <stp>4</stp>
        <stp>000682</stp>
        <stp>2018-12-31</stp>
        <stp>2019-12-30</stp>
        <stp>1</stp>
        <tr r="G515" s="1"/>
      </tp>
      <tp>
        <v>31.65024446</v>
        <stp/>
        <stp>EM_S_PQ_PCTCHANGE</stp>
        <stp>4</stp>
        <stp>002493</stp>
        <stp>2018-01-01</stp>
        <stp>2019-12-31</stp>
        <stp>3</stp>
        <tr r="F1189" s="1"/>
      </tp>
      <tp>
        <v>2.5581395300000001</v>
        <stp/>
        <stp>EM_S_PQ_PCTCHANGE</stp>
        <stp>4</stp>
        <stp>002682</stp>
        <stp>2018-12-31</stp>
        <stp>2019-12-30</stp>
        <stp>1</stp>
        <tr r="G2134" s="1"/>
      </tp>
      <tp>
        <v>18.285714290000001</v>
        <stp/>
        <stp>EM_S_PQ_PCTCHANGE</stp>
        <stp>4</stp>
        <stp>000685</stp>
        <stp>2018-12-31</stp>
        <stp>2019-12-30</stp>
        <stp>1</stp>
        <tr r="G1353" s="1"/>
      </tp>
      <tp>
        <v>-33.891795860000002</v>
        <stp/>
        <stp>EM_S_PQ_PCTCHANGE</stp>
        <stp>4</stp>
        <stp>002494</stp>
        <stp>2018-01-01</stp>
        <stp>2019-12-31</stp>
        <stp>3</stp>
        <tr r="F2654" s="1"/>
      </tp>
      <tp>
        <v>37.804878049999999</v>
        <stp/>
        <stp>EM_S_PQ_PCTCHANGE</stp>
        <stp>4</stp>
        <stp>002685</stp>
        <stp>2018-12-31</stp>
        <stp>2019-12-30</stp>
        <stp>1</stp>
        <tr r="G775" s="1"/>
      </tp>
      <tp>
        <v>-27.40992056</v>
        <stp/>
        <stp>EM_S_PQ_PCTCHANGE</stp>
        <stp>4</stp>
        <stp>002495</stp>
        <stp>2018-01-01</stp>
        <stp>2019-12-31</stp>
        <stp>3</stp>
        <tr r="F2707" s="1"/>
      </tp>
      <tp>
        <v>-4.7543581599999998</v>
        <stp/>
        <stp>EM_S_PQ_PCTCHANGE</stp>
        <stp>4</stp>
        <stp>002684</stp>
        <stp>2018-12-31</stp>
        <stp>2019-12-30</stp>
        <stp>1</stp>
        <tr r="G2556" s="1"/>
      </tp>
      <tp>
        <v>-45.159292729999997</v>
        <stp/>
        <stp>EM_S_PQ_PCTCHANGE</stp>
        <stp>4</stp>
        <stp>002496</stp>
        <stp>2018-01-01</stp>
        <stp>2019-12-31</stp>
        <stp>3</stp>
        <tr r="F600" s="1"/>
      </tp>
      <tp>
        <v>-5.9773828800000004</v>
        <stp/>
        <stp>EM_S_PQ_PCTCHANGE</stp>
        <stp>4</stp>
        <stp>002687</stp>
        <stp>2018-12-31</stp>
        <stp>2019-12-30</stp>
        <stp>1</stp>
        <tr r="G2607" s="1"/>
      </tp>
      <tp>
        <v>-41.434107869999998</v>
        <stp/>
        <stp>EM_S_PQ_PCTCHANGE</stp>
        <stp>4</stp>
        <stp>002497</stp>
        <stp>2018-01-01</stp>
        <stp>2019-12-31</stp>
        <stp>3</stp>
        <tr r="F1848" s="1"/>
      </tp>
      <tp>
        <v>-10.6169297</v>
        <stp/>
        <stp>EM_S_PQ_PCTCHANGE</stp>
        <stp>4</stp>
        <stp>002686</stp>
        <stp>2018-12-31</stp>
        <stp>2019-12-30</stp>
        <stp>1</stp>
        <tr r="G2783" s="1"/>
      </tp>
      <tp>
        <v>-49.558116179999999</v>
        <stp/>
        <stp>EM_S_PQ_PCTCHANGE</stp>
        <stp>4</stp>
        <stp>000488</stp>
        <stp>2018-01-01</stp>
        <stp>2019-12-31</stp>
        <stp>3</stp>
        <tr r="F3427" s="1"/>
      </tp>
      <tp>
        <v>-9.3295598599999998</v>
        <stp/>
        <stp>EM_S_PQ_PCTCHANGE</stp>
        <stp>4</stp>
        <stp>002488</stp>
        <stp>2018-01-01</stp>
        <stp>2019-12-31</stp>
        <stp>3</stp>
        <tr r="F1900" s="1"/>
      </tp>
      <tp>
        <v>26.82481752</v>
        <stp/>
        <stp>EM_S_PQ_PCTCHANGE</stp>
        <stp>4</stp>
        <stp>002699</stp>
        <stp>2018-12-31</stp>
        <stp>2019-12-30</stp>
        <stp>1</stp>
        <tr r="G1025" s="1"/>
      </tp>
      <tp>
        <v>-28.906220430000001</v>
        <stp/>
        <stp>EM_S_PQ_PCTCHANGE</stp>
        <stp>4</stp>
        <stp>002489</stp>
        <stp>2018-01-01</stp>
        <stp>2019-12-31</stp>
        <stp>3</stp>
        <tr r="F452" s="1"/>
      </tp>
      <tp>
        <v>19.46006749</v>
        <stp/>
        <stp>EM_S_PQ_PCTCHANGE</stp>
        <stp>4</stp>
        <stp>002698</stp>
        <stp>2018-12-31</stp>
        <stp>2019-12-30</stp>
        <stp>1</stp>
        <tr r="G1301" s="1"/>
      </tp>
      <tp>
        <v>-44.855643100000002</v>
        <stp/>
        <stp>EM_S_PQ_PCTCHANGE</stp>
        <stp>4</stp>
        <stp>002480</stp>
        <stp>2018-01-01</stp>
        <stp>2019-12-31</stp>
        <stp>3</stp>
        <tr r="F3063" s="1"/>
      </tp>
      <tp>
        <v>-19.756427599999999</v>
        <stp/>
        <stp>EM_S_PQ_PCTCHANGE</stp>
        <stp>4</stp>
        <stp>002691</stp>
        <stp>2018-12-31</stp>
        <stp>2019-12-30</stp>
        <stp>1</stp>
        <tr r="G3060" s="1"/>
      </tp>
      <tp>
        <v>-15.89895988</v>
        <stp/>
        <stp>EM_S_PQ_PCTCHANGE</stp>
        <stp>4</stp>
        <stp>000690</stp>
        <stp>2018-12-31</stp>
        <stp>2019-12-30</stp>
        <stp>1</stp>
        <tr r="G2957" s="1"/>
      </tp>
      <tp>
        <v>55.427399899999998</v>
        <stp/>
        <stp>EM_S_PQ_PCTCHANGE</stp>
        <stp>4</stp>
        <stp>002481</stp>
        <stp>2018-01-01</stp>
        <stp>2019-12-31</stp>
        <stp>3</stp>
        <tr r="F57" s="1"/>
      </tp>
      <tp>
        <v>82.612781949999999</v>
        <stp/>
        <stp>EM_S_PQ_PCTCHANGE</stp>
        <stp>4</stp>
        <stp>002690</stp>
        <stp>2018-12-31</stp>
        <stp>2019-12-30</stp>
        <stp>1</stp>
        <tr r="G233" s="1"/>
      </tp>
      <tp>
        <v>-44.572539280000001</v>
        <stp/>
        <stp>EM_S_PQ_PCTCHANGE</stp>
        <stp>4</stp>
        <stp>002482</stp>
        <stp>2018-01-01</stp>
        <stp>2019-12-31</stp>
        <stp>3</stp>
        <tr r="F3133" s="1"/>
      </tp>
      <tp>
        <v>19.28020566</v>
        <stp/>
        <stp>EM_S_PQ_PCTCHANGE</stp>
        <stp>4</stp>
        <stp>002693</stp>
        <stp>2018-12-31</stp>
        <stp>2019-12-30</stp>
        <stp>1</stp>
        <tr r="G1309" s="1"/>
      </tp>
      <tp>
        <v>14.84375</v>
        <stp/>
        <stp>EM_S_PQ_PCTCHANGE</stp>
        <stp>4</stp>
        <stp>000692</stp>
        <stp>2018-12-31</stp>
        <stp>2019-12-30</stp>
        <stp>1</stp>
        <tr r="G1493" s="1"/>
      </tp>
      <tp>
        <v>-20.288195160000001</v>
        <stp/>
        <stp>EM_S_PQ_PCTCHANGE</stp>
        <stp>4</stp>
        <stp>002483</stp>
        <stp>2018-01-01</stp>
        <stp>2019-12-31</stp>
        <stp>3</stp>
        <tr r="F1478" s="1"/>
      </tp>
      <tp>
        <v>-8.2706766900000002</v>
        <stp/>
        <stp>EM_S_PQ_PCTCHANGE</stp>
        <stp>4</stp>
        <stp>002692</stp>
        <stp>2018-12-31</stp>
        <stp>2019-12-30</stp>
        <stp>1</stp>
        <tr r="G2695" s="1"/>
      </tp>
      <tp>
        <v>-17.11111111</v>
        <stp/>
        <stp>EM_S_PQ_PCTCHANGE</stp>
        <stp>4</stp>
        <stp>000695</stp>
        <stp>2018-12-31</stp>
        <stp>2019-12-30</stp>
        <stp>1</stp>
        <tr r="G2992" s="1"/>
      </tp>
      <tp>
        <v>-13.810202009999999</v>
        <stp/>
        <stp>EM_S_PQ_PCTCHANGE</stp>
        <stp>4</stp>
        <stp>002484</stp>
        <stp>2018-01-01</stp>
        <stp>2019-12-31</stp>
        <stp>3</stp>
        <tr r="F965" s="1"/>
      </tp>
      <tp>
        <v>59.959758549999997</v>
        <stp/>
        <stp>EM_S_PQ_PCTCHANGE</stp>
        <stp>4</stp>
        <stp>002695</stp>
        <stp>2018-12-31</stp>
        <stp>2019-12-30</stp>
        <stp>1</stp>
        <tr r="G430" s="1"/>
      </tp>
      <tp>
        <v>-55.294465340000002</v>
        <stp/>
        <stp>EM_S_PQ_PCTCHANGE</stp>
        <stp>4</stp>
        <stp>002485</stp>
        <stp>2018-01-01</stp>
        <stp>2019-12-31</stp>
        <stp>3</stp>
        <tr r="F2666" s="1"/>
      </tp>
      <tp>
        <v>-22.966507180000001</v>
        <stp/>
        <stp>EM_S_PQ_PCTCHANGE</stp>
        <stp>4</stp>
        <stp>002694</stp>
        <stp>2018-12-31</stp>
        <stp>2019-12-30</stp>
        <stp>1</stp>
        <tr r="G3113" s="1"/>
      </tp>
      <tp>
        <v>-14.20500404</v>
        <stp/>
        <stp>EM_S_PQ_PCTCHANGE</stp>
        <stp>4</stp>
        <stp>000697</stp>
        <stp>2018-12-31</stp>
        <stp>2019-12-30</stp>
        <stp>1</stp>
        <tr r="G2913" s="1"/>
      </tp>
      <tp>
        <v>-39.667896679999998</v>
        <stp/>
        <stp>EM_S_PQ_PCTCHANGE</stp>
        <stp>4</stp>
        <stp>002486</stp>
        <stp>2018-01-01</stp>
        <stp>2019-12-31</stp>
        <stp>3</stp>
        <tr r="F2922" s="1"/>
      </tp>
      <tp>
        <v>45.808966859999998</v>
        <stp/>
        <stp>EM_S_PQ_PCTCHANGE</stp>
        <stp>4</stp>
        <stp>002697</stp>
        <stp>2018-12-31</stp>
        <stp>2019-12-30</stp>
        <stp>1</stp>
        <tr r="G629" s="1"/>
      </tp>
      <tp>
        <v>33.027522939999997</v>
        <stp/>
        <stp>EM_S_PQ_PCTCHANGE</stp>
        <stp>4</stp>
        <stp>001696</stp>
        <stp>2018-12-31</stp>
        <stp>2019-12-30</stp>
        <stp>1</stp>
        <tr r="G863" s="1"/>
      </tp>
      <tp>
        <v>13.45163835</v>
        <stp/>
        <stp>EM_S_PQ_PCTCHANGE</stp>
        <stp>4</stp>
        <stp>002487</stp>
        <stp>2018-01-01</stp>
        <stp>2019-12-31</stp>
        <stp>3</stp>
        <tr r="F525" s="1"/>
      </tp>
      <tp>
        <v>-32.142857139999997</v>
        <stp/>
        <stp>EM_S_PQ_PCTCHANGE</stp>
        <stp>4</stp>
        <stp>002696</stp>
        <stp>2018-12-31</stp>
        <stp>2019-12-30</stp>
        <stp>1</stp>
        <tr r="G3242" s="1"/>
      </tp>
      <tp>
        <v>-15.289651210000001</v>
        <stp/>
        <stp>EM_S_PQ_PCTCHANGE</stp>
        <stp>4</stp>
        <stp>300488</stp>
        <stp>2018-01-01</stp>
        <stp>2019-12-31</stp>
        <stp>3</stp>
        <tr r="F3270" s="1"/>
      </tp>
      <tp>
        <v>27.849162010000001</v>
        <stp/>
        <stp>EM_S_PQ_PCTCHANGE</stp>
        <stp>4</stp>
        <stp>300699</stp>
        <stp>2018-12-31</stp>
        <stp>2019-12-30</stp>
        <stp>1</stp>
        <tr r="G995" s="1"/>
      </tp>
      <tp>
        <v>-0.96512266999999996</v>
        <stp/>
        <stp>EM_S_PQ_PCTCHANGE</stp>
        <stp>4</stp>
        <stp>300489</stp>
        <stp>2018-01-01</stp>
        <stp>2019-12-31</stp>
        <stp>3</stp>
        <tr r="F317" s="1"/>
      </tp>
      <tp>
        <v>-10.86121777</v>
        <stp/>
        <stp>EM_S_PQ_PCTCHANGE</stp>
        <stp>4</stp>
        <stp>300698</stp>
        <stp>2018-12-31</stp>
        <stp>2019-12-30</stp>
        <stp>1</stp>
        <tr r="G2793" s="1"/>
      </tp>
      <tp>
        <v>3.2402295400000001</v>
        <stp/>
        <stp>EM_S_PQ_PCTCHANGE</stp>
        <stp>4</stp>
        <stp>300480</stp>
        <stp>2018-01-01</stp>
        <stp>2019-12-31</stp>
        <stp>3</stp>
        <tr r="F213" s="1"/>
      </tp>
      <tp>
        <v>-16.576819409999999</v>
        <stp/>
        <stp>EM_S_PQ_PCTCHANGE</stp>
        <stp>4</stp>
        <stp>300691</stp>
        <stp>2018-12-31</stp>
        <stp>2019-12-30</stp>
        <stp>1</stp>
        <tr r="G2974" s="1"/>
      </tp>
      <tp>
        <v>22.643031350000001</v>
        <stp/>
        <stp>EM_S_PQ_PCTCHANGE</stp>
        <stp>4</stp>
        <stp>300481</stp>
        <stp>2018-01-01</stp>
        <stp>2019-12-31</stp>
        <stp>3</stp>
        <tr r="F358" s="1"/>
      </tp>
      <tp>
        <v>39.835164839999997</v>
        <stp/>
        <stp>EM_S_PQ_PCTCHANGE</stp>
        <stp>4</stp>
        <stp>300690</stp>
        <stp>2018-12-31</stp>
        <stp>2019-12-30</stp>
        <stp>1</stp>
        <tr r="G735" s="1"/>
      </tp>
      <tp>
        <v>28.602479670000001</v>
        <stp/>
        <stp>EM_S_PQ_PCTCHANGE</stp>
        <stp>4</stp>
        <stp>300482</stp>
        <stp>2018-01-01</stp>
        <stp>2019-12-31</stp>
        <stp>3</stp>
        <tr r="F183" s="1"/>
      </tp>
      <tp>
        <v>-12.3739072</v>
        <stp/>
        <stp>EM_S_PQ_PCTCHANGE</stp>
        <stp>4</stp>
        <stp>300693</stp>
        <stp>2018-12-31</stp>
        <stp>2019-12-30</stp>
        <stp>1</stp>
        <tr r="G2842" s="1"/>
      </tp>
      <tp>
        <v>17.2153296</v>
        <stp/>
        <stp>EM_S_PQ_PCTCHANGE</stp>
        <stp>4</stp>
        <stp>300483</stp>
        <stp>2018-01-01</stp>
        <stp>2019-12-31</stp>
        <stp>3</stp>
        <tr r="F1094" s="1"/>
      </tp>
      <tp>
        <v>-5.8555133100000001</v>
        <stp/>
        <stp>EM_S_PQ_PCTCHANGE</stp>
        <stp>4</stp>
        <stp>300692</stp>
        <stp>2018-12-31</stp>
        <stp>2019-12-30</stp>
        <stp>1</stp>
        <tr r="G2598" s="1"/>
      </tp>
      <tp>
        <v>-57.279896479999998</v>
        <stp/>
        <stp>EM_S_PQ_PCTCHANGE</stp>
        <stp>4</stp>
        <stp>300484</stp>
        <stp>2018-01-01</stp>
        <stp>2019-12-31</stp>
        <stp>3</stp>
        <tr r="F3031" s="1"/>
      </tp>
      <tp>
        <v>7.0921985799999998</v>
        <stp/>
        <stp>EM_S_PQ_PCTCHANGE</stp>
        <stp>4</stp>
        <stp>300695</stp>
        <stp>2018-12-31</stp>
        <stp>2019-12-30</stp>
        <stp>1</stp>
        <tr r="G1890" s="1"/>
      </tp>
      <tp>
        <v>-36.183612699999998</v>
        <stp/>
        <stp>EM_S_PQ_PCTCHANGE</stp>
        <stp>4</stp>
        <stp>300485</stp>
        <stp>2018-01-01</stp>
        <stp>2019-12-31</stp>
        <stp>3</stp>
        <tr r="F2810" s="1"/>
      </tp>
      <tp>
        <v>0.32755643000000001</v>
        <stp/>
        <stp>EM_S_PQ_PCTCHANGE</stp>
        <stp>4</stp>
        <stp>300486</stp>
        <stp>2018-01-01</stp>
        <stp>2019-12-31</stp>
        <stp>3</stp>
        <tr r="F459" s="1"/>
      </tp>
      <tp>
        <v>37.931034480000001</v>
        <stp/>
        <stp>EM_S_PQ_PCTCHANGE</stp>
        <stp>4</stp>
        <stp>300697</stp>
        <stp>2018-12-31</stp>
        <stp>2019-12-30</stp>
        <stp>1</stp>
        <tr r="G772" s="1"/>
      </tp>
      <tp>
        <v>115.78223291</v>
        <stp/>
        <stp>EM_S_PQ_PCTCHANGE</stp>
        <stp>4</stp>
        <stp>300487</stp>
        <stp>2018-01-01</stp>
        <stp>2019-12-31</stp>
        <stp>3</stp>
        <tr r="F612" s="1"/>
      </tp>
      <tp>
        <v>1.0313901299999999</v>
        <stp/>
        <stp>EM_S_PQ_PCTCHANGE</stp>
        <stp>4</stp>
        <stp>300696</stp>
        <stp>2018-12-31</stp>
        <stp>2019-12-30</stp>
        <stp>1</stp>
        <tr r="G2215" s="1"/>
      </tp>
      <tp>
        <v>45.89408512</v>
        <stp/>
        <stp>EM_S_PQ_PCTCHANGE</stp>
        <stp>4</stp>
        <stp>300498</stp>
        <stp>2018-01-01</stp>
        <stp>2019-12-31</stp>
        <stp>3</stp>
        <tr r="F1017" s="1"/>
      </tp>
      <tp>
        <v>28.20919176</v>
        <stp/>
        <stp>EM_S_PQ_PCTCHANGE</stp>
        <stp>4</stp>
        <stp>300689</stp>
        <stp>2018-12-31</stp>
        <stp>2019-12-30</stp>
        <stp>1</stp>
        <tr r="G977" s="1"/>
      </tp>
      <tp>
        <v>-15.560759129999999</v>
        <stp/>
        <stp>EM_S_PQ_PCTCHANGE</stp>
        <stp>4</stp>
        <stp>300499</stp>
        <stp>2018-01-01</stp>
        <stp>2019-12-31</stp>
        <stp>3</stp>
        <tr r="F3080" s="1"/>
      </tp>
      <tp>
        <v>-41.62907268</v>
        <stp/>
        <stp>EM_S_PQ_PCTCHANGE</stp>
        <stp>4</stp>
        <stp>300688</stp>
        <stp>2018-12-31</stp>
        <stp>2019-12-30</stp>
        <stp>1</stp>
        <tr r="G3329" s="1"/>
      </tp>
      <tp>
        <v>-21.965456790000001</v>
        <stp/>
        <stp>EM_S_PQ_PCTCHANGE</stp>
        <stp>4</stp>
        <stp>300490</stp>
        <stp>2018-01-01</stp>
        <stp>2019-12-31</stp>
        <stp>3</stp>
        <tr r="F2910" s="1"/>
      </tp>
      <tp>
        <v>-1.99479618</v>
        <stp/>
        <stp>EM_S_PQ_PCTCHANGE</stp>
        <stp>4</stp>
        <stp>300681</stp>
        <stp>2018-12-31</stp>
        <stp>2019-12-30</stp>
        <stp>1</stp>
        <tr r="G2417" s="1"/>
      </tp>
      <tp>
        <v>-26.920916399999999</v>
        <stp/>
        <stp>EM_S_PQ_PCTCHANGE</stp>
        <stp>4</stp>
        <stp>300491</stp>
        <stp>2018-01-01</stp>
        <stp>2019-12-31</stp>
        <stp>3</stp>
        <tr r="F2962" s="1"/>
      </tp>
      <tp>
        <v>31.022326670000002</v>
        <stp/>
        <stp>EM_S_PQ_PCTCHANGE</stp>
        <stp>4</stp>
        <stp>300680</stp>
        <stp>2018-12-31</stp>
        <stp>2019-12-30</stp>
        <stp>1</stp>
        <tr r="G910" s="1"/>
      </tp>
      <tp>
        <v>12.96220389</v>
        <stp/>
        <stp>EM_S_PQ_PCTCHANGE</stp>
        <stp>4</stp>
        <stp>300492</stp>
        <stp>2018-01-01</stp>
        <stp>2019-12-31</stp>
        <stp>3</stp>
        <tr r="F69" s="1"/>
      </tp>
      <tp>
        <v>7.7431192700000002</v>
        <stp/>
        <stp>EM_S_PQ_PCTCHANGE</stp>
        <stp>4</stp>
        <stp>300683</stp>
        <stp>2018-12-31</stp>
        <stp>2019-12-30</stp>
        <stp>1</stp>
        <tr r="G1867" s="1"/>
      </tp>
      <tp>
        <v>-5.63894699</v>
        <stp/>
        <stp>EM_S_PQ_PCTCHANGE</stp>
        <stp>4</stp>
        <stp>300493</stp>
        <stp>2018-01-01</stp>
        <stp>2019-12-31</stp>
        <stp>3</stp>
        <tr r="F2536" s="1"/>
      </tp>
      <tp>
        <v>37.614678900000001</v>
        <stp/>
        <stp>EM_S_PQ_PCTCHANGE</stp>
        <stp>4</stp>
        <stp>300682</stp>
        <stp>2018-12-31</stp>
        <stp>2019-12-30</stp>
        <stp>1</stp>
        <tr r="G782" s="1"/>
      </tp>
      <tp>
        <v>-12.9511333</v>
        <stp/>
        <stp>EM_S_PQ_PCTCHANGE</stp>
        <stp>4</stp>
        <stp>300494</stp>
        <stp>2018-01-01</stp>
        <stp>2019-12-31</stp>
        <stp>3</stp>
        <tr r="F404" s="1"/>
      </tp>
      <tp>
        <v>58.885358099999998</v>
        <stp/>
        <stp>EM_S_PQ_PCTCHANGE</stp>
        <stp>4</stp>
        <stp>300685</stp>
        <stp>2018-12-31</stp>
        <stp>2019-12-30</stp>
        <stp>1</stp>
        <tr r="G436" s="1"/>
      </tp>
      <tp>
        <v>-24.157897200000001</v>
        <stp/>
        <stp>EM_S_PQ_PCTCHANGE</stp>
        <stp>4</stp>
        <stp>300495</stp>
        <stp>2018-01-01</stp>
        <stp>2019-12-31</stp>
        <stp>3</stp>
        <tr r="F2945" s="1"/>
      </tp>
      <tp>
        <v>-16.80207995</v>
        <stp/>
        <stp>EM_S_PQ_PCTCHANGE</stp>
        <stp>4</stp>
        <stp>300684</stp>
        <stp>2018-12-31</stp>
        <stp>2019-12-30</stp>
        <stp>1</stp>
        <tr r="G2979" s="1"/>
      </tp>
      <tp>
        <v>104.88057818999999</v>
        <stp/>
        <stp>EM_S_PQ_PCTCHANGE</stp>
        <stp>4</stp>
        <stp>300496</stp>
        <stp>2019-01-01</stp>
        <stp>2019-12-31</stp>
        <stp>3</stp>
        <tr r="G156" s="1"/>
      </tp>
      <tp>
        <v>40.47526568</v>
        <stp/>
        <stp>EM_S_PQ_PCTCHANGE</stp>
        <stp>4</stp>
        <stp>300496</stp>
        <stp>2018-01-01</stp>
        <stp>2019-12-31</stp>
        <stp>3</stp>
        <tr r="F156" s="1"/>
      </tp>
      <tp>
        <v>-22.277722279999999</v>
        <stp/>
        <stp>EM_S_PQ_PCTCHANGE</stp>
        <stp>4</stp>
        <stp>300687</stp>
        <stp>2018-12-31</stp>
        <stp>2019-12-30</stp>
        <stp>1</stp>
        <tr r="G3104" s="1"/>
      </tp>
      <tp>
        <v>26.844706779999999</v>
        <stp/>
        <stp>EM_S_PQ_PCTCHANGE</stp>
        <stp>4</stp>
        <stp>300497</stp>
        <stp>2018-01-01</stp>
        <stp>2019-12-31</stp>
        <stp>3</stp>
        <tr r="F2053" s="1"/>
      </tp>
      <tp>
        <v>-33.333333330000002</v>
        <stp/>
        <stp>EM_S_PQ_PCTCHANGE</stp>
        <stp>4</stp>
        <stp>000558</stp>
        <stp>2018-01-01</stp>
        <stp>2019-12-31</stp>
        <stp>3</stp>
        <tr r="F3454" s="1"/>
      </tp>
      <tp>
        <v>14.90758035</v>
        <stp/>
        <stp>EM_S_PQ_PCTCHANGE</stp>
        <stp>4</stp>
        <stp>300568</stp>
        <stp>2018-01-01</stp>
        <stp>2019-12-31</stp>
        <stp>3</stp>
        <tr r="F800" s="1"/>
      </tp>
      <tp>
        <v>-9.3189964199999995</v>
        <stp/>
        <stp>EM_S_PQ_PCTCHANGE</stp>
        <stp>4</stp>
        <stp>600538</stp>
        <stp>2018-01-01</stp>
        <stp>2019-12-31</stp>
        <stp>3</stp>
        <tr r="F1379" s="1"/>
      </tp>
      <tp>
        <v>4.66431095</v>
        <stp/>
        <stp>EM_S_PQ_PCTCHANGE</stp>
        <stp>4</stp>
        <stp>600729</stp>
        <stp>2018-12-31</stp>
        <stp>2019-12-30</stp>
        <stp>1</stp>
        <tr r="G2021" s="1"/>
      </tp>
      <tp>
        <v>14.543555639999999</v>
        <stp/>
        <stp>EM_S_PQ_PCTCHANGE</stp>
        <stp>4</stp>
        <stp>603538</stp>
        <stp>2018-01-01</stp>
        <stp>2019-12-31</stp>
        <stp>3</stp>
        <tr r="F1150" s="1"/>
      </tp>
      <tp>
        <v>4.2746114000000004</v>
        <stp/>
        <stp>EM_S_PQ_PCTCHANGE</stp>
        <stp>4</stp>
        <stp>603729</stp>
        <stp>2018-12-31</stp>
        <stp>2019-12-30</stp>
        <stp>1</stp>
        <tr r="G2042" s="1"/>
      </tp>
      <tp>
        <v>-50.012185799999997</v>
        <stp/>
        <stp>EM_S_PQ_PCTCHANGE</stp>
        <stp>4</stp>
        <stp>002558</stp>
        <stp>2018-01-01</stp>
        <stp>2019-12-31</stp>
        <stp>3</stp>
        <tr r="F2676" s="1"/>
      </tp>
      <tp>
        <v>-26.340057640000001</v>
        <stp/>
        <stp>EM_S_PQ_PCTCHANGE</stp>
        <stp>4</stp>
        <stp>002749</stp>
        <stp>2018-12-31</stp>
        <stp>2019-12-30</stp>
        <stp>1</stp>
        <tr r="G3174" s="1"/>
      </tp>
      <tp>
        <v>-44.111753559999997</v>
        <stp/>
        <stp>EM_S_PQ_PCTCHANGE</stp>
        <stp>4</stp>
        <stp>000559</stp>
        <stp>2018-01-01</stp>
        <stp>2019-12-31</stp>
        <stp>3</stp>
        <tr r="F1985" s="1"/>
      </tp>
      <tp>
        <v>0.59513364999999996</v>
        <stp/>
        <stp>EM_S_PQ_PCTCHANGE</stp>
        <stp>4</stp>
        <stp>300569</stp>
        <stp>2018-01-01</stp>
        <stp>2019-12-31</stp>
        <stp>3</stp>
        <tr r="F1506" s="1"/>
      </tp>
      <tp>
        <v>-59.583333330000002</v>
        <stp/>
        <stp>EM_S_PQ_PCTCHANGE</stp>
        <stp>4</stp>
        <stp>600539</stp>
        <stp>2018-01-01</stp>
        <stp>2019-12-31</stp>
        <stp>3</stp>
        <tr r="F1929" s="1"/>
      </tp>
      <tp>
        <v>36.865021769999998</v>
        <stp/>
        <stp>EM_S_PQ_PCTCHANGE</stp>
        <stp>4</stp>
        <stp>600728</stp>
        <stp>2018-12-31</stp>
        <stp>2019-12-30</stp>
        <stp>1</stp>
        <tr r="G794" s="1"/>
      </tp>
      <tp>
        <v>-12.648221339999999</v>
        <stp/>
        <stp>EM_S_PQ_PCTCHANGE</stp>
        <stp>4</stp>
        <stp>603728</stp>
        <stp>2018-12-31</stp>
        <stp>2019-12-30</stp>
        <stp>1</stp>
        <tr r="G2855" s="1"/>
      </tp>
      <tp>
        <v>-1.4743314000000001</v>
        <stp/>
        <stp>EM_S_PQ_PCTCHANGE</stp>
        <stp>4</stp>
        <stp>002559</stp>
        <stp>2018-01-01</stp>
        <stp>2019-12-31</stp>
        <stp>3</stp>
        <tr r="F2941" s="1"/>
      </tp>
      <tp>
        <v>4.2553191500000001</v>
        <stp/>
        <stp>EM_S_PQ_PCTCHANGE</stp>
        <stp>4</stp>
        <stp>002748</stp>
        <stp>2018-12-31</stp>
        <stp>2019-12-30</stp>
        <stp>1</stp>
        <tr r="G2044" s="1"/>
      </tp>
      <tp>
        <v>-0.12279854</v>
        <stp/>
        <stp>EM_S_PQ_PCTCHANGE</stp>
        <stp>4</stp>
        <stp>000550</stp>
        <stp>2018-01-01</stp>
        <stp>2019-12-31</stp>
        <stp>3</stp>
        <tr r="F3452" s="1"/>
      </tp>
      <tp>
        <v>-17.799797009999999</v>
        <stp/>
        <stp>EM_S_PQ_PCTCHANGE</stp>
        <stp>4</stp>
        <stp>300560</stp>
        <stp>2018-01-01</stp>
        <stp>2019-12-31</stp>
        <stp>3</stp>
        <tr r="F3115" s="1"/>
      </tp>
      <tp>
        <v>-32.494198709999999</v>
        <stp/>
        <stp>EM_S_PQ_PCTCHANGE</stp>
        <stp>4</stp>
        <stp>600530</stp>
        <stp>2018-01-01</stp>
        <stp>2019-12-31</stp>
        <stp>3</stp>
        <tr r="F1765" s="1"/>
      </tp>
      <tp>
        <v>19.809523810000002</v>
        <stp/>
        <stp>EM_S_PQ_PCTCHANGE</stp>
        <stp>4</stp>
        <stp>600721</stp>
        <stp>2018-12-31</stp>
        <stp>2019-12-30</stp>
        <stp>1</stp>
        <tr r="G1284" s="1"/>
      </tp>
      <tp>
        <v>74.61538462</v>
        <stp/>
        <stp>EM_S_PQ_PCTCHANGE</stp>
        <stp>4</stp>
        <stp>603721</stp>
        <stp>2018-12-31</stp>
        <stp>2019-12-30</stp>
        <stp>1</stp>
        <tr r="G277" s="1"/>
      </tp>
      <tp>
        <v>-12.187564719999999</v>
        <stp/>
        <stp>EM_S_PQ_PCTCHANGE</stp>
        <stp>4</stp>
        <stp>002550</stp>
        <stp>2018-01-01</stp>
        <stp>2019-12-31</stp>
        <stp>3</stp>
        <tr r="F1338" s="1"/>
      </tp>
      <tp>
        <v>-22.460567820000001</v>
        <stp/>
        <stp>EM_S_PQ_PCTCHANGE</stp>
        <stp>4</stp>
        <stp>002741</stp>
        <stp>2018-12-31</stp>
        <stp>2019-12-30</stp>
        <stp>1</stp>
        <tr r="G3107" s="1"/>
      </tp>
      <tp>
        <v>-17.76909307</v>
        <stp/>
        <stp>EM_S_PQ_PCTCHANGE</stp>
        <stp>4</stp>
        <stp>000551</stp>
        <stp>2018-01-01</stp>
        <stp>2019-12-31</stp>
        <stp>3</stp>
        <tr r="F1505" s="1"/>
      </tp>
      <tp>
        <v>43.65830072</v>
        <stp/>
        <stp>EM_S_PQ_PCTCHANGE</stp>
        <stp>4</stp>
        <stp>300561</stp>
        <stp>2018-01-01</stp>
        <stp>2019-12-31</stp>
        <stp>3</stp>
        <tr r="F1339" s="1"/>
      </tp>
      <tp>
        <v>-26.176775540000001</v>
        <stp/>
        <stp>EM_S_PQ_PCTCHANGE</stp>
        <stp>4</stp>
        <stp>600531</stp>
        <stp>2018-01-01</stp>
        <stp>2019-12-31</stp>
        <stp>3</stp>
        <tr r="F855" s="1"/>
      </tp>
      <tp>
        <v>90.232558139999995</v>
        <stp/>
        <stp>EM_S_PQ_PCTCHANGE</stp>
        <stp>4</stp>
        <stp>600720</stp>
        <stp>2018-12-31</stp>
        <stp>2019-12-30</stp>
        <stp>1</stp>
        <tr r="G201" s="1"/>
      </tp>
      <tp>
        <v>-48.644435229999999</v>
        <stp/>
        <stp>EM_S_PQ_PCTCHANGE</stp>
        <stp>4</stp>
        <stp>002551</stp>
        <stp>2018-01-01</stp>
        <stp>2019-12-31</stp>
        <stp>3</stp>
        <tr r="F2390" s="1"/>
      </tp>
      <tp>
        <v>20.26768642</v>
        <stp/>
        <stp>EM_S_PQ_PCTCHANGE</stp>
        <stp>4</stp>
        <stp>002740</stp>
        <stp>2018-12-31</stp>
        <stp>2019-12-30</stp>
        <stp>1</stp>
        <tr r="G1265" s="1"/>
      </tp>
      <tp>
        <v>-21.738040739999999</v>
        <stp/>
        <stp>EM_S_PQ_PCTCHANGE</stp>
        <stp>4</stp>
        <stp>000552</stp>
        <stp>2018-01-01</stp>
        <stp>2019-12-31</stp>
        <stp>3</stp>
        <tr r="F2352" s="1"/>
      </tp>
      <tp>
        <v>-33.253953860000003</v>
        <stp/>
        <stp>EM_S_PQ_PCTCHANGE</stp>
        <stp>4</stp>
        <stp>300562</stp>
        <stp>2018-01-01</stp>
        <stp>2019-12-31</stp>
        <stp>3</stp>
        <tr r="F550" s="1"/>
      </tp>
      <tp>
        <v>-62.337662340000001</v>
        <stp/>
        <stp>EM_S_PQ_PCTCHANGE</stp>
        <stp>4</stp>
        <stp>600532</stp>
        <stp>2018-01-01</stp>
        <stp>2019-12-31</stp>
        <stp>3</stp>
        <tr r="F2419" s="1"/>
      </tp>
      <tp>
        <v>-1.61030596</v>
        <stp/>
        <stp>EM_S_PQ_PCTCHANGE</stp>
        <stp>4</stp>
        <stp>600723</stp>
        <stp>2018-12-31</stp>
        <stp>2019-12-30</stp>
        <stp>1</stp>
        <tr r="G2405" s="1"/>
      </tp>
      <tp>
        <v>392.3828125</v>
        <stp/>
        <stp>EM_S_PQ_PCTCHANGE</stp>
        <stp>4</stp>
        <stp>002552</stp>
        <stp>2019-01-01</stp>
        <stp>2019-12-31</stp>
        <stp>3</stp>
        <tr r="G17" s="1"/>
      </tp>
      <tp>
        <v>165.36842104999999</v>
        <stp/>
        <stp>EM_S_PQ_PCTCHANGE</stp>
        <stp>4</stp>
        <stp>002552</stp>
        <stp>2018-01-01</stp>
        <stp>2019-12-31</stp>
        <stp>3</stp>
        <tr r="F17" s="1"/>
      </tp>
      <tp>
        <v>13.20754717</v>
        <stp/>
        <stp>EM_S_PQ_PCTCHANGE</stp>
        <stp>4</stp>
        <stp>002743</stp>
        <stp>2018-12-31</stp>
        <stp>2019-12-30</stp>
        <stp>1</stp>
        <tr r="G1568" s="1"/>
      </tp>
      <tp>
        <v>-36.006411249999999</v>
        <stp/>
        <stp>EM_S_PQ_PCTCHANGE</stp>
        <stp>4</stp>
        <stp>000553</stp>
        <stp>2018-01-01</stp>
        <stp>2019-12-31</stp>
        <stp>3</stp>
        <tr r="F1907" s="1"/>
      </tp>
      <tp>
        <v>-10.418834650000001</v>
        <stp/>
        <stp>EM_S_PQ_PCTCHANGE</stp>
        <stp>4</stp>
        <stp>300563</stp>
        <stp>2018-01-01</stp>
        <stp>2019-12-31</stp>
        <stp>3</stp>
        <tr r="F1534" s="1"/>
      </tp>
      <tp>
        <v>-27.791668349999998</v>
        <stp/>
        <stp>EM_S_PQ_PCTCHANGE</stp>
        <stp>4</stp>
        <stp>600533</stp>
        <stp>2018-01-01</stp>
        <stp>2019-12-31</stp>
        <stp>3</stp>
        <tr r="F1535" s="1"/>
      </tp>
      <tp>
        <v>4.1666666699999997</v>
        <stp/>
        <stp>EM_S_PQ_PCTCHANGE</stp>
        <stp>4</stp>
        <stp>600722</stp>
        <stp>2018-12-31</stp>
        <stp>2019-12-30</stp>
        <stp>1</stp>
        <tr r="G2048" s="1"/>
      </tp>
      <tp>
        <v>-62.323304919999998</v>
        <stp/>
        <stp>EM_S_PQ_PCTCHANGE</stp>
        <stp>4</stp>
        <stp>603533</stp>
        <stp>2018-01-01</stp>
        <stp>2019-12-31</stp>
        <stp>3</stp>
        <tr r="F2569" s="1"/>
      </tp>
      <tp>
        <v>43.770415309999997</v>
        <stp/>
        <stp>EM_S_PQ_PCTCHANGE</stp>
        <stp>4</stp>
        <stp>603722</stp>
        <stp>2018-12-31</stp>
        <stp>2019-12-30</stp>
        <stp>1</stp>
        <tr r="G673" s="1"/>
      </tp>
      <tp>
        <v>-38.733956810000002</v>
        <stp/>
        <stp>EM_S_PQ_PCTCHANGE</stp>
        <stp>4</stp>
        <stp>002553</stp>
        <stp>2018-01-01</stp>
        <stp>2019-12-31</stp>
        <stp>3</stp>
        <tr r="F2055" s="1"/>
      </tp>
      <tp>
        <v>-27.791262140000001</v>
        <stp/>
        <stp>EM_S_PQ_PCTCHANGE</stp>
        <stp>4</stp>
        <stp>002742</stp>
        <stp>2018-12-31</stp>
        <stp>2019-12-30</stp>
        <stp>1</stp>
        <tr r="G3194" s="1"/>
      </tp>
      <tp>
        <v>-39.630431039999998</v>
        <stp/>
        <stp>EM_S_PQ_PCTCHANGE</stp>
        <stp>4</stp>
        <stp>000554</stp>
        <stp>2018-01-01</stp>
        <stp>2019-12-31</stp>
        <stp>3</stp>
        <tr r="F2564" s="1"/>
      </tp>
      <tp>
        <v>10.21276596</v>
        <stp/>
        <stp>EM_S_PQ_PCTCHANGE</stp>
        <stp>4</stp>
        <stp>600725</stp>
        <stp>2018-12-31</stp>
        <stp>2019-12-30</stp>
        <stp>1</stp>
        <tr r="G1728" s="1"/>
      </tp>
      <tp>
        <v>-31.272401429999999</v>
        <stp/>
        <stp>EM_S_PQ_PCTCHANGE</stp>
        <stp>4</stp>
        <stp>603725</stp>
        <stp>2018-12-31</stp>
        <stp>2019-12-30</stp>
        <stp>1</stp>
        <tr r="G3230" s="1"/>
      </tp>
      <tp>
        <v>-35.384107159999999</v>
        <stp/>
        <stp>EM_S_PQ_PCTCHANGE</stp>
        <stp>4</stp>
        <stp>002554</stp>
        <stp>2018-01-01</stp>
        <stp>2019-12-31</stp>
        <stp>3</stp>
        <tr r="F1656" s="1"/>
      </tp>
      <tp>
        <v>22.763507529999998</v>
        <stp/>
        <stp>EM_S_PQ_PCTCHANGE</stp>
        <stp>4</stp>
        <stp>002745</stp>
        <stp>2018-12-31</stp>
        <stp>2019-12-30</stp>
        <stp>1</stp>
        <tr r="G1165" s="1"/>
      </tp>
      <tp>
        <v>26.681308219999998</v>
        <stp/>
        <stp>EM_S_PQ_PCTCHANGE</stp>
        <stp>4</stp>
        <stp>000555</stp>
        <stp>2018-01-01</stp>
        <stp>2019-12-31</stp>
        <stp>3</stp>
        <tr r="F519" s="1"/>
      </tp>
      <tp>
        <v>-32.617415479999998</v>
        <stp/>
        <stp>EM_S_PQ_PCTCHANGE</stp>
        <stp>4</stp>
        <stp>300565</stp>
        <stp>2018-01-01</stp>
        <stp>2019-12-31</stp>
        <stp>3</stp>
        <tr r="F3141" s="1"/>
      </tp>
      <tp>
        <v>-37.58267979</v>
        <stp/>
        <stp>EM_S_PQ_PCTCHANGE</stp>
        <stp>4</stp>
        <stp>600535</stp>
        <stp>2018-01-01</stp>
        <stp>2019-12-31</stp>
        <stp>3</stp>
        <tr r="F3081" s="1"/>
      </tp>
      <tp>
        <v>12.386706950000001</v>
        <stp/>
        <stp>EM_S_PQ_PCTCHANGE</stp>
        <stp>4</stp>
        <stp>600724</stp>
        <stp>2018-12-31</stp>
        <stp>2019-12-30</stp>
        <stp>1</stp>
        <tr r="G1617" s="1"/>
      </tp>
      <tp>
        <v>191.02447842999999</v>
        <stp/>
        <stp>EM_S_PQ_PCTCHANGE</stp>
        <stp>4</stp>
        <stp>002555</stp>
        <stp>2019-01-01</stp>
        <stp>2019-12-31</stp>
        <stp>3</stp>
        <tr r="G50" s="1"/>
      </tp>
      <tp>
        <v>-29.109241409999999</v>
        <stp/>
        <stp>EM_S_PQ_PCTCHANGE</stp>
        <stp>4</stp>
        <stp>603535</stp>
        <stp>2018-01-01</stp>
        <stp>2019-12-31</stp>
        <stp>3</stp>
        <tr r="F2420" s="1"/>
      </tp>
      <tp>
        <v>36.13864779</v>
        <stp/>
        <stp>EM_S_PQ_PCTCHANGE</stp>
        <stp>4</stp>
        <stp>002555</stp>
        <stp>2018-01-01</stp>
        <stp>2019-12-31</stp>
        <stp>3</stp>
        <tr r="F50" s="1"/>
      </tp>
      <tp>
        <v>0</v>
        <stp/>
        <stp>EM_S_PQ_PCTCHANGE</stp>
        <stp>4</stp>
        <stp>601727</stp>
        <stp>2018-12-31</stp>
        <stp>2019-12-30</stp>
        <stp>1</stp>
        <tr r="G2339" s="1"/>
      </tp>
      <tp>
        <v>0</v>
        <stp/>
        <stp>EM_S_PQ_PCTCHANGE</stp>
        <stp>4</stp>
        <stp>000556</stp>
        <stp>2018-01-01</stp>
        <stp>2019-12-31</stp>
        <stp>3</stp>
        <tr r="F3453" s="1"/>
      </tp>
      <tp>
        <v>-13.526311160000001</v>
        <stp/>
        <stp>EM_S_PQ_PCTCHANGE</stp>
        <stp>4</stp>
        <stp>300566</stp>
        <stp>2018-01-01</stp>
        <stp>2019-12-31</stp>
        <stp>3</stp>
        <tr r="F215" s="1"/>
      </tp>
      <tp>
        <v>334.70603962000001</v>
        <stp/>
        <stp>EM_S_PQ_PCTCHANGE</stp>
        <stp>4</stp>
        <stp>600536</stp>
        <stp>2018-01-01</stp>
        <stp>2019-12-31</stp>
        <stp>3</stp>
        <tr r="F32" s="1"/>
      </tp>
      <tp>
        <v>28.779599269999999</v>
        <stp/>
        <stp>EM_S_PQ_PCTCHANGE</stp>
        <stp>4</stp>
        <stp>600727</stp>
        <stp>2018-12-31</stp>
        <stp>2019-12-30</stp>
        <stp>1</stp>
        <tr r="G964" s="1"/>
      </tp>
      <tp>
        <v>72.322293029999997</v>
        <stp/>
        <stp>EM_S_PQ_PCTCHANGE</stp>
        <stp>4</stp>
        <stp>603536</stp>
        <stp>2018-01-01</stp>
        <stp>2019-12-31</stp>
        <stp>3</stp>
        <tr r="F60" s="1"/>
      </tp>
      <tp>
        <v>48.379254459999999</v>
        <stp/>
        <stp>EM_S_PQ_PCTCHANGE</stp>
        <stp>4</stp>
        <stp>603727</stp>
        <stp>2018-12-31</stp>
        <stp>2019-12-30</stp>
        <stp>1</stp>
        <tr r="G592" s="1"/>
      </tp>
      <tp>
        <v>-23.60762428</v>
        <stp/>
        <stp>EM_S_PQ_PCTCHANGE</stp>
        <stp>4</stp>
        <stp>002556</stp>
        <stp>2018-01-01</stp>
        <stp>2019-12-31</stp>
        <stp>3</stp>
        <tr r="F1846" s="1"/>
      </tp>
      <tp>
        <v>33.254994119999999</v>
        <stp/>
        <stp>EM_S_PQ_PCTCHANGE</stp>
        <stp>4</stp>
        <stp>002747</stp>
        <stp>2018-12-31</stp>
        <stp>2019-12-30</stp>
        <stp>1</stp>
        <tr r="G862" s="1"/>
      </tp>
      <tp>
        <v>-27.82426778</v>
        <stp/>
        <stp>EM_S_PQ_PCTCHANGE</stp>
        <stp>4</stp>
        <stp>000557</stp>
        <stp>2018-01-01</stp>
        <stp>2019-12-31</stp>
        <stp>3</stp>
        <tr r="F2277" s="1"/>
      </tp>
      <tp>
        <v>24.738231039999999</v>
        <stp/>
        <stp>EM_S_PQ_PCTCHANGE</stp>
        <stp>4</stp>
        <stp>300567</stp>
        <stp>2018-01-01</stp>
        <stp>2019-12-31</stp>
        <stp>3</stp>
        <tr r="F1721" s="1"/>
      </tp>
      <tp>
        <v>-34.67760586</v>
        <stp/>
        <stp>EM_S_PQ_PCTCHANGE</stp>
        <stp>4</stp>
        <stp>600537</stp>
        <stp>2018-01-01</stp>
        <stp>2019-12-31</stp>
        <stp>3</stp>
        <tr r="F1744" s="1"/>
      </tp>
      <tp>
        <v>-24.242424239999998</v>
        <stp/>
        <stp>EM_S_PQ_PCTCHANGE</stp>
        <stp>4</stp>
        <stp>600726</stp>
        <stp>2018-12-31</stp>
        <stp>2019-12-30</stp>
        <stp>1</stp>
        <tr r="G3137" s="1"/>
      </tp>
      <tp>
        <v>-37.299035369999999</v>
        <stp/>
        <stp>EM_S_PQ_PCTCHANGE</stp>
        <stp>4</stp>
        <stp>603726</stp>
        <stp>2018-12-31</stp>
        <stp>2019-12-30</stp>
        <stp>1</stp>
        <tr r="G3291" s="1"/>
      </tp>
      <tp>
        <v>124.41991115</v>
        <stp/>
        <stp>EM_S_PQ_PCTCHANGE</stp>
        <stp>4</stp>
        <stp>002557</stp>
        <stp>2018-01-01</stp>
        <stp>2019-12-31</stp>
        <stp>3</stp>
        <tr r="F276" s="1"/>
      </tp>
      <tp>
        <v>12.93859649</v>
        <stp/>
        <stp>EM_S_PQ_PCTCHANGE</stp>
        <stp>4</stp>
        <stp>002746</stp>
        <stp>2018-12-31</stp>
        <stp>2019-12-30</stp>
        <stp>1</stp>
        <tr r="G1580" s="1"/>
      </tp>
      <tp>
        <v>-36.06957946</v>
        <stp/>
        <stp>EM_S_PQ_PCTCHANGE</stp>
        <stp>4</stp>
        <stp>000548</stp>
        <stp>2018-01-01</stp>
        <stp>2019-12-31</stp>
        <stp>3</stp>
        <tr r="F3450" s="1"/>
      </tp>
      <tp>
        <v>39.015151520000003</v>
        <stp/>
        <stp>EM_S_PQ_PCTCHANGE</stp>
        <stp>4</stp>
        <stp>000759</stp>
        <stp>2018-12-31</stp>
        <stp>2019-12-30</stp>
        <stp>1</stp>
        <tr r="G752" s="1"/>
      </tp>
      <tp>
        <v>28.78571385</v>
        <stp/>
        <stp>EM_S_PQ_PCTCHANGE</stp>
        <stp>4</stp>
        <stp>300578</stp>
        <stp>2018-01-01</stp>
        <stp>2019-12-31</stp>
        <stp>3</stp>
        <tr r="F543" s="1"/>
      </tp>
      <tp>
        <v>-2.5260819699999999</v>
        <stp/>
        <stp>EM_S_PQ_PCTCHANGE</stp>
        <stp>4</stp>
        <stp>600528</stp>
        <stp>2018-01-01</stp>
        <stp>2019-12-31</stp>
        <stp>3</stp>
        <tr r="F2069" s="1"/>
      </tp>
      <tp>
        <v>45.124282979999997</v>
        <stp/>
        <stp>EM_S_PQ_PCTCHANGE</stp>
        <stp>4</stp>
        <stp>600739</stp>
        <stp>2018-12-31</stp>
        <stp>2019-12-30</stp>
        <stp>1</stp>
        <tr r="G642" s="1"/>
      </tp>
      <tp>
        <v>-20.97683769</v>
        <stp/>
        <stp>EM_S_PQ_PCTCHANGE</stp>
        <stp>4</stp>
        <stp>603528</stp>
        <stp>2018-01-01</stp>
        <stp>2019-12-31</stp>
        <stp>3</stp>
        <tr r="F1609" s="1"/>
      </tp>
      <tp>
        <v>-17.63230222</v>
        <stp/>
        <stp>EM_S_PQ_PCTCHANGE</stp>
        <stp>4</stp>
        <stp>002548</stp>
        <stp>2018-01-01</stp>
        <stp>2019-12-31</stp>
        <stp>3</stp>
        <tr r="F938" s="1"/>
      </tp>
      <tp>
        <v>15.239294709999999</v>
        <stp/>
        <stp>EM_S_PQ_PCTCHANGE</stp>
        <stp>4</stp>
        <stp>002759</stp>
        <stp>2018-12-31</stp>
        <stp>2019-12-30</stp>
        <stp>1</stp>
        <tr r="G1470" s="1"/>
      </tp>
      <tp>
        <v>0</v>
        <stp/>
        <stp>EM_S_PQ_PCTCHANGE</stp>
        <stp>4</stp>
        <stp>000549</stp>
        <stp>2018-01-01</stp>
        <stp>2019-12-31</stp>
        <stp>3</stp>
        <tr r="F3451" s="1"/>
      </tp>
      <tp>
        <v>96.528571290000002</v>
        <stp/>
        <stp>EM_S_PQ_PCTCHANGE</stp>
        <stp>4</stp>
        <stp>300579</stp>
        <stp>2018-01-01</stp>
        <stp>2019-12-31</stp>
        <stp>3</stp>
        <tr r="F330" s="1"/>
      </tp>
      <tp>
        <v>149.95113244000001</v>
        <stp/>
        <stp>EM_S_PQ_PCTCHANGE</stp>
        <stp>4</stp>
        <stp>600529</stp>
        <stp>2018-01-01</stp>
        <stp>2019-12-31</stp>
        <stp>3</stp>
        <tr r="F589" s="1"/>
      </tp>
      <tp>
        <v>-15.78947368</v>
        <stp/>
        <stp>EM_S_PQ_PCTCHANGE</stp>
        <stp>4</stp>
        <stp>600738</stp>
        <stp>2018-12-31</stp>
        <stp>2019-12-30</stp>
        <stp>1</stp>
        <tr r="G2955" s="1"/>
      </tp>
      <tp>
        <v>60.632411070000003</v>
        <stp/>
        <stp>EM_S_PQ_PCTCHANGE</stp>
        <stp>4</stp>
        <stp>603738</stp>
        <stp>2018-12-31</stp>
        <stp>2019-12-30</stp>
        <stp>1</stp>
        <tr r="G418" s="1"/>
      </tp>
      <tp>
        <v>-3.8249853800000002</v>
        <stp/>
        <stp>EM_S_PQ_PCTCHANGE</stp>
        <stp>4</stp>
        <stp>002549</stp>
        <stp>2018-01-01</stp>
        <stp>2019-12-31</stp>
        <stp>3</stp>
        <tr r="F1576" s="1"/>
      </tp>
      <tp>
        <v>45.606694560000001</v>
        <stp/>
        <stp>EM_S_PQ_PCTCHANGE</stp>
        <stp>4</stp>
        <stp>002758</stp>
        <stp>2018-12-31</stp>
        <stp>2019-12-30</stp>
        <stp>1</stp>
        <tr r="G633" s="1"/>
      </tp>
      <tp>
        <v>-30.71770815</v>
        <stp/>
        <stp>EM_S_PQ_PCTCHANGE</stp>
        <stp>4</stp>
        <stp>000540</stp>
        <stp>2018-01-01</stp>
        <stp>2019-12-31</stp>
        <stp>3</stp>
        <tr r="F3448" s="1"/>
      </tp>
      <tp>
        <v>14.03508772</v>
        <stp/>
        <stp>EM_S_PQ_PCTCHANGE</stp>
        <stp>4</stp>
        <stp>000751</stp>
        <stp>2018-12-31</stp>
        <stp>2019-12-30</stp>
        <stp>1</stp>
        <tr r="G1531" s="1"/>
      </tp>
      <tp>
        <v>32.90164128</v>
        <stp/>
        <stp>EM_S_PQ_PCTCHANGE</stp>
        <stp>4</stp>
        <stp>300570</stp>
        <stp>2018-01-01</stp>
        <stp>2019-12-31</stp>
        <stp>3</stp>
        <tr r="F674" s="1"/>
      </tp>
      <tp>
        <v>-55.967413440000001</v>
        <stp/>
        <stp>EM_S_PQ_PCTCHANGE</stp>
        <stp>4</stp>
        <stp>600520</stp>
        <stp>2018-01-01</stp>
        <stp>2019-12-31</stp>
        <stp>3</stp>
        <tr r="F3023" s="1"/>
      </tp>
      <tp>
        <v>72.74881517</v>
        <stp/>
        <stp>EM_S_PQ_PCTCHANGE</stp>
        <stp>4</stp>
        <stp>600731</stp>
        <stp>2018-12-31</stp>
        <stp>2019-12-30</stp>
        <stp>1</stp>
        <tr r="G296" s="1"/>
      </tp>
      <tp>
        <v>112.2796553</v>
        <stp/>
        <stp>EM_S_PQ_PCTCHANGE</stp>
        <stp>4</stp>
        <stp>603520</stp>
        <stp>2018-01-01</stp>
        <stp>2019-12-31</stp>
        <stp>3</stp>
        <tr r="F419" s="1"/>
      </tp>
      <tp>
        <v>-37.375488279999999</v>
        <stp/>
        <stp>EM_S_PQ_PCTCHANGE</stp>
        <stp>4</stp>
        <stp>002540</stp>
        <stp>2018-01-01</stp>
        <stp>2019-12-31</stp>
        <stp>3</stp>
        <tr r="F2657" s="1"/>
      </tp>
      <tp>
        <v>17.22532588</v>
        <stp/>
        <stp>EM_S_PQ_PCTCHANGE</stp>
        <stp>4</stp>
        <stp>002751</stp>
        <stp>2018-12-31</stp>
        <stp>2019-12-30</stp>
        <stp>1</stp>
        <tr r="G1394" s="1"/>
      </tp>
      <tp>
        <v>-37.278078669999999</v>
        <stp/>
        <stp>EM_S_PQ_PCTCHANGE</stp>
        <stp>4</stp>
        <stp>000541</stp>
        <stp>2018-01-01</stp>
        <stp>2019-12-31</stp>
        <stp>3</stp>
        <tr r="F2586" s="1"/>
      </tp>
      <tp>
        <v>77.161796229999993</v>
        <stp/>
        <stp>EM_S_PQ_PCTCHANGE</stp>
        <stp>4</stp>
        <stp>300571</stp>
        <stp>2018-01-01</stp>
        <stp>2019-12-31</stp>
        <stp>3</stp>
        <tr r="F939" s="1"/>
      </tp>
      <tp>
        <v>-30.856815009999998</v>
        <stp/>
        <stp>EM_S_PQ_PCTCHANGE</stp>
        <stp>4</stp>
        <stp>600521</stp>
        <stp>2018-01-01</stp>
        <stp>2019-12-31</stp>
        <stp>3</stp>
        <tr r="F489" s="1"/>
      </tp>
      <tp>
        <v>0.61475409999999997</v>
        <stp/>
        <stp>EM_S_PQ_PCTCHANGE</stp>
        <stp>4</stp>
        <stp>600730</stp>
        <stp>2018-12-31</stp>
        <stp>2019-12-30</stp>
        <stp>1</stp>
        <tr r="G2242" s="1"/>
      </tp>
      <tp>
        <v>43.51364289</v>
        <stp/>
        <stp>EM_S_PQ_PCTCHANGE</stp>
        <stp>4</stp>
        <stp>603730</stp>
        <stp>2018-12-31</stp>
        <stp>2019-12-30</stp>
        <stp>1</stp>
        <tr r="G677" s="1"/>
      </tp>
      <tp>
        <v>17.945417070000001</v>
        <stp/>
        <stp>EM_S_PQ_PCTCHANGE</stp>
        <stp>4</stp>
        <stp>002541</stp>
        <stp>2018-01-01</stp>
        <stp>2019-12-31</stp>
        <stp>3</stp>
        <tr r="F538" s="1"/>
      </tp>
      <tp>
        <v>122.32142856999999</v>
        <stp/>
        <stp>EM_S_PQ_PCTCHANGE</stp>
        <stp>4</stp>
        <stp>002750</stp>
        <stp>2018-12-31</stp>
        <stp>2019-12-30</stp>
        <stp>1</stp>
        <tr r="G121" s="1"/>
      </tp>
      <tp>
        <v>0</v>
        <stp/>
        <stp>EM_S_PQ_PCTCHANGE</stp>
        <stp>4</stp>
        <stp>000542</stp>
        <stp>2018-01-01</stp>
        <stp>2019-12-31</stp>
        <stp>3</stp>
        <tr r="F3449" s="1"/>
      </tp>
      <tp>
        <v>0.34013605000000002</v>
        <stp/>
        <stp>EM_S_PQ_PCTCHANGE</stp>
        <stp>4</stp>
        <stp>000753</stp>
        <stp>2018-12-31</stp>
        <stp>2019-12-30</stp>
        <stp>1</stp>
        <tr r="G2257" s="1"/>
      </tp>
      <tp>
        <v>119.57133472</v>
        <stp/>
        <stp>EM_S_PQ_PCTCHANGE</stp>
        <stp>4</stp>
        <stp>300572</stp>
        <stp>2018-01-01</stp>
        <stp>2019-12-31</stp>
        <stp>3</stp>
        <tr r="F1863" s="1"/>
      </tp>
      <tp>
        <v>-39.089753729999998</v>
        <stp/>
        <stp>EM_S_PQ_PCTCHANGE</stp>
        <stp>4</stp>
        <stp>600522</stp>
        <stp>2018-01-01</stp>
        <stp>2019-12-31</stp>
        <stp>3</stp>
        <tr r="F2201" s="1"/>
      </tp>
      <tp>
        <v>-27.261306529999999</v>
        <stp/>
        <stp>EM_S_PQ_PCTCHANGE</stp>
        <stp>4</stp>
        <stp>600733</stp>
        <stp>2018-12-31</stp>
        <stp>2019-12-30</stp>
        <stp>1</stp>
        <tr r="G3186" s="1"/>
      </tp>
      <tp>
        <v>-7.3929961100000003</v>
        <stp/>
        <stp>EM_S_PQ_PCTCHANGE</stp>
        <stp>4</stp>
        <stp>603733</stp>
        <stp>2018-12-31</stp>
        <stp>2019-12-30</stp>
        <stp>1</stp>
        <tr r="G2668" s="1"/>
      </tp>
      <tp>
        <v>-48.808620249999997</v>
        <stp/>
        <stp>EM_S_PQ_PCTCHANGE</stp>
        <stp>4</stp>
        <stp>002542</stp>
        <stp>2018-01-01</stp>
        <stp>2019-12-31</stp>
        <stp>3</stp>
        <tr r="F2894" s="1"/>
      </tp>
      <tp>
        <v>-13.747228379999999</v>
        <stp/>
        <stp>EM_S_PQ_PCTCHANGE</stp>
        <stp>4</stp>
        <stp>002753</stp>
        <stp>2018-12-31</stp>
        <stp>2019-12-30</stp>
        <stp>1</stp>
        <tr r="G2896" s="1"/>
      </tp>
      <tp>
        <v>-6.5652328999999998</v>
        <stp/>
        <stp>EM_S_PQ_PCTCHANGE</stp>
        <stp>4</stp>
        <stp>000543</stp>
        <stp>2018-01-01</stp>
        <stp>2019-12-31</stp>
        <stp>3</stp>
        <tr r="F2463" s="1"/>
      </tp>
      <tp>
        <v>200.65443522999999</v>
        <stp/>
        <stp>EM_S_PQ_PCTCHANGE</stp>
        <stp>4</stp>
        <stp>300573</stp>
        <stp>2018-01-01</stp>
        <stp>2019-12-31</stp>
        <stp>3</stp>
        <tr r="F25" s="1"/>
      </tp>
      <tp>
        <v>21.449554729999999</v>
        <stp/>
        <stp>EM_S_PQ_PCTCHANGE</stp>
        <stp>4</stp>
        <stp>600523</stp>
        <stp>2018-01-01</stp>
        <stp>2019-12-31</stp>
        <stp>3</stp>
        <tr r="F688" s="1"/>
      </tp>
      <tp>
        <v>74.336283190000003</v>
        <stp/>
        <stp>EM_S_PQ_PCTCHANGE</stp>
        <stp>4</stp>
        <stp>600732</stp>
        <stp>2018-12-31</stp>
        <stp>2019-12-30</stp>
        <stp>1</stp>
        <tr r="G281" s="1"/>
      </tp>
      <tp>
        <v>-25.147542349999998</v>
        <stp/>
        <stp>EM_S_PQ_PCTCHANGE</stp>
        <stp>4</stp>
        <stp>002543</stp>
        <stp>2018-01-01</stp>
        <stp>2019-12-31</stp>
        <stp>3</stp>
        <tr r="F3167" s="1"/>
      </tp>
      <tp>
        <v>-15.724137929999999</v>
        <stp/>
        <stp>EM_S_PQ_PCTCHANGE</stp>
        <stp>4</stp>
        <stp>002752</stp>
        <stp>2018-12-31</stp>
        <stp>2019-12-30</stp>
        <stp>1</stp>
        <tr r="G2953" s="1"/>
      </tp>
      <tp>
        <v>-30.768576540000002</v>
        <stp/>
        <stp>EM_S_PQ_PCTCHANGE</stp>
        <stp>4</stp>
        <stp>000544</stp>
        <stp>2018-01-01</stp>
        <stp>2019-12-31</stp>
        <stp>3</stp>
        <tr r="F1160" s="1"/>
      </tp>
      <tp>
        <v>27.906976740000001</v>
        <stp/>
        <stp>EM_S_PQ_PCTCHANGE</stp>
        <stp>4</stp>
        <stp>600735</stp>
        <stp>2018-12-31</stp>
        <stp>2019-12-30</stp>
        <stp>1</stp>
        <tr r="G990" s="1"/>
      </tp>
      <tp>
        <v>-12.48127509</v>
        <stp/>
        <stp>EM_S_PQ_PCTCHANGE</stp>
        <stp>4</stp>
        <stp>002544</stp>
        <stp>2018-01-01</stp>
        <stp>2019-12-31</stp>
        <stp>3</stp>
        <tr r="F1046" s="1"/>
      </tp>
      <tp>
        <v>19.69230769</v>
        <stp/>
        <stp>EM_S_PQ_PCTCHANGE</stp>
        <stp>4</stp>
        <stp>002755</stp>
        <stp>2018-12-31</stp>
        <stp>2019-12-30</stp>
        <stp>1</stp>
        <tr r="G1289" s="1"/>
      </tp>
      <tp>
        <v>-39.190148149999999</v>
        <stp/>
        <stp>EM_S_PQ_PCTCHANGE</stp>
        <stp>4</stp>
        <stp>000545</stp>
        <stp>2018-01-01</stp>
        <stp>2019-12-31</stp>
        <stp>3</stp>
        <tr r="F2486" s="1"/>
      </tp>
      <tp>
        <v>28.359431220000001</v>
        <stp/>
        <stp>EM_S_PQ_PCTCHANGE</stp>
        <stp>4</stp>
        <stp>300575</stp>
        <stp>2018-01-01</stp>
        <stp>2019-12-31</stp>
        <stp>3</stp>
        <tr r="F3269" s="1"/>
      </tp>
      <tp>
        <v>-62.103172280000003</v>
        <stp/>
        <stp>EM_S_PQ_PCTCHANGE</stp>
        <stp>4</stp>
        <stp>600525</stp>
        <stp>2018-01-01</stp>
        <stp>2019-12-31</stp>
        <stp>3</stp>
        <tr r="F831" s="1"/>
      </tp>
      <tp>
        <v>8.1210191100000007</v>
        <stp/>
        <stp>EM_S_PQ_PCTCHANGE</stp>
        <stp>4</stp>
        <stp>600734</stp>
        <stp>2018-12-31</stp>
        <stp>2019-12-30</stp>
        <stp>1</stp>
        <tr r="G1850" s="1"/>
      </tp>
      <tp>
        <v>-10.59849519</v>
        <stp/>
        <stp>EM_S_PQ_PCTCHANGE</stp>
        <stp>4</stp>
        <stp>002545</stp>
        <stp>2018-01-01</stp>
        <stp>2019-12-31</stp>
        <stp>3</stp>
        <tr r="F996" s="1"/>
      </tp>
      <tp>
        <v>-42.875402469999997</v>
        <stp/>
        <stp>EM_S_PQ_PCTCHANGE</stp>
        <stp>4</stp>
        <stp>000546</stp>
        <stp>2018-01-01</stp>
        <stp>2019-12-31</stp>
        <stp>3</stp>
        <tr r="F1381" s="1"/>
      </tp>
      <tp>
        <v>-12.16730038</v>
        <stp/>
        <stp>EM_S_PQ_PCTCHANGE</stp>
        <stp>4</stp>
        <stp>000757</stp>
        <stp>2018-12-31</stp>
        <stp>2019-12-30</stp>
        <stp>1</stp>
        <tr r="G2835" s="1"/>
      </tp>
      <tp>
        <v>57.155114480000002</v>
        <stp/>
        <stp>EM_S_PQ_PCTCHANGE</stp>
        <stp>4</stp>
        <stp>300576</stp>
        <stp>2018-01-01</stp>
        <stp>2019-12-31</stp>
        <stp>3</stp>
        <tr r="F161" s="1"/>
      </tp>
      <tp>
        <v>-49.198396789999997</v>
        <stp/>
        <stp>EM_S_PQ_PCTCHANGE</stp>
        <stp>4</stp>
        <stp>600526</stp>
        <stp>2018-01-01</stp>
        <stp>2019-12-31</stp>
        <stp>3</stp>
        <tr r="F1544" s="1"/>
      </tp>
      <tp>
        <v>14.945652170000001</v>
        <stp/>
        <stp>EM_S_PQ_PCTCHANGE</stp>
        <stp>4</stp>
        <stp>600737</stp>
        <stp>2018-12-31</stp>
        <stp>2019-12-30</stp>
        <stp>1</stp>
        <tr r="G1484" s="1"/>
      </tp>
      <tp>
        <v>119.77447745000001</v>
        <stp/>
        <stp>EM_S_PQ_PCTCHANGE</stp>
        <stp>4</stp>
        <stp>603737</stp>
        <stp>2018-12-31</stp>
        <stp>2019-12-30</stp>
        <stp>1</stp>
        <tr r="G124" s="1"/>
      </tp>
      <tp>
        <v>-13.95934394</v>
        <stp/>
        <stp>EM_S_PQ_PCTCHANGE</stp>
        <stp>4</stp>
        <stp>002546</stp>
        <stp>2018-01-01</stp>
        <stp>2019-12-31</stp>
        <stp>3</stp>
        <tr r="F1763" s="1"/>
      </tp>
      <tp>
        <v>-41.091549299999997</v>
        <stp/>
        <stp>EM_S_PQ_PCTCHANGE</stp>
        <stp>4</stp>
        <stp>002757</stp>
        <stp>2018-12-31</stp>
        <stp>2019-12-30</stp>
        <stp>1</stp>
        <tr r="G3322" s="1"/>
      </tp>
      <tp>
        <v>-5.6325023099999996</v>
        <stp/>
        <stp>EM_S_PQ_PCTCHANGE</stp>
        <stp>4</stp>
        <stp>000547</stp>
        <stp>2018-01-01</stp>
        <stp>2019-12-31</stp>
        <stp>3</stp>
        <tr r="F790" s="1"/>
      </tp>
      <tp>
        <v>29.369369370000001</v>
        <stp/>
        <stp>EM_S_PQ_PCTCHANGE</stp>
        <stp>4</stp>
        <stp>000756</stp>
        <stp>2018-12-31</stp>
        <stp>2019-12-30</stp>
        <stp>1</stp>
        <tr r="G945" s="1"/>
      </tp>
      <tp>
        <v>3.9659723499999999</v>
        <stp/>
        <stp>EM_S_PQ_PCTCHANGE</stp>
        <stp>4</stp>
        <stp>300577</stp>
        <stp>2018-01-01</stp>
        <stp>2019-12-31</stp>
        <stp>3</stp>
        <tr r="F1691" s="1"/>
      </tp>
      <tp>
        <v>-28.950192099999999</v>
        <stp/>
        <stp>EM_S_PQ_PCTCHANGE</stp>
        <stp>4</stp>
        <stp>600527</stp>
        <stp>2018-01-01</stp>
        <stp>2019-12-31</stp>
        <stp>3</stp>
        <tr r="F2084" s="1"/>
      </tp>
      <tp>
        <v>9.5057034199999997</v>
        <stp/>
        <stp>EM_S_PQ_PCTCHANGE</stp>
        <stp>4</stp>
        <stp>600736</stp>
        <stp>2018-12-31</stp>
        <stp>2019-12-30</stp>
        <stp>1</stp>
        <tr r="G1764" s="1"/>
      </tp>
      <tp>
        <v>-43.143418330000003</v>
        <stp/>
        <stp>EM_S_PQ_PCTCHANGE</stp>
        <stp>4</stp>
        <stp>603527</stp>
        <stp>2018-01-01</stp>
        <stp>2019-12-31</stp>
        <stp>3</stp>
        <tr r="F1518" s="1"/>
      </tp>
      <tp>
        <v>3.1367628600000002</v>
        <stp/>
        <stp>EM_S_PQ_PCTCHANGE</stp>
        <stp>4</stp>
        <stp>002547</stp>
        <stp>2018-01-01</stp>
        <stp>2019-12-31</stp>
        <stp>3</stp>
        <tr r="F524" s="1"/>
      </tp>
      <tp>
        <v>56.12416107</v>
        <stp/>
        <stp>EM_S_PQ_PCTCHANGE</stp>
        <stp>4</stp>
        <stp>002756</stp>
        <stp>2018-12-31</stp>
        <stp>2019-12-30</stp>
        <stp>1</stp>
        <tr r="G470" s="1"/>
      </tp>
      <tp>
        <v>-23.209843339999999</v>
        <stp/>
        <stp>EM_S_PQ_PCTCHANGE</stp>
        <stp>4</stp>
        <stp>601518</stp>
        <stp>2018-01-01</stp>
        <stp>2019-12-31</stp>
        <stp>3</stp>
        <tr r="F2183" s="1"/>
      </tp>
      <tp>
        <v>0</v>
        <stp/>
        <stp>EM_S_PQ_PCTCHANGE</stp>
        <stp>4</stp>
        <stp>000578</stp>
        <stp>2018-01-01</stp>
        <stp>2019-12-31</stp>
        <stp>3</stp>
        <tr r="F3464" s="1"/>
      </tp>
      <tp>
        <v>0</v>
        <stp/>
        <stp>EM_S_PQ_PCTCHANGE</stp>
        <stp>4</stp>
        <stp>000769</stp>
        <stp>2018-12-31</stp>
        <stp>2019-12-30</stp>
        <stp>1</stp>
        <tr r="G2279" s="1"/>
      </tp>
      <tp>
        <v>40.405875739999999</v>
        <stp/>
        <stp>EM_S_PQ_PCTCHANGE</stp>
        <stp>4</stp>
        <stp>300548</stp>
        <stp>2018-01-01</stp>
        <stp>2019-12-31</stp>
        <stp>3</stp>
        <tr r="F199" s="1"/>
      </tp>
      <tp>
        <v>-83.054289069999996</v>
        <stp/>
        <stp>EM_S_PQ_PCTCHANGE</stp>
        <stp>4</stp>
        <stp>600518</stp>
        <stp>2018-01-01</stp>
        <stp>2019-12-31</stp>
        <stp>3</stp>
        <tr r="F3393" s="1"/>
      </tp>
      <tp>
        <v>0</v>
        <stp/>
        <stp>EM_S_PQ_PCTCHANGE</stp>
        <stp>4</stp>
        <stp>600709</stp>
        <stp>2018-12-31</stp>
        <stp>2019-12-30</stp>
        <stp>1</stp>
        <tr r="G2318" s="1"/>
      </tp>
      <tp>
        <v>-45.714961639999999</v>
        <stp/>
        <stp>EM_S_PQ_PCTCHANGE</stp>
        <stp>4</stp>
        <stp>603518</stp>
        <stp>2018-01-01</stp>
        <stp>2019-12-31</stp>
        <stp>3</stp>
        <tr r="F3366" s="1"/>
      </tp>
      <tp>
        <v>1.1599999999999999</v>
        <stp/>
        <stp>EM_S_PQ_PCTCHANGE</stp>
        <stp>4</stp>
        <stp>603709</stp>
        <stp>2018-12-31</stp>
        <stp>2019-12-30</stp>
        <stp>1</stp>
        <tr r="G2206" s="1"/>
      </tp>
      <tp>
        <v>-23.04107321</v>
        <stp/>
        <stp>EM_S_PQ_PCTCHANGE</stp>
        <stp>4</stp>
        <stp>002578</stp>
        <stp>2018-01-01</stp>
        <stp>2019-12-31</stp>
        <stp>3</stp>
        <tr r="F1903" s="1"/>
      </tp>
      <tp>
        <v>-17.061143980000001</v>
        <stp/>
        <stp>EM_S_PQ_PCTCHANGE</stp>
        <stp>4</stp>
        <stp>002769</stp>
        <stp>2018-12-31</stp>
        <stp>2019-12-30</stp>
        <stp>1</stp>
        <tr r="G2989" s="1"/>
      </tp>
      <tp>
        <v>103.47443353</v>
        <stp/>
        <stp>EM_S_PQ_PCTCHANGE</stp>
        <stp>4</stp>
        <stp>600519</stp>
        <stp>2019-01-01</stp>
        <stp>2019-12-31</stp>
        <stp>3</stp>
        <tr r="G160" s="1"/>
      </tp>
      <tp>
        <v>59.072580649999999</v>
        <stp/>
        <stp>EM_S_PQ_PCTCHANGE</stp>
        <stp>4</stp>
        <stp>601519</stp>
        <stp>2018-01-01</stp>
        <stp>2019-12-31</stp>
        <stp>3</stp>
        <tr r="F99" s="1"/>
      </tp>
      <tp>
        <v>23.41389728</v>
        <stp/>
        <stp>EM_S_PQ_PCTCHANGE</stp>
        <stp>4</stp>
        <stp>000768</stp>
        <stp>2018-12-31</stp>
        <stp>2019-12-30</stp>
        <stp>1</stp>
        <tr r="G1149" s="1"/>
      </tp>
      <tp>
        <v>-34.422561780000002</v>
        <stp/>
        <stp>EM_S_PQ_PCTCHANGE</stp>
        <stp>4</stp>
        <stp>300549</stp>
        <stp>2018-01-01</stp>
        <stp>2019-12-31</stp>
        <stp>3</stp>
        <tr r="F1330" s="1"/>
      </tp>
      <tp>
        <v>74.562541120000006</v>
        <stp/>
        <stp>EM_S_PQ_PCTCHANGE</stp>
        <stp>4</stp>
        <stp>600519</stp>
        <stp>2018-01-01</stp>
        <stp>2019-12-31</stp>
        <stp>3</stp>
        <tr r="F160" s="1"/>
      </tp>
      <tp>
        <v>0.85959885000000003</v>
        <stp/>
        <stp>EM_S_PQ_PCTCHANGE</stp>
        <stp>4</stp>
        <stp>600708</stp>
        <stp>2018-12-31</stp>
        <stp>2019-12-30</stp>
        <stp>1</stp>
        <tr r="G2225" s="1"/>
      </tp>
      <tp>
        <v>-2.2159064900000001</v>
        <stp/>
        <stp>EM_S_PQ_PCTCHANGE</stp>
        <stp>4</stp>
        <stp>603519</stp>
        <stp>2018-01-01</stp>
        <stp>2019-12-31</stp>
        <stp>3</stp>
        <tr r="F531" s="1"/>
      </tp>
      <tp>
        <v>21.30413141</v>
        <stp/>
        <stp>EM_S_PQ_PCTCHANGE</stp>
        <stp>4</stp>
        <stp>603708</stp>
        <stp>2018-12-31</stp>
        <stp>2019-12-30</stp>
        <stp>1</stp>
        <tr r="G1222" s="1"/>
      </tp>
      <tp>
        <v>39.487939740000002</v>
        <stp/>
        <stp>EM_S_PQ_PCTCHANGE</stp>
        <stp>4</stp>
        <stp>002579</stp>
        <stp>2018-01-01</stp>
        <stp>2019-12-31</stp>
        <stp>3</stp>
        <tr r="F396" s="1"/>
      </tp>
      <tp>
        <v>3.9013452900000001</v>
        <stp/>
        <stp>EM_S_PQ_PCTCHANGE</stp>
        <stp>4</stp>
        <stp>002768</stp>
        <stp>2018-12-31</stp>
        <stp>2019-12-30</stp>
        <stp>1</stp>
        <tr r="G2063" s="1"/>
      </tp>
      <tp>
        <v>-16.83872672</v>
        <stp/>
        <stp>EM_S_PQ_PCTCHANGE</stp>
        <stp>4</stp>
        <stp>000570</stp>
        <stp>2018-01-01</stp>
        <stp>2019-12-31</stp>
        <stp>3</stp>
        <tr r="F3461" s="1"/>
      </tp>
      <tp>
        <v>17.85714286</v>
        <stp/>
        <stp>EM_S_PQ_PCTCHANGE</stp>
        <stp>4</stp>
        <stp>000761</stp>
        <stp>2018-12-31</stp>
        <stp>2019-12-30</stp>
        <stp>1</stp>
        <tr r="G1372" s="1"/>
      </tp>
      <tp>
        <v>-14.530070090000001</v>
        <stp/>
        <stp>EM_S_PQ_PCTCHANGE</stp>
        <stp>4</stp>
        <stp>300540</stp>
        <stp>2018-01-01</stp>
        <stp>2019-12-31</stp>
        <stp>3</stp>
        <tr r="F1366" s="1"/>
      </tp>
      <tp>
        <v>6.5134567199999998</v>
        <stp/>
        <stp>EM_S_PQ_PCTCHANGE</stp>
        <stp>4</stp>
        <stp>600510</stp>
        <stp>2018-01-01</stp>
        <stp>2019-12-31</stp>
        <stp>3</stp>
        <tr r="F1618" s="1"/>
      </tp>
      <tp>
        <v>-20</v>
        <stp/>
        <stp>EM_S_PQ_PCTCHANGE</stp>
        <stp>4</stp>
        <stp>600701</stp>
        <stp>2018-12-31</stp>
        <stp>2019-12-30</stp>
        <stp>1</stp>
        <tr r="G3066" s="1"/>
      </tp>
      <tp>
        <v>12.45614035</v>
        <stp/>
        <stp>EM_S_PQ_PCTCHANGE</stp>
        <stp>4</stp>
        <stp>603701</stp>
        <stp>2018-12-31</stp>
        <stp>2019-12-30</stp>
        <stp>1</stp>
        <tr r="G1613" s="1"/>
      </tp>
      <tp>
        <v>-25.555555559999998</v>
        <stp/>
        <stp>EM_S_PQ_PCTCHANGE</stp>
        <stp>4</stp>
        <stp>002570</stp>
        <stp>2018-01-01</stp>
        <stp>2019-12-31</stp>
        <stp>3</stp>
        <tr r="F1926" s="1"/>
      </tp>
      <tp>
        <v>-38.084755090000002</v>
        <stp/>
        <stp>EM_S_PQ_PCTCHANGE</stp>
        <stp>4</stp>
        <stp>002761</stp>
        <stp>2018-12-31</stp>
        <stp>2019-12-30</stp>
        <stp>1</stp>
        <tr r="G3296" s="1"/>
      </tp>
      <tp>
        <v>72.513089010000002</v>
        <stp/>
        <stp>EM_S_PQ_PCTCHANGE</stp>
        <stp>4</stp>
        <stp>601700</stp>
        <stp>2018-12-31</stp>
        <stp>2019-12-30</stp>
        <stp>1</stp>
        <tr r="G297" s="1"/>
      </tp>
      <tp>
        <v>-49.444444439999998</v>
        <stp/>
        <stp>EM_S_PQ_PCTCHANGE</stp>
        <stp>4</stp>
        <stp>000571</stp>
        <stp>2018-01-01</stp>
        <stp>2019-12-31</stp>
        <stp>3</stp>
        <tr r="F3462" s="1"/>
      </tp>
      <tp>
        <v>39.113891610000003</v>
        <stp/>
        <stp>EM_S_PQ_PCTCHANGE</stp>
        <stp>4</stp>
        <stp>300541</stp>
        <stp>2018-01-01</stp>
        <stp>2019-12-31</stp>
        <stp>3</stp>
        <tr r="F463" s="1"/>
      </tp>
      <tp>
        <v>49.051490510000001</v>
        <stp/>
        <stp>EM_S_PQ_PCTCHANGE</stp>
        <stp>4</stp>
        <stp>300750</stp>
        <stp>2018-12-31</stp>
        <stp>2019-12-30</stp>
        <stp>1</stp>
        <tr r="G579" s="1"/>
      </tp>
      <tp>
        <v>1.5230931700000001</v>
        <stp/>
        <stp>EM_S_PQ_PCTCHANGE</stp>
        <stp>4</stp>
        <stp>600511</stp>
        <stp>2018-01-01</stp>
        <stp>2019-12-31</stp>
        <stp>3</stp>
        <tr r="F1450" s="1"/>
      </tp>
      <tp>
        <v>0</v>
        <stp/>
        <stp>EM_S_PQ_PCTCHANGE</stp>
        <stp>4</stp>
        <stp>600700</stp>
        <stp>2018-12-31</stp>
        <stp>2019-12-30</stp>
        <stp>1</stp>
        <tr r="G2317" s="1"/>
      </tp>
      <tp>
        <v>-36.125</v>
        <stp/>
        <stp>EM_S_PQ_PCTCHANGE</stp>
        <stp>4</stp>
        <stp>002571</stp>
        <stp>2018-01-01</stp>
        <stp>2019-12-31</stp>
        <stp>3</stp>
        <tr r="F2579" s="1"/>
      </tp>
      <tp>
        <v>21.554054050000001</v>
        <stp/>
        <stp>EM_S_PQ_PCTCHANGE</stp>
        <stp>4</stp>
        <stp>002760</stp>
        <stp>2018-12-31</stp>
        <stp>2019-12-30</stp>
        <stp>1</stp>
        <tr r="G1204" s="1"/>
      </tp>
      <tp>
        <v>-58.733624450000001</v>
        <stp/>
        <stp>EM_S_PQ_PCTCHANGE</stp>
        <stp>4</stp>
        <stp>000572</stp>
        <stp>2018-01-01</stp>
        <stp>2019-12-31</stp>
        <stp>3</stp>
        <tr r="F3463" s="1"/>
      </tp>
      <tp>
        <v>31.811038580000002</v>
        <stp/>
        <stp>EM_S_PQ_PCTCHANGE</stp>
        <stp>4</stp>
        <stp>300542</stp>
        <stp>2018-01-01</stp>
        <stp>2019-12-31</stp>
        <stp>3</stp>
        <tr r="F1783" s="1"/>
      </tp>
      <tp>
        <v>-35.3452603</v>
        <stp/>
        <stp>EM_S_PQ_PCTCHANGE</stp>
        <stp>4</stp>
        <stp>600512</stp>
        <stp>2018-01-01</stp>
        <stp>2019-12-31</stp>
        <stp>3</stp>
        <tr r="F947" s="1"/>
      </tp>
      <tp>
        <v>64.456233420000004</v>
        <stp/>
        <stp>EM_S_PQ_PCTCHANGE</stp>
        <stp>4</stp>
        <stp>600703</stp>
        <stp>2018-12-31</stp>
        <stp>2019-12-30</stp>
        <stp>1</stp>
        <tr r="G375" s="1"/>
      </tp>
      <tp>
        <v>67.070484579999999</v>
        <stp/>
        <stp>EM_S_PQ_PCTCHANGE</stp>
        <stp>4</stp>
        <stp>603703</stp>
        <stp>2018-12-31</stp>
        <stp>2019-12-30</stp>
        <stp>1</stp>
        <tr r="G347" s="1"/>
      </tp>
      <tp>
        <v>-41.18450756</v>
        <stp/>
        <stp>EM_S_PQ_PCTCHANGE</stp>
        <stp>4</stp>
        <stp>002572</stp>
        <stp>2018-01-01</stp>
        <stp>2019-12-31</stp>
        <stp>3</stp>
        <tr r="F1070" s="1"/>
      </tp>
      <tp>
        <v>2.7465667900000001</v>
        <stp/>
        <stp>EM_S_PQ_PCTCHANGE</stp>
        <stp>4</stp>
        <stp>002763</stp>
        <stp>2018-12-31</stp>
        <stp>2019-12-30</stp>
        <stp>1</stp>
        <tr r="G2122" s="1"/>
      </tp>
      <tp>
        <v>-33.336347789999998</v>
        <stp/>
        <stp>EM_S_PQ_PCTCHANGE</stp>
        <stp>4</stp>
        <stp>000573</stp>
        <stp>2018-01-01</stp>
        <stp>2019-12-31</stp>
        <stp>3</stp>
        <tr r="F2239" s="1"/>
      </tp>
      <tp>
        <v>-24.63050574</v>
        <stp/>
        <stp>EM_S_PQ_PCTCHANGE</stp>
        <stp>4</stp>
        <stp>300543</stp>
        <stp>2018-01-01</stp>
        <stp>2019-12-31</stp>
        <stp>3</stp>
        <tr r="F759" s="1"/>
      </tp>
      <tp>
        <v>-8.5001498200000007</v>
        <stp/>
        <stp>EM_S_PQ_PCTCHANGE</stp>
        <stp>4</stp>
        <stp>600513</stp>
        <stp>2018-01-01</stp>
        <stp>2019-12-31</stp>
        <stp>3</stp>
        <tr r="F1324" s="1"/>
      </tp>
      <tp>
        <v>32.077125330000001</v>
        <stp/>
        <stp>EM_S_PQ_PCTCHANGE</stp>
        <stp>4</stp>
        <stp>600702</stp>
        <stp>2018-12-31</stp>
        <stp>2019-12-30</stp>
        <stp>1</stp>
        <tr r="G882" s="1"/>
      </tp>
      <tp>
        <v>-71.016422410000004</v>
        <stp/>
        <stp>EM_S_PQ_PCTCHANGE</stp>
        <stp>4</stp>
        <stp>002573</stp>
        <stp>2018-01-01</stp>
        <stp>2019-12-31</stp>
        <stp>3</stp>
        <tr r="F2784" s="1"/>
      </tp>
      <tp>
        <v>2.8957529000000002</v>
        <stp/>
        <stp>EM_S_PQ_PCTCHANGE</stp>
        <stp>4</stp>
        <stp>002762</stp>
        <stp>2018-12-31</stp>
        <stp>2019-12-30</stp>
        <stp>1</stp>
        <tr r="G2112" s="1"/>
      </tp>
      <tp>
        <v>14.622641509999999</v>
        <stp/>
        <stp>EM_S_PQ_PCTCHANGE</stp>
        <stp>4</stp>
        <stp>600705</stp>
        <stp>2018-12-31</stp>
        <stp>2019-12-30</stp>
        <stp>1</stp>
        <tr r="G1501" s="1"/>
      </tp>
      <tp>
        <v>-30.39846236</v>
        <stp/>
        <stp>EM_S_PQ_PCTCHANGE</stp>
        <stp>4</stp>
        <stp>002574</stp>
        <stp>2018-01-01</stp>
        <stp>2019-12-31</stp>
        <stp>3</stp>
        <tr r="F2095" s="1"/>
      </tp>
      <tp>
        <v>-17.467948719999999</v>
        <stp/>
        <stp>EM_S_PQ_PCTCHANGE</stp>
        <stp>4</stp>
        <stp>002765</stp>
        <stp>2018-12-31</stp>
        <stp>2019-12-30</stp>
        <stp>1</stp>
        <tr r="G3005" s="1"/>
      </tp>
      <tp>
        <v>-11.21093115</v>
        <stp/>
        <stp>EM_S_PQ_PCTCHANGE</stp>
        <stp>4</stp>
        <stp>601515</stp>
        <stp>2018-01-01</stp>
        <stp>2019-12-31</stp>
        <stp>3</stp>
        <tr r="F2559" s="1"/>
      </tp>
      <tp>
        <v>-18.510696830000001</v>
        <stp/>
        <stp>EM_S_PQ_PCTCHANGE</stp>
        <stp>4</stp>
        <stp>300545</stp>
        <stp>2018-01-01</stp>
        <stp>2019-12-31</stp>
        <stp>3</stp>
        <tr r="F1071" s="1"/>
      </tp>
      <tp>
        <v>-62.299239219999997</v>
        <stp/>
        <stp>EM_S_PQ_PCTCHANGE</stp>
        <stp>4</stp>
        <stp>600515</stp>
        <stp>2018-01-01</stp>
        <stp>2019-12-31</stp>
        <stp>3</stp>
        <tr r="F2485" s="1"/>
      </tp>
      <tp>
        <v>14.19213974</v>
        <stp/>
        <stp>EM_S_PQ_PCTCHANGE</stp>
        <stp>4</stp>
        <stp>600704</stp>
        <stp>2018-12-31</stp>
        <stp>2019-12-30</stp>
        <stp>1</stp>
        <tr r="G1522" s="1"/>
      </tp>
      <tp>
        <v>-12.768192170000001</v>
        <stp/>
        <stp>EM_S_PQ_PCTCHANGE</stp>
        <stp>4</stp>
        <stp>603515</stp>
        <stp>2018-01-01</stp>
        <stp>2019-12-31</stp>
        <stp>3</stp>
        <tr r="F2247" s="1"/>
      </tp>
      <tp>
        <v>-22.747252750000001</v>
        <stp/>
        <stp>EM_S_PQ_PCTCHANGE</stp>
        <stp>4</stp>
        <stp>002575</stp>
        <stp>2018-01-01</stp>
        <stp>2019-12-31</stp>
        <stp>3</stp>
        <tr r="F2631" s="1"/>
      </tp>
      <tp>
        <v>-55.287896590000003</v>
        <stp/>
        <stp>EM_S_PQ_PCTCHANGE</stp>
        <stp>4</stp>
        <stp>000576</stp>
        <stp>2018-01-01</stp>
        <stp>2019-12-31</stp>
        <stp>3</stp>
        <tr r="F1024" s="1"/>
      </tp>
      <tp>
        <v>-2.4291497999999998</v>
        <stp/>
        <stp>EM_S_PQ_PCTCHANGE</stp>
        <stp>4</stp>
        <stp>000767</stp>
        <stp>2018-12-31</stp>
        <stp>2019-12-30</stp>
        <stp>1</stp>
        <tr r="G2442" s="1"/>
      </tp>
      <tp>
        <v>38.439784600000003</v>
        <stp/>
        <stp>EM_S_PQ_PCTCHANGE</stp>
        <stp>4</stp>
        <stp>300546</stp>
        <stp>2018-01-01</stp>
        <stp>2019-12-31</stp>
        <stp>3</stp>
        <tr r="F1654" s="1"/>
      </tp>
      <tp>
        <v>-33.098168379999997</v>
        <stp/>
        <stp>EM_S_PQ_PCTCHANGE</stp>
        <stp>4</stp>
        <stp>600516</stp>
        <stp>2018-01-01</stp>
        <stp>2019-12-31</stp>
        <stp>3</stp>
        <tr r="F3163" s="1"/>
      </tp>
      <tp>
        <v>4.1162227600000003</v>
        <stp/>
        <stp>EM_S_PQ_PCTCHANGE</stp>
        <stp>4</stp>
        <stp>600707</stp>
        <stp>2018-12-31</stp>
        <stp>2019-12-30</stp>
        <stp>1</stp>
        <tr r="G2050" s="1"/>
      </tp>
      <tp>
        <v>176.20124077</v>
        <stp/>
        <stp>EM_S_PQ_PCTCHANGE</stp>
        <stp>4</stp>
        <stp>603516</stp>
        <stp>2018-01-01</stp>
        <stp>2019-12-31</stp>
        <stp>3</stp>
        <tr r="F366" s="1"/>
      </tp>
      <tp>
        <v>115.823122</v>
        <stp/>
        <stp>EM_S_PQ_PCTCHANGE</stp>
        <stp>4</stp>
        <stp>603707</stp>
        <stp>2018-12-31</stp>
        <stp>2019-12-30</stp>
        <stp>1</stp>
        <tr r="G131" s="1"/>
      </tp>
      <tp>
        <v>-59.962152160000002</v>
        <stp/>
        <stp>EM_S_PQ_PCTCHANGE</stp>
        <stp>4</stp>
        <stp>002576</stp>
        <stp>2018-01-01</stp>
        <stp>2019-12-31</stp>
        <stp>3</stp>
        <tr r="F2458" s="1"/>
      </tp>
      <tp>
        <v>7.0212766000000002</v>
        <stp/>
        <stp>EM_S_PQ_PCTCHANGE</stp>
        <stp>4</stp>
        <stp>002767</stp>
        <stp>2018-12-31</stp>
        <stp>2019-12-30</stp>
        <stp>1</stp>
        <tr r="G1895" s="1"/>
      </tp>
      <tp>
        <v>-5.6851311999999998</v>
        <stp/>
        <stp>EM_S_PQ_PCTCHANGE</stp>
        <stp>4</stp>
        <stp>000766</stp>
        <stp>2018-12-31</stp>
        <stp>2019-12-30</stp>
        <stp>1</stp>
        <tr r="G2592" s="1"/>
      </tp>
      <tp>
        <v>-26.482441819999998</v>
        <stp/>
        <stp>EM_S_PQ_PCTCHANGE</stp>
        <stp>4</stp>
        <stp>300547</stp>
        <stp>2018-01-01</stp>
        <stp>2019-12-31</stp>
        <stp>3</stp>
        <tr r="F3328" s="1"/>
      </tp>
      <tp>
        <v>30.817821859999999</v>
        <stp/>
        <stp>EM_S_PQ_PCTCHANGE</stp>
        <stp>4</stp>
        <stp>600517</stp>
        <stp>2018-01-01</stp>
        <stp>2019-12-31</stp>
        <stp>3</stp>
        <tr r="F72" s="1"/>
      </tp>
      <tp>
        <v>-14.15929204</v>
        <stp/>
        <stp>EM_S_PQ_PCTCHANGE</stp>
        <stp>4</stp>
        <stp>600706</stp>
        <stp>2018-12-31</stp>
        <stp>2019-12-30</stp>
        <stp>1</stp>
        <tr r="G2912" s="1"/>
      </tp>
      <tp>
        <v>68.807122539999995</v>
        <stp/>
        <stp>EM_S_PQ_PCTCHANGE</stp>
        <stp>4</stp>
        <stp>603517</stp>
        <stp>2018-01-01</stp>
        <stp>2019-12-31</stp>
        <stp>3</stp>
        <tr r="F793" s="1"/>
      </tp>
      <tp>
        <v>-26.520771509999999</v>
        <stp/>
        <stp>EM_S_PQ_PCTCHANGE</stp>
        <stp>4</stp>
        <stp>603706</stp>
        <stp>2018-12-31</stp>
        <stp>2019-12-30</stp>
        <stp>1</stp>
        <tr r="G3177" s="1"/>
      </tp>
      <tp>
        <v>-23.420738969999999</v>
        <stp/>
        <stp>EM_S_PQ_PCTCHANGE</stp>
        <stp>4</stp>
        <stp>002577</stp>
        <stp>2018-01-01</stp>
        <stp>2019-12-31</stp>
        <stp>3</stp>
        <tr r="F919" s="1"/>
      </tp>
      <tp>
        <v>-39.377289380000001</v>
        <stp/>
        <stp>EM_S_PQ_PCTCHANGE</stp>
        <stp>4</stp>
        <stp>002766</stp>
        <stp>2018-12-31</stp>
        <stp>2019-12-30</stp>
        <stp>1</stp>
        <tr r="G3305" s="1"/>
      </tp>
      <tp>
        <v>117.06764819</v>
        <stp/>
        <stp>EM_S_PQ_PCTCHANGE</stp>
        <stp>4</stp>
        <stp>000568</stp>
        <stp>2019-01-01</stp>
        <stp>2019-12-31</stp>
        <stp>3</stp>
        <tr r="G129" s="1"/>
      </tp>
      <tp>
        <v>36.54854417</v>
        <stp/>
        <stp>EM_S_PQ_PCTCHANGE</stp>
        <stp>4</stp>
        <stp>000568</stp>
        <stp>2018-01-01</stp>
        <stp>2019-12-31</stp>
        <stp>3</stp>
        <tr r="F129" s="1"/>
      </tp>
      <tp>
        <v>17.99307958</v>
        <stp/>
        <stp>EM_S_PQ_PCTCHANGE</stp>
        <stp>4</stp>
        <stp>000779</stp>
        <stp>2018-12-31</stp>
        <stp>2019-12-30</stp>
        <stp>1</stp>
        <tr r="G1367" s="1"/>
      </tp>
      <tp>
        <v>4.3272177799999998</v>
        <stp/>
        <stp>EM_S_PQ_PCTCHANGE</stp>
        <stp>4</stp>
        <stp>300558</stp>
        <stp>2018-01-01</stp>
        <stp>2019-12-31</stp>
        <stp>3</stp>
        <tr r="F157" s="1"/>
      </tp>
      <tp>
        <v>-18.800173910000002</v>
        <stp/>
        <stp>EM_S_PQ_PCTCHANGE</stp>
        <stp>4</stp>
        <stp>600508</stp>
        <stp>2018-01-01</stp>
        <stp>2019-12-31</stp>
        <stp>3</stp>
        <tr r="F2440" s="1"/>
      </tp>
      <tp>
        <v>25.984251969999999</v>
        <stp/>
        <stp>EM_S_PQ_PCTCHANGE</stp>
        <stp>4</stp>
        <stp>600719</stp>
        <stp>2018-12-31</stp>
        <stp>2019-12-30</stp>
        <stp>1</stp>
        <tr r="G1059" s="1"/>
      </tp>
      <tp>
        <v>193.03706360000001</v>
        <stp/>
        <stp>EM_S_PQ_PCTCHANGE</stp>
        <stp>4</stp>
        <stp>002568</stp>
        <stp>2019-01-01</stp>
        <stp>2019-12-31</stp>
        <stp>3</stp>
        <tr r="G47" s="1"/>
      </tp>
      <tp>
        <v>55.355966080000002</v>
        <stp/>
        <stp>EM_S_PQ_PCTCHANGE</stp>
        <stp>4</stp>
        <stp>603508</stp>
        <stp>2018-01-01</stp>
        <stp>2019-12-31</stp>
        <stp>3</stp>
        <tr r="F586" s="1"/>
      </tp>
      <tp>
        <v>104.09920214</v>
        <stp/>
        <stp>EM_S_PQ_PCTCHANGE</stp>
        <stp>4</stp>
        <stp>002568</stp>
        <stp>2018-01-01</stp>
        <stp>2019-12-31</stp>
        <stp>3</stp>
        <tr r="F47" s="1"/>
      </tp>
      <tp>
        <v>1.84842884</v>
        <stp/>
        <stp>EM_S_PQ_PCTCHANGE</stp>
        <stp>4</stp>
        <stp>002779</stp>
        <stp>2018-12-31</stp>
        <stp>2019-12-30</stp>
        <stp>1</stp>
        <tr r="G2173" s="1"/>
      </tp>
      <tp>
        <v>-4.1791044800000003</v>
        <stp/>
        <stp>EM_S_PQ_PCTCHANGE</stp>
        <stp>4</stp>
        <stp>601718</stp>
        <stp>2018-12-31</stp>
        <stp>2019-12-30</stp>
        <stp>1</stp>
        <tr r="G2524" s="1"/>
      </tp>
      <tp>
        <v>0</v>
        <stp/>
        <stp>EM_S_PQ_PCTCHANGE</stp>
        <stp>4</stp>
        <stp>000569</stp>
        <stp>2018-01-01</stp>
        <stp>2019-12-31</stp>
        <stp>3</stp>
        <tr r="F3460" s="1"/>
      </tp>
      <tp>
        <v>166.28706188999999</v>
        <stp/>
        <stp>EM_S_PQ_PCTCHANGE</stp>
        <stp>4</stp>
        <stp>300559</stp>
        <stp>2018-01-01</stp>
        <stp>2019-12-31</stp>
        <stp>3</stp>
        <tr r="F2942" s="1"/>
      </tp>
      <tp>
        <v>-46.377004020000001</v>
        <stp/>
        <stp>EM_S_PQ_PCTCHANGE</stp>
        <stp>4</stp>
        <stp>600509</stp>
        <stp>2018-01-01</stp>
        <stp>2019-12-31</stp>
        <stp>3</stp>
        <tr r="F2207" s="1"/>
      </tp>
      <tp>
        <v>-3.2034631999999998</v>
        <stp/>
        <stp>EM_S_PQ_PCTCHANGE</stp>
        <stp>4</stp>
        <stp>600718</stp>
        <stp>2018-12-31</stp>
        <stp>2019-12-30</stp>
        <stp>1</stp>
        <tr r="G2488" s="1"/>
      </tp>
      <tp>
        <v>-0.47393364999999998</v>
        <stp/>
        <stp>EM_S_PQ_PCTCHANGE</stp>
        <stp>4</stp>
        <stp>603718</stp>
        <stp>2018-12-31</stp>
        <stp>2019-12-30</stp>
        <stp>1</stp>
        <tr r="G2359" s="1"/>
      </tp>
      <tp>
        <v>-73.035566579999994</v>
        <stp/>
        <stp>EM_S_PQ_PCTCHANGE</stp>
        <stp>4</stp>
        <stp>002569</stp>
        <stp>2018-01-01</stp>
        <stp>2019-12-31</stp>
        <stp>3</stp>
        <tr r="F2052" s="1"/>
      </tp>
      <tp>
        <v>18.78579611</v>
        <stp/>
        <stp>EM_S_PQ_PCTCHANGE</stp>
        <stp>4</stp>
        <stp>002778</stp>
        <stp>2018-12-31</stp>
        <stp>2019-12-30</stp>
        <stp>1</stp>
        <tr r="G1331" s="1"/>
      </tp>
      <tp>
        <v>-33.560378579999998</v>
        <stp/>
        <stp>EM_S_PQ_PCTCHANGE</stp>
        <stp>4</stp>
        <stp>601500</stp>
        <stp>2018-01-01</stp>
        <stp>2019-12-31</stp>
        <stp>3</stp>
        <tr r="F2436" s="1"/>
      </tp>
      <tp>
        <v>-40.264458840000003</v>
        <stp/>
        <stp>EM_S_PQ_PCTCHANGE</stp>
        <stp>4</stp>
        <stp>000560</stp>
        <stp>2018-01-01</stp>
        <stp>2019-12-31</stp>
        <stp>3</stp>
        <tr r="F2688" s="1"/>
      </tp>
      <tp>
        <v>25.2396232</v>
        <stp/>
        <stp>EM_S_PQ_PCTCHANGE</stp>
        <stp>4</stp>
        <stp>300550</stp>
        <stp>2018-01-01</stp>
        <stp>2019-12-31</stp>
        <stp>3</stp>
        <tr r="F3349" s="1"/>
      </tp>
      <tp>
        <v>-0.51496620999999998</v>
        <stp/>
        <stp>EM_S_PQ_PCTCHANGE</stp>
        <stp>4</stp>
        <stp>300741</stp>
        <stp>2018-12-31</stp>
        <stp>2019-12-30</stp>
        <stp>1</stp>
        <tr r="G2360" s="1"/>
      </tp>
      <tp>
        <v>-15.598059190000001</v>
        <stp/>
        <stp>EM_S_PQ_PCTCHANGE</stp>
        <stp>4</stp>
        <stp>600500</stp>
        <stp>2018-01-01</stp>
        <stp>2019-12-31</stp>
        <stp>3</stp>
        <tr r="F3109" s="1"/>
      </tp>
      <tp>
        <v>15.53610503</v>
        <stp/>
        <stp>EM_S_PQ_PCTCHANGE</stp>
        <stp>4</stp>
        <stp>600711</stp>
        <stp>2018-12-31</stp>
        <stp>2019-12-30</stp>
        <stp>1</stp>
        <tr r="G1456" s="1"/>
      </tp>
      <tp>
        <v>-30.908042869999999</v>
        <stp/>
        <stp>EM_S_PQ_PCTCHANGE</stp>
        <stp>4</stp>
        <stp>603500</stp>
        <stp>2018-01-01</stp>
        <stp>2019-12-31</stp>
        <stp>3</stp>
        <tr r="F1345" s="1"/>
      </tp>
      <tp>
        <v>19.482352939999998</v>
        <stp/>
        <stp>EM_S_PQ_PCTCHANGE</stp>
        <stp>4</stp>
        <stp>603711</stp>
        <stp>2018-12-31</stp>
        <stp>2019-12-30</stp>
        <stp>1</stp>
        <tr r="G1298" s="1"/>
      </tp>
      <tp>
        <v>-20.464431059999999</v>
        <stp/>
        <stp>EM_S_PQ_PCTCHANGE</stp>
        <stp>4</stp>
        <stp>002560</stp>
        <stp>2018-01-01</stp>
        <stp>2019-12-31</stp>
        <stp>3</stp>
        <tr r="F1921" s="1"/>
      </tp>
      <tp>
        <v>1.8115942</v>
        <stp/>
        <stp>EM_S_PQ_PCTCHANGE</stp>
        <stp>4</stp>
        <stp>002771</stp>
        <stp>2018-12-31</stp>
        <stp>2019-12-30</stp>
        <stp>1</stp>
        <tr r="G2174" s="1"/>
      </tp>
      <tp>
        <v>-14.51990632</v>
        <stp/>
        <stp>EM_S_PQ_PCTCHANGE</stp>
        <stp>4</stp>
        <stp>000561</stp>
        <stp>2018-01-01</stp>
        <stp>2019-12-31</stp>
        <stp>3</stp>
        <tr r="F926" s="1"/>
      </tp>
      <tp>
        <v>58.668518570000003</v>
        <stp/>
        <stp>EM_S_PQ_PCTCHANGE</stp>
        <stp>4</stp>
        <stp>300551</stp>
        <stp>2018-01-01</stp>
        <stp>2019-12-31</stp>
        <stp>3</stp>
        <tr r="F113" s="1"/>
      </tp>
      <tp>
        <v>-47.237569059999998</v>
        <stp/>
        <stp>EM_S_PQ_PCTCHANGE</stp>
        <stp>4</stp>
        <stp>300740</stp>
        <stp>2018-12-31</stp>
        <stp>2019-12-30</stp>
        <stp>1</stp>
        <tr r="G3353" s="1"/>
      </tp>
      <tp>
        <v>-36.036036039999999</v>
        <stp/>
        <stp>EM_S_PQ_PCTCHANGE</stp>
        <stp>4</stp>
        <stp>600501</stp>
        <stp>2018-01-01</stp>
        <stp>2019-12-31</stp>
        <stp>3</stp>
        <tr r="F972" s="1"/>
      </tp>
      <tp>
        <v>48.780487800000003</v>
        <stp/>
        <stp>EM_S_PQ_PCTCHANGE</stp>
        <stp>4</stp>
        <stp>600710</stp>
        <stp>2018-12-31</stp>
        <stp>2019-12-30</stp>
        <stp>1</stp>
        <tr r="G584" s="1"/>
      </tp>
      <tp>
        <v>244.82930225000001</v>
        <stp/>
        <stp>EM_S_PQ_PCTCHANGE</stp>
        <stp>4</stp>
        <stp>603501</stp>
        <stp>2018-01-01</stp>
        <stp>2019-12-31</stp>
        <stp>3</stp>
        <tr r="F18" s="1"/>
      </tp>
      <tp>
        <v>-24.92445292</v>
        <stp/>
        <stp>EM_S_PQ_PCTCHANGE</stp>
        <stp>4</stp>
        <stp>002561</stp>
        <stp>2018-01-01</stp>
        <stp>2019-12-31</stp>
        <stp>3</stp>
        <tr r="F1959" s="1"/>
      </tp>
      <tp>
        <v>-13.620071680000001</v>
        <stp/>
        <stp>EM_S_PQ_PCTCHANGE</stp>
        <stp>4</stp>
        <stp>002770</stp>
        <stp>2018-12-31</stp>
        <stp>2019-12-30</stp>
        <stp>1</stp>
        <tr r="G2889" s="1"/>
      </tp>
      <tp>
        <v>0</v>
        <stp/>
        <stp>EM_S_PQ_PCTCHANGE</stp>
        <stp>4</stp>
        <stp>000562</stp>
        <stp>2018-01-01</stp>
        <stp>2019-12-31</stp>
        <stp>3</stp>
        <tr r="F3455" s="1"/>
      </tp>
      <tp>
        <v>228.53976814999999</v>
        <stp/>
        <stp>EM_S_PQ_PCTCHANGE</stp>
        <stp>4</stp>
        <stp>300552</stp>
        <stp>2018-01-01</stp>
        <stp>2019-12-31</stp>
        <stp>3</stp>
        <tr r="F15" s="1"/>
      </tp>
      <tp>
        <v>-50.389294399999997</v>
        <stp/>
        <stp>EM_S_PQ_PCTCHANGE</stp>
        <stp>4</stp>
        <stp>300743</stp>
        <stp>2018-12-31</stp>
        <stp>2019-12-30</stp>
        <stp>1</stp>
        <tr r="G3368" s="1"/>
      </tp>
      <tp>
        <v>-26.13643034</v>
        <stp/>
        <stp>EM_S_PQ_PCTCHANGE</stp>
        <stp>4</stp>
        <stp>600502</stp>
        <stp>2018-01-01</stp>
        <stp>2019-12-31</stp>
        <stp>3</stp>
        <tr r="F1556" s="1"/>
      </tp>
      <tp>
        <v>9.1549295799999992</v>
        <stp/>
        <stp>EM_S_PQ_PCTCHANGE</stp>
        <stp>4</stp>
        <stp>600713</stp>
        <stp>2018-12-31</stp>
        <stp>2019-12-30</stp>
        <stp>1</stp>
        <tr r="G1785" s="1"/>
      </tp>
      <tp>
        <v>-50.360080750000002</v>
        <stp/>
        <stp>EM_S_PQ_PCTCHANGE</stp>
        <stp>4</stp>
        <stp>002562</stp>
        <stp>2018-01-01</stp>
        <stp>2019-12-31</stp>
        <stp>3</stp>
        <tr r="F1598" s="1"/>
      </tp>
      <tp>
        <v>5.6061050799999999</v>
        <stp/>
        <stp>EM_S_PQ_PCTCHANGE</stp>
        <stp>4</stp>
        <stp>002773</stp>
        <stp>2018-12-31</stp>
        <stp>2019-12-30</stp>
        <stp>1</stp>
        <tr r="G1974" s="1"/>
      </tp>
      <tp>
        <v>8.8005681300000003</v>
        <stp/>
        <stp>EM_S_PQ_PCTCHANGE</stp>
        <stp>4</stp>
        <stp>000563</stp>
        <stp>2018-01-01</stp>
        <stp>2019-12-31</stp>
        <stp>3</stp>
        <tr r="F3456" s="1"/>
      </tp>
      <tp>
        <v>-9.4017342199999998</v>
        <stp/>
        <stp>EM_S_PQ_PCTCHANGE</stp>
        <stp>4</stp>
        <stp>300553</stp>
        <stp>2018-01-01</stp>
        <stp>2019-12-31</stp>
        <stp>3</stp>
        <tr r="F1587" s="1"/>
      </tp>
      <tp>
        <v>-42.92260692</v>
        <stp/>
        <stp>EM_S_PQ_PCTCHANGE</stp>
        <stp>4</stp>
        <stp>300742</stp>
        <stp>2018-12-31</stp>
        <stp>2019-12-30</stp>
        <stp>1</stp>
        <tr r="G3334" s="1"/>
      </tp>
      <tp>
        <v>-51.45038168</v>
        <stp/>
        <stp>EM_S_PQ_PCTCHANGE</stp>
        <stp>4</stp>
        <stp>600503</stp>
        <stp>2018-01-01</stp>
        <stp>2019-12-31</stp>
        <stp>3</stp>
        <tr r="F2014" s="1"/>
      </tp>
      <tp>
        <v>172.40437158</v>
        <stp/>
        <stp>EM_S_PQ_PCTCHANGE</stp>
        <stp>4</stp>
        <stp>600712</stp>
        <stp>2018-12-31</stp>
        <stp>2019-12-30</stp>
        <stp>1</stp>
        <tr r="G59" s="1"/>
      </tp>
      <tp>
        <v>35.03649635</v>
        <stp/>
        <stp>EM_S_PQ_PCTCHANGE</stp>
        <stp>4</stp>
        <stp>603712</stp>
        <stp>2018-12-31</stp>
        <stp>2019-12-30</stp>
        <stp>1</stp>
        <tr r="G824" s="1"/>
      </tp>
      <tp>
        <v>32.197177430000004</v>
        <stp/>
        <stp>EM_S_PQ_PCTCHANGE</stp>
        <stp>4</stp>
        <stp>002563</stp>
        <stp>2018-01-01</stp>
        <stp>2019-12-31</stp>
        <stp>3</stp>
        <tr r="F1758" s="1"/>
      </tp>
      <tp>
        <v>6.8006182400000004</v>
        <stp/>
        <stp>EM_S_PQ_PCTCHANGE</stp>
        <stp>4</stp>
        <stp>002772</stp>
        <stp>2018-12-31</stp>
        <stp>2019-12-30</stp>
        <stp>1</stp>
        <tr r="G1906" s="1"/>
      </tp>
      <tp>
        <v>-49.895178209999997</v>
        <stp/>
        <stp>EM_S_PQ_PCTCHANGE</stp>
        <stp>4</stp>
        <stp>000564</stp>
        <stp>2018-01-01</stp>
        <stp>2019-12-31</stp>
        <stp>3</stp>
        <tr r="F3457" s="1"/>
      </tp>
      <tp>
        <v>-49.618687909999998</v>
        <stp/>
        <stp>EM_S_PQ_PCTCHANGE</stp>
        <stp>4</stp>
        <stp>300554</stp>
        <stp>2018-01-01</stp>
        <stp>2019-12-31</stp>
        <stp>3</stp>
        <tr r="F2839" s="1"/>
      </tp>
      <tp>
        <v>-36.26070146</v>
        <stp/>
        <stp>EM_S_PQ_PCTCHANGE</stp>
        <stp>4</stp>
        <stp>300745</stp>
        <stp>2018-12-31</stp>
        <stp>2019-12-30</stp>
        <stp>1</stp>
        <tr r="G3282" s="1"/>
      </tp>
      <tp>
        <v>-23.11111111</v>
        <stp/>
        <stp>EM_S_PQ_PCTCHANGE</stp>
        <stp>4</stp>
        <stp>600715</stp>
        <stp>2018-12-31</stp>
        <stp>2019-12-30</stp>
        <stp>1</stp>
        <tr r="G3118" s="1"/>
      </tp>
      <tp>
        <v>-44.268292680000002</v>
        <stp/>
        <stp>EM_S_PQ_PCTCHANGE</stp>
        <stp>4</stp>
        <stp>002564</stp>
        <stp>2018-01-01</stp>
        <stp>2019-12-31</stp>
        <stp>3</stp>
        <tr r="F2712" s="1"/>
      </tp>
      <tp>
        <v>-4</v>
        <stp/>
        <stp>EM_S_PQ_PCTCHANGE</stp>
        <stp>4</stp>
        <stp>002775</stp>
        <stp>2018-12-31</stp>
        <stp>2019-12-30</stp>
        <stp>1</stp>
        <tr r="G2512" s="1"/>
      </tp>
      <tp>
        <v>-24.175143219999999</v>
        <stp/>
        <stp>EM_S_PQ_PCTCHANGE</stp>
        <stp>4</stp>
        <stp>000565</stp>
        <stp>2018-01-01</stp>
        <stp>2019-12-31</stp>
        <stp>3</stp>
        <tr r="F3458" s="1"/>
      </tp>
      <tp>
        <v>-23.81525791</v>
        <stp/>
        <stp>EM_S_PQ_PCTCHANGE</stp>
        <stp>4</stp>
        <stp>300555</stp>
        <stp>2018-01-01</stp>
        <stp>2019-12-31</stp>
        <stp>3</stp>
        <tr r="F1438" s="1"/>
      </tp>
      <tp>
        <v>33.728576889999999</v>
        <stp/>
        <stp>EM_S_PQ_PCTCHANGE</stp>
        <stp>4</stp>
        <stp>600505</stp>
        <stp>2018-01-01</stp>
        <stp>2019-12-31</stp>
        <stp>3</stp>
        <tr r="F146" s="1"/>
      </tp>
      <tp>
        <v>1.0416666699999999</v>
        <stp/>
        <stp>EM_S_PQ_PCTCHANGE</stp>
        <stp>4</stp>
        <stp>600714</stp>
        <stp>2018-12-31</stp>
        <stp>2019-12-30</stp>
        <stp>1</stp>
        <tr r="G2212" s="1"/>
      </tp>
      <tp>
        <v>1.6653040400000001</v>
        <stp/>
        <stp>EM_S_PQ_PCTCHANGE</stp>
        <stp>4</stp>
        <stp>603505</stp>
        <stp>2018-01-01</stp>
        <stp>2019-12-31</stp>
        <stp>3</stp>
        <tr r="F335" s="1"/>
      </tp>
      <tp>
        <v>52.465295830000002</v>
        <stp/>
        <stp>EM_S_PQ_PCTCHANGE</stp>
        <stp>4</stp>
        <stp>002565</stp>
        <stp>2018-01-01</stp>
        <stp>2019-12-31</stp>
        <stp>3</stp>
        <tr r="F336" s="1"/>
      </tp>
      <tp>
        <v>-6.2962962999999998</v>
        <stp/>
        <stp>EM_S_PQ_PCTCHANGE</stp>
        <stp>4</stp>
        <stp>002774</stp>
        <stp>2018-12-31</stp>
        <stp>2019-12-30</stp>
        <stp>1</stp>
        <tr r="G2622" s="1"/>
      </tp>
      <tp>
        <v>16.81735986</v>
        <stp/>
        <stp>EM_S_PQ_PCTCHANGE</stp>
        <stp>4</stp>
        <stp>601717</stp>
        <stp>2018-12-31</stp>
        <stp>2019-12-30</stp>
        <stp>1</stp>
        <tr r="G1407" s="1"/>
      </tp>
      <tp>
        <v>-52.929194039999999</v>
        <stp/>
        <stp>EM_S_PQ_PCTCHANGE</stp>
        <stp>4</stp>
        <stp>000566</stp>
        <stp>2018-01-01</stp>
        <stp>2019-12-31</stp>
        <stp>3</stp>
        <tr r="F1499" s="1"/>
      </tp>
      <tp>
        <v>20.438683950000001</v>
        <stp/>
        <stp>EM_S_PQ_PCTCHANGE</stp>
        <stp>4</stp>
        <stp>000777</stp>
        <stp>2018-12-31</stp>
        <stp>2019-12-30</stp>
        <stp>1</stp>
        <tr r="G1259" s="1"/>
      </tp>
      <tp>
        <v>-21.865753649999998</v>
        <stp/>
        <stp>EM_S_PQ_PCTCHANGE</stp>
        <stp>4</stp>
        <stp>300556</stp>
        <stp>2018-01-01</stp>
        <stp>2019-12-31</stp>
        <stp>3</stp>
        <tr r="F2073" s="1"/>
      </tp>
      <tp>
        <v>-15.98837209</v>
        <stp/>
        <stp>EM_S_PQ_PCTCHANGE</stp>
        <stp>4</stp>
        <stp>300747</stp>
        <stp>2018-12-31</stp>
        <stp>2019-12-30</stp>
        <stp>1</stp>
        <tr r="G2959" s="1"/>
      </tp>
      <tp>
        <v>-25.384052669999999</v>
        <stp/>
        <stp>EM_S_PQ_PCTCHANGE</stp>
        <stp>4</stp>
        <stp>600506</stp>
        <stp>2018-01-01</stp>
        <stp>2019-12-31</stp>
        <stp>3</stp>
        <tr r="F2132" s="1"/>
      </tp>
      <tp>
        <v>-11.17397454</v>
        <stp/>
        <stp>EM_S_PQ_PCTCHANGE</stp>
        <stp>4</stp>
        <stp>600717</stp>
        <stp>2018-12-31</stp>
        <stp>2019-12-30</stp>
        <stp>1</stp>
        <tr r="G2806" s="1"/>
      </tp>
      <tp>
        <v>125.51306978</v>
        <stp/>
        <stp>EM_S_PQ_PCTCHANGE</stp>
        <stp>4</stp>
        <stp>603506</stp>
        <stp>2018-01-01</stp>
        <stp>2019-12-31</stp>
        <stp>3</stp>
        <tr r="F2595" s="1"/>
      </tp>
      <tp>
        <v>-6.0279870799999999</v>
        <stp/>
        <stp>EM_S_PQ_PCTCHANGE</stp>
        <stp>4</stp>
        <stp>603717</stp>
        <stp>2018-12-31</stp>
        <stp>2019-12-30</stp>
        <stp>1</stp>
        <tr r="G2608" s="1"/>
      </tp>
      <tp>
        <v>-23.130395</v>
        <stp/>
        <stp>EM_S_PQ_PCTCHANGE</stp>
        <stp>4</stp>
        <stp>002566</stp>
        <stp>2018-01-01</stp>
        <stp>2019-12-31</stp>
        <stp>3</stp>
        <tr r="F1514" s="1"/>
      </tp>
      <tp>
        <v>45.038167940000001</v>
        <stp/>
        <stp>EM_S_PQ_PCTCHANGE</stp>
        <stp>4</stp>
        <stp>002777</stp>
        <stp>2018-12-31</stp>
        <stp>2019-12-30</stp>
        <stp>1</stp>
        <tr r="G647" s="1"/>
      </tp>
      <tp>
        <v>-45.334878799999998</v>
        <stp/>
        <stp>EM_S_PQ_PCTCHANGE</stp>
        <stp>4</stp>
        <stp>000567</stp>
        <stp>2018-01-01</stp>
        <stp>2019-12-31</stp>
        <stp>3</stp>
        <tr r="F3459" s="1"/>
      </tp>
      <tp>
        <v>-25.975038699999999</v>
        <stp/>
        <stp>EM_S_PQ_PCTCHANGE</stp>
        <stp>4</stp>
        <stp>300557</stp>
        <stp>2018-01-01</stp>
        <stp>2019-12-31</stp>
        <stp>3</stp>
        <tr r="F1012" s="1"/>
      </tp>
      <tp>
        <v>-26.198257080000001</v>
        <stp/>
        <stp>EM_S_PQ_PCTCHANGE</stp>
        <stp>4</stp>
        <stp>300746</stp>
        <stp>2018-12-31</stp>
        <stp>2019-12-30</stp>
        <stp>1</stp>
        <tr r="G3170" s="1"/>
      </tp>
      <tp>
        <v>8.9477260000000003E-2</v>
        <stp/>
        <stp>EM_S_PQ_PCTCHANGE</stp>
        <stp>4</stp>
        <stp>600507</stp>
        <stp>2018-01-01</stp>
        <stp>2019-12-31</stp>
        <stp>3</stp>
        <tr r="F2209" s="1"/>
      </tp>
      <tp>
        <v>29.0625</v>
        <stp/>
        <stp>EM_S_PQ_PCTCHANGE</stp>
        <stp>4</stp>
        <stp>600716</stp>
        <stp>2018-12-31</stp>
        <stp>2019-12-30</stp>
        <stp>1</stp>
        <tr r="G954" s="1"/>
      </tp>
      <tp>
        <v>-43.139553820000003</v>
        <stp/>
        <stp>EM_S_PQ_PCTCHANGE</stp>
        <stp>4</stp>
        <stp>603507</stp>
        <stp>2018-01-01</stp>
        <stp>2019-12-31</stp>
        <stp>3</stp>
        <tr r="F2178" s="1"/>
      </tp>
      <tp>
        <v>-12.24382554</v>
        <stp/>
        <stp>EM_S_PQ_PCTCHANGE</stp>
        <stp>4</stp>
        <stp>603716</stp>
        <stp>2018-12-31</stp>
        <stp>2019-12-30</stp>
        <stp>1</stp>
        <tr r="G2838" s="1"/>
      </tp>
      <tp>
        <v>20.219117579999999</v>
        <stp/>
        <stp>EM_S_PQ_PCTCHANGE</stp>
        <stp>4</stp>
        <stp>002567</stp>
        <stp>2018-01-01</stp>
        <stp>2019-12-31</stp>
        <stp>3</stp>
        <tr r="F485" s="1"/>
      </tp>
      <tp>
        <v>-52.829028289999997</v>
        <stp/>
        <stp>EM_S_PQ_PCTCHANGE</stp>
        <stp>4</stp>
        <stp>002776</stp>
        <stp>2018-12-31</stp>
        <stp>2019-12-30</stp>
        <stp>1</stp>
        <tr r="G3377" s="1"/>
      </tp>
      <tp>
        <v>-46.92982456</v>
        <stp/>
        <stp>EM_S_PQ_PCTCHANGE</stp>
        <stp>4</stp>
        <stp>000518</stp>
        <stp>2018-01-01</stp>
        <stp>2019-12-31</stp>
        <stp>3</stp>
        <tr r="F3441" s="1"/>
      </tp>
      <tp>
        <v>-9.5070422499999996</v>
        <stp/>
        <stp>EM_S_PQ_PCTCHANGE</stp>
        <stp>4</stp>
        <stp>000709</stp>
        <stp>2018-12-31</stp>
        <stp>2019-12-30</stp>
        <stp>1</stp>
        <tr r="G2736" s="1"/>
      </tp>
      <tp>
        <v>-48.598475370000003</v>
        <stp/>
        <stp>EM_S_PQ_PCTCHANGE</stp>
        <stp>4</stp>
        <stp>300528</stp>
        <stp>2018-01-01</stp>
        <stp>2019-12-31</stp>
        <stp>3</stp>
        <tr r="F3044" s="1"/>
      </tp>
      <tp>
        <v>-9.9052132700000008</v>
        <stp/>
        <stp>EM_S_PQ_PCTCHANGE</stp>
        <stp>4</stp>
        <stp>300739</stp>
        <stp>2018-12-31</stp>
        <stp>2019-12-30</stp>
        <stp>1</stp>
        <tr r="G2754" s="1"/>
      </tp>
      <tp>
        <v>-11.87661209</v>
        <stp/>
        <stp>EM_S_PQ_PCTCHANGE</stp>
        <stp>4</stp>
        <stp>600578</stp>
        <stp>2018-01-01</stp>
        <stp>2019-12-31</stp>
        <stp>3</stp>
        <tr r="F1962" s="1"/>
      </tp>
      <tp>
        <v>42.30769231</v>
        <stp/>
        <stp>EM_S_PQ_PCTCHANGE</stp>
        <stp>4</stp>
        <stp>600769</stp>
        <stp>2018-12-31</stp>
        <stp>2019-12-30</stp>
        <stp>1</stp>
        <tr r="G695" s="1"/>
      </tp>
      <tp>
        <v>-37.103909250000001</v>
        <stp/>
        <stp>EM_S_PQ_PCTCHANGE</stp>
        <stp>4</stp>
        <stp>603578</stp>
        <stp>2018-01-01</stp>
        <stp>2019-12-31</stp>
        <stp>3</stp>
        <tr r="F1869" s="1"/>
      </tp>
      <tp>
        <v>-32.55733085</v>
        <stp/>
        <stp>EM_S_PQ_PCTCHANGE</stp>
        <stp>4</stp>
        <stp>002518</stp>
        <stp>2018-01-01</stp>
        <stp>2019-12-31</stp>
        <stp>3</stp>
        <tr r="F588" s="1"/>
      </tp>
      <tp>
        <v>-4.3397968599999999</v>
        <stp/>
        <stp>EM_S_PQ_PCTCHANGE</stp>
        <stp>4</stp>
        <stp>002709</stp>
        <stp>2018-12-31</stp>
        <stp>2019-12-30</stp>
        <stp>1</stp>
        <tr r="G2533" s="1"/>
      </tp>
      <tp>
        <v>-25.86315025</v>
        <stp/>
        <stp>EM_S_PQ_PCTCHANGE</stp>
        <stp>4</stp>
        <stp>601579</stp>
        <stp>2018-01-01</stp>
        <stp>2019-12-31</stp>
        <stp>3</stp>
        <tr r="F2532" s="1"/>
      </tp>
      <tp>
        <v>-22.22479306</v>
        <stp/>
        <stp>EM_S_PQ_PCTCHANGE</stp>
        <stp>4</stp>
        <stp>000519</stp>
        <stp>2018-01-01</stp>
        <stp>2019-12-31</stp>
        <stp>3</stp>
        <tr r="F1223" s="1"/>
      </tp>
      <tp>
        <v>161.68757127000001</v>
        <stp/>
        <stp>EM_S_PQ_PCTCHANGE</stp>
        <stp>4</stp>
        <stp>000708</stp>
        <stp>2018-12-31</stp>
        <stp>2019-12-30</stp>
        <stp>1</stp>
        <tr r="G73" s="1"/>
      </tp>
      <tp>
        <v>129.30648776000001</v>
        <stp/>
        <stp>EM_S_PQ_PCTCHANGE</stp>
        <stp>4</stp>
        <stp>300529</stp>
        <stp>2018-01-01</stp>
        <stp>2019-12-31</stp>
        <stp>3</stp>
        <tr r="F323" s="1"/>
      </tp>
      <tp>
        <v>-13.834771890000001</v>
        <stp/>
        <stp>EM_S_PQ_PCTCHANGE</stp>
        <stp>4</stp>
        <stp>300738</stp>
        <stp>2018-12-31</stp>
        <stp>2019-12-30</stp>
        <stp>1</stp>
        <tr r="G2898" s="1"/>
      </tp>
      <tp>
        <v>-54.607508529999997</v>
        <stp/>
        <stp>EM_S_PQ_PCTCHANGE</stp>
        <stp>4</stp>
        <stp>600579</stp>
        <stp>2018-01-01</stp>
        <stp>2019-12-31</stp>
        <stp>3</stp>
        <tr r="F3071" s="1"/>
      </tp>
      <tp>
        <v>30.633437180000001</v>
        <stp/>
        <stp>EM_S_PQ_PCTCHANGE</stp>
        <stp>4</stp>
        <stp>600768</stp>
        <stp>2018-12-31</stp>
        <stp>2019-12-30</stp>
        <stp>1</stp>
        <tr r="G914" s="1"/>
      </tp>
      <tp>
        <v>-49.382994089999997</v>
        <stp/>
        <stp>EM_S_PQ_PCTCHANGE</stp>
        <stp>4</stp>
        <stp>603579</stp>
        <stp>2018-01-01</stp>
        <stp>2019-12-31</stp>
        <stp>3</stp>
        <tr r="F1908" s="1"/>
      </tp>
      <tp>
        <v>2.2429906499999999</v>
        <stp/>
        <stp>EM_S_PQ_PCTCHANGE</stp>
        <stp>4</stp>
        <stp>603768</stp>
        <stp>2018-12-31</stp>
        <stp>2019-12-30</stp>
        <stp>1</stp>
        <tr r="G2158" s="1"/>
      </tp>
      <tp>
        <v>-35.737704919999999</v>
        <stp/>
        <stp>EM_S_PQ_PCTCHANGE</stp>
        <stp>4</stp>
        <stp>002519</stp>
        <stp>2018-01-01</stp>
        <stp>2019-12-31</stp>
        <stp>3</stp>
        <tr r="F1671" s="1"/>
      </tp>
      <tp>
        <v>5.6430446200000004</v>
        <stp/>
        <stp>EM_S_PQ_PCTCHANGE</stp>
        <stp>4</stp>
        <stp>002708</stp>
        <stp>2018-12-31</stp>
        <stp>2019-12-30</stp>
        <stp>1</stp>
        <tr r="G1971" s="1"/>
      </tp>
      <tp>
        <v>-52.617748059999997</v>
        <stp/>
        <stp>EM_S_PQ_PCTCHANGE</stp>
        <stp>4</stp>
        <stp>000510</stp>
        <stp>2018-01-01</stp>
        <stp>2019-12-31</stp>
        <stp>3</stp>
        <tr r="F1993" s="1"/>
      </tp>
      <tp>
        <v>-12.211221119999999</v>
        <stp/>
        <stp>EM_S_PQ_PCTCHANGE</stp>
        <stp>4</stp>
        <stp>000701</stp>
        <stp>2018-12-31</stp>
        <stp>2019-12-30</stp>
        <stp>1</stp>
        <tr r="G2836" s="1"/>
      </tp>
      <tp>
        <v>-30.051871720000001</v>
        <stp/>
        <stp>EM_S_PQ_PCTCHANGE</stp>
        <stp>4</stp>
        <stp>300520</stp>
        <stp>2018-01-01</stp>
        <stp>2019-12-31</stp>
        <stp>3</stp>
        <tr r="F1078" s="1"/>
      </tp>
      <tp>
        <v>11.23809524</v>
        <stp/>
        <stp>EM_S_PQ_PCTCHANGE</stp>
        <stp>4</stp>
        <stp>300731</stp>
        <stp>2018-12-31</stp>
        <stp>2019-12-30</stp>
        <stp>1</stp>
        <tr r="G1668" s="1"/>
      </tp>
      <tp>
        <v>119.63905808</v>
        <stp/>
        <stp>EM_S_PQ_PCTCHANGE</stp>
        <stp>4</stp>
        <stp>600570</stp>
        <stp>2018-01-01</stp>
        <stp>2019-12-31</stp>
        <stp>3</stp>
        <tr r="F583" s="1"/>
      </tp>
      <tp>
        <v>9.6</v>
        <stp/>
        <stp>EM_S_PQ_PCTCHANGE</stp>
        <stp>4</stp>
        <stp>600761</stp>
        <stp>2018-12-31</stp>
        <stp>2019-12-30</stp>
        <stp>1</stp>
        <tr r="G1761" s="1"/>
      </tp>
      <tp>
        <v>-25.031747039999999</v>
        <stp/>
        <stp>EM_S_PQ_PCTCHANGE</stp>
        <stp>4</stp>
        <stp>002510</stp>
        <stp>2018-01-01</stp>
        <stp>2019-12-31</stp>
        <stp>3</stp>
        <tr r="F994" s="1"/>
      </tp>
      <tp>
        <v>-13.241106719999999</v>
        <stp/>
        <stp>EM_S_PQ_PCTCHANGE</stp>
        <stp>4</stp>
        <stp>002701</stp>
        <stp>2018-12-31</stp>
        <stp>2019-12-30</stp>
        <stp>1</stp>
        <tr r="G2874" s="1"/>
      </tp>
      <tp>
        <v>-88.42504744</v>
        <stp/>
        <stp>EM_S_PQ_PCTCHANGE</stp>
        <stp>4</stp>
        <stp>000511</stp>
        <stp>2018-01-01</stp>
        <stp>2019-12-31</stp>
        <stp>3</stp>
        <tr r="F3436" s="1"/>
      </tp>
      <tp>
        <v>33.559322029999997</v>
        <stp/>
        <stp>EM_S_PQ_PCTCHANGE</stp>
        <stp>4</stp>
        <stp>000700</stp>
        <stp>2018-12-31</stp>
        <stp>2019-12-30</stp>
        <stp>1</stp>
        <tr r="G854" s="1"/>
      </tp>
      <tp>
        <v>-36.995904320000001</v>
        <stp/>
        <stp>EM_S_PQ_PCTCHANGE</stp>
        <stp>4</stp>
        <stp>300521</stp>
        <stp>2018-01-01</stp>
        <stp>2019-12-31</stp>
        <stp>3</stp>
        <tr r="F1258" s="1"/>
      </tp>
      <tp>
        <v>-20</v>
        <stp/>
        <stp>EM_S_PQ_PCTCHANGE</stp>
        <stp>4</stp>
        <stp>300730</stp>
        <stp>2018-12-31</stp>
        <stp>2019-12-30</stp>
        <stp>1</stp>
        <tr r="G3065" s="1"/>
      </tp>
      <tp>
        <v>-7.3347346499999997</v>
        <stp/>
        <stp>EM_S_PQ_PCTCHANGE</stp>
        <stp>4</stp>
        <stp>600571</stp>
        <stp>2018-01-01</stp>
        <stp>2019-12-31</stp>
        <stp>3</stp>
        <tr r="F555" s="1"/>
      </tp>
      <tp>
        <v>11.80079394</v>
        <stp/>
        <stp>EM_S_PQ_PCTCHANGE</stp>
        <stp>4</stp>
        <stp>600760</stp>
        <stp>2018-12-31</stp>
        <stp>2019-12-30</stp>
        <stp>1</stp>
        <tr r="G1639" s="1"/>
      </tp>
      <tp>
        <v>33.279292779999999</v>
        <stp/>
        <stp>EM_S_PQ_PCTCHANGE</stp>
        <stp>4</stp>
        <stp>002511</stp>
        <stp>2018-01-01</stp>
        <stp>2019-12-31</stp>
        <stp>3</stp>
        <tr r="F611" s="1"/>
      </tp>
      <tp>
        <v>-28.48484848</v>
        <stp/>
        <stp>EM_S_PQ_PCTCHANGE</stp>
        <stp>4</stp>
        <stp>002700</stp>
        <stp>2018-12-31</stp>
        <stp>2019-12-30</stp>
        <stp>1</stp>
        <tr r="G3204" s="1"/>
      </tp>
      <tp>
        <v>19.70486111</v>
        <stp/>
        <stp>EM_S_PQ_PCTCHANGE</stp>
        <stp>4</stp>
        <stp>000703</stp>
        <stp>2018-12-31</stp>
        <stp>2019-12-30</stp>
        <stp>1</stp>
        <tr r="G1288" s="1"/>
      </tp>
      <tp>
        <v>-11.447645140000001</v>
        <stp/>
        <stp>EM_S_PQ_PCTCHANGE</stp>
        <stp>4</stp>
        <stp>300522</stp>
        <stp>2018-01-01</stp>
        <stp>2019-12-31</stp>
        <stp>3</stp>
        <tr r="F1837" s="1"/>
      </tp>
      <tp>
        <v>-27.04402516</v>
        <stp/>
        <stp>EM_S_PQ_PCTCHANGE</stp>
        <stp>4</stp>
        <stp>300733</stp>
        <stp>2018-12-31</stp>
        <stp>2019-12-30</stp>
        <stp>1</stp>
        <tr r="G3184" s="1"/>
      </tp>
      <tp>
        <v>-9.2611332100000006</v>
        <stp/>
        <stp>EM_S_PQ_PCTCHANGE</stp>
        <stp>4</stp>
        <stp>600572</stp>
        <stp>2018-01-01</stp>
        <stp>2019-12-31</stp>
        <stp>3</stp>
        <tr r="F2179" s="1"/>
      </tp>
      <tp>
        <v>113.39793554000001</v>
        <stp/>
        <stp>EM_S_PQ_PCTCHANGE</stp>
        <stp>4</stp>
        <stp>600763</stp>
        <stp>2018-12-31</stp>
        <stp>2019-12-30</stp>
        <stp>1</stp>
        <tr r="G136" s="1"/>
      </tp>
      <tp>
        <v>-64.157675339999997</v>
        <stp/>
        <stp>EM_S_PQ_PCTCHANGE</stp>
        <stp>4</stp>
        <stp>002512</stp>
        <stp>2018-01-01</stp>
        <stp>2019-12-31</stp>
        <stp>3</stp>
        <tr r="F1261" s="1"/>
      </tp>
      <tp>
        <v>11.21718377</v>
        <stp/>
        <stp>EM_S_PQ_PCTCHANGE</stp>
        <stp>4</stp>
        <stp>002703</stp>
        <stp>2018-12-31</stp>
        <stp>2019-12-30</stp>
        <stp>1</stp>
        <tr r="G1670" s="1"/>
      </tp>
      <tp>
        <v>-8.3903808200000007</v>
        <stp/>
        <stp>EM_S_PQ_PCTCHANGE</stp>
        <stp>4</stp>
        <stp>000513</stp>
        <stp>2018-01-01</stp>
        <stp>2019-12-31</stp>
        <stp>3</stp>
        <tr r="F913" s="1"/>
      </tp>
      <tp>
        <v>43.066533730000003</v>
        <stp/>
        <stp>EM_S_PQ_PCTCHANGE</stp>
        <stp>4</stp>
        <stp>300523</stp>
        <stp>2018-01-01</stp>
        <stp>2019-12-31</stp>
        <stp>3</stp>
        <tr r="F3143" s="1"/>
      </tp>
      <tp>
        <v>-49.255952379999997</v>
        <stp/>
        <stp>EM_S_PQ_PCTCHANGE</stp>
        <stp>4</stp>
        <stp>300732</stp>
        <stp>2018-12-31</stp>
        <stp>2019-12-30</stp>
        <stp>1</stp>
        <tr r="G3364" s="1"/>
      </tp>
      <tp>
        <v>-26.249542080000001</v>
        <stp/>
        <stp>EM_S_PQ_PCTCHANGE</stp>
        <stp>4</stp>
        <stp>600573</stp>
        <stp>2018-01-01</stp>
        <stp>2019-12-31</stp>
        <stp>3</stp>
        <tr r="F2085" s="1"/>
      </tp>
      <tp>
        <v>0</v>
        <stp/>
        <stp>EM_S_PQ_PCTCHANGE</stp>
        <stp>4</stp>
        <stp>600762</stp>
        <stp>2018-12-31</stp>
        <stp>2019-12-30</stp>
        <stp>1</stp>
        <tr r="G2320" s="1"/>
      </tp>
      <tp>
        <v>-29.112662010000001</v>
        <stp/>
        <stp>EM_S_PQ_PCTCHANGE</stp>
        <stp>4</stp>
        <stp>002513</stp>
        <stp>2018-01-01</stp>
        <stp>2019-12-31</stp>
        <stp>3</stp>
        <tr r="F1792" s="1"/>
      </tp>
      <tp>
        <v>7.5187969900000002</v>
        <stp/>
        <stp>EM_S_PQ_PCTCHANGE</stp>
        <stp>4</stp>
        <stp>002702</stp>
        <stp>2018-12-31</stp>
        <stp>2019-12-30</stp>
        <stp>1</stp>
        <tr r="G1877" s="1"/>
      </tp>
      <tp>
        <v>-22.783106549999999</v>
        <stp/>
        <stp>EM_S_PQ_PCTCHANGE</stp>
        <stp>4</stp>
        <stp>000514</stp>
        <stp>2018-01-01</stp>
        <stp>2019-12-31</stp>
        <stp>3</stp>
        <tr r="F3437" s="1"/>
      </tp>
      <tp>
        <v>8.5808580899999995</v>
        <stp/>
        <stp>EM_S_PQ_PCTCHANGE</stp>
        <stp>4</stp>
        <stp>000705</stp>
        <stp>2018-12-31</stp>
        <stp>2019-12-30</stp>
        <stp>1</stp>
        <tr r="G1817" s="1"/>
      </tp>
      <tp>
        <v>63.078848559999997</v>
        <stp/>
        <stp>EM_S_PQ_PCTCHANGE</stp>
        <stp>4</stp>
        <stp>300735</stp>
        <stp>2018-12-31</stp>
        <stp>2019-12-30</stp>
        <stp>1</stp>
        <tr r="G394" s="1"/>
      </tp>
      <tp>
        <v>32.79569892</v>
        <stp/>
        <stp>EM_S_PQ_PCTCHANGE</stp>
        <stp>4</stp>
        <stp>600765</stp>
        <stp>2018-12-31</stp>
        <stp>2019-12-30</stp>
        <stp>1</stp>
        <tr r="G867" s="1"/>
      </tp>
      <tp>
        <v>-24.083769629999999</v>
        <stp/>
        <stp>EM_S_PQ_PCTCHANGE</stp>
        <stp>4</stp>
        <stp>002514</stp>
        <stp>2018-01-01</stp>
        <stp>2019-12-31</stp>
        <stp>3</stp>
        <tr r="F1830" s="1"/>
      </tp>
      <tp>
        <v>81.481481479999999</v>
        <stp/>
        <stp>EM_S_PQ_PCTCHANGE</stp>
        <stp>4</stp>
        <stp>002705</stp>
        <stp>2018-12-31</stp>
        <stp>2019-12-30</stp>
        <stp>1</stp>
        <tr r="G240" s="1"/>
      </tp>
      <tp>
        <v>0</v>
        <stp/>
        <stp>EM_S_PQ_PCTCHANGE</stp>
        <stp>4</stp>
        <stp>000515</stp>
        <stp>2018-01-01</stp>
        <stp>2019-12-31</stp>
        <stp>3</stp>
        <tr r="F3438" s="1"/>
      </tp>
      <tp>
        <v>155.95410009</v>
        <stp/>
        <stp>EM_S_PQ_PCTCHANGE</stp>
        <stp>4</stp>
        <stp>300525</stp>
        <stp>2018-01-01</stp>
        <stp>2019-12-31</stp>
        <stp>3</stp>
        <tr r="F381" s="1"/>
      </tp>
      <tp>
        <v>-36.543209879999999</v>
        <stp/>
        <stp>EM_S_PQ_PCTCHANGE</stp>
        <stp>4</stp>
        <stp>600575</stp>
        <stp>2018-01-01</stp>
        <stp>2019-12-31</stp>
        <stp>3</stp>
        <tr r="F1229" s="1"/>
      </tp>
      <tp>
        <v>22.1057047</v>
        <stp/>
        <stp>EM_S_PQ_PCTCHANGE</stp>
        <stp>4</stp>
        <stp>600764</stp>
        <stp>2018-12-31</stp>
        <stp>2019-12-30</stp>
        <stp>1</stp>
        <tr r="G1185" s="1"/>
      </tp>
      <tp>
        <v>-33.978234579999999</v>
        <stp/>
        <stp>EM_S_PQ_PCTCHANGE</stp>
        <stp>4</stp>
        <stp>002515</stp>
        <stp>2018-01-01</stp>
        <stp>2019-12-31</stp>
        <stp>3</stp>
        <tr r="F982" s="1"/>
      </tp>
      <tp>
        <v>0.92203932</v>
        <stp/>
        <stp>EM_S_PQ_PCTCHANGE</stp>
        <stp>4</stp>
        <stp>000516</stp>
        <stp>2018-01-01</stp>
        <stp>2019-12-31</stp>
        <stp>3</stp>
        <tr r="F3439" s="1"/>
      </tp>
      <tp>
        <v>206.98760813999999</v>
        <stp/>
        <stp>EM_S_PQ_PCTCHANGE</stp>
        <stp>4</stp>
        <stp>300526</stp>
        <stp>2018-01-01</stp>
        <stp>2019-12-31</stp>
        <stp>3</stp>
        <tr r="F21" s="1"/>
      </tp>
      <tp>
        <v>28.13211845</v>
        <stp/>
        <stp>EM_S_PQ_PCTCHANGE</stp>
        <stp>4</stp>
        <stp>300737</stp>
        <stp>2018-12-31</stp>
        <stp>2019-12-30</stp>
        <stp>1</stp>
        <tr r="G983" s="1"/>
      </tp>
      <tp>
        <v>-35.317460320000002</v>
        <stp/>
        <stp>EM_S_PQ_PCTCHANGE</stp>
        <stp>4</stp>
        <stp>600576</stp>
        <stp>2018-01-01</stp>
        <stp>2019-12-31</stp>
        <stp>3</stp>
        <tr r="F1411" s="1"/>
      </tp>
      <tp>
        <v>1.05708245</v>
        <stp/>
        <stp>EM_S_PQ_PCTCHANGE</stp>
        <stp>4</stp>
        <stp>600767</stp>
        <stp>2018-12-31</stp>
        <stp>2019-12-30</stp>
        <stp>1</stp>
        <tr r="G2211" s="1"/>
      </tp>
      <tp>
        <v>8.5545722699999995</v>
        <stp/>
        <stp>EM_S_PQ_PCTCHANGE</stp>
        <stp>4</stp>
        <stp>603767</stp>
        <stp>2018-12-31</stp>
        <stp>2019-12-30</stp>
        <stp>1</stp>
        <tr r="G1821" s="1"/>
      </tp>
      <tp>
        <v>-39.985986029999999</v>
        <stp/>
        <stp>EM_S_PQ_PCTCHANGE</stp>
        <stp>4</stp>
        <stp>002516</stp>
        <stp>2018-01-01</stp>
        <stp>2019-12-31</stp>
        <stp>3</stp>
        <tr r="F2588" s="1"/>
      </tp>
      <tp>
        <v>-0.63291138999999996</v>
        <stp/>
        <stp>EM_S_PQ_PCTCHANGE</stp>
        <stp>4</stp>
        <stp>002707</stp>
        <stp>2018-12-31</stp>
        <stp>2019-12-30</stp>
        <stp>1</stp>
        <tr r="G2368" s="1"/>
      </tp>
      <tp>
        <v>-20.731707320000002</v>
        <stp/>
        <stp>EM_S_PQ_PCTCHANGE</stp>
        <stp>4</stp>
        <stp>601766</stp>
        <stp>2018-12-31</stp>
        <stp>2019-12-30</stp>
        <stp>1</stp>
        <tr r="G3076" s="1"/>
      </tp>
      <tp>
        <v>-17.819753939999998</v>
        <stp/>
        <stp>EM_S_PQ_PCTCHANGE</stp>
        <stp>4</stp>
        <stp>000517</stp>
        <stp>2018-01-01</stp>
        <stp>2019-12-31</stp>
        <stp>3</stp>
        <tr r="F3440" s="1"/>
      </tp>
      <tp>
        <v>-14.24920515</v>
        <stp/>
        <stp>EM_S_PQ_PCTCHANGE</stp>
        <stp>4</stp>
        <stp>300527</stp>
        <stp>2018-01-01</stp>
        <stp>2019-12-31</stp>
        <stp>3</stp>
        <tr r="F365" s="1"/>
      </tp>
      <tp>
        <v>-51.702508960000003</v>
        <stp/>
        <stp>EM_S_PQ_PCTCHANGE</stp>
        <stp>4</stp>
        <stp>300736</stp>
        <stp>2018-12-31</stp>
        <stp>2019-12-30</stp>
        <stp>1</stp>
        <tr r="G3372" s="1"/>
      </tp>
      <tp>
        <v>-25.082293400000001</v>
        <stp/>
        <stp>EM_S_PQ_PCTCHANGE</stp>
        <stp>4</stp>
        <stp>600577</stp>
        <stp>2018-01-01</stp>
        <stp>2019-12-31</stp>
        <stp>3</stp>
        <tr r="F2701" s="1"/>
      </tp>
      <tp>
        <v>-7.5376884400000002</v>
        <stp/>
        <stp>EM_S_PQ_PCTCHANGE</stp>
        <stp>4</stp>
        <stp>600766</stp>
        <stp>2018-12-31</stp>
        <stp>2019-12-30</stp>
        <stp>1</stp>
        <tr r="G2671" s="1"/>
      </tp>
      <tp>
        <v>-21.152978470000001</v>
        <stp/>
        <stp>EM_S_PQ_PCTCHANGE</stp>
        <stp>4</stp>
        <stp>603577</stp>
        <stp>2018-01-01</stp>
        <stp>2019-12-31</stp>
        <stp>3</stp>
        <tr r="F1423" s="1"/>
      </tp>
      <tp>
        <v>-9.0464547700000004</v>
        <stp/>
        <stp>EM_S_PQ_PCTCHANGE</stp>
        <stp>4</stp>
        <stp>603766</stp>
        <stp>2018-12-31</stp>
        <stp>2019-12-30</stp>
        <stp>1</stp>
        <tr r="G2719" s="1"/>
      </tp>
      <tp>
        <v>-82.424809400000001</v>
        <stp/>
        <stp>EM_S_PQ_PCTCHANGE</stp>
        <stp>4</stp>
        <stp>002517</stp>
        <stp>2018-01-01</stp>
        <stp>2019-12-31</stp>
        <stp>3</stp>
        <tr r="F3215" s="1"/>
      </tp>
      <tp>
        <v>37.763371149999998</v>
        <stp/>
        <stp>EM_S_PQ_PCTCHANGE</stp>
        <stp>4</stp>
        <stp>002706</stp>
        <stp>2018-12-31</stp>
        <stp>2019-12-30</stp>
        <stp>1</stp>
        <tr r="G778" s="1"/>
      </tp>
      <tp>
        <v>0</v>
        <stp/>
        <stp>EM_S_PQ_PCTCHANGE</stp>
        <stp>4</stp>
        <stp>000508</stp>
        <stp>2018-01-01</stp>
        <stp>2019-12-31</stp>
        <stp>3</stp>
        <tr r="F3434" s="1"/>
      </tp>
      <tp>
        <v>-9.2757306199999991</v>
        <stp/>
        <stp>EM_S_PQ_PCTCHANGE</stp>
        <stp>4</stp>
        <stp>000719</stp>
        <stp>2018-12-31</stp>
        <stp>2019-12-30</stp>
        <stp>1</stp>
        <tr r="G2726" s="1"/>
      </tp>
      <tp>
        <v>31.983131060000002</v>
        <stp/>
        <stp>EM_S_PQ_PCTCHANGE</stp>
        <stp>4</stp>
        <stp>300538</stp>
        <stp>2018-01-01</stp>
        <stp>2019-12-31</stp>
        <stp>3</stp>
        <tr r="F2971" s="1"/>
      </tp>
      <tp>
        <v>7.1428571400000003</v>
        <stp/>
        <stp>EM_S_PQ_PCTCHANGE</stp>
        <stp>4</stp>
        <stp>300729</stp>
        <stp>2018-12-31</stp>
        <stp>2019-12-30</stp>
        <stp>1</stp>
        <tr r="G1886" s="1"/>
      </tp>
      <tp>
        <v>-77.322149620000005</v>
        <stp/>
        <stp>EM_S_PQ_PCTCHANGE</stp>
        <stp>4</stp>
        <stp>600568</stp>
        <stp>2018-01-01</stp>
        <stp>2019-12-31</stp>
        <stp>3</stp>
        <tr r="F3135" s="1"/>
      </tp>
      <tp>
        <v>66.498263339999994</v>
        <stp/>
        <stp>EM_S_PQ_PCTCHANGE</stp>
        <stp>4</stp>
        <stp>600779</stp>
        <stp>2018-12-31</stp>
        <stp>2019-12-30</stp>
        <stp>1</stp>
        <tr r="G355" s="1"/>
      </tp>
      <tp>
        <v>50.596472560000002</v>
        <stp/>
        <stp>EM_S_PQ_PCTCHANGE</stp>
        <stp>4</stp>
        <stp>603568</stp>
        <stp>2018-01-01</stp>
        <stp>2019-12-31</stp>
        <stp>3</stp>
        <tr r="F2253" s="1"/>
      </tp>
      <tp>
        <v>-54.792452830000002</v>
        <stp/>
        <stp>EM_S_PQ_PCTCHANGE</stp>
        <stp>4</stp>
        <stp>603779</stp>
        <stp>2018-12-31</stp>
        <stp>2019-12-30</stp>
        <stp>1</stp>
        <tr r="G3383" s="1"/>
      </tp>
      <tp>
        <v>-26.10991241</v>
        <stp/>
        <stp>EM_S_PQ_PCTCHANGE</stp>
        <stp>4</stp>
        <stp>002508</stp>
        <stp>2018-01-01</stp>
        <stp>2019-12-31</stp>
        <stp>3</stp>
        <tr r="F332" s="1"/>
      </tp>
      <tp>
        <v>2.2977941199999998</v>
        <stp/>
        <stp>EM_S_PQ_PCTCHANGE</stp>
        <stp>4</stp>
        <stp>002719</stp>
        <stp>2018-12-31</stp>
        <stp>2019-12-30</stp>
        <stp>1</stp>
        <tr r="G2151" s="1"/>
      </tp>
      <tp>
        <v>-60.784313730000001</v>
        <stp/>
        <stp>EM_S_PQ_PCTCHANGE</stp>
        <stp>4</stp>
        <stp>000509</stp>
        <stp>2018-01-01</stp>
        <stp>2019-12-31</stp>
        <stp>3</stp>
        <tr r="F3435" s="1"/>
      </tp>
      <tp>
        <v>-33.975923109999997</v>
        <stp/>
        <stp>EM_S_PQ_PCTCHANGE</stp>
        <stp>4</stp>
        <stp>300539</stp>
        <stp>2018-01-01</stp>
        <stp>2019-12-31</stp>
        <stp>3</stp>
        <tr r="F2767" s="1"/>
      </tp>
      <tp>
        <v>0</v>
        <stp/>
        <stp>EM_S_PQ_PCTCHANGE</stp>
        <stp>4</stp>
        <stp>300728</stp>
        <stp>2018-12-31</stp>
        <stp>2019-12-30</stp>
        <stp>1</stp>
        <tr r="G11" s="1"/>
      </tp>
      <tp>
        <v>-43.971631180000003</v>
        <stp/>
        <stp>EM_S_PQ_PCTCHANGE</stp>
        <stp>4</stp>
        <stp>600569</stp>
        <stp>2018-01-01</stp>
        <stp>2019-12-31</stp>
        <stp>3</stp>
        <tr r="F3012" s="1"/>
      </tp>
      <tp>
        <v>19.469026549999999</v>
        <stp/>
        <stp>EM_S_PQ_PCTCHANGE</stp>
        <stp>4</stp>
        <stp>600778</stp>
        <stp>2018-12-31</stp>
        <stp>2019-12-30</stp>
        <stp>1</stp>
        <tr r="G1299" s="1"/>
      </tp>
      <tp>
        <v>-38.459486439999999</v>
        <stp/>
        <stp>EM_S_PQ_PCTCHANGE</stp>
        <stp>4</stp>
        <stp>603569</stp>
        <stp>2018-01-01</stp>
        <stp>2019-12-31</stp>
        <stp>3</stp>
        <tr r="F2510" s="1"/>
      </tp>
      <tp>
        <v>0.23696681999999999</v>
        <stp/>
        <stp>EM_S_PQ_PCTCHANGE</stp>
        <stp>4</stp>
        <stp>603778</stp>
        <stp>2018-12-31</stp>
        <stp>2019-12-30</stp>
        <stp>1</stp>
        <tr r="G2264" s="1"/>
      </tp>
      <tp>
        <v>-84.182837399999997</v>
        <stp/>
        <stp>EM_S_PQ_PCTCHANGE</stp>
        <stp>4</stp>
        <stp>002509</stp>
        <stp>2018-01-01</stp>
        <stp>2019-12-31</stp>
        <stp>3</stp>
        <tr r="F3313" s="1"/>
      </tp>
      <tp>
        <v>-39.81884058</v>
        <stp/>
        <stp>EM_S_PQ_PCTCHANGE</stp>
        <stp>4</stp>
        <stp>002718</stp>
        <stp>2018-12-31</stp>
        <stp>2019-12-30</stp>
        <stp>1</stp>
        <tr r="G3310" s="1"/>
      </tp>
      <tp>
        <v>-12.520064209999999</v>
        <stp/>
        <stp>EM_S_PQ_PCTCHANGE</stp>
        <stp>4</stp>
        <stp>000711</stp>
        <stp>2018-12-31</stp>
        <stp>2019-12-30</stp>
        <stp>1</stp>
        <tr r="G2850" s="1"/>
      </tp>
      <tp>
        <v>48.545111630000001</v>
        <stp/>
        <stp>EM_S_PQ_PCTCHANGE</stp>
        <stp>4</stp>
        <stp>300530</stp>
        <stp>2018-01-01</stp>
        <stp>2019-12-31</stp>
        <stp>3</stp>
        <tr r="F1349" s="1"/>
      </tp>
      <tp>
        <v>-5.87649402</v>
        <stp/>
        <stp>EM_S_PQ_PCTCHANGE</stp>
        <stp>4</stp>
        <stp>300721</stp>
        <stp>2018-12-31</stp>
        <stp>2019-12-30</stp>
        <stp>1</stp>
        <tr r="G2599" s="1"/>
      </tp>
      <tp>
        <v>-15.808143469999999</v>
        <stp/>
        <stp>EM_S_PQ_PCTCHANGE</stp>
        <stp>4</stp>
        <stp>600560</stp>
        <stp>2018-01-01</stp>
        <stp>2019-12-31</stp>
        <stp>3</stp>
        <tr r="F1883" s="1"/>
      </tp>
      <tp>
        <v>-44.232767580000001</v>
        <stp/>
        <stp>EM_S_PQ_PCTCHANGE</stp>
        <stp>4</stp>
        <stp>600771</stp>
        <stp>2018-12-31</stp>
        <stp>2019-12-30</stp>
        <stp>1</stp>
        <tr r="G3341" s="1"/>
      </tp>
      <tp>
        <v>-8.4157472599999998</v>
        <stp/>
        <stp>EM_S_PQ_PCTCHANGE</stp>
        <stp>4</stp>
        <stp>002500</stp>
        <stp>2018-01-01</stp>
        <stp>2019-12-31</stp>
        <stp>3</stp>
        <tr r="F731" s="1"/>
      </tp>
      <tp>
        <v>-65.809768640000001</v>
        <stp/>
        <stp>EM_S_PQ_PCTCHANGE</stp>
        <stp>4</stp>
        <stp>002711</stp>
        <stp>2018-12-31</stp>
        <stp>2019-12-30</stp>
        <stp>1</stp>
        <tr r="G3398" s="1"/>
      </tp>
      <tp>
        <v>-14.68548436</v>
        <stp/>
        <stp>EM_S_PQ_PCTCHANGE</stp>
        <stp>4</stp>
        <stp>000501</stp>
        <stp>2018-01-01</stp>
        <stp>2019-12-31</stp>
        <stp>3</stp>
        <tr r="F3428" s="1"/>
      </tp>
      <tp>
        <v>10.90909091</v>
        <stp/>
        <stp>EM_S_PQ_PCTCHANGE</stp>
        <stp>4</stp>
        <stp>000710</stp>
        <stp>2018-12-31</stp>
        <stp>2019-12-30</stp>
        <stp>1</stp>
        <tr r="G1684" s="1"/>
      </tp>
      <tp>
        <v>2.8186938600000002</v>
        <stp/>
        <stp>EM_S_PQ_PCTCHANGE</stp>
        <stp>4</stp>
        <stp>300531</stp>
        <stp>2018-01-01</stp>
        <stp>2019-12-31</stp>
        <stp>3</stp>
        <tr r="F2481" s="1"/>
      </tp>
      <tp>
        <v>-39.92932862</v>
        <stp/>
        <stp>EM_S_PQ_PCTCHANGE</stp>
        <stp>4</stp>
        <stp>300720</stp>
        <stp>2018-12-31</stp>
        <stp>2019-12-30</stp>
        <stp>1</stp>
        <tr r="G3311" s="1"/>
      </tp>
      <tp>
        <v>-28.09992991</v>
        <stp/>
        <stp>EM_S_PQ_PCTCHANGE</stp>
        <stp>4</stp>
        <stp>600561</stp>
        <stp>2018-01-01</stp>
        <stp>2019-12-31</stp>
        <stp>3</stp>
        <tr r="F1927" s="1"/>
      </tp>
      <tp>
        <v>15.2866242</v>
        <stp/>
        <stp>EM_S_PQ_PCTCHANGE</stp>
        <stp>4</stp>
        <stp>600770</stp>
        <stp>2018-12-31</stp>
        <stp>2019-12-30</stp>
        <stp>1</stp>
        <tr r="G1467" s="1"/>
      </tp>
      <tp>
        <v>-83.317261329999994</v>
        <stp/>
        <stp>EM_S_PQ_PCTCHANGE</stp>
        <stp>4</stp>
        <stp>002501</stp>
        <stp>2018-01-01</stp>
        <stp>2019-12-31</stp>
        <stp>3</stp>
        <tr r="F3330" s="1"/>
      </tp>
      <tp>
        <v>0</v>
        <stp/>
        <stp>EM_S_PQ_PCTCHANGE</stp>
        <stp>4</stp>
        <stp>002710</stp>
        <stp>2018-12-31</stp>
        <stp>2019-12-30</stp>
        <stp>1</stp>
        <tr r="G7" s="1"/>
      </tp>
      <tp>
        <v>-35.358114229999998</v>
        <stp/>
        <stp>EM_S_PQ_PCTCHANGE</stp>
        <stp>4</stp>
        <stp>000502</stp>
        <stp>2018-01-01</stp>
        <stp>2019-12-31</stp>
        <stp>3</stp>
        <tr r="F3429" s="1"/>
      </tp>
      <tp>
        <v>79.694323139999995</v>
        <stp/>
        <stp>EM_S_PQ_PCTCHANGE</stp>
        <stp>4</stp>
        <stp>000713</stp>
        <stp>2018-12-31</stp>
        <stp>2019-12-30</stp>
        <stp>1</stp>
        <tr r="G252" s="1"/>
      </tp>
      <tp>
        <v>-15.70834271</v>
        <stp/>
        <stp>EM_S_PQ_PCTCHANGE</stp>
        <stp>4</stp>
        <stp>300532</stp>
        <stp>2018-01-01</stp>
        <stp>2019-12-31</stp>
        <stp>3</stp>
        <tr r="F1967" s="1"/>
      </tp>
      <tp>
        <v>44.923192210000003</v>
        <stp/>
        <stp>EM_S_PQ_PCTCHANGE</stp>
        <stp>4</stp>
        <stp>300723</stp>
        <stp>2018-12-31</stp>
        <stp>2019-12-30</stp>
        <stp>1</stp>
        <tr r="G648" s="1"/>
      </tp>
      <tp>
        <v>-21.88479135</v>
        <stp/>
        <stp>EM_S_PQ_PCTCHANGE</stp>
        <stp>4</stp>
        <stp>600562</stp>
        <stp>2018-01-01</stp>
        <stp>2019-12-31</stp>
        <stp>3</stp>
        <tr r="F1682" s="1"/>
      </tp>
      <tp>
        <v>-3.1666666700000001</v>
        <stp/>
        <stp>EM_S_PQ_PCTCHANGE</stp>
        <stp>4</stp>
        <stp>600773</stp>
        <stp>2018-12-31</stp>
        <stp>2019-12-30</stp>
        <stp>1</stp>
        <tr r="G2483" s="1"/>
      </tp>
      <tp>
        <v>-24.79205176</v>
        <stp/>
        <stp>EM_S_PQ_PCTCHANGE</stp>
        <stp>4</stp>
        <stp>603773</stp>
        <stp>2018-12-31</stp>
        <stp>2019-12-30</stp>
        <stp>1</stp>
        <tr r="G3149" s="1"/>
      </tp>
      <tp>
        <v>-63.173865200000002</v>
        <stp/>
        <stp>EM_S_PQ_PCTCHANGE</stp>
        <stp>4</stp>
        <stp>002502</stp>
        <stp>2018-01-01</stp>
        <stp>2019-12-31</stp>
        <stp>3</stp>
        <tr r="F2997" s="1"/>
      </tp>
      <tp>
        <v>-54.209183670000002</v>
        <stp/>
        <stp>EM_S_PQ_PCTCHANGE</stp>
        <stp>4</stp>
        <stp>002713</stp>
        <stp>2018-12-31</stp>
        <stp>2019-12-30</stp>
        <stp>1</stp>
        <tr r="G3382" s="1"/>
      </tp>
      <tp>
        <v>-60.333642259999998</v>
        <stp/>
        <stp>EM_S_PQ_PCTCHANGE</stp>
        <stp>4</stp>
        <stp>000503</stp>
        <stp>2018-01-01</stp>
        <stp>2019-12-31</stp>
        <stp>3</stp>
        <tr r="F3430" s="1"/>
      </tp>
      <tp>
        <v>-9.6308451999999996</v>
        <stp/>
        <stp>EM_S_PQ_PCTCHANGE</stp>
        <stp>4</stp>
        <stp>300533</stp>
        <stp>2018-01-01</stp>
        <stp>2019-12-31</stp>
        <stp>3</stp>
        <tr r="F687" s="1"/>
      </tp>
      <tp>
        <v>-33.041504539999998</v>
        <stp/>
        <stp>EM_S_PQ_PCTCHANGE</stp>
        <stp>4</stp>
        <stp>300722</stp>
        <stp>2018-12-31</stp>
        <stp>2019-12-30</stp>
        <stp>1</stp>
        <tr r="G3251" s="1"/>
      </tp>
      <tp>
        <v>2.8460667700000002</v>
        <stp/>
        <stp>EM_S_PQ_PCTCHANGE</stp>
        <stp>4</stp>
        <stp>600563</stp>
        <stp>2018-01-01</stp>
        <stp>2019-12-31</stp>
        <stp>3</stp>
        <tr r="F1335" s="1"/>
      </tp>
      <tp>
        <v>0</v>
        <stp/>
        <stp>EM_S_PQ_PCTCHANGE</stp>
        <stp>4</stp>
        <stp>600772</stp>
        <stp>2018-12-31</stp>
        <stp>2019-12-30</stp>
        <stp>1</stp>
        <tr r="G2321" s="1"/>
      </tp>
      <tp>
        <v>-54.759897160000001</v>
        <stp/>
        <stp>EM_S_PQ_PCTCHANGE</stp>
        <stp>4</stp>
        <stp>002503</stp>
        <stp>2018-01-01</stp>
        <stp>2019-12-31</stp>
        <stp>3</stp>
        <tr r="F2089" s="1"/>
      </tp>
      <tp>
        <v>41.541038530000002</v>
        <stp/>
        <stp>EM_S_PQ_PCTCHANGE</stp>
        <stp>4</stp>
        <stp>002712</stp>
        <stp>2018-12-31</stp>
        <stp>2019-12-30</stp>
        <stp>1</stp>
        <tr r="G708" s="1"/>
      </tp>
      <tp>
        <v>-65.617021280000003</v>
        <stp/>
        <stp>EM_S_PQ_PCTCHANGE</stp>
        <stp>4</stp>
        <stp>000504</stp>
        <stp>2018-01-01</stp>
        <stp>2019-12-31</stp>
        <stp>3</stp>
        <tr r="F3431" s="1"/>
      </tp>
      <tp>
        <v>3.7865748699999999</v>
        <stp/>
        <stp>EM_S_PQ_PCTCHANGE</stp>
        <stp>4</stp>
        <stp>000715</stp>
        <stp>2018-12-31</stp>
        <stp>2019-12-30</stp>
        <stp>1</stp>
        <tr r="G2071" s="1"/>
      </tp>
      <tp>
        <v>-40.409038340000002</v>
        <stp/>
        <stp>EM_S_PQ_PCTCHANGE</stp>
        <stp>4</stp>
        <stp>300534</stp>
        <stp>2018-01-01</stp>
        <stp>2019-12-31</stp>
        <stp>3</stp>
        <tr r="F2141" s="1"/>
      </tp>
      <tp>
        <v>21.0848969</v>
        <stp/>
        <stp>EM_S_PQ_PCTCHANGE</stp>
        <stp>4</stp>
        <stp>300725</stp>
        <stp>2018-12-31</stp>
        <stp>2019-12-30</stp>
        <stp>1</stp>
        <tr r="G1231" s="1"/>
      </tp>
      <tp>
        <v>24.907521580000001</v>
        <stp/>
        <stp>EM_S_PQ_PCTCHANGE</stp>
        <stp>4</stp>
        <stp>600775</stp>
        <stp>2018-12-31</stp>
        <stp>2019-12-30</stp>
        <stp>1</stp>
        <tr r="G1097" s="1"/>
      </tp>
      <tp>
        <v>-48.963317379999999</v>
        <stp/>
        <stp>EM_S_PQ_PCTCHANGE</stp>
        <stp>4</stp>
        <stp>002504</stp>
        <stp>2018-01-01</stp>
        <stp>2019-12-31</stp>
        <stp>3</stp>
        <tr r="F2893" s="1"/>
      </tp>
      <tp>
        <v>10.69486405</v>
        <stp/>
        <stp>EM_S_PQ_PCTCHANGE</stp>
        <stp>4</stp>
        <stp>002715</stp>
        <stp>2018-12-31</stp>
        <stp>2019-12-30</stp>
        <stp>1</stp>
        <tr r="G1693" s="1"/>
      </tp>
      <tp>
        <v>-34.367541770000003</v>
        <stp/>
        <stp>EM_S_PQ_PCTCHANGE</stp>
        <stp>4</stp>
        <stp>000505</stp>
        <stp>2018-01-01</stp>
        <stp>2019-12-31</stp>
        <stp>3</stp>
        <tr r="F3432" s="1"/>
      </tp>
      <tp>
        <v>-37.854797660000003</v>
        <stp/>
        <stp>EM_S_PQ_PCTCHANGE</stp>
        <stp>4</stp>
        <stp>300535</stp>
        <stp>2018-01-01</stp>
        <stp>2019-12-31</stp>
        <stp>3</stp>
        <tr r="F1948" s="1"/>
      </tp>
      <tp>
        <v>-1.01113531</v>
        <stp/>
        <stp>EM_S_PQ_PCTCHANGE</stp>
        <stp>4</stp>
        <stp>600565</stp>
        <stp>2018-01-01</stp>
        <stp>2019-12-31</stp>
        <stp>3</stp>
        <tr r="F845" s="1"/>
      </tp>
      <tp>
        <v>-23.07692308</v>
        <stp/>
        <stp>EM_S_PQ_PCTCHANGE</stp>
        <stp>4</stp>
        <stp>600774</stp>
        <stp>2018-12-31</stp>
        <stp>2019-12-30</stp>
        <stp>1</stp>
        <tr r="G3117" s="1"/>
      </tp>
      <tp>
        <v>-38.380281689999997</v>
        <stp/>
        <stp>EM_S_PQ_PCTCHANGE</stp>
        <stp>4</stp>
        <stp>002505</stp>
        <stp>2018-01-01</stp>
        <stp>2019-12-31</stp>
        <stp>3</stp>
        <tr r="F1975" s="1"/>
      </tp>
      <tp>
        <v>196</v>
        <stp/>
        <stp>EM_S_PQ_PCTCHANGE</stp>
        <stp>4</stp>
        <stp>002714</stp>
        <stp>2018-12-31</stp>
        <stp>2019-12-30</stp>
        <stp>1</stp>
        <tr r="G46" s="1"/>
      </tp>
      <tp>
        <v>-7.9714277899999999</v>
        <stp/>
        <stp>EM_S_PQ_PCTCHANGE</stp>
        <stp>4</stp>
        <stp>601566</stp>
        <stp>2018-01-01</stp>
        <stp>2019-12-31</stp>
        <stp>3</stp>
        <tr r="F2920" s="1"/>
      </tp>
      <tp>
        <v>-18.635170599999999</v>
        <stp/>
        <stp>EM_S_PQ_PCTCHANGE</stp>
        <stp>4</stp>
        <stp>601777</stp>
        <stp>2018-12-31</stp>
        <stp>2019-12-30</stp>
        <stp>1</stp>
        <tr r="G3037" s="1"/>
      </tp>
      <tp>
        <v>-60.922659430000003</v>
        <stp/>
        <stp>EM_S_PQ_PCTCHANGE</stp>
        <stp>4</stp>
        <stp>000506</stp>
        <stp>2018-01-01</stp>
        <stp>2019-12-31</stp>
        <stp>3</stp>
        <tr r="F3433" s="1"/>
      </tp>
      <tp>
        <v>2.8571428600000002</v>
        <stp/>
        <stp>EM_S_PQ_PCTCHANGE</stp>
        <stp>4</stp>
        <stp>000717</stp>
        <stp>2018-12-31</stp>
        <stp>2019-12-30</stp>
        <stp>1</stp>
        <tr r="G2113" s="1"/>
      </tp>
      <tp>
        <v>-26.110280209999999</v>
        <stp/>
        <stp>EM_S_PQ_PCTCHANGE</stp>
        <stp>4</stp>
        <stp>300536</stp>
        <stp>2018-01-01</stp>
        <stp>2019-12-31</stp>
        <stp>3</stp>
        <tr r="F2931" s="1"/>
      </tp>
      <tp>
        <v>-24.5177665</v>
        <stp/>
        <stp>EM_S_PQ_PCTCHANGE</stp>
        <stp>4</stp>
        <stp>300727</stp>
        <stp>2018-12-31</stp>
        <stp>2019-12-30</stp>
        <stp>1</stp>
        <tr r="G3144" s="1"/>
      </tp>
      <tp>
        <v>-32.985540440000001</v>
        <stp/>
        <stp>EM_S_PQ_PCTCHANGE</stp>
        <stp>4</stp>
        <stp>600566</stp>
        <stp>2018-01-01</stp>
        <stp>2019-12-31</stp>
        <stp>3</stp>
        <tr r="F3221" s="1"/>
      </tp>
      <tp>
        <v>9.4240837699999993</v>
        <stp/>
        <stp>EM_S_PQ_PCTCHANGE</stp>
        <stp>4</stp>
        <stp>600777</stp>
        <stp>2018-12-31</stp>
        <stp>2019-12-30</stp>
        <stp>1</stp>
        <tr r="G1771" s="1"/>
      </tp>
      <tp>
        <v>-11.85756439</v>
        <stp/>
        <stp>EM_S_PQ_PCTCHANGE</stp>
        <stp>4</stp>
        <stp>603566</stp>
        <stp>2018-01-01</stp>
        <stp>2019-12-31</stp>
        <stp>3</stp>
        <tr r="F482" s="1"/>
      </tp>
      <tp>
        <v>21.495327100000001</v>
        <stp/>
        <stp>EM_S_PQ_PCTCHANGE</stp>
        <stp>4</stp>
        <stp>603777</stp>
        <stp>2018-12-31</stp>
        <stp>2019-12-30</stp>
        <stp>1</stp>
        <tr r="G1212" s="1"/>
      </tp>
      <tp>
        <v>38.407494149999998</v>
        <stp/>
        <stp>EM_S_PQ_PCTCHANGE</stp>
        <stp>4</stp>
        <stp>002506</stp>
        <stp>2018-01-01</stp>
        <stp>2019-12-31</stp>
        <stp>3</stp>
        <tr r="F1358" s="1"/>
      </tp>
      <tp>
        <v>-47.474747469999997</v>
        <stp/>
        <stp>EM_S_PQ_PCTCHANGE</stp>
        <stp>4</stp>
        <stp>002717</stp>
        <stp>2018-12-31</stp>
        <stp>2019-12-30</stp>
        <stp>1</stp>
        <tr r="G3355" s="1"/>
      </tp>
      <tp>
        <v>-16.778123149999999</v>
        <stp/>
        <stp>EM_S_PQ_PCTCHANGE</stp>
        <stp>4</stp>
        <stp>601567</stp>
        <stp>2018-01-01</stp>
        <stp>2019-12-31</stp>
        <stp>3</stp>
        <tr r="F931" s="1"/>
      </tp>
      <tp>
        <v>-39.039227689999997</v>
        <stp/>
        <stp>EM_S_PQ_PCTCHANGE</stp>
        <stp>4</stp>
        <stp>000507</stp>
        <stp>2018-01-01</stp>
        <stp>2019-12-31</stp>
        <stp>3</stp>
        <tr r="F2637" s="1"/>
      </tp>
      <tp>
        <v>35.483870969999998</v>
        <stp/>
        <stp>EM_S_PQ_PCTCHANGE</stp>
        <stp>4</stp>
        <stp>000716</stp>
        <stp>2018-12-31</stp>
        <stp>2019-12-30</stp>
        <stp>1</stp>
        <tr r="G812" s="1"/>
      </tp>
      <tp>
        <v>22.529685090000001</v>
        <stp/>
        <stp>EM_S_PQ_PCTCHANGE</stp>
        <stp>4</stp>
        <stp>300537</stp>
        <stp>2018-01-01</stp>
        <stp>2019-12-31</stp>
        <stp>3</stp>
        <tr r="F142" s="1"/>
      </tp>
      <tp>
        <v>46.626106190000002</v>
        <stp/>
        <stp>EM_S_PQ_PCTCHANGE</stp>
        <stp>4</stp>
        <stp>300726</stp>
        <stp>2018-12-31</stp>
        <stp>2019-12-30</stp>
        <stp>1</stp>
        <tr r="G613" s="1"/>
      </tp>
      <tp>
        <v>-10.379341399999999</v>
        <stp/>
        <stp>EM_S_PQ_PCTCHANGE</stp>
        <stp>4</stp>
        <stp>600567</stp>
        <stp>2018-01-01</stp>
        <stp>2019-12-31</stp>
        <stp>3</stp>
        <tr r="F1183" s="1"/>
      </tp>
      <tp>
        <v>78.116826500000002</v>
        <stp/>
        <stp>EM_S_PQ_PCTCHANGE</stp>
        <stp>4</stp>
        <stp>600776</stp>
        <stp>2018-12-31</stp>
        <stp>2019-12-30</stp>
        <stp>1</stp>
        <tr r="G255" s="1"/>
      </tp>
      <tp>
        <v>-7.5490158300000001</v>
        <stp/>
        <stp>EM_S_PQ_PCTCHANGE</stp>
        <stp>4</stp>
        <stp>603567</stp>
        <stp>2018-01-01</stp>
        <stp>2019-12-31</stp>
        <stp>3</stp>
        <tr r="F2492" s="1"/>
      </tp>
      <tp>
        <v>-13.627152990000001</v>
        <stp/>
        <stp>EM_S_PQ_PCTCHANGE</stp>
        <stp>4</stp>
        <stp>603776</stp>
        <stp>2018-12-31</stp>
        <stp>2019-12-30</stp>
        <stp>1</stp>
        <tr r="G2890" s="1"/>
      </tp>
      <tp>
        <v>61.766949850000003</v>
        <stp/>
        <stp>EM_S_PQ_PCTCHANGE</stp>
        <stp>4</stp>
        <stp>002507</stp>
        <stp>2018-01-01</stp>
        <stp>2019-12-31</stp>
        <stp>3</stp>
        <tr r="F1166" s="1"/>
      </tp>
      <tp>
        <v>-52.365415990000002</v>
        <stp/>
        <stp>EM_S_PQ_PCTCHANGE</stp>
        <stp>4</stp>
        <stp>002716</stp>
        <stp>2018-12-31</stp>
        <stp>2019-12-30</stp>
        <stp>1</stp>
        <tr r="G3375" s="1"/>
      </tp>
      <tp>
        <v>-33.536585369999997</v>
        <stp/>
        <stp>EM_S_PQ_PCTCHANGE</stp>
        <stp>4</stp>
        <stp>601558</stp>
        <stp>2018-01-01</stp>
        <stp>2019-12-31</stp>
        <stp>3</stp>
        <tr r="F2379" s="1"/>
      </tp>
      <tp>
        <v>-8.4746263299999995</v>
        <stp/>
        <stp>EM_S_PQ_PCTCHANGE</stp>
        <stp>4</stp>
        <stp>000538</stp>
        <stp>2018-01-01</stp>
        <stp>2019-12-31</stp>
        <stp>3</stp>
        <tr r="F1317" s="1"/>
      </tp>
      <tp>
        <v>15.248226949999999</v>
        <stp/>
        <stp>EM_S_PQ_PCTCHANGE</stp>
        <stp>4</stp>
        <stp>000729</stp>
        <stp>2018-12-31</stp>
        <stp>2019-12-30</stp>
        <stp>1</stp>
        <tr r="G1469" s="1"/>
      </tp>
      <tp>
        <v>-36.362112009999997</v>
        <stp/>
        <stp>EM_S_PQ_PCTCHANGE</stp>
        <stp>4</stp>
        <stp>300508</stp>
        <stp>2018-01-01</stp>
        <stp>2019-12-31</stp>
        <stp>3</stp>
        <tr r="F1385" s="1"/>
      </tp>
      <tp>
        <v>14.88326848</v>
        <stp/>
        <stp>EM_S_PQ_PCTCHANGE</stp>
        <stp>4</stp>
        <stp>300719</stp>
        <stp>2018-12-31</stp>
        <stp>2019-12-30</stp>
        <stp>1</stp>
        <tr r="G1490" s="1"/>
      </tp>
      <tp>
        <v>-45.450802930000002</v>
        <stp/>
        <stp>EM_S_PQ_PCTCHANGE</stp>
        <stp>4</stp>
        <stp>600558</stp>
        <stp>2018-01-01</stp>
        <stp>2019-12-31</stp>
        <stp>3</stp>
        <tr r="F2115" s="1"/>
      </tp>
      <tp>
        <v>0.31982941999999998</v>
        <stp/>
        <stp>EM_S_PQ_PCTCHANGE</stp>
        <stp>4</stp>
        <stp>600749</stp>
        <stp>2018-12-31</stp>
        <stp>2019-12-30</stp>
        <stp>1</stp>
        <tr r="G2258" s="1"/>
      </tp>
      <tp>
        <v>-11.45129786</v>
        <stp/>
        <stp>EM_S_PQ_PCTCHANGE</stp>
        <stp>4</stp>
        <stp>603558</stp>
        <stp>2018-01-01</stp>
        <stp>2019-12-31</stp>
        <stp>3</stp>
        <tr r="F2587" s="1"/>
      </tp>
      <tp>
        <v>-44.139483269999999</v>
        <stp/>
        <stp>EM_S_PQ_PCTCHANGE</stp>
        <stp>4</stp>
        <stp>002538</stp>
        <stp>2018-01-01</stp>
        <stp>2019-12-31</stp>
        <stp>3</stp>
        <tr r="F2472" s="1"/>
      </tp>
      <tp>
        <v>-12.09088779</v>
        <stp/>
        <stp>EM_S_PQ_PCTCHANGE</stp>
        <stp>4</stp>
        <stp>000539</stp>
        <stp>2018-01-01</stp>
        <stp>2019-12-31</stp>
        <stp>3</stp>
        <tr r="F2832" s="1"/>
      </tp>
      <tp>
        <v>3.0285909999999999E-2</v>
        <stp/>
        <stp>EM_S_PQ_PCTCHANGE</stp>
        <stp>4</stp>
        <stp>300509</stp>
        <stp>2018-01-01</stp>
        <stp>2019-12-31</stp>
        <stp>3</stp>
        <tr r="F3148" s="1"/>
      </tp>
      <tp>
        <v>40.303657690000001</v>
        <stp/>
        <stp>EM_S_PQ_PCTCHANGE</stp>
        <stp>4</stp>
        <stp>300718</stp>
        <stp>2018-12-31</stp>
        <stp>2019-12-30</stp>
        <stp>1</stp>
        <tr r="G730" s="1"/>
      </tp>
      <tp>
        <v>-32.607799100000001</v>
        <stp/>
        <stp>EM_S_PQ_PCTCHANGE</stp>
        <stp>4</stp>
        <stp>600559</stp>
        <stp>2018-01-01</stp>
        <stp>2019-12-31</stp>
        <stp>3</stp>
        <tr r="F2704" s="1"/>
      </tp>
      <tp>
        <v>10.674157299999999</v>
        <stp/>
        <stp>EM_S_PQ_PCTCHANGE</stp>
        <stp>4</stp>
        <stp>600748</stp>
        <stp>2018-12-31</stp>
        <stp>2019-12-30</stp>
        <stp>1</stp>
        <tr r="G1694" s="1"/>
      </tp>
      <tp>
        <v>-53.819254540000003</v>
        <stp/>
        <stp>EM_S_PQ_PCTCHANGE</stp>
        <stp>4</stp>
        <stp>603559</stp>
        <stp>2018-01-01</stp>
        <stp>2019-12-31</stp>
        <stp>3</stp>
        <tr r="F3183" s="1"/>
      </tp>
      <tp>
        <v>-19.462472429999998</v>
        <stp/>
        <stp>EM_S_PQ_PCTCHANGE</stp>
        <stp>4</stp>
        <stp>002539</stp>
        <stp>2018-01-01</stp>
        <stp>2019-12-31</stp>
        <stp>3</stp>
        <tr r="F1332" s="1"/>
      </tp>
      <tp>
        <v>27.896341459999999</v>
        <stp/>
        <stp>EM_S_PQ_PCTCHANGE</stp>
        <stp>4</stp>
        <stp>002728</stp>
        <stp>2018-12-31</stp>
        <stp>2019-12-30</stp>
        <stp>1</stp>
        <tr r="G991" s="1"/>
      </tp>
      <tp>
        <v>-23.649212429999999</v>
        <stp/>
        <stp>EM_S_PQ_PCTCHANGE</stp>
        <stp>4</stp>
        <stp>000530</stp>
        <stp>2018-01-01</stp>
        <stp>2019-12-31</stp>
        <stp>3</stp>
        <tr r="F3444" s="1"/>
      </tp>
      <tp>
        <v>3.2745591900000002</v>
        <stp/>
        <stp>EM_S_PQ_PCTCHANGE</stp>
        <stp>4</stp>
        <stp>000721</stp>
        <stp>2018-12-31</stp>
        <stp>2019-12-30</stp>
        <stp>1</stp>
        <tr r="G2092" s="1"/>
      </tp>
      <tp>
        <v>-45.850214340000001</v>
        <stp/>
        <stp>EM_S_PQ_PCTCHANGE</stp>
        <stp>4</stp>
        <stp>300500</stp>
        <stp>2018-01-01</stp>
        <stp>2019-12-31</stp>
        <stp>3</stp>
        <tr r="F3235" s="1"/>
      </tp>
      <tp>
        <v>-26.527494910000001</v>
        <stp/>
        <stp>EM_S_PQ_PCTCHANGE</stp>
        <stp>4</stp>
        <stp>300711</stp>
        <stp>2018-12-31</stp>
        <stp>2019-12-30</stp>
        <stp>1</stp>
        <tr r="G3178" s="1"/>
      </tp>
      <tp>
        <v>-50.641025640000002</v>
        <stp/>
        <stp>EM_S_PQ_PCTCHANGE</stp>
        <stp>4</stp>
        <stp>600550</stp>
        <stp>2018-01-01</stp>
        <stp>2019-12-31</stp>
        <stp>3</stp>
        <tr r="F2983" s="1"/>
      </tp>
      <tp>
        <v>38.369565219999998</v>
        <stp/>
        <stp>EM_S_PQ_PCTCHANGE</stp>
        <stp>4</stp>
        <stp>600741</stp>
        <stp>2018-12-31</stp>
        <stp>2019-12-30</stp>
        <stp>1</stp>
        <tr r="G766" s="1"/>
      </tp>
      <tp>
        <v>-22.8681938</v>
        <stp/>
        <stp>EM_S_PQ_PCTCHANGE</stp>
        <stp>4</stp>
        <stp>002530</stp>
        <stp>2018-01-01</stp>
        <stp>2019-12-31</stp>
        <stp>3</stp>
        <tr r="F250" s="1"/>
      </tp>
      <tp>
        <v>-11.285266460000001</v>
        <stp/>
        <stp>EM_S_PQ_PCTCHANGE</stp>
        <stp>4</stp>
        <stp>002721</stp>
        <stp>2018-12-31</stp>
        <stp>2019-12-30</stp>
        <stp>1</stp>
        <tr r="G2808" s="1"/>
      </tp>
      <tp>
        <v>-9.1026787599999999</v>
        <stp/>
        <stp>EM_S_PQ_PCTCHANGE</stp>
        <stp>4</stp>
        <stp>000531</stp>
        <stp>2018-01-01</stp>
        <stp>2019-12-31</stp>
        <stp>3</stp>
        <tr r="F806" s="1"/>
      </tp>
      <tp>
        <v>59.365994239999999</v>
        <stp/>
        <stp>EM_S_PQ_PCTCHANGE</stp>
        <stp>4</stp>
        <stp>000720</stp>
        <stp>2018-12-31</stp>
        <stp>2019-12-30</stp>
        <stp>1</stp>
        <tr r="G432" s="1"/>
      </tp>
      <tp>
        <v>-21.934257070000001</v>
        <stp/>
        <stp>EM_S_PQ_PCTCHANGE</stp>
        <stp>4</stp>
        <stp>300501</stp>
        <stp>2018-01-01</stp>
        <stp>2019-12-31</stp>
        <stp>3</stp>
        <tr r="F3206" s="1"/>
      </tp>
      <tp>
        <v>25.715524720000001</v>
        <stp/>
        <stp>EM_S_PQ_PCTCHANGE</stp>
        <stp>4</stp>
        <stp>300710</stp>
        <stp>2018-12-31</stp>
        <stp>2019-12-30</stp>
        <stp>1</stp>
        <tr r="G1068" s="1"/>
      </tp>
      <tp>
        <v>-27.34544653</v>
        <stp/>
        <stp>EM_S_PQ_PCTCHANGE</stp>
        <stp>4</stp>
        <stp>600551</stp>
        <stp>2018-01-01</stp>
        <stp>2019-12-31</stp>
        <stp>3</stp>
        <tr r="F2574" s="1"/>
      </tp>
      <tp>
        <v>-7.9900124799999999</v>
        <stp/>
        <stp>EM_S_PQ_PCTCHANGE</stp>
        <stp>4</stp>
        <stp>600740</stp>
        <stp>2018-12-31</stp>
        <stp>2019-12-30</stp>
        <stp>1</stp>
        <tr r="G2680" s="1"/>
      </tp>
      <tp>
        <v>-20.636149209999999</v>
        <stp/>
        <stp>EM_S_PQ_PCTCHANGE</stp>
        <stp>4</stp>
        <stp>002531</stp>
        <stp>2018-01-01</stp>
        <stp>2019-12-31</stp>
        <stp>3</stp>
        <tr r="F787" s="1"/>
      </tp>
      <tp>
        <v>0</v>
        <stp/>
        <stp>EM_S_PQ_PCTCHANGE</stp>
        <stp>4</stp>
        <stp>002720</stp>
        <stp>2018-12-31</stp>
        <stp>2019-12-30</stp>
        <stp>1</stp>
        <tr r="G8" s="1"/>
      </tp>
      <tp>
        <v>14.04935429</v>
        <stp/>
        <stp>EM_S_PQ_PCTCHANGE</stp>
        <stp>4</stp>
        <stp>000532</stp>
        <stp>2018-01-01</stp>
        <stp>2019-12-31</stp>
        <stp>3</stp>
        <tr r="F1180" s="1"/>
      </tp>
      <tp>
        <v>198.44236760000001</v>
        <stp/>
        <stp>EM_S_PQ_PCTCHANGE</stp>
        <stp>4</stp>
        <stp>000723</stp>
        <stp>2018-12-31</stp>
        <stp>2019-12-30</stp>
        <stp>1</stp>
        <tr r="G44" s="1"/>
      </tp>
      <tp>
        <v>40.067670630000002</v>
        <stp/>
        <stp>EM_S_PQ_PCTCHANGE</stp>
        <stp>4</stp>
        <stp>300502</stp>
        <stp>2018-01-01</stp>
        <stp>2019-12-31</stp>
        <stp>3</stp>
        <tr r="F171" s="1"/>
      </tp>
      <tp>
        <v>-37.540603249999997</v>
        <stp/>
        <stp>EM_S_PQ_PCTCHANGE</stp>
        <stp>4</stp>
        <stp>300713</stp>
        <stp>2018-12-31</stp>
        <stp>2019-12-30</stp>
        <stp>1</stp>
        <tr r="G3292" s="1"/>
      </tp>
      <tp>
        <v>-20.217096340000001</v>
        <stp/>
        <stp>EM_S_PQ_PCTCHANGE</stp>
        <stp>4</stp>
        <stp>600552</stp>
        <stp>2018-01-01</stp>
        <stp>2019-12-31</stp>
        <stp>3</stp>
        <tr r="F420" s="1"/>
      </tp>
      <tp>
        <v>2.47933884</v>
        <stp/>
        <stp>EM_S_PQ_PCTCHANGE</stp>
        <stp>4</stp>
        <stp>600743</stp>
        <stp>2018-12-31</stp>
        <stp>2019-12-30</stp>
        <stp>1</stp>
        <tr r="G2138" s="1"/>
      </tp>
      <tp>
        <v>3.2429973300000001</v>
        <stp/>
        <stp>EM_S_PQ_PCTCHANGE</stp>
        <stp>4</stp>
        <stp>002532</stp>
        <stp>2018-01-01</stp>
        <stp>2019-12-31</stp>
        <stp>3</stp>
        <tr r="F1275" s="1"/>
      </tp>
      <tp>
        <v>4.5454545499999996</v>
        <stp/>
        <stp>EM_S_PQ_PCTCHANGE</stp>
        <stp>4</stp>
        <stp>002723</stp>
        <stp>2018-12-31</stp>
        <stp>2019-12-30</stp>
        <stp>1</stp>
        <tr r="G2029" s="1"/>
      </tp>
      <tp>
        <v>-73.985330599999998</v>
        <stp/>
        <stp>EM_S_PQ_PCTCHANGE</stp>
        <stp>4</stp>
        <stp>000533</stp>
        <stp>2018-01-01</stp>
        <stp>2019-12-31</stp>
        <stp>3</stp>
        <tr r="F3445" s="1"/>
      </tp>
      <tp>
        <v>11.27694859</v>
        <stp/>
        <stp>EM_S_PQ_PCTCHANGE</stp>
        <stp>4</stp>
        <stp>000722</stp>
        <stp>2018-12-31</stp>
        <stp>2019-12-30</stp>
        <stp>1</stp>
        <tr r="G1665" s="1"/>
      </tp>
      <tp>
        <v>-8.9801852100000001</v>
        <stp/>
        <stp>EM_S_PQ_PCTCHANGE</stp>
        <stp>4</stp>
        <stp>300503</stp>
        <stp>2018-01-01</stp>
        <stp>2019-12-31</stp>
        <stp>3</stp>
        <tr r="F978" s="1"/>
      </tp>
      <tp>
        <v>-20.314637479999998</v>
        <stp/>
        <stp>EM_S_PQ_PCTCHANGE</stp>
        <stp>4</stp>
        <stp>300712</stp>
        <stp>2018-12-31</stp>
        <stp>2019-12-30</stp>
        <stp>1</stp>
        <tr r="G3068" s="1"/>
      </tp>
      <tp>
        <v>0</v>
        <stp/>
        <stp>EM_S_PQ_PCTCHANGE</stp>
        <stp>4</stp>
        <stp>600553</stp>
        <stp>2018-01-01</stp>
        <stp>2019-12-31</stp>
        <stp>3</stp>
        <tr r="F2304" s="1"/>
      </tp>
      <tp>
        <v>21.643286570000001</v>
        <stp/>
        <stp>EM_S_PQ_PCTCHANGE</stp>
        <stp>4</stp>
        <stp>600742</stp>
        <stp>2018-12-31</stp>
        <stp>2019-12-30</stp>
        <stp>1</stp>
        <tr r="G1197" s="1"/>
      </tp>
      <tp>
        <v>-21.982769909999998</v>
        <stp/>
        <stp>EM_S_PQ_PCTCHANGE</stp>
        <stp>4</stp>
        <stp>002533</stp>
        <stp>2018-01-01</stp>
        <stp>2019-12-31</stp>
        <stp>3</stp>
        <tr r="F1582" s="1"/>
      </tp>
      <tp>
        <v>9.7183098599999997</v>
        <stp/>
        <stp>EM_S_PQ_PCTCHANGE</stp>
        <stp>4</stp>
        <stp>002722</stp>
        <stp>2018-12-31</stp>
        <stp>2019-12-30</stp>
        <stp>1</stp>
        <tr r="G1754" s="1"/>
      </tp>
      <tp>
        <v>-32.068819140000002</v>
        <stp/>
        <stp>EM_S_PQ_PCTCHANGE</stp>
        <stp>4</stp>
        <stp>000534</stp>
        <stp>2018-01-01</stp>
        <stp>2019-12-31</stp>
        <stp>3</stp>
        <tr r="F2858" s="1"/>
      </tp>
      <tp>
        <v>73.384030420000002</v>
        <stp/>
        <stp>EM_S_PQ_PCTCHANGE</stp>
        <stp>4</stp>
        <stp>000725</stp>
        <stp>2018-12-31</stp>
        <stp>2019-12-30</stp>
        <stp>1</stp>
        <tr r="G291" s="1"/>
      </tp>
      <tp>
        <v>74.670322749999997</v>
        <stp/>
        <stp>EM_S_PQ_PCTCHANGE</stp>
        <stp>4</stp>
        <stp>300504</stp>
        <stp>2018-01-01</stp>
        <stp>2019-12-31</stp>
        <stp>3</stp>
        <tr r="F2863" s="1"/>
      </tp>
      <tp>
        <v>14.3808995</v>
        <stp/>
        <stp>EM_S_PQ_PCTCHANGE</stp>
        <stp>4</stp>
        <stp>300715</stp>
        <stp>2018-12-31</stp>
        <stp>2019-12-30</stp>
        <stp>1</stp>
        <tr r="G1509" s="1"/>
      </tp>
      <tp>
        <v>337.05631803</v>
        <stp/>
        <stp>EM_S_PQ_PCTCHANGE</stp>
        <stp>4</stp>
        <stp>600745</stp>
        <stp>2018-12-31</stp>
        <stp>2019-12-30</stp>
        <stp>1</stp>
        <tr r="G24" s="1"/>
      </tp>
      <tp>
        <v>-24.494346119999999</v>
        <stp/>
        <stp>EM_S_PQ_PCTCHANGE</stp>
        <stp>4</stp>
        <stp>002534</stp>
        <stp>2018-01-01</stp>
        <stp>2019-12-31</stp>
        <stp>3</stp>
        <tr r="F721" s="1"/>
      </tp>
      <tp>
        <v>21.125</v>
        <stp/>
        <stp>EM_S_PQ_PCTCHANGE</stp>
        <stp>4</stp>
        <stp>002725</stp>
        <stp>2018-12-31</stp>
        <stp>2019-12-30</stp>
        <stp>1</stp>
        <tr r="G1230" s="1"/>
      </tp>
      <tp>
        <v>5.6248632199999999</v>
        <stp/>
        <stp>EM_S_PQ_PCTCHANGE</stp>
        <stp>4</stp>
        <stp>601555</stp>
        <stp>2018-01-01</stp>
        <stp>2019-12-31</stp>
        <stp>3</stp>
        <tr r="F582" s="1"/>
      </tp>
      <tp>
        <v>0</v>
        <stp/>
        <stp>EM_S_PQ_PCTCHANGE</stp>
        <stp>4</stp>
        <stp>000535</stp>
        <stp>2018-01-01</stp>
        <stp>2019-12-31</stp>
        <stp>3</stp>
        <tr r="F3446" s="1"/>
      </tp>
      <tp>
        <v>-25.900125679999999</v>
        <stp/>
        <stp>EM_S_PQ_PCTCHANGE</stp>
        <stp>4</stp>
        <stp>300505</stp>
        <stp>2018-01-01</stp>
        <stp>2019-12-31</stp>
        <stp>3</stp>
        <tr r="F2103" s="1"/>
      </tp>
      <tp>
        <v>-50.641025640000002</v>
        <stp/>
        <stp>EM_S_PQ_PCTCHANGE</stp>
        <stp>4</stp>
        <stp>600555</stp>
        <stp>2018-01-01</stp>
        <stp>2019-12-31</stp>
        <stp>3</stp>
        <tr r="F3045" s="1"/>
      </tp>
      <tp>
        <v>-1.9157088099999999</v>
        <stp/>
        <stp>EM_S_PQ_PCTCHANGE</stp>
        <stp>4</stp>
        <stp>600744</stp>
        <stp>2018-12-31</stp>
        <stp>2019-12-30</stp>
        <stp>1</stp>
        <tr r="G2416" s="1"/>
      </tp>
      <tp>
        <v>-66.139907239999999</v>
        <stp/>
        <stp>EM_S_PQ_PCTCHANGE</stp>
        <stp>4</stp>
        <stp>603555</stp>
        <stp>2018-01-01</stp>
        <stp>2019-12-31</stp>
        <stp>3</stp>
        <tr r="F2224" s="1"/>
      </tp>
      <tp>
        <v>-41.313559320000003</v>
        <stp/>
        <stp>EM_S_PQ_PCTCHANGE</stp>
        <stp>4</stp>
        <stp>002535</stp>
        <stp>2018-01-01</stp>
        <stp>2019-12-31</stp>
        <stp>3</stp>
        <tr r="F2901" s="1"/>
      </tp>
      <tp>
        <v>38.771593090000003</v>
        <stp/>
        <stp>EM_S_PQ_PCTCHANGE</stp>
        <stp>4</stp>
        <stp>002724</stp>
        <stp>2018-12-31</stp>
        <stp>2019-12-30</stp>
        <stp>1</stp>
        <tr r="G757" s="1"/>
      </tp>
      <tp>
        <v>-43.800178270000004</v>
        <stp/>
        <stp>EM_S_PQ_PCTCHANGE</stp>
        <stp>4</stp>
        <stp>000536</stp>
        <stp>2018-01-01</stp>
        <stp>2019-12-31</stp>
        <stp>3</stp>
        <tr r="F3447" s="1"/>
      </tp>
      <tp>
        <v>-26.204302689999999</v>
        <stp/>
        <stp>EM_S_PQ_PCTCHANGE</stp>
        <stp>4</stp>
        <stp>300506</stp>
        <stp>2018-01-01</stp>
        <stp>2019-12-31</stp>
        <stp>3</stp>
        <tr r="F3320" s="1"/>
      </tp>
      <tp>
        <v>14.15620642</v>
        <stp/>
        <stp>EM_S_PQ_PCTCHANGE</stp>
        <stp>4</stp>
        <stp>300717</stp>
        <stp>2018-12-31</stp>
        <stp>2019-12-30</stp>
        <stp>1</stp>
        <tr r="G1526" s="1"/>
      </tp>
      <tp>
        <v>73.428571430000005</v>
        <stp/>
        <stp>EM_S_PQ_PCTCHANGE</stp>
        <stp>4</stp>
        <stp>600556</stp>
        <stp>2018-01-01</stp>
        <stp>2019-12-31</stp>
        <stp>3</stp>
        <tr r="F210" s="1"/>
      </tp>
      <tp>
        <v>-80</v>
        <stp/>
        <stp>EM_S_PQ_PCTCHANGE</stp>
        <stp>4</stp>
        <stp>600747</stp>
        <stp>2018-12-31</stp>
        <stp>2019-12-30</stp>
        <stp>1</stp>
        <tr r="G3404" s="1"/>
      </tp>
      <tp>
        <v>-39.427397229999997</v>
        <stp/>
        <stp>EM_S_PQ_PCTCHANGE</stp>
        <stp>4</stp>
        <stp>603556</stp>
        <stp>2018-01-01</stp>
        <stp>2019-12-31</stp>
        <stp>3</stp>
        <tr r="F1158" s="1"/>
      </tp>
      <tp>
        <v>-44.748884140000001</v>
        <stp/>
        <stp>EM_S_PQ_PCTCHANGE</stp>
        <stp>4</stp>
        <stp>002536</stp>
        <stp>2018-01-01</stp>
        <stp>2019-12-31</stp>
        <stp>3</stp>
        <tr r="F3350" s="1"/>
      </tp>
      <tp>
        <v>29.358830149999999</v>
        <stp/>
        <stp>EM_S_PQ_PCTCHANGE</stp>
        <stp>4</stp>
        <stp>002727</stp>
        <stp>2018-12-31</stp>
        <stp>2019-12-30</stp>
        <stp>1</stp>
        <tr r="G946" s="1"/>
      </tp>
      <tp>
        <v>-37.323646979999999</v>
        <stp/>
        <stp>EM_S_PQ_PCTCHANGE</stp>
        <stp>4</stp>
        <stp>000537</stp>
        <stp>2018-01-01</stp>
        <stp>2019-12-31</stp>
        <stp>3</stp>
        <tr r="F2013" s="1"/>
      </tp>
      <tp>
        <v>-5.9732234799999997</v>
        <stp/>
        <stp>EM_S_PQ_PCTCHANGE</stp>
        <stp>4</stp>
        <stp>000726</stp>
        <stp>2018-12-31</stp>
        <stp>2019-12-30</stp>
        <stp>1</stp>
        <tr r="G2606" s="1"/>
      </tp>
      <tp>
        <v>-5.3121602299999999</v>
        <stp/>
        <stp>EM_S_PQ_PCTCHANGE</stp>
        <stp>4</stp>
        <stp>300507</stp>
        <stp>2018-01-01</stp>
        <stp>2019-12-31</stp>
        <stp>3</stp>
        <tr r="F3002" s="1"/>
      </tp>
      <tp>
        <v>-8.1777777799999996</v>
        <stp/>
        <stp>EM_S_PQ_PCTCHANGE</stp>
        <stp>4</stp>
        <stp>300716</stp>
        <stp>2018-12-31</stp>
        <stp>2019-12-30</stp>
        <stp>1</stp>
        <tr r="G2689" s="1"/>
      </tp>
      <tp>
        <v>10.522048059999999</v>
        <stp/>
        <stp>EM_S_PQ_PCTCHANGE</stp>
        <stp>4</stp>
        <stp>600557</stp>
        <stp>2018-01-01</stp>
        <stp>2019-12-31</stp>
        <stp>3</stp>
        <tr r="F737" s="1"/>
      </tp>
      <tp>
        <v>20.557491290000002</v>
        <stp/>
        <stp>EM_S_PQ_PCTCHANGE</stp>
        <stp>4</stp>
        <stp>600746</stp>
        <stp>2018-12-31</stp>
        <stp>2019-12-30</stp>
        <stp>1</stp>
        <tr r="G1254" s="1"/>
      </tp>
      <tp>
        <v>-47.776349269999997</v>
        <stp/>
        <stp>EM_S_PQ_PCTCHANGE</stp>
        <stp>4</stp>
        <stp>603557</stp>
        <stp>2018-01-01</stp>
        <stp>2019-12-31</stp>
        <stp>3</stp>
        <tr r="F1610" s="1"/>
      </tp>
      <tp>
        <v>-27.39465045</v>
        <stp/>
        <stp>EM_S_PQ_PCTCHANGE</stp>
        <stp>4</stp>
        <stp>002537</stp>
        <stp>2018-01-01</stp>
        <stp>2019-12-31</stp>
        <stp>3</stp>
        <tr r="F3234" s="1"/>
      </tp>
      <tp>
        <v>-12.38938053</v>
        <stp/>
        <stp>EM_S_PQ_PCTCHANGE</stp>
        <stp>4</stp>
        <stp>002726</stp>
        <stp>2018-12-31</stp>
        <stp>2019-12-30</stp>
        <stp>1</stp>
        <tr r="G2844" s="1"/>
      </tp>
      <tp>
        <v>9.7027771499999993</v>
        <stp/>
        <stp>EM_S_PQ_PCTCHANGE</stp>
        <stp>4</stp>
        <stp>000528</stp>
        <stp>2018-01-01</stp>
        <stp>2019-12-31</stp>
        <stp>3</stp>
        <tr r="F1542" s="1"/>
      </tp>
      <tp>
        <v>67.741935479999995</v>
        <stp/>
        <stp>EM_S_PQ_PCTCHANGE</stp>
        <stp>4</stp>
        <stp>000739</stp>
        <stp>2018-12-31</stp>
        <stp>2019-12-30</stp>
        <stp>1</stp>
        <tr r="G340" s="1"/>
      </tp>
      <tp>
        <v>-47.678263880000003</v>
        <stp/>
        <stp>EM_S_PQ_PCTCHANGE</stp>
        <stp>4</stp>
        <stp>300518</stp>
        <stp>2018-01-01</stp>
        <stp>2019-12-31</stp>
        <stp>3</stp>
        <tr r="F1346" s="1"/>
      </tp>
      <tp>
        <v>283.47859038000001</v>
        <stp/>
        <stp>EM_S_PQ_PCTCHANGE</stp>
        <stp>4</stp>
        <stp>300709</stp>
        <stp>2018-12-31</stp>
        <stp>2019-12-30</stp>
        <stp>1</stp>
        <tr r="G30" s="1"/>
      </tp>
      <tp>
        <v>42.24226299</v>
        <stp/>
        <stp>EM_S_PQ_PCTCHANGE</stp>
        <stp>4</stp>
        <stp>600548</stp>
        <stp>2018-01-01</stp>
        <stp>2019-12-31</stp>
        <stp>3</stp>
        <tr r="F1053" s="1"/>
      </tp>
      <tp>
        <v>17.372881360000001</v>
        <stp/>
        <stp>EM_S_PQ_PCTCHANGE</stp>
        <stp>4</stp>
        <stp>600759</stp>
        <stp>2018-12-31</stp>
        <stp>2019-12-30</stp>
        <stp>1</stp>
        <tr r="G1390" s="1"/>
      </tp>
      <tp>
        <v>2.5341130600000001</v>
        <stp/>
        <stp>EM_S_PQ_PCTCHANGE</stp>
        <stp>4</stp>
        <stp>002528</stp>
        <stp>2018-01-01</stp>
        <stp>2019-12-31</stp>
        <stp>3</stp>
        <tr r="F665" s="1"/>
      </tp>
      <tp>
        <v>-16.58268438</v>
        <stp/>
        <stp>EM_S_PQ_PCTCHANGE</stp>
        <stp>4</stp>
        <stp>002739</stp>
        <stp>2018-12-31</stp>
        <stp>2019-12-30</stp>
        <stp>1</stp>
        <tr r="G2975" s="1"/>
      </tp>
      <tp>
        <v>3.4838641799999999</v>
        <stp/>
        <stp>EM_S_PQ_PCTCHANGE</stp>
        <stp>4</stp>
        <stp>000529</stp>
        <stp>2018-01-01</stp>
        <stp>2019-12-31</stp>
        <stp>3</stp>
        <tr r="F546" s="1"/>
      </tp>
      <tp>
        <v>8.5406301800000008</v>
        <stp/>
        <stp>EM_S_PQ_PCTCHANGE</stp>
        <stp>4</stp>
        <stp>000738</stp>
        <stp>2018-12-31</stp>
        <stp>2019-12-30</stp>
        <stp>1</stp>
        <tr r="G1824" s="1"/>
      </tp>
      <tp>
        <v>-29.360270280000002</v>
        <stp/>
        <stp>EM_S_PQ_PCTCHANGE</stp>
        <stp>4</stp>
        <stp>300519</stp>
        <stp>2018-01-01</stp>
        <stp>2019-12-31</stp>
        <stp>3</stp>
        <tr r="F2466" s="1"/>
      </tp>
      <tp>
        <v>25.581395350000001</v>
        <stp/>
        <stp>EM_S_PQ_PCTCHANGE</stp>
        <stp>4</stp>
        <stp>300708</stp>
        <stp>2018-12-31</stp>
        <stp>2019-12-30</stp>
        <stp>1</stp>
        <tr r="G1073" s="1"/>
      </tp>
      <tp>
        <v>-32.749253549999999</v>
        <stp/>
        <stp>EM_S_PQ_PCTCHANGE</stp>
        <stp>4</stp>
        <stp>600549</stp>
        <stp>2018-01-01</stp>
        <stp>2019-12-31</stp>
        <stp>3</stp>
        <tr r="F1788" s="1"/>
      </tp>
      <tp>
        <v>32</v>
        <stp/>
        <stp>EM_S_PQ_PCTCHANGE</stp>
        <stp>4</stp>
        <stp>600758</stp>
        <stp>2018-12-31</stp>
        <stp>2019-12-30</stp>
        <stp>1</stp>
        <tr r="G884" s="1"/>
      </tp>
      <tp>
        <v>1.4876033099999999</v>
        <stp/>
        <stp>EM_S_PQ_PCTCHANGE</stp>
        <stp>4</stp>
        <stp>603758</stp>
        <stp>2018-12-31</stp>
        <stp>2019-12-30</stp>
        <stp>1</stp>
        <tr r="G2185" s="1"/>
      </tp>
      <tp>
        <v>-62.703053930000003</v>
        <stp/>
        <stp>EM_S_PQ_PCTCHANGE</stp>
        <stp>4</stp>
        <stp>002529</stp>
        <stp>2018-01-01</stp>
        <stp>2019-12-31</stp>
        <stp>3</stp>
        <tr r="F2916" s="1"/>
      </tp>
      <tp>
        <v>15.47455296</v>
        <stp/>
        <stp>EM_S_PQ_PCTCHANGE</stp>
        <stp>4</stp>
        <stp>002738</stp>
        <stp>2018-12-31</stp>
        <stp>2019-12-30</stp>
        <stp>1</stp>
        <tr r="G1459" s="1"/>
      </tp>
      <tp>
        <v>4.9751243799999996</v>
        <stp/>
        <stp>EM_S_PQ_PCTCHANGE</stp>
        <stp>4</stp>
        <stp>000520</stp>
        <stp>2018-01-01</stp>
        <stp>2019-12-31</stp>
        <stp>3</stp>
        <tr r="F641" s="1"/>
      </tp>
      <tp>
        <v>2.9880478099999999</v>
        <stp/>
        <stp>EM_S_PQ_PCTCHANGE</stp>
        <stp>4</stp>
        <stp>000731</stp>
        <stp>2018-12-31</stp>
        <stp>2019-12-30</stp>
        <stp>1</stp>
        <tr r="G2107" s="1"/>
      </tp>
      <tp>
        <v>-23.243280989999999</v>
        <stp/>
        <stp>EM_S_PQ_PCTCHANGE</stp>
        <stp>4</stp>
        <stp>300510</stp>
        <stp>2018-01-01</stp>
        <stp>2019-12-31</stp>
        <stp>3</stp>
        <tr r="F3188" s="1"/>
      </tp>
      <tp>
        <v>0.93217614999999998</v>
        <stp/>
        <stp>EM_S_PQ_PCTCHANGE</stp>
        <stp>4</stp>
        <stp>300701</stp>
        <stp>2018-12-31</stp>
        <stp>2019-12-30</stp>
        <stp>1</stp>
        <tr r="G2221" s="1"/>
      </tp>
      <tp>
        <v>-20.325203250000001</v>
        <stp/>
        <stp>EM_S_PQ_PCTCHANGE</stp>
        <stp>4</stp>
        <stp>600540</stp>
        <stp>2018-01-01</stp>
        <stp>2019-12-31</stp>
        <stp>3</stp>
        <tr r="F1667" s="1"/>
      </tp>
      <tp>
        <v>8.4870848700000003</v>
        <stp/>
        <stp>EM_S_PQ_PCTCHANGE</stp>
        <stp>4</stp>
        <stp>600751</stp>
        <stp>2018-12-31</stp>
        <stp>2019-12-30</stp>
        <stp>1</stp>
        <tr r="G1828" s="1"/>
      </tp>
      <tp>
        <v>-33.471343060000002</v>
        <stp/>
        <stp>EM_S_PQ_PCTCHANGE</stp>
        <stp>4</stp>
        <stp>002520</stp>
        <stp>2018-01-01</stp>
        <stp>2019-12-31</stp>
        <stp>3</stp>
        <tr r="F2660" s="1"/>
      </tp>
      <tp>
        <v>-56.242774570000002</v>
        <stp/>
        <stp>EM_S_PQ_PCTCHANGE</stp>
        <stp>4</stp>
        <stp>002731</stp>
        <stp>2018-12-31</stp>
        <stp>2019-12-30</stp>
        <stp>1</stp>
        <tr r="G3386" s="1"/>
      </tp>
      <tp>
        <v>-30.134410899999999</v>
        <stp/>
        <stp>EM_S_PQ_PCTCHANGE</stp>
        <stp>4</stp>
        <stp>000521</stp>
        <stp>2018-01-01</stp>
        <stp>2019-12-31</stp>
        <stp>3</stp>
        <tr r="F1492" s="1"/>
      </tp>
      <tp>
        <v>0</v>
        <stp/>
        <stp>EM_S_PQ_PCTCHANGE</stp>
        <stp>4</stp>
        <stp>000730</stp>
        <stp>2018-12-31</stp>
        <stp>2019-12-30</stp>
        <stp>1</stp>
        <tr r="G2278" s="1"/>
      </tp>
      <tp>
        <v>-45.762319269999999</v>
        <stp/>
        <stp>EM_S_PQ_PCTCHANGE</stp>
        <stp>4</stp>
        <stp>300511</stp>
        <stp>2018-01-01</stp>
        <stp>2019-12-31</stp>
        <stp>3</stp>
        <tr r="F1595" s="1"/>
      </tp>
      <tp>
        <v>-18.895116089999998</v>
        <stp/>
        <stp>EM_S_PQ_PCTCHANGE</stp>
        <stp>4</stp>
        <stp>300700</stp>
        <stp>2018-12-31</stp>
        <stp>2019-12-30</stp>
        <stp>1</stp>
        <tr r="G3042" s="1"/>
      </tp>
      <tp>
        <v>-27.170702890000001</v>
        <stp/>
        <stp>EM_S_PQ_PCTCHANGE</stp>
        <stp>4</stp>
        <stp>600750</stp>
        <stp>2018-12-31</stp>
        <stp>2019-12-30</stp>
        <stp>1</stp>
        <tr r="G3185" s="1"/>
      </tp>
      <tp>
        <v>-32.356630150000001</v>
        <stp/>
        <stp>EM_S_PQ_PCTCHANGE</stp>
        <stp>4</stp>
        <stp>002521</stp>
        <stp>2018-01-01</stp>
        <stp>2019-12-31</stp>
        <stp>3</stp>
        <tr r="F1904" s="1"/>
      </tp>
      <tp>
        <v>21.449704140000001</v>
        <stp/>
        <stp>EM_S_PQ_PCTCHANGE</stp>
        <stp>4</stp>
        <stp>002730</stp>
        <stp>2018-12-31</stp>
        <stp>2019-12-30</stp>
        <stp>1</stp>
        <tr r="G1216" s="1"/>
      </tp>
      <tp>
        <v>0</v>
        <stp/>
        <stp>EM_S_PQ_PCTCHANGE</stp>
        <stp>4</stp>
        <stp>000522</stp>
        <stp>2018-01-01</stp>
        <stp>2019-12-31</stp>
        <stp>3</stp>
        <tr r="F3442" s="1"/>
      </tp>
      <tp>
        <v>-31.52992321</v>
        <stp/>
        <stp>EM_S_PQ_PCTCHANGE</stp>
        <stp>4</stp>
        <stp>300512</stp>
        <stp>2018-01-01</stp>
        <stp>2019-12-31</stp>
        <stp>3</stp>
        <tr r="F2554" s="1"/>
      </tp>
      <tp>
        <v>-19.304229200000002</v>
        <stp/>
        <stp>EM_S_PQ_PCTCHANGE</stp>
        <stp>4</stp>
        <stp>300703</stp>
        <stp>2018-12-31</stp>
        <stp>2019-12-30</stp>
        <stp>1</stp>
        <tr r="G3050" s="1"/>
      </tp>
      <tp>
        <v>6.7438692099999997</v>
        <stp/>
        <stp>EM_S_PQ_PCTCHANGE</stp>
        <stp>4</stp>
        <stp>600753</stp>
        <stp>2018-12-31</stp>
        <stp>2019-12-30</stp>
        <stp>1</stp>
        <tr r="G1909" s="1"/>
      </tp>
      <tp>
        <v>-29.448703900000002</v>
        <stp/>
        <stp>EM_S_PQ_PCTCHANGE</stp>
        <stp>4</stp>
        <stp>002522</stp>
        <stp>2018-01-01</stp>
        <stp>2019-12-31</stp>
        <stp>3</stp>
        <tr r="F1044" s="1"/>
      </tp>
      <tp>
        <v>163.6097561</v>
        <stp/>
        <stp>EM_S_PQ_PCTCHANGE</stp>
        <stp>4</stp>
        <stp>002733</stp>
        <stp>2018-12-31</stp>
        <stp>2019-12-30</stp>
        <stp>1</stp>
        <tr r="G67" s="1"/>
      </tp>
      <tp>
        <v>13.082163059999999</v>
        <stp/>
        <stp>EM_S_PQ_PCTCHANGE</stp>
        <stp>4</stp>
        <stp>000523</stp>
        <stp>2018-01-01</stp>
        <stp>2019-12-31</stp>
        <stp>3</stp>
        <tr r="F204" s="1"/>
      </tp>
      <tp>
        <v>-55.991440799999999</v>
        <stp/>
        <stp>EM_S_PQ_PCTCHANGE</stp>
        <stp>4</stp>
        <stp>000732</stp>
        <stp>2018-12-31</stp>
        <stp>2019-12-30</stp>
        <stp>1</stp>
        <tr r="G3385" s="1"/>
      </tp>
      <tp>
        <v>-26.332177560000002</v>
        <stp/>
        <stp>EM_S_PQ_PCTCHANGE</stp>
        <stp>4</stp>
        <stp>300513</stp>
        <stp>2018-01-01</stp>
        <stp>2019-12-31</stp>
        <stp>3</stp>
        <tr r="F3312" s="1"/>
      </tp>
      <tp>
        <v>132.95194508</v>
        <stp/>
        <stp>EM_S_PQ_PCTCHANGE</stp>
        <stp>4</stp>
        <stp>300702</stp>
        <stp>2018-12-31</stp>
        <stp>2019-12-30</stp>
        <stp>1</stp>
        <tr r="G105" s="1"/>
      </tp>
      <tp>
        <v>-40.918367349999997</v>
        <stp/>
        <stp>EM_S_PQ_PCTCHANGE</stp>
        <stp>4</stp>
        <stp>600543</stp>
        <stp>2018-01-01</stp>
        <stp>2019-12-31</stp>
        <stp>3</stp>
        <tr r="F2825" s="1"/>
      </tp>
      <tp>
        <v>0</v>
        <stp/>
        <stp>EM_S_PQ_PCTCHANGE</stp>
        <stp>4</stp>
        <stp>600752</stp>
        <stp>2018-12-31</stp>
        <stp>2019-12-30</stp>
        <stp>1</stp>
        <tr r="G2319" s="1"/>
      </tp>
      <tp>
        <v>-15.352044709999999</v>
        <stp/>
        <stp>EM_S_PQ_PCTCHANGE</stp>
        <stp>4</stp>
        <stp>002523</stp>
        <stp>2018-01-01</stp>
        <stp>2019-12-31</stp>
        <stp>3</stp>
        <tr r="F2054" s="1"/>
      </tp>
      <tp>
        <v>27.878433659999999</v>
        <stp/>
        <stp>EM_S_PQ_PCTCHANGE</stp>
        <stp>4</stp>
        <stp>002732</stp>
        <stp>2018-12-31</stp>
        <stp>2019-12-30</stp>
        <stp>1</stp>
        <tr r="G992" s="1"/>
      </tp>
      <tp>
        <v>-30.553844250000001</v>
        <stp/>
        <stp>EM_S_PQ_PCTCHANGE</stp>
        <stp>4</stp>
        <stp>000524</stp>
        <stp>2018-01-01</stp>
        <stp>2019-12-31</stp>
        <stp>3</stp>
        <tr r="F1832" s="1"/>
      </tp>
      <tp>
        <v>-11.84835431</v>
        <stp/>
        <stp>EM_S_PQ_PCTCHANGE</stp>
        <stp>4</stp>
        <stp>300514</stp>
        <stp>2018-01-01</stp>
        <stp>2019-12-31</stp>
        <stp>3</stp>
        <tr r="F2250" s="1"/>
      </tp>
      <tp>
        <v>0.85251491999999995</v>
        <stp/>
        <stp>EM_S_PQ_PCTCHANGE</stp>
        <stp>4</stp>
        <stp>300705</stp>
        <stp>2018-12-31</stp>
        <stp>2019-12-30</stp>
        <stp>1</stp>
        <tr r="G2226" s="1"/>
      </tp>
      <tp>
        <v>5.3008595999999999</v>
        <stp/>
        <stp>EM_S_PQ_PCTCHANGE</stp>
        <stp>4</stp>
        <stp>600755</stp>
        <stp>2018-12-31</stp>
        <stp>2019-12-30</stp>
        <stp>1</stp>
        <tr r="G1998" s="1"/>
      </tp>
      <tp>
        <v>64.094488190000007</v>
        <stp/>
        <stp>EM_S_PQ_PCTCHANGE</stp>
        <stp>4</stp>
        <stp>002524</stp>
        <stp>2018-01-01</stp>
        <stp>2019-12-31</stp>
        <stp>3</stp>
        <tr r="F120" s="1"/>
      </tp>
      <tp>
        <v>-15.0812065</v>
        <stp/>
        <stp>EM_S_PQ_PCTCHANGE</stp>
        <stp>4</stp>
        <stp>002735</stp>
        <stp>2018-12-31</stp>
        <stp>2019-12-30</stp>
        <stp>1</stp>
        <tr r="G2934" s="1"/>
      </tp>
      <tp>
        <v>-49.677634230000002</v>
        <stp/>
        <stp>EM_S_PQ_PCTCHANGE</stp>
        <stp>4</stp>
        <stp>000525</stp>
        <stp>2018-01-01</stp>
        <stp>2019-12-31</stp>
        <stp>3</stp>
        <tr r="F3231" s="1"/>
      </tp>
      <tp>
        <v>-14.48555002</v>
        <stp/>
        <stp>EM_S_PQ_PCTCHANGE</stp>
        <stp>4</stp>
        <stp>300515</stp>
        <stp>2018-01-01</stp>
        <stp>2019-12-31</stp>
        <stp>3</stp>
        <tr r="F1615" s="1"/>
      </tp>
      <tp>
        <v>-43.551750210000002</v>
        <stp/>
        <stp>EM_S_PQ_PCTCHANGE</stp>
        <stp>4</stp>
        <stp>600545</stp>
        <stp>2018-01-01</stp>
        <stp>2019-12-31</stp>
        <stp>3</stp>
        <tr r="F3035" s="1"/>
      </tp>
      <tp>
        <v>37.042253520000003</v>
        <stp/>
        <stp>EM_S_PQ_PCTCHANGE</stp>
        <stp>4</stp>
        <stp>600754</stp>
        <stp>2018-12-31</stp>
        <stp>2019-12-30</stp>
        <stp>1</stp>
        <tr r="G789" s="1"/>
      </tp>
      <tp>
        <v>0</v>
        <stp/>
        <stp>EM_S_PQ_PCTCHANGE</stp>
        <stp>4</stp>
        <stp>002525</stp>
        <stp>2018-01-01</stp>
        <stp>2019-12-31</stp>
        <stp>3</stp>
        <tr r="F6" s="1"/>
      </tp>
      <tp>
        <v>32.421875</v>
        <stp/>
        <stp>EM_S_PQ_PCTCHANGE</stp>
        <stp>4</stp>
        <stp>002734</stp>
        <stp>2018-12-31</stp>
        <stp>2019-12-30</stp>
        <stp>1</stp>
        <tr r="G875" s="1"/>
      </tp>
      <tp>
        <v>-15.212649949999999</v>
        <stp/>
        <stp>EM_S_PQ_PCTCHANGE</stp>
        <stp>4</stp>
        <stp>000526</stp>
        <stp>2018-01-01</stp>
        <stp>2019-12-31</stp>
        <stp>3</stp>
        <tr r="F325" s="1"/>
      </tp>
      <tp>
        <v>-1.4980745</v>
        <stp/>
        <stp>EM_S_PQ_PCTCHANGE</stp>
        <stp>4</stp>
        <stp>300516</stp>
        <stp>2018-01-01</stp>
        <stp>2019-12-31</stp>
        <stp>3</stp>
        <tr r="F1820" s="1"/>
      </tp>
      <tp>
        <v>15.0060024</v>
        <stp/>
        <stp>EM_S_PQ_PCTCHANGE</stp>
        <stp>4</stp>
        <stp>300707</stp>
        <stp>2018-12-31</stp>
        <stp>2019-12-30</stp>
        <stp>1</stp>
        <tr r="G1481" s="1"/>
      </tp>
      <tp>
        <v>43.032786889999997</v>
        <stp/>
        <stp>EM_S_PQ_PCTCHANGE</stp>
        <stp>4</stp>
        <stp>600546</stp>
        <stp>2018-01-01</stp>
        <stp>2019-12-31</stp>
        <stp>3</stp>
        <tr r="F191" s="1"/>
      </tp>
      <tp>
        <v>-6.1349693299999997</v>
        <stp/>
        <stp>EM_S_PQ_PCTCHANGE</stp>
        <stp>4</stp>
        <stp>600757</stp>
        <stp>2018-12-31</stp>
        <stp>2019-12-30</stp>
        <stp>1</stp>
        <tr r="G2613" s="1"/>
      </tp>
      <tp>
        <v>-17.96916534</v>
        <stp/>
        <stp>EM_S_PQ_PCTCHANGE</stp>
        <stp>4</stp>
        <stp>603757</stp>
        <stp>2018-12-31</stp>
        <stp>2019-12-30</stp>
        <stp>1</stp>
        <tr r="G3019" s="1"/>
      </tp>
      <tp>
        <v>4.7094948600000004</v>
        <stp/>
        <stp>EM_S_PQ_PCTCHANGE</stp>
        <stp>4</stp>
        <stp>002526</stp>
        <stp>2018-01-01</stp>
        <stp>2019-12-31</stp>
        <stp>3</stp>
        <tr r="F1267" s="1"/>
      </tp>
      <tp>
        <v>-2.2327469600000001</v>
        <stp/>
        <stp>EM_S_PQ_PCTCHANGE</stp>
        <stp>4</stp>
        <stp>002737</stp>
        <stp>2018-12-31</stp>
        <stp>2019-12-30</stp>
        <stp>1</stp>
        <tr r="G2433" s="1"/>
      </tp>
      <tp>
        <v>0</v>
        <stp/>
        <stp>EM_S_PQ_PCTCHANGE</stp>
        <stp>4</stp>
        <stp>000527</stp>
        <stp>2018-01-01</stp>
        <stp>2019-12-31</stp>
        <stp>3</stp>
        <tr r="F3443" s="1"/>
      </tp>
      <tp>
        <v>-6.05652759</v>
        <stp/>
        <stp>EM_S_PQ_PCTCHANGE</stp>
        <stp>4</stp>
        <stp>000736</stp>
        <stp>2018-12-31</stp>
        <stp>2019-12-30</stp>
        <stp>1</stp>
        <tr r="G2610" s="1"/>
      </tp>
      <tp>
        <v>-22.993623469999999</v>
        <stp/>
        <stp>EM_S_PQ_PCTCHANGE</stp>
        <stp>4</stp>
        <stp>300517</stp>
        <stp>2018-01-01</stp>
        <stp>2019-12-31</stp>
        <stp>3</stp>
        <tr r="F1512" s="1"/>
      </tp>
      <tp>
        <v>15.90720795</v>
        <stp/>
        <stp>EM_S_PQ_PCTCHANGE</stp>
        <stp>4</stp>
        <stp>300706</stp>
        <stp>2018-12-31</stp>
        <stp>2019-12-30</stp>
        <stp>1</stp>
        <tr r="G1440" s="1"/>
      </tp>
      <tp>
        <v>47.380256320000001</v>
        <stp/>
        <stp>EM_S_PQ_PCTCHANGE</stp>
        <stp>4</stp>
        <stp>600547</stp>
        <stp>2018-01-01</stp>
        <stp>2019-12-31</stp>
        <stp>3</stp>
        <tr r="F1942" s="1"/>
      </tp>
      <tp>
        <v>34.728580770000001</v>
        <stp/>
        <stp>EM_S_PQ_PCTCHANGE</stp>
        <stp>4</stp>
        <stp>600756</stp>
        <stp>2018-12-31</stp>
        <stp>2019-12-30</stp>
        <stp>1</stp>
        <tr r="G829" s="1"/>
      </tp>
      <tp>
        <v>-46.944189369999997</v>
        <stp/>
        <stp>EM_S_PQ_PCTCHANGE</stp>
        <stp>4</stp>
        <stp>002527</stp>
        <stp>2018-01-01</stp>
        <stp>2019-12-31</stp>
        <stp>3</stp>
        <tr r="F2484" s="1"/>
      </tp>
      <tp>
        <v>50.89605735</v>
        <stp/>
        <stp>EM_S_PQ_PCTCHANGE</stp>
        <stp>4</stp>
        <stp>002736</stp>
        <stp>2018-12-31</stp>
        <stp>2019-12-30</stp>
        <stp>1</stp>
        <tr r="G549" s="1"/>
      </tp>
      <tp>
        <v>20.322580649999999</v>
        <stp/>
        <stp>EM_S_PQ_PCTCHANGE</stp>
        <stp>4</stp>
        <stp>601789</stp>
        <stp>2018-12-31</stp>
        <stp>2019-12-30</stp>
        <stp>1</stp>
        <tr r="G1262" s="1"/>
      </tp>
      <tp>
        <v>-3.8710858400000001</v>
        <stp/>
        <stp>EM_S_PQ_PCTCHANGE</stp>
        <stp>4</stp>
        <stp>600598</stp>
        <stp>2018-01-01</stp>
        <stp>2019-12-31</stp>
        <stp>3</stp>
        <tr r="F1569" s="1"/>
      </tp>
      <tp>
        <v>-13.24503311</v>
        <stp/>
        <stp>EM_S_PQ_PCTCHANGE</stp>
        <stp>4</stp>
        <stp>600789</stp>
        <stp>2018-12-31</stp>
        <stp>2019-12-30</stp>
        <stp>1</stp>
        <tr r="G2875" s="1"/>
      </tp>
      <tp>
        <v>14.98391814</v>
        <stp/>
        <stp>EM_S_PQ_PCTCHANGE</stp>
        <stp>4</stp>
        <stp>603598</stp>
        <stp>2018-01-01</stp>
        <stp>2019-12-31</stp>
        <stp>3</stp>
        <tr r="F273" s="1"/>
      </tp>
      <tp>
        <v>16.558441559999999</v>
        <stp/>
        <stp>EM_S_PQ_PCTCHANGE</stp>
        <stp>4</stp>
        <stp>603789</stp>
        <stp>2018-12-31</stp>
        <stp>2019-12-30</stp>
        <stp>1</stp>
        <tr r="G1413" s="1"/>
      </tp>
      <tp>
        <v>-48.324345409999999</v>
        <stp/>
        <stp>EM_S_PQ_PCTCHANGE</stp>
        <stp>4</stp>
        <stp>601599</stp>
        <stp>2018-01-01</stp>
        <stp>2019-12-31</stp>
        <stp>3</stp>
        <tr r="F1857" s="1"/>
      </tp>
      <tp>
        <v>49.144811859999997</v>
        <stp/>
        <stp>EM_S_PQ_PCTCHANGE</stp>
        <stp>4</stp>
        <stp>601788</stp>
        <stp>2018-12-31</stp>
        <stp>2019-12-30</stp>
        <stp>1</stp>
        <tr r="G576" s="1"/>
      </tp>
      <tp>
        <v>-50.036860820000001</v>
        <stp/>
        <stp>EM_S_PQ_PCTCHANGE</stp>
        <stp>4</stp>
        <stp>600599</stp>
        <stp>2018-01-01</stp>
        <stp>2019-12-31</stp>
        <stp>3</stp>
        <tr r="F2128" s="1"/>
      </tp>
      <tp>
        <v>0</v>
        <stp/>
        <stp>EM_S_PQ_PCTCHANGE</stp>
        <stp>4</stp>
        <stp>600788</stp>
        <stp>2018-12-31</stp>
        <stp>2019-12-30</stp>
        <stp>1</stp>
        <tr r="G2323" s="1"/>
      </tp>
      <tp>
        <v>-21.557801779999998</v>
        <stp/>
        <stp>EM_S_PQ_PCTCHANGE</stp>
        <stp>4</stp>
        <stp>603599</stp>
        <stp>2018-01-01</stp>
        <stp>2019-12-31</stp>
        <stp>3</stp>
        <tr r="F724" s="1"/>
      </tp>
      <tp>
        <v>10.034602080000001</v>
        <stp/>
        <stp>EM_S_PQ_PCTCHANGE</stp>
        <stp>4</stp>
        <stp>603788</stp>
        <stp>2018-12-31</stp>
        <stp>2019-12-30</stp>
        <stp>1</stp>
        <tr r="G1735" s="1"/>
      </tp>
      <tp>
        <v>-28.387316819999999</v>
        <stp/>
        <stp>EM_S_PQ_PCTCHANGE</stp>
        <stp>4</stp>
        <stp>600590</stp>
        <stp>2018-01-01</stp>
        <stp>2019-12-31</stp>
        <stp>3</stp>
        <tr r="F1835" s="1"/>
      </tp>
      <tp>
        <v>-53.833992090000002</v>
        <stp/>
        <stp>EM_S_PQ_PCTCHANGE</stp>
        <stp>4</stp>
        <stp>600781</stp>
        <stp>2018-12-31</stp>
        <stp>2019-12-30</stp>
        <stp>1</stp>
        <tr r="G3379" s="1"/>
      </tp>
      <tp>
        <v>0</v>
        <stp/>
        <stp>EM_S_PQ_PCTCHANGE</stp>
        <stp>4</stp>
        <stp>600591</stp>
        <stp>2018-01-01</stp>
        <stp>2019-12-31</stp>
        <stp>3</stp>
        <tr r="F2305" s="1"/>
      </tp>
      <tp>
        <v>8.0495356000000005</v>
        <stp/>
        <stp>EM_S_PQ_PCTCHANGE</stp>
        <stp>4</stp>
        <stp>600780</stp>
        <stp>2018-12-31</stp>
        <stp>2019-12-30</stp>
        <stp>1</stp>
        <tr r="G1853" s="1"/>
      </tp>
      <tp>
        <v>62.78419667</v>
        <stp/>
        <stp>EM_S_PQ_PCTCHANGE</stp>
        <stp>4</stp>
        <stp>600592</stp>
        <stp>2018-01-01</stp>
        <stp>2019-12-31</stp>
        <stp>3</stp>
        <tr r="F53" s="1"/>
      </tp>
      <tp>
        <v>-2.6785714299999999</v>
        <stp/>
        <stp>EM_S_PQ_PCTCHANGE</stp>
        <stp>4</stp>
        <stp>600783</stp>
        <stp>2018-12-31</stp>
        <stp>2019-12-30</stp>
        <stp>1</stp>
        <tr r="G2462" s="1"/>
      </tp>
      <tp>
        <v>119.33669922999999</v>
        <stp/>
        <stp>EM_S_PQ_PCTCHANGE</stp>
        <stp>4</stp>
        <stp>600593</stp>
        <stp>2018-01-01</stp>
        <stp>2019-12-31</stp>
        <stp>3</stp>
        <tr r="F387" s="1"/>
      </tp>
      <tp>
        <v>-0.78585461999999995</v>
        <stp/>
        <stp>EM_S_PQ_PCTCHANGE</stp>
        <stp>4</stp>
        <stp>600782</stp>
        <stp>2018-12-31</stp>
        <stp>2019-12-30</stp>
        <stp>1</stp>
        <tr r="G2374" s="1"/>
      </tp>
      <tp>
        <v>-50.998570039999997</v>
        <stp/>
        <stp>EM_S_PQ_PCTCHANGE</stp>
        <stp>4</stp>
        <stp>600594</stp>
        <stp>2018-01-01</stp>
        <stp>2019-12-31</stp>
        <stp>3</stp>
        <tr r="F2856" s="1"/>
      </tp>
      <tp>
        <v>-8.62385321</v>
        <stp/>
        <stp>EM_S_PQ_PCTCHANGE</stp>
        <stp>4</stp>
        <stp>600785</stp>
        <stp>2018-12-31</stp>
        <stp>2019-12-30</stp>
        <stp>1</stp>
        <tr r="G2709" s="1"/>
      </tp>
      <tp>
        <v>-26.54555633</v>
        <stp/>
        <stp>EM_S_PQ_PCTCHANGE</stp>
        <stp>4</stp>
        <stp>601595</stp>
        <stp>2018-01-01</stp>
        <stp>2019-12-31</stp>
        <stp>3</stp>
        <tr r="F1270" s="1"/>
      </tp>
      <tp>
        <v>-58.878504669999998</v>
        <stp/>
        <stp>EM_S_PQ_PCTCHANGE</stp>
        <stp>4</stp>
        <stp>600595</stp>
        <stp>2018-01-01</stp>
        <stp>2019-12-31</stp>
        <stp>3</stp>
        <tr r="F1620" s="1"/>
      </tp>
      <tp>
        <v>4.7430830000000004</v>
        <stp/>
        <stp>EM_S_PQ_PCTCHANGE</stp>
        <stp>4</stp>
        <stp>600784</stp>
        <stp>2018-12-31</stp>
        <stp>2019-12-30</stp>
        <stp>1</stp>
        <tr r="G2018" s="1"/>
      </tp>
      <tp>
        <v>-33.849993009999999</v>
        <stp/>
        <stp>EM_S_PQ_PCTCHANGE</stp>
        <stp>4</stp>
        <stp>603595</stp>
        <stp>2018-01-01</stp>
        <stp>2019-12-31</stp>
        <stp>3</stp>
        <tr r="F3013" s="1"/>
      </tp>
      <tp>
        <v>13.685439840000001</v>
        <stp/>
        <stp>EM_S_PQ_PCTCHANGE</stp>
        <stp>4</stp>
        <stp>600596</stp>
        <stp>2018-01-01</stp>
        <stp>2019-12-31</stp>
        <stp>3</stp>
        <tr r="F2764" s="1"/>
      </tp>
      <tp>
        <v>4.8</v>
        <stp/>
        <stp>EM_S_PQ_PCTCHANGE</stp>
        <stp>4</stp>
        <stp>600787</stp>
        <stp>2018-12-31</stp>
        <stp>2019-12-30</stp>
        <stp>1</stp>
        <tr r="G2015" s="1"/>
      </tp>
      <tp>
        <v>49.527929210000003</v>
        <stp/>
        <stp>EM_S_PQ_PCTCHANGE</stp>
        <stp>4</stp>
        <stp>603596</stp>
        <stp>2018-01-01</stp>
        <stp>2019-12-31</stp>
        <stp>3</stp>
        <tr r="F2425" s="1"/>
      </tp>
      <tp>
        <v>44.306418219999998</v>
        <stp/>
        <stp>EM_S_PQ_PCTCHANGE</stp>
        <stp>4</stp>
        <stp>603787</stp>
        <stp>2018-12-31</stp>
        <stp>2019-12-30</stp>
        <stp>1</stp>
        <tr r="G662" s="1"/>
      </tp>
      <tp>
        <v>-14.27261581</v>
        <stp/>
        <stp>EM_S_PQ_PCTCHANGE</stp>
        <stp>4</stp>
        <stp>600597</stp>
        <stp>2018-01-01</stp>
        <stp>2019-12-31</stp>
        <stp>3</stp>
        <tr r="F587" s="1"/>
      </tp>
      <tp>
        <v>0</v>
        <stp/>
        <stp>EM_S_PQ_PCTCHANGE</stp>
        <stp>4</stp>
        <stp>600786</stp>
        <stp>2018-12-31</stp>
        <stp>2019-12-30</stp>
        <stp>1</stp>
        <tr r="G2322" s="1"/>
      </tp>
      <tp>
        <v>-39.730611029999999</v>
        <stp/>
        <stp>EM_S_PQ_PCTCHANGE</stp>
        <stp>4</stp>
        <stp>601588</stp>
        <stp>2018-01-01</stp>
        <stp>2019-12-31</stp>
        <stp>3</stp>
        <tr r="F1361" s="1"/>
      </tp>
      <tp>
        <v>100.67368421</v>
        <stp/>
        <stp>EM_S_PQ_PCTCHANGE</stp>
        <stp>4</stp>
        <stp>601799</stp>
        <stp>2018-12-31</stp>
        <stp>2019-12-30</stp>
        <stp>1</stp>
        <tr r="G166" s="1"/>
      </tp>
      <tp>
        <v>129.89394648999999</v>
        <stp/>
        <stp>EM_S_PQ_PCTCHANGE</stp>
        <stp>4</stp>
        <stp>600588</stp>
        <stp>2018-01-01</stp>
        <stp>2019-12-31</stp>
        <stp>3</stp>
        <tr r="F868" s="1"/>
      </tp>
      <tp>
        <v>0</v>
        <stp/>
        <stp>EM_S_PQ_PCTCHANGE</stp>
        <stp>4</stp>
        <stp>600799</stp>
        <stp>2018-12-31</stp>
        <stp>2019-12-30</stp>
        <stp>1</stp>
        <tr r="G2325" s="1"/>
      </tp>
      <tp>
        <v>-24.72808363</v>
        <stp/>
        <stp>EM_S_PQ_PCTCHANGE</stp>
        <stp>4</stp>
        <stp>603588</stp>
        <stp>2018-01-01</stp>
        <stp>2019-12-31</stp>
        <stp>3</stp>
        <tr r="F1304" s="1"/>
      </tp>
      <tp>
        <v>30.82032547</v>
        <stp/>
        <stp>EM_S_PQ_PCTCHANGE</stp>
        <stp>4</stp>
        <stp>603799</stp>
        <stp>2018-12-31</stp>
        <stp>2019-12-30</stp>
        <stp>1</stp>
        <tr r="G912" s="1"/>
      </tp>
      <tp>
        <v>26.422764229999999</v>
        <stp/>
        <stp>EM_S_PQ_PCTCHANGE</stp>
        <stp>4</stp>
        <stp>601798</stp>
        <stp>2018-12-31</stp>
        <stp>2019-12-30</stp>
        <stp>1</stp>
        <tr r="G1042" s="1"/>
      </tp>
      <tp>
        <v>-8.7392137099999996</v>
        <stp/>
        <stp>EM_S_PQ_PCTCHANGE</stp>
        <stp>4</stp>
        <stp>600589</stp>
        <stp>2018-01-01</stp>
        <stp>2019-12-31</stp>
        <stp>3</stp>
        <tr r="F818" s="1"/>
      </tp>
      <tp>
        <v>8.9783281699999993</v>
        <stp/>
        <stp>EM_S_PQ_PCTCHANGE</stp>
        <stp>4</stp>
        <stp>600798</stp>
        <stp>2018-12-31</stp>
        <stp>2019-12-30</stp>
        <stp>1</stp>
        <tr r="G1796" s="1"/>
      </tp>
      <tp>
        <v>23.855559070000002</v>
        <stp/>
        <stp>EM_S_PQ_PCTCHANGE</stp>
        <stp>4</stp>
        <stp>603589</stp>
        <stp>2018-01-01</stp>
        <stp>2019-12-31</stp>
        <stp>3</stp>
        <tr r="F454" s="1"/>
      </tp>
      <tp>
        <v>32.245301679999997</v>
        <stp/>
        <stp>EM_S_PQ_PCTCHANGE</stp>
        <stp>4</stp>
        <stp>603798</stp>
        <stp>2018-12-31</stp>
        <stp>2019-12-30</stp>
        <stp>1</stp>
        <tr r="G878" s="1"/>
      </tp>
      <tp>
        <v>94.053222939999998</v>
        <stp/>
        <stp>EM_S_PQ_PCTCHANGE</stp>
        <stp>4</stp>
        <stp>600580</stp>
        <stp>2019-01-01</stp>
        <stp>2019-12-31</stp>
        <stp>3</stp>
        <tr r="G186" s="1"/>
      </tp>
      <tp>
        <v>54.702676140000001</v>
        <stp/>
        <stp>EM_S_PQ_PCTCHANGE</stp>
        <stp>4</stp>
        <stp>600580</stp>
        <stp>2018-01-01</stp>
        <stp>2019-12-31</stp>
        <stp>3</stp>
        <tr r="F186" s="1"/>
      </tp>
      <tp>
        <v>5.4945054899999999</v>
        <stp/>
        <stp>EM_S_PQ_PCTCHANGE</stp>
        <stp>4</stp>
        <stp>600791</stp>
        <stp>2018-12-31</stp>
        <stp>2019-12-30</stp>
        <stp>1</stp>
        <tr r="G1982" s="1"/>
      </tp>
      <tp>
        <v>-18.112757720000001</v>
        <stp/>
        <stp>EM_S_PQ_PCTCHANGE</stp>
        <stp>4</stp>
        <stp>603580</stp>
        <stp>2018-01-01</stp>
        <stp>2019-12-31</stp>
        <stp>3</stp>
        <tr r="F3094" s="1"/>
      </tp>
      <tp>
        <v>-47.917607240000002</v>
        <stp/>
        <stp>EM_S_PQ_PCTCHANGE</stp>
        <stp>4</stp>
        <stp>600581</stp>
        <stp>2018-01-01</stp>
        <stp>2019-12-31</stp>
        <stp>3</stp>
        <tr r="F2480" s="1"/>
      </tp>
      <tp>
        <v>-6.8493150700000003</v>
        <stp/>
        <stp>EM_S_PQ_PCTCHANGE</stp>
        <stp>4</stp>
        <stp>600790</stp>
        <stp>2018-12-31</stp>
        <stp>2019-12-30</stp>
        <stp>1</stp>
        <tr r="G2647" s="1"/>
      </tp>
      <tp>
        <v>-29.620801440000001</v>
        <stp/>
        <stp>EM_S_PQ_PCTCHANGE</stp>
        <stp>4</stp>
        <stp>600582</stp>
        <stp>2018-01-01</stp>
        <stp>2019-12-31</stp>
        <stp>3</stp>
        <tr r="F2641" s="1"/>
      </tp>
      <tp>
        <v>8.2488167699999995</v>
        <stp/>
        <stp>EM_S_PQ_PCTCHANGE</stp>
        <stp>4</stp>
        <stp>600793</stp>
        <stp>2018-12-31</stp>
        <stp>2019-12-30</stp>
        <stp>1</stp>
        <tr r="G1843" s="1"/>
      </tp>
      <tp>
        <v>22.127659229999999</v>
        <stp/>
        <stp>EM_S_PQ_PCTCHANGE</stp>
        <stp>4</stp>
        <stp>600583</stp>
        <stp>2018-01-01</stp>
        <stp>2019-12-31</stp>
        <stp>3</stp>
        <tr r="F616" s="1"/>
      </tp>
      <tp>
        <v>29.10447761</v>
        <stp/>
        <stp>EM_S_PQ_PCTCHANGE</stp>
        <stp>4</stp>
        <stp>600792</stp>
        <stp>2018-12-31</stp>
        <stp>2019-12-30</stp>
        <stp>1</stp>
        <tr r="G952" s="1"/>
      </tp>
      <tp>
        <v>3.15102102</v>
        <stp/>
        <stp>EM_S_PQ_PCTCHANGE</stp>
        <stp>4</stp>
        <stp>600584</stp>
        <stp>2018-01-01</stp>
        <stp>2019-12-31</stp>
        <stp>3</stp>
        <tr r="F62" s="1"/>
      </tp>
      <tp>
        <v>-9.375</v>
        <stp/>
        <stp>EM_S_PQ_PCTCHANGE</stp>
        <stp>4</stp>
        <stp>600795</stp>
        <stp>2018-12-31</stp>
        <stp>2019-12-30</stp>
        <stp>1</stp>
        <tr r="G2731" s="1"/>
      </tp>
      <tp>
        <v>101.69526195</v>
        <stp/>
        <stp>EM_S_PQ_PCTCHANGE</stp>
        <stp>4</stp>
        <stp>600585</stp>
        <stp>2018-01-01</stp>
        <stp>2019-12-31</stp>
        <stp>3</stp>
        <tr r="F248" s="1"/>
      </tp>
      <tp>
        <v>45.945945950000002</v>
        <stp/>
        <stp>EM_S_PQ_PCTCHANGE</stp>
        <stp>4</stp>
        <stp>600794</stp>
        <stp>2018-12-31</stp>
        <stp>2019-12-30</stp>
        <stp>1</stp>
        <tr r="G627" s="1"/>
      </tp>
      <tp>
        <v>-16.08244492</v>
        <stp/>
        <stp>EM_S_PQ_PCTCHANGE</stp>
        <stp>4</stp>
        <stp>603585</stp>
        <stp>2018-01-01</stp>
        <stp>2019-12-31</stp>
        <stp>3</stp>
        <tr r="F2125" s="1"/>
      </tp>
      <tp>
        <v>-34.236784159999999</v>
        <stp/>
        <stp>EM_S_PQ_PCTCHANGE</stp>
        <stp>4</stp>
        <stp>600586</stp>
        <stp>2018-01-01</stp>
        <stp>2019-12-31</stp>
        <stp>3</stp>
        <tr r="F2118" s="1"/>
      </tp>
      <tp>
        <v>40.776699030000003</v>
        <stp/>
        <stp>EM_S_PQ_PCTCHANGE</stp>
        <stp>4</stp>
        <stp>600797</stp>
        <stp>2018-12-31</stp>
        <stp>2019-12-30</stp>
        <stp>1</stp>
        <tr r="G719" s="1"/>
      </tp>
      <tp>
        <v>-24.378201990000001</v>
        <stp/>
        <stp>EM_S_PQ_PCTCHANGE</stp>
        <stp>4</stp>
        <stp>603586</stp>
        <stp>2018-01-01</stp>
        <stp>2019-12-31</stp>
        <stp>3</stp>
        <tr r="F698" s="1"/>
      </tp>
      <tp>
        <v>-6.6445182699999998</v>
        <stp/>
        <stp>EM_S_PQ_PCTCHANGE</stp>
        <stp>4</stp>
        <stp>603797</stp>
        <stp>2018-12-31</stp>
        <stp>2019-12-30</stp>
        <stp>1</stp>
        <tr r="G2635" s="1"/>
      </tp>
      <tp>
        <v>-14.417394</v>
        <stp/>
        <stp>EM_S_PQ_PCTCHANGE</stp>
        <stp>4</stp>
        <stp>600587</stp>
        <stp>2018-01-01</stp>
        <stp>2019-12-31</stp>
        <stp>3</stp>
        <tr r="F1818" s="1"/>
      </tp>
      <tp>
        <v>6.3829787199999997</v>
        <stp/>
        <stp>EM_S_PQ_PCTCHANGE</stp>
        <stp>4</stp>
        <stp>600796</stp>
        <stp>2018-12-31</stp>
        <stp>2019-12-30</stp>
        <stp>1</stp>
        <tr r="G1931" s="1"/>
      </tp>
      <tp>
        <v>-0.85264552000000005</v>
        <stp/>
        <stp>EM_S_PQ_PCTCHANGE</stp>
        <stp>4</stp>
        <stp>603587</stp>
        <stp>2018-01-01</stp>
        <stp>2019-12-31</stp>
        <stp>3</stp>
        <tr r="F1574" s="1"/>
      </tp>
      <tp>
        <v>-11.660227689999999</v>
        <stp/>
        <stp>EM_S_PQ_PCTCHANGE</stp>
        <stp>4</stp>
        <stp>000598</stp>
        <stp>2018-01-01</stp>
        <stp>2019-12-31</stp>
        <stp>3</stp>
        <tr r="F1507" s="1"/>
      </tp>
      <tp>
        <v>4.4995408599999998</v>
        <stp/>
        <stp>EM_S_PQ_PCTCHANGE</stp>
        <stp>4</stp>
        <stp>000789</stp>
        <stp>2018-12-31</stp>
        <stp>2019-12-30</stp>
        <stp>1</stp>
        <tr r="G2031" s="1"/>
      </tp>
      <tp>
        <v>-33.807508069999997</v>
        <stp/>
        <stp>EM_S_PQ_PCTCHANGE</stp>
        <stp>4</stp>
        <stp>002598</stp>
        <stp>2018-01-01</stp>
        <stp>2019-12-31</stp>
        <stp>3</stp>
        <tr r="F2728" s="1"/>
      </tp>
      <tp>
        <v>1.10361741</v>
        <stp/>
        <stp>EM_S_PQ_PCTCHANGE</stp>
        <stp>4</stp>
        <stp>002789</stp>
        <stp>2018-12-31</stp>
        <stp>2019-12-30</stp>
        <stp>1</stp>
        <tr r="G2208" s="1"/>
      </tp>
      <tp>
        <v>-24.530313979999999</v>
        <stp/>
        <stp>EM_S_PQ_PCTCHANGE</stp>
        <stp>4</stp>
        <stp>000599</stp>
        <stp>2018-01-01</stp>
        <stp>2019-12-31</stp>
        <stp>3</stp>
        <tr r="F3476" s="1"/>
      </tp>
      <tp>
        <v>23.563218389999999</v>
        <stp/>
        <stp>EM_S_PQ_PCTCHANGE</stp>
        <stp>4</stp>
        <stp>000788</stp>
        <stp>2018-12-31</stp>
        <stp>2019-12-30</stp>
        <stp>1</stp>
        <tr r="G1145" s="1"/>
      </tp>
      <tp>
        <v>-32.244063820000001</v>
        <stp/>
        <stp>EM_S_PQ_PCTCHANGE</stp>
        <stp>4</stp>
        <stp>002599</stp>
        <stp>2018-01-01</stp>
        <stp>2019-12-31</stp>
        <stp>3</stp>
        <tr r="F3370" s="1"/>
      </tp>
      <tp>
        <v>-36.846275749999997</v>
        <stp/>
        <stp>EM_S_PQ_PCTCHANGE</stp>
        <stp>4</stp>
        <stp>002788</stp>
        <stp>2018-12-31</stp>
        <stp>2019-12-30</stp>
        <stp>1</stp>
        <tr r="G3288" s="1"/>
      </tp>
      <tp>
        <v>-23.480486240000001</v>
        <stp/>
        <stp>EM_S_PQ_PCTCHANGE</stp>
        <stp>4</stp>
        <stp>000590</stp>
        <stp>2018-01-01</stp>
        <stp>2019-12-31</stp>
        <stp>3</stp>
        <tr r="F3472" s="1"/>
      </tp>
      <tp>
        <v>-47.328162390000003</v>
        <stp/>
        <stp>EM_S_PQ_PCTCHANGE</stp>
        <stp>4</stp>
        <stp>002590</stp>
        <stp>2018-01-01</stp>
        <stp>2019-12-31</stp>
        <stp>3</stp>
        <tr r="F1706" s="1"/>
      </tp>
      <tp>
        <v>14.018043029999999</v>
        <stp/>
        <stp>EM_S_PQ_PCTCHANGE</stp>
        <stp>4</stp>
        <stp>002781</stp>
        <stp>2018-12-31</stp>
        <stp>2019-12-30</stp>
        <stp>1</stp>
        <tr r="G1532" s="1"/>
      </tp>
      <tp>
        <v>-33.578887780000002</v>
        <stp/>
        <stp>EM_S_PQ_PCTCHANGE</stp>
        <stp>4</stp>
        <stp>000591</stp>
        <stp>2018-01-01</stp>
        <stp>2019-12-31</stp>
        <stp>3</stp>
        <tr r="F1170" s="1"/>
      </tp>
      <tp>
        <v>-5.0272259100000003</v>
        <stp/>
        <stp>EM_S_PQ_PCTCHANGE</stp>
        <stp>4</stp>
        <stp>002591</stp>
        <stp>2018-01-01</stp>
        <stp>2019-12-31</stp>
        <stp>3</stp>
        <tr r="F814" s="1"/>
      </tp>
      <tp>
        <v>44.338875690000002</v>
        <stp/>
        <stp>EM_S_PQ_PCTCHANGE</stp>
        <stp>4</stp>
        <stp>002780</stp>
        <stp>2018-12-31</stp>
        <stp>2019-12-30</stp>
        <stp>1</stp>
        <tr r="G661" s="1"/>
      </tp>
      <tp>
        <v>-49.565217390000001</v>
        <stp/>
        <stp>EM_S_PQ_PCTCHANGE</stp>
        <stp>4</stp>
        <stp>000592</stp>
        <stp>2018-01-01</stp>
        <stp>2019-12-31</stp>
        <stp>3</stp>
        <tr r="F1951" s="1"/>
      </tp>
      <tp>
        <v>-37.113402979999996</v>
        <stp/>
        <stp>EM_S_PQ_PCTCHANGE</stp>
        <stp>4</stp>
        <stp>002592</stp>
        <stp>2018-01-01</stp>
        <stp>2019-12-31</stp>
        <stp>3</stp>
        <tr r="F3324" s="1"/>
      </tp>
      <tp>
        <v>81.026438569999996</v>
        <stp/>
        <stp>EM_S_PQ_PCTCHANGE</stp>
        <stp>4</stp>
        <stp>002783</stp>
        <stp>2018-12-31</stp>
        <stp>2019-12-30</stp>
        <stp>1</stp>
        <tr r="G244" s="1"/>
      </tp>
      <tp>
        <v>-32.814238039999999</v>
        <stp/>
        <stp>EM_S_PQ_PCTCHANGE</stp>
        <stp>4</stp>
        <stp>000593</stp>
        <stp>2018-01-01</stp>
        <stp>2019-12-31</stp>
        <stp>3</stp>
        <tr r="F3473" s="1"/>
      </tp>
      <tp>
        <v>-18.26697892</v>
        <stp/>
        <stp>EM_S_PQ_PCTCHANGE</stp>
        <stp>4</stp>
        <stp>000782</stp>
        <stp>2018-12-31</stp>
        <stp>2019-12-30</stp>
        <stp>1</stp>
        <tr r="G3032" s="1"/>
      </tp>
      <tp>
        <v>-8.7156542100000003</v>
        <stp/>
        <stp>EM_S_PQ_PCTCHANGE</stp>
        <stp>4</stp>
        <stp>002593</stp>
        <stp>2018-01-01</stp>
        <stp>2019-12-31</stp>
        <stp>3</stp>
        <tr r="F1008" s="1"/>
      </tp>
      <tp>
        <v>-4.1894353400000002</v>
        <stp/>
        <stp>EM_S_PQ_PCTCHANGE</stp>
        <stp>4</stp>
        <stp>002782</stp>
        <stp>2018-12-31</stp>
        <stp>2019-12-30</stp>
        <stp>1</stp>
        <tr r="G2525" s="1"/>
      </tp>
      <tp>
        <v>0</v>
        <stp/>
        <stp>EM_S_PQ_PCTCHANGE</stp>
        <stp>4</stp>
        <stp>000594</stp>
        <stp>2018-01-01</stp>
        <stp>2019-12-31</stp>
        <stp>3</stp>
        <tr r="F3474" s="1"/>
      </tp>
      <tp>
        <v>50.229709040000003</v>
        <stp/>
        <stp>EM_S_PQ_PCTCHANGE</stp>
        <stp>4</stp>
        <stp>000785</stp>
        <stp>2018-12-31</stp>
        <stp>2019-12-30</stp>
        <stp>1</stp>
        <tr r="G560" s="1"/>
      </tp>
      <tp>
        <v>-26.214523379999999</v>
        <stp/>
        <stp>EM_S_PQ_PCTCHANGE</stp>
        <stp>4</stp>
        <stp>002594</stp>
        <stp>2018-01-01</stp>
        <stp>2019-12-31</stp>
        <stp>3</stp>
        <tr r="F2634" s="1"/>
      </tp>
      <tp>
        <v>54.079497910000001</v>
        <stp/>
        <stp>EM_S_PQ_PCTCHANGE</stp>
        <stp>4</stp>
        <stp>002785</stp>
        <stp>2018-12-31</stp>
        <stp>2019-12-30</stp>
        <stp>1</stp>
        <tr r="G500" s="1"/>
      </tp>
      <tp>
        <v>-38.771593090000003</v>
        <stp/>
        <stp>EM_S_PQ_PCTCHANGE</stp>
        <stp>4</stp>
        <stp>000595</stp>
        <stp>2018-01-01</stp>
        <stp>2019-12-31</stp>
        <stp>3</stp>
        <tr r="F3475" s="1"/>
      </tp>
      <tp>
        <v>2.1092248200000001</v>
        <stp/>
        <stp>EM_S_PQ_PCTCHANGE</stp>
        <stp>4</stp>
        <stp>002595</stp>
        <stp>2018-01-01</stp>
        <stp>2019-12-31</stp>
        <stp>3</stp>
        <tr r="F1354" s="1"/>
      </tp>
      <tp>
        <v>155.30992298000001</v>
        <stp/>
        <stp>EM_S_PQ_PCTCHANGE</stp>
        <stp>4</stp>
        <stp>000596</stp>
        <stp>2019-01-01</stp>
        <stp>2019-12-31</stp>
        <stp>3</stp>
        <tr r="G77" s="1"/>
      </tp>
      <tp>
        <v>112.17346571</v>
        <stp/>
        <stp>EM_S_PQ_PCTCHANGE</stp>
        <stp>4</stp>
        <stp>000596</stp>
        <stp>2018-01-01</stp>
        <stp>2019-12-31</stp>
        <stp>3</stp>
        <tr r="F77" s="1"/>
      </tp>
      <tp>
        <v>-42.623702209999998</v>
        <stp/>
        <stp>EM_S_PQ_PCTCHANGE</stp>
        <stp>4</stp>
        <stp>002596</stp>
        <stp>2018-01-01</stp>
        <stp>2019-12-31</stp>
        <stp>3</stp>
        <tr r="F1810" s="1"/>
      </tp>
      <tp>
        <v>8.1818181800000005</v>
        <stp/>
        <stp>EM_S_PQ_PCTCHANGE</stp>
        <stp>4</stp>
        <stp>002787</stp>
        <stp>2018-12-31</stp>
        <stp>2019-12-30</stp>
        <stp>1</stp>
        <tr r="G1847" s="1"/>
      </tp>
      <tp>
        <v>-5.4423897999999999</v>
        <stp/>
        <stp>EM_S_PQ_PCTCHANGE</stp>
        <stp>4</stp>
        <stp>000597</stp>
        <stp>2018-01-01</stp>
        <stp>2019-12-31</stp>
        <stp>3</stp>
        <tr r="F3256" s="1"/>
      </tp>
      <tp>
        <v>86.337209299999998</v>
        <stp/>
        <stp>EM_S_PQ_PCTCHANGE</stp>
        <stp>4</stp>
        <stp>000786</stp>
        <stp>2018-12-31</stp>
        <stp>2019-12-30</stp>
        <stp>1</stp>
        <tr r="G216" s="1"/>
      </tp>
      <tp>
        <v>-9.0399046500000004</v>
        <stp/>
        <stp>EM_S_PQ_PCTCHANGE</stp>
        <stp>4</stp>
        <stp>002597</stp>
        <stp>2018-01-01</stp>
        <stp>2019-12-31</stp>
        <stp>3</stp>
        <tr r="F765" s="1"/>
      </tp>
      <tp>
        <v>37.438423649999997</v>
        <stp/>
        <stp>EM_S_PQ_PCTCHANGE</stp>
        <stp>4</stp>
        <stp>002786</stp>
        <stp>2018-12-31</stp>
        <stp>2019-12-30</stp>
        <stp>1</stp>
        <tr r="G785" s="1"/>
      </tp>
      <tp>
        <v>0</v>
        <stp/>
        <stp>EM_S_PQ_PCTCHANGE</stp>
        <stp>4</stp>
        <stp>000588</stp>
        <stp>2018-01-01</stp>
        <stp>2019-12-31</stp>
        <stp>3</stp>
        <tr r="F3470" s="1"/>
      </tp>
      <tp>
        <v>-40.80599101</v>
        <stp/>
        <stp>EM_S_PQ_PCTCHANGE</stp>
        <stp>4</stp>
        <stp>002588</stp>
        <stp>2018-01-01</stp>
        <stp>2019-12-31</stp>
        <stp>3</stp>
        <tr r="F2389" s="1"/>
      </tp>
      <tp>
        <v>44.555278469999998</v>
        <stp/>
        <stp>EM_S_PQ_PCTCHANGE</stp>
        <stp>4</stp>
        <stp>002799</stp>
        <stp>2018-12-31</stp>
        <stp>2019-12-30</stp>
        <stp>1</stp>
        <tr r="G657" s="1"/>
      </tp>
      <tp>
        <v>-0.21413276000000001</v>
        <stp/>
        <stp>EM_S_PQ_PCTCHANGE</stp>
        <stp>4</stp>
        <stp>000589</stp>
        <stp>2018-01-01</stp>
        <stp>2019-12-31</stp>
        <stp>3</stp>
        <tr r="F3471" s="1"/>
      </tp>
      <tp>
        <v>-42.155459860000001</v>
        <stp/>
        <stp>EM_S_PQ_PCTCHANGE</stp>
        <stp>4</stp>
        <stp>002589</stp>
        <stp>2018-01-01</stp>
        <stp>2019-12-31</stp>
        <stp>3</stp>
        <tr r="F1768" s="1"/>
      </tp>
      <tp>
        <v>83.445190159999996</v>
        <stp/>
        <stp>EM_S_PQ_PCTCHANGE</stp>
        <stp>4</stp>
        <stp>002798</stp>
        <stp>2018-12-31</stp>
        <stp>2019-12-30</stp>
        <stp>1</stp>
        <tr r="G231" s="1"/>
      </tp>
      <tp>
        <v>-27.667984189999999</v>
        <stp/>
        <stp>EM_S_PQ_PCTCHANGE</stp>
        <stp>4</stp>
        <stp>000791</stp>
        <stp>2018-12-31</stp>
        <stp>2019-12-30</stp>
        <stp>1</stp>
        <tr r="G3193" s="1"/>
      </tp>
      <tp>
        <v>-35.483870969999998</v>
        <stp/>
        <stp>EM_S_PQ_PCTCHANGE</stp>
        <stp>4</stp>
        <stp>002580</stp>
        <stp>2018-01-01</stp>
        <stp>2019-12-31</stp>
        <stp>3</stp>
        <tr r="F1977" s="1"/>
      </tp>
      <tp>
        <v>207.40365112000001</v>
        <stp/>
        <stp>EM_S_PQ_PCTCHANGE</stp>
        <stp>4</stp>
        <stp>002791</stp>
        <stp>2018-12-31</stp>
        <stp>2019-12-30</stp>
        <stp>1</stp>
        <tr r="G43" s="1"/>
      </tp>
      <tp>
        <v>-10.735310610000001</v>
        <stp/>
        <stp>EM_S_PQ_PCTCHANGE</stp>
        <stp>4</stp>
        <stp>000581</stp>
        <stp>2018-01-01</stp>
        <stp>2019-12-31</stp>
        <stp>3</stp>
        <tr r="F3465" s="1"/>
      </tp>
      <tp>
        <v>8.1280788200000007</v>
        <stp/>
        <stp>EM_S_PQ_PCTCHANGE</stp>
        <stp>4</stp>
        <stp>000790</stp>
        <stp>2018-12-31</stp>
        <stp>2019-12-30</stp>
        <stp>1</stp>
        <tr r="G1849" s="1"/>
      </tp>
      <tp>
        <v>-62.232655190000003</v>
        <stp/>
        <stp>EM_S_PQ_PCTCHANGE</stp>
        <stp>4</stp>
        <stp>002581</stp>
        <stp>2018-01-01</stp>
        <stp>2019-12-31</stp>
        <stp>3</stp>
        <tr r="F2170" s="1"/>
      </tp>
      <tp>
        <v>-39.28234183</v>
        <stp/>
        <stp>EM_S_PQ_PCTCHANGE</stp>
        <stp>4</stp>
        <stp>002790</stp>
        <stp>2018-12-31</stp>
        <stp>2019-12-30</stp>
        <stp>1</stp>
        <tr r="G3304" s="1"/>
      </tp>
      <tp>
        <v>-3.2935484000000002</v>
        <stp/>
        <stp>EM_S_PQ_PCTCHANGE</stp>
        <stp>4</stp>
        <stp>000582</stp>
        <stp>2018-01-01</stp>
        <stp>2019-12-31</stp>
        <stp>3</stp>
        <tr r="F1167" s="1"/>
      </tp>
      <tp>
        <v>-27.425837229999999</v>
        <stp/>
        <stp>EM_S_PQ_PCTCHANGE</stp>
        <stp>4</stp>
        <stp>002582</stp>
        <stp>2018-01-01</stp>
        <stp>2019-12-31</stp>
        <stp>3</stp>
        <tr r="F1633" s="1"/>
      </tp>
      <tp>
        <v>34.117647060000003</v>
        <stp/>
        <stp>EM_S_PQ_PCTCHANGE</stp>
        <stp>4</stp>
        <stp>002793</stp>
        <stp>2018-12-31</stp>
        <stp>2019-12-30</stp>
        <stp>1</stp>
        <tr r="G848" s="1"/>
      </tp>
      <tp>
        <v>0</v>
        <stp/>
        <stp>EM_S_PQ_PCTCHANGE</stp>
        <stp>4</stp>
        <stp>000583</stp>
        <stp>2018-01-01</stp>
        <stp>2019-12-31</stp>
        <stp>3</stp>
        <tr r="F3466" s="1"/>
      </tp>
      <tp>
        <v>-54.286936869999998</v>
        <stp/>
        <stp>EM_S_PQ_PCTCHANGE</stp>
        <stp>4</stp>
        <stp>002583</stp>
        <stp>2018-01-01</stp>
        <stp>2019-12-31</stp>
        <stp>3</stp>
        <tr r="F1954" s="1"/>
      </tp>
      <tp>
        <v>-15.088177659999999</v>
        <stp/>
        <stp>EM_S_PQ_PCTCHANGE</stp>
        <stp>4</stp>
        <stp>002792</stp>
        <stp>2018-12-31</stp>
        <stp>2019-12-30</stp>
        <stp>1</stp>
        <tr r="G2935" s="1"/>
      </tp>
      <tp>
        <v>-57.257220179999997</v>
        <stp/>
        <stp>EM_S_PQ_PCTCHANGE</stp>
        <stp>4</stp>
        <stp>000584</stp>
        <stp>2018-01-01</stp>
        <stp>2019-12-31</stp>
        <stp>3</stp>
        <tr r="F2403" s="1"/>
      </tp>
      <tp>
        <v>72.829131649999994</v>
        <stp/>
        <stp>EM_S_PQ_PCTCHANGE</stp>
        <stp>4</stp>
        <stp>000795</stp>
        <stp>2018-12-31</stp>
        <stp>2019-12-30</stp>
        <stp>1</stp>
        <tr r="G292" s="1"/>
      </tp>
      <tp>
        <v>-71.964679910000001</v>
        <stp/>
        <stp>EM_S_PQ_PCTCHANGE</stp>
        <stp>4</stp>
        <stp>002584</stp>
        <stp>2018-01-01</stp>
        <stp>2019-12-31</stp>
        <stp>3</stp>
        <tr r="F2985" s="1"/>
      </tp>
      <tp>
        <v>-8.0974325199999999</v>
        <stp/>
        <stp>EM_S_PQ_PCTCHANGE</stp>
        <stp>4</stp>
        <stp>002795</stp>
        <stp>2018-12-31</stp>
        <stp>2019-12-30</stp>
        <stp>1</stp>
        <tr r="G2685" s="1"/>
      </tp>
      <tp>
        <v>-62.73764259</v>
        <stp/>
        <stp>EM_S_PQ_PCTCHANGE</stp>
        <stp>4</stp>
        <stp>000585</stp>
        <stp>2018-01-01</stp>
        <stp>2019-12-31</stp>
        <stp>3</stp>
        <tr r="F3467" s="1"/>
      </tp>
      <tp>
        <v>-28.295881820000002</v>
        <stp/>
        <stp>EM_S_PQ_PCTCHANGE</stp>
        <stp>4</stp>
        <stp>002585</stp>
        <stp>2018-01-01</stp>
        <stp>2019-12-31</stp>
        <stp>3</stp>
        <tr r="F2748" s="1"/>
      </tp>
      <tp>
        <v>-43.390964859999997</v>
        <stp/>
        <stp>EM_S_PQ_PCTCHANGE</stp>
        <stp>4</stp>
        <stp>000586</stp>
        <stp>2018-01-01</stp>
        <stp>2019-12-31</stp>
        <stp>3</stp>
        <tr r="F3468" s="1"/>
      </tp>
      <tp>
        <v>-23.736263739999998</v>
        <stp/>
        <stp>EM_S_PQ_PCTCHANGE</stp>
        <stp>4</stp>
        <stp>000797</stp>
        <stp>2018-12-31</stp>
        <stp>2019-12-30</stp>
        <stp>1</stp>
        <tr r="G3127" s="1"/>
      </tp>
      <tp>
        <v>-63.442913709999999</v>
        <stp/>
        <stp>EM_S_PQ_PCTCHANGE</stp>
        <stp>4</stp>
        <stp>002586</stp>
        <stp>2018-01-01</stp>
        <stp>2019-12-31</stp>
        <stp>3</stp>
        <tr r="F3213" s="1"/>
      </tp>
      <tp>
        <v>53.690036900000003</v>
        <stp/>
        <stp>EM_S_PQ_PCTCHANGE</stp>
        <stp>4</stp>
        <stp>002797</stp>
        <stp>2018-12-31</stp>
        <stp>2019-12-30</stp>
        <stp>1</stp>
        <tr r="G505" s="1"/>
      </tp>
      <tp>
        <v>-74</v>
        <stp/>
        <stp>EM_S_PQ_PCTCHANGE</stp>
        <stp>4</stp>
        <stp>000587</stp>
        <stp>2018-01-01</stp>
        <stp>2019-12-31</stp>
        <stp>3</stp>
        <tr r="F3469" s="1"/>
      </tp>
      <tp>
        <v>37.801204820000002</v>
        <stp/>
        <stp>EM_S_PQ_PCTCHANGE</stp>
        <stp>4</stp>
        <stp>000796</stp>
        <stp>2018-12-31</stp>
        <stp>2019-12-30</stp>
        <stp>1</stp>
        <tr r="G776" s="1"/>
      </tp>
      <tp>
        <v>16.86245139</v>
        <stp/>
        <stp>EM_S_PQ_PCTCHANGE</stp>
        <stp>4</stp>
        <stp>002587</stp>
        <stp>2018-01-01</stp>
        <stp>2019-12-31</stp>
        <stp>3</stp>
        <tr r="F422" s="1"/>
      </tp>
      <tp>
        <v>2.62702079</v>
        <stp/>
        <stp>EM_S_PQ_PCTCHANGE</stp>
        <stp>4</stp>
        <stp>002796</stp>
        <stp>2018-12-31</stp>
        <stp>2019-12-30</stp>
        <stp>1</stp>
        <tr r="G2130" s="1"/>
      </tp>
      <tp>
        <v>-44.571513199999998</v>
        <stp/>
        <stp>EM_S_PQ_PCTCHANGE</stp>
        <stp>4</stp>
        <stp>300588</stp>
        <stp>2018-01-01</stp>
        <stp>2019-12-31</stp>
        <stp>3</stp>
        <tr r="F2696" s="1"/>
      </tp>
      <tp>
        <v>-6.1505731700000004</v>
        <stp/>
        <stp>EM_S_PQ_PCTCHANGE</stp>
        <stp>4</stp>
        <stp>300589</stp>
        <stp>2018-01-01</stp>
        <stp>2019-12-31</stp>
        <stp>3</stp>
        <tr r="F1439" s="1"/>
      </tp>
      <tp>
        <v>-29.51294824</v>
        <stp/>
        <stp>EM_S_PQ_PCTCHANGE</stp>
        <stp>4</stp>
        <stp>300580</stp>
        <stp>2018-01-01</stp>
        <stp>2019-12-31</stp>
        <stp>3</stp>
        <tr r="F1402" s="1"/>
      </tp>
      <tp>
        <v>-3.77443017</v>
        <stp/>
        <stp>EM_S_PQ_PCTCHANGE</stp>
        <stp>4</stp>
        <stp>300581</stp>
        <stp>2018-01-01</stp>
        <stp>2019-12-31</stp>
        <stp>3</stp>
        <tr r="F989" s="1"/>
      </tp>
      <tp>
        <v>-32.201021349999998</v>
        <stp/>
        <stp>EM_S_PQ_PCTCHANGE</stp>
        <stp>4</stp>
        <stp>300582</stp>
        <stp>2018-01-01</stp>
        <stp>2019-12-31</stp>
        <stp>3</stp>
        <tr r="F1308" s="1"/>
      </tp>
      <tp>
        <v>-15.721409769999999</v>
        <stp/>
        <stp>EM_S_PQ_PCTCHANGE</stp>
        <stp>4</stp>
        <stp>300583</stp>
        <stp>2018-01-01</stp>
        <stp>2019-12-31</stp>
        <stp>3</stp>
        <tr r="F2080" s="1"/>
      </tp>
      <tp>
        <v>31.95227504</v>
        <stp/>
        <stp>EM_S_PQ_PCTCHANGE</stp>
        <stp>4</stp>
        <stp>300584</stp>
        <stp>2018-01-01</stp>
        <stp>2019-12-31</stp>
        <stp>3</stp>
        <tr r="F1602" s="1"/>
      </tp>
      <tp>
        <v>-9.1678681799999993</v>
        <stp/>
        <stp>EM_S_PQ_PCTCHANGE</stp>
        <stp>4</stp>
        <stp>300585</stp>
        <stp>2018-01-01</stp>
        <stp>2019-12-31</stp>
        <stp>3</stp>
        <tr r="F290" s="1"/>
      </tp>
      <tp>
        <v>107.9314471</v>
        <stp/>
        <stp>EM_S_PQ_PCTCHANGE</stp>
        <stp>4</stp>
        <stp>300586</stp>
        <stp>2018-01-01</stp>
        <stp>2019-12-31</stp>
        <stp>3</stp>
        <tr r="F117" s="1"/>
      </tp>
      <tp>
        <v>17.932412329999998</v>
        <stp/>
        <stp>EM_S_PQ_PCTCHANGE</stp>
        <stp>4</stp>
        <stp>300587</stp>
        <stp>2018-01-01</stp>
        <stp>2019-12-31</stp>
        <stp>3</stp>
        <tr r="F2762" s="1"/>
      </tp>
      <tp>
        <v>333.46422747000003</v>
        <stp/>
        <stp>EM_S_PQ_PCTCHANGE</stp>
        <stp>4</stp>
        <stp>300598</stp>
        <stp>2018-01-01</stp>
        <stp>2019-12-31</stp>
        <stp>3</stp>
        <tr r="F16" s="1"/>
      </tp>
      <tp>
        <v>-12.06089165</v>
        <stp/>
        <stp>EM_S_PQ_PCTCHANGE</stp>
        <stp>4</stp>
        <stp>300599</stp>
        <stp>2018-01-01</stp>
        <stp>2019-12-31</stp>
        <stp>3</stp>
        <tr r="F2093" s="1"/>
      </tp>
      <tp>
        <v>30.64359679</v>
        <stp/>
        <stp>EM_S_PQ_PCTCHANGE</stp>
        <stp>4</stp>
        <stp>300590</stp>
        <stp>2018-01-01</stp>
        <stp>2019-12-31</stp>
        <stp>3</stp>
        <tr r="F609" s="1"/>
      </tp>
      <tp>
        <v>-38.095238100000003</v>
        <stp/>
        <stp>EM_S_PQ_PCTCHANGE</stp>
        <stp>4</stp>
        <stp>300591</stp>
        <stp>2018-01-01</stp>
        <stp>2019-12-31</stp>
        <stp>3</stp>
        <tr r="F2386" s="1"/>
      </tp>
      <tp>
        <v>-33.080126180000001</v>
        <stp/>
        <stp>EM_S_PQ_PCTCHANGE</stp>
        <stp>4</stp>
        <stp>300592</stp>
        <stp>2018-01-01</stp>
        <stp>2019-12-31</stp>
        <stp>3</stp>
        <tr r="F1026" s="1"/>
      </tp>
      <tp>
        <v>19.506317889999998</v>
        <stp/>
        <stp>EM_S_PQ_PCTCHANGE</stp>
        <stp>4</stp>
        <stp>300593</stp>
        <stp>2018-01-01</stp>
        <stp>2019-12-31</stp>
        <stp>3</stp>
        <tr r="F1675" s="1"/>
      </tp>
      <tp>
        <v>204.40237325999999</v>
        <stp/>
        <stp>EM_S_PQ_PCTCHANGE</stp>
        <stp>4</stp>
        <stp>300595</stp>
        <stp>2018-01-01</stp>
        <stp>2019-12-31</stp>
        <stp>3</stp>
        <tr r="F1286" s="1"/>
      </tp>
      <tp>
        <v>99.065742990000004</v>
        <stp/>
        <stp>EM_S_PQ_PCTCHANGE</stp>
        <stp>4</stp>
        <stp>300596</stp>
        <stp>2018-01-01</stp>
        <stp>2019-12-31</stp>
        <stp>3</stp>
        <tr r="F1350" s="1"/>
      </tp>
      <tp>
        <v>-43.433369630000001</v>
        <stp/>
        <stp>EM_S_PQ_PCTCHANGE</stp>
        <stp>4</stp>
        <stp>300597</stp>
        <stp>2018-01-01</stp>
        <stp>2019-12-31</stp>
        <stp>3</stp>
        <tr r="F3046" s="1"/>
      </tp>
      <tp>
        <v>0</v>
        <stp/>
        <stp>EM_S_PQ_PCTCHANGE</stp>
        <stp>4</stp>
        <stp>000658</stp>
        <stp>2018-01-01</stp>
        <stp>2019-12-31</stp>
        <stp>3</stp>
        <tr r="F3495" s="1"/>
      </tp>
      <tp>
        <v>23.07692308</v>
        <stp/>
        <stp>EM_S_PQ_PCTCHANGE</stp>
        <stp>4</stp>
        <stp>300479</stp>
        <stp>2018-12-31</stp>
        <stp>2019-12-30</stp>
        <stp>1</stp>
        <tr r="G1154" s="1"/>
      </tp>
      <tp>
        <v>-40.614910139999999</v>
        <stp/>
        <stp>EM_S_PQ_PCTCHANGE</stp>
        <stp>4</stp>
        <stp>300668</stp>
        <stp>2018-01-01</stp>
        <stp>2019-12-31</stp>
        <stp>3</stp>
        <tr r="F2582" s="1"/>
      </tp>
      <tp>
        <v>-1.4571949</v>
        <stp/>
        <stp>EM_S_PQ_PCTCHANGE</stp>
        <stp>4</stp>
        <stp>600429</stp>
        <stp>2018-12-31</stp>
        <stp>2019-12-30</stp>
        <stp>1</stp>
        <tr r="G2394" s="1"/>
      </tp>
      <tp>
        <v>-38.451829240000002</v>
        <stp/>
        <stp>EM_S_PQ_PCTCHANGE</stp>
        <stp>4</stp>
        <stp>600638</stp>
        <stp>2018-01-01</stp>
        <stp>2019-12-31</stp>
        <stp>3</stp>
        <tr r="F3026" s="1"/>
      </tp>
      <tp>
        <v>51.986032299999998</v>
        <stp/>
        <stp>EM_S_PQ_PCTCHANGE</stp>
        <stp>4</stp>
        <stp>603429</stp>
        <stp>2018-12-31</stp>
        <stp>2019-12-30</stp>
        <stp>1</stp>
        <tr r="G535" s="1"/>
      </tp>
      <tp>
        <v>103.17439693999999</v>
        <stp/>
        <stp>EM_S_PQ_PCTCHANGE</stp>
        <stp>4</stp>
        <stp>603638</stp>
        <stp>2018-01-01</stp>
        <stp>2019-12-31</stp>
        <stp>3</stp>
        <tr r="F1019" s="1"/>
      </tp>
      <tp>
        <v>24.85549133</v>
        <stp/>
        <stp>EM_S_PQ_PCTCHANGE</stp>
        <stp>4</stp>
        <stp>002449</stp>
        <stp>2018-12-31</stp>
        <stp>2019-12-30</stp>
        <stp>1</stp>
        <tr r="G1099" s="1"/>
      </tp>
      <tp>
        <v>-42.144668830000001</v>
        <stp/>
        <stp>EM_S_PQ_PCTCHANGE</stp>
        <stp>4</stp>
        <stp>002658</stp>
        <stp>2018-01-01</stp>
        <stp>2019-12-31</stp>
        <stp>3</stp>
        <tr r="F2191" s="1"/>
      </tp>
      <tp>
        <v>-41.880341880000003</v>
        <stp/>
        <stp>EM_S_PQ_PCTCHANGE</stp>
        <stp>4</stp>
        <stp>000659</stp>
        <stp>2018-01-01</stp>
        <stp>2019-12-31</stp>
        <stp>3</stp>
        <tr r="F3261" s="1"/>
      </tp>
      <tp>
        <v>-17.464788729999999</v>
        <stp/>
        <stp>EM_S_PQ_PCTCHANGE</stp>
        <stp>4</stp>
        <stp>300478</stp>
        <stp>2018-12-31</stp>
        <stp>2019-12-30</stp>
        <stp>1</stp>
        <tr r="G3004" s="1"/>
      </tp>
      <tp>
        <v>18.08057599</v>
        <stp/>
        <stp>EM_S_PQ_PCTCHANGE</stp>
        <stp>4</stp>
        <stp>300669</stp>
        <stp>2018-01-01</stp>
        <stp>2019-12-31</stp>
        <stp>3</stp>
        <tr r="F488" s="1"/>
      </tp>
      <tp>
        <v>15.07692308</v>
        <stp/>
        <stp>EM_S_PQ_PCTCHANGE</stp>
        <stp>4</stp>
        <stp>600428</stp>
        <stp>2018-12-31</stp>
        <stp>2019-12-30</stp>
        <stp>1</stp>
        <tr r="G1477" s="1"/>
      </tp>
      <tp>
        <v>-16.93927274</v>
        <stp/>
        <stp>EM_S_PQ_PCTCHANGE</stp>
        <stp>4</stp>
        <stp>600639</stp>
        <stp>2018-01-01</stp>
        <stp>2019-12-31</stp>
        <stp>3</stp>
        <tr r="F1287" s="1"/>
      </tp>
      <tp>
        <v>-20.966453560000001</v>
        <stp/>
        <stp>EM_S_PQ_PCTCHANGE</stp>
        <stp>4</stp>
        <stp>603639</stp>
        <stp>2018-01-01</stp>
        <stp>2019-12-31</stp>
        <stp>3</stp>
        <tr r="F2640" s="1"/>
      </tp>
      <tp>
        <v>-1.4869888499999999</v>
        <stp/>
        <stp>EM_S_PQ_PCTCHANGE</stp>
        <stp>4</stp>
        <stp>002448</stp>
        <stp>2018-12-31</stp>
        <stp>2019-12-30</stp>
        <stp>1</stp>
        <tr r="G2396" s="1"/>
      </tp>
      <tp>
        <v>-50.436854650000001</v>
        <stp/>
        <stp>EM_S_PQ_PCTCHANGE</stp>
        <stp>4</stp>
        <stp>002659</stp>
        <stp>2018-01-01</stp>
        <stp>2019-12-31</stp>
        <stp>3</stp>
        <tr r="F3175" s="1"/>
      </tp>
      <tp>
        <v>25.128829060000001</v>
        <stp/>
        <stp>EM_S_PQ_PCTCHANGE</stp>
        <stp>4</stp>
        <stp>000650</stp>
        <stp>2018-01-01</stp>
        <stp>2019-12-31</stp>
        <stp>3</stp>
        <tr r="F1616" s="1"/>
      </tp>
      <tp>
        <v>67.647058819999998</v>
        <stp/>
        <stp>EM_S_PQ_PCTCHANGE</stp>
        <stp>4</stp>
        <stp>300471</stp>
        <stp>2018-12-31</stp>
        <stp>2019-12-30</stp>
        <stp>1</stp>
        <tr r="G341" s="1"/>
      </tp>
      <tp>
        <v>-39.388177650000003</v>
        <stp/>
        <stp>EM_S_PQ_PCTCHANGE</stp>
        <stp>4</stp>
        <stp>300660</stp>
        <stp>2018-01-01</stp>
        <stp>2019-12-31</stp>
        <stp>3</stp>
        <tr r="F2965" s="1"/>
      </tp>
      <tp>
        <v>7.1801566599999997</v>
        <stp/>
        <stp>EM_S_PQ_PCTCHANGE</stp>
        <stp>4</stp>
        <stp>600421</stp>
        <stp>2018-12-31</stp>
        <stp>2019-12-30</stp>
        <stp>1</stp>
        <tr r="G1884" s="1"/>
      </tp>
      <tp>
        <v>-25.459326730000001</v>
        <stp/>
        <stp>EM_S_PQ_PCTCHANGE</stp>
        <stp>4</stp>
        <stp>600630</stp>
        <stp>2018-01-01</stp>
        <stp>2019-12-31</stp>
        <stp>3</stp>
        <tr r="F2003" s="1"/>
      </tp>
      <tp>
        <v>-19.268635719999999</v>
        <stp/>
        <stp>EM_S_PQ_PCTCHANGE</stp>
        <stp>4</stp>
        <stp>603421</stp>
        <stp>2018-12-31</stp>
        <stp>2019-12-30</stp>
        <stp>1</stp>
        <tr r="G3047" s="1"/>
      </tp>
      <tp>
        <v>-34.026069290000002</v>
        <stp/>
        <stp>EM_S_PQ_PCTCHANGE</stp>
        <stp>4</stp>
        <stp>603630</stp>
        <stp>2018-01-01</stp>
        <stp>2019-12-31</stp>
        <stp>3</stp>
        <tr r="F2235" s="1"/>
      </tp>
      <tp>
        <v>13.363363359999999</v>
        <stp/>
        <stp>EM_S_PQ_PCTCHANGE</stp>
        <stp>4</stp>
        <stp>002441</stp>
        <stp>2018-12-31</stp>
        <stp>2019-12-30</stp>
        <stp>1</stp>
        <tr r="G1561" s="1"/>
      </tp>
      <tp>
        <v>-49.291784700000001</v>
        <stp/>
        <stp>EM_S_PQ_PCTCHANGE</stp>
        <stp>4</stp>
        <stp>002650</stp>
        <stp>2018-01-01</stp>
        <stp>2019-12-31</stp>
        <stp>3</stp>
        <tr r="F2392" s="1"/>
      </tp>
      <tp>
        <v>379.99932917000001</v>
        <stp/>
        <stp>EM_S_PQ_PCTCHANGE</stp>
        <stp>4</stp>
        <stp>300661</stp>
        <stp>2019-01-01</stp>
        <stp>2019-12-31</stp>
        <stp>3</stp>
        <tr r="G19" s="1"/>
      </tp>
      <tp>
        <v>56.530205819999999</v>
        <stp/>
        <stp>EM_S_PQ_PCTCHANGE</stp>
        <stp>4</stp>
        <stp>000651</stp>
        <stp>2018-01-01</stp>
        <stp>2019-12-31</stp>
        <stp>3</stp>
        <tr r="F229" s="1"/>
      </tp>
      <tp>
        <v>20.808988759999998</v>
        <stp/>
        <stp>EM_S_PQ_PCTCHANGE</stp>
        <stp>4</stp>
        <stp>300470</stp>
        <stp>2018-12-31</stp>
        <stp>2019-12-30</stp>
        <stp>1</stp>
        <tr r="G1244" s="1"/>
      </tp>
      <tp>
        <v>356.14945417000001</v>
        <stp/>
        <stp>EM_S_PQ_PCTCHANGE</stp>
        <stp>4</stp>
        <stp>300661</stp>
        <stp>2018-01-01</stp>
        <stp>2019-12-31</stp>
        <stp>3</stp>
        <tr r="F19" s="1"/>
      </tp>
      <tp>
        <v>-4.2669584199999999</v>
        <stp/>
        <stp>EM_S_PQ_PCTCHANGE</stp>
        <stp>4</stp>
        <stp>600420</stp>
        <stp>2018-12-31</stp>
        <stp>2019-12-30</stp>
        <stp>1</stp>
        <tr r="G2530" s="1"/>
      </tp>
      <tp>
        <v>0</v>
        <stp/>
        <stp>EM_S_PQ_PCTCHANGE</stp>
        <stp>4</stp>
        <stp>600631</stp>
        <stp>2018-01-01</stp>
        <stp>2019-12-31</stp>
        <stp>3</stp>
        <tr r="F2309" s="1"/>
      </tp>
      <tp>
        <v>24</v>
        <stp/>
        <stp>EM_S_PQ_PCTCHANGE</stp>
        <stp>4</stp>
        <stp>002440</stp>
        <stp>2018-12-31</stp>
        <stp>2019-12-30</stp>
        <stp>1</stp>
        <tr r="G1133" s="1"/>
      </tp>
      <tp>
        <v>-29.18343453</v>
        <stp/>
        <stp>EM_S_PQ_PCTCHANGE</stp>
        <stp>4</stp>
        <stp>002651</stp>
        <stp>2018-01-01</stp>
        <stp>2019-12-31</stp>
        <stp>3</stp>
        <tr r="F1383" s="1"/>
      </tp>
      <tp>
        <v>-13.15832496</v>
        <stp/>
        <stp>EM_S_PQ_PCTCHANGE</stp>
        <stp>4</stp>
        <stp>000652</stp>
        <stp>2018-01-01</stp>
        <stp>2019-12-31</stp>
        <stp>3</stp>
        <tr r="F1224" s="1"/>
      </tp>
      <tp>
        <v>31.403977439999998</v>
        <stp/>
        <stp>EM_S_PQ_PCTCHANGE</stp>
        <stp>4</stp>
        <stp>300473</stp>
        <stp>2018-12-31</stp>
        <stp>2019-12-30</stp>
        <stp>1</stp>
        <tr r="G898" s="1"/>
      </tp>
      <tp>
        <v>29.329476719999999</v>
        <stp/>
        <stp>EM_S_PQ_PCTCHANGE</stp>
        <stp>4</stp>
        <stp>300662</stp>
        <stp>2018-01-01</stp>
        <stp>2019-12-31</stp>
        <stp>3</stp>
        <tr r="F1399" s="1"/>
      </tp>
      <tp>
        <v>-12.303664919999999</v>
        <stp/>
        <stp>EM_S_PQ_PCTCHANGE</stp>
        <stp>4</stp>
        <stp>600423</stp>
        <stp>2018-12-31</stp>
        <stp>2019-12-30</stp>
        <stp>1</stp>
        <tr r="G2841" s="1"/>
      </tp>
      <tp>
        <v>0</v>
        <stp/>
        <stp>EM_S_PQ_PCTCHANGE</stp>
        <stp>4</stp>
        <stp>600632</stp>
        <stp>2018-01-01</stp>
        <stp>2019-12-31</stp>
        <stp>3</stp>
        <tr r="F2310" s="1"/>
      </tp>
      <tp>
        <v>25.235404899999999</v>
        <stp/>
        <stp>EM_S_PQ_PCTCHANGE</stp>
        <stp>4</stp>
        <stp>002443</stp>
        <stp>2018-12-31</stp>
        <stp>2019-12-30</stp>
        <stp>1</stp>
        <tr r="G1085" s="1"/>
      </tp>
      <tp>
        <v>-44.440964460000004</v>
        <stp/>
        <stp>EM_S_PQ_PCTCHANGE</stp>
        <stp>4</stp>
        <stp>002652</stp>
        <stp>2018-01-01</stp>
        <stp>2019-12-31</stp>
        <stp>3</stp>
        <tr r="F2182" s="1"/>
      </tp>
      <tp>
        <v>-19.011476510000001</v>
        <stp/>
        <stp>EM_S_PQ_PCTCHANGE</stp>
        <stp>4</stp>
        <stp>601633</stp>
        <stp>2018-01-01</stp>
        <stp>2019-12-31</stp>
        <stp>3</stp>
        <tr r="F446" s="1"/>
      </tp>
      <tp>
        <v>0</v>
        <stp/>
        <stp>EM_S_PQ_PCTCHANGE</stp>
        <stp>4</stp>
        <stp>000653</stp>
        <stp>2018-01-01</stp>
        <stp>2019-12-31</stp>
        <stp>3</stp>
        <tr r="F3493" s="1"/>
      </tp>
      <tp>
        <v>-2.35121234</v>
        <stp/>
        <stp>EM_S_PQ_PCTCHANGE</stp>
        <stp>4</stp>
        <stp>300472</stp>
        <stp>2018-12-31</stp>
        <stp>2019-12-30</stp>
        <stp>1</stp>
        <tr r="G2439" s="1"/>
      </tp>
      <tp>
        <v>169.75943237000001</v>
        <stp/>
        <stp>EM_S_PQ_PCTCHANGE</stp>
        <stp>4</stp>
        <stp>300663</stp>
        <stp>2018-01-01</stp>
        <stp>2019-12-31</stp>
        <stp>3</stp>
        <tr r="F224" s="1"/>
      </tp>
      <tp>
        <v>68.770226539999996</v>
        <stp/>
        <stp>EM_S_PQ_PCTCHANGE</stp>
        <stp>4</stp>
        <stp>600422</stp>
        <stp>2018-12-31</stp>
        <stp>2019-12-30</stp>
        <stp>1</stp>
        <tr r="G333" s="1"/>
      </tp>
      <tp>
        <v>-37.757288780000003</v>
        <stp/>
        <stp>EM_S_PQ_PCTCHANGE</stp>
        <stp>4</stp>
        <stp>600633</stp>
        <stp>2018-01-01</stp>
        <stp>2019-12-31</stp>
        <stp>3</stp>
        <tr r="F1476" s="1"/>
      </tp>
      <tp>
        <v>-2.2902756000000002</v>
        <stp/>
        <stp>EM_S_PQ_PCTCHANGE</stp>
        <stp>4</stp>
        <stp>603633</stp>
        <stp>2018-01-01</stp>
        <stp>2019-12-31</stp>
        <stp>3</stp>
        <tr r="F2051" s="1"/>
      </tp>
      <tp>
        <v>-22.089947089999999</v>
        <stp/>
        <stp>EM_S_PQ_PCTCHANGE</stp>
        <stp>4</stp>
        <stp>002442</stp>
        <stp>2018-12-31</stp>
        <stp>2019-12-30</stp>
        <stp>1</stp>
        <tr r="G3101" s="1"/>
      </tp>
      <tp>
        <v>86.251186340000004</v>
        <stp/>
        <stp>EM_S_PQ_PCTCHANGE</stp>
        <stp>4</stp>
        <stp>002653</stp>
        <stp>2018-01-01</stp>
        <stp>2019-12-31</stp>
        <stp>3</stp>
        <tr r="F337" s="1"/>
      </tp>
      <tp>
        <v>32.967032969999998</v>
        <stp/>
        <stp>EM_S_PQ_PCTCHANGE</stp>
        <stp>4</stp>
        <stp>300475</stp>
        <stp>2018-12-31</stp>
        <stp>2019-12-30</stp>
        <stp>1</stp>
        <tr r="G864" s="1"/>
      </tp>
      <tp>
        <v>46.789194090000002</v>
        <stp/>
        <stp>EM_S_PQ_PCTCHANGE</stp>
        <stp>4</stp>
        <stp>300664</stp>
        <stp>2018-01-01</stp>
        <stp>2019-12-31</stp>
        <stp>3</stp>
        <tr r="F1901" s="1"/>
      </tp>
      <tp>
        <v>29.692832760000002</v>
        <stp/>
        <stp>EM_S_PQ_PCTCHANGE</stp>
        <stp>4</stp>
        <stp>600425</stp>
        <stp>2018-12-31</stp>
        <stp>2019-12-30</stp>
        <stp>1</stp>
        <tr r="G935" s="1"/>
      </tp>
      <tp>
        <v>-91.915550980000006</v>
        <stp/>
        <stp>EM_S_PQ_PCTCHANGE</stp>
        <stp>4</stp>
        <stp>600634</stp>
        <stp>2018-01-01</stp>
        <stp>2019-12-31</stp>
        <stp>3</stp>
        <tr r="F3293" s="1"/>
      </tp>
      <tp>
        <v>-31.122448980000001</v>
        <stp/>
        <stp>EM_S_PQ_PCTCHANGE</stp>
        <stp>4</stp>
        <stp>002445</stp>
        <stp>2018-12-31</stp>
        <stp>2019-12-30</stp>
        <stp>1</stp>
        <tr r="G3228" s="1"/>
      </tp>
      <tp>
        <v>-14.45513755</v>
        <stp/>
        <stp>EM_S_PQ_PCTCHANGE</stp>
        <stp>4</stp>
        <stp>002654</stp>
        <stp>2018-01-01</stp>
        <stp>2019-12-31</stp>
        <stp>3</stp>
        <tr r="F606" s="1"/>
      </tp>
      <tp>
        <v>-29.464285709999999</v>
        <stp/>
        <stp>EM_S_PQ_PCTCHANGE</stp>
        <stp>4</stp>
        <stp>000655</stp>
        <stp>2018-01-01</stp>
        <stp>2019-12-31</stp>
        <stp>3</stp>
        <tr r="F3494" s="1"/>
      </tp>
      <tp>
        <v>63.27433628</v>
        <stp/>
        <stp>EM_S_PQ_PCTCHANGE</stp>
        <stp>4</stp>
        <stp>300474</stp>
        <stp>2018-12-31</stp>
        <stp>2019-12-30</stp>
        <stp>1</stp>
        <tr r="G392" s="1"/>
      </tp>
      <tp>
        <v>-39.52063167</v>
        <stp/>
        <stp>EM_S_PQ_PCTCHANGE</stp>
        <stp>4</stp>
        <stp>300665</stp>
        <stp>2018-01-01</stp>
        <stp>2019-12-31</stp>
        <stp>3</stp>
        <tr r="F1720" s="1"/>
      </tp>
      <tp>
        <v>5.6226119299999997</v>
        <stp/>
        <stp>EM_S_PQ_PCTCHANGE</stp>
        <stp>4</stp>
        <stp>600635</stp>
        <stp>2018-01-01</stp>
        <stp>2019-12-31</stp>
        <stp>3</stp>
        <tr r="F2147" s="1"/>
      </tp>
      <tp>
        <v>12.23628692</v>
        <stp/>
        <stp>EM_S_PQ_PCTCHANGE</stp>
        <stp>4</stp>
        <stp>002444</stp>
        <stp>2018-12-31</stp>
        <stp>2019-12-30</stp>
        <stp>1</stp>
        <tr r="G1624" s="1"/>
      </tp>
      <tp>
        <v>39.479166669999998</v>
        <stp/>
        <stp>EM_S_PQ_PCTCHANGE</stp>
        <stp>4</stp>
        <stp>002655</stp>
        <stp>2018-01-01</stp>
        <stp>2019-12-31</stp>
        <stp>3</stp>
        <tr r="F153" s="1"/>
      </tp>
      <tp>
        <v>0.20697974</v>
        <stp/>
        <stp>EM_S_PQ_PCTCHANGE</stp>
        <stp>4</stp>
        <stp>601636</stp>
        <stp>2018-01-01</stp>
        <stp>2019-12-31</stp>
        <stp>3</stp>
        <tr r="F666" s="1"/>
      </tp>
      <tp>
        <v>73.292631779999994</v>
        <stp/>
        <stp>EM_S_PQ_PCTCHANGE</stp>
        <stp>4</stp>
        <stp>000656</stp>
        <stp>2018-01-01</stp>
        <stp>2019-12-31</stp>
        <stp>3</stp>
        <tr r="F1182" s="1"/>
      </tp>
      <tp>
        <v>-17.991169979999999</v>
        <stp/>
        <stp>EM_S_PQ_PCTCHANGE</stp>
        <stp>4</stp>
        <stp>300477</stp>
        <stp>2018-12-31</stp>
        <stp>2019-12-30</stp>
        <stp>1</stp>
        <tr r="G3020" s="1"/>
      </tp>
      <tp>
        <v>-37.8303899</v>
        <stp/>
        <stp>EM_S_PQ_PCTCHANGE</stp>
        <stp>4</stp>
        <stp>300666</stp>
        <stp>2018-01-01</stp>
        <stp>2019-12-31</stp>
        <stp>3</stp>
        <tr r="F2037" s="1"/>
      </tp>
      <tp>
        <v>-29.464765499999999</v>
        <stp/>
        <stp>EM_S_PQ_PCTCHANGE</stp>
        <stp>4</stp>
        <stp>600636</stp>
        <stp>2018-01-01</stp>
        <stp>2019-12-31</stp>
        <stp>3</stp>
        <tr r="F2618" s="1"/>
      </tp>
      <tp>
        <v>14.612942090000001</v>
        <stp/>
        <stp>EM_S_PQ_PCTCHANGE</stp>
        <stp>4</stp>
        <stp>603636</stp>
        <stp>2018-01-01</stp>
        <stp>2019-12-31</stp>
        <stp>3</stp>
        <tr r="F1377" s="1"/>
      </tp>
      <tp>
        <v>17.40614334</v>
        <stp/>
        <stp>EM_S_PQ_PCTCHANGE</stp>
        <stp>4</stp>
        <stp>002447</stp>
        <stp>2018-12-31</stp>
        <stp>2019-12-30</stp>
        <stp>1</stp>
        <tr r="G1388" s="1"/>
      </tp>
      <tp>
        <v>-74.301957450000003</v>
        <stp/>
        <stp>EM_S_PQ_PCTCHANGE</stp>
        <stp>4</stp>
        <stp>002656</stp>
        <stp>2018-01-01</stp>
        <stp>2019-12-31</stp>
        <stp>3</stp>
        <tr r="F3289" s="1"/>
      </tp>
      <tp>
        <v>-22.80098147</v>
        <stp/>
        <stp>EM_S_PQ_PCTCHANGE</stp>
        <stp>4</stp>
        <stp>000657</stp>
        <stp>2018-01-01</stp>
        <stp>2019-12-31</stp>
        <stp>3</stp>
        <tr r="F974" s="1"/>
      </tp>
      <tp>
        <v>39.572649570000003</v>
        <stp/>
        <stp>EM_S_PQ_PCTCHANGE</stp>
        <stp>4</stp>
        <stp>300476</stp>
        <stp>2018-12-31</stp>
        <stp>2019-12-30</stp>
        <stp>1</stp>
        <tr r="G744" s="1"/>
      </tp>
      <tp>
        <v>14.386346</v>
        <stp/>
        <stp>EM_S_PQ_PCTCHANGE</stp>
        <stp>4</stp>
        <stp>300667</stp>
        <stp>2018-01-01</stp>
        <stp>2019-12-31</stp>
        <stp>3</stp>
        <tr r="F1538" s="1"/>
      </tp>
      <tp>
        <v>60.646230320000001</v>
        <stp/>
        <stp>EM_S_PQ_PCTCHANGE</stp>
        <stp>4</stp>
        <stp>600426</stp>
        <stp>2018-12-31</stp>
        <stp>2019-12-30</stp>
        <stp>1</stp>
        <tr r="G417" s="1"/>
      </tp>
      <tp>
        <v>-23.015759289999998</v>
        <stp/>
        <stp>EM_S_PQ_PCTCHANGE</stp>
        <stp>4</stp>
        <stp>600637</stp>
        <stp>2018-01-01</stp>
        <stp>2019-12-31</stp>
        <stp>3</stp>
        <tr r="F2727" s="1"/>
      </tp>
      <tp>
        <v>-14.99341562</v>
        <stp/>
        <stp>EM_S_PQ_PCTCHANGE</stp>
        <stp>4</stp>
        <stp>603637</stp>
        <stp>2018-01-01</stp>
        <stp>2019-12-31</stp>
        <stp>3</stp>
        <tr r="F2119" s="1"/>
      </tp>
      <tp>
        <v>14.664981040000001</v>
        <stp/>
        <stp>EM_S_PQ_PCTCHANGE</stp>
        <stp>4</stp>
        <stp>002446</stp>
        <stp>2018-12-31</stp>
        <stp>2019-12-30</stp>
        <stp>1</stp>
        <tr r="G1496" s="1"/>
      </tp>
      <tp>
        <v>-18.75547765</v>
        <stp/>
        <stp>EM_S_PQ_PCTCHANGE</stp>
        <stp>4</stp>
        <stp>002657</stp>
        <stp>2018-01-01</stp>
        <stp>2019-12-31</stp>
        <stp>3</stp>
        <tr r="F628" s="1"/>
      </tp>
      <tp>
        <v>17.118658740000001</v>
        <stp/>
        <stp>EM_S_PQ_PCTCHANGE</stp>
        <stp>4</stp>
        <stp>601628</stp>
        <stp>2018-01-01</stp>
        <stp>2019-12-31</stp>
        <stp>3</stp>
        <tr r="F308" s="1"/>
      </tp>
      <tp>
        <v>-16.327595200000001</v>
        <stp/>
        <stp>EM_S_PQ_PCTCHANGE</stp>
        <stp>4</stp>
        <stp>300469</stp>
        <stp>2018-12-31</stp>
        <stp>2019-12-30</stp>
        <stp>1</stp>
        <tr r="G2968" s="1"/>
      </tp>
      <tp>
        <v>-32.373390739999998</v>
        <stp/>
        <stp>EM_S_PQ_PCTCHANGE</stp>
        <stp>4</stp>
        <stp>300678</stp>
        <stp>2018-01-01</stp>
        <stp>2019-12-31</stp>
        <stp>3</stp>
        <tr r="F1418" s="1"/>
      </tp>
      <tp>
        <v>35.09433962</v>
        <stp/>
        <stp>EM_S_PQ_PCTCHANGE</stp>
        <stp>4</stp>
        <stp>600439</stp>
        <stp>2018-12-31</stp>
        <stp>2019-12-30</stp>
        <stp>1</stp>
        <tr r="G823" s="1"/>
      </tp>
      <tp>
        <v>-2.9290964499999999</v>
        <stp/>
        <stp>EM_S_PQ_PCTCHANGE</stp>
        <stp>4</stp>
        <stp>600628</stp>
        <stp>2018-01-01</stp>
        <stp>2019-12-31</stp>
        <stp>3</stp>
        <tr r="F603" s="1"/>
      </tp>
      <tp>
        <v>-43.334915410000001</v>
        <stp/>
        <stp>EM_S_PQ_PCTCHANGE</stp>
        <stp>4</stp>
        <stp>603628</stp>
        <stp>2018-01-01</stp>
        <stp>2019-12-31</stp>
        <stp>3</stp>
        <tr r="F1789" s="1"/>
      </tp>
      <tp>
        <v>32.616487460000002</v>
        <stp/>
        <stp>EM_S_PQ_PCTCHANGE</stp>
        <stp>4</stp>
        <stp>002459</stp>
        <stp>2018-12-31</stp>
        <stp>2019-12-30</stp>
        <stp>1</stp>
        <tr r="G871" s="1"/>
      </tp>
      <tp>
        <v>-0.36993549999999997</v>
        <stp/>
        <stp>EM_S_PQ_PCTCHANGE</stp>
        <stp>4</stp>
        <stp>002648</stp>
        <stp>2018-01-01</stp>
        <stp>2019-12-31</stp>
        <stp>3</stp>
        <tr r="F309" s="1"/>
      </tp>
      <tp>
        <v>181.57676348999999</v>
        <stp/>
        <stp>EM_S_PQ_PCTCHANGE</stp>
        <stp>4</stp>
        <stp>300468</stp>
        <stp>2018-12-31</stp>
        <stp>2019-12-30</stp>
        <stp>1</stp>
        <tr r="G55" s="1"/>
      </tp>
      <tp>
        <v>-3.00278709</v>
        <stp/>
        <stp>EM_S_PQ_PCTCHANGE</stp>
        <stp>4</stp>
        <stp>300679</stp>
        <stp>2018-01-01</stp>
        <stp>2019-12-31</stp>
        <stp>3</stp>
        <tr r="F739" s="1"/>
      </tp>
      <tp>
        <v>57.85024155</v>
        <stp/>
        <stp>EM_S_PQ_PCTCHANGE</stp>
        <stp>4</stp>
        <stp>600438</stp>
        <stp>2018-12-31</stp>
        <stp>2019-12-30</stp>
        <stp>1</stp>
        <tr r="G448" s="1"/>
      </tp>
      <tp>
        <v>-30.220930360000001</v>
        <stp/>
        <stp>EM_S_PQ_PCTCHANGE</stp>
        <stp>4</stp>
        <stp>600629</stp>
        <stp>2018-01-01</stp>
        <stp>2019-12-31</stp>
        <stp>3</stp>
        <tr r="F3119" s="1"/>
      </tp>
      <tp>
        <v>93.519163759999998</v>
        <stp/>
        <stp>EM_S_PQ_PCTCHANGE</stp>
        <stp>4</stp>
        <stp>002458</stp>
        <stp>2018-12-31</stp>
        <stp>2019-12-30</stp>
        <stp>1</stp>
        <tr r="G190" s="1"/>
      </tp>
      <tp>
        <v>-18.689080180000001</v>
        <stp/>
        <stp>EM_S_PQ_PCTCHANGE</stp>
        <stp>4</stp>
        <stp>002649</stp>
        <stp>2018-01-01</stp>
        <stp>2019-12-31</stp>
        <stp>3</stp>
        <tr r="F807" s="1"/>
      </tp>
      <tp>
        <v>10.886644220000001</v>
        <stp/>
        <stp>EM_S_PQ_PCTCHANGE</stp>
        <stp>4</stp>
        <stp>300461</stp>
        <stp>2018-12-31</stp>
        <stp>2019-12-30</stp>
        <stp>1</stp>
        <tr r="G1686" s="1"/>
      </tp>
      <tp>
        <v>1.1593461599999999</v>
        <stp/>
        <stp>EM_S_PQ_PCTCHANGE</stp>
        <stp>4</stp>
        <stp>300670</stp>
        <stp>2018-01-01</stp>
        <stp>2019-12-31</stp>
        <stp>3</stp>
        <tr r="F3362" s="1"/>
      </tp>
      <tp>
        <v>-38.238583089999999</v>
        <stp/>
        <stp>EM_S_PQ_PCTCHANGE</stp>
        <stp>4</stp>
        <stp>600620</stp>
        <stp>2018-01-01</stp>
        <stp>2019-12-31</stp>
        <stp>3</stp>
        <tr r="F1374" s="1"/>
      </tp>
      <tp>
        <v>-21.774856199999999</v>
        <stp/>
        <stp>EM_S_PQ_PCTCHANGE</stp>
        <stp>4</stp>
        <stp>002451</stp>
        <stp>2018-12-31</stp>
        <stp>2019-12-30</stp>
        <stp>1</stp>
        <tr r="G3095" s="1"/>
      </tp>
      <tp>
        <v>-59.338853720000003</v>
        <stp/>
        <stp>EM_S_PQ_PCTCHANGE</stp>
        <stp>4</stp>
        <stp>002640</stp>
        <stp>2018-01-01</stp>
        <stp>2019-12-31</stp>
        <stp>3</stp>
        <tr r="F3219" s="1"/>
      </tp>
      <tp>
        <v>99.761051370000004</v>
        <stp/>
        <stp>EM_S_PQ_PCTCHANGE</stp>
        <stp>4</stp>
        <stp>300460</stp>
        <stp>2018-12-31</stp>
        <stp>2019-12-30</stp>
        <stp>1</stp>
        <tr r="G170" s="1"/>
      </tp>
      <tp>
        <v>-23.250546530000001</v>
        <stp/>
        <stp>EM_S_PQ_PCTCHANGE</stp>
        <stp>4</stp>
        <stp>300671</stp>
        <stp>2018-01-01</stp>
        <stp>2019-12-31</stp>
        <stp>3</stp>
        <tr r="F929" s="1"/>
      </tp>
      <tp>
        <v>27.269943640000001</v>
        <stp/>
        <stp>EM_S_PQ_PCTCHANGE</stp>
        <stp>4</stp>
        <stp>600621</stp>
        <stp>2018-01-01</stp>
        <stp>2019-12-31</stp>
        <stp>3</stp>
        <tr r="F302" s="1"/>
      </tp>
      <tp>
        <v>-53.926701569999999</v>
        <stp/>
        <stp>EM_S_PQ_PCTCHANGE</stp>
        <stp>4</stp>
        <stp>002450</stp>
        <stp>2018-12-31</stp>
        <stp>2019-12-30</stp>
        <stp>1</stp>
        <tr r="G3380" s="1"/>
      </tp>
      <tp>
        <v>6.86532126</v>
        <stp/>
        <stp>EM_S_PQ_PCTCHANGE</stp>
        <stp>4</stp>
        <stp>002641</stp>
        <stp>2018-01-01</stp>
        <stp>2019-12-31</stp>
        <stp>3</stp>
        <tr r="F718" s="1"/>
      </tp>
      <tp>
        <v>81.917808219999998</v>
        <stp/>
        <stp>EM_S_PQ_PCTCHANGE</stp>
        <stp>4</stp>
        <stp>300463</stp>
        <stp>2018-12-31</stp>
        <stp>2019-12-30</stp>
        <stp>1</stp>
        <tr r="G238" s="1"/>
      </tp>
      <tp>
        <v>0.37694287999999998</v>
        <stp/>
        <stp>EM_S_PQ_PCTCHANGE</stp>
        <stp>4</stp>
        <stp>300672</stp>
        <stp>2018-01-01</stp>
        <stp>2019-12-31</stp>
        <stp>3</stp>
        <tr r="F1657" s="1"/>
      </tp>
      <tp>
        <v>-6.3711911399999996</v>
        <stp/>
        <stp>EM_S_PQ_PCTCHANGE</stp>
        <stp>4</stp>
        <stp>600433</stp>
        <stp>2018-12-31</stp>
        <stp>2019-12-30</stp>
        <stp>1</stp>
        <tr r="G2625" s="1"/>
      </tp>
      <tp>
        <v>-61.638248220000001</v>
        <stp/>
        <stp>EM_S_PQ_PCTCHANGE</stp>
        <stp>4</stp>
        <stp>600622</stp>
        <stp>2018-01-01</stp>
        <stp>2019-12-31</stp>
        <stp>3</stp>
        <tr r="F3247" s="1"/>
      </tp>
      <tp>
        <v>4.0384615400000001</v>
        <stp/>
        <stp>EM_S_PQ_PCTCHANGE</stp>
        <stp>4</stp>
        <stp>002453</stp>
        <stp>2018-12-31</stp>
        <stp>2019-12-30</stp>
        <stp>1</stp>
        <tr r="G2057" s="1"/>
      </tp>
      <tp>
        <v>-52.555301300000004</v>
        <stp/>
        <stp>EM_S_PQ_PCTCHANGE</stp>
        <stp>4</stp>
        <stp>002642</stp>
        <stp>2018-01-01</stp>
        <stp>2019-12-31</stp>
        <stp>3</stp>
        <tr r="F2603" s="1"/>
      </tp>
      <tp>
        <v>64.901960779999996</v>
        <stp/>
        <stp>EM_S_PQ_PCTCHANGE</stp>
        <stp>4</stp>
        <stp>300462</stp>
        <stp>2018-12-31</stp>
        <stp>2019-12-30</stp>
        <stp>1</stp>
        <tr r="G369" s="1"/>
      </tp>
      <tp>
        <v>15.50570078</v>
        <stp/>
        <stp>EM_S_PQ_PCTCHANGE</stp>
        <stp>4</stp>
        <stp>300673</stp>
        <stp>2018-01-01</stp>
        <stp>2019-12-31</stp>
        <stp>3</stp>
        <tr r="F3263" s="1"/>
      </tp>
      <tp>
        <v>0</v>
        <stp/>
        <stp>EM_S_PQ_PCTCHANGE</stp>
        <stp>4</stp>
        <stp>600432</stp>
        <stp>2018-12-31</stp>
        <stp>2019-12-30</stp>
        <stp>1</stp>
        <tr r="G2302" s="1"/>
      </tp>
      <tp>
        <v>-18.677660379999999</v>
        <stp/>
        <stp>EM_S_PQ_PCTCHANGE</stp>
        <stp>4</stp>
        <stp>600623</stp>
        <stp>2018-01-01</stp>
        <stp>2019-12-31</stp>
        <stp>3</stp>
        <tr r="F3024" s="1"/>
      </tp>
      <tp>
        <v>38.439306360000003</v>
        <stp/>
        <stp>EM_S_PQ_PCTCHANGE</stp>
        <stp>4</stp>
        <stp>002452</stp>
        <stp>2018-12-31</stp>
        <stp>2019-12-30</stp>
        <stp>1</stp>
        <tr r="G763" s="1"/>
      </tp>
      <tp>
        <v>47.280957880000003</v>
        <stp/>
        <stp>EM_S_PQ_PCTCHANGE</stp>
        <stp>4</stp>
        <stp>002643</stp>
        <stp>2018-01-01</stp>
        <stp>2019-12-31</stp>
        <stp>3</stp>
        <tr r="F561" s="1"/>
      </tp>
      <tp>
        <v>55.740432609999999</v>
        <stp/>
        <stp>EM_S_PQ_PCTCHANGE</stp>
        <stp>4</stp>
        <stp>300465</stp>
        <stp>2018-12-31</stp>
        <stp>2019-12-30</stp>
        <stp>1</stp>
        <tr r="G477" s="1"/>
      </tp>
      <tp>
        <v>13.22537112</v>
        <stp/>
        <stp>EM_S_PQ_PCTCHANGE</stp>
        <stp>4</stp>
        <stp>600435</stp>
        <stp>2018-12-31</stp>
        <stp>2019-12-30</stp>
        <stp>1</stp>
        <tr r="G1564" s="1"/>
      </tp>
      <tp>
        <v>46.590505540000002</v>
        <stp/>
        <stp>EM_S_PQ_PCTCHANGE</stp>
        <stp>4</stp>
        <stp>600624</stp>
        <stp>2018-01-01</stp>
        <stp>2019-12-31</stp>
        <stp>3</stp>
        <tr r="F437" s="1"/>
      </tp>
      <tp>
        <v>20.67594433</v>
        <stp/>
        <stp>EM_S_PQ_PCTCHANGE</stp>
        <stp>4</stp>
        <stp>002455</stp>
        <stp>2018-12-31</stp>
        <stp>2019-12-30</stp>
        <stp>1</stp>
        <tr r="G1250" s="1"/>
      </tp>
      <tp>
        <v>-22.347447020000001</v>
        <stp/>
        <stp>EM_S_PQ_PCTCHANGE</stp>
        <stp>4</stp>
        <stp>002644</stp>
        <stp>2018-01-01</stp>
        <stp>2019-12-31</stp>
        <stp>3</stp>
        <tr r="F2710" s="1"/>
      </tp>
      <tp>
        <v>92.692307690000007</v>
        <stp/>
        <stp>EM_S_PQ_PCTCHANGE</stp>
        <stp>4</stp>
        <stp>300464</stp>
        <stp>2018-12-31</stp>
        <stp>2019-12-30</stp>
        <stp>1</stp>
        <tr r="G195" s="1"/>
      </tp>
      <tp>
        <v>-48.372592150000003</v>
        <stp/>
        <stp>EM_S_PQ_PCTCHANGE</stp>
        <stp>4</stp>
        <stp>300675</stp>
        <stp>2018-01-01</stp>
        <stp>2019-12-31</stp>
        <stp>3</stp>
        <tr r="F3339" s="1"/>
      </tp>
      <tp>
        <v>0</v>
        <stp/>
        <stp>EM_S_PQ_PCTCHANGE</stp>
        <stp>4</stp>
        <stp>600625</stp>
        <stp>2018-01-01</stp>
        <stp>2019-12-31</stp>
        <stp>3</stp>
        <tr r="F2307" s="1"/>
      </tp>
      <tp>
        <v>18.826405869999999</v>
        <stp/>
        <stp>EM_S_PQ_PCTCHANGE</stp>
        <stp>4</stp>
        <stp>002454</stp>
        <stp>2018-12-31</stp>
        <stp>2019-12-30</stp>
        <stp>1</stp>
        <tr r="G1327" s="1"/>
      </tp>
      <tp>
        <v>3.59885711</v>
        <stp/>
        <stp>EM_S_PQ_PCTCHANGE</stp>
        <stp>4</stp>
        <stp>002645</stp>
        <stp>2018-01-01</stp>
        <stp>2019-12-31</stp>
        <stp>3</stp>
        <tr r="F1368" s="1"/>
      </tp>
      <tp>
        <v>-15.220235499999999</v>
        <stp/>
        <stp>EM_S_PQ_PCTCHANGE</stp>
        <stp>4</stp>
        <stp>300467</stp>
        <stp>2018-12-31</stp>
        <stp>2019-12-30</stp>
        <stp>1</stp>
        <tr r="G2940" s="1"/>
      </tp>
      <tp>
        <v>-66.733626619999995</v>
        <stp/>
        <stp>EM_S_PQ_PCTCHANGE</stp>
        <stp>4</stp>
        <stp>300676</stp>
        <stp>2018-01-01</stp>
        <stp>2019-12-31</stp>
        <stp>3</stp>
        <tr r="F1637" s="1"/>
      </tp>
      <tp>
        <v>-20.026139690000001</v>
        <stp/>
        <stp>EM_S_PQ_PCTCHANGE</stp>
        <stp>4</stp>
        <stp>600626</stp>
        <stp>2018-01-01</stp>
        <stp>2019-12-31</stp>
        <stp>3</stp>
        <tr r="F1387" s="1"/>
      </tp>
      <tp>
        <v>-46.500486510000002</v>
        <stp/>
        <stp>EM_S_PQ_PCTCHANGE</stp>
        <stp>4</stp>
        <stp>603626</stp>
        <stp>2018-01-01</stp>
        <stp>2019-12-31</stp>
        <stp>3</stp>
        <tr r="F770" s="1"/>
      </tp>
      <tp>
        <v>0.37313433000000001</v>
        <stp/>
        <stp>EM_S_PQ_PCTCHANGE</stp>
        <stp>4</stp>
        <stp>002457</stp>
        <stp>2018-12-31</stp>
        <stp>2019-12-30</stp>
        <stp>1</stp>
        <tr r="G2255" s="1"/>
      </tp>
      <tp>
        <v>-28.58506079</v>
        <stp/>
        <stp>EM_S_PQ_PCTCHANGE</stp>
        <stp>4</stp>
        <stp>002646</stp>
        <stp>2018-01-01</stp>
        <stp>2019-12-31</stp>
        <stp>3</stp>
        <tr r="F2254" s="1"/>
      </tp>
      <tp>
        <v>14.2578125</v>
        <stp/>
        <stp>EM_S_PQ_PCTCHANGE</stp>
        <stp>4</stp>
        <stp>300466</stp>
        <stp>2018-12-31</stp>
        <stp>2019-12-30</stp>
        <stp>1</stp>
        <tr r="G1519" s="1"/>
      </tp>
      <tp>
        <v>-36.088612840000003</v>
        <stp/>
        <stp>EM_S_PQ_PCTCHANGE</stp>
        <stp>4</stp>
        <stp>300677</stp>
        <stp>2018-01-01</stp>
        <stp>2019-12-31</stp>
        <stp>3</stp>
        <tr r="F1528" s="1"/>
      </tp>
      <tp>
        <v>25.978072709999999</v>
        <stp/>
        <stp>EM_S_PQ_PCTCHANGE</stp>
        <stp>4</stp>
        <stp>600436</stp>
        <stp>2018-12-31</stp>
        <stp>2019-12-30</stp>
        <stp>1</stp>
        <tr r="G1060" s="1"/>
      </tp>
      <tp>
        <v>0</v>
        <stp/>
        <stp>EM_S_PQ_PCTCHANGE</stp>
        <stp>4</stp>
        <stp>600627</stp>
        <stp>2018-01-01</stp>
        <stp>2019-12-31</stp>
        <stp>3</stp>
        <tr r="F2308" s="1"/>
      </tp>
      <tp>
        <v>69.749727969999995</v>
        <stp/>
        <stp>EM_S_PQ_PCTCHANGE</stp>
        <stp>4</stp>
        <stp>002456</stp>
        <stp>2018-12-31</stp>
        <stp>2019-12-30</stp>
        <stp>1</stp>
        <tr r="G316" s="1"/>
      </tp>
      <tp>
        <v>-22.71366591</v>
        <stp/>
        <stp>EM_S_PQ_PCTCHANGE</stp>
        <stp>4</stp>
        <stp>002647</stp>
        <stp>2018-01-01</stp>
        <stp>2019-12-31</stp>
        <stp>3</stp>
        <tr r="F963" s="1"/>
      </tp>
      <tp>
        <v>-39.50122631</v>
        <stp/>
        <stp>EM_S_PQ_PCTCHANGE</stp>
        <stp>4</stp>
        <stp>601618</stp>
        <stp>2018-01-01</stp>
        <stp>2019-12-31</stp>
        <stp>3</stp>
        <tr r="F2782" s="1"/>
      </tp>
      <tp>
        <v>-13.895781639999999</v>
        <stp/>
        <stp>EM_S_PQ_PCTCHANGE</stp>
        <stp>4</stp>
        <stp>000678</stp>
        <stp>2018-01-01</stp>
        <stp>2019-12-31</stp>
        <stp>3</stp>
        <tr r="F3505" s="1"/>
      </tp>
      <tp>
        <v>-56.46258503</v>
        <stp/>
        <stp>EM_S_PQ_PCTCHANGE</stp>
        <stp>4</stp>
        <stp>300459</stp>
        <stp>2018-12-31</stp>
        <stp>2019-12-30</stp>
        <stp>1</stp>
        <tr r="G3387" s="1"/>
      </tp>
      <tp>
        <v>-52.908924540000001</v>
        <stp/>
        <stp>EM_S_PQ_PCTCHANGE</stp>
        <stp>4</stp>
        <stp>300648</stp>
        <stp>2018-01-01</stp>
        <stp>2019-12-31</stp>
        <stp>3</stp>
        <tr r="F2494" s="1"/>
      </tp>
      <tp>
        <v>9.7902097900000005</v>
        <stp/>
        <stp>EM_S_PQ_PCTCHANGE</stp>
        <stp>4</stp>
        <stp>600409</stp>
        <stp>2018-12-31</stp>
        <stp>2019-12-30</stp>
        <stp>1</stp>
        <tr r="G1750" s="1"/>
      </tp>
      <tp>
        <v>-30.519040499999999</v>
        <stp/>
        <stp>EM_S_PQ_PCTCHANGE</stp>
        <stp>4</stp>
        <stp>600618</stp>
        <stp>2018-01-01</stp>
        <stp>2019-12-31</stp>
        <stp>3</stp>
        <tr r="F1601" s="1"/>
      </tp>
      <tp>
        <v>-38.079979989999998</v>
        <stp/>
        <stp>EM_S_PQ_PCTCHANGE</stp>
        <stp>4</stp>
        <stp>603618</stp>
        <stp>2018-01-01</stp>
        <stp>2019-12-31</stp>
        <stp>3</stp>
        <tr r="F2025" s="1"/>
      </tp>
      <tp>
        <v>6.5104166699999997</v>
        <stp/>
        <stp>EM_S_PQ_PCTCHANGE</stp>
        <stp>4</stp>
        <stp>002469</stp>
        <stp>2018-12-31</stp>
        <stp>2019-12-30</stp>
        <stp>1</stp>
        <tr r="G1922" s="1"/>
      </tp>
      <tp>
        <v>-1.87787222</v>
        <stp/>
        <stp>EM_S_PQ_PCTCHANGE</stp>
        <stp>4</stp>
        <stp>002678</stp>
        <stp>2018-01-01</stp>
        <stp>2019-12-31</stp>
        <stp>3</stp>
        <tr r="F697" s="1"/>
      </tp>
      <tp>
        <v>-51.004582659999997</v>
        <stp/>
        <stp>EM_S_PQ_PCTCHANGE</stp>
        <stp>4</stp>
        <stp>601619</stp>
        <stp>2018-01-01</stp>
        <stp>2019-12-31</stp>
        <stp>3</stp>
        <tr r="F3015" s="1"/>
      </tp>
      <tp>
        <v>-49.433427760000001</v>
        <stp/>
        <stp>EM_S_PQ_PCTCHANGE</stp>
        <stp>4</stp>
        <stp>000679</stp>
        <stp>2018-01-01</stp>
        <stp>2019-12-31</stp>
        <stp>3</stp>
        <tr r="F3506" s="1"/>
      </tp>
      <tp>
        <v>60.1</v>
        <stp/>
        <stp>EM_S_PQ_PCTCHANGE</stp>
        <stp>4</stp>
        <stp>300458</stp>
        <stp>2018-12-31</stp>
        <stp>2019-12-30</stp>
        <stp>1</stp>
        <tr r="G425" s="1"/>
      </tp>
      <tp>
        <v>-46.240595579999997</v>
        <stp/>
        <stp>EM_S_PQ_PCTCHANGE</stp>
        <stp>4</stp>
        <stp>300649</stp>
        <stp>2018-01-01</stp>
        <stp>2019-12-31</stp>
        <stp>3</stp>
        <tr r="F3039" s="1"/>
      </tp>
      <tp>
        <v>-8.4615384599999999</v>
        <stp/>
        <stp>EM_S_PQ_PCTCHANGE</stp>
        <stp>4</stp>
        <stp>600408</stp>
        <stp>2018-12-31</stp>
        <stp>2019-12-30</stp>
        <stp>1</stp>
        <tr r="G2702" s="1"/>
      </tp>
      <tp>
        <v>-25.619763890000002</v>
        <stp/>
        <stp>EM_S_PQ_PCTCHANGE</stp>
        <stp>4</stp>
        <stp>600619</stp>
        <stp>2018-01-01</stp>
        <stp>2019-12-31</stp>
        <stp>3</stp>
        <tr r="F2513" s="1"/>
      </tp>
      <tp>
        <v>-59.469386499999999</v>
        <stp/>
        <stp>EM_S_PQ_PCTCHANGE</stp>
        <stp>4</stp>
        <stp>603619</stp>
        <stp>2018-01-01</stp>
        <stp>2019-12-31</stp>
        <stp>3</stp>
        <tr r="F2734" s="1"/>
      </tp>
      <tp>
        <v>18.23708207</v>
        <stp/>
        <stp>EM_S_PQ_PCTCHANGE</stp>
        <stp>4</stp>
        <stp>002468</stp>
        <stp>2018-12-31</stp>
        <stp>2019-12-30</stp>
        <stp>1</stp>
        <tr r="G1355" s="1"/>
      </tp>
      <tp>
        <v>32.618339149999997</v>
        <stp/>
        <stp>EM_S_PQ_PCTCHANGE</stp>
        <stp>4</stp>
        <stp>002679</stp>
        <stp>2018-01-01</stp>
        <stp>2019-12-31</stp>
        <stp>3</stp>
        <tr r="F2584" s="1"/>
      </tp>
      <tp>
        <v>-69.130434780000002</v>
        <stp/>
        <stp>EM_S_PQ_PCTCHANGE</stp>
        <stp>4</stp>
        <stp>000670</stp>
        <stp>2018-01-01</stp>
        <stp>2019-12-31</stp>
        <stp>3</stp>
        <tr r="F3502" s="1"/>
      </tp>
      <tp>
        <v>-8.2506527399999996</v>
        <stp/>
        <stp>EM_S_PQ_PCTCHANGE</stp>
        <stp>4</stp>
        <stp>300451</stp>
        <stp>2018-12-31</stp>
        <stp>2019-12-30</stp>
        <stp>1</stp>
        <tr r="G2693" s="1"/>
      </tp>
      <tp>
        <v>-10.34007561</v>
        <stp/>
        <stp>EM_S_PQ_PCTCHANGE</stp>
        <stp>4</stp>
        <stp>300640</stp>
        <stp>2018-01-01</stp>
        <stp>2019-12-31</stp>
        <stp>3</stp>
        <tr r="F2861" s="1"/>
      </tp>
      <tp>
        <v>-82.758620690000001</v>
        <stp/>
        <stp>EM_S_PQ_PCTCHANGE</stp>
        <stp>4</stp>
        <stp>600401</stp>
        <stp>2018-12-31</stp>
        <stp>2019-12-30</stp>
        <stp>1</stp>
        <tr r="G3407" s="1"/>
      </tp>
      <tp>
        <v>-40.183486240000001</v>
        <stp/>
        <stp>EM_S_PQ_PCTCHANGE</stp>
        <stp>4</stp>
        <stp>600610</stp>
        <stp>2018-01-01</stp>
        <stp>2019-12-31</stp>
        <stp>3</stp>
        <tr r="F203" s="1"/>
      </tp>
      <tp>
        <v>60</v>
        <stp/>
        <stp>EM_S_PQ_PCTCHANGE</stp>
        <stp>4</stp>
        <stp>002461</stp>
        <stp>2018-12-31</stp>
        <stp>2019-12-30</stp>
        <stp>1</stp>
        <tr r="G428" s="1"/>
      </tp>
      <tp>
        <v>-14.913980909999999</v>
        <stp/>
        <stp>EM_S_PQ_PCTCHANGE</stp>
        <stp>4</stp>
        <stp>002670</stp>
        <stp>2018-01-01</stp>
        <stp>2019-12-31</stp>
        <stp>3</stp>
        <tr r="F1233" s="1"/>
      </tp>
      <tp>
        <v>-29.57638833</v>
        <stp/>
        <stp>EM_S_PQ_PCTCHANGE</stp>
        <stp>4</stp>
        <stp>601611</stp>
        <stp>2018-01-01</stp>
        <stp>2019-12-31</stp>
        <stp>3</stp>
        <tr r="F1819" s="1"/>
      </tp>
      <tp>
        <v>9.9867860099999994</v>
        <stp/>
        <stp>EM_S_PQ_PCTCHANGE</stp>
        <stp>4</stp>
        <stp>000671</stp>
        <stp>2018-01-01</stp>
        <stp>2019-12-31</stp>
        <stp>3</stp>
        <tr r="F373" s="1"/>
      </tp>
      <tp>
        <v>56.288873529999996</v>
        <stp/>
        <stp>EM_S_PQ_PCTCHANGE</stp>
        <stp>4</stp>
        <stp>300450</stp>
        <stp>2018-12-31</stp>
        <stp>2019-12-30</stp>
        <stp>1</stp>
        <tr r="G468" s="1"/>
      </tp>
      <tp>
        <v>-42.86894796</v>
        <stp/>
        <stp>EM_S_PQ_PCTCHANGE</stp>
        <stp>4</stp>
        <stp>300641</stp>
        <stp>2018-01-01</stp>
        <stp>2019-12-31</stp>
        <stp>3</stp>
        <tr r="F2353" s="1"/>
      </tp>
      <tp>
        <v>-11.46666667</v>
        <stp/>
        <stp>EM_S_PQ_PCTCHANGE</stp>
        <stp>4</stp>
        <stp>600400</stp>
        <stp>2018-12-31</stp>
        <stp>2019-12-30</stp>
        <stp>1</stp>
        <tr r="G2812" s="1"/>
      </tp>
      <tp>
        <v>-13.646425969999999</v>
        <stp/>
        <stp>EM_S_PQ_PCTCHANGE</stp>
        <stp>4</stp>
        <stp>600611</stp>
        <stp>2018-01-01</stp>
        <stp>2019-12-31</stp>
        <stp>3</stp>
        <tr r="F2175" s="1"/>
      </tp>
      <tp>
        <v>15.38049045</v>
        <stp/>
        <stp>EM_S_PQ_PCTCHANGE</stp>
        <stp>4</stp>
        <stp>603611</stp>
        <stp>2018-01-01</stp>
        <stp>2019-12-31</stp>
        <stp>3</stp>
        <tr r="F826" s="1"/>
      </tp>
      <tp>
        <v>55.117753620000002</v>
        <stp/>
        <stp>EM_S_PQ_PCTCHANGE</stp>
        <stp>4</stp>
        <stp>002460</stp>
        <stp>2018-12-31</stp>
        <stp>2019-12-30</stp>
        <stp>1</stp>
        <tr r="G490" s="1"/>
      </tp>
      <tp>
        <v>-33.586254420000003</v>
        <stp/>
        <stp>EM_S_PQ_PCTCHANGE</stp>
        <stp>4</stp>
        <stp>002671</stp>
        <stp>2018-01-01</stp>
        <stp>2019-12-31</stp>
        <stp>3</stp>
        <tr r="F1752" s="1"/>
      </tp>
      <tp>
        <v>96.612045730000006</v>
        <stp/>
        <stp>EM_S_PQ_PCTCHANGE</stp>
        <stp>4</stp>
        <stp>000672</stp>
        <stp>2018-01-01</stp>
        <stp>2019-12-31</stp>
        <stp>3</stp>
        <tr r="F150" s="1"/>
      </tp>
      <tp>
        <v>-32.667876589999999</v>
        <stp/>
        <stp>EM_S_PQ_PCTCHANGE</stp>
        <stp>4</stp>
        <stp>300453</stp>
        <stp>2018-12-31</stp>
        <stp>2019-12-30</stp>
        <stp>1</stp>
        <tr r="G3248" s="1"/>
      </tp>
      <tp>
        <v>-31.921375640000001</v>
        <stp/>
        <stp>EM_S_PQ_PCTCHANGE</stp>
        <stp>4</stp>
        <stp>300642</stp>
        <stp>2018-01-01</stp>
        <stp>2019-12-31</stp>
        <stp>3</stp>
        <tr r="F1902" s="1"/>
      </tp>
      <tp>
        <v>15.25885559</v>
        <stp/>
        <stp>EM_S_PQ_PCTCHANGE</stp>
        <stp>4</stp>
        <stp>600403</stp>
        <stp>2018-12-31</stp>
        <stp>2019-12-30</stp>
        <stp>1</stp>
        <tr r="G1468" s="1"/>
      </tp>
      <tp>
        <v>21.630995739999999</v>
        <stp/>
        <stp>EM_S_PQ_PCTCHANGE</stp>
        <stp>4</stp>
        <stp>600612</stp>
        <stp>2018-01-01</stp>
        <stp>2019-12-31</stp>
        <stp>3</stp>
        <tr r="F2043" s="1"/>
      </tp>
      <tp>
        <v>-64.132167989999999</v>
        <stp/>
        <stp>EM_S_PQ_PCTCHANGE</stp>
        <stp>4</stp>
        <stp>603612</stp>
        <stp>2018-01-01</stp>
        <stp>2019-12-31</stp>
        <stp>3</stp>
        <tr r="F2028" s="1"/>
      </tp>
      <tp>
        <v>-43.226350279999998</v>
        <stp/>
        <stp>EM_S_PQ_PCTCHANGE</stp>
        <stp>4</stp>
        <stp>002672</stp>
        <stp>2018-01-01</stp>
        <stp>2019-12-31</stp>
        <stp>3</stp>
        <tr r="F3093" s="1"/>
      </tp>
      <tp>
        <v>-61.246200610000002</v>
        <stp/>
        <stp>EM_S_PQ_PCTCHANGE</stp>
        <stp>4</stp>
        <stp>000673</stp>
        <stp>2018-01-01</stp>
        <stp>2019-12-31</stp>
        <stp>3</stp>
        <tr r="F3503" s="1"/>
      </tp>
      <tp>
        <v>9.9415204700000004</v>
        <stp/>
        <stp>EM_S_PQ_PCTCHANGE</stp>
        <stp>4</stp>
        <stp>300452</stp>
        <stp>2018-12-31</stp>
        <stp>2019-12-30</stp>
        <stp>1</stp>
        <tr r="G1739" s="1"/>
      </tp>
      <tp>
        <v>69.644861559999995</v>
        <stp/>
        <stp>EM_S_PQ_PCTCHANGE</stp>
        <stp>4</stp>
        <stp>300643</stp>
        <stp>2018-01-01</stp>
        <stp>2019-12-31</stp>
        <stp>3</stp>
        <tr r="F149" s="1"/>
      </tp>
      <tp>
        <v>-13.227702560000001</v>
        <stp/>
        <stp>EM_S_PQ_PCTCHANGE</stp>
        <stp>4</stp>
        <stp>600613</stp>
        <stp>2018-01-01</stp>
        <stp>2019-12-31</stp>
        <stp>3</stp>
        <tr r="F768" s="1"/>
      </tp>
      <tp>
        <v>8.9965397899999999</v>
        <stp/>
        <stp>EM_S_PQ_PCTCHANGE</stp>
        <stp>4</stp>
        <stp>002462</stp>
        <stp>2018-12-31</stp>
        <stp>2019-12-30</stp>
        <stp>1</stp>
        <tr r="G1795" s="1"/>
      </tp>
      <tp>
        <v>-19.136777349999999</v>
        <stp/>
        <stp>EM_S_PQ_PCTCHANGE</stp>
        <stp>4</stp>
        <stp>002673</stp>
        <stp>2018-01-01</stp>
        <stp>2019-12-31</stp>
        <stp>3</stp>
        <tr r="F998" s="1"/>
      </tp>
      <tp>
        <v>63.68</v>
        <stp/>
        <stp>EM_S_PQ_PCTCHANGE</stp>
        <stp>4</stp>
        <stp>300455</stp>
        <stp>2018-12-31</stp>
        <stp>2019-12-30</stp>
        <stp>1</stp>
        <tr r="G388" s="1"/>
      </tp>
      <tp>
        <v>66.366754709999995</v>
        <stp/>
        <stp>EM_S_PQ_PCTCHANGE</stp>
        <stp>4</stp>
        <stp>300644</stp>
        <stp>2018-01-01</stp>
        <stp>2019-12-31</stp>
        <stp>3</stp>
        <tr r="F2969" s="1"/>
      </tp>
      <tp>
        <v>15.15892421</v>
        <stp/>
        <stp>EM_S_PQ_PCTCHANGE</stp>
        <stp>4</stp>
        <stp>600405</stp>
        <stp>2018-12-31</stp>
        <stp>2019-12-30</stp>
        <stp>1</stp>
        <tr r="G1472" s="1"/>
      </tp>
      <tp>
        <v>-83.956692910000001</v>
        <stp/>
        <stp>EM_S_PQ_PCTCHANGE</stp>
        <stp>4</stp>
        <stp>600614</stp>
        <stp>2018-01-01</stp>
        <stp>2019-12-31</stp>
        <stp>3</stp>
        <tr r="F3373" s="1"/>
      </tp>
      <tp>
        <v>39.743589739999997</v>
        <stp/>
        <stp>EM_S_PQ_PCTCHANGE</stp>
        <stp>4</stp>
        <stp>002465</stp>
        <stp>2018-12-31</stp>
        <stp>2019-12-30</stp>
        <stp>1</stp>
        <tr r="G738" s="1"/>
      </tp>
      <tp>
        <v>17.242827370000001</v>
        <stp/>
        <stp>EM_S_PQ_PCTCHANGE</stp>
        <stp>4</stp>
        <stp>002674</stp>
        <stp>2018-01-01</stp>
        <stp>2019-12-31</stp>
        <stp>3</stp>
        <tr r="F622" s="1"/>
      </tp>
      <tp>
        <v>0</v>
        <stp/>
        <stp>EM_S_PQ_PCTCHANGE</stp>
        <stp>4</stp>
        <stp>000675</stp>
        <stp>2018-01-01</stp>
        <stp>2019-12-31</stp>
        <stp>3</stp>
        <tr r="F3504" s="1"/>
      </tp>
      <tp>
        <v>26.741071430000002</v>
        <stp/>
        <stp>EM_S_PQ_PCTCHANGE</stp>
        <stp>4</stp>
        <stp>300454</stp>
        <stp>2018-12-31</stp>
        <stp>2019-12-30</stp>
        <stp>1</stp>
        <tr r="G1028" s="1"/>
      </tp>
      <tp>
        <v>-29.21431969</v>
        <stp/>
        <stp>EM_S_PQ_PCTCHANGE</stp>
        <stp>4</stp>
        <stp>300645</stp>
        <stp>2018-01-01</stp>
        <stp>2019-12-31</stp>
        <stp>3</stp>
        <tr r="F3374" s="1"/>
      </tp>
      <tp>
        <v>-13.725490199999999</v>
        <stp/>
        <stp>EM_S_PQ_PCTCHANGE</stp>
        <stp>4</stp>
        <stp>600615</stp>
        <stp>2018-01-01</stp>
        <stp>2019-12-31</stp>
        <stp>3</stp>
        <tr r="F1631" s="1"/>
      </tp>
      <tp>
        <v>-29.632708619999999</v>
        <stp/>
        <stp>EM_S_PQ_PCTCHANGE</stp>
        <stp>4</stp>
        <stp>603615</stp>
        <stp>2018-01-01</stp>
        <stp>2019-12-31</stp>
        <stp>3</stp>
        <tr r="F1733" s="1"/>
      </tp>
      <tp>
        <v>-25.977011489999999</v>
        <stp/>
        <stp>EM_S_PQ_PCTCHANGE</stp>
        <stp>4</stp>
        <stp>002464</stp>
        <stp>2018-12-31</stp>
        <stp>2019-12-30</stp>
        <stp>1</stp>
        <tr r="G3165" s="1"/>
      </tp>
      <tp>
        <v>37.593869040000001</v>
        <stp/>
        <stp>EM_S_PQ_PCTCHANGE</stp>
        <stp>4</stp>
        <stp>002675</stp>
        <stp>2018-01-01</stp>
        <stp>2019-12-31</stp>
        <stp>3</stp>
        <tr r="F177" s="1"/>
      </tp>
      <tp>
        <v>-20.531416100000001</v>
        <stp/>
        <stp>EM_S_PQ_PCTCHANGE</stp>
        <stp>4</stp>
        <stp>601616</stp>
        <stp>2018-01-01</stp>
        <stp>2019-12-31</stp>
        <stp>3</stp>
        <tr r="F2516" s="1"/>
      </tp>
      <tp>
        <v>6.2793758300000002</v>
        <stp/>
        <stp>EM_S_PQ_PCTCHANGE</stp>
        <stp>4</stp>
        <stp>000676</stp>
        <stp>2018-01-01</stp>
        <stp>2019-12-31</stp>
        <stp>3</stp>
        <tr r="F2517" s="1"/>
      </tp>
      <tp>
        <v>16.373429080000001</v>
        <stp/>
        <stp>EM_S_PQ_PCTCHANGE</stp>
        <stp>4</stp>
        <stp>300457</stp>
        <stp>2018-12-31</stp>
        <stp>2019-12-30</stp>
        <stp>1</stp>
        <tr r="G1422" s="1"/>
      </tp>
      <tp>
        <v>0</v>
        <stp/>
        <stp>EM_S_PQ_PCTCHANGE</stp>
        <stp>4</stp>
        <stp>300646</stp>
        <stp>2018-01-01</stp>
        <stp>2019-12-31</stp>
        <stp>3</stp>
        <tr r="F10" s="1"/>
      </tp>
      <tp>
        <v>-46.532779550000001</v>
        <stp/>
        <stp>EM_S_PQ_PCTCHANGE</stp>
        <stp>4</stp>
        <stp>600616</stp>
        <stp>2018-01-01</stp>
        <stp>2019-12-31</stp>
        <stp>3</stp>
        <tr r="F2035" s="1"/>
      </tp>
      <tp>
        <v>-46.297815890000003</v>
        <stp/>
        <stp>EM_S_PQ_PCTCHANGE</stp>
        <stp>4</stp>
        <stp>603616</stp>
        <stp>2018-01-01</stp>
        <stp>2019-12-31</stp>
        <stp>3</stp>
        <tr r="F3209" s="1"/>
      </tp>
      <tp>
        <v>7.1146245099999996</v>
        <stp/>
        <stp>EM_S_PQ_PCTCHANGE</stp>
        <stp>4</stp>
        <stp>002467</stp>
        <stp>2018-12-31</stp>
        <stp>2019-12-30</stp>
        <stp>1</stp>
        <tr r="G1888" s="1"/>
      </tp>
      <tp>
        <v>-80.350438049999994</v>
        <stp/>
        <stp>EM_S_PQ_PCTCHANGE</stp>
        <stp>4</stp>
        <stp>002676</stp>
        <stp>2018-01-01</stp>
        <stp>2019-12-31</stp>
        <stp>3</stp>
        <tr r="F1749" s="1"/>
      </tp>
      <tp>
        <v>-7.2864321600000004</v>
        <stp/>
        <stp>EM_S_PQ_PCTCHANGE</stp>
        <stp>4</stp>
        <stp>000677</stp>
        <stp>2018-01-01</stp>
        <stp>2019-12-31</stp>
        <stp>3</stp>
        <tr r="F699" s="1"/>
      </tp>
      <tp>
        <v>10.262206150000001</v>
        <stp/>
        <stp>EM_S_PQ_PCTCHANGE</stp>
        <stp>4</stp>
        <stp>300456</stp>
        <stp>2018-12-31</stp>
        <stp>2019-12-30</stp>
        <stp>1</stp>
        <tr r="G1723" s="1"/>
      </tp>
      <tp>
        <v>22.232568709999999</v>
        <stp/>
        <stp>EM_S_PQ_PCTCHANGE</stp>
        <stp>4</stp>
        <stp>300647</stp>
        <stp>2018-01-01</stp>
        <stp>2019-12-31</stp>
        <stp>3</stp>
        <tr r="F2744" s="1"/>
      </tp>
      <tp>
        <v>15.164597949999999</v>
        <stp/>
        <stp>EM_S_PQ_PCTCHANGE</stp>
        <stp>4</stp>
        <stp>600406</stp>
        <stp>2018-12-31</stp>
        <stp>2019-12-30</stp>
        <stp>1</stp>
        <tr r="G1471" s="1"/>
      </tp>
      <tp>
        <v>-42.049190979999999</v>
        <stp/>
        <stp>EM_S_PQ_PCTCHANGE</stp>
        <stp>4</stp>
        <stp>600617</stp>
        <stp>2018-01-01</stp>
        <stp>2019-12-31</stp>
        <stp>3</stp>
        <tr r="F2412" s="1"/>
      </tp>
      <tp>
        <v>-12.27010939</v>
        <stp/>
        <stp>EM_S_PQ_PCTCHANGE</stp>
        <stp>4</stp>
        <stp>603617</stp>
        <stp>2018-01-01</stp>
        <stp>2019-12-31</stp>
        <stp>3</stp>
        <tr r="F2807" s="1"/>
      </tp>
      <tp>
        <v>-3.1377899</v>
        <stp/>
        <stp>EM_S_PQ_PCTCHANGE</stp>
        <stp>4</stp>
        <stp>002466</stp>
        <stp>2018-12-31</stp>
        <stp>2019-12-30</stp>
        <stp>1</stp>
        <tr r="G2482" s="1"/>
      </tp>
      <tp>
        <v>-16.390523470000002</v>
        <stp/>
        <stp>EM_S_PQ_PCTCHANGE</stp>
        <stp>4</stp>
        <stp>002677</stp>
        <stp>2018-01-01</stp>
        <stp>2019-12-31</stp>
        <stp>3</stp>
        <tr r="F839" s="1"/>
      </tp>
      <tp>
        <v>-9.37920804</v>
        <stp/>
        <stp>EM_S_PQ_PCTCHANGE</stp>
        <stp>4</stp>
        <stp>601608</stp>
        <stp>2018-01-01</stp>
        <stp>2019-12-31</stp>
        <stp>3</stp>
        <tr r="F692" s="1"/>
      </tp>
      <tp>
        <v>-10.063559509999999</v>
        <stp/>
        <stp>EM_S_PQ_PCTCHANGE</stp>
        <stp>4</stp>
        <stp>000668</stp>
        <stp>2018-01-01</stp>
        <stp>2019-12-31</stp>
        <stp>3</stp>
        <tr r="F3500" s="1"/>
      </tp>
      <tp>
        <v>-32.749675750000002</v>
        <stp/>
        <stp>EM_S_PQ_PCTCHANGE</stp>
        <stp>4</stp>
        <stp>300449</stp>
        <stp>2018-12-31</stp>
        <stp>2019-12-30</stp>
        <stp>1</stp>
        <tr r="G3249" s="1"/>
      </tp>
      <tp>
        <v>-23.299220120000001</v>
        <stp/>
        <stp>EM_S_PQ_PCTCHANGE</stp>
        <stp>4</stp>
        <stp>300658</stp>
        <stp>2018-01-01</stp>
        <stp>2019-12-31</stp>
        <stp>3</stp>
        <tr r="F886" s="1"/>
      </tp>
      <tp>
        <v>-2.2529069800000001</v>
        <stp/>
        <stp>EM_S_PQ_PCTCHANGE</stp>
        <stp>4</stp>
        <stp>600419</stp>
        <stp>2018-12-31</stp>
        <stp>2019-12-30</stp>
        <stp>1</stp>
        <tr r="G2434" s="1"/>
      </tp>
      <tp>
        <v>-42.676767679999998</v>
        <stp/>
        <stp>EM_S_PQ_PCTCHANGE</stp>
        <stp>4</stp>
        <stp>600608</stp>
        <stp>2018-01-01</stp>
        <stp>2019-12-31</stp>
        <stp>3</stp>
        <tr r="F1802" s="1"/>
      </tp>
      <tp>
        <v>-10.906367019999999</v>
        <stp/>
        <stp>EM_S_PQ_PCTCHANGE</stp>
        <stp>4</stp>
        <stp>603608</stp>
        <stp>2018-01-01</stp>
        <stp>2019-12-31</stp>
        <stp>3</stp>
        <tr r="F2963" s="1"/>
      </tp>
      <tp>
        <v>57.96766744</v>
        <stp/>
        <stp>EM_S_PQ_PCTCHANGE</stp>
        <stp>4</stp>
        <stp>002479</stp>
        <stp>2018-12-31</stp>
        <stp>2019-12-30</stp>
        <stp>1</stp>
        <tr r="G445" s="1"/>
      </tp>
      <tp>
        <v>-49.779376480000003</v>
        <stp/>
        <stp>EM_S_PQ_PCTCHANGE</stp>
        <stp>4</stp>
        <stp>002668</stp>
        <stp>2018-01-01</stp>
        <stp>2019-12-31</stp>
        <stp>3</stp>
        <tr r="F1444" s="1"/>
      </tp>
      <tp>
        <v>-64.16382231</v>
        <stp/>
        <stp>EM_S_PQ_PCTCHANGE</stp>
        <stp>4</stp>
        <stp>000669</stp>
        <stp>2018-01-01</stp>
        <stp>2019-12-31</stp>
        <stp>3</stp>
        <tr r="F3501" s="1"/>
      </tp>
      <tp>
        <v>-26.595744679999999</v>
        <stp/>
        <stp>EM_S_PQ_PCTCHANGE</stp>
        <stp>4</stp>
        <stp>300448</stp>
        <stp>2018-12-31</stp>
        <stp>2019-12-30</stp>
        <stp>1</stp>
        <tr r="G3181" s="1"/>
      </tp>
      <tp>
        <v>156.77528189</v>
        <stp/>
        <stp>EM_S_PQ_PCTCHANGE</stp>
        <stp>4</stp>
        <stp>300659</stp>
        <stp>2018-01-01</stp>
        <stp>2019-12-31</stp>
        <stp>3</stp>
        <tr r="F39" s="1"/>
      </tp>
      <tp>
        <v>2.9106029100000002</v>
        <stp/>
        <stp>EM_S_PQ_PCTCHANGE</stp>
        <stp>4</stp>
        <stp>600418</stp>
        <stp>2018-12-31</stp>
        <stp>2019-12-30</stp>
        <stp>1</stp>
        <tr r="G2111" s="1"/>
      </tp>
      <tp>
        <v>-31.25</v>
        <stp/>
        <stp>EM_S_PQ_PCTCHANGE</stp>
        <stp>4</stp>
        <stp>600609</stp>
        <stp>2018-01-01</stp>
        <stp>2019-12-31</stp>
        <stp>3</stp>
        <tr r="F955" s="1"/>
      </tp>
      <tp>
        <v>36.57531642</v>
        <stp/>
        <stp>EM_S_PQ_PCTCHANGE</stp>
        <stp>4</stp>
        <stp>603609</stp>
        <stp>2018-01-01</stp>
        <stp>2019-12-31</stp>
        <stp>3</stp>
        <tr r="F548" s="1"/>
      </tp>
      <tp>
        <v>26.956521739999999</v>
        <stp/>
        <stp>EM_S_PQ_PCTCHANGE</stp>
        <stp>4</stp>
        <stp>002478</stp>
        <stp>2018-12-31</stp>
        <stp>2019-12-30</stp>
        <stp>1</stp>
        <tr r="G1021" s="1"/>
      </tp>
      <tp>
        <v>-40.091368760000002</v>
        <stp/>
        <stp>EM_S_PQ_PCTCHANGE</stp>
        <stp>4</stp>
        <stp>002669</stp>
        <stp>2018-01-01</stp>
        <stp>2019-12-31</stp>
        <stp>3</stp>
        <tr r="F830" s="1"/>
      </tp>
      <tp>
        <v>-56.24227441</v>
        <stp/>
        <stp>EM_S_PQ_PCTCHANGE</stp>
        <stp>4</stp>
        <stp>601600</stp>
        <stp>2018-01-01</stp>
        <stp>2019-12-31</stp>
        <stp>3</stp>
        <tr r="F2346" s="1"/>
      </tp>
      <tp>
        <v>0</v>
        <stp/>
        <stp>EM_S_PQ_PCTCHANGE</stp>
        <stp>4</stp>
        <stp>000660</stp>
        <stp>2018-01-01</stp>
        <stp>2019-12-31</stp>
        <stp>3</stp>
        <tr r="F3496" s="1"/>
      </tp>
      <tp>
        <v>43.067846609999997</v>
        <stp/>
        <stp>EM_S_PQ_PCTCHANGE</stp>
        <stp>4</stp>
        <stp>300441</stp>
        <stp>2018-12-31</stp>
        <stp>2019-12-30</stp>
        <stp>1</stp>
        <tr r="G685" s="1"/>
      </tp>
      <tp>
        <v>-19.439499789999999</v>
        <stp/>
        <stp>EM_S_PQ_PCTCHANGE</stp>
        <stp>4</stp>
        <stp>300650</stp>
        <stp>2018-01-01</stp>
        <stp>2019-12-31</stp>
        <stp>3</stp>
        <tr r="F1066" s="1"/>
      </tp>
      <tp>
        <v>32.425580189999998</v>
        <stp/>
        <stp>EM_S_PQ_PCTCHANGE</stp>
        <stp>4</stp>
        <stp>600600</stp>
        <stp>2018-01-01</stp>
        <stp>2019-12-31</stp>
        <stp>3</stp>
        <tr r="F615" s="1"/>
      </tp>
      <tp>
        <v>-5.1747358200000004</v>
        <stp/>
        <stp>EM_S_PQ_PCTCHANGE</stp>
        <stp>4</stp>
        <stp>603600</stp>
        <stp>2018-01-01</stp>
        <stp>2019-12-31</stp>
        <stp>3</stp>
        <tr r="F311" s="1"/>
      </tp>
      <tp>
        <v>-13.05970149</v>
        <stp/>
        <stp>EM_S_PQ_PCTCHANGE</stp>
        <stp>4</stp>
        <stp>002471</stp>
        <stp>2018-12-31</stp>
        <stp>2019-12-30</stp>
        <stp>1</stp>
        <tr r="G2871" s="1"/>
      </tp>
      <tp>
        <v>-8.4551148200000004</v>
        <stp/>
        <stp>EM_S_PQ_PCTCHANGE</stp>
        <stp>4</stp>
        <stp>002660</stp>
        <stp>2018-01-01</stp>
        <stp>2019-12-31</stp>
        <stp>3</stp>
        <tr r="F568" s="1"/>
      </tp>
      <tp>
        <v>-3.8905201300000001</v>
        <stp/>
        <stp>EM_S_PQ_PCTCHANGE</stp>
        <stp>4</stp>
        <stp>601601</stp>
        <stp>2018-01-01</stp>
        <stp>2019-12-31</stp>
        <stp>3</stp>
        <tr r="F836" s="1"/>
      </tp>
      <tp>
        <v>145.87932291000001</v>
        <stp/>
        <stp>EM_S_PQ_PCTCHANGE</stp>
        <stp>4</stp>
        <stp>000661</stp>
        <stp>2018-01-01</stp>
        <stp>2019-12-31</stp>
        <stp>3</stp>
        <tr r="F85" s="1"/>
      </tp>
      <tp>
        <v>43.562610229999997</v>
        <stp/>
        <stp>EM_S_PQ_PCTCHANGE</stp>
        <stp>4</stp>
        <stp>300440</stp>
        <stp>2018-12-31</stp>
        <stp>2019-12-30</stp>
        <stp>1</stp>
        <tr r="G675" s="1"/>
      </tp>
      <tp>
        <v>42.141890549999999</v>
        <stp/>
        <stp>EM_S_PQ_PCTCHANGE</stp>
        <stp>4</stp>
        <stp>300651</stp>
        <stp>2018-01-01</stp>
        <stp>2019-12-31</stp>
        <stp>3</stp>
        <tr r="F3284" s="1"/>
      </tp>
      <tp>
        <v>75.767918089999995</v>
        <stp/>
        <stp>EM_S_PQ_PCTCHANGE</stp>
        <stp>4</stp>
        <stp>600410</stp>
        <stp>2018-12-31</stp>
        <stp>2019-12-30</stp>
        <stp>1</stp>
        <tr r="G272" s="1"/>
      </tp>
      <tp>
        <v>0.86764459999999999</v>
        <stp/>
        <stp>EM_S_PQ_PCTCHANGE</stp>
        <stp>4</stp>
        <stp>600601</stp>
        <stp>2018-01-01</stp>
        <stp>2019-12-31</stp>
        <stp>3</stp>
        <tr r="F651" s="1"/>
      </tp>
      <tp>
        <v>7.16707816</v>
        <stp/>
        <stp>EM_S_PQ_PCTCHANGE</stp>
        <stp>4</stp>
        <stp>603601</stp>
        <stp>2018-01-01</stp>
        <stp>2019-12-31</stp>
        <stp>3</stp>
        <tr r="F2589" s="1"/>
      </tp>
      <tp>
        <v>-58.06962025</v>
        <stp/>
        <stp>EM_S_PQ_PCTCHANGE</stp>
        <stp>4</stp>
        <stp>002470</stp>
        <stp>2018-12-31</stp>
        <stp>2019-12-30</stp>
        <stp>1</stp>
        <tr r="G3391" s="1"/>
      </tp>
      <tp>
        <v>-17.082622109999999</v>
        <stp/>
        <stp>EM_S_PQ_PCTCHANGE</stp>
        <stp>4</stp>
        <stp>002661</stp>
        <stp>2018-01-01</stp>
        <stp>2019-12-31</stp>
        <stp>3</stp>
        <tr r="F2711" s="1"/>
      </tp>
      <tp>
        <v>-52.663418419999999</v>
        <stp/>
        <stp>EM_S_PQ_PCTCHANGE</stp>
        <stp>4</stp>
        <stp>000662</stp>
        <stp>2018-01-01</stp>
        <stp>2019-12-31</stp>
        <stp>3</stp>
        <tr r="F3497" s="1"/>
      </tp>
      <tp>
        <v>28.165137609999999</v>
        <stp/>
        <stp>EM_S_PQ_PCTCHANGE</stp>
        <stp>4</stp>
        <stp>300443</stp>
        <stp>2018-12-31</stp>
        <stp>2019-12-30</stp>
        <stp>1</stp>
        <tr r="G981" s="1"/>
      </tp>
      <tp>
        <v>-26.95880575</v>
        <stp/>
        <stp>EM_S_PQ_PCTCHANGE</stp>
        <stp>4</stp>
        <stp>300652</stp>
        <stp>2018-01-01</stp>
        <stp>2019-12-31</stp>
        <stp>3</stp>
        <tr r="F2079" s="1"/>
      </tp>
      <tp>
        <v>22.629195450000001</v>
        <stp/>
        <stp>EM_S_PQ_PCTCHANGE</stp>
        <stp>4</stp>
        <stp>600602</stp>
        <stp>2018-01-01</stp>
        <stp>2019-12-31</stp>
        <stp>3</stp>
        <tr r="F353" s="1"/>
      </tp>
      <tp>
        <v>-11.78371667</v>
        <stp/>
        <stp>EM_S_PQ_PCTCHANGE</stp>
        <stp>4</stp>
        <stp>603602</stp>
        <stp>2018-01-01</stp>
        <stp>2019-12-31</stp>
        <stp>3</stp>
        <tr r="F2921" s="1"/>
      </tp>
      <tp>
        <v>36.626139819999999</v>
        <stp/>
        <stp>EM_S_PQ_PCTCHANGE</stp>
        <stp>4</stp>
        <stp>002473</stp>
        <stp>2018-12-31</stp>
        <stp>2019-12-30</stp>
        <stp>1</stp>
        <tr r="G797" s="1"/>
      </tp>
      <tp>
        <v>-62.643885449999999</v>
        <stp/>
        <stp>EM_S_PQ_PCTCHANGE</stp>
        <stp>4</stp>
        <stp>002662</stp>
        <stp>2018-01-01</stp>
        <stp>2019-12-31</stp>
        <stp>3</stp>
        <tr r="F3217" s="1"/>
      </tp>
      <tp>
        <v>-73.303670749999995</v>
        <stp/>
        <stp>EM_S_PQ_PCTCHANGE</stp>
        <stp>4</stp>
        <stp>000663</stp>
        <stp>2018-01-01</stp>
        <stp>2019-12-31</stp>
        <stp>3</stp>
        <tr r="F3498" s="1"/>
      </tp>
      <tp>
        <v>21.073401740000001</v>
        <stp/>
        <stp>EM_S_PQ_PCTCHANGE</stp>
        <stp>4</stp>
        <stp>300442</stp>
        <stp>2018-12-31</stp>
        <stp>2019-12-30</stp>
        <stp>1</stp>
        <tr r="G1232" s="1"/>
      </tp>
      <tp>
        <v>106.39724626</v>
        <stp/>
        <stp>EM_S_PQ_PCTCHANGE</stp>
        <stp>4</stp>
        <stp>300653</stp>
        <stp>2018-01-01</stp>
        <stp>2019-12-31</stp>
        <stp>3</stp>
        <tr r="F539" s="1"/>
      </tp>
      <tp>
        <v>8.8671679700000006</v>
        <stp/>
        <stp>EM_S_PQ_PCTCHANGE</stp>
        <stp>4</stp>
        <stp>600603</stp>
        <stp>2018-01-01</stp>
        <stp>2019-12-31</stp>
        <stp>3</stp>
        <tr r="F1271" s="1"/>
      </tp>
      <tp>
        <v>-73.394132130000003</v>
        <stp/>
        <stp>EM_S_PQ_PCTCHANGE</stp>
        <stp>4</stp>
        <stp>603603</stp>
        <stp>2018-01-01</stp>
        <stp>2019-12-31</stp>
        <stp>3</stp>
        <tr r="F3314" s="1"/>
      </tp>
      <tp>
        <v>-4.7285464099999999</v>
        <stp/>
        <stp>EM_S_PQ_PCTCHANGE</stp>
        <stp>4</stp>
        <stp>002472</stp>
        <stp>2018-12-31</stp>
        <stp>2019-12-30</stp>
        <stp>1</stp>
        <tr r="G2553" s="1"/>
      </tp>
      <tp>
        <v>-47.2379198</v>
        <stp/>
        <stp>EM_S_PQ_PCTCHANGE</stp>
        <stp>4</stp>
        <stp>002663</stp>
        <stp>2018-01-01</stp>
        <stp>2019-12-31</stp>
        <stp>3</stp>
        <tr r="F1524" s="1"/>
      </tp>
      <tp>
        <v>69.846153849999993</v>
        <stp/>
        <stp>EM_S_PQ_PCTCHANGE</stp>
        <stp>4</stp>
        <stp>300445</stp>
        <stp>2018-12-31</stp>
        <stp>2019-12-30</stp>
        <stp>1</stp>
        <tr r="G314" s="1"/>
      </tp>
      <tp>
        <v>-42.800949850000002</v>
        <stp/>
        <stp>EM_S_PQ_PCTCHANGE</stp>
        <stp>4</stp>
        <stp>300654</stp>
        <stp>2018-01-01</stp>
        <stp>2019-12-31</stp>
        <stp>3</stp>
        <tr r="F3061" s="1"/>
      </tp>
      <tp>
        <v>10.88825215</v>
        <stp/>
        <stp>EM_S_PQ_PCTCHANGE</stp>
        <stp>4</stp>
        <stp>600415</stp>
        <stp>2018-12-31</stp>
        <stp>2019-12-30</stp>
        <stp>1</stp>
        <tr r="G1685" s="1"/>
      </tp>
      <tp>
        <v>23.448306339999998</v>
        <stp/>
        <stp>EM_S_PQ_PCTCHANGE</stp>
        <stp>4</stp>
        <stp>600604</stp>
        <stp>2018-01-01</stp>
        <stp>2019-12-31</stp>
        <stp>3</stp>
        <tr r="F1429" s="1"/>
      </tp>
      <tp>
        <v>150.28449502000001</v>
        <stp/>
        <stp>EM_S_PQ_PCTCHANGE</stp>
        <stp>4</stp>
        <stp>002475</stp>
        <stp>2018-12-31</stp>
        <stp>2019-12-30</stp>
        <stp>1</stp>
        <tr r="G81" s="1"/>
      </tp>
      <tp>
        <v>-39.477515400000001</v>
        <stp/>
        <stp>EM_S_PQ_PCTCHANGE</stp>
        <stp>4</stp>
        <stp>002664</stp>
        <stp>2018-01-01</stp>
        <stp>2019-12-31</stp>
        <stp>3</stp>
        <tr r="F985" s="1"/>
      </tp>
      <tp>
        <v>-24.60867318</v>
        <stp/>
        <stp>EM_S_PQ_PCTCHANGE</stp>
        <stp>4</stp>
        <stp>000665</stp>
        <stp>2018-01-01</stp>
        <stp>2019-12-31</stp>
        <stp>3</stp>
        <tr r="F3156" s="1"/>
      </tp>
      <tp>
        <v>-23.74429224</v>
        <stp/>
        <stp>EM_S_PQ_PCTCHANGE</stp>
        <stp>4</stp>
        <stp>300444</stp>
        <stp>2018-12-31</stp>
        <stp>2019-12-30</stp>
        <stp>1</stp>
        <tr r="G3128" s="1"/>
      </tp>
      <tp>
        <v>82.390337650000006</v>
        <stp/>
        <stp>EM_S_PQ_PCTCHANGE</stp>
        <stp>4</stp>
        <stp>300655</stp>
        <stp>2018-01-01</stp>
        <stp>2019-12-31</stp>
        <stp>3</stp>
        <tr r="F94" s="1"/>
      </tp>
      <tp>
        <v>-17.27650083</v>
        <stp/>
        <stp>EM_S_PQ_PCTCHANGE</stp>
        <stp>4</stp>
        <stp>600605</stp>
        <stp>2018-01-01</stp>
        <stp>2019-12-31</stp>
        <stp>3</stp>
        <tr r="F1488" s="1"/>
      </tp>
      <tp>
        <v>211.3695597</v>
        <stp/>
        <stp>EM_S_PQ_PCTCHANGE</stp>
        <stp>4</stp>
        <stp>603605</stp>
        <stp>2018-01-01</stp>
        <stp>2019-12-31</stp>
        <stp>3</stp>
        <tr r="F169" s="1"/>
      </tp>
      <tp>
        <v>37.741935480000002</v>
        <stp/>
        <stp>EM_S_PQ_PCTCHANGE</stp>
        <stp>4</stp>
        <stp>002474</stp>
        <stp>2018-12-31</stp>
        <stp>2019-12-30</stp>
        <stp>1</stp>
        <tr r="G779" s="1"/>
      </tp>
      <tp>
        <v>-49.462566029999998</v>
        <stp/>
        <stp>EM_S_PQ_PCTCHANGE</stp>
        <stp>4</stp>
        <stp>002665</stp>
        <stp>2018-01-01</stp>
        <stp>2019-12-31</stp>
        <stp>3</stp>
        <tr r="F1281" s="1"/>
      </tp>
      <tp>
        <v>-41.15420795</v>
        <stp/>
        <stp>EM_S_PQ_PCTCHANGE</stp>
        <stp>4</stp>
        <stp>000666</stp>
        <stp>2018-01-01</stp>
        <stp>2019-12-31</stp>
        <stp>3</stp>
        <tr r="F1969" s="1"/>
      </tp>
      <tp>
        <v>5.8189655199999999</v>
        <stp/>
        <stp>EM_S_PQ_PCTCHANGE</stp>
        <stp>4</stp>
        <stp>300447</stp>
        <stp>2018-12-31</stp>
        <stp>2019-12-30</stp>
        <stp>1</stp>
        <tr r="G1960" s="1"/>
      </tp>
      <tp>
        <v>-39.027152579999999</v>
        <stp/>
        <stp>EM_S_PQ_PCTCHANGE</stp>
        <stp>4</stp>
        <stp>300656</stp>
        <stp>2018-01-01</stp>
        <stp>2019-12-31</stp>
        <stp>3</stp>
        <tr r="F2217" s="1"/>
      </tp>
      <tp>
        <v>3.6801486099999998</v>
        <stp/>
        <stp>EM_S_PQ_PCTCHANGE</stp>
        <stp>4</stp>
        <stp>600606</stp>
        <stp>2018-01-01</stp>
        <stp>2019-12-31</stp>
        <stp>3</stp>
        <tr r="F1591" s="1"/>
      </tp>
      <tp>
        <v>68.796879939999997</v>
        <stp/>
        <stp>EM_S_PQ_PCTCHANGE</stp>
        <stp>4</stp>
        <stp>603606</stp>
        <stp>2018-01-01</stp>
        <stp>2019-12-31</stp>
        <stp>3</stp>
        <tr r="F1264" s="1"/>
      </tp>
      <tp>
        <v>-88.666666669999998</v>
        <stp/>
        <stp>EM_S_PQ_PCTCHANGE</stp>
        <stp>4</stp>
        <stp>002477</stp>
        <stp>2018-12-31</stp>
        <stp>2019-12-30</stp>
        <stp>1</stp>
        <tr r="G3410" s="1"/>
      </tp>
      <tp>
        <v>-9.7219014399999999</v>
        <stp/>
        <stp>EM_S_PQ_PCTCHANGE</stp>
        <stp>4</stp>
        <stp>002666</stp>
        <stp>2018-01-01</stp>
        <stp>2019-12-31</stp>
        <stp>3</stp>
        <tr r="F1190" s="1"/>
      </tp>
      <tp>
        <v>-21.070520649999999</v>
        <stp/>
        <stp>EM_S_PQ_PCTCHANGE</stp>
        <stp>4</stp>
        <stp>601607</stp>
        <stp>2018-01-01</stp>
        <stp>2019-12-31</stp>
        <stp>3</stp>
        <tr r="F1979" s="1"/>
      </tp>
      <tp>
        <v>-9.3461587700000006</v>
        <stp/>
        <stp>EM_S_PQ_PCTCHANGE</stp>
        <stp>4</stp>
        <stp>000667</stp>
        <stp>2018-01-01</stp>
        <stp>2019-12-31</stp>
        <stp>3</stp>
        <tr r="F3499" s="1"/>
      </tp>
      <tp>
        <v>18.774445889999999</v>
        <stp/>
        <stp>EM_S_PQ_PCTCHANGE</stp>
        <stp>4</stp>
        <stp>300446</stp>
        <stp>2018-12-31</stp>
        <stp>2019-12-30</stp>
        <stp>1</stp>
        <tr r="G1334" s="1"/>
      </tp>
      <tp>
        <v>28.730906189999999</v>
        <stp/>
        <stp>EM_S_PQ_PCTCHANGE</stp>
        <stp>4</stp>
        <stp>300657</stp>
        <stp>2018-01-01</stp>
        <stp>2019-12-31</stp>
        <stp>3</stp>
        <tr r="F1186" s="1"/>
      </tp>
      <tp>
        <v>36.821705430000002</v>
        <stp/>
        <stp>EM_S_PQ_PCTCHANGE</stp>
        <stp>4</stp>
        <stp>600416</stp>
        <stp>2018-12-31</stp>
        <stp>2019-12-30</stp>
        <stp>1</stp>
        <tr r="G795" s="1"/>
      </tp>
      <tp>
        <v>0</v>
        <stp/>
        <stp>EM_S_PQ_PCTCHANGE</stp>
        <stp>4</stp>
        <stp>600607</stp>
        <stp>2018-01-01</stp>
        <stp>2019-12-31</stp>
        <stp>3</stp>
        <tr r="F2306" s="1"/>
      </tp>
      <tp>
        <v>39.444995040000002</v>
        <stp/>
        <stp>EM_S_PQ_PCTCHANGE</stp>
        <stp>4</stp>
        <stp>603416</stp>
        <stp>2018-12-31</stp>
        <stp>2019-12-30</stp>
        <stp>1</stp>
        <tr r="G745" s="1"/>
      </tp>
      <tp>
        <v>-22.465798199999998</v>
        <stp/>
        <stp>EM_S_PQ_PCTCHANGE</stp>
        <stp>4</stp>
        <stp>603607</stp>
        <stp>2018-01-01</stp>
        <stp>2019-12-31</stp>
        <stp>3</stp>
        <tr r="F1256" s="1"/>
      </tp>
      <tp>
        <v>44.394618829999999</v>
        <stp/>
        <stp>EM_S_PQ_PCTCHANGE</stp>
        <stp>4</stp>
        <stp>002476</stp>
        <stp>2018-12-31</stp>
        <stp>2019-12-30</stp>
        <stp>1</stp>
        <tr r="G660" s="1"/>
      </tp>
      <tp>
        <v>-28.896651030000001</v>
        <stp/>
        <stp>EM_S_PQ_PCTCHANGE</stp>
        <stp>4</stp>
        <stp>002667</stp>
        <stp>2018-01-01</stp>
        <stp>2019-12-31</stp>
        <stp>3</stp>
        <tr r="F1882" s="1"/>
      </tp>
      <tp>
        <v>-14.62574569</v>
        <stp/>
        <stp>EM_S_PQ_PCTCHANGE</stp>
        <stp>4</stp>
        <stp>601678</stp>
        <stp>2018-01-01</stp>
        <stp>2019-12-31</stp>
        <stp>3</stp>
        <tr r="F1202" s="1"/>
      </tp>
      <tp>
        <v>-14.487632509999999</v>
        <stp/>
        <stp>EM_S_PQ_PCTCHANGE</stp>
        <stp>4</stp>
        <stp>000409</stp>
        <stp>2018-12-31</stp>
        <stp>2019-12-30</stp>
        <stp>1</stp>
        <tr r="G2918" s="1"/>
      </tp>
      <tp>
        <v>0</v>
        <stp/>
        <stp>EM_S_PQ_PCTCHANGE</stp>
        <stp>4</stp>
        <stp>000618</stp>
        <stp>2018-01-01</stp>
        <stp>2019-12-31</stp>
        <stp>3</stp>
        <tr r="F3485" s="1"/>
      </tp>
      <tp>
        <v>0.67365269000000005</v>
        <stp/>
        <stp>EM_S_PQ_PCTCHANGE</stp>
        <stp>4</stp>
        <stp>300439</stp>
        <stp>2018-12-31</stp>
        <stp>2019-12-30</stp>
        <stp>1</stp>
        <tr r="G2237" s="1"/>
      </tp>
      <tp>
        <v>122.16696444</v>
        <stp/>
        <stp>EM_S_PQ_PCTCHANGE</stp>
        <stp>4</stp>
        <stp>300628</stp>
        <stp>2018-01-01</stp>
        <stp>2019-12-31</stp>
        <stp>3</stp>
        <tr r="F2626" s="1"/>
      </tp>
      <tp>
        <v>39.376770540000003</v>
        <stp/>
        <stp>EM_S_PQ_PCTCHANGE</stp>
        <stp>4</stp>
        <stp>600469</stp>
        <stp>2018-12-31</stp>
        <stp>2019-12-30</stp>
        <stp>1</stp>
        <tr r="G749" s="1"/>
      </tp>
      <tp>
        <v>-29.512635379999999</v>
        <stp/>
        <stp>EM_S_PQ_PCTCHANGE</stp>
        <stp>4</stp>
        <stp>600678</stp>
        <stp>2018-01-01</stp>
        <stp>2019-12-31</stp>
        <stp>3</stp>
        <tr r="F1034" s="1"/>
      </tp>
      <tp>
        <v>-16.388459619999999</v>
        <stp/>
        <stp>EM_S_PQ_PCTCHANGE</stp>
        <stp>4</stp>
        <stp>603678</stp>
        <stp>2018-01-01</stp>
        <stp>2019-12-31</stp>
        <stp>3</stp>
        <tr r="F631" s="1"/>
      </tp>
      <tp>
        <v>72.81903389</v>
        <stp/>
        <stp>EM_S_PQ_PCTCHANGE</stp>
        <stp>4</stp>
        <stp>002409</stp>
        <stp>2018-12-31</stp>
        <stp>2019-12-30</stp>
        <stp>1</stp>
        <tr r="G294" s="1"/>
      </tp>
      <tp>
        <v>-10</v>
        <stp/>
        <stp>EM_S_PQ_PCTCHANGE</stp>
        <stp>4</stp>
        <stp>002618</stp>
        <stp>2018-01-01</stp>
        <stp>2019-12-31</stp>
        <stp>3</stp>
        <tr r="F2739" s="1"/>
      </tp>
      <tp>
        <v>-30.32490975</v>
        <stp/>
        <stp>EM_S_PQ_PCTCHANGE</stp>
        <stp>4</stp>
        <stp>000619</stp>
        <stp>2018-01-01</stp>
        <stp>2019-12-31</stp>
        <stp>3</stp>
        <tr r="F1623" s="1"/>
      </tp>
      <tp>
        <v>65.222772280000001</v>
        <stp/>
        <stp>EM_S_PQ_PCTCHANGE</stp>
        <stp>4</stp>
        <stp>300438</stp>
        <stp>2018-12-31</stp>
        <stp>2019-12-30</stp>
        <stp>1</stp>
        <tr r="G364" s="1"/>
      </tp>
      <tp>
        <v>-48.959577199999998</v>
        <stp/>
        <stp>EM_S_PQ_PCTCHANGE</stp>
        <stp>4</stp>
        <stp>300629</stp>
        <stp>2018-01-01</stp>
        <stp>2019-12-31</stp>
        <stp>3</stp>
        <tr r="F1628" s="1"/>
      </tp>
      <tp>
        <v>-31.775700929999999</v>
        <stp/>
        <stp>EM_S_PQ_PCTCHANGE</stp>
        <stp>4</stp>
        <stp>600468</stp>
        <stp>2018-12-31</stp>
        <stp>2019-12-30</stp>
        <stp>1</stp>
        <tr r="G3233" s="1"/>
      </tp>
      <tp>
        <v>-36.685479729999997</v>
        <stp/>
        <stp>EM_S_PQ_PCTCHANGE</stp>
        <stp>4</stp>
        <stp>600679</stp>
        <stp>2018-01-01</stp>
        <stp>2019-12-31</stp>
        <stp>3</stp>
        <tr r="F1214" s="1"/>
      </tp>
      <tp>
        <v>62.979469960000003</v>
        <stp/>
        <stp>EM_S_PQ_PCTCHANGE</stp>
        <stp>4</stp>
        <stp>603679</stp>
        <stp>2018-01-01</stp>
        <stp>2019-12-31</stp>
        <stp>3</stp>
        <tr r="F247" s="1"/>
      </tp>
      <tp>
        <v>4.67836257</v>
        <stp/>
        <stp>EM_S_PQ_PCTCHANGE</stp>
        <stp>4</stp>
        <stp>002408</stp>
        <stp>2018-12-31</stp>
        <stp>2019-12-30</stp>
        <stp>1</stp>
        <tr r="G2019" s="1"/>
      </tp>
      <tp>
        <v>-50.664617700000001</v>
        <stp/>
        <stp>EM_S_PQ_PCTCHANGE</stp>
        <stp>4</stp>
        <stp>002619</stp>
        <stp>2018-01-01</stp>
        <stp>2019-12-31</stp>
        <stp>3</stp>
        <tr r="F2620" s="1"/>
      </tp>
      <tp>
        <v>34.087237479999999</v>
        <stp/>
        <stp>EM_S_PQ_PCTCHANGE</stp>
        <stp>4</stp>
        <stp>000401</stp>
        <stp>2018-12-31</stp>
        <stp>2019-12-30</stp>
        <stp>1</stp>
        <tr r="G849" s="1"/>
      </tp>
      <tp>
        <v>-21.62195977</v>
        <stp/>
        <stp>EM_S_PQ_PCTCHANGE</stp>
        <stp>4</stp>
        <stp>000610</stp>
        <stp>2018-01-01</stp>
        <stp>2019-12-31</stp>
        <stp>3</stp>
        <tr r="F1211" s="1"/>
      </tp>
      <tp>
        <v>-56.474820139999999</v>
        <stp/>
        <stp>EM_S_PQ_PCTCHANGE</stp>
        <stp>4</stp>
        <stp>300431</stp>
        <stp>2018-12-31</stp>
        <stp>2019-12-30</stp>
        <stp>1</stp>
        <tr r="G3388" s="1"/>
      </tp>
      <tp>
        <v>-1.00236561</v>
        <stp/>
        <stp>EM_S_PQ_PCTCHANGE</stp>
        <stp>4</stp>
        <stp>300620</stp>
        <stp>2018-01-01</stp>
        <stp>2019-12-31</stp>
        <stp>3</stp>
        <tr r="F2759" s="1"/>
      </tp>
      <tp>
        <v>8</v>
        <stp/>
        <stp>EM_S_PQ_PCTCHANGE</stp>
        <stp>4</stp>
        <stp>600461</stp>
        <stp>2018-12-31</stp>
        <stp>2019-12-30</stp>
        <stp>1</stp>
        <tr r="G1858" s="1"/>
      </tp>
      <tp>
        <v>0</v>
        <stp/>
        <stp>EM_S_PQ_PCTCHANGE</stp>
        <stp>4</stp>
        <stp>600670</stp>
        <stp>2018-01-01</stp>
        <stp>2019-12-31</stp>
        <stp>3</stp>
        <tr r="F2314" s="1"/>
      </tp>
      <tp>
        <v>24.860646599999999</v>
        <stp/>
        <stp>EM_S_PQ_PCTCHANGE</stp>
        <stp>4</stp>
        <stp>002401</stp>
        <stp>2018-12-31</stp>
        <stp>2019-12-30</stp>
        <stp>1</stp>
        <tr r="G1098" s="1"/>
      </tp>
      <tp>
        <v>-32.067510550000002</v>
        <stp/>
        <stp>EM_S_PQ_PCTCHANGE</stp>
        <stp>4</stp>
        <stp>002610</stp>
        <stp>2018-01-01</stp>
        <stp>2019-12-31</stp>
        <stp>3</stp>
        <tr r="F2135" s="1"/>
      </tp>
      <tp>
        <v>-50.642673520000002</v>
        <stp/>
        <stp>EM_S_PQ_PCTCHANGE</stp>
        <stp>4</stp>
        <stp>000611</stp>
        <stp>2018-01-01</stp>
        <stp>2019-12-31</stp>
        <stp>3</stp>
        <tr r="F3483" s="1"/>
      </tp>
      <tp>
        <v>-2.5735294099999999</v>
        <stp/>
        <stp>EM_S_PQ_PCTCHANGE</stp>
        <stp>4</stp>
        <stp>300430</stp>
        <stp>2018-12-31</stp>
        <stp>2019-12-30</stp>
        <stp>1</stp>
        <tr r="G2455" s="1"/>
      </tp>
      <tp>
        <v>-19.431570529999998</v>
        <stp/>
        <stp>EM_S_PQ_PCTCHANGE</stp>
        <stp>4</stp>
        <stp>300621</stp>
        <stp>2018-01-01</stp>
        <stp>2019-12-31</stp>
        <stp>3</stp>
        <tr r="F1811" s="1"/>
      </tp>
      <tp>
        <v>91.009852219999999</v>
        <stp/>
        <stp>EM_S_PQ_PCTCHANGE</stp>
        <stp>4</stp>
        <stp>600460</stp>
        <stp>2018-12-31</stp>
        <stp>2019-12-30</stp>
        <stp>1</stp>
        <tr r="G200" s="1"/>
      </tp>
      <tp>
        <v>-51.246537400000001</v>
        <stp/>
        <stp>EM_S_PQ_PCTCHANGE</stp>
        <stp>4</stp>
        <stp>600671</stp>
        <stp>2018-01-01</stp>
        <stp>2019-12-31</stp>
        <stp>3</stp>
        <tr r="F3131" s="1"/>
      </tp>
      <tp>
        <v>8.1081081099999999</v>
        <stp/>
        <stp>EM_S_PQ_PCTCHANGE</stp>
        <stp>4</stp>
        <stp>002400</stp>
        <stp>2018-12-31</stp>
        <stp>2019-12-30</stp>
        <stp>1</stp>
        <tr r="G1851" s="1"/>
      </tp>
      <tp>
        <v>-48.010852630000002</v>
        <stp/>
        <stp>EM_S_PQ_PCTCHANGE</stp>
        <stp>4</stp>
        <stp>002611</stp>
        <stp>2018-01-01</stp>
        <stp>2019-12-31</stp>
        <stp>3</stp>
        <tr r="F1539" s="1"/>
      </tp>
      <tp>
        <v>24.702144560000001</v>
        <stp/>
        <stp>EM_S_PQ_PCTCHANGE</stp>
        <stp>4</stp>
        <stp>000403</stp>
        <stp>2018-12-31</stp>
        <stp>2019-12-30</stp>
        <stp>1</stp>
        <tr r="G1103" s="1"/>
      </tp>
      <tp>
        <v>-53.633679209999997</v>
        <stp/>
        <stp>EM_S_PQ_PCTCHANGE</stp>
        <stp>4</stp>
        <stp>000612</stp>
        <stp>2018-01-01</stp>
        <stp>2019-12-31</stp>
        <stp>3</stp>
        <tr r="F3484" s="1"/>
      </tp>
      <tp>
        <v>111.82795699</v>
        <stp/>
        <stp>EM_S_PQ_PCTCHANGE</stp>
        <stp>4</stp>
        <stp>300433</stp>
        <stp>2018-12-31</stp>
        <stp>2019-12-30</stp>
        <stp>1</stp>
        <tr r="G140" s="1"/>
      </tp>
      <tp>
        <v>7.5220466899999998</v>
        <stp/>
        <stp>EM_S_PQ_PCTCHANGE</stp>
        <stp>4</stp>
        <stp>300622</stp>
        <stp>2018-01-01</stp>
        <stp>2019-12-31</stp>
        <stp>3</stp>
        <tr r="F1369" s="1"/>
      </tp>
      <tp>
        <v>1.6759776500000001</v>
        <stp/>
        <stp>EM_S_PQ_PCTCHANGE</stp>
        <stp>4</stp>
        <stp>600463</stp>
        <stp>2018-12-31</stp>
        <stp>2019-12-30</stp>
        <stp>1</stp>
        <tr r="G2180" s="1"/>
      </tp>
      <tp>
        <v>0</v>
        <stp/>
        <stp>EM_S_PQ_PCTCHANGE</stp>
        <stp>4</stp>
        <stp>600672</stp>
        <stp>2018-01-01</stp>
        <stp>2019-12-31</stp>
        <stp>3</stp>
        <tr r="F2315" s="1"/>
      </tp>
      <tp>
        <v>9.3709884500000005</v>
        <stp/>
        <stp>EM_S_PQ_PCTCHANGE</stp>
        <stp>4</stp>
        <stp>002403</stp>
        <stp>2018-12-31</stp>
        <stp>2019-12-30</stp>
        <stp>1</stp>
        <tr r="G1774" s="1"/>
      </tp>
      <tp>
        <v>-7.5593175600000002</v>
        <stp/>
        <stp>EM_S_PQ_PCTCHANGE</stp>
        <stp>4</stp>
        <stp>002612</stp>
        <stp>2018-01-01</stp>
        <stp>2019-12-31</stp>
        <stp>3</stp>
        <tr r="F1881" s="1"/>
      </tp>
      <tp>
        <v>-21.614583329999999</v>
        <stp/>
        <stp>EM_S_PQ_PCTCHANGE</stp>
        <stp>4</stp>
        <stp>000613</stp>
        <stp>2018-01-01</stp>
        <stp>2019-12-31</stp>
        <stp>3</stp>
        <tr r="F3064" s="1"/>
      </tp>
      <tp>
        <v>95.486111109999996</v>
        <stp/>
        <stp>EM_S_PQ_PCTCHANGE</stp>
        <stp>4</stp>
        <stp>300432</stp>
        <stp>2018-12-31</stp>
        <stp>2019-12-30</stp>
        <stp>1</stp>
        <tr r="G180" s="1"/>
      </tp>
      <tp>
        <v>5.8131404399999997</v>
        <stp/>
        <stp>EM_S_PQ_PCTCHANGE</stp>
        <stp>4</stp>
        <stp>300623</stp>
        <stp>2018-01-01</stp>
        <stp>2019-12-31</stp>
        <stp>3</stp>
        <tr r="F1635" s="1"/>
      </tp>
      <tp>
        <v>-50.595238100000003</v>
        <stp/>
        <stp>EM_S_PQ_PCTCHANGE</stp>
        <stp>4</stp>
        <stp>600462</stp>
        <stp>2018-12-31</stp>
        <stp>2019-12-30</stp>
        <stp>1</stp>
        <tr r="G3369" s="1"/>
      </tp>
      <tp>
        <v>53.011494480000003</v>
        <stp/>
        <stp>EM_S_PQ_PCTCHANGE</stp>
        <stp>4</stp>
        <stp>600673</stp>
        <stp>2018-01-01</stp>
        <stp>2019-12-31</stp>
        <stp>3</stp>
        <tr r="F859" s="1"/>
      </tp>
      <tp>
        <v>-22.969187680000001</v>
        <stp/>
        <stp>EM_S_PQ_PCTCHANGE</stp>
        <stp>4</stp>
        <stp>002613</stp>
        <stp>2018-01-01</stp>
        <stp>2019-12-31</stp>
        <stp>3</stp>
        <tr r="F2072" s="1"/>
      </tp>
      <tp>
        <v>9.0355329900000001</v>
        <stp/>
        <stp>EM_S_PQ_PCTCHANGE</stp>
        <stp>4</stp>
        <stp>300435</stp>
        <stp>2018-12-31</stp>
        <stp>2019-12-30</stp>
        <stp>1</stp>
        <tr r="G1794" s="1"/>
      </tp>
      <tp>
        <v>283.84049836000003</v>
        <stp/>
        <stp>EM_S_PQ_PCTCHANGE</stp>
        <stp>4</stp>
        <stp>300624</stp>
        <stp>2018-01-01</stp>
        <stp>2019-12-31</stp>
        <stp>3</stp>
        <tr r="F1409" s="1"/>
      </tp>
      <tp>
        <v>3.3317526499999999</v>
        <stp/>
        <stp>EM_S_PQ_PCTCHANGE</stp>
        <stp>4</stp>
        <stp>600674</stp>
        <stp>2018-01-01</stp>
        <stp>2019-12-31</stp>
        <stp>3</stp>
        <tr r="F1589" s="1"/>
      </tp>
      <tp>
        <v>13.39475549</v>
        <stp/>
        <stp>EM_S_PQ_PCTCHANGE</stp>
        <stp>4</stp>
        <stp>002405</stp>
        <stp>2018-12-31</stp>
        <stp>2019-12-30</stp>
        <stp>1</stp>
        <tr r="G1559" s="1"/>
      </tp>
      <tp>
        <v>-44.760313259999997</v>
        <stp/>
        <stp>EM_S_PQ_PCTCHANGE</stp>
        <stp>4</stp>
        <stp>002614</stp>
        <stp>2018-01-01</stp>
        <stp>2019-12-31</stp>
        <stp>3</stp>
        <tr r="F3257" s="1"/>
      </tp>
      <tp>
        <v>1.2953367899999999</v>
        <stp/>
        <stp>EM_S_PQ_PCTCHANGE</stp>
        <stp>4</stp>
        <stp>000404</stp>
        <stp>2018-12-31</stp>
        <stp>2019-12-30</stp>
        <stp>1</stp>
        <tr r="G2194" s="1"/>
      </tp>
      <tp>
        <v>-54.29235731</v>
        <stp/>
        <stp>EM_S_PQ_PCTCHANGE</stp>
        <stp>4</stp>
        <stp>000615</stp>
        <stp>2018-01-01</stp>
        <stp>2019-12-31</stp>
        <stp>3</stp>
        <tr r="F3000" s="1"/>
      </tp>
      <tp>
        <v>-16.81818182</v>
        <stp/>
        <stp>EM_S_PQ_PCTCHANGE</stp>
        <stp>4</stp>
        <stp>300434</stp>
        <stp>2018-12-31</stp>
        <stp>2019-12-30</stp>
        <stp>1</stp>
        <tr r="G2981" s="1"/>
      </tp>
      <tp>
        <v>-30.804732009999999</v>
        <stp/>
        <stp>EM_S_PQ_PCTCHANGE</stp>
        <stp>4</stp>
        <stp>300625</stp>
        <stp>2018-01-01</stp>
        <stp>2019-12-31</stp>
        <stp>3</stp>
        <tr r="F1465" s="1"/>
      </tp>
      <tp>
        <v>-7.5515949600000001</v>
        <stp/>
        <stp>EM_S_PQ_PCTCHANGE</stp>
        <stp>4</stp>
        <stp>600675</stp>
        <stp>2018-01-01</stp>
        <stp>2019-12-31</stp>
        <stp>3</stp>
        <tr r="F2967" s="1"/>
      </tp>
      <tp>
        <v>19.252336450000001</v>
        <stp/>
        <stp>EM_S_PQ_PCTCHANGE</stp>
        <stp>4</stp>
        <stp>002404</stp>
        <stp>2018-12-31</stp>
        <stp>2019-12-30</stp>
        <stp>1</stp>
        <tr r="G1312" s="1"/>
      </tp>
      <tp>
        <v>-37.04876703</v>
        <stp/>
        <stp>EM_S_PQ_PCTCHANGE</stp>
        <stp>4</stp>
        <stp>002615</stp>
        <stp>2018-01-01</stp>
        <stp>2019-12-31</stp>
        <stp>3</stp>
        <tr r="F1586" s="1"/>
      </tp>
      <tp>
        <v>-5.8981233199999998</v>
        <stp/>
        <stp>EM_S_PQ_PCTCHANGE</stp>
        <stp>4</stp>
        <stp>000407</stp>
        <stp>2018-12-31</stp>
        <stp>2019-12-30</stp>
        <stp>1</stp>
        <tr r="G2601" s="1"/>
      </tp>
      <tp>
        <v>-27.462686569999999</v>
        <stp/>
        <stp>EM_S_PQ_PCTCHANGE</stp>
        <stp>4</stp>
        <stp>000616</stp>
        <stp>2018-01-01</stp>
        <stp>2019-12-31</stp>
        <stp>3</stp>
        <tr r="F2228" s="1"/>
      </tp>
      <tp>
        <v>-10.70205479</v>
        <stp/>
        <stp>EM_S_PQ_PCTCHANGE</stp>
        <stp>4</stp>
        <stp>300437</stp>
        <stp>2018-12-31</stp>
        <stp>2019-12-30</stp>
        <stp>1</stp>
        <tr r="G2786" s="1"/>
      </tp>
      <tp>
        <v>-46.12099448</v>
        <stp/>
        <stp>EM_S_PQ_PCTCHANGE</stp>
        <stp>4</stp>
        <stp>300626</stp>
        <stp>2018-01-01</stp>
        <stp>2019-12-31</stp>
        <stp>3</stp>
        <tr r="F2555" s="1"/>
      </tp>
      <tp>
        <v>1.25</v>
        <stp/>
        <stp>EM_S_PQ_PCTCHANGE</stp>
        <stp>4</stp>
        <stp>600467</stp>
        <stp>2018-12-31</stp>
        <stp>2019-12-30</stp>
        <stp>1</stp>
        <tr r="G2199" s="1"/>
      </tp>
      <tp>
        <v>-30.90738975</v>
        <stp/>
        <stp>EM_S_PQ_PCTCHANGE</stp>
        <stp>4</stp>
        <stp>600676</stp>
        <stp>2018-01-01</stp>
        <stp>2019-12-31</stp>
        <stp>3</stp>
        <tr r="F2345" s="1"/>
      </tp>
      <tp>
        <v>-33.316434559999998</v>
        <stp/>
        <stp>EM_S_PQ_PCTCHANGE</stp>
        <stp>4</stp>
        <stp>603676</stp>
        <stp>2018-01-01</stp>
        <stp>2019-12-31</stp>
        <stp>3</stp>
        <tr r="F2673" s="1"/>
      </tp>
      <tp>
        <v>19.160583939999999</v>
        <stp/>
        <stp>EM_S_PQ_PCTCHANGE</stp>
        <stp>4</stp>
        <stp>002407</stp>
        <stp>2018-12-31</stp>
        <stp>2019-12-30</stp>
        <stp>1</stp>
        <tr r="G1316" s="1"/>
      </tp>
      <tp>
        <v>-7.2562357200000003</v>
        <stp/>
        <stp>EM_S_PQ_PCTCHANGE</stp>
        <stp>4</stp>
        <stp>002616</stp>
        <stp>2018-01-01</stp>
        <stp>2019-12-31</stp>
        <stp>3</stp>
        <tr r="F1661" s="1"/>
      </tp>
      <tp>
        <v>-8.9596796899999998</v>
        <stp/>
        <stp>EM_S_PQ_PCTCHANGE</stp>
        <stp>4</stp>
        <stp>601677</stp>
        <stp>2018-01-01</stp>
        <stp>2019-12-31</stp>
        <stp>3</stp>
        <tr r="F925" s="1"/>
      </tp>
      <tp>
        <v>-15.527606410000001</v>
        <stp/>
        <stp>EM_S_PQ_PCTCHANGE</stp>
        <stp>4</stp>
        <stp>000617</stp>
        <stp>2018-01-01</stp>
        <stp>2019-12-31</stp>
        <stp>3</stp>
        <tr r="F1592" s="1"/>
      </tp>
      <tp>
        <v>32.206185570000002</v>
        <stp/>
        <stp>EM_S_PQ_PCTCHANGE</stp>
        <stp>4</stp>
        <stp>300436</stp>
        <stp>2018-12-31</stp>
        <stp>2019-12-30</stp>
        <stp>1</stp>
        <tr r="G879" s="1"/>
      </tp>
      <tp>
        <v>-0.62330750999999995</v>
        <stp/>
        <stp>EM_S_PQ_PCTCHANGE</stp>
        <stp>4</stp>
        <stp>300627</stp>
        <stp>2018-01-01</stp>
        <stp>2019-12-31</stp>
        <stp>3</stp>
        <tr r="F908" s="1"/>
      </tp>
      <tp>
        <v>32.899628249999999</v>
        <stp/>
        <stp>EM_S_PQ_PCTCHANGE</stp>
        <stp>4</stp>
        <stp>600466</stp>
        <stp>2018-12-31</stp>
        <stp>2019-12-30</stp>
        <stp>1</stp>
        <tr r="G865" s="1"/>
      </tp>
      <tp>
        <v>-20.020488409999999</v>
        <stp/>
        <stp>EM_S_PQ_PCTCHANGE</stp>
        <stp>4</stp>
        <stp>600677</stp>
        <stp>2018-01-01</stp>
        <stp>2019-12-31</stp>
        <stp>3</stp>
        <tr r="F2619" s="1"/>
      </tp>
      <tp>
        <v>-3.8057742800000001</v>
        <stp/>
        <stp>EM_S_PQ_PCTCHANGE</stp>
        <stp>4</stp>
        <stp>603466</stp>
        <stp>2018-12-31</stp>
        <stp>2019-12-30</stp>
        <stp>1</stp>
        <tr r="G2505" s="1"/>
      </tp>
      <tp>
        <v>-25.574005469999999</v>
        <stp/>
        <stp>EM_S_PQ_PCTCHANGE</stp>
        <stp>4</stp>
        <stp>603677</stp>
        <stp>2018-01-01</stp>
        <stp>2019-12-31</stp>
        <stp>3</stp>
        <tr r="F2785" s="1"/>
      </tp>
      <tp>
        <v>17.58034026</v>
        <stp/>
        <stp>EM_S_PQ_PCTCHANGE</stp>
        <stp>4</stp>
        <stp>002406</stp>
        <stp>2018-12-31</stp>
        <stp>2019-12-30</stp>
        <stp>1</stp>
        <tr r="G1384" s="1"/>
      </tp>
      <tp>
        <v>-50.203998800000001</v>
        <stp/>
        <stp>EM_S_PQ_PCTCHANGE</stp>
        <stp>4</stp>
        <stp>002617</stp>
        <stp>2018-01-01</stp>
        <stp>2019-12-31</stp>
        <stp>3</stp>
        <tr r="F760" s="1"/>
      </tp>
      <tp>
        <v>-7.6602173699999998</v>
        <stp/>
        <stp>EM_S_PQ_PCTCHANGE</stp>
        <stp>4</stp>
        <stp>601668</stp>
        <stp>2018-01-01</stp>
        <stp>2019-12-31</stp>
        <stp>3</stp>
        <tr r="F2444" s="1"/>
      </tp>
      <tp>
        <v>-21.13835362</v>
        <stp/>
        <stp>EM_S_PQ_PCTCHANGE</stp>
        <stp>4</stp>
        <stp>000608</stp>
        <stp>2018-01-01</stp>
        <stp>2019-12-31</stp>
        <stp>3</stp>
        <tr r="F3481" s="1"/>
      </tp>
      <tp>
        <v>-46.82692308</v>
        <stp/>
        <stp>EM_S_PQ_PCTCHANGE</stp>
        <stp>4</stp>
        <stp>300429</stp>
        <stp>2018-12-31</stp>
        <stp>2019-12-30</stp>
        <stp>1</stp>
        <tr r="G3351" s="1"/>
      </tp>
      <tp>
        <v>110.38337657</v>
        <stp/>
        <stp>EM_S_PQ_PCTCHANGE</stp>
        <stp>4</stp>
        <stp>300638</stp>
        <stp>2018-01-01</stp>
        <stp>2019-12-31</stp>
        <stp>3</stp>
        <tr r="F110" s="1"/>
      </tp>
      <tp>
        <v>10.95360825</v>
        <stp/>
        <stp>EM_S_PQ_PCTCHANGE</stp>
        <stp>4</stp>
        <stp>600479</stp>
        <stp>2018-12-31</stp>
        <stp>2019-12-30</stp>
        <stp>1</stp>
        <tr r="G1683" s="1"/>
      </tp>
      <tp>
        <v>3.0277697300000002</v>
        <stp/>
        <stp>EM_S_PQ_PCTCHANGE</stp>
        <stp>4</stp>
        <stp>600668</stp>
        <stp>2018-01-01</stp>
        <stp>2019-12-31</stp>
        <stp>3</stp>
        <tr r="F921" s="1"/>
      </tp>
      <tp>
        <v>-28.746334489999999</v>
        <stp/>
        <stp>EM_S_PQ_PCTCHANGE</stp>
        <stp>4</stp>
        <stp>603668</stp>
        <stp>2018-01-01</stp>
        <stp>2019-12-31</stp>
        <stp>3</stp>
        <tr r="F1555" s="1"/>
      </tp>
      <tp>
        <v>-4.3755697400000004</v>
        <stp/>
        <stp>EM_S_PQ_PCTCHANGE</stp>
        <stp>4</stp>
        <stp>002419</stp>
        <stp>2018-12-31</stp>
        <stp>2019-12-30</stp>
        <stp>1</stp>
        <tr r="G2535" s="1"/>
      </tp>
      <tp>
        <v>-24.114173229999999</v>
        <stp/>
        <stp>EM_S_PQ_PCTCHANGE</stp>
        <stp>4</stp>
        <stp>002608</stp>
        <stp>2018-01-01</stp>
        <stp>2019-12-31</stp>
        <stp>3</stp>
        <tr r="F2248" s="1"/>
      </tp>
      <tp>
        <v>-37.652561499999997</v>
        <stp/>
        <stp>EM_S_PQ_PCTCHANGE</stp>
        <stp>4</stp>
        <stp>601669</stp>
        <stp>2018-01-01</stp>
        <stp>2019-12-31</stp>
        <stp>3</stp>
        <tr r="F2887" s="1"/>
      </tp>
      <tp>
        <v>32.693641620000001</v>
        <stp/>
        <stp>EM_S_PQ_PCTCHANGE</stp>
        <stp>4</stp>
        <stp>000418</stp>
        <stp>2018-12-31</stp>
        <stp>2019-12-30</stp>
        <stp>1</stp>
        <tr r="G870" s="1"/>
      </tp>
      <tp>
        <v>-48.979591839999998</v>
        <stp/>
        <stp>EM_S_PQ_PCTCHANGE</stp>
        <stp>4</stp>
        <stp>000609</stp>
        <stp>2018-01-01</stp>
        <stp>2019-12-31</stp>
        <stp>3</stp>
        <tr r="F3482" s="1"/>
      </tp>
      <tp>
        <v>26.22504537</v>
        <stp/>
        <stp>EM_S_PQ_PCTCHANGE</stp>
        <stp>4</stp>
        <stp>300428</stp>
        <stp>2018-12-31</stp>
        <stp>2019-12-30</stp>
        <stp>1</stp>
        <tr r="G1051" s="1"/>
      </tp>
      <tp>
        <v>-25.06476791</v>
        <stp/>
        <stp>EM_S_PQ_PCTCHANGE</stp>
        <stp>4</stp>
        <stp>300639</stp>
        <stp>2018-01-01</stp>
        <stp>2019-12-31</stp>
        <stp>3</stp>
        <tr r="F429" s="1"/>
      </tp>
      <tp>
        <v>8.9743589700000008</v>
        <stp/>
        <stp>EM_S_PQ_PCTCHANGE</stp>
        <stp>4</stp>
        <stp>600478</stp>
        <stp>2018-12-31</stp>
        <stp>2019-12-30</stp>
        <stp>1</stp>
        <tr r="G1797" s="1"/>
      </tp>
      <tp>
        <v>0</v>
        <stp/>
        <stp>EM_S_PQ_PCTCHANGE</stp>
        <stp>4</stp>
        <stp>600669</stp>
        <stp>2018-01-01</stp>
        <stp>2019-12-31</stp>
        <stp>3</stp>
        <tr r="F2313" s="1"/>
      </tp>
      <tp>
        <v>-20.991176159999998</v>
        <stp/>
        <stp>EM_S_PQ_PCTCHANGE</stp>
        <stp>4</stp>
        <stp>603669</stp>
        <stp>2018-01-01</stp>
        <stp>2019-12-31</stp>
        <stp>3</stp>
        <tr r="F3197" s="1"/>
      </tp>
      <tp>
        <v>-6.8181818200000004</v>
        <stp/>
        <stp>EM_S_PQ_PCTCHANGE</stp>
        <stp>4</stp>
        <stp>002418</stp>
        <stp>2018-12-31</stp>
        <stp>2019-12-30</stp>
        <stp>1</stp>
        <tr r="G2643" s="1"/>
      </tp>
      <tp>
        <v>-37.29660432</v>
        <stp/>
        <stp>EM_S_PQ_PCTCHANGE</stp>
        <stp>4</stp>
        <stp>002609</stp>
        <stp>2018-01-01</stp>
        <stp>2019-12-31</stp>
        <stp>3</stp>
        <tr r="F507" s="1"/>
      </tp>
      <tp>
        <v>-4.1139240499999996</v>
        <stp/>
        <stp>EM_S_PQ_PCTCHANGE</stp>
        <stp>4</stp>
        <stp>000411</stp>
        <stp>2018-12-31</stp>
        <stp>2019-12-30</stp>
        <stp>1</stp>
        <tr r="G2518" s="1"/>
      </tp>
      <tp>
        <v>-34.799309899999997</v>
        <stp/>
        <stp>EM_S_PQ_PCTCHANGE</stp>
        <stp>4</stp>
        <stp>000600</stp>
        <stp>2018-01-01</stp>
        <stp>2019-12-31</stp>
        <stp>3</stp>
        <tr r="F2456" s="1"/>
      </tp>
      <tp>
        <v>-45.770750990000003</v>
        <stp/>
        <stp>EM_S_PQ_PCTCHANGE</stp>
        <stp>4</stp>
        <stp>300421</stp>
        <stp>2018-12-31</stp>
        <stp>2019-12-30</stp>
        <stp>1</stp>
        <tr r="G3348" s="1"/>
      </tp>
      <tp>
        <v>67.161189399999998</v>
        <stp/>
        <stp>EM_S_PQ_PCTCHANGE</stp>
        <stp>4</stp>
        <stp>300630</stp>
        <stp>2018-01-01</stp>
        <stp>2019-12-31</stp>
        <stp>3</stp>
        <tr r="F1074" s="1"/>
      </tp>
      <tp>
        <v>-10.38661536</v>
        <stp/>
        <stp>EM_S_PQ_PCTCHANGE</stp>
        <stp>4</stp>
        <stp>600660</stp>
        <stp>2018-01-01</stp>
        <stp>2019-12-31</stp>
        <stp>3</stp>
        <tr r="F2159" s="1"/>
      </tp>
      <tp>
        <v>-37.167239260000002</v>
        <stp/>
        <stp>EM_S_PQ_PCTCHANGE</stp>
        <stp>4</stp>
        <stp>603660</stp>
        <stp>2018-01-01</stp>
        <stp>2019-12-31</stp>
        <stp>3</stp>
        <tr r="F3259" s="1"/>
      </tp>
      <tp>
        <v>-25.948766599999999</v>
        <stp/>
        <stp>EM_S_PQ_PCTCHANGE</stp>
        <stp>4</stp>
        <stp>002411</stp>
        <stp>2018-12-31</stp>
        <stp>2019-12-30</stp>
        <stp>1</stp>
        <tr r="G3164" s="1"/>
      </tp>
      <tp>
        <v>29.62962963</v>
        <stp/>
        <stp>EM_S_PQ_PCTCHANGE</stp>
        <stp>4</stp>
        <stp>002600</stp>
        <stp>2018-01-01</stp>
        <stp>2019-12-31</stp>
        <stp>3</stp>
        <tr r="F23" s="1"/>
      </tp>
      <tp>
        <v>-17.248561039999998</v>
        <stp/>
        <stp>EM_S_PQ_PCTCHANGE</stp>
        <stp>4</stp>
        <stp>000601</stp>
        <stp>2018-01-01</stp>
        <stp>2019-12-31</stp>
        <stp>3</stp>
        <tr r="F3477" s="1"/>
      </tp>
      <tp>
        <v>9.8393574299999997</v>
        <stp/>
        <stp>EM_S_PQ_PCTCHANGE</stp>
        <stp>4</stp>
        <stp>300420</stp>
        <stp>2018-12-31</stp>
        <stp>2019-12-30</stp>
        <stp>1</stp>
        <tr r="G1747" s="1"/>
      </tp>
      <tp>
        <v>-27.93248736</v>
        <stp/>
        <stp>EM_S_PQ_PCTCHANGE</stp>
        <stp>4</stp>
        <stp>300631</stp>
        <stp>2018-01-01</stp>
        <stp>2019-12-31</stp>
        <stp>3</stp>
        <tr r="F1619" s="1"/>
      </tp>
      <tp>
        <v>13.866666670000001</v>
        <stp/>
        <stp>EM_S_PQ_PCTCHANGE</stp>
        <stp>4</stp>
        <stp>600470</stp>
        <stp>2018-12-31</stp>
        <stp>2019-12-30</stp>
        <stp>1</stp>
        <tr r="G1540" s="1"/>
      </tp>
      <tp>
        <v>-32.507861640000002</v>
        <stp/>
        <stp>EM_S_PQ_PCTCHANGE</stp>
        <stp>4</stp>
        <stp>600661</stp>
        <stp>2018-01-01</stp>
        <stp>2019-12-31</stp>
        <stp>3</stp>
        <tr r="F2866" s="1"/>
      </tp>
      <tp>
        <v>-34.103191760000001</v>
        <stp/>
        <stp>EM_S_PQ_PCTCHANGE</stp>
        <stp>4</stp>
        <stp>603661</stp>
        <stp>2018-01-01</stp>
        <stp>2019-12-31</stp>
        <stp>3</stp>
        <tr r="F578" s="1"/>
      </tp>
      <tp>
        <v>60.067275350000003</v>
        <stp/>
        <stp>EM_S_PQ_PCTCHANGE</stp>
        <stp>4</stp>
        <stp>002410</stp>
        <stp>2018-12-31</stp>
        <stp>2019-12-30</stp>
        <stp>1</stp>
        <tr r="G427" s="1"/>
      </tp>
      <tp>
        <v>9.9803300000000004</v>
        <stp/>
        <stp>EM_S_PQ_PCTCHANGE</stp>
        <stp>4</stp>
        <stp>002601</stp>
        <stp>2018-01-01</stp>
        <stp>2019-12-31</stp>
        <stp>3</stp>
        <tr r="F1076" s="1"/>
      </tp>
      <tp>
        <v>-24.444444440000002</v>
        <stp/>
        <stp>EM_S_PQ_PCTCHANGE</stp>
        <stp>4</stp>
        <stp>000413</stp>
        <stp>2018-12-31</stp>
        <stp>2019-12-30</stp>
        <stp>1</stp>
        <tr r="G3142" s="1"/>
      </tp>
      <tp>
        <v>0</v>
        <stp/>
        <stp>EM_S_PQ_PCTCHANGE</stp>
        <stp>4</stp>
        <stp>000602</stp>
        <stp>2018-01-01</stp>
        <stp>2019-12-31</stp>
        <stp>3</stp>
        <tr r="F3478" s="1"/>
      </tp>
      <tp>
        <v>-24.957458880000001</v>
        <stp/>
        <stp>EM_S_PQ_PCTCHANGE</stp>
        <stp>4</stp>
        <stp>300423</stp>
        <stp>2018-12-31</stp>
        <stp>2019-12-30</stp>
        <stp>1</stp>
        <tr r="G3152" s="1"/>
      </tp>
      <tp>
        <v>69.42236939</v>
        <stp/>
        <stp>EM_S_PQ_PCTCHANGE</stp>
        <stp>4</stp>
        <stp>300632</stp>
        <stp>2018-01-01</stp>
        <stp>2019-12-31</stp>
        <stp>3</stp>
        <tr r="F320" s="1"/>
      </tp>
      <tp>
        <v>-16.719052390000002</v>
        <stp/>
        <stp>EM_S_PQ_PCTCHANGE</stp>
        <stp>4</stp>
        <stp>600662</stp>
        <stp>2018-01-01</stp>
        <stp>2019-12-31</stp>
        <stp>3</stp>
        <tr r="F1782" s="1"/>
      </tp>
      <tp>
        <v>2.61682243</v>
        <stp/>
        <stp>EM_S_PQ_PCTCHANGE</stp>
        <stp>4</stp>
        <stp>002413</stp>
        <stp>2018-12-31</stp>
        <stp>2019-12-30</stp>
        <stp>1</stp>
        <tr r="G2131" s="1"/>
      </tp>
      <tp>
        <v>-13.906270960000001</v>
        <stp/>
        <stp>EM_S_PQ_PCTCHANGE</stp>
        <stp>4</stp>
        <stp>002602</stp>
        <stp>2018-01-01</stp>
        <stp>2019-12-31</stp>
        <stp>3</stp>
        <tr r="F3332" s="1"/>
      </tp>
      <tp>
        <v>24.70881864</v>
        <stp/>
        <stp>EM_S_PQ_PCTCHANGE</stp>
        <stp>4</stp>
        <stp>000603</stp>
        <stp>2018-01-01</stp>
        <stp>2019-12-31</stp>
        <stp>3</stp>
        <tr r="F625" s="1"/>
      </tp>
      <tp>
        <v>4.4399596399999997</v>
        <stp/>
        <stp>EM_S_PQ_PCTCHANGE</stp>
        <stp>4</stp>
        <stp>300422</stp>
        <stp>2018-12-31</stp>
        <stp>2019-12-30</stp>
        <stp>1</stp>
        <tr r="G2032" s="1"/>
      </tp>
      <tp>
        <v>-13.202911370000001</v>
        <stp/>
        <stp>EM_S_PQ_PCTCHANGE</stp>
        <stp>4</stp>
        <stp>300633</stp>
        <stp>2018-01-01</stp>
        <stp>2019-12-31</stp>
        <stp>3</stp>
        <tr r="F2972" s="1"/>
      </tp>
      <tp>
        <v>0</v>
        <stp/>
        <stp>EM_S_PQ_PCTCHANGE</stp>
        <stp>4</stp>
        <stp>600472</stp>
        <stp>2018-12-31</stp>
        <stp>2019-12-30</stp>
        <stp>1</stp>
        <tr r="G2303" s="1"/>
      </tp>
      <tp>
        <v>-9.5887956400000007</v>
        <stp/>
        <stp>EM_S_PQ_PCTCHANGE</stp>
        <stp>4</stp>
        <stp>600663</stp>
        <stp>2018-01-01</stp>
        <stp>2019-12-31</stp>
        <stp>3</stp>
        <tr r="F2066" s="1"/>
      </tp>
      <tp>
        <v>-6.0547123799999998</v>
        <stp/>
        <stp>EM_S_PQ_PCTCHANGE</stp>
        <stp>4</stp>
        <stp>603663</stp>
        <stp>2018-01-01</stp>
        <stp>2019-12-31</stp>
        <stp>3</stp>
        <tr r="F3084" s="1"/>
      </tp>
      <tp>
        <v>-39.408867000000001</v>
        <stp/>
        <stp>EM_S_PQ_PCTCHANGE</stp>
        <stp>4</stp>
        <stp>002412</stp>
        <stp>2018-12-31</stp>
        <stp>2019-12-30</stp>
        <stp>1</stp>
        <tr r="G3306" s="1"/>
      </tp>
      <tp>
        <v>-18.839276269999999</v>
        <stp/>
        <stp>EM_S_PQ_PCTCHANGE</stp>
        <stp>4</stp>
        <stp>002603</stp>
        <stp>2018-01-01</stp>
        <stp>2019-12-31</stp>
        <stp>3</stp>
        <tr r="F1855" s="1"/>
      </tp>
      <tp>
        <v>5.2777777800000001</v>
        <stp/>
        <stp>EM_S_PQ_PCTCHANGE</stp>
        <stp>4</stp>
        <stp>000415</stp>
        <stp>2018-12-31</stp>
        <stp>2019-12-30</stp>
        <stp>1</stp>
        <tr r="G2000" s="1"/>
      </tp>
      <tp>
        <v>-1.57657658</v>
        <stp/>
        <stp>EM_S_PQ_PCTCHANGE</stp>
        <stp>4</stp>
        <stp>300425</stp>
        <stp>2018-12-31</stp>
        <stp>2019-12-30</stp>
        <stp>1</stp>
        <tr r="G2401" s="1"/>
      </tp>
      <tp>
        <v>152.74619586</v>
        <stp/>
        <stp>EM_S_PQ_PCTCHANGE</stp>
        <stp>4</stp>
        <stp>300634</stp>
        <stp>2018-01-01</stp>
        <stp>2019-12-31</stp>
        <stp>3</stp>
        <tr r="F3171" s="1"/>
      </tp>
      <tp>
        <v>21.341463409999999</v>
        <stp/>
        <stp>EM_S_PQ_PCTCHANGE</stp>
        <stp>4</stp>
        <stp>600475</stp>
        <stp>2018-12-31</stp>
        <stp>2019-12-30</stp>
        <stp>1</stp>
        <tr r="G1220" s="1"/>
      </tp>
      <tp>
        <v>-28.257426760000001</v>
        <stp/>
        <stp>EM_S_PQ_PCTCHANGE</stp>
        <stp>4</stp>
        <stp>600664</stp>
        <stp>2018-01-01</stp>
        <stp>2019-12-31</stp>
        <stp>3</stp>
        <tr r="F2644" s="1"/>
      </tp>
      <tp>
        <v>26.475155279999999</v>
        <stp/>
        <stp>EM_S_PQ_PCTCHANGE</stp>
        <stp>4</stp>
        <stp>002415</stp>
        <stp>2018-12-31</stp>
        <stp>2019-12-30</stp>
        <stp>1</stp>
        <tr r="G1038" s="1"/>
      </tp>
      <tp>
        <v>-77.574370709999997</v>
        <stp/>
        <stp>EM_S_PQ_PCTCHANGE</stp>
        <stp>4</stp>
        <stp>002604</stp>
        <stp>2018-01-01</stp>
        <stp>2019-12-31</stp>
        <stp>3</stp>
        <tr r="F1363" s="1"/>
      </tp>
      <tp>
        <v>-45.881428880000001</v>
        <stp/>
        <stp>EM_S_PQ_PCTCHANGE</stp>
        <stp>4</stp>
        <stp>000605</stp>
        <stp>2018-01-01</stp>
        <stp>2019-12-31</stp>
        <stp>3</stp>
        <tr r="F3479" s="1"/>
      </tp>
      <tp>
        <v>15.49497848</v>
        <stp/>
        <stp>EM_S_PQ_PCTCHANGE</stp>
        <stp>4</stp>
        <stp>300424</stp>
        <stp>2018-12-31</stp>
        <stp>2019-12-30</stp>
        <stp>1</stp>
        <tr r="G1457" s="1"/>
      </tp>
      <tp>
        <v>-19.161257819999999</v>
        <stp/>
        <stp>EM_S_PQ_PCTCHANGE</stp>
        <stp>4</stp>
        <stp>300635</stp>
        <stp>2018-01-01</stp>
        <stp>2019-12-31</stp>
        <stp>3</stp>
        <tr r="F3011" s="1"/>
      </tp>
      <tp>
        <v>-7.7503214500000004</v>
        <stp/>
        <stp>EM_S_PQ_PCTCHANGE</stp>
        <stp>4</stp>
        <stp>600665</stp>
        <stp>2018-01-01</stp>
        <stp>2019-12-31</stp>
        <stp>3</stp>
        <tr r="F2096" s="1"/>
      </tp>
      <tp>
        <v>161.47828548999999</v>
        <stp/>
        <stp>EM_S_PQ_PCTCHANGE</stp>
        <stp>4</stp>
        <stp>002605</stp>
        <stp>2019-01-01</stp>
        <stp>2019-12-31</stp>
        <stp>3</stp>
        <tr r="G74" s="1"/>
      </tp>
      <tp>
        <v>-32.022870269999999</v>
        <stp/>
        <stp>EM_S_PQ_PCTCHANGE</stp>
        <stp>4</stp>
        <stp>603665</stp>
        <stp>2018-01-01</stp>
        <stp>2019-12-31</stp>
        <stp>3</stp>
        <tr r="F3001" s="1"/>
      </tp>
      <tp>
        <v>-6.26450116</v>
        <stp/>
        <stp>EM_S_PQ_PCTCHANGE</stp>
        <stp>4</stp>
        <stp>002414</stp>
        <stp>2018-12-31</stp>
        <stp>2019-12-30</stp>
        <stp>1</stp>
        <tr r="G2621" s="1"/>
      </tp>
      <tp>
        <v>52.670269150000003</v>
        <stp/>
        <stp>EM_S_PQ_PCTCHANGE</stp>
        <stp>4</stp>
        <stp>002605</stp>
        <stp>2018-01-01</stp>
        <stp>2019-12-31</stp>
        <stp>3</stp>
        <tr r="F74" s="1"/>
      </tp>
      <tp>
        <v>-36.190476189999998</v>
        <stp/>
        <stp>EM_S_PQ_PCTCHANGE</stp>
        <stp>4</stp>
        <stp>601666</stp>
        <stp>2018-01-01</stp>
        <stp>2019-12-31</stp>
        <stp>3</stp>
        <tr r="F1590" s="1"/>
      </tp>
      <tp>
        <v>13.16397229</v>
        <stp/>
        <stp>EM_S_PQ_PCTCHANGE</stp>
        <stp>4</stp>
        <stp>000417</stp>
        <stp>2018-12-31</stp>
        <stp>2019-12-30</stp>
        <stp>1</stp>
        <tr r="G1571" s="1"/>
      </tp>
      <tp>
        <v>-37.780269060000002</v>
        <stp/>
        <stp>EM_S_PQ_PCTCHANGE</stp>
        <stp>4</stp>
        <stp>000606</stp>
        <stp>2018-01-01</stp>
        <stp>2019-12-31</stp>
        <stp>3</stp>
        <tr r="F2652" s="1"/>
      </tp>
      <tp>
        <v>28.532608700000001</v>
        <stp/>
        <stp>EM_S_PQ_PCTCHANGE</stp>
        <stp>4</stp>
        <stp>300427</stp>
        <stp>2018-12-31</stp>
        <stp>2019-12-30</stp>
        <stp>1</stp>
        <tr r="G971" s="1"/>
      </tp>
      <tp>
        <v>-2.7767966500000001</v>
        <stp/>
        <stp>EM_S_PQ_PCTCHANGE</stp>
        <stp>4</stp>
        <stp>300636</stp>
        <stp>2018-01-01</stp>
        <stp>2019-12-31</stp>
        <stp>3</stp>
        <tr r="F456" s="1"/>
      </tp>
      <tp>
        <v>-21.944444440000002</v>
        <stp/>
        <stp>EM_S_PQ_PCTCHANGE</stp>
        <stp>4</stp>
        <stp>600477</stp>
        <stp>2018-12-31</stp>
        <stp>2019-12-30</stp>
        <stp>1</stp>
        <tr r="G3098" s="1"/>
      </tp>
      <tp>
        <v>-87.356321840000007</v>
        <stp/>
        <stp>EM_S_PQ_PCTCHANGE</stp>
        <stp>4</stp>
        <stp>600666</stp>
        <stp>2018-01-01</stp>
        <stp>2019-12-31</stp>
        <stp>3</stp>
        <tr r="F3218" s="1"/>
      </tp>
      <tp>
        <v>54.472630170000002</v>
        <stp/>
        <stp>EM_S_PQ_PCTCHANGE</stp>
        <stp>4</stp>
        <stp>603477</stp>
        <stp>2018-12-31</stp>
        <stp>2019-12-30</stp>
        <stp>1</stp>
        <tr r="G496" s="1"/>
      </tp>
      <tp>
        <v>190.61649968</v>
        <stp/>
        <stp>EM_S_PQ_PCTCHANGE</stp>
        <stp>4</stp>
        <stp>603666</stp>
        <stp>2018-01-01</stp>
        <stp>2019-12-31</stp>
        <stp>3</stp>
        <tr r="F575" s="1"/>
      </tp>
      <tp>
        <v>-20.767494360000001</v>
        <stp/>
        <stp>EM_S_PQ_PCTCHANGE</stp>
        <stp>4</stp>
        <stp>002417</stp>
        <stp>2018-12-31</stp>
        <stp>2019-12-30</stp>
        <stp>1</stp>
        <tr r="G3078" s="1"/>
      </tp>
      <tp>
        <v>-52.926182599999997</v>
        <stp/>
        <stp>EM_S_PQ_PCTCHANGE</stp>
        <stp>4</stp>
        <stp>002606</stp>
        <stp>2018-01-01</stp>
        <stp>2019-12-31</stp>
        <stp>3</stp>
        <tr r="F2831" s="1"/>
      </tp>
      <tp>
        <v>-18.117059690000001</v>
        <stp/>
        <stp>EM_S_PQ_PCTCHANGE</stp>
        <stp>4</stp>
        <stp>000607</stp>
        <stp>2018-01-01</stp>
        <stp>2019-12-31</stp>
        <stp>3</stp>
        <tr r="F3480" s="1"/>
      </tp>
      <tp>
        <v>-8.2111436999999992</v>
        <stp/>
        <stp>EM_S_PQ_PCTCHANGE</stp>
        <stp>4</stp>
        <stp>300426</stp>
        <stp>2018-12-31</stp>
        <stp>2019-12-30</stp>
        <stp>1</stp>
        <tr r="G2691" s="1"/>
      </tp>
      <tp>
        <v>14.86785714</v>
        <stp/>
        <stp>EM_S_PQ_PCTCHANGE</stp>
        <stp>4</stp>
        <stp>300637</stp>
        <stp>2018-01-01</stp>
        <stp>2019-12-31</stp>
        <stp>3</stp>
        <tr r="F3365" s="1"/>
      </tp>
      <tp>
        <v>24.01010952</v>
        <stp/>
        <stp>EM_S_PQ_PCTCHANGE</stp>
        <stp>4</stp>
        <stp>600476</stp>
        <stp>2018-12-31</stp>
        <stp>2019-12-30</stp>
        <stp>1</stp>
        <tr r="G1132" s="1"/>
      </tp>
      <tp>
        <v>-6.47799295</v>
        <stp/>
        <stp>EM_S_PQ_PCTCHANGE</stp>
        <stp>4</stp>
        <stp>600667</stp>
        <stp>2018-01-01</stp>
        <stp>2019-12-31</stp>
        <stp>3</stp>
        <tr r="F398" s="1"/>
      </tp>
      <tp>
        <v>-41.936918060000004</v>
        <stp/>
        <stp>EM_S_PQ_PCTCHANGE</stp>
        <stp>4</stp>
        <stp>603667</stp>
        <stp>2018-01-01</stp>
        <stp>2019-12-31</stp>
        <stp>3</stp>
        <tr r="F1247" s="1"/>
      </tp>
      <tp>
        <v>28.23129252</v>
        <stp/>
        <stp>EM_S_PQ_PCTCHANGE</stp>
        <stp>4</stp>
        <stp>002416</stp>
        <stp>2018-12-31</stp>
        <stp>2019-12-30</stp>
        <stp>1</stp>
        <tr r="G976" s="1"/>
      </tp>
      <tp>
        <v>382.95497169999999</v>
        <stp/>
        <stp>EM_S_PQ_PCTCHANGE</stp>
        <stp>4</stp>
        <stp>002607</stp>
        <stp>2018-01-01</stp>
        <stp>2019-12-31</stp>
        <stp>3</stp>
        <tr r="F95" s="1"/>
      </tp>
      <tp>
        <v>-2.7413587599999998</v>
        <stp/>
        <stp>EM_S_PQ_PCTCHANGE</stp>
        <stp>4</stp>
        <stp>000429</stp>
        <stp>2018-12-31</stp>
        <stp>2019-12-30</stp>
        <stp>1</stp>
        <tr r="G2465" s="1"/>
      </tp>
      <tp>
        <v>-55.655296229999998</v>
        <stp/>
        <stp>EM_S_PQ_PCTCHANGE</stp>
        <stp>4</stp>
        <stp>000638</stp>
        <stp>2018-01-01</stp>
        <stp>2019-12-31</stp>
        <stp>3</stp>
        <tr r="F3492" s="1"/>
      </tp>
      <tp>
        <v>18.497109829999999</v>
        <stp/>
        <stp>EM_S_PQ_PCTCHANGE</stp>
        <stp>4</stp>
        <stp>300419</stp>
        <stp>2018-12-31</stp>
        <stp>2019-12-30</stp>
        <stp>1</stp>
        <tr r="G1348" s="1"/>
      </tp>
      <tp>
        <v>4.0622365299999998</v>
        <stp/>
        <stp>EM_S_PQ_PCTCHANGE</stp>
        <stp>4</stp>
        <stp>300608</stp>
        <stp>2018-01-01</stp>
        <stp>2019-12-31</stp>
        <stp>3</stp>
        <tr r="F2460" s="1"/>
      </tp>
      <tp>
        <v>46.268656720000003</v>
        <stp/>
        <stp>EM_S_PQ_PCTCHANGE</stp>
        <stp>4</stp>
        <stp>600449</stp>
        <stp>2018-12-31</stp>
        <stp>2019-12-30</stp>
        <stp>1</stp>
        <tr r="G621" s="1"/>
      </tp>
      <tp>
        <v>-30.212701689999999</v>
        <stp/>
        <stp>EM_S_PQ_PCTCHANGE</stp>
        <stp>4</stp>
        <stp>600658</stp>
        <stp>2018-01-01</stp>
        <stp>2019-12-31</stp>
        <stp>3</stp>
        <tr r="F2829" s="1"/>
      </tp>
      <tp>
        <v>85.272973339999993</v>
        <stp/>
        <stp>EM_S_PQ_PCTCHANGE</stp>
        <stp>4</stp>
        <stp>603658</stp>
        <stp>2018-01-01</stp>
        <stp>2019-12-31</stp>
        <stp>3</stp>
        <tr r="F188" s="1"/>
      </tp>
      <tp>
        <v>81.052631579999996</v>
        <stp/>
        <stp>EM_S_PQ_PCTCHANGE</stp>
        <stp>4</stp>
        <stp>002429</stp>
        <stp>2018-12-31</stp>
        <stp>2019-12-30</stp>
        <stp>1</stp>
        <tr r="G242" s="1"/>
      </tp>
      <tp>
        <v>-19.43231441</v>
        <stp/>
        <stp>EM_S_PQ_PCTCHANGE</stp>
        <stp>4</stp>
        <stp>002638</stp>
        <stp>2018-01-01</stp>
        <stp>2019-12-31</stp>
        <stp>3</stp>
        <tr r="F689" s="1"/>
      </tp>
      <tp>
        <v>-52.445945870000003</v>
        <stp/>
        <stp>EM_S_PQ_PCTCHANGE</stp>
        <stp>4</stp>
        <stp>000639</stp>
        <stp>2018-01-01</stp>
        <stp>2019-12-31</stp>
        <stp>3</stp>
        <tr r="F3211" s="1"/>
      </tp>
      <tp>
        <v>31.804043549999999</v>
        <stp/>
        <stp>EM_S_PQ_PCTCHANGE</stp>
        <stp>4</stp>
        <stp>300418</stp>
        <stp>2018-12-31</stp>
        <stp>2019-12-30</stp>
        <stp>1</stp>
        <tr r="G889" s="1"/>
      </tp>
      <tp>
        <v>4.2546003499999996</v>
        <stp/>
        <stp>EM_S_PQ_PCTCHANGE</stp>
        <stp>4</stp>
        <stp>300609</stp>
        <stp>2018-01-01</stp>
        <stp>2019-12-31</stp>
        <stp>3</stp>
        <tr r="F784" s="1"/>
      </tp>
      <tp>
        <v>9.3555093599999992</v>
        <stp/>
        <stp>EM_S_PQ_PCTCHANGE</stp>
        <stp>4</stp>
        <stp>600448</stp>
        <stp>2018-12-31</stp>
        <stp>2019-12-30</stp>
        <stp>1</stp>
        <tr r="G1775" s="1"/>
      </tp>
      <tp>
        <v>0</v>
        <stp/>
        <stp>EM_S_PQ_PCTCHANGE</stp>
        <stp>4</stp>
        <stp>600659</stp>
        <stp>2018-01-01</stp>
        <stp>2019-12-31</stp>
        <stp>3</stp>
        <tr r="F2324" s="1"/>
      </tp>
      <tp>
        <v>56.001065349999998</v>
        <stp/>
        <stp>EM_S_PQ_PCTCHANGE</stp>
        <stp>4</stp>
        <stp>603659</stp>
        <stp>2018-01-01</stp>
        <stp>2019-12-31</stp>
        <stp>3</stp>
        <tr r="F241" s="1"/>
      </tp>
      <tp>
        <v>76.400000000000006</v>
        <stp/>
        <stp>EM_S_PQ_PCTCHANGE</stp>
        <stp>4</stp>
        <stp>002428</stp>
        <stp>2018-12-31</stp>
        <stp>2019-12-30</stp>
        <stp>1</stp>
        <tr r="G268" s="1"/>
      </tp>
      <tp>
        <v>5.1881324400000004</v>
        <stp/>
        <stp>EM_S_PQ_PCTCHANGE</stp>
        <stp>4</stp>
        <stp>002639</stp>
        <stp>2018-01-01</stp>
        <stp>2019-12-31</stp>
        <stp>3</stp>
        <tr r="F434" s="1"/>
      </tp>
      <tp>
        <v>-18.55120307</v>
        <stp/>
        <stp>EM_S_PQ_PCTCHANGE</stp>
        <stp>4</stp>
        <stp>000630</stp>
        <stp>2018-01-01</stp>
        <stp>2019-12-31</stp>
        <stp>3</stp>
        <tr r="F1285" s="1"/>
      </tp>
      <tp>
        <v>-3.28947368</v>
        <stp/>
        <stp>EM_S_PQ_PCTCHANGE</stp>
        <stp>4</stp>
        <stp>300411</stp>
        <stp>2018-12-31</stp>
        <stp>2019-12-30</stp>
        <stp>1</stp>
        <tr r="G2490" s="1"/>
      </tp>
      <tp>
        <v>-33.128940819999997</v>
        <stp/>
        <stp>EM_S_PQ_PCTCHANGE</stp>
        <stp>4</stp>
        <stp>300600</stp>
        <stp>2018-01-01</stp>
        <stp>2019-12-31</stp>
        <stp>3</stp>
        <tr r="F3297" s="1"/>
      </tp>
      <tp>
        <v>-26.929045599999998</v>
        <stp/>
        <stp>EM_S_PQ_PCTCHANGE</stp>
        <stp>4</stp>
        <stp>600650</stp>
        <stp>2018-01-01</stp>
        <stp>2019-12-31</stp>
        <stp>3</stp>
        <tr r="F1878" s="1"/>
      </tp>
      <tp>
        <v>43.811916879999998</v>
        <stp/>
        <stp>EM_S_PQ_PCTCHANGE</stp>
        <stp>4</stp>
        <stp>603650</stp>
        <stp>2018-01-01</stp>
        <stp>2019-12-31</stp>
        <stp>3</stp>
        <tr r="F2848" s="1"/>
      </tp>
      <tp>
        <v>-7.39795918</v>
        <stp/>
        <stp>EM_S_PQ_PCTCHANGE</stp>
        <stp>4</stp>
        <stp>002421</stp>
        <stp>2018-12-31</stp>
        <stp>2019-12-30</stp>
        <stp>1</stp>
        <tr r="G2669" s="1"/>
      </tp>
      <tp>
        <v>-64.841821980000006</v>
        <stp/>
        <stp>EM_S_PQ_PCTCHANGE</stp>
        <stp>4</stp>
        <stp>002630</stp>
        <stp>2018-01-01</stp>
        <stp>2019-12-31</stp>
        <stp>3</stp>
        <tr r="F2954" s="1"/>
      </tp>
      <tp>
        <v>12.63157895</v>
        <stp/>
        <stp>EM_S_PQ_PCTCHANGE</stp>
        <stp>4</stp>
        <stp>000420</stp>
        <stp>2018-12-31</stp>
        <stp>2019-12-30</stp>
        <stp>1</stp>
        <tr r="G1603" s="1"/>
      </tp>
      <tp>
        <v>-18.597149829999999</v>
        <stp/>
        <stp>EM_S_PQ_PCTCHANGE</stp>
        <stp>4</stp>
        <stp>000631</stp>
        <stp>2018-01-01</stp>
        <stp>2019-12-31</stp>
        <stp>3</stp>
        <tr r="F3490" s="1"/>
      </tp>
      <tp>
        <v>-63.85809313</v>
        <stp/>
        <stp>EM_S_PQ_PCTCHANGE</stp>
        <stp>4</stp>
        <stp>300410</stp>
        <stp>2018-12-31</stp>
        <stp>2019-12-30</stp>
        <stp>1</stp>
        <tr r="G3396" s="1"/>
      </tp>
      <tp>
        <v>179.78194803</v>
        <stp/>
        <stp>EM_S_PQ_PCTCHANGE</stp>
        <stp>4</stp>
        <stp>300601</stp>
        <stp>2018-01-01</stp>
        <stp>2019-12-31</stp>
        <stp>3</stp>
        <tr r="F93" s="1"/>
      </tp>
      <tp>
        <v>-51.441738129999997</v>
        <stp/>
        <stp>EM_S_PQ_PCTCHANGE</stp>
        <stp>4</stp>
        <stp>600651</stp>
        <stp>2018-01-01</stp>
        <stp>2019-12-31</stp>
        <stp>3</stp>
        <tr r="F810" s="1"/>
      </tp>
      <tp>
        <v>19.452887539999999</v>
        <stp/>
        <stp>EM_S_PQ_PCTCHANGE</stp>
        <stp>4</stp>
        <stp>002420</stp>
        <stp>2018-12-31</stp>
        <stp>2019-12-30</stp>
        <stp>1</stp>
        <tr r="G1302" s="1"/>
      </tp>
      <tp>
        <v>-25.044960830000001</v>
        <stp/>
        <stp>EM_S_PQ_PCTCHANGE</stp>
        <stp>4</stp>
        <stp>002631</stp>
        <stp>2018-01-01</stp>
        <stp>2019-12-31</stp>
        <stp>3</stp>
        <tr r="F1082" s="1"/>
      </tp>
      <tp>
        <v>5.8919803599999998</v>
        <stp/>
        <stp>EM_S_PQ_PCTCHANGE</stp>
        <stp>4</stp>
        <stp>000632</stp>
        <stp>2018-01-01</stp>
        <stp>2019-12-31</stp>
        <stp>3</stp>
        <tr r="F438" s="1"/>
      </tp>
      <tp>
        <v>-6.1334774400000001</v>
        <stp/>
        <stp>EM_S_PQ_PCTCHANGE</stp>
        <stp>4</stp>
        <stp>300413</stp>
        <stp>2018-12-31</stp>
        <stp>2019-12-30</stp>
        <stp>1</stp>
        <tr r="G2612" s="1"/>
      </tp>
      <tp>
        <v>145.10546366</v>
        <stp/>
        <stp>EM_S_PQ_PCTCHANGE</stp>
        <stp>4</stp>
        <stp>300602</stp>
        <stp>2018-01-01</stp>
        <stp>2019-12-31</stp>
        <stp>3</stp>
        <tr r="F1016" s="1"/>
      </tp>
      <tp>
        <v>-68.131868130000001</v>
        <stp/>
        <stp>EM_S_PQ_PCTCHANGE</stp>
        <stp>4</stp>
        <stp>600652</stp>
        <stp>2018-01-01</stp>
        <stp>2019-12-31</stp>
        <stp>3</stp>
        <tr r="F3367" s="1"/>
      </tp>
      <tp>
        <v>10.61643836</v>
        <stp/>
        <stp>EM_S_PQ_PCTCHANGE</stp>
        <stp>4</stp>
        <stp>002423</stp>
        <stp>2018-12-31</stp>
        <stp>2019-12-30</stp>
        <stp>1</stp>
        <tr r="G1697" s="1"/>
      </tp>
      <tp>
        <v>-3.6813626300000002</v>
        <stp/>
        <stp>EM_S_PQ_PCTCHANGE</stp>
        <stp>4</stp>
        <stp>002632</stp>
        <stp>2018-01-01</stp>
        <stp>2019-12-31</stp>
        <stp>3</stp>
        <tr r="F1891" s="1"/>
      </tp>
      <tp>
        <v>-0.34602075999999998</v>
        <stp/>
        <stp>EM_S_PQ_PCTCHANGE</stp>
        <stp>4</stp>
        <stp>000422</stp>
        <stp>2018-12-31</stp>
        <stp>2019-12-30</stp>
        <stp>1</stp>
        <tr r="G2350" s="1"/>
      </tp>
      <tp>
        <v>-58.723828509999997</v>
        <stp/>
        <stp>EM_S_PQ_PCTCHANGE</stp>
        <stp>4</stp>
        <stp>000633</stp>
        <stp>2018-01-01</stp>
        <stp>2019-12-31</stp>
        <stp>3</stp>
        <tr r="F2730" s="1"/>
      </tp>
      <tp>
        <v>0.61349693000000005</v>
        <stp/>
        <stp>EM_S_PQ_PCTCHANGE</stp>
        <stp>4</stp>
        <stp>300412</stp>
        <stp>2018-12-31</stp>
        <stp>2019-12-30</stp>
        <stp>1</stp>
        <tr r="G2243" s="1"/>
      </tp>
      <tp>
        <v>-16.398651350000002</v>
        <stp/>
        <stp>EM_S_PQ_PCTCHANGE</stp>
        <stp>4</stp>
        <stp>300603</stp>
        <stp>2018-01-01</stp>
        <stp>2019-12-31</stp>
        <stp>3</stp>
        <tr r="F3173" s="1"/>
      </tp>
      <tp>
        <v>-23.880597009999999</v>
        <stp/>
        <stp>EM_S_PQ_PCTCHANGE</stp>
        <stp>4</stp>
        <stp>600653</stp>
        <stp>2018-01-01</stp>
        <stp>2019-12-31</stp>
        <stp>3</stp>
        <tr r="F1829" s="1"/>
      </tp>
      <tp>
        <v>12.44552058</v>
        <stp/>
        <stp>EM_S_PQ_PCTCHANGE</stp>
        <stp>4</stp>
        <stp>002422</stp>
        <stp>2018-12-31</stp>
        <stp>2019-12-30</stp>
        <stp>1</stp>
        <tr r="G1614" s="1"/>
      </tp>
      <tp>
        <v>-27.022375220000001</v>
        <stp/>
        <stp>EM_S_PQ_PCTCHANGE</stp>
        <stp>4</stp>
        <stp>002633</stp>
        <stp>2018-01-01</stp>
        <stp>2019-12-31</stp>
        <stp>3</stp>
        <tr r="F2033" s="1"/>
      </tp>
      <tp>
        <v>69.659442720000001</v>
        <stp/>
        <stp>EM_S_PQ_PCTCHANGE</stp>
        <stp>4</stp>
        <stp>000425</stp>
        <stp>2018-12-31</stp>
        <stp>2019-12-30</stp>
        <stp>1</stp>
        <tr r="G319" s="1"/>
      </tp>
      <tp>
        <v>64.521452150000002</v>
        <stp/>
        <stp>EM_S_PQ_PCTCHANGE</stp>
        <stp>4</stp>
        <stp>300415</stp>
        <stp>2018-12-31</stp>
        <stp>2019-12-30</stp>
        <stp>1</stp>
        <tr r="G374" s="1"/>
      </tp>
      <tp>
        <v>39.515395699999999</v>
        <stp/>
        <stp>EM_S_PQ_PCTCHANGE</stp>
        <stp>4</stp>
        <stp>300604</stp>
        <stp>2018-01-01</stp>
        <stp>2019-12-31</stp>
        <stp>3</stp>
        <tr r="F3085" s="1"/>
      </tp>
      <tp>
        <v>-64.083175800000006</v>
        <stp/>
        <stp>EM_S_PQ_PCTCHANGE</stp>
        <stp>4</stp>
        <stp>600654</stp>
        <stp>2018-01-01</stp>
        <stp>2019-12-31</stp>
        <stp>3</stp>
        <tr r="F2568" s="1"/>
      </tp>
      <tp>
        <v>-6.4625850299999996</v>
        <stp/>
        <stp>EM_S_PQ_PCTCHANGE</stp>
        <stp>4</stp>
        <stp>002425</stp>
        <stp>2018-12-31</stp>
        <stp>2019-12-30</stp>
        <stp>1</stp>
        <tr r="G2629" s="1"/>
      </tp>
      <tp>
        <v>-2.4317362500000002</v>
        <stp/>
        <stp>EM_S_PQ_PCTCHANGE</stp>
        <stp>4</stp>
        <stp>002634</stp>
        <stp>2018-01-01</stp>
        <stp>2019-12-31</stp>
        <stp>3</stp>
        <tr r="F713" s="1"/>
      </tp>
      <tp>
        <v>-39.926772579999998</v>
        <stp/>
        <stp>EM_S_PQ_PCTCHANGE</stp>
        <stp>4</stp>
        <stp>000635</stp>
        <stp>2018-01-01</stp>
        <stp>2019-12-31</stp>
        <stp>3</stp>
        <tr r="F2661" s="1"/>
      </tp>
      <tp>
        <v>-21.480026200000001</v>
        <stp/>
        <stp>EM_S_PQ_PCTCHANGE</stp>
        <stp>4</stp>
        <stp>300414</stp>
        <stp>2018-12-31</stp>
        <stp>2019-12-30</stp>
        <stp>1</stp>
        <tr r="G3089" s="1"/>
      </tp>
      <tp>
        <v>-7.9250915099999997</v>
        <stp/>
        <stp>EM_S_PQ_PCTCHANGE</stp>
        <stp>4</stp>
        <stp>300605</stp>
        <stp>2018-01-01</stp>
        <stp>2019-12-31</stp>
        <stp>3</stp>
        <tr r="F2903" s="1"/>
      </tp>
      <tp>
        <v>10.575916230000001</v>
        <stp/>
        <stp>EM_S_PQ_PCTCHANGE</stp>
        <stp>4</stp>
        <stp>600444</stp>
        <stp>2018-12-31</stp>
        <stp>2019-12-30</stp>
        <stp>1</stp>
        <tr r="G1702" s="1"/>
      </tp>
      <tp>
        <v>-23.364224010000001</v>
        <stp/>
        <stp>EM_S_PQ_PCTCHANGE</stp>
        <stp>4</stp>
        <stp>600655</stp>
        <stp>2018-01-01</stp>
        <stp>2019-12-31</stp>
        <stp>3</stp>
        <tr r="F2010" s="1"/>
      </tp>
      <tp>
        <v>139.64052257</v>
        <stp/>
        <stp>EM_S_PQ_PCTCHANGE</stp>
        <stp>4</stp>
        <stp>603655</stp>
        <stp>2018-01-01</stp>
        <stp>2019-12-31</stp>
        <stp>3</stp>
        <tr r="F604" s="1"/>
      </tp>
      <tp>
        <v>-2.97142857</v>
        <stp/>
        <stp>EM_S_PQ_PCTCHANGE</stp>
        <stp>4</stp>
        <stp>002424</stp>
        <stp>2018-12-31</stp>
        <stp>2019-12-30</stp>
        <stp>1</stp>
        <tr r="G2474" s="1"/>
      </tp>
      <tp>
        <v>-35.296770180000003</v>
        <stp/>
        <stp>EM_S_PQ_PCTCHANGE</stp>
        <stp>4</stp>
        <stp>002635</stp>
        <stp>2018-01-01</stp>
        <stp>2019-12-31</stp>
        <stp>3</stp>
        <tr r="F547" s="1"/>
      </tp>
      <tp>
        <v>28.962337170000001</v>
        <stp/>
        <stp>EM_S_PQ_PCTCHANGE</stp>
        <stp>4</stp>
        <stp>000636</stp>
        <stp>2018-01-01</stp>
        <stp>2019-12-31</stp>
        <stp>3</stp>
        <tr r="F714" s="1"/>
      </tp>
      <tp>
        <v>179.47019868000001</v>
        <stp/>
        <stp>EM_S_PQ_PCTCHANGE</stp>
        <stp>4</stp>
        <stp>300417</stp>
        <stp>2018-12-31</stp>
        <stp>2019-12-30</stp>
        <stp>1</stp>
        <tr r="G56" s="1"/>
      </tp>
      <tp>
        <v>-37.227981710000002</v>
        <stp/>
        <stp>EM_S_PQ_PCTCHANGE</stp>
        <stp>4</stp>
        <stp>300606</stp>
        <stp>2018-01-01</stp>
        <stp>2019-12-31</stp>
        <stp>3</stp>
        <tr r="F1432" s="1"/>
      </tp>
      <tp>
        <v>0</v>
        <stp/>
        <stp>EM_S_PQ_PCTCHANGE</stp>
        <stp>4</stp>
        <stp>600656</stp>
        <stp>2018-01-01</stp>
        <stp>2019-12-31</stp>
        <stp>3</stp>
        <tr r="F2312" s="1"/>
      </tp>
      <tp>
        <v>-33.132004610000003</v>
        <stp/>
        <stp>EM_S_PQ_PCTCHANGE</stp>
        <stp>4</stp>
        <stp>603656</stp>
        <stp>2018-01-01</stp>
        <stp>2019-12-31</stp>
        <stp>3</stp>
        <tr r="F1868" s="1"/>
      </tp>
      <tp>
        <v>-33.847283410000003</v>
        <stp/>
        <stp>EM_S_PQ_PCTCHANGE</stp>
        <stp>4</stp>
        <stp>002427</stp>
        <stp>2018-12-31</stp>
        <stp>2019-12-30</stp>
        <stp>1</stp>
        <tr r="G3260" s="1"/>
      </tp>
      <tp>
        <v>-45.8622868</v>
        <stp/>
        <stp>EM_S_PQ_PCTCHANGE</stp>
        <stp>4</stp>
        <stp>002636</stp>
        <stp>2018-01-01</stp>
        <stp>2019-12-31</stp>
        <stp>3</stp>
        <tr r="F1181" s="1"/>
      </tp>
      <tp>
        <v>0.20080321000000001</v>
        <stp/>
        <stp>EM_S_PQ_PCTCHANGE</stp>
        <stp>4</stp>
        <stp>000426</stp>
        <stp>2018-12-31</stp>
        <stp>2019-12-30</stp>
        <stp>1</stp>
        <tr r="G2266" s="1"/>
      </tp>
      <tp>
        <v>-21.124901430000001</v>
        <stp/>
        <stp>EM_S_PQ_PCTCHANGE</stp>
        <stp>4</stp>
        <stp>000637</stp>
        <stp>2018-01-01</stp>
        <stp>2019-12-31</stp>
        <stp>3</stp>
        <tr r="F3491" s="1"/>
      </tp>
      <tp>
        <v>71.891891889999997</v>
        <stp/>
        <stp>EM_S_PQ_PCTCHANGE</stp>
        <stp>4</stp>
        <stp>300416</stp>
        <stp>2018-12-31</stp>
        <stp>2019-12-30</stp>
        <stp>1</stp>
        <tr r="G301" s="1"/>
      </tp>
      <tp>
        <v>-28.459364780000001</v>
        <stp/>
        <stp>EM_S_PQ_PCTCHANGE</stp>
        <stp>4</stp>
        <stp>300607</stp>
        <stp>2018-01-01</stp>
        <stp>2019-12-31</stp>
        <stp>3</stp>
        <tr r="F484" s="1"/>
      </tp>
      <tp>
        <v>117.68421053</v>
        <stp/>
        <stp>EM_S_PQ_PCTCHANGE</stp>
        <stp>4</stp>
        <stp>600446</stp>
        <stp>2018-12-31</stp>
        <stp>2019-12-30</stp>
        <stp>1</stp>
        <tr r="G127" s="1"/>
      </tp>
      <tp>
        <v>-24.520122780000001</v>
        <stp/>
        <stp>EM_S_PQ_PCTCHANGE</stp>
        <stp>4</stp>
        <stp>600657</stp>
        <stp>2018-01-01</stp>
        <stp>2019-12-31</stp>
        <stp>3</stp>
        <tr r="F2195" s="1"/>
      </tp>
      <tp>
        <v>3.0172413800000002</v>
        <stp/>
        <stp>EM_S_PQ_PCTCHANGE</stp>
        <stp>4</stp>
        <stp>002426</stp>
        <stp>2018-12-31</stp>
        <stp>2019-12-30</stp>
        <stp>1</stp>
        <tr r="G2106" s="1"/>
      </tp>
      <tp>
        <v>-2.0715753299999999</v>
        <stp/>
        <stp>EM_S_PQ_PCTCHANGE</stp>
        <stp>4</stp>
        <stp>002637</stp>
        <stp>2018-01-01</stp>
        <stp>2019-12-31</stp>
        <stp>3</stp>
        <tr r="F640" s="1"/>
      </tp>
      <tp>
        <v>18.062200959999998</v>
        <stp/>
        <stp>EM_S_PQ_PCTCHANGE</stp>
        <stp>4</stp>
        <stp>000628</stp>
        <stp>2018-01-01</stp>
        <stp>2019-12-31</stp>
        <stp>3</stp>
        <tr r="F2503" s="1"/>
      </tp>
      <tp>
        <v>-0.83905415999999999</v>
        <stp/>
        <stp>EM_S_PQ_PCTCHANGE</stp>
        <stp>4</stp>
        <stp>300409</stp>
        <stp>2018-12-31</stp>
        <stp>2019-12-30</stp>
        <stp>1</stp>
        <tr r="G2377" s="1"/>
      </tp>
      <tp>
        <v>-20.245955550000001</v>
        <stp/>
        <stp>EM_S_PQ_PCTCHANGE</stp>
        <stp>4</stp>
        <stp>300618</stp>
        <stp>2018-01-01</stp>
        <stp>2019-12-31</stp>
        <stp>3</stp>
        <tr r="F1876" s="1"/>
      </tp>
      <tp>
        <v>38.989169680000003</v>
        <stp/>
        <stp>EM_S_PQ_PCTCHANGE</stp>
        <stp>4</stp>
        <stp>600459</stp>
        <stp>2018-12-31</stp>
        <stp>2019-12-30</stp>
        <stp>1</stp>
        <tr r="G755" s="1"/>
      </tp>
      <tp>
        <v>-4.0453567499999998</v>
        <stp/>
        <stp>EM_S_PQ_PCTCHANGE</stp>
        <stp>4</stp>
        <stp>600648</stp>
        <stp>2018-01-01</stp>
        <stp>2019-12-31</stp>
        <stp>3</stp>
        <tr r="F1052" s="1"/>
      </tp>
      <tp>
        <v>-52.213677140000001</v>
        <stp/>
        <stp>EM_S_PQ_PCTCHANGE</stp>
        <stp>4</stp>
        <stp>603648</stp>
        <stp>2018-01-01</stp>
        <stp>2019-12-31</stp>
        <stp>3</stp>
        <tr r="F2597" s="1"/>
      </tp>
      <tp>
        <v>66.877431909999999</v>
        <stp/>
        <stp>EM_S_PQ_PCTCHANGE</stp>
        <stp>4</stp>
        <stp>002439</stp>
        <stp>2018-12-31</stp>
        <stp>2019-12-30</stp>
        <stp>1</stp>
        <tr r="G349" s="1"/>
      </tp>
      <tp>
        <v>-39.276485790000002</v>
        <stp/>
        <stp>EM_S_PQ_PCTCHANGE</stp>
        <stp>4</stp>
        <stp>002628</stp>
        <stp>2018-01-01</stp>
        <stp>2019-12-31</stp>
        <stp>3</stp>
        <tr r="F2357" s="1"/>
      </tp>
      <tp>
        <v>-4.8859934899999997</v>
        <stp/>
        <stp>EM_S_PQ_PCTCHANGE</stp>
        <stp>4</stp>
        <stp>000629</stp>
        <stp>2018-01-01</stp>
        <stp>2019-12-31</stp>
        <stp>3</stp>
        <tr r="F2438" s="1"/>
      </tp>
      <tp>
        <v>33.392434989999998</v>
        <stp/>
        <stp>EM_S_PQ_PCTCHANGE</stp>
        <stp>4</stp>
        <stp>300408</stp>
        <stp>2018-12-31</stp>
        <stp>2019-12-30</stp>
        <stp>1</stp>
        <tr r="G858" s="1"/>
      </tp>
      <tp>
        <v>-49.738270079999999</v>
        <stp/>
        <stp>EM_S_PQ_PCTCHANGE</stp>
        <stp>4</stp>
        <stp>300619</stp>
        <stp>2018-01-01</stp>
        <stp>2019-12-31</stp>
        <stp>3</stp>
        <tr r="F2952" s="1"/>
      </tp>
      <tp>
        <v>3.6873156300000001</v>
        <stp/>
        <stp>EM_S_PQ_PCTCHANGE</stp>
        <stp>4</stp>
        <stp>600458</stp>
        <stp>2018-12-31</stp>
        <stp>2019-12-30</stp>
        <stp>1</stp>
        <tr r="G2074" s="1"/>
      </tp>
      <tp>
        <v>-31.633515339999999</v>
        <stp/>
        <stp>EM_S_PQ_PCTCHANGE</stp>
        <stp>4</stp>
        <stp>600649</stp>
        <stp>2018-01-01</stp>
        <stp>2019-12-31</stp>
        <stp>3</stp>
        <tr r="F2008" s="1"/>
      </tp>
      <tp>
        <v>-37.2231405</v>
        <stp/>
        <stp>EM_S_PQ_PCTCHANGE</stp>
        <stp>4</stp>
        <stp>603458</stp>
        <stp>2018-12-31</stp>
        <stp>2019-12-30</stp>
        <stp>1</stp>
        <tr r="G3290" s="1"/>
      </tp>
      <tp>
        <v>40.488656200000001</v>
        <stp/>
        <stp>EM_S_PQ_PCTCHANGE</stp>
        <stp>4</stp>
        <stp>002438</stp>
        <stp>2018-12-31</stp>
        <stp>2019-12-30</stp>
        <stp>1</stp>
        <tr r="G726" s="1"/>
      </tp>
      <tp>
        <v>-63.276836160000002</v>
        <stp/>
        <stp>EM_S_PQ_PCTCHANGE</stp>
        <stp>4</stp>
        <stp>002629</stp>
        <stp>2018-01-01</stp>
        <stp>2019-12-31</stp>
        <stp>3</stp>
        <tr r="F3220" s="1"/>
      </tp>
      <tp>
        <v>-24.114778189999999</v>
        <stp/>
        <stp>EM_S_PQ_PCTCHANGE</stp>
        <stp>4</stp>
        <stp>000620</stp>
        <stp>2018-01-01</stp>
        <stp>2019-12-31</stp>
        <stp>3</stp>
        <tr r="F2102" s="1"/>
      </tp>
      <tp>
        <v>0.74257426000000004</v>
        <stp/>
        <stp>EM_S_PQ_PCTCHANGE</stp>
        <stp>4</stp>
        <stp>300401</stp>
        <stp>2018-12-31</stp>
        <stp>2019-12-30</stp>
        <stp>1</stp>
        <tr r="G2232" s="1"/>
      </tp>
      <tp>
        <v>-25.64278951</v>
        <stp/>
        <stp>EM_S_PQ_PCTCHANGE</stp>
        <stp>4</stp>
        <stp>300610</stp>
        <stp>2018-01-01</stp>
        <stp>2019-12-31</stp>
        <stp>3</stp>
        <tr r="F2478" s="1"/>
      </tp>
      <tp>
        <v>79.763995109999996</v>
        <stp/>
        <stp>EM_S_PQ_PCTCHANGE</stp>
        <stp>4</stp>
        <stp>600640</stp>
        <stp>2018-01-01</stp>
        <stp>2019-12-31</stp>
        <stp>3</stp>
        <tr r="F66" s="1"/>
      </tp>
      <tp>
        <v>-15.12605042</v>
        <stp/>
        <stp>EM_S_PQ_PCTCHANGE</stp>
        <stp>4</stp>
        <stp>002431</stp>
        <stp>2018-12-31</stp>
        <stp>2019-12-30</stp>
        <stp>1</stp>
        <tr r="G2936" s="1"/>
      </tp>
      <tp>
        <v>-34.401348970000001</v>
        <stp/>
        <stp>EM_S_PQ_PCTCHANGE</stp>
        <stp>4</stp>
        <stp>002620</stp>
        <stp>2018-01-01</stp>
        <stp>2019-12-31</stp>
        <stp>3</stp>
        <tr r="F2023" s="1"/>
      </tp>
      <tp>
        <v>0</v>
        <stp/>
        <stp>EM_S_PQ_PCTCHANGE</stp>
        <stp>4</stp>
        <stp>000621</stp>
        <stp>2018-01-01</stp>
        <stp>2019-12-31</stp>
        <stp>3</stp>
        <tr r="F3486" s="1"/>
      </tp>
      <tp>
        <v>-3.9597315399999999</v>
        <stp/>
        <stp>EM_S_PQ_PCTCHANGE</stp>
        <stp>4</stp>
        <stp>300400</stp>
        <stp>2018-12-31</stp>
        <stp>2019-12-30</stp>
        <stp>1</stp>
        <tr r="G2511" s="1"/>
      </tp>
      <tp>
        <v>-33.35412737</v>
        <stp/>
        <stp>EM_S_PQ_PCTCHANGE</stp>
        <stp>4</stp>
        <stp>300611</stp>
        <stp>2018-01-01</stp>
        <stp>2019-12-31</stp>
        <stp>3</stp>
        <tr r="F1560" s="1"/>
      </tp>
      <tp>
        <v>49.998744790000003</v>
        <stp/>
        <stp>EM_S_PQ_PCTCHANGE</stp>
        <stp>4</stp>
        <stp>600641</stp>
        <stp>2018-01-01</stp>
        <stp>2019-12-31</stp>
        <stp>3</stp>
        <tr r="F147" s="1"/>
      </tp>
      <tp>
        <v>39.037433159999999</v>
        <stp/>
        <stp>EM_S_PQ_PCTCHANGE</stp>
        <stp>4</stp>
        <stp>002430</stp>
        <stp>2018-12-31</stp>
        <stp>2019-12-30</stp>
        <stp>1</stp>
        <tr r="G751" s="1"/>
      </tp>
      <tp>
        <v>19.549794729999999</v>
        <stp/>
        <stp>EM_S_PQ_PCTCHANGE</stp>
        <stp>4</stp>
        <stp>002621</stp>
        <stp>2018-01-01</stp>
        <stp>2019-12-31</stp>
        <stp>3</stp>
        <tr r="F3271" s="1"/>
      </tp>
      <tp>
        <v>1.7057569299999999</v>
        <stp/>
        <stp>EM_S_PQ_PCTCHANGE</stp>
        <stp>4</stp>
        <stp>000622</stp>
        <stp>2018-01-01</stp>
        <stp>2019-12-31</stp>
        <stp>3</stp>
        <tr r="F3279" s="1"/>
      </tp>
      <tp>
        <v>0.39840637000000001</v>
        <stp/>
        <stp>EM_S_PQ_PCTCHANGE</stp>
        <stp>4</stp>
        <stp>300403</stp>
        <stp>2018-12-31</stp>
        <stp>2019-12-30</stp>
        <stp>1</stp>
        <tr r="G2252" s="1"/>
      </tp>
      <tp>
        <v>-27.499177880000001</v>
        <stp/>
        <stp>EM_S_PQ_PCTCHANGE</stp>
        <stp>4</stp>
        <stp>300612</stp>
        <stp>2018-01-01</stp>
        <stp>2019-12-31</stp>
        <stp>3</stp>
        <tr r="F1593" s="1"/>
      </tp>
      <tp>
        <v>6.6188050499999997</v>
        <stp/>
        <stp>EM_S_PQ_PCTCHANGE</stp>
        <stp>4</stp>
        <stp>600642</stp>
        <stp>2018-01-01</stp>
        <stp>2019-12-31</stp>
        <stp>3</stp>
        <tr r="F1343" s="1"/>
      </tp>
      <tp>
        <v>-3.6247334800000002</v>
        <stp/>
        <stp>EM_S_PQ_PCTCHANGE</stp>
        <stp>4</stp>
        <stp>002433</stp>
        <stp>2018-12-31</stp>
        <stp>2019-12-30</stp>
        <stp>1</stp>
        <tr r="G2500" s="1"/>
      </tp>
      <tp>
        <v>-75.604551920000006</v>
        <stp/>
        <stp>EM_S_PQ_PCTCHANGE</stp>
        <stp>4</stp>
        <stp>002622</stp>
        <stp>2018-01-01</stp>
        <stp>2019-12-31</stp>
        <stp>3</stp>
        <tr r="F1510" s="1"/>
      </tp>
      <tp>
        <v>-24.316214680000002</v>
        <stp/>
        <stp>EM_S_PQ_PCTCHANGE</stp>
        <stp>4</stp>
        <stp>000623</stp>
        <stp>2018-01-01</stp>
        <stp>2019-12-31</stp>
        <stp>3</stp>
        <tr r="F1489" s="1"/>
      </tp>
      <tp>
        <v>20</v>
        <stp/>
        <stp>EM_S_PQ_PCTCHANGE</stp>
        <stp>4</stp>
        <stp>300402</stp>
        <stp>2018-12-31</stp>
        <stp>2019-12-30</stp>
        <stp>1</stp>
        <tr r="G1278" s="1"/>
      </tp>
      <tp>
        <v>-22.490746260000002</v>
        <stp/>
        <stp>EM_S_PQ_PCTCHANGE</stp>
        <stp>4</stp>
        <stp>300613</stp>
        <stp>2018-01-01</stp>
        <stp>2019-12-31</stp>
        <stp>3</stp>
        <tr r="F258" s="1"/>
      </tp>
      <tp>
        <v>16.08832808</v>
        <stp/>
        <stp>EM_S_PQ_PCTCHANGE</stp>
        <stp>4</stp>
        <stp>600452</stp>
        <stp>2018-12-31</stp>
        <stp>2019-12-30</stp>
        <stp>1</stp>
        <tr r="G1428" s="1"/>
      </tp>
      <tp>
        <v>-11.122525980000001</v>
        <stp/>
        <stp>EM_S_PQ_PCTCHANGE</stp>
        <stp>4</stp>
        <stp>600643</stp>
        <stp>2018-01-01</stp>
        <stp>2019-12-31</stp>
        <stp>3</stp>
        <tr r="F1527" s="1"/>
      </tp>
      <tp>
        <v>-2.7237354100000002</v>
        <stp/>
        <stp>EM_S_PQ_PCTCHANGE</stp>
        <stp>4</stp>
        <stp>002432</stp>
        <stp>2018-12-31</stp>
        <stp>2019-12-30</stp>
        <stp>1</stp>
        <tr r="G2464" s="1"/>
      </tp>
      <tp>
        <v>-1.02086107</v>
        <stp/>
        <stp>EM_S_PQ_PCTCHANGE</stp>
        <stp>4</stp>
        <stp>002623</stp>
        <stp>2018-01-01</stp>
        <stp>2019-12-31</stp>
        <stp>3</stp>
        <tr r="F556" s="1"/>
      </tp>
      <tp>
        <v>-10.2393617</v>
        <stp/>
        <stp>EM_S_PQ_PCTCHANGE</stp>
        <stp>4</stp>
        <stp>300405</stp>
        <stp>2018-12-31</stp>
        <stp>2019-12-30</stp>
        <stp>1</stp>
        <tr r="G2766" s="1"/>
      </tp>
      <tp>
        <v>58.481127790000002</v>
        <stp/>
        <stp>EM_S_PQ_PCTCHANGE</stp>
        <stp>4</stp>
        <stp>600455</stp>
        <stp>2018-12-31</stp>
        <stp>2019-12-30</stp>
        <stp>1</stp>
        <tr r="G440" s="1"/>
      </tp>
      <tp>
        <v>-20.709219860000001</v>
        <stp/>
        <stp>EM_S_PQ_PCTCHANGE</stp>
        <stp>4</stp>
        <stp>600644</stp>
        <stp>2018-01-01</stp>
        <stp>2019-12-31</stp>
        <stp>3</stp>
        <tr r="F1143" s="1"/>
      </tp>
      <tp>
        <v>-25.708884690000001</v>
        <stp/>
        <stp>EM_S_PQ_PCTCHANGE</stp>
        <stp>4</stp>
        <stp>002435</stp>
        <stp>2018-12-31</stp>
        <stp>2019-12-30</stp>
        <stp>1</stp>
        <tr r="G3162" s="1"/>
      </tp>
      <tp>
        <v>33.553194329999997</v>
        <stp/>
        <stp>EM_S_PQ_PCTCHANGE</stp>
        <stp>4</stp>
        <stp>002624</stp>
        <stp>2018-01-01</stp>
        <stp>2019-12-31</stp>
        <stp>3</stp>
        <tr r="F449" s="1"/>
      </tp>
      <tp>
        <v>-15.96346984</v>
        <stp/>
        <stp>EM_S_PQ_PCTCHANGE</stp>
        <stp>4</stp>
        <stp>000625</stp>
        <stp>2018-01-01</stp>
        <stp>2019-12-31</stp>
        <stp>3</stp>
        <tr r="F3487" s="1"/>
      </tp>
      <tp>
        <v>26.75438596</v>
        <stp/>
        <stp>EM_S_PQ_PCTCHANGE</stp>
        <stp>4</stp>
        <stp>300404</stp>
        <stp>2018-12-31</stp>
        <stp>2019-12-30</stp>
        <stp>1</stp>
        <tr r="G1027" s="1"/>
      </tp>
      <tp>
        <v>48.254332769999998</v>
        <stp/>
        <stp>EM_S_PQ_PCTCHANGE</stp>
        <stp>4</stp>
        <stp>300615</stp>
        <stp>2018-01-01</stp>
        <stp>2019-12-31</stp>
        <stp>3</stp>
        <tr r="F1398" s="1"/>
      </tp>
      <tp>
        <v>-40.387323940000002</v>
        <stp/>
        <stp>EM_S_PQ_PCTCHANGE</stp>
        <stp>4</stp>
        <stp>600645</stp>
        <stp>2018-01-01</stp>
        <stp>2019-12-31</stp>
        <stp>3</stp>
        <tr r="F2094" s="1"/>
      </tp>
      <tp>
        <v>41.578148710000001</v>
        <stp/>
        <stp>EM_S_PQ_PCTCHANGE</stp>
        <stp>4</stp>
        <stp>002434</stp>
        <stp>2018-12-31</stp>
        <stp>2019-12-30</stp>
        <stp>1</stp>
        <tr r="G706" s="1"/>
      </tp>
      <tp>
        <v>-44.575435239999997</v>
        <stp/>
        <stp>EM_S_PQ_PCTCHANGE</stp>
        <stp>4</stp>
        <stp>002625</stp>
        <stp>2018-01-01</stp>
        <stp>2019-12-31</stp>
        <stp>3</stp>
        <tr r="F2630" s="1"/>
      </tp>
      <tp>
        <v>-43.159486020000003</v>
        <stp/>
        <stp>EM_S_PQ_PCTCHANGE</stp>
        <stp>4</stp>
        <stp>000626</stp>
        <stp>2018-01-01</stp>
        <stp>2019-12-31</stp>
        <stp>3</stp>
        <tr r="F3488" s="1"/>
      </tp>
      <tp>
        <v>3.9946737699999999</v>
        <stp/>
        <stp>EM_S_PQ_PCTCHANGE</stp>
        <stp>4</stp>
        <stp>300407</stp>
        <stp>2018-12-31</stp>
        <stp>2019-12-30</stp>
        <stp>1</stp>
        <tr r="G2060" s="1"/>
      </tp>
      <tp>
        <v>-14.073189599999999</v>
        <stp/>
        <stp>EM_S_PQ_PCTCHANGE</stp>
        <stp>4</stp>
        <stp>300616</stp>
        <stp>2018-01-01</stp>
        <stp>2019-12-31</stp>
        <stp>3</stp>
        <tr r="F1091" s="1"/>
      </tp>
      <tp>
        <v>0</v>
        <stp/>
        <stp>EM_S_PQ_PCTCHANGE</stp>
        <stp>4</stp>
        <stp>600646</stp>
        <stp>2018-01-01</stp>
        <stp>2019-12-31</stp>
        <stp>3</stp>
        <tr r="F2311" s="1"/>
      </tp>
      <tp>
        <v>5.3571428599999997</v>
        <stp/>
        <stp>EM_S_PQ_PCTCHANGE</stp>
        <stp>4</stp>
        <stp>002437</stp>
        <stp>2018-12-31</stp>
        <stp>2019-12-30</stp>
        <stp>1</stp>
        <tr r="G1992" s="1"/>
      </tp>
      <tp>
        <v>12.84062142</v>
        <stp/>
        <stp>EM_S_PQ_PCTCHANGE</stp>
        <stp>4</stp>
        <stp>002626</stp>
        <stp>2018-01-01</stp>
        <stp>2019-12-31</stp>
        <stp>3</stp>
        <tr r="F414" s="1"/>
      </tp>
      <tp>
        <v>-11.017236090000001</v>
        <stp/>
        <stp>EM_S_PQ_PCTCHANGE</stp>
        <stp>4</stp>
        <stp>000627</stp>
        <stp>2018-01-01</stp>
        <stp>2019-12-31</stp>
        <stp>3</stp>
        <tr r="F3489" s="1"/>
      </tp>
      <tp>
        <v>62.156663279999997</v>
        <stp/>
        <stp>EM_S_PQ_PCTCHANGE</stp>
        <stp>4</stp>
        <stp>300406</stp>
        <stp>2018-12-31</stp>
        <stp>2019-12-30</stp>
        <stp>1</stp>
        <tr r="G400" s="1"/>
      </tp>
      <tp>
        <v>-23.85333636</v>
        <stp/>
        <stp>EM_S_PQ_PCTCHANGE</stp>
        <stp>4</stp>
        <stp>300617</stp>
        <stp>2018-01-01</stp>
        <stp>2019-12-31</stp>
        <stp>3</stp>
        <tr r="F1581" s="1"/>
      </tp>
      <tp>
        <v>63.22067594</v>
        <stp/>
        <stp>EM_S_PQ_PCTCHANGE</stp>
        <stp>4</stp>
        <stp>600456</stp>
        <stp>2018-12-31</stp>
        <stp>2019-12-30</stp>
        <stp>1</stp>
        <tr r="G393" s="1"/>
      </tp>
      <tp>
        <v>-25.848872350000001</v>
        <stp/>
        <stp>EM_S_PQ_PCTCHANGE</stp>
        <stp>4</stp>
        <stp>600647</stp>
        <stp>2018-01-01</stp>
        <stp>2019-12-31</stp>
        <stp>3</stp>
        <tr r="F1435" s="1"/>
      </tp>
      <tp>
        <v>119.02515723</v>
        <stp/>
        <stp>EM_S_PQ_PCTCHANGE</stp>
        <stp>4</stp>
        <stp>603456</stp>
        <stp>2018-12-31</stp>
        <stp>2019-12-30</stp>
        <stp>1</stp>
        <tr r="G126" s="1"/>
      </tp>
      <tp>
        <v>85.398230089999998</v>
        <stp/>
        <stp>EM_S_PQ_PCTCHANGE</stp>
        <stp>4</stp>
        <stp>002436</stp>
        <stp>2018-12-31</stp>
        <stp>2019-12-30</stp>
        <stp>1</stp>
        <tr r="G221" s="1"/>
      </tp>
      <tp>
        <v>-5.3398366099999999</v>
        <stp/>
        <stp>EM_S_PQ_PCTCHANGE</stp>
        <stp>4</stp>
        <stp>002627</stp>
        <stp>2018-01-01</stp>
        <stp>2019-12-31</stp>
        <stp>3</stp>
        <tr r="F389" s="1"/>
      </tp>
      <tp>
        <v>-2.5641025599999998</v>
        <stp/>
        <stp>EM_S_PQ_PCTCHANGE</stp>
        <stp>4</stp>
        <stp>600489</stp>
        <stp>2018-12-31</stp>
        <stp>2019-12-30</stp>
        <stp>1</stp>
        <tr r="G2454" s="1"/>
      </tp>
      <tp>
        <v>-63.454317899999999</v>
        <stp/>
        <stp>EM_S_PQ_PCTCHANGE</stp>
        <stp>4</stp>
        <stp>600698</stp>
        <stp>2018-01-01</stp>
        <stp>2019-12-31</stp>
        <stp>3</stp>
        <tr r="F3214" s="1"/>
      </tp>
      <tp>
        <v>-17.44755924</v>
        <stp/>
        <stp>EM_S_PQ_PCTCHANGE</stp>
        <stp>4</stp>
        <stp>603698</stp>
        <stp>2018-01-01</stp>
        <stp>2019-12-31</stp>
        <stp>3</stp>
        <tr r="F2873" s="1"/>
      </tp>
      <tp>
        <v>-32.101954720000002</v>
        <stp/>
        <stp>EM_S_PQ_PCTCHANGE</stp>
        <stp>4</stp>
        <stp>601699</stp>
        <stp>2018-01-01</stp>
        <stp>2019-12-31</stp>
        <stp>3</stp>
        <tr r="F1809" s="1"/>
      </tp>
      <tp>
        <v>9.1152815</v>
        <stp/>
        <stp>EM_S_PQ_PCTCHANGE</stp>
        <stp>4</stp>
        <stp>600488</stp>
        <stp>2018-12-31</stp>
        <stp>2019-12-30</stp>
        <stp>1</stp>
        <tr r="G1787" s="1"/>
      </tp>
      <tp>
        <v>-25.132561519999999</v>
        <stp/>
        <stp>EM_S_PQ_PCTCHANGE</stp>
        <stp>4</stp>
        <stp>600699</stp>
        <stp>2018-01-01</stp>
        <stp>2019-12-31</stp>
        <stp>3</stp>
        <tr r="F3125" s="1"/>
      </tp>
      <tp>
        <v>21.525885559999999</v>
        <stp/>
        <stp>EM_S_PQ_PCTCHANGE</stp>
        <stp>4</stp>
        <stp>603488</stp>
        <stp>2018-12-31</stp>
        <stp>2019-12-30</stp>
        <stp>1</stp>
        <tr r="G1208" s="1"/>
      </tp>
      <tp>
        <v>-23.07237868</v>
        <stp/>
        <stp>EM_S_PQ_PCTCHANGE</stp>
        <stp>4</stp>
        <stp>603699</stp>
        <stp>2018-01-01</stp>
        <stp>2019-12-31</stp>
        <stp>3</stp>
        <tr r="F1395" s="1"/>
      </tp>
      <tp>
        <v>-1.5015015</v>
        <stp/>
        <stp>EM_S_PQ_PCTCHANGE</stp>
        <stp>4</stp>
        <stp>600481</stp>
        <stp>2018-12-31</stp>
        <stp>2019-12-30</stp>
        <stp>1</stp>
        <tr r="G2397" s="1"/>
      </tp>
      <tp>
        <v>7.6781184099999997</v>
        <stp/>
        <stp>EM_S_PQ_PCTCHANGE</stp>
        <stp>4</stp>
        <stp>600690</stp>
        <stp>2018-01-01</stp>
        <stp>2019-12-31</stp>
        <stp>3</stp>
        <tr r="F748" s="1"/>
      </tp>
      <tp>
        <v>61.427907490000003</v>
        <stp/>
        <stp>EM_S_PQ_PCTCHANGE</stp>
        <stp>4</stp>
        <stp>603690</stp>
        <stp>2018-01-01</stp>
        <stp>2019-12-31</stp>
        <stp>3</stp>
        <tr r="F133" s="1"/>
      </tp>
      <tp>
        <v>115.15965174</v>
        <stp/>
        <stp>EM_S_PQ_PCTCHANGE</stp>
        <stp>4</stp>
        <stp>603690</stp>
        <stp>2019-01-01</stp>
        <stp>2019-12-31</stp>
        <stp>3</stp>
        <tr r="G133" s="1"/>
      </tp>
      <tp>
        <v>-1.7038007900000001</v>
        <stp/>
        <stp>EM_S_PQ_PCTCHANGE</stp>
        <stp>4</stp>
        <stp>600480</stp>
        <stp>2018-12-31</stp>
        <stp>2019-12-30</stp>
        <stp>1</stp>
        <tr r="G2408" s="1"/>
      </tp>
      <tp>
        <v>-42.62295082</v>
        <stp/>
        <stp>EM_S_PQ_PCTCHANGE</stp>
        <stp>4</stp>
        <stp>600691</stp>
        <stp>2018-01-01</stp>
        <stp>2019-12-31</stp>
        <stp>3</stp>
        <tr r="F2883" s="1"/>
      </tp>
      <tp>
        <v>7.0588235299999997</v>
        <stp/>
        <stp>EM_S_PQ_PCTCHANGE</stp>
        <stp>4</stp>
        <stp>600483</stp>
        <stp>2018-12-31</stp>
        <stp>2019-12-30</stp>
        <stp>1</stp>
        <tr r="G1892" s="1"/>
      </tp>
      <tp>
        <v>-36.1</v>
        <stp/>
        <stp>EM_S_PQ_PCTCHANGE</stp>
        <stp>4</stp>
        <stp>600692</stp>
        <stp>2018-01-01</stp>
        <stp>2019-12-31</stp>
        <stp>3</stp>
        <tr r="F2781" s="1"/>
      </tp>
      <tp>
        <v>-10.462505609999999</v>
        <stp/>
        <stp>EM_S_PQ_PCTCHANGE</stp>
        <stp>4</stp>
        <stp>600482</stp>
        <stp>2018-12-31</stp>
        <stp>2019-12-30</stp>
        <stp>1</stp>
        <tr r="G2777" s="1"/>
      </tp>
      <tp>
        <v>-48.223852579999999</v>
        <stp/>
        <stp>EM_S_PQ_PCTCHANGE</stp>
        <stp>4</stp>
        <stp>600693</stp>
        <stp>2018-01-01</stp>
        <stp>2019-12-31</stp>
        <stp>3</stp>
        <tr r="F2373" s="1"/>
      </tp>
      <tp>
        <v>16.648355850000002</v>
        <stp/>
        <stp>EM_S_PQ_PCTCHANGE</stp>
        <stp>4</stp>
        <stp>603693</stp>
        <stp>2018-01-01</stp>
        <stp>2019-12-31</stp>
        <stp>3</stp>
        <tr r="F3179" s="1"/>
      </tp>
      <tp>
        <v>-80.054832079999997</v>
        <stp/>
        <stp>EM_S_PQ_PCTCHANGE</stp>
        <stp>4</stp>
        <stp>600485</stp>
        <stp>2018-12-31</stp>
        <stp>2019-12-30</stp>
        <stp>1</stp>
        <tr r="G3405" s="1"/>
      </tp>
      <tp>
        <v>-16.548298469999999</v>
        <stp/>
        <stp>EM_S_PQ_PCTCHANGE</stp>
        <stp>4</stp>
        <stp>600694</stp>
        <stp>2018-01-01</stp>
        <stp>2019-12-31</stp>
        <stp>3</stp>
        <tr r="F1594" s="1"/>
      </tp>
      <tp>
        <v>-20.489573889999999</v>
        <stp/>
        <stp>EM_S_PQ_PCTCHANGE</stp>
        <stp>4</stp>
        <stp>600695</stp>
        <stp>2018-01-01</stp>
        <stp>2019-12-31</stp>
        <stp>3</stp>
        <tr r="F307" s="1"/>
      </tp>
      <tp>
        <v>-5.92375367</v>
        <stp/>
        <stp>EM_S_PQ_PCTCHANGE</stp>
        <stp>4</stp>
        <stp>600487</stp>
        <stp>2018-12-31</stp>
        <stp>2019-12-30</stp>
        <stp>1</stp>
        <tr r="G2604" s="1"/>
      </tp>
      <tp>
        <v>119.45392491</v>
        <stp/>
        <stp>EM_S_PQ_PCTCHANGE</stp>
        <stp>4</stp>
        <stp>600696</stp>
        <stp>2018-01-01</stp>
        <stp>2019-12-31</stp>
        <stp>3</stp>
        <tr r="F71" s="1"/>
      </tp>
      <tp>
        <v>-53.516622230000003</v>
        <stp/>
        <stp>EM_S_PQ_PCTCHANGE</stp>
        <stp>4</stp>
        <stp>603696</stp>
        <stp>2018-01-01</stp>
        <stp>2019-12-31</stp>
        <stp>3</stp>
        <tr r="F2853" s="1"/>
      </tp>
      <tp>
        <v>82.474774300000007</v>
        <stp/>
        <stp>EM_S_PQ_PCTCHANGE</stp>
        <stp>4</stp>
        <stp>600486</stp>
        <stp>2018-12-31</stp>
        <stp>2019-12-30</stp>
        <stp>1</stp>
        <tr r="G235" s="1"/>
      </tp>
      <tp>
        <v>-28.225642279999999</v>
        <stp/>
        <stp>EM_S_PQ_PCTCHANGE</stp>
        <stp>4</stp>
        <stp>600697</stp>
        <stp>2018-01-01</stp>
        <stp>2019-12-31</stp>
        <stp>3</stp>
        <tr r="F2616" s="1"/>
      </tp>
      <tp>
        <v>-55.876602220000002</v>
        <stp/>
        <stp>EM_S_PQ_PCTCHANGE</stp>
        <stp>4</stp>
        <stp>603486</stp>
        <stp>2018-12-31</stp>
        <stp>2019-12-30</stp>
        <stp>1</stp>
        <tr r="G3384" s="1"/>
      </tp>
      <tp>
        <v>21.653426459999999</v>
        <stp/>
        <stp>EM_S_PQ_PCTCHANGE</stp>
        <stp>4</stp>
        <stp>601688</stp>
        <stp>2018-01-01</stp>
        <stp>2019-12-31</stp>
        <stp>3</stp>
        <tr r="F1013" s="1"/>
      </tp>
      <tp>
        <v>7.1782178200000004</v>
        <stp/>
        <stp>EM_S_PQ_PCTCHANGE</stp>
        <stp>4</stp>
        <stp>600499</stp>
        <stp>2018-12-31</stp>
        <stp>2019-12-30</stp>
        <stp>1</stp>
        <tr r="G1885" s="1"/>
      </tp>
      <tp>
        <v>-32.112979840000001</v>
        <stp/>
        <stp>EM_S_PQ_PCTCHANGE</stp>
        <stp>4</stp>
        <stp>600688</stp>
        <stp>2018-01-01</stp>
        <stp>2019-12-31</stp>
        <stp>3</stp>
        <tr r="F3114" s="1"/>
      </tp>
      <tp>
        <v>-21.593186370000002</v>
        <stp/>
        <stp>EM_S_PQ_PCTCHANGE</stp>
        <stp>4</stp>
        <stp>603499</stp>
        <stp>2018-12-31</stp>
        <stp>2019-12-30</stp>
        <stp>1</stp>
        <tr r="G3091" s="1"/>
      </tp>
      <tp>
        <v>22.040635949999999</v>
        <stp/>
        <stp>EM_S_PQ_PCTCHANGE</stp>
        <stp>4</stp>
        <stp>603688</stp>
        <stp>2018-01-01</stp>
        <stp>2019-12-31</stp>
        <stp>3</stp>
        <tr r="F342" s="1"/>
      </tp>
      <tp>
        <v>4.8278678199999998</v>
        <stp/>
        <stp>EM_S_PQ_PCTCHANGE</stp>
        <stp>4</stp>
        <stp>601689</stp>
        <stp>2018-01-01</stp>
        <stp>2019-12-31</stp>
        <stp>3</stp>
        <tr r="F1375" s="1"/>
      </tp>
      <tp>
        <v>-3.2665964199999999</v>
        <stp/>
        <stp>EM_S_PQ_PCTCHANGE</stp>
        <stp>4</stp>
        <stp>600498</stp>
        <stp>2018-12-31</stp>
        <stp>2019-12-30</stp>
        <stp>1</stp>
        <tr r="G2489" s="1"/>
      </tp>
      <tp>
        <v>-13.86775875</v>
        <stp/>
        <stp>EM_S_PQ_PCTCHANGE</stp>
        <stp>4</stp>
        <stp>600689</stp>
        <stp>2018-01-01</stp>
        <stp>2019-12-31</stp>
        <stp>3</stp>
        <tr r="F2646" s="1"/>
      </tp>
      <tp>
        <v>-28.08300972</v>
        <stp/>
        <stp>EM_S_PQ_PCTCHANGE</stp>
        <stp>4</stp>
        <stp>603689</stp>
        <stp>2018-01-01</stp>
        <stp>2019-12-31</stp>
        <stp>3</stp>
        <tr r="F2038" s="1"/>
      </tp>
      <tp>
        <v>7.68094535</v>
        <stp/>
        <stp>EM_S_PQ_PCTCHANGE</stp>
        <stp>4</stp>
        <stp>600491</stp>
        <stp>2018-12-31</stp>
        <stp>2019-12-30</stp>
        <stp>1</stp>
        <tr r="G1872" s="1"/>
      </tp>
      <tp>
        <v>-26.48183556</v>
        <stp/>
        <stp>EM_S_PQ_PCTCHANGE</stp>
        <stp>4</stp>
        <stp>600680</stp>
        <stp>2018-01-01</stp>
        <stp>2019-12-31</stp>
        <stp>3</stp>
        <tr r="F2316" s="1"/>
      </tp>
      <tp>
        <v>-40.773777379999999</v>
        <stp/>
        <stp>EM_S_PQ_PCTCHANGE</stp>
        <stp>4</stp>
        <stp>603680</stp>
        <stp>2018-01-01</stp>
        <stp>2019-12-31</stp>
        <stp>3</stp>
        <tr r="F3264" s="1"/>
      </tp>
      <tp>
        <v>2.8571428600000002</v>
        <stp/>
        <stp>EM_S_PQ_PCTCHANGE</stp>
        <stp>4</stp>
        <stp>600490</stp>
        <stp>2018-12-31</stp>
        <stp>2019-12-30</stp>
        <stp>1</stp>
        <tr r="G2114" s="1"/>
      </tp>
      <tp>
        <v>-25.283415770000001</v>
        <stp/>
        <stp>EM_S_PQ_PCTCHANGE</stp>
        <stp>4</stp>
        <stp>600681</stp>
        <stp>2018-01-01</stp>
        <stp>2019-12-31</stp>
        <stp>3</stp>
        <tr r="F3333" s="1"/>
      </tp>
      <tp>
        <v>-11.501597439999999</v>
        <stp/>
        <stp>EM_S_PQ_PCTCHANGE</stp>
        <stp>4</stp>
        <stp>600493</stp>
        <stp>2018-12-31</stp>
        <stp>2019-12-30</stp>
        <stp>1</stp>
        <tr r="G2813" s="1"/>
      </tp>
      <tp>
        <v>-73.061961350000004</v>
        <stp/>
        <stp>EM_S_PQ_PCTCHANGE</stp>
        <stp>4</stp>
        <stp>600682</stp>
        <stp>2018-01-01</stp>
        <stp>2019-12-31</stp>
        <stp>3</stp>
        <tr r="F1585" s="1"/>
      </tp>
      <tp>
        <v>-13.57696982</v>
        <stp/>
        <stp>EM_S_PQ_PCTCHANGE</stp>
        <stp>4</stp>
        <stp>600683</stp>
        <stp>2018-01-01</stp>
        <stp>2019-12-31</stp>
        <stp>3</stp>
        <tr r="F2385" s="1"/>
      </tp>
      <tp>
        <v>-34.345730600000003</v>
        <stp/>
        <stp>EM_S_PQ_PCTCHANGE</stp>
        <stp>4</stp>
        <stp>603683</stp>
        <stp>2018-01-01</stp>
        <stp>2019-12-31</stp>
        <stp>3</stp>
        <tr r="F2437" s="1"/>
      </tp>
      <tp>
        <v>0.97323601000000004</v>
        <stp/>
        <stp>EM_S_PQ_PCTCHANGE</stp>
        <stp>4</stp>
        <stp>600495</stp>
        <stp>2018-12-31</stp>
        <stp>2019-12-30</stp>
        <stp>1</stp>
        <tr r="G2218" s="1"/>
      </tp>
      <tp>
        <v>-37.422857870000001</v>
        <stp/>
        <stp>EM_S_PQ_PCTCHANGE</stp>
        <stp>4</stp>
        <stp>600684</stp>
        <stp>2018-01-01</stp>
        <stp>2019-12-31</stp>
        <stp>3</stp>
        <tr r="F2854" s="1"/>
      </tp>
      <tp>
        <v>-44.673668419999998</v>
        <stp/>
        <stp>EM_S_PQ_PCTCHANGE</stp>
        <stp>4</stp>
        <stp>600685</stp>
        <stp>2018-01-01</stp>
        <stp>2019-12-31</stp>
        <stp>3</stp>
        <tr r="F512" s="1"/>
      </tp>
      <tp>
        <v>-34.635826590000001</v>
        <stp/>
        <stp>EM_S_PQ_PCTCHANGE</stp>
        <stp>4</stp>
        <stp>603685</stp>
        <stp>2018-01-01</stp>
        <stp>2019-12-31</stp>
        <stp>3</stp>
        <tr r="F2615" s="1"/>
      </tp>
      <tp>
        <v>8.0487804900000004</v>
        <stp/>
        <stp>EM_S_PQ_PCTCHANGE</stp>
        <stp>4</stp>
        <stp>600497</stp>
        <stp>2018-12-31</stp>
        <stp>2019-12-30</stp>
        <stp>1</stp>
        <tr r="G1854" s="1"/>
      </tp>
      <tp>
        <v>-45.499323429999997</v>
        <stp/>
        <stp>EM_S_PQ_PCTCHANGE</stp>
        <stp>4</stp>
        <stp>600686</stp>
        <stp>2018-01-01</stp>
        <stp>2019-12-31</stp>
        <stp>3</stp>
        <tr r="F2161" s="1"/>
      </tp>
      <tp>
        <v>-40.450411899999999</v>
        <stp/>
        <stp>EM_S_PQ_PCTCHANGE</stp>
        <stp>4</stp>
        <stp>603686</stp>
        <stp>2018-01-01</stp>
        <stp>2019-12-31</stp>
        <stp>3</stp>
        <tr r="F2229" s="1"/>
      </tp>
      <tp>
        <v>8.4291187700000005</v>
        <stp/>
        <stp>EM_S_PQ_PCTCHANGE</stp>
        <stp>4</stp>
        <stp>600496</stp>
        <stp>2018-12-31</stp>
        <stp>2019-12-30</stp>
        <stp>1</stp>
        <tr r="G1831" s="1"/>
      </tp>
      <tp>
        <v>-85.133088009999994</v>
        <stp/>
        <stp>EM_S_PQ_PCTCHANGE</stp>
        <stp>4</stp>
        <stp>600687</stp>
        <stp>2018-01-01</stp>
        <stp>2019-12-31</stp>
        <stp>3</stp>
        <tr r="F3392" s="1"/>
      </tp>
      <tp>
        <v>-9.2402464099999992</v>
        <stp/>
        <stp>EM_S_PQ_PCTCHANGE</stp>
        <stp>4</stp>
        <stp>603496</stp>
        <stp>2018-12-31</stp>
        <stp>2019-12-30</stp>
        <stp>1</stp>
        <tr r="G2724" s="1"/>
      </tp>
      <tp>
        <v>-42.327215899999999</v>
        <stp/>
        <stp>EM_S_PQ_PCTCHANGE</stp>
        <stp>4</stp>
        <stp>000698</stp>
        <stp>2018-01-01</stp>
        <stp>2019-12-31</stp>
        <stp>3</stp>
        <tr r="F3514" s="1"/>
      </tp>
      <tp>
        <v>57.196969699999997</v>
        <stp/>
        <stp>EM_S_PQ_PCTCHANGE</stp>
        <stp>4</stp>
        <stp>002489</stp>
        <stp>2018-12-31</stp>
        <stp>2019-12-30</stp>
        <stp>1</stp>
        <tr r="G452" s="1"/>
      </tp>
      <tp>
        <v>63.190905270000002</v>
        <stp/>
        <stp>EM_S_PQ_PCTCHANGE</stp>
        <stp>4</stp>
        <stp>002698</stp>
        <stp>2018-01-01</stp>
        <stp>2019-12-31</stp>
        <stp>3</stp>
        <tr r="F1301" s="1"/>
      </tp>
      <tp>
        <v>0</v>
        <stp/>
        <stp>EM_S_PQ_PCTCHANGE</stp>
        <stp>4</stp>
        <stp>000699</stp>
        <stp>2018-01-01</stp>
        <stp>2019-12-31</stp>
        <stp>3</stp>
        <tr r="F3515" s="1"/>
      </tp>
      <tp>
        <v>6.9381598799999997</v>
        <stp/>
        <stp>EM_S_PQ_PCTCHANGE</stp>
        <stp>4</stp>
        <stp>002488</stp>
        <stp>2018-12-31</stp>
        <stp>2019-12-30</stp>
        <stp>1</stp>
        <tr r="G1900" s="1"/>
      </tp>
      <tp>
        <v>-62.727774709999998</v>
        <stp/>
        <stp>EM_S_PQ_PCTCHANGE</stp>
        <stp>4</stp>
        <stp>002699</stp>
        <stp>2018-01-01</stp>
        <stp>2019-12-31</stp>
        <stp>3</stp>
        <tr r="F1025" s="1"/>
      </tp>
      <tp>
        <v>-28.01745601</v>
        <stp/>
        <stp>EM_S_PQ_PCTCHANGE</stp>
        <stp>4</stp>
        <stp>000690</stp>
        <stp>2018-01-01</stp>
        <stp>2019-12-31</stp>
        <stp>3</stp>
        <tr r="F2957" s="1"/>
      </tp>
      <tp>
        <v>179.28571428999999</v>
        <stp/>
        <stp>EM_S_PQ_PCTCHANGE</stp>
        <stp>4</stp>
        <stp>002481</stp>
        <stp>2018-12-31</stp>
        <stp>2019-12-30</stp>
        <stp>1</stp>
        <tr r="G57" s="1"/>
      </tp>
      <tp>
        <v>113.11419465</v>
        <stp/>
        <stp>EM_S_PQ_PCTCHANGE</stp>
        <stp>4</stp>
        <stp>002690</stp>
        <stp>2018-01-01</stp>
        <stp>2019-12-31</stp>
        <stp>3</stp>
        <tr r="F233" s="1"/>
      </tp>
      <tp>
        <v>-48.786717750000001</v>
        <stp/>
        <stp>EM_S_PQ_PCTCHANGE</stp>
        <stp>4</stp>
        <stp>000691</stp>
        <stp>2018-01-01</stp>
        <stp>2019-12-31</stp>
        <stp>3</stp>
        <tr r="F3512" s="1"/>
      </tp>
      <tp>
        <v>-19.87704918</v>
        <stp/>
        <stp>EM_S_PQ_PCTCHANGE</stp>
        <stp>4</stp>
        <stp>002480</stp>
        <stp>2018-12-31</stp>
        <stp>2019-12-30</stp>
        <stp>1</stp>
        <tr r="G3063" s="1"/>
      </tp>
      <tp>
        <v>-57.592569240000003</v>
        <stp/>
        <stp>EM_S_PQ_PCTCHANGE</stp>
        <stp>4</stp>
        <stp>002691</stp>
        <stp>2018-01-01</stp>
        <stp>2019-12-31</stp>
        <stp>3</stp>
        <tr r="F3060" s="1"/>
      </tp>
      <tp>
        <v>-44.423440450000001</v>
        <stp/>
        <stp>EM_S_PQ_PCTCHANGE</stp>
        <stp>4</stp>
        <stp>000692</stp>
        <stp>2018-01-01</stp>
        <stp>2019-12-31</stp>
        <stp>3</stp>
        <tr r="F1493" s="1"/>
      </tp>
      <tp>
        <v>15.06849315</v>
        <stp/>
        <stp>EM_S_PQ_PCTCHANGE</stp>
        <stp>4</stp>
        <stp>002483</stp>
        <stp>2018-12-31</stp>
        <stp>2019-12-30</stp>
        <stp>1</stp>
        <tr r="G1478" s="1"/>
      </tp>
      <tp>
        <v>-62.409200929999997</v>
        <stp/>
        <stp>EM_S_PQ_PCTCHANGE</stp>
        <stp>4</stp>
        <stp>002692</stp>
        <stp>2018-01-01</stp>
        <stp>2019-12-31</stp>
        <stp>3</stp>
        <tr r="F2695" s="1"/>
      </tp>
      <tp>
        <v>-97.04</v>
        <stp/>
        <stp>EM_S_PQ_PCTCHANGE</stp>
        <stp>4</stp>
        <stp>000693</stp>
        <stp>2018-01-01</stp>
        <stp>2019-12-31</stp>
        <stp>3</stp>
        <tr r="F3513" s="1"/>
      </tp>
      <tp>
        <v>-24.006908459999998</v>
        <stp/>
        <stp>EM_S_PQ_PCTCHANGE</stp>
        <stp>4</stp>
        <stp>002482</stp>
        <stp>2018-12-31</stp>
        <stp>2019-12-30</stp>
        <stp>1</stp>
        <tr r="G3133" s="1"/>
      </tp>
      <tp>
        <v>-26.84458399</v>
        <stp/>
        <stp>EM_S_PQ_PCTCHANGE</stp>
        <stp>4</stp>
        <stp>002693</stp>
        <stp>2018-01-01</stp>
        <stp>2019-12-31</stp>
        <stp>3</stp>
        <tr r="F1309" s="1"/>
      </tp>
      <tp>
        <v>-7.2463768100000001</v>
        <stp/>
        <stp>EM_S_PQ_PCTCHANGE</stp>
        <stp>4</stp>
        <stp>002485</stp>
        <stp>2018-12-31</stp>
        <stp>2019-12-30</stp>
        <stp>1</stp>
        <tr r="G2666" s="1"/>
      </tp>
      <tp>
        <v>-85.098578630000006</v>
        <stp/>
        <stp>EM_S_PQ_PCTCHANGE</stp>
        <stp>4</stp>
        <stp>002694</stp>
        <stp>2018-01-01</stp>
        <stp>2019-12-31</stp>
        <stp>3</stp>
        <tr r="F3113" s="1"/>
      </tp>
      <tp>
        <v>-36.231884059999999</v>
        <stp/>
        <stp>EM_S_PQ_PCTCHANGE</stp>
        <stp>4</stp>
        <stp>000695</stp>
        <stp>2018-01-01</stp>
        <stp>2019-12-31</stp>
        <stp>3</stp>
        <tr r="F2992" s="1"/>
      </tp>
      <tp>
        <v>28.733766230000001</v>
        <stp/>
        <stp>EM_S_PQ_PCTCHANGE</stp>
        <stp>4</stp>
        <stp>002484</stp>
        <stp>2018-12-31</stp>
        <stp>2019-12-30</stp>
        <stp>1</stp>
        <tr r="G965" s="1"/>
      </tp>
      <tp>
        <v>-2.3918414800000001</v>
        <stp/>
        <stp>EM_S_PQ_PCTCHANGE</stp>
        <stp>4</stp>
        <stp>002695</stp>
        <stp>2018-01-01</stp>
        <stp>2019-12-31</stp>
        <stp>3</stp>
        <tr r="F430" s="1"/>
      </tp>
      <tp>
        <v>-4.0511874499999996</v>
        <stp/>
        <stp>EM_S_PQ_PCTCHANGE</stp>
        <stp>4</stp>
        <stp>001696</stp>
        <stp>2018-01-01</stp>
        <stp>2019-12-31</stp>
        <stp>3</stp>
        <tr r="F863" s="1"/>
      </tp>
      <tp>
        <v>52.694610779999998</v>
        <stp/>
        <stp>EM_S_PQ_PCTCHANGE</stp>
        <stp>4</stp>
        <stp>002487</stp>
        <stp>2018-12-31</stp>
        <stp>2019-12-30</stp>
        <stp>1</stp>
        <tr r="G525" s="1"/>
      </tp>
      <tp>
        <v>-43.478399170000003</v>
        <stp/>
        <stp>EM_S_PQ_PCTCHANGE</stp>
        <stp>4</stp>
        <stp>002696</stp>
        <stp>2018-01-01</stp>
        <stp>2019-12-31</stp>
        <stp>3</stp>
        <tr r="F3242" s="1"/>
      </tp>
      <tp>
        <v>-53.993055560000002</v>
        <stp/>
        <stp>EM_S_PQ_PCTCHANGE</stp>
        <stp>4</stp>
        <stp>000697</stp>
        <stp>2018-01-01</stp>
        <stp>2019-12-31</stp>
        <stp>3</stp>
        <tr r="F2913" s="1"/>
      </tp>
      <tp>
        <v>-14.65968586</v>
        <stp/>
        <stp>EM_S_PQ_PCTCHANGE</stp>
        <stp>4</stp>
        <stp>002486</stp>
        <stp>2018-12-31</stp>
        <stp>2019-12-30</stp>
        <stp>1</stp>
        <tr r="G2922" s="1"/>
      </tp>
      <tp>
        <v>19.7436455</v>
        <stp/>
        <stp>EM_S_PQ_PCTCHANGE</stp>
        <stp>4</stp>
        <stp>002697</stp>
        <stp>2018-01-01</stp>
        <stp>2019-12-31</stp>
        <stp>3</stp>
        <tr r="F629" s="1"/>
      </tp>
      <tp>
        <v>26.271058180000001</v>
        <stp/>
        <stp>EM_S_PQ_PCTCHANGE</stp>
        <stp>4</stp>
        <stp>000688</stp>
        <stp>2018-01-01</stp>
        <stp>2019-12-31</stp>
        <stp>3</stp>
        <tr r="F3510" s="1"/>
      </tp>
      <tp>
        <v>-36.756756760000002</v>
        <stp/>
        <stp>EM_S_PQ_PCTCHANGE</stp>
        <stp>4</stp>
        <stp>002499</stp>
        <stp>2018-12-31</stp>
        <stp>2019-12-30</stp>
        <stp>1</stp>
        <tr r="G3287" s="1"/>
      </tp>
      <tp>
        <v>5.49245407</v>
        <stp/>
        <stp>EM_S_PQ_PCTCHANGE</stp>
        <stp>4</stp>
        <stp>002688</stp>
        <stp>2018-01-01</stp>
        <stp>2019-12-31</stp>
        <stp>3</stp>
        <tr r="F809" s="1"/>
      </tp>
      <tp>
        <v>-8.1027667999999995</v>
        <stp/>
        <stp>EM_S_PQ_PCTCHANGE</stp>
        <stp>4</stp>
        <stp>000498</stp>
        <stp>2018-12-31</stp>
        <stp>2019-12-30</stp>
        <stp>1</stp>
        <tr r="G2686" s="1"/>
      </tp>
      <tp>
        <v>0</v>
        <stp/>
        <stp>EM_S_PQ_PCTCHANGE</stp>
        <stp>4</stp>
        <stp>000689</stp>
        <stp>2018-01-01</stp>
        <stp>2019-12-31</stp>
        <stp>3</stp>
        <tr r="F3511" s="1"/>
      </tp>
      <tp>
        <v>51.25628141</v>
        <stp/>
        <stp>EM_S_PQ_PCTCHANGE</stp>
        <stp>4</stp>
        <stp>002498</stp>
        <stp>2018-12-31</stp>
        <stp>2019-12-30</stp>
        <stp>1</stp>
        <tr r="G544" s="1"/>
      </tp>
      <tp>
        <v>-27.177207660000001</v>
        <stp/>
        <stp>EM_S_PQ_PCTCHANGE</stp>
        <stp>4</stp>
        <stp>002689</stp>
        <stp>2018-01-01</stp>
        <stp>2019-12-31</stp>
        <stp>3</stp>
        <tr r="F1692" s="1"/>
      </tp>
      <tp>
        <v>-27.930418299999999</v>
        <stp/>
        <stp>EM_S_PQ_PCTCHANGE</stp>
        <stp>4</stp>
        <stp>000680</stp>
        <stp>2018-01-01</stp>
        <stp>2019-12-31</stp>
        <stp>3</stp>
        <tr r="F1767" s="1"/>
      </tp>
      <tp>
        <v>-16.370558379999999</v>
        <stp/>
        <stp>EM_S_PQ_PCTCHANGE</stp>
        <stp>4</stp>
        <stp>002491</stp>
        <stp>2018-12-31</stp>
        <stp>2019-12-30</stp>
        <stp>1</stp>
        <tr r="G2970" s="1"/>
      </tp>
      <tp>
        <v>-94.556059250000004</v>
        <stp/>
        <stp>EM_S_PQ_PCTCHANGE</stp>
        <stp>4</stp>
        <stp>002680</stp>
        <stp>2018-01-01</stp>
        <stp>2019-12-31</stp>
        <stp>3</stp>
        <tr r="F3406" s="1"/>
      </tp>
      <tp>
        <v>-11.231832109999999</v>
        <stp/>
        <stp>EM_S_PQ_PCTCHANGE</stp>
        <stp>4</stp>
        <stp>000681</stp>
        <stp>2018-01-01</stp>
        <stp>2019-12-31</stp>
        <stp>3</stp>
        <tr r="F3208" s="1"/>
      </tp>
      <tp>
        <v>-10.451306410000001</v>
        <stp/>
        <stp>EM_S_PQ_PCTCHANGE</stp>
        <stp>4</stp>
        <stp>002490</stp>
        <stp>2018-12-31</stp>
        <stp>2019-12-30</stp>
        <stp>1</stp>
        <tr r="G2775" s="1"/>
      </tp>
      <tp>
        <v>-29.659643129999999</v>
        <stp/>
        <stp>EM_S_PQ_PCTCHANGE</stp>
        <stp>4</stp>
        <stp>002681</stp>
        <stp>2018-01-01</stp>
        <stp>2019-12-31</stp>
        <stp>3</stp>
        <tr r="F536" s="1"/>
      </tp>
      <tp>
        <v>8.3870967699999994</v>
        <stp/>
        <stp>EM_S_PQ_PCTCHANGE</stp>
        <stp>4</stp>
        <stp>000682</stp>
        <stp>2018-01-01</stp>
        <stp>2019-12-31</stp>
        <stp>3</stp>
        <tr r="F515" s="1"/>
      </tp>
      <tp>
        <v>21.902874130000001</v>
        <stp/>
        <stp>EM_S_PQ_PCTCHANGE</stp>
        <stp>4</stp>
        <stp>002493</stp>
        <stp>2018-12-31</stp>
        <stp>2019-12-30</stp>
        <stp>1</stp>
        <tr r="G1189" s="1"/>
      </tp>
      <tp>
        <v>-39.243107950000002</v>
        <stp/>
        <stp>EM_S_PQ_PCTCHANGE</stp>
        <stp>4</stp>
        <stp>002682</stp>
        <stp>2018-01-01</stp>
        <stp>2019-12-31</stp>
        <stp>3</stp>
        <tr r="F2134" s="1"/>
      </tp>
      <tp>
        <v>-21.399918970000002</v>
        <stp/>
        <stp>EM_S_PQ_PCTCHANGE</stp>
        <stp>4</stp>
        <stp>000683</stp>
        <stp>2018-01-01</stp>
        <stp>2019-12-31</stp>
        <stp>3</stp>
        <tr r="F3507" s="1"/>
      </tp>
      <tp>
        <v>9.8513011200000005</v>
        <stp/>
        <stp>EM_S_PQ_PCTCHANGE</stp>
        <stp>4</stp>
        <stp>002492</stp>
        <stp>2018-12-31</stp>
        <stp>2019-12-30</stp>
        <stp>1</stp>
        <tr r="G1745" s="1"/>
      </tp>
      <tp>
        <v>161.9773472</v>
        <stp/>
        <stp>EM_S_PQ_PCTCHANGE</stp>
        <stp>4</stp>
        <stp>002683</stp>
        <stp>2018-01-01</stp>
        <stp>2019-12-31</stp>
        <stp>3</stp>
        <tr r="F111" s="1"/>
      </tp>
      <tp>
        <v>-8.5714285700000001</v>
        <stp/>
        <stp>EM_S_PQ_PCTCHANGE</stp>
        <stp>4</stp>
        <stp>002495</stp>
        <stp>2018-12-31</stp>
        <stp>2019-12-30</stp>
        <stp>1</stp>
        <tr r="G2707" s="1"/>
      </tp>
      <tp>
        <v>-67.259174310000006</v>
        <stp/>
        <stp>EM_S_PQ_PCTCHANGE</stp>
        <stp>4</stp>
        <stp>002684</stp>
        <stp>2018-01-01</stp>
        <stp>2019-12-31</stp>
        <stp>3</stp>
        <tr r="F2556" s="1"/>
      </tp>
      <tp>
        <v>-15.93435833</v>
        <stp/>
        <stp>EM_S_PQ_PCTCHANGE</stp>
        <stp>4</stp>
        <stp>000685</stp>
        <stp>2018-01-01</stp>
        <stp>2019-12-31</stp>
        <stp>3</stp>
        <tr r="F1353" s="1"/>
      </tp>
      <tp>
        <v>-6.9078947399999997</v>
        <stp/>
        <stp>EM_S_PQ_PCTCHANGE</stp>
        <stp>4</stp>
        <stp>002494</stp>
        <stp>2018-12-31</stp>
        <stp>2019-12-30</stp>
        <stp>1</stp>
        <tr r="G2654" s="1"/>
      </tp>
      <tp>
        <v>-32.904921399999999</v>
        <stp/>
        <stp>EM_S_PQ_PCTCHANGE</stp>
        <stp>4</stp>
        <stp>002685</stp>
        <stp>2018-01-01</stp>
        <stp>2019-12-31</stp>
        <stp>3</stp>
        <tr r="F775" s="1"/>
      </tp>
      <tp>
        <v>8.8043542699999993</v>
        <stp/>
        <stp>EM_S_PQ_PCTCHANGE</stp>
        <stp>4</stp>
        <stp>000686</stp>
        <stp>2018-01-01</stp>
        <stp>2019-12-31</stp>
        <stp>3</stp>
        <tr r="F3508" s="1"/>
      </tp>
      <tp>
        <v>8.1325301200000002</v>
        <stp/>
        <stp>EM_S_PQ_PCTCHANGE</stp>
        <stp>4</stp>
        <stp>002497</stp>
        <stp>2018-12-31</stp>
        <stp>2019-12-30</stp>
        <stp>1</stp>
        <tr r="G1848" s="1"/>
      </tp>
      <tp>
        <v>-49.644242290000001</v>
        <stp/>
        <stp>EM_S_PQ_PCTCHANGE</stp>
        <stp>4</stp>
        <stp>002686</stp>
        <stp>2018-01-01</stp>
        <stp>2019-12-31</stp>
        <stp>3</stp>
        <tr r="F2783" s="1"/>
      </tp>
      <tp>
        <v>-36.156041860000002</v>
        <stp/>
        <stp>EM_S_PQ_PCTCHANGE</stp>
        <stp>4</stp>
        <stp>000687</stp>
        <stp>2018-01-01</stp>
        <stp>2019-12-31</stp>
        <stp>3</stp>
        <tr r="F3509" s="1"/>
      </tp>
      <tp>
        <v>47.916666669999998</v>
        <stp/>
        <stp>EM_S_PQ_PCTCHANGE</stp>
        <stp>4</stp>
        <stp>002496</stp>
        <stp>2018-12-31</stp>
        <stp>2019-12-30</stp>
        <stp>1</stp>
        <tr r="G600" s="1"/>
      </tp>
      <tp>
        <v>-8.5560882399999993</v>
        <stp/>
        <stp>EM_S_PQ_PCTCHANGE</stp>
        <stp>4</stp>
        <stp>002687</stp>
        <stp>2018-01-01</stp>
        <stp>2019-12-31</stp>
        <stp>3</stp>
        <tr r="F2607" s="1"/>
      </tp>
      <tp>
        <v>-20.976616230000001</v>
        <stp/>
        <stp>EM_S_PQ_PCTCHANGE</stp>
        <stp>4</stp>
        <stp>300499</stp>
        <stp>2018-12-31</stp>
        <stp>2019-12-30</stp>
        <stp>1</stp>
        <tr r="G3080" s="1"/>
      </tp>
      <tp>
        <v>-42.561904159999997</v>
        <stp/>
        <stp>EM_S_PQ_PCTCHANGE</stp>
        <stp>4</stp>
        <stp>300688</stp>
        <stp>2018-01-01</stp>
        <stp>2019-12-31</stp>
        <stp>3</stp>
        <tr r="F3329" s="1"/>
      </tp>
      <tp>
        <v>27.043544690000001</v>
        <stp/>
        <stp>EM_S_PQ_PCTCHANGE</stp>
        <stp>4</stp>
        <stp>300498</stp>
        <stp>2018-12-31</stp>
        <stp>2019-12-30</stp>
        <stp>1</stp>
        <tr r="G1017" s="1"/>
      </tp>
      <tp>
        <v>-5.3663971200000002</v>
        <stp/>
        <stp>EM_S_PQ_PCTCHANGE</stp>
        <stp>4</stp>
        <stp>300689</stp>
        <stp>2018-01-01</stp>
        <stp>2019-12-31</stp>
        <stp>3</stp>
        <tr r="F977" s="1"/>
      </tp>
      <tp>
        <v>-16.164207829999999</v>
        <stp/>
        <stp>EM_S_PQ_PCTCHANGE</stp>
        <stp>4</stp>
        <stp>300491</stp>
        <stp>2018-12-31</stp>
        <stp>2019-12-30</stp>
        <stp>1</stp>
        <tr r="G2962" s="1"/>
      </tp>
      <tp>
        <v>-37.191526170000003</v>
        <stp/>
        <stp>EM_S_PQ_PCTCHANGE</stp>
        <stp>4</stp>
        <stp>300680</stp>
        <stp>2018-01-01</stp>
        <stp>2019-12-31</stp>
        <stp>3</stp>
        <tr r="F910" s="1"/>
      </tp>
      <tp>
        <v>-14.1221374</v>
        <stp/>
        <stp>EM_S_PQ_PCTCHANGE</stp>
        <stp>4</stp>
        <stp>300490</stp>
        <stp>2018-12-31</stp>
        <stp>2019-12-30</stp>
        <stp>1</stp>
        <tr r="G2910" s="1"/>
      </tp>
      <tp>
        <v>-34.744048200000002</v>
        <stp/>
        <stp>EM_S_PQ_PCTCHANGE</stp>
        <stp>4</stp>
        <stp>300681</stp>
        <stp>2018-01-01</stp>
        <stp>2019-12-31</stp>
        <stp>3</stp>
        <tr r="F2417" s="1"/>
      </tp>
      <tp>
        <v>-4.3859649100000002</v>
        <stp/>
        <stp>EM_S_PQ_PCTCHANGE</stp>
        <stp>4</stp>
        <stp>300493</stp>
        <stp>2018-12-31</stp>
        <stp>2019-12-30</stp>
        <stp>1</stp>
        <tr r="G2536" s="1"/>
      </tp>
      <tp>
        <v>24.42871573</v>
        <stp/>
        <stp>EM_S_PQ_PCTCHANGE</stp>
        <stp>4</stp>
        <stp>300682</stp>
        <stp>2018-01-01</stp>
        <stp>2019-12-31</stp>
        <stp>3</stp>
        <tr r="F782" s="1"/>
      </tp>
      <tp>
        <v>163.41844710999999</v>
        <stp/>
        <stp>EM_S_PQ_PCTCHANGE</stp>
        <stp>4</stp>
        <stp>300492</stp>
        <stp>2018-12-31</stp>
        <stp>2019-12-30</stp>
        <stp>1</stp>
        <tr r="G69" s="1"/>
      </tp>
      <tp>
        <v>-44.163519819999998</v>
        <stp/>
        <stp>EM_S_PQ_PCTCHANGE</stp>
        <stp>4</stp>
        <stp>300683</stp>
        <stp>2018-01-01</stp>
        <stp>2019-12-31</stp>
        <stp>3</stp>
        <tr r="F1867" s="1"/>
      </tp>
      <tp>
        <v>-15.454545449999999</v>
        <stp/>
        <stp>EM_S_PQ_PCTCHANGE</stp>
        <stp>4</stp>
        <stp>300495</stp>
        <stp>2018-12-31</stp>
        <stp>2019-12-30</stp>
        <stp>1</stp>
        <tr r="G2945" s="1"/>
      </tp>
      <tp>
        <v>440.75273155999997</v>
        <stp/>
        <stp>EM_S_PQ_PCTCHANGE</stp>
        <stp>4</stp>
        <stp>300684</stp>
        <stp>2018-01-01</stp>
        <stp>2019-12-31</stp>
        <stp>3</stp>
        <tr r="F2979" s="1"/>
      </tp>
      <tp>
        <v>61.847389560000003</v>
        <stp/>
        <stp>EM_S_PQ_PCTCHANGE</stp>
        <stp>4</stp>
        <stp>300494</stp>
        <stp>2018-12-31</stp>
        <stp>2019-12-30</stp>
        <stp>1</stp>
        <tr r="G404" s="1"/>
      </tp>
      <tp>
        <v>33.427864290000002</v>
        <stp/>
        <stp>EM_S_PQ_PCTCHANGE</stp>
        <stp>4</stp>
        <stp>300685</stp>
        <stp>2018-01-01</stp>
        <stp>2019-12-31</stp>
        <stp>3</stp>
        <tr r="F436" s="1"/>
      </tp>
      <tp>
        <v>88.790181039999993</v>
        <stp/>
        <stp>EM_S_PQ_PCTCHANGE</stp>
        <stp>4</stp>
        <stp>300686</stp>
        <stp>2019-01-01</stp>
        <stp>2019-12-31</stp>
        <stp>3</stp>
        <tr r="G205" s="1"/>
      </tp>
      <tp>
        <v>4.0748898699999998</v>
        <stp/>
        <stp>EM_S_PQ_PCTCHANGE</stp>
        <stp>4</stp>
        <stp>300497</stp>
        <stp>2018-12-31</stp>
        <stp>2019-12-30</stp>
        <stp>1</stp>
        <tr r="G2053" s="1"/>
      </tp>
      <tp>
        <v>47.283601240000003</v>
        <stp/>
        <stp>EM_S_PQ_PCTCHANGE</stp>
        <stp>4</stp>
        <stp>300686</stp>
        <stp>2018-01-01</stp>
        <stp>2019-12-31</stp>
        <stp>3</stp>
        <tr r="F205" s="1"/>
      </tp>
      <tp>
        <v>-10.85396853</v>
        <stp/>
        <stp>EM_S_PQ_PCTCHANGE</stp>
        <stp>4</stp>
        <stp>300687</stp>
        <stp>2018-01-01</stp>
        <stp>2019-12-31</stp>
        <stp>3</stp>
        <tr r="F3104" s="1"/>
      </tp>
      <tp>
        <v>69.691780820000005</v>
        <stp/>
        <stp>EM_S_PQ_PCTCHANGE</stp>
        <stp>4</stp>
        <stp>300489</stp>
        <stp>2018-12-31</stp>
        <stp>2019-12-30</stp>
        <stp>1</stp>
        <tr r="G317" s="1"/>
      </tp>
      <tp>
        <v>-38.809411330000003</v>
        <stp/>
        <stp>EM_S_PQ_PCTCHANGE</stp>
        <stp>4</stp>
        <stp>300698</stp>
        <stp>2018-01-01</stp>
        <stp>2019-12-31</stp>
        <stp>3</stp>
        <tr r="F2793" s="1"/>
      </tp>
      <tp>
        <v>-34.863876470000001</v>
        <stp/>
        <stp>EM_S_PQ_PCTCHANGE</stp>
        <stp>4</stp>
        <stp>300488</stp>
        <stp>2018-12-31</stp>
        <stp>2019-12-30</stp>
        <stp>1</stp>
        <tr r="G3270" s="1"/>
      </tp>
      <tp>
        <v>-1.3045893</v>
        <stp/>
        <stp>EM_S_PQ_PCTCHANGE</stp>
        <stp>4</stp>
        <stp>300699</stp>
        <stp>2018-01-01</stp>
        <stp>2019-12-31</stp>
        <stp>3</stp>
        <tr r="F995" s="1"/>
      </tp>
      <tp>
        <v>66.387337059999993</v>
        <stp/>
        <stp>EM_S_PQ_PCTCHANGE</stp>
        <stp>4</stp>
        <stp>300481</stp>
        <stp>2018-12-31</stp>
        <stp>2019-12-30</stp>
        <stp>1</stp>
        <tr r="G358" s="1"/>
      </tp>
      <tp>
        <v>-27.35049111</v>
        <stp/>
        <stp>EM_S_PQ_PCTCHANGE</stp>
        <stp>4</stp>
        <stp>300690</stp>
        <stp>2018-01-01</stp>
        <stp>2019-12-31</stp>
        <stp>3</stp>
        <tr r="F735" s="1"/>
      </tp>
      <tp>
        <v>86.870897159999998</v>
        <stp/>
        <stp>EM_S_PQ_PCTCHANGE</stp>
        <stp>4</stp>
        <stp>300480</stp>
        <stp>2018-12-31</stp>
        <stp>2019-12-30</stp>
        <stp>1</stp>
        <tr r="G213" s="1"/>
      </tp>
      <tp>
        <v>-42.319693430000001</v>
        <stp/>
        <stp>EM_S_PQ_PCTCHANGE</stp>
        <stp>4</stp>
        <stp>300691</stp>
        <stp>2018-01-01</stp>
        <stp>2019-12-31</stp>
        <stp>3</stp>
        <tr r="F2974" s="1"/>
      </tp>
      <tp>
        <v>24.951330299999999</v>
        <stp/>
        <stp>EM_S_PQ_PCTCHANGE</stp>
        <stp>4</stp>
        <stp>300483</stp>
        <stp>2018-12-31</stp>
        <stp>2019-12-30</stp>
        <stp>1</stp>
        <tr r="G1094" s="1"/>
      </tp>
      <tp>
        <v>-55.879092200000002</v>
        <stp/>
        <stp>EM_S_PQ_PCTCHANGE</stp>
        <stp>4</stp>
        <stp>300692</stp>
        <stp>2018-01-01</stp>
        <stp>2019-12-31</stp>
        <stp>3</stp>
        <tr r="F2598" s="1"/>
      </tp>
      <tp>
        <v>94.805194810000003</v>
        <stp/>
        <stp>EM_S_PQ_PCTCHANGE</stp>
        <stp>4</stp>
        <stp>300482</stp>
        <stp>2018-12-31</stp>
        <stp>2019-12-30</stp>
        <stp>1</stp>
        <tr r="G183" s="1"/>
      </tp>
      <tp>
        <v>-36.80241745</v>
        <stp/>
        <stp>EM_S_PQ_PCTCHANGE</stp>
        <stp>4</stp>
        <stp>300693</stp>
        <stp>2018-01-01</stp>
        <stp>2019-12-31</stp>
        <stp>3</stp>
        <tr r="F2842" s="1"/>
      </tp>
      <tp>
        <v>-11.314984709999999</v>
        <stp/>
        <stp>EM_S_PQ_PCTCHANGE</stp>
        <stp>4</stp>
        <stp>300485</stp>
        <stp>2018-12-31</stp>
        <stp>2019-12-30</stp>
        <stp>1</stp>
        <tr r="G2810" s="1"/>
      </tp>
      <tp>
        <v>-18.230563</v>
        <stp/>
        <stp>EM_S_PQ_PCTCHANGE</stp>
        <stp>4</stp>
        <stp>300484</stp>
        <stp>2018-12-31</stp>
        <stp>2019-12-30</stp>
        <stp>1</stp>
        <tr r="G3031" s="1"/>
      </tp>
      <tp>
        <v>-30.667428300000001</v>
        <stp/>
        <stp>EM_S_PQ_PCTCHANGE</stp>
        <stp>4</stp>
        <stp>300695</stp>
        <stp>2018-01-01</stp>
        <stp>2019-12-31</stp>
        <stp>3</stp>
        <tr r="F1890" s="1"/>
      </tp>
      <tp>
        <v>46.691027200000001</v>
        <stp/>
        <stp>EM_S_PQ_PCTCHANGE</stp>
        <stp>4</stp>
        <stp>300487</stp>
        <stp>2018-12-31</stp>
        <stp>2019-12-30</stp>
        <stp>1</stp>
        <tr r="G612" s="1"/>
      </tp>
      <tp>
        <v>-45.59853201</v>
        <stp/>
        <stp>EM_S_PQ_PCTCHANGE</stp>
        <stp>4</stp>
        <stp>300696</stp>
        <stp>2018-01-01</stp>
        <stp>2019-12-31</stp>
        <stp>3</stp>
        <tr r="F2215" s="1"/>
      </tp>
      <tp>
        <v>56.714178539999999</v>
        <stp/>
        <stp>EM_S_PQ_PCTCHANGE</stp>
        <stp>4</stp>
        <stp>300486</stp>
        <stp>2018-12-31</stp>
        <stp>2019-12-30</stp>
        <stp>1</stp>
        <tr r="G459" s="1"/>
      </tp>
      <tp>
        <v>-21.13143041</v>
        <stp/>
        <stp>EM_S_PQ_PCTCHANGE</stp>
        <stp>4</stp>
        <stp>300697</stp>
        <stp>2018-01-01</stp>
        <stp>2019-12-31</stp>
        <stp>3</stp>
        <tr r="F772" s="1"/>
      </tp>
      <tp>
        <v>-31.58715883</v>
        <stp/>
        <stp>EM_S_PQ_PCTCHANGE</stp>
        <stp>4</stp>
        <stp>000758</stp>
        <stp>2018-01-01</stp>
        <stp>2019-12-31</stp>
        <stp>3</stp>
        <tr r="F3529" s="1"/>
      </tp>
      <tp>
        <v>68.997361479999995</v>
        <stp/>
        <stp>EM_S_PQ_PCTCHANGE</stp>
        <stp>4</stp>
        <stp>300579</stp>
        <stp>2018-12-31</stp>
        <stp>2019-12-30</stp>
        <stp>1</stp>
        <tr r="G330" s="1"/>
      </tp>
      <tp>
        <v>48.578947370000002</v>
        <stp/>
        <stp>EM_S_PQ_PCTCHANGE</stp>
        <stp>4</stp>
        <stp>600529</stp>
        <stp>2018-12-31</stp>
        <stp>2019-12-30</stp>
        <stp>1</stp>
        <tr r="G589" s="1"/>
      </tp>
      <tp>
        <v>-16.81192721</v>
        <stp/>
        <stp>EM_S_PQ_PCTCHANGE</stp>
        <stp>4</stp>
        <stp>600738</stp>
        <stp>2018-01-01</stp>
        <stp>2019-12-31</stp>
        <stp>3</stp>
        <tr r="F2955" s="1"/>
      </tp>
      <tp>
        <v>14.519969980000001</v>
        <stp/>
        <stp>EM_S_PQ_PCTCHANGE</stp>
        <stp>4</stp>
        <stp>603738</stp>
        <stp>2018-01-01</stp>
        <stp>2019-12-31</stp>
        <stp>3</stp>
        <tr r="F418" s="1"/>
      </tp>
      <tp>
        <v>13.12384473</v>
        <stp/>
        <stp>EM_S_PQ_PCTCHANGE</stp>
        <stp>4</stp>
        <stp>002549</stp>
        <stp>2018-12-31</stp>
        <stp>2019-12-30</stp>
        <stp>1</stp>
        <tr r="G1576" s="1"/>
      </tp>
      <tp>
        <v>5.0409809599999997</v>
        <stp/>
        <stp>EM_S_PQ_PCTCHANGE</stp>
        <stp>4</stp>
        <stp>002758</stp>
        <stp>2018-01-01</stp>
        <stp>2019-12-31</stp>
        <stp>3</stp>
        <tr r="F633" s="1"/>
      </tp>
      <tp>
        <v>-21.80289226</v>
        <stp/>
        <stp>EM_S_PQ_PCTCHANGE</stp>
        <stp>4</stp>
        <stp>000759</stp>
        <stp>2018-01-01</stp>
        <stp>2019-12-31</stp>
        <stp>3</stp>
        <tr r="F752" s="1"/>
      </tp>
      <tp>
        <v>51.260997070000002</v>
        <stp/>
        <stp>EM_S_PQ_PCTCHANGE</stp>
        <stp>4</stp>
        <stp>300578</stp>
        <stp>2018-12-31</stp>
        <stp>2019-12-30</stp>
        <stp>1</stp>
        <tr r="G543" s="1"/>
      </tp>
      <tp>
        <v>3.80952381</v>
        <stp/>
        <stp>EM_S_PQ_PCTCHANGE</stp>
        <stp>4</stp>
        <stp>600528</stp>
        <stp>2018-12-31</stp>
        <stp>2019-12-30</stp>
        <stp>1</stp>
        <tr r="G2069" s="1"/>
      </tp>
      <tp>
        <v>-12.41912584</v>
        <stp/>
        <stp>EM_S_PQ_PCTCHANGE</stp>
        <stp>4</stp>
        <stp>600739</stp>
        <stp>2018-01-01</stp>
        <stp>2019-12-31</stp>
        <stp>3</stp>
        <tr r="F642" s="1"/>
      </tp>
      <tp>
        <v>12.5</v>
        <stp/>
        <stp>EM_S_PQ_PCTCHANGE</stp>
        <stp>4</stp>
        <stp>603528</stp>
        <stp>2018-12-31</stp>
        <stp>2019-12-30</stp>
        <stp>1</stp>
        <tr r="G1609" s="1"/>
      </tp>
      <tp>
        <v>29.596412560000001</v>
        <stp/>
        <stp>EM_S_PQ_PCTCHANGE</stp>
        <stp>4</stp>
        <stp>002548</stp>
        <stp>2018-12-31</stp>
        <stp>2019-12-30</stp>
        <stp>1</stp>
        <tr r="G938" s="1"/>
      </tp>
      <tp>
        <v>-48.315629860000001</v>
        <stp/>
        <stp>EM_S_PQ_PCTCHANGE</stp>
        <stp>4</stp>
        <stp>002759</stp>
        <stp>2018-01-01</stp>
        <stp>2019-12-31</stp>
        <stp>3</stp>
        <tr r="F1470" s="1"/>
      </tp>
      <tp>
        <v>-5.5984556000000003</v>
        <stp/>
        <stp>EM_S_PQ_PCTCHANGE</stp>
        <stp>4</stp>
        <stp>000541</stp>
        <stp>2018-12-31</stp>
        <stp>2019-12-30</stp>
        <stp>1</stp>
        <tr r="G2586" s="1"/>
      </tp>
      <tp>
        <v>11.0504348</v>
        <stp/>
        <stp>EM_S_PQ_PCTCHANGE</stp>
        <stp>4</stp>
        <stp>000750</stp>
        <stp>2018-01-01</stp>
        <stp>2019-12-31</stp>
        <stp>3</stp>
        <tr r="F3526" s="1"/>
      </tp>
      <tp>
        <v>29.558890399999999</v>
        <stp/>
        <stp>EM_S_PQ_PCTCHANGE</stp>
        <stp>4</stp>
        <stp>300571</stp>
        <stp>2018-12-31</stp>
        <stp>2019-12-30</stp>
        <stp>1</stp>
        <tr r="G939" s="1"/>
      </tp>
      <tp>
        <v>55.153707050000001</v>
        <stp/>
        <stp>EM_S_PQ_PCTCHANGE</stp>
        <stp>4</stp>
        <stp>600521</stp>
        <stp>2018-12-31</stp>
        <stp>2019-12-30</stp>
        <stp>1</stp>
        <tr r="G489" s="1"/>
      </tp>
      <tp>
        <v>-25.366609279999999</v>
        <stp/>
        <stp>EM_S_PQ_PCTCHANGE</stp>
        <stp>4</stp>
        <stp>600730</stp>
        <stp>2018-01-01</stp>
        <stp>2019-12-31</stp>
        <stp>3</stp>
        <tr r="F2242" s="1"/>
      </tp>
      <tp>
        <v>-12.339560840000001</v>
        <stp/>
        <stp>EM_S_PQ_PCTCHANGE</stp>
        <stp>4</stp>
        <stp>603730</stp>
        <stp>2018-01-01</stp>
        <stp>2019-12-31</stp>
        <stp>3</stp>
        <tr r="F677" s="1"/>
      </tp>
      <tp>
        <v>51.566951570000001</v>
        <stp/>
        <stp>EM_S_PQ_PCTCHANGE</stp>
        <stp>4</stp>
        <stp>002541</stp>
        <stp>2018-12-31</stp>
        <stp>2019-12-30</stp>
        <stp>1</stp>
        <tr r="G538" s="1"/>
      </tp>
      <tp>
        <v>35.189075459999998</v>
        <stp/>
        <stp>EM_S_PQ_PCTCHANGE</stp>
        <stp>4</stp>
        <stp>002750</stp>
        <stp>2018-01-01</stp>
        <stp>2019-12-31</stp>
        <stp>3</stp>
        <tr r="F121" s="1"/>
      </tp>
      <tp>
        <v>-37.037037040000001</v>
        <stp/>
        <stp>EM_S_PQ_PCTCHANGE</stp>
        <stp>4</stp>
        <stp>000751</stp>
        <stp>2018-01-01</stp>
        <stp>2019-12-31</stp>
        <stp>3</stp>
        <tr r="F1531" s="1"/>
      </tp>
      <tp>
        <v>43.572984750000003</v>
        <stp/>
        <stp>EM_S_PQ_PCTCHANGE</stp>
        <stp>4</stp>
        <stp>300570</stp>
        <stp>2018-12-31</stp>
        <stp>2019-12-30</stp>
        <stp>1</stp>
        <tr r="G674" s="1"/>
      </tp>
      <tp>
        <v>-18.057663130000002</v>
        <stp/>
        <stp>EM_S_PQ_PCTCHANGE</stp>
        <stp>4</stp>
        <stp>600520</stp>
        <stp>2018-12-31</stp>
        <stp>2019-12-30</stp>
        <stp>1</stp>
        <tr r="G3023" s="1"/>
      </tp>
      <tp>
        <v>1.83356841</v>
        <stp/>
        <stp>EM_S_PQ_PCTCHANGE</stp>
        <stp>4</stp>
        <stp>600731</stp>
        <stp>2018-01-01</stp>
        <stp>2019-12-31</stp>
        <stp>3</stp>
        <tr r="F296" s="1"/>
      </tp>
      <tp>
        <v>60.538286579999998</v>
        <stp/>
        <stp>EM_S_PQ_PCTCHANGE</stp>
        <stp>4</stp>
        <stp>603520</stp>
        <stp>2018-12-31</stp>
        <stp>2019-12-30</stp>
        <stp>1</stp>
        <tr r="G419" s="1"/>
      </tp>
      <tp>
        <v>-6.9264069299999997</v>
        <stp/>
        <stp>EM_S_PQ_PCTCHANGE</stp>
        <stp>4</stp>
        <stp>002540</stp>
        <stp>2018-12-31</stp>
        <stp>2019-12-30</stp>
        <stp>1</stp>
        <tr r="G2657" s="1"/>
      </tp>
      <tp>
        <v>-35.291891579999998</v>
        <stp/>
        <stp>EM_S_PQ_PCTCHANGE</stp>
        <stp>4</stp>
        <stp>002751</stp>
        <stp>2018-01-01</stp>
        <stp>2019-12-31</stp>
        <stp>3</stp>
        <tr r="F1394" s="1"/>
      </tp>
      <tp>
        <v>-2.7139874700000002</v>
        <stp/>
        <stp>EM_S_PQ_PCTCHANGE</stp>
        <stp>4</stp>
        <stp>000543</stp>
        <stp>2018-12-31</stp>
        <stp>2019-12-30</stp>
        <stp>1</stp>
        <tr r="G2463" s="1"/>
      </tp>
      <tp>
        <v>-66.8472048</v>
        <stp/>
        <stp>EM_S_PQ_PCTCHANGE</stp>
        <stp>4</stp>
        <stp>000752</stp>
        <stp>2018-01-01</stp>
        <stp>2019-12-31</stp>
        <stp>3</stp>
        <tr r="F3527" s="1"/>
      </tp>
      <tp>
        <v>332.24271267</v>
        <stp/>
        <stp>EM_S_PQ_PCTCHANGE</stp>
        <stp>4</stp>
        <stp>300573</stp>
        <stp>2018-12-31</stp>
        <stp>2019-12-30</stp>
        <stp>1</stp>
        <tr r="G25" s="1"/>
      </tp>
      <tp>
        <v>42.857142860000003</v>
        <stp/>
        <stp>EM_S_PQ_PCTCHANGE</stp>
        <stp>4</stp>
        <stp>600523</stp>
        <stp>2018-12-31</stp>
        <stp>2019-12-30</stp>
        <stp>1</stp>
        <tr r="G688" s="1"/>
      </tp>
      <tp>
        <v>3.0423280400000001</v>
        <stp/>
        <stp>EM_S_PQ_PCTCHANGE</stp>
        <stp>4</stp>
        <stp>600732</stp>
        <stp>2018-01-01</stp>
        <stp>2019-12-31</stp>
        <stp>3</stp>
        <tr r="F281" s="1"/>
      </tp>
      <tp>
        <v>-26.070038910000001</v>
        <stp/>
        <stp>EM_S_PQ_PCTCHANGE</stp>
        <stp>4</stp>
        <stp>002543</stp>
        <stp>2018-12-31</stp>
        <stp>2019-12-30</stp>
        <stp>1</stp>
        <tr r="G3167" s="1"/>
      </tp>
      <tp>
        <v>-42.793888369999998</v>
        <stp/>
        <stp>EM_S_PQ_PCTCHANGE</stp>
        <stp>4</stp>
        <stp>002752</stp>
        <stp>2018-01-01</stp>
        <stp>2019-12-31</stp>
        <stp>3</stp>
        <tr r="F2953" s="1"/>
      </tp>
      <tp>
        <v>-20.82369521</v>
        <stp/>
        <stp>EM_S_PQ_PCTCHANGE</stp>
        <stp>4</stp>
        <stp>000753</stp>
        <stp>2018-01-01</stp>
        <stp>2019-12-31</stp>
        <stp>3</stp>
        <tr r="F2257" s="1"/>
      </tp>
      <tp>
        <v>7.8431372499999998</v>
        <stp/>
        <stp>EM_S_PQ_PCTCHANGE</stp>
        <stp>4</stp>
        <stp>300572</stp>
        <stp>2018-12-31</stp>
        <stp>2019-12-30</stp>
        <stp>1</stp>
        <tr r="G1863" s="1"/>
      </tp>
      <tp>
        <v>1.22699387</v>
        <stp/>
        <stp>EM_S_PQ_PCTCHANGE</stp>
        <stp>4</stp>
        <stp>600522</stp>
        <stp>2018-12-31</stp>
        <stp>2019-12-30</stp>
        <stp>1</stp>
        <tr r="G2201" s="1"/>
      </tp>
      <tp>
        <v>-59.25504102</v>
        <stp/>
        <stp>EM_S_PQ_PCTCHANGE</stp>
        <stp>4</stp>
        <stp>600733</stp>
        <stp>2018-01-01</stp>
        <stp>2019-12-31</stp>
        <stp>3</stp>
        <tr r="F3186" s="1"/>
      </tp>
      <tp>
        <v>7.6314292699999999</v>
        <stp/>
        <stp>EM_S_PQ_PCTCHANGE</stp>
        <stp>4</stp>
        <stp>603733</stp>
        <stp>2018-01-01</stp>
        <stp>2019-12-31</stp>
        <stp>3</stp>
        <tr r="F2668" s="1"/>
      </tp>
      <tp>
        <v>-13.72093023</v>
        <stp/>
        <stp>EM_S_PQ_PCTCHANGE</stp>
        <stp>4</stp>
        <stp>002542</stp>
        <stp>2018-12-31</stp>
        <stp>2019-12-30</stp>
        <stp>1</stp>
        <tr r="G2894" s="1"/>
      </tp>
      <tp>
        <v>-39.215405500000003</v>
        <stp/>
        <stp>EM_S_PQ_PCTCHANGE</stp>
        <stp>4</stp>
        <stp>002753</stp>
        <stp>2018-01-01</stp>
        <stp>2019-12-31</stp>
        <stp>3</stp>
        <tr r="F2896" s="1"/>
      </tp>
      <tp>
        <v>-3.19488818</v>
        <stp/>
        <stp>EM_S_PQ_PCTCHANGE</stp>
        <stp>4</stp>
        <stp>000545</stp>
        <stp>2018-12-31</stp>
        <stp>2019-12-30</stp>
        <stp>1</stp>
        <tr r="G2486" s="1"/>
      </tp>
      <tp>
        <v>-34.813084109999998</v>
        <stp/>
        <stp>EM_S_PQ_PCTCHANGE</stp>
        <stp>4</stp>
        <stp>300575</stp>
        <stp>2018-12-31</stp>
        <stp>2019-12-30</stp>
        <stp>1</stp>
        <tr r="G3269" s="1"/>
      </tp>
      <tp>
        <v>34.703196349999999</v>
        <stp/>
        <stp>EM_S_PQ_PCTCHANGE</stp>
        <stp>4</stp>
        <stp>600525</stp>
        <stp>2018-12-31</stp>
        <stp>2019-12-30</stp>
        <stp>1</stp>
        <tr r="G831" s="1"/>
      </tp>
      <tp>
        <v>-27.765957449999998</v>
        <stp/>
        <stp>EM_S_PQ_PCTCHANGE</stp>
        <stp>4</stp>
        <stp>600734</stp>
        <stp>2018-01-01</stp>
        <stp>2019-12-31</stp>
        <stp>3</stp>
        <tr r="F1850" s="1"/>
      </tp>
      <tp>
        <v>27.81569966</v>
        <stp/>
        <stp>EM_S_PQ_PCTCHANGE</stp>
        <stp>4</stp>
        <stp>002545</stp>
        <stp>2018-12-31</stp>
        <stp>2019-12-30</stp>
        <stp>1</stp>
        <tr r="G996" s="1"/>
      </tp>
      <tp>
        <v>22.87968442</v>
        <stp/>
        <stp>EM_S_PQ_PCTCHANGE</stp>
        <stp>4</stp>
        <stp>000544</stp>
        <stp>2018-12-31</stp>
        <stp>2019-12-30</stp>
        <stp>1</stp>
        <tr r="G1160" s="1"/>
      </tp>
      <tp>
        <v>-42.082111439999998</v>
        <stp/>
        <stp>EM_S_PQ_PCTCHANGE</stp>
        <stp>4</stp>
        <stp>000755</stp>
        <stp>2018-01-01</stp>
        <stp>2019-12-31</stp>
        <stp>3</stp>
        <tr r="F3528" s="1"/>
      </tp>
      <tp>
        <v>-39.97600182</v>
        <stp/>
        <stp>EM_S_PQ_PCTCHANGE</stp>
        <stp>4</stp>
        <stp>600735</stp>
        <stp>2018-01-01</stp>
        <stp>2019-12-31</stp>
        <stp>3</stp>
        <tr r="F990" s="1"/>
      </tp>
      <tp>
        <v>26.34011091</v>
        <stp/>
        <stp>EM_S_PQ_PCTCHANGE</stp>
        <stp>4</stp>
        <stp>002544</stp>
        <stp>2018-12-31</stp>
        <stp>2019-12-30</stp>
        <stp>1</stp>
        <tr r="G1046" s="1"/>
      </tp>
      <tp>
        <v>0.35414871999999997</v>
        <stp/>
        <stp>EM_S_PQ_PCTCHANGE</stp>
        <stp>4</stp>
        <stp>002755</stp>
        <stp>2018-01-01</stp>
        <stp>2019-12-31</stp>
        <stp>3</stp>
        <tr r="F1289" s="1"/>
      </tp>
      <tp>
        <v>37.037037040000001</v>
        <stp/>
        <stp>EM_S_PQ_PCTCHANGE</stp>
        <stp>4</stp>
        <stp>000547</stp>
        <stp>2018-12-31</stp>
        <stp>2019-12-30</stp>
        <stp>1</stp>
        <tr r="G790" s="1"/>
      </tp>
      <tp>
        <v>-28.703958620000002</v>
        <stp/>
        <stp>EM_S_PQ_PCTCHANGE</stp>
        <stp>4</stp>
        <stp>000756</stp>
        <stp>2018-01-01</stp>
        <stp>2019-12-31</stp>
        <stp>3</stp>
        <tr r="F945" s="1"/>
      </tp>
      <tp>
        <v>10.71199487</v>
        <stp/>
        <stp>EM_S_PQ_PCTCHANGE</stp>
        <stp>4</stp>
        <stp>300577</stp>
        <stp>2018-12-31</stp>
        <stp>2019-12-30</stp>
        <stp>1</stp>
        <tr r="G1691" s="1"/>
      </tp>
      <tp>
        <v>3.5</v>
        <stp/>
        <stp>EM_S_PQ_PCTCHANGE</stp>
        <stp>4</stp>
        <stp>600527</stp>
        <stp>2018-12-31</stp>
        <stp>2019-12-30</stp>
        <stp>1</stp>
        <tr r="G2084" s="1"/>
      </tp>
      <tp>
        <v>0.70455782</v>
        <stp/>
        <stp>EM_S_PQ_PCTCHANGE</stp>
        <stp>4</stp>
        <stp>600736</stp>
        <stp>2018-01-01</stp>
        <stp>2019-12-31</stp>
        <stp>3</stp>
        <tr r="F1764" s="1"/>
      </tp>
      <tp>
        <v>14.271938280000001</v>
        <stp/>
        <stp>EM_S_PQ_PCTCHANGE</stp>
        <stp>4</stp>
        <stp>603527</stp>
        <stp>2018-12-31</stp>
        <stp>2019-12-30</stp>
        <stp>1</stp>
        <tr r="G1518" s="1"/>
      </tp>
      <tp>
        <v>52.74102079</v>
        <stp/>
        <stp>EM_S_PQ_PCTCHANGE</stp>
        <stp>4</stp>
        <stp>002547</stp>
        <stp>2018-12-31</stp>
        <stp>2019-12-30</stp>
        <stp>1</stp>
        <tr r="G524" s="1"/>
      </tp>
      <tp>
        <v>-25.625187149999999</v>
        <stp/>
        <stp>EM_S_PQ_PCTCHANGE</stp>
        <stp>4</stp>
        <stp>002756</stp>
        <stp>2018-01-01</stp>
        <stp>2019-12-31</stp>
        <stp>3</stp>
        <tr r="F470" s="1"/>
      </tp>
      <tp>
        <v>17.66743649</v>
        <stp/>
        <stp>EM_S_PQ_PCTCHANGE</stp>
        <stp>4</stp>
        <stp>000546</stp>
        <stp>2018-12-31</stp>
        <stp>2019-12-30</stp>
        <stp>1</stp>
        <tr r="G1381" s="1"/>
      </tp>
      <tp>
        <v>-34.423897580000002</v>
        <stp/>
        <stp>EM_S_PQ_PCTCHANGE</stp>
        <stp>4</stp>
        <stp>000757</stp>
        <stp>2018-01-01</stp>
        <stp>2019-12-31</stp>
        <stp>3</stp>
        <tr r="F2835" s="1"/>
      </tp>
      <tp>
        <v>103.37401292</v>
        <stp/>
        <stp>EM_S_PQ_PCTCHANGE</stp>
        <stp>4</stp>
        <stp>300576</stp>
        <stp>2018-12-31</stp>
        <stp>2019-12-30</stp>
        <stp>1</stp>
        <tr r="G161" s="1"/>
      </tp>
      <tp>
        <v>13.80090498</v>
        <stp/>
        <stp>EM_S_PQ_PCTCHANGE</stp>
        <stp>4</stp>
        <stp>600526</stp>
        <stp>2018-12-31</stp>
        <stp>2019-12-30</stp>
        <stp>1</stp>
        <tr r="G1544" s="1"/>
      </tp>
      <tp>
        <v>8.9034800500000006</v>
        <stp/>
        <stp>EM_S_PQ_PCTCHANGE</stp>
        <stp>4</stp>
        <stp>600737</stp>
        <stp>2018-01-01</stp>
        <stp>2019-12-31</stp>
        <stp>3</stp>
        <tr r="F1484" s="1"/>
      </tp>
      <tp>
        <v>110.66412692</v>
        <stp/>
        <stp>EM_S_PQ_PCTCHANGE</stp>
        <stp>4</stp>
        <stp>603737</stp>
        <stp>2018-01-01</stp>
        <stp>2019-12-31</stp>
        <stp>3</stp>
        <tr r="F124" s="1"/>
      </tp>
      <tp>
        <v>9.5490716199999994</v>
        <stp/>
        <stp>EM_S_PQ_PCTCHANGE</stp>
        <stp>4</stp>
        <stp>002546</stp>
        <stp>2018-12-31</stp>
        <stp>2019-12-30</stp>
        <stp>1</stp>
        <tr r="G1763" s="1"/>
      </tp>
      <tp>
        <v>-25.788262809999999</v>
        <stp/>
        <stp>EM_S_PQ_PCTCHANGE</stp>
        <stp>4</stp>
        <stp>002757</stp>
        <stp>2018-01-01</stp>
        <stp>2019-12-31</stp>
        <stp>3</stp>
        <tr r="F3322" s="1"/>
      </tp>
      <tp>
        <v>5.46875</v>
        <stp/>
        <stp>EM_S_PQ_PCTCHANGE</stp>
        <stp>4</stp>
        <stp>000559</stp>
        <stp>2018-12-31</stp>
        <stp>2019-12-30</stp>
        <stp>1</stp>
        <tr r="G1985" s="1"/>
      </tp>
      <tp>
        <v>0</v>
        <stp/>
        <stp>EM_S_PQ_PCTCHANGE</stp>
        <stp>4</stp>
        <stp>000748</stp>
        <stp>2018-01-01</stp>
        <stp>2019-12-31</stp>
        <stp>3</stp>
        <tr r="F3525" s="1"/>
      </tp>
      <tp>
        <v>14.39688716</v>
        <stp/>
        <stp>EM_S_PQ_PCTCHANGE</stp>
        <stp>4</stp>
        <stp>300569</stp>
        <stp>2018-12-31</stp>
        <stp>2019-12-30</stp>
        <stp>1</stp>
        <tr r="G1506" s="1"/>
      </tp>
      <tp>
        <v>6.4263322900000004</v>
        <stp/>
        <stp>EM_S_PQ_PCTCHANGE</stp>
        <stp>4</stp>
        <stp>600539</stp>
        <stp>2018-12-31</stp>
        <stp>2019-12-30</stp>
        <stp>1</stp>
        <tr r="G1929" s="1"/>
      </tp>
      <tp>
        <v>14.736745060000001</v>
        <stp/>
        <stp>EM_S_PQ_PCTCHANGE</stp>
        <stp>4</stp>
        <stp>600728</stp>
        <stp>2018-01-01</stp>
        <stp>2019-12-31</stp>
        <stp>3</stp>
        <tr r="F794" s="1"/>
      </tp>
      <tp>
        <v>-39.04693709</v>
        <stp/>
        <stp>EM_S_PQ_PCTCHANGE</stp>
        <stp>4</stp>
        <stp>603728</stp>
        <stp>2018-01-01</stp>
        <stp>2019-12-31</stp>
        <stp>3</stp>
        <tr r="F2855" s="1"/>
      </tp>
      <tp>
        <v>-15.220700150000001</v>
        <stp/>
        <stp>EM_S_PQ_PCTCHANGE</stp>
        <stp>4</stp>
        <stp>002559</stp>
        <stp>2018-12-31</stp>
        <stp>2019-12-30</stp>
        <stp>1</stp>
        <tr r="G2941" s="1"/>
      </tp>
      <tp>
        <v>-49.312377329999997</v>
        <stp/>
        <stp>EM_S_PQ_PCTCHANGE</stp>
        <stp>4</stp>
        <stp>002748</stp>
        <stp>2018-01-01</stp>
        <stp>2019-12-31</stp>
        <stp>3</stp>
        <tr r="F2044" s="1"/>
      </tp>
      <tp>
        <v>36.4578639</v>
        <stp/>
        <stp>EM_S_PQ_PCTCHANGE</stp>
        <stp>4</stp>
        <stp>300568</stp>
        <stp>2018-12-31</stp>
        <stp>2019-12-30</stp>
        <stp>1</stp>
        <tr r="G800" s="1"/>
      </tp>
      <tp>
        <v>17.674418599999999</v>
        <stp/>
        <stp>EM_S_PQ_PCTCHANGE</stp>
        <stp>4</stp>
        <stp>600538</stp>
        <stp>2018-12-31</stp>
        <stp>2019-12-30</stp>
        <stp>1</stp>
        <tr r="G1379" s="1"/>
      </tp>
      <tp>
        <v>23.73209108</v>
        <stp/>
        <stp>EM_S_PQ_PCTCHANGE</stp>
        <stp>4</stp>
        <stp>600729</stp>
        <stp>2018-01-01</stp>
        <stp>2019-12-31</stp>
        <stp>3</stp>
        <tr r="F2021" s="1"/>
      </tp>
      <tp>
        <v>23.311325549999999</v>
        <stp/>
        <stp>EM_S_PQ_PCTCHANGE</stp>
        <stp>4</stp>
        <stp>603538</stp>
        <stp>2018-12-31</stp>
        <stp>2019-12-30</stp>
        <stp>1</stp>
        <tr r="G1150" s="1"/>
      </tp>
      <tp>
        <v>-64.094020279999995</v>
        <stp/>
        <stp>EM_S_PQ_PCTCHANGE</stp>
        <stp>4</stp>
        <stp>603729</stp>
        <stp>2018-01-01</stp>
        <stp>2019-12-31</stp>
        <stp>3</stp>
        <tr r="F2042" s="1"/>
      </tp>
      <tp>
        <v>-7.7955601400000001</v>
        <stp/>
        <stp>EM_S_PQ_PCTCHANGE</stp>
        <stp>4</stp>
        <stp>002558</stp>
        <stp>2018-12-31</stp>
        <stp>2019-12-30</stp>
        <stp>1</stp>
        <tr r="G2676" s="1"/>
      </tp>
      <tp>
        <v>-2.0737205699999999</v>
        <stp/>
        <stp>EM_S_PQ_PCTCHANGE</stp>
        <stp>4</stp>
        <stp>002749</stp>
        <stp>2018-01-01</stp>
        <stp>2019-12-31</stp>
        <stp>3</stp>
        <tr r="F3174" s="1"/>
      </tp>
      <tp>
        <v>14.457831329999999</v>
        <stp/>
        <stp>EM_S_PQ_PCTCHANGE</stp>
        <stp>4</stp>
        <stp>000551</stp>
        <stp>2018-12-31</stp>
        <stp>2019-12-30</stp>
        <stp>1</stp>
        <tr r="G1505" s="1"/>
      </tp>
      <tp>
        <v>18.683001529999999</v>
        <stp/>
        <stp>EM_S_PQ_PCTCHANGE</stp>
        <stp>4</stp>
        <stp>300561</stp>
        <stp>2018-12-31</stp>
        <stp>2019-12-30</stp>
        <stp>1</stp>
        <tr r="G1339" s="1"/>
      </tp>
      <tp>
        <v>33.524355300000003</v>
        <stp/>
        <stp>EM_S_PQ_PCTCHANGE</stp>
        <stp>4</stp>
        <stp>600531</stp>
        <stp>2018-12-31</stp>
        <stp>2019-12-30</stp>
        <stp>1</stp>
        <tr r="G855" s="1"/>
      </tp>
      <tp>
        <v>29.981436410000001</v>
        <stp/>
        <stp>EM_S_PQ_PCTCHANGE</stp>
        <stp>4</stp>
        <stp>600720</stp>
        <stp>2018-01-01</stp>
        <stp>2019-12-31</stp>
        <stp>3</stp>
        <tr r="F201" s="1"/>
      </tp>
      <tp>
        <v>-1.30434783</v>
        <stp/>
        <stp>EM_S_PQ_PCTCHANGE</stp>
        <stp>4</stp>
        <stp>002551</stp>
        <stp>2018-12-31</stp>
        <stp>2019-12-30</stp>
        <stp>1</stp>
        <tr r="G2390" s="1"/>
      </tp>
      <tp>
        <v>-31.090616369999999</v>
        <stp/>
        <stp>EM_S_PQ_PCTCHANGE</stp>
        <stp>4</stp>
        <stp>002740</stp>
        <stp>2018-01-01</stp>
        <stp>2019-12-31</stp>
        <stp>3</stp>
        <tr r="F1265" s="1"/>
      </tp>
      <tp>
        <v>-23.061825320000001</v>
        <stp/>
        <stp>EM_S_PQ_PCTCHANGE</stp>
        <stp>4</stp>
        <stp>300560</stp>
        <stp>2018-12-31</stp>
        <stp>2019-12-30</stp>
        <stp>1</stp>
        <tr r="G3115" s="1"/>
      </tp>
      <tp>
        <v>9.5022624400000009</v>
        <stp/>
        <stp>EM_S_PQ_PCTCHANGE</stp>
        <stp>4</stp>
        <stp>600530</stp>
        <stp>2018-12-31</stp>
        <stp>2019-12-30</stp>
        <stp>1</stp>
        <tr r="G1765" s="1"/>
      </tp>
      <tp>
        <v>-38.52065322</v>
        <stp/>
        <stp>EM_S_PQ_PCTCHANGE</stp>
        <stp>4</stp>
        <stp>600721</stp>
        <stp>2018-01-01</stp>
        <stp>2019-12-31</stp>
        <stp>3</stp>
        <tr r="F1284" s="1"/>
      </tp>
      <tp>
        <v>25.110028360000001</v>
        <stp/>
        <stp>EM_S_PQ_PCTCHANGE</stp>
        <stp>4</stp>
        <stp>603721</stp>
        <stp>2018-01-01</stp>
        <stp>2019-12-31</stp>
        <stp>3</stp>
        <tr r="F277" s="1"/>
      </tp>
      <tp>
        <v>18.684210530000001</v>
        <stp/>
        <stp>EM_S_PQ_PCTCHANGE</stp>
        <stp>4</stp>
        <stp>002550</stp>
        <stp>2018-12-31</stp>
        <stp>2019-12-30</stp>
        <stp>1</stp>
        <tr r="G1338" s="1"/>
      </tp>
      <tp>
        <v>-16.92859588</v>
        <stp/>
        <stp>EM_S_PQ_PCTCHANGE</stp>
        <stp>4</stp>
        <stp>002741</stp>
        <stp>2018-01-01</stp>
        <stp>2019-12-31</stp>
        <stp>3</stp>
        <tr r="F3107" s="1"/>
      </tp>
      <tp>
        <v>6.79079956</v>
        <stp/>
        <stp>EM_S_PQ_PCTCHANGE</stp>
        <stp>4</stp>
        <stp>000553</stp>
        <stp>2018-12-31</stp>
        <stp>2019-12-30</stp>
        <stp>1</stp>
        <tr r="G1907" s="1"/>
      </tp>
      <tp>
        <v>13.99511798</v>
        <stp/>
        <stp>EM_S_PQ_PCTCHANGE</stp>
        <stp>4</stp>
        <stp>300563</stp>
        <stp>2018-12-31</stp>
        <stp>2019-12-30</stp>
        <stp>1</stp>
        <tr r="G1534" s="1"/>
      </tp>
      <tp>
        <v>13.945578230000001</v>
        <stp/>
        <stp>EM_S_PQ_PCTCHANGE</stp>
        <stp>4</stp>
        <stp>600533</stp>
        <stp>2018-12-31</stp>
        <stp>2019-12-30</stp>
        <stp>1</stp>
        <tr r="G1535" s="1"/>
      </tp>
      <tp>
        <v>-34.257975029999997</v>
        <stp/>
        <stp>EM_S_PQ_PCTCHANGE</stp>
        <stp>4</stp>
        <stp>600722</stp>
        <stp>2018-01-01</stp>
        <stp>2019-12-31</stp>
        <stp>3</stp>
        <tr r="F2048" s="1"/>
      </tp>
      <tp>
        <v>-5.0056243</v>
        <stp/>
        <stp>EM_S_PQ_PCTCHANGE</stp>
        <stp>4</stp>
        <stp>603533</stp>
        <stp>2018-12-31</stp>
        <stp>2019-12-30</stp>
        <stp>1</stp>
        <tr r="G2569" s="1"/>
      </tp>
      <tp>
        <v>-19.304984749999999</v>
        <stp/>
        <stp>EM_S_PQ_PCTCHANGE</stp>
        <stp>4</stp>
        <stp>603722</stp>
        <stp>2018-01-01</stp>
        <stp>2019-12-31</stp>
        <stp>3</stp>
        <tr r="F673" s="1"/>
      </tp>
      <tp>
        <v>4.06189555</v>
        <stp/>
        <stp>EM_S_PQ_PCTCHANGE</stp>
        <stp>4</stp>
        <stp>002553</stp>
        <stp>2018-12-31</stp>
        <stp>2019-12-30</stp>
        <stp>1</stp>
        <tr r="G2055" s="1"/>
      </tp>
      <tp>
        <v>-71.445061100000004</v>
        <stp/>
        <stp>EM_S_PQ_PCTCHANGE</stp>
        <stp>4</stp>
        <stp>002742</stp>
        <stp>2018-01-01</stp>
        <stp>2019-12-31</stp>
        <stp>3</stp>
        <tr r="F3194" s="1"/>
      </tp>
      <tp>
        <v>-0.390625</v>
        <stp/>
        <stp>EM_S_PQ_PCTCHANGE</stp>
        <stp>4</stp>
        <stp>000552</stp>
        <stp>2018-12-31</stp>
        <stp>2019-12-30</stp>
        <stp>1</stp>
        <tr r="G2352" s="1"/>
      </tp>
      <tp>
        <v>50.862944159999998</v>
        <stp/>
        <stp>EM_S_PQ_PCTCHANGE</stp>
        <stp>4</stp>
        <stp>300562</stp>
        <stp>2018-12-31</stp>
        <stp>2019-12-30</stp>
        <stp>1</stp>
        <tr r="G550" s="1"/>
      </tp>
      <tp>
        <v>-2.0304568500000002</v>
        <stp/>
        <stp>EM_S_PQ_PCTCHANGE</stp>
        <stp>4</stp>
        <stp>600532</stp>
        <stp>2018-12-31</stp>
        <stp>2019-12-30</stp>
        <stp>1</stp>
        <tr r="G2419" s="1"/>
      </tp>
      <tp>
        <v>-21.482779820000001</v>
        <stp/>
        <stp>EM_S_PQ_PCTCHANGE</stp>
        <stp>4</stp>
        <stp>600723</stp>
        <stp>2018-01-01</stp>
        <stp>2019-12-31</stp>
        <stp>3</stp>
        <tr r="F2405" s="1"/>
      </tp>
      <tp>
        <v>-37.697362740000003</v>
        <stp/>
        <stp>EM_S_PQ_PCTCHANGE</stp>
        <stp>4</stp>
        <stp>002743</stp>
        <stp>2018-01-01</stp>
        <stp>2019-12-31</stp>
        <stp>3</stp>
        <tr r="F1568" s="1"/>
      </tp>
      <tp>
        <v>52.997858669999999</v>
        <stp/>
        <stp>EM_S_PQ_PCTCHANGE</stp>
        <stp>4</stp>
        <stp>000555</stp>
        <stp>2018-12-31</stp>
        <stp>2019-12-30</stp>
        <stp>1</stp>
        <tr r="G519" s="1"/>
      </tp>
      <tp>
        <v>-24.348422500000002</v>
        <stp/>
        <stp>EM_S_PQ_PCTCHANGE</stp>
        <stp>4</stp>
        <stp>300565</stp>
        <stp>2018-12-31</stp>
        <stp>2019-12-30</stp>
        <stp>1</stp>
        <tr r="G3141" s="1"/>
      </tp>
      <tp>
        <v>-20.989583329999999</v>
        <stp/>
        <stp>EM_S_PQ_PCTCHANGE</stp>
        <stp>4</stp>
        <stp>600535</stp>
        <stp>2018-12-31</stp>
        <stp>2019-12-30</stp>
        <stp>1</stp>
        <tr r="G3081" s="1"/>
      </tp>
      <tp>
        <v>0.52631558000000001</v>
        <stp/>
        <stp>EM_S_PQ_PCTCHANGE</stp>
        <stp>4</stp>
        <stp>600724</stp>
        <stp>2018-01-01</stp>
        <stp>2019-12-31</stp>
        <stp>3</stp>
        <tr r="F1617" s="1"/>
      </tp>
      <tp>
        <v>-2.0618556699999999</v>
        <stp/>
        <stp>EM_S_PQ_PCTCHANGE</stp>
        <stp>4</stp>
        <stp>603535</stp>
        <stp>2018-12-31</stp>
        <stp>2019-12-30</stp>
        <stp>1</stp>
        <tr r="G2420" s="1"/>
      </tp>
      <tp>
        <v>-4.8828125</v>
        <stp/>
        <stp>EM_S_PQ_PCTCHANGE</stp>
        <stp>4</stp>
        <stp>000554</stp>
        <stp>2018-12-31</stp>
        <stp>2019-12-30</stp>
        <stp>1</stp>
        <tr r="G2564" s="1"/>
      </tp>
      <tp>
        <v>-15.80645161</v>
        <stp/>
        <stp>EM_S_PQ_PCTCHANGE</stp>
        <stp>4</stp>
        <stp>600725</stp>
        <stp>2018-01-01</stp>
        <stp>2019-12-31</stp>
        <stp>3</stp>
        <tr r="F1728" s="1"/>
      </tp>
      <tp>
        <v>-46.358702569999998</v>
        <stp/>
        <stp>EM_S_PQ_PCTCHANGE</stp>
        <stp>4</stp>
        <stp>603725</stp>
        <stp>2018-01-01</stp>
        <stp>2019-12-31</stp>
        <stp>3</stp>
        <tr r="F3230" s="1"/>
      </tp>
      <tp>
        <v>11.43911439</v>
        <stp/>
        <stp>EM_S_PQ_PCTCHANGE</stp>
        <stp>4</stp>
        <stp>002554</stp>
        <stp>2018-12-31</stp>
        <stp>2019-12-30</stp>
        <stp>1</stp>
        <tr r="G1656" s="1"/>
      </tp>
      <tp>
        <v>-38.848244010000002</v>
        <stp/>
        <stp>EM_S_PQ_PCTCHANGE</stp>
        <stp>4</stp>
        <stp>002745</stp>
        <stp>2018-01-01</stp>
        <stp>2019-12-31</stp>
        <stp>3</stp>
        <tr r="F1165" s="1"/>
      </tp>
      <tp>
        <v>0</v>
        <stp/>
        <stp>EM_S_PQ_PCTCHANGE</stp>
        <stp>4</stp>
        <stp>000557</stp>
        <stp>2018-12-31</stp>
        <stp>2019-12-30</stp>
        <stp>1</stp>
        <tr r="G2277" s="1"/>
      </tp>
      <tp>
        <v>10.301109350000001</v>
        <stp/>
        <stp>EM_S_PQ_PCTCHANGE</stp>
        <stp>4</stp>
        <stp>300567</stp>
        <stp>2018-12-31</stp>
        <stp>2019-12-30</stp>
        <stp>1</stp>
        <tr r="G1721" s="1"/>
      </tp>
      <tp>
        <v>9.8939929299999996</v>
        <stp/>
        <stp>EM_S_PQ_PCTCHANGE</stp>
        <stp>4</stp>
        <stp>600537</stp>
        <stp>2018-12-31</stp>
        <stp>2019-12-30</stp>
        <stp>1</stp>
        <tr r="G1744" s="1"/>
      </tp>
      <tp>
        <v>-44.16403785</v>
        <stp/>
        <stp>EM_S_PQ_PCTCHANGE</stp>
        <stp>4</stp>
        <stp>600726</stp>
        <stp>2018-01-01</stp>
        <stp>2019-12-31</stp>
        <stp>3</stp>
        <tr r="F3137" s="1"/>
      </tp>
      <tp>
        <v>-21.089306390000001</v>
        <stp/>
        <stp>EM_S_PQ_PCTCHANGE</stp>
        <stp>4</stp>
        <stp>603726</stp>
        <stp>2018-01-01</stp>
        <stp>2019-12-31</stp>
        <stp>3</stp>
        <tr r="F3291" s="1"/>
      </tp>
      <tp>
        <v>75.052521010000007</v>
        <stp/>
        <stp>EM_S_PQ_PCTCHANGE</stp>
        <stp>4</stp>
        <stp>002557</stp>
        <stp>2018-12-31</stp>
        <stp>2019-12-30</stp>
        <stp>1</stp>
        <tr r="G276" s="1"/>
      </tp>
      <tp>
        <v>74.965445459999998</v>
        <stp/>
        <stp>EM_S_PQ_PCTCHANGE</stp>
        <stp>4</stp>
        <stp>002746</stp>
        <stp>2018-01-01</stp>
        <stp>2019-12-31</stp>
        <stp>3</stp>
        <tr r="F1580" s="1"/>
      </tp>
      <tp>
        <v>-23.287001109999999</v>
        <stp/>
        <stp>EM_S_PQ_PCTCHANGE</stp>
        <stp>4</stp>
        <stp>601727</stp>
        <stp>2018-01-01</stp>
        <stp>2019-12-31</stp>
        <stp>3</stp>
        <tr r="F2339" s="1"/>
      </tp>
      <tp>
        <v>86.363636360000001</v>
        <stp/>
        <stp>EM_S_PQ_PCTCHANGE</stp>
        <stp>4</stp>
        <stp>300566</stp>
        <stp>2018-12-31</stp>
        <stp>2019-12-30</stp>
        <stp>1</stp>
        <tr r="G215" s="1"/>
      </tp>
      <tp>
        <v>241.9971333</v>
        <stp/>
        <stp>EM_S_PQ_PCTCHANGE</stp>
        <stp>4</stp>
        <stp>600536</stp>
        <stp>2018-12-31</stp>
        <stp>2019-12-30</stp>
        <stp>1</stp>
        <tr r="G32" s="1"/>
      </tp>
      <tp>
        <v>-5.2139037400000001</v>
        <stp/>
        <stp>EM_S_PQ_PCTCHANGE</stp>
        <stp>4</stp>
        <stp>600727</stp>
        <stp>2018-01-01</stp>
        <stp>2019-12-31</stp>
        <stp>3</stp>
        <tr r="F964" s="1"/>
      </tp>
      <tp>
        <v>172.24242423999999</v>
        <stp/>
        <stp>EM_S_PQ_PCTCHANGE</stp>
        <stp>4</stp>
        <stp>603536</stp>
        <stp>2018-12-31</stp>
        <stp>2019-12-30</stp>
        <stp>1</stp>
        <tr r="G60" s="1"/>
      </tp>
      <tp>
        <v>-15.98114515</v>
        <stp/>
        <stp>EM_S_PQ_PCTCHANGE</stp>
        <stp>4</stp>
        <stp>603727</stp>
        <stp>2018-01-01</stp>
        <stp>2019-12-31</stp>
        <stp>3</stp>
        <tr r="F592" s="1"/>
      </tp>
      <tp>
        <v>8.2191780800000007</v>
        <stp/>
        <stp>EM_S_PQ_PCTCHANGE</stp>
        <stp>4</stp>
        <stp>002556</stp>
        <stp>2018-12-31</stp>
        <stp>2019-12-30</stp>
        <stp>1</stp>
        <tr r="G1846" s="1"/>
      </tp>
      <tp>
        <v>2.5313535900000002</v>
        <stp/>
        <stp>EM_S_PQ_PCTCHANGE</stp>
        <stp>4</stp>
        <stp>002747</stp>
        <stp>2018-01-01</stp>
        <stp>2019-12-31</stp>
        <stp>3</stp>
        <tr r="F862" s="1"/>
      </tp>
      <tp>
        <v>-49.415351260000001</v>
        <stp/>
        <stp>EM_S_PQ_PCTCHANGE</stp>
        <stp>4</stp>
        <stp>601718</stp>
        <stp>2018-01-01</stp>
        <stp>2019-12-31</stp>
        <stp>3</stp>
        <tr r="F2524" s="1"/>
      </tp>
      <tp>
        <v>-13.1990801</v>
        <stp/>
        <stp>EM_S_PQ_PCTCHANGE</stp>
        <stp>4</stp>
        <stp>000778</stp>
        <stp>2018-01-01</stp>
        <stp>2019-12-31</stp>
        <stp>3</stp>
        <tr r="F3535" s="1"/>
      </tp>
      <tp>
        <v>-15.2394775</v>
        <stp/>
        <stp>EM_S_PQ_PCTCHANGE</stp>
        <stp>4</stp>
        <stp>300559</stp>
        <stp>2018-12-31</stp>
        <stp>2019-12-30</stp>
        <stp>1</stp>
        <tr r="G2942" s="1"/>
      </tp>
      <tp>
        <v>1.1204481799999999</v>
        <stp/>
        <stp>EM_S_PQ_PCTCHANGE</stp>
        <stp>4</stp>
        <stp>600509</stp>
        <stp>2018-12-31</stp>
        <stp>2019-12-30</stp>
        <stp>1</stp>
        <tr r="G2207" s="1"/>
      </tp>
      <tp>
        <v>-22.031939319999999</v>
        <stp/>
        <stp>EM_S_PQ_PCTCHANGE</stp>
        <stp>4</stp>
        <stp>600718</stp>
        <stp>2018-01-01</stp>
        <stp>2019-12-31</stp>
        <stp>3</stp>
        <tr r="F2488" s="1"/>
      </tp>
      <tp>
        <v>16.4613476</v>
        <stp/>
        <stp>EM_S_PQ_PCTCHANGE</stp>
        <stp>4</stp>
        <stp>603718</stp>
        <stp>2018-01-01</stp>
        <stp>2019-12-31</stp>
        <stp>3</stp>
        <tr r="F2359" s="1"/>
      </tp>
      <tp>
        <v>4.0837696299999999</v>
        <stp/>
        <stp>EM_S_PQ_PCTCHANGE</stp>
        <stp>4</stp>
        <stp>002569</stp>
        <stp>2018-12-31</stp>
        <stp>2019-12-30</stp>
        <stp>1</stp>
        <tr r="G2052" s="1"/>
      </tp>
      <tp>
        <v>-9.9420221299999998</v>
        <stp/>
        <stp>EM_S_PQ_PCTCHANGE</stp>
        <stp>4</stp>
        <stp>002778</stp>
        <stp>2018-01-01</stp>
        <stp>2019-12-31</stp>
        <stp>3</stp>
        <tr r="F1331" s="1"/>
      </tp>
      <tp>
        <v>-26.594982080000001</v>
        <stp/>
        <stp>EM_S_PQ_PCTCHANGE</stp>
        <stp>4</stp>
        <stp>000779</stp>
        <stp>2018-01-01</stp>
        <stp>2019-12-31</stp>
        <stp>3</stp>
        <tr r="F1367" s="1"/>
      </tp>
      <tp>
        <v>104.72317798</v>
        <stp/>
        <stp>EM_S_PQ_PCTCHANGE</stp>
        <stp>4</stp>
        <stp>300558</stp>
        <stp>2018-12-31</stp>
        <stp>2019-12-30</stp>
        <stp>1</stp>
        <tr r="G157" s="1"/>
      </tp>
      <tp>
        <v>-2.3834196900000002</v>
        <stp/>
        <stp>EM_S_PQ_PCTCHANGE</stp>
        <stp>4</stp>
        <stp>600508</stp>
        <stp>2018-12-31</stp>
        <stp>2019-12-30</stp>
        <stp>1</stp>
        <tr r="G2440" s="1"/>
      </tp>
      <tp>
        <v>-25.96153846</v>
        <stp/>
        <stp>EM_S_PQ_PCTCHANGE</stp>
        <stp>4</stp>
        <stp>600719</stp>
        <stp>2018-01-01</stp>
        <stp>2019-12-31</stp>
        <stp>3</stp>
        <tr r="F1059" s="1"/>
      </tp>
      <tp>
        <v>48.731474499999997</v>
        <stp/>
        <stp>EM_S_PQ_PCTCHANGE</stp>
        <stp>4</stp>
        <stp>603508</stp>
        <stp>2018-12-31</stp>
        <stp>2019-12-30</stp>
        <stp>1</stp>
        <tr r="G586" s="1"/>
      </tp>
      <tp>
        <v>-22.545253649999999</v>
        <stp/>
        <stp>EM_S_PQ_PCTCHANGE</stp>
        <stp>4</stp>
        <stp>002779</stp>
        <stp>2018-01-01</stp>
        <stp>2019-12-31</stp>
        <stp>3</stp>
        <tr r="F2173" s="1"/>
      </tp>
      <tp>
        <v>30.124777179999999</v>
        <stp/>
        <stp>EM_S_PQ_PCTCHANGE</stp>
        <stp>4</stp>
        <stp>000561</stp>
        <stp>2018-12-31</stp>
        <stp>2019-12-30</stp>
        <stp>1</stp>
        <tr r="G926" s="1"/>
      </tp>
      <tp>
        <v>126.24113475</v>
        <stp/>
        <stp>EM_S_PQ_PCTCHANGE</stp>
        <stp>4</stp>
        <stp>300551</stp>
        <stp>2018-12-31</stp>
        <stp>2019-12-30</stp>
        <stp>1</stp>
        <tr r="G113" s="1"/>
      </tp>
      <tp>
        <v>14.862637210000001</v>
        <stp/>
        <stp>EM_S_PQ_PCTCHANGE</stp>
        <stp>4</stp>
        <stp>300740</stp>
        <stp>2018-01-01</stp>
        <stp>2019-12-31</stp>
        <stp>3</stp>
        <tr r="F3353" s="1"/>
      </tp>
      <tp>
        <v>28.50082372</v>
        <stp/>
        <stp>EM_S_PQ_PCTCHANGE</stp>
        <stp>4</stp>
        <stp>600501</stp>
        <stp>2018-12-31</stp>
        <stp>2019-12-30</stp>
        <stp>1</stp>
        <tr r="G972" s="1"/>
      </tp>
      <tp>
        <v>-15.620961810000001</v>
        <stp/>
        <stp>EM_S_PQ_PCTCHANGE</stp>
        <stp>4</stp>
        <stp>600710</stp>
        <stp>2018-01-01</stp>
        <stp>2019-12-31</stp>
        <stp>3</stp>
        <tr r="F584" s="1"/>
      </tp>
      <tp>
        <v>389.96257229999998</v>
        <stp/>
        <stp>EM_S_PQ_PCTCHANGE</stp>
        <stp>4</stp>
        <stp>603501</stp>
        <stp>2018-12-31</stp>
        <stp>2019-12-30</stp>
        <stp>1</stp>
        <tr r="G18" s="1"/>
      </tp>
      <tp>
        <v>5.84415584</v>
        <stp/>
        <stp>EM_S_PQ_PCTCHANGE</stp>
        <stp>4</stp>
        <stp>002561</stp>
        <stp>2018-12-31</stp>
        <stp>2019-12-30</stp>
        <stp>1</stp>
        <tr r="G1959" s="1"/>
      </tp>
      <tp>
        <v>-47.945108689999998</v>
        <stp/>
        <stp>EM_S_PQ_PCTCHANGE</stp>
        <stp>4</stp>
        <stp>002770</stp>
        <stp>2018-01-01</stp>
        <stp>2019-12-31</stp>
        <stp>3</stp>
        <tr r="F2889" s="1"/>
      </tp>
      <tp>
        <v>-2.2761760199999999</v>
        <stp/>
        <stp>EM_S_PQ_PCTCHANGE</stp>
        <stp>4</stp>
        <stp>601500</stp>
        <stp>2018-12-31</stp>
        <stp>2019-12-30</stp>
        <stp>1</stp>
        <tr r="G2436" s="1"/>
      </tp>
      <tp>
        <v>-8.1370449699999998</v>
        <stp/>
        <stp>EM_S_PQ_PCTCHANGE</stp>
        <stp>4</stp>
        <stp>000560</stp>
        <stp>2018-12-31</stp>
        <stp>2019-12-30</stp>
        <stp>1</stp>
        <tr r="G2688" s="1"/>
      </tp>
      <tp>
        <v>-46.270084160000003</v>
        <stp/>
        <stp>EM_S_PQ_PCTCHANGE</stp>
        <stp>4</stp>
        <stp>300550</stp>
        <stp>2018-12-31</stp>
        <stp>2019-12-30</stp>
        <stp>1</stp>
        <tr r="G3349" s="1"/>
      </tp>
      <tp>
        <v>-12.071137970000001</v>
        <stp/>
        <stp>EM_S_PQ_PCTCHANGE</stp>
        <stp>4</stp>
        <stp>300741</stp>
        <stp>2018-01-01</stp>
        <stp>2019-12-31</stp>
        <stp>3</stp>
        <tr r="F2360" s="1"/>
      </tp>
      <tp>
        <v>-22.514619880000001</v>
        <stp/>
        <stp>EM_S_PQ_PCTCHANGE</stp>
        <stp>4</stp>
        <stp>600500</stp>
        <stp>2018-12-31</stp>
        <stp>2019-12-30</stp>
        <stp>1</stp>
        <tr r="G3109" s="1"/>
      </tp>
      <tp>
        <v>-36.903876850000003</v>
        <stp/>
        <stp>EM_S_PQ_PCTCHANGE</stp>
        <stp>4</stp>
        <stp>600711</stp>
        <stp>2018-01-01</stp>
        <stp>2019-12-31</stp>
        <stp>3</stp>
        <tr r="F1456" s="1"/>
      </tp>
      <tp>
        <v>18.60019175</v>
        <stp/>
        <stp>EM_S_PQ_PCTCHANGE</stp>
        <stp>4</stp>
        <stp>603500</stp>
        <stp>2018-12-31</stp>
        <stp>2019-12-30</stp>
        <stp>1</stp>
        <tr r="G1345" s="1"/>
      </tp>
      <tp>
        <v>-2.3951411</v>
        <stp/>
        <stp>EM_S_PQ_PCTCHANGE</stp>
        <stp>4</stp>
        <stp>603711</stp>
        <stp>2018-01-01</stp>
        <stp>2019-12-31</stp>
        <stp>3</stp>
        <tr r="F1298" s="1"/>
      </tp>
      <tp>
        <v>6.51769088</v>
        <stp/>
        <stp>EM_S_PQ_PCTCHANGE</stp>
        <stp>4</stp>
        <stp>002560</stp>
        <stp>2018-12-31</stp>
        <stp>2019-12-30</stp>
        <stp>1</stp>
        <tr r="G1921" s="1"/>
      </tp>
      <tp>
        <v>-21.05900329</v>
        <stp/>
        <stp>EM_S_PQ_PCTCHANGE</stp>
        <stp>4</stp>
        <stp>002771</stp>
        <stp>2018-01-01</stp>
        <stp>2019-12-31</stp>
        <stp>3</stp>
        <tr r="F2174" s="1"/>
      </tp>
      <tp>
        <v>12.826020249999999</v>
        <stp/>
        <stp>EM_S_PQ_PCTCHANGE</stp>
        <stp>4</stp>
        <stp>300553</stp>
        <stp>2018-12-31</stp>
        <stp>2019-12-30</stp>
        <stp>1</stp>
        <tr r="G1587" s="1"/>
      </tp>
      <tp>
        <v>-5.2699228800000002</v>
        <stp/>
        <stp>EM_S_PQ_PCTCHANGE</stp>
        <stp>4</stp>
        <stp>300742</stp>
        <stp>2018-01-01</stp>
        <stp>2019-12-31</stp>
        <stp>3</stp>
        <tr r="F3334" s="1"/>
      </tp>
      <tp>
        <v>4.9180327899999998</v>
        <stp/>
        <stp>EM_S_PQ_PCTCHANGE</stp>
        <stp>4</stp>
        <stp>600503</stp>
        <stp>2018-12-31</stp>
        <stp>2019-12-30</stp>
        <stp>1</stp>
        <tr r="G2014" s="1"/>
      </tp>
      <tp>
        <v>23.46938776</v>
        <stp/>
        <stp>EM_S_PQ_PCTCHANGE</stp>
        <stp>4</stp>
        <stp>600712</stp>
        <stp>2018-01-01</stp>
        <stp>2019-12-31</stp>
        <stp>3</stp>
        <tr r="F59" s="1"/>
      </tp>
      <tp>
        <v>433.21210726999999</v>
        <stp/>
        <stp>EM_S_PQ_PCTCHANGE</stp>
        <stp>4</stp>
        <stp>603712</stp>
        <stp>2018-01-01</stp>
        <stp>2019-12-31</stp>
        <stp>3</stp>
        <tr r="F824" s="1"/>
      </tp>
      <tp>
        <v>9.64125561</v>
        <stp/>
        <stp>EM_S_PQ_PCTCHANGE</stp>
        <stp>4</stp>
        <stp>002563</stp>
        <stp>2018-12-31</stp>
        <stp>2019-12-30</stp>
        <stp>1</stp>
        <tr r="G1758" s="1"/>
      </tp>
      <tp>
        <v>-36.142209620000003</v>
        <stp/>
        <stp>EM_S_PQ_PCTCHANGE</stp>
        <stp>4</stp>
        <stp>002772</stp>
        <stp>2018-01-01</stp>
        <stp>2019-12-31</stp>
        <stp>3</stp>
        <tr r="F1906" s="1"/>
      </tp>
      <tp>
        <v>480.27777778000001</v>
        <stp/>
        <stp>EM_S_PQ_PCTCHANGE</stp>
        <stp>4</stp>
        <stp>300552</stp>
        <stp>2018-12-31</stp>
        <stp>2019-12-30</stp>
        <stp>1</stp>
        <tr r="G15" s="1"/>
      </tp>
      <tp>
        <v>109.20392784000001</v>
        <stp/>
        <stp>EM_S_PQ_PCTCHANGE</stp>
        <stp>4</stp>
        <stp>300743</stp>
        <stp>2018-01-01</stp>
        <stp>2019-12-31</stp>
        <stp>3</stp>
        <tr r="F3368" s="1"/>
      </tp>
      <tp>
        <v>13.48314607</v>
        <stp/>
        <stp>EM_S_PQ_PCTCHANGE</stp>
        <stp>4</stp>
        <stp>600502</stp>
        <stp>2018-12-31</stp>
        <stp>2019-12-30</stp>
        <stp>1</stp>
        <tr r="G1556" s="1"/>
      </tp>
      <tp>
        <v>-21.720392060000002</v>
        <stp/>
        <stp>EM_S_PQ_PCTCHANGE</stp>
        <stp>4</stp>
        <stp>600713</stp>
        <stp>2018-01-01</stp>
        <stp>2019-12-31</stp>
        <stp>3</stp>
        <tr r="F1785" s="1"/>
      </tp>
      <tp>
        <v>12.70588235</v>
        <stp/>
        <stp>EM_S_PQ_PCTCHANGE</stp>
        <stp>4</stp>
        <stp>002562</stp>
        <stp>2018-12-31</stp>
        <stp>2019-12-30</stp>
        <stp>1</stp>
        <tr r="G1598" s="1"/>
      </tp>
      <tp>
        <v>-21.216360940000001</v>
        <stp/>
        <stp>EM_S_PQ_PCTCHANGE</stp>
        <stp>4</stp>
        <stp>002773</stp>
        <stp>2018-01-01</stp>
        <stp>2019-12-31</stp>
        <stp>3</stp>
        <tr r="F1974" s="1"/>
      </tp>
      <tp>
        <v>15.92039801</v>
        <stp/>
        <stp>EM_S_PQ_PCTCHANGE</stp>
        <stp>4</stp>
        <stp>300555</stp>
        <stp>2018-12-31</stp>
        <stp>2019-12-30</stp>
        <stp>1</stp>
        <tr r="G1438" s="1"/>
      </tp>
      <tp>
        <v>109.36819172</v>
        <stp/>
        <stp>EM_S_PQ_PCTCHANGE</stp>
        <stp>4</stp>
        <stp>600505</stp>
        <stp>2018-12-31</stp>
        <stp>2019-12-30</stp>
        <stp>1</stp>
        <tr r="G146" s="1"/>
      </tp>
      <tp>
        <v>-35.801104969999997</v>
        <stp/>
        <stp>EM_S_PQ_PCTCHANGE</stp>
        <stp>4</stp>
        <stp>600714</stp>
        <stp>2018-01-01</stp>
        <stp>2019-12-31</stp>
        <stp>3</stp>
        <tr r="F2212" s="1"/>
      </tp>
      <tp>
        <v>68.455284550000002</v>
        <stp/>
        <stp>EM_S_PQ_PCTCHANGE</stp>
        <stp>4</stp>
        <stp>603505</stp>
        <stp>2018-12-31</stp>
        <stp>2019-12-30</stp>
        <stp>1</stp>
        <tr r="G335" s="1"/>
      </tp>
      <tp>
        <v>68.435013260000005</v>
        <stp/>
        <stp>EM_S_PQ_PCTCHANGE</stp>
        <stp>4</stp>
        <stp>002565</stp>
        <stp>2018-12-31</stp>
        <stp>2019-12-30</stp>
        <stp>1</stp>
        <tr r="G336" s="1"/>
      </tp>
      <tp>
        <v>-21.177654530000002</v>
        <stp/>
        <stp>EM_S_PQ_PCTCHANGE</stp>
        <stp>4</stp>
        <stp>002774</stp>
        <stp>2018-01-01</stp>
        <stp>2019-12-31</stp>
        <stp>3</stp>
        <tr r="F2622" s="1"/>
      </tp>
      <tp>
        <v>-12.278820380000001</v>
        <stp/>
        <stp>EM_S_PQ_PCTCHANGE</stp>
        <stp>4</stp>
        <stp>300554</stp>
        <stp>2018-12-31</stp>
        <stp>2019-12-30</stp>
        <stp>1</stp>
        <tr r="G2839" s="1"/>
      </tp>
      <tp>
        <v>96.505745779999998</v>
        <stp/>
        <stp>EM_S_PQ_PCTCHANGE</stp>
        <stp>4</stp>
        <stp>300745</stp>
        <stp>2018-01-01</stp>
        <stp>2019-12-31</stp>
        <stp>3</stp>
        <tr r="F3282" s="1"/>
      </tp>
      <tp>
        <v>-84.004374429999999</v>
        <stp/>
        <stp>EM_S_PQ_PCTCHANGE</stp>
        <stp>4</stp>
        <stp>600715</stp>
        <stp>2018-01-01</stp>
        <stp>2019-12-31</stp>
        <stp>3</stp>
        <tr r="F3118" s="1"/>
      </tp>
      <tp>
        <v>-8.7649402399999996</v>
        <stp/>
        <stp>EM_S_PQ_PCTCHANGE</stp>
        <stp>4</stp>
        <stp>002564</stp>
        <stp>2018-12-31</stp>
        <stp>2019-12-30</stp>
        <stp>1</stp>
        <tr r="G2712" s="1"/>
      </tp>
      <tp>
        <v>-50.423053660000001</v>
        <stp/>
        <stp>EM_S_PQ_PCTCHANGE</stp>
        <stp>4</stp>
        <stp>002775</stp>
        <stp>2018-01-01</stp>
        <stp>2019-12-31</stp>
        <stp>3</stp>
        <tr r="F2512" s="1"/>
      </tp>
      <tp>
        <v>-4.8462652400000001</v>
        <stp/>
        <stp>EM_S_PQ_PCTCHANGE</stp>
        <stp>4</stp>
        <stp>000776</stp>
        <stp>2018-01-01</stp>
        <stp>2019-12-31</stp>
        <stp>3</stp>
        <tr r="F3534" s="1"/>
      </tp>
      <tp>
        <v>27.191011240000002</v>
        <stp/>
        <stp>EM_S_PQ_PCTCHANGE</stp>
        <stp>4</stp>
        <stp>300557</stp>
        <stp>2018-12-31</stp>
        <stp>2019-12-30</stp>
        <stp>1</stp>
        <tr r="G1012" s="1"/>
      </tp>
      <tp>
        <v>144.27286133999999</v>
        <stp/>
        <stp>EM_S_PQ_PCTCHANGE</stp>
        <stp>4</stp>
        <stp>300746</stp>
        <stp>2018-01-01</stp>
        <stp>2019-12-31</stp>
        <stp>3</stp>
        <tr r="F3170" s="1"/>
      </tp>
      <tp>
        <v>1.1011010999999999</v>
        <stp/>
        <stp>EM_S_PQ_PCTCHANGE</stp>
        <stp>4</stp>
        <stp>600507</stp>
        <stp>2018-12-31</stp>
        <stp>2019-12-30</stp>
        <stp>1</stp>
        <tr r="G2209" s="1"/>
      </tp>
      <tp>
        <v>-22.59125032</v>
        <stp/>
        <stp>EM_S_PQ_PCTCHANGE</stp>
        <stp>4</stp>
        <stp>600716</stp>
        <stp>2018-01-01</stp>
        <stp>2019-12-31</stp>
        <stp>3</stp>
        <tr r="F954" s="1"/>
      </tp>
      <tp>
        <v>1.6864174999999999</v>
        <stp/>
        <stp>EM_S_PQ_PCTCHANGE</stp>
        <stp>4</stp>
        <stp>603507</stp>
        <stp>2018-12-31</stp>
        <stp>2019-12-30</stp>
        <stp>1</stp>
        <tr r="G2178" s="1"/>
      </tp>
      <tp>
        <v>-14.62177582</v>
        <stp/>
        <stp>EM_S_PQ_PCTCHANGE</stp>
        <stp>4</stp>
        <stp>603716</stp>
        <stp>2018-01-01</stp>
        <stp>2019-12-31</stp>
        <stp>3</stp>
        <tr r="F2838" s="1"/>
      </tp>
      <tp>
        <v>55.379188710000001</v>
        <stp/>
        <stp>EM_S_PQ_PCTCHANGE</stp>
        <stp>4</stp>
        <stp>002567</stp>
        <stp>2018-12-31</stp>
        <stp>2019-12-30</stp>
        <stp>1</stp>
        <tr r="G485" s="1"/>
      </tp>
      <tp>
        <v>-9.2365918899999997</v>
        <stp/>
        <stp>EM_S_PQ_PCTCHANGE</stp>
        <stp>4</stp>
        <stp>002776</stp>
        <stp>2018-01-01</stp>
        <stp>2019-12-31</stp>
        <stp>3</stp>
        <tr r="F3377" s="1"/>
      </tp>
      <tp>
        <v>1.5539961099999999</v>
        <stp/>
        <stp>EM_S_PQ_PCTCHANGE</stp>
        <stp>4</stp>
        <stp>601717</stp>
        <stp>2018-01-01</stp>
        <stp>2019-12-31</stp>
        <stp>3</stp>
        <tr r="F1407" s="1"/>
      </tp>
      <tp>
        <v>14.6484375</v>
        <stp/>
        <stp>EM_S_PQ_PCTCHANGE</stp>
        <stp>4</stp>
        <stp>000566</stp>
        <stp>2018-12-31</stp>
        <stp>2019-12-30</stp>
        <stp>1</stp>
        <tr r="G1499" s="1"/>
      </tp>
      <tp>
        <v>-17.433772189999999</v>
        <stp/>
        <stp>EM_S_PQ_PCTCHANGE</stp>
        <stp>4</stp>
        <stp>000777</stp>
        <stp>2018-01-01</stp>
        <stp>2019-12-31</stp>
        <stp>3</stp>
        <tr r="F1259" s="1"/>
      </tp>
      <tp>
        <v>3.7570444599999999</v>
        <stp/>
        <stp>EM_S_PQ_PCTCHANGE</stp>
        <stp>4</stp>
        <stp>300556</stp>
        <stp>2018-12-31</stp>
        <stp>2019-12-30</stp>
        <stp>1</stp>
        <tr r="G2073" s="1"/>
      </tp>
      <tp>
        <v>365.45263891000002</v>
        <stp/>
        <stp>EM_S_PQ_PCTCHANGE</stp>
        <stp>4</stp>
        <stp>300747</stp>
        <stp>2018-01-01</stp>
        <stp>2019-12-31</stp>
        <stp>3</stp>
        <tr r="F2959" s="1"/>
      </tp>
      <tp>
        <v>2.61044177</v>
        <stp/>
        <stp>EM_S_PQ_PCTCHANGE</stp>
        <stp>4</stp>
        <stp>600506</stp>
        <stp>2018-12-31</stp>
        <stp>2019-12-30</stp>
        <stp>1</stp>
        <tr r="G2132" s="1"/>
      </tp>
      <tp>
        <v>-25.878654520000001</v>
        <stp/>
        <stp>EM_S_PQ_PCTCHANGE</stp>
        <stp>4</stp>
        <stp>600717</stp>
        <stp>2018-01-01</stp>
        <stp>2019-12-31</stp>
        <stp>3</stp>
        <tr r="F2806" s="1"/>
      </tp>
      <tp>
        <v>-5.7631697400000004</v>
        <stp/>
        <stp>EM_S_PQ_PCTCHANGE</stp>
        <stp>4</stp>
        <stp>603506</stp>
        <stp>2018-12-31</stp>
        <stp>2019-12-30</stp>
        <stp>1</stp>
        <tr r="G2595" s="1"/>
      </tp>
      <tp>
        <v>-55.384945819999999</v>
        <stp/>
        <stp>EM_S_PQ_PCTCHANGE</stp>
        <stp>4</stp>
        <stp>603717</stp>
        <stp>2018-01-01</stp>
        <stp>2019-12-31</stp>
        <stp>3</stp>
        <tr r="F2608" s="1"/>
      </tp>
      <tp>
        <v>14.28571429</v>
        <stp/>
        <stp>EM_S_PQ_PCTCHANGE</stp>
        <stp>4</stp>
        <stp>002566</stp>
        <stp>2018-12-31</stp>
        <stp>2019-12-30</stp>
        <stp>1</stp>
        <tr r="G1514" s="1"/>
      </tp>
      <tp>
        <v>42.156602210000003</v>
        <stp/>
        <stp>EM_S_PQ_PCTCHANGE</stp>
        <stp>4</stp>
        <stp>002777</stp>
        <stp>2018-01-01</stp>
        <stp>2019-12-31</stp>
        <stp>3</stp>
        <tr r="F647" s="1"/>
      </tp>
      <tp>
        <v>139.52095808000001</v>
        <stp/>
        <stp>EM_S_PQ_PCTCHANGE</stp>
        <stp>4</stp>
        <stp>601519</stp>
        <stp>2018-12-31</stp>
        <stp>2019-12-30</stp>
        <stp>1</stp>
        <tr r="G99" s="1"/>
      </tp>
      <tp>
        <v>-1.84276745</v>
        <stp/>
        <stp>EM_S_PQ_PCTCHANGE</stp>
        <stp>4</stp>
        <stp>000768</stp>
        <stp>2018-01-01</stp>
        <stp>2019-12-31</stp>
        <stp>3</stp>
        <tr r="F1149" s="1"/>
      </tp>
      <tp>
        <v>18.788410890000002</v>
        <stp/>
        <stp>EM_S_PQ_PCTCHANGE</stp>
        <stp>4</stp>
        <stp>300549</stp>
        <stp>2018-12-31</stp>
        <stp>2019-12-30</stp>
        <stp>1</stp>
        <tr r="G1330" s="1"/>
      </tp>
      <tp>
        <v>-28.357728609999999</v>
        <stp/>
        <stp>EM_S_PQ_PCTCHANGE</stp>
        <stp>4</stp>
        <stp>600708</stp>
        <stp>2018-01-01</stp>
        <stp>2019-12-31</stp>
        <stp>3</stp>
        <tr r="F2225" s="1"/>
      </tp>
      <tp>
        <v>52.222222219999999</v>
        <stp/>
        <stp>EM_S_PQ_PCTCHANGE</stp>
        <stp>4</stp>
        <stp>603519</stp>
        <stp>2018-12-31</stp>
        <stp>2019-12-30</stp>
        <stp>1</stp>
        <tr r="G531" s="1"/>
      </tp>
      <tp>
        <v>64.054525130000002</v>
        <stp/>
        <stp>EM_S_PQ_PCTCHANGE</stp>
        <stp>4</stp>
        <stp>603708</stp>
        <stp>2018-01-01</stp>
        <stp>2019-12-31</stp>
        <stp>3</stp>
        <tr r="F1222" s="1"/>
      </tp>
      <tp>
        <v>62.863795109999998</v>
        <stp/>
        <stp>EM_S_PQ_PCTCHANGE</stp>
        <stp>4</stp>
        <stp>002579</stp>
        <stp>2018-12-31</stp>
        <stp>2019-12-30</stp>
        <stp>1</stp>
        <tr r="G396" s="1"/>
      </tp>
      <tp>
        <v>-17.394321860000002</v>
        <stp/>
        <stp>EM_S_PQ_PCTCHANGE</stp>
        <stp>4</stp>
        <stp>002768</stp>
        <stp>2018-01-01</stp>
        <stp>2019-12-31</stp>
        <stp>3</stp>
        <tr r="F2063" s="1"/>
      </tp>
      <tp>
        <v>1.5503876000000001</v>
        <stp/>
        <stp>EM_S_PQ_PCTCHANGE</stp>
        <stp>4</stp>
        <stp>601518</stp>
        <stp>2018-12-31</stp>
        <stp>2019-12-30</stp>
        <stp>1</stp>
        <tr r="G2183" s="1"/>
      </tp>
      <tp>
        <v>0</v>
        <stp/>
        <stp>EM_S_PQ_PCTCHANGE</stp>
        <stp>4</stp>
        <stp>000769</stp>
        <stp>2018-01-01</stp>
        <stp>2019-12-31</stp>
        <stp>3</stp>
        <tr r="F2279" s="1"/>
      </tp>
      <tp>
        <v>91.099050199999994</v>
        <stp/>
        <stp>EM_S_PQ_PCTCHANGE</stp>
        <stp>4</stp>
        <stp>300548</stp>
        <stp>2018-12-31</stp>
        <stp>2019-12-30</stp>
        <stp>1</stp>
        <tr r="G199" s="1"/>
      </tp>
      <tp>
        <v>-59.934853420000003</v>
        <stp/>
        <stp>EM_S_PQ_PCTCHANGE</stp>
        <stp>4</stp>
        <stp>600518</stp>
        <stp>2018-12-31</stp>
        <stp>2019-12-30</stp>
        <stp>1</stp>
        <tr r="G3393" s="1"/>
      </tp>
      <tp>
        <v>0</v>
        <stp/>
        <stp>EM_S_PQ_PCTCHANGE</stp>
        <stp>4</stp>
        <stp>600709</stp>
        <stp>2018-01-01</stp>
        <stp>2019-12-31</stp>
        <stp>3</stp>
        <tr r="F2318" s="1"/>
      </tp>
      <tp>
        <v>-49.858156030000004</v>
        <stp/>
        <stp>EM_S_PQ_PCTCHANGE</stp>
        <stp>4</stp>
        <stp>603518</stp>
        <stp>2018-12-31</stp>
        <stp>2019-12-30</stp>
        <stp>1</stp>
        <tr r="G3366" s="1"/>
      </tp>
      <tp>
        <v>28.240459309999999</v>
        <stp/>
        <stp>EM_S_PQ_PCTCHANGE</stp>
        <stp>4</stp>
        <stp>603709</stp>
        <stp>2018-01-01</stp>
        <stp>2019-12-31</stp>
        <stp>3</stp>
        <tr r="F2206" s="1"/>
      </tp>
      <tp>
        <v>6.8862275400000001</v>
        <stp/>
        <stp>EM_S_PQ_PCTCHANGE</stp>
        <stp>4</stp>
        <stp>002578</stp>
        <stp>2018-12-31</stp>
        <stp>2019-12-30</stp>
        <stp>1</stp>
        <tr r="G1903" s="1"/>
      </tp>
      <tp>
        <v>-40.279944049999997</v>
        <stp/>
        <stp>EM_S_PQ_PCTCHANGE</stp>
        <stp>4</stp>
        <stp>002769</stp>
        <stp>2018-01-01</stp>
        <stp>2019-12-31</stp>
        <stp>3</stp>
        <tr r="F2989" s="1"/>
      </tp>
      <tp>
        <v>-15.06730636</v>
        <stp/>
        <stp>EM_S_PQ_PCTCHANGE</stp>
        <stp>4</stp>
        <stp>601700</stp>
        <stp>2018-01-01</stp>
        <stp>2019-12-31</stp>
        <stp>3</stp>
        <tr r="F297" s="1"/>
      </tp>
      <tp>
        <v>-74.315068490000002</v>
        <stp/>
        <stp>EM_S_PQ_PCTCHANGE</stp>
        <stp>4</stp>
        <stp>000760</stp>
        <stp>2018-01-01</stp>
        <stp>2019-12-31</stp>
        <stp>3</stp>
        <tr r="F3530" s="1"/>
      </tp>
      <tp>
        <v>56.578947370000002</v>
        <stp/>
        <stp>EM_S_PQ_PCTCHANGE</stp>
        <stp>4</stp>
        <stp>300541</stp>
        <stp>2018-12-31</stp>
        <stp>2019-12-30</stp>
        <stp>1</stp>
        <tr r="G463" s="1"/>
      </tp>
      <tp>
        <v>324.04876337000002</v>
        <stp/>
        <stp>EM_S_PQ_PCTCHANGE</stp>
        <stp>4</stp>
        <stp>300750</stp>
        <stp>2018-01-01</stp>
        <stp>2019-12-31</stp>
        <stp>3</stp>
        <tr r="F579" s="1"/>
      </tp>
      <tp>
        <v>15.612903230000001</v>
        <stp/>
        <stp>EM_S_PQ_PCTCHANGE</stp>
        <stp>4</stp>
        <stp>600511</stp>
        <stp>2018-12-31</stp>
        <stp>2019-12-30</stp>
        <stp>1</stp>
        <tr r="G1450" s="1"/>
      </tp>
      <tp>
        <v>0</v>
        <stp/>
        <stp>EM_S_PQ_PCTCHANGE</stp>
        <stp>4</stp>
        <stp>600700</stp>
        <stp>2018-01-01</stp>
        <stp>2019-12-31</stp>
        <stp>3</stp>
        <tr r="F2317" s="1"/>
      </tp>
      <tp>
        <v>-5.35372849</v>
        <stp/>
        <stp>EM_S_PQ_PCTCHANGE</stp>
        <stp>4</stp>
        <stp>002571</stp>
        <stp>2018-12-31</stp>
        <stp>2019-12-30</stp>
        <stp>1</stp>
        <tr r="G2579" s="1"/>
      </tp>
      <tp>
        <v>-58.952164009999997</v>
        <stp/>
        <stp>EM_S_PQ_PCTCHANGE</stp>
        <stp>4</stp>
        <stp>002760</stp>
        <stp>2018-01-01</stp>
        <stp>2019-12-31</stp>
        <stp>3</stp>
        <tr r="F1204" s="1"/>
      </tp>
      <tp>
        <v>-22.38052111</v>
        <stp/>
        <stp>EM_S_PQ_PCTCHANGE</stp>
        <stp>4</stp>
        <stp>000761</stp>
        <stp>2018-01-01</stp>
        <stp>2019-12-31</stp>
        <stp>3</stp>
        <tr r="F1372" s="1"/>
      </tp>
      <tp>
        <v>17.995069839999999</v>
        <stp/>
        <stp>EM_S_PQ_PCTCHANGE</stp>
        <stp>4</stp>
        <stp>300540</stp>
        <stp>2018-12-31</stp>
        <stp>2019-12-30</stp>
        <stp>1</stp>
        <tr r="G1366" s="1"/>
      </tp>
      <tp>
        <v>12.376237619999999</v>
        <stp/>
        <stp>EM_S_PQ_PCTCHANGE</stp>
        <stp>4</stp>
        <stp>600510</stp>
        <stp>2018-12-31</stp>
        <stp>2019-12-30</stp>
        <stp>1</stp>
        <tr r="G1618" s="1"/>
      </tp>
      <tp>
        <v>-82.17821782</v>
        <stp/>
        <stp>EM_S_PQ_PCTCHANGE</stp>
        <stp>4</stp>
        <stp>600701</stp>
        <stp>2018-01-01</stp>
        <stp>2019-12-31</stp>
        <stp>3</stp>
        <tr r="F3066" s="1"/>
      </tp>
      <tp>
        <v>15.7088997</v>
        <stp/>
        <stp>EM_S_PQ_PCTCHANGE</stp>
        <stp>4</stp>
        <stp>603701</stp>
        <stp>2018-01-01</stp>
        <stp>2019-12-31</stp>
        <stp>3</stp>
        <tr r="F1613" s="1"/>
      </tp>
      <tp>
        <v>6.4516128999999998</v>
        <stp/>
        <stp>EM_S_PQ_PCTCHANGE</stp>
        <stp>4</stp>
        <stp>002570</stp>
        <stp>2018-12-31</stp>
        <stp>2019-12-30</stp>
        <stp>1</stp>
        <tr r="G1926" s="1"/>
      </tp>
      <tp>
        <v>-10.630670820000001</v>
        <stp/>
        <stp>EM_S_PQ_PCTCHANGE</stp>
        <stp>4</stp>
        <stp>002761</stp>
        <stp>2018-01-01</stp>
        <stp>2019-12-31</stp>
        <stp>3</stp>
        <tr r="F3296" s="1"/>
      </tp>
      <tp>
        <v>0.65573769999999998</v>
        <stp/>
        <stp>EM_S_PQ_PCTCHANGE</stp>
        <stp>4</stp>
        <stp>000573</stp>
        <stp>2018-12-31</stp>
        <stp>2019-12-30</stp>
        <stp>1</stp>
        <tr r="G2239" s="1"/>
      </tp>
      <tp>
        <v>-52.484076430000002</v>
        <stp/>
        <stp>EM_S_PQ_PCTCHANGE</stp>
        <stp>4</stp>
        <stp>000762</stp>
        <stp>2018-01-01</stp>
        <stp>2019-12-31</stp>
        <stp>3</stp>
        <tr r="F3531" s="1"/>
      </tp>
      <tp>
        <v>38.747785</v>
        <stp/>
        <stp>EM_S_PQ_PCTCHANGE</stp>
        <stp>4</stp>
        <stp>300543</stp>
        <stp>2018-12-31</stp>
        <stp>2019-12-30</stp>
        <stp>1</stp>
        <tr r="G759" s="1"/>
      </tp>
      <tp>
        <v>18.991596640000001</v>
        <stp/>
        <stp>EM_S_PQ_PCTCHANGE</stp>
        <stp>4</stp>
        <stp>600513</stp>
        <stp>2018-12-31</stp>
        <stp>2019-12-30</stp>
        <stp>1</stp>
        <tr r="G1324" s="1"/>
      </tp>
      <tp>
        <v>-35.34908574</v>
        <stp/>
        <stp>EM_S_PQ_PCTCHANGE</stp>
        <stp>4</stp>
        <stp>600702</stp>
        <stp>2018-01-01</stp>
        <stp>2019-12-31</stp>
        <stp>3</stp>
        <tr r="F882" s="1"/>
      </tp>
      <tp>
        <v>-10.664819939999999</v>
        <stp/>
        <stp>EM_S_PQ_PCTCHANGE</stp>
        <stp>4</stp>
        <stp>002573</stp>
        <stp>2018-12-31</stp>
        <stp>2019-12-30</stp>
        <stp>1</stp>
        <tr r="G2784" s="1"/>
      </tp>
      <tp>
        <v>-38.405638060000001</v>
        <stp/>
        <stp>EM_S_PQ_PCTCHANGE</stp>
        <stp>4</stp>
        <stp>002762</stp>
        <stp>2018-01-01</stp>
        <stp>2019-12-31</stp>
        <stp>3</stp>
        <tr r="F2112" s="1"/>
      </tp>
      <tp>
        <v>0</v>
        <stp/>
        <stp>EM_S_PQ_PCTCHANGE</stp>
        <stp>4</stp>
        <stp>000763</stp>
        <stp>2018-01-01</stp>
        <stp>2019-12-31</stp>
        <stp>3</stp>
        <tr r="F3532" s="1"/>
      </tp>
      <tp>
        <v>9.1763005799999995</v>
        <stp/>
        <stp>EM_S_PQ_PCTCHANGE</stp>
        <stp>4</stp>
        <stp>300542</stp>
        <stp>2018-12-31</stp>
        <stp>2019-12-30</stp>
        <stp>1</stp>
        <tr r="G1783" s="1"/>
      </tp>
      <tp>
        <v>29.302325580000002</v>
        <stp/>
        <stp>EM_S_PQ_PCTCHANGE</stp>
        <stp>4</stp>
        <stp>600512</stp>
        <stp>2018-12-31</stp>
        <stp>2019-12-30</stp>
        <stp>1</stp>
        <tr r="G947" s="1"/>
      </tp>
      <tp>
        <v>-25.44084119</v>
        <stp/>
        <stp>EM_S_PQ_PCTCHANGE</stp>
        <stp>4</stp>
        <stp>600703</stp>
        <stp>2018-01-01</stp>
        <stp>2019-12-31</stp>
        <stp>3</stp>
        <tr r="F375" s="1"/>
      </tp>
      <tp>
        <v>-9.1711449500000004</v>
        <stp/>
        <stp>EM_S_PQ_PCTCHANGE</stp>
        <stp>4</stp>
        <stp>603703</stp>
        <stp>2018-01-01</stp>
        <stp>2019-12-31</stp>
        <stp>3</stp>
        <tr r="F347" s="1"/>
      </tp>
      <tp>
        <v>25.671641789999999</v>
        <stp/>
        <stp>EM_S_PQ_PCTCHANGE</stp>
        <stp>4</stp>
        <stp>002572</stp>
        <stp>2018-12-31</stp>
        <stp>2019-12-30</stp>
        <stp>1</stp>
        <tr r="G1070" s="1"/>
      </tp>
      <tp>
        <v>-34.80886271</v>
        <stp/>
        <stp>EM_S_PQ_PCTCHANGE</stp>
        <stp>4</stp>
        <stp>002763</stp>
        <stp>2018-01-01</stp>
        <stp>2019-12-31</stp>
        <stp>3</stp>
        <tr r="F2122" s="1"/>
      </tp>
      <tp>
        <v>-4.7887323899999998</v>
        <stp/>
        <stp>EM_S_PQ_PCTCHANGE</stp>
        <stp>4</stp>
        <stp>601515</stp>
        <stp>2018-12-31</stp>
        <stp>2019-12-30</stp>
        <stp>1</stp>
        <tr r="G2559" s="1"/>
      </tp>
      <tp>
        <v>25.61623973</v>
        <stp/>
        <stp>EM_S_PQ_PCTCHANGE</stp>
        <stp>4</stp>
        <stp>300545</stp>
        <stp>2018-12-31</stp>
        <stp>2019-12-30</stp>
        <stp>1</stp>
        <tr r="G1071" s="1"/>
      </tp>
      <tp>
        <v>-3.1847133799999998</v>
        <stp/>
        <stp>EM_S_PQ_PCTCHANGE</stp>
        <stp>4</stp>
        <stp>600515</stp>
        <stp>2018-12-31</stp>
        <stp>2019-12-30</stp>
        <stp>1</stp>
        <tr r="G2485" s="1"/>
      </tp>
      <tp>
        <v>-16.856587909999998</v>
        <stp/>
        <stp>EM_S_PQ_PCTCHANGE</stp>
        <stp>4</stp>
        <stp>600704</stp>
        <stp>2018-01-01</stp>
        <stp>2019-12-31</stp>
        <stp>3</stp>
        <tr r="F1522" s="1"/>
      </tp>
      <tp>
        <v>0.53821313000000004</v>
        <stp/>
        <stp>EM_S_PQ_PCTCHANGE</stp>
        <stp>4</stp>
        <stp>603515</stp>
        <stp>2018-12-31</stp>
        <stp>2019-12-30</stp>
        <stp>1</stp>
        <tr r="G2247" s="1"/>
      </tp>
      <tp>
        <v>-6.49006623</v>
        <stp/>
        <stp>EM_S_PQ_PCTCHANGE</stp>
        <stp>4</stp>
        <stp>002575</stp>
        <stp>2018-12-31</stp>
        <stp>2019-12-30</stp>
        <stp>1</stp>
        <tr r="G2631" s="1"/>
      </tp>
      <tp>
        <v>0</v>
        <stp/>
        <stp>EM_S_PQ_PCTCHANGE</stp>
        <stp>4</stp>
        <stp>000765</stp>
        <stp>2018-01-01</stp>
        <stp>2019-12-31</stp>
        <stp>3</stp>
        <tr r="F3533" s="1"/>
      </tp>
      <tp>
        <v>-9.6348920800000002</v>
        <stp/>
        <stp>EM_S_PQ_PCTCHANGE</stp>
        <stp>4</stp>
        <stp>600705</stp>
        <stp>2018-01-01</stp>
        <stp>2019-12-31</stp>
        <stp>3</stp>
        <tr r="F1501" s="1"/>
      </tp>
      <tp>
        <v>3.24543611</v>
        <stp/>
        <stp>EM_S_PQ_PCTCHANGE</stp>
        <stp>4</stp>
        <stp>002574</stp>
        <stp>2018-12-31</stp>
        <stp>2019-12-30</stp>
        <stp>1</stp>
        <tr r="G2095" s="1"/>
      </tp>
      <tp>
        <v>-40.39918488</v>
        <stp/>
        <stp>EM_S_PQ_PCTCHANGE</stp>
        <stp>4</stp>
        <stp>002765</stp>
        <stp>2018-01-01</stp>
        <stp>2019-12-31</stp>
        <stp>3</stp>
        <tr r="F3005" s="1"/>
      </tp>
      <tp>
        <v>-51.91176471</v>
        <stp/>
        <stp>EM_S_PQ_PCTCHANGE</stp>
        <stp>4</stp>
        <stp>000766</stp>
        <stp>2018-01-01</stp>
        <stp>2019-12-31</stp>
        <stp>3</stp>
        <tr r="F2592" s="1"/>
      </tp>
      <tp>
        <v>-41.579914270000003</v>
        <stp/>
        <stp>EM_S_PQ_PCTCHANGE</stp>
        <stp>4</stp>
        <stp>300547</stp>
        <stp>2018-12-31</stp>
        <stp>2019-12-30</stp>
        <stp>1</stp>
        <tr r="G3328" s="1"/>
      </tp>
      <tp>
        <v>161.94968553000001</v>
        <stp/>
        <stp>EM_S_PQ_PCTCHANGE</stp>
        <stp>4</stp>
        <stp>600517</stp>
        <stp>2018-12-31</stp>
        <stp>2019-12-30</stp>
        <stp>1</stp>
        <tr r="G72" s="1"/>
      </tp>
      <tp>
        <v>-44.425571560000002</v>
        <stp/>
        <stp>EM_S_PQ_PCTCHANGE</stp>
        <stp>4</stp>
        <stp>600706</stp>
        <stp>2018-01-01</stp>
        <stp>2019-12-31</stp>
        <stp>3</stp>
        <tr r="F2912" s="1"/>
      </tp>
      <tp>
        <v>36.997885840000002</v>
        <stp/>
        <stp>EM_S_PQ_PCTCHANGE</stp>
        <stp>4</stp>
        <stp>603517</stp>
        <stp>2018-12-31</stp>
        <stp>2019-12-30</stp>
        <stp>1</stp>
        <tr r="G793" s="1"/>
      </tp>
      <tp>
        <v>55.346353280000002</v>
        <stp/>
        <stp>EM_S_PQ_PCTCHANGE</stp>
        <stp>4</stp>
        <stp>603706</stp>
        <stp>2018-01-01</stp>
        <stp>2019-12-31</stp>
        <stp>3</stp>
        <tr r="F3177" s="1"/>
      </tp>
      <tp>
        <v>30.390143739999999</v>
        <stp/>
        <stp>EM_S_PQ_PCTCHANGE</stp>
        <stp>4</stp>
        <stp>002577</stp>
        <stp>2018-12-31</stp>
        <stp>2019-12-30</stp>
        <stp>1</stp>
        <tr r="G919" s="1"/>
      </tp>
      <tp>
        <v>-77.756225970000003</v>
        <stp/>
        <stp>EM_S_PQ_PCTCHANGE</stp>
        <stp>4</stp>
        <stp>002766</stp>
        <stp>2018-01-01</stp>
        <stp>2019-12-31</stp>
        <stp>3</stp>
        <tr r="F3305" s="1"/>
      </tp>
      <tp>
        <v>26.833333329999999</v>
        <stp/>
        <stp>EM_S_PQ_PCTCHANGE</stp>
        <stp>4</stp>
        <stp>000576</stp>
        <stp>2018-12-31</stp>
        <stp>2019-12-30</stp>
        <stp>1</stp>
        <tr r="G1024" s="1"/>
      </tp>
      <tp>
        <v>-17.346938779999999</v>
        <stp/>
        <stp>EM_S_PQ_PCTCHANGE</stp>
        <stp>4</stp>
        <stp>000767</stp>
        <stp>2018-01-01</stp>
        <stp>2019-12-31</stp>
        <stp>3</stp>
        <tr r="F2442" s="1"/>
      </tp>
      <tp>
        <v>11.50579151</v>
        <stp/>
        <stp>EM_S_PQ_PCTCHANGE</stp>
        <stp>4</stp>
        <stp>300546</stp>
        <stp>2018-12-31</stp>
        <stp>2019-12-30</stp>
        <stp>1</stp>
        <tr r="G1654" s="1"/>
      </tp>
      <tp>
        <v>-25.792938360000001</v>
        <stp/>
        <stp>EM_S_PQ_PCTCHANGE</stp>
        <stp>4</stp>
        <stp>600516</stp>
        <stp>2018-12-31</stp>
        <stp>2019-12-30</stp>
        <stp>1</stp>
        <tr r="G3163" s="1"/>
      </tp>
      <tp>
        <v>-43.166441140000003</v>
        <stp/>
        <stp>EM_S_PQ_PCTCHANGE</stp>
        <stp>4</stp>
        <stp>600707</stp>
        <stp>2018-01-01</stp>
        <stp>2019-12-31</stp>
        <stp>3</stp>
        <tr r="F2050" s="1"/>
      </tp>
      <tp>
        <v>65.136422690000003</v>
        <stp/>
        <stp>EM_S_PQ_PCTCHANGE</stp>
        <stp>4</stp>
        <stp>603516</stp>
        <stp>2018-12-31</stp>
        <stp>2019-12-30</stp>
        <stp>1</stp>
        <tr r="G366" s="1"/>
      </tp>
      <tp>
        <v>150.44504297</v>
        <stp/>
        <stp>EM_S_PQ_PCTCHANGE</stp>
        <stp>4</stp>
        <stp>603707</stp>
        <stp>2018-01-01</stp>
        <stp>2019-12-31</stp>
        <stp>3</stp>
        <tr r="F131" s="1"/>
      </tp>
      <tp>
        <v>-2.5922233299999999</v>
        <stp/>
        <stp>EM_S_PQ_PCTCHANGE</stp>
        <stp>4</stp>
        <stp>002576</stp>
        <stp>2018-12-31</stp>
        <stp>2019-12-30</stp>
        <stp>1</stp>
        <tr r="G2458" s="1"/>
      </tp>
      <tp>
        <v>-27.46310566</v>
        <stp/>
        <stp>EM_S_PQ_PCTCHANGE</stp>
        <stp>4</stp>
        <stp>002767</stp>
        <stp>2018-01-01</stp>
        <stp>2019-12-31</stp>
        <stp>3</stp>
        <tr r="F1895" s="1"/>
      </tp>
      <tp>
        <v>-2.4119413600000001</v>
        <stp/>
        <stp>EM_S_PQ_PCTCHANGE</stp>
        <stp>4</stp>
        <stp>000718</stp>
        <stp>2018-01-01</stp>
        <stp>2019-12-31</stp>
        <stp>3</stp>
        <tr r="F3519" s="1"/>
      </tp>
      <tp>
        <v>-10.27227723</v>
        <stp/>
        <stp>EM_S_PQ_PCTCHANGE</stp>
        <stp>4</stp>
        <stp>300539</stp>
        <stp>2018-12-31</stp>
        <stp>2019-12-30</stp>
        <stp>1</stp>
        <tr r="G2767" s="1"/>
      </tp>
      <tp>
        <v>0</v>
        <stp/>
        <stp>EM_S_PQ_PCTCHANGE</stp>
        <stp>4</stp>
        <stp>300728</stp>
        <stp>2018-01-01</stp>
        <stp>2019-12-31</stp>
        <stp>3</stp>
        <tr r="F11" s="1"/>
      </tp>
      <tp>
        <v>-17.82178218</v>
        <stp/>
        <stp>EM_S_PQ_PCTCHANGE</stp>
        <stp>4</stp>
        <stp>600569</stp>
        <stp>2018-12-31</stp>
        <stp>2019-12-30</stp>
        <stp>1</stp>
        <tr r="G3012" s="1"/>
      </tp>
      <tp>
        <v>-9.9502487599999991</v>
        <stp/>
        <stp>EM_S_PQ_PCTCHANGE</stp>
        <stp>4</stp>
        <stp>600778</stp>
        <stp>2018-01-01</stp>
        <stp>2019-12-31</stp>
        <stp>3</stp>
        <tr r="F1299" s="1"/>
      </tp>
      <tp>
        <v>-3.9069767400000002</v>
        <stp/>
        <stp>EM_S_PQ_PCTCHANGE</stp>
        <stp>4</stp>
        <stp>603569</stp>
        <stp>2018-12-31</stp>
        <stp>2019-12-30</stp>
        <stp>1</stp>
        <tr r="G2510" s="1"/>
      </tp>
      <tp>
        <v>-38.35074402</v>
        <stp/>
        <stp>EM_S_PQ_PCTCHANGE</stp>
        <stp>4</stp>
        <stp>603778</stp>
        <stp>2018-01-01</stp>
        <stp>2019-12-31</stp>
        <stp>3</stp>
        <tr r="F2264" s="1"/>
      </tp>
      <tp>
        <v>-40.084388189999999</v>
        <stp/>
        <stp>EM_S_PQ_PCTCHANGE</stp>
        <stp>4</stp>
        <stp>002509</stp>
        <stp>2018-12-31</stp>
        <stp>2019-12-30</stp>
        <stp>1</stp>
        <tr r="G3313" s="1"/>
      </tp>
      <tp>
        <v>-43.289250819999999</v>
        <stp/>
        <stp>EM_S_PQ_PCTCHANGE</stp>
        <stp>4</stp>
        <stp>002718</stp>
        <stp>2018-01-01</stp>
        <stp>2019-12-31</stp>
        <stp>3</stp>
        <tr r="F3310" s="1"/>
      </tp>
      <tp>
        <v>-16.515642060000001</v>
        <stp/>
        <stp>EM_S_PQ_PCTCHANGE</stp>
        <stp>4</stp>
        <stp>000719</stp>
        <stp>2018-01-01</stp>
        <stp>2019-12-31</stp>
        <stp>3</stp>
        <tr r="F2726" s="1"/>
      </tp>
      <tp>
        <v>-16.398104270000001</v>
        <stp/>
        <stp>EM_S_PQ_PCTCHANGE</stp>
        <stp>4</stp>
        <stp>300538</stp>
        <stp>2018-12-31</stp>
        <stp>2019-12-30</stp>
        <stp>1</stp>
        <tr r="G2971" s="1"/>
      </tp>
      <tp>
        <v>-25.096048710000002</v>
        <stp/>
        <stp>EM_S_PQ_PCTCHANGE</stp>
        <stp>4</stp>
        <stp>300729</stp>
        <stp>2018-01-01</stp>
        <stp>2019-12-31</stp>
        <stp>3</stp>
        <tr r="F1886" s="1"/>
      </tp>
      <tp>
        <v>-24.12280702</v>
        <stp/>
        <stp>EM_S_PQ_PCTCHANGE</stp>
        <stp>4</stp>
        <stp>600568</stp>
        <stp>2018-12-31</stp>
        <stp>2019-12-30</stp>
        <stp>1</stp>
        <tr r="G3135" s="1"/>
      </tp>
      <tp>
        <v>14.31564837</v>
        <stp/>
        <stp>EM_S_PQ_PCTCHANGE</stp>
        <stp>4</stp>
        <stp>600779</stp>
        <stp>2018-01-01</stp>
        <stp>2019-12-31</stp>
        <stp>3</stp>
        <tr r="F355" s="1"/>
      </tp>
      <tp>
        <v>0.39387308999999998</v>
        <stp/>
        <stp>EM_S_PQ_PCTCHANGE</stp>
        <stp>4</stp>
        <stp>603568</stp>
        <stp>2018-12-31</stp>
        <stp>2019-12-30</stp>
        <stp>1</stp>
        <tr r="G2253" s="1"/>
      </tp>
      <tp>
        <v>-47.595431230000003</v>
        <stp/>
        <stp>EM_S_PQ_PCTCHANGE</stp>
        <stp>4</stp>
        <stp>603779</stp>
        <stp>2018-01-01</stp>
        <stp>2019-12-31</stp>
        <stp>3</stp>
        <tr r="F3383" s="1"/>
      </tp>
      <tp>
        <v>68.895492820000001</v>
        <stp/>
        <stp>EM_S_PQ_PCTCHANGE</stp>
        <stp>4</stp>
        <stp>002508</stp>
        <stp>2018-12-31</stp>
        <stp>2019-12-30</stp>
        <stp>1</stp>
        <tr r="G332" s="1"/>
      </tp>
      <tp>
        <v>-32.857140659999999</v>
        <stp/>
        <stp>EM_S_PQ_PCTCHANGE</stp>
        <stp>4</stp>
        <stp>002719</stp>
        <stp>2018-01-01</stp>
        <stp>2019-12-31</stp>
        <stp>3</stp>
        <tr r="F2151" s="1"/>
      </tp>
      <tp>
        <v>-35.071846729999997</v>
        <stp/>
        <stp>EM_S_PQ_PCTCHANGE</stp>
        <stp>4</stp>
        <stp>000710</stp>
        <stp>2018-01-01</stp>
        <stp>2019-12-31</stp>
        <stp>3</stp>
        <tr r="F1684" s="1"/>
      </tp>
      <tp>
        <v>-3.1007751899999998</v>
        <stp/>
        <stp>EM_S_PQ_PCTCHANGE</stp>
        <stp>4</stp>
        <stp>300531</stp>
        <stp>2018-12-31</stp>
        <stp>2019-12-30</stp>
        <stp>1</stp>
        <tr r="G2481" s="1"/>
      </tp>
      <tp>
        <v>-25.8112563</v>
        <stp/>
        <stp>EM_S_PQ_PCTCHANGE</stp>
        <stp>4</stp>
        <stp>300720</stp>
        <stp>2018-01-01</stp>
        <stp>2019-12-31</stp>
        <stp>3</stp>
        <tr r="F3311" s="1"/>
      </tp>
      <tp>
        <v>6.4338235299999997</v>
        <stp/>
        <stp>EM_S_PQ_PCTCHANGE</stp>
        <stp>4</stp>
        <stp>600561</stp>
        <stp>2018-12-31</stp>
        <stp>2019-12-30</stp>
        <stp>1</stp>
        <tr r="G1927" s="1"/>
      </tp>
      <tp>
        <v>-29.078947370000002</v>
        <stp/>
        <stp>EM_S_PQ_PCTCHANGE</stp>
        <stp>4</stp>
        <stp>600770</stp>
        <stp>2018-01-01</stp>
        <stp>2019-12-31</stp>
        <stp>3</stp>
        <tr r="F1467" s="1"/>
      </tp>
      <tp>
        <v>-41.696113070000003</v>
        <stp/>
        <stp>EM_S_PQ_PCTCHANGE</stp>
        <stp>4</stp>
        <stp>002501</stp>
        <stp>2018-12-31</stp>
        <stp>2019-12-30</stp>
        <stp>1</stp>
        <tr r="G3330" s="1"/>
      </tp>
      <tp>
        <v>0</v>
        <stp/>
        <stp>EM_S_PQ_PCTCHANGE</stp>
        <stp>4</stp>
        <stp>002710</stp>
        <stp>2018-01-01</stp>
        <stp>2019-12-31</stp>
        <stp>3</stp>
        <tr r="F7" s="1"/>
      </tp>
      <tp>
        <v>-48.89719393</v>
        <stp/>
        <stp>EM_S_PQ_PCTCHANGE</stp>
        <stp>4</stp>
        <stp>000711</stp>
        <stp>2018-01-01</stp>
        <stp>2019-12-31</stp>
        <stp>3</stp>
        <tr r="F2850" s="1"/>
      </tp>
      <tp>
        <v>18.395303330000001</v>
        <stp/>
        <stp>EM_S_PQ_PCTCHANGE</stp>
        <stp>4</stp>
        <stp>300530</stp>
        <stp>2018-12-31</stp>
        <stp>2019-12-30</stp>
        <stp>1</stp>
        <tr r="G1349" s="1"/>
      </tp>
      <tp>
        <v>-49.964436839999998</v>
        <stp/>
        <stp>EM_S_PQ_PCTCHANGE</stp>
        <stp>4</stp>
        <stp>300721</stp>
        <stp>2018-01-01</stp>
        <stp>2019-12-31</stp>
        <stp>3</stp>
        <tr r="F2599" s="1"/>
      </tp>
      <tp>
        <v>7.3019802</v>
        <stp/>
        <stp>EM_S_PQ_PCTCHANGE</stp>
        <stp>4</stp>
        <stp>600560</stp>
        <stp>2018-12-31</stp>
        <stp>2019-12-30</stp>
        <stp>1</stp>
        <tr r="G1883" s="1"/>
      </tp>
      <tp>
        <v>-41.83466267</v>
        <stp/>
        <stp>EM_S_PQ_PCTCHANGE</stp>
        <stp>4</stp>
        <stp>600771</stp>
        <stp>2018-01-01</stp>
        <stp>2019-12-31</stp>
        <stp>3</stp>
        <tr r="F3341" s="1"/>
      </tp>
      <tp>
        <v>40.202702700000003</v>
        <stp/>
        <stp>EM_S_PQ_PCTCHANGE</stp>
        <stp>4</stp>
        <stp>002500</stp>
        <stp>2018-12-31</stp>
        <stp>2019-12-30</stp>
        <stp>1</stp>
        <tr r="G731" s="1"/>
      </tp>
      <tp>
        <v>-88.289962829999993</v>
        <stp/>
        <stp>EM_S_PQ_PCTCHANGE</stp>
        <stp>4</stp>
        <stp>002711</stp>
        <stp>2018-01-01</stp>
        <stp>2019-12-31</stp>
        <stp>3</stp>
        <tr r="F3398" s="1"/>
      </tp>
      <tp>
        <v>-9.4210339699999999</v>
        <stp/>
        <stp>EM_S_PQ_PCTCHANGE</stp>
        <stp>4</stp>
        <stp>000712</stp>
        <stp>2018-01-01</stp>
        <stp>2019-12-31</stp>
        <stp>3</stp>
        <tr r="F3518" s="1"/>
      </tp>
      <tp>
        <v>42.861665080000002</v>
        <stp/>
        <stp>EM_S_PQ_PCTCHANGE</stp>
        <stp>4</stp>
        <stp>300533</stp>
        <stp>2018-12-31</stp>
        <stp>2019-12-30</stp>
        <stp>1</stp>
        <tr r="G687" s="1"/>
      </tp>
      <tp>
        <v>-11.51442836</v>
        <stp/>
        <stp>EM_S_PQ_PCTCHANGE</stp>
        <stp>4</stp>
        <stp>300722</stp>
        <stp>2018-01-01</stp>
        <stp>2019-12-31</stp>
        <stp>3</stp>
        <tr r="F3251" s="1"/>
      </tp>
      <tp>
        <v>18.770764119999999</v>
        <stp/>
        <stp>EM_S_PQ_PCTCHANGE</stp>
        <stp>4</stp>
        <stp>600563</stp>
        <stp>2018-12-31</stp>
        <stp>2019-12-30</stp>
        <stp>1</stp>
        <tr r="G1335" s="1"/>
      </tp>
      <tp>
        <v>0</v>
        <stp/>
        <stp>EM_S_PQ_PCTCHANGE</stp>
        <stp>4</stp>
        <stp>600772</stp>
        <stp>2018-01-01</stp>
        <stp>2019-12-31</stp>
        <stp>3</stp>
        <tr r="F2321" s="1"/>
      </tp>
      <tp>
        <v>3.4042553199999999</v>
        <stp/>
        <stp>EM_S_PQ_PCTCHANGE</stp>
        <stp>4</stp>
        <stp>002503</stp>
        <stp>2018-12-31</stp>
        <stp>2019-12-30</stp>
        <stp>1</stp>
        <tr r="G2089" s="1"/>
      </tp>
      <tp>
        <v>-37.79455024</v>
        <stp/>
        <stp>EM_S_PQ_PCTCHANGE</stp>
        <stp>4</stp>
        <stp>002712</stp>
        <stp>2018-01-01</stp>
        <stp>2019-12-31</stp>
        <stp>3</stp>
        <tr r="F708" s="1"/>
      </tp>
      <tp>
        <v>60.106788289999997</v>
        <stp/>
        <stp>EM_S_PQ_PCTCHANGE</stp>
        <stp>4</stp>
        <stp>000713</stp>
        <stp>2018-01-01</stp>
        <stp>2019-12-31</stp>
        <stp>3</stp>
        <tr r="F252" s="1"/>
      </tp>
      <tp>
        <v>5.6772908400000004</v>
        <stp/>
        <stp>EM_S_PQ_PCTCHANGE</stp>
        <stp>4</stp>
        <stp>300532</stp>
        <stp>2018-12-31</stp>
        <stp>2019-12-30</stp>
        <stp>1</stp>
        <tr r="G1967" s="1"/>
      </tp>
      <tp>
        <v>7.7479503899999997</v>
        <stp/>
        <stp>EM_S_PQ_PCTCHANGE</stp>
        <stp>4</stp>
        <stp>300723</stp>
        <stp>2018-01-01</stp>
        <stp>2019-12-31</stp>
        <stp>3</stp>
        <tr r="F648" s="1"/>
      </tp>
      <tp>
        <v>10.955710959999999</v>
        <stp/>
        <stp>EM_S_PQ_PCTCHANGE</stp>
        <stp>4</stp>
        <stp>600562</stp>
        <stp>2018-12-31</stp>
        <stp>2019-12-30</stp>
        <stp>1</stp>
        <tr r="G1682" s="1"/>
      </tp>
      <tp>
        <v>-50.19428928</v>
        <stp/>
        <stp>EM_S_PQ_PCTCHANGE</stp>
        <stp>4</stp>
        <stp>600773</stp>
        <stp>2018-01-01</stp>
        <stp>2019-12-31</stp>
        <stp>3</stp>
        <tr r="F2483" s="1"/>
      </tp>
      <tp>
        <v>3.1205351299999999</v>
        <stp/>
        <stp>EM_S_PQ_PCTCHANGE</stp>
        <stp>4</stp>
        <stp>603773</stp>
        <stp>2018-01-01</stp>
        <stp>2019-12-31</stp>
        <stp>3</stp>
        <tr r="F3149" s="1"/>
      </tp>
      <tp>
        <v>-17.25888325</v>
        <stp/>
        <stp>EM_S_PQ_PCTCHANGE</stp>
        <stp>4</stp>
        <stp>002502</stp>
        <stp>2018-12-31</stp>
        <stp>2019-12-30</stp>
        <stp>1</stp>
        <tr r="G2997" s="1"/>
      </tp>
      <tp>
        <v>-47.352033409999997</v>
        <stp/>
        <stp>EM_S_PQ_PCTCHANGE</stp>
        <stp>4</stp>
        <stp>002713</stp>
        <stp>2018-01-01</stp>
        <stp>2019-12-31</stp>
        <stp>3</stp>
        <tr r="F3382" s="1"/>
      </tp>
      <tp>
        <v>6.0606060599999996</v>
        <stp/>
        <stp>EM_S_PQ_PCTCHANGE</stp>
        <stp>4</stp>
        <stp>300535</stp>
        <stp>2018-12-31</stp>
        <stp>2019-12-30</stp>
        <stp>1</stp>
        <tr r="G1948" s="1"/>
      </tp>
      <tp>
        <v>34.23076923</v>
        <stp/>
        <stp>EM_S_PQ_PCTCHANGE</stp>
        <stp>4</stp>
        <stp>600565</stp>
        <stp>2018-12-31</stp>
        <stp>2019-12-30</stp>
        <stp>1</stp>
        <tr r="G845" s="1"/>
      </tp>
      <tp>
        <v>-25.946633869999999</v>
        <stp/>
        <stp>EM_S_PQ_PCTCHANGE</stp>
        <stp>4</stp>
        <stp>600774</stp>
        <stp>2018-01-01</stp>
        <stp>2019-12-31</stp>
        <stp>3</stp>
        <tr r="F3117" s="1"/>
      </tp>
      <tp>
        <v>5.5555555600000002</v>
        <stp/>
        <stp>EM_S_PQ_PCTCHANGE</stp>
        <stp>4</stp>
        <stp>002505</stp>
        <stp>2018-12-31</stp>
        <stp>2019-12-30</stp>
        <stp>1</stp>
        <tr r="G1975" s="1"/>
      </tp>
      <tp>
        <v>207.37938438</v>
        <stp/>
        <stp>EM_S_PQ_PCTCHANGE</stp>
        <stp>4</stp>
        <stp>002714</stp>
        <stp>2018-01-01</stp>
        <stp>2019-12-31</stp>
        <stp>3</stp>
        <tr r="F46" s="1"/>
      </tp>
      <tp>
        <v>-3.2813647100000001</v>
        <stp/>
        <stp>EM_S_PQ_PCTCHANGE</stp>
        <stp>4</stp>
        <stp>000715</stp>
        <stp>2018-01-01</stp>
        <stp>2019-12-31</stp>
        <stp>3</stp>
        <tr r="F2071" s="1"/>
      </tp>
      <tp>
        <v>2.4475524499999999</v>
        <stp/>
        <stp>EM_S_PQ_PCTCHANGE</stp>
        <stp>4</stp>
        <stp>300534</stp>
        <stp>2018-12-31</stp>
        <stp>2019-12-30</stp>
        <stp>1</stp>
        <tr r="G2141" s="1"/>
      </tp>
      <tp>
        <v>17.03747353</v>
        <stp/>
        <stp>EM_S_PQ_PCTCHANGE</stp>
        <stp>4</stp>
        <stp>300725</stp>
        <stp>2018-01-01</stp>
        <stp>2019-12-31</stp>
        <stp>3</stp>
        <tr r="F1231" s="1"/>
      </tp>
      <tp>
        <v>31.473211450000001</v>
        <stp/>
        <stp>EM_S_PQ_PCTCHANGE</stp>
        <stp>4</stp>
        <stp>600775</stp>
        <stp>2018-01-01</stp>
        <stp>2019-12-31</stp>
        <stp>3</stp>
        <tr r="F1097" s="1"/>
      </tp>
      <tp>
        <v>-13.698630140000001</v>
        <stp/>
        <stp>EM_S_PQ_PCTCHANGE</stp>
        <stp>4</stp>
        <stp>002504</stp>
        <stp>2018-12-31</stp>
        <stp>2019-12-30</stp>
        <stp>1</stp>
        <tr r="G2893" s="1"/>
      </tp>
      <tp>
        <v>-37.198067629999997</v>
        <stp/>
        <stp>EM_S_PQ_PCTCHANGE</stp>
        <stp>4</stp>
        <stp>002715</stp>
        <stp>2018-01-01</stp>
        <stp>2019-12-31</stp>
        <stp>3</stp>
        <tr r="F1693" s="1"/>
      </tp>
      <tp>
        <v>30.01776199</v>
        <stp/>
        <stp>EM_S_PQ_PCTCHANGE</stp>
        <stp>4</stp>
        <stp>601567</stp>
        <stp>2018-12-31</stp>
        <stp>2019-12-30</stp>
        <stp>1</stp>
        <tr r="G931" s="1"/>
      </tp>
      <tp>
        <v>-6.6666666699999997</v>
        <stp/>
        <stp>EM_S_PQ_PCTCHANGE</stp>
        <stp>4</stp>
        <stp>000507</stp>
        <stp>2018-12-31</stp>
        <stp>2019-12-30</stp>
        <stp>1</stp>
        <tr r="G2637" s="1"/>
      </tp>
      <tp>
        <v>-24.215726740000001</v>
        <stp/>
        <stp>EM_S_PQ_PCTCHANGE</stp>
        <stp>4</stp>
        <stp>000716</stp>
        <stp>2018-01-01</stp>
        <stp>2019-12-31</stp>
        <stp>3</stp>
        <tr r="F812" s="1"/>
      </tp>
      <tp>
        <v>110.66376495999999</v>
        <stp/>
        <stp>EM_S_PQ_PCTCHANGE</stp>
        <stp>4</stp>
        <stp>300537</stp>
        <stp>2018-12-31</stp>
        <stp>2019-12-30</stp>
        <stp>1</stp>
        <tr r="G142" s="1"/>
      </tp>
      <tp>
        <v>-7.6193428599999997</v>
        <stp/>
        <stp>EM_S_PQ_PCTCHANGE</stp>
        <stp>4</stp>
        <stp>300726</stp>
        <stp>2018-01-01</stp>
        <stp>2019-12-31</stp>
        <stp>3</stp>
        <tr r="F613" s="1"/>
      </tp>
      <tp>
        <v>22.11538462</v>
        <stp/>
        <stp>EM_S_PQ_PCTCHANGE</stp>
        <stp>4</stp>
        <stp>600567</stp>
        <stp>2018-12-31</stp>
        <stp>2019-12-30</stp>
        <stp>1</stp>
        <tr r="G1183" s="1"/>
      </tp>
      <tp>
        <v>192.35112889000001</v>
        <stp/>
        <stp>EM_S_PQ_PCTCHANGE</stp>
        <stp>4</stp>
        <stp>600776</stp>
        <stp>2018-01-01</stp>
        <stp>2019-12-31</stp>
        <stp>3</stp>
        <tr r="F255" s="1"/>
      </tp>
      <tp>
        <v>-3.3388981599999998</v>
        <stp/>
        <stp>EM_S_PQ_PCTCHANGE</stp>
        <stp>4</stp>
        <stp>603567</stp>
        <stp>2018-12-31</stp>
        <stp>2019-12-30</stp>
        <stp>1</stp>
        <tr r="G2492" s="1"/>
      </tp>
      <tp>
        <v>-42.917574350000002</v>
        <stp/>
        <stp>EM_S_PQ_PCTCHANGE</stp>
        <stp>4</stp>
        <stp>603776</stp>
        <stp>2018-01-01</stp>
        <stp>2019-12-31</stp>
        <stp>3</stp>
        <tr r="F2890" s="1"/>
      </tp>
      <tp>
        <v>22.731481479999999</v>
        <stp/>
        <stp>EM_S_PQ_PCTCHANGE</stp>
        <stp>4</stp>
        <stp>002507</stp>
        <stp>2018-12-31</stp>
        <stp>2019-12-30</stp>
        <stp>1</stp>
        <tr r="G1166" s="1"/>
      </tp>
      <tp>
        <v>-73.997455000000002</v>
        <stp/>
        <stp>EM_S_PQ_PCTCHANGE</stp>
        <stp>4</stp>
        <stp>002716</stp>
        <stp>2018-01-01</stp>
        <stp>2019-12-31</stp>
        <stp>3</stp>
        <tr r="F3375" s="1"/>
      </tp>
      <tp>
        <v>-14.490566039999999</v>
        <stp/>
        <stp>EM_S_PQ_PCTCHANGE</stp>
        <stp>4</stp>
        <stp>601566</stp>
        <stp>2018-12-31</stp>
        <stp>2019-12-30</stp>
        <stp>1</stp>
        <tr r="G2920" s="1"/>
      </tp>
      <tp>
        <v>-57.575757580000001</v>
        <stp/>
        <stp>EM_S_PQ_PCTCHANGE</stp>
        <stp>4</stp>
        <stp>601777</stp>
        <stp>2018-01-01</stp>
        <stp>2019-12-31</stp>
        <stp>3</stp>
        <tr r="F3037" s="1"/>
      </tp>
      <tp>
        <v>-46.50112867</v>
        <stp/>
        <stp>EM_S_PQ_PCTCHANGE</stp>
        <stp>4</stp>
        <stp>000717</stp>
        <stp>2018-01-01</stp>
        <stp>2019-12-31</stp>
        <stp>3</stp>
        <tr r="F2113" s="1"/>
      </tp>
      <tp>
        <v>-15.03496503</v>
        <stp/>
        <stp>EM_S_PQ_PCTCHANGE</stp>
        <stp>4</stp>
        <stp>300536</stp>
        <stp>2018-12-31</stp>
        <stp>2019-12-30</stp>
        <stp>1</stp>
        <tr r="G2931" s="1"/>
      </tp>
      <tp>
        <v>-40.705747250000002</v>
        <stp/>
        <stp>EM_S_PQ_PCTCHANGE</stp>
        <stp>4</stp>
        <stp>300727</stp>
        <stp>2018-01-01</stp>
        <stp>2019-12-31</stp>
        <stp>3</stp>
        <tr r="F3144" s="1"/>
      </tp>
      <tp>
        <v>-30.152102589999998</v>
        <stp/>
        <stp>EM_S_PQ_PCTCHANGE</stp>
        <stp>4</stp>
        <stp>600566</stp>
        <stp>2018-12-31</stp>
        <stp>2019-12-30</stp>
        <stp>1</stp>
        <tr r="G3221" s="1"/>
      </tp>
      <tp>
        <v>-43.243243239999998</v>
        <stp/>
        <stp>EM_S_PQ_PCTCHANGE</stp>
        <stp>4</stp>
        <stp>600777</stp>
        <stp>2018-01-01</stp>
        <stp>2019-12-31</stp>
        <stp>3</stp>
        <tr r="F1771" s="1"/>
      </tp>
      <tp>
        <v>55.546147329999997</v>
        <stp/>
        <stp>EM_S_PQ_PCTCHANGE</stp>
        <stp>4</stp>
        <stp>603566</stp>
        <stp>2018-12-31</stp>
        <stp>2019-12-30</stp>
        <stp>1</stp>
        <tr r="G482" s="1"/>
      </tp>
      <tp>
        <v>-36.813414020000003</v>
        <stp/>
        <stp>EM_S_PQ_PCTCHANGE</stp>
        <stp>4</stp>
        <stp>603777</stp>
        <stp>2018-01-01</stp>
        <stp>2019-12-31</stp>
        <stp>3</stp>
        <tr r="F1212" s="1"/>
      </tp>
      <tp>
        <v>18.2</v>
        <stp/>
        <stp>EM_S_PQ_PCTCHANGE</stp>
        <stp>4</stp>
        <stp>002506</stp>
        <stp>2018-12-31</stp>
        <stp>2019-12-30</stp>
        <stp>1</stp>
        <tr r="G1358" s="1"/>
      </tp>
      <tp>
        <v>-37.015574129999997</v>
        <stp/>
        <stp>EM_S_PQ_PCTCHANGE</stp>
        <stp>4</stp>
        <stp>002717</stp>
        <stp>2018-01-01</stp>
        <stp>2019-12-31</stp>
        <stp>3</stp>
        <tr r="F3355" s="1"/>
      </tp>
      <tp>
        <v>-4.2744656900000004</v>
        <stp/>
        <stp>EM_S_PQ_PCTCHANGE</stp>
        <stp>4</stp>
        <stp>601579</stp>
        <stp>2018-12-31</stp>
        <stp>2019-12-30</stp>
        <stp>1</stp>
        <tr r="G2532" s="1"/>
      </tp>
      <tp>
        <v>21.3036566</v>
        <stp/>
        <stp>EM_S_PQ_PCTCHANGE</stp>
        <stp>4</stp>
        <stp>000519</stp>
        <stp>2018-12-31</stp>
        <stp>2019-12-30</stp>
        <stp>1</stp>
        <tr r="G1223" s="1"/>
      </tp>
      <tp>
        <v>119.12751280000001</v>
        <stp/>
        <stp>EM_S_PQ_PCTCHANGE</stp>
        <stp>4</stp>
        <stp>000708</stp>
        <stp>2018-01-01</stp>
        <stp>2019-12-31</stp>
        <stp>3</stp>
        <tr r="F73" s="1"/>
      </tp>
      <tp>
        <v>69.277108429999998</v>
        <stp/>
        <stp>EM_S_PQ_PCTCHANGE</stp>
        <stp>4</stp>
        <stp>300529</stp>
        <stp>2018-12-31</stp>
        <stp>2019-12-30</stp>
        <stp>1</stp>
        <tr r="G323" s="1"/>
      </tp>
      <tp>
        <v>246.46003926</v>
        <stp/>
        <stp>EM_S_PQ_PCTCHANGE</stp>
        <stp>4</stp>
        <stp>300738</stp>
        <stp>2018-01-01</stp>
        <stp>2019-12-31</stp>
        <stp>3</stp>
        <tr r="F2898" s="1"/>
      </tp>
      <tp>
        <v>-20.509708740000001</v>
        <stp/>
        <stp>EM_S_PQ_PCTCHANGE</stp>
        <stp>4</stp>
        <stp>600579</stp>
        <stp>2018-12-31</stp>
        <stp>2019-12-30</stp>
        <stp>1</stp>
        <tr r="G3071" s="1"/>
      </tp>
      <tp>
        <v>-16.666666670000001</v>
        <stp/>
        <stp>EM_S_PQ_PCTCHANGE</stp>
        <stp>4</stp>
        <stp>600768</stp>
        <stp>2018-01-01</stp>
        <stp>2019-12-31</stp>
        <stp>3</stp>
        <tr r="F914" s="1"/>
      </tp>
      <tp>
        <v>6.77009873</v>
        <stp/>
        <stp>EM_S_PQ_PCTCHANGE</stp>
        <stp>4</stp>
        <stp>603579</stp>
        <stp>2018-12-31</stp>
        <stp>2019-12-30</stp>
        <stp>1</stp>
        <tr r="G1908" s="1"/>
      </tp>
      <tp>
        <v>-39.247583429999999</v>
        <stp/>
        <stp>EM_S_PQ_PCTCHANGE</stp>
        <stp>4</stp>
        <stp>603768</stp>
        <stp>2018-01-01</stp>
        <stp>2019-12-31</stp>
        <stp>3</stp>
        <tr r="F2158" s="1"/>
      </tp>
      <tp>
        <v>11.174785099999999</v>
        <stp/>
        <stp>EM_S_PQ_PCTCHANGE</stp>
        <stp>4</stp>
        <stp>002519</stp>
        <stp>2018-12-31</stp>
        <stp>2019-12-30</stp>
        <stp>1</stp>
        <tr r="G1671" s="1"/>
      </tp>
      <tp>
        <v>18.69827373</v>
        <stp/>
        <stp>EM_S_PQ_PCTCHANGE</stp>
        <stp>4</stp>
        <stp>002708</stp>
        <stp>2018-01-01</stp>
        <stp>2019-12-31</stp>
        <stp>3</stp>
        <tr r="F1971" s="1"/>
      </tp>
      <tp>
        <v>-29.29996483</v>
        <stp/>
        <stp>EM_S_PQ_PCTCHANGE</stp>
        <stp>4</stp>
        <stp>000709</stp>
        <stp>2018-01-01</stp>
        <stp>2019-12-31</stp>
        <stp>3</stp>
        <tr r="F2736" s="1"/>
      </tp>
      <tp>
        <v>-19.047619050000002</v>
        <stp/>
        <stp>EM_S_PQ_PCTCHANGE</stp>
        <stp>4</stp>
        <stp>300528</stp>
        <stp>2018-12-31</stp>
        <stp>2019-12-30</stp>
        <stp>1</stp>
        <tr r="G3044" s="1"/>
      </tp>
      <tp>
        <v>96.23402944</v>
        <stp/>
        <stp>EM_S_PQ_PCTCHANGE</stp>
        <stp>4</stp>
        <stp>300739</stp>
        <stp>2018-01-01</stp>
        <stp>2019-12-31</stp>
        <stp>3</stp>
        <tr r="F2754" s="1"/>
      </tp>
      <tp>
        <v>5.8020477799999997</v>
        <stp/>
        <stp>EM_S_PQ_PCTCHANGE</stp>
        <stp>4</stp>
        <stp>600578</stp>
        <stp>2018-12-31</stp>
        <stp>2019-12-30</stp>
        <stp>1</stp>
        <tr r="G1962" s="1"/>
      </tp>
      <tp>
        <v>-7.6539101499999997</v>
        <stp/>
        <stp>EM_S_PQ_PCTCHANGE</stp>
        <stp>4</stp>
        <stp>600769</stp>
        <stp>2018-01-01</stp>
        <stp>2019-12-31</stp>
        <stp>3</stp>
        <tr r="F695" s="1"/>
      </tp>
      <tp>
        <v>7.7168706800000004</v>
        <stp/>
        <stp>EM_S_PQ_PCTCHANGE</stp>
        <stp>4</stp>
        <stp>603578</stp>
        <stp>2018-12-31</stp>
        <stp>2019-12-30</stp>
        <stp>1</stp>
        <tr r="G1869" s="1"/>
      </tp>
      <tp>
        <v>48.611111110000003</v>
        <stp/>
        <stp>EM_S_PQ_PCTCHANGE</stp>
        <stp>4</stp>
        <stp>002518</stp>
        <stp>2018-12-31</stp>
        <stp>2019-12-30</stp>
        <stp>1</stp>
        <tr r="G588" s="1"/>
      </tp>
      <tp>
        <v>-27.381514559999999</v>
        <stp/>
        <stp>EM_S_PQ_PCTCHANGE</stp>
        <stp>4</stp>
        <stp>002709</stp>
        <stp>2018-01-01</stp>
        <stp>2019-12-31</stp>
        <stp>3</stp>
        <tr r="F2533" s="1"/>
      </tp>
      <tp>
        <v>-25.86764964</v>
        <stp/>
        <stp>EM_S_PQ_PCTCHANGE</stp>
        <stp>4</stp>
        <stp>000700</stp>
        <stp>2018-01-01</stp>
        <stp>2019-12-31</stp>
        <stp>3</stp>
        <tr r="F854" s="1"/>
      </tp>
      <tp>
        <v>20.501138950000001</v>
        <stp/>
        <stp>EM_S_PQ_PCTCHANGE</stp>
        <stp>4</stp>
        <stp>300521</stp>
        <stp>2018-12-31</stp>
        <stp>2019-12-30</stp>
        <stp>1</stp>
        <tr r="G1258" s="1"/>
      </tp>
      <tp>
        <v>-41.26952524</v>
        <stp/>
        <stp>EM_S_PQ_PCTCHANGE</stp>
        <stp>4</stp>
        <stp>300730</stp>
        <stp>2018-01-01</stp>
        <stp>2019-12-31</stp>
        <stp>3</stp>
        <tr r="F3065" s="1"/>
      </tp>
      <tp>
        <v>50.47619048</v>
        <stp/>
        <stp>EM_S_PQ_PCTCHANGE</stp>
        <stp>4</stp>
        <stp>600571</stp>
        <stp>2018-12-31</stp>
        <stp>2019-12-30</stp>
        <stp>1</stp>
        <tr r="G555" s="1"/>
      </tp>
      <tp>
        <v>-9.4296360000000004</v>
        <stp/>
        <stp>EM_S_PQ_PCTCHANGE</stp>
        <stp>4</stp>
        <stp>600760</stp>
        <stp>2018-01-01</stp>
        <stp>2019-12-31</stp>
        <stp>3</stp>
        <tr r="F1639" s="1"/>
      </tp>
      <tp>
        <v>46.713615019999999</v>
        <stp/>
        <stp>EM_S_PQ_PCTCHANGE</stp>
        <stp>4</stp>
        <stp>002511</stp>
        <stp>2018-12-31</stp>
        <stp>2019-12-30</stp>
        <stp>1</stp>
        <tr r="G611" s="1"/>
      </tp>
      <tp>
        <v>-33.15381644</v>
        <stp/>
        <stp>EM_S_PQ_PCTCHANGE</stp>
        <stp>4</stp>
        <stp>002700</stp>
        <stp>2018-01-01</stp>
        <stp>2019-12-31</stp>
        <stp>3</stp>
        <tr r="F3204" s="1"/>
      </tp>
      <tp>
        <v>5.3435114500000003</v>
        <stp/>
        <stp>EM_S_PQ_PCTCHANGE</stp>
        <stp>4</stp>
        <stp>000510</stp>
        <stp>2018-12-31</stp>
        <stp>2019-12-30</stp>
        <stp>1</stp>
        <tr r="G1993" s="1"/>
      </tp>
      <tp>
        <v>-46.685427760000003</v>
        <stp/>
        <stp>EM_S_PQ_PCTCHANGE</stp>
        <stp>4</stp>
        <stp>000701</stp>
        <stp>2018-01-01</stp>
        <stp>2019-12-31</stp>
        <stp>3</stp>
        <tr r="F2836" s="1"/>
      </tp>
      <tp>
        <v>25.41694463</v>
        <stp/>
        <stp>EM_S_PQ_PCTCHANGE</stp>
        <stp>4</stp>
        <stp>300520</stp>
        <stp>2018-12-31</stp>
        <stp>2019-12-30</stp>
        <stp>1</stp>
        <tr r="G1078" s="1"/>
      </tp>
      <tp>
        <v>11.242458129999999</v>
        <stp/>
        <stp>EM_S_PQ_PCTCHANGE</stp>
        <stp>4</stp>
        <stp>300731</stp>
        <stp>2018-01-01</stp>
        <stp>2019-12-31</stp>
        <stp>3</stp>
        <tr r="F1668" s="1"/>
      </tp>
      <tp>
        <v>48.922662559999999</v>
        <stp/>
        <stp>EM_S_PQ_PCTCHANGE</stp>
        <stp>4</stp>
        <stp>600570</stp>
        <stp>2018-12-31</stp>
        <stp>2019-12-30</stp>
        <stp>1</stp>
        <tr r="G583" s="1"/>
      </tp>
      <tp>
        <v>0.87648017</v>
        <stp/>
        <stp>EM_S_PQ_PCTCHANGE</stp>
        <stp>4</stp>
        <stp>600761</stp>
        <stp>2018-01-01</stp>
        <stp>2019-12-31</stp>
        <stp>3</stp>
        <tr r="F1761" s="1"/>
      </tp>
      <tp>
        <v>27.8551532</v>
        <stp/>
        <stp>EM_S_PQ_PCTCHANGE</stp>
        <stp>4</stp>
        <stp>002510</stp>
        <stp>2018-12-31</stp>
        <stp>2019-12-30</stp>
        <stp>1</stp>
        <tr r="G994" s="1"/>
      </tp>
      <tp>
        <v>-25.326260269999999</v>
        <stp/>
        <stp>EM_S_PQ_PCTCHANGE</stp>
        <stp>4</stp>
        <stp>002701</stp>
        <stp>2018-01-01</stp>
        <stp>2019-12-31</stp>
        <stp>3</stp>
        <tr r="F2874" s="1"/>
      </tp>
      <tp>
        <v>30.69582505</v>
        <stp/>
        <stp>EM_S_PQ_PCTCHANGE</stp>
        <stp>4</stp>
        <stp>000513</stp>
        <stp>2018-12-31</stp>
        <stp>2019-12-30</stp>
        <stp>1</stp>
        <tr r="G913" s="1"/>
      </tp>
      <tp>
        <v>-16.642547029999999</v>
        <stp/>
        <stp>EM_S_PQ_PCTCHANGE</stp>
        <stp>4</stp>
        <stp>000702</stp>
        <stp>2018-01-01</stp>
        <stp>2019-12-31</stp>
        <stp>3</stp>
        <tr r="F3516" s="1"/>
      </tp>
      <tp>
        <v>-24.48739496</v>
        <stp/>
        <stp>EM_S_PQ_PCTCHANGE</stp>
        <stp>4</stp>
        <stp>300523</stp>
        <stp>2018-12-31</stp>
        <stp>2019-12-30</stp>
        <stp>1</stp>
        <tr r="G3143" s="1"/>
      </tp>
      <tp>
        <v>-45.766527629999999</v>
        <stp/>
        <stp>EM_S_PQ_PCTCHANGE</stp>
        <stp>4</stp>
        <stp>300732</stp>
        <stp>2018-01-01</stp>
        <stp>2019-12-31</stp>
        <stp>3</stp>
        <tr r="F3364" s="1"/>
      </tp>
      <tp>
        <v>3.4976152599999999</v>
        <stp/>
        <stp>EM_S_PQ_PCTCHANGE</stp>
        <stp>4</stp>
        <stp>600573</stp>
        <stp>2018-12-31</stp>
        <stp>2019-12-30</stp>
        <stp>1</stp>
        <tr r="G2085" s="1"/>
      </tp>
      <tp>
        <v>0</v>
        <stp/>
        <stp>EM_S_PQ_PCTCHANGE</stp>
        <stp>4</stp>
        <stp>600762</stp>
        <stp>2018-01-01</stp>
        <stp>2019-12-31</stp>
        <stp>3</stp>
        <tr r="F2320" s="1"/>
      </tp>
      <tp>
        <v>9.0769230800000003</v>
        <stp/>
        <stp>EM_S_PQ_PCTCHANGE</stp>
        <stp>4</stp>
        <stp>002513</stp>
        <stp>2018-12-31</stp>
        <stp>2019-12-30</stp>
        <stp>1</stp>
        <tr r="G1792" s="1"/>
      </tp>
      <tp>
        <v>-17.488706140000001</v>
        <stp/>
        <stp>EM_S_PQ_PCTCHANGE</stp>
        <stp>4</stp>
        <stp>002702</stp>
        <stp>2018-01-01</stp>
        <stp>2019-12-31</stp>
        <stp>3</stp>
        <tr r="F1877" s="1"/>
      </tp>
      <tp>
        <v>-6.70081623</v>
        <stp/>
        <stp>EM_S_PQ_PCTCHANGE</stp>
        <stp>4</stp>
        <stp>000703</stp>
        <stp>2018-01-01</stp>
        <stp>2019-12-31</stp>
        <stp>3</stp>
        <tr r="F1288" s="1"/>
      </tp>
      <tp>
        <v>8.3333333300000003</v>
        <stp/>
        <stp>EM_S_PQ_PCTCHANGE</stp>
        <stp>4</stp>
        <stp>300522</stp>
        <stp>2018-12-31</stp>
        <stp>2019-12-30</stp>
        <stp>1</stp>
        <tr r="G1837" s="1"/>
      </tp>
      <tp>
        <v>-8.5121233899999993</v>
        <stp/>
        <stp>EM_S_PQ_PCTCHANGE</stp>
        <stp>4</stp>
        <stp>300733</stp>
        <stp>2018-01-01</stp>
        <stp>2019-12-31</stp>
        <stp>3</stp>
        <tr r="F3184" s="1"/>
      </tp>
      <tp>
        <v>1.6863406400000001</v>
        <stp/>
        <stp>EM_S_PQ_PCTCHANGE</stp>
        <stp>4</stp>
        <stp>600572</stp>
        <stp>2018-12-31</stp>
        <stp>2019-12-30</stp>
        <stp>1</stp>
        <tr r="G2179" s="1"/>
      </tp>
      <tp>
        <v>217.44107294</v>
        <stp/>
        <stp>EM_S_PQ_PCTCHANGE</stp>
        <stp>4</stp>
        <stp>600763</stp>
        <stp>2018-01-01</stp>
        <stp>2019-12-31</stp>
        <stp>3</stp>
        <tr r="F136" s="1"/>
      </tp>
      <tp>
        <v>20.33898305</v>
        <stp/>
        <stp>EM_S_PQ_PCTCHANGE</stp>
        <stp>4</stp>
        <stp>002512</stp>
        <stp>2018-12-31</stp>
        <stp>2019-12-30</stp>
        <stp>1</stp>
        <tr r="G1261" s="1"/>
      </tp>
      <tp>
        <v>-44.444444439999998</v>
        <stp/>
        <stp>EM_S_PQ_PCTCHANGE</stp>
        <stp>4</stp>
        <stp>002703</stp>
        <stp>2018-01-01</stp>
        <stp>2019-12-31</stp>
        <stp>3</stp>
        <tr r="F1670" s="1"/>
      </tp>
      <tp>
        <v>64.23757372</v>
        <stp/>
        <stp>EM_S_PQ_PCTCHANGE</stp>
        <stp>4</stp>
        <stp>300525</stp>
        <stp>2018-12-31</stp>
        <stp>2019-12-30</stp>
        <stp>1</stp>
        <tr r="G381" s="1"/>
      </tp>
      <tp>
        <v>21.126760560000001</v>
        <stp/>
        <stp>EM_S_PQ_PCTCHANGE</stp>
        <stp>4</stp>
        <stp>600575</stp>
        <stp>2018-12-31</stp>
        <stp>2019-12-30</stp>
        <stp>1</stp>
        <tr r="G1229" s="1"/>
      </tp>
      <tp>
        <v>2.5309255799999999</v>
        <stp/>
        <stp>EM_S_PQ_PCTCHANGE</stp>
        <stp>4</stp>
        <stp>600764</stp>
        <stp>2018-01-01</stp>
        <stp>2019-12-31</stp>
        <stp>3</stp>
        <tr r="F1185" s="1"/>
      </tp>
      <tp>
        <v>28.16229117</v>
        <stp/>
        <stp>EM_S_PQ_PCTCHANGE</stp>
        <stp>4</stp>
        <stp>002515</stp>
        <stp>2018-12-31</stp>
        <stp>2019-12-30</stp>
        <stp>1</stp>
        <tr r="G982" s="1"/>
      </tp>
      <tp>
        <v>-18.61639765</v>
        <stp/>
        <stp>EM_S_PQ_PCTCHANGE</stp>
        <stp>4</stp>
        <stp>000705</stp>
        <stp>2018-01-01</stp>
        <stp>2019-12-31</stp>
        <stp>3</stp>
        <tr r="F1817" s="1"/>
      </tp>
      <tp>
        <v>141.27934791000001</v>
        <stp/>
        <stp>EM_S_PQ_PCTCHANGE</stp>
        <stp>4</stp>
        <stp>300735</stp>
        <stp>2018-01-01</stp>
        <stp>2019-12-31</stp>
        <stp>3</stp>
        <tr r="F394" s="1"/>
      </tp>
      <tp>
        <v>-14.2985331</v>
        <stp/>
        <stp>EM_S_PQ_PCTCHANGE</stp>
        <stp>4</stp>
        <stp>600765</stp>
        <stp>2018-01-01</stp>
        <stp>2019-12-31</stp>
        <stp>3</stp>
        <tr r="F867" s="1"/>
      </tp>
      <tp>
        <v>8.4427767399999993</v>
        <stp/>
        <stp>EM_S_PQ_PCTCHANGE</stp>
        <stp>4</stp>
        <stp>002514</stp>
        <stp>2018-12-31</stp>
        <stp>2019-12-30</stp>
        <stp>1</stp>
        <tr r="G1830" s="1"/>
      </tp>
      <tp>
        <v>43.150358519999997</v>
        <stp/>
        <stp>EM_S_PQ_PCTCHANGE</stp>
        <stp>4</stp>
        <stp>002705</stp>
        <stp>2018-01-01</stp>
        <stp>2019-12-31</stp>
        <stp>3</stp>
        <tr r="F240" s="1"/>
      </tp>
      <tp>
        <v>-38.615839659999999</v>
        <stp/>
        <stp>EM_S_PQ_PCTCHANGE</stp>
        <stp>4</stp>
        <stp>601766</stp>
        <stp>2018-01-01</stp>
        <stp>2019-12-31</stp>
        <stp>3</stp>
        <tr r="F3076" s="1"/>
      </tp>
      <tp>
        <v>65.151515149999994</v>
        <stp/>
        <stp>EM_S_PQ_PCTCHANGE</stp>
        <stp>4</stp>
        <stp>300527</stp>
        <stp>2018-12-31</stp>
        <stp>2019-12-30</stp>
        <stp>1</stp>
        <tr r="G365" s="1"/>
      </tp>
      <tp>
        <v>39.857541730000001</v>
        <stp/>
        <stp>EM_S_PQ_PCTCHANGE</stp>
        <stp>4</stp>
        <stp>300736</stp>
        <stp>2018-01-01</stp>
        <stp>2019-12-31</stp>
        <stp>3</stp>
        <tr r="F3372" s="1"/>
      </tp>
      <tp>
        <v>-8.4175084200000008</v>
        <stp/>
        <stp>EM_S_PQ_PCTCHANGE</stp>
        <stp>4</stp>
        <stp>600577</stp>
        <stp>2018-12-31</stp>
        <stp>2019-12-30</stp>
        <stp>1</stp>
        <tr r="G2701" s="1"/>
      </tp>
      <tp>
        <v>-18.933623499999999</v>
        <stp/>
        <stp>EM_S_PQ_PCTCHANGE</stp>
        <stp>4</stp>
        <stp>600766</stp>
        <stp>2018-01-01</stp>
        <stp>2019-12-31</stp>
        <stp>3</stp>
        <tr r="F2671" s="1"/>
      </tp>
      <tp>
        <v>16.33554084</v>
        <stp/>
        <stp>EM_S_PQ_PCTCHANGE</stp>
        <stp>4</stp>
        <stp>603577</stp>
        <stp>2018-12-31</stp>
        <stp>2019-12-30</stp>
        <stp>1</stp>
        <tr r="G1423" s="1"/>
      </tp>
      <tp>
        <v>-42.994001470000001</v>
        <stp/>
        <stp>EM_S_PQ_PCTCHANGE</stp>
        <stp>4</stp>
        <stp>603766</stp>
        <stp>2018-01-01</stp>
        <stp>2019-12-31</stp>
        <stp>3</stp>
        <tr r="F2719" s="1"/>
      </tp>
      <tp>
        <v>-29.919137469999999</v>
        <stp/>
        <stp>EM_S_PQ_PCTCHANGE</stp>
        <stp>4</stp>
        <stp>002517</stp>
        <stp>2018-12-31</stp>
        <stp>2019-12-30</stp>
        <stp>1</stp>
        <tr r="G3215" s="1"/>
      </tp>
      <tp>
        <v>6.6920453000000002</v>
        <stp/>
        <stp>EM_S_PQ_PCTCHANGE</stp>
        <stp>4</stp>
        <stp>002706</stp>
        <stp>2018-01-01</stp>
        <stp>2019-12-31</stp>
        <stp>3</stp>
        <tr r="F778" s="1"/>
      </tp>
      <tp>
        <v>-44.40433213</v>
        <stp/>
        <stp>EM_S_PQ_PCTCHANGE</stp>
        <stp>4</stp>
        <stp>000707</stp>
        <stp>2018-01-01</stp>
        <stp>2019-12-31</stp>
        <stp>3</stp>
        <tr r="F3517" s="1"/>
      </tp>
      <tp>
        <v>363.96074933</v>
        <stp/>
        <stp>EM_S_PQ_PCTCHANGE</stp>
        <stp>4</stp>
        <stp>300526</stp>
        <stp>2018-12-31</stp>
        <stp>2019-12-30</stp>
        <stp>1</stp>
        <tr r="G21" s="1"/>
      </tp>
      <tp>
        <v>14.767600079999999</v>
        <stp/>
        <stp>EM_S_PQ_PCTCHANGE</stp>
        <stp>4</stp>
        <stp>300737</stp>
        <stp>2018-01-01</stp>
        <stp>2019-12-31</stp>
        <stp>3</stp>
        <tr r="F983" s="1"/>
      </tp>
      <tp>
        <v>16.666666670000001</v>
        <stp/>
        <stp>EM_S_PQ_PCTCHANGE</stp>
        <stp>4</stp>
        <stp>600576</stp>
        <stp>2018-12-31</stp>
        <stp>2019-12-30</stp>
        <stp>1</stp>
        <tr r="G1411" s="1"/>
      </tp>
      <tp>
        <v>-27.8366112</v>
        <stp/>
        <stp>EM_S_PQ_PCTCHANGE</stp>
        <stp>4</stp>
        <stp>600767</stp>
        <stp>2018-01-01</stp>
        <stp>2019-12-31</stp>
        <stp>3</stp>
        <tr r="F2211" s="1"/>
      </tp>
      <tp>
        <v>-30.43920391</v>
        <stp/>
        <stp>EM_S_PQ_PCTCHANGE</stp>
        <stp>4</stp>
        <stp>603767</stp>
        <stp>2018-01-01</stp>
        <stp>2019-12-31</stp>
        <stp>3</stp>
        <tr r="F1821" s="1"/>
      </tp>
      <tp>
        <v>-5.6338028199999997</v>
        <stp/>
        <stp>EM_S_PQ_PCTCHANGE</stp>
        <stp>4</stp>
        <stp>002516</stp>
        <stp>2018-12-31</stp>
        <stp>2019-12-30</stp>
        <stp>1</stp>
        <tr r="G2588" s="1"/>
      </tp>
      <tp>
        <v>-42.3133956</v>
        <stp/>
        <stp>EM_S_PQ_PCTCHANGE</stp>
        <stp>4</stp>
        <stp>002707</stp>
        <stp>2018-01-01</stp>
        <stp>2019-12-31</stp>
        <stp>3</stp>
        <tr r="F2368" s="1"/>
      </tp>
      <tp>
        <v>51.116071429999998</v>
        <stp/>
        <stp>EM_S_PQ_PCTCHANGE</stp>
        <stp>4</stp>
        <stp>000529</stp>
        <stp>2018-12-31</stp>
        <stp>2019-12-30</stp>
        <stp>1</stp>
        <tr r="G546" s="1"/>
      </tp>
      <tp>
        <v>-14.07633828</v>
        <stp/>
        <stp>EM_S_PQ_PCTCHANGE</stp>
        <stp>4</stp>
        <stp>000738</stp>
        <stp>2018-01-01</stp>
        <stp>2019-12-31</stp>
        <stp>3</stp>
        <tr r="F1824" s="1"/>
      </tp>
      <tp>
        <v>-2.7476500399999999</v>
        <stp/>
        <stp>EM_S_PQ_PCTCHANGE</stp>
        <stp>4</stp>
        <stp>300519</stp>
        <stp>2018-12-31</stp>
        <stp>2019-12-30</stp>
        <stp>1</stp>
        <tr r="G2466" s="1"/>
      </tp>
      <tp>
        <v>-55.738634390000001</v>
        <stp/>
        <stp>EM_S_PQ_PCTCHANGE</stp>
        <stp>4</stp>
        <stp>300708</stp>
        <stp>2018-01-01</stp>
        <stp>2019-12-31</stp>
        <stp>3</stp>
        <tr r="F1073" s="1"/>
      </tp>
      <tp>
        <v>9.1059602599999998</v>
        <stp/>
        <stp>EM_S_PQ_PCTCHANGE</stp>
        <stp>4</stp>
        <stp>600549</stp>
        <stp>2018-12-31</stp>
        <stp>2019-12-30</stp>
        <stp>1</stp>
        <tr r="G1788" s="1"/>
      </tp>
      <tp>
        <v>-39.3564753</v>
        <stp/>
        <stp>EM_S_PQ_PCTCHANGE</stp>
        <stp>4</stp>
        <stp>600758</stp>
        <stp>2018-01-01</stp>
        <stp>2019-12-31</stp>
        <stp>3</stp>
        <tr r="F884" s="1"/>
      </tp>
      <tp>
        <v>-54.140781969999999</v>
        <stp/>
        <stp>EM_S_PQ_PCTCHANGE</stp>
        <stp>4</stp>
        <stp>603758</stp>
        <stp>2018-01-01</stp>
        <stp>2019-12-31</stp>
        <stp>3</stp>
        <tr r="F2185" s="1"/>
      </tp>
      <tp>
        <v>-14.432989689999999</v>
        <stp/>
        <stp>EM_S_PQ_PCTCHANGE</stp>
        <stp>4</stp>
        <stp>002529</stp>
        <stp>2018-12-31</stp>
        <stp>2019-12-30</stp>
        <stp>1</stp>
        <tr r="G2916" s="1"/>
      </tp>
      <tp>
        <v>-40.850853379999997</v>
        <stp/>
        <stp>EM_S_PQ_PCTCHANGE</stp>
        <stp>4</stp>
        <stp>002738</stp>
        <stp>2018-01-01</stp>
        <stp>2019-12-31</stp>
        <stp>3</stp>
        <tr r="F1459" s="1"/>
      </tp>
      <tp>
        <v>13.838550250000001</v>
        <stp/>
        <stp>EM_S_PQ_PCTCHANGE</stp>
        <stp>4</stp>
        <stp>000528</stp>
        <stp>2018-12-31</stp>
        <stp>2019-12-30</stp>
        <stp>1</stp>
        <tr r="G1542" s="1"/>
      </tp>
      <tp>
        <v>104.61344645</v>
        <stp/>
        <stp>EM_S_PQ_PCTCHANGE</stp>
        <stp>4</stp>
        <stp>000739</stp>
        <stp>2018-01-01</stp>
        <stp>2019-12-31</stp>
        <stp>3</stp>
        <tr r="F340" s="1"/>
      </tp>
      <tp>
        <v>18.57758621</v>
        <stp/>
        <stp>EM_S_PQ_PCTCHANGE</stp>
        <stp>4</stp>
        <stp>300518</stp>
        <stp>2018-12-31</stp>
        <stp>2019-12-30</stp>
        <stp>1</stp>
        <tr r="G1346" s="1"/>
      </tp>
      <tp>
        <v>36.646216580000001</v>
        <stp/>
        <stp>EM_S_PQ_PCTCHANGE</stp>
        <stp>4</stp>
        <stp>300709</stp>
        <stp>2018-01-01</stp>
        <stp>2019-12-31</stp>
        <stp>3</stp>
        <tr r="F30" s="1"/>
      </tp>
      <tp>
        <v>26.169265029999998</v>
        <stp/>
        <stp>EM_S_PQ_PCTCHANGE</stp>
        <stp>4</stp>
        <stp>600548</stp>
        <stp>2018-12-31</stp>
        <stp>2019-12-30</stp>
        <stp>1</stp>
        <tr r="G1053" s="1"/>
      </tp>
      <tp>
        <v>-34.976525819999999</v>
        <stp/>
        <stp>EM_S_PQ_PCTCHANGE</stp>
        <stp>4</stp>
        <stp>600759</stp>
        <stp>2018-01-01</stp>
        <stp>2019-12-31</stp>
        <stp>3</stp>
        <tr r="F1390" s="1"/>
      </tp>
      <tp>
        <v>44.23076923</v>
        <stp/>
        <stp>EM_S_PQ_PCTCHANGE</stp>
        <stp>4</stp>
        <stp>002528</stp>
        <stp>2018-12-31</stp>
        <stp>2019-12-30</stp>
        <stp>1</stp>
        <tr r="G665" s="1"/>
      </tp>
      <tp>
        <v>-47.4826385</v>
        <stp/>
        <stp>EM_S_PQ_PCTCHANGE</stp>
        <stp>4</stp>
        <stp>002739</stp>
        <stp>2018-01-01</stp>
        <stp>2019-12-31</stp>
        <stp>3</stp>
        <tr r="F2975" s="1"/>
      </tp>
      <tp>
        <v>14.864864860000001</v>
        <stp/>
        <stp>EM_S_PQ_PCTCHANGE</stp>
        <stp>4</stp>
        <stp>000521</stp>
        <stp>2018-12-31</stp>
        <stp>2019-12-30</stp>
        <stp>1</stp>
        <tr r="G1492" s="1"/>
      </tp>
      <tp>
        <v>0</v>
        <stp/>
        <stp>EM_S_PQ_PCTCHANGE</stp>
        <stp>4</stp>
        <stp>000730</stp>
        <stp>2018-01-01</stp>
        <stp>2019-12-31</stp>
        <stp>3</stp>
        <tr r="F2278" s="1"/>
      </tp>
      <tp>
        <v>12.730318260000001</v>
        <stp/>
        <stp>EM_S_PQ_PCTCHANGE</stp>
        <stp>4</stp>
        <stp>300511</stp>
        <stp>2018-12-31</stp>
        <stp>2019-12-30</stp>
        <stp>1</stp>
        <tr r="G1595" s="1"/>
      </tp>
      <tp>
        <v>-68.614905980000003</v>
        <stp/>
        <stp>EM_S_PQ_PCTCHANGE</stp>
        <stp>4</stp>
        <stp>300700</stp>
        <stp>2018-01-01</stp>
        <stp>2019-12-31</stp>
        <stp>3</stp>
        <tr r="F3042" s="1"/>
      </tp>
      <tp>
        <v>-10.4552628</v>
        <stp/>
        <stp>EM_S_PQ_PCTCHANGE</stp>
        <stp>4</stp>
        <stp>600750</stp>
        <stp>2018-01-01</stp>
        <stp>2019-12-31</stp>
        <stp>3</stp>
        <tr r="F3185" s="1"/>
      </tp>
      <tp>
        <v>6.8222621200000004</v>
        <stp/>
        <stp>EM_S_PQ_PCTCHANGE</stp>
        <stp>4</stp>
        <stp>002521</stp>
        <stp>2018-12-31</stp>
        <stp>2019-12-30</stp>
        <stp>1</stp>
        <tr r="G1904" s="1"/>
      </tp>
      <tp>
        <v>-37.002610709999999</v>
        <stp/>
        <stp>EM_S_PQ_PCTCHANGE</stp>
        <stp>4</stp>
        <stp>002730</stp>
        <stp>2018-01-01</stp>
        <stp>2019-12-31</stp>
        <stp>3</stp>
        <tr r="F1216" s="1"/>
      </tp>
      <tp>
        <v>45.138888889999997</v>
        <stp/>
        <stp>EM_S_PQ_PCTCHANGE</stp>
        <stp>4</stp>
        <stp>000520</stp>
        <stp>2018-12-31</stp>
        <stp>2019-12-30</stp>
        <stp>1</stp>
        <tr r="G641" s="1"/>
      </tp>
      <tp>
        <v>-32.29130533</v>
        <stp/>
        <stp>EM_S_PQ_PCTCHANGE</stp>
        <stp>4</stp>
        <stp>000731</stp>
        <stp>2018-01-01</stp>
        <stp>2019-12-31</stp>
        <stp>3</stp>
        <tr r="F2107" s="1"/>
      </tp>
      <tp>
        <v>-27.44886975</v>
        <stp/>
        <stp>EM_S_PQ_PCTCHANGE</stp>
        <stp>4</stp>
        <stp>300510</stp>
        <stp>2018-12-31</stp>
        <stp>2019-12-30</stp>
        <stp>1</stp>
        <tr r="G3188" s="1"/>
      </tp>
      <tp>
        <v>29.98814247</v>
        <stp/>
        <stp>EM_S_PQ_PCTCHANGE</stp>
        <stp>4</stp>
        <stp>300701</stp>
        <stp>2018-01-01</stp>
        <stp>2019-12-31</stp>
        <stp>3</stp>
        <tr r="F2221" s="1"/>
      </tp>
      <tp>
        <v>11.26760563</v>
        <stp/>
        <stp>EM_S_PQ_PCTCHANGE</stp>
        <stp>4</stp>
        <stp>600540</stp>
        <stp>2018-12-31</stp>
        <stp>2019-12-30</stp>
        <stp>1</stp>
        <tr r="G1667" s="1"/>
      </tp>
      <tp>
        <v>-52.045826509999998</v>
        <stp/>
        <stp>EM_S_PQ_PCTCHANGE</stp>
        <stp>4</stp>
        <stp>600751</stp>
        <stp>2018-01-01</stp>
        <stp>2019-12-31</stp>
        <stp>3</stp>
        <tr r="F1828" s="1"/>
      </tp>
      <tp>
        <v>-7.0539419099999998</v>
        <stp/>
        <stp>EM_S_PQ_PCTCHANGE</stp>
        <stp>4</stp>
        <stp>002520</stp>
        <stp>2018-12-31</stp>
        <stp>2019-12-30</stp>
        <stp>1</stp>
        <tr r="G2660" s="1"/>
      </tp>
      <tp>
        <v>-27.591104210000001</v>
        <stp/>
        <stp>EM_S_PQ_PCTCHANGE</stp>
        <stp>4</stp>
        <stp>002731</stp>
        <stp>2018-01-01</stp>
        <stp>2019-12-31</stp>
        <stp>3</stp>
        <tr r="F3386" s="1"/>
      </tp>
      <tp>
        <v>88.860759490000007</v>
        <stp/>
        <stp>EM_S_PQ_PCTCHANGE</stp>
        <stp>4</stp>
        <stp>000523</stp>
        <stp>2018-12-31</stp>
        <stp>2019-12-30</stp>
        <stp>1</stp>
        <tr r="G204" s="1"/>
      </tp>
      <tp>
        <v>-37.032845399999999</v>
        <stp/>
        <stp>EM_S_PQ_PCTCHANGE</stp>
        <stp>4</stp>
        <stp>000732</stp>
        <stp>2018-01-01</stp>
        <stp>2019-12-31</stp>
        <stp>3</stp>
        <tr r="F3385" s="1"/>
      </tp>
      <tp>
        <v>-40</v>
        <stp/>
        <stp>EM_S_PQ_PCTCHANGE</stp>
        <stp>4</stp>
        <stp>300513</stp>
        <stp>2018-12-31</stp>
        <stp>2019-12-30</stp>
        <stp>1</stp>
        <tr r="G3312" s="1"/>
      </tp>
      <tp>
        <v>83.322098199999999</v>
        <stp/>
        <stp>EM_S_PQ_PCTCHANGE</stp>
        <stp>4</stp>
        <stp>300702</stp>
        <stp>2018-01-01</stp>
        <stp>2019-12-31</stp>
        <stp>3</stp>
        <tr r="F105" s="1"/>
      </tp>
      <tp>
        <v>-11.791730469999999</v>
        <stp/>
        <stp>EM_S_PQ_PCTCHANGE</stp>
        <stp>4</stp>
        <stp>600543</stp>
        <stp>2018-12-31</stp>
        <stp>2019-12-30</stp>
        <stp>1</stp>
        <tr r="G2825" s="1"/>
      </tp>
      <tp>
        <v>0</v>
        <stp/>
        <stp>EM_S_PQ_PCTCHANGE</stp>
        <stp>4</stp>
        <stp>600752</stp>
        <stp>2018-01-01</stp>
        <stp>2019-12-31</stp>
        <stp>3</stp>
        <tr r="F2319" s="1"/>
      </tp>
      <tp>
        <v>4.0677966100000003</v>
        <stp/>
        <stp>EM_S_PQ_PCTCHANGE</stp>
        <stp>4</stp>
        <stp>002523</stp>
        <stp>2018-12-31</stp>
        <stp>2019-12-30</stp>
        <stp>1</stp>
        <tr r="G2054" s="1"/>
      </tp>
      <tp>
        <v>-17.711347100000001</v>
        <stp/>
        <stp>EM_S_PQ_PCTCHANGE</stp>
        <stp>4</stp>
        <stp>002732</stp>
        <stp>2018-01-01</stp>
        <stp>2019-12-31</stp>
        <stp>3</stp>
        <tr r="F992" s="1"/>
      </tp>
      <tp>
        <v>15.89925292</v>
        <stp/>
        <stp>EM_S_PQ_PCTCHANGE</stp>
        <stp>4</stp>
        <stp>000733</stp>
        <stp>2018-01-01</stp>
        <stp>2019-12-31</stp>
        <stp>3</stp>
        <tr r="F3522" s="1"/>
      </tp>
      <tp>
        <v>-4.75</v>
        <stp/>
        <stp>EM_S_PQ_PCTCHANGE</stp>
        <stp>4</stp>
        <stp>300512</stp>
        <stp>2018-12-31</stp>
        <stp>2019-12-30</stp>
        <stp>1</stp>
        <tr r="G2554" s="1"/>
      </tp>
      <tp>
        <v>-15.00624696</v>
        <stp/>
        <stp>EM_S_PQ_PCTCHANGE</stp>
        <stp>4</stp>
        <stp>300703</stp>
        <stp>2018-01-01</stp>
        <stp>2019-12-31</stp>
        <stp>3</stp>
        <tr r="F3050" s="1"/>
      </tp>
      <tp>
        <v>-48.305647839999999</v>
        <stp/>
        <stp>EM_S_PQ_PCTCHANGE</stp>
        <stp>4</stp>
        <stp>600753</stp>
        <stp>2018-01-01</stp>
        <stp>2019-12-31</stp>
        <stp>3</stp>
        <tr r="F1909" s="1"/>
      </tp>
      <tp>
        <v>26.380368099999998</v>
        <stp/>
        <stp>EM_S_PQ_PCTCHANGE</stp>
        <stp>4</stp>
        <stp>002522</stp>
        <stp>2018-12-31</stp>
        <stp>2019-12-30</stp>
        <stp>1</stp>
        <tr r="G1044" s="1"/>
      </tp>
      <tp>
        <v>57.624144440000002</v>
        <stp/>
        <stp>EM_S_PQ_PCTCHANGE</stp>
        <stp>4</stp>
        <stp>002733</stp>
        <stp>2018-01-01</stp>
        <stp>2019-12-31</stp>
        <stp>3</stp>
        <tr r="F67" s="1"/>
      </tp>
      <tp>
        <v>-31.432644329999999</v>
        <stp/>
        <stp>EM_S_PQ_PCTCHANGE</stp>
        <stp>4</stp>
        <stp>000525</stp>
        <stp>2018-12-31</stp>
        <stp>2019-12-30</stp>
        <stp>1</stp>
        <tr r="G3231" s="1"/>
      </tp>
      <tp>
        <v>12.42807825</v>
        <stp/>
        <stp>EM_S_PQ_PCTCHANGE</stp>
        <stp>4</stp>
        <stp>300515</stp>
        <stp>2018-12-31</stp>
        <stp>2019-12-30</stp>
        <stp>1</stp>
        <tr r="G1615" s="1"/>
      </tp>
      <tp>
        <v>-18.513513509999999</v>
        <stp/>
        <stp>EM_S_PQ_PCTCHANGE</stp>
        <stp>4</stp>
        <stp>600545</stp>
        <stp>2018-12-31</stp>
        <stp>2019-12-30</stp>
        <stp>1</stp>
        <tr r="G3035" s="1"/>
      </tp>
      <tp>
        <v>-7.3920422700000001</v>
        <stp/>
        <stp>EM_S_PQ_PCTCHANGE</stp>
        <stp>4</stp>
        <stp>600754</stp>
        <stp>2018-01-01</stp>
        <stp>2019-12-31</stp>
        <stp>3</stp>
        <tr r="F789" s="1"/>
      </tp>
      <tp>
        <v>0</v>
        <stp/>
        <stp>EM_S_PQ_PCTCHANGE</stp>
        <stp>4</stp>
        <stp>002525</stp>
        <stp>2018-12-31</stp>
        <stp>2019-12-30</stp>
        <stp>1</stp>
        <tr r="G6" s="1"/>
      </tp>
      <tp>
        <v>-1.80620859</v>
        <stp/>
        <stp>EM_S_PQ_PCTCHANGE</stp>
        <stp>4</stp>
        <stp>002734</stp>
        <stp>2018-01-01</stp>
        <stp>2019-12-31</stp>
        <stp>3</stp>
        <tr r="F875" s="1"/>
      </tp>
      <tp>
        <v>8.4057970999999991</v>
        <stp/>
        <stp>EM_S_PQ_PCTCHANGE</stp>
        <stp>4</stp>
        <stp>000524</stp>
        <stp>2018-12-31</stp>
        <stp>2019-12-30</stp>
        <stp>1</stp>
        <tr r="G1832" s="1"/>
      </tp>
      <tp>
        <v>26.16711622</v>
        <stp/>
        <stp>EM_S_PQ_PCTCHANGE</stp>
        <stp>4</stp>
        <stp>000735</stp>
        <stp>2018-01-01</stp>
        <stp>2019-12-31</stp>
        <stp>3</stp>
        <tr r="F3523" s="1"/>
      </tp>
      <tp>
        <v>0.48309179000000002</v>
        <stp/>
        <stp>EM_S_PQ_PCTCHANGE</stp>
        <stp>4</stp>
        <stp>300514</stp>
        <stp>2018-12-31</stp>
        <stp>2019-12-30</stp>
        <stp>1</stp>
        <tr r="G2250" s="1"/>
      </tp>
      <tp>
        <v>-5.3728517199999999</v>
        <stp/>
        <stp>EM_S_PQ_PCTCHANGE</stp>
        <stp>4</stp>
        <stp>300705</stp>
        <stp>2018-01-01</stp>
        <stp>2019-12-31</stp>
        <stp>3</stp>
        <tr r="F2226" s="1"/>
      </tp>
      <tp>
        <v>-22.798515909999999</v>
        <stp/>
        <stp>EM_S_PQ_PCTCHANGE</stp>
        <stp>4</stp>
        <stp>600755</stp>
        <stp>2018-01-01</stp>
        <stp>2019-12-31</stp>
        <stp>3</stp>
        <tr r="F1998" s="1"/>
      </tp>
      <tp>
        <v>122.87581699</v>
        <stp/>
        <stp>EM_S_PQ_PCTCHANGE</stp>
        <stp>4</stp>
        <stp>002524</stp>
        <stp>2018-12-31</stp>
        <stp>2019-12-30</stp>
        <stp>1</stp>
        <tr r="G120" s="1"/>
      </tp>
      <tp>
        <v>-2.1028825900000001</v>
        <stp/>
        <stp>EM_S_PQ_PCTCHANGE</stp>
        <stp>4</stp>
        <stp>002735</stp>
        <stp>2018-01-01</stp>
        <stp>2019-12-31</stp>
        <stp>3</stp>
        <tr r="F2934" s="1"/>
      </tp>
      <tp>
        <v>-15.75410376</v>
        <stp/>
        <stp>EM_S_PQ_PCTCHANGE</stp>
        <stp>4</stp>
        <stp>000736</stp>
        <stp>2018-01-01</stp>
        <stp>2019-12-31</stp>
        <stp>3</stp>
        <tr r="F2610" s="1"/>
      </tp>
      <tp>
        <v>14.31818182</v>
        <stp/>
        <stp>EM_S_PQ_PCTCHANGE</stp>
        <stp>4</stp>
        <stp>300517</stp>
        <stp>2018-12-31</stp>
        <stp>2019-12-30</stp>
        <stp>1</stp>
        <tr r="G1512" s="1"/>
      </tp>
      <tp>
        <v>-43.636639860000002</v>
        <stp/>
        <stp>EM_S_PQ_PCTCHANGE</stp>
        <stp>4</stp>
        <stp>300706</stp>
        <stp>2018-01-01</stp>
        <stp>2019-12-31</stp>
        <stp>3</stp>
        <tr r="F1440" s="1"/>
      </tp>
      <tp>
        <v>6.1818181799999996</v>
        <stp/>
        <stp>EM_S_PQ_PCTCHANGE</stp>
        <stp>4</stp>
        <stp>600547</stp>
        <stp>2018-12-31</stp>
        <stp>2019-12-30</stp>
        <stp>1</stp>
        <tr r="G1942" s="1"/>
      </tp>
      <tp>
        <v>17.49856917</v>
        <stp/>
        <stp>EM_S_PQ_PCTCHANGE</stp>
        <stp>4</stp>
        <stp>600756</stp>
        <stp>2018-01-01</stp>
        <stp>2019-12-31</stp>
        <stp>3</stp>
        <tr r="F829" s="1"/>
      </tp>
      <tp>
        <v>-3.1716417899999998</v>
        <stp/>
        <stp>EM_S_PQ_PCTCHANGE</stp>
        <stp>4</stp>
        <stp>002527</stp>
        <stp>2018-12-31</stp>
        <stp>2019-12-30</stp>
        <stp>1</stp>
        <tr r="G2484" s="1"/>
      </tp>
      <tp>
        <v>18.58172248</v>
        <stp/>
        <stp>EM_S_PQ_PCTCHANGE</stp>
        <stp>4</stp>
        <stp>002736</stp>
        <stp>2018-01-01</stp>
        <stp>2019-12-31</stp>
        <stp>3</stp>
        <tr r="F549" s="1"/>
      </tp>
      <tp>
        <v>69.188596489999995</v>
        <stp/>
        <stp>EM_S_PQ_PCTCHANGE</stp>
        <stp>4</stp>
        <stp>000526</stp>
        <stp>2018-12-31</stp>
        <stp>2019-12-30</stp>
        <stp>1</stp>
        <tr r="G325" s="1"/>
      </tp>
      <tp>
        <v>-36.909871240000001</v>
        <stp/>
        <stp>EM_S_PQ_PCTCHANGE</stp>
        <stp>4</stp>
        <stp>000737</stp>
        <stp>2018-01-01</stp>
        <stp>2019-12-31</stp>
        <stp>3</stp>
        <tr r="F3524" s="1"/>
      </tp>
      <tp>
        <v>8.5755814000000008</v>
        <stp/>
        <stp>EM_S_PQ_PCTCHANGE</stp>
        <stp>4</stp>
        <stp>300516</stp>
        <stp>2018-12-31</stp>
        <stp>2019-12-30</stp>
        <stp>1</stp>
        <tr r="G1820" s="1"/>
      </tp>
      <tp>
        <v>-20.412863779999999</v>
        <stp/>
        <stp>EM_S_PQ_PCTCHANGE</stp>
        <stp>4</stp>
        <stp>300707</stp>
        <stp>2018-01-01</stp>
        <stp>2019-12-31</stp>
        <stp>3</stp>
        <tr r="F1481" s="1"/>
      </tp>
      <tp>
        <v>93.373493980000006</v>
        <stp/>
        <stp>EM_S_PQ_PCTCHANGE</stp>
        <stp>4</stp>
        <stp>600546</stp>
        <stp>2018-12-31</stp>
        <stp>2019-12-30</stp>
        <stp>1</stp>
        <tr r="G191" s="1"/>
      </tp>
      <tp>
        <v>-8.0116698500000005</v>
        <stp/>
        <stp>EM_S_PQ_PCTCHANGE</stp>
        <stp>4</stp>
        <stp>600757</stp>
        <stp>2018-01-01</stp>
        <stp>2019-12-31</stp>
        <stp>3</stp>
        <tr r="F2613" s="1"/>
      </tp>
      <tp>
        <v>-47.460714400000001</v>
        <stp/>
        <stp>EM_S_PQ_PCTCHANGE</stp>
        <stp>4</stp>
        <stp>603757</stp>
        <stp>2018-01-01</stp>
        <stp>2019-12-31</stp>
        <stp>3</stp>
        <tr r="F3019" s="1"/>
      </tp>
      <tp>
        <v>20.212765959999999</v>
        <stp/>
        <stp>EM_S_PQ_PCTCHANGE</stp>
        <stp>4</stp>
        <stp>002526</stp>
        <stp>2018-12-31</stp>
        <stp>2019-12-30</stp>
        <stp>1</stp>
        <tr r="G1267" s="1"/>
      </tp>
      <tp>
        <v>3.9230301399999998</v>
        <stp/>
        <stp>EM_S_PQ_PCTCHANGE</stp>
        <stp>4</stp>
        <stp>002737</stp>
        <stp>2018-01-01</stp>
        <stp>2019-12-31</stp>
        <stp>3</stp>
        <tr r="F2433" s="1"/>
      </tp>
      <tp>
        <v>-12.095032399999999</v>
        <stp/>
        <stp>EM_S_PQ_PCTCHANGE</stp>
        <stp>4</stp>
        <stp>000539</stp>
        <stp>2018-12-31</stp>
        <stp>2019-12-30</stp>
        <stp>1</stp>
        <tr r="G2832" s="1"/>
      </tp>
      <tp>
        <v>-11.476722199999999</v>
        <stp/>
        <stp>EM_S_PQ_PCTCHANGE</stp>
        <stp>4</stp>
        <stp>000728</stp>
        <stp>2018-01-01</stp>
        <stp>2019-12-31</stp>
        <stp>3</stp>
        <tr r="F3521" s="1"/>
      </tp>
      <tp>
        <v>-24.672131149999998</v>
        <stp/>
        <stp>EM_S_PQ_PCTCHANGE</stp>
        <stp>4</stp>
        <stp>300509</stp>
        <stp>2018-12-31</stp>
        <stp>2019-12-30</stp>
        <stp>1</stp>
        <tr r="G3148" s="1"/>
      </tp>
      <tp>
        <v>4.4997286699999997</v>
        <stp/>
        <stp>EM_S_PQ_PCTCHANGE</stp>
        <stp>4</stp>
        <stp>300718</stp>
        <stp>2018-01-01</stp>
        <stp>2019-12-31</stp>
        <stp>3</stp>
        <tr r="F730" s="1"/>
      </tp>
      <tp>
        <v>-8.4951456299999997</v>
        <stp/>
        <stp>EM_S_PQ_PCTCHANGE</stp>
        <stp>4</stp>
        <stp>600559</stp>
        <stp>2018-12-31</stp>
        <stp>2019-12-30</stp>
        <stp>1</stp>
        <tr r="G2704" s="1"/>
      </tp>
      <tp>
        <v>-6.0042670600000001</v>
        <stp/>
        <stp>EM_S_PQ_PCTCHANGE</stp>
        <stp>4</stp>
        <stp>600748</stp>
        <stp>2018-01-01</stp>
        <stp>2019-12-31</stp>
        <stp>3</stp>
        <tr r="F1694" s="1"/>
      </tp>
      <tp>
        <v>-26.713751559999999</v>
        <stp/>
        <stp>EM_S_PQ_PCTCHANGE</stp>
        <stp>4</stp>
        <stp>603559</stp>
        <stp>2018-12-31</stp>
        <stp>2019-12-30</stp>
        <stp>1</stp>
        <tr r="G3183" s="1"/>
      </tp>
      <tp>
        <v>18.7804878</v>
        <stp/>
        <stp>EM_S_PQ_PCTCHANGE</stp>
        <stp>4</stp>
        <stp>002539</stp>
        <stp>2018-12-31</stp>
        <stp>2019-12-30</stp>
        <stp>1</stp>
        <tr r="G1332" s="1"/>
      </tp>
      <tp>
        <v>1.0479287900000001</v>
        <stp/>
        <stp>EM_S_PQ_PCTCHANGE</stp>
        <stp>4</stp>
        <stp>002728</stp>
        <stp>2018-01-01</stp>
        <stp>2019-12-31</stp>
        <stp>3</stp>
        <tr r="F991" s="1"/>
      </tp>
      <tp>
        <v>-0.9009009</v>
        <stp/>
        <stp>EM_S_PQ_PCTCHANGE</stp>
        <stp>4</stp>
        <stp>601558</stp>
        <stp>2018-12-31</stp>
        <stp>2019-12-30</stp>
        <stp>1</stp>
        <tr r="G2379" s="1"/>
      </tp>
      <tp>
        <v>19.118442399999999</v>
        <stp/>
        <stp>EM_S_PQ_PCTCHANGE</stp>
        <stp>4</stp>
        <stp>000538</stp>
        <stp>2018-12-31</stp>
        <stp>2019-12-30</stp>
        <stp>1</stp>
        <tr r="G1317" s="1"/>
      </tp>
      <tp>
        <v>-2.66870874</v>
        <stp/>
        <stp>EM_S_PQ_PCTCHANGE</stp>
        <stp>4</stp>
        <stp>000729</stp>
        <stp>2018-01-01</stp>
        <stp>2019-12-31</stp>
        <stp>3</stp>
        <tr r="F1469" s="1"/>
      </tp>
      <tp>
        <v>17.548859929999999</v>
        <stp/>
        <stp>EM_S_PQ_PCTCHANGE</stp>
        <stp>4</stp>
        <stp>300508</stp>
        <stp>2018-12-31</stp>
        <stp>2019-12-30</stp>
        <stp>1</stp>
        <tr r="G1385" s="1"/>
      </tp>
      <tp>
        <v>-30.563693019999999</v>
        <stp/>
        <stp>EM_S_PQ_PCTCHANGE</stp>
        <stp>4</stp>
        <stp>300719</stp>
        <stp>2018-01-01</stp>
        <stp>2019-12-31</stp>
        <stp>3</stp>
        <tr r="F1490" s="1"/>
      </tp>
      <tp>
        <v>2.8481012699999999</v>
        <stp/>
        <stp>EM_S_PQ_PCTCHANGE</stp>
        <stp>4</stp>
        <stp>600558</stp>
        <stp>2018-12-31</stp>
        <stp>2019-12-30</stp>
        <stp>1</stp>
        <tr r="G2115" s="1"/>
      </tp>
      <tp>
        <v>-52.048558419999999</v>
        <stp/>
        <stp>EM_S_PQ_PCTCHANGE</stp>
        <stp>4</stp>
        <stp>600749</stp>
        <stp>2018-01-01</stp>
        <stp>2019-12-31</stp>
        <stp>3</stp>
        <tr r="F2258" s="1"/>
      </tp>
      <tp>
        <v>144.43395708</v>
        <stp/>
        <stp>EM_S_PQ_PCTCHANGE</stp>
        <stp>4</stp>
        <stp>002729</stp>
        <stp>2019-01-01</stp>
        <stp>2019-12-31</stp>
        <stp>3</stp>
        <tr r="G92" s="1"/>
      </tp>
      <tp>
        <v>-5.62211982</v>
        <stp/>
        <stp>EM_S_PQ_PCTCHANGE</stp>
        <stp>4</stp>
        <stp>603558</stp>
        <stp>2018-12-31</stp>
        <stp>2019-12-30</stp>
        <stp>1</stp>
        <tr r="G2587" s="1"/>
      </tp>
      <tp>
        <v>-2.8985507199999998</v>
        <stp/>
        <stp>EM_S_PQ_PCTCHANGE</stp>
        <stp>4</stp>
        <stp>002538</stp>
        <stp>2018-12-31</stp>
        <stp>2019-12-30</stp>
        <stp>1</stp>
        <tr r="G2472" s="1"/>
      </tp>
      <tp>
        <v>-18.504200669999999</v>
        <stp/>
        <stp>EM_S_PQ_PCTCHANGE</stp>
        <stp>4</stp>
        <stp>002729</stp>
        <stp>2018-01-01</stp>
        <stp>2019-12-31</stp>
        <stp>3</stp>
        <tr r="F92" s="1"/>
      </tp>
      <tp>
        <v>35.770750990000003</v>
        <stp/>
        <stp>EM_S_PQ_PCTCHANGE</stp>
        <stp>4</stp>
        <stp>000531</stp>
        <stp>2018-12-31</stp>
        <stp>2019-12-30</stp>
        <stp>1</stp>
        <tr r="G806" s="1"/>
      </tp>
      <tp>
        <v>21.651785709999999</v>
        <stp/>
        <stp>EM_S_PQ_PCTCHANGE</stp>
        <stp>4</stp>
        <stp>000720</stp>
        <stp>2018-01-01</stp>
        <stp>2019-12-31</stp>
        <stp>3</stp>
        <tr r="F432" s="1"/>
      </tp>
      <tp>
        <v>-28.879568599999999</v>
        <stp/>
        <stp>EM_S_PQ_PCTCHANGE</stp>
        <stp>4</stp>
        <stp>300501</stp>
        <stp>2018-12-31</stp>
        <stp>2019-12-30</stp>
        <stp>1</stp>
        <tr r="G3206" s="1"/>
      </tp>
      <tp>
        <v>-32.516614580000002</v>
        <stp/>
        <stp>EM_S_PQ_PCTCHANGE</stp>
        <stp>4</stp>
        <stp>300710</stp>
        <stp>2018-01-01</stp>
        <stp>2019-12-31</stp>
        <stp>3</stp>
        <tr r="F1068" s="1"/>
      </tp>
      <tp>
        <v>-5.1044083499999999</v>
        <stp/>
        <stp>EM_S_PQ_PCTCHANGE</stp>
        <stp>4</stp>
        <stp>600551</stp>
        <stp>2018-12-31</stp>
        <stp>2019-12-30</stp>
        <stp>1</stp>
        <tr r="G2574" s="1"/>
      </tp>
      <tp>
        <v>-21.958225469999999</v>
        <stp/>
        <stp>EM_S_PQ_PCTCHANGE</stp>
        <stp>4</stp>
        <stp>600740</stp>
        <stp>2018-01-01</stp>
        <stp>2019-12-31</stp>
        <stp>3</stp>
        <tr r="F2680" s="1"/>
      </tp>
      <tp>
        <v>37.303370790000002</v>
        <stp/>
        <stp>EM_S_PQ_PCTCHANGE</stp>
        <stp>4</stp>
        <stp>002531</stp>
        <stp>2018-12-31</stp>
        <stp>2019-12-30</stp>
        <stp>1</stp>
        <tr r="G787" s="1"/>
      </tp>
      <tp>
        <v>0</v>
        <stp/>
        <stp>EM_S_PQ_PCTCHANGE</stp>
        <stp>4</stp>
        <stp>002720</stp>
        <stp>2018-01-01</stp>
        <stp>2019-12-31</stp>
        <stp>3</stp>
        <tr r="F8" s="1"/>
      </tp>
      <tp>
        <v>-26.72566372</v>
        <stp/>
        <stp>EM_S_PQ_PCTCHANGE</stp>
        <stp>4</stp>
        <stp>000721</stp>
        <stp>2018-01-01</stp>
        <stp>2019-12-31</stp>
        <stp>3</stp>
        <tr r="F2092" s="1"/>
      </tp>
      <tp>
        <v>-31.912028729999999</v>
        <stp/>
        <stp>EM_S_PQ_PCTCHANGE</stp>
        <stp>4</stp>
        <stp>300500</stp>
        <stp>2018-12-31</stp>
        <stp>2019-12-30</stp>
        <stp>1</stp>
        <tr r="G3235" s="1"/>
      </tp>
      <tp>
        <v>-35.858940339999997</v>
        <stp/>
        <stp>EM_S_PQ_PCTCHANGE</stp>
        <stp>4</stp>
        <stp>300711</stp>
        <stp>2018-01-01</stp>
        <stp>2019-12-31</stp>
        <stp>3</stp>
        <tr r="F3178" s="1"/>
      </tp>
      <tp>
        <v>-16.847826090000002</v>
        <stp/>
        <stp>EM_S_PQ_PCTCHANGE</stp>
        <stp>4</stp>
        <stp>600550</stp>
        <stp>2018-12-31</stp>
        <stp>2019-12-30</stp>
        <stp>1</stp>
        <tr r="G2983" s="1"/>
      </tp>
      <tp>
        <v>-4.0456196699999998</v>
        <stp/>
        <stp>EM_S_PQ_PCTCHANGE</stp>
        <stp>4</stp>
        <stp>600741</stp>
        <stp>2018-01-01</stp>
        <stp>2019-12-31</stp>
        <stp>3</stp>
        <tr r="F766" s="1"/>
      </tp>
      <tp>
        <v>79.969650990000005</v>
        <stp/>
        <stp>EM_S_PQ_PCTCHANGE</stp>
        <stp>4</stp>
        <stp>002530</stp>
        <stp>2018-12-31</stp>
        <stp>2019-12-30</stp>
        <stp>1</stp>
        <tr r="G250" s="1"/>
      </tp>
      <tp>
        <v>-64.238679989999994</v>
        <stp/>
        <stp>EM_S_PQ_PCTCHANGE</stp>
        <stp>4</stp>
        <stp>002721</stp>
        <stp>2018-01-01</stp>
        <stp>2019-12-31</stp>
        <stp>3</stp>
        <tr r="F2808" s="1"/>
      </tp>
      <tp>
        <v>-26.967795750000001</v>
        <stp/>
        <stp>EM_S_PQ_PCTCHANGE</stp>
        <stp>4</stp>
        <stp>000722</stp>
        <stp>2018-01-01</stp>
        <stp>2019-12-31</stp>
        <stp>3</stp>
        <tr r="F1665" s="1"/>
      </tp>
      <tp>
        <v>28.202247190000001</v>
        <stp/>
        <stp>EM_S_PQ_PCTCHANGE</stp>
        <stp>4</stp>
        <stp>300503</stp>
        <stp>2018-12-31</stp>
        <stp>2019-12-30</stp>
        <stp>1</stp>
        <tr r="G978" s="1"/>
      </tp>
      <tp>
        <v>-38.304216459999999</v>
        <stp/>
        <stp>EM_S_PQ_PCTCHANGE</stp>
        <stp>4</stp>
        <stp>300712</stp>
        <stp>2018-01-01</stp>
        <stp>2019-12-31</stp>
        <stp>3</stp>
        <tr r="F3068" s="1"/>
      </tp>
      <tp>
        <v>0</v>
        <stp/>
        <stp>EM_S_PQ_PCTCHANGE</stp>
        <stp>4</stp>
        <stp>600553</stp>
        <stp>2018-12-31</stp>
        <stp>2019-12-30</stp>
        <stp>1</stp>
        <tr r="G2304" s="1"/>
      </tp>
      <tp>
        <v>-4.2832876400000002</v>
        <stp/>
        <stp>EM_S_PQ_PCTCHANGE</stp>
        <stp>4</stp>
        <stp>600742</stp>
        <stp>2018-01-01</stp>
        <stp>2019-12-31</stp>
        <stp>3</stp>
        <tr r="F1197" s="1"/>
      </tp>
      <tp>
        <v>12.92517007</v>
        <stp/>
        <stp>EM_S_PQ_PCTCHANGE</stp>
        <stp>4</stp>
        <stp>002533</stp>
        <stp>2018-12-31</stp>
        <stp>2019-12-30</stp>
        <stp>1</stp>
        <tr r="G1582" s="1"/>
      </tp>
      <tp>
        <v>-41.830464069999998</v>
        <stp/>
        <stp>EM_S_PQ_PCTCHANGE</stp>
        <stp>4</stp>
        <stp>002722</stp>
        <stp>2018-01-01</stp>
        <stp>2019-12-31</stp>
        <stp>3</stp>
        <tr r="F1754" s="1"/>
      </tp>
      <tp>
        <v>22.188449850000001</v>
        <stp/>
        <stp>EM_S_PQ_PCTCHANGE</stp>
        <stp>4</stp>
        <stp>000532</stp>
        <stp>2018-12-31</stp>
        <stp>2019-12-30</stp>
        <stp>1</stp>
        <tr r="G1180" s="1"/>
      </tp>
      <tp>
        <v>44.323606589999997</v>
        <stp/>
        <stp>EM_S_PQ_PCTCHANGE</stp>
        <stp>4</stp>
        <stp>000723</stp>
        <stp>2018-01-01</stp>
        <stp>2019-12-31</stp>
        <stp>3</stp>
        <tr r="F44" s="1"/>
      </tp>
      <tp>
        <v>99.745547070000001</v>
        <stp/>
        <stp>EM_S_PQ_PCTCHANGE</stp>
        <stp>4</stp>
        <stp>300502</stp>
        <stp>2018-12-31</stp>
        <stp>2019-12-30</stp>
        <stp>1</stp>
        <tr r="G171" s="1"/>
      </tp>
      <tp>
        <v>-56.170263060000003</v>
        <stp/>
        <stp>EM_S_PQ_PCTCHANGE</stp>
        <stp>4</stp>
        <stp>300713</stp>
        <stp>2018-01-01</stp>
        <stp>2019-12-31</stp>
        <stp>3</stp>
        <tr r="F3292" s="1"/>
      </tp>
      <tp>
        <v>60.490463220000002</v>
        <stp/>
        <stp>EM_S_PQ_PCTCHANGE</stp>
        <stp>4</stp>
        <stp>600552</stp>
        <stp>2018-12-31</stp>
        <stp>2019-12-30</stp>
        <stp>1</stp>
        <tr r="G420" s="1"/>
      </tp>
      <tp>
        <v>-26.317755200000001</v>
        <stp/>
        <stp>EM_S_PQ_PCTCHANGE</stp>
        <stp>4</stp>
        <stp>600743</stp>
        <stp>2018-01-01</stp>
        <stp>2019-12-31</stp>
        <stp>3</stp>
        <tr r="F2138" s="1"/>
      </tp>
      <tp>
        <v>20.040485830000001</v>
        <stp/>
        <stp>EM_S_PQ_PCTCHANGE</stp>
        <stp>4</stp>
        <stp>002532</stp>
        <stp>2018-12-31</stp>
        <stp>2019-12-30</stp>
        <stp>1</stp>
        <tr r="G1275" s="1"/>
      </tp>
      <tp>
        <v>-54.536771729999998</v>
        <stp/>
        <stp>EM_S_PQ_PCTCHANGE</stp>
        <stp>4</stp>
        <stp>002723</stp>
        <stp>2018-01-01</stp>
        <stp>2019-12-31</stp>
        <stp>3</stp>
        <tr r="F2029" s="1"/>
      </tp>
      <tp>
        <v>48.955223879999998</v>
        <stp/>
        <stp>EM_S_PQ_PCTCHANGE</stp>
        <stp>4</stp>
        <stp>601555</stp>
        <stp>2018-12-31</stp>
        <stp>2019-12-30</stp>
        <stp>1</stp>
        <tr r="G582" s="1"/>
      </tp>
      <tp>
        <v>3.0534351100000001</v>
        <stp/>
        <stp>EM_S_PQ_PCTCHANGE</stp>
        <stp>4</stp>
        <stp>300505</stp>
        <stp>2018-12-31</stp>
        <stp>2019-12-30</stp>
        <stp>1</stp>
        <tr r="G2103" s="1"/>
      </tp>
      <tp>
        <v>-19.097222219999999</v>
        <stp/>
        <stp>EM_S_PQ_PCTCHANGE</stp>
        <stp>4</stp>
        <stp>600555</stp>
        <stp>2018-12-31</stp>
        <stp>2019-12-30</stp>
        <stp>1</stp>
        <tr r="G3045" s="1"/>
      </tp>
      <tp>
        <v>-32.095490720000001</v>
        <stp/>
        <stp>EM_S_PQ_PCTCHANGE</stp>
        <stp>4</stp>
        <stp>600744</stp>
        <stp>2018-01-01</stp>
        <stp>2019-12-31</stp>
        <stp>3</stp>
        <tr r="F2416" s="1"/>
      </tp>
      <tp>
        <v>0.86655112999999995</v>
        <stp/>
        <stp>EM_S_PQ_PCTCHANGE</stp>
        <stp>4</stp>
        <stp>603555</stp>
        <stp>2018-12-31</stp>
        <stp>2019-12-30</stp>
        <stp>1</stp>
        <tr r="G2224" s="1"/>
      </tp>
      <tp>
        <v>-13.975155279999999</v>
        <stp/>
        <stp>EM_S_PQ_PCTCHANGE</stp>
        <stp>4</stp>
        <stp>002535</stp>
        <stp>2018-12-31</stp>
        <stp>2019-12-30</stp>
        <stp>1</stp>
        <tr r="G2901" s="1"/>
      </tp>
      <tp>
        <v>-6.6355002599999997</v>
        <stp/>
        <stp>EM_S_PQ_PCTCHANGE</stp>
        <stp>4</stp>
        <stp>002724</stp>
        <stp>2018-01-01</stp>
        <stp>2019-12-31</stp>
        <stp>3</stp>
        <tr r="F757" s="1"/>
      </tp>
      <tp>
        <v>-12.739463600000001</v>
        <stp/>
        <stp>EM_S_PQ_PCTCHANGE</stp>
        <stp>4</stp>
        <stp>000534</stp>
        <stp>2018-12-31</stp>
        <stp>2019-12-30</stp>
        <stp>1</stp>
        <tr r="G2858" s="1"/>
      </tp>
      <tp>
        <v>-19.737614270000002</v>
        <stp/>
        <stp>EM_S_PQ_PCTCHANGE</stp>
        <stp>4</stp>
        <stp>000725</stp>
        <stp>2018-01-01</stp>
        <stp>2019-12-31</stp>
        <stp>3</stp>
        <tr r="F291" s="1"/>
      </tp>
      <tp>
        <v>-12.84937888</v>
        <stp/>
        <stp>EM_S_PQ_PCTCHANGE</stp>
        <stp>4</stp>
        <stp>300504</stp>
        <stp>2018-12-31</stp>
        <stp>2019-12-30</stp>
        <stp>1</stp>
        <tr r="G2863" s="1"/>
      </tp>
      <tp>
        <v>26.307765329999999</v>
        <stp/>
        <stp>EM_S_PQ_PCTCHANGE</stp>
        <stp>4</stp>
        <stp>300715</stp>
        <stp>2018-01-01</stp>
        <stp>2019-12-31</stp>
        <stp>3</stp>
        <tr r="F1509" s="1"/>
      </tp>
      <tp>
        <v>174.41653054</v>
        <stp/>
        <stp>EM_S_PQ_PCTCHANGE</stp>
        <stp>4</stp>
        <stp>600745</stp>
        <stp>2018-01-01</stp>
        <stp>2019-12-31</stp>
        <stp>3</stp>
        <tr r="F24" s="1"/>
      </tp>
      <tp>
        <v>40.747663549999999</v>
        <stp/>
        <stp>EM_S_PQ_PCTCHANGE</stp>
        <stp>4</stp>
        <stp>002534</stp>
        <stp>2018-12-31</stp>
        <stp>2019-12-30</stp>
        <stp>1</stp>
        <tr r="G721" s="1"/>
      </tp>
      <tp>
        <v>10.23549446</v>
        <stp/>
        <stp>EM_S_PQ_PCTCHANGE</stp>
        <stp>4</stp>
        <stp>002725</stp>
        <stp>2018-01-01</stp>
        <stp>2019-12-31</stp>
        <stp>3</stp>
        <tr r="F1230" s="1"/>
      </tp>
      <tp>
        <v>4.9399198899999996</v>
        <stp/>
        <stp>EM_S_PQ_PCTCHANGE</stp>
        <stp>4</stp>
        <stp>000537</stp>
        <stp>2018-12-31</stp>
        <stp>2019-12-30</stp>
        <stp>1</stp>
        <tr r="G2013" s="1"/>
      </tp>
      <tp>
        <v>-8.1368555899999997</v>
        <stp/>
        <stp>EM_S_PQ_PCTCHANGE</stp>
        <stp>4</stp>
        <stp>000726</stp>
        <stp>2018-01-01</stp>
        <stp>2019-12-31</stp>
        <stp>3</stp>
        <tr r="F2606" s="1"/>
      </tp>
      <tp>
        <v>-17.437097720000001</v>
        <stp/>
        <stp>EM_S_PQ_PCTCHANGE</stp>
        <stp>4</stp>
        <stp>300507</stp>
        <stp>2018-12-31</stp>
        <stp>2019-12-30</stp>
        <stp>1</stp>
        <tr r="G3002" s="1"/>
      </tp>
      <tp>
        <v>-39.309948800000001</v>
        <stp/>
        <stp>EM_S_PQ_PCTCHANGE</stp>
        <stp>4</stp>
        <stp>300716</stp>
        <stp>2018-01-01</stp>
        <stp>2019-12-31</stp>
        <stp>3</stp>
        <tr r="F2689" s="1"/>
      </tp>
      <tp>
        <v>39.785992219999997</v>
        <stp/>
        <stp>EM_S_PQ_PCTCHANGE</stp>
        <stp>4</stp>
        <stp>600557</stp>
        <stp>2018-12-31</stp>
        <stp>2019-12-30</stp>
        <stp>1</stp>
        <tr r="G737" s="1"/>
      </tp>
      <tp>
        <v>-9.9489821599999999</v>
        <stp/>
        <stp>EM_S_PQ_PCTCHANGE</stp>
        <stp>4</stp>
        <stp>600746</stp>
        <stp>2018-01-01</stp>
        <stp>2019-12-31</stp>
        <stp>3</stp>
        <tr r="F1254" s="1"/>
      </tp>
      <tp>
        <v>12.483221479999999</v>
        <stp/>
        <stp>EM_S_PQ_PCTCHANGE</stp>
        <stp>4</stp>
        <stp>603557</stp>
        <stp>2018-12-31</stp>
        <stp>2019-12-30</stp>
        <stp>1</stp>
        <tr r="G1610" s="1"/>
      </tp>
      <tp>
        <v>-31.902439019999999</v>
        <stp/>
        <stp>EM_S_PQ_PCTCHANGE</stp>
        <stp>4</stp>
        <stp>002537</stp>
        <stp>2018-12-31</stp>
        <stp>2019-12-30</stp>
        <stp>1</stp>
        <tr r="G3234" s="1"/>
      </tp>
      <tp>
        <v>-19.343048750000001</v>
        <stp/>
        <stp>EM_S_PQ_PCTCHANGE</stp>
        <stp>4</stp>
        <stp>002726</stp>
        <stp>2018-01-01</stp>
        <stp>2019-12-31</stp>
        <stp>3</stp>
        <tr r="F2844" s="1"/>
      </tp>
      <tp>
        <v>-12.18487395</v>
        <stp/>
        <stp>EM_S_PQ_PCTCHANGE</stp>
        <stp>4</stp>
        <stp>000727</stp>
        <stp>2018-01-01</stp>
        <stp>2019-12-31</stp>
        <stp>3</stp>
        <tr r="F3520" s="1"/>
      </tp>
      <tp>
        <v>-41.041666669999998</v>
        <stp/>
        <stp>EM_S_PQ_PCTCHANGE</stp>
        <stp>4</stp>
        <stp>300506</stp>
        <stp>2018-12-31</stp>
        <stp>2019-12-30</stp>
        <stp>1</stp>
        <tr r="G3320" s="1"/>
      </tp>
      <tp>
        <v>-28.396124749999998</v>
        <stp/>
        <stp>EM_S_PQ_PCTCHANGE</stp>
        <stp>4</stp>
        <stp>300717</stp>
        <stp>2018-01-01</stp>
        <stp>2019-12-31</stp>
        <stp>3</stp>
        <tr r="F1526" s="1"/>
      </tp>
      <tp>
        <v>87.942122190000006</v>
        <stp/>
        <stp>EM_S_PQ_PCTCHANGE</stp>
        <stp>4</stp>
        <stp>600556</stp>
        <stp>2018-12-31</stp>
        <stp>2019-12-30</stp>
        <stp>1</stp>
        <tr r="G210" s="1"/>
      </tp>
      <tp>
        <v>-90.47619048</v>
        <stp/>
        <stp>EM_S_PQ_PCTCHANGE</stp>
        <stp>4</stp>
        <stp>600747</stp>
        <stp>2018-01-01</stp>
        <stp>2019-12-31</stp>
        <stp>3</stp>
        <tr r="F3404" s="1"/>
      </tp>
      <tp>
        <v>22.92307692</v>
        <stp/>
        <stp>EM_S_PQ_PCTCHANGE</stp>
        <stp>4</stp>
        <stp>603556</stp>
        <stp>2018-12-31</stp>
        <stp>2019-12-30</stp>
        <stp>1</stp>
        <tr r="G1158" s="1"/>
      </tp>
      <tp>
        <v>-46.601941750000002</v>
        <stp/>
        <stp>EM_S_PQ_PCTCHANGE</stp>
        <stp>4</stp>
        <stp>002536</stp>
        <stp>2018-12-31</stp>
        <stp>2019-12-30</stp>
        <stp>1</stp>
        <tr r="G3350" s="1"/>
      </tp>
      <tp>
        <v>18.174879619999999</v>
        <stp/>
        <stp>EM_S_PQ_PCTCHANGE</stp>
        <stp>4</stp>
        <stp>002727</stp>
        <stp>2018-01-01</stp>
        <stp>2019-12-31</stp>
        <stp>3</stp>
        <tr r="F946" s="1"/>
      </tp>
      <tp>
        <v>-34.355179700000001</v>
        <stp/>
        <stp>EM_S_PQ_PCTCHANGE</stp>
        <stp>4</stp>
        <stp>601798</stp>
        <stp>2018-01-01</stp>
        <stp>2019-12-31</stp>
        <stp>3</stp>
        <tr r="F1042" s="1"/>
      </tp>
      <tp>
        <v>35.294117649999997</v>
        <stp/>
        <stp>EM_S_PQ_PCTCHANGE</stp>
        <stp>4</stp>
        <stp>600589</stp>
        <stp>2018-12-31</stp>
        <stp>2019-12-30</stp>
        <stp>1</stp>
        <tr r="G818" s="1"/>
      </tp>
      <tp>
        <v>-27.449472650000001</v>
        <stp/>
        <stp>EM_S_PQ_PCTCHANGE</stp>
        <stp>4</stp>
        <stp>600798</stp>
        <stp>2018-01-01</stp>
        <stp>2019-12-31</stp>
        <stp>3</stp>
        <tr r="F1796" s="1"/>
      </tp>
      <tp>
        <v>57.114342739999998</v>
        <stp/>
        <stp>EM_S_PQ_PCTCHANGE</stp>
        <stp>4</stp>
        <stp>603589</stp>
        <stp>2018-12-31</stp>
        <stp>2019-12-30</stp>
        <stp>1</stp>
        <tr r="G454" s="1"/>
      </tp>
      <tp>
        <v>-21.327550779999999</v>
        <stp/>
        <stp>EM_S_PQ_PCTCHANGE</stp>
        <stp>4</stp>
        <stp>603798</stp>
        <stp>2018-01-01</stp>
        <stp>2019-12-31</stp>
        <stp>3</stp>
        <tr r="F878" s="1"/>
      </tp>
      <tp>
        <v>18.081180809999999</v>
        <stp/>
        <stp>EM_S_PQ_PCTCHANGE</stp>
        <stp>4</stp>
        <stp>601588</stp>
        <stp>2018-12-31</stp>
        <stp>2019-12-30</stp>
        <stp>1</stp>
        <tr r="G1361" s="1"/>
      </tp>
      <tp>
        <v>97.793579390000005</v>
        <stp/>
        <stp>EM_S_PQ_PCTCHANGE</stp>
        <stp>4</stp>
        <stp>601799</stp>
        <stp>2018-01-01</stp>
        <stp>2019-12-31</stp>
        <stp>3</stp>
        <tr r="F166" s="1"/>
      </tp>
      <tp>
        <v>32.769953049999998</v>
        <stp/>
        <stp>EM_S_PQ_PCTCHANGE</stp>
        <stp>4</stp>
        <stp>600588</stp>
        <stp>2018-12-31</stp>
        <stp>2019-12-30</stp>
        <stp>1</stp>
        <tr r="G868" s="1"/>
      </tp>
      <tp>
        <v>0</v>
        <stp/>
        <stp>EM_S_PQ_PCTCHANGE</stp>
        <stp>4</stp>
        <stp>600799</stp>
        <stp>2018-01-01</stp>
        <stp>2019-12-31</stp>
        <stp>3</stp>
        <tr r="F2325" s="1"/>
      </tp>
      <tp>
        <v>19.363057319999999</v>
        <stp/>
        <stp>EM_S_PQ_PCTCHANGE</stp>
        <stp>4</stp>
        <stp>603588</stp>
        <stp>2018-12-31</stp>
        <stp>2019-12-30</stp>
        <stp>1</stp>
        <tr r="G1304" s="1"/>
      </tp>
      <tp>
        <v>-9.82235777</v>
        <stp/>
        <stp>EM_S_PQ_PCTCHANGE</stp>
        <stp>4</stp>
        <stp>603799</stp>
        <stp>2018-01-01</stp>
        <stp>2019-12-31</stp>
        <stp>3</stp>
        <tr r="F912" s="1"/>
      </tp>
      <tp>
        <v>-3.0898876400000002</v>
        <stp/>
        <stp>EM_S_PQ_PCTCHANGE</stp>
        <stp>4</stp>
        <stp>600581</stp>
        <stp>2018-12-31</stp>
        <stp>2019-12-30</stp>
        <stp>1</stp>
        <tr r="G2480" s="1"/>
      </tp>
      <tp>
        <v>-14.60898497</v>
        <stp/>
        <stp>EM_S_PQ_PCTCHANGE</stp>
        <stp>4</stp>
        <stp>600790</stp>
        <stp>2018-01-01</stp>
        <stp>2019-12-31</stp>
        <stp>3</stp>
        <tr r="F2647" s="1"/>
      </tp>
      <tp>
        <v>-44.13380669</v>
        <stp/>
        <stp>EM_S_PQ_PCTCHANGE</stp>
        <stp>4</stp>
        <stp>600791</stp>
        <stp>2018-01-01</stp>
        <stp>2019-12-31</stp>
        <stp>3</stp>
        <tr r="F1982" s="1"/>
      </tp>
      <tp>
        <v>-21.706399000000001</v>
        <stp/>
        <stp>EM_S_PQ_PCTCHANGE</stp>
        <stp>4</stp>
        <stp>603580</stp>
        <stp>2018-12-31</stp>
        <stp>2019-12-30</stp>
        <stp>1</stp>
        <tr r="G3094" s="1"/>
      </tp>
      <tp>
        <v>46.530612240000004</v>
        <stp/>
        <stp>EM_S_PQ_PCTCHANGE</stp>
        <stp>4</stp>
        <stp>600583</stp>
        <stp>2018-12-31</stp>
        <stp>2019-12-30</stp>
        <stp>1</stp>
        <tr r="G616" s="1"/>
      </tp>
      <tp>
        <v>-17.41176471</v>
        <stp/>
        <stp>EM_S_PQ_PCTCHANGE</stp>
        <stp>4</stp>
        <stp>600792</stp>
        <stp>2018-01-01</stp>
        <stp>2019-12-31</stp>
        <stp>3</stp>
        <tr r="F952" s="1"/>
      </tp>
      <tp>
        <v>-6.7251462000000002</v>
        <stp/>
        <stp>EM_S_PQ_PCTCHANGE</stp>
        <stp>4</stp>
        <stp>600582</stp>
        <stp>2018-12-31</stp>
        <stp>2019-12-30</stp>
        <stp>1</stp>
        <tr r="G2641" s="1"/>
      </tp>
      <tp>
        <v>-31.594571670000001</v>
        <stp/>
        <stp>EM_S_PQ_PCTCHANGE</stp>
        <stp>4</stp>
        <stp>600793</stp>
        <stp>2018-01-01</stp>
        <stp>2019-12-31</stp>
        <stp>3</stp>
        <tr r="F1843" s="1"/>
      </tp>
      <tp>
        <v>80.225409839999998</v>
        <stp/>
        <stp>EM_S_PQ_PCTCHANGE</stp>
        <stp>4</stp>
        <stp>600585</stp>
        <stp>2018-12-31</stp>
        <stp>2019-12-30</stp>
        <stp>1</stp>
        <tr r="G248" s="1"/>
      </tp>
      <tp>
        <v>-14.014232509999999</v>
        <stp/>
        <stp>EM_S_PQ_PCTCHANGE</stp>
        <stp>4</stp>
        <stp>600794</stp>
        <stp>2018-01-01</stp>
        <stp>2019-12-31</stp>
        <stp>3</stp>
        <tr r="F627" s="1"/>
      </tp>
      <tp>
        <v>2.7224112800000002</v>
        <stp/>
        <stp>EM_S_PQ_PCTCHANGE</stp>
        <stp>4</stp>
        <stp>603585</stp>
        <stp>2018-12-31</stp>
        <stp>2019-12-30</stp>
        <stp>1</stp>
        <tr r="G2125" s="1"/>
      </tp>
      <tp>
        <v>166.99029125999999</v>
        <stp/>
        <stp>EM_S_PQ_PCTCHANGE</stp>
        <stp>4</stp>
        <stp>600584</stp>
        <stp>2018-12-31</stp>
        <stp>2019-12-30</stp>
        <stp>1</stp>
        <tr r="G62" s="1"/>
      </tp>
      <tp>
        <v>-21.456150189999999</v>
        <stp/>
        <stp>EM_S_PQ_PCTCHANGE</stp>
        <stp>4</stp>
        <stp>600795</stp>
        <stp>2018-01-01</stp>
        <stp>2019-12-31</stp>
        <stp>3</stp>
        <tr r="F2731" s="1"/>
      </tp>
      <tp>
        <v>8.5758039799999999</v>
        <stp/>
        <stp>EM_S_PQ_PCTCHANGE</stp>
        <stp>4</stp>
        <stp>600587</stp>
        <stp>2018-12-31</stp>
        <stp>2019-12-30</stp>
        <stp>1</stp>
        <tr r="G1818" s="1"/>
      </tp>
      <tp>
        <v>-25.99533422</v>
        <stp/>
        <stp>EM_S_PQ_PCTCHANGE</stp>
        <stp>4</stp>
        <stp>600796</stp>
        <stp>2018-01-01</stp>
        <stp>2019-12-31</stp>
        <stp>3</stp>
        <tr r="F1931" s="1"/>
      </tp>
      <tp>
        <v>13.14233743</v>
        <stp/>
        <stp>EM_S_PQ_PCTCHANGE</stp>
        <stp>4</stp>
        <stp>603587</stp>
        <stp>2018-12-31</stp>
        <stp>2019-12-30</stp>
        <stp>1</stp>
        <tr r="G1574" s="1"/>
      </tp>
      <tp>
        <v>2.8268551199999998</v>
        <stp/>
        <stp>EM_S_PQ_PCTCHANGE</stp>
        <stp>4</stp>
        <stp>600586</stp>
        <stp>2018-12-31</stp>
        <stp>2019-12-30</stp>
        <stp>1</stp>
        <tr r="G2118" s="1"/>
      </tp>
      <tp>
        <v>-14.10027141</v>
        <stp/>
        <stp>EM_S_PQ_PCTCHANGE</stp>
        <stp>4</stp>
        <stp>600797</stp>
        <stp>2018-01-01</stp>
        <stp>2019-12-31</stp>
        <stp>3</stp>
        <tr r="F719" s="1"/>
      </tp>
      <tp>
        <v>42.101105850000003</v>
        <stp/>
        <stp>EM_S_PQ_PCTCHANGE</stp>
        <stp>4</stp>
        <stp>603586</stp>
        <stp>2018-12-31</stp>
        <stp>2019-12-30</stp>
        <stp>1</stp>
        <tr r="G698" s="1"/>
      </tp>
      <tp>
        <v>-24.51825745</v>
        <stp/>
        <stp>EM_S_PQ_PCTCHANGE</stp>
        <stp>4</stp>
        <stp>603797</stp>
        <stp>2018-01-01</stp>
        <stp>2019-12-31</stp>
        <stp>3</stp>
        <tr r="F2635" s="1"/>
      </tp>
      <tp>
        <v>8.0128205099999992</v>
        <stp/>
        <stp>EM_S_PQ_PCTCHANGE</stp>
        <stp>4</stp>
        <stp>601599</stp>
        <stp>2018-12-31</stp>
        <stp>2019-12-30</stp>
        <stp>1</stp>
        <tr r="G1857" s="1"/>
      </tp>
      <tp>
        <v>0.29403854000000001</v>
        <stp/>
        <stp>EM_S_PQ_PCTCHANGE</stp>
        <stp>4</stp>
        <stp>601788</stp>
        <stp>2018-01-01</stp>
        <stp>2019-12-31</stp>
        <stp>3</stp>
        <tr r="F576" s="1"/>
      </tp>
      <tp>
        <v>2.6706231499999999</v>
        <stp/>
        <stp>EM_S_PQ_PCTCHANGE</stp>
        <stp>4</stp>
        <stp>600599</stp>
        <stp>2018-12-31</stp>
        <stp>2019-12-30</stp>
        <stp>1</stp>
        <tr r="G2128" s="1"/>
      </tp>
      <tp>
        <v>0</v>
        <stp/>
        <stp>EM_S_PQ_PCTCHANGE</stp>
        <stp>4</stp>
        <stp>600788</stp>
        <stp>2018-01-01</stp>
        <stp>2019-12-31</stp>
        <stp>3</stp>
        <tr r="F2323" s="1"/>
      </tp>
      <tp>
        <v>40.571428570000002</v>
        <stp/>
        <stp>EM_S_PQ_PCTCHANGE</stp>
        <stp>4</stp>
        <stp>603599</stp>
        <stp>2018-12-31</stp>
        <stp>2019-12-30</stp>
        <stp>1</stp>
        <tr r="G724" s="1"/>
      </tp>
      <tp>
        <v>-29.661142030000001</v>
        <stp/>
        <stp>EM_S_PQ_PCTCHANGE</stp>
        <stp>4</stp>
        <stp>603788</stp>
        <stp>2018-01-01</stp>
        <stp>2019-12-31</stp>
        <stp>3</stp>
        <tr r="F1735" s="1"/>
      </tp>
      <tp>
        <v>-12.597654240000001</v>
        <stp/>
        <stp>EM_S_PQ_PCTCHANGE</stp>
        <stp>4</stp>
        <stp>601789</stp>
        <stp>2018-01-01</stp>
        <stp>2019-12-31</stp>
        <stp>3</stp>
        <tr r="F1262" s="1"/>
      </tp>
      <tp>
        <v>13.20093458</v>
        <stp/>
        <stp>EM_S_PQ_PCTCHANGE</stp>
        <stp>4</stp>
        <stp>600598</stp>
        <stp>2018-12-31</stp>
        <stp>2019-12-30</stp>
        <stp>1</stp>
        <tr r="G1569" s="1"/>
      </tp>
      <tp>
        <v>18.862891380000001</v>
        <stp/>
        <stp>EM_S_PQ_PCTCHANGE</stp>
        <stp>4</stp>
        <stp>600789</stp>
        <stp>2018-01-01</stp>
        <stp>2019-12-31</stp>
        <stp>3</stp>
        <tr r="F2875" s="1"/>
      </tp>
      <tp>
        <v>75.699888020000003</v>
        <stp/>
        <stp>EM_S_PQ_PCTCHANGE</stp>
        <stp>4</stp>
        <stp>603598</stp>
        <stp>2018-12-31</stp>
        <stp>2019-12-30</stp>
        <stp>1</stp>
        <tr r="G273" s="1"/>
      </tp>
      <tp>
        <v>-1.7832647500000001</v>
        <stp/>
        <stp>EM_S_PQ_PCTCHANGE</stp>
        <stp>4</stp>
        <stp>603789</stp>
        <stp>2018-01-01</stp>
        <stp>2019-12-31</stp>
        <stp>3</stp>
        <tr r="F1413" s="1"/>
      </tp>
      <tp>
        <v>0</v>
        <stp/>
        <stp>EM_S_PQ_PCTCHANGE</stp>
        <stp>4</stp>
        <stp>600591</stp>
        <stp>2018-12-31</stp>
        <stp>2019-12-30</stp>
        <stp>1</stp>
        <tr r="G2305" s="1"/>
      </tp>
      <tp>
        <v>-25.89473684</v>
        <stp/>
        <stp>EM_S_PQ_PCTCHANGE</stp>
        <stp>4</stp>
        <stp>600780</stp>
        <stp>2018-01-01</stp>
        <stp>2019-12-31</stp>
        <stp>3</stp>
        <tr r="F1853" s="1"/>
      </tp>
      <tp>
        <v>8.3487940599999995</v>
        <stp/>
        <stp>EM_S_PQ_PCTCHANGE</stp>
        <stp>4</stp>
        <stp>600590</stp>
        <stp>2018-12-31</stp>
        <stp>2019-12-30</stp>
        <stp>1</stp>
        <tr r="G1835" s="1"/>
      </tp>
      <tp>
        <v>-74.519946169999997</v>
        <stp/>
        <stp>EM_S_PQ_PCTCHANGE</stp>
        <stp>4</stp>
        <stp>600781</stp>
        <stp>2018-01-01</stp>
        <stp>2019-12-31</stp>
        <stp>3</stp>
        <tr r="F3379" s="1"/>
      </tp>
      <tp>
        <v>63.684409209999998</v>
        <stp/>
        <stp>EM_S_PQ_PCTCHANGE</stp>
        <stp>4</stp>
        <stp>600593</stp>
        <stp>2018-12-31</stp>
        <stp>2019-12-30</stp>
        <stp>1</stp>
        <tr r="G387" s="1"/>
      </tp>
      <tp>
        <v>-17.7727304</v>
        <stp/>
        <stp>EM_S_PQ_PCTCHANGE</stp>
        <stp>4</stp>
        <stp>600782</stp>
        <stp>2018-01-01</stp>
        <stp>2019-12-31</stp>
        <stp>3</stp>
        <tr r="F2374" s="1"/>
      </tp>
      <tp>
        <v>184.88805970000001</v>
        <stp/>
        <stp>EM_S_PQ_PCTCHANGE</stp>
        <stp>4</stp>
        <stp>600592</stp>
        <stp>2018-12-31</stp>
        <stp>2019-12-30</stp>
        <stp>1</stp>
        <tr r="G53" s="1"/>
      </tp>
      <tp>
        <v>3.7107061300000002</v>
        <stp/>
        <stp>EM_S_PQ_PCTCHANGE</stp>
        <stp>4</stp>
        <stp>600783</stp>
        <stp>2018-01-01</stp>
        <stp>2019-12-31</stp>
        <stp>3</stp>
        <tr r="F2462" s="1"/>
      </tp>
      <tp>
        <v>20.11447261</v>
        <stp/>
        <stp>EM_S_PQ_PCTCHANGE</stp>
        <stp>4</stp>
        <stp>601595</stp>
        <stp>2018-12-31</stp>
        <stp>2019-12-30</stp>
        <stp>1</stp>
        <tr r="G1270" s="1"/>
      </tp>
      <tp>
        <v>12.37113402</v>
        <stp/>
        <stp>EM_S_PQ_PCTCHANGE</stp>
        <stp>4</stp>
        <stp>600595</stp>
        <stp>2018-12-31</stp>
        <stp>2019-12-30</stp>
        <stp>1</stp>
        <tr r="G1620" s="1"/>
      </tp>
      <tp>
        <v>-2.22763103</v>
        <stp/>
        <stp>EM_S_PQ_PCTCHANGE</stp>
        <stp>4</stp>
        <stp>600784</stp>
        <stp>2018-01-01</stp>
        <stp>2019-12-31</stp>
        <stp>3</stp>
        <tr r="F2018" s="1"/>
      </tp>
      <tp>
        <v>-17.845761629999998</v>
        <stp/>
        <stp>EM_S_PQ_PCTCHANGE</stp>
        <stp>4</stp>
        <stp>603595</stp>
        <stp>2018-12-31</stp>
        <stp>2019-12-30</stp>
        <stp>1</stp>
        <tr r="G3013" s="1"/>
      </tp>
      <tp>
        <v>-12.68115942</v>
        <stp/>
        <stp>EM_S_PQ_PCTCHANGE</stp>
        <stp>4</stp>
        <stp>600594</stp>
        <stp>2018-12-31</stp>
        <stp>2019-12-30</stp>
        <stp>1</stp>
        <tr r="G2856" s="1"/>
      </tp>
      <tp>
        <v>-28.44211529</v>
        <stp/>
        <stp>EM_S_PQ_PCTCHANGE</stp>
        <stp>4</stp>
        <stp>600785</stp>
        <stp>2018-01-01</stp>
        <stp>2019-12-31</stp>
        <stp>3</stp>
        <tr r="F2709" s="1"/>
      </tp>
      <tp>
        <v>48.684210530000001</v>
        <stp/>
        <stp>EM_S_PQ_PCTCHANGE</stp>
        <stp>4</stp>
        <stp>600597</stp>
        <stp>2018-12-31</stp>
        <stp>2019-12-30</stp>
        <stp>1</stp>
        <tr r="G587" s="1"/>
      </tp>
      <tp>
        <v>0</v>
        <stp/>
        <stp>EM_S_PQ_PCTCHANGE</stp>
        <stp>4</stp>
        <stp>600786</stp>
        <stp>2018-01-01</stp>
        <stp>2019-12-31</stp>
        <stp>3</stp>
        <tr r="F2322" s="1"/>
      </tp>
      <tp>
        <v>-10.196445280000001</v>
        <stp/>
        <stp>EM_S_PQ_PCTCHANGE</stp>
        <stp>4</stp>
        <stp>600596</stp>
        <stp>2018-12-31</stp>
        <stp>2019-12-30</stp>
        <stp>1</stp>
        <tr r="G2764" s="1"/>
      </tp>
      <tp>
        <v>-52.141305160000002</v>
        <stp/>
        <stp>EM_S_PQ_PCTCHANGE</stp>
        <stp>4</stp>
        <stp>600787</stp>
        <stp>2018-01-01</stp>
        <stp>2019-12-31</stp>
        <stp>3</stp>
        <tr r="F2015" s="1"/>
      </tp>
      <tp>
        <v>-2.0988194099999999</v>
        <stp/>
        <stp>EM_S_PQ_PCTCHANGE</stp>
        <stp>4</stp>
        <stp>603596</stp>
        <stp>2018-12-31</stp>
        <stp>2019-12-30</stp>
        <stp>1</stp>
        <tr r="G2425" s="1"/>
      </tp>
      <tp>
        <v>0.90467580000000003</v>
        <stp/>
        <stp>EM_S_PQ_PCTCHANGE</stp>
        <stp>4</stp>
        <stp>603787</stp>
        <stp>2018-01-01</stp>
        <stp>2019-12-31</stp>
        <stp>3</stp>
        <tr r="F662" s="1"/>
      </tp>
      <tp>
        <v>-26.61097852</v>
        <stp/>
        <stp>EM_S_PQ_PCTCHANGE</stp>
        <stp>4</stp>
        <stp>000798</stp>
        <stp>2018-01-01</stp>
        <stp>2019-12-31</stp>
        <stp>3</stp>
        <tr r="F3541" s="1"/>
      </tp>
      <tp>
        <v>9.4691535200000008</v>
        <stp/>
        <stp>EM_S_PQ_PCTCHANGE</stp>
        <stp>4</stp>
        <stp>002589</stp>
        <stp>2018-12-31</stp>
        <stp>2019-12-30</stp>
        <stp>1</stp>
        <tr r="G1768" s="1"/>
      </tp>
      <tp>
        <v>33.927225579999998</v>
        <stp/>
        <stp>EM_S_PQ_PCTCHANGE</stp>
        <stp>4</stp>
        <stp>002798</stp>
        <stp>2018-01-01</stp>
        <stp>2019-12-31</stp>
        <stp>3</stp>
        <tr r="F231" s="1"/>
      </tp>
      <tp>
        <v>125.75507406</v>
        <stp/>
        <stp>EM_S_PQ_PCTCHANGE</stp>
        <stp>4</stp>
        <stp>000799</stp>
        <stp>2019-01-01</stp>
        <stp>2019-12-31</stp>
        <stp>3</stp>
        <tr r="G114" s="1"/>
      </tp>
      <tp>
        <v>32.356363600000002</v>
        <stp/>
        <stp>EM_S_PQ_PCTCHANGE</stp>
        <stp>4</stp>
        <stp>000799</stp>
        <stp>2018-01-01</stp>
        <stp>2019-12-31</stp>
        <stp>3</stp>
        <tr r="F114" s="1"/>
      </tp>
      <tp>
        <v>-1.28534704</v>
        <stp/>
        <stp>EM_S_PQ_PCTCHANGE</stp>
        <stp>4</stp>
        <stp>002588</stp>
        <stp>2018-12-31</stp>
        <stp>2019-12-30</stp>
        <stp>1</stp>
        <tr r="G2389" s="1"/>
      </tp>
      <tp>
        <v>-18.048762490000001</v>
        <stp/>
        <stp>EM_S_PQ_PCTCHANGE</stp>
        <stp>4</stp>
        <stp>002799</stp>
        <stp>2018-01-01</stp>
        <stp>2019-12-31</stp>
        <stp>3</stp>
        <tr r="F657" s="1"/>
      </tp>
      <tp>
        <v>-10.779101170000001</v>
        <stp/>
        <stp>EM_S_PQ_PCTCHANGE</stp>
        <stp>4</stp>
        <stp>000790</stp>
        <stp>2018-01-01</stp>
        <stp>2019-12-31</stp>
        <stp>3</stp>
        <tr r="F1849" s="1"/>
      </tp>
      <tp>
        <v>1.8575851400000001</v>
        <stp/>
        <stp>EM_S_PQ_PCTCHANGE</stp>
        <stp>4</stp>
        <stp>002581</stp>
        <stp>2018-12-31</stp>
        <stp>2019-12-30</stp>
        <stp>1</stp>
        <tr r="G2170" s="1"/>
      </tp>
      <tp>
        <v>-34.712870170000002</v>
        <stp/>
        <stp>EM_S_PQ_PCTCHANGE</stp>
        <stp>4</stp>
        <stp>002790</stp>
        <stp>2018-01-01</stp>
        <stp>2019-12-31</stp>
        <stp>3</stp>
        <tr r="F3304" s="1"/>
      </tp>
      <tp>
        <v>-33.247933369999998</v>
        <stp/>
        <stp>EM_S_PQ_PCTCHANGE</stp>
        <stp>4</stp>
        <stp>000791</stp>
        <stp>2018-01-01</stp>
        <stp>2019-12-31</stp>
        <stp>3</stp>
        <tr r="F3193" s="1"/>
      </tp>
      <tp>
        <v>5.5335968400000004</v>
        <stp/>
        <stp>EM_S_PQ_PCTCHANGE</stp>
        <stp>4</stp>
        <stp>002580</stp>
        <stp>2018-12-31</stp>
        <stp>2019-12-30</stp>
        <stp>1</stp>
        <tr r="G1977" s="1"/>
      </tp>
      <tp>
        <v>56.410664519999997</v>
        <stp/>
        <stp>EM_S_PQ_PCTCHANGE</stp>
        <stp>4</stp>
        <stp>002791</stp>
        <stp>2018-01-01</stp>
        <stp>2019-12-31</stp>
        <stp>3</stp>
        <tr r="F43" s="1"/>
      </tp>
      <tp>
        <v>-36.736161039999999</v>
        <stp/>
        <stp>EM_S_PQ_PCTCHANGE</stp>
        <stp>4</stp>
        <stp>000792</stp>
        <stp>2018-01-01</stp>
        <stp>2019-12-31</stp>
        <stp>3</stp>
        <tr r="F3539" s="1"/>
      </tp>
      <tp>
        <v>5.9569074799999999</v>
        <stp/>
        <stp>EM_S_PQ_PCTCHANGE</stp>
        <stp>4</stp>
        <stp>002583</stp>
        <stp>2018-12-31</stp>
        <stp>2019-12-30</stp>
        <stp>1</stp>
        <tr r="G1954" s="1"/>
      </tp>
      <tp>
        <v>13.12208804</v>
        <stp/>
        <stp>EM_S_PQ_PCTCHANGE</stp>
        <stp>4</stp>
        <stp>002792</stp>
        <stp>2018-01-01</stp>
        <stp>2019-12-31</stp>
        <stp>3</stp>
        <tr r="F2935" s="1"/>
      </tp>
      <tp>
        <v>22.727272729999999</v>
        <stp/>
        <stp>EM_S_PQ_PCTCHANGE</stp>
        <stp>4</stp>
        <stp>000582</stp>
        <stp>2018-12-31</stp>
        <stp>2019-12-30</stp>
        <stp>1</stp>
        <tr r="G1167" s="1"/>
      </tp>
      <tp>
        <v>-66.289075209999993</v>
        <stp/>
        <stp>EM_S_PQ_PCTCHANGE</stp>
        <stp>4</stp>
        <stp>000793</stp>
        <stp>2018-01-01</stp>
        <stp>2019-12-31</stp>
        <stp>3</stp>
        <tr r="F3540" s="1"/>
      </tp>
      <tp>
        <v>11.968085110000001</v>
        <stp/>
        <stp>EM_S_PQ_PCTCHANGE</stp>
        <stp>4</stp>
        <stp>002582</stp>
        <stp>2018-12-31</stp>
        <stp>2019-12-30</stp>
        <stp>1</stp>
        <tr r="G1633" s="1"/>
      </tp>
      <tp>
        <v>54.070506289999997</v>
        <stp/>
        <stp>EM_S_PQ_PCTCHANGE</stp>
        <stp>4</stp>
        <stp>002793</stp>
        <stp>2018-01-01</stp>
        <stp>2019-12-31</stp>
        <stp>3</stp>
        <tr r="F848" s="1"/>
      </tp>
      <tp>
        <v>-9.80392157</v>
        <stp/>
        <stp>EM_S_PQ_PCTCHANGE</stp>
        <stp>4</stp>
        <stp>002585</stp>
        <stp>2018-12-31</stp>
        <stp>2019-12-30</stp>
        <stp>1</stp>
        <tr r="G2748" s="1"/>
      </tp>
      <tp>
        <v>-1.5923566899999999</v>
        <stp/>
        <stp>EM_S_PQ_PCTCHANGE</stp>
        <stp>4</stp>
        <stp>000584</stp>
        <stp>2018-12-31</stp>
        <stp>2019-12-30</stp>
        <stp>1</stp>
        <tr r="G2403" s="1"/>
      </tp>
      <tp>
        <v>-1.7741935499999999</v>
        <stp/>
        <stp>EM_S_PQ_PCTCHANGE</stp>
        <stp>4</stp>
        <stp>000795</stp>
        <stp>2018-01-01</stp>
        <stp>2019-12-31</stp>
        <stp>3</stp>
        <tr r="F292" s="1"/>
      </tp>
      <tp>
        <v>-16.915422889999999</v>
        <stp/>
        <stp>EM_S_PQ_PCTCHANGE</stp>
        <stp>4</stp>
        <stp>002584</stp>
        <stp>2018-12-31</stp>
        <stp>2019-12-30</stp>
        <stp>1</stp>
        <tr r="G2985" s="1"/>
      </tp>
      <tp>
        <v>-9.7864565700000004</v>
        <stp/>
        <stp>EM_S_PQ_PCTCHANGE</stp>
        <stp>4</stp>
        <stp>002795</stp>
        <stp>2018-01-01</stp>
        <stp>2019-12-31</stp>
        <stp>3</stp>
        <tr r="F2685" s="1"/>
      </tp>
      <tp>
        <v>-35.298295449999998</v>
        <stp/>
        <stp>EM_S_PQ_PCTCHANGE</stp>
        <stp>4</stp>
        <stp>000796</stp>
        <stp>2018-01-01</stp>
        <stp>2019-12-31</stp>
        <stp>3</stp>
        <tr r="F776" s="1"/>
      </tp>
      <tp>
        <v>60.288065840000002</v>
        <stp/>
        <stp>EM_S_PQ_PCTCHANGE</stp>
        <stp>4</stp>
        <stp>002587</stp>
        <stp>2018-12-31</stp>
        <stp>2019-12-30</stp>
        <stp>1</stp>
        <tr r="G422" s="1"/>
      </tp>
      <tp>
        <v>72.576215680000004</v>
        <stp/>
        <stp>EM_S_PQ_PCTCHANGE</stp>
        <stp>4</stp>
        <stp>002796</stp>
        <stp>2018-01-01</stp>
        <stp>2019-12-31</stp>
        <stp>3</stp>
        <tr r="F2130" s="1"/>
      </tp>
      <tp>
        <v>-49.307692549999999</v>
        <stp/>
        <stp>EM_S_PQ_PCTCHANGE</stp>
        <stp>4</stp>
        <stp>000797</stp>
        <stp>2018-01-01</stp>
        <stp>2019-12-31</stp>
        <stp>3</stp>
        <tr r="F3127" s="1"/>
      </tp>
      <tp>
        <v>-29.867256640000001</v>
        <stp/>
        <stp>EM_S_PQ_PCTCHANGE</stp>
        <stp>4</stp>
        <stp>002586</stp>
        <stp>2018-12-31</stp>
        <stp>2019-12-30</stp>
        <stp>1</stp>
        <tr r="G3213" s="1"/>
      </tp>
      <tp>
        <v>-15.060884659999999</v>
        <stp/>
        <stp>EM_S_PQ_PCTCHANGE</stp>
        <stp>4</stp>
        <stp>002797</stp>
        <stp>2018-01-01</stp>
        <stp>2019-12-31</stp>
        <stp>3</stp>
        <tr r="F505" s="1"/>
      </tp>
      <tp>
        <v>-23.19088146</v>
        <stp/>
        <stp>EM_S_PQ_PCTCHANGE</stp>
        <stp>4</stp>
        <stp>000788</stp>
        <stp>2018-01-01</stp>
        <stp>2019-12-31</stp>
        <stp>3</stp>
        <tr r="F1145" s="1"/>
      </tp>
      <tp>
        <v>-50.6122449</v>
        <stp/>
        <stp>EM_S_PQ_PCTCHANGE</stp>
        <stp>4</stp>
        <stp>002599</stp>
        <stp>2018-12-31</stp>
        <stp>2019-12-30</stp>
        <stp>1</stp>
        <tr r="G3370" s="1"/>
      </tp>
      <tp>
        <v>-28.585115989999998</v>
        <stp/>
        <stp>EM_S_PQ_PCTCHANGE</stp>
        <stp>4</stp>
        <stp>002788</stp>
        <stp>2018-01-01</stp>
        <stp>2019-12-31</stp>
        <stp>3</stp>
        <tr r="F3288" s="1"/>
      </tp>
      <tp>
        <v>14.392059550000001</v>
        <stp/>
        <stp>EM_S_PQ_PCTCHANGE</stp>
        <stp>4</stp>
        <stp>000598</stp>
        <stp>2018-12-31</stp>
        <stp>2019-12-30</stp>
        <stp>1</stp>
        <tr r="G1507" s="1"/>
      </tp>
      <tp>
        <v>64.401686220000002</v>
        <stp/>
        <stp>EM_S_PQ_PCTCHANGE</stp>
        <stp>4</stp>
        <stp>000789</stp>
        <stp>2018-01-01</stp>
        <stp>2019-12-31</stp>
        <stp>3</stp>
        <tr r="F2031" s="1"/>
      </tp>
      <tp>
        <v>-9.2920353999999996</v>
        <stp/>
        <stp>EM_S_PQ_PCTCHANGE</stp>
        <stp>4</stp>
        <stp>002598</stp>
        <stp>2018-12-31</stp>
        <stp>2019-12-30</stp>
        <stp>1</stp>
        <tr r="G2728" s="1"/>
      </tp>
      <tp>
        <v>-29.414034220000001</v>
        <stp/>
        <stp>EM_S_PQ_PCTCHANGE</stp>
        <stp>4</stp>
        <stp>002789</stp>
        <stp>2018-01-01</stp>
        <stp>2019-12-31</stp>
        <stp>3</stp>
        <tr r="F2208" s="1"/>
      </tp>
      <tp>
        <v>22.635135139999999</v>
        <stp/>
        <stp>EM_S_PQ_PCTCHANGE</stp>
        <stp>4</stp>
        <stp>000591</stp>
        <stp>2018-12-31</stp>
        <stp>2019-12-30</stp>
        <stp>1</stp>
        <tr r="G1170" s="1"/>
      </tp>
      <tp>
        <v>-33.17148736</v>
        <stp/>
        <stp>EM_S_PQ_PCTCHANGE</stp>
        <stp>4</stp>
        <stp>000780</stp>
        <stp>2018-01-01</stp>
        <stp>2019-12-31</stp>
        <stp>3</stp>
        <tr r="F3536" s="1"/>
      </tp>
      <tp>
        <v>35.441176470000002</v>
        <stp/>
        <stp>EM_S_PQ_PCTCHANGE</stp>
        <stp>4</stp>
        <stp>002591</stp>
        <stp>2018-12-31</stp>
        <stp>2019-12-30</stp>
        <stp>1</stp>
        <tr r="G814" s="1"/>
      </tp>
      <tp>
        <v>0.1333577</v>
        <stp/>
        <stp>EM_S_PQ_PCTCHANGE</stp>
        <stp>4</stp>
        <stp>002780</stp>
        <stp>2018-01-01</stp>
        <stp>2019-12-31</stp>
        <stp>3</stp>
        <tr r="F661" s="1"/>
      </tp>
      <tp>
        <v>10.53459119</v>
        <stp/>
        <stp>EM_S_PQ_PCTCHANGE</stp>
        <stp>4</stp>
        <stp>002590</stp>
        <stp>2018-12-31</stp>
        <stp>2019-12-30</stp>
        <stp>1</stp>
        <tr r="G1706" s="1"/>
      </tp>
      <tp>
        <v>-30.54512909</v>
        <stp/>
        <stp>EM_S_PQ_PCTCHANGE</stp>
        <stp>4</stp>
        <stp>002781</stp>
        <stp>2018-01-01</stp>
        <stp>2019-12-31</stp>
        <stp>3</stp>
        <tr r="F1532" s="1"/>
      </tp>
      <tp>
        <v>-55.141661480000003</v>
        <stp/>
        <stp>EM_S_PQ_PCTCHANGE</stp>
        <stp>4</stp>
        <stp>000782</stp>
        <stp>2018-01-01</stp>
        <stp>2019-12-31</stp>
        <stp>3</stp>
        <tr r="F3032" s="1"/>
      </tp>
      <tp>
        <v>27.30263158</v>
        <stp/>
        <stp>EM_S_PQ_PCTCHANGE</stp>
        <stp>4</stp>
        <stp>002593</stp>
        <stp>2018-12-31</stp>
        <stp>2019-12-30</stp>
        <stp>1</stp>
        <tr r="G1008" s="1"/>
      </tp>
      <tp>
        <v>-22.5605777</v>
        <stp/>
        <stp>EM_S_PQ_PCTCHANGE</stp>
        <stp>4</stp>
        <stp>002782</stp>
        <stp>2018-01-01</stp>
        <stp>2019-12-31</stp>
        <stp>3</stp>
        <tr r="F2525" s="1"/>
      </tp>
      <tp>
        <v>5.9925093599999997</v>
        <stp/>
        <stp>EM_S_PQ_PCTCHANGE</stp>
        <stp>4</stp>
        <stp>000592</stp>
        <stp>2018-12-31</stp>
        <stp>2019-12-30</stp>
        <stp>1</stp>
        <tr r="G1951" s="1"/>
      </tp>
      <tp>
        <v>-6.4198275200000001</v>
        <stp/>
        <stp>EM_S_PQ_PCTCHANGE</stp>
        <stp>4</stp>
        <stp>000783</stp>
        <stp>2018-01-01</stp>
        <stp>2019-12-31</stp>
        <stp>3</stp>
        <tr r="F3537" s="1"/>
      </tp>
      <tp>
        <v>-41.410256410000002</v>
        <stp/>
        <stp>EM_S_PQ_PCTCHANGE</stp>
        <stp>4</stp>
        <stp>002592</stp>
        <stp>2018-12-31</stp>
        <stp>2019-12-30</stp>
        <stp>1</stp>
        <tr r="G3324" s="1"/>
      </tp>
      <tp>
        <v>5.2628579799999997</v>
        <stp/>
        <stp>EM_S_PQ_PCTCHANGE</stp>
        <stp>4</stp>
        <stp>002783</stp>
        <stp>2018-01-01</stp>
        <stp>2019-12-31</stp>
        <stp>3</stp>
        <tr r="F244" s="1"/>
      </tp>
      <tp>
        <v>18.25</v>
        <stp/>
        <stp>EM_S_PQ_PCTCHANGE</stp>
        <stp>4</stp>
        <stp>002595</stp>
        <stp>2018-12-31</stp>
        <stp>2019-12-30</stp>
        <stp>1</stp>
        <tr r="G1354" s="1"/>
      </tp>
      <tp>
        <v>3.05993337</v>
        <stp/>
        <stp>EM_S_PQ_PCTCHANGE</stp>
        <stp>4</stp>
        <stp>000785</stp>
        <stp>2018-01-01</stp>
        <stp>2019-12-31</stp>
        <stp>3</stp>
        <tr r="F560" s="1"/>
      </tp>
      <tp>
        <v>-6.5882352900000001</v>
        <stp/>
        <stp>EM_S_PQ_PCTCHANGE</stp>
        <stp>4</stp>
        <stp>002594</stp>
        <stp>2018-12-31</stp>
        <stp>2019-12-30</stp>
        <stp>1</stp>
        <tr r="G2634" s="1"/>
      </tp>
      <tp>
        <v>7.0472387000000003</v>
        <stp/>
        <stp>EM_S_PQ_PCTCHANGE</stp>
        <stp>4</stp>
        <stp>002785</stp>
        <stp>2018-01-01</stp>
        <stp>2019-12-31</stp>
        <stp>3</stp>
        <tr r="F500" s="1"/>
      </tp>
      <tp>
        <v>-33.267716540000002</v>
        <stp/>
        <stp>EM_S_PQ_PCTCHANGE</stp>
        <stp>4</stp>
        <stp>000597</stp>
        <stp>2018-12-31</stp>
        <stp>2019-12-30</stp>
        <stp>1</stp>
        <tr r="G3256" s="1"/>
      </tp>
      <tp>
        <v>17.839581030000002</v>
        <stp/>
        <stp>EM_S_PQ_PCTCHANGE</stp>
        <stp>4</stp>
        <stp>000786</stp>
        <stp>2018-01-01</stp>
        <stp>2019-12-31</stp>
        <stp>3</stp>
        <tr r="F216" s="1"/>
      </tp>
      <tp>
        <v>38.388923849999998</v>
        <stp/>
        <stp>EM_S_PQ_PCTCHANGE</stp>
        <stp>4</stp>
        <stp>002597</stp>
        <stp>2018-12-31</stp>
        <stp>2019-12-30</stp>
        <stp>1</stp>
        <tr r="G765" s="1"/>
      </tp>
      <tp>
        <v>-10.558182710000001</v>
        <stp/>
        <stp>EM_S_PQ_PCTCHANGE</stp>
        <stp>4</stp>
        <stp>002786</stp>
        <stp>2018-01-01</stp>
        <stp>2019-12-31</stp>
        <stp>3</stp>
        <tr r="F785" s="1"/>
      </tp>
      <tp>
        <v>0</v>
        <stp/>
        <stp>EM_S_PQ_PCTCHANGE</stp>
        <stp>4</stp>
        <stp>000787</stp>
        <stp>2018-01-01</stp>
        <stp>2019-12-31</stp>
        <stp>3</stp>
        <tr r="F3538" s="1"/>
      </tp>
      <tp>
        <v>8.6811352300000006</v>
        <stp/>
        <stp>EM_S_PQ_PCTCHANGE</stp>
        <stp>4</stp>
        <stp>002596</stp>
        <stp>2018-12-31</stp>
        <stp>2019-12-30</stp>
        <stp>1</stp>
        <tr r="G1810" s="1"/>
      </tp>
      <tp>
        <v>-29.881173090000001</v>
        <stp/>
        <stp>EM_S_PQ_PCTCHANGE</stp>
        <stp>4</stp>
        <stp>002787</stp>
        <stp>2018-01-01</stp>
        <stp>2019-12-31</stp>
        <stp>3</stp>
        <tr r="F1847" s="1"/>
      </tp>
      <tp>
        <v>3.26409496</v>
        <stp/>
        <stp>EM_S_PQ_PCTCHANGE</stp>
        <stp>4</stp>
        <stp>300599</stp>
        <stp>2018-12-31</stp>
        <stp>2019-12-30</stp>
        <stp>1</stp>
        <tr r="G2093" s="1"/>
      </tp>
      <tp>
        <v>476.57326596000001</v>
        <stp/>
        <stp>EM_S_PQ_PCTCHANGE</stp>
        <stp>4</stp>
        <stp>300598</stp>
        <stp>2018-12-31</stp>
        <stp>2019-12-30</stp>
        <stp>1</stp>
        <tr r="G16" s="1"/>
      </tp>
      <tp>
        <v>-1.2152777800000001</v>
        <stp/>
        <stp>EM_S_PQ_PCTCHANGE</stp>
        <stp>4</stp>
        <stp>300591</stp>
        <stp>2018-12-31</stp>
        <stp>2019-12-30</stp>
        <stp>1</stp>
        <tr r="G2386" s="1"/>
      </tp>
      <tp>
        <v>46.89265537</v>
        <stp/>
        <stp>EM_S_PQ_PCTCHANGE</stp>
        <stp>4</stp>
        <stp>300590</stp>
        <stp>2018-12-31</stp>
        <stp>2019-12-30</stp>
        <stp>1</stp>
        <tr r="G609" s="1"/>
      </tp>
      <tp>
        <v>11.04294479</v>
        <stp/>
        <stp>EM_S_PQ_PCTCHANGE</stp>
        <stp>4</stp>
        <stp>300593</stp>
        <stp>2018-12-31</stp>
        <stp>2019-12-30</stp>
        <stp>1</stp>
        <tr r="G1675" s="1"/>
      </tp>
      <tp>
        <v>26.799557029999999</v>
        <stp/>
        <stp>EM_S_PQ_PCTCHANGE</stp>
        <stp>4</stp>
        <stp>300592</stp>
        <stp>2018-12-31</stp>
        <stp>2019-12-30</stp>
        <stp>1</stp>
        <tr r="G1026" s="1"/>
      </tp>
      <tp>
        <v>19.77284461</v>
        <stp/>
        <stp>EM_S_PQ_PCTCHANGE</stp>
        <stp>4</stp>
        <stp>300595</stp>
        <stp>2018-12-31</stp>
        <stp>2019-12-30</stp>
        <stp>1</stp>
        <tr r="G1286" s="1"/>
      </tp>
      <tp>
        <v>-19.220246240000002</v>
        <stp/>
        <stp>EM_S_PQ_PCTCHANGE</stp>
        <stp>4</stp>
        <stp>300597</stp>
        <stp>2018-12-31</stp>
        <stp>2019-12-30</stp>
        <stp>1</stp>
        <tr r="G3046" s="1"/>
      </tp>
      <tp>
        <v>18.387096769999999</v>
        <stp/>
        <stp>EM_S_PQ_PCTCHANGE</stp>
        <stp>4</stp>
        <stp>300596</stp>
        <stp>2018-12-31</stp>
        <stp>2019-12-30</stp>
        <stp>1</stp>
        <tr r="G1350" s="1"/>
      </tp>
      <tp>
        <v>15.90909091</v>
        <stp/>
        <stp>EM_S_PQ_PCTCHANGE</stp>
        <stp>4</stp>
        <stp>300589</stp>
        <stp>2018-12-31</stp>
        <stp>2019-12-30</stp>
        <stp>1</stp>
        <tr r="G1439" s="1"/>
      </tp>
      <tp>
        <v>-8.2872928199999993</v>
        <stp/>
        <stp>EM_S_PQ_PCTCHANGE</stp>
        <stp>4</stp>
        <stp>300588</stp>
        <stp>2018-12-31</stp>
        <stp>2019-12-30</stp>
        <stp>1</stp>
        <tr r="G2696" s="1"/>
      </tp>
      <tp>
        <v>27.924217460000001</v>
        <stp/>
        <stp>EM_S_PQ_PCTCHANGE</stp>
        <stp>4</stp>
        <stp>300581</stp>
        <stp>2018-12-31</stp>
        <stp>2019-12-30</stp>
        <stp>1</stp>
        <tr r="G989" s="1"/>
      </tp>
      <tp>
        <v>16.92307692</v>
        <stp/>
        <stp>EM_S_PQ_PCTCHANGE</stp>
        <stp>4</stp>
        <stp>300580</stp>
        <stp>2018-12-31</stp>
        <stp>2019-12-30</stp>
        <stp>1</stp>
        <tr r="G1402" s="1"/>
      </tp>
      <tp>
        <v>3.6500754099999999</v>
        <stp/>
        <stp>EM_S_PQ_PCTCHANGE</stp>
        <stp>4</stp>
        <stp>300583</stp>
        <stp>2018-12-31</stp>
        <stp>2019-12-30</stp>
        <stp>1</stp>
        <tr r="G2080" s="1"/>
      </tp>
      <tp>
        <v>19.28071928</v>
        <stp/>
        <stp>EM_S_PQ_PCTCHANGE</stp>
        <stp>4</stp>
        <stp>300582</stp>
        <stp>2018-12-31</stp>
        <stp>2019-12-30</stp>
        <stp>1</stp>
        <tr r="G1308" s="1"/>
      </tp>
      <tp>
        <v>73.416289590000005</v>
        <stp/>
        <stp>EM_S_PQ_PCTCHANGE</stp>
        <stp>4</stp>
        <stp>300585</stp>
        <stp>2018-12-31</stp>
        <stp>2019-12-30</stp>
        <stp>1</stp>
        <tr r="G290" s="1"/>
      </tp>
      <tp>
        <v>12.63463132</v>
        <stp/>
        <stp>EM_S_PQ_PCTCHANGE</stp>
        <stp>4</stp>
        <stp>300584</stp>
        <stp>2018-12-31</stp>
        <stp>2019-12-30</stp>
        <stp>1</stp>
        <tr r="G1602" s="1"/>
      </tp>
      <tp>
        <v>-10.15579919</v>
        <stp/>
        <stp>EM_S_PQ_PCTCHANGE</stp>
        <stp>4</stp>
        <stp>300587</stp>
        <stp>2018-12-31</stp>
        <stp>2019-12-30</stp>
        <stp>1</stp>
        <tr r="G2762" s="1"/>
      </tp>
      <tp>
        <v>124.83091786999999</v>
        <stp/>
        <stp>EM_S_PQ_PCTCHANGE</stp>
        <stp>4</stp>
        <stp>300586</stp>
        <stp>2018-12-31</stp>
        <stp>2019-12-30</stp>
        <stp>1</stp>
        <tr r="G117" s="1"/>
      </tp>
      <tp>
        <v>24.227318350000001</v>
        <stp/>
        <stp>EM_S_PQ_PCTCHANGE</stp>
        <stp>4</stp>
        <stp>000058</stp>
        <stp>2019-01-01</stp>
        <stp>2019-12-31</stp>
        <stp>3</stp>
        <tr r="G1127" s="1"/>
      </tp>
      <tp>
        <v>-16.98564593</v>
        <stp/>
        <stp>EM_S_PQ_PCTCHANGE</stp>
        <stp>4</stp>
        <stp>601038</stp>
        <stp>2018-01-01</stp>
        <stp>2019-12-31</stp>
        <stp>3</stp>
        <tr r="F646" s="1"/>
      </tp>
      <tp>
        <v>-14.92403932</v>
        <stp/>
        <stp>EM_S_PQ_PCTCHANGE</stp>
        <stp>4</stp>
        <stp>601229</stp>
        <stp>2018-12-31</stp>
        <stp>2019-12-30</stp>
        <stp>1</stp>
        <tr r="G2929" s="1"/>
      </tp>
      <tp>
        <v>0.73774337000000001</v>
        <stp/>
        <stp>EM_S_PQ_PCTCHANGE</stp>
        <stp>4</stp>
        <stp>000058</stp>
        <stp>2018-01-01</stp>
        <stp>2019-12-31</stp>
        <stp>3</stp>
        <tr r="F1127" s="1"/>
      </tp>
      <tp>
        <v>-32.119047430000002</v>
        <stp/>
        <stp>EM_S_PQ_PCTCHANGE</stp>
        <stp>4</stp>
        <stp>300068</stp>
        <stp>2018-01-01</stp>
        <stp>2019-12-31</stp>
        <stp>3</stp>
        <tr r="F3130" s="1"/>
      </tp>
      <tp>
        <v>26.938775509999999</v>
        <stp/>
        <stp>EM_S_PQ_PCTCHANGE</stp>
        <stp>4</stp>
        <stp>300279</stp>
        <stp>2018-12-31</stp>
        <stp>2019-12-30</stp>
        <stp>1</stp>
        <tr r="G1022" s="1"/>
      </tp>
      <tp>
        <v>3.7608126999999998</v>
        <stp/>
        <stp>EM_S_PQ_PCTCHANGE</stp>
        <stp>4</stp>
        <stp>600038</stp>
        <stp>2018-01-01</stp>
        <stp>2019-12-31</stp>
        <stp>3</stp>
        <tr r="F1039" s="1"/>
      </tp>
      <tp>
        <v>5.2083333300000003</v>
        <stp/>
        <stp>EM_S_PQ_PCTCHANGE</stp>
        <stp>4</stp>
        <stp>600229</stp>
        <stp>2018-12-31</stp>
        <stp>2019-12-30</stp>
        <stp>1</stp>
        <tr r="G2004" s="1"/>
      </tp>
      <tp>
        <v>-32.534678370000002</v>
        <stp/>
        <stp>EM_S_PQ_PCTCHANGE</stp>
        <stp>4</stp>
        <stp>603038</stp>
        <stp>2018-01-01</stp>
        <stp>2019-12-31</stp>
        <stp>3</stp>
        <tr r="F2833" s="1"/>
      </tp>
      <tp>
        <v>75.437062940000004</v>
        <stp/>
        <stp>EM_S_PQ_PCTCHANGE</stp>
        <stp>4</stp>
        <stp>603229</stp>
        <stp>2018-12-31</stp>
        <stp>2019-12-30</stp>
        <stp>1</stp>
        <tr r="G274" s="1"/>
      </tp>
      <tp>
        <v>5.7558037300000002</v>
        <stp/>
        <stp>EM_S_PQ_PCTCHANGE</stp>
        <stp>4</stp>
        <stp>002058</stp>
        <stp>2018-01-01</stp>
        <stp>2019-12-31</stp>
        <stp>3</stp>
        <tr r="F306" s="1"/>
      </tp>
      <tp>
        <v>19.09090909</v>
        <stp/>
        <stp>EM_S_PQ_PCTCHANGE</stp>
        <stp>4</stp>
        <stp>002249</stp>
        <stp>2018-12-31</stp>
        <stp>2019-12-30</stp>
        <stp>1</stp>
        <tr r="G1320" s="1"/>
      </tp>
      <tp>
        <v>6.4807018000000003</v>
        <stp/>
        <stp>EM_S_PQ_PCTCHANGE</stp>
        <stp>4</stp>
        <stp>000059</stp>
        <stp>2019-01-01</stp>
        <stp>2019-12-31</stp>
        <stp>3</stp>
        <tr r="G1923" s="1"/>
      </tp>
      <tp>
        <v>-3.53535354</v>
        <stp/>
        <stp>EM_S_PQ_PCTCHANGE</stp>
        <stp>4</stp>
        <stp>601228</stp>
        <stp>2018-12-31</stp>
        <stp>2019-12-30</stp>
        <stp>1</stp>
        <tr r="G2498" s="1"/>
      </tp>
      <tp>
        <v>-33.631126049999999</v>
        <stp/>
        <stp>EM_S_PQ_PCTCHANGE</stp>
        <stp>4</stp>
        <stp>000059</stp>
        <stp>2018-01-01</stp>
        <stp>2019-12-31</stp>
        <stp>3</stp>
        <tr r="F1923" s="1"/>
      </tp>
      <tp>
        <v>-52.81564908</v>
        <stp/>
        <stp>EM_S_PQ_PCTCHANGE</stp>
        <stp>4</stp>
        <stp>300069</stp>
        <stp>2018-01-01</stp>
        <stp>2019-12-31</stp>
        <stp>3</stp>
        <tr r="F270" s="1"/>
      </tp>
      <tp>
        <v>-24.518388789999999</v>
        <stp/>
        <stp>EM_S_PQ_PCTCHANGE</stp>
        <stp>4</stp>
        <stp>300278</stp>
        <stp>2018-12-31</stp>
        <stp>2019-12-30</stp>
        <stp>1</stp>
        <tr r="G3145" s="1"/>
      </tp>
      <tp>
        <v>-14.920611940000001</v>
        <stp/>
        <stp>EM_S_PQ_PCTCHANGE</stp>
        <stp>4</stp>
        <stp>600039</stp>
        <stp>2018-01-01</stp>
        <stp>2019-12-31</stp>
        <stp>3</stp>
        <tr r="F2260" s="1"/>
      </tp>
      <tp>
        <v>-26.184834120000001</v>
        <stp/>
        <stp>EM_S_PQ_PCTCHANGE</stp>
        <stp>4</stp>
        <stp>600228</stp>
        <stp>2018-12-31</stp>
        <stp>2019-12-30</stp>
        <stp>1</stp>
        <tr r="G3169" s="1"/>
      </tp>
      <tp>
        <v>101.7542715</v>
        <stp/>
        <stp>EM_S_PQ_PCTCHANGE</stp>
        <stp>4</stp>
        <stp>603039</stp>
        <stp>2018-01-01</stp>
        <stp>2019-12-31</stp>
        <stp>3</stp>
        <tr r="F3129" s="1"/>
      </tp>
      <tp>
        <v>-11.162232449999999</v>
        <stp/>
        <stp>EM_S_PQ_PCTCHANGE</stp>
        <stp>4</stp>
        <stp>603228</stp>
        <stp>2018-12-31</stp>
        <stp>2019-12-30</stp>
        <stp>1</stp>
        <tr r="G2805" s="1"/>
      </tp>
      <tp>
        <v>-31.99795688</v>
        <stp/>
        <stp>EM_S_PQ_PCTCHANGE</stp>
        <stp>4</stp>
        <stp>002059</stp>
        <stp>2018-01-01</stp>
        <stp>2019-12-31</stp>
        <stp>3</stp>
        <tr r="F2514" s="1"/>
      </tp>
      <tp>
        <v>-9.7701149399999991</v>
        <stp/>
        <stp>EM_S_PQ_PCTCHANGE</stp>
        <stp>4</stp>
        <stp>002248</stp>
        <stp>2018-12-31</stp>
        <stp>2019-12-30</stp>
        <stp>1</stp>
        <tr r="G2746" s="1"/>
      </tp>
      <tp>
        <v>66.887700339999995</v>
        <stp/>
        <stp>EM_S_PQ_PCTCHANGE</stp>
        <stp>4</stp>
        <stp>000050</stp>
        <stp>2019-01-01</stp>
        <stp>2019-12-31</stp>
        <stp>3</stp>
        <tr r="G348" s="1"/>
      </tp>
      <tp>
        <v>-16.574904700000001</v>
        <stp/>
        <stp>EM_S_PQ_PCTCHANGE</stp>
        <stp>4</stp>
        <stp>000050</stp>
        <stp>2018-01-01</stp>
        <stp>2019-12-31</stp>
        <stp>3</stp>
        <tr r="F348" s="1"/>
      </tp>
      <tp>
        <v>70.086608929999997</v>
        <stp/>
        <stp>EM_S_PQ_PCTCHANGE</stp>
        <stp>4</stp>
        <stp>300271</stp>
        <stp>2018-12-31</stp>
        <stp>2019-12-30</stp>
        <stp>1</stp>
        <tr r="G312" s="1"/>
      </tp>
      <tp>
        <v>45.522082529999999</v>
        <stp/>
        <stp>EM_S_PQ_PCTCHANGE</stp>
        <stp>4</stp>
        <stp>600030</stp>
        <stp>2018-01-01</stp>
        <stp>2019-12-31</stp>
        <stp>3</stp>
        <tr r="F423" s="1"/>
      </tp>
      <tp>
        <v>-7.9787233999999998</v>
        <stp/>
        <stp>EM_S_PQ_PCTCHANGE</stp>
        <stp>4</stp>
        <stp>600221</stp>
        <stp>2018-12-31</stp>
        <stp>2019-12-30</stp>
        <stp>1</stp>
        <tr r="G2679" s="1"/>
      </tp>
      <tp>
        <v>-28.928312380000001</v>
        <stp/>
        <stp>EM_S_PQ_PCTCHANGE</stp>
        <stp>4</stp>
        <stp>603030</stp>
        <stp>2018-01-01</stp>
        <stp>2019-12-31</stp>
        <stp>3</stp>
        <tr r="F1545" s="1"/>
      </tp>
      <tp>
        <v>27.09208138</v>
        <stp/>
        <stp>EM_S_PQ_PCTCHANGE</stp>
        <stp>4</stp>
        <stp>002050</stp>
        <stp>2018-01-01</stp>
        <stp>2019-12-31</stp>
        <stp>3</stp>
        <tr r="F791" s="1"/>
      </tp>
      <tp>
        <v>187.64534884</v>
        <stp/>
        <stp>EM_S_PQ_PCTCHANGE</stp>
        <stp>4</stp>
        <stp>002241</stp>
        <stp>2018-12-31</stp>
        <stp>2019-12-30</stp>
        <stp>1</stp>
        <tr r="G52" s="1"/>
      </tp>
      <tp>
        <v>108.47546917</v>
        <stp/>
        <stp>EM_S_PQ_PCTCHANGE</stp>
        <stp>4</stp>
        <stp>600031</stp>
        <stp>2019-01-01</stp>
        <stp>2019-12-31</stp>
        <stp>3</stp>
        <tr r="G148" s="1"/>
      </tp>
      <tp>
        <v>-47.440180429999998</v>
        <stp/>
        <stp>EM_S_PQ_PCTCHANGE</stp>
        <stp>4</stp>
        <stp>300061</stp>
        <stp>2018-01-01</stp>
        <stp>2019-12-31</stp>
        <stp>3</stp>
        <tr r="F1862" s="1"/>
      </tp>
      <tp>
        <v>28.683385579999999</v>
        <stp/>
        <stp>EM_S_PQ_PCTCHANGE</stp>
        <stp>4</stp>
        <stp>300270</stp>
        <stp>2018-12-31</stp>
        <stp>2019-12-30</stp>
        <stp>1</stp>
        <tr r="G966" s="1"/>
      </tp>
      <tp>
        <v>95.130944499999998</v>
        <stp/>
        <stp>EM_S_PQ_PCTCHANGE</stp>
        <stp>4</stp>
        <stp>600031</stp>
        <stp>2018-01-01</stp>
        <stp>2019-12-31</stp>
        <stp>3</stp>
        <tr r="F148" s="1"/>
      </tp>
      <tp>
        <v>7.6190476199999999</v>
        <stp/>
        <stp>EM_S_PQ_PCTCHANGE</stp>
        <stp>4</stp>
        <stp>600220</stp>
        <stp>2018-12-31</stp>
        <stp>2019-12-30</stp>
        <stp>1</stp>
        <tr r="G1873" s="1"/>
      </tp>
      <tp>
        <v>39.886576030000001</v>
        <stp/>
        <stp>EM_S_PQ_PCTCHANGE</stp>
        <stp>4</stp>
        <stp>603031</stp>
        <stp>2018-01-01</stp>
        <stp>2019-12-31</stp>
        <stp>3</stp>
        <tr r="F225" s="1"/>
      </tp>
      <tp>
        <v>-44.686415119999999</v>
        <stp/>
        <stp>EM_S_PQ_PCTCHANGE</stp>
        <stp>4</stp>
        <stp>002051</stp>
        <stp>2018-01-01</stp>
        <stp>2019-12-31</stp>
        <stp>3</stp>
        <tr r="F3617" s="1"/>
      </tp>
      <tp>
        <v>6.3100137199999997</v>
        <stp/>
        <stp>EM_S_PQ_PCTCHANGE</stp>
        <stp>4</stp>
        <stp>002240</stp>
        <stp>2018-12-31</stp>
        <stp>2019-12-30</stp>
        <stp>1</stp>
        <tr r="G1935" s="1"/>
      </tp>
      <tp>
        <v>-21.274777669999999</v>
        <stp/>
        <stp>EM_S_PQ_PCTCHANGE</stp>
        <stp>4</stp>
        <stp>300062</stp>
        <stp>2018-01-01</stp>
        <stp>2019-12-31</stp>
        <stp>3</stp>
        <tr r="F1772" s="1"/>
      </tp>
      <tp>
        <v>6.3043478300000002</v>
        <stp/>
        <stp>EM_S_PQ_PCTCHANGE</stp>
        <stp>4</stp>
        <stp>300273</stp>
        <stp>2018-12-31</stp>
        <stp>2019-12-30</stp>
        <stp>1</stp>
        <tr r="G1936" s="1"/>
      </tp>
      <tp>
        <v>148.7012987</v>
        <stp/>
        <stp>EM_S_PQ_PCTCHANGE</stp>
        <stp>4</stp>
        <stp>600223</stp>
        <stp>2018-12-31</stp>
        <stp>2019-12-30</stp>
        <stp>1</stp>
        <tr r="G86" s="1"/>
      </tp>
      <tp>
        <v>-50.592668060000001</v>
        <stp/>
        <stp>EM_S_PQ_PCTCHANGE</stp>
        <stp>4</stp>
        <stp>603032</stp>
        <stp>2018-01-01</stp>
        <stp>2019-12-31</stp>
        <stp>3</stp>
        <tr r="F3116" s="1"/>
      </tp>
      <tp>
        <v>-39.499036609999997</v>
        <stp/>
        <stp>EM_S_PQ_PCTCHANGE</stp>
        <stp>4</stp>
        <stp>603223</stp>
        <stp>2018-12-31</stp>
        <stp>2019-12-30</stp>
        <stp>1</stp>
        <tr r="G3307" s="1"/>
      </tp>
      <tp>
        <v>-43.214285709999999</v>
        <stp/>
        <stp>EM_S_PQ_PCTCHANGE</stp>
        <stp>4</stp>
        <stp>002052</stp>
        <stp>2018-01-01</stp>
        <stp>2019-12-31</stp>
        <stp>3</stp>
        <tr r="F3618" s="1"/>
      </tp>
      <tp>
        <v>8.5383502199999999</v>
        <stp/>
        <stp>EM_S_PQ_PCTCHANGE</stp>
        <stp>4</stp>
        <stp>002243</stp>
        <stp>2018-12-31</stp>
        <stp>2019-12-30</stp>
        <stp>1</stp>
        <tr r="G1825" s="1"/>
      </tp>
      <tp>
        <v>-2.0661157000000001</v>
        <stp/>
        <stp>EM_S_PQ_PCTCHANGE</stp>
        <stp>4</stp>
        <stp>601222</stp>
        <stp>2018-12-31</stp>
        <stp>2019-12-30</stp>
        <stp>1</stp>
        <tr r="G2421" s="1"/>
      </tp>
      <tp>
        <v>-43.090909089999997</v>
        <stp/>
        <stp>EM_S_PQ_PCTCHANGE</stp>
        <stp>4</stp>
        <stp>300063</stp>
        <stp>2018-01-01</stp>
        <stp>2019-12-31</stp>
        <stp>3</stp>
        <tr r="F2700" s="1"/>
      </tp>
      <tp>
        <v>-27.507598779999999</v>
        <stp/>
        <stp>EM_S_PQ_PCTCHANGE</stp>
        <stp>4</stp>
        <stp>300272</stp>
        <stp>2018-12-31</stp>
        <stp>2019-12-30</stp>
        <stp>1</stp>
        <tr r="G3189" s="1"/>
      </tp>
      <tp>
        <v>-8.8161904700000004</v>
        <stp/>
        <stp>EM_S_PQ_PCTCHANGE</stp>
        <stp>4</stp>
        <stp>600033</stp>
        <stp>2018-01-01</stp>
        <stp>2019-12-31</stp>
        <stp>3</stp>
        <tr r="F2105" s="1"/>
      </tp>
      <tp>
        <v>27.058823530000002</v>
        <stp/>
        <stp>EM_S_PQ_PCTCHANGE</stp>
        <stp>4</stp>
        <stp>600222</stp>
        <stp>2018-12-31</stp>
        <stp>2019-12-30</stp>
        <stp>1</stp>
        <tr r="G1015" s="1"/>
      </tp>
      <tp>
        <v>38.16995902</v>
        <stp/>
        <stp>EM_S_PQ_PCTCHANGE</stp>
        <stp>4</stp>
        <stp>603033</stp>
        <stp>2018-01-01</stp>
        <stp>2019-12-31</stp>
        <stp>3</stp>
        <tr r="F2572" s="1"/>
      </tp>
      <tp>
        <v>291.2371134</v>
        <stp/>
        <stp>EM_S_PQ_PCTCHANGE</stp>
        <stp>4</stp>
        <stp>603222</stp>
        <stp>2018-12-31</stp>
        <stp>2019-12-30</stp>
        <stp>1</stp>
        <tr r="G29" s="1"/>
      </tp>
      <tp>
        <v>-36.076277830000002</v>
        <stp/>
        <stp>EM_S_PQ_PCTCHANGE</stp>
        <stp>4</stp>
        <stp>002053</stp>
        <stp>2018-01-01</stp>
        <stp>2019-12-31</stp>
        <stp>3</stp>
        <tr r="F3619" s="1"/>
      </tp>
      <tp>
        <v>53.778888190000004</v>
        <stp/>
        <stp>EM_S_PQ_PCTCHANGE</stp>
        <stp>4</stp>
        <stp>002242</stp>
        <stp>2018-12-31</stp>
        <stp>2019-12-30</stp>
        <stp>1</stp>
        <tr r="G504" s="1"/>
      </tp>
      <tp>
        <v>21.505376340000002</v>
        <stp/>
        <stp>EM_S_PQ_PCTCHANGE</stp>
        <stp>4</stp>
        <stp>601225</stp>
        <stp>2018-12-31</stp>
        <stp>2019-12-30</stp>
        <stp>1</stp>
        <tr r="G1210" s="1"/>
      </tp>
      <tp>
        <v>-76.27917626</v>
        <stp/>
        <stp>EM_S_PQ_PCTCHANGE</stp>
        <stp>4</stp>
        <stp>300064</stp>
        <stp>2018-01-01</stp>
        <stp>2019-12-31</stp>
        <stp>3</stp>
        <tr r="F3172" s="1"/>
      </tp>
      <tp>
        <v>63.793103449999997</v>
        <stp/>
        <stp>EM_S_PQ_PCTCHANGE</stp>
        <stp>4</stp>
        <stp>300275</stp>
        <stp>2018-12-31</stp>
        <stp>2019-12-30</stp>
        <stp>1</stp>
        <tr r="G386" s="1"/>
      </tp>
      <tp>
        <v>-13.15789474</v>
        <stp/>
        <stp>EM_S_PQ_PCTCHANGE</stp>
        <stp>4</stp>
        <stp>600225</stp>
        <stp>2018-12-31</stp>
        <stp>2019-12-30</stp>
        <stp>1</stp>
        <tr r="G2872" s="1"/>
      </tp>
      <tp>
        <v>-34.08</v>
        <stp/>
        <stp>EM_S_PQ_PCTCHANGE</stp>
        <stp>4</stp>
        <stp>603225</stp>
        <stp>2018-12-31</stp>
        <stp>2019-12-30</stp>
        <stp>1</stp>
        <tr r="G3262" s="1"/>
      </tp>
      <tp>
        <v>-48.100219699999997</v>
        <stp/>
        <stp>EM_S_PQ_PCTCHANGE</stp>
        <stp>4</stp>
        <stp>002054</stp>
        <stp>2018-01-01</stp>
        <stp>2019-12-31</stp>
        <stp>3</stp>
        <tr r="F3620" s="1"/>
      </tp>
      <tp>
        <v>4.63917526</v>
        <stp/>
        <stp>EM_S_PQ_PCTCHANGE</stp>
        <stp>4</stp>
        <stp>002245</stp>
        <stp>2018-12-31</stp>
        <stp>2019-12-30</stp>
        <stp>1</stp>
        <tr r="G2022" s="1"/>
      </tp>
      <tp>
        <v>24.645161290000001</v>
        <stp/>
        <stp>EM_S_PQ_PCTCHANGE</stp>
        <stp>4</stp>
        <stp>000055</stp>
        <stp>2019-01-01</stp>
        <stp>2019-12-31</stp>
        <stp>3</stp>
        <tr r="G1107" s="1"/>
      </tp>
      <tp>
        <v>-15.738670409999999</v>
        <stp/>
        <stp>EM_S_PQ_PCTCHANGE</stp>
        <stp>4</stp>
        <stp>000055</stp>
        <stp>2018-01-01</stp>
        <stp>2019-12-31</stp>
        <stp>3</stp>
        <tr r="F1107" s="1"/>
      </tp>
      <tp>
        <v>-32.790414980000001</v>
        <stp/>
        <stp>EM_S_PQ_PCTCHANGE</stp>
        <stp>4</stp>
        <stp>300065</stp>
        <stp>2018-01-01</stp>
        <stp>2019-12-31</stp>
        <stp>3</stp>
        <tr r="F1337" s="1"/>
      </tp>
      <tp>
        <v>19.843049329999999</v>
        <stp/>
        <stp>EM_S_PQ_PCTCHANGE</stp>
        <stp>4</stp>
        <stp>300274</stp>
        <stp>2018-12-31</stp>
        <stp>2019-12-30</stp>
        <stp>1</stp>
        <tr r="G1283" s="1"/>
      </tp>
      <tp>
        <v>-29.991933790000001</v>
        <stp/>
        <stp>EM_S_PQ_PCTCHANGE</stp>
        <stp>4</stp>
        <stp>600035</stp>
        <stp>2018-01-01</stp>
        <stp>2019-12-31</stp>
        <stp>3</stp>
        <tr r="F1452" s="1"/>
      </tp>
      <tp>
        <v>-12.01819631</v>
        <stp/>
        <stp>EM_S_PQ_PCTCHANGE</stp>
        <stp>4</stp>
        <stp>603035</stp>
        <stp>2018-01-01</stp>
        <stp>2019-12-31</stp>
        <stp>3</stp>
        <tr r="F1913" s="1"/>
      </tp>
      <tp>
        <v>-46.991591800000002</v>
        <stp/>
        <stp>EM_S_PQ_PCTCHANGE</stp>
        <stp>4</stp>
        <stp>002055</stp>
        <stp>2018-01-01</stp>
        <stp>2019-12-31</stp>
        <stp>3</stp>
        <tr r="F1666" s="1"/>
      </tp>
      <tp>
        <v>24.371859300000001</v>
        <stp/>
        <stp>EM_S_PQ_PCTCHANGE</stp>
        <stp>4</stp>
        <stp>002244</stp>
        <stp>2018-12-31</stp>
        <stp>2019-12-30</stp>
        <stp>1</stp>
        <tr r="G1120" s="1"/>
      </tp>
      <tp>
        <v>-68.610293080000005</v>
        <stp/>
        <stp>EM_S_PQ_PCTCHANGE</stp>
        <stp>4</stp>
        <stp>000056</stp>
        <stp>2018-01-01</stp>
        <stp>2019-12-31</stp>
        <stp>3</stp>
        <tr r="F2827" s="1"/>
      </tp>
      <tp>
        <v>2.7268107399999999</v>
        <stp/>
        <stp>EM_S_PQ_PCTCHANGE</stp>
        <stp>4</stp>
        <stp>300066</stp>
        <stp>2018-01-01</stp>
        <stp>2019-12-31</stp>
        <stp>3</stp>
        <tr r="F710" s="1"/>
      </tp>
      <tp>
        <v>54.796747969999998</v>
        <stp/>
        <stp>EM_S_PQ_PCTCHANGE</stp>
        <stp>4</stp>
        <stp>300277</stp>
        <stp>2018-12-31</stp>
        <stp>2019-12-30</stp>
        <stp>1</stp>
        <tr r="G492" s="1"/>
      </tp>
      <tp>
        <v>37.315059290000001</v>
        <stp/>
        <stp>EM_S_PQ_PCTCHANGE</stp>
        <stp>4</stp>
        <stp>600036</stp>
        <stp>2018-01-01</stp>
        <stp>2019-12-31</stp>
        <stp>3</stp>
        <tr r="F562" s="1"/>
      </tp>
      <tp>
        <v>-9.4202898600000005</v>
        <stp/>
        <stp>EM_S_PQ_PCTCHANGE</stp>
        <stp>4</stp>
        <stp>600227</stp>
        <stp>2018-12-31</stp>
        <stp>2019-12-30</stp>
        <stp>1</stp>
        <tr r="G2732" s="1"/>
      </tp>
      <tp>
        <v>-39.193996640000002</v>
        <stp/>
        <stp>EM_S_PQ_PCTCHANGE</stp>
        <stp>4</stp>
        <stp>603036</stp>
        <stp>2018-01-01</stp>
        <stp>2019-12-31</stp>
        <stp>3</stp>
        <tr r="F2651" s="1"/>
      </tp>
      <tp>
        <v>27.322404370000001</v>
        <stp/>
        <stp>EM_S_PQ_PCTCHANGE</stp>
        <stp>4</stp>
        <stp>603227</stp>
        <stp>2018-12-31</stp>
        <stp>2019-12-30</stp>
        <stp>1</stp>
        <tr r="G1007" s="1"/>
      </tp>
      <tp>
        <v>-20.908188540000001</v>
        <stp/>
        <stp>EM_S_PQ_PCTCHANGE</stp>
        <stp>4</stp>
        <stp>002056</stp>
        <stp>2018-01-01</stp>
        <stp>2019-12-31</stp>
        <stp>3</stp>
        <tr r="F553" s="1"/>
      </tp>
      <tp>
        <v>-39.055793989999998</v>
        <stp/>
        <stp>EM_S_PQ_PCTCHANGE</stp>
        <stp>4</stp>
        <stp>002247</stp>
        <stp>2018-12-31</stp>
        <stp>2019-12-30</stp>
        <stp>1</stp>
        <tr r="G3301" s="1"/>
      </tp>
      <tp>
        <v>14.90514905</v>
        <stp/>
        <stp>EM_S_PQ_PCTCHANGE</stp>
        <stp>4</stp>
        <stp>601226</stp>
        <stp>2018-12-31</stp>
        <stp>2019-12-30</stp>
        <stp>1</stp>
        <tr r="G1486" s="1"/>
      </tp>
      <tp>
        <v>-4.4239483499999999</v>
        <stp/>
        <stp>EM_S_PQ_PCTCHANGE</stp>
        <stp>4</stp>
        <stp>300067</stp>
        <stp>2018-01-01</stp>
        <stp>2019-12-31</stp>
        <stp>3</stp>
        <tr r="F2899" s="1"/>
      </tp>
      <tp>
        <v>-21.629485939999999</v>
        <stp/>
        <stp>EM_S_PQ_PCTCHANGE</stp>
        <stp>4</stp>
        <stp>300276</stp>
        <stp>2018-12-31</stp>
        <stp>2019-12-30</stp>
        <stp>1</stp>
        <tr r="G3092" s="1"/>
      </tp>
      <tp>
        <v>-28.355896919999999</v>
        <stp/>
        <stp>EM_S_PQ_PCTCHANGE</stp>
        <stp>4</stp>
        <stp>600037</stp>
        <stp>2018-01-01</stp>
        <stp>2019-12-31</stp>
        <stp>3</stp>
        <tr r="F2030" s="1"/>
      </tp>
      <tp>
        <v>10.35714286</v>
        <stp/>
        <stp>EM_S_PQ_PCTCHANGE</stp>
        <stp>4</stp>
        <stp>600226</stp>
        <stp>2018-12-31</stp>
        <stp>2019-12-30</stp>
        <stp>1</stp>
        <tr r="G1718" s="1"/>
      </tp>
      <tp>
        <v>-23.70734083</v>
        <stp/>
        <stp>EM_S_PQ_PCTCHANGE</stp>
        <stp>4</stp>
        <stp>603037</stp>
        <stp>2018-01-01</stp>
        <stp>2019-12-31</stp>
        <stp>3</stp>
        <tr r="F2448" s="1"/>
      </tp>
      <tp>
        <v>18.00623053</v>
        <stp/>
        <stp>EM_S_PQ_PCTCHANGE</stp>
        <stp>4</stp>
        <stp>603226</stp>
        <stp>2018-12-31</stp>
        <stp>2019-12-30</stp>
        <stp>1</stp>
        <tr r="G1365" s="1"/>
      </tp>
      <tp>
        <v>62.621436549999999</v>
        <stp/>
        <stp>EM_S_PQ_PCTCHANGE</stp>
        <stp>4</stp>
        <stp>002057</stp>
        <stp>2018-01-01</stp>
        <stp>2019-12-31</stp>
        <stp>3</stp>
        <tr r="F460" s="1"/>
      </tp>
      <tp>
        <v>13.464447809999999</v>
        <stp/>
        <stp>EM_S_PQ_PCTCHANGE</stp>
        <stp>4</stp>
        <stp>002246</stp>
        <stp>2018-12-31</stp>
        <stp>2019-12-30</stp>
        <stp>1</stp>
        <tr r="G1557" s="1"/>
      </tp>
      <tp>
        <v>22.426743089999999</v>
        <stp/>
        <stp>EM_S_PQ_PCTCHANGE</stp>
        <stp>4</stp>
        <stp>000048</stp>
        <stp>2019-01-01</stp>
        <stp>2019-12-31</stp>
        <stp>3</stp>
        <tr r="G1177" s="1"/>
      </tp>
      <tp>
        <v>-43.598233999999998</v>
        <stp/>
        <stp>EM_S_PQ_PCTCHANGE</stp>
        <stp>4</stp>
        <stp>601028</stp>
        <stp>2018-01-01</stp>
        <stp>2019-12-31</stp>
        <stp>3</stp>
        <tr r="F1709" s="1"/>
      </tp>
      <tp>
        <v>11.07511088</v>
        <stp/>
        <stp>EM_S_PQ_PCTCHANGE</stp>
        <stp>4</stp>
        <stp>000048</stp>
        <stp>2018-01-01</stp>
        <stp>2019-12-31</stp>
        <stp>3</stp>
        <tr r="F1177" s="1"/>
      </tp>
      <tp>
        <v>14.32182961</v>
        <stp/>
        <stp>EM_S_PQ_PCTCHANGE</stp>
        <stp>4</stp>
        <stp>300078</stp>
        <stp>2018-01-01</stp>
        <stp>2019-12-31</stp>
        <stp>3</stp>
        <tr r="F1234" s="1"/>
      </tp>
      <tp>
        <v>-9.8181818199999995</v>
        <stp/>
        <stp>EM_S_PQ_PCTCHANGE</stp>
        <stp>4</stp>
        <stp>300269</stp>
        <stp>2018-12-31</stp>
        <stp>2019-12-30</stp>
        <stp>1</stp>
        <tr r="G2751" s="1"/>
      </tp>
      <tp>
        <v>-2.8534148199999998</v>
        <stp/>
        <stp>EM_S_PQ_PCTCHANGE</stp>
        <stp>4</stp>
        <stp>600028</stp>
        <stp>2018-01-01</stp>
        <stp>2019-12-31</stp>
        <stp>3</stp>
        <tr r="F2245" s="1"/>
      </tp>
      <tp>
        <v>0.34722222000000003</v>
        <stp/>
        <stp>EM_S_PQ_PCTCHANGE</stp>
        <stp>4</stp>
        <stp>600239</stp>
        <stp>2018-12-31</stp>
        <stp>2019-12-30</stp>
        <stp>1</stp>
        <tr r="G2256" s="1"/>
      </tp>
      <tp>
        <v>15.003472289999999</v>
        <stp/>
        <stp>EM_S_PQ_PCTCHANGE</stp>
        <stp>4</stp>
        <stp>603028</stp>
        <stp>2018-01-01</stp>
        <stp>2019-12-31</stp>
        <stp>3</stp>
        <tr r="F383" s="1"/>
      </tp>
      <tp>
        <v>5.8597502400000003</v>
        <stp/>
        <stp>EM_S_PQ_PCTCHANGE</stp>
        <stp>4</stp>
        <stp>603239</stp>
        <stp>2018-12-31</stp>
        <stp>2019-12-30</stp>
        <stp>1</stp>
        <tr r="G1957" s="1"/>
      </tp>
      <tp>
        <v>-33.31321389</v>
        <stp/>
        <stp>EM_S_PQ_PCTCHANGE</stp>
        <stp>4</stp>
        <stp>002048</stp>
        <stp>2018-01-01</stp>
        <stp>2019-12-31</stp>
        <stp>3</stp>
        <tr r="F510" s="1"/>
      </tp>
      <tp>
        <v>-6.9868995600000003</v>
        <stp/>
        <stp>EM_S_PQ_PCTCHANGE</stp>
        <stp>4</stp>
        <stp>002259</stp>
        <stp>2018-12-31</stp>
        <stp>2019-12-30</stp>
        <stp>1</stp>
        <tr r="G2658" s="1"/>
      </tp>
      <tp>
        <v>43.508031240000001</v>
        <stp/>
        <stp>EM_S_PQ_PCTCHANGE</stp>
        <stp>4</stp>
        <stp>000049</stp>
        <stp>2019-01-01</stp>
        <stp>2019-12-31</stp>
        <stp>3</stp>
        <tr r="G678" s="1"/>
      </tp>
      <tp>
        <v>12.92517007</v>
        <stp/>
        <stp>EM_S_PQ_PCTCHANGE</stp>
        <stp>4</stp>
        <stp>601238</stp>
        <stp>2018-12-31</stp>
        <stp>2019-12-30</stp>
        <stp>1</stp>
        <tr r="G1583" s="1"/>
      </tp>
      <tp>
        <v>4.7486785400000002</v>
        <stp/>
        <stp>EM_S_PQ_PCTCHANGE</stp>
        <stp>4</stp>
        <stp>000049</stp>
        <stp>2018-01-01</stp>
        <stp>2019-12-31</stp>
        <stp>3</stp>
        <tr r="F678" s="1"/>
      </tp>
      <tp>
        <v>41.270726860000003</v>
        <stp/>
        <stp>EM_S_PQ_PCTCHANGE</stp>
        <stp>4</stp>
        <stp>300079</stp>
        <stp>2018-01-01</stp>
        <stp>2019-12-31</stp>
        <stp>3</stp>
        <tr r="F236" s="1"/>
      </tp>
      <tp>
        <v>26.024955439999999</v>
        <stp/>
        <stp>EM_S_PQ_PCTCHANGE</stp>
        <stp>4</stp>
        <stp>300268</stp>
        <stp>2018-12-31</stp>
        <stp>2019-12-30</stp>
        <stp>1</stp>
        <tr r="G1057" s="1"/>
      </tp>
      <tp>
        <v>-38.540288519999997</v>
        <stp/>
        <stp>EM_S_PQ_PCTCHANGE</stp>
        <stp>4</stp>
        <stp>600029</stp>
        <stp>2018-01-01</stp>
        <stp>2019-12-31</stp>
        <stp>3</stp>
        <tr r="F1859" s="1"/>
      </tp>
      <tp>
        <v>26.6384778</v>
        <stp/>
        <stp>EM_S_PQ_PCTCHANGE</stp>
        <stp>4</stp>
        <stp>600238</stp>
        <stp>2018-12-31</stp>
        <stp>2019-12-30</stp>
        <stp>1</stp>
        <tr r="G1030" s="1"/>
      </tp>
      <tp>
        <v>-28.075002900000001</v>
        <stp/>
        <stp>EM_S_PQ_PCTCHANGE</stp>
        <stp>4</stp>
        <stp>603029</stp>
        <stp>2018-01-01</stp>
        <stp>2019-12-31</stp>
        <stp>3</stp>
        <tr r="F1695" s="1"/>
      </tp>
      <tp>
        <v>-7.9449152500000002</v>
        <stp/>
        <stp>EM_S_PQ_PCTCHANGE</stp>
        <stp>4</stp>
        <stp>603238</stp>
        <stp>2018-12-31</stp>
        <stp>2019-12-30</stp>
        <stp>1</stp>
        <tr r="G2678" s="1"/>
      </tp>
      <tp>
        <v>6.1903031300000002</v>
        <stp/>
        <stp>EM_S_PQ_PCTCHANGE</stp>
        <stp>4</stp>
        <stp>002049</stp>
        <stp>2018-01-01</stp>
        <stp>2019-12-31</stp>
        <stp>3</stp>
        <tr r="F262" s="1"/>
      </tp>
      <tp>
        <v>8.2952815799999993</v>
        <stp/>
        <stp>EM_S_PQ_PCTCHANGE</stp>
        <stp>4</stp>
        <stp>002258</stp>
        <stp>2018-12-31</stp>
        <stp>2019-12-30</stp>
        <stp>1</stp>
        <tr r="G1840" s="1"/>
      </tp>
      <tp>
        <v>-41.545998220000001</v>
        <stp/>
        <stp>EM_S_PQ_PCTCHANGE</stp>
        <stp>4</stp>
        <stp>000040</stp>
        <stp>2019-01-01</stp>
        <stp>2019-12-31</stp>
        <stp>3</stp>
        <tr r="G3327" s="1"/>
      </tp>
      <tp>
        <v>-54.716287639999997</v>
        <stp/>
        <stp>EM_S_PQ_PCTCHANGE</stp>
        <stp>4</stp>
        <stp>601020</stp>
        <stp>2018-01-01</stp>
        <stp>2019-12-31</stp>
        <stp>3</stp>
        <tr r="F1826" s="1"/>
      </tp>
      <tp>
        <v>116.44444444</v>
        <stp/>
        <stp>EM_S_PQ_PCTCHANGE</stp>
        <stp>4</stp>
        <stp>601231</stp>
        <stp>2018-12-31</stp>
        <stp>2019-12-30</stp>
        <stp>1</stp>
        <tr r="G130" s="1"/>
      </tp>
      <tp>
        <v>-69.828544059999999</v>
        <stp/>
        <stp>EM_S_PQ_PCTCHANGE</stp>
        <stp>4</stp>
        <stp>000040</stp>
        <stp>2018-01-01</stp>
        <stp>2019-12-31</stp>
        <stp>3</stp>
        <tr r="F3327" s="1"/>
      </tp>
      <tp>
        <v>-55.657289419999998</v>
        <stp/>
        <stp>EM_S_PQ_PCTCHANGE</stp>
        <stp>4</stp>
        <stp>300070</stp>
        <stp>2018-01-01</stp>
        <stp>2019-12-31</stp>
        <stp>3</stp>
        <tr r="F2453" s="1"/>
      </tp>
      <tp>
        <v>-17.315175100000001</v>
        <stp/>
        <stp>EM_S_PQ_PCTCHANGE</stp>
        <stp>4</stp>
        <stp>300261</stp>
        <stp>2018-12-31</stp>
        <stp>2019-12-30</stp>
        <stp>1</stp>
        <tr r="G2999" s="1"/>
      </tp>
      <tp>
        <v>-3.1797211000000001</v>
        <stp/>
        <stp>EM_S_PQ_PCTCHANGE</stp>
        <stp>4</stp>
        <stp>600020</stp>
        <stp>2018-01-01</stp>
        <stp>2019-12-31</stp>
        <stp>3</stp>
        <tr r="F1292" s="1"/>
      </tp>
      <tp>
        <v>2.2471910099999999</v>
        <stp/>
        <stp>EM_S_PQ_PCTCHANGE</stp>
        <stp>4</stp>
        <stp>600231</stp>
        <stp>2018-12-31</stp>
        <stp>2019-12-30</stp>
        <stp>1</stp>
        <tr r="G2157" s="1"/>
      </tp>
      <tp>
        <v>-31.74874354</v>
        <stp/>
        <stp>EM_S_PQ_PCTCHANGE</stp>
        <stp>4</stp>
        <stp>603020</stp>
        <stp>2018-01-01</stp>
        <stp>2019-12-31</stp>
        <stp>3</stp>
        <tr r="F1717" s="1"/>
      </tp>
      <tp>
        <v>-27.206624990000002</v>
        <stp/>
        <stp>EM_S_PQ_PCTCHANGE</stp>
        <stp>4</stp>
        <stp>002040</stp>
        <stp>2018-01-01</stp>
        <stp>2019-12-31</stp>
        <stp>3</stp>
        <tr r="F2768" s="1"/>
      </tp>
      <tp>
        <v>19.946091639999999</v>
        <stp/>
        <stp>EM_S_PQ_PCTCHANGE</stp>
        <stp>4</stp>
        <stp>002251</stp>
        <stp>2018-12-31</stp>
        <stp>2019-12-30</stp>
        <stp>1</stp>
        <tr r="G1280" s="1"/>
      </tp>
      <tp>
        <v>18.930764100000001</v>
        <stp/>
        <stp>EM_S_PQ_PCTCHANGE</stp>
        <stp>4</stp>
        <stp>601021</stp>
        <stp>2018-01-01</stp>
        <stp>2019-12-31</stp>
        <stp>3</stp>
        <tr r="F777" s="1"/>
      </tp>
      <tp>
        <v>-63.205128209999998</v>
        <stp/>
        <stp>EM_S_PQ_PCTCHANGE</stp>
        <stp>4</stp>
        <stp>300071</stp>
        <stp>2018-01-01</stp>
        <stp>2019-12-31</stp>
        <stp>3</stp>
        <tr r="F3121" s="1"/>
      </tp>
      <tp>
        <v>31.726457400000001</v>
        <stp/>
        <stp>EM_S_PQ_PCTCHANGE</stp>
        <stp>4</stp>
        <stp>300260</stp>
        <stp>2018-12-31</stp>
        <stp>2019-12-30</stp>
        <stp>1</stp>
        <tr r="G893" s="1"/>
      </tp>
      <tp>
        <v>-6.2485042999999996</v>
        <stp/>
        <stp>EM_S_PQ_PCTCHANGE</stp>
        <stp>4</stp>
        <stp>600021</stp>
        <stp>2018-01-01</stp>
        <stp>2019-12-31</stp>
        <stp>3</stp>
        <tr r="F2411" s="1"/>
      </tp>
      <tp>
        <v>-12.51240087</v>
        <stp/>
        <stp>EM_S_PQ_PCTCHANGE</stp>
        <stp>4</stp>
        <stp>603021</stp>
        <stp>2018-01-01</stp>
        <stp>2019-12-31</stp>
        <stp>3</stp>
        <tr r="F717" s="1"/>
      </tp>
      <tp>
        <v>-24.664764770000001</v>
        <stp/>
        <stp>EM_S_PQ_PCTCHANGE</stp>
        <stp>4</stp>
        <stp>002041</stp>
        <stp>2018-01-01</stp>
        <stp>2019-12-31</stp>
        <stp>3</stp>
        <tr r="F3615" s="1"/>
      </tp>
      <tp>
        <v>75.927889710000002</v>
        <stp/>
        <stp>EM_S_PQ_PCTCHANGE</stp>
        <stp>4</stp>
        <stp>002250</stp>
        <stp>2018-12-31</stp>
        <stp>2019-12-30</stp>
        <stp>1</stp>
        <tr r="G271" s="1"/>
      </tp>
      <tp>
        <v>-2.2308648</v>
        <stp/>
        <stp>EM_S_PQ_PCTCHANGE</stp>
        <stp>4</stp>
        <stp>000042</stp>
        <stp>2019-01-01</stp>
        <stp>2019-12-31</stp>
        <stp>3</stp>
        <tr r="G2432" s="1"/>
      </tp>
      <tp>
        <v>52.868852459999999</v>
        <stp/>
        <stp>EM_S_PQ_PCTCHANGE</stp>
        <stp>4</stp>
        <stp>601233</stp>
        <stp>2018-12-31</stp>
        <stp>2019-12-30</stp>
        <stp>1</stp>
        <tr r="G521" s="1"/>
      </tp>
      <tp>
        <v>-31.46103527</v>
        <stp/>
        <stp>EM_S_PQ_PCTCHANGE</stp>
        <stp>4</stp>
        <stp>000042</stp>
        <stp>2018-01-01</stp>
        <stp>2019-12-31</stp>
        <stp>3</stp>
        <tr r="F2432" s="1"/>
      </tp>
      <tp>
        <v>-76.428878179999998</v>
        <stp/>
        <stp>EM_S_PQ_PCTCHANGE</stp>
        <stp>4</stp>
        <stp>300072</stp>
        <stp>2018-01-01</stp>
        <stp>2019-12-31</stp>
        <stp>3</stp>
        <tr r="F3283" s="1"/>
      </tp>
      <tp>
        <v>34.5</v>
        <stp/>
        <stp>EM_S_PQ_PCTCHANGE</stp>
        <stp>4</stp>
        <stp>300263</stp>
        <stp>2018-12-31</stp>
        <stp>2019-12-30</stp>
        <stp>1</stp>
        <tr r="G837" s="1"/>
      </tp>
      <tp>
        <v>-33.177570090000003</v>
        <stp/>
        <stp>EM_S_PQ_PCTCHANGE</stp>
        <stp>4</stp>
        <stp>600022</stp>
        <stp>2018-01-01</stp>
        <stp>2019-12-31</stp>
        <stp>3</stp>
        <tr r="F2738" s="1"/>
      </tp>
      <tp>
        <v>26.6</v>
        <stp/>
        <stp>EM_S_PQ_PCTCHANGE</stp>
        <stp>4</stp>
        <stp>600233</stp>
        <stp>2018-12-31</stp>
        <stp>2019-12-30</stp>
        <stp>1</stp>
        <tr r="G1032" s="1"/>
      </tp>
      <tp>
        <v>4.9802339800000004</v>
        <stp/>
        <stp>EM_S_PQ_PCTCHANGE</stp>
        <stp>4</stp>
        <stp>603022</stp>
        <stp>2018-01-01</stp>
        <stp>2019-12-31</stp>
        <stp>3</stp>
        <tr r="F185" s="1"/>
      </tp>
      <tp>
        <v>28.951329650000002</v>
        <stp/>
        <stp>EM_S_PQ_PCTCHANGE</stp>
        <stp>4</stp>
        <stp>603233</stp>
        <stp>2018-12-31</stp>
        <stp>2019-12-30</stp>
        <stp>1</stp>
        <tr r="G958" s="1"/>
      </tp>
      <tp>
        <v>-10.586427219999999</v>
        <stp/>
        <stp>EM_S_PQ_PCTCHANGE</stp>
        <stp>4</stp>
        <stp>002042</stp>
        <stp>2018-01-01</stp>
        <stp>2019-12-31</stp>
        <stp>3</stp>
        <tr r="F872" s="1"/>
      </tp>
      <tp>
        <v>9.3797276899999993</v>
        <stp/>
        <stp>EM_S_PQ_PCTCHANGE</stp>
        <stp>4</stp>
        <stp>002253</stp>
        <stp>2018-12-31</stp>
        <stp>2019-12-30</stp>
        <stp>1</stp>
        <tr r="G1773" s="1"/>
      </tp>
      <tp>
        <v>0</v>
        <stp/>
        <stp>EM_S_PQ_PCTCHANGE</stp>
        <stp>4</stp>
        <stp>000043</stp>
        <stp>2019-01-01</stp>
        <stp>2019-12-31</stp>
        <stp>3</stp>
        <tr r="G4" s="1"/>
      </tp>
      <tp>
        <v>0</v>
        <stp/>
        <stp>EM_S_PQ_PCTCHANGE</stp>
        <stp>4</stp>
        <stp>000043</stp>
        <stp>2018-01-01</stp>
        <stp>2019-12-31</stp>
        <stp>3</stp>
        <tr r="F4" s="1"/>
      </tp>
      <tp>
        <v>4.8191786099999998</v>
        <stp/>
        <stp>EM_S_PQ_PCTCHANGE</stp>
        <stp>4</stp>
        <stp>300073</stp>
        <stp>2018-01-01</stp>
        <stp>2019-12-31</stp>
        <stp>3</stp>
        <tr r="F2284" s="1"/>
      </tp>
      <tp>
        <v>-11.764705879999999</v>
        <stp/>
        <stp>EM_S_PQ_PCTCHANGE</stp>
        <stp>4</stp>
        <stp>300262</stp>
        <stp>2018-12-31</stp>
        <stp>2019-12-30</stp>
        <stp>1</stp>
        <tr r="G2823" s="1"/>
      </tp>
      <tp>
        <v>-20.053624030000002</v>
        <stp/>
        <stp>EM_S_PQ_PCTCHANGE</stp>
        <stp>4</stp>
        <stp>600023</stp>
        <stp>2018-01-01</stp>
        <stp>2019-12-31</stp>
        <stp>3</stp>
        <tr r="F2977" s="1"/>
      </tp>
      <tp>
        <v>29.4</v>
        <stp/>
        <stp>EM_S_PQ_PCTCHANGE</stp>
        <stp>4</stp>
        <stp>600232</stp>
        <stp>2018-12-31</stp>
        <stp>2019-12-30</stp>
        <stp>1</stp>
        <tr r="G942" s="1"/>
      </tp>
      <tp>
        <v>-26.871882029999998</v>
        <stp/>
        <stp>EM_S_PQ_PCTCHANGE</stp>
        <stp>4</stp>
        <stp>603023</stp>
        <stp>2018-01-01</stp>
        <stp>2019-12-31</stp>
        <stp>3</stp>
        <tr r="F2040" s="1"/>
      </tp>
      <tp>
        <v>43.432574430000003</v>
        <stp/>
        <stp>EM_S_PQ_PCTCHANGE</stp>
        <stp>4</stp>
        <stp>603232</stp>
        <stp>2018-12-31</stp>
        <stp>2019-12-30</stp>
        <stp>1</stp>
        <tr r="G680" s="1"/>
      </tp>
      <tp>
        <v>-35.694095560000001</v>
        <stp/>
        <stp>EM_S_PQ_PCTCHANGE</stp>
        <stp>4</stp>
        <stp>002043</stp>
        <stp>2018-01-01</stp>
        <stp>2019-12-31</stp>
        <stp>3</stp>
        <tr r="F656" s="1"/>
      </tp>
      <tp>
        <v>-9.8626716600000002</v>
        <stp/>
        <stp>EM_S_PQ_PCTCHANGE</stp>
        <stp>4</stp>
        <stp>002252</stp>
        <stp>2018-12-31</stp>
        <stp>2019-12-30</stp>
        <stp>1</stp>
        <tr r="G2752" s="1"/>
      </tp>
      <tp>
        <v>-46.63461538</v>
        <stp/>
        <stp>EM_S_PQ_PCTCHANGE</stp>
        <stp>4</stp>
        <stp>300074</stp>
        <stp>2018-01-01</stp>
        <stp>2019-12-31</stp>
        <stp>3</stp>
        <tr r="F1462" s="1"/>
      </tp>
      <tp>
        <v>-4.7263681599999998</v>
        <stp/>
        <stp>EM_S_PQ_PCTCHANGE</stp>
        <stp>4</stp>
        <stp>300265</stp>
        <stp>2018-12-31</stp>
        <stp>2019-12-30</stp>
        <stp>1</stp>
        <tr r="G2552" s="1"/>
      </tp>
      <tp>
        <v>-14.72491909</v>
        <stp/>
        <stp>EM_S_PQ_PCTCHANGE</stp>
        <stp>4</stp>
        <stp>600235</stp>
        <stp>2018-12-31</stp>
        <stp>2019-12-30</stp>
        <stp>1</stp>
        <tr r="G2924" s="1"/>
      </tp>
      <tp>
        <v>-1.4502556900000001</v>
        <stp/>
        <stp>EM_S_PQ_PCTCHANGE</stp>
        <stp>4</stp>
        <stp>002044</stp>
        <stp>2018-01-01</stp>
        <stp>2019-12-31</stp>
        <stp>3</stp>
        <tr r="F2450" s="1"/>
      </tp>
      <tp>
        <v>-18.158567770000001</v>
        <stp/>
        <stp>EM_S_PQ_PCTCHANGE</stp>
        <stp>4</stp>
        <stp>002255</stp>
        <stp>2018-12-31</stp>
        <stp>2019-12-30</stp>
        <stp>1</stp>
        <tr r="G3028" s="1"/>
      </tp>
      <tp>
        <v>28.670120900000001</v>
        <stp/>
        <stp>EM_S_PQ_PCTCHANGE</stp>
        <stp>4</stp>
        <stp>000045</stp>
        <stp>2019-01-01</stp>
        <stp>2019-12-31</stp>
        <stp>3</stp>
        <tr r="G967" s="1"/>
      </tp>
      <tp>
        <v>-23.589743590000001</v>
        <stp/>
        <stp>EM_S_PQ_PCTCHANGE</stp>
        <stp>4</stp>
        <stp>000045</stp>
        <stp>2018-01-01</stp>
        <stp>2019-12-31</stp>
        <stp>3</stp>
        <tr r="F967" s="1"/>
      </tp>
      <tp>
        <v>-29.269475830000001</v>
        <stp/>
        <stp>EM_S_PQ_PCTCHANGE</stp>
        <stp>4</stp>
        <stp>300075</stp>
        <stp>2018-01-01</stp>
        <stp>2019-12-31</stp>
        <stp>3</stp>
        <tr r="F2077" s="1"/>
      </tp>
      <tp>
        <v>4.5553145300000004</v>
        <stp/>
        <stp>EM_S_PQ_PCTCHANGE</stp>
        <stp>4</stp>
        <stp>300264</stp>
        <stp>2018-12-31</stp>
        <stp>2019-12-30</stp>
        <stp>1</stp>
        <tr r="G2027" s="1"/>
      </tp>
      <tp>
        <v>-16.11222553</v>
        <stp/>
        <stp>EM_S_PQ_PCTCHANGE</stp>
        <stp>4</stp>
        <stp>600025</stp>
        <stp>2018-01-01</stp>
        <stp>2019-12-31</stp>
        <stp>3</stp>
        <tr r="F835" s="1"/>
      </tp>
      <tp>
        <v>13.814955640000001</v>
        <stp/>
        <stp>EM_S_PQ_PCTCHANGE</stp>
        <stp>4</stp>
        <stp>600234</stp>
        <stp>2018-12-31</stp>
        <stp>2019-12-30</stp>
        <stp>1</stp>
        <tr r="G1543" s="1"/>
      </tp>
      <tp>
        <v>-30.744262519999999</v>
        <stp/>
        <stp>EM_S_PQ_PCTCHANGE</stp>
        <stp>4</stp>
        <stp>603025</stp>
        <stp>2018-01-01</stp>
        <stp>2019-12-31</stp>
        <stp>3</stp>
        <tr r="F2951" s="1"/>
      </tp>
      <tp>
        <v>-25.885694149999999</v>
        <stp/>
        <stp>EM_S_PQ_PCTCHANGE</stp>
        <stp>4</stp>
        <stp>002045</stp>
        <stp>2018-01-01</stp>
        <stp>2019-12-31</stp>
        <stp>3</stp>
        <tr r="F63" s="1"/>
      </tp>
      <tp>
        <v>-3.7822878200000001</v>
        <stp/>
        <stp>EM_S_PQ_PCTCHANGE</stp>
        <stp>4</stp>
        <stp>002254</stp>
        <stp>2018-12-31</stp>
        <stp>2019-12-30</stp>
        <stp>1</stp>
        <tr r="G2504" s="1"/>
      </tp>
      <tp>
        <v>3.3931500000000002E-3</v>
        <stp/>
        <stp>EM_S_PQ_PCTCHANGE</stp>
        <stp>4</stp>
        <stp>000046</stp>
        <stp>2019-01-01</stp>
        <stp>2019-12-31</stp>
        <stp>3</stp>
        <tr r="G2270" s="1"/>
      </tp>
      <tp>
        <v>-35.797612800000003</v>
        <stp/>
        <stp>EM_S_PQ_PCTCHANGE</stp>
        <stp>4</stp>
        <stp>000046</stp>
        <stp>2018-01-01</stp>
        <stp>2019-12-31</stp>
        <stp>3</stp>
        <tr r="F2270" s="1"/>
      </tp>
      <tp>
        <v>-4.9780037400000001</v>
        <stp/>
        <stp>EM_S_PQ_PCTCHANGE</stp>
        <stp>4</stp>
        <stp>300076</stp>
        <stp>2018-01-01</stp>
        <stp>2019-12-31</stp>
        <stp>3</stp>
        <tr r="F594" s="1"/>
      </tp>
      <tp>
        <v>30.051813469999999</v>
        <stp/>
        <stp>EM_S_PQ_PCTCHANGE</stp>
        <stp>4</stp>
        <stp>300267</stp>
        <stp>2018-12-31</stp>
        <stp>2019-12-30</stp>
        <stp>1</stp>
        <tr r="G928" s="1"/>
      </tp>
      <tp>
        <v>5.8478777500000003</v>
        <stp/>
        <stp>EM_S_PQ_PCTCHANGE</stp>
        <stp>4</stp>
        <stp>600026</stp>
        <stp>2018-01-01</stp>
        <stp>2019-12-31</stp>
        <stp>3</stp>
        <tr r="F703" s="1"/>
      </tp>
      <tp>
        <v>8.8145896700000002</v>
        <stp/>
        <stp>EM_S_PQ_PCTCHANGE</stp>
        <stp>4</stp>
        <stp>600237</stp>
        <stp>2018-12-31</stp>
        <stp>2019-12-30</stp>
        <stp>1</stp>
        <tr r="G1805" s="1"/>
      </tp>
      <tp>
        <v>46.49463471</v>
        <stp/>
        <stp>EM_S_PQ_PCTCHANGE</stp>
        <stp>4</stp>
        <stp>603026</stp>
        <stp>2018-01-01</stp>
        <stp>2019-12-31</stp>
        <stp>3</stp>
        <tr r="F220" s="1"/>
      </tp>
      <tp>
        <v>-27.29781702</v>
        <stp/>
        <stp>EM_S_PQ_PCTCHANGE</stp>
        <stp>4</stp>
        <stp>002046</stp>
        <stp>2018-01-01</stp>
        <stp>2019-12-31</stp>
        <stp>3</stp>
        <tr r="F1952" s="1"/>
      </tp>
      <tp>
        <v>0</v>
        <stp/>
        <stp>EM_S_PQ_PCTCHANGE</stp>
        <stp>4</stp>
        <stp>002257</stp>
        <stp>2018-12-31</stp>
        <stp>2019-12-30</stp>
        <stp>1</stp>
        <tr r="G5" s="1"/>
      </tp>
      <tp>
        <v>0</v>
        <stp/>
        <stp>EM_S_PQ_PCTCHANGE</stp>
        <stp>4</stp>
        <stp>000047</stp>
        <stp>2019-01-01</stp>
        <stp>2019-12-31</stp>
        <stp>3</stp>
        <tr r="G2276" s="1"/>
      </tp>
      <tp>
        <v>0</v>
        <stp/>
        <stp>EM_S_PQ_PCTCHANGE</stp>
        <stp>4</stp>
        <stp>000047</stp>
        <stp>2018-01-01</stp>
        <stp>2019-12-31</stp>
        <stp>3</stp>
        <tr r="F2276" s="1"/>
      </tp>
      <tp>
        <v>-39.9</v>
        <stp/>
        <stp>EM_S_PQ_PCTCHANGE</stp>
        <stp>4</stp>
        <stp>300077</stp>
        <stp>2018-01-01</stp>
        <stp>2019-12-31</stp>
        <stp>3</stp>
        <tr r="F3056" s="1"/>
      </tp>
      <tp>
        <v>-0.84985836000000003</v>
        <stp/>
        <stp>EM_S_PQ_PCTCHANGE</stp>
        <stp>4</stp>
        <stp>300266</stp>
        <stp>2018-12-31</stp>
        <stp>2019-12-30</stp>
        <stp>1</stp>
        <tr r="G2378" s="1"/>
      </tp>
      <tp>
        <v>1.1782319000000001</v>
        <stp/>
        <stp>EM_S_PQ_PCTCHANGE</stp>
        <stp>4</stp>
        <stp>600027</stp>
        <stp>2018-01-01</stp>
        <stp>2019-12-31</stp>
        <stp>3</stp>
        <tr r="F3124" s="1"/>
      </tp>
      <tp>
        <v>-13.52313167</v>
        <stp/>
        <stp>EM_S_PQ_PCTCHANGE</stp>
        <stp>4</stp>
        <stp>600236</stp>
        <stp>2018-12-31</stp>
        <stp>2019-12-30</stp>
        <stp>1</stp>
        <tr r="G2882" s="1"/>
      </tp>
      <tp>
        <v>67.956812780000007</v>
        <stp/>
        <stp>EM_S_PQ_PCTCHANGE</stp>
        <stp>4</stp>
        <stp>603027</stp>
        <stp>2018-01-01</stp>
        <stp>2019-12-31</stp>
        <stp>3</stp>
        <tr r="F783" s="1"/>
      </tp>
      <tp>
        <v>-22.76355586</v>
        <stp/>
        <stp>EM_S_PQ_PCTCHANGE</stp>
        <stp>4</stp>
        <stp>002047</stp>
        <stp>2018-01-01</stp>
        <stp>2019-12-31</stp>
        <stp>3</stp>
        <tr r="F3616" s="1"/>
      </tp>
      <tp>
        <v>-14.23728814</v>
        <stp/>
        <stp>EM_S_PQ_PCTCHANGE</stp>
        <stp>4</stp>
        <stp>002256</stp>
        <stp>2018-12-31</stp>
        <stp>2019-12-30</stp>
        <stp>1</stp>
        <tr r="G2915" s="1"/>
      </tp>
      <tp>
        <v>25.88714087</v>
        <stp/>
        <stp>EM_S_PQ_PCTCHANGE</stp>
        <stp>4</stp>
        <stp>000078</stp>
        <stp>2019-01-01</stp>
        <stp>2019-12-31</stp>
        <stp>3</stp>
        <tr r="G1064" s="1"/>
      </tp>
      <tp>
        <v>-26.02324299</v>
        <stp/>
        <stp>EM_S_PQ_PCTCHANGE</stp>
        <stp>4</stp>
        <stp>601018</stp>
        <stp>2018-01-01</stp>
        <stp>2019-12-31</stp>
        <stp>3</stp>
        <tr r="F1529" s="1"/>
      </tp>
      <tp>
        <v>-35.629955369999998</v>
        <stp/>
        <stp>EM_S_PQ_PCTCHANGE</stp>
        <stp>4</stp>
        <stp>000078</stp>
        <stp>2018-01-01</stp>
        <stp>2019-12-31</stp>
        <stp>3</stp>
        <tr r="F1064" s="1"/>
      </tp>
      <tp>
        <v>-36.478878360000003</v>
        <stp/>
        <stp>EM_S_PQ_PCTCHANGE</stp>
        <stp>4</stp>
        <stp>300048</stp>
        <stp>2018-01-01</stp>
        <stp>2019-12-31</stp>
        <stp>3</stp>
        <tr r="F2355" s="1"/>
      </tp>
      <tp>
        <v>62.31884058</v>
        <stp/>
        <stp>EM_S_PQ_PCTCHANGE</stp>
        <stp>4</stp>
        <stp>300259</stp>
        <stp>2018-12-31</stp>
        <stp>2019-12-30</stp>
        <stp>1</stp>
        <tr r="G399" s="1"/>
      </tp>
      <tp>
        <v>-9.0166695200000007</v>
        <stp/>
        <stp>EM_S_PQ_PCTCHANGE</stp>
        <stp>4</stp>
        <stp>600018</stp>
        <stp>2018-01-01</stp>
        <stp>2019-12-31</stp>
        <stp>3</stp>
        <tr r="F1725" s="1"/>
      </tp>
      <tp>
        <v>-18.041237110000001</v>
        <stp/>
        <stp>EM_S_PQ_PCTCHANGE</stp>
        <stp>4</stp>
        <stp>600209</stp>
        <stp>2018-12-31</stp>
        <stp>2019-12-30</stp>
        <stp>1</stp>
        <tr r="G3022" s="1"/>
      </tp>
      <tp>
        <v>-18.40323583</v>
        <stp/>
        <stp>EM_S_PQ_PCTCHANGE</stp>
        <stp>4</stp>
        <stp>603018</stp>
        <stp>2018-01-01</stp>
        <stp>2019-12-31</stp>
        <stp>3</stp>
        <tr r="F3325" s="1"/>
      </tp>
      <tp>
        <v>8.7338684600000001</v>
        <stp/>
        <stp>EM_S_PQ_PCTCHANGE</stp>
        <stp>4</stp>
        <stp>002078</stp>
        <stp>2018-01-01</stp>
        <stp>2019-12-31</stp>
        <stp>3</stp>
        <tr r="F275" s="1"/>
      </tp>
      <tp>
        <v>15.58441558</v>
        <stp/>
        <stp>EM_S_PQ_PCTCHANGE</stp>
        <stp>4</stp>
        <stp>002269</stp>
        <stp>2018-12-31</stp>
        <stp>2019-12-30</stp>
        <stp>1</stp>
        <tr r="G1454" s="1"/>
      </tp>
      <tp>
        <v>-42.413545839999998</v>
        <stp/>
        <stp>EM_S_PQ_PCTCHANGE</stp>
        <stp>4</stp>
        <stp>601019</stp>
        <stp>2018-01-01</stp>
        <stp>2019-12-31</stp>
        <stp>3</stp>
        <tr r="F2814" s="1"/>
      </tp>
      <tp>
        <v>32.432432429999999</v>
        <stp/>
        <stp>EM_S_PQ_PCTCHANGE</stp>
        <stp>4</stp>
        <stp>601208</stp>
        <stp>2018-12-31</stp>
        <stp>2019-12-30</stp>
        <stp>1</stp>
        <tr r="G874" s="1"/>
      </tp>
      <tp>
        <v>-42.641509239999998</v>
        <stp/>
        <stp>EM_S_PQ_PCTCHANGE</stp>
        <stp>4</stp>
        <stp>300049</stp>
        <stp>2018-01-01</stp>
        <stp>2019-12-31</stp>
        <stp>3</stp>
        <tr r="F3166" s="1"/>
      </tp>
      <tp>
        <v>-8.5036794800000006</v>
        <stp/>
        <stp>EM_S_PQ_PCTCHANGE</stp>
        <stp>4</stp>
        <stp>300258</stp>
        <stp>2018-12-31</stp>
        <stp>2019-12-30</stp>
        <stp>1</stp>
        <tr r="G2705" s="1"/>
      </tp>
      <tp>
        <v>-24.7037589</v>
        <stp/>
        <stp>EM_S_PQ_PCTCHANGE</stp>
        <stp>4</stp>
        <stp>600019</stp>
        <stp>2018-01-01</stp>
        <stp>2019-12-31</stp>
        <stp>3</stp>
        <tr r="F2815" s="1"/>
      </tp>
      <tp>
        <v>28.96551724</v>
        <stp/>
        <stp>EM_S_PQ_PCTCHANGE</stp>
        <stp>4</stp>
        <stp>600208</stp>
        <stp>2018-12-31</stp>
        <stp>2019-12-30</stp>
        <stp>1</stp>
        <tr r="G957" s="1"/>
      </tp>
      <tp>
        <v>20.831124389999999</v>
        <stp/>
        <stp>EM_S_PQ_PCTCHANGE</stp>
        <stp>4</stp>
        <stp>603019</stp>
        <stp>2018-01-01</stp>
        <stp>2019-12-31</stp>
        <stp>3</stp>
        <tr r="F2496" s="1"/>
      </tp>
      <tp>
        <v>27.965231769999999</v>
        <stp/>
        <stp>EM_S_PQ_PCTCHANGE</stp>
        <stp>4</stp>
        <stp>002079</stp>
        <stp>2018-01-01</stp>
        <stp>2019-12-31</stp>
        <stp>3</stp>
        <tr r="F84" s="1"/>
      </tp>
      <tp>
        <v>42.721164610000002</v>
        <stp/>
        <stp>EM_S_PQ_PCTCHANGE</stp>
        <stp>4</stp>
        <stp>002268</stp>
        <stp>2018-12-31</stp>
        <stp>2019-12-30</stp>
        <stp>1</stp>
        <tr r="G691" s="1"/>
      </tp>
      <tp>
        <v>83.833072110000003</v>
        <stp/>
        <stp>EM_S_PQ_PCTCHANGE</stp>
        <stp>4</stp>
        <stp>000070</stp>
        <stp>2019-01-01</stp>
        <stp>2019-12-31</stp>
        <stp>3</stp>
        <tr r="G228" s="1"/>
      </tp>
      <tp>
        <v>-22.53382569</v>
        <stp/>
        <stp>EM_S_PQ_PCTCHANGE</stp>
        <stp>4</stp>
        <stp>601010</stp>
        <stp>2018-01-01</stp>
        <stp>2019-12-31</stp>
        <stp>3</stp>
        <tr r="F1981" s="1"/>
      </tp>
      <tp>
        <v>40.339285169999997</v>
        <stp/>
        <stp>EM_S_PQ_PCTCHANGE</stp>
        <stp>4</stp>
        <stp>000070</stp>
        <stp>2018-01-01</stp>
        <stp>2019-12-31</stp>
        <stp>3</stp>
        <tr r="F228" s="1"/>
      </tp>
      <tp>
        <v>-41.750586169999998</v>
        <stp/>
        <stp>EM_S_PQ_PCTCHANGE</stp>
        <stp>4</stp>
        <stp>300040</stp>
        <stp>2018-01-01</stp>
        <stp>2019-12-31</stp>
        <stp>3</stp>
        <tr r="F1626" s="1"/>
      </tp>
      <tp>
        <v>54.078947370000002</v>
        <stp/>
        <stp>EM_S_PQ_PCTCHANGE</stp>
        <stp>4</stp>
        <stp>300251</stp>
        <stp>2018-12-31</stp>
        <stp>2019-12-30</stp>
        <stp>1</stp>
        <tr r="G501" s="1"/>
      </tp>
      <tp>
        <v>-46.006097570000001</v>
        <stp/>
        <stp>EM_S_PQ_PCTCHANGE</stp>
        <stp>4</stp>
        <stp>600010</stp>
        <stp>2018-01-01</stp>
        <stp>2019-12-31</stp>
        <stp>3</stp>
        <tr r="F2792" s="1"/>
      </tp>
      <tp>
        <v>14.27710843</v>
        <stp/>
        <stp>EM_S_PQ_PCTCHANGE</stp>
        <stp>4</stp>
        <stp>600201</stp>
        <stp>2018-12-31</stp>
        <stp>2019-12-30</stp>
        <stp>1</stp>
        <tr r="G1517" s="1"/>
      </tp>
      <tp>
        <v>-42.099930970000003</v>
        <stp/>
        <stp>EM_S_PQ_PCTCHANGE</stp>
        <stp>4</stp>
        <stp>603010</stp>
        <stp>2018-01-01</stp>
        <stp>2019-12-31</stp>
        <stp>3</stp>
        <tr r="F3049" s="1"/>
      </tp>
      <tp>
        <v>-86.47619048</v>
        <stp/>
        <stp>EM_S_PQ_PCTCHANGE</stp>
        <stp>4</stp>
        <stp>002070</stp>
        <stp>2018-01-01</stp>
        <stp>2019-12-31</stp>
        <stp>3</stp>
        <tr r="F3622" s="1"/>
      </tp>
      <tp>
        <v>102.8436019</v>
        <stp/>
        <stp>EM_S_PQ_PCTCHANGE</stp>
        <stp>4</stp>
        <stp>002261</stp>
        <stp>2018-12-31</stp>
        <stp>2019-12-30</stp>
        <stp>1</stp>
        <tr r="G164" s="1"/>
      </tp>
      <tp>
        <v>-48.759858719999997</v>
        <stp/>
        <stp>EM_S_PQ_PCTCHANGE</stp>
        <stp>4</stp>
        <stp>601011</stp>
        <stp>2018-01-01</stp>
        <stp>2019-12-31</stp>
        <stp>3</stp>
        <tr r="F3003" s="1"/>
      </tp>
      <tp>
        <v>-16.804822909999999</v>
        <stp/>
        <stp>EM_S_PQ_PCTCHANGE</stp>
        <stp>4</stp>
        <stp>601200</stp>
        <stp>2018-12-31</stp>
        <stp>2019-12-30</stp>
        <stp>1</stp>
        <tr r="G2980" s="1"/>
      </tp>
      <tp>
        <v>7.7940153700000003</v>
        <stp/>
        <stp>EM_S_PQ_PCTCHANGE</stp>
        <stp>4</stp>
        <stp>300041</stp>
        <stp>2018-01-01</stp>
        <stp>2019-12-31</stp>
        <stp>3</stp>
        <tr r="F532" s="1"/>
      </tp>
      <tp>
        <v>15.76576577</v>
        <stp/>
        <stp>EM_S_PQ_PCTCHANGE</stp>
        <stp>4</stp>
        <stp>300250</stp>
        <stp>2018-12-31</stp>
        <stp>2019-12-30</stp>
        <stp>1</stp>
        <tr r="G1446" s="1"/>
      </tp>
      <tp>
        <v>-6.7108103200000002</v>
        <stp/>
        <stp>EM_S_PQ_PCTCHANGE</stp>
        <stp>4</stp>
        <stp>600011</stp>
        <stp>2018-01-01</stp>
        <stp>2019-12-31</stp>
        <stp>3</stp>
        <tr r="F3146" s="1"/>
      </tp>
      <tp>
        <v>-14.020270269999999</v>
        <stp/>
        <stp>EM_S_PQ_PCTCHANGE</stp>
        <stp>4</stp>
        <stp>600200</stp>
        <stp>2018-12-31</stp>
        <stp>2019-12-30</stp>
        <stp>1</stp>
        <tr r="G2906" s="1"/>
      </tp>
      <tp>
        <v>-52.951782180000002</v>
        <stp/>
        <stp>EM_S_PQ_PCTCHANGE</stp>
        <stp>4</stp>
        <stp>603011</stp>
        <stp>2018-01-01</stp>
        <stp>2019-12-31</stp>
        <stp>3</stp>
        <tr r="F1463" s="1"/>
      </tp>
      <tp>
        <v>-44.256559770000003</v>
        <stp/>
        <stp>EM_S_PQ_PCTCHANGE</stp>
        <stp>4</stp>
        <stp>603200</stp>
        <stp>2018-12-31</stp>
        <stp>2019-12-30</stp>
        <stp>1</stp>
        <tr r="G3342" s="1"/>
      </tp>
      <tp>
        <v>-66.110019649999998</v>
        <stp/>
        <stp>EM_S_PQ_PCTCHANGE</stp>
        <stp>4</stp>
        <stp>002071</stp>
        <stp>2018-01-01</stp>
        <stp>2019-12-31</stp>
        <stp>3</stp>
        <tr r="F3623" s="1"/>
      </tp>
      <tp>
        <v>-2.7777777800000001</v>
        <stp/>
        <stp>EM_S_PQ_PCTCHANGE</stp>
        <stp>4</stp>
        <stp>002260</stp>
        <stp>2018-12-31</stp>
        <stp>2019-12-30</stp>
        <stp>1</stp>
        <tr r="G2467" s="1"/>
      </tp>
      <tp>
        <v>19.097370489999999</v>
        <stp/>
        <stp>EM_S_PQ_PCTCHANGE</stp>
        <stp>4</stp>
        <stp>601012</stp>
        <stp>2018-01-01</stp>
        <stp>2019-12-31</stp>
        <stp>3</stp>
        <tr r="F682" s="1"/>
      </tp>
      <tp>
        <v>-24.08129542</v>
        <stp/>
        <stp>EM_S_PQ_PCTCHANGE</stp>
        <stp>4</stp>
        <stp>300042</stp>
        <stp>2018-01-01</stp>
        <stp>2019-12-31</stp>
        <stp>3</stp>
        <tr r="F1386" s="1"/>
      </tp>
      <tp>
        <v>18.699839489999999</v>
        <stp/>
        <stp>EM_S_PQ_PCTCHANGE</stp>
        <stp>4</stp>
        <stp>300253</stp>
        <stp>2018-12-31</stp>
        <stp>2019-12-30</stp>
        <stp>1</stp>
        <tr r="G1336" s="1"/>
      </tp>
      <tp>
        <v>-42.207561009999999</v>
        <stp/>
        <stp>EM_S_PQ_PCTCHANGE</stp>
        <stp>4</stp>
        <stp>600012</stp>
        <stp>2018-01-01</stp>
        <stp>2019-12-31</stp>
        <stp>3</stp>
        <tr r="F2470" s="1"/>
      </tp>
      <tp>
        <v>44.597701149999999</v>
        <stp/>
        <stp>EM_S_PQ_PCTCHANGE</stp>
        <stp>4</stp>
        <stp>600203</stp>
        <stp>2018-12-31</stp>
        <stp>2019-12-30</stp>
        <stp>1</stp>
        <tr r="G655" s="1"/>
      </tp>
      <tp>
        <v>20.847846579999999</v>
        <stp/>
        <stp>EM_S_PQ_PCTCHANGE</stp>
        <stp>4</stp>
        <stp>603012</stp>
        <stp>2018-01-01</stp>
        <stp>2019-12-31</stp>
        <stp>3</stp>
        <tr r="F1606" s="1"/>
      </tp>
      <tp>
        <v>38.622448980000001</v>
        <stp/>
        <stp>EM_S_PQ_PCTCHANGE</stp>
        <stp>4</stp>
        <stp>603203</stp>
        <stp>2018-12-31</stp>
        <stp>2019-12-30</stp>
        <stp>1</stp>
        <tr r="G761" s="1"/>
      </tp>
      <tp>
        <v>-79.861591700000005</v>
        <stp/>
        <stp>EM_S_PQ_PCTCHANGE</stp>
        <stp>4</stp>
        <stp>002072</stp>
        <stp>2018-01-01</stp>
        <stp>2019-12-31</stp>
        <stp>3</stp>
        <tr r="F3624" s="1"/>
      </tp>
      <tp>
        <v>21.55688623</v>
        <stp/>
        <stp>EM_S_PQ_PCTCHANGE</stp>
        <stp>4</stp>
        <stp>002263</stp>
        <stp>2018-12-31</stp>
        <stp>2019-12-30</stp>
        <stp>1</stp>
        <tr r="G1203" s="1"/>
      </tp>
      <tp>
        <v>-15.037448169999999</v>
        <stp/>
        <stp>EM_S_PQ_PCTCHANGE</stp>
        <stp>4</stp>
        <stp>300043</stp>
        <stp>2018-01-01</stp>
        <stp>2019-12-31</stp>
        <stp>3</stp>
        <tr r="F491" s="1"/>
      </tp>
      <tp>
        <v>-16.238532110000001</v>
        <stp/>
        <stp>EM_S_PQ_PCTCHANGE</stp>
        <stp>4</stp>
        <stp>300252</stp>
        <stp>2018-12-31</stp>
        <stp>2019-12-30</stp>
        <stp>1</stp>
        <tr r="G2966" s="1"/>
      </tp>
      <tp>
        <v>47.416413370000001</v>
        <stp/>
        <stp>EM_S_PQ_PCTCHANGE</stp>
        <stp>4</stp>
        <stp>600202</stp>
        <stp>2018-12-31</stp>
        <stp>2019-12-30</stp>
        <stp>1</stp>
        <tr r="G605" s="1"/>
      </tp>
      <tp>
        <v>34.779670379999999</v>
        <stp/>
        <stp>EM_S_PQ_PCTCHANGE</stp>
        <stp>4</stp>
        <stp>603013</stp>
        <stp>2018-01-01</stp>
        <stp>2019-12-31</stp>
        <stp>3</stp>
        <tr r="F2867" s="1"/>
      </tp>
      <tp>
        <v>-41.5</v>
        <stp/>
        <stp>EM_S_PQ_PCTCHANGE</stp>
        <stp>4</stp>
        <stp>002073</stp>
        <stp>2018-01-01</stp>
        <stp>2019-12-31</stp>
        <stp>3</stp>
        <tr r="F3625" s="1"/>
      </tp>
      <tp>
        <v>27.494456759999998</v>
        <stp/>
        <stp>EM_S_PQ_PCTCHANGE</stp>
        <stp>4</stp>
        <stp>002262</stp>
        <stp>2018-12-31</stp>
        <stp>2019-12-30</stp>
        <stp>1</stp>
        <tr r="G1001" s="1"/>
      </tp>
      <tp>
        <v>-21.846311050000001</v>
        <stp/>
        <stp>EM_S_PQ_PCTCHANGE</stp>
        <stp>4</stp>
        <stp>300044</stp>
        <stp>2018-01-01</stp>
        <stp>2019-12-31</stp>
        <stp>3</stp>
        <tr r="F1874" s="1"/>
      </tp>
      <tp>
        <v>30.31784841</v>
        <stp/>
        <stp>EM_S_PQ_PCTCHANGE</stp>
        <stp>4</stp>
        <stp>300255</stp>
        <stp>2018-12-31</stp>
        <stp>2019-12-30</stp>
        <stp>1</stp>
        <tr r="G922" s="1"/>
      </tp>
      <tp>
        <v>0</v>
        <stp/>
        <stp>EM_S_PQ_PCTCHANGE</stp>
        <stp>4</stp>
        <stp>600205</stp>
        <stp>2018-12-31</stp>
        <stp>2019-12-30</stp>
        <stp>1</stp>
        <tr r="G2295" s="1"/>
      </tp>
      <tp>
        <v>-33.628323090000002</v>
        <stp/>
        <stp>EM_S_PQ_PCTCHANGE</stp>
        <stp>4</stp>
        <stp>002074</stp>
        <stp>2018-01-01</stp>
        <stp>2019-12-31</stp>
        <stp>3</stp>
        <tr r="F1128" s="1"/>
      </tp>
      <tp>
        <v>-2.1064301599999999</v>
        <stp/>
        <stp>EM_S_PQ_PCTCHANGE</stp>
        <stp>4</stp>
        <stp>002265</stp>
        <stp>2018-12-31</stp>
        <stp>2019-12-30</stp>
        <stp>1</stp>
        <tr r="G2427" s="1"/>
      </tp>
      <tp>
        <v>-59.683368119999997</v>
        <stp/>
        <stp>EM_S_PQ_PCTCHANGE</stp>
        <stp>4</stp>
        <stp>601015</stp>
        <stp>2018-01-01</stp>
        <stp>2019-12-31</stp>
        <stp>3</stp>
        <tr r="F3317" s="1"/>
      </tp>
      <tp>
        <v>-16.811669970000001</v>
        <stp/>
        <stp>EM_S_PQ_PCTCHANGE</stp>
        <stp>4</stp>
        <stp>300045</stp>
        <stp>2018-01-01</stp>
        <stp>2019-12-31</stp>
        <stp>3</stp>
        <tr r="F1141" s="1"/>
      </tp>
      <tp>
        <v>23.765432100000002</v>
        <stp/>
        <stp>EM_S_PQ_PCTCHANGE</stp>
        <stp>4</stp>
        <stp>300254</stp>
        <stp>2018-12-31</stp>
        <stp>2019-12-30</stp>
        <stp>1</stp>
        <tr r="G1140" s="1"/>
      </tp>
      <tp>
        <v>-11.0619236</v>
        <stp/>
        <stp>EM_S_PQ_PCTCHANGE</stp>
        <stp>4</stp>
        <stp>600015</stp>
        <stp>2018-01-01</stp>
        <stp>2019-12-31</stp>
        <stp>3</stp>
        <tr r="F2083" s="1"/>
      </tp>
      <tp>
        <v>-21.056465630000002</v>
        <stp/>
        <stp>EM_S_PQ_PCTCHANGE</stp>
        <stp>4</stp>
        <stp>603015</stp>
        <stp>2018-01-01</stp>
        <stp>2019-12-31</stp>
        <stp>3</stp>
        <tr r="F1933" s="1"/>
      </tp>
      <tp>
        <v>-61.159801209999998</v>
        <stp/>
        <stp>EM_S_PQ_PCTCHANGE</stp>
        <stp>4</stp>
        <stp>002075</stp>
        <stp>2018-01-01</stp>
        <stp>2019-12-31</stp>
        <stp>3</stp>
        <tr r="F3139" s="1"/>
      </tp>
      <tp>
        <v>-16.055846420000002</v>
        <stp/>
        <stp>EM_S_PQ_PCTCHANGE</stp>
        <stp>4</stp>
        <stp>002264</stp>
        <stp>2018-12-31</stp>
        <stp>2019-12-30</stp>
        <stp>1</stp>
        <tr r="G2960" s="1"/>
      </tp>
      <tp>
        <v>-24.444654409999998</v>
        <stp/>
        <stp>EM_S_PQ_PCTCHANGE</stp>
        <stp>4</stp>
        <stp>601016</stp>
        <stp>2018-01-01</stp>
        <stp>2019-12-31</stp>
        <stp>3</stp>
        <tr r="F2133" s="1"/>
      </tp>
      <tp>
        <v>10.600108519999999</v>
        <stp/>
        <stp>EM_S_PQ_PCTCHANGE</stp>
        <stp>4</stp>
        <stp>300046</stp>
        <stp>2018-01-01</stp>
        <stp>2019-12-31</stp>
        <stp>3</stp>
        <tr r="F595" s="1"/>
      </tp>
      <tp>
        <v>9.9099099099999997</v>
        <stp/>
        <stp>EM_S_PQ_PCTCHANGE</stp>
        <stp>4</stp>
        <stp>300257</stp>
        <stp>2018-12-31</stp>
        <stp>2019-12-30</stp>
        <stp>1</stp>
        <tr r="G1743" s="1"/>
      </tp>
      <tp>
        <v>-3.4125863600000002</v>
        <stp/>
        <stp>EM_S_PQ_PCTCHANGE</stp>
        <stp>4</stp>
        <stp>600016</stp>
        <stp>2018-01-01</stp>
        <stp>2019-12-31</stp>
        <stp>3</stp>
        <tr r="F1730" s="1"/>
      </tp>
      <tp>
        <v>8.7557603700000008</v>
        <stp/>
        <stp>EM_S_PQ_PCTCHANGE</stp>
        <stp>4</stp>
        <stp>600207</stp>
        <stp>2018-12-31</stp>
        <stp>2019-12-30</stp>
        <stp>1</stp>
        <tr r="G1807" s="1"/>
      </tp>
      <tp>
        <v>-51.409518769999998</v>
        <stp/>
        <stp>EM_S_PQ_PCTCHANGE</stp>
        <stp>4</stp>
        <stp>603016</stp>
        <stp>2018-01-01</stp>
        <stp>2019-12-31</stp>
        <stp>3</stp>
        <tr r="F2520" s="1"/>
      </tp>
      <tp>
        <v>-55.555555560000002</v>
        <stp/>
        <stp>EM_S_PQ_PCTCHANGE</stp>
        <stp>4</stp>
        <stp>002076</stp>
        <stp>2018-01-01</stp>
        <stp>2019-12-31</stp>
        <stp>3</stp>
        <tr r="F3626" s="1"/>
      </tp>
      <tp>
        <v>-3.5182679299999999</v>
        <stp/>
        <stp>EM_S_PQ_PCTCHANGE</stp>
        <stp>4</stp>
        <stp>002267</stp>
        <stp>2018-12-31</stp>
        <stp>2019-12-30</stp>
        <stp>1</stp>
        <tr r="G2497" s="1"/>
      </tp>
      <tp>
        <v>0</v>
        <stp/>
        <stp>EM_S_PQ_PCTCHANGE</stp>
        <stp>4</stp>
        <stp>601206</stp>
        <stp>2018-12-31</stp>
        <stp>2019-12-30</stp>
        <stp>1</stp>
        <tr r="G13" s="1"/>
      </tp>
      <tp>
        <v>16.170027990000001</v>
        <stp/>
        <stp>EM_S_PQ_PCTCHANGE</stp>
        <stp>4</stp>
        <stp>300047</stp>
        <stp>2018-01-01</stp>
        <stp>2019-12-31</stp>
        <stp>3</stp>
        <tr r="F3200" s="1"/>
      </tp>
      <tp>
        <v>105.72390572</v>
        <stp/>
        <stp>EM_S_PQ_PCTCHANGE</stp>
        <stp>4</stp>
        <stp>300256</stp>
        <stp>2018-12-31</stp>
        <stp>2019-12-30</stp>
        <stp>1</stp>
        <tr r="G154" s="1"/>
      </tp>
      <tp>
        <v>-24.09014217</v>
        <stp/>
        <stp>EM_S_PQ_PCTCHANGE</stp>
        <stp>4</stp>
        <stp>600017</stp>
        <stp>2018-01-01</stp>
        <stp>2019-12-31</stp>
        <stp>3</stp>
        <tr r="F1986" s="1"/>
      </tp>
      <tp>
        <v>83.307810110000005</v>
        <stp/>
        <stp>EM_S_PQ_PCTCHANGE</stp>
        <stp>4</stp>
        <stp>600206</stp>
        <stp>2018-12-31</stp>
        <stp>2019-12-30</stp>
        <stp>1</stp>
        <tr r="G232" s="1"/>
      </tp>
      <tp>
        <v>-32.870667189999999</v>
        <stp/>
        <stp>EM_S_PQ_PCTCHANGE</stp>
        <stp>4</stp>
        <stp>603017</stp>
        <stp>2018-01-01</stp>
        <stp>2019-12-31</stp>
        <stp>3</stp>
        <tr r="F1945" s="1"/>
      </tp>
      <tp>
        <v>-60.147354319999998</v>
        <stp/>
        <stp>EM_S_PQ_PCTCHANGE</stp>
        <stp>4</stp>
        <stp>002077</stp>
        <stp>2018-01-01</stp>
        <stp>2019-12-31</stp>
        <stp>3</stp>
        <tr r="F3627" s="1"/>
      </tp>
      <tp>
        <v>1.4742014699999999</v>
        <stp/>
        <stp>EM_S_PQ_PCTCHANGE</stp>
        <stp>4</stp>
        <stp>002266</stp>
        <stp>2018-12-31</stp>
        <stp>2019-12-30</stp>
        <stp>1</stp>
        <tr r="G2187" s="1"/>
      </tp>
      <tp>
        <v>-1.8823529400000001</v>
        <stp/>
        <stp>EM_S_PQ_PCTCHANGE</stp>
        <stp>4</stp>
        <stp>000068</stp>
        <stp>2019-01-01</stp>
        <stp>2019-12-31</stp>
        <stp>3</stp>
        <tr r="G2414" s="1"/>
      </tp>
      <tp>
        <v>-17.489449260000001</v>
        <stp/>
        <stp>EM_S_PQ_PCTCHANGE</stp>
        <stp>4</stp>
        <stp>601008</stp>
        <stp>2018-01-01</stp>
        <stp>2019-12-31</stp>
        <stp>3</stp>
        <tr r="F1067" s="1"/>
      </tp>
      <tp>
        <v>-17.425742570000001</v>
        <stp/>
        <stp>EM_S_PQ_PCTCHANGE</stp>
        <stp>4</stp>
        <stp>000068</stp>
        <stp>2018-01-01</stp>
        <stp>2019-12-31</stp>
        <stp>3</stp>
        <tr r="F2414" s="1"/>
      </tp>
      <tp>
        <v>3.37687012</v>
        <stp/>
        <stp>EM_S_PQ_PCTCHANGE</stp>
        <stp>4</stp>
        <stp>300058</stp>
        <stp>2018-01-01</stp>
        <stp>2019-12-31</stp>
        <stp>3</stp>
        <tr r="F873" s="1"/>
      </tp>
      <tp>
        <v>-4.7761193999999998</v>
        <stp/>
        <stp>EM_S_PQ_PCTCHANGE</stp>
        <stp>4</stp>
        <stp>300249</stp>
        <stp>2018-12-31</stp>
        <stp>2019-12-30</stp>
        <stp>1</stp>
        <tr r="G2557" s="1"/>
      </tp>
      <tp>
        <v>-33.43213497</v>
        <stp/>
        <stp>EM_S_PQ_PCTCHANGE</stp>
        <stp>4</stp>
        <stp>600008</stp>
        <stp>2018-01-01</stp>
        <stp>2019-12-31</stp>
        <stp>3</stp>
        <tr r="F2550" s="1"/>
      </tp>
      <tp>
        <v>6.6350710900000003</v>
        <stp/>
        <stp>EM_S_PQ_PCTCHANGE</stp>
        <stp>4</stp>
        <stp>600219</stp>
        <stp>2018-12-31</stp>
        <stp>2019-12-30</stp>
        <stp>1</stp>
        <tr r="G1916" s="1"/>
      </tp>
      <tp>
        <v>-16.114015179999999</v>
        <stp/>
        <stp>EM_S_PQ_PCTCHANGE</stp>
        <stp>4</stp>
        <stp>603008</stp>
        <stp>2018-01-01</stp>
        <stp>2019-12-31</stp>
        <stp>3</stp>
        <tr r="F376" s="1"/>
      </tp>
      <tp>
        <v>-45.602301490000002</v>
        <stp/>
        <stp>EM_S_PQ_PCTCHANGE</stp>
        <stp>4</stp>
        <stp>002068</stp>
        <stp>2018-01-01</stp>
        <stp>2019-12-31</stp>
        <stp>3</stp>
        <tr r="F3034" s="1"/>
      </tp>
      <tp>
        <v>-13.783403659999999</v>
        <stp/>
        <stp>EM_S_PQ_PCTCHANGE</stp>
        <stp>4</stp>
        <stp>002279</stp>
        <stp>2018-12-31</stp>
        <stp>2019-12-30</stp>
        <stp>1</stp>
        <tr r="G2897" s="1"/>
      </tp>
      <tp>
        <v>28.04988766</v>
        <stp/>
        <stp>EM_S_PQ_PCTCHANGE</stp>
        <stp>4</stp>
        <stp>000069</stp>
        <stp>2019-01-01</stp>
        <stp>2019-12-31</stp>
        <stp>3</stp>
        <tr r="G986" s="1"/>
      </tp>
      <tp>
        <v>24.12447345</v>
        <stp/>
        <stp>EM_S_PQ_PCTCHANGE</stp>
        <stp>4</stp>
        <stp>601009</stp>
        <stp>2018-01-01</stp>
        <stp>2019-12-31</stp>
        <stp>3</stp>
        <tr r="F813" s="1"/>
      </tp>
      <tp>
        <v>24.669603519999999</v>
        <stp/>
        <stp>EM_S_PQ_PCTCHANGE</stp>
        <stp>4</stp>
        <stp>601218</stp>
        <stp>2018-12-31</stp>
        <stp>2019-12-30</stp>
        <stp>1</stp>
        <tr r="G1106" s="1"/>
      </tp>
      <tp>
        <v>0.24190892</v>
        <stp/>
        <stp>EM_S_PQ_PCTCHANGE</stp>
        <stp>4</stp>
        <stp>000069</stp>
        <stp>2018-01-01</stp>
        <stp>2019-12-31</stp>
        <stp>3</stp>
        <tr r="F986" s="1"/>
      </tp>
      <tp>
        <v>75.780254029999995</v>
        <stp/>
        <stp>EM_S_PQ_PCTCHANGE</stp>
        <stp>4</stp>
        <stp>300059</stp>
        <stp>2018-01-01</stp>
        <stp>2019-12-31</stp>
        <stp>3</stp>
        <tr r="F916" s="1"/>
      </tp>
      <tp>
        <v>20.029455080000002</v>
        <stp/>
        <stp>EM_S_PQ_PCTCHANGE</stp>
        <stp>4</stp>
        <stp>300248</stp>
        <stp>2018-12-31</stp>
        <stp>2019-12-30</stp>
        <stp>1</stp>
        <tr r="G1276" s="1"/>
      </tp>
      <tp>
        <v>78.098758599999996</v>
        <stp/>
        <stp>EM_S_PQ_PCTCHANGE</stp>
        <stp>4</stp>
        <stp>600009</stp>
        <stp>2018-01-01</stp>
        <stp>2019-12-31</stp>
        <stp>3</stp>
        <tr r="F511" s="1"/>
      </tp>
      <tp>
        <v>149.77777778000001</v>
        <stp/>
        <stp>EM_S_PQ_PCTCHANGE</stp>
        <stp>4</stp>
        <stp>600218</stp>
        <stp>2018-12-31</stp>
        <stp>2019-12-30</stp>
        <stp>1</stp>
        <tr r="G83" s="1"/>
      </tp>
      <tp>
        <v>-39.141745350000001</v>
        <stp/>
        <stp>EM_S_PQ_PCTCHANGE</stp>
        <stp>4</stp>
        <stp>603009</stp>
        <stp>2018-01-01</stp>
        <stp>2019-12-31</stp>
        <stp>3</stp>
        <tr r="F1875" s="1"/>
      </tp>
      <tp>
        <v>21.48910412</v>
        <stp/>
        <stp>EM_S_PQ_PCTCHANGE</stp>
        <stp>4</stp>
        <stp>603218</stp>
        <stp>2018-12-31</stp>
        <stp>2019-12-30</stp>
        <stp>1</stp>
        <tr r="G1213" s="1"/>
      </tp>
      <tp>
        <v>-66.416040100000004</v>
        <stp/>
        <stp>EM_S_PQ_PCTCHANGE</stp>
        <stp>4</stp>
        <stp>002069</stp>
        <stp>2018-01-01</stp>
        <stp>2019-12-31</stp>
        <stp>3</stp>
        <tr r="F3621" s="1"/>
      </tp>
      <tp>
        <v>-5.2710843399999998</v>
        <stp/>
        <stp>EM_S_PQ_PCTCHANGE</stp>
        <stp>4</stp>
        <stp>002278</stp>
        <stp>2018-12-31</stp>
        <stp>2019-12-30</stp>
        <stp>1</stp>
        <tr r="G2576" s="1"/>
      </tp>
      <tp>
        <v>10.478422460000001</v>
        <stp/>
        <stp>EM_S_PQ_PCTCHANGE</stp>
        <stp>4</stp>
        <stp>000060</stp>
        <stp>2019-01-01</stp>
        <stp>2019-12-31</stp>
        <stp>3</stp>
        <tr r="G1710" s="1"/>
      </tp>
      <tp>
        <v>-25.074338340000001</v>
        <stp/>
        <stp>EM_S_PQ_PCTCHANGE</stp>
        <stp>4</stp>
        <stp>601000</stp>
        <stp>2018-01-01</stp>
        <stp>2019-12-31</stp>
        <stp>3</stp>
        <tr r="F1833" s="1"/>
      </tp>
      <tp>
        <v>21.93211488</v>
        <stp/>
        <stp>EM_S_PQ_PCTCHANGE</stp>
        <stp>4</stp>
        <stp>601211</stp>
        <stp>2018-12-31</stp>
        <stp>2019-12-30</stp>
        <stp>1</stp>
        <tr r="G1188" s="1"/>
      </tp>
      <tp>
        <v>-39.690419439999999</v>
        <stp/>
        <stp>EM_S_PQ_PCTCHANGE</stp>
        <stp>4</stp>
        <stp>000060</stp>
        <stp>2018-01-01</stp>
        <stp>2019-12-31</stp>
        <stp>3</stp>
        <tr r="F1710" s="1"/>
      </tp>
      <tp>
        <v>-27.599517689999999</v>
        <stp/>
        <stp>EM_S_PQ_PCTCHANGE</stp>
        <stp>4</stp>
        <stp>300050</stp>
        <stp>2018-01-01</stp>
        <stp>2019-12-31</stp>
        <stp>3</stp>
        <tr r="F2656" s="1"/>
      </tp>
      <tp>
        <v>43.506493509999999</v>
        <stp/>
        <stp>EM_S_PQ_PCTCHANGE</stp>
        <stp>4</stp>
        <stp>300241</stp>
        <stp>2018-12-31</stp>
        <stp>2019-12-30</stp>
        <stp>1</stp>
        <tr r="G679" s="1"/>
      </tp>
      <tp>
        <v>2.3763776600000002</v>
        <stp/>
        <stp>EM_S_PQ_PCTCHANGE</stp>
        <stp>4</stp>
        <stp>600000</stp>
        <stp>2018-01-01</stp>
        <stp>2019-12-31</stp>
        <stp>3</stp>
        <tr r="F1062" s="1"/>
      </tp>
      <tp>
        <v>6.3029481499999997</v>
        <stp/>
        <stp>EM_S_PQ_PCTCHANGE</stp>
        <stp>4</stp>
        <stp>600211</stp>
        <stp>2018-12-31</stp>
        <stp>2019-12-30</stp>
        <stp>1</stp>
        <tr r="G1937" s="1"/>
      </tp>
      <tp>
        <v>84.975591100000003</v>
        <stp/>
        <stp>EM_S_PQ_PCTCHANGE</stp>
        <stp>4</stp>
        <stp>603000</stp>
        <stp>2018-01-01</stp>
        <stp>2019-12-31</stp>
        <stp>3</stp>
        <tr r="F61" s="1"/>
      </tp>
      <tp>
        <v>-19.200233539999999</v>
        <stp/>
        <stp>EM_S_PQ_PCTCHANGE</stp>
        <stp>4</stp>
        <stp>002060</stp>
        <stp>2018-01-01</stp>
        <stp>2019-12-31</stp>
        <stp>3</stp>
        <tr r="F1677" s="1"/>
      </tp>
      <tp>
        <v>15.46960251</v>
        <stp/>
        <stp>EM_S_PQ_PCTCHANGE</stp>
        <stp>4</stp>
        <stp>000061</stp>
        <stp>2019-01-01</stp>
        <stp>2019-12-31</stp>
        <stp>3</stp>
        <tr r="G1460" s="1"/>
      </tp>
      <tp>
        <v>-27.272727270000001</v>
        <stp/>
        <stp>EM_S_PQ_PCTCHANGE</stp>
        <stp>4</stp>
        <stp>601001</stp>
        <stp>2018-01-01</stp>
        <stp>2019-12-31</stp>
        <stp>3</stp>
        <tr r="F2169" s="1"/>
      </tp>
      <tp>
        <v>-26.224708530000001</v>
        <stp/>
        <stp>EM_S_PQ_PCTCHANGE</stp>
        <stp>4</stp>
        <stp>000061</stp>
        <stp>2018-01-01</stp>
        <stp>2019-12-31</stp>
        <stp>3</stp>
        <tr r="F1460" s="1"/>
      </tp>
      <tp>
        <v>-34.973821989999998</v>
        <stp/>
        <stp>EM_S_PQ_PCTCHANGE</stp>
        <stp>4</stp>
        <stp>300051</stp>
        <stp>2018-01-01</stp>
        <stp>2019-12-31</stp>
        <stp>3</stp>
        <tr r="F2016" s="1"/>
      </tp>
      <tp>
        <v>-12.2972973</v>
        <stp/>
        <stp>EM_S_PQ_PCTCHANGE</stp>
        <stp>4</stp>
        <stp>300240</stp>
        <stp>2018-12-31</stp>
        <stp>2019-12-30</stp>
        <stp>1</stp>
        <tr r="G2840" s="1"/>
      </tp>
      <tp>
        <v>0</v>
        <stp/>
        <stp>EM_S_PQ_PCTCHANGE</stp>
        <stp>4</stp>
        <stp>600001</stp>
        <stp>2018-01-01</stp>
        <stp>2019-12-31</stp>
        <stp>3</stp>
        <tr r="F2285" s="1"/>
      </tp>
      <tp>
        <v>3.2967032999999999</v>
        <stp/>
        <stp>EM_S_PQ_PCTCHANGE</stp>
        <stp>4</stp>
        <stp>600210</stp>
        <stp>2018-12-31</stp>
        <stp>2019-12-30</stp>
        <stp>1</stp>
        <tr r="G2091" s="1"/>
      </tp>
      <tp>
        <v>-33.741864280000001</v>
        <stp/>
        <stp>EM_S_PQ_PCTCHANGE</stp>
        <stp>4</stp>
        <stp>603001</stp>
        <stp>2018-01-01</stp>
        <stp>2019-12-31</stp>
        <stp>3</stp>
        <tr r="F2795" s="1"/>
      </tp>
      <tp>
        <v>-60.533138569999998</v>
        <stp/>
        <stp>EM_S_PQ_PCTCHANGE</stp>
        <stp>4</stp>
        <stp>002061</stp>
        <stp>2018-01-01</stp>
        <stp>2019-12-31</stp>
        <stp>3</stp>
        <tr r="F3337" s="1"/>
      </tp>
      <tp>
        <v>4.7516198699999999</v>
        <stp/>
        <stp>EM_S_PQ_PCTCHANGE</stp>
        <stp>4</stp>
        <stp>002270</stp>
        <stp>2018-12-31</stp>
        <stp>2019-12-30</stp>
        <stp>1</stp>
        <tr r="G2017" s="1"/>
      </tp>
      <tp>
        <v>25.605363229999998</v>
        <stp/>
        <stp>EM_S_PQ_PCTCHANGE</stp>
        <stp>4</stp>
        <stp>000062</stp>
        <stp>2019-01-01</stp>
        <stp>2019-12-31</stp>
        <stp>3</stp>
        <tr r="G1072" s="1"/>
      </tp>
      <tp>
        <v>-44.382468039999999</v>
        <stp/>
        <stp>EM_S_PQ_PCTCHANGE</stp>
        <stp>4</stp>
        <stp>601002</stp>
        <stp>2018-01-01</stp>
        <stp>2019-12-31</stp>
        <stp>3</stp>
        <tr r="F1815" s="1"/>
      </tp>
      <tp>
        <v>-9.5018735000000003</v>
        <stp/>
        <stp>EM_S_PQ_PCTCHANGE</stp>
        <stp>4</stp>
        <stp>000062</stp>
        <stp>2018-01-01</stp>
        <stp>2019-12-31</stp>
        <stp>3</stp>
        <tr r="F1072" s="1"/>
      </tp>
      <tp>
        <v>9.1736232500000003</v>
        <stp/>
        <stp>EM_S_PQ_PCTCHANGE</stp>
        <stp>4</stp>
        <stp>300052</stp>
        <stp>2018-01-01</stp>
        <stp>2019-12-31</stp>
        <stp>3</stp>
        <tr r="F509" s="1"/>
      </tp>
      <tp>
        <v>-2.80970626</v>
        <stp/>
        <stp>EM_S_PQ_PCTCHANGE</stp>
        <stp>4</stp>
        <stp>300243</stp>
        <stp>2018-12-31</stp>
        <stp>2019-12-30</stp>
        <stp>1</stp>
        <tr r="G2469" s="1"/>
      </tp>
      <tp>
        <v>0</v>
        <stp/>
        <stp>EM_S_PQ_PCTCHANGE</stp>
        <stp>4</stp>
        <stp>600002</stp>
        <stp>2018-01-01</stp>
        <stp>2019-12-31</stp>
        <stp>3</stp>
        <tr r="F2286" s="1"/>
      </tp>
      <tp>
        <v>44.166666669999998</v>
        <stp/>
        <stp>EM_S_PQ_PCTCHANGE</stp>
        <stp>4</stp>
        <stp>600213</stp>
        <stp>2018-12-31</stp>
        <stp>2019-12-30</stp>
        <stp>1</stp>
        <tr r="G668" s="1"/>
      </tp>
      <tp>
        <v>-30.08822747</v>
        <stp/>
        <stp>EM_S_PQ_PCTCHANGE</stp>
        <stp>4</stp>
        <stp>603002</stp>
        <stp>2018-01-01</stp>
        <stp>2019-12-31</stp>
        <stp>3</stp>
        <tr r="F1090" s="1"/>
      </tp>
      <tp>
        <v>-32.175328399999998</v>
        <stp/>
        <stp>EM_S_PQ_PCTCHANGE</stp>
        <stp>4</stp>
        <stp>002062</stp>
        <stp>2018-01-01</stp>
        <stp>2019-12-31</stp>
        <stp>3</stp>
        <tr r="F2740" s="1"/>
      </tp>
      <tp>
        <v>69.665271970000006</v>
        <stp/>
        <stp>EM_S_PQ_PCTCHANGE</stp>
        <stp>4</stp>
        <stp>002273</stp>
        <stp>2018-12-31</stp>
        <stp>2019-12-30</stp>
        <stp>1</stp>
        <tr r="G318" s="1"/>
      </tp>
      <tp>
        <v>80.653394590000005</v>
        <stp/>
        <stp>EM_S_PQ_PCTCHANGE</stp>
        <stp>4</stp>
        <stp>000063</stp>
        <stp>2019-01-01</stp>
        <stp>2019-12-31</stp>
        <stp>3</stp>
        <tr r="G245" s="1"/>
      </tp>
      <tp>
        <v>-16.852237689999999</v>
        <stp/>
        <stp>EM_S_PQ_PCTCHANGE</stp>
        <stp>4</stp>
        <stp>601003</stp>
        <stp>2018-01-01</stp>
        <stp>2019-12-31</stp>
        <stp>3</stp>
        <tr r="F2925" s="1"/>
      </tp>
      <tp>
        <v>25.084745760000001</v>
        <stp/>
        <stp>EM_S_PQ_PCTCHANGE</stp>
        <stp>4</stp>
        <stp>601212</stp>
        <stp>2018-12-31</stp>
        <stp>2019-12-30</stp>
        <stp>1</stp>
        <tr r="G1088" s="1"/>
      </tp>
      <tp>
        <v>-2.66776678</v>
        <stp/>
        <stp>EM_S_PQ_PCTCHANGE</stp>
        <stp>4</stp>
        <stp>000063</stp>
        <stp>2018-01-01</stp>
        <stp>2019-12-31</stp>
        <stp>3</stp>
        <tr r="F245" s="1"/>
      </tp>
      <tp>
        <v>-12.617446409999999</v>
        <stp/>
        <stp>EM_S_PQ_PCTCHANGE</stp>
        <stp>4</stp>
        <stp>300053</stp>
        <stp>2018-01-01</stp>
        <stp>2019-12-31</stp>
        <stp>3</stp>
        <tr r="F528" s="1"/>
      </tp>
      <tp>
        <v>-4.4186046499999998</v>
        <stp/>
        <stp>EM_S_PQ_PCTCHANGE</stp>
        <stp>4</stp>
        <stp>300242</stp>
        <stp>2018-12-31</stp>
        <stp>2019-12-30</stp>
        <stp>1</stp>
        <tr r="G2537" s="1"/>
      </tp>
      <tp>
        <v>0</v>
        <stp/>
        <stp>EM_S_PQ_PCTCHANGE</stp>
        <stp>4</stp>
        <stp>600003</stp>
        <stp>2018-01-01</stp>
        <stp>2019-12-31</stp>
        <stp>3</stp>
        <tr r="F2287" s="1"/>
      </tp>
      <tp>
        <v>5.1282051299999996</v>
        <stp/>
        <stp>EM_S_PQ_PCTCHANGE</stp>
        <stp>4</stp>
        <stp>600212</stp>
        <stp>2018-12-31</stp>
        <stp>2019-12-30</stp>
        <stp>1</stp>
        <tr r="G2006" s="1"/>
      </tp>
      <tp>
        <v>123.67378033999999</v>
        <stp/>
        <stp>EM_S_PQ_PCTCHANGE</stp>
        <stp>4</stp>
        <stp>002063</stp>
        <stp>2019-01-01</stp>
        <stp>2019-12-31</stp>
        <stp>3</stp>
        <tr r="G118" s="1"/>
      </tp>
      <tp>
        <v>-29.395563589999998</v>
        <stp/>
        <stp>EM_S_PQ_PCTCHANGE</stp>
        <stp>4</stp>
        <stp>603003</stp>
        <stp>2018-01-01</stp>
        <stp>2019-12-31</stp>
        <stp>3</stp>
        <tr r="F1217" s="1"/>
      </tp>
      <tp>
        <v>60.628555509999998</v>
        <stp/>
        <stp>EM_S_PQ_PCTCHANGE</stp>
        <stp>4</stp>
        <stp>002063</stp>
        <stp>2018-01-01</stp>
        <stp>2019-12-31</stp>
        <stp>3</stp>
        <tr r="F118" s="1"/>
      </tp>
      <tp>
        <v>11.75</v>
        <stp/>
        <stp>EM_S_PQ_PCTCHANGE</stp>
        <stp>4</stp>
        <stp>002272</stp>
        <stp>2018-12-31</stp>
        <stp>2019-12-30</stp>
        <stp>1</stp>
        <tr r="G1640" s="1"/>
      </tp>
      <tp>
        <v>-12.9276333</v>
        <stp/>
        <stp>EM_S_PQ_PCTCHANGE</stp>
        <stp>4</stp>
        <stp>300054</stp>
        <stp>2018-01-01</stp>
        <stp>2019-12-31</stp>
        <stp>3</stp>
        <tr r="F635" s="1"/>
      </tp>
      <tp>
        <v>11.65501166</v>
        <stp/>
        <stp>EM_S_PQ_PCTCHANGE</stp>
        <stp>4</stp>
        <stp>300245</stp>
        <stp>2018-12-31</stp>
        <stp>2019-12-30</stp>
        <stp>1</stp>
        <tr r="G1646" s="1"/>
      </tp>
      <tp>
        <v>21.890280789999998</v>
        <stp/>
        <stp>EM_S_PQ_PCTCHANGE</stp>
        <stp>4</stp>
        <stp>600004</stp>
        <stp>2018-01-01</stp>
        <stp>2019-12-31</stp>
        <stp>3</stp>
        <tr r="F266" s="1"/>
      </tp>
      <tp>
        <v>-5.0445103900000001</v>
        <stp/>
        <stp>EM_S_PQ_PCTCHANGE</stp>
        <stp>4</stp>
        <stp>600215</stp>
        <stp>2018-12-31</stp>
        <stp>2019-12-30</stp>
        <stp>1</stp>
        <tr r="G2571" s="1"/>
      </tp>
      <tp>
        <v>28.929780000000001</v>
        <stp/>
        <stp>EM_S_PQ_PCTCHANGE</stp>
        <stp>4</stp>
        <stp>002064</stp>
        <stp>2018-01-01</stp>
        <stp>2019-12-31</stp>
        <stp>3</stp>
        <tr r="F557" s="1"/>
      </tp>
      <tp>
        <v>1.09375</v>
        <stp/>
        <stp>EM_S_PQ_PCTCHANGE</stp>
        <stp>4</stp>
        <stp>002275</stp>
        <stp>2018-12-31</stp>
        <stp>2019-12-30</stp>
        <stp>1</stp>
        <tr r="G2210" s="1"/>
      </tp>
      <tp>
        <v>13.64147885</v>
        <stp/>
        <stp>EM_S_PQ_PCTCHANGE</stp>
        <stp>4</stp>
        <stp>000065</stp>
        <stp>2019-01-01</stp>
        <stp>2019-12-31</stp>
        <stp>3</stp>
        <tr r="G1549" s="1"/>
      </tp>
      <tp>
        <v>-13.953488370000001</v>
        <stp/>
        <stp>EM_S_PQ_PCTCHANGE</stp>
        <stp>4</stp>
        <stp>601005</stp>
        <stp>2018-01-01</stp>
        <stp>2019-12-31</stp>
        <stp>3</stp>
        <tr r="F2547" s="1"/>
      </tp>
      <tp>
        <v>-27.460391810000001</v>
        <stp/>
        <stp>EM_S_PQ_PCTCHANGE</stp>
        <stp>4</stp>
        <stp>000065</stp>
        <stp>2018-01-01</stp>
        <stp>2019-12-31</stp>
        <stp>3</stp>
        <tr r="F1549" s="1"/>
      </tp>
      <tp>
        <v>-68.036366689999994</v>
        <stp/>
        <stp>EM_S_PQ_PCTCHANGE</stp>
        <stp>4</stp>
        <stp>300055</stp>
        <stp>2018-01-01</stp>
        <stp>2019-12-31</stp>
        <stp>3</stp>
        <tr r="F2859" s="1"/>
      </tp>
      <tp>
        <v>43.902439020000003</v>
        <stp/>
        <stp>EM_S_PQ_PCTCHANGE</stp>
        <stp>4</stp>
        <stp>300244</stp>
        <stp>2018-12-31</stp>
        <stp>2019-12-30</stp>
        <stp>1</stp>
        <tr r="G671" s="1"/>
      </tp>
      <tp>
        <v>0</v>
        <stp/>
        <stp>EM_S_PQ_PCTCHANGE</stp>
        <stp>4</stp>
        <stp>600005</stp>
        <stp>2018-01-01</stp>
        <stp>2019-12-31</stp>
        <stp>3</stp>
        <tr r="F2288" s="1"/>
      </tp>
      <tp>
        <v>12.36559003</v>
        <stp/>
        <stp>EM_S_PQ_PCTCHANGE</stp>
        <stp>4</stp>
        <stp>603005</stp>
        <stp>2018-01-01</stp>
        <stp>2019-12-31</stp>
        <stp>3</stp>
        <tr r="F98" s="1"/>
      </tp>
      <tp>
        <v>11.54054054</v>
        <stp/>
        <stp>EM_S_PQ_PCTCHANGE</stp>
        <stp>4</stp>
        <stp>603214</stp>
        <stp>2018-12-31</stp>
        <stp>2019-12-30</stp>
        <stp>1</stp>
        <tr r="G1650" s="1"/>
      </tp>
      <tp>
        <v>29.149999170000001</v>
        <stp/>
        <stp>EM_S_PQ_PCTCHANGE</stp>
        <stp>4</stp>
        <stp>002065</stp>
        <stp>2018-01-01</stp>
        <stp>2019-12-31</stp>
        <stp>3</stp>
        <tr r="F619" s="1"/>
      </tp>
      <tp>
        <v>27.613412230000002</v>
        <stp/>
        <stp>EM_S_PQ_PCTCHANGE</stp>
        <stp>4</stp>
        <stp>002274</stp>
        <stp>2018-12-31</stp>
        <stp>2019-12-30</stp>
        <stp>1</stp>
        <tr r="G999" s="1"/>
      </tp>
      <tp>
        <v>229.97092352000001</v>
        <stp/>
        <stp>EM_S_PQ_PCTCHANGE</stp>
        <stp>4</stp>
        <stp>000066</stp>
        <stp>2019-01-01</stp>
        <stp>2019-12-31</stp>
        <stp>3</stp>
        <tr r="G34" s="1"/>
      </tp>
      <tp>
        <v>1.13032471</v>
        <stp/>
        <stp>EM_S_PQ_PCTCHANGE</stp>
        <stp>4</stp>
        <stp>601006</stp>
        <stp>2018-01-01</stp>
        <stp>2019-12-31</stp>
        <stp>3</stp>
        <tr r="F2343" s="1"/>
      </tp>
      <tp>
        <v>116.34940679</v>
        <stp/>
        <stp>EM_S_PQ_PCTCHANGE</stp>
        <stp>4</stp>
        <stp>000066</stp>
        <stp>2018-01-01</stp>
        <stp>2019-12-31</stp>
        <stp>3</stp>
        <tr r="F34" s="1"/>
      </tp>
      <tp>
        <v>-10.49798116</v>
        <stp/>
        <stp>EM_S_PQ_PCTCHANGE</stp>
        <stp>4</stp>
        <stp>300056</stp>
        <stp>2018-01-01</stp>
        <stp>2019-12-31</stp>
        <stp>3</stp>
        <tr r="F1201" s="1"/>
      </tp>
      <tp>
        <v>-16.909620990000001</v>
        <stp/>
        <stp>EM_S_PQ_PCTCHANGE</stp>
        <stp>4</stp>
        <stp>300247</stp>
        <stp>2018-12-31</stp>
        <stp>2019-12-30</stp>
        <stp>1</stp>
        <tr r="G2984" s="1"/>
      </tp>
      <tp>
        <v>-19.867904450000001</v>
        <stp/>
        <stp>EM_S_PQ_PCTCHANGE</stp>
        <stp>4</stp>
        <stp>600006</stp>
        <stp>2018-01-01</stp>
        <stp>2019-12-31</stp>
        <stp>3</stp>
        <tr r="F1054" s="1"/>
      </tp>
      <tp>
        <v>24.69437653</v>
        <stp/>
        <stp>EM_S_PQ_PCTCHANGE</stp>
        <stp>4</stp>
        <stp>600217</stp>
        <stp>2018-12-31</stp>
        <stp>2019-12-30</stp>
        <stp>1</stp>
        <tr r="G1105" s="1"/>
      </tp>
      <tp>
        <v>-27.868852459999999</v>
        <stp/>
        <stp>EM_S_PQ_PCTCHANGE</stp>
        <stp>4</stp>
        <stp>603006</stp>
        <stp>2018-01-01</stp>
        <stp>2019-12-31</stp>
        <stp>3</stp>
        <tr r="F1371" s="1"/>
      </tp>
      <tp>
        <v>-23.860329780000001</v>
        <stp/>
        <stp>EM_S_PQ_PCTCHANGE</stp>
        <stp>4</stp>
        <stp>002066</stp>
        <stp>2018-01-01</stp>
        <stp>2019-12-31</stp>
        <stp>3</stp>
        <tr r="F1696" s="1"/>
      </tp>
      <tp>
        <v>4.4303797500000002</v>
        <stp/>
        <stp>EM_S_PQ_PCTCHANGE</stp>
        <stp>4</stp>
        <stp>002277</stp>
        <stp>2018-12-31</stp>
        <stp>2019-12-30</stp>
        <stp>1</stp>
        <tr r="G2034" s="1"/>
      </tp>
      <tp>
        <v>-9.7735749900000002</v>
        <stp/>
        <stp>EM_S_PQ_PCTCHANGE</stp>
        <stp>4</stp>
        <stp>601007</stp>
        <stp>2018-01-01</stp>
        <stp>2019-12-31</stp>
        <stp>3</stp>
        <tr r="F1482" s="1"/>
      </tp>
      <tp>
        <v>19.08396947</v>
        <stp/>
        <stp>EM_S_PQ_PCTCHANGE</stp>
        <stp>4</stp>
        <stp>601216</stp>
        <stp>2018-12-31</stp>
        <stp>2019-12-30</stp>
        <stp>1</stp>
        <tr r="G1321" s="1"/>
      </tp>
      <tp>
        <v>-27.916387539999999</v>
        <stp/>
        <stp>EM_S_PQ_PCTCHANGE</stp>
        <stp>4</stp>
        <stp>300057</stp>
        <stp>2018-01-01</stp>
        <stp>2019-12-31</stp>
        <stp>3</stp>
        <tr r="F2435" s="1"/>
      </tp>
      <tp>
        <v>39.672429479999998</v>
        <stp/>
        <stp>EM_S_PQ_PCTCHANGE</stp>
        <stp>4</stp>
        <stp>300246</stp>
        <stp>2018-12-31</stp>
        <stp>2019-12-30</stp>
        <stp>1</stp>
        <tr r="G740" s="1"/>
      </tp>
      <tp>
        <v>6.78237603</v>
        <stp/>
        <stp>EM_S_PQ_PCTCHANGE</stp>
        <stp>4</stp>
        <stp>600007</stp>
        <stp>2018-01-01</stp>
        <stp>2019-12-31</stp>
        <stp>3</stp>
        <tr r="F722" s="1"/>
      </tp>
      <tp>
        <v>48.041474649999998</v>
        <stp/>
        <stp>EM_S_PQ_PCTCHANGE</stp>
        <stp>4</stp>
        <stp>600216</stp>
        <stp>2018-12-31</stp>
        <stp>2019-12-30</stp>
        <stp>1</stp>
        <tr r="G597" s="1"/>
      </tp>
      <tp>
        <v>-44.153203079999997</v>
        <stp/>
        <stp>EM_S_PQ_PCTCHANGE</stp>
        <stp>4</stp>
        <stp>603007</stp>
        <stp>2018-01-01</stp>
        <stp>2019-12-31</stp>
        <stp>3</stp>
        <tr r="F2914" s="1"/>
      </tp>
      <tp>
        <v>-42.308299499999997</v>
        <stp/>
        <stp>EM_S_PQ_PCTCHANGE</stp>
        <stp>4</stp>
        <stp>002067</stp>
        <stp>2018-01-01</stp>
        <stp>2019-12-31</stp>
        <stp>3</stp>
        <tr r="F2531" s="1"/>
      </tp>
      <tp>
        <v>65.873015870000003</v>
        <stp/>
        <stp>EM_S_PQ_PCTCHANGE</stp>
        <stp>4</stp>
        <stp>002276</stp>
        <stp>2018-12-31</stp>
        <stp>2019-12-30</stp>
        <stp>1</stp>
        <tr r="G361" s="1"/>
      </tp>
      <tp>
        <v>-87.264150939999993</v>
        <stp/>
        <stp>EM_S_PQ_PCTCHANGE</stp>
        <stp>4</stp>
        <stp>000018</stp>
        <stp>2019-01-01</stp>
        <stp>2019-12-31</stp>
        <stp>3</stp>
        <tr r="G3409" s="1"/>
      </tp>
      <tp>
        <v>-95.531854899999999</v>
        <stp/>
        <stp>EM_S_PQ_PCTCHANGE</stp>
        <stp>4</stp>
        <stp>000018</stp>
        <stp>2018-01-01</stp>
        <stp>2019-12-31</stp>
        <stp>3</stp>
        <tr r="F3409" s="1"/>
      </tp>
      <tp>
        <v>-84.752475250000003</v>
        <stp/>
        <stp>EM_S_PQ_PCTCHANGE</stp>
        <stp>4</stp>
        <stp>300028</stp>
        <stp>2018-01-01</stp>
        <stp>2019-12-31</stp>
        <stp>3</stp>
        <tr r="F2280" s="1"/>
      </tp>
      <tp>
        <v>28.10810811</v>
        <stp/>
        <stp>EM_S_PQ_PCTCHANGE</stp>
        <stp>4</stp>
        <stp>300239</stp>
        <stp>2018-12-31</stp>
        <stp>2019-12-30</stp>
        <stp>1</stp>
        <tr r="G984" s="1"/>
      </tp>
      <tp>
        <v>-1.2874436899999999</v>
        <stp/>
        <stp>EM_S_PQ_PCTCHANGE</stp>
        <stp>4</stp>
        <stp>600078</stp>
        <stp>2018-01-01</stp>
        <stp>2019-12-31</stp>
        <stp>3</stp>
        <tr r="F391" s="1"/>
      </tp>
      <tp>
        <v>5.6410256399999996</v>
        <stp/>
        <stp>EM_S_PQ_PCTCHANGE</stp>
        <stp>4</stp>
        <stp>600269</stp>
        <stp>2018-12-31</stp>
        <stp>2019-12-30</stp>
        <stp>1</stp>
        <tr r="G1972" s="1"/>
      </tp>
      <tp>
        <v>-15.776907899999999</v>
        <stp/>
        <stp>EM_S_PQ_PCTCHANGE</stp>
        <stp>4</stp>
        <stp>603078</stp>
        <stp>2018-01-01</stp>
        <stp>2019-12-31</stp>
        <stp>3</stp>
        <tr r="F1260" s="1"/>
      </tp>
      <tp>
        <v>-3.7011173199999998</v>
        <stp/>
        <stp>EM_S_PQ_PCTCHANGE</stp>
        <stp>4</stp>
        <stp>603269</stp>
        <stp>2018-12-31</stp>
        <stp>2019-12-30</stp>
        <stp>1</stp>
        <tr r="G2502" s="1"/>
      </tp>
      <tp>
        <v>-96.322489390000001</v>
        <stp/>
        <stp>EM_S_PQ_PCTCHANGE</stp>
        <stp>4</stp>
        <stp>002018</stp>
        <stp>2018-01-01</stp>
        <stp>2019-12-31</stp>
        <stp>3</stp>
        <tr r="F3608" s="1"/>
      </tp>
      <tp>
        <v>2.20588235</v>
        <stp/>
        <stp>EM_S_PQ_PCTCHANGE</stp>
        <stp>4</stp>
        <stp>002209</stp>
        <stp>2018-12-31</stp>
        <stp>2019-12-30</stp>
        <stp>1</stp>
        <tr r="G2160" s="1"/>
      </tp>
      <tp>
        <v>-13.66324309</v>
        <stp/>
        <stp>EM_S_PQ_PCTCHANGE</stp>
        <stp>4</stp>
        <stp>000019</stp>
        <stp>2019-01-01</stp>
        <stp>2019-12-31</stp>
        <stp>3</stp>
        <tr r="G2891" s="1"/>
      </tp>
      <tp>
        <v>0</v>
        <stp/>
        <stp>EM_S_PQ_PCTCHANGE</stp>
        <stp>4</stp>
        <stp>601268</stp>
        <stp>2018-12-31</stp>
        <stp>2019-12-30</stp>
        <stp>1</stp>
        <tr r="G2338" s="1"/>
      </tp>
      <tp>
        <v>-49.263831740000001</v>
        <stp/>
        <stp>EM_S_PQ_PCTCHANGE</stp>
        <stp>4</stp>
        <stp>000019</stp>
        <stp>2018-01-01</stp>
        <stp>2019-12-31</stp>
        <stp>3</stp>
        <tr r="F2891" s="1"/>
      </tp>
      <tp>
        <v>-22.352941179999998</v>
        <stp/>
        <stp>EM_S_PQ_PCTCHANGE</stp>
        <stp>4</stp>
        <stp>300029</stp>
        <stp>2018-01-01</stp>
        <stp>2019-12-31</stp>
        <stp>3</stp>
        <tr r="F944" s="1"/>
      </tp>
      <tp>
        <v>95.492662469999999</v>
        <stp/>
        <stp>EM_S_PQ_PCTCHANGE</stp>
        <stp>4</stp>
        <stp>300238</stp>
        <stp>2018-12-31</stp>
        <stp>2019-12-30</stp>
        <stp>1</stp>
        <tr r="G179" s="1"/>
      </tp>
      <tp>
        <v>-23.284607009999998</v>
        <stp/>
        <stp>EM_S_PQ_PCTCHANGE</stp>
        <stp>4</stp>
        <stp>600079</stp>
        <stp>2018-01-01</stp>
        <stp>2019-12-31</stp>
        <stp>3</stp>
        <tr r="F1010" s="1"/>
      </tp>
      <tp>
        <v>21.698113209999999</v>
        <stp/>
        <stp>EM_S_PQ_PCTCHANGE</stp>
        <stp>4</stp>
        <stp>600268</stp>
        <stp>2018-12-31</stp>
        <stp>2019-12-30</stp>
        <stp>1</stp>
        <tr r="G1195" s="1"/>
      </tp>
      <tp>
        <v>7.4483382699999998</v>
        <stp/>
        <stp>EM_S_PQ_PCTCHANGE</stp>
        <stp>4</stp>
        <stp>603079</stp>
        <stp>2018-01-01</stp>
        <stp>2019-12-31</stp>
        <stp>3</stp>
        <tr r="F90" s="1"/>
      </tp>
      <tp>
        <v>-4.2553191500000001</v>
        <stp/>
        <stp>EM_S_PQ_PCTCHANGE</stp>
        <stp>4</stp>
        <stp>603268</stp>
        <stp>2018-12-31</stp>
        <stp>2019-12-30</stp>
        <stp>1</stp>
        <tr r="G2529" s="1"/>
      </tp>
      <tp>
        <v>-24.122580989999999</v>
        <stp/>
        <stp>EM_S_PQ_PCTCHANGE</stp>
        <stp>4</stp>
        <stp>002019</stp>
        <stp>2018-01-01</stp>
        <stp>2019-12-31</stp>
        <stp>3</stp>
        <tr r="F581" s="1"/>
      </tp>
      <tp>
        <v>-32.89473684</v>
        <stp/>
        <stp>EM_S_PQ_PCTCHANGE</stp>
        <stp>4</stp>
        <stp>002208</stp>
        <stp>2018-12-31</stp>
        <stp>2019-12-30</stp>
        <stp>1</stp>
        <tr r="G3250" s="1"/>
      </tp>
      <tp>
        <v>4.2944785300000001</v>
        <stp/>
        <stp>EM_S_PQ_PCTCHANGE</stp>
        <stp>4</stp>
        <stp>000010</stp>
        <stp>2019-01-01</stp>
        <stp>2019-12-31</stp>
        <stp>3</stp>
        <tr r="G2039" s="1"/>
      </tp>
      <tp>
        <v>-37.269372689999997</v>
        <stp/>
        <stp>EM_S_PQ_PCTCHANGE</stp>
        <stp>4</stp>
        <stp>000010</stp>
        <stp>2018-01-01</stp>
        <stp>2019-12-31</stp>
        <stp>3</stp>
        <tr r="F2039" s="1"/>
      </tp>
      <tp>
        <v>-27.567957289999999</v>
        <stp/>
        <stp>EM_S_PQ_PCTCHANGE</stp>
        <stp>4</stp>
        <stp>300020</stp>
        <stp>2018-01-01</stp>
        <stp>2019-12-31</stp>
        <stp>3</stp>
        <tr r="F927" s="1"/>
      </tp>
      <tp>
        <v>29.38461538</v>
        <stp/>
        <stp>EM_S_PQ_PCTCHANGE</stp>
        <stp>4</stp>
        <stp>300231</stp>
        <stp>2018-12-31</stp>
        <stp>2019-12-30</stp>
        <stp>1</stp>
        <tr r="G943" s="1"/>
      </tp>
      <tp>
        <v>2.2682285200000001</v>
        <stp/>
        <stp>EM_S_PQ_PCTCHANGE</stp>
        <stp>4</stp>
        <stp>600070</stp>
        <stp>2018-01-01</stp>
        <stp>2019-12-31</stp>
        <stp>3</stp>
        <tr r="F667" s="1"/>
      </tp>
      <tp>
        <v>39.002932549999997</v>
        <stp/>
        <stp>EM_S_PQ_PCTCHANGE</stp>
        <stp>4</stp>
        <stp>600261</stp>
        <stp>2018-12-31</stp>
        <stp>2019-12-30</stp>
        <stp>1</stp>
        <tr r="G753" s="1"/>
      </tp>
      <tp>
        <v>-56.13157382</v>
        <stp/>
        <stp>EM_S_PQ_PCTCHANGE</stp>
        <stp>4</stp>
        <stp>002010</stp>
        <stp>2018-01-01</stp>
        <stp>2019-12-31</stp>
        <stp>3</stp>
        <tr r="F1950" s="1"/>
      </tp>
      <tp>
        <v>235.22906793000001</v>
        <stp/>
        <stp>EM_S_PQ_PCTCHANGE</stp>
        <stp>4</stp>
        <stp>002201</stp>
        <stp>2018-12-31</stp>
        <stp>2019-12-30</stp>
        <stp>1</stp>
        <tr r="G33" s="1"/>
      </tp>
      <tp>
        <v>5.4794926000000004</v>
        <stp/>
        <stp>EM_S_PQ_PCTCHANGE</stp>
        <stp>4</stp>
        <stp>000011</stp>
        <stp>2019-01-01</stp>
        <stp>2019-12-31</stp>
        <stp>3</stp>
        <tr r="G1983" s="1"/>
      </tp>
      <tp>
        <v>-40.725197119999997</v>
        <stp/>
        <stp>EM_S_PQ_PCTCHANGE</stp>
        <stp>4</stp>
        <stp>000011</stp>
        <stp>2018-01-01</stp>
        <stp>2019-12-31</stp>
        <stp>3</stp>
        <tr r="F1983" s="1"/>
      </tp>
      <tp>
        <v>-17.90615262</v>
        <stp/>
        <stp>EM_S_PQ_PCTCHANGE</stp>
        <stp>4</stp>
        <stp>300021</stp>
        <stp>2018-01-01</stp>
        <stp>2019-12-31</stp>
        <stp>3</stp>
        <tr r="F1058" s="1"/>
      </tp>
      <tp>
        <v>-15.98360656</v>
        <stp/>
        <stp>EM_S_PQ_PCTCHANGE</stp>
        <stp>4</stp>
        <stp>300230</stp>
        <stp>2018-12-31</stp>
        <stp>2019-12-30</stp>
        <stp>1</stp>
        <tr r="G2958" s="1"/>
      </tp>
      <tp>
        <v>-31.377245510000002</v>
        <stp/>
        <stp>EM_S_PQ_PCTCHANGE</stp>
        <stp>4</stp>
        <stp>600071</stp>
        <stp>2018-01-01</stp>
        <stp>2019-12-31</stp>
        <stp>3</stp>
        <tr r="F523" s="1"/>
      </tp>
      <tp>
        <v>-22.510312320000001</v>
        <stp/>
        <stp>EM_S_PQ_PCTCHANGE</stp>
        <stp>4</stp>
        <stp>600260</stp>
        <stp>2018-12-31</stp>
        <stp>2019-12-30</stp>
        <stp>1</stp>
        <tr r="G3108" s="1"/>
      </tp>
      <tp>
        <v>-32.602739730000003</v>
        <stp/>
        <stp>EM_S_PQ_PCTCHANGE</stp>
        <stp>4</stp>
        <stp>603260</stp>
        <stp>2018-12-31</stp>
        <stp>2019-12-30</stp>
        <stp>1</stp>
        <tr r="G3246" s="1"/>
      </tp>
      <tp>
        <v>-39.676616920000001</v>
        <stp/>
        <stp>EM_S_PQ_PCTCHANGE</stp>
        <stp>4</stp>
        <stp>002011</stp>
        <stp>2018-01-01</stp>
        <stp>2019-12-31</stp>
        <stp>3</stp>
        <tr r="F3606" s="1"/>
      </tp>
      <tp>
        <v>20.535714290000001</v>
        <stp/>
        <stp>EM_S_PQ_PCTCHANGE</stp>
        <stp>4</stp>
        <stp>002200</stp>
        <stp>2018-12-31</stp>
        <stp>2019-12-30</stp>
        <stp>1</stp>
        <tr r="G1257" s="1"/>
      </tp>
      <tp>
        <v>39.648644419999997</v>
        <stp/>
        <stp>EM_S_PQ_PCTCHANGE</stp>
        <stp>4</stp>
        <stp>000012</stp>
        <stp>2019-01-01</stp>
        <stp>2019-12-31</stp>
        <stp>3</stp>
        <tr r="G741" s="1"/>
      </tp>
      <tp>
        <v>-23.55676133</v>
        <stp/>
        <stp>EM_S_PQ_PCTCHANGE</stp>
        <stp>4</stp>
        <stp>000012</stp>
        <stp>2018-01-01</stp>
        <stp>2019-12-31</stp>
        <stp>3</stp>
        <tr r="F741" s="1"/>
      </tp>
      <tp>
        <v>-37.802907920000003</v>
        <stp/>
        <stp>EM_S_PQ_PCTCHANGE</stp>
        <stp>4</stp>
        <stp>300022</stp>
        <stp>2018-01-01</stp>
        <stp>2019-12-31</stp>
        <stp>3</stp>
        <tr r="F1917" s="1"/>
      </tp>
      <tp>
        <v>42.490842489999999</v>
        <stp/>
        <stp>EM_S_PQ_PCTCHANGE</stp>
        <stp>4</stp>
        <stp>300233</stp>
        <stp>2018-12-31</stp>
        <stp>2019-12-30</stp>
        <stp>1</stp>
        <tr r="G694" s="1"/>
      </tp>
      <tp>
        <v>2.84006158</v>
        <stp/>
        <stp>EM_S_PQ_PCTCHANGE</stp>
        <stp>4</stp>
        <stp>600072</stp>
        <stp>2018-01-01</stp>
        <stp>2019-12-31</stp>
        <stp>3</stp>
        <tr r="F198" s="1"/>
      </tp>
      <tp>
        <v>0</v>
        <stp/>
        <stp>EM_S_PQ_PCTCHANGE</stp>
        <stp>4</stp>
        <stp>600263</stp>
        <stp>2018-12-31</stp>
        <stp>2019-12-30</stp>
        <stp>1</stp>
        <tr r="G2297" s="1"/>
      </tp>
      <tp>
        <v>-44.649805450000002</v>
        <stp/>
        <stp>EM_S_PQ_PCTCHANGE</stp>
        <stp>4</stp>
        <stp>002012</stp>
        <stp>2018-01-01</stp>
        <stp>2019-12-31</stp>
        <stp>3</stp>
        <tr r="F608" s="1"/>
      </tp>
      <tp>
        <v>29.13486005</v>
        <stp/>
        <stp>EM_S_PQ_PCTCHANGE</stp>
        <stp>4</stp>
        <stp>002203</stp>
        <stp>2018-12-31</stp>
        <stp>2019-12-30</stp>
        <stp>1</stp>
        <tr r="G951" s="1"/>
      </tp>
      <tp>
        <v>0</v>
        <stp/>
        <stp>EM_S_PQ_PCTCHANGE</stp>
        <stp>4</stp>
        <stp>000013</stp>
        <stp>2019-01-01</stp>
        <stp>2019-12-31</stp>
        <stp>3</stp>
        <tr r="G2272" s="1"/>
      </tp>
      <tp>
        <v>0</v>
        <stp/>
        <stp>EM_S_PQ_PCTCHANGE</stp>
        <stp>4</stp>
        <stp>000013</stp>
        <stp>2018-01-01</stp>
        <stp>2019-12-31</stp>
        <stp>3</stp>
        <tr r="F2272" s="1"/>
      </tp>
      <tp>
        <v>-32.219127210000003</v>
        <stp/>
        <stp>EM_S_PQ_PCTCHANGE</stp>
        <stp>4</stp>
        <stp>300023</stp>
        <stp>2018-01-01</stp>
        <stp>2019-12-31</stp>
        <stp>3</stp>
        <tr r="F1352" s="1"/>
      </tp>
      <tp>
        <v>5.5555555600000002</v>
        <stp/>
        <stp>EM_S_PQ_PCTCHANGE</stp>
        <stp>4</stp>
        <stp>300232</stp>
        <stp>2018-12-31</stp>
        <stp>2019-12-30</stp>
        <stp>1</stp>
        <tr r="G1976" s="1"/>
      </tp>
      <tp>
        <v>-0.35696665999999999</v>
        <stp/>
        <stp>EM_S_PQ_PCTCHANGE</stp>
        <stp>4</stp>
        <stp>600073</stp>
        <stp>2018-01-01</stp>
        <stp>2019-12-31</stp>
        <stp>3</stp>
        <tr r="F1973" s="1"/>
      </tp>
      <tp>
        <v>4.6685879000000003</v>
        <stp/>
        <stp>EM_S_PQ_PCTCHANGE</stp>
        <stp>4</stp>
        <stp>600262</stp>
        <stp>2018-12-31</stp>
        <stp>2019-12-30</stp>
        <stp>1</stp>
        <tr r="G2020" s="1"/>
      </tp>
      <tp>
        <v>-2.9150992800000002</v>
        <stp/>
        <stp>EM_S_PQ_PCTCHANGE</stp>
        <stp>4</stp>
        <stp>002013</stp>
        <stp>2018-01-01</stp>
        <stp>2019-12-31</stp>
        <stp>3</stp>
        <tr r="F1925" s="1"/>
      </tp>
      <tp>
        <v>16.81681682</v>
        <stp/>
        <stp>EM_S_PQ_PCTCHANGE</stp>
        <stp>4</stp>
        <stp>002202</stp>
        <stp>2018-12-31</stp>
        <stp>2019-12-30</stp>
        <stp>1</stp>
        <tr r="G1408" s="1"/>
      </tp>
      <tp>
        <v>0.95762058000000005</v>
        <stp/>
        <stp>EM_S_PQ_PCTCHANGE</stp>
        <stp>4</stp>
        <stp>000014</stp>
        <stp>2019-01-01</stp>
        <stp>2019-12-31</stp>
        <stp>3</stp>
        <tr r="G2219" s="1"/>
      </tp>
      <tp>
        <v>-12.937527100000001</v>
        <stp/>
        <stp>EM_S_PQ_PCTCHANGE</stp>
        <stp>4</stp>
        <stp>000014</stp>
        <stp>2018-01-01</stp>
        <stp>2019-12-31</stp>
        <stp>3</stp>
        <tr r="F2219" s="1"/>
      </tp>
      <tp>
        <v>-25.404416340000001</v>
        <stp/>
        <stp>EM_S_PQ_PCTCHANGE</stp>
        <stp>4</stp>
        <stp>300024</stp>
        <stp>2018-01-01</stp>
        <stp>2019-12-31</stp>
        <stp>3</stp>
        <tr r="F1953" s="1"/>
      </tp>
      <tp>
        <v>59.877300609999999</v>
        <stp/>
        <stp>EM_S_PQ_PCTCHANGE</stp>
        <stp>4</stp>
        <stp>300235</stp>
        <stp>2018-12-31</stp>
        <stp>2019-12-30</stp>
        <stp>1</stp>
        <tr r="G431" s="1"/>
      </tp>
      <tp>
        <v>-89.463019250000002</v>
        <stp/>
        <stp>EM_S_PQ_PCTCHANGE</stp>
        <stp>4</stp>
        <stp>600074</stp>
        <stp>2018-01-01</stp>
        <stp>2019-12-31</stp>
        <stp>3</stp>
        <tr r="F2876" s="1"/>
      </tp>
      <tp>
        <v>-9.7181008900000005</v>
        <stp/>
        <stp>EM_S_PQ_PCTCHANGE</stp>
        <stp>4</stp>
        <stp>600265</stp>
        <stp>2018-12-31</stp>
        <stp>2019-12-30</stp>
        <stp>1</stp>
        <tr r="G2743" s="1"/>
      </tp>
      <tp>
        <v>32.12239537</v>
        <stp/>
        <stp>EM_S_PQ_PCTCHANGE</stp>
        <stp>4</stp>
        <stp>002014</stp>
        <stp>2018-01-01</stp>
        <stp>2019-12-31</stp>
        <stp>3</stp>
        <tr r="F643" s="1"/>
      </tp>
      <tp>
        <v>23.84615385</v>
        <stp/>
        <stp>EM_S_PQ_PCTCHANGE</stp>
        <stp>4</stp>
        <stp>002205</stp>
        <stp>2018-12-31</stp>
        <stp>2019-12-30</stp>
        <stp>1</stp>
        <tr r="G1137" s="1"/>
      </tp>
      <tp>
        <v>0</v>
        <stp/>
        <stp>EM_S_PQ_PCTCHANGE</stp>
        <stp>4</stp>
        <stp>000015</stp>
        <stp>2019-01-01</stp>
        <stp>2019-12-31</stp>
        <stp>3</stp>
        <tr r="G2273" s="1"/>
      </tp>
      <tp>
        <v>0</v>
        <stp/>
        <stp>EM_S_PQ_PCTCHANGE</stp>
        <stp>4</stp>
        <stp>000015</stp>
        <stp>2018-01-01</stp>
        <stp>2019-12-31</stp>
        <stp>3</stp>
        <tr r="F2273" s="1"/>
      </tp>
      <tp>
        <v>-16.0130719</v>
        <stp/>
        <stp>EM_S_PQ_PCTCHANGE</stp>
        <stp>4</stp>
        <stp>300025</stp>
        <stp>2018-01-01</stp>
        <stp>2019-12-31</stp>
        <stp>3</stp>
        <tr r="F1834" s="1"/>
      </tp>
      <tp>
        <v>98.412698410000004</v>
        <stp/>
        <stp>EM_S_PQ_PCTCHANGE</stp>
        <stp>4</stp>
        <stp>300234</stp>
        <stp>2018-12-31</stp>
        <stp>2019-12-30</stp>
        <stp>1</stp>
        <tr r="G173" s="1"/>
      </tp>
      <tp>
        <v>-33.136555970000003</v>
        <stp/>
        <stp>EM_S_PQ_PCTCHANGE</stp>
        <stp>4</stp>
        <stp>600075</stp>
        <stp>2018-01-01</stp>
        <stp>2019-12-31</stp>
        <stp>3</stp>
        <tr r="F1714" s="1"/>
      </tp>
      <tp>
        <v>-37.336504159999997</v>
        <stp/>
        <stp>EM_S_PQ_PCTCHANGE</stp>
        <stp>4</stp>
        <stp>002015</stp>
        <stp>2018-01-01</stp>
        <stp>2019-12-31</stp>
        <stp>3</stp>
        <tr r="F1673" s="1"/>
      </tp>
      <tp>
        <v>8.7837837800000003</v>
        <stp/>
        <stp>EM_S_PQ_PCTCHANGE</stp>
        <stp>4</stp>
        <stp>002204</stp>
        <stp>2018-12-31</stp>
        <stp>2019-12-30</stp>
        <stp>1</stp>
        <tr r="G1806" s="1"/>
      </tp>
      <tp>
        <v>38.134431339999999</v>
        <stp/>
        <stp>EM_S_PQ_PCTCHANGE</stp>
        <stp>4</stp>
        <stp>000016</stp>
        <stp>2019-01-01</stp>
        <stp>2019-12-31</stp>
        <stp>3</stp>
        <tr r="G767" s="1"/>
      </tp>
      <tp>
        <v>-23.920590700000002</v>
        <stp/>
        <stp>EM_S_PQ_PCTCHANGE</stp>
        <stp>4</stp>
        <stp>000016</stp>
        <stp>2018-01-01</stp>
        <stp>2019-12-31</stp>
        <stp>3</stp>
        <tr r="F767" s="1"/>
      </tp>
      <tp>
        <v>-16.72934085</v>
        <stp/>
        <stp>EM_S_PQ_PCTCHANGE</stp>
        <stp>4</stp>
        <stp>300026</stp>
        <stp>2018-01-01</stp>
        <stp>2019-12-31</stp>
        <stp>3</stp>
        <tr r="F1577" s="1"/>
      </tp>
      <tp>
        <v>-28.650137740000002</v>
        <stp/>
        <stp>EM_S_PQ_PCTCHANGE</stp>
        <stp>4</stp>
        <stp>300237</stp>
        <stp>2018-12-31</stp>
        <stp>2019-12-30</stp>
        <stp>1</stp>
        <tr r="G3205" s="1"/>
      </tp>
      <tp>
        <v>-38.813333319999998</v>
        <stp/>
        <stp>EM_S_PQ_PCTCHANGE</stp>
        <stp>4</stp>
        <stp>600076</stp>
        <stp>2018-01-01</stp>
        <stp>2019-12-31</stp>
        <stp>3</stp>
        <tr r="F2007" s="1"/>
      </tp>
      <tp>
        <v>14.302741360000001</v>
        <stp/>
        <stp>EM_S_PQ_PCTCHANGE</stp>
        <stp>4</stp>
        <stp>600267</stp>
        <stp>2018-12-31</stp>
        <stp>2019-12-30</stp>
        <stp>1</stp>
        <tr r="G1513" s="1"/>
      </tp>
      <tp>
        <v>-35.993689709999998</v>
        <stp/>
        <stp>EM_S_PQ_PCTCHANGE</stp>
        <stp>4</stp>
        <stp>603076</stp>
        <stp>2018-01-01</stp>
        <stp>2019-12-31</stp>
        <stp>3</stp>
        <tr r="F2382" s="1"/>
      </tp>
      <tp>
        <v>-11.38421232</v>
        <stp/>
        <stp>EM_S_PQ_PCTCHANGE</stp>
        <stp>4</stp>
        <stp>002016</stp>
        <stp>2018-01-01</stp>
        <stp>2019-12-31</stp>
        <stp>3</stp>
        <tr r="F2526" s="1"/>
      </tp>
      <tp>
        <v>28.635346760000001</v>
        <stp/>
        <stp>EM_S_PQ_PCTCHANGE</stp>
        <stp>4</stp>
        <stp>002207</stp>
        <stp>2018-12-31</stp>
        <stp>2019-12-30</stp>
        <stp>1</stp>
        <tr r="G968" s="1"/>
      </tp>
      <tp>
        <v>3.6697247700000002</v>
        <stp/>
        <stp>EM_S_PQ_PCTCHANGE</stp>
        <stp>4</stp>
        <stp>000017</stp>
        <stp>2019-01-01</stp>
        <stp>2019-12-31</stp>
        <stp>3</stp>
        <tr r="G2076" s="1"/>
      </tp>
      <tp>
        <v>-27.096774190000001</v>
        <stp/>
        <stp>EM_S_PQ_PCTCHANGE</stp>
        <stp>4</stp>
        <stp>000017</stp>
        <stp>2018-01-01</stp>
        <stp>2019-12-31</stp>
        <stp>3</stp>
        <tr r="F2076" s="1"/>
      </tp>
      <tp>
        <v>-46.784505350000003</v>
        <stp/>
        <stp>EM_S_PQ_PCTCHANGE</stp>
        <stp>4</stp>
        <stp>300027</stp>
        <stp>2018-01-01</stp>
        <stp>2019-12-31</stp>
        <stp>3</stp>
        <tr r="F2241" s="1"/>
      </tp>
      <tp>
        <v>12.333736399999999</v>
        <stp/>
        <stp>EM_S_PQ_PCTCHANGE</stp>
        <stp>4</stp>
        <stp>300236</stp>
        <stp>2018-12-31</stp>
        <stp>2019-12-30</stp>
        <stp>1</stp>
        <tr r="G1622" s="1"/>
      </tp>
      <tp>
        <v>-14.875444549999999</v>
        <stp/>
        <stp>EM_S_PQ_PCTCHANGE</stp>
        <stp>4</stp>
        <stp>600077</stp>
        <stp>2018-01-01</stp>
        <stp>2019-12-31</stp>
        <stp>3</stp>
        <tr r="F1551" s="1"/>
      </tp>
      <tp>
        <v>2.6515151499999998</v>
        <stp/>
        <stp>EM_S_PQ_PCTCHANGE</stp>
        <stp>4</stp>
        <stp>600266</stp>
        <stp>2018-12-31</stp>
        <stp>2019-12-30</stp>
        <stp>1</stp>
        <tr r="G2129" s="1"/>
      </tp>
      <tp>
        <v>-25.144508779999999</v>
        <stp/>
        <stp>EM_S_PQ_PCTCHANGE</stp>
        <stp>4</stp>
        <stp>603077</stp>
        <stp>2018-01-01</stp>
        <stp>2019-12-31</stp>
        <stp>3</stp>
        <tr r="F2778" s="1"/>
      </tp>
      <tp>
        <v>-15.568428669999999</v>
        <stp/>
        <stp>EM_S_PQ_PCTCHANGE</stp>
        <stp>4</stp>
        <stp>603266</stp>
        <stp>2018-12-31</stp>
        <stp>2019-12-30</stp>
        <stp>1</stp>
        <tr r="G2948" s="1"/>
      </tp>
      <tp>
        <v>104.3092468</v>
        <stp/>
        <stp>EM_S_PQ_PCTCHANGE</stp>
        <stp>4</stp>
        <stp>002017</stp>
        <stp>2018-01-01</stp>
        <stp>2019-12-31</stp>
        <stp>3</stp>
        <tr r="F3607" s="1"/>
      </tp>
      <tp>
        <v>-3.41207349</v>
        <stp/>
        <stp>EM_S_PQ_PCTCHANGE</stp>
        <stp>4</stp>
        <stp>002206</stp>
        <stp>2018-12-31</stp>
        <stp>2019-12-30</stp>
        <stp>1</stp>
        <tr r="G2495" s="1"/>
      </tp>
      <tp>
        <v>-6.4401589000000001</v>
        <stp/>
        <stp>EM_S_PQ_PCTCHANGE</stp>
        <stp>4</stp>
        <stp>000008</stp>
        <stp>2019-01-01</stp>
        <stp>2019-12-31</stp>
        <stp>3</stp>
        <tr r="G2627" s="1"/>
      </tp>
      <tp>
        <v>-57.986673109999998</v>
        <stp/>
        <stp>EM_S_PQ_PCTCHANGE</stp>
        <stp>4</stp>
        <stp>000008</stp>
        <stp>2018-01-01</stp>
        <stp>2019-12-31</stp>
        <stp>3</stp>
        <tr r="F2627" s="1"/>
      </tp>
      <tp>
        <v>-49.79675134</v>
        <stp/>
        <stp>EM_S_PQ_PCTCHANGE</stp>
        <stp>4</stp>
        <stp>300038</stp>
        <stp>2018-01-01</stp>
        <stp>2019-12-31</stp>
        <stp>3</stp>
        <tr r="F2648" s="1"/>
      </tp>
      <tp>
        <v>52.37543453</v>
        <stp/>
        <stp>EM_S_PQ_PCTCHANGE</stp>
        <stp>4</stp>
        <stp>300229</stp>
        <stp>2018-12-31</stp>
        <stp>2019-12-30</stp>
        <stp>1</stp>
        <tr r="G529" s="1"/>
      </tp>
      <tp>
        <v>-12.83709636</v>
        <stp/>
        <stp>EM_S_PQ_PCTCHANGE</stp>
        <stp>4</stp>
        <stp>600068</stp>
        <stp>2018-01-01</stp>
        <stp>2019-12-31</stp>
        <stp>3</stp>
        <tr r="F2190" s="1"/>
      </tp>
      <tp>
        <v>11.50895141</v>
        <stp/>
        <stp>EM_S_PQ_PCTCHANGE</stp>
        <stp>4</stp>
        <stp>600279</stp>
        <stp>2018-12-31</stp>
        <stp>2019-12-30</stp>
        <stp>1</stp>
        <tr r="G1653" s="1"/>
      </tp>
      <tp>
        <v>-18.229183259999999</v>
        <stp/>
        <stp>EM_S_PQ_PCTCHANGE</stp>
        <stp>4</stp>
        <stp>002008</stp>
        <stp>2018-01-01</stp>
        <stp>2019-12-31</stp>
        <stp>3</stp>
        <tr r="F3605" s="1"/>
      </tp>
      <tp>
        <v>-31.686046510000001</v>
        <stp/>
        <stp>EM_S_PQ_PCTCHANGE</stp>
        <stp>4</stp>
        <stp>002219</stp>
        <stp>2018-12-31</stp>
        <stp>2019-12-30</stp>
        <stp>1</stp>
        <tr r="G3232" s="1"/>
      </tp>
      <tp>
        <v>72.77765789</v>
        <stp/>
        <stp>EM_S_PQ_PCTCHANGE</stp>
        <stp>4</stp>
        <stp>000009</stp>
        <stp>2019-01-01</stp>
        <stp>2019-12-31</stp>
        <stp>3</stp>
        <tr r="G295" s="1"/>
      </tp>
      <tp>
        <v>-4.7381000899999997</v>
        <stp/>
        <stp>EM_S_PQ_PCTCHANGE</stp>
        <stp>4</stp>
        <stp>601069</stp>
        <stp>2018-01-01</stp>
        <stp>2019-12-31</stp>
        <stp>3</stp>
        <tr r="F2244" s="1"/>
      </tp>
      <tp>
        <v>3.39901901</v>
        <stp/>
        <stp>EM_S_PQ_PCTCHANGE</stp>
        <stp>4</stp>
        <stp>000009</stp>
        <stp>2018-01-01</stp>
        <stp>2019-12-31</stp>
        <stp>3</stp>
        <tr r="F295" s="1"/>
      </tp>
      <tp>
        <v>-18.298320870000001</v>
        <stp/>
        <stp>EM_S_PQ_PCTCHANGE</stp>
        <stp>4</stp>
        <stp>300039</stp>
        <stp>2018-01-01</stp>
        <stp>2019-12-31</stp>
        <stp>3</stp>
        <tr r="F1356" s="1"/>
      </tp>
      <tp>
        <v>5.3719008300000004</v>
        <stp/>
        <stp>EM_S_PQ_PCTCHANGE</stp>
        <stp>4</stp>
        <stp>300228</stp>
        <stp>2018-12-31</stp>
        <stp>2019-12-30</stp>
        <stp>1</stp>
        <tr r="G1991" s="1"/>
      </tp>
      <tp>
        <v>-59.094993690000003</v>
        <stp/>
        <stp>EM_S_PQ_PCTCHANGE</stp>
        <stp>4</stp>
        <stp>600069</stp>
        <stp>2018-01-01</stp>
        <stp>2019-12-31</stp>
        <stp>3</stp>
        <tr r="F2650" s="1"/>
      </tp>
      <tp>
        <v>30.184049080000001</v>
        <stp/>
        <stp>EM_S_PQ_PCTCHANGE</stp>
        <stp>4</stp>
        <stp>600278</stp>
        <stp>2018-12-31</stp>
        <stp>2019-12-30</stp>
        <stp>1</stp>
        <tr r="G923" s="1"/>
      </tp>
      <tp>
        <v>-17.896982869999999</v>
        <stp/>
        <stp>EM_S_PQ_PCTCHANGE</stp>
        <stp>4</stp>
        <stp>603069</stp>
        <stp>2018-01-01</stp>
        <stp>2019-12-31</stp>
        <stp>3</stp>
        <tr r="F464" s="1"/>
      </tp>
      <tp>
        <v>-33.243243239999998</v>
        <stp/>
        <stp>EM_S_PQ_PCTCHANGE</stp>
        <stp>4</stp>
        <stp>603278</stp>
        <stp>2018-12-31</stp>
        <stp>2019-12-30</stp>
        <stp>1</stp>
        <tr r="G3255" s="1"/>
      </tp>
      <tp>
        <v>-54.166933190000002</v>
        <stp/>
        <stp>EM_S_PQ_PCTCHANGE</stp>
        <stp>4</stp>
        <stp>002009</stp>
        <stp>2018-01-01</stp>
        <stp>2019-12-31</stp>
        <stp>3</stp>
        <tr r="F2192" s="1"/>
      </tp>
      <tp>
        <v>9.8181818199999995</v>
        <stp/>
        <stp>EM_S_PQ_PCTCHANGE</stp>
        <stp>4</stp>
        <stp>002218</stp>
        <stp>2018-12-31</stp>
        <stp>2019-12-30</stp>
        <stp>1</stp>
        <tr r="G1748" s="1"/>
      </tp>
      <tp>
        <v>-16.175869760000001</v>
        <stp/>
        <stp>EM_S_PQ_PCTCHANGE</stp>
        <stp>4</stp>
        <stp>300030</stp>
        <stp>2018-01-01</stp>
        <stp>2019-12-31</stp>
        <stp>3</stp>
        <tr r="F663" s="1"/>
      </tp>
      <tp>
        <v>10.09708738</v>
        <stp/>
        <stp>EM_S_PQ_PCTCHANGE</stp>
        <stp>4</stp>
        <stp>300221</stp>
        <stp>2018-12-31</stp>
        <stp>2019-12-30</stp>
        <stp>1</stp>
        <tr r="G1732" s="1"/>
      </tp>
      <tp>
        <v>-25.78891591</v>
        <stp/>
        <stp>EM_S_PQ_PCTCHANGE</stp>
        <stp>4</stp>
        <stp>600060</stp>
        <stp>2018-01-01</stp>
        <stp>2019-12-31</stp>
        <stp>3</stp>
        <tr r="F1112" s="1"/>
      </tp>
      <tp>
        <v>-0.30581039999999998</v>
        <stp/>
        <stp>EM_S_PQ_PCTCHANGE</stp>
        <stp>4</stp>
        <stp>600271</stp>
        <stp>2018-12-31</stp>
        <stp>2019-12-30</stp>
        <stp>1</stp>
        <tr r="G2348" s="1"/>
      </tp>
      <tp>
        <v>59.260537999999997</v>
        <stp/>
        <stp>EM_S_PQ_PCTCHANGE</stp>
        <stp>4</stp>
        <stp>603060</stp>
        <stp>2018-01-01</stp>
        <stp>2019-12-31</stp>
        <stp>3</stp>
        <tr r="F1134" s="1"/>
      </tp>
      <tp>
        <v>35.106382979999999</v>
        <stp/>
        <stp>EM_S_PQ_PCTCHANGE</stp>
        <stp>4</stp>
        <stp>002211</stp>
        <stp>2018-12-31</stp>
        <stp>2019-12-30</stp>
        <stp>1</stp>
        <tr r="G822" s="1"/>
      </tp>
      <tp>
        <v>77.220555840000003</v>
        <stp/>
        <stp>EM_S_PQ_PCTCHANGE</stp>
        <stp>4</stp>
        <stp>000001</stp>
        <stp>2019-01-01</stp>
        <stp>2019-12-31</stp>
        <stp>3</stp>
        <tr r="G265" s="1"/>
      </tp>
      <tp>
        <v>27.012383320000001</v>
        <stp/>
        <stp>EM_S_PQ_PCTCHANGE</stp>
        <stp>4</stp>
        <stp>000001</stp>
        <stp>2018-01-01</stp>
        <stp>2019-12-31</stp>
        <stp>3</stp>
        <tr r="F265" s="1"/>
      </tp>
      <tp>
        <v>1.8714269800000001</v>
        <stp/>
        <stp>EM_S_PQ_PCTCHANGE</stp>
        <stp>4</stp>
        <stp>300031</stp>
        <stp>2018-01-01</stp>
        <stp>2019-12-31</stp>
        <stp>3</stp>
        <tr r="F1669" s="1"/>
      </tp>
      <tp>
        <v>16.28790575</v>
        <stp/>
        <stp>EM_S_PQ_PCTCHANGE</stp>
        <stp>4</stp>
        <stp>600061</stp>
        <stp>2018-01-01</stp>
        <stp>2019-12-31</stp>
        <stp>3</stp>
        <tr r="F518" s="1"/>
      </tp>
      <tp>
        <v>0</v>
        <stp/>
        <stp>EM_S_PQ_PCTCHANGE</stp>
        <stp>4</stp>
        <stp>600270</stp>
        <stp>2018-12-31</stp>
        <stp>2019-12-30</stp>
        <stp>1</stp>
        <tr r="G2298" s="1"/>
      </tp>
      <tp>
        <v>9.6869704700000003</v>
        <stp/>
        <stp>EM_S_PQ_PCTCHANGE</stp>
        <stp>4</stp>
        <stp>002001</stp>
        <stp>2018-01-01</stp>
        <stp>2019-12-31</stp>
        <stp>3</stp>
        <tr r="F565" s="1"/>
      </tp>
      <tp>
        <v>-65.667574930000001</v>
        <stp/>
        <stp>EM_S_PQ_PCTCHANGE</stp>
        <stp>4</stp>
        <stp>002210</stp>
        <stp>2018-12-31</stp>
        <stp>2019-12-30</stp>
        <stp>1</stp>
        <tr r="G3397" s="1"/>
      </tp>
      <tp>
        <v>40.535643890000003</v>
        <stp/>
        <stp>EM_S_PQ_PCTCHANGE</stp>
        <stp>4</stp>
        <stp>000002</stp>
        <stp>2019-01-01</stp>
        <stp>2019-12-31</stp>
        <stp>3</stp>
        <tr r="G725" s="1"/>
      </tp>
      <tp>
        <v>11.99087817</v>
        <stp/>
        <stp>EM_S_PQ_PCTCHANGE</stp>
        <stp>4</stp>
        <stp>000002</stp>
        <stp>2018-01-01</stp>
        <stp>2019-12-31</stp>
        <stp>3</stp>
        <tr r="F725" s="1"/>
      </tp>
      <tp>
        <v>-73.146148310000001</v>
        <stp/>
        <stp>EM_S_PQ_PCTCHANGE</stp>
        <stp>4</stp>
        <stp>300032</stp>
        <stp>2018-01-01</stp>
        <stp>2019-12-31</stp>
        <stp>3</stp>
        <tr r="F987" s="1"/>
      </tp>
      <tp>
        <v>-35.071978799999997</v>
        <stp/>
        <stp>EM_S_PQ_PCTCHANGE</stp>
        <stp>4</stp>
        <stp>600062</stp>
        <stp>2018-01-01</stp>
        <stp>2019-12-31</stp>
        <stp>3</stp>
        <tr r="F1938" s="1"/>
      </tp>
      <tp>
        <v>24.471635150000001</v>
        <stp/>
        <stp>EM_S_PQ_PCTCHANGE</stp>
        <stp>4</stp>
        <stp>600273</stp>
        <stp>2018-12-31</stp>
        <stp>2019-12-30</stp>
        <stp>1</stp>
        <tr r="G1116" s="1"/>
      </tp>
      <tp>
        <v>-37.338589290000002</v>
        <stp/>
        <stp>EM_S_PQ_PCTCHANGE</stp>
        <stp>4</stp>
        <stp>002002</stp>
        <stp>2018-01-01</stp>
        <stp>2019-12-31</stp>
        <stp>3</stp>
        <tr r="F3603" s="1"/>
      </tp>
      <tp>
        <v>30.182599360000001</v>
        <stp/>
        <stp>EM_S_PQ_PCTCHANGE</stp>
        <stp>4</stp>
        <stp>002213</stp>
        <stp>2018-12-31</stp>
        <stp>2019-12-30</stp>
        <stp>1</stp>
        <tr r="G924" s="1"/>
      </tp>
      <tp>
        <v>0</v>
        <stp/>
        <stp>EM_S_PQ_PCTCHANGE</stp>
        <stp>4</stp>
        <stp>000003</stp>
        <stp>2019-01-01</stp>
        <stp>2019-12-31</stp>
        <stp>3</stp>
        <tr r="G2271" s="1"/>
      </tp>
      <tp>
        <v>0</v>
        <stp/>
        <stp>EM_S_PQ_PCTCHANGE</stp>
        <stp>4</stp>
        <stp>000003</stp>
        <stp>2018-01-01</stp>
        <stp>2019-12-31</stp>
        <stp>3</stp>
        <tr r="F2271" s="1"/>
      </tp>
      <tp>
        <v>123.39006571</v>
        <stp/>
        <stp>EM_S_PQ_PCTCHANGE</stp>
        <stp>4</stp>
        <stp>300033</stp>
        <stp>2018-01-01</stp>
        <stp>2019-12-31</stp>
        <stp>3</stp>
        <tr r="F49" s="1"/>
      </tp>
      <tp>
        <v>-39.806451610000003</v>
        <stp/>
        <stp>EM_S_PQ_PCTCHANGE</stp>
        <stp>4</stp>
        <stp>300222</stp>
        <stp>2018-12-31</stp>
        <stp>2019-12-30</stp>
        <stp>1</stp>
        <tr r="G3309" s="1"/>
      </tp>
      <tp>
        <v>5.9286859400000003</v>
        <stp/>
        <stp>EM_S_PQ_PCTCHANGE</stp>
        <stp>4</stp>
        <stp>600063</stp>
        <stp>2018-01-01</stp>
        <stp>2019-12-31</stp>
        <stp>3</stp>
        <tr r="F327" s="1"/>
      </tp>
      <tp>
        <v>6.6197183099999997</v>
        <stp/>
        <stp>EM_S_PQ_PCTCHANGE</stp>
        <stp>4</stp>
        <stp>600272</stp>
        <stp>2018-12-31</stp>
        <stp>2019-12-30</stp>
        <stp>1</stp>
        <tr r="G1919" s="1"/>
      </tp>
      <tp>
        <v>-47.63227156</v>
        <stp/>
        <stp>EM_S_PQ_PCTCHANGE</stp>
        <stp>4</stp>
        <stp>603063</stp>
        <stp>2018-01-01</stp>
        <stp>2019-12-31</stp>
        <stp>3</stp>
        <tr r="F636" s="1"/>
      </tp>
      <tp>
        <v>-24.019043589999999</v>
        <stp/>
        <stp>EM_S_PQ_PCTCHANGE</stp>
        <stp>4</stp>
        <stp>002003</stp>
        <stp>2018-01-01</stp>
        <stp>2019-12-31</stp>
        <stp>3</stp>
        <tr r="F2851" s="1"/>
      </tp>
      <tp>
        <v>71.133093529999996</v>
        <stp/>
        <stp>EM_S_PQ_PCTCHANGE</stp>
        <stp>4</stp>
        <stp>002212</stp>
        <stp>2018-12-31</stp>
        <stp>2019-12-30</stp>
        <stp>1</stp>
        <tr r="G305" s="1"/>
      </tp>
      <tp>
        <v>40.923268870000001</v>
        <stp/>
        <stp>EM_S_PQ_PCTCHANGE</stp>
        <stp>4</stp>
        <stp>000004</stp>
        <stp>2019-01-01</stp>
        <stp>2019-12-31</stp>
        <stp>3</stp>
        <tr r="G715" s="1"/>
      </tp>
      <tp>
        <v>0.9383378</v>
        <stp/>
        <stp>EM_S_PQ_PCTCHANGE</stp>
        <stp>4</stp>
        <stp>000004</stp>
        <stp>2018-01-01</stp>
        <stp>2019-12-31</stp>
        <stp>3</stp>
        <tr r="F715" s="1"/>
      </tp>
      <tp>
        <v>31.55322129</v>
        <stp/>
        <stp>EM_S_PQ_PCTCHANGE</stp>
        <stp>4</stp>
        <stp>300034</stp>
        <stp>2018-01-01</stp>
        <stp>2019-12-31</stp>
        <stp>3</stp>
        <tr r="F226" s="1"/>
      </tp>
      <tp>
        <v>29.555555559999998</v>
        <stp/>
        <stp>EM_S_PQ_PCTCHANGE</stp>
        <stp>4</stp>
        <stp>300225</stp>
        <stp>2018-12-31</stp>
        <stp>2019-12-30</stp>
        <stp>1</stp>
        <tr r="G940" s="1"/>
      </tp>
      <tp>
        <v>13.28167414</v>
        <stp/>
        <stp>EM_S_PQ_PCTCHANGE</stp>
        <stp>4</stp>
        <stp>600064</stp>
        <stp>2018-01-01</stp>
        <stp>2019-12-31</stp>
        <stp>3</stp>
        <tr r="F1144" s="1"/>
      </tp>
      <tp>
        <v>-21.014492749999999</v>
        <stp/>
        <stp>EM_S_PQ_PCTCHANGE</stp>
        <stp>4</stp>
        <stp>600275</stp>
        <stp>2018-12-31</stp>
        <stp>2019-12-30</stp>
        <stp>1</stp>
        <tr r="G3082" s="1"/>
      </tp>
      <tp>
        <v>-20.546698259999999</v>
        <stp/>
        <stp>EM_S_PQ_PCTCHANGE</stp>
        <stp>4</stp>
        <stp>002004</stp>
        <stp>2018-01-01</stp>
        <stp>2019-12-31</stp>
        <stp>3</stp>
        <tr r="F1958" s="1"/>
      </tp>
      <tp>
        <v>-2.2189349100000002</v>
        <stp/>
        <stp>EM_S_PQ_PCTCHANGE</stp>
        <stp>4</stp>
        <stp>002215</stp>
        <stp>2018-12-31</stp>
        <stp>2019-12-30</stp>
        <stp>1</stp>
        <tr r="G2430" s="1"/>
      </tp>
      <tp>
        <v>15.29850746</v>
        <stp/>
        <stp>EM_S_PQ_PCTCHANGE</stp>
        <stp>4</stp>
        <stp>000005</stp>
        <stp>2019-01-01</stp>
        <stp>2019-12-31</stp>
        <stp>3</stp>
        <tr r="G1466" s="1"/>
      </tp>
      <tp>
        <v>-25.36231884</v>
        <stp/>
        <stp>EM_S_PQ_PCTCHANGE</stp>
        <stp>4</stp>
        <stp>000005</stp>
        <stp>2018-01-01</stp>
        <stp>2019-12-31</stp>
        <stp>3</stp>
        <tr r="F1466" s="1"/>
      </tp>
      <tp>
        <v>6.0033830200000002</v>
        <stp/>
        <stp>EM_S_PQ_PCTCHANGE</stp>
        <stp>4</stp>
        <stp>300035</stp>
        <stp>2018-01-01</stp>
        <stp>2019-12-31</stp>
        <stp>3</stp>
        <tr r="F263" s="1"/>
      </tp>
      <tp>
        <v>64.685908319999996</v>
        <stp/>
        <stp>EM_S_PQ_PCTCHANGE</stp>
        <stp>4</stp>
        <stp>300224</stp>
        <stp>2018-12-31</stp>
        <stp>2019-12-30</stp>
        <stp>1</stp>
        <tr r="G372" s="1"/>
      </tp>
      <tp>
        <v>0</v>
        <stp/>
        <stp>EM_S_PQ_PCTCHANGE</stp>
        <stp>4</stp>
        <stp>600065</stp>
        <stp>2018-01-01</stp>
        <stp>2019-12-31</stp>
        <stp>3</stp>
        <tr r="F2289" s="1"/>
      </tp>
      <tp>
        <v>-55.50458716</v>
        <stp/>
        <stp>EM_S_PQ_PCTCHANGE</stp>
        <stp>4</stp>
        <stp>002005</stp>
        <stp>2018-01-01</stp>
        <stp>2019-12-31</stp>
        <stp>3</stp>
        <tr r="F3604" s="1"/>
      </tp>
      <tp>
        <v>7.1022521899999997</v>
        <stp/>
        <stp>EM_S_PQ_PCTCHANGE</stp>
        <stp>4</stp>
        <stp>000006</stp>
        <stp>2019-01-01</stp>
        <stp>2019-12-31</stp>
        <stp>3</stp>
        <tr r="G1889" s="1"/>
      </tp>
      <tp>
        <v>476.57600037999998</v>
        <stp/>
        <stp>EM_S_PQ_PCTCHANGE</stp>
        <stp>4</stp>
        <stp>601066</stp>
        <stp>2018-01-01</stp>
        <stp>2019-12-31</stp>
        <stp>3</stp>
        <tr r="F31" s="1"/>
      </tp>
      <tp>
        <v>-41.969393109999999</v>
        <stp/>
        <stp>EM_S_PQ_PCTCHANGE</stp>
        <stp>4</stp>
        <stp>000006</stp>
        <stp>2018-01-01</stp>
        <stp>2019-12-31</stp>
        <stp>3</stp>
        <tr r="F1889" s="1"/>
      </tp>
      <tp>
        <v>30.282294019999998</v>
        <stp/>
        <stp>EM_S_PQ_PCTCHANGE</stp>
        <stp>4</stp>
        <stp>300036</stp>
        <stp>2018-01-01</stp>
        <stp>2019-12-31</stp>
        <stp>3</stp>
        <tr r="F1798" s="1"/>
      </tp>
      <tp>
        <v>44.467860909999999</v>
        <stp/>
        <stp>EM_S_PQ_PCTCHANGE</stp>
        <stp>4</stp>
        <stp>300227</stp>
        <stp>2018-12-31</stp>
        <stp>2019-12-30</stp>
        <stp>1</stp>
        <tr r="G659" s="1"/>
      </tp>
      <tp>
        <v>-36.78144614</v>
        <stp/>
        <stp>EM_S_PQ_PCTCHANGE</stp>
        <stp>4</stp>
        <stp>600066</stp>
        <stp>2018-01-01</stp>
        <stp>2019-12-31</stp>
        <stp>3</stp>
        <tr r="F1296" s="1"/>
      </tp>
      <tp>
        <v>-19.611307419999999</v>
        <stp/>
        <stp>EM_S_PQ_PCTCHANGE</stp>
        <stp>4</stp>
        <stp>600277</stp>
        <stp>2018-12-31</stp>
        <stp>2019-12-30</stp>
        <stp>1</stp>
        <tr r="G3055" s="1"/>
      </tp>
      <tp>
        <v>-41.90040175</v>
        <stp/>
        <stp>EM_S_PQ_PCTCHANGE</stp>
        <stp>4</stp>
        <stp>603066</stp>
        <stp>2018-01-01</stp>
        <stp>2019-12-31</stp>
        <stp>3</stp>
        <tr r="F1845" s="1"/>
      </tp>
      <tp>
        <v>18.835616439999999</v>
        <stp/>
        <stp>EM_S_PQ_PCTCHANGE</stp>
        <stp>4</stp>
        <stp>603277</stp>
        <stp>2018-12-31</stp>
        <stp>2019-12-30</stp>
        <stp>1</stp>
        <tr r="G1326" s="1"/>
      </tp>
      <tp>
        <v>-34.88813038</v>
        <stp/>
        <stp>EM_S_PQ_PCTCHANGE</stp>
        <stp>4</stp>
        <stp>002006</stp>
        <stp>2018-01-01</stp>
        <stp>2019-12-31</stp>
        <stp>3</stp>
        <tr r="F2930" s="1"/>
      </tp>
      <tp>
        <v>16.88034188</v>
        <stp/>
        <stp>EM_S_PQ_PCTCHANGE</stp>
        <stp>4</stp>
        <stp>002217</stp>
        <stp>2018-12-31</stp>
        <stp>2019-12-30</stp>
        <stp>1</stp>
        <tr r="G1404" s="1"/>
      </tp>
      <tp>
        <v>17.866004960000001</v>
        <stp/>
        <stp>EM_S_PQ_PCTCHANGE</stp>
        <stp>4</stp>
        <stp>000007</stp>
        <stp>2019-01-01</stp>
        <stp>2019-12-31</stp>
        <stp>3</stp>
        <tr r="G1370" s="1"/>
      </tp>
      <tp>
        <v>-42.977190880000002</v>
        <stp/>
        <stp>EM_S_PQ_PCTCHANGE</stp>
        <stp>4</stp>
        <stp>000007</stp>
        <stp>2018-01-01</stp>
        <stp>2019-12-31</stp>
        <stp>3</stp>
        <tr r="F1370" s="1"/>
      </tp>
      <tp>
        <v>76.978112899999999</v>
        <stp/>
        <stp>EM_S_PQ_PCTCHANGE</stp>
        <stp>4</stp>
        <stp>300037</stp>
        <stp>2018-01-01</stp>
        <stp>2019-12-31</stp>
        <stp>3</stp>
        <tr r="F533" s="1"/>
      </tp>
      <tp>
        <v>66.835053810000005</v>
        <stp/>
        <stp>EM_S_PQ_PCTCHANGE</stp>
        <stp>4</stp>
        <stp>300226</stp>
        <stp>2018-12-31</stp>
        <stp>2019-12-30</stp>
        <stp>1</stp>
        <tr r="G350" s="1"/>
      </tp>
      <tp>
        <v>-36.141801389999998</v>
        <stp/>
        <stp>EM_S_PQ_PCTCHANGE</stp>
        <stp>4</stp>
        <stp>600067</stp>
        <stp>2018-01-01</stp>
        <stp>2019-12-31</stp>
        <stp>3</stp>
        <tr r="F1911" s="1"/>
      </tp>
      <tp>
        <v>62.085308060000003</v>
        <stp/>
        <stp>EM_S_PQ_PCTCHANGE</stp>
        <stp>4</stp>
        <stp>600276</stp>
        <stp>2018-12-31</stp>
        <stp>2019-12-30</stp>
        <stp>1</stp>
        <tr r="G401" s="1"/>
      </tp>
      <tp>
        <v>-10.247149350000001</v>
        <stp/>
        <stp>EM_S_PQ_PCTCHANGE</stp>
        <stp>4</stp>
        <stp>603067</stp>
        <stp>2018-01-01</stp>
        <stp>2019-12-31</stp>
        <stp>3</stp>
        <tr r="F3099" s="1"/>
      </tp>
      <tp>
        <v>99.906623640000007</v>
        <stp/>
        <stp>EM_S_PQ_PCTCHANGE</stp>
        <stp>4</stp>
        <stp>002007</stp>
        <stp>2018-01-01</stp>
        <stp>2019-12-31</stp>
        <stp>3</stp>
        <tr r="F2145" s="1"/>
      </tp>
      <tp>
        <v>92.032967029999995</v>
        <stp/>
        <stp>EM_S_PQ_PCTCHANGE</stp>
        <stp>4</stp>
        <stp>002216</stp>
        <stp>2018-12-31</stp>
        <stp>2019-12-30</stp>
        <stp>1</stp>
        <tr r="G197" s="1"/>
      </tp>
      <tp>
        <v>-7.1316614400000002</v>
        <stp/>
        <stp>EM_S_PQ_PCTCHANGE</stp>
        <stp>4</stp>
        <stp>000038</stp>
        <stp>2019-01-01</stp>
        <stp>2019-12-31</stp>
        <stp>3</stp>
        <tr r="G2663" s="1"/>
      </tp>
      <tp>
        <v>28.140495820000002</v>
        <stp/>
        <stp>EM_S_PQ_PCTCHANGE</stp>
        <stp>4</stp>
        <stp>601058</stp>
        <stp>2018-01-01</stp>
        <stp>2019-12-31</stp>
        <stp>3</stp>
        <tr r="F167" s="1"/>
      </tp>
      <tp>
        <v>-41.685708069999997</v>
        <stp/>
        <stp>EM_S_PQ_PCTCHANGE</stp>
        <stp>4</stp>
        <stp>000038</stp>
        <stp>2018-01-01</stp>
        <stp>2019-12-31</stp>
        <stp>3</stp>
        <tr r="F2663" s="1"/>
      </tp>
      <tp>
        <v>-57.978842120000003</v>
        <stp/>
        <stp>EM_S_PQ_PCTCHANGE</stp>
        <stp>4</stp>
        <stp>300008</stp>
        <stp>2018-01-01</stp>
        <stp>2019-12-31</stp>
        <stp>3</stp>
        <tr r="F1648" s="1"/>
      </tp>
      <tp>
        <v>-11.74934726</v>
        <stp/>
        <stp>EM_S_PQ_PCTCHANGE</stp>
        <stp>4</stp>
        <stp>300219</stp>
        <stp>2018-12-31</stp>
        <stp>2019-12-30</stp>
        <stp>1</stp>
        <tr r="G2822" s="1"/>
      </tp>
      <tp>
        <v>-33.60927152</v>
        <stp/>
        <stp>EM_S_PQ_PCTCHANGE</stp>
        <stp>4</stp>
        <stp>600058</stp>
        <stp>2018-01-01</stp>
        <stp>2019-12-31</stp>
        <stp>3</stp>
        <tr r="F1269" s="1"/>
      </tp>
      <tp>
        <v>26.24309392</v>
        <stp/>
        <stp>EM_S_PQ_PCTCHANGE</stp>
        <stp>4</stp>
        <stp>600249</stp>
        <stp>2018-12-31</stp>
        <stp>2019-12-30</stp>
        <stp>1</stp>
        <tr r="G1050" s="1"/>
      </tp>
      <tp>
        <v>-38.302576129999998</v>
        <stp/>
        <stp>EM_S_PQ_PCTCHANGE</stp>
        <stp>4</stp>
        <stp>603058</stp>
        <stp>2018-01-01</stp>
        <stp>2019-12-31</stp>
        <stp>3</stp>
        <tr r="F3088" s="1"/>
      </tp>
      <tp>
        <v>-34.758178270000002</v>
        <stp/>
        <stp>EM_S_PQ_PCTCHANGE</stp>
        <stp>4</stp>
        <stp>002038</stp>
        <stp>2018-01-01</stp>
        <stp>2019-12-31</stp>
        <stp>3</stp>
        <tr r="F3361" s="1"/>
      </tp>
      <tp>
        <v>-8.9408528199999999</v>
        <stp/>
        <stp>EM_S_PQ_PCTCHANGE</stp>
        <stp>4</stp>
        <stp>002229</stp>
        <stp>2018-12-31</stp>
        <stp>2019-12-30</stp>
        <stp>1</stp>
        <tr r="G2717" s="1"/>
      </tp>
      <tp>
        <v>16.172172100000001</v>
        <stp/>
        <stp>EM_S_PQ_PCTCHANGE</stp>
        <stp>4</stp>
        <stp>000039</stp>
        <stp>2019-01-01</stp>
        <stp>2019-12-31</stp>
        <stp>3</stp>
        <tr r="G1426" s="1"/>
      </tp>
      <tp>
        <v>-45.003741929999997</v>
        <stp/>
        <stp>EM_S_PQ_PCTCHANGE</stp>
        <stp>4</stp>
        <stp>000039</stp>
        <stp>2018-01-01</stp>
        <stp>2019-12-31</stp>
        <stp>3</stp>
        <tr r="F1426" s="1"/>
      </tp>
      <tp>
        <v>-17.233162050000001</v>
        <stp/>
        <stp>EM_S_PQ_PCTCHANGE</stp>
        <stp>4</stp>
        <stp>300009</stp>
        <stp>2018-01-01</stp>
        <stp>2019-12-31</stp>
        <stp>3</stp>
        <tr r="F1660" s="1"/>
      </tp>
      <tp>
        <v>28.571428569999998</v>
        <stp/>
        <stp>EM_S_PQ_PCTCHANGE</stp>
        <stp>4</stp>
        <stp>300218</stp>
        <stp>2018-12-31</stp>
        <stp>2019-12-30</stp>
        <stp>1</stp>
        <tr r="G970" s="1"/>
      </tp>
      <tp>
        <v>-7.3194540799999999</v>
        <stp/>
        <stp>EM_S_PQ_PCTCHANGE</stp>
        <stp>4</stp>
        <stp>600059</stp>
        <stp>2018-01-01</stp>
        <stp>2019-12-31</stp>
        <stp>3</stp>
        <tr r="F979" s="1"/>
      </tp>
      <tp>
        <v>10.74168798</v>
        <stp/>
        <stp>EM_S_PQ_PCTCHANGE</stp>
        <stp>4</stp>
        <stp>600248</stp>
        <stp>2018-12-31</stp>
        <stp>2019-12-30</stp>
        <stp>1</stp>
        <tr r="G1689" s="1"/>
      </tp>
      <tp>
        <v>46.986632559999997</v>
        <stp/>
        <stp>EM_S_PQ_PCTCHANGE</stp>
        <stp>4</stp>
        <stp>603059</stp>
        <stp>2018-01-01</stp>
        <stp>2019-12-31</stp>
        <stp>3</stp>
        <tr r="F2986" s="1"/>
      </tp>
      <tp>
        <v>-1.9083368300000001</v>
        <stp/>
        <stp>EM_S_PQ_PCTCHANGE</stp>
        <stp>4</stp>
        <stp>002039</stp>
        <stp>2018-01-01</stp>
        <stp>2019-12-31</stp>
        <stp>3</stp>
        <tr r="F3614" s="1"/>
      </tp>
      <tp>
        <v>-6.7757009300000002</v>
        <stp/>
        <stp>EM_S_PQ_PCTCHANGE</stp>
        <stp>4</stp>
        <stp>002228</stp>
        <stp>2018-12-31</stp>
        <stp>2019-12-30</stp>
        <stp>1</stp>
        <tr r="G2642" s="1"/>
      </tp>
      <tp>
        <v>32.059682019999997</v>
        <stp/>
        <stp>EM_S_PQ_PCTCHANGE</stp>
        <stp>4</stp>
        <stp>000030</stp>
        <stp>2019-01-01</stp>
        <stp>2019-12-31</stp>
        <stp>3</stp>
        <tr r="G883" s="1"/>
      </tp>
      <tp>
        <v>-13.121772139999999</v>
        <stp/>
        <stp>EM_S_PQ_PCTCHANGE</stp>
        <stp>4</stp>
        <stp>000030</stp>
        <stp>2018-01-01</stp>
        <stp>2019-12-31</stp>
        <stp>3</stp>
        <tr r="F883" s="1"/>
      </tp>
      <tp>
        <v>68.115942029999999</v>
        <stp/>
        <stp>EM_S_PQ_PCTCHANGE</stp>
        <stp>4</stp>
        <stp>300211</stp>
        <stp>2018-12-31</stp>
        <stp>2019-12-30</stp>
        <stp>1</stp>
        <tr r="G339" s="1"/>
      </tp>
      <tp>
        <v>-5.7999512400000004</v>
        <stp/>
        <stp>EM_S_PQ_PCTCHANGE</stp>
        <stp>4</stp>
        <stp>600050</stp>
        <stp>2018-01-01</stp>
        <stp>2019-12-31</stp>
        <stp>3</stp>
        <tr r="F1536" s="1"/>
      </tp>
      <tp>
        <v>-9.7560975600000006</v>
        <stp/>
        <stp>EM_S_PQ_PCTCHANGE</stp>
        <stp>4</stp>
        <stp>600241</stp>
        <stp>2018-12-31</stp>
        <stp>2019-12-30</stp>
        <stp>1</stp>
        <tr r="G2745" s="1"/>
      </tp>
      <tp>
        <v>-42.157553370000002</v>
        <stp/>
        <stp>EM_S_PQ_PCTCHANGE</stp>
        <stp>4</stp>
        <stp>603050</stp>
        <stp>2018-01-01</stp>
        <stp>2019-12-31</stp>
        <stp>3</stp>
        <tr r="F2950" s="1"/>
      </tp>
      <tp>
        <v>-31.534926070000001</v>
        <stp/>
        <stp>EM_S_PQ_PCTCHANGE</stp>
        <stp>4</stp>
        <stp>002030</stp>
        <stp>2018-01-01</stp>
        <stp>2019-12-31</stp>
        <stp>3</stp>
        <tr r="F3610" s="1"/>
      </tp>
      <tp>
        <v>-4.5905707199999997</v>
        <stp/>
        <stp>EM_S_PQ_PCTCHANGE</stp>
        <stp>4</stp>
        <stp>002221</stp>
        <stp>2018-12-31</stp>
        <stp>2019-12-30</stp>
        <stp>1</stp>
        <tr r="G2543" s="1"/>
      </tp>
      <tp>
        <v>49.453159429999999</v>
        <stp/>
        <stp>EM_S_PQ_PCTCHANGE</stp>
        <stp>4</stp>
        <stp>000031</stp>
        <stp>2019-01-01</stp>
        <stp>2019-12-31</stp>
        <stp>3</stp>
        <tr r="G569" s="1"/>
      </tp>
      <tp>
        <v>-8.0267895300000003</v>
        <stp/>
        <stp>EM_S_PQ_PCTCHANGE</stp>
        <stp>4</stp>
        <stp>000031</stp>
        <stp>2018-01-01</stp>
        <stp>2019-12-31</stp>
        <stp>3</stp>
        <tr r="F569" s="1"/>
      </tp>
      <tp>
        <v>26.060945019999998</v>
        <stp/>
        <stp>EM_S_PQ_PCTCHANGE</stp>
        <stp>4</stp>
        <stp>300001</stp>
        <stp>2018-01-01</stp>
        <stp>2019-12-31</stp>
        <stp>3</stp>
        <tr r="F2358" s="1"/>
      </tp>
      <tp>
        <v>-19.718309860000002</v>
        <stp/>
        <stp>EM_S_PQ_PCTCHANGE</stp>
        <stp>4</stp>
        <stp>300210</stp>
        <stp>2018-12-31</stp>
        <stp>2019-12-30</stp>
        <stp>1</stp>
        <tr r="G3058" s="1"/>
      </tp>
      <tp>
        <v>-33.387535589999999</v>
        <stp/>
        <stp>EM_S_PQ_PCTCHANGE</stp>
        <stp>4</stp>
        <stp>600051</stp>
        <stp>2018-01-01</stp>
        <stp>2019-12-31</stp>
        <stp>3</stp>
        <tr r="F1703" s="1"/>
      </tp>
      <tp>
        <v>-86.100386099999994</v>
        <stp/>
        <stp>EM_S_PQ_PCTCHANGE</stp>
        <stp>4</stp>
        <stp>600240</stp>
        <stp>2018-12-31</stp>
        <stp>2019-12-30</stp>
        <stp>1</stp>
        <tr r="G3408" s="1"/>
      </tp>
      <tp>
        <v>-26.394052039999998</v>
        <stp/>
        <stp>EM_S_PQ_PCTCHANGE</stp>
        <stp>4</stp>
        <stp>002031</stp>
        <stp>2018-01-01</stp>
        <stp>2019-12-31</stp>
        <stp>3</stp>
        <tr r="F1994" s="1"/>
      </tp>
      <tp>
        <v>-43.137254900000002</v>
        <stp/>
        <stp>EM_S_PQ_PCTCHANGE</stp>
        <stp>4</stp>
        <stp>002220</stp>
        <stp>2018-12-31</stp>
        <stp>2019-12-30</stp>
        <stp>1</stp>
        <tr r="G3336" s="1"/>
      </tp>
      <tp>
        <v>104.09336576</v>
        <stp/>
        <stp>EM_S_PQ_PCTCHANGE</stp>
        <stp>4</stp>
        <stp>000032</stp>
        <stp>2019-01-01</stp>
        <stp>2019-12-31</stp>
        <stp>3</stp>
        <tr r="G158" s="1"/>
      </tp>
      <tp>
        <v>42.80136195</v>
        <stp/>
        <stp>EM_S_PQ_PCTCHANGE</stp>
        <stp>4</stp>
        <stp>000032</stp>
        <stp>2018-01-01</stp>
        <stp>2019-12-31</stp>
        <stp>3</stp>
        <tr r="F158" s="1"/>
      </tp>
      <tp>
        <v>-46.601146620000002</v>
        <stp/>
        <stp>EM_S_PQ_PCTCHANGE</stp>
        <stp>4</stp>
        <stp>300002</stp>
        <stp>2018-01-01</stp>
        <stp>2019-12-31</stp>
        <stp>3</stp>
        <tr r="F2398" s="1"/>
      </tp>
      <tp>
        <v>15.92128801</v>
        <stp/>
        <stp>EM_S_PQ_PCTCHANGE</stp>
        <stp>4</stp>
        <stp>300213</stp>
        <stp>2018-12-31</stp>
        <stp>2019-12-30</stp>
        <stp>1</stp>
        <tr r="G1437" s="1"/>
      </tp>
      <tp>
        <v>21.942523059999999</v>
        <stp/>
        <stp>EM_S_PQ_PCTCHANGE</stp>
        <stp>4</stp>
        <stp>600052</stp>
        <stp>2018-01-01</stp>
        <stp>2019-12-31</stp>
        <stp>3</stp>
        <tr r="F481" s="1"/>
      </tp>
      <tp>
        <v>14.728682170000001</v>
        <stp/>
        <stp>EM_S_PQ_PCTCHANGE</stp>
        <stp>4</stp>
        <stp>600243</stp>
        <stp>2018-12-31</stp>
        <stp>2019-12-30</stp>
        <stp>1</stp>
        <tr r="G1495" s="1"/>
      </tp>
      <tp>
        <v>98.158083669999996</v>
        <stp/>
        <stp>EM_S_PQ_PCTCHANGE</stp>
        <stp>4</stp>
        <stp>002032</stp>
        <stp>2018-01-01</stp>
        <stp>2019-12-31</stp>
        <stp>3</stp>
        <tr r="F638" s="1"/>
      </tp>
      <tp>
        <v>1.73380928</v>
        <stp/>
        <stp>EM_S_PQ_PCTCHANGE</stp>
        <stp>4</stp>
        <stp>002223</stp>
        <stp>2018-12-31</stp>
        <stp>2019-12-30</stp>
        <stp>1</stp>
        <tr r="G2176" s="1"/>
      </tp>
      <tp>
        <v>0</v>
        <stp/>
        <stp>EM_S_PQ_PCTCHANGE</stp>
        <stp>4</stp>
        <stp>000033</stp>
        <stp>2019-01-01</stp>
        <stp>2019-12-31</stp>
        <stp>3</stp>
        <tr r="G2275" s="1"/>
      </tp>
      <tp>
        <v>0</v>
        <stp/>
        <stp>EM_S_PQ_PCTCHANGE</stp>
        <stp>4</stp>
        <stp>000033</stp>
        <stp>2018-01-01</stp>
        <stp>2019-12-31</stp>
        <stp>3</stp>
        <tr r="F2275" s="1"/>
      </tp>
      <tp>
        <v>38.424894180000003</v>
        <stp/>
        <stp>EM_S_PQ_PCTCHANGE</stp>
        <stp>4</stp>
        <stp>300003</stp>
        <stp>2018-01-01</stp>
        <stp>2019-12-31</stp>
        <stp>3</stp>
        <tr r="F508" s="1"/>
      </tp>
      <tp>
        <v>60.086872589999999</v>
        <stp/>
        <stp>EM_S_PQ_PCTCHANGE</stp>
        <stp>4</stp>
        <stp>300212</stp>
        <stp>2018-12-31</stp>
        <stp>2019-12-30</stp>
        <stp>1</stp>
        <tr r="G426" s="1"/>
      </tp>
      <tp>
        <v>9.7503311299999993</v>
        <stp/>
        <stp>EM_S_PQ_PCTCHANGE</stp>
        <stp>4</stp>
        <stp>600053</stp>
        <stp>2018-01-01</stp>
        <stp>2019-12-31</stp>
        <stp>3</stp>
        <tr r="F2410" s="1"/>
      </tp>
      <tp>
        <v>-48.576732669999998</v>
        <stp/>
        <stp>EM_S_PQ_PCTCHANGE</stp>
        <stp>4</stp>
        <stp>600242</stp>
        <stp>2018-12-31</stp>
        <stp>2019-12-30</stp>
        <stp>1</stp>
        <tr r="G3360" s="1"/>
      </tp>
      <tp>
        <v>-28.201512659999999</v>
        <stp/>
        <stp>EM_S_PQ_PCTCHANGE</stp>
        <stp>4</stp>
        <stp>002033</stp>
        <stp>2018-01-01</stp>
        <stp>2019-12-31</stp>
        <stp>3</stp>
        <tr r="F3611" s="1"/>
      </tp>
      <tp>
        <v>26.43442623</v>
        <stp/>
        <stp>EM_S_PQ_PCTCHANGE</stp>
        <stp>4</stp>
        <stp>002222</stp>
        <stp>2018-12-31</stp>
        <stp>2019-12-30</stp>
        <stp>1</stp>
        <tr r="G1041" s="1"/>
      </tp>
      <tp>
        <v>49.957898030000003</v>
        <stp/>
        <stp>EM_S_PQ_PCTCHANGE</stp>
        <stp>4</stp>
        <stp>000034</stp>
        <stp>2019-01-01</stp>
        <stp>2019-12-31</stp>
        <stp>3</stp>
        <tr r="G564" s="1"/>
      </tp>
      <tp>
        <v>-6.4501983000000003</v>
        <stp/>
        <stp>EM_S_PQ_PCTCHANGE</stp>
        <stp>4</stp>
        <stp>000034</stp>
        <stp>2018-01-01</stp>
        <stp>2019-12-31</stp>
        <stp>3</stp>
        <tr r="F564" s="1"/>
      </tp>
      <tp>
        <v>-33.976833980000002</v>
        <stp/>
        <stp>EM_S_PQ_PCTCHANGE</stp>
        <stp>4</stp>
        <stp>300004</stp>
        <stp>2018-01-01</stp>
        <stp>2019-12-31</stp>
        <stp>3</stp>
        <tr r="F259" s="1"/>
      </tp>
      <tp>
        <v>22.641509429999999</v>
        <stp/>
        <stp>EM_S_PQ_PCTCHANGE</stp>
        <stp>4</stp>
        <stp>300215</stp>
        <stp>2018-12-31</stp>
        <stp>2019-12-30</stp>
        <stp>1</stp>
        <tr r="G1169" s="1"/>
      </tp>
      <tp>
        <v>-33.482164189999999</v>
        <stp/>
        <stp>EM_S_PQ_PCTCHANGE</stp>
        <stp>4</stp>
        <stp>600054</stp>
        <stp>2018-01-01</stp>
        <stp>2019-12-31</stp>
        <stp>3</stp>
        <tr r="F2451" s="1"/>
      </tp>
      <tp>
        <v>-54.068564840000001</v>
        <stp/>
        <stp>EM_S_PQ_PCTCHANGE</stp>
        <stp>4</stp>
        <stp>002034</stp>
        <stp>2018-01-01</stp>
        <stp>2019-12-31</stp>
        <stp>3</stp>
        <tr r="F3612" s="1"/>
      </tp>
      <tp>
        <v>-3.8461538499999999</v>
        <stp/>
        <stp>EM_S_PQ_PCTCHANGE</stp>
        <stp>4</stp>
        <stp>002225</stp>
        <stp>2018-12-31</stp>
        <stp>2019-12-30</stp>
        <stp>1</stp>
        <tr r="G2508" s="1"/>
      </tp>
      <tp>
        <v>18.65384615</v>
        <stp/>
        <stp>EM_S_PQ_PCTCHANGE</stp>
        <stp>4</stp>
        <stp>000035</stp>
        <stp>2019-01-01</stp>
        <stp>2019-12-31</stp>
        <stp>3</stp>
        <tr r="G1341" s="1"/>
      </tp>
      <tp>
        <v>-8.18452381</v>
        <stp/>
        <stp>EM_S_PQ_PCTCHANGE</stp>
        <stp>4</stp>
        <stp>000035</stp>
        <stp>2018-01-01</stp>
        <stp>2019-12-31</stp>
        <stp>3</stp>
        <tr r="F1341" s="1"/>
      </tp>
      <tp>
        <v>-19.489981790000002</v>
        <stp/>
        <stp>EM_S_PQ_PCTCHANGE</stp>
        <stp>4</stp>
        <stp>300005</stp>
        <stp>2018-01-01</stp>
        <stp>2019-12-31</stp>
        <stp>3</stp>
        <tr r="F801" s="1"/>
      </tp>
      <tp>
        <v>48.545454550000002</v>
        <stp/>
        <stp>EM_S_PQ_PCTCHANGE</stp>
        <stp>4</stp>
        <stp>300214</stp>
        <stp>2018-12-31</stp>
        <stp>2019-12-30</stp>
        <stp>1</stp>
        <tr r="G590" s="1"/>
      </tp>
      <tp>
        <v>-34.33061112</v>
        <stp/>
        <stp>EM_S_PQ_PCTCHANGE</stp>
        <stp>4</stp>
        <stp>600055</stp>
        <stp>2018-01-01</stp>
        <stp>2019-12-31</stp>
        <stp>3</stp>
        <tr r="F1416" s="1"/>
      </tp>
      <tp>
        <v>-40.917580559999998</v>
        <stp/>
        <stp>EM_S_PQ_PCTCHANGE</stp>
        <stp>4</stp>
        <stp>603055</stp>
        <stp>2018-01-01</stp>
        <stp>2019-12-31</stp>
        <stp>3</stp>
        <tr r="F3266" s="1"/>
      </tp>
      <tp>
        <v>-30.594588510000001</v>
        <stp/>
        <stp>EM_S_PQ_PCTCHANGE</stp>
        <stp>4</stp>
        <stp>002035</stp>
        <stp>2018-01-01</stp>
        <stp>2019-12-31</stp>
        <stp>3</stp>
        <tr r="F527" s="1"/>
      </tp>
      <tp>
        <v>14.62962963</v>
        <stp/>
        <stp>EM_S_PQ_PCTCHANGE</stp>
        <stp>4</stp>
        <stp>002224</stp>
        <stp>2018-12-31</stp>
        <stp>2019-12-30</stp>
        <stp>1</stp>
        <tr r="G1500" s="1"/>
      </tp>
      <tp>
        <v>-27.06050084</v>
        <stp/>
        <stp>EM_S_PQ_PCTCHANGE</stp>
        <stp>4</stp>
        <stp>000036</stp>
        <stp>2018-01-01</stp>
        <stp>2019-12-31</stp>
        <stp>3</stp>
        <tr r="F3122" s="1"/>
      </tp>
      <tp>
        <v>-9.2167793400000004</v>
        <stp/>
        <stp>EM_S_PQ_PCTCHANGE</stp>
        <stp>4</stp>
        <stp>300006</stp>
        <stp>2018-01-01</stp>
        <stp>2019-12-31</stp>
        <stp>3</stp>
        <tr r="F461" s="1"/>
      </tp>
      <tp>
        <v>3.86266094</v>
        <stp/>
        <stp>EM_S_PQ_PCTCHANGE</stp>
        <stp>4</stp>
        <stp>300217</stp>
        <stp>2018-12-31</stp>
        <stp>2019-12-30</stp>
        <stp>1</stp>
        <tr r="G2065" s="1"/>
      </tp>
      <tp>
        <v>-44.895830840000002</v>
        <stp/>
        <stp>EM_S_PQ_PCTCHANGE</stp>
        <stp>4</stp>
        <stp>600056</stp>
        <stp>2018-01-01</stp>
        <stp>2019-12-31</stp>
        <stp>3</stp>
        <tr r="F2165" s="1"/>
      </tp>
      <tp>
        <v>-22.269807279999998</v>
        <stp/>
        <stp>EM_S_PQ_PCTCHANGE</stp>
        <stp>4</stp>
        <stp>600247</stp>
        <stp>2018-12-31</stp>
        <stp>2019-12-30</stp>
        <stp>1</stp>
        <tr r="G3103" s="1"/>
      </tp>
      <tp>
        <v>134.60958213999999</v>
        <stp/>
        <stp>EM_S_PQ_PCTCHANGE</stp>
        <stp>4</stp>
        <stp>603056</stp>
        <stp>2018-01-01</stp>
        <stp>2019-12-31</stp>
        <stp>3</stp>
        <tr r="F3254" s="1"/>
      </tp>
      <tp>
        <v>37.17548961</v>
        <stp/>
        <stp>EM_S_PQ_PCTCHANGE</stp>
        <stp>4</stp>
        <stp>002036</stp>
        <stp>2018-01-01</stp>
        <stp>2019-12-31</stp>
        <stp>3</stp>
        <tr r="F3613" s="1"/>
      </tp>
      <tp>
        <v>9.2428711900000007</v>
        <stp/>
        <stp>EM_S_PQ_PCTCHANGE</stp>
        <stp>4</stp>
        <stp>002227</stp>
        <stp>2018-12-31</stp>
        <stp>2019-12-30</stp>
        <stp>1</stp>
        <tr r="G1779" s="1"/>
      </tp>
      <tp>
        <v>163.44537815000001</v>
        <stp/>
        <stp>EM_S_PQ_PCTCHANGE</stp>
        <stp>4</stp>
        <stp>000037</stp>
        <stp>2019-01-01</stp>
        <stp>2019-12-31</stp>
        <stp>3</stp>
        <tr r="G68" s="1"/>
      </tp>
      <tp>
        <v>75.630252100000007</v>
        <stp/>
        <stp>EM_S_PQ_PCTCHANGE</stp>
        <stp>4</stp>
        <stp>000037</stp>
        <stp>2018-01-01</stp>
        <stp>2019-12-31</stp>
        <stp>3</stp>
        <tr r="F68" s="1"/>
      </tp>
      <tp>
        <v>23.86551115</v>
        <stp/>
        <stp>EM_S_PQ_PCTCHANGE</stp>
        <stp>4</stp>
        <stp>300007</stp>
        <stp>2018-01-01</stp>
        <stp>2019-12-31</stp>
        <stp>3</stp>
        <tr r="F352" s="1"/>
      </tp>
      <tp>
        <v>-0.52219320999999996</v>
        <stp/>
        <stp>EM_S_PQ_PCTCHANGE</stp>
        <stp>4</stp>
        <stp>300216</stp>
        <stp>2018-12-31</stp>
        <stp>2019-12-30</stp>
        <stp>1</stp>
        <tr r="G2361" s="1"/>
      </tp>
      <tp>
        <v>-18.85622991</v>
        <stp/>
        <stp>EM_S_PQ_PCTCHANGE</stp>
        <stp>4</stp>
        <stp>600057</stp>
        <stp>2018-01-01</stp>
        <stp>2019-12-31</stp>
        <stp>3</stp>
        <tr r="F2370" s="1"/>
      </tp>
      <tp>
        <v>54.491017960000001</v>
        <stp/>
        <stp>EM_S_PQ_PCTCHANGE</stp>
        <stp>4</stp>
        <stp>600246</stp>
        <stp>2018-12-31</stp>
        <stp>2019-12-30</stp>
        <stp>1</stp>
        <tr r="G495" s="1"/>
      </tp>
      <tp>
        <v>-37.374173020000001</v>
        <stp/>
        <stp>EM_S_PQ_PCTCHANGE</stp>
        <stp>4</stp>
        <stp>002037</stp>
        <stp>2018-01-01</stp>
        <stp>2019-12-31</stp>
        <stp>3</stp>
        <tr r="F2964" s="1"/>
      </tp>
      <tp>
        <v>5.3045186600000003</v>
        <stp/>
        <stp>EM_S_PQ_PCTCHANGE</stp>
        <stp>4</stp>
        <stp>002226</stp>
        <stp>2018-12-31</stp>
        <stp>2019-12-30</stp>
        <stp>1</stp>
        <tr r="G1997" s="1"/>
      </tp>
      <tp>
        <v>10.5598305</v>
        <stp/>
        <stp>EM_S_PQ_PCTCHANGE</stp>
        <stp>4</stp>
        <stp>000028</stp>
        <stp>2019-01-01</stp>
        <stp>2019-12-31</stp>
        <stp>3</stp>
        <tr r="G1704" s="1"/>
      </tp>
      <tp>
        <v>-23.517977599999998</v>
        <stp/>
        <stp>EM_S_PQ_PCTCHANGE</stp>
        <stp>4</stp>
        <stp>000028</stp>
        <stp>2018-01-01</stp>
        <stp>2019-12-31</stp>
        <stp>3</stp>
        <tr r="F1704" s="1"/>
      </tp>
      <tp>
        <v>-17.23993454</v>
        <stp/>
        <stp>EM_S_PQ_PCTCHANGE</stp>
        <stp>4</stp>
        <stp>300018</stp>
        <stp>2018-01-01</stp>
        <stp>2019-12-31</stp>
        <stp>3</stp>
        <tr r="F1441" s="1"/>
      </tp>
      <tp>
        <v>32.839962999999997</v>
        <stp/>
        <stp>EM_S_PQ_PCTCHANGE</stp>
        <stp>4</stp>
        <stp>300209</stp>
        <stp>2018-12-31</stp>
        <stp>2019-12-30</stp>
        <stp>1</stp>
        <tr r="G866" s="1"/>
      </tp>
      <tp>
        <v>22.593749949999999</v>
        <stp/>
        <stp>EM_S_PQ_PCTCHANGE</stp>
        <stp>4</stp>
        <stp>600048</stp>
        <stp>2018-01-01</stp>
        <stp>2019-12-31</stp>
        <stp>3</stp>
        <tr r="F771" s="1"/>
      </tp>
      <tp>
        <v>55.366726300000003</v>
        <stp/>
        <stp>EM_S_PQ_PCTCHANGE</stp>
        <stp>4</stp>
        <stp>600259</stp>
        <stp>2018-12-31</stp>
        <stp>2019-12-30</stp>
        <stp>1</stp>
        <tr r="G486" s="1"/>
      </tp>
      <tp>
        <v>21.546887519999999</v>
        <stp/>
        <stp>EM_S_PQ_PCTCHANGE</stp>
        <stp>4</stp>
        <stp>603259</stp>
        <stp>2018-12-31</stp>
        <stp>2019-12-30</stp>
        <stp>1</stp>
        <tr r="G1205" s="1"/>
      </tp>
      <tp>
        <v>-11.77865239</v>
        <stp/>
        <stp>EM_S_PQ_PCTCHANGE</stp>
        <stp>4</stp>
        <stp>002028</stp>
        <stp>2018-01-01</stp>
        <stp>2019-12-31</stp>
        <stp>3</stp>
        <tr r="F743" s="1"/>
      </tp>
      <tp>
        <v>-13</v>
        <stp/>
        <stp>EM_S_PQ_PCTCHANGE</stp>
        <stp>4</stp>
        <stp>002239</stp>
        <stp>2018-12-31</stp>
        <stp>2019-12-30</stp>
        <stp>1</stp>
        <tr r="G2868" s="1"/>
      </tp>
      <tp>
        <v>-2.9999999999999999E-7</v>
        <stp/>
        <stp>EM_S_PQ_PCTCHANGE</stp>
        <stp>4</stp>
        <stp>000029</stp>
        <stp>2019-01-01</stp>
        <stp>2019-12-31</stp>
        <stp>3</stp>
        <tr r="G2341" s="1"/>
      </tp>
      <tp>
        <v>3.5714285700000001</v>
        <stp/>
        <stp>EM_S_PQ_PCTCHANGE</stp>
        <stp>4</stp>
        <stp>601258</stp>
        <stp>2018-12-31</stp>
        <stp>2019-12-30</stp>
        <stp>1</stp>
        <tr r="G2081" s="1"/>
      </tp>
      <tp>
        <v>-2.9999999999999999E-7</v>
        <stp/>
        <stp>EM_S_PQ_PCTCHANGE</stp>
        <stp>4</stp>
        <stp>000029</stp>
        <stp>2018-01-01</stp>
        <stp>2019-12-31</stp>
        <stp>3</stp>
        <tr r="F2341" s="1"/>
      </tp>
      <tp>
        <v>2.1765109300000001</v>
        <stp/>
        <stp>EM_S_PQ_PCTCHANGE</stp>
        <stp>4</stp>
        <stp>300019</stp>
        <stp>2018-01-01</stp>
        <stp>2019-12-31</stp>
        <stp>3</stp>
        <tr r="F390" s="1"/>
      </tp>
      <tp>
        <v>26.480836239999999</v>
        <stp/>
        <stp>EM_S_PQ_PCTCHANGE</stp>
        <stp>4</stp>
        <stp>300208</stp>
        <stp>2018-12-31</stp>
        <stp>2019-12-30</stp>
        <stp>1</stp>
        <tr r="G1037" s="1"/>
      </tp>
      <tp>
        <v>34.649122810000001</v>
        <stp/>
        <stp>EM_S_PQ_PCTCHANGE</stp>
        <stp>4</stp>
        <stp>600258</stp>
        <stp>2018-12-31</stp>
        <stp>2019-12-30</stp>
        <stp>1</stp>
        <tr r="G833" s="1"/>
      </tp>
      <tp>
        <v>40.388007049999999</v>
        <stp/>
        <stp>EM_S_PQ_PCTCHANGE</stp>
        <stp>4</stp>
        <stp>603258</stp>
        <stp>2018-12-31</stp>
        <stp>2019-12-30</stp>
        <stp>1</stp>
        <tr r="G727" s="1"/>
      </tp>
      <tp>
        <v>-27.274847999999999</v>
        <stp/>
        <stp>EM_S_PQ_PCTCHANGE</stp>
        <stp>4</stp>
        <stp>002029</stp>
        <stp>2018-01-01</stp>
        <stp>2019-12-31</stp>
        <stp>3</stp>
        <tr r="F2562" s="1"/>
      </tp>
      <tp>
        <v>21.69230769</v>
        <stp/>
        <stp>EM_S_PQ_PCTCHANGE</stp>
        <stp>4</stp>
        <stp>002238</stp>
        <stp>2018-12-31</stp>
        <stp>2019-12-30</stp>
        <stp>1</stp>
        <tr r="G1196" s="1"/>
      </tp>
      <tp>
        <v>2.0076481799999999</v>
        <stp/>
        <stp>EM_S_PQ_PCTCHANGE</stp>
        <stp>4</stp>
        <stp>000020</stp>
        <stp>2019-01-01</stp>
        <stp>2019-12-31</stp>
        <stp>3</stp>
        <tr r="G2164" s="1"/>
      </tp>
      <tp>
        <v>-24.593639580000001</v>
        <stp/>
        <stp>EM_S_PQ_PCTCHANGE</stp>
        <stp>4</stp>
        <stp>000020</stp>
        <stp>2018-01-01</stp>
        <stp>2019-12-31</stp>
        <stp>3</stp>
        <tr r="F2164" s="1"/>
      </tp>
      <tp>
        <v>15.577439569999999</v>
        <stp/>
        <stp>EM_S_PQ_PCTCHANGE</stp>
        <stp>4</stp>
        <stp>300010</stp>
        <stp>2018-01-01</stp>
        <stp>2019-12-31</stp>
        <stp>3</stp>
        <tr r="F280" s="1"/>
      </tp>
      <tp>
        <v>3.4653465300000001</v>
        <stp/>
        <stp>EM_S_PQ_PCTCHANGE</stp>
        <stp>4</stp>
        <stp>300201</stp>
        <stp>2018-12-31</stp>
        <stp>2019-12-30</stp>
        <stp>1</stp>
        <tr r="G2087" s="1"/>
      </tp>
      <tp>
        <v>10.121457489999999</v>
        <stp/>
        <stp>EM_S_PQ_PCTCHANGE</stp>
        <stp>4</stp>
        <stp>600251</stp>
        <stp>2018-12-31</stp>
        <stp>2019-12-30</stp>
        <stp>1</stp>
        <tr r="G1731" s="1"/>
      </tp>
      <tp>
        <v>-30.913337890000001</v>
        <stp/>
        <stp>EM_S_PQ_PCTCHANGE</stp>
        <stp>4</stp>
        <stp>603040</stp>
        <stp>2018-01-01</stp>
        <stp>2019-12-31</stp>
        <stp>3</stp>
        <tr r="F891" s="1"/>
      </tp>
      <tp>
        <v>-2.80478293</v>
        <stp/>
        <stp>EM_S_PQ_PCTCHANGE</stp>
        <stp>4</stp>
        <stp>002020</stp>
        <stp>2018-01-01</stp>
        <stp>2019-12-31</stp>
        <stp>3</stp>
        <tr r="F1187" s="1"/>
      </tp>
      <tp>
        <v>1.9061583600000001</v>
        <stp/>
        <stp>EM_S_PQ_PCTCHANGE</stp>
        <stp>4</stp>
        <stp>002231</stp>
        <stp>2018-12-31</stp>
        <stp>2019-12-30</stp>
        <stp>1</stp>
        <tr r="G2167" s="1"/>
      </tp>
      <tp>
        <v>114.40304648</v>
        <stp/>
        <stp>EM_S_PQ_PCTCHANGE</stp>
        <stp>4</stp>
        <stp>000021</stp>
        <stp>2019-01-01</stp>
        <stp>2019-12-31</stp>
        <stp>3</stp>
        <tr r="G134" s="1"/>
      </tp>
      <tp>
        <v>27.662594850000001</v>
        <stp/>
        <stp>EM_S_PQ_PCTCHANGE</stp>
        <stp>4</stp>
        <stp>000021</stp>
        <stp>2018-01-01</stp>
        <stp>2019-12-31</stp>
        <stp>3</stp>
        <tr r="F134" s="1"/>
      </tp>
      <tp>
        <v>-42.774839329999999</v>
        <stp/>
        <stp>EM_S_PQ_PCTCHANGE</stp>
        <stp>4</stp>
        <stp>300011</stp>
        <stp>2018-01-01</stp>
        <stp>2019-12-31</stp>
        <stp>3</stp>
        <tr r="F2446" s="1"/>
      </tp>
      <tp>
        <v>80.425531910000004</v>
        <stp/>
        <stp>EM_S_PQ_PCTCHANGE</stp>
        <stp>4</stp>
        <stp>300200</stp>
        <stp>2018-12-31</stp>
        <stp>2019-12-30</stp>
        <stp>1</stp>
        <tr r="G246" s="1"/>
      </tp>
      <tp>
        <v>-18.91551072</v>
        <stp/>
        <stp>EM_S_PQ_PCTCHANGE</stp>
        <stp>4</stp>
        <stp>600250</stp>
        <stp>2018-12-31</stp>
        <stp>2019-12-30</stp>
        <stp>1</stp>
        <tr r="G3043" s="1"/>
      </tp>
      <tp>
        <v>-22.077315899999999</v>
        <stp/>
        <stp>EM_S_PQ_PCTCHANGE</stp>
        <stp>4</stp>
        <stp>603041</stp>
        <stp>2018-01-01</stp>
        <stp>2019-12-31</stp>
        <stp>3</stp>
        <tr r="F1218" s="1"/>
      </tp>
      <tp>
        <v>-42.325581399999997</v>
        <stp/>
        <stp>EM_S_PQ_PCTCHANGE</stp>
        <stp>4</stp>
        <stp>002021</stp>
        <stp>2018-01-01</stp>
        <stp>2019-12-31</stp>
        <stp>3</stp>
        <tr r="F3609" s="1"/>
      </tp>
      <tp>
        <v>39.8538961</v>
        <stp/>
        <stp>EM_S_PQ_PCTCHANGE</stp>
        <stp>4</stp>
        <stp>002230</stp>
        <stp>2018-12-31</stp>
        <stp>2019-12-30</stp>
        <stp>1</stp>
        <tr r="G734" s="1"/>
      </tp>
      <tp>
        <v>0</v>
        <stp/>
        <stp>EM_S_PQ_PCTCHANGE</stp>
        <stp>4</stp>
        <stp>000022</stp>
        <stp>2019-01-01</stp>
        <stp>2019-12-31</stp>
        <stp>3</stp>
        <tr r="G3" s="1"/>
      </tp>
      <tp>
        <v>0</v>
        <stp/>
        <stp>EM_S_PQ_PCTCHANGE</stp>
        <stp>4</stp>
        <stp>000022</stp>
        <stp>2018-01-01</stp>
        <stp>2019-12-31</stp>
        <stp>3</stp>
        <tr r="F3" s="1"/>
      </tp>
      <tp>
        <v>236.74432207000001</v>
        <stp/>
        <stp>EM_S_PQ_PCTCHANGE</stp>
        <stp>4</stp>
        <stp>300012</stp>
        <stp>2018-01-01</stp>
        <stp>2019-12-31</stp>
        <stp>3</stp>
        <tr r="F112" s="1"/>
      </tp>
      <tp>
        <v>-35.204678360000003</v>
        <stp/>
        <stp>EM_S_PQ_PCTCHANGE</stp>
        <stp>4</stp>
        <stp>300203</stp>
        <stp>2018-12-31</stp>
        <stp>2019-12-30</stp>
        <stp>1</stp>
        <tr r="G3273" s="1"/>
      </tp>
      <tp>
        <v>0</v>
        <stp/>
        <stp>EM_S_PQ_PCTCHANGE</stp>
        <stp>4</stp>
        <stp>600253</stp>
        <stp>2018-12-31</stp>
        <stp>2019-12-30</stp>
        <stp>1</stp>
        <tr r="G2296" s="1"/>
      </tp>
      <tp>
        <v>-47.452739029999996</v>
        <stp/>
        <stp>EM_S_PQ_PCTCHANGE</stp>
        <stp>4</stp>
        <stp>603042</stp>
        <stp>2018-01-01</stp>
        <stp>2019-12-31</stp>
        <stp>3</stp>
        <tr r="F2387" s="1"/>
      </tp>
      <tp>
        <v>-13.314123</v>
        <stp/>
        <stp>EM_S_PQ_PCTCHANGE</stp>
        <stp>4</stp>
        <stp>002022</stp>
        <stp>2018-01-01</stp>
        <stp>2019-12-31</stp>
        <stp>3</stp>
        <tr r="F1340" s="1"/>
      </tp>
      <tp>
        <v>22.962226640000001</v>
        <stp/>
        <stp>EM_S_PQ_PCTCHANGE</stp>
        <stp>4</stp>
        <stp>002233</stp>
        <stp>2018-12-31</stp>
        <stp>2019-12-30</stp>
        <stp>1</stp>
        <tr r="G1157" s="1"/>
      </tp>
      <tp>
        <v>2.95858015</v>
        <stp/>
        <stp>EM_S_PQ_PCTCHANGE</stp>
        <stp>4</stp>
        <stp>000023</stp>
        <stp>2019-01-01</stp>
        <stp>2019-12-31</stp>
        <stp>3</stp>
        <tr r="G2109" s="1"/>
      </tp>
      <tp>
        <v>-36.017699370000003</v>
        <stp/>
        <stp>EM_S_PQ_PCTCHANGE</stp>
        <stp>4</stp>
        <stp>000023</stp>
        <stp>2018-01-01</stp>
        <stp>2019-12-31</stp>
        <stp>3</stp>
        <tr r="F2109" s="1"/>
      </tp>
      <tp>
        <v>7.4739854299999999</v>
        <stp/>
        <stp>EM_S_PQ_PCTCHANGE</stp>
        <stp>4</stp>
        <stp>300013</stp>
        <stp>2018-01-01</stp>
        <stp>2019-12-31</stp>
        <stp>3</stp>
        <tr r="F2628" s="1"/>
      </tp>
      <tp>
        <v>72.36024845</v>
        <stp/>
        <stp>EM_S_PQ_PCTCHANGE</stp>
        <stp>4</stp>
        <stp>300202</stp>
        <stp>2018-12-31</stp>
        <stp>2019-12-30</stp>
        <stp>1</stp>
        <tr r="G299" s="1"/>
      </tp>
      <tp>
        <v>25.680933849999999</v>
        <stp/>
        <stp>EM_S_PQ_PCTCHANGE</stp>
        <stp>4</stp>
        <stp>600252</stp>
        <stp>2018-12-31</stp>
        <stp>2019-12-30</stp>
        <stp>1</stp>
        <tr r="G1069" s="1"/>
      </tp>
      <tp>
        <v>59.424483070000001</v>
        <stp/>
        <stp>EM_S_PQ_PCTCHANGE</stp>
        <stp>4</stp>
        <stp>603043</stp>
        <stp>2018-01-01</stp>
        <stp>2019-12-31</stp>
        <stp>3</stp>
        <tr r="F1672" s="1"/>
      </tp>
      <tp>
        <v>16.876818620000002</v>
        <stp/>
        <stp>EM_S_PQ_PCTCHANGE</stp>
        <stp>4</stp>
        <stp>002023</stp>
        <stp>2018-01-01</stp>
        <stp>2019-12-31</stp>
        <stp>3</stp>
        <tr r="F1575" s="1"/>
      </tp>
      <tp>
        <v>27.39322533</v>
        <stp/>
        <stp>EM_S_PQ_PCTCHANGE</stp>
        <stp>4</stp>
        <stp>002232</stp>
        <stp>2018-12-31</stp>
        <stp>2019-12-30</stp>
        <stp>1</stp>
        <tr r="G1004" s="1"/>
      </tp>
      <tp>
        <v>0</v>
        <stp/>
        <stp>EM_S_PQ_PCTCHANGE</stp>
        <stp>4</stp>
        <stp>000024</stp>
        <stp>2019-01-01</stp>
        <stp>2019-12-31</stp>
        <stp>3</stp>
        <tr r="G2274" s="1"/>
      </tp>
      <tp>
        <v>0</v>
        <stp/>
        <stp>EM_S_PQ_PCTCHANGE</stp>
        <stp>4</stp>
        <stp>000024</stp>
        <stp>2018-01-01</stp>
        <stp>2019-12-31</stp>
        <stp>3</stp>
        <tr r="F2274" s="1"/>
      </tp>
      <tp>
        <v>157.2321757</v>
        <stp/>
        <stp>EM_S_PQ_PCTCHANGE</stp>
        <stp>4</stp>
        <stp>300014</stp>
        <stp>2018-01-01</stp>
        <stp>2019-12-31</stp>
        <stp>3</stp>
        <tr r="F40" s="1"/>
      </tp>
      <tp>
        <v>35.012285009999999</v>
        <stp/>
        <stp>EM_S_PQ_PCTCHANGE</stp>
        <stp>4</stp>
        <stp>300205</stp>
        <stp>2018-12-31</stp>
        <stp>2019-12-30</stp>
        <stp>1</stp>
        <tr r="G825" s="1"/>
      </tp>
      <tp>
        <v>-12.777777779999999</v>
        <stp/>
        <stp>EM_S_PQ_PCTCHANGE</stp>
        <stp>4</stp>
        <stp>600255</stp>
        <stp>2018-12-31</stp>
        <stp>2019-12-30</stp>
        <stp>1</stp>
        <tr r="G2860" s="1"/>
      </tp>
      <tp>
        <v>-16.22460508</v>
        <stp/>
        <stp>EM_S_PQ_PCTCHANGE</stp>
        <stp>4</stp>
        <stp>002024</stp>
        <stp>2018-01-01</stp>
        <stp>2019-12-31</stp>
        <stp>3</stp>
        <tr r="F2136" s="1"/>
      </tp>
      <tp>
        <v>66.213592230000003</v>
        <stp/>
        <stp>EM_S_PQ_PCTCHANGE</stp>
        <stp>4</stp>
        <stp>002235</stp>
        <stp>2018-12-31</stp>
        <stp>2019-12-30</stp>
        <stp>1</stp>
        <tr r="G359" s="1"/>
      </tp>
      <tp>
        <v>15.93406016</v>
        <stp/>
        <stp>EM_S_PQ_PCTCHANGE</stp>
        <stp>4</stp>
        <stp>000025</stp>
        <stp>2019-01-01</stp>
        <stp>2019-12-31</stp>
        <stp>3</stp>
        <tr r="G1436" s="1"/>
      </tp>
      <tp>
        <v>-20.161743049999998</v>
        <stp/>
        <stp>EM_S_PQ_PCTCHANGE</stp>
        <stp>4</stp>
        <stp>000025</stp>
        <stp>2018-01-01</stp>
        <stp>2019-12-31</stp>
        <stp>3</stp>
        <tr r="F1436" s="1"/>
      </tp>
      <tp>
        <v>153.35907456999999</v>
        <stp/>
        <stp>EM_S_PQ_PCTCHANGE</stp>
        <stp>4</stp>
        <stp>300015</stp>
        <stp>2018-01-01</stp>
        <stp>2019-12-31</stp>
        <stp>3</stp>
        <tr r="F607" s="1"/>
      </tp>
      <tp>
        <v>-0.81227437000000002</v>
        <stp/>
        <stp>EM_S_PQ_PCTCHANGE</stp>
        <stp>4</stp>
        <stp>300204</stp>
        <stp>2018-12-31</stp>
        <stp>2019-12-30</stp>
        <stp>1</stp>
        <tr r="G2375" s="1"/>
      </tp>
      <tp>
        <v>118.56508678</v>
        <stp/>
        <stp>EM_S_PQ_PCTCHANGE</stp>
        <stp>4</stp>
        <stp>603045</stp>
        <stp>2018-01-01</stp>
        <stp>2019-12-31</stp>
        <stp>3</stp>
        <tr r="F3358" s="1"/>
      </tp>
      <tp>
        <v>19.72574822</v>
        <stp/>
        <stp>EM_S_PQ_PCTCHANGE</stp>
        <stp>4</stp>
        <stp>002025</stp>
        <stp>2018-01-01</stp>
        <stp>2019-12-31</stp>
        <stp>3</stp>
        <tr r="F1156" s="1"/>
      </tp>
      <tp>
        <v>173.36244540999999</v>
        <stp/>
        <stp>EM_S_PQ_PCTCHANGE</stp>
        <stp>4</stp>
        <stp>002234</stp>
        <stp>2018-12-31</stp>
        <stp>2019-12-30</stp>
        <stp>1</stp>
        <tr r="G58" s="1"/>
      </tp>
      <tp>
        <v>56.607089299999998</v>
        <stp/>
        <stp>EM_S_PQ_PCTCHANGE</stp>
        <stp>4</stp>
        <stp>000026</stp>
        <stp>2019-01-01</stp>
        <stp>2019-12-31</stp>
        <stp>3</stp>
        <tr r="G462" s="1"/>
      </tp>
      <tp>
        <v>2.3453269300000001</v>
        <stp/>
        <stp>EM_S_PQ_PCTCHANGE</stp>
        <stp>4</stp>
        <stp>000026</stp>
        <stp>2018-01-01</stp>
        <stp>2019-12-31</stp>
        <stp>3</stp>
        <tr r="F462" s="1"/>
      </tp>
      <tp>
        <v>-0.28903826999999999</v>
        <stp/>
        <stp>EM_S_PQ_PCTCHANGE</stp>
        <stp>4</stp>
        <stp>300016</stp>
        <stp>2018-01-01</stp>
        <stp>2019-12-31</stp>
        <stp>3</stp>
        <tr r="F993" s="1"/>
      </tp>
      <tp>
        <v>131.66472643</v>
        <stp/>
        <stp>EM_S_PQ_PCTCHANGE</stp>
        <stp>4</stp>
        <stp>300207</stp>
        <stp>2018-12-31</stp>
        <stp>2019-12-30</stp>
        <stp>1</stp>
        <tr r="G108" s="1"/>
      </tp>
      <tp>
        <v>1.9138755999999999</v>
        <stp/>
        <stp>EM_S_PQ_PCTCHANGE</stp>
        <stp>4</stp>
        <stp>600257</stp>
        <stp>2018-12-31</stp>
        <stp>2019-12-30</stp>
        <stp>1</stp>
        <tr r="G2166" s="1"/>
      </tp>
      <tp>
        <v>-33.70031212</v>
        <stp/>
        <stp>EM_S_PQ_PCTCHANGE</stp>
        <stp>4</stp>
        <stp>002026</stp>
        <stp>2018-01-01</stp>
        <stp>2019-12-31</stp>
        <stp>3</stp>
        <tr r="F2623" s="1"/>
      </tp>
      <tp>
        <v>64.200477329999998</v>
        <stp/>
        <stp>EM_S_PQ_PCTCHANGE</stp>
        <stp>4</stp>
        <stp>002237</stp>
        <stp>2018-12-31</stp>
        <stp>2019-12-30</stp>
        <stp>1</stp>
        <tr r="G382" s="1"/>
      </tp>
      <tp>
        <v>19.274724800000001</v>
        <stp/>
        <stp>EM_S_PQ_PCTCHANGE</stp>
        <stp>4</stp>
        <stp>000027</stp>
        <stp>2019-01-01</stp>
        <stp>2019-12-31</stp>
        <stp>3</stp>
        <tr r="G1310" s="1"/>
      </tp>
      <tp>
        <v>5.0330028100000002</v>
        <stp/>
        <stp>EM_S_PQ_PCTCHANGE</stp>
        <stp>4</stp>
        <stp>000027</stp>
        <stp>2018-01-01</stp>
        <stp>2019-12-31</stp>
        <stp>3</stp>
        <tr r="F1310" s="1"/>
      </tp>
      <tp>
        <v>-9.99048582</v>
        <stp/>
        <stp>EM_S_PQ_PCTCHANGE</stp>
        <stp>4</stp>
        <stp>300017</stp>
        <stp>2018-01-01</stp>
        <stp>2019-12-31</stp>
        <stp>3</stp>
        <tr r="F1215" s="1"/>
      </tp>
      <tp>
        <v>22.469982850000001</v>
        <stp/>
        <stp>EM_S_PQ_PCTCHANGE</stp>
        <stp>4</stp>
        <stp>300206</stp>
        <stp>2018-12-31</stp>
        <stp>2019-12-30</stp>
        <stp>1</stp>
        <tr r="G1176" s="1"/>
      </tp>
      <tp>
        <v>-12.23404255</v>
        <stp/>
        <stp>EM_S_PQ_PCTCHANGE</stp>
        <stp>4</stp>
        <stp>600256</stp>
        <stp>2018-12-31</stp>
        <stp>2019-12-30</stp>
        <stp>1</stp>
        <tr r="G2837" s="1"/>
      </tp>
      <tp>
        <v>-45.091094499999997</v>
        <stp/>
        <stp>EM_S_PQ_PCTCHANGE</stp>
        <stp>4</stp>
        <stp>002027</stp>
        <stp>2018-01-01</stp>
        <stp>2019-12-31</stp>
        <stp>3</stp>
        <tr r="F1266" s="1"/>
      </tp>
      <tp>
        <v>73.909249560000006</v>
        <stp/>
        <stp>EM_S_PQ_PCTCHANGE</stp>
        <stp>4</stp>
        <stp>002236</stp>
        <stp>2018-12-31</stp>
        <stp>2019-12-30</stp>
        <stp>1</stp>
        <tr r="G283" s="1"/>
      </tp>
      <tp>
        <v>-5.3018347700000001</v>
        <stp/>
        <stp>EM_S_PQ_PCTCHANGE</stp>
        <stp>4</stp>
        <stp>601098</stp>
        <stp>2018-01-01</stp>
        <stp>2019-12-31</stp>
        <stp>3</stp>
        <tr r="F2563" s="1"/>
      </tp>
      <tp>
        <v>-4.5172838300000002</v>
        <stp/>
        <stp>EM_S_PQ_PCTCHANGE</stp>
        <stp>4</stp>
        <stp>600098</stp>
        <stp>2018-01-01</stp>
        <stp>2019-12-31</stp>
        <stp>3</stp>
        <tr r="F1455" s="1"/>
      </tp>
      <tp>
        <v>34.4</v>
        <stp/>
        <stp>EM_S_PQ_PCTCHANGE</stp>
        <stp>4</stp>
        <stp>600289</stp>
        <stp>2018-12-31</stp>
        <stp>2019-12-30</stp>
        <stp>1</stp>
        <tr r="G840" s="1"/>
      </tp>
      <tp>
        <v>-23.591360179999999</v>
        <stp/>
        <stp>EM_S_PQ_PCTCHANGE</stp>
        <stp>4</stp>
        <stp>603098</stp>
        <stp>2018-01-01</stp>
        <stp>2019-12-31</stp>
        <stp>3</stp>
        <tr r="F3054" s="1"/>
      </tp>
      <tp>
        <v>15.59748428</v>
        <stp/>
        <stp>EM_S_PQ_PCTCHANGE</stp>
        <stp>4</stp>
        <stp>603289</stp>
        <stp>2018-12-31</stp>
        <stp>2019-12-30</stp>
        <stp>1</stp>
        <tr r="G1451" s="1"/>
      </tp>
      <tp>
        <v>5.0660839400000004</v>
        <stp/>
        <stp>EM_S_PQ_PCTCHANGE</stp>
        <stp>4</stp>
        <stp>601099</stp>
        <stp>2018-01-01</stp>
        <stp>2019-12-31</stp>
        <stp>3</stp>
        <tr r="F526" s="1"/>
      </tp>
      <tp>
        <v>3.3333333299999999</v>
        <stp/>
        <stp>EM_S_PQ_PCTCHANGE</stp>
        <stp>4</stp>
        <stp>601288</stp>
        <stp>2018-12-31</stp>
        <stp>2019-12-30</stp>
        <stp>1</stp>
        <tr r="G2090" s="1"/>
      </tp>
      <tp>
        <v>-31.6872428</v>
        <stp/>
        <stp>EM_S_PQ_PCTCHANGE</stp>
        <stp>4</stp>
        <stp>600099</stp>
        <stp>2018-01-01</stp>
        <stp>2019-12-31</stp>
        <stp>3</stp>
        <tr r="F1401" s="1"/>
      </tp>
      <tp>
        <v>69.275362319999999</v>
        <stp/>
        <stp>EM_S_PQ_PCTCHANGE</stp>
        <stp>4</stp>
        <stp>600288</stp>
        <stp>2018-12-31</stp>
        <stp>2019-12-30</stp>
        <stp>1</stp>
        <tr r="G324" s="1"/>
      </tp>
      <tp>
        <v>-16.61212295</v>
        <stp/>
        <stp>EM_S_PQ_PCTCHANGE</stp>
        <stp>4</stp>
        <stp>603099</stp>
        <stp>2018-01-01</stp>
        <stp>2019-12-31</stp>
        <stp>3</stp>
        <tr r="F1625" s="1"/>
      </tp>
      <tp>
        <v>56.264534879999999</v>
        <stp/>
        <stp>EM_S_PQ_PCTCHANGE</stp>
        <stp>4</stp>
        <stp>603288</stp>
        <stp>2018-12-31</stp>
        <stp>2019-12-30</stp>
        <stp>1</stp>
        <tr r="G469" s="1"/>
      </tp>
      <tp>
        <v>-45.08802592</v>
        <stp/>
        <stp>EM_S_PQ_PCTCHANGE</stp>
        <stp>4</stp>
        <stp>600090</stp>
        <stp>2018-01-01</stp>
        <stp>2019-12-31</stp>
        <stp>3</stp>
        <tr r="F3138" s="1"/>
      </tp>
      <tp>
        <v>14.525139660000001</v>
        <stp/>
        <stp>EM_S_PQ_PCTCHANGE</stp>
        <stp>4</stp>
        <stp>600281</stp>
        <stp>2018-12-31</stp>
        <stp>2019-12-30</stp>
        <stp>1</stp>
        <tr r="G1503" s="1"/>
      </tp>
      <tp>
        <v>-15.91921887</v>
        <stp/>
        <stp>EM_S_PQ_PCTCHANGE</stp>
        <stp>4</stp>
        <stp>603090</stp>
        <stp>2018-01-01</stp>
        <stp>2019-12-31</stp>
        <stp>3</stp>
        <tr r="F1077" s="1"/>
      </tp>
      <tp>
        <v>-34.446397189999999</v>
        <stp/>
        <stp>EM_S_PQ_PCTCHANGE</stp>
        <stp>4</stp>
        <stp>600091</stp>
        <stp>2018-01-01</stp>
        <stp>2019-12-31</stp>
        <stp>3</stp>
        <tr r="F2402" s="1"/>
      </tp>
      <tp>
        <v>-15.07692308</v>
        <stp/>
        <stp>EM_S_PQ_PCTCHANGE</stp>
        <stp>4</stp>
        <stp>600280</stp>
        <stp>2018-12-31</stp>
        <stp>2019-12-30</stp>
        <stp>1</stp>
        <tr r="G2933" s="1"/>
      </tp>
      <tp>
        <v>0</v>
        <stp/>
        <stp>EM_S_PQ_PCTCHANGE</stp>
        <stp>4</stp>
        <stp>600092</stp>
        <stp>2018-01-01</stp>
        <stp>2019-12-31</stp>
        <stp>3</stp>
        <tr r="F2291" s="1"/>
      </tp>
      <tp>
        <v>-8.3035714299999999</v>
        <stp/>
        <stp>EM_S_PQ_PCTCHANGE</stp>
        <stp>4</stp>
        <stp>600283</stp>
        <stp>2018-12-31</stp>
        <stp>2019-12-30</stp>
        <stp>1</stp>
        <tr r="G2697" s="1"/>
      </tp>
      <tp>
        <v>73.618940249999994</v>
        <stp/>
        <stp>EM_S_PQ_PCTCHANGE</stp>
        <stp>4</stp>
        <stp>603283</stp>
        <stp>2018-12-31</stp>
        <stp>2019-12-30</stp>
        <stp>1</stp>
        <tr r="G288" s="1"/>
      </tp>
      <tp>
        <v>34.749034809999998</v>
        <stp/>
        <stp>EM_S_PQ_PCTCHANGE</stp>
        <stp>4</stp>
        <stp>600093</stp>
        <stp>2018-01-01</stp>
        <stp>2019-12-31</stp>
        <stp>3</stp>
        <tr r="F227" s="1"/>
      </tp>
      <tp>
        <v>0.29239766</v>
        <stp/>
        <stp>EM_S_PQ_PCTCHANGE</stp>
        <stp>4</stp>
        <stp>600282</stp>
        <stp>2018-12-31</stp>
        <stp>2019-12-30</stp>
        <stp>1</stp>
        <tr r="G2261" s="1"/>
      </tp>
      <tp>
        <v>-15.28393322</v>
        <stp/>
        <stp>EM_S_PQ_PCTCHANGE</stp>
        <stp>4</stp>
        <stp>600094</stp>
        <stp>2018-01-01</stp>
        <stp>2019-12-31</stp>
        <stp>3</stp>
        <tr r="F451" s="1"/>
      </tp>
      <tp>
        <v>27.393617020000001</v>
        <stp/>
        <stp>EM_S_PQ_PCTCHANGE</stp>
        <stp>4</stp>
        <stp>600285</stp>
        <stp>2018-12-31</stp>
        <stp>2019-12-30</stp>
        <stp>1</stp>
        <tr r="G1003" s="1"/>
      </tp>
      <tp>
        <v>59.343425019999998</v>
        <stp/>
        <stp>EM_S_PQ_PCTCHANGE</stp>
        <stp>4</stp>
        <stp>600095</stp>
        <stp>2018-01-01</stp>
        <stp>2019-12-31</stp>
        <stp>3</stp>
        <tr r="F100" s="1"/>
      </tp>
      <tp>
        <v>27.016129029999998</v>
        <stp/>
        <stp>EM_S_PQ_PCTCHANGE</stp>
        <stp>4</stp>
        <stp>600284</stp>
        <stp>2018-12-31</stp>
        <stp>2019-12-30</stp>
        <stp>1</stp>
        <tr r="G1018" s="1"/>
      </tp>
      <tp>
        <v>-25.977653629999999</v>
        <stp/>
        <stp>EM_S_PQ_PCTCHANGE</stp>
        <stp>4</stp>
        <stp>600096</stp>
        <stp>2018-01-01</stp>
        <stp>2019-12-31</stp>
        <stp>3</stp>
        <tr r="F2005" s="1"/>
      </tp>
      <tp>
        <v>23.917525770000001</v>
        <stp/>
        <stp>EM_S_PQ_PCTCHANGE</stp>
        <stp>4</stp>
        <stp>600287</stp>
        <stp>2018-12-31</stp>
        <stp>2019-12-30</stp>
        <stp>1</stp>
        <tr r="G1135" s="1"/>
      </tp>
      <tp>
        <v>-16.335643009999998</v>
        <stp/>
        <stp>EM_S_PQ_PCTCHANGE</stp>
        <stp>4</stp>
        <stp>603096</stp>
        <stp>2018-01-01</stp>
        <stp>2019-12-31</stp>
        <stp>3</stp>
        <tr r="F2758" s="1"/>
      </tp>
      <tp>
        <v>-39.650103600000001</v>
        <stp/>
        <stp>EM_S_PQ_PCTCHANGE</stp>
        <stp>4</stp>
        <stp>600097</stp>
        <stp>2018-01-01</stp>
        <stp>2019-12-31</stp>
        <stp>3</stp>
        <tr r="F2540" s="1"/>
      </tp>
      <tp>
        <v>0</v>
        <stp/>
        <stp>EM_S_PQ_PCTCHANGE</stp>
        <stp>4</stp>
        <stp>600286</stp>
        <stp>2018-12-31</stp>
        <stp>2019-12-30</stp>
        <stp>1</stp>
        <tr r="G2299" s="1"/>
      </tp>
      <tp>
        <v>8.6350974899999997</v>
        <stp/>
        <stp>EM_S_PQ_PCTCHANGE</stp>
        <stp>4</stp>
        <stp>603286</stp>
        <stp>2018-12-31</stp>
        <stp>2019-12-30</stp>
        <stp>1</stp>
        <tr r="G1812" s="1"/>
      </tp>
      <tp>
        <v>-13.649805280000001</v>
        <stp/>
        <stp>EM_S_PQ_PCTCHANGE</stp>
        <stp>4</stp>
        <stp>601088</stp>
        <stp>2018-01-01</stp>
        <stp>2019-12-31</stp>
        <stp>3</stp>
        <tr r="F2181" s="1"/>
      </tp>
      <tp>
        <v>0</v>
        <stp/>
        <stp>EM_S_PQ_PCTCHANGE</stp>
        <stp>4</stp>
        <stp>601299</stp>
        <stp>2018-12-31</stp>
        <stp>2019-12-30</stp>
        <stp>1</stp>
        <tr r="G2336" s="1"/>
      </tp>
      <tp>
        <v>22.482027810000002</v>
        <stp/>
        <stp>EM_S_PQ_PCTCHANGE</stp>
        <stp>4</stp>
        <stp>600088</stp>
        <stp>2018-01-01</stp>
        <stp>2019-12-31</stp>
        <stp>3</stp>
        <tr r="F412" s="1"/>
      </tp>
      <tp>
        <v>-4.7038327500000001</v>
        <stp/>
        <stp>EM_S_PQ_PCTCHANGE</stp>
        <stp>4</stp>
        <stp>600299</stp>
        <stp>2018-12-31</stp>
        <stp>2019-12-30</stp>
        <stp>1</stp>
        <tr r="G2551" s="1"/>
      </tp>
      <tp>
        <v>-56.938807990000001</v>
        <stp/>
        <stp>EM_S_PQ_PCTCHANGE</stp>
        <stp>4</stp>
        <stp>603088</stp>
        <stp>2018-01-01</stp>
        <stp>2019-12-31</stp>
        <stp>3</stp>
        <tr r="F3087" s="1"/>
      </tp>
      <tp>
        <v>33.723196880000003</v>
        <stp/>
        <stp>EM_S_PQ_PCTCHANGE</stp>
        <stp>4</stp>
        <stp>603299</stp>
        <stp>2018-12-31</stp>
        <stp>2019-12-30</stp>
        <stp>1</stp>
        <tr r="G852" s="1"/>
      </tp>
      <tp>
        <v>-29.04640041</v>
        <stp/>
        <stp>EM_S_PQ_PCTCHANGE</stp>
        <stp>4</stp>
        <stp>600089</stp>
        <stp>2018-01-01</stp>
        <stp>2019-12-31</stp>
        <stp>3</stp>
        <tr r="F2447" s="1"/>
      </tp>
      <tp>
        <v>20.0554895</v>
        <stp/>
        <stp>EM_S_PQ_PCTCHANGE</stp>
        <stp>4</stp>
        <stp>600298</stp>
        <stp>2018-12-31</stp>
        <stp>2019-12-30</stp>
        <stp>1</stp>
        <tr r="G1273" s="1"/>
      </tp>
      <tp>
        <v>-11.26821269</v>
        <stp/>
        <stp>EM_S_PQ_PCTCHANGE</stp>
        <stp>4</stp>
        <stp>603089</stp>
        <stp>2018-01-01</stp>
        <stp>2019-12-31</stp>
        <stp>3</stp>
        <tr r="F2683" s="1"/>
      </tp>
      <tp>
        <v>6.2605753000000002</v>
        <stp/>
        <stp>EM_S_PQ_PCTCHANGE</stp>
        <stp>4</stp>
        <stp>603298</stp>
        <stp>2018-12-31</stp>
        <stp>2019-12-30</stp>
        <stp>1</stp>
        <tr r="G1939" s="1"/>
      </tp>
      <tp>
        <v>-25.500583880000001</v>
        <stp/>
        <stp>EM_S_PQ_PCTCHANGE</stp>
        <stp>4</stp>
        <stp>600080</stp>
        <stp>2018-01-01</stp>
        <stp>2019-12-31</stp>
        <stp>3</stp>
        <tr r="F2993" s="1"/>
      </tp>
      <tp>
        <v>-10.981535470000001</v>
        <stp/>
        <stp>EM_S_PQ_PCTCHANGE</stp>
        <stp>4</stp>
        <stp>600291</stp>
        <stp>2018-12-31</stp>
        <stp>2019-12-30</stp>
        <stp>1</stp>
        <tr r="G2800" s="1"/>
      </tp>
      <tp>
        <v>22.677151540000001</v>
        <stp/>
        <stp>EM_S_PQ_PCTCHANGE</stp>
        <stp>4</stp>
        <stp>603080</stp>
        <stp>2018-01-01</stp>
        <stp>2019-12-31</stp>
        <stp>3</stp>
        <tr r="F3079" s="1"/>
      </tp>
      <tp>
        <v>-1.00967553</v>
        <stp/>
        <stp>EM_S_PQ_PCTCHANGE</stp>
        <stp>4</stp>
        <stp>600081</stp>
        <stp>2018-01-01</stp>
        <stp>2019-12-31</stp>
        <stp>3</stp>
        <tr r="F405" s="1"/>
      </tp>
      <tp>
        <v>-35.560344829999998</v>
        <stp/>
        <stp>EM_S_PQ_PCTCHANGE</stp>
        <stp>4</stp>
        <stp>600290</stp>
        <stp>2018-12-31</stp>
        <stp>2019-12-30</stp>
        <stp>1</stp>
        <tr r="G3277" s="1"/>
      </tp>
      <tp>
        <v>-36.714257609999997</v>
        <stp/>
        <stp>EM_S_PQ_PCTCHANGE</stp>
        <stp>4</stp>
        <stp>603081</stp>
        <stp>2018-01-01</stp>
        <stp>2019-12-31</stp>
        <stp>3</stp>
        <tr r="F617" s="1"/>
      </tp>
      <tp>
        <v>-33.068370850000001</v>
        <stp/>
        <stp>EM_S_PQ_PCTCHANGE</stp>
        <stp>4</stp>
        <stp>600082</stp>
        <stp>2018-01-01</stp>
        <stp>2019-12-31</stp>
        <stp>3</stp>
        <tr r="F2681" s="1"/>
      </tp>
      <tp>
        <v>-19.437340150000001</v>
        <stp/>
        <stp>EM_S_PQ_PCTCHANGE</stp>
        <stp>4</stp>
        <stp>600293</stp>
        <stp>2018-12-31</stp>
        <stp>2019-12-30</stp>
        <stp>1</stp>
        <tr r="G3052" s="1"/>
      </tp>
      <tp>
        <v>5.08140109</v>
        <stp/>
        <stp>EM_S_PQ_PCTCHANGE</stp>
        <stp>4</stp>
        <stp>600083</stp>
        <stp>2018-01-01</stp>
        <stp>2019-12-31</stp>
        <stp>3</stp>
        <tr r="F1494" s="1"/>
      </tp>
      <tp>
        <v>13.995943199999999</v>
        <stp/>
        <stp>EM_S_PQ_PCTCHANGE</stp>
        <stp>4</stp>
        <stp>600292</stp>
        <stp>2018-12-31</stp>
        <stp>2019-12-30</stp>
        <stp>1</stp>
        <tr r="G1533" s="1"/>
      </tp>
      <tp>
        <v>3.09095472</v>
        <stp/>
        <stp>EM_S_PQ_PCTCHANGE</stp>
        <stp>4</stp>
        <stp>603083</stp>
        <stp>2018-01-01</stp>
        <stp>2019-12-31</stp>
        <stp>3</stp>
        <tr r="F1659" s="1"/>
      </tp>
      <tp>
        <v>-65.425531910000004</v>
        <stp/>
        <stp>EM_S_PQ_PCTCHANGE</stp>
        <stp>4</stp>
        <stp>600084</stp>
        <stp>2018-01-01</stp>
        <stp>2019-12-31</stp>
        <stp>3</stp>
        <tr r="F2817" s="1"/>
      </tp>
      <tp>
        <v>19.06666667</v>
        <stp/>
        <stp>EM_S_PQ_PCTCHANGE</stp>
        <stp>4</stp>
        <stp>600295</stp>
        <stp>2018-12-31</stp>
        <stp>2019-12-30</stp>
        <stp>1</stp>
        <tr r="G1322" s="1"/>
      </tp>
      <tp>
        <v>-9.3567245999999997</v>
        <stp/>
        <stp>EM_S_PQ_PCTCHANGE</stp>
        <stp>4</stp>
        <stp>600085</stp>
        <stp>2018-01-01</stp>
        <stp>2019-12-31</stp>
        <stp>3</stp>
        <tr r="F2188" s="1"/>
      </tp>
      <tp>
        <v>-59.334150749999999</v>
        <stp/>
        <stp>EM_S_PQ_PCTCHANGE</stp>
        <stp>4</stp>
        <stp>603085</stp>
        <stp>2018-01-01</stp>
        <stp>2019-12-31</stp>
        <stp>3</stp>
        <tr r="F1947" s="1"/>
      </tp>
      <tp>
        <v>-34.456793230000002</v>
        <stp/>
        <stp>EM_S_PQ_PCTCHANGE</stp>
        <stp>4</stp>
        <stp>601086</stp>
        <stp>2018-01-01</stp>
        <stp>2019-12-31</stp>
        <stp>3</stp>
        <tr r="F2246" s="1"/>
      </tp>
      <tp>
        <v>-73.990610329999996</v>
        <stp/>
        <stp>EM_S_PQ_PCTCHANGE</stp>
        <stp>4</stp>
        <stp>600086</stp>
        <stp>2018-01-01</stp>
        <stp>2019-12-31</stp>
        <stp>3</stp>
        <tr r="F3319" s="1"/>
      </tp>
      <tp>
        <v>-19.7044335</v>
        <stp/>
        <stp>EM_S_PQ_PCTCHANGE</stp>
        <stp>4</stp>
        <stp>600297</stp>
        <stp>2018-12-31</stp>
        <stp>2019-12-30</stp>
        <stp>1</stp>
        <tr r="G3057" s="1"/>
      </tp>
      <tp>
        <v>-8.4889831299999994</v>
        <stp/>
        <stp>EM_S_PQ_PCTCHANGE</stp>
        <stp>4</stp>
        <stp>603086</stp>
        <stp>2018-01-01</stp>
        <stp>2019-12-31</stp>
        <stp>3</stp>
        <tr r="F1630" s="1"/>
      </tp>
      <tp>
        <v>0</v>
        <stp/>
        <stp>EM_S_PQ_PCTCHANGE</stp>
        <stp>4</stp>
        <stp>600087</stp>
        <stp>2018-01-01</stp>
        <stp>2019-12-31</stp>
        <stp>3</stp>
        <tr r="F2290" s="1"/>
      </tp>
      <tp>
        <v>0</v>
        <stp/>
        <stp>EM_S_PQ_PCTCHANGE</stp>
        <stp>4</stp>
        <stp>600296</stp>
        <stp>2018-12-31</stp>
        <stp>2019-12-30</stp>
        <stp>1</stp>
        <tr r="G2300" s="1"/>
      </tp>
      <tp>
        <v>-57.265481289999997</v>
        <stp/>
        <stp>EM_S_PQ_PCTCHANGE</stp>
        <stp>4</stp>
        <stp>002098</stp>
        <stp>2018-01-01</stp>
        <stp>2019-12-31</stp>
        <stp>3</stp>
        <tr r="F3633" s="1"/>
      </tp>
      <tp>
        <v>64.271047229999994</v>
        <stp/>
        <stp>EM_S_PQ_PCTCHANGE</stp>
        <stp>4</stp>
        <stp>002289</stp>
        <stp>2018-12-31</stp>
        <stp>2019-12-30</stp>
        <stp>1</stp>
        <tr r="G380" s="1"/>
      </tp>
      <tp>
        <v>31.399554139999999</v>
        <stp/>
        <stp>EM_S_PQ_PCTCHANGE</stp>
        <stp>4</stp>
        <stp>000099</stp>
        <stp>2019-01-01</stp>
        <stp>2019-12-31</stp>
        <stp>3</stp>
        <tr r="G899" s="1"/>
      </tp>
      <tp>
        <v>-17.728871730000002</v>
        <stp/>
        <stp>EM_S_PQ_PCTCHANGE</stp>
        <stp>4</stp>
        <stp>000099</stp>
        <stp>2018-01-01</stp>
        <stp>2019-12-31</stp>
        <stp>3</stp>
        <tr r="F899" s="1"/>
      </tp>
      <tp>
        <v>29.331493330000001</v>
        <stp/>
        <stp>EM_S_PQ_PCTCHANGE</stp>
        <stp>4</stp>
        <stp>002099</stp>
        <stp>2018-01-01</stp>
        <stp>2019-12-31</stp>
        <stp>3</stp>
        <tr r="F498" s="1"/>
      </tp>
      <tp>
        <v>6.4301552099999997</v>
        <stp/>
        <stp>EM_S_PQ_PCTCHANGE</stp>
        <stp>4</stp>
        <stp>002288</stp>
        <stp>2018-12-31</stp>
        <stp>2019-12-30</stp>
        <stp>1</stp>
        <tr r="G1928" s="1"/>
      </tp>
      <tp>
        <v>55.612333139999997</v>
        <stp/>
        <stp>EM_S_PQ_PCTCHANGE</stp>
        <stp>4</stp>
        <stp>000090</stp>
        <stp>2019-01-01</stp>
        <stp>2019-12-31</stp>
        <stp>3</stp>
        <tr r="G479" s="1"/>
      </tp>
      <tp>
        <v>-12.07154281</v>
        <stp/>
        <stp>EM_S_PQ_PCTCHANGE</stp>
        <stp>4</stp>
        <stp>000090</stp>
        <stp>2018-01-01</stp>
        <stp>2019-12-31</stp>
        <stp>3</stp>
        <tr r="F479" s="1"/>
      </tp>
      <tp>
        <v>-18.458036270000001</v>
        <stp/>
        <stp>EM_S_PQ_PCTCHANGE</stp>
        <stp>4</stp>
        <stp>002090</stp>
        <stp>2018-01-01</stp>
        <stp>2019-12-31</stp>
        <stp>3</stp>
        <tr r="F3281" s="1"/>
      </tp>
      <tp>
        <v>10.01489203</v>
        <stp/>
        <stp>EM_S_PQ_PCTCHANGE</stp>
        <stp>4</stp>
        <stp>002281</stp>
        <stp>2018-12-31</stp>
        <stp>2019-12-30</stp>
        <stp>1</stp>
        <tr r="G1737" s="1"/>
      </tp>
      <tp>
        <v>-18.211532850000001</v>
        <stp/>
        <stp>EM_S_PQ_PCTCHANGE</stp>
        <stp>4</stp>
        <stp>002091</stp>
        <stp>2018-01-01</stp>
        <stp>2019-12-31</stp>
        <stp>3</stp>
        <tr r="F1200" s="1"/>
      </tp>
      <tp>
        <v>1.0335917299999999</v>
        <stp/>
        <stp>EM_S_PQ_PCTCHANGE</stp>
        <stp>4</stp>
        <stp>002280</stp>
        <stp>2018-12-31</stp>
        <stp>2019-12-30</stp>
        <stp>1</stp>
        <tr r="G2214" s="1"/>
      </tp>
      <tp>
        <v>-47.226068519999998</v>
        <stp/>
        <stp>EM_S_PQ_PCTCHANGE</stp>
        <stp>4</stp>
        <stp>002092</stp>
        <stp>2018-01-01</stp>
        <stp>2019-12-31</stp>
        <stp>3</stp>
        <tr r="F2499" s="1"/>
      </tp>
      <tp>
        <v>9.8507462700000001</v>
        <stp/>
        <stp>EM_S_PQ_PCTCHANGE</stp>
        <stp>4</stp>
        <stp>002283</stp>
        <stp>2018-12-31</stp>
        <stp>2019-12-30</stp>
        <stp>1</stp>
        <tr r="G1746" s="1"/>
      </tp>
      <tp>
        <v>-14.86663684</v>
        <stp/>
        <stp>EM_S_PQ_PCTCHANGE</stp>
        <stp>4</stp>
        <stp>002093</stp>
        <stp>2018-01-01</stp>
        <stp>2019-12-31</stp>
        <stp>3</stp>
        <tr r="F3631" s="1"/>
      </tp>
      <tp>
        <v>0.23923444999999999</v>
        <stp/>
        <stp>EM_S_PQ_PCTCHANGE</stp>
        <stp>4</stp>
        <stp>002282</stp>
        <stp>2018-12-31</stp>
        <stp>2019-12-30</stp>
        <stp>1</stp>
        <tr r="G2263" s="1"/>
      </tp>
      <tp>
        <v>-53.351873990000001</v>
        <stp/>
        <stp>EM_S_PQ_PCTCHANGE</stp>
        <stp>4</stp>
        <stp>002094</stp>
        <stp>2018-01-01</stp>
        <stp>2019-12-31</stp>
        <stp>3</stp>
        <tr r="F2354" s="1"/>
      </tp>
      <tp>
        <v>-24.60629921</v>
        <stp/>
        <stp>EM_S_PQ_PCTCHANGE</stp>
        <stp>4</stp>
        <stp>002285</stp>
        <stp>2018-12-31</stp>
        <stp>2019-12-30</stp>
        <stp>1</stp>
        <tr r="G3147" s="1"/>
      </tp>
      <tp>
        <v>-35.850396420000003</v>
        <stp/>
        <stp>EM_S_PQ_PCTCHANGE</stp>
        <stp>4</stp>
        <stp>002095</stp>
        <stp>2018-01-01</stp>
        <stp>2019-12-31</stp>
        <stp>3</stp>
        <tr r="F1584" s="1"/>
      </tp>
      <tp>
        <v>21.176470590000001</v>
        <stp/>
        <stp>EM_S_PQ_PCTCHANGE</stp>
        <stp>4</stp>
        <stp>002284</stp>
        <stp>2018-12-31</stp>
        <stp>2019-12-30</stp>
        <stp>1</stp>
        <tr r="G1226" s="1"/>
      </tp>
      <tp>
        <v>23.50490568</v>
        <stp/>
        <stp>EM_S_PQ_PCTCHANGE</stp>
        <stp>4</stp>
        <stp>000096</stp>
        <stp>2019-01-01</stp>
        <stp>2019-12-31</stp>
        <stp>3</stp>
        <tr r="G1146" s="1"/>
      </tp>
      <tp>
        <v>-13.42286082</v>
        <stp/>
        <stp>EM_S_PQ_PCTCHANGE</stp>
        <stp>4</stp>
        <stp>000096</stp>
        <stp>2018-01-01</stp>
        <stp>2019-12-31</stp>
        <stp>3</stp>
        <tr r="F1146" s="1"/>
      </tp>
      <tp>
        <v>-20.502599400000001</v>
        <stp/>
        <stp>EM_S_PQ_PCTCHANGE</stp>
        <stp>4</stp>
        <stp>002096</stp>
        <stp>2018-01-01</stp>
        <stp>2019-12-31</stp>
        <stp>3</stp>
        <tr r="F3632" s="1"/>
      </tp>
      <tp>
        <v>-14.068745</v>
        <stp/>
        <stp>EM_S_PQ_PCTCHANGE</stp>
        <stp>4</stp>
        <stp>002287</stp>
        <stp>2018-12-31</stp>
        <stp>2019-12-30</stp>
        <stp>1</stp>
        <tr r="G2908" s="1"/>
      </tp>
      <tp>
        <v>-20.0684799</v>
        <stp/>
        <stp>EM_S_PQ_PCTCHANGE</stp>
        <stp>4</stp>
        <stp>002097</stp>
        <stp>2018-01-01</stp>
        <stp>2019-12-31</stp>
        <stp>3</stp>
        <tr r="F1946" s="1"/>
      </tp>
      <tp>
        <v>9.7069597099999996</v>
        <stp/>
        <stp>EM_S_PQ_PCTCHANGE</stp>
        <stp>4</stp>
        <stp>002286</stp>
        <stp>2018-12-31</stp>
        <stp>2019-12-30</stp>
        <stp>1</stp>
        <tr r="G1755" s="1"/>
      </tp>
      <tp>
        <v>13.216423799999999</v>
        <stp/>
        <stp>EM_S_PQ_PCTCHANGE</stp>
        <stp>4</stp>
        <stp>000088</stp>
        <stp>2019-01-01</stp>
        <stp>2019-12-31</stp>
        <stp>3</stp>
        <tr r="G1566" s="1"/>
      </tp>
      <tp>
        <v>-25.927397580000001</v>
        <stp/>
        <stp>EM_S_PQ_PCTCHANGE</stp>
        <stp>4</stp>
        <stp>000088</stp>
        <stp>2018-01-01</stp>
        <stp>2019-12-31</stp>
        <stp>3</stp>
        <tr r="F1566" s="1"/>
      </tp>
      <tp>
        <v>-10.803685679999999</v>
        <stp/>
        <stp>EM_S_PQ_PCTCHANGE</stp>
        <stp>4</stp>
        <stp>002088</stp>
        <stp>2018-01-01</stp>
        <stp>2019-12-31</stp>
        <stp>3</stp>
        <tr r="F1065" s="1"/>
      </tp>
      <tp>
        <v>45.102781139999998</v>
        <stp/>
        <stp>EM_S_PQ_PCTCHANGE</stp>
        <stp>4</stp>
        <stp>002299</stp>
        <stp>2018-12-31</stp>
        <stp>2019-12-30</stp>
        <stp>1</stp>
        <tr r="G644" s="1"/>
      </tp>
      <tp>
        <v>26.549637300000001</v>
        <stp/>
        <stp>EM_S_PQ_PCTCHANGE</stp>
        <stp>4</stp>
        <stp>000089</stp>
        <stp>2019-01-01</stp>
        <stp>2019-12-31</stp>
        <stp>3</stp>
        <tr r="G1035" s="1"/>
      </tp>
      <tp>
        <v>14.807369789999999</v>
        <stp/>
        <stp>EM_S_PQ_PCTCHANGE</stp>
        <stp>4</stp>
        <stp>000089</stp>
        <stp>2018-01-01</stp>
        <stp>2019-12-31</stp>
        <stp>3</stp>
        <tr r="F1035" s="1"/>
      </tp>
      <tp>
        <v>-67.081850529999997</v>
        <stp/>
        <stp>EM_S_PQ_PCTCHANGE</stp>
        <stp>4</stp>
        <stp>002089</stp>
        <stp>2018-01-01</stp>
        <stp>2019-12-31</stp>
        <stp>3</stp>
        <tr r="F3630" s="1"/>
      </tp>
      <tp>
        <v>27.457627120000001</v>
        <stp/>
        <stp>EM_S_PQ_PCTCHANGE</stp>
        <stp>4</stp>
        <stp>002298</stp>
        <stp>2018-12-31</stp>
        <stp>2019-12-30</stp>
        <stp>1</stp>
        <tr r="G1002" s="1"/>
      </tp>
      <tp>
        <v>1.4745214499999999</v>
        <stp/>
        <stp>EM_S_PQ_PCTCHANGE</stp>
        <stp>4</stp>
        <stp>002080</stp>
        <stp>2018-01-01</stp>
        <stp>2019-12-31</stp>
        <stp>3</stp>
        <tr r="F599" s="1"/>
      </tp>
      <tp>
        <v>298.21826281</v>
        <stp/>
        <stp>EM_S_PQ_PCTCHANGE</stp>
        <stp>4</stp>
        <stp>002291</stp>
        <stp>2018-12-31</stp>
        <stp>2019-12-30</stp>
        <stp>1</stp>
        <tr r="G28" s="1"/>
      </tp>
      <tp>
        <v>-40.506647020000003</v>
        <stp/>
        <stp>EM_S_PQ_PCTCHANGE</stp>
        <stp>4</stp>
        <stp>002081</stp>
        <stp>2018-01-01</stp>
        <stp>2019-12-31</stp>
        <stp>3</stp>
        <tr r="F1856" s="1"/>
      </tp>
      <tp>
        <v>-48.182762199999999</v>
        <stp/>
        <stp>EM_S_PQ_PCTCHANGE</stp>
        <stp>4</stp>
        <stp>002290</stp>
        <stp>2018-12-31</stp>
        <stp>2019-12-30</stp>
        <stp>1</stp>
        <tr r="G3357" s="1"/>
      </tp>
      <tp>
        <v>-32.355046530000003</v>
        <stp/>
        <stp>EM_S_PQ_PCTCHANGE</stp>
        <stp>4</stp>
        <stp>002082</stp>
        <stp>2018-01-01</stp>
        <stp>2019-12-31</stp>
        <stp>3</stp>
        <tr r="F3628" s="1"/>
      </tp>
      <tp>
        <v>5.3179190800000002</v>
        <stp/>
        <stp>EM_S_PQ_PCTCHANGE</stp>
        <stp>4</stp>
        <stp>002293</stp>
        <stp>2018-12-31</stp>
        <stp>2019-12-30</stp>
        <stp>1</stp>
        <tr r="G1996" s="1"/>
      </tp>
      <tp>
        <v>0.15299571000000001</v>
        <stp/>
        <stp>EM_S_PQ_PCTCHANGE</stp>
        <stp>4</stp>
        <stp>002083</stp>
        <stp>2018-01-01</stp>
        <stp>2019-12-31</stp>
        <stp>3</stp>
        <tr r="F1111" s="1"/>
      </tp>
      <tp>
        <v>74.028268550000007</v>
        <stp/>
        <stp>EM_S_PQ_PCTCHANGE</stp>
        <stp>4</stp>
        <stp>002292</stp>
        <stp>2018-12-31</stp>
        <stp>2019-12-30</stp>
        <stp>1</stp>
        <tr r="G282" s="1"/>
      </tp>
      <tp>
        <v>1.8382351400000001</v>
        <stp/>
        <stp>EM_S_PQ_PCTCHANGE</stp>
        <stp>4</stp>
        <stp>002084</stp>
        <stp>2018-01-01</stp>
        <stp>2019-12-31</stp>
        <stp>3</stp>
        <tr r="F346" s="1"/>
      </tp>
      <tp>
        <v>1.03492885</v>
        <stp/>
        <stp>EM_S_PQ_PCTCHANGE</stp>
        <stp>4</stp>
        <stp>002295</stp>
        <stp>2018-12-31</stp>
        <stp>2019-12-30</stp>
        <stp>1</stp>
        <tr r="G2213" s="1"/>
      </tp>
      <tp>
        <v>-58.210544179999999</v>
        <stp/>
        <stp>EM_S_PQ_PCTCHANGE</stp>
        <stp>4</stp>
        <stp>002085</stp>
        <stp>2018-01-01</stp>
        <stp>2019-12-31</stp>
        <stp>3</stp>
        <tr r="F2749" s="1"/>
      </tp>
      <tp>
        <v>-4.1168022999999998</v>
        <stp/>
        <stp>EM_S_PQ_PCTCHANGE</stp>
        <stp>4</stp>
        <stp>002294</stp>
        <stp>2018-12-31</stp>
        <stp>2019-12-30</stp>
        <stp>1</stp>
        <tr r="G2519" s="1"/>
      </tp>
      <tp>
        <v>-68.907563030000006</v>
        <stp/>
        <stp>EM_S_PQ_PCTCHANGE</stp>
        <stp>4</stp>
        <stp>002086</stp>
        <stp>2018-01-01</stp>
        <stp>2019-12-31</stp>
        <stp>3</stp>
        <tr r="F3629" s="1"/>
      </tp>
      <tp>
        <v>7.0469798700000004</v>
        <stp/>
        <stp>EM_S_PQ_PCTCHANGE</stp>
        <stp>4</stp>
        <stp>002297</stp>
        <stp>2018-12-31</stp>
        <stp>2019-12-30</stp>
        <stp>1</stp>
        <tr r="G1894" s="1"/>
      </tp>
      <tp>
        <v>-37.249892389999999</v>
        <stp/>
        <stp>EM_S_PQ_PCTCHANGE</stp>
        <stp>4</stp>
        <stp>002087</stp>
        <stp>2018-01-01</stp>
        <stp>2019-12-31</stp>
        <stp>3</stp>
        <tr r="F2227" s="1"/>
      </tp>
      <tp>
        <v>56.862745099999998</v>
        <stp/>
        <stp>EM_S_PQ_PCTCHANGE</stp>
        <stp>4</stp>
        <stp>002296</stp>
        <stp>2018-12-31</stp>
        <stp>2019-12-30</stp>
        <stp>1</stp>
        <tr r="G457" s="1"/>
      </tp>
      <tp>
        <v>36.842757110000001</v>
        <stp/>
        <stp>EM_S_PQ_PCTCHANGE</stp>
        <stp>4</stp>
        <stp>300088</stp>
        <stp>2018-01-01</stp>
        <stp>2019-12-31</stp>
        <stp>3</stp>
        <tr r="F96" s="1"/>
      </tp>
      <tp>
        <v>2.2774327099999998</v>
        <stp/>
        <stp>EM_S_PQ_PCTCHANGE</stp>
        <stp>4</stp>
        <stp>300299</stp>
        <stp>2018-12-31</stp>
        <stp>2019-12-30</stp>
        <stp>1</stp>
        <tr r="G2152" s="1"/>
      </tp>
      <tp>
        <v>-66.153846150000007</v>
        <stp/>
        <stp>EM_S_PQ_PCTCHANGE</stp>
        <stp>4</stp>
        <stp>300089</stp>
        <stp>2018-01-01</stp>
        <stp>2019-12-31</stp>
        <stp>3</stp>
        <tr r="F3253" s="1"/>
      </tp>
      <tp>
        <v>39.622641510000001</v>
        <stp/>
        <stp>EM_S_PQ_PCTCHANGE</stp>
        <stp>4</stp>
        <stp>300298</stp>
        <stp>2018-12-31</stp>
        <stp>2019-12-30</stp>
        <stp>1</stp>
        <tr r="G742" s="1"/>
      </tp>
      <tp>
        <v>-19.448698319999998</v>
        <stp/>
        <stp>EM_S_PQ_PCTCHANGE</stp>
        <stp>4</stp>
        <stp>300080</stp>
        <stp>2018-01-01</stp>
        <stp>2019-12-31</stp>
        <stp>3</stp>
        <tr r="F1199" s="1"/>
      </tp>
      <tp>
        <v>35.730337079999998</v>
        <stp/>
        <stp>EM_S_PQ_PCTCHANGE</stp>
        <stp>4</stp>
        <stp>300291</stp>
        <stp>2018-12-31</stp>
        <stp>2019-12-30</stp>
        <stp>1</stp>
        <tr r="G808" s="1"/>
      </tp>
      <tp>
        <v>-0.20316095000000001</v>
        <stp/>
        <stp>EM_S_PQ_PCTCHANGE</stp>
        <stp>4</stp>
        <stp>300081</stp>
        <stp>2018-01-01</stp>
        <stp>2019-12-31</stp>
        <stp>3</stp>
        <tr r="F1430" s="1"/>
      </tp>
      <tp>
        <v>8.3050847500000007</v>
        <stp/>
        <stp>EM_S_PQ_PCTCHANGE</stp>
        <stp>4</stp>
        <stp>300290</stp>
        <stp>2018-12-31</stp>
        <stp>2019-12-30</stp>
        <stp>1</stp>
        <tr r="G1839" s="1"/>
      </tp>
      <tp>
        <v>-5.3046520800000003</v>
        <stp/>
        <stp>EM_S_PQ_PCTCHANGE</stp>
        <stp>4</stp>
        <stp>300082</stp>
        <stp>2018-01-01</stp>
        <stp>2019-12-31</stp>
        <stp>3</stp>
        <tr r="F2238" s="1"/>
      </tp>
      <tp>
        <v>20.58823529</v>
        <stp/>
        <stp>EM_S_PQ_PCTCHANGE</stp>
        <stp>4</stp>
        <stp>300293</stp>
        <stp>2018-12-31</stp>
        <stp>2019-12-30</stp>
        <stp>1</stp>
        <tr r="G1253" s="1"/>
      </tp>
      <tp>
        <v>-47.430830039999996</v>
        <stp/>
        <stp>EM_S_PQ_PCTCHANGE</stp>
        <stp>4</stp>
        <stp>300083</stp>
        <stp>2018-01-01</stp>
        <stp>2019-12-31</stp>
        <stp>3</stp>
        <tr r="F377" s="1"/>
      </tp>
      <tp>
        <v>31.675392670000001</v>
        <stp/>
        <stp>EM_S_PQ_PCTCHANGE</stp>
        <stp>4</stp>
        <stp>300292</stp>
        <stp>2018-12-31</stp>
        <stp>2019-12-30</stp>
        <stp>1</stp>
        <tr r="G894" s="1"/>
      </tp>
      <tp>
        <v>-36.55004864</v>
        <stp/>
        <stp>EM_S_PQ_PCTCHANGE</stp>
        <stp>4</stp>
        <stp>300084</stp>
        <stp>2018-01-01</stp>
        <stp>2019-12-31</stp>
        <stp>3</stp>
        <tr r="F2639" s="1"/>
      </tp>
      <tp>
        <v>15.02145923</v>
        <stp/>
        <stp>EM_S_PQ_PCTCHANGE</stp>
        <stp>4</stp>
        <stp>300295</stp>
        <stp>2018-12-31</stp>
        <stp>2019-12-30</stp>
        <stp>1</stp>
        <tr r="G1480" s="1"/>
      </tp>
      <tp>
        <v>13.979344879999999</v>
        <stp/>
        <stp>EM_S_PQ_PCTCHANGE</stp>
        <stp>4</stp>
        <stp>300085</stp>
        <stp>2018-01-01</stp>
        <stp>2019-12-31</stp>
        <stp>3</stp>
        <tr r="F175" s="1"/>
      </tp>
      <tp>
        <v>14.042237869999999</v>
        <stp/>
        <stp>EM_S_PQ_PCTCHANGE</stp>
        <stp>4</stp>
        <stp>300294</stp>
        <stp>2018-12-31</stp>
        <stp>2019-12-30</stp>
        <stp>1</stp>
        <tr r="G1530" s="1"/>
      </tp>
      <tp>
        <v>-50.127407410000004</v>
        <stp/>
        <stp>EM_S_PQ_PCTCHANGE</stp>
        <stp>4</stp>
        <stp>300086</stp>
        <stp>2018-01-01</stp>
        <stp>2019-12-31</stp>
        <stp>3</stp>
        <tr r="F3069" s="1"/>
      </tp>
      <tp>
        <v>13.2</v>
        <stp/>
        <stp>EM_S_PQ_PCTCHANGE</stp>
        <stp>4</stp>
        <stp>300297</stp>
        <stp>2018-12-31</stp>
        <stp>2019-12-30</stp>
        <stp>1</stp>
        <tr r="G1570" s="1"/>
      </tp>
      <tp>
        <v>-5.79713704</v>
        <stp/>
        <stp>EM_S_PQ_PCTCHANGE</stp>
        <stp>4</stp>
        <stp>300087</stp>
        <stp>2018-01-01</stp>
        <stp>2019-12-31</stp>
        <stp>3</stp>
        <tr r="F2662" s="1"/>
      </tp>
      <tp>
        <v>2.3407022099999999</v>
        <stp/>
        <stp>EM_S_PQ_PCTCHANGE</stp>
        <stp>4</stp>
        <stp>300296</stp>
        <stp>2018-12-31</stp>
        <stp>2019-12-30</stp>
        <stp>1</stp>
        <tr r="G2149" s="1"/>
      </tp>
      <tp>
        <v>-32.908831059999997</v>
        <stp/>
        <stp>EM_S_PQ_PCTCHANGE</stp>
        <stp>4</stp>
        <stp>300098</stp>
        <stp>2018-01-01</stp>
        <stp>2019-12-31</stp>
        <stp>3</stp>
        <tr r="F2821" s="1"/>
      </tp>
      <tp>
        <v>-12.8983308</v>
        <stp/>
        <stp>EM_S_PQ_PCTCHANGE</stp>
        <stp>4</stp>
        <stp>300289</stp>
        <stp>2018-12-31</stp>
        <stp>2019-12-30</stp>
        <stp>1</stp>
        <tr r="G2864" s="1"/>
      </tp>
      <tp>
        <v>6.1170767100000001</v>
        <stp/>
        <stp>EM_S_PQ_PCTCHANGE</stp>
        <stp>4</stp>
        <stp>300099</stp>
        <stp>2018-01-01</stp>
        <stp>2019-12-31</stp>
        <stp>3</stp>
        <tr r="F551" s="1"/>
      </tp>
      <tp>
        <v>-6.0465116300000004</v>
        <stp/>
        <stp>EM_S_PQ_PCTCHANGE</stp>
        <stp>4</stp>
        <stp>300288</stp>
        <stp>2018-12-31</stp>
        <stp>2019-12-30</stp>
        <stp>1</stp>
        <tr r="G2609" s="1"/>
      </tp>
      <tp>
        <v>-85.281385279999995</v>
        <stp/>
        <stp>EM_S_PQ_PCTCHANGE</stp>
        <stp>4</stp>
        <stp>300090</stp>
        <stp>2018-01-01</stp>
        <stp>2019-12-31</stp>
        <stp>3</stp>
        <tr r="F3294" s="1"/>
      </tp>
      <tp>
        <v>34.666666669999998</v>
        <stp/>
        <stp>EM_S_PQ_PCTCHANGE</stp>
        <stp>4</stp>
        <stp>300281</stp>
        <stp>2018-12-31</stp>
        <stp>2019-12-30</stp>
        <stp>1</stp>
        <tr r="G832" s="1"/>
      </tp>
      <tp>
        <v>-54.001687769999997</v>
        <stp/>
        <stp>EM_S_PQ_PCTCHANGE</stp>
        <stp>4</stp>
        <stp>300091</stp>
        <stp>2018-01-01</stp>
        <stp>2019-12-31</stp>
        <stp>3</stp>
        <tr r="F1161" s="1"/>
      </tp>
      <tp>
        <v>-49.157829069999998</v>
        <stp/>
        <stp>EM_S_PQ_PCTCHANGE</stp>
        <stp>4</stp>
        <stp>300280</stp>
        <stp>2018-12-31</stp>
        <stp>2019-12-30</stp>
        <stp>1</stp>
        <tr r="G3363" s="1"/>
      </tp>
      <tp>
        <v>-12.14662375</v>
        <stp/>
        <stp>EM_S_PQ_PCTCHANGE</stp>
        <stp>4</stp>
        <stp>300092</stp>
        <stp>2018-01-01</stp>
        <stp>2019-12-31</stp>
        <stp>3</stp>
        <tr r="F1306" s="1"/>
      </tp>
      <tp>
        <v>0.67415729999999996</v>
        <stp/>
        <stp>EM_S_PQ_PCTCHANGE</stp>
        <stp>4</stp>
        <stp>300283</stp>
        <stp>2018-12-31</stp>
        <stp>2019-12-30</stp>
        <stp>1</stp>
        <tr r="G2236" s="1"/>
      </tp>
      <tp>
        <v>-2.6959587200000001</v>
        <stp/>
        <stp>EM_S_PQ_PCTCHANGE</stp>
        <stp>4</stp>
        <stp>300093</stp>
        <stp>2018-01-01</stp>
        <stp>2019-12-31</stp>
        <stp>3</stp>
        <tr r="F239" s="1"/>
      </tp>
      <tp>
        <v>-34.583333330000002</v>
        <stp/>
        <stp>EM_S_PQ_PCTCHANGE</stp>
        <stp>4</stp>
        <stp>300282</stp>
        <stp>2018-12-31</stp>
        <stp>2019-12-30</stp>
        <stp>1</stp>
        <tr r="G3268" s="1"/>
      </tp>
      <tp>
        <v>-38.262691779999997</v>
        <stp/>
        <stp>EM_S_PQ_PCTCHANGE</stp>
        <stp>4</stp>
        <stp>300094</stp>
        <stp>2018-01-01</stp>
        <stp>2019-12-31</stp>
        <stp>3</stp>
        <tr r="F2998" s="1"/>
      </tp>
      <tp>
        <v>39.172165569999997</v>
        <stp/>
        <stp>EM_S_PQ_PCTCHANGE</stp>
        <stp>4</stp>
        <stp>300285</stp>
        <stp>2018-12-31</stp>
        <stp>2019-12-30</stp>
        <stp>1</stp>
        <tr r="G750" s="1"/>
      </tp>
      <tp>
        <v>-25.81199385</v>
        <stp/>
        <stp>EM_S_PQ_PCTCHANGE</stp>
        <stp>4</stp>
        <stp>300095</stp>
        <stp>2018-01-01</stp>
        <stp>2019-12-31</stp>
        <stp>3</stp>
        <tr r="F950" s="1"/>
      </tp>
      <tp>
        <v>-22.08293153</v>
        <stp/>
        <stp>EM_S_PQ_PCTCHANGE</stp>
        <stp>4</stp>
        <stp>300284</stp>
        <stp>2018-12-31</stp>
        <stp>2019-12-30</stp>
        <stp>1</stp>
        <tr r="G3100" s="1"/>
      </tp>
      <tp>
        <v>-12.522522520000001</v>
        <stp/>
        <stp>EM_S_PQ_PCTCHANGE</stp>
        <stp>4</stp>
        <stp>300096</stp>
        <stp>2018-01-01</stp>
        <stp>2019-12-31</stp>
        <stp>3</stp>
        <tr r="F1359" s="1"/>
      </tp>
      <tp>
        <v>1.8518518500000001</v>
        <stp/>
        <stp>EM_S_PQ_PCTCHANGE</stp>
        <stp>4</stp>
        <stp>300287</stp>
        <stp>2018-12-31</stp>
        <stp>2019-12-30</stp>
        <stp>1</stp>
        <tr r="G2172" s="1"/>
      </tp>
      <tp>
        <v>-66.406872379999996</v>
        <stp/>
        <stp>EM_S_PQ_PCTCHANGE</stp>
        <stp>4</stp>
        <stp>300097</stp>
        <stp>2018-01-01</stp>
        <stp>2019-12-31</stp>
        <stp>3</stp>
        <tr r="F2911" s="1"/>
      </tp>
      <tp>
        <v>39.429928740000001</v>
        <stp/>
        <stp>EM_S_PQ_PCTCHANGE</stp>
        <stp>4</stp>
        <stp>300286</stp>
        <stp>2018-12-31</stp>
        <stp>2019-12-30</stp>
        <stp>1</stp>
        <tr r="G747" s="1"/>
      </tp>
      <tp>
        <v>34.152698979999997</v>
        <stp/>
        <stp>EM_S_PQ_PCTCHANGE</stp>
        <stp>4</stp>
        <stp>601138</stp>
        <stp>2018-01-01</stp>
        <stp>2019-12-31</stp>
        <stp>3</stp>
        <tr r="F537" s="1"/>
      </tp>
      <tp>
        <v>-13.44709555</v>
        <stp/>
        <stp>EM_S_PQ_PCTCHANGE</stp>
        <stp>4</stp>
        <stp>000158</stp>
        <stp>2018-01-01</stp>
        <stp>2019-12-31</stp>
        <stp>3</stp>
        <tr r="F3412" s="1"/>
      </tp>
      <tp>
        <v>14.8269441</v>
        <stp/>
        <stp>EM_S_PQ_PCTCHANGE</stp>
        <stp>4</stp>
        <stp>300168</stp>
        <stp>2018-01-01</stp>
        <stp>2019-12-31</stp>
        <stp>3</stp>
        <tr r="F960" s="1"/>
      </tp>
      <tp>
        <v>-38.647499510000003</v>
        <stp/>
        <stp>EM_S_PQ_PCTCHANGE</stp>
        <stp>4</stp>
        <stp>600138</stp>
        <stp>2018-01-01</stp>
        <stp>2019-12-31</stp>
        <stp>3</stp>
        <tr r="F2400" s="1"/>
      </tp>
      <tp>
        <v>9.0836012900000007</v>
        <stp/>
        <stp>EM_S_PQ_PCTCHANGE</stp>
        <stp>4</stp>
        <stp>600329</stp>
        <stp>2018-12-31</stp>
        <stp>2019-12-30</stp>
        <stp>1</stp>
        <tr r="G1791" s="1"/>
      </tp>
      <tp>
        <v>-27.893684839999999</v>
        <stp/>
        <stp>EM_S_PQ_PCTCHANGE</stp>
        <stp>4</stp>
        <stp>603138</stp>
        <stp>2018-01-01</stp>
        <stp>2019-12-31</stp>
        <stp>3</stp>
        <tr r="F2938" s="1"/>
      </tp>
      <tp>
        <v>-13.7279597</v>
        <stp/>
        <stp>EM_S_PQ_PCTCHANGE</stp>
        <stp>4</stp>
        <stp>603329</stp>
        <stp>2018-12-31</stp>
        <stp>2019-12-30</stp>
        <stp>1</stp>
        <tr r="G2895" s="1"/>
      </tp>
      <tp>
        <v>-19.97225285</v>
        <stp/>
        <stp>EM_S_PQ_PCTCHANGE</stp>
        <stp>4</stp>
        <stp>002158</stp>
        <stp>2018-01-01</stp>
        <stp>2019-12-31</stp>
        <stp>3</stp>
        <tr r="F1124" s="1"/>
      </tp>
      <tp>
        <v>-23.734729489999999</v>
        <stp/>
        <stp>EM_S_PQ_PCTCHANGE</stp>
        <stp>4</stp>
        <stp>002349</stp>
        <stp>2018-12-31</stp>
        <stp>2019-12-30</stp>
        <stp>1</stp>
        <tr r="G3126" s="1"/>
      </tp>
      <tp>
        <v>31.711399199999999</v>
        <stp/>
        <stp>EM_S_PQ_PCTCHANGE</stp>
        <stp>4</stp>
        <stp>601139</stp>
        <stp>2018-01-01</stp>
        <stp>2019-12-31</stp>
        <stp>3</stp>
        <tr r="F649" s="1"/>
      </tp>
      <tp>
        <v>-2.5906735799999998</v>
        <stp/>
        <stp>EM_S_PQ_PCTCHANGE</stp>
        <stp>4</stp>
        <stp>601328</stp>
        <stp>2018-12-31</stp>
        <stp>2019-12-30</stp>
        <stp>1</stp>
        <tr r="G2457" s="1"/>
      </tp>
      <tp>
        <v>8.3975246099999996</v>
        <stp/>
        <stp>EM_S_PQ_PCTCHANGE</stp>
        <stp>4</stp>
        <stp>000159</stp>
        <stp>2018-01-01</stp>
        <stp>2019-12-31</stp>
        <stp>3</stp>
        <tr r="F847" s="1"/>
      </tp>
      <tp>
        <v>-5.9504132199999997</v>
        <stp/>
        <stp>EM_S_PQ_PCTCHANGE</stp>
        <stp>4</stp>
        <stp>300169</stp>
        <stp>2018-01-01</stp>
        <stp>2019-12-31</stp>
        <stp>3</stp>
        <tr r="F1392" s="1"/>
      </tp>
      <tp>
        <v>50.663942800000001</v>
        <stp/>
        <stp>EM_S_PQ_PCTCHANGE</stp>
        <stp>4</stp>
        <stp>300378</stp>
        <stp>2018-12-31</stp>
        <stp>2019-12-30</stp>
        <stp>1</stp>
        <tr r="G552" s="1"/>
      </tp>
      <tp>
        <v>-52.949061659999998</v>
        <stp/>
        <stp>EM_S_PQ_PCTCHANGE</stp>
        <stp>4</stp>
        <stp>600139</stp>
        <stp>2018-01-01</stp>
        <stp>2019-12-31</stp>
        <stp>3</stp>
        <tr r="F1360" s="1"/>
      </tp>
      <tp>
        <v>19.562043800000001</v>
        <stp/>
        <stp>EM_S_PQ_PCTCHANGE</stp>
        <stp>4</stp>
        <stp>600328</stp>
        <stp>2018-12-31</stp>
        <stp>2019-12-30</stp>
        <stp>1</stp>
        <tr r="G1295" s="1"/>
      </tp>
      <tp>
        <v>-30.15644906</v>
        <stp/>
        <stp>EM_S_PQ_PCTCHANGE</stp>
        <stp>4</stp>
        <stp>603139</stp>
        <stp>2018-01-01</stp>
        <stp>2019-12-31</stp>
        <stp>3</stp>
        <tr r="F1742" s="1"/>
      </tp>
      <tp>
        <v>15.35353535</v>
        <stp/>
        <stp>EM_S_PQ_PCTCHANGE</stp>
        <stp>4</stp>
        <stp>603328</stp>
        <stp>2018-12-31</stp>
        <stp>2019-12-30</stp>
        <stp>1</stp>
        <tr r="G1464" s="1"/>
      </tp>
      <tp>
        <v>-34.660297239999998</v>
        <stp/>
        <stp>EM_S_PQ_PCTCHANGE</stp>
        <stp>4</stp>
        <stp>002159</stp>
        <stp>2018-01-01</stp>
        <stp>2019-12-31</stp>
        <stp>3</stp>
        <tr r="F3212" s="1"/>
      </tp>
      <tp>
        <v>4.2207792199999998</v>
        <stp/>
        <stp>EM_S_PQ_PCTCHANGE</stp>
        <stp>4</stp>
        <stp>002348</stp>
        <stp>2018-12-31</stp>
        <stp>2019-12-30</stp>
        <stp>1</stp>
        <tr r="G2047" s="1"/>
      </tp>
      <tp>
        <v>-69.179875129999999</v>
        <stp/>
        <stp>EM_S_PQ_PCTCHANGE</stp>
        <stp>4</stp>
        <stp>000150</stp>
        <stp>2018-01-01</stp>
        <stp>2019-12-31</stp>
        <stp>3</stp>
        <tr r="F3399" s="1"/>
      </tp>
      <tp>
        <v>-49.725312760000001</v>
        <stp/>
        <stp>EM_S_PQ_PCTCHANGE</stp>
        <stp>4</stp>
        <stp>300160</stp>
        <stp>2018-01-01</stp>
        <stp>2019-12-31</stp>
        <stp>3</stp>
        <tr r="F1712" s="1"/>
      </tp>
      <tp>
        <v>8.3265966000000002</v>
        <stp/>
        <stp>EM_S_PQ_PCTCHANGE</stp>
        <stp>4</stp>
        <stp>300371</stp>
        <stp>2018-12-31</stp>
        <stp>2019-12-30</stp>
        <stp>1</stp>
        <tr r="G1838" s="1"/>
      </tp>
      <tp>
        <v>-50</v>
        <stp/>
        <stp>EM_S_PQ_PCTCHANGE</stp>
        <stp>4</stp>
        <stp>600130</stp>
        <stp>2018-01-01</stp>
        <stp>2019-12-31</stp>
        <stp>3</stp>
        <tr r="F2075" s="1"/>
      </tp>
      <tp>
        <v>20.903954800000001</v>
        <stp/>
        <stp>EM_S_PQ_PCTCHANGE</stp>
        <stp>4</stp>
        <stp>600321</stp>
        <stp>2018-12-31</stp>
        <stp>2019-12-30</stp>
        <stp>1</stp>
        <tr r="G1240" s="1"/>
      </tp>
      <tp>
        <v>14.97175141</v>
        <stp/>
        <stp>EM_S_PQ_PCTCHANGE</stp>
        <stp>4</stp>
        <stp>603321</stp>
        <stp>2018-12-31</stp>
        <stp>2019-12-30</stp>
        <stp>1</stp>
        <tr r="G1483" s="1"/>
      </tp>
      <tp>
        <v>3.5338456100000002</v>
        <stp/>
        <stp>EM_S_PQ_PCTCHANGE</stp>
        <stp>4</stp>
        <stp>002150</stp>
        <stp>2018-01-01</stp>
        <stp>2019-12-31</stp>
        <stp>3</stp>
        <tr r="F1664" s="1"/>
      </tp>
      <tp>
        <v>-52.777777780000001</v>
        <stp/>
        <stp>EM_S_PQ_PCTCHANGE</stp>
        <stp>4</stp>
        <stp>002341</stp>
        <stp>2018-12-31</stp>
        <stp>2019-12-30</stp>
        <stp>1</stp>
        <tr r="G3376" s="1"/>
      </tp>
      <tp>
        <v>4.2844080699999996</v>
        <stp/>
        <stp>EM_S_PQ_PCTCHANGE</stp>
        <stp>4</stp>
        <stp>000151</stp>
        <stp>2019-01-01</stp>
        <stp>2019-12-31</stp>
        <stp>3</stp>
        <tr r="G2041" s="1"/>
      </tp>
      <tp>
        <v>-11.468159849999999</v>
        <stp/>
        <stp>EM_S_PQ_PCTCHANGE</stp>
        <stp>4</stp>
        <stp>000151</stp>
        <stp>2018-01-01</stp>
        <stp>2019-12-31</stp>
        <stp>3</stp>
        <tr r="F2041" s="1"/>
      </tp>
      <tp>
        <v>-12.302180809999999</v>
        <stp/>
        <stp>EM_S_PQ_PCTCHANGE</stp>
        <stp>4</stp>
        <stp>300161</stp>
        <stp>2018-01-01</stp>
        <stp>2019-12-31</stp>
        <stp>3</stp>
        <tr r="F705" s="1"/>
      </tp>
      <tp>
        <v>31.81818182</v>
        <stp/>
        <stp>EM_S_PQ_PCTCHANGE</stp>
        <stp>4</stp>
        <stp>300370</stp>
        <stp>2018-12-31</stp>
        <stp>2019-12-30</stp>
        <stp>1</stp>
        <tr r="G888" s="1"/>
      </tp>
      <tp>
        <v>190.18579968</v>
        <stp/>
        <stp>EM_S_PQ_PCTCHANGE</stp>
        <stp>4</stp>
        <stp>600131</stp>
        <stp>2018-01-01</stp>
        <stp>2019-12-31</stp>
        <stp>3</stp>
        <tr r="F38" s="1"/>
      </tp>
      <tp>
        <v>14.51104101</v>
        <stp/>
        <stp>EM_S_PQ_PCTCHANGE</stp>
        <stp>4</stp>
        <stp>600320</stp>
        <stp>2018-12-31</stp>
        <stp>2019-12-30</stp>
        <stp>1</stp>
        <tr r="G1504" s="1"/>
      </tp>
      <tp>
        <v>-6.78230003</v>
        <stp/>
        <stp>EM_S_PQ_PCTCHANGE</stp>
        <stp>4</stp>
        <stp>603131</stp>
        <stp>2018-01-01</stp>
        <stp>2019-12-31</stp>
        <stp>3</stp>
        <tr r="F2818" s="1"/>
      </tp>
      <tp>
        <v>-8.03522289</v>
        <stp/>
        <stp>EM_S_PQ_PCTCHANGE</stp>
        <stp>4</stp>
        <stp>603320</stp>
        <stp>2018-12-31</stp>
        <stp>2019-12-30</stp>
        <stp>1</stp>
        <tr r="G2682" s="1"/>
      </tp>
      <tp>
        <v>-20.73667785</v>
        <stp/>
        <stp>EM_S_PQ_PCTCHANGE</stp>
        <stp>4</stp>
        <stp>002151</stp>
        <stp>2018-01-01</stp>
        <stp>2019-12-31</stp>
        <stp>3</stp>
        <tr r="F1237" s="1"/>
      </tp>
      <tp>
        <v>27.34375</v>
        <stp/>
        <stp>EM_S_PQ_PCTCHANGE</stp>
        <stp>4</stp>
        <stp>002340</stp>
        <stp>2018-12-31</stp>
        <stp>2019-12-30</stp>
        <stp>1</stp>
        <tr r="G1005" s="1"/>
      </tp>
      <tp>
        <v>18.132856709999999</v>
        <stp/>
        <stp>EM_S_PQ_PCTCHANGE</stp>
        <stp>4</stp>
        <stp>300162</stp>
        <stp>2018-01-01</stp>
        <stp>2019-12-31</stp>
        <stp>3</stp>
        <tr r="F194" s="1"/>
      </tp>
      <tp>
        <v>19.598337950000001</v>
        <stp/>
        <stp>EM_S_PQ_PCTCHANGE</stp>
        <stp>4</stp>
        <stp>300373</stp>
        <stp>2018-12-31</stp>
        <stp>2019-12-30</stp>
        <stp>1</stp>
        <tr r="G1293" s="1"/>
      </tp>
      <tp>
        <v>161.09542214999999</v>
        <stp/>
        <stp>EM_S_PQ_PCTCHANGE</stp>
        <stp>4</stp>
        <stp>600132</stp>
        <stp>2018-01-01</stp>
        <stp>2019-12-31</stp>
        <stp>3</stp>
        <tr r="F313" s="1"/>
      </tp>
      <tp>
        <v>24.590163929999999</v>
        <stp/>
        <stp>EM_S_PQ_PCTCHANGE</stp>
        <stp>4</stp>
        <stp>600323</stp>
        <stp>2018-12-31</stp>
        <stp>2019-12-30</stp>
        <stp>1</stp>
        <tr r="G1110" s="1"/>
      </tp>
      <tp>
        <v>-13.58428805</v>
        <stp/>
        <stp>EM_S_PQ_PCTCHANGE</stp>
        <stp>4</stp>
        <stp>603323</stp>
        <stp>2018-12-31</stp>
        <stp>2019-12-30</stp>
        <stp>1</stp>
        <tr r="G2888" s="1"/>
      </tp>
      <tp>
        <v>35.39832303</v>
        <stp/>
        <stp>EM_S_PQ_PCTCHANGE</stp>
        <stp>4</stp>
        <stp>002152</stp>
        <stp>2018-01-01</stp>
        <stp>2019-12-31</stp>
        <stp>3</stp>
        <tr r="F279" s="1"/>
      </tp>
      <tp>
        <v>26.6075388</v>
        <stp/>
        <stp>EM_S_PQ_PCTCHANGE</stp>
        <stp>4</stp>
        <stp>002343</stp>
        <stp>2018-12-31</stp>
        <stp>2019-12-30</stp>
        <stp>1</stp>
        <tr r="G1031" s="1"/>
      </tp>
      <tp>
        <v>30.481566399999998</v>
        <stp/>
        <stp>EM_S_PQ_PCTCHANGE</stp>
        <stp>4</stp>
        <stp>000153</stp>
        <stp>2019-01-01</stp>
        <stp>2019-12-31</stp>
        <stp>3</stp>
        <tr r="G917" s="1"/>
      </tp>
      <tp>
        <v>-15.046767770000001</v>
        <stp/>
        <stp>EM_S_PQ_PCTCHANGE</stp>
        <stp>4</stp>
        <stp>000153</stp>
        <stp>2018-01-01</stp>
        <stp>2019-12-31</stp>
        <stp>3</stp>
        <tr r="F917" s="1"/>
      </tp>
      <tp>
        <v>-36.769759450000002</v>
        <stp/>
        <stp>EM_S_PQ_PCTCHANGE</stp>
        <stp>4</stp>
        <stp>300163</stp>
        <stp>2018-01-01</stp>
        <stp>2019-12-31</stp>
        <stp>3</stp>
        <tr r="F1700" s="1"/>
      </tp>
      <tp>
        <v>0</v>
        <stp/>
        <stp>EM_S_PQ_PCTCHANGE</stp>
        <stp>4</stp>
        <stp>300372</stp>
        <stp>2018-12-31</stp>
        <stp>2019-12-30</stp>
        <stp>1</stp>
        <tr r="G2283" s="1"/>
      </tp>
      <tp>
        <v>-41.066757969999998</v>
        <stp/>
        <stp>EM_S_PQ_PCTCHANGE</stp>
        <stp>4</stp>
        <stp>600133</stp>
        <stp>2018-01-01</stp>
        <stp>2019-12-31</stp>
        <stp>3</stp>
        <tr r="F2928" s="1"/>
      </tp>
      <tp>
        <v>-9.2307692299999999</v>
        <stp/>
        <stp>EM_S_PQ_PCTCHANGE</stp>
        <stp>4</stp>
        <stp>600322</stp>
        <stp>2018-12-31</stp>
        <stp>2019-12-30</stp>
        <stp>1</stp>
        <tr r="G2723" s="1"/>
      </tp>
      <tp>
        <v>-22.61962685</v>
        <stp/>
        <stp>EM_S_PQ_PCTCHANGE</stp>
        <stp>4</stp>
        <stp>603133</stp>
        <stp>2018-01-01</stp>
        <stp>2019-12-31</stp>
        <stp>3</stp>
        <tr r="F506" s="1"/>
      </tp>
      <tp>
        <v>-39.718392489999999</v>
        <stp/>
        <stp>EM_S_PQ_PCTCHANGE</stp>
        <stp>4</stp>
        <stp>603322</stp>
        <stp>2018-12-31</stp>
        <stp>2019-12-30</stp>
        <stp>1</stp>
        <tr r="G3308" s="1"/>
      </tp>
      <tp>
        <v>47.251621960000001</v>
        <stp/>
        <stp>EM_S_PQ_PCTCHANGE</stp>
        <stp>4</stp>
        <stp>002153</stp>
        <stp>2018-01-01</stp>
        <stp>2019-12-31</stp>
        <stp>3</stp>
        <tr r="F541" s="1"/>
      </tp>
      <tp>
        <v>-5.7401812699999999</v>
        <stp/>
        <stp>EM_S_PQ_PCTCHANGE</stp>
        <stp>4</stp>
        <stp>002342</stp>
        <stp>2018-12-31</stp>
        <stp>2019-12-30</stp>
        <stp>1</stp>
        <tr r="G2594" s="1"/>
      </tp>
      <tp>
        <v>-16.556591600000001</v>
        <stp/>
        <stp>EM_S_PQ_PCTCHANGE</stp>
        <stp>4</stp>
        <stp>300164</stp>
        <stp>2018-01-01</stp>
        <stp>2019-12-31</stp>
        <stp>3</stp>
        <tr r="F2988" s="1"/>
      </tp>
      <tp>
        <v>-34.565619220000002</v>
        <stp/>
        <stp>EM_S_PQ_PCTCHANGE</stp>
        <stp>4</stp>
        <stp>300375</stp>
        <stp>2018-12-31</stp>
        <stp>2019-12-30</stp>
        <stp>1</stp>
        <tr r="G3267" s="1"/>
      </tp>
      <tp>
        <v>25.322580649999999</v>
        <stp/>
        <stp>EM_S_PQ_PCTCHANGE</stp>
        <stp>4</stp>
        <stp>600325</stp>
        <stp>2018-12-31</stp>
        <stp>2019-12-30</stp>
        <stp>1</stp>
        <tr r="G1081" s="1"/>
      </tp>
      <tp>
        <v>-4.3793496000000003</v>
        <stp/>
        <stp>EM_S_PQ_PCTCHANGE</stp>
        <stp>4</stp>
        <stp>002154</stp>
        <stp>2018-01-01</stp>
        <stp>2019-12-31</stp>
        <stp>3</stp>
        <tr r="F1861" s="1"/>
      </tp>
      <tp>
        <v>-10.96196868</v>
        <stp/>
        <stp>EM_S_PQ_PCTCHANGE</stp>
        <stp>4</stp>
        <stp>002345</stp>
        <stp>2018-12-31</stp>
        <stp>2019-12-30</stp>
        <stp>1</stp>
        <tr r="G2799" s="1"/>
      </tp>
      <tp>
        <v>20.277777780000001</v>
        <stp/>
        <stp>EM_S_PQ_PCTCHANGE</stp>
        <stp>4</stp>
        <stp>000155</stp>
        <stp>2019-01-01</stp>
        <stp>2019-12-31</stp>
        <stp>3</stp>
        <tr r="G1263" s="1"/>
      </tp>
      <tp>
        <v>-28.192371479999998</v>
        <stp/>
        <stp>EM_S_PQ_PCTCHANGE</stp>
        <stp>4</stp>
        <stp>000155</stp>
        <stp>2018-01-01</stp>
        <stp>2019-12-31</stp>
        <stp>3</stp>
        <tr r="F1263" s="1"/>
      </tp>
      <tp>
        <v>-23.884697939999999</v>
        <stp/>
        <stp>EM_S_PQ_PCTCHANGE</stp>
        <stp>4</stp>
        <stp>300165</stp>
        <stp>2018-01-01</stp>
        <stp>2019-12-31</stp>
        <stp>3</stp>
        <tr r="F1207" s="1"/>
      </tp>
      <tp>
        <v>-0.30927834999999998</v>
        <stp/>
        <stp>EM_S_PQ_PCTCHANGE</stp>
        <stp>4</stp>
        <stp>300374</stp>
        <stp>2018-12-31</stp>
        <stp>2019-12-30</stp>
        <stp>1</stp>
        <tr r="G2349" s="1"/>
      </tp>
      <tp>
        <v>-33.955672300000003</v>
        <stp/>
        <stp>EM_S_PQ_PCTCHANGE</stp>
        <stp>4</stp>
        <stp>600135</stp>
        <stp>2018-01-01</stp>
        <stp>2019-12-31</stp>
        <stp>3</stp>
        <tr r="F1020" s="1"/>
      </tp>
      <tp>
        <v>-18.29585578</v>
        <stp/>
        <stp>EM_S_PQ_PCTCHANGE</stp>
        <stp>4</stp>
        <stp>002155</stp>
        <stp>2018-01-01</stp>
        <stp>2019-12-31</stp>
        <stp>3</stp>
        <tr r="F2369" s="1"/>
      </tp>
      <tp>
        <v>-3.2967032999999999</v>
        <stp/>
        <stp>EM_S_PQ_PCTCHANGE</stp>
        <stp>4</stp>
        <stp>002344</stp>
        <stp>2018-12-31</stp>
        <stp>2019-12-30</stp>
        <stp>1</stp>
        <tr r="G2491" s="1"/>
      </tp>
      <tp>
        <v>34.616481450000002</v>
        <stp/>
        <stp>EM_S_PQ_PCTCHANGE</stp>
        <stp>4</stp>
        <stp>000156</stp>
        <stp>2019-01-01</stp>
        <stp>2019-12-31</stp>
        <stp>3</stp>
        <tr r="G834" s="1"/>
      </tp>
      <tp>
        <v>-4.0637610500000001</v>
        <stp/>
        <stp>EM_S_PQ_PCTCHANGE</stp>
        <stp>4</stp>
        <stp>000156</stp>
        <stp>2018-01-01</stp>
        <stp>2019-12-31</stp>
        <stp>3</stp>
        <tr r="F834" s="1"/>
      </tp>
      <tp>
        <v>3.6683930400000002</v>
        <stp/>
        <stp>EM_S_PQ_PCTCHANGE</stp>
        <stp>4</stp>
        <stp>300166</stp>
        <stp>2018-01-01</stp>
        <stp>2019-12-31</stp>
        <stp>3</stp>
        <tr r="F1061" s="1"/>
      </tp>
      <tp>
        <v>2.4456521699999998</v>
        <stp/>
        <stp>EM_S_PQ_PCTCHANGE</stp>
        <stp>4</stp>
        <stp>300377</stp>
        <stp>2018-12-31</stp>
        <stp>2019-12-30</stp>
        <stp>1</stp>
        <tr r="G2142" s="1"/>
      </tp>
      <tp>
        <v>-11.41111454</v>
        <stp/>
        <stp>EM_S_PQ_PCTCHANGE</stp>
        <stp>4</stp>
        <stp>600136</stp>
        <stp>2018-01-01</stp>
        <stp>2019-12-31</stp>
        <stp>3</stp>
        <tr r="F571" s="1"/>
      </tp>
      <tp>
        <v>-15.048543690000001</v>
        <stp/>
        <stp>EM_S_PQ_PCTCHANGE</stp>
        <stp>4</stp>
        <stp>600327</stp>
        <stp>2018-12-31</stp>
        <stp>2019-12-30</stp>
        <stp>1</stp>
        <tr r="G2932" s="1"/>
      </tp>
      <tp>
        <v>-5.9420835299999997</v>
        <stp/>
        <stp>EM_S_PQ_PCTCHANGE</stp>
        <stp>4</stp>
        <stp>603136</stp>
        <stp>2018-01-01</stp>
        <stp>2019-12-31</stp>
        <stp>3</stp>
        <tr r="F2787" s="1"/>
      </tp>
      <tp>
        <v>25.018243210000001</v>
        <stp/>
        <stp>EM_S_PQ_PCTCHANGE</stp>
        <stp>4</stp>
        <stp>002156</stp>
        <stp>2018-01-01</stp>
        <stp>2019-12-31</stp>
        <stp>3</stp>
        <tr r="F102" s="1"/>
      </tp>
      <tp>
        <v>21.79836512</v>
        <stp/>
        <stp>EM_S_PQ_PCTCHANGE</stp>
        <stp>4</stp>
        <stp>002347</stp>
        <stp>2018-12-31</stp>
        <stp>2019-12-30</stp>
        <stp>1</stp>
        <tr r="G1192" s="1"/>
      </tp>
      <tp>
        <v>0.13817238000000001</v>
        <stp/>
        <stp>EM_S_PQ_PCTCHANGE</stp>
        <stp>4</stp>
        <stp>601137</stp>
        <stp>2018-01-01</stp>
        <stp>2019-12-31</stp>
        <stp>3</stp>
        <tr r="F356" s="1"/>
      </tp>
      <tp>
        <v>0.31847133999999999</v>
        <stp/>
        <stp>EM_S_PQ_PCTCHANGE</stp>
        <stp>4</stp>
        <stp>601326</stp>
        <stp>2018-12-31</stp>
        <stp>2019-12-30</stp>
        <stp>1</stp>
        <tr r="G2259" s="1"/>
      </tp>
      <tp>
        <v>63.340543699999998</v>
        <stp/>
        <stp>EM_S_PQ_PCTCHANGE</stp>
        <stp>4</stp>
        <stp>000157</stp>
        <stp>2018-01-01</stp>
        <stp>2019-12-31</stp>
        <stp>3</stp>
        <tr r="F223" s="1"/>
      </tp>
      <tp>
        <v>-44.994944390000001</v>
        <stp/>
        <stp>EM_S_PQ_PCTCHANGE</stp>
        <stp>4</stp>
        <stp>300167</stp>
        <stp>2018-01-01</stp>
        <stp>2019-12-31</stp>
        <stp>3</stp>
        <tr r="F2101" s="1"/>
      </tp>
      <tp>
        <v>8.5510688800000008</v>
        <stp/>
        <stp>EM_S_PQ_PCTCHANGE</stp>
        <stp>4</stp>
        <stp>300376</stp>
        <stp>2018-12-31</stp>
        <stp>2019-12-30</stp>
        <stp>1</stp>
        <tr r="G1822" s="1"/>
      </tp>
      <tp>
        <v>-38.257089610000001</v>
        <stp/>
        <stp>EM_S_PQ_PCTCHANGE</stp>
        <stp>4</stp>
        <stp>600137</stp>
        <stp>2018-01-01</stp>
        <stp>2019-12-31</stp>
        <stp>3</stp>
        <tr r="F896" s="1"/>
      </tp>
      <tp>
        <v>11.72839506</v>
        <stp/>
        <stp>EM_S_PQ_PCTCHANGE</stp>
        <stp>4</stp>
        <stp>600326</stp>
        <stp>2018-12-31</stp>
        <stp>2019-12-30</stp>
        <stp>1</stp>
        <tr r="G1643" s="1"/>
      </tp>
      <tp>
        <v>36.517857139999997</v>
        <stp/>
        <stp>EM_S_PQ_PCTCHANGE</stp>
        <stp>4</stp>
        <stp>603326</stp>
        <stp>2018-12-31</stp>
        <stp>2019-12-30</stp>
        <stp>1</stp>
        <tr r="G798" s="1"/>
      </tp>
      <tp>
        <v>187.37468683</v>
        <stp/>
        <stp>EM_S_PQ_PCTCHANGE</stp>
        <stp>4</stp>
        <stp>002157</stp>
        <stp>2018-01-01</stp>
        <stp>2019-12-31</stp>
        <stp>3</stp>
        <tr r="F45" s="1"/>
      </tp>
      <tp>
        <v>-10.16</v>
        <stp/>
        <stp>EM_S_PQ_PCTCHANGE</stp>
        <stp>4</stp>
        <stp>002346</stp>
        <stp>2018-12-31</stp>
        <stp>2019-12-30</stp>
        <stp>1</stp>
        <tr r="G2763" s="1"/>
      </tp>
      <tp>
        <v>34.58466147</v>
        <stp/>
        <stp>EM_S_PQ_PCTCHANGE</stp>
        <stp>4</stp>
        <stp>601128</stp>
        <stp>2018-01-01</stp>
        <stp>2019-12-31</stp>
        <stp>3</stp>
        <tr r="F693" s="1"/>
      </tp>
      <tp>
        <v>-27.848101270000001</v>
        <stp/>
        <stp>EM_S_PQ_PCTCHANGE</stp>
        <stp>4</stp>
        <stp>601339</stp>
        <stp>2018-12-31</stp>
        <stp>2019-12-30</stp>
        <stp>1</stp>
        <tr r="G3196" s="1"/>
      </tp>
      <tp>
        <v>-62.413692189999999</v>
        <stp/>
        <stp>EM_S_PQ_PCTCHANGE</stp>
        <stp>4</stp>
        <stp>300178</stp>
        <stp>2018-01-01</stp>
        <stp>2019-12-31</stp>
        <stp>3</stp>
        <tr r="F3346" s="1"/>
      </tp>
      <tp>
        <v>110.39260969999999</v>
        <stp/>
        <stp>EM_S_PQ_PCTCHANGE</stp>
        <stp>4</stp>
        <stp>300369</stp>
        <stp>2018-12-31</stp>
        <stp>2019-12-30</stp>
        <stp>1</stp>
        <tr r="G143" s="1"/>
      </tp>
      <tp>
        <v>-20.060450889999998</v>
        <stp/>
        <stp>EM_S_PQ_PCTCHANGE</stp>
        <stp>4</stp>
        <stp>600128</stp>
        <stp>2018-01-01</stp>
        <stp>2019-12-31</stp>
        <stp>3</stp>
        <tr r="F2583" s="1"/>
      </tp>
      <tp>
        <v>-8.5399449000000001</v>
        <stp/>
        <stp>EM_S_PQ_PCTCHANGE</stp>
        <stp>4</stp>
        <stp>600339</stp>
        <stp>2018-12-31</stp>
        <stp>2019-12-30</stp>
        <stp>1</stp>
        <tr r="G2706" s="1"/>
      </tp>
      <tp>
        <v>-21.215753679999999</v>
        <stp/>
        <stp>EM_S_PQ_PCTCHANGE</stp>
        <stp>4</stp>
        <stp>603128</stp>
        <stp>2018-01-01</stp>
        <stp>2019-12-31</stp>
        <stp>3</stp>
        <tr r="F1380" s="1"/>
      </tp>
      <tp>
        <v>-10.367892980000001</v>
        <stp/>
        <stp>EM_S_PQ_PCTCHANGE</stp>
        <stp>4</stp>
        <stp>603339</stp>
        <stp>2018-12-31</stp>
        <stp>2019-12-30</stp>
        <stp>1</stp>
        <tr r="G2771" s="1"/>
      </tp>
      <tp>
        <v>-42.300144260000003</v>
        <stp/>
        <stp>EM_S_PQ_PCTCHANGE</stp>
        <stp>4</stp>
        <stp>002148</stp>
        <stp>2018-01-01</stp>
        <stp>2019-12-31</stp>
        <stp>3</stp>
        <tr r="F2885" s="1"/>
      </tp>
      <tp>
        <v>-75.152253349999995</v>
        <stp/>
        <stp>EM_S_PQ_PCTCHANGE</stp>
        <stp>4</stp>
        <stp>002359</stp>
        <stp>2018-12-31</stp>
        <stp>2019-12-30</stp>
        <stp>1</stp>
        <tr r="G3401" s="1"/>
      </tp>
      <tp>
        <v>-0.17351907999999999</v>
        <stp/>
        <stp>EM_S_PQ_PCTCHANGE</stp>
        <stp>4</stp>
        <stp>300179</stp>
        <stp>2018-01-01</stp>
        <stp>2019-12-31</stp>
        <stp>3</stp>
        <tr r="F596" s="1"/>
      </tp>
      <tp>
        <v>43.033509700000003</v>
        <stp/>
        <stp>EM_S_PQ_PCTCHANGE</stp>
        <stp>4</stp>
        <stp>300368</stp>
        <stp>2018-12-31</stp>
        <stp>2019-12-30</stp>
        <stp>1</stp>
        <tr r="G686" s="1"/>
      </tp>
      <tp>
        <v>-29.814814949999999</v>
        <stp/>
        <stp>EM_S_PQ_PCTCHANGE</stp>
        <stp>4</stp>
        <stp>600129</stp>
        <stp>2018-01-01</stp>
        <stp>2019-12-31</stp>
        <stp>3</stp>
        <tr r="F892" s="1"/>
      </tp>
      <tp>
        <v>63.03721504</v>
        <stp/>
        <stp>EM_S_PQ_PCTCHANGE</stp>
        <stp>4</stp>
        <stp>603129</stp>
        <stp>2018-01-01</stp>
        <stp>2019-12-31</stp>
        <stp>3</stp>
        <tr r="F76" s="1"/>
      </tp>
      <tp>
        <v>26.722301139999999</v>
        <stp/>
        <stp>EM_S_PQ_PCTCHANGE</stp>
        <stp>4</stp>
        <stp>603338</stp>
        <stp>2018-12-31</stp>
        <stp>2019-12-30</stp>
        <stp>1</stp>
        <tr r="G1029" s="1"/>
      </tp>
      <tp>
        <v>-17.906423190000002</v>
        <stp/>
        <stp>EM_S_PQ_PCTCHANGE</stp>
        <stp>4</stp>
        <stp>002149</stp>
        <stp>2018-01-01</stp>
        <stp>2019-12-31</stp>
        <stp>3</stp>
        <tr r="F618" s="1"/>
      </tp>
      <tp>
        <v>-61.460674160000003</v>
        <stp/>
        <stp>EM_S_PQ_PCTCHANGE</stp>
        <stp>4</stp>
        <stp>002358</stp>
        <stp>2018-12-31</stp>
        <stp>2019-12-30</stp>
        <stp>1</stp>
        <tr r="G3394" s="1"/>
      </tp>
      <tp>
        <v>-18.228294049999999</v>
        <stp/>
        <stp>EM_S_PQ_PCTCHANGE</stp>
        <stp>4</stp>
        <stp>300170</stp>
        <stp>2018-01-01</stp>
        <stp>2019-12-31</stp>
        <stp>3</stp>
        <tr r="F2376" s="1"/>
      </tp>
      <tp>
        <v>0</v>
        <stp/>
        <stp>EM_S_PQ_PCTCHANGE</stp>
        <stp>4</stp>
        <stp>300361</stp>
        <stp>2018-12-31</stp>
        <stp>2019-12-30</stp>
        <stp>1</stp>
        <tr r="G9" s="1"/>
      </tp>
      <tp>
        <v>-14.995716760000001</v>
        <stp/>
        <stp>EM_S_PQ_PCTCHANGE</stp>
        <stp>4</stp>
        <stp>600120</stp>
        <stp>2018-01-01</stp>
        <stp>2019-12-31</stp>
        <stp>3</stp>
        <tr r="F3210" s="1"/>
      </tp>
      <tp>
        <v>31.188118809999999</v>
        <stp/>
        <stp>EM_S_PQ_PCTCHANGE</stp>
        <stp>4</stp>
        <stp>600331</stp>
        <stp>2018-12-31</stp>
        <stp>2019-12-30</stp>
        <stp>1</stp>
        <tr r="G903" s="1"/>
      </tp>
      <tp>
        <v>12.346521149999999</v>
        <stp/>
        <stp>EM_S_PQ_PCTCHANGE</stp>
        <stp>4</stp>
        <stp>603331</stp>
        <stp>2018-12-31</stp>
        <stp>2019-12-30</stp>
        <stp>1</stp>
        <tr r="G1621" s="1"/>
      </tp>
      <tp>
        <v>-23.22398535</v>
        <stp/>
        <stp>EM_S_PQ_PCTCHANGE</stp>
        <stp>4</stp>
        <stp>002140</stp>
        <stp>2018-01-01</stp>
        <stp>2019-12-31</stp>
        <stp>3</stp>
        <tr r="F1194" s="1"/>
      </tp>
      <tp>
        <v>354.45344130000001</v>
        <stp/>
        <stp>EM_S_PQ_PCTCHANGE</stp>
        <stp>4</stp>
        <stp>002351</stp>
        <stp>2018-12-31</stp>
        <stp>2019-12-30</stp>
        <stp>1</stp>
        <tr r="G22" s="1"/>
      </tp>
      <tp>
        <v>-15.34136546</v>
        <stp/>
        <stp>EM_S_PQ_PCTCHANGE</stp>
        <stp>4</stp>
        <stp>601330</stp>
        <stp>2018-12-31</stp>
        <stp>2019-12-30</stp>
        <stp>1</stp>
        <tr r="G2943" s="1"/>
      </tp>
      <tp>
        <v>-26.443752270000001</v>
        <stp/>
        <stp>EM_S_PQ_PCTCHANGE</stp>
        <stp>4</stp>
        <stp>300171</stp>
        <stp>2018-01-01</stp>
        <stp>2019-12-31</stp>
        <stp>3</stp>
        <tr r="F2262" s="1"/>
      </tp>
      <tp>
        <v>93.740458020000005</v>
        <stp/>
        <stp>EM_S_PQ_PCTCHANGE</stp>
        <stp>4</stp>
        <stp>300360</stp>
        <stp>2018-12-31</stp>
        <stp>2019-12-30</stp>
        <stp>1</stp>
        <tr r="G187" s="1"/>
      </tp>
      <tp>
        <v>-51.953640659999998</v>
        <stp/>
        <stp>EM_S_PQ_PCTCHANGE</stp>
        <stp>4</stp>
        <stp>600121</stp>
        <stp>2018-01-01</stp>
        <stp>2019-12-31</stp>
        <stp>3</stp>
        <tr r="F3036" s="1"/>
      </tp>
      <tp>
        <v>44.646098000000002</v>
        <stp/>
        <stp>EM_S_PQ_PCTCHANGE</stp>
        <stp>4</stp>
        <stp>600330</stp>
        <stp>2018-12-31</stp>
        <stp>2019-12-30</stp>
        <stp>1</stp>
        <tr r="G654" s="1"/>
      </tp>
      <tp>
        <v>-24.92552135</v>
        <stp/>
        <stp>EM_S_PQ_PCTCHANGE</stp>
        <stp>4</stp>
        <stp>603330</stp>
        <stp>2018-12-31</stp>
        <stp>2019-12-30</stp>
        <stp>1</stp>
        <tr r="G3151" s="1"/>
      </tp>
      <tp>
        <v>-53.603034129999998</v>
        <stp/>
        <stp>EM_S_PQ_PCTCHANGE</stp>
        <stp>4</stp>
        <stp>002141</stp>
        <stp>2018-01-01</stp>
        <stp>2019-12-31</stp>
        <stp>3</stp>
        <tr r="F2946" s="1"/>
      </tp>
      <tp>
        <v>-8.0592105299999997</v>
        <stp/>
        <stp>EM_S_PQ_PCTCHANGE</stp>
        <stp>4</stp>
        <stp>002350</stp>
        <stp>2018-12-31</stp>
        <stp>2019-12-30</stp>
        <stp>1</stp>
        <tr r="G2684" s="1"/>
      </tp>
      <tp>
        <v>-2.8481012699999999</v>
        <stp/>
        <stp>EM_S_PQ_PCTCHANGE</stp>
        <stp>4</stp>
        <stp>601333</stp>
        <stp>2018-12-31</stp>
        <stp>2019-12-30</stp>
        <stp>1</stp>
        <tr r="G2471" s="1"/>
      </tp>
      <tp>
        <v>-36.961024629999997</v>
        <stp/>
        <stp>EM_S_PQ_PCTCHANGE</stp>
        <stp>4</stp>
        <stp>300172</stp>
        <stp>2018-01-01</stp>
        <stp>2019-12-31</stp>
        <stp>3</stp>
        <tr r="F2415" s="1"/>
      </tp>
      <tp>
        <v>49.097065460000003</v>
        <stp/>
        <stp>EM_S_PQ_PCTCHANGE</stp>
        <stp>4</stp>
        <stp>300363</stp>
        <stp>2018-12-31</stp>
        <stp>2019-12-30</stp>
        <stp>1</stp>
        <tr r="G577" s="1"/>
      </tp>
      <tp>
        <v>-72.467436460000002</v>
        <stp/>
        <stp>EM_S_PQ_PCTCHANGE</stp>
        <stp>4</stp>
        <stp>600122</stp>
        <stp>2018-01-01</stp>
        <stp>2019-12-31</stp>
        <stp>3</stp>
        <tr r="F3190" s="1"/>
      </tp>
      <tp>
        <v>-7.5134168199999998</v>
        <stp/>
        <stp>EM_S_PQ_PCTCHANGE</stp>
        <stp>4</stp>
        <stp>600333</stp>
        <stp>2018-12-31</stp>
        <stp>2019-12-30</stp>
        <stp>1</stp>
        <tr r="G2670" s="1"/>
      </tp>
      <tp>
        <v>92.614770460000003</v>
        <stp/>
        <stp>EM_S_PQ_PCTCHANGE</stp>
        <stp>4</stp>
        <stp>603333</stp>
        <stp>2018-12-31</stp>
        <stp>2019-12-30</stp>
        <stp>1</stp>
        <tr r="G196" s="1"/>
      </tp>
      <tp>
        <v>64.797588129999994</v>
        <stp/>
        <stp>EM_S_PQ_PCTCHANGE</stp>
        <stp>4</stp>
        <stp>002142</stp>
        <stp>2018-01-01</stp>
        <stp>2019-12-31</stp>
        <stp>3</stp>
        <tr r="F303" s="1"/>
      </tp>
      <tp>
        <v>146.66666667000001</v>
        <stp/>
        <stp>EM_S_PQ_PCTCHANGE</stp>
        <stp>4</stp>
        <stp>002353</stp>
        <stp>2018-12-31</stp>
        <stp>2019-12-30</stp>
        <stp>1</stp>
        <tr r="G89" s="1"/>
      </tp>
      <tp>
        <v>-6.2261751900000002</v>
        <stp/>
        <stp>EM_S_PQ_PCTCHANGE</stp>
        <stp>4</stp>
        <stp>300173</stp>
        <stp>2018-01-01</stp>
        <stp>2019-12-31</stp>
        <stp>3</stp>
        <tr r="F450" s="1"/>
      </tp>
      <tp>
        <v>-48.374760989999999</v>
        <stp/>
        <stp>EM_S_PQ_PCTCHANGE</stp>
        <stp>4</stp>
        <stp>300362</stp>
        <stp>2018-12-31</stp>
        <stp>2019-12-30</stp>
        <stp>1</stp>
        <tr r="G3359" s="1"/>
      </tp>
      <tp>
        <v>-24.656253169999999</v>
        <stp/>
        <stp>EM_S_PQ_PCTCHANGE</stp>
        <stp>4</stp>
        <stp>600123</stp>
        <stp>2018-01-01</stp>
        <stp>2019-12-31</stp>
        <stp>3</stp>
        <tr r="F2399" s="1"/>
      </tp>
      <tp>
        <v>-5.8165548100000004</v>
        <stp/>
        <stp>EM_S_PQ_PCTCHANGE</stp>
        <stp>4</stp>
        <stp>600332</stp>
        <stp>2018-12-31</stp>
        <stp>2019-12-30</stp>
        <stp>1</stp>
        <tr r="G2596" s="1"/>
      </tp>
      <tp>
        <v>-7.1073066999999996</v>
        <stp/>
        <stp>EM_S_PQ_PCTCHANGE</stp>
        <stp>4</stp>
        <stp>603123</stp>
        <stp>2018-01-01</stp>
        <stp>2019-12-31</stp>
        <stp>3</stp>
        <tr r="F1396" s="1"/>
      </tp>
      <tp>
        <v>-98.10606061</v>
        <stp/>
        <stp>EM_S_PQ_PCTCHANGE</stp>
        <stp>4</stp>
        <stp>002143</stp>
        <stp>2018-01-01</stp>
        <stp>2019-12-31</stp>
        <stp>3</stp>
        <tr r="F3411" s="1"/>
      </tp>
      <tp>
        <v>15.114503819999999</v>
        <stp/>
        <stp>EM_S_PQ_PCTCHANGE</stp>
        <stp>4</stp>
        <stp>002352</stp>
        <stp>2018-12-31</stp>
        <stp>2019-12-30</stp>
        <stp>1</stp>
        <tr r="G1475" s="1"/>
      </tp>
      <tp>
        <v>-45.254874749999999</v>
        <stp/>
        <stp>EM_S_PQ_PCTCHANGE</stp>
        <stp>4</stp>
        <stp>300174</stp>
        <stp>2018-01-01</stp>
        <stp>2019-12-31</stp>
        <stp>3</stp>
        <tr r="F701" s="1"/>
      </tp>
      <tp>
        <v>-38.947368419999997</v>
        <stp/>
        <stp>EM_S_PQ_PCTCHANGE</stp>
        <stp>4</stp>
        <stp>300365</stp>
        <stp>2018-12-31</stp>
        <stp>2019-12-30</stp>
        <stp>1</stp>
        <tr r="G3299" s="1"/>
      </tp>
      <tp>
        <v>-6.5705128200000003</v>
        <stp/>
        <stp>EM_S_PQ_PCTCHANGE</stp>
        <stp>4</stp>
        <stp>600335</stp>
        <stp>2018-12-31</stp>
        <stp>2019-12-30</stp>
        <stp>1</stp>
        <tr r="G2633" s="1"/>
      </tp>
      <tp>
        <v>-20.39473684</v>
        <stp/>
        <stp>EM_S_PQ_PCTCHANGE</stp>
        <stp>4</stp>
        <stp>603335</stp>
        <stp>2018-12-31</stp>
        <stp>2019-12-30</stp>
        <stp>1</stp>
        <tr r="G3070" s="1"/>
      </tp>
      <tp>
        <v>-27.035230160000001</v>
        <stp/>
        <stp>EM_S_PQ_PCTCHANGE</stp>
        <stp>4</stp>
        <stp>002144</stp>
        <stp>2018-01-01</stp>
        <stp>2019-12-31</stp>
        <stp>3</stp>
        <tr r="F2202" s="1"/>
      </tp>
      <tp>
        <v>-8.9828269499999998</v>
        <stp/>
        <stp>EM_S_PQ_PCTCHANGE</stp>
        <stp>4</stp>
        <stp>002355</stp>
        <stp>2018-12-31</stp>
        <stp>2019-12-30</stp>
        <stp>1</stp>
        <tr r="G2718" s="1"/>
      </tp>
      <tp>
        <v>-18.573737789999999</v>
        <stp/>
        <stp>EM_S_PQ_PCTCHANGE</stp>
        <stp>4</stp>
        <stp>300175</stp>
        <stp>2018-01-01</stp>
        <stp>2019-12-31</stp>
        <stp>3</stp>
        <tr r="F630" s="1"/>
      </tp>
      <tp>
        <v>-14.46280992</v>
        <stp/>
        <stp>EM_S_PQ_PCTCHANGE</stp>
        <stp>4</stp>
        <stp>300364</stp>
        <stp>2018-12-31</stp>
        <stp>2019-12-30</stp>
        <stp>1</stp>
        <tr r="G2917" s="1"/>
      </tp>
      <tp>
        <v>-43.18601941</v>
        <stp/>
        <stp>EM_S_PQ_PCTCHANGE</stp>
        <stp>4</stp>
        <stp>600125</stp>
        <stp>2018-01-01</stp>
        <stp>2019-12-31</stp>
        <stp>3</stp>
        <tr r="F2904" s="1"/>
      </tp>
      <tp>
        <v>-26.37782855</v>
        <stp/>
        <stp>EM_S_PQ_PCTCHANGE</stp>
        <stp>4</stp>
        <stp>002145</stp>
        <stp>2018-01-01</stp>
        <stp>2019-12-31</stp>
        <stp>3</stp>
        <tr r="F805" s="1"/>
      </tp>
      <tp>
        <v>-45.229007629999998</v>
        <stp/>
        <stp>EM_S_PQ_PCTCHANGE</stp>
        <stp>4</stp>
        <stp>002354</stp>
        <stp>2018-12-31</stp>
        <stp>2019-12-30</stp>
        <stp>1</stp>
        <tr r="G3345" s="1"/>
      </tp>
      <tp>
        <v>-25.041857</v>
        <stp/>
        <stp>EM_S_PQ_PCTCHANGE</stp>
        <stp>4</stp>
        <stp>601126</stp>
        <stp>2018-01-01</stp>
        <stp>2019-12-31</stp>
        <stp>3</stp>
        <tr r="F1793" s="1"/>
      </tp>
      <tp>
        <v>-74.92299586</v>
        <stp/>
        <stp>EM_S_PQ_PCTCHANGE</stp>
        <stp>4</stp>
        <stp>300176</stp>
        <stp>2018-01-01</stp>
        <stp>2019-12-31</stp>
        <stp>3</stp>
        <tr r="F3402" s="1"/>
      </tp>
      <tp>
        <v>-50.732807219999998</v>
        <stp/>
        <stp>EM_S_PQ_PCTCHANGE</stp>
        <stp>4</stp>
        <stp>300367</stp>
        <stp>2018-12-31</stp>
        <stp>2019-12-30</stp>
        <stp>1</stp>
        <tr r="G3371" s="1"/>
      </tp>
      <tp>
        <v>-4.7586663299999996</v>
        <stp/>
        <stp>EM_S_PQ_PCTCHANGE</stp>
        <stp>4</stp>
        <stp>600126</stp>
        <stp>2018-01-01</stp>
        <stp>2019-12-31</stp>
        <stp>3</stp>
        <tr r="F1866" s="1"/>
      </tp>
      <tp>
        <v>10.88607595</v>
        <stp/>
        <stp>EM_S_PQ_PCTCHANGE</stp>
        <stp>4</stp>
        <stp>600337</stp>
        <stp>2018-12-31</stp>
        <stp>2019-12-30</stp>
        <stp>1</stp>
        <tr r="G1687" s="1"/>
      </tp>
      <tp>
        <v>-48.590009690000002</v>
        <stp/>
        <stp>EM_S_PQ_PCTCHANGE</stp>
        <stp>4</stp>
        <stp>603126</stp>
        <stp>2018-01-01</stp>
        <stp>2019-12-31</stp>
        <stp>3</stp>
        <tr r="F2549" s="1"/>
      </tp>
      <tp>
        <v>-43.581357320000002</v>
        <stp/>
        <stp>EM_S_PQ_PCTCHANGE</stp>
        <stp>4</stp>
        <stp>603337</stp>
        <stp>2018-12-31</stp>
        <stp>2019-12-30</stp>
        <stp>1</stp>
        <tr r="G3338" s="1"/>
      </tp>
      <tp>
        <v>14.09614024</v>
        <stp/>
        <stp>EM_S_PQ_PCTCHANGE</stp>
        <stp>4</stp>
        <stp>002146</stp>
        <stp>2018-01-01</stp>
        <stp>2019-12-31</stp>
        <stp>3</stp>
        <tr r="F1173" s="1"/>
      </tp>
      <tp>
        <v>12.568306010000001</v>
        <stp/>
        <stp>EM_S_PQ_PCTCHANGE</stp>
        <stp>4</stp>
        <stp>002357</stp>
        <stp>2018-12-31</stp>
        <stp>2019-12-30</stp>
        <stp>1</stp>
        <tr r="G1607" s="1"/>
      </tp>
      <tp>
        <v>-42.137010850000003</v>
        <stp/>
        <stp>EM_S_PQ_PCTCHANGE</stp>
        <stp>4</stp>
        <stp>601127</stp>
        <stp>2018-01-01</stp>
        <stp>2019-12-31</stp>
        <stp>3</stp>
        <tr r="F3258" s="1"/>
      </tp>
      <tp>
        <v>16.169507580000001</v>
        <stp/>
        <stp>EM_S_PQ_PCTCHANGE</stp>
        <stp>4</stp>
        <stp>601336</stp>
        <stp>2018-12-31</stp>
        <stp>2019-12-30</stp>
        <stp>1</stp>
        <tr r="G1427" s="1"/>
      </tp>
      <tp>
        <v>27.652257169999999</v>
        <stp/>
        <stp>EM_S_PQ_PCTCHANGE</stp>
        <stp>4</stp>
        <stp>300177</stp>
        <stp>2018-01-01</stp>
        <stp>2019-12-31</stp>
        <stp>3</stp>
        <tr r="F2865" s="1"/>
      </tp>
      <tp>
        <v>41.803278689999999</v>
        <stp/>
        <stp>EM_S_PQ_PCTCHANGE</stp>
        <stp>4</stp>
        <stp>300366</stp>
        <stp>2018-12-31</stp>
        <stp>2019-12-30</stp>
        <stp>1</stp>
        <tr r="G702" s="1"/>
      </tp>
      <tp>
        <v>-12.06140351</v>
        <stp/>
        <stp>EM_S_PQ_PCTCHANGE</stp>
        <stp>4</stp>
        <stp>600127</stp>
        <stp>2018-01-01</stp>
        <stp>2019-12-31</stp>
        <stp>3</stp>
        <tr r="F762" s="1"/>
      </tp>
      <tp>
        <v>29.6735905</v>
        <stp/>
        <stp>EM_S_PQ_PCTCHANGE</stp>
        <stp>4</stp>
        <stp>600336</stp>
        <stp>2018-12-31</stp>
        <stp>2019-12-30</stp>
        <stp>1</stp>
        <tr r="G936" s="1"/>
      </tp>
      <tp>
        <v>105.68027092</v>
        <stp/>
        <stp>EM_S_PQ_PCTCHANGE</stp>
        <stp>4</stp>
        <stp>603127</stp>
        <stp>2018-01-01</stp>
        <stp>2019-12-31</stp>
        <stp>3</stp>
        <tr r="F1307" s="1"/>
      </tp>
      <tp>
        <v>-11.639871380000001</v>
        <stp/>
        <stp>EM_S_PQ_PCTCHANGE</stp>
        <stp>4</stp>
        <stp>603336</stp>
        <stp>2018-12-31</stp>
        <stp>2019-12-30</stp>
        <stp>1</stp>
        <tr r="G2819" s="1"/>
      </tp>
      <tp>
        <v>-83.616692430000001</v>
        <stp/>
        <stp>EM_S_PQ_PCTCHANGE</stp>
        <stp>4</stp>
        <stp>002147</stp>
        <stp>2018-01-01</stp>
        <stp>2019-12-31</stp>
        <stp>3</stp>
        <tr r="F3244" s="1"/>
      </tp>
      <tp>
        <v>-70.244565219999998</v>
        <stp/>
        <stp>EM_S_PQ_PCTCHANGE</stp>
        <stp>4</stp>
        <stp>002356</stp>
        <stp>2018-12-31</stp>
        <stp>2019-12-30</stp>
        <stp>1</stp>
        <tr r="G3400" s="1"/>
      </tp>
      <tp>
        <v>-11.18217471</v>
        <stp/>
        <stp>EM_S_PQ_PCTCHANGE</stp>
        <stp>4</stp>
        <stp>601118</stp>
        <stp>2018-01-01</stp>
        <stp>2019-12-31</stp>
        <stp>3</stp>
        <tr r="F1724" s="1"/>
      </tp>
      <tp>
        <v>-51.847242119999997</v>
        <stp/>
        <stp>EM_S_PQ_PCTCHANGE</stp>
        <stp>4</stp>
        <stp>300148</stp>
        <stp>2018-01-01</stp>
        <stp>2019-12-31</stp>
        <stp>3</stp>
        <tr r="F2790" s="1"/>
      </tp>
      <tp>
        <v>-2.2222222199999999</v>
        <stp/>
        <stp>EM_S_PQ_PCTCHANGE</stp>
        <stp>4</stp>
        <stp>300359</stp>
        <stp>2018-12-31</stp>
        <stp>2019-12-30</stp>
        <stp>1</stp>
        <tr r="G2431" s="1"/>
      </tp>
      <tp>
        <v>-14.47728871</v>
        <stp/>
        <stp>EM_S_PQ_PCTCHANGE</stp>
        <stp>4</stp>
        <stp>600118</stp>
        <stp>2018-01-01</stp>
        <stp>2019-12-31</stp>
        <stp>3</stp>
        <tr r="F1129" s="1"/>
      </tp>
      <tp>
        <v>100.25008932</v>
        <stp/>
        <stp>EM_S_PQ_PCTCHANGE</stp>
        <stp>4</stp>
        <stp>600309</stp>
        <stp>2018-12-31</stp>
        <stp>2019-12-30</stp>
        <stp>1</stp>
        <tr r="G168" s="1"/>
      </tp>
      <tp>
        <v>35.27286213</v>
        <stp/>
        <stp>EM_S_PQ_PCTCHANGE</stp>
        <stp>4</stp>
        <stp>603118</stp>
        <stp>2018-01-01</stp>
        <stp>2019-12-31</stp>
        <stp>3</stp>
        <tr r="F261" s="1"/>
      </tp>
      <tp>
        <v>46.354166669999998</v>
        <stp/>
        <stp>EM_S_PQ_PCTCHANGE</stp>
        <stp>4</stp>
        <stp>603309</stp>
        <stp>2018-12-31</stp>
        <stp>2019-12-30</stp>
        <stp>1</stp>
        <tr r="G620" s="1"/>
      </tp>
      <tp>
        <v>-69.834413249999997</v>
        <stp/>
        <stp>EM_S_PQ_PCTCHANGE</stp>
        <stp>4</stp>
        <stp>002178</stp>
        <stp>2018-01-01</stp>
        <stp>2019-12-31</stp>
        <stp>3</stp>
        <tr r="F1588" s="1"/>
      </tp>
      <tp>
        <v>24.59459459</v>
        <stp/>
        <stp>EM_S_PQ_PCTCHANGE</stp>
        <stp>4</stp>
        <stp>002369</stp>
        <stp>2018-12-31</stp>
        <stp>2019-12-30</stp>
        <stp>1</stp>
        <tr r="G1109" s="1"/>
      </tp>
      <tp>
        <v>-13.03717149</v>
        <stp/>
        <stp>EM_S_PQ_PCTCHANGE</stp>
        <stp>4</stp>
        <stp>300149</stp>
        <stp>2018-01-01</stp>
        <stp>2019-12-31</stp>
        <stp>3</stp>
        <tr r="F2776" s="1"/>
      </tp>
      <tp>
        <v>-10.10362694</v>
        <stp/>
        <stp>EM_S_PQ_PCTCHANGE</stp>
        <stp>4</stp>
        <stp>300358</stp>
        <stp>2018-12-31</stp>
        <stp>2019-12-30</stp>
        <stp>1</stp>
        <tr r="G2761" s="1"/>
      </tp>
      <tp>
        <v>-60.233918129999999</v>
        <stp/>
        <stp>EM_S_PQ_PCTCHANGE</stp>
        <stp>4</stp>
        <stp>600119</stp>
        <stp>2018-01-01</stp>
        <stp>2019-12-31</stp>
        <stp>3</stp>
        <tr r="F3176" s="1"/>
      </tp>
      <tp>
        <v>5.2873563199999998</v>
        <stp/>
        <stp>EM_S_PQ_PCTCHANGE</stp>
        <stp>4</stp>
        <stp>600308</stp>
        <stp>2018-12-31</stp>
        <stp>2019-12-30</stp>
        <stp>1</stp>
        <tr r="G1999" s="1"/>
      </tp>
      <tp>
        <v>86.159600999999995</v>
        <stp/>
        <stp>EM_S_PQ_PCTCHANGE</stp>
        <stp>4</stp>
        <stp>603308</stp>
        <stp>2018-12-31</stp>
        <stp>2019-12-30</stp>
        <stp>1</stp>
        <tr r="G218" s="1"/>
      </tp>
      <tp>
        <v>29.682759579999999</v>
        <stp/>
        <stp>EM_S_PQ_PCTCHANGE</stp>
        <stp>4</stp>
        <stp>002179</stp>
        <stp>2018-01-01</stp>
        <stp>2019-12-31</stp>
        <stp>3</stp>
        <tr r="F1453" s="1"/>
      </tp>
      <tp>
        <v>69.827586210000007</v>
        <stp/>
        <stp>EM_S_PQ_PCTCHANGE</stp>
        <stp>4</stp>
        <stp>002368</stp>
        <stp>2018-12-31</stp>
        <stp>2019-12-30</stp>
        <stp>1</stp>
        <tr r="G315" s="1"/>
      </tp>
      <tp>
        <v>-37.69286022</v>
        <stp/>
        <stp>EM_S_PQ_PCTCHANGE</stp>
        <stp>4</stp>
        <stp>300140</stp>
        <stp>2018-01-01</stp>
        <stp>2019-12-31</stp>
        <stp>3</stp>
        <tr r="F1419" s="1"/>
      </tp>
      <tp>
        <v>7.6923076899999998</v>
        <stp/>
        <stp>EM_S_PQ_PCTCHANGE</stp>
        <stp>4</stp>
        <stp>300351</stp>
        <stp>2018-12-31</stp>
        <stp>2019-12-30</stp>
        <stp>1</stp>
        <tr r="G1871" s="1"/>
      </tp>
      <tp>
        <v>-50.046722940000002</v>
        <stp/>
        <stp>EM_S_PQ_PCTCHANGE</stp>
        <stp>4</stp>
        <stp>600110</stp>
        <stp>2018-01-01</stp>
        <stp>2019-12-31</stp>
        <stp>3</stp>
        <tr r="F1434" s="1"/>
      </tp>
      <tp>
        <v>11.84210526</v>
        <stp/>
        <stp>EM_S_PQ_PCTCHANGE</stp>
        <stp>4</stp>
        <stp>600301</stp>
        <stp>2018-12-31</stp>
        <stp>2019-12-30</stp>
        <stp>1</stp>
        <tr r="G1636" s="1"/>
      </tp>
      <tp>
        <v>-11.005844659999999</v>
        <stp/>
        <stp>EM_S_PQ_PCTCHANGE</stp>
        <stp>4</stp>
        <stp>603110</stp>
        <stp>2018-01-01</stp>
        <stp>2019-12-31</stp>
        <stp>3</stp>
        <tr r="F453" s="1"/>
      </tp>
      <tp>
        <v>-32.503937010000001</v>
        <stp/>
        <stp>EM_S_PQ_PCTCHANGE</stp>
        <stp>4</stp>
        <stp>603301</stp>
        <stp>2018-12-31</stp>
        <stp>2019-12-30</stp>
        <stp>1</stp>
        <tr r="G3245" s="1"/>
      </tp>
      <tp>
        <v>-49.149922719999999</v>
        <stp/>
        <stp>EM_S_PQ_PCTCHANGE</stp>
        <stp>4</stp>
        <stp>002170</stp>
        <stp>2018-01-01</stp>
        <stp>2019-12-31</stp>
        <stp>3</stp>
        <tr r="F1698" s="1"/>
      </tp>
      <tp>
        <v>19.23076923</v>
        <stp/>
        <stp>EM_S_PQ_PCTCHANGE</stp>
        <stp>4</stp>
        <stp>002361</stp>
        <stp>2018-12-31</stp>
        <stp>2019-12-30</stp>
        <stp>1</stp>
        <tr r="G1315" s="1"/>
      </tp>
      <tp>
        <v>-19.384092460000002</v>
        <stp/>
        <stp>EM_S_PQ_PCTCHANGE</stp>
        <stp>4</stp>
        <stp>601111</stp>
        <stp>2018-01-01</stp>
        <stp>2019-12-31</stp>
        <stp>3</stp>
        <tr r="F1102" s="1"/>
      </tp>
      <tp>
        <v>-42.972751909999999</v>
        <stp/>
        <stp>EM_S_PQ_PCTCHANGE</stp>
        <stp>4</stp>
        <stp>300141</stp>
        <stp>2018-01-01</stp>
        <stp>2019-12-31</stp>
        <stp>3</stp>
        <tr r="F2371" s="1"/>
      </tp>
      <tp>
        <v>-8.1128747800000003</v>
        <stp/>
        <stp>EM_S_PQ_PCTCHANGE</stp>
        <stp>4</stp>
        <stp>300350</stp>
        <stp>2018-12-31</stp>
        <stp>2019-12-30</stp>
        <stp>1</stp>
        <tr r="G2687" s="1"/>
      </tp>
      <tp>
        <v>-25.234570940000001</v>
        <stp/>
        <stp>EM_S_PQ_PCTCHANGE</stp>
        <stp>4</stp>
        <stp>600111</stp>
        <stp>2018-01-01</stp>
        <stp>2019-12-31</stp>
        <stp>3</stp>
        <tr r="F1118" s="1"/>
      </tp>
      <tp>
        <v>5.3191489399999998</v>
        <stp/>
        <stp>EM_S_PQ_PCTCHANGE</stp>
        <stp>4</stp>
        <stp>600300</stp>
        <stp>2018-12-31</stp>
        <stp>2019-12-30</stp>
        <stp>1</stp>
        <tr r="G1995" s="1"/>
      </tp>
      <tp>
        <v>-60.449026289999999</v>
        <stp/>
        <stp>EM_S_PQ_PCTCHANGE</stp>
        <stp>4</stp>
        <stp>603111</stp>
        <stp>2018-01-01</stp>
        <stp>2019-12-31</stp>
        <stp>3</stp>
        <tr r="F948" s="1"/>
      </tp>
      <tp>
        <v>64.791666669999998</v>
        <stp/>
        <stp>EM_S_PQ_PCTCHANGE</stp>
        <stp>4</stp>
        <stp>603300</stp>
        <stp>2018-12-31</stp>
        <stp>2019-12-30</stp>
        <stp>1</stp>
        <tr r="G370" s="1"/>
      </tp>
      <tp>
        <v>4.16797956</v>
        <stp/>
        <stp>EM_S_PQ_PCTCHANGE</stp>
        <stp>4</stp>
        <stp>002171</stp>
        <stp>2018-01-01</stp>
        <stp>2019-12-31</stp>
        <stp>3</stp>
        <tr r="F435" s="1"/>
      </tp>
      <tp>
        <v>-2.5641025599999998</v>
        <stp/>
        <stp>EM_S_PQ_PCTCHANGE</stp>
        <stp>4</stp>
        <stp>002360</stp>
        <stp>2018-12-31</stp>
        <stp>2019-12-30</stp>
        <stp>1</stp>
        <tr r="G2452" s="1"/>
      </tp>
      <tp>
        <v>77.953071989999998</v>
        <stp/>
        <stp>EM_S_PQ_PCTCHANGE</stp>
        <stp>4</stp>
        <stp>300142</stp>
        <stp>2018-01-01</stp>
        <stp>2019-12-31</stp>
        <stp>3</stp>
        <tr r="F360" s="1"/>
      </tp>
      <tp>
        <v>46.620847650000002</v>
        <stp/>
        <stp>EM_S_PQ_PCTCHANGE</stp>
        <stp>4</stp>
        <stp>300353</stp>
        <stp>2018-12-31</stp>
        <stp>2019-12-30</stp>
        <stp>1</stp>
        <tr r="G614" s="1"/>
      </tp>
      <tp>
        <v>-57.31707317</v>
        <stp/>
        <stp>EM_S_PQ_PCTCHANGE</stp>
        <stp>4</stp>
        <stp>600112</stp>
        <stp>2018-01-01</stp>
        <stp>2019-12-31</stp>
        <stp>3</stp>
        <tr r="F3347" s="1"/>
      </tp>
      <tp>
        <v>-10.23017903</v>
        <stp/>
        <stp>EM_S_PQ_PCTCHANGE</stp>
        <stp>4</stp>
        <stp>600303</stp>
        <stp>2018-12-31</stp>
        <stp>2019-12-30</stp>
        <stp>1</stp>
        <tr r="G2765" s="1"/>
      </tp>
      <tp>
        <v>-12.48945148</v>
        <stp/>
        <stp>EM_S_PQ_PCTCHANGE</stp>
        <stp>4</stp>
        <stp>603303</stp>
        <stp>2018-12-31</stp>
        <stp>2019-12-30</stp>
        <stp>1</stp>
        <tr r="G2847" s="1"/>
      </tp>
      <tp>
        <v>-37.770382699999999</v>
        <stp/>
        <stp>EM_S_PQ_PCTCHANGE</stp>
        <stp>4</stp>
        <stp>002172</stp>
        <stp>2018-01-01</stp>
        <stp>2019-12-31</stp>
        <stp>3</stp>
        <tr r="F2424" s="1"/>
      </tp>
      <tp>
        <v>26.050420169999999</v>
        <stp/>
        <stp>EM_S_PQ_PCTCHANGE</stp>
        <stp>4</stp>
        <stp>002363</stp>
        <stp>2018-12-31</stp>
        <stp>2019-12-30</stp>
        <stp>1</stp>
        <tr r="G1055" s="1"/>
      </tp>
      <tp>
        <v>-75.909724859999997</v>
        <stp/>
        <stp>EM_S_PQ_PCTCHANGE</stp>
        <stp>4</stp>
        <stp>601113</stp>
        <stp>2018-01-01</stp>
        <stp>2019-12-31</stp>
        <stp>3</stp>
        <tr r="F3390" s="1"/>
      </tp>
      <tp>
        <v>-30.226741740000001</v>
        <stp/>
        <stp>EM_S_PQ_PCTCHANGE</stp>
        <stp>4</stp>
        <stp>300143</stp>
        <stp>2018-01-01</stp>
        <stp>2019-12-31</stp>
        <stp>3</stp>
        <tr r="F2121" s="1"/>
      </tp>
      <tp>
        <v>121.27659574</v>
        <stp/>
        <stp>EM_S_PQ_PCTCHANGE</stp>
        <stp>4</stp>
        <stp>300352</stp>
        <stp>2018-12-31</stp>
        <stp>2019-12-30</stp>
        <stp>1</stp>
        <tr r="G122" s="1"/>
      </tp>
      <tp>
        <v>-20.980923829999998</v>
        <stp/>
        <stp>EM_S_PQ_PCTCHANGE</stp>
        <stp>4</stp>
        <stp>600113</stp>
        <stp>2018-01-01</stp>
        <stp>2019-12-31</stp>
        <stp>3</stp>
        <tr r="F2268" s="1"/>
      </tp>
      <tp>
        <v>14.38356164</v>
        <stp/>
        <stp>EM_S_PQ_PCTCHANGE</stp>
        <stp>4</stp>
        <stp>600302</stp>
        <stp>2018-12-31</stp>
        <stp>2019-12-30</stp>
        <stp>1</stp>
        <tr r="G1508" s="1"/>
      </tp>
      <tp>
        <v>-50.226700289999997</v>
        <stp/>
        <stp>EM_S_PQ_PCTCHANGE</stp>
        <stp>4</stp>
        <stp>603113</stp>
        <stp>2018-01-01</stp>
        <stp>2019-12-31</stp>
        <stp>3</stp>
        <tr r="F2475" s="1"/>
      </tp>
      <tp>
        <v>0</v>
        <stp/>
        <stp>EM_S_PQ_PCTCHANGE</stp>
        <stp>4</stp>
        <stp>603302</stp>
        <stp>2018-12-31</stp>
        <stp>2019-12-30</stp>
        <stp>1</stp>
        <tr r="G14" s="1"/>
      </tp>
      <tp>
        <v>-53.732081219999998</v>
        <stp/>
        <stp>EM_S_PQ_PCTCHANGE</stp>
        <stp>4</stp>
        <stp>002173</stp>
        <stp>2018-01-01</stp>
        <stp>2019-12-31</stp>
        <stp>3</stp>
        <tr r="F2881" s="1"/>
      </tp>
      <tp>
        <v>20</v>
        <stp/>
        <stp>EM_S_PQ_PCTCHANGE</stp>
        <stp>4</stp>
        <stp>002362</stp>
        <stp>2018-12-31</stp>
        <stp>2019-12-30</stp>
        <stp>1</stp>
        <tr r="G1277" s="1"/>
      </tp>
      <tp>
        <v>67.529053309999995</v>
        <stp/>
        <stp>EM_S_PQ_PCTCHANGE</stp>
        <stp>4</stp>
        <stp>300144</stp>
        <stp>2018-01-01</stp>
        <stp>2019-12-31</stp>
        <stp>3</stp>
        <tr r="F664" s="1"/>
      </tp>
      <tp>
        <v>-13.367609249999999</v>
        <stp/>
        <stp>EM_S_PQ_PCTCHANGE</stp>
        <stp>4</stp>
        <stp>300355</stp>
        <stp>2018-12-31</stp>
        <stp>2019-12-30</stp>
        <stp>1</stp>
        <tr r="G2877" s="1"/>
      </tp>
      <tp>
        <v>-11.25205184</v>
        <stp/>
        <stp>EM_S_PQ_PCTCHANGE</stp>
        <stp>4</stp>
        <stp>600114</stp>
        <stp>2018-01-01</stp>
        <stp>2019-12-31</stp>
        <stp>3</stp>
        <tr r="F729" s="1"/>
      </tp>
      <tp>
        <v>43.55769231</v>
        <stp/>
        <stp>EM_S_PQ_PCTCHANGE</stp>
        <stp>4</stp>
        <stp>600305</stp>
        <stp>2018-12-31</stp>
        <stp>2019-12-30</stp>
        <stp>1</stp>
        <tr r="G676" s="1"/>
      </tp>
      <tp>
        <v>9.7633136100000009</v>
        <stp/>
        <stp>EM_S_PQ_PCTCHANGE</stp>
        <stp>4</stp>
        <stp>603305</stp>
        <stp>2018-12-31</stp>
        <stp>2019-12-30</stp>
        <stp>1</stp>
        <tr r="G1751" s="1"/>
      </tp>
      <tp>
        <v>4.8831928199999997</v>
        <stp/>
        <stp>EM_S_PQ_PCTCHANGE</stp>
        <stp>4</stp>
        <stp>002174</stp>
        <stp>2018-01-01</stp>
        <stp>2019-12-31</stp>
        <stp>3</stp>
        <tr r="F1138" s="1"/>
      </tp>
      <tp>
        <v>-8.2375478900000001</v>
        <stp/>
        <stp>EM_S_PQ_PCTCHANGE</stp>
        <stp>4</stp>
        <stp>002365</stp>
        <stp>2018-12-31</stp>
        <stp>2019-12-30</stp>
        <stp>1</stp>
        <tr r="G2692" s="1"/>
      </tp>
      <tp>
        <v>-53.236544430000002</v>
        <stp/>
        <stp>EM_S_PQ_PCTCHANGE</stp>
        <stp>4</stp>
        <stp>300145</stp>
        <stp>2018-01-01</stp>
        <stp>2019-12-31</stp>
        <stp>3</stp>
        <tr r="F1801" s="1"/>
      </tp>
      <tp>
        <v>51.288343560000001</v>
        <stp/>
        <stp>EM_S_PQ_PCTCHANGE</stp>
        <stp>4</stp>
        <stp>300354</stp>
        <stp>2018-12-31</stp>
        <stp>2019-12-30</stp>
        <stp>1</stp>
        <tr r="G542" s="1"/>
      </tp>
      <tp>
        <v>-28.636957970000001</v>
        <stp/>
        <stp>EM_S_PQ_PCTCHANGE</stp>
        <stp>4</stp>
        <stp>600115</stp>
        <stp>2018-01-01</stp>
        <stp>2019-12-31</stp>
        <stp>3</stp>
        <tr r="F1172" s="1"/>
      </tp>
      <tp>
        <v>-76.296296299999995</v>
        <stp/>
        <stp>EM_S_PQ_PCTCHANGE</stp>
        <stp>4</stp>
        <stp>002175</stp>
        <stp>2018-01-01</stp>
        <stp>2019-12-31</stp>
        <stp>3</stp>
        <tr r="F3335" s="1"/>
      </tp>
      <tp>
        <v>-1.8707483</v>
        <stp/>
        <stp>EM_S_PQ_PCTCHANGE</stp>
        <stp>4</stp>
        <stp>002364</stp>
        <stp>2018-12-31</stp>
        <stp>2019-12-30</stp>
        <stp>1</stp>
        <tr r="G2413" s="1"/>
      </tp>
      <tp>
        <v>-36.325404859999999</v>
        <stp/>
        <stp>EM_S_PQ_PCTCHANGE</stp>
        <stp>4</stp>
        <stp>601116</stp>
        <stp>2018-01-01</stp>
        <stp>2019-12-31</stp>
        <stp>3</stp>
        <tr r="F1294" s="1"/>
      </tp>
      <tp>
        <v>13.026530429999999</v>
        <stp/>
        <stp>EM_S_PQ_PCTCHANGE</stp>
        <stp>4</stp>
        <stp>300146</stp>
        <stp>2018-01-01</stp>
        <stp>2019-12-31</stp>
        <stp>3</stp>
        <tr r="F2523" s="1"/>
      </tp>
      <tp>
        <v>16.707218170000001</v>
        <stp/>
        <stp>EM_S_PQ_PCTCHANGE</stp>
        <stp>4</stp>
        <stp>300357</stp>
        <stp>2018-12-31</stp>
        <stp>2019-12-30</stp>
        <stp>1</stp>
        <tr r="G1410" s="1"/>
      </tp>
      <tp>
        <v>-12.206917880000001</v>
        <stp/>
        <stp>EM_S_PQ_PCTCHANGE</stp>
        <stp>4</stp>
        <stp>600116</stp>
        <stp>2018-01-01</stp>
        <stp>2019-12-31</stp>
        <stp>3</stp>
        <tr r="F2123" s="1"/>
      </tp>
      <tp>
        <v>6.8062827199999996</v>
        <stp/>
        <stp>EM_S_PQ_PCTCHANGE</stp>
        <stp>4</stp>
        <stp>600307</stp>
        <stp>2018-12-31</stp>
        <stp>2019-12-30</stp>
        <stp>1</stp>
        <tr r="G1905" s="1"/>
      </tp>
      <tp>
        <v>-34.692286940000002</v>
        <stp/>
        <stp>EM_S_PQ_PCTCHANGE</stp>
        <stp>4</stp>
        <stp>603116</stp>
        <stp>2018-01-01</stp>
        <stp>2019-12-31</stp>
        <stp>3</stp>
        <tr r="F2418" s="1"/>
      </tp>
      <tp>
        <v>-66.724333819999998</v>
        <stp/>
        <stp>EM_S_PQ_PCTCHANGE</stp>
        <stp>4</stp>
        <stp>002176</stp>
        <stp>2018-01-01</stp>
        <stp>2019-12-31</stp>
        <stp>3</stp>
        <tr r="F3286" s="1"/>
      </tp>
      <tp>
        <v>37.881508080000003</v>
        <stp/>
        <stp>EM_S_PQ_PCTCHANGE</stp>
        <stp>4</stp>
        <stp>002367</stp>
        <stp>2018-12-31</stp>
        <stp>2019-12-30</stp>
        <stp>1</stp>
        <tr r="G773" s="1"/>
      </tp>
      <tp>
        <v>-1.3880044899999999</v>
        <stp/>
        <stp>EM_S_PQ_PCTCHANGE</stp>
        <stp>4</stp>
        <stp>601117</stp>
        <stp>2018-01-01</stp>
        <stp>2019-12-31</stp>
        <stp>3</stp>
        <tr r="F1279" s="1"/>
      </tp>
      <tp>
        <v>-0.32177286999999999</v>
        <stp/>
        <stp>EM_S_PQ_PCTCHANGE</stp>
        <stp>4</stp>
        <stp>300147</stp>
        <stp>2018-01-01</stp>
        <stp>2019-12-31</stp>
        <stp>3</stp>
        <tr r="F905" s="1"/>
      </tp>
      <tp>
        <v>37.024221449999999</v>
        <stp/>
        <stp>EM_S_PQ_PCTCHANGE</stp>
        <stp>4</stp>
        <stp>300356</stp>
        <stp>2018-12-31</stp>
        <stp>2019-12-30</stp>
        <stp>1</stp>
        <tr r="G792" s="1"/>
      </tp>
      <tp>
        <v>-37.258347980000003</v>
        <stp/>
        <stp>EM_S_PQ_PCTCHANGE</stp>
        <stp>4</stp>
        <stp>600117</stp>
        <stp>2018-01-01</stp>
        <stp>2019-12-31</stp>
        <stp>3</stp>
        <tr r="F2068" s="1"/>
      </tp>
      <tp>
        <v>-11.00628931</v>
        <stp/>
        <stp>EM_S_PQ_PCTCHANGE</stp>
        <stp>4</stp>
        <stp>600306</stp>
        <stp>2018-12-31</stp>
        <stp>2019-12-30</stp>
        <stp>1</stp>
        <tr r="G2801" s="1"/>
      </tp>
      <tp>
        <v>-44.077594040000001</v>
        <stp/>
        <stp>EM_S_PQ_PCTCHANGE</stp>
        <stp>4</stp>
        <stp>603117</stp>
        <stp>2018-01-01</stp>
        <stp>2019-12-31</stp>
        <stp>3</stp>
        <tr r="F1955" s="1"/>
      </tp>
      <tp>
        <v>-2.8070175399999999</v>
        <stp/>
        <stp>EM_S_PQ_PCTCHANGE</stp>
        <stp>4</stp>
        <stp>603306</stp>
        <stp>2018-12-31</stp>
        <stp>2019-12-30</stp>
        <stp>1</stp>
        <tr r="G2468" s="1"/>
      </tp>
      <tp>
        <v>10.722538460000001</v>
        <stp/>
        <stp>EM_S_PQ_PCTCHANGE</stp>
        <stp>4</stp>
        <stp>002177</stp>
        <stp>2018-01-01</stp>
        <stp>2019-12-31</stp>
        <stp>3</stp>
        <tr r="F284" s="1"/>
      </tp>
      <tp>
        <v>-26.119402990000001</v>
        <stp/>
        <stp>EM_S_PQ_PCTCHANGE</stp>
        <stp>4</stp>
        <stp>002366</stp>
        <stp>2018-12-31</stp>
        <stp>2019-12-30</stp>
        <stp>1</stp>
        <tr r="G3168" s="1"/>
      </tp>
      <tp>
        <v>-36.904658879999999</v>
        <stp/>
        <stp>EM_S_PQ_PCTCHANGE</stp>
        <stp>4</stp>
        <stp>601108</stp>
        <stp>2018-01-01</stp>
        <stp>2019-12-31</stp>
        <stp>3</stp>
        <tr r="F471" s="1"/>
      </tp>
      <tp>
        <v>-29.680002389999999</v>
        <stp/>
        <stp>EM_S_PQ_PCTCHANGE</stp>
        <stp>4</stp>
        <stp>300158</stp>
        <stp>2018-01-01</stp>
        <stp>2019-12-31</stp>
        <stp>3</stp>
        <tr r="F1236" s="1"/>
      </tp>
      <tp>
        <v>-5.3416149099999997</v>
        <stp/>
        <stp>EM_S_PQ_PCTCHANGE</stp>
        <stp>4</stp>
        <stp>300349</stp>
        <stp>2018-12-31</stp>
        <stp>2019-12-30</stp>
        <stp>1</stp>
        <tr r="G2578" s="1"/>
      </tp>
      <tp>
        <v>-29.197080289999999</v>
        <stp/>
        <stp>EM_S_PQ_PCTCHANGE</stp>
        <stp>4</stp>
        <stp>600108</stp>
        <stp>2018-01-01</stp>
        <stp>2019-12-31</stp>
        <stp>3</stp>
        <tr r="F1790" s="1"/>
      </tp>
      <tp>
        <v>0.65217391000000002</v>
        <stp/>
        <stp>EM_S_PQ_PCTCHANGE</stp>
        <stp>4</stp>
        <stp>600319</stp>
        <stp>2018-12-31</stp>
        <stp>2019-12-30</stp>
        <stp>1</stp>
        <tr r="G2240" s="1"/>
      </tp>
      <tp>
        <v>-17.757039639999999</v>
        <stp/>
        <stp>EM_S_PQ_PCTCHANGE</stp>
        <stp>4</stp>
        <stp>603108</stp>
        <stp>2018-01-01</stp>
        <stp>2019-12-31</stp>
        <stp>3</stp>
        <tr r="F803" s="1"/>
      </tp>
      <tp>
        <v>-11.017786559999999</v>
        <stp/>
        <stp>EM_S_PQ_PCTCHANGE</stp>
        <stp>4</stp>
        <stp>603319</stp>
        <stp>2018-12-31</stp>
        <stp>2019-12-30</stp>
        <stp>1</stp>
        <tr r="G2802" s="1"/>
      </tp>
      <tp>
        <v>-40.406976739999998</v>
        <stp/>
        <stp>EM_S_PQ_PCTCHANGE</stp>
        <stp>4</stp>
        <stp>002168</stp>
        <stp>2018-01-01</stp>
        <stp>2019-12-31</stp>
        <stp>3</stp>
        <tr r="F3021" s="1"/>
      </tp>
      <tp>
        <v>32.116788319999998</v>
        <stp/>
        <stp>EM_S_PQ_PCTCHANGE</stp>
        <stp>4</stp>
        <stp>002379</stp>
        <stp>2018-12-31</stp>
        <stp>2019-12-30</stp>
        <stp>1</stp>
        <tr r="G881" s="1"/>
      </tp>
      <tp>
        <v>53.101604279999997</v>
        <stp/>
        <stp>EM_S_PQ_PCTCHANGE</stp>
        <stp>4</stp>
        <stp>601318</stp>
        <stp>2018-12-31</stp>
        <stp>2019-12-30</stp>
        <stp>1</stp>
        <tr r="G516" s="1"/>
      </tp>
      <tp>
        <v>-61.994878999999997</v>
        <stp/>
        <stp>EM_S_PQ_PCTCHANGE</stp>
        <stp>4</stp>
        <stp>300159</stp>
        <stp>2018-01-01</stp>
        <stp>2019-12-31</stp>
        <stp>3</stp>
        <tr r="F2909" s="1"/>
      </tp>
      <tp>
        <v>24.954351800000001</v>
        <stp/>
        <stp>EM_S_PQ_PCTCHANGE</stp>
        <stp>4</stp>
        <stp>300348</stp>
        <stp>2018-12-31</stp>
        <stp>2019-12-30</stp>
        <stp>1</stp>
        <tr r="G1093" s="1"/>
      </tp>
      <tp>
        <v>-1.3640838500000001</v>
        <stp/>
        <stp>EM_S_PQ_PCTCHANGE</stp>
        <stp>4</stp>
        <stp>600109</stp>
        <stp>2018-01-01</stp>
        <stp>2019-12-31</stp>
        <stp>3</stp>
        <tr r="F918" s="1"/>
      </tp>
      <tp>
        <v>-1.1235955099999999</v>
        <stp/>
        <stp>EM_S_PQ_PCTCHANGE</stp>
        <stp>4</stp>
        <stp>600318</stp>
        <stp>2018-12-31</stp>
        <stp>2019-12-30</stp>
        <stp>1</stp>
        <tr r="G2381" s="1"/>
      </tp>
      <tp>
        <v>-7.7046549000000004</v>
        <stp/>
        <stp>EM_S_PQ_PCTCHANGE</stp>
        <stp>4</stp>
        <stp>603318</stp>
        <stp>2018-12-31</stp>
        <stp>2019-12-30</stp>
        <stp>1</stp>
        <tr r="G2674" s="1"/>
      </tp>
      <tp>
        <v>32.311465349999999</v>
        <stp/>
        <stp>EM_S_PQ_PCTCHANGE</stp>
        <stp>4</stp>
        <stp>002169</stp>
        <stp>2018-01-01</stp>
        <stp>2019-12-31</stp>
        <stp>3</stp>
        <tr r="F182" s="1"/>
      </tp>
      <tp>
        <v>13.559322030000001</v>
        <stp/>
        <stp>EM_S_PQ_PCTCHANGE</stp>
        <stp>4</stp>
        <stp>002378</stp>
        <stp>2018-12-31</stp>
        <stp>2019-12-30</stp>
        <stp>1</stp>
        <tr r="G1552" s="1"/>
      </tp>
      <tp>
        <v>158.19980792999999</v>
        <stp/>
        <stp>EM_S_PQ_PCTCHANGE</stp>
        <stp>4</stp>
        <stp>601100</stp>
        <stp>2018-01-01</stp>
        <stp>2019-12-31</stp>
        <stp>3</stp>
        <tr r="F79" s="1"/>
      </tp>
      <tp>
        <v>6.5685164199999999</v>
        <stp/>
        <stp>EM_S_PQ_PCTCHANGE</stp>
        <stp>4</stp>
        <stp>601311</stp>
        <stp>2018-12-31</stp>
        <stp>2019-12-30</stp>
        <stp>1</stp>
        <tr r="G1920" s="1"/>
      </tp>
      <tp>
        <v>-17.615058579999999</v>
        <stp/>
        <stp>EM_S_PQ_PCTCHANGE</stp>
        <stp>4</stp>
        <stp>300150</stp>
        <stp>2018-01-01</stp>
        <stp>2019-12-31</stp>
        <stp>3</stp>
        <tr r="F2203" s="1"/>
      </tp>
      <tp>
        <v>-10.40954024</v>
        <stp/>
        <stp>EM_S_PQ_PCTCHANGE</stp>
        <stp>4</stp>
        <stp>600100</stp>
        <stp>2018-01-01</stp>
        <stp>2019-12-31</stp>
        <stp>3</stp>
        <tr r="F2791" s="1"/>
      </tp>
      <tp>
        <v>-11.64021164</v>
        <stp/>
        <stp>EM_S_PQ_PCTCHANGE</stp>
        <stp>4</stp>
        <stp>600311</stp>
        <stp>2018-12-31</stp>
        <stp>2019-12-30</stp>
        <stp>1</stp>
        <tr r="G2820" s="1"/>
      </tp>
      <tp>
        <v>153.53670656</v>
        <stp/>
        <stp>EM_S_PQ_PCTCHANGE</stp>
        <stp>4</stp>
        <stp>601100</stp>
        <stp>2019-01-01</stp>
        <stp>2019-12-31</stp>
        <stp>3</stp>
        <tr r="G79" s="1"/>
      </tp>
      <tp>
        <v>-7.8392819999999999</v>
        <stp/>
        <stp>EM_S_PQ_PCTCHANGE</stp>
        <stp>4</stp>
        <stp>603100</stp>
        <stp>2018-01-01</stp>
        <stp>2019-12-31</stp>
        <stp>3</stp>
        <tr r="F1357" s="1"/>
      </tp>
      <tp>
        <v>9.6742349500000007</v>
        <stp/>
        <stp>EM_S_PQ_PCTCHANGE</stp>
        <stp>4</stp>
        <stp>603311</stp>
        <stp>2018-12-31</stp>
        <stp>2019-12-30</stp>
        <stp>1</stp>
        <tr r="G1757" s="1"/>
      </tp>
      <tp>
        <v>-52.883343609999997</v>
        <stp/>
        <stp>EM_S_PQ_PCTCHANGE</stp>
        <stp>4</stp>
        <stp>002160</stp>
        <stp>2018-01-01</stp>
        <stp>2019-12-31</stp>
        <stp>3</stp>
        <tr r="F3009" s="1"/>
      </tp>
      <tp>
        <v>134.66631355999999</v>
        <stp/>
        <stp>EM_S_PQ_PCTCHANGE</stp>
        <stp>4</stp>
        <stp>002371</stp>
        <stp>2018-12-31</stp>
        <stp>2019-12-30</stp>
        <stp>1</stp>
        <tr r="G103" s="1"/>
      </tp>
      <tp>
        <v>-36.034995969999997</v>
        <stp/>
        <stp>EM_S_PQ_PCTCHANGE</stp>
        <stp>4</stp>
        <stp>601101</stp>
        <stp>2018-01-01</stp>
        <stp>2019-12-31</stp>
        <stp>3</stp>
        <tr r="F3038" s="1"/>
      </tp>
      <tp>
        <v>18.427532459999998</v>
        <stp/>
        <stp>EM_S_PQ_PCTCHANGE</stp>
        <stp>4</stp>
        <stp>300151</stp>
        <stp>2018-01-01</stp>
        <stp>2019-12-31</stp>
        <stp>3</stp>
        <tr r="F378" s="1"/>
      </tp>
      <tp>
        <v>-9.5509622200000006</v>
        <stp/>
        <stp>EM_S_PQ_PCTCHANGE</stp>
        <stp>4</stp>
        <stp>300340</stp>
        <stp>2018-12-31</stp>
        <stp>2019-12-30</stp>
        <stp>1</stp>
        <tr r="G2737" s="1"/>
      </tp>
      <tp>
        <v>-0.67624245999999999</v>
        <stp/>
        <stp>EM_S_PQ_PCTCHANGE</stp>
        <stp>4</stp>
        <stp>600101</stp>
        <stp>2018-01-01</stp>
        <stp>2019-12-31</stp>
        <stp>3</stp>
        <tr r="F1988" s="1"/>
      </tp>
      <tp>
        <v>19.444444440000002</v>
        <stp/>
        <stp>EM_S_PQ_PCTCHANGE</stp>
        <stp>4</stp>
        <stp>600310</stp>
        <stp>2018-12-31</stp>
        <stp>2019-12-30</stp>
        <stp>1</stp>
        <tr r="G1303" s="1"/>
      </tp>
      <tp>
        <v>-7.1062484399999999</v>
        <stp/>
        <stp>EM_S_PQ_PCTCHANGE</stp>
        <stp>4</stp>
        <stp>603101</stp>
        <stp>2018-01-01</stp>
        <stp>2019-12-31</stp>
        <stp>3</stp>
        <tr r="F3340" s="1"/>
      </tp>
      <tp>
        <v>6.9977426600000001</v>
        <stp/>
        <stp>EM_S_PQ_PCTCHANGE</stp>
        <stp>4</stp>
        <stp>002161</stp>
        <stp>2018-01-01</stp>
        <stp>2019-12-31</stp>
        <stp>3</stp>
        <tr r="F278" s="1"/>
      </tp>
      <tp>
        <v>-62.432269720000001</v>
        <stp/>
        <stp>EM_S_PQ_PCTCHANGE</stp>
        <stp>4</stp>
        <stp>002370</stp>
        <stp>2018-12-31</stp>
        <stp>2019-12-30</stp>
        <stp>1</stp>
        <tr r="G3395" s="1"/>
      </tp>
      <tp>
        <v>-48.706865229999998</v>
        <stp/>
        <stp>EM_S_PQ_PCTCHANGE</stp>
        <stp>4</stp>
        <stp>300152</stp>
        <stp>2018-01-01</stp>
        <stp>2019-12-31</stp>
        <stp>3</stp>
        <tr r="F897" s="1"/>
      </tp>
      <tp>
        <v>-56.586826350000003</v>
        <stp/>
        <stp>EM_S_PQ_PCTCHANGE</stp>
        <stp>4</stp>
        <stp>300343</stp>
        <stp>2018-12-31</stp>
        <stp>2019-12-30</stp>
        <stp>1</stp>
        <tr r="G3389" s="1"/>
      </tp>
      <tp>
        <v>0</v>
        <stp/>
        <stp>EM_S_PQ_PCTCHANGE</stp>
        <stp>4</stp>
        <stp>600102</stp>
        <stp>2018-01-01</stp>
        <stp>2019-12-31</stp>
        <stp>3</stp>
        <tr r="F2292" s="1"/>
      </tp>
      <tp>
        <v>25.90909091</v>
        <stp/>
        <stp>EM_S_PQ_PCTCHANGE</stp>
        <stp>4</stp>
        <stp>600313</stp>
        <stp>2018-12-31</stp>
        <stp>2019-12-30</stp>
        <stp>1</stp>
        <tr r="G1063" s="1"/>
      </tp>
      <tp>
        <v>-0.52356020999999997</v>
        <stp/>
        <stp>EM_S_PQ_PCTCHANGE</stp>
        <stp>4</stp>
        <stp>603313</stp>
        <stp>2018-12-31</stp>
        <stp>2019-12-30</stp>
        <stp>1</stp>
        <tr r="G2362" s="1"/>
      </tp>
      <tp>
        <v>-28.515625</v>
        <stp/>
        <stp>EM_S_PQ_PCTCHANGE</stp>
        <stp>4</stp>
        <stp>002162</stp>
        <stp>2018-01-01</stp>
        <stp>2019-12-31</stp>
        <stp>3</stp>
        <tr r="F1080" s="1"/>
      </tp>
      <tp>
        <v>64.298561149999998</v>
        <stp/>
        <stp>EM_S_PQ_PCTCHANGE</stp>
        <stp>4</stp>
        <stp>002373</stp>
        <stp>2018-12-31</stp>
        <stp>2019-12-30</stp>
        <stp>1</stp>
        <tr r="G379" s="1"/>
      </tp>
      <tp>
        <v>-47.073204539999999</v>
        <stp/>
        <stp>EM_S_PQ_PCTCHANGE</stp>
        <stp>4</stp>
        <stp>300153</stp>
        <stp>2018-01-01</stp>
        <stp>2019-12-31</stp>
        <stp>3</stp>
        <tr r="F2698" s="1"/>
      </tp>
      <tp>
        <v>33.333333330000002</v>
        <stp/>
        <stp>EM_S_PQ_PCTCHANGE</stp>
        <stp>4</stp>
        <stp>300342</stp>
        <stp>2018-12-31</stp>
        <stp>2019-12-30</stp>
        <stp>1</stp>
        <tr r="G861" s="1"/>
      </tp>
      <tp>
        <v>-28.287179290000001</v>
        <stp/>
        <stp>EM_S_PQ_PCTCHANGE</stp>
        <stp>4</stp>
        <stp>600103</stp>
        <stp>2018-01-01</stp>
        <stp>2019-12-31</stp>
        <stp>3</stp>
        <tr r="F3018" s="1"/>
      </tp>
      <tp>
        <v>-20.049504949999999</v>
        <stp/>
        <stp>EM_S_PQ_PCTCHANGE</stp>
        <stp>4</stp>
        <stp>600312</stp>
        <stp>2018-12-31</stp>
        <stp>2019-12-30</stp>
        <stp>1</stp>
        <tr r="G3067" s="1"/>
      </tp>
      <tp>
        <v>-6.08741837</v>
        <stp/>
        <stp>EM_S_PQ_PCTCHANGE</stp>
        <stp>4</stp>
        <stp>603103</stp>
        <stp>2018-01-01</stp>
        <stp>2019-12-31</stp>
        <stp>3</stp>
        <tr r="F2987" s="1"/>
      </tp>
      <tp>
        <v>-27.356020940000001</v>
        <stp/>
        <stp>EM_S_PQ_PCTCHANGE</stp>
        <stp>4</stp>
        <stp>002163</stp>
        <stp>2018-01-01</stp>
        <stp>2019-12-31</stp>
        <stp>3</stp>
        <tr r="F1572" s="1"/>
      </tp>
      <tp>
        <v>-17.085751129999998</v>
        <stp/>
        <stp>EM_S_PQ_PCTCHANGE</stp>
        <stp>4</stp>
        <stp>002372</stp>
        <stp>2018-12-31</stp>
        <stp>2019-12-30</stp>
        <stp>1</stp>
        <tr r="G2991" s="1"/>
      </tp>
      <tp>
        <v>-9.1489833699999998</v>
        <stp/>
        <stp>EM_S_PQ_PCTCHANGE</stp>
        <stp>4</stp>
        <stp>300154</stp>
        <stp>2018-01-01</stp>
        <stp>2019-12-31</stp>
        <stp>3</stp>
        <tr r="F1433" s="1"/>
      </tp>
      <tp>
        <v>125.57471264</v>
        <stp/>
        <stp>EM_S_PQ_PCTCHANGE</stp>
        <stp>4</stp>
        <stp>300345</stp>
        <stp>2018-12-31</stp>
        <stp>2019-12-30</stp>
        <stp>1</stp>
        <tr r="G115" s="1"/>
      </tp>
      <tp>
        <v>-17.383781899999999</v>
        <stp/>
        <stp>EM_S_PQ_PCTCHANGE</stp>
        <stp>4</stp>
        <stp>600104</stp>
        <stp>2018-01-01</stp>
        <stp>2019-12-31</stp>
        <stp>3</stp>
        <tr r="F2780" s="1"/>
      </tp>
      <tp>
        <v>13.22344322</v>
        <stp/>
        <stp>EM_S_PQ_PCTCHANGE</stp>
        <stp>4</stp>
        <stp>600315</stp>
        <stp>2018-12-31</stp>
        <stp>2019-12-30</stp>
        <stp>1</stp>
        <tr r="G1565" s="1"/>
      </tp>
      <tp>
        <v>4.0564373900000001</v>
        <stp/>
        <stp>EM_S_PQ_PCTCHANGE</stp>
        <stp>4</stp>
        <stp>603315</stp>
        <stp>2018-12-31</stp>
        <stp>2019-12-30</stp>
        <stp>1</stp>
        <tr r="G2056" s="1"/>
      </tp>
      <tp>
        <v>-55.436598789999998</v>
        <stp/>
        <stp>EM_S_PQ_PCTCHANGE</stp>
        <stp>4</stp>
        <stp>002164</stp>
        <stp>2018-01-01</stp>
        <stp>2019-12-31</stp>
        <stp>3</stp>
        <tr r="F733" s="1"/>
      </tp>
      <tp>
        <v>14.88095238</v>
        <stp/>
        <stp>EM_S_PQ_PCTCHANGE</stp>
        <stp>4</stp>
        <stp>002375</stp>
        <stp>2018-12-31</stp>
        <stp>2019-12-30</stp>
        <stp>1</stp>
        <tr r="G1491" s="1"/>
      </tp>
      <tp>
        <v>-4.8947582699999996</v>
        <stp/>
        <stp>EM_S_PQ_PCTCHANGE</stp>
        <stp>4</stp>
        <stp>300155</stp>
        <stp>2018-01-01</stp>
        <stp>2019-12-31</stp>
        <stp>3</stp>
        <tr r="F1092" s="1"/>
      </tp>
      <tp>
        <v>-10</v>
        <stp/>
        <stp>EM_S_PQ_PCTCHANGE</stp>
        <stp>4</stp>
        <stp>300344</stp>
        <stp>2018-12-31</stp>
        <stp>2019-12-30</stp>
        <stp>1</stp>
        <tr r="G2757" s="1"/>
      </tp>
      <tp>
        <v>-5.68525671</v>
        <stp/>
        <stp>EM_S_PQ_PCTCHANGE</stp>
        <stp>4</stp>
        <stp>600105</stp>
        <stp>2018-01-01</stp>
        <stp>2019-12-31</stp>
        <stp>3</stp>
        <tr r="F1397" s="1"/>
      </tp>
      <tp>
        <v>49.229837670000002</v>
        <stp/>
        <stp>EM_S_PQ_PCTCHANGE</stp>
        <stp>4</stp>
        <stp>603105</stp>
        <stp>2018-01-01</stp>
        <stp>2019-12-31</stp>
        <stp>3</stp>
        <tr r="F3344" s="1"/>
      </tp>
      <tp>
        <v>-27.695228050000001</v>
        <stp/>
        <stp>EM_S_PQ_PCTCHANGE</stp>
        <stp>4</stp>
        <stp>002165</stp>
        <stp>2018-01-01</stp>
        <stp>2019-12-31</stp>
        <stp>3</stp>
        <tr r="F1121" s="1"/>
      </tp>
      <tp>
        <v>-4.6052631599999998</v>
        <stp/>
        <stp>EM_S_PQ_PCTCHANGE</stp>
        <stp>4</stp>
        <stp>002374</stp>
        <stp>2018-12-31</stp>
        <stp>2019-12-30</stp>
        <stp>1</stp>
        <tr r="G2545" s="1"/>
      </tp>
      <tp>
        <v>-22.811671090000001</v>
        <stp/>
        <stp>EM_S_PQ_PCTCHANGE</stp>
        <stp>4</stp>
        <stp>601106</stp>
        <stp>2018-01-01</stp>
        <stp>2019-12-31</stp>
        <stp>3</stp>
        <tr r="F1844" s="1"/>
      </tp>
      <tp>
        <v>-2.5336729899999999</v>
        <stp/>
        <stp>EM_S_PQ_PCTCHANGE</stp>
        <stp>4</stp>
        <stp>000166</stp>
        <stp>2018-01-01</stp>
        <stp>2019-12-31</stp>
        <stp>3</stp>
        <tr r="F3413" s="1"/>
      </tp>
      <tp>
        <v>-93.046357619999995</v>
        <stp/>
        <stp>EM_S_PQ_PCTCHANGE</stp>
        <stp>4</stp>
        <stp>300156</stp>
        <stp>2018-01-01</stp>
        <stp>2019-12-31</stp>
        <stp>3</stp>
        <tr r="F3381" s="1"/>
      </tp>
      <tp>
        <v>43.85964912</v>
        <stp/>
        <stp>EM_S_PQ_PCTCHANGE</stp>
        <stp>4</stp>
        <stp>300347</stp>
        <stp>2018-12-31</stp>
        <stp>2019-12-30</stp>
        <stp>1</stp>
        <tr r="G672" s="1"/>
      </tp>
      <tp>
        <v>-7.9543150499999999</v>
        <stp/>
        <stp>EM_S_PQ_PCTCHANGE</stp>
        <stp>4</stp>
        <stp>600106</stp>
        <stp>2018-01-01</stp>
        <stp>2019-12-31</stp>
        <stp>3</stp>
        <tr r="F2193" s="1"/>
      </tp>
      <tp>
        <v>11.94690265</v>
        <stp/>
        <stp>EM_S_PQ_PCTCHANGE</stp>
        <stp>4</stp>
        <stp>600317</stp>
        <stp>2018-12-31</stp>
        <stp>2019-12-30</stp>
        <stp>1</stp>
        <tr r="G1634" s="1"/>
      </tp>
      <tp>
        <v>-48.781186849999997</v>
        <stp/>
        <stp>EM_S_PQ_PCTCHANGE</stp>
        <stp>4</stp>
        <stp>603106</stp>
        <stp>2018-01-01</stp>
        <stp>2019-12-31</stp>
        <stp>3</stp>
        <tr r="F2923" s="1"/>
      </tp>
      <tp>
        <v>-9.8267614000000005</v>
        <stp/>
        <stp>EM_S_PQ_PCTCHANGE</stp>
        <stp>4</stp>
        <stp>002166</stp>
        <stp>2018-01-01</stp>
        <stp>2019-12-31</stp>
        <stp>3</stp>
        <tr r="F1282" s="1"/>
      </tp>
      <tp>
        <v>-3.3412887800000002</v>
        <stp/>
        <stp>EM_S_PQ_PCTCHANGE</stp>
        <stp>4</stp>
        <stp>002377</stp>
        <stp>2018-12-31</stp>
        <stp>2019-12-30</stp>
        <stp>1</stp>
        <tr r="G2493" s="1"/>
      </tp>
      <tp>
        <v>7.6794801899999996</v>
        <stp/>
        <stp>EM_S_PQ_PCTCHANGE</stp>
        <stp>4</stp>
        <stp>601107</stp>
        <stp>2018-01-01</stp>
        <stp>2019-12-31</stp>
        <stp>3</stp>
        <tr r="F1498" s="1"/>
      </tp>
      <tp>
        <v>-55.372807020000003</v>
        <stp/>
        <stp>EM_S_PQ_PCTCHANGE</stp>
        <stp>4</stp>
        <stp>300157</stp>
        <stp>2018-01-01</stp>
        <stp>2019-12-31</stp>
        <stp>3</stp>
        <tr r="F2441" s="1"/>
      </tp>
      <tp>
        <v>86.794582390000002</v>
        <stp/>
        <stp>EM_S_PQ_PCTCHANGE</stp>
        <stp>4</stp>
        <stp>300346</stp>
        <stp>2018-12-31</stp>
        <stp>2019-12-30</stp>
        <stp>1</stp>
        <tr r="G214" s="1"/>
      </tp>
      <tp>
        <v>-46.080760099999999</v>
        <stp/>
        <stp>EM_S_PQ_PCTCHANGE</stp>
        <stp>4</stp>
        <stp>600107</stp>
        <stp>2018-01-01</stp>
        <stp>2019-12-31</stp>
        <stp>3</stp>
        <tr r="F1238" s="1"/>
      </tp>
      <tp>
        <v>29.625884729999999</v>
        <stp/>
        <stp>EM_S_PQ_PCTCHANGE</stp>
        <stp>4</stp>
        <stp>600316</stp>
        <stp>2018-12-31</stp>
        <stp>2019-12-30</stp>
        <stp>1</stp>
        <tr r="G937" s="1"/>
      </tp>
      <tp>
        <v>18.863049100000001</v>
        <stp/>
        <stp>EM_S_PQ_PCTCHANGE</stp>
        <stp>4</stp>
        <stp>603316</stp>
        <stp>2018-12-31</stp>
        <stp>2019-12-30</stp>
        <stp>1</stp>
        <tr r="G1325" s="1"/>
      </tp>
      <tp>
        <v>-32.69230769</v>
        <stp/>
        <stp>EM_S_PQ_PCTCHANGE</stp>
        <stp>4</stp>
        <stp>002167</stp>
        <stp>2018-01-01</stp>
        <stp>2019-12-31</stp>
        <stp>3</stp>
        <tr r="F860" s="1"/>
      </tp>
      <tp>
        <v>-21.838331159999999</v>
        <stp/>
        <stp>EM_S_PQ_PCTCHANGE</stp>
        <stp>4</stp>
        <stp>002376</stp>
        <stp>2018-12-31</stp>
        <stp>2019-12-30</stp>
        <stp>1</stp>
        <tr r="G3097" s="1"/>
      </tp>
      <tp>
        <v>9.25619835</v>
        <stp/>
        <stp>EM_S_PQ_PCTCHANGE</stp>
        <stp>4</stp>
        <stp>601369</stp>
        <stp>2018-12-31</stp>
        <stp>2019-12-30</stp>
        <stp>1</stp>
        <tr r="G1777" s="1"/>
      </tp>
      <tp>
        <v>-49.082887409999998</v>
        <stp/>
        <stp>EM_S_PQ_PCTCHANGE</stp>
        <stp>4</stp>
        <stp>300128</stp>
        <stp>2018-01-01</stp>
        <stp>2019-12-31</stp>
        <stp>3</stp>
        <tr r="F1612" s="1"/>
      </tp>
      <tp>
        <v>44.846491229999998</v>
        <stp/>
        <stp>EM_S_PQ_PCTCHANGE</stp>
        <stp>4</stp>
        <stp>300339</stp>
        <stp>2018-12-31</stp>
        <stp>2019-12-30</stp>
        <stp>1</stp>
        <tr r="G650" s="1"/>
      </tp>
      <tp>
        <v>-28.130511420000001</v>
        <stp/>
        <stp>EM_S_PQ_PCTCHANGE</stp>
        <stp>4</stp>
        <stp>600178</stp>
        <stp>2018-01-01</stp>
        <stp>2019-12-31</stp>
        <stp>3</stp>
        <tr r="F1550" s="1"/>
      </tp>
      <tp>
        <v>50.287356320000001</v>
        <stp/>
        <stp>EM_S_PQ_PCTCHANGE</stp>
        <stp>4</stp>
        <stp>600369</stp>
        <stp>2018-12-31</stp>
        <stp>2019-12-30</stp>
        <stp>1</stp>
        <tr r="G559" s="1"/>
      </tp>
      <tp>
        <v>-18.60874888</v>
        <stp/>
        <stp>EM_S_PQ_PCTCHANGE</stp>
        <stp>4</stp>
        <stp>603178</stp>
        <stp>2018-01-01</stp>
        <stp>2019-12-31</stp>
        <stp>3</stp>
        <tr r="F1243" s="1"/>
      </tp>
      <tp>
        <v>-17.0212766</v>
        <stp/>
        <stp>EM_S_PQ_PCTCHANGE</stp>
        <stp>4</stp>
        <stp>002118</stp>
        <stp>2018-01-01</stp>
        <stp>2019-12-31</stp>
        <stp>3</stp>
        <tr r="F754" s="1"/>
      </tp>
      <tp>
        <v>-26.618705039999998</v>
        <stp/>
        <stp>EM_S_PQ_PCTCHANGE</stp>
        <stp>4</stp>
        <stp>002309</stp>
        <stp>2018-12-31</stp>
        <stp>2019-12-30</stp>
        <stp>1</stp>
        <tr r="G3182" s="1"/>
      </tp>
      <tp>
        <v>-14.901243729999999</v>
        <stp/>
        <stp>EM_S_PQ_PCTCHANGE</stp>
        <stp>4</stp>
        <stp>601179</stp>
        <stp>2018-01-01</stp>
        <stp>2019-12-31</stp>
        <stp>3</stp>
        <tr r="F1813" s="1"/>
      </tp>
      <tp>
        <v>1.2089810000000001</v>
        <stp/>
        <stp>EM_S_PQ_PCTCHANGE</stp>
        <stp>4</stp>
        <stp>601368</stp>
        <stp>2018-12-31</stp>
        <stp>2019-12-30</stp>
        <stp>1</stp>
        <tr r="G2204" s="1"/>
      </tp>
      <tp>
        <v>-37.016674770000002</v>
        <stp/>
        <stp>EM_S_PQ_PCTCHANGE</stp>
        <stp>4</stp>
        <stp>300129</stp>
        <stp>2018-01-01</stp>
        <stp>2019-12-31</stp>
        <stp>3</stp>
        <tr r="F310" s="1"/>
      </tp>
      <tp>
        <v>52.96671491</v>
        <stp/>
        <stp>EM_S_PQ_PCTCHANGE</stp>
        <stp>4</stp>
        <stp>300338</stp>
        <stp>2018-12-31</stp>
        <stp>2019-12-30</stp>
        <stp>1</stp>
        <tr r="G520" s="1"/>
      </tp>
      <tp>
        <v>-75.076242859999994</v>
        <stp/>
        <stp>EM_S_PQ_PCTCHANGE</stp>
        <stp>4</stp>
        <stp>600179</stp>
        <stp>2018-01-01</stp>
        <stp>2019-12-31</stp>
        <stp>3</stp>
        <tr r="F3223" s="1"/>
      </tp>
      <tp>
        <v>45.276872959999999</v>
        <stp/>
        <stp>EM_S_PQ_PCTCHANGE</stp>
        <stp>4</stp>
        <stp>600368</stp>
        <stp>2018-12-31</stp>
        <stp>2019-12-30</stp>
        <stp>1</stp>
        <tr r="G637" s="1"/>
      </tp>
      <tp>
        <v>-24.83487774</v>
        <stp/>
        <stp>EM_S_PQ_PCTCHANGE</stp>
        <stp>4</stp>
        <stp>603179</stp>
        <stp>2018-01-01</stp>
        <stp>2019-12-31</stp>
        <stp>3</stp>
        <tr r="F1445" s="1"/>
      </tp>
      <tp>
        <v>27.290076339999999</v>
        <stp/>
        <stp>EM_S_PQ_PCTCHANGE</stp>
        <stp>4</stp>
        <stp>603368</stp>
        <stp>2018-12-31</stp>
        <stp>2019-12-30</stp>
        <stp>1</stp>
        <tr r="G1009" s="1"/>
      </tp>
      <tp>
        <v>20.498268769999999</v>
        <stp/>
        <stp>EM_S_PQ_PCTCHANGE</stp>
        <stp>4</stp>
        <stp>002119</stp>
        <stp>2018-01-01</stp>
        <stp>2019-12-31</stp>
        <stp>3</stp>
        <tr r="F493" s="1"/>
      </tp>
      <tp>
        <v>3.1460674200000001</v>
        <stp/>
        <stp>EM_S_PQ_PCTCHANGE</stp>
        <stp>4</stp>
        <stp>002308</stp>
        <stp>2018-12-31</stp>
        <stp>2019-12-30</stp>
        <stp>1</stp>
        <tr r="G2098" s="1"/>
      </tp>
      <tp>
        <v>-5.4945054899999999</v>
        <stp/>
        <stp>EM_S_PQ_PCTCHANGE</stp>
        <stp>4</stp>
        <stp>000301</stp>
        <stp>2018-12-31</stp>
        <stp>2019-12-30</stp>
        <stp>1</stp>
        <tr r="G2580" s="1"/>
      </tp>
      <tp>
        <v>-29.915404120000002</v>
        <stp/>
        <stp>EM_S_PQ_PCTCHANGE</stp>
        <stp>4</stp>
        <stp>300120</stp>
        <stp>2018-01-01</stp>
        <stp>2019-12-31</stp>
        <stp>3</stp>
        <tr r="F2024" s="1"/>
      </tp>
      <tp>
        <v>88.288288289999997</v>
        <stp/>
        <stp>EM_S_PQ_PCTCHANGE</stp>
        <stp>4</stp>
        <stp>300331</stp>
        <stp>2018-12-31</stp>
        <stp>2019-12-30</stp>
        <stp>1</stp>
        <tr r="G208" s="1"/>
      </tp>
      <tp>
        <v>2.32076094</v>
        <stp/>
        <stp>EM_S_PQ_PCTCHANGE</stp>
        <stp>4</stp>
        <stp>600170</stp>
        <stp>2018-01-01</stp>
        <stp>2019-12-31</stp>
        <stp>3</stp>
        <tr r="F1414" s="1"/>
      </tp>
      <tp>
        <v>10.32448378</v>
        <stp/>
        <stp>EM_S_PQ_PCTCHANGE</stp>
        <stp>4</stp>
        <stp>600361</stp>
        <stp>2018-12-31</stp>
        <stp>2019-12-30</stp>
        <stp>1</stp>
        <tr r="G1719" s="1"/>
      </tp>
      <tp>
        <v>-10.78990524</v>
        <stp/>
        <stp>EM_S_PQ_PCTCHANGE</stp>
        <stp>4</stp>
        <stp>002110</stp>
        <stp>2018-01-01</stp>
        <stp>2019-12-31</stp>
        <stp>3</stp>
        <tr r="F3202" s="1"/>
      </tp>
      <tp>
        <v>40.070921990000002</v>
        <stp/>
        <stp>EM_S_PQ_PCTCHANGE</stp>
        <stp>4</stp>
        <stp>002301</stp>
        <stp>2018-12-31</stp>
        <stp>2019-12-30</stp>
        <stp>1</stp>
        <tr r="G732" s="1"/>
      </tp>
      <tp>
        <v>15.02209131</v>
        <stp/>
        <stp>EM_S_PQ_PCTCHANGE</stp>
        <stp>4</stp>
        <stp>601360</stp>
        <stp>2018-12-31</stp>
        <stp>2019-12-30</stp>
        <stp>1</stp>
        <tr r="G1479" s="1"/>
      </tp>
      <tp>
        <v>-35.630391029999998</v>
        <stp/>
        <stp>EM_S_PQ_PCTCHANGE</stp>
        <stp>4</stp>
        <stp>300121</stp>
        <stp>2018-01-01</stp>
        <stp>2019-12-31</stp>
        <stp>3</stp>
        <tr r="F3007" s="1"/>
      </tp>
      <tp>
        <v>38.769670959999999</v>
        <stp/>
        <stp>EM_S_PQ_PCTCHANGE</stp>
        <stp>4</stp>
        <stp>300330</stp>
        <stp>2018-12-31</stp>
        <stp>2019-12-30</stp>
        <stp>1</stp>
        <tr r="G758" s="1"/>
      </tp>
      <tp>
        <v>-2.28993943</v>
        <stp/>
        <stp>EM_S_PQ_PCTCHANGE</stp>
        <stp>4</stp>
        <stp>600171</stp>
        <stp>2018-01-01</stp>
        <stp>2019-12-31</stp>
        <stp>3</stp>
        <tr r="F298" s="1"/>
      </tp>
      <tp>
        <v>30.350194550000001</v>
        <stp/>
        <stp>EM_S_PQ_PCTCHANGE</stp>
        <stp>4</stp>
        <stp>600360</stp>
        <stp>2018-12-31</stp>
        <stp>2019-12-30</stp>
        <stp>1</stp>
        <tr r="G920" s="1"/>
      </tp>
      <tp>
        <v>189.07766989999999</v>
        <stp/>
        <stp>EM_S_PQ_PCTCHANGE</stp>
        <stp>4</stp>
        <stp>603360</stp>
        <stp>2018-12-31</stp>
        <stp>2019-12-30</stp>
        <stp>1</stp>
        <tr r="G51" s="1"/>
      </tp>
      <tp>
        <v>12.63272615</v>
        <stp/>
        <stp>EM_S_PQ_PCTCHANGE</stp>
        <stp>4</stp>
        <stp>002111</stp>
        <stp>2018-01-01</stp>
        <stp>2019-12-31</stp>
        <stp>3</stp>
        <tr r="F421" s="1"/>
      </tp>
      <tp>
        <v>20.887245839999999</v>
        <stp/>
        <stp>EM_S_PQ_PCTCHANGE</stp>
        <stp>4</stp>
        <stp>002300</stp>
        <stp>2018-12-31</stp>
        <stp>2019-12-30</stp>
        <stp>1</stp>
        <tr r="G1241" s="1"/>
      </tp>
      <tp>
        <v>79.537829799999997</v>
        <stp/>
        <stp>EM_S_PQ_PCTCHANGE</stp>
        <stp>4</stp>
        <stp>300122</stp>
        <stp>2018-01-01</stp>
        <stp>2019-12-31</stp>
        <stp>3</stp>
        <tr r="F1101" s="1"/>
      </tp>
      <tp>
        <v>56.932153390000003</v>
        <stp/>
        <stp>EM_S_PQ_PCTCHANGE</stp>
        <stp>4</stp>
        <stp>300333</stp>
        <stp>2018-12-31</stp>
        <stp>2019-12-30</stp>
        <stp>1</stp>
        <tr r="G455" s="1"/>
      </tp>
      <tp>
        <v>-66.818700109999995</v>
        <stp/>
        <stp>EM_S_PQ_PCTCHANGE</stp>
        <stp>4</stp>
        <stp>600172</stp>
        <stp>2018-01-01</stp>
        <stp>2019-12-31</stp>
        <stp>3</stp>
        <tr r="F2575" s="1"/>
      </tp>
      <tp>
        <v>90</v>
        <stp/>
        <stp>EM_S_PQ_PCTCHANGE</stp>
        <stp>4</stp>
        <stp>600363</stp>
        <stp>2018-12-31</stp>
        <stp>2019-12-30</stp>
        <stp>1</stp>
        <tr r="G202" s="1"/>
      </tp>
      <tp>
        <v>83.571428569999995</v>
        <stp/>
        <stp>EM_S_PQ_PCTCHANGE</stp>
        <stp>4</stp>
        <stp>603363</stp>
        <stp>2018-12-31</stp>
        <stp>2019-12-30</stp>
        <stp>1</stp>
        <tr r="G230" s="1"/>
      </tp>
      <tp>
        <v>-60.712234350000003</v>
        <stp/>
        <stp>EM_S_PQ_PCTCHANGE</stp>
        <stp>4</stp>
        <stp>002112</stp>
        <stp>2018-01-01</stp>
        <stp>2019-12-31</stp>
        <stp>3</stp>
        <tr r="F2156" s="1"/>
      </tp>
      <tp>
        <v>12.47311828</v>
        <stp/>
        <stp>EM_S_PQ_PCTCHANGE</stp>
        <stp>4</stp>
        <stp>002303</stp>
        <stp>2018-12-31</stp>
        <stp>2019-12-30</stp>
        <stp>1</stp>
        <tr r="G1611" s="1"/>
      </tp>
      <tp>
        <v>13.680487960000001</v>
        <stp/>
        <stp>EM_S_PQ_PCTCHANGE</stp>
        <stp>4</stp>
        <stp>300123</stp>
        <stp>2018-01-01</stp>
        <stp>2019-12-31</stp>
        <stp>3</stp>
        <tr r="F2994" s="1"/>
      </tp>
      <tp>
        <v>8.9430894300000006</v>
        <stp/>
        <stp>EM_S_PQ_PCTCHANGE</stp>
        <stp>4</stp>
        <stp>300332</stp>
        <stp>2018-12-31</stp>
        <stp>2019-12-30</stp>
        <stp>1</stp>
        <tr r="G1799" s="1"/>
      </tp>
      <tp>
        <v>-6.20521615</v>
        <stp/>
        <stp>EM_S_PQ_PCTCHANGE</stp>
        <stp>4</stp>
        <stp>600173</stp>
        <stp>2018-01-01</stp>
        <stp>2019-12-31</stp>
        <stp>3</stp>
        <tr r="F786" s="1"/>
      </tp>
      <tp>
        <v>31.382978720000001</v>
        <stp/>
        <stp>EM_S_PQ_PCTCHANGE</stp>
        <stp>4</stp>
        <stp>600362</stp>
        <stp>2018-12-31</stp>
        <stp>2019-12-30</stp>
        <stp>1</stp>
        <tr r="G900" s="1"/>
      </tp>
      <tp>
        <v>-72.833281119999995</v>
        <stp/>
        <stp>EM_S_PQ_PCTCHANGE</stp>
        <stp>4</stp>
        <stp>002113</stp>
        <stp>2018-01-01</stp>
        <stp>2019-12-31</stp>
        <stp>3</stp>
        <tr r="F3352" s="1"/>
      </tp>
      <tp>
        <v>25.452488689999999</v>
        <stp/>
        <stp>EM_S_PQ_PCTCHANGE</stp>
        <stp>4</stp>
        <stp>002302</stp>
        <stp>2018-12-31</stp>
        <stp>2019-12-30</stp>
        <stp>1</stp>
        <tr r="G1075" s="1"/>
      </tp>
      <tp>
        <v>7.4545395900000004</v>
        <stp/>
        <stp>EM_S_PQ_PCTCHANGE</stp>
        <stp>4</stp>
        <stp>300124</stp>
        <stp>2018-01-01</stp>
        <stp>2019-12-31</stp>
        <stp>3</stp>
        <tr r="F514" s="1"/>
      </tp>
      <tp>
        <v>-7.01754386</v>
        <stp/>
        <stp>EM_S_PQ_PCTCHANGE</stp>
        <stp>4</stp>
        <stp>300335</stp>
        <stp>2018-12-31</stp>
        <stp>2019-12-30</stp>
        <stp>1</stp>
        <tr r="G2659" s="1"/>
      </tp>
      <tp>
        <v>14.60055096</v>
        <stp/>
        <stp>EM_S_PQ_PCTCHANGE</stp>
        <stp>4</stp>
        <stp>600365</stp>
        <stp>2018-12-31</stp>
        <stp>2019-12-30</stp>
        <stp>1</stp>
        <tr r="G1502" s="1"/>
      </tp>
      <tp>
        <v>2.3442732799999999</v>
        <stp/>
        <stp>EM_S_PQ_PCTCHANGE</stp>
        <stp>4</stp>
        <stp>603365</stp>
        <stp>2018-12-31</stp>
        <stp>2019-12-30</stp>
        <stp>1</stp>
        <tr r="G2148" s="1"/>
      </tp>
      <tp>
        <v>-57.909604520000002</v>
        <stp/>
        <stp>EM_S_PQ_PCTCHANGE</stp>
        <stp>4</stp>
        <stp>002114</stp>
        <stp>2018-01-01</stp>
        <stp>2019-12-31</stp>
        <stp>3</stp>
        <tr r="F3638" s="1"/>
      </tp>
      <tp>
        <v>-24.305555559999998</v>
        <stp/>
        <stp>EM_S_PQ_PCTCHANGE</stp>
        <stp>4</stp>
        <stp>002305</stp>
        <stp>2018-12-31</stp>
        <stp>2019-12-30</stp>
        <stp>1</stp>
        <tr r="G3140" s="1"/>
      </tp>
      <tp>
        <v>43.099038100000001</v>
        <stp/>
        <stp>EM_S_PQ_PCTCHANGE</stp>
        <stp>4</stp>
        <stp>300125</stp>
        <stp>2018-01-01</stp>
        <stp>2019-12-31</stp>
        <stp>3</stp>
        <tr r="F841" s="1"/>
      </tp>
      <tp>
        <v>-11.89542484</v>
        <stp/>
        <stp>EM_S_PQ_PCTCHANGE</stp>
        <stp>4</stp>
        <stp>300334</stp>
        <stp>2018-12-31</stp>
        <stp>2019-12-30</stp>
        <stp>1</stp>
        <tr r="G2828" s="1"/>
      </tp>
      <tp>
        <v>-65.200764820000003</v>
        <stp/>
        <stp>EM_S_PQ_PCTCHANGE</stp>
        <stp>4</stp>
        <stp>600175</stp>
        <stp>2018-01-01</stp>
        <stp>2019-12-31</stp>
        <stp>3</stp>
        <tr r="F2982" s="1"/>
      </tp>
      <tp>
        <v>26.448498170000001</v>
        <stp/>
        <stp>EM_S_PQ_PCTCHANGE</stp>
        <stp>4</stp>
        <stp>002115</stp>
        <stp>2018-01-01</stp>
        <stp>2019-12-31</stp>
        <stp>3</stp>
        <tr r="F2756" s="1"/>
      </tp>
      <tp>
        <v>16.98690878</v>
        <stp/>
        <stp>EM_S_PQ_PCTCHANGE</stp>
        <stp>4</stp>
        <stp>002304</stp>
        <stp>2018-12-31</stp>
        <stp>2019-12-30</stp>
        <stp>1</stp>
        <tr r="G1400" s="1"/>
      </tp>
      <tp>
        <v>-13.21112342</v>
        <stp/>
        <stp>EM_S_PQ_PCTCHANGE</stp>
        <stp>4</stp>
        <stp>300126</stp>
        <stp>2018-01-01</stp>
        <stp>2019-12-31</stp>
        <stp>3</stp>
        <tr r="F1497" s="1"/>
      </tp>
      <tp>
        <v>-9.1428571400000003</v>
        <stp/>
        <stp>EM_S_PQ_PCTCHANGE</stp>
        <stp>4</stp>
        <stp>300337</stp>
        <stp>2018-12-31</stp>
        <stp>2019-12-30</stp>
        <stp>1</stp>
        <tr r="G2721" s="1"/>
      </tp>
      <tp>
        <v>-16.465698379999999</v>
        <stp/>
        <stp>EM_S_PQ_PCTCHANGE</stp>
        <stp>4</stp>
        <stp>600176</stp>
        <stp>2018-01-01</stp>
        <stp>2019-12-31</stp>
        <stp>3</stp>
        <tr r="F1596" s="1"/>
      </tp>
      <tp>
        <v>5.7262569799999996</v>
        <stp/>
        <stp>EM_S_PQ_PCTCHANGE</stp>
        <stp>4</stp>
        <stp>600367</stp>
        <stp>2018-12-31</stp>
        <stp>2019-12-30</stp>
        <stp>1</stp>
        <tr r="G1964" s="1"/>
      </tp>
      <tp>
        <v>5.7312253000000002</v>
        <stp/>
        <stp>EM_S_PQ_PCTCHANGE</stp>
        <stp>4</stp>
        <stp>603367</stp>
        <stp>2018-12-31</stp>
        <stp>2019-12-30</stp>
        <stp>1</stp>
        <tr r="G1963" s="1"/>
      </tp>
      <tp>
        <v>-25.0102151</v>
        <stp/>
        <stp>EM_S_PQ_PCTCHANGE</stp>
        <stp>4</stp>
        <stp>002116</stp>
        <stp>2018-01-01</stp>
        <stp>2019-12-31</stp>
        <stp>3</stp>
        <tr r="F1546" s="1"/>
      </tp>
      <tp>
        <v>9.9250936299999992</v>
        <stp/>
        <stp>EM_S_PQ_PCTCHANGE</stp>
        <stp>4</stp>
        <stp>002307</stp>
        <stp>2018-12-31</stp>
        <stp>2019-12-30</stp>
        <stp>1</stp>
        <tr r="G1740" s="1"/>
      </tp>
      <tp>
        <v>5.1356635199999996</v>
        <stp/>
        <stp>EM_S_PQ_PCTCHANGE</stp>
        <stp>4</stp>
        <stp>601177</stp>
        <stp>2018-01-01</stp>
        <stp>2019-12-31</stp>
        <stp>3</stp>
        <tr r="F2162" s="1"/>
      </tp>
      <tp>
        <v>-13.58024691</v>
        <stp/>
        <stp>EM_S_PQ_PCTCHANGE</stp>
        <stp>4</stp>
        <stp>601366</stp>
        <stp>2018-12-31</stp>
        <stp>2019-12-30</stp>
        <stp>1</stp>
        <tr r="G2886" s="1"/>
      </tp>
      <tp>
        <v>15.761096930000001</v>
        <stp/>
        <stp>EM_S_PQ_PCTCHANGE</stp>
        <stp>4</stp>
        <stp>300127</stp>
        <stp>2018-01-01</stp>
        <stp>2019-12-31</stp>
        <stp>3</stp>
        <tr r="F251" s="1"/>
      </tp>
      <tp>
        <v>-6.1363636399999999</v>
        <stp/>
        <stp>EM_S_PQ_PCTCHANGE</stp>
        <stp>4</stp>
        <stp>300336</stp>
        <stp>2018-12-31</stp>
        <stp>2019-12-30</stp>
        <stp>1</stp>
        <tr r="G2614" s="1"/>
      </tp>
      <tp>
        <v>18.063285530000002</v>
        <stp/>
        <stp>EM_S_PQ_PCTCHANGE</stp>
        <stp>4</stp>
        <stp>600177</stp>
        <stp>2018-01-01</stp>
        <stp>2019-12-31</stp>
        <stp>3</stp>
        <tr r="F2487" s="1"/>
      </tp>
      <tp>
        <v>34.131736529999998</v>
        <stp/>
        <stp>EM_S_PQ_PCTCHANGE</stp>
        <stp>4</stp>
        <stp>600366</stp>
        <stp>2018-12-31</stp>
        <stp>2019-12-30</stp>
        <stp>1</stp>
        <tr r="G846" s="1"/>
      </tp>
      <tp>
        <v>-50.900787739999998</v>
        <stp/>
        <stp>EM_S_PQ_PCTCHANGE</stp>
        <stp>4</stp>
        <stp>603177</stp>
        <stp>2018-01-01</stp>
        <stp>2019-12-31</stp>
        <stp>3</stp>
        <tr r="F1680" s="1"/>
      </tp>
      <tp>
        <v>24.700239809999999</v>
        <stp/>
        <stp>EM_S_PQ_PCTCHANGE</stp>
        <stp>4</stp>
        <stp>603366</stp>
        <stp>2018-12-31</stp>
        <stp>2019-12-30</stp>
        <stp>1</stp>
        <tr r="G1104" s="1"/>
      </tp>
      <tp>
        <v>2.1489747700000001</v>
        <stp/>
        <stp>EM_S_PQ_PCTCHANGE</stp>
        <stp>4</stp>
        <stp>002117</stp>
        <stp>2018-01-01</stp>
        <stp>2019-12-31</stp>
        <stp>3</stp>
        <tr r="F2798" s="1"/>
      </tp>
      <tp>
        <v>-22.670807450000002</v>
        <stp/>
        <stp>EM_S_PQ_PCTCHANGE</stp>
        <stp>4</stp>
        <stp>002306</stp>
        <stp>2018-12-31</stp>
        <stp>2019-12-30</stp>
        <stp>1</stp>
        <tr r="G3111" s="1"/>
      </tp>
      <tp>
        <v>-18.128014050000001</v>
        <stp/>
        <stp>EM_S_PQ_PCTCHANGE</stp>
        <stp>4</stp>
        <stp>601168</stp>
        <stp>2018-01-01</stp>
        <stp>2019-12-31</stp>
        <stp>3</stp>
        <tr r="F1406" s="1"/>
      </tp>
      <tp>
        <v>-15.891440920000001</v>
        <stp/>
        <stp>EM_S_PQ_PCTCHANGE</stp>
        <stp>4</stp>
        <stp>300138</stp>
        <stp>2018-01-01</stp>
        <stp>2019-12-31</stp>
        <stp>3</stp>
        <tr r="F941" s="1"/>
      </tp>
      <tp>
        <v>22.4893918</v>
        <stp/>
        <stp>EM_S_PQ_PCTCHANGE</stp>
        <stp>4</stp>
        <stp>300329</stp>
        <stp>2018-12-31</stp>
        <stp>2019-12-30</stp>
        <stp>1</stp>
        <tr r="G1174" s="1"/>
      </tp>
      <tp>
        <v>-17.36724701</v>
        <stp/>
        <stp>EM_S_PQ_PCTCHANGE</stp>
        <stp>4</stp>
        <stp>600168</stp>
        <stp>2018-01-01</stp>
        <stp>2019-12-31</stp>
        <stp>3</stp>
        <tr r="F1443" s="1"/>
      </tp>
      <tp>
        <v>-16.591928249999999</v>
        <stp/>
        <stp>EM_S_PQ_PCTCHANGE</stp>
        <stp>4</stp>
        <stp>600379</stp>
        <stp>2018-12-31</stp>
        <stp>2019-12-30</stp>
        <stp>1</stp>
        <tr r="G2976" s="1"/>
      </tp>
      <tp>
        <v>-23.015114610000001</v>
        <stp/>
        <stp>EM_S_PQ_PCTCHANGE</stp>
        <stp>4</stp>
        <stp>603168</stp>
        <stp>2018-01-01</stp>
        <stp>2019-12-31</stp>
        <stp>3</stp>
        <tr r="F1079" s="1"/>
      </tp>
      <tp>
        <v>-53.040235770000002</v>
        <stp/>
        <stp>EM_S_PQ_PCTCHANGE</stp>
        <stp>4</stp>
        <stp>002108</stp>
        <stp>2018-01-01</stp>
        <stp>2019-12-31</stp>
        <stp>3</stp>
        <tr r="F3637" s="1"/>
      </tp>
      <tp>
        <v>-41.268803140000003</v>
        <stp/>
        <stp>EM_S_PQ_PCTCHANGE</stp>
        <stp>4</stp>
        <stp>002319</stp>
        <stp>2018-12-31</stp>
        <stp>2019-12-30</stp>
        <stp>1</stp>
        <tr r="G3323" s="1"/>
      </tp>
      <tp>
        <v>-12.541530570000001</v>
        <stp/>
        <stp>EM_S_PQ_PCTCHANGE</stp>
        <stp>4</stp>
        <stp>601169</stp>
        <stp>2018-01-01</stp>
        <stp>2019-12-31</stp>
        <stp>3</stp>
        <tr r="F2223" s="1"/>
      </tp>
      <tp>
        <v>10</v>
        <stp/>
        <stp>EM_S_PQ_PCTCHANGE</stp>
        <stp>4</stp>
        <stp>300139</stp>
        <stp>2018-01-01</stp>
        <stp>2019-12-31</stp>
        <stp>3</stp>
        <tr r="F1318" s="1"/>
      </tp>
      <tp>
        <v>140.22801303</v>
        <stp/>
        <stp>EM_S_PQ_PCTCHANGE</stp>
        <stp>4</stp>
        <stp>300328</stp>
        <stp>2018-12-31</stp>
        <stp>2019-12-30</stp>
        <stp>1</stp>
        <tr r="G97" s="1"/>
      </tp>
      <tp>
        <v>-32.658959539999998</v>
        <stp/>
        <stp>EM_S_PQ_PCTCHANGE</stp>
        <stp>4</stp>
        <stp>600169</stp>
        <stp>2018-01-01</stp>
        <stp>2019-12-31</stp>
        <stp>3</stp>
        <tr r="F2058" s="1"/>
      </tp>
      <tp>
        <v>115.42792793</v>
        <stp/>
        <stp>EM_S_PQ_PCTCHANGE</stp>
        <stp>4</stp>
        <stp>600378</stp>
        <stp>2018-12-31</stp>
        <stp>2019-12-30</stp>
        <stp>1</stp>
        <tr r="G132" s="1"/>
      </tp>
      <tp>
        <v>-30.393325390000001</v>
        <stp/>
        <stp>EM_S_PQ_PCTCHANGE</stp>
        <stp>4</stp>
        <stp>603169</stp>
        <stp>2018-01-01</stp>
        <stp>2019-12-31</stp>
        <stp>3</stp>
        <tr r="F821" s="1"/>
      </tp>
      <tp>
        <v>66.416791599999996</v>
        <stp/>
        <stp>EM_S_PQ_PCTCHANGE</stp>
        <stp>4</stp>
        <stp>603378</stp>
        <stp>2018-12-31</stp>
        <stp>2019-12-30</stp>
        <stp>1</stp>
        <tr r="G357" s="1"/>
      </tp>
      <tp>
        <v>-26.467171390000001</v>
        <stp/>
        <stp>EM_S_PQ_PCTCHANGE</stp>
        <stp>4</stp>
        <stp>002109</stp>
        <stp>2018-01-01</stp>
        <stp>2019-12-31</stp>
        <stp>3</stp>
        <tr r="F2560" s="1"/>
      </tp>
      <tp>
        <v>49.68454259</v>
        <stp/>
        <stp>EM_S_PQ_PCTCHANGE</stp>
        <stp>4</stp>
        <stp>002318</stp>
        <stp>2018-12-31</stp>
        <stp>2019-12-30</stp>
        <stp>1</stp>
        <tr r="G566" s="1"/>
      </tp>
      <tp>
        <v>87.17563801</v>
        <stp/>
        <stp>EM_S_PQ_PCTCHANGE</stp>
        <stp>4</stp>
        <stp>000100</stp>
        <stp>2019-01-01</stp>
        <stp>2019-12-31</stp>
        <stp>3</stp>
        <tr r="G212" s="1"/>
      </tp>
      <tp>
        <v>21.452612899999998</v>
        <stp/>
        <stp>EM_S_PQ_PCTCHANGE</stp>
        <stp>4</stp>
        <stp>000100</stp>
        <stp>2018-01-01</stp>
        <stp>2019-12-31</stp>
        <stp>3</stp>
        <tr r="F212" s="1"/>
      </tp>
      <tp>
        <v>36.657598499999999</v>
        <stp/>
        <stp>EM_S_PQ_PCTCHANGE</stp>
        <stp>4</stp>
        <stp>300130</stp>
        <stp>2018-01-01</stp>
        <stp>2019-12-31</stp>
        <stp>3</stp>
        <tr r="F478" s="1"/>
      </tp>
      <tp>
        <v>26.561264820000002</v>
        <stp/>
        <stp>EM_S_PQ_PCTCHANGE</stp>
        <stp>4</stp>
        <stp>300321</stp>
        <stp>2018-12-31</stp>
        <stp>2019-12-30</stp>
        <stp>1</stp>
        <tr r="G1033" s="1"/>
      </tp>
      <tp>
        <v>-8.2913172900000003</v>
        <stp/>
        <stp>EM_S_PQ_PCTCHANGE</stp>
        <stp>4</stp>
        <stp>600160</stp>
        <stp>2018-01-01</stp>
        <stp>2019-12-31</stp>
        <stp>3</stp>
        <tr r="F1738" s="1"/>
      </tp>
      <tp>
        <v>92.8</v>
        <stp/>
        <stp>EM_S_PQ_PCTCHANGE</stp>
        <stp>4</stp>
        <stp>600371</stp>
        <stp>2018-12-31</stp>
        <stp>2019-12-30</stp>
        <stp>1</stp>
        <tr r="G193" s="1"/>
      </tp>
      <tp>
        <v>115.46779484</v>
        <stp/>
        <stp>EM_S_PQ_PCTCHANGE</stp>
        <stp>4</stp>
        <stp>603160</stp>
        <stp>2018-01-01</stp>
        <stp>2019-12-31</stp>
        <stp>3</stp>
        <tr r="F70" s="1"/>
      </tp>
      <tp>
        <v>61.906949310000002</v>
        <stp/>
        <stp>EM_S_PQ_PCTCHANGE</stp>
        <stp>4</stp>
        <stp>002100</stp>
        <stp>2018-01-01</stp>
        <stp>2019-12-31</stp>
        <stp>3</stp>
        <tr r="F54" s="1"/>
      </tp>
      <tp>
        <v>55.761760899999999</v>
        <stp/>
        <stp>EM_S_PQ_PCTCHANGE</stp>
        <stp>4</stp>
        <stp>002311</stp>
        <stp>2018-12-31</stp>
        <stp>2019-12-30</stp>
        <stp>1</stp>
        <tr r="G476" s="1"/>
      </tp>
      <tp>
        <v>163.05653085</v>
        <stp/>
        <stp>EM_S_PQ_PCTCHANGE</stp>
        <stp>4</stp>
        <stp>603160</stp>
        <stp>2019-01-01</stp>
        <stp>2019-12-31</stp>
        <stp>3</stp>
        <tr r="G70" s="1"/>
      </tp>
      <tp>
        <v>-24.53822916</v>
        <stp/>
        <stp>EM_S_PQ_PCTCHANGE</stp>
        <stp>4</stp>
        <stp>300131</stp>
        <stp>2018-01-01</stp>
        <stp>2019-12-31</stp>
        <stp>3</stp>
        <tr r="F1274" s="1"/>
      </tp>
      <tp>
        <v>11.38952164</v>
        <stp/>
        <stp>EM_S_PQ_PCTCHANGE</stp>
        <stp>4</stp>
        <stp>300320</stp>
        <stp>2018-12-31</stp>
        <stp>2019-12-30</stp>
        <stp>1</stp>
        <tr r="G1658" s="1"/>
      </tp>
      <tp>
        <v>52.846109400000003</v>
        <stp/>
        <stp>EM_S_PQ_PCTCHANGE</stp>
        <stp>4</stp>
        <stp>600161</stp>
        <stp>2018-01-01</stp>
        <stp>2019-12-31</stp>
        <stp>3</stp>
        <tr r="F1011" s="1"/>
      </tp>
      <tp>
        <v>11.03448276</v>
        <stp/>
        <stp>EM_S_PQ_PCTCHANGE</stp>
        <stp>4</stp>
        <stp>600370</stp>
        <stp>2018-12-31</stp>
        <stp>2019-12-30</stp>
        <stp>1</stp>
        <tr r="G1676" s="1"/>
      </tp>
      <tp>
        <v>-16.113772539999999</v>
        <stp/>
        <stp>EM_S_PQ_PCTCHANGE</stp>
        <stp>4</stp>
        <stp>603161</stp>
        <stp>2018-01-01</stp>
        <stp>2019-12-31</stp>
        <stp>3</stp>
        <tr r="F2902" s="1"/>
      </tp>
      <tp>
        <v>-46.681771449999999</v>
        <stp/>
        <stp>EM_S_PQ_PCTCHANGE</stp>
        <stp>4</stp>
        <stp>002101</stp>
        <stp>2018-01-01</stp>
        <stp>2019-12-31</stp>
        <stp>3</stp>
        <tr r="F2834" s="1"/>
      </tp>
      <tp>
        <v>-28.017241380000002</v>
        <stp/>
        <stp>EM_S_PQ_PCTCHANGE</stp>
        <stp>4</stp>
        <stp>002310</stp>
        <stp>2018-12-31</stp>
        <stp>2019-12-30</stp>
        <stp>1</stp>
        <tr r="G3198" s="1"/>
      </tp>
      <tp>
        <v>41.697381640000003</v>
        <stp/>
        <stp>EM_S_PQ_PCTCHANGE</stp>
        <stp>4</stp>
        <stp>300132</stp>
        <stp>2018-01-01</stp>
        <stp>2019-12-31</stp>
        <stp>3</stp>
        <tr r="F2143" s="1"/>
      </tp>
      <tp>
        <v>-0.55325035</v>
        <stp/>
        <stp>EM_S_PQ_PCTCHANGE</stp>
        <stp>4</stp>
        <stp>300323</stp>
        <stp>2018-12-31</stp>
        <stp>2019-12-30</stp>
        <stp>1</stp>
        <tr r="G2365" s="1"/>
      </tp>
      <tp>
        <v>-25.95899966</v>
        <stp/>
        <stp>EM_S_PQ_PCTCHANGE</stp>
        <stp>4</stp>
        <stp>600162</stp>
        <stp>2018-01-01</stp>
        <stp>2019-12-31</stp>
        <stp>3</stp>
        <tr r="F2078" s="1"/>
      </tp>
      <tp>
        <v>3.9969254400000001</v>
        <stp/>
        <stp>EM_S_PQ_PCTCHANGE</stp>
        <stp>4</stp>
        <stp>600373</stp>
        <stp>2018-12-31</stp>
        <stp>2019-12-30</stp>
        <stp>1</stp>
        <tr r="G2059" s="1"/>
      </tp>
      <tp>
        <v>-47.965405650000001</v>
        <stp/>
        <stp>EM_S_PQ_PCTCHANGE</stp>
        <stp>4</stp>
        <stp>002102</stp>
        <stp>2018-01-01</stp>
        <stp>2019-12-31</stp>
        <stp>3</stp>
        <tr r="F3634" s="1"/>
      </tp>
      <tp>
        <v>-12.4003543</v>
        <stp/>
        <stp>EM_S_PQ_PCTCHANGE</stp>
        <stp>4</stp>
        <stp>002313</stp>
        <stp>2018-12-31</stp>
        <stp>2019-12-30</stp>
        <stp>1</stp>
        <tr r="G2845" s="1"/>
      </tp>
      <tp>
        <v>-22.228626930000001</v>
        <stp/>
        <stp>EM_S_PQ_PCTCHANGE</stp>
        <stp>4</stp>
        <stp>601163</stp>
        <stp>2018-01-01</stp>
        <stp>2019-12-31</stp>
        <stp>3</stp>
        <tr r="F828" s="1"/>
      </tp>
      <tp>
        <v>-31.384394910000001</v>
        <stp/>
        <stp>EM_S_PQ_PCTCHANGE</stp>
        <stp>4</stp>
        <stp>300133</stp>
        <stp>2018-01-01</stp>
        <stp>2019-12-31</stp>
        <stp>3</stp>
        <tr r="F3041" s="1"/>
      </tp>
      <tp>
        <v>120.96436059</v>
        <stp/>
        <stp>EM_S_PQ_PCTCHANGE</stp>
        <stp>4</stp>
        <stp>300322</stp>
        <stp>2018-12-31</stp>
        <stp>2019-12-30</stp>
        <stp>1</stp>
        <tr r="G123" s="1"/>
      </tp>
      <tp>
        <v>-14.56790123</v>
        <stp/>
        <stp>EM_S_PQ_PCTCHANGE</stp>
        <stp>4</stp>
        <stp>600163</stp>
        <stp>2018-01-01</stp>
        <stp>2019-12-31</stp>
        <stp>3</stp>
        <tr r="F1968" s="1"/>
      </tp>
      <tp>
        <v>10.015408320000001</v>
        <stp/>
        <stp>EM_S_PQ_PCTCHANGE</stp>
        <stp>4</stp>
        <stp>600372</stp>
        <stp>2018-12-31</stp>
        <stp>2019-12-30</stp>
        <stp>1</stp>
        <tr r="G1736" s="1"/>
      </tp>
      <tp>
        <v>-47.918376520000002</v>
        <stp/>
        <stp>EM_S_PQ_PCTCHANGE</stp>
        <stp>4</stp>
        <stp>002103</stp>
        <stp>2018-01-01</stp>
        <stp>2019-12-31</stp>
        <stp>3</stp>
        <tr r="F3635" s="1"/>
      </tp>
      <tp>
        <v>32.268370609999998</v>
        <stp/>
        <stp>EM_S_PQ_PCTCHANGE</stp>
        <stp>4</stp>
        <stp>002312</stp>
        <stp>2018-12-31</stp>
        <stp>2019-12-30</stp>
        <stp>1</stp>
        <tr r="G876" s="1"/>
      </tp>
      <tp>
        <v>25.11737089</v>
        <stp/>
        <stp>EM_S_PQ_PCTCHANGE</stp>
        <stp>4</stp>
        <stp>601375</stp>
        <stp>2018-12-31</stp>
        <stp>2019-12-30</stp>
        <stp>1</stp>
        <tr r="G1087" s="1"/>
      </tp>
      <tp>
        <v>-6.2613981799999996</v>
        <stp/>
        <stp>EM_S_PQ_PCTCHANGE</stp>
        <stp>4</stp>
        <stp>300134</stp>
        <stp>2018-01-01</stp>
        <stp>2019-12-31</stp>
        <stp>3</stp>
        <tr r="F367" s="1"/>
      </tp>
      <tp>
        <v>7.4433657000000002</v>
        <stp/>
        <stp>EM_S_PQ_PCTCHANGE</stp>
        <stp>4</stp>
        <stp>300325</stp>
        <stp>2018-12-31</stp>
        <stp>2019-12-30</stp>
        <stp>1</stp>
        <tr r="G1879" s="1"/>
      </tp>
      <tp>
        <v>33.522727269999997</v>
        <stp/>
        <stp>EM_S_PQ_PCTCHANGE</stp>
        <stp>4</stp>
        <stp>600375</stp>
        <stp>2018-12-31</stp>
        <stp>2019-12-30</stp>
        <stp>1</stp>
        <tr r="G856" s="1"/>
      </tp>
      <tp>
        <v>-12.77080958</v>
        <stp/>
        <stp>EM_S_PQ_PCTCHANGE</stp>
        <stp>4</stp>
        <stp>002104</stp>
        <stp>2018-01-01</stp>
        <stp>2019-12-31</stp>
        <stp>3</stp>
        <tr r="F962" s="1"/>
      </tp>
      <tp>
        <v>61.896697709999998</v>
        <stp/>
        <stp>EM_S_PQ_PCTCHANGE</stp>
        <stp>4</stp>
        <stp>002315</stp>
        <stp>2018-12-31</stp>
        <stp>2019-12-30</stp>
        <stp>1</stp>
        <tr r="G403" s="1"/>
      </tp>
      <tp>
        <v>-28.04792252</v>
        <stp/>
        <stp>EM_S_PQ_PCTCHANGE</stp>
        <stp>4</stp>
        <stp>300135</stp>
        <stp>2018-01-01</stp>
        <stp>2019-12-31</stp>
        <stp>3</stp>
        <tr r="F2372" s="1"/>
      </tp>
      <tp>
        <v>-1.4260249599999999</v>
        <stp/>
        <stp>EM_S_PQ_PCTCHANGE</stp>
        <stp>4</stp>
        <stp>300324</stp>
        <stp>2018-12-31</stp>
        <stp>2019-12-30</stp>
        <stp>1</stp>
        <tr r="G2393" s="1"/>
      </tp>
      <tp>
        <v>-75.902864260000001</v>
        <stp/>
        <stp>EM_S_PQ_PCTCHANGE</stp>
        <stp>4</stp>
        <stp>600165</stp>
        <stp>2018-01-01</stp>
        <stp>2019-12-31</stp>
        <stp>3</stp>
        <tr r="F3077" s="1"/>
      </tp>
      <tp>
        <v>-56.898744129999997</v>
        <stp/>
        <stp>EM_S_PQ_PCTCHANGE</stp>
        <stp>4</stp>
        <stp>603165</stp>
        <stp>2018-01-01</stp>
        <stp>2019-12-31</stp>
        <stp>3</stp>
        <tr r="F1558" s="1"/>
      </tp>
      <tp>
        <v>-8.5700193200000001</v>
        <stp/>
        <stp>EM_S_PQ_PCTCHANGE</stp>
        <stp>4</stp>
        <stp>002105</stp>
        <stp>2018-01-01</stp>
        <stp>2019-12-31</stp>
        <stp>3</stp>
        <tr r="F3636" s="1"/>
      </tp>
      <tp>
        <v>6.6202090599999996</v>
        <stp/>
        <stp>EM_S_PQ_PCTCHANGE</stp>
        <stp>4</stp>
        <stp>002314</stp>
        <stp>2018-12-31</stp>
        <stp>2019-12-30</stp>
        <stp>1</stp>
        <tr r="G1918" s="1"/>
      </tp>
      <tp>
        <v>109.99537251</v>
        <stp/>
        <stp>EM_S_PQ_PCTCHANGE</stp>
        <stp>4</stp>
        <stp>300136</stp>
        <stp>2019-01-01</stp>
        <stp>2019-12-31</stp>
        <stp>3</stp>
        <tr r="G145" s="1"/>
      </tp>
      <tp>
        <v>26.213080479999999</v>
        <stp/>
        <stp>EM_S_PQ_PCTCHANGE</stp>
        <stp>4</stp>
        <stp>601166</stp>
        <stp>2018-01-01</stp>
        <stp>2019-12-31</stp>
        <stp>3</stp>
        <tr r="F877" s="1"/>
      </tp>
      <tp>
        <v>54.094827590000001</v>
        <stp/>
        <stp>EM_S_PQ_PCTCHANGE</stp>
        <stp>4</stp>
        <stp>601377</stp>
        <stp>2018-12-31</stp>
        <stp>2019-12-30</stp>
        <stp>1</stp>
        <tr r="G499" s="1"/>
      </tp>
      <tp>
        <v>-10.283662830000001</v>
        <stp/>
        <stp>EM_S_PQ_PCTCHANGE</stp>
        <stp>4</stp>
        <stp>300136</stp>
        <stp>2018-01-01</stp>
        <stp>2019-12-31</stp>
        <stp>3</stp>
        <tr r="F145" s="1"/>
      </tp>
      <tp>
        <v>42.731760829999999</v>
        <stp/>
        <stp>EM_S_PQ_PCTCHANGE</stp>
        <stp>4</stp>
        <stp>300327</stp>
        <stp>2018-12-31</stp>
        <stp>2019-12-30</stp>
        <stp>1</stp>
        <tr r="G690" s="1"/>
      </tp>
      <tp>
        <v>-25.249020909999999</v>
        <stp/>
        <stp>EM_S_PQ_PCTCHANGE</stp>
        <stp>4</stp>
        <stp>600166</stp>
        <stp>2018-01-01</stp>
        <stp>2019-12-31</stp>
        <stp>3</stp>
        <tr r="F1515" s="1"/>
      </tp>
      <tp>
        <v>12.65306122</v>
        <stp/>
        <stp>EM_S_PQ_PCTCHANGE</stp>
        <stp>4</stp>
        <stp>600377</stp>
        <stp>2018-12-31</stp>
        <stp>2019-12-30</stp>
        <stp>1</stp>
        <tr r="G1600" s="1"/>
      </tp>
      <tp>
        <v>-22.085701190000002</v>
        <stp/>
        <stp>EM_S_PQ_PCTCHANGE</stp>
        <stp>4</stp>
        <stp>603166</stp>
        <stp>2018-01-01</stp>
        <stp>2019-12-31</stp>
        <stp>3</stp>
        <tr r="F1347" s="1"/>
      </tp>
      <tp>
        <v>25.2739726</v>
        <stp/>
        <stp>EM_S_PQ_PCTCHANGE</stp>
        <stp>4</stp>
        <stp>603377</stp>
        <stp>2018-12-31</stp>
        <stp>2019-12-30</stp>
        <stp>1</stp>
        <tr r="G1083" s="1"/>
      </tp>
      <tp>
        <v>-3.6902863300000002</v>
        <stp/>
        <stp>EM_S_PQ_PCTCHANGE</stp>
        <stp>4</stp>
        <stp>002106</stp>
        <stp>2018-01-01</stp>
        <stp>2019-12-31</stp>
        <stp>3</stp>
        <tr r="F474" s="1"/>
      </tp>
      <tp>
        <v>44.670658680000003</v>
        <stp/>
        <stp>EM_S_PQ_PCTCHANGE</stp>
        <stp>4</stp>
        <stp>002317</stp>
        <stp>2018-12-31</stp>
        <stp>2019-12-30</stp>
        <stp>1</stp>
        <tr r="G653" s="1"/>
      </tp>
      <tp>
        <v>-41.13031831</v>
        <stp/>
        <stp>EM_S_PQ_PCTCHANGE</stp>
        <stp>4</stp>
        <stp>300137</stp>
        <stp>2018-01-01</stp>
        <stp>2019-12-31</stp>
        <stp>3</stp>
        <tr r="F2600" s="1"/>
      </tp>
      <tp>
        <v>55.529411760000002</v>
        <stp/>
        <stp>EM_S_PQ_PCTCHANGE</stp>
        <stp>4</stp>
        <stp>300326</stp>
        <stp>2018-12-31</stp>
        <stp>2019-12-30</stp>
        <stp>1</stp>
        <tr r="G483" s="1"/>
      </tp>
      <tp>
        <v>50.38881275</v>
        <stp/>
        <stp>EM_S_PQ_PCTCHANGE</stp>
        <stp>4</stp>
        <stp>600167</stp>
        <stp>2018-01-01</stp>
        <stp>2019-12-31</stp>
        <stp>3</stp>
        <tr r="F683" s="1"/>
      </tp>
      <tp>
        <v>11.54381085</v>
        <stp/>
        <stp>EM_S_PQ_PCTCHANGE</stp>
        <stp>4</stp>
        <stp>600376</stp>
        <stp>2018-12-31</stp>
        <stp>2019-12-30</stp>
        <stp>1</stp>
        <tr r="G1649" s="1"/>
      </tp>
      <tp>
        <v>3.0864222300000002</v>
        <stp/>
        <stp>EM_S_PQ_PCTCHANGE</stp>
        <stp>4</stp>
        <stp>603167</stp>
        <stp>2018-01-01</stp>
        <stp>2019-12-31</stp>
        <stp>3</stp>
        <tr r="F1235" s="1"/>
      </tp>
      <tp>
        <v>-31.65357852</v>
        <stp/>
        <stp>EM_S_PQ_PCTCHANGE</stp>
        <stp>4</stp>
        <stp>002107</stp>
        <stp>2018-01-01</stp>
        <stp>2019-12-31</stp>
        <stp>3</stp>
        <tr r="F1136" s="1"/>
      </tp>
      <tp>
        <v>6.7238912700000002</v>
        <stp/>
        <stp>EM_S_PQ_PCTCHANGE</stp>
        <stp>4</stp>
        <stp>002316</stp>
        <stp>2018-12-31</stp>
        <stp>2019-12-30</stp>
        <stp>1</stp>
        <tr r="G1910" s="1"/>
      </tp>
      <tp>
        <v>-4.4992733300000003</v>
        <stp/>
        <stp>EM_S_PQ_PCTCHANGE</stp>
        <stp>4</stp>
        <stp>601158</stp>
        <stp>2018-01-01</stp>
        <stp>2019-12-31</stp>
        <stp>3</stp>
        <tr r="F2337" s="1"/>
      </tp>
      <tp>
        <v>-60.06758482</v>
        <stp/>
        <stp>EM_S_PQ_PCTCHANGE</stp>
        <stp>4</stp>
        <stp>300108</stp>
        <stp>2018-01-01</stp>
        <stp>2019-12-31</stp>
        <stp>3</stp>
        <tr r="F3150" s="1"/>
      </tp>
      <tp>
        <v>117.64705882</v>
        <stp/>
        <stp>EM_S_PQ_PCTCHANGE</stp>
        <stp>4</stp>
        <stp>300319</stp>
        <stp>2018-12-31</stp>
        <stp>2019-12-30</stp>
        <stp>1</stp>
        <tr r="G128" s="1"/>
      </tp>
      <tp>
        <v>-1.9758236499999999</v>
        <stp/>
        <stp>EM_S_PQ_PCTCHANGE</stp>
        <stp>4</stp>
        <stp>600158</stp>
        <stp>2018-01-01</stp>
        <stp>2019-12-31</stp>
        <stp>3</stp>
        <tr r="F1644" s="1"/>
      </tp>
      <tp>
        <v>0</v>
        <stp/>
        <stp>EM_S_PQ_PCTCHANGE</stp>
        <stp>4</stp>
        <stp>600349</stp>
        <stp>2018-12-31</stp>
        <stp>2019-12-30</stp>
        <stp>1</stp>
        <tr r="G12" s="1"/>
      </tp>
      <tp>
        <v>-14.03837468</v>
        <stp/>
        <stp>EM_S_PQ_PCTCHANGE</stp>
        <stp>4</stp>
        <stp>603158</stp>
        <stp>2018-01-01</stp>
        <stp>2019-12-31</stp>
        <stp>3</stp>
        <tr r="F2653" s="1"/>
      </tp>
      <tp>
        <v>42.377949030000003</v>
        <stp/>
        <stp>EM_S_PQ_PCTCHANGE</stp>
        <stp>4</stp>
        <stp>002138</stp>
        <stp>2018-01-01</stp>
        <stp>2019-12-31</stp>
        <stp>3</stp>
        <tr r="F329" s="1"/>
      </tp>
      <tp>
        <v>31.07692308</v>
        <stp/>
        <stp>EM_S_PQ_PCTCHANGE</stp>
        <stp>4</stp>
        <stp>002329</stp>
        <stp>2018-12-31</stp>
        <stp>2019-12-30</stp>
        <stp>1</stp>
        <tr r="G907" s="1"/>
      </tp>
      <tp>
        <v>-53.602014259999997</v>
        <stp/>
        <stp>EM_S_PQ_PCTCHANGE</stp>
        <stp>4</stp>
        <stp>300109</stp>
        <stp>2018-01-01</stp>
        <stp>2019-12-31</stp>
        <stp>3</stp>
        <tr r="F1364" s="1"/>
      </tp>
      <tp>
        <v>2.2613065300000001</v>
        <stp/>
        <stp>EM_S_PQ_PCTCHANGE</stp>
        <stp>4</stp>
        <stp>300318</stp>
        <stp>2018-12-31</stp>
        <stp>2019-12-30</stp>
        <stp>1</stp>
        <tr r="G2155" s="1"/>
      </tp>
      <tp>
        <v>-31.534991699999999</v>
        <stp/>
        <stp>EM_S_PQ_PCTCHANGE</stp>
        <stp>4</stp>
        <stp>600159</stp>
        <stp>2018-01-01</stp>
        <stp>2019-12-31</stp>
        <stp>3</stp>
        <tr r="F1961" s="1"/>
      </tp>
      <tp>
        <v>9.9206349199999995</v>
        <stp/>
        <stp>EM_S_PQ_PCTCHANGE</stp>
        <stp>4</stp>
        <stp>600348</stp>
        <stp>2018-12-31</stp>
        <stp>2019-12-30</stp>
        <stp>1</stp>
        <tr r="G1741" s="1"/>
      </tp>
      <tp>
        <v>-34.047334319999997</v>
        <stp/>
        <stp>EM_S_PQ_PCTCHANGE</stp>
        <stp>4</stp>
        <stp>603159</stp>
        <stp>2018-01-01</stp>
        <stp>2019-12-31</stp>
        <stp>3</stp>
        <tr r="F3276" s="1"/>
      </tp>
      <tp>
        <v>-1.60071143</v>
        <stp/>
        <stp>EM_S_PQ_PCTCHANGE</stp>
        <stp>4</stp>
        <stp>603348</stp>
        <stp>2018-12-31</stp>
        <stp>2019-12-30</stp>
        <stp>1</stp>
        <tr r="G2404" s="1"/>
      </tp>
      <tp>
        <v>-27.563478740000001</v>
        <stp/>
        <stp>EM_S_PQ_PCTCHANGE</stp>
        <stp>4</stp>
        <stp>002139</stp>
        <stp>2018-01-01</stp>
        <stp>2019-12-31</stp>
        <stp>3</stp>
        <tr r="F684" s="1"/>
      </tp>
      <tp>
        <v>-28.035714290000001</v>
        <stp/>
        <stp>EM_S_PQ_PCTCHANGE</stp>
        <stp>4</stp>
        <stp>002328</stp>
        <stp>2018-12-31</stp>
        <stp>2019-12-30</stp>
        <stp>1</stp>
        <tr r="G3199" s="1"/>
      </tp>
      <tp>
        <v>-61.199901709999999</v>
        <stp/>
        <stp>EM_S_PQ_PCTCHANGE</stp>
        <stp>4</stp>
        <stp>300100</stp>
        <stp>2018-01-01</stp>
        <stp>2019-12-31</stp>
        <stp>3</stp>
        <tr r="F3326" s="1"/>
      </tp>
      <tp>
        <v>65.748709120000001</v>
        <stp/>
        <stp>EM_S_PQ_PCTCHANGE</stp>
        <stp>4</stp>
        <stp>300311</stp>
        <stp>2018-12-31</stp>
        <stp>2019-12-30</stp>
        <stp>1</stp>
        <tr r="G362" s="1"/>
      </tp>
      <tp>
        <v>-11.308875929999999</v>
        <stp/>
        <stp>EM_S_PQ_PCTCHANGE</stp>
        <stp>4</stp>
        <stp>600150</stp>
        <stp>2018-01-01</stp>
        <stp>2019-12-31</stp>
        <stp>3</stp>
        <tr r="F395" s="1"/>
      </tp>
      <tp>
        <v>-13.91669211</v>
        <stp/>
        <stp>EM_S_PQ_PCTCHANGE</stp>
        <stp>4</stp>
        <stp>002130</stp>
        <stp>2018-01-01</stp>
        <stp>2019-12-31</stp>
        <stp>3</stp>
        <tr r="F517" s="1"/>
      </tp>
      <tp>
        <v>6.9767441899999998</v>
        <stp/>
        <stp>EM_S_PQ_PCTCHANGE</stp>
        <stp>4</stp>
        <stp>002321</stp>
        <stp>2018-12-31</stp>
        <stp>2019-12-30</stp>
        <stp>1</stp>
        <tr r="G1897" s="1"/>
      </tp>
      <tp>
        <v>-31.99168719</v>
        <stp/>
        <stp>EM_S_PQ_PCTCHANGE</stp>
        <stp>4</stp>
        <stp>300101</stp>
        <stp>2018-01-01</stp>
        <stp>2019-12-31</stp>
        <stp>3</stp>
        <tr r="F2605" s="1"/>
      </tp>
      <tp>
        <v>0.78895464000000004</v>
        <stp/>
        <stp>EM_S_PQ_PCTCHANGE</stp>
        <stp>4</stp>
        <stp>300310</stp>
        <stp>2018-12-31</stp>
        <stp>2019-12-30</stp>
        <stp>1</stp>
        <tr r="G2231" s="1"/>
      </tp>
      <tp>
        <v>-37.549407109999997</v>
        <stp/>
        <stp>EM_S_PQ_PCTCHANGE</stp>
        <stp>4</stp>
        <stp>600151</stp>
        <stp>2018-01-01</stp>
        <stp>2019-12-31</stp>
        <stp>3</stp>
        <tr r="F1268" s="1"/>
      </tp>
      <tp>
        <v>11.74852652</v>
        <stp/>
        <stp>EM_S_PQ_PCTCHANGE</stp>
        <stp>4</stp>
        <stp>600340</stp>
        <stp>2018-12-31</stp>
        <stp>2019-12-30</stp>
        <stp>1</stp>
        <tr r="G1641" s="1"/>
      </tp>
      <tp>
        <v>14.70872262</v>
        <stp/>
        <stp>EM_S_PQ_PCTCHANGE</stp>
        <stp>4</stp>
        <stp>002131</stp>
        <stp>2018-01-01</stp>
        <stp>2019-12-31</stp>
        <stp>3</stp>
        <tr r="F178" s="1"/>
      </tp>
      <tp>
        <v>-9.8141263900000002</v>
        <stp/>
        <stp>EM_S_PQ_PCTCHANGE</stp>
        <stp>4</stp>
        <stp>002320</stp>
        <stp>2018-12-31</stp>
        <stp>2019-12-30</stp>
        <stp>1</stp>
        <tr r="G2750" s="1"/>
      </tp>
      <tp>
        <v>-52.434023230000001</v>
        <stp/>
        <stp>EM_S_PQ_PCTCHANGE</stp>
        <stp>4</stp>
        <stp>300102</stp>
        <stp>2018-01-01</stp>
        <stp>2019-12-31</stp>
        <stp>3</stp>
        <tr r="F3006" s="1"/>
      </tp>
      <tp>
        <v>-15.213946119999999</v>
        <stp/>
        <stp>EM_S_PQ_PCTCHANGE</stp>
        <stp>4</stp>
        <stp>300313</stp>
        <stp>2018-12-31</stp>
        <stp>2019-12-30</stp>
        <stp>1</stp>
        <tr r="G2939" s="1"/>
      </tp>
      <tp>
        <v>-12.54851229</v>
        <stp/>
        <stp>EM_S_PQ_PCTCHANGE</stp>
        <stp>4</stp>
        <stp>600152</stp>
        <stp>2018-01-01</stp>
        <stp>2019-12-31</stp>
        <stp>3</stp>
        <tr r="F1376" s="1"/>
      </tp>
      <tp>
        <v>21.184210530000001</v>
        <stp/>
        <stp>EM_S_PQ_PCTCHANGE</stp>
        <stp>4</stp>
        <stp>600343</stp>
        <stp>2018-12-31</stp>
        <stp>2019-12-30</stp>
        <stp>1</stp>
        <tr r="G1225" s="1"/>
      </tp>
      <tp>
        <v>-41.98152855</v>
        <stp/>
        <stp>EM_S_PQ_PCTCHANGE</stp>
        <stp>4</stp>
        <stp>002132</stp>
        <stp>2018-01-01</stp>
        <stp>2019-12-31</stp>
        <stp>3</stp>
        <tr r="F1461" s="1"/>
      </tp>
      <tp>
        <v>153.4351145</v>
        <stp/>
        <stp>EM_S_PQ_PCTCHANGE</stp>
        <stp>4</stp>
        <stp>002323</stp>
        <stp>2018-12-31</stp>
        <stp>2019-12-30</stp>
        <stp>1</stp>
        <tr r="G80" s="1"/>
      </tp>
      <tp>
        <v>-20.994581140000001</v>
        <stp/>
        <stp>EM_S_PQ_PCTCHANGE</stp>
        <stp>4</stp>
        <stp>300103</stp>
        <stp>2018-01-01</stp>
        <stp>2019-12-31</stp>
        <stp>3</stp>
        <tr r="F1115" s="1"/>
      </tp>
      <tp>
        <v>-38.780207130000001</v>
        <stp/>
        <stp>EM_S_PQ_PCTCHANGE</stp>
        <stp>4</stp>
        <stp>300312</stp>
        <stp>2018-12-31</stp>
        <stp>2019-12-30</stp>
        <stp>1</stp>
        <tr r="G3298" s="1"/>
      </tp>
      <tp>
        <v>-12.581743919999999</v>
        <stp/>
        <stp>EM_S_PQ_PCTCHANGE</stp>
        <stp>4</stp>
        <stp>600153</stp>
        <stp>2018-01-01</stp>
        <stp>2019-12-31</stp>
        <stp>3</stp>
        <tr r="F1100" s="1"/>
      </tp>
      <tp>
        <v>-25.785873939999998</v>
        <stp/>
        <stp>EM_S_PQ_PCTCHANGE</stp>
        <stp>4</stp>
        <stp>002133</stp>
        <stp>2018-01-01</stp>
        <stp>2019-12-31</stp>
        <stp>3</stp>
        <tr r="F2546" s="1"/>
      </tp>
      <tp>
        <v>29.955947139999999</v>
        <stp/>
        <stp>EM_S_PQ_PCTCHANGE</stp>
        <stp>4</stp>
        <stp>002322</stp>
        <stp>2018-12-31</stp>
        <stp>2019-12-30</stp>
        <stp>1</stp>
        <tr r="G932" s="1"/>
      </tp>
      <tp>
        <v>-88.975864319999999</v>
        <stp/>
        <stp>EM_S_PQ_PCTCHANGE</stp>
        <stp>4</stp>
        <stp>300104</stp>
        <stp>2018-01-01</stp>
        <stp>2019-12-31</stp>
        <stp>3</stp>
        <tr r="F3241" s="1"/>
      </tp>
      <tp>
        <v>78.470254960000005</v>
        <stp/>
        <stp>EM_S_PQ_PCTCHANGE</stp>
        <stp>4</stp>
        <stp>300315</stp>
        <stp>2018-12-31</stp>
        <stp>2019-12-30</stp>
        <stp>1</stp>
        <tr r="G254" s="1"/>
      </tp>
      <tp>
        <v>0.49460431999999999</v>
        <stp/>
        <stp>EM_S_PQ_PCTCHANGE</stp>
        <stp>4</stp>
        <stp>600345</stp>
        <stp>2018-12-31</stp>
        <stp>2019-12-30</stp>
        <stp>1</stp>
        <tr r="G2249" s="1"/>
      </tp>
      <tp>
        <v>66.711956520000001</v>
        <stp/>
        <stp>EM_S_PQ_PCTCHANGE</stp>
        <stp>4</stp>
        <stp>603345</stp>
        <stp>2018-12-31</stp>
        <stp>2019-12-30</stp>
        <stp>1</stp>
        <tr r="G351" s="1"/>
      </tp>
      <tp>
        <v>4.7991071400000003</v>
        <stp/>
        <stp>EM_S_PQ_PCTCHANGE</stp>
        <stp>4</stp>
        <stp>002134</stp>
        <stp>2018-01-01</stp>
        <stp>2019-12-31</stp>
        <stp>3</stp>
        <tr r="F424" s="1"/>
      </tp>
      <tp>
        <v>9.6219931299999999</v>
        <stp/>
        <stp>EM_S_PQ_PCTCHANGE</stp>
        <stp>4</stp>
        <stp>002325</stp>
        <stp>2018-12-31</stp>
        <stp>2019-12-30</stp>
        <stp>1</stp>
        <tr r="G1760" s="1"/>
      </tp>
      <tp>
        <v>41.202360259999999</v>
        <stp/>
        <stp>EM_S_PQ_PCTCHANGE</stp>
        <stp>4</stp>
        <stp>601155</stp>
        <stp>2018-01-01</stp>
        <stp>2019-12-31</stp>
        <stp>3</stp>
        <tr r="F397" s="1"/>
      </tp>
      <tp>
        <v>-20.18181818</v>
        <stp/>
        <stp>EM_S_PQ_PCTCHANGE</stp>
        <stp>4</stp>
        <stp>300105</stp>
        <stp>2018-01-01</stp>
        <stp>2019-12-31</stp>
        <stp>3</stp>
        <tr r="F1424" s="1"/>
      </tp>
      <tp>
        <v>11.01796407</v>
        <stp/>
        <stp>EM_S_PQ_PCTCHANGE</stp>
        <stp>4</stp>
        <stp>300314</stp>
        <stp>2018-12-31</stp>
        <stp>2019-12-30</stp>
        <stp>1</stp>
        <tr r="G1678" s="1"/>
      </tp>
      <tp>
        <v>37.50655939</v>
        <stp/>
        <stp>EM_S_PQ_PCTCHANGE</stp>
        <stp>4</stp>
        <stp>600155</stp>
        <stp>2018-01-01</stp>
        <stp>2019-12-31</stp>
        <stp>3</stp>
        <tr r="F234" s="1"/>
      </tp>
      <tp>
        <v>-23.928672330000001</v>
        <stp/>
        <stp>EM_S_PQ_PCTCHANGE</stp>
        <stp>4</stp>
        <stp>002135</stp>
        <stp>2018-01-01</stp>
        <stp>2019-12-31</stp>
        <stp>3</stp>
        <tr r="F1756" s="1"/>
      </tp>
      <tp>
        <v>35.135135140000003</v>
        <stp/>
        <stp>EM_S_PQ_PCTCHANGE</stp>
        <stp>4</stp>
        <stp>002324</stp>
        <stp>2018-12-31</stp>
        <stp>2019-12-30</stp>
        <stp>1</stp>
        <tr r="G820" s="1"/>
      </tp>
      <tp>
        <v>-13.520408160000001</v>
        <stp/>
        <stp>EM_S_PQ_PCTCHANGE</stp>
        <stp>4</stp>
        <stp>300106</stp>
        <stp>2018-01-01</stp>
        <stp>2019-12-31</stp>
        <stp>3</stp>
        <tr r="F1125" s="1"/>
      </tp>
      <tp>
        <v>5.5319148900000004</v>
        <stp/>
        <stp>EM_S_PQ_PCTCHANGE</stp>
        <stp>4</stp>
        <stp>300317</stp>
        <stp>2018-12-31</stp>
        <stp>2019-12-30</stp>
        <stp>1</stp>
        <tr r="G1978" s="1"/>
      </tp>
      <tp>
        <v>-15.81920904</v>
        <stp/>
        <stp>EM_S_PQ_PCTCHANGE</stp>
        <stp>4</stp>
        <stp>600156</stp>
        <stp>2018-01-01</stp>
        <stp>2019-12-31</stp>
        <stp>3</stp>
        <tr r="F1708" s="1"/>
      </tp>
      <tp>
        <v>-21.398340749999999</v>
        <stp/>
        <stp>EM_S_PQ_PCTCHANGE</stp>
        <stp>4</stp>
        <stp>603156</stp>
        <stp>2018-01-01</stp>
        <stp>2019-12-31</stp>
        <stp>3</stp>
        <tr r="F3226" s="1"/>
      </tp>
      <tp>
        <v>-45.23879178</v>
        <stp/>
        <stp>EM_S_PQ_PCTCHANGE</stp>
        <stp>4</stp>
        <stp>002136</stp>
        <stp>2018-01-01</stp>
        <stp>2019-12-31</stp>
        <stp>3</stp>
        <tr r="F2611" s="1"/>
      </tp>
      <tp>
        <v>-7.5898801599999999</v>
        <stp/>
        <stp>EM_S_PQ_PCTCHANGE</stp>
        <stp>4</stp>
        <stp>002327</stp>
        <stp>2018-12-31</stp>
        <stp>2019-12-30</stp>
        <stp>1</stp>
        <tr r="G2672" s="1"/>
      </tp>
      <tp>
        <v>45.965005130000002</v>
        <stp/>
        <stp>EM_S_PQ_PCTCHANGE</stp>
        <stp>4</stp>
        <stp>300107</stp>
        <stp>2018-01-01</stp>
        <stp>2019-12-31</stp>
        <stp>3</stp>
        <tr r="F3155" s="1"/>
      </tp>
      <tp>
        <v>55.588822360000002</v>
        <stp/>
        <stp>EM_S_PQ_PCTCHANGE</stp>
        <stp>4</stp>
        <stp>300316</stp>
        <stp>2018-12-31</stp>
        <stp>2019-12-30</stp>
        <stp>1</stp>
        <tr r="G480" s="1"/>
      </tp>
      <tp>
        <v>-57.440476189999998</v>
        <stp/>
        <stp>EM_S_PQ_PCTCHANGE</stp>
        <stp>4</stp>
        <stp>600157</stp>
        <stp>2018-01-01</stp>
        <stp>2019-12-31</stp>
        <stp>3</stp>
        <tr r="F1912" s="1"/>
      </tp>
      <tp>
        <v>20.603773579999999</v>
        <stp/>
        <stp>EM_S_PQ_PCTCHANGE</stp>
        <stp>4</stp>
        <stp>600346</stp>
        <stp>2018-12-31</stp>
        <stp>2019-12-30</stp>
        <stp>1</stp>
        <tr r="G1252" s="1"/>
      </tp>
      <tp>
        <v>-66.159846180000002</v>
        <stp/>
        <stp>EM_S_PQ_PCTCHANGE</stp>
        <stp>4</stp>
        <stp>603157</stp>
        <stp>2018-01-01</stp>
        <stp>2019-12-31</stp>
        <stp>3</stp>
        <tr r="F3240" s="1"/>
      </tp>
      <tp>
        <v>4.1487839800000001</v>
        <stp/>
        <stp>EM_S_PQ_PCTCHANGE</stp>
        <stp>4</stp>
        <stp>002137</stp>
        <stp>2018-01-01</stp>
        <stp>2019-12-31</stp>
        <stp>3</stp>
        <tr r="F1770" s="1"/>
      </tp>
      <tp>
        <v>46.208869810000003</v>
        <stp/>
        <stp>EM_S_PQ_PCTCHANGE</stp>
        <stp>4</stp>
        <stp>002326</stp>
        <stp>2018-12-31</stp>
        <stp>2019-12-30</stp>
        <stp>1</stp>
        <tr r="G623" s="1"/>
      </tp>
      <tp>
        <v>15.900393169999999</v>
        <stp/>
        <stp>EM_S_PQ_PCTCHANGE</stp>
        <stp>4</stp>
        <stp>300118</stp>
        <stp>2018-01-01</stp>
        <stp>2019-12-31</stp>
        <stp>3</stp>
        <tr r="F91" s="1"/>
      </tp>
      <tp>
        <v>-41.066997520000001</v>
        <stp/>
        <stp>EM_S_PQ_PCTCHANGE</stp>
        <stp>4</stp>
        <stp>300309</stp>
        <stp>2018-12-31</stp>
        <stp>2019-12-30</stp>
        <stp>1</stp>
        <tr r="G3321" s="1"/>
      </tp>
      <tp>
        <v>-45.480497380000003</v>
        <stp/>
        <stp>EM_S_PQ_PCTCHANGE</stp>
        <stp>4</stp>
        <stp>600148</stp>
        <stp>2018-01-01</stp>
        <stp>2019-12-31</stp>
        <stp>3</stp>
        <tr r="F2591" s="1"/>
      </tp>
      <tp>
        <v>27.764705880000001</v>
        <stp/>
        <stp>EM_S_PQ_PCTCHANGE</stp>
        <stp>4</stp>
        <stp>600359</stp>
        <stp>2018-12-31</stp>
        <stp>2019-12-30</stp>
        <stp>1</stp>
        <tr r="G997" s="1"/>
      </tp>
      <tp>
        <v>-8.9133089099999996</v>
        <stp/>
        <stp>EM_S_PQ_PCTCHANGE</stp>
        <stp>4</stp>
        <stp>603359</stp>
        <stp>2018-12-31</stp>
        <stp>2019-12-30</stp>
        <stp>1</stp>
        <tr r="G2716" s="1"/>
      </tp>
      <tp>
        <v>-15.3025594</v>
        <stp/>
        <stp>EM_S_PQ_PCTCHANGE</stp>
        <stp>4</stp>
        <stp>002128</stp>
        <stp>2018-01-01</stp>
        <stp>2019-12-31</stp>
        <stp>3</stp>
        <tr r="F1209" s="1"/>
      </tp>
      <tp>
        <v>5.3921568600000001</v>
        <stp/>
        <stp>EM_S_PQ_PCTCHANGE</stp>
        <stp>4</stp>
        <stp>002339</stp>
        <stp>2018-12-31</stp>
        <stp>2019-12-30</stp>
        <stp>1</stp>
        <tr r="G1989" s="1"/>
      </tp>
      <tp>
        <v>103.24675325</v>
        <stp/>
        <stp>EM_S_PQ_PCTCHANGE</stp>
        <stp>4</stp>
        <stp>000338</stp>
        <stp>2018-12-31</stp>
        <stp>2019-12-30</stp>
        <stp>1</stp>
        <tr r="G162" s="1"/>
      </tp>
      <tp>
        <v>24.056214099999998</v>
        <stp/>
        <stp>EM_S_PQ_PCTCHANGE</stp>
        <stp>4</stp>
        <stp>300119</stp>
        <stp>2018-01-01</stp>
        <stp>2019-12-31</stp>
        <stp>3</stp>
        <tr r="F217" s="1"/>
      </tp>
      <tp>
        <v>28.287048410000001</v>
        <stp/>
        <stp>EM_S_PQ_PCTCHANGE</stp>
        <stp>4</stp>
        <stp>300308</stp>
        <stp>2018-12-31</stp>
        <stp>2019-12-30</stp>
        <stp>1</stp>
        <tr r="G975" s="1"/>
      </tp>
      <tp>
        <v>-48.999046710000002</v>
        <stp/>
        <stp>EM_S_PQ_PCTCHANGE</stp>
        <stp>4</stp>
        <stp>600149</stp>
        <stp>2018-01-01</stp>
        <stp>2019-12-31</stp>
        <stp>3</stp>
        <tr r="F1642" s="1"/>
      </tp>
      <tp>
        <v>17.329545450000001</v>
        <stp/>
        <stp>EM_S_PQ_PCTCHANGE</stp>
        <stp>4</stp>
        <stp>600358</stp>
        <stp>2018-12-31</stp>
        <stp>2019-12-30</stp>
        <stp>1</stp>
        <tr r="G1391" s="1"/>
      </tp>
      <tp>
        <v>34.232558140000002</v>
        <stp/>
        <stp>EM_S_PQ_PCTCHANGE</stp>
        <stp>4</stp>
        <stp>603358</stp>
        <stp>2018-12-31</stp>
        <stp>2019-12-30</stp>
        <stp>1</stp>
        <tr r="G844" s="1"/>
      </tp>
      <tp>
        <v>3.3814837299999998</v>
        <stp/>
        <stp>EM_S_PQ_PCTCHANGE</stp>
        <stp>4</stp>
        <stp>002129</stp>
        <stp>2018-01-01</stp>
        <stp>2019-12-31</stp>
        <stp>3</stp>
        <tr r="F384" s="1"/>
      </tp>
      <tp>
        <v>19.261926190000001</v>
        <stp/>
        <stp>EM_S_PQ_PCTCHANGE</stp>
        <stp>4</stp>
        <stp>002338</stp>
        <stp>2018-12-31</stp>
        <stp>2019-12-30</stp>
        <stp>1</stp>
        <tr r="G1311" s="1"/>
      </tp>
      <tp>
        <v>-64.620288700000003</v>
        <stp/>
        <stp>EM_S_PQ_PCTCHANGE</stp>
        <stp>4</stp>
        <stp>300110</stp>
        <stp>2018-01-01</stp>
        <stp>2019-12-31</stp>
        <stp>3</stp>
        <tr r="F956" s="1"/>
      </tp>
      <tp>
        <v>3.8461538499999999</v>
        <stp/>
        <stp>EM_S_PQ_PCTCHANGE</stp>
        <stp>4</stp>
        <stp>300301</stp>
        <stp>2018-12-31</stp>
        <stp>2019-12-30</stp>
        <stp>1</stp>
        <tr r="G2067" s="1"/>
      </tp>
      <tp>
        <v>1.24333925</v>
        <stp/>
        <stp>EM_S_PQ_PCTCHANGE</stp>
        <stp>4</stp>
        <stp>600351</stp>
        <stp>2018-12-31</stp>
        <stp>2019-12-30</stp>
        <stp>1</stp>
        <tr r="G2200" s="1"/>
      </tp>
      <tp>
        <v>25.151528840000001</v>
        <stp/>
        <stp>EM_S_PQ_PCTCHANGE</stp>
        <stp>4</stp>
        <stp>002120</stp>
        <stp>2018-01-01</stp>
        <stp>2019-12-31</stp>
        <stp>3</stp>
        <tr r="F1786" s="1"/>
      </tp>
      <tp>
        <v>10.37946429</v>
        <stp/>
        <stp>EM_S_PQ_PCTCHANGE</stp>
        <stp>4</stp>
        <stp>002331</stp>
        <stp>2018-12-31</stp>
        <stp>2019-12-30</stp>
        <stp>1</stp>
        <tr r="G1715" s="1"/>
      </tp>
      <tp>
        <v>-34.818941500000001</v>
        <stp/>
        <stp>EM_S_PQ_PCTCHANGE</stp>
        <stp>4</stp>
        <stp>300111</stp>
        <stp>2018-01-01</stp>
        <stp>2019-12-31</stp>
        <stp>3</stp>
        <tr r="F1403" s="1"/>
      </tp>
      <tp>
        <v>-11.78571429</v>
        <stp/>
        <stp>EM_S_PQ_PCTCHANGE</stp>
        <stp>4</stp>
        <stp>300300</stp>
        <stp>2018-12-31</stp>
        <stp>2019-12-30</stp>
        <stp>1</stp>
        <tr r="G2824" s="1"/>
      </tp>
      <tp>
        <v>-24.5516437</v>
        <stp/>
        <stp>EM_S_PQ_PCTCHANGE</stp>
        <stp>4</stp>
        <stp>600141</stp>
        <stp>2018-01-01</stp>
        <stp>2019-12-31</stp>
        <stp>3</stp>
        <tr r="F2269" s="1"/>
      </tp>
      <tp>
        <v>7.01754386</v>
        <stp/>
        <stp>EM_S_PQ_PCTCHANGE</stp>
        <stp>4</stp>
        <stp>600350</stp>
        <stp>2018-12-31</stp>
        <stp>2019-12-30</stp>
        <stp>1</stp>
        <tr r="G1896" s="1"/>
      </tp>
      <tp>
        <v>-51.986460399999999</v>
        <stp/>
        <stp>EM_S_PQ_PCTCHANGE</stp>
        <stp>4</stp>
        <stp>002121</stp>
        <stp>2018-01-01</stp>
        <stp>2019-12-31</stp>
        <stp>3</stp>
        <tr r="F3639" s="1"/>
      </tp>
      <tp>
        <v>78.935185189999999</v>
        <stp/>
        <stp>EM_S_PQ_PCTCHANGE</stp>
        <stp>4</stp>
        <stp>002330</stp>
        <stp>2018-12-31</stp>
        <stp>2019-12-30</stp>
        <stp>1</stp>
        <tr r="G253" s="1"/>
      </tp>
      <tp>
        <v>57.976125879999998</v>
        <stp/>
        <stp>EM_S_PQ_PCTCHANGE</stp>
        <stp>4</stp>
        <stp>000333</stp>
        <stp>2018-12-31</stp>
        <stp>2019-12-30</stp>
        <stp>1</stp>
        <tr r="G444" s="1"/>
      </tp>
      <tp>
        <v>-2.73806079</v>
        <stp/>
        <stp>EM_S_PQ_PCTCHANGE</stp>
        <stp>4</stp>
        <stp>300112</stp>
        <stp>2018-01-01</stp>
        <stp>2019-12-31</stp>
        <stp>3</stp>
        <tr r="F580" s="1"/>
      </tp>
      <tp>
        <v>40.852130330000001</v>
        <stp/>
        <stp>EM_S_PQ_PCTCHANGE</stp>
        <stp>4</stp>
        <stp>600353</stp>
        <stp>2018-12-31</stp>
        <stp>2019-12-30</stp>
        <stp>1</stp>
        <tr r="G716" s="1"/>
      </tp>
      <tp>
        <v>-77.031802119999995</v>
        <stp/>
        <stp>EM_S_PQ_PCTCHANGE</stp>
        <stp>4</stp>
        <stp>002122</stp>
        <stp>2018-01-01</stp>
        <stp>2019-12-31</stp>
        <stp>3</stp>
        <tr r="F3640" s="1"/>
      </tp>
      <tp>
        <v>-22.35494881</v>
        <stp/>
        <stp>EM_S_PQ_PCTCHANGE</stp>
        <stp>4</stp>
        <stp>002333</stp>
        <stp>2018-12-31</stp>
        <stp>2019-12-30</stp>
        <stp>1</stp>
        <tr r="G3105" s="1"/>
      </tp>
      <tp>
        <v>42.152567419999997</v>
        <stp/>
        <stp>EM_S_PQ_PCTCHANGE</stp>
        <stp>4</stp>
        <stp>300113</stp>
        <stp>2018-01-01</stp>
        <stp>2019-12-31</stp>
        <stp>3</stp>
        <tr r="F165" s="1"/>
      </tp>
      <tp>
        <v>67.429340510000003</v>
        <stp/>
        <stp>EM_S_PQ_PCTCHANGE</stp>
        <stp>4</stp>
        <stp>300302</stp>
        <stp>2018-12-31</stp>
        <stp>2019-12-30</stp>
        <stp>1</stp>
        <tr r="G343" s="1"/>
      </tp>
      <tp>
        <v>15.249525999999999</v>
        <stp/>
        <stp>EM_S_PQ_PCTCHANGE</stp>
        <stp>4</stp>
        <stp>600143</stp>
        <stp>2018-01-01</stp>
        <stp>2019-12-31</stp>
        <stp>3</stp>
        <tr r="F610" s="1"/>
      </tp>
      <tp>
        <v>49.326424869999997</v>
        <stp/>
        <stp>EM_S_PQ_PCTCHANGE</stp>
        <stp>4</stp>
        <stp>600352</stp>
        <stp>2018-12-31</stp>
        <stp>2019-12-30</stp>
        <stp>1</stp>
        <tr r="G572" s="1"/>
      </tp>
      <tp>
        <v>84.830917869999993</v>
        <stp/>
        <stp>EM_S_PQ_PCTCHANGE</stp>
        <stp>4</stp>
        <stp>002123</stp>
        <stp>2018-01-01</stp>
        <stp>2019-12-31</stp>
        <stp>3</stp>
        <tr r="F78" s="1"/>
      </tp>
      <tp>
        <v>56.769983689999997</v>
        <stp/>
        <stp>EM_S_PQ_PCTCHANGE</stp>
        <stp>4</stp>
        <stp>002332</stp>
        <stp>2018-12-31</stp>
        <stp>2019-12-30</stp>
        <stp>1</stp>
        <tr r="G458" s="1"/>
      </tp>
      <tp>
        <v>12.028320839999999</v>
        <stp/>
        <stp>EM_S_PQ_PCTCHANGE</stp>
        <stp>4</stp>
        <stp>300114</stp>
        <stp>2018-01-01</stp>
        <stp>2019-12-31</stp>
        <stp>3</stp>
        <tr r="F433" s="1"/>
      </tp>
      <tp>
        <v>6.3131313100000002</v>
        <stp/>
        <stp>EM_S_PQ_PCTCHANGE</stp>
        <stp>4</stp>
        <stp>300305</stp>
        <stp>2018-12-31</stp>
        <stp>2019-12-30</stp>
        <stp>1</stp>
        <tr r="G1934" s="1"/>
      </tp>
      <tp>
        <v>-0.57636887999999997</v>
        <stp/>
        <stp>EM_S_PQ_PCTCHANGE</stp>
        <stp>4</stp>
        <stp>600355</stp>
        <stp>2018-12-31</stp>
        <stp>2019-12-30</stp>
        <stp>1</stp>
        <tr r="G2366" s="1"/>
      </tp>
      <tp>
        <v>9.4418604699999999</v>
        <stp/>
        <stp>EM_S_PQ_PCTCHANGE</stp>
        <stp>4</stp>
        <stp>603355</stp>
        <stp>2018-12-31</stp>
        <stp>2019-12-30</stp>
        <stp>1</stp>
        <tr r="G1769" s="1"/>
      </tp>
      <tp>
        <v>128.66394994999999</v>
        <stp/>
        <stp>EM_S_PQ_PCTCHANGE</stp>
        <stp>4</stp>
        <stp>002124</stp>
        <stp>2018-01-01</stp>
        <stp>2019-12-31</stp>
        <stp>3</stp>
        <tr r="F3641" s="1"/>
      </tp>
      <tp>
        <v>8.4936960799999994</v>
        <stp/>
        <stp>EM_S_PQ_PCTCHANGE</stp>
        <stp>4</stp>
        <stp>002335</stp>
        <stp>2018-12-31</stp>
        <stp>2019-12-30</stp>
        <stp>1</stp>
        <tr r="G1827" s="1"/>
      </tp>
      <tp>
        <v>-9.8845967300000002</v>
        <stp/>
        <stp>EM_S_PQ_PCTCHANGE</stp>
        <stp>4</stp>
        <stp>300115</stp>
        <stp>2018-01-01</stp>
        <stp>2019-12-31</stp>
        <stp>3</stp>
        <tr r="F125" s="1"/>
      </tp>
      <tp>
        <v>29.239766079999999</v>
        <stp/>
        <stp>EM_S_PQ_PCTCHANGE</stp>
        <stp>4</stp>
        <stp>300304</stp>
        <stp>2018-12-31</stp>
        <stp>2019-12-30</stp>
        <stp>1</stp>
        <tr r="G949" s="1"/>
      </tp>
      <tp>
        <v>0</v>
        <stp/>
        <stp>EM_S_PQ_PCTCHANGE</stp>
        <stp>4</stp>
        <stp>600145</stp>
        <stp>2018-01-01</stp>
        <stp>2019-12-31</stp>
        <stp>3</stp>
        <tr r="F2293" s="1"/>
      </tp>
      <tp>
        <v>36.164383559999997</v>
        <stp/>
        <stp>EM_S_PQ_PCTCHANGE</stp>
        <stp>4</stp>
        <stp>600354</stp>
        <stp>2018-12-31</stp>
        <stp>2019-12-30</stp>
        <stp>1</stp>
        <tr r="G804" s="1"/>
      </tp>
      <tp>
        <v>-19.208122249999999</v>
        <stp/>
        <stp>EM_S_PQ_PCTCHANGE</stp>
        <stp>4</stp>
        <stp>002125</stp>
        <stp>2018-01-01</stp>
        <stp>2019-12-31</stp>
        <stp>3</stp>
        <tr r="F3120" s="1"/>
      </tp>
      <tp>
        <v>0.70093457999999997</v>
        <stp/>
        <stp>EM_S_PQ_PCTCHANGE</stp>
        <stp>4</stp>
        <stp>002334</stp>
        <stp>2018-12-31</stp>
        <stp>2019-12-30</stp>
        <stp>1</stp>
        <tr r="G2234" s="1"/>
      </tp>
      <tp>
        <v>-74.278215220000007</v>
        <stp/>
        <stp>EM_S_PQ_PCTCHANGE</stp>
        <stp>4</stp>
        <stp>300116</stp>
        <stp>2018-01-01</stp>
        <stp>2019-12-31</stp>
        <stp>3</stp>
        <tr r="F911" s="1"/>
      </tp>
      <tp>
        <v>1.2552301299999999</v>
        <stp/>
        <stp>EM_S_PQ_PCTCHANGE</stp>
        <stp>4</stp>
        <stp>300307</stp>
        <stp>2018-12-31</stp>
        <stp>2019-12-30</stp>
        <stp>1</stp>
        <tr r="G2197" s="1"/>
      </tp>
      <tp>
        <v>-46.892210859999999</v>
        <stp/>
        <stp>EM_S_PQ_PCTCHANGE</stp>
        <stp>4</stp>
        <stp>600146</stp>
        <stp>2018-01-01</stp>
        <stp>2019-12-31</stp>
        <stp>3</stp>
        <tr r="F192" s="1"/>
      </tp>
      <tp>
        <v>0</v>
        <stp/>
        <stp>EM_S_PQ_PCTCHANGE</stp>
        <stp>4</stp>
        <stp>600357</stp>
        <stp>2018-12-31</stp>
        <stp>2019-12-30</stp>
        <stp>1</stp>
        <tr r="G2301" s="1"/>
      </tp>
      <tp>
        <v>-47.418546370000001</v>
        <stp/>
        <stp>EM_S_PQ_PCTCHANGE</stp>
        <stp>4</stp>
        <stp>603357</stp>
        <stp>2018-12-31</stp>
        <stp>2019-12-30</stp>
        <stp>1</stp>
        <tr r="G3354" s="1"/>
      </tp>
      <tp>
        <v>-16.517763630000001</v>
        <stp/>
        <stp>EM_S_PQ_PCTCHANGE</stp>
        <stp>4</stp>
        <stp>002126</stp>
        <stp>2018-01-01</stp>
        <stp>2019-12-31</stp>
        <stp>3</stp>
        <tr r="F1836" s="1"/>
      </tp>
      <tp>
        <v>-4.7872340400000004</v>
        <stp/>
        <stp>EM_S_PQ_PCTCHANGE</stp>
        <stp>4</stp>
        <stp>002337</stp>
        <stp>2018-12-31</stp>
        <stp>2019-12-30</stp>
        <stp>1</stp>
        <tr r="G2558" s="1"/>
      </tp>
      <tp>
        <v>-42.864974240000002</v>
        <stp/>
        <stp>EM_S_PQ_PCTCHANGE</stp>
        <stp>4</stp>
        <stp>300117</stp>
        <stp>2018-01-01</stp>
        <stp>2019-12-31</stp>
        <stp>3</stp>
        <tr r="F2769" s="1"/>
      </tp>
      <tp>
        <v>72.245467219999995</v>
        <stp/>
        <stp>EM_S_PQ_PCTCHANGE</stp>
        <stp>4</stp>
        <stp>300306</stp>
        <stp>2018-12-31</stp>
        <stp>2019-12-30</stp>
        <stp>1</stp>
        <tr r="G300" s="1"/>
      </tp>
      <tp>
        <v>41.165755920000002</v>
        <stp/>
        <stp>EM_S_PQ_PCTCHANGE</stp>
        <stp>4</stp>
        <stp>600356</stp>
        <stp>2018-12-31</stp>
        <stp>2019-12-30</stp>
        <stp>1</stp>
        <tr r="G712" s="1"/>
      </tp>
      <tp>
        <v>-18.849840260000001</v>
        <stp/>
        <stp>EM_S_PQ_PCTCHANGE</stp>
        <stp>4</stp>
        <stp>603356</stp>
        <stp>2018-12-31</stp>
        <stp>2019-12-30</stp>
        <stp>1</stp>
        <tr r="G3040" s="1"/>
      </tp>
      <tp>
        <v>34.719535710000002</v>
        <stp/>
        <stp>EM_S_PQ_PCTCHANGE</stp>
        <stp>4</stp>
        <stp>002127</stp>
        <stp>2018-01-01</stp>
        <stp>2019-12-31</stp>
        <stp>3</stp>
        <tr r="F645" s="1"/>
      </tp>
      <tp>
        <v>-16.057233700000001</v>
        <stp/>
        <stp>EM_S_PQ_PCTCHANGE</stp>
        <stp>4</stp>
        <stp>002336</stp>
        <stp>2018-12-31</stp>
        <stp>2019-12-30</stp>
        <stp>1</stp>
        <tr r="G2961" s="1"/>
      </tp>
      <tp>
        <v>-6.4886611099999998</v>
        <stp/>
        <stp>EM_S_PQ_PCTCHANGE</stp>
        <stp>4</stp>
        <stp>601198</stp>
        <stp>2018-01-01</stp>
        <stp>2019-12-31</stp>
        <stp>3</stp>
        <tr r="F769" s="1"/>
      </tp>
      <tp>
        <v>-5.0621669599999999</v>
        <stp/>
        <stp>EM_S_PQ_PCTCHANGE</stp>
        <stp>4</stp>
        <stp>600198</stp>
        <stp>2018-01-01</stp>
        <stp>2019-12-31</stp>
        <stp>3</stp>
        <tr r="F416" s="1"/>
      </tp>
      <tp>
        <v>24.10926366</v>
        <stp/>
        <stp>EM_S_PQ_PCTCHANGE</stp>
        <stp>4</stp>
        <stp>600389</stp>
        <stp>2018-12-31</stp>
        <stp>2019-12-30</stp>
        <stp>1</stp>
        <tr r="G1130" s="1"/>
      </tp>
      <tp>
        <v>22.466668250000001</v>
        <stp/>
        <stp>EM_S_PQ_PCTCHANGE</stp>
        <stp>4</stp>
        <stp>603198</stp>
        <stp>2018-01-01</stp>
        <stp>2019-12-31</stp>
        <stp>3</stp>
        <tr r="F704" s="1"/>
      </tp>
      <tp>
        <v>-44.699140399999997</v>
        <stp/>
        <stp>EM_S_PQ_PCTCHANGE</stp>
        <stp>4</stp>
        <stp>603389</stp>
        <stp>2018-12-31</stp>
        <stp>2019-12-30</stp>
        <stp>1</stp>
        <tr r="G3343" s="1"/>
      </tp>
      <tp>
        <v>-30.388448879999999</v>
        <stp/>
        <stp>EM_S_PQ_PCTCHANGE</stp>
        <stp>4</stp>
        <stp>601199</stp>
        <stp>2018-01-01</stp>
        <stp>2019-12-31</stp>
        <stp>3</stp>
        <tr r="F1924" s="1"/>
      </tp>
      <tp>
        <v>-2.0725388599999999</v>
        <stp/>
        <stp>EM_S_PQ_PCTCHANGE</stp>
        <stp>4</stp>
        <stp>601388</stp>
        <stp>2018-12-31</stp>
        <stp>2019-12-30</stp>
        <stp>1</stp>
        <tr r="G2423" s="1"/>
      </tp>
      <tp>
        <v>-18.7377255</v>
        <stp/>
        <stp>EM_S_PQ_PCTCHANGE</stp>
        <stp>4</stp>
        <stp>600199</stp>
        <stp>2018-01-01</stp>
        <stp>2019-12-31</stp>
        <stp>3</stp>
        <tr r="F781" s="1"/>
      </tp>
      <tp>
        <v>-4.4334975400000003</v>
        <stp/>
        <stp>EM_S_PQ_PCTCHANGE</stp>
        <stp>4</stp>
        <stp>600388</stp>
        <stp>2018-12-31</stp>
        <stp>2019-12-30</stp>
        <stp>1</stp>
        <tr r="G2538" s="1"/>
      </tp>
      <tp>
        <v>-23.81395049</v>
        <stp/>
        <stp>EM_S_PQ_PCTCHANGE</stp>
        <stp>4</stp>
        <stp>603199</stp>
        <stp>2018-01-01</stp>
        <stp>2019-12-31</stp>
        <stp>3</stp>
        <tr r="F1084" s="1"/>
      </tp>
      <tp>
        <v>-19.322709159999999</v>
        <stp/>
        <stp>EM_S_PQ_PCTCHANGE</stp>
        <stp>4</stp>
        <stp>603388</stp>
        <stp>2018-12-31</stp>
        <stp>2019-12-30</stp>
        <stp>1</stp>
        <tr r="G3051" s="1"/>
      </tp>
      <tp>
        <v>-25.340046560000001</v>
        <stp/>
        <stp>EM_S_PQ_PCTCHANGE</stp>
        <stp>4</stp>
        <stp>600190</stp>
        <stp>2018-01-01</stp>
        <stp>2019-12-31</stp>
        <stp>3</stp>
        <tr r="F1541" s="1"/>
      </tp>
      <tp>
        <v>-7.1428571400000003</v>
        <stp/>
        <stp>EM_S_PQ_PCTCHANGE</stp>
        <stp>4</stp>
        <stp>600381</stp>
        <stp>2018-12-31</stp>
        <stp>2019-12-30</stp>
        <stp>1</stp>
        <tr r="G2664" s="1"/>
      </tp>
      <tp>
        <v>-28.809632619999999</v>
        <stp/>
        <stp>EM_S_PQ_PCTCHANGE</stp>
        <stp>4</stp>
        <stp>600191</stp>
        <stp>2018-01-01</stp>
        <stp>2019-12-31</stp>
        <stp>3</stp>
        <tr r="F885" s="1"/>
      </tp>
      <tp>
        <v>49.625187410000002</v>
        <stp/>
        <stp>EM_S_PQ_PCTCHANGE</stp>
        <stp>4</stp>
        <stp>600380</stp>
        <stp>2018-12-31</stp>
        <stp>2019-12-30</stp>
        <stp>1</stp>
        <tr r="G567" s="1"/>
      </tp>
      <tp>
        <v>5.5194805200000001</v>
        <stp/>
        <stp>EM_S_PQ_PCTCHANGE</stp>
        <stp>4</stp>
        <stp>603380</stp>
        <stp>2018-12-31</stp>
        <stp>2019-12-30</stp>
        <stp>1</stp>
        <tr r="G1980" s="1"/>
      </tp>
      <tp>
        <v>-20.762566979999999</v>
        <stp/>
        <stp>EM_S_PQ_PCTCHANGE</stp>
        <stp>4</stp>
        <stp>600192</stp>
        <stp>2018-01-01</stp>
        <stp>2019-12-31</stp>
        <stp>3</stp>
        <tr r="F1193" s="1"/>
      </tp>
      <tp>
        <v>48.336798340000001</v>
        <stp/>
        <stp>EM_S_PQ_PCTCHANGE</stp>
        <stp>4</stp>
        <stp>600383</stp>
        <stp>2018-12-31</stp>
        <stp>2019-12-30</stp>
        <stp>1</stp>
        <tr r="G593" s="1"/>
      </tp>
      <tp>
        <v>-28.333333329999999</v>
        <stp/>
        <stp>EM_S_PQ_PCTCHANGE</stp>
        <stp>4</stp>
        <stp>600193</stp>
        <stp>2018-01-01</stp>
        <stp>2019-12-31</stp>
        <stp>3</stp>
        <tr r="F1171" s="1"/>
      </tp>
      <tp>
        <v>-9.4559585500000001</v>
        <stp/>
        <stp>EM_S_PQ_PCTCHANGE</stp>
        <stp>4</stp>
        <stp>600382</stp>
        <stp>2018-12-31</stp>
        <stp>2019-12-30</stp>
        <stp>1</stp>
        <tr r="G2733" s="1"/>
      </tp>
      <tp>
        <v>-18.191268189999999</v>
        <stp/>
        <stp>EM_S_PQ_PCTCHANGE</stp>
        <stp>4</stp>
        <stp>600385</stp>
        <stp>2018-12-31</stp>
        <stp>2019-12-30</stp>
        <stp>1</stp>
        <tr r="G3030" s="1"/>
      </tp>
      <tp>
        <v>41.198501870000001</v>
        <stp/>
        <stp>EM_S_PQ_PCTCHANGE</stp>
        <stp>4</stp>
        <stp>603385</stp>
        <stp>2018-12-31</stp>
        <stp>2019-12-30</stp>
        <stp>1</stp>
        <tr r="G711" s="1"/>
      </tp>
      <tp>
        <v>18.737899509999998</v>
        <stp/>
        <stp>EM_S_PQ_PCTCHANGE</stp>
        <stp>4</stp>
        <stp>600195</stp>
        <stp>2018-01-01</stp>
        <stp>2019-12-31</stp>
        <stp>3</stp>
        <tr r="F1893" s="1"/>
      </tp>
      <tp>
        <v>-38.829030019999998</v>
        <stp/>
        <stp>EM_S_PQ_PCTCHANGE</stp>
        <stp>4</stp>
        <stp>600196</stp>
        <stp>2018-01-01</stp>
        <stp>2019-12-31</stp>
        <stp>3</stp>
        <tr r="F1604" s="1"/>
      </tp>
      <tp>
        <v>5.4707379100000004</v>
        <stp/>
        <stp>EM_S_PQ_PCTCHANGE</stp>
        <stp>4</stp>
        <stp>600387</stp>
        <stp>2018-12-31</stp>
        <stp>2019-12-30</stp>
        <stp>1</stp>
        <tr r="G1984" s="1"/>
      </tp>
      <tp>
        <v>-10.68219534</v>
        <stp/>
        <stp>EM_S_PQ_PCTCHANGE</stp>
        <stp>4</stp>
        <stp>603196</stp>
        <stp>2018-01-01</stp>
        <stp>2019-12-31</stp>
        <stp>3</stp>
        <tr r="F3158" s="1"/>
      </tp>
      <tp>
        <v>-14.490026350000001</v>
        <stp/>
        <stp>EM_S_PQ_PCTCHANGE</stp>
        <stp>4</stp>
        <stp>603387</stp>
        <stp>2018-12-31</stp>
        <stp>2019-12-30</stp>
        <stp>1</stp>
        <tr r="G2919" s="1"/>
      </tp>
      <tp>
        <v>-29.55000802</v>
        <stp/>
        <stp>EM_S_PQ_PCTCHANGE</stp>
        <stp>4</stp>
        <stp>600197</stp>
        <stp>2018-01-01</stp>
        <stp>2019-12-31</stp>
        <stp>3</stp>
        <tr r="F1198" s="1"/>
      </tp>
      <tp>
        <v>12.95180723</v>
        <stp/>
        <stp>EM_S_PQ_PCTCHANGE</stp>
        <stp>4</stp>
        <stp>600386</stp>
        <stp>2018-12-31</stp>
        <stp>2019-12-30</stp>
        <stp>1</stp>
        <tr r="G1578" s="1"/>
      </tp>
      <tp>
        <v>-19.604174</v>
        <stp/>
        <stp>EM_S_PQ_PCTCHANGE</stp>
        <stp>4</stp>
        <stp>603197</stp>
        <stp>2018-01-01</stp>
        <stp>2019-12-31</stp>
        <stp>3</stp>
        <tr r="F545" s="1"/>
      </tp>
      <tp>
        <v>1.2539184999999999</v>
        <stp/>
        <stp>EM_S_PQ_PCTCHANGE</stp>
        <stp>4</stp>
        <stp>603386</stp>
        <stp>2018-12-31</stp>
        <stp>2019-12-30</stp>
        <stp>1</stp>
        <tr r="G2198" s="1"/>
      </tp>
      <tp>
        <v>-23.10476255</v>
        <stp/>
        <stp>EM_S_PQ_PCTCHANGE</stp>
        <stp>4</stp>
        <stp>601188</stp>
        <stp>2018-01-01</stp>
        <stp>2019-12-31</stp>
        <stp>3</stp>
        <tr r="F2146" s="1"/>
      </tp>
      <tp>
        <v>-12.17366399</v>
        <stp/>
        <stp>EM_S_PQ_PCTCHANGE</stp>
        <stp>4</stp>
        <stp>600188</stp>
        <stp>2018-01-01</stp>
        <stp>2019-12-31</stp>
        <stp>3</stp>
        <tr r="F1329" s="1"/>
      </tp>
      <tp>
        <v>31.2</v>
        <stp/>
        <stp>EM_S_PQ_PCTCHANGE</stp>
        <stp>4</stp>
        <stp>600399</stp>
        <stp>2018-12-31</stp>
        <stp>2019-12-30</stp>
        <stp>1</stp>
        <tr r="G902" s="1"/>
      </tp>
      <tp>
        <v>-60.127698440000003</v>
        <stp/>
        <stp>EM_S_PQ_PCTCHANGE</stp>
        <stp>4</stp>
        <stp>603188</stp>
        <stp>2018-01-01</stp>
        <stp>2019-12-31</stp>
        <stp>3</stp>
        <tr r="F2816" s="1"/>
      </tp>
      <tp>
        <v>24.9490835</v>
        <stp/>
        <stp>EM_S_PQ_PCTCHANGE</stp>
        <stp>4</stp>
        <stp>603399</stp>
        <stp>2018-12-31</stp>
        <stp>2019-12-30</stp>
        <stp>1</stp>
        <tr r="G1095" s="1"/>
      </tp>
      <tp>
        <v>11.342155010000001</v>
        <stp/>
        <stp>EM_S_PQ_PCTCHANGE</stp>
        <stp>4</stp>
        <stp>601398</stp>
        <stp>2018-12-31</stp>
        <stp>2019-12-30</stp>
        <stp>1</stp>
        <tr r="G1662" s="1"/>
      </tp>
      <tp>
        <v>-31.59864528</v>
        <stp/>
        <stp>EM_S_PQ_PCTCHANGE</stp>
        <stp>4</stp>
        <stp>600189</stp>
        <stp>2018-01-01</stp>
        <stp>2019-12-31</stp>
        <stp>3</stp>
        <tr r="F2168" s="1"/>
      </tp>
      <tp>
        <v>-10.49528302</v>
        <stp/>
        <stp>EM_S_PQ_PCTCHANGE</stp>
        <stp>4</stp>
        <stp>600398</stp>
        <stp>2018-12-31</stp>
        <stp>2019-12-30</stp>
        <stp>1</stp>
        <tr r="G2779" s="1"/>
      </tp>
      <tp>
        <v>4.9026085799999999</v>
        <stp/>
        <stp>EM_S_PQ_PCTCHANGE</stp>
        <stp>4</stp>
        <stp>603189</stp>
        <stp>2018-01-01</stp>
        <stp>2019-12-31</stp>
        <stp>3</stp>
        <tr r="F591" s="1"/>
      </tp>
      <tp>
        <v>-7.2529465100000001</v>
        <stp/>
        <stp>EM_S_PQ_PCTCHANGE</stp>
        <stp>4</stp>
        <stp>603398</stp>
        <stp>2018-12-31</stp>
        <stp>2019-12-30</stp>
        <stp>1</stp>
        <tr r="G2667" s="1"/>
      </tp>
      <tp>
        <v>-32.10137933</v>
        <stp/>
        <stp>EM_S_PQ_PCTCHANGE</stp>
        <stp>4</stp>
        <stp>600180</stp>
        <stp>2018-01-01</stp>
        <stp>2019-12-31</stp>
        <stp>3</stp>
        <tr r="F2347" s="1"/>
      </tp>
      <tp>
        <v>26.349496800000001</v>
        <stp/>
        <stp>EM_S_PQ_PCTCHANGE</stp>
        <stp>4</stp>
        <stp>600391</stp>
        <stp>2018-12-31</stp>
        <stp>2019-12-30</stp>
        <stp>1</stp>
        <tr r="G1045" s="1"/>
      </tp>
      <tp>
        <v>-48.23482688</v>
        <stp/>
        <stp>EM_S_PQ_PCTCHANGE</stp>
        <stp>4</stp>
        <stp>603180</stp>
        <stp>2018-01-01</stp>
        <stp>2019-12-31</stp>
        <stp>3</stp>
        <tr r="F1458" s="1"/>
      </tp>
      <tp>
        <v>-15.45064378</v>
        <stp/>
        <stp>EM_S_PQ_PCTCHANGE</stp>
        <stp>4</stp>
        <stp>601390</stp>
        <stp>2018-12-31</stp>
        <stp>2019-12-30</stp>
        <stp>1</stp>
        <tr r="G2944" s="1"/>
      </tp>
      <tp>
        <v>0</v>
        <stp/>
        <stp>EM_S_PQ_PCTCHANGE</stp>
        <stp>4</stp>
        <stp>600181</stp>
        <stp>2018-01-01</stp>
        <stp>2019-12-31</stp>
        <stp>3</stp>
        <tr r="F2294" s="1"/>
      </tp>
      <tp>
        <v>17.38505747</v>
        <stp/>
        <stp>EM_S_PQ_PCTCHANGE</stp>
        <stp>4</stp>
        <stp>600390</stp>
        <stp>2018-12-31</stp>
        <stp>2019-12-30</stp>
        <stp>1</stp>
        <tr r="G1389" s="1"/>
      </tp>
      <tp>
        <v>3.50025663</v>
        <stp/>
        <stp>EM_S_PQ_PCTCHANGE</stp>
        <stp>4</stp>
        <stp>603181</stp>
        <stp>2018-01-01</stp>
        <stp>2019-12-31</stp>
        <stp>3</stp>
        <tr r="F1219" s="1"/>
      </tp>
      <tp>
        <v>-31.51715664</v>
        <stp/>
        <stp>EM_S_PQ_PCTCHANGE</stp>
        <stp>4</stp>
        <stp>600182</stp>
        <stp>2018-01-01</stp>
        <stp>2019-12-31</stp>
        <stp>3</stp>
        <tr r="F1800" s="1"/>
      </tp>
      <tp>
        <v>35.377358489999999</v>
        <stp/>
        <stp>EM_S_PQ_PCTCHANGE</stp>
        <stp>4</stp>
        <stp>600393</stp>
        <stp>2018-12-31</stp>
        <stp>2019-12-30</stp>
        <stp>1</stp>
        <tr r="G815" s="1"/>
      </tp>
      <tp>
        <v>-9.4754098399999993</v>
        <stp/>
        <stp>EM_S_PQ_PCTCHANGE</stp>
        <stp>4</stp>
        <stp>603393</stp>
        <stp>2018-12-31</stp>
        <stp>2019-12-30</stp>
        <stp>1</stp>
        <tr r="G2735" s="1"/>
      </tp>
      <tp>
        <v>113.19982036</v>
        <stp/>
        <stp>EM_S_PQ_PCTCHANGE</stp>
        <stp>4</stp>
        <stp>600183</stp>
        <stp>2019-01-01</stp>
        <stp>2019-12-31</stp>
        <stp>3</stp>
        <tr r="G138" s="1"/>
      </tp>
      <tp>
        <v>86.196086550000004</v>
        <stp/>
        <stp>EM_S_PQ_PCTCHANGE</stp>
        <stp>4</stp>
        <stp>600183</stp>
        <stp>2018-01-01</stp>
        <stp>2019-12-31</stp>
        <stp>3</stp>
        <tr r="F138" s="1"/>
      </tp>
      <tp>
        <v>6.0394889699999998</v>
        <stp/>
        <stp>EM_S_PQ_PCTCHANGE</stp>
        <stp>4</stp>
        <stp>600392</stp>
        <stp>2018-12-31</stp>
        <stp>2019-12-30</stp>
        <stp>1</stp>
        <tr r="G1949" s="1"/>
      </tp>
      <tp>
        <v>-46.184213190000001</v>
        <stp/>
        <stp>EM_S_PQ_PCTCHANGE</stp>
        <stp>4</stp>
        <stp>603183</stp>
        <stp>2018-01-01</stp>
        <stp>2019-12-31</stp>
        <stp>3</stp>
        <tr r="F3318" s="1"/>
      </tp>
      <tp>
        <v>-37.779796689999998</v>
        <stp/>
        <stp>EM_S_PQ_PCTCHANGE</stp>
        <stp>4</stp>
        <stp>600184</stp>
        <stp>2018-01-01</stp>
        <stp>2019-12-31</stp>
        <stp>3</stp>
        <tr r="F1421" s="1"/>
      </tp>
      <tp>
        <v>21.157684629999999</v>
        <stp/>
        <stp>EM_S_PQ_PCTCHANGE</stp>
        <stp>4</stp>
        <stp>600395</stp>
        <stp>2018-12-31</stp>
        <stp>2019-12-30</stp>
        <stp>1</stp>
        <tr r="G1227" s="1"/>
      </tp>
      <tp>
        <v>-8.7310594800000008</v>
        <stp/>
        <stp>EM_S_PQ_PCTCHANGE</stp>
        <stp>4</stp>
        <stp>600185</stp>
        <stp>2018-01-01</stp>
        <stp>2019-12-31</stp>
        <stp>3</stp>
        <tr r="F1239" s="1"/>
      </tp>
      <tp>
        <v>-5.0497163499999997</v>
        <stp/>
        <stp>EM_S_PQ_PCTCHANGE</stp>
        <stp>4</stp>
        <stp>601186</stp>
        <stp>2018-01-01</stp>
        <stp>2019-12-31</stp>
        <stp>3</stp>
        <tr r="F2665" s="1"/>
      </tp>
      <tp>
        <v>-9.4771241800000006</v>
        <stp/>
        <stp>EM_S_PQ_PCTCHANGE</stp>
        <stp>4</stp>
        <stp>600186</stp>
        <stp>2018-01-01</stp>
        <stp>2019-12-31</stp>
        <stp>3</stp>
        <tr r="F709" s="1"/>
      </tp>
      <tp>
        <v>24.31192661</v>
        <stp/>
        <stp>EM_S_PQ_PCTCHANGE</stp>
        <stp>4</stp>
        <stp>600397</stp>
        <stp>2018-12-31</stp>
        <stp>2019-12-30</stp>
        <stp>1</stp>
        <tr r="G1122" s="1"/>
      </tp>
      <tp>
        <v>61.626586619999998</v>
        <stp/>
        <stp>EM_S_PQ_PCTCHANGE</stp>
        <stp>4</stp>
        <stp>603186</stp>
        <stp>2018-01-01</stp>
        <stp>2019-12-31</stp>
        <stp>3</stp>
        <tr r="F82" s="1"/>
      </tp>
      <tp>
        <v>-45.299145299999999</v>
        <stp/>
        <stp>EM_S_PQ_PCTCHANGE</stp>
        <stp>4</stp>
        <stp>600187</stp>
        <stp>2018-01-01</stp>
        <stp>2019-12-31</stp>
        <stp>3</stp>
        <tr r="F2117" s="1"/>
      </tp>
      <tp>
        <v>-2.0725388599999999</v>
        <stp/>
        <stp>EM_S_PQ_PCTCHANGE</stp>
        <stp>4</stp>
        <stp>600396</stp>
        <stp>2018-12-31</stp>
        <stp>2019-12-30</stp>
        <stp>1</stp>
        <tr r="G2422" s="1"/>
      </tp>
      <tp>
        <v>-17.84638554</v>
        <stp/>
        <stp>EM_S_PQ_PCTCHANGE</stp>
        <stp>4</stp>
        <stp>603396</stp>
        <stp>2018-12-31</stp>
        <stp>2019-12-30</stp>
        <stp>1</stp>
        <tr r="G3014" s="1"/>
      </tp>
      <tp>
        <v>-55.98047193</v>
        <stp/>
        <stp>EM_S_PQ_PCTCHANGE</stp>
        <stp>4</stp>
        <stp>002198</stp>
        <stp>2018-01-01</stp>
        <stp>2019-12-31</stp>
        <stp>3</stp>
        <tr r="F2082" s="1"/>
      </tp>
      <tp>
        <v>-8.5995086000000001</v>
        <stp/>
        <stp>EM_S_PQ_PCTCHANGE</stp>
        <stp>4</stp>
        <stp>002389</stp>
        <stp>2018-12-31</stp>
        <stp>2019-12-30</stp>
        <stp>1</stp>
        <tr r="G2708" s="1"/>
      </tp>
      <tp>
        <v>-39.739413679999998</v>
        <stp/>
        <stp>EM_S_PQ_PCTCHANGE</stp>
        <stp>4</stp>
        <stp>002199</stp>
        <stp>2018-01-01</stp>
        <stp>2019-12-31</stp>
        <stp>3</stp>
        <tr r="F2124" s="1"/>
      </tp>
      <tp>
        <v>31.569343069999999</v>
        <stp/>
        <stp>EM_S_PQ_PCTCHANGE</stp>
        <stp>4</stp>
        <stp>002388</stp>
        <stp>2018-12-31</stp>
        <stp>2019-12-30</stp>
        <stp>1</stp>
        <tr r="G895" s="1"/>
      </tp>
      <tp>
        <v>0</v>
        <stp/>
        <stp>EM_S_PQ_PCTCHANGE</stp>
        <stp>4</stp>
        <stp>002190</stp>
        <stp>2018-01-01</stp>
        <stp>2019-12-31</stp>
        <stp>3</stp>
        <tr r="F842" s="1"/>
      </tp>
      <tp>
        <v>25.074626869999999</v>
        <stp/>
        <stp>EM_S_PQ_PCTCHANGE</stp>
        <stp>4</stp>
        <stp>002381</stp>
        <stp>2018-12-31</stp>
        <stp>2019-12-30</stp>
        <stp>1</stp>
        <tr r="G1089" s="1"/>
      </tp>
      <tp>
        <v>31.577181759999998</v>
        <stp/>
        <stp>EM_S_PQ_PCTCHANGE</stp>
        <stp>4</stp>
        <stp>002191</stp>
        <stp>2018-01-01</stp>
        <stp>2019-12-31</stp>
        <stp>3</stp>
        <tr r="F626" s="1"/>
      </tp>
      <tp>
        <v>33.713200380000004</v>
        <stp/>
        <stp>EM_S_PQ_PCTCHANGE</stp>
        <stp>4</stp>
        <stp>002380</stp>
        <stp>2018-12-31</stp>
        <stp>2019-12-30</stp>
        <stp>1</stp>
        <tr r="G853" s="1"/>
      </tp>
      <tp>
        <v>-24.117114399999998</v>
        <stp/>
        <stp>EM_S_PQ_PCTCHANGE</stp>
        <stp>4</stp>
        <stp>002192</stp>
        <stp>2018-01-01</stp>
        <stp>2019-12-31</stp>
        <stp>3</stp>
        <tr r="F988" s="1"/>
      </tp>
      <tp>
        <v>-20.625528320000001</v>
        <stp/>
        <stp>EM_S_PQ_PCTCHANGE</stp>
        <stp>4</stp>
        <stp>002383</stp>
        <stp>2018-12-31</stp>
        <stp>2019-12-30</stp>
        <stp>1</stp>
        <tr r="G3075" s="1"/>
      </tp>
      <tp>
        <v>-51.672457399999999</v>
        <stp/>
        <stp>EM_S_PQ_PCTCHANGE</stp>
        <stp>4</stp>
        <stp>002193</stp>
        <stp>2018-01-01</stp>
        <stp>2019-12-31</stp>
        <stp>3</stp>
        <tr r="F2773" s="1"/>
      </tp>
      <tp>
        <v>-18.43876178</v>
        <stp/>
        <stp>EM_S_PQ_PCTCHANGE</stp>
        <stp>4</stp>
        <stp>002382</stp>
        <stp>2018-12-31</stp>
        <stp>2019-12-30</stp>
        <stp>1</stp>
        <tr r="G3033" s="1"/>
      </tp>
      <tp>
        <v>88.096374600000004</v>
        <stp/>
        <stp>EM_S_PQ_PCTCHANGE</stp>
        <stp>4</stp>
        <stp>002194</stp>
        <stp>2018-01-01</stp>
        <stp>2019-12-31</stp>
        <stp>3</stp>
        <tr r="F48" s="1"/>
      </tp>
      <tp>
        <v>41.5625</v>
        <stp/>
        <stp>EM_S_PQ_PCTCHANGE</stp>
        <stp>4</stp>
        <stp>002385</stp>
        <stp>2018-12-31</stp>
        <stp>2019-12-30</stp>
        <stp>1</stp>
        <tr r="G707" s="1"/>
      </tp>
      <tp>
        <v>-5.4601242399999999</v>
        <stp/>
        <stp>EM_S_PQ_PCTCHANGE</stp>
        <stp>4</stp>
        <stp>002195</stp>
        <stp>2018-01-01</stp>
        <stp>2019-12-31</stp>
        <stp>3</stp>
        <tr r="F2857" s="1"/>
      </tp>
      <tp>
        <v>98.671390610000003</v>
        <stp/>
        <stp>EM_S_PQ_PCTCHANGE</stp>
        <stp>4</stp>
        <stp>002384</stp>
        <stp>2018-12-31</stp>
        <stp>2019-12-30</stp>
        <stp>1</stp>
        <tr r="G172" s="1"/>
      </tp>
      <tp>
        <v>-42.554172540000003</v>
        <stp/>
        <stp>EM_S_PQ_PCTCHANGE</stp>
        <stp>4</stp>
        <stp>002196</stp>
        <stp>2018-01-01</stp>
        <stp>2019-12-31</stp>
        <stp>3</stp>
        <tr r="F1966" s="1"/>
      </tp>
      <tp>
        <v>113.91076115</v>
        <stp/>
        <stp>EM_S_PQ_PCTCHANGE</stp>
        <stp>4</stp>
        <stp>002387</stp>
        <stp>2018-12-31</stp>
        <stp>2019-12-30</stp>
        <stp>1</stp>
        <tr r="G135" s="1"/>
      </tp>
      <tp>
        <v>-35.130423319999998</v>
        <stp/>
        <stp>EM_S_PQ_PCTCHANGE</stp>
        <stp>4</stp>
        <stp>002197</stp>
        <stp>2018-01-01</stp>
        <stp>2019-12-31</stp>
        <stp>3</stp>
        <tr r="F1474" s="1"/>
      </tp>
      <tp>
        <v>9.34579439</v>
        <stp/>
        <stp>EM_S_PQ_PCTCHANGE</stp>
        <stp>4</stp>
        <stp>002386</stp>
        <stp>2018-12-31</stp>
        <stp>2019-12-30</stp>
        <stp>1</stp>
        <tr r="G1776" s="1"/>
      </tp>
      <tp>
        <v>-77.594936709999999</v>
        <stp/>
        <stp>EM_S_PQ_PCTCHANGE</stp>
        <stp>4</stp>
        <stp>002188</stp>
        <stp>2018-01-01</stp>
        <stp>2019-12-31</stp>
        <stp>3</stp>
        <tr r="F2426" s="1"/>
      </tp>
      <tp>
        <v>-16.52928416</v>
        <stp/>
        <stp>EM_S_PQ_PCTCHANGE</stp>
        <stp>4</stp>
        <stp>002399</stp>
        <stp>2018-12-31</stp>
        <stp>2019-12-30</stp>
        <stp>1</stp>
        <tr r="G2973" s="1"/>
      </tp>
      <tp>
        <v>12.601158359999999</v>
        <stp/>
        <stp>EM_S_PQ_PCTCHANGE</stp>
        <stp>4</stp>
        <stp>002189</stp>
        <stp>2018-01-01</stp>
        <stp>2019-12-31</stp>
        <stp>3</stp>
        <tr r="F409" s="1"/>
      </tp>
      <tp>
        <v>34.075723830000001</v>
        <stp/>
        <stp>EM_S_PQ_PCTCHANGE</stp>
        <stp>4</stp>
        <stp>002398</stp>
        <stp>2018-12-31</stp>
        <stp>2019-12-30</stp>
        <stp>1</stp>
        <tr r="G850" s="1"/>
      </tp>
      <tp>
        <v>21.525325989999999</v>
        <stp/>
        <stp>EM_S_PQ_PCTCHANGE</stp>
        <stp>4</stp>
        <stp>002180</stp>
        <stp>2018-01-01</stp>
        <stp>2019-12-31</stp>
        <stp>3</stp>
        <tr r="F700" s="1"/>
      </tp>
      <tp>
        <v>-22.36966825</v>
        <stp/>
        <stp>EM_S_PQ_PCTCHANGE</stp>
        <stp>4</stp>
        <stp>002391</stp>
        <stp>2018-12-31</stp>
        <stp>2019-12-30</stp>
        <stp>1</stp>
        <tr r="G3106" s="1"/>
      </tp>
      <tp>
        <v>15.697405910000001</v>
        <stp/>
        <stp>EM_S_PQ_PCTCHANGE</stp>
        <stp>4</stp>
        <stp>002181</stp>
        <stp>2018-01-01</stp>
        <stp>2019-12-31</stp>
        <stp>3</stp>
        <tr r="F406" s="1"/>
      </tp>
      <tp>
        <v>27.1393643</v>
        <stp/>
        <stp>EM_S_PQ_PCTCHANGE</stp>
        <stp>4</stp>
        <stp>002390</stp>
        <stp>2018-12-31</stp>
        <stp>2019-12-30</stp>
        <stp>1</stp>
        <tr r="G1014" s="1"/>
      </tp>
      <tp>
        <v>1.2850629099999999</v>
        <stp/>
        <stp>EM_S_PQ_PCTCHANGE</stp>
        <stp>4</stp>
        <stp>002182</stp>
        <stp>2018-01-01</stp>
        <stp>2019-12-31</stp>
        <stp>3</stp>
        <tr r="F558" s="1"/>
      </tp>
      <tp>
        <v>24.29168602</v>
        <stp/>
        <stp>EM_S_PQ_PCTCHANGE</stp>
        <stp>4</stp>
        <stp>002393</stp>
        <stp>2018-12-31</stp>
        <stp>2019-12-30</stp>
        <stp>1</stp>
        <tr r="G1123" s="1"/>
      </tp>
      <tp>
        <v>-39.447125759999999</v>
        <stp/>
        <stp>EM_S_PQ_PCTCHANGE</stp>
        <stp>4</stp>
        <stp>002183</stp>
        <stp>2018-01-01</stp>
        <stp>2019-12-31</stp>
        <stp>3</stp>
        <tr r="F2949" s="1"/>
      </tp>
      <tp>
        <v>16.5625</v>
        <stp/>
        <stp>EM_S_PQ_PCTCHANGE</stp>
        <stp>4</stp>
        <stp>002392</stp>
        <stp>2018-12-31</stp>
        <stp>2019-12-30</stp>
        <stp>1</stp>
        <tr r="G1412" s="1"/>
      </tp>
      <tp>
        <v>-11.963399750000001</v>
        <stp/>
        <stp>EM_S_PQ_PCTCHANGE</stp>
        <stp>4</stp>
        <stp>002184</stp>
        <stp>2018-01-01</stp>
        <stp>2019-12-31</stp>
        <stp>3</stp>
        <tr r="F1608" s="1"/>
      </tp>
      <tp>
        <v>139.38832252</v>
        <stp/>
        <stp>EM_S_PQ_PCTCHANGE</stp>
        <stp>4</stp>
        <stp>002395</stp>
        <stp>2018-12-31</stp>
        <stp>2019-12-30</stp>
        <stp>1</stp>
        <tr r="G101" s="1"/>
      </tp>
      <tp>
        <v>-1.46178892</v>
        <stp/>
        <stp>EM_S_PQ_PCTCHANGE</stp>
        <stp>4</stp>
        <stp>002185</stp>
        <stp>2018-01-01</stp>
        <stp>2019-12-31</stp>
        <stp>3</stp>
        <tr r="F243" s="1"/>
      </tp>
      <tp>
        <v>-6.6468254</v>
        <stp/>
        <stp>EM_S_PQ_PCTCHANGE</stp>
        <stp>4</stp>
        <stp>002394</stp>
        <stp>2018-12-31</stp>
        <stp>2019-12-30</stp>
        <stp>1</stp>
        <tr r="G2636" s="1"/>
      </tp>
      <tp>
        <v>-39.530067709999997</v>
        <stp/>
        <stp>EM_S_PQ_PCTCHANGE</stp>
        <stp>4</stp>
        <stp>002186</stp>
        <stp>2018-01-01</stp>
        <stp>2019-12-31</stp>
        <stp>3</stp>
        <tr r="F2772" s="1"/>
      </tp>
      <tp>
        <v>19.464720190000001</v>
        <stp/>
        <stp>EM_S_PQ_PCTCHANGE</stp>
        <stp>4</stp>
        <stp>002397</stp>
        <stp>2018-12-31</stp>
        <stp>2019-12-30</stp>
        <stp>1</stp>
        <tr r="G1300" s="1"/>
      </tp>
      <tp>
        <v>-9.44549226</v>
        <stp/>
        <stp>EM_S_PQ_PCTCHANGE</stp>
        <stp>4</stp>
        <stp>002187</stp>
        <stp>2018-01-01</stp>
        <stp>2019-12-31</stp>
        <stp>3</stp>
        <tr r="F1956" s="1"/>
      </tp>
      <tp>
        <v>105.57491288999999</v>
        <stp/>
        <stp>EM_S_PQ_PCTCHANGE</stp>
        <stp>4</stp>
        <stp>002396</stp>
        <stp>2018-12-31</stp>
        <stp>2019-12-30</stp>
        <stp>1</stp>
        <tr r="G155" s="1"/>
      </tp>
      <tp>
        <v>38.53702629</v>
        <stp/>
        <stp>EM_S_PQ_PCTCHANGE</stp>
        <stp>4</stp>
        <stp>300188</stp>
        <stp>2018-01-01</stp>
        <stp>2019-12-31</stp>
        <stp>3</stp>
        <tr r="F906" s="1"/>
      </tp>
      <tp>
        <v>56</v>
        <stp/>
        <stp>EM_S_PQ_PCTCHANGE</stp>
        <stp>4</stp>
        <stp>300399</stp>
        <stp>2018-12-31</stp>
        <stp>2019-12-30</stp>
        <stp>1</stp>
        <tr r="G472" s="1"/>
      </tp>
      <tp>
        <v>3.1428571399999998</v>
        <stp/>
        <stp>EM_S_PQ_PCTCHANGE</stp>
        <stp>4</stp>
        <stp>300189</stp>
        <stp>2018-01-01</stp>
        <stp>2019-12-31</stp>
        <stp>3</stp>
        <tr r="F624" s="1"/>
      </tp>
      <tp>
        <v>-5.0955414000000001</v>
        <stp/>
        <stp>EM_S_PQ_PCTCHANGE</stp>
        <stp>4</stp>
        <stp>300398</stp>
        <stp>2018-12-31</stp>
        <stp>2019-12-30</stp>
        <stp>1</stp>
        <tr r="G2573" s="1"/>
      </tp>
      <tp>
        <v>-2.4444085200000001</v>
        <stp/>
        <stp>EM_S_PQ_PCTCHANGE</stp>
        <stp>4</stp>
        <stp>300180</stp>
        <stp>2018-01-01</stp>
        <stp>2019-12-31</stp>
        <stp>3</stp>
        <tr r="F3053" s="1"/>
      </tp>
      <tp>
        <v>-25.205761320000001</v>
        <stp/>
        <stp>EM_S_PQ_PCTCHANGE</stp>
        <stp>4</stp>
        <stp>300391</stp>
        <stp>2018-12-31</stp>
        <stp>2019-12-30</stp>
        <stp>1</stp>
        <tr r="G3154" s="1"/>
      </tp>
      <tp>
        <v>-32.999712870000003</v>
        <stp/>
        <stp>EM_S_PQ_PCTCHANGE</stp>
        <stp>4</stp>
        <stp>300181</stp>
        <stp>2018-01-01</stp>
        <stp>2019-12-31</stp>
        <stp>3</stp>
        <tr r="F2515" s="1"/>
      </tp>
      <tp>
        <v>-12.80653951</v>
        <stp/>
        <stp>EM_S_PQ_PCTCHANGE</stp>
        <stp>4</stp>
        <stp>300390</stp>
        <stp>2018-12-31</stp>
        <stp>2019-12-30</stp>
        <stp>1</stp>
        <tr r="G2862" s="1"/>
      </tp>
      <tp>
        <v>-59.236406430000002</v>
        <stp/>
        <stp>EM_S_PQ_PCTCHANGE</stp>
        <stp>4</stp>
        <stp>300182</stp>
        <stp>2018-01-01</stp>
        <stp>2019-12-31</stp>
        <stp>3</stp>
        <tr r="F3029" s="1"/>
      </tp>
      <tp>
        <v>-3.0503978799999998</v>
        <stp/>
        <stp>EM_S_PQ_PCTCHANGE</stp>
        <stp>4</stp>
        <stp>300393</stp>
        <stp>2018-12-31</stp>
        <stp>2019-12-30</stp>
        <stp>1</stp>
        <tr r="G2477" s="1"/>
      </tp>
      <tp>
        <v>-21.119462739999999</v>
        <stp/>
        <stp>EM_S_PQ_PCTCHANGE</stp>
        <stp>4</stp>
        <stp>300183</stp>
        <stp>2018-01-01</stp>
        <stp>2019-12-31</stp>
        <stp>3</stp>
        <tr r="F1047" s="1"/>
      </tp>
      <tp>
        <v>-2.5412960600000001</v>
        <stp/>
        <stp>EM_S_PQ_PCTCHANGE</stp>
        <stp>4</stp>
        <stp>300392</stp>
        <stp>2018-12-31</stp>
        <stp>2019-12-30</stp>
        <stp>1</stp>
        <tr r="G2449" s="1"/>
      </tp>
      <tp>
        <v>16.634850839999999</v>
        <stp/>
        <stp>EM_S_PQ_PCTCHANGE</stp>
        <stp>4</stp>
        <stp>300184</stp>
        <stp>2018-01-01</stp>
        <stp>2019-12-31</stp>
        <stp>3</stp>
        <tr r="F2506" s="1"/>
      </tp>
      <tp>
        <v>49.198606269999999</v>
        <stp/>
        <stp>EM_S_PQ_PCTCHANGE</stp>
        <stp>4</stp>
        <stp>300395</stp>
        <stp>2018-12-31</stp>
        <stp>2019-12-30</stp>
        <stp>1</stp>
        <tr r="G574" s="1"/>
      </tp>
      <tp>
        <v>-18.496693019999999</v>
        <stp/>
        <stp>EM_S_PQ_PCTCHANGE</stp>
        <stp>4</stp>
        <stp>300185</stp>
        <stp>2018-01-01</stp>
        <stp>2019-12-31</stp>
        <stp>3</stp>
        <tr r="F1705" s="1"/>
      </tp>
      <tp>
        <v>50.599917249999997</v>
        <stp/>
        <stp>EM_S_PQ_PCTCHANGE</stp>
        <stp>4</stp>
        <stp>300394</stp>
        <stp>2018-12-31</stp>
        <stp>2019-12-30</stp>
        <stp>1</stp>
        <tr r="G554" s="1"/>
      </tp>
      <tp>
        <v>0</v>
        <stp/>
        <stp>EM_S_PQ_PCTCHANGE</stp>
        <stp>4</stp>
        <stp>300186</stp>
        <stp>2018-01-01</stp>
        <stp>2019-12-31</stp>
        <stp>3</stp>
        <tr r="F2281" s="1"/>
      </tp>
      <tp>
        <v>-57.900200079999998</v>
        <stp/>
        <stp>EM_S_PQ_PCTCHANGE</stp>
        <stp>4</stp>
        <stp>300187</stp>
        <stp>2018-01-01</stp>
        <stp>2019-12-31</stp>
        <stp>3</stp>
        <tr r="F2789" s="1"/>
      </tp>
      <tp>
        <v>40.572390570000003</v>
        <stp/>
        <stp>EM_S_PQ_PCTCHANGE</stp>
        <stp>4</stp>
        <stp>300396</stp>
        <stp>2018-12-31</stp>
        <stp>2019-12-30</stp>
        <stp>1</stp>
        <tr r="G723" s="1"/>
      </tp>
      <tp>
        <v>-35.124076700000003</v>
        <stp/>
        <stp>EM_S_PQ_PCTCHANGE</stp>
        <stp>4</stp>
        <stp>300198</stp>
        <stp>2018-01-01</stp>
        <stp>2019-12-31</stp>
        <stp>3</stp>
        <tr r="F522" s="1"/>
      </tp>
      <tp>
        <v>-28.470889320000001</v>
        <stp/>
        <stp>EM_S_PQ_PCTCHANGE</stp>
        <stp>4</stp>
        <stp>300389</stp>
        <stp>2018-12-31</stp>
        <stp>2019-12-30</stp>
        <stp>1</stp>
        <tr r="G3203" s="1"/>
      </tp>
      <tp>
        <v>-63.906537319999998</v>
        <stp/>
        <stp>EM_S_PQ_PCTCHANGE</stp>
        <stp>4</stp>
        <stp>300199</stp>
        <stp>2018-01-01</stp>
        <stp>2019-12-31</stp>
        <stp>3</stp>
        <tr r="F3302" s="1"/>
      </tp>
      <tp>
        <v>19.66101695</v>
        <stp/>
        <stp>EM_S_PQ_PCTCHANGE</stp>
        <stp>4</stp>
        <stp>300388</stp>
        <stp>2018-12-31</stp>
        <stp>2019-12-30</stp>
        <stp>1</stp>
        <tr r="G1290" s="1"/>
      </tp>
      <tp>
        <v>5.0416717000000002</v>
        <stp/>
        <stp>EM_S_PQ_PCTCHANGE</stp>
        <stp>4</stp>
        <stp>300190</stp>
        <stp>2018-01-01</stp>
        <stp>2019-12-31</stp>
        <stp>3</stp>
        <tr r="F746" s="1"/>
      </tp>
      <tp>
        <v>22.815533980000001</v>
        <stp/>
        <stp>EM_S_PQ_PCTCHANGE</stp>
        <stp>4</stp>
        <stp>300381</stp>
        <stp>2018-12-31</stp>
        <stp>2019-12-30</stp>
        <stp>1</stp>
        <tr r="G1162" s="1"/>
      </tp>
      <tp>
        <v>-4.1848899199999998</v>
        <stp/>
        <stp>EM_S_PQ_PCTCHANGE</stp>
        <stp>4</stp>
        <stp>300191</stp>
        <stp>2018-01-01</stp>
        <stp>2019-12-31</stp>
        <stp>3</stp>
        <tr r="F602" s="1"/>
      </tp>
      <tp>
        <v>27.33720181</v>
        <stp/>
        <stp>EM_S_PQ_PCTCHANGE</stp>
        <stp>4</stp>
        <stp>300380</stp>
        <stp>2018-12-31</stp>
        <stp>2019-12-30</stp>
        <stp>1</stp>
        <tr r="G1006" s="1"/>
      </tp>
      <tp>
        <v>4.6268656699999999</v>
        <stp/>
        <stp>EM_S_PQ_PCTCHANGE</stp>
        <stp>4</stp>
        <stp>300192</stp>
        <stp>2018-01-01</stp>
        <stp>2019-12-31</stp>
        <stp>3</stp>
        <tr r="F413" s="1"/>
      </tp>
      <tp>
        <v>57.853196529999998</v>
        <stp/>
        <stp>EM_S_PQ_PCTCHANGE</stp>
        <stp>4</stp>
        <stp>300383</stp>
        <stp>2018-12-31</stp>
        <stp>2019-12-30</stp>
        <stp>1</stp>
        <tr r="G447" s="1"/>
      </tp>
      <tp>
        <v>25.510668500000001</v>
        <stp/>
        <stp>EM_S_PQ_PCTCHANGE</stp>
        <stp>4</stp>
        <stp>300193</stp>
        <stp>2018-01-01</stp>
        <stp>2019-12-31</stp>
        <stp>3</stp>
        <tr r="F1114" s="1"/>
      </tp>
      <tp>
        <v>-0.36297641000000003</v>
        <stp/>
        <stp>EM_S_PQ_PCTCHANGE</stp>
        <stp>4</stp>
        <stp>300382</stp>
        <stp>2018-12-31</stp>
        <stp>2019-12-30</stp>
        <stp>1</stp>
        <tr r="G2351" s="1"/>
      </tp>
      <tp>
        <v>-1.8940016</v>
        <stp/>
        <stp>EM_S_PQ_PCTCHANGE</stp>
        <stp>4</stp>
        <stp>300194</stp>
        <stp>2018-01-01</stp>
        <stp>2019-12-31</stp>
        <stp>3</stp>
        <tr r="F334" s="1"/>
      </tp>
      <tp>
        <v>-15.804394050000001</v>
        <stp/>
        <stp>EM_S_PQ_PCTCHANGE</stp>
        <stp>4</stp>
        <stp>300385</stp>
        <stp>2018-12-31</stp>
        <stp>2019-12-30</stp>
        <stp>1</stp>
        <tr r="G2956" s="1"/>
      </tp>
      <tp>
        <v>-45.384699130000001</v>
        <stp/>
        <stp>EM_S_PQ_PCTCHANGE</stp>
        <stp>4</stp>
        <stp>300195</stp>
        <stp>2018-01-01</stp>
        <stp>2019-12-31</stp>
        <stp>3</stp>
        <tr r="F2722" s="1"/>
      </tp>
      <tp>
        <v>52.28040541</v>
        <stp/>
        <stp>EM_S_PQ_PCTCHANGE</stp>
        <stp>4</stp>
        <stp>300384</stp>
        <stp>2018-12-31</stp>
        <stp>2019-12-30</stp>
        <stp>1</stp>
        <tr r="G530" s="1"/>
      </tp>
      <tp>
        <v>-8.3968044499999994</v>
        <stp/>
        <stp>EM_S_PQ_PCTCHANGE</stp>
        <stp>4</stp>
        <stp>300196</stp>
        <stp>2018-01-01</stp>
        <stp>2019-12-31</stp>
        <stp>3</stp>
        <tr r="F904" s="1"/>
      </tp>
      <tp>
        <v>71.225577259999994</v>
        <stp/>
        <stp>EM_S_PQ_PCTCHANGE</stp>
        <stp>4</stp>
        <stp>300387</stp>
        <stp>2018-12-31</stp>
        <stp>2019-12-30</stp>
        <stp>1</stp>
        <tr r="G304" s="1"/>
      </tp>
      <tp>
        <v>-61.907401370000002</v>
        <stp/>
        <stp>EM_S_PQ_PCTCHANGE</stp>
        <stp>4</stp>
        <stp>300197</stp>
        <stp>2018-01-01</stp>
        <stp>2019-12-31</stp>
        <stp>3</stp>
        <tr r="F3073" s="1"/>
      </tp>
      <tp>
        <v>42.220019819999997</v>
        <stp/>
        <stp>EM_S_PQ_PCTCHANGE</stp>
        <stp>4</stp>
        <stp>300386</stp>
        <stp>2018-12-31</stp>
        <stp>2019-12-30</stp>
        <stp>1</stp>
        <tr r="G696" s="1"/>
      </tp>
      <tp>
        <v>-29.387715839999998</v>
        <stp/>
        <stp>EM_S_PQ_PCTCHANGE</stp>
        <stp>4</stp>
        <stp>601238</stp>
        <stp>2018-01-01</stp>
        <stp>2019-12-31</stp>
        <stp>3</stp>
        <tr r="F1583" s="1"/>
      </tp>
      <tp>
        <v>82.370820670000001</v>
        <stp/>
        <stp>EM_S_PQ_PCTCHANGE</stp>
        <stp>4</stp>
        <stp>300079</stp>
        <stp>2018-12-31</stp>
        <stp>2019-12-30</stp>
        <stp>1</stp>
        <tr r="G236" s="1"/>
      </tp>
      <tp>
        <v>-31.036192360000001</v>
        <stp/>
        <stp>EM_S_PQ_PCTCHANGE</stp>
        <stp>4</stp>
        <stp>300268</stp>
        <stp>2018-01-01</stp>
        <stp>2019-12-31</stp>
        <stp>3</stp>
        <tr r="F1057" s="1"/>
      </tp>
      <tp>
        <v>7.9819277099999999</v>
        <stp/>
        <stp>EM_S_PQ_PCTCHANGE</stp>
        <stp>4</stp>
        <stp>600029</stp>
        <stp>2018-12-31</stp>
        <stp>2019-12-30</stp>
        <stp>1</stp>
        <tr r="G1859" s="1"/>
      </tp>
      <tp>
        <v>-27.539779679999999</v>
        <stp/>
        <stp>EM_S_PQ_PCTCHANGE</stp>
        <stp>4</stp>
        <stp>600238</stp>
        <stp>2018-01-01</stp>
        <stp>2019-12-31</stp>
        <stp>3</stp>
        <tr r="F1030" s="1"/>
      </tp>
      <tp>
        <v>10.665658090000001</v>
        <stp/>
        <stp>EM_S_PQ_PCTCHANGE</stp>
        <stp>4</stp>
        <stp>603029</stp>
        <stp>2018-12-31</stp>
        <stp>2019-12-30</stp>
        <stp>1</stp>
        <tr r="G1695" s="1"/>
      </tp>
      <tp>
        <v>-24.726214689999999</v>
        <stp/>
        <stp>EM_S_PQ_PCTCHANGE</stp>
        <stp>4</stp>
        <stp>603238</stp>
        <stp>2018-01-01</stp>
        <stp>2019-12-31</stp>
        <stp>3</stp>
        <tr r="F2678" s="1"/>
      </tp>
      <tp>
        <v>77.854671280000005</v>
        <stp/>
        <stp>EM_S_PQ_PCTCHANGE</stp>
        <stp>4</stp>
        <stp>002049</stp>
        <stp>2018-12-31</stp>
        <stp>2019-12-30</stp>
        <stp>1</stp>
        <tr r="G262" s="1"/>
      </tp>
      <tp>
        <v>-11.77579965</v>
        <stp/>
        <stp>EM_S_PQ_PCTCHANGE</stp>
        <stp>4</stp>
        <stp>002258</stp>
        <stp>2018-01-01</stp>
        <stp>2019-12-31</stp>
        <stp>3</stp>
        <tr r="F1840" s="1"/>
      </tp>
      <tp>
        <v>10.49250535</v>
        <stp/>
        <stp>EM_S_PQ_PCTCHANGE</stp>
        <stp>4</stp>
        <stp>601028</stp>
        <stp>2018-12-31</stp>
        <stp>2019-12-30</stp>
        <stp>1</stp>
        <tr r="G1709" s="1"/>
      </tp>
      <tp>
        <v>21.02615694</v>
        <stp/>
        <stp>EM_S_PQ_PCTCHANGE</stp>
        <stp>4</stp>
        <stp>300078</stp>
        <stp>2018-12-31</stp>
        <stp>2019-12-30</stp>
        <stp>1</stp>
        <tr r="G1234" s="1"/>
      </tp>
      <tp>
        <v>-61.06750392</v>
        <stp/>
        <stp>EM_S_PQ_PCTCHANGE</stp>
        <stp>4</stp>
        <stp>300269</stp>
        <stp>2018-01-01</stp>
        <stp>2019-12-31</stp>
        <stp>3</stp>
        <tr r="F2751" s="1"/>
      </tp>
      <tp>
        <v>0.59405940999999995</v>
        <stp/>
        <stp>EM_S_PQ_PCTCHANGE</stp>
        <stp>4</stp>
        <stp>600028</stp>
        <stp>2018-12-31</stp>
        <stp>2019-12-30</stp>
        <stp>1</stp>
        <tr r="G2245" s="1"/>
      </tp>
      <tp>
        <v>-42.47131444</v>
        <stp/>
        <stp>EM_S_PQ_PCTCHANGE</stp>
        <stp>4</stp>
        <stp>600239</stp>
        <stp>2018-01-01</stp>
        <stp>2019-12-31</stp>
        <stp>3</stp>
        <tr r="F2256" s="1"/>
      </tp>
      <tp>
        <v>64.197530860000001</v>
        <stp/>
        <stp>EM_S_PQ_PCTCHANGE</stp>
        <stp>4</stp>
        <stp>603028</stp>
        <stp>2018-12-31</stp>
        <stp>2019-12-30</stp>
        <stp>1</stp>
        <tr r="G383" s="1"/>
      </tp>
      <tp>
        <v>-37.169307410000002</v>
        <stp/>
        <stp>EM_S_PQ_PCTCHANGE</stp>
        <stp>4</stp>
        <stp>603239</stp>
        <stp>2018-01-01</stp>
        <stp>2019-12-31</stp>
        <stp>3</stp>
        <tr r="F1957" s="1"/>
      </tp>
      <tp>
        <v>53.403643340000002</v>
        <stp/>
        <stp>EM_S_PQ_PCTCHANGE</stp>
        <stp>4</stp>
        <stp>002048</stp>
        <stp>2018-12-31</stp>
        <stp>2019-12-30</stp>
        <stp>1</stp>
        <tr r="G510" s="1"/>
      </tp>
      <tp>
        <v>-63.754045310000002</v>
        <stp/>
        <stp>EM_S_PQ_PCTCHANGE</stp>
        <stp>4</stp>
        <stp>002259</stp>
        <stp>2018-01-01</stp>
        <stp>2019-12-31</stp>
        <stp>3</stp>
        <tr r="F2658" s="1"/>
      </tp>
      <tp>
        <v>-35.199941430000003</v>
        <stp/>
        <stp>EM_S_PQ_PCTCHANGE</stp>
        <stp>4</stp>
        <stp>600230</stp>
        <stp>2019-01-01</stp>
        <stp>2019-12-31</stp>
        <stp>3</stp>
        <tr r="G3272" s="1"/>
      </tp>
      <tp>
        <v>37.786859479999997</v>
        <stp/>
        <stp>EM_S_PQ_PCTCHANGE</stp>
        <stp>4</stp>
        <stp>601021</stp>
        <stp>2018-12-31</stp>
        <stp>2019-12-30</stp>
        <stp>1</stp>
        <tr r="G777" s="1"/>
      </tp>
      <tp>
        <v>-23.39832869</v>
        <stp/>
        <stp>EM_S_PQ_PCTCHANGE</stp>
        <stp>4</stp>
        <stp>300071</stp>
        <stp>2018-12-31</stp>
        <stp>2019-12-30</stp>
        <stp>1</stp>
        <tr r="G3121" s="1"/>
      </tp>
      <tp>
        <v>-17.642669210000001</v>
        <stp/>
        <stp>EM_S_PQ_PCTCHANGE</stp>
        <stp>4</stp>
        <stp>300260</stp>
        <stp>2018-01-01</stp>
        <stp>2019-12-31</stp>
        <stp>3</stp>
        <tr r="F893" s="1"/>
      </tp>
      <tp>
        <v>-1.8518518500000001</v>
        <stp/>
        <stp>EM_S_PQ_PCTCHANGE</stp>
        <stp>4</stp>
        <stp>600021</stp>
        <stp>2018-12-31</stp>
        <stp>2019-12-30</stp>
        <stp>1</stp>
        <tr r="G2411" s="1"/>
      </tp>
      <tp>
        <v>-65.083871079999994</v>
        <stp/>
        <stp>EM_S_PQ_PCTCHANGE</stp>
        <stp>4</stp>
        <stp>600230</stp>
        <stp>2018-01-01</stp>
        <stp>2019-12-31</stp>
        <stp>3</stp>
        <tr r="F3272" s="1"/>
      </tp>
      <tp>
        <v>40.798611110000003</v>
        <stp/>
        <stp>EM_S_PQ_PCTCHANGE</stp>
        <stp>4</stp>
        <stp>603021</stp>
        <stp>2018-12-31</stp>
        <stp>2019-12-30</stp>
        <stp>1</stp>
        <tr r="G717" s="1"/>
      </tp>
      <tp>
        <v>63.561206830000003</v>
        <stp/>
        <stp>EM_S_PQ_PCTCHANGE</stp>
        <stp>4</stp>
        <stp>002250</stp>
        <stp>2018-01-01</stp>
        <stp>2019-12-31</stp>
        <stp>3</stp>
        <tr r="F271" s="1"/>
      </tp>
      <tp>
        <v>8.5106383000000001</v>
        <stp/>
        <stp>EM_S_PQ_PCTCHANGE</stp>
        <stp>4</stp>
        <stp>601020</stp>
        <stp>2018-12-31</stp>
        <stp>2019-12-30</stp>
        <stp>1</stp>
        <tr r="G1826" s="1"/>
      </tp>
      <tp>
        <v>25.589672360000002</v>
        <stp/>
        <stp>EM_S_PQ_PCTCHANGE</stp>
        <stp>4</stp>
        <stp>601231</stp>
        <stp>2018-01-01</stp>
        <stp>2019-12-31</stp>
        <stp>3</stp>
        <tr r="F130" s="1"/>
      </tp>
      <tp>
        <v>-2.5641025599999998</v>
        <stp/>
        <stp>EM_S_PQ_PCTCHANGE</stp>
        <stp>4</stp>
        <stp>300070</stp>
        <stp>2018-12-31</stp>
        <stp>2019-12-30</stp>
        <stp>1</stp>
        <tr r="G2453" s="1"/>
      </tp>
      <tp>
        <v>-23.996526920000001</v>
        <stp/>
        <stp>EM_S_PQ_PCTCHANGE</stp>
        <stp>4</stp>
        <stp>300261</stp>
        <stp>2018-01-01</stp>
        <stp>2019-12-31</stp>
        <stp>3</stp>
        <tr r="F2999" s="1"/>
      </tp>
      <tp>
        <v>19.618528609999998</v>
        <stp/>
        <stp>EM_S_PQ_PCTCHANGE</stp>
        <stp>4</stp>
        <stp>600020</stp>
        <stp>2018-12-31</stp>
        <stp>2019-12-30</stp>
        <stp>1</stp>
        <tr r="G1292" s="1"/>
      </tp>
      <tp>
        <v>-38.912419440000001</v>
        <stp/>
        <stp>EM_S_PQ_PCTCHANGE</stp>
        <stp>4</stp>
        <stp>600231</stp>
        <stp>2018-01-01</stp>
        <stp>2019-12-31</stp>
        <stp>3</stp>
        <tr r="F2157" s="1"/>
      </tp>
      <tp>
        <v>10.36339166</v>
        <stp/>
        <stp>EM_S_PQ_PCTCHANGE</stp>
        <stp>4</stp>
        <stp>603020</stp>
        <stp>2018-12-31</stp>
        <stp>2019-12-30</stp>
        <stp>1</stp>
        <tr r="G1717" s="1"/>
      </tp>
      <tp>
        <v>-10.282776350000001</v>
        <stp/>
        <stp>EM_S_PQ_PCTCHANGE</stp>
        <stp>4</stp>
        <stp>002040</stp>
        <stp>2018-12-31</stp>
        <stp>2019-12-30</stp>
        <stp>1</stp>
        <tr r="G2768" s="1"/>
      </tp>
      <tp>
        <v>-48.475771139999999</v>
        <stp/>
        <stp>EM_S_PQ_PCTCHANGE</stp>
        <stp>4</stp>
        <stp>002251</stp>
        <stp>2018-01-01</stp>
        <stp>2019-12-31</stp>
        <stp>3</stp>
        <tr r="F1280" s="1"/>
      </tp>
      <tp>
        <v>0</v>
        <stp/>
        <stp>EM_S_PQ_PCTCHANGE</stp>
        <stp>4</stp>
        <stp>300073</stp>
        <stp>2018-12-31</stp>
        <stp>2019-12-30</stp>
        <stp>1</stp>
        <tr r="G2284" s="1"/>
      </tp>
      <tp>
        <v>-46.171825320000004</v>
        <stp/>
        <stp>EM_S_PQ_PCTCHANGE</stp>
        <stp>4</stp>
        <stp>300262</stp>
        <stp>2018-01-01</stp>
        <stp>2019-12-31</stp>
        <stp>3</stp>
        <tr r="F2823" s="1"/>
      </tp>
      <tp>
        <v>-16.701902749999999</v>
        <stp/>
        <stp>EM_S_PQ_PCTCHANGE</stp>
        <stp>4</stp>
        <stp>600023</stp>
        <stp>2018-12-31</stp>
        <stp>2019-12-30</stp>
        <stp>1</stp>
        <tr r="G2977" s="1"/>
      </tp>
      <tp>
        <v>-13.88122014</v>
        <stp/>
        <stp>EM_S_PQ_PCTCHANGE</stp>
        <stp>4</stp>
        <stp>600232</stp>
        <stp>2018-01-01</stp>
        <stp>2019-12-31</stp>
        <stp>3</stp>
        <tr r="F942" s="1"/>
      </tp>
      <tp>
        <v>4.29184549</v>
        <stp/>
        <stp>EM_S_PQ_PCTCHANGE</stp>
        <stp>4</stp>
        <stp>603023</stp>
        <stp>2018-12-31</stp>
        <stp>2019-12-30</stp>
        <stp>1</stp>
        <tr r="G2040" s="1"/>
      </tp>
      <tp>
        <v>34.511615679999998</v>
        <stp/>
        <stp>EM_S_PQ_PCTCHANGE</stp>
        <stp>4</stp>
        <stp>603232</stp>
        <stp>2018-01-01</stp>
        <stp>2019-12-31</stp>
        <stp>3</stp>
        <tr r="F680" s="1"/>
      </tp>
      <tp>
        <v>44.57593688</v>
        <stp/>
        <stp>EM_S_PQ_PCTCHANGE</stp>
        <stp>4</stp>
        <stp>002043</stp>
        <stp>2018-12-31</stp>
        <stp>2019-12-30</stp>
        <stp>1</stp>
        <tr r="G656" s="1"/>
      </tp>
      <tp>
        <v>-62.581347870000002</v>
        <stp/>
        <stp>EM_S_PQ_PCTCHANGE</stp>
        <stp>4</stp>
        <stp>002252</stp>
        <stp>2018-01-01</stp>
        <stp>2019-12-31</stp>
        <stp>3</stp>
        <tr r="F2752" s="1"/>
      </tp>
      <tp>
        <v>-5.4386906599999998</v>
        <stp/>
        <stp>EM_S_PQ_PCTCHANGE</stp>
        <stp>4</stp>
        <stp>601233</stp>
        <stp>2018-01-01</stp>
        <stp>2019-12-31</stp>
        <stp>3</stp>
        <tr r="F521" s="1"/>
      </tp>
      <tp>
        <v>-36.483739839999998</v>
        <stp/>
        <stp>EM_S_PQ_PCTCHANGE</stp>
        <stp>4</stp>
        <stp>300072</stp>
        <stp>2018-12-31</stp>
        <stp>2019-12-30</stp>
        <stp>1</stp>
        <tr r="G3283" s="1"/>
      </tp>
      <tp>
        <v>-23.443564240000001</v>
        <stp/>
        <stp>EM_S_PQ_PCTCHANGE</stp>
        <stp>4</stp>
        <stp>300263</stp>
        <stp>2018-01-01</stp>
        <stp>2019-12-31</stp>
        <stp>3</stp>
        <tr r="F837" s="1"/>
      </tp>
      <tp>
        <v>-9.5541401300000004</v>
        <stp/>
        <stp>EM_S_PQ_PCTCHANGE</stp>
        <stp>4</stp>
        <stp>600022</stp>
        <stp>2018-12-31</stp>
        <stp>2019-12-30</stp>
        <stp>1</stp>
        <tr r="G2738" s="1"/>
      </tp>
      <tp>
        <v>-23.0366769</v>
        <stp/>
        <stp>EM_S_PQ_PCTCHANGE</stp>
        <stp>4</stp>
        <stp>600233</stp>
        <stp>2018-01-01</stp>
        <stp>2019-12-31</stp>
        <stp>3</stp>
        <tr r="F1032" s="1"/>
      </tp>
      <tp>
        <v>94.264705879999994</v>
        <stp/>
        <stp>EM_S_PQ_PCTCHANGE</stp>
        <stp>4</stp>
        <stp>603022</stp>
        <stp>2018-12-31</stp>
        <stp>2019-12-30</stp>
        <stp>1</stp>
        <tr r="G185" s="1"/>
      </tp>
      <tp>
        <v>34.115627689999997</v>
        <stp/>
        <stp>EM_S_PQ_PCTCHANGE</stp>
        <stp>4</stp>
        <stp>603233</stp>
        <stp>2018-01-01</stp>
        <stp>2019-12-31</stp>
        <stp>3</stp>
        <tr r="F958" s="1"/>
      </tp>
      <tp>
        <v>32.59668508</v>
        <stp/>
        <stp>EM_S_PQ_PCTCHANGE</stp>
        <stp>4</stp>
        <stp>002042</stp>
        <stp>2018-12-31</stp>
        <stp>2019-12-30</stp>
        <stp>1</stp>
        <tr r="G872" s="1"/>
      </tp>
      <tp>
        <v>-28.355814670000001</v>
        <stp/>
        <stp>EM_S_PQ_PCTCHANGE</stp>
        <stp>4</stp>
        <stp>002253</stp>
        <stp>2018-01-01</stp>
        <stp>2019-12-31</stp>
        <stp>3</stp>
        <tr r="F1773" s="1"/>
      </tp>
      <tp>
        <v>3.6697247700000002</v>
        <stp/>
        <stp>EM_S_PQ_PCTCHANGE</stp>
        <stp>4</stp>
        <stp>300075</stp>
        <stp>2018-12-31</stp>
        <stp>2019-12-30</stp>
        <stp>1</stp>
        <tr r="G2077" s="1"/>
      </tp>
      <tp>
        <v>-39.75</v>
        <stp/>
        <stp>EM_S_PQ_PCTCHANGE</stp>
        <stp>4</stp>
        <stp>300264</stp>
        <stp>2018-01-01</stp>
        <stp>2019-12-31</stp>
        <stp>3</stp>
        <tr r="F2027" s="1"/>
      </tp>
      <tp>
        <v>34.603174600000003</v>
        <stp/>
        <stp>EM_S_PQ_PCTCHANGE</stp>
        <stp>4</stp>
        <stp>600025</stp>
        <stp>2018-12-31</stp>
        <stp>2019-12-30</stp>
        <stp>1</stp>
        <tr r="G835" s="1"/>
      </tp>
      <tp>
        <v>-34.804630969999998</v>
        <stp/>
        <stp>EM_S_PQ_PCTCHANGE</stp>
        <stp>4</stp>
        <stp>600234</stp>
        <stp>2018-01-01</stp>
        <stp>2019-12-31</stp>
        <stp>3</stp>
        <tr r="F1543" s="1"/>
      </tp>
      <tp>
        <v>-15.69506726</v>
        <stp/>
        <stp>EM_S_PQ_PCTCHANGE</stp>
        <stp>4</stp>
        <stp>603025</stp>
        <stp>2018-12-31</stp>
        <stp>2019-12-30</stp>
        <stp>1</stp>
        <tr r="G2951" s="1"/>
      </tp>
      <tp>
        <v>166.30434783000001</v>
        <stp/>
        <stp>EM_S_PQ_PCTCHANGE</stp>
        <stp>4</stp>
        <stp>002045</stp>
        <stp>2018-12-31</stp>
        <stp>2019-12-30</stp>
        <stp>1</stp>
        <tr r="G63" s="1"/>
      </tp>
      <tp>
        <v>-9.4050799499999993</v>
        <stp/>
        <stp>EM_S_PQ_PCTCHANGE</stp>
        <stp>4</stp>
        <stp>002254</stp>
        <stp>2018-01-01</stp>
        <stp>2019-12-31</stp>
        <stp>3</stp>
        <tr r="F2504" s="1"/>
      </tp>
      <tp>
        <v>15.40469974</v>
        <stp/>
        <stp>EM_S_PQ_PCTCHANGE</stp>
        <stp>4</stp>
        <stp>300074</stp>
        <stp>2018-12-31</stp>
        <stp>2019-12-30</stp>
        <stp>1</stp>
        <tr r="G1462" s="1"/>
      </tp>
      <tp>
        <v>-13.816668079999999</v>
        <stp/>
        <stp>EM_S_PQ_PCTCHANGE</stp>
        <stp>4</stp>
        <stp>300265</stp>
        <stp>2018-01-01</stp>
        <stp>2019-12-31</stp>
        <stp>3</stp>
        <tr r="F2552" s="1"/>
      </tp>
      <tp>
        <v>-11.560301040000001</v>
        <stp/>
        <stp>EM_S_PQ_PCTCHANGE</stp>
        <stp>4</stp>
        <stp>600235</stp>
        <stp>2018-01-01</stp>
        <stp>2019-12-31</stp>
        <stp>3</stp>
        <tr r="F2924" s="1"/>
      </tp>
      <tp>
        <v>-2.5418060200000001</v>
        <stp/>
        <stp>EM_S_PQ_PCTCHANGE</stp>
        <stp>4</stp>
        <stp>002044</stp>
        <stp>2018-12-31</stp>
        <stp>2019-12-30</stp>
        <stp>1</stp>
        <tr r="G2450" s="1"/>
      </tp>
      <tp>
        <v>-52.245508979999997</v>
        <stp/>
        <stp>EM_S_PQ_PCTCHANGE</stp>
        <stp>4</stp>
        <stp>002255</stp>
        <stp>2018-01-01</stp>
        <stp>2019-12-31</stp>
        <stp>3</stp>
        <tr r="F3028" s="1"/>
      </tp>
      <tp>
        <v>-19.621109610000001</v>
        <stp/>
        <stp>EM_S_PQ_PCTCHANGE</stp>
        <stp>4</stp>
        <stp>300077</stp>
        <stp>2018-12-31</stp>
        <stp>2019-12-30</stp>
        <stp>1</stp>
        <tr r="G3056" s="1"/>
      </tp>
      <tp>
        <v>-80.448330609999999</v>
        <stp/>
        <stp>EM_S_PQ_PCTCHANGE</stp>
        <stp>4</stp>
        <stp>300266</stp>
        <stp>2018-01-01</stp>
        <stp>2019-12-31</stp>
        <stp>3</stp>
        <tr r="F2378" s="1"/>
      </tp>
      <tp>
        <v>-23.578947370000002</v>
        <stp/>
        <stp>EM_S_PQ_PCTCHANGE</stp>
        <stp>4</stp>
        <stp>600027</stp>
        <stp>2018-12-31</stp>
        <stp>2019-12-30</stp>
        <stp>1</stp>
        <tr r="G3124" s="1"/>
      </tp>
      <tp>
        <v>21.729087910000001</v>
        <stp/>
        <stp>EM_S_PQ_PCTCHANGE</stp>
        <stp>4</stp>
        <stp>600236</stp>
        <stp>2018-01-01</stp>
        <stp>2019-12-31</stp>
        <stp>3</stp>
        <tr r="F2882" s="1"/>
      </tp>
      <tp>
        <v>37.516254879999998</v>
        <stp/>
        <stp>EM_S_PQ_PCTCHANGE</stp>
        <stp>4</stp>
        <stp>603027</stp>
        <stp>2018-12-31</stp>
        <stp>2019-12-30</stp>
        <stp>1</stp>
        <tr r="G783" s="1"/>
      </tp>
      <tp>
        <v>-37.675104099999999</v>
        <stp/>
        <stp>EM_S_PQ_PCTCHANGE</stp>
        <stp>4</stp>
        <stp>002256</stp>
        <stp>2018-01-01</stp>
        <stp>2019-12-31</stp>
        <stp>3</stp>
        <tr r="F2915" s="1"/>
      </tp>
      <tp>
        <v>48.25</v>
        <stp/>
        <stp>EM_S_PQ_PCTCHANGE</stp>
        <stp>4</stp>
        <stp>300076</stp>
        <stp>2018-12-31</stp>
        <stp>2019-12-30</stp>
        <stp>1</stp>
        <tr r="G594" s="1"/>
      </tp>
      <tp>
        <v>-22.815567009999999</v>
        <stp/>
        <stp>EM_S_PQ_PCTCHANGE</stp>
        <stp>4</stp>
        <stp>300267</stp>
        <stp>2018-01-01</stp>
        <stp>2019-12-31</stp>
        <stp>3</stp>
        <tr r="F928" s="1"/>
      </tp>
      <tp>
        <v>41.666666669999998</v>
        <stp/>
        <stp>EM_S_PQ_PCTCHANGE</stp>
        <stp>4</stp>
        <stp>600026</stp>
        <stp>2018-12-31</stp>
        <stp>2019-12-30</stp>
        <stp>1</stp>
        <tr r="G703" s="1"/>
      </tp>
      <tp>
        <v>-34.572490709999997</v>
        <stp/>
        <stp>EM_S_PQ_PCTCHANGE</stp>
        <stp>4</stp>
        <stp>600237</stp>
        <stp>2018-01-01</stp>
        <stp>2019-12-31</stp>
        <stp>3</stp>
        <tr r="F1805" s="1"/>
      </tp>
      <tp>
        <v>85.492227979999996</v>
        <stp/>
        <stp>EM_S_PQ_PCTCHANGE</stp>
        <stp>4</stp>
        <stp>603026</stp>
        <stp>2018-12-31</stp>
        <stp>2019-12-30</stp>
        <stp>1</stp>
        <tr r="G220" s="1"/>
      </tp>
      <tp>
        <v>5.9842519699999999</v>
        <stp/>
        <stp>EM_S_PQ_PCTCHANGE</stp>
        <stp>4</stp>
        <stp>002046</stp>
        <stp>2018-12-31</stp>
        <stp>2019-12-30</stp>
        <stp>1</stp>
        <tr r="G1952" s="1"/>
      </tp>
      <tp>
        <v>0</v>
        <stp/>
        <stp>EM_S_PQ_PCTCHANGE</stp>
        <stp>4</stp>
        <stp>002257</stp>
        <stp>2018-01-01</stp>
        <stp>2019-12-31</stp>
        <stp>3</stp>
        <tr r="F5" s="1"/>
      </tp>
      <tp>
        <v>-36.490102139999998</v>
        <stp/>
        <stp>EM_S_PQ_PCTCHANGE</stp>
        <stp>4</stp>
        <stp>601228</stp>
        <stp>2018-01-01</stp>
        <stp>2019-12-31</stp>
        <stp>3</stp>
        <tr r="F2498" s="1"/>
      </tp>
      <tp>
        <v>76.28541448</v>
        <stp/>
        <stp>EM_S_PQ_PCTCHANGE</stp>
        <stp>4</stp>
        <stp>300069</stp>
        <stp>2018-12-31</stp>
        <stp>2019-12-30</stp>
        <stp>1</stp>
        <tr r="G270" s="1"/>
      </tp>
      <tp>
        <v>-74.941588789999997</v>
        <stp/>
        <stp>EM_S_PQ_PCTCHANGE</stp>
        <stp>4</stp>
        <stp>300278</stp>
        <stp>2018-01-01</stp>
        <stp>2019-12-31</stp>
        <stp>3</stp>
        <tr r="F3145" s="1"/>
      </tp>
      <tp>
        <v>0.30487805000000001</v>
        <stp/>
        <stp>EM_S_PQ_PCTCHANGE</stp>
        <stp>4</stp>
        <stp>600039</stp>
        <stp>2018-12-31</stp>
        <stp>2019-12-30</stp>
        <stp>1</stp>
        <tr r="G2260" s="1"/>
      </tp>
      <tp>
        <v>-44.74845543</v>
        <stp/>
        <stp>EM_S_PQ_PCTCHANGE</stp>
        <stp>4</stp>
        <stp>600228</stp>
        <stp>2018-01-01</stp>
        <stp>2019-12-31</stp>
        <stp>3</stp>
        <tr r="F3169" s="1"/>
      </tp>
      <tp>
        <v>-23.762102349999999</v>
        <stp/>
        <stp>EM_S_PQ_PCTCHANGE</stp>
        <stp>4</stp>
        <stp>603039</stp>
        <stp>2018-12-31</stp>
        <stp>2019-12-30</stp>
        <stp>1</stp>
        <tr r="G3129" s="1"/>
      </tp>
      <tp>
        <v>16.83597172</v>
        <stp/>
        <stp>EM_S_PQ_PCTCHANGE</stp>
        <stp>4</stp>
        <stp>603228</stp>
        <stp>2018-01-01</stp>
        <stp>2019-12-31</stp>
        <stp>3</stp>
        <tr r="F2805" s="1"/>
      </tp>
      <tp>
        <v>-4.06189555</v>
        <stp/>
        <stp>EM_S_PQ_PCTCHANGE</stp>
        <stp>4</stp>
        <stp>002059</stp>
        <stp>2018-12-31</stp>
        <stp>2019-12-30</stp>
        <stp>1</stp>
        <tr r="G2514" s="1"/>
      </tp>
      <tp>
        <v>-7.4679113199999998</v>
        <stp/>
        <stp>EM_S_PQ_PCTCHANGE</stp>
        <stp>4</stp>
        <stp>002248</stp>
        <stp>2018-01-01</stp>
        <stp>2019-12-31</stp>
        <stp>3</stp>
        <tr r="F2746" s="1"/>
      </tp>
      <tp>
        <v>45.0617284</v>
        <stp/>
        <stp>EM_S_PQ_PCTCHANGE</stp>
        <stp>4</stp>
        <stp>601038</stp>
        <stp>2018-12-31</stp>
        <stp>2019-12-30</stp>
        <stp>1</stp>
        <tr r="G646" s="1"/>
      </tp>
      <tp>
        <v>30.68519371</v>
        <stp/>
        <stp>EM_S_PQ_PCTCHANGE</stp>
        <stp>4</stp>
        <stp>601229</stp>
        <stp>2018-01-01</stp>
        <stp>2019-12-31</stp>
        <stp>3</stp>
        <tr r="F2929" s="1"/>
      </tp>
      <tp>
        <v>-23.769338959999999</v>
        <stp/>
        <stp>EM_S_PQ_PCTCHANGE</stp>
        <stp>4</stp>
        <stp>300068</stp>
        <stp>2018-12-31</stp>
        <stp>2019-12-30</stp>
        <stp>1</stp>
        <tr r="G3130" s="1"/>
      </tp>
      <tp>
        <v>-52.322534109999999</v>
        <stp/>
        <stp>EM_S_PQ_PCTCHANGE</stp>
        <stp>4</stp>
        <stp>300279</stp>
        <stp>2018-01-01</stp>
        <stp>2019-12-31</stp>
        <stp>3</stp>
        <tr r="F1022" s="1"/>
      </tp>
      <tp>
        <v>26.472162740000002</v>
        <stp/>
        <stp>EM_S_PQ_PCTCHANGE</stp>
        <stp>4</stp>
        <stp>600038</stp>
        <stp>2018-12-31</stp>
        <stp>2019-12-30</stp>
        <stp>1</stp>
        <tr r="G1039" s="1"/>
      </tp>
      <tp>
        <v>-3.1372019500000001</v>
        <stp/>
        <stp>EM_S_PQ_PCTCHANGE</stp>
        <stp>4</stp>
        <stp>600229</stp>
        <stp>2018-01-01</stp>
        <stp>2019-12-31</stp>
        <stp>3</stp>
        <tr r="F2004" s="1"/>
      </tp>
      <tp>
        <v>-12.10843373</v>
        <stp/>
        <stp>EM_S_PQ_PCTCHANGE</stp>
        <stp>4</stp>
        <stp>603038</stp>
        <stp>2018-12-31</stp>
        <stp>2019-12-30</stp>
        <stp>1</stp>
        <tr r="G2833" s="1"/>
      </tp>
      <tp>
        <v>20.20274071</v>
        <stp/>
        <stp>EM_S_PQ_PCTCHANGE</stp>
        <stp>4</stp>
        <stp>603229</stp>
        <stp>2018-01-01</stp>
        <stp>2019-12-31</stp>
        <stp>3</stp>
        <tr r="F274" s="1"/>
      </tp>
      <tp>
        <v>71.073094870000006</v>
        <stp/>
        <stp>EM_S_PQ_PCTCHANGE</stp>
        <stp>4</stp>
        <stp>002058</stp>
        <stp>2018-12-31</stp>
        <stp>2019-12-30</stp>
        <stp>1</stp>
        <tr r="G306" s="1"/>
      </tp>
      <tp>
        <v>-43.425324439999997</v>
        <stp/>
        <stp>EM_S_PQ_PCTCHANGE</stp>
        <stp>4</stp>
        <stp>002249</stp>
        <stp>2018-01-01</stp>
        <stp>2019-12-31</stp>
        <stp>3</stp>
        <tr r="F1320" s="1"/>
      </tp>
      <tp>
        <v>7.8991596599999996</v>
        <stp/>
        <stp>EM_S_PQ_PCTCHANGE</stp>
        <stp>4</stp>
        <stp>300061</stp>
        <stp>2018-12-31</stp>
        <stp>2019-12-30</stp>
        <stp>1</stp>
        <tr r="G1862" s="1"/>
      </tp>
      <tp>
        <v>-37.405447080000002</v>
        <stp/>
        <stp>EM_S_PQ_PCTCHANGE</stp>
        <stp>4</stp>
        <stp>300270</stp>
        <stp>2018-01-01</stp>
        <stp>2019-12-31</stp>
        <stp>3</stp>
        <tr r="F966" s="1"/>
      </tp>
      <tp>
        <v>-24.613609919999998</v>
        <stp/>
        <stp>EM_S_PQ_PCTCHANGE</stp>
        <stp>4</stp>
        <stp>600220</stp>
        <stp>2018-01-01</stp>
        <stp>2019-12-31</stp>
        <stp>3</stp>
        <tr r="F1873" s="1"/>
      </tp>
      <tp>
        <v>84.272497900000005</v>
        <stp/>
        <stp>EM_S_PQ_PCTCHANGE</stp>
        <stp>4</stp>
        <stp>603031</stp>
        <stp>2018-12-31</stp>
        <stp>2019-12-30</stp>
        <stp>1</stp>
        <tr r="G225" s="1"/>
      </tp>
      <tp>
        <v>-46.3562753</v>
        <stp/>
        <stp>EM_S_PQ_PCTCHANGE</stp>
        <stp>4</stp>
        <stp>002240</stp>
        <stp>2018-01-01</stp>
        <stp>2019-12-31</stp>
        <stp>3</stp>
        <tr r="F1935" s="1"/>
      </tp>
      <tp>
        <v>71.766327059999995</v>
        <stp/>
        <stp>EM_S_PQ_PCTCHANGE</stp>
        <stp>4</stp>
        <stp>300271</stp>
        <stp>2018-01-01</stp>
        <stp>2019-12-31</stp>
        <stp>3</stp>
        <tr r="F312" s="1"/>
      </tp>
      <tp>
        <v>60.274828229999997</v>
        <stp/>
        <stp>EM_S_PQ_PCTCHANGE</stp>
        <stp>4</stp>
        <stp>600030</stp>
        <stp>2018-12-31</stp>
        <stp>2019-12-30</stp>
        <stp>1</stp>
        <tr r="G423" s="1"/>
      </tp>
      <tp>
        <v>-45.432223159999999</v>
        <stp/>
        <stp>EM_S_PQ_PCTCHANGE</stp>
        <stp>4</stp>
        <stp>600221</stp>
        <stp>2018-01-01</stp>
        <stp>2019-12-31</stp>
        <stp>3</stp>
        <tr r="F2679" s="1"/>
      </tp>
      <tp>
        <v>13.725490199999999</v>
        <stp/>
        <stp>EM_S_PQ_PCTCHANGE</stp>
        <stp>4</stp>
        <stp>603030</stp>
        <stp>2018-12-31</stp>
        <stp>2019-12-30</stp>
        <stp>1</stp>
        <tr r="G1545" s="1"/>
      </tp>
      <tp>
        <v>37.037037040000001</v>
        <stp/>
        <stp>EM_S_PQ_PCTCHANGE</stp>
        <stp>4</stp>
        <stp>002050</stp>
        <stp>2018-12-31</stp>
        <stp>2019-12-30</stp>
        <stp>1</stp>
        <tr r="G791" s="1"/>
      </tp>
      <tp>
        <v>17.147478570000001</v>
        <stp/>
        <stp>EM_S_PQ_PCTCHANGE</stp>
        <stp>4</stp>
        <stp>002241</stp>
        <stp>2018-01-01</stp>
        <stp>2019-12-31</stp>
        <stp>3</stp>
        <tr r="F52" s="1"/>
      </tp>
      <tp>
        <v>-49.823761730000001</v>
        <stp/>
        <stp>EM_S_PQ_PCTCHANGE</stp>
        <stp>4</stp>
        <stp>601222</stp>
        <stp>2018-01-01</stp>
        <stp>2019-12-31</stp>
        <stp>3</stp>
        <tr r="F2421" s="1"/>
      </tp>
      <tp>
        <v>-8.4084084099999998</v>
        <stp/>
        <stp>EM_S_PQ_PCTCHANGE</stp>
        <stp>4</stp>
        <stp>300063</stp>
        <stp>2018-12-31</stp>
        <stp>2019-12-30</stp>
        <stp>1</stp>
        <tr r="G2700" s="1"/>
      </tp>
      <tp>
        <v>-20.42713882</v>
        <stp/>
        <stp>EM_S_PQ_PCTCHANGE</stp>
        <stp>4</stp>
        <stp>300272</stp>
        <stp>2018-01-01</stp>
        <stp>2019-12-31</stp>
        <stp>3</stp>
        <tr r="F3189" s="1"/>
      </tp>
      <tp>
        <v>3.0303030299999998</v>
        <stp/>
        <stp>EM_S_PQ_PCTCHANGE</stp>
        <stp>4</stp>
        <stp>600033</stp>
        <stp>2018-12-31</stp>
        <stp>2019-12-30</stp>
        <stp>1</stp>
        <tr r="G2105" s="1"/>
      </tp>
      <tp>
        <v>-13.93687862</v>
        <stp/>
        <stp>EM_S_PQ_PCTCHANGE</stp>
        <stp>4</stp>
        <stp>600222</stp>
        <stp>2018-01-01</stp>
        <stp>2019-12-31</stp>
        <stp>3</stp>
        <tr r="F1015" s="1"/>
      </tp>
      <tp>
        <v>-5.0847457599999997</v>
        <stp/>
        <stp>EM_S_PQ_PCTCHANGE</stp>
        <stp>4</stp>
        <stp>603033</stp>
        <stp>2018-12-31</stp>
        <stp>2019-12-30</stp>
        <stp>1</stp>
        <tr r="G2572" s="1"/>
      </tp>
      <tp>
        <v>274.44147598000001</v>
        <stp/>
        <stp>EM_S_PQ_PCTCHANGE</stp>
        <stp>4</stp>
        <stp>603222</stp>
        <stp>2018-01-01</stp>
        <stp>2019-12-31</stp>
        <stp>3</stp>
        <tr r="F29" s="1"/>
      </tp>
      <tp>
        <v>64.573690290000002</v>
        <stp/>
        <stp>EM_S_PQ_PCTCHANGE</stp>
        <stp>4</stp>
        <stp>002242</stp>
        <stp>2018-01-01</stp>
        <stp>2019-12-31</stp>
        <stp>3</stp>
        <tr r="F504" s="1"/>
      </tp>
      <tp>
        <v>9.3877550999999997</v>
        <stp/>
        <stp>EM_S_PQ_PCTCHANGE</stp>
        <stp>4</stp>
        <stp>300062</stp>
        <stp>2018-12-31</stp>
        <stp>2019-12-30</stp>
        <stp>1</stp>
        <tr r="G1772" s="1"/>
      </tp>
      <tp>
        <v>-44.689225589999999</v>
        <stp/>
        <stp>EM_S_PQ_PCTCHANGE</stp>
        <stp>4</stp>
        <stp>300273</stp>
        <stp>2018-01-01</stp>
        <stp>2019-12-31</stp>
        <stp>3</stp>
        <tr r="F1936" s="1"/>
      </tp>
      <tp>
        <v>120.88028905</v>
        <stp/>
        <stp>EM_S_PQ_PCTCHANGE</stp>
        <stp>4</stp>
        <stp>600223</stp>
        <stp>2018-01-01</stp>
        <stp>2019-12-31</stp>
        <stp>3</stp>
        <tr r="F86" s="1"/>
      </tp>
      <tp>
        <v>-23.071577479999998</v>
        <stp/>
        <stp>EM_S_PQ_PCTCHANGE</stp>
        <stp>4</stp>
        <stp>603032</stp>
        <stp>2018-12-31</stp>
        <stp>2019-12-30</stp>
        <stp>1</stp>
        <tr r="G3116" s="1"/>
      </tp>
      <tp>
        <v>-47.779731890000001</v>
        <stp/>
        <stp>EM_S_PQ_PCTCHANGE</stp>
        <stp>4</stp>
        <stp>603223</stp>
        <stp>2018-01-01</stp>
        <stp>2019-12-31</stp>
        <stp>3</stp>
        <tr r="F3307" s="1"/>
      </tp>
      <tp>
        <v>89.777225430000001</v>
        <stp/>
        <stp>EM_S_PQ_PCTCHANGE</stp>
        <stp>4</stp>
        <stp>002243</stp>
        <stp>2018-01-01</stp>
        <stp>2019-12-31</stp>
        <stp>3</stp>
        <tr r="F1825" s="1"/>
      </tp>
      <tp>
        <v>18.688845400000002</v>
        <stp/>
        <stp>EM_S_PQ_PCTCHANGE</stp>
        <stp>4</stp>
        <stp>300065</stp>
        <stp>2018-12-31</stp>
        <stp>2019-12-30</stp>
        <stp>1</stp>
        <tr r="G1337" s="1"/>
      </tp>
      <tp>
        <v>-43.109535469999997</v>
        <stp/>
        <stp>EM_S_PQ_PCTCHANGE</stp>
        <stp>4</stp>
        <stp>300274</stp>
        <stp>2018-01-01</stp>
        <stp>2019-12-31</stp>
        <stp>3</stp>
        <tr r="F1283" s="1"/>
      </tp>
      <tp>
        <v>15.59322034</v>
        <stp/>
        <stp>EM_S_PQ_PCTCHANGE</stp>
        <stp>4</stp>
        <stp>600035</stp>
        <stp>2018-12-31</stp>
        <stp>2019-12-30</stp>
        <stp>1</stp>
        <tr r="G1452" s="1"/>
      </tp>
      <tp>
        <v>6.6942148799999996</v>
        <stp/>
        <stp>EM_S_PQ_PCTCHANGE</stp>
        <stp>4</stp>
        <stp>603035</stp>
        <stp>2018-12-31</stp>
        <stp>2019-12-30</stp>
        <stp>1</stp>
        <tr r="G1913" s="1"/>
      </tp>
      <tp>
        <v>11.27197518</v>
        <stp/>
        <stp>EM_S_PQ_PCTCHANGE</stp>
        <stp>4</stp>
        <stp>002055</stp>
        <stp>2018-12-31</stp>
        <stp>2019-12-30</stp>
        <stp>1</stp>
        <tr r="G1666" s="1"/>
      </tp>
      <tp>
        <v>-36.49941381</v>
        <stp/>
        <stp>EM_S_PQ_PCTCHANGE</stp>
        <stp>4</stp>
        <stp>002244</stp>
        <stp>2018-01-01</stp>
        <stp>2019-12-31</stp>
        <stp>3</stp>
        <tr r="F1120" s="1"/>
      </tp>
      <tp>
        <v>20.586236499999998</v>
        <stp/>
        <stp>EM_S_PQ_PCTCHANGE</stp>
        <stp>4</stp>
        <stp>601225</stp>
        <stp>2018-01-01</stp>
        <stp>2019-12-31</stp>
        <stp>3</stp>
        <tr r="F1210" s="1"/>
      </tp>
      <tp>
        <v>-26.23318386</v>
        <stp/>
        <stp>EM_S_PQ_PCTCHANGE</stp>
        <stp>4</stp>
        <stp>300064</stp>
        <stp>2018-12-31</stp>
        <stp>2019-12-30</stp>
        <stp>1</stp>
        <tr r="G3172" s="1"/>
      </tp>
      <tp>
        <v>-12.136266859999999</v>
        <stp/>
        <stp>EM_S_PQ_PCTCHANGE</stp>
        <stp>4</stp>
        <stp>300275</stp>
        <stp>2018-01-01</stp>
        <stp>2019-12-31</stp>
        <stp>3</stp>
        <tr r="F386" s="1"/>
      </tp>
      <tp>
        <v>-41.15308151</v>
        <stp/>
        <stp>EM_S_PQ_PCTCHANGE</stp>
        <stp>4</stp>
        <stp>600225</stp>
        <stp>2018-01-01</stp>
        <stp>2019-12-31</stp>
        <stp>3</stp>
        <tr r="F2872" s="1"/>
      </tp>
      <tp>
        <v>-31.301293309999998</v>
        <stp/>
        <stp>EM_S_PQ_PCTCHANGE</stp>
        <stp>4</stp>
        <stp>603225</stp>
        <stp>2018-01-01</stp>
        <stp>2019-12-31</stp>
        <stp>3</stp>
        <tr r="F3262" s="1"/>
      </tp>
      <tp>
        <v>-59.788683380000002</v>
        <stp/>
        <stp>EM_S_PQ_PCTCHANGE</stp>
        <stp>4</stp>
        <stp>002245</stp>
        <stp>2018-01-01</stp>
        <stp>2019-12-31</stp>
        <stp>3</stp>
        <tr r="F2022" s="1"/>
      </tp>
      <tp>
        <v>-21.830243979999999</v>
        <stp/>
        <stp>EM_S_PQ_PCTCHANGE</stp>
        <stp>4</stp>
        <stp>601226</stp>
        <stp>2018-01-01</stp>
        <stp>2019-12-31</stp>
        <stp>3</stp>
        <tr r="F1486" s="1"/>
      </tp>
      <tp>
        <v>-13.93939394</v>
        <stp/>
        <stp>EM_S_PQ_PCTCHANGE</stp>
        <stp>4</stp>
        <stp>300067</stp>
        <stp>2018-12-31</stp>
        <stp>2019-12-30</stp>
        <stp>1</stp>
        <tr r="G2899" s="1"/>
      </tp>
      <tp>
        <v>-2.7875961399999998</v>
        <stp/>
        <stp>EM_S_PQ_PCTCHANGE</stp>
        <stp>4</stp>
        <stp>300276</stp>
        <stp>2018-01-01</stp>
        <stp>2019-12-31</stp>
        <stp>3</stp>
        <tr r="F3092" s="1"/>
      </tp>
      <tp>
        <v>4.5401629799999998</v>
        <stp/>
        <stp>EM_S_PQ_PCTCHANGE</stp>
        <stp>4</stp>
        <stp>600037</stp>
        <stp>2018-12-31</stp>
        <stp>2019-12-30</stp>
        <stp>1</stp>
        <tr r="G2030" s="1"/>
      </tp>
      <tp>
        <v>-30.681286839999999</v>
        <stp/>
        <stp>EM_S_PQ_PCTCHANGE</stp>
        <stp>4</stp>
        <stp>600226</stp>
        <stp>2018-01-01</stp>
        <stp>2019-12-31</stp>
        <stp>3</stp>
        <tr r="F1718" s="1"/>
      </tp>
      <tp>
        <v>-2.5139664800000001</v>
        <stp/>
        <stp>EM_S_PQ_PCTCHANGE</stp>
        <stp>4</stp>
        <stp>603037</stp>
        <stp>2018-12-31</stp>
        <stp>2019-12-30</stp>
        <stp>1</stp>
        <tr r="G2448" s="1"/>
      </tp>
      <tp>
        <v>9.6205469099999998</v>
        <stp/>
        <stp>EM_S_PQ_PCTCHANGE</stp>
        <stp>4</stp>
        <stp>603226</stp>
        <stp>2018-01-01</stp>
        <stp>2019-12-31</stp>
        <stp>3</stp>
        <tr r="F1365" s="1"/>
      </tp>
      <tp>
        <v>56.701030930000002</v>
        <stp/>
        <stp>EM_S_PQ_PCTCHANGE</stp>
        <stp>4</stp>
        <stp>002057</stp>
        <stp>2018-12-31</stp>
        <stp>2019-12-30</stp>
        <stp>1</stp>
        <tr r="G460" s="1"/>
      </tp>
      <tp>
        <v>-38.772955469999999</v>
        <stp/>
        <stp>EM_S_PQ_PCTCHANGE</stp>
        <stp>4</stp>
        <stp>002246</stp>
        <stp>2018-01-01</stp>
        <stp>2019-12-31</stp>
        <stp>3</stp>
        <tr r="F1557" s="1"/>
      </tp>
      <tp>
        <v>-11.83932347</v>
        <stp/>
        <stp>EM_S_PQ_PCTCHANGE</stp>
        <stp>4</stp>
        <stp>000056</stp>
        <stp>2018-12-31</stp>
        <stp>2019-12-30</stp>
        <stp>1</stp>
        <tr r="G2827" s="1"/>
      </tp>
      <tp>
        <v>41.265060239999997</v>
        <stp/>
        <stp>EM_S_PQ_PCTCHANGE</stp>
        <stp>4</stp>
        <stp>300066</stp>
        <stp>2018-12-31</stp>
        <stp>2019-12-30</stp>
        <stp>1</stp>
        <tr r="G710" s="1"/>
      </tp>
      <tp>
        <v>16.334797170000002</v>
        <stp/>
        <stp>EM_S_PQ_PCTCHANGE</stp>
        <stp>4</stp>
        <stp>300277</stp>
        <stp>2018-01-01</stp>
        <stp>2019-12-31</stp>
        <stp>3</stp>
        <tr r="F492" s="1"/>
      </tp>
      <tp>
        <v>50.119047620000003</v>
        <stp/>
        <stp>EM_S_PQ_PCTCHANGE</stp>
        <stp>4</stp>
        <stp>600036</stp>
        <stp>2018-12-31</stp>
        <stp>2019-12-30</stp>
        <stp>1</stp>
        <tr r="G562" s="1"/>
      </tp>
      <tp>
        <v>-64.598025390000004</v>
        <stp/>
        <stp>EM_S_PQ_PCTCHANGE</stp>
        <stp>4</stp>
        <stp>600227</stp>
        <stp>2018-01-01</stp>
        <stp>2019-12-31</stp>
        <stp>3</stp>
        <tr r="F2732" s="1"/>
      </tp>
      <tp>
        <v>-6.8811438799999998</v>
        <stp/>
        <stp>EM_S_PQ_PCTCHANGE</stp>
        <stp>4</stp>
        <stp>603036</stp>
        <stp>2018-12-31</stp>
        <stp>2019-12-30</stp>
        <stp>1</stp>
        <tr r="G2651" s="1"/>
      </tp>
      <tp>
        <v>-17.982547969999999</v>
        <stp/>
        <stp>EM_S_PQ_PCTCHANGE</stp>
        <stp>4</stp>
        <stp>603227</stp>
        <stp>2018-01-01</stp>
        <stp>2019-12-31</stp>
        <stp>3</stp>
        <tr r="F1007" s="1"/>
      </tp>
      <tp>
        <v>50.632911389999997</v>
        <stp/>
        <stp>EM_S_PQ_PCTCHANGE</stp>
        <stp>4</stp>
        <stp>002056</stp>
        <stp>2018-12-31</stp>
        <stp>2019-12-30</stp>
        <stp>1</stp>
        <tr r="G553" s="1"/>
      </tp>
      <tp>
        <v>-78.90051004</v>
        <stp/>
        <stp>EM_S_PQ_PCTCHANGE</stp>
        <stp>4</stp>
        <stp>002247</stp>
        <stp>2018-01-01</stp>
        <stp>2019-12-31</stp>
        <stp>3</stp>
        <tr r="F3301" s="1"/>
      </tp>
      <tp>
        <v>35.448916410000002</v>
        <stp/>
        <stp>EM_S_PQ_PCTCHANGE</stp>
        <stp>4</stp>
        <stp>601009</stp>
        <stp>2018-12-31</stp>
        <stp>2019-12-30</stp>
        <stp>1</stp>
        <tr r="G813" s="1"/>
      </tp>
      <tp>
        <v>-19.933568730000001</v>
        <stp/>
        <stp>EM_S_PQ_PCTCHANGE</stp>
        <stp>4</stp>
        <stp>601218</stp>
        <stp>2018-01-01</stp>
        <stp>2019-12-31</stp>
        <stp>3</stp>
        <tr r="F1106" s="1"/>
      </tp>
      <tp>
        <v>30.49586777</v>
        <stp/>
        <stp>EM_S_PQ_PCTCHANGE</stp>
        <stp>4</stp>
        <stp>300059</stp>
        <stp>2018-12-31</stp>
        <stp>2019-12-30</stp>
        <stp>1</stp>
        <tr r="G916" s="1"/>
      </tp>
      <tp>
        <v>-6.6048414099999997</v>
        <stp/>
        <stp>EM_S_PQ_PCTCHANGE</stp>
        <stp>4</stp>
        <stp>300248</stp>
        <stp>2018-01-01</stp>
        <stp>2019-12-31</stp>
        <stp>3</stp>
        <tr r="F1276" s="1"/>
      </tp>
      <tp>
        <v>53.388494880000003</v>
        <stp/>
        <stp>EM_S_PQ_PCTCHANGE</stp>
        <stp>4</stp>
        <stp>600009</stp>
        <stp>2018-12-31</stp>
        <stp>2019-12-30</stp>
        <stp>1</stp>
        <tr r="G511" s="1"/>
      </tp>
      <tp>
        <v>58.654722800000002</v>
        <stp/>
        <stp>EM_S_PQ_PCTCHANGE</stp>
        <stp>4</stp>
        <stp>600218</stp>
        <stp>2018-01-01</stp>
        <stp>2019-12-31</stp>
        <stp>3</stp>
        <tr r="F83" s="1"/>
      </tp>
      <tp>
        <v>7.5993091499999998</v>
        <stp/>
        <stp>EM_S_PQ_PCTCHANGE</stp>
        <stp>4</stp>
        <stp>603009</stp>
        <stp>2018-12-31</stp>
        <stp>2019-12-30</stp>
        <stp>1</stp>
        <tr r="G1875" s="1"/>
      </tp>
      <tp>
        <v>23.178049640000001</v>
        <stp/>
        <stp>EM_S_PQ_PCTCHANGE</stp>
        <stp>4</stp>
        <stp>603218</stp>
        <stp>2018-01-01</stp>
        <stp>2019-12-31</stp>
        <stp>3</stp>
        <tr r="F1213" s="1"/>
      </tp>
      <tp>
        <v>-55.744248990000003</v>
        <stp/>
        <stp>EM_S_PQ_PCTCHANGE</stp>
        <stp>4</stp>
        <stp>002278</stp>
        <stp>2018-01-01</stp>
        <stp>2019-12-31</stp>
        <stp>3</stp>
        <tr r="F2576" s="1"/>
      </tp>
      <tp>
        <v>25.816993459999999</v>
        <stp/>
        <stp>EM_S_PQ_PCTCHANGE</stp>
        <stp>4</stp>
        <stp>601008</stp>
        <stp>2018-12-31</stp>
        <stp>2019-12-30</stp>
        <stp>1</stp>
        <tr r="G1067" s="1"/>
      </tp>
      <tp>
        <v>32.488479259999998</v>
        <stp/>
        <stp>EM_S_PQ_PCTCHANGE</stp>
        <stp>4</stp>
        <stp>300058</stp>
        <stp>2018-12-31</stp>
        <stp>2019-12-30</stp>
        <stp>1</stp>
        <tr r="G873" s="1"/>
      </tp>
      <tp>
        <v>-18.2904281</v>
        <stp/>
        <stp>EM_S_PQ_PCTCHANGE</stp>
        <stp>4</stp>
        <stp>300249</stp>
        <stp>2018-01-01</stp>
        <stp>2019-12-31</stp>
        <stp>3</stp>
        <tr r="F2557" s="1"/>
      </tp>
      <tp>
        <v>-4.6647230300000002</v>
        <stp/>
        <stp>EM_S_PQ_PCTCHANGE</stp>
        <stp>4</stp>
        <stp>600008</stp>
        <stp>2018-12-31</stp>
        <stp>2019-12-30</stp>
        <stp>1</stp>
        <tr r="G2550" s="1"/>
      </tp>
      <tp>
        <v>-30.84241716</v>
        <stp/>
        <stp>EM_S_PQ_PCTCHANGE</stp>
        <stp>4</stp>
        <stp>600219</stp>
        <stp>2018-01-01</stp>
        <stp>2019-12-31</stp>
        <stp>3</stp>
        <tr r="F1916" s="1"/>
      </tp>
      <tp>
        <v>64.425162689999993</v>
        <stp/>
        <stp>EM_S_PQ_PCTCHANGE</stp>
        <stp>4</stp>
        <stp>603008</stp>
        <stp>2018-12-31</stp>
        <stp>2019-12-30</stp>
        <stp>1</stp>
        <tr r="G376" s="1"/>
      </tp>
      <tp>
        <v>-18.47457627</v>
        <stp/>
        <stp>EM_S_PQ_PCTCHANGE</stp>
        <stp>4</stp>
        <stp>002068</stp>
        <stp>2018-12-31</stp>
        <stp>2019-12-30</stp>
        <stp>1</stp>
        <tr r="G3034" s="1"/>
      </tp>
      <tp>
        <v>-40.893088640000002</v>
        <stp/>
        <stp>EM_S_PQ_PCTCHANGE</stp>
        <stp>4</stp>
        <stp>002279</stp>
        <stp>2018-01-01</stp>
        <stp>2019-12-31</stp>
        <stp>3</stp>
        <tr r="F2897" s="1"/>
      </tp>
      <tp>
        <v>1.8735363</v>
        <stp/>
        <stp>EM_S_PQ_PCTCHANGE</stp>
        <stp>4</stp>
        <stp>601001</stp>
        <stp>2018-12-31</stp>
        <stp>2019-12-30</stp>
        <stp>1</stp>
        <tr r="G2169" s="1"/>
      </tp>
      <tp>
        <v>4.75382003</v>
        <stp/>
        <stp>EM_S_PQ_PCTCHANGE</stp>
        <stp>4</stp>
        <stp>300051</stp>
        <stp>2018-12-31</stp>
        <stp>2019-12-30</stp>
        <stp>1</stp>
        <tr r="G2016" s="1"/>
      </tp>
      <tp>
        <v>-40.636262189999997</v>
        <stp/>
        <stp>EM_S_PQ_PCTCHANGE</stp>
        <stp>4</stp>
        <stp>300240</stp>
        <stp>2018-01-01</stp>
        <stp>2019-12-31</stp>
        <stp>3</stp>
        <tr r="F2840" s="1"/>
      </tp>
      <tp>
        <v>0</v>
        <stp/>
        <stp>EM_S_PQ_PCTCHANGE</stp>
        <stp>4</stp>
        <stp>600001</stp>
        <stp>2018-12-31</stp>
        <stp>2019-12-30</stp>
        <stp>1</stp>
        <tr r="G2285" s="1"/>
      </tp>
      <tp>
        <v>-14.0611771</v>
        <stp/>
        <stp>EM_S_PQ_PCTCHANGE</stp>
        <stp>4</stp>
        <stp>600210</stp>
        <stp>2018-01-01</stp>
        <stp>2019-12-31</stp>
        <stp>3</stp>
        <tr r="F2091" s="1"/>
      </tp>
      <tp>
        <v>-10.880316519999999</v>
        <stp/>
        <stp>EM_S_PQ_PCTCHANGE</stp>
        <stp>4</stp>
        <stp>603001</stp>
        <stp>2018-12-31</stp>
        <stp>2019-12-30</stp>
        <stp>1</stp>
        <tr r="G2795" s="1"/>
      </tp>
      <tp>
        <v>-43.524829599999997</v>
        <stp/>
        <stp>EM_S_PQ_PCTCHANGE</stp>
        <stp>4</stp>
        <stp>002061</stp>
        <stp>2018-12-31</stp>
        <stp>2019-12-30</stp>
        <stp>1</stp>
        <tr r="G3337" s="1"/>
      </tp>
      <tp>
        <v>-19.62662559</v>
        <stp/>
        <stp>EM_S_PQ_PCTCHANGE</stp>
        <stp>4</stp>
        <stp>002270</stp>
        <stp>2018-01-01</stp>
        <stp>2019-12-31</stp>
        <stp>3</stp>
        <tr r="F2017" s="1"/>
      </tp>
      <tp>
        <v>8.40336134</v>
        <stp/>
        <stp>EM_S_PQ_PCTCHANGE</stp>
        <stp>4</stp>
        <stp>601000</stp>
        <stp>2018-12-31</stp>
        <stp>2019-12-30</stp>
        <stp>1</stp>
        <tr r="G1833" s="1"/>
      </tp>
      <tp>
        <v>4.29616723</v>
        <stp/>
        <stp>EM_S_PQ_PCTCHANGE</stp>
        <stp>4</stp>
        <stp>601211</stp>
        <stp>2018-01-01</stp>
        <stp>2019-12-31</stp>
        <stp>3</stp>
        <tr r="F1188" s="1"/>
      </tp>
      <tp>
        <v>-6.9243156199999998</v>
        <stp/>
        <stp>EM_S_PQ_PCTCHANGE</stp>
        <stp>4</stp>
        <stp>300050</stp>
        <stp>2018-12-31</stp>
        <stp>2019-12-30</stp>
        <stp>1</stp>
        <tr r="G2656" s="1"/>
      </tp>
      <tp>
        <v>-26.220534799999999</v>
        <stp/>
        <stp>EM_S_PQ_PCTCHANGE</stp>
        <stp>4</stp>
        <stp>300241</stp>
        <stp>2018-01-01</stp>
        <stp>2019-12-31</stp>
        <stp>3</stp>
        <tr r="F679" s="1"/>
      </tp>
      <tp>
        <v>25.91836735</v>
        <stp/>
        <stp>EM_S_PQ_PCTCHANGE</stp>
        <stp>4</stp>
        <stp>600000</stp>
        <stp>2018-12-31</stp>
        <stp>2019-12-30</stp>
        <stp>1</stp>
        <tr r="G1062" s="1"/>
      </tp>
      <tp>
        <v>-2.8764331799999998</v>
        <stp/>
        <stp>EM_S_PQ_PCTCHANGE</stp>
        <stp>4</stp>
        <stp>600211</stp>
        <stp>2018-01-01</stp>
        <stp>2019-12-31</stp>
        <stp>3</stp>
        <tr r="F1937" s="1"/>
      </tp>
      <tp>
        <v>106.26306725000001</v>
        <stp/>
        <stp>EM_S_PQ_PCTCHANGE</stp>
        <stp>4</stp>
        <stp>002271</stp>
        <stp>2019-01-01</stp>
        <stp>2019-12-31</stp>
        <stp>3</stp>
        <tr r="G152" s="1"/>
      </tp>
      <tp>
        <v>171.23287671</v>
        <stp/>
        <stp>EM_S_PQ_PCTCHANGE</stp>
        <stp>4</stp>
        <stp>603000</stp>
        <stp>2018-12-31</stp>
        <stp>2019-12-30</stp>
        <stp>1</stp>
        <tr r="G61" s="1"/>
      </tp>
      <tp>
        <v>11.02941176</v>
        <stp/>
        <stp>EM_S_PQ_PCTCHANGE</stp>
        <stp>4</stp>
        <stp>002060</stp>
        <stp>2018-12-31</stp>
        <stp>2019-12-30</stp>
        <stp>1</stp>
        <tr r="G1677" s="1"/>
      </tp>
      <tp>
        <v>14.12311467</v>
        <stp/>
        <stp>EM_S_PQ_PCTCHANGE</stp>
        <stp>4</stp>
        <stp>002271</stp>
        <stp>2018-01-01</stp>
        <stp>2019-12-31</stp>
        <stp>3</stp>
        <tr r="F152" s="1"/>
      </tp>
      <tp>
        <v>-14.764079150000001</v>
        <stp/>
        <stp>EM_S_PQ_PCTCHANGE</stp>
        <stp>4</stp>
        <stp>601003</stp>
        <stp>2018-12-31</stp>
        <stp>2019-12-30</stp>
        <stp>1</stp>
        <tr r="G2925" s="1"/>
      </tp>
      <tp>
        <v>-45.427048480000003</v>
        <stp/>
        <stp>EM_S_PQ_PCTCHANGE</stp>
        <stp>4</stp>
        <stp>601212</stp>
        <stp>2018-01-01</stp>
        <stp>2019-12-31</stp>
        <stp>3</stp>
        <tr r="F1088" s="1"/>
      </tp>
      <tp>
        <v>52.450980389999998</v>
        <stp/>
        <stp>EM_S_PQ_PCTCHANGE</stp>
        <stp>4</stp>
        <stp>300053</stp>
        <stp>2018-12-31</stp>
        <stp>2019-12-30</stp>
        <stp>1</stp>
        <tr r="G528" s="1"/>
      </tp>
      <tp>
        <v>-50.815523769999999</v>
        <stp/>
        <stp>EM_S_PQ_PCTCHANGE</stp>
        <stp>4</stp>
        <stp>300242</stp>
        <stp>2018-01-01</stp>
        <stp>2019-12-31</stp>
        <stp>3</stp>
        <tr r="F2537" s="1"/>
      </tp>
      <tp>
        <v>0</v>
        <stp/>
        <stp>EM_S_PQ_PCTCHANGE</stp>
        <stp>4</stp>
        <stp>600003</stp>
        <stp>2018-12-31</stp>
        <stp>2019-12-30</stp>
        <stp>1</stp>
        <tr r="G2287" s="1"/>
      </tp>
      <tp>
        <v>-56.06382979</v>
        <stp/>
        <stp>EM_S_PQ_PCTCHANGE</stp>
        <stp>4</stp>
        <stp>600212</stp>
        <stp>2018-01-01</stp>
        <stp>2019-12-31</stp>
        <stp>3</stp>
        <tr r="F2006" s="1"/>
      </tp>
      <tp>
        <v>21.39673105</v>
        <stp/>
        <stp>EM_S_PQ_PCTCHANGE</stp>
        <stp>4</stp>
        <stp>603003</stp>
        <stp>2018-12-31</stp>
        <stp>2019-12-30</stp>
        <stp>1</stp>
        <tr r="G1217" s="1"/>
      </tp>
      <tp>
        <v>-21.777003480000001</v>
        <stp/>
        <stp>EM_S_PQ_PCTCHANGE</stp>
        <stp>4</stp>
        <stp>002272</stp>
        <stp>2018-01-01</stp>
        <stp>2019-12-31</stp>
        <stp>3</stp>
        <tr r="F1640" s="1"/>
      </tp>
      <tp>
        <v>8.5981308399999996</v>
        <stp/>
        <stp>EM_S_PQ_PCTCHANGE</stp>
        <stp>4</stp>
        <stp>601002</stp>
        <stp>2018-12-31</stp>
        <stp>2019-12-30</stp>
        <stp>1</stp>
        <tr r="G1815" s="1"/>
      </tp>
      <tp>
        <v>53.465346529999998</v>
        <stp/>
        <stp>EM_S_PQ_PCTCHANGE</stp>
        <stp>4</stp>
        <stp>300052</stp>
        <stp>2018-12-31</stp>
        <stp>2019-12-30</stp>
        <stp>1</stp>
        <tr r="G509" s="1"/>
      </tp>
      <tp>
        <v>-26.945216609999999</v>
        <stp/>
        <stp>EM_S_PQ_PCTCHANGE</stp>
        <stp>4</stp>
        <stp>300243</stp>
        <stp>2018-01-01</stp>
        <stp>2019-12-31</stp>
        <stp>3</stp>
        <tr r="F2469" s="1"/>
      </tp>
      <tp>
        <v>0</v>
        <stp/>
        <stp>EM_S_PQ_PCTCHANGE</stp>
        <stp>4</stp>
        <stp>600002</stp>
        <stp>2018-12-31</stp>
        <stp>2019-12-30</stp>
        <stp>1</stp>
        <tr r="G2286" s="1"/>
      </tp>
      <tp>
        <v>-18.650421739999999</v>
        <stp/>
        <stp>EM_S_PQ_PCTCHANGE</stp>
        <stp>4</stp>
        <stp>600213</stp>
        <stp>2018-01-01</stp>
        <stp>2019-12-31</stp>
        <stp>3</stp>
        <tr r="F668" s="1"/>
      </tp>
      <tp>
        <v>25.072046109999999</v>
        <stp/>
        <stp>EM_S_PQ_PCTCHANGE</stp>
        <stp>4</stp>
        <stp>603002</stp>
        <stp>2018-12-31</stp>
        <stp>2019-12-30</stp>
        <stp>1</stp>
        <tr r="G1090" s="1"/>
      </tp>
      <tp>
        <v>-9.6354166699999997</v>
        <stp/>
        <stp>EM_S_PQ_PCTCHANGE</stp>
        <stp>4</stp>
        <stp>002062</stp>
        <stp>2018-12-31</stp>
        <stp>2019-12-30</stp>
        <stp>1</stp>
        <tr r="G2740" s="1"/>
      </tp>
      <tp>
        <v>17.189486859999999</v>
        <stp/>
        <stp>EM_S_PQ_PCTCHANGE</stp>
        <stp>4</stp>
        <stp>002273</stp>
        <stp>2018-01-01</stp>
        <stp>2019-12-31</stp>
        <stp>3</stp>
        <tr r="F318" s="1"/>
      </tp>
      <tp>
        <v>-4.63917526</v>
        <stp/>
        <stp>EM_S_PQ_PCTCHANGE</stp>
        <stp>4</stp>
        <stp>601005</stp>
        <stp>2018-12-31</stp>
        <stp>2019-12-30</stp>
        <stp>1</stp>
        <tr r="G2547" s="1"/>
      </tp>
      <tp>
        <v>-12.777053459999999</v>
        <stp/>
        <stp>EM_S_PQ_PCTCHANGE</stp>
        <stp>4</stp>
        <stp>300055</stp>
        <stp>2018-12-31</stp>
        <stp>2019-12-30</stp>
        <stp>1</stp>
        <tr r="G2859" s="1"/>
      </tp>
      <tp>
        <v>-6.1088496000000001</v>
        <stp/>
        <stp>EM_S_PQ_PCTCHANGE</stp>
        <stp>4</stp>
        <stp>300244</stp>
        <stp>2018-01-01</stp>
        <stp>2019-12-31</stp>
        <stp>3</stp>
        <tr r="F671" s="1"/>
      </tp>
      <tp>
        <v>0</v>
        <stp/>
        <stp>EM_S_PQ_PCTCHANGE</stp>
        <stp>4</stp>
        <stp>600005</stp>
        <stp>2018-12-31</stp>
        <stp>2019-12-30</stp>
        <stp>1</stp>
        <tr r="G2288" s="1"/>
      </tp>
      <tp>
        <v>139.76857491000001</v>
        <stp/>
        <stp>EM_S_PQ_PCTCHANGE</stp>
        <stp>4</stp>
        <stp>603005</stp>
        <stp>2018-12-31</stp>
        <stp>2019-12-30</stp>
        <stp>1</stp>
        <tr r="G98" s="1"/>
      </tp>
      <tp>
        <v>113.68254245999999</v>
        <stp/>
        <stp>EM_S_PQ_PCTCHANGE</stp>
        <stp>4</stp>
        <stp>603214</stp>
        <stp>2018-01-01</stp>
        <stp>2019-12-31</stp>
        <stp>3</stp>
        <tr r="F1650" s="1"/>
      </tp>
      <tp>
        <v>46.474820139999999</v>
        <stp/>
        <stp>EM_S_PQ_PCTCHANGE</stp>
        <stp>4</stp>
        <stp>002065</stp>
        <stp>2018-12-31</stp>
        <stp>2019-12-30</stp>
        <stp>1</stp>
        <tr r="G619" s="1"/>
      </tp>
      <tp>
        <v>37.886688669999998</v>
        <stp/>
        <stp>EM_S_PQ_PCTCHANGE</stp>
        <stp>4</stp>
        <stp>002274</stp>
        <stp>2018-01-01</stp>
        <stp>2019-12-31</stp>
        <stp>3</stp>
        <tr r="F999" s="1"/>
      </tp>
      <tp>
        <v>45.368916800000001</v>
        <stp/>
        <stp>EM_S_PQ_PCTCHANGE</stp>
        <stp>4</stp>
        <stp>300054</stp>
        <stp>2018-12-31</stp>
        <stp>2019-12-30</stp>
        <stp>1</stp>
        <tr r="G635" s="1"/>
      </tp>
      <tp>
        <v>-29.54520003</v>
        <stp/>
        <stp>EM_S_PQ_PCTCHANGE</stp>
        <stp>4</stp>
        <stp>300245</stp>
        <stp>2018-01-01</stp>
        <stp>2019-12-31</stp>
        <stp>3</stp>
        <tr r="F1646" s="1"/>
      </tp>
      <tp>
        <v>77.01492537</v>
        <stp/>
        <stp>EM_S_PQ_PCTCHANGE</stp>
        <stp>4</stp>
        <stp>600004</stp>
        <stp>2018-12-31</stp>
        <stp>2019-12-30</stp>
        <stp>1</stp>
        <tr r="G266" s="1"/>
      </tp>
      <tp>
        <v>-37.931557759999997</v>
        <stp/>
        <stp>EM_S_PQ_PCTCHANGE</stp>
        <stp>4</stp>
        <stp>600215</stp>
        <stp>2018-01-01</stp>
        <stp>2019-12-31</stp>
        <stp>3</stp>
        <tr r="F2571" s="1"/>
      </tp>
      <tp>
        <v>50.35799523</v>
        <stp/>
        <stp>EM_S_PQ_PCTCHANGE</stp>
        <stp>4</stp>
        <stp>002064</stp>
        <stp>2018-12-31</stp>
        <stp>2019-12-30</stp>
        <stp>1</stp>
        <tr r="G557" s="1"/>
      </tp>
      <tp>
        <v>-14.84581708</v>
        <stp/>
        <stp>EM_S_PQ_PCTCHANGE</stp>
        <stp>4</stp>
        <stp>002275</stp>
        <stp>2018-01-01</stp>
        <stp>2019-12-31</stp>
        <stp>3</stp>
        <tr r="F2210" s="1"/>
      </tp>
      <tp>
        <v>14.99380421</v>
        <stp/>
        <stp>EM_S_PQ_PCTCHANGE</stp>
        <stp>4</stp>
        <stp>601007</stp>
        <stp>2018-12-31</stp>
        <stp>2019-12-30</stp>
        <stp>1</stp>
        <tr r="G1482" s="1"/>
      </tp>
      <tp>
        <v>-28.920555740000001</v>
        <stp/>
        <stp>EM_S_PQ_PCTCHANGE</stp>
        <stp>4</stp>
        <stp>601216</stp>
        <stp>2018-01-01</stp>
        <stp>2019-12-31</stp>
        <stp>3</stp>
        <tr r="F1321" s="1"/>
      </tp>
      <tp>
        <v>-2.2727272699999999</v>
        <stp/>
        <stp>EM_S_PQ_PCTCHANGE</stp>
        <stp>4</stp>
        <stp>300057</stp>
        <stp>2018-12-31</stp>
        <stp>2019-12-30</stp>
        <stp>1</stp>
        <tr r="G2435" s="1"/>
      </tp>
      <tp>
        <v>-24.258069160000002</v>
        <stp/>
        <stp>EM_S_PQ_PCTCHANGE</stp>
        <stp>4</stp>
        <stp>300246</stp>
        <stp>2018-01-01</stp>
        <stp>2019-12-31</stp>
        <stp>3</stp>
        <tr r="F740" s="1"/>
      </tp>
      <tp>
        <v>40.703125</v>
        <stp/>
        <stp>EM_S_PQ_PCTCHANGE</stp>
        <stp>4</stp>
        <stp>600007</stp>
        <stp>2018-12-31</stp>
        <stp>2019-12-30</stp>
        <stp>1</stp>
        <tr r="G722" s="1"/>
      </tp>
      <tp>
        <v>1.4163743200000001</v>
        <stp/>
        <stp>EM_S_PQ_PCTCHANGE</stp>
        <stp>4</stp>
        <stp>600216</stp>
        <stp>2018-01-01</stp>
        <stp>2019-12-31</stp>
        <stp>3</stp>
        <tr r="F597" s="1"/>
      </tp>
      <tp>
        <v>-14.23173804</v>
        <stp/>
        <stp>EM_S_PQ_PCTCHANGE</stp>
        <stp>4</stp>
        <stp>603007</stp>
        <stp>2018-12-31</stp>
        <stp>2019-12-30</stp>
        <stp>1</stp>
        <tr r="G2914" s="1"/>
      </tp>
      <tp>
        <v>-4.2735042700000001</v>
        <stp/>
        <stp>EM_S_PQ_PCTCHANGE</stp>
        <stp>4</stp>
        <stp>002067</stp>
        <stp>2018-12-31</stp>
        <stp>2019-12-30</stp>
        <stp>1</stp>
        <tr r="G2531" s="1"/>
      </tp>
      <tp>
        <v>-3.2476308700000001</v>
        <stp/>
        <stp>EM_S_PQ_PCTCHANGE</stp>
        <stp>4</stp>
        <stp>002276</stp>
        <stp>2018-01-01</stp>
        <stp>2019-12-31</stp>
        <stp>3</stp>
        <tr r="F361" s="1"/>
      </tp>
      <tp>
        <v>-0.12150668000000001</v>
        <stp/>
        <stp>EM_S_PQ_PCTCHANGE</stp>
        <stp>4</stp>
        <stp>601006</stp>
        <stp>2018-12-31</stp>
        <stp>2019-12-30</stp>
        <stp>1</stp>
        <tr r="G2343" s="1"/>
      </tp>
      <tp>
        <v>21.60148976</v>
        <stp/>
        <stp>EM_S_PQ_PCTCHANGE</stp>
        <stp>4</stp>
        <stp>300056</stp>
        <stp>2018-12-31</stp>
        <stp>2019-12-30</stp>
        <stp>1</stp>
        <tr r="G1201" s="1"/>
      </tp>
      <tp>
        <v>-49.356380180000002</v>
        <stp/>
        <stp>EM_S_PQ_PCTCHANGE</stp>
        <stp>4</stp>
        <stp>300247</stp>
        <stp>2018-01-01</stp>
        <stp>2019-12-31</stp>
        <stp>3</stp>
        <tr r="F2984" s="1"/>
      </tp>
      <tp>
        <v>26.11111111</v>
        <stp/>
        <stp>EM_S_PQ_PCTCHANGE</stp>
        <stp>4</stp>
        <stp>600006</stp>
        <stp>2018-12-31</stp>
        <stp>2019-12-30</stp>
        <stp>1</stp>
        <tr r="G1054" s="1"/>
      </tp>
      <tp>
        <v>-21.23076923</v>
        <stp/>
        <stp>EM_S_PQ_PCTCHANGE</stp>
        <stp>4</stp>
        <stp>600217</stp>
        <stp>2018-01-01</stp>
        <stp>2019-12-31</stp>
        <stp>3</stp>
        <tr r="F1105" s="1"/>
      </tp>
      <tp>
        <v>17.864923749999999</v>
        <stp/>
        <stp>EM_S_PQ_PCTCHANGE</stp>
        <stp>4</stp>
        <stp>603006</stp>
        <stp>2018-12-31</stp>
        <stp>2019-12-30</stp>
        <stp>1</stp>
        <tr r="G1371" s="1"/>
      </tp>
      <tp>
        <v>10.62068966</v>
        <stp/>
        <stp>EM_S_PQ_PCTCHANGE</stp>
        <stp>4</stp>
        <stp>002066</stp>
        <stp>2018-12-31</stp>
        <stp>2019-12-30</stp>
        <stp>1</stp>
        <tr r="G1696" s="1"/>
      </tp>
      <tp>
        <v>-42.221237199999997</v>
        <stp/>
        <stp>EM_S_PQ_PCTCHANGE</stp>
        <stp>4</stp>
        <stp>002277</stp>
        <stp>2018-01-01</stp>
        <stp>2019-12-31</stp>
        <stp>3</stp>
        <tr r="F2034" s="1"/>
      </tp>
      <tp>
        <v>-11.50895141</v>
        <stp/>
        <stp>EM_S_PQ_PCTCHANGE</stp>
        <stp>4</stp>
        <stp>601019</stp>
        <stp>2018-12-31</stp>
        <stp>2019-12-30</stp>
        <stp>1</stp>
        <tr r="G2814" s="1"/>
      </tp>
      <tp>
        <v>-20.12631837</v>
        <stp/>
        <stp>EM_S_PQ_PCTCHANGE</stp>
        <stp>4</stp>
        <stp>601208</stp>
        <stp>2018-01-01</stp>
        <stp>2019-12-31</stp>
        <stp>3</stp>
        <tr r="F874" s="1"/>
      </tp>
      <tp>
        <v>-26.035502959999999</v>
        <stp/>
        <stp>EM_S_PQ_PCTCHANGE</stp>
        <stp>4</stp>
        <stp>300049</stp>
        <stp>2018-12-31</stp>
        <stp>2019-12-30</stp>
        <stp>1</stp>
        <tr r="G3166" s="1"/>
      </tp>
      <tp>
        <v>-23.811109720000001</v>
        <stp/>
        <stp>EM_S_PQ_PCTCHANGE</stp>
        <stp>4</stp>
        <stp>300258</stp>
        <stp>2018-01-01</stp>
        <stp>2019-12-31</stp>
        <stp>3</stp>
        <tr r="F2705" s="1"/>
      </tp>
      <tp>
        <v>-11.53846154</v>
        <stp/>
        <stp>EM_S_PQ_PCTCHANGE</stp>
        <stp>4</stp>
        <stp>600019</stp>
        <stp>2018-12-31</stp>
        <stp>2019-12-30</stp>
        <stp>1</stp>
        <tr r="G2815" s="1"/>
      </tp>
      <tp>
        <v>-24.952532340000001</v>
        <stp/>
        <stp>EM_S_PQ_PCTCHANGE</stp>
        <stp>4</stp>
        <stp>600208</stp>
        <stp>2018-01-01</stp>
        <stp>2019-12-31</stp>
        <stp>3</stp>
        <tr r="F957" s="1"/>
      </tp>
      <tp>
        <v>-3.45596433</v>
        <stp/>
        <stp>EM_S_PQ_PCTCHANGE</stp>
        <stp>4</stp>
        <stp>603019</stp>
        <stp>2018-12-31</stp>
        <stp>2019-12-30</stp>
        <stp>1</stp>
        <tr r="G2496" s="1"/>
      </tp>
      <tp>
        <v>23.573483710000001</v>
        <stp/>
        <stp>EM_S_PQ_PCTCHANGE</stp>
        <stp>4</stp>
        <stp>603208</stp>
        <stp>2018-01-01</stp>
        <stp>2019-12-31</stp>
        <stp>3</stp>
        <tr r="F181" s="1"/>
      </tp>
      <tp>
        <v>149.46466809</v>
        <stp/>
        <stp>EM_S_PQ_PCTCHANGE</stp>
        <stp>4</stp>
        <stp>002079</stp>
        <stp>2018-12-31</stp>
        <stp>2019-12-30</stp>
        <stp>1</stp>
        <tr r="G84" s="1"/>
      </tp>
      <tp>
        <v>12.34794967</v>
        <stp/>
        <stp>EM_S_PQ_PCTCHANGE</stp>
        <stp>4</stp>
        <stp>002268</stp>
        <stp>2018-01-01</stp>
        <stp>2019-12-31</stp>
        <stp>3</stp>
        <tr r="F691" s="1"/>
      </tp>
      <tp>
        <v>95.171551879999996</v>
        <stp/>
        <stp>EM_S_PQ_PCTCHANGE</stp>
        <stp>4</stp>
        <stp>603208</stp>
        <stp>2019-01-01</stp>
        <stp>2019-12-31</stp>
        <stp>3</stp>
        <tr r="G181" s="1"/>
      </tp>
      <tp>
        <v>14.071856289999999</v>
        <stp/>
        <stp>EM_S_PQ_PCTCHANGE</stp>
        <stp>4</stp>
        <stp>601018</stp>
        <stp>2018-12-31</stp>
        <stp>2019-12-30</stp>
        <stp>1</stp>
        <tr r="G1529" s="1"/>
      </tp>
      <tp>
        <v>-0.41841003999999998</v>
        <stp/>
        <stp>EM_S_PQ_PCTCHANGE</stp>
        <stp>4</stp>
        <stp>300048</stp>
        <stp>2018-12-31</stp>
        <stp>2019-12-30</stp>
        <stp>1</stp>
        <tr r="G2355" s="1"/>
      </tp>
      <tp>
        <v>1.6860583600000001</v>
        <stp/>
        <stp>EM_S_PQ_PCTCHANGE</stp>
        <stp>4</stp>
        <stp>300259</stp>
        <stp>2018-01-01</stp>
        <stp>2019-12-31</stp>
        <stp>3</stp>
        <tr r="F399" s="1"/>
      </tp>
      <tp>
        <v>10.231660229999999</v>
        <stp/>
        <stp>EM_S_PQ_PCTCHANGE</stp>
        <stp>4</stp>
        <stp>600018</stp>
        <stp>2018-12-31</stp>
        <stp>2019-12-30</stp>
        <stp>1</stp>
        <tr r="G1725" s="1"/>
      </tp>
      <tp>
        <v>-68.409645249999997</v>
        <stp/>
        <stp>EM_S_PQ_PCTCHANGE</stp>
        <stp>4</stp>
        <stp>600209</stp>
        <stp>2018-01-01</stp>
        <stp>2019-12-31</stp>
        <stp>3</stp>
        <tr r="F3022" s="1"/>
      </tp>
      <tp>
        <v>-41.504018369999997</v>
        <stp/>
        <stp>EM_S_PQ_PCTCHANGE</stp>
        <stp>4</stp>
        <stp>603018</stp>
        <stp>2018-12-31</stp>
        <stp>2019-12-30</stp>
        <stp>1</stp>
        <tr r="G3325" s="1"/>
      </tp>
      <tp>
        <v>75.263157890000002</v>
        <stp/>
        <stp>EM_S_PQ_PCTCHANGE</stp>
        <stp>4</stp>
        <stp>002078</stp>
        <stp>2018-12-31</stp>
        <stp>2019-12-30</stp>
        <stp>1</stp>
        <tr r="G275" s="1"/>
      </tp>
      <tp>
        <v>-22.492401220000001</v>
        <stp/>
        <stp>EM_S_PQ_PCTCHANGE</stp>
        <stp>4</stp>
        <stp>002269</stp>
        <stp>2018-01-01</stp>
        <stp>2019-12-31</stp>
        <stp>3</stp>
        <tr r="F1454" s="1"/>
      </tp>
      <tp>
        <v>-17.454545450000001</v>
        <stp/>
        <stp>EM_S_PQ_PCTCHANGE</stp>
        <stp>4</stp>
        <stp>601011</stp>
        <stp>2018-12-31</stp>
        <stp>2019-12-30</stp>
        <stp>1</stp>
        <tr r="G3003" s="1"/>
      </tp>
      <tp>
        <v>-41.52999587</v>
        <stp/>
        <stp>EM_S_PQ_PCTCHANGE</stp>
        <stp>4</stp>
        <stp>601200</stp>
        <stp>2018-01-01</stp>
        <stp>2019-12-31</stp>
        <stp>3</stp>
        <tr r="F2980" s="1"/>
      </tp>
      <tp>
        <v>52.173913040000002</v>
        <stp/>
        <stp>EM_S_PQ_PCTCHANGE</stp>
        <stp>4</stp>
        <stp>300041</stp>
        <stp>2018-12-31</stp>
        <stp>2019-12-30</stp>
        <stp>1</stp>
        <tr r="G532" s="1"/>
      </tp>
      <tp>
        <v>-15.660593710000001</v>
        <stp/>
        <stp>EM_S_PQ_PCTCHANGE</stp>
        <stp>4</stp>
        <stp>300250</stp>
        <stp>2018-01-01</stp>
        <stp>2019-12-31</stp>
        <stp>3</stp>
        <tr r="F1446" s="1"/>
      </tp>
      <tp>
        <v>-24.525745260000001</v>
        <stp/>
        <stp>EM_S_PQ_PCTCHANGE</stp>
        <stp>4</stp>
        <stp>600011</stp>
        <stp>2018-12-31</stp>
        <stp>2019-12-30</stp>
        <stp>1</stp>
        <tr r="G3146" s="1"/>
      </tp>
      <tp>
        <v>-53.114803790000003</v>
        <stp/>
        <stp>EM_S_PQ_PCTCHANGE</stp>
        <stp>4</stp>
        <stp>600200</stp>
        <stp>2018-01-01</stp>
        <stp>2019-12-31</stp>
        <stp>3</stp>
        <tr r="F2906" s="1"/>
      </tp>
      <tp>
        <v>15.402298849999999</v>
        <stp/>
        <stp>EM_S_PQ_PCTCHANGE</stp>
        <stp>4</stp>
        <stp>603011</stp>
        <stp>2018-12-31</stp>
        <stp>2019-12-30</stp>
        <stp>1</stp>
        <tr r="G1463" s="1"/>
      </tp>
      <tp>
        <v>-34.57384132</v>
        <stp/>
        <stp>EM_S_PQ_PCTCHANGE</stp>
        <stp>4</stp>
        <stp>603200</stp>
        <stp>2018-01-01</stp>
        <stp>2019-12-31</stp>
        <stp>3</stp>
        <tr r="F3342" s="1"/>
      </tp>
      <tp>
        <v>-73.662207359999996</v>
        <stp/>
        <stp>EM_S_PQ_PCTCHANGE</stp>
        <stp>4</stp>
        <stp>002260</stp>
        <stp>2018-01-01</stp>
        <stp>2019-12-31</stp>
        <stp>3</stp>
        <tr r="F2467" s="1"/>
      </tp>
      <tp>
        <v>5.5172413799999998</v>
        <stp/>
        <stp>EM_S_PQ_PCTCHANGE</stp>
        <stp>4</stp>
        <stp>601010</stp>
        <stp>2018-12-31</stp>
        <stp>2019-12-30</stp>
        <stp>1</stp>
        <tr r="G1981" s="1"/>
      </tp>
      <tp>
        <v>12.195121950000001</v>
        <stp/>
        <stp>EM_S_PQ_PCTCHANGE</stp>
        <stp>4</stp>
        <stp>300040</stp>
        <stp>2018-12-31</stp>
        <stp>2019-12-30</stp>
        <stp>1</stp>
        <tr r="G1626" s="1"/>
      </tp>
      <tp>
        <v>15.75796826</v>
        <stp/>
        <stp>EM_S_PQ_PCTCHANGE</stp>
        <stp>4</stp>
        <stp>300251</stp>
        <stp>2018-01-01</stp>
        <stp>2019-12-31</stp>
        <stp>3</stp>
        <tr r="F501" s="1"/>
      </tp>
      <tp>
        <v>-10.81081081</v>
        <stp/>
        <stp>EM_S_PQ_PCTCHANGE</stp>
        <stp>4</stp>
        <stp>600010</stp>
        <stp>2018-12-31</stp>
        <stp>2019-12-30</stp>
        <stp>1</stp>
        <tr r="G2792" s="1"/>
      </tp>
      <tp>
        <v>-20.55619862</v>
        <stp/>
        <stp>EM_S_PQ_PCTCHANGE</stp>
        <stp>4</stp>
        <stp>600201</stp>
        <stp>2018-01-01</stp>
        <stp>2019-12-31</stp>
        <stp>3</stp>
        <tr r="F1517" s="1"/>
      </tp>
      <tp>
        <v>-19.288256230000002</v>
        <stp/>
        <stp>EM_S_PQ_PCTCHANGE</stp>
        <stp>4</stp>
        <stp>603010</stp>
        <stp>2018-12-31</stp>
        <stp>2019-12-30</stp>
        <stp>1</stp>
        <tr r="G3049" s="1"/>
      </tp>
      <tp>
        <v>7.2198727500000004</v>
        <stp/>
        <stp>EM_S_PQ_PCTCHANGE</stp>
        <stp>4</stp>
        <stp>002261</stp>
        <stp>2018-01-01</stp>
        <stp>2019-12-31</stp>
        <stp>3</stp>
        <tr r="F164" s="1"/>
      </tp>
      <tp>
        <v>54.819277110000002</v>
        <stp/>
        <stp>EM_S_PQ_PCTCHANGE</stp>
        <stp>4</stp>
        <stp>300043</stp>
        <stp>2018-12-31</stp>
        <stp>2019-12-30</stp>
        <stp>1</stp>
        <tr r="G491" s="1"/>
      </tp>
      <tp>
        <v>-27.636269129999999</v>
        <stp/>
        <stp>EM_S_PQ_PCTCHANGE</stp>
        <stp>4</stp>
        <stp>300252</stp>
        <stp>2018-01-01</stp>
        <stp>2019-12-31</stp>
        <stp>3</stp>
        <tr r="F2966" s="1"/>
      </tp>
      <tp>
        <v>-20.52117264</v>
        <stp/>
        <stp>EM_S_PQ_PCTCHANGE</stp>
        <stp>4</stp>
        <stp>600202</stp>
        <stp>2018-01-01</stp>
        <stp>2019-12-31</stp>
        <stp>3</stp>
        <tr r="F605" s="1"/>
      </tp>
      <tp>
        <v>-12.98185941</v>
        <stp/>
        <stp>EM_S_PQ_PCTCHANGE</stp>
        <stp>4</stp>
        <stp>603013</stp>
        <stp>2018-12-31</stp>
        <stp>2019-12-30</stp>
        <stp>1</stp>
        <tr r="G2867" s="1"/>
      </tp>
      <tp>
        <v>-17.742272249999999</v>
        <stp/>
        <stp>EM_S_PQ_PCTCHANGE</stp>
        <stp>4</stp>
        <stp>002262</stp>
        <stp>2018-01-01</stp>
        <stp>2019-12-31</stp>
        <stp>3</stp>
        <tr r="F1001" s="1"/>
      </tp>
      <tp>
        <v>43.233944950000001</v>
        <stp/>
        <stp>EM_S_PQ_PCTCHANGE</stp>
        <stp>4</stp>
        <stp>601012</stp>
        <stp>2018-12-31</stp>
        <stp>2019-12-30</stp>
        <stp>1</stp>
        <tr r="G682" s="1"/>
      </tp>
      <tp>
        <v>17.42482652</v>
        <stp/>
        <stp>EM_S_PQ_PCTCHANGE</stp>
        <stp>4</stp>
        <stp>300042</stp>
        <stp>2018-12-31</stp>
        <stp>2019-12-30</stp>
        <stp>1</stp>
        <tr r="G1386" s="1"/>
      </tp>
      <tp>
        <v>123.73772682000001</v>
        <stp/>
        <stp>EM_S_PQ_PCTCHANGE</stp>
        <stp>4</stp>
        <stp>300253</stp>
        <stp>2018-01-01</stp>
        <stp>2019-12-31</stp>
        <stp>3</stp>
        <tr r="F1336" s="1"/>
      </tp>
      <tp>
        <v>-2.8192371500000002</v>
        <stp/>
        <stp>EM_S_PQ_PCTCHANGE</stp>
        <stp>4</stp>
        <stp>600012</stp>
        <stp>2018-12-31</stp>
        <stp>2019-12-30</stp>
        <stp>1</stp>
        <tr r="G2470" s="1"/>
      </tp>
      <tp>
        <v>-27.927927929999999</v>
        <stp/>
        <stp>EM_S_PQ_PCTCHANGE</stp>
        <stp>4</stp>
        <stp>600203</stp>
        <stp>2018-01-01</stp>
        <stp>2019-12-31</stp>
        <stp>3</stp>
        <tr r="F655" s="1"/>
      </tp>
      <tp>
        <v>12.57783313</v>
        <stp/>
        <stp>EM_S_PQ_PCTCHANGE</stp>
        <stp>4</stp>
        <stp>603012</stp>
        <stp>2018-12-31</stp>
        <stp>2019-12-30</stp>
        <stp>1</stp>
        <tr r="G1606" s="1"/>
      </tp>
      <tp>
        <v>-9.0400913700000007</v>
        <stp/>
        <stp>EM_S_PQ_PCTCHANGE</stp>
        <stp>4</stp>
        <stp>603203</stp>
        <stp>2018-01-01</stp>
        <stp>2019-12-31</stp>
        <stp>3</stp>
        <tr r="F761" s="1"/>
      </tp>
      <tp>
        <v>-26.16487455</v>
        <stp/>
        <stp>EM_S_PQ_PCTCHANGE</stp>
        <stp>4</stp>
        <stp>002263</stp>
        <stp>2018-01-01</stp>
        <stp>2019-12-31</stp>
        <stp>3</stp>
        <tr r="F1203" s="1"/>
      </tp>
      <tp>
        <v>-40.866290020000001</v>
        <stp/>
        <stp>EM_S_PQ_PCTCHANGE</stp>
        <stp>4</stp>
        <stp>601015</stp>
        <stp>2018-12-31</stp>
        <stp>2019-12-30</stp>
        <stp>1</stp>
        <tr r="G3317" s="1"/>
      </tp>
      <tp>
        <v>23.746701850000001</v>
        <stp/>
        <stp>EM_S_PQ_PCTCHANGE</stp>
        <stp>4</stp>
        <stp>300045</stp>
        <stp>2018-12-31</stp>
        <stp>2019-12-30</stp>
        <stp>1</stp>
        <tr r="G1141" s="1"/>
      </tp>
      <tp>
        <v>-20.678845410000001</v>
        <stp/>
        <stp>EM_S_PQ_PCTCHANGE</stp>
        <stp>4</stp>
        <stp>300254</stp>
        <stp>2018-01-01</stp>
        <stp>2019-12-31</stp>
        <stp>3</stp>
        <tr r="F1140" s="1"/>
      </tp>
      <tp>
        <v>3.5182679299999999</v>
        <stp/>
        <stp>EM_S_PQ_PCTCHANGE</stp>
        <stp>4</stp>
        <stp>600015</stp>
        <stp>2018-12-31</stp>
        <stp>2019-12-30</stp>
        <stp>1</stp>
        <tr r="G2083" s="1"/>
      </tp>
      <tp>
        <v>6.3651591300000003</v>
        <stp/>
        <stp>EM_S_PQ_PCTCHANGE</stp>
        <stp>4</stp>
        <stp>603015</stp>
        <stp>2018-12-31</stp>
        <stp>2019-12-30</stp>
        <stp>1</stp>
        <tr r="G1933" s="1"/>
      </tp>
      <tp>
        <v>-24.283935240000002</v>
        <stp/>
        <stp>EM_S_PQ_PCTCHANGE</stp>
        <stp>4</stp>
        <stp>002075</stp>
        <stp>2018-12-31</stp>
        <stp>2019-12-30</stp>
        <stp>1</stp>
        <tr r="G3139" s="1"/>
      </tp>
      <tp>
        <v>-50.565262079999997</v>
        <stp/>
        <stp>EM_S_PQ_PCTCHANGE</stp>
        <stp>4</stp>
        <stp>002264</stp>
        <stp>2018-01-01</stp>
        <stp>2019-12-31</stp>
        <stp>3</stp>
        <tr r="F2960" s="1"/>
      </tp>
      <tp>
        <v>7.6033057900000003</v>
        <stp/>
        <stp>EM_S_PQ_PCTCHANGE</stp>
        <stp>4</stp>
        <stp>300044</stp>
        <stp>2018-12-31</stp>
        <stp>2019-12-30</stp>
        <stp>1</stp>
        <tr r="G1874" s="1"/>
      </tp>
      <tp>
        <v>-13.345346470000001</v>
        <stp/>
        <stp>EM_S_PQ_PCTCHANGE</stp>
        <stp>4</stp>
        <stp>300255</stp>
        <stp>2018-01-01</stp>
        <stp>2019-12-31</stp>
        <stp>3</stp>
        <tr r="F922" s="1"/>
      </tp>
      <tp>
        <v>0</v>
        <stp/>
        <stp>EM_S_PQ_PCTCHANGE</stp>
        <stp>4</stp>
        <stp>600205</stp>
        <stp>2018-01-01</stp>
        <stp>2019-12-31</stp>
        <stp>3</stp>
        <tr r="F2295" s="1"/>
      </tp>
      <tp>
        <v>24.134948099999999</v>
        <stp/>
        <stp>EM_S_PQ_PCTCHANGE</stp>
        <stp>4</stp>
        <stp>002074</stp>
        <stp>2018-12-31</stp>
        <stp>2019-12-30</stp>
        <stp>1</stp>
        <tr r="G1128" s="1"/>
      </tp>
      <tp>
        <v>-41.766268259999997</v>
        <stp/>
        <stp>EM_S_PQ_PCTCHANGE</stp>
        <stp>4</stp>
        <stp>002265</stp>
        <stp>2018-01-01</stp>
        <stp>2019-12-31</stp>
        <stp>3</stp>
        <tr r="F2427" s="1"/>
      </tp>
      <tp>
        <v>0</v>
        <stp/>
        <stp>EM_S_PQ_PCTCHANGE</stp>
        <stp>4</stp>
        <stp>601206</stp>
        <stp>2018-01-01</stp>
        <stp>2019-12-31</stp>
        <stp>3</stp>
        <tr r="F13" s="1"/>
      </tp>
      <tp>
        <v>-28.17281728</v>
        <stp/>
        <stp>EM_S_PQ_PCTCHANGE</stp>
        <stp>4</stp>
        <stp>300047</stp>
        <stp>2018-12-31</stp>
        <stp>2019-12-30</stp>
        <stp>1</stp>
        <tr r="G3200" s="1"/>
      </tp>
      <tp>
        <v>-5.5459359999999999E-2</v>
        <stp/>
        <stp>EM_S_PQ_PCTCHANGE</stp>
        <stp>4</stp>
        <stp>300256</stp>
        <stp>2018-01-01</stp>
        <stp>2019-12-31</stp>
        <stp>3</stp>
        <tr r="F154" s="1"/>
      </tp>
      <tp>
        <v>5.4347826100000001</v>
        <stp/>
        <stp>EM_S_PQ_PCTCHANGE</stp>
        <stp>4</stp>
        <stp>600017</stp>
        <stp>2018-12-31</stp>
        <stp>2019-12-30</stp>
        <stp>1</stp>
        <tr r="G1986" s="1"/>
      </tp>
      <tp>
        <v>1.9431406899999999</v>
        <stp/>
        <stp>EM_S_PQ_PCTCHANGE</stp>
        <stp>4</stp>
        <stp>600206</stp>
        <stp>2018-01-01</stp>
        <stp>2019-12-31</stp>
        <stp>3</stp>
        <tr r="F232" s="1"/>
      </tp>
      <tp>
        <v>6.1430010099999999</v>
        <stp/>
        <stp>EM_S_PQ_PCTCHANGE</stp>
        <stp>4</stp>
        <stp>603017</stp>
        <stp>2018-12-31</stp>
        <stp>2019-12-30</stp>
        <stp>1</stp>
        <tr r="G1945" s="1"/>
      </tp>
      <tp>
        <v>-4.3882855100000002</v>
        <stp/>
        <stp>EM_S_PQ_PCTCHANGE</stp>
        <stp>4</stp>
        <stp>002266</stp>
        <stp>2018-01-01</stp>
        <stp>2019-12-31</stp>
        <stp>3</stp>
        <tr r="F2187" s="1"/>
      </tp>
      <tp>
        <v>2.5862069000000001</v>
        <stp/>
        <stp>EM_S_PQ_PCTCHANGE</stp>
        <stp>4</stp>
        <stp>601016</stp>
        <stp>2018-12-31</stp>
        <stp>2019-12-30</stp>
        <stp>1</stp>
        <tr r="G2133" s="1"/>
      </tp>
      <tp>
        <v>48.148148149999997</v>
        <stp/>
        <stp>EM_S_PQ_PCTCHANGE</stp>
        <stp>4</stp>
        <stp>300046</stp>
        <stp>2018-12-31</stp>
        <stp>2019-12-30</stp>
        <stp>1</stp>
        <tr r="G595" s="1"/>
      </tp>
      <tp>
        <v>-21.12662508</v>
        <stp/>
        <stp>EM_S_PQ_PCTCHANGE</stp>
        <stp>4</stp>
        <stp>300257</stp>
        <stp>2018-01-01</stp>
        <stp>2019-12-31</stp>
        <stp>3</stp>
        <tr r="F1743" s="1"/>
      </tp>
      <tp>
        <v>10.12216405</v>
        <stp/>
        <stp>EM_S_PQ_PCTCHANGE</stp>
        <stp>4</stp>
        <stp>600016</stp>
        <stp>2018-12-31</stp>
        <stp>2019-12-30</stp>
        <stp>1</stp>
        <tr r="G1730" s="1"/>
      </tp>
      <tp>
        <v>-31.019202360000001</v>
        <stp/>
        <stp>EM_S_PQ_PCTCHANGE</stp>
        <stp>4</stp>
        <stp>600207</stp>
        <stp>2018-01-01</stp>
        <stp>2019-12-31</stp>
        <stp>3</stp>
        <tr r="F1807" s="1"/>
      </tp>
      <tp>
        <v>-4.1317365300000004</v>
        <stp/>
        <stp>EM_S_PQ_PCTCHANGE</stp>
        <stp>4</stp>
        <stp>603016</stp>
        <stp>2018-12-31</stp>
        <stp>2019-12-30</stp>
        <stp>1</stp>
        <tr r="G2520" s="1"/>
      </tp>
      <tp>
        <v>-10.84764431</v>
        <stp/>
        <stp>EM_S_PQ_PCTCHANGE</stp>
        <stp>4</stp>
        <stp>002267</stp>
        <stp>2018-01-01</stp>
        <stp>2019-12-31</stp>
        <stp>3</stp>
        <tr r="F2497" s="1"/>
      </tp>
      <tp>
        <v>0.60524546000000001</v>
        <stp/>
        <stp>EM_S_PQ_PCTCHANGE</stp>
        <stp>4</stp>
        <stp>601069</stp>
        <stp>2018-12-31</stp>
        <stp>2019-12-30</stp>
        <stp>1</stp>
        <tr r="G2244" s="1"/>
      </tp>
      <tp>
        <v>18.226600990000001</v>
        <stp/>
        <stp>EM_S_PQ_PCTCHANGE</stp>
        <stp>4</stp>
        <stp>300039</stp>
        <stp>2018-12-31</stp>
        <stp>2019-12-30</stp>
        <stp>1</stp>
        <tr r="G1356" s="1"/>
      </tp>
      <tp>
        <v>-51.704218060000002</v>
        <stp/>
        <stp>EM_S_PQ_PCTCHANGE</stp>
        <stp>4</stp>
        <stp>300228</stp>
        <stp>2018-01-01</stp>
        <stp>2019-12-31</stp>
        <stp>3</stp>
        <tr r="F1991" s="1"/>
      </tp>
      <tp>
        <v>-6.8728522300000003</v>
        <stp/>
        <stp>EM_S_PQ_PCTCHANGE</stp>
        <stp>4</stp>
        <stp>600069</stp>
        <stp>2018-12-31</stp>
        <stp>2019-12-30</stp>
        <stp>1</stp>
        <tr r="G2650" s="1"/>
      </tp>
      <tp>
        <v>-9.0327114999999996</v>
        <stp/>
        <stp>EM_S_PQ_PCTCHANGE</stp>
        <stp>4</stp>
        <stp>600278</stp>
        <stp>2018-01-01</stp>
        <stp>2019-12-31</stp>
        <stp>3</stp>
        <tr r="F923" s="1"/>
      </tp>
      <tp>
        <v>56.534954409999997</v>
        <stp/>
        <stp>EM_S_PQ_PCTCHANGE</stp>
        <stp>4</stp>
        <stp>603069</stp>
        <stp>2018-12-31</stp>
        <stp>2019-12-30</stp>
        <stp>1</stp>
        <tr r="G464" s="1"/>
      </tp>
      <tp>
        <v>-41.082387259999997</v>
        <stp/>
        <stp>EM_S_PQ_PCTCHANGE</stp>
        <stp>4</stp>
        <stp>603278</stp>
        <stp>2018-01-01</stp>
        <stp>2019-12-31</stp>
        <stp>3</stp>
        <tr r="F3255" s="1"/>
      </tp>
      <tp>
        <v>1.3227513200000001</v>
        <stp/>
        <stp>EM_S_PQ_PCTCHANGE</stp>
        <stp>4</stp>
        <stp>002009</stp>
        <stp>2018-12-31</stp>
        <stp>2019-12-30</stp>
        <stp>1</stp>
        <tr r="G2192" s="1"/>
      </tp>
      <tp>
        <v>-42.285714290000001</v>
        <stp/>
        <stp>EM_S_PQ_PCTCHANGE</stp>
        <stp>4</stp>
        <stp>002218</stp>
        <stp>2018-01-01</stp>
        <stp>2019-12-31</stp>
        <stp>3</stp>
        <tr r="F1748" s="1"/>
      </tp>
      <tp>
        <v>-6.8595927100000003</v>
        <stp/>
        <stp>EM_S_PQ_PCTCHANGE</stp>
        <stp>4</stp>
        <stp>300038</stp>
        <stp>2018-12-31</stp>
        <stp>2019-12-30</stp>
        <stp>1</stp>
        <tr r="G2648" s="1"/>
      </tp>
      <tp>
        <v>-9.1363150100000006</v>
        <stp/>
        <stp>EM_S_PQ_PCTCHANGE</stp>
        <stp>4</stp>
        <stp>300229</stp>
        <stp>2018-01-01</stp>
        <stp>2019-12-31</stp>
        <stp>3</stp>
        <tr r="F529" s="1"/>
      </tp>
      <tp>
        <v>1.42405063</v>
        <stp/>
        <stp>EM_S_PQ_PCTCHANGE</stp>
        <stp>4</stp>
        <stp>600068</stp>
        <stp>2018-12-31</stp>
        <stp>2019-12-30</stp>
        <stp>1</stp>
        <tr r="G2190" s="1"/>
      </tp>
      <tp>
        <v>-17.268665250000002</v>
        <stp/>
        <stp>EM_S_PQ_PCTCHANGE</stp>
        <stp>4</stp>
        <stp>600279</stp>
        <stp>2018-01-01</stp>
        <stp>2019-12-31</stp>
        <stp>3</stp>
        <tr r="F1653" s="1"/>
      </tp>
      <tp>
        <v>-79.590093940000003</v>
        <stp/>
        <stp>EM_S_PQ_PCTCHANGE</stp>
        <stp>4</stp>
        <stp>002219</stp>
        <stp>2018-01-01</stp>
        <stp>2019-12-31</stp>
        <stp>3</stp>
        <tr r="F3232" s="1"/>
      </tp>
      <tp>
        <v>300.94395544999998</v>
        <stp/>
        <stp>EM_S_PQ_PCTCHANGE</stp>
        <stp>4</stp>
        <stp>300220</stp>
        <stp>2019-01-01</stp>
        <stp>2019-12-31</stp>
        <stp>3</stp>
        <tr r="G27" s="1"/>
      </tp>
      <tp>
        <v>11.220621680000001</v>
        <stp/>
        <stp>EM_S_PQ_PCTCHANGE</stp>
        <stp>4</stp>
        <stp>300031</stp>
        <stp>2018-12-31</stp>
        <stp>2019-12-30</stp>
        <stp>1</stp>
        <tr r="G1669" s="1"/>
      </tp>
      <tp>
        <v>94.005139729999996</v>
        <stp/>
        <stp>EM_S_PQ_PCTCHANGE</stp>
        <stp>4</stp>
        <stp>300220</stp>
        <stp>2018-01-01</stp>
        <stp>2019-12-31</stp>
        <stp>3</stp>
        <tr r="F27" s="1"/>
      </tp>
      <tp>
        <v>53.058954389999997</v>
        <stp/>
        <stp>EM_S_PQ_PCTCHANGE</stp>
        <stp>4</stp>
        <stp>600061</stp>
        <stp>2018-12-31</stp>
        <stp>2019-12-30</stp>
        <stp>1</stp>
        <tr r="G518" s="1"/>
      </tp>
      <tp>
        <v>25.136000549999999</v>
        <stp/>
        <stp>EM_S_PQ_PCTCHANGE</stp>
        <stp>4</stp>
        <stp>600270</stp>
        <stp>2018-01-01</stp>
        <stp>2019-12-31</stp>
        <stp>3</stp>
        <tr r="F2298" s="1"/>
      </tp>
      <tp>
        <v>49.700199869999999</v>
        <stp/>
        <stp>EM_S_PQ_PCTCHANGE</stp>
        <stp>4</stp>
        <stp>002001</stp>
        <stp>2018-12-31</stp>
        <stp>2019-12-30</stp>
        <stp>1</stp>
        <tr r="G565" s="1"/>
      </tp>
      <tp>
        <v>-89.554552979999997</v>
        <stp/>
        <stp>EM_S_PQ_PCTCHANGE</stp>
        <stp>4</stp>
        <stp>002210</stp>
        <stp>2018-01-01</stp>
        <stp>2019-12-31</stp>
        <stp>3</stp>
        <tr r="F3397" s="1"/>
      </tp>
      <tp>
        <v>44.271844659999999</v>
        <stp/>
        <stp>EM_S_PQ_PCTCHANGE</stp>
        <stp>4</stp>
        <stp>300030</stp>
        <stp>2018-12-31</stp>
        <stp>2019-12-30</stp>
        <stp>1</stp>
        <tr r="G663" s="1"/>
      </tp>
      <tp>
        <v>-62.551777260000001</v>
        <stp/>
        <stp>EM_S_PQ_PCTCHANGE</stp>
        <stp>4</stp>
        <stp>300221</stp>
        <stp>2018-01-01</stp>
        <stp>2019-12-31</stp>
        <stp>3</stp>
        <tr r="F1732" s="1"/>
      </tp>
      <tp>
        <v>24.539170510000002</v>
        <stp/>
        <stp>EM_S_PQ_PCTCHANGE</stp>
        <stp>4</stp>
        <stp>600060</stp>
        <stp>2018-12-31</stp>
        <stp>2019-12-30</stp>
        <stp>1</stp>
        <tr r="G1112" s="1"/>
      </tp>
      <tp>
        <v>11.5000979</v>
        <stp/>
        <stp>EM_S_PQ_PCTCHANGE</stp>
        <stp>4</stp>
        <stp>600271</stp>
        <stp>2018-01-01</stp>
        <stp>2019-12-31</stp>
        <stp>3</stp>
        <tr r="F2348" s="1"/>
      </tp>
      <tp>
        <v>24</v>
        <stp/>
        <stp>EM_S_PQ_PCTCHANGE</stp>
        <stp>4</stp>
        <stp>603060</stp>
        <stp>2018-12-31</stp>
        <stp>2019-12-30</stp>
        <stp>1</stp>
        <tr r="G1134" s="1"/>
      </tp>
      <tp>
        <v>-11.9047619</v>
        <stp/>
        <stp>EM_S_PQ_PCTCHANGE</stp>
        <stp>4</stp>
        <stp>002211</stp>
        <stp>2018-01-01</stp>
        <stp>2019-12-31</stp>
        <stp>3</stp>
        <tr r="F822" s="1"/>
      </tp>
      <tp>
        <v>191.30890052000001</v>
        <stp/>
        <stp>EM_S_PQ_PCTCHANGE</stp>
        <stp>4</stp>
        <stp>300033</stp>
        <stp>2018-12-31</stp>
        <stp>2019-12-30</stp>
        <stp>1</stp>
        <tr r="G49" s="1"/>
      </tp>
      <tp>
        <v>-52.241363210000003</v>
        <stp/>
        <stp>EM_S_PQ_PCTCHANGE</stp>
        <stp>4</stp>
        <stp>300222</stp>
        <stp>2018-01-01</stp>
        <stp>2019-12-31</stp>
        <stp>3</stp>
        <tr r="F3309" s="1"/>
      </tp>
      <tp>
        <v>69.098712449999994</v>
        <stp/>
        <stp>EM_S_PQ_PCTCHANGE</stp>
        <stp>4</stp>
        <stp>600063</stp>
        <stp>2018-12-31</stp>
        <stp>2019-12-30</stp>
        <stp>1</stp>
        <tr r="G327" s="1"/>
      </tp>
      <tp>
        <v>-27.890640810000001</v>
        <stp/>
        <stp>EM_S_PQ_PCTCHANGE</stp>
        <stp>4</stp>
        <stp>600272</stp>
        <stp>2018-01-01</stp>
        <stp>2019-12-31</stp>
        <stp>3</stp>
        <tr r="F1919" s="1"/>
      </tp>
      <tp>
        <v>45.324881140000002</v>
        <stp/>
        <stp>EM_S_PQ_PCTCHANGE</stp>
        <stp>4</stp>
        <stp>603063</stp>
        <stp>2018-12-31</stp>
        <stp>2019-12-30</stp>
        <stp>1</stp>
        <tr r="G636" s="1"/>
      </tp>
      <tp>
        <v>-12.535612540000001</v>
        <stp/>
        <stp>EM_S_PQ_PCTCHANGE</stp>
        <stp>4</stp>
        <stp>002003</stp>
        <stp>2018-12-31</stp>
        <stp>2019-12-30</stp>
        <stp>1</stp>
        <tr r="G2851" s="1"/>
      </tp>
      <tp>
        <v>-4.7015375099999996</v>
        <stp/>
        <stp>EM_S_PQ_PCTCHANGE</stp>
        <stp>4</stp>
        <stp>002212</stp>
        <stp>2018-01-01</stp>
        <stp>2019-12-31</stp>
        <stp>3</stp>
        <tr r="F305" s="1"/>
      </tp>
      <tp>
        <v>378.04994295</v>
        <stp/>
        <stp>EM_S_PQ_PCTCHANGE</stp>
        <stp>4</stp>
        <stp>300223</stp>
        <stp>2019-01-01</stp>
        <stp>2019-12-31</stp>
        <stp>3</stp>
        <tr r="G20" s="1"/>
      </tp>
      <tp>
        <v>28.027681659999999</v>
        <stp/>
        <stp>EM_S_PQ_PCTCHANGE</stp>
        <stp>4</stp>
        <stp>300032</stp>
        <stp>2018-12-31</stp>
        <stp>2019-12-30</stp>
        <stp>1</stp>
        <tr r="G987" s="1"/>
      </tp>
      <tp>
        <v>195.51670041</v>
        <stp/>
        <stp>EM_S_PQ_PCTCHANGE</stp>
        <stp>4</stp>
        <stp>300223</stp>
        <stp>2018-01-01</stp>
        <stp>2019-12-31</stp>
        <stp>3</stp>
        <tr r="F20" s="1"/>
      </tp>
      <tp>
        <v>6.2861869300000004</v>
        <stp/>
        <stp>EM_S_PQ_PCTCHANGE</stp>
        <stp>4</stp>
        <stp>600062</stp>
        <stp>2018-12-31</stp>
        <stp>2019-12-30</stp>
        <stp>1</stp>
        <tr r="G1938" s="1"/>
      </tp>
      <tp>
        <v>25.724782449999999</v>
        <stp/>
        <stp>EM_S_PQ_PCTCHANGE</stp>
        <stp>4</stp>
        <stp>600273</stp>
        <stp>2018-01-01</stp>
        <stp>2019-12-31</stp>
        <stp>3</stp>
        <tr r="F1116" s="1"/>
      </tp>
      <tp>
        <v>-26.418439719999999</v>
        <stp/>
        <stp>EM_S_PQ_PCTCHANGE</stp>
        <stp>4</stp>
        <stp>002213</stp>
        <stp>2018-01-01</stp>
        <stp>2019-12-31</stp>
        <stp>3</stp>
        <tr r="F924" s="1"/>
      </tp>
      <tp>
        <v>77.777777779999994</v>
        <stp/>
        <stp>EM_S_PQ_PCTCHANGE</stp>
        <stp>4</stp>
        <stp>300035</stp>
        <stp>2018-12-31</stp>
        <stp>2019-12-30</stp>
        <stp>1</stp>
        <tr r="G263" s="1"/>
      </tp>
      <tp>
        <v>1.2565103099999999</v>
        <stp/>
        <stp>EM_S_PQ_PCTCHANGE</stp>
        <stp>4</stp>
        <stp>300224</stp>
        <stp>2018-01-01</stp>
        <stp>2019-12-31</stp>
        <stp>3</stp>
        <tr r="F372" s="1"/>
      </tp>
      <tp>
        <v>0</v>
        <stp/>
        <stp>EM_S_PQ_PCTCHANGE</stp>
        <stp>4</stp>
        <stp>600065</stp>
        <stp>2018-12-31</stp>
        <stp>2019-12-30</stp>
        <stp>1</stp>
        <tr r="G2289" s="1"/>
      </tp>
      <tp>
        <v>93.584270149999995</v>
        <stp/>
        <stp>EM_S_PQ_PCTCHANGE</stp>
        <stp>4</stp>
        <stp>002214</stp>
        <stp>2019-01-01</stp>
        <stp>2019-12-31</stp>
        <stp>3</stp>
        <tr r="G189" s="1"/>
      </tp>
      <tp>
        <v>33.94616869</v>
        <stp/>
        <stp>EM_S_PQ_PCTCHANGE</stp>
        <stp>4</stp>
        <stp>002214</stp>
        <stp>2018-01-01</stp>
        <stp>2019-12-31</stp>
        <stp>3</stp>
        <tr r="F189" s="1"/>
      </tp>
      <tp>
        <v>84.186046509999997</v>
        <stp/>
        <stp>EM_S_PQ_PCTCHANGE</stp>
        <stp>4</stp>
        <stp>300034</stp>
        <stp>2018-12-31</stp>
        <stp>2019-12-30</stp>
        <stp>1</stp>
        <tr r="G226" s="1"/>
      </tp>
      <tp>
        <v>-64.541588340000004</v>
        <stp/>
        <stp>EM_S_PQ_PCTCHANGE</stp>
        <stp>4</stp>
        <stp>300225</stp>
        <stp>2018-01-01</stp>
        <stp>2019-12-31</stp>
        <stp>3</stp>
        <tr r="F940" s="1"/>
      </tp>
      <tp>
        <v>23.604060910000001</v>
        <stp/>
        <stp>EM_S_PQ_PCTCHANGE</stp>
        <stp>4</stp>
        <stp>600064</stp>
        <stp>2018-12-31</stp>
        <stp>2019-12-30</stp>
        <stp>1</stp>
        <tr r="G1144" s="1"/>
      </tp>
      <tp>
        <v>-63.5</v>
        <stp/>
        <stp>EM_S_PQ_PCTCHANGE</stp>
        <stp>4</stp>
        <stp>600275</stp>
        <stp>2018-01-01</stp>
        <stp>2019-12-31</stp>
        <stp>3</stp>
        <tr r="F3082" s="1"/>
      </tp>
      <tp>
        <v>5.8568329700000001</v>
        <stp/>
        <stp>EM_S_PQ_PCTCHANGE</stp>
        <stp>4</stp>
        <stp>002004</stp>
        <stp>2018-12-31</stp>
        <stp>2019-12-30</stp>
        <stp>1</stp>
        <tr r="G1958" s="1"/>
      </tp>
      <tp>
        <v>-6.8025521900000001</v>
        <stp/>
        <stp>EM_S_PQ_PCTCHANGE</stp>
        <stp>4</stp>
        <stp>002215</stp>
        <stp>2018-01-01</stp>
        <stp>2019-12-31</stp>
        <stp>3</stp>
        <tr r="F2430" s="1"/>
      </tp>
      <tp>
        <v>52.016632020000003</v>
        <stp/>
        <stp>EM_S_PQ_PCTCHANGE</stp>
        <stp>4</stp>
        <stp>300037</stp>
        <stp>2018-12-31</stp>
        <stp>2019-12-30</stp>
        <stp>1</stp>
        <tr r="G533" s="1"/>
      </tp>
      <tp>
        <v>107.61672165</v>
        <stp/>
        <stp>EM_S_PQ_PCTCHANGE</stp>
        <stp>4</stp>
        <stp>300226</stp>
        <stp>2018-01-01</stp>
        <stp>2019-12-31</stp>
        <stp>3</stp>
        <tr r="F350" s="1"/>
      </tp>
      <tp>
        <v>6.7204301099999997</v>
        <stp/>
        <stp>EM_S_PQ_PCTCHANGE</stp>
        <stp>4</stp>
        <stp>600067</stp>
        <stp>2018-12-31</stp>
        <stp>2019-12-30</stp>
        <stp>1</stp>
        <tr r="G1911" s="1"/>
      </tp>
      <tp>
        <v>98.797553320000006</v>
        <stp/>
        <stp>EM_S_PQ_PCTCHANGE</stp>
        <stp>4</stp>
        <stp>600276</stp>
        <stp>2018-01-01</stp>
        <stp>2019-12-31</stp>
        <stp>3</stp>
        <tr r="F401" s="1"/>
      </tp>
      <tp>
        <v>-22.07792208</v>
        <stp/>
        <stp>EM_S_PQ_PCTCHANGE</stp>
        <stp>4</stp>
        <stp>603067</stp>
        <stp>2018-12-31</stp>
        <stp>2019-12-30</stp>
        <stp>1</stp>
        <tr r="G3099" s="1"/>
      </tp>
      <tp>
        <v>2.3780487799999999</v>
        <stp/>
        <stp>EM_S_PQ_PCTCHANGE</stp>
        <stp>4</stp>
        <stp>002007</stp>
        <stp>2018-12-31</stp>
        <stp>2019-12-30</stp>
        <stp>1</stp>
        <tr r="G2145" s="1"/>
      </tp>
      <tp>
        <v>77.614050309999996</v>
        <stp/>
        <stp>EM_S_PQ_PCTCHANGE</stp>
        <stp>4</stp>
        <stp>002216</stp>
        <stp>2018-01-01</stp>
        <stp>2019-12-31</stp>
        <stp>3</stp>
        <tr r="F197" s="1"/>
      </tp>
      <tp>
        <v>255.33869116</v>
        <stp/>
        <stp>EM_S_PQ_PCTCHANGE</stp>
        <stp>4</stp>
        <stp>601066</stp>
        <stp>2018-12-31</stp>
        <stp>2019-12-30</stp>
        <stp>1</stp>
        <tr r="G31" s="1"/>
      </tp>
      <tp>
        <v>8.9470812899999999</v>
        <stp/>
        <stp>EM_S_PQ_PCTCHANGE</stp>
        <stp>4</stp>
        <stp>300036</stp>
        <stp>2018-12-31</stp>
        <stp>2019-12-30</stp>
        <stp>1</stp>
        <tr r="G1798" s="1"/>
      </tp>
      <tp>
        <v>-4.3116894099999996</v>
        <stp/>
        <stp>EM_S_PQ_PCTCHANGE</stp>
        <stp>4</stp>
        <stp>300227</stp>
        <stp>2018-01-01</stp>
        <stp>2019-12-31</stp>
        <stp>3</stp>
        <tr r="F659" s="1"/>
      </tp>
      <tp>
        <v>19.493670890000001</v>
        <stp/>
        <stp>EM_S_PQ_PCTCHANGE</stp>
        <stp>4</stp>
        <stp>600066</stp>
        <stp>2018-12-31</stp>
        <stp>2019-12-30</stp>
        <stp>1</stp>
        <tr r="G1296" s="1"/>
      </tp>
      <tp>
        <v>-27.12869121</v>
        <stp/>
        <stp>EM_S_PQ_PCTCHANGE</stp>
        <stp>4</stp>
        <stp>600277</stp>
        <stp>2018-01-01</stp>
        <stp>2019-12-31</stp>
        <stp>3</stp>
        <tr r="F3055" s="1"/>
      </tp>
      <tp>
        <v>8.2269503499999992</v>
        <stp/>
        <stp>EM_S_PQ_PCTCHANGE</stp>
        <stp>4</stp>
        <stp>603066</stp>
        <stp>2018-12-31</stp>
        <stp>2019-12-30</stp>
        <stp>1</stp>
        <tr r="G1845" s="1"/>
      </tp>
      <tp>
        <v>-40.240797020000002</v>
        <stp/>
        <stp>EM_S_PQ_PCTCHANGE</stp>
        <stp>4</stp>
        <stp>603277</stp>
        <stp>2018-01-01</stp>
        <stp>2019-12-31</stp>
        <stp>3</stp>
        <tr r="F1326" s="1"/>
      </tp>
      <tp>
        <v>-14.981949459999999</v>
        <stp/>
        <stp>EM_S_PQ_PCTCHANGE</stp>
        <stp>4</stp>
        <stp>002006</stp>
        <stp>2018-12-31</stp>
        <stp>2019-12-30</stp>
        <stp>1</stp>
        <tr r="G2930" s="1"/>
      </tp>
      <tp>
        <v>-43.787548209999997</v>
        <stp/>
        <stp>EM_S_PQ_PCTCHANGE</stp>
        <stp>4</stp>
        <stp>002217</stp>
        <stp>2018-01-01</stp>
        <stp>2019-12-31</stp>
        <stp>3</stp>
        <tr r="F1404" s="1"/>
      </tp>
      <tp>
        <v>0</v>
        <stp/>
        <stp>EM_S_PQ_PCTCHANGE</stp>
        <stp>4</stp>
        <stp>601268</stp>
        <stp>2018-01-01</stp>
        <stp>2019-12-31</stp>
        <stp>3</stp>
        <tr r="F2338" s="1"/>
      </tp>
      <tp>
        <v>29.37365011</v>
        <stp/>
        <stp>EM_S_PQ_PCTCHANGE</stp>
        <stp>4</stp>
        <stp>300029</stp>
        <stp>2018-12-31</stp>
        <stp>2019-12-30</stp>
        <stp>1</stp>
        <tr r="G944" s="1"/>
      </tp>
      <tp>
        <v>-19.661903550000002</v>
        <stp/>
        <stp>EM_S_PQ_PCTCHANGE</stp>
        <stp>4</stp>
        <stp>300238</stp>
        <stp>2018-01-01</stp>
        <stp>2019-12-31</stp>
        <stp>3</stp>
        <tr r="F179" s="1"/>
      </tp>
      <tp>
        <v>27.218934910000002</v>
        <stp/>
        <stp>EM_S_PQ_PCTCHANGE</stp>
        <stp>4</stp>
        <stp>600079</stp>
        <stp>2018-12-31</stp>
        <stp>2019-12-30</stp>
        <stp>1</stp>
        <tr r="G1010" s="1"/>
      </tp>
      <tp>
        <v>-4.0153300600000001</v>
        <stp/>
        <stp>EM_S_PQ_PCTCHANGE</stp>
        <stp>4</stp>
        <stp>600268</stp>
        <stp>2018-01-01</stp>
        <stp>2019-12-31</stp>
        <stp>3</stp>
        <tr r="F1195" s="1"/>
      </tp>
      <tp>
        <v>146.65427509</v>
        <stp/>
        <stp>EM_S_PQ_PCTCHANGE</stp>
        <stp>4</stp>
        <stp>603079</stp>
        <stp>2018-12-31</stp>
        <stp>2019-12-30</stp>
        <stp>1</stp>
        <tr r="G90" s="1"/>
      </tp>
      <tp>
        <v>-20.92042738</v>
        <stp/>
        <stp>EM_S_PQ_PCTCHANGE</stp>
        <stp>4</stp>
        <stp>603268</stp>
        <stp>2018-01-01</stp>
        <stp>2019-12-31</stp>
        <stp>3</stp>
        <tr r="F2529" s="1"/>
      </tp>
      <tp>
        <v>48.971962619999999</v>
        <stp/>
        <stp>EM_S_PQ_PCTCHANGE</stp>
        <stp>4</stp>
        <stp>002019</stp>
        <stp>2018-12-31</stp>
        <stp>2019-12-30</stp>
        <stp>1</stp>
        <tr r="G581" s="1"/>
      </tp>
      <tp>
        <v>18.60447821</v>
        <stp/>
        <stp>EM_S_PQ_PCTCHANGE</stp>
        <stp>4</stp>
        <stp>002208</stp>
        <stp>2018-01-01</stp>
        <stp>2019-12-31</stp>
        <stp>3</stp>
        <tr r="F3250" s="1"/>
      </tp>
      <tp>
        <v>0</v>
        <stp/>
        <stp>EM_S_PQ_PCTCHANGE</stp>
        <stp>4</stp>
        <stp>300028</stp>
        <stp>2018-12-31</stp>
        <stp>2019-12-30</stp>
        <stp>1</stp>
        <tr r="G2280" s="1"/>
      </tp>
      <tp>
        <v>-3.3582091799999998</v>
        <stp/>
        <stp>EM_S_PQ_PCTCHANGE</stp>
        <stp>4</stp>
        <stp>300239</stp>
        <stp>2018-01-01</stp>
        <stp>2019-12-31</stp>
        <stp>3</stp>
        <tr r="F984" s="1"/>
      </tp>
      <tp>
        <v>63.406940059999997</v>
        <stp/>
        <stp>EM_S_PQ_PCTCHANGE</stp>
        <stp>4</stp>
        <stp>600078</stp>
        <stp>2018-12-31</stp>
        <stp>2019-12-30</stp>
        <stp>1</stp>
        <tr r="G391" s="1"/>
      </tp>
      <tp>
        <v>-14.06092396</v>
        <stp/>
        <stp>EM_S_PQ_PCTCHANGE</stp>
        <stp>4</stp>
        <stp>600269</stp>
        <stp>2018-01-01</stp>
        <stp>2019-12-31</stp>
        <stp>3</stp>
        <tr r="F1972" s="1"/>
      </tp>
      <tp>
        <v>20.34662045</v>
        <stp/>
        <stp>EM_S_PQ_PCTCHANGE</stp>
        <stp>4</stp>
        <stp>603078</stp>
        <stp>2018-12-31</stp>
        <stp>2019-12-30</stp>
        <stp>1</stp>
        <tr r="G1260" s="1"/>
      </tp>
      <tp>
        <v>-43.646220419999999</v>
        <stp/>
        <stp>EM_S_PQ_PCTCHANGE</stp>
        <stp>4</stp>
        <stp>603269</stp>
        <stp>2018-01-01</stp>
        <stp>2019-12-31</stp>
        <stp>3</stp>
        <tr r="F2502" s="1"/>
      </tp>
      <tp>
        <v>-30.752749659999999</v>
        <stp/>
        <stp>EM_S_PQ_PCTCHANGE</stp>
        <stp>4</stp>
        <stp>002209</stp>
        <stp>2018-01-01</stp>
        <stp>2019-12-31</stp>
        <stp>3</stp>
        <tr r="F2160" s="1"/>
      </tp>
      <tp>
        <v>26.02409639</v>
        <stp/>
        <stp>EM_S_PQ_PCTCHANGE</stp>
        <stp>4</stp>
        <stp>300021</stp>
        <stp>2018-12-31</stp>
        <stp>2019-12-30</stp>
        <stp>1</stp>
        <tr r="G1058" s="1"/>
      </tp>
      <tp>
        <v>-43.419627920000003</v>
        <stp/>
        <stp>EM_S_PQ_PCTCHANGE</stp>
        <stp>4</stp>
        <stp>300230</stp>
        <stp>2018-01-01</stp>
        <stp>2019-12-31</stp>
        <stp>3</stp>
        <tr r="F2958" s="1"/>
      </tp>
      <tp>
        <v>52.80748663</v>
        <stp/>
        <stp>EM_S_PQ_PCTCHANGE</stp>
        <stp>4</stp>
        <stp>600071</stp>
        <stp>2018-12-31</stp>
        <stp>2019-12-30</stp>
        <stp>1</stp>
        <tr r="G523" s="1"/>
      </tp>
      <tp>
        <v>-33.84380264</v>
        <stp/>
        <stp>EM_S_PQ_PCTCHANGE</stp>
        <stp>4</stp>
        <stp>600260</stp>
        <stp>2018-01-01</stp>
        <stp>2019-12-31</stp>
        <stp>3</stp>
        <tr r="F3108" s="1"/>
      </tp>
      <tp>
        <v>-25.53503268</v>
        <stp/>
        <stp>EM_S_PQ_PCTCHANGE</stp>
        <stp>4</stp>
        <stp>603260</stp>
        <stp>2018-01-01</stp>
        <stp>2019-12-31</stp>
        <stp>3</stp>
        <tr r="F3246" s="1"/>
      </tp>
      <tp>
        <v>-45.286059629999997</v>
        <stp/>
        <stp>EM_S_PQ_PCTCHANGE</stp>
        <stp>4</stp>
        <stp>002200</stp>
        <stp>2018-01-01</stp>
        <stp>2019-12-31</stp>
        <stp>3</stp>
        <tr r="F1257" s="1"/>
      </tp>
      <tp>
        <v>30.092592589999999</v>
        <stp/>
        <stp>EM_S_PQ_PCTCHANGE</stp>
        <stp>4</stp>
        <stp>300020</stp>
        <stp>2018-12-31</stp>
        <stp>2019-12-30</stp>
        <stp>1</stp>
        <tr r="G927" s="1"/>
      </tp>
      <tp>
        <v>-16.074587739999998</v>
        <stp/>
        <stp>EM_S_PQ_PCTCHANGE</stp>
        <stp>4</stp>
        <stp>300231</stp>
        <stp>2018-01-01</stp>
        <stp>2019-12-31</stp>
        <stp>3</stp>
        <tr r="F943" s="1"/>
      </tp>
      <tp>
        <v>44.171779139999998</v>
        <stp/>
        <stp>EM_S_PQ_PCTCHANGE</stp>
        <stp>4</stp>
        <stp>600070</stp>
        <stp>2018-12-31</stp>
        <stp>2019-12-30</stp>
        <stp>1</stp>
        <tr r="G667" s="1"/>
      </tp>
      <tp>
        <v>-7.0159212499999999</v>
        <stp/>
        <stp>EM_S_PQ_PCTCHANGE</stp>
        <stp>4</stp>
        <stp>600261</stp>
        <stp>2018-01-01</stp>
        <stp>2019-12-31</stp>
        <stp>3</stp>
        <tr r="F753" s="1"/>
      </tp>
      <tp>
        <v>6</v>
        <stp/>
        <stp>EM_S_PQ_PCTCHANGE</stp>
        <stp>4</stp>
        <stp>002010</stp>
        <stp>2018-12-31</stp>
        <stp>2019-12-30</stp>
        <stp>1</stp>
        <tr r="G1950" s="1"/>
      </tp>
      <tp>
        <v>92.17470428</v>
        <stp/>
        <stp>EM_S_PQ_PCTCHANGE</stp>
        <stp>4</stp>
        <stp>002201</stp>
        <stp>2018-01-01</stp>
        <stp>2019-12-31</stp>
        <stp>3</stp>
        <tr r="F33" s="1"/>
      </tp>
      <tp>
        <v>18.286655679999999</v>
        <stp/>
        <stp>EM_S_PQ_PCTCHANGE</stp>
        <stp>4</stp>
        <stp>300023</stp>
        <stp>2018-12-31</stp>
        <stp>2019-12-30</stp>
        <stp>1</stp>
        <tr r="G1352" s="1"/>
      </tp>
      <tp>
        <v>0.87039105000000005</v>
        <stp/>
        <stp>EM_S_PQ_PCTCHANGE</stp>
        <stp>4</stp>
        <stp>300232</stp>
        <stp>2018-01-01</stp>
        <stp>2019-12-31</stp>
        <stp>3</stp>
        <tr r="F1976" s="1"/>
      </tp>
      <tp>
        <v>5.6375838900000002</v>
        <stp/>
        <stp>EM_S_PQ_PCTCHANGE</stp>
        <stp>4</stp>
        <stp>600073</stp>
        <stp>2018-12-31</stp>
        <stp>2019-12-30</stp>
        <stp>1</stp>
        <tr r="G1973" s="1"/>
      </tp>
      <tp>
        <v>-7.1260917600000004</v>
        <stp/>
        <stp>EM_S_PQ_PCTCHANGE</stp>
        <stp>4</stp>
        <stp>600262</stp>
        <stp>2018-01-01</stp>
        <stp>2019-12-31</stp>
        <stp>3</stp>
        <tr r="F2020" s="1"/>
      </tp>
      <tp>
        <v>6.4516128999999998</v>
        <stp/>
        <stp>EM_S_PQ_PCTCHANGE</stp>
        <stp>4</stp>
        <stp>002013</stp>
        <stp>2018-12-31</stp>
        <stp>2019-12-30</stp>
        <stp>1</stp>
        <tr r="G1925" s="1"/>
      </tp>
      <tp>
        <v>-27.768576670000002</v>
        <stp/>
        <stp>EM_S_PQ_PCTCHANGE</stp>
        <stp>4</stp>
        <stp>002202</stp>
        <stp>2018-01-01</stp>
        <stp>2019-12-31</stp>
        <stp>3</stp>
        <tr r="F1408" s="1"/>
      </tp>
      <tp>
        <v>6.62983425</v>
        <stp/>
        <stp>EM_S_PQ_PCTCHANGE</stp>
        <stp>4</stp>
        <stp>300022</stp>
        <stp>2018-12-31</stp>
        <stp>2019-12-30</stp>
        <stp>1</stp>
        <tr r="G1917" s="1"/>
      </tp>
      <tp>
        <v>9.1039648</v>
        <stp/>
        <stp>EM_S_PQ_PCTCHANGE</stp>
        <stp>4</stp>
        <stp>300233</stp>
        <stp>2018-01-01</stp>
        <stp>2019-12-31</stp>
        <stp>3</stp>
        <tr r="F694" s="1"/>
      </tp>
      <tp>
        <v>91.535150650000006</v>
        <stp/>
        <stp>EM_S_PQ_PCTCHANGE</stp>
        <stp>4</stp>
        <stp>600072</stp>
        <stp>2018-12-31</stp>
        <stp>2019-12-30</stp>
        <stp>1</stp>
        <tr r="G198" s="1"/>
      </tp>
      <tp>
        <v>0</v>
        <stp/>
        <stp>EM_S_PQ_PCTCHANGE</stp>
        <stp>4</stp>
        <stp>600263</stp>
        <stp>2018-01-01</stp>
        <stp>2019-12-31</stp>
        <stp>3</stp>
        <tr r="F2297" s="1"/>
      </tp>
      <tp>
        <v>46.938775509999999</v>
        <stp/>
        <stp>EM_S_PQ_PCTCHANGE</stp>
        <stp>4</stp>
        <stp>002012</stp>
        <stp>2018-12-31</stp>
        <stp>2019-12-30</stp>
        <stp>1</stp>
        <tr r="G608" s="1"/>
      </tp>
      <tp>
        <v>33.107887789999999</v>
        <stp/>
        <stp>EM_S_PQ_PCTCHANGE</stp>
        <stp>4</stp>
        <stp>002203</stp>
        <stp>2018-01-01</stp>
        <stp>2019-12-31</stp>
        <stp>3</stp>
        <tr r="F951" s="1"/>
      </tp>
      <tp>
        <v>8.3507306900000007</v>
        <stp/>
        <stp>EM_S_PQ_PCTCHANGE</stp>
        <stp>4</stp>
        <stp>300025</stp>
        <stp>2018-12-31</stp>
        <stp>2019-12-30</stp>
        <stp>1</stp>
        <tr r="G1834" s="1"/>
      </tp>
      <tp>
        <v>23.600439080000001</v>
        <stp/>
        <stp>EM_S_PQ_PCTCHANGE</stp>
        <stp>4</stp>
        <stp>300234</stp>
        <stp>2018-01-01</stp>
        <stp>2019-12-31</stp>
        <stp>3</stp>
        <tr r="F173" s="1"/>
      </tp>
      <tp>
        <v>10.39823009</v>
        <stp/>
        <stp>EM_S_PQ_PCTCHANGE</stp>
        <stp>4</stp>
        <stp>600075</stp>
        <stp>2018-12-31</stp>
        <stp>2019-12-30</stp>
        <stp>1</stp>
        <tr r="G1714" s="1"/>
      </tp>
      <tp>
        <v>11.134453779999999</v>
        <stp/>
        <stp>EM_S_PQ_PCTCHANGE</stp>
        <stp>4</stp>
        <stp>002015</stp>
        <stp>2018-12-31</stp>
        <stp>2019-12-30</stp>
        <stp>1</stp>
        <tr r="G1673" s="1"/>
      </tp>
      <tp>
        <v>-24.90164979</v>
        <stp/>
        <stp>EM_S_PQ_PCTCHANGE</stp>
        <stp>4</stp>
        <stp>002204</stp>
        <stp>2018-01-01</stp>
        <stp>2019-12-31</stp>
        <stp>3</stp>
        <tr r="F1806" s="1"/>
      </tp>
      <tp>
        <v>5.9757942499999999</v>
        <stp/>
        <stp>EM_S_PQ_PCTCHANGE</stp>
        <stp>4</stp>
        <stp>300024</stp>
        <stp>2018-12-31</stp>
        <stp>2019-12-30</stp>
        <stp>1</stp>
        <tr r="G1953" s="1"/>
      </tp>
      <tp>
        <v>17.264957259999999</v>
        <stp/>
        <stp>EM_S_PQ_PCTCHANGE</stp>
        <stp>4</stp>
        <stp>300235</stp>
        <stp>2018-01-01</stp>
        <stp>2019-12-31</stp>
        <stp>3</stp>
        <tr r="F431" s="1"/>
      </tp>
      <tp>
        <v>-13.33333333</v>
        <stp/>
        <stp>EM_S_PQ_PCTCHANGE</stp>
        <stp>4</stp>
        <stp>600074</stp>
        <stp>2018-12-31</stp>
        <stp>2019-12-30</stp>
        <stp>1</stp>
        <tr r="G2876" s="1"/>
      </tp>
      <tp>
        <v>12.89117235</v>
        <stp/>
        <stp>EM_S_PQ_PCTCHANGE</stp>
        <stp>4</stp>
        <stp>600265</stp>
        <stp>2018-01-01</stp>
        <stp>2019-12-31</stp>
        <stp>3</stp>
        <tr r="F2743" s="1"/>
      </tp>
      <tp>
        <v>45.12195122</v>
        <stp/>
        <stp>EM_S_PQ_PCTCHANGE</stp>
        <stp>4</stp>
        <stp>002014</stp>
        <stp>2018-12-31</stp>
        <stp>2019-12-30</stp>
        <stp>1</stp>
        <tr r="G643" s="1"/>
      </tp>
      <tp>
        <v>-18.687273990000001</v>
        <stp/>
        <stp>EM_S_PQ_PCTCHANGE</stp>
        <stp>4</stp>
        <stp>002205</stp>
        <stp>2018-01-01</stp>
        <stp>2019-12-31</stp>
        <stp>3</stp>
        <tr r="F1137" s="1"/>
      </tp>
      <tp>
        <v>0.63965885</v>
        <stp/>
        <stp>EM_S_PQ_PCTCHANGE</stp>
        <stp>4</stp>
        <stp>300027</stp>
        <stp>2018-12-31</stp>
        <stp>2019-12-30</stp>
        <stp>1</stp>
        <tr r="G2241" s="1"/>
      </tp>
      <tp>
        <v>22.418529289999999</v>
        <stp/>
        <stp>EM_S_PQ_PCTCHANGE</stp>
        <stp>4</stp>
        <stp>300236</stp>
        <stp>2018-01-01</stp>
        <stp>2019-12-31</stp>
        <stp>3</stp>
        <tr r="F1622" s="1"/>
      </tp>
      <tp>
        <v>13.56589147</v>
        <stp/>
        <stp>EM_S_PQ_PCTCHANGE</stp>
        <stp>4</stp>
        <stp>600077</stp>
        <stp>2018-12-31</stp>
        <stp>2019-12-30</stp>
        <stp>1</stp>
        <tr r="G1551" s="1"/>
      </tp>
      <tp>
        <v>-21.907103920000001</v>
        <stp/>
        <stp>EM_S_PQ_PCTCHANGE</stp>
        <stp>4</stp>
        <stp>600266</stp>
        <stp>2018-01-01</stp>
        <stp>2019-12-31</stp>
        <stp>3</stp>
        <tr r="F2129" s="1"/>
      </tp>
      <tp>
        <v>-10.49382716</v>
        <stp/>
        <stp>EM_S_PQ_PCTCHANGE</stp>
        <stp>4</stp>
        <stp>603077</stp>
        <stp>2018-12-31</stp>
        <stp>2019-12-30</stp>
        <stp>1</stp>
        <tr r="G2778" s="1"/>
      </tp>
      <tp>
        <v>-10.562498229999999</v>
        <stp/>
        <stp>EM_S_PQ_PCTCHANGE</stp>
        <stp>4</stp>
        <stp>603266</stp>
        <stp>2018-01-01</stp>
        <stp>2019-12-31</stp>
        <stp>3</stp>
        <tr r="F2948" s="1"/>
      </tp>
      <tp>
        <v>-30.612357589999998</v>
        <stp/>
        <stp>EM_S_PQ_PCTCHANGE</stp>
        <stp>4</stp>
        <stp>002206</stp>
        <stp>2018-01-01</stp>
        <stp>2019-12-31</stp>
        <stp>3</stp>
        <tr r="F2495" s="1"/>
      </tp>
      <tp>
        <v>13.114754100000001</v>
        <stp/>
        <stp>EM_S_PQ_PCTCHANGE</stp>
        <stp>4</stp>
        <stp>300026</stp>
        <stp>2018-12-31</stp>
        <stp>2019-12-30</stp>
        <stp>1</stp>
        <tr r="G1577" s="1"/>
      </tp>
      <tp>
        <v>-71.679487710000004</v>
        <stp/>
        <stp>EM_S_PQ_PCTCHANGE</stp>
        <stp>4</stp>
        <stp>300237</stp>
        <stp>2018-01-01</stp>
        <stp>2019-12-31</stp>
        <stp>3</stp>
        <tr r="F3205" s="1"/>
      </tp>
      <tp>
        <v>5.1219512199999997</v>
        <stp/>
        <stp>EM_S_PQ_PCTCHANGE</stp>
        <stp>4</stp>
        <stp>600076</stp>
        <stp>2018-12-31</stp>
        <stp>2019-12-30</stp>
        <stp>1</stp>
        <tr r="G2007" s="1"/>
      </tp>
      <tp>
        <v>-34.33932008</v>
        <stp/>
        <stp>EM_S_PQ_PCTCHANGE</stp>
        <stp>4</stp>
        <stp>600267</stp>
        <stp>2018-01-01</stp>
        <stp>2019-12-31</stp>
        <stp>3</stp>
        <tr r="F1513" s="1"/>
      </tp>
      <tp>
        <v>-1.1442582800000001</v>
        <stp/>
        <stp>EM_S_PQ_PCTCHANGE</stp>
        <stp>4</stp>
        <stp>603076</stp>
        <stp>2018-12-31</stp>
        <stp>2019-12-30</stp>
        <stp>1</stp>
        <tr r="G2382" s="1"/>
      </tp>
      <tp>
        <v>-4.2128603099999999</v>
        <stp/>
        <stp>EM_S_PQ_PCTCHANGE</stp>
        <stp>4</stp>
        <stp>002016</stp>
        <stp>2018-12-31</stp>
        <stp>2019-12-30</stp>
        <stp>1</stp>
        <tr r="G2526" s="1"/>
      </tp>
      <tp>
        <v>-36.393805309999998</v>
        <stp/>
        <stp>EM_S_PQ_PCTCHANGE</stp>
        <stp>4</stp>
        <stp>002207</stp>
        <stp>2018-01-01</stp>
        <stp>2019-12-31</stp>
        <stp>3</stp>
        <tr r="F968" s="1"/>
      </tp>
      <tp>
        <v>-42.422535230000001</v>
        <stp/>
        <stp>EM_S_PQ_PCTCHANGE</stp>
        <stp>4</stp>
        <stp>601258</stp>
        <stp>2018-01-01</stp>
        <stp>2019-12-31</stp>
        <stp>3</stp>
        <tr r="F2081" s="1"/>
      </tp>
      <tp>
        <v>63.484087100000004</v>
        <stp/>
        <stp>EM_S_PQ_PCTCHANGE</stp>
        <stp>4</stp>
        <stp>300019</stp>
        <stp>2018-12-31</stp>
        <stp>2019-12-30</stp>
        <stp>1</stp>
        <tr r="G390" s="1"/>
      </tp>
      <tp>
        <v>-42.783916150000003</v>
        <stp/>
        <stp>EM_S_PQ_PCTCHANGE</stp>
        <stp>4</stp>
        <stp>300208</stp>
        <stp>2018-01-01</stp>
        <stp>2019-12-31</stp>
        <stp>3</stp>
        <tr r="F1037" s="1"/>
      </tp>
      <tp>
        <v>-7.5707398899999996</v>
        <stp/>
        <stp>EM_S_PQ_PCTCHANGE</stp>
        <stp>4</stp>
        <stp>600258</stp>
        <stp>2018-01-01</stp>
        <stp>2019-12-31</stp>
        <stp>3</stp>
        <tr r="F833" s="1"/>
      </tp>
      <tp>
        <v>-26.446942320000002</v>
        <stp/>
        <stp>EM_S_PQ_PCTCHANGE</stp>
        <stp>4</stp>
        <stp>603258</stp>
        <stp>2018-01-01</stp>
        <stp>2019-12-31</stp>
        <stp>3</stp>
        <tr r="F727" s="1"/>
      </tp>
      <tp>
        <v>-4.83870968</v>
        <stp/>
        <stp>EM_S_PQ_PCTCHANGE</stp>
        <stp>4</stp>
        <stp>002029</stp>
        <stp>2018-12-31</stp>
        <stp>2019-12-30</stp>
        <stp>1</stp>
        <tr r="G2562" s="1"/>
      </tp>
      <tp>
        <v>-14.6564152</v>
        <stp/>
        <stp>EM_S_PQ_PCTCHANGE</stp>
        <stp>4</stp>
        <stp>002238</stp>
        <stp>2018-01-01</stp>
        <stp>2019-12-31</stp>
        <stp>3</stp>
        <tr r="F1196" s="1"/>
      </tp>
      <tp>
        <v>15.8836689</v>
        <stp/>
        <stp>EM_S_PQ_PCTCHANGE</stp>
        <stp>4</stp>
        <stp>300018</stp>
        <stp>2018-12-31</stp>
        <stp>2019-12-30</stp>
        <stp>1</stp>
        <tr r="G1441" s="1"/>
      </tp>
      <tp>
        <v>-21.765268849999998</v>
        <stp/>
        <stp>EM_S_PQ_PCTCHANGE</stp>
        <stp>4</stp>
        <stp>300209</stp>
        <stp>2018-01-01</stp>
        <stp>2019-12-31</stp>
        <stp>3</stp>
        <tr r="F866" s="1"/>
      </tp>
      <tp>
        <v>37.998303649999997</v>
        <stp/>
        <stp>EM_S_PQ_PCTCHANGE</stp>
        <stp>4</stp>
        <stp>600048</stp>
        <stp>2018-12-31</stp>
        <stp>2019-12-30</stp>
        <stp>1</stp>
        <tr r="G771" s="1"/>
      </tp>
      <tp>
        <v>-11.50419954</v>
        <stp/>
        <stp>EM_S_PQ_PCTCHANGE</stp>
        <stp>4</stp>
        <stp>600259</stp>
        <stp>2018-01-01</stp>
        <stp>2019-12-31</stp>
        <stp>3</stp>
        <tr r="F486" s="1"/>
      </tp>
      <tp>
        <v>500.87323207999998</v>
        <stp/>
        <stp>EM_S_PQ_PCTCHANGE</stp>
        <stp>4</stp>
        <stp>603259</stp>
        <stp>2018-01-01</stp>
        <stp>2019-12-31</stp>
        <stp>3</stp>
        <tr r="F1205" s="1"/>
      </tp>
      <tp>
        <v>39.614994930000002</v>
        <stp/>
        <stp>EM_S_PQ_PCTCHANGE</stp>
        <stp>4</stp>
        <stp>002028</stp>
        <stp>2018-12-31</stp>
        <stp>2019-12-30</stp>
        <stp>1</stp>
        <tr r="G743" s="1"/>
      </tp>
      <tp>
        <v>-55.818883030000002</v>
        <stp/>
        <stp>EM_S_PQ_PCTCHANGE</stp>
        <stp>4</stp>
        <stp>002239</stp>
        <stp>2018-01-01</stp>
        <stp>2019-12-31</stp>
        <stp>3</stp>
        <tr r="F2868" s="1"/>
      </tp>
      <tp>
        <v>-2.47933884</v>
        <stp/>
        <stp>EM_S_PQ_PCTCHANGE</stp>
        <stp>4</stp>
        <stp>300011</stp>
        <stp>2018-12-31</stp>
        <stp>2019-12-30</stp>
        <stp>1</stp>
        <tr r="G2446" s="1"/>
      </tp>
      <tp>
        <v>33.112176910000002</v>
        <stp/>
        <stp>EM_S_PQ_PCTCHANGE</stp>
        <stp>4</stp>
        <stp>300200</stp>
        <stp>2018-01-01</stp>
        <stp>2019-12-31</stp>
        <stp>3</stp>
        <tr r="F246" s="1"/>
      </tp>
      <tp>
        <v>-47.734627830000001</v>
        <stp/>
        <stp>EM_S_PQ_PCTCHANGE</stp>
        <stp>4</stp>
        <stp>600250</stp>
        <stp>2018-01-01</stp>
        <stp>2019-12-31</stp>
        <stp>3</stp>
        <tr r="F3043" s="1"/>
      </tp>
      <tp>
        <v>21.383203949999999</v>
        <stp/>
        <stp>EM_S_PQ_PCTCHANGE</stp>
        <stp>4</stp>
        <stp>603041</stp>
        <stp>2018-12-31</stp>
        <stp>2019-12-30</stp>
        <stp>1</stp>
        <tr r="G1218" s="1"/>
      </tp>
      <tp>
        <v>-12.14359784</v>
        <stp/>
        <stp>EM_S_PQ_PCTCHANGE</stp>
        <stp>4</stp>
        <stp>002230</stp>
        <stp>2018-01-01</stp>
        <stp>2019-12-31</stp>
        <stp>3</stp>
        <tr r="F734" s="1"/>
      </tp>
      <tp>
        <v>74.380165289999994</v>
        <stp/>
        <stp>EM_S_PQ_PCTCHANGE</stp>
        <stp>4</stp>
        <stp>300010</stp>
        <stp>2018-12-31</stp>
        <stp>2019-12-30</stp>
        <stp>1</stp>
        <tr r="G280" s="1"/>
      </tp>
      <tp>
        <v>-42.04552546</v>
        <stp/>
        <stp>EM_S_PQ_PCTCHANGE</stp>
        <stp>4</stp>
        <stp>300201</stp>
        <stp>2018-01-01</stp>
        <stp>2019-12-31</stp>
        <stp>3</stp>
        <tr r="F2087" s="1"/>
      </tp>
      <tp>
        <v>-29.517532719999998</v>
        <stp/>
        <stp>EM_S_PQ_PCTCHANGE</stp>
        <stp>4</stp>
        <stp>600251</stp>
        <stp>2018-01-01</stp>
        <stp>2019-12-31</stp>
        <stp>3</stp>
        <tr r="F1731" s="1"/>
      </tp>
      <tp>
        <v>31.751412429999998</v>
        <stp/>
        <stp>EM_S_PQ_PCTCHANGE</stp>
        <stp>4</stp>
        <stp>603040</stp>
        <stp>2018-12-31</stp>
        <stp>2019-12-30</stp>
        <stp>1</stp>
        <tr r="G891" s="1"/>
      </tp>
      <tp>
        <v>21.976744190000002</v>
        <stp/>
        <stp>EM_S_PQ_PCTCHANGE</stp>
        <stp>4</stp>
        <stp>002020</stp>
        <stp>2018-12-31</stp>
        <stp>2019-12-30</stp>
        <stp>1</stp>
        <tr r="G1187" s="1"/>
      </tp>
      <tp>
        <v>-36.276343879999999</v>
        <stp/>
        <stp>EM_S_PQ_PCTCHANGE</stp>
        <stp>4</stp>
        <stp>002231</stp>
        <stp>2018-01-01</stp>
        <stp>2019-12-31</stp>
        <stp>3</stp>
        <tr r="F2167" s="1"/>
      </tp>
      <tp>
        <v>-6.4551422299999999</v>
        <stp/>
        <stp>EM_S_PQ_PCTCHANGE</stp>
        <stp>4</stp>
        <stp>300013</stp>
        <stp>2018-12-31</stp>
        <stp>2019-12-30</stp>
        <stp>1</stp>
        <tr r="G2628" s="1"/>
      </tp>
      <tp>
        <v>-37.570076489999998</v>
        <stp/>
        <stp>EM_S_PQ_PCTCHANGE</stp>
        <stp>4</stp>
        <stp>300202</stp>
        <stp>2018-01-01</stp>
        <stp>2019-12-31</stp>
        <stp>3</stp>
        <tr r="F299" s="1"/>
      </tp>
      <tp>
        <v>-23.012412319999999</v>
        <stp/>
        <stp>EM_S_PQ_PCTCHANGE</stp>
        <stp>4</stp>
        <stp>600252</stp>
        <stp>2018-01-01</stp>
        <stp>2019-12-31</stp>
        <stp>3</stp>
        <tr r="F1069" s="1"/>
      </tp>
      <tp>
        <v>11.152141800000001</v>
        <stp/>
        <stp>EM_S_PQ_PCTCHANGE</stp>
        <stp>4</stp>
        <stp>603043</stp>
        <stp>2018-12-31</stp>
        <stp>2019-12-30</stp>
        <stp>1</stp>
        <tr r="G1672" s="1"/>
      </tp>
      <tp>
        <v>13.14009662</v>
        <stp/>
        <stp>EM_S_PQ_PCTCHANGE</stp>
        <stp>4</stp>
        <stp>002023</stp>
        <stp>2018-12-31</stp>
        <stp>2019-12-30</stp>
        <stp>1</stp>
        <tr r="G1575" s="1"/>
      </tp>
      <tp>
        <v>-17.282926639999999</v>
        <stp/>
        <stp>EM_S_PQ_PCTCHANGE</stp>
        <stp>4</stp>
        <stp>002232</stp>
        <stp>2018-01-01</stp>
        <stp>2019-12-31</stp>
        <stp>3</stp>
        <tr r="F1004" s="1"/>
      </tp>
      <tp>
        <v>126.87022901</v>
        <stp/>
        <stp>EM_S_PQ_PCTCHANGE</stp>
        <stp>4</stp>
        <stp>300012</stp>
        <stp>2018-12-31</stp>
        <stp>2019-12-30</stp>
        <stp>1</stp>
        <tr r="G112" s="1"/>
      </tp>
      <tp>
        <v>-51.587914040000001</v>
        <stp/>
        <stp>EM_S_PQ_PCTCHANGE</stp>
        <stp>4</stp>
        <stp>300203</stp>
        <stp>2018-01-01</stp>
        <stp>2019-12-31</stp>
        <stp>3</stp>
        <tr r="F3273" s="1"/>
      </tp>
      <tp>
        <v>0</v>
        <stp/>
        <stp>EM_S_PQ_PCTCHANGE</stp>
        <stp>4</stp>
        <stp>600253</stp>
        <stp>2018-01-01</stp>
        <stp>2019-12-31</stp>
        <stp>3</stp>
        <tr r="F2296" s="1"/>
      </tp>
      <tp>
        <v>-1.2361743700000001</v>
        <stp/>
        <stp>EM_S_PQ_PCTCHANGE</stp>
        <stp>4</stp>
        <stp>603042</stp>
        <stp>2018-12-31</stp>
        <stp>2019-12-30</stp>
        <stp>1</stp>
        <tr r="G2387" s="1"/>
      </tp>
      <tp>
        <v>18.656716419999999</v>
        <stp/>
        <stp>EM_S_PQ_PCTCHANGE</stp>
        <stp>4</stp>
        <stp>002022</stp>
        <stp>2018-12-31</stp>
        <stp>2019-12-30</stp>
        <stp>1</stp>
        <tr r="G1340" s="1"/>
      </tp>
      <tp>
        <v>20.14571566</v>
        <stp/>
        <stp>EM_S_PQ_PCTCHANGE</stp>
        <stp>4</stp>
        <stp>002233</stp>
        <stp>2018-01-01</stp>
        <stp>2019-12-31</stp>
        <stp>3</stp>
        <tr r="F1157" s="1"/>
      </tp>
      <tp>
        <v>47.072243350000001</v>
        <stp/>
        <stp>EM_S_PQ_PCTCHANGE</stp>
        <stp>4</stp>
        <stp>300015</stp>
        <stp>2018-12-31</stp>
        <stp>2019-12-30</stp>
        <stp>1</stp>
        <tr r="G607" s="1"/>
      </tp>
      <tp>
        <v>-14.00947875</v>
        <stp/>
        <stp>EM_S_PQ_PCTCHANGE</stp>
        <stp>4</stp>
        <stp>300204</stp>
        <stp>2018-01-01</stp>
        <stp>2019-12-31</stp>
        <stp>3</stp>
        <tr r="F2375" s="1"/>
      </tp>
      <tp>
        <v>-48.188153309999997</v>
        <stp/>
        <stp>EM_S_PQ_PCTCHANGE</stp>
        <stp>4</stp>
        <stp>603045</stp>
        <stp>2018-12-31</stp>
        <stp>2019-12-30</stp>
        <stp>1</stp>
        <tr r="G3358" s="1"/>
      </tp>
      <tp>
        <v>23.00513299</v>
        <stp/>
        <stp>EM_S_PQ_PCTCHANGE</stp>
        <stp>4</stp>
        <stp>002025</stp>
        <stp>2018-12-31</stp>
        <stp>2019-12-30</stp>
        <stp>1</stp>
        <tr r="G1156" s="1"/>
      </tp>
      <tp>
        <v>179.03508772000001</v>
        <stp/>
        <stp>EM_S_PQ_PCTCHANGE</stp>
        <stp>4</stp>
        <stp>002234</stp>
        <stp>2018-01-01</stp>
        <stp>2019-12-31</stp>
        <stp>3</stp>
        <tr r="F58" s="1"/>
      </tp>
      <tp>
        <v>213.80407124999999</v>
        <stp/>
        <stp>EM_S_PQ_PCTCHANGE</stp>
        <stp>4</stp>
        <stp>300014</stp>
        <stp>2018-12-31</stp>
        <stp>2019-12-30</stp>
        <stp>1</stp>
        <tr r="G40" s="1"/>
      </tp>
      <tp>
        <v>17.80669382</v>
        <stp/>
        <stp>EM_S_PQ_PCTCHANGE</stp>
        <stp>4</stp>
        <stp>300205</stp>
        <stp>2018-01-01</stp>
        <stp>2019-12-31</stp>
        <stp>3</stp>
        <tr r="F825" s="1"/>
      </tp>
      <tp>
        <v>-59.055118110000002</v>
        <stp/>
        <stp>EM_S_PQ_PCTCHANGE</stp>
        <stp>4</stp>
        <stp>600255</stp>
        <stp>2018-01-01</stp>
        <stp>2019-12-31</stp>
        <stp>3</stp>
        <tr r="F2860" s="1"/>
      </tp>
      <tp>
        <v>2.53807107</v>
        <stp/>
        <stp>EM_S_PQ_PCTCHANGE</stp>
        <stp>4</stp>
        <stp>002024</stp>
        <stp>2018-12-31</stp>
        <stp>2019-12-30</stp>
        <stp>1</stp>
        <tr r="G2136" s="1"/>
      </tp>
      <tp>
        <v>25.92768495</v>
        <stp/>
        <stp>EM_S_PQ_PCTCHANGE</stp>
        <stp>4</stp>
        <stp>002235</stp>
        <stp>2018-01-01</stp>
        <stp>2019-12-31</stp>
        <stp>3</stp>
        <tr r="F359" s="1"/>
      </tp>
      <tp>
        <v>21.455938700000001</v>
        <stp/>
        <stp>EM_S_PQ_PCTCHANGE</stp>
        <stp>4</stp>
        <stp>300017</stp>
        <stp>2018-12-31</stp>
        <stp>2019-12-30</stp>
        <stp>1</stp>
        <tr r="G1215" s="1"/>
      </tp>
      <tp>
        <v>-11.2791564</v>
        <stp/>
        <stp>EM_S_PQ_PCTCHANGE</stp>
        <stp>4</stp>
        <stp>300206</stp>
        <stp>2018-01-01</stp>
        <stp>2019-12-31</stp>
        <stp>3</stp>
        <tr r="F1176" s="1"/>
      </tp>
      <tp>
        <v>-25.10258988</v>
        <stp/>
        <stp>EM_S_PQ_PCTCHANGE</stp>
        <stp>4</stp>
        <stp>600256</stp>
        <stp>2018-01-01</stp>
        <stp>2019-12-31</stp>
        <stp>3</stp>
        <tr r="F2837" s="1"/>
      </tp>
      <tp>
        <v>20.229007630000002</v>
        <stp/>
        <stp>EM_S_PQ_PCTCHANGE</stp>
        <stp>4</stp>
        <stp>002027</stp>
        <stp>2018-12-31</stp>
        <stp>2019-12-30</stp>
        <stp>1</stp>
        <tr r="G1266" s="1"/>
      </tp>
      <tp>
        <v>-12.680113499999999</v>
        <stp/>
        <stp>EM_S_PQ_PCTCHANGE</stp>
        <stp>4</stp>
        <stp>002236</stp>
        <stp>2018-01-01</stp>
        <stp>2019-12-31</stp>
        <stp>3</stp>
        <tr r="F283" s="1"/>
      </tp>
      <tp>
        <v>27.85714286</v>
        <stp/>
        <stp>EM_S_PQ_PCTCHANGE</stp>
        <stp>4</stp>
        <stp>300016</stp>
        <stp>2018-12-31</stp>
        <stp>2019-12-30</stp>
        <stp>1</stp>
        <tr r="G993" s="1"/>
      </tp>
      <tp>
        <v>105.96328167</v>
        <stp/>
        <stp>EM_S_PQ_PCTCHANGE</stp>
        <stp>4</stp>
        <stp>300207</stp>
        <stp>2018-01-01</stp>
        <stp>2019-12-31</stp>
        <stp>3</stp>
        <tr r="F108" s="1"/>
      </tp>
      <tp>
        <v>-41.621621619999999</v>
        <stp/>
        <stp>EM_S_PQ_PCTCHANGE</stp>
        <stp>4</stp>
        <stp>600257</stp>
        <stp>2018-01-01</stp>
        <stp>2019-12-31</stp>
        <stp>3</stp>
        <tr r="F2166" s="1"/>
      </tp>
      <tp>
        <v>-6.3405797100000001</v>
        <stp/>
        <stp>EM_S_PQ_PCTCHANGE</stp>
        <stp>4</stp>
        <stp>002026</stp>
        <stp>2018-12-31</stp>
        <stp>2019-12-30</stp>
        <stp>1</stp>
        <tr r="G2623" s="1"/>
      </tp>
      <tp>
        <v>33.540127849999998</v>
        <stp/>
        <stp>EM_S_PQ_PCTCHANGE</stp>
        <stp>4</stp>
        <stp>002237</stp>
        <stp>2018-01-01</stp>
        <stp>2019-12-31</stp>
        <stp>3</stp>
        <tr r="F382" s="1"/>
      </tp>
      <tp>
        <v>2.6298324918080001</v>
        <stp/>
        <stp>EM_S_FA_BPS</stp>
        <stp>3</stp>
        <stp>000008</stp>
        <stp>12/31/2018</stp>
        <stp>1</stp>
        <tr r="V2627" s="1"/>
      </tp>
      <tp>
        <v>11.37724551</v>
        <stp/>
        <stp>EM_S_PQ_PCTCHANGE</stp>
        <stp>4</stp>
        <stp>300009</stp>
        <stp>2018-12-31</stp>
        <stp>2019-12-30</stp>
        <stp>1</stp>
        <tr r="G1660" s="1"/>
      </tp>
      <tp>
        <v>-9.92633133</v>
        <stp/>
        <stp>EM_S_PQ_PCTCHANGE</stp>
        <stp>4</stp>
        <stp>300218</stp>
        <stp>2018-01-01</stp>
        <stp>2019-12-31</stp>
        <stp>3</stp>
        <tr r="F970" s="1"/>
      </tp>
      <tp>
        <v>28.18181818</v>
        <stp/>
        <stp>EM_S_PQ_PCTCHANGE</stp>
        <stp>4</stp>
        <stp>600059</stp>
        <stp>2018-12-31</stp>
        <stp>2019-12-30</stp>
        <stp>1</stp>
        <tr r="G979" s="1"/>
      </tp>
      <tp>
        <v>-17.852415570000002</v>
        <stp/>
        <stp>EM_S_PQ_PCTCHANGE</stp>
        <stp>4</stp>
        <stp>600248</stp>
        <stp>2018-01-01</stp>
        <stp>2019-12-31</stp>
        <stp>3</stp>
        <tr r="F1689" s="1"/>
      </tp>
      <tp>
        <v>-17.009168509999999</v>
        <stp/>
        <stp>EM_S_PQ_PCTCHANGE</stp>
        <stp>4</stp>
        <stp>603059</stp>
        <stp>2018-12-31</stp>
        <stp>2019-12-30</stp>
        <stp>1</stp>
        <tr r="G2986" s="1"/>
      </tp>
      <tp>
        <v>-4.2008643699999997</v>
        <stp/>
        <stp>EM_S_PQ_PCTCHANGE</stp>
        <stp>4</stp>
        <stp>002228</stp>
        <stp>2018-01-01</stp>
        <stp>2019-12-31</stp>
        <stp>3</stp>
        <tr r="F2642" s="1"/>
      </tp>
      <tp>
        <v>100.44843049000001</v>
        <stp/>
        <stp>EM_S_PQ_PCTCHANGE</stp>
        <stp>4</stp>
        <stp>601058</stp>
        <stp>2018-12-31</stp>
        <stp>2019-12-30</stp>
        <stp>1</stp>
        <tr r="G167" s="1"/>
      </tp>
      <tp>
        <v>11.583011580000001</v>
        <stp/>
        <stp>EM_S_PQ_PCTCHANGE</stp>
        <stp>4</stp>
        <stp>300008</stp>
        <stp>2018-12-31</stp>
        <stp>2019-12-30</stp>
        <stp>1</stp>
        <tr r="G1648" s="1"/>
      </tp>
      <tp>
        <v>-36.775997799999999</v>
        <stp/>
        <stp>EM_S_PQ_PCTCHANGE</stp>
        <stp>4</stp>
        <stp>300219</stp>
        <stp>2018-01-01</stp>
        <stp>2019-12-31</stp>
        <stp>3</stp>
        <tr r="F2822" s="1"/>
      </tp>
      <tp>
        <v>20.122887859999999</v>
        <stp/>
        <stp>EM_S_PQ_PCTCHANGE</stp>
        <stp>4</stp>
        <stp>600058</stp>
        <stp>2018-12-31</stp>
        <stp>2019-12-30</stp>
        <stp>1</stp>
        <tr r="G1269" s="1"/>
      </tp>
      <tp>
        <v>-32.095096580000003</v>
        <stp/>
        <stp>EM_S_PQ_PCTCHANGE</stp>
        <stp>4</stp>
        <stp>600249</stp>
        <stp>2018-01-01</stp>
        <stp>2019-12-31</stp>
        <stp>3</stp>
        <tr r="F1050" s="1"/>
      </tp>
      <tp>
        <v>-21.451104099999998</v>
        <stp/>
        <stp>EM_S_PQ_PCTCHANGE</stp>
        <stp>4</stp>
        <stp>603058</stp>
        <stp>2018-12-31</stp>
        <stp>2019-12-30</stp>
        <stp>1</stp>
        <tr r="G3088" s="1"/>
      </tp>
      <tp>
        <v>-48.810963319999999</v>
        <stp/>
        <stp>EM_S_PQ_PCTCHANGE</stp>
        <stp>4</stp>
        <stp>002038</stp>
        <stp>2018-12-31</stp>
        <stp>2019-12-30</stp>
        <stp>1</stp>
        <tr r="G3361" s="1"/>
      </tp>
      <tp>
        <v>-28.510144279999999</v>
        <stp/>
        <stp>EM_S_PQ_PCTCHANGE</stp>
        <stp>4</stp>
        <stp>002229</stp>
        <stp>2018-01-01</stp>
        <stp>2019-12-31</stp>
        <stp>3</stp>
        <tr r="F2717" s="1"/>
      </tp>
      <tp>
        <v>-0.45636051999999999</v>
        <stp/>
        <stp>EM_S_PQ_PCTCHANGE</stp>
        <stp>4</stp>
        <stp>300001</stp>
        <stp>2018-12-31</stp>
        <stp>2019-12-30</stp>
        <stp>1</stp>
        <tr r="G2358" s="1"/>
      </tp>
      <tp>
        <v>-42.864285539999997</v>
        <stp/>
        <stp>EM_S_PQ_PCTCHANGE</stp>
        <stp>4</stp>
        <stp>300210</stp>
        <stp>2018-01-01</stp>
        <stp>2019-12-31</stp>
        <stp>3</stp>
        <tr r="F3058" s="1"/>
      </tp>
      <tp>
        <v>10.57513915</v>
        <stp/>
        <stp>EM_S_PQ_PCTCHANGE</stp>
        <stp>4</stp>
        <stp>600051</stp>
        <stp>2018-12-31</stp>
        <stp>2019-12-30</stp>
        <stp>1</stp>
        <tr r="G1703" s="1"/>
      </tp>
      <tp>
        <v>-95.865917229999994</v>
        <stp/>
        <stp>EM_S_PQ_PCTCHANGE</stp>
        <stp>4</stp>
        <stp>600240</stp>
        <stp>2018-01-01</stp>
        <stp>2019-12-31</stp>
        <stp>3</stp>
        <tr r="F3408" s="1"/>
      </tp>
      <tp>
        <v>5.3191489399999998</v>
        <stp/>
        <stp>EM_S_PQ_PCTCHANGE</stp>
        <stp>4</stp>
        <stp>002031</stp>
        <stp>2018-12-31</stp>
        <stp>2019-12-30</stp>
        <stp>1</stp>
        <tr r="G1994" s="1"/>
      </tp>
      <tp>
        <v>-71.289912029999996</v>
        <stp/>
        <stp>EM_S_PQ_PCTCHANGE</stp>
        <stp>4</stp>
        <stp>002220</stp>
        <stp>2018-01-01</stp>
        <stp>2019-12-31</stp>
        <stp>3</stp>
        <tr r="F3336" s="1"/>
      </tp>
      <tp>
        <v>15.23069701</v>
        <stp/>
        <stp>EM_S_PQ_PCTCHANGE</stp>
        <stp>4</stp>
        <stp>300211</stp>
        <stp>2018-01-01</stp>
        <stp>2019-12-31</stp>
        <stp>3</stp>
        <tr r="F339" s="1"/>
      </tp>
      <tp>
        <v>13.92649903</v>
        <stp/>
        <stp>EM_S_PQ_PCTCHANGE</stp>
        <stp>4</stp>
        <stp>600050</stp>
        <stp>2018-12-31</stp>
        <stp>2019-12-30</stp>
        <stp>1</stp>
        <tr r="G1536" s="1"/>
      </tp>
      <tp>
        <v>-50.648976580000003</v>
        <stp/>
        <stp>EM_S_PQ_PCTCHANGE</stp>
        <stp>4</stp>
        <stp>600241</stp>
        <stp>2018-01-01</stp>
        <stp>2019-12-31</stp>
        <stp>3</stp>
        <tr r="F2745" s="1"/>
      </tp>
      <tp>
        <v>-15.64160972</v>
        <stp/>
        <stp>EM_S_PQ_PCTCHANGE</stp>
        <stp>4</stp>
        <stp>603050</stp>
        <stp>2018-12-31</stp>
        <stp>2019-12-30</stp>
        <stp>1</stp>
        <tr r="G2950" s="1"/>
      </tp>
      <tp>
        <v>-35.869128170000003</v>
        <stp/>
        <stp>EM_S_PQ_PCTCHANGE</stp>
        <stp>4</stp>
        <stp>002221</stp>
        <stp>2018-01-01</stp>
        <stp>2019-12-31</stp>
        <stp>3</stp>
        <tr r="F2543" s="1"/>
      </tp>
      <tp>
        <v>53.531955789999998</v>
        <stp/>
        <stp>EM_S_PQ_PCTCHANGE</stp>
        <stp>4</stp>
        <stp>300003</stp>
        <stp>2018-12-31</stp>
        <stp>2019-12-30</stp>
        <stp>1</stp>
        <tr r="G508" s="1"/>
      </tp>
      <tp>
        <v>79.644296019999999</v>
        <stp/>
        <stp>EM_S_PQ_PCTCHANGE</stp>
        <stp>4</stp>
        <stp>300212</stp>
        <stp>2018-01-01</stp>
        <stp>2019-12-31</stp>
        <stp>3</stp>
        <tr r="F426" s="1"/>
      </tp>
      <tp>
        <v>-1.78419711</v>
        <stp/>
        <stp>EM_S_PQ_PCTCHANGE</stp>
        <stp>4</stp>
        <stp>600053</stp>
        <stp>2018-12-31</stp>
        <stp>2019-12-30</stp>
        <stp>1</stp>
        <tr r="G2410" s="1"/>
      </tp>
      <tp>
        <v>-54.42964679</v>
        <stp/>
        <stp>EM_S_PQ_PCTCHANGE</stp>
        <stp>4</stp>
        <stp>600242</stp>
        <stp>2018-01-01</stp>
        <stp>2019-12-31</stp>
        <stp>3</stp>
        <tr r="F3360" s="1"/>
      </tp>
      <tp>
        <v>-31.715214450000001</v>
        <stp/>
        <stp>EM_S_PQ_PCTCHANGE</stp>
        <stp>4</stp>
        <stp>002222</stp>
        <stp>2018-01-01</stp>
        <stp>2019-12-31</stp>
        <stp>3</stp>
        <tr r="F1041" s="1"/>
      </tp>
      <tp>
        <v>-1.5151515200000001</v>
        <stp/>
        <stp>EM_S_PQ_PCTCHANGE</stp>
        <stp>4</stp>
        <stp>300002</stp>
        <stp>2018-12-31</stp>
        <stp>2019-12-30</stp>
        <stp>1</stp>
        <tr r="G2398" s="1"/>
      </tp>
      <tp>
        <v>-14.353477010000001</v>
        <stp/>
        <stp>EM_S_PQ_PCTCHANGE</stp>
        <stp>4</stp>
        <stp>300213</stp>
        <stp>2018-01-01</stp>
        <stp>2019-12-31</stp>
        <stp>3</stp>
        <tr r="F1437" s="1"/>
      </tp>
      <tp>
        <v>55.555555560000002</v>
        <stp/>
        <stp>EM_S_PQ_PCTCHANGE</stp>
        <stp>4</stp>
        <stp>600052</stp>
        <stp>2018-12-31</stp>
        <stp>2019-12-30</stp>
        <stp>1</stp>
        <tr r="G481" s="1"/>
      </tp>
      <tp>
        <v>-35.603010279999999</v>
        <stp/>
        <stp>EM_S_PQ_PCTCHANGE</stp>
        <stp>4</stp>
        <stp>600243</stp>
        <stp>2018-01-01</stp>
        <stp>2019-12-31</stp>
        <stp>3</stp>
        <tr r="F1495" s="1"/>
      </tp>
      <tp>
        <v>45.276190479999997</v>
        <stp/>
        <stp>EM_S_PQ_PCTCHANGE</stp>
        <stp>4</stp>
        <stp>002032</stp>
        <stp>2018-12-31</stp>
        <stp>2019-12-30</stp>
        <stp>1</stp>
        <tr r="G638" s="1"/>
      </tp>
      <tp>
        <v>5.19947509</v>
        <stp/>
        <stp>EM_S_PQ_PCTCHANGE</stp>
        <stp>4</stp>
        <stp>002223</stp>
        <stp>2018-01-01</stp>
        <stp>2019-12-31</stp>
        <stp>3</stp>
        <tr r="F2176" s="1"/>
      </tp>
      <tp>
        <v>36.391437310000001</v>
        <stp/>
        <stp>EM_S_PQ_PCTCHANGE</stp>
        <stp>4</stp>
        <stp>300005</stp>
        <stp>2018-12-31</stp>
        <stp>2019-12-30</stp>
        <stp>1</stp>
        <tr r="G801" s="1"/>
      </tp>
      <tp>
        <v>69.683106460000005</v>
        <stp/>
        <stp>EM_S_PQ_PCTCHANGE</stp>
        <stp>4</stp>
        <stp>300214</stp>
        <stp>2018-01-01</stp>
        <stp>2019-12-31</stp>
        <stp>3</stp>
        <tr r="F590" s="1"/>
      </tp>
      <tp>
        <v>16.47465438</v>
        <stp/>
        <stp>EM_S_PQ_PCTCHANGE</stp>
        <stp>4</stp>
        <stp>600055</stp>
        <stp>2018-12-31</stp>
        <stp>2019-12-30</stp>
        <stp>1</stp>
        <tr r="G1416" s="1"/>
      </tp>
      <tp>
        <v>-34.499054819999998</v>
        <stp/>
        <stp>EM_S_PQ_PCTCHANGE</stp>
        <stp>4</stp>
        <stp>603055</stp>
        <stp>2018-12-31</stp>
        <stp>2019-12-30</stp>
        <stp>1</stp>
        <tr r="G3266" s="1"/>
      </tp>
      <tp>
        <v>52.542372880000002</v>
        <stp/>
        <stp>EM_S_PQ_PCTCHANGE</stp>
        <stp>4</stp>
        <stp>002035</stp>
        <stp>2018-12-31</stp>
        <stp>2019-12-30</stp>
        <stp>1</stp>
        <tr r="G527" s="1"/>
      </tp>
      <tp>
        <v>-28.563607229999999</v>
        <stp/>
        <stp>EM_S_PQ_PCTCHANGE</stp>
        <stp>4</stp>
        <stp>002224</stp>
        <stp>2018-01-01</stp>
        <stp>2019-12-31</stp>
        <stp>3</stp>
        <tr r="F1500" s="1"/>
      </tp>
      <tp>
        <v>77.994428970000001</v>
        <stp/>
        <stp>EM_S_PQ_PCTCHANGE</stp>
        <stp>4</stp>
        <stp>300004</stp>
        <stp>2018-12-31</stp>
        <stp>2019-12-30</stp>
        <stp>1</stp>
        <tr r="G259" s="1"/>
      </tp>
      <tp>
        <v>-25.239836960000002</v>
        <stp/>
        <stp>EM_S_PQ_PCTCHANGE</stp>
        <stp>4</stp>
        <stp>300215</stp>
        <stp>2018-01-01</stp>
        <stp>2019-12-31</stp>
        <stp>3</stp>
        <tr r="F1169" s="1"/>
      </tp>
      <tp>
        <v>-2.5586353900000001</v>
        <stp/>
        <stp>EM_S_PQ_PCTCHANGE</stp>
        <stp>4</stp>
        <stp>600054</stp>
        <stp>2018-12-31</stp>
        <stp>2019-12-30</stp>
        <stp>1</stp>
        <tr r="G2451" s="1"/>
      </tp>
      <tp>
        <v>-15.678699740000001</v>
        <stp/>
        <stp>EM_S_PQ_PCTCHANGE</stp>
        <stp>4</stp>
        <stp>002225</stp>
        <stp>2018-01-01</stp>
        <stp>2019-12-31</stp>
        <stp>3</stp>
        <tr r="F2508" s="1"/>
      </tp>
      <tp>
        <v>66.666666669999998</v>
        <stp/>
        <stp>EM_S_PQ_PCTCHANGE</stp>
        <stp>4</stp>
        <stp>300007</stp>
        <stp>2018-12-31</stp>
        <stp>2019-12-30</stp>
        <stp>1</stp>
        <tr r="G352" s="1"/>
      </tp>
      <tp>
        <v>-76.112852660000001</v>
        <stp/>
        <stp>EM_S_PQ_PCTCHANGE</stp>
        <stp>4</stp>
        <stp>300216</stp>
        <stp>2018-01-01</stp>
        <stp>2019-12-31</stp>
        <stp>3</stp>
        <tr r="F2361" s="1"/>
      </tp>
      <tp>
        <v>-0.71770334999999996</v>
        <stp/>
        <stp>EM_S_PQ_PCTCHANGE</stp>
        <stp>4</stp>
        <stp>600057</stp>
        <stp>2018-12-31</stp>
        <stp>2019-12-30</stp>
        <stp>1</stp>
        <tr r="G2370" s="1"/>
      </tp>
      <tp>
        <v>34.56956091</v>
        <stp/>
        <stp>EM_S_PQ_PCTCHANGE</stp>
        <stp>4</stp>
        <stp>600246</stp>
        <stp>2018-01-01</stp>
        <stp>2019-12-31</stp>
        <stp>3</stp>
        <tr r="F495" s="1"/>
      </tp>
      <tp>
        <v>-16.212871289999999</v>
        <stp/>
        <stp>EM_S_PQ_PCTCHANGE</stp>
        <stp>4</stp>
        <stp>002037</stp>
        <stp>2018-12-31</stp>
        <stp>2019-12-30</stp>
        <stp>1</stp>
        <tr r="G2964" s="1"/>
      </tp>
      <tp>
        <v>-11.905958160000001</v>
        <stp/>
        <stp>EM_S_PQ_PCTCHANGE</stp>
        <stp>4</stp>
        <stp>002226</stp>
        <stp>2018-01-01</stp>
        <stp>2019-12-31</stp>
        <stp>3</stp>
        <tr r="F1997" s="1"/>
      </tp>
      <tp>
        <v>-23.411978220000002</v>
        <stp/>
        <stp>EM_S_PQ_PCTCHANGE</stp>
        <stp>4</stp>
        <stp>000036</stp>
        <stp>2018-12-31</stp>
        <stp>2019-12-30</stp>
        <stp>1</stp>
        <tr r="G3122" s="1"/>
      </tp>
      <tp>
        <v>56.666666669999998</v>
        <stp/>
        <stp>EM_S_PQ_PCTCHANGE</stp>
        <stp>4</stp>
        <stp>300006</stp>
        <stp>2018-12-31</stp>
        <stp>2019-12-30</stp>
        <stp>1</stp>
        <tr r="G461" s="1"/>
      </tp>
      <tp>
        <v>-17.563628680000001</v>
        <stp/>
        <stp>EM_S_PQ_PCTCHANGE</stp>
        <stp>4</stp>
        <stp>300217</stp>
        <stp>2018-01-01</stp>
        <stp>2019-12-31</stp>
        <stp>3</stp>
        <tr r="F2065" s="1"/>
      </tp>
      <tp>
        <v>1.9888623700000001</v>
        <stp/>
        <stp>EM_S_PQ_PCTCHANGE</stp>
        <stp>4</stp>
        <stp>600056</stp>
        <stp>2018-12-31</stp>
        <stp>2019-12-30</stp>
        <stp>1</stp>
        <tr r="G2165" s="1"/>
      </tp>
      <tp>
        <v>-59.513274340000002</v>
        <stp/>
        <stp>EM_S_PQ_PCTCHANGE</stp>
        <stp>4</stp>
        <stp>600247</stp>
        <stp>2018-01-01</stp>
        <stp>2019-12-31</stp>
        <stp>3</stp>
        <tr r="F3103" s="1"/>
      </tp>
      <tp>
        <v>-33.172205439999999</v>
        <stp/>
        <stp>EM_S_PQ_PCTCHANGE</stp>
        <stp>4</stp>
        <stp>603056</stp>
        <stp>2018-12-31</stp>
        <stp>2019-12-30</stp>
        <stp>1</stp>
        <tr r="G3254" s="1"/>
      </tp>
      <tp>
        <v>-38.945115540000003</v>
        <stp/>
        <stp>EM_S_PQ_PCTCHANGE</stp>
        <stp>4</stp>
        <stp>002227</stp>
        <stp>2018-01-01</stp>
        <stp>2019-12-31</stp>
        <stp>3</stp>
        <tr r="F1779" s="1"/>
      </tp>
      <tp>
        <v>4.5908829082329996</v>
        <stp/>
        <stp>EM_S_FA_BPS</stp>
        <stp>3</stp>
        <stp>000006</stp>
        <stp>12/31/2018</stp>
        <stp>1</stp>
        <tr r="V1889" s="1"/>
      </tp>
      <tp>
        <v>0.55047858243900005</v>
        <stp/>
        <stp>EM_S_FA_BPS</stp>
        <stp>3</stp>
        <stp>000007</stp>
        <stp>12/31/2018</stp>
        <stp>1</stp>
        <tr r="V1370" s="1"/>
      </tp>
      <tp>
        <v>-2.5036818900000002</v>
        <stp/>
        <stp>EM_S_PQ_PCTCHANGE</stp>
        <stp>4</stp>
        <stp>600089</stp>
        <stp>2018-12-31</stp>
        <stp>2019-12-30</stp>
        <stp>1</stp>
        <tr r="G2447" s="1"/>
      </tp>
      <tp>
        <v>-4.2554713900000003</v>
        <stp/>
        <stp>EM_S_PQ_PCTCHANGE</stp>
        <stp>4</stp>
        <stp>600298</stp>
        <stp>2018-01-01</stp>
        <stp>2019-12-31</stp>
        <stp>3</stp>
        <tr r="F1273" s="1"/>
      </tp>
      <tp>
        <v>-8.0368098200000002</v>
        <stp/>
        <stp>EM_S_PQ_PCTCHANGE</stp>
        <stp>4</stp>
        <stp>603089</stp>
        <stp>2018-12-31</stp>
        <stp>2019-12-30</stp>
        <stp>1</stp>
        <tr r="G2683" s="1"/>
      </tp>
      <tp>
        <v>-15.84788668</v>
        <stp/>
        <stp>EM_S_PQ_PCTCHANGE</stp>
        <stp>4</stp>
        <stp>603298</stp>
        <stp>2018-01-01</stp>
        <stp>2019-12-31</stp>
        <stp>3</stp>
        <tr r="F1939" s="1"/>
      </tp>
      <tp>
        <v>1.6703786199999999</v>
        <stp/>
        <stp>EM_S_PQ_PCTCHANGE</stp>
        <stp>4</stp>
        <stp>601088</stp>
        <stp>2018-12-31</stp>
        <stp>2019-12-30</stp>
        <stp>1</stp>
        <tr r="G2181" s="1"/>
      </tp>
      <tp>
        <v>0</v>
        <stp/>
        <stp>EM_S_PQ_PCTCHANGE</stp>
        <stp>4</stp>
        <stp>601299</stp>
        <stp>2018-01-01</stp>
        <stp>2019-12-31</stp>
        <stp>3</stp>
        <tr r="F2336" s="1"/>
      </tp>
      <tp>
        <v>61.104441780000002</v>
        <stp/>
        <stp>EM_S_PQ_PCTCHANGE</stp>
        <stp>4</stp>
        <stp>600088</stp>
        <stp>2018-12-31</stp>
        <stp>2019-12-30</stp>
        <stp>1</stp>
        <tr r="G412" s="1"/>
      </tp>
      <tp>
        <v>13.715163649999999</v>
        <stp/>
        <stp>EM_S_PQ_PCTCHANGE</stp>
        <stp>4</stp>
        <stp>600299</stp>
        <stp>2018-01-01</stp>
        <stp>2019-12-31</stp>
        <stp>3</stp>
        <tr r="F2551" s="1"/>
      </tp>
      <tp>
        <v>-21.428571430000002</v>
        <stp/>
        <stp>EM_S_PQ_PCTCHANGE</stp>
        <stp>4</stp>
        <stp>603088</stp>
        <stp>2018-12-31</stp>
        <stp>2019-12-30</stp>
        <stp>1</stp>
        <tr r="G3087" s="1"/>
      </tp>
      <tp>
        <v>-26.075580030000001</v>
        <stp/>
        <stp>EM_S_PQ_PCTCHANGE</stp>
        <stp>4</stp>
        <stp>603299</stp>
        <stp>2018-01-01</stp>
        <stp>2019-12-31</stp>
        <stp>3</stp>
        <tr r="F852" s="1"/>
      </tp>
      <tp>
        <v>61.82572614</v>
        <stp/>
        <stp>EM_S_PQ_PCTCHANGE</stp>
        <stp>4</stp>
        <stp>600081</stp>
        <stp>2018-12-31</stp>
        <stp>2019-12-30</stp>
        <stp>1</stp>
        <tr r="G405" s="1"/>
      </tp>
      <tp>
        <v>-78.458436680000005</v>
        <stp/>
        <stp>EM_S_PQ_PCTCHANGE</stp>
        <stp>4</stp>
        <stp>600290</stp>
        <stp>2018-01-01</stp>
        <stp>2019-12-31</stp>
        <stp>3</stp>
        <tr r="F3277" s="1"/>
      </tp>
      <tp>
        <v>46.517626829999998</v>
        <stp/>
        <stp>EM_S_PQ_PCTCHANGE</stp>
        <stp>4</stp>
        <stp>603081</stp>
        <stp>2018-12-31</stp>
        <stp>2019-12-30</stp>
        <stp>1</stp>
        <tr r="G617" s="1"/>
      </tp>
      <tp>
        <v>-17.178770950000001</v>
        <stp/>
        <stp>EM_S_PQ_PCTCHANGE</stp>
        <stp>4</stp>
        <stp>600080</stp>
        <stp>2018-12-31</stp>
        <stp>2019-12-30</stp>
        <stp>1</stp>
        <tr r="G2993" s="1"/>
      </tp>
      <tp>
        <v>-61.622945100000003</v>
        <stp/>
        <stp>EM_S_PQ_PCTCHANGE</stp>
        <stp>4</stp>
        <stp>600291</stp>
        <stp>2018-01-01</stp>
        <stp>2019-12-31</stp>
        <stp>3</stp>
        <tr r="F2800" s="1"/>
      </tp>
      <tp>
        <v>-20.921305180000001</v>
        <stp/>
        <stp>EM_S_PQ_PCTCHANGE</stp>
        <stp>4</stp>
        <stp>603080</stp>
        <stp>2018-12-31</stp>
        <stp>2019-12-30</stp>
        <stp>1</stp>
        <tr r="G3079" s="1"/>
      </tp>
      <tp>
        <v>14.777777779999999</v>
        <stp/>
        <stp>EM_S_PQ_PCTCHANGE</stp>
        <stp>4</stp>
        <stp>600083</stp>
        <stp>2018-12-31</stp>
        <stp>2019-12-30</stp>
        <stp>1</stp>
        <tr r="G1494" s="1"/>
      </tp>
      <tp>
        <v>-35.578540230000002</v>
        <stp/>
        <stp>EM_S_PQ_PCTCHANGE</stp>
        <stp>4</stp>
        <stp>600292</stp>
        <stp>2018-01-01</stp>
        <stp>2019-12-31</stp>
        <stp>3</stp>
        <tr r="F1533" s="1"/>
      </tp>
      <tp>
        <v>11.382113820000001</v>
        <stp/>
        <stp>EM_S_PQ_PCTCHANGE</stp>
        <stp>4</stp>
        <stp>603083</stp>
        <stp>2018-12-31</stp>
        <stp>2019-12-30</stp>
        <stp>1</stp>
        <tr r="G1659" s="1"/>
      </tp>
      <tp>
        <v>-8.0178173699999995</v>
        <stp/>
        <stp>EM_S_PQ_PCTCHANGE</stp>
        <stp>4</stp>
        <stp>600082</stp>
        <stp>2018-12-31</stp>
        <stp>2019-12-30</stp>
        <stp>1</stp>
        <tr r="G2681" s="1"/>
      </tp>
      <tp>
        <v>-59.604529749999998</v>
        <stp/>
        <stp>EM_S_PQ_PCTCHANGE</stp>
        <stp>4</stp>
        <stp>600293</stp>
        <stp>2018-01-01</stp>
        <stp>2019-12-31</stp>
        <stp>3</stp>
        <tr r="F3052" s="1"/>
      </tp>
      <tp>
        <v>1.4545454499999999</v>
        <stp/>
        <stp>EM_S_PQ_PCTCHANGE</stp>
        <stp>4</stp>
        <stp>600085</stp>
        <stp>2018-12-31</stp>
        <stp>2019-12-30</stp>
        <stp>1</stp>
        <tr r="G2188" s="1"/>
      </tp>
      <tp>
        <v>6.0880828999999999</v>
        <stp/>
        <stp>EM_S_PQ_PCTCHANGE</stp>
        <stp>4</stp>
        <stp>603085</stp>
        <stp>2018-12-31</stp>
        <stp>2019-12-30</stp>
        <stp>1</stp>
        <tr r="G1947" s="1"/>
      </tp>
      <tp>
        <v>-11.564625850000001</v>
        <stp/>
        <stp>EM_S_PQ_PCTCHANGE</stp>
        <stp>4</stp>
        <stp>600084</stp>
        <stp>2018-12-31</stp>
        <stp>2019-12-30</stp>
        <stp>1</stp>
        <tr r="G2817" s="1"/>
      </tp>
      <tp>
        <v>-35.76142926</v>
        <stp/>
        <stp>EM_S_PQ_PCTCHANGE</stp>
        <stp>4</stp>
        <stp>600295</stp>
        <stp>2018-01-01</stp>
        <stp>2019-12-31</stp>
        <stp>3</stp>
        <tr r="F1322" s="1"/>
      </tp>
      <tp>
        <v>0</v>
        <stp/>
        <stp>EM_S_PQ_PCTCHANGE</stp>
        <stp>4</stp>
        <stp>600087</stp>
        <stp>2018-12-31</stp>
        <stp>2019-12-30</stp>
        <stp>1</stp>
        <tr r="G2290" s="1"/>
      </tp>
      <tp>
        <v>0</v>
        <stp/>
        <stp>EM_S_PQ_PCTCHANGE</stp>
        <stp>4</stp>
        <stp>600296</stp>
        <stp>2018-01-01</stp>
        <stp>2019-12-31</stp>
        <stp>3</stp>
        <tr r="F2300" s="1"/>
      </tp>
      <tp>
        <v>0.59171598000000003</v>
        <stp/>
        <stp>EM_S_PQ_PCTCHANGE</stp>
        <stp>4</stp>
        <stp>601086</stp>
        <stp>2018-12-31</stp>
        <stp>2019-12-30</stp>
        <stp>1</stp>
        <tr r="G2246" s="1"/>
      </tp>
      <tp>
        <v>-40.997830800000003</v>
        <stp/>
        <stp>EM_S_PQ_PCTCHANGE</stp>
        <stp>4</stp>
        <stp>600086</stp>
        <stp>2018-12-31</stp>
        <stp>2019-12-30</stp>
        <stp>1</stp>
        <tr r="G3319" s="1"/>
      </tp>
      <tp>
        <v>-58.337857280000001</v>
        <stp/>
        <stp>EM_S_PQ_PCTCHANGE</stp>
        <stp>4</stp>
        <stp>600297</stp>
        <stp>2018-01-01</stp>
        <stp>2019-12-31</stp>
        <stp>3</stp>
        <tr r="F3057" s="1"/>
      </tp>
      <tp>
        <v>12.11849192</v>
        <stp/>
        <stp>EM_S_PQ_PCTCHANGE</stp>
        <stp>4</stp>
        <stp>603086</stp>
        <stp>2018-12-31</stp>
        <stp>2019-12-30</stp>
        <stp>1</stp>
        <tr r="G1630" s="1"/>
      </tp>
      <tp>
        <v>1.3007869627240001</v>
        <stp/>
        <stp>EM_S_FA_BPS</stp>
        <stp>3</stp>
        <stp>000004</stp>
        <stp>12/31/2018</stp>
        <stp>1</stp>
        <tr r="V715" s="1"/>
      </tp>
      <tp>
        <v>52.610441770000001</v>
        <stp/>
        <stp>EM_S_PQ_PCTCHANGE</stp>
        <stp>4</stp>
        <stp>601099</stp>
        <stp>2018-12-31</stp>
        <stp>2019-12-30</stp>
        <stp>1</stp>
        <tr r="G526" s="1"/>
      </tp>
      <tp>
        <v>5.85956337</v>
        <stp/>
        <stp>EM_S_PQ_PCTCHANGE</stp>
        <stp>4</stp>
        <stp>601288</stp>
        <stp>2018-01-01</stp>
        <stp>2019-12-31</stp>
        <stp>3</stp>
        <tr r="F2090" s="1"/>
      </tp>
      <tp>
        <v>16.931216930000001</v>
        <stp/>
        <stp>EM_S_PQ_PCTCHANGE</stp>
        <stp>4</stp>
        <stp>600099</stp>
        <stp>2018-12-31</stp>
        <stp>2019-12-30</stp>
        <stp>1</stp>
        <tr r="G1401" s="1"/>
      </tp>
      <tp>
        <v>34.870319680000001</v>
        <stp/>
        <stp>EM_S_PQ_PCTCHANGE</stp>
        <stp>4</stp>
        <stp>600288</stp>
        <stp>2018-01-01</stp>
        <stp>2019-12-31</stp>
        <stp>3</stp>
        <tr r="F324" s="1"/>
      </tp>
      <tp>
        <v>12.200684150000001</v>
        <stp/>
        <stp>EM_S_PQ_PCTCHANGE</stp>
        <stp>4</stp>
        <stp>603099</stp>
        <stp>2018-12-31</stp>
        <stp>2019-12-30</stp>
        <stp>1</stp>
        <tr r="G1625" s="1"/>
      </tp>
      <tp>
        <v>104.82553905</v>
        <stp/>
        <stp>EM_S_PQ_PCTCHANGE</stp>
        <stp>4</stp>
        <stp>603288</stp>
        <stp>2018-01-01</stp>
        <stp>2019-12-31</stp>
        <stp>3</stp>
        <tr r="F469" s="1"/>
      </tp>
      <tp>
        <v>-4.88</v>
        <stp/>
        <stp>EM_S_PQ_PCTCHANGE</stp>
        <stp>4</stp>
        <stp>601098</stp>
        <stp>2018-12-31</stp>
        <stp>2019-12-30</stp>
        <stp>1</stp>
        <tr r="G2563" s="1"/>
      </tp>
      <tp>
        <v>15.547703179999999</v>
        <stp/>
        <stp>EM_S_PQ_PCTCHANGE</stp>
        <stp>4</stp>
        <stp>600098</stp>
        <stp>2018-12-31</stp>
        <stp>2019-12-30</stp>
        <stp>1</stp>
        <tr r="G1455" s="1"/>
      </tp>
      <tp>
        <v>-64.486921530000004</v>
        <stp/>
        <stp>EM_S_PQ_PCTCHANGE</stp>
        <stp>4</stp>
        <stp>600289</stp>
        <stp>2018-01-01</stp>
        <stp>2019-12-31</stp>
        <stp>3</stp>
        <tr r="F840" s="1"/>
      </tp>
      <tp>
        <v>-19.53182151</v>
        <stp/>
        <stp>EM_S_PQ_PCTCHANGE</stp>
        <stp>4</stp>
        <stp>603098</stp>
        <stp>2018-12-31</stp>
        <stp>2019-12-30</stp>
        <stp>1</stp>
        <tr r="G3054" s="1"/>
      </tp>
      <tp>
        <v>-35.33325791</v>
        <stp/>
        <stp>EM_S_PQ_PCTCHANGE</stp>
        <stp>4</stp>
        <stp>603289</stp>
        <stp>2018-01-01</stp>
        <stp>2019-12-31</stp>
        <stp>3</stp>
        <tr r="F1451" s="1"/>
      </tp>
      <tp>
        <v>-1.5789473700000001</v>
        <stp/>
        <stp>EM_S_PQ_PCTCHANGE</stp>
        <stp>4</stp>
        <stp>600091</stp>
        <stp>2018-12-31</stp>
        <stp>2019-12-30</stp>
        <stp>1</stp>
        <tr r="G2402" s="1"/>
      </tp>
      <tp>
        <v>-64.635752260000004</v>
        <stp/>
        <stp>EM_S_PQ_PCTCHANGE</stp>
        <stp>4</stp>
        <stp>600280</stp>
        <stp>2018-01-01</stp>
        <stp>2019-12-31</stp>
        <stp>3</stp>
        <tr r="F2933" s="1"/>
      </tp>
      <tp>
        <v>-24.264705880000001</v>
        <stp/>
        <stp>EM_S_PQ_PCTCHANGE</stp>
        <stp>4</stp>
        <stp>600090</stp>
        <stp>2018-12-31</stp>
        <stp>2019-12-30</stp>
        <stp>1</stp>
        <tr r="G3138" s="1"/>
      </tp>
      <tp>
        <v>-26.29695886</v>
        <stp/>
        <stp>EM_S_PQ_PCTCHANGE</stp>
        <stp>4</stp>
        <stp>600281</stp>
        <stp>2018-01-01</stp>
        <stp>2019-12-31</stp>
        <stp>3</stp>
        <tr r="F1503" s="1"/>
      </tp>
      <tp>
        <v>25.42372881</v>
        <stp/>
        <stp>EM_S_PQ_PCTCHANGE</stp>
        <stp>4</stp>
        <stp>603090</stp>
        <stp>2018-12-31</stp>
        <stp>2019-12-30</stp>
        <stp>1</stp>
        <tr r="G1077" s="1"/>
      </tp>
      <tp>
        <v>84.036939309999994</v>
        <stp/>
        <stp>EM_S_PQ_PCTCHANGE</stp>
        <stp>4</stp>
        <stp>600093</stp>
        <stp>2018-12-31</stp>
        <stp>2019-12-30</stp>
        <stp>1</stp>
        <tr r="G227" s="1"/>
      </tp>
      <tp>
        <v>-22.385402540000001</v>
        <stp/>
        <stp>EM_S_PQ_PCTCHANGE</stp>
        <stp>4</stp>
        <stp>600282</stp>
        <stp>2018-01-01</stp>
        <stp>2019-12-31</stp>
        <stp>3</stp>
        <tr r="F2261" s="1"/>
      </tp>
      <tp>
        <v>0</v>
        <stp/>
        <stp>EM_S_PQ_PCTCHANGE</stp>
        <stp>4</stp>
        <stp>600092</stp>
        <stp>2018-12-31</stp>
        <stp>2019-12-30</stp>
        <stp>1</stp>
        <tr r="G2291" s="1"/>
      </tp>
      <tp>
        <v>-14.6122449</v>
        <stp/>
        <stp>EM_S_PQ_PCTCHANGE</stp>
        <stp>4</stp>
        <stp>600283</stp>
        <stp>2018-01-01</stp>
        <stp>2019-12-31</stp>
        <stp>3</stp>
        <tr r="F2697" s="1"/>
      </tp>
      <tp>
        <v>119.58037501</v>
        <stp/>
        <stp>EM_S_PQ_PCTCHANGE</stp>
        <stp>4</stp>
        <stp>603283</stp>
        <stp>2018-01-01</stp>
        <stp>2019-12-31</stp>
        <stp>3</stp>
        <tr r="F288" s="1"/>
      </tp>
      <tp>
        <v>139.41018767</v>
        <stp/>
        <stp>EM_S_PQ_PCTCHANGE</stp>
        <stp>4</stp>
        <stp>600095</stp>
        <stp>2018-12-31</stp>
        <stp>2019-12-30</stp>
        <stp>1</stp>
        <tr r="G100" s="1"/>
      </tp>
      <tp>
        <v>-0.46698031000000001</v>
        <stp/>
        <stp>EM_S_PQ_PCTCHANGE</stp>
        <stp>4</stp>
        <stp>600284</stp>
        <stp>2018-01-01</stp>
        <stp>2019-12-31</stp>
        <stp>3</stp>
        <tr r="F1018" s="1"/>
      </tp>
      <tp>
        <v>57.26027397</v>
        <stp/>
        <stp>EM_S_PQ_PCTCHANGE</stp>
        <stp>4</stp>
        <stp>600094</stp>
        <stp>2018-12-31</stp>
        <stp>2019-12-30</stp>
        <stp>1</stp>
        <tr r="G451" s="1"/>
      </tp>
      <tp>
        <v>10.09948747</v>
        <stp/>
        <stp>EM_S_PQ_PCTCHANGE</stp>
        <stp>4</stp>
        <stp>600285</stp>
        <stp>2018-01-01</stp>
        <stp>2019-12-31</stp>
        <stp>3</stp>
        <tr r="F1003" s="1"/>
      </tp>
      <tp>
        <v>-4.4703595700000003</v>
        <stp/>
        <stp>EM_S_PQ_PCTCHANGE</stp>
        <stp>4</stp>
        <stp>600097</stp>
        <stp>2018-12-31</stp>
        <stp>2019-12-30</stp>
        <stp>1</stp>
        <tr r="G2540" s="1"/>
      </tp>
      <tp>
        <v>0</v>
        <stp/>
        <stp>EM_S_PQ_PCTCHANGE</stp>
        <stp>4</stp>
        <stp>600286</stp>
        <stp>2018-01-01</stp>
        <stp>2019-12-31</stp>
        <stp>3</stp>
        <tr r="F2299" s="1"/>
      </tp>
      <tp>
        <v>-58.634566939999999</v>
        <stp/>
        <stp>EM_S_PQ_PCTCHANGE</stp>
        <stp>4</stp>
        <stp>603286</stp>
        <stp>2018-01-01</stp>
        <stp>2019-12-31</stp>
        <stp>3</stp>
        <tr r="F1812" s="1"/>
      </tp>
      <tp>
        <v>5.1896207600000004</v>
        <stp/>
        <stp>EM_S_PQ_PCTCHANGE</stp>
        <stp>4</stp>
        <stp>600096</stp>
        <stp>2018-12-31</stp>
        <stp>2019-12-30</stp>
        <stp>1</stp>
        <tr r="G2005" s="1"/>
      </tp>
      <tp>
        <v>-15.361785920000001</v>
        <stp/>
        <stp>EM_S_PQ_PCTCHANGE</stp>
        <stp>4</stp>
        <stp>600287</stp>
        <stp>2018-01-01</stp>
        <stp>2019-12-31</stp>
        <stp>3</stp>
        <tr r="F1135" s="1"/>
      </tp>
      <tp>
        <v>-10.077770579999999</v>
        <stp/>
        <stp>EM_S_PQ_PCTCHANGE</stp>
        <stp>4</stp>
        <stp>603096</stp>
        <stp>2018-12-31</stp>
        <stp>2019-12-30</stp>
        <stp>1</stp>
        <tr r="G2758" s="1"/>
      </tp>
      <tp>
        <v>1.406904103457</v>
        <stp/>
        <stp>EM_S_FA_BPS</stp>
        <stp>3</stp>
        <stp>000005</stp>
        <stp>12/31/2018</stp>
        <stp>1</stp>
        <tr r="V1466" s="1"/>
      </tp>
      <tp>
        <v>-14.646095580000001</v>
        <stp/>
        <stp>EM_S_PQ_PCTCHANGE</stp>
        <stp>4</stp>
        <stp>002298</stp>
        <stp>2018-01-01</stp>
        <stp>2019-12-31</stp>
        <stp>3</stp>
        <tr r="F1002" s="1"/>
      </tp>
      <tp>
        <v>25.855962219999999</v>
        <stp/>
        <stp>EM_S_PQ_PCTCHANGE</stp>
        <stp>4</stp>
        <stp>002088</stp>
        <stp>2018-12-31</stp>
        <stp>2019-12-30</stp>
        <stp>1</stp>
        <tr r="G1065" s="1"/>
      </tp>
      <tp>
        <v>73.248248480000001</v>
        <stp/>
        <stp>EM_S_PQ_PCTCHANGE</stp>
        <stp>4</stp>
        <stp>002299</stp>
        <stp>2018-01-01</stp>
        <stp>2019-12-31</stp>
        <stp>3</stp>
        <tr r="F644" s="1"/>
      </tp>
      <tp>
        <v>8.0246913600000003</v>
        <stp/>
        <stp>EM_S_PQ_PCTCHANGE</stp>
        <stp>4</stp>
        <stp>002081</stp>
        <stp>2018-12-31</stp>
        <stp>2019-12-30</stp>
        <stp>1</stp>
        <tr r="G1856" s="1"/>
      </tp>
      <tp>
        <v>-61.19664324</v>
        <stp/>
        <stp>EM_S_PQ_PCTCHANGE</stp>
        <stp>4</stp>
        <stp>002290</stp>
        <stp>2018-01-01</stp>
        <stp>2019-12-31</stp>
        <stp>3</stp>
        <tr r="F3357" s="1"/>
      </tp>
      <tp>
        <v>47.960444989999999</v>
        <stp/>
        <stp>EM_S_PQ_PCTCHANGE</stp>
        <stp>4</stp>
        <stp>002080</stp>
        <stp>2018-12-31</stp>
        <stp>2019-12-30</stp>
        <stp>1</stp>
        <tr r="G599" s="1"/>
      </tp>
      <tp>
        <v>180.19943019999999</v>
        <stp/>
        <stp>EM_S_PQ_PCTCHANGE</stp>
        <stp>4</stp>
        <stp>002291</stp>
        <stp>2018-01-01</stp>
        <stp>2019-12-31</stp>
        <stp>3</stp>
        <tr r="F28" s="1"/>
      </tp>
      <tp>
        <v>24.54361055</v>
        <stp/>
        <stp>EM_S_PQ_PCTCHANGE</stp>
        <stp>4</stp>
        <stp>002083</stp>
        <stp>2018-12-31</stp>
        <stp>2019-12-30</stp>
        <stp>1</stp>
        <tr r="G1111" s="1"/>
      </tp>
      <tp>
        <v>-30.510846749999999</v>
        <stp/>
        <stp>EM_S_PQ_PCTCHANGE</stp>
        <stp>4</stp>
        <stp>002292</stp>
        <stp>2018-01-01</stp>
        <stp>2019-12-31</stp>
        <stp>3</stp>
        <tr r="F282" s="1"/>
      </tp>
      <tp>
        <v>-28.4088773</v>
        <stp/>
        <stp>EM_S_PQ_PCTCHANGE</stp>
        <stp>4</stp>
        <stp>002293</stp>
        <stp>2018-01-01</stp>
        <stp>2019-12-31</stp>
        <stp>3</stp>
        <tr r="F1996" s="1"/>
      </tp>
      <tp>
        <v>-9.8064516099999999</v>
        <stp/>
        <stp>EM_S_PQ_PCTCHANGE</stp>
        <stp>4</stp>
        <stp>002085</stp>
        <stp>2018-12-31</stp>
        <stp>2019-12-30</stp>
        <stp>1</stp>
        <tr r="G2749" s="1"/>
      </tp>
      <tp>
        <v>-53.638513860000003</v>
        <stp/>
        <stp>EM_S_PQ_PCTCHANGE</stp>
        <stp>4</stp>
        <stp>002294</stp>
        <stp>2018-01-01</stp>
        <stp>2019-12-31</stp>
        <stp>3</stp>
        <tr r="F2519" s="1"/>
      </tp>
      <tp>
        <v>67.095115680000006</v>
        <stp/>
        <stp>EM_S_PQ_PCTCHANGE</stp>
        <stp>4</stp>
        <stp>002084</stp>
        <stp>2018-12-31</stp>
        <stp>2019-12-30</stp>
        <stp>1</stp>
        <tr r="G346" s="1"/>
      </tp>
      <tp>
        <v>-33.110320569999999</v>
        <stp/>
        <stp>EM_S_PQ_PCTCHANGE</stp>
        <stp>4</stp>
        <stp>002295</stp>
        <stp>2018-01-01</stp>
        <stp>2019-12-31</stp>
        <stp>3</stp>
        <tr r="F2213" s="1"/>
      </tp>
      <tp>
        <v>0.84985836000000003</v>
        <stp/>
        <stp>EM_S_PQ_PCTCHANGE</stp>
        <stp>4</stp>
        <stp>002087</stp>
        <stp>2018-12-31</stp>
        <stp>2019-12-30</stp>
        <stp>1</stp>
        <tr r="G2227" s="1"/>
      </tp>
      <tp>
        <v>6.7024128699999999</v>
        <stp/>
        <stp>EM_S_PQ_PCTCHANGE</stp>
        <stp>4</stp>
        <stp>002296</stp>
        <stp>2018-01-01</stp>
        <stp>2019-12-31</stp>
        <stp>3</stp>
        <tr r="F457" s="1"/>
      </tp>
      <tp>
        <v>-43.085106379999999</v>
        <stp/>
        <stp>EM_S_PQ_PCTCHANGE</stp>
        <stp>4</stp>
        <stp>002297</stp>
        <stp>2018-01-01</stp>
        <stp>2019-12-31</stp>
        <stp>3</stp>
        <tr r="F1894" s="1"/>
      </tp>
      <tp>
        <v>14.11</v>
        <stp/>
        <stp>EM_S_FA_BPS</stp>
        <stp>3</stp>
        <stp>000002</stp>
        <stp>12/31/2018</stp>
        <stp>1</stp>
        <tr r="V725" s="1"/>
      </tp>
      <tp>
        <v>54.203539820000003</v>
        <stp/>
        <stp>EM_S_PQ_PCTCHANGE</stp>
        <stp>4</stp>
        <stp>002099</stp>
        <stp>2018-12-31</stp>
        <stp>2019-12-30</stp>
        <stp>1</stp>
        <tr r="G498" s="1"/>
      </tp>
      <tp>
        <v>-14.78873239</v>
        <stp/>
        <stp>EM_S_PQ_PCTCHANGE</stp>
        <stp>4</stp>
        <stp>002288</stp>
        <stp>2018-01-01</stp>
        <stp>2019-12-31</stp>
        <stp>3</stp>
        <tr r="F1928" s="1"/>
      </tp>
      <tp>
        <v>-30.907534250000001</v>
        <stp/>
        <stp>EM_S_PQ_PCTCHANGE</stp>
        <stp>4</stp>
        <stp>002289</stp>
        <stp>2018-01-01</stp>
        <stp>2019-12-31</stp>
        <stp>3</stp>
        <tr r="F380" s="1"/>
      </tp>
      <tp>
        <v>21.60714286</v>
        <stp/>
        <stp>EM_S_PQ_PCTCHANGE</stp>
        <stp>4</stp>
        <stp>002091</stp>
        <stp>2018-12-31</stp>
        <stp>2019-12-30</stp>
        <stp>1</stp>
        <tr r="G1200" s="1"/>
      </tp>
      <tp>
        <v>-49.477806790000002</v>
        <stp/>
        <stp>EM_S_PQ_PCTCHANGE</stp>
        <stp>4</stp>
        <stp>002280</stp>
        <stp>2018-01-01</stp>
        <stp>2019-12-31</stp>
        <stp>3</stp>
        <tr r="F2214" s="1"/>
      </tp>
      <tp>
        <v>-36.125965540000003</v>
        <stp/>
        <stp>EM_S_PQ_PCTCHANGE</stp>
        <stp>4</stp>
        <stp>002090</stp>
        <stp>2018-12-31</stp>
        <stp>2019-12-30</stp>
        <stp>1</stp>
        <tr r="G3281" s="1"/>
      </tp>
      <tp>
        <v>2.6756795699999998</v>
        <stp/>
        <stp>EM_S_PQ_PCTCHANGE</stp>
        <stp>4</stp>
        <stp>002281</stp>
        <stp>2018-01-01</stp>
        <stp>2019-12-31</stp>
        <stp>3</stp>
        <tr r="F1737" s="1"/>
      </tp>
      <tp>
        <v>-39.730249829999998</v>
        <stp/>
        <stp>EM_S_PQ_PCTCHANGE</stp>
        <stp>4</stp>
        <stp>002282</stp>
        <stp>2018-01-01</stp>
        <stp>2019-12-31</stp>
        <stp>3</stp>
        <tr r="F2263" s="1"/>
      </tp>
      <tp>
        <v>-3.5460992899999999</v>
        <stp/>
        <stp>EM_S_PQ_PCTCHANGE</stp>
        <stp>4</stp>
        <stp>002092</stp>
        <stp>2018-12-31</stp>
        <stp>2019-12-30</stp>
        <stp>1</stp>
        <tr r="G2499" s="1"/>
      </tp>
      <tp>
        <v>-34.645828809999998</v>
        <stp/>
        <stp>EM_S_PQ_PCTCHANGE</stp>
        <stp>4</stp>
        <stp>002283</stp>
        <stp>2018-01-01</stp>
        <stp>2019-12-31</stp>
        <stp>3</stp>
        <tr r="F1746" s="1"/>
      </tp>
      <tp>
        <v>12.90650407</v>
        <stp/>
        <stp>EM_S_PQ_PCTCHANGE</stp>
        <stp>4</stp>
        <stp>002095</stp>
        <stp>2018-12-31</stp>
        <stp>2019-12-30</stp>
        <stp>1</stp>
        <tr r="G1584" s="1"/>
      </tp>
      <tp>
        <v>-42.597930249999997</v>
        <stp/>
        <stp>EM_S_PQ_PCTCHANGE</stp>
        <stp>4</stp>
        <stp>002284</stp>
        <stp>2018-01-01</stp>
        <stp>2019-12-31</stp>
        <stp>3</stp>
        <tr r="F1226" s="1"/>
      </tp>
      <tp>
        <v>-0.41067762000000002</v>
        <stp/>
        <stp>EM_S_PQ_PCTCHANGE</stp>
        <stp>4</stp>
        <stp>002094</stp>
        <stp>2018-12-31</stp>
        <stp>2019-12-30</stp>
        <stp>1</stp>
        <tr r="G2354" s="1"/>
      </tp>
      <tp>
        <v>-65.889206799999997</v>
        <stp/>
        <stp>EM_S_PQ_PCTCHANGE</stp>
        <stp>4</stp>
        <stp>002285</stp>
        <stp>2018-01-01</stp>
        <stp>2019-12-31</stp>
        <stp>3</stp>
        <tr r="F3147" s="1"/>
      </tp>
      <tp>
        <v>6.1261261300000003</v>
        <stp/>
        <stp>EM_S_PQ_PCTCHANGE</stp>
        <stp>4</stp>
        <stp>002097</stp>
        <stp>2018-12-31</stp>
        <stp>2019-12-30</stp>
        <stp>1</stp>
        <tr r="G1946" s="1"/>
      </tp>
      <tp>
        <v>-37.232390979999998</v>
        <stp/>
        <stp>EM_S_PQ_PCTCHANGE</stp>
        <stp>4</stp>
        <stp>002286</stp>
        <stp>2018-01-01</stp>
        <stp>2019-12-31</stp>
        <stp>3</stp>
        <tr r="F1755" s="1"/>
      </tp>
      <tp>
        <v>-14.17452756</v>
        <stp/>
        <stp>EM_S_PQ_PCTCHANGE</stp>
        <stp>4</stp>
        <stp>002287</stp>
        <stp>2018-01-01</stp>
        <stp>2019-12-31</stp>
        <stp>3</stp>
        <tr r="F2908" s="1"/>
      </tp>
      <tp>
        <v>0.20100000000000001</v>
        <stp/>
        <stp>EM_S_FA_BPS</stp>
        <stp>3</stp>
        <stp>000003</stp>
        <stp>12/31/2018</stp>
        <stp>1</stp>
        <tr r="V2271" s="1"/>
      </tp>
      <tp>
        <v>50.855745720000002</v>
        <stp/>
        <stp>EM_S_PQ_PCTCHANGE</stp>
        <stp>4</stp>
        <stp>300099</stp>
        <stp>2018-12-31</stp>
        <stp>2019-12-30</stp>
        <stp>1</stp>
        <tr r="G551" s="1"/>
      </tp>
      <tp>
        <v>-48.676085370000003</v>
        <stp/>
        <stp>EM_S_PQ_PCTCHANGE</stp>
        <stp>4</stp>
        <stp>300288</stp>
        <stp>2018-01-01</stp>
        <stp>2019-12-31</stp>
        <stp>3</stp>
        <tr r="F2609" s="1"/>
      </tp>
      <tp>
        <v>-11.686390530000001</v>
        <stp/>
        <stp>EM_S_PQ_PCTCHANGE</stp>
        <stp>4</stp>
        <stp>300098</stp>
        <stp>2018-12-31</stp>
        <stp>2019-12-30</stp>
        <stp>1</stp>
        <tr r="G2821" s="1"/>
      </tp>
      <tp>
        <v>-36.428520820000003</v>
        <stp/>
        <stp>EM_S_PQ_PCTCHANGE</stp>
        <stp>4</stp>
        <stp>300289</stp>
        <stp>2018-01-01</stp>
        <stp>2019-12-31</stp>
        <stp>3</stp>
        <tr r="F2864" s="1"/>
      </tp>
      <tp>
        <v>22.84866469</v>
        <stp/>
        <stp>EM_S_PQ_PCTCHANGE</stp>
        <stp>4</stp>
        <stp>300091</stp>
        <stp>2018-12-31</stp>
        <stp>2019-12-30</stp>
        <stp>1</stp>
        <tr r="G1161" s="1"/>
      </tp>
      <tp>
        <v>-53.054755040000003</v>
        <stp/>
        <stp>EM_S_PQ_PCTCHANGE</stp>
        <stp>4</stp>
        <stp>300280</stp>
        <stp>2018-01-01</stp>
        <stp>2019-12-31</stp>
        <stp>3</stp>
        <tr r="F3363" s="1"/>
      </tp>
      <tp>
        <v>-37.674418600000003</v>
        <stp/>
        <stp>EM_S_PQ_PCTCHANGE</stp>
        <stp>4</stp>
        <stp>300090</stp>
        <stp>2018-12-31</stp>
        <stp>2019-12-30</stp>
        <stp>1</stp>
        <tr r="G3294" s="1"/>
      </tp>
      <tp>
        <v>-32.59472822</v>
        <stp/>
        <stp>EM_S_PQ_PCTCHANGE</stp>
        <stp>4</stp>
        <stp>300281</stp>
        <stp>2018-01-01</stp>
        <stp>2019-12-31</stp>
        <stp>3</stp>
        <tr r="F832" s="1"/>
      </tp>
      <tp>
        <v>81.505728309999995</v>
        <stp/>
        <stp>EM_S_PQ_PCTCHANGE</stp>
        <stp>4</stp>
        <stp>300093</stp>
        <stp>2018-12-31</stp>
        <stp>2019-12-30</stp>
        <stp>1</stp>
        <tr r="G239" s="1"/>
      </tp>
      <tp>
        <v>-36.517529099999997</v>
        <stp/>
        <stp>EM_S_PQ_PCTCHANGE</stp>
        <stp>4</stp>
        <stp>300282</stp>
        <stp>2018-01-01</stp>
        <stp>2019-12-31</stp>
        <stp>3</stp>
        <tr r="F3268" s="1"/>
      </tp>
      <tp>
        <v>19.306930690000002</v>
        <stp/>
        <stp>EM_S_PQ_PCTCHANGE</stp>
        <stp>4</stp>
        <stp>300092</stp>
        <stp>2018-12-31</stp>
        <stp>2019-12-30</stp>
        <stp>1</stp>
        <tr r="G1306" s="1"/>
      </tp>
      <tp>
        <v>-20.92726377</v>
        <stp/>
        <stp>EM_S_PQ_PCTCHANGE</stp>
        <stp>4</stp>
        <stp>300283</stp>
        <stp>2018-01-01</stp>
        <stp>2019-12-31</stp>
        <stp>3</stp>
        <tr r="F2236" s="1"/>
      </tp>
      <tp>
        <v>29.193899779999999</v>
        <stp/>
        <stp>EM_S_PQ_PCTCHANGE</stp>
        <stp>4</stp>
        <stp>300095</stp>
        <stp>2018-12-31</stp>
        <stp>2019-12-30</stp>
        <stp>1</stp>
        <tr r="G950" s="1"/>
      </tp>
      <tp>
        <v>-14.095077030000001</v>
        <stp/>
        <stp>EM_S_PQ_PCTCHANGE</stp>
        <stp>4</stp>
        <stp>300284</stp>
        <stp>2018-01-01</stp>
        <stp>2019-12-31</stp>
        <stp>3</stp>
        <tr r="F3100" s="1"/>
      </tp>
      <tp>
        <v>-17.28880157</v>
        <stp/>
        <stp>EM_S_PQ_PCTCHANGE</stp>
        <stp>4</stp>
        <stp>300094</stp>
        <stp>2018-12-31</stp>
        <stp>2019-12-30</stp>
        <stp>1</stp>
        <tr r="G2998" s="1"/>
      </tp>
      <tp>
        <v>72.501492529999993</v>
        <stp/>
        <stp>EM_S_PQ_PCTCHANGE</stp>
        <stp>4</stp>
        <stp>300285</stp>
        <stp>2018-01-01</stp>
        <stp>2019-12-31</stp>
        <stp>3</stp>
        <tr r="F750" s="1"/>
      </tp>
      <tp>
        <v>-14.14503133</v>
        <stp/>
        <stp>EM_S_PQ_PCTCHANGE</stp>
        <stp>4</stp>
        <stp>300097</stp>
        <stp>2018-12-31</stp>
        <stp>2019-12-30</stp>
        <stp>1</stp>
        <tr r="G2911" s="1"/>
      </tp>
      <tp>
        <v>0.61474667000000005</v>
        <stp/>
        <stp>EM_S_PQ_PCTCHANGE</stp>
        <stp>4</stp>
        <stp>300286</stp>
        <stp>2018-01-01</stp>
        <stp>2019-12-31</stp>
        <stp>3</stp>
        <tr r="F747" s="1"/>
      </tp>
      <tp>
        <v>18.1598063</v>
        <stp/>
        <stp>EM_S_PQ_PCTCHANGE</stp>
        <stp>4</stp>
        <stp>300096</stp>
        <stp>2018-12-31</stp>
        <stp>2019-12-30</stp>
        <stp>1</stp>
        <tr r="G1359" s="1"/>
      </tp>
      <tp>
        <v>-47.699782079999999</v>
        <stp/>
        <stp>EM_S_PQ_PCTCHANGE</stp>
        <stp>4</stp>
        <stp>300287</stp>
        <stp>2018-01-01</stp>
        <stp>2019-12-31</stp>
        <stp>3</stp>
        <tr r="F2172" s="1"/>
      </tp>
      <tp>
        <v>-33.145009420000001</v>
        <stp/>
        <stp>EM_S_PQ_PCTCHANGE</stp>
        <stp>4</stp>
        <stp>300089</stp>
        <stp>2018-12-31</stp>
        <stp>2019-12-30</stp>
        <stp>1</stp>
        <tr r="G3253" s="1"/>
      </tp>
      <tp>
        <v>-6.3486310599999998</v>
        <stp/>
        <stp>EM_S_PQ_PCTCHANGE</stp>
        <stp>4</stp>
        <stp>300298</stp>
        <stp>2018-01-01</stp>
        <stp>2019-12-31</stp>
        <stp>3</stp>
        <tr r="F742" s="1"/>
      </tp>
      <tp>
        <v>140.48192771000001</v>
        <stp/>
        <stp>EM_S_PQ_PCTCHANGE</stp>
        <stp>4</stp>
        <stp>300088</stp>
        <stp>2018-12-31</stp>
        <stp>2019-12-30</stp>
        <stp>1</stp>
        <tr r="G96" s="1"/>
      </tp>
      <tp>
        <v>-27.126903899999999</v>
        <stp/>
        <stp>EM_S_PQ_PCTCHANGE</stp>
        <stp>4</stp>
        <stp>300299</stp>
        <stp>2018-01-01</stp>
        <stp>2019-12-31</stp>
        <stp>3</stp>
        <tr r="F2152" s="1"/>
      </tp>
      <tp>
        <v>16.06741573</v>
        <stp/>
        <stp>EM_S_PQ_PCTCHANGE</stp>
        <stp>4</stp>
        <stp>300081</stp>
        <stp>2018-12-31</stp>
        <stp>2019-12-30</stp>
        <stp>1</stp>
        <tr r="G1430" s="1"/>
      </tp>
      <tp>
        <v>16.14240659</v>
        <stp/>
        <stp>EM_S_PQ_PCTCHANGE</stp>
        <stp>4</stp>
        <stp>300290</stp>
        <stp>2018-01-01</stp>
        <stp>2019-12-31</stp>
        <stp>3</stp>
        <tr r="F1839" s="1"/>
      </tp>
      <tp>
        <v>21.609195400000001</v>
        <stp/>
        <stp>EM_S_PQ_PCTCHANGE</stp>
        <stp>4</stp>
        <stp>300080</stp>
        <stp>2018-12-31</stp>
        <stp>2019-12-30</stp>
        <stp>1</stp>
        <tr r="G1199" s="1"/>
      </tp>
      <tp>
        <v>-46.524972640000001</v>
        <stp/>
        <stp>EM_S_PQ_PCTCHANGE</stp>
        <stp>4</stp>
        <stp>300291</stp>
        <stp>2018-01-01</stp>
        <stp>2019-12-31</stp>
        <stp>3</stp>
        <tr r="F808" s="1"/>
      </tp>
      <tp>
        <v>64.406779659999998</v>
        <stp/>
        <stp>EM_S_PQ_PCTCHANGE</stp>
        <stp>4</stp>
        <stp>300083</stp>
        <stp>2018-12-31</stp>
        <stp>2019-12-30</stp>
        <stp>1</stp>
        <tr r="G377" s="1"/>
      </tp>
      <tp>
        <v>-9.6587380899999999</v>
        <stp/>
        <stp>EM_S_PQ_PCTCHANGE</stp>
        <stp>4</stp>
        <stp>300292</stp>
        <stp>2018-01-01</stp>
        <stp>2019-12-31</stp>
        <stp>3</stp>
        <tr r="F894" s="1"/>
      </tp>
      <tp>
        <v>0.66666667000000002</v>
        <stp/>
        <stp>EM_S_PQ_PCTCHANGE</stp>
        <stp>4</stp>
        <stp>300082</stp>
        <stp>2018-12-31</stp>
        <stp>2019-12-30</stp>
        <stp>1</stp>
        <tr r="G2238" s="1"/>
      </tp>
      <tp>
        <v>-27.2660619</v>
        <stp/>
        <stp>EM_S_PQ_PCTCHANGE</stp>
        <stp>4</stp>
        <stp>300293</stp>
        <stp>2018-01-01</stp>
        <stp>2019-12-31</stp>
        <stp>3</stp>
        <tr r="F1253" s="1"/>
      </tp>
      <tp>
        <v>97.361809050000005</v>
        <stp/>
        <stp>EM_S_PQ_PCTCHANGE</stp>
        <stp>4</stp>
        <stp>300085</stp>
        <stp>2018-12-31</stp>
        <stp>2019-12-30</stp>
        <stp>1</stp>
        <tr r="G175" s="1"/>
      </tp>
      <tp>
        <v>5.3601912399999998</v>
        <stp/>
        <stp>EM_S_PQ_PCTCHANGE</stp>
        <stp>4</stp>
        <stp>300294</stp>
        <stp>2018-01-01</stp>
        <stp>2019-12-31</stp>
        <stp>3</stp>
        <tr r="F1530" s="1"/>
      </tp>
      <tp>
        <v>-6.6945606700000004</v>
        <stp/>
        <stp>EM_S_PQ_PCTCHANGE</stp>
        <stp>4</stp>
        <stp>300084</stp>
        <stp>2018-12-31</stp>
        <stp>2019-12-30</stp>
        <stp>1</stp>
        <tr r="G2639" s="1"/>
      </tp>
      <tp>
        <v>-27.894403969999999</v>
        <stp/>
        <stp>EM_S_PQ_PCTCHANGE</stp>
        <stp>4</stp>
        <stp>300295</stp>
        <stp>2018-01-01</stp>
        <stp>2019-12-31</stp>
        <stp>3</stp>
        <tr r="F1480" s="1"/>
      </tp>
      <tp>
        <v>-7.1150097499999996</v>
        <stp/>
        <stp>EM_S_PQ_PCTCHANGE</stp>
        <stp>4</stp>
        <stp>300087</stp>
        <stp>2018-12-31</stp>
        <stp>2019-12-30</stp>
        <stp>1</stp>
        <tr r="G2662" s="1"/>
      </tp>
      <tp>
        <v>-40.126497190000002</v>
        <stp/>
        <stp>EM_S_PQ_PCTCHANGE</stp>
        <stp>4</stp>
        <stp>300296</stp>
        <stp>2018-01-01</stp>
        <stp>2019-12-31</stp>
        <stp>3</stp>
        <tr r="F2149" s="1"/>
      </tp>
      <tp>
        <v>-20.333333329999999</v>
        <stp/>
        <stp>EM_S_PQ_PCTCHANGE</stp>
        <stp>4</stp>
        <stp>300086</stp>
        <stp>2018-12-31</stp>
        <stp>2019-12-30</stp>
        <stp>1</stp>
        <tr r="G3069" s="1"/>
      </tp>
      <tp>
        <v>-40.274588250000001</v>
        <stp/>
        <stp>EM_S_PQ_PCTCHANGE</stp>
        <stp>4</stp>
        <stp>300297</stp>
        <stp>2018-01-01</stp>
        <stp>2019-12-31</stp>
        <stp>3</stp>
        <tr r="F1570" s="1"/>
      </tp>
      <tp>
        <v>12.82</v>
        <stp/>
        <stp>EM_S_FA_BPS</stp>
        <stp>3</stp>
        <stp>000001</stp>
        <stp>12/31/2018</stp>
        <stp>1</stp>
        <tr r="V265" s="1"/>
      </tp>
      <tp>
        <v>-9.7727823100000002</v>
        <stp/>
        <stp>EM_S_PQ_PCTCHANGE</stp>
        <stp>4</stp>
        <stp>600338</stp>
        <stp>2019-01-01</stp>
        <stp>2019-12-31</stp>
        <stp>3</stp>
        <tr r="G2747" s="1"/>
      </tp>
      <tp>
        <v>48.138957820000002</v>
        <stp/>
        <stp>EM_S_PQ_PCTCHANGE</stp>
        <stp>4</stp>
        <stp>300179</stp>
        <stp>2018-12-31</stp>
        <stp>2019-12-30</stp>
        <stp>1</stp>
        <tr r="G596" s="1"/>
      </tp>
      <tp>
        <v>-4.1958042000000004</v>
        <stp/>
        <stp>EM_S_PQ_PCTCHANGE</stp>
        <stp>4</stp>
        <stp>300368</stp>
        <stp>2018-01-01</stp>
        <stp>2019-12-31</stp>
        <stp>3</stp>
        <tr r="F686" s="1"/>
      </tp>
      <tp>
        <v>31.736526949999998</v>
        <stp/>
        <stp>EM_S_PQ_PCTCHANGE</stp>
        <stp>4</stp>
        <stp>600129</stp>
        <stp>2018-12-31</stp>
        <stp>2019-12-30</stp>
        <stp>1</stp>
        <tr r="G892" s="1"/>
      </tp>
      <tp>
        <v>-56.611951400000002</v>
        <stp/>
        <stp>EM_S_PQ_PCTCHANGE</stp>
        <stp>4</stp>
        <stp>600338</stp>
        <stp>2018-01-01</stp>
        <stp>2019-12-31</stp>
        <stp>3</stp>
        <tr r="F2747" s="1"/>
      </tp>
      <tp>
        <v>156.13266583000001</v>
        <stp/>
        <stp>EM_S_PQ_PCTCHANGE</stp>
        <stp>4</stp>
        <stp>603129</stp>
        <stp>2018-12-31</stp>
        <stp>2019-12-30</stp>
        <stp>1</stp>
        <tr r="G76" s="1"/>
      </tp>
      <tp>
        <v>80.269149639999995</v>
        <stp/>
        <stp>EM_S_PQ_PCTCHANGE</stp>
        <stp>4</stp>
        <stp>603338</stp>
        <stp>2018-01-01</stp>
        <stp>2019-12-31</stp>
        <stp>3</stp>
        <tr r="F1029" s="1"/>
      </tp>
      <tp>
        <v>46.516007530000003</v>
        <stp/>
        <stp>EM_S_PQ_PCTCHANGE</stp>
        <stp>4</stp>
        <stp>002149</stp>
        <stp>2018-12-31</stp>
        <stp>2019-12-30</stp>
        <stp>1</stp>
        <tr r="G618" s="1"/>
      </tp>
      <tp>
        <v>-52.076912200000002</v>
        <stp/>
        <stp>EM_S_PQ_PCTCHANGE</stp>
        <stp>4</stp>
        <stp>002358</stp>
        <stp>2018-01-01</stp>
        <stp>2019-12-31</stp>
        <stp>3</stp>
        <tr r="F3394" s="1"/>
      </tp>
      <tp>
        <v>42.508143320000002</v>
        <stp/>
        <stp>EM_S_PQ_PCTCHANGE</stp>
        <stp>4</stp>
        <stp>601128</stp>
        <stp>2018-12-31</stp>
        <stp>2019-12-30</stp>
        <stp>1</stp>
        <tr r="G693" s="1"/>
      </tp>
      <tp>
        <v>-21.23691839</v>
        <stp/>
        <stp>EM_S_PQ_PCTCHANGE</stp>
        <stp>4</stp>
        <stp>601339</stp>
        <stp>2018-01-01</stp>
        <stp>2019-12-31</stp>
        <stp>3</stp>
        <tr r="F3196" s="1"/>
      </tp>
      <tp>
        <v>-45.575221239999998</v>
        <stp/>
        <stp>EM_S_PQ_PCTCHANGE</stp>
        <stp>4</stp>
        <stp>300178</stp>
        <stp>2018-12-31</stp>
        <stp>2019-12-30</stp>
        <stp>1</stp>
        <tr r="G3346" s="1"/>
      </tp>
      <tp>
        <v>101.28587782</v>
        <stp/>
        <stp>EM_S_PQ_PCTCHANGE</stp>
        <stp>4</stp>
        <stp>300369</stp>
        <stp>2018-01-01</stp>
        <stp>2019-12-31</stp>
        <stp>3</stp>
        <tr r="F143" s="1"/>
      </tp>
      <tp>
        <v>-5.5555555600000002</v>
        <stp/>
        <stp>EM_S_PQ_PCTCHANGE</stp>
        <stp>4</stp>
        <stp>600128</stp>
        <stp>2018-12-31</stp>
        <stp>2019-12-30</stp>
        <stp>1</stp>
        <tr r="G2583" s="1"/>
      </tp>
      <tp>
        <v>-40.237341890000003</v>
        <stp/>
        <stp>EM_S_PQ_PCTCHANGE</stp>
        <stp>4</stp>
        <stp>600339</stp>
        <stp>2018-01-01</stp>
        <stp>2019-12-31</stp>
        <stp>3</stp>
        <tr r="F2706" s="1"/>
      </tp>
      <tp>
        <v>17.669172929999998</v>
        <stp/>
        <stp>EM_S_PQ_PCTCHANGE</stp>
        <stp>4</stp>
        <stp>603128</stp>
        <stp>2018-12-31</stp>
        <stp>2019-12-30</stp>
        <stp>1</stp>
        <tr r="G1380" s="1"/>
      </tp>
      <tp>
        <v>-41.553460559999998</v>
        <stp/>
        <stp>EM_S_PQ_PCTCHANGE</stp>
        <stp>4</stp>
        <stp>603339</stp>
        <stp>2018-01-01</stp>
        <stp>2019-12-31</stp>
        <stp>3</stp>
        <tr r="F2771" s="1"/>
      </tp>
      <tp>
        <v>-13.5678392</v>
        <stp/>
        <stp>EM_S_PQ_PCTCHANGE</stp>
        <stp>4</stp>
        <stp>002148</stp>
        <stp>2018-12-31</stp>
        <stp>2019-12-30</stp>
        <stp>1</stp>
        <tr r="G2885" s="1"/>
      </tp>
      <tp>
        <v>-90.687361420000002</v>
        <stp/>
        <stp>EM_S_PQ_PCTCHANGE</stp>
        <stp>4</stp>
        <stp>002359</stp>
        <stp>2018-01-01</stp>
        <stp>2019-12-31</stp>
        <stp>3</stp>
        <tr r="F3401" s="1"/>
      </tp>
      <tp>
        <v>225.16616261999999</v>
        <stp/>
        <stp>EM_S_PQ_PCTCHANGE</stp>
        <stp>4</stp>
        <stp>601330</stp>
        <stp>2018-01-01</stp>
        <stp>2019-12-31</stp>
        <stp>3</stp>
        <tr r="F2943" s="1"/>
      </tp>
      <tp>
        <v>0.28530670000000002</v>
        <stp/>
        <stp>EM_S_PQ_PCTCHANGE</stp>
        <stp>4</stp>
        <stp>300171</stp>
        <stp>2018-12-31</stp>
        <stp>2019-12-30</stp>
        <stp>1</stp>
        <tr r="G2262" s="1"/>
      </tp>
      <tp>
        <v>16.07076021</v>
        <stp/>
        <stp>EM_S_PQ_PCTCHANGE</stp>
        <stp>4</stp>
        <stp>300360</stp>
        <stp>2018-01-01</stp>
        <stp>2019-12-31</stp>
        <stp>3</stp>
        <tr r="F187" s="1"/>
      </tp>
      <tp>
        <v>-18.62068966</v>
        <stp/>
        <stp>EM_S_PQ_PCTCHANGE</stp>
        <stp>4</stp>
        <stp>600121</stp>
        <stp>2018-12-31</stp>
        <stp>2019-12-30</stp>
        <stp>1</stp>
        <tr r="G3036" s="1"/>
      </tp>
      <tp>
        <v>-11.62797028</v>
        <stp/>
        <stp>EM_S_PQ_PCTCHANGE</stp>
        <stp>4</stp>
        <stp>600330</stp>
        <stp>2018-01-01</stp>
        <stp>2019-12-31</stp>
        <stp>3</stp>
        <tr r="F654" s="1"/>
      </tp>
      <tp>
        <v>-21.20438794</v>
        <stp/>
        <stp>EM_S_PQ_PCTCHANGE</stp>
        <stp>4</stp>
        <stp>603330</stp>
        <stp>2018-01-01</stp>
        <stp>2019-12-31</stp>
        <stp>3</stp>
        <tr r="F3151" s="1"/>
      </tp>
      <tp>
        <v>-15.47344111</v>
        <stp/>
        <stp>EM_S_PQ_PCTCHANGE</stp>
        <stp>4</stp>
        <stp>002141</stp>
        <stp>2018-12-31</stp>
        <stp>2019-12-30</stp>
        <stp>1</stp>
        <tr r="G2946" s="1"/>
      </tp>
      <tp>
        <v>-36.08955744</v>
        <stp/>
        <stp>EM_S_PQ_PCTCHANGE</stp>
        <stp>4</stp>
        <stp>002350</stp>
        <stp>2018-01-01</stp>
        <stp>2019-12-31</stp>
        <stp>3</stp>
        <tr r="F2684" s="1"/>
      </tp>
      <tp>
        <v>-0.81799591000000005</v>
        <stp/>
        <stp>EM_S_PQ_PCTCHANGE</stp>
        <stp>4</stp>
        <stp>300170</stp>
        <stp>2018-12-31</stp>
        <stp>2019-12-30</stp>
        <stp>1</stp>
        <tr r="G2376" s="1"/>
      </tp>
      <tp>
        <v>0</v>
        <stp/>
        <stp>EM_S_PQ_PCTCHANGE</stp>
        <stp>4</stp>
        <stp>300361</stp>
        <stp>2018-01-01</stp>
        <stp>2019-12-31</stp>
        <stp>3</stp>
        <tr r="F9" s="1"/>
      </tp>
      <tp>
        <v>-29.77707006</v>
        <stp/>
        <stp>EM_S_PQ_PCTCHANGE</stp>
        <stp>4</stp>
        <stp>600120</stp>
        <stp>2018-12-31</stp>
        <stp>2019-12-30</stp>
        <stp>1</stp>
        <tr r="G3210" s="1"/>
      </tp>
      <tp>
        <v>-49.325626200000002</v>
        <stp/>
        <stp>EM_S_PQ_PCTCHANGE</stp>
        <stp>4</stp>
        <stp>600331</stp>
        <stp>2018-01-01</stp>
        <stp>2019-12-31</stp>
        <stp>3</stp>
        <tr r="F903" s="1"/>
      </tp>
      <tp>
        <v>-15.362916029999999</v>
        <stp/>
        <stp>EM_S_PQ_PCTCHANGE</stp>
        <stp>4</stp>
        <stp>603331</stp>
        <stp>2018-01-01</stp>
        <stp>2019-12-31</stp>
        <stp>3</stp>
        <tr r="F1621" s="1"/>
      </tp>
      <tp>
        <v>21.70138889</v>
        <stp/>
        <stp>EM_S_PQ_PCTCHANGE</stp>
        <stp>4</stp>
        <stp>002140</stp>
        <stp>2018-12-31</stp>
        <stp>2019-12-30</stp>
        <stp>1</stp>
        <tr r="G1194" s="1"/>
      </tp>
      <tp>
        <v>171.37527483</v>
        <stp/>
        <stp>EM_S_PQ_PCTCHANGE</stp>
        <stp>4</stp>
        <stp>002351</stp>
        <stp>2018-01-01</stp>
        <stp>2019-12-31</stp>
        <stp>3</stp>
        <tr r="F22" s="1"/>
      </tp>
      <tp>
        <v>57.615894040000001</v>
        <stp/>
        <stp>EM_S_PQ_PCTCHANGE</stp>
        <stp>4</stp>
        <stp>300173</stp>
        <stp>2018-12-31</stp>
        <stp>2019-12-30</stp>
        <stp>1</stp>
        <tr r="G450" s="1"/>
      </tp>
      <tp>
        <v>-79.136459990000006</v>
        <stp/>
        <stp>EM_S_PQ_PCTCHANGE</stp>
        <stp>4</stp>
        <stp>300362</stp>
        <stp>2018-01-01</stp>
        <stp>2019-12-31</stp>
        <stp>3</stp>
        <tr r="F3359" s="1"/>
      </tp>
      <tp>
        <v>-1.5337423299999999</v>
        <stp/>
        <stp>EM_S_PQ_PCTCHANGE</stp>
        <stp>4</stp>
        <stp>600123</stp>
        <stp>2018-12-31</stp>
        <stp>2019-12-30</stp>
        <stp>1</stp>
        <tr r="G2399" s="1"/>
      </tp>
      <tp>
        <v>12.97961469</v>
        <stp/>
        <stp>EM_S_PQ_PCTCHANGE</stp>
        <stp>4</stp>
        <stp>600332</stp>
        <stp>2018-01-01</stp>
        <stp>2019-12-31</stp>
        <stp>3</stp>
        <tr r="F2596" s="1"/>
      </tp>
      <tp>
        <v>17.118644069999998</v>
        <stp/>
        <stp>EM_S_PQ_PCTCHANGE</stp>
        <stp>4</stp>
        <stp>603123</stp>
        <stp>2018-12-31</stp>
        <stp>2019-12-30</stp>
        <stp>1</stp>
        <tr r="G1396" s="1"/>
      </tp>
      <tp>
        <v>-91.258741259999994</v>
        <stp/>
        <stp>EM_S_PQ_PCTCHANGE</stp>
        <stp>4</stp>
        <stp>002143</stp>
        <stp>2018-12-31</stp>
        <stp>2019-12-30</stp>
        <stp>1</stp>
        <tr r="G3411" s="1"/>
      </tp>
      <tp>
        <v>-25.375485900000001</v>
        <stp/>
        <stp>EM_S_PQ_PCTCHANGE</stp>
        <stp>4</stp>
        <stp>002352</stp>
        <stp>2018-01-01</stp>
        <stp>2019-12-31</stp>
        <stp>3</stp>
        <tr r="F1475" s="1"/>
      </tp>
      <tp>
        <v>-42.869623760000003</v>
        <stp/>
        <stp>EM_S_PQ_PCTCHANGE</stp>
        <stp>4</stp>
        <stp>601333</stp>
        <stp>2018-01-01</stp>
        <stp>2019-12-31</stp>
        <stp>3</stp>
        <tr r="F2471" s="1"/>
      </tp>
      <tp>
        <v>-1.9157088099999999</v>
        <stp/>
        <stp>EM_S_PQ_PCTCHANGE</stp>
        <stp>4</stp>
        <stp>300172</stp>
        <stp>2018-12-31</stp>
        <stp>2019-12-30</stp>
        <stp>1</stp>
        <tr r="G2415" s="1"/>
      </tp>
      <tp>
        <v>8.7505564099999997</v>
        <stp/>
        <stp>EM_S_PQ_PCTCHANGE</stp>
        <stp>4</stp>
        <stp>300363</stp>
        <stp>2018-01-01</stp>
        <stp>2019-12-31</stp>
        <stp>3</stp>
        <tr r="F577" s="1"/>
      </tp>
      <tp>
        <v>-27.548209369999999</v>
        <stp/>
        <stp>EM_S_PQ_PCTCHANGE</stp>
        <stp>4</stp>
        <stp>600122</stp>
        <stp>2018-12-31</stp>
        <stp>2019-12-30</stp>
        <stp>1</stp>
        <tr r="G3190" s="1"/>
      </tp>
      <tp>
        <v>-34.963852289999998</v>
        <stp/>
        <stp>EM_S_PQ_PCTCHANGE</stp>
        <stp>4</stp>
        <stp>600333</stp>
        <stp>2018-01-01</stp>
        <stp>2019-12-31</stp>
        <stp>3</stp>
        <tr r="F2670" s="1"/>
      </tp>
      <tp>
        <v>60.883567970000001</v>
        <stp/>
        <stp>EM_S_PQ_PCTCHANGE</stp>
        <stp>4</stp>
        <stp>603333</stp>
        <stp>2018-01-01</stp>
        <stp>2019-12-31</stp>
        <stp>3</stp>
        <tr r="F196" s="1"/>
      </tp>
      <tp>
        <v>71.701602960000002</v>
        <stp/>
        <stp>EM_S_PQ_PCTCHANGE</stp>
        <stp>4</stp>
        <stp>002142</stp>
        <stp>2018-12-31</stp>
        <stp>2019-12-30</stp>
        <stp>1</stp>
        <tr r="G303" s="1"/>
      </tp>
      <tp>
        <v>185.29111265</v>
        <stp/>
        <stp>EM_S_PQ_PCTCHANGE</stp>
        <stp>4</stp>
        <stp>002353</stp>
        <stp>2018-01-01</stp>
        <stp>2019-12-31</stp>
        <stp>3</stp>
        <tr r="F89" s="1"/>
      </tp>
      <tp>
        <v>45.783132530000003</v>
        <stp/>
        <stp>EM_S_PQ_PCTCHANGE</stp>
        <stp>4</stp>
        <stp>300175</stp>
        <stp>2018-12-31</stp>
        <stp>2019-12-30</stp>
        <stp>1</stp>
        <tr r="G630" s="1"/>
      </tp>
      <tp>
        <v>-55.407034379999999</v>
        <stp/>
        <stp>EM_S_PQ_PCTCHANGE</stp>
        <stp>4</stp>
        <stp>300364</stp>
        <stp>2018-01-01</stp>
        <stp>2019-12-31</stp>
        <stp>3</stp>
        <tr r="F2917" s="1"/>
      </tp>
      <tp>
        <v>-14</v>
        <stp/>
        <stp>EM_S_PQ_PCTCHANGE</stp>
        <stp>4</stp>
        <stp>600125</stp>
        <stp>2018-12-31</stp>
        <stp>2019-12-30</stp>
        <stp>1</stp>
        <tr r="G2904" s="1"/>
      </tp>
      <tp>
        <v>36.024844719999997</v>
        <stp/>
        <stp>EM_S_PQ_PCTCHANGE</stp>
        <stp>4</stp>
        <stp>002145</stp>
        <stp>2018-12-31</stp>
        <stp>2019-12-30</stp>
        <stp>1</stp>
        <tr r="G805" s="1"/>
      </tp>
      <tp>
        <v>-83.238652139999999</v>
        <stp/>
        <stp>EM_S_PQ_PCTCHANGE</stp>
        <stp>4</stp>
        <stp>002354</stp>
        <stp>2018-01-01</stp>
        <stp>2019-12-31</stp>
        <stp>3</stp>
        <tr r="F3345" s="1"/>
      </tp>
      <tp>
        <v>41.80690877</v>
        <stp/>
        <stp>EM_S_PQ_PCTCHANGE</stp>
        <stp>4</stp>
        <stp>300174</stp>
        <stp>2018-12-31</stp>
        <stp>2019-12-30</stp>
        <stp>1</stp>
        <tr r="G701" s="1"/>
      </tp>
      <tp>
        <v>23.587334030000001</v>
        <stp/>
        <stp>EM_S_PQ_PCTCHANGE</stp>
        <stp>4</stp>
        <stp>300365</stp>
        <stp>2018-01-01</stp>
        <stp>2019-12-31</stp>
        <stp>3</stp>
        <tr r="F3299" s="1"/>
      </tp>
      <tp>
        <v>-46.723409189999998</v>
        <stp/>
        <stp>EM_S_PQ_PCTCHANGE</stp>
        <stp>4</stp>
        <stp>600335</stp>
        <stp>2018-01-01</stp>
        <stp>2019-12-31</stp>
        <stp>3</stp>
        <tr r="F2633" s="1"/>
      </tp>
      <tp>
        <v>-27.142147229999999</v>
        <stp/>
        <stp>EM_S_PQ_PCTCHANGE</stp>
        <stp>4</stp>
        <stp>603335</stp>
        <stp>2018-01-01</stp>
        <stp>2019-12-31</stp>
        <stp>3</stp>
        <tr r="F3070" s="1"/>
      </tp>
      <tp>
        <v>1.2244898</v>
        <stp/>
        <stp>EM_S_PQ_PCTCHANGE</stp>
        <stp>4</stp>
        <stp>002144</stp>
        <stp>2018-12-31</stp>
        <stp>2019-12-30</stp>
        <stp>1</stp>
        <tr r="G2202" s="1"/>
      </tp>
      <tp>
        <v>-35.411643509999998</v>
        <stp/>
        <stp>EM_S_PQ_PCTCHANGE</stp>
        <stp>4</stp>
        <stp>002355</stp>
        <stp>2018-01-01</stp>
        <stp>2019-12-31</stp>
        <stp>3</stp>
        <tr r="F2718" s="1"/>
      </tp>
      <tp>
        <v>-33.488914819999998</v>
        <stp/>
        <stp>EM_S_PQ_PCTCHANGE</stp>
        <stp>4</stp>
        <stp>601127</stp>
        <stp>2018-12-31</stp>
        <stp>2019-12-30</stp>
        <stp>1</stp>
        <tr r="G3258" s="1"/>
      </tp>
      <tp>
        <v>-28.095559819999998</v>
        <stp/>
        <stp>EM_S_PQ_PCTCHANGE</stp>
        <stp>4</stp>
        <stp>601336</stp>
        <stp>2018-01-01</stp>
        <stp>2019-12-31</stp>
        <stp>3</stp>
        <tr r="F1427" s="1"/>
      </tp>
      <tp>
        <v>-12.90322581</v>
        <stp/>
        <stp>EM_S_PQ_PCTCHANGE</stp>
        <stp>4</stp>
        <stp>300177</stp>
        <stp>2018-12-31</stp>
        <stp>2019-12-30</stp>
        <stp>1</stp>
        <tr r="G2865" s="1"/>
      </tp>
      <tp>
        <v>-13.473154729999999</v>
        <stp/>
        <stp>EM_S_PQ_PCTCHANGE</stp>
        <stp>4</stp>
        <stp>300366</stp>
        <stp>2018-01-01</stp>
        <stp>2019-12-31</stp>
        <stp>3</stp>
        <tr r="F702" s="1"/>
      </tp>
      <tp>
        <v>38.596491229999998</v>
        <stp/>
        <stp>EM_S_PQ_PCTCHANGE</stp>
        <stp>4</stp>
        <stp>600127</stp>
        <stp>2018-12-31</stp>
        <stp>2019-12-30</stp>
        <stp>1</stp>
        <tr r="G762" s="1"/>
      </tp>
      <tp>
        <v>-11.260650549999999</v>
        <stp/>
        <stp>EM_S_PQ_PCTCHANGE</stp>
        <stp>4</stp>
        <stp>600336</stp>
        <stp>2018-01-01</stp>
        <stp>2019-12-31</stp>
        <stp>3</stp>
        <tr r="F936" s="1"/>
      </tp>
      <tp>
        <v>19.285714290000001</v>
        <stp/>
        <stp>EM_S_PQ_PCTCHANGE</stp>
        <stp>4</stp>
        <stp>603127</stp>
        <stp>2018-12-31</stp>
        <stp>2019-12-30</stp>
        <stp>1</stp>
        <tr r="G1307" s="1"/>
      </tp>
      <tp>
        <v>-0.88612157000000003</v>
        <stp/>
        <stp>EM_S_PQ_PCTCHANGE</stp>
        <stp>4</stp>
        <stp>603336</stp>
        <stp>2018-01-01</stp>
        <stp>2019-12-31</stp>
        <stp>3</stp>
        <tr r="F2819" s="1"/>
      </tp>
      <tp>
        <v>-32.258064519999998</v>
        <stp/>
        <stp>EM_S_PQ_PCTCHANGE</stp>
        <stp>4</stp>
        <stp>002147</stp>
        <stp>2018-12-31</stp>
        <stp>2019-12-30</stp>
        <stp>1</stp>
        <tr r="G3244" s="1"/>
      </tp>
      <tp>
        <v>-85.746265899999997</v>
        <stp/>
        <stp>EM_S_PQ_PCTCHANGE</stp>
        <stp>4</stp>
        <stp>002356</stp>
        <stp>2018-01-01</stp>
        <stp>2019-12-31</stp>
        <stp>3</stp>
        <tr r="F3400" s="1"/>
      </tp>
      <tp>
        <v>9.0373280900000008</v>
        <stp/>
        <stp>EM_S_PQ_PCTCHANGE</stp>
        <stp>4</stp>
        <stp>601126</stp>
        <stp>2018-12-31</stp>
        <stp>2019-12-30</stp>
        <stp>1</stp>
        <tr r="G1793" s="1"/>
      </tp>
      <tp>
        <v>-76.821541710000005</v>
        <stp/>
        <stp>EM_S_PQ_PCTCHANGE</stp>
        <stp>4</stp>
        <stp>300176</stp>
        <stp>2018-12-31</stp>
        <stp>2019-12-30</stp>
        <stp>1</stp>
        <tr r="G3402" s="1"/>
      </tp>
      <tp>
        <v>-59.525144570000002</v>
        <stp/>
        <stp>EM_S_PQ_PCTCHANGE</stp>
        <stp>4</stp>
        <stp>300367</stp>
        <stp>2018-01-01</stp>
        <stp>2019-12-31</stp>
        <stp>3</stp>
        <tr r="F3371" s="1"/>
      </tp>
      <tp>
        <v>7.7605321500000004</v>
        <stp/>
        <stp>EM_S_PQ_PCTCHANGE</stp>
        <stp>4</stp>
        <stp>600126</stp>
        <stp>2018-12-31</stp>
        <stp>2019-12-30</stp>
        <stp>1</stp>
        <tr r="G1866" s="1"/>
      </tp>
      <tp>
        <v>-21.986352700000001</v>
        <stp/>
        <stp>EM_S_PQ_PCTCHANGE</stp>
        <stp>4</stp>
        <stp>600337</stp>
        <stp>2018-01-01</stp>
        <stp>2019-12-31</stp>
        <stp>3</stp>
        <tr r="F1687" s="1"/>
      </tp>
      <tp>
        <v>-4.6601941699999996</v>
        <stp/>
        <stp>EM_S_PQ_PCTCHANGE</stp>
        <stp>4</stp>
        <stp>603126</stp>
        <stp>2018-12-31</stp>
        <stp>2019-12-30</stp>
        <stp>1</stp>
        <tr r="G2549" s="1"/>
      </tp>
      <tp>
        <v>-10.535232779999999</v>
        <stp/>
        <stp>EM_S_PQ_PCTCHANGE</stp>
        <stp>4</stp>
        <stp>603337</stp>
        <stp>2018-01-01</stp>
        <stp>2019-12-31</stp>
        <stp>3</stp>
        <tr r="F3338" s="1"/>
      </tp>
      <tp>
        <v>22.515723269999999</v>
        <stp/>
        <stp>EM_S_PQ_PCTCHANGE</stp>
        <stp>4</stp>
        <stp>002146</stp>
        <stp>2018-12-31</stp>
        <stp>2019-12-30</stp>
        <stp>1</stp>
        <tr r="G1173" s="1"/>
      </tp>
      <tp>
        <v>-36.82951164</v>
        <stp/>
        <stp>EM_S_PQ_PCTCHANGE</stp>
        <stp>4</stp>
        <stp>002357</stp>
        <stp>2018-01-01</stp>
        <stp>2019-12-31</stp>
        <stp>3</stp>
        <tr r="F1607" s="1"/>
      </tp>
      <tp>
        <v>44.87895717</v>
        <stp/>
        <stp>EM_S_PQ_PCTCHANGE</stp>
        <stp>4</stp>
        <stp>601139</stp>
        <stp>2018-12-31</stp>
        <stp>2019-12-30</stp>
        <stp>1</stp>
        <tr r="G649" s="1"/>
      </tp>
      <tp>
        <v>0.16677122999999999</v>
        <stp/>
        <stp>EM_S_PQ_PCTCHANGE</stp>
        <stp>4</stp>
        <stp>601328</stp>
        <stp>2018-01-01</stp>
        <stp>2019-12-31</stp>
        <stp>3</stp>
        <tr r="F2457" s="1"/>
      </tp>
      <tp>
        <v>34.123222749999996</v>
        <stp/>
        <stp>EM_S_PQ_PCTCHANGE</stp>
        <stp>4</stp>
        <stp>000159</stp>
        <stp>2018-12-31</stp>
        <stp>2019-12-30</stp>
        <stp>1</stp>
        <tr r="G847" s="1"/>
      </tp>
      <tp>
        <v>17.319587630000001</v>
        <stp/>
        <stp>EM_S_PQ_PCTCHANGE</stp>
        <stp>4</stp>
        <stp>300169</stp>
        <stp>2018-12-31</stp>
        <stp>2019-12-30</stp>
        <stp>1</stp>
        <tr r="G1392" s="1"/>
      </tp>
      <tp>
        <v>2.3577804699999998</v>
        <stp/>
        <stp>EM_S_PQ_PCTCHANGE</stp>
        <stp>4</stp>
        <stp>300378</stp>
        <stp>2018-01-01</stp>
        <stp>2019-12-31</stp>
        <stp>3</stp>
        <tr r="F552" s="1"/>
      </tp>
      <tp>
        <v>18.15181518</v>
        <stp/>
        <stp>EM_S_PQ_PCTCHANGE</stp>
        <stp>4</stp>
        <stp>600139</stp>
        <stp>2018-12-31</stp>
        <stp>2019-12-30</stp>
        <stp>1</stp>
        <tr r="G1360" s="1"/>
      </tp>
      <tp>
        <v>-31.817252289999999</v>
        <stp/>
        <stp>EM_S_PQ_PCTCHANGE</stp>
        <stp>4</stp>
        <stp>600328</stp>
        <stp>2018-01-01</stp>
        <stp>2019-12-31</stp>
        <stp>3</stp>
        <tr r="F1295" s="1"/>
      </tp>
      <tp>
        <v>9.9157485399999992</v>
        <stp/>
        <stp>EM_S_PQ_PCTCHANGE</stp>
        <stp>4</stp>
        <stp>603139</stp>
        <stp>2018-12-31</stp>
        <stp>2019-12-30</stp>
        <stp>1</stp>
        <tr r="G1742" s="1"/>
      </tp>
      <tp>
        <v>-2.8051481200000001</v>
        <stp/>
        <stp>EM_S_PQ_PCTCHANGE</stp>
        <stp>4</stp>
        <stp>603328</stp>
        <stp>2018-01-01</stp>
        <stp>2019-12-31</stp>
        <stp>3</stp>
        <tr r="F1464" s="1"/>
      </tp>
      <tp>
        <v>-29.806598409999999</v>
        <stp/>
        <stp>EM_S_PQ_PCTCHANGE</stp>
        <stp>4</stp>
        <stp>002159</stp>
        <stp>2018-12-31</stp>
        <stp>2019-12-30</stp>
        <stp>1</stp>
        <tr r="G3212" s="1"/>
      </tp>
      <tp>
        <v>-44.076655049999999</v>
        <stp/>
        <stp>EM_S_PQ_PCTCHANGE</stp>
        <stp>4</stp>
        <stp>002348</stp>
        <stp>2018-01-01</stp>
        <stp>2019-12-31</stp>
        <stp>3</stp>
        <tr r="F2047" s="1"/>
      </tp>
      <tp>
        <v>229.18149466</v>
        <stp/>
        <stp>EM_S_PQ_PCTCHANGE</stp>
        <stp>4</stp>
        <stp>300379</stp>
        <stp>2019-01-01</stp>
        <stp>2019-12-31</stp>
        <stp>3</stp>
        <tr r="G36" s="1"/>
      </tp>
      <tp>
        <v>51.855047450000001</v>
        <stp/>
        <stp>EM_S_PQ_PCTCHANGE</stp>
        <stp>4</stp>
        <stp>601138</stp>
        <stp>2018-12-31</stp>
        <stp>2019-12-30</stp>
        <stp>1</stp>
        <tr r="G537" s="1"/>
      </tp>
      <tp>
        <v>28.94078399</v>
        <stp/>
        <stp>EM_S_PQ_PCTCHANGE</stp>
        <stp>4</stp>
        <stp>300168</stp>
        <stp>2018-12-31</stp>
        <stp>2019-12-30</stp>
        <stp>1</stp>
        <tr r="G960" s="1"/>
      </tp>
      <tp>
        <v>265.90189873000003</v>
        <stp/>
        <stp>EM_S_PQ_PCTCHANGE</stp>
        <stp>4</stp>
        <stp>300379</stp>
        <stp>2018-01-01</stp>
        <stp>2019-12-31</stp>
        <stp>3</stp>
        <tr r="F36" s="1"/>
      </tp>
      <tp>
        <v>-1.5515903799999999</v>
        <stp/>
        <stp>EM_S_PQ_PCTCHANGE</stp>
        <stp>4</stp>
        <stp>600138</stp>
        <stp>2018-12-31</stp>
        <stp>2019-12-30</stp>
        <stp>1</stp>
        <tr r="G2400" s="1"/>
      </tp>
      <tp>
        <v>-4.4711821799999996</v>
        <stp/>
        <stp>EM_S_PQ_PCTCHANGE</stp>
        <stp>4</stp>
        <stp>600329</stp>
        <stp>2018-01-01</stp>
        <stp>2019-12-31</stp>
        <stp>3</stp>
        <tr r="F1791" s="1"/>
      </tp>
      <tp>
        <v>-15.190552869999999</v>
        <stp/>
        <stp>EM_S_PQ_PCTCHANGE</stp>
        <stp>4</stp>
        <stp>603138</stp>
        <stp>2018-12-31</stp>
        <stp>2019-12-30</stp>
        <stp>1</stp>
        <tr r="G2938" s="1"/>
      </tp>
      <tp>
        <v>-6.9369075599999999</v>
        <stp/>
        <stp>EM_S_PQ_PCTCHANGE</stp>
        <stp>4</stp>
        <stp>603329</stp>
        <stp>2018-01-01</stp>
        <stp>2019-12-31</stp>
        <stp>3</stp>
        <tr r="F2895" s="1"/>
      </tp>
      <tp>
        <v>24.26778243</v>
        <stp/>
        <stp>EM_S_PQ_PCTCHANGE</stp>
        <stp>4</stp>
        <stp>002158</stp>
        <stp>2018-12-31</stp>
        <stp>2019-12-30</stp>
        <stp>1</stp>
        <tr r="G1124" s="1"/>
      </tp>
      <tp>
        <v>-40.427891989999999</v>
        <stp/>
        <stp>EM_S_PQ_PCTCHANGE</stp>
        <stp>4</stp>
        <stp>002349</stp>
        <stp>2018-01-01</stp>
        <stp>2019-12-31</stp>
        <stp>3</stp>
        <tr r="F3126" s="1"/>
      </tp>
      <tp>
        <v>41.5821501</v>
        <stp/>
        <stp>EM_S_PQ_PCTCHANGE</stp>
        <stp>4</stp>
        <stp>300161</stp>
        <stp>2018-12-31</stp>
        <stp>2019-12-30</stp>
        <stp>1</stp>
        <tr r="G705" s="1"/>
      </tp>
      <tp>
        <v>-8.5815313799999995</v>
        <stp/>
        <stp>EM_S_PQ_PCTCHANGE</stp>
        <stp>4</stp>
        <stp>300370</stp>
        <stp>2018-01-01</stp>
        <stp>2019-12-31</stp>
        <stp>3</stp>
        <tr r="F888" s="1"/>
      </tp>
      <tp>
        <v>224.59016392999999</v>
        <stp/>
        <stp>EM_S_PQ_PCTCHANGE</stp>
        <stp>4</stp>
        <stp>600131</stp>
        <stp>2018-12-31</stp>
        <stp>2019-12-30</stp>
        <stp>1</stp>
        <tr r="G38" s="1"/>
      </tp>
      <tp>
        <v>-26.891500820000001</v>
        <stp/>
        <stp>EM_S_PQ_PCTCHANGE</stp>
        <stp>4</stp>
        <stp>600320</stp>
        <stp>2018-01-01</stp>
        <stp>2019-12-31</stp>
        <stp>3</stp>
        <tr r="F1504" s="1"/>
      </tp>
      <tp>
        <v>-11.56595192</v>
        <stp/>
        <stp>EM_S_PQ_PCTCHANGE</stp>
        <stp>4</stp>
        <stp>603131</stp>
        <stp>2018-12-31</stp>
        <stp>2019-12-30</stp>
        <stp>1</stp>
        <tr r="G2818" s="1"/>
      </tp>
      <tp>
        <v>-32.622481479999998</v>
        <stp/>
        <stp>EM_S_PQ_PCTCHANGE</stp>
        <stp>4</stp>
        <stp>603320</stp>
        <stp>2018-01-01</stp>
        <stp>2019-12-31</stp>
        <stp>3</stp>
        <tr r="F2682" s="1"/>
      </tp>
      <tp>
        <v>20.99526066</v>
        <stp/>
        <stp>EM_S_PQ_PCTCHANGE</stp>
        <stp>4</stp>
        <stp>002151</stp>
        <stp>2018-12-31</stp>
        <stp>2019-12-30</stp>
        <stp>1</stp>
        <tr r="G1237" s="1"/>
      </tp>
      <tp>
        <v>-31.508686659999999</v>
        <stp/>
        <stp>EM_S_PQ_PCTCHANGE</stp>
        <stp>4</stp>
        <stp>002340</stp>
        <stp>2018-01-01</stp>
        <stp>2019-12-31</stp>
        <stp>3</stp>
        <tr r="F1005" s="1"/>
      </tp>
      <tp>
        <v>-67.888662589999996</v>
        <stp/>
        <stp>EM_S_PQ_PCTCHANGE</stp>
        <stp>4</stp>
        <stp>000150</stp>
        <stp>2018-12-31</stp>
        <stp>2019-12-30</stp>
        <stp>1</stp>
        <tr r="G3399" s="1"/>
      </tp>
      <tp>
        <v>10.434782609999999</v>
        <stp/>
        <stp>EM_S_PQ_PCTCHANGE</stp>
        <stp>4</stp>
        <stp>300160</stp>
        <stp>2018-12-31</stp>
        <stp>2019-12-30</stp>
        <stp>1</stp>
        <tr r="G1712" s="1"/>
      </tp>
      <tp>
        <v>1.2995575699999999</v>
        <stp/>
        <stp>EM_S_PQ_PCTCHANGE</stp>
        <stp>4</stp>
        <stp>300371</stp>
        <stp>2018-01-01</stp>
        <stp>2019-12-31</stp>
        <stp>3</stp>
        <tr r="F1838" s="1"/>
      </tp>
      <tp>
        <v>3.6827195499999998</v>
        <stp/>
        <stp>EM_S_PQ_PCTCHANGE</stp>
        <stp>4</stp>
        <stp>600130</stp>
        <stp>2018-12-31</stp>
        <stp>2019-12-30</stp>
        <stp>1</stp>
        <tr r="G2075" s="1"/>
      </tp>
      <tp>
        <v>-45.340050380000001</v>
        <stp/>
        <stp>EM_S_PQ_PCTCHANGE</stp>
        <stp>4</stp>
        <stp>600321</stp>
        <stp>2018-01-01</stp>
        <stp>2019-12-31</stp>
        <stp>3</stp>
        <tr r="F1240" s="1"/>
      </tp>
      <tp>
        <v>-30.236388439999999</v>
        <stp/>
        <stp>EM_S_PQ_PCTCHANGE</stp>
        <stp>4</stp>
        <stp>603321</stp>
        <stp>2018-01-01</stp>
        <stp>2019-12-31</stp>
        <stp>3</stp>
        <tr r="F1483" s="1"/>
      </tp>
      <tp>
        <v>11.29032258</v>
        <stp/>
        <stp>EM_S_PQ_PCTCHANGE</stp>
        <stp>4</stp>
        <stp>002150</stp>
        <stp>2018-12-31</stp>
        <stp>2019-12-30</stp>
        <stp>1</stp>
        <tr r="G1664" s="1"/>
      </tp>
      <tp>
        <v>-58.406616649999997</v>
        <stp/>
        <stp>EM_S_PQ_PCTCHANGE</stp>
        <stp>4</stp>
        <stp>002341</stp>
        <stp>2018-01-01</stp>
        <stp>2019-12-31</stp>
        <stp>3</stp>
        <tr r="F3376" s="1"/>
      </tp>
      <tp>
        <v>10.60606061</v>
        <stp/>
        <stp>EM_S_PQ_PCTCHANGE</stp>
        <stp>4</stp>
        <stp>300163</stp>
        <stp>2018-12-31</stp>
        <stp>2019-12-30</stp>
        <stp>1</stp>
        <tr r="G1700" s="1"/>
      </tp>
      <tp>
        <v>0</v>
        <stp/>
        <stp>EM_S_PQ_PCTCHANGE</stp>
        <stp>4</stp>
        <stp>300372</stp>
        <stp>2018-01-01</stp>
        <stp>2019-12-31</stp>
        <stp>3</stp>
        <tr r="F2283" s="1"/>
      </tp>
      <tp>
        <v>-14.920634919999999</v>
        <stp/>
        <stp>EM_S_PQ_PCTCHANGE</stp>
        <stp>4</stp>
        <stp>600133</stp>
        <stp>2018-12-31</stp>
        <stp>2019-12-30</stp>
        <stp>1</stp>
        <tr r="G2928" s="1"/>
      </tp>
      <tp>
        <v>-53.198127929999998</v>
        <stp/>
        <stp>EM_S_PQ_PCTCHANGE</stp>
        <stp>4</stp>
        <stp>600322</stp>
        <stp>2018-01-01</stp>
        <stp>2019-12-31</stp>
        <stp>3</stp>
        <tr r="F2723" s="1"/>
      </tp>
      <tp>
        <v>53.638119770000003</v>
        <stp/>
        <stp>EM_S_PQ_PCTCHANGE</stp>
        <stp>4</stp>
        <stp>603133</stp>
        <stp>2018-12-31</stp>
        <stp>2019-12-30</stp>
        <stp>1</stp>
        <tr r="G506" s="1"/>
      </tp>
      <tp>
        <v>-11.447660040000001</v>
        <stp/>
        <stp>EM_S_PQ_PCTCHANGE</stp>
        <stp>4</stp>
        <stp>603322</stp>
        <stp>2018-01-01</stp>
        <stp>2019-12-31</stp>
        <stp>3</stp>
        <tr r="F3308" s="1"/>
      </tp>
      <tp>
        <v>51.386748840000003</v>
        <stp/>
        <stp>EM_S_PQ_PCTCHANGE</stp>
        <stp>4</stp>
        <stp>002153</stp>
        <stp>2018-12-31</stp>
        <stp>2019-12-30</stp>
        <stp>1</stp>
        <tr r="G541" s="1"/>
      </tp>
      <tp>
        <v>-47.579298829999999</v>
        <stp/>
        <stp>EM_S_PQ_PCTCHANGE</stp>
        <stp>4</stp>
        <stp>002342</stp>
        <stp>2018-01-01</stp>
        <stp>2019-12-31</stp>
        <stp>3</stp>
        <tr r="F2594" s="1"/>
      </tp>
      <tp>
        <v>92.783505149999996</v>
        <stp/>
        <stp>EM_S_PQ_PCTCHANGE</stp>
        <stp>4</stp>
        <stp>300162</stp>
        <stp>2018-12-31</stp>
        <stp>2019-12-30</stp>
        <stp>1</stp>
        <tr r="G194" s="1"/>
      </tp>
      <tp>
        <v>-41.459449380000002</v>
        <stp/>
        <stp>EM_S_PQ_PCTCHANGE</stp>
        <stp>4</stp>
        <stp>300373</stp>
        <stp>2018-01-01</stp>
        <stp>2019-12-31</stp>
        <stp>3</stp>
        <tr r="F1293" s="1"/>
      </tp>
      <tp>
        <v>69.996745849999996</v>
        <stp/>
        <stp>EM_S_PQ_PCTCHANGE</stp>
        <stp>4</stp>
        <stp>600132</stp>
        <stp>2018-12-31</stp>
        <stp>2019-12-30</stp>
        <stp>1</stp>
        <tr r="G313" s="1"/>
      </tp>
      <tp>
        <v>12.75333814</v>
        <stp/>
        <stp>EM_S_PQ_PCTCHANGE</stp>
        <stp>4</stp>
        <stp>600323</stp>
        <stp>2018-01-01</stp>
        <stp>2019-12-31</stp>
        <stp>3</stp>
        <tr r="F1110" s="1"/>
      </tp>
      <tp>
        <v>-26.685702679999999</v>
        <stp/>
        <stp>EM_S_PQ_PCTCHANGE</stp>
        <stp>4</stp>
        <stp>603323</stp>
        <stp>2018-01-01</stp>
        <stp>2019-12-31</stp>
        <stp>3</stp>
        <tr r="F2888" s="1"/>
      </tp>
      <tp>
        <v>74.509803919999996</v>
        <stp/>
        <stp>EM_S_PQ_PCTCHANGE</stp>
        <stp>4</stp>
        <stp>002152</stp>
        <stp>2018-12-31</stp>
        <stp>2019-12-30</stp>
        <stp>1</stp>
        <tr r="G279" s="1"/>
      </tp>
      <tp>
        <v>-52.026460530000001</v>
        <stp/>
        <stp>EM_S_PQ_PCTCHANGE</stp>
        <stp>4</stp>
        <stp>002343</stp>
        <stp>2018-01-01</stp>
        <stp>2019-12-31</stp>
        <stp>3</stp>
        <tr r="F1031" s="1"/>
      </tp>
      <tp>
        <v>21.53846154</v>
        <stp/>
        <stp>EM_S_PQ_PCTCHANGE</stp>
        <stp>4</stp>
        <stp>300165</stp>
        <stp>2018-12-31</stp>
        <stp>2019-12-30</stp>
        <stp>1</stp>
        <tr r="G1207" s="1"/>
      </tp>
      <tp>
        <v>-36.111963240000001</v>
        <stp/>
        <stp>EM_S_PQ_PCTCHANGE</stp>
        <stp>4</stp>
        <stp>300374</stp>
        <stp>2018-01-01</stp>
        <stp>2019-12-31</stp>
        <stp>3</stp>
        <tr r="F2349" s="1"/>
      </tp>
      <tp>
        <v>26.998223800000002</v>
        <stp/>
        <stp>EM_S_PQ_PCTCHANGE</stp>
        <stp>4</stp>
        <stp>600135</stp>
        <stp>2018-12-31</stp>
        <stp>2019-12-30</stp>
        <stp>1</stp>
        <tr r="G1020" s="1"/>
      </tp>
      <tp>
        <v>-0.63694267999999998</v>
        <stp/>
        <stp>EM_S_PQ_PCTCHANGE</stp>
        <stp>4</stp>
        <stp>002155</stp>
        <stp>2018-12-31</stp>
        <stp>2019-12-30</stp>
        <stp>1</stp>
        <tr r="G2369" s="1"/>
      </tp>
      <tp>
        <v>-43.550814449999997</v>
        <stp/>
        <stp>EM_S_PQ_PCTCHANGE</stp>
        <stp>4</stp>
        <stp>002344</stp>
        <stp>2018-01-01</stp>
        <stp>2019-12-31</stp>
        <stp>3</stp>
        <tr r="F2491" s="1"/>
      </tp>
      <tp>
        <v>-17.041800640000002</v>
        <stp/>
        <stp>EM_S_PQ_PCTCHANGE</stp>
        <stp>4</stp>
        <stp>300164</stp>
        <stp>2018-12-31</stp>
        <stp>2019-12-30</stp>
        <stp>1</stp>
        <tr r="G2988" s="1"/>
      </tp>
      <tp>
        <v>-43.242632729999997</v>
        <stp/>
        <stp>EM_S_PQ_PCTCHANGE</stp>
        <stp>4</stp>
        <stp>300375</stp>
        <stp>2018-01-01</stp>
        <stp>2019-12-31</stp>
        <stp>3</stp>
        <tr r="F3267" s="1"/>
      </tp>
      <tp>
        <v>16.666574799999999</v>
        <stp/>
        <stp>EM_S_PQ_PCTCHANGE</stp>
        <stp>4</stp>
        <stp>600325</stp>
        <stp>2018-01-01</stp>
        <stp>2019-12-31</stp>
        <stp>3</stp>
        <tr r="F1081" s="1"/>
      </tp>
      <tp>
        <v>7.92079208</v>
        <stp/>
        <stp>EM_S_PQ_PCTCHANGE</stp>
        <stp>4</stp>
        <stp>002154</stp>
        <stp>2018-12-31</stp>
        <stp>2019-12-30</stp>
        <stp>1</stp>
        <tr r="G1861" s="1"/>
      </tp>
      <tp>
        <v>-62.096933489999998</v>
        <stp/>
        <stp>EM_S_PQ_PCTCHANGE</stp>
        <stp>4</stp>
        <stp>002345</stp>
        <stp>2018-01-01</stp>
        <stp>2019-12-31</stp>
        <stp>3</stp>
        <tr r="F2799" s="1"/>
      </tp>
      <tp>
        <v>66.422287389999994</v>
        <stp/>
        <stp>EM_S_PQ_PCTCHANGE</stp>
        <stp>4</stp>
        <stp>601137</stp>
        <stp>2018-12-31</stp>
        <stp>2019-12-30</stp>
        <stp>1</stp>
        <tr r="G356" s="1"/>
      </tp>
      <tp>
        <v>-46.465585740000002</v>
        <stp/>
        <stp>EM_S_PQ_PCTCHANGE</stp>
        <stp>4</stp>
        <stp>601326</stp>
        <stp>2018-01-01</stp>
        <stp>2019-12-31</stp>
        <stp>3</stp>
        <tr r="F2259" s="1"/>
      </tp>
      <tp>
        <v>84.831460669999998</v>
        <stp/>
        <stp>EM_S_PQ_PCTCHANGE</stp>
        <stp>4</stp>
        <stp>000157</stp>
        <stp>2018-12-31</stp>
        <stp>2019-12-30</stp>
        <stp>1</stp>
        <tr r="G223" s="1"/>
      </tp>
      <tp>
        <v>3.0947775599999998</v>
        <stp/>
        <stp>EM_S_PQ_PCTCHANGE</stp>
        <stp>4</stp>
        <stp>300167</stp>
        <stp>2018-12-31</stp>
        <stp>2019-12-30</stp>
        <stp>1</stp>
        <tr r="G2101" s="1"/>
      </tp>
      <tp>
        <v>-38.848408810000002</v>
        <stp/>
        <stp>EM_S_PQ_PCTCHANGE</stp>
        <stp>4</stp>
        <stp>300376</stp>
        <stp>2018-01-01</stp>
        <stp>2019-12-31</stp>
        <stp>3</stp>
        <tr r="F1822" s="1"/>
      </tp>
      <tp>
        <v>31.450980390000002</v>
        <stp/>
        <stp>EM_S_PQ_PCTCHANGE</stp>
        <stp>4</stp>
        <stp>600137</stp>
        <stp>2018-12-31</stp>
        <stp>2019-12-30</stp>
        <stp>1</stp>
        <tr r="G896" s="1"/>
      </tp>
      <tp>
        <v>-27.072866690000001</v>
        <stp/>
        <stp>EM_S_PQ_PCTCHANGE</stp>
        <stp>4</stp>
        <stp>600326</stp>
        <stp>2018-01-01</stp>
        <stp>2019-12-31</stp>
        <stp>3</stp>
        <tr r="F1643" s="1"/>
      </tp>
      <tp>
        <v>12.549686749999999</v>
        <stp/>
        <stp>EM_S_PQ_PCTCHANGE</stp>
        <stp>4</stp>
        <stp>603326</stp>
        <stp>2018-01-01</stp>
        <stp>2019-12-31</stp>
        <stp>3</stp>
        <tr r="F798" s="1"/>
      </tp>
      <tp>
        <v>196.79849340999999</v>
        <stp/>
        <stp>EM_S_PQ_PCTCHANGE</stp>
        <stp>4</stp>
        <stp>002157</stp>
        <stp>2018-12-31</stp>
        <stp>2019-12-30</stp>
        <stp>1</stp>
        <tr r="G45" s="1"/>
      </tp>
      <tp>
        <v>-37.958289790000002</v>
        <stp/>
        <stp>EM_S_PQ_PCTCHANGE</stp>
        <stp>4</stp>
        <stp>002346</stp>
        <stp>2018-01-01</stp>
        <stp>2019-12-31</stp>
        <stp>3</stp>
        <tr r="F2763" s="1"/>
      </tp>
      <tp>
        <v>25.96525097</v>
        <stp/>
        <stp>EM_S_PQ_PCTCHANGE</stp>
        <stp>4</stp>
        <stp>300166</stp>
        <stp>2018-12-31</stp>
        <stp>2019-12-30</stp>
        <stp>1</stp>
        <tr r="G1061" s="1"/>
      </tp>
      <tp>
        <v>-5.0576259099999996</v>
        <stp/>
        <stp>EM_S_PQ_PCTCHANGE</stp>
        <stp>4</stp>
        <stp>300377</stp>
        <stp>2018-01-01</stp>
        <stp>2019-12-31</stp>
        <stp>3</stp>
        <tr r="F2142" s="1"/>
      </tp>
      <tp>
        <v>49.326805389999997</v>
        <stp/>
        <stp>EM_S_PQ_PCTCHANGE</stp>
        <stp>4</stp>
        <stp>600136</stp>
        <stp>2018-12-31</stp>
        <stp>2019-12-30</stp>
        <stp>1</stp>
        <tr r="G571" s="1"/>
      </tp>
      <tp>
        <v>-21.61903302</v>
        <stp/>
        <stp>EM_S_PQ_PCTCHANGE</stp>
        <stp>4</stp>
        <stp>600327</stp>
        <stp>2018-01-01</stp>
        <stp>2019-12-31</stp>
        <stp>3</stp>
        <tr r="F2932" s="1"/>
      </tp>
      <tp>
        <v>-10.70576202</v>
        <stp/>
        <stp>EM_S_PQ_PCTCHANGE</stp>
        <stp>4</stp>
        <stp>603136</stp>
        <stp>2018-12-31</stp>
        <stp>2019-12-30</stp>
        <stp>1</stp>
        <tr r="G2787" s="1"/>
      </tp>
      <tp>
        <v>135.48387097</v>
        <stp/>
        <stp>EM_S_PQ_PCTCHANGE</stp>
        <stp>4</stp>
        <stp>002156</stp>
        <stp>2018-12-31</stp>
        <stp>2019-12-30</stp>
        <stp>1</stp>
        <tr r="G102" s="1"/>
      </tp>
      <tp>
        <v>-28.97637795</v>
        <stp/>
        <stp>EM_S_PQ_PCTCHANGE</stp>
        <stp>4</stp>
        <stp>002347</stp>
        <stp>2018-01-01</stp>
        <stp>2019-12-31</stp>
        <stp>3</stp>
        <tr r="F1192" s="1"/>
      </tp>
      <tp>
        <v>28.60168183</v>
        <stp/>
        <stp>EM_S_PQ_PCTCHANGE</stp>
        <stp>4</stp>
        <stp>601318</stp>
        <stp>2018-01-01</stp>
        <stp>2019-12-31</stp>
        <stp>3</stp>
        <tr r="F516" s="1"/>
      </tp>
      <tp>
        <v>-14.09978308</v>
        <stp/>
        <stp>EM_S_PQ_PCTCHANGE</stp>
        <stp>4</stp>
        <stp>300159</stp>
        <stp>2018-12-31</stp>
        <stp>2019-12-30</stp>
        <stp>1</stp>
        <tr r="G2909" s="1"/>
      </tp>
      <tp>
        <v>110.38536129000001</v>
        <stp/>
        <stp>EM_S_PQ_PCTCHANGE</stp>
        <stp>4</stp>
        <stp>300348</stp>
        <stp>2018-01-01</stp>
        <stp>2019-12-31</stp>
        <stp>3</stp>
        <tr r="F1093" s="1"/>
      </tp>
      <tp>
        <v>30.446927370000001</v>
        <stp/>
        <stp>EM_S_PQ_PCTCHANGE</stp>
        <stp>4</stp>
        <stp>600109</stp>
        <stp>2018-12-31</stp>
        <stp>2019-12-30</stp>
        <stp>1</stp>
        <tr r="G918" s="1"/>
      </tp>
      <tp>
        <v>-44.88188976</v>
        <stp/>
        <stp>EM_S_PQ_PCTCHANGE</stp>
        <stp>4</stp>
        <stp>600318</stp>
        <stp>2018-01-01</stp>
        <stp>2019-12-31</stp>
        <stp>3</stp>
        <tr r="F2381" s="1"/>
      </tp>
      <tp>
        <v>-21.348484410000001</v>
        <stp/>
        <stp>EM_S_PQ_PCTCHANGE</stp>
        <stp>4</stp>
        <stp>603318</stp>
        <stp>2018-01-01</stp>
        <stp>2019-12-31</stp>
        <stp>3</stp>
        <tr r="F2674" s="1"/>
      </tp>
      <tp>
        <v>94.972067039999999</v>
        <stp/>
        <stp>EM_S_PQ_PCTCHANGE</stp>
        <stp>4</stp>
        <stp>002169</stp>
        <stp>2018-12-31</stp>
        <stp>2019-12-30</stp>
        <stp>1</stp>
        <tr r="G182" s="1"/>
      </tp>
      <tp>
        <v>-47.840897179999999</v>
        <stp/>
        <stp>EM_S_PQ_PCTCHANGE</stp>
        <stp>4</stp>
        <stp>002378</stp>
        <stp>2018-01-01</stp>
        <stp>2019-12-31</stp>
        <stp>3</stp>
        <tr r="F1552" s="1"/>
      </tp>
      <tp>
        <v>56.094182830000001</v>
        <stp/>
        <stp>EM_S_PQ_PCTCHANGE</stp>
        <stp>4</stp>
        <stp>601108</stp>
        <stp>2018-12-31</stp>
        <stp>2019-12-30</stp>
        <stp>1</stp>
        <tr r="G471" s="1"/>
      </tp>
      <tp>
        <v>20.997375330000001</v>
        <stp/>
        <stp>EM_S_PQ_PCTCHANGE</stp>
        <stp>4</stp>
        <stp>300158</stp>
        <stp>2018-12-31</stp>
        <stp>2019-12-30</stp>
        <stp>1</stp>
        <tr r="G1236" s="1"/>
      </tp>
      <tp>
        <v>-28.369432320000001</v>
        <stp/>
        <stp>EM_S_PQ_PCTCHANGE</stp>
        <stp>4</stp>
        <stp>300349</stp>
        <stp>2018-01-01</stp>
        <stp>2019-12-31</stp>
        <stp>3</stp>
        <tr r="F2578" s="1"/>
      </tp>
      <tp>
        <v>9.0909090900000002</v>
        <stp/>
        <stp>EM_S_PQ_PCTCHANGE</stp>
        <stp>4</stp>
        <stp>600108</stp>
        <stp>2018-12-31</stp>
        <stp>2019-12-30</stp>
        <stp>1</stp>
        <tr r="G1790" s="1"/>
      </tp>
      <tp>
        <v>-54.339250489999998</v>
        <stp/>
        <stp>EM_S_PQ_PCTCHANGE</stp>
        <stp>4</stp>
        <stp>600319</stp>
        <stp>2018-01-01</stp>
        <stp>2019-12-31</stp>
        <stp>3</stp>
        <tr r="F2240" s="1"/>
      </tp>
      <tp>
        <v>36.300417250000002</v>
        <stp/>
        <stp>EM_S_PQ_PCTCHANGE</stp>
        <stp>4</stp>
        <stp>603108</stp>
        <stp>2018-12-31</stp>
        <stp>2019-12-30</stp>
        <stp>1</stp>
        <tr r="G803" s="1"/>
      </tp>
      <tp>
        <v>-19.539923850000001</v>
        <stp/>
        <stp>EM_S_PQ_PCTCHANGE</stp>
        <stp>4</stp>
        <stp>603319</stp>
        <stp>2018-01-01</stp>
        <stp>2019-12-31</stp>
        <stp>3</stp>
        <tr r="F2802" s="1"/>
      </tp>
      <tp>
        <v>-17.997977760000001</v>
        <stp/>
        <stp>EM_S_PQ_PCTCHANGE</stp>
        <stp>4</stp>
        <stp>002168</stp>
        <stp>2018-12-31</stp>
        <stp>2019-12-30</stp>
        <stp>1</stp>
        <tr r="G3021" s="1"/>
      </tp>
      <tp>
        <v>-33.147113589999996</v>
        <stp/>
        <stp>EM_S_PQ_PCTCHANGE</stp>
        <stp>4</stp>
        <stp>002379</stp>
        <stp>2018-01-01</stp>
        <stp>2019-12-31</stp>
        <stp>3</stp>
        <tr r="F881" s="1"/>
      </tp>
      <tp>
        <v>-18.635607319999998</v>
        <stp/>
        <stp>EM_S_PQ_PCTCHANGE</stp>
        <stp>4</stp>
        <stp>601101</stp>
        <stp>2018-12-31</stp>
        <stp>2019-12-30</stp>
        <stp>1</stp>
        <tr r="G3038" s="1"/>
      </tp>
      <tp>
        <v>64.326375709999994</v>
        <stp/>
        <stp>EM_S_PQ_PCTCHANGE</stp>
        <stp>4</stp>
        <stp>300151</stp>
        <stp>2018-12-31</stp>
        <stp>2019-12-30</stp>
        <stp>1</stp>
        <tr r="G378" s="1"/>
      </tp>
      <tp>
        <v>-60.228171199999998</v>
        <stp/>
        <stp>EM_S_PQ_PCTCHANGE</stp>
        <stp>4</stp>
        <stp>300340</stp>
        <stp>2018-01-01</stp>
        <stp>2019-12-31</stp>
        <stp>3</stp>
        <tr r="F2737" s="1"/>
      </tp>
      <tp>
        <v>5.4135338300000004</v>
        <stp/>
        <stp>EM_S_PQ_PCTCHANGE</stp>
        <stp>4</stp>
        <stp>600101</stp>
        <stp>2018-12-31</stp>
        <stp>2019-12-30</stp>
        <stp>1</stp>
        <tr r="G1988" s="1"/>
      </tp>
      <tp>
        <v>-16.341821599999999</v>
        <stp/>
        <stp>EM_S_PQ_PCTCHANGE</stp>
        <stp>4</stp>
        <stp>600310</stp>
        <stp>2018-01-01</stp>
        <stp>2019-12-31</stp>
        <stp>3</stp>
        <tr r="F1303" s="1"/>
      </tp>
      <tp>
        <v>-43.844221109999999</v>
        <stp/>
        <stp>EM_S_PQ_PCTCHANGE</stp>
        <stp>4</stp>
        <stp>603101</stp>
        <stp>2018-12-31</stp>
        <stp>2019-12-30</stp>
        <stp>1</stp>
        <tr r="G3340" s="1"/>
      </tp>
      <tp>
        <v>74.538745390000003</v>
        <stp/>
        <stp>EM_S_PQ_PCTCHANGE</stp>
        <stp>4</stp>
        <stp>002161</stp>
        <stp>2018-12-31</stp>
        <stp>2019-12-30</stp>
        <stp>1</stp>
        <tr r="G278" s="1"/>
      </tp>
      <tp>
        <v>-54.803296039999999</v>
        <stp/>
        <stp>EM_S_PQ_PCTCHANGE</stp>
        <stp>4</stp>
        <stp>002370</stp>
        <stp>2018-01-01</stp>
        <stp>2019-12-31</stp>
        <stp>3</stp>
        <tr r="F3395" s="1"/>
      </tp>
      <tp>
        <v>224.62461117999999</v>
        <stp/>
        <stp>EM_S_PQ_PCTCHANGE</stp>
        <stp>4</stp>
        <stp>300341</stp>
        <stp>2019-01-01</stp>
        <stp>2019-12-31</stp>
        <stp>3</stp>
        <tr r="G37" s="1"/>
      </tp>
      <tp>
        <v>-27.821707350000001</v>
        <stp/>
        <stp>EM_S_PQ_PCTCHANGE</stp>
        <stp>4</stp>
        <stp>601311</stp>
        <stp>2018-01-01</stp>
        <stp>2019-12-31</stp>
        <stp>3</stp>
        <tr r="F1920" s="1"/>
      </tp>
      <tp>
        <v>1.2135922299999999</v>
        <stp/>
        <stp>EM_S_PQ_PCTCHANGE</stp>
        <stp>4</stp>
        <stp>300150</stp>
        <stp>2018-12-31</stp>
        <stp>2019-12-30</stp>
        <stp>1</stp>
        <tr r="G2203" s="1"/>
      </tp>
      <tp>
        <v>128.82539256999999</v>
        <stp/>
        <stp>EM_S_PQ_PCTCHANGE</stp>
        <stp>4</stp>
        <stp>300341</stp>
        <stp>2018-01-01</stp>
        <stp>2019-12-31</stp>
        <stp>3</stp>
        <tr r="F37" s="1"/>
      </tp>
      <tp>
        <v>-10.791366910000001</v>
        <stp/>
        <stp>EM_S_PQ_PCTCHANGE</stp>
        <stp>4</stp>
        <stp>600100</stp>
        <stp>2018-12-31</stp>
        <stp>2019-12-30</stp>
        <stp>1</stp>
        <tr r="G2791" s="1"/>
      </tp>
      <tp>
        <v>-39.679715299999998</v>
        <stp/>
        <stp>EM_S_PQ_PCTCHANGE</stp>
        <stp>4</stp>
        <stp>600311</stp>
        <stp>2018-01-01</stp>
        <stp>2019-12-31</stp>
        <stp>3</stp>
        <tr r="F2820" s="1"/>
      </tp>
      <tp>
        <v>18.218085110000001</v>
        <stp/>
        <stp>EM_S_PQ_PCTCHANGE</stp>
        <stp>4</stp>
        <stp>603100</stp>
        <stp>2018-12-31</stp>
        <stp>2019-12-30</stp>
        <stp>1</stp>
        <tr r="G1357" s="1"/>
      </tp>
      <tp>
        <v>-27.539324969999999</v>
        <stp/>
        <stp>EM_S_PQ_PCTCHANGE</stp>
        <stp>4</stp>
        <stp>603311</stp>
        <stp>2018-01-01</stp>
        <stp>2019-12-31</stp>
        <stp>3</stp>
        <tr r="F1757" s="1"/>
      </tp>
      <tp>
        <v>-17.61517615</v>
        <stp/>
        <stp>EM_S_PQ_PCTCHANGE</stp>
        <stp>4</stp>
        <stp>002160</stp>
        <stp>2018-12-31</stp>
        <stp>2019-12-30</stp>
        <stp>1</stp>
        <tr r="G3009" s="1"/>
      </tp>
      <tp>
        <v>112.64186209</v>
        <stp/>
        <stp>EM_S_PQ_PCTCHANGE</stp>
        <stp>4</stp>
        <stp>002371</stp>
        <stp>2018-01-01</stp>
        <stp>2019-12-31</stp>
        <stp>3</stp>
        <tr r="F103" s="1"/>
      </tp>
      <tp>
        <v>-8.3449235000000002</v>
        <stp/>
        <stp>EM_S_PQ_PCTCHANGE</stp>
        <stp>4</stp>
        <stp>300153</stp>
        <stp>2018-12-31</stp>
        <stp>2019-12-30</stp>
        <stp>1</stp>
        <tr r="G2698" s="1"/>
      </tp>
      <tp>
        <v>-39.53571926</v>
        <stp/>
        <stp>EM_S_PQ_PCTCHANGE</stp>
        <stp>4</stp>
        <stp>300342</stp>
        <stp>2018-01-01</stp>
        <stp>2019-12-31</stp>
        <stp>3</stp>
        <tr r="F861" s="1"/>
      </tp>
      <tp>
        <v>-17.96875</v>
        <stp/>
        <stp>EM_S_PQ_PCTCHANGE</stp>
        <stp>4</stp>
        <stp>600103</stp>
        <stp>2018-12-31</stp>
        <stp>2019-12-30</stp>
        <stp>1</stp>
        <tr r="G3018" s="1"/>
      </tp>
      <tp>
        <v>-33.153341410000003</v>
        <stp/>
        <stp>EM_S_PQ_PCTCHANGE</stp>
        <stp>4</stp>
        <stp>600312</stp>
        <stp>2018-01-01</stp>
        <stp>2019-12-31</stp>
        <stp>3</stp>
        <tr r="F3067" s="1"/>
      </tp>
      <tp>
        <v>-17.040358739999999</v>
        <stp/>
        <stp>EM_S_PQ_PCTCHANGE</stp>
        <stp>4</stp>
        <stp>603103</stp>
        <stp>2018-12-31</stp>
        <stp>2019-12-30</stp>
        <stp>1</stp>
        <tr r="G2987" s="1"/>
      </tp>
      <tp>
        <v>13.14741036</v>
        <stp/>
        <stp>EM_S_PQ_PCTCHANGE</stp>
        <stp>4</stp>
        <stp>002163</stp>
        <stp>2018-12-31</stp>
        <stp>2019-12-30</stp>
        <stp>1</stp>
        <tr r="G1572" s="1"/>
      </tp>
      <tp>
        <v>20.692101659999999</v>
        <stp/>
        <stp>EM_S_PQ_PCTCHANGE</stp>
        <stp>4</stp>
        <stp>002372</stp>
        <stp>2018-01-01</stp>
        <stp>2019-12-31</stp>
        <stp>3</stp>
        <tr r="F2991" s="1"/>
      </tp>
      <tp>
        <v>31.41762452</v>
        <stp/>
        <stp>EM_S_PQ_PCTCHANGE</stp>
        <stp>4</stp>
        <stp>300152</stp>
        <stp>2018-12-31</stp>
        <stp>2019-12-30</stp>
        <stp>1</stp>
        <tr r="G897" s="1"/>
      </tp>
      <tp>
        <v>-59.107986320000002</v>
        <stp/>
        <stp>EM_S_PQ_PCTCHANGE</stp>
        <stp>4</stp>
        <stp>300343</stp>
        <stp>2018-01-01</stp>
        <stp>2019-12-31</stp>
        <stp>3</stp>
        <tr r="F3389" s="1"/>
      </tp>
      <tp>
        <v>0</v>
        <stp/>
        <stp>EM_S_PQ_PCTCHANGE</stp>
        <stp>4</stp>
        <stp>600102</stp>
        <stp>2018-12-31</stp>
        <stp>2019-12-30</stp>
        <stp>1</stp>
        <tr r="G2292" s="1"/>
      </tp>
      <tp>
        <v>-11.59874608</v>
        <stp/>
        <stp>EM_S_PQ_PCTCHANGE</stp>
        <stp>4</stp>
        <stp>600313</stp>
        <stp>2018-01-01</stp>
        <stp>2019-12-31</stp>
        <stp>3</stp>
        <tr r="F1063" s="1"/>
      </tp>
      <tp>
        <v>4.1197096799999997</v>
        <stp/>
        <stp>EM_S_PQ_PCTCHANGE</stp>
        <stp>4</stp>
        <stp>603313</stp>
        <stp>2018-01-01</stp>
        <stp>2019-12-31</stp>
        <stp>3</stp>
        <tr r="F2362" s="1"/>
      </tp>
      <tp>
        <v>25.352112680000001</v>
        <stp/>
        <stp>EM_S_PQ_PCTCHANGE</stp>
        <stp>4</stp>
        <stp>002162</stp>
        <stp>2018-12-31</stp>
        <stp>2019-12-30</stp>
        <stp>1</stp>
        <tr r="G1080" s="1"/>
      </tp>
      <tp>
        <v>23.82954342</v>
        <stp/>
        <stp>EM_S_PQ_PCTCHANGE</stp>
        <stp>4</stp>
        <stp>002373</stp>
        <stp>2018-01-01</stp>
        <stp>2019-12-31</stp>
        <stp>3</stp>
        <tr r="F379" s="1"/>
      </tp>
      <tp>
        <v>25.059101649999999</v>
        <stp/>
        <stp>EM_S_PQ_PCTCHANGE</stp>
        <stp>4</stp>
        <stp>300155</stp>
        <stp>2018-12-31</stp>
        <stp>2019-12-30</stp>
        <stp>1</stp>
        <tr r="G1092" s="1"/>
      </tp>
      <tp>
        <v>-24.72769667</v>
        <stp/>
        <stp>EM_S_PQ_PCTCHANGE</stp>
        <stp>4</stp>
        <stp>300344</stp>
        <stp>2018-01-01</stp>
        <stp>2019-12-31</stp>
        <stp>3</stp>
        <tr r="F2757" s="1"/>
      </tp>
      <tp>
        <v>17.098445600000002</v>
        <stp/>
        <stp>EM_S_PQ_PCTCHANGE</stp>
        <stp>4</stp>
        <stp>600105</stp>
        <stp>2018-12-31</stp>
        <stp>2019-12-30</stp>
        <stp>1</stp>
        <tr r="G1397" s="1"/>
      </tp>
      <tp>
        <v>-45.107033639999997</v>
        <stp/>
        <stp>EM_S_PQ_PCTCHANGE</stp>
        <stp>4</stp>
        <stp>603105</stp>
        <stp>2018-12-31</stp>
        <stp>2019-12-30</stp>
        <stp>1</stp>
        <tr r="G3344" s="1"/>
      </tp>
      <tp>
        <v>24.347826090000002</v>
        <stp/>
        <stp>EM_S_PQ_PCTCHANGE</stp>
        <stp>4</stp>
        <stp>002165</stp>
        <stp>2018-12-31</stp>
        <stp>2019-12-30</stp>
        <stp>1</stp>
        <tr r="G1121" s="1"/>
      </tp>
      <tp>
        <v>-46.897810219999997</v>
        <stp/>
        <stp>EM_S_PQ_PCTCHANGE</stp>
        <stp>4</stp>
        <stp>002374</stp>
        <stp>2018-01-01</stp>
        <stp>2019-12-31</stp>
        <stp>3</stp>
        <tr r="F2545" s="1"/>
      </tp>
      <tp>
        <v>16.041666670000001</v>
        <stp/>
        <stp>EM_S_PQ_PCTCHANGE</stp>
        <stp>4</stp>
        <stp>300154</stp>
        <stp>2018-12-31</stp>
        <stp>2019-12-30</stp>
        <stp>1</stp>
        <tr r="G1433" s="1"/>
      </tp>
      <tp>
        <v>16.566265059999999</v>
        <stp/>
        <stp>EM_S_PQ_PCTCHANGE</stp>
        <stp>4</stp>
        <stp>300345</stp>
        <stp>2018-01-01</stp>
        <stp>2019-12-31</stp>
        <stp>3</stp>
        <tr r="F115" s="1"/>
      </tp>
      <tp>
        <v>-10.57367829</v>
        <stp/>
        <stp>EM_S_PQ_PCTCHANGE</stp>
        <stp>4</stp>
        <stp>600104</stp>
        <stp>2018-12-31</stp>
        <stp>2019-12-30</stp>
        <stp>1</stp>
        <tr r="G2780" s="1"/>
      </tp>
      <tp>
        <v>-15.07461567</v>
        <stp/>
        <stp>EM_S_PQ_PCTCHANGE</stp>
        <stp>4</stp>
        <stp>600315</stp>
        <stp>2018-01-01</stp>
        <stp>2019-12-31</stp>
        <stp>3</stp>
        <tr r="F1565" s="1"/>
      </tp>
      <tp>
        <v>-12.00325147</v>
        <stp/>
        <stp>EM_S_PQ_PCTCHANGE</stp>
        <stp>4</stp>
        <stp>603315</stp>
        <stp>2018-01-01</stp>
        <stp>2019-12-31</stp>
        <stp>3</stp>
        <tr r="F2056" s="1"/>
      </tp>
      <tp>
        <v>40</v>
        <stp/>
        <stp>EM_S_PQ_PCTCHANGE</stp>
        <stp>4</stp>
        <stp>002164</stp>
        <stp>2018-12-31</stp>
        <stp>2019-12-30</stp>
        <stp>1</stp>
        <tr r="G733" s="1"/>
      </tp>
      <tp>
        <v>-21.687180850000001</v>
        <stp/>
        <stp>EM_S_PQ_PCTCHANGE</stp>
        <stp>4</stp>
        <stp>002375</stp>
        <stp>2018-01-01</stp>
        <stp>2019-12-31</stp>
        <stp>3</stp>
        <tr r="F1491" s="1"/>
      </tp>
      <tp>
        <v>14.65517241</v>
        <stp/>
        <stp>EM_S_PQ_PCTCHANGE</stp>
        <stp>4</stp>
        <stp>601107</stp>
        <stp>2018-12-31</stp>
        <stp>2019-12-30</stp>
        <stp>1</stp>
        <tr r="G1498" s="1"/>
      </tp>
      <tp>
        <v>-2.4096385499999999</v>
        <stp/>
        <stp>EM_S_PQ_PCTCHANGE</stp>
        <stp>4</stp>
        <stp>300157</stp>
        <stp>2018-12-31</stp>
        <stp>2019-12-30</stp>
        <stp>1</stp>
        <tr r="G2441" s="1"/>
      </tp>
      <tp>
        <v>59.724815139999997</v>
        <stp/>
        <stp>EM_S_PQ_PCTCHANGE</stp>
        <stp>4</stp>
        <stp>300346</stp>
        <stp>2018-01-01</stp>
        <stp>2019-12-31</stp>
        <stp>3</stp>
        <tr r="F214" s="1"/>
      </tp>
      <tp>
        <v>20.987654320000001</v>
        <stp/>
        <stp>EM_S_PQ_PCTCHANGE</stp>
        <stp>4</stp>
        <stp>600107</stp>
        <stp>2018-12-31</stp>
        <stp>2019-12-30</stp>
        <stp>1</stp>
        <tr r="G1238" s="1"/>
      </tp>
      <tp>
        <v>-7.8180982999999999</v>
        <stp/>
        <stp>EM_S_PQ_PCTCHANGE</stp>
        <stp>4</stp>
        <stp>600316</stp>
        <stp>2018-01-01</stp>
        <stp>2019-12-31</stp>
        <stp>3</stp>
        <tr r="F937" s="1"/>
      </tp>
      <tp>
        <v>-34.477947819999997</v>
        <stp/>
        <stp>EM_S_PQ_PCTCHANGE</stp>
        <stp>4</stp>
        <stp>603316</stp>
        <stp>2018-01-01</stp>
        <stp>2019-12-31</stp>
        <stp>3</stp>
        <tr r="F1325" s="1"/>
      </tp>
      <tp>
        <v>33.333333330000002</v>
        <stp/>
        <stp>EM_S_PQ_PCTCHANGE</stp>
        <stp>4</stp>
        <stp>002167</stp>
        <stp>2018-12-31</stp>
        <stp>2019-12-30</stp>
        <stp>1</stp>
        <tr r="G860" s="1"/>
      </tp>
      <tp>
        <v>11.862553480000001</v>
        <stp/>
        <stp>EM_S_PQ_PCTCHANGE</stp>
        <stp>4</stp>
        <stp>002376</stp>
        <stp>2018-01-01</stp>
        <stp>2019-12-31</stp>
        <stp>3</stp>
        <tr r="F3097" s="1"/>
      </tp>
      <tp>
        <v>8.2397003699999996</v>
        <stp/>
        <stp>EM_S_PQ_PCTCHANGE</stp>
        <stp>4</stp>
        <stp>601106</stp>
        <stp>2018-12-31</stp>
        <stp>2019-12-30</stp>
        <stp>1</stp>
        <tr r="G1844" s="1"/>
      </tp>
      <tp>
        <v>-53.99449036</v>
        <stp/>
        <stp>EM_S_PQ_PCTCHANGE</stp>
        <stp>4</stp>
        <stp>300156</stp>
        <stp>2018-12-31</stp>
        <stp>2019-12-30</stp>
        <stp>1</stp>
        <tr r="G3381" s="1"/>
      </tp>
      <tp>
        <v>171.32647445999999</v>
        <stp/>
        <stp>EM_S_PQ_PCTCHANGE</stp>
        <stp>4</stp>
        <stp>300347</stp>
        <stp>2018-01-01</stp>
        <stp>2019-12-31</stp>
        <stp>3</stp>
        <tr r="F672" s="1"/>
      </tp>
      <tp>
        <v>1.32013201</v>
        <stp/>
        <stp>EM_S_PQ_PCTCHANGE</stp>
        <stp>4</stp>
        <stp>600106</stp>
        <stp>2018-12-31</stp>
        <stp>2019-12-30</stp>
        <stp>1</stp>
        <tr r="G2193" s="1"/>
      </tp>
      <tp>
        <v>-22.603892519999999</v>
        <stp/>
        <stp>EM_S_PQ_PCTCHANGE</stp>
        <stp>4</stp>
        <stp>600317</stp>
        <stp>2018-01-01</stp>
        <stp>2019-12-31</stp>
        <stp>3</stp>
        <tr r="F1634" s="1"/>
      </tp>
      <tp>
        <v>-14.66019417</v>
        <stp/>
        <stp>EM_S_PQ_PCTCHANGE</stp>
        <stp>4</stp>
        <stp>603106</stp>
        <stp>2018-12-31</stp>
        <stp>2019-12-30</stp>
        <stp>1</stp>
        <tr r="G2923" s="1"/>
      </tp>
      <tp>
        <v>19.869706839999999</v>
        <stp/>
        <stp>EM_S_PQ_PCTCHANGE</stp>
        <stp>4</stp>
        <stp>002166</stp>
        <stp>2018-12-31</stp>
        <stp>2019-12-30</stp>
        <stp>1</stp>
        <tr r="G1282" s="1"/>
      </tp>
      <tp>
        <v>-59.050445099999997</v>
        <stp/>
        <stp>EM_S_PQ_PCTCHANGE</stp>
        <stp>4</stp>
        <stp>002377</stp>
        <stp>2018-01-01</stp>
        <stp>2019-12-31</stp>
        <stp>3</stp>
        <tr r="F2493" s="1"/>
      </tp>
      <tp>
        <v>-10.45796309</v>
        <stp/>
        <stp>EM_S_PQ_PCTCHANGE</stp>
        <stp>4</stp>
        <stp>300149</stp>
        <stp>2018-12-31</stp>
        <stp>2019-12-30</stp>
        <stp>1</stp>
        <tr r="G2776" s="1"/>
      </tp>
      <tp>
        <v>-41.165060140000001</v>
        <stp/>
        <stp>EM_S_PQ_PCTCHANGE</stp>
        <stp>4</stp>
        <stp>300358</stp>
        <stp>2018-01-01</stp>
        <stp>2019-12-31</stp>
        <stp>3</stp>
        <tr r="F2761" s="1"/>
      </tp>
      <tp>
        <v>-26.466575720000002</v>
        <stp/>
        <stp>EM_S_PQ_PCTCHANGE</stp>
        <stp>4</stp>
        <stp>600119</stp>
        <stp>2018-12-31</stp>
        <stp>2019-12-30</stp>
        <stp>1</stp>
        <tr r="G3176" s="1"/>
      </tp>
      <tp>
        <v>-21.418231129999999</v>
        <stp/>
        <stp>EM_S_PQ_PCTCHANGE</stp>
        <stp>4</stp>
        <stp>600308</stp>
        <stp>2018-01-01</stp>
        <stp>2019-12-31</stp>
        <stp>3</stp>
        <tr r="F1999" s="1"/>
      </tp>
      <tp>
        <v>-4.7552308300000004</v>
        <stp/>
        <stp>EM_S_PQ_PCTCHANGE</stp>
        <stp>4</stp>
        <stp>603308</stp>
        <stp>2018-01-01</stp>
        <stp>2019-12-31</stp>
        <stp>3</stp>
        <tr r="F218" s="1"/>
      </tp>
      <tp>
        <v>15.58788599</v>
        <stp/>
        <stp>EM_S_PQ_PCTCHANGE</stp>
        <stp>4</stp>
        <stp>002179</stp>
        <stp>2018-12-31</stp>
        <stp>2019-12-30</stp>
        <stp>1</stp>
        <tr r="G1453" s="1"/>
      </tp>
      <tp>
        <v>55.855361430000002</v>
        <stp/>
        <stp>EM_S_PQ_PCTCHANGE</stp>
        <stp>4</stp>
        <stp>002368</stp>
        <stp>2018-01-01</stp>
        <stp>2019-12-31</stp>
        <stp>3</stp>
        <tr r="F315" s="1"/>
      </tp>
      <tp>
        <v>10.244988859999999</v>
        <stp/>
        <stp>EM_S_PQ_PCTCHANGE</stp>
        <stp>4</stp>
        <stp>601118</stp>
        <stp>2018-12-31</stp>
        <stp>2019-12-30</stp>
        <stp>1</stp>
        <tr r="G1724" s="1"/>
      </tp>
      <tp>
        <v>-10.78651685</v>
        <stp/>
        <stp>EM_S_PQ_PCTCHANGE</stp>
        <stp>4</stp>
        <stp>300148</stp>
        <stp>2018-12-31</stp>
        <stp>2019-12-30</stp>
        <stp>1</stp>
        <tr r="G2790" s="1"/>
      </tp>
      <tp>
        <v>-40.928047849999999</v>
        <stp/>
        <stp>EM_S_PQ_PCTCHANGE</stp>
        <stp>4</stp>
        <stp>300359</stp>
        <stp>2018-01-01</stp>
        <stp>2019-12-31</stp>
        <stp>3</stp>
        <tr r="F2431" s="1"/>
      </tp>
      <tp>
        <v>24.133949189999999</v>
        <stp/>
        <stp>EM_S_PQ_PCTCHANGE</stp>
        <stp>4</stp>
        <stp>600118</stp>
        <stp>2018-12-31</stp>
        <stp>2019-12-30</stp>
        <stp>1</stp>
        <tr r="G1129" s="1"/>
      </tp>
      <tp>
        <v>62.226849970000004</v>
        <stp/>
        <stp>EM_S_PQ_PCTCHANGE</stp>
        <stp>4</stp>
        <stp>600309</stp>
        <stp>2018-01-01</stp>
        <stp>2019-12-31</stp>
        <stp>3</stp>
        <tr r="F168" s="1"/>
      </tp>
      <tp>
        <v>77.936507939999998</v>
        <stp/>
        <stp>EM_S_PQ_PCTCHANGE</stp>
        <stp>4</stp>
        <stp>603118</stp>
        <stp>2018-12-31</stp>
        <stp>2019-12-30</stp>
        <stp>1</stp>
        <tr r="G261" s="1"/>
      </tp>
      <tp>
        <v>-18.946434060000001</v>
        <stp/>
        <stp>EM_S_PQ_PCTCHANGE</stp>
        <stp>4</stp>
        <stp>603309</stp>
        <stp>2018-01-01</stp>
        <stp>2019-12-31</stp>
        <stp>3</stp>
        <tr r="F620" s="1"/>
      </tp>
      <tp>
        <v>12.80653951</v>
        <stp/>
        <stp>EM_S_PQ_PCTCHANGE</stp>
        <stp>4</stp>
        <stp>002178</stp>
        <stp>2018-12-31</stp>
        <stp>2019-12-30</stp>
        <stp>1</stp>
        <tr r="G1588" s="1"/>
      </tp>
      <tp>
        <v>-10.69684346</v>
        <stp/>
        <stp>EM_S_PQ_PCTCHANGE</stp>
        <stp>4</stp>
        <stp>002369</stp>
        <stp>2018-01-01</stp>
        <stp>2019-12-31</stp>
        <stp>3</stp>
        <tr r="F1109" s="1"/>
      </tp>
      <tp>
        <v>24.738219900000001</v>
        <stp/>
        <stp>EM_S_PQ_PCTCHANGE</stp>
        <stp>4</stp>
        <stp>601111</stp>
        <stp>2018-12-31</stp>
        <stp>2019-12-30</stp>
        <stp>1</stp>
        <tr r="G1102" s="1"/>
      </tp>
      <tp>
        <v>-0.73206442000000005</v>
        <stp/>
        <stp>EM_S_PQ_PCTCHANGE</stp>
        <stp>4</stp>
        <stp>300141</stp>
        <stp>2018-12-31</stp>
        <stp>2019-12-30</stp>
        <stp>1</stp>
        <tr r="G2371" s="1"/>
      </tp>
      <tp>
        <v>-47.315096250000003</v>
        <stp/>
        <stp>EM_S_PQ_PCTCHANGE</stp>
        <stp>4</stp>
        <stp>300350</stp>
        <stp>2018-01-01</stp>
        <stp>2019-12-31</stp>
        <stp>3</stp>
        <tr r="F2687" s="1"/>
      </tp>
      <tp>
        <v>24.401368300000001</v>
        <stp/>
        <stp>EM_S_PQ_PCTCHANGE</stp>
        <stp>4</stp>
        <stp>600111</stp>
        <stp>2018-12-31</stp>
        <stp>2019-12-30</stp>
        <stp>1</stp>
        <tr r="G1118" s="1"/>
      </tp>
      <tp>
        <v>-31.84932023</v>
        <stp/>
        <stp>EM_S_PQ_PCTCHANGE</stp>
        <stp>4</stp>
        <stp>600300</stp>
        <stp>2018-01-01</stp>
        <stp>2019-12-31</stp>
        <stp>3</stp>
        <tr r="F1995" s="1"/>
      </tp>
      <tp>
        <v>29.29292929</v>
        <stp/>
        <stp>EM_S_PQ_PCTCHANGE</stp>
        <stp>4</stp>
        <stp>603111</stp>
        <stp>2018-12-31</stp>
        <stp>2019-12-30</stp>
        <stp>1</stp>
        <tr r="G948" s="1"/>
      </tp>
      <tp>
        <v>33.918721400000003</v>
        <stp/>
        <stp>EM_S_PQ_PCTCHANGE</stp>
        <stp>4</stp>
        <stp>603300</stp>
        <stp>2018-01-01</stp>
        <stp>2019-12-31</stp>
        <stp>3</stp>
        <tr r="F370" s="1"/>
      </tp>
      <tp>
        <v>58.963282939999999</v>
        <stp/>
        <stp>EM_S_PQ_PCTCHANGE</stp>
        <stp>4</stp>
        <stp>002171</stp>
        <stp>2018-12-31</stp>
        <stp>2019-12-30</stp>
        <stp>1</stp>
        <tr r="G435" s="1"/>
      </tp>
      <tp>
        <v>-15.77745635</v>
        <stp/>
        <stp>EM_S_PQ_PCTCHANGE</stp>
        <stp>4</stp>
        <stp>002360</stp>
        <stp>2018-01-01</stp>
        <stp>2019-12-31</stp>
        <stp>3</stp>
        <tr r="F2452" s="1"/>
      </tp>
      <tp>
        <v>16.413043479999999</v>
        <stp/>
        <stp>EM_S_PQ_PCTCHANGE</stp>
        <stp>4</stp>
        <stp>300140</stp>
        <stp>2018-12-31</stp>
        <stp>2019-12-30</stp>
        <stp>1</stp>
        <tr r="G1419" s="1"/>
      </tp>
      <tp>
        <v>-37.60694213</v>
        <stp/>
        <stp>EM_S_PQ_PCTCHANGE</stp>
        <stp>4</stp>
        <stp>300351</stp>
        <stp>2018-01-01</stp>
        <stp>2019-12-31</stp>
        <stp>3</stp>
        <tr r="F1871" s="1"/>
      </tp>
      <tp>
        <v>16.009852219999999</v>
        <stp/>
        <stp>EM_S_PQ_PCTCHANGE</stp>
        <stp>4</stp>
        <stp>600110</stp>
        <stp>2018-12-31</stp>
        <stp>2019-12-30</stp>
        <stp>1</stp>
        <tr r="G1434" s="1"/>
      </tp>
      <tp>
        <v>-12.911392409999999</v>
        <stp/>
        <stp>EM_S_PQ_PCTCHANGE</stp>
        <stp>4</stp>
        <stp>600301</stp>
        <stp>2018-01-01</stp>
        <stp>2019-12-31</stp>
        <stp>3</stp>
        <tr r="F1636" s="1"/>
      </tp>
      <tp>
        <v>57.183364840000003</v>
        <stp/>
        <stp>EM_S_PQ_PCTCHANGE</stp>
        <stp>4</stp>
        <stp>603110</stp>
        <stp>2018-12-31</stp>
        <stp>2019-12-30</stp>
        <stp>1</stp>
        <tr r="G453" s="1"/>
      </tp>
      <tp>
        <v>55.375500219999999</v>
        <stp/>
        <stp>EM_S_PQ_PCTCHANGE</stp>
        <stp>4</stp>
        <stp>603301</stp>
        <stp>2018-01-01</stp>
        <stp>2019-12-31</stp>
        <stp>3</stp>
        <tr r="F3245" s="1"/>
      </tp>
      <tp>
        <v>10.61643836</v>
        <stp/>
        <stp>EM_S_PQ_PCTCHANGE</stp>
        <stp>4</stp>
        <stp>002170</stp>
        <stp>2018-12-31</stp>
        <stp>2019-12-30</stp>
        <stp>1</stp>
        <tr r="G1698" s="1"/>
      </tp>
      <tp>
        <v>-19.65044747</v>
        <stp/>
        <stp>EM_S_PQ_PCTCHANGE</stp>
        <stp>4</stp>
        <stp>002361</stp>
        <stp>2018-01-01</stp>
        <stp>2019-12-31</stp>
        <stp>3</stp>
        <tr r="F1315" s="1"/>
      </tp>
      <tp>
        <v>-57.70653514</v>
        <stp/>
        <stp>EM_S_PQ_PCTCHANGE</stp>
        <stp>4</stp>
        <stp>601113</stp>
        <stp>2018-12-31</stp>
        <stp>2019-12-30</stp>
        <stp>1</stp>
        <tr r="G3390" s="1"/>
      </tp>
      <tp>
        <v>2.7502750300000001</v>
        <stp/>
        <stp>EM_S_PQ_PCTCHANGE</stp>
        <stp>4</stp>
        <stp>300143</stp>
        <stp>2018-12-31</stp>
        <stp>2019-12-30</stp>
        <stp>1</stp>
        <tr r="G2121" s="1"/>
      </tp>
      <tp>
        <v>83.870274780000003</v>
        <stp/>
        <stp>EM_S_PQ_PCTCHANGE</stp>
        <stp>4</stp>
        <stp>300352</stp>
        <stp>2018-01-01</stp>
        <stp>2019-12-31</stp>
        <stp>3</stp>
        <tr r="F122" s="1"/>
      </tp>
      <tp>
        <v>0.14025245</v>
        <stp/>
        <stp>EM_S_PQ_PCTCHANGE</stp>
        <stp>4</stp>
        <stp>600113</stp>
        <stp>2018-12-31</stp>
        <stp>2019-12-30</stp>
        <stp>1</stp>
        <tr r="G2268" s="1"/>
      </tp>
      <tp>
        <v>-15.71906355</v>
        <stp/>
        <stp>EM_S_PQ_PCTCHANGE</stp>
        <stp>4</stp>
        <stp>600302</stp>
        <stp>2018-01-01</stp>
        <stp>2019-12-31</stp>
        <stp>3</stp>
        <tr r="F1508" s="1"/>
      </tp>
      <tp>
        <v>-3.0082041899999998</v>
        <stp/>
        <stp>EM_S_PQ_PCTCHANGE</stp>
        <stp>4</stp>
        <stp>603113</stp>
        <stp>2018-12-31</stp>
        <stp>2019-12-30</stp>
        <stp>1</stp>
        <tr r="G2475" s="1"/>
      </tp>
      <tp>
        <v>0</v>
        <stp/>
        <stp>EM_S_PQ_PCTCHANGE</stp>
        <stp>4</stp>
        <stp>603302</stp>
        <stp>2018-01-01</stp>
        <stp>2019-12-31</stp>
        <stp>3</stp>
        <tr r="F14" s="1"/>
      </tp>
      <tp>
        <v>-13.49862259</v>
        <stp/>
        <stp>EM_S_PQ_PCTCHANGE</stp>
        <stp>4</stp>
        <stp>002173</stp>
        <stp>2018-12-31</stp>
        <stp>2019-12-30</stp>
        <stp>1</stp>
        <tr r="G2881" s="1"/>
      </tp>
      <tp>
        <v>-34.748877090000001</v>
        <stp/>
        <stp>EM_S_PQ_PCTCHANGE</stp>
        <stp>4</stp>
        <stp>002362</stp>
        <stp>2018-01-01</stp>
        <stp>2019-12-31</stp>
        <stp>3</stp>
        <tr r="F1277" s="1"/>
      </tp>
      <tp>
        <v>66.020942410000004</v>
        <stp/>
        <stp>EM_S_PQ_PCTCHANGE</stp>
        <stp>4</stp>
        <stp>300142</stp>
        <stp>2018-12-31</stp>
        <stp>2019-12-30</stp>
        <stp>1</stp>
        <tr r="G360" s="1"/>
      </tp>
      <tp>
        <v>-1.8220756600000001</v>
        <stp/>
        <stp>EM_S_PQ_PCTCHANGE</stp>
        <stp>4</stp>
        <stp>300353</stp>
        <stp>2018-01-01</stp>
        <stp>2019-12-31</stp>
        <stp>3</stp>
        <tr r="F614" s="1"/>
      </tp>
      <tp>
        <v>-45.595854920000001</v>
        <stp/>
        <stp>EM_S_PQ_PCTCHANGE</stp>
        <stp>4</stp>
        <stp>600112</stp>
        <stp>2018-12-31</stp>
        <stp>2019-12-30</stp>
        <stp>1</stp>
        <tr r="G3347" s="1"/>
      </tp>
      <tp>
        <v>-60.956980649999998</v>
        <stp/>
        <stp>EM_S_PQ_PCTCHANGE</stp>
        <stp>4</stp>
        <stp>600303</stp>
        <stp>2018-01-01</stp>
        <stp>2019-12-31</stp>
        <stp>3</stp>
        <tr r="F2765" s="1"/>
      </tp>
      <tp>
        <v>-12.240428570000001</v>
        <stp/>
        <stp>EM_S_PQ_PCTCHANGE</stp>
        <stp>4</stp>
        <stp>603303</stp>
        <stp>2018-01-01</stp>
        <stp>2019-12-31</stp>
        <stp>3</stp>
        <tr r="F2847" s="1"/>
      </tp>
      <tp>
        <v>-2.0833333299999999</v>
        <stp/>
        <stp>EM_S_PQ_PCTCHANGE</stp>
        <stp>4</stp>
        <stp>002172</stp>
        <stp>2018-12-31</stp>
        <stp>2019-12-30</stp>
        <stp>1</stp>
        <tr r="G2424" s="1"/>
      </tp>
      <tp>
        <v>-28.270744570000002</v>
        <stp/>
        <stp>EM_S_PQ_PCTCHANGE</stp>
        <stp>4</stp>
        <stp>002363</stp>
        <stp>2018-01-01</stp>
        <stp>2019-12-31</stp>
        <stp>3</stp>
        <tr r="F1055" s="1"/>
      </tp>
      <tp>
        <v>8.9230769199999997</v>
        <stp/>
        <stp>EM_S_PQ_PCTCHANGE</stp>
        <stp>4</stp>
        <stp>300145</stp>
        <stp>2018-12-31</stp>
        <stp>2019-12-30</stp>
        <stp>1</stp>
        <tr r="G1801" s="1"/>
      </tp>
      <tp>
        <v>-2.4128486200000001</v>
        <stp/>
        <stp>EM_S_PQ_PCTCHANGE</stp>
        <stp>4</stp>
        <stp>300354</stp>
        <stp>2018-01-01</stp>
        <stp>2019-12-31</stp>
        <stp>3</stp>
        <tr r="F542" s="1"/>
      </tp>
      <tp>
        <v>22.526315790000002</v>
        <stp/>
        <stp>EM_S_PQ_PCTCHANGE</stp>
        <stp>4</stp>
        <stp>600115</stp>
        <stp>2018-12-31</stp>
        <stp>2019-12-30</stp>
        <stp>1</stp>
        <tr r="G1172" s="1"/>
      </tp>
      <tp>
        <v>-43.067846609999997</v>
        <stp/>
        <stp>EM_S_PQ_PCTCHANGE</stp>
        <stp>4</stp>
        <stp>002175</stp>
        <stp>2018-12-31</stp>
        <stp>2019-12-30</stp>
        <stp>1</stp>
        <tr r="G3335" s="1"/>
      </tp>
      <tp>
        <v>10.694731920000001</v>
        <stp/>
        <stp>EM_S_PQ_PCTCHANGE</stp>
        <stp>4</stp>
        <stp>002364</stp>
        <stp>2018-01-01</stp>
        <stp>2019-12-31</stp>
        <stp>3</stp>
        <tr r="F2413" s="1"/>
      </tp>
      <tp>
        <v>44.262295080000001</v>
        <stp/>
        <stp>EM_S_PQ_PCTCHANGE</stp>
        <stp>4</stp>
        <stp>300144</stp>
        <stp>2018-12-31</stp>
        <stp>2019-12-30</stp>
        <stp>1</stp>
        <tr r="G664" s="1"/>
      </tp>
      <tp>
        <v>-72.240497169999998</v>
        <stp/>
        <stp>EM_S_PQ_PCTCHANGE</stp>
        <stp>4</stp>
        <stp>300355</stp>
        <stp>2018-01-01</stp>
        <stp>2019-12-31</stp>
        <stp>3</stp>
        <tr r="F2877" s="1"/>
      </tp>
      <tp>
        <v>40.350877189999999</v>
        <stp/>
        <stp>EM_S_PQ_PCTCHANGE</stp>
        <stp>4</stp>
        <stp>600114</stp>
        <stp>2018-12-31</stp>
        <stp>2019-12-30</stp>
        <stp>1</stp>
        <tr r="G729" s="1"/>
      </tp>
      <tp>
        <v>71.28986562</v>
        <stp/>
        <stp>EM_S_PQ_PCTCHANGE</stp>
        <stp>4</stp>
        <stp>600305</stp>
        <stp>2018-01-01</stp>
        <stp>2019-12-31</stp>
        <stp>3</stp>
        <tr r="F676" s="1"/>
      </tp>
      <tp>
        <v>-9.5719093799999992</v>
        <stp/>
        <stp>EM_S_PQ_PCTCHANGE</stp>
        <stp>4</stp>
        <stp>603305</stp>
        <stp>2018-01-01</stp>
        <stp>2019-12-31</stp>
        <stp>3</stp>
        <tr r="F1751" s="1"/>
      </tp>
      <tp>
        <v>23.830016140000001</v>
        <stp/>
        <stp>EM_S_PQ_PCTCHANGE</stp>
        <stp>4</stp>
        <stp>002174</stp>
        <stp>2018-12-31</stp>
        <stp>2019-12-30</stp>
        <stp>1</stp>
        <tr r="G1138" s="1"/>
      </tp>
      <tp>
        <v>-54.729731319999999</v>
        <stp/>
        <stp>EM_S_PQ_PCTCHANGE</stp>
        <stp>4</stp>
        <stp>002365</stp>
        <stp>2018-01-01</stp>
        <stp>2019-12-31</stp>
        <stp>3</stp>
        <tr r="F2692" s="1"/>
      </tp>
      <tp>
        <v>19.962686569999999</v>
        <stp/>
        <stp>EM_S_PQ_PCTCHANGE</stp>
        <stp>4</stp>
        <stp>601117</stp>
        <stp>2018-12-31</stp>
        <stp>2019-12-30</stp>
        <stp>1</stp>
        <tr r="G1279" s="1"/>
      </tp>
      <tp>
        <v>31.10749186</v>
        <stp/>
        <stp>EM_S_PQ_PCTCHANGE</stp>
        <stp>4</stp>
        <stp>300147</stp>
        <stp>2018-12-31</stp>
        <stp>2019-12-30</stp>
        <stp>1</stp>
        <tr r="G905" s="1"/>
      </tp>
      <tp>
        <v>14.73533619</v>
        <stp/>
        <stp>EM_S_PQ_PCTCHANGE</stp>
        <stp>4</stp>
        <stp>300356</stp>
        <stp>2018-01-01</stp>
        <stp>2019-12-31</stp>
        <stp>3</stp>
        <tr r="F792" s="1"/>
      </tp>
      <tp>
        <v>3.83480826</v>
        <stp/>
        <stp>EM_S_PQ_PCTCHANGE</stp>
        <stp>4</stp>
        <stp>600117</stp>
        <stp>2018-12-31</stp>
        <stp>2019-12-30</stp>
        <stp>1</stp>
        <tr r="G2068" s="1"/>
      </tp>
      <tp>
        <v>-47.846012829999999</v>
        <stp/>
        <stp>EM_S_PQ_PCTCHANGE</stp>
        <stp>4</stp>
        <stp>600306</stp>
        <stp>2018-01-01</stp>
        <stp>2019-12-31</stp>
        <stp>3</stp>
        <tr r="F2801" s="1"/>
      </tp>
      <tp>
        <v>5.9322033899999997</v>
        <stp/>
        <stp>EM_S_PQ_PCTCHANGE</stp>
        <stp>4</stp>
        <stp>603117</stp>
        <stp>2018-12-31</stp>
        <stp>2019-12-30</stp>
        <stp>1</stp>
        <tr r="G1955" s="1"/>
      </tp>
      <tp>
        <v>-33.770964769999999</v>
        <stp/>
        <stp>EM_S_PQ_PCTCHANGE</stp>
        <stp>4</stp>
        <stp>603306</stp>
        <stp>2018-01-01</stp>
        <stp>2019-12-31</stp>
        <stp>3</stp>
        <tr r="F2468" s="1"/>
      </tp>
      <tp>
        <v>73.899371070000001</v>
        <stp/>
        <stp>EM_S_PQ_PCTCHANGE</stp>
        <stp>4</stp>
        <stp>002177</stp>
        <stp>2018-12-31</stp>
        <stp>2019-12-30</stp>
        <stp>1</stp>
        <tr r="G284" s="1"/>
      </tp>
      <tp>
        <v>-73.242226029999998</v>
        <stp/>
        <stp>EM_S_PQ_PCTCHANGE</stp>
        <stp>4</stp>
        <stp>002366</stp>
        <stp>2018-01-01</stp>
        <stp>2019-12-31</stp>
        <stp>3</stp>
        <tr r="F3168" s="1"/>
      </tp>
      <tp>
        <v>19.59145775</v>
        <stp/>
        <stp>EM_S_PQ_PCTCHANGE</stp>
        <stp>4</stp>
        <stp>601116</stp>
        <stp>2018-12-31</stp>
        <stp>2019-12-30</stp>
        <stp>1</stp>
        <tr r="G1294" s="1"/>
      </tp>
      <tp>
        <v>-4.1789287799999997</v>
        <stp/>
        <stp>EM_S_PQ_PCTCHANGE</stp>
        <stp>4</stp>
        <stp>300146</stp>
        <stp>2018-12-31</stp>
        <stp>2019-12-30</stp>
        <stp>1</stp>
        <tr r="G2523" s="1"/>
      </tp>
      <tp>
        <v>194.09122672000001</v>
        <stp/>
        <stp>EM_S_PQ_PCTCHANGE</stp>
        <stp>4</stp>
        <stp>300357</stp>
        <stp>2018-01-01</stp>
        <stp>2019-12-31</stp>
        <stp>3</stp>
        <tr r="F1410" s="1"/>
      </tp>
      <tp>
        <v>2.73224044</v>
        <stp/>
        <stp>EM_S_PQ_PCTCHANGE</stp>
        <stp>4</stp>
        <stp>600116</stp>
        <stp>2018-12-31</stp>
        <stp>2019-12-30</stp>
        <stp>1</stp>
        <tr r="G2123" s="1"/>
      </tp>
      <tp>
        <v>-27.972027969999999</v>
        <stp/>
        <stp>EM_S_PQ_PCTCHANGE</stp>
        <stp>4</stp>
        <stp>600307</stp>
        <stp>2018-01-01</stp>
        <stp>2019-12-31</stp>
        <stp>3</stp>
        <tr r="F1905" s="1"/>
      </tp>
      <tp>
        <v>-2.00860832</v>
        <stp/>
        <stp>EM_S_PQ_PCTCHANGE</stp>
        <stp>4</stp>
        <stp>603116</stp>
        <stp>2018-12-31</stp>
        <stp>2019-12-30</stp>
        <stp>1</stp>
        <tr r="G2418" s="1"/>
      </tp>
      <tp>
        <v>-36.626916520000002</v>
        <stp/>
        <stp>EM_S_PQ_PCTCHANGE</stp>
        <stp>4</stp>
        <stp>002176</stp>
        <stp>2018-12-31</stp>
        <stp>2019-12-30</stp>
        <stp>1</stp>
        <tr r="G3286" s="1"/>
      </tp>
      <tp>
        <v>12.178841520000001</v>
        <stp/>
        <stp>EM_S_PQ_PCTCHANGE</stp>
        <stp>4</stp>
        <stp>002367</stp>
        <stp>2018-01-01</stp>
        <stp>2019-12-31</stp>
        <stp>3</stp>
        <tr r="F773" s="1"/>
      </tp>
      <tp>
        <v>0.89126559999999999</v>
        <stp/>
        <stp>EM_S_PQ_PCTCHANGE</stp>
        <stp>4</stp>
        <stp>601169</stp>
        <stp>2018-12-31</stp>
        <stp>2019-12-30</stp>
        <stp>1</stp>
        <tr r="G2223" s="1"/>
      </tp>
      <tp>
        <v>19.105691060000002</v>
        <stp/>
        <stp>EM_S_PQ_PCTCHANGE</stp>
        <stp>4</stp>
        <stp>300139</stp>
        <stp>2018-12-31</stp>
        <stp>2019-12-30</stp>
        <stp>1</stp>
        <tr r="G1318" s="1"/>
      </tp>
      <tp>
        <v>52.998823510000001</v>
        <stp/>
        <stp>EM_S_PQ_PCTCHANGE</stp>
        <stp>4</stp>
        <stp>300328</stp>
        <stp>2018-01-01</stp>
        <stp>2019-12-31</stp>
        <stp>3</stp>
        <tr r="F97" s="1"/>
      </tp>
      <tp>
        <v>4.0358744399999997</v>
        <stp/>
        <stp>EM_S_PQ_PCTCHANGE</stp>
        <stp>4</stp>
        <stp>600169</stp>
        <stp>2018-12-31</stp>
        <stp>2019-12-30</stp>
        <stp>1</stp>
        <tr r="G2058" s="1"/>
      </tp>
      <tp>
        <v>42.905241869999998</v>
        <stp/>
        <stp>EM_S_PQ_PCTCHANGE</stp>
        <stp>4</stp>
        <stp>600378</stp>
        <stp>2018-01-01</stp>
        <stp>2019-12-31</stp>
        <stp>3</stp>
        <tr r="F132" s="1"/>
      </tp>
      <tp>
        <v>35.128805620000001</v>
        <stp/>
        <stp>EM_S_PQ_PCTCHANGE</stp>
        <stp>4</stp>
        <stp>603169</stp>
        <stp>2018-12-31</stp>
        <stp>2019-12-30</stp>
        <stp>1</stp>
        <tr r="G821" s="1"/>
      </tp>
      <tp>
        <v>-0.46891528999999998</v>
        <stp/>
        <stp>EM_S_PQ_PCTCHANGE</stp>
        <stp>4</stp>
        <stp>603378</stp>
        <stp>2018-01-01</stp>
        <stp>2019-12-31</stp>
        <stp>3</stp>
        <tr r="F357" s="1"/>
      </tp>
      <tp>
        <v>-4.8295454500000004</v>
        <stp/>
        <stp>EM_S_PQ_PCTCHANGE</stp>
        <stp>4</stp>
        <stp>002109</stp>
        <stp>2018-12-31</stp>
        <stp>2019-12-30</stp>
        <stp>1</stp>
        <tr r="G2560" s="1"/>
      </tp>
      <tp>
        <v>39.942184609999998</v>
        <stp/>
        <stp>EM_S_PQ_PCTCHANGE</stp>
        <stp>4</stp>
        <stp>002318</stp>
        <stp>2018-01-01</stp>
        <stp>2019-12-31</stp>
        <stp>3</stp>
        <tr r="F566" s="1"/>
      </tp>
      <tp>
        <v>16.838487969999999</v>
        <stp/>
        <stp>EM_S_PQ_PCTCHANGE</stp>
        <stp>4</stp>
        <stp>601168</stp>
        <stp>2018-12-31</stp>
        <stp>2019-12-30</stp>
        <stp>1</stp>
        <tr r="G1406" s="1"/>
      </tp>
      <tp>
        <v>29.51388889</v>
        <stp/>
        <stp>EM_S_PQ_PCTCHANGE</stp>
        <stp>4</stp>
        <stp>300138</stp>
        <stp>2018-12-31</stp>
        <stp>2019-12-30</stp>
        <stp>1</stp>
        <tr r="G941" s="1"/>
      </tp>
      <tp>
        <v>9.6882592299999999</v>
        <stp/>
        <stp>EM_S_PQ_PCTCHANGE</stp>
        <stp>4</stp>
        <stp>300329</stp>
        <stp>2018-01-01</stp>
        <stp>2019-12-31</stp>
        <stp>3</stp>
        <tr r="F1174" s="1"/>
      </tp>
      <tp>
        <v>15.82608696</v>
        <stp/>
        <stp>EM_S_PQ_PCTCHANGE</stp>
        <stp>4</stp>
        <stp>600168</stp>
        <stp>2018-12-31</stp>
        <stp>2019-12-30</stp>
        <stp>1</stp>
        <tr r="G1443" s="1"/>
      </tp>
      <tp>
        <v>-27.011256849999999</v>
        <stp/>
        <stp>EM_S_PQ_PCTCHANGE</stp>
        <stp>4</stp>
        <stp>600379</stp>
        <stp>2018-01-01</stp>
        <stp>2019-12-31</stp>
        <stp>3</stp>
        <tr r="F2976" s="1"/>
      </tp>
      <tp>
        <v>25.401459849999998</v>
        <stp/>
        <stp>EM_S_PQ_PCTCHANGE</stp>
        <stp>4</stp>
        <stp>603168</stp>
        <stp>2018-12-31</stp>
        <stp>2019-12-30</stp>
        <stp>1</stp>
        <tr r="G1079" s="1"/>
      </tp>
      <tp>
        <v>-42.108027139999997</v>
        <stp/>
        <stp>EM_S_PQ_PCTCHANGE</stp>
        <stp>4</stp>
        <stp>002319</stp>
        <stp>2018-01-01</stp>
        <stp>2019-12-31</stp>
        <stp>3</stp>
        <tr r="F3323" s="1"/>
      </tp>
      <tp>
        <v>20.046620050000001</v>
        <stp/>
        <stp>EM_S_PQ_PCTCHANGE</stp>
        <stp>4</stp>
        <stp>300131</stp>
        <stp>2018-12-31</stp>
        <stp>2019-12-30</stp>
        <stp>1</stp>
        <tr r="G1274" s="1"/>
      </tp>
      <tp>
        <v>-61.899078539999998</v>
        <stp/>
        <stp>EM_S_PQ_PCTCHANGE</stp>
        <stp>4</stp>
        <stp>300320</stp>
        <stp>2018-01-01</stp>
        <stp>2019-12-31</stp>
        <stp>3</stp>
        <tr r="F1658" s="1"/>
      </tp>
      <tp>
        <v>27.2</v>
        <stp/>
        <stp>EM_S_PQ_PCTCHANGE</stp>
        <stp>4</stp>
        <stp>600161</stp>
        <stp>2018-12-31</stp>
        <stp>2019-12-30</stp>
        <stp>1</stp>
        <tr r="G1011" s="1"/>
      </tp>
      <tp>
        <v>-1.57069685</v>
        <stp/>
        <stp>EM_S_PQ_PCTCHANGE</stp>
        <stp>4</stp>
        <stp>600370</stp>
        <stp>2018-01-01</stp>
        <stp>2019-12-31</stp>
        <stp>3</stp>
        <tr r="F1676" s="1"/>
      </tp>
      <tp>
        <v>-13.975749840000001</v>
        <stp/>
        <stp>EM_S_PQ_PCTCHANGE</stp>
        <stp>4</stp>
        <stp>603161</stp>
        <stp>2018-12-31</stp>
        <stp>2019-12-30</stp>
        <stp>1</stp>
        <tr r="G2902" s="1"/>
      </tp>
      <tp>
        <v>-12.11372064</v>
        <stp/>
        <stp>EM_S_PQ_PCTCHANGE</stp>
        <stp>4</stp>
        <stp>002101</stp>
        <stp>2018-12-31</stp>
        <stp>2019-12-30</stp>
        <stp>1</stp>
        <tr r="G2834" s="1"/>
      </tp>
      <tp>
        <v>-74.581791089999996</v>
        <stp/>
        <stp>EM_S_PQ_PCTCHANGE</stp>
        <stp>4</stp>
        <stp>002310</stp>
        <stp>2018-01-01</stp>
        <stp>2019-12-31</stp>
        <stp>3</stp>
        <tr r="F3198" s="1"/>
      </tp>
      <tp>
        <v>55.653710250000003</v>
        <stp/>
        <stp>EM_S_PQ_PCTCHANGE</stp>
        <stp>4</stp>
        <stp>300130</stp>
        <stp>2018-12-31</stp>
        <stp>2019-12-30</stp>
        <stp>1</stp>
        <tr r="G478" s="1"/>
      </tp>
      <tp>
        <v>-30.02337434</v>
        <stp/>
        <stp>EM_S_PQ_PCTCHANGE</stp>
        <stp>4</stp>
        <stp>300321</stp>
        <stp>2018-01-01</stp>
        <stp>2019-12-31</stp>
        <stp>3</stp>
        <tr r="F1033" s="1"/>
      </tp>
      <tp>
        <v>9.95475113</v>
        <stp/>
        <stp>EM_S_PQ_PCTCHANGE</stp>
        <stp>4</stp>
        <stp>600160</stp>
        <stp>2018-12-31</stp>
        <stp>2019-12-30</stp>
        <stp>1</stp>
        <tr r="G1738" s="1"/>
      </tp>
      <tp>
        <v>18.755734329999999</v>
        <stp/>
        <stp>EM_S_PQ_PCTCHANGE</stp>
        <stp>4</stp>
        <stp>600371</stp>
        <stp>2018-01-01</stp>
        <stp>2019-12-31</stp>
        <stp>3</stp>
        <tr r="F193" s="1"/>
      </tp>
      <tp>
        <v>183.80952381</v>
        <stp/>
        <stp>EM_S_PQ_PCTCHANGE</stp>
        <stp>4</stp>
        <stp>002100</stp>
        <stp>2018-12-31</stp>
        <stp>2019-12-30</stp>
        <stp>1</stp>
        <tr r="G54" s="1"/>
      </tp>
      <tp>
        <v>57.194172799999997</v>
        <stp/>
        <stp>EM_S_PQ_PCTCHANGE</stp>
        <stp>4</stp>
        <stp>002311</stp>
        <stp>2018-01-01</stp>
        <stp>2019-12-31</stp>
        <stp>3</stp>
        <tr r="F476" s="1"/>
      </tp>
      <tp>
        <v>34.739676840000001</v>
        <stp/>
        <stp>EM_S_PQ_PCTCHANGE</stp>
        <stp>4</stp>
        <stp>601163</stp>
        <stp>2018-12-31</stp>
        <stp>2019-12-30</stp>
        <stp>1</stp>
        <tr r="G828" s="1"/>
      </tp>
      <tp>
        <v>-18.86160714</v>
        <stp/>
        <stp>EM_S_PQ_PCTCHANGE</stp>
        <stp>4</stp>
        <stp>300133</stp>
        <stp>2018-12-31</stp>
        <stp>2019-12-30</stp>
        <stp>1</stp>
        <tr r="G3041" s="1"/>
      </tp>
      <tp>
        <v>74.060501680000002</v>
        <stp/>
        <stp>EM_S_PQ_PCTCHANGE</stp>
        <stp>4</stp>
        <stp>300322</stp>
        <stp>2018-01-01</stp>
        <stp>2019-12-31</stp>
        <stp>3</stp>
        <tr r="F123" s="1"/>
      </tp>
      <tp>
        <v>5.66037736</v>
        <stp/>
        <stp>EM_S_PQ_PCTCHANGE</stp>
        <stp>4</stp>
        <stp>600163</stp>
        <stp>2018-12-31</stp>
        <stp>2019-12-30</stp>
        <stp>1</stp>
        <tr r="G1968" s="1"/>
      </tp>
      <tp>
        <v>4.8510391400000001</v>
        <stp/>
        <stp>EM_S_PQ_PCTCHANGE</stp>
        <stp>4</stp>
        <stp>600372</stp>
        <stp>2018-01-01</stp>
        <stp>2019-12-31</stp>
        <stp>3</stp>
        <tr r="F1736" s="1"/>
      </tp>
      <tp>
        <v>-37.997054489999996</v>
        <stp/>
        <stp>EM_S_PQ_PCTCHANGE</stp>
        <stp>4</stp>
        <stp>002312</stp>
        <stp>2018-01-01</stp>
        <stp>2019-12-31</stp>
        <stp>3</stp>
        <tr r="F876" s="1"/>
      </tp>
      <tp>
        <v>2.4177949700000001</v>
        <stp/>
        <stp>EM_S_PQ_PCTCHANGE</stp>
        <stp>4</stp>
        <stp>300132</stp>
        <stp>2018-12-31</stp>
        <stp>2019-12-30</stp>
        <stp>1</stp>
        <tr r="G2143" s="1"/>
      </tp>
      <tp>
        <v>-56.45949616</v>
        <stp/>
        <stp>EM_S_PQ_PCTCHANGE</stp>
        <stp>4</stp>
        <stp>300323</stp>
        <stp>2018-01-01</stp>
        <stp>2019-12-31</stp>
        <stp>3</stp>
        <tr r="F2365" s="1"/>
      </tp>
      <tp>
        <v>3.6697247700000002</v>
        <stp/>
        <stp>EM_S_PQ_PCTCHANGE</stp>
        <stp>4</stp>
        <stp>600162</stp>
        <stp>2018-12-31</stp>
        <stp>2019-12-30</stp>
        <stp>1</stp>
        <tr r="G2078" s="1"/>
      </tp>
      <tp>
        <v>-14.2519746</v>
        <stp/>
        <stp>EM_S_PQ_PCTCHANGE</stp>
        <stp>4</stp>
        <stp>600373</stp>
        <stp>2018-01-01</stp>
        <stp>2019-12-31</stp>
        <stp>3</stp>
        <tr r="F2059" s="1"/>
      </tp>
      <tp>
        <v>-38.76314206</v>
        <stp/>
        <stp>EM_S_PQ_PCTCHANGE</stp>
        <stp>4</stp>
        <stp>002313</stp>
        <stp>2018-01-01</stp>
        <stp>2019-12-31</stp>
        <stp>3</stp>
        <tr r="F2845" s="1"/>
      </tp>
      <tp>
        <v>-0.75187970000000004</v>
        <stp/>
        <stp>EM_S_PQ_PCTCHANGE</stp>
        <stp>4</stp>
        <stp>300135</stp>
        <stp>2018-12-31</stp>
        <stp>2019-12-30</stp>
        <stp>1</stp>
        <tr r="G2372" s="1"/>
      </tp>
      <tp>
        <v>-42.113403460000001</v>
        <stp/>
        <stp>EM_S_PQ_PCTCHANGE</stp>
        <stp>4</stp>
        <stp>300324</stp>
        <stp>2018-01-01</stp>
        <stp>2019-12-31</stp>
        <stp>3</stp>
        <tr r="F2393" s="1"/>
      </tp>
      <tp>
        <v>-20.73921971</v>
        <stp/>
        <stp>EM_S_PQ_PCTCHANGE</stp>
        <stp>4</stp>
        <stp>600165</stp>
        <stp>2018-12-31</stp>
        <stp>2019-12-30</stp>
        <stp>1</stp>
        <tr r="G3077" s="1"/>
      </tp>
      <tp>
        <v>13.42192691</v>
        <stp/>
        <stp>EM_S_PQ_PCTCHANGE</stp>
        <stp>4</stp>
        <stp>603165</stp>
        <stp>2018-12-31</stp>
        <stp>2019-12-30</stp>
        <stp>1</stp>
        <tr r="G1558" s="1"/>
      </tp>
      <tp>
        <v>-50.483870969999998</v>
        <stp/>
        <stp>EM_S_PQ_PCTCHANGE</stp>
        <stp>4</stp>
        <stp>002314</stp>
        <stp>2018-01-01</stp>
        <stp>2019-12-31</stp>
        <stp>3</stp>
        <tr r="F1918" s="1"/>
      </tp>
      <tp>
        <v>-12.087813560000001</v>
        <stp/>
        <stp>EM_S_PQ_PCTCHANGE</stp>
        <stp>4</stp>
        <stp>601375</stp>
        <stp>2018-01-01</stp>
        <stp>2019-12-31</stp>
        <stp>3</stp>
        <tr r="F1087" s="1"/>
      </tp>
      <tp>
        <v>65.106382980000006</v>
        <stp/>
        <stp>EM_S_PQ_PCTCHANGE</stp>
        <stp>4</stp>
        <stp>300134</stp>
        <stp>2018-12-31</stp>
        <stp>2019-12-30</stp>
        <stp>1</stp>
        <tr r="G367" s="1"/>
      </tp>
      <tp>
        <v>-49.125731940000001</v>
        <stp/>
        <stp>EM_S_PQ_PCTCHANGE</stp>
        <stp>4</stp>
        <stp>300325</stp>
        <stp>2018-01-01</stp>
        <stp>2019-12-31</stp>
        <stp>3</stp>
        <tr r="F1879" s="1"/>
      </tp>
      <tp>
        <v>-12.359550560000001</v>
        <stp/>
        <stp>EM_S_PQ_PCTCHANGE</stp>
        <stp>4</stp>
        <stp>600375</stp>
        <stp>2018-01-01</stp>
        <stp>2019-12-31</stp>
        <stp>3</stp>
        <tr r="F856" s="1"/>
      </tp>
      <tp>
        <v>28.839590439999998</v>
        <stp/>
        <stp>EM_S_PQ_PCTCHANGE</stp>
        <stp>4</stp>
        <stp>002104</stp>
        <stp>2018-12-31</stp>
        <stp>2019-12-30</stp>
        <stp>1</stp>
        <tr r="G962" s="1"/>
      </tp>
      <tp>
        <v>-6.3791322900000003</v>
        <stp/>
        <stp>EM_S_PQ_PCTCHANGE</stp>
        <stp>4</stp>
        <stp>002315</stp>
        <stp>2018-01-01</stp>
        <stp>2019-12-31</stp>
        <stp>3</stp>
        <tr r="F403" s="1"/>
      </tp>
      <tp>
        <v>-5.8895705500000002</v>
        <stp/>
        <stp>EM_S_PQ_PCTCHANGE</stp>
        <stp>4</stp>
        <stp>300137</stp>
        <stp>2018-12-31</stp>
        <stp>2019-12-30</stp>
        <stp>1</stp>
        <tr r="G2600" s="1"/>
      </tp>
      <tp>
        <v>63.793100459999998</v>
        <stp/>
        <stp>EM_S_PQ_PCTCHANGE</stp>
        <stp>4</stp>
        <stp>300326</stp>
        <stp>2018-01-01</stp>
        <stp>2019-12-31</stp>
        <stp>3</stp>
        <tr r="F483" s="1"/>
      </tp>
      <tp>
        <v>43.141592920000001</v>
        <stp/>
        <stp>EM_S_PQ_PCTCHANGE</stp>
        <stp>4</stp>
        <stp>600167</stp>
        <stp>2018-12-31</stp>
        <stp>2019-12-30</stp>
        <stp>1</stp>
        <tr r="G683" s="1"/>
      </tp>
      <tp>
        <v>-3.6369545400000001</v>
        <stp/>
        <stp>EM_S_PQ_PCTCHANGE</stp>
        <stp>4</stp>
        <stp>600376</stp>
        <stp>2018-01-01</stp>
        <stp>2019-12-31</stp>
        <stp>3</stp>
        <tr r="F1649" s="1"/>
      </tp>
      <tp>
        <v>21.00456621</v>
        <stp/>
        <stp>EM_S_PQ_PCTCHANGE</stp>
        <stp>4</stp>
        <stp>603167</stp>
        <stp>2018-12-31</stp>
        <stp>2019-12-30</stp>
        <stp>1</stp>
        <tr r="G1235" s="1"/>
      </tp>
      <tp>
        <v>23.903176999999999</v>
        <stp/>
        <stp>EM_S_PQ_PCTCHANGE</stp>
        <stp>4</stp>
        <stp>002107</stp>
        <stp>2018-12-31</stp>
        <stp>2019-12-30</stp>
        <stp>1</stp>
        <tr r="G1136" s="1"/>
      </tp>
      <tp>
        <v>-34.818231740000002</v>
        <stp/>
        <stp>EM_S_PQ_PCTCHANGE</stp>
        <stp>4</stp>
        <stp>002316</stp>
        <stp>2018-01-01</stp>
        <stp>2019-12-31</stp>
        <stp>3</stp>
        <tr r="F1910" s="1"/>
      </tp>
      <tp>
        <v>32.262382860000002</v>
        <stp/>
        <stp>EM_S_PQ_PCTCHANGE</stp>
        <stp>4</stp>
        <stp>601166</stp>
        <stp>2018-12-31</stp>
        <stp>2019-12-30</stp>
        <stp>1</stp>
        <tr r="G877" s="1"/>
      </tp>
      <tp>
        <v>1.2976991</v>
        <stp/>
        <stp>EM_S_PQ_PCTCHANGE</stp>
        <stp>4</stp>
        <stp>601377</stp>
        <stp>2018-01-01</stp>
        <stp>2019-12-31</stp>
        <stp>3</stp>
        <tr r="F499" s="1"/>
      </tp>
      <tp>
        <v>3.9092940199999999</v>
        <stp/>
        <stp>EM_S_PQ_PCTCHANGE</stp>
        <stp>4</stp>
        <stp>300327</stp>
        <stp>2018-01-01</stp>
        <stp>2019-12-31</stp>
        <stp>3</stp>
        <tr r="F690" s="1"/>
      </tp>
      <tp>
        <v>14.28571429</v>
        <stp/>
        <stp>EM_S_PQ_PCTCHANGE</stp>
        <stp>4</stp>
        <stp>600166</stp>
        <stp>2018-12-31</stp>
        <stp>2019-12-30</stp>
        <stp>1</stp>
        <tr r="G1515" s="1"/>
      </tp>
      <tp>
        <v>24.772316750000002</v>
        <stp/>
        <stp>EM_S_PQ_PCTCHANGE</stp>
        <stp>4</stp>
        <stp>600377</stp>
        <stp>2018-01-01</stp>
        <stp>2019-12-31</stp>
        <stp>3</stp>
        <tr r="F1600" s="1"/>
      </tp>
      <tp>
        <v>18.5546875</v>
        <stp/>
        <stp>EM_S_PQ_PCTCHANGE</stp>
        <stp>4</stp>
        <stp>603166</stp>
        <stp>2018-12-31</stp>
        <stp>2019-12-30</stp>
        <stp>1</stp>
        <tr r="G1347" s="1"/>
      </tp>
      <tp>
        <v>-34.713796000000002</v>
        <stp/>
        <stp>EM_S_PQ_PCTCHANGE</stp>
        <stp>4</stp>
        <stp>603377</stp>
        <stp>2018-01-01</stp>
        <stp>2019-12-31</stp>
        <stp>3</stp>
        <tr r="F1083" s="1"/>
      </tp>
      <tp>
        <v>55.940594060000002</v>
        <stp/>
        <stp>EM_S_PQ_PCTCHANGE</stp>
        <stp>4</stp>
        <stp>002106</stp>
        <stp>2018-12-31</stp>
        <stp>2019-12-30</stp>
        <stp>1</stp>
        <tr r="G474" s="1"/>
      </tp>
      <tp>
        <v>4.0406214599999997</v>
        <stp/>
        <stp>EM_S_PQ_PCTCHANGE</stp>
        <stp>4</stp>
        <stp>002317</stp>
        <stp>2018-01-01</stp>
        <stp>2019-12-31</stp>
        <stp>3</stp>
        <tr r="F653" s="1"/>
      </tp>
      <tp>
        <v>8.6309523800000001</v>
        <stp/>
        <stp>EM_S_PQ_PCTCHANGE</stp>
        <stp>4</stp>
        <stp>601179</stp>
        <stp>2018-12-31</stp>
        <stp>2019-12-30</stp>
        <stp>1</stp>
        <tr r="G1813" s="1"/>
      </tp>
      <tp>
        <v>-33.162407180000002</v>
        <stp/>
        <stp>EM_S_PQ_PCTCHANGE</stp>
        <stp>4</stp>
        <stp>601368</stp>
        <stp>2018-01-01</stp>
        <stp>2019-12-31</stp>
        <stp>3</stp>
        <tr r="F2204" s="1"/>
      </tp>
      <tp>
        <v>70.629370629999997</v>
        <stp/>
        <stp>EM_S_PQ_PCTCHANGE</stp>
        <stp>4</stp>
        <stp>300129</stp>
        <stp>2018-12-31</stp>
        <stp>2019-12-30</stp>
        <stp>1</stp>
        <tr r="G310" s="1"/>
      </tp>
      <tp>
        <v>-50.575206620000003</v>
        <stp/>
        <stp>EM_S_PQ_PCTCHANGE</stp>
        <stp>4</stp>
        <stp>300338</stp>
        <stp>2018-01-01</stp>
        <stp>2019-12-31</stp>
        <stp>3</stp>
        <tr r="F520" s="1"/>
      </tp>
      <tp>
        <v>-30.676691730000002</v>
        <stp/>
        <stp>EM_S_PQ_PCTCHANGE</stp>
        <stp>4</stp>
        <stp>600179</stp>
        <stp>2018-12-31</stp>
        <stp>2019-12-30</stp>
        <stp>1</stp>
        <tr r="G3223" s="1"/>
      </tp>
      <tp>
        <v>22.236068809999999</v>
        <stp/>
        <stp>EM_S_PQ_PCTCHANGE</stp>
        <stp>4</stp>
        <stp>600368</stp>
        <stp>2018-01-01</stp>
        <stp>2019-12-31</stp>
        <stp>3</stp>
        <tr r="F637" s="1"/>
      </tp>
      <tp>
        <v>15.809051459999999</v>
        <stp/>
        <stp>EM_S_PQ_PCTCHANGE</stp>
        <stp>4</stp>
        <stp>603179</stp>
        <stp>2018-12-31</stp>
        <stp>2019-12-30</stp>
        <stp>1</stp>
        <tr r="G1445" s="1"/>
      </tp>
      <tp>
        <v>1.39717636</v>
        <stp/>
        <stp>EM_S_PQ_PCTCHANGE</stp>
        <stp>4</stp>
        <stp>603368</stp>
        <stp>2018-01-01</stp>
        <stp>2019-12-31</stp>
        <stp>3</stp>
        <tr r="F1009" s="1"/>
      </tp>
      <tp>
        <v>54.725787629999999</v>
        <stp/>
        <stp>EM_S_PQ_PCTCHANGE</stp>
        <stp>4</stp>
        <stp>002119</stp>
        <stp>2018-12-31</stp>
        <stp>2019-12-30</stp>
        <stp>1</stp>
        <tr r="G493" s="1"/>
      </tp>
      <tp>
        <v>-61.928910870000003</v>
        <stp/>
        <stp>EM_S_PQ_PCTCHANGE</stp>
        <stp>4</stp>
        <stp>002308</stp>
        <stp>2018-01-01</stp>
        <stp>2019-12-31</stp>
        <stp>3</stp>
        <tr r="F2098" s="1"/>
      </tp>
      <tp>
        <v>-7.6353594300000003</v>
        <stp/>
        <stp>EM_S_PQ_PCTCHANGE</stp>
        <stp>4</stp>
        <stp>601369</stp>
        <stp>2018-01-01</stp>
        <stp>2019-12-31</stp>
        <stp>3</stp>
        <tr r="F1777" s="1"/>
      </tp>
      <tp>
        <v>12.465373960000001</v>
        <stp/>
        <stp>EM_S_PQ_PCTCHANGE</stp>
        <stp>4</stp>
        <stp>300128</stp>
        <stp>2018-12-31</stp>
        <stp>2019-12-30</stp>
        <stp>1</stp>
        <tr r="G1612" s="1"/>
      </tp>
      <tp>
        <v>33.349200789999998</v>
        <stp/>
        <stp>EM_S_PQ_PCTCHANGE</stp>
        <stp>4</stp>
        <stp>300339</stp>
        <stp>2018-01-01</stp>
        <stp>2019-12-31</stp>
        <stp>3</stp>
        <tr r="F650" s="1"/>
      </tp>
      <tp>
        <v>13.57142857</v>
        <stp/>
        <stp>EM_S_PQ_PCTCHANGE</stp>
        <stp>4</stp>
        <stp>600178</stp>
        <stp>2018-12-31</stp>
        <stp>2019-12-30</stp>
        <stp>1</stp>
        <tr r="G1550" s="1"/>
      </tp>
      <tp>
        <v>14.383075959999999</v>
        <stp/>
        <stp>EM_S_PQ_PCTCHANGE</stp>
        <stp>4</stp>
        <stp>600369</stp>
        <stp>2018-01-01</stp>
        <stp>2019-12-31</stp>
        <stp>3</stp>
        <tr r="F559" s="1"/>
      </tp>
      <tp>
        <v>20.812182740000001</v>
        <stp/>
        <stp>EM_S_PQ_PCTCHANGE</stp>
        <stp>4</stp>
        <stp>603178</stp>
        <stp>2018-12-31</stp>
        <stp>2019-12-30</stp>
        <stp>1</stp>
        <tr r="G1243" s="1"/>
      </tp>
      <tp>
        <v>116.21609239</v>
        <stp/>
        <stp>EM_S_PQ_PCTCHANGE</stp>
        <stp>4</stp>
        <stp>603369</stp>
        <stp>2018-01-01</stp>
        <stp>2019-12-31</stp>
        <stp>3</stp>
        <tr r="F109" s="1"/>
      </tp>
      <tp>
        <v>38.990825690000001</v>
        <stp/>
        <stp>EM_S_PQ_PCTCHANGE</stp>
        <stp>4</stp>
        <stp>002118</stp>
        <stp>2018-12-31</stp>
        <stp>2019-12-30</stp>
        <stp>1</stp>
        <tr r="G754" s="1"/>
      </tp>
      <tp>
        <v>-58.068314979999997</v>
        <stp/>
        <stp>EM_S_PQ_PCTCHANGE</stp>
        <stp>4</stp>
        <stp>002309</stp>
        <stp>2018-01-01</stp>
        <stp>2019-12-31</stp>
        <stp>3</stp>
        <tr r="F3182" s="1"/>
      </tp>
      <tp>
        <v>128.65725936000001</v>
        <stp/>
        <stp>EM_S_PQ_PCTCHANGE</stp>
        <stp>4</stp>
        <stp>603369</stp>
        <stp>2019-01-01</stp>
        <stp>2019-12-31</stp>
        <stp>3</stp>
        <tr r="G109" s="1"/>
      </tp>
      <tp>
        <v>-48.731736580000003</v>
        <stp/>
        <stp>EM_S_PQ_PCTCHANGE</stp>
        <stp>4</stp>
        <stp>601360</stp>
        <stp>2018-01-01</stp>
        <stp>2019-12-31</stp>
        <stp>3</stp>
        <tr r="F1479" s="1"/>
      </tp>
      <tp>
        <v>-17.564402810000001</v>
        <stp/>
        <stp>EM_S_PQ_PCTCHANGE</stp>
        <stp>4</stp>
        <stp>300121</stp>
        <stp>2018-12-31</stp>
        <stp>2019-12-30</stp>
        <stp>1</stp>
        <tr r="G3007" s="1"/>
      </tp>
      <tp>
        <v>-9.0654205599999997</v>
        <stp/>
        <stp>EM_S_PQ_PCTCHANGE</stp>
        <stp>4</stp>
        <stp>300330</stp>
        <stp>2018-01-01</stp>
        <stp>2019-12-31</stp>
        <stp>3</stp>
        <tr r="F758" s="1"/>
      </tp>
      <tp>
        <v>72.376873660000001</v>
        <stp/>
        <stp>EM_S_PQ_PCTCHANGE</stp>
        <stp>4</stp>
        <stp>600171</stp>
        <stp>2018-12-31</stp>
        <stp>2019-12-30</stp>
        <stp>1</stp>
        <tr r="G298" s="1"/>
      </tp>
      <tp>
        <v>-6.3592603800000003</v>
        <stp/>
        <stp>EM_S_PQ_PCTCHANGE</stp>
        <stp>4</stp>
        <stp>600360</stp>
        <stp>2018-01-01</stp>
        <stp>2019-12-31</stp>
        <stp>3</stp>
        <tr r="F920" s="1"/>
      </tp>
      <tp>
        <v>134.58440859000001</v>
        <stp/>
        <stp>EM_S_PQ_PCTCHANGE</stp>
        <stp>4</stp>
        <stp>603360</stp>
        <stp>2018-01-01</stp>
        <stp>2019-12-31</stp>
        <stp>3</stp>
        <tr r="F51" s="1"/>
      </tp>
      <tp>
        <v>60.472279260000001</v>
        <stp/>
        <stp>EM_S_PQ_PCTCHANGE</stp>
        <stp>4</stp>
        <stp>002111</stp>
        <stp>2018-12-31</stp>
        <stp>2019-12-30</stp>
        <stp>1</stp>
        <tr r="G421" s="1"/>
      </tp>
      <tp>
        <v>-14.77767927</v>
        <stp/>
        <stp>EM_S_PQ_PCTCHANGE</stp>
        <stp>4</stp>
        <stp>002300</stp>
        <stp>2018-01-01</stp>
        <stp>2019-12-31</stp>
        <stp>3</stp>
        <tr r="F1241" s="1"/>
      </tp>
      <tp>
        <v>0.80493988999999999</v>
        <stp/>
        <stp>EM_S_PQ_PCTCHANGE</stp>
        <stp>4</stp>
        <stp>000301</stp>
        <stp>2018-01-01</stp>
        <stp>2019-12-31</stp>
        <stp>3</stp>
        <tr r="F2580" s="1"/>
      </tp>
      <tp>
        <v>4.6128500800000003</v>
        <stp/>
        <stp>EM_S_PQ_PCTCHANGE</stp>
        <stp>4</stp>
        <stp>300120</stp>
        <stp>2018-12-31</stp>
        <stp>2019-12-30</stp>
        <stp>1</stp>
        <tr r="G2024" s="1"/>
      </tp>
      <tp>
        <v>25.057859010000001</v>
        <stp/>
        <stp>EM_S_PQ_PCTCHANGE</stp>
        <stp>4</stp>
        <stp>300331</stp>
        <stp>2018-01-01</stp>
        <stp>2019-12-31</stp>
        <stp>3</stp>
        <tr r="F208" s="1"/>
      </tp>
      <tp>
        <v>16.501650170000001</v>
        <stp/>
        <stp>EM_S_PQ_PCTCHANGE</stp>
        <stp>4</stp>
        <stp>600170</stp>
        <stp>2018-12-31</stp>
        <stp>2019-12-30</stp>
        <stp>1</stp>
        <tr r="G1414" s="1"/>
      </tp>
      <tp>
        <v>-28.406834839999998</v>
        <stp/>
        <stp>EM_S_PQ_PCTCHANGE</stp>
        <stp>4</stp>
        <stp>600361</stp>
        <stp>2018-01-01</stp>
        <stp>2019-12-31</stp>
        <stp>3</stp>
        <tr r="F1719" s="1"/>
      </tp>
      <tp>
        <v>-28.381548080000002</v>
        <stp/>
        <stp>EM_S_PQ_PCTCHANGE</stp>
        <stp>4</stp>
        <stp>002110</stp>
        <stp>2018-12-31</stp>
        <stp>2019-12-30</stp>
        <stp>1</stp>
        <tr r="G3202" s="1"/>
      </tp>
      <tp>
        <v>8.9045121100000006</v>
        <stp/>
        <stp>EM_S_PQ_PCTCHANGE</stp>
        <stp>4</stp>
        <stp>002301</stp>
        <stp>2018-01-01</stp>
        <stp>2019-12-31</stp>
        <stp>3</stp>
        <tr r="F732" s="1"/>
      </tp>
      <tp>
        <v>-17.19605696</v>
        <stp/>
        <stp>EM_S_PQ_PCTCHANGE</stp>
        <stp>4</stp>
        <stp>300123</stp>
        <stp>2018-12-31</stp>
        <stp>2019-12-30</stp>
        <stp>1</stp>
        <tr r="G2994" s="1"/>
      </tp>
      <tp>
        <v>-37.579757540000003</v>
        <stp/>
        <stp>EM_S_PQ_PCTCHANGE</stp>
        <stp>4</stp>
        <stp>300332</stp>
        <stp>2018-01-01</stp>
        <stp>2019-12-31</stp>
        <stp>3</stp>
        <tr r="F1799" s="1"/>
      </tp>
      <tp>
        <v>37.400530500000002</v>
        <stp/>
        <stp>EM_S_PQ_PCTCHANGE</stp>
        <stp>4</stp>
        <stp>600173</stp>
        <stp>2018-12-31</stp>
        <stp>2019-12-30</stp>
        <stp>1</stp>
        <tr r="G786" s="1"/>
      </tp>
      <tp>
        <v>-13.84209173</v>
        <stp/>
        <stp>EM_S_PQ_PCTCHANGE</stp>
        <stp>4</stp>
        <stp>600362</stp>
        <stp>2018-01-01</stp>
        <stp>2019-12-31</stp>
        <stp>3</stp>
        <tr r="F900" s="1"/>
      </tp>
      <tp>
        <v>-46.933333330000004</v>
        <stp/>
        <stp>EM_S_PQ_PCTCHANGE</stp>
        <stp>4</stp>
        <stp>002113</stp>
        <stp>2018-12-31</stp>
        <stp>2019-12-30</stp>
        <stp>1</stp>
        <tr r="G3352" s="1"/>
      </tp>
      <tp>
        <v>-34.796766529999999</v>
        <stp/>
        <stp>EM_S_PQ_PCTCHANGE</stp>
        <stp>4</stp>
        <stp>002302</stp>
        <stp>2018-01-01</stp>
        <stp>2019-12-31</stp>
        <stp>3</stp>
        <tr r="F1075" s="1"/>
      </tp>
      <tp>
        <v>24.793601649999999</v>
        <stp/>
        <stp>EM_S_PQ_PCTCHANGE</stp>
        <stp>4</stp>
        <stp>300122</stp>
        <stp>2018-12-31</stp>
        <stp>2019-12-30</stp>
        <stp>1</stp>
        <tr r="G1101" s="1"/>
      </tp>
      <tp>
        <v>25.625359490000001</v>
        <stp/>
        <stp>EM_S_PQ_PCTCHANGE</stp>
        <stp>4</stp>
        <stp>300333</stp>
        <stp>2018-01-01</stp>
        <stp>2019-12-31</stp>
        <stp>3</stp>
        <tr r="F455" s="1"/>
      </tp>
      <tp>
        <v>-5.2459016399999996</v>
        <stp/>
        <stp>EM_S_PQ_PCTCHANGE</stp>
        <stp>4</stp>
        <stp>600172</stp>
        <stp>2018-12-31</stp>
        <stp>2019-12-30</stp>
        <stp>1</stp>
        <tr r="G2575" s="1"/>
      </tp>
      <tp>
        <v>22.854173729999999</v>
        <stp/>
        <stp>EM_S_PQ_PCTCHANGE</stp>
        <stp>4</stp>
        <stp>600363</stp>
        <stp>2018-01-01</stp>
        <stp>2019-12-31</stp>
        <stp>3</stp>
        <tr r="F202" s="1"/>
      </tp>
      <tp>
        <v>-3.84749381</v>
        <stp/>
        <stp>EM_S_PQ_PCTCHANGE</stp>
        <stp>4</stp>
        <stp>603363</stp>
        <stp>2018-01-01</stp>
        <stp>2019-12-31</stp>
        <stp>3</stp>
        <tr r="F230" s="1"/>
      </tp>
      <tp>
        <v>2.2556390999999998</v>
        <stp/>
        <stp>EM_S_PQ_PCTCHANGE</stp>
        <stp>4</stp>
        <stp>002112</stp>
        <stp>2018-12-31</stp>
        <stp>2019-12-30</stp>
        <stp>1</stp>
        <tr r="G2156" s="1"/>
      </tp>
      <tp>
        <v>-19.472099610000001</v>
        <stp/>
        <stp>EM_S_PQ_PCTCHANGE</stp>
        <stp>4</stp>
        <stp>002303</stp>
        <stp>2018-01-01</stp>
        <stp>2019-12-31</stp>
        <stp>3</stp>
        <tr r="F1611" s="1"/>
      </tp>
      <tp>
        <v>34.387351780000003</v>
        <stp/>
        <stp>EM_S_PQ_PCTCHANGE</stp>
        <stp>4</stp>
        <stp>300125</stp>
        <stp>2018-12-31</stp>
        <stp>2019-12-30</stp>
        <stp>1</stp>
        <tr r="G841" s="1"/>
      </tp>
      <tp>
        <v>-52.994428970000001</v>
        <stp/>
        <stp>EM_S_PQ_PCTCHANGE</stp>
        <stp>4</stp>
        <stp>300334</stp>
        <stp>2018-01-01</stp>
        <stp>2019-12-31</stp>
        <stp>3</stp>
        <tr r="F2828" s="1"/>
      </tp>
      <tp>
        <v>-16.81818182</v>
        <stp/>
        <stp>EM_S_PQ_PCTCHANGE</stp>
        <stp>4</stp>
        <stp>600175</stp>
        <stp>2018-12-31</stp>
        <stp>2019-12-30</stp>
        <stp>1</stp>
        <tr r="G2982" s="1"/>
      </tp>
      <tp>
        <v>-9.9290780099999996</v>
        <stp/>
        <stp>EM_S_PQ_PCTCHANGE</stp>
        <stp>4</stp>
        <stp>002115</stp>
        <stp>2018-12-31</stp>
        <stp>2019-12-30</stp>
        <stp>1</stp>
        <tr r="G2756" s="1"/>
      </tp>
      <tp>
        <v>0.49167759</v>
        <stp/>
        <stp>EM_S_PQ_PCTCHANGE</stp>
        <stp>4</stp>
        <stp>002304</stp>
        <stp>2018-01-01</stp>
        <stp>2019-12-31</stp>
        <stp>3</stp>
        <tr r="F1400" s="1"/>
      </tp>
      <tp>
        <v>53.17775571</v>
        <stp/>
        <stp>EM_S_PQ_PCTCHANGE</stp>
        <stp>4</stp>
        <stp>300124</stp>
        <stp>2018-12-31</stp>
        <stp>2019-12-30</stp>
        <stp>1</stp>
        <tr r="G514" s="1"/>
      </tp>
      <tp>
        <v>-65.305122569999995</v>
        <stp/>
        <stp>EM_S_PQ_PCTCHANGE</stp>
        <stp>4</stp>
        <stp>300335</stp>
        <stp>2018-01-01</stp>
        <stp>2019-12-31</stp>
        <stp>3</stp>
        <tr r="F2659" s="1"/>
      </tp>
      <tp>
        <v>-50</v>
        <stp/>
        <stp>EM_S_PQ_PCTCHANGE</stp>
        <stp>4</stp>
        <stp>600365</stp>
        <stp>2018-01-01</stp>
        <stp>2019-12-31</stp>
        <stp>3</stp>
        <tr r="F1502" s="1"/>
      </tp>
      <tp>
        <v>-29.85142561</v>
        <stp/>
        <stp>EM_S_PQ_PCTCHANGE</stp>
        <stp>4</stp>
        <stp>603365</stp>
        <stp>2018-01-01</stp>
        <stp>2019-12-31</stp>
        <stp>3</stp>
        <tr r="F2148" s="1"/>
      </tp>
      <tp>
        <v>-50.637247709999997</v>
        <stp/>
        <stp>EM_S_PQ_PCTCHANGE</stp>
        <stp>4</stp>
        <stp>002305</stp>
        <stp>2018-01-01</stp>
        <stp>2019-12-31</stp>
        <stp>3</stp>
        <tr r="F3140" s="1"/>
      </tp>
      <tp>
        <v>2.1158129200000002</v>
        <stp/>
        <stp>EM_S_PQ_PCTCHANGE</stp>
        <stp>4</stp>
        <stp>601177</stp>
        <stp>2018-12-31</stp>
        <stp>2019-12-30</stp>
        <stp>1</stp>
        <tr r="G2162" s="1"/>
      </tp>
      <tp>
        <v>-43.456458410000003</v>
        <stp/>
        <stp>EM_S_PQ_PCTCHANGE</stp>
        <stp>4</stp>
        <stp>601366</stp>
        <stp>2018-01-01</stp>
        <stp>2019-12-31</stp>
        <stp>3</stp>
        <tr r="F2886" s="1"/>
      </tp>
      <tp>
        <v>79.813953490000003</v>
        <stp/>
        <stp>EM_S_PQ_PCTCHANGE</stp>
        <stp>4</stp>
        <stp>300127</stp>
        <stp>2018-12-31</stp>
        <stp>2019-12-30</stp>
        <stp>1</stp>
        <tr r="G251" s="1"/>
      </tp>
      <tp>
        <v>-45.95287355</v>
        <stp/>
        <stp>EM_S_PQ_PCTCHANGE</stp>
        <stp>4</stp>
        <stp>300336</stp>
        <stp>2018-01-01</stp>
        <stp>2019-12-31</stp>
        <stp>3</stp>
        <tr r="F2614" s="1"/>
      </tp>
      <tp>
        <v>-3.1988873400000002</v>
        <stp/>
        <stp>EM_S_PQ_PCTCHANGE</stp>
        <stp>4</stp>
        <stp>600177</stp>
        <stp>2018-12-31</stp>
        <stp>2019-12-30</stp>
        <stp>1</stp>
        <tr r="G2487" s="1"/>
      </tp>
      <tp>
        <v>-29.29654991</v>
        <stp/>
        <stp>EM_S_PQ_PCTCHANGE</stp>
        <stp>4</stp>
        <stp>600366</stp>
        <stp>2018-01-01</stp>
        <stp>2019-12-31</stp>
        <stp>3</stp>
        <tr r="F846" s="1"/>
      </tp>
      <tp>
        <v>10.99020675</v>
        <stp/>
        <stp>EM_S_PQ_PCTCHANGE</stp>
        <stp>4</stp>
        <stp>603177</stp>
        <stp>2018-12-31</stp>
        <stp>2019-12-30</stp>
        <stp>1</stp>
        <tr r="G1680" s="1"/>
      </tp>
      <tp>
        <v>-2.9484387500000002</v>
        <stp/>
        <stp>EM_S_PQ_PCTCHANGE</stp>
        <stp>4</stp>
        <stp>603366</stp>
        <stp>2018-01-01</stp>
        <stp>2019-12-31</stp>
        <stp>3</stp>
        <tr r="F1104" s="1"/>
      </tp>
      <tp>
        <v>-10.9540636</v>
        <stp/>
        <stp>EM_S_PQ_PCTCHANGE</stp>
        <stp>4</stp>
        <stp>002117</stp>
        <stp>2018-12-31</stp>
        <stp>2019-12-30</stp>
        <stp>1</stp>
        <tr r="G2798" s="1"/>
      </tp>
      <tp>
        <v>-49.090909089999997</v>
        <stp/>
        <stp>EM_S_PQ_PCTCHANGE</stp>
        <stp>4</stp>
        <stp>002306</stp>
        <stp>2018-01-01</stp>
        <stp>2019-12-31</stp>
        <stp>3</stp>
        <tr r="F3111" s="1"/>
      </tp>
      <tp>
        <v>14.65863454</v>
        <stp/>
        <stp>EM_S_PQ_PCTCHANGE</stp>
        <stp>4</stp>
        <stp>300126</stp>
        <stp>2018-12-31</stp>
        <stp>2019-12-30</stp>
        <stp>1</stp>
        <tr r="G1497" s="1"/>
      </tp>
      <tp>
        <v>-61.047686040000002</v>
        <stp/>
        <stp>EM_S_PQ_PCTCHANGE</stp>
        <stp>4</stp>
        <stp>300337</stp>
        <stp>2018-01-01</stp>
        <stp>2019-12-31</stp>
        <stp>3</stp>
        <tr r="F2721" s="1"/>
      </tp>
      <tp>
        <v>12.71975181</v>
        <stp/>
        <stp>EM_S_PQ_PCTCHANGE</stp>
        <stp>4</stp>
        <stp>600176</stp>
        <stp>2018-12-31</stp>
        <stp>2019-12-30</stp>
        <stp>1</stp>
        <tr r="G1596" s="1"/>
      </tp>
      <tp>
        <v>-32.790891369999997</v>
        <stp/>
        <stp>EM_S_PQ_PCTCHANGE</stp>
        <stp>4</stp>
        <stp>600367</stp>
        <stp>2018-01-01</stp>
        <stp>2019-12-31</stp>
        <stp>3</stp>
        <tr r="F1964" s="1"/>
      </tp>
      <tp>
        <v>-14.615441799999999</v>
        <stp/>
        <stp>EM_S_PQ_PCTCHANGE</stp>
        <stp>4</stp>
        <stp>603367</stp>
        <stp>2018-01-01</stp>
        <stp>2019-12-31</stp>
        <stp>3</stp>
        <tr r="F1963" s="1"/>
      </tp>
      <tp>
        <v>13.72262774</v>
        <stp/>
        <stp>EM_S_PQ_PCTCHANGE</stp>
        <stp>4</stp>
        <stp>002116</stp>
        <stp>2018-12-31</stp>
        <stp>2019-12-30</stp>
        <stp>1</stp>
        <tr r="G1546" s="1"/>
      </tp>
      <tp>
        <v>-16.503399420000001</v>
        <stp/>
        <stp>EM_S_PQ_PCTCHANGE</stp>
        <stp>4</stp>
        <stp>002307</stp>
        <stp>2018-01-01</stp>
        <stp>2019-12-31</stp>
        <stp>3</stp>
        <tr r="F1740" s="1"/>
      </tp>
      <tp>
        <v>107.6050469</v>
        <stp/>
        <stp>EM_S_PQ_PCTCHANGE</stp>
        <stp>4</stp>
        <stp>000338</stp>
        <stp>2018-01-01</stp>
        <stp>2019-12-31</stp>
        <stp>3</stp>
        <tr r="F162" s="1"/>
      </tp>
      <tp>
        <v>86.284953400000006</v>
        <stp/>
        <stp>EM_S_PQ_PCTCHANGE</stp>
        <stp>4</stp>
        <stp>300119</stp>
        <stp>2018-12-31</stp>
        <stp>2019-12-30</stp>
        <stp>1</stp>
        <tr r="G217" s="1"/>
      </tp>
      <tp>
        <v>25.266545000000001</v>
        <stp/>
        <stp>EM_S_PQ_PCTCHANGE</stp>
        <stp>4</stp>
        <stp>300308</stp>
        <stp>2018-01-01</stp>
        <stp>2019-12-31</stp>
        <stp>3</stp>
        <tr r="F975" s="1"/>
      </tp>
      <tp>
        <v>11.74004193</v>
        <stp/>
        <stp>EM_S_PQ_PCTCHANGE</stp>
        <stp>4</stp>
        <stp>600149</stp>
        <stp>2018-12-31</stp>
        <stp>2019-12-30</stp>
        <stp>1</stp>
        <tr r="G1642" s="1"/>
      </tp>
      <tp>
        <v>-35.779816510000003</v>
        <stp/>
        <stp>EM_S_PQ_PCTCHANGE</stp>
        <stp>4</stp>
        <stp>600358</stp>
        <stp>2018-01-01</stp>
        <stp>2019-12-31</stp>
        <stp>3</stp>
        <tr r="F1391" s="1"/>
      </tp>
      <tp>
        <v>-16.896381009999999</v>
        <stp/>
        <stp>EM_S_PQ_PCTCHANGE</stp>
        <stp>4</stp>
        <stp>603358</stp>
        <stp>2018-01-01</stp>
        <stp>2019-12-31</stp>
        <stp>3</stp>
        <tr r="F844" s="1"/>
      </tp>
      <tp>
        <v>64.177040109999993</v>
        <stp/>
        <stp>EM_S_PQ_PCTCHANGE</stp>
        <stp>4</stp>
        <stp>002129</stp>
        <stp>2018-12-31</stp>
        <stp>2019-12-30</stp>
        <stp>1</stp>
        <tr r="G384" s="1"/>
      </tp>
      <tp>
        <v>-8.4391099000000001</v>
        <stp/>
        <stp>EM_S_PQ_PCTCHANGE</stp>
        <stp>4</stp>
        <stp>002338</stp>
        <stp>2018-01-01</stp>
        <stp>2019-12-31</stp>
        <stp>3</stp>
        <tr r="F1311" s="1"/>
      </tp>
      <tp>
        <v>146.04569420000001</v>
        <stp/>
        <stp>EM_S_PQ_PCTCHANGE</stp>
        <stp>4</stp>
        <stp>300118</stp>
        <stp>2018-12-31</stp>
        <stp>2019-12-30</stp>
        <stp>1</stp>
        <tr r="G91" s="1"/>
      </tp>
      <tp>
        <v>-60.327562319999998</v>
        <stp/>
        <stp>EM_S_PQ_PCTCHANGE</stp>
        <stp>4</stp>
        <stp>300309</stp>
        <stp>2018-01-01</stp>
        <stp>2019-12-31</stp>
        <stp>3</stp>
        <tr r="F3321" s="1"/>
      </tp>
      <tp>
        <v>-5.6697377700000002</v>
        <stp/>
        <stp>EM_S_PQ_PCTCHANGE</stp>
        <stp>4</stp>
        <stp>600148</stp>
        <stp>2018-12-31</stp>
        <stp>2019-12-30</stp>
        <stp>1</stp>
        <tr r="G2591" s="1"/>
      </tp>
      <tp>
        <v>-19.440353460000001</v>
        <stp/>
        <stp>EM_S_PQ_PCTCHANGE</stp>
        <stp>4</stp>
        <stp>600359</stp>
        <stp>2018-01-01</stp>
        <stp>2019-12-31</stp>
        <stp>3</stp>
        <tr r="F997" s="1"/>
      </tp>
      <tp>
        <v>-37.295390750000003</v>
        <stp/>
        <stp>EM_S_PQ_PCTCHANGE</stp>
        <stp>4</stp>
        <stp>603359</stp>
        <stp>2018-01-01</stp>
        <stp>2019-12-31</stp>
        <stp>3</stp>
        <tr r="F2716" s="1"/>
      </tp>
      <tp>
        <v>21.508379890000001</v>
        <stp/>
        <stp>EM_S_PQ_PCTCHANGE</stp>
        <stp>4</stp>
        <stp>002128</stp>
        <stp>2018-12-31</stp>
        <stp>2019-12-30</stp>
        <stp>1</stp>
        <tr r="G1209" s="1"/>
      </tp>
      <tp>
        <v>-6.33873789</v>
        <stp/>
        <stp>EM_S_PQ_PCTCHANGE</stp>
        <stp>4</stp>
        <stp>002339</stp>
        <stp>2018-01-01</stp>
        <stp>2019-12-31</stp>
        <stp>3</stp>
        <tr r="F1989" s="1"/>
      </tp>
      <tp>
        <v>16.915422889999999</v>
        <stp/>
        <stp>EM_S_PQ_PCTCHANGE</stp>
        <stp>4</stp>
        <stp>300111</stp>
        <stp>2018-12-31</stp>
        <stp>2019-12-30</stp>
        <stp>1</stp>
        <tr r="G1403" s="1"/>
      </tp>
      <tp>
        <v>-5.2554098900000001</v>
        <stp/>
        <stp>EM_S_PQ_PCTCHANGE</stp>
        <stp>4</stp>
        <stp>300300</stp>
        <stp>2018-01-01</stp>
        <stp>2019-12-31</stp>
        <stp>3</stp>
        <tr r="F2824" s="1"/>
      </tp>
      <tp>
        <v>9.7181729999999994E-2</v>
        <stp/>
        <stp>EM_S_PQ_PCTCHANGE</stp>
        <stp>4</stp>
        <stp>600141</stp>
        <stp>2018-12-31</stp>
        <stp>2019-12-30</stp>
        <stp>1</stp>
        <tr r="G2269" s="1"/>
      </tp>
      <tp>
        <v>-10.41678666</v>
        <stp/>
        <stp>EM_S_PQ_PCTCHANGE</stp>
        <stp>4</stp>
        <stp>600350</stp>
        <stp>2018-01-01</stp>
        <stp>2019-12-31</stp>
        <stp>3</stp>
        <tr r="F1896" s="1"/>
      </tp>
      <tp>
        <v>-12.072828879999999</v>
        <stp/>
        <stp>EM_S_PQ_PCTCHANGE</stp>
        <stp>4</stp>
        <stp>002330</stp>
        <stp>2018-01-01</stp>
        <stp>2019-12-31</stp>
        <stp>3</stp>
        <tr r="F253" s="1"/>
      </tp>
      <tp>
        <v>28.971962619999999</v>
        <stp/>
        <stp>EM_S_PQ_PCTCHANGE</stp>
        <stp>4</stp>
        <stp>300110</stp>
        <stp>2018-12-31</stp>
        <stp>2019-12-30</stp>
        <stp>1</stp>
        <tr r="G956" s="1"/>
      </tp>
      <tp>
        <v>-38.662316480000001</v>
        <stp/>
        <stp>EM_S_PQ_PCTCHANGE</stp>
        <stp>4</stp>
        <stp>300301</stp>
        <stp>2018-01-01</stp>
        <stp>2019-12-31</stp>
        <stp>3</stp>
        <tr r="F2067" s="1"/>
      </tp>
      <tp>
        <v>-16.927589430000001</v>
        <stp/>
        <stp>EM_S_PQ_PCTCHANGE</stp>
        <stp>4</stp>
        <stp>600351</stp>
        <stp>2018-01-01</stp>
        <stp>2019-12-31</stp>
        <stp>3</stp>
        <tr r="F2200" s="1"/>
      </tp>
      <tp>
        <v>9.1419141899999996</v>
        <stp/>
        <stp>EM_S_PQ_PCTCHANGE</stp>
        <stp>4</stp>
        <stp>002120</stp>
        <stp>2018-12-31</stp>
        <stp>2019-12-30</stp>
        <stp>1</stp>
        <tr r="G1786" s="1"/>
      </tp>
      <tp>
        <v>-3.5291652500000001</v>
        <stp/>
        <stp>EM_S_PQ_PCTCHANGE</stp>
        <stp>4</stp>
        <stp>002331</stp>
        <stp>2018-01-01</stp>
        <stp>2019-12-31</stp>
        <stp>3</stp>
        <tr r="F1715" s="1"/>
      </tp>
      <tp>
        <v>101.3375295</v>
        <stp/>
        <stp>EM_S_PQ_PCTCHANGE</stp>
        <stp>4</stp>
        <stp>300113</stp>
        <stp>2018-12-31</stp>
        <stp>2019-12-30</stp>
        <stp>1</stp>
        <tr r="G165" s="1"/>
      </tp>
      <tp>
        <v>6.2263201800000001</v>
        <stp/>
        <stp>EM_S_PQ_PCTCHANGE</stp>
        <stp>4</stp>
        <stp>300302</stp>
        <stp>2018-01-01</stp>
        <stp>2019-12-31</stp>
        <stp>3</stp>
        <tr r="F343" s="1"/>
      </tp>
      <tp>
        <v>46.868686869999998</v>
        <stp/>
        <stp>EM_S_PQ_PCTCHANGE</stp>
        <stp>4</stp>
        <stp>600143</stp>
        <stp>2018-12-31</stp>
        <stp>2019-12-30</stp>
        <stp>1</stp>
        <tr r="G610" s="1"/>
      </tp>
      <tp>
        <v>27.876956150000002</v>
        <stp/>
        <stp>EM_S_PQ_PCTCHANGE</stp>
        <stp>4</stp>
        <stp>600352</stp>
        <stp>2018-01-01</stp>
        <stp>2019-12-31</stp>
        <stp>3</stp>
        <tr r="F572" s="1"/>
      </tp>
      <tp>
        <v>154.55820477</v>
        <stp/>
        <stp>EM_S_PQ_PCTCHANGE</stp>
        <stp>4</stp>
        <stp>002123</stp>
        <stp>2018-12-31</stp>
        <stp>2019-12-30</stp>
        <stp>1</stp>
        <tr r="G78" s="1"/>
      </tp>
      <tp>
        <v>22.6773019</v>
        <stp/>
        <stp>EM_S_PQ_PCTCHANGE</stp>
        <stp>4</stp>
        <stp>002332</stp>
        <stp>2018-01-01</stp>
        <stp>2019-12-31</stp>
        <stp>3</stp>
        <tr r="F458" s="1"/>
      </tp>
      <tp>
        <v>133.6882239</v>
        <stp/>
        <stp>EM_S_PQ_PCTCHANGE</stp>
        <stp>4</stp>
        <stp>300303</stp>
        <stp>2019-01-01</stp>
        <stp>2019-12-31</stp>
        <stp>3</stp>
        <tr r="G104" s="1"/>
      </tp>
      <tp>
        <v>10.360319580000001</v>
        <stp/>
        <stp>EM_S_PQ_PCTCHANGE</stp>
        <stp>4</stp>
        <stp>000333</stp>
        <stp>2018-01-01</stp>
        <stp>2019-12-31</stp>
        <stp>3</stp>
        <tr r="F444" s="1"/>
      </tp>
      <tp>
        <v>49.035369770000003</v>
        <stp/>
        <stp>EM_S_PQ_PCTCHANGE</stp>
        <stp>4</stp>
        <stp>300112</stp>
        <stp>2018-12-31</stp>
        <stp>2019-12-30</stp>
        <stp>1</stp>
        <tr r="G580" s="1"/>
      </tp>
      <tp>
        <v>59.483372340000003</v>
        <stp/>
        <stp>EM_S_PQ_PCTCHANGE</stp>
        <stp>4</stp>
        <stp>300303</stp>
        <stp>2018-01-01</stp>
        <stp>2019-12-31</stp>
        <stp>3</stp>
        <tr r="F104" s="1"/>
      </tp>
      <tp>
        <v>-6.6673232899999997</v>
        <stp/>
        <stp>EM_S_PQ_PCTCHANGE</stp>
        <stp>4</stp>
        <stp>600353</stp>
        <stp>2018-01-01</stp>
        <stp>2019-12-31</stp>
        <stp>3</stp>
        <tr r="F716" s="1"/>
      </tp>
      <tp>
        <v>-67.020655680000004</v>
        <stp/>
        <stp>EM_S_PQ_PCTCHANGE</stp>
        <stp>4</stp>
        <stp>002333</stp>
        <stp>2018-01-01</stp>
        <stp>2019-12-31</stp>
        <stp>3</stp>
        <tr r="F3105" s="1"/>
      </tp>
      <tp>
        <v>119.53601954</v>
        <stp/>
        <stp>EM_S_PQ_PCTCHANGE</stp>
        <stp>4</stp>
        <stp>300115</stp>
        <stp>2018-12-31</stp>
        <stp>2019-12-30</stp>
        <stp>1</stp>
        <tr r="G125" s="1"/>
      </tp>
      <tp>
        <v>-39.218676969999997</v>
        <stp/>
        <stp>EM_S_PQ_PCTCHANGE</stp>
        <stp>4</stp>
        <stp>300304</stp>
        <stp>2018-01-01</stp>
        <stp>2019-12-31</stp>
        <stp>3</stp>
        <tr r="F949" s="1"/>
      </tp>
      <tp>
        <v>0</v>
        <stp/>
        <stp>EM_S_PQ_PCTCHANGE</stp>
        <stp>4</stp>
        <stp>600145</stp>
        <stp>2018-12-31</stp>
        <stp>2019-12-30</stp>
        <stp>1</stp>
        <tr r="G2293" s="1"/>
      </tp>
      <tp>
        <v>-29.195088680000001</v>
        <stp/>
        <stp>EM_S_PQ_PCTCHANGE</stp>
        <stp>4</stp>
        <stp>600354</stp>
        <stp>2018-01-01</stp>
        <stp>2019-12-31</stp>
        <stp>3</stp>
        <tr r="F804" s="1"/>
      </tp>
      <tp>
        <v>-23.388305849999998</v>
        <stp/>
        <stp>EM_S_PQ_PCTCHANGE</stp>
        <stp>4</stp>
        <stp>002125</stp>
        <stp>2018-12-31</stp>
        <stp>2019-12-30</stp>
        <stp>1</stp>
        <tr r="G3120" s="1"/>
      </tp>
      <tp>
        <v>-47.639624990000002</v>
        <stp/>
        <stp>EM_S_PQ_PCTCHANGE</stp>
        <stp>4</stp>
        <stp>002334</stp>
        <stp>2018-01-01</stp>
        <stp>2019-12-31</stp>
        <stp>3</stp>
        <tr r="F2234" s="1"/>
      </tp>
      <tp>
        <v>59.129213479999997</v>
        <stp/>
        <stp>EM_S_PQ_PCTCHANGE</stp>
        <stp>4</stp>
        <stp>300114</stp>
        <stp>2018-12-31</stp>
        <stp>2019-12-30</stp>
        <stp>1</stp>
        <tr r="G433" s="1"/>
      </tp>
      <tp>
        <v>11.76963091</v>
        <stp/>
        <stp>EM_S_PQ_PCTCHANGE</stp>
        <stp>4</stp>
        <stp>300305</stp>
        <stp>2018-01-01</stp>
        <stp>2019-12-31</stp>
        <stp>3</stp>
        <tr r="F1934" s="1"/>
      </tp>
      <tp>
        <v>-60.394889659999997</v>
        <stp/>
        <stp>EM_S_PQ_PCTCHANGE</stp>
        <stp>4</stp>
        <stp>600355</stp>
        <stp>2018-01-01</stp>
        <stp>2019-12-31</stp>
        <stp>3</stp>
        <tr r="F2366" s="1"/>
      </tp>
      <tp>
        <v>-47.377518340000002</v>
        <stp/>
        <stp>EM_S_PQ_PCTCHANGE</stp>
        <stp>4</stp>
        <stp>603355</stp>
        <stp>2018-01-01</stp>
        <stp>2019-12-31</stp>
        <stp>3</stp>
        <tr r="F1769" s="1"/>
      </tp>
      <tp>
        <v>-41.658969249999998</v>
        <stp/>
        <stp>EM_S_PQ_PCTCHANGE</stp>
        <stp>4</stp>
        <stp>002335</stp>
        <stp>2018-01-01</stp>
        <stp>2019-12-31</stp>
        <stp>3</stp>
        <tr r="F1827" s="1"/>
      </tp>
      <tp>
        <v>-10.33653846</v>
        <stp/>
        <stp>EM_S_PQ_PCTCHANGE</stp>
        <stp>4</stp>
        <stp>300117</stp>
        <stp>2018-12-31</stp>
        <stp>2019-12-30</stp>
        <stp>1</stp>
        <tr r="G2769" s="1"/>
      </tp>
      <tp>
        <v>-24.567943700000001</v>
        <stp/>
        <stp>EM_S_PQ_PCTCHANGE</stp>
        <stp>4</stp>
        <stp>300306</stp>
        <stp>2018-01-01</stp>
        <stp>2019-12-31</stp>
        <stp>3</stp>
        <tr r="F300" s="1"/>
      </tp>
      <tp>
        <v>-4.1500155999999997</v>
        <stp/>
        <stp>EM_S_PQ_PCTCHANGE</stp>
        <stp>4</stp>
        <stp>600356</stp>
        <stp>2018-01-01</stp>
        <stp>2019-12-31</stp>
        <stp>3</stp>
        <tr r="F712" s="1"/>
      </tp>
      <tp>
        <v>28.10609079</v>
        <stp/>
        <stp>EM_S_PQ_PCTCHANGE</stp>
        <stp>4</stp>
        <stp>603356</stp>
        <stp>2018-01-01</stp>
        <stp>2019-12-31</stp>
        <stp>3</stp>
        <tr r="F3040" s="1"/>
      </tp>
      <tp>
        <v>45.079787230000001</v>
        <stp/>
        <stp>EM_S_PQ_PCTCHANGE</stp>
        <stp>4</stp>
        <stp>002127</stp>
        <stp>2018-12-31</stp>
        <stp>2019-12-30</stp>
        <stp>1</stp>
        <tr r="G645" s="1"/>
      </tp>
      <tp>
        <v>-47.221983899999998</v>
        <stp/>
        <stp>EM_S_PQ_PCTCHANGE</stp>
        <stp>4</stp>
        <stp>002336</stp>
        <stp>2018-01-01</stp>
        <stp>2019-12-31</stp>
        <stp>3</stp>
        <tr r="F2961" s="1"/>
      </tp>
      <tp>
        <v>30.882352940000001</v>
        <stp/>
        <stp>EM_S_PQ_PCTCHANGE</stp>
        <stp>4</stp>
        <stp>300116</stp>
        <stp>2018-12-31</stp>
        <stp>2019-12-30</stp>
        <stp>1</stp>
        <tr r="G911" s="1"/>
      </tp>
      <tp>
        <v>-44.875970590000001</v>
        <stp/>
        <stp>EM_S_PQ_PCTCHANGE</stp>
        <stp>4</stp>
        <stp>300307</stp>
        <stp>2018-01-01</stp>
        <stp>2019-12-31</stp>
        <stp>3</stp>
        <tr r="F2197" s="1"/>
      </tp>
      <tp>
        <v>93.009118540000003</v>
        <stp/>
        <stp>EM_S_PQ_PCTCHANGE</stp>
        <stp>4</stp>
        <stp>600146</stp>
        <stp>2018-12-31</stp>
        <stp>2019-12-30</stp>
        <stp>1</stp>
        <tr r="G192" s="1"/>
      </tp>
      <tp>
        <v>0</v>
        <stp/>
        <stp>EM_S_PQ_PCTCHANGE</stp>
        <stp>4</stp>
        <stp>600357</stp>
        <stp>2018-01-01</stp>
        <stp>2019-12-31</stp>
        <stp>3</stp>
        <tr r="F2301" s="1"/>
      </tp>
      <tp>
        <v>-30.40419984</v>
        <stp/>
        <stp>EM_S_PQ_PCTCHANGE</stp>
        <stp>4</stp>
        <stp>603357</stp>
        <stp>2018-01-01</stp>
        <stp>2019-12-31</stp>
        <stp>3</stp>
        <tr r="F3354" s="1"/>
      </tp>
      <tp>
        <v>8.3333333300000003</v>
        <stp/>
        <stp>EM_S_PQ_PCTCHANGE</stp>
        <stp>4</stp>
        <stp>002126</stp>
        <stp>2018-12-31</stp>
        <stp>2019-12-30</stp>
        <stp>1</stp>
        <tr r="G1836" s="1"/>
      </tp>
      <tp>
        <v>-32.524748369999998</v>
        <stp/>
        <stp>EM_S_PQ_PCTCHANGE</stp>
        <stp>4</stp>
        <stp>002337</stp>
        <stp>2018-01-01</stp>
        <stp>2019-12-31</stp>
        <stp>3</stp>
        <tr r="F2558" s="1"/>
      </tp>
      <tp>
        <v>18.036363640000001</v>
        <stp/>
        <stp>EM_S_PQ_PCTCHANGE</stp>
        <stp>4</stp>
        <stp>300109</stp>
        <stp>2018-12-31</stp>
        <stp>2019-12-30</stp>
        <stp>1</stp>
        <tr r="G1364" s="1"/>
      </tp>
      <tp>
        <v>-24.088287099999999</v>
        <stp/>
        <stp>EM_S_PQ_PCTCHANGE</stp>
        <stp>4</stp>
        <stp>300318</stp>
        <stp>2018-01-01</stp>
        <stp>2019-12-31</stp>
        <stp>3</stp>
        <tr r="F2155" s="1"/>
      </tp>
      <tp>
        <v>5.80912863</v>
        <stp/>
        <stp>EM_S_PQ_PCTCHANGE</stp>
        <stp>4</stp>
        <stp>600159</stp>
        <stp>2018-12-31</stp>
        <stp>2019-12-30</stp>
        <stp>1</stp>
        <tr r="G1961" s="1"/>
      </tp>
      <tp>
        <v>-18.856423289999999</v>
        <stp/>
        <stp>EM_S_PQ_PCTCHANGE</stp>
        <stp>4</stp>
        <stp>600348</stp>
        <stp>2018-01-01</stp>
        <stp>2019-12-31</stp>
        <stp>3</stp>
        <tr r="F1741" s="1"/>
      </tp>
      <tp>
        <v>-35.420191770000002</v>
        <stp/>
        <stp>EM_S_PQ_PCTCHANGE</stp>
        <stp>4</stp>
        <stp>603159</stp>
        <stp>2018-12-31</stp>
        <stp>2019-12-30</stp>
        <stp>1</stp>
        <tr r="G3276" s="1"/>
      </tp>
      <tp>
        <v>61.907726930000003</v>
        <stp/>
        <stp>EM_S_PQ_PCTCHANGE</stp>
        <stp>4</stp>
        <stp>603348</stp>
        <stp>2018-01-01</stp>
        <stp>2019-12-31</stp>
        <stp>3</stp>
        <tr r="F2404" s="1"/>
      </tp>
      <tp>
        <v>43.1122449</v>
        <stp/>
        <stp>EM_S_PQ_PCTCHANGE</stp>
        <stp>4</stp>
        <stp>002139</stp>
        <stp>2018-12-31</stp>
        <stp>2019-12-30</stp>
        <stp>1</stp>
        <tr r="G684" s="1"/>
      </tp>
      <tp>
        <v>0.40086734000000002</v>
        <stp/>
        <stp>EM_S_PQ_PCTCHANGE</stp>
        <stp>4</stp>
        <stp>002328</stp>
        <stp>2018-01-01</stp>
        <stp>2019-12-31</stp>
        <stp>3</stp>
        <tr r="F3199" s="1"/>
      </tp>
      <tp>
        <v>0</v>
        <stp/>
        <stp>EM_S_PQ_PCTCHANGE</stp>
        <stp>4</stp>
        <stp>601158</stp>
        <stp>2018-12-31</stp>
        <stp>2019-12-30</stp>
        <stp>1</stp>
        <tr r="G2337" s="1"/>
      </tp>
      <tp>
        <v>-24.8</v>
        <stp/>
        <stp>EM_S_PQ_PCTCHANGE</stp>
        <stp>4</stp>
        <stp>300108</stp>
        <stp>2018-12-31</stp>
        <stp>2019-12-30</stp>
        <stp>1</stp>
        <tr r="G3150" s="1"/>
      </tp>
      <tp>
        <v>91.666666669999998</v>
        <stp/>
        <stp>EM_S_PQ_PCTCHANGE</stp>
        <stp>4</stp>
        <stp>300319</stp>
        <stp>2018-01-01</stp>
        <stp>2019-12-31</stp>
        <stp>3</stp>
        <tr r="F128" s="1"/>
      </tp>
      <tp>
        <v>11.698537679999999</v>
        <stp/>
        <stp>EM_S_PQ_PCTCHANGE</stp>
        <stp>4</stp>
        <stp>600158</stp>
        <stp>2018-12-31</stp>
        <stp>2019-12-30</stp>
        <stp>1</stp>
        <tr r="G1644" s="1"/>
      </tp>
      <tp>
        <v>0</v>
        <stp/>
        <stp>EM_S_PQ_PCTCHANGE</stp>
        <stp>4</stp>
        <stp>600349</stp>
        <stp>2018-01-01</stp>
        <stp>2019-12-31</stp>
        <stp>3</stp>
        <tr r="F12" s="1"/>
      </tp>
      <tp>
        <v>-6.9028711100000004</v>
        <stp/>
        <stp>EM_S_PQ_PCTCHANGE</stp>
        <stp>4</stp>
        <stp>603158</stp>
        <stp>2018-12-31</stp>
        <stp>2019-12-30</stp>
        <stp>1</stp>
        <tr r="G2653" s="1"/>
      </tp>
      <tp>
        <v>69.075144510000001</v>
        <stp/>
        <stp>EM_S_PQ_PCTCHANGE</stp>
        <stp>4</stp>
        <stp>002138</stp>
        <stp>2018-12-31</stp>
        <stp>2019-12-30</stp>
        <stp>1</stp>
        <tr r="G329" s="1"/>
      </tp>
      <tp>
        <v>-32.394397079999997</v>
        <stp/>
        <stp>EM_S_PQ_PCTCHANGE</stp>
        <stp>4</stp>
        <stp>002329</stp>
        <stp>2018-01-01</stp>
        <stp>2019-12-31</stp>
        <stp>3</stp>
        <tr r="F907" s="1"/>
      </tp>
      <tp>
        <v>-5.9595959599999997</v>
        <stp/>
        <stp>EM_S_PQ_PCTCHANGE</stp>
        <stp>4</stp>
        <stp>300101</stp>
        <stp>2018-12-31</stp>
        <stp>2019-12-30</stp>
        <stp>1</stp>
        <tr r="G2605" s="1"/>
      </tp>
      <tp>
        <v>-55.806273640000001</v>
        <stp/>
        <stp>EM_S_PQ_PCTCHANGE</stp>
        <stp>4</stp>
        <stp>300310</stp>
        <stp>2018-01-01</stp>
        <stp>2019-12-31</stp>
        <stp>3</stp>
        <tr r="F2231" s="1"/>
      </tp>
      <tp>
        <v>20.2020202</v>
        <stp/>
        <stp>EM_S_PQ_PCTCHANGE</stp>
        <stp>4</stp>
        <stp>600151</stp>
        <stp>2018-12-31</stp>
        <stp>2019-12-30</stp>
        <stp>1</stp>
        <tr r="G1268" s="1"/>
      </tp>
      <tp>
        <v>-1.94791241</v>
        <stp/>
        <stp>EM_S_PQ_PCTCHANGE</stp>
        <stp>4</stp>
        <stp>600340</stp>
        <stp>2018-01-01</stp>
        <stp>2019-12-31</stp>
        <stp>3</stp>
        <tr r="F1641" s="1"/>
      </tp>
      <tp>
        <v>95.918367349999997</v>
        <stp/>
        <stp>EM_S_PQ_PCTCHANGE</stp>
        <stp>4</stp>
        <stp>002131</stp>
        <stp>2018-12-31</stp>
        <stp>2019-12-30</stp>
        <stp>1</stp>
        <tr r="G178" s="1"/>
      </tp>
      <tp>
        <v>17.246365040000001</v>
        <stp/>
        <stp>EM_S_PQ_PCTCHANGE</stp>
        <stp>4</stp>
        <stp>002320</stp>
        <stp>2018-01-01</stp>
        <stp>2019-12-31</stp>
        <stp>3</stp>
        <tr r="F2750" s="1"/>
      </tp>
      <tp>
        <v>-41.511285569999998</v>
        <stp/>
        <stp>EM_S_PQ_PCTCHANGE</stp>
        <stp>4</stp>
        <stp>300100</stp>
        <stp>2018-12-31</stp>
        <stp>2019-12-30</stp>
        <stp>1</stp>
        <tr r="G3326" s="1"/>
      </tp>
      <tp>
        <v>3.8452122399999999</v>
        <stp/>
        <stp>EM_S_PQ_PCTCHANGE</stp>
        <stp>4</stp>
        <stp>300311</stp>
        <stp>2018-01-01</stp>
        <stp>2019-12-31</stp>
        <stp>3</stp>
        <tr r="F362" s="1"/>
      </tp>
      <tp>
        <v>62.909367860000003</v>
        <stp/>
        <stp>EM_S_PQ_PCTCHANGE</stp>
        <stp>4</stp>
        <stp>600150</stp>
        <stp>2018-12-31</stp>
        <stp>2019-12-30</stp>
        <stp>1</stp>
        <tr r="G395" s="1"/>
      </tp>
      <tp>
        <v>53.086419749999997</v>
        <stp/>
        <stp>EM_S_PQ_PCTCHANGE</stp>
        <stp>4</stp>
        <stp>002130</stp>
        <stp>2018-12-31</stp>
        <stp>2019-12-30</stp>
        <stp>1</stp>
        <tr r="G517" s="1"/>
      </tp>
      <tp>
        <v>-54.508244079999997</v>
        <stp/>
        <stp>EM_S_PQ_PCTCHANGE</stp>
        <stp>4</stp>
        <stp>002321</stp>
        <stp>2018-01-01</stp>
        <stp>2019-12-31</stp>
        <stp>3</stp>
        <tr r="F1897" s="1"/>
      </tp>
      <tp>
        <v>24.500665779999999</v>
        <stp/>
        <stp>EM_S_PQ_PCTCHANGE</stp>
        <stp>4</stp>
        <stp>300103</stp>
        <stp>2018-12-31</stp>
        <stp>2019-12-30</stp>
        <stp>1</stp>
        <tr r="G1115" s="1"/>
      </tp>
      <tp>
        <v>-58.094555870000001</v>
        <stp/>
        <stp>EM_S_PQ_PCTCHANGE</stp>
        <stp>4</stp>
        <stp>300312</stp>
        <stp>2018-01-01</stp>
        <stp>2019-12-31</stp>
        <stp>3</stp>
        <tr r="F3298" s="1"/>
      </tp>
      <tp>
        <v>24.822695039999999</v>
        <stp/>
        <stp>EM_S_PQ_PCTCHANGE</stp>
        <stp>4</stp>
        <stp>600153</stp>
        <stp>2018-12-31</stp>
        <stp>2019-12-30</stp>
        <stp>1</stp>
        <tr r="G1100" s="1"/>
      </tp>
      <tp>
        <v>-4.6376811599999996</v>
        <stp/>
        <stp>EM_S_PQ_PCTCHANGE</stp>
        <stp>4</stp>
        <stp>002133</stp>
        <stp>2018-12-31</stp>
        <stp>2019-12-30</stp>
        <stp>1</stp>
        <tr r="G2546" s="1"/>
      </tp>
      <tp>
        <v>-31.478999999999999</v>
        <stp/>
        <stp>EM_S_PQ_PCTCHANGE</stp>
        <stp>4</stp>
        <stp>002322</stp>
        <stp>2018-01-01</stp>
        <stp>2019-12-31</stp>
        <stp>3</stp>
        <tr r="F932" s="1"/>
      </tp>
      <tp>
        <v>-17.495711839999998</v>
        <stp/>
        <stp>EM_S_PQ_PCTCHANGE</stp>
        <stp>4</stp>
        <stp>300102</stp>
        <stp>2018-12-31</stp>
        <stp>2019-12-30</stp>
        <stp>1</stp>
        <tr r="G3006" s="1"/>
      </tp>
      <tp>
        <v>-54.89220564</v>
        <stp/>
        <stp>EM_S_PQ_PCTCHANGE</stp>
        <stp>4</stp>
        <stp>300313</stp>
        <stp>2018-01-01</stp>
        <stp>2019-12-31</stp>
        <stp>3</stp>
        <tr r="F2939" s="1"/>
      </tp>
      <tp>
        <v>17.708333329999999</v>
        <stp/>
        <stp>EM_S_PQ_PCTCHANGE</stp>
        <stp>4</stp>
        <stp>600152</stp>
        <stp>2018-12-31</stp>
        <stp>2019-12-30</stp>
        <stp>1</stp>
        <tr r="G1376" s="1"/>
      </tp>
      <tp>
        <v>-28.911208200000001</v>
        <stp/>
        <stp>EM_S_PQ_PCTCHANGE</stp>
        <stp>4</stp>
        <stp>600343</stp>
        <stp>2018-01-01</stp>
        <stp>2019-12-31</stp>
        <stp>3</stp>
        <tr r="F1225" s="1"/>
      </tp>
      <tp>
        <v>15.44117647</v>
        <stp/>
        <stp>EM_S_PQ_PCTCHANGE</stp>
        <stp>4</stp>
        <stp>002132</stp>
        <stp>2018-12-31</stp>
        <stp>2019-12-30</stp>
        <stp>1</stp>
        <tr r="G1461" s="1"/>
      </tp>
      <tp>
        <v>-53.812316719999998</v>
        <stp/>
        <stp>EM_S_PQ_PCTCHANGE</stp>
        <stp>4</stp>
        <stp>002323</stp>
        <stp>2018-01-01</stp>
        <stp>2019-12-31</stp>
        <stp>3</stp>
        <tr r="F80" s="1"/>
      </tp>
      <tp>
        <v>62.769100889999997</v>
        <stp/>
        <stp>EM_S_PQ_PCTCHANGE</stp>
        <stp>4</stp>
        <stp>601155</stp>
        <stp>2018-12-31</stp>
        <stp>2019-12-30</stp>
        <stp>1</stp>
        <tr r="G397" s="1"/>
      </tp>
      <tp>
        <v>16.31016043</v>
        <stp/>
        <stp>EM_S_PQ_PCTCHANGE</stp>
        <stp>4</stp>
        <stp>300105</stp>
        <stp>2018-12-31</stp>
        <stp>2019-12-30</stp>
        <stp>1</stp>
        <tr r="G1424" s="1"/>
      </tp>
      <tp>
        <v>-28.38259803</v>
        <stp/>
        <stp>EM_S_PQ_PCTCHANGE</stp>
        <stp>4</stp>
        <stp>300314</stp>
        <stp>2018-01-01</stp>
        <stp>2019-12-31</stp>
        <stp>3</stp>
        <tr r="F1678" s="1"/>
      </tp>
      <tp>
        <v>82.602921649999999</v>
        <stp/>
        <stp>EM_S_PQ_PCTCHANGE</stp>
        <stp>4</stp>
        <stp>600155</stp>
        <stp>2018-12-31</stp>
        <stp>2019-12-30</stp>
        <stp>1</stp>
        <tr r="G234" s="1"/>
      </tp>
      <tp>
        <v>9.6774193499999992</v>
        <stp/>
        <stp>EM_S_PQ_PCTCHANGE</stp>
        <stp>4</stp>
        <stp>002135</stp>
        <stp>2018-12-31</stp>
        <stp>2019-12-30</stp>
        <stp>1</stp>
        <tr r="G1756" s="1"/>
      </tp>
      <tp>
        <v>12.518314950000001</v>
        <stp/>
        <stp>EM_S_PQ_PCTCHANGE</stp>
        <stp>4</stp>
        <stp>002324</stp>
        <stp>2018-01-01</stp>
        <stp>2019-12-31</stp>
        <stp>3</stp>
        <tr r="F820" s="1"/>
      </tp>
      <tp>
        <v>-32.128514060000001</v>
        <stp/>
        <stp>EM_S_PQ_PCTCHANGE</stp>
        <stp>4</stp>
        <stp>300104</stp>
        <stp>2018-12-31</stp>
        <stp>2019-12-30</stp>
        <stp>1</stp>
        <tr r="G3241" s="1"/>
      </tp>
      <tp>
        <v>11.26021029</v>
        <stp/>
        <stp>EM_S_PQ_PCTCHANGE</stp>
        <stp>4</stp>
        <stp>300315</stp>
        <stp>2018-01-01</stp>
        <stp>2019-12-31</stp>
        <stp>3</stp>
        <tr r="F254" s="1"/>
      </tp>
      <tp>
        <v>-16.85468998</v>
        <stp/>
        <stp>EM_S_PQ_PCTCHANGE</stp>
        <stp>4</stp>
        <stp>600345</stp>
        <stp>2018-01-01</stp>
        <stp>2019-12-31</stp>
        <stp>3</stp>
        <tr r="F2249" s="1"/>
      </tp>
      <tp>
        <v>148.54172306999999</v>
        <stp/>
        <stp>EM_S_PQ_PCTCHANGE</stp>
        <stp>4</stp>
        <stp>603345</stp>
        <stp>2018-01-01</stp>
        <stp>2019-12-31</stp>
        <stp>3</stp>
        <tr r="F351" s="1"/>
      </tp>
      <tp>
        <v>60.169491530000002</v>
        <stp/>
        <stp>EM_S_PQ_PCTCHANGE</stp>
        <stp>4</stp>
        <stp>002134</stp>
        <stp>2018-12-31</stp>
        <stp>2019-12-30</stp>
        <stp>1</stp>
        <tr r="G424" s="1"/>
      </tp>
      <tp>
        <v>-32.103726899999998</v>
        <stp/>
        <stp>EM_S_PQ_PCTCHANGE</stp>
        <stp>4</stp>
        <stp>002325</stp>
        <stp>2018-01-01</stp>
        <stp>2019-12-31</stp>
        <stp>3</stp>
        <tr r="F1760" s="1"/>
      </tp>
      <tp>
        <v>-25.238600210000001</v>
        <stp/>
        <stp>EM_S_PQ_PCTCHANGE</stp>
        <stp>4</stp>
        <stp>300107</stp>
        <stp>2018-12-31</stp>
        <stp>2019-12-30</stp>
        <stp>1</stp>
        <tr r="G3155" s="1"/>
      </tp>
      <tp>
        <v>-1.0993642400000001</v>
        <stp/>
        <stp>EM_S_PQ_PCTCHANGE</stp>
        <stp>4</stp>
        <stp>300316</stp>
        <stp>2018-01-01</stp>
        <stp>2019-12-31</stp>
        <stp>3</stp>
        <tr r="F480" s="1"/>
      </tp>
      <tp>
        <v>6.7164179099999997</v>
        <stp/>
        <stp>EM_S_PQ_PCTCHANGE</stp>
        <stp>4</stp>
        <stp>600157</stp>
        <stp>2018-12-31</stp>
        <stp>2019-12-30</stp>
        <stp>1</stp>
        <tr r="G1912" s="1"/>
      </tp>
      <tp>
        <v>87.434932349999997</v>
        <stp/>
        <stp>EM_S_PQ_PCTCHANGE</stp>
        <stp>4</stp>
        <stp>600346</stp>
        <stp>2018-01-01</stp>
        <stp>2019-12-31</stp>
        <stp>3</stp>
        <tr r="F1252" s="1"/>
      </tp>
      <tp>
        <v>-32.126168219999997</v>
        <stp/>
        <stp>EM_S_PQ_PCTCHANGE</stp>
        <stp>4</stp>
        <stp>603157</stp>
        <stp>2018-12-31</stp>
        <stp>2019-12-30</stp>
        <stp>1</stp>
        <tr r="G3240" s="1"/>
      </tp>
      <tp>
        <v>9.4395280199999991</v>
        <stp/>
        <stp>EM_S_PQ_PCTCHANGE</stp>
        <stp>4</stp>
        <stp>002137</stp>
        <stp>2018-12-31</stp>
        <stp>2019-12-30</stp>
        <stp>1</stp>
        <tr r="G1770" s="1"/>
      </tp>
      <tp>
        <v>-3.5876802900000002</v>
        <stp/>
        <stp>EM_S_PQ_PCTCHANGE</stp>
        <stp>4</stp>
        <stp>002326</stp>
        <stp>2018-01-01</stp>
        <stp>2019-12-31</stp>
        <stp>3</stp>
        <tr r="F623" s="1"/>
      </tp>
      <tp>
        <v>24.242424239999998</v>
        <stp/>
        <stp>EM_S_PQ_PCTCHANGE</stp>
        <stp>4</stp>
        <stp>300106</stp>
        <stp>2018-12-31</stp>
        <stp>2019-12-30</stp>
        <stp>1</stp>
        <tr r="G1125" s="1"/>
      </tp>
      <tp>
        <v>-69.269964920000007</v>
        <stp/>
        <stp>EM_S_PQ_PCTCHANGE</stp>
        <stp>4</stp>
        <stp>300317</stp>
        <stp>2018-01-01</stp>
        <stp>2019-12-31</stp>
        <stp>3</stp>
        <tr r="F1978" s="1"/>
      </tp>
      <tp>
        <v>10.513447429999999</v>
        <stp/>
        <stp>EM_S_PQ_PCTCHANGE</stp>
        <stp>4</stp>
        <stp>600156</stp>
        <stp>2018-12-31</stp>
        <stp>2019-12-30</stp>
        <stp>1</stp>
        <tr r="G1708" s="1"/>
      </tp>
      <tp>
        <v>-31.048581049999999</v>
        <stp/>
        <stp>EM_S_PQ_PCTCHANGE</stp>
        <stp>4</stp>
        <stp>603156</stp>
        <stp>2018-12-31</stp>
        <stp>2019-12-30</stp>
        <stp>1</stp>
        <tr r="G3226" s="1"/>
      </tp>
      <tp>
        <v>-6.1199510400000001</v>
        <stp/>
        <stp>EM_S_PQ_PCTCHANGE</stp>
        <stp>4</stp>
        <stp>002136</stp>
        <stp>2018-12-31</stp>
        <stp>2019-12-30</stp>
        <stp>1</stp>
        <tr r="G2611" s="1"/>
      </tp>
      <tp>
        <v>-27.84056455</v>
        <stp/>
        <stp>EM_S_PQ_PCTCHANGE</stp>
        <stp>4</stp>
        <stp>002327</stp>
        <stp>2018-01-01</stp>
        <stp>2019-12-31</stp>
        <stp>3</stp>
        <tr r="F2672" s="1"/>
      </tp>
      <tp>
        <v>3.3972855700000002</v>
        <stp/>
        <stp>EM_S_PQ_PCTCHANGE</stp>
        <stp>4</stp>
        <stp>601398</stp>
        <stp>2018-01-01</stp>
        <stp>2019-12-31</stp>
        <stp>3</stp>
        <tr r="F1662" s="1"/>
      </tp>
      <tp>
        <v>1.8766756</v>
        <stp/>
        <stp>EM_S_PQ_PCTCHANGE</stp>
        <stp>4</stp>
        <stp>600189</stp>
        <stp>2018-12-31</stp>
        <stp>2019-12-30</stp>
        <stp>1</stp>
        <tr r="G2168" s="1"/>
      </tp>
      <tp>
        <v>-14.37164563</v>
        <stp/>
        <stp>EM_S_PQ_PCTCHANGE</stp>
        <stp>4</stp>
        <stp>600398</stp>
        <stp>2018-01-01</stp>
        <stp>2019-12-31</stp>
        <stp>3</stp>
        <tr r="F2779" s="1"/>
      </tp>
      <tp>
        <v>48.520179370000001</v>
        <stp/>
        <stp>EM_S_PQ_PCTCHANGE</stp>
        <stp>4</stp>
        <stp>603189</stp>
        <stp>2018-12-31</stp>
        <stp>2019-12-30</stp>
        <stp>1</stp>
        <tr r="G591" s="1"/>
      </tp>
      <tp>
        <v>-9.4154070099999991</v>
        <stp/>
        <stp>EM_S_PQ_PCTCHANGE</stp>
        <stp>4</stp>
        <stp>603398</stp>
        <stp>2018-01-01</stp>
        <stp>2019-12-31</stp>
        <stp>3</stp>
        <tr r="F2667" s="1"/>
      </tp>
      <tp>
        <v>2.36486486</v>
        <stp/>
        <stp>EM_S_PQ_PCTCHANGE</stp>
        <stp>4</stp>
        <stp>601188</stp>
        <stp>2018-12-31</stp>
        <stp>2019-12-30</stp>
        <stp>1</stp>
        <tr r="G2146" s="1"/>
      </tp>
      <tp>
        <v>18.792710710000001</v>
        <stp/>
        <stp>EM_S_PQ_PCTCHANGE</stp>
        <stp>4</stp>
        <stp>600188</stp>
        <stp>2018-12-31</stp>
        <stp>2019-12-30</stp>
        <stp>1</stp>
        <tr r="G1329" s="1"/>
      </tp>
      <tp>
        <v>-41.071428570000002</v>
        <stp/>
        <stp>EM_S_PQ_PCTCHANGE</stp>
        <stp>4</stp>
        <stp>600399</stp>
        <stp>2018-01-01</stp>
        <stp>2019-12-31</stp>
        <stp>3</stp>
        <tr r="F902" s="1"/>
      </tp>
      <tp>
        <v>-11.54891304</v>
        <stp/>
        <stp>EM_S_PQ_PCTCHANGE</stp>
        <stp>4</stp>
        <stp>603188</stp>
        <stp>2018-12-31</stp>
        <stp>2019-12-30</stp>
        <stp>1</stp>
        <tr r="G2816" s="1"/>
      </tp>
      <tp>
        <v>-11.03864613</v>
        <stp/>
        <stp>EM_S_PQ_PCTCHANGE</stp>
        <stp>4</stp>
        <stp>603399</stp>
        <stp>2018-01-01</stp>
        <stp>2019-12-31</stp>
        <stp>3</stp>
        <tr r="F1095" s="1"/>
      </tp>
      <tp>
        <v>-26.66054222</v>
        <stp/>
        <stp>EM_S_PQ_PCTCHANGE</stp>
        <stp>4</stp>
        <stp>601390</stp>
        <stp>2018-01-01</stp>
        <stp>2019-12-31</stp>
        <stp>3</stp>
        <tr r="F2944" s="1"/>
      </tp>
      <tp>
        <v>0</v>
        <stp/>
        <stp>EM_S_PQ_PCTCHANGE</stp>
        <stp>4</stp>
        <stp>600181</stp>
        <stp>2018-12-31</stp>
        <stp>2019-12-30</stp>
        <stp>1</stp>
        <tr r="G2294" s="1"/>
      </tp>
      <tp>
        <v>-12.076022890000001</v>
        <stp/>
        <stp>EM_S_PQ_PCTCHANGE</stp>
        <stp>4</stp>
        <stp>600390</stp>
        <stp>2018-01-01</stp>
        <stp>2019-12-31</stp>
        <stp>3</stp>
        <tr r="F1389" s="1"/>
      </tp>
      <tp>
        <v>21.363316940000001</v>
        <stp/>
        <stp>EM_S_PQ_PCTCHANGE</stp>
        <stp>4</stp>
        <stp>603181</stp>
        <stp>2018-12-31</stp>
        <stp>2019-12-30</stp>
        <stp>1</stp>
        <tr r="G1219" s="1"/>
      </tp>
      <tp>
        <v>-0.28368794000000003</v>
        <stp/>
        <stp>EM_S_PQ_PCTCHANGE</stp>
        <stp>4</stp>
        <stp>600180</stp>
        <stp>2018-12-31</stp>
        <stp>2019-12-30</stp>
        <stp>1</stp>
        <tr r="G2347" s="1"/>
      </tp>
      <tp>
        <v>-29.795207340000001</v>
        <stp/>
        <stp>EM_S_PQ_PCTCHANGE</stp>
        <stp>4</stp>
        <stp>600391</stp>
        <stp>2018-01-01</stp>
        <stp>2019-12-31</stp>
        <stp>3</stp>
        <tr r="F1045" s="1"/>
      </tp>
      <tp>
        <v>15.47742158</v>
        <stp/>
        <stp>EM_S_PQ_PCTCHANGE</stp>
        <stp>4</stp>
        <stp>603180</stp>
        <stp>2018-12-31</stp>
        <stp>2019-12-30</stp>
        <stp>1</stp>
        <tr r="G1458" s="1"/>
      </tp>
      <tp>
        <v>-37.66495724</v>
        <stp/>
        <stp>EM_S_PQ_PCTCHANGE</stp>
        <stp>4</stp>
        <stp>600392</stp>
        <stp>2018-01-01</stp>
        <stp>2019-12-31</stp>
        <stp>3</stp>
        <tr r="F1949" s="1"/>
      </tp>
      <tp>
        <v>-40.9268565</v>
        <stp/>
        <stp>EM_S_PQ_PCTCHANGE</stp>
        <stp>4</stp>
        <stp>603183</stp>
        <stp>2018-12-31</stp>
        <stp>2019-12-30</stp>
        <stp>1</stp>
        <tr r="G3318" s="1"/>
      </tp>
      <tp>
        <v>8.9249492900000007</v>
        <stp/>
        <stp>EM_S_PQ_PCTCHANGE</stp>
        <stp>4</stp>
        <stp>600182</stp>
        <stp>2018-12-31</stp>
        <stp>2019-12-30</stp>
        <stp>1</stp>
        <tr r="G1800" s="1"/>
      </tp>
      <tp>
        <v>-55.47118227</v>
        <stp/>
        <stp>EM_S_PQ_PCTCHANGE</stp>
        <stp>4</stp>
        <stp>600393</stp>
        <stp>2018-01-01</stp>
        <stp>2019-12-31</stp>
        <stp>3</stp>
        <tr r="F815" s="1"/>
      </tp>
      <tp>
        <v>9.3140106100000004</v>
        <stp/>
        <stp>EM_S_PQ_PCTCHANGE</stp>
        <stp>4</stp>
        <stp>603393</stp>
        <stp>2018-01-01</stp>
        <stp>2019-12-31</stp>
        <stp>3</stp>
        <tr r="F2735" s="1"/>
      </tp>
      <tp>
        <v>20.987654320000001</v>
        <stp/>
        <stp>EM_S_PQ_PCTCHANGE</stp>
        <stp>4</stp>
        <stp>600185</stp>
        <stp>2018-12-31</stp>
        <stp>2019-12-30</stp>
        <stp>1</stp>
        <tr r="G1239" s="1"/>
      </tp>
      <tp>
        <v>16.37666325</v>
        <stp/>
        <stp>EM_S_PQ_PCTCHANGE</stp>
        <stp>4</stp>
        <stp>600184</stp>
        <stp>2018-12-31</stp>
        <stp>2019-12-30</stp>
        <stp>1</stp>
        <tr r="G1421" s="1"/>
      </tp>
      <tp>
        <v>0.99875166000000004</v>
        <stp/>
        <stp>EM_S_PQ_PCTCHANGE</stp>
        <stp>4</stp>
        <stp>600395</stp>
        <stp>2018-01-01</stp>
        <stp>2019-12-31</stp>
        <stp>3</stp>
        <tr r="F1227" s="1"/>
      </tp>
      <tp>
        <v>2.8340081000000001</v>
        <stp/>
        <stp>EM_S_PQ_PCTCHANGE</stp>
        <stp>4</stp>
        <stp>600187</stp>
        <stp>2018-12-31</stp>
        <stp>2019-12-30</stp>
        <stp>1</stp>
        <tr r="G2117" s="1"/>
      </tp>
      <tp>
        <v>-40</v>
        <stp/>
        <stp>EM_S_PQ_PCTCHANGE</stp>
        <stp>4</stp>
        <stp>600396</stp>
        <stp>2018-01-01</stp>
        <stp>2019-12-31</stp>
        <stp>3</stp>
        <tr r="F2422" s="1"/>
      </tp>
      <tp>
        <v>-25.6726317</v>
        <stp/>
        <stp>EM_S_PQ_PCTCHANGE</stp>
        <stp>4</stp>
        <stp>603396</stp>
        <stp>2018-01-01</stp>
        <stp>2019-12-31</stp>
        <stp>3</stp>
        <tr r="F3014" s="1"/>
      </tp>
      <tp>
        <v>-7.1757129700000002</v>
        <stp/>
        <stp>EM_S_PQ_PCTCHANGE</stp>
        <stp>4</stp>
        <stp>601186</stp>
        <stp>2018-12-31</stp>
        <stp>2019-12-30</stp>
        <stp>1</stp>
        <tr r="G2665" s="1"/>
      </tp>
      <tp>
        <v>41.269841270000001</v>
        <stp/>
        <stp>EM_S_PQ_PCTCHANGE</stp>
        <stp>4</stp>
        <stp>600186</stp>
        <stp>2018-12-31</stp>
        <stp>2019-12-30</stp>
        <stp>1</stp>
        <tr r="G709" s="1"/>
      </tp>
      <tp>
        <v>-27.319587630000001</v>
        <stp/>
        <stp>EM_S_PQ_PCTCHANGE</stp>
        <stp>4</stp>
        <stp>600397</stp>
        <stp>2018-01-01</stp>
        <stp>2019-12-31</stp>
        <stp>3</stp>
        <tr r="F1122" s="1"/>
      </tp>
      <tp>
        <v>150.16501650000001</v>
        <stp/>
        <stp>EM_S_PQ_PCTCHANGE</stp>
        <stp>4</stp>
        <stp>603186</stp>
        <stp>2018-12-31</stp>
        <stp>2019-12-30</stp>
        <stp>1</stp>
        <tr r="G82" s="1"/>
      </tp>
      <tp>
        <v>6.4606741599999999</v>
        <stp/>
        <stp>EM_S_PQ_PCTCHANGE</stp>
        <stp>4</stp>
        <stp>601199</stp>
        <stp>2018-12-31</stp>
        <stp>2019-12-30</stp>
        <stp>1</stp>
        <tr r="G1924" s="1"/>
      </tp>
      <tp>
        <v>-54.759040040000002</v>
        <stp/>
        <stp>EM_S_PQ_PCTCHANGE</stp>
        <stp>4</stp>
        <stp>601388</stp>
        <stp>2018-01-01</stp>
        <stp>2019-12-31</stp>
        <stp>3</stp>
        <tr r="F2423" s="1"/>
      </tp>
      <tp>
        <v>37.636761489999998</v>
        <stp/>
        <stp>EM_S_PQ_PCTCHANGE</stp>
        <stp>4</stp>
        <stp>600199</stp>
        <stp>2018-12-31</stp>
        <stp>2019-12-30</stp>
        <stp>1</stp>
        <tr r="G781" s="1"/>
      </tp>
      <tp>
        <v>-41.918407340000002</v>
        <stp/>
        <stp>EM_S_PQ_PCTCHANGE</stp>
        <stp>4</stp>
        <stp>600388</stp>
        <stp>2018-01-01</stp>
        <stp>2019-12-31</stp>
        <stp>3</stp>
        <tr r="F2538" s="1"/>
      </tp>
      <tp>
        <v>25.263157889999999</v>
        <stp/>
        <stp>EM_S_PQ_PCTCHANGE</stp>
        <stp>4</stp>
        <stp>603199</stp>
        <stp>2018-12-31</stp>
        <stp>2019-12-30</stp>
        <stp>1</stp>
        <tr r="G1084" s="1"/>
      </tp>
      <tp>
        <v>-35.041811119999998</v>
        <stp/>
        <stp>EM_S_PQ_PCTCHANGE</stp>
        <stp>4</stp>
        <stp>603388</stp>
        <stp>2018-01-01</stp>
        <stp>2019-12-31</stp>
        <stp>3</stp>
        <tr r="F3051" s="1"/>
      </tp>
      <tp>
        <v>38.075313809999997</v>
        <stp/>
        <stp>EM_S_PQ_PCTCHANGE</stp>
        <stp>4</stp>
        <stp>601198</stp>
        <stp>2018-12-31</stp>
        <stp>2019-12-30</stp>
        <stp>1</stp>
        <tr r="G769" s="1"/>
      </tp>
      <tp>
        <v>60.74074074</v>
        <stp/>
        <stp>EM_S_PQ_PCTCHANGE</stp>
        <stp>4</stp>
        <stp>600198</stp>
        <stp>2018-12-31</stp>
        <stp>2019-12-30</stp>
        <stp>1</stp>
        <tr r="G416" s="1"/>
      </tp>
      <tp>
        <v>22.864479410000001</v>
        <stp/>
        <stp>EM_S_PQ_PCTCHANGE</stp>
        <stp>4</stp>
        <stp>600389</stp>
        <stp>2018-01-01</stp>
        <stp>2019-12-31</stp>
        <stp>3</stp>
        <tr r="F1130" s="1"/>
      </tp>
      <tp>
        <v>41.601700919999999</v>
        <stp/>
        <stp>EM_S_PQ_PCTCHANGE</stp>
        <stp>4</stp>
        <stp>603198</stp>
        <stp>2018-12-31</stp>
        <stp>2019-12-30</stp>
        <stp>1</stp>
        <tr r="G704" s="1"/>
      </tp>
      <tp>
        <v>-44.755805070000001</v>
        <stp/>
        <stp>EM_S_PQ_PCTCHANGE</stp>
        <stp>4</stp>
        <stp>603389</stp>
        <stp>2018-01-01</stp>
        <stp>2019-12-31</stp>
        <stp>3</stp>
        <tr r="F3343" s="1"/>
      </tp>
      <tp>
        <v>31.97969543</v>
        <stp/>
        <stp>EM_S_PQ_PCTCHANGE</stp>
        <stp>4</stp>
        <stp>600191</stp>
        <stp>2018-12-31</stp>
        <stp>2019-12-30</stp>
        <stp>1</stp>
        <tr r="G885" s="1"/>
      </tp>
      <tp>
        <v>5.9246392999999999</v>
        <stp/>
        <stp>EM_S_PQ_PCTCHANGE</stp>
        <stp>4</stp>
        <stp>600380</stp>
        <stp>2018-01-01</stp>
        <stp>2019-12-31</stp>
        <stp>3</stp>
        <tr r="F567" s="1"/>
      </tp>
      <tp>
        <v>-16.416938729999998</v>
        <stp/>
        <stp>EM_S_PQ_PCTCHANGE</stp>
        <stp>4</stp>
        <stp>603380</stp>
        <stp>2018-01-01</stp>
        <stp>2019-12-31</stp>
        <stp>3</stp>
        <tr r="F1980" s="1"/>
      </tp>
      <tp>
        <v>13.857677900000001</v>
        <stp/>
        <stp>EM_S_PQ_PCTCHANGE</stp>
        <stp>4</stp>
        <stp>600190</stp>
        <stp>2018-12-31</stp>
        <stp>2019-12-30</stp>
        <stp>1</stp>
        <tr r="G1541" s="1"/>
      </tp>
      <tp>
        <v>-49.198868990000001</v>
        <stp/>
        <stp>EM_S_PQ_PCTCHANGE</stp>
        <stp>4</stp>
        <stp>600381</stp>
        <stp>2018-01-01</stp>
        <stp>2019-12-31</stp>
        <stp>3</stp>
        <tr r="F2664" s="1"/>
      </tp>
      <tp>
        <v>22.61146497</v>
        <stp/>
        <stp>EM_S_PQ_PCTCHANGE</stp>
        <stp>4</stp>
        <stp>600193</stp>
        <stp>2018-12-31</stp>
        <stp>2019-12-30</stp>
        <stp>1</stp>
        <tr r="G1171" s="1"/>
      </tp>
      <tp>
        <v>-27.146990410000001</v>
        <stp/>
        <stp>EM_S_PQ_PCTCHANGE</stp>
        <stp>4</stp>
        <stp>600382</stp>
        <stp>2018-01-01</stp>
        <stp>2019-12-31</stp>
        <stp>3</stp>
        <tr r="F2733" s="1"/>
      </tp>
      <tp>
        <v>21.749408979999998</v>
        <stp/>
        <stp>EM_S_PQ_PCTCHANGE</stp>
        <stp>4</stp>
        <stp>600192</stp>
        <stp>2018-12-31</stp>
        <stp>2019-12-30</stp>
        <stp>1</stp>
        <tr r="G1193" s="1"/>
      </tp>
      <tp>
        <v>27.409708089999999</v>
        <stp/>
        <stp>EM_S_PQ_PCTCHANGE</stp>
        <stp>4</stp>
        <stp>600383</stp>
        <stp>2018-01-01</stp>
        <stp>2019-12-31</stp>
        <stp>3</stp>
        <tr r="F593" s="1"/>
      </tp>
      <tp>
        <v>130.85183477999999</v>
        <stp/>
        <stp>EM_S_PQ_PCTCHANGE</stp>
        <stp>4</stp>
        <stp>603383</stp>
        <stp>2018-01-01</stp>
        <stp>2019-12-31</stp>
        <stp>3</stp>
        <tr r="F88" s="1"/>
      </tp>
      <tp>
        <v>147.04630656</v>
        <stp/>
        <stp>EM_S_PQ_PCTCHANGE</stp>
        <stp>4</stp>
        <stp>603383</stp>
        <stp>2019-01-01</stp>
        <stp>2019-12-31</stp>
        <stp>3</stp>
        <tr r="G88" s="1"/>
      </tp>
      <tp>
        <v>7.04887218</v>
        <stp/>
        <stp>EM_S_PQ_PCTCHANGE</stp>
        <stp>4</stp>
        <stp>600195</stp>
        <stp>2018-12-31</stp>
        <stp>2019-12-30</stp>
        <stp>1</stp>
        <tr r="G1893" s="1"/>
      </tp>
      <tp>
        <v>-38.23064771</v>
        <stp/>
        <stp>EM_S_PQ_PCTCHANGE</stp>
        <stp>4</stp>
        <stp>600385</stp>
        <stp>2018-01-01</stp>
        <stp>2019-12-31</stp>
        <stp>3</stp>
        <tr r="F3030" s="1"/>
      </tp>
      <tp>
        <v>-28.547138619999998</v>
        <stp/>
        <stp>EM_S_PQ_PCTCHANGE</stp>
        <stp>4</stp>
        <stp>603385</stp>
        <stp>2018-01-01</stp>
        <stp>2019-12-31</stp>
        <stp>3</stp>
        <tr r="F711" s="1"/>
      </tp>
      <tp>
        <v>21.64236378</v>
        <stp/>
        <stp>EM_S_PQ_PCTCHANGE</stp>
        <stp>4</stp>
        <stp>600197</stp>
        <stp>2018-12-31</stp>
        <stp>2019-12-30</stp>
        <stp>1</stp>
        <tr r="G1198" s="1"/>
      </tp>
      <tp>
        <v>-22.763450299999999</v>
        <stp/>
        <stp>EM_S_PQ_PCTCHANGE</stp>
        <stp>4</stp>
        <stp>600386</stp>
        <stp>2018-01-01</stp>
        <stp>2019-12-31</stp>
        <stp>3</stp>
        <tr r="F1578" s="1"/>
      </tp>
      <tp>
        <v>51.161665050000003</v>
        <stp/>
        <stp>EM_S_PQ_PCTCHANGE</stp>
        <stp>4</stp>
        <stp>603197</stp>
        <stp>2018-12-31</stp>
        <stp>2019-12-30</stp>
        <stp>1</stp>
        <tr r="G545" s="1"/>
      </tp>
      <tp>
        <v>-1.7007607</v>
        <stp/>
        <stp>EM_S_PQ_PCTCHANGE</stp>
        <stp>4</stp>
        <stp>603386</stp>
        <stp>2018-01-01</stp>
        <stp>2019-12-31</stp>
        <stp>3</stp>
        <tr r="F2198" s="1"/>
      </tp>
      <tp>
        <v>12.5913193</v>
        <stp/>
        <stp>EM_S_PQ_PCTCHANGE</stp>
        <stp>4</stp>
        <stp>600196</stp>
        <stp>2018-12-31</stp>
        <stp>2019-12-30</stp>
        <stp>1</stp>
        <tr r="G1604" s="1"/>
      </tp>
      <tp>
        <v>-21.333490019999999</v>
        <stp/>
        <stp>EM_S_PQ_PCTCHANGE</stp>
        <stp>4</stp>
        <stp>600387</stp>
        <stp>2018-01-01</stp>
        <stp>2019-12-31</stp>
        <stp>3</stp>
        <tr r="F1984" s="1"/>
      </tp>
      <tp>
        <v>-25.401929259999999</v>
        <stp/>
        <stp>EM_S_PQ_PCTCHANGE</stp>
        <stp>4</stp>
        <stp>603196</stp>
        <stp>2018-12-31</stp>
        <stp>2019-12-30</stp>
        <stp>1</stp>
        <tr r="G3158" s="1"/>
      </tp>
      <tp>
        <v>-23.393233429999999</v>
        <stp/>
        <stp>EM_S_PQ_PCTCHANGE</stp>
        <stp>4</stp>
        <stp>603387</stp>
        <stp>2018-01-01</stp>
        <stp>2019-12-31</stp>
        <stp>3</stp>
        <tr r="F2919" s="1"/>
      </tp>
      <tp>
        <v>61.365461850000003</v>
        <stp/>
        <stp>EM_S_PQ_PCTCHANGE</stp>
        <stp>4</stp>
        <stp>002189</stp>
        <stp>2018-12-31</stp>
        <stp>2019-12-30</stp>
        <stp>1</stp>
        <tr r="G409" s="1"/>
      </tp>
      <tp>
        <v>-18.031788179999999</v>
        <stp/>
        <stp>EM_S_PQ_PCTCHANGE</stp>
        <stp>4</stp>
        <stp>002398</stp>
        <stp>2018-01-01</stp>
        <stp>2019-12-31</stp>
        <stp>3</stp>
        <tr r="F850" s="1"/>
      </tp>
      <tp>
        <v>-2.0997375300000001</v>
        <stp/>
        <stp>EM_S_PQ_PCTCHANGE</stp>
        <stp>4</stp>
        <stp>002188</stp>
        <stp>2018-12-31</stp>
        <stp>2019-12-30</stp>
        <stp>1</stp>
        <tr r="G2426" s="1"/>
      </tp>
      <tp>
        <v>28.56897575</v>
        <stp/>
        <stp>EM_S_PQ_PCTCHANGE</stp>
        <stp>4</stp>
        <stp>002399</stp>
        <stp>2018-01-01</stp>
        <stp>2019-12-31</stp>
        <stp>3</stp>
        <tr r="F2973" s="1"/>
      </tp>
      <tp>
        <v>61.49584488</v>
        <stp/>
        <stp>EM_S_PQ_PCTCHANGE</stp>
        <stp>4</stp>
        <stp>002181</stp>
        <stp>2018-12-31</stp>
        <stp>2019-12-30</stp>
        <stp>1</stp>
        <tr r="G406" s="1"/>
      </tp>
      <tp>
        <v>-37.608038290000003</v>
        <stp/>
        <stp>EM_S_PQ_PCTCHANGE</stp>
        <stp>4</stp>
        <stp>002390</stp>
        <stp>2018-01-01</stp>
        <stp>2019-12-31</stp>
        <stp>3</stp>
        <tr r="F1014" s="1"/>
      </tp>
      <tp>
        <v>41.884816749999999</v>
        <stp/>
        <stp>EM_S_PQ_PCTCHANGE</stp>
        <stp>4</stp>
        <stp>002180</stp>
        <stp>2018-12-31</stp>
        <stp>2019-12-30</stp>
        <stp>1</stp>
        <tr r="G700" s="1"/>
      </tp>
      <tp>
        <v>-10.6950363</v>
        <stp/>
        <stp>EM_S_PQ_PCTCHANGE</stp>
        <stp>4</stp>
        <stp>002391</stp>
        <stp>2018-01-01</stp>
        <stp>2019-12-31</stp>
        <stp>3</stp>
        <tr r="F3106" s="1"/>
      </tp>
      <tp>
        <v>-15.568862279999999</v>
        <stp/>
        <stp>EM_S_PQ_PCTCHANGE</stp>
        <stp>4</stp>
        <stp>002183</stp>
        <stp>2018-12-31</stp>
        <stp>2019-12-30</stp>
        <stp>1</stp>
        <tr r="G2949" s="1"/>
      </tp>
      <tp>
        <v>-22.754079990000001</v>
        <stp/>
        <stp>EM_S_PQ_PCTCHANGE</stp>
        <stp>4</stp>
        <stp>002392</stp>
        <stp>2018-01-01</stp>
        <stp>2019-12-31</stp>
        <stp>3</stp>
        <tr r="F1412" s="1"/>
      </tp>
      <tp>
        <v>50.320512819999998</v>
        <stp/>
        <stp>EM_S_PQ_PCTCHANGE</stp>
        <stp>4</stp>
        <stp>002182</stp>
        <stp>2018-12-31</stp>
        <stp>2019-12-30</stp>
        <stp>1</stp>
        <tr r="G558" s="1"/>
      </tp>
      <tp>
        <v>-10.658311510000001</v>
        <stp/>
        <stp>EM_S_PQ_PCTCHANGE</stp>
        <stp>4</stp>
        <stp>002393</stp>
        <stp>2018-01-01</stp>
        <stp>2019-12-31</stp>
        <stp>3</stp>
        <tr r="F1123" s="1"/>
      </tp>
      <tp>
        <v>81.034482760000003</v>
        <stp/>
        <stp>EM_S_PQ_PCTCHANGE</stp>
        <stp>4</stp>
        <stp>002185</stp>
        <stp>2018-12-31</stp>
        <stp>2019-12-30</stp>
        <stp>1</stp>
        <tr r="G243" s="1"/>
      </tp>
      <tp>
        <v>-10.575124280000001</v>
        <stp/>
        <stp>EM_S_PQ_PCTCHANGE</stp>
        <stp>4</stp>
        <stp>002394</stp>
        <stp>2018-01-01</stp>
        <stp>2019-12-31</stp>
        <stp>3</stp>
        <tr r="F2636" s="1"/>
      </tp>
      <tp>
        <v>12.54019293</v>
        <stp/>
        <stp>EM_S_PQ_PCTCHANGE</stp>
        <stp>4</stp>
        <stp>002184</stp>
        <stp>2018-12-31</stp>
        <stp>2019-12-30</stp>
        <stp>1</stp>
        <tr r="G1608" s="1"/>
      </tp>
      <tp>
        <v>115.37545286</v>
        <stp/>
        <stp>EM_S_PQ_PCTCHANGE</stp>
        <stp>4</stp>
        <stp>002395</stp>
        <stp>2018-01-01</stp>
        <stp>2019-12-31</stp>
        <stp>3</stp>
        <tr r="F101" s="1"/>
      </tp>
      <tp>
        <v>5.8895705500000002</v>
        <stp/>
        <stp>EM_S_PQ_PCTCHANGE</stp>
        <stp>4</stp>
        <stp>002187</stp>
        <stp>2018-12-31</stp>
        <stp>2019-12-30</stp>
        <stp>1</stp>
        <tr r="G1956" s="1"/>
      </tp>
      <tp>
        <v>66.702361510000003</v>
        <stp/>
        <stp>EM_S_PQ_PCTCHANGE</stp>
        <stp>4</stp>
        <stp>002396</stp>
        <stp>2018-01-01</stp>
        <stp>2019-12-31</stp>
        <stp>3</stp>
        <tr r="F155" s="1"/>
      </tp>
      <tp>
        <v>-10.369068540000001</v>
        <stp/>
        <stp>EM_S_PQ_PCTCHANGE</stp>
        <stp>4</stp>
        <stp>002186</stp>
        <stp>2018-12-31</stp>
        <stp>2019-12-30</stp>
        <stp>1</stp>
        <tr r="G2772" s="1"/>
      </tp>
      <tp>
        <v>-24.575051999999999</v>
        <stp/>
        <stp>EM_S_PQ_PCTCHANGE</stp>
        <stp>4</stp>
        <stp>002397</stp>
        <stp>2018-01-01</stp>
        <stp>2019-12-31</stp>
        <stp>3</stp>
        <tr r="F1300" s="1"/>
      </tp>
      <tp>
        <v>2.7262813499999998</v>
        <stp/>
        <stp>EM_S_PQ_PCTCHANGE</stp>
        <stp>4</stp>
        <stp>002199</stp>
        <stp>2018-12-31</stp>
        <stp>2019-12-30</stp>
        <stp>1</stp>
        <tr r="G2124" s="1"/>
      </tp>
      <tp>
        <v>-8.5653322500000009</v>
        <stp/>
        <stp>EM_S_PQ_PCTCHANGE</stp>
        <stp>4</stp>
        <stp>002388</stp>
        <stp>2018-01-01</stp>
        <stp>2019-12-31</stp>
        <stp>3</stp>
        <tr r="F895" s="1"/>
      </tp>
      <tp>
        <v>3.53634578</v>
        <stp/>
        <stp>EM_S_PQ_PCTCHANGE</stp>
        <stp>4</stp>
        <stp>002198</stp>
        <stp>2018-12-31</stp>
        <stp>2019-12-30</stp>
        <stp>1</stp>
        <tr r="G2082" s="1"/>
      </tp>
      <tp>
        <v>-47.254809260000002</v>
        <stp/>
        <stp>EM_S_PQ_PCTCHANGE</stp>
        <stp>4</stp>
        <stp>002389</stp>
        <stp>2018-01-01</stp>
        <stp>2019-12-31</stp>
        <stp>3</stp>
        <tr r="F2708" s="1"/>
      </tp>
      <tp>
        <v>45.966709350000002</v>
        <stp/>
        <stp>EM_S_PQ_PCTCHANGE</stp>
        <stp>4</stp>
        <stp>002191</stp>
        <stp>2018-12-31</stp>
        <stp>2019-12-30</stp>
        <stp>1</stp>
        <tr r="G626" s="1"/>
      </tp>
      <tp>
        <v>-16.988457530000002</v>
        <stp/>
        <stp>EM_S_PQ_PCTCHANGE</stp>
        <stp>4</stp>
        <stp>002380</stp>
        <stp>2018-01-01</stp>
        <stp>2019-12-31</stp>
        <stp>3</stp>
        <tr r="F853" s="1"/>
      </tp>
      <tp>
        <v>34.324659230000002</v>
        <stp/>
        <stp>EM_S_PQ_PCTCHANGE</stp>
        <stp>4</stp>
        <stp>002190</stp>
        <stp>2018-12-31</stp>
        <stp>2019-12-30</stp>
        <stp>1</stp>
        <tr r="G842" s="1"/>
      </tp>
      <tp>
        <v>11.904777470000001</v>
        <stp/>
        <stp>EM_S_PQ_PCTCHANGE</stp>
        <stp>4</stp>
        <stp>002381</stp>
        <stp>2018-01-01</stp>
        <stp>2019-12-31</stp>
        <stp>3</stp>
        <tr r="F1089" s="1"/>
      </tp>
      <tp>
        <v>-10.38812785</v>
        <stp/>
        <stp>EM_S_PQ_PCTCHANGE</stp>
        <stp>4</stp>
        <stp>002193</stp>
        <stp>2018-12-31</stp>
        <stp>2019-12-30</stp>
        <stp>1</stp>
        <tr r="G2773" s="1"/>
      </tp>
      <tp>
        <v>1.0284024700000001</v>
        <stp/>
        <stp>EM_S_PQ_PCTCHANGE</stp>
        <stp>4</stp>
        <stp>002382</stp>
        <stp>2018-01-01</stp>
        <stp>2019-12-31</stp>
        <stp>3</stp>
        <tr r="F3033" s="1"/>
      </tp>
      <tp>
        <v>27.96052632</v>
        <stp/>
        <stp>EM_S_PQ_PCTCHANGE</stp>
        <stp>4</stp>
        <stp>002192</stp>
        <stp>2018-12-31</stp>
        <stp>2019-12-30</stp>
        <stp>1</stp>
        <tr r="G988" s="1"/>
      </tp>
      <tp>
        <v>-53.32853806</v>
        <stp/>
        <stp>EM_S_PQ_PCTCHANGE</stp>
        <stp>4</stp>
        <stp>002383</stp>
        <stp>2018-01-01</stp>
        <stp>2019-12-31</stp>
        <stp>3</stp>
        <tr r="F3075" s="1"/>
      </tp>
      <tp>
        <v>-12.73712737</v>
        <stp/>
        <stp>EM_S_PQ_PCTCHANGE</stp>
        <stp>4</stp>
        <stp>002195</stp>
        <stp>2018-12-31</stp>
        <stp>2019-12-30</stp>
        <stp>1</stp>
        <tr r="G2857" s="1"/>
      </tp>
      <tp>
        <v>22.560433660000001</v>
        <stp/>
        <stp>EM_S_PQ_PCTCHANGE</stp>
        <stp>4</stp>
        <stp>002384</stp>
        <stp>2018-01-01</stp>
        <stp>2019-12-31</stp>
        <stp>3</stp>
        <tr r="F172" s="1"/>
      </tp>
      <tp>
        <v>191.32492113999999</v>
        <stp/>
        <stp>EM_S_PQ_PCTCHANGE</stp>
        <stp>4</stp>
        <stp>002194</stp>
        <stp>2018-12-31</stp>
        <stp>2019-12-30</stp>
        <stp>1</stp>
        <tr r="G48" s="1"/>
      </tp>
      <tp>
        <v>-13.463403720000001</v>
        <stp/>
        <stp>EM_S_PQ_PCTCHANGE</stp>
        <stp>4</stp>
        <stp>002385</stp>
        <stp>2018-01-01</stp>
        <stp>2019-12-31</stp>
        <stp>3</stp>
        <tr r="F707" s="1"/>
      </tp>
      <tp>
        <v>15.14285714</v>
        <stp/>
        <stp>EM_S_PQ_PCTCHANGE</stp>
        <stp>4</stp>
        <stp>002197</stp>
        <stp>2018-12-31</stp>
        <stp>2019-12-30</stp>
        <stp>1</stp>
        <tr r="G1474" s="1"/>
      </tp>
      <tp>
        <v>-29.033235049999998</v>
        <stp/>
        <stp>EM_S_PQ_PCTCHANGE</stp>
        <stp>4</stp>
        <stp>002386</stp>
        <stp>2018-01-01</stp>
        <stp>2019-12-31</stp>
        <stp>3</stp>
        <tr r="F1776" s="1"/>
      </tp>
      <tp>
        <v>5.7199210999999996</v>
        <stp/>
        <stp>EM_S_PQ_PCTCHANGE</stp>
        <stp>4</stp>
        <stp>002196</stp>
        <stp>2018-12-31</stp>
        <stp>2019-12-30</stp>
        <stp>1</stp>
        <tr r="G1966" s="1"/>
      </tp>
      <tp>
        <v>-4.9611476400000001</v>
        <stp/>
        <stp>EM_S_PQ_PCTCHANGE</stp>
        <stp>4</stp>
        <stp>002387</stp>
        <stp>2018-01-01</stp>
        <stp>2019-12-31</stp>
        <stp>3</stp>
        <tr r="F135" s="1"/>
      </tp>
      <tp>
        <v>-39.079229120000001</v>
        <stp/>
        <stp>EM_S_PQ_PCTCHANGE</stp>
        <stp>4</stp>
        <stp>300199</stp>
        <stp>2018-12-31</stp>
        <stp>2019-12-30</stp>
        <stp>1</stp>
        <tr r="G3302" s="1"/>
      </tp>
      <tp>
        <v>-18.700653490000001</v>
        <stp/>
        <stp>EM_S_PQ_PCTCHANGE</stp>
        <stp>4</stp>
        <stp>300388</stp>
        <stp>2018-01-01</stp>
        <stp>2019-12-31</stp>
        <stp>3</stp>
        <tr r="F1290" s="1"/>
      </tp>
      <tp>
        <v>52.81690141</v>
        <stp/>
        <stp>EM_S_PQ_PCTCHANGE</stp>
        <stp>4</stp>
        <stp>300198</stp>
        <stp>2018-12-31</stp>
        <stp>2019-12-30</stp>
        <stp>1</stp>
        <tr r="G522" s="1"/>
      </tp>
      <tp>
        <v>-4.4179820400000001</v>
        <stp/>
        <stp>EM_S_PQ_PCTCHANGE</stp>
        <stp>4</stp>
        <stp>300389</stp>
        <stp>2018-01-01</stp>
        <stp>2019-12-31</stp>
        <stp>3</stp>
        <tr r="F3203" s="1"/>
      </tp>
      <tp>
        <v>47.486413040000002</v>
        <stp/>
        <stp>EM_S_PQ_PCTCHANGE</stp>
        <stp>4</stp>
        <stp>300191</stp>
        <stp>2018-12-31</stp>
        <stp>2019-12-30</stp>
        <stp>1</stp>
        <tr r="G602" s="1"/>
      </tp>
      <tp>
        <v>-5.9437315399999999</v>
        <stp/>
        <stp>EM_S_PQ_PCTCHANGE</stp>
        <stp>4</stp>
        <stp>300380</stp>
        <stp>2018-01-01</stp>
        <stp>2019-12-31</stp>
        <stp>3</stp>
        <tr r="F1006" s="1"/>
      </tp>
      <tp>
        <v>39.430894309999999</v>
        <stp/>
        <stp>EM_S_PQ_PCTCHANGE</stp>
        <stp>4</stp>
        <stp>300190</stp>
        <stp>2018-12-31</stp>
        <stp>2019-12-30</stp>
        <stp>1</stp>
        <tr r="G746" s="1"/>
      </tp>
      <tp>
        <v>-24.153783659999998</v>
        <stp/>
        <stp>EM_S_PQ_PCTCHANGE</stp>
        <stp>4</stp>
        <stp>300381</stp>
        <stp>2018-01-01</stp>
        <stp>2019-12-31</stp>
        <stp>3</stp>
        <tr r="F1162" s="1"/>
      </tp>
      <tp>
        <v>24.512534819999999</v>
        <stp/>
        <stp>EM_S_PQ_PCTCHANGE</stp>
        <stp>4</stp>
        <stp>300193</stp>
        <stp>2018-12-31</stp>
        <stp>2019-12-30</stp>
        <stp>1</stp>
        <tr r="G1114" s="1"/>
      </tp>
      <tp>
        <v>-28.883153719999999</v>
        <stp/>
        <stp>EM_S_PQ_PCTCHANGE</stp>
        <stp>4</stp>
        <stp>300382</stp>
        <stp>2018-01-01</stp>
        <stp>2019-12-31</stp>
        <stp>3</stp>
        <tr r="F2351" s="1"/>
      </tp>
      <tp>
        <v>61.098398170000003</v>
        <stp/>
        <stp>EM_S_PQ_PCTCHANGE</stp>
        <stp>4</stp>
        <stp>300192</stp>
        <stp>2018-12-31</stp>
        <stp>2019-12-30</stp>
        <stp>1</stp>
        <tr r="G413" s="1"/>
      </tp>
      <tp>
        <v>52.561461010000002</v>
        <stp/>
        <stp>EM_S_PQ_PCTCHANGE</stp>
        <stp>4</stp>
        <stp>300383</stp>
        <stp>2018-01-01</stp>
        <stp>2019-12-31</stp>
        <stp>3</stp>
        <tr r="F447" s="1"/>
      </tp>
      <tp>
        <v>-9.1708542699999995</v>
        <stp/>
        <stp>EM_S_PQ_PCTCHANGE</stp>
        <stp>4</stp>
        <stp>300195</stp>
        <stp>2018-12-31</stp>
        <stp>2019-12-30</stp>
        <stp>1</stp>
        <tr r="G2722" s="1"/>
      </tp>
      <tp>
        <v>16.814095330000001</v>
        <stp/>
        <stp>EM_S_PQ_PCTCHANGE</stp>
        <stp>4</stp>
        <stp>300384</stp>
        <stp>2018-01-01</stp>
        <stp>2019-12-31</stp>
        <stp>3</stp>
        <tr r="F530" s="1"/>
      </tp>
      <tp>
        <v>68.535825549999998</v>
        <stp/>
        <stp>EM_S_PQ_PCTCHANGE</stp>
        <stp>4</stp>
        <stp>300194</stp>
        <stp>2018-12-31</stp>
        <stp>2019-12-30</stp>
        <stp>1</stp>
        <tr r="G334" s="1"/>
      </tp>
      <tp>
        <v>-20.35110559</v>
        <stp/>
        <stp>EM_S_PQ_PCTCHANGE</stp>
        <stp>4</stp>
        <stp>300385</stp>
        <stp>2018-01-01</stp>
        <stp>2019-12-31</stp>
        <stp>3</stp>
        <tr r="F2956" s="1"/>
      </tp>
      <tp>
        <v>-20.580474930000001</v>
        <stp/>
        <stp>EM_S_PQ_PCTCHANGE</stp>
        <stp>4</stp>
        <stp>300197</stp>
        <stp>2018-12-31</stp>
        <stp>2019-12-30</stp>
        <stp>1</stp>
        <tr r="G3073" s="1"/>
      </tp>
      <tp>
        <v>0.29863843000000001</v>
        <stp/>
        <stp>EM_S_PQ_PCTCHANGE</stp>
        <stp>4</stp>
        <stp>300386</stp>
        <stp>2018-01-01</stp>
        <stp>2019-12-31</stp>
        <stp>3</stp>
        <tr r="F696" s="1"/>
      </tp>
      <tp>
        <v>31.143827859999998</v>
        <stp/>
        <stp>EM_S_PQ_PCTCHANGE</stp>
        <stp>4</stp>
        <stp>300196</stp>
        <stp>2018-12-31</stp>
        <stp>2019-12-30</stp>
        <stp>1</stp>
        <tr r="G904" s="1"/>
      </tp>
      <tp>
        <v>26.3520267</v>
        <stp/>
        <stp>EM_S_PQ_PCTCHANGE</stp>
        <stp>4</stp>
        <stp>300387</stp>
        <stp>2018-01-01</stp>
        <stp>2019-12-31</stp>
        <stp>3</stp>
        <tr r="F304" s="1"/>
      </tp>
      <tp>
        <v>46.15384615</v>
        <stp/>
        <stp>EM_S_PQ_PCTCHANGE</stp>
        <stp>4</stp>
        <stp>300189</stp>
        <stp>2018-12-31</stp>
        <stp>2019-12-30</stp>
        <stp>1</stp>
        <tr r="G624" s="1"/>
      </tp>
      <tp>
        <v>-14.415377250000001</v>
        <stp/>
        <stp>EM_S_PQ_PCTCHANGE</stp>
        <stp>4</stp>
        <stp>300398</stp>
        <stp>2018-01-01</stp>
        <stp>2019-12-31</stp>
        <stp>3</stp>
        <tr r="F2573" s="1"/>
      </tp>
      <tp>
        <v>31.105990779999999</v>
        <stp/>
        <stp>EM_S_PQ_PCTCHANGE</stp>
        <stp>4</stp>
        <stp>300188</stp>
        <stp>2018-12-31</stp>
        <stp>2019-12-30</stp>
        <stp>1</stp>
        <tr r="G906" s="1"/>
      </tp>
      <tp>
        <v>-10.600804</v>
        <stp/>
        <stp>EM_S_PQ_PCTCHANGE</stp>
        <stp>4</stp>
        <stp>300399</stp>
        <stp>2018-01-01</stp>
        <stp>2019-12-31</stp>
        <stp>3</stp>
        <tr r="F472" s="1"/>
      </tp>
      <tp>
        <v>-4.06189555</v>
        <stp/>
        <stp>EM_S_PQ_PCTCHANGE</stp>
        <stp>4</stp>
        <stp>300181</stp>
        <stp>2018-12-31</stp>
        <stp>2019-12-30</stp>
        <stp>1</stp>
        <tr r="G2515" s="1"/>
      </tp>
      <tp>
        <v>49.863404920000001</v>
        <stp/>
        <stp>EM_S_PQ_PCTCHANGE</stp>
        <stp>4</stp>
        <stp>300390</stp>
        <stp>2018-01-01</stp>
        <stp>2019-12-31</stp>
        <stp>3</stp>
        <tr r="F2862" s="1"/>
      </tp>
      <tp>
        <v>-19.461883409999999</v>
        <stp/>
        <stp>EM_S_PQ_PCTCHANGE</stp>
        <stp>4</stp>
        <stp>300180</stp>
        <stp>2018-12-31</stp>
        <stp>2019-12-30</stp>
        <stp>1</stp>
        <tr r="G3053" s="1"/>
      </tp>
      <tp>
        <v>-16.424038190000001</v>
        <stp/>
        <stp>EM_S_PQ_PCTCHANGE</stp>
        <stp>4</stp>
        <stp>300391</stp>
        <stp>2018-01-01</stp>
        <stp>2019-12-31</stp>
        <stp>3</stp>
        <tr r="F3154" s="1"/>
      </tp>
      <tp>
        <v>26.33814783</v>
        <stp/>
        <stp>EM_S_PQ_PCTCHANGE</stp>
        <stp>4</stp>
        <stp>300183</stp>
        <stp>2018-12-31</stp>
        <stp>2019-12-30</stp>
        <stp>1</stp>
        <tr r="G1047" s="1"/>
      </tp>
      <tp>
        <v>-49.832551909999999</v>
        <stp/>
        <stp>EM_S_PQ_PCTCHANGE</stp>
        <stp>4</stp>
        <stp>300392</stp>
        <stp>2018-01-01</stp>
        <stp>2019-12-31</stp>
        <stp>3</stp>
        <tr r="F2449" s="1"/>
      </tp>
      <tp>
        <v>-18.18181818</v>
        <stp/>
        <stp>EM_S_PQ_PCTCHANGE</stp>
        <stp>4</stp>
        <stp>300182</stp>
        <stp>2018-12-31</stp>
        <stp>2019-12-30</stp>
        <stp>1</stp>
        <tr r="G3029" s="1"/>
      </tp>
      <tp>
        <v>-35.06102387</v>
        <stp/>
        <stp>EM_S_PQ_PCTCHANGE</stp>
        <stp>4</stp>
        <stp>300393</stp>
        <stp>2018-01-01</stp>
        <stp>2019-12-31</stp>
        <stp>3</stp>
        <tr r="F2477" s="1"/>
      </tp>
      <tp>
        <v>10.55900621</v>
        <stp/>
        <stp>EM_S_PQ_PCTCHANGE</stp>
        <stp>4</stp>
        <stp>300185</stp>
        <stp>2018-12-31</stp>
        <stp>2019-12-30</stp>
        <stp>1</stp>
        <tr r="G1705" s="1"/>
      </tp>
      <tp>
        <v>76.494000610000001</v>
        <stp/>
        <stp>EM_S_PQ_PCTCHANGE</stp>
        <stp>4</stp>
        <stp>300394</stp>
        <stp>2018-01-01</stp>
        <stp>2019-12-31</stp>
        <stp>3</stp>
        <tr r="F554" s="1"/>
      </tp>
      <tp>
        <v>-3.8107753</v>
        <stp/>
        <stp>EM_S_PQ_PCTCHANGE</stp>
        <stp>4</stp>
        <stp>300184</stp>
        <stp>2018-12-31</stp>
        <stp>2019-12-30</stp>
        <stp>1</stp>
        <tr r="G2506" s="1"/>
      </tp>
      <tp>
        <v>31.620508180000002</v>
        <stp/>
        <stp>EM_S_PQ_PCTCHANGE</stp>
        <stp>4</stp>
        <stp>300395</stp>
        <stp>2018-01-01</stp>
        <stp>2019-12-31</stp>
        <stp>3</stp>
        <tr r="F574" s="1"/>
      </tp>
      <tp>
        <v>-10.76923077</v>
        <stp/>
        <stp>EM_S_PQ_PCTCHANGE</stp>
        <stp>4</stp>
        <stp>300187</stp>
        <stp>2018-12-31</stp>
        <stp>2019-12-30</stp>
        <stp>1</stp>
        <tr r="G2789" s="1"/>
      </tp>
      <tp>
        <v>-28.554279829999999</v>
        <stp/>
        <stp>EM_S_PQ_PCTCHANGE</stp>
        <stp>4</stp>
        <stp>300396</stp>
        <stp>2018-01-01</stp>
        <stp>2019-12-31</stp>
        <stp>3</stp>
        <tr r="F723" s="1"/>
      </tp>
      <tp>
        <v>212.93743372</v>
        <stp/>
        <stp>EM_S_PQ_PCTCHANGE</stp>
        <stp>4</stp>
        <stp>300397</stp>
        <stp>2019-01-01</stp>
        <stp>2019-12-31</stp>
        <stp>3</stp>
        <tr r="G41" s="1"/>
      </tp>
      <tp>
        <v>0</v>
        <stp/>
        <stp>EM_S_PQ_PCTCHANGE</stp>
        <stp>4</stp>
        <stp>300186</stp>
        <stp>2018-12-31</stp>
        <stp>2019-12-30</stp>
        <stp>1</stp>
        <tr r="G2281" s="1"/>
      </tp>
      <tp>
        <v>52.822371830000002</v>
        <stp/>
        <stp>EM_S_PQ_PCTCHANGE</stp>
        <stp>4</stp>
        <stp>300397</stp>
        <stp>2018-01-01</stp>
        <stp>2019-12-31</stp>
        <stp>3</stp>
        <tr r="F41" s="1"/>
      </tp>
      <tp>
        <v>1.34892528013586</v>
        <stp/>
        <stp>EM_S_VAL_PBGOODWILLDEDUCTED</stp>
        <stp>2</stp>
        <stp>600589</stp>
        <stp>12/31/2018</stp>
        <tr r="N818" s="1"/>
      </tp>
      <tp>
        <v>7.2283222473948596</v>
        <stp/>
        <stp>EM_S_VAL_PBGOODWILLDEDUCTED</stp>
        <stp>2</stp>
        <stp>600588</stp>
        <stp>12/31/2018</stp>
        <tr r="N868" s="1"/>
      </tp>
      <tp>
        <v>0.94688657524932296</v>
        <stp/>
        <stp>EM_S_VAL_PBGOODWILLDEDUCTED</stp>
        <stp>2</stp>
        <stp>600583</stp>
        <stp>12/31/2018</stp>
        <tr r="N616" s="1"/>
      </tp>
      <tp>
        <v>0.89929656051205797</v>
        <stp/>
        <stp>EM_S_VAL_PBGOODWILLDEDUCTED</stp>
        <stp>2</stp>
        <stp>600582</stp>
        <stp>12/31/2018</stp>
        <tr r="N2641" s="1"/>
      </tp>
      <tp>
        <v>1.3498688362065101</v>
        <stp/>
        <stp>EM_S_VAL_PBGOODWILLDEDUCTED</stp>
        <stp>2</stp>
        <stp>600581</stp>
        <stp>12/31/2018</stp>
        <tr r="N2480" s="1"/>
      </tp>
      <tp>
        <v>1.72426549711687</v>
        <stp/>
        <stp>EM_S_VAL_PBGOODWILLDEDUCTED</stp>
        <stp>2</stp>
        <stp>600580</stp>
        <stp>12/31/2018</stp>
        <tr r="N186" s="1"/>
      </tp>
      <tp>
        <v>1.89718392674987</v>
        <stp/>
        <stp>EM_S_VAL_PBGOODWILLDEDUCTED</stp>
        <stp>2</stp>
        <stp>600587</stp>
        <stp>12/31/2018</stp>
        <tr r="N1818" s="1"/>
      </tp>
      <tp>
        <v>0.98374980999267203</v>
        <stp/>
        <stp>EM_S_VAL_PBGOODWILLDEDUCTED</stp>
        <stp>2</stp>
        <stp>600586</stp>
        <stp>12/31/2018</stp>
        <tr r="N2118" s="1"/>
      </tp>
      <tp>
        <v>1.38323375817977</v>
        <stp/>
        <stp>EM_S_VAL_PBGOODWILLDEDUCTED</stp>
        <stp>2</stp>
        <stp>600585</stp>
        <stp>12/31/2018</stp>
        <tr r="N248" s="1"/>
      </tp>
      <tp>
        <v>1.31801103786396</v>
        <stp/>
        <stp>EM_S_VAL_PBGOODWILLDEDUCTED</stp>
        <stp>2</stp>
        <stp>600584</stp>
        <stp>12/31/2018</stp>
        <tr r="N62" s="1"/>
      </tp>
      <tp>
        <v>2.4977947812699202</v>
        <stp/>
        <stp>EM_S_VAL_PBGOODWILLDEDUCTED</stp>
        <stp>2</stp>
        <stp>600599</stp>
        <stp>12/31/2018</stp>
        <tr r="N2128" s="1"/>
      </tp>
      <tp>
        <v>2.3370329033937001</v>
        <stp/>
        <stp>EM_S_VAL_PBGOODWILLDEDUCTED</stp>
        <stp>2</stp>
        <stp>600598</stp>
        <stp>12/31/2018</stp>
        <tr r="N1569" s="1"/>
      </tp>
      <tp>
        <v>6.7618750468668498</v>
        <stp/>
        <stp>EM_S_VAL_PBGOODWILLDEDUCTED</stp>
        <stp>2</stp>
        <stp>600593</stp>
        <stp>12/31/2018</stp>
        <tr r="N387" s="1"/>
      </tp>
      <tp>
        <v>1.16739192102824</v>
        <stp/>
        <stp>EM_S_VAL_PBGOODWILLDEDUCTED</stp>
        <stp>2</stp>
        <stp>600592</stp>
        <stp>12/31/2018</stp>
        <tr r="N53" s="1"/>
      </tp>
      <tp>
        <v>8.69397760056113</v>
        <stp/>
        <stp>EM_S_VAL_PBGOODWILLDEDUCTED</stp>
        <stp>2</stp>
        <stp>600591</stp>
        <stp>12/31/2018</stp>
        <tr r="N2305" s="1"/>
      </tp>
      <tp>
        <v>1.7074010052616999</v>
        <stp/>
        <stp>EM_S_VAL_PBGOODWILLDEDUCTED</stp>
        <stp>2</stp>
        <stp>600590</stp>
        <stp>12/31/2018</stp>
        <tr r="N1835" s="1"/>
      </tp>
      <tp>
        <v>2.01353867086224</v>
        <stp/>
        <stp>EM_S_VAL_PBGOODWILLDEDUCTED</stp>
        <stp>2</stp>
        <stp>600597</stp>
        <stp>12/31/2018</stp>
        <tr r="N587" s="1"/>
      </tp>
      <tp>
        <v>1.36038123017504</v>
        <stp/>
        <stp>EM_S_VAL_PBGOODWILLDEDUCTED</stp>
        <stp>2</stp>
        <stp>600596</stp>
        <stp>12/31/2018</stp>
        <tr r="N2764" s="1"/>
      </tp>
      <tp>
        <v>1.1526672959987401</v>
        <stp/>
        <stp>EM_S_VAL_PBGOODWILLDEDUCTED</stp>
        <stp>2</stp>
        <stp>600595</stp>
        <stp>12/31/2018</stp>
        <tr r="N1620" s="1"/>
      </tp>
      <tp>
        <v>1.6545730515911901</v>
        <stp/>
        <stp>EM_S_VAL_PBGOODWILLDEDUCTED</stp>
        <stp>2</stp>
        <stp>600594</stp>
        <stp>12/31/2018</stp>
        <tr r="N2856" s="1"/>
      </tp>
      <tp>
        <v>2.1761356657392699</v>
        <stp/>
        <stp>EM_S_VAL_PBGOODWILLDEDUCTED</stp>
        <stp>2</stp>
        <stp>300599</stp>
        <stp>12/31/2018</stp>
        <tr r="N2093" s="1"/>
      </tp>
      <tp>
        <v>3.80183397913604</v>
        <stp/>
        <stp>EM_S_VAL_PBGOODWILLDEDUCTED</stp>
        <stp>2</stp>
        <stp>300598</stp>
        <stp>12/31/2018</stp>
        <tr r="N16" s="1"/>
      </tp>
      <tp>
        <v>3.90844500985347</v>
        <stp/>
        <stp>EM_S_VAL_PBGOODWILLDEDUCTED</stp>
        <stp>2</stp>
        <stp>300593</stp>
        <stp>12/31/2018</stp>
        <tr r="N1675" s="1"/>
      </tp>
      <tp>
        <v>2.1878567555265298</v>
        <stp/>
        <stp>EM_S_VAL_PBGOODWILLDEDUCTED</stp>
        <stp>2</stp>
        <stp>300592</stp>
        <stp>12/31/2018</stp>
        <tr r="N1026" s="1"/>
      </tp>
      <tp>
        <v>4.1745902229791296</v>
        <stp/>
        <stp>EM_S_VAL_PBGOODWILLDEDUCTED</stp>
        <stp>2</stp>
        <stp>300591</stp>
        <stp>12/31/2018</stp>
        <tr r="N2386" s="1"/>
      </tp>
      <tp>
        <v>4.6303276324054297</v>
        <stp/>
        <stp>EM_S_VAL_PBGOODWILLDEDUCTED</stp>
        <stp>2</stp>
        <stp>300590</stp>
        <stp>12/31/2018</stp>
        <tr r="N609" s="1"/>
      </tp>
      <tp>
        <v>4.5849193949996696</v>
        <stp/>
        <stp>EM_S_VAL_PBGOODWILLDEDUCTED</stp>
        <stp>2</stp>
        <stp>300597</stp>
        <stp>12/31/2018</stp>
        <tr r="N3046" s="1"/>
      </tp>
      <tp>
        <v>5.3419017208708599</v>
        <stp/>
        <stp>EM_S_VAL_PBGOODWILLDEDUCTED</stp>
        <stp>2</stp>
        <stp>300596</stp>
        <stp>12/31/2018</stp>
        <tr r="N1350" s="1"/>
      </tp>
      <tp>
        <v>8.8795813375561998</v>
        <stp/>
        <stp>EM_S_VAL_PBGOODWILLDEDUCTED</stp>
        <stp>2</stp>
        <stp>300595</stp>
        <stp>12/31/2018</stp>
        <tr r="N1286" s="1"/>
      </tp>
      <tp>
        <v>6.5986370783569299</v>
        <stp/>
        <stp>EM_S_VAL_PBGOODWILLDEDUCTED</stp>
        <stp>2</stp>
        <stp>300589</stp>
        <stp>12/31/2018</stp>
        <tr r="N1439" s="1"/>
      </tp>
      <tp>
        <v>4.4944078746212899</v>
        <stp/>
        <stp>EM_S_VAL_PBGOODWILLDEDUCTED</stp>
        <stp>2</stp>
        <stp>300588</stp>
        <stp>12/31/2018</stp>
        <tr r="N2696" s="1"/>
      </tp>
      <tp>
        <v>1.97970796822873</v>
        <stp/>
        <stp>EM_S_VAL_PBGOODWILLDEDUCTED</stp>
        <stp>2</stp>
        <stp>300583</stp>
        <stp>12/31/2018</stp>
        <tr r="N2080" s="1"/>
      </tp>
      <tp>
        <v>2.1103471225102499</v>
        <stp/>
        <stp>EM_S_VAL_PBGOODWILLDEDUCTED</stp>
        <stp>2</stp>
        <stp>300582</stp>
        <stp>12/31/2018</stp>
        <tr r="N1308" s="1"/>
      </tp>
      <tp>
        <v>3.3332650899238701</v>
        <stp/>
        <stp>EM_S_VAL_PBGOODWILLDEDUCTED</stp>
        <stp>2</stp>
        <stp>300581</stp>
        <stp>12/31/2018</stp>
        <tr r="N989" s="1"/>
      </tp>
      <tp>
        <v>1.87827489783984</v>
        <stp/>
        <stp>EM_S_VAL_PBGOODWILLDEDUCTED</stp>
        <stp>2</stp>
        <stp>300580</stp>
        <stp>12/31/2018</stp>
        <tr r="N1402" s="1"/>
      </tp>
      <tp>
        <v>2.5719529820901701</v>
        <stp/>
        <stp>EM_S_VAL_PBGOODWILLDEDUCTED</stp>
        <stp>2</stp>
        <stp>300587</stp>
        <stp>12/31/2018</stp>
        <tr r="N2762" s="1"/>
      </tp>
      <tp>
        <v>4.1098943317085297</v>
        <stp/>
        <stp>EM_S_VAL_PBGOODWILLDEDUCTED</stp>
        <stp>2</stp>
        <stp>300586</stp>
        <stp>12/31/2018</stp>
        <tr r="N117" s="1"/>
      </tp>
      <tp>
        <v>3.5253981947328499</v>
        <stp/>
        <stp>EM_S_VAL_PBGOODWILLDEDUCTED</stp>
        <stp>2</stp>
        <stp>300585</stp>
        <stp>12/31/2018</stp>
        <tr r="N290" s="1"/>
      </tp>
      <tp>
        <v>4.9865196498101598</v>
        <stp/>
        <stp>EM_S_VAL_PBGOODWILLDEDUCTED</stp>
        <stp>2</stp>
        <stp>300584</stp>
        <stp>12/31/2018</stp>
        <tr r="N1602" s="1"/>
      </tp>
      <tp>
        <v>0.76332965899383898</v>
        <stp/>
        <stp>EM_S_VAL_PBGOODWILLDEDUCTED</stp>
        <stp>2</stp>
        <stp>000589</stp>
        <stp>12/31/2018</stp>
        <tr r="N3471" s="1"/>
      </tp>
      <tp>
        <v>4.72882693087137</v>
        <stp/>
        <stp>EM_S_VAL_PBGOODWILLDEDUCTED</stp>
        <stp>2</stp>
        <stp>000588</stp>
        <stp>12/31/2018</stp>
        <tr r="N3470" s="1"/>
      </tp>
      <tp>
        <v>-8.4972079176136597E-2</v>
        <stp/>
        <stp>EM_S_VAL_PBGOODWILLDEDUCTED</stp>
        <stp>2</stp>
        <stp>000583</stp>
        <stp>12/31/2018</stp>
        <tr r="N3466" s="1"/>
      </tp>
      <tp>
        <v>1.2571105142496299</v>
        <stp/>
        <stp>EM_S_VAL_PBGOODWILLDEDUCTED</stp>
        <stp>2</stp>
        <stp>000582</stp>
        <stp>12/31/2018</stp>
        <tr r="N1167" s="1"/>
      </tp>
      <tp>
        <v>1.1197848806398001</v>
        <stp/>
        <stp>EM_S_VAL_PBGOODWILLDEDUCTED</stp>
        <stp>2</stp>
        <stp>000581</stp>
        <stp>12/31/2018</stp>
        <tr r="N3465" s="1"/>
      </tp>
      <tp>
        <v>1.4643094289145799</v>
        <stp/>
        <stp>EM_S_VAL_PBGOODWILLDEDUCTED</stp>
        <stp>2</stp>
        <stp>000587</stp>
        <stp>12/31/2018</stp>
        <tr r="N3469" s="1"/>
      </tp>
      <tp>
        <v>9.53387531729412</v>
        <stp/>
        <stp>EM_S_VAL_PBGOODWILLDEDUCTED</stp>
        <stp>2</stp>
        <stp>000586</stp>
        <stp>12/31/2018</stp>
        <tr r="N3468" s="1"/>
      </tp>
      <tp>
        <v>206.709561005832</v>
        <stp/>
        <stp>EM_S_VAL_PBGOODWILLDEDUCTED</stp>
        <stp>2</stp>
        <stp>000585</stp>
        <stp>12/31/2018</stp>
        <tr r="N3467" s="1"/>
      </tp>
      <tp>
        <v>5.1120942364800097</v>
        <stp/>
        <stp>EM_S_VAL_PBGOODWILLDEDUCTED</stp>
        <stp>2</stp>
        <stp>000584</stp>
        <stp>12/31/2018</stp>
        <tr r="N2403" s="1"/>
      </tp>
      <tp>
        <v>0.84249580839292904</v>
        <stp/>
        <stp>EM_S_VAL_PBGOODWILLDEDUCTED</stp>
        <stp>2</stp>
        <stp>000599</stp>
        <stp>12/31/2018</stp>
        <tr r="N3476" s="1"/>
      </tp>
      <tp>
        <v>1.1524438001764801</v>
        <stp/>
        <stp>EM_S_VAL_PBGOODWILLDEDUCTED</stp>
        <stp>2</stp>
        <stp>000598</stp>
        <stp>12/31/2018</stp>
        <tr r="N1507" s="1"/>
      </tp>
      <tp>
        <v>3.61674645995345</v>
        <stp/>
        <stp>EM_S_VAL_PBGOODWILLDEDUCTED</stp>
        <stp>2</stp>
        <stp>000593</stp>
        <stp>12/31/2018</stp>
        <tr r="N3473" s="1"/>
      </tp>
      <tp>
        <v>1.6221003339706099</v>
        <stp/>
        <stp>EM_S_VAL_PBGOODWILLDEDUCTED</stp>
        <stp>2</stp>
        <stp>000592</stp>
        <stp>12/31/2018</stp>
        <tr r="N1951" s="1"/>
      </tp>
      <tp>
        <v>0.69909569981427899</v>
        <stp/>
        <stp>EM_S_VAL_PBGOODWILLDEDUCTED</stp>
        <stp>2</stp>
        <stp>000591</stp>
        <stp>12/31/2018</stp>
        <tr r="N1170" s="1"/>
      </tp>
      <tp>
        <v>3.1394216598654201</v>
        <stp/>
        <stp>EM_S_VAL_PBGOODWILLDEDUCTED</stp>
        <stp>2</stp>
        <stp>000590</stp>
        <stp>12/31/2018</stp>
        <tr r="N3472" s="1"/>
      </tp>
      <tp>
        <v>1.67999920290661</v>
        <stp/>
        <stp>EM_S_VAL_PBGOODWILLDEDUCTED</stp>
        <stp>2</stp>
        <stp>000597</stp>
        <stp>12/31/2018</stp>
        <tr r="N3256" s="1"/>
      </tp>
      <tp>
        <v>3.8146263852992699</v>
        <stp/>
        <stp>EM_S_VAL_PBGOODWILLDEDUCTED</stp>
        <stp>2</stp>
        <stp>000596</stp>
        <stp>12/31/2018</stp>
        <tr r="N77" s="1"/>
      </tp>
      <tp>
        <v>5.5954318837734602</v>
        <stp/>
        <stp>EM_S_VAL_PBGOODWILLDEDUCTED</stp>
        <stp>2</stp>
        <stp>000595</stp>
        <stp>12/31/2018</stp>
        <tr r="N3475" s="1"/>
      </tp>
      <tp>
        <v>-0.429247872858744</v>
        <stp/>
        <stp>EM_S_VAL_PBGOODWILLDEDUCTED</stp>
        <stp>2</stp>
        <stp>000594</stp>
        <stp>12/31/2018</stp>
        <tr r="N3474" s="1"/>
      </tp>
      <tp>
        <v>152.944095846745</v>
        <stp/>
        <stp>EM_S_VAL_PBGOODWILLDEDUCTED</stp>
        <stp>2</stp>
        <stp>000569</stp>
        <stp>12/31/2018</stp>
        <tr r="N3460" s="1"/>
      </tp>
      <tp>
        <v>6.7233932554518896</v>
        <stp/>
        <stp>EM_S_VAL_PBGOODWILLDEDUCTED</stp>
        <stp>2</stp>
        <stp>300559</stp>
        <stp>12/31/2018</stp>
        <tr r="N2942" s="1"/>
      </tp>
      <tp>
        <v>0.63214326235444696</v>
        <stp/>
        <stp>EM_S_VAL_PBGOODWILLDEDUCTED</stp>
        <stp>2</stp>
        <stp>600509</stp>
        <stp>12/31/2018</stp>
        <tr r="N2207" s="1"/>
      </tp>
      <tp>
        <v>3.5106389038276302</v>
        <stp/>
        <stp>EM_S_VAL_PBGOODWILLDEDUCTED</stp>
        <stp>2</stp>
        <stp>000568</stp>
        <stp>12/31/2018</stp>
        <tr r="N129" s="1"/>
      </tp>
      <tp>
        <v>7.2259814083060103</v>
        <stp/>
        <stp>EM_S_VAL_PBGOODWILLDEDUCTED</stp>
        <stp>2</stp>
        <stp>300558</stp>
        <stp>12/31/2018</stp>
        <tr r="N157" s="1"/>
      </tp>
      <tp>
        <v>0.73325258840708396</v>
        <stp/>
        <stp>EM_S_VAL_PBGOODWILLDEDUCTED</stp>
        <stp>2</stp>
        <stp>600508</stp>
        <stp>12/31/2018</stp>
        <tr r="N2440" s="1"/>
      </tp>
      <tp>
        <v>1.0200383194293401</v>
        <stp/>
        <stp>EM_S_VAL_PBGOODWILLDEDUCTED</stp>
        <stp>2</stp>
        <stp>000563</stp>
        <stp>12/31/2018</stp>
        <tr r="N3456" s="1"/>
      </tp>
      <tp>
        <v>4.7916309322677302</v>
        <stp/>
        <stp>EM_S_VAL_PBGOODWILLDEDUCTED</stp>
        <stp>2</stp>
        <stp>300553</stp>
        <stp>12/31/2018</stp>
        <tr r="N1587" s="1"/>
      </tp>
      <tp>
        <v>1.2914585379273</v>
        <stp/>
        <stp>EM_S_VAL_PBGOODWILLDEDUCTED</stp>
        <stp>2</stp>
        <stp>600503</stp>
        <stp>12/31/2018</stp>
        <tr r="N2014" s="1"/>
      </tp>
      <tp>
        <v>7.6771092663265197</v>
        <stp/>
        <stp>EM_S_VAL_PBGOODWILLDEDUCTED</stp>
        <stp>2</stp>
        <stp>000562</stp>
        <stp>12/31/2018</stp>
        <tr r="N3455" s="1"/>
      </tp>
      <tp>
        <v>2.0451172166922298</v>
        <stp/>
        <stp>EM_S_VAL_PBGOODWILLDEDUCTED</stp>
        <stp>2</stp>
        <stp>300552</stp>
        <stp>12/31/2018</stp>
        <tr r="N15" s="1"/>
      </tp>
      <tp>
        <v>0.88731522584492895</v>
        <stp/>
        <stp>EM_S_VAL_PBGOODWILLDEDUCTED</stp>
        <stp>2</stp>
        <stp>600502</stp>
        <stp>12/31/2018</stp>
        <tr r="N1556" s="1"/>
      </tp>
      <tp>
        <v>2.4695913515975598</v>
        <stp/>
        <stp>EM_S_VAL_PBGOODWILLDEDUCTED</stp>
        <stp>2</stp>
        <stp>000561</stp>
        <stp>12/31/2018</stp>
        <tr r="N926" s="1"/>
      </tp>
      <tp>
        <v>2.3297978088541398</v>
        <stp/>
        <stp>EM_S_VAL_PBGOODWILLDEDUCTED</stp>
        <stp>2</stp>
        <stp>300551</stp>
        <stp>12/31/2018</stp>
        <tr r="N113" s="1"/>
      </tp>
      <tp>
        <v>1.25111414873661</v>
        <stp/>
        <stp>EM_S_VAL_PBGOODWILLDEDUCTED</stp>
        <stp>2</stp>
        <stp>600501</stp>
        <stp>12/31/2018</stp>
        <tr r="N972" s="1"/>
      </tp>
      <tp>
        <v>2.2538554258142498</v>
        <stp/>
        <stp>EM_S_VAL_PBGOODWILLDEDUCTED</stp>
        <stp>2</stp>
        <stp>000560</stp>
        <stp>12/31/2018</stp>
        <tr r="N2688" s="1"/>
      </tp>
      <tp>
        <v>7.9520916677590101</v>
        <stp/>
        <stp>EM_S_VAL_PBGOODWILLDEDUCTED</stp>
        <stp>2</stp>
        <stp>300550</stp>
        <stp>12/31/2018</stp>
        <tr r="N3349" s="1"/>
      </tp>
      <tp>
        <v>2.1355586158243902</v>
        <stp/>
        <stp>EM_S_VAL_PBGOODWILLDEDUCTED</stp>
        <stp>2</stp>
        <stp>600500</stp>
        <stp>12/31/2018</stp>
        <tr r="N3109" s="1"/>
      </tp>
      <tp>
        <v>1.18732237004936</v>
        <stp/>
        <stp>EM_S_VAL_PBGOODWILLDEDUCTED</stp>
        <stp>2</stp>
        <stp>000567</stp>
        <stp>12/31/2018</stp>
        <tr r="N3459" s="1"/>
      </tp>
      <tp>
        <v>2.55473918197228</v>
        <stp/>
        <stp>EM_S_VAL_PBGOODWILLDEDUCTED</stp>
        <stp>2</stp>
        <stp>300557</stp>
        <stp>12/31/2018</stp>
        <tr r="N1012" s="1"/>
      </tp>
      <tp>
        <v>2.2475166664851298</v>
        <stp/>
        <stp>EM_S_VAL_PBGOODWILLDEDUCTED</stp>
        <stp>2</stp>
        <stp>600507</stp>
        <stp>12/31/2018</stp>
        <tr r="N2209" s="1"/>
      </tp>
      <tp>
        <v>1.58745138694473</v>
        <stp/>
        <stp>EM_S_VAL_PBGOODWILLDEDUCTED</stp>
        <stp>2</stp>
        <stp>000566</stp>
        <stp>12/31/2018</stp>
        <tr r="N1499" s="1"/>
      </tp>
      <tp>
        <v>3.9088413476535</v>
        <stp/>
        <stp>EM_S_VAL_PBGOODWILLDEDUCTED</stp>
        <stp>2</stp>
        <stp>300556</stp>
        <stp>12/31/2018</stp>
        <tr r="N2073" s="1"/>
      </tp>
      <tp>
        <v>5.22076773189732</v>
        <stp/>
        <stp>EM_S_VAL_PBGOODWILLDEDUCTED</stp>
        <stp>2</stp>
        <stp>600506</stp>
        <stp>12/31/2018</stp>
        <tr r="N2132" s="1"/>
      </tp>
      <tp>
        <v>1.7120922127523399</v>
        <stp/>
        <stp>EM_S_VAL_PBGOODWILLDEDUCTED</stp>
        <stp>2</stp>
        <stp>000565</stp>
        <stp>12/31/2018</stp>
        <tr r="N3458" s="1"/>
      </tp>
      <tp>
        <v>2.57480753203372</v>
        <stp/>
        <stp>EM_S_VAL_PBGOODWILLDEDUCTED</stp>
        <stp>2</stp>
        <stp>300555</stp>
        <stp>12/31/2018</stp>
        <tr r="N1438" s="1"/>
      </tp>
      <tp>
        <v>1.5030424357657499</v>
        <stp/>
        <stp>EM_S_VAL_PBGOODWILLDEDUCTED</stp>
        <stp>2</stp>
        <stp>600505</stp>
        <stp>12/31/2018</stp>
        <tr r="N146" s="1"/>
      </tp>
      <tp>
        <v>0.51872315459727403</v>
        <stp/>
        <stp>EM_S_VAL_PBGOODWILLDEDUCTED</stp>
        <stp>2</stp>
        <stp>000564</stp>
        <stp>12/31/2018</stp>
        <tr r="N3457" s="1"/>
      </tp>
      <tp>
        <v>3.4905634764672699</v>
        <stp/>
        <stp>EM_S_VAL_PBGOODWILLDEDUCTED</stp>
        <stp>2</stp>
        <stp>300554</stp>
        <stp>12/31/2018</stp>
        <tr r="N2839" s="1"/>
      </tp>
      <tp>
        <v>2.9495182412480498</v>
        <stp/>
        <stp>EM_S_VAL_PBGOODWILLDEDUCTED</stp>
        <stp>2</stp>
        <stp>300549</stp>
        <stp>12/31/2018</stp>
        <tr r="N1330" s="1"/>
      </tp>
      <tp>
        <v>6.56840388182325</v>
        <stp/>
        <stp>EM_S_VAL_PBGOODWILLDEDUCTED</stp>
        <stp>2</stp>
        <stp>600519</stp>
        <stp>12/31/2018</stp>
        <tr r="N160" s="1"/>
      </tp>
      <tp>
        <v>8.5971590800475806</v>
        <stp/>
        <stp>EM_S_VAL_PBGOODWILLDEDUCTED</stp>
        <stp>2</stp>
        <stp>000578</stp>
        <stp>12/31/2018</stp>
        <tr r="N3464" s="1"/>
      </tp>
      <tp>
        <v>5.9680956540774499</v>
        <stp/>
        <stp>EM_S_VAL_PBGOODWILLDEDUCTED</stp>
        <stp>2</stp>
        <stp>300548</stp>
        <stp>12/31/2018</stp>
        <tr r="N199" s="1"/>
      </tp>
      <tp>
        <v>1.8577547651711801</v>
        <stp/>
        <stp>EM_S_VAL_PBGOODWILLDEDUCTED</stp>
        <stp>2</stp>
        <stp>600518</stp>
        <stp>12/31/2018</stp>
        <tr r="N3393" s="1"/>
      </tp>
      <tp>
        <v>1.21468167709022</v>
        <stp/>
        <stp>EM_S_VAL_PBGOODWILLDEDUCTED</stp>
        <stp>2</stp>
        <stp>000573</stp>
        <stp>12/31/2018</stp>
        <tr r="N2239" s="1"/>
      </tp>
      <tp>
        <v>3.0661617801566101</v>
        <stp/>
        <stp>EM_S_VAL_PBGOODWILLDEDUCTED</stp>
        <stp>2</stp>
        <stp>300543</stp>
        <stp>12/31/2018</stp>
        <tr r="N759" s="1"/>
      </tp>
      <tp>
        <v>1.82582929863243</v>
        <stp/>
        <stp>EM_S_VAL_PBGOODWILLDEDUCTED</stp>
        <stp>2</stp>
        <stp>600513</stp>
        <stp>12/31/2018</stp>
        <tr r="N1324" s="1"/>
      </tp>
      <tp>
        <v>0.717223915784443</v>
        <stp/>
        <stp>EM_S_VAL_PBGOODWILLDEDUCTED</stp>
        <stp>2</stp>
        <stp>000572</stp>
        <stp>12/31/2018</stp>
        <tr r="N3463" s="1"/>
      </tp>
      <tp>
        <v>4.4261741438302797</v>
        <stp/>
        <stp>EM_S_VAL_PBGOODWILLDEDUCTED</stp>
        <stp>2</stp>
        <stp>300542</stp>
        <stp>12/31/2018</stp>
        <tr r="N1783" s="1"/>
      </tp>
      <tp>
        <v>0.80107458991898395</v>
        <stp/>
        <stp>EM_S_VAL_PBGOODWILLDEDUCTED</stp>
        <stp>2</stp>
        <stp>600512</stp>
        <stp>12/31/2018</stp>
        <tr r="N947" s="1"/>
      </tp>
      <tp>
        <v>2.1288937356829201</v>
        <stp/>
        <stp>EM_S_VAL_PBGOODWILLDEDUCTED</stp>
        <stp>2</stp>
        <stp>000571</stp>
        <stp>12/31/2018</stp>
        <tr r="N3462" s="1"/>
      </tp>
      <tp>
        <v>3.1946484684654299</v>
        <stp/>
        <stp>EM_S_VAL_PBGOODWILLDEDUCTED</stp>
        <stp>2</stp>
        <stp>300541</stp>
        <stp>12/31/2018</stp>
        <tr r="N463" s="1"/>
      </tp>
      <tp>
        <v>1.9585315944457999</v>
        <stp/>
        <stp>EM_S_VAL_PBGOODWILLDEDUCTED</stp>
        <stp>2</stp>
        <stp>600511</stp>
        <stp>12/31/2018</stp>
        <tr r="N1450" s="1"/>
      </tp>
      <tp>
        <v>1.02752005657694</v>
        <stp/>
        <stp>EM_S_VAL_PBGOODWILLDEDUCTED</stp>
        <stp>2</stp>
        <stp>000570</stp>
        <stp>12/31/2018</stp>
        <tr r="N3461" s="1"/>
      </tp>
      <tp>
        <v>2.82707356811621</v>
        <stp/>
        <stp>EM_S_VAL_PBGOODWILLDEDUCTED</stp>
        <stp>2</stp>
        <stp>300540</stp>
        <stp>12/31/2018</stp>
        <tr r="N1366" s="1"/>
      </tp>
      <tp>
        <v>0.81441256012875796</v>
        <stp/>
        <stp>EM_S_VAL_PBGOODWILLDEDUCTED</stp>
        <stp>2</stp>
        <stp>600510</stp>
        <stp>12/31/2018</stp>
        <tr r="N1618" s="1"/>
      </tp>
      <tp>
        <v>2.55611696588671</v>
        <stp/>
        <stp>EM_S_VAL_PBGOODWILLDEDUCTED</stp>
        <stp>2</stp>
        <stp>300547</stp>
        <stp>12/31/2018</stp>
        <tr r="N3328" s="1"/>
      </tp>
      <tp>
        <v>1.3373974394816199</v>
        <stp/>
        <stp>EM_S_VAL_PBGOODWILLDEDUCTED</stp>
        <stp>2</stp>
        <stp>600517</stp>
        <stp>12/31/2018</stp>
        <tr r="N72" s="1"/>
      </tp>
      <tp>
        <v>6.6205932639562004</v>
        <stp/>
        <stp>EM_S_VAL_PBGOODWILLDEDUCTED</stp>
        <stp>2</stp>
        <stp>000576</stp>
        <stp>12/31/2018</stp>
        <tr r="N1024" s="1"/>
      </tp>
      <tp>
        <v>4.75341429981217</v>
        <stp/>
        <stp>EM_S_VAL_PBGOODWILLDEDUCTED</stp>
        <stp>2</stp>
        <stp>300546</stp>
        <stp>12/31/2018</stp>
        <tr r="N1654" s="1"/>
      </tp>
      <tp>
        <v>2.3920129479485599</v>
        <stp/>
        <stp>EM_S_VAL_PBGOODWILLDEDUCTED</stp>
        <stp>2</stp>
        <stp>600516</stp>
        <stp>12/31/2018</stp>
        <tr r="N3163" s="1"/>
      </tp>
      <tp>
        <v>5.0359627667121796</v>
        <stp/>
        <stp>EM_S_VAL_PBGOODWILLDEDUCTED</stp>
        <stp>2</stp>
        <stp>300545</stp>
        <stp>12/31/2018</stp>
        <tr r="N1071" s="1"/>
      </tp>
      <tp>
        <v>0.59371185139547999</v>
        <stp/>
        <stp>EM_S_VAL_PBGOODWILLDEDUCTED</stp>
        <stp>2</stp>
        <stp>600515</stp>
        <stp>12/31/2018</stp>
        <tr r="N2485" s="1"/>
      </tp>
      <tp>
        <v>4.2514975920547204</v>
        <stp/>
        <stp>EM_S_VAL_PBGOODWILLDEDUCTED</stp>
        <stp>2</stp>
        <stp>000549</stp>
        <stp>12/31/2018</stp>
        <tr r="N3451" s="1"/>
      </tp>
      <tp>
        <v>4.4565152602203</v>
        <stp/>
        <stp>EM_S_VAL_PBGOODWILLDEDUCTED</stp>
        <stp>2</stp>
        <stp>300579</stp>
        <stp>12/31/2018</stp>
        <tr r="N330" s="1"/>
      </tp>
      <tp>
        <v>2.29019186447325</v>
        <stp/>
        <stp>EM_S_VAL_PBGOODWILLDEDUCTED</stp>
        <stp>2</stp>
        <stp>600529</stp>
        <stp>12/31/2018</stp>
        <tr r="N589" s="1"/>
      </tp>
      <tp>
        <v>1.3158733211037399</v>
        <stp/>
        <stp>EM_S_VAL_PBGOODWILLDEDUCTED</stp>
        <stp>2</stp>
        <stp>000548</stp>
        <stp>12/31/2018</stp>
        <tr r="N3450" s="1"/>
      </tp>
      <tp>
        <v>7.1548901822578301</v>
        <stp/>
        <stp>EM_S_VAL_PBGOODWILLDEDUCTED</stp>
        <stp>2</stp>
        <stp>300578</stp>
        <stp>12/31/2018</stp>
        <tr r="N543" s="1"/>
      </tp>
      <tp>
        <v>1.48335368422625</v>
        <stp/>
        <stp>EM_S_VAL_PBGOODWILLDEDUCTED</stp>
        <stp>2</stp>
        <stp>600528</stp>
        <stp>12/31/2018</stp>
        <tr r="N2069" s="1"/>
      </tp>
      <tp>
        <v>0.87677501474709596</v>
        <stp/>
        <stp>EM_S_VAL_PBGOODWILLDEDUCTED</stp>
        <stp>2</stp>
        <stp>000543</stp>
        <stp>12/31/2018</stp>
        <tr r="N2463" s="1"/>
      </tp>
      <tp>
        <v>2.5400182477620499</v>
        <stp/>
        <stp>EM_S_VAL_PBGOODWILLDEDUCTED</stp>
        <stp>2</stp>
        <stp>300573</stp>
        <stp>12/31/2018</stp>
        <tr r="N25" s="1"/>
      </tp>
      <tp>
        <v>1.6771148540569301</v>
        <stp/>
        <stp>EM_S_VAL_PBGOODWILLDEDUCTED</stp>
        <stp>2</stp>
        <stp>600523</stp>
        <stp>12/31/2018</stp>
        <tr r="N688" s="1"/>
      </tp>
      <tp>
        <v>-8.2225664179947007</v>
        <stp/>
        <stp>EM_S_VAL_PBGOODWILLDEDUCTED</stp>
        <stp>2</stp>
        <stp>000542</stp>
        <stp>12/31/2018</stp>
        <tr r="N3449" s="1"/>
      </tp>
      <tp>
        <v>7.7797617141039703</v>
        <stp/>
        <stp>EM_S_VAL_PBGOODWILLDEDUCTED</stp>
        <stp>2</stp>
        <stp>300572</stp>
        <stp>12/31/2018</stp>
        <tr r="N1863" s="1"/>
      </tp>
      <tp>
        <v>1.2974807119538501</v>
        <stp/>
        <stp>EM_S_VAL_PBGOODWILLDEDUCTED</stp>
        <stp>2</stp>
        <stp>600522</stp>
        <stp>12/31/2018</stp>
        <tr r="N2201" s="1"/>
      </tp>
      <tp>
        <v>1.67820739054021</v>
        <stp/>
        <stp>EM_S_VAL_PBGOODWILLDEDUCTED</stp>
        <stp>2</stp>
        <stp>000541</stp>
        <stp>12/31/2018</stp>
        <tr r="N2586" s="1"/>
      </tp>
      <tp>
        <v>11.6968433349093</v>
        <stp/>
        <stp>EM_S_VAL_PBGOODWILLDEDUCTED</stp>
        <stp>2</stp>
        <stp>300571</stp>
        <stp>12/31/2018</stp>
        <tr r="N939" s="1"/>
      </tp>
      <tp>
        <v>3.4595657845196501</v>
        <stp/>
        <stp>EM_S_VAL_PBGOODWILLDEDUCTED</stp>
        <stp>2</stp>
        <stp>600521</stp>
        <stp>12/31/2018</stp>
        <tr r="N489" s="1"/>
      </tp>
      <tp>
        <v>2.8978110348084201</v>
        <stp/>
        <stp>EM_S_VAL_PBGOODWILLDEDUCTED</stp>
        <stp>2</stp>
        <stp>000540</stp>
        <stp>12/31/2018</stp>
        <tr r="N3448" s="1"/>
      </tp>
      <tp>
        <v>3.4690183503538301</v>
        <stp/>
        <stp>EM_S_VAL_PBGOODWILLDEDUCTED</stp>
        <stp>2</stp>
        <stp>300570</stp>
        <stp>12/31/2018</stp>
        <tr r="N674" s="1"/>
      </tp>
      <tp>
        <v>4.7218888704904298</v>
        <stp/>
        <stp>EM_S_VAL_PBGOODWILLDEDUCTED</stp>
        <stp>2</stp>
        <stp>600520</stp>
        <stp>12/31/2018</stp>
        <tr r="N3023" s="1"/>
      </tp>
      <tp>
        <v>2.5311837741152901</v>
        <stp/>
        <stp>EM_S_VAL_PBGOODWILLDEDUCTED</stp>
        <stp>2</stp>
        <stp>000547</stp>
        <stp>12/31/2018</stp>
        <tr r="N790" s="1"/>
      </tp>
      <tp>
        <v>10.6637811033817</v>
        <stp/>
        <stp>EM_S_VAL_PBGOODWILLDEDUCTED</stp>
        <stp>2</stp>
        <stp>300577</stp>
        <stp>12/31/2018</stp>
        <tr r="N1691" s="1"/>
      </tp>
      <tp>
        <v>1.18919485366674</v>
        <stp/>
        <stp>EM_S_VAL_PBGOODWILLDEDUCTED</stp>
        <stp>2</stp>
        <stp>600527</stp>
        <stp>12/31/2018</stp>
        <tr r="N2084" s="1"/>
      </tp>
      <tp>
        <v>1.9341006042675899</v>
        <stp/>
        <stp>EM_S_VAL_PBGOODWILLDEDUCTED</stp>
        <stp>2</stp>
        <stp>000546</stp>
        <stp>12/31/2018</stp>
        <tr r="N1381" s="1"/>
      </tp>
      <tp>
        <v>3.8192333273554802</v>
        <stp/>
        <stp>EM_S_VAL_PBGOODWILLDEDUCTED</stp>
        <stp>2</stp>
        <stp>300576</stp>
        <stp>12/31/2018</stp>
        <tr r="N161" s="1"/>
      </tp>
      <tp>
        <v>1.29344989888179</v>
        <stp/>
        <stp>EM_S_VAL_PBGOODWILLDEDUCTED</stp>
        <stp>2</stp>
        <stp>600526</stp>
        <stp>12/31/2018</stp>
        <tr r="N1544" s="1"/>
      </tp>
      <tp>
        <v>1.50440959162276</v>
        <stp/>
        <stp>EM_S_VAL_PBGOODWILLDEDUCTED</stp>
        <stp>2</stp>
        <stp>000545</stp>
        <stp>12/31/2018</stp>
        <tr r="N2486" s="1"/>
      </tp>
      <tp>
        <v>2.6250591892354902</v>
        <stp/>
        <stp>EM_S_VAL_PBGOODWILLDEDUCTED</stp>
        <stp>2</stp>
        <stp>300575</stp>
        <stp>12/31/2018</stp>
        <tr r="N3269" s="1"/>
      </tp>
      <tp>
        <v>2.5535416840320502</v>
        <stp/>
        <stp>EM_S_VAL_PBGOODWILLDEDUCTED</stp>
        <stp>2</stp>
        <stp>600525</stp>
        <stp>12/31/2018</stp>
        <tr r="N831" s="1"/>
      </tp>
      <tp>
        <v>0.85407847619964505</v>
        <stp/>
        <stp>EM_S_VAL_PBGOODWILLDEDUCTED</stp>
        <stp>2</stp>
        <stp>000544</stp>
        <stp>12/31/2018</stp>
        <tr r="N1160" s="1"/>
      </tp>
      <tp>
        <v>2.7108077040790199</v>
        <stp/>
        <stp>EM_S_VAL_PBGOODWILLDEDUCTED</stp>
        <stp>2</stp>
        <stp>000559</stp>
        <stp>12/31/2018</stp>
        <tr r="N1985" s="1"/>
      </tp>
      <tp>
        <v>1.0960526840020499</v>
        <stp/>
        <stp>EM_S_VAL_PBGOODWILLDEDUCTED</stp>
        <stp>2</stp>
        <stp>300569</stp>
        <stp>12/31/2018</stp>
        <tr r="N1506" s="1"/>
      </tp>
      <tp>
        <v>3.6222248825160901</v>
        <stp/>
        <stp>EM_S_VAL_PBGOODWILLDEDUCTED</stp>
        <stp>2</stp>
        <stp>600539</stp>
        <stp>12/31/2018</stp>
        <tr r="N1929" s="1"/>
      </tp>
      <tp>
        <v>2.9544472528907599</v>
        <stp/>
        <stp>EM_S_VAL_PBGOODWILLDEDUCTED</stp>
        <stp>2</stp>
        <stp>000558</stp>
        <stp>12/31/2018</stp>
        <tr r="N3454" s="1"/>
      </tp>
      <tp>
        <v>2.97799309764966</v>
        <stp/>
        <stp>EM_S_VAL_PBGOODWILLDEDUCTED</stp>
        <stp>2</stp>
        <stp>300568</stp>
        <stp>12/31/2018</stp>
        <tr r="N800" s="1"/>
      </tp>
      <tp>
        <v>3.1321154131995299</v>
        <stp/>
        <stp>EM_S_VAL_PBGOODWILLDEDUCTED</stp>
        <stp>2</stp>
        <stp>600538</stp>
        <stp>12/31/2018</stp>
        <tr r="N1379" s="1"/>
      </tp>
      <tp>
        <v>1.22770209902056</v>
        <stp/>
        <stp>EM_S_VAL_PBGOODWILLDEDUCTED</stp>
        <stp>2</stp>
        <stp>000553</stp>
        <stp>12/31/2018</stp>
        <tr r="N1907" s="1"/>
      </tp>
      <tp>
        <v>4.0689027119482102</v>
        <stp/>
        <stp>EM_S_VAL_PBGOODWILLDEDUCTED</stp>
        <stp>2</stp>
        <stp>300563</stp>
        <stp>12/31/2018</stp>
        <tr r="N1534" s="1"/>
      </tp>
      <tp>
        <v>0.85073396331344797</v>
        <stp/>
        <stp>EM_S_VAL_PBGOODWILLDEDUCTED</stp>
        <stp>2</stp>
        <stp>600533</stp>
        <stp>12/31/2018</stp>
        <tr r="N1535" s="1"/>
      </tp>
      <tp>
        <v>0.80210217066906997</v>
        <stp/>
        <stp>EM_S_VAL_PBGOODWILLDEDUCTED</stp>
        <stp>2</stp>
        <stp>000552</stp>
        <stp>12/31/2018</stp>
        <tr r="N2352" s="1"/>
      </tp>
      <tp>
        <v>3.64469912538003</v>
        <stp/>
        <stp>EM_S_VAL_PBGOODWILLDEDUCTED</stp>
        <stp>2</stp>
        <stp>300562</stp>
        <stp>12/31/2018</stp>
        <tr r="N550" s="1"/>
      </tp>
      <tp>
        <v>1.1060494185488201</v>
        <stp/>
        <stp>EM_S_VAL_PBGOODWILLDEDUCTED</stp>
        <stp>2</stp>
        <stp>600532</stp>
        <stp>12/31/2018</stp>
        <tr r="N2419" s="1"/>
      </tp>
      <tp>
        <v>1.4354172328085599</v>
        <stp/>
        <stp>EM_S_VAL_PBGOODWILLDEDUCTED</stp>
        <stp>2</stp>
        <stp>000551</stp>
        <stp>12/31/2018</stp>
        <tr r="N1505" s="1"/>
      </tp>
      <tp>
        <v>3.24720182313128</v>
        <stp/>
        <stp>EM_S_VAL_PBGOODWILLDEDUCTED</stp>
        <stp>2</stp>
        <stp>300561</stp>
        <stp>12/31/2018</stp>
        <tr r="N1339" s="1"/>
      </tp>
      <tp>
        <v>1.1562572423144299</v>
        <stp/>
        <stp>EM_S_VAL_PBGOODWILLDEDUCTED</stp>
        <stp>2</stp>
        <stp>600531</stp>
        <stp>12/31/2018</stp>
        <tr r="N855" s="1"/>
      </tp>
      <tp>
        <v>1.0610319988696</v>
        <stp/>
        <stp>EM_S_VAL_PBGOODWILLDEDUCTED</stp>
        <stp>2</stp>
        <stp>000550</stp>
        <stp>12/31/2018</stp>
        <tr r="N3452" s="1"/>
      </tp>
      <tp>
        <v>8.5009317415785404</v>
        <stp/>
        <stp>EM_S_VAL_PBGOODWILLDEDUCTED</stp>
        <stp>2</stp>
        <stp>300560</stp>
        <stp>12/31/2018</stp>
        <tr r="N3115" s="1"/>
      </tp>
      <tp>
        <v>3.8169527728013901</v>
        <stp/>
        <stp>EM_S_VAL_PBGOODWILLDEDUCTED</stp>
        <stp>2</stp>
        <stp>600530</stp>
        <stp>12/31/2018</stp>
        <tr r="N1765" s="1"/>
      </tp>
      <tp>
        <v>1.0148844167272899</v>
        <stp/>
        <stp>EM_S_VAL_PBGOODWILLDEDUCTED</stp>
        <stp>2</stp>
        <stp>000557</stp>
        <stp>12/31/2018</stp>
        <tr r="N2277" s="1"/>
      </tp>
      <tp>
        <v>7.19152620960591</v>
        <stp/>
        <stp>EM_S_VAL_PBGOODWILLDEDUCTED</stp>
        <stp>2</stp>
        <stp>300567</stp>
        <stp>12/31/2018</stp>
        <tr r="N1721" s="1"/>
      </tp>
      <tp>
        <v>0.91205030426604095</v>
        <stp/>
        <stp>EM_S_VAL_PBGOODWILLDEDUCTED</stp>
        <stp>2</stp>
        <stp>600537</stp>
        <stp>12/31/2018</stp>
        <tr r="N1744" s="1"/>
      </tp>
      <tp>
        <v>7.6654985266874096</v>
        <stp/>
        <stp>EM_S_VAL_PBGOODWILLDEDUCTED</stp>
        <stp>2</stp>
        <stp>000556</stp>
        <stp>12/31/2018</stp>
        <tr r="N3453" s="1"/>
      </tp>
      <tp>
        <v>3.4973831407645402</v>
        <stp/>
        <stp>EM_S_VAL_PBGOODWILLDEDUCTED</stp>
        <stp>2</stp>
        <stp>300566</stp>
        <stp>12/31/2018</stp>
        <tr r="N215" s="1"/>
      </tp>
      <tp>
        <v>4.7165038000617798</v>
        <stp/>
        <stp>EM_S_VAL_PBGOODWILLDEDUCTED</stp>
        <stp>2</stp>
        <stp>600536</stp>
        <stp>12/31/2018</stp>
        <tr r="N32" s="1"/>
      </tp>
      <tp>
        <v>2.6450836746309099</v>
        <stp/>
        <stp>EM_S_VAL_PBGOODWILLDEDUCTED</stp>
        <stp>2</stp>
        <stp>000555</stp>
        <stp>12/31/2018</stp>
        <tr r="N519" s="1"/>
      </tp>
      <tp>
        <v>4.1043294499470404</v>
        <stp/>
        <stp>EM_S_VAL_PBGOODWILLDEDUCTED</stp>
        <stp>2</stp>
        <stp>300565</stp>
        <stp>12/31/2018</stp>
        <tr r="N3141" s="1"/>
      </tp>
      <tp>
        <v>2.8040912443259698</v>
        <stp/>
        <stp>EM_S_VAL_PBGOODWILLDEDUCTED</stp>
        <stp>2</stp>
        <stp>600535</stp>
        <stp>12/31/2018</stp>
        <tr r="N3081" s="1"/>
      </tp>
      <tp>
        <v>2.8039364660751001</v>
        <stp/>
        <stp>EM_S_VAL_PBGOODWILLDEDUCTED</stp>
        <stp>2</stp>
        <stp>000554</stp>
        <stp>12/31/2018</stp>
        <tr r="N2564" s="1"/>
      </tp>
      <tp>
        <v>1.74773131839282</v>
        <stp/>
        <stp>EM_S_VAL_PBGOODWILLDEDUCTED</stp>
        <stp>2</stp>
        <stp>000529</stp>
        <stp>12/31/2018</stp>
        <tr r="N546" s="1"/>
      </tp>
      <tp>
        <v>2.9376308561312499</v>
        <stp/>
        <stp>EM_S_VAL_PBGOODWILLDEDUCTED</stp>
        <stp>2</stp>
        <stp>300519</stp>
        <stp>12/31/2018</stp>
        <tr r="N2466" s="1"/>
      </tp>
      <tp>
        <v>2.37938800007591</v>
        <stp/>
        <stp>EM_S_VAL_PBGOODWILLDEDUCTED</stp>
        <stp>2</stp>
        <stp>600549</stp>
        <stp>12/31/2018</stp>
        <tr r="N1788" s="1"/>
      </tp>
      <tp>
        <v>0.92617155064714896</v>
        <stp/>
        <stp>EM_S_VAL_PBGOODWILLDEDUCTED</stp>
        <stp>2</stp>
        <stp>000528</stp>
        <stp>12/31/2018</stp>
        <tr r="N1542" s="1"/>
      </tp>
      <tp>
        <v>2.92346700892212</v>
        <stp/>
        <stp>EM_S_VAL_PBGOODWILLDEDUCTED</stp>
        <stp>2</stp>
        <stp>300518</stp>
        <stp>12/31/2018</stp>
        <tr r="N1346" s="1"/>
      </tp>
      <tp>
        <v>1.12631363069098</v>
        <stp/>
        <stp>EM_S_VAL_PBGOODWILLDEDUCTED</stp>
        <stp>2</stp>
        <stp>600548</stp>
        <stp>12/31/2018</stp>
        <tr r="N1053" s="1"/>
      </tp>
      <tp>
        <v>1.30596861993497</v>
        <stp/>
        <stp>EM_S_VAL_PBGOODWILLDEDUCTED</stp>
        <stp>2</stp>
        <stp>000523</stp>
        <stp>12/31/2018</stp>
        <tr r="N204" s="1"/>
      </tp>
      <tp>
        <v>3.6168285998685699</v>
        <stp/>
        <stp>EM_S_VAL_PBGOODWILLDEDUCTED</stp>
        <stp>2</stp>
        <stp>300513</stp>
        <stp>12/31/2018</stp>
        <tr r="N3312" s="1"/>
      </tp>
      <tp>
        <v>1.82074245148266</v>
        <stp/>
        <stp>EM_S_VAL_PBGOODWILLDEDUCTED</stp>
        <stp>2</stp>
        <stp>600543</stp>
        <stp>12/31/2018</stp>
        <tr r="N2825" s="1"/>
      </tp>
      <tp>
        <v>6.5488089963958798</v>
        <stp/>
        <stp>EM_S_VAL_PBGOODWILLDEDUCTED</stp>
        <stp>2</stp>
        <stp>000522</stp>
        <stp>12/31/2018</stp>
        <tr r="N3442" s="1"/>
      </tp>
      <tp>
        <v>2.5409301904412702</v>
        <stp/>
        <stp>EM_S_VAL_PBGOODWILLDEDUCTED</stp>
        <stp>2</stp>
        <stp>300512</stp>
        <stp>12/31/2018</stp>
        <tr r="N2554" s="1"/>
      </tp>
      <tp>
        <v>0.61646249455370306</v>
        <stp/>
        <stp>EM_S_VAL_PBGOODWILLDEDUCTED</stp>
        <stp>2</stp>
        <stp>000521</stp>
        <stp>12/31/2018</stp>
        <tr r="N1492" s="1"/>
      </tp>
      <tp>
        <v>1.6523211828019599</v>
        <stp/>
        <stp>EM_S_VAL_PBGOODWILLDEDUCTED</stp>
        <stp>2</stp>
        <stp>300511</stp>
        <stp>12/31/2018</stp>
        <tr r="N1595" s="1"/>
      </tp>
      <tp>
        <v>7.7131946816682397</v>
        <stp/>
        <stp>EM_S_VAL_PBGOODWILLDEDUCTED</stp>
        <stp>2</stp>
        <stp>000520</stp>
        <stp>12/31/2018</stp>
        <tr r="N641" s="1"/>
      </tp>
      <tp>
        <v>2.3089117545616298</v>
        <stp/>
        <stp>EM_S_VAL_PBGOODWILLDEDUCTED</stp>
        <stp>2</stp>
        <stp>300510</stp>
        <stp>12/31/2018</stp>
        <tr r="N3188" s="1"/>
      </tp>
      <tp>
        <v>2.5899022584701901</v>
        <stp/>
        <stp>EM_S_VAL_PBGOODWILLDEDUCTED</stp>
        <stp>2</stp>
        <stp>600540</stp>
        <stp>12/31/2018</stp>
        <tr r="N1667" s="1"/>
      </tp>
      <tp>
        <v>2.3656039689684598</v>
        <stp/>
        <stp>EM_S_VAL_PBGOODWILLDEDUCTED</stp>
        <stp>2</stp>
        <stp>000527</stp>
        <stp>12/31/2018</stp>
        <tr r="N3443" s="1"/>
      </tp>
      <tp>
        <v>2.1389509812902601</v>
        <stp/>
        <stp>EM_S_VAL_PBGOODWILLDEDUCTED</stp>
        <stp>2</stp>
        <stp>300517</stp>
        <stp>12/31/2018</stp>
        <tr r="N1512" s="1"/>
      </tp>
      <tp>
        <v>3.5508017756854899</v>
        <stp/>
        <stp>EM_S_VAL_PBGOODWILLDEDUCTED</stp>
        <stp>2</stp>
        <stp>600547</stp>
        <stp>12/31/2018</stp>
        <tr r="N1942" s="1"/>
      </tp>
      <tp>
        <v>-1.21471562701985</v>
        <stp/>
        <stp>EM_S_VAL_PBGOODWILLDEDUCTED</stp>
        <stp>2</stp>
        <stp>000526</stp>
        <stp>12/31/2018</stp>
        <tr r="N325" s="1"/>
      </tp>
      <tp>
        <v>2.7515701206637599</v>
        <stp/>
        <stp>EM_S_VAL_PBGOODWILLDEDUCTED</stp>
        <stp>2</stp>
        <stp>300516</stp>
        <stp>12/31/2018</stp>
        <tr r="N1820" s="1"/>
      </tp>
      <tp>
        <v>1.88160745607036</v>
        <stp/>
        <stp>EM_S_VAL_PBGOODWILLDEDUCTED</stp>
        <stp>2</stp>
        <stp>600546</stp>
        <stp>12/31/2018</stp>
        <tr r="N191" s="1"/>
      </tp>
      <tp>
        <v>2.0243529207306601</v>
        <stp/>
        <stp>EM_S_VAL_PBGOODWILLDEDUCTED</stp>
        <stp>2</stp>
        <stp>000525</stp>
        <stp>12/31/2018</stp>
        <tr r="N3231" s="1"/>
      </tp>
      <tp>
        <v>3.71309740580657</v>
        <stp/>
        <stp>EM_S_VAL_PBGOODWILLDEDUCTED</stp>
        <stp>2</stp>
        <stp>300515</stp>
        <stp>12/31/2018</stp>
        <tr r="N1615" s="1"/>
      </tp>
      <tp>
        <v>3.4734992982945401</v>
        <stp/>
        <stp>EM_S_VAL_PBGOODWILLDEDUCTED</stp>
        <stp>2</stp>
        <stp>600545</stp>
        <stp>12/31/2018</stp>
        <tr r="N3035" s="1"/>
      </tp>
      <tp>
        <v>1.84157558273444</v>
        <stp/>
        <stp>EM_S_VAL_PBGOODWILLDEDUCTED</stp>
        <stp>2</stp>
        <stp>000524</stp>
        <stp>12/31/2018</stp>
        <tr r="N1832" s="1"/>
      </tp>
      <tp>
        <v>4.6985205165926596</v>
        <stp/>
        <stp>EM_S_VAL_PBGOODWILLDEDUCTED</stp>
        <stp>2</stp>
        <stp>300514</stp>
        <stp>12/31/2018</stp>
        <tr r="N2250" s="1"/>
      </tp>
      <tp>
        <v>1.0034659634571399</v>
        <stp/>
        <stp>EM_S_VAL_PBGOODWILLDEDUCTED</stp>
        <stp>2</stp>
        <stp>000539</stp>
        <stp>12/31/2018</stp>
        <tr r="N2832" s="1"/>
      </tp>
      <tp>
        <v>3.1060148598796999</v>
        <stp/>
        <stp>EM_S_VAL_PBGOODWILLDEDUCTED</stp>
        <stp>2</stp>
        <stp>300509</stp>
        <stp>12/31/2018</stp>
        <tr r="N3148" s="1"/>
      </tp>
      <tp>
        <v>3.8859815670428999</v>
        <stp/>
        <stp>EM_S_VAL_PBGOODWILLDEDUCTED</stp>
        <stp>2</stp>
        <stp>600559</stp>
        <stp>12/31/2018</stp>
        <tr r="N2704" s="1"/>
      </tp>
      <tp>
        <v>3.8962075406165</v>
        <stp/>
        <stp>EM_S_VAL_PBGOODWILLDEDUCTED</stp>
        <stp>2</stp>
        <stp>000538</stp>
        <stp>12/31/2018</stp>
        <tr r="N1317" s="1"/>
      </tp>
      <tp>
        <v>4.7492988692450497</v>
        <stp/>
        <stp>EM_S_VAL_PBGOODWILLDEDUCTED</stp>
        <stp>2</stp>
        <stp>300508</stp>
        <stp>12/31/2018</stp>
        <tr r="N1385" s="1"/>
      </tp>
      <tp>
        <v>1.4744598435245799</v>
        <stp/>
        <stp>EM_S_VAL_PBGOODWILLDEDUCTED</stp>
        <stp>2</stp>
        <stp>600558</stp>
        <stp>12/31/2018</stp>
        <tr r="N2115" s="1"/>
      </tp>
      <tp>
        <v>2.9328999038235599</v>
        <stp/>
        <stp>EM_S_VAL_PBGOODWILLDEDUCTED</stp>
        <stp>2</stp>
        <stp>000533</stp>
        <stp>12/31/2018</stp>
        <tr r="N3445" s="1"/>
      </tp>
      <tp>
        <v>2.88927887584479</v>
        <stp/>
        <stp>EM_S_VAL_PBGOODWILLDEDUCTED</stp>
        <stp>2</stp>
        <stp>300503</stp>
        <stp>12/31/2018</stp>
        <tr r="N978" s="1"/>
      </tp>
      <tp>
        <v>6.4101243270944401</v>
        <stp/>
        <stp>EM_S_VAL_PBGOODWILLDEDUCTED</stp>
        <stp>2</stp>
        <stp>600553</stp>
        <stp>12/31/2018</stp>
        <tr r="N2304" s="1"/>
      </tp>
      <tp>
        <v>4.3180302316369898</v>
        <stp/>
        <stp>EM_S_VAL_PBGOODWILLDEDUCTED</stp>
        <stp>2</stp>
        <stp>000532</stp>
        <stp>12/31/2018</stp>
        <tr r="N1180" s="1"/>
      </tp>
      <tp>
        <v>4.1238915855940901</v>
        <stp/>
        <stp>EM_S_VAL_PBGOODWILLDEDUCTED</stp>
        <stp>2</stp>
        <stp>300502</stp>
        <stp>12/31/2018</stp>
        <tr r="N171" s="1"/>
      </tp>
      <tp>
        <v>1.27070342249672</v>
        <stp/>
        <stp>EM_S_VAL_PBGOODWILLDEDUCTED</stp>
        <stp>2</stp>
        <stp>600552</stp>
        <stp>12/31/2018</stp>
        <tr r="N420" s="1"/>
      </tp>
      <tp>
        <v>0.88674779466864395</v>
        <stp/>
        <stp>EM_S_VAL_PBGOODWILLDEDUCTED</stp>
        <stp>2</stp>
        <stp>000531</stp>
        <stp>12/31/2018</stp>
        <tr r="N806" s="1"/>
      </tp>
      <tp>
        <v>2.62891174459183</v>
        <stp/>
        <stp>EM_S_VAL_PBGOODWILLDEDUCTED</stp>
        <stp>2</stp>
        <stp>300501</stp>
        <stp>12/31/2018</stp>
        <tr r="N3206" s="1"/>
      </tp>
      <tp>
        <v>0.94197811612150695</v>
        <stp/>
        <stp>EM_S_VAL_PBGOODWILLDEDUCTED</stp>
        <stp>2</stp>
        <stp>600551</stp>
        <stp>12/31/2018</stp>
        <tr r="N2574" s="1"/>
      </tp>
      <tp>
        <v>0.83873966633761499</v>
        <stp/>
        <stp>EM_S_VAL_PBGOODWILLDEDUCTED</stp>
        <stp>2</stp>
        <stp>000530</stp>
        <stp>12/31/2018</stp>
        <tr r="N3444" s="1"/>
      </tp>
      <tp>
        <v>3.4285377760968099</v>
        <stp/>
        <stp>EM_S_VAL_PBGOODWILLDEDUCTED</stp>
        <stp>2</stp>
        <stp>300500</stp>
        <stp>12/31/2018</stp>
        <tr r="N3235" s="1"/>
      </tp>
      <tp>
        <v>8.6047363787245903</v>
        <stp/>
        <stp>EM_S_VAL_PBGOODWILLDEDUCTED</stp>
        <stp>2</stp>
        <stp>600550</stp>
        <stp>12/31/2018</stp>
        <tr r="N2983" s="1"/>
      </tp>
      <tp>
        <v>1.3056999162470699</v>
        <stp/>
        <stp>EM_S_VAL_PBGOODWILLDEDUCTED</stp>
        <stp>2</stp>
        <stp>000537</stp>
        <stp>12/31/2018</stp>
        <tr r="N2013" s="1"/>
      </tp>
      <tp>
        <v>2.2003020445330801</v>
        <stp/>
        <stp>EM_S_VAL_PBGOODWILLDEDUCTED</stp>
        <stp>2</stp>
        <stp>300507</stp>
        <stp>12/31/2018</stp>
        <tr r="N3002" s="1"/>
      </tp>
      <tp>
        <v>1.7085651815849301</v>
        <stp/>
        <stp>EM_S_VAL_PBGOODWILLDEDUCTED</stp>
        <stp>2</stp>
        <stp>600557</stp>
        <stp>12/31/2018</stp>
        <tr r="N737" s="1"/>
      </tp>
      <tp>
        <v>0.69271541293555094</v>
        <stp/>
        <stp>EM_S_VAL_PBGOODWILLDEDUCTED</stp>
        <stp>2</stp>
        <stp>000536</stp>
        <stp>12/31/2018</stp>
        <tr r="N3447" s="1"/>
      </tp>
      <tp>
        <v>2.9250499986055098</v>
        <stp/>
        <stp>EM_S_VAL_PBGOODWILLDEDUCTED</stp>
        <stp>2</stp>
        <stp>300506</stp>
        <stp>12/31/2018</stp>
        <tr r="N3320" s="1"/>
      </tp>
      <tp>
        <v>60.679744731961101</v>
        <stp/>
        <stp>EM_S_VAL_PBGOODWILLDEDUCTED</stp>
        <stp>2</stp>
        <stp>600556</stp>
        <stp>12/31/2018</stp>
        <tr r="N210" s="1"/>
      </tp>
      <tp>
        <v>3.0146173213660599</v>
        <stp/>
        <stp>EM_S_VAL_PBGOODWILLDEDUCTED</stp>
        <stp>2</stp>
        <stp>000535</stp>
        <stp>12/31/2018</stp>
        <tr r="N3446" s="1"/>
      </tp>
      <tp>
        <v>2.8910124439487399</v>
        <stp/>
        <stp>EM_S_VAL_PBGOODWILLDEDUCTED</stp>
        <stp>2</stp>
        <stp>300505</stp>
        <stp>12/31/2018</stp>
        <tr r="N2103" s="1"/>
      </tp>
      <tp>
        <v>2.7146863073088299</v>
        <stp/>
        <stp>EM_S_VAL_PBGOODWILLDEDUCTED</stp>
        <stp>2</stp>
        <stp>600555</stp>
        <stp>12/31/2018</stp>
        <tr r="N3045" s="1"/>
      </tp>
      <tp>
        <v>3.3451853346604601</v>
        <stp/>
        <stp>EM_S_VAL_PBGOODWILLDEDUCTED</stp>
        <stp>2</stp>
        <stp>000534</stp>
        <stp>12/31/2018</stp>
        <tr r="N2858" s="1"/>
      </tp>
      <tp>
        <v>3.9528296400040501</v>
        <stp/>
        <stp>EM_S_VAL_PBGOODWILLDEDUCTED</stp>
        <stp>2</stp>
        <stp>300504</stp>
        <stp>12/31/2018</stp>
        <tr r="N2863" s="1"/>
      </tp>
      <tp>
        <v>213.01694806905101</v>
        <stp/>
        <stp>EM_S_VAL_PBGOODWILLDEDUCTED</stp>
        <stp>2</stp>
        <stp>000509</stp>
        <stp>12/31/2018</stp>
        <tr r="N3435" s="1"/>
      </tp>
      <tp>
        <v>4.4322103188024302</v>
        <stp/>
        <stp>EM_S_VAL_PBGOODWILLDEDUCTED</stp>
        <stp>2</stp>
        <stp>300539</stp>
        <stp>12/31/2018</stp>
        <tr r="N2767" s="1"/>
      </tp>
      <tp>
        <v>0.87102998039945101</v>
        <stp/>
        <stp>EM_S_VAL_PBGOODWILLDEDUCTED</stp>
        <stp>2</stp>
        <stp>600569</stp>
        <stp>12/31/2018</stp>
        <tr r="N3012" s="1"/>
      </tp>
      <tp>
        <v>6.9912049191167798</v>
        <stp/>
        <stp>EM_S_VAL_PBGOODWILLDEDUCTED</stp>
        <stp>2</stp>
        <stp>000508</stp>
        <stp>12/31/2018</stp>
        <tr r="N3434" s="1"/>
      </tp>
      <tp>
        <v>4.1865392532047601</v>
        <stp/>
        <stp>EM_S_VAL_PBGOODWILLDEDUCTED</stp>
        <stp>2</stp>
        <stp>300538</stp>
        <stp>12/31/2018</stp>
        <tr r="N2971" s="1"/>
      </tp>
      <tp>
        <v>1.1824228332203499</v>
        <stp/>
        <stp>EM_S_VAL_PBGOODWILLDEDUCTED</stp>
        <stp>2</stp>
        <stp>600568</stp>
        <stp>12/31/2018</stp>
        <tr r="N3135" s="1"/>
      </tp>
      <tp>
        <v>11.7650811809318</v>
        <stp/>
        <stp>EM_S_VAL_PBGOODWILLDEDUCTED</stp>
        <stp>2</stp>
        <stp>000503</stp>
        <stp>12/31/2018</stp>
        <tr r="N3430" s="1"/>
      </tp>
      <tp>
        <v>2.0268731893873899</v>
        <stp/>
        <stp>EM_S_VAL_PBGOODWILLDEDUCTED</stp>
        <stp>2</stp>
        <stp>300533</stp>
        <stp>12/31/2018</stp>
        <tr r="N687" s="1"/>
      </tp>
      <tp>
        <v>3.8911295586192698</v>
        <stp/>
        <stp>EM_S_VAL_PBGOODWILLDEDUCTED</stp>
        <stp>2</stp>
        <stp>600563</stp>
        <stp>12/31/2018</stp>
        <tr r="N1335" s="1"/>
      </tp>
      <tp>
        <v>6.8030307795171998</v>
        <stp/>
        <stp>EM_S_VAL_PBGOODWILLDEDUCTED</stp>
        <stp>2</stp>
        <stp>000502</stp>
        <stp>12/31/2018</stp>
        <tr r="N3429" s="1"/>
      </tp>
      <tp>
        <v>3.6218706578508799</v>
        <stp/>
        <stp>EM_S_VAL_PBGOODWILLDEDUCTED</stp>
        <stp>2</stp>
        <stp>300532</stp>
        <stp>12/31/2018</stp>
        <tr r="N1967" s="1"/>
      </tp>
      <tp>
        <v>4.5117153149162101</v>
        <stp/>
        <stp>EM_S_VAL_PBGOODWILLDEDUCTED</stp>
        <stp>2</stp>
        <stp>600562</stp>
        <stp>12/31/2018</stp>
        <tr r="N1682" s="1"/>
      </tp>
      <tp>
        <v>0.88373946653556601</v>
        <stp/>
        <stp>EM_S_VAL_PBGOODWILLDEDUCTED</stp>
        <stp>2</stp>
        <stp>000501</stp>
        <stp>12/31/2018</stp>
        <tr r="N3428" s="1"/>
      </tp>
      <tp>
        <v>7.5270206291703996</v>
        <stp/>
        <stp>EM_S_VAL_PBGOODWILLDEDUCTED</stp>
        <stp>2</stp>
        <stp>300531</stp>
        <stp>12/31/2018</stp>
        <tr r="N2481" s="1"/>
      </tp>
      <tp>
        <v>1.11101406843335</v>
        <stp/>
        <stp>EM_S_VAL_PBGOODWILLDEDUCTED</stp>
        <stp>2</stp>
        <stp>600561</stp>
        <stp>12/31/2018</stp>
        <tr r="N1927" s="1"/>
      </tp>
      <tp>
        <v>4.2613516592840304</v>
        <stp/>
        <stp>EM_S_VAL_PBGOODWILLDEDUCTED</stp>
        <stp>2</stp>
        <stp>300530</stp>
        <stp>12/31/2018</stp>
        <tr r="N1349" s="1"/>
      </tp>
      <tp>
        <v>2.3865875163472001</v>
        <stp/>
        <stp>EM_S_VAL_PBGOODWILLDEDUCTED</stp>
        <stp>2</stp>
        <stp>600560</stp>
        <stp>12/31/2018</stp>
        <tr r="N1883" s="1"/>
      </tp>
      <tp>
        <v>1.8357711561171901</v>
        <stp/>
        <stp>EM_S_VAL_PBGOODWILLDEDUCTED</stp>
        <stp>2</stp>
        <stp>000507</stp>
        <stp>12/31/2018</stp>
        <tr r="N2637" s="1"/>
      </tp>
      <tp>
        <v>2.9740996293130402</v>
        <stp/>
        <stp>EM_S_VAL_PBGOODWILLDEDUCTED</stp>
        <stp>2</stp>
        <stp>300537</stp>
        <stp>12/31/2018</stp>
        <tr r="N142" s="1"/>
      </tp>
      <tp>
        <v>1.4940348266523999</v>
        <stp/>
        <stp>EM_S_VAL_PBGOODWILLDEDUCTED</stp>
        <stp>2</stp>
        <stp>600567</stp>
        <stp>12/31/2018</stp>
        <tr r="N1183" s="1"/>
      </tp>
      <tp>
        <v>2.3744772080793899</v>
        <stp/>
        <stp>EM_S_VAL_PBGOODWILLDEDUCTED</stp>
        <stp>2</stp>
        <stp>000506</stp>
        <stp>12/31/2018</stp>
        <tr r="N3433" s="1"/>
      </tp>
      <tp>
        <v>2.5212733125650701</v>
        <stp/>
        <stp>EM_S_VAL_PBGOODWILLDEDUCTED</stp>
        <stp>2</stp>
        <stp>300536</stp>
        <stp>12/31/2018</stp>
        <tr r="N2931" s="1"/>
      </tp>
      <tp>
        <v>5.2651908887009498</v>
        <stp/>
        <stp>EM_S_VAL_PBGOODWILLDEDUCTED</stp>
        <stp>2</stp>
        <stp>600566</stp>
        <stp>12/31/2018</stp>
        <tr r="N3221" s="1"/>
      </tp>
      <tp>
        <v>1.81904155037547</v>
        <stp/>
        <stp>EM_S_VAL_PBGOODWILLDEDUCTED</stp>
        <stp>2</stp>
        <stp>000505</stp>
        <stp>12/31/2018</stp>
        <tr r="N3432" s="1"/>
      </tp>
      <tp>
        <v>1.89973834344378</v>
        <stp/>
        <stp>EM_S_VAL_PBGOODWILLDEDUCTED</stp>
        <stp>2</stp>
        <stp>300535</stp>
        <stp>12/31/2018</stp>
        <tr r="N1948" s="1"/>
      </tp>
      <tp>
        <v>0.75601294466286895</v>
        <stp/>
        <stp>EM_S_VAL_PBGOODWILLDEDUCTED</stp>
        <stp>2</stp>
        <stp>600565</stp>
        <stp>12/31/2018</stp>
        <tr r="N845" s="1"/>
      </tp>
      <tp>
        <v>-63.242028893948302</v>
        <stp/>
        <stp>EM_S_VAL_PBGOODWILLDEDUCTED</stp>
        <stp>2</stp>
        <stp>000504</stp>
        <stp>12/31/2018</stp>
        <tr r="N3431" s="1"/>
      </tp>
      <tp>
        <v>2.4071306204090201</v>
        <stp/>
        <stp>EM_S_VAL_PBGOODWILLDEDUCTED</stp>
        <stp>2</stp>
        <stp>300534</stp>
        <stp>12/31/2018</stp>
        <tr r="N2141" s="1"/>
      </tp>
      <tp>
        <v>1.12267123136618</v>
        <stp/>
        <stp>EM_S_VAL_PBGOODWILLDEDUCTED</stp>
        <stp>2</stp>
        <stp>000519</stp>
        <stp>12/31/2018</stp>
        <tr r="N1223" s="1"/>
      </tp>
      <tp>
        <v>10.467169132838899</v>
        <stp/>
        <stp>EM_S_VAL_PBGOODWILLDEDUCTED</stp>
        <stp>2</stp>
        <stp>300529</stp>
        <stp>12/31/2018</stp>
        <tr r="N323" s="1"/>
      </tp>
      <tp>
        <v>1.5203803923414301</v>
        <stp/>
        <stp>EM_S_VAL_PBGOODWILLDEDUCTED</stp>
        <stp>2</stp>
        <stp>600579</stp>
        <stp>12/31/2018</stp>
        <tr r="N3071" s="1"/>
      </tp>
      <tp>
        <v>5.9450575237145902</v>
        <stp/>
        <stp>EM_S_VAL_PBGOODWILLDEDUCTED</stp>
        <stp>2</stp>
        <stp>000518</stp>
        <stp>12/31/2018</stp>
        <tr r="N3441" s="1"/>
      </tp>
      <tp>
        <v>2.34806687066928</v>
        <stp/>
        <stp>EM_S_VAL_PBGOODWILLDEDUCTED</stp>
        <stp>2</stp>
        <stp>300528</stp>
        <stp>12/31/2018</stp>
        <tr r="N3044" s="1"/>
      </tp>
      <tp>
        <v>0.87651709746543005</v>
        <stp/>
        <stp>EM_S_VAL_PBGOODWILLDEDUCTED</stp>
        <stp>2</stp>
        <stp>600578</stp>
        <stp>12/31/2018</stp>
        <tr r="N1962" s="1"/>
      </tp>
      <tp>
        <v>1.7143067194966</v>
        <stp/>
        <stp>EM_S_VAL_PBGOODWILLDEDUCTED</stp>
        <stp>2</stp>
        <stp>000513</stp>
        <stp>12/31/2018</stp>
        <tr r="N913" s="1"/>
      </tp>
      <tp>
        <v>7.2301674387344397</v>
        <stp/>
        <stp>EM_S_VAL_PBGOODWILLDEDUCTED</stp>
        <stp>2</stp>
        <stp>300523</stp>
        <stp>12/31/2018</stp>
        <tr r="N3143" s="1"/>
      </tp>
      <tp>
        <v>1.3970189574632501</v>
        <stp/>
        <stp>EM_S_VAL_PBGOODWILLDEDUCTED</stp>
        <stp>2</stp>
        <stp>600573</stp>
        <stp>12/31/2018</stp>
        <tr r="N2085" s="1"/>
      </tp>
      <tp>
        <v>3.2800332648139499</v>
        <stp/>
        <stp>EM_S_VAL_PBGOODWILLDEDUCTED</stp>
        <stp>2</stp>
        <stp>300522</stp>
        <stp>12/31/2018</stp>
        <tr r="N1837" s="1"/>
      </tp>
      <tp>
        <v>3.3391872438516601</v>
        <stp/>
        <stp>EM_S_VAL_PBGOODWILLDEDUCTED</stp>
        <stp>2</stp>
        <stp>600572</stp>
        <stp>12/31/2018</stp>
        <tr r="N2179" s="1"/>
      </tp>
      <tp>
        <v>0.89184269712559106</v>
        <stp/>
        <stp>EM_S_VAL_PBGOODWILLDEDUCTED</stp>
        <stp>2</stp>
        <stp>000511</stp>
        <stp>12/31/2018</stp>
        <tr r="N3436" s="1"/>
      </tp>
      <tp>
        <v>2.46642092743136</v>
        <stp/>
        <stp>EM_S_VAL_PBGOODWILLDEDUCTED</stp>
        <stp>2</stp>
        <stp>300521</stp>
        <stp>12/31/2018</stp>
        <tr r="N1258" s="1"/>
      </tp>
      <tp>
        <v>2.68805158842529</v>
        <stp/>
        <stp>EM_S_VAL_PBGOODWILLDEDUCTED</stp>
        <stp>2</stp>
        <stp>600571</stp>
        <stp>12/31/2018</stp>
        <tr r="N555" s="1"/>
      </tp>
      <tp>
        <v>2.5703003860766702</v>
        <stp/>
        <stp>EM_S_VAL_PBGOODWILLDEDUCTED</stp>
        <stp>2</stp>
        <stp>000510</stp>
        <stp>12/31/2018</stp>
        <tr r="N1993" s="1"/>
      </tp>
      <tp>
        <v>5.0132161127381796</v>
        <stp/>
        <stp>EM_S_VAL_PBGOODWILLDEDUCTED</stp>
        <stp>2</stp>
        <stp>300520</stp>
        <stp>12/31/2018</stp>
        <tr r="N1078" s="1"/>
      </tp>
      <tp>
        <v>11.361827015833899</v>
        <stp/>
        <stp>EM_S_VAL_PBGOODWILLDEDUCTED</stp>
        <stp>2</stp>
        <stp>600570</stp>
        <stp>12/31/2018</stp>
        <tr r="N583" s="1"/>
      </tp>
      <tp>
        <v>1.55138506488703</v>
        <stp/>
        <stp>EM_S_VAL_PBGOODWILLDEDUCTED</stp>
        <stp>2</stp>
        <stp>000517</stp>
        <stp>12/31/2018</stp>
        <tr r="N3440" s="1"/>
      </tp>
      <tp>
        <v>2.8180702756351401</v>
        <stp/>
        <stp>EM_S_VAL_PBGOODWILLDEDUCTED</stp>
        <stp>2</stp>
        <stp>300527</stp>
        <stp>12/31/2018</stp>
        <tr r="N365" s="1"/>
      </tp>
      <tp>
        <v>1.8871204607293499</v>
        <stp/>
        <stp>EM_S_VAL_PBGOODWILLDEDUCTED</stp>
        <stp>2</stp>
        <stp>600577</stp>
        <stp>12/31/2018</stp>
        <tr r="N2701" s="1"/>
      </tp>
      <tp>
        <v>1.7036222478252701</v>
        <stp/>
        <stp>EM_S_VAL_PBGOODWILLDEDUCTED</stp>
        <stp>2</stp>
        <stp>000516</stp>
        <stp>12/31/2018</stp>
        <tr r="N3439" s="1"/>
      </tp>
      <tp>
        <v>3.8205503910418801</v>
        <stp/>
        <stp>EM_S_VAL_PBGOODWILLDEDUCTED</stp>
        <stp>2</stp>
        <stp>300526</stp>
        <stp>12/31/2018</stp>
        <tr r="N21" s="1"/>
      </tp>
      <tp>
        <v>2.69619278053242</v>
        <stp/>
        <stp>EM_S_VAL_PBGOODWILLDEDUCTED</stp>
        <stp>2</stp>
        <stp>600576</stp>
        <stp>12/31/2018</stp>
        <tr r="N1411" s="1"/>
      </tp>
      <tp>
        <v>11.368590290394399</v>
        <stp/>
        <stp>EM_S_VAL_PBGOODWILLDEDUCTED</stp>
        <stp>2</stp>
        <stp>000515</stp>
        <stp>12/31/2018</stp>
        <tr r="N3438" s="1"/>
      </tp>
      <tp>
        <v>8.6882979928910107</v>
        <stp/>
        <stp>EM_S_VAL_PBGOODWILLDEDUCTED</stp>
        <stp>2</stp>
        <stp>300525</stp>
        <stp>12/31/2018</stp>
        <tr r="N381" s="1"/>
      </tp>
      <tp>
        <v>0.96521867352192603</v>
        <stp/>
        <stp>EM_S_VAL_PBGOODWILLDEDUCTED</stp>
        <stp>2</stp>
        <stp>600575</stp>
        <stp>12/31/2018</stp>
        <tr r="N1229" s="1"/>
      </tp>
      <tp>
        <v>1.0290658696995301</v>
        <stp/>
        <stp>EM_S_VAL_PBGOODWILLDEDUCTED</stp>
        <stp>2</stp>
        <stp>000514</stp>
        <stp>12/31/2018</stp>
        <tr r="N3437" s="1"/>
      </tp>
      <tp>
        <v>2.29520027013674</v>
        <stp/>
        <stp>EM_S_VAL_PBGOODWILLDEDUCTED</stp>
        <stp>2</stp>
        <stp>600489</stp>
        <stp>12/31/2018</stp>
        <tr r="N2454" s="1"/>
      </tp>
      <tp>
        <v>1.4350962499381099</v>
        <stp/>
        <stp>EM_S_VAL_PBGOODWILLDEDUCTED</stp>
        <stp>2</stp>
        <stp>600488</stp>
        <stp>12/31/2018</stp>
        <tr r="N1787" s="1"/>
      </tp>
      <tp>
        <v>1.2234720135417101</v>
        <stp/>
        <stp>EM_S_VAL_PBGOODWILLDEDUCTED</stp>
        <stp>2</stp>
        <stp>600483</stp>
        <stp>12/31/2018</stp>
        <tr r="N1892" s="1"/>
      </tp>
      <tp>
        <v>1.47440401901261</v>
        <stp/>
        <stp>EM_S_VAL_PBGOODWILLDEDUCTED</stp>
        <stp>2</stp>
        <stp>600482</stp>
        <stp>12/31/2018</stp>
        <tr r="N2777" s="1"/>
      </tp>
      <tp>
        <v>2.42474057865111</v>
        <stp/>
        <stp>EM_S_VAL_PBGOODWILLDEDUCTED</stp>
        <stp>2</stp>
        <stp>600481</stp>
        <stp>12/31/2018</stp>
        <tr r="N2397" s="1"/>
      </tp>
      <tp>
        <v>0.87743207928645095</v>
        <stp/>
        <stp>EM_S_VAL_PBGOODWILLDEDUCTED</stp>
        <stp>2</stp>
        <stp>600480</stp>
        <stp>12/31/2018</stp>
        <tr r="N2408" s="1"/>
      </tp>
      <tp>
        <v>2.7406489127279099</v>
        <stp/>
        <stp>EM_S_VAL_PBGOODWILLDEDUCTED</stp>
        <stp>2</stp>
        <stp>600487</stp>
        <stp>12/31/2018</stp>
        <tr r="N2604" s="1"/>
      </tp>
      <tp>
        <v>2.52164293871992</v>
        <stp/>
        <stp>EM_S_VAL_PBGOODWILLDEDUCTED</stp>
        <stp>2</stp>
        <stp>600486</stp>
        <stp>12/31/2018</stp>
        <tr r="N235" s="1"/>
      </tp>
      <tp>
        <v>5.9784561275227404</v>
        <stp/>
        <stp>EM_S_VAL_PBGOODWILLDEDUCTED</stp>
        <stp>2</stp>
        <stp>600485</stp>
        <stp>12/31/2018</stp>
        <tr r="N3405" s="1"/>
      </tp>
      <tp>
        <v>1.72039932241868</v>
        <stp/>
        <stp>EM_S_VAL_PBGOODWILLDEDUCTED</stp>
        <stp>2</stp>
        <stp>600499</stp>
        <stp>12/31/2018</stp>
        <tr r="N1885" s="1"/>
      </tp>
      <tp>
        <v>3.3248312358966201</v>
        <stp/>
        <stp>EM_S_VAL_PBGOODWILLDEDUCTED</stp>
        <stp>2</stp>
        <stp>600498</stp>
        <stp>12/31/2018</stp>
        <tr r="N2489" s="1"/>
      </tp>
      <tp>
        <v>2.3678165703597198</v>
        <stp/>
        <stp>EM_S_VAL_PBGOODWILLDEDUCTED</stp>
        <stp>2</stp>
        <stp>600493</stp>
        <stp>12/31/2018</stp>
        <tr r="N2813" s="1"/>
      </tp>
      <tp>
        <v>1.07423886715759</v>
        <stp/>
        <stp>EM_S_VAL_PBGOODWILLDEDUCTED</stp>
        <stp>2</stp>
        <stp>600491</stp>
        <stp>12/31/2018</stp>
        <tr r="N1872" s="1"/>
      </tp>
      <tp>
        <v>1.76105093042554</v>
        <stp/>
        <stp>EM_S_VAL_PBGOODWILLDEDUCTED</stp>
        <stp>2</stp>
        <stp>600490</stp>
        <stp>12/31/2018</stp>
        <tr r="N2114" s="1"/>
      </tp>
      <tp>
        <v>1.4575595727642601</v>
        <stp/>
        <stp>EM_S_VAL_PBGOODWILLDEDUCTED</stp>
        <stp>2</stp>
        <stp>600497</stp>
        <stp>12/31/2018</stp>
        <tr r="N1854" s="1"/>
      </tp>
      <tp>
        <v>1.0360043011492099</v>
        <stp/>
        <stp>EM_S_VAL_PBGOODWILLDEDUCTED</stp>
        <stp>2</stp>
        <stp>600496</stp>
        <stp>12/31/2018</stp>
        <tr r="N1831" s="1"/>
      </tp>
      <tp>
        <v>1.5792181790041999</v>
        <stp/>
        <stp>EM_S_VAL_PBGOODWILLDEDUCTED</stp>
        <stp>2</stp>
        <stp>600495</stp>
        <stp>12/31/2018</stp>
        <tr r="N2218" s="1"/>
      </tp>
      <tp>
        <v>2.6398186735281302</v>
        <stp/>
        <stp>EM_S_VAL_PBGOODWILLDEDUCTED</stp>
        <stp>2</stp>
        <stp>300499</stp>
        <stp>12/31/2018</stp>
        <tr r="N3080" s="1"/>
      </tp>
      <tp>
        <v>4.0422796378547501</v>
        <stp/>
        <stp>EM_S_VAL_PBGOODWILLDEDUCTED</stp>
        <stp>2</stp>
        <stp>300498</stp>
        <stp>12/31/2018</stp>
        <tr r="N1017" s="1"/>
      </tp>
      <tp>
        <v>3.9834411412036599</v>
        <stp/>
        <stp>EM_S_VAL_PBGOODWILLDEDUCTED</stp>
        <stp>2</stp>
        <stp>300493</stp>
        <stp>12/31/2018</stp>
        <tr r="N2536" s="1"/>
      </tp>
      <tp>
        <v>5.06969084874867</v>
        <stp/>
        <stp>EM_S_VAL_PBGOODWILLDEDUCTED</stp>
        <stp>2</stp>
        <stp>300492</stp>
        <stp>12/31/2018</stp>
        <tr r="N69" s="1"/>
      </tp>
      <tp>
        <v>5.4692802888816399</v>
        <stp/>
        <stp>EM_S_VAL_PBGOODWILLDEDUCTED</stp>
        <stp>2</stp>
        <stp>300491</stp>
        <stp>12/31/2018</stp>
        <tr r="N2962" s="1"/>
      </tp>
      <tp>
        <v>3.5025366733680201</v>
        <stp/>
        <stp>EM_S_VAL_PBGOODWILLDEDUCTED</stp>
        <stp>2</stp>
        <stp>300490</stp>
        <stp>12/31/2018</stp>
        <tr r="N2910" s="1"/>
      </tp>
      <tp>
        <v>3.6616793379726298</v>
        <stp/>
        <stp>EM_S_VAL_PBGOODWILLDEDUCTED</stp>
        <stp>2</stp>
        <stp>300497</stp>
        <stp>12/31/2018</stp>
        <tr r="N2053" s="1"/>
      </tp>
      <tp>
        <v>8.2997706131187599</v>
        <stp/>
        <stp>EM_S_VAL_PBGOODWILLDEDUCTED</stp>
        <stp>2</stp>
        <stp>300496</stp>
        <stp>12/31/2018</stp>
        <tr r="N156" s="1"/>
      </tp>
      <tp>
        <v>3.1986353807771302</v>
        <stp/>
        <stp>EM_S_VAL_PBGOODWILLDEDUCTED</stp>
        <stp>2</stp>
        <stp>300495</stp>
        <stp>12/31/2018</stp>
        <tr r="N2945" s="1"/>
      </tp>
      <tp>
        <v>2.4178339415996102</v>
        <stp/>
        <stp>EM_S_VAL_PBGOODWILLDEDUCTED</stp>
        <stp>2</stp>
        <stp>300494</stp>
        <stp>12/31/2018</stp>
        <tr r="N404" s="1"/>
      </tp>
      <tp>
        <v>2.2703004357894798</v>
        <stp/>
        <stp>EM_S_VAL_PBGOODWILLDEDUCTED</stp>
        <stp>2</stp>
        <stp>300489</stp>
        <stp>12/31/2018</stp>
        <tr r="N317" s="1"/>
      </tp>
      <tp>
        <v>2.9726835104315801</v>
        <stp/>
        <stp>EM_S_VAL_PBGOODWILLDEDUCTED</stp>
        <stp>2</stp>
        <stp>300488</stp>
        <stp>12/31/2018</stp>
        <tr r="N3270" s="1"/>
      </tp>
      <tp>
        <v>1.82022381262458</v>
        <stp/>
        <stp>EM_S_VAL_PBGOODWILLDEDUCTED</stp>
        <stp>2</stp>
        <stp>300483</stp>
        <stp>12/31/2018</stp>
        <tr r="N1094" s="1"/>
      </tp>
      <tp>
        <v>4.8955257062876001</v>
        <stp/>
        <stp>EM_S_VAL_PBGOODWILLDEDUCTED</stp>
        <stp>2</stp>
        <stp>300482</stp>
        <stp>12/31/2018</stp>
        <tr r="N183" s="1"/>
      </tp>
      <tp>
        <v>3.6084128360638901</v>
        <stp/>
        <stp>EM_S_VAL_PBGOODWILLDEDUCTED</stp>
        <stp>2</stp>
        <stp>300481</stp>
        <stp>12/31/2018</stp>
        <tr r="N358" s="1"/>
      </tp>
      <tp>
        <v>3.4102888843361598</v>
        <stp/>
        <stp>EM_S_VAL_PBGOODWILLDEDUCTED</stp>
        <stp>2</stp>
        <stp>300480</stp>
        <stp>12/31/2018</stp>
        <tr r="N213" s="1"/>
      </tp>
      <tp>
        <v>5.2678252986023004</v>
        <stp/>
        <stp>EM_S_VAL_PBGOODWILLDEDUCTED</stp>
        <stp>2</stp>
        <stp>300487</stp>
        <stp>12/31/2018</stp>
        <tr r="N612" s="1"/>
      </tp>
      <tp>
        <v>2.6544492069707601</v>
        <stp/>
        <stp>EM_S_VAL_PBGOODWILLDEDUCTED</stp>
        <stp>2</stp>
        <stp>300486</stp>
        <stp>12/31/2018</stp>
        <tr r="N459" s="1"/>
      </tp>
      <tp>
        <v>1.87567272252587</v>
        <stp/>
        <stp>EM_S_VAL_PBGOODWILLDEDUCTED</stp>
        <stp>2</stp>
        <stp>300485</stp>
        <stp>12/31/2018</stp>
        <tr r="N2810" s="1"/>
      </tp>
      <tp>
        <v>3.30131621157873</v>
        <stp/>
        <stp>EM_S_VAL_PBGOODWILLDEDUCTED</stp>
        <stp>2</stp>
        <stp>300484</stp>
        <stp>12/31/2018</stp>
        <tr r="N3031" s="1"/>
      </tp>
      <tp>
        <v>0.92704154726983101</v>
        <stp/>
        <stp>EM_S_VAL_PBGOODWILLDEDUCTED</stp>
        <stp>2</stp>
        <stp>000488</stp>
        <stp>12/31/2018</stp>
        <tr r="N3427" s="1"/>
      </tp>
      <tp>
        <v>1.13342001139294</v>
        <stp/>
        <stp>EM_S_VAL_PBGOODWILLDEDUCTED</stp>
        <stp>2</stp>
        <stp>000498</stp>
        <stp>12/31/2018</stp>
        <tr r="N2686" s="1"/>
      </tp>
      <tp>
        <v>39.533976920745502</v>
        <stp/>
        <stp>EM_S_VAL_PBGOODWILLDEDUCTED</stp>
        <stp>2</stp>
        <stp>300459</stp>
        <stp>12/31/2018</stp>
        <tr r="N3387" s="1"/>
      </tp>
      <tp>
        <v>1.06890955539654</v>
        <stp/>
        <stp>EM_S_VAL_PBGOODWILLDEDUCTED</stp>
        <stp>2</stp>
        <stp>600409</stp>
        <stp>12/31/2018</stp>
        <tr r="N1750" s="1"/>
      </tp>
      <tp>
        <v>3.1233269251273899</v>
        <stp/>
        <stp>EM_S_VAL_PBGOODWILLDEDUCTED</stp>
        <stp>2</stp>
        <stp>300458</stp>
        <stp>12/31/2018</stp>
        <tr r="N425" s="1"/>
      </tp>
      <tp>
        <v>1.7537717043269601</v>
        <stp/>
        <stp>EM_S_VAL_PBGOODWILLDEDUCTED</stp>
        <stp>2</stp>
        <stp>600408</stp>
        <stp>12/31/2018</stp>
        <tr r="N2702" s="1"/>
      </tp>
      <tp>
        <v>2.9694469962514001</v>
        <stp/>
        <stp>EM_S_VAL_PBGOODWILLDEDUCTED</stp>
        <stp>2</stp>
        <stp>300453</stp>
        <stp>12/31/2018</stp>
        <tr r="N3248" s="1"/>
      </tp>
      <tp>
        <v>1.0298162610063899</v>
        <stp/>
        <stp>EM_S_VAL_PBGOODWILLDEDUCTED</stp>
        <stp>2</stp>
        <stp>600403</stp>
        <stp>12/31/2018</stp>
        <tr r="N1468" s="1"/>
      </tp>
      <tp>
        <v>4.2521607229021399</v>
        <stp/>
        <stp>EM_S_VAL_PBGOODWILLDEDUCTED</stp>
        <stp>2</stp>
        <stp>300452</stp>
        <stp>12/31/2018</stp>
        <tr r="N1739" s="1"/>
      </tp>
      <tp>
        <v>7.6636480080078</v>
        <stp/>
        <stp>EM_S_VAL_PBGOODWILLDEDUCTED</stp>
        <stp>2</stp>
        <stp>300451</stp>
        <stp>12/31/2018</stp>
        <tr r="N2693" s="1"/>
      </tp>
      <tp>
        <v>-1.5431478703072601</v>
        <stp/>
        <stp>EM_S_VAL_PBGOODWILLDEDUCTED</stp>
        <stp>2</stp>
        <stp>600401</stp>
        <stp>12/31/2018</stp>
        <tr r="N3407" s="1"/>
      </tp>
      <tp>
        <v>10.857543647194101</v>
        <stp/>
        <stp>EM_S_VAL_PBGOODWILLDEDUCTED</stp>
        <stp>2</stp>
        <stp>300450</stp>
        <stp>12/31/2018</stp>
        <tr r="N468" s="1"/>
      </tp>
      <tp>
        <v>2.3861147105475</v>
        <stp/>
        <stp>EM_S_VAL_PBGOODWILLDEDUCTED</stp>
        <stp>2</stp>
        <stp>600400</stp>
        <stp>12/31/2018</stp>
        <tr r="N2812" s="1"/>
      </tp>
      <tp>
        <v>3.9293327136677698</v>
        <stp/>
        <stp>EM_S_VAL_PBGOODWILLDEDUCTED</stp>
        <stp>2</stp>
        <stp>300457</stp>
        <stp>12/31/2018</stp>
        <tr r="N1422" s="1"/>
      </tp>
      <tp>
        <v>7.19515596629964</v>
        <stp/>
        <stp>EM_S_VAL_PBGOODWILLDEDUCTED</stp>
        <stp>2</stp>
        <stp>300456</stp>
        <stp>12/31/2018</stp>
        <tr r="N1723" s="1"/>
      </tp>
      <tp>
        <v>3.0571137260596801</v>
        <stp/>
        <stp>EM_S_VAL_PBGOODWILLDEDUCTED</stp>
        <stp>2</stp>
        <stp>600406</stp>
        <stp>12/31/2018</stp>
        <tr r="N1471" s="1"/>
      </tp>
      <tp>
        <v>4.26440342727554</v>
        <stp/>
        <stp>EM_S_VAL_PBGOODWILLDEDUCTED</stp>
        <stp>2</stp>
        <stp>300455</stp>
        <stp>12/31/2018</stp>
        <tr r="N388" s="1"/>
      </tp>
      <tp>
        <v>2.1435454662291198</v>
        <stp/>
        <stp>EM_S_VAL_PBGOODWILLDEDUCTED</stp>
        <stp>2</stp>
        <stp>600405</stp>
        <stp>12/31/2018</stp>
        <tr r="N1472" s="1"/>
      </tp>
      <tp>
        <v>10.5081039724553</v>
        <stp/>
        <stp>EM_S_VAL_PBGOODWILLDEDUCTED</stp>
        <stp>2</stp>
        <stp>300454</stp>
        <stp>12/31/2018</stp>
        <tr r="N1028" s="1"/>
      </tp>
      <tp>
        <v>4.3536239699888899</v>
        <stp/>
        <stp>EM_S_VAL_PBGOODWILLDEDUCTED</stp>
        <stp>2</stp>
        <stp>300449</stp>
        <stp>12/31/2018</stp>
        <tr r="N3249" s="1"/>
      </tp>
      <tp>
        <v>3.1273701913814702</v>
        <stp/>
        <stp>EM_S_VAL_PBGOODWILLDEDUCTED</stp>
        <stp>2</stp>
        <stp>600419</stp>
        <stp>12/31/2018</stp>
        <tr r="N2434" s="1"/>
      </tp>
      <tp>
        <v>3.66784230309537</v>
        <stp/>
        <stp>EM_S_VAL_PBGOODWILLDEDUCTED</stp>
        <stp>2</stp>
        <stp>300448</stp>
        <stp>12/31/2018</stp>
        <tr r="N3181" s="1"/>
      </tp>
      <tp>
        <v>0.70835047270117701</v>
        <stp/>
        <stp>EM_S_VAL_PBGOODWILLDEDUCTED</stp>
        <stp>2</stp>
        <stp>600418</stp>
        <stp>12/31/2018</stp>
        <tr r="N2111" s="1"/>
      </tp>
      <tp>
        <v>1.4934644082128901</v>
        <stp/>
        <stp>EM_S_VAL_PBGOODWILLDEDUCTED</stp>
        <stp>2</stp>
        <stp>300443</stp>
        <stp>12/31/2018</stp>
        <tr r="N981" s="1"/>
      </tp>
      <tp>
        <v>1.7513131626448799</v>
        <stp/>
        <stp>EM_S_VAL_PBGOODWILLDEDUCTED</stp>
        <stp>2</stp>
        <stp>300442</stp>
        <stp>12/31/2018</stp>
        <tr r="N1232" s="1"/>
      </tp>
      <tp>
        <v>4.7156417606383698</v>
        <stp/>
        <stp>EM_S_VAL_PBGOODWILLDEDUCTED</stp>
        <stp>2</stp>
        <stp>300441</stp>
        <stp>12/31/2018</stp>
        <tr r="N685" s="1"/>
      </tp>
      <tp>
        <v>2.2689860384084501</v>
        <stp/>
        <stp>EM_S_VAL_PBGOODWILLDEDUCTED</stp>
        <stp>2</stp>
        <stp>300440</stp>
        <stp>12/31/2018</stp>
        <tr r="N675" s="1"/>
      </tp>
      <tp>
        <v>1.6716832637630601</v>
        <stp/>
        <stp>EM_S_VAL_PBGOODWILLDEDUCTED</stp>
        <stp>2</stp>
        <stp>600410</stp>
        <stp>12/31/2018</stp>
        <tr r="N272" s="1"/>
      </tp>
      <tp>
        <v>2.3664811432354398</v>
        <stp/>
        <stp>EM_S_VAL_PBGOODWILLDEDUCTED</stp>
        <stp>2</stp>
        <stp>300447</stp>
        <stp>12/31/2018</stp>
        <tr r="N1960" s="1"/>
      </tp>
      <tp>
        <v>3.04410811611318</v>
        <stp/>
        <stp>EM_S_VAL_PBGOODWILLDEDUCTED</stp>
        <stp>2</stp>
        <stp>300446</stp>
        <stp>12/31/2018</stp>
        <tr r="N1334" s="1"/>
      </tp>
      <tp>
        <v>1.0745582260639801</v>
        <stp/>
        <stp>EM_S_VAL_PBGOODWILLDEDUCTED</stp>
        <stp>2</stp>
        <stp>600416</stp>
        <stp>12/31/2018</stp>
        <tr r="N795" s="1"/>
      </tp>
      <tp>
        <v>2.9910693566436701</v>
        <stp/>
        <stp>EM_S_VAL_PBGOODWILLDEDUCTED</stp>
        <stp>2</stp>
        <stp>300445</stp>
        <stp>12/31/2018</stp>
        <tr r="N314" s="1"/>
      </tp>
      <tp>
        <v>1.6150975173117099</v>
        <stp/>
        <stp>EM_S_VAL_PBGOODWILLDEDUCTED</stp>
        <stp>2</stp>
        <stp>600415</stp>
        <stp>12/31/2018</stp>
        <tr r="N1685" s="1"/>
      </tp>
      <tp>
        <v>3.4235650346162001</v>
        <stp/>
        <stp>EM_S_VAL_PBGOODWILLDEDUCTED</stp>
        <stp>2</stp>
        <stp>300444</stp>
        <stp>12/31/2018</stp>
        <tr r="N3128" s="1"/>
      </tp>
      <tp>
        <v>5.7628111319521897</v>
        <stp/>
        <stp>EM_S_VAL_PBGOODWILLDEDUCTED</stp>
        <stp>2</stp>
        <stp>300479</stp>
        <stp>12/31/2018</stp>
        <tr r="N1154" s="1"/>
      </tp>
      <tp>
        <v>2.5038936688150799</v>
        <stp/>
        <stp>EM_S_VAL_PBGOODWILLDEDUCTED</stp>
        <stp>2</stp>
        <stp>600429</stp>
        <stp>12/31/2018</stp>
        <tr r="N2394" s="1"/>
      </tp>
      <tp>
        <v>3.2209284799080802</v>
        <stp/>
        <stp>EM_S_VAL_PBGOODWILLDEDUCTED</stp>
        <stp>2</stp>
        <stp>300478</stp>
        <stp>12/31/2018</stp>
        <tr r="N3004" s="1"/>
      </tp>
      <tp>
        <v>0.72839462242461095</v>
        <stp/>
        <stp>EM_S_VAL_PBGOODWILLDEDUCTED</stp>
        <stp>2</stp>
        <stp>600428</stp>
        <stp>12/31/2018</stp>
        <tr r="N1477" s="1"/>
      </tp>
      <tp>
        <v>5.17733053666774</v>
        <stp/>
        <stp>EM_S_VAL_PBGOODWILLDEDUCTED</stp>
        <stp>2</stp>
        <stp>300473</stp>
        <stp>12/31/2018</stp>
        <tr r="N898" s="1"/>
      </tp>
      <tp>
        <v>1.39376931304633</v>
        <stp/>
        <stp>EM_S_VAL_PBGOODWILLDEDUCTED</stp>
        <stp>2</stp>
        <stp>600423</stp>
        <stp>12/31/2018</stp>
        <tr r="N2841" s="1"/>
      </tp>
      <tp>
        <v>3.2740480231810798</v>
        <stp/>
        <stp>EM_S_VAL_PBGOODWILLDEDUCTED</stp>
        <stp>2</stp>
        <stp>300472</stp>
        <stp>12/31/2018</stp>
        <tr r="N2439" s="1"/>
      </tp>
      <tp>
        <v>1.26356131738531</v>
        <stp/>
        <stp>EM_S_VAL_PBGOODWILLDEDUCTED</stp>
        <stp>2</stp>
        <stp>600422</stp>
        <stp>12/31/2018</stp>
        <tr r="N333" s="1"/>
      </tp>
      <tp>
        <v>1.6708329149258201</v>
        <stp/>
        <stp>EM_S_VAL_PBGOODWILLDEDUCTED</stp>
        <stp>2</stp>
        <stp>300471</stp>
        <stp>12/31/2018</stp>
        <tr r="N341" s="1"/>
      </tp>
      <tp>
        <v>702.62515772061204</v>
        <stp/>
        <stp>EM_S_VAL_PBGOODWILLDEDUCTED</stp>
        <stp>2</stp>
        <stp>600421</stp>
        <stp>12/31/2018</stp>
        <tr r="N1884" s="1"/>
      </tp>
      <tp>
        <v>4.1020634703801502</v>
        <stp/>
        <stp>EM_S_VAL_PBGOODWILLDEDUCTED</stp>
        <stp>2</stp>
        <stp>300470</stp>
        <stp>12/31/2018</stp>
        <tr r="N1244" s="1"/>
      </tp>
      <tp>
        <v>1.49228855428829</v>
        <stp/>
        <stp>EM_S_VAL_PBGOODWILLDEDUCTED</stp>
        <stp>2</stp>
        <stp>600420</stp>
        <stp>12/31/2018</stp>
        <tr r="N2530" s="1"/>
      </tp>
      <tp>
        <v>3.43717092101127</v>
        <stp/>
        <stp>EM_S_VAL_PBGOODWILLDEDUCTED</stp>
        <stp>2</stp>
        <stp>300477</stp>
        <stp>12/31/2018</stp>
        <tr r="N3020" s="1"/>
      </tp>
      <tp>
        <v>3.0262359908195302</v>
        <stp/>
        <stp>EM_S_VAL_PBGOODWILLDEDUCTED</stp>
        <stp>2</stp>
        <stp>300476</stp>
        <stp>12/31/2018</stp>
        <tr r="N744" s="1"/>
      </tp>
      <tp>
        <v>1.6206052771900901</v>
        <stp/>
        <stp>EM_S_VAL_PBGOODWILLDEDUCTED</stp>
        <stp>2</stp>
        <stp>600426</stp>
        <stp>12/31/2018</stp>
        <tr r="N417" s="1"/>
      </tp>
      <tp>
        <v>1.34150619462409</v>
        <stp/>
        <stp>EM_S_VAL_PBGOODWILLDEDUCTED</stp>
        <stp>2</stp>
        <stp>300475</stp>
        <stp>12/31/2018</stp>
        <tr r="N864" s="1"/>
      </tp>
      <tp>
        <v>0.91494167413146399</v>
        <stp/>
        <stp>EM_S_VAL_PBGOODWILLDEDUCTED</stp>
        <stp>2</stp>
        <stp>600425</stp>
        <stp>12/31/2018</stp>
        <tr r="N935" s="1"/>
      </tp>
      <tp>
        <v>4.9288540249567996</v>
        <stp/>
        <stp>EM_S_VAL_PBGOODWILLDEDUCTED</stp>
        <stp>2</stp>
        <stp>300474</stp>
        <stp>12/31/2018</stp>
        <tr r="N392" s="1"/>
      </tp>
      <tp>
        <v>5.2928459987662304</v>
        <stp/>
        <stp>EM_S_VAL_PBGOODWILLDEDUCTED</stp>
        <stp>2</stp>
        <stp>300469</stp>
        <stp>12/31/2018</stp>
        <tr r="N2968" s="1"/>
      </tp>
      <tp>
        <v>1.0557051160211199</v>
        <stp/>
        <stp>EM_S_VAL_PBGOODWILLDEDUCTED</stp>
        <stp>2</stp>
        <stp>600439</stp>
        <stp>12/31/2018</stp>
        <tr r="N823" s="1"/>
      </tp>
      <tp>
        <v>2.2246118678235498</v>
        <stp/>
        <stp>EM_S_VAL_PBGOODWILLDEDUCTED</stp>
        <stp>2</stp>
        <stp>300468</stp>
        <stp>12/31/2018</stp>
        <tr r="N55" s="1"/>
      </tp>
      <tp>
        <v>2.2795540564594399</v>
        <stp/>
        <stp>EM_S_VAL_PBGOODWILLDEDUCTED</stp>
        <stp>2</stp>
        <stp>600438</stp>
        <stp>12/31/2018</stp>
        <tr r="N448" s="1"/>
      </tp>
      <tp>
        <v>3.04668932449305</v>
        <stp/>
        <stp>EM_S_VAL_PBGOODWILLDEDUCTED</stp>
        <stp>2</stp>
        <stp>300463</stp>
        <stp>12/31/2018</stp>
        <tr r="N238" s="1"/>
      </tp>
      <tp>
        <v>1.7467751444583</v>
        <stp/>
        <stp>EM_S_VAL_PBGOODWILLDEDUCTED</stp>
        <stp>2</stp>
        <stp>600433</stp>
        <stp>12/31/2018</stp>
        <tr r="N2625" s="1"/>
      </tp>
      <tp>
        <v>3.3616164021923698</v>
        <stp/>
        <stp>EM_S_VAL_PBGOODWILLDEDUCTED</stp>
        <stp>2</stp>
        <stp>300462</stp>
        <stp>12/31/2018</stp>
        <tr r="N369" s="1"/>
      </tp>
      <tp>
        <v>-0.81242226759135305</v>
        <stp/>
        <stp>EM_S_VAL_PBGOODWILLDEDUCTED</stp>
        <stp>2</stp>
        <stp>600432</stp>
        <stp>12/31/2018</stp>
        <tr r="N2302" s="1"/>
      </tp>
      <tp>
        <v>11.2319141258992</v>
        <stp/>
        <stp>EM_S_VAL_PBGOODWILLDEDUCTED</stp>
        <stp>2</stp>
        <stp>300461</stp>
        <stp>12/31/2018</stp>
        <tr r="N1686" s="1"/>
      </tp>
      <tp>
        <v>2.5310231162145</v>
        <stp/>
        <stp>EM_S_VAL_PBGOODWILLDEDUCTED</stp>
        <stp>2</stp>
        <stp>300460</stp>
        <stp>12/31/2018</stp>
        <tr r="N170" s="1"/>
      </tp>
      <tp>
        <v>6.5031245317820501</v>
        <stp/>
        <stp>EM_S_VAL_PBGOODWILLDEDUCTED</stp>
        <stp>2</stp>
        <stp>300467</stp>
        <stp>12/31/2018</stp>
        <tr r="N2940" s="1"/>
      </tp>
      <tp>
        <v>3.43486912836737</v>
        <stp/>
        <stp>EM_S_VAL_PBGOODWILLDEDUCTED</stp>
        <stp>2</stp>
        <stp>300466</stp>
        <stp>12/31/2018</stp>
        <tr r="N1519" s="1"/>
      </tp>
      <tp>
        <v>10.4338035044841</v>
        <stp/>
        <stp>EM_S_VAL_PBGOODWILLDEDUCTED</stp>
        <stp>2</stp>
        <stp>600436</stp>
        <stp>12/31/2018</stp>
        <tr r="N1060" s="1"/>
      </tp>
      <tp>
        <v>10.143414251763501</v>
        <stp/>
        <stp>EM_S_VAL_PBGOODWILLDEDUCTED</stp>
        <stp>2</stp>
        <stp>300465</stp>
        <stp>12/31/2018</stp>
        <tr r="N477" s="1"/>
      </tp>
      <tp>
        <v>5.3452406882582002</v>
        <stp/>
        <stp>EM_S_VAL_PBGOODWILLDEDUCTED</stp>
        <stp>2</stp>
        <stp>600435</stp>
        <stp>12/31/2018</stp>
        <tr r="N1564" s="1"/>
      </tp>
      <tp>
        <v>-3.1965068715515299</v>
        <stp/>
        <stp>EM_S_VAL_PBGOODWILLDEDUCTED</stp>
        <stp>2</stp>
        <stp>300464</stp>
        <stp>12/31/2018</stp>
        <tr r="N195" s="1"/>
      </tp>
      <tp>
        <v>1.8298121264948199</v>
        <stp/>
        <stp>EM_S_VAL_PBGOODWILLDEDUCTED</stp>
        <stp>2</stp>
        <stp>000429</stp>
        <stp>12/31/2018</stp>
        <tr r="N2465" s="1"/>
      </tp>
      <tp>
        <v>2.4776870113559601</v>
        <stp/>
        <stp>EM_S_VAL_PBGOODWILLDEDUCTED</stp>
        <stp>2</stp>
        <stp>300419</stp>
        <stp>12/31/2018</stp>
        <tr r="N1348" s="1"/>
      </tp>
      <tp>
        <v>0.72762331507594002</v>
        <stp/>
        <stp>EM_S_VAL_PBGOODWILLDEDUCTED</stp>
        <stp>2</stp>
        <stp>600449</stp>
        <stp>12/31/2018</stp>
        <tr r="N621" s="1"/>
      </tp>
      <tp>
        <v>0.99776431915237895</v>
        <stp/>
        <stp>EM_S_VAL_PBGOODWILLDEDUCTED</stp>
        <stp>2</stp>
        <stp>000428</stp>
        <stp>12/31/2018</stp>
        <tr r="N3425" s="1"/>
      </tp>
      <tp>
        <v>4.0915804532658004</v>
        <stp/>
        <stp>EM_S_VAL_PBGOODWILLDEDUCTED</stp>
        <stp>2</stp>
        <stp>300418</stp>
        <stp>12/31/2018</stp>
        <tr r="N889" s="1"/>
      </tp>
      <tp>
        <v>1.71802100990464</v>
        <stp/>
        <stp>EM_S_VAL_PBGOODWILLDEDUCTED</stp>
        <stp>2</stp>
        <stp>600448</stp>
        <stp>12/31/2018</stp>
        <tr r="N1775" s="1"/>
      </tp>
      <tp>
        <v>2.28884366264717</v>
        <stp/>
        <stp>EM_S_VAL_PBGOODWILLDEDUCTED</stp>
        <stp>2</stp>
        <stp>000423</stp>
        <stp>12/31/2018</stp>
        <tr r="N3424" s="1"/>
      </tp>
      <tp>
        <v>6.4973124636009603</v>
        <stp/>
        <stp>EM_S_VAL_PBGOODWILLDEDUCTED</stp>
        <stp>2</stp>
        <stp>300413</stp>
        <stp>12/31/2018</stp>
        <tr r="N2612" s="1"/>
      </tp>
      <tp>
        <v>27.403071809445301</v>
        <stp/>
        <stp>EM_S_VAL_PBGOODWILLDEDUCTED</stp>
        <stp>2</stp>
        <stp>000422</stp>
        <stp>12/31/2018</stp>
        <tr r="N2350" s="1"/>
      </tp>
      <tp>
        <v>2.4769576038165302</v>
        <stp/>
        <stp>EM_S_VAL_PBGOODWILLDEDUCTED</stp>
        <stp>2</stp>
        <stp>300412</stp>
        <stp>12/31/2018</stp>
        <tr r="N2243" s="1"/>
      </tp>
      <tp>
        <v>1.0000036937099399</v>
        <stp/>
        <stp>EM_S_VAL_PBGOODWILLDEDUCTED</stp>
        <stp>2</stp>
        <stp>000421</stp>
        <stp>12/31/2018</stp>
        <tr r="N3423" s="1"/>
      </tp>
      <tp>
        <v>2.5537068784275698</v>
        <stp/>
        <stp>EM_S_VAL_PBGOODWILLDEDUCTED</stp>
        <stp>2</stp>
        <stp>300411</stp>
        <stp>12/31/2018</stp>
        <tr r="N2490" s="1"/>
      </tp>
      <tp>
        <v>1.28263163236254</v>
        <stp/>
        <stp>EM_S_VAL_PBGOODWILLDEDUCTED</stp>
        <stp>2</stp>
        <stp>000420</stp>
        <stp>12/31/2018</stp>
        <tr r="N1603" s="1"/>
      </tp>
      <tp>
        <v>3.79050668527809</v>
        <stp/>
        <stp>EM_S_VAL_PBGOODWILLDEDUCTED</stp>
        <stp>2</stp>
        <stp>300410</stp>
        <stp>12/31/2018</stp>
        <tr r="N3396" s="1"/>
      </tp>
      <tp>
        <v>3.0627590344498499</v>
        <stp/>
        <stp>EM_S_VAL_PBGOODWILLDEDUCTED</stp>
        <stp>2</stp>
        <stp>300417</stp>
        <stp>12/31/2018</stp>
        <tr r="N56" s="1"/>
      </tp>
      <tp>
        <v>1.89324070622792</v>
        <stp/>
        <stp>EM_S_VAL_PBGOODWILLDEDUCTED</stp>
        <stp>2</stp>
        <stp>000426</stp>
        <stp>12/31/2018</stp>
        <tr r="N2266" s="1"/>
      </tp>
      <tp>
        <v>3.1618622480114902</v>
        <stp/>
        <stp>EM_S_VAL_PBGOODWILLDEDUCTED</stp>
        <stp>2</stp>
        <stp>300416</stp>
        <stp>12/31/2018</stp>
        <tr r="N301" s="1"/>
      </tp>
      <tp>
        <v>5.1442220481723098</v>
        <stp/>
        <stp>EM_S_VAL_PBGOODWILLDEDUCTED</stp>
        <stp>2</stp>
        <stp>600446</stp>
        <stp>12/31/2018</stp>
        <tr r="N127" s="1"/>
      </tp>
      <tp>
        <v>0.99396049254166297</v>
        <stp/>
        <stp>EM_S_VAL_PBGOODWILLDEDUCTED</stp>
        <stp>2</stp>
        <stp>000425</stp>
        <stp>12/31/2018</stp>
        <tr r="N319" s="1"/>
      </tp>
      <tp>
        <v>2.3134908258136901</v>
        <stp/>
        <stp>EM_S_VAL_PBGOODWILLDEDUCTED</stp>
        <stp>2</stp>
        <stp>300415</stp>
        <stp>12/31/2018</stp>
        <tr r="N374" s="1"/>
      </tp>
      <tp>
        <v>3.2681373250578098</v>
        <stp/>
        <stp>EM_S_VAL_PBGOODWILLDEDUCTED</stp>
        <stp>2</stp>
        <stp>300414</stp>
        <stp>12/31/2018</stp>
        <tr r="N3089" s="1"/>
      </tp>
      <tp>
        <v>2.5070671536465601</v>
        <stp/>
        <stp>EM_S_VAL_PBGOODWILLDEDUCTED</stp>
        <stp>2</stp>
        <stp>600444</stp>
        <stp>12/31/2018</stp>
        <tr r="N1702" s="1"/>
      </tp>
      <tp>
        <v>3.3367781866853399</v>
        <stp/>
        <stp>EM_S_VAL_PBGOODWILLDEDUCTED</stp>
        <stp>2</stp>
        <stp>300409</stp>
        <stp>12/31/2018</stp>
        <tr r="N2377" s="1"/>
      </tp>
      <tp>
        <v>1.88857339701556</v>
        <stp/>
        <stp>EM_S_VAL_PBGOODWILLDEDUCTED</stp>
        <stp>2</stp>
        <stp>600459</stp>
        <stp>12/31/2018</stp>
        <tr r="N755" s="1"/>
      </tp>
      <tp>
        <v>4.3785226197902398</v>
        <stp/>
        <stp>EM_S_VAL_PBGOODWILLDEDUCTED</stp>
        <stp>2</stp>
        <stp>300408</stp>
        <stp>12/31/2018</stp>
        <tr r="N858" s="1"/>
      </tp>
      <tp>
        <v>1.20754352986904</v>
        <stp/>
        <stp>EM_S_VAL_PBGOODWILLDEDUCTED</stp>
        <stp>2</stp>
        <stp>600458</stp>
        <stp>12/31/2018</stp>
        <tr r="N2074" s="1"/>
      </tp>
      <tp>
        <v>2.27458509018471</v>
        <stp/>
        <stp>EM_S_VAL_PBGOODWILLDEDUCTED</stp>
        <stp>2</stp>
        <stp>300403</stp>
        <stp>12/31/2018</stp>
        <tr r="N2252" s="1"/>
      </tp>
      <tp>
        <v>2.5163114419881398</v>
        <stp/>
        <stp>EM_S_VAL_PBGOODWILLDEDUCTED</stp>
        <stp>2</stp>
        <stp>300402</stp>
        <stp>12/31/2018</stp>
        <tr r="N1278" s="1"/>
      </tp>
      <tp>
        <v>2.4211362513324701</v>
        <stp/>
        <stp>EM_S_VAL_PBGOODWILLDEDUCTED</stp>
        <stp>2</stp>
        <stp>600452</stp>
        <stp>12/31/2018</stp>
        <tr r="N1428" s="1"/>
      </tp>
      <tp>
        <v>3.7196819256390499</v>
        <stp/>
        <stp>EM_S_VAL_PBGOODWILLDEDUCTED</stp>
        <stp>2</stp>
        <stp>300401</stp>
        <stp>12/31/2018</stp>
        <tr r="N2232" s="1"/>
      </tp>
      <tp>
        <v>1.2405445665447301</v>
        <stp/>
        <stp>EM_S_VAL_PBGOODWILLDEDUCTED</stp>
        <stp>2</stp>
        <stp>000430</stp>
        <stp>12/31/2018</stp>
        <tr r="N3426" s="1"/>
      </tp>
      <tp>
        <v>6.0430094666185896</v>
        <stp/>
        <stp>EM_S_VAL_PBGOODWILLDEDUCTED</stp>
        <stp>2</stp>
        <stp>300400</stp>
        <stp>12/31/2018</stp>
        <tr r="N2511" s="1"/>
      </tp>
      <tp>
        <v>2.07245158330461</v>
        <stp/>
        <stp>EM_S_VAL_PBGOODWILLDEDUCTED</stp>
        <stp>2</stp>
        <stp>300407</stp>
        <stp>12/31/2018</stp>
        <tr r="N2060" s="1"/>
      </tp>
      <tp>
        <v>3.4726637793487001</v>
        <stp/>
        <stp>EM_S_VAL_PBGOODWILLDEDUCTED</stp>
        <stp>2</stp>
        <stp>300406</stp>
        <stp>12/31/2018</stp>
        <tr r="N400" s="1"/>
      </tp>
      <tp>
        <v>1.8317558588648899</v>
        <stp/>
        <stp>EM_S_VAL_PBGOODWILLDEDUCTED</stp>
        <stp>2</stp>
        <stp>600456</stp>
        <stp>12/31/2018</stp>
        <tr r="N393" s="1"/>
      </tp>
      <tp>
        <v>1.36259886526394</v>
        <stp/>
        <stp>EM_S_VAL_PBGOODWILLDEDUCTED</stp>
        <stp>2</stp>
        <stp>300405</stp>
        <stp>12/31/2018</stp>
        <tr r="N2766" s="1"/>
      </tp>
      <tp>
        <v>10.4208928685073</v>
        <stp/>
        <stp>EM_S_VAL_PBGOODWILLDEDUCTED</stp>
        <stp>2</stp>
        <stp>600455</stp>
        <stp>12/31/2018</stp>
        <tr r="N440" s="1"/>
      </tp>
      <tp>
        <v>3.97103041031056</v>
        <stp/>
        <stp>EM_S_VAL_PBGOODWILLDEDUCTED</stp>
        <stp>2</stp>
        <stp>300404</stp>
        <stp>12/31/2018</stp>
        <tr r="N1027" s="1"/>
      </tp>
      <tp>
        <v>3.98274376129068</v>
        <stp/>
        <stp>EM_S_VAL_PBGOODWILLDEDUCTED</stp>
        <stp>2</stp>
        <stp>000409</stp>
        <stp>12/31/2018</stp>
        <tr r="N2918" s="1"/>
      </tp>
      <tp>
        <v>4.4761742111142899</v>
        <stp/>
        <stp>EM_S_VAL_PBGOODWILLDEDUCTED</stp>
        <stp>2</stp>
        <stp>300439</stp>
        <stp>12/31/2018</stp>
        <tr r="N2237" s="1"/>
      </tp>
      <tp>
        <v>0.98408184326997405</v>
        <stp/>
        <stp>EM_S_VAL_PBGOODWILLDEDUCTED</stp>
        <stp>2</stp>
        <stp>600469</stp>
        <stp>12/31/2018</stp>
        <tr r="N749" s="1"/>
      </tp>
      <tp>
        <v>3.0086885011468398</v>
        <stp/>
        <stp>EM_S_VAL_PBGOODWILLDEDUCTED</stp>
        <stp>2</stp>
        <stp>000408</stp>
        <stp>12/31/2018</stp>
        <tr r="N3418" s="1"/>
      </tp>
      <tp>
        <v>2.0966523614253201</v>
        <stp/>
        <stp>EM_S_VAL_PBGOODWILLDEDUCTED</stp>
        <stp>2</stp>
        <stp>300438</stp>
        <stp>12/31/2018</stp>
        <tr r="N364" s="1"/>
      </tp>
      <tp>
        <v>2.48863135495094</v>
        <stp/>
        <stp>EM_S_VAL_PBGOODWILLDEDUCTED</stp>
        <stp>2</stp>
        <stp>600468</stp>
        <stp>12/31/2018</stp>
        <tr r="N3233" s="1"/>
      </tp>
      <tp>
        <v>10.7623777521765</v>
        <stp/>
        <stp>EM_S_VAL_PBGOODWILLDEDUCTED</stp>
        <stp>2</stp>
        <stp>000403</stp>
        <stp>12/31/2018</stp>
        <tr r="N1103" s="1"/>
      </tp>
      <tp>
        <v>1.5856287951497099</v>
        <stp/>
        <stp>EM_S_VAL_PBGOODWILLDEDUCTED</stp>
        <stp>2</stp>
        <stp>300433</stp>
        <stp>12/31/2018</stp>
        <tr r="N140" s="1"/>
      </tp>
      <tp>
        <v>1.5223751280051001</v>
        <stp/>
        <stp>EM_S_VAL_PBGOODWILLDEDUCTED</stp>
        <stp>2</stp>
        <stp>600463</stp>
        <stp>12/31/2018</stp>
        <tr r="N2180" s="1"/>
      </tp>
      <tp>
        <v>0.60222686946408599</v>
        <stp/>
        <stp>EM_S_VAL_PBGOODWILLDEDUCTED</stp>
        <stp>2</stp>
        <stp>000402</stp>
        <stp>12/31/2018</stp>
        <tr r="N3415" s="1"/>
      </tp>
      <tp>
        <v>1.7387894510347299</v>
        <stp/>
        <stp>EM_S_VAL_PBGOODWILLDEDUCTED</stp>
        <stp>2</stp>
        <stp>300432</stp>
        <stp>12/31/2018</stp>
        <tr r="N180" s="1"/>
      </tp>
      <tp>
        <v>141.98724351706099</v>
        <stp/>
        <stp>EM_S_VAL_PBGOODWILLDEDUCTED</stp>
        <stp>2</stp>
        <stp>600462</stp>
        <stp>12/31/2018</stp>
        <tr r="N3369" s="1"/>
      </tp>
      <tp>
        <v>1.4756935112351</v>
        <stp/>
        <stp>EM_S_VAL_PBGOODWILLDEDUCTED</stp>
        <stp>2</stp>
        <stp>000401</stp>
        <stp>12/31/2018</stp>
        <tr r="N849" s="1"/>
      </tp>
      <tp>
        <v>-24.7969538416611</v>
        <stp/>
        <stp>EM_S_VAL_PBGOODWILLDEDUCTED</stp>
        <stp>2</stp>
        <stp>300431</stp>
        <stp>12/31/2018</stp>
        <tr r="N3388" s="1"/>
      </tp>
      <tp>
        <v>1.23060782919224</v>
        <stp/>
        <stp>EM_S_VAL_PBGOODWILLDEDUCTED</stp>
        <stp>2</stp>
        <stp>600461</stp>
        <stp>12/31/2018</stp>
        <tr r="N1858" s="1"/>
      </tp>
      <tp>
        <v>1.15589343995094</v>
        <stp/>
        <stp>EM_S_VAL_PBGOODWILLDEDUCTED</stp>
        <stp>2</stp>
        <stp>000400</stp>
        <stp>12/31/2018</stp>
        <tr r="N3414" s="1"/>
      </tp>
      <tp>
        <v>2.00398926353542</v>
        <stp/>
        <stp>EM_S_VAL_PBGOODWILLDEDUCTED</stp>
        <stp>2</stp>
        <stp>300430</stp>
        <stp>12/31/2018</stp>
        <tr r="N2455" s="1"/>
      </tp>
      <tp>
        <v>3.1085998370971701</v>
        <stp/>
        <stp>EM_S_VAL_PBGOODWILLDEDUCTED</stp>
        <stp>2</stp>
        <stp>600460</stp>
        <stp>12/31/2018</stp>
        <tr r="N200" s="1"/>
      </tp>
      <tp>
        <v>3.1501397527762101</v>
        <stp/>
        <stp>EM_S_VAL_PBGOODWILLDEDUCTED</stp>
        <stp>2</stp>
        <stp>000407</stp>
        <stp>12/31/2018</stp>
        <tr r="N2601" s="1"/>
      </tp>
      <tp>
        <v>3.05144602910618</v>
        <stp/>
        <stp>EM_S_VAL_PBGOODWILLDEDUCTED</stp>
        <stp>2</stp>
        <stp>300437</stp>
        <stp>12/31/2018</stp>
        <tr r="N2786" s="1"/>
      </tp>
      <tp>
        <v>1.15238060691244</v>
        <stp/>
        <stp>EM_S_VAL_PBGOODWILLDEDUCTED</stp>
        <stp>2</stp>
        <stp>600467</stp>
        <stp>12/31/2018</stp>
        <tr r="N2199" s="1"/>
      </tp>
      <tp>
        <v>2.0494883368216699</v>
        <stp/>
        <stp>EM_S_VAL_PBGOODWILLDEDUCTED</stp>
        <stp>2</stp>
        <stp>000406</stp>
        <stp>12/31/2018</stp>
        <tr r="N3417" s="1"/>
      </tp>
      <tp>
        <v>6.9191736375030803</v>
        <stp/>
        <stp>EM_S_VAL_PBGOODWILLDEDUCTED</stp>
        <stp>2</stp>
        <stp>300436</stp>
        <stp>12/31/2018</stp>
        <tr r="N879" s="1"/>
      </tp>
      <tp>
        <v>1.3823833822728699</v>
        <stp/>
        <stp>EM_S_VAL_PBGOODWILLDEDUCTED</stp>
        <stp>2</stp>
        <stp>600466</stp>
        <stp>12/31/2018</stp>
        <tr r="N865" s="1"/>
      </tp>
      <tp>
        <v>60.847596966547101</v>
        <stp/>
        <stp>EM_S_VAL_PBGOODWILLDEDUCTED</stp>
        <stp>2</stp>
        <stp>000405</stp>
        <stp>12/31/2018</stp>
        <tr r="N3416" s="1"/>
      </tp>
      <tp>
        <v>3.0208467166899999</v>
        <stp/>
        <stp>EM_S_VAL_PBGOODWILLDEDUCTED</stp>
        <stp>2</stp>
        <stp>300435</stp>
        <stp>12/31/2018</stp>
        <tr r="N1794" s="1"/>
      </tp>
      <tp>
        <v>0.88317665978552995</v>
        <stp/>
        <stp>EM_S_VAL_PBGOODWILLDEDUCTED</stp>
        <stp>2</stp>
        <stp>000404</stp>
        <stp>12/31/2018</stp>
        <tr r="N2194" s="1"/>
      </tp>
      <tp>
        <v>1.9039547448673699</v>
        <stp/>
        <stp>EM_S_VAL_PBGOODWILLDEDUCTED</stp>
        <stp>2</stp>
        <stp>300434</stp>
        <stp>12/31/2018</stp>
        <tr r="N2981" s="1"/>
      </tp>
      <tp>
        <v>0.80219586177520497</v>
        <stp/>
        <stp>EM_S_VAL_PBGOODWILLDEDUCTED</stp>
        <stp>2</stp>
        <stp>000419</stp>
        <stp>12/31/2018</stp>
        <tr r="N3422" s="1"/>
      </tp>
      <tp>
        <v>6.2245391202787896</v>
        <stp/>
        <stp>EM_S_VAL_PBGOODWILLDEDUCTED</stp>
        <stp>2</stp>
        <stp>300429</stp>
        <stp>12/31/2018</stp>
        <tr r="N3351" s="1"/>
      </tp>
      <tp>
        <v>1.6119117315345399</v>
        <stp/>
        <stp>EM_S_VAL_PBGOODWILLDEDUCTED</stp>
        <stp>2</stp>
        <stp>600479</stp>
        <stp>12/31/2018</stp>
        <tr r="N1683" s="1"/>
      </tp>
      <tp>
        <v>3.2910117998052399</v>
        <stp/>
        <stp>EM_S_VAL_PBGOODWILLDEDUCTED</stp>
        <stp>2</stp>
        <stp>000418</stp>
        <stp>12/31/2018</stp>
        <tr r="N870" s="1"/>
      </tp>
      <tp>
        <v>1.12113625810211</v>
        <stp/>
        <stp>EM_S_VAL_PBGOODWILLDEDUCTED</stp>
        <stp>2</stp>
        <stp>300428</stp>
        <stp>12/31/2018</stp>
        <tr r="N1051" s="1"/>
      </tp>
      <tp>
        <v>2.7320354211868798</v>
        <stp/>
        <stp>EM_S_VAL_PBGOODWILLDEDUCTED</stp>
        <stp>2</stp>
        <stp>600478</stp>
        <stp>12/31/2018</stp>
        <tr r="N1797" s="1"/>
      </tp>
      <tp>
        <v>0.86864501929495297</v>
        <stp/>
        <stp>EM_S_VAL_PBGOODWILLDEDUCTED</stp>
        <stp>2</stp>
        <stp>000413</stp>
        <stp>12/31/2018</stp>
        <tr r="N3142" s="1"/>
      </tp>
      <tp>
        <v>3.7759964723718</v>
        <stp/>
        <stp>EM_S_VAL_PBGOODWILLDEDUCTED</stp>
        <stp>2</stp>
        <stp>300423</stp>
        <stp>12/31/2018</stp>
        <tr r="N3152" s="1"/>
      </tp>
      <tp>
        <v>-6.7490055690719704</v>
        <stp/>
        <stp>EM_S_VAL_PBGOODWILLDEDUCTED</stp>
        <stp>2</stp>
        <stp>000412</stp>
        <stp>12/31/2018</stp>
        <tr r="N3420" s="1"/>
      </tp>
      <tp>
        <v>2.5823799531198501</v>
        <stp/>
        <stp>EM_S_VAL_PBGOODWILLDEDUCTED</stp>
        <stp>2</stp>
        <stp>300422</stp>
        <stp>12/31/2018</stp>
        <tr r="N2032" s="1"/>
      </tp>
      <tp>
        <v>9.8598265293690197</v>
        <stp/>
        <stp>EM_S_VAL_PBGOODWILLDEDUCTED</stp>
        <stp>2</stp>
        <stp>600472</stp>
        <stp>12/31/2018</stp>
        <tr r="N2303" s="1"/>
      </tp>
      <tp>
        <v>3.1875622614473502</v>
        <stp/>
        <stp>EM_S_VAL_PBGOODWILLDEDUCTED</stp>
        <stp>2</stp>
        <stp>000411</stp>
        <stp>12/31/2018</stp>
        <tr r="N2518" s="1"/>
      </tp>
      <tp>
        <v>1.5695140500267699</v>
        <stp/>
        <stp>EM_S_VAL_PBGOODWILLDEDUCTED</stp>
        <stp>2</stp>
        <stp>300421</stp>
        <stp>12/31/2018</stp>
        <tr r="N3348" s="1"/>
      </tp>
      <tp>
        <v>71.759858492244604</v>
        <stp/>
        <stp>EM_S_VAL_PBGOODWILLDEDUCTED</stp>
        <stp>2</stp>
        <stp>000410</stp>
        <stp>12/31/2018</stp>
        <tr r="N3419" s="1"/>
      </tp>
      <tp>
        <v>3.4065041626878698</v>
        <stp/>
        <stp>EM_S_VAL_PBGOODWILLDEDUCTED</stp>
        <stp>2</stp>
        <stp>300420</stp>
        <stp>12/31/2018</stp>
        <tr r="N1747" s="1"/>
      </tp>
      <tp>
        <v>1.36200494767223</v>
        <stp/>
        <stp>EM_S_VAL_PBGOODWILLDEDUCTED</stp>
        <stp>2</stp>
        <stp>600470</stp>
        <stp>12/31/2018</stp>
        <tr r="N1540" s="1"/>
      </tp>
      <tp>
        <v>0.89646579627468703</v>
        <stp/>
        <stp>EM_S_VAL_PBGOODWILLDEDUCTED</stp>
        <stp>2</stp>
        <stp>000417</stp>
        <stp>12/31/2018</stp>
        <tr r="N1571" s="1"/>
      </tp>
      <tp>
        <v>3.8667564673575598</v>
        <stp/>
        <stp>EM_S_VAL_PBGOODWILLDEDUCTED</stp>
        <stp>2</stp>
        <stp>300427</stp>
        <stp>12/31/2018</stp>
        <tr r="N971" s="1"/>
      </tp>
      <tp>
        <v>1.9908756235385701</v>
        <stp/>
        <stp>EM_S_VAL_PBGOODWILLDEDUCTED</stp>
        <stp>2</stp>
        <stp>600477</stp>
        <stp>12/31/2018</stp>
        <tr r="N3098" s="1"/>
      </tp>
      <tp>
        <v>2.4947751782974401</v>
        <stp/>
        <stp>EM_S_VAL_PBGOODWILLDEDUCTED</stp>
        <stp>2</stp>
        <stp>000416</stp>
        <stp>12/31/2018</stp>
        <tr r="N3421" s="1"/>
      </tp>
      <tp>
        <v>10.4979007194388</v>
        <stp/>
        <stp>EM_S_VAL_PBGOODWILLDEDUCTED</stp>
        <stp>2</stp>
        <stp>300426</stp>
        <stp>12/31/2018</stp>
        <tr r="N2691" s="1"/>
      </tp>
      <tp>
        <v>8.2541607435510809</v>
        <stp/>
        <stp>EM_S_VAL_PBGOODWILLDEDUCTED</stp>
        <stp>2</stp>
        <stp>600476</stp>
        <stp>12/31/2018</stp>
        <tr r="N1132" s="1"/>
      </tp>
      <tp>
        <v>0.82532823998752403</v>
        <stp/>
        <stp>EM_S_VAL_PBGOODWILLDEDUCTED</stp>
        <stp>2</stp>
        <stp>000415</stp>
        <stp>12/31/2018</stp>
        <tr r="N2000" s="1"/>
      </tp>
      <tp>
        <v>2.13528981738401</v>
        <stp/>
        <stp>EM_S_VAL_PBGOODWILLDEDUCTED</stp>
        <stp>2</stp>
        <stp>300425</stp>
        <stp>12/31/2018</stp>
        <tr r="N2401" s="1"/>
      </tp>
      <tp>
        <v>0.96542921950149496</v>
        <stp/>
        <stp>EM_S_VAL_PBGOODWILLDEDUCTED</stp>
        <stp>2</stp>
        <stp>600475</stp>
        <stp>12/31/2018</stp>
        <tr r="N1220" s="1"/>
      </tp>
      <tp>
        <v>4.9287865579371601</v>
        <stp/>
        <stp>EM_S_VAL_PBGOODWILLDEDUCTED</stp>
        <stp>2</stp>
        <stp>300424</stp>
        <stp>12/31/2018</stp>
        <tr r="N1457" s="1"/>
      </tp>
      <tp>
        <v>1.74640467065362</v>
        <stp/>
        <stp>EM_S_VAL_PBGOODWILLDEDUCTED</stp>
        <stp>2</stp>
        <stp>600789</stp>
        <stp>12/31/2018</stp>
        <tr r="N2875" s="1"/>
      </tp>
      <tp>
        <v>-26.303657921232201</v>
        <stp/>
        <stp>EM_S_VAL_PBGOODWILLDEDUCTED</stp>
        <stp>2</stp>
        <stp>600788</stp>
        <stp>12/31/2018</stp>
        <tr r="N2323" s="1"/>
      </tp>
      <tp>
        <v>3.2212627280864101</v>
        <stp/>
        <stp>EM_S_VAL_PBGOODWILLDEDUCTED</stp>
        <stp>2</stp>
        <stp>600783</stp>
        <stp>12/31/2018</stp>
        <tr r="N2462" s="1"/>
      </tp>
      <tp>
        <v>0.85577442486231503</v>
        <stp/>
        <stp>EM_S_VAL_PBGOODWILLDEDUCTED</stp>
        <stp>2</stp>
        <stp>600782</stp>
        <stp>12/31/2018</stp>
        <tr r="N2374" s="1"/>
      </tp>
      <tp>
        <v>1.46901277485459</v>
        <stp/>
        <stp>EM_S_VAL_PBGOODWILLDEDUCTED</stp>
        <stp>2</stp>
        <stp>600781</stp>
        <stp>12/31/2018</stp>
        <tr r="N3379" s="1"/>
      </tp>
      <tp>
        <v>0.72585303714957905</v>
        <stp/>
        <stp>EM_S_VAL_PBGOODWILLDEDUCTED</stp>
        <stp>2</stp>
        <stp>600780</stp>
        <stp>12/31/2018</stp>
        <tr r="N1853" s="1"/>
      </tp>
      <tp>
        <v>1.00973248983555</v>
        <stp/>
        <stp>EM_S_VAL_PBGOODWILLDEDUCTED</stp>
        <stp>2</stp>
        <stp>600787</stp>
        <stp>12/31/2018</stp>
        <tr r="N2015" s="1"/>
      </tp>
      <tp>
        <v>13.193385803774399</v>
        <stp/>
        <stp>EM_S_VAL_PBGOODWILLDEDUCTED</stp>
        <stp>2</stp>
        <stp>600786</stp>
        <stp>12/31/2018</stp>
        <tr r="N2322" s="1"/>
      </tp>
      <tp>
        <v>1.7366200318334399</v>
        <stp/>
        <stp>EM_S_VAL_PBGOODWILLDEDUCTED</stp>
        <stp>2</stp>
        <stp>600785</stp>
        <stp>12/31/2018</stp>
        <tr r="N2709" s="1"/>
      </tp>
      <tp>
        <v>1.9131194661903199</v>
        <stp/>
        <stp>EM_S_VAL_PBGOODWILLDEDUCTED</stp>
        <stp>2</stp>
        <stp>600784</stp>
        <stp>12/31/2018</stp>
        <tr r="N2018" s="1"/>
      </tp>
      <tp>
        <v>-0.37964711258403899</v>
        <stp/>
        <stp>EM_S_VAL_PBGOODWILLDEDUCTED</stp>
        <stp>2</stp>
        <stp>600799</stp>
        <stp>12/31/2018</stp>
        <tr r="N2325" s="1"/>
      </tp>
      <tp>
        <v>1.1317545908938</v>
        <stp/>
        <stp>EM_S_VAL_PBGOODWILLDEDUCTED</stp>
        <stp>2</stp>
        <stp>600798</stp>
        <stp>12/31/2018</stp>
        <tr r="N1796" s="1"/>
      </tp>
      <tp>
        <v>4.8643067032337797</v>
        <stp/>
        <stp>EM_S_VAL_PBGOODWILLDEDUCTED</stp>
        <stp>2</stp>
        <stp>600793</stp>
        <stp>12/31/2018</stp>
        <tr r="N1843" s="1"/>
      </tp>
      <tp>
        <v>0.861422024306429</v>
        <stp/>
        <stp>EM_S_VAL_PBGOODWILLDEDUCTED</stp>
        <stp>2</stp>
        <stp>600792</stp>
        <stp>12/31/2018</stp>
        <tr r="N952" s="1"/>
      </tp>
      <tp>
        <v>0.99510212445705903</v>
        <stp/>
        <stp>EM_S_VAL_PBGOODWILLDEDUCTED</stp>
        <stp>2</stp>
        <stp>600791</stp>
        <stp>12/31/2018</stp>
        <tr r="N1982" s="1"/>
      </tp>
      <tp>
        <v>0.99861440860639294</v>
        <stp/>
        <stp>EM_S_VAL_PBGOODWILLDEDUCTED</stp>
        <stp>2</stp>
        <stp>600790</stp>
        <stp>12/31/2018</stp>
        <tr r="N2647" s="1"/>
      </tp>
      <tp>
        <v>2.3194312024955601</v>
        <stp/>
        <stp>EM_S_VAL_PBGOODWILLDEDUCTED</stp>
        <stp>2</stp>
        <stp>600797</stp>
        <stp>12/31/2018</stp>
        <tr r="N719" s="1"/>
      </tp>
      <tp>
        <v>2.6961664136924099</v>
        <stp/>
        <stp>EM_S_VAL_PBGOODWILLDEDUCTED</stp>
        <stp>2</stp>
        <stp>600796</stp>
        <stp>12/31/2018</stp>
        <tr r="N1931" s="1"/>
      </tp>
      <tp>
        <v>1.0538189616815401</v>
        <stp/>
        <stp>EM_S_VAL_PBGOODWILLDEDUCTED</stp>
        <stp>2</stp>
        <stp>600795</stp>
        <stp>12/31/2018</stp>
        <tr r="N2731" s="1"/>
      </tp>
      <tp>
        <v>1.7637568562036501</v>
        <stp/>
        <stp>EM_S_VAL_PBGOODWILLDEDUCTED</stp>
        <stp>2</stp>
        <stp>600794</stp>
        <stp>12/31/2018</stp>
        <tr r="N627" s="1"/>
      </tp>
      <tp>
        <v>1.7751149024352499</v>
        <stp/>
        <stp>EM_S_VAL_PBGOODWILLDEDUCTED</stp>
        <stp>2</stp>
        <stp>000789</stp>
        <stp>12/31/2018</stp>
        <tr r="N2031" s="1"/>
      </tp>
      <tp>
        <v>2.5627035939666301</v>
        <stp/>
        <stp>EM_S_VAL_PBGOODWILLDEDUCTED</stp>
        <stp>2</stp>
        <stp>000788</stp>
        <stp>12/31/2018</stp>
        <tr r="N1145" s="1"/>
      </tp>
      <tp>
        <v>1.11527497920786</v>
        <stp/>
        <stp>EM_S_VAL_PBGOODWILLDEDUCTED</stp>
        <stp>2</stp>
        <stp>000783</stp>
        <stp>12/31/2018</stp>
        <tr r="N3537" s="1"/>
      </tp>
      <tp>
        <v>1.5686625700348</v>
        <stp/>
        <stp>EM_S_VAL_PBGOODWILLDEDUCTED</stp>
        <stp>2</stp>
        <stp>000782</stp>
        <stp>12/31/2018</stp>
        <tr r="N3032" s="1"/>
      </tp>
      <tp>
        <v>0.731662093036198</v>
        <stp/>
        <stp>EM_S_VAL_PBGOODWILLDEDUCTED</stp>
        <stp>2</stp>
        <stp>000780</stp>
        <stp>12/31/2018</stp>
        <tr r="N3536" s="1"/>
      </tp>
      <tp>
        <v>3.3658034728258901</v>
        <stp/>
        <stp>EM_S_VAL_PBGOODWILLDEDUCTED</stp>
        <stp>2</stp>
        <stp>000787</stp>
        <stp>12/31/2018</stp>
        <tr r="N3538" s="1"/>
      </tp>
      <tp>
        <v>1.6296339917024201</v>
        <stp/>
        <stp>EM_S_VAL_PBGOODWILLDEDUCTED</stp>
        <stp>2</stp>
        <stp>000786</stp>
        <stp>12/31/2018</stp>
        <tr r="N216" s="1"/>
      </tp>
      <tp>
        <v>1.4282817860110699</v>
        <stp/>
        <stp>EM_S_VAL_PBGOODWILLDEDUCTED</stp>
        <stp>2</stp>
        <stp>000785</stp>
        <stp>12/31/2018</stp>
        <tr r="N560" s="1"/>
      </tp>
      <tp>
        <v>2.3822205144594601</v>
        <stp/>
        <stp>EM_S_VAL_PBGOODWILLDEDUCTED</stp>
        <stp>2</stp>
        <stp>000799</stp>
        <stp>12/31/2018</stp>
        <tr r="N114" s="1"/>
      </tp>
      <tp>
        <v>2.2413463830369098</v>
        <stp/>
        <stp>EM_S_VAL_PBGOODWILLDEDUCTED</stp>
        <stp>2</stp>
        <stp>000798</stp>
        <stp>12/31/2018</stp>
        <tr r="N3541" s="1"/>
      </tp>
      <tp>
        <v>2.0065788459328702</v>
        <stp/>
        <stp>EM_S_VAL_PBGOODWILLDEDUCTED</stp>
        <stp>2</stp>
        <stp>000793</stp>
        <stp>12/31/2018</stp>
        <tr r="N3540" s="1"/>
      </tp>
      <tp>
        <v>1.27690920214293</v>
        <stp/>
        <stp>EM_S_VAL_PBGOODWILLDEDUCTED</stp>
        <stp>2</stp>
        <stp>000792</stp>
        <stp>12/31/2018</stp>
        <tr r="N3539" s="1"/>
      </tp>
      <tp>
        <v>0.81862651206216697</v>
        <stp/>
        <stp>EM_S_VAL_PBGOODWILLDEDUCTED</stp>
        <stp>2</stp>
        <stp>000791</stp>
        <stp>12/31/2018</stp>
        <tr r="N3193" s="1"/>
      </tp>
      <tp>
        <v>2.7226710974135</v>
        <stp/>
        <stp>EM_S_VAL_PBGOODWILLDEDUCTED</stp>
        <stp>2</stp>
        <stp>000790</stp>
        <stp>12/31/2018</stp>
        <tr r="N1849" s="1"/>
      </tp>
      <tp>
        <v>1.18845378299989</v>
        <stp/>
        <stp>EM_S_VAL_PBGOODWILLDEDUCTED</stp>
        <stp>2</stp>
        <stp>000797</stp>
        <stp>12/31/2018</stp>
        <tr r="N3127" s="1"/>
      </tp>
      <tp>
        <v>2.5504304412931398</v>
        <stp/>
        <stp>EM_S_VAL_PBGOODWILLDEDUCTED</stp>
        <stp>2</stp>
        <stp>000796</stp>
        <stp>12/31/2018</stp>
        <tr r="N776" s="1"/>
      </tp>
      <tp>
        <v>1.85131773933226</v>
        <stp/>
        <stp>EM_S_VAL_PBGOODWILLDEDUCTED</stp>
        <stp>2</stp>
        <stp>000795</stp>
        <stp>12/31/2018</stp>
        <tr r="N292" s="1"/>
      </tp>
      <tp>
        <v>1.2118308881298001</v>
        <stp/>
        <stp>EM_S_VAL_PBGOODWILLDEDUCTED</stp>
        <stp>2</stp>
        <stp>000769</stp>
        <stp>12/31/2018</stp>
        <tr r="N2279" s="1"/>
      </tp>
      <tp>
        <v>10.9092540591953</v>
        <stp/>
        <stp>EM_S_VAL_PBGOODWILLDEDUCTED</stp>
        <stp>2</stp>
        <stp>600709</stp>
        <stp>12/31/2018</stp>
        <tr r="N2318" s="1"/>
      </tp>
      <tp>
        <v>2.2841995120143399</v>
        <stp/>
        <stp>EM_S_VAL_PBGOODWILLDEDUCTED</stp>
        <stp>2</stp>
        <stp>000768</stp>
        <stp>12/31/2018</stp>
        <tr r="N1149" s="1"/>
      </tp>
      <tp>
        <v>0.67970021376443701</v>
        <stp/>
        <stp>EM_S_VAL_PBGOODWILLDEDUCTED</stp>
        <stp>2</stp>
        <stp>600708</stp>
        <stp>12/31/2018</stp>
        <tr r="N2225" s="1"/>
      </tp>
      <tp>
        <v>4.1913394153694297</v>
        <stp/>
        <stp>EM_S_VAL_PBGOODWILLDEDUCTED</stp>
        <stp>2</stp>
        <stp>000763</stp>
        <stp>12/31/2018</stp>
        <tr r="N3532" s="1"/>
      </tp>
      <tp>
        <v>2.1719909128949499</v>
        <stp/>
        <stp>EM_S_VAL_PBGOODWILLDEDUCTED</stp>
        <stp>2</stp>
        <stp>600703</stp>
        <stp>12/31/2018</stp>
        <tr r="N375" s="1"/>
      </tp>
      <tp>
        <v>1.7767091304893601</v>
        <stp/>
        <stp>EM_S_VAL_PBGOODWILLDEDUCTED</stp>
        <stp>2</stp>
        <stp>000762</stp>
        <stp>12/31/2018</stp>
        <tr r="N3531" s="1"/>
      </tp>
      <tp>
        <v>3.0592522477851798</v>
        <stp/>
        <stp>EM_S_VAL_PBGOODWILLDEDUCTED</stp>
        <stp>2</stp>
        <stp>600702</stp>
        <stp>12/31/2018</stp>
        <tr r="N882" s="1"/>
      </tp>
      <tp>
        <v>0.68080480081835704</v>
        <stp/>
        <stp>EM_S_VAL_PBGOODWILLDEDUCTED</stp>
        <stp>2</stp>
        <stp>000761</stp>
        <stp>12/31/2018</stp>
        <tr r="N1372" s="1"/>
      </tp>
      <tp>
        <v>-53.658609957389601</v>
        <stp/>
        <stp>EM_S_VAL_PBGOODWILLDEDUCTED</stp>
        <stp>2</stp>
        <stp>600701</stp>
        <stp>12/31/2018</stp>
        <tr r="N3066" s="1"/>
      </tp>
      <tp>
        <v>4.7322932774169599</v>
        <stp/>
        <stp>EM_S_VAL_PBGOODWILLDEDUCTED</stp>
        <stp>2</stp>
        <stp>000760</stp>
        <stp>12/31/2018</stp>
        <tr r="N3530" s="1"/>
      </tp>
      <tp>
        <v>4.9330947907701503</v>
        <stp/>
        <stp>EM_S_VAL_PBGOODWILLDEDUCTED</stp>
        <stp>2</stp>
        <stp>300750</stp>
        <stp>12/31/2018</stp>
        <tr r="N579" s="1"/>
      </tp>
      <tp>
        <v>-0.131662050588297</v>
        <stp/>
        <stp>EM_S_VAL_PBGOODWILLDEDUCTED</stp>
        <stp>2</stp>
        <stp>600700</stp>
        <stp>12/31/2018</stp>
        <tr r="N2317" s="1"/>
      </tp>
      <tp>
        <v>1.02220568780684</v>
        <stp/>
        <stp>EM_S_VAL_PBGOODWILLDEDUCTED</stp>
        <stp>2</stp>
        <stp>000767</stp>
        <stp>12/31/2018</stp>
        <tr r="N2442" s="1"/>
      </tp>
      <tp>
        <v>0.72926621313856599</v>
        <stp/>
        <stp>EM_S_VAL_PBGOODWILLDEDUCTED</stp>
        <stp>2</stp>
        <stp>600707</stp>
        <stp>12/31/2018</stp>
        <tr r="N2050" s="1"/>
      </tp>
      <tp>
        <v>2.49871097469833</v>
        <stp/>
        <stp>EM_S_VAL_PBGOODWILLDEDUCTED</stp>
        <stp>2</stp>
        <stp>000766</stp>
        <stp>12/31/2018</stp>
        <tr r="N2592" s="1"/>
      </tp>
      <tp>
        <v>1.78187605000272</v>
        <stp/>
        <stp>EM_S_VAL_PBGOODWILLDEDUCTED</stp>
        <stp>2</stp>
        <stp>600706</stp>
        <stp>12/31/2018</stp>
        <tr r="N2912" s="1"/>
      </tp>
      <tp>
        <v>1.69545171215041</v>
        <stp/>
        <stp>EM_S_VAL_PBGOODWILLDEDUCTED</stp>
        <stp>2</stp>
        <stp>000765</stp>
        <stp>12/31/2018</stp>
        <tr r="N3533" s="1"/>
      </tp>
      <tp>
        <v>1.3740226697242399</v>
        <stp/>
        <stp>EM_S_VAL_PBGOODWILLDEDUCTED</stp>
        <stp>2</stp>
        <stp>600705</stp>
        <stp>12/31/2018</stp>
        <tr r="N1501" s="1"/>
      </tp>
      <tp>
        <v>1.17406422787353</v>
        <stp/>
        <stp>EM_S_VAL_PBGOODWILLDEDUCTED</stp>
        <stp>2</stp>
        <stp>600704</stp>
        <stp>12/31/2018</stp>
        <tr r="N1522" s="1"/>
      </tp>
      <tp>
        <v>0.978976819178767</v>
        <stp/>
        <stp>EM_S_VAL_PBGOODWILLDEDUCTED</stp>
        <stp>2</stp>
        <stp>000779</stp>
        <stp>12/31/2018</stp>
        <tr r="N1367" s="1"/>
      </tp>
      <tp>
        <v>2.1164628617105299</v>
        <stp/>
        <stp>EM_S_VAL_PBGOODWILLDEDUCTED</stp>
        <stp>2</stp>
        <stp>600719</stp>
        <stp>12/31/2018</stp>
        <tr r="N1059" s="1"/>
      </tp>
      <tp>
        <v>0.83931148770377395</v>
        <stp/>
        <stp>EM_S_VAL_PBGOODWILLDEDUCTED</stp>
        <stp>2</stp>
        <stp>000778</stp>
        <stp>12/31/2018</stp>
        <tr r="N3535" s="1"/>
      </tp>
      <tp>
        <v>1.63111061821885</v>
        <stp/>
        <stp>EM_S_VAL_PBGOODWILLDEDUCTED</stp>
        <stp>2</stp>
        <stp>600718</stp>
        <stp>12/31/2018</stp>
        <tr r="N2488" s="1"/>
      </tp>
      <tp>
        <v>6.9876257074981796</v>
        <stp/>
        <stp>EM_S_VAL_PBGOODWILLDEDUCTED</stp>
        <stp>2</stp>
        <stp>300743</stp>
        <stp>12/31/2018</stp>
        <tr r="N3368" s="1"/>
      </tp>
      <tp>
        <v>1.2138121845319501</v>
        <stp/>
        <stp>EM_S_VAL_PBGOODWILLDEDUCTED</stp>
        <stp>2</stp>
        <stp>600713</stp>
        <stp>12/31/2018</stp>
        <tr r="N1785" s="1"/>
      </tp>
      <tp>
        <v>2.7762746708925099</v>
        <stp/>
        <stp>EM_S_VAL_PBGOODWILLDEDUCTED</stp>
        <stp>2</stp>
        <stp>300742</stp>
        <stp>12/31/2018</stp>
        <tr r="N3334" s="1"/>
      </tp>
      <tp>
        <v>1.9598773283519999</v>
        <stp/>
        <stp>EM_S_VAL_PBGOODWILLDEDUCTED</stp>
        <stp>2</stp>
        <stp>600712</stp>
        <stp>12/31/2018</stp>
        <tr r="N59" s="1"/>
      </tp>
      <tp>
        <v>2.45511878643349</v>
        <stp/>
        <stp>EM_S_VAL_PBGOODWILLDEDUCTED</stp>
        <stp>2</stp>
        <stp>300741</stp>
        <stp>12/31/2018</stp>
        <tr r="N2360" s="1"/>
      </tp>
      <tp>
        <v>1.2321726388735399</v>
        <stp/>
        <stp>EM_S_VAL_PBGOODWILLDEDUCTED</stp>
        <stp>2</stp>
        <stp>600711</stp>
        <stp>12/31/2018</stp>
        <tr r="N1456" s="1"/>
      </tp>
      <tp>
        <v>3.51746779687462</v>
        <stp/>
        <stp>EM_S_VAL_PBGOODWILLDEDUCTED</stp>
        <stp>2</stp>
        <stp>300740</stp>
        <stp>12/31/2018</stp>
        <tr r="N3353" s="1"/>
      </tp>
      <tp>
        <v>1.1041946742320301</v>
        <stp/>
        <stp>EM_S_VAL_PBGOODWILLDEDUCTED</stp>
        <stp>2</stp>
        <stp>600710</stp>
        <stp>12/31/2018</stp>
        <tr r="N584" s="1"/>
      </tp>
      <tp>
        <v>2.8359244432658999</v>
        <stp/>
        <stp>EM_S_VAL_PBGOODWILLDEDUCTED</stp>
        <stp>2</stp>
        <stp>000777</stp>
        <stp>12/31/2018</stp>
        <tr r="N1259" s="1"/>
      </tp>
      <tp>
        <v>8.6576038292961908</v>
        <stp/>
        <stp>EM_S_VAL_PBGOODWILLDEDUCTED</stp>
        <stp>2</stp>
        <stp>300747</stp>
        <stp>12/31/2018</stp>
        <tr r="N2959" s="1"/>
      </tp>
      <tp>
        <v>0.74591250565207901</v>
        <stp/>
        <stp>EM_S_VAL_PBGOODWILLDEDUCTED</stp>
        <stp>2</stp>
        <stp>600717</stp>
        <stp>12/31/2018</stp>
        <tr r="N2806" s="1"/>
      </tp>
      <tp>
        <v>1.1366764318598499</v>
        <stp/>
        <stp>EM_S_VAL_PBGOODWILLDEDUCTED</stp>
        <stp>2</stp>
        <stp>000776</stp>
        <stp>12/31/2018</stp>
        <tr r="N3534" s="1"/>
      </tp>
      <tp>
        <v>4.2347738766485499</v>
        <stp/>
        <stp>EM_S_VAL_PBGOODWILLDEDUCTED</stp>
        <stp>2</stp>
        <stp>300746</stp>
        <stp>12/31/2018</stp>
        <tr r="N3170" s="1"/>
      </tp>
      <tp>
        <v>0.62762204612332995</v>
        <stp/>
        <stp>EM_S_VAL_PBGOODWILLDEDUCTED</stp>
        <stp>2</stp>
        <stp>600716</stp>
        <stp>12/31/2018</stp>
        <tr r="N954" s="1"/>
      </tp>
      <tp>
        <v>3.8405436225067899</v>
        <stp/>
        <stp>EM_S_VAL_PBGOODWILLDEDUCTED</stp>
        <stp>2</stp>
        <stp>300745</stp>
        <stp>12/31/2018</stp>
        <tr r="N3282" s="1"/>
      </tp>
      <tp>
        <v>3.0573401283496899</v>
        <stp/>
        <stp>EM_S_VAL_PBGOODWILLDEDUCTED</stp>
        <stp>2</stp>
        <stp>600715</stp>
        <stp>12/31/2018</stp>
        <tr r="N3118" s="1"/>
      </tp>
      <tp>
        <v>2.6569551609908899</v>
        <stp/>
        <stp>EM_S_VAL_PBGOODWILLDEDUCTED</stp>
        <stp>2</stp>
        <stp>600714</stp>
        <stp>12/31/2018</stp>
        <tr r="N2212" s="1"/>
      </tp>
      <tp>
        <v>2.0681431175959899</v>
        <stp/>
        <stp>EM_S_VAL_PBGOODWILLDEDUCTED</stp>
        <stp>2</stp>
        <stp>600729</stp>
        <stp>12/31/2018</stp>
        <tr r="N2021" s="1"/>
      </tp>
      <tp>
        <v>3.9460682828323601</v>
        <stp/>
        <stp>EM_S_VAL_PBGOODWILLDEDUCTED</stp>
        <stp>2</stp>
        <stp>000748</stp>
        <stp>12/31/2018</stp>
        <tr r="N3525" s="1"/>
      </tp>
      <tp>
        <v>3.4233155626942402</v>
        <stp/>
        <stp>EM_S_VAL_PBGOODWILLDEDUCTED</stp>
        <stp>2</stp>
        <stp>600728</stp>
        <stp>12/31/2018</stp>
        <tr r="N794" s="1"/>
      </tp>
      <tp>
        <v>1.02640641542682</v>
        <stp/>
        <stp>EM_S_VAL_PBGOODWILLDEDUCTED</stp>
        <stp>2</stp>
        <stp>600723</stp>
        <stp>12/31/2018</stp>
        <tr r="N2405" s="1"/>
      </tp>
      <tp>
        <v>3.1805855375274699</v>
        <stp/>
        <stp>EM_S_VAL_PBGOODWILLDEDUCTED</stp>
        <stp>2</stp>
        <stp>600722</stp>
        <stp>12/31/2018</stp>
        <tr r="N2048" s="1"/>
      </tp>
      <tp>
        <v>2.8388421862603099</v>
        <stp/>
        <stp>EM_S_VAL_PBGOODWILLDEDUCTED</stp>
        <stp>2</stp>
        <stp>600721</stp>
        <stp>12/31/2018</stp>
        <tr r="N1284" s="1"/>
      </tp>
      <tp>
        <v>0.88342460449244198</v>
        <stp/>
        <stp>EM_S_VAL_PBGOODWILLDEDUCTED</stp>
        <stp>2</stp>
        <stp>600720</stp>
        <stp>12/31/2018</stp>
        <tr r="N201" s="1"/>
      </tp>
      <tp>
        <v>1.7804824987202801</v>
        <stp/>
        <stp>EM_S_VAL_PBGOODWILLDEDUCTED</stp>
        <stp>2</stp>
        <stp>600727</stp>
        <stp>12/31/2018</stp>
        <tr r="N964" s="1"/>
      </tp>
      <tp>
        <v>3.35987817141568</v>
        <stp/>
        <stp>EM_S_VAL_PBGOODWILLDEDUCTED</stp>
        <stp>2</stp>
        <stp>600726</stp>
        <stp>12/31/2018</stp>
        <tr r="N3137" s="1"/>
      </tp>
      <tp>
        <v>10.0397292468462</v>
        <stp/>
        <stp>EM_S_VAL_PBGOODWILLDEDUCTED</stp>
        <stp>2</stp>
        <stp>600725</stp>
        <stp>12/31/2018</stp>
        <tr r="N1728" s="1"/>
      </tp>
      <tp>
        <v>1.94477388670718</v>
        <stp/>
        <stp>EM_S_VAL_PBGOODWILLDEDUCTED</stp>
        <stp>2</stp>
        <stp>600724</stp>
        <stp>12/31/2018</stp>
        <tr r="N1617" s="1"/>
      </tp>
      <tp>
        <v>1.0712729825785601</v>
        <stp/>
        <stp>EM_S_VAL_PBGOODWILLDEDUCTED</stp>
        <stp>2</stp>
        <stp>000759</stp>
        <stp>12/31/2018</stp>
        <tr r="N752" s="1"/>
      </tp>
      <tp>
        <v>0.79268821426871805</v>
        <stp/>
        <stp>EM_S_VAL_PBGOODWILLDEDUCTED</stp>
        <stp>2</stp>
        <stp>600739</stp>
        <stp>12/31/2018</stp>
        <tr r="N642" s="1"/>
      </tp>
      <tp>
        <v>1.3975071951986899</v>
        <stp/>
        <stp>EM_S_VAL_PBGOODWILLDEDUCTED</stp>
        <stp>2</stp>
        <stp>000758</stp>
        <stp>12/31/2018</stp>
        <tr r="N3529" s="1"/>
      </tp>
      <tp>
        <v>1.4754481176781999</v>
        <stp/>
        <stp>EM_S_VAL_PBGOODWILLDEDUCTED</stp>
        <stp>2</stp>
        <stp>600738</stp>
        <stp>12/31/2018</stp>
        <tr r="N2955" s="1"/>
      </tp>
      <tp>
        <v>1.29547474868894</v>
        <stp/>
        <stp>EM_S_VAL_PBGOODWILLDEDUCTED</stp>
        <stp>2</stp>
        <stp>000753</stp>
        <stp>12/31/2018</stp>
        <tr r="N2257" s="1"/>
      </tp>
      <tp>
        <v>1.64255020837954</v>
        <stp/>
        <stp>EM_S_VAL_PBGOODWILLDEDUCTED</stp>
        <stp>2</stp>
        <stp>600733</stp>
        <stp>12/31/2018</stp>
        <tr r="N3186" s="1"/>
      </tp>
      <tp>
        <v>4.9702876142998003</v>
        <stp/>
        <stp>EM_S_VAL_PBGOODWILLDEDUCTED</stp>
        <stp>2</stp>
        <stp>000752</stp>
        <stp>12/31/2018</stp>
        <tr r="N3527" s="1"/>
      </tp>
      <tp>
        <v>4.3270122533446704</v>
        <stp/>
        <stp>EM_S_VAL_PBGOODWILLDEDUCTED</stp>
        <stp>2</stp>
        <stp>600732</stp>
        <stp>12/31/2018</stp>
        <tr r="N281" s="1"/>
      </tp>
      <tp>
        <v>1.6543078708250301</v>
        <stp/>
        <stp>EM_S_VAL_PBGOODWILLDEDUCTED</stp>
        <stp>2</stp>
        <stp>000751</stp>
        <stp>12/31/2018</stp>
        <tr r="N1531" s="1"/>
      </tp>
      <tp>
        <v>1.40133130754167</v>
        <stp/>
        <stp>EM_S_VAL_PBGOODWILLDEDUCTED</stp>
        <stp>2</stp>
        <stp>600731</stp>
        <stp>12/31/2018</stp>
        <tr r="N296" s="1"/>
      </tp>
      <tp>
        <v>1.3563531486806299</v>
        <stp/>
        <stp>EM_S_VAL_PBGOODWILLDEDUCTED</stp>
        <stp>2</stp>
        <stp>000750</stp>
        <stp>12/31/2018</stp>
        <tr r="N3526" s="1"/>
      </tp>
      <tp>
        <v>1.5771834823711</v>
        <stp/>
        <stp>EM_S_VAL_PBGOODWILLDEDUCTED</stp>
        <stp>2</stp>
        <stp>600730</stp>
        <stp>12/31/2018</stp>
        <tr r="N2242" s="1"/>
      </tp>
      <tp>
        <v>3.3978251694921702</v>
        <stp/>
        <stp>EM_S_VAL_PBGOODWILLDEDUCTED</stp>
        <stp>2</stp>
        <stp>000757</stp>
        <stp>12/31/2018</stp>
        <tr r="N2835" s="1"/>
      </tp>
      <tp>
        <v>2.16682262817895</v>
        <stp/>
        <stp>EM_S_VAL_PBGOODWILLDEDUCTED</stp>
        <stp>2</stp>
        <stp>600737</stp>
        <stp>12/31/2018</stp>
        <tr r="N1484" s="1"/>
      </tp>
      <tp>
        <v>1.28433234387726</v>
        <stp/>
        <stp>EM_S_VAL_PBGOODWILLDEDUCTED</stp>
        <stp>2</stp>
        <stp>000756</stp>
        <stp>12/31/2018</stp>
        <tr r="N945" s="1"/>
      </tp>
      <tp>
        <v>1.0278943774137901</v>
        <stp/>
        <stp>EM_S_VAL_PBGOODWILLDEDUCTED</stp>
        <stp>2</stp>
        <stp>600736</stp>
        <stp>12/31/2018</stp>
        <tr r="N1764" s="1"/>
      </tp>
      <tp>
        <v>1.78474915951944</v>
        <stp/>
        <stp>EM_S_VAL_PBGOODWILLDEDUCTED</stp>
        <stp>2</stp>
        <stp>000755</stp>
        <stp>12/31/2018</stp>
        <tr r="N3528" s="1"/>
      </tp>
      <tp>
        <v>2.4214899160304699</v>
        <stp/>
        <stp>EM_S_VAL_PBGOODWILLDEDUCTED</stp>
        <stp>2</stp>
        <stp>600735</stp>
        <stp>12/31/2018</stp>
        <tr r="N990" s="1"/>
      </tp>
      <tp>
        <v>2.47525457942006</v>
        <stp/>
        <stp>EM_S_VAL_PBGOODWILLDEDUCTED</stp>
        <stp>2</stp>
        <stp>600734</stp>
        <stp>12/31/2018</stp>
        <tr r="N1850" s="1"/>
      </tp>
      <tp>
        <v>1.2445027918387901</v>
        <stp/>
        <stp>EM_S_VAL_PBGOODWILLDEDUCTED</stp>
        <stp>2</stp>
        <stp>000729</stp>
        <stp>12/31/2018</stp>
        <tr r="N1469" s="1"/>
      </tp>
      <tp>
        <v>2.7520232101664699</v>
        <stp/>
        <stp>EM_S_VAL_PBGOODWILLDEDUCTED</stp>
        <stp>2</stp>
        <stp>300719</stp>
        <stp>12/31/2018</stp>
        <tr r="N1490" s="1"/>
      </tp>
      <tp>
        <v>2.0268313748932201</v>
        <stp/>
        <stp>EM_S_VAL_PBGOODWILLDEDUCTED</stp>
        <stp>2</stp>
        <stp>600749</stp>
        <stp>12/31/2018</stp>
        <tr r="N2258" s="1"/>
      </tp>
      <tp>
        <v>0.95820448344321596</v>
        <stp/>
        <stp>EM_S_VAL_PBGOODWILLDEDUCTED</stp>
        <stp>2</stp>
        <stp>000728</stp>
        <stp>12/31/2018</stp>
        <tr r="N3521" s="1"/>
      </tp>
      <tp>
        <v>2.5481794725641498</v>
        <stp/>
        <stp>EM_S_VAL_PBGOODWILLDEDUCTED</stp>
        <stp>2</stp>
        <stp>300718</stp>
        <stp>12/31/2018</stp>
        <tr r="N730" s="1"/>
      </tp>
      <tp>
        <v>1.01255778288148</v>
        <stp/>
        <stp>EM_S_VAL_PBGOODWILLDEDUCTED</stp>
        <stp>2</stp>
        <stp>600748</stp>
        <stp>12/31/2018</stp>
        <tr r="N1694" s="1"/>
      </tp>
      <tp>
        <v>1.86385365818586</v>
        <stp/>
        <stp>EM_S_VAL_PBGOODWILLDEDUCTED</stp>
        <stp>2</stp>
        <stp>000723</stp>
        <stp>12/31/2018</stp>
        <tr r="N44" s="1"/>
      </tp>
      <tp>
        <v>2.9447828799170801</v>
        <stp/>
        <stp>EM_S_VAL_PBGOODWILLDEDUCTED</stp>
        <stp>2</stp>
        <stp>300713</stp>
        <stp>12/31/2018</stp>
        <tr r="N3292" s="1"/>
      </tp>
      <tp>
        <v>0.72833359268331799</v>
        <stp/>
        <stp>EM_S_VAL_PBGOODWILLDEDUCTED</stp>
        <stp>2</stp>
        <stp>600743</stp>
        <stp>12/31/2018</stp>
        <tr r="N2138" s="1"/>
      </tp>
      <tp>
        <v>0.98846785448335905</v>
        <stp/>
        <stp>EM_S_VAL_PBGOODWILLDEDUCTED</stp>
        <stp>2</stp>
        <stp>000722</stp>
        <stp>12/31/2018</stp>
        <tr r="N1665" s="1"/>
      </tp>
      <tp>
        <v>2.20229841505691</v>
        <stp/>
        <stp>EM_S_VAL_PBGOODWILLDEDUCTED</stp>
        <stp>2</stp>
        <stp>300712</stp>
        <stp>12/31/2018</stp>
        <tr r="N3068" s="1"/>
      </tp>
      <tp>
        <v>1.04477111039962</v>
        <stp/>
        <stp>EM_S_VAL_PBGOODWILLDEDUCTED</stp>
        <stp>2</stp>
        <stp>600742</stp>
        <stp>12/31/2018</stp>
        <tr r="N1197" s="1"/>
      </tp>
      <tp>
        <v>2.9811144701735999</v>
        <stp/>
        <stp>EM_S_VAL_PBGOODWILLDEDUCTED</stp>
        <stp>2</stp>
        <stp>000721</stp>
        <stp>12/31/2018</stp>
        <tr r="N2092" s="1"/>
      </tp>
      <tp>
        <v>5.0622377639807299</v>
        <stp/>
        <stp>EM_S_VAL_PBGOODWILLDEDUCTED</stp>
        <stp>2</stp>
        <stp>300711</stp>
        <stp>12/31/2018</stp>
        <tr r="N3178" s="1"/>
      </tp>
      <tp>
        <v>1.3032693543079701</v>
        <stp/>
        <stp>EM_S_VAL_PBGOODWILLDEDUCTED</stp>
        <stp>2</stp>
        <stp>600741</stp>
        <stp>12/31/2018</stp>
        <tr r="N766" s="1"/>
      </tp>
      <tp>
        <v>2.0998967004419402</v>
        <stp/>
        <stp>EM_S_VAL_PBGOODWILLDEDUCTED</stp>
        <stp>2</stp>
        <stp>000720</stp>
        <stp>12/31/2018</stp>
        <tr r="N432" s="1"/>
      </tp>
      <tp>
        <v>3.3102341730117799</v>
        <stp/>
        <stp>EM_S_VAL_PBGOODWILLDEDUCTED</stp>
        <stp>2</stp>
        <stp>300710</stp>
        <stp>12/31/2018</stp>
        <tr r="N1068" s="1"/>
      </tp>
      <tp>
        <v>1.24224989247476</v>
        <stp/>
        <stp>EM_S_VAL_PBGOODWILLDEDUCTED</stp>
        <stp>2</stp>
        <stp>600740</stp>
        <stp>12/31/2018</stp>
        <tr r="N2680" s="1"/>
      </tp>
      <tp>
        <v>0.67977864502138496</v>
        <stp/>
        <stp>EM_S_VAL_PBGOODWILLDEDUCTED</stp>
        <stp>2</stp>
        <stp>000727</stp>
        <stp>12/31/2018</stp>
        <tr r="N3520" s="1"/>
      </tp>
      <tp>
        <v>2.72170140829332</v>
        <stp/>
        <stp>EM_S_VAL_PBGOODWILLDEDUCTED</stp>
        <stp>2</stp>
        <stp>300717</stp>
        <stp>12/31/2018</stp>
        <tr r="N1526" s="1"/>
      </tp>
      <tp>
        <v>4.4510358893328297</v>
        <stp/>
        <stp>EM_S_VAL_PBGOODWILLDEDUCTED</stp>
        <stp>2</stp>
        <stp>600747</stp>
        <stp>12/31/2018</stp>
        <tr r="N3404" s="1"/>
      </tp>
      <tp>
        <v>1.2571639878136001</v>
        <stp/>
        <stp>EM_S_VAL_PBGOODWILLDEDUCTED</stp>
        <stp>2</stp>
        <stp>000726</stp>
        <stp>12/31/2018</stp>
        <tr r="N2606" s="1"/>
      </tp>
      <tp>
        <v>2.17259221594305</v>
        <stp/>
        <stp>EM_S_VAL_PBGOODWILLDEDUCTED</stp>
        <stp>2</stp>
        <stp>300716</stp>
        <stp>12/31/2018</stp>
        <tr r="N2689" s="1"/>
      </tp>
      <tp>
        <v>3.7408175403694499</v>
        <stp/>
        <stp>EM_S_VAL_PBGOODWILLDEDUCTED</stp>
        <stp>2</stp>
        <stp>600746</stp>
        <stp>12/31/2018</stp>
        <tr r="N1254" s="1"/>
      </tp>
      <tp>
        <v>1.0773069652940399</v>
        <stp/>
        <stp>EM_S_VAL_PBGOODWILLDEDUCTED</stp>
        <stp>2</stp>
        <stp>000725</stp>
        <stp>12/31/2018</stp>
        <tr r="N291" s="1"/>
      </tp>
      <tp>
        <v>5.46983048870033</v>
        <stp/>
        <stp>EM_S_VAL_PBGOODWILLDEDUCTED</stp>
        <stp>2</stp>
        <stp>300715</stp>
        <stp>12/31/2018</stp>
        <tr r="N1509" s="1"/>
      </tp>
      <tp>
        <v>5.8687222124387199</v>
        <stp/>
        <stp>EM_S_VAL_PBGOODWILLDEDUCTED</stp>
        <stp>2</stp>
        <stp>600745</stp>
        <stp>12/31/2018</stp>
        <tr r="N24" s="1"/>
      </tp>
      <tp>
        <v>1.5325199070362201</v>
        <stp/>
        <stp>EM_S_VAL_PBGOODWILLDEDUCTED</stp>
        <stp>2</stp>
        <stp>600744</stp>
        <stp>12/31/2018</stp>
        <tr r="N2416" s="1"/>
      </tp>
      <tp>
        <v>2.6451866421653998</v>
        <stp/>
        <stp>EM_S_VAL_PBGOODWILLDEDUCTED</stp>
        <stp>2</stp>
        <stp>000739</stp>
        <stp>12/31/2018</stp>
        <tr r="N340" s="1"/>
      </tp>
      <tp>
        <v>1.8366479632106001</v>
        <stp/>
        <stp>EM_S_VAL_PBGOODWILLDEDUCTED</stp>
        <stp>2</stp>
        <stp>300709</stp>
        <stp>12/31/2018</stp>
        <tr r="N30" s="1"/>
      </tp>
      <tp>
        <v>1.0126856950769101</v>
        <stp/>
        <stp>EM_S_VAL_PBGOODWILLDEDUCTED</stp>
        <stp>2</stp>
        <stp>600759</stp>
        <stp>12/31/2018</stp>
        <tr r="N1390" s="1"/>
      </tp>
      <tp>
        <v>2.5791178027360999</v>
        <stp/>
        <stp>EM_S_VAL_PBGOODWILLDEDUCTED</stp>
        <stp>2</stp>
        <stp>000738</stp>
        <stp>12/31/2018</stp>
        <tr r="N1824" s="1"/>
      </tp>
      <tp>
        <v>3.8171362275531502</v>
        <stp/>
        <stp>EM_S_VAL_PBGOODWILLDEDUCTED</stp>
        <stp>2</stp>
        <stp>300708</stp>
        <stp>12/31/2018</stp>
        <tr r="N1073" s="1"/>
      </tp>
      <tp>
        <v>0.79570850694130002</v>
        <stp/>
        <stp>EM_S_VAL_PBGOODWILLDEDUCTED</stp>
        <stp>2</stp>
        <stp>600758</stp>
        <stp>12/31/2018</stp>
        <tr r="N884" s="1"/>
      </tp>
      <tp>
        <v>1.1673606226526501</v>
        <stp/>
        <stp>EM_S_VAL_PBGOODWILLDEDUCTED</stp>
        <stp>2</stp>
        <stp>000733</stp>
        <stp>12/31/2018</stp>
        <tr r="N3522" s="1"/>
      </tp>
      <tp>
        <v>2.7550043882333801</v>
        <stp/>
        <stp>EM_S_VAL_PBGOODWILLDEDUCTED</stp>
        <stp>2</stp>
        <stp>300703</stp>
        <stp>12/31/2018</stp>
        <tr r="N3050" s="1"/>
      </tp>
      <tp>
        <v>10.296894834190599</v>
        <stp/>
        <stp>EM_S_VAL_PBGOODWILLDEDUCTED</stp>
        <stp>2</stp>
        <stp>600753</stp>
        <stp>12/31/2018</stp>
        <tr r="N1909" s="1"/>
      </tp>
      <tp>
        <v>0.95487484883739804</v>
        <stp/>
        <stp>EM_S_VAL_PBGOODWILLDEDUCTED</stp>
        <stp>2</stp>
        <stp>000732</stp>
        <stp>12/31/2018</stp>
        <tr r="N3385" s="1"/>
      </tp>
      <tp>
        <v>2.7495204855961801</v>
        <stp/>
        <stp>EM_S_VAL_PBGOODWILLDEDUCTED</stp>
        <stp>2</stp>
        <stp>300702</stp>
        <stp>12/31/2018</stp>
        <tr r="N105" s="1"/>
      </tp>
      <tp>
        <v>-0.50399333442323802</v>
        <stp/>
        <stp>EM_S_VAL_PBGOODWILLDEDUCTED</stp>
        <stp>2</stp>
        <stp>600752</stp>
        <stp>12/31/2018</stp>
        <tr r="N2319" s="1"/>
      </tp>
      <tp>
        <v>1.0607168224047101</v>
        <stp/>
        <stp>EM_S_VAL_PBGOODWILLDEDUCTED</stp>
        <stp>2</stp>
        <stp>000731</stp>
        <stp>12/31/2018</stp>
        <tr r="N2107" s="1"/>
      </tp>
      <tp>
        <v>5.2135902169516504</v>
        <stp/>
        <stp>EM_S_VAL_PBGOODWILLDEDUCTED</stp>
        <stp>2</stp>
        <stp>300701</stp>
        <stp>12/31/2018</stp>
        <tr r="N2221" s="1"/>
      </tp>
      <tp>
        <v>-3.9122085858858502</v>
        <stp/>
        <stp>EM_S_VAL_PBGOODWILLDEDUCTED</stp>
        <stp>2</stp>
        <stp>600751</stp>
        <stp>12/31/2018</stp>
        <tr r="N1828" s="1"/>
      </tp>
      <tp>
        <v>3.77719208786118</v>
        <stp/>
        <stp>EM_S_VAL_PBGOODWILLDEDUCTED</stp>
        <stp>2</stp>
        <stp>000730</stp>
        <stp>12/31/2018</stp>
        <tr r="N2278" s="1"/>
      </tp>
      <tp>
        <v>3.7936043371115602</v>
        <stp/>
        <stp>EM_S_VAL_PBGOODWILLDEDUCTED</stp>
        <stp>2</stp>
        <stp>300700</stp>
        <stp>12/31/2018</stp>
        <tr r="N3042" s="1"/>
      </tp>
      <tp>
        <v>2.1856600674129001</v>
        <stp/>
        <stp>EM_S_VAL_PBGOODWILLDEDUCTED</stp>
        <stp>2</stp>
        <stp>600750</stp>
        <stp>12/31/2018</stp>
        <tr r="N3185" s="1"/>
      </tp>
      <tp>
        <v>4.0761300565759502</v>
        <stp/>
        <stp>EM_S_VAL_PBGOODWILLDEDUCTED</stp>
        <stp>2</stp>
        <stp>000737</stp>
        <stp>12/31/2018</stp>
        <tr r="N3524" s="1"/>
      </tp>
      <tp>
        <v>4.1138864521809202</v>
        <stp/>
        <stp>EM_S_VAL_PBGOODWILLDEDUCTED</stp>
        <stp>2</stp>
        <stp>300707</stp>
        <stp>12/31/2018</stp>
        <tr r="N1481" s="1"/>
      </tp>
      <tp>
        <v>1.1838463385106699</v>
        <stp/>
        <stp>EM_S_VAL_PBGOODWILLDEDUCTED</stp>
        <stp>2</stp>
        <stp>600757</stp>
        <stp>12/31/2018</stp>
        <tr r="N2613" s="1"/>
      </tp>
      <tp>
        <v>1.4495600987559201</v>
        <stp/>
        <stp>EM_S_VAL_PBGOODWILLDEDUCTED</stp>
        <stp>2</stp>
        <stp>000736</stp>
        <stp>12/31/2018</stp>
        <tr r="N2610" s="1"/>
      </tp>
      <tp>
        <v>7.9000088627583001</v>
        <stp/>
        <stp>EM_S_VAL_PBGOODWILLDEDUCTED</stp>
        <stp>2</stp>
        <stp>300706</stp>
        <stp>12/31/2018</stp>
        <tr r="N1440" s="1"/>
      </tp>
      <tp>
        <v>2.0331279000428202</v>
        <stp/>
        <stp>EM_S_VAL_PBGOODWILLDEDUCTED</stp>
        <stp>2</stp>
        <stp>600756</stp>
        <stp>12/31/2018</stp>
        <tr r="N829" s="1"/>
      </tp>
      <tp>
        <v>2.8245066027466801</v>
        <stp/>
        <stp>EM_S_VAL_PBGOODWILLDEDUCTED</stp>
        <stp>2</stp>
        <stp>000735</stp>
        <stp>12/31/2018</stp>
        <tr r="N3523" s="1"/>
      </tp>
      <tp>
        <v>3.8331271170675598</v>
        <stp/>
        <stp>EM_S_VAL_PBGOODWILLDEDUCTED</stp>
        <stp>2</stp>
        <stp>300705</stp>
        <stp>12/31/2018</stp>
        <tr r="N2226" s="1"/>
      </tp>
      <tp>
        <v>1.0383960830777199</v>
        <stp/>
        <stp>EM_S_VAL_PBGOODWILLDEDUCTED</stp>
        <stp>2</stp>
        <stp>600755</stp>
        <stp>12/31/2018</stp>
        <tr r="N1998" s="1"/>
      </tp>
      <tp>
        <v>17.071569148127399</v>
        <stp/>
        <stp>EM_S_VAL_PBGOODWILLDEDUCTED</stp>
        <stp>2</stp>
        <stp>600754</stp>
        <stp>12/31/2018</stp>
        <tr r="N789" s="1"/>
      </tp>
      <tp>
        <v>0.62655676844707198</v>
        <stp/>
        <stp>EM_S_VAL_PBGOODWILLDEDUCTED</stp>
        <stp>2</stp>
        <stp>000709</stp>
        <stp>12/31/2018</stp>
        <tr r="N2736" s="1"/>
      </tp>
      <tp>
        <v>3.1106829721383802</v>
        <stp/>
        <stp>EM_S_VAL_PBGOODWILLDEDUCTED</stp>
        <stp>2</stp>
        <stp>300739</stp>
        <stp>12/31/2018</stp>
        <tr r="N2754" s="1"/>
      </tp>
      <tp>
        <v>28.498025709776101</v>
        <stp/>
        <stp>EM_S_VAL_PBGOODWILLDEDUCTED</stp>
        <stp>2</stp>
        <stp>600769</stp>
        <stp>12/31/2018</stp>
        <tr r="N695" s="1"/>
      </tp>
      <tp>
        <v>0.89500886220562703</v>
        <stp/>
        <stp>EM_S_VAL_PBGOODWILLDEDUCTED</stp>
        <stp>2</stp>
        <stp>000708</stp>
        <stp>12/31/2018</stp>
        <tr r="N73" s="1"/>
      </tp>
      <tp>
        <v>4.6314864137358498</v>
        <stp/>
        <stp>EM_S_VAL_PBGOODWILLDEDUCTED</stp>
        <stp>2</stp>
        <stp>300738</stp>
        <stp>12/31/2018</stp>
        <tr r="N2898" s="1"/>
      </tp>
      <tp>
        <v>12.2349063829854</v>
        <stp/>
        <stp>EM_S_VAL_PBGOODWILLDEDUCTED</stp>
        <stp>2</stp>
        <stp>600768</stp>
        <stp>12/31/2018</stp>
        <tr r="N914" s="1"/>
      </tp>
      <tp>
        <v>1.7220729188838</v>
        <stp/>
        <stp>EM_S_VAL_PBGOODWILLDEDUCTED</stp>
        <stp>2</stp>
        <stp>000703</stp>
        <stp>12/31/2018</stp>
        <tr r="N1288" s="1"/>
      </tp>
      <tp>
        <v>2.2349267692928301</v>
        <stp/>
        <stp>EM_S_VAL_PBGOODWILLDEDUCTED</stp>
        <stp>2</stp>
        <stp>300733</stp>
        <stp>12/31/2018</stp>
        <tr r="N3184" s="1"/>
      </tp>
      <tp>
        <v>11.953685370926699</v>
        <stp/>
        <stp>EM_S_VAL_PBGOODWILLDEDUCTED</stp>
        <stp>2</stp>
        <stp>600763</stp>
        <stp>12/31/2018</stp>
        <tr r="N136" s="1"/>
      </tp>
      <tp>
        <v>2.8505248598269599</v>
        <stp/>
        <stp>EM_S_VAL_PBGOODWILLDEDUCTED</stp>
        <stp>2</stp>
        <stp>000702</stp>
        <stp>12/31/2018</stp>
        <tr r="N3516" s="1"/>
      </tp>
      <tp>
        <v>2.0854750706063698</v>
        <stp/>
        <stp>EM_S_VAL_PBGOODWILLDEDUCTED</stp>
        <stp>2</stp>
        <stp>300732</stp>
        <stp>12/31/2018</stp>
        <tr r="N3364" s="1"/>
      </tp>
      <tp>
        <v>-0.22467042111388799</v>
        <stp/>
        <stp>EM_S_VAL_PBGOODWILLDEDUCTED</stp>
        <stp>2</stp>
        <stp>600762</stp>
        <stp>12/31/2018</stp>
        <tr r="N2320" s="1"/>
      </tp>
      <tp>
        <v>0.90297293474773999</v>
        <stp/>
        <stp>EM_S_VAL_PBGOODWILLDEDUCTED</stp>
        <stp>2</stp>
        <stp>000701</stp>
        <stp>12/31/2018</stp>
        <tr r="N2836" s="1"/>
      </tp>
      <tp>
        <v>4.7522707717703696</v>
        <stp/>
        <stp>EM_S_VAL_PBGOODWILLDEDUCTED</stp>
        <stp>2</stp>
        <stp>300731</stp>
        <stp>12/31/2018</stp>
        <tr r="N1668" s="1"/>
      </tp>
      <tp>
        <v>1.41366671025832</v>
        <stp/>
        <stp>EM_S_VAL_PBGOODWILLDEDUCTED</stp>
        <stp>2</stp>
        <stp>600761</stp>
        <stp>12/31/2018</stp>
        <tr r="N1761" s="1"/>
      </tp>
      <tp>
        <v>1.1169200102632699</v>
        <stp/>
        <stp>EM_S_VAL_PBGOODWILLDEDUCTED</stp>
        <stp>2</stp>
        <stp>000700</stp>
        <stp>12/31/2018</stp>
        <tr r="N854" s="1"/>
      </tp>
      <tp>
        <v>6.9691748531114497</v>
        <stp/>
        <stp>EM_S_VAL_PBGOODWILLDEDUCTED</stp>
        <stp>2</stp>
        <stp>300730</stp>
        <stp>12/31/2018</stp>
        <tr r="N3065" s="1"/>
      </tp>
      <tp>
        <v>4.9352144119993602</v>
        <stp/>
        <stp>EM_S_VAL_PBGOODWILLDEDUCTED</stp>
        <stp>2</stp>
        <stp>600760</stp>
        <stp>12/31/2018</stp>
        <tr r="N1639" s="1"/>
      </tp>
      <tp>
        <v>7.1979562473179</v>
        <stp/>
        <stp>EM_S_VAL_PBGOODWILLDEDUCTED</stp>
        <stp>2</stp>
        <stp>000707</stp>
        <stp>12/31/2018</stp>
        <tr r="N3517" s="1"/>
      </tp>
      <tp>
        <v>1.8425398832398101</v>
        <stp/>
        <stp>EM_S_VAL_PBGOODWILLDEDUCTED</stp>
        <stp>2</stp>
        <stp>300737</stp>
        <stp>12/31/2018</stp>
        <tr r="N983" s="1"/>
      </tp>
      <tp>
        <v>6.5281453532636498</v>
        <stp/>
        <stp>EM_S_VAL_PBGOODWILLDEDUCTED</stp>
        <stp>2</stp>
        <stp>600767</stp>
        <stp>12/31/2018</stp>
        <tr r="N2211" s="1"/>
      </tp>
      <tp>
        <v>4.9680398724836197</v>
        <stp/>
        <stp>EM_S_VAL_PBGOODWILLDEDUCTED</stp>
        <stp>2</stp>
        <stp>300736</stp>
        <stp>12/31/2018</stp>
        <tr r="N3372" s="1"/>
      </tp>
      <tp>
        <v>34.676565709608496</v>
        <stp/>
        <stp>EM_S_VAL_PBGOODWILLDEDUCTED</stp>
        <stp>2</stp>
        <stp>600766</stp>
        <stp>12/31/2018</stp>
        <tr r="N2671" s="1"/>
      </tp>
      <tp>
        <v>1.4230336430570401</v>
        <stp/>
        <stp>EM_S_VAL_PBGOODWILLDEDUCTED</stp>
        <stp>2</stp>
        <stp>000705</stp>
        <stp>12/31/2018</stp>
        <tr r="N1817" s="1"/>
      </tp>
      <tp>
        <v>3.1254805941828501</v>
        <stp/>
        <stp>EM_S_VAL_PBGOODWILLDEDUCTED</stp>
        <stp>2</stp>
        <stp>300735</stp>
        <stp>12/31/2018</stp>
        <tr r="N394" s="1"/>
      </tp>
      <tp>
        <v>1.36217413341041</v>
        <stp/>
        <stp>EM_S_VAL_PBGOODWILLDEDUCTED</stp>
        <stp>2</stp>
        <stp>600765</stp>
        <stp>12/31/2018</stp>
        <tr r="N867" s="1"/>
      </tp>
      <tp>
        <v>8.8401850774307196</v>
        <stp/>
        <stp>EM_S_VAL_PBGOODWILLDEDUCTED</stp>
        <stp>2</stp>
        <stp>600764</stp>
        <stp>12/31/2018</stp>
        <tr r="N1185" s="1"/>
      </tp>
      <tp>
        <v>1.0451286480994799</v>
        <stp/>
        <stp>EM_S_VAL_PBGOODWILLDEDUCTED</stp>
        <stp>2</stp>
        <stp>000719</stp>
        <stp>12/31/2018</stp>
        <tr r="N2726" s="1"/>
      </tp>
      <tp>
        <v>2.64981159982923</v>
        <stp/>
        <stp>EM_S_VAL_PBGOODWILLDEDUCTED</stp>
        <stp>2</stp>
        <stp>300729</stp>
        <stp>12/31/2018</stp>
        <tr r="N1886" s="1"/>
      </tp>
      <tp>
        <v>8.3325990078812904</v>
        <stp/>
        <stp>EM_S_VAL_PBGOODWILLDEDUCTED</stp>
        <stp>2</stp>
        <stp>600779</stp>
        <stp>12/31/2018</stp>
        <tr r="N355" s="1"/>
      </tp>
      <tp>
        <v>1.13064351869077</v>
        <stp/>
        <stp>EM_S_VAL_PBGOODWILLDEDUCTED</stp>
        <stp>2</stp>
        <stp>000718</stp>
        <stp>12/31/2018</stp>
        <tr r="N3519" s="1"/>
      </tp>
      <tp>
        <v>0</v>
        <stp/>
        <stp>EM_S_VAL_PBGOODWILLDEDUCTED</stp>
        <stp>2</stp>
        <stp>300728</stp>
        <stp>12/31/2018</stp>
        <tr r="N11" s="1"/>
      </tp>
      <tp>
        <v>1.87699905066726</v>
        <stp/>
        <stp>EM_S_VAL_PBGOODWILLDEDUCTED</stp>
        <stp>2</stp>
        <stp>600778</stp>
        <stp>12/31/2018</stp>
        <tr r="N1299" s="1"/>
      </tp>
      <tp>
        <v>0.94207059026111395</v>
        <stp/>
        <stp>EM_S_VAL_PBGOODWILLDEDUCTED</stp>
        <stp>2</stp>
        <stp>000713</stp>
        <stp>12/31/2018</stp>
        <tr r="N252" s="1"/>
      </tp>
      <tp>
        <v>3.3198069650158999</v>
        <stp/>
        <stp>EM_S_VAL_PBGOODWILLDEDUCTED</stp>
        <stp>2</stp>
        <stp>300723</stp>
        <stp>12/31/2018</stp>
        <tr r="N648" s="1"/>
      </tp>
      <tp>
        <v>1.48708056688108</v>
        <stp/>
        <stp>EM_S_VAL_PBGOODWILLDEDUCTED</stp>
        <stp>2</stp>
        <stp>600773</stp>
        <stp>12/31/2018</stp>
        <tr r="N2483" s="1"/>
      </tp>
      <tp>
        <v>2.6727645576113899</v>
        <stp/>
        <stp>EM_S_VAL_PBGOODWILLDEDUCTED</stp>
        <stp>2</stp>
        <stp>000712</stp>
        <stp>12/31/2018</stp>
        <tr r="N3518" s="1"/>
      </tp>
      <tp>
        <v>5.6973876666515801</v>
        <stp/>
        <stp>EM_S_VAL_PBGOODWILLDEDUCTED</stp>
        <stp>2</stp>
        <stp>300722</stp>
        <stp>12/31/2018</stp>
        <tr r="N3251" s="1"/>
      </tp>
      <tp>
        <v>0.71359629236789601</v>
        <stp/>
        <stp>EM_S_VAL_PBGOODWILLDEDUCTED</stp>
        <stp>2</stp>
        <stp>600772</stp>
        <stp>12/31/2018</stp>
        <tr r="N2321" s="1"/>
      </tp>
      <tp>
        <v>1.7661726821081201</v>
        <stp/>
        <stp>EM_S_VAL_PBGOODWILLDEDUCTED</stp>
        <stp>2</stp>
        <stp>000711</stp>
        <stp>12/31/2018</stp>
        <tr r="N2850" s="1"/>
      </tp>
      <tp>
        <v>1.8651915593244099</v>
        <stp/>
        <stp>EM_S_VAL_PBGOODWILLDEDUCTED</stp>
        <stp>2</stp>
        <stp>300721</stp>
        <stp>12/31/2018</stp>
        <tr r="N2599" s="1"/>
      </tp>
      <tp>
        <v>4.4534653481009796</v>
        <stp/>
        <stp>EM_S_VAL_PBGOODWILLDEDUCTED</stp>
        <stp>2</stp>
        <stp>600771</stp>
        <stp>12/31/2018</stp>
        <tr r="N3341" s="1"/>
      </tp>
      <tp>
        <v>5.9851279812741103</v>
        <stp/>
        <stp>EM_S_VAL_PBGOODWILLDEDUCTED</stp>
        <stp>2</stp>
        <stp>000710</stp>
        <stp>12/31/2018</stp>
        <tr r="N1684" s="1"/>
      </tp>
      <tp>
        <v>4.0255384604654596</v>
        <stp/>
        <stp>EM_S_VAL_PBGOODWILLDEDUCTED</stp>
        <stp>2</stp>
        <stp>300720</stp>
        <stp>12/31/2018</stp>
        <tr r="N3311" s="1"/>
      </tp>
      <tp>
        <v>1.90263314116162</v>
        <stp/>
        <stp>EM_S_VAL_PBGOODWILLDEDUCTED</stp>
        <stp>2</stp>
        <stp>600770</stp>
        <stp>12/31/2018</stp>
        <tr r="N1467" s="1"/>
      </tp>
      <tp>
        <v>1.7820787791847099</v>
        <stp/>
        <stp>EM_S_VAL_PBGOODWILLDEDUCTED</stp>
        <stp>2</stp>
        <stp>000717</stp>
        <stp>12/31/2018</stp>
        <tr r="N2113" s="1"/>
      </tp>
      <tp>
        <v>4.7540456215932503</v>
        <stp/>
        <stp>EM_S_VAL_PBGOODWILLDEDUCTED</stp>
        <stp>2</stp>
        <stp>300727</stp>
        <stp>12/31/2018</stp>
        <tr r="N3144" s="1"/>
      </tp>
      <tp>
        <v>0.876392656864875</v>
        <stp/>
        <stp>EM_S_VAL_PBGOODWILLDEDUCTED</stp>
        <stp>2</stp>
        <stp>600777</stp>
        <stp>12/31/2018</stp>
        <tr r="N1771" s="1"/>
      </tp>
      <tp>
        <v>0.95803487795944897</v>
        <stp/>
        <stp>EM_S_VAL_PBGOODWILLDEDUCTED</stp>
        <stp>2</stp>
        <stp>000716</stp>
        <stp>12/31/2018</stp>
        <tr r="N812" s="1"/>
      </tp>
      <tp>
        <v>4.6570014238354904</v>
        <stp/>
        <stp>EM_S_VAL_PBGOODWILLDEDUCTED</stp>
        <stp>2</stp>
        <stp>300726</stp>
        <stp>12/31/2018</stp>
        <tr r="N613" s="1"/>
      </tp>
      <tp>
        <v>4.7061224530430801</v>
        <stp/>
        <stp>EM_S_VAL_PBGOODWILLDEDUCTED</stp>
        <stp>2</stp>
        <stp>600776</stp>
        <stp>12/31/2018</stp>
        <tr r="N255" s="1"/>
      </tp>
      <tp>
        <v>1.20358895386075</v>
        <stp/>
        <stp>EM_S_VAL_PBGOODWILLDEDUCTED</stp>
        <stp>2</stp>
        <stp>000715</stp>
        <stp>12/31/2018</stp>
        <tr r="N2071" s="1"/>
      </tp>
      <tp>
        <v>9.9882178940790496</v>
        <stp/>
        <stp>EM_S_VAL_PBGOODWILLDEDUCTED</stp>
        <stp>2</stp>
        <stp>300725</stp>
        <stp>12/31/2018</stp>
        <tr r="N1231" s="1"/>
      </tp>
      <tp>
        <v>2.13677157995695</v>
        <stp/>
        <stp>EM_S_VAL_PBGOODWILLDEDUCTED</stp>
        <stp>2</stp>
        <stp>600775</stp>
        <stp>12/31/2018</stp>
        <tr r="N1097" s="1"/>
      </tp>
      <tp>
        <v>5.3786458916310398</v>
        <stp/>
        <stp>EM_S_VAL_PBGOODWILLDEDUCTED</stp>
        <stp>2</stp>
        <stp>600774</stp>
        <stp>12/31/2018</stp>
        <tr r="N3117" s="1"/>
      </tp>
      <tp>
        <v>4.5314717244468898</v>
        <stp/>
        <stp>EM_S_VAL_PBGOODWILLDEDUCTED</stp>
        <stp>2</stp>
        <stp>600689</stp>
        <stp>12/31/2018</stp>
        <tr r="N2646" s="1"/>
      </tp>
      <tp>
        <v>1.7784196669121499</v>
        <stp/>
        <stp>EM_S_VAL_PBGOODWILLDEDUCTED</stp>
        <stp>2</stp>
        <stp>600688</stp>
        <stp>12/31/2018</stp>
        <tr r="N3114" s="1"/>
      </tp>
      <tp>
        <v>1.2106194886425801</v>
        <stp/>
        <stp>EM_S_VAL_PBGOODWILLDEDUCTED</stp>
        <stp>2</stp>
        <stp>600683</stp>
        <stp>12/31/2018</stp>
        <tr r="N2385" s="1"/>
      </tp>
      <tp>
        <v>1.5732717612049301</v>
        <stp/>
        <stp>EM_S_VAL_PBGOODWILLDEDUCTED</stp>
        <stp>2</stp>
        <stp>600682</stp>
        <stp>12/31/2018</stp>
        <tr r="N1585" s="1"/>
      </tp>
      <tp>
        <v>3.7239854587408598</v>
        <stp/>
        <stp>EM_S_VAL_PBGOODWILLDEDUCTED</stp>
        <stp>2</stp>
        <stp>600681</stp>
        <stp>12/31/2018</stp>
        <tr r="N3333" s="1"/>
      </tp>
      <tp>
        <v>17.698896982468501</v>
        <stp/>
        <stp>EM_S_VAL_PBGOODWILLDEDUCTED</stp>
        <stp>2</stp>
        <stp>600680</stp>
        <stp>12/31/2018</stp>
        <tr r="N2316" s="1"/>
      </tp>
      <tp>
        <v>1.2890796383172201</v>
        <stp/>
        <stp>EM_S_VAL_PBGOODWILLDEDUCTED</stp>
        <stp>2</stp>
        <stp>600687</stp>
        <stp>12/31/2018</stp>
        <tr r="N3392" s="1"/>
      </tp>
      <tp>
        <v>1.29336084397494</v>
        <stp/>
        <stp>EM_S_VAL_PBGOODWILLDEDUCTED</stp>
        <stp>2</stp>
        <stp>600686</stp>
        <stp>12/31/2018</stp>
        <tr r="N2161" s="1"/>
      </tp>
      <tp>
        <v>1.4100834603521399</v>
        <stp/>
        <stp>EM_S_VAL_PBGOODWILLDEDUCTED</stp>
        <stp>2</stp>
        <stp>600685</stp>
        <stp>12/31/2018</stp>
        <tr r="N512" s="1"/>
      </tp>
      <tp>
        <v>1.19741450693886</v>
        <stp/>
        <stp>EM_S_VAL_PBGOODWILLDEDUCTED</stp>
        <stp>2</stp>
        <stp>600684</stp>
        <stp>12/31/2018</stp>
        <tr r="N2854" s="1"/>
      </tp>
      <tp>
        <v>5.2107180904779904</v>
        <stp/>
        <stp>EM_S_VAL_PBGOODWILLDEDUCTED</stp>
        <stp>2</stp>
        <stp>600699</stp>
        <stp>12/31/2018</stp>
        <tr r="N3125" s="1"/>
      </tp>
      <tp>
        <v>8.2586725517499406</v>
        <stp/>
        <stp>EM_S_VAL_PBGOODWILLDEDUCTED</stp>
        <stp>2</stp>
        <stp>600698</stp>
        <stp>12/31/2018</stp>
        <tr r="N3214" s="1"/>
      </tp>
      <tp>
        <v>2.03878629552558</v>
        <stp/>
        <stp>EM_S_VAL_PBGOODWILLDEDUCTED</stp>
        <stp>2</stp>
        <stp>600693</stp>
        <stp>12/31/2018</stp>
        <tr r="N2373" s="1"/>
      </tp>
      <tp>
        <v>3.4478521660508701</v>
        <stp/>
        <stp>EM_S_VAL_PBGOODWILLDEDUCTED</stp>
        <stp>2</stp>
        <stp>600692</stp>
        <stp>12/31/2018</stp>
        <tr r="N2781" s="1"/>
      </tp>
      <tp>
        <v>0.98519554926865405</v>
        <stp/>
        <stp>EM_S_VAL_PBGOODWILLDEDUCTED</stp>
        <stp>2</stp>
        <stp>600691</stp>
        <stp>12/31/2018</stp>
        <tr r="N2883" s="1"/>
      </tp>
      <tp>
        <v>5.0859752164314296</v>
        <stp/>
        <stp>EM_S_VAL_PBGOODWILLDEDUCTED</stp>
        <stp>2</stp>
        <stp>600690</stp>
        <stp>12/31/2018</stp>
        <tr r="N748" s="1"/>
      </tp>
      <tp>
        <v>1.20774335405442</v>
        <stp/>
        <stp>EM_S_VAL_PBGOODWILLDEDUCTED</stp>
        <stp>2</stp>
        <stp>600697</stp>
        <stp>12/31/2018</stp>
        <tr r="N2616" s="1"/>
      </tp>
      <tp>
        <v>5.6376214031843803</v>
        <stp/>
        <stp>EM_S_VAL_PBGOODWILLDEDUCTED</stp>
        <stp>2</stp>
        <stp>600696</stp>
        <stp>12/31/2018</stp>
        <tr r="N71" s="1"/>
      </tp>
      <tp>
        <v>5.7852320616507296</v>
        <stp/>
        <stp>EM_S_VAL_PBGOODWILLDEDUCTED</stp>
        <stp>2</stp>
        <stp>600695</stp>
        <stp>12/31/2018</stp>
        <tr r="N307" s="1"/>
      </tp>
      <tp>
        <v>0.88575950107383905</v>
        <stp/>
        <stp>EM_S_VAL_PBGOODWILLDEDUCTED</stp>
        <stp>2</stp>
        <stp>600694</stp>
        <stp>12/31/2018</stp>
        <tr r="N1594" s="1"/>
      </tp>
      <tp>
        <v>4.6304115192932196</v>
        <stp/>
        <stp>EM_S_VAL_PBGOODWILLDEDUCTED</stp>
        <stp>2</stp>
        <stp>300699</stp>
        <stp>12/31/2018</stp>
        <tr r="N995" s="1"/>
      </tp>
      <tp>
        <v>6.4182424824378597</v>
        <stp/>
        <stp>EM_S_VAL_PBGOODWILLDEDUCTED</stp>
        <stp>2</stp>
        <stp>300698</stp>
        <stp>12/31/2018</stp>
        <tr r="N2793" s="1"/>
      </tp>
      <tp>
        <v>3.33713065460271</v>
        <stp/>
        <stp>EM_S_VAL_PBGOODWILLDEDUCTED</stp>
        <stp>2</stp>
        <stp>300693</stp>
        <stp>12/31/2018</stp>
        <tr r="N2842" s="1"/>
      </tp>
      <tp>
        <v>2.9230153866069601</v>
        <stp/>
        <stp>EM_S_VAL_PBGOODWILLDEDUCTED</stp>
        <stp>2</stp>
        <stp>300692</stp>
        <stp>12/31/2018</stp>
        <tr r="N2598" s="1"/>
      </tp>
      <tp>
        <v>3.6938787511315199</v>
        <stp/>
        <stp>EM_S_VAL_PBGOODWILLDEDUCTED</stp>
        <stp>2</stp>
        <stp>300691</stp>
        <stp>12/31/2018</stp>
        <tr r="N2974" s="1"/>
      </tp>
      <tp>
        <v>2.2094814454706699</v>
        <stp/>
        <stp>EM_S_VAL_PBGOODWILLDEDUCTED</stp>
        <stp>2</stp>
        <stp>300690</stp>
        <stp>12/31/2018</stp>
        <tr r="N735" s="1"/>
      </tp>
      <tp>
        <v>3.0480975159094599</v>
        <stp/>
        <stp>EM_S_VAL_PBGOODWILLDEDUCTED</stp>
        <stp>2</stp>
        <stp>300697</stp>
        <stp>12/31/2018</stp>
        <tr r="N772" s="1"/>
      </tp>
      <tp>
        <v>3.4911133791137399</v>
        <stp/>
        <stp>EM_S_VAL_PBGOODWILLDEDUCTED</stp>
        <stp>2</stp>
        <stp>300696</stp>
        <stp>12/31/2018</stp>
        <tr r="N2215" s="1"/>
      </tp>
      <tp>
        <v>2.18143044091841</v>
        <stp/>
        <stp>EM_S_VAL_PBGOODWILLDEDUCTED</stp>
        <stp>2</stp>
        <stp>300695</stp>
        <stp>12/31/2018</stp>
        <tr r="N1890" s="1"/>
      </tp>
      <tp>
        <v>3.7511739660554699</v>
        <stp/>
        <stp>EM_S_VAL_PBGOODWILLDEDUCTED</stp>
        <stp>2</stp>
        <stp>300689</stp>
        <stp>12/31/2018</stp>
        <tr r="N977" s="1"/>
      </tp>
      <tp>
        <v>7.0850420609166296</v>
        <stp/>
        <stp>EM_S_VAL_PBGOODWILLDEDUCTED</stp>
        <stp>2</stp>
        <stp>300688</stp>
        <stp>12/31/2018</stp>
        <tr r="N3329" s="1"/>
      </tp>
      <tp>
        <v>1.9776135935322401</v>
        <stp/>
        <stp>EM_S_VAL_PBGOODWILLDEDUCTED</stp>
        <stp>2</stp>
        <stp>300683</stp>
        <stp>12/31/2018</stp>
        <tr r="N1867" s="1"/>
      </tp>
      <tp>
        <v>5.2807439001735501</v>
        <stp/>
        <stp>EM_S_VAL_PBGOODWILLDEDUCTED</stp>
        <stp>2</stp>
        <stp>300682</stp>
        <stp>12/31/2018</stp>
        <tr r="N782" s="1"/>
      </tp>
      <tp>
        <v>4.0207336598097303</v>
        <stp/>
        <stp>EM_S_VAL_PBGOODWILLDEDUCTED</stp>
        <stp>2</stp>
        <stp>300681</stp>
        <stp>12/31/2018</stp>
        <tr r="N2417" s="1"/>
      </tp>
      <tp>
        <v>3.46324810886582</v>
        <stp/>
        <stp>EM_S_VAL_PBGOODWILLDEDUCTED</stp>
        <stp>2</stp>
        <stp>300680</stp>
        <stp>12/31/2018</stp>
        <tr r="N910" s="1"/>
      </tp>
      <tp>
        <v>3.79622817025197</v>
        <stp/>
        <stp>EM_S_VAL_PBGOODWILLDEDUCTED</stp>
        <stp>2</stp>
        <stp>300687</stp>
        <stp>12/31/2018</stp>
        <tr r="N3104" s="1"/>
      </tp>
      <tp>
        <v>3.6722339683296301</v>
        <stp/>
        <stp>EM_S_VAL_PBGOODWILLDEDUCTED</stp>
        <stp>2</stp>
        <stp>300686</stp>
        <stp>12/31/2018</stp>
        <tr r="N205" s="1"/>
      </tp>
      <tp>
        <v>7.7847651603881003</v>
        <stp/>
        <stp>EM_S_VAL_PBGOODWILLDEDUCTED</stp>
        <stp>2</stp>
        <stp>300685</stp>
        <stp>12/31/2018</stp>
        <tr r="N436" s="1"/>
      </tp>
      <tp>
        <v>7.1358301063912402</v>
        <stp/>
        <stp>EM_S_VAL_PBGOODWILLDEDUCTED</stp>
        <stp>2</stp>
        <stp>300684</stp>
        <stp>12/31/2018</stp>
        <tr r="N2979" s="1"/>
      </tp>
      <tp>
        <v>-0.50790286642264304</v>
        <stp/>
        <stp>EM_S_VAL_PBGOODWILLDEDUCTED</stp>
        <stp>2</stp>
        <stp>000689</stp>
        <stp>12/31/2018</stp>
        <tr r="N3511" s="1"/>
      </tp>
      <tp>
        <v>5.6052451846050202</v>
        <stp/>
        <stp>EM_S_VAL_PBGOODWILLDEDUCTED</stp>
        <stp>2</stp>
        <stp>000688</stp>
        <stp>12/31/2018</stp>
        <tr r="N3510" s="1"/>
      </tp>
      <tp>
        <v>0.96149423702450798</v>
        <stp/>
        <stp>EM_S_VAL_PBGOODWILLDEDUCTED</stp>
        <stp>2</stp>
        <stp>000683</stp>
        <stp>12/31/2018</stp>
        <tr r="N3507" s="1"/>
      </tp>
      <tp>
        <v>1.4682794902523499</v>
        <stp/>
        <stp>EM_S_VAL_PBGOODWILLDEDUCTED</stp>
        <stp>2</stp>
        <stp>000682</stp>
        <stp>12/31/2018</stp>
        <tr r="N515" s="1"/>
      </tp>
      <tp>
        <v>9.54967699730833</v>
        <stp/>
        <stp>EM_S_VAL_PBGOODWILLDEDUCTED</stp>
        <stp>2</stp>
        <stp>000681</stp>
        <stp>12/31/2018</stp>
        <tr r="N3208" s="1"/>
      </tp>
      <tp>
        <v>1.2087176114315801</v>
        <stp/>
        <stp>EM_S_VAL_PBGOODWILLDEDUCTED</stp>
        <stp>2</stp>
        <stp>000680</stp>
        <stp>12/31/2018</stp>
        <tr r="N1767" s="1"/>
      </tp>
      <tp>
        <v>41.155708572421503</v>
        <stp/>
        <stp>EM_S_VAL_PBGOODWILLDEDUCTED</stp>
        <stp>2</stp>
        <stp>000687</stp>
        <stp>12/31/2018</stp>
        <tr r="N3509" s="1"/>
      </tp>
      <tp>
        <v>0.97939309997159796</v>
        <stp/>
        <stp>EM_S_VAL_PBGOODWILLDEDUCTED</stp>
        <stp>2</stp>
        <stp>000686</stp>
        <stp>12/31/2018</stp>
        <tr r="N3508" s="1"/>
      </tp>
      <tp>
        <v>0.84082905284127896</v>
        <stp/>
        <stp>EM_S_VAL_PBGOODWILLDEDUCTED</stp>
        <stp>2</stp>
        <stp>000685</stp>
        <stp>12/31/2018</stp>
        <tr r="N1353" s="1"/>
      </tp>
      <tp>
        <v>-904.47304007858497</v>
        <stp/>
        <stp>EM_S_VAL_PBGOODWILLDEDUCTED</stp>
        <stp>2</stp>
        <stp>000699</stp>
        <stp>12/31/2018</stp>
        <tr r="N3515" s="1"/>
      </tp>
      <tp>
        <v>0.66086447798098602</v>
        <stp/>
        <stp>EM_S_VAL_PBGOODWILLDEDUCTED</stp>
        <stp>2</stp>
        <stp>000698</stp>
        <stp>12/31/2018</stp>
        <tr r="N3514" s="1"/>
      </tp>
      <tp>
        <v>-1.1244241320767701</v>
        <stp/>
        <stp>EM_S_VAL_PBGOODWILLDEDUCTED</stp>
        <stp>2</stp>
        <stp>000693</stp>
        <stp>12/31/2018</stp>
        <tr r="N3513" s="1"/>
      </tp>
      <tp>
        <v>0.96821639887637601</v>
        <stp/>
        <stp>EM_S_VAL_PBGOODWILLDEDUCTED</stp>
        <stp>2</stp>
        <stp>000692</stp>
        <stp>12/31/2018</stp>
        <tr r="N1493" s="1"/>
      </tp>
      <tp>
        <v>17.333947479905099</v>
        <stp/>
        <stp>EM_S_VAL_PBGOODWILLDEDUCTED</stp>
        <stp>2</stp>
        <stp>000691</stp>
        <stp>12/31/2018</stp>
        <tr r="N3512" s="1"/>
      </tp>
      <tp>
        <v>1.65308316756801</v>
        <stp/>
        <stp>EM_S_VAL_PBGOODWILLDEDUCTED</stp>
        <stp>2</stp>
        <stp>000690</stp>
        <stp>12/31/2018</stp>
        <tr r="N2957" s="1"/>
      </tp>
      <tp>
        <v>13.053650636434201</v>
        <stp/>
        <stp>EM_S_VAL_PBGOODWILLDEDUCTED</stp>
        <stp>2</stp>
        <stp>000697</stp>
        <stp>12/31/2018</stp>
        <tr r="N2913" s="1"/>
      </tp>
      <tp>
        <v>5.49158493571636</v>
        <stp/>
        <stp>EM_S_VAL_PBGOODWILLDEDUCTED</stp>
        <stp>2</stp>
        <stp>000695</stp>
        <stp>12/31/2018</stp>
        <tr r="N2992" s="1"/>
      </tp>
      <tp>
        <v>1.83401703447558</v>
        <stp/>
        <stp>EM_S_VAL_PBGOODWILLDEDUCTED</stp>
        <stp>2</stp>
        <stp>000669</stp>
        <stp>12/31/2018</stp>
        <tr r="N3501" s="1"/>
      </tp>
      <tp>
        <v>5.8211833679975999</v>
        <stp/>
        <stp>EM_S_VAL_PBGOODWILLDEDUCTED</stp>
        <stp>2</stp>
        <stp>300659</stp>
        <stp>12/31/2018</stp>
        <tr r="N39" s="1"/>
      </tp>
      <tp>
        <v>9.5193815669034905</v>
        <stp/>
        <stp>EM_S_VAL_PBGOODWILLDEDUCTED</stp>
        <stp>2</stp>
        <stp>600609</stp>
        <stp>12/31/2018</stp>
        <tr r="N955" s="1"/>
      </tp>
      <tp>
        <v>1.71233043181988</v>
        <stp/>
        <stp>EM_S_VAL_PBGOODWILLDEDUCTED</stp>
        <stp>2</stp>
        <stp>000668</stp>
        <stp>12/31/2018</stp>
        <tr r="N3500" s="1"/>
      </tp>
      <tp>
        <v>2.19383421325769</v>
        <stp/>
        <stp>EM_S_VAL_PBGOODWILLDEDUCTED</stp>
        <stp>2</stp>
        <stp>300658</stp>
        <stp>12/31/2018</stp>
        <tr r="N886" s="1"/>
      </tp>
      <tp>
        <v>24.250210465852099</v>
        <stp/>
        <stp>EM_S_VAL_PBGOODWILLDEDUCTED</stp>
        <stp>2</stp>
        <stp>600608</stp>
        <stp>12/31/2018</stp>
        <tr r="N1802" s="1"/>
      </tp>
      <tp>
        <v>2.5736477274857901</v>
        <stp/>
        <stp>EM_S_VAL_PBGOODWILLDEDUCTED</stp>
        <stp>2</stp>
        <stp>000663</stp>
        <stp>12/31/2018</stp>
        <tr r="N3498" s="1"/>
      </tp>
      <tp>
        <v>6.9973795513582804</v>
        <stp/>
        <stp>EM_S_VAL_PBGOODWILLDEDUCTED</stp>
        <stp>2</stp>
        <stp>300653</stp>
        <stp>12/31/2018</stp>
        <tr r="N539" s="1"/>
      </tp>
      <tp>
        <v>0.80211267191664104</v>
        <stp/>
        <stp>EM_S_VAL_PBGOODWILLDEDUCTED</stp>
        <stp>2</stp>
        <stp>600603</stp>
        <stp>12/31/2018</stp>
        <tr r="N1271" s="1"/>
      </tp>
      <tp>
        <v>2.8844276843126302</v>
        <stp/>
        <stp>EM_S_VAL_PBGOODWILLDEDUCTED</stp>
        <stp>2</stp>
        <stp>000662</stp>
        <stp>12/31/2018</stp>
        <tr r="N3497" s="1"/>
      </tp>
      <tp>
        <v>2.3099990228595702</v>
        <stp/>
        <stp>EM_S_VAL_PBGOODWILLDEDUCTED</stp>
        <stp>2</stp>
        <stp>300652</stp>
        <stp>12/31/2018</stp>
        <tr r="N2079" s="1"/>
      </tp>
      <tp>
        <v>1.82164662102771</v>
        <stp/>
        <stp>EM_S_VAL_PBGOODWILLDEDUCTED</stp>
        <stp>2</stp>
        <stp>600602</stp>
        <stp>12/31/2018</stp>
        <tr r="N353" s="1"/>
      </tp>
      <tp>
        <v>5.6221662349222701</v>
        <stp/>
        <stp>EM_S_VAL_PBGOODWILLDEDUCTED</stp>
        <stp>2</stp>
        <stp>000661</stp>
        <stp>12/31/2018</stp>
        <tr r="N85" s="1"/>
      </tp>
      <tp>
        <v>5.0708368014366698</v>
        <stp/>
        <stp>EM_S_VAL_PBGOODWILLDEDUCTED</stp>
        <stp>2</stp>
        <stp>300651</stp>
        <stp>12/31/2018</stp>
        <tr r="N3284" s="1"/>
      </tp>
      <tp>
        <v>1.75805647985858</v>
        <stp/>
        <stp>EM_S_VAL_PBGOODWILLDEDUCTED</stp>
        <stp>2</stp>
        <stp>600601</stp>
        <stp>12/31/2018</stp>
        <tr r="N651" s="1"/>
      </tp>
      <tp>
        <v>1.9881463624865501</v>
        <stp/>
        <stp>EM_S_VAL_PBGOODWILLDEDUCTED</stp>
        <stp>2</stp>
        <stp>000660</stp>
        <stp>12/31/2018</stp>
        <tr r="N3496" s="1"/>
      </tp>
      <tp>
        <v>2.83231201427922</v>
        <stp/>
        <stp>EM_S_VAL_PBGOODWILLDEDUCTED</stp>
        <stp>2</stp>
        <stp>300650</stp>
        <stp>12/31/2018</stp>
        <tr r="N1066" s="1"/>
      </tp>
      <tp>
        <v>2.8262751423387198</v>
        <stp/>
        <stp>EM_S_VAL_PBGOODWILLDEDUCTED</stp>
        <stp>2</stp>
        <stp>600600</stp>
        <stp>12/31/2018</stp>
        <tr r="N615" s="1"/>
      </tp>
      <tp>
        <v>0.89115717512303305</v>
        <stp/>
        <stp>EM_S_VAL_PBGOODWILLDEDUCTED</stp>
        <stp>2</stp>
        <stp>000667</stp>
        <stp>12/31/2018</stp>
        <tr r="N3499" s="1"/>
      </tp>
      <tp>
        <v>5.0735027775170298</v>
        <stp/>
        <stp>EM_S_VAL_PBGOODWILLDEDUCTED</stp>
        <stp>2</stp>
        <stp>300657</stp>
        <stp>12/31/2018</stp>
        <tr r="N1186" s="1"/>
      </tp>
      <tp>
        <v>3.94079235357894</v>
        <stp/>
        <stp>EM_S_VAL_PBGOODWILLDEDUCTED</stp>
        <stp>2</stp>
        <stp>600607</stp>
        <stp>12/31/2018</stp>
        <tr r="N2306" s="1"/>
      </tp>
      <tp>
        <v>1.0174991957173101</v>
        <stp/>
        <stp>EM_S_VAL_PBGOODWILLDEDUCTED</stp>
        <stp>2</stp>
        <stp>000666</stp>
        <stp>12/31/2018</stp>
        <tr r="N1969" s="1"/>
      </tp>
      <tp>
        <v>5.3607141662493101</v>
        <stp/>
        <stp>EM_S_VAL_PBGOODWILLDEDUCTED</stp>
        <stp>2</stp>
        <stp>300656</stp>
        <stp>12/31/2018</stp>
        <tr r="N2217" s="1"/>
      </tp>
      <tp>
        <v>1.1241479708365001</v>
        <stp/>
        <stp>EM_S_VAL_PBGOODWILLDEDUCTED</stp>
        <stp>2</stp>
        <stp>600606</stp>
        <stp>12/31/2018</stp>
        <tr r="N1591" s="1"/>
      </tp>
      <tp>
        <v>0.83330025431700006</v>
        <stp/>
        <stp>EM_S_VAL_PBGOODWILLDEDUCTED</stp>
        <stp>2</stp>
        <stp>000665</stp>
        <stp>12/31/2018</stp>
        <tr r="N3156" s="1"/>
      </tp>
      <tp>
        <v>4.2226699303161004</v>
        <stp/>
        <stp>EM_S_VAL_PBGOODWILLDEDUCTED</stp>
        <stp>2</stp>
        <stp>300655</stp>
        <stp>12/31/2018</stp>
        <tr r="N94" s="1"/>
      </tp>
      <tp>
        <v>2.0639723372726499</v>
        <stp/>
        <stp>EM_S_VAL_PBGOODWILLDEDUCTED</stp>
        <stp>2</stp>
        <stp>600605</stp>
        <stp>12/31/2018</stp>
        <tr r="N1488" s="1"/>
      </tp>
      <tp>
        <v>4.3632708732676004</v>
        <stp/>
        <stp>EM_S_VAL_PBGOODWILLDEDUCTED</stp>
        <stp>2</stp>
        <stp>300654</stp>
        <stp>12/31/2018</stp>
        <tr r="N3061" s="1"/>
      </tp>
      <tp>
        <v>2.36470693537898</v>
        <stp/>
        <stp>EM_S_VAL_PBGOODWILLDEDUCTED</stp>
        <stp>2</stp>
        <stp>600604</stp>
        <stp>12/31/2018</stp>
        <tr r="N1429" s="1"/>
      </tp>
      <tp>
        <v>1.46554028869661</v>
        <stp/>
        <stp>EM_S_VAL_PBGOODWILLDEDUCTED</stp>
        <stp>2</stp>
        <stp>000679</stp>
        <stp>12/31/2018</stp>
        <tr r="N3506" s="1"/>
      </tp>
      <tp>
        <v>8.7443264789370208</v>
        <stp/>
        <stp>EM_S_VAL_PBGOODWILLDEDUCTED</stp>
        <stp>2</stp>
        <stp>300649</stp>
        <stp>12/31/2018</stp>
        <tr r="N3039" s="1"/>
      </tp>
      <tp>
        <v>1.8140996805816401</v>
        <stp/>
        <stp>EM_S_VAL_PBGOODWILLDEDUCTED</stp>
        <stp>2</stp>
        <stp>600619</stp>
        <stp>12/31/2018</stp>
        <tr r="N2513" s="1"/>
      </tp>
      <tp>
        <v>1.93953818119677</v>
        <stp/>
        <stp>EM_S_VAL_PBGOODWILLDEDUCTED</stp>
        <stp>2</stp>
        <stp>000678</stp>
        <stp>12/31/2018</stp>
        <tr r="N3505" s="1"/>
      </tp>
      <tp>
        <v>4.1943933928136898</v>
        <stp/>
        <stp>EM_S_VAL_PBGOODWILLDEDUCTED</stp>
        <stp>2</stp>
        <stp>300648</stp>
        <stp>12/31/2018</stp>
        <tr r="N2494" s="1"/>
      </tp>
      <tp>
        <v>1.91689157546311</v>
        <stp/>
        <stp>EM_S_VAL_PBGOODWILLDEDUCTED</stp>
        <stp>2</stp>
        <stp>600618</stp>
        <stp>12/31/2018</stp>
        <tr r="N1601" s="1"/>
      </tp>
      <tp>
        <v>8.0876090735567203</v>
        <stp/>
        <stp>EM_S_VAL_PBGOODWILLDEDUCTED</stp>
        <stp>2</stp>
        <stp>000673</stp>
        <stp>12/31/2018</stp>
        <tr r="N3503" s="1"/>
      </tp>
      <tp>
        <v>5.0277649174024903</v>
        <stp/>
        <stp>EM_S_VAL_PBGOODWILLDEDUCTED</stp>
        <stp>2</stp>
        <stp>300643</stp>
        <stp>12/31/2018</stp>
        <tr r="N149" s="1"/>
      </tp>
      <tp>
        <v>1.2614921309682801</v>
        <stp/>
        <stp>EM_S_VAL_PBGOODWILLDEDUCTED</stp>
        <stp>2</stp>
        <stp>600613</stp>
        <stp>12/31/2018</stp>
        <tr r="N768" s="1"/>
      </tp>
      <tp>
        <v>2.0683586232900502</v>
        <stp/>
        <stp>EM_S_VAL_PBGOODWILLDEDUCTED</stp>
        <stp>2</stp>
        <stp>000672</stp>
        <stp>12/31/2018</stp>
        <tr r="N150" s="1"/>
      </tp>
      <tp>
        <v>3.3582149001436798</v>
        <stp/>
        <stp>EM_S_VAL_PBGOODWILLDEDUCTED</stp>
        <stp>2</stp>
        <stp>300642</stp>
        <stp>12/31/2018</stp>
        <tr r="N1902" s="1"/>
      </tp>
      <tp>
        <v>3.80212090519829</v>
        <stp/>
        <stp>EM_S_VAL_PBGOODWILLDEDUCTED</stp>
        <stp>2</stp>
        <stp>600612</stp>
        <stp>12/31/2018</stp>
        <tr r="N2043" s="1"/>
      </tp>
      <tp>
        <v>1.16939114849829</v>
        <stp/>
        <stp>EM_S_VAL_PBGOODWILLDEDUCTED</stp>
        <stp>2</stp>
        <stp>000671</stp>
        <stp>12/31/2018</stp>
        <tr r="N373" s="1"/>
      </tp>
      <tp>
        <v>1.86101797736102</v>
        <stp/>
        <stp>EM_S_VAL_PBGOODWILLDEDUCTED</stp>
        <stp>2</stp>
        <stp>300641</stp>
        <stp>12/31/2018</stp>
        <tr r="N2353" s="1"/>
      </tp>
      <tp>
        <v>1.0924144423201301</v>
        <stp/>
        <stp>EM_S_VAL_PBGOODWILLDEDUCTED</stp>
        <stp>2</stp>
        <stp>600611</stp>
        <stp>12/31/2018</stp>
        <tr r="N2175" s="1"/>
      </tp>
      <tp>
        <v>13.1423704614526</v>
        <stp/>
        <stp>EM_S_VAL_PBGOODWILLDEDUCTED</stp>
        <stp>2</stp>
        <stp>000670</stp>
        <stp>12/31/2018</stp>
        <tr r="N3502" s="1"/>
      </tp>
      <tp>
        <v>4.5861551981272797</v>
        <stp/>
        <stp>EM_S_VAL_PBGOODWILLDEDUCTED</stp>
        <stp>2</stp>
        <stp>300640</stp>
        <stp>12/31/2018</stp>
        <tr r="N2861" s="1"/>
      </tp>
      <tp>
        <v>-3.98224780546906</v>
        <stp/>
        <stp>EM_S_VAL_PBGOODWILLDEDUCTED</stp>
        <stp>2</stp>
        <stp>600610</stp>
        <stp>12/31/2018</stp>
        <tr r="N203" s="1"/>
      </tp>
      <tp>
        <v>8.2044485240037996</v>
        <stp/>
        <stp>EM_S_VAL_PBGOODWILLDEDUCTED</stp>
        <stp>2</stp>
        <stp>000677</stp>
        <stp>12/31/2018</stp>
        <tr r="N699" s="1"/>
      </tp>
      <tp>
        <v>7.4167237655906604</v>
        <stp/>
        <stp>EM_S_VAL_PBGOODWILLDEDUCTED</stp>
        <stp>2</stp>
        <stp>300647</stp>
        <stp>12/31/2018</stp>
        <tr r="N2744" s="1"/>
      </tp>
      <tp>
        <v>1.4044815885008599</v>
        <stp/>
        <stp>EM_S_VAL_PBGOODWILLDEDUCTED</stp>
        <stp>2</stp>
        <stp>600617</stp>
        <stp>12/31/2018</stp>
        <tr r="N2412" s="1"/>
      </tp>
      <tp>
        <v>2.7310163414622899</v>
        <stp/>
        <stp>EM_S_VAL_PBGOODWILLDEDUCTED</stp>
        <stp>2</stp>
        <stp>000676</stp>
        <stp>12/31/2018</stp>
        <tr r="N2517" s="1"/>
      </tp>
      <tp>
        <v>0</v>
        <stp/>
        <stp>EM_S_VAL_PBGOODWILLDEDUCTED</stp>
        <stp>2</stp>
        <stp>300646</stp>
        <stp>12/31/2018</stp>
        <tr r="N10" s="1"/>
      </tp>
      <tp>
        <v>1.3062430901286199</v>
        <stp/>
        <stp>EM_S_VAL_PBGOODWILLDEDUCTED</stp>
        <stp>2</stp>
        <stp>600616</stp>
        <stp>12/31/2018</stp>
        <tr r="N2035" s="1"/>
      </tp>
      <tp>
        <v>-0.71645541950098401</v>
        <stp/>
        <stp>EM_S_VAL_PBGOODWILLDEDUCTED</stp>
        <stp>2</stp>
        <stp>000675</stp>
        <stp>12/31/2018</stp>
        <tr r="N3504" s="1"/>
      </tp>
      <tp>
        <v>3.56994914300487</v>
        <stp/>
        <stp>EM_S_VAL_PBGOODWILLDEDUCTED</stp>
        <stp>2</stp>
        <stp>300645</stp>
        <stp>12/31/2018</stp>
        <tr r="N3374" s="1"/>
      </tp>
      <tp>
        <v>3.2908278270541098</v>
        <stp/>
        <stp>EM_S_VAL_PBGOODWILLDEDUCTED</stp>
        <stp>2</stp>
        <stp>600615</stp>
        <stp>12/31/2018</stp>
        <tr r="N1631" s="1"/>
      </tp>
      <tp>
        <v>3.33130530540855</v>
        <stp/>
        <stp>EM_S_VAL_PBGOODWILLDEDUCTED</stp>
        <stp>2</stp>
        <stp>300644</stp>
        <stp>12/31/2018</stp>
        <tr r="N2969" s="1"/>
      </tp>
      <tp>
        <v>21.888443448306202</v>
        <stp/>
        <stp>EM_S_VAL_PBGOODWILLDEDUCTED</stp>
        <stp>2</stp>
        <stp>600614</stp>
        <stp>12/31/2018</stp>
        <tr r="N3373" s="1"/>
      </tp>
      <tp>
        <v>1.7693896475081199</v>
        <stp/>
        <stp>EM_S_VAL_PBGOODWILLDEDUCTED</stp>
        <stp>2</stp>
        <stp>300679</stp>
        <stp>12/31/2018</stp>
        <tr r="N739" s="1"/>
      </tp>
      <tp>
        <v>1.94399696114122</v>
        <stp/>
        <stp>EM_S_VAL_PBGOODWILLDEDUCTED</stp>
        <stp>2</stp>
        <stp>600629</stp>
        <stp>12/31/2018</stp>
        <tr r="N3119" s="1"/>
      </tp>
      <tp>
        <v>5.9783339038983003</v>
        <stp/>
        <stp>EM_S_VAL_PBGOODWILLDEDUCTED</stp>
        <stp>2</stp>
        <stp>300678</stp>
        <stp>12/31/2018</stp>
        <tr r="N1418" s="1"/>
      </tp>
      <tp>
        <v>0.92556250013264996</v>
        <stp/>
        <stp>EM_S_VAL_PBGOODWILLDEDUCTED</stp>
        <stp>2</stp>
        <stp>600628</stp>
        <stp>12/31/2018</stp>
        <tr r="N603" s="1"/>
      </tp>
      <tp>
        <v>5.8560747408006701</v>
        <stp/>
        <stp>EM_S_VAL_PBGOODWILLDEDUCTED</stp>
        <stp>2</stp>
        <stp>300673</stp>
        <stp>12/31/2018</stp>
        <tr r="N3263" s="1"/>
      </tp>
      <tp>
        <v>0.95379607013879697</v>
        <stp/>
        <stp>EM_S_VAL_PBGOODWILLDEDUCTED</stp>
        <stp>2</stp>
        <stp>600623</stp>
        <stp>12/31/2018</stp>
        <tr r="N3024" s="1"/>
      </tp>
      <tp>
        <v>5.5918933255984697</v>
        <stp/>
        <stp>EM_S_VAL_PBGOODWILLDEDUCTED</stp>
        <stp>2</stp>
        <stp>300672</stp>
        <stp>12/31/2018</stp>
        <tr r="N1657" s="1"/>
      </tp>
      <tp>
        <v>1.3517193008942701</v>
        <stp/>
        <stp>EM_S_VAL_PBGOODWILLDEDUCTED</stp>
        <stp>2</stp>
        <stp>600622</stp>
        <stp>12/31/2018</stp>
        <tr r="N3247" s="1"/>
      </tp>
      <tp>
        <v>4.3820183430317803</v>
        <stp/>
        <stp>EM_S_VAL_PBGOODWILLDEDUCTED</stp>
        <stp>2</stp>
        <stp>300671</stp>
        <stp>12/31/2018</stp>
        <tr r="N929" s="1"/>
      </tp>
      <tp>
        <v>1.5168743214951499</v>
        <stp/>
        <stp>EM_S_VAL_PBGOODWILLDEDUCTED</stp>
        <stp>2</stp>
        <stp>600621</stp>
        <stp>12/31/2018</stp>
        <tr r="N302" s="1"/>
      </tp>
      <tp>
        <v>5.4241033712995304</v>
        <stp/>
        <stp>EM_S_VAL_PBGOODWILLDEDUCTED</stp>
        <stp>2</stp>
        <stp>300670</stp>
        <stp>12/31/2018</stp>
        <tr r="N3362" s="1"/>
      </tp>
      <tp>
        <v>1.62356766897699</v>
        <stp/>
        <stp>EM_S_VAL_PBGOODWILLDEDUCTED</stp>
        <stp>2</stp>
        <stp>600620</stp>
        <stp>12/31/2018</stp>
        <tr r="N1374" s="1"/>
      </tp>
      <tp>
        <v>2.2701265587149799</v>
        <stp/>
        <stp>EM_S_VAL_PBGOODWILLDEDUCTED</stp>
        <stp>2</stp>
        <stp>300677</stp>
        <stp>12/31/2018</stp>
        <tr r="N1528" s="1"/>
      </tp>
      <tp>
        <v>5.3237856800445602</v>
        <stp/>
        <stp>EM_S_VAL_PBGOODWILLDEDUCTED</stp>
        <stp>2</stp>
        <stp>600627</stp>
        <stp>12/31/2018</stp>
        <tr r="N2308" s="1"/>
      </tp>
      <tp>
        <v>5.8297409739155901</v>
        <stp/>
        <stp>EM_S_VAL_PBGOODWILLDEDUCTED</stp>
        <stp>2</stp>
        <stp>300676</stp>
        <stp>12/31/2018</stp>
        <tr r="N1637" s="1"/>
      </tp>
      <tp>
        <v>2.0067941574629802</v>
        <stp/>
        <stp>EM_S_VAL_PBGOODWILLDEDUCTED</stp>
        <stp>2</stp>
        <stp>600626</stp>
        <stp>12/31/2018</stp>
        <tr r="N1387" s="1"/>
      </tp>
      <tp>
        <v>8.4935402844037</v>
        <stp/>
        <stp>EM_S_VAL_PBGOODWILLDEDUCTED</stp>
        <stp>2</stp>
        <stp>300675</stp>
        <stp>12/31/2018</stp>
        <tr r="N3339" s="1"/>
      </tp>
      <tp>
        <v>-24.290414723340401</v>
        <stp/>
        <stp>EM_S_VAL_PBGOODWILLDEDUCTED</stp>
        <stp>2</stp>
        <stp>600625</stp>
        <stp>12/31/2018</stp>
        <tr r="N2307" s="1"/>
      </tp>
      <tp>
        <v>3.6102353247349099</v>
        <stp/>
        <stp>EM_S_VAL_PBGOODWILLDEDUCTED</stp>
        <stp>2</stp>
        <stp>600624</stp>
        <stp>12/31/2018</stp>
        <tr r="N437" s="1"/>
      </tp>
      <tp>
        <v>7.7248959155713903</v>
        <stp/>
        <stp>EM_S_VAL_PBGOODWILLDEDUCTED</stp>
        <stp>2</stp>
        <stp>000659</stp>
        <stp>12/31/2018</stp>
        <tr r="N3261" s="1"/>
      </tp>
      <tp>
        <v>3.31660169825214</v>
        <stp/>
        <stp>EM_S_VAL_PBGOODWILLDEDUCTED</stp>
        <stp>2</stp>
        <stp>300669</stp>
        <stp>12/31/2018</stp>
        <tr r="N488" s="1"/>
      </tp>
      <tp>
        <v>1.42999184032226</v>
        <stp/>
        <stp>EM_S_VAL_PBGOODWILLDEDUCTED</stp>
        <stp>2</stp>
        <stp>600639</stp>
        <stp>12/31/2018</stp>
        <tr r="N1287" s="1"/>
      </tp>
      <tp>
        <v>-2.77731395407538</v>
        <stp/>
        <stp>EM_S_VAL_PBGOODWILLDEDUCTED</stp>
        <stp>2</stp>
        <stp>000658</stp>
        <stp>12/31/2018</stp>
        <tr r="N3495" s="1"/>
      </tp>
      <tp>
        <v>4.6543371568577498</v>
        <stp/>
        <stp>EM_S_VAL_PBGOODWILLDEDUCTED</stp>
        <stp>2</stp>
        <stp>300668</stp>
        <stp>12/31/2018</stp>
        <tr r="N2582" s="1"/>
      </tp>
      <tp>
        <v>1.26275789970077</v>
        <stp/>
        <stp>EM_S_VAL_PBGOODWILLDEDUCTED</stp>
        <stp>2</stp>
        <stp>600638</stp>
        <stp>12/31/2018</stp>
        <tr r="N3026" s="1"/>
      </tp>
      <tp>
        <v>-0.448047021986271</v>
        <stp/>
        <stp>EM_S_VAL_PBGOODWILLDEDUCTED</stp>
        <stp>2</stp>
        <stp>000653</stp>
        <stp>12/31/2018</stp>
        <tr r="N3493" s="1"/>
      </tp>
      <tp>
        <v>4.1073844824110504</v>
        <stp/>
        <stp>EM_S_VAL_PBGOODWILLDEDUCTED</stp>
        <stp>2</stp>
        <stp>300663</stp>
        <stp>12/31/2018</stp>
        <tr r="N224" s="1"/>
      </tp>
      <tp>
        <v>2.7571492950984098</v>
        <stp/>
        <stp>EM_S_VAL_PBGOODWILLDEDUCTED</stp>
        <stp>2</stp>
        <stp>600633</stp>
        <stp>12/31/2018</stp>
        <tr r="N1476" s="1"/>
      </tp>
      <tp>
        <v>1.1069642968561999</v>
        <stp/>
        <stp>EM_S_VAL_PBGOODWILLDEDUCTED</stp>
        <stp>2</stp>
        <stp>000652</stp>
        <stp>12/31/2018</stp>
        <tr r="N1224" s="1"/>
      </tp>
      <tp>
        <v>8.1965418706102096</v>
        <stp/>
        <stp>EM_S_VAL_PBGOODWILLDEDUCTED</stp>
        <stp>2</stp>
        <stp>300662</stp>
        <stp>12/31/2018</stp>
        <tr r="N1399" s="1"/>
      </tp>
      <tp>
        <v>2.5337783442694199</v>
        <stp/>
        <stp>EM_S_VAL_PBGOODWILLDEDUCTED</stp>
        <stp>2</stp>
        <stp>600632</stp>
        <stp>12/31/2018</stp>
        <tr r="N2310" s="1"/>
      </tp>
      <tp>
        <v>2.3522404951595299</v>
        <stp/>
        <stp>EM_S_VAL_PBGOODWILLDEDUCTED</stp>
        <stp>2</stp>
        <stp>000651</stp>
        <stp>12/31/2018</stp>
        <tr r="N229" s="1"/>
      </tp>
      <tp>
        <v>6.27030539310568</v>
        <stp/>
        <stp>EM_S_VAL_PBGOODWILLDEDUCTED</stp>
        <stp>2</stp>
        <stp>300661</stp>
        <stp>12/31/2018</stp>
        <tr r="N19" s="1"/>
      </tp>
      <tp>
        <v>2.58693578740154</v>
        <stp/>
        <stp>EM_S_VAL_PBGOODWILLDEDUCTED</stp>
        <stp>2</stp>
        <stp>600631</stp>
        <stp>12/31/2018</stp>
        <tr r="N2309" s="1"/>
      </tp>
      <tp>
        <v>2.2517459467530601</v>
        <stp/>
        <stp>EM_S_VAL_PBGOODWILLDEDUCTED</stp>
        <stp>2</stp>
        <stp>000650</stp>
        <stp>12/31/2018</stp>
        <tr r="N1616" s="1"/>
      </tp>
      <tp>
        <v>1.69061907906076</v>
        <stp/>
        <stp>EM_S_VAL_PBGOODWILLDEDUCTED</stp>
        <stp>2</stp>
        <stp>300660</stp>
        <stp>12/31/2018</stp>
        <tr r="N2965" s="1"/>
      </tp>
      <tp>
        <v>1.62271506732071</v>
        <stp/>
        <stp>EM_S_VAL_PBGOODWILLDEDUCTED</stp>
        <stp>2</stp>
        <stp>600630</stp>
        <stp>12/31/2018</stp>
        <tr r="N2003" s="1"/>
      </tp>
      <tp>
        <v>1.47157401284898</v>
        <stp/>
        <stp>EM_S_VAL_PBGOODWILLDEDUCTED</stp>
        <stp>2</stp>
        <stp>000657</stp>
        <stp>12/31/2018</stp>
        <tr r="N974" s="1"/>
      </tp>
      <tp>
        <v>6.77244542833688</v>
        <stp/>
        <stp>EM_S_VAL_PBGOODWILLDEDUCTED</stp>
        <stp>2</stp>
        <stp>300667</stp>
        <stp>12/31/2018</stp>
        <tr r="N1538" s="1"/>
      </tp>
      <tp>
        <v>1.24463173761223</v>
        <stp/>
        <stp>EM_S_VAL_PBGOODWILLDEDUCTED</stp>
        <stp>2</stp>
        <stp>600637</stp>
        <stp>12/31/2018</stp>
        <tr r="N2727" s="1"/>
      </tp>
      <tp>
        <v>1.57448376936303</v>
        <stp/>
        <stp>EM_S_VAL_PBGOODWILLDEDUCTED</stp>
        <stp>2</stp>
        <stp>000656</stp>
        <stp>12/31/2018</stp>
        <tr r="N1182" s="1"/>
      </tp>
      <tp>
        <v>14.7348013959064</v>
        <stp/>
        <stp>EM_S_VAL_PBGOODWILLDEDUCTED</stp>
        <stp>2</stp>
        <stp>300666</stp>
        <stp>12/31/2018</stp>
        <tr r="N2037" s="1"/>
      </tp>
      <tp>
        <v>2.98474834100048</v>
        <stp/>
        <stp>EM_S_VAL_PBGOODWILLDEDUCTED</stp>
        <stp>2</stp>
        <stp>600636</stp>
        <stp>12/31/2018</stp>
        <tr r="N2618" s="1"/>
      </tp>
      <tp>
        <v>0.83746212862941904</v>
        <stp/>
        <stp>EM_S_VAL_PBGOODWILLDEDUCTED</stp>
        <stp>2</stp>
        <stp>000655</stp>
        <stp>12/31/2018</stp>
        <tr r="N3494" s="1"/>
      </tp>
      <tp>
        <v>2.7272390510500699</v>
        <stp/>
        <stp>EM_S_VAL_PBGOODWILLDEDUCTED</stp>
        <stp>2</stp>
        <stp>300665</stp>
        <stp>12/31/2018</stp>
        <tr r="N1720" s="1"/>
      </tp>
      <tp>
        <v>1.85973696153688</v>
        <stp/>
        <stp>EM_S_VAL_PBGOODWILLDEDUCTED</stp>
        <stp>2</stp>
        <stp>600635</stp>
        <stp>12/31/2018</stp>
        <tr r="N2147" s="1"/>
      </tp>
      <tp>
        <v>1.90439278080568</v>
        <stp/>
        <stp>EM_S_VAL_PBGOODWILLDEDUCTED</stp>
        <stp>2</stp>
        <stp>300664</stp>
        <stp>12/31/2018</stp>
        <tr r="N1901" s="1"/>
      </tp>
      <tp>
        <v>-0.23999638266076201</v>
        <stp/>
        <stp>EM_S_VAL_PBGOODWILLDEDUCTED</stp>
        <stp>2</stp>
        <stp>600634</stp>
        <stp>12/31/2018</stp>
        <tr r="N3293" s="1"/>
      </tp>
      <tp>
        <v>3.4824300733756801</v>
        <stp/>
        <stp>EM_S_VAL_PBGOODWILLDEDUCTED</stp>
        <stp>2</stp>
        <stp>000629</stp>
        <stp>12/31/2018</stp>
        <tr r="N2438" s="1"/>
      </tp>
      <tp>
        <v>4.4914809565872096</v>
        <stp/>
        <stp>EM_S_VAL_PBGOODWILLDEDUCTED</stp>
        <stp>2</stp>
        <stp>300619</stp>
        <stp>12/31/2018</stp>
        <tr r="N2952" s="1"/>
      </tp>
      <tp>
        <v>0.73489153192372902</v>
        <stp/>
        <stp>EM_S_VAL_PBGOODWILLDEDUCTED</stp>
        <stp>2</stp>
        <stp>600649</stp>
        <stp>12/31/2018</stp>
        <tr r="N2008" s="1"/>
      </tp>
      <tp>
        <v>3.78270912917597</v>
        <stp/>
        <stp>EM_S_VAL_PBGOODWILLDEDUCTED</stp>
        <stp>2</stp>
        <stp>000628</stp>
        <stp>12/31/2018</stp>
        <tr r="N2503" s="1"/>
      </tp>
      <tp>
        <v>8.0091778186799605</v>
        <stp/>
        <stp>EM_S_VAL_PBGOODWILLDEDUCTED</stp>
        <stp>2</stp>
        <stp>300618</stp>
        <stp>12/31/2018</stp>
        <tr r="N1876" s="1"/>
      </tp>
      <tp>
        <v>1.5312318420780799</v>
        <stp/>
        <stp>EM_S_VAL_PBGOODWILLDEDUCTED</stp>
        <stp>2</stp>
        <stp>600648</stp>
        <stp>12/31/2018</stp>
        <tr r="N1052" s="1"/>
      </tp>
      <tp>
        <v>0.82174138040108102</v>
        <stp/>
        <stp>EM_S_VAL_PBGOODWILLDEDUCTED</stp>
        <stp>2</stp>
        <stp>000623</stp>
        <stp>12/31/2018</stp>
        <tr r="N1489" s="1"/>
      </tp>
      <tp>
        <v>3.9824238370200402</v>
        <stp/>
        <stp>EM_S_VAL_PBGOODWILLDEDUCTED</stp>
        <stp>2</stp>
        <stp>300613</stp>
        <stp>12/31/2018</stp>
        <tr r="N258" s="1"/>
      </tp>
      <tp>
        <v>1.43659375219701</v>
        <stp/>
        <stp>EM_S_VAL_PBGOODWILLDEDUCTED</stp>
        <stp>2</stp>
        <stp>600643</stp>
        <stp>12/31/2018</stp>
        <tr r="N1527" s="1"/>
      </tp>
      <tp>
        <v>16.745410502299801</v>
        <stp/>
        <stp>EM_S_VAL_PBGOODWILLDEDUCTED</stp>
        <stp>2</stp>
        <stp>000622</stp>
        <stp>12/31/2018</stp>
        <tr r="N3279" s="1"/>
      </tp>
      <tp>
        <v>5.9163421564433101</v>
        <stp/>
        <stp>EM_S_VAL_PBGOODWILLDEDUCTED</stp>
        <stp>2</stp>
        <stp>300612</stp>
        <stp>12/31/2018</stp>
        <tr r="N1593" s="1"/>
      </tp>
      <tp>
        <v>0.85592435430041403</v>
        <stp/>
        <stp>EM_S_VAL_PBGOODWILLDEDUCTED</stp>
        <stp>2</stp>
        <stp>600642</stp>
        <stp>12/31/2018</stp>
        <tr r="N1343" s="1"/>
      </tp>
      <tp>
        <v>0</v>
        <stp/>
        <stp>EM_S_VAL_PBGOODWILLDEDUCTED</stp>
        <stp>2</stp>
        <stp>000621</stp>
        <stp>12/31/2018</stp>
        <tr r="N3486" s="1"/>
      </tp>
      <tp>
        <v>2.5435634658974302</v>
        <stp/>
        <stp>EM_S_VAL_PBGOODWILLDEDUCTED</stp>
        <stp>2</stp>
        <stp>300611</stp>
        <stp>12/31/2018</stp>
        <tr r="N1560" s="1"/>
      </tp>
      <tp>
        <v>1.23956593436929</v>
        <stp/>
        <stp>EM_S_VAL_PBGOODWILLDEDUCTED</stp>
        <stp>2</stp>
        <stp>600641</stp>
        <stp>12/31/2018</stp>
        <tr r="N147" s="1"/>
      </tp>
      <tp>
        <v>1.01726792211731</v>
        <stp/>
        <stp>EM_S_VAL_PBGOODWILLDEDUCTED</stp>
        <stp>2</stp>
        <stp>000620</stp>
        <stp>12/31/2018</stp>
        <tr r="N2102" s="1"/>
      </tp>
      <tp>
        <v>2.5474729264135898</v>
        <stp/>
        <stp>EM_S_VAL_PBGOODWILLDEDUCTED</stp>
        <stp>2</stp>
        <stp>300610</stp>
        <stp>12/31/2018</stp>
        <tr r="N2478" s="1"/>
      </tp>
      <tp>
        <v>1.74360536268651</v>
        <stp/>
        <stp>EM_S_VAL_PBGOODWILLDEDUCTED</stp>
        <stp>2</stp>
        <stp>600640</stp>
        <stp>12/31/2018</stp>
        <tr r="N66" s="1"/>
      </tp>
      <tp>
        <v>2.16441100045046</v>
        <stp/>
        <stp>EM_S_VAL_PBGOODWILLDEDUCTED</stp>
        <stp>2</stp>
        <stp>000627</stp>
        <stp>12/31/2018</stp>
        <tr r="N3489" s="1"/>
      </tp>
      <tp>
        <v>2.55181503233803</v>
        <stp/>
        <stp>EM_S_VAL_PBGOODWILLDEDUCTED</stp>
        <stp>2</stp>
        <stp>300617</stp>
        <stp>12/31/2018</stp>
        <tr r="N1581" s="1"/>
      </tp>
      <tp>
        <v>6.1469662881603897</v>
        <stp/>
        <stp>EM_S_VAL_PBGOODWILLDEDUCTED</stp>
        <stp>2</stp>
        <stp>600647</stp>
        <stp>12/31/2018</stp>
        <tr r="N1435" s="1"/>
      </tp>
      <tp>
        <v>1.3701947819628999</v>
        <stp/>
        <stp>EM_S_VAL_PBGOODWILLDEDUCTED</stp>
        <stp>2</stp>
        <stp>000626</stp>
        <stp>12/31/2018</stp>
        <tr r="N3488" s="1"/>
      </tp>
      <tp>
        <v>3.9627336734190699</v>
        <stp/>
        <stp>EM_S_VAL_PBGOODWILLDEDUCTED</stp>
        <stp>2</stp>
        <stp>300616</stp>
        <stp>12/31/2018</stp>
        <tr r="N1091" s="1"/>
      </tp>
      <tp>
        <v>2830689.4459931301</v>
        <stp/>
        <stp>EM_S_VAL_PBGOODWILLDEDUCTED</stp>
        <stp>2</stp>
        <stp>600646</stp>
        <stp>12/31/2018</stp>
        <tr r="N2311" s="1"/>
      </tp>
      <tp>
        <v>0.68453223912903904</v>
        <stp/>
        <stp>EM_S_VAL_PBGOODWILLDEDUCTED</stp>
        <stp>2</stp>
        <stp>000625</stp>
        <stp>12/31/2018</stp>
        <tr r="N3487" s="1"/>
      </tp>
      <tp>
        <v>5.4681051566301102</v>
        <stp/>
        <stp>EM_S_VAL_PBGOODWILLDEDUCTED</stp>
        <stp>2</stp>
        <stp>300615</stp>
        <stp>12/31/2018</stp>
        <tr r="N1398" s="1"/>
      </tp>
      <tp>
        <v>4.0744710508906401</v>
        <stp/>
        <stp>EM_S_VAL_PBGOODWILLDEDUCTED</stp>
        <stp>2</stp>
        <stp>600645</stp>
        <stp>12/31/2018</stp>
        <tr r="N2094" s="1"/>
      </tp>
      <tp>
        <v>1.7908039885604901</v>
        <stp/>
        <stp>EM_S_VAL_PBGOODWILLDEDUCTED</stp>
        <stp>2</stp>
        <stp>600644</stp>
        <stp>12/31/2018</stp>
        <tr r="N1143" s="1"/>
      </tp>
      <tp>
        <v>2.0218521422819702</v>
        <stp/>
        <stp>EM_S_VAL_PBGOODWILLDEDUCTED</stp>
        <stp>2</stp>
        <stp>000639</stp>
        <stp>12/31/2018</stp>
        <tr r="N3211" s="1"/>
      </tp>
      <tp>
        <v>5.2446719244629696</v>
        <stp/>
        <stp>EM_S_VAL_PBGOODWILLDEDUCTED</stp>
        <stp>2</stp>
        <stp>300609</stp>
        <stp>12/31/2018</stp>
        <tr r="N784" s="1"/>
      </tp>
      <tp>
        <v>3.0564014428742499</v>
        <stp/>
        <stp>EM_S_VAL_PBGOODWILLDEDUCTED</stp>
        <stp>2</stp>
        <stp>600659</stp>
        <stp>12/31/2018</stp>
        <tr r="N2324" s="1"/>
      </tp>
      <tp>
        <v>36.658203257155201</v>
        <stp/>
        <stp>EM_S_VAL_PBGOODWILLDEDUCTED</stp>
        <stp>2</stp>
        <stp>000638</stp>
        <stp>12/31/2018</stp>
        <tr r="N3492" s="1"/>
      </tp>
      <tp>
        <v>2.6213173732967099</v>
        <stp/>
        <stp>EM_S_VAL_PBGOODWILLDEDUCTED</stp>
        <stp>2</stp>
        <stp>300608</stp>
        <stp>12/31/2018</stp>
        <tr r="N2460" s="1"/>
      </tp>
      <tp>
        <v>1.03726007792616</v>
        <stp/>
        <stp>EM_S_VAL_PBGOODWILLDEDUCTED</stp>
        <stp>2</stp>
        <stp>600658</stp>
        <stp>12/31/2018</stp>
        <tr r="N2829" s="1"/>
      </tp>
      <tp>
        <v>10.8246324229927</v>
        <stp/>
        <stp>EM_S_VAL_PBGOODWILLDEDUCTED</stp>
        <stp>2</stp>
        <stp>000633</stp>
        <stp>12/31/2018</stp>
        <tr r="N2730" s="1"/>
      </tp>
      <tp>
        <v>5.3388948252500397</v>
        <stp/>
        <stp>EM_S_VAL_PBGOODWILLDEDUCTED</stp>
        <stp>2</stp>
        <stp>300603</stp>
        <stp>12/31/2018</stp>
        <tr r="N3173" s="1"/>
      </tp>
      <tp>
        <v>1.78268273143883</v>
        <stp/>
        <stp>EM_S_VAL_PBGOODWILLDEDUCTED</stp>
        <stp>2</stp>
        <stp>600653</stp>
        <stp>12/31/2018</stp>
        <tr r="N1829" s="1"/>
      </tp>
      <tp>
        <v>1.3785929327017501</v>
        <stp/>
        <stp>EM_S_VAL_PBGOODWILLDEDUCTED</stp>
        <stp>2</stp>
        <stp>000632</stp>
        <stp>12/31/2018</stp>
        <tr r="N438" s="1"/>
      </tp>
      <tp>
        <v>5.95120035342158</v>
        <stp/>
        <stp>EM_S_VAL_PBGOODWILLDEDUCTED</stp>
        <stp>2</stp>
        <stp>300602</stp>
        <stp>12/31/2018</stp>
        <tr r="N1016" s="1"/>
      </tp>
      <tp>
        <v>4.5679141523392897</v>
        <stp/>
        <stp>EM_S_VAL_PBGOODWILLDEDUCTED</stp>
        <stp>2</stp>
        <stp>600652</stp>
        <stp>12/31/2018</stp>
        <tr r="N3367" s="1"/>
      </tp>
      <tp>
        <v>1.13221031642567</v>
        <stp/>
        <stp>EM_S_VAL_PBGOODWILLDEDUCTED</stp>
        <stp>2</stp>
        <stp>000631</stp>
        <stp>12/31/2018</stp>
        <tr r="N3490" s="1"/>
      </tp>
      <tp>
        <v>12.863253948853499</v>
        <stp/>
        <stp>EM_S_VAL_PBGOODWILLDEDUCTED</stp>
        <stp>2</stp>
        <stp>300601</stp>
        <stp>12/31/2018</stp>
        <tr r="N93" s="1"/>
      </tp>
      <tp>
        <v>67.585406587006901</v>
        <stp/>
        <stp>EM_S_VAL_PBGOODWILLDEDUCTED</stp>
        <stp>2</stp>
        <stp>600651</stp>
        <stp>12/31/2018</stp>
        <tr r="N810" s="1"/>
      </tp>
      <tp>
        <v>1.1570031195652599</v>
        <stp/>
        <stp>EM_S_VAL_PBGOODWILLDEDUCTED</stp>
        <stp>2</stp>
        <stp>000630</stp>
        <stp>12/31/2018</stp>
        <tr r="N1285" s="1"/>
      </tp>
      <tp>
        <v>2.4732656704799099</v>
        <stp/>
        <stp>EM_S_VAL_PBGOODWILLDEDUCTED</stp>
        <stp>2</stp>
        <stp>300600</stp>
        <stp>12/31/2018</stp>
        <tr r="N3297" s="1"/>
      </tp>
      <tp>
        <v>1.60744315423869</v>
        <stp/>
        <stp>EM_S_VAL_PBGOODWILLDEDUCTED</stp>
        <stp>2</stp>
        <stp>600650</stp>
        <stp>12/31/2018</stp>
        <tr r="N1878" s="1"/>
      </tp>
      <tp>
        <v>2.2706689566810399</v>
        <stp/>
        <stp>EM_S_VAL_PBGOODWILLDEDUCTED</stp>
        <stp>2</stp>
        <stp>000637</stp>
        <stp>12/31/2018</stp>
        <tr r="N3491" s="1"/>
      </tp>
      <tp>
        <v>5.0339106759466796</v>
        <stp/>
        <stp>EM_S_VAL_PBGOODWILLDEDUCTED</stp>
        <stp>2</stp>
        <stp>300607</stp>
        <stp>12/31/2018</stp>
        <tr r="N484" s="1"/>
      </tp>
      <tp>
        <v>0.56572083282429098</v>
        <stp/>
        <stp>EM_S_VAL_PBGOODWILLDEDUCTED</stp>
        <stp>2</stp>
        <stp>600657</stp>
        <stp>12/31/2018</stp>
        <tr r="N2195" s="1"/>
      </tp>
      <tp>
        <v>1.8264117276263201</v>
        <stp/>
        <stp>EM_S_VAL_PBGOODWILLDEDUCTED</stp>
        <stp>2</stp>
        <stp>000636</stp>
        <stp>12/31/2018</stp>
        <tr r="N714" s="1"/>
      </tp>
      <tp>
        <v>3.15918376305348</v>
        <stp/>
        <stp>EM_S_VAL_PBGOODWILLDEDUCTED</stp>
        <stp>2</stp>
        <stp>300606</stp>
        <stp>12/31/2018</stp>
        <tr r="N1432" s="1"/>
      </tp>
      <tp>
        <v>-1.31446063022127</v>
        <stp/>
        <stp>EM_S_VAL_PBGOODWILLDEDUCTED</stp>
        <stp>2</stp>
        <stp>600656</stp>
        <stp>12/31/2018</stp>
        <tr r="N2312" s="1"/>
      </tp>
      <tp>
        <v>0.97404466965858505</v>
        <stp/>
        <stp>EM_S_VAL_PBGOODWILLDEDUCTED</stp>
        <stp>2</stp>
        <stp>000635</stp>
        <stp>12/31/2018</stp>
        <tr r="N2661" s="1"/>
      </tp>
      <tp>
        <v>3.3475941285199902</v>
        <stp/>
        <stp>EM_S_VAL_PBGOODWILLDEDUCTED</stp>
        <stp>2</stp>
        <stp>300605</stp>
        <stp>12/31/2018</stp>
        <tr r="N2903" s="1"/>
      </tp>
      <tp>
        <v>1.0269263035442799</v>
        <stp/>
        <stp>EM_S_VAL_PBGOODWILLDEDUCTED</stp>
        <stp>2</stp>
        <stp>600655</stp>
        <stp>12/31/2018</stp>
        <tr r="N2010" s="1"/>
      </tp>
      <tp>
        <v>9.6963325163212595</v>
        <stp/>
        <stp>EM_S_VAL_PBGOODWILLDEDUCTED</stp>
        <stp>2</stp>
        <stp>300604</stp>
        <stp>12/31/2018</stp>
        <tr r="N3085" s="1"/>
      </tp>
      <tp>
        <v>-3.4103317272076401</v>
        <stp/>
        <stp>EM_S_VAL_PBGOODWILLDEDUCTED</stp>
        <stp>2</stp>
        <stp>600654</stp>
        <stp>12/31/2018</stp>
        <tr r="N2568" s="1"/>
      </tp>
      <tp>
        <v>1.03862315970435</v>
        <stp/>
        <stp>EM_S_VAL_PBGOODWILLDEDUCTED</stp>
        <stp>2</stp>
        <stp>000609</stp>
        <stp>12/31/2018</stp>
        <tr r="N3482" s="1"/>
      </tp>
      <tp>
        <v>2.7636577347554199</v>
        <stp/>
        <stp>EM_S_VAL_PBGOODWILLDEDUCTED</stp>
        <stp>2</stp>
        <stp>300639</stp>
        <stp>12/31/2018</stp>
        <tr r="N429" s="1"/>
      </tp>
      <tp>
        <v>-672.789609909202</v>
        <stp/>
        <stp>EM_S_VAL_PBGOODWILLDEDUCTED</stp>
        <stp>2</stp>
        <stp>600669</stp>
        <stp>12/31/2018</stp>
        <tr r="N2313" s="1"/>
      </tp>
      <tp>
        <v>1.23547567078954</v>
        <stp/>
        <stp>EM_S_VAL_PBGOODWILLDEDUCTED</stp>
        <stp>2</stp>
        <stp>000608</stp>
        <stp>12/31/2018</stp>
        <tr r="N3481" s="1"/>
      </tp>
      <tp>
        <v>7.7106060400284901</v>
        <stp/>
        <stp>EM_S_VAL_PBGOODWILLDEDUCTED</stp>
        <stp>2</stp>
        <stp>300638</stp>
        <stp>12/31/2018</stp>
        <tr r="N110" s="1"/>
      </tp>
      <tp>
        <v>1.3175419730150799</v>
        <stp/>
        <stp>EM_S_VAL_PBGOODWILLDEDUCTED</stp>
        <stp>2</stp>
        <stp>600668</stp>
        <stp>12/31/2018</stp>
        <tr r="N921" s="1"/>
      </tp>
      <tp>
        <v>3.7974614354074099</v>
        <stp/>
        <stp>EM_S_VAL_PBGOODWILLDEDUCTED</stp>
        <stp>2</stp>
        <stp>000603</stp>
        <stp>12/31/2018</stp>
        <tr r="N625" s="1"/>
      </tp>
      <tp>
        <v>12.391477718982401</v>
        <stp/>
        <stp>EM_S_VAL_PBGOODWILLDEDUCTED</stp>
        <stp>2</stp>
        <stp>300633</stp>
        <stp>12/31/2018</stp>
        <tr r="N2972" s="1"/>
      </tp>
      <tp>
        <v>2.8685075841930701</v>
        <stp/>
        <stp>EM_S_VAL_PBGOODWILLDEDUCTED</stp>
        <stp>2</stp>
        <stp>600663</stp>
        <stp>12/31/2018</stp>
        <tr r="N2066" s="1"/>
      </tp>
      <tp>
        <v>3.7273505548791799</v>
        <stp/>
        <stp>EM_S_VAL_PBGOODWILLDEDUCTED</stp>
        <stp>2</stp>
        <stp>000602</stp>
        <stp>12/31/2018</stp>
        <tr r="N3478" s="1"/>
      </tp>
      <tp>
        <v>3.6494617409952501</v>
        <stp/>
        <stp>EM_S_VAL_PBGOODWILLDEDUCTED</stp>
        <stp>2</stp>
        <stp>300632</stp>
        <stp>12/31/2018</stp>
        <tr r="N320" s="1"/>
      </tp>
      <tp>
        <v>1.3414128388886799</v>
        <stp/>
        <stp>EM_S_VAL_PBGOODWILLDEDUCTED</stp>
        <stp>2</stp>
        <stp>600662</stp>
        <stp>12/31/2018</stp>
        <tr r="N1782" s="1"/>
      </tp>
      <tp>
        <v>0.89115071086303999</v>
        <stp/>
        <stp>EM_S_VAL_PBGOODWILLDEDUCTED</stp>
        <stp>2</stp>
        <stp>000601</stp>
        <stp>12/31/2018</stp>
        <tr r="N3477" s="1"/>
      </tp>
      <tp>
        <v>2.58106730471121</v>
        <stp/>
        <stp>EM_S_VAL_PBGOODWILLDEDUCTED</stp>
        <stp>2</stp>
        <stp>300631</stp>
        <stp>12/31/2018</stp>
        <tr r="N1619" s="1"/>
      </tp>
      <tp>
        <v>4.4112991060928</v>
        <stp/>
        <stp>EM_S_VAL_PBGOODWILLDEDUCTED</stp>
        <stp>2</stp>
        <stp>600661</stp>
        <stp>12/31/2018</stp>
        <tr r="N2866" s="1"/>
      </tp>
      <tp>
        <v>0.821064684736868</v>
        <stp/>
        <stp>EM_S_VAL_PBGOODWILLDEDUCTED</stp>
        <stp>2</stp>
        <stp>000600</stp>
        <stp>12/31/2018</stp>
        <tr r="N2456" s="1"/>
      </tp>
      <tp>
        <v>9.1374456539185491</v>
        <stp/>
        <stp>EM_S_VAL_PBGOODWILLDEDUCTED</stp>
        <stp>2</stp>
        <stp>300630</stp>
        <stp>12/31/2018</stp>
        <tr r="N1074" s="1"/>
      </tp>
      <tp>
        <v>2.8520107689514802</v>
        <stp/>
        <stp>EM_S_VAL_PBGOODWILLDEDUCTED</stp>
        <stp>2</stp>
        <stp>600660</stp>
        <stp>12/31/2018</stp>
        <tr r="N2159" s="1"/>
      </tp>
      <tp>
        <v>3.13443126595415</v>
        <stp/>
        <stp>EM_S_VAL_PBGOODWILLDEDUCTED</stp>
        <stp>2</stp>
        <stp>000607</stp>
        <stp>12/31/2018</stp>
        <tr r="N3480" s="1"/>
      </tp>
      <tp>
        <v>4.3383133004990304</v>
        <stp/>
        <stp>EM_S_VAL_PBGOODWILLDEDUCTED</stp>
        <stp>2</stp>
        <stp>300637</stp>
        <stp>12/31/2018</stp>
        <tr r="N3365" s="1"/>
      </tp>
      <tp>
        <v>1.8353660714562801</v>
        <stp/>
        <stp>EM_S_VAL_PBGOODWILLDEDUCTED</stp>
        <stp>2</stp>
        <stp>600667</stp>
        <stp>12/31/2018</stp>
        <tr r="N398" s="1"/>
      </tp>
      <tp>
        <v>-69.496031299776007</v>
        <stp/>
        <stp>EM_S_VAL_PBGOODWILLDEDUCTED</stp>
        <stp>2</stp>
        <stp>000606</stp>
        <stp>12/31/2018</stp>
        <tr r="N2652" s="1"/>
      </tp>
      <tp>
        <v>2.2050458086902398</v>
        <stp/>
        <stp>EM_S_VAL_PBGOODWILLDEDUCTED</stp>
        <stp>2</stp>
        <stp>300636</stp>
        <stp>12/31/2018</stp>
        <tr r="N456" s="1"/>
      </tp>
      <tp>
        <v>20.226682898748301</v>
        <stp/>
        <stp>EM_S_VAL_PBGOODWILLDEDUCTED</stp>
        <stp>2</stp>
        <stp>600666</stp>
        <stp>12/31/2018</stp>
        <tr r="N3218" s="1"/>
      </tp>
      <tp>
        <v>2.14943796267075</v>
        <stp/>
        <stp>EM_S_VAL_PBGOODWILLDEDUCTED</stp>
        <stp>2</stp>
        <stp>000605</stp>
        <stp>12/31/2018</stp>
        <tr r="N3479" s="1"/>
      </tp>
      <tp>
        <v>5.0388178385438804</v>
        <stp/>
        <stp>EM_S_VAL_PBGOODWILLDEDUCTED</stp>
        <stp>2</stp>
        <stp>300635</stp>
        <stp>12/31/2018</stp>
        <tr r="N3011" s="1"/>
      </tp>
      <tp>
        <v>0.87710207427190601</v>
        <stp/>
        <stp>EM_S_VAL_PBGOODWILLDEDUCTED</stp>
        <stp>2</stp>
        <stp>600665</stp>
        <stp>12/31/2018</stp>
        <tr r="N2096" s="1"/>
      </tp>
      <tp>
        <v>7.9893141055426904</v>
        <stp/>
        <stp>EM_S_VAL_PBGOODWILLDEDUCTED</stp>
        <stp>2</stp>
        <stp>300634</stp>
        <stp>12/31/2018</stp>
        <tr r="N3171" s="1"/>
      </tp>
      <tp>
        <v>1.7138669726620199</v>
        <stp/>
        <stp>EM_S_VAL_PBGOODWILLDEDUCTED</stp>
        <stp>2</stp>
        <stp>600664</stp>
        <stp>12/31/2018</stp>
        <tr r="N2644" s="1"/>
      </tp>
      <tp>
        <v>0.762235921883197</v>
        <stp/>
        <stp>EM_S_VAL_PBGOODWILLDEDUCTED</stp>
        <stp>2</stp>
        <stp>000619</stp>
        <stp>12/31/2018</stp>
        <tr r="N1623" s="1"/>
      </tp>
      <tp>
        <v>4.3830907501122898</v>
        <stp/>
        <stp>EM_S_VAL_PBGOODWILLDEDUCTED</stp>
        <stp>2</stp>
        <stp>300629</stp>
        <stp>12/31/2018</stp>
        <tr r="N1628" s="1"/>
      </tp>
      <tp>
        <v>4.2626731710477603</v>
        <stp/>
        <stp>EM_S_VAL_PBGOODWILLDEDUCTED</stp>
        <stp>2</stp>
        <stp>600679</stp>
        <stp>12/31/2018</stp>
        <tr r="N1214" s="1"/>
      </tp>
      <tp>
        <v>3.27422287353399</v>
        <stp/>
        <stp>EM_S_VAL_PBGOODWILLDEDUCTED</stp>
        <stp>2</stp>
        <stp>000618</stp>
        <stp>12/31/2018</stp>
        <tr r="N3485" s="1"/>
      </tp>
      <tp>
        <v>6.6476014226436098</v>
        <stp/>
        <stp>EM_S_VAL_PBGOODWILLDEDUCTED</stp>
        <stp>2</stp>
        <stp>300628</stp>
        <stp>12/31/2018</stp>
        <tr r="N2626" s="1"/>
      </tp>
      <tp>
        <v>28.520137875146901</v>
        <stp/>
        <stp>EM_S_VAL_PBGOODWILLDEDUCTED</stp>
        <stp>2</stp>
        <stp>600678</stp>
        <stp>12/31/2018</stp>
        <tr r="N1034" s="1"/>
      </tp>
      <tp>
        <v>34.964295967377502</v>
        <stp/>
        <stp>EM_S_VAL_PBGOODWILLDEDUCTED</stp>
        <stp>2</stp>
        <stp>000613</stp>
        <stp>12/31/2018</stp>
        <tr r="N3064" s="1"/>
      </tp>
      <tp>
        <v>3.1255507754613401</v>
        <stp/>
        <stp>EM_S_VAL_PBGOODWILLDEDUCTED</stp>
        <stp>2</stp>
        <stp>300623</stp>
        <stp>12/31/2018</stp>
        <tr r="N1635" s="1"/>
      </tp>
      <tp>
        <v>3.2637546061260898</v>
        <stp/>
        <stp>EM_S_VAL_PBGOODWILLDEDUCTED</stp>
        <stp>2</stp>
        <stp>600673</stp>
        <stp>12/31/2018</stp>
        <tr r="N859" s="1"/>
      </tp>
      <tp>
        <v>1.1258517784981199</v>
        <stp/>
        <stp>EM_S_VAL_PBGOODWILLDEDUCTED</stp>
        <stp>2</stp>
        <stp>000612</stp>
        <stp>12/31/2018</stp>
        <tr r="N3484" s="1"/>
      </tp>
      <tp>
        <v>2.8660378061557501</v>
        <stp/>
        <stp>EM_S_VAL_PBGOODWILLDEDUCTED</stp>
        <stp>2</stp>
        <stp>300622</stp>
        <stp>12/31/2018</stp>
        <tr r="N1369" s="1"/>
      </tp>
      <tp>
        <v>3.30505777420082</v>
        <stp/>
        <stp>EM_S_VAL_PBGOODWILLDEDUCTED</stp>
        <stp>2</stp>
        <stp>600672</stp>
        <stp>12/31/2018</stp>
        <tr r="N2315" s="1"/>
      </tp>
      <tp>
        <v>4.9282800855125997</v>
        <stp/>
        <stp>EM_S_VAL_PBGOODWILLDEDUCTED</stp>
        <stp>2</stp>
        <stp>000611</stp>
        <stp>12/31/2018</stp>
        <tr r="N3483" s="1"/>
      </tp>
      <tp>
        <v>2.47278437114658</v>
        <stp/>
        <stp>EM_S_VAL_PBGOODWILLDEDUCTED</stp>
        <stp>2</stp>
        <stp>300621</stp>
        <stp>12/31/2018</stp>
        <tr r="N1811" s="1"/>
      </tp>
      <tp>
        <v>52.368765941351199</v>
        <stp/>
        <stp>EM_S_VAL_PBGOODWILLDEDUCTED</stp>
        <stp>2</stp>
        <stp>600671</stp>
        <stp>12/31/2018</stp>
        <tr r="N3131" s="1"/>
      </tp>
      <tp>
        <v>2.0379381845891702</v>
        <stp/>
        <stp>EM_S_VAL_PBGOODWILLDEDUCTED</stp>
        <stp>2</stp>
        <stp>000610</stp>
        <stp>12/31/2018</stp>
        <tr r="N1211" s="1"/>
      </tp>
      <tp>
        <v>8.9798394865646696</v>
        <stp/>
        <stp>EM_S_VAL_PBGOODWILLDEDUCTED</stp>
        <stp>2</stp>
        <stp>300620</stp>
        <stp>12/31/2018</stp>
        <tr r="N2759" s="1"/>
      </tp>
      <tp>
        <v>10.720011609747001</v>
        <stp/>
        <stp>EM_S_VAL_PBGOODWILLDEDUCTED</stp>
        <stp>2</stp>
        <stp>600670</stp>
        <stp>12/31/2018</stp>
        <tr r="N2314" s="1"/>
      </tp>
      <tp>
        <v>1.25494039988349</v>
        <stp/>
        <stp>EM_S_VAL_PBGOODWILLDEDUCTED</stp>
        <stp>2</stp>
        <stp>000617</stp>
        <stp>12/31/2018</stp>
        <tr r="N1592" s="1"/>
      </tp>
      <tp>
        <v>4.9264738347299204</v>
        <stp/>
        <stp>EM_S_VAL_PBGOODWILLDEDUCTED</stp>
        <stp>2</stp>
        <stp>300627</stp>
        <stp>12/31/2018</stp>
        <tr r="N908" s="1"/>
      </tp>
      <tp>
        <v>1.86629176224105</v>
        <stp/>
        <stp>EM_S_VAL_PBGOODWILLDEDUCTED</stp>
        <stp>2</stp>
        <stp>600677</stp>
        <stp>12/31/2018</stp>
        <tr r="N2619" s="1"/>
      </tp>
      <tp>
        <v>0.79192959397927498</v>
        <stp/>
        <stp>EM_S_VAL_PBGOODWILLDEDUCTED</stp>
        <stp>2</stp>
        <stp>000616</stp>
        <stp>12/31/2018</stp>
        <tr r="N2228" s="1"/>
      </tp>
      <tp>
        <v>3.0655920097602198</v>
        <stp/>
        <stp>EM_S_VAL_PBGOODWILLDEDUCTED</stp>
        <stp>2</stp>
        <stp>300626</stp>
        <stp>12/31/2018</stp>
        <tr r="N2555" s="1"/>
      </tp>
      <tp>
        <v>0.76288550742065797</v>
        <stp/>
        <stp>EM_S_VAL_PBGOODWILLDEDUCTED</stp>
        <stp>2</stp>
        <stp>600676</stp>
        <stp>12/31/2018</stp>
        <tr r="N2345" s="1"/>
      </tp>
      <tp>
        <v>2.1724385199140799</v>
        <stp/>
        <stp>EM_S_VAL_PBGOODWILLDEDUCTED</stp>
        <stp>2</stp>
        <stp>000615</stp>
        <stp>12/31/2018</stp>
        <tr r="N3000" s="1"/>
      </tp>
      <tp>
        <v>1.88533689291594</v>
        <stp/>
        <stp>EM_S_VAL_PBGOODWILLDEDUCTED</stp>
        <stp>2</stp>
        <stp>300625</stp>
        <stp>12/31/2018</stp>
        <tr r="N1465" s="1"/>
      </tp>
      <tp>
        <v>2.0630295628923601</v>
        <stp/>
        <stp>EM_S_VAL_PBGOODWILLDEDUCTED</stp>
        <stp>2</stp>
        <stp>600675</stp>
        <stp>12/31/2018</stp>
        <tr r="N2967" s="1"/>
      </tp>
      <tp>
        <v>6.93376696756299</v>
        <stp/>
        <stp>EM_S_VAL_PBGOODWILLDEDUCTED</stp>
        <stp>2</stp>
        <stp>300624</stp>
        <stp>12/31/2018</stp>
        <tr r="N1409" s="1"/>
      </tp>
      <tp>
        <v>1.5369703551087801</v>
        <stp/>
        <stp>EM_S_VAL_PBGOODWILLDEDUCTED</stp>
        <stp>2</stp>
        <stp>600674</stp>
        <stp>12/31/2018</stp>
        <tr r="N1589" s="1"/>
      </tp>
      <tp>
        <v>1.0539336778566299</v>
        <stp/>
        <stp>EM_S_VAL_PBGOODWILLDEDUCTED</stp>
        <stp>2</stp>
        <stp>600189</stp>
        <stp>12/31/2018</stp>
        <tr r="N2168" s="1"/>
      </tp>
      <tp>
        <v>0.85655940443724699</v>
        <stp/>
        <stp>EM_S_VAL_PBGOODWILLDEDUCTED</stp>
        <stp>2</stp>
        <stp>600188</stp>
        <stp>12/31/2018</stp>
        <tr r="N1329" s="1"/>
      </tp>
      <tp>
        <v>3.4874803462530499</v>
        <stp/>
        <stp>EM_S_VAL_PBGOODWILLDEDUCTED</stp>
        <stp>2</stp>
        <stp>600183</stp>
        <stp>12/31/2018</stp>
        <tr r="N138" s="1"/>
      </tp>
      <tp>
        <v>5.5006859548783797</v>
        <stp/>
        <stp>EM_S_VAL_PBGOODWILLDEDUCTED</stp>
        <stp>2</stp>
        <stp>600182</stp>
        <stp>12/31/2018</stp>
        <tr r="N1800" s="1"/>
      </tp>
      <tp>
        <v>-1.5261522707165001</v>
        <stp/>
        <stp>EM_S_VAL_PBGOODWILLDEDUCTED</stp>
        <stp>2</stp>
        <stp>600181</stp>
        <stp>12/31/2018</stp>
        <tr r="N2294" s="1"/>
      </tp>
      <tp>
        <v>1.2555007700149801</v>
        <stp/>
        <stp>EM_S_VAL_PBGOODWILLDEDUCTED</stp>
        <stp>2</stp>
        <stp>600180</stp>
        <stp>12/31/2018</stp>
        <tr r="N2347" s="1"/>
      </tp>
      <tp>
        <v>1.2037224321325699</v>
        <stp/>
        <stp>EM_S_VAL_PBGOODWILLDEDUCTED</stp>
        <stp>2</stp>
        <stp>600187</stp>
        <stp>12/31/2018</stp>
        <tr r="N2117" s="1"/>
      </tp>
      <tp>
        <v>-6.7268986587864799</v>
        <stp/>
        <stp>EM_S_VAL_PBGOODWILLDEDUCTED</stp>
        <stp>2</stp>
        <stp>600186</stp>
        <stp>12/31/2018</stp>
        <tr r="N709" s="1"/>
      </tp>
      <tp>
        <v>1.0277281569622101</v>
        <stp/>
        <stp>EM_S_VAL_PBGOODWILLDEDUCTED</stp>
        <stp>2</stp>
        <stp>600185</stp>
        <stp>12/31/2018</stp>
        <tr r="N1239" s="1"/>
      </tp>
      <tp>
        <v>2.14095086515636</v>
        <stp/>
        <stp>EM_S_VAL_PBGOODWILLDEDUCTED</stp>
        <stp>2</stp>
        <stp>600184</stp>
        <stp>12/31/2018</stp>
        <tr r="N1421" s="1"/>
      </tp>
      <tp>
        <v>1.08465286495894</v>
        <stp/>
        <stp>EM_S_VAL_PBGOODWILLDEDUCTED</stp>
        <stp>2</stp>
        <stp>600199</stp>
        <stp>12/31/2018</stp>
        <tr r="N781" s="1"/>
      </tp>
      <tp>
        <v>-10.6615594186583</v>
        <stp/>
        <stp>EM_S_VAL_PBGOODWILLDEDUCTED</stp>
        <stp>2</stp>
        <stp>600198</stp>
        <stp>12/31/2018</stp>
        <tr r="N416" s="1"/>
      </tp>
      <tp>
        <v>6.3275341739068098</v>
        <stp/>
        <stp>EM_S_VAL_PBGOODWILLDEDUCTED</stp>
        <stp>2</stp>
        <stp>600193</stp>
        <stp>12/31/2018</stp>
        <tr r="N1171" s="1"/>
      </tp>
      <tp>
        <v>0.96798576095038902</v>
        <stp/>
        <stp>EM_S_VAL_PBGOODWILLDEDUCTED</stp>
        <stp>2</stp>
        <stp>600192</stp>
        <stp>12/31/2018</stp>
        <tr r="N1193" s="1"/>
      </tp>
      <tp>
        <v>1.0445773887707299</v>
        <stp/>
        <stp>EM_S_VAL_PBGOODWILLDEDUCTED</stp>
        <stp>2</stp>
        <stp>600191</stp>
        <stp>12/31/2018</stp>
        <tr r="N885" s="1"/>
      </tp>
      <tp>
        <v>0.85860467432185195</v>
        <stp/>
        <stp>EM_S_VAL_PBGOODWILLDEDUCTED</stp>
        <stp>2</stp>
        <stp>600190</stp>
        <stp>12/31/2018</stp>
        <tr r="N1541" s="1"/>
      </tp>
      <tp>
        <v>2.3116902187016</v>
        <stp/>
        <stp>EM_S_VAL_PBGOODWILLDEDUCTED</stp>
        <stp>2</stp>
        <stp>600197</stp>
        <stp>12/31/2018</stp>
        <tr r="N1198" s="1"/>
      </tp>
      <tp>
        <v>3.1187502092589501</v>
        <stp/>
        <stp>EM_S_VAL_PBGOODWILLDEDUCTED</stp>
        <stp>2</stp>
        <stp>600196</stp>
        <stp>12/31/2018</stp>
        <tr r="N1604" s="1"/>
      </tp>
      <tp>
        <v>1.60245591157205</v>
        <stp/>
        <stp>EM_S_VAL_PBGOODWILLDEDUCTED</stp>
        <stp>2</stp>
        <stp>600195</stp>
        <stp>12/31/2018</stp>
        <tr r="N1893" s="1"/>
      </tp>
      <tp>
        <v>2.84484309752618</v>
        <stp/>
        <stp>EM_S_VAL_PBGOODWILLDEDUCTED</stp>
        <stp>2</stp>
        <stp>300199</stp>
        <stp>12/31/2018</stp>
        <tr r="N3302" s="1"/>
      </tp>
      <tp>
        <v>2.6120485375650802</v>
        <stp/>
        <stp>EM_S_VAL_PBGOODWILLDEDUCTED</stp>
        <stp>2</stp>
        <stp>300198</stp>
        <stp>12/31/2018</stp>
        <tr r="N522" s="1"/>
      </tp>
      <tp>
        <v>1.51724595288607</v>
        <stp/>
        <stp>EM_S_VAL_PBGOODWILLDEDUCTED</stp>
        <stp>2</stp>
        <stp>300193</stp>
        <stp>12/31/2018</stp>
        <tr r="N1114" s="1"/>
      </tp>
      <tp>
        <v>15.1717344738238</v>
        <stp/>
        <stp>EM_S_VAL_PBGOODWILLDEDUCTED</stp>
        <stp>2</stp>
        <stp>300192</stp>
        <stp>12/31/2018</stp>
        <tr r="N413" s="1"/>
      </tp>
      <tp>
        <v>3.98152077889055</v>
        <stp/>
        <stp>EM_S_VAL_PBGOODWILLDEDUCTED</stp>
        <stp>2</stp>
        <stp>300191</stp>
        <stp>12/31/2018</stp>
        <tr r="N602" s="1"/>
      </tp>
      <tp>
        <v>1.54333764905078</v>
        <stp/>
        <stp>EM_S_VAL_PBGOODWILLDEDUCTED</stp>
        <stp>2</stp>
        <stp>300190</stp>
        <stp>12/31/2018</stp>
        <tr r="N746" s="1"/>
      </tp>
      <tp>
        <v>1.61951814673209</v>
        <stp/>
        <stp>EM_S_VAL_PBGOODWILLDEDUCTED</stp>
        <stp>2</stp>
        <stp>300197</stp>
        <stp>12/31/2018</stp>
        <tr r="N3073" s="1"/>
      </tp>
      <tp>
        <v>1.5149919272955401</v>
        <stp/>
        <stp>EM_S_VAL_PBGOODWILLDEDUCTED</stp>
        <stp>2</stp>
        <stp>300196</stp>
        <stp>12/31/2018</stp>
        <tr r="N904" s="1"/>
      </tp>
      <tp>
        <v>1.1749473363577601</v>
        <stp/>
        <stp>EM_S_VAL_PBGOODWILLDEDUCTED</stp>
        <stp>2</stp>
        <stp>300195</stp>
        <stp>12/31/2018</stp>
        <tr r="N2722" s="1"/>
      </tp>
      <tp>
        <v>1.2798422329799299</v>
        <stp/>
        <stp>EM_S_VAL_PBGOODWILLDEDUCTED</stp>
        <stp>2</stp>
        <stp>300194</stp>
        <stp>12/31/2018</stp>
        <tr r="N334" s="1"/>
      </tp>
      <tp>
        <v>1.8094733501814899</v>
        <stp/>
        <stp>EM_S_VAL_PBGOODWILLDEDUCTED</stp>
        <stp>2</stp>
        <stp>300189</stp>
        <stp>12/31/2018</stp>
        <tr r="N624" s="1"/>
      </tp>
      <tp>
        <v>5.15285616262274</v>
        <stp/>
        <stp>EM_S_VAL_PBGOODWILLDEDUCTED</stp>
        <stp>2</stp>
        <stp>300188</stp>
        <stp>12/31/2018</stp>
        <tr r="N906" s="1"/>
      </tp>
      <tp>
        <v>2.1413133774277</v>
        <stp/>
        <stp>EM_S_VAL_PBGOODWILLDEDUCTED</stp>
        <stp>2</stp>
        <stp>300183</stp>
        <stp>12/31/2018</stp>
        <tr r="N1047" s="1"/>
      </tp>
      <tp>
        <v>2.1641691362830402</v>
        <stp/>
        <stp>EM_S_VAL_PBGOODWILLDEDUCTED</stp>
        <stp>2</stp>
        <stp>300182</stp>
        <stp>12/31/2018</stp>
        <tr r="N3029" s="1"/>
      </tp>
      <tp>
        <v>2.7338544002681902</v>
        <stp/>
        <stp>EM_S_VAL_PBGOODWILLDEDUCTED</stp>
        <stp>2</stp>
        <stp>300181</stp>
        <stp>12/31/2018</stp>
        <tr r="N2515" s="1"/>
      </tp>
      <tp>
        <v>3.6387207072074599</v>
        <stp/>
        <stp>EM_S_VAL_PBGOODWILLDEDUCTED</stp>
        <stp>2</stp>
        <stp>300180</stp>
        <stp>12/31/2018</stp>
        <tr r="N3053" s="1"/>
      </tp>
      <tp>
        <v>2.3856509792979401</v>
        <stp/>
        <stp>EM_S_VAL_PBGOODWILLDEDUCTED</stp>
        <stp>2</stp>
        <stp>300187</stp>
        <stp>12/31/2018</stp>
        <tr r="N2789" s="1"/>
      </tp>
      <tp>
        <v>12.325839668628401</v>
        <stp/>
        <stp>EM_S_VAL_PBGOODWILLDEDUCTED</stp>
        <stp>2</stp>
        <stp>300186</stp>
        <stp>12/31/2018</stp>
        <tr r="N2281" s="1"/>
      </tp>
      <tp>
        <v>1.0347295212982499</v>
        <stp/>
        <stp>EM_S_VAL_PBGOODWILLDEDUCTED</stp>
        <stp>2</stp>
        <stp>300185</stp>
        <stp>12/31/2018</stp>
        <tr r="N1705" s="1"/>
      </tp>
      <tp>
        <v>2.2136742837513301</v>
        <stp/>
        <stp>EM_S_VAL_PBGOODWILLDEDUCTED</stp>
        <stp>2</stp>
        <stp>300184</stp>
        <stp>12/31/2018</stp>
        <tr r="N2506" s="1"/>
      </tp>
      <tp>
        <v>1.9474938592420199</v>
        <stp/>
        <stp>EM_S_VAL_PBGOODWILLDEDUCTED</stp>
        <stp>2</stp>
        <stp>300159</stp>
        <stp>12/31/2018</stp>
        <tr r="N2909" s="1"/>
      </tp>
      <tp>
        <v>1.1156525752787001</v>
        <stp/>
        <stp>EM_S_VAL_PBGOODWILLDEDUCTED</stp>
        <stp>2</stp>
        <stp>600109</stp>
        <stp>12/31/2018</stp>
        <tr r="N918" s="1"/>
      </tp>
      <tp>
        <v>1.3108734863075</v>
        <stp/>
        <stp>EM_S_VAL_PBGOODWILLDEDUCTED</stp>
        <stp>2</stp>
        <stp>300158</stp>
        <stp>12/31/2018</stp>
        <tr r="N1236" s="1"/>
      </tp>
      <tp>
        <v>1.0801089860549</v>
        <stp/>
        <stp>EM_S_VAL_PBGOODWILLDEDUCTED</stp>
        <stp>2</stp>
        <stp>600108</stp>
        <stp>12/31/2018</stp>
        <tr r="N1790" s="1"/>
      </tp>
      <tp>
        <v>2.4017042134847499</v>
        <stp/>
        <stp>EM_S_VAL_PBGOODWILLDEDUCTED</stp>
        <stp>2</stp>
        <stp>300153</stp>
        <stp>12/31/2018</stp>
        <tr r="N2698" s="1"/>
      </tp>
      <tp>
        <v>1.3153611058178101</v>
        <stp/>
        <stp>EM_S_VAL_PBGOODWILLDEDUCTED</stp>
        <stp>2</stp>
        <stp>600103</stp>
        <stp>12/31/2018</stp>
        <tr r="N3018" s="1"/>
      </tp>
      <tp>
        <v>2.65827193531943</v>
        <stp/>
        <stp>EM_S_VAL_PBGOODWILLDEDUCTED</stp>
        <stp>2</stp>
        <stp>300152</stp>
        <stp>12/31/2018</stp>
        <tr r="N897" s="1"/>
      </tp>
      <tp>
        <v>1.0649306568029999</v>
        <stp/>
        <stp>EM_S_VAL_PBGOODWILLDEDUCTED</stp>
        <stp>2</stp>
        <stp>600102</stp>
        <stp>12/31/2018</stp>
        <tr r="N2292" s="1"/>
      </tp>
      <tp>
        <v>3.04653024057962</v>
        <stp/>
        <stp>EM_S_VAL_PBGOODWILLDEDUCTED</stp>
        <stp>2</stp>
        <stp>300151</stp>
        <stp>12/31/2018</stp>
        <tr r="N378" s="1"/>
      </tp>
      <tp>
        <v>0.96789283131025505</v>
        <stp/>
        <stp>EM_S_VAL_PBGOODWILLDEDUCTED</stp>
        <stp>2</stp>
        <stp>600101</stp>
        <stp>12/31/2018</stp>
        <tr r="N1988" s="1"/>
      </tp>
      <tp>
        <v>1.79765986516246</v>
        <stp/>
        <stp>EM_S_VAL_PBGOODWILLDEDUCTED</stp>
        <stp>2</stp>
        <stp>300150</stp>
        <stp>12/31/2018</stp>
        <tr r="N2203" s="1"/>
      </tp>
      <tp>
        <v>1.8206206392720801</v>
        <stp/>
        <stp>EM_S_VAL_PBGOODWILLDEDUCTED</stp>
        <stp>2</stp>
        <stp>600100</stp>
        <stp>12/31/2018</stp>
        <tr r="N2791" s="1"/>
      </tp>
      <tp>
        <v>1.41284159389068</v>
        <stp/>
        <stp>EM_S_VAL_PBGOODWILLDEDUCTED</stp>
        <stp>2</stp>
        <stp>300157</stp>
        <stp>12/31/2018</stp>
        <tr r="N2441" s="1"/>
      </tp>
      <tp>
        <v>3.6143332734947999</v>
        <stp/>
        <stp>EM_S_VAL_PBGOODWILLDEDUCTED</stp>
        <stp>2</stp>
        <stp>600107</stp>
        <stp>12/31/2018</stp>
        <tr r="N1238" s="1"/>
      </tp>
      <tp>
        <v>1.3216453435476501</v>
        <stp/>
        <stp>EM_S_VAL_PBGOODWILLDEDUCTED</stp>
        <stp>2</stp>
        <stp>000166</stp>
        <stp>12/31/2018</stp>
        <tr r="N3413" s="1"/>
      </tp>
      <tp>
        <v>2.8509163705744802</v>
        <stp/>
        <stp>EM_S_VAL_PBGOODWILLDEDUCTED</stp>
        <stp>2</stp>
        <stp>300156</stp>
        <stp>12/31/2018</stp>
        <tr r="N3381" s="1"/>
      </tp>
      <tp>
        <v>0.94183904369056803</v>
        <stp/>
        <stp>EM_S_VAL_PBGOODWILLDEDUCTED</stp>
        <stp>2</stp>
        <stp>600106</stp>
        <stp>12/31/2018</stp>
        <tr r="N2193" s="1"/>
      </tp>
      <tp>
        <v>2.0766159095198899</v>
        <stp/>
        <stp>EM_S_VAL_PBGOODWILLDEDUCTED</stp>
        <stp>2</stp>
        <stp>300155</stp>
        <stp>12/31/2018</stp>
        <tr r="N1092" s="1"/>
      </tp>
      <tp>
        <v>1.96213170338652</v>
        <stp/>
        <stp>EM_S_VAL_PBGOODWILLDEDUCTED</stp>
        <stp>2</stp>
        <stp>600105</stp>
        <stp>12/31/2018</stp>
        <tr r="N1397" s="1"/>
      </tp>
      <tp>
        <v>1.36004016521176</v>
        <stp/>
        <stp>EM_S_VAL_PBGOODWILLDEDUCTED</stp>
        <stp>2</stp>
        <stp>300154</stp>
        <stp>12/31/2018</stp>
        <tr r="N1433" s="1"/>
      </tp>
      <tp>
        <v>1.33797790667437</v>
        <stp/>
        <stp>EM_S_VAL_PBGOODWILLDEDUCTED</stp>
        <stp>2</stp>
        <stp>600104</stp>
        <stp>12/31/2018</stp>
        <tr r="N2780" s="1"/>
      </tp>
      <tp>
        <v>12.761063195570401</v>
        <stp/>
        <stp>EM_S_VAL_PBGOODWILLDEDUCTED</stp>
        <stp>2</stp>
        <stp>300149</stp>
        <stp>12/31/2018</stp>
        <tr r="N2776" s="1"/>
      </tp>
      <tp>
        <v>-45.878202989384</v>
        <stp/>
        <stp>EM_S_VAL_PBGOODWILLDEDUCTED</stp>
        <stp>2</stp>
        <stp>600119</stp>
        <stp>12/31/2018</stp>
        <tr r="N3176" s="1"/>
      </tp>
      <tp>
        <v>2.7206853486626099</v>
        <stp/>
        <stp>EM_S_VAL_PBGOODWILLDEDUCTED</stp>
        <stp>2</stp>
        <stp>300148</stp>
        <stp>12/31/2018</stp>
        <tr r="N2790" s="1"/>
      </tp>
      <tp>
        <v>3.7425971666131299</v>
        <stp/>
        <stp>EM_S_VAL_PBGOODWILLDEDUCTED</stp>
        <stp>2</stp>
        <stp>600118</stp>
        <stp>12/31/2018</stp>
        <tr r="N1129" s="1"/>
      </tp>
      <tp>
        <v>33.805975597908699</v>
        <stp/>
        <stp>EM_S_VAL_PBGOODWILLDEDUCTED</stp>
        <stp>2</stp>
        <stp>300143</stp>
        <stp>12/31/2018</stp>
        <tr r="N2121" s="1"/>
      </tp>
      <tp>
        <v>3.07783414709106</v>
        <stp/>
        <stp>EM_S_VAL_PBGOODWILLDEDUCTED</stp>
        <stp>2</stp>
        <stp>600113</stp>
        <stp>12/31/2018</stp>
        <tr r="N2268" s="1"/>
      </tp>
      <tp>
        <v>6.4675471983152004</v>
        <stp/>
        <stp>EM_S_VAL_PBGOODWILLDEDUCTED</stp>
        <stp>2</stp>
        <stp>300142</stp>
        <stp>12/31/2018</stp>
        <tr r="N360" s="1"/>
      </tp>
      <tp>
        <v>1.6220832288471301</v>
        <stp/>
        <stp>EM_S_VAL_PBGOODWILLDEDUCTED</stp>
        <stp>2</stp>
        <stp>600112</stp>
        <stp>12/31/2018</stp>
        <tr r="N3347" s="1"/>
      </tp>
      <tp>
        <v>2.5198561153394601</v>
        <stp/>
        <stp>EM_S_VAL_PBGOODWILLDEDUCTED</stp>
        <stp>2</stp>
        <stp>300141</stp>
        <stp>12/31/2018</stp>
        <tr r="N2371" s="1"/>
      </tp>
      <tp>
        <v>3.4615722458978202</v>
        <stp/>
        <stp>EM_S_VAL_PBGOODWILLDEDUCTED</stp>
        <stp>2</stp>
        <stp>600111</stp>
        <stp>12/31/2018</stp>
        <tr r="N1118" s="1"/>
      </tp>
      <tp>
        <v>2.2437094448765298</v>
        <stp/>
        <stp>EM_S_VAL_PBGOODWILLDEDUCTED</stp>
        <stp>2</stp>
        <stp>300140</stp>
        <stp>12/31/2018</stp>
        <tr r="N1419" s="1"/>
      </tp>
      <tp>
        <v>2.1869282380372499</v>
        <stp/>
        <stp>EM_S_VAL_PBGOODWILLDEDUCTED</stp>
        <stp>2</stp>
        <stp>600110</stp>
        <stp>12/31/2018</stp>
        <tr r="N1434" s="1"/>
      </tp>
      <tp>
        <v>1.4578518653746599</v>
        <stp/>
        <stp>EM_S_VAL_PBGOODWILLDEDUCTED</stp>
        <stp>2</stp>
        <stp>300147</stp>
        <stp>12/31/2018</stp>
        <tr r="N905" s="1"/>
      </tp>
      <tp>
        <v>3.2546719103652899</v>
        <stp/>
        <stp>EM_S_VAL_PBGOODWILLDEDUCTED</stp>
        <stp>2</stp>
        <stp>600117</stp>
        <stp>12/31/2018</stp>
        <tr r="N2068" s="1"/>
      </tp>
      <tp>
        <v>7.2838018051780997</v>
        <stp/>
        <stp>EM_S_VAL_PBGOODWILLDEDUCTED</stp>
        <stp>2</stp>
        <stp>300146</stp>
        <stp>12/31/2018</stp>
        <tr r="N2523" s="1"/>
      </tp>
      <tp>
        <v>2.5489353724622799</v>
        <stp/>
        <stp>EM_S_VAL_PBGOODWILLDEDUCTED</stp>
        <stp>2</stp>
        <stp>600116</stp>
        <stp>12/31/2018</stp>
        <tr r="N2123" s="1"/>
      </tp>
      <tp>
        <v>3.3459774892008598</v>
        <stp/>
        <stp>EM_S_VAL_PBGOODWILLDEDUCTED</stp>
        <stp>2</stp>
        <stp>300145</stp>
        <stp>12/31/2018</stp>
        <tr r="N1801" s="1"/>
      </tp>
      <tp>
        <v>1.4703774737253099</v>
        <stp/>
        <stp>EM_S_VAL_PBGOODWILLDEDUCTED</stp>
        <stp>2</stp>
        <stp>600115</stp>
        <stp>12/31/2018</stp>
        <tr r="N1172" s="1"/>
      </tp>
      <tp>
        <v>5.4560579851412001</v>
        <stp/>
        <stp>EM_S_VAL_PBGOODWILLDEDUCTED</stp>
        <stp>2</stp>
        <stp>300144</stp>
        <stp>12/31/2018</stp>
        <tr r="N664" s="1"/>
      </tp>
      <tp>
        <v>1.5150498686203799</v>
        <stp/>
        <stp>EM_S_VAL_PBGOODWILLDEDUCTED</stp>
        <stp>2</stp>
        <stp>600114</stp>
        <stp>12/31/2018</stp>
        <tr r="N729" s="1"/>
      </tp>
      <tp>
        <v>2.4588954948422002</v>
        <stp/>
        <stp>EM_S_VAL_PBGOODWILLDEDUCTED</stp>
        <stp>2</stp>
        <stp>300179</stp>
        <stp>12/31/2018</stp>
        <tr r="N596" s="1"/>
      </tp>
      <tp>
        <v>1.4116103861064999</v>
        <stp/>
        <stp>EM_S_VAL_PBGOODWILLDEDUCTED</stp>
        <stp>2</stp>
        <stp>600129</stp>
        <stp>12/31/2018</stp>
        <tr r="N892" s="1"/>
      </tp>
      <tp>
        <v>2.4728214335786598</v>
        <stp/>
        <stp>EM_S_VAL_PBGOODWILLDEDUCTED</stp>
        <stp>2</stp>
        <stp>300178</stp>
        <stp>12/31/2018</stp>
        <tr r="N3346" s="1"/>
      </tp>
      <tp>
        <v>1.5304799855756901</v>
        <stp/>
        <stp>EM_S_VAL_PBGOODWILLDEDUCTED</stp>
        <stp>2</stp>
        <stp>600128</stp>
        <stp>12/31/2018</stp>
        <tr r="N2583" s="1"/>
      </tp>
      <tp>
        <v>3.61944536114465</v>
        <stp/>
        <stp>EM_S_VAL_PBGOODWILLDEDUCTED</stp>
        <stp>2</stp>
        <stp>300173</stp>
        <stp>12/31/2018</stp>
        <tr r="N450" s="1"/>
      </tp>
      <tp>
        <v>0.73165199015473603</v>
        <stp/>
        <stp>EM_S_VAL_PBGOODWILLDEDUCTED</stp>
        <stp>2</stp>
        <stp>600123</stp>
        <stp>12/31/2018</stp>
        <tr r="N2399" s="1"/>
      </tp>
      <tp>
        <v>2.1409011427451499</v>
        <stp/>
        <stp>EM_S_VAL_PBGOODWILLDEDUCTED</stp>
        <stp>2</stp>
        <stp>300172</stp>
        <stp>12/31/2018</stp>
        <tr r="N2415" s="1"/>
      </tp>
      <tp>
        <v>0.69377785609440501</v>
        <stp/>
        <stp>EM_S_VAL_PBGOODWILLDEDUCTED</stp>
        <stp>2</stp>
        <stp>600122</stp>
        <stp>12/31/2018</stp>
        <tr r="N3190" s="1"/>
      </tp>
      <tp>
        <v>1.4973223000414999</v>
        <stp/>
        <stp>EM_S_VAL_PBGOODWILLDEDUCTED</stp>
        <stp>2</stp>
        <stp>300171</stp>
        <stp>12/31/2018</stp>
        <tr r="N2262" s="1"/>
      </tp>
      <tp>
        <v>0.87021785762784298</v>
        <stp/>
        <stp>EM_S_VAL_PBGOODWILLDEDUCTED</stp>
        <stp>2</stp>
        <stp>600121</stp>
        <stp>12/31/2018</stp>
        <tr r="N3036" s="1"/>
      </tp>
      <tp>
        <v>2.9961294273384498</v>
        <stp/>
        <stp>EM_S_VAL_PBGOODWILLDEDUCTED</stp>
        <stp>2</stp>
        <stp>300170</stp>
        <stp>12/31/2018</stp>
        <tr r="N2376" s="1"/>
      </tp>
      <tp>
        <v>1.1902463087872299</v>
        <stp/>
        <stp>EM_S_VAL_PBGOODWILLDEDUCTED</stp>
        <stp>2</stp>
        <stp>600120</stp>
        <stp>12/31/2018</stp>
        <tr r="N3210" s="1"/>
      </tp>
      <tp>
        <v>2.7955270333745998</v>
        <stp/>
        <stp>EM_S_VAL_PBGOODWILLDEDUCTED</stp>
        <stp>2</stp>
        <stp>300177</stp>
        <stp>12/31/2018</stp>
        <tr r="N2865" s="1"/>
      </tp>
      <tp>
        <v>2.6070286709025101</v>
        <stp/>
        <stp>EM_S_VAL_PBGOODWILLDEDUCTED</stp>
        <stp>2</stp>
        <stp>600127</stp>
        <stp>12/31/2018</stp>
        <tr r="N762" s="1"/>
      </tp>
      <tp>
        <v>11.8280596116055</v>
        <stp/>
        <stp>EM_S_VAL_PBGOODWILLDEDUCTED</stp>
        <stp>2</stp>
        <stp>300176</stp>
        <stp>12/31/2018</stp>
        <tr r="N3402" s="1"/>
      </tp>
      <tp>
        <v>0.82366610401474805</v>
        <stp/>
        <stp>EM_S_VAL_PBGOODWILLDEDUCTED</stp>
        <stp>2</stp>
        <stp>600126</stp>
        <stp>12/31/2018</stp>
        <tr r="N1866" s="1"/>
      </tp>
      <tp>
        <v>2.7227190799524501</v>
        <stp/>
        <stp>EM_S_VAL_PBGOODWILLDEDUCTED</stp>
        <stp>2</stp>
        <stp>300175</stp>
        <stp>12/31/2018</stp>
        <tr r="N630" s="1"/>
      </tp>
      <tp>
        <v>1.61233610395323</v>
        <stp/>
        <stp>EM_S_VAL_PBGOODWILLDEDUCTED</stp>
        <stp>2</stp>
        <stp>600125</stp>
        <stp>12/31/2018</stp>
        <tr r="N2904" s="1"/>
      </tp>
      <tp>
        <v>8.5795468611873709</v>
        <stp/>
        <stp>EM_S_VAL_PBGOODWILLDEDUCTED</stp>
        <stp>2</stp>
        <stp>300174</stp>
        <stp>12/31/2018</stp>
        <tr r="N701" s="1"/>
      </tp>
      <tp>
        <v>0.969288666135387</v>
        <stp/>
        <stp>EM_S_VAL_PBGOODWILLDEDUCTED</stp>
        <stp>2</stp>
        <stp>000159</stp>
        <stp>12/31/2018</stp>
        <tr r="N847" s="1"/>
      </tp>
      <tp>
        <v>1.7510449928179099</v>
        <stp/>
        <stp>EM_S_VAL_PBGOODWILLDEDUCTED</stp>
        <stp>2</stp>
        <stp>300169</stp>
        <stp>12/31/2018</stp>
        <tr r="N1392" s="1"/>
      </tp>
      <tp>
        <v>7.2136540531539399</v>
        <stp/>
        <stp>EM_S_VAL_PBGOODWILLDEDUCTED</stp>
        <stp>2</stp>
        <stp>600139</stp>
        <stp>12/31/2018</stp>
        <tr r="N1360" s="1"/>
      </tp>
      <tp>
        <v>2.18110248968381</v>
        <stp/>
        <stp>EM_S_VAL_PBGOODWILLDEDUCTED</stp>
        <stp>2</stp>
        <stp>000158</stp>
        <stp>12/31/2018</stp>
        <tr r="N3412" s="1"/>
      </tp>
      <tp>
        <v>4.9745635441670197</v>
        <stp/>
        <stp>EM_S_VAL_PBGOODWILLDEDUCTED</stp>
        <stp>2</stp>
        <stp>300168</stp>
        <stp>12/31/2018</stp>
        <tr r="N960" s="1"/>
      </tp>
      <tp>
        <v>1.5365976880577299</v>
        <stp/>
        <stp>EM_S_VAL_PBGOODWILLDEDUCTED</stp>
        <stp>2</stp>
        <stp>600138</stp>
        <stp>12/31/2018</stp>
        <tr r="N2400" s="1"/>
      </tp>
      <tp>
        <v>1.2785758812354699</v>
        <stp/>
        <stp>EM_S_VAL_PBGOODWILLDEDUCTED</stp>
        <stp>2</stp>
        <stp>000153</stp>
        <stp>12/31/2018</stp>
        <tr r="N917" s="1"/>
      </tp>
      <tp>
        <v>3.2166779750932402</v>
        <stp/>
        <stp>EM_S_VAL_PBGOODWILLDEDUCTED</stp>
        <stp>2</stp>
        <stp>300163</stp>
        <stp>12/31/2018</stp>
        <tr r="N1700" s="1"/>
      </tp>
      <tp>
        <v>1.21455318658903</v>
        <stp/>
        <stp>EM_S_VAL_PBGOODWILLDEDUCTED</stp>
        <stp>2</stp>
        <stp>600133</stp>
        <stp>12/31/2018</stp>
        <tr r="N2928" s="1"/>
      </tp>
      <tp>
        <v>2.0121105882606098</v>
        <stp/>
        <stp>EM_S_VAL_PBGOODWILLDEDUCTED</stp>
        <stp>2</stp>
        <stp>300162</stp>
        <stp>12/31/2018</stp>
        <tr r="N194" s="1"/>
      </tp>
      <tp>
        <v>12.9888609599933</v>
        <stp/>
        <stp>EM_S_VAL_PBGOODWILLDEDUCTED</stp>
        <stp>2</stp>
        <stp>600132</stp>
        <stp>12/31/2018</stp>
        <tr r="N313" s="1"/>
      </tp>
      <tp>
        <v>3.02965582460897</v>
        <stp/>
        <stp>EM_S_VAL_PBGOODWILLDEDUCTED</stp>
        <stp>2</stp>
        <stp>000151</stp>
        <stp>12/31/2018</stp>
        <tr r="N2041" s="1"/>
      </tp>
      <tp>
        <v>1.7193027914696399</v>
        <stp/>
        <stp>EM_S_VAL_PBGOODWILLDEDUCTED</stp>
        <stp>2</stp>
        <stp>300161</stp>
        <stp>12/31/2018</stp>
        <tr r="N705" s="1"/>
      </tp>
      <tp>
        <v>2.52431358504333</v>
        <stp/>
        <stp>EM_S_VAL_PBGOODWILLDEDUCTED</stp>
        <stp>2</stp>
        <stp>600131</stp>
        <stp>12/31/2018</stp>
        <tr r="N38" s="1"/>
      </tp>
      <tp>
        <v>19.031380935152701</v>
        <stp/>
        <stp>EM_S_VAL_PBGOODWILLDEDUCTED</stp>
        <stp>2</stp>
        <stp>000150</stp>
        <stp>12/31/2018</stp>
        <tr r="N3399" s="1"/>
      </tp>
      <tp>
        <v>2.97871339218334</v>
        <stp/>
        <stp>EM_S_VAL_PBGOODWILLDEDUCTED</stp>
        <stp>2</stp>
        <stp>300160</stp>
        <stp>12/31/2018</stp>
        <tr r="N1712" s="1"/>
      </tp>
      <tp>
        <v>3.0960017809251399</v>
        <stp/>
        <stp>EM_S_VAL_PBGOODWILLDEDUCTED</stp>
        <stp>2</stp>
        <stp>600130</stp>
        <stp>12/31/2018</stp>
        <tr r="N2075" s="1"/>
      </tp>
      <tp>
        <v>0.76963993140262998</v>
        <stp/>
        <stp>EM_S_VAL_PBGOODWILLDEDUCTED</stp>
        <stp>2</stp>
        <stp>000157</stp>
        <stp>12/31/2018</stp>
        <tr r="N223" s="1"/>
      </tp>
      <tp>
        <v>2.8674710223668498</v>
        <stp/>
        <stp>EM_S_VAL_PBGOODWILLDEDUCTED</stp>
        <stp>2</stp>
        <stp>300167</stp>
        <stp>12/31/2018</stp>
        <tr r="N2101" s="1"/>
      </tp>
      <tp>
        <v>2.4786874355485402</v>
        <stp/>
        <stp>EM_S_VAL_PBGOODWILLDEDUCTED</stp>
        <stp>2</stp>
        <stp>600137</stp>
        <stp>12/31/2018</stp>
        <tr r="N896" s="1"/>
      </tp>
      <tp>
        <v>1.09148894351042</v>
        <stp/>
        <stp>EM_S_VAL_PBGOODWILLDEDUCTED</stp>
        <stp>2</stp>
        <stp>000156</stp>
        <stp>12/31/2018</stp>
        <tr r="N834" s="1"/>
      </tp>
      <tp>
        <v>2.7799451151763401</v>
        <stp/>
        <stp>EM_S_VAL_PBGOODWILLDEDUCTED</stp>
        <stp>2</stp>
        <stp>300166</stp>
        <stp>12/31/2018</stp>
        <tr r="N1061" s="1"/>
      </tp>
      <tp>
        <v>-7.3045462333382103</v>
        <stp/>
        <stp>EM_S_VAL_PBGOODWILLDEDUCTED</stp>
        <stp>2</stp>
        <stp>600136</stp>
        <stp>12/31/2018</stp>
        <tr r="N571" s="1"/>
      </tp>
      <tp>
        <v>1.40246895060676</v>
        <stp/>
        <stp>EM_S_VAL_PBGOODWILLDEDUCTED</stp>
        <stp>2</stp>
        <stp>000155</stp>
        <stp>12/31/2018</stp>
        <tr r="N1263" s="1"/>
      </tp>
      <tp>
        <v>1.6140321638250701</v>
        <stp/>
        <stp>EM_S_VAL_PBGOODWILLDEDUCTED</stp>
        <stp>2</stp>
        <stp>300165</stp>
        <stp>12/31/2018</stp>
        <tr r="N1207" s="1"/>
      </tp>
      <tp>
        <v>1.2468921131584201</v>
        <stp/>
        <stp>EM_S_VAL_PBGOODWILLDEDUCTED</stp>
        <stp>2</stp>
        <stp>600135</stp>
        <stp>12/31/2018</stp>
        <tr r="N1020" s="1"/>
      </tp>
      <tp>
        <v>3.3469187323884202</v>
        <stp/>
        <stp>EM_S_VAL_PBGOODWILLDEDUCTED</stp>
        <stp>2</stp>
        <stp>300164</stp>
        <stp>12/31/2018</stp>
        <tr r="N2988" s="1"/>
      </tp>
      <tp>
        <v>1.5639385572973401</v>
        <stp/>
        <stp>EM_S_VAL_PBGOODWILLDEDUCTED</stp>
        <stp>2</stp>
        <stp>300119</stp>
        <stp>12/31/2018</stp>
        <tr r="N217" s="1"/>
      </tp>
      <tp>
        <v>10.9252908981838</v>
        <stp/>
        <stp>EM_S_VAL_PBGOODWILLDEDUCTED</stp>
        <stp>2</stp>
        <stp>600149</stp>
        <stp>12/31/2018</stp>
        <tr r="N1642" s="1"/>
      </tp>
      <tp>
        <v>0.72243006116858699</v>
        <stp/>
        <stp>EM_S_VAL_PBGOODWILLDEDUCTED</stp>
        <stp>2</stp>
        <stp>300118</stp>
        <stp>12/31/2018</stp>
        <tr r="N91" s="1"/>
      </tp>
      <tp>
        <v>4.7651000049588701</v>
        <stp/>
        <stp>EM_S_VAL_PBGOODWILLDEDUCTED</stp>
        <stp>2</stp>
        <stp>600148</stp>
        <stp>12/31/2018</stp>
        <tr r="N2591" s="1"/>
      </tp>
      <tp>
        <v>4.4859834507315801</v>
        <stp/>
        <stp>EM_S_VAL_PBGOODWILLDEDUCTED</stp>
        <stp>2</stp>
        <stp>300113</stp>
        <stp>12/31/2018</stp>
        <tr r="N165" s="1"/>
      </tp>
      <tp>
        <v>1.32481224352759</v>
        <stp/>
        <stp>EM_S_VAL_PBGOODWILLDEDUCTED</stp>
        <stp>2</stp>
        <stp>600143</stp>
        <stp>12/31/2018</stp>
        <tr r="N610" s="1"/>
      </tp>
      <tp>
        <v>2.2197201550494601</v>
        <stp/>
        <stp>EM_S_VAL_PBGOODWILLDEDUCTED</stp>
        <stp>2</stp>
        <stp>300112</stp>
        <stp>12/31/2018</stp>
        <tr r="N580" s="1"/>
      </tp>
      <tp>
        <v>11.391115540923799</v>
        <stp/>
        <stp>EM_S_VAL_PBGOODWILLDEDUCTED</stp>
        <stp>2</stp>
        <stp>300111</stp>
        <stp>12/31/2018</stp>
        <tr r="N1403" s="1"/>
      </tp>
      <tp>
        <v>1.34524457249971</v>
        <stp/>
        <stp>EM_S_VAL_PBGOODWILLDEDUCTED</stp>
        <stp>2</stp>
        <stp>600141</stp>
        <stp>12/31/2018</stp>
        <tr r="N2269" s="1"/>
      </tp>
      <tp>
        <v>1.7629061351943101</v>
        <stp/>
        <stp>EM_S_VAL_PBGOODWILLDEDUCTED</stp>
        <stp>2</stp>
        <stp>300110</stp>
        <stp>12/31/2018</stp>
        <tr r="N956" s="1"/>
      </tp>
      <tp>
        <v>2.21197819855781</v>
        <stp/>
        <stp>EM_S_VAL_PBGOODWILLDEDUCTED</stp>
        <stp>2</stp>
        <stp>300117</stp>
        <stp>12/31/2018</stp>
        <tr r="N2769" s="1"/>
      </tp>
      <tp>
        <v>16.766951520321498</v>
        <stp/>
        <stp>EM_S_VAL_PBGOODWILLDEDUCTED</stp>
        <stp>2</stp>
        <stp>300116</stp>
        <stp>12/31/2018</stp>
        <tr r="N911" s="1"/>
      </tp>
      <tp>
        <v>2.6393846204535998</v>
        <stp/>
        <stp>EM_S_VAL_PBGOODWILLDEDUCTED</stp>
        <stp>2</stp>
        <stp>600146</stp>
        <stp>12/31/2018</stp>
        <tr r="N192" s="1"/>
      </tp>
      <tp>
        <v>1.80294764287386</v>
        <stp/>
        <stp>EM_S_VAL_PBGOODWILLDEDUCTED</stp>
        <stp>2</stp>
        <stp>300115</stp>
        <stp>12/31/2018</stp>
        <tr r="N125" s="1"/>
      </tp>
      <tp>
        <v>129.50768487006599</v>
        <stp/>
        <stp>EM_S_VAL_PBGOODWILLDEDUCTED</stp>
        <stp>2</stp>
        <stp>600145</stp>
        <stp>12/31/2018</stp>
        <tr r="N2293" s="1"/>
      </tp>
      <tp>
        <v>2.9510422991760401</v>
        <stp/>
        <stp>EM_S_VAL_PBGOODWILLDEDUCTED</stp>
        <stp>2</stp>
        <stp>300114</stp>
        <stp>12/31/2018</stp>
        <tr r="N433" s="1"/>
      </tp>
      <tp>
        <v>3.5995409599088699</v>
        <stp/>
        <stp>EM_S_VAL_PBGOODWILLDEDUCTED</stp>
        <stp>2</stp>
        <stp>300109</stp>
        <stp>12/31/2018</stp>
        <tr r="N1364" s="1"/>
      </tp>
      <tp>
        <v>0.87413087138471801</v>
        <stp/>
        <stp>EM_S_VAL_PBGOODWILLDEDUCTED</stp>
        <stp>2</stp>
        <stp>600159</stp>
        <stp>12/31/2018</stp>
        <tr r="N1961" s="1"/>
      </tp>
      <tp>
        <v>2.4599126877742501</v>
        <stp/>
        <stp>EM_S_VAL_PBGOODWILLDEDUCTED</stp>
        <stp>2</stp>
        <stp>300108</stp>
        <stp>12/31/2018</stp>
        <tr r="N3150" s="1"/>
      </tp>
      <tp>
        <v>4.5219068847732302</v>
        <stp/>
        <stp>EM_S_VAL_PBGOODWILLDEDUCTED</stp>
        <stp>2</stp>
        <stp>600158</stp>
        <stp>12/31/2018</stp>
        <tr r="N1644" s="1"/>
      </tp>
      <tp>
        <v>2.6068752852391701</v>
        <stp/>
        <stp>EM_S_VAL_PBGOODWILLDEDUCTED</stp>
        <stp>2</stp>
        <stp>300103</stp>
        <stp>12/31/2018</stp>
        <tr r="N1115" s="1"/>
      </tp>
      <tp>
        <v>0.73135182081137096</v>
        <stp/>
        <stp>EM_S_VAL_PBGOODWILLDEDUCTED</stp>
        <stp>2</stp>
        <stp>600153</stp>
        <stp>12/31/2018</stp>
        <tr r="N1100" s="1"/>
      </tp>
      <tp>
        <v>1.45289813320026</v>
        <stp/>
        <stp>EM_S_VAL_PBGOODWILLDEDUCTED</stp>
        <stp>2</stp>
        <stp>300102</stp>
        <stp>12/31/2018</stp>
        <tr r="N3006" s="1"/>
      </tp>
      <tp>
        <v>1.8164352492870901</v>
        <stp/>
        <stp>EM_S_VAL_PBGOODWILLDEDUCTED</stp>
        <stp>2</stp>
        <stp>600152</stp>
        <stp>12/31/2018</stp>
        <tr r="N1376" s="1"/>
      </tp>
      <tp>
        <v>5.9491191564202301</v>
        <stp/>
        <stp>EM_S_VAL_PBGOODWILLDEDUCTED</stp>
        <stp>2</stp>
        <stp>300101</stp>
        <stp>12/31/2018</stp>
        <tr r="N2605" s="1"/>
      </tp>
      <tp>
        <v>1.0105712777862901</v>
        <stp/>
        <stp>EM_S_VAL_PBGOODWILLDEDUCTED</stp>
        <stp>2</stp>
        <stp>600151</stp>
        <stp>12/31/2018</stp>
        <tr r="N1268" s="1"/>
      </tp>
      <tp>
        <v>2.3910189059925999</v>
        <stp/>
        <stp>EM_S_VAL_PBGOODWILLDEDUCTED</stp>
        <stp>2</stp>
        <stp>300100</stp>
        <stp>12/31/2018</stp>
        <tr r="N3326" s="1"/>
      </tp>
      <tp>
        <v>1.19870926505046</v>
        <stp/>
        <stp>EM_S_VAL_PBGOODWILLDEDUCTED</stp>
        <stp>2</stp>
        <stp>600150</stp>
        <stp>12/31/2018</stp>
        <tr r="N395" s="1"/>
      </tp>
      <tp>
        <v>3.2744979693136802</v>
        <stp/>
        <stp>EM_S_VAL_PBGOODWILLDEDUCTED</stp>
        <stp>2</stp>
        <stp>300107</stp>
        <stp>12/31/2018</stp>
        <tr r="N3155" s="1"/>
      </tp>
      <tp>
        <v>0.85670555917958802</v>
        <stp/>
        <stp>EM_S_VAL_PBGOODWILLDEDUCTED</stp>
        <stp>2</stp>
        <stp>600157</stp>
        <stp>12/31/2018</stp>
        <tr r="N1912" s="1"/>
      </tp>
      <tp>
        <v>1.7578266949522201</v>
        <stp/>
        <stp>EM_S_VAL_PBGOODWILLDEDUCTED</stp>
        <stp>2</stp>
        <stp>300106</stp>
        <stp>12/31/2018</stp>
        <tr r="N1125" s="1"/>
      </tp>
      <tp>
        <v>2.5302883522709498</v>
        <stp/>
        <stp>EM_S_VAL_PBGOODWILLDEDUCTED</stp>
        <stp>2</stp>
        <stp>600156</stp>
        <stp>12/31/2018</stp>
        <tr r="N1708" s="1"/>
      </tp>
      <tp>
        <v>0.98846694397663204</v>
        <stp/>
        <stp>EM_S_VAL_PBGOODWILLDEDUCTED</stp>
        <stp>2</stp>
        <stp>300105</stp>
        <stp>12/31/2018</stp>
        <tr r="N1424" s="1"/>
      </tp>
      <tp>
        <v>1.1663609208282699</v>
        <stp/>
        <stp>EM_S_VAL_PBGOODWILLDEDUCTED</stp>
        <stp>2</stp>
        <stp>600155</stp>
        <stp>12/31/2018</stp>
        <tr r="N234" s="1"/>
      </tp>
      <tp>
        <v>-2.63235530587948</v>
        <stp/>
        <stp>EM_S_VAL_PBGOODWILLDEDUCTED</stp>
        <stp>2</stp>
        <stp>300104</stp>
        <stp>12/31/2018</stp>
        <tr r="N3241" s="1"/>
      </tp>
      <tp>
        <v>1.7925588196472999</v>
        <stp/>
        <stp>EM_S_VAL_PBGOODWILLDEDUCTED</stp>
        <stp>2</stp>
        <stp>300139</stp>
        <stp>12/31/2018</stp>
        <tr r="N1318" s="1"/>
      </tp>
      <tp>
        <v>1.37204702265985</v>
        <stp/>
        <stp>EM_S_VAL_PBGOODWILLDEDUCTED</stp>
        <stp>2</stp>
        <stp>600169</stp>
        <stp>12/31/2018</stp>
        <tr r="N2058" s="1"/>
      </tp>
      <tp>
        <v>1.6971074928885099</v>
        <stp/>
        <stp>EM_S_VAL_PBGOODWILLDEDUCTED</stp>
        <stp>2</stp>
        <stp>300138</stp>
        <stp>12/31/2018</stp>
        <tr r="N941" s="1"/>
      </tp>
      <tp>
        <v>0.81674388836994904</v>
        <stp/>
        <stp>EM_S_VAL_PBGOODWILLDEDUCTED</stp>
        <stp>2</stp>
        <stp>600168</stp>
        <stp>12/31/2018</stp>
        <tr r="N1443" s="1"/>
      </tp>
      <tp>
        <v>2.8352394257630902</v>
        <stp/>
        <stp>EM_S_VAL_PBGOODWILLDEDUCTED</stp>
        <stp>2</stp>
        <stp>300133</stp>
        <stp>12/31/2018</stp>
        <tr r="N3041" s="1"/>
      </tp>
      <tp>
        <v>1.70492827713846</v>
        <stp/>
        <stp>EM_S_VAL_PBGOODWILLDEDUCTED</stp>
        <stp>2</stp>
        <stp>600163</stp>
        <stp>12/31/2018</stp>
        <tr r="N1968" s="1"/>
      </tp>
      <tp>
        <v>3.5955408605665999</v>
        <stp/>
        <stp>EM_S_VAL_PBGOODWILLDEDUCTED</stp>
        <stp>2</stp>
        <stp>300132</stp>
        <stp>12/31/2018</stp>
        <tr r="N2143" s="1"/>
      </tp>
      <tp>
        <v>1.4711929542647499</v>
        <stp/>
        <stp>EM_S_VAL_PBGOODWILLDEDUCTED</stp>
        <stp>2</stp>
        <stp>600162</stp>
        <stp>12/31/2018</stp>
        <tr r="N2078" s="1"/>
      </tp>
      <tp>
        <v>5.9418730078506501</v>
        <stp/>
        <stp>EM_S_VAL_PBGOODWILLDEDUCTED</stp>
        <stp>2</stp>
        <stp>300131</stp>
        <stp>12/31/2018</stp>
        <tr r="N1274" s="1"/>
      </tp>
      <tp>
        <v>5.6510840669939597</v>
        <stp/>
        <stp>EM_S_VAL_PBGOODWILLDEDUCTED</stp>
        <stp>2</stp>
        <stp>600161</stp>
        <stp>12/31/2018</stp>
        <tr r="N1011" s="1"/>
      </tp>
      <tp>
        <v>1.1015150863998799</v>
        <stp/>
        <stp>EM_S_VAL_PBGOODWILLDEDUCTED</stp>
        <stp>2</stp>
        <stp>000100</stp>
        <stp>12/31/2018</stp>
        <tr r="N212" s="1"/>
      </tp>
      <tp>
        <v>5.3865991386166998</v>
        <stp/>
        <stp>EM_S_VAL_PBGOODWILLDEDUCTED</stp>
        <stp>2</stp>
        <stp>300130</stp>
        <stp>12/31/2018</stp>
        <tr r="N478" s="1"/>
      </tp>
      <tp>
        <v>1.4505742417583201</v>
        <stp/>
        <stp>EM_S_VAL_PBGOODWILLDEDUCTED</stp>
        <stp>2</stp>
        <stp>600160</stp>
        <stp>12/31/2018</stp>
        <tr r="N1738" s="1"/>
      </tp>
      <tp>
        <v>2.9987673290561898</v>
        <stp/>
        <stp>EM_S_VAL_PBGOODWILLDEDUCTED</stp>
        <stp>2</stp>
        <stp>300137</stp>
        <stp>12/31/2018</stp>
        <tr r="N2600" s="1"/>
      </tp>
      <tp>
        <v>2.6059737592196699</v>
        <stp/>
        <stp>EM_S_VAL_PBGOODWILLDEDUCTED</stp>
        <stp>2</stp>
        <stp>600167</stp>
        <stp>12/31/2018</stp>
        <tr r="N683" s="1"/>
      </tp>
      <tp>
        <v>6.7215121374399702</v>
        <stp/>
        <stp>EM_S_VAL_PBGOODWILLDEDUCTED</stp>
        <stp>2</stp>
        <stp>300136</stp>
        <stp>12/31/2018</stp>
        <tr r="N145" s="1"/>
      </tp>
      <tp>
        <v>0.800465988106417</v>
        <stp/>
        <stp>EM_S_VAL_PBGOODWILLDEDUCTED</stp>
        <stp>2</stp>
        <stp>600166</stp>
        <stp>12/31/2018</stp>
        <tr r="N1515" s="1"/>
      </tp>
      <tp>
        <v>2.01253617379373</v>
        <stp/>
        <stp>EM_S_VAL_PBGOODWILLDEDUCTED</stp>
        <stp>2</stp>
        <stp>300135</stp>
        <stp>12/31/2018</stp>
        <tr r="N2372" s="1"/>
      </tp>
      <tp>
        <v>3.8305495543609598</v>
        <stp/>
        <stp>EM_S_VAL_PBGOODWILLDEDUCTED</stp>
        <stp>2</stp>
        <stp>600165</stp>
        <stp>12/31/2018</stp>
        <tr r="N3077" s="1"/>
      </tp>
      <tp>
        <v>1.3565874525436401</v>
        <stp/>
        <stp>EM_S_VAL_PBGOODWILLDEDUCTED</stp>
        <stp>2</stp>
        <stp>300134</stp>
        <stp>12/31/2018</stp>
        <tr r="N367" s="1"/>
      </tp>
      <tp>
        <v>0.93791538111242401</v>
        <stp/>
        <stp>EM_S_VAL_PBGOODWILLDEDUCTED</stp>
        <stp>2</stp>
        <stp>300129</stp>
        <stp>12/31/2018</stp>
        <tr r="N310" s="1"/>
      </tp>
      <tp>
        <v>2.92332213706604</v>
        <stp/>
        <stp>EM_S_VAL_PBGOODWILLDEDUCTED</stp>
        <stp>2</stp>
        <stp>600179</stp>
        <stp>12/31/2018</stp>
        <tr r="N3223" s="1"/>
      </tp>
      <tp>
        <v>4.4567559448196699</v>
        <stp/>
        <stp>EM_S_VAL_PBGOODWILLDEDUCTED</stp>
        <stp>2</stp>
        <stp>300128</stp>
        <stp>12/31/2018</stp>
        <tr r="N1612" s="1"/>
      </tp>
      <tp>
        <v>1.03704573545276</v>
        <stp/>
        <stp>EM_S_VAL_PBGOODWILLDEDUCTED</stp>
        <stp>2</stp>
        <stp>600178</stp>
        <stp>12/31/2018</stp>
        <tr r="N1550" s="1"/>
      </tp>
      <tp>
        <v>2.3871516645487199</v>
        <stp/>
        <stp>EM_S_VAL_PBGOODWILLDEDUCTED</stp>
        <stp>2</stp>
        <stp>300123</stp>
        <stp>12/31/2018</stp>
        <tr r="N2994" s="1"/>
      </tp>
      <tp>
        <v>1.1832948711689599</v>
        <stp/>
        <stp>EM_S_VAL_PBGOODWILLDEDUCTED</stp>
        <stp>2</stp>
        <stp>600173</stp>
        <stp>12/31/2018</stp>
        <tr r="N786" s="1"/>
      </tp>
      <tp>
        <v>14.9018898883291</v>
        <stp/>
        <stp>EM_S_VAL_PBGOODWILLDEDUCTED</stp>
        <stp>2</stp>
        <stp>300122</stp>
        <stp>12/31/2018</stp>
        <tr r="N1101" s="1"/>
      </tp>
      <tp>
        <v>0.991723285704601</v>
        <stp/>
        <stp>EM_S_VAL_PBGOODWILLDEDUCTED</stp>
        <stp>2</stp>
        <stp>600172</stp>
        <stp>12/31/2018</stp>
        <tr r="N2575" s="1"/>
      </tp>
      <tp>
        <v>1.8777080795907199</v>
        <stp/>
        <stp>EM_S_VAL_PBGOODWILLDEDUCTED</stp>
        <stp>2</stp>
        <stp>300121</stp>
        <stp>12/31/2018</stp>
        <tr r="N3007" s="1"/>
      </tp>
      <tp>
        <v>3.3128632783507701</v>
        <stp/>
        <stp>EM_S_VAL_PBGOODWILLDEDUCTED</stp>
        <stp>2</stp>
        <stp>600171</stp>
        <stp>12/31/2018</stp>
        <tr r="N298" s="1"/>
      </tp>
      <tp>
        <v>1.9334007438928</v>
        <stp/>
        <stp>EM_S_VAL_PBGOODWILLDEDUCTED</stp>
        <stp>2</stp>
        <stp>300120</stp>
        <stp>12/31/2018</stp>
        <tr r="N2024" s="1"/>
      </tp>
      <tp>
        <v>1.10300212188075</v>
        <stp/>
        <stp>EM_S_VAL_PBGOODWILLDEDUCTED</stp>
        <stp>2</stp>
        <stp>600170</stp>
        <stp>12/31/2018</stp>
        <tr r="N1414" s="1"/>
      </tp>
      <tp>
        <v>2.83661887449029</v>
        <stp/>
        <stp>EM_S_VAL_PBGOODWILLDEDUCTED</stp>
        <stp>2</stp>
        <stp>300127</stp>
        <stp>12/31/2018</stp>
        <tr r="N251" s="1"/>
      </tp>
      <tp>
        <v>0.91489399357946399</v>
        <stp/>
        <stp>EM_S_VAL_PBGOODWILLDEDUCTED</stp>
        <stp>2</stp>
        <stp>600177</stp>
        <stp>12/31/2018</stp>
        <tr r="N2487" s="1"/>
      </tp>
      <tp>
        <v>1.5641267263155401</v>
        <stp/>
        <stp>EM_S_VAL_PBGOODWILLDEDUCTED</stp>
        <stp>2</stp>
        <stp>300126</stp>
        <stp>12/31/2018</stp>
        <tr r="N1497" s="1"/>
      </tp>
      <tp>
        <v>2.4602620169903799</v>
        <stp/>
        <stp>EM_S_VAL_PBGOODWILLDEDUCTED</stp>
        <stp>2</stp>
        <stp>600176</stp>
        <stp>12/31/2018</stp>
        <tr r="N1596" s="1"/>
      </tp>
      <tp>
        <v>2.94580926356435</v>
        <stp/>
        <stp>EM_S_VAL_PBGOODWILLDEDUCTED</stp>
        <stp>2</stp>
        <stp>300125</stp>
        <stp>12/31/2018</stp>
        <tr r="N841" s="1"/>
      </tp>
      <tp>
        <v>0.86212593168485396</v>
        <stp/>
        <stp>EM_S_VAL_PBGOODWILLDEDUCTED</stp>
        <stp>2</stp>
        <stp>600175</stp>
        <stp>12/31/2018</stp>
        <tr r="N2982" s="1"/>
      </tp>
      <tp>
        <v>5.65135282466861</v>
        <stp/>
        <stp>EM_S_VAL_PBGOODWILLDEDUCTED</stp>
        <stp>2</stp>
        <stp>300124</stp>
        <stp>12/31/2018</stp>
        <tr r="N514" s="1"/>
      </tp>
      <tp>
        <v>0.87484681353236204</v>
        <stp/>
        <stp>EM_S_VAL_PBGOODWILLDEDUCTED</stp>
        <stp>2</stp>
        <stp>600089</stp>
        <stp>12/31/2018</stp>
        <tr r="N2447" s="1"/>
      </tp>
      <tp>
        <v>2.8101336311027598</v>
        <stp/>
        <stp>EM_S_VAL_PBGOODWILLDEDUCTED</stp>
        <stp>2</stp>
        <stp>600088</stp>
        <stp>12/31/2018</stp>
        <tr r="N412" s="1"/>
      </tp>
      <tp>
        <v>348.62833017170402</v>
        <stp/>
        <stp>EM_S_VAL_PBGOODWILLDEDUCTED</stp>
        <stp>2</stp>
        <stp>600083</stp>
        <stp>12/31/2018</stp>
        <tr r="N1494" s="1"/>
      </tp>
      <tp>
        <v>1.71066325013125</v>
        <stp/>
        <stp>EM_S_VAL_PBGOODWILLDEDUCTED</stp>
        <stp>2</stp>
        <stp>600082</stp>
        <stp>12/31/2018</stp>
        <tr r="N2681" s="1"/>
      </tp>
      <tp>
        <v>1.75692705984028</v>
        <stp/>
        <stp>EM_S_VAL_PBGOODWILLDEDUCTED</stp>
        <stp>2</stp>
        <stp>600081</stp>
        <stp>12/31/2018</stp>
        <tr r="N405" s="1"/>
      </tp>
      <tp>
        <v>1.5088977444368901</v>
        <stp/>
        <stp>EM_S_VAL_PBGOODWILLDEDUCTED</stp>
        <stp>2</stp>
        <stp>600080</stp>
        <stp>12/31/2018</stp>
        <tr r="N2993" s="1"/>
      </tp>
      <tp>
        <v>1.1073557355768799</v>
        <stp/>
        <stp>EM_S_VAL_PBGOODWILLDEDUCTED</stp>
        <stp>2</stp>
        <stp>600087</stp>
        <stp>12/31/2018</stp>
        <tr r="N2290" s="1"/>
      </tp>
      <tp>
        <v>4.1797413184118701</v>
        <stp/>
        <stp>EM_S_VAL_PBGOODWILLDEDUCTED</stp>
        <stp>2</stp>
        <stp>600086</stp>
        <stp>12/31/2018</stp>
        <tr r="N3319" s="1"/>
      </tp>
      <tp>
        <v>4.0930446874516102</v>
        <stp/>
        <stp>EM_S_VAL_PBGOODWILLDEDUCTED</stp>
        <stp>2</stp>
        <stp>600085</stp>
        <stp>12/31/2018</stp>
        <tr r="N2188" s="1"/>
      </tp>
      <tp>
        <v>1.5109423131639601</v>
        <stp/>
        <stp>EM_S_VAL_PBGOODWILLDEDUCTED</stp>
        <stp>2</stp>
        <stp>600084</stp>
        <stp>12/31/2018</stp>
        <tr r="N2817" s="1"/>
      </tp>
      <tp>
        <v>2.6252898638856799</v>
        <stp/>
        <stp>EM_S_VAL_PBGOODWILLDEDUCTED</stp>
        <stp>2</stp>
        <stp>600099</stp>
        <stp>12/31/2018</stp>
        <tr r="N1401" s="1"/>
      </tp>
      <tp>
        <v>0.94913935023974905</v>
        <stp/>
        <stp>EM_S_VAL_PBGOODWILLDEDUCTED</stp>
        <stp>2</stp>
        <stp>600098</stp>
        <stp>12/31/2018</stp>
        <tr r="N1455" s="1"/>
      </tp>
      <tp>
        <v>1.2014283421035199</v>
        <stp/>
        <stp>EM_S_VAL_PBGOODWILLDEDUCTED</stp>
        <stp>2</stp>
        <stp>600093</stp>
        <stp>12/31/2018</stp>
        <tr r="N227" s="1"/>
      </tp>
      <tp>
        <v>-0.48439476261609798</v>
        <stp/>
        <stp>EM_S_VAL_PBGOODWILLDEDUCTED</stp>
        <stp>2</stp>
        <stp>600092</stp>
        <stp>12/31/2018</stp>
        <tr r="N2291" s="1"/>
      </tp>
      <tp>
        <v>1.8488926616405901</v>
        <stp/>
        <stp>EM_S_VAL_PBGOODWILLDEDUCTED</stp>
        <stp>2</stp>
        <stp>600091</stp>
        <stp>12/31/2018</stp>
        <tr r="N2402" s="1"/>
      </tp>
      <tp>
        <v>1.30338223140406</v>
        <stp/>
        <stp>EM_S_VAL_PBGOODWILLDEDUCTED</stp>
        <stp>2</stp>
        <stp>600090</stp>
        <stp>12/31/2018</stp>
        <tr r="N3138" s="1"/>
      </tp>
      <tp>
        <v>1.61685456332938</v>
        <stp/>
        <stp>EM_S_VAL_PBGOODWILLDEDUCTED</stp>
        <stp>2</stp>
        <stp>600097</stp>
        <stp>12/31/2018</stp>
        <tr r="N2540" s="1"/>
      </tp>
      <tp>
        <v>1.54306118665792</v>
        <stp/>
        <stp>EM_S_VAL_PBGOODWILLDEDUCTED</stp>
        <stp>2</stp>
        <stp>600096</stp>
        <stp>12/31/2018</stp>
        <tr r="N2005" s="1"/>
      </tp>
      <tp>
        <v>1.81029342893903</v>
        <stp/>
        <stp>EM_S_VAL_PBGOODWILLDEDUCTED</stp>
        <stp>2</stp>
        <stp>600095</stp>
        <stp>12/31/2018</stp>
        <tr r="N100" s="1"/>
      </tp>
      <tp>
        <v>0.74333752485072102</v>
        <stp/>
        <stp>EM_S_VAL_PBGOODWILLDEDUCTED</stp>
        <stp>2</stp>
        <stp>600094</stp>
        <stp>12/31/2018</stp>
        <tr r="N451" s="1"/>
      </tp>
      <tp>
        <v>2.2550960745326298</v>
        <stp/>
        <stp>EM_S_VAL_PBGOODWILLDEDUCTED</stp>
        <stp>2</stp>
        <stp>300099</stp>
        <stp>12/31/2018</stp>
        <tr r="N551" s="1"/>
      </tp>
      <tp>
        <v>3.0955478306723001</v>
        <stp/>
        <stp>EM_S_VAL_PBGOODWILLDEDUCTED</stp>
        <stp>2</stp>
        <stp>300098</stp>
        <stp>12/31/2018</stp>
        <tr r="N2821" s="1"/>
      </tp>
      <tp>
        <v>1.8260287165545801</v>
        <stp/>
        <stp>EM_S_VAL_PBGOODWILLDEDUCTED</stp>
        <stp>2</stp>
        <stp>300093</stp>
        <stp>12/31/2018</stp>
        <tr r="N239" s="1"/>
      </tp>
      <tp>
        <v>2.5838256256204502</v>
        <stp/>
        <stp>EM_S_VAL_PBGOODWILLDEDUCTED</stp>
        <stp>2</stp>
        <stp>300092</stp>
        <stp>12/31/2018</stp>
        <tr r="N1306" s="1"/>
      </tp>
      <tp>
        <v>2.1099865435827199</v>
        <stp/>
        <stp>EM_S_VAL_PBGOODWILLDEDUCTED</stp>
        <stp>2</stp>
        <stp>300091</stp>
        <stp>12/31/2018</stp>
        <tr r="N1161" s="1"/>
      </tp>
      <tp>
        <v>16.4465809742292</v>
        <stp/>
        <stp>EM_S_VAL_PBGOODWILLDEDUCTED</stp>
        <stp>2</stp>
        <stp>300090</stp>
        <stp>12/31/2018</stp>
        <tr r="N3294" s="1"/>
      </tp>
      <tp>
        <v>3.0189400948299401</v>
        <stp/>
        <stp>EM_S_VAL_PBGOODWILLDEDUCTED</stp>
        <stp>2</stp>
        <stp>300097</stp>
        <stp>12/31/2018</stp>
        <tr r="N2911" s="1"/>
      </tp>
      <tp>
        <v>4.8630030474927803</v>
        <stp/>
        <stp>EM_S_VAL_PBGOODWILLDEDUCTED</stp>
        <stp>2</stp>
        <stp>300096</stp>
        <stp>12/31/2018</stp>
        <tr r="N1359" s="1"/>
      </tp>
      <tp>
        <v>2.2677487691071998</v>
        <stp/>
        <stp>EM_S_VAL_PBGOODWILLDEDUCTED</stp>
        <stp>2</stp>
        <stp>300095</stp>
        <stp>12/31/2018</stp>
        <tr r="N950" s="1"/>
      </tp>
      <tp>
        <v>1.83904584547367</v>
        <stp/>
        <stp>EM_S_VAL_PBGOODWILLDEDUCTED</stp>
        <stp>2</stp>
        <stp>300094</stp>
        <stp>12/31/2018</stp>
        <tr r="N2998" s="1"/>
      </tp>
      <tp>
        <v>3.33639657210295</v>
        <stp/>
        <stp>EM_S_VAL_PBGOODWILLDEDUCTED</stp>
        <stp>2</stp>
        <stp>300089</stp>
        <stp>12/31/2018</stp>
        <tr r="N3253" s="1"/>
      </tp>
      <tp>
        <v>2.08185599099459</v>
        <stp/>
        <stp>EM_S_VAL_PBGOODWILLDEDUCTED</stp>
        <stp>2</stp>
        <stp>300088</stp>
        <stp>12/31/2018</stp>
        <tr r="N96" s="1"/>
      </tp>
      <tp>
        <v>3.1250371984553298</v>
        <stp/>
        <stp>EM_S_VAL_PBGOODWILLDEDUCTED</stp>
        <stp>2</stp>
        <stp>300083</stp>
        <stp>12/31/2018</stp>
        <tr r="N377" s="1"/>
      </tp>
      <tp>
        <v>1.35912863029651</v>
        <stp/>
        <stp>EM_S_VAL_PBGOODWILLDEDUCTED</stp>
        <stp>2</stp>
        <stp>300082</stp>
        <stp>12/31/2018</stp>
        <tr r="N2238" s="1"/>
      </tp>
      <tp>
        <v>2.4176937749073</v>
        <stp/>
        <stp>EM_S_VAL_PBGOODWILLDEDUCTED</stp>
        <stp>2</stp>
        <stp>300081</stp>
        <stp>12/31/2018</stp>
        <tr r="N1430" s="1"/>
      </tp>
      <tp>
        <v>1.4293365672264799</v>
        <stp/>
        <stp>EM_S_VAL_PBGOODWILLDEDUCTED</stp>
        <stp>2</stp>
        <stp>300080</stp>
        <stp>12/31/2018</stp>
        <tr r="N1199" s="1"/>
      </tp>
      <tp>
        <v>5.7054320335700801</v>
        <stp/>
        <stp>EM_S_VAL_PBGOODWILLDEDUCTED</stp>
        <stp>2</stp>
        <stp>300087</stp>
        <stp>12/31/2018</stp>
        <tr r="N2662" s="1"/>
      </tp>
      <tp>
        <v>2.18843388403105</v>
        <stp/>
        <stp>EM_S_VAL_PBGOODWILLDEDUCTED</stp>
        <stp>2</stp>
        <stp>300086</stp>
        <stp>12/31/2018</stp>
        <tr r="N3069" s="1"/>
      </tp>
      <tp>
        <v>4.7044421881290797</v>
        <stp/>
        <stp>EM_S_VAL_PBGOODWILLDEDUCTED</stp>
        <stp>2</stp>
        <stp>300085</stp>
        <stp>12/31/2018</stp>
        <tr r="N175" s="1"/>
      </tp>
      <tp>
        <v>1.2945722695720201</v>
        <stp/>
        <stp>EM_S_VAL_PBGOODWILLDEDUCTED</stp>
        <stp>2</stp>
        <stp>300084</stp>
        <stp>12/31/2018</stp>
        <tr r="N2639" s="1"/>
      </tp>
      <tp>
        <v>1.37273363520624</v>
        <stp/>
        <stp>EM_S_VAL_PBGOODWILLDEDUCTED</stp>
        <stp>2</stp>
        <stp>000089</stp>
        <stp>12/31/2018</stp>
        <tr r="N1035" s="1"/>
      </tp>
      <tp>
        <v>1.44687873342717</v>
        <stp/>
        <stp>EM_S_VAL_PBGOODWILLDEDUCTED</stp>
        <stp>2</stp>
        <stp>000088</stp>
        <stp>12/31/2018</stp>
        <tr r="N1566" s="1"/>
      </tp>
      <tp>
        <v>1.1106185138204201</v>
        <stp/>
        <stp>EM_S_VAL_PBGOODWILLDEDUCTED</stp>
        <stp>2</stp>
        <stp>000099</stp>
        <stp>12/31/2018</stp>
        <tr r="N899" s="1"/>
      </tp>
      <tp>
        <v>0.96048348331781797</v>
        <stp/>
        <stp>EM_S_VAL_PBGOODWILLDEDUCTED</stp>
        <stp>2</stp>
        <stp>000090</stp>
        <stp>12/31/2018</stp>
        <tr r="N479" s="1"/>
      </tp>
      <tp>
        <v>2.08336698810117</v>
        <stp/>
        <stp>EM_S_VAL_PBGOODWILLDEDUCTED</stp>
        <stp>2</stp>
        <stp>000096</stp>
        <stp>12/31/2018</stp>
        <tr r="N1146" s="1"/>
      </tp>
      <tp>
        <v>0.88244026692731803</v>
        <stp/>
        <stp>EM_S_VAL_PBGOODWILLDEDUCTED</stp>
        <stp>2</stp>
        <stp>000069</stp>
        <stp>12/31/2018</stp>
        <tr r="N986" s="1"/>
      </tp>
      <tp>
        <v>5.4149319945648502</v>
        <stp/>
        <stp>EM_S_VAL_PBGOODWILLDEDUCTED</stp>
        <stp>2</stp>
        <stp>300059</stp>
        <stp>12/31/2018</stp>
        <tr r="N916" s="1"/>
      </tp>
      <tp>
        <v>3.4628757670928998</v>
        <stp/>
        <stp>EM_S_VAL_PBGOODWILLDEDUCTED</stp>
        <stp>2</stp>
        <stp>600009</stp>
        <stp>12/31/2018</stp>
        <tr r="N511" s="1"/>
      </tp>
      <tp>
        <v>8.4827793753559906</v>
        <stp/>
        <stp>EM_S_VAL_PBGOODWILLDEDUCTED</stp>
        <stp>2</stp>
        <stp>000068</stp>
        <stp>12/31/2018</stp>
        <tr r="N2414" s="1"/>
      </tp>
      <tp>
        <v>6.2960210178748897</v>
        <stp/>
        <stp>EM_S_VAL_PBGOODWILLDEDUCTED</stp>
        <stp>2</stp>
        <stp>300058</stp>
        <stp>12/31/2018</stp>
        <tr r="N873" s="1"/>
      </tp>
      <tp>
        <v>2.3601523287916901</v>
        <stp/>
        <stp>EM_S_VAL_PBGOODWILLDEDUCTED</stp>
        <stp>2</stp>
        <stp>600008</stp>
        <stp>12/31/2018</stp>
        <tr r="N2550" s="1"/>
      </tp>
      <tp>
        <v>3.6164459213323501</v>
        <stp/>
        <stp>EM_S_VAL_PBGOODWILLDEDUCTED</stp>
        <stp>2</stp>
        <stp>000063</stp>
        <stp>12/31/2018</stp>
        <tr r="N245" s="1"/>
      </tp>
      <tp>
        <v>2.4210083218121401</v>
        <stp/>
        <stp>EM_S_VAL_PBGOODWILLDEDUCTED</stp>
        <stp>2</stp>
        <stp>300053</stp>
        <stp>12/31/2018</stp>
        <tr r="N528" s="1"/>
      </tp>
      <tp>
        <v>1.2398154793679399</v>
        <stp/>
        <stp>EM_S_VAL_PBGOODWILLDEDUCTED</stp>
        <stp>2</stp>
        <stp>600003</stp>
        <stp>12/31/2018</stp>
        <tr r="N2287" s="1"/>
      </tp>
      <tp>
        <v>4.2357818755845198</v>
        <stp/>
        <stp>EM_S_VAL_PBGOODWILLDEDUCTED</stp>
        <stp>2</stp>
        <stp>000062</stp>
        <stp>12/31/2018</stp>
        <tr r="N1072" s="1"/>
      </tp>
      <tp>
        <v>3.6932645156283299</v>
        <stp/>
        <stp>EM_S_VAL_PBGOODWILLDEDUCTED</stp>
        <stp>2</stp>
        <stp>300052</stp>
        <stp>12/31/2018</stp>
        <tr r="N509" s="1"/>
      </tp>
      <tp>
        <v>2.5735341724607301</v>
        <stp/>
        <stp>EM_S_VAL_PBGOODWILLDEDUCTED</stp>
        <stp>2</stp>
        <stp>600002</stp>
        <stp>12/31/2018</stp>
        <tr r="N2286" s="1"/>
      </tp>
      <tp>
        <v>1.6733407953306001</v>
        <stp/>
        <stp>EM_S_VAL_PBGOODWILLDEDUCTED</stp>
        <stp>2</stp>
        <stp>000061</stp>
        <stp>12/31/2018</stp>
        <tr r="N1460" s="1"/>
      </tp>
      <tp>
        <v>7.2202284303553297</v>
        <stp/>
        <stp>EM_S_VAL_PBGOODWILLDEDUCTED</stp>
        <stp>2</stp>
        <stp>300051</stp>
        <stp>12/31/2018</stp>
        <tr r="N2016" s="1"/>
      </tp>
      <tp>
        <v>1.20009614878077</v>
        <stp/>
        <stp>EM_S_VAL_PBGOODWILLDEDUCTED</stp>
        <stp>2</stp>
        <stp>600001</stp>
        <stp>12/31/2018</stp>
        <tr r="N2285" s="1"/>
      </tp>
      <tp>
        <v>1.3881327493123601</v>
        <stp/>
        <stp>EM_S_VAL_PBGOODWILLDEDUCTED</stp>
        <stp>2</stp>
        <stp>000060</stp>
        <stp>12/31/2018</stp>
        <tr r="N1710" s="1"/>
      </tp>
      <tp>
        <v>2.0477310215981599</v>
        <stp/>
        <stp>EM_S_VAL_PBGOODWILLDEDUCTED</stp>
        <stp>2</stp>
        <stp>300050</stp>
        <stp>12/31/2018</stp>
        <tr r="N2656" s="1"/>
      </tp>
      <tp>
        <v>0.661780992291924</v>
        <stp/>
        <stp>EM_S_VAL_PBGOODWILLDEDUCTED</stp>
        <stp>2</stp>
        <stp>600000</stp>
        <stp>12/31/2018</stp>
        <tr r="N1062" s="1"/>
      </tp>
      <tp>
        <v>1.1442496149602499</v>
        <stp/>
        <stp>EM_S_VAL_PBGOODWILLDEDUCTED</stp>
        <stp>2</stp>
        <stp>300057</stp>
        <stp>12/31/2018</stp>
        <tr r="N2435" s="1"/>
      </tp>
      <tp>
        <v>1.8632223329234401</v>
        <stp/>
        <stp>EM_S_VAL_PBGOODWILLDEDUCTED</stp>
        <stp>2</stp>
        <stp>600007</stp>
        <stp>12/31/2018</stp>
        <tr r="N722" s="1"/>
      </tp>
      <tp>
        <v>2.2388458534198699</v>
        <stp/>
        <stp>EM_S_VAL_PBGOODWILLDEDUCTED</stp>
        <stp>2</stp>
        <stp>000066</stp>
        <stp>12/31/2018</stp>
        <tr r="N34" s="1"/>
      </tp>
      <tp>
        <v>3.3730543463192002</v>
        <stp/>
        <stp>EM_S_VAL_PBGOODWILLDEDUCTED</stp>
        <stp>2</stp>
        <stp>300056</stp>
        <stp>12/31/2018</stp>
        <tr r="N1201" s="1"/>
      </tp>
      <tp>
        <v>1.00795641114292</v>
        <stp/>
        <stp>EM_S_VAL_PBGOODWILLDEDUCTED</stp>
        <stp>2</stp>
        <stp>600006</stp>
        <stp>12/31/2018</stp>
        <tr r="N1054" s="1"/>
      </tp>
      <tp>
        <v>1.4165035258062599</v>
        <stp/>
        <stp>EM_S_VAL_PBGOODWILLDEDUCTED</stp>
        <stp>2</stp>
        <stp>000065</stp>
        <stp>12/31/2018</stp>
        <tr r="N1549" s="1"/>
      </tp>
      <tp>
        <v>1.2085118518378299</v>
        <stp/>
        <stp>EM_S_VAL_PBGOODWILLDEDUCTED</stp>
        <stp>2</stp>
        <stp>300055</stp>
        <stp>12/31/2018</stp>
        <tr r="N2859" s="1"/>
      </tp>
      <tp>
        <v>1.3231663793916799</v>
        <stp/>
        <stp>EM_S_VAL_PBGOODWILLDEDUCTED</stp>
        <stp>2</stp>
        <stp>600005</stp>
        <stp>12/31/2018</stp>
        <tr r="N2288" s="1"/>
      </tp>
      <tp>
        <v>2.1758418333544398</v>
        <stp/>
        <stp>EM_S_VAL_PBGOODWILLDEDUCTED</stp>
        <stp>2</stp>
        <stp>300054</stp>
        <stp>12/31/2018</stp>
        <tr r="N635" s="1"/>
      </tp>
      <tp>
        <v>1.3317779562232801</v>
        <stp/>
        <stp>EM_S_VAL_PBGOODWILLDEDUCTED</stp>
        <stp>2</stp>
        <stp>600004</stp>
        <stp>12/31/2018</stp>
        <tr r="N266" s="1"/>
      </tp>
      <tp>
        <v>2.2300397379116799</v>
        <stp/>
        <stp>EM_S_VAL_PBGOODWILLDEDUCTED</stp>
        <stp>2</stp>
        <stp>300049</stp>
        <stp>12/31/2018</stp>
        <tr r="N3166" s="1"/>
      </tp>
      <tp>
        <v>0.82128152597036697</v>
        <stp/>
        <stp>EM_S_VAL_PBGOODWILLDEDUCTED</stp>
        <stp>2</stp>
        <stp>600019</stp>
        <stp>12/31/2018</stp>
        <tr r="N2815" s="1"/>
      </tp>
      <tp>
        <v>3.8874495279385202</v>
        <stp/>
        <stp>EM_S_VAL_PBGOODWILLDEDUCTED</stp>
        <stp>2</stp>
        <stp>000078</stp>
        <stp>12/31/2018</stp>
        <tr r="N1064" s="1"/>
      </tp>
      <tp>
        <v>1.36218514839974</v>
        <stp/>
        <stp>EM_S_VAL_PBGOODWILLDEDUCTED</stp>
        <stp>2</stp>
        <stp>300048</stp>
        <stp>12/31/2018</stp>
        <tr r="N2355" s="1"/>
      </tp>
      <tp>
        <v>1.59272402829103</v>
        <stp/>
        <stp>EM_S_VAL_PBGOODWILLDEDUCTED</stp>
        <stp>2</stp>
        <stp>600018</stp>
        <stp>12/31/2018</stp>
        <tr r="N1725" s="1"/>
      </tp>
      <tp>
        <v>2.4318260902867102</v>
        <stp/>
        <stp>EM_S_VAL_PBGOODWILLDEDUCTED</stp>
        <stp>2</stp>
        <stp>300043</stp>
        <stp>12/31/2018</stp>
        <tr r="N491" s="1"/>
      </tp>
      <tp>
        <v>1.8144799404080401</v>
        <stp/>
        <stp>EM_S_VAL_PBGOODWILLDEDUCTED</stp>
        <stp>2</stp>
        <stp>300042</stp>
        <stp>12/31/2018</stp>
        <tr r="N1386" s="1"/>
      </tp>
      <tp>
        <v>0.99318980117518996</v>
        <stp/>
        <stp>EM_S_VAL_PBGOODWILLDEDUCTED</stp>
        <stp>2</stp>
        <stp>600012</stp>
        <stp>12/31/2018</stp>
        <tr r="N2470" s="1"/>
      </tp>
      <tp>
        <v>1.6111771489107101</v>
        <stp/>
        <stp>EM_S_VAL_PBGOODWILLDEDUCTED</stp>
        <stp>2</stp>
        <stp>300041</stp>
        <stp>12/31/2018</stp>
        <tr r="N532" s="1"/>
      </tp>
      <tp>
        <v>1.9075125287209</v>
        <stp/>
        <stp>EM_S_VAL_PBGOODWILLDEDUCTED</stp>
        <stp>2</stp>
        <stp>600011</stp>
        <stp>12/31/2018</stp>
        <tr r="N3146" s="1"/>
      </tp>
      <tp>
        <v>2.5040742823181099</v>
        <stp/>
        <stp>EM_S_VAL_PBGOODWILLDEDUCTED</stp>
        <stp>2</stp>
        <stp>000070</stp>
        <stp>12/31/2018</stp>
        <tr r="N228" s="1"/>
      </tp>
      <tp>
        <v>0.93677911950549297</v>
        <stp/>
        <stp>EM_S_VAL_PBGOODWILLDEDUCTED</stp>
        <stp>2</stp>
        <stp>300040</stp>
        <stp>12/31/2018</stp>
        <tr r="N1626" s="1"/>
      </tp>
      <tp>
        <v>1.2858240696572301</v>
        <stp/>
        <stp>EM_S_VAL_PBGOODWILLDEDUCTED</stp>
        <stp>2</stp>
        <stp>600010</stp>
        <stp>12/31/2018</stp>
        <tr r="N2792" s="1"/>
      </tp>
      <tp>
        <v>1.8710471410063201</v>
        <stp/>
        <stp>EM_S_VAL_PBGOODWILLDEDUCTED</stp>
        <stp>2</stp>
        <stp>300047</stp>
        <stp>12/31/2018</stp>
        <tr r="N3200" s="1"/>
      </tp>
      <tp>
        <v>0.76529718725306195</v>
        <stp/>
        <stp>EM_S_VAL_PBGOODWILLDEDUCTED</stp>
        <stp>2</stp>
        <stp>600017</stp>
        <stp>12/31/2018</stp>
        <tr r="N1986" s="1"/>
      </tp>
      <tp>
        <v>3.8841090176200499</v>
        <stp/>
        <stp>EM_S_VAL_PBGOODWILLDEDUCTED</stp>
        <stp>2</stp>
        <stp>300046</stp>
        <stp>12/31/2018</stp>
        <tr r="N595" s="1"/>
      </tp>
      <tp>
        <v>0.61161449799469503</v>
        <stp/>
        <stp>EM_S_VAL_PBGOODWILLDEDUCTED</stp>
        <stp>2</stp>
        <stp>600016</stp>
        <stp>12/31/2018</stp>
        <tr r="N1730" s="1"/>
      </tp>
      <tp>
        <v>3.0263442271329399</v>
        <stp/>
        <stp>EM_S_VAL_PBGOODWILLDEDUCTED</stp>
        <stp>2</stp>
        <stp>300045</stp>
        <stp>12/31/2018</stp>
        <tr r="N1141" s="1"/>
      </tp>
      <tp>
        <v>0.48061580705137402</v>
        <stp/>
        <stp>EM_S_VAL_PBGOODWILLDEDUCTED</stp>
        <stp>2</stp>
        <stp>600015</stp>
        <stp>12/31/2018</stp>
        <tr r="N2083" s="1"/>
      </tp>
      <tp>
        <v>3.5380789530532102</v>
        <stp/>
        <stp>EM_S_VAL_PBGOODWILLDEDUCTED</stp>
        <stp>2</stp>
        <stp>300044</stp>
        <stp>12/31/2018</stp>
        <tr r="N1874" s="1"/>
      </tp>
      <tp>
        <v>3.3628061814247299</v>
        <stp/>
        <stp>EM_S_VAL_PBGOODWILLDEDUCTED</stp>
        <stp>2</stp>
        <stp>000049</stp>
        <stp>12/31/2018</stp>
        <tr r="N678" s="1"/>
      </tp>
      <tp>
        <v>1.2775708474754801</v>
        <stp/>
        <stp>EM_S_VAL_PBGOODWILLDEDUCTED</stp>
        <stp>2</stp>
        <stp>300079</stp>
        <stp>12/31/2018</stp>
        <tr r="N236" s="1"/>
      </tp>
      <tp>
        <v>1.2530809959392599</v>
        <stp/>
        <stp>EM_S_VAL_PBGOODWILLDEDUCTED</stp>
        <stp>2</stp>
        <stp>600029</stp>
        <stp>12/31/2018</stp>
        <tr r="N1859" s="1"/>
      </tp>
      <tp>
        <v>7.0051050037155198</v>
        <stp/>
        <stp>EM_S_VAL_PBGOODWILLDEDUCTED</stp>
        <stp>2</stp>
        <stp>000048</stp>
        <stp>12/31/2018</stp>
        <tr r="N1177" s="1"/>
      </tp>
      <tp>
        <v>5.36838607733928</v>
        <stp/>
        <stp>EM_S_VAL_PBGOODWILLDEDUCTED</stp>
        <stp>2</stp>
        <stp>300078</stp>
        <stp>12/31/2018</stp>
        <tr r="N1234" s="1"/>
      </tp>
      <tp>
        <v>0.86152980250549904</v>
        <stp/>
        <stp>EM_S_VAL_PBGOODWILLDEDUCTED</stp>
        <stp>2</stp>
        <stp>600028</stp>
        <stp>12/31/2018</stp>
        <tr r="N2245" s="1"/>
      </tp>
      <tp>
        <v>1.03032739003707</v>
        <stp/>
        <stp>EM_S_VAL_PBGOODWILLDEDUCTED</stp>
        <stp>2</stp>
        <stp>000043</stp>
        <stp>12/31/2018</stp>
        <tr r="N4" s="1"/>
      </tp>
      <tp>
        <v>4.0465824811365296</v>
        <stp/>
        <stp>EM_S_VAL_PBGOODWILLDEDUCTED</stp>
        <stp>2</stp>
        <stp>300073</stp>
        <stp>12/31/2018</stp>
        <tr r="N2284" s="1"/>
      </tp>
      <tp>
        <v>1.0512425017987701</v>
        <stp/>
        <stp>EM_S_VAL_PBGOODWILLDEDUCTED</stp>
        <stp>2</stp>
        <stp>600023</stp>
        <stp>12/31/2018</stp>
        <tr r="N2977" s="1"/>
      </tp>
      <tp>
        <v>1.0255138798685</v>
        <stp/>
        <stp>EM_S_VAL_PBGOODWILLDEDUCTED</stp>
        <stp>2</stp>
        <stp>000042</stp>
        <stp>12/31/2018</stp>
        <tr r="N2432" s="1"/>
      </tp>
      <tp>
        <v>2.5474091527170302</v>
        <stp/>
        <stp>EM_S_VAL_PBGOODWILLDEDUCTED</stp>
        <stp>2</stp>
        <stp>300072</stp>
        <stp>12/31/2018</stp>
        <tr r="N3283" s="1"/>
      </tp>
      <tp>
        <v>0.852201915104427</v>
        <stp/>
        <stp>EM_S_VAL_PBGOODWILLDEDUCTED</stp>
        <stp>2</stp>
        <stp>600022</stp>
        <stp>12/31/2018</stp>
        <tr r="N2738" s="1"/>
      </tp>
      <tp>
        <v>-9.2621610823789897</v>
        <stp/>
        <stp>EM_S_VAL_PBGOODWILLDEDUCTED</stp>
        <stp>2</stp>
        <stp>300071</stp>
        <stp>12/31/2018</stp>
        <tr r="N3121" s="1"/>
      </tp>
      <tp>
        <v>1.3336200630928301</v>
        <stp/>
        <stp>EM_S_VAL_PBGOODWILLDEDUCTED</stp>
        <stp>2</stp>
        <stp>600021</stp>
        <stp>12/31/2018</stp>
        <tr r="N2411" s="1"/>
      </tp>
      <tp>
        <v>0.79456966861949796</v>
        <stp/>
        <stp>EM_S_VAL_PBGOODWILLDEDUCTED</stp>
        <stp>2</stp>
        <stp>000040</stp>
        <stp>12/31/2018</stp>
        <tr r="N3327" s="1"/>
      </tp>
      <tp>
        <v>1.3650488813638699</v>
        <stp/>
        <stp>EM_S_VAL_PBGOODWILLDEDUCTED</stp>
        <stp>2</stp>
        <stp>300070</stp>
        <stp>12/31/2018</stp>
        <tr r="N2453" s="1"/>
      </tp>
      <tp>
        <v>0.87452443568707405</v>
        <stp/>
        <stp>EM_S_VAL_PBGOODWILLDEDUCTED</stp>
        <stp>2</stp>
        <stp>600020</stp>
        <stp>12/31/2018</stp>
        <tr r="N1292" s="1"/>
      </tp>
      <tp>
        <v>-1.9515633028702699</v>
        <stp/>
        <stp>EM_S_VAL_PBGOODWILLDEDUCTED</stp>
        <stp>2</stp>
        <stp>000047</stp>
        <stp>12/31/2018</stp>
        <tr r="N2276" s="1"/>
      </tp>
      <tp>
        <v>4.9433124217413402</v>
        <stp/>
        <stp>EM_S_VAL_PBGOODWILLDEDUCTED</stp>
        <stp>2</stp>
        <stp>300077</stp>
        <stp>12/31/2018</stp>
        <tr r="N3056" s="1"/>
      </tp>
      <tp>
        <v>1.11904449523896</v>
        <stp/>
        <stp>EM_S_VAL_PBGOODWILLDEDUCTED</stp>
        <stp>2</stp>
        <stp>600027</stp>
        <stp>12/31/2018</stp>
        <tr r="N3124" s="1"/>
      </tp>
      <tp>
        <v>1.41337780864637</v>
        <stp/>
        <stp>EM_S_VAL_PBGOODWILLDEDUCTED</stp>
        <stp>2</stp>
        <stp>000046</stp>
        <stp>12/31/2018</stp>
        <tr r="N2270" s="1"/>
      </tp>
      <tp>
        <v>1.68026779522087</v>
        <stp/>
        <stp>EM_S_VAL_PBGOODWILLDEDUCTED</stp>
        <stp>2</stp>
        <stp>300076</stp>
        <stp>12/31/2018</stp>
        <tr r="N594" s="1"/>
      </tp>
      <tp>
        <v>0.63667536331959196</v>
        <stp/>
        <stp>EM_S_VAL_PBGOODWILLDEDUCTED</stp>
        <stp>2</stp>
        <stp>600026</stp>
        <stp>12/31/2018</stp>
        <tr r="N703" s="1"/>
      </tp>
      <tp>
        <v>1.2473096168097599</v>
        <stp/>
        <stp>EM_S_VAL_PBGOODWILLDEDUCTED</stp>
        <stp>2</stp>
        <stp>000045</stp>
        <stp>12/31/2018</stp>
        <tr r="N967" s="1"/>
      </tp>
      <tp>
        <v>2.6730805573860099</v>
        <stp/>
        <stp>EM_S_VAL_PBGOODWILLDEDUCTED</stp>
        <stp>2</stp>
        <stp>300075</stp>
        <stp>12/31/2018</stp>
        <tr r="N2077" s="1"/>
      </tp>
      <tp>
        <v>1.2811670522093599</v>
        <stp/>
        <stp>EM_S_VAL_PBGOODWILLDEDUCTED</stp>
        <stp>2</stp>
        <stp>600025</stp>
        <stp>12/31/2018</stp>
        <tr r="N835" s="1"/>
      </tp>
      <tp>
        <v>1.72262264306802</v>
        <stp/>
        <stp>EM_S_VAL_PBGOODWILLDEDUCTED</stp>
        <stp>2</stp>
        <stp>300074</stp>
        <stp>12/31/2018</stp>
        <tr r="N1462" s="1"/>
      </tp>
      <tp>
        <v>0.72114327062880101</v>
        <stp/>
        <stp>EM_S_VAL_PBGOODWILLDEDUCTED</stp>
        <stp>2</stp>
        <stp>000059</stp>
        <stp>12/31/2018</stp>
        <tr r="N1923" s="1"/>
      </tp>
      <tp>
        <v>3.9872132429633198</v>
        <stp/>
        <stp>EM_S_VAL_PBGOODWILLDEDUCTED</stp>
        <stp>2</stp>
        <stp>300069</stp>
        <stp>12/31/2018</stp>
        <tr r="N270" s="1"/>
      </tp>
      <tp>
        <v>0.84603631039745297</v>
        <stp/>
        <stp>EM_S_VAL_PBGOODWILLDEDUCTED</stp>
        <stp>2</stp>
        <stp>600039</stp>
        <stp>12/31/2018</stp>
        <tr r="N2260" s="1"/>
      </tp>
      <tp>
        <v>3.9360932680518599</v>
        <stp/>
        <stp>EM_S_VAL_PBGOODWILLDEDUCTED</stp>
        <stp>2</stp>
        <stp>000058</stp>
        <stp>12/31/2018</stp>
        <tr r="N1127" s="1"/>
      </tp>
      <tp>
        <v>2.1489652824043901</v>
        <stp/>
        <stp>EM_S_VAL_PBGOODWILLDEDUCTED</stp>
        <stp>2</stp>
        <stp>300068</stp>
        <stp>12/31/2018</stp>
        <tr r="N3130" s="1"/>
      </tp>
      <tp>
        <v>2.8535292092610902</v>
        <stp/>
        <stp>EM_S_VAL_PBGOODWILLDEDUCTED</stp>
        <stp>2</stp>
        <stp>600038</stp>
        <stp>12/31/2018</stp>
        <tr r="N1039" s="1"/>
      </tp>
      <tp>
        <v>2.6881316382945499</v>
        <stp/>
        <stp>EM_S_VAL_PBGOODWILLDEDUCTED</stp>
        <stp>2</stp>
        <stp>300063</stp>
        <stp>12/31/2018</stp>
        <tr r="N2700" s="1"/>
      </tp>
      <tp>
        <v>0.89644083042838296</v>
        <stp/>
        <stp>EM_S_VAL_PBGOODWILLDEDUCTED</stp>
        <stp>2</stp>
        <stp>600033</stp>
        <stp>12/31/2018</stp>
        <tr r="N2105" s="1"/>
      </tp>
      <tp>
        <v>2.0170904436324699</v>
        <stp/>
        <stp>EM_S_VAL_PBGOODWILLDEDUCTED</stp>
        <stp>2</stp>
        <stp>300062</stp>
        <stp>12/31/2018</stp>
        <tr r="N1772" s="1"/>
      </tp>
      <tp>
        <v>3.5577384078362999</v>
        <stp/>
        <stp>EM_S_VAL_PBGOODWILLDEDUCTED</stp>
        <stp>2</stp>
        <stp>300061</stp>
        <stp>12/31/2018</stp>
        <tr r="N1862" s="1"/>
      </tp>
      <tp>
        <v>2.0936654244591599</v>
        <stp/>
        <stp>EM_S_VAL_PBGOODWILLDEDUCTED</stp>
        <stp>2</stp>
        <stp>600031</stp>
        <stp>12/31/2018</stp>
        <tr r="N148" s="1"/>
      </tp>
      <tp>
        <v>0.78224120382233597</v>
        <stp/>
        <stp>EM_S_VAL_PBGOODWILLDEDUCTED</stp>
        <stp>2</stp>
        <stp>000050</stp>
        <stp>12/31/2018</stp>
        <tr r="N348" s="1"/>
      </tp>
      <tp>
        <v>1.3600732679184699</v>
        <stp/>
        <stp>EM_S_VAL_PBGOODWILLDEDUCTED</stp>
        <stp>2</stp>
        <stp>600030</stp>
        <stp>12/31/2018</stp>
        <tr r="N423" s="1"/>
      </tp>
      <tp>
        <v>2.21469686649549</v>
        <stp/>
        <stp>EM_S_VAL_PBGOODWILLDEDUCTED</stp>
        <stp>2</stp>
        <stp>300067</stp>
        <stp>12/31/2018</stp>
        <tr r="N2899" s="1"/>
      </tp>
      <tp>
        <v>0.91642273040538003</v>
        <stp/>
        <stp>EM_S_VAL_PBGOODWILLDEDUCTED</stp>
        <stp>2</stp>
        <stp>600037</stp>
        <stp>12/31/2018</stp>
        <tr r="N2030" s="1"/>
      </tp>
      <tp>
        <v>1.03922153031646</v>
        <stp/>
        <stp>EM_S_VAL_PBGOODWILLDEDUCTED</stp>
        <stp>2</stp>
        <stp>000056</stp>
        <stp>12/31/2018</stp>
        <tr r="N2827" s="1"/>
      </tp>
      <tp>
        <v>2.1766944773206101</v>
        <stp/>
        <stp>EM_S_VAL_PBGOODWILLDEDUCTED</stp>
        <stp>2</stp>
        <stp>300066</stp>
        <stp>12/31/2018</stp>
        <tr r="N710" s="1"/>
      </tp>
      <tp>
        <v>1.28107516674132</v>
        <stp/>
        <stp>EM_S_VAL_PBGOODWILLDEDUCTED</stp>
        <stp>2</stp>
        <stp>600036</stp>
        <stp>12/31/2018</stp>
        <tr r="N562" s="1"/>
      </tp>
      <tp>
        <v>0.889655404269586</v>
        <stp/>
        <stp>EM_S_VAL_PBGOODWILLDEDUCTED</stp>
        <stp>2</stp>
        <stp>000055</stp>
        <stp>12/31/2018</stp>
        <tr r="N1107" s="1"/>
      </tp>
      <tp>
        <v>2.9219478493320898</v>
        <stp/>
        <stp>EM_S_VAL_PBGOODWILLDEDUCTED</stp>
        <stp>2</stp>
        <stp>300065</stp>
        <stp>12/31/2018</stp>
        <tr r="N1337" s="1"/>
      </tp>
      <tp>
        <v>0.91351296576589702</v>
        <stp/>
        <stp>EM_S_VAL_PBGOODWILLDEDUCTED</stp>
        <stp>2</stp>
        <stp>600035</stp>
        <stp>12/31/2018</stp>
        <tr r="N1452" s="1"/>
      </tp>
      <tp>
        <v>0.77504550054178101</v>
        <stp/>
        <stp>EM_S_VAL_PBGOODWILLDEDUCTED</stp>
        <stp>2</stp>
        <stp>300064</stp>
        <stp>12/31/2018</stp>
        <tr r="N3172" s="1"/>
      </tp>
      <tp>
        <v>3.3911649799552501</v>
        <stp/>
        <stp>EM_S_VAL_PBGOODWILLDEDUCTED</stp>
        <stp>2</stp>
        <stp>000029</stp>
        <stp>12/31/2018</stp>
        <tr r="N2341" s="1"/>
      </tp>
      <tp>
        <v>2.62068067033865</v>
        <stp/>
        <stp>EM_S_VAL_PBGOODWILLDEDUCTED</stp>
        <stp>2</stp>
        <stp>300019</stp>
        <stp>12/31/2018</stp>
        <tr r="N390" s="1"/>
      </tp>
      <tp>
        <v>1.64504141677167</v>
        <stp/>
        <stp>EM_S_VAL_PBGOODWILLDEDUCTED</stp>
        <stp>2</stp>
        <stp>000028</stp>
        <stp>12/31/2018</stp>
        <tr r="N1704" s="1"/>
      </tp>
      <tp>
        <v>2.2878956295861101</v>
        <stp/>
        <stp>EM_S_VAL_PBGOODWILLDEDUCTED</stp>
        <stp>2</stp>
        <stp>300018</stp>
        <stp>12/31/2018</stp>
        <tr r="N1441" s="1"/>
      </tp>
      <tp>
        <v>1.2155410459831499</v>
        <stp/>
        <stp>EM_S_VAL_PBGOODWILLDEDUCTED</stp>
        <stp>2</stp>
        <stp>600048</stp>
        <stp>12/31/2018</stp>
        <tr r="N771" s="1"/>
      </tp>
      <tp>
        <v>4.0861114223630004</v>
        <stp/>
        <stp>EM_S_VAL_PBGOODWILLDEDUCTED</stp>
        <stp>2</stp>
        <stp>000023</stp>
        <stp>12/31/2018</stp>
        <tr r="N2109" s="1"/>
      </tp>
      <tp>
        <v>2.83845592266039</v>
        <stp/>
        <stp>EM_S_VAL_PBGOODWILLDEDUCTED</stp>
        <stp>2</stp>
        <stp>300013</stp>
        <stp>12/31/2018</stp>
        <tr r="N2628" s="1"/>
      </tp>
      <tp>
        <v>0</v>
        <stp/>
        <stp>EM_S_VAL_PBGOODWILLDEDUCTED</stp>
        <stp>2</stp>
        <stp>000022</stp>
        <stp>12/31/2018</stp>
        <tr r="N3" s="1"/>
      </tp>
      <tp>
        <v>4.26423059778827</v>
        <stp/>
        <stp>EM_S_VAL_PBGOODWILLDEDUCTED</stp>
        <stp>2</stp>
        <stp>300012</stp>
        <stp>12/31/2018</stp>
        <tr r="N112" s="1"/>
      </tp>
      <tp>
        <v>1.3480278080247401</v>
        <stp/>
        <stp>EM_S_VAL_PBGOODWILLDEDUCTED</stp>
        <stp>2</stp>
        <stp>000021</stp>
        <stp>12/31/2018</stp>
        <tr r="N134" s="1"/>
      </tp>
      <tp>
        <v>2.2788346832539901</v>
        <stp/>
        <stp>EM_S_VAL_PBGOODWILLDEDUCTED</stp>
        <stp>2</stp>
        <stp>300011</stp>
        <stp>12/31/2018</stp>
        <tr r="N2446" s="1"/>
      </tp>
      <tp>
        <v>9.1424660079223106</v>
        <stp/>
        <stp>EM_S_VAL_PBGOODWILLDEDUCTED</stp>
        <stp>2</stp>
        <stp>000020</stp>
        <stp>12/31/2018</stp>
        <tr r="N2164" s="1"/>
      </tp>
      <tp>
        <v>16.619295805645599</v>
        <stp/>
        <stp>EM_S_VAL_PBGOODWILLDEDUCTED</stp>
        <stp>2</stp>
        <stp>300010</stp>
        <stp>12/31/2018</stp>
        <tr r="N280" s="1"/>
      </tp>
      <tp>
        <v>1.1182379545892001</v>
        <stp/>
        <stp>EM_S_VAL_PBGOODWILLDEDUCTED</stp>
        <stp>2</stp>
        <stp>000027</stp>
        <stp>12/31/2018</stp>
        <tr r="N1310" s="1"/>
      </tp>
      <tp>
        <v>2.3647455287955301</v>
        <stp/>
        <stp>EM_S_VAL_PBGOODWILLDEDUCTED</stp>
        <stp>2</stp>
        <stp>300017</stp>
        <stp>12/31/2018</stp>
        <tr r="N1215" s="1"/>
      </tp>
      <tp>
        <v>1.24446787918299</v>
        <stp/>
        <stp>EM_S_VAL_PBGOODWILLDEDUCTED</stp>
        <stp>2</stp>
        <stp>000026</stp>
        <stp>12/31/2018</stp>
        <tr r="N462" s="1"/>
      </tp>
      <tp>
        <v>2.8387409738686</v>
        <stp/>
        <stp>EM_S_VAL_PBGOODWILLDEDUCTED</stp>
        <stp>2</stp>
        <stp>300016</stp>
        <stp>12/31/2018</stp>
        <tr r="N993" s="1"/>
      </tp>
      <tp>
        <v>7.5069857505708004</v>
        <stp/>
        <stp>EM_S_VAL_PBGOODWILLDEDUCTED</stp>
        <stp>2</stp>
        <stp>000025</stp>
        <stp>12/31/2018</stp>
        <tr r="N1436" s="1"/>
      </tp>
      <tp>
        <v>17.262400873605898</v>
        <stp/>
        <stp>EM_S_VAL_PBGOODWILLDEDUCTED</stp>
        <stp>2</stp>
        <stp>300015</stp>
        <stp>12/31/2018</stp>
        <tr r="N607" s="1"/>
      </tp>
      <tp>
        <v>3.1892551824293101</v>
        <stp/>
        <stp>EM_S_VAL_PBGOODWILLDEDUCTED</stp>
        <stp>2</stp>
        <stp>000024</stp>
        <stp>12/31/2018</stp>
        <tr r="N2274" s="1"/>
      </tp>
      <tp>
        <v>3.8465416841349702</v>
        <stp/>
        <stp>EM_S_VAL_PBGOODWILLDEDUCTED</stp>
        <stp>2</stp>
        <stp>300014</stp>
        <stp>12/31/2018</stp>
        <tr r="N40" s="1"/>
      </tp>
      <tp>
        <v>1.0069644705867999</v>
        <stp/>
        <stp>EM_S_VAL_PBGOODWILLDEDUCTED</stp>
        <stp>2</stp>
        <stp>000039</stp>
        <stp>12/31/2018</stp>
        <tr r="N1426" s="1"/>
      </tp>
      <tp>
        <v>9.8180982473152802</v>
        <stp/>
        <stp>EM_S_VAL_PBGOODWILLDEDUCTED</stp>
        <stp>2</stp>
        <stp>300009</stp>
        <stp>12/31/2018</stp>
        <tr r="N1660" s="1"/>
      </tp>
      <tp>
        <v>1.3182885284079</v>
        <stp/>
        <stp>EM_S_VAL_PBGOODWILLDEDUCTED</stp>
        <stp>2</stp>
        <stp>600059</stp>
        <stp>12/31/2018</stp>
        <tr r="N979" s="1"/>
      </tp>
      <tp>
        <v>2.5198741725437901</v>
        <stp/>
        <stp>EM_S_VAL_PBGOODWILLDEDUCTED</stp>
        <stp>2</stp>
        <stp>000038</stp>
        <stp>12/31/2018</stp>
        <tr r="N2663" s="1"/>
      </tp>
      <tp>
        <v>3.30465865931783</v>
        <stp/>
        <stp>EM_S_VAL_PBGOODWILLDEDUCTED</stp>
        <stp>2</stp>
        <stp>300008</stp>
        <stp>12/31/2018</stp>
        <tr r="N1648" s="1"/>
      </tp>
      <tp>
        <v>1.70944495495652</v>
        <stp/>
        <stp>EM_S_VAL_PBGOODWILLDEDUCTED</stp>
        <stp>2</stp>
        <stp>600058</stp>
        <stp>12/31/2018</stp>
        <tr r="N1269" s="1"/>
      </tp>
      <tp>
        <v>48.663266266889401</v>
        <stp/>
        <stp>EM_S_VAL_PBGOODWILLDEDUCTED</stp>
        <stp>2</stp>
        <stp>000033</stp>
        <stp>12/31/2018</stp>
        <tr r="N2275" s="1"/>
      </tp>
      <tp>
        <v>8.8274493462786108</v>
        <stp/>
        <stp>EM_S_VAL_PBGOODWILLDEDUCTED</stp>
        <stp>2</stp>
        <stp>300003</stp>
        <stp>12/31/2018</stp>
        <tr r="N508" s="1"/>
      </tp>
      <tp>
        <v>4.7116082901415002</v>
        <stp/>
        <stp>EM_S_VAL_PBGOODWILLDEDUCTED</stp>
        <stp>2</stp>
        <stp>600053</stp>
        <stp>12/31/2018</stp>
        <tr r="N2410" s="1"/>
      </tp>
      <tp>
        <v>2.12362338118725</v>
        <stp/>
        <stp>EM_S_VAL_PBGOODWILLDEDUCTED</stp>
        <stp>2</stp>
        <stp>000032</stp>
        <stp>12/31/2018</stp>
        <tr r="N158" s="1"/>
      </tp>
      <tp>
        <v>2.02220343656768</v>
        <stp/>
        <stp>EM_S_VAL_PBGOODWILLDEDUCTED</stp>
        <stp>2</stp>
        <stp>300002</stp>
        <stp>12/31/2018</stp>
        <tr r="N2398" s="1"/>
      </tp>
      <tp>
        <v>1.0827696870015699</v>
        <stp/>
        <stp>EM_S_VAL_PBGOODWILLDEDUCTED</stp>
        <stp>2</stp>
        <stp>600052</stp>
        <stp>12/31/2018</stp>
        <tr r="N481" s="1"/>
      </tp>
      <tp>
        <v>1.1454676913228901</v>
        <stp/>
        <stp>EM_S_VAL_PBGOODWILLDEDUCTED</stp>
        <stp>2</stp>
        <stp>000031</stp>
        <stp>12/31/2018</stp>
        <tr r="N569" s="1"/>
      </tp>
      <tp>
        <v>5.9586872119350298</v>
        <stp/>
        <stp>EM_S_VAL_PBGOODWILLDEDUCTED</stp>
        <stp>2</stp>
        <stp>300001</stp>
        <stp>12/31/2018</stp>
        <tr r="N2358" s="1"/>
      </tp>
      <tp>
        <v>0.70194080825360705</v>
        <stp/>
        <stp>EM_S_VAL_PBGOODWILLDEDUCTED</stp>
        <stp>2</stp>
        <stp>600051</stp>
        <stp>12/31/2018</stp>
        <tr r="N1703" s="1"/>
      </tp>
      <tp>
        <v>1.05454519744857</v>
        <stp/>
        <stp>EM_S_VAL_PBGOODWILLDEDUCTED</stp>
        <stp>2</stp>
        <stp>000030</stp>
        <stp>12/31/2018</stp>
        <tr r="N883" s="1"/>
      </tp>
      <tp>
        <v>1.14463246674615</v>
        <stp/>
        <stp>EM_S_VAL_PBGOODWILLDEDUCTED</stp>
        <stp>2</stp>
        <stp>600050</stp>
        <stp>12/31/2018</stp>
        <tr r="N1536" s="1"/>
      </tp>
      <tp>
        <v>1.4506247989573</v>
        <stp/>
        <stp>EM_S_VAL_PBGOODWILLDEDUCTED</stp>
        <stp>2</stp>
        <stp>000037</stp>
        <stp>12/31/2018</stp>
        <tr r="N68" s="1"/>
      </tp>
      <tp>
        <v>2.5244086347121999</v>
        <stp/>
        <stp>EM_S_VAL_PBGOODWILLDEDUCTED</stp>
        <stp>2</stp>
        <stp>300007</stp>
        <stp>12/31/2018</stp>
        <tr r="N352" s="1"/>
      </tp>
      <tp>
        <v>0.93937978232106401</v>
        <stp/>
        <stp>EM_S_VAL_PBGOODWILLDEDUCTED</stp>
        <stp>2</stp>
        <stp>600057</stp>
        <stp>12/31/2018</stp>
        <tr r="N2370" s="1"/>
      </tp>
      <tp>
        <v>1.3062139957591701</v>
        <stp/>
        <stp>EM_S_VAL_PBGOODWILLDEDUCTED</stp>
        <stp>2</stp>
        <stp>000036</stp>
        <stp>12/31/2018</stp>
        <tr r="N3122" s="1"/>
      </tp>
      <tp>
        <v>1.8647947082168399</v>
        <stp/>
        <stp>EM_S_VAL_PBGOODWILLDEDUCTED</stp>
        <stp>2</stp>
        <stp>300006</stp>
        <stp>12/31/2018</stp>
        <tr r="N461" s="1"/>
      </tp>
      <tp>
        <v>1.92639315604702</v>
        <stp/>
        <stp>EM_S_VAL_PBGOODWILLDEDUCTED</stp>
        <stp>2</stp>
        <stp>600056</stp>
        <stp>12/31/2018</stp>
        <tr r="N2165" s="1"/>
      </tp>
      <tp>
        <v>2.1902339724803301</v>
        <stp/>
        <stp>EM_S_VAL_PBGOODWILLDEDUCTED</stp>
        <stp>2</stp>
        <stp>000035</stp>
        <stp>12/31/2018</stp>
        <tr r="N1341" s="1"/>
      </tp>
      <tp>
        <v>1.2490105362061701</v>
        <stp/>
        <stp>EM_S_VAL_PBGOODWILLDEDUCTED</stp>
        <stp>2</stp>
        <stp>300005</stp>
        <stp>12/31/2018</stp>
        <tr r="N801" s="1"/>
      </tp>
      <tp>
        <v>2.38952914152528</v>
        <stp/>
        <stp>EM_S_VAL_PBGOODWILLDEDUCTED</stp>
        <stp>2</stp>
        <stp>600055</stp>
        <stp>12/31/2018</stp>
        <tr r="N1416" s="1"/>
      </tp>
      <tp>
        <v>3.0229436144404498</v>
        <stp/>
        <stp>EM_S_VAL_PBGOODWILLDEDUCTED</stp>
        <stp>2</stp>
        <stp>000034</stp>
        <stp>12/31/2018</stp>
        <tr r="N564" s="1"/>
      </tp>
      <tp>
        <v>0.88030240776361601</v>
        <stp/>
        <stp>EM_S_VAL_PBGOODWILLDEDUCTED</stp>
        <stp>2</stp>
        <stp>300004</stp>
        <stp>12/31/2018</stp>
        <tr r="N259" s="1"/>
      </tp>
      <tp>
        <v>1.7201648902584901</v>
        <stp/>
        <stp>EM_S_VAL_PBGOODWILLDEDUCTED</stp>
        <stp>2</stp>
        <stp>600054</stp>
        <stp>12/31/2018</stp>
        <tr r="N2451" s="1"/>
      </tp>
      <tp>
        <v>1.94393911784337</v>
        <stp/>
        <stp>EM_S_VAL_PBGOODWILLDEDUCTED</stp>
        <stp>2</stp>
        <stp>000009</stp>
        <stp>12/31/2018</stp>
        <tr r="N295" s="1"/>
      </tp>
      <tp>
        <v>1.7505187217076701</v>
        <stp/>
        <stp>EM_S_VAL_PBGOODWILLDEDUCTED</stp>
        <stp>2</stp>
        <stp>300039</stp>
        <stp>12/31/2018</stp>
        <tr r="N1356" s="1"/>
      </tp>
      <tp>
        <v>2.3382669793561801</v>
        <stp/>
        <stp>EM_S_VAL_PBGOODWILLDEDUCTED</stp>
        <stp>2</stp>
        <stp>600069</stp>
        <stp>12/31/2018</stp>
        <tr r="N2650" s="1"/>
      </tp>
      <tp>
        <v>2.9495017483302699</v>
        <stp/>
        <stp>EM_S_VAL_PBGOODWILLDEDUCTED</stp>
        <stp>2</stp>
        <stp>000008</stp>
        <stp>12/31/2018</stp>
        <tr r="N2627" s="1"/>
      </tp>
      <tp>
        <v>2.6024820166698301</v>
        <stp/>
        <stp>EM_S_VAL_PBGOODWILLDEDUCTED</stp>
        <stp>2</stp>
        <stp>300038</stp>
        <stp>12/31/2018</stp>
        <tr r="N2648" s="1"/>
      </tp>
      <tp>
        <v>1.1519055346503</v>
        <stp/>
        <stp>EM_S_VAL_PBGOODWILLDEDUCTED</stp>
        <stp>2</stp>
        <stp>600068</stp>
        <stp>12/31/2018</stp>
        <tr r="N2190" s="1"/>
      </tp>
      <tp>
        <v>11.2368475790235</v>
        <stp/>
        <stp>EM_S_VAL_PBGOODWILLDEDUCTED</stp>
        <stp>2</stp>
        <stp>000003</stp>
        <stp>12/31/2018</stp>
        <tr r="N2271" s="1"/>
      </tp>
      <tp>
        <v>6.15598077143492</v>
        <stp/>
        <stp>EM_S_VAL_PBGOODWILLDEDUCTED</stp>
        <stp>2</stp>
        <stp>300033</stp>
        <stp>12/31/2018</stp>
        <tr r="N49" s="1"/>
      </tp>
      <tp>
        <v>0.97483588150164602</v>
        <stp/>
        <stp>EM_S_VAL_PBGOODWILLDEDUCTED</stp>
        <stp>2</stp>
        <stp>600063</stp>
        <stp>12/31/2018</stp>
        <tr r="N327" s="1"/>
      </tp>
      <tp>
        <v>1.69050231098653</v>
        <stp/>
        <stp>EM_S_VAL_PBGOODWILLDEDUCTED</stp>
        <stp>2</stp>
        <stp>000002</stp>
        <stp>12/31/2018</stp>
        <tr r="N725" s="1"/>
      </tp>
      <tp>
        <v>1.63898401058382</v>
        <stp/>
        <stp>EM_S_VAL_PBGOODWILLDEDUCTED</stp>
        <stp>2</stp>
        <stp>300032</stp>
        <stp>12/31/2018</stp>
        <tr r="N987" s="1"/>
      </tp>
      <tp>
        <v>1.8081369021461</v>
        <stp/>
        <stp>EM_S_VAL_PBGOODWILLDEDUCTED</stp>
        <stp>2</stp>
        <stp>600062</stp>
        <stp>12/31/2018</stp>
        <tr r="N1938" s="1"/>
      </tp>
      <tp>
        <v>0.75784726503771405</v>
        <stp/>
        <stp>EM_S_VAL_PBGOODWILLDEDUCTED</stp>
        <stp>2</stp>
        <stp>000001</stp>
        <stp>12/31/2018</stp>
        <tr r="N265" s="1"/>
      </tp>
      <tp>
        <v>5.1067259778298597</v>
        <stp/>
        <stp>EM_S_VAL_PBGOODWILLDEDUCTED</stp>
        <stp>2</stp>
        <stp>300031</stp>
        <stp>12/31/2018</stp>
        <tr r="N1669" s="1"/>
      </tp>
      <tp>
        <v>1.19577824408248</v>
        <stp/>
        <stp>EM_S_VAL_PBGOODWILLDEDUCTED</stp>
        <stp>2</stp>
        <stp>600061</stp>
        <stp>12/31/2018</stp>
        <tr r="N518" s="1"/>
      </tp>
      <tp>
        <v>2.1019370669786199</v>
        <stp/>
        <stp>EM_S_VAL_PBGOODWILLDEDUCTED</stp>
        <stp>2</stp>
        <stp>300030</stp>
        <stp>12/31/2018</stp>
        <tr r="N663" s="1"/>
      </tp>
      <tp>
        <v>0.83229701748584095</v>
        <stp/>
        <stp>EM_S_VAL_PBGOODWILLDEDUCTED</stp>
        <stp>2</stp>
        <stp>600060</stp>
        <stp>12/31/2018</stp>
        <tr r="N1112" s="1"/>
      </tp>
      <tp>
        <v>14.6418048896358</v>
        <stp/>
        <stp>EM_S_VAL_PBGOODWILLDEDUCTED</stp>
        <stp>2</stp>
        <stp>000007</stp>
        <stp>12/31/2018</stp>
        <tr r="N1370" s="1"/>
      </tp>
      <tp>
        <v>3.8663228639527301</v>
        <stp/>
        <stp>EM_S_VAL_PBGOODWILLDEDUCTED</stp>
        <stp>2</stp>
        <stp>300037</stp>
        <stp>12/31/2018</stp>
        <tr r="N533" s="1"/>
      </tp>
      <tp>
        <v>0.71034452208758403</v>
        <stp/>
        <stp>EM_S_VAL_PBGOODWILLDEDUCTED</stp>
        <stp>2</stp>
        <stp>600067</stp>
        <stp>12/31/2018</stp>
        <tr r="N1911" s="1"/>
      </tp>
      <tp>
        <v>1.1283232666882099</v>
        <stp/>
        <stp>EM_S_VAL_PBGOODWILLDEDUCTED</stp>
        <stp>2</stp>
        <stp>000006</stp>
        <stp>12/31/2018</stp>
        <tr r="N1889" s="1"/>
      </tp>
      <tp>
        <v>6.7108446650215203</v>
        <stp/>
        <stp>EM_S_VAL_PBGOODWILLDEDUCTED</stp>
        <stp>2</stp>
        <stp>300036</stp>
        <stp>12/31/2018</stp>
        <tr r="N1798" s="1"/>
      </tp>
      <tp>
        <v>1.6773961641983399</v>
        <stp/>
        <stp>EM_S_VAL_PBGOODWILLDEDUCTED</stp>
        <stp>2</stp>
        <stp>600066</stp>
        <stp>12/31/2018</stp>
        <tr r="N1296" s="1"/>
      </tp>
      <tp>
        <v>2.2393632970200601</v>
        <stp/>
        <stp>EM_S_VAL_PBGOODWILLDEDUCTED</stp>
        <stp>2</stp>
        <stp>000005</stp>
        <stp>12/31/2018</stp>
        <tr r="N1466" s="1"/>
      </tp>
      <tp>
        <v>3.0147467217842299</v>
        <stp/>
        <stp>EM_S_VAL_PBGOODWILLDEDUCTED</stp>
        <stp>2</stp>
        <stp>300035</stp>
        <stp>12/31/2018</stp>
        <tr r="N263" s="1"/>
      </tp>
      <tp>
        <v>-1.6611209495855599</v>
        <stp/>
        <stp>EM_S_VAL_PBGOODWILLDEDUCTED</stp>
        <stp>2</stp>
        <stp>600065</stp>
        <stp>12/31/2018</stp>
        <tr r="N2289" s="1"/>
      </tp>
      <tp>
        <v>12.323309242299199</v>
        <stp/>
        <stp>EM_S_VAL_PBGOODWILLDEDUCTED</stp>
        <stp>2</stp>
        <stp>000004</stp>
        <stp>12/31/2018</stp>
        <tr r="N715" s="1"/>
      </tp>
      <tp>
        <v>2.61687618149882</v>
        <stp/>
        <stp>EM_S_VAL_PBGOODWILLDEDUCTED</stp>
        <stp>2</stp>
        <stp>300034</stp>
        <stp>12/31/2018</stp>
        <tr r="N226" s="1"/>
      </tp>
      <tp>
        <v>1.0438080014745501</v>
        <stp/>
        <stp>EM_S_VAL_PBGOODWILLDEDUCTED</stp>
        <stp>2</stp>
        <stp>600064</stp>
        <stp>12/31/2018</stp>
        <tr r="N1144" s="1"/>
      </tp>
      <tp>
        <v>1.9722221003619</v>
        <stp/>
        <stp>EM_S_VAL_PBGOODWILLDEDUCTED</stp>
        <stp>2</stp>
        <stp>000019</stp>
        <stp>12/31/2018</stp>
        <tr r="N2891" s="1"/>
      </tp>
      <tp>
        <v>7.7735489072895803</v>
        <stp/>
        <stp>EM_S_VAL_PBGOODWILLDEDUCTED</stp>
        <stp>2</stp>
        <stp>300029</stp>
        <stp>12/31/2018</stp>
        <tr r="N944" s="1"/>
      </tp>
      <tp>
        <v>2.72131302313284</v>
        <stp/>
        <stp>EM_S_VAL_PBGOODWILLDEDUCTED</stp>
        <stp>2</stp>
        <stp>600079</stp>
        <stp>12/31/2018</stp>
        <tr r="N1010" s="1"/>
      </tp>
      <tp>
        <v>17.314509822820899</v>
        <stp/>
        <stp>EM_S_VAL_PBGOODWILLDEDUCTED</stp>
        <stp>2</stp>
        <stp>000018</stp>
        <stp>12/31/2018</stp>
        <tr r="N3409" s="1"/>
      </tp>
      <tp>
        <v>1.7615865460664699</v>
        <stp/>
        <stp>EM_S_VAL_PBGOODWILLDEDUCTED</stp>
        <stp>2</stp>
        <stp>300028</stp>
        <stp>12/31/2018</stp>
        <tr r="N2280" s="1"/>
      </tp>
      <tp>
        <v>1.2525909023086901</v>
        <stp/>
        <stp>EM_S_VAL_PBGOODWILLDEDUCTED</stp>
        <stp>2</stp>
        <stp>600078</stp>
        <stp>12/31/2018</stp>
        <tr r="N391" s="1"/>
      </tp>
      <tp>
        <v>-0.22692883893665999</v>
        <stp/>
        <stp>EM_S_VAL_PBGOODWILLDEDUCTED</stp>
        <stp>2</stp>
        <stp>000013</stp>
        <stp>12/31/2018</stp>
        <tr r="N2272" s="1"/>
      </tp>
      <tp>
        <v>3.8606001112585799</v>
        <stp/>
        <stp>EM_S_VAL_PBGOODWILLDEDUCTED</stp>
        <stp>2</stp>
        <stp>300023</stp>
        <stp>12/31/2018</stp>
        <tr r="N1352" s="1"/>
      </tp>
      <tp>
        <v>2.0266717159743202</v>
        <stp/>
        <stp>EM_S_VAL_PBGOODWILLDEDUCTED</stp>
        <stp>2</stp>
        <stp>600073</stp>
        <stp>12/31/2018</stp>
        <tr r="N1973" s="1"/>
      </tp>
      <tp>
        <v>1.30918030075976</v>
        <stp/>
        <stp>EM_S_VAL_PBGOODWILLDEDUCTED</stp>
        <stp>2</stp>
        <stp>000012</stp>
        <stp>12/31/2018</stp>
        <tr r="N741" s="1"/>
      </tp>
      <tp>
        <v>11.9204148715861</v>
        <stp/>
        <stp>EM_S_VAL_PBGOODWILLDEDUCTED</stp>
        <stp>2</stp>
        <stp>300022</stp>
        <stp>12/31/2018</stp>
        <tr r="N1917" s="1"/>
      </tp>
      <tp>
        <v>1.3801236352608599</v>
        <stp/>
        <stp>EM_S_VAL_PBGOODWILLDEDUCTED</stp>
        <stp>2</stp>
        <stp>600072</stp>
        <stp>12/31/2018</stp>
        <tr r="N198" s="1"/>
      </tp>
      <tp>
        <v>1.63905665798269</v>
        <stp/>
        <stp>EM_S_VAL_PBGOODWILLDEDUCTED</stp>
        <stp>2</stp>
        <stp>000011</stp>
        <stp>12/31/2018</stp>
        <tr r="N1983" s="1"/>
      </tp>
      <tp>
        <v>2.3296021565128902</v>
        <stp/>
        <stp>EM_S_VAL_PBGOODWILLDEDUCTED</stp>
        <stp>2</stp>
        <stp>300021</stp>
        <stp>12/31/2018</stp>
        <tr r="N1058" s="1"/>
      </tp>
      <tp>
        <v>4.3103115761180897</v>
        <stp/>
        <stp>EM_S_VAL_PBGOODWILLDEDUCTED</stp>
        <stp>2</stp>
        <stp>600071</stp>
        <stp>12/31/2018</stp>
        <tr r="N523" s="1"/>
      </tp>
      <tp>
        <v>12.3557173215963</v>
        <stp/>
        <stp>EM_S_VAL_PBGOODWILLDEDUCTED</stp>
        <stp>2</stp>
        <stp>000010</stp>
        <stp>12/31/2018</stp>
        <tr r="N2039" s="1"/>
      </tp>
      <tp>
        <v>1.3147149944386201</v>
        <stp/>
        <stp>EM_S_VAL_PBGOODWILLDEDUCTED</stp>
        <stp>2</stp>
        <stp>300020</stp>
        <stp>12/31/2018</stp>
        <tr r="N927" s="1"/>
      </tp>
      <tp>
        <v>2.16998299605046</v>
        <stp/>
        <stp>EM_S_VAL_PBGOODWILLDEDUCTED</stp>
        <stp>2</stp>
        <stp>600070</stp>
        <stp>12/31/2018</stp>
        <tr r="N667" s="1"/>
      </tp>
      <tp>
        <v>168.02924047051101</v>
        <stp/>
        <stp>EM_S_VAL_PBGOODWILLDEDUCTED</stp>
        <stp>2</stp>
        <stp>000017</stp>
        <stp>12/31/2018</stp>
        <tr r="N2076" s="1"/>
      </tp>
      <tp>
        <v>2.0304319820530901</v>
        <stp/>
        <stp>EM_S_VAL_PBGOODWILLDEDUCTED</stp>
        <stp>2</stp>
        <stp>300027</stp>
        <stp>12/31/2018</stp>
        <tr r="N2241" s="1"/>
      </tp>
      <tp>
        <v>0.83919488885285598</v>
        <stp/>
        <stp>EM_S_VAL_PBGOODWILLDEDUCTED</stp>
        <stp>2</stp>
        <stp>600077</stp>
        <stp>12/31/2018</stp>
        <tr r="N1551" s="1"/>
      </tp>
      <tp>
        <v>1.0762442124686999</v>
        <stp/>
        <stp>EM_S_VAL_PBGOODWILLDEDUCTED</stp>
        <stp>2</stp>
        <stp>000016</stp>
        <stp>12/31/2018</stp>
        <tr r="N767" s="1"/>
      </tp>
      <tp>
        <v>1.6739575385468</v>
        <stp/>
        <stp>EM_S_VAL_PBGOODWILLDEDUCTED</stp>
        <stp>2</stp>
        <stp>300026</stp>
        <stp>12/31/2018</stp>
        <tr r="N1577" s="1"/>
      </tp>
      <tp>
        <v>1.1787714429187499</v>
        <stp/>
        <stp>EM_S_VAL_PBGOODWILLDEDUCTED</stp>
        <stp>2</stp>
        <stp>600076</stp>
        <stp>12/31/2018</stp>
        <tr r="N2007" s="1"/>
      </tp>
      <tp>
        <v>5.0421356112700204</v>
        <stp/>
        <stp>EM_S_VAL_PBGOODWILLDEDUCTED</stp>
        <stp>2</stp>
        <stp>000015</stp>
        <stp>12/31/2018</stp>
        <tr r="N2273" s="1"/>
      </tp>
      <tp>
        <v>2.97830980860026</v>
        <stp/>
        <stp>EM_S_VAL_PBGOODWILLDEDUCTED</stp>
        <stp>2</stp>
        <stp>300025</stp>
        <stp>12/31/2018</stp>
        <tr r="N1834" s="1"/>
      </tp>
      <tp>
        <v>0.91646860390192797</v>
        <stp/>
        <stp>EM_S_VAL_PBGOODWILLDEDUCTED</stp>
        <stp>2</stp>
        <stp>600075</stp>
        <stp>12/31/2018</stp>
        <tr r="N1714" s="1"/>
      </tp>
      <tp>
        <v>2.11782297852834</v>
        <stp/>
        <stp>EM_S_VAL_PBGOODWILLDEDUCTED</stp>
        <stp>2</stp>
        <stp>000014</stp>
        <stp>12/31/2018</stp>
        <tr r="N2219" s="1"/>
      </tp>
      <tp>
        <v>3.3164995585037902</v>
        <stp/>
        <stp>EM_S_VAL_PBGOODWILLDEDUCTED</stp>
        <stp>2</stp>
        <stp>300024</stp>
        <stp>12/31/2018</stp>
        <tr r="N1953" s="1"/>
      </tp>
      <tp>
        <v>-0.57961504468070402</v>
        <stp/>
        <stp>EM_S_VAL_PBGOODWILLDEDUCTED</stp>
        <stp>2</stp>
        <stp>600074</stp>
        <stp>12/31/2018</stp>
        <tr r="N2876" s="1"/>
      </tp>
      <tp>
        <v>2.74432777714655</v>
        <stp/>
        <stp>EM_S_VAL_PBGOODWILLDEDUCTED</stp>
        <stp>2</stp>
        <stp>600389</stp>
        <stp>12/31/2018</stp>
        <tr r="N1130" s="1"/>
      </tp>
      <tp>
        <v>2.2091329310879302</v>
        <stp/>
        <stp>EM_S_VAL_PBGOODWILLDEDUCTED</stp>
        <stp>2</stp>
        <stp>600388</stp>
        <stp>12/31/2018</stp>
        <tr r="N2538" s="1"/>
      </tp>
      <tp>
        <v>0.93665913861638805</v>
        <stp/>
        <stp>EM_S_VAL_PBGOODWILLDEDUCTED</stp>
        <stp>2</stp>
        <stp>600383</stp>
        <stp>12/31/2018</stp>
        <tr r="N593" s="1"/>
      </tp>
      <tp>
        <v>0.65878066252714695</v>
        <stp/>
        <stp>EM_S_VAL_PBGOODWILLDEDUCTED</stp>
        <stp>2</stp>
        <stp>600382</stp>
        <stp>12/31/2018</stp>
        <tr r="N2733" s="1"/>
      </tp>
      <tp>
        <v>1.4183739349033</v>
        <stp/>
        <stp>EM_S_VAL_PBGOODWILLDEDUCTED</stp>
        <stp>2</stp>
        <stp>600381</stp>
        <stp>12/31/2018</stp>
        <tr r="N2664" s="1"/>
      </tp>
      <tp>
        <v>1.43167690294195</v>
        <stp/>
        <stp>EM_S_VAL_PBGOODWILLDEDUCTED</stp>
        <stp>2</stp>
        <stp>600380</stp>
        <stp>12/31/2018</stp>
        <tr r="N567" s="1"/>
      </tp>
      <tp>
        <v>1.43211209128418</v>
        <stp/>
        <stp>EM_S_VAL_PBGOODWILLDEDUCTED</stp>
        <stp>2</stp>
        <stp>600387</stp>
        <stp>12/31/2018</stp>
        <tr r="N1984" s="1"/>
      </tp>
      <tp>
        <v>1.50836894146878</v>
        <stp/>
        <stp>EM_S_VAL_PBGOODWILLDEDUCTED</stp>
        <stp>2</stp>
        <stp>600386</stp>
        <stp>12/31/2018</stp>
        <tr r="N1578" s="1"/>
      </tp>
      <tp>
        <v>23.875401053725199</v>
        <stp/>
        <stp>EM_S_VAL_PBGOODWILLDEDUCTED</stp>
        <stp>2</stp>
        <stp>600385</stp>
        <stp>12/31/2018</stp>
        <tr r="N3030" s="1"/>
      </tp>
      <tp>
        <v>1.1823475578365199</v>
        <stp/>
        <stp>EM_S_VAL_PBGOODWILLDEDUCTED</stp>
        <stp>2</stp>
        <stp>600399</stp>
        <stp>12/31/2018</stp>
        <tr r="N902" s="1"/>
      </tp>
      <tp>
        <v>3.0986866290808299</v>
        <stp/>
        <stp>EM_S_VAL_PBGOODWILLDEDUCTED</stp>
        <stp>2</stp>
        <stp>600398</stp>
        <stp>12/31/2018</stp>
        <tr r="N2779" s="1"/>
      </tp>
      <tp>
        <v>0.918238367777515</v>
        <stp/>
        <stp>EM_S_VAL_PBGOODWILLDEDUCTED</stp>
        <stp>2</stp>
        <stp>600393</stp>
        <stp>12/31/2018</stp>
        <tr r="N815" s="1"/>
      </tp>
      <tp>
        <v>3.3832398276517601</v>
        <stp/>
        <stp>EM_S_VAL_PBGOODWILLDEDUCTED</stp>
        <stp>2</stp>
        <stp>600392</stp>
        <stp>12/31/2018</stp>
        <tr r="N1949" s="1"/>
      </tp>
      <tp>
        <v>2.5137936483840901</v>
        <stp/>
        <stp>EM_S_VAL_PBGOODWILLDEDUCTED</stp>
        <stp>2</stp>
        <stp>600391</stp>
        <stp>12/31/2018</stp>
        <tr r="N1045" s="1"/>
      </tp>
      <tp>
        <v>0.83917117851168899</v>
        <stp/>
        <stp>EM_S_VAL_PBGOODWILLDEDUCTED</stp>
        <stp>2</stp>
        <stp>600390</stp>
        <stp>12/31/2018</stp>
        <tr r="N1389" s="1"/>
      </tp>
      <tp>
        <v>2.5187231236805898</v>
        <stp/>
        <stp>EM_S_VAL_PBGOODWILLDEDUCTED</stp>
        <stp>2</stp>
        <stp>600397</stp>
        <stp>12/31/2018</stp>
        <tr r="N1122" s="1"/>
      </tp>
      <tp>
        <v>1.4470550488546201</v>
        <stp/>
        <stp>EM_S_VAL_PBGOODWILLDEDUCTED</stp>
        <stp>2</stp>
        <stp>600396</stp>
        <stp>12/31/2018</stp>
        <tr r="N2422" s="1"/>
      </tp>
      <tp>
        <v>1.2617933394569001</v>
        <stp/>
        <stp>EM_S_VAL_PBGOODWILLDEDUCTED</stp>
        <stp>2</stp>
        <stp>600395</stp>
        <stp>12/31/2018</stp>
        <tr r="N1227" s="1"/>
      </tp>
      <tp>
        <v>3.9972637436401599</v>
        <stp/>
        <stp>EM_S_VAL_PBGOODWILLDEDUCTED</stp>
        <stp>2</stp>
        <stp>300399</stp>
        <stp>12/31/2018</stp>
        <tr r="N472" s="1"/>
      </tp>
      <tp>
        <v>4.3536114446067398</v>
        <stp/>
        <stp>EM_S_VAL_PBGOODWILLDEDUCTED</stp>
        <stp>2</stp>
        <stp>300398</stp>
        <stp>12/31/2018</stp>
        <tr r="N2573" s="1"/>
      </tp>
      <tp>
        <v>1.4468903391274699</v>
        <stp/>
        <stp>EM_S_VAL_PBGOODWILLDEDUCTED</stp>
        <stp>2</stp>
        <stp>300393</stp>
        <stp>12/31/2018</stp>
        <tr r="N2477" s="1"/>
      </tp>
      <tp>
        <v>6.2529773947228104</v>
        <stp/>
        <stp>EM_S_VAL_PBGOODWILLDEDUCTED</stp>
        <stp>2</stp>
        <stp>300392</stp>
        <stp>12/31/2018</stp>
        <tr r="N2449" s="1"/>
      </tp>
      <tp>
        <v>2.6593661951052501</v>
        <stp/>
        <stp>EM_S_VAL_PBGOODWILLDEDUCTED</stp>
        <stp>2</stp>
        <stp>300391</stp>
        <stp>12/31/2018</stp>
        <tr r="N3154" s="1"/>
      </tp>
      <tp>
        <v>3.8678766382682399</v>
        <stp/>
        <stp>EM_S_VAL_PBGOODWILLDEDUCTED</stp>
        <stp>2</stp>
        <stp>300390</stp>
        <stp>12/31/2018</stp>
        <tr r="N2862" s="1"/>
      </tp>
      <tp>
        <v>2.3352535894187398</v>
        <stp/>
        <stp>EM_S_VAL_PBGOODWILLDEDUCTED</stp>
        <stp>2</stp>
        <stp>300397</stp>
        <stp>12/31/2018</stp>
        <tr r="N41" s="1"/>
      </tp>
      <tp>
        <v>3.33270323355719</v>
        <stp/>
        <stp>EM_S_VAL_PBGOODWILLDEDUCTED</stp>
        <stp>2</stp>
        <stp>300396</stp>
        <stp>12/31/2018</stp>
        <tr r="N723" s="1"/>
      </tp>
      <tp>
        <v>4.4933537283604297</v>
        <stp/>
        <stp>EM_S_VAL_PBGOODWILLDEDUCTED</stp>
        <stp>2</stp>
        <stp>300395</stp>
        <stp>12/31/2018</stp>
        <tr r="N574" s="1"/>
      </tp>
      <tp>
        <v>4.4910770469925501</v>
        <stp/>
        <stp>EM_S_VAL_PBGOODWILLDEDUCTED</stp>
        <stp>2</stp>
        <stp>300394</stp>
        <stp>12/31/2018</stp>
        <tr r="N554" s="1"/>
      </tp>
      <tp>
        <v>3.9316784590852301</v>
        <stp/>
        <stp>EM_S_VAL_PBGOODWILLDEDUCTED</stp>
        <stp>2</stp>
        <stp>300389</stp>
        <stp>12/31/2018</stp>
        <tr r="N3203" s="1"/>
      </tp>
      <tp>
        <v>2.6160107734681199</v>
        <stp/>
        <stp>EM_S_VAL_PBGOODWILLDEDUCTED</stp>
        <stp>2</stp>
        <stp>300388</stp>
        <stp>12/31/2018</stp>
        <tr r="N1290" s="1"/>
      </tp>
      <tp>
        <v>3.8229844421908901</v>
        <stp/>
        <stp>EM_S_VAL_PBGOODWILLDEDUCTED</stp>
        <stp>2</stp>
        <stp>300383</stp>
        <stp>12/31/2018</stp>
        <tr r="N447" s="1"/>
      </tp>
      <tp>
        <v>3.1142973662777802</v>
        <stp/>
        <stp>EM_S_VAL_PBGOODWILLDEDUCTED</stp>
        <stp>2</stp>
        <stp>300382</stp>
        <stp>12/31/2018</stp>
        <tr r="N2351" s="1"/>
      </tp>
      <tp>
        <v>2.14988768035</v>
        <stp/>
        <stp>EM_S_VAL_PBGOODWILLDEDUCTED</stp>
        <stp>2</stp>
        <stp>300381</stp>
        <stp>12/31/2018</stp>
        <tr r="N1162" s="1"/>
      </tp>
      <tp>
        <v>5.00188121288849</v>
        <stp/>
        <stp>EM_S_VAL_PBGOODWILLDEDUCTED</stp>
        <stp>2</stp>
        <stp>300380</stp>
        <stp>12/31/2018</stp>
        <tr r="N1006" s="1"/>
      </tp>
      <tp>
        <v>2.5110413957850501</v>
        <stp/>
        <stp>EM_S_VAL_PBGOODWILLDEDUCTED</stp>
        <stp>2</stp>
        <stp>300387</stp>
        <stp>12/31/2018</stp>
        <tr r="N304" s="1"/>
      </tp>
      <tp>
        <v>2.5580016170320299</v>
        <stp/>
        <stp>EM_S_VAL_PBGOODWILLDEDUCTED</stp>
        <stp>2</stp>
        <stp>300386</stp>
        <stp>12/31/2018</stp>
        <tr r="N696" s="1"/>
      </tp>
      <tp>
        <v>1.61272332608948</v>
        <stp/>
        <stp>EM_S_VAL_PBGOODWILLDEDUCTED</stp>
        <stp>2</stp>
        <stp>300385</stp>
        <stp>12/31/2018</stp>
        <tr r="N2956" s="1"/>
      </tp>
      <tp>
        <v>2.6416739537864</v>
        <stp/>
        <stp>EM_S_VAL_PBGOODWILLDEDUCTED</stp>
        <stp>2</stp>
        <stp>300384</stp>
        <stp>12/31/2018</stp>
        <tr r="N530" s="1"/>
      </tp>
      <tp>
        <v>5.7452316556137903</v>
        <stp/>
        <stp>EM_S_VAL_PBGOODWILLDEDUCTED</stp>
        <stp>2</stp>
        <stp>300359</stp>
        <stp>12/31/2018</stp>
        <tr r="N2431" s="1"/>
      </tp>
      <tp>
        <v>2.2842459147818799</v>
        <stp/>
        <stp>EM_S_VAL_PBGOODWILLDEDUCTED</stp>
        <stp>2</stp>
        <stp>600309</stp>
        <stp>12/31/2018</stp>
        <tr r="N168" s="1"/>
      </tp>
      <tp>
        <v>1.7964096195483501</v>
        <stp/>
        <stp>EM_S_VAL_PBGOODWILLDEDUCTED</stp>
        <stp>2</stp>
        <stp>300358</stp>
        <stp>12/31/2018</stp>
        <tr r="N2761" s="1"/>
      </tp>
      <tp>
        <v>0.66150325610193805</v>
        <stp/>
        <stp>EM_S_VAL_PBGOODWILLDEDUCTED</stp>
        <stp>2</stp>
        <stp>600308</stp>
        <stp>12/31/2018</stp>
        <tr r="N1999" s="1"/>
      </tp>
      <tp>
        <v>4.2991548409980203</v>
        <stp/>
        <stp>EM_S_VAL_PBGOODWILLDEDUCTED</stp>
        <stp>2</stp>
        <stp>300353</stp>
        <stp>12/31/2018</stp>
        <tr r="N614" s="1"/>
      </tp>
      <tp>
        <v>0.91911007047501503</v>
        <stp/>
        <stp>EM_S_VAL_PBGOODWILLDEDUCTED</stp>
        <stp>2</stp>
        <stp>600303</stp>
        <stp>12/31/2018</stp>
        <tr r="N2765" s="1"/>
      </tp>
      <tp>
        <v>2.1615156248896699</v>
        <stp/>
        <stp>EM_S_VAL_PBGOODWILLDEDUCTED</stp>
        <stp>2</stp>
        <stp>300352</stp>
        <stp>12/31/2018</stp>
        <tr r="N122" s="1"/>
      </tp>
      <tp>
        <v>1.2233909087330099</v>
        <stp/>
        <stp>EM_S_VAL_PBGOODWILLDEDUCTED</stp>
        <stp>2</stp>
        <stp>600302</stp>
        <stp>12/31/2018</stp>
        <tr r="N1508" s="1"/>
      </tp>
      <tp>
        <v>1.4964715027208</v>
        <stp/>
        <stp>EM_S_VAL_PBGOODWILLDEDUCTED</stp>
        <stp>2</stp>
        <stp>300351</stp>
        <stp>12/31/2018</stp>
        <tr r="N1871" s="1"/>
      </tp>
      <tp>
        <v>4.7162413595516304</v>
        <stp/>
        <stp>EM_S_VAL_PBGOODWILLDEDUCTED</stp>
        <stp>2</stp>
        <stp>600301</stp>
        <stp>12/31/2018</stp>
        <tr r="N1636" s="1"/>
      </tp>
      <tp>
        <v>4.7316366019536797</v>
        <stp/>
        <stp>EM_S_VAL_PBGOODWILLDEDUCTED</stp>
        <stp>2</stp>
        <stp>300350</stp>
        <stp>12/31/2018</stp>
        <tr r="N2687" s="1"/>
      </tp>
      <tp>
        <v>1.7968684824487</v>
        <stp/>
        <stp>EM_S_VAL_PBGOODWILLDEDUCTED</stp>
        <stp>2</stp>
        <stp>600300</stp>
        <stp>12/31/2018</stp>
        <tr r="N1995" s="1"/>
      </tp>
      <tp>
        <v>11.0979466852984</v>
        <stp/>
        <stp>EM_S_VAL_PBGOODWILLDEDUCTED</stp>
        <stp>2</stp>
        <stp>300357</stp>
        <stp>12/31/2018</stp>
        <tr r="N1410" s="1"/>
      </tp>
      <tp>
        <v>1.1354558269089701</v>
        <stp/>
        <stp>EM_S_VAL_PBGOODWILLDEDUCTED</stp>
        <stp>2</stp>
        <stp>600307</stp>
        <stp>12/31/2018</stp>
        <tr r="N1905" s="1"/>
      </tp>
      <tp>
        <v>2.2636494260464302</v>
        <stp/>
        <stp>EM_S_VAL_PBGOODWILLDEDUCTED</stp>
        <stp>2</stp>
        <stp>300356</stp>
        <stp>12/31/2018</stp>
        <tr r="N792" s="1"/>
      </tp>
      <tp>
        <v>52.283518953539598</v>
        <stp/>
        <stp>EM_S_VAL_PBGOODWILLDEDUCTED</stp>
        <stp>2</stp>
        <stp>600306</stp>
        <stp>12/31/2018</stp>
        <tr r="N2801" s="1"/>
      </tp>
      <tp>
        <v>1.7833502436231901</v>
        <stp/>
        <stp>EM_S_VAL_PBGOODWILLDEDUCTED</stp>
        <stp>2</stp>
        <stp>300355</stp>
        <stp>12/31/2018</stp>
        <tr r="N2877" s="1"/>
      </tp>
      <tp>
        <v>4.0048297154866797</v>
        <stp/>
        <stp>EM_S_VAL_PBGOODWILLDEDUCTED</stp>
        <stp>2</stp>
        <stp>600305</stp>
        <stp>12/31/2018</stp>
        <tr r="N676" s="1"/>
      </tp>
      <tp>
        <v>3.1509761014743098</v>
        <stp/>
        <stp>EM_S_VAL_PBGOODWILLDEDUCTED</stp>
        <stp>2</stp>
        <stp>300354</stp>
        <stp>12/31/2018</stp>
        <tr r="N542" s="1"/>
      </tp>
      <tp>
        <v>3.0669579106157601</v>
        <stp/>
        <stp>EM_S_VAL_PBGOODWILLDEDUCTED</stp>
        <stp>2</stp>
        <stp>300349</stp>
        <stp>12/31/2018</stp>
        <tr r="N2578" s="1"/>
      </tp>
      <tp>
        <v>39.479722917630497</v>
        <stp/>
        <stp>EM_S_VAL_PBGOODWILLDEDUCTED</stp>
        <stp>2</stp>
        <stp>600319</stp>
        <stp>12/31/2018</stp>
        <tr r="N2240" s="1"/>
      </tp>
      <tp>
        <v>4.8012821470574902</v>
        <stp/>
        <stp>EM_S_VAL_PBGOODWILLDEDUCTED</stp>
        <stp>2</stp>
        <stp>300348</stp>
        <stp>12/31/2018</stp>
        <tr r="N1093" s="1"/>
      </tp>
      <tp>
        <v>4.1752762547145004</v>
        <stp/>
        <stp>EM_S_VAL_PBGOODWILLDEDUCTED</stp>
        <stp>2</stp>
        <stp>600318</stp>
        <stp>12/31/2018</stp>
        <tr r="N2381" s="1"/>
      </tp>
      <tp>
        <v>3.9989189120866402</v>
        <stp/>
        <stp>EM_S_VAL_PBGOODWILLDEDUCTED</stp>
        <stp>2</stp>
        <stp>300343</stp>
        <stp>12/31/2018</stp>
        <tr r="N3389" s="1"/>
      </tp>
      <tp>
        <v>1.8467758536187699</v>
        <stp/>
        <stp>EM_S_VAL_PBGOODWILLDEDUCTED</stp>
        <stp>2</stp>
        <stp>600313</stp>
        <stp>12/31/2018</stp>
        <tr r="N1063" s="1"/>
      </tp>
      <tp>
        <v>2.8221777423116499</v>
        <stp/>
        <stp>EM_S_VAL_PBGOODWILLDEDUCTED</stp>
        <stp>2</stp>
        <stp>300342</stp>
        <stp>12/31/2018</stp>
        <tr r="N861" s="1"/>
      </tp>
      <tp>
        <v>1.2648088824796799</v>
        <stp/>
        <stp>EM_S_VAL_PBGOODWILLDEDUCTED</stp>
        <stp>2</stp>
        <stp>600312</stp>
        <stp>12/31/2018</stp>
        <tr r="N3067" s="1"/>
      </tp>
      <tp>
        <v>2.9766329855946299</v>
        <stp/>
        <stp>EM_S_VAL_PBGOODWILLDEDUCTED</stp>
        <stp>2</stp>
        <stp>300341</stp>
        <stp>12/31/2018</stp>
        <tr r="N37" s="1"/>
      </tp>
      <tp>
        <v>3.4895713683344201</v>
        <stp/>
        <stp>EM_S_VAL_PBGOODWILLDEDUCTED</stp>
        <stp>2</stp>
        <stp>600311</stp>
        <stp>12/31/2018</stp>
        <tr r="N2820" s="1"/>
      </tp>
      <tp>
        <v>2.85071190778143</v>
        <stp/>
        <stp>EM_S_VAL_PBGOODWILLDEDUCTED</stp>
        <stp>2</stp>
        <stp>300340</stp>
        <stp>12/31/2018</stp>
        <tr r="N2737" s="1"/>
      </tp>
      <tp>
        <v>1.9443236879507699</v>
        <stp/>
        <stp>EM_S_VAL_PBGOODWILLDEDUCTED</stp>
        <stp>2</stp>
        <stp>600310</stp>
        <stp>12/31/2018</stp>
        <tr r="N1303" s="1"/>
      </tp>
      <tp>
        <v>13.072755528434</v>
        <stp/>
        <stp>EM_S_VAL_PBGOODWILLDEDUCTED</stp>
        <stp>2</stp>
        <stp>300347</stp>
        <stp>12/31/2018</stp>
        <tr r="N672" s="1"/>
      </tp>
      <tp>
        <v>1.25685116515875</v>
        <stp/>
        <stp>EM_S_VAL_PBGOODWILLDEDUCTED</stp>
        <stp>2</stp>
        <stp>600317</stp>
        <stp>12/31/2018</stp>
        <tr r="N1634" s="1"/>
      </tp>
      <tp>
        <v>2.0418618181468799</v>
        <stp/>
        <stp>EM_S_VAL_PBGOODWILLDEDUCTED</stp>
        <stp>2</stp>
        <stp>300346</stp>
        <stp>12/31/2018</stp>
        <tr r="N214" s="1"/>
      </tp>
      <tp>
        <v>1.4560143321069801</v>
        <stp/>
        <stp>EM_S_VAL_PBGOODWILLDEDUCTED</stp>
        <stp>2</stp>
        <stp>600316</stp>
        <stp>12/31/2018</stp>
        <tr r="N937" s="1"/>
      </tp>
      <tp>
        <v>3.4392809982269501</v>
        <stp/>
        <stp>EM_S_VAL_PBGOODWILLDEDUCTED</stp>
        <stp>2</stp>
        <stp>300345</stp>
        <stp>12/31/2018</stp>
        <tr r="N115" s="1"/>
      </tp>
      <tp>
        <v>4.7293253786046296</v>
        <stp/>
        <stp>EM_S_VAL_PBGOODWILLDEDUCTED</stp>
        <stp>2</stp>
        <stp>600315</stp>
        <stp>12/31/2018</stp>
        <tr r="N1565" s="1"/>
      </tp>
      <tp>
        <v>40.5776298526809</v>
        <stp/>
        <stp>EM_S_VAL_PBGOODWILLDEDUCTED</stp>
        <stp>2</stp>
        <stp>300344</stp>
        <stp>12/31/2018</stp>
        <tr r="N2757" s="1"/>
      </tp>
      <tp>
        <v>11.2734002775425</v>
        <stp/>
        <stp>EM_S_VAL_PBGOODWILLDEDUCTED</stp>
        <stp>2</stp>
        <stp>300379</stp>
        <stp>12/31/2018</stp>
        <tr r="N36" s="1"/>
      </tp>
      <tp>
        <v>1.9413029333121601</v>
        <stp/>
        <stp>EM_S_VAL_PBGOODWILLDEDUCTED</stp>
        <stp>2</stp>
        <stp>600329</stp>
        <stp>12/31/2018</stp>
        <tr r="N1791" s="1"/>
      </tp>
      <tp>
        <v>1.96232915040216</v>
        <stp/>
        <stp>EM_S_VAL_PBGOODWILLDEDUCTED</stp>
        <stp>2</stp>
        <stp>300378</stp>
        <stp>12/31/2018</stp>
        <tr r="N552" s="1"/>
      </tp>
      <tp>
        <v>1.24599802598868</v>
        <stp/>
        <stp>EM_S_VAL_PBGOODWILLDEDUCTED</stp>
        <stp>2</stp>
        <stp>600328</stp>
        <stp>12/31/2018</stp>
        <tr r="N1295" s="1"/>
      </tp>
      <tp>
        <v>3.0105563635833699</v>
        <stp/>
        <stp>EM_S_VAL_PBGOODWILLDEDUCTED</stp>
        <stp>2</stp>
        <stp>300373</stp>
        <stp>12/31/2018</stp>
        <tr r="N1293" s="1"/>
      </tp>
      <tp>
        <v>1.95205351215585</v>
        <stp/>
        <stp>EM_S_VAL_PBGOODWILLDEDUCTED</stp>
        <stp>2</stp>
        <stp>600323</stp>
        <stp>12/31/2018</stp>
        <tr r="N1110" s="1"/>
      </tp>
      <tp>
        <v>-0.98287480666780902</v>
        <stp/>
        <stp>EM_S_VAL_PBGOODWILLDEDUCTED</stp>
        <stp>2</stp>
        <stp>300372</stp>
        <stp>12/31/2018</stp>
        <tr r="N2283" s="1"/>
      </tp>
      <tp>
        <v>0.79774399110621297</v>
        <stp/>
        <stp>EM_S_VAL_PBGOODWILLDEDUCTED</stp>
        <stp>2</stp>
        <stp>600322</stp>
        <stp>12/31/2018</stp>
        <tr r="N2723" s="1"/>
      </tp>
      <tp>
        <v>2.3909143385698299</v>
        <stp/>
        <stp>EM_S_VAL_PBGOODWILLDEDUCTED</stp>
        <stp>2</stp>
        <stp>300371</stp>
        <stp>12/31/2018</stp>
        <tr r="N1838" s="1"/>
      </tp>
      <tp>
        <v>0.99368168585271199</v>
        <stp/>
        <stp>EM_S_VAL_PBGOODWILLDEDUCTED</stp>
        <stp>2</stp>
        <stp>600321</stp>
        <stp>12/31/2018</stp>
        <tr r="N1240" s="1"/>
      </tp>
      <tp>
        <v>4.5453142251781697</v>
        <stp/>
        <stp>EM_S_VAL_PBGOODWILLDEDUCTED</stp>
        <stp>2</stp>
        <stp>300370</stp>
        <stp>12/31/2018</stp>
        <tr r="N888" s="1"/>
      </tp>
      <tp>
        <v>1.1194032985301801</v>
        <stp/>
        <stp>EM_S_VAL_PBGOODWILLDEDUCTED</stp>
        <stp>2</stp>
        <stp>600320</stp>
        <stp>12/31/2018</stp>
        <tr r="N1504" s="1"/>
      </tp>
      <tp>
        <v>3.02124027722689</v>
        <stp/>
        <stp>EM_S_VAL_PBGOODWILLDEDUCTED</stp>
        <stp>2</stp>
        <stp>300377</stp>
        <stp>12/31/2018</stp>
        <tr r="N2142" s="1"/>
      </tp>
      <tp>
        <v>1.1318587014582699</v>
        <stp/>
        <stp>EM_S_VAL_PBGOODWILLDEDUCTED</stp>
        <stp>2</stp>
        <stp>600327</stp>
        <stp>12/31/2018</stp>
        <tr r="N2932" s="1"/>
      </tp>
      <tp>
        <v>2.0246860400786901</v>
        <stp/>
        <stp>EM_S_VAL_PBGOODWILLDEDUCTED</stp>
        <stp>2</stp>
        <stp>300376</stp>
        <stp>12/31/2018</stp>
        <tr r="N1822" s="1"/>
      </tp>
      <tp>
        <v>1.84184524594485</v>
        <stp/>
        <stp>EM_S_VAL_PBGOODWILLDEDUCTED</stp>
        <stp>2</stp>
        <stp>600326</stp>
        <stp>12/31/2018</stp>
        <tr r="N1643" s="1"/>
      </tp>
      <tp>
        <v>1.6824632985105299</v>
        <stp/>
        <stp>EM_S_VAL_PBGOODWILLDEDUCTED</stp>
        <stp>2</stp>
        <stp>300375</stp>
        <stp>12/31/2018</stp>
        <tr r="N3267" s="1"/>
      </tp>
      <tp>
        <v>1.11519074360162</v>
        <stp/>
        <stp>EM_S_VAL_PBGOODWILLDEDUCTED</stp>
        <stp>2</stp>
        <stp>600325</stp>
        <stp>12/31/2018</stp>
        <tr r="N1081" s="1"/>
      </tp>
      <tp>
        <v>1.62008259585925</v>
        <stp/>
        <stp>EM_S_VAL_PBGOODWILLDEDUCTED</stp>
        <stp>2</stp>
        <stp>300374</stp>
        <stp>12/31/2018</stp>
        <tr r="N2349" s="1"/>
      </tp>
      <tp>
        <v>2.5773821660187801</v>
        <stp/>
        <stp>EM_S_VAL_PBGOODWILLDEDUCTED</stp>
        <stp>2</stp>
        <stp>300369</stp>
        <stp>12/31/2018</stp>
        <tr r="N143" s="1"/>
      </tp>
      <tp>
        <v>0.863166286263788</v>
        <stp/>
        <stp>EM_S_VAL_PBGOODWILLDEDUCTED</stp>
        <stp>2</stp>
        <stp>600339</stp>
        <stp>12/31/2018</stp>
        <tr r="N2706" s="1"/>
      </tp>
      <tp>
        <v>6.0801387394481203</v>
        <stp/>
        <stp>EM_S_VAL_PBGOODWILLDEDUCTED</stp>
        <stp>2</stp>
        <stp>300368</stp>
        <stp>12/31/2018</stp>
        <tr r="N686" s="1"/>
      </tp>
      <tp>
        <v>5.8409409291797001</v>
        <stp/>
        <stp>EM_S_VAL_PBGOODWILLDEDUCTED</stp>
        <stp>2</stp>
        <stp>600338</stp>
        <stp>12/31/2018</stp>
        <tr r="N2747" s="1"/>
      </tp>
      <tp>
        <v>1.8240584369108299</v>
        <stp/>
        <stp>EM_S_VAL_PBGOODWILLDEDUCTED</stp>
        <stp>2</stp>
        <stp>300363</stp>
        <stp>12/31/2018</stp>
        <tr r="N577" s="1"/>
      </tp>
      <tp>
        <v>1.63203191261947</v>
        <stp/>
        <stp>EM_S_VAL_PBGOODWILLDEDUCTED</stp>
        <stp>2</stp>
        <stp>600333</stp>
        <stp>12/31/2018</stp>
        <tr r="N2670" s="1"/>
      </tp>
      <tp>
        <v>-90.959335737144002</v>
        <stp/>
        <stp>EM_S_VAL_PBGOODWILLDEDUCTED</stp>
        <stp>2</stp>
        <stp>300362</stp>
        <stp>12/31/2018</stp>
        <tr r="N3359" s="1"/>
      </tp>
      <tp>
        <v>2.78715889809714</v>
        <stp/>
        <stp>EM_S_VAL_PBGOODWILLDEDUCTED</stp>
        <stp>2</stp>
        <stp>600332</stp>
        <stp>12/31/2018</stp>
        <tr r="N2596" s="1"/>
      </tp>
      <tp>
        <v>0</v>
        <stp/>
        <stp>EM_S_VAL_PBGOODWILLDEDUCTED</stp>
        <stp>2</stp>
        <stp>300361</stp>
        <stp>12/31/2018</stp>
        <tr r="N9" s="1"/>
      </tp>
      <tp>
        <v>1.85076211119484</v>
        <stp/>
        <stp>EM_S_VAL_PBGOODWILLDEDUCTED</stp>
        <stp>2</stp>
        <stp>600331</stp>
        <stp>12/31/2018</stp>
        <tr r="N903" s="1"/>
      </tp>
      <tp>
        <v>1.28236197213155</v>
        <stp/>
        <stp>EM_S_VAL_PBGOODWILLDEDUCTED</stp>
        <stp>2</stp>
        <stp>300360</stp>
        <stp>12/31/2018</stp>
        <tr r="N187" s="1"/>
      </tp>
      <tp>
        <v>1.4727470078945499</v>
        <stp/>
        <stp>EM_S_VAL_PBGOODWILLDEDUCTED</stp>
        <stp>2</stp>
        <stp>600330</stp>
        <stp>12/31/2018</stp>
        <tr r="N654" s="1"/>
      </tp>
      <tp>
        <v>2.3933622603479501</v>
        <stp/>
        <stp>EM_S_VAL_PBGOODWILLDEDUCTED</stp>
        <stp>2</stp>
        <stp>300367</stp>
        <stp>12/31/2018</stp>
        <tr r="N3371" s="1"/>
      </tp>
      <tp>
        <v>1.47961011877541</v>
        <stp/>
        <stp>EM_S_VAL_PBGOODWILLDEDUCTED</stp>
        <stp>2</stp>
        <stp>600337</stp>
        <stp>12/31/2018</stp>
        <tr r="N1687" s="1"/>
      </tp>
      <tp>
        <v>2.37526976312324</v>
        <stp/>
        <stp>EM_S_VAL_PBGOODWILLDEDUCTED</stp>
        <stp>2</stp>
        <stp>300366</stp>
        <stp>12/31/2018</stp>
        <tr r="N702" s="1"/>
      </tp>
      <tp>
        <v>1.46149210047349</v>
        <stp/>
        <stp>EM_S_VAL_PBGOODWILLDEDUCTED</stp>
        <stp>2</stp>
        <stp>600336</stp>
        <stp>12/31/2018</stp>
        <tr r="N936" s="1"/>
      </tp>
      <tp>
        <v>4.6681563276367699</v>
        <stp/>
        <stp>EM_S_VAL_PBGOODWILLDEDUCTED</stp>
        <stp>2</stp>
        <stp>300365</stp>
        <stp>12/31/2018</stp>
        <tr r="N3299" s="1"/>
      </tp>
      <tp>
        <v>0.810459124944789</v>
        <stp/>
        <stp>EM_S_VAL_PBGOODWILLDEDUCTED</stp>
        <stp>2</stp>
        <stp>600335</stp>
        <stp>12/31/2018</stp>
        <tr r="N2633" s="1"/>
      </tp>
      <tp>
        <v>1.74189852391199</v>
        <stp/>
        <stp>EM_S_VAL_PBGOODWILLDEDUCTED</stp>
        <stp>2</stp>
        <stp>300364</stp>
        <stp>12/31/2018</stp>
        <tr r="N2917" s="1"/>
      </tp>
      <tp>
        <v>2.40947610280553</v>
        <stp/>
        <stp>EM_S_VAL_PBGOODWILLDEDUCTED</stp>
        <stp>2</stp>
        <stp>300319</stp>
        <stp>12/31/2018</stp>
        <tr r="N128" s="1"/>
      </tp>
      <tp>
        <v>0</v>
        <stp/>
        <stp>EM_S_VAL_PBGOODWILLDEDUCTED</stp>
        <stp>2</stp>
        <stp>600349</stp>
        <stp>12/31/2018</stp>
        <tr r="N12" s="1"/>
      </tp>
      <tp>
        <v>8.4342278090838896</v>
        <stp/>
        <stp>EM_S_VAL_PBGOODWILLDEDUCTED</stp>
        <stp>2</stp>
        <stp>300318</stp>
        <stp>12/31/2018</stp>
        <tr r="N2155" s="1"/>
      </tp>
      <tp>
        <v>0.74829318693178903</v>
        <stp/>
        <stp>EM_S_VAL_PBGOODWILLDEDUCTED</stp>
        <stp>2</stp>
        <stp>600348</stp>
        <stp>12/31/2018</stp>
        <tr r="N1741" s="1"/>
      </tp>
      <tp>
        <v>9.4488122816611604</v>
        <stp/>
        <stp>EM_S_VAL_PBGOODWILLDEDUCTED</stp>
        <stp>2</stp>
        <stp>300313</stp>
        <stp>12/31/2018</stp>
        <tr r="N2939" s="1"/>
      </tp>
      <tp>
        <v>2.1980778992027399</v>
        <stp/>
        <stp>EM_S_VAL_PBGOODWILLDEDUCTED</stp>
        <stp>2</stp>
        <stp>600343</stp>
        <stp>12/31/2018</stp>
        <tr r="N1225" s="1"/>
      </tp>
      <tp>
        <v>13.768343847509099</v>
        <stp/>
        <stp>EM_S_VAL_PBGOODWILLDEDUCTED</stp>
        <stp>2</stp>
        <stp>300312</stp>
        <stp>12/31/2018</stp>
        <tr r="N3298" s="1"/>
      </tp>
      <tp>
        <v>5.6937574044635797</v>
        <stp/>
        <stp>EM_S_VAL_PBGOODWILLDEDUCTED</stp>
        <stp>2</stp>
        <stp>300311</stp>
        <stp>12/31/2018</stp>
        <tr r="N362" s="1"/>
      </tp>
      <tp>
        <v>3.0705540142407699</v>
        <stp/>
        <stp>EM_S_VAL_PBGOODWILLDEDUCTED</stp>
        <stp>2</stp>
        <stp>300310</stp>
        <stp>12/31/2018</stp>
        <tr r="N2231" s="1"/>
      </tp>
      <tp>
        <v>2.2300166216245199</v>
        <stp/>
        <stp>EM_S_VAL_PBGOODWILLDEDUCTED</stp>
        <stp>2</stp>
        <stp>600340</stp>
        <stp>12/31/2018</stp>
        <tr r="N1641" s="1"/>
      </tp>
      <tp>
        <v>1.41631188381439</v>
        <stp/>
        <stp>EM_S_VAL_PBGOODWILLDEDUCTED</stp>
        <stp>2</stp>
        <stp>300317</stp>
        <stp>12/31/2018</stp>
        <tr r="N1978" s="1"/>
      </tp>
      <tp>
        <v>3.1722038472474101</v>
        <stp/>
        <stp>EM_S_VAL_PBGOODWILLDEDUCTED</stp>
        <stp>2</stp>
        <stp>300316</stp>
        <stp>12/31/2018</stp>
        <tr r="N480" s="1"/>
      </tp>
      <tp>
        <v>2.42678914692037</v>
        <stp/>
        <stp>EM_S_VAL_PBGOODWILLDEDUCTED</stp>
        <stp>2</stp>
        <stp>600346</stp>
        <stp>12/31/2018</stp>
        <tr r="N1252" s="1"/>
      </tp>
      <tp>
        <v>3.1226471078103502</v>
        <stp/>
        <stp>EM_S_VAL_PBGOODWILLDEDUCTED</stp>
        <stp>2</stp>
        <stp>300315</stp>
        <stp>12/31/2018</stp>
        <tr r="N254" s="1"/>
      </tp>
      <tp>
        <v>2.31573838965374</v>
        <stp/>
        <stp>EM_S_VAL_PBGOODWILLDEDUCTED</stp>
        <stp>2</stp>
        <stp>600345</stp>
        <stp>12/31/2018</stp>
        <tr r="N2249" s="1"/>
      </tp>
      <tp>
        <v>3.0415039191173299</v>
        <stp/>
        <stp>EM_S_VAL_PBGOODWILLDEDUCTED</stp>
        <stp>2</stp>
        <stp>300314</stp>
        <stp>12/31/2018</stp>
        <tr r="N1678" s="1"/>
      </tp>
      <tp>
        <v>3.7447187413519099</v>
        <stp/>
        <stp>EM_S_VAL_PBGOODWILLDEDUCTED</stp>
        <stp>2</stp>
        <stp>300309</stp>
        <stp>12/31/2018</stp>
        <tr r="N3321" s="1"/>
      </tp>
      <tp>
        <v>3.4791660064658498</v>
        <stp/>
        <stp>EM_S_VAL_PBGOODWILLDEDUCTED</stp>
        <stp>2</stp>
        <stp>600359</stp>
        <stp>12/31/2018</stp>
        <tr r="N997" s="1"/>
      </tp>
      <tp>
        <v>3.7833262624912001</v>
        <stp/>
        <stp>EM_S_VAL_PBGOODWILLDEDUCTED</stp>
        <stp>2</stp>
        <stp>000338</stp>
        <stp>12/31/2018</stp>
        <tr r="N162" s="1"/>
      </tp>
      <tp>
        <v>6.3228910603542898</v>
        <stp/>
        <stp>EM_S_VAL_PBGOODWILLDEDUCTED</stp>
        <stp>2</stp>
        <stp>300308</stp>
        <stp>12/31/2018</stp>
        <tr r="N975" s="1"/>
      </tp>
      <tp>
        <v>4.7762204750385102</v>
        <stp/>
        <stp>EM_S_VAL_PBGOODWILLDEDUCTED</stp>
        <stp>2</stp>
        <stp>600358</stp>
        <stp>12/31/2018</stp>
        <tr r="N1391" s="1"/>
      </tp>
      <tp>
        <v>4.5505178850711596</v>
        <stp/>
        <stp>EM_S_VAL_PBGOODWILLDEDUCTED</stp>
        <stp>2</stp>
        <stp>000333</stp>
        <stp>12/31/2018</stp>
        <tr r="N444" s="1"/>
      </tp>
      <tp>
        <v>1.62392789715444</v>
        <stp/>
        <stp>EM_S_VAL_PBGOODWILLDEDUCTED</stp>
        <stp>2</stp>
        <stp>300303</stp>
        <stp>12/31/2018</stp>
        <tr r="N104" s="1"/>
      </tp>
      <tp>
        <v>2.1250479277342702</v>
        <stp/>
        <stp>EM_S_VAL_PBGOODWILLDEDUCTED</stp>
        <stp>2</stp>
        <stp>600353</stp>
        <stp>12/31/2018</stp>
        <tr r="N716" s="1"/>
      </tp>
      <tp>
        <v>3.8308365984733199</v>
        <stp/>
        <stp>EM_S_VAL_PBGOODWILLDEDUCTED</stp>
        <stp>2</stp>
        <stp>300302</stp>
        <stp>12/31/2018</stp>
        <tr r="N343" s="1"/>
      </tp>
      <tp>
        <v>1.5872893128442001</v>
        <stp/>
        <stp>EM_S_VAL_PBGOODWILLDEDUCTED</stp>
        <stp>2</stp>
        <stp>600352</stp>
        <stp>12/31/2018</stp>
        <tr r="N572" s="1"/>
      </tp>
      <tp>
        <v>2.3268035376942202</v>
        <stp/>
        <stp>EM_S_VAL_PBGOODWILLDEDUCTED</stp>
        <stp>2</stp>
        <stp>300301</stp>
        <stp>12/31/2018</stp>
        <tr r="N2067" s="1"/>
      </tp>
      <tp>
        <v>1.7270516232220401</v>
        <stp/>
        <stp>EM_S_VAL_PBGOODWILLDEDUCTED</stp>
        <stp>2</stp>
        <stp>600351</stp>
        <stp>12/31/2018</stp>
        <tr r="N2200" s="1"/>
      </tp>
      <tp>
        <v>3.3643197706903001</v>
        <stp/>
        <stp>EM_S_VAL_PBGOODWILLDEDUCTED</stp>
        <stp>2</stp>
        <stp>300300</stp>
        <stp>12/31/2018</stp>
        <tr r="N2824" s="1"/>
      </tp>
      <tp>
        <v>0.80476902945207496</v>
        <stp/>
        <stp>EM_S_VAL_PBGOODWILLDEDUCTED</stp>
        <stp>2</stp>
        <stp>600350</stp>
        <stp>12/31/2018</stp>
        <tr r="N1896" s="1"/>
      </tp>
      <tp>
        <v>1.19788780448851</v>
        <stp/>
        <stp>EM_S_VAL_PBGOODWILLDEDUCTED</stp>
        <stp>2</stp>
        <stp>300307</stp>
        <stp>12/31/2018</stp>
        <tr r="N2197" s="1"/>
      </tp>
      <tp>
        <v>2.08557488007443</v>
        <stp/>
        <stp>EM_S_VAL_PBGOODWILLDEDUCTED</stp>
        <stp>2</stp>
        <stp>600357</stp>
        <stp>12/31/2018</stp>
        <tr r="N2301" s="1"/>
      </tp>
      <tp>
        <v>1.4511744392779</v>
        <stp/>
        <stp>EM_S_VAL_PBGOODWILLDEDUCTED</stp>
        <stp>2</stp>
        <stp>300306</stp>
        <stp>12/31/2018</stp>
        <tr r="N300" s="1"/>
      </tp>
      <tp>
        <v>0.77716285877340596</v>
        <stp/>
        <stp>EM_S_VAL_PBGOODWILLDEDUCTED</stp>
        <stp>2</stp>
        <stp>600356</stp>
        <stp>12/31/2018</stp>
        <tr r="N712" s="1"/>
      </tp>
      <tp>
        <v>1.5425237602364901</v>
        <stp/>
        <stp>EM_S_VAL_PBGOODWILLDEDUCTED</stp>
        <stp>2</stp>
        <stp>300305</stp>
        <stp>12/31/2018</stp>
        <tr r="N1934" s="1"/>
      </tp>
      <tp>
        <v>4.7226475425335197</v>
        <stp/>
        <stp>EM_S_VAL_PBGOODWILLDEDUCTED</stp>
        <stp>2</stp>
        <stp>600355</stp>
        <stp>12/31/2018</stp>
        <tr r="N2366" s="1"/>
      </tp>
      <tp>
        <v>1.61519174935737</v>
        <stp/>
        <stp>EM_S_VAL_PBGOODWILLDEDUCTED</stp>
        <stp>2</stp>
        <stp>300304</stp>
        <stp>12/31/2018</stp>
        <tr r="N949" s="1"/>
      </tp>
      <tp>
        <v>2.7592014603897699</v>
        <stp/>
        <stp>EM_S_VAL_PBGOODWILLDEDUCTED</stp>
        <stp>2</stp>
        <stp>600354</stp>
        <stp>12/31/2018</stp>
        <tr r="N804" s="1"/>
      </tp>
      <tp>
        <v>3.6540660763639901</v>
        <stp/>
        <stp>EM_S_VAL_PBGOODWILLDEDUCTED</stp>
        <stp>2</stp>
        <stp>300339</stp>
        <stp>12/31/2018</stp>
        <tr r="N650" s="1"/>
      </tp>
      <tp>
        <v>1.06815012611965</v>
        <stp/>
        <stp>EM_S_VAL_PBGOODWILLDEDUCTED</stp>
        <stp>2</stp>
        <stp>600369</stp>
        <stp>12/31/2018</stp>
        <tr r="N559" s="1"/>
      </tp>
      <tp>
        <v>2.9388367894704701</v>
        <stp/>
        <stp>EM_S_VAL_PBGOODWILLDEDUCTED</stp>
        <stp>2</stp>
        <stp>300338</stp>
        <stp>12/31/2018</stp>
        <tr r="N520" s="1"/>
      </tp>
      <tp>
        <v>0.96780118997070297</v>
        <stp/>
        <stp>EM_S_VAL_PBGOODWILLDEDUCTED</stp>
        <stp>2</stp>
        <stp>600368</stp>
        <stp>12/31/2018</stp>
        <tr r="N637" s="1"/>
      </tp>
      <tp>
        <v>2.7783071667892401</v>
        <stp/>
        <stp>EM_S_VAL_PBGOODWILLDEDUCTED</stp>
        <stp>2</stp>
        <stp>300333</stp>
        <stp>12/31/2018</stp>
        <tr r="N455" s="1"/>
      </tp>
      <tp>
        <v>1.4503837721010999</v>
        <stp/>
        <stp>EM_S_VAL_PBGOODWILLDEDUCTED</stp>
        <stp>2</stp>
        <stp>600363</stp>
        <stp>12/31/2018</stp>
        <tr r="N202" s="1"/>
      </tp>
      <tp>
        <v>1.40682303601421</v>
        <stp/>
        <stp>EM_S_VAL_PBGOODWILLDEDUCTED</stp>
        <stp>2</stp>
        <stp>300332</stp>
        <stp>12/31/2018</stp>
        <tr r="N1799" s="1"/>
      </tp>
      <tp>
        <v>0.91567000541596799</v>
        <stp/>
        <stp>EM_S_VAL_PBGOODWILLDEDUCTED</stp>
        <stp>2</stp>
        <stp>600362</stp>
        <stp>12/31/2018</stp>
        <tr r="N900" s="1"/>
      </tp>
      <tp>
        <v>1.79470800397587</v>
        <stp/>
        <stp>EM_S_VAL_PBGOODWILLDEDUCTED</stp>
        <stp>2</stp>
        <stp>000301</stp>
        <stp>12/31/2018</stp>
        <tr r="N2580" s="1"/>
      </tp>
      <tp>
        <v>2.4656225557660298</v>
        <stp/>
        <stp>EM_S_VAL_PBGOODWILLDEDUCTED</stp>
        <stp>2</stp>
        <stp>300331</stp>
        <stp>12/31/2018</stp>
        <tr r="N208" s="1"/>
      </tp>
      <tp>
        <v>0.87152044513251503</v>
        <stp/>
        <stp>EM_S_VAL_PBGOODWILLDEDUCTED</stp>
        <stp>2</stp>
        <stp>600361</stp>
        <stp>12/31/2018</stp>
        <tr r="N1719" s="1"/>
      </tp>
      <tp>
        <v>3.1857465075096099</v>
        <stp/>
        <stp>EM_S_VAL_PBGOODWILLDEDUCTED</stp>
        <stp>2</stp>
        <stp>300330</stp>
        <stp>12/31/2018</stp>
        <tr r="N758" s="1"/>
      </tp>
      <tp>
        <v>1.7181276498956199</v>
        <stp/>
        <stp>EM_S_VAL_PBGOODWILLDEDUCTED</stp>
        <stp>2</stp>
        <stp>600360</stp>
        <stp>12/31/2018</stp>
        <tr r="N920" s="1"/>
      </tp>
      <tp>
        <v>2.1070585881642199</v>
        <stp/>
        <stp>EM_S_VAL_PBGOODWILLDEDUCTED</stp>
        <stp>2</stp>
        <stp>300337</stp>
        <stp>12/31/2018</stp>
        <tr r="N2721" s="1"/>
      </tp>
      <tp>
        <v>1.6741918920841701</v>
        <stp/>
        <stp>EM_S_VAL_PBGOODWILLDEDUCTED</stp>
        <stp>2</stp>
        <stp>600367</stp>
        <stp>12/31/2018</stp>
        <tr r="N1964" s="1"/>
      </tp>
      <tp>
        <v>1.7291527409401799</v>
        <stp/>
        <stp>EM_S_VAL_PBGOODWILLDEDUCTED</stp>
        <stp>2</stp>
        <stp>300336</stp>
        <stp>12/31/2018</stp>
        <tr r="N2614" s="1"/>
      </tp>
      <tp>
        <v>1.1374761181299999</v>
        <stp/>
        <stp>EM_S_VAL_PBGOODWILLDEDUCTED</stp>
        <stp>2</stp>
        <stp>600366</stp>
        <stp>12/31/2018</stp>
        <tr r="N846" s="1"/>
      </tp>
      <tp>
        <v>2.1600813537449799</v>
        <stp/>
        <stp>EM_S_VAL_PBGOODWILLDEDUCTED</stp>
        <stp>2</stp>
        <stp>300335</stp>
        <stp>12/31/2018</stp>
        <tr r="N2659" s="1"/>
      </tp>
      <tp>
        <v>2.2093227280218</v>
        <stp/>
        <stp>EM_S_VAL_PBGOODWILLDEDUCTED</stp>
        <stp>2</stp>
        <stp>600365</stp>
        <stp>12/31/2018</stp>
        <tr r="N1502" s="1"/>
      </tp>
      <tp>
        <v>1.59378099469731</v>
        <stp/>
        <stp>EM_S_VAL_PBGOODWILLDEDUCTED</stp>
        <stp>2</stp>
        <stp>300334</stp>
        <stp>12/31/2018</stp>
        <tr r="N2828" s="1"/>
      </tp>
      <tp>
        <v>2.0148754688300601</v>
        <stp/>
        <stp>EM_S_VAL_PBGOODWILLDEDUCTED</stp>
        <stp>2</stp>
        <stp>300329</stp>
        <stp>12/31/2018</stp>
        <tr r="N1174" s="1"/>
      </tp>
      <tp>
        <v>3.0335442804824702</v>
        <stp/>
        <stp>EM_S_VAL_PBGOODWILLDEDUCTED</stp>
        <stp>2</stp>
        <stp>600379</stp>
        <stp>12/31/2018</stp>
        <tr r="N2976" s="1"/>
      </tp>
      <tp>
        <v>2.65574643546331</v>
        <stp/>
        <stp>EM_S_VAL_PBGOODWILLDEDUCTED</stp>
        <stp>2</stp>
        <stp>300328</stp>
        <stp>12/31/2018</stp>
        <tr r="N97" s="1"/>
      </tp>
      <tp>
        <v>1.5278912177075901</v>
        <stp/>
        <stp>EM_S_VAL_PBGOODWILLDEDUCTED</stp>
        <stp>2</stp>
        <stp>600378</stp>
        <stp>12/31/2018</stp>
        <tr r="N132" s="1"/>
      </tp>
      <tp>
        <v>1.7543509158953601</v>
        <stp/>
        <stp>EM_S_VAL_PBGOODWILLDEDUCTED</stp>
        <stp>2</stp>
        <stp>300323</stp>
        <stp>12/31/2018</stp>
        <tr r="N2365" s="1"/>
      </tp>
      <tp>
        <v>1.6519674250278</v>
        <stp/>
        <stp>EM_S_VAL_PBGOODWILLDEDUCTED</stp>
        <stp>2</stp>
        <stp>600373</stp>
        <stp>12/31/2018</stp>
        <tr r="N2059" s="1"/>
      </tp>
      <tp>
        <v>7.1093568889784597</v>
        <stp/>
        <stp>EM_S_VAL_PBGOODWILLDEDUCTED</stp>
        <stp>2</stp>
        <stp>300322</stp>
        <stp>12/31/2018</stp>
        <tr r="N123" s="1"/>
      </tp>
      <tp>
        <v>3.2087116497042198</v>
        <stp/>
        <stp>EM_S_VAL_PBGOODWILLDEDUCTED</stp>
        <stp>2</stp>
        <stp>600372</stp>
        <stp>12/31/2018</stp>
        <tr r="N1736" s="1"/>
      </tp>
      <tp>
        <v>1.8226130245255101</v>
        <stp/>
        <stp>EM_S_VAL_PBGOODWILLDEDUCTED</stp>
        <stp>2</stp>
        <stp>300321</stp>
        <stp>12/31/2018</stp>
        <tr r="N1033" s="1"/>
      </tp>
      <tp>
        <v>2.9522616179618399</v>
        <stp/>
        <stp>EM_S_VAL_PBGOODWILLDEDUCTED</stp>
        <stp>2</stp>
        <stp>600371</stp>
        <stp>12/31/2018</stp>
        <tr r="N193" s="1"/>
      </tp>
      <tp>
        <v>2.0228912777460901</v>
        <stp/>
        <stp>EM_S_VAL_PBGOODWILLDEDUCTED</stp>
        <stp>2</stp>
        <stp>300320</stp>
        <stp>12/31/2018</stp>
        <tr r="N1658" s="1"/>
      </tp>
      <tp>
        <v>1.76751513017255</v>
        <stp/>
        <stp>EM_S_VAL_PBGOODWILLDEDUCTED</stp>
        <stp>2</stp>
        <stp>600370</stp>
        <stp>12/31/2018</stp>
        <tr r="N1676" s="1"/>
      </tp>
      <tp>
        <v>4.8954767329709297</v>
        <stp/>
        <stp>EM_S_VAL_PBGOODWILLDEDUCTED</stp>
        <stp>2</stp>
        <stp>300327</stp>
        <stp>12/31/2018</stp>
        <tr r="N690" s="1"/>
      </tp>
      <tp>
        <v>1.8888759998764499</v>
        <stp/>
        <stp>EM_S_VAL_PBGOODWILLDEDUCTED</stp>
        <stp>2</stp>
        <stp>600377</stp>
        <stp>12/31/2018</stp>
        <tr r="N1600" s="1"/>
      </tp>
      <tp>
        <v>4.8026117626392502</v>
        <stp/>
        <stp>EM_S_VAL_PBGOODWILLDEDUCTED</stp>
        <stp>2</stp>
        <stp>300326</stp>
        <stp>12/31/2018</stp>
        <tr r="N483" s="1"/>
      </tp>
      <tp>
        <v>0.81053291058112198</v>
        <stp/>
        <stp>EM_S_VAL_PBGOODWILLDEDUCTED</stp>
        <stp>2</stp>
        <stp>600376</stp>
        <stp>12/31/2018</stp>
        <tr r="N1649" s="1"/>
      </tp>
      <tp>
        <v>2.8554253898658799</v>
        <stp/>
        <stp>EM_S_VAL_PBGOODWILLDEDUCTED</stp>
        <stp>2</stp>
        <stp>300325</stp>
        <stp>12/31/2018</stp>
        <tr r="N1879" s="1"/>
      </tp>
      <tp>
        <v>0.69665815564380695</v>
        <stp/>
        <stp>EM_S_VAL_PBGOODWILLDEDUCTED</stp>
        <stp>2</stp>
        <stp>600375</stp>
        <stp>12/31/2018</stp>
        <tr r="N856" s="1"/>
      </tp>
      <tp>
        <v>2.9892577507073401</v>
        <stp/>
        <stp>EM_S_VAL_PBGOODWILLDEDUCTED</stp>
        <stp>2</stp>
        <stp>300324</stp>
        <stp>12/31/2018</stp>
        <tr r="N2393" s="1"/>
      </tp>
      <tp>
        <v>-2.0480143410597602</v>
        <stp/>
        <stp>EM_S_VAL_PBGOODWILLDEDUCTED</stp>
        <stp>2</stp>
        <stp>600289</stp>
        <stp>12/31/2018</stp>
        <tr r="N840" s="1"/>
      </tp>
      <tp>
        <v>2.0224144460255</v>
        <stp/>
        <stp>EM_S_VAL_PBGOODWILLDEDUCTED</stp>
        <stp>2</stp>
        <stp>600288</stp>
        <stp>12/31/2018</stp>
        <tr r="N324" s="1"/>
      </tp>
      <tp>
        <v>2.18491853689321</v>
        <stp/>
        <stp>EM_S_VAL_PBGOODWILLDEDUCTED</stp>
        <stp>2</stp>
        <stp>600283</stp>
        <stp>12/31/2018</stp>
        <tr r="N2697" s="1"/>
      </tp>
      <tp>
        <v>0.98373109879459797</v>
        <stp/>
        <stp>EM_S_VAL_PBGOODWILLDEDUCTED</stp>
        <stp>2</stp>
        <stp>600282</stp>
        <stp>12/31/2018</stp>
        <tr r="N2261" s="1"/>
      </tp>
      <tp>
        <v>4.2163525678388902</v>
        <stp/>
        <stp>EM_S_VAL_PBGOODWILLDEDUCTED</stp>
        <stp>2</stp>
        <stp>600281</stp>
        <stp>12/31/2018</stp>
        <tr r="N1503" s="1"/>
      </tp>
      <tp>
        <v>2.7007095611715002</v>
        <stp/>
        <stp>EM_S_VAL_PBGOODWILLDEDUCTED</stp>
        <stp>2</stp>
        <stp>600280</stp>
        <stp>12/31/2018</stp>
        <tr r="N2933" s="1"/>
      </tp>
      <tp>
        <v>1.15970983485323</v>
        <stp/>
        <stp>EM_S_VAL_PBGOODWILLDEDUCTED</stp>
        <stp>2</stp>
        <stp>600287</stp>
        <stp>12/31/2018</stp>
        <tr r="N1135" s="1"/>
      </tp>
      <tp>
        <v>2.5786031180825999</v>
        <stp/>
        <stp>EM_S_VAL_PBGOODWILLDEDUCTED</stp>
        <stp>2</stp>
        <stp>600286</stp>
        <stp>12/31/2018</stp>
        <tr r="N2299" s="1"/>
      </tp>
      <tp>
        <v>2.1185780481619401</v>
        <stp/>
        <stp>EM_S_VAL_PBGOODWILLDEDUCTED</stp>
        <stp>2</stp>
        <stp>600285</stp>
        <stp>12/31/2018</stp>
        <tr r="N1003" s="1"/>
      </tp>
      <tp>
        <v>0.82202173589310501</v>
        <stp/>
        <stp>EM_S_VAL_PBGOODWILLDEDUCTED</stp>
        <stp>2</stp>
        <stp>600284</stp>
        <stp>12/31/2018</stp>
        <tr r="N1018" s="1"/>
      </tp>
      <tp>
        <v>2.5707576249006099</v>
        <stp/>
        <stp>EM_S_VAL_PBGOODWILLDEDUCTED</stp>
        <stp>2</stp>
        <stp>600299</stp>
        <stp>12/31/2018</stp>
        <tr r="N2551" s="1"/>
      </tp>
      <tp>
        <v>4.8844449123461997</v>
        <stp/>
        <stp>EM_S_VAL_PBGOODWILLDEDUCTED</stp>
        <stp>2</stp>
        <stp>600298</stp>
        <stp>12/31/2018</stp>
        <tr r="N1273" s="1"/>
      </tp>
      <tp>
        <v>1.70695329311977</v>
        <stp/>
        <stp>EM_S_VAL_PBGOODWILLDEDUCTED</stp>
        <stp>2</stp>
        <stp>600293</stp>
        <stp>12/31/2018</stp>
        <tr r="N3052" s="1"/>
      </tp>
      <tp>
        <v>0.78399724956750905</v>
        <stp/>
        <stp>EM_S_VAL_PBGOODWILLDEDUCTED</stp>
        <stp>2</stp>
        <stp>600292</stp>
        <stp>12/31/2018</stp>
        <tr r="N1533" s="1"/>
      </tp>
      <tp>
        <v>0.96048378796872003</v>
        <stp/>
        <stp>EM_S_VAL_PBGOODWILLDEDUCTED</stp>
        <stp>2</stp>
        <stp>600291</stp>
        <stp>12/31/2018</stp>
        <tr r="N2800" s="1"/>
      </tp>
      <tp>
        <v>0.86922983444284296</v>
        <stp/>
        <stp>EM_S_VAL_PBGOODWILLDEDUCTED</stp>
        <stp>2</stp>
        <stp>600290</stp>
        <stp>12/31/2018</stp>
        <tr r="N3277" s="1"/>
      </tp>
      <tp>
        <v>1.9368964639431601</v>
        <stp/>
        <stp>EM_S_VAL_PBGOODWILLDEDUCTED</stp>
        <stp>2</stp>
        <stp>600297</stp>
        <stp>12/31/2018</stp>
        <tr r="N3057" s="1"/>
      </tp>
      <tp>
        <v>2.85662495911183</v>
        <stp/>
        <stp>EM_S_VAL_PBGOODWILLDEDUCTED</stp>
        <stp>2</stp>
        <stp>600296</stp>
        <stp>12/31/2018</stp>
        <tr r="N2300" s="1"/>
      </tp>
      <tp>
        <v>0.85046532241414996</v>
        <stp/>
        <stp>EM_S_VAL_PBGOODWILLDEDUCTED</stp>
        <stp>2</stp>
        <stp>600295</stp>
        <stp>12/31/2018</stp>
        <tr r="N1322" s="1"/>
      </tp>
      <tp>
        <v>10.324685825138101</v>
        <stp/>
        <stp>EM_S_VAL_PBGOODWILLDEDUCTED</stp>
        <stp>2</stp>
        <stp>300299</stp>
        <stp>12/31/2018</stp>
        <tr r="N2152" s="1"/>
      </tp>
      <tp>
        <v>2.7786448369897898</v>
        <stp/>
        <stp>EM_S_VAL_PBGOODWILLDEDUCTED</stp>
        <stp>2</stp>
        <stp>300298</stp>
        <stp>12/31/2018</stp>
        <tr r="N742" s="1"/>
      </tp>
      <tp>
        <v>3.8639725419322701</v>
        <stp/>
        <stp>EM_S_VAL_PBGOODWILLDEDUCTED</stp>
        <stp>2</stp>
        <stp>300293</stp>
        <stp>12/31/2018</stp>
        <tr r="N1253" s="1"/>
      </tp>
      <tp>
        <v>5.2950581488642401</v>
        <stp/>
        <stp>EM_S_VAL_PBGOODWILLDEDUCTED</stp>
        <stp>2</stp>
        <stp>300292</stp>
        <stp>12/31/2018</stp>
        <tr r="N894" s="1"/>
      </tp>
      <tp>
        <v>1.22200912935799</v>
        <stp/>
        <stp>EM_S_VAL_PBGOODWILLDEDUCTED</stp>
        <stp>2</stp>
        <stp>300291</stp>
        <stp>12/31/2018</stp>
        <tr r="N808" s="1"/>
      </tp>
      <tp>
        <v>3.5684796700061798</v>
        <stp/>
        <stp>EM_S_VAL_PBGOODWILLDEDUCTED</stp>
        <stp>2</stp>
        <stp>300290</stp>
        <stp>12/31/2018</stp>
        <tr r="N1839" s="1"/>
      </tp>
      <tp>
        <v>1.8910308810781999</v>
        <stp/>
        <stp>EM_S_VAL_PBGOODWILLDEDUCTED</stp>
        <stp>2</stp>
        <stp>300297</stp>
        <stp>12/31/2018</stp>
        <tr r="N1570" s="1"/>
      </tp>
      <tp>
        <v>3.8573600264383798</v>
        <stp/>
        <stp>EM_S_VAL_PBGOODWILLDEDUCTED</stp>
        <stp>2</stp>
        <stp>300296</stp>
        <stp>12/31/2018</stp>
        <tr r="N2149" s="1"/>
      </tp>
      <tp>
        <v>1.8918373020206301</v>
        <stp/>
        <stp>EM_S_VAL_PBGOODWILLDEDUCTED</stp>
        <stp>2</stp>
        <stp>300295</stp>
        <stp>12/31/2018</stp>
        <tr r="N1480" s="1"/>
      </tp>
      <tp>
        <v>3.84614911063121</v>
        <stp/>
        <stp>EM_S_VAL_PBGOODWILLDEDUCTED</stp>
        <stp>2</stp>
        <stp>300294</stp>
        <stp>12/31/2018</stp>
        <tr r="N1530" s="1"/>
      </tp>
      <tp>
        <v>2.3912941649572201</v>
        <stp/>
        <stp>EM_S_VAL_PBGOODWILLDEDUCTED</stp>
        <stp>2</stp>
        <stp>300289</stp>
        <stp>12/31/2018</stp>
        <tr r="N2864" s="1"/>
      </tp>
      <tp>
        <v>5.8658531612036402</v>
        <stp/>
        <stp>EM_S_VAL_PBGOODWILLDEDUCTED</stp>
        <stp>2</stp>
        <stp>300288</stp>
        <stp>12/31/2018</stp>
        <tr r="N2609" s="1"/>
      </tp>
      <tp>
        <v>3.1536380677476799</v>
        <stp/>
        <stp>EM_S_VAL_PBGOODWILLDEDUCTED</stp>
        <stp>2</stp>
        <stp>300283</stp>
        <stp>12/31/2018</stp>
        <tr r="N2236" s="1"/>
      </tp>
      <tp>
        <v>1.67105073100946</v>
        <stp/>
        <stp>EM_S_VAL_PBGOODWILLDEDUCTED</stp>
        <stp>2</stp>
        <stp>300282</stp>
        <stp>12/31/2018</stp>
        <tr r="N3268" s="1"/>
      </tp>
      <tp>
        <v>1.5635345012689601</v>
        <stp/>
        <stp>EM_S_VAL_PBGOODWILLDEDUCTED</stp>
        <stp>2</stp>
        <stp>300281</stp>
        <stp>12/31/2018</stp>
        <tr r="N832" s="1"/>
      </tp>
      <tp>
        <v>19.9434660747343</v>
        <stp/>
        <stp>EM_S_VAL_PBGOODWILLDEDUCTED</stp>
        <stp>2</stp>
        <stp>300280</stp>
        <stp>12/31/2018</stp>
        <tr r="N3363" s="1"/>
      </tp>
      <tp>
        <v>1.8584909129958</v>
        <stp/>
        <stp>EM_S_VAL_PBGOODWILLDEDUCTED</stp>
        <stp>2</stp>
        <stp>300287</stp>
        <stp>12/31/2018</stp>
        <tr r="N2172" s="1"/>
      </tp>
      <tp>
        <v>2.47055774052536</v>
        <stp/>
        <stp>EM_S_VAL_PBGOODWILLDEDUCTED</stp>
        <stp>2</stp>
        <stp>300286</stp>
        <stp>12/31/2018</stp>
        <tr r="N747" s="1"/>
      </tp>
      <tp>
        <v>6.36665996885535</v>
        <stp/>
        <stp>EM_S_VAL_PBGOODWILLDEDUCTED</stp>
        <stp>2</stp>
        <stp>300285</stp>
        <stp>12/31/2018</stp>
        <tr r="N750" s="1"/>
      </tp>
      <tp>
        <v>2.2912670507838802</v>
        <stp/>
        <stp>EM_S_VAL_PBGOODWILLDEDUCTED</stp>
        <stp>2</stp>
        <stp>300284</stp>
        <stp>12/31/2018</stp>
        <tr r="N3100" s="1"/>
      </tp>
      <tp>
        <v>1.76558227526325</v>
        <stp/>
        <stp>EM_S_VAL_PBGOODWILLDEDUCTED</stp>
        <stp>2</stp>
        <stp>300259</stp>
        <stp>12/31/2018</stp>
        <tr r="N399" s="1"/>
      </tp>
      <tp>
        <v>2.7175041506115298</v>
        <stp/>
        <stp>EM_S_VAL_PBGOODWILLDEDUCTED</stp>
        <stp>2</stp>
        <stp>600209</stp>
        <stp>12/31/2018</stp>
        <tr r="N3022" s="1"/>
      </tp>
      <tp>
        <v>2.68624984178701</v>
        <stp/>
        <stp>EM_S_VAL_PBGOODWILLDEDUCTED</stp>
        <stp>2</stp>
        <stp>300258</stp>
        <stp>12/31/2018</stp>
        <tr r="N2705" s="1"/>
      </tp>
      <tp>
        <v>0.74178147257946803</v>
        <stp/>
        <stp>EM_S_VAL_PBGOODWILLDEDUCTED</stp>
        <stp>2</stp>
        <stp>600208</stp>
        <stp>12/31/2018</stp>
        <tr r="N957" s="1"/>
      </tp>
      <tp>
        <v>7.6008324484785597</v>
        <stp/>
        <stp>EM_S_VAL_PBGOODWILLDEDUCTED</stp>
        <stp>2</stp>
        <stp>300253</stp>
        <stp>12/31/2018</stp>
        <tr r="N1336" s="1"/>
      </tp>
      <tp>
        <v>1.33043599146242</v>
        <stp/>
        <stp>EM_S_VAL_PBGOODWILLDEDUCTED</stp>
        <stp>2</stp>
        <stp>600203</stp>
        <stp>12/31/2018</stp>
        <tr r="N655" s="1"/>
      </tp>
      <tp>
        <v>2.9666146686094401</v>
        <stp/>
        <stp>EM_S_VAL_PBGOODWILLDEDUCTED</stp>
        <stp>2</stp>
        <stp>300252</stp>
        <stp>12/31/2018</stp>
        <tr r="N2966" s="1"/>
      </tp>
      <tp>
        <v>2.0457121801870102</v>
        <stp/>
        <stp>EM_S_VAL_PBGOODWILLDEDUCTED</stp>
        <stp>2</stp>
        <stp>600202</stp>
        <stp>12/31/2018</stp>
        <tr r="N605" s="1"/>
      </tp>
      <tp>
        <v>2.5838223368497801</v>
        <stp/>
        <stp>EM_S_VAL_PBGOODWILLDEDUCTED</stp>
        <stp>2</stp>
        <stp>300251</stp>
        <stp>12/31/2018</stp>
        <tr r="N501" s="1"/>
      </tp>
      <tp>
        <v>3.9772019115565</v>
        <stp/>
        <stp>EM_S_VAL_PBGOODWILLDEDUCTED</stp>
        <stp>2</stp>
        <stp>600201</stp>
        <stp>12/31/2018</stp>
        <tr r="N1517" s="1"/>
      </tp>
      <tp>
        <v>2.88555145299821</v>
        <stp/>
        <stp>EM_S_VAL_PBGOODWILLDEDUCTED</stp>
        <stp>2</stp>
        <stp>300250</stp>
        <stp>12/31/2018</stp>
        <tr r="N1446" s="1"/>
      </tp>
      <tp>
        <v>1.79596773247319</v>
        <stp/>
        <stp>EM_S_VAL_PBGOODWILLDEDUCTED</stp>
        <stp>2</stp>
        <stp>600200</stp>
        <stp>12/31/2018</stp>
        <tr r="N2906" s="1"/>
      </tp>
      <tp>
        <v>2.6178106570387101</v>
        <stp/>
        <stp>EM_S_VAL_PBGOODWILLDEDUCTED</stp>
        <stp>2</stp>
        <stp>300257</stp>
        <stp>12/31/2018</stp>
        <tr r="N1743" s="1"/>
      </tp>
      <tp>
        <v>2.3852545432809502</v>
        <stp/>
        <stp>EM_S_VAL_PBGOODWILLDEDUCTED</stp>
        <stp>2</stp>
        <stp>600207</stp>
        <stp>12/31/2018</stp>
        <tr r="N1807" s="1"/>
      </tp>
      <tp>
        <v>3.6403506852485301</v>
        <stp/>
        <stp>EM_S_VAL_PBGOODWILLDEDUCTED</stp>
        <stp>2</stp>
        <stp>300256</stp>
        <stp>12/31/2018</stp>
        <tr r="N154" s="1"/>
      </tp>
      <tp>
        <v>1.8814660659881099</v>
        <stp/>
        <stp>EM_S_VAL_PBGOODWILLDEDUCTED</stp>
        <stp>2</stp>
        <stp>600206</stp>
        <stp>12/31/2018</stp>
        <tr r="N232" s="1"/>
      </tp>
      <tp>
        <v>1.5239596326142799</v>
        <stp/>
        <stp>EM_S_VAL_PBGOODWILLDEDUCTED</stp>
        <stp>2</stp>
        <stp>300255</stp>
        <stp>12/31/2018</stp>
        <tr r="N922" s="1"/>
      </tp>
      <tp>
        <v>4.2189851148495601</v>
        <stp/>
        <stp>EM_S_VAL_PBGOODWILLDEDUCTED</stp>
        <stp>2</stp>
        <stp>600205</stp>
        <stp>12/31/2018</stp>
        <tr r="N2295" s="1"/>
      </tp>
      <tp>
        <v>2.1276439037813302</v>
        <stp/>
        <stp>EM_S_VAL_PBGOODWILLDEDUCTED</stp>
        <stp>2</stp>
        <stp>300254</stp>
        <stp>12/31/2018</stp>
        <tr r="N1140" s="1"/>
      </tp>
      <tp>
        <v>4.0636943626103204</v>
        <stp/>
        <stp>EM_S_VAL_PBGOODWILLDEDUCTED</stp>
        <stp>2</stp>
        <stp>300249</stp>
        <stp>12/31/2018</stp>
        <tr r="N2557" s="1"/>
      </tp>
      <tp>
        <v>0.65961315999077397</v>
        <stp/>
        <stp>EM_S_VAL_PBGOODWILLDEDUCTED</stp>
        <stp>2</stp>
        <stp>600219</stp>
        <stp>12/31/2018</stp>
        <tr r="N1916" s="1"/>
      </tp>
      <tp>
        <v>3.3572836897725602</v>
        <stp/>
        <stp>EM_S_VAL_PBGOODWILLDEDUCTED</stp>
        <stp>2</stp>
        <stp>300248</stp>
        <stp>12/31/2018</stp>
        <tr r="N1276" s="1"/>
      </tp>
      <tp>
        <v>0.85644546839209001</v>
        <stp/>
        <stp>EM_S_VAL_PBGOODWILLDEDUCTED</stp>
        <stp>2</stp>
        <stp>600218</stp>
        <stp>12/31/2018</stp>
        <tr r="N83" s="1"/>
      </tp>
      <tp>
        <v>2.7497522128832599</v>
        <stp/>
        <stp>EM_S_VAL_PBGOODWILLDEDUCTED</stp>
        <stp>2</stp>
        <stp>300243</stp>
        <stp>12/31/2018</stp>
        <tr r="N2469" s="1"/>
      </tp>
      <tp>
        <v>7.1606007814620103</v>
        <stp/>
        <stp>EM_S_VAL_PBGOODWILLDEDUCTED</stp>
        <stp>2</stp>
        <stp>600213</stp>
        <stp>12/31/2018</stp>
        <tr r="N668" s="1"/>
      </tp>
      <tp>
        <v>3.7637450454636299</v>
        <stp/>
        <stp>EM_S_VAL_PBGOODWILLDEDUCTED</stp>
        <stp>2</stp>
        <stp>300242</stp>
        <stp>12/31/2018</stp>
        <tr r="N2537" s="1"/>
      </tp>
      <tp>
        <v>3.4200481706277501</v>
        <stp/>
        <stp>EM_S_VAL_PBGOODWILLDEDUCTED</stp>
        <stp>2</stp>
        <stp>600212</stp>
        <stp>12/31/2018</stp>
        <tr r="N2006" s="1"/>
      </tp>
      <tp>
        <v>2.03753687301228</v>
        <stp/>
        <stp>EM_S_VAL_PBGOODWILLDEDUCTED</stp>
        <stp>2</stp>
        <stp>300241</stp>
        <stp>12/31/2018</stp>
        <tr r="N679" s="1"/>
      </tp>
      <tp>
        <v>2.3625267212815402</v>
        <stp/>
        <stp>EM_S_VAL_PBGOODWILLDEDUCTED</stp>
        <stp>2</stp>
        <stp>600211</stp>
        <stp>12/31/2018</stp>
        <tr r="N1937" s="1"/>
      </tp>
      <tp>
        <v>2.5739875370407401</v>
        <stp/>
        <stp>EM_S_VAL_PBGOODWILLDEDUCTED</stp>
        <stp>2</stp>
        <stp>300240</stp>
        <stp>12/31/2018</stp>
        <tr r="N2840" s="1"/>
      </tp>
      <tp>
        <v>1.2766712173236101</v>
        <stp/>
        <stp>EM_S_VAL_PBGOODWILLDEDUCTED</stp>
        <stp>2</stp>
        <stp>600210</stp>
        <stp>12/31/2018</stp>
        <tr r="N2091" s="1"/>
      </tp>
      <tp>
        <v>2.2757333972359302</v>
        <stp/>
        <stp>EM_S_VAL_PBGOODWILLDEDUCTED</stp>
        <stp>2</stp>
        <stp>300247</stp>
        <stp>12/31/2018</stp>
        <tr r="N2984" s="1"/>
      </tp>
      <tp>
        <v>4.1112915271350801</v>
        <stp/>
        <stp>EM_S_VAL_PBGOODWILLDEDUCTED</stp>
        <stp>2</stp>
        <stp>600217</stp>
        <stp>12/31/2018</stp>
        <tr r="N1105" s="1"/>
      </tp>
      <tp>
        <v>3.4287228482819798</v>
        <stp/>
        <stp>EM_S_VAL_PBGOODWILLDEDUCTED</stp>
        <stp>2</stp>
        <stp>300246</stp>
        <stp>12/31/2018</stp>
        <tr r="N740" s="1"/>
      </tp>
      <tp>
        <v>1.0964053866151</v>
        <stp/>
        <stp>EM_S_VAL_PBGOODWILLDEDUCTED</stp>
        <stp>2</stp>
        <stp>600216</stp>
        <stp>12/31/2018</stp>
        <tr r="N597" s="1"/>
      </tp>
      <tp>
        <v>1.9238052322802699</v>
        <stp/>
        <stp>EM_S_VAL_PBGOODWILLDEDUCTED</stp>
        <stp>2</stp>
        <stp>300245</stp>
        <stp>12/31/2018</stp>
        <tr r="N1646" s="1"/>
      </tp>
      <tp>
        <v>1.2405936223465699</v>
        <stp/>
        <stp>EM_S_VAL_PBGOODWILLDEDUCTED</stp>
        <stp>2</stp>
        <stp>600215</stp>
        <stp>12/31/2018</stp>
        <tr r="N2571" s="1"/>
      </tp>
      <tp>
        <v>4.6001911071923898</v>
        <stp/>
        <stp>EM_S_VAL_PBGOODWILLDEDUCTED</stp>
        <stp>2</stp>
        <stp>300244</stp>
        <stp>12/31/2018</stp>
        <tr r="N671" s="1"/>
      </tp>
      <tp>
        <v>2.9257944901722701</v>
        <stp/>
        <stp>EM_S_VAL_PBGOODWILLDEDUCTED</stp>
        <stp>2</stp>
        <stp>300279</stp>
        <stp>12/31/2018</stp>
        <tr r="N1022" s="1"/>
      </tp>
      <tp>
        <v>1.8607008961682501</v>
        <stp/>
        <stp>EM_S_VAL_PBGOODWILLDEDUCTED</stp>
        <stp>2</stp>
        <stp>600229</stp>
        <stp>12/31/2018</stp>
        <tr r="N2004" s="1"/>
      </tp>
      <tp>
        <v>4.2183990174691397</v>
        <stp/>
        <stp>EM_S_VAL_PBGOODWILLDEDUCTED</stp>
        <stp>2</stp>
        <stp>300278</stp>
        <stp>12/31/2018</stp>
        <tr r="N3145" s="1"/>
      </tp>
      <tp>
        <v>33.275027385520197</v>
        <stp/>
        <stp>EM_S_VAL_PBGOODWILLDEDUCTED</stp>
        <stp>2</stp>
        <stp>600228</stp>
        <stp>12/31/2018</stp>
        <tr r="N3169" s="1"/>
      </tp>
      <tp>
        <v>1.47071908464448</v>
        <stp/>
        <stp>EM_S_VAL_PBGOODWILLDEDUCTED</stp>
        <stp>2</stp>
        <stp>300273</stp>
        <stp>12/31/2018</stp>
        <tr r="N1936" s="1"/>
      </tp>
      <tp>
        <v>1.2649744666415601</v>
        <stp/>
        <stp>EM_S_VAL_PBGOODWILLDEDUCTED</stp>
        <stp>2</stp>
        <stp>600223</stp>
        <stp>12/31/2018</stp>
        <tr r="N86" s="1"/>
      </tp>
      <tp>
        <v>2.8860668431543801</v>
        <stp/>
        <stp>EM_S_VAL_PBGOODWILLDEDUCTED</stp>
        <stp>2</stp>
        <stp>300272</stp>
        <stp>12/31/2018</stp>
        <tr r="N3189" s="1"/>
      </tp>
      <tp>
        <v>1.7703991728422499</v>
        <stp/>
        <stp>EM_S_VAL_PBGOODWILLDEDUCTED</stp>
        <stp>2</stp>
        <stp>600222</stp>
        <stp>12/31/2018</stp>
        <tr r="N1015" s="1"/>
      </tp>
      <tp>
        <v>4.3774839713482399</v>
        <stp/>
        <stp>EM_S_VAL_PBGOODWILLDEDUCTED</stp>
        <stp>2</stp>
        <stp>300271</stp>
        <stp>12/31/2018</stp>
        <tr r="N312" s="1"/>
      </tp>
      <tp>
        <v>0.65699765885094197</v>
        <stp/>
        <stp>EM_S_VAL_PBGOODWILLDEDUCTED</stp>
        <stp>2</stp>
        <stp>600221</stp>
        <stp>12/31/2018</stp>
        <tr r="N2679" s="1"/>
      </tp>
      <tp>
        <v>1.87282905084066</v>
        <stp/>
        <stp>EM_S_VAL_PBGOODWILLDEDUCTED</stp>
        <stp>2</stp>
        <stp>300270</stp>
        <stp>12/31/2018</stp>
        <tr r="N966" s="1"/>
      </tp>
      <tp>
        <v>1.7087339693128201</v>
        <stp/>
        <stp>EM_S_VAL_PBGOODWILLDEDUCTED</stp>
        <stp>2</stp>
        <stp>600220</stp>
        <stp>12/31/2018</stp>
        <tr r="N1873" s="1"/>
      </tp>
      <tp>
        <v>4.3032363726264702</v>
        <stp/>
        <stp>EM_S_VAL_PBGOODWILLDEDUCTED</stp>
        <stp>2</stp>
        <stp>300277</stp>
        <stp>12/31/2018</stp>
        <tr r="N492" s="1"/>
      </tp>
      <tp>
        <v>0.96223214875576801</v>
        <stp/>
        <stp>EM_S_VAL_PBGOODWILLDEDUCTED</stp>
        <stp>2</stp>
        <stp>600227</stp>
        <stp>12/31/2018</stp>
        <tr r="N2732" s="1"/>
      </tp>
      <tp>
        <v>3.9186586306231201</v>
        <stp/>
        <stp>EM_S_VAL_PBGOODWILLDEDUCTED</stp>
        <stp>2</stp>
        <stp>300276</stp>
        <stp>12/31/2018</stp>
        <tr r="N3092" s="1"/>
      </tp>
      <tp>
        <v>2.7881701876334399</v>
        <stp/>
        <stp>EM_S_VAL_PBGOODWILLDEDUCTED</stp>
        <stp>2</stp>
        <stp>600226</stp>
        <stp>12/31/2018</stp>
        <tr r="N1718" s="1"/>
      </tp>
      <tp>
        <v>2.6154758055504201</v>
        <stp/>
        <stp>EM_S_VAL_PBGOODWILLDEDUCTED</stp>
        <stp>2</stp>
        <stp>300275</stp>
        <stp>12/31/2018</stp>
        <tr r="N386" s="1"/>
      </tp>
      <tp>
        <v>4.1431156897027499</v>
        <stp/>
        <stp>EM_S_VAL_PBGOODWILLDEDUCTED</stp>
        <stp>2</stp>
        <stp>600225</stp>
        <stp>12/31/2018</stp>
        <tr r="N2872" s="1"/>
      </tp>
      <tp>
        <v>1.68019893265164</v>
        <stp/>
        <stp>EM_S_VAL_PBGOODWILLDEDUCTED</stp>
        <stp>2</stp>
        <stp>300274</stp>
        <stp>12/31/2018</stp>
        <tr r="N1283" s="1"/>
      </tp>
      <tp>
        <v>3.7005177389944501</v>
        <stp/>
        <stp>EM_S_VAL_PBGOODWILLDEDUCTED</stp>
        <stp>2</stp>
        <stp>300269</stp>
        <stp>12/31/2018</stp>
        <tr r="N2751" s="1"/>
      </tp>
      <tp>
        <v>0.897825123991844</v>
        <stp/>
        <stp>EM_S_VAL_PBGOODWILLDEDUCTED</stp>
        <stp>2</stp>
        <stp>600239</stp>
        <stp>12/31/2018</stp>
        <tr r="N2256" s="1"/>
      </tp>
      <tp>
        <v>7.7724407976313898</v>
        <stp/>
        <stp>EM_S_VAL_PBGOODWILLDEDUCTED</stp>
        <stp>2</stp>
        <stp>300268</stp>
        <stp>12/31/2018</stp>
        <tr r="N1057" s="1"/>
      </tp>
      <tp>
        <v>2.6551984033403802</v>
        <stp/>
        <stp>EM_S_VAL_PBGOODWILLDEDUCTED</stp>
        <stp>2</stp>
        <stp>600238</stp>
        <stp>12/31/2018</stp>
        <tr r="N1030" s="1"/>
      </tp>
      <tp>
        <v>1.88165315041054</v>
        <stp/>
        <stp>EM_S_VAL_PBGOODWILLDEDUCTED</stp>
        <stp>2</stp>
        <stp>300263</stp>
        <stp>12/31/2018</stp>
        <tr r="N837" s="1"/>
      </tp>
      <tp>
        <v>2.7959696271691499</v>
        <stp/>
        <stp>EM_S_VAL_PBGOODWILLDEDUCTED</stp>
        <stp>2</stp>
        <stp>600233</stp>
        <stp>12/31/2018</stp>
        <tr r="N1032" s="1"/>
      </tp>
      <tp>
        <v>1.7201495418139301</v>
        <stp/>
        <stp>EM_S_VAL_PBGOODWILLDEDUCTED</stp>
        <stp>2</stp>
        <stp>300262</stp>
        <stp>12/31/2018</stp>
        <tr r="N2823" s="1"/>
      </tp>
      <tp>
        <v>1.6048622088197599</v>
        <stp/>
        <stp>EM_S_VAL_PBGOODWILLDEDUCTED</stp>
        <stp>2</stp>
        <stp>600232</stp>
        <stp>12/31/2018</stp>
        <tr r="N942" s="1"/>
      </tp>
      <tp>
        <v>3.0680916427182199</v>
        <stp/>
        <stp>EM_S_VAL_PBGOODWILLDEDUCTED</stp>
        <stp>2</stp>
        <stp>300261</stp>
        <stp>12/31/2018</stp>
        <tr r="N2999" s="1"/>
      </tp>
      <tp>
        <v>0.99369181454115096</v>
        <stp/>
        <stp>EM_S_VAL_PBGOODWILLDEDUCTED</stp>
        <stp>2</stp>
        <stp>600231</stp>
        <stp>12/31/2018</stp>
        <tr r="N2157" s="1"/>
      </tp>
      <tp>
        <v>2.9912272395573298</v>
        <stp/>
        <stp>EM_S_VAL_PBGOODWILLDEDUCTED</stp>
        <stp>2</stp>
        <stp>300260</stp>
        <stp>12/31/2018</stp>
        <tr r="N893" s="1"/>
      </tp>
      <tp>
        <v>1.8538590157574799</v>
        <stp/>
        <stp>EM_S_VAL_PBGOODWILLDEDUCTED</stp>
        <stp>2</stp>
        <stp>600230</stp>
        <stp>12/31/2018</stp>
        <tr r="N3272" s="1"/>
      </tp>
      <tp>
        <v>1.42755084927529</v>
        <stp/>
        <stp>EM_S_VAL_PBGOODWILLDEDUCTED</stp>
        <stp>2</stp>
        <stp>300267</stp>
        <stp>12/31/2018</stp>
        <tr r="N928" s="1"/>
      </tp>
      <tp>
        <v>1.4913907306476</v>
        <stp/>
        <stp>EM_S_VAL_PBGOODWILLDEDUCTED</stp>
        <stp>2</stp>
        <stp>600237</stp>
        <stp>12/31/2018</stp>
        <tr r="N1805" s="1"/>
      </tp>
      <tp>
        <v>2.7516399408933001</v>
        <stp/>
        <stp>EM_S_VAL_PBGOODWILLDEDUCTED</stp>
        <stp>2</stp>
        <stp>300266</stp>
        <stp>12/31/2018</stp>
        <tr r="N2378" s="1"/>
      </tp>
      <tp>
        <v>2.4714193519246401</v>
        <stp/>
        <stp>EM_S_VAL_PBGOODWILLDEDUCTED</stp>
        <stp>2</stp>
        <stp>600236</stp>
        <stp>12/31/2018</stp>
        <tr r="N2882" s="1"/>
      </tp>
      <tp>
        <v>2.7937952999767099</v>
        <stp/>
        <stp>EM_S_VAL_PBGOODWILLDEDUCTED</stp>
        <stp>2</stp>
        <stp>300265</stp>
        <stp>12/31/2018</stp>
        <tr r="N2552" s="1"/>
      </tp>
      <tp>
        <v>1.6871023238082601</v>
        <stp/>
        <stp>EM_S_VAL_PBGOODWILLDEDUCTED</stp>
        <stp>2</stp>
        <stp>600235</stp>
        <stp>12/31/2018</stp>
        <tr r="N2924" s="1"/>
      </tp>
      <tp>
        <v>4.7515487080153997</v>
        <stp/>
        <stp>EM_S_VAL_PBGOODWILLDEDUCTED</stp>
        <stp>2</stp>
        <stp>300264</stp>
        <stp>12/31/2018</stp>
        <tr r="N2027" s="1"/>
      </tp>
      <tp>
        <v>29.546846347984101</v>
        <stp/>
        <stp>EM_S_VAL_PBGOODWILLDEDUCTED</stp>
        <stp>2</stp>
        <stp>600234</stp>
        <stp>12/31/2018</stp>
        <tr r="N1543" s="1"/>
      </tp>
      <tp>
        <v>2.7916062690407402</v>
        <stp/>
        <stp>EM_S_VAL_PBGOODWILLDEDUCTED</stp>
        <stp>2</stp>
        <stp>300219</stp>
        <stp>12/31/2018</stp>
        <tr r="N2822" s="1"/>
      </tp>
      <tp>
        <v>1.1103846515050599</v>
        <stp/>
        <stp>EM_S_VAL_PBGOODWILLDEDUCTED</stp>
        <stp>2</stp>
        <stp>600249</stp>
        <stp>12/31/2018</stp>
        <tr r="N1050" s="1"/>
      </tp>
      <tp>
        <v>1.32720103024659</v>
        <stp/>
        <stp>EM_S_VAL_PBGOODWILLDEDUCTED</stp>
        <stp>2</stp>
        <stp>300218</stp>
        <stp>12/31/2018</stp>
        <tr r="N970" s="1"/>
      </tp>
      <tp>
        <v>1.3120956089614499</v>
        <stp/>
        <stp>EM_S_VAL_PBGOODWILLDEDUCTED</stp>
        <stp>2</stp>
        <stp>600248</stp>
        <stp>12/31/2018</stp>
        <tr r="N1689" s="1"/>
      </tp>
      <tp>
        <v>2.2293267157216698</v>
        <stp/>
        <stp>EM_S_VAL_PBGOODWILLDEDUCTED</stp>
        <stp>2</stp>
        <stp>300213</stp>
        <stp>12/31/2018</stp>
        <tr r="N1437" s="1"/>
      </tp>
      <tp>
        <v>1.10282440719417</v>
        <stp/>
        <stp>EM_S_VAL_PBGOODWILLDEDUCTED</stp>
        <stp>2</stp>
        <stp>600243</stp>
        <stp>12/31/2018</stp>
        <tr r="N1495" s="1"/>
      </tp>
      <tp>
        <v>3.51833066272994</v>
        <stp/>
        <stp>EM_S_VAL_PBGOODWILLDEDUCTED</stp>
        <stp>2</stp>
        <stp>300212</stp>
        <stp>12/31/2018</stp>
        <tr r="N426" s="1"/>
      </tp>
      <tp>
        <v>-139.926456532343</v>
        <stp/>
        <stp>EM_S_VAL_PBGOODWILLDEDUCTED</stp>
        <stp>2</stp>
        <stp>600242</stp>
        <stp>12/31/2018</stp>
        <tr r="N3360" s="1"/>
      </tp>
      <tp>
        <v>2.9793914398811401</v>
        <stp/>
        <stp>EM_S_VAL_PBGOODWILLDEDUCTED</stp>
        <stp>2</stp>
        <stp>300211</stp>
        <stp>12/31/2018</stp>
        <tr r="N339" s="1"/>
      </tp>
      <tp>
        <v>1.4029295063066001</v>
        <stp/>
        <stp>EM_S_VAL_PBGOODWILLDEDUCTED</stp>
        <stp>2</stp>
        <stp>600241</stp>
        <stp>12/31/2018</stp>
        <tr r="N2745" s="1"/>
      </tp>
      <tp>
        <v>1.7310200571638401</v>
        <stp/>
        <stp>EM_S_VAL_PBGOODWILLDEDUCTED</stp>
        <stp>2</stp>
        <stp>300210</stp>
        <stp>12/31/2018</stp>
        <tr r="N3058" s="1"/>
      </tp>
      <tp>
        <v>123.03757518588699</v>
        <stp/>
        <stp>EM_S_VAL_PBGOODWILLDEDUCTED</stp>
        <stp>2</stp>
        <stp>600240</stp>
        <stp>12/31/2018</stp>
        <tr r="N3408" s="1"/>
      </tp>
      <tp>
        <v>1.5796518396199299</v>
        <stp/>
        <stp>EM_S_VAL_PBGOODWILLDEDUCTED</stp>
        <stp>2</stp>
        <stp>300217</stp>
        <stp>12/31/2018</stp>
        <tr r="N2065" s="1"/>
      </tp>
      <tp>
        <v>140.98355398685499</v>
        <stp/>
        <stp>EM_S_VAL_PBGOODWILLDEDUCTED</stp>
        <stp>2</stp>
        <stp>600247</stp>
        <stp>12/31/2018</stp>
        <tr r="N3103" s="1"/>
      </tp>
      <tp>
        <v>-0.76931457703478501</v>
        <stp/>
        <stp>EM_S_VAL_PBGOODWILLDEDUCTED</stp>
        <stp>2</stp>
        <stp>300216</stp>
        <stp>12/31/2018</stp>
        <tr r="N2361" s="1"/>
      </tp>
      <tp>
        <v>1.0207335402356901</v>
        <stp/>
        <stp>EM_S_VAL_PBGOODWILLDEDUCTED</stp>
        <stp>2</stp>
        <stp>600246</stp>
        <stp>12/31/2018</stp>
        <tr r="N495" s="1"/>
      </tp>
      <tp>
        <v>1.9982594710134101</v>
        <stp/>
        <stp>EM_S_VAL_PBGOODWILLDEDUCTED</stp>
        <stp>2</stp>
        <stp>300215</stp>
        <stp>12/31/2018</stp>
        <tr r="N1169" s="1"/>
      </tp>
      <tp>
        <v>1.4441750917904601</v>
        <stp/>
        <stp>EM_S_VAL_PBGOODWILLDEDUCTED</stp>
        <stp>2</stp>
        <stp>300214</stp>
        <stp>12/31/2018</stp>
        <tr r="N590" s="1"/>
      </tp>
      <tp>
        <v>2.7124303051710599</v>
        <stp/>
        <stp>EM_S_VAL_PBGOODWILLDEDUCTED</stp>
        <stp>2</stp>
        <stp>300209</stp>
        <stp>12/31/2018</stp>
        <tr r="N866" s="1"/>
      </tp>
      <tp>
        <v>4.0149773540072902</v>
        <stp/>
        <stp>EM_S_VAL_PBGOODWILLDEDUCTED</stp>
        <stp>2</stp>
        <stp>600259</stp>
        <stp>12/31/2018</stp>
        <tr r="N486" s="1"/>
      </tp>
      <tp>
        <v>2.1113610857078999</v>
        <stp/>
        <stp>EM_S_VAL_PBGOODWILLDEDUCTED</stp>
        <stp>2</stp>
        <stp>300208</stp>
        <stp>12/31/2018</stp>
        <tr r="N1037" s="1"/>
      </tp>
      <tp>
        <v>4.4998808535989099</v>
        <stp/>
        <stp>EM_S_VAL_PBGOODWILLDEDUCTED</stp>
        <stp>2</stp>
        <stp>600258</stp>
        <stp>12/31/2018</stp>
        <tr r="N833" s="1"/>
      </tp>
      <tp>
        <v>4.2131554185297597</v>
        <stp/>
        <stp>EM_S_VAL_PBGOODWILLDEDUCTED</stp>
        <stp>2</stp>
        <stp>300203</stp>
        <stp>12/31/2018</stp>
        <tr r="N3273" s="1"/>
      </tp>
      <tp>
        <v>3.02515248807918</v>
        <stp/>
        <stp>EM_S_VAL_PBGOODWILLDEDUCTED</stp>
        <stp>2</stp>
        <stp>600253</stp>
        <stp>12/31/2018</stp>
        <tr r="N2296" s="1"/>
      </tp>
      <tp>
        <v>2.2150998927355001</v>
        <stp/>
        <stp>EM_S_VAL_PBGOODWILLDEDUCTED</stp>
        <stp>2</stp>
        <stp>300202</stp>
        <stp>12/31/2018</stp>
        <tr r="N299" s="1"/>
      </tp>
      <tp>
        <v>1.5070167033936199</v>
        <stp/>
        <stp>EM_S_VAL_PBGOODWILLDEDUCTED</stp>
        <stp>2</stp>
        <stp>600252</stp>
        <stp>12/31/2018</stp>
        <tr r="N1069" s="1"/>
      </tp>
      <tp>
        <v>3.1376370792698798</v>
        <stp/>
        <stp>EM_S_VAL_PBGOODWILLDEDUCTED</stp>
        <stp>2</stp>
        <stp>300201</stp>
        <stp>12/31/2018</stp>
        <tr r="N2087" s="1"/>
      </tp>
      <tp>
        <v>1.9622537582589099</v>
        <stp/>
        <stp>EM_S_VAL_PBGOODWILLDEDUCTED</stp>
        <stp>2</stp>
        <stp>600251</stp>
        <stp>12/31/2018</stp>
        <tr r="N1731" s="1"/>
      </tp>
      <tp>
        <v>2.2136396529476801</v>
        <stp/>
        <stp>EM_S_VAL_PBGOODWILLDEDUCTED</stp>
        <stp>2</stp>
        <stp>300200</stp>
        <stp>12/31/2018</stp>
        <tr r="N246" s="1"/>
      </tp>
      <tp>
        <v>3.1684386765080701</v>
        <stp/>
        <stp>EM_S_VAL_PBGOODWILLDEDUCTED</stp>
        <stp>2</stp>
        <stp>600250</stp>
        <stp>12/31/2018</stp>
        <tr r="N3043" s="1"/>
      </tp>
      <tp>
        <v>2.5143963769393198</v>
        <stp/>
        <stp>EM_S_VAL_PBGOODWILLDEDUCTED</stp>
        <stp>2</stp>
        <stp>300207</stp>
        <stp>12/31/2018</stp>
        <tr r="N108" s="1"/>
      </tp>
      <tp>
        <v>1.54705002496678</v>
        <stp/>
        <stp>EM_S_VAL_PBGOODWILLDEDUCTED</stp>
        <stp>2</stp>
        <stp>600257</stp>
        <stp>12/31/2018</stp>
        <tr r="N2166" s="1"/>
      </tp>
      <tp>
        <v>2.9303065529292498</v>
        <stp/>
        <stp>EM_S_VAL_PBGOODWILLDEDUCTED</stp>
        <stp>2</stp>
        <stp>300206</stp>
        <stp>12/31/2018</stp>
        <tr r="N1176" s="1"/>
      </tp>
      <tp>
        <v>1.6987557509176801</v>
        <stp/>
        <stp>EM_S_VAL_PBGOODWILLDEDUCTED</stp>
        <stp>2</stp>
        <stp>600256</stp>
        <stp>12/31/2018</stp>
        <tr r="N2837" s="1"/>
      </tp>
      <tp>
        <v>2.7992489733333601</v>
        <stp/>
        <stp>EM_S_VAL_PBGOODWILLDEDUCTED</stp>
        <stp>2</stp>
        <stp>300205</stp>
        <stp>12/31/2018</stp>
        <tr r="N825" s="1"/>
      </tp>
      <tp>
        <v>1.92535982558714</v>
        <stp/>
        <stp>EM_S_VAL_PBGOODWILLDEDUCTED</stp>
        <stp>2</stp>
        <stp>600255</stp>
        <stp>12/31/2018</stp>
        <tr r="N2860" s="1"/>
      </tp>
      <tp>
        <v>2.1664054019048802</v>
        <stp/>
        <stp>EM_S_VAL_PBGOODWILLDEDUCTED</stp>
        <stp>2</stp>
        <stp>300204</stp>
        <stp>12/31/2018</stp>
        <tr r="N2375" s="1"/>
      </tp>
      <tp>
        <v>2.28635659184551</v>
        <stp/>
        <stp>EM_S_VAL_PBGOODWILLDEDUCTED</stp>
        <stp>2</stp>
        <stp>300239</stp>
        <stp>12/31/2018</stp>
        <tr r="N984" s="1"/>
      </tp>
      <tp>
        <v>0.61372642321848503</v>
        <stp/>
        <stp>EM_S_VAL_PBGOODWILLDEDUCTED</stp>
        <stp>2</stp>
        <stp>600269</stp>
        <stp>12/31/2018</stp>
        <tr r="N1972" s="1"/>
      </tp>
      <tp>
        <v>4.3048820235071696</v>
        <stp/>
        <stp>EM_S_VAL_PBGOODWILLDEDUCTED</stp>
        <stp>2</stp>
        <stp>300238</stp>
        <stp>12/31/2018</stp>
        <tr r="N179" s="1"/>
      </tp>
      <tp>
        <v>1.2663814396088799</v>
        <stp/>
        <stp>EM_S_VAL_PBGOODWILLDEDUCTED</stp>
        <stp>2</stp>
        <stp>600268</stp>
        <stp>12/31/2018</stp>
        <tr r="N1195" s="1"/>
      </tp>
      <tp>
        <v>1.8018358568458599</v>
        <stp/>
        <stp>EM_S_VAL_PBGOODWILLDEDUCTED</stp>
        <stp>2</stp>
        <stp>300233</stp>
        <stp>12/31/2018</stp>
        <tr r="N694" s="1"/>
      </tp>
      <tp>
        <v>3.1182891259031602</v>
        <stp/>
        <stp>EM_S_VAL_PBGOODWILLDEDUCTED</stp>
        <stp>2</stp>
        <stp>600263</stp>
        <stp>12/31/2018</stp>
        <tr r="N2297" s="1"/>
      </tp>
      <tp>
        <v>3.9769498358728499</v>
        <stp/>
        <stp>EM_S_VAL_PBGOODWILLDEDUCTED</stp>
        <stp>2</stp>
        <stp>300232</stp>
        <stp>12/31/2018</stp>
        <tr r="N1976" s="1"/>
      </tp>
      <tp>
        <v>2.5596693005196798</v>
        <stp/>
        <stp>EM_S_VAL_PBGOODWILLDEDUCTED</stp>
        <stp>2</stp>
        <stp>600262</stp>
        <stp>12/31/2018</stp>
        <tr r="N2020" s="1"/>
      </tp>
      <tp>
        <v>2.07315988729205</v>
        <stp/>
        <stp>EM_S_VAL_PBGOODWILLDEDUCTED</stp>
        <stp>2</stp>
        <stp>300231</stp>
        <stp>12/31/2018</stp>
        <tr r="N943" s="1"/>
      </tp>
      <tp>
        <v>1.4822907896631901</v>
        <stp/>
        <stp>EM_S_VAL_PBGOODWILLDEDUCTED</stp>
        <stp>2</stp>
        <stp>600261</stp>
        <stp>12/31/2018</stp>
        <tr r="N753" s="1"/>
      </tp>
      <tp>
        <v>1.9806728589371601</v>
        <stp/>
        <stp>EM_S_VAL_PBGOODWILLDEDUCTED</stp>
        <stp>2</stp>
        <stp>300230</stp>
        <stp>12/31/2018</stp>
        <tr r="N2958" s="1"/>
      </tp>
      <tp>
        <v>2.6340514025817501</v>
        <stp/>
        <stp>EM_S_VAL_PBGOODWILLDEDUCTED</stp>
        <stp>2</stp>
        <stp>600260</stp>
        <stp>12/31/2018</stp>
        <tr r="N3108" s="1"/>
      </tp>
      <tp>
        <v>1.7752243913910299</v>
        <stp/>
        <stp>EM_S_VAL_PBGOODWILLDEDUCTED</stp>
        <stp>2</stp>
        <stp>300237</stp>
        <stp>12/31/2018</stp>
        <tr r="N3205" s="1"/>
      </tp>
      <tp>
        <v>1.3157022250305399</v>
        <stp/>
        <stp>EM_S_VAL_PBGOODWILLDEDUCTED</stp>
        <stp>2</stp>
        <stp>600267</stp>
        <stp>12/31/2018</stp>
        <tr r="N1513" s="1"/>
      </tp>
      <tp>
        <v>4.0028987719513696</v>
        <stp/>
        <stp>EM_S_VAL_PBGOODWILLDEDUCTED</stp>
        <stp>2</stp>
        <stp>300236</stp>
        <stp>12/31/2018</stp>
        <tr r="N1622" s="1"/>
      </tp>
      <tp>
        <v>0.63744235125113002</v>
        <stp/>
        <stp>EM_S_VAL_PBGOODWILLDEDUCTED</stp>
        <stp>2</stp>
        <stp>600266</stp>
        <stp>12/31/2018</stp>
        <tr r="N2129" s="1"/>
      </tp>
      <tp>
        <v>2.3011109003633301</v>
        <stp/>
        <stp>EM_S_VAL_PBGOODWILLDEDUCTED</stp>
        <stp>2</stp>
        <stp>300235</stp>
        <stp>12/31/2018</stp>
        <tr r="N431" s="1"/>
      </tp>
      <tp>
        <v>97.854434957222594</v>
        <stp/>
        <stp>EM_S_VAL_PBGOODWILLDEDUCTED</stp>
        <stp>2</stp>
        <stp>600265</stp>
        <stp>12/31/2018</stp>
        <tr r="N2743" s="1"/>
      </tp>
      <tp>
        <v>1.8159552539822199</v>
        <stp/>
        <stp>EM_S_VAL_PBGOODWILLDEDUCTED</stp>
        <stp>2</stp>
        <stp>300234</stp>
        <stp>12/31/2018</stp>
        <tr r="N173" s="1"/>
      </tp>
      <tp>
        <v>3.2764105985569199</v>
        <stp/>
        <stp>EM_S_VAL_PBGOODWILLDEDUCTED</stp>
        <stp>2</stp>
        <stp>300229</stp>
        <stp>12/31/2018</stp>
        <tr r="N529" s="1"/>
      </tp>
      <tp>
        <v>0.74910452240983105</v>
        <stp/>
        <stp>EM_S_VAL_PBGOODWILLDEDUCTED</stp>
        <stp>2</stp>
        <stp>600279</stp>
        <stp>12/31/2018</stp>
        <tr r="N1653" s="1"/>
      </tp>
      <tp>
        <v>1.3257869174216701</v>
        <stp/>
        <stp>EM_S_VAL_PBGOODWILLDEDUCTED</stp>
        <stp>2</stp>
        <stp>300228</stp>
        <stp>12/31/2018</stp>
        <tr r="N1991" s="1"/>
      </tp>
      <tp>
        <v>1.1606691844664101</v>
        <stp/>
        <stp>EM_S_VAL_PBGOODWILLDEDUCTED</stp>
        <stp>2</stp>
        <stp>600278</stp>
        <stp>12/31/2018</stp>
        <tr r="N923" s="1"/>
      </tp>
      <tp>
        <v>3.2067813373371199</v>
        <stp/>
        <stp>EM_S_VAL_PBGOODWILLDEDUCTED</stp>
        <stp>2</stp>
        <stp>300223</stp>
        <stp>12/31/2018</stp>
        <tr r="N20" s="1"/>
      </tp>
      <tp>
        <v>2.1272021089378801</v>
        <stp/>
        <stp>EM_S_VAL_PBGOODWILLDEDUCTED</stp>
        <stp>2</stp>
        <stp>600273</stp>
        <stp>12/31/2018</stp>
        <tr r="N1116" s="1"/>
      </tp>
      <tp>
        <v>4.1644758022321202</v>
        <stp/>
        <stp>EM_S_VAL_PBGOODWILLDEDUCTED</stp>
        <stp>2</stp>
        <stp>300222</stp>
        <stp>12/31/2018</stp>
        <tr r="N3309" s="1"/>
      </tp>
      <tp>
        <v>3.4827996778307999</v>
        <stp/>
        <stp>EM_S_VAL_PBGOODWILLDEDUCTED</stp>
        <stp>2</stp>
        <stp>600272</stp>
        <stp>12/31/2018</stp>
        <tr r="N1919" s="1"/>
      </tp>
      <tp>
        <v>1.9449278519367199</v>
        <stp/>
        <stp>EM_S_VAL_PBGOODWILLDEDUCTED</stp>
        <stp>2</stp>
        <stp>300221</stp>
        <stp>12/31/2018</stp>
        <tr r="N1732" s="1"/>
      </tp>
      <tp>
        <v>4.4720680874801504</v>
        <stp/>
        <stp>EM_S_VAL_PBGOODWILLDEDUCTED</stp>
        <stp>2</stp>
        <stp>600271</stp>
        <stp>12/31/2018</stp>
        <tr r="N2348" s="1"/>
      </tp>
      <tp>
        <v>4.9021281845954103</v>
        <stp/>
        <stp>EM_S_VAL_PBGOODWILLDEDUCTED</stp>
        <stp>2</stp>
        <stp>300220</stp>
        <stp>12/31/2018</stp>
        <tr r="N27" s="1"/>
      </tp>
      <tp>
        <v>2.2524276987714398</v>
        <stp/>
        <stp>EM_S_VAL_PBGOODWILLDEDUCTED</stp>
        <stp>2</stp>
        <stp>600270</stp>
        <stp>12/31/2018</stp>
        <tr r="N2298" s="1"/>
      </tp>
      <tp>
        <v>3.2708245934580802</v>
        <stp/>
        <stp>EM_S_VAL_PBGOODWILLDEDUCTED</stp>
        <stp>2</stp>
        <stp>300227</stp>
        <stp>12/31/2018</stp>
        <tr r="N659" s="1"/>
      </tp>
      <tp>
        <v>1.05447833166071</v>
        <stp/>
        <stp>EM_S_VAL_PBGOODWILLDEDUCTED</stp>
        <stp>2</stp>
        <stp>600277</stp>
        <stp>12/31/2018</stp>
        <tr r="N3055" s="1"/>
      </tp>
      <tp>
        <v>7.9767022762506299</v>
        <stp/>
        <stp>EM_S_VAL_PBGOODWILLDEDUCTED</stp>
        <stp>2</stp>
        <stp>300226</stp>
        <stp>12/31/2018</stp>
        <tr r="N350" s="1"/>
      </tp>
      <tp>
        <v>9.8452865362822806</v>
        <stp/>
        <stp>EM_S_VAL_PBGOODWILLDEDUCTED</stp>
        <stp>2</stp>
        <stp>600276</stp>
        <stp>12/31/2018</stp>
        <tr r="N401" s="1"/>
      </tp>
      <tp>
        <v>2.4034799549627701</v>
        <stp/>
        <stp>EM_S_VAL_PBGOODWILLDEDUCTED</stp>
        <stp>2</stp>
        <stp>300225</stp>
        <stp>12/31/2018</stp>
        <tr r="N940" s="1"/>
      </tp>
      <tp>
        <v>9.2686137844935104</v>
        <stp/>
        <stp>EM_S_VAL_PBGOODWILLDEDUCTED</stp>
        <stp>2</stp>
        <stp>600275</stp>
        <stp>12/31/2018</stp>
        <tr r="N3082" s="1"/>
      </tp>
      <tp>
        <v>1.83513287195196</v>
        <stp/>
        <stp>EM_S_VAL_PBGOODWILLDEDUCTED</stp>
        <stp>2</stp>
        <stp>300224</stp>
        <stp>12/31/2018</stp>
        <tr r="N372" s="1"/>
      </tp>
      <tp>
        <v>2.6370677708755199</v>
        <stp/>
        <stp>EM_S_VAL_PBGOODWILLDEDUCTED</stp>
        <stp>2</stp>
        <stp>600988</stp>
        <stp>12/31/2018</stp>
        <tr r="N1255" s="1"/>
      </tp>
      <tp>
        <v>0.97953175019721195</v>
        <stp/>
        <stp>EM_S_VAL_PBGOODWILLDEDUCTED</stp>
        <stp>2</stp>
        <stp>600983</stp>
        <stp>12/31/2018</stp>
        <tr r="N2645" s="1"/>
      </tp>
      <tp>
        <v>0.97859014694813695</v>
        <stp/>
        <stp>EM_S_VAL_PBGOODWILLDEDUCTED</stp>
        <stp>2</stp>
        <stp>600982</stp>
        <stp>12/31/2018</stp>
        <tr r="N2729" s="1"/>
      </tp>
      <tp>
        <v>1.61337025118791</v>
        <stp/>
        <stp>EM_S_VAL_PBGOODWILLDEDUCTED</stp>
        <stp>2</stp>
        <stp>600981</stp>
        <stp>12/31/2018</stp>
        <tr r="N2364" s="1"/>
      </tp>
      <tp>
        <v>2.5806126631246999</v>
        <stp/>
        <stp>EM_S_VAL_PBGOODWILLDEDUCTED</stp>
        <stp>2</stp>
        <stp>600980</stp>
        <stp>12/31/2018</stp>
        <tr r="N669" s="1"/>
      </tp>
      <tp>
        <v>1.4203126521795999</v>
        <stp/>
        <stp>EM_S_VAL_PBGOODWILLDEDUCTED</stp>
        <stp>2</stp>
        <stp>600987</stp>
        <stp>12/31/2018</stp>
        <tr r="N3102" s="1"/>
      </tp>
      <tp>
        <v>2.3110405784082602</v>
        <stp/>
        <stp>EM_S_VAL_PBGOODWILLDEDUCTED</stp>
        <stp>2</stp>
        <stp>600986</stp>
        <stp>12/31/2018</stp>
        <tr r="N1246" s="1"/>
      </tp>
      <tp>
        <v>1.24063522277046</v>
        <stp/>
        <stp>EM_S_VAL_PBGOODWILLDEDUCTED</stp>
        <stp>2</stp>
        <stp>600985</stp>
        <stp>12/31/2018</stp>
        <tr r="N1841" s="1"/>
      </tp>
      <tp>
        <v>1.43127985233149</v>
        <stp/>
        <stp>EM_S_VAL_PBGOODWILLDEDUCTED</stp>
        <stp>2</stp>
        <stp>600984</stp>
        <stp>12/31/2018</stp>
        <tr r="N159" s="1"/>
      </tp>
      <tp>
        <v>1.3661200197888299</v>
        <stp/>
        <stp>EM_S_VAL_PBGOODWILLDEDUCTED</stp>
        <stp>2</stp>
        <stp>600999</stp>
        <stp>12/31/2018</stp>
        <tr r="N764" s="1"/>
      </tp>
      <tp>
        <v>1.8015367604794199</v>
        <stp/>
        <stp>EM_S_VAL_PBGOODWILLDEDUCTED</stp>
        <stp>2</stp>
        <stp>600998</stp>
        <stp>12/31/2018</stp>
        <tr r="N2675" s="1"/>
      </tp>
      <tp>
        <v>2.5642848569212102</v>
        <stp/>
        <stp>EM_S_VAL_PBGOODWILLDEDUCTED</stp>
        <stp>2</stp>
        <stp>600993</stp>
        <stp>12/31/2018</stp>
        <tr r="N973" s="1"/>
      </tp>
      <tp>
        <v>1.2180182093816201</v>
        <stp/>
        <stp>EM_S_VAL_PBGOODWILLDEDUCTED</stp>
        <stp>2</stp>
        <stp>600992</stp>
        <stp>12/31/2018</stp>
        <tr r="N2383" s="1"/>
      </tp>
      <tp>
        <v>3.9872872009663398</v>
        <stp/>
        <stp>EM_S_VAL_PBGOODWILLDEDUCTED</stp>
        <stp>2</stp>
        <stp>600991</stp>
        <stp>12/31/2018</stp>
        <tr r="N2334" s="1"/>
      </tp>
      <tp>
        <v>2.2840283152359002</v>
        <stp/>
        <stp>EM_S_VAL_PBGOODWILLDEDUCTED</stp>
        <stp>2</stp>
        <stp>600990</stp>
        <stp>12/31/2018</stp>
        <tr r="N934" s="1"/>
      </tp>
      <tp>
        <v>0.85655220522710096</v>
        <stp/>
        <stp>EM_S_VAL_PBGOODWILLDEDUCTED</stp>
        <stp>2</stp>
        <stp>600997</stp>
        <stp>12/31/2018</stp>
        <tr r="N2542" s="1"/>
      </tp>
      <tp>
        <v>1.5149293567220401</v>
        <stp/>
        <stp>EM_S_VAL_PBGOODWILLDEDUCTED</stp>
        <stp>2</stp>
        <stp>600996</stp>
        <stp>12/31/2018</stp>
        <tr r="N1043" s="1"/>
      </tp>
      <tp>
        <v>1.62197610065917</v>
        <stp/>
        <stp>EM_S_VAL_PBGOODWILLDEDUCTED</stp>
        <stp>2</stp>
        <stp>600995</stp>
        <stp>12/31/2018</stp>
        <tr r="N1373" s="1"/>
      </tp>
      <tp>
        <v>2.0516435011069101</v>
        <stp/>
        <stp>EM_S_VAL_PBGOODWILLDEDUCTED</stp>
        <stp>2</stp>
        <stp>000989</stp>
        <stp>12/31/2018</stp>
        <tr r="N3598" s="1"/>
      </tp>
      <tp>
        <v>2.1114285418032699</v>
        <stp/>
        <stp>EM_S_VAL_PBGOODWILLDEDUCTED</stp>
        <stp>2</stp>
        <stp>000988</stp>
        <stp>12/31/2018</stp>
        <tr r="N328" s="1"/>
      </tp>
      <tp>
        <v>0.92660865027012596</v>
        <stp/>
        <stp>EM_S_VAL_PBGOODWILLDEDUCTED</stp>
        <stp>2</stp>
        <stp>000983</stp>
        <stp>12/31/2018</stp>
        <tr r="N1655" s="1"/>
      </tp>
      <tp>
        <v>-2.12998054949152</v>
        <stp/>
        <stp>EM_S_VAL_PBGOODWILLDEDUCTED</stp>
        <stp>2</stp>
        <stp>000982</stp>
        <stp>12/31/2018</stp>
        <tr r="N3595" s="1"/>
      </tp>
      <tp>
        <v>1.4650391782047301</v>
        <stp/>
        <stp>EM_S_VAL_PBGOODWILLDEDUCTED</stp>
        <stp>2</stp>
        <stp>000981</stp>
        <stp>12/31/2018</stp>
        <tr r="N3594" s="1"/>
      </tp>
      <tp>
        <v>0.77627704604911596</v>
        <stp/>
        <stp>EM_S_VAL_PBGOODWILLDEDUCTED</stp>
        <stp>2</stp>
        <stp>000980</stp>
        <stp>12/31/2018</stp>
        <tr r="N3593" s="1"/>
      </tp>
      <tp>
        <v>1.3038586151048299</v>
        <stp/>
        <stp>EM_S_VAL_PBGOODWILLDEDUCTED</stp>
        <stp>2</stp>
        <stp>000987</stp>
        <stp>12/31/2018</stp>
        <tr r="N3597" s="1"/>
      </tp>
      <tp>
        <v>3.05474099272611</v>
        <stp/>
        <stp>EM_S_VAL_PBGOODWILLDEDUCTED</stp>
        <stp>2</stp>
        <stp>000985</stp>
        <stp>12/31/2018</stp>
        <tr r="N3596" s="1"/>
      </tp>
      <tp>
        <v>3.3410517022425101</v>
        <stp/>
        <stp>EM_S_VAL_PBGOODWILLDEDUCTED</stp>
        <stp>2</stp>
        <stp>000999</stp>
        <stp>12/31/2018</stp>
        <tr r="N1163" s="1"/>
      </tp>
      <tp>
        <v>3.7332773486733699</v>
        <stp/>
        <stp>EM_S_VAL_PBGOODWILLDEDUCTED</stp>
        <stp>2</stp>
        <stp>000998</stp>
        <stp>12/31/2018</stp>
        <tr r="N2742" s="1"/>
      </tp>
      <tp>
        <v>1.1643739621120901</v>
        <stp/>
        <stp>EM_S_VAL_PBGOODWILLDEDUCTED</stp>
        <stp>2</stp>
        <stp>000993</stp>
        <stp>12/31/2018</stp>
        <tr r="N3600" s="1"/>
      </tp>
      <tp>
        <v>0</v>
        <stp/>
        <stp>EM_S_VAL_PBGOODWILLDEDUCTED</stp>
        <stp>2</stp>
        <stp>000991</stp>
        <stp>12/31/2018</stp>
        <tr r="N3599" s="1"/>
      </tp>
      <tp>
        <v>1.6206996851644999</v>
        <stp/>
        <stp>EM_S_VAL_PBGOODWILLDEDUCTED</stp>
        <stp>2</stp>
        <stp>000990</stp>
        <stp>12/31/2018</stp>
        <tr r="N1153" s="1"/>
      </tp>
      <tp>
        <v>3.24939489635462</v>
        <stp/>
        <stp>EM_S_VAL_PBGOODWILLDEDUCTED</stp>
        <stp>2</stp>
        <stp>000997</stp>
        <stp>12/31/2018</stp>
        <tr r="N1814" s="1"/>
      </tp>
      <tp>
        <v>5.2839395033190204</v>
        <stp/>
        <stp>EM_S_VAL_PBGOODWILLDEDUCTED</stp>
        <stp>2</stp>
        <stp>000996</stp>
        <stp>12/31/2018</stp>
        <tr r="N1113" s="1"/>
      </tp>
      <tp>
        <v>-3.9030151642544801</v>
        <stp/>
        <stp>EM_S_VAL_PBGOODWILLDEDUCTED</stp>
        <stp>2</stp>
        <stp>000995</stp>
        <stp>12/31/2018</stp>
        <tr r="N3601" s="1"/>
      </tp>
      <tp>
        <v>1.2833629058032401</v>
        <stp/>
        <stp>EM_S_VAL_PBGOODWILLDEDUCTED</stp>
        <stp>2</stp>
        <stp>000969</stp>
        <stp>12/31/2018</stp>
        <tr r="N3588" s="1"/>
      </tp>
      <tp>
        <v>1.36501697886711</v>
        <stp/>
        <stp>EM_S_VAL_PBGOODWILLDEDUCTED</stp>
        <stp>2</stp>
        <stp>600909</stp>
        <stp>12/31/2018</stp>
        <tr r="N502" s="1"/>
      </tp>
      <tp>
        <v>2.6830705091938398</v>
        <stp/>
        <stp>EM_S_VAL_PBGOODWILLDEDUCTED</stp>
        <stp>2</stp>
        <stp>000968</stp>
        <stp>12/31/2018</stp>
        <tr r="N2527" s="1"/>
      </tp>
      <tp>
        <v>0.94604127233582003</v>
        <stp/>
        <stp>EM_S_VAL_PBGOODWILLDEDUCTED</stp>
        <stp>2</stp>
        <stp>600908</stp>
        <stp>12/31/2018</stp>
        <tr r="N1965" s="1"/>
      </tp>
      <tp>
        <v>4.5500105890612899</v>
        <stp/>
        <stp>EM_S_VAL_PBGOODWILLDEDUCTED</stp>
        <stp>2</stp>
        <stp>000963</stp>
        <stp>12/31/2018</stp>
        <tr r="N2741" s="1"/>
      </tp>
      <tp>
        <v>7.5800967522151304</v>
        <stp/>
        <stp>EM_S_VAL_PBGOODWILLDEDUCTED</stp>
        <stp>2</stp>
        <stp>600903</stp>
        <stp>12/31/2018</stp>
        <tr r="N3216" s="1"/>
      </tp>
      <tp>
        <v>2.3932624007587799</v>
        <stp/>
        <stp>EM_S_VAL_PBGOODWILLDEDUCTED</stp>
        <stp>2</stp>
        <stp>000962</stp>
        <stp>12/31/2018</stp>
        <tr r="N1521" s="1"/>
      </tp>
      <tp>
        <v>1.1964896977989701</v>
        <stp/>
        <stp>EM_S_VAL_PBGOODWILLDEDUCTED</stp>
        <stp>2</stp>
        <stp>000961</stp>
        <stp>12/31/2018</stp>
        <tr r="N207" s="1"/>
      </tp>
      <tp>
        <v>1.6020693849710399</v>
        <stp/>
        <stp>EM_S_VAL_PBGOODWILLDEDUCTED</stp>
        <stp>2</stp>
        <stp>600901</stp>
        <stp>12/31/2018</stp>
        <tr r="N1864" s="1"/>
      </tp>
      <tp>
        <v>1.33197706124469</v>
        <stp/>
        <stp>EM_S_VAL_PBGOODWILLDEDUCTED</stp>
        <stp>2</stp>
        <stp>000960</stp>
        <stp>12/31/2018</stp>
        <tr r="N1651" s="1"/>
      </tp>
      <tp>
        <v>2.45676247909915</v>
        <stp/>
        <stp>EM_S_VAL_PBGOODWILLDEDUCTED</stp>
        <stp>2</stp>
        <stp>600900</stp>
        <stp>12/31/2018</stp>
        <tr r="N1447" s="1"/>
      </tp>
      <tp>
        <v>0.80163905049838702</v>
        <stp/>
        <stp>EM_S_VAL_PBGOODWILLDEDUCTED</stp>
        <stp>2</stp>
        <stp>000967</stp>
        <stp>12/31/2018</stp>
        <tr r="N1753" s="1"/>
      </tp>
      <tp>
        <v>1.14950469046574</v>
        <stp/>
        <stp>EM_S_VAL_PBGOODWILLDEDUCTED</stp>
        <stp>2</stp>
        <stp>000966</stp>
        <stp>12/31/2018</stp>
        <tr r="N869" s="1"/>
      </tp>
      <tp>
        <v>0.82190144670306997</v>
        <stp/>
        <stp>EM_S_VAL_PBGOODWILLDEDUCTED</stp>
        <stp>2</stp>
        <stp>000965</stp>
        <stp>12/31/2018</stp>
        <tr r="N3017" s="1"/>
      </tp>
      <tp>
        <v>0.62202414069510104</v>
        <stp/>
        <stp>EM_S_VAL_PBGOODWILLDEDUCTED</stp>
        <stp>2</stp>
        <stp>000979</stp>
        <stp>12/31/2018</stp>
        <tr r="N3592" s="1"/>
      </tp>
      <tp>
        <v>0.67143321802123401</v>
        <stp/>
        <stp>EM_S_VAL_PBGOODWILLDEDUCTED</stp>
        <stp>2</stp>
        <stp>600919</stp>
        <stp>12/31/2018</stp>
        <tr r="N1245" s="1"/>
      </tp>
      <tp>
        <v>1.21371232375615</v>
        <stp/>
        <stp>EM_S_VAL_PBGOODWILLDEDUCTED</stp>
        <stp>2</stp>
        <stp>000978</stp>
        <stp>12/31/2018</stp>
        <tr r="N2177" s="1"/>
      </tp>
      <tp>
        <v>1.3771472711675601</v>
        <stp/>
        <stp>EM_S_VAL_PBGOODWILLDEDUCTED</stp>
        <stp>2</stp>
        <stp>000973</stp>
        <stp>12/31/2018</stp>
        <tr r="N658" s="1"/>
      </tp>
      <tp>
        <v>4.8899065973039804</v>
        <stp/>
        <stp>EM_S_VAL_PBGOODWILLDEDUCTED</stp>
        <stp>2</stp>
        <stp>000972</stp>
        <stp>12/31/2018</stp>
        <tr r="N3590" s="1"/>
      </tp>
      <tp>
        <v>5.8125612495216101</v>
        <stp/>
        <stp>EM_S_VAL_PBGOODWILLDEDUCTED</stp>
        <stp>2</stp>
        <stp>000971</stp>
        <stp>12/31/2018</stp>
        <tr r="N3589" s="1"/>
      </tp>
      <tp>
        <v>1.7636453155176399</v>
        <stp/>
        <stp>EM_S_VAL_PBGOODWILLDEDUCTED</stp>
        <stp>2</stp>
        <stp>000970</stp>
        <stp>12/31/2018</stp>
        <tr r="N573" s="1"/>
      </tp>
      <tp>
        <v>2.5727483439176102</v>
        <stp/>
        <stp>EM_S_VAL_PBGOODWILLDEDUCTED</stp>
        <stp>2</stp>
        <stp>000977</stp>
        <stp>12/31/2018</stp>
        <tr r="N206" s="1"/>
      </tp>
      <tp>
        <v>2.87056486096765</v>
        <stp/>
        <stp>EM_S_VAL_PBGOODWILLDEDUCTED</stp>
        <stp>2</stp>
        <stp>600917</stp>
        <stp>12/31/2018</stp>
        <tr r="N2163" s="1"/>
      </tp>
      <tp>
        <v>4.18866792922584</v>
        <stp/>
        <stp>EM_S_VAL_PBGOODWILLDEDUCTED</stp>
        <stp>2</stp>
        <stp>000976</stp>
        <stp>12/31/2018</stp>
        <tr r="N3591" s="1"/>
      </tp>
      <tp>
        <v>2.5621642087213998</v>
        <stp/>
        <stp>EM_S_VAL_PBGOODWILLDEDUCTED</stp>
        <stp>2</stp>
        <stp>000975</stp>
        <stp>12/31/2018</stp>
        <tr r="N930" s="1"/>
      </tp>
      <tp>
        <v>0.92081448519516396</v>
        <stp/>
        <stp>EM_S_VAL_PBGOODWILLDEDUCTED</stp>
        <stp>2</stp>
        <stp>000949</stp>
        <stp>12/31/2018</stp>
        <tr r="N670" s="1"/>
      </tp>
      <tp>
        <v>3.17884574849128</v>
        <stp/>
        <stp>EM_S_VAL_PBGOODWILLDEDUCTED</stp>
        <stp>2</stp>
        <stp>600929</stp>
        <stp>12/31/2018</stp>
        <tr r="N3072" s="1"/>
      </tp>
      <tp>
        <v>1.5806218703880499</v>
        <stp/>
        <stp>EM_S_VAL_PBGOODWILLDEDUCTED</stp>
        <stp>2</stp>
        <stp>000948</stp>
        <stp>12/31/2018</stp>
        <tr r="N1716" s="1"/>
      </tp>
      <tp>
        <v>0.80456039612613905</v>
        <stp/>
        <stp>EM_S_VAL_PBGOODWILLDEDUCTED</stp>
        <stp>2</stp>
        <stp>600926</stp>
        <stp>12/31/2018</stp>
        <tr r="N1142" s="1"/>
      </tp>
      <tp>
        <v>0.77834695059083303</v>
        <stp/>
        <stp>EM_S_VAL_PBGOODWILLDEDUCTED</stp>
        <stp>2</stp>
        <stp>000959</stp>
        <stp>12/31/2018</stp>
        <tr r="N2602" s="1"/>
      </tp>
      <tp>
        <v>1.3002731033920301</v>
        <stp/>
        <stp>EM_S_VAL_PBGOODWILLDEDUCTED</stp>
        <stp>2</stp>
        <stp>600939</stp>
        <stp>12/31/2018</stp>
        <tr r="N2104" s="1"/>
      </tp>
      <tp>
        <v>1.3457545129470101</v>
        <stp/>
        <stp>EM_S_VAL_PBGOODWILLDEDUCTED</stp>
        <stp>2</stp>
        <stp>000958</stp>
        <stp>12/31/2018</stp>
        <tr r="N289" s="1"/>
      </tp>
      <tp>
        <v>-4.5791597385625504</v>
        <stp/>
        <stp>EM_S_VAL_PBGOODWILLDEDUCTED</stp>
        <stp>2</stp>
        <stp>000953</stp>
        <stp>12/31/2018</stp>
        <tr r="N3584" s="1"/>
      </tp>
      <tp>
        <v>1.7097718039941301</v>
        <stp/>
        <stp>EM_S_VAL_PBGOODWILLDEDUCTED</stp>
        <stp>2</stp>
        <stp>600933</stp>
        <stp>12/31/2018</stp>
        <tr r="N256" s="1"/>
      </tp>
      <tp>
        <v>2.8650118951221</v>
        <stp/>
        <stp>EM_S_VAL_PBGOODWILLDEDUCTED</stp>
        <stp>2</stp>
        <stp>000952</stp>
        <stp>12/31/2018</stp>
        <tr r="N2593" s="1"/>
      </tp>
      <tp>
        <v>1.23109791304937</v>
        <stp/>
        <stp>EM_S_VAL_PBGOODWILLDEDUCTED</stp>
        <stp>2</stp>
        <stp>000951</stp>
        <stp>12/31/2018</stp>
        <tr r="N163" s="1"/>
      </tp>
      <tp>
        <v>1.31686565517805</v>
        <stp/>
        <stp>EM_S_VAL_PBGOODWILLDEDUCTED</stp>
        <stp>2</stp>
        <stp>000950</stp>
        <stp>12/31/2018</stp>
        <tr r="N1579" s="1"/>
      </tp>
      <tp>
        <v>0.97342706552761604</v>
        <stp/>
        <stp>EM_S_VAL_PBGOODWILLDEDUCTED</stp>
        <stp>2</stp>
        <stp>000957</stp>
        <stp>12/31/2018</stp>
        <tr r="N3587" s="1"/>
      </tp>
      <tp>
        <v>1.9082537751152899</v>
        <stp/>
        <stp>EM_S_VAL_PBGOODWILLDEDUCTED</stp>
        <stp>2</stp>
        <stp>000956</stp>
        <stp>12/31/2018</stp>
        <tr r="N3586" s="1"/>
      </tp>
      <tp>
        <v>1.6920373806289699</v>
        <stp/>
        <stp>EM_S_VAL_PBGOODWILLDEDUCTED</stp>
        <stp>2</stp>
        <stp>600936</stp>
        <stp>12/31/2018</stp>
        <tr r="N2127" s="1"/>
      </tp>
      <tp>
        <v>3.54393342095939</v>
        <stp/>
        <stp>EM_S_VAL_PBGOODWILLDEDUCTED</stp>
        <stp>2</stp>
        <stp>000955</stp>
        <stp>12/31/2018</stp>
        <tr r="N3585" s="1"/>
      </tp>
      <tp>
        <v>1.7331172205959899</v>
        <stp/>
        <stp>EM_S_VAL_PBGOODWILLDEDUCTED</stp>
        <stp>2</stp>
        <stp>000929</stp>
        <stp>12/31/2018</stp>
        <tr r="N3580" s="1"/>
      </tp>
      <tp>
        <v>1.2057845059972701</v>
        <stp/>
        <stp>EM_S_VAL_PBGOODWILLDEDUCTED</stp>
        <stp>2</stp>
        <stp>000928</stp>
        <stp>12/31/2018</stp>
        <tr r="N1780" s="1"/>
      </tp>
      <tp>
        <v>1.3970688880109601</v>
        <stp/>
        <stp>EM_S_VAL_PBGOODWILLDEDUCTED</stp>
        <stp>2</stp>
        <stp>000923</stp>
        <stp>12/31/2018</stp>
        <tr r="N3577" s="1"/>
      </tp>
      <tp>
        <v>1.7935619133901199</v>
        <stp/>
        <stp>EM_S_VAL_PBGOODWILLDEDUCTED</stp>
        <stp>2</stp>
        <stp>000922</stp>
        <stp>12/31/2018</stp>
        <tr r="N1487" s="1"/>
      </tp>
      <tp>
        <v>1.3104867428467699</v>
        <stp/>
        <stp>EM_S_VAL_PBGOODWILLDEDUCTED</stp>
        <stp>2</stp>
        <stp>000921</stp>
        <stp>12/31/2018</stp>
        <tr r="N344" s="1"/>
      </tp>
      <tp>
        <v>2.5427575386421202</v>
        <stp/>
        <stp>EM_S_VAL_PBGOODWILLDEDUCTED</stp>
        <stp>2</stp>
        <stp>000920</stp>
        <stp>12/31/2018</stp>
        <tr r="N969" s="1"/>
      </tp>
      <tp>
        <v>53.832296277160701</v>
        <stp/>
        <stp>EM_S_VAL_PBGOODWILLDEDUCTED</stp>
        <stp>2</stp>
        <stp>000927</stp>
        <stp>12/31/2018</stp>
        <tr r="N3579" s="1"/>
      </tp>
      <tp>
        <v>0.54592309550417395</v>
        <stp/>
        <stp>EM_S_VAL_PBGOODWILLDEDUCTED</stp>
        <stp>2</stp>
        <stp>000926</stp>
        <stp>12/31/2018</stp>
        <tr r="N3578" s="1"/>
      </tp>
      <tp>
        <v>1.8912805220407001</v>
        <stp/>
        <stp>EM_S_VAL_PBGOODWILLDEDUCTED</stp>
        <stp>2</stp>
        <stp>000925</stp>
        <stp>12/31/2018</stp>
        <tr r="N1523" s="1"/>
      </tp>
      <tp>
        <v>2.2501349507705699</v>
        <stp/>
        <stp>EM_S_VAL_PBGOODWILLDEDUCTED</stp>
        <stp>2</stp>
        <stp>000939</stp>
        <stp>12/31/2018</stp>
        <tr r="N3583" s="1"/>
      </tp>
      <tp>
        <v>0.948338780506218</v>
        <stp/>
        <stp>EM_S_VAL_PBGOODWILLDEDUCTED</stp>
        <stp>2</stp>
        <stp>600959</stp>
        <stp>12/31/2018</stp>
        <tr r="N2509" s="1"/>
      </tp>
      <tp>
        <v>3.6294559689406301</v>
        <stp/>
        <stp>EM_S_VAL_PBGOODWILLDEDUCTED</stp>
        <stp>2</stp>
        <stp>000938</stp>
        <stp>12/31/2018</stp>
        <tr r="N2342" s="1"/>
      </tp>
      <tp>
        <v>1.07797912421096</v>
        <stp/>
        <stp>EM_S_VAL_PBGOODWILLDEDUCTED</stp>
        <stp>2</stp>
        <stp>600958</stp>
        <stp>12/31/2018</stp>
        <tr r="N811" s="1"/>
      </tp>
      <tp>
        <v>1.22243634377183</v>
        <stp/>
        <stp>EM_S_VAL_PBGOODWILLDEDUCTED</stp>
        <stp>2</stp>
        <stp>000933</stp>
        <stp>12/31/2018</stp>
        <tr r="N3581" s="1"/>
      </tp>
      <tp>
        <v>1.0423336302664601</v>
        <stp/>
        <stp>EM_S_VAL_PBGOODWILLDEDUCTED</stp>
        <stp>2</stp>
        <stp>000932</stp>
        <stp>12/31/2018</stp>
        <tr r="N3096" s="1"/>
      </tp>
      <tp>
        <v>3.5290233394594601</v>
        <stp/>
        <stp>EM_S_VAL_PBGOODWILLDEDUCTED</stp>
        <stp>2</stp>
        <stp>000931</stp>
        <stp>12/31/2018</stp>
        <tr r="N720" s="1"/>
      </tp>
      <tp>
        <v>1.5473422076032199</v>
        <stp/>
        <stp>EM_S_VAL_PBGOODWILLDEDUCTED</stp>
        <stp>2</stp>
        <stp>000930</stp>
        <stp>12/31/2018</stp>
        <tr r="N2797" s="1"/>
      </tp>
      <tp>
        <v>0.67237179390940505</v>
        <stp/>
        <stp>EM_S_VAL_PBGOODWILLDEDUCTED</stp>
        <stp>2</stp>
        <stp>000937</stp>
        <stp>12/31/2018</stp>
        <tr r="N2461" s="1"/>
      </tp>
      <tp>
        <v>1.18208379850629</v>
        <stp/>
        <stp>EM_S_VAL_PBGOODWILLDEDUCTED</stp>
        <stp>2</stp>
        <stp>000936</stp>
        <stp>12/31/2018</stp>
        <tr r="N953" s="1"/>
      </tp>
      <tp>
        <v>3.3103109796430901</v>
        <stp/>
        <stp>EM_S_VAL_PBGOODWILLDEDUCTED</stp>
        <stp>2</stp>
        <stp>000935</stp>
        <stp>12/31/2018</stp>
        <tr r="N3582" s="1"/>
      </tp>
      <tp>
        <v>1.9580952738375199</v>
        <stp/>
        <stp>EM_S_VAL_PBGOODWILLDEDUCTED</stp>
        <stp>2</stp>
        <stp>000909</stp>
        <stp>12/31/2018</stp>
        <tr r="N3571" s="1"/>
      </tp>
      <tp>
        <v>0.64136245513884604</v>
        <stp/>
        <stp>EM_S_VAL_PBGOODWILLDEDUCTED</stp>
        <stp>2</stp>
        <stp>600969</stp>
        <stp>12/31/2018</stp>
        <tr r="N1681" s="1"/>
      </tp>
      <tp>
        <v>2.2368526878205302</v>
        <stp/>
        <stp>EM_S_VAL_PBGOODWILLDEDUCTED</stp>
        <stp>2</stp>
        <stp>000908</stp>
        <stp>12/31/2018</stp>
        <tr r="N3008" s="1"/>
      </tp>
      <tp>
        <v>0.95553595158913796</v>
        <stp/>
        <stp>EM_S_VAL_PBGOODWILLDEDUCTED</stp>
        <stp>2</stp>
        <stp>000903</stp>
        <stp>12/31/2018</stp>
        <tr r="N1940" s="1"/>
      </tp>
      <tp>
        <v>0.73248230576981899</v>
        <stp/>
        <stp>EM_S_VAL_PBGOODWILLDEDUCTED</stp>
        <stp>2</stp>
        <stp>600963</stp>
        <stp>12/31/2018</stp>
        <tr r="N1727" s="1"/>
      </tp>
      <tp>
        <v>1.8794531823329299</v>
        <stp/>
        <stp>EM_S_VAL_PBGOODWILLDEDUCTED</stp>
        <stp>2</stp>
        <stp>000902</stp>
        <stp>12/31/2018</stp>
        <tr r="N2826" s="1"/>
      </tp>
      <tp>
        <v>2.50961368156426</v>
        <stp/>
        <stp>EM_S_VAL_PBGOODWILLDEDUCTED</stp>
        <stp>2</stp>
        <stp>600962</stp>
        <stp>12/31/2018</stp>
        <tr r="N1599" s="1"/>
      </tp>
      <tp>
        <v>1.7824030220470299</v>
        <stp/>
        <stp>EM_S_VAL_PBGOODWILLDEDUCTED</stp>
        <stp>2</stp>
        <stp>000901</stp>
        <stp>12/31/2018</stp>
        <tr r="N3569" s="1"/>
      </tp>
      <tp>
        <v>-2.7404666188795699</v>
        <stp/>
        <stp>EM_S_VAL_PBGOODWILLDEDUCTED</stp>
        <stp>2</stp>
        <stp>600961</stp>
        <stp>12/31/2018</stp>
        <tr r="N1803" s="1"/>
      </tp>
      <tp>
        <v>0.63529553911843795</v>
        <stp/>
        <stp>EM_S_VAL_PBGOODWILLDEDUCTED</stp>
        <stp>2</stp>
        <stp>000900</stp>
        <stp>12/31/2018</stp>
        <tr r="N1632" s="1"/>
      </tp>
      <tp>
        <v>0.69377104760177299</v>
        <stp/>
        <stp>EM_S_VAL_PBGOODWILLDEDUCTED</stp>
        <stp>2</stp>
        <stp>600960</stp>
        <stp>12/31/2018</stp>
        <tr r="N2720" s="1"/>
      </tp>
      <tp>
        <v>2.0791794298364601</v>
        <stp/>
        <stp>EM_S_VAL_PBGOODWILLDEDUCTED</stp>
        <stp>2</stp>
        <stp>600967</stp>
        <stp>12/31/2018</stp>
        <tr r="N2184" s="1"/>
      </tp>
      <tp>
        <v>1.61948588123631</v>
        <stp/>
        <stp>EM_S_VAL_PBGOODWILLDEDUCTED</stp>
        <stp>2</stp>
        <stp>000906</stp>
        <stp>12/31/2018</stp>
        <tr r="N1291" s="1"/>
      </tp>
      <tp>
        <v>0.81694441862693001</v>
        <stp/>
        <stp>EM_S_VAL_PBGOODWILLDEDUCTED</stp>
        <stp>2</stp>
        <stp>600966</stp>
        <stp>12/31/2018</stp>
        <tr r="N326" s="1"/>
      </tp>
      <tp>
        <v>1.20797092154478</v>
        <stp/>
        <stp>EM_S_VAL_PBGOODWILLDEDUCTED</stp>
        <stp>2</stp>
        <stp>000905</stp>
        <stp>12/31/2018</stp>
        <tr r="N3570" s="1"/>
      </tp>
      <tp>
        <v>4.1829833275410904</v>
        <stp/>
        <stp>EM_S_VAL_PBGOODWILLDEDUCTED</stp>
        <stp>2</stp>
        <stp>600965</stp>
        <stp>12/31/2018</stp>
        <tr r="N3222" s="1"/>
      </tp>
      <tp>
        <v>1.2447181144280901</v>
        <stp/>
        <stp>EM_S_VAL_PBGOODWILLDEDUCTED</stp>
        <stp>2</stp>
        <stp>000919</stp>
        <stp>12/31/2018</stp>
        <tr r="N3576" s="1"/>
      </tp>
      <tp>
        <v>1.0246075881908501</v>
        <stp/>
        <stp>EM_S_VAL_PBGOODWILLDEDUCTED</stp>
        <stp>2</stp>
        <stp>600979</stp>
        <stp>12/31/2018</stp>
        <tr r="N2045" s="1"/>
      </tp>
      <tp>
        <v>4.0739853001167301</v>
        <stp/>
        <stp>EM_S_VAL_PBGOODWILLDEDUCTED</stp>
        <stp>2</stp>
        <stp>000918</stp>
        <stp>12/31/2018</stp>
        <tr r="N3575" s="1"/>
      </tp>
      <tp>
        <v>0.77245320969857301</v>
        <stp/>
        <stp>EM_S_VAL_PBGOODWILLDEDUCTED</stp>
        <stp>2</stp>
        <stp>600978</stp>
        <stp>12/31/2018</stp>
        <tr r="N3195" s="1"/>
      </tp>
      <tp>
        <v>1.6734187431507599</v>
        <stp/>
        <stp>EM_S_VAL_PBGOODWILLDEDUCTED</stp>
        <stp>2</stp>
        <stp>000913</stp>
        <stp>12/31/2018</stp>
        <tr r="N1323" s="1"/>
      </tp>
      <tp>
        <v>1.23602757035182</v>
        <stp/>
        <stp>EM_S_VAL_PBGOODWILLDEDUCTED</stp>
        <stp>2</stp>
        <stp>600973</stp>
        <stp>12/31/2018</stp>
        <tr r="N2049" s="1"/>
      </tp>
      <tp>
        <v>1.56852579641593</v>
        <stp/>
        <stp>EM_S_VAL_PBGOODWILLDEDUCTED</stp>
        <stp>2</stp>
        <stp>000912</stp>
        <stp>12/31/2018</stp>
        <tr r="N2196" s="1"/>
      </tp>
      <tp>
        <v>-79.630321704630504</v>
        <stp/>
        <stp>EM_S_VAL_PBGOODWILLDEDUCTED</stp>
        <stp>2</stp>
        <stp>000911</stp>
        <stp>12/31/2018</stp>
        <tr r="N3572" s="1"/>
      </tp>
      <tp>
        <v>0.71915673929204504</v>
        <stp/>
        <stp>EM_S_VAL_PBGOODWILLDEDUCTED</stp>
        <stp>2</stp>
        <stp>600971</stp>
        <stp>12/31/2018</stp>
        <tr r="N1930" s="1"/>
      </tp>
      <tp>
        <v>1.34908515753338</v>
        <stp/>
        <stp>EM_S_VAL_PBGOODWILLDEDUCTED</stp>
        <stp>2</stp>
        <stp>000910</stp>
        <stp>12/31/2018</stp>
        <tr r="N880" s="1"/>
      </tp>
      <tp>
        <v>1.2259410865461899</v>
        <stp/>
        <stp>EM_S_VAL_PBGOODWILLDEDUCTED</stp>
        <stp>2</stp>
        <stp>600970</stp>
        <stp>12/31/2018</stp>
        <tr r="N1048" s="1"/>
      </tp>
      <tp>
        <v>1.0317787700232901</v>
        <stp/>
        <stp>EM_S_VAL_PBGOODWILLDEDUCTED</stp>
        <stp>2</stp>
        <stp>000917</stp>
        <stp>12/31/2018</stp>
        <tr r="N2445" s="1"/>
      </tp>
      <tp>
        <v>2.5036447472558399</v>
        <stp/>
        <stp>EM_S_VAL_PBGOODWILLDEDUCTED</stp>
        <stp>2</stp>
        <stp>600977</stp>
        <stp>12/31/2018</stp>
        <tr r="N1944" s="1"/>
      </tp>
      <tp>
        <v>1.92297108319357</v>
        <stp/>
        <stp>EM_S_VAL_PBGOODWILLDEDUCTED</stp>
        <stp>2</stp>
        <stp>000916</stp>
        <stp>12/31/2018</stp>
        <tr r="N3574" s="1"/>
      </tp>
      <tp>
        <v>1.9222840558252601</v>
        <stp/>
        <stp>EM_S_VAL_PBGOODWILLDEDUCTED</stp>
        <stp>2</stp>
        <stp>600976</stp>
        <stp>12/31/2018</stp>
        <tr r="N1228" s="1"/>
      </tp>
      <tp>
        <v>2.2064816039786699</v>
        <stp/>
        <stp>EM_S_VAL_PBGOODWILLDEDUCTED</stp>
        <stp>2</stp>
        <stp>000915</stp>
        <stp>12/31/2018</stp>
        <tr r="N3573" s="1"/>
      </tp>
      <tp>
        <v>2.00130595585847</v>
        <stp/>
        <stp>EM_S_VAL_PBGOODWILLDEDUCTED</stp>
        <stp>2</stp>
        <stp>600975</stp>
        <stp>12/31/2018</stp>
        <tr r="N106" s="1"/>
      </tp>
      <tp>
        <v>1.11088640062878</v>
        <stp/>
        <stp>EM_S_VAL_PBGOODWILLDEDUCTED</stp>
        <stp>2</stp>
        <stp>600889</stp>
        <stp>12/31/2018</stp>
        <tr r="N2344" s="1"/>
      </tp>
      <tp>
        <v>1.0066195706768899</v>
        <stp/>
        <stp>EM_S_VAL_PBGOODWILLDEDUCTED</stp>
        <stp>2</stp>
        <stp>600888</stp>
        <stp>12/31/2018</stp>
        <tr r="N1734" s="1"/>
      </tp>
      <tp>
        <v>2.1864501268649801</v>
        <stp/>
        <stp>EM_S_VAL_PBGOODWILLDEDUCTED</stp>
        <stp>2</stp>
        <stp>600883</stp>
        <stp>12/31/2018</stp>
        <tr r="N1056" s="1"/>
      </tp>
      <tp>
        <v>4.1155384805963999</v>
        <stp/>
        <stp>EM_S_VAL_PBGOODWILLDEDUCTED</stp>
        <stp>2</stp>
        <stp>600882</stp>
        <stp>12/31/2018</stp>
        <tr r="N211" s="1"/>
      </tp>
      <tp>
        <v>0.81277829663435497</v>
        <stp/>
        <stp>EM_S_VAL_PBGOODWILLDEDUCTED</stp>
        <stp>2</stp>
        <stp>600881</stp>
        <stp>12/31/2018</stp>
        <tr r="N2561" s="1"/>
      </tp>
      <tp>
        <v>1.5927474901362</v>
        <stp/>
        <stp>EM_S_VAL_PBGOODWILLDEDUCTED</stp>
        <stp>2</stp>
        <stp>600880</stp>
        <stp>12/31/2018</stp>
        <tr r="N1852" s="1"/>
      </tp>
      <tp>
        <v>4.9836241523363096</v>
        <stp/>
        <stp>EM_S_VAL_PBGOODWILLDEDUCTED</stp>
        <stp>2</stp>
        <stp>600887</stp>
        <stp>12/31/2018</stp>
        <tr r="N827" s="1"/>
      </tp>
      <tp>
        <v>1.6412961067438701</v>
        <stp/>
        <stp>EM_S_VAL_PBGOODWILLDEDUCTED</stp>
        <stp>2</stp>
        <stp>600886</stp>
        <stp>12/31/2018</stp>
        <tr r="N1548" s="1"/>
      </tp>
      <tp>
        <v>3.8024768037369698</v>
        <stp/>
        <stp>EM_S_VAL_PBGOODWILLDEDUCTED</stp>
        <stp>2</stp>
        <stp>600885</stp>
        <stp>12/31/2018</stp>
        <tr r="N497" s="1"/>
      </tp>
      <tp>
        <v>1.3713748046868699</v>
        <stp/>
        <stp>EM_S_VAL_PBGOODWILLDEDUCTED</stp>
        <stp>2</stp>
        <stp>600884</stp>
        <stp>12/31/2018</stp>
        <tr r="N1987" s="1"/>
      </tp>
      <tp>
        <v>-0.99349006569334697</v>
        <stp/>
        <stp>EM_S_VAL_PBGOODWILLDEDUCTED</stp>
        <stp>2</stp>
        <stp>600899</stp>
        <stp>12/31/2018</stp>
        <tr r="N2333" s="1"/>
      </tp>
      <tp>
        <v>-5.5622927478073896</v>
        <stp/>
        <stp>EM_S_VAL_PBGOODWILLDEDUCTED</stp>
        <stp>2</stp>
        <stp>600898</stp>
        <stp>12/31/2018</stp>
        <tr r="N2388" s="1"/>
      </tp>
      <tp>
        <v>1.8489643873972099</v>
        <stp/>
        <stp>EM_S_VAL_PBGOODWILLDEDUCTED</stp>
        <stp>2</stp>
        <stp>600893</stp>
        <stp>12/31/2018</stp>
        <tr r="N2384" s="1"/>
      </tp>
      <tp>
        <v>10.510147883561499</v>
        <stp/>
        <stp>EM_S_VAL_PBGOODWILLDEDUCTED</stp>
        <stp>2</stp>
        <stp>600892</stp>
        <stp>12/31/2018</stp>
        <tr r="N3227" s="1"/>
      </tp>
      <tp>
        <v>-3.7652817968178298</v>
        <stp/>
        <stp>EM_S_VAL_PBGOODWILLDEDUCTED</stp>
        <stp>2</stp>
        <stp>600891</stp>
        <stp>12/31/2018</stp>
        <tr r="N3403" s="1"/>
      </tp>
      <tp>
        <v>19.016569545487201</v>
        <stp/>
        <stp>EM_S_VAL_PBGOODWILLDEDUCTED</stp>
        <stp>2</stp>
        <stp>600890</stp>
        <stp>12/31/2018</stp>
        <tr r="N3134" s="1"/>
      </tp>
      <tp>
        <v>1.7608703997273301</v>
        <stp/>
        <stp>EM_S_VAL_PBGOODWILLDEDUCTED</stp>
        <stp>2</stp>
        <stp>600897</stp>
        <stp>12/31/2018</stp>
        <tr r="N2061" s="1"/>
      </tp>
      <tp>
        <v>1.84696773346231</v>
        <stp/>
        <stp>EM_S_VAL_PBGOODWILLDEDUCTED</stp>
        <stp>2</stp>
        <stp>600896</stp>
        <stp>12/31/2018</stp>
        <tr r="N1511" s="1"/>
      </tp>
      <tp>
        <v>2.6418301122129901</v>
        <stp/>
        <stp>EM_S_VAL_PBGOODWILLDEDUCTED</stp>
        <stp>2</stp>
        <stp>600895</stp>
        <stp>12/31/2018</stp>
        <tr r="N2139" s="1"/>
      </tp>
      <tp>
        <v>0.67472657284473903</v>
        <stp/>
        <stp>EM_S_VAL_PBGOODWILLDEDUCTED</stp>
        <stp>2</stp>
        <stp>600894</stp>
        <stp>12/31/2018</stp>
        <tr r="N802" s="1"/>
      </tp>
      <tp>
        <v>10.814796482256201</v>
        <stp/>
        <stp>EM_S_VAL_PBGOODWILLDEDUCTED</stp>
        <stp>2</stp>
        <stp>000889</stp>
        <stp>12/31/2018</stp>
        <tr r="N2649" s="1"/>
      </tp>
      <tp>
        <v>1.2626760756911599</v>
        <stp/>
        <stp>EM_S_VAL_PBGOODWILLDEDUCTED</stp>
        <stp>2</stp>
        <stp>000888</stp>
        <stp>12/31/2018</stp>
        <tr r="N3563" s="1"/>
      </tp>
      <tp>
        <v>0.91435556694373799</v>
        <stp/>
        <stp>EM_S_VAL_PBGOODWILLDEDUCTED</stp>
        <stp>2</stp>
        <stp>000883</stp>
        <stp>12/31/2018</stp>
        <tr r="N1562" s="1"/>
      </tp>
      <tp>
        <v>0.78490335685193602</v>
        <stp/>
        <stp>EM_S_VAL_PBGOODWILLDEDUCTED</stp>
        <stp>2</stp>
        <stp>000882</stp>
        <stp>12/31/2018</stp>
        <tr r="N2222" s="1"/>
      </tp>
      <tp>
        <v>1.3399930267829601</v>
        <stp/>
        <stp>EM_S_VAL_PBGOODWILLDEDUCTED</stp>
        <stp>2</stp>
        <stp>000881</stp>
        <stp>12/31/2018</stp>
        <tr r="N2108" s="1"/>
      </tp>
      <tp>
        <v>1.4484197512521799</v>
        <stp/>
        <stp>EM_S_VAL_PBGOODWILLDEDUCTED</stp>
        <stp>2</stp>
        <stp>000880</stp>
        <stp>12/31/2018</stp>
        <tr r="N1865" s="1"/>
      </tp>
      <tp>
        <v>2.2045147761660999</v>
        <stp/>
        <stp>EM_S_VAL_PBGOODWILLDEDUCTED</stp>
        <stp>2</stp>
        <stp>000887</stp>
        <stp>12/31/2018</stp>
        <tr r="N2794" s="1"/>
      </tp>
      <tp>
        <v>1.3363056395754001</v>
        <stp/>
        <stp>EM_S_VAL_PBGOODWILLDEDUCTED</stp>
        <stp>2</stp>
        <stp>000886</stp>
        <stp>12/31/2018</stp>
        <tr r="N3562" s="1"/>
      </tp>
      <tp>
        <v>1.43167509601691</v>
        <stp/>
        <stp>EM_S_VAL_PBGOODWILLDEDUCTED</stp>
        <stp>2</stp>
        <stp>000885</stp>
        <stp>12/31/2018</stp>
        <tr r="N3561" s="1"/>
      </tp>
      <tp>
        <v>0.91762793375745699</v>
        <stp/>
        <stp>EM_S_VAL_PBGOODWILLDEDUCTED</stp>
        <stp>2</stp>
        <stp>000899</stp>
        <stp>12/31/2018</stp>
        <tr r="N1690" s="1"/>
      </tp>
      <tp>
        <v>0.71426358213906305</v>
        <stp/>
        <stp>EM_S_VAL_PBGOODWILLDEDUCTED</stp>
        <stp>2</stp>
        <stp>000898</stp>
        <stp>12/31/2018</stp>
        <tr r="N3280" s="1"/>
      </tp>
      <tp>
        <v>0.90307536040008896</v>
        <stp/>
        <stp>EM_S_VAL_PBGOODWILLDEDUCTED</stp>
        <stp>2</stp>
        <stp>000893</stp>
        <stp>12/31/2018</stp>
        <tr r="N3566" s="1"/>
      </tp>
      <tp>
        <v>1.35483396401223</v>
        <stp/>
        <stp>EM_S_VAL_PBGOODWILLDEDUCTED</stp>
        <stp>2</stp>
        <stp>000892</stp>
        <stp>12/31/2018</stp>
        <tr r="N3565" s="1"/>
      </tp>
      <tp>
        <v>2.9231716268991201</v>
        <stp/>
        <stp>EM_S_VAL_PBGOODWILLDEDUCTED</stp>
        <stp>2</stp>
        <stp>000890</stp>
        <stp>12/31/2018</stp>
        <tr r="N3564" s="1"/>
      </tp>
      <tp>
        <v>3.5883794819341199</v>
        <stp/>
        <stp>EM_S_VAL_PBGOODWILLDEDUCTED</stp>
        <stp>2</stp>
        <stp>000897</stp>
        <stp>12/31/2018</stp>
        <tr r="N3568" s="1"/>
      </tp>
      <tp>
        <v>5.9993621076621499</v>
        <stp/>
        <stp>EM_S_VAL_PBGOODWILLDEDUCTED</stp>
        <stp>2</stp>
        <stp>000895</stp>
        <stp>12/31/2018</stp>
        <tr r="N3567" s="1"/>
      </tp>
      <tp>
        <v>1.88775048147013</v>
        <stp/>
        <stp>EM_S_VAL_PBGOODWILLDEDUCTED</stp>
        <stp>2</stp>
        <stp>000869</stp>
        <stp>12/31/2018</stp>
        <tr r="N1713" s="1"/>
      </tp>
      <tp>
        <v>4.8836813948175797</v>
        <stp/>
        <stp>EM_S_VAL_PBGOODWILLDEDUCTED</stp>
        <stp>2</stp>
        <stp>600809</stp>
        <stp>12/31/2018</stp>
        <tr r="N75" s="1"/>
      </tp>
      <tp>
        <v>7.0150175513859798</v>
        <stp/>
        <stp>EM_S_VAL_PBGOODWILLDEDUCTED</stp>
        <stp>2</stp>
        <stp>000868</stp>
        <stp>12/31/2018</stp>
        <tr r="N3559" s="1"/>
      </tp>
      <tp>
        <v>0.94571992556030804</v>
        <stp/>
        <stp>EM_S_VAL_PBGOODWILLDEDUCTED</stp>
        <stp>2</stp>
        <stp>600808</stp>
        <stp>12/31/2018</stp>
        <tr r="N2869" s="1"/>
      </tp>
      <tp>
        <v>0.99271470542080698</v>
        <stp/>
        <stp>EM_S_VAL_PBGOODWILLDEDUCTED</stp>
        <stp>2</stp>
        <stp>000863</stp>
        <stp>12/31/2018</stp>
        <tr r="N3557" s="1"/>
      </tp>
      <tp>
        <v>1.4305719221333699</v>
        <stp/>
        <stp>EM_S_VAL_PBGOODWILLDEDUCTED</stp>
        <stp>2</stp>
        <stp>600803</stp>
        <stp>12/31/2018</stp>
        <tr r="N1898" s="1"/>
      </tp>
      <tp>
        <v>0.80459170198768404</v>
        <stp/>
        <stp>EM_S_VAL_PBGOODWILLDEDUCTED</stp>
        <stp>2</stp>
        <stp>000862</stp>
        <stp>12/31/2018</stp>
        <tr r="N331" s="1"/>
      </tp>
      <tp>
        <v>3.2854159543852699</v>
        <stp/>
        <stp>EM_S_VAL_PBGOODWILLDEDUCTED</stp>
        <stp>2</stp>
        <stp>600802</stp>
        <stp>12/31/2018</stp>
        <tr r="N1449" s="1"/>
      </tp>
      <tp>
        <v>2.03506853957537</v>
        <stp/>
        <stp>EM_S_VAL_PBGOODWILLDEDUCTED</stp>
        <stp>2</stp>
        <stp>000861</stp>
        <stp>12/31/2018</stp>
        <tr r="N3556" s="1"/>
      </tp>
      <tp>
        <v>1.54321330897501</v>
        <stp/>
        <stp>EM_S_VAL_PBGOODWILLDEDUCTED</stp>
        <stp>2</stp>
        <stp>600801</stp>
        <stp>12/31/2018</stp>
        <tr r="N585" s="1"/>
      </tp>
      <tp>
        <v>2.7158147559893102</v>
        <stp/>
        <stp>EM_S_VAL_PBGOODWILLDEDUCTED</stp>
        <stp>2</stp>
        <stp>000860</stp>
        <stp>12/31/2018</stp>
        <tr r="N371" s="1"/>
      </tp>
      <tp>
        <v>20.0154729262144</v>
        <stp/>
        <stp>EM_S_VAL_PBGOODWILLDEDUCTED</stp>
        <stp>2</stp>
        <stp>600800</stp>
        <stp>12/31/2018</stp>
        <tr r="N1729" s="1"/>
      </tp>
      <tp>
        <v>2.72147017152419</v>
        <stp/>
        <stp>EM_S_VAL_PBGOODWILLDEDUCTED</stp>
        <stp>2</stp>
        <stp>600807</stp>
        <stp>12/31/2018</stp>
        <tr r="N2570" s="1"/>
      </tp>
      <tp>
        <v>2.2591591503755102</v>
        <stp/>
        <stp>EM_S_VAL_PBGOODWILLDEDUCTED</stp>
        <stp>2</stp>
        <stp>000866</stp>
        <stp>12/31/2018</stp>
        <tr r="N3558" s="1"/>
      </tp>
      <tp>
        <v>-2.7010618318722299</v>
        <stp/>
        <stp>EM_S_VAL_PBGOODWILLDEDUCTED</stp>
        <stp>2</stp>
        <stp>600806</stp>
        <stp>12/31/2018</stp>
        <tr r="N2326" s="1"/>
      </tp>
      <tp>
        <v>0.64696066070889802</v>
        <stp/>
        <stp>EM_S_VAL_PBGOODWILLDEDUCTED</stp>
        <stp>2</stp>
        <stp>600805</stp>
        <stp>12/31/2018</stp>
        <tr r="N1762" s="1"/>
      </tp>
      <tp>
        <v>2.0925661676182798</v>
        <stp/>
        <stp>EM_S_VAL_PBGOODWILLDEDUCTED</stp>
        <stp>2</stp>
        <stp>600804</stp>
        <stp>12/31/2018</stp>
        <tr r="N2849" s="1"/>
      </tp>
      <tp>
        <v>1.2400682745573299</v>
        <stp/>
        <stp>EM_S_VAL_PBGOODWILLDEDUCTED</stp>
        <stp>2</stp>
        <stp>600819</stp>
        <stp>12/31/2018</stp>
        <tr r="N1023" s="1"/>
      </tp>
      <tp>
        <v>1.46018792201056</v>
        <stp/>
        <stp>EM_S_VAL_PBGOODWILLDEDUCTED</stp>
        <stp>2</stp>
        <stp>000878</stp>
        <stp>12/31/2018</stp>
        <tr r="N3560" s="1"/>
      </tp>
      <tp>
        <v>5.3681103687295</v>
        <stp/>
        <stp>EM_S_VAL_PBGOODWILLDEDUCTED</stp>
        <stp>2</stp>
        <stp>600818</stp>
        <stp>12/31/2018</stp>
        <tr r="N1647" s="1"/>
      </tp>
      <tp>
        <v>-71.388498596751106</v>
        <stp/>
        <stp>EM_S_VAL_PBGOODWILLDEDUCTED</stp>
        <stp>2</stp>
        <stp>600813</stp>
        <stp>12/31/2018</stp>
        <tr r="N2327" s="1"/>
      </tp>
      <tp>
        <v>1.1993133781410801</v>
        <stp/>
        <stp>EM_S_VAL_PBGOODWILLDEDUCTED</stp>
        <stp>2</stp>
        <stp>600812</stp>
        <stp>12/31/2018</stp>
        <tr r="N107" s="1"/>
      </tp>
      <tp>
        <v>0.667443154768251</v>
        <stp/>
        <stp>EM_S_VAL_PBGOODWILLDEDUCTED</stp>
        <stp>2</stp>
        <stp>600811</stp>
        <stp>12/31/2018</stp>
        <tr r="N2690" s="1"/>
      </tp>
      <tp>
        <v>1.40234105975379</v>
        <stp/>
        <stp>EM_S_VAL_PBGOODWILLDEDUCTED</stp>
        <stp>2</stp>
        <stp>600810</stp>
        <stp>12/31/2018</stp>
        <tr r="N3112" s="1"/>
      </tp>
      <tp>
        <v>0.88989414165648195</v>
        <stp/>
        <stp>EM_S_VAL_PBGOODWILLDEDUCTED</stp>
        <stp>2</stp>
        <stp>000877</stp>
        <stp>12/31/2018</stp>
        <tr r="N407" s="1"/>
      </tp>
      <tp>
        <v>11.1212689601407</v>
        <stp/>
        <stp>EM_S_VAL_PBGOODWILLDEDUCTED</stp>
        <stp>2</stp>
        <stp>600817</stp>
        <stp>12/31/2018</stp>
        <tr r="N2126" s="1"/>
      </tp>
      <tp>
        <v>1.48204293412538</v>
        <stp/>
        <stp>EM_S_VAL_PBGOODWILLDEDUCTED</stp>
        <stp>2</stp>
        <stp>000876</stp>
        <stp>12/31/2018</stp>
        <tr r="N64" s="1"/>
      </tp>
      <tp>
        <v>1.9896964654826801</v>
        <stp/>
        <stp>EM_S_VAL_PBGOODWILLDEDUCTED</stp>
        <stp>2</stp>
        <stp>600816</stp>
        <stp>12/31/2018</stp>
        <tr r="N2137" s="1"/>
      </tp>
      <tp>
        <v>0.72445827177647104</v>
        <stp/>
        <stp>EM_S_VAL_PBGOODWILLDEDUCTED</stp>
        <stp>2</stp>
        <stp>000875</stp>
        <stp>12/31/2018</stp>
        <tr r="N1036" s="1"/>
      </tp>
      <tp>
        <v>-15.4646336769074</v>
        <stp/>
        <stp>EM_S_VAL_PBGOODWILLDEDUCTED</stp>
        <stp>2</stp>
        <stp>600815</stp>
        <stp>12/31/2018</stp>
        <tr r="N2476" s="1"/>
      </tp>
      <tp>
        <v>1.5254324655253</v>
        <stp/>
        <stp>EM_S_VAL_PBGOODWILLDEDUCTED</stp>
        <stp>2</stp>
        <stp>600814</stp>
        <stp>12/31/2018</stp>
        <tr r="N2267" s="1"/>
      </tp>
      <tp>
        <v>2.13979220667296</v>
        <stp/>
        <stp>EM_S_VAL_PBGOODWILLDEDUCTED</stp>
        <stp>2</stp>
        <stp>600829</stp>
        <stp>12/31/2018</stp>
        <tr r="N1485" s="1"/>
      </tp>
      <tp>
        <v>4.0991642242266204</v>
        <stp/>
        <stp>EM_S_VAL_PBGOODWILLDEDUCTED</stp>
        <stp>2</stp>
        <stp>000848</stp>
        <stp>12/31/2018</stp>
        <tr r="N2428" s="1"/>
      </tp>
      <tp>
        <v>1.84978825530036</v>
        <stp/>
        <stp>EM_S_VAL_PBGOODWILLDEDUCTED</stp>
        <stp>2</stp>
        <stp>600828</stp>
        <stp>12/31/2018</stp>
        <tr r="N2265" s="1"/>
      </tp>
      <tp>
        <v>0.59572068721028903</v>
        <stp/>
        <stp>EM_S_VAL_PBGOODWILLDEDUCTED</stp>
        <stp>2</stp>
        <stp>600823</stp>
        <stp>12/31/2018</stp>
        <tr r="N1206" s="1"/>
      </tp>
      <tp>
        <v>7.0925273933649704</v>
        <stp/>
        <stp>EM_S_VAL_PBGOODWILLDEDUCTED</stp>
        <stp>2</stp>
        <stp>600822</stp>
        <stp>12/31/2018</stp>
        <tr r="N1393" s="1"/>
      </tp>
      <tp>
        <v>6.9316810297335296</v>
        <stp/>
        <stp>EM_S_VAL_PBGOODWILLDEDUCTED</stp>
        <stp>2</stp>
        <stp>600821</stp>
        <stp>12/31/2018</stp>
        <tr r="N1516" s="1"/>
      </tp>
      <tp>
        <v>0.96506696916519297</v>
        <stp/>
        <stp>EM_S_VAL_PBGOODWILLDEDUCTED</stp>
        <stp>2</stp>
        <stp>600820</stp>
        <stp>12/31/2018</stp>
        <tr r="N2521" s="1"/>
      </tp>
      <tp>
        <v>0.93206150659154197</v>
        <stp/>
        <stp>EM_S_VAL_PBGOODWILLDEDUCTED</stp>
        <stp>2</stp>
        <stp>600827</stp>
        <stp>12/31/2018</stp>
        <tr r="N1943" s="1"/>
      </tp>
      <tp>
        <v>1.3767802121993999</v>
        <stp/>
        <stp>EM_S_VAL_PBGOODWILLDEDUCTED</stp>
        <stp>2</stp>
        <stp>600826</stp>
        <stp>12/31/2018</stp>
        <tr r="N1328" s="1"/>
      </tp>
      <tp>
        <v>2.18841828018873</v>
        <stp/>
        <stp>EM_S_VAL_PBGOODWILLDEDUCTED</stp>
        <stp>2</stp>
        <stp>600825</stp>
        <stp>12/31/2018</stp>
        <tr r="N1333" s="1"/>
      </tp>
      <tp>
        <v>1.5964148482199101</v>
        <stp/>
        <stp>EM_S_VAL_PBGOODWILLDEDUCTED</stp>
        <stp>2</stp>
        <stp>600824</stp>
        <stp>12/31/2018</stp>
        <tr r="N2064" s="1"/>
      </tp>
      <tp>
        <v>1.34227941014267</v>
        <stp/>
        <stp>EM_S_VAL_PBGOODWILLDEDUCTED</stp>
        <stp>2</stp>
        <stp>000859</stp>
        <stp>12/31/2018</stp>
        <tr r="N151" s="1"/>
      </tp>
      <tp>
        <v>0.84603990951907704</v>
        <stp/>
        <stp>EM_S_VAL_PBGOODWILLDEDUCTED</stp>
        <stp>2</stp>
        <stp>600839</stp>
        <stp>12/31/2018</stp>
        <tr r="N1139" s="1"/>
      </tp>
      <tp>
        <v>3.1108797040268201</v>
        <stp/>
        <stp>EM_S_VAL_PBGOODWILLDEDUCTED</stp>
        <stp>2</stp>
        <stp>000858</stp>
        <stp>12/31/2018</stp>
        <tr r="N65" s="1"/>
      </tp>
      <tp>
        <v>1.9914552097256499</v>
        <stp/>
        <stp>EM_S_VAL_PBGOODWILLDEDUCTED</stp>
        <stp>2</stp>
        <stp>600838</stp>
        <stp>12/31/2018</stp>
        <tr r="N1970" s="1"/>
      </tp>
      <tp>
        <v>3.07410060913706</v>
        <stp/>
        <stp>EM_S_VAL_PBGOODWILLDEDUCTED</stp>
        <stp>2</stp>
        <stp>600833</stp>
        <stp>12/31/2018</stp>
        <tr r="N2110" s="1"/>
      </tp>
      <tp>
        <v>2.4137833485609401</v>
        <stp/>
        <stp>EM_S_VAL_PBGOODWILLDEDUCTED</stp>
        <stp>2</stp>
        <stp>000852</stp>
        <stp>12/31/2018</stp>
        <tr r="N2811" s="1"/>
      </tp>
      <tp>
        <v>7.3913389058929599</v>
        <stp/>
        <stp>EM_S_VAL_PBGOODWILLDEDUCTED</stp>
        <stp>2</stp>
        <stp>600832</stp>
        <stp>12/31/2018</stp>
        <tr r="N2328" s="1"/>
      </tp>
      <tp>
        <v>1.4533516209052999</v>
        <stp/>
        <stp>EM_S_VAL_PBGOODWILLDEDUCTED</stp>
        <stp>2</stp>
        <stp>000851</stp>
        <stp>12/31/2018</stp>
        <tr r="N1159" s="1"/>
      </tp>
      <tp>
        <v>1.3499070709544501</v>
        <stp/>
        <stp>EM_S_VAL_PBGOODWILLDEDUCTED</stp>
        <stp>2</stp>
        <stp>600831</stp>
        <stp>12/31/2018</stp>
        <tr r="N788" s="1"/>
      </tp>
      <tp>
        <v>0.73131742737987604</v>
        <stp/>
        <stp>EM_S_VAL_PBGOODWILLDEDUCTED</stp>
        <stp>2</stp>
        <stp>000850</stp>
        <stp>12/31/2018</stp>
        <tr r="N1049" s="1"/>
      </tp>
      <tp>
        <v>1.04301741943098</v>
        <stp/>
        <stp>EM_S_VAL_PBGOODWILLDEDUCTED</stp>
        <stp>2</stp>
        <stp>600830</stp>
        <stp>12/31/2018</stp>
        <tr r="N1448" s="1"/>
      </tp>
      <tp>
        <v>0.889314114547612</v>
        <stp/>
        <stp>EM_S_VAL_PBGOODWILLDEDUCTED</stp>
        <stp>2</stp>
        <stp>600837</stp>
        <stp>12/31/2018</stp>
        <tr r="N260" s="1"/>
      </tp>
      <tp>
        <v>10.308052587204999</v>
        <stp/>
        <stp>EM_S_VAL_PBGOODWILLDEDUCTED</stp>
        <stp>2</stp>
        <stp>000856</stp>
        <stp>12/31/2018</stp>
        <tr r="N3157" s="1"/>
      </tp>
      <tp>
        <v>2.87008507511448</v>
        <stp/>
        <stp>EM_S_VAL_PBGOODWILLDEDUCTED</stp>
        <stp>2</stp>
        <stp>600836</stp>
        <stp>12/31/2018</stp>
        <tr r="N857" s="1"/>
      </tp>
      <tp>
        <v>1.3773319155085499</v>
        <stp/>
        <stp>EM_S_VAL_PBGOODWILLDEDUCTED</stp>
        <stp>2</stp>
        <stp>600835</stp>
        <stp>12/31/2018</stp>
        <tr r="N1537" s="1"/>
      </tp>
      <tp>
        <v>2.1618138222274701</v>
        <stp/>
        <stp>EM_S_VAL_PBGOODWILLDEDUCTED</stp>
        <stp>2</stp>
        <stp>600834</stp>
        <stp>12/31/2018</stp>
        <tr r="N1990" s="1"/>
      </tp>
      <tp>
        <v>3.9413282026804701</v>
        <stp/>
        <stp>EM_S_VAL_PBGOODWILLDEDUCTED</stp>
        <stp>2</stp>
        <stp>000829</stp>
        <stp>12/31/2018</stp>
        <tr r="N3551" s="1"/>
      </tp>
      <tp>
        <v>1.5130672788475401</v>
        <stp/>
        <stp>EM_S_VAL_PBGOODWILLDEDUCTED</stp>
        <stp>2</stp>
        <stp>600849</stp>
        <stp>12/31/2018</stp>
        <tr r="N2335" s="1"/>
      </tp>
      <tp>
        <v>1.19662804304807</v>
        <stp/>
        <stp>EM_S_VAL_PBGOODWILLDEDUCTED</stp>
        <stp>2</stp>
        <stp>000828</stp>
        <stp>12/31/2018</stp>
        <tr r="N1711" s="1"/>
      </tp>
      <tp>
        <v>3.4011087446825798</v>
        <stp/>
        <stp>EM_S_VAL_PBGOODWILLDEDUCTED</stp>
        <stp>2</stp>
        <stp>600848</stp>
        <stp>12/31/2018</stp>
        <tr r="N1417" s="1"/>
      </tp>
      <tp>
        <v>1.2639851853439501</v>
        <stp/>
        <stp>EM_S_VAL_PBGOODWILLDEDUCTED</stp>
        <stp>2</stp>
        <stp>000823</stp>
        <stp>12/31/2018</stp>
        <tr r="N267" s="1"/>
      </tp>
      <tp>
        <v>1.7573635166683499</v>
        <stp/>
        <stp>EM_S_VAL_PBGOODWILLDEDUCTED</stp>
        <stp>2</stp>
        <stp>600843</stp>
        <stp>12/31/2018</stp>
        <tr r="N1525" s="1"/>
      </tp>
      <tp>
        <v>1.2865496200478601</v>
        <stp/>
        <stp>EM_S_VAL_PBGOODWILLDEDUCTED</stp>
        <stp>2</stp>
        <stp>000822</stp>
        <stp>12/31/2018</stp>
        <tr r="N2171" s="1"/>
      </tp>
      <tp>
        <v>8.1523881278679902</v>
        <stp/>
        <stp>EM_S_VAL_PBGOODWILLDEDUCTED</stp>
        <stp>2</stp>
        <stp>600842</stp>
        <stp>12/31/2018</stp>
        <tr r="N2330" s="1"/>
      </tp>
      <tp>
        <v>2.6576777185101101</v>
        <stp/>
        <stp>EM_S_VAL_PBGOODWILLDEDUCTED</stp>
        <stp>2</stp>
        <stp>000821</stp>
        <stp>12/31/2018</stp>
        <tr r="N2937" s="1"/>
      </tp>
      <tp>
        <v>1.53224970802542</v>
        <stp/>
        <stp>EM_S_VAL_PBGOODWILLDEDUCTED</stp>
        <stp>2</stp>
        <stp>600841</stp>
        <stp>12/31/2018</stp>
        <tr r="N1932" s="1"/>
      </tp>
      <tp>
        <v>18.659462043796399</v>
        <stp/>
        <stp>EM_S_VAL_PBGOODWILLDEDUCTED</stp>
        <stp>2</stp>
        <stp>000820</stp>
        <stp>12/31/2018</stp>
        <tr r="N3549" s="1"/>
      </tp>
      <tp>
        <v>8.5047637106734406</v>
        <stp/>
        <stp>EM_S_VAL_PBGOODWILLDEDUCTED</stp>
        <stp>2</stp>
        <stp>600840</stp>
        <stp>12/31/2018</stp>
        <tr r="N2329" s="1"/>
      </tp>
      <tp>
        <v>-9.5269296597034607</v>
        <stp/>
        <stp>EM_S_VAL_PBGOODWILLDEDUCTED</stp>
        <stp>2</stp>
        <stp>000827</stp>
        <stp>12/31/2018</stp>
        <tr r="N3550" s="1"/>
      </tp>
      <tp>
        <v>2.5869367765540701</v>
        <stp/>
        <stp>EM_S_VAL_PBGOODWILLDEDUCTED</stp>
        <stp>2</stp>
        <stp>600847</stp>
        <stp>12/31/2018</stp>
        <tr r="N2395" s="1"/>
      </tp>
      <tp>
        <v>1.22517795747189</v>
        <stp/>
        <stp>EM_S_VAL_PBGOODWILLDEDUCTED</stp>
        <stp>2</stp>
        <stp>000826</stp>
        <stp>12/31/2018</stp>
        <tr r="N2803" s="1"/>
      </tp>
      <tp>
        <v>1.9722955105069</v>
        <stp/>
        <stp>EM_S_VAL_PBGOODWILLDEDUCTED</stp>
        <stp>2</stp>
        <stp>600846</stp>
        <stp>12/31/2018</stp>
        <tr r="N959" s="1"/>
      </tp>
      <tp>
        <v>0.77413275875618104</v>
        <stp/>
        <stp>EM_S_VAL_PBGOODWILLDEDUCTED</stp>
        <stp>2</stp>
        <stp>000825</stp>
        <stp>12/31/2018</stp>
        <tr r="N2407" s="1"/>
      </tp>
      <tp>
        <v>2.7664226135258998</v>
        <stp/>
        <stp>EM_S_VAL_PBGOODWILLDEDUCTED</stp>
        <stp>2</stp>
        <stp>600845</stp>
        <stp>12/31/2018</stp>
        <tr r="N442" s="1"/>
      </tp>
      <tp>
        <v>1.5120855926811401</v>
        <stp/>
        <stp>EM_S_VAL_PBGOODWILLDEDUCTED</stp>
        <stp>2</stp>
        <stp>600844</stp>
        <stp>12/31/2018</stp>
        <tr r="N467" s="1"/>
      </tp>
      <tp>
        <v>1.4322912470863201</v>
        <stp/>
        <stp>EM_S_VAL_PBGOODWILLDEDUCTED</stp>
        <stp>2</stp>
        <stp>000839</stp>
        <stp>12/31/2018</stp>
        <tr r="N3555" s="1"/>
      </tp>
      <tp>
        <v>1.06234703450983</v>
        <stp/>
        <stp>EM_S_VAL_PBGOODWILLDEDUCTED</stp>
        <stp>2</stp>
        <stp>600859</stp>
        <stp>12/31/2018</stp>
        <tr r="N2086" s="1"/>
      </tp>
      <tp>
        <v>1.7099517762392999</v>
        <stp/>
        <stp>EM_S_VAL_PBGOODWILLDEDUCTED</stp>
        <stp>2</stp>
        <stp>000838</stp>
        <stp>12/31/2018</stp>
        <tr r="N1804" s="1"/>
      </tp>
      <tp>
        <v>0.936019587759781</v>
        <stp/>
        <stp>EM_S_VAL_PBGOODWILLDEDUCTED</stp>
        <stp>2</stp>
        <stp>600858</stp>
        <stp>12/31/2018</stp>
        <tr r="N2088" s="1"/>
      </tp>
      <tp>
        <v>1.11622507413656</v>
        <stp/>
        <stp>EM_S_VAL_PBGOODWILLDEDUCTED</stp>
        <stp>2</stp>
        <stp>000833</stp>
        <stp>12/31/2018</stp>
        <tr r="N1707" s="1"/>
      </tp>
      <tp>
        <v>1.44292379135605</v>
        <stp/>
        <stp>EM_S_VAL_PBGOODWILLDEDUCTED</stp>
        <stp>2</stp>
        <stp>600853</stp>
        <stp>12/31/2018</stp>
        <tr r="N2699" s="1"/>
      </tp>
      <tp>
        <v>-1.1325046690527001</v>
        <stp/>
        <stp>EM_S_VAL_PBGOODWILLDEDUCTED</stp>
        <stp>2</stp>
        <stp>000832</stp>
        <stp>12/31/2018</stp>
        <tr r="N3552" s="1"/>
      </tp>
      <tp>
        <v>-0.101508930777281</v>
        <stp/>
        <stp>EM_S_VAL_PBGOODWILLDEDUCTED</stp>
        <stp>2</stp>
        <stp>600852</stp>
        <stp>12/31/2018</stp>
        <tr r="N2331" s="1"/>
      </tp>
      <tp>
        <v>3.8657343559472599</v>
        <stp/>
        <stp>EM_S_VAL_PBGOODWILLDEDUCTED</stp>
        <stp>2</stp>
        <stp>000831</stp>
        <stp>12/31/2018</stp>
        <tr r="N465" s="1"/>
      </tp>
      <tp>
        <v>2.44891737266776</v>
        <stp/>
        <stp>EM_S_VAL_PBGOODWILLDEDUCTED</stp>
        <stp>2</stp>
        <stp>600851</stp>
        <stp>12/31/2018</stp>
        <tr r="N1652" s="1"/>
      </tp>
      <tp>
        <v>1.4008896115738401</v>
        <stp/>
        <stp>EM_S_VAL_PBGOODWILLDEDUCTED</stp>
        <stp>2</stp>
        <stp>000830</stp>
        <stp>12/31/2018</stp>
        <tr r="N2036" s="1"/>
      </tp>
      <tp>
        <v>2.84505937251074</v>
        <stp/>
        <stp>EM_S_VAL_PBGOODWILLDEDUCTED</stp>
        <stp>2</stp>
        <stp>600850</stp>
        <stp>12/31/2018</stp>
        <tr r="N441" s="1"/>
      </tp>
      <tp>
        <v>1.06688555348299</v>
        <stp/>
        <stp>EM_S_VAL_PBGOODWILLDEDUCTED</stp>
        <stp>2</stp>
        <stp>000837</stp>
        <stp>12/31/2018</stp>
        <tr r="N3554" s="1"/>
      </tp>
      <tp>
        <v>9.1961555897752891</v>
        <stp/>
        <stp>EM_S_VAL_PBGOODWILLDEDUCTED</stp>
        <stp>2</stp>
        <stp>600857</stp>
        <stp>12/31/2018</stp>
        <tr r="N1701" s="1"/>
      </tp>
      <tp>
        <v>3.56210967051573</v>
        <stp/>
        <stp>EM_S_VAL_PBGOODWILLDEDUCTED</stp>
        <stp>2</stp>
        <stp>000836</stp>
        <stp>12/31/2018</stp>
        <tr r="N2534" s="1"/>
      </tp>
      <tp>
        <v>1.4011051246610899</v>
        <stp/>
        <stp>EM_S_VAL_PBGOODWILLDEDUCTED</stp>
        <stp>2</stp>
        <stp>600856</stp>
        <stp>12/31/2018</stp>
        <tr r="N3278" s="1"/>
      </tp>
      <tp>
        <v>-5.7399534932153697</v>
        <stp/>
        <stp>EM_S_VAL_PBGOODWILLDEDUCTED</stp>
        <stp>2</stp>
        <stp>000835</stp>
        <stp>12/31/2018</stp>
        <tr r="N3553" s="1"/>
      </tp>
      <tp>
        <v>3.0525403265975299</v>
        <stp/>
        <stp>EM_S_VAL_PBGOODWILLDEDUCTED</stp>
        <stp>2</stp>
        <stp>600855</stp>
        <stp>12/31/2018</stp>
        <tr r="N817" s="1"/>
      </tp>
      <tp>
        <v>0.91176716251956103</v>
        <stp/>
        <stp>EM_S_VAL_PBGOODWILLDEDUCTED</stp>
        <stp>2</stp>
        <stp>600854</stp>
        <stp>12/31/2018</stp>
        <tr r="N1766" s="1"/>
      </tp>
      <tp>
        <v>0.60540300921004997</v>
        <stp/>
        <stp>EM_S_VAL_PBGOODWILLDEDUCTED</stp>
        <stp>2</stp>
        <stp>000809</stp>
        <stp>12/31/2018</stp>
        <tr r="N2356" s="1"/>
      </tp>
      <tp>
        <v>3.4461722293427499</v>
        <stp/>
        <stp>EM_S_VAL_PBGOODWILLDEDUCTED</stp>
        <stp>2</stp>
        <stp>600869</stp>
        <stp>12/31/2018</stp>
        <tr r="N2251" s="1"/>
      </tp>
      <tp>
        <v>2.3647476609209899</v>
        <stp/>
        <stp>EM_S_VAL_PBGOODWILLDEDUCTED</stp>
        <stp>2</stp>
        <stp>600868</stp>
        <stp>12/31/2018</stp>
        <tr r="N1248" s="1"/>
      </tp>
      <tp>
        <v>-36.433556327009804</v>
        <stp/>
        <stp>EM_S_VAL_PBGOODWILLDEDUCTED</stp>
        <stp>2</stp>
        <stp>000803</stp>
        <stp>12/31/2018</stp>
        <tr r="N1520" s="1"/>
      </tp>
      <tp>
        <v>1.24632589054899</v>
        <stp/>
        <stp>EM_S_VAL_PBGOODWILLDEDUCTED</stp>
        <stp>2</stp>
        <stp>600863</stp>
        <stp>12/31/2018</stp>
        <tr r="N1344" s="1"/>
      </tp>
      <tp>
        <v>2.2636806696170502</v>
        <stp/>
        <stp>EM_S_VAL_PBGOODWILLDEDUCTED</stp>
        <stp>2</stp>
        <stp>000802</stp>
        <stp>12/31/2018</stp>
        <tr r="N3543" s="1"/>
      </tp>
      <tp>
        <v>2.0552393362619199</v>
        <stp/>
        <stp>EM_S_VAL_PBGOODWILLDEDUCTED</stp>
        <stp>2</stp>
        <stp>600862</stp>
        <stp>12/31/2018</stp>
        <tr r="N174" s="1"/>
      </tp>
      <tp>
        <v>1.8405817603293599</v>
        <stp/>
        <stp>EM_S_VAL_PBGOODWILLDEDUCTED</stp>
        <stp>2</stp>
        <stp>000801</stp>
        <stp>12/31/2018</stp>
        <tr r="N1131" s="1"/>
      </tp>
      <tp>
        <v>0.93825543891754504</v>
        <stp/>
        <stp>EM_S_VAL_PBGOODWILLDEDUCTED</stp>
        <stp>2</stp>
        <stp>600861</stp>
        <stp>12/31/2018</stp>
        <tr r="N1151" s="1"/>
      </tp>
      <tp>
        <v>1.3382477547087901</v>
        <stp/>
        <stp>EM_S_VAL_PBGOODWILLDEDUCTED</stp>
        <stp>2</stp>
        <stp>000800</stp>
        <stp>12/31/2018</stp>
        <tr r="N3542" s="1"/>
      </tp>
      <tp>
        <v>4.0403421033794702</v>
        <stp/>
        <stp>EM_S_VAL_PBGOODWILLDEDUCTED</stp>
        <stp>2</stp>
        <stp>600860</stp>
        <stp>12/31/2018</stp>
        <tr r="N816" s="1"/>
      </tp>
      <tp>
        <v>1.22385675453983</v>
        <stp/>
        <stp>EM_S_VAL_PBGOODWILLDEDUCTED</stp>
        <stp>2</stp>
        <stp>000807</stp>
        <stp>12/31/2018</stp>
        <tr r="N3546" s="1"/>
      </tp>
      <tp>
        <v>5.9844826063802099</v>
        <stp/>
        <stp>EM_S_VAL_PBGOODWILLDEDUCTED</stp>
        <stp>2</stp>
        <stp>600867</stp>
        <stp>12/31/2018</stp>
        <tr r="N2809" s="1"/>
      </tp>
      <tp>
        <v>3.06936479818292</v>
        <stp/>
        <stp>EM_S_VAL_PBGOODWILLDEDUCTED</stp>
        <stp>2</stp>
        <stp>000806</stp>
        <stp>12/31/2018</stp>
        <tr r="N3545" s="1"/>
      </tp>
      <tp>
        <v>2.1188829615322202</v>
        <stp/>
        <stp>EM_S_VAL_PBGOODWILLDEDUCTED</stp>
        <stp>2</stp>
        <stp>600866</stp>
        <stp>12/31/2018</stp>
        <tr r="N736" s="1"/>
      </tp>
      <tp>
        <v>1.0893112080717999</v>
        <stp/>
        <stp>EM_S_VAL_PBGOODWILLDEDUCTED</stp>
        <stp>2</stp>
        <stp>000805</stp>
        <stp>12/31/2018</stp>
        <tr r="N3544" s="1"/>
      </tp>
      <tp>
        <v>1.1795170165420099</v>
        <stp/>
        <stp>EM_S_VAL_PBGOODWILLDEDUCTED</stp>
        <stp>2</stp>
        <stp>600865</stp>
        <stp>12/31/2018</stp>
        <tr r="N1563" s="1"/>
      </tp>
      <tp>
        <v>0.74897064969353699</v>
        <stp/>
        <stp>EM_S_VAL_PBGOODWILLDEDUCTED</stp>
        <stp>2</stp>
        <stp>600864</stp>
        <stp>12/31/2018</stp>
        <tr r="N222" s="1"/>
      </tp>
      <tp>
        <v>3.2674715475668599</v>
        <stp/>
        <stp>EM_S_VAL_PBGOODWILLDEDUCTED</stp>
        <stp>2</stp>
        <stp>000819</stp>
        <stp>12/31/2018</stp>
        <tr r="N2694" s="1"/>
      </tp>
      <tp>
        <v>1.23875758805406</v>
        <stp/>
        <stp>EM_S_VAL_PBGOODWILLDEDUCTED</stp>
        <stp>2</stp>
        <stp>600879</stp>
        <stp>12/31/2018</stp>
        <tr r="N1674" s="1"/>
      </tp>
      <tp>
        <v>4.1326780094500597</v>
        <stp/>
        <stp>EM_S_VAL_PBGOODWILLDEDUCTED</stp>
        <stp>2</stp>
        <stp>000818</stp>
        <stp>12/31/2018</stp>
        <tr r="N176" s="1"/>
      </tp>
      <tp>
        <v>2.75154679439426</v>
        <stp/>
        <stp>EM_S_VAL_PBGOODWILLDEDUCTED</stp>
        <stp>2</stp>
        <stp>600878</stp>
        <stp>12/31/2018</stp>
        <tr r="N2332" s="1"/>
      </tp>
      <tp>
        <v>3.9131514293652998</v>
        <stp/>
        <stp>EM_S_VAL_PBGOODWILLDEDUCTED</stp>
        <stp>2</stp>
        <stp>000813</stp>
        <stp>12/31/2018</stp>
        <tr r="N3236" s="1"/>
      </tp>
      <tp>
        <v>1.46273342376116</v>
        <stp/>
        <stp>EM_S_VAL_PBGOODWILLDEDUCTED</stp>
        <stp>2</stp>
        <stp>600873</stp>
        <stp>12/31/2018</stp>
        <tr r="N2002" s="1"/>
      </tp>
      <tp>
        <v>2.71718768046326</v>
        <stp/>
        <stp>EM_S_VAL_PBGOODWILLDEDUCTED</stp>
        <stp>2</stp>
        <stp>000812</stp>
        <stp>12/31/2018</stp>
        <tr r="N2624" s="1"/>
      </tp>
      <tp>
        <v>6.51319314384798</v>
        <stp/>
        <stp>EM_S_VAL_PBGOODWILLDEDUCTED</stp>
        <stp>2</stp>
        <stp>600872</stp>
        <stp>12/31/2018</stp>
        <tr r="N909" s="1"/>
      </tp>
      <tp>
        <v>1.6748335592254</v>
        <stp/>
        <stp>EM_S_VAL_PBGOODWILLDEDUCTED</stp>
        <stp>2</stp>
        <stp>000811</stp>
        <stp>12/31/2018</stp>
        <tr r="N843" s="1"/>
      </tp>
      <tp>
        <v>6.0122667412644697</v>
        <stp/>
        <stp>EM_S_VAL_PBGOODWILLDEDUCTED</stp>
        <stp>2</stp>
        <stp>600871</stp>
        <stp>12/31/2018</stp>
        <tr r="N1178" s="1"/>
      </tp>
      <tp>
        <v>2.0202658048209101</v>
        <stp/>
        <stp>EM_S_VAL_PBGOODWILLDEDUCTED</stp>
        <stp>2</stp>
        <stp>000810</stp>
        <stp>12/31/2018</stp>
        <tr r="N139" s="1"/>
      </tp>
      <tp>
        <v>207.82639484865999</v>
        <stp/>
        <stp>EM_S_VAL_PBGOODWILLDEDUCTED</stp>
        <stp>2</stp>
        <stp>600870</stp>
        <stp>12/31/2018</stp>
        <tr r="N2830" s="1"/>
      </tp>
      <tp>
        <v>2.96541002831469</v>
        <stp/>
        <stp>EM_S_VAL_PBGOODWILLDEDUCTED</stp>
        <stp>2</stp>
        <stp>000817</stp>
        <stp>12/31/2018</stp>
        <tr r="N3548" s="1"/>
      </tp>
      <tp>
        <v>-16.973467755221701</v>
        <stp/>
        <stp>EM_S_VAL_PBGOODWILLDEDUCTED</stp>
        <stp>2</stp>
        <stp>600877</stp>
        <stp>12/31/2018</stp>
        <tr r="N1175" s="1"/>
      </tp>
      <tp>
        <v>0.69694073928881095</v>
        <stp/>
        <stp>EM_S_VAL_PBGOODWILLDEDUCTED</stp>
        <stp>2</stp>
        <stp>000816</stp>
        <stp>12/31/2018</stp>
        <tr r="N3547" s="1"/>
      </tp>
      <tp>
        <v>4.99908816246489</v>
        <stp/>
        <stp>EM_S_VAL_PBGOODWILLDEDUCTED</stp>
        <stp>2</stp>
        <stp>600876</stp>
        <stp>12/31/2018</stp>
        <tr r="N598" s="1"/>
      </tp>
      <tp>
        <v>2.30618993953569</v>
        <stp/>
        <stp>EM_S_VAL_PBGOODWILLDEDUCTED</stp>
        <stp>2</stp>
        <stp>000815</stp>
        <stp>12/31/2018</stp>
        <tr r="N2186" s="1"/>
      </tp>
      <tp>
        <v>0.85314845940392503</v>
        <stp/>
        <stp>EM_S_VAL_PBGOODWILLDEDUCTED</stp>
        <stp>2</stp>
        <stp>600875</stp>
        <stp>12/31/2018</stp>
        <tr r="N1425" s="1"/>
      </tp>
      <tp>
        <v>2.0237579451077901</v>
        <stp/>
        <stp>EM_S_VAL_PBGOODWILLDEDUCTED</stp>
        <stp>2</stp>
        <stp>600874</stp>
        <stp>12/31/2018</stp>
        <tr r="N2879" s="1"/>
      </tp>
      <tp>
        <v>0.67073044005271898</v>
        <stp/>
        <stp>EM_S_VAL_PBGOODWILLDEDUCTED</stp>
        <stp>2</stp>
        <stp>601588</stp>
        <stp>12/31/2018</stp>
        <tr r="N1361" s="1"/>
      </tp>
      <tp>
        <v>1.3135910892440299</v>
        <stp/>
        <stp>EM_S_VAL_PBGOODWILLDEDUCTED</stp>
        <stp>2</stp>
        <stp>601599</stp>
        <stp>12/31/2018</stp>
        <tr r="N1857" s="1"/>
      </tp>
      <tp>
        <v>1.98114090143568</v>
        <stp/>
        <stp>EM_S_VAL_PBGOODWILLDEDUCTED</stp>
        <stp>2</stp>
        <stp>601595</stp>
        <stp>12/31/2018</stp>
        <tr r="N1270" s="1"/>
      </tp>
      <tp>
        <v>1.79576693616465</v>
        <stp/>
        <stp>EM_S_VAL_PBGOODWILLDEDUCTED</stp>
        <stp>2</stp>
        <stp>601500</stp>
        <stp>12/31/2018</stp>
        <tr r="N2436" s="1"/>
      </tp>
      <tp>
        <v>5.7913803334401699</v>
        <stp/>
        <stp>EM_S_VAL_PBGOODWILLDEDUCTED</stp>
        <stp>2</stp>
        <stp>601519</stp>
        <stp>12/31/2018</stp>
        <tr r="N99" s="1"/>
      </tp>
      <tp>
        <v>0.99727753850337597</v>
        <stp/>
        <stp>EM_S_VAL_PBGOODWILLDEDUCTED</stp>
        <stp>2</stp>
        <stp>601518</stp>
        <stp>12/31/2018</stp>
        <tr r="N2183" s="1"/>
      </tp>
      <tp>
        <v>2.06928945950441</v>
        <stp/>
        <stp>EM_S_VAL_PBGOODWILLDEDUCTED</stp>
        <stp>2</stp>
        <stp>601515</stp>
        <stp>12/31/2018</stp>
        <tr r="N2559" s="1"/>
      </tp>
      <tp>
        <v>6.2525507283688198</v>
        <stp/>
        <stp>EM_S_VAL_PBGOODWILLDEDUCTED</stp>
        <stp>2</stp>
        <stp>601558</stp>
        <stp>12/31/2018</stp>
        <tr r="N2379" s="1"/>
      </tp>
      <tp>
        <v>1.00897837630496</v>
        <stp/>
        <stp>EM_S_VAL_PBGOODWILLDEDUCTED</stp>
        <stp>2</stp>
        <stp>601555</stp>
        <stp>12/31/2018</stp>
        <tr r="N582" s="1"/>
      </tp>
      <tp>
        <v>1.1256297443396901</v>
        <stp/>
        <stp>EM_S_VAL_PBGOODWILLDEDUCTED</stp>
        <stp>2</stp>
        <stp>601567</stp>
        <stp>12/31/2018</stp>
        <tr r="N931" s="1"/>
      </tp>
      <tp>
        <v>1.73319035642501</v>
        <stp/>
        <stp>EM_S_VAL_PBGOODWILLDEDUCTED</stp>
        <stp>2</stp>
        <stp>601566</stp>
        <stp>12/31/2018</stp>
        <tr r="N2920" s="1"/>
      </tp>
      <tp>
        <v>1.5244002561994501</v>
        <stp/>
        <stp>EM_S_VAL_PBGOODWILLDEDUCTED</stp>
        <stp>2</stp>
        <stp>601579</stp>
        <stp>12/31/2018</stp>
        <tr r="N2532" s="1"/>
      </tp>
      <tp>
        <v>1.1757834145853501</v>
        <stp/>
        <stp>EM_S_VAL_PBGOODWILLDEDUCTED</stp>
        <stp>2</stp>
        <stp>601789</stp>
        <stp>12/31/2018</stp>
        <tr r="N1262" s="1"/>
      </tp>
      <tp>
        <v>0.880090203598063</v>
        <stp/>
        <stp>EM_S_VAL_PBGOODWILLDEDUCTED</stp>
        <stp>2</stp>
        <stp>601788</stp>
        <stp>12/31/2018</stp>
        <tr r="N576" s="1"/>
      </tp>
      <tp>
        <v>3.0027814318241401</v>
        <stp/>
        <stp>EM_S_VAL_PBGOODWILLDEDUCTED</stp>
        <stp>2</stp>
        <stp>601799</stp>
        <stp>12/31/2018</stp>
        <tr r="N166" s="1"/>
      </tp>
      <tp>
        <v>0.96889192053517803</v>
        <stp/>
        <stp>EM_S_VAL_PBGOODWILLDEDUCTED</stp>
        <stp>2</stp>
        <stp>601798</stp>
        <stp>12/31/2018</stp>
        <tr r="N1042" s="1"/>
      </tp>
      <tp>
        <v>1.52147474840139</v>
        <stp/>
        <stp>EM_S_VAL_PBGOODWILLDEDUCTED</stp>
        <stp>2</stp>
        <stp>601700</stp>
        <stp>12/31/2018</stp>
        <tr r="N297" s="1"/>
      </tp>
      <tp>
        <v>0.82115291935507195</v>
        <stp/>
        <stp>EM_S_VAL_PBGOODWILLDEDUCTED</stp>
        <stp>2</stp>
        <stp>601718</stp>
        <stp>12/31/2018</stp>
        <tr r="N2524" s="1"/>
      </tp>
      <tp>
        <v>0.90353695262961997</v>
        <stp/>
        <stp>EM_S_VAL_PBGOODWILLDEDUCTED</stp>
        <stp>2</stp>
        <stp>601717</stp>
        <stp>12/31/2018</stp>
        <tr r="N1407" s="1"/>
      </tp>
      <tp>
        <v>1.3497995934921101</v>
        <stp/>
        <stp>EM_S_VAL_PBGOODWILLDEDUCTED</stp>
        <stp>2</stp>
        <stp>601727</stp>
        <stp>12/31/2018</stp>
        <tr r="N2339" s="1"/>
      </tp>
      <tp>
        <v>2.0264155719594799</v>
        <stp/>
        <stp>EM_S_VAL_PBGOODWILLDEDUCTED</stp>
        <stp>2</stp>
        <stp>601766</stp>
        <stp>12/31/2018</stp>
        <tr r="N3076" s="1"/>
      </tp>
      <tp>
        <v>0.69012468589668796</v>
        <stp/>
        <stp>EM_S_VAL_PBGOODWILLDEDUCTED</stp>
        <stp>2</stp>
        <stp>601777</stp>
        <stp>12/31/2018</stp>
        <tr r="N3037" s="1"/>
      </tp>
      <tp>
        <v>1.5508393857551099</v>
        <stp/>
        <stp>EM_S_VAL_PBGOODWILLDEDUCTED</stp>
        <stp>2</stp>
        <stp>601689</stp>
        <stp>12/31/2018</stp>
        <tr r="N1375" s="1"/>
      </tp>
      <tp>
        <v>1.3196643679344799</v>
        <stp/>
        <stp>EM_S_VAL_PBGOODWILLDEDUCTED</stp>
        <stp>2</stp>
        <stp>601688</stp>
        <stp>12/31/2018</stp>
        <tr r="N1013" s="1"/>
      </tp>
      <tp>
        <v>0.83355682750395499</v>
        <stp/>
        <stp>EM_S_VAL_PBGOODWILLDEDUCTED</stp>
        <stp>2</stp>
        <stp>601699</stp>
        <stp>12/31/2018</stp>
        <tr r="N1809" s="1"/>
      </tp>
      <tp>
        <v>1.5464692434801399</v>
        <stp/>
        <stp>EM_S_VAL_PBGOODWILLDEDUCTED</stp>
        <stp>2</stp>
        <stp>001696</stp>
        <stp>12/31/2018</stp>
        <tr r="N863" s="1"/>
      </tp>
      <tp>
        <v>1.7435589145711501</v>
        <stp/>
        <stp>EM_S_VAL_PBGOODWILLDEDUCTED</stp>
        <stp>2</stp>
        <stp>601608</stp>
        <stp>12/31/2018</stp>
        <tr r="N692" s="1"/>
      </tp>
      <tp>
        <v>1.73818916603135</v>
        <stp/>
        <stp>EM_S_VAL_PBGOODWILLDEDUCTED</stp>
        <stp>2</stp>
        <stp>601601</stp>
        <stp>12/31/2018</stp>
        <tr r="N836" s="1"/>
      </tp>
      <tp>
        <v>1.1779361699217299</v>
        <stp/>
        <stp>EM_S_VAL_PBGOODWILLDEDUCTED</stp>
        <stp>2</stp>
        <stp>601600</stp>
        <stp>12/31/2018</stp>
        <tr r="N2346" s="1"/>
      </tp>
      <tp>
        <v>1.7462419375701399</v>
        <stp/>
        <stp>EM_S_VAL_PBGOODWILLDEDUCTED</stp>
        <stp>2</stp>
        <stp>601607</stp>
        <stp>12/31/2018</stp>
        <tr r="N1979" s="1"/>
      </tp>
      <tp>
        <v>3.3950712960190099</v>
        <stp/>
        <stp>EM_S_VAL_PBGOODWILLDEDUCTED</stp>
        <stp>2</stp>
        <stp>601619</stp>
        <stp>12/31/2018</stp>
        <tr r="N3015" s="1"/>
      </tp>
      <tp>
        <v>0.94981368263328303</v>
        <stp/>
        <stp>EM_S_VAL_PBGOODWILLDEDUCTED</stp>
        <stp>2</stp>
        <stp>601618</stp>
        <stp>12/31/2018</stp>
        <tr r="N2782" s="1"/>
      </tp>
      <tp>
        <v>1.95716462508825</v>
        <stp/>
        <stp>EM_S_VAL_PBGOODWILLDEDUCTED</stp>
        <stp>2</stp>
        <stp>601611</stp>
        <stp>12/31/2018</stp>
        <tr r="N1819" s="1"/>
      </tp>
      <tp>
        <v>1.20250344684356</v>
        <stp/>
        <stp>EM_S_VAL_PBGOODWILLDEDUCTED</stp>
        <stp>2</stp>
        <stp>601616</stp>
        <stp>12/31/2018</stp>
        <tr r="N2516" s="1"/>
      </tp>
      <tp>
        <v>1.8556163788717901</v>
        <stp/>
        <stp>EM_S_VAL_PBGOODWILLDEDUCTED</stp>
        <stp>2</stp>
        <stp>601628</stp>
        <stp>12/31/2018</stp>
        <tr r="N308" s="1"/>
      </tp>
      <tp>
        <v>0.97319646682931404</v>
        <stp/>
        <stp>EM_S_VAL_PBGOODWILLDEDUCTED</stp>
        <stp>2</stp>
        <stp>601633</stp>
        <stp>12/31/2018</stp>
        <tr r="N446" s="1"/>
      </tp>
      <tp>
        <v>1.3494974133055699</v>
        <stp/>
        <stp>EM_S_VAL_PBGOODWILLDEDUCTED</stp>
        <stp>2</stp>
        <stp>601636</stp>
        <stp>12/31/2018</stp>
        <tr r="N666" s="1"/>
      </tp>
      <tp>
        <v>0.93984382460355098</v>
        <stp/>
        <stp>EM_S_VAL_PBGOODWILLDEDUCTED</stp>
        <stp>2</stp>
        <stp>601669</stp>
        <stp>12/31/2018</stp>
        <tr r="N2887" s="1"/>
      </tp>
      <tp>
        <v>1.0942840806245799</v>
        <stp/>
        <stp>EM_S_VAL_PBGOODWILLDEDUCTED</stp>
        <stp>2</stp>
        <stp>601668</stp>
        <stp>12/31/2018</stp>
        <tr r="N2444" s="1"/>
      </tp>
      <tp>
        <v>0.645859943663742</v>
        <stp/>
        <stp>EM_S_VAL_PBGOODWILLDEDUCTED</stp>
        <stp>2</stp>
        <stp>601666</stp>
        <stp>12/31/2018</stp>
        <tr r="N1590" s="1"/>
      </tp>
      <tp>
        <v>1.0736476730634901</v>
        <stp/>
        <stp>EM_S_VAL_PBGOODWILLDEDUCTED</stp>
        <stp>2</stp>
        <stp>601678</stp>
        <stp>12/31/2018</stp>
        <tr r="N1202" s="1"/>
      </tp>
      <tp>
        <v>0.87473292065822905</v>
        <stp/>
        <stp>EM_S_VAL_PBGOODWILLDEDUCTED</stp>
        <stp>2</stp>
        <stp>601677</stp>
        <stp>12/31/2018</stp>
        <tr r="N925" s="1"/>
      </tp>
      <tp>
        <v>0.92321412237523504</v>
        <stp/>
        <stp>EM_S_VAL_PBGOODWILLDEDUCTED</stp>
        <stp>2</stp>
        <stp>601188</stp>
        <stp>12/31/2018</stp>
        <tr r="N2146" s="1"/>
      </tp>
      <tp>
        <v>0.98888805492810805</v>
        <stp/>
        <stp>EM_S_VAL_PBGOODWILLDEDUCTED</stp>
        <stp>2</stp>
        <stp>601186</stp>
        <stp>12/31/2018</stp>
        <tr r="N2665" s="1"/>
      </tp>
      <tp>
        <v>1.2182572692769</v>
        <stp/>
        <stp>EM_S_VAL_PBGOODWILLDEDUCTED</stp>
        <stp>2</stp>
        <stp>601199</stp>
        <stp>12/31/2018</stp>
        <tr r="N1924" s="1"/>
      </tp>
      <tp>
        <v>1.34379670133681</v>
        <stp/>
        <stp>EM_S_VAL_PBGOODWILLDEDUCTED</stp>
        <stp>2</stp>
        <stp>601198</stp>
        <stp>12/31/2018</stp>
        <tr r="N769" s="1"/>
      </tp>
      <tp>
        <v>1.3520537321472099</v>
        <stp/>
        <stp>EM_S_VAL_PBGOODWILLDEDUCTED</stp>
        <stp>2</stp>
        <stp>601108</stp>
        <stp>12/31/2018</stp>
        <tr r="N471" s="1"/>
      </tp>
      <tp>
        <v>0.89599668011210298</v>
        <stp/>
        <stp>EM_S_VAL_PBGOODWILLDEDUCTED</stp>
        <stp>2</stp>
        <stp>601101</stp>
        <stp>12/31/2018</stp>
        <tr r="N3038" s="1"/>
      </tp>
      <tp>
        <v>3.84303423154793</v>
        <stp/>
        <stp>EM_S_VAL_PBGOODWILLDEDUCTED</stp>
        <stp>2</stp>
        <stp>601100</stp>
        <stp>12/31/2018</stp>
        <tr r="N79" s="1"/>
      </tp>
      <tp>
        <v>0.73435951594892701</v>
        <stp/>
        <stp>EM_S_VAL_PBGOODWILLDEDUCTED</stp>
        <stp>2</stp>
        <stp>601107</stp>
        <stp>12/31/2018</stp>
        <tr r="N1498" s="1"/>
      </tp>
      <tp>
        <v>1.6755192987016101</v>
        <stp/>
        <stp>EM_S_VAL_PBGOODWILLDEDUCTED</stp>
        <stp>2</stp>
        <stp>601106</stp>
        <stp>12/31/2018</stp>
        <tr r="N1844" s="1"/>
      </tp>
      <tp>
        <v>1.96595537737889</v>
        <stp/>
        <stp>EM_S_VAL_PBGOODWILLDEDUCTED</stp>
        <stp>2</stp>
        <stp>601118</stp>
        <stp>12/31/2018</stp>
        <tr r="N1724" s="1"/>
      </tp>
      <tp>
        <v>2.2093331806442902</v>
        <stp/>
        <stp>EM_S_VAL_PBGOODWILLDEDUCTED</stp>
        <stp>2</stp>
        <stp>601113</stp>
        <stp>12/31/2018</stp>
        <tr r="N3390" s="1"/>
      </tp>
      <tp>
        <v>1.2046976893818999</v>
        <stp/>
        <stp>EM_S_VAL_PBGOODWILLDEDUCTED</stp>
        <stp>2</stp>
        <stp>601111</stp>
        <stp>12/31/2018</stp>
        <tr r="N1102" s="1"/>
      </tp>
      <tp>
        <v>0.885859104197391</v>
        <stp/>
        <stp>EM_S_VAL_PBGOODWILLDEDUCTED</stp>
        <stp>2</stp>
        <stp>601117</stp>
        <stp>12/31/2018</stp>
        <tr r="N1279" s="1"/>
      </tp>
      <tp>
        <v>1.89255360030734</v>
        <stp/>
        <stp>EM_S_VAL_PBGOODWILLDEDUCTED</stp>
        <stp>2</stp>
        <stp>601116</stp>
        <stp>12/31/2018</stp>
        <tr r="N1294" s="1"/>
      </tp>
      <tp>
        <v>1.1154325075104901</v>
        <stp/>
        <stp>EM_S_VAL_PBGOODWILLDEDUCTED</stp>
        <stp>2</stp>
        <stp>601128</stp>
        <stp>12/31/2018</stp>
        <tr r="N693" s="1"/>
      </tp>
      <tp>
        <v>3.3720103001973598</v>
        <stp/>
        <stp>EM_S_VAL_PBGOODWILLDEDUCTED</stp>
        <stp>2</stp>
        <stp>601127</stp>
        <stp>12/31/2018</stp>
        <tr r="N3258" s="1"/>
      </tp>
      <tp>
        <v>1.05388323074871</v>
        <stp/>
        <stp>EM_S_VAL_PBGOODWILLDEDUCTED</stp>
        <stp>2</stp>
        <stp>601126</stp>
        <stp>12/31/2018</stp>
        <tr r="N1793" s="1"/>
      </tp>
      <tp>
        <v>1.8045979026373</v>
        <stp/>
        <stp>EM_S_VAL_PBGOODWILLDEDUCTED</stp>
        <stp>2</stp>
        <stp>601139</stp>
        <stp>12/31/2018</stp>
        <tr r="N649" s="1"/>
      </tp>
      <tp>
        <v>3.1574754161281202</v>
        <stp/>
        <stp>EM_S_VAL_PBGOODWILLDEDUCTED</stp>
        <stp>2</stp>
        <stp>601138</stp>
        <stp>12/31/2018</stp>
        <tr r="N537" s="1"/>
      </tp>
      <tp>
        <v>1.1326287749002399</v>
        <stp/>
        <stp>EM_S_VAL_PBGOODWILLDEDUCTED</stp>
        <stp>2</stp>
        <stp>601137</stp>
        <stp>12/31/2018</stp>
        <tr r="N356" s="1"/>
      </tp>
      <tp>
        <v>1.88740060509782</v>
        <stp/>
        <stp>EM_S_VAL_PBGOODWILLDEDUCTED</stp>
        <stp>2</stp>
        <stp>601158</stp>
        <stp>12/31/2018</stp>
        <tr r="N2337" s="1"/>
      </tp>
      <tp>
        <v>1.8126760146092999</v>
        <stp/>
        <stp>EM_S_VAL_PBGOODWILLDEDUCTED</stp>
        <stp>2</stp>
        <stp>601155</stp>
        <stp>12/31/2018</stp>
        <tr r="N397" s="1"/>
      </tp>
      <tp>
        <v>0.67930142069377897</v>
        <stp/>
        <stp>EM_S_VAL_PBGOODWILLDEDUCTED</stp>
        <stp>2</stp>
        <stp>601169</stp>
        <stp>12/31/2018</stp>
        <tr r="N2223" s="1"/>
      </tp>
      <tp>
        <v>1.58264020373118</v>
        <stp/>
        <stp>EM_S_VAL_PBGOODWILLDEDUCTED</stp>
        <stp>2</stp>
        <stp>601168</stp>
        <stp>12/31/2018</stp>
        <tr r="N1406" s="1"/>
      </tp>
      <tp>
        <v>0.95091577868468902</v>
        <stp/>
        <stp>EM_S_VAL_PBGOODWILLDEDUCTED</stp>
        <stp>2</stp>
        <stp>601163</stp>
        <stp>12/31/2018</stp>
        <tr r="N828" s="1"/>
      </tp>
      <tp>
        <v>0.70615497460829602</v>
        <stp/>
        <stp>EM_S_VAL_PBGOODWILLDEDUCTED</stp>
        <stp>2</stp>
        <stp>601166</stp>
        <stp>12/31/2018</stp>
        <tr r="N877" s="1"/>
      </tp>
      <tp>
        <v>0.87704304904657804</v>
        <stp/>
        <stp>EM_S_VAL_PBGOODWILLDEDUCTED</stp>
        <stp>2</stp>
        <stp>601179</stp>
        <stp>12/31/2018</stp>
        <tr r="N1813" s="1"/>
      </tp>
      <tp>
        <v>2.1975678295185599</v>
        <stp/>
        <stp>EM_S_VAL_PBGOODWILLDEDUCTED</stp>
        <stp>2</stp>
        <stp>601177</stp>
        <stp>12/31/2018</stp>
        <tr r="N2162" s="1"/>
      </tp>
      <tp>
        <v>1.0898654923582001</v>
        <stp/>
        <stp>EM_S_VAL_PBGOODWILLDEDUCTED</stp>
        <stp>2</stp>
        <stp>601088</stp>
        <stp>12/31/2018</stp>
        <tr r="N2181" s="1"/>
      </tp>
      <tp>
        <v>1.8905583286244201</v>
        <stp/>
        <stp>EM_S_VAL_PBGOODWILLDEDUCTED</stp>
        <stp>2</stp>
        <stp>601086</stp>
        <stp>12/31/2018</stp>
        <tr r="N2246" s="1"/>
      </tp>
      <tp>
        <v>1.64940285418951</v>
        <stp/>
        <stp>EM_S_VAL_PBGOODWILLDEDUCTED</stp>
        <stp>2</stp>
        <stp>601099</stp>
        <stp>12/31/2018</stp>
        <tr r="N526" s="1"/>
      </tp>
      <tp>
        <v>1.6737105705203501</v>
        <stp/>
        <stp>EM_S_VAL_PBGOODWILLDEDUCTED</stp>
        <stp>2</stp>
        <stp>601098</stp>
        <stp>12/31/2018</stp>
        <tr r="N2563" s="1"/>
      </tp>
      <tp>
        <v>0.80630938001582897</v>
        <stp/>
        <stp>EM_S_VAL_PBGOODWILLDEDUCTED</stp>
        <stp>2</stp>
        <stp>601009</stp>
        <stp>12/31/2018</stp>
        <tr r="N813" s="1"/>
      </tp>
      <tp>
        <v>0.97280870879593995</v>
        <stp/>
        <stp>EM_S_VAL_PBGOODWILLDEDUCTED</stp>
        <stp>2</stp>
        <stp>601008</stp>
        <stp>12/31/2018</stp>
        <tr r="N1067" s="1"/>
      </tp>
      <tp>
        <v>1.5992209791610801</v>
        <stp/>
        <stp>EM_S_VAL_PBGOODWILLDEDUCTED</stp>
        <stp>2</stp>
        <stp>601003</stp>
        <stp>12/31/2018</stp>
        <tr r="N2925" s="1"/>
      </tp>
      <tp>
        <v>1.65166643208794</v>
        <stp/>
        <stp>EM_S_VAL_PBGOODWILLDEDUCTED</stp>
        <stp>2</stp>
        <stp>601002</stp>
        <stp>12/31/2018</stp>
        <tr r="N1815" s="1"/>
      </tp>
      <tp>
        <v>1.2968764491334801</v>
        <stp/>
        <stp>EM_S_VAL_PBGOODWILLDEDUCTED</stp>
        <stp>2</stp>
        <stp>601001</stp>
        <stp>12/31/2018</stp>
        <tr r="N2169" s="1"/>
      </tp>
      <tp>
        <v>0.895138517876513</v>
        <stp/>
        <stp>EM_S_VAL_PBGOODWILLDEDUCTED</stp>
        <stp>2</stp>
        <stp>601000</stp>
        <stp>12/31/2018</stp>
        <tr r="N1833" s="1"/>
      </tp>
      <tp>
        <v>1.6446406914041001</v>
        <stp/>
        <stp>EM_S_VAL_PBGOODWILLDEDUCTED</stp>
        <stp>2</stp>
        <stp>601007</stp>
        <stp>12/31/2018</stp>
        <tr r="N1482" s="1"/>
      </tp>
      <tp>
        <v>1.1489129068249799</v>
        <stp/>
        <stp>EM_S_VAL_PBGOODWILLDEDUCTED</stp>
        <stp>2</stp>
        <stp>601006</stp>
        <stp>12/31/2018</stp>
        <tr r="N2343" s="1"/>
      </tp>
      <tp>
        <v>0.93364996604352601</v>
        <stp/>
        <stp>EM_S_VAL_PBGOODWILLDEDUCTED</stp>
        <stp>2</stp>
        <stp>601005</stp>
        <stp>12/31/2018</stp>
        <tr r="N2547" s="1"/>
      </tp>
      <tp>
        <v>1.6909560661226499</v>
        <stp/>
        <stp>EM_S_VAL_PBGOODWILLDEDUCTED</stp>
        <stp>2</stp>
        <stp>601019</stp>
        <stp>12/31/2018</stp>
        <tr r="N2814" s="1"/>
      </tp>
      <tp>
        <v>1.1515960390334301</v>
        <stp/>
        <stp>EM_S_VAL_PBGOODWILLDEDUCTED</stp>
        <stp>2</stp>
        <stp>601018</stp>
        <stp>12/31/2018</stp>
        <tr r="N1529" s="1"/>
      </tp>
      <tp>
        <v>3.0781662959524798</v>
        <stp/>
        <stp>EM_S_VAL_PBGOODWILLDEDUCTED</stp>
        <stp>2</stp>
        <stp>601012</stp>
        <stp>12/31/2018</stp>
        <tr r="N682" s="1"/>
      </tp>
      <tp>
        <v>1.47895362778606</v>
        <stp/>
        <stp>EM_S_VAL_PBGOODWILLDEDUCTED</stp>
        <stp>2</stp>
        <stp>601011</stp>
        <stp>12/31/2018</stp>
        <tr r="N3003" s="1"/>
      </tp>
      <tp>
        <v>1.1884932356685101</v>
        <stp/>
        <stp>EM_S_VAL_PBGOODWILLDEDUCTED</stp>
        <stp>2</stp>
        <stp>601010</stp>
        <stp>12/31/2018</stp>
        <tr r="N1981" s="1"/>
      </tp>
      <tp>
        <v>1.38397222196653</v>
        <stp/>
        <stp>EM_S_VAL_PBGOODWILLDEDUCTED</stp>
        <stp>2</stp>
        <stp>601016</stp>
        <stp>12/31/2018</stp>
        <tr r="N2133" s="1"/>
      </tp>
      <tp>
        <v>1.16765596720774</v>
        <stp/>
        <stp>EM_S_VAL_PBGOODWILLDEDUCTED</stp>
        <stp>2</stp>
        <stp>601015</stp>
        <stp>12/31/2018</stp>
        <tr r="N3317" s="1"/>
      </tp>
      <tp>
        <v>2.58951608499653</v>
        <stp/>
        <stp>EM_S_VAL_PBGOODWILLDEDUCTED</stp>
        <stp>2</stp>
        <stp>601028</stp>
        <stp>12/31/2018</stp>
        <tr r="N1709" s="1"/>
      </tp>
      <tp>
        <v>2.1889096039845799</v>
        <stp/>
        <stp>EM_S_VAL_PBGOODWILLDEDUCTED</stp>
        <stp>2</stp>
        <stp>601021</stp>
        <stp>12/31/2018</stp>
        <tr r="N777" s="1"/>
      </tp>
      <tp>
        <v>2.2405313228135699</v>
        <stp/>
        <stp>EM_S_VAL_PBGOODWILLDEDUCTED</stp>
        <stp>2</stp>
        <stp>601020</stp>
        <stp>12/31/2018</stp>
        <tr r="N1826" s="1"/>
      </tp>
      <tp>
        <v>1.1956908798488499</v>
        <stp/>
        <stp>EM_S_VAL_PBGOODWILLDEDUCTED</stp>
        <stp>2</stp>
        <stp>601038</stp>
        <stp>12/31/2018</stp>
        <tr r="N646" s="1"/>
      </tp>
      <tp>
        <v>1.03723512998217</v>
        <stp/>
        <stp>EM_S_VAL_PBGOODWILLDEDUCTED</stp>
        <stp>2</stp>
        <stp>601058</stp>
        <stp>12/31/2018</stp>
        <tr r="N167" s="1"/>
      </tp>
      <tp>
        <v>5.6254731837380803</v>
        <stp/>
        <stp>EM_S_VAL_PBGOODWILLDEDUCTED</stp>
        <stp>2</stp>
        <stp>601069</stp>
        <stp>12/31/2018</stp>
        <tr r="N2244" s="1"/>
      </tp>
      <tp>
        <v>1.56421612837584</v>
        <stp/>
        <stp>EM_S_VAL_PBGOODWILLDEDUCTED</stp>
        <stp>2</stp>
        <stp>601066</stp>
        <stp>12/31/2018</stp>
        <tr r="N31" s="1"/>
      </tp>
      <tp>
        <v>1.5302629118073101</v>
        <stp/>
        <stp>EM_S_VAL_PBGOODWILLDEDUCTED</stp>
        <stp>2</stp>
        <stp>601388</stp>
        <stp>12/31/2018</stp>
        <tr r="N2423" s="1"/>
      </tp>
      <tp>
        <v>0.84020994228962798</v>
        <stp/>
        <stp>EM_S_VAL_PBGOODWILLDEDUCTED</stp>
        <stp>2</stp>
        <stp>601398</stp>
        <stp>12/31/2018</stp>
        <tr r="N1662" s="1"/>
      </tp>
      <tp>
        <v>1.00458619373747</v>
        <stp/>
        <stp>EM_S_VAL_PBGOODWILLDEDUCTED</stp>
        <stp>2</stp>
        <stp>601390</stp>
        <stp>12/31/2018</stp>
        <tr r="N2944" s="1"/>
      </tp>
      <tp>
        <v>1.9133292967398501</v>
        <stp/>
        <stp>EM_S_VAL_PBGOODWILLDEDUCTED</stp>
        <stp>2</stp>
        <stp>601318</stp>
        <stp>12/31/2018</stp>
        <tr r="N516" s="1"/>
      </tp>
      <tp>
        <v>1.4034377872572299</v>
        <stp/>
        <stp>EM_S_VAL_PBGOODWILLDEDUCTED</stp>
        <stp>2</stp>
        <stp>601311</stp>
        <stp>12/31/2018</stp>
        <tr r="N1920" s="1"/>
      </tp>
      <tp>
        <v>0.67339335766198605</v>
        <stp/>
        <stp>EM_S_VAL_PBGOODWILLDEDUCTED</stp>
        <stp>2</stp>
        <stp>601328</stp>
        <stp>12/31/2018</stp>
        <tr r="N2457" s="1"/>
      </tp>
      <tp>
        <v>1.26264906484526</v>
        <stp/>
        <stp>EM_S_VAL_PBGOODWILLDEDUCTED</stp>
        <stp>2</stp>
        <stp>601326</stp>
        <stp>12/31/2018</stp>
        <tr r="N2259" s="1"/>
      </tp>
      <tp>
        <v>1.0725972034217099</v>
        <stp/>
        <stp>EM_S_VAL_PBGOODWILLDEDUCTED</stp>
        <stp>2</stp>
        <stp>601339</stp>
        <stp>12/31/2018</stp>
        <tr r="N3196" s="1"/>
      </tp>
      <tp>
        <v>0.78344969207895299</v>
        <stp/>
        <stp>EM_S_VAL_PBGOODWILLDEDUCTED</stp>
        <stp>2</stp>
        <stp>601333</stp>
        <stp>12/31/2018</stp>
        <tr r="N2471" s="1"/>
      </tp>
      <tp>
        <v>5.1475634970086004</v>
        <stp/>
        <stp>EM_S_VAL_PBGOODWILLDEDUCTED</stp>
        <stp>2</stp>
        <stp>601330</stp>
        <stp>12/31/2018</stp>
        <tr r="N2943" s="1"/>
      </tp>
      <tp>
        <v>2.0090818056017201</v>
        <stp/>
        <stp>EM_S_VAL_PBGOODWILLDEDUCTED</stp>
        <stp>2</stp>
        <stp>601336</stp>
        <stp>12/31/2018</stp>
        <tr r="N1427" s="1"/>
      </tp>
      <tp>
        <v>1.61655897855988</v>
        <stp/>
        <stp>EM_S_VAL_PBGOODWILLDEDUCTED</stp>
        <stp>2</stp>
        <stp>601369</stp>
        <stp>12/31/2018</stp>
        <tr r="N1777" s="1"/>
      </tp>
      <tp>
        <v>1.3138900089746599</v>
        <stp/>
        <stp>EM_S_VAL_PBGOODWILLDEDUCTED</stp>
        <stp>2</stp>
        <stp>601368</stp>
        <stp>12/31/2018</stp>
        <tr r="N2204" s="1"/>
      </tp>
      <tp>
        <v>6.0043467233566004</v>
        <stp/>
        <stp>EM_S_VAL_PBGOODWILLDEDUCTED</stp>
        <stp>2</stp>
        <stp>601360</stp>
        <stp>12/31/2018</stp>
        <tr r="N1479" s="1"/>
      </tp>
      <tp>
        <v>1.22056977094562</v>
        <stp/>
        <stp>EM_S_VAL_PBGOODWILLDEDUCTED</stp>
        <stp>2</stp>
        <stp>601366</stp>
        <stp>12/31/2018</stp>
        <tr r="N2886" s="1"/>
      </tp>
      <tp>
        <v>0.95627921022615903</v>
        <stp/>
        <stp>EM_S_VAL_PBGOODWILLDEDUCTED</stp>
        <stp>2</stp>
        <stp>601377</stp>
        <stp>12/31/2018</stp>
        <tr r="N499" s="1"/>
      </tp>
      <tp>
        <v>1.6600340941310201</v>
        <stp/>
        <stp>EM_S_VAL_PBGOODWILLDEDUCTED</stp>
        <stp>2</stp>
        <stp>601375</stp>
        <stp>12/31/2018</stp>
        <tr r="N1087" s="1"/>
      </tp>
      <tp>
        <v>0.79290611784590903</v>
        <stp/>
        <stp>EM_S_VAL_PBGOODWILLDEDUCTED</stp>
        <stp>2</stp>
        <stp>601288</stp>
        <stp>12/31/2018</stp>
        <tr r="N2090" s="1"/>
      </tp>
      <tp>
        <v>7.3794283482924001</v>
        <stp/>
        <stp>EM_S_VAL_PBGOODWILLDEDUCTED</stp>
        <stp>2</stp>
        <stp>601299</stp>
        <stp>12/31/2018</stp>
        <tr r="N2336" s="1"/>
      </tp>
      <tp>
        <v>0.98719840968883599</v>
        <stp/>
        <stp>EM_S_VAL_PBGOODWILLDEDUCTED</stp>
        <stp>2</stp>
        <stp>601208</stp>
        <stp>12/31/2018</stp>
        <tr r="N874" s="1"/>
      </tp>
      <tp>
        <v>1.5810535928331599</v>
        <stp/>
        <stp>EM_S_VAL_PBGOODWILLDEDUCTED</stp>
        <stp>2</stp>
        <stp>601200</stp>
        <stp>12/31/2018</stp>
        <tr r="N2980" s="1"/>
      </tp>
      <tp>
        <v>0</v>
        <stp/>
        <stp>EM_S_VAL_PBGOODWILLDEDUCTED</stp>
        <stp>2</stp>
        <stp>601206</stp>
        <stp>12/31/2018</stp>
        <tr r="N13" s="1"/>
      </tp>
      <tp>
        <v>0.906656457196657</v>
        <stp/>
        <stp>EM_S_VAL_PBGOODWILLDEDUCTED</stp>
        <stp>2</stp>
        <stp>601218</stp>
        <stp>12/31/2018</stp>
        <tr r="N1106" s="1"/>
      </tp>
      <tp>
        <v>2.3241346076040101</v>
        <stp/>
        <stp>EM_S_VAL_PBGOODWILLDEDUCTED</stp>
        <stp>2</stp>
        <stp>601212</stp>
        <stp>12/31/2018</stp>
        <tr r="N1088" s="1"/>
      </tp>
      <tp>
        <v>1.19472848462541</v>
        <stp/>
        <stp>EM_S_VAL_PBGOODWILLDEDUCTED</stp>
        <stp>2</stp>
        <stp>601211</stp>
        <stp>12/31/2018</stp>
        <tr r="N1188" s="1"/>
      </tp>
      <tp>
        <v>1.3482088687153899</v>
        <stp/>
        <stp>EM_S_VAL_PBGOODWILLDEDUCTED</stp>
        <stp>2</stp>
        <stp>601216</stp>
        <stp>12/31/2018</stp>
        <tr r="N1321" s="1"/>
      </tp>
      <tp>
        <v>0.86531251888674099</v>
        <stp/>
        <stp>EM_S_VAL_PBGOODWILLDEDUCTED</stp>
        <stp>2</stp>
        <stp>601229</stp>
        <stp>12/31/2018</stp>
        <tr r="N2929" s="1"/>
      </tp>
      <tp>
        <v>1.9819960272135599</v>
        <stp/>
        <stp>EM_S_VAL_PBGOODWILLDEDUCTED</stp>
        <stp>2</stp>
        <stp>601228</stp>
        <stp>12/31/2018</stp>
        <tr r="N2498" s="1"/>
      </tp>
      <tp>
        <v>0.92057528603852601</v>
        <stp/>
        <stp>EM_S_VAL_PBGOODWILLDEDUCTED</stp>
        <stp>2</stp>
        <stp>601222</stp>
        <stp>12/31/2018</stp>
        <tr r="N2421" s="1"/>
      </tp>
      <tp>
        <v>1.19676308778051</v>
        <stp/>
        <stp>EM_S_VAL_PBGOODWILLDEDUCTED</stp>
        <stp>2</stp>
        <stp>601226</stp>
        <stp>12/31/2018</stp>
        <tr r="N1486" s="1"/>
      </tp>
      <tp>
        <v>1.4687394214107601</v>
        <stp/>
        <stp>EM_S_VAL_PBGOODWILLDEDUCTED</stp>
        <stp>2</stp>
        <stp>601225</stp>
        <stp>12/31/2018</stp>
        <tr r="N1210" s="1"/>
      </tp>
      <tp>
        <v>1.3815317354366099</v>
        <stp/>
        <stp>EM_S_VAL_PBGOODWILLDEDUCTED</stp>
        <stp>2</stp>
        <stp>601238</stp>
        <stp>12/31/2018</stp>
        <tr r="N1583" s="1"/>
      </tp>
      <tp>
        <v>1.16100925855841</v>
        <stp/>
        <stp>EM_S_VAL_PBGOODWILLDEDUCTED</stp>
        <stp>2</stp>
        <stp>601233</stp>
        <stp>12/31/2018</stp>
        <tr r="N521" s="1"/>
      </tp>
      <tp>
        <v>2.0815522205792099</v>
        <stp/>
        <stp>EM_S_VAL_PBGOODWILLDEDUCTED</stp>
        <stp>2</stp>
        <stp>601231</stp>
        <stp>12/31/2018</stp>
        <tr r="N130" s="1"/>
      </tp>
      <tp>
        <v>1.54768891519607</v>
        <stp/>
        <stp>EM_S_VAL_PBGOODWILLDEDUCTED</stp>
        <stp>2</stp>
        <stp>601258</stp>
        <stp>12/31/2018</stp>
        <tr r="N2081" s="1"/>
      </tp>
      <tp>
        <v>1.4747696075072201</v>
        <stp/>
        <stp>EM_S_VAL_PBGOODWILLDEDUCTED</stp>
        <stp>2</stp>
        <stp>601268</stp>
        <stp>12/31/2018</stp>
        <tr r="N2338" s="1"/>
      </tp>
      <tp>
        <v>1.15163127099172</v>
        <stp/>
        <stp>EM_S_VAL_PBGOODWILLDEDUCTED</stp>
        <stp>2</stp>
        <stp>601989</stp>
        <stp>12/31/2018</stp>
        <tr r="N1155" s="1"/>
      </tp>
      <tp>
        <v>0.70350030806688701</v>
        <stp/>
        <stp>EM_S_VAL_PBGOODWILLDEDUCTED</stp>
        <stp>2</stp>
        <stp>601988</stp>
        <stp>12/31/2018</stp>
        <tr r="N2120" s="1"/>
      </tp>
      <tp>
        <v>1.76910414688743</v>
        <stp/>
        <stp>EM_S_VAL_PBGOODWILLDEDUCTED</stp>
        <stp>2</stp>
        <stp>601985</stp>
        <stp>12/31/2018</stp>
        <tr r="N2565" s="1"/>
      </tp>
      <tp>
        <v>1.2769728686619399</v>
        <stp/>
        <stp>EM_S_VAL_PBGOODWILLDEDUCTED</stp>
        <stp>2</stp>
        <stp>601999</stp>
        <stp>12/31/2018</stp>
        <tr r="N1305" s="1"/>
      </tp>
      <tp>
        <v>0.66538919019697595</v>
        <stp/>
        <stp>EM_S_VAL_PBGOODWILLDEDUCTED</stp>
        <stp>2</stp>
        <stp>601998</stp>
        <stp>12/31/2018</stp>
        <tr r="N1567" s="1"/>
      </tp>
      <tp>
        <v>0.93516570424418799</v>
        <stp/>
        <stp>EM_S_VAL_PBGOODWILLDEDUCTED</stp>
        <stp>2</stp>
        <stp>601992</stp>
        <stp>12/31/2018</stp>
        <tr r="N2099" s="1"/>
      </tp>
      <tp>
        <v>1.31811876497792</v>
        <stp/>
        <stp>EM_S_VAL_PBGOODWILLDEDUCTED</stp>
        <stp>2</stp>
        <stp>601991</stp>
        <stp>12/31/2018</stp>
        <tr r="N3110" s="1"/>
      </tp>
      <tp>
        <v>2.2589199454447599</v>
        <stp/>
        <stp>EM_S_VAL_PBGOODWILLDEDUCTED</stp>
        <stp>2</stp>
        <stp>601990</stp>
        <stp>12/31/2018</stp>
        <tr r="N632" s="1"/>
      </tp>
      <tp>
        <v>0.82277954638362005</v>
        <stp/>
        <stp>EM_S_VAL_PBGOODWILLDEDUCTED</stp>
        <stp>2</stp>
        <stp>601997</stp>
        <stp>12/31/2018</stp>
        <tr r="N2788" s="1"/>
      </tp>
      <tp>
        <v>1.26592438900971</v>
        <stp/>
        <stp>EM_S_VAL_PBGOODWILLDEDUCTED</stp>
        <stp>2</stp>
        <stp>601996</stp>
        <stp>12/31/2018</stp>
        <tr r="N2340" s="1"/>
      </tp>
      <tp>
        <v>0.91149169272880204</v>
        <stp/>
        <stp>EM_S_VAL_PBGOODWILLDEDUCTED</stp>
        <stp>2</stp>
        <stp>601908</stp>
        <stp>12/31/2018</stp>
        <tr r="N2539" s="1"/>
      </tp>
      <tp>
        <v>1.31545075087802</v>
        <stp/>
        <stp>EM_S_VAL_PBGOODWILLDEDUCTED</stp>
        <stp>2</stp>
        <stp>601901</stp>
        <stp>12/31/2018</stp>
        <tr r="N408" s="1"/>
      </tp>
      <tp>
        <v>1.38161149705383</v>
        <stp/>
        <stp>EM_S_VAL_PBGOODWILLDEDUCTED</stp>
        <stp>2</stp>
        <stp>601900</stp>
        <stp>12/31/2018</stp>
        <tr r="N1823" s="1"/>
      </tp>
      <tp>
        <v>1.09124828369541</v>
        <stp/>
        <stp>EM_S_VAL_PBGOODWILLDEDUCTED</stp>
        <stp>2</stp>
        <stp>001965</stp>
        <stp>12/31/2018</stp>
        <tr r="N1808" s="1"/>
      </tp>
      <tp>
        <v>1.99552275946308</v>
        <stp/>
        <stp>EM_S_VAL_PBGOODWILLDEDUCTED</stp>
        <stp>2</stp>
        <stp>001979</stp>
        <stp>12/31/2018</stp>
        <tr r="N1473" s="1"/>
      </tp>
      <tp>
        <v>2.4136123064300401</v>
        <stp/>
        <stp>EM_S_VAL_PBGOODWILLDEDUCTED</stp>
        <stp>2</stp>
        <stp>601919</stp>
        <stp>12/31/2018</stp>
        <tr r="N933" s="1"/>
      </tp>
      <tp>
        <v>1.4706722985521801</v>
        <stp/>
        <stp>EM_S_VAL_PBGOODWILLDEDUCTED</stp>
        <stp>2</stp>
        <stp>601918</stp>
        <stp>12/31/2018</stp>
        <tr r="N1915" s="1"/>
      </tp>
      <tp>
        <v>0.95402719411738501</v>
        <stp/>
        <stp>EM_S_VAL_PBGOODWILLDEDUCTED</stp>
        <stp>2</stp>
        <stp>601929</stp>
        <stp>12/31/2018</stp>
        <tr r="N2062" s="1"/>
      </tp>
      <tp>
        <v>1.53400032716248</v>
        <stp/>
        <stp>EM_S_VAL_PBGOODWILLDEDUCTED</stp>
        <stp>2</stp>
        <stp>601928</stp>
        <stp>12/31/2018</stp>
        <tr r="N2548" s="1"/>
      </tp>
      <tp>
        <v>0.84082293367838701</v>
        <stp/>
        <stp>EM_S_VAL_PBGOODWILLDEDUCTED</stp>
        <stp>2</stp>
        <stp>601939</stp>
        <stp>12/31/2018</stp>
        <tr r="N1554" s="1"/>
      </tp>
      <tp>
        <v>3.8922215894420602</v>
        <stp/>
        <stp>EM_S_VAL_PBGOODWILLDEDUCTED</stp>
        <stp>2</stp>
        <stp>601933</stp>
        <stp>12/31/2018</stp>
        <tr r="N2507" s="1"/>
      </tp>
      <tp>
        <v>1.3136225644920001</v>
        <stp/>
        <stp>EM_S_VAL_PBGOODWILLDEDUCTED</stp>
        <stp>2</stp>
        <stp>601949</stp>
        <stp>12/31/2018</stp>
        <tr r="N681" s="1"/>
      </tp>
      <tp>
        <v>1.4664184270874601</v>
        <stp/>
        <stp>EM_S_VAL_PBGOODWILLDEDUCTED</stp>
        <stp>2</stp>
        <stp>601958</stp>
        <stp>12/31/2018</stp>
        <tr r="N799" s="1"/>
      </tp>
      <tp>
        <v>1.6345153584172301</v>
        <stp/>
        <stp>EM_S_VAL_PBGOODWILLDEDUCTED</stp>
        <stp>2</stp>
        <stp>601952</stp>
        <stp>12/31/2018</stp>
        <tr r="N2012" s="1"/>
      </tp>
      <tp>
        <v>2.1150280458256598</v>
        <stp/>
        <stp>EM_S_VAL_PBGOODWILLDEDUCTED</stp>
        <stp>2</stp>
        <stp>601969</stp>
        <stp>12/31/2018</stp>
        <tr r="N915" s="1"/>
      </tp>
      <tp>
        <v>1.6226956730792099</v>
        <stp/>
        <stp>EM_S_VAL_PBGOODWILLDEDUCTED</stp>
        <stp>2</stp>
        <stp>601968</stp>
        <stp>12/31/2018</stp>
        <tr r="N1000" s="1"/>
      </tp>
      <tp>
        <v>1.68224096960278</v>
        <stp/>
        <stp>EM_S_VAL_PBGOODWILLDEDUCTED</stp>
        <stp>2</stp>
        <stp>601966</stp>
        <stp>12/31/2018</stp>
        <tr r="N385" s="1"/>
      </tp>
      <tp>
        <v>1.5389972702379999</v>
        <stp/>
        <stp>EM_S_VAL_PBGOODWILLDEDUCTED</stp>
        <stp>2</stp>
        <stp>601965</stp>
        <stp>12/31/2018</stp>
        <tr r="N1351" s="1"/>
      </tp>
      <tp>
        <v>7.6260436352725396</v>
        <stp/>
        <stp>EM_S_VAL_PBGOODWILLDEDUCTED</stp>
        <stp>2</stp>
        <stp>601888</stp>
        <stp>12/31/2018</stp>
        <tr r="N601" s="1"/>
      </tp>
      <tp>
        <v>2.9672384105079801</v>
        <stp/>
        <stp>EM_S_VAL_PBGOODWILLDEDUCTED</stp>
        <stp>2</stp>
        <stp>601882</stp>
        <stp>12/31/2018</stp>
        <tr r="N2144" s="1"/>
      </tp>
      <tp>
        <v>1.05135882052379</v>
        <stp/>
        <stp>EM_S_VAL_PBGOODWILLDEDUCTED</stp>
        <stp>2</stp>
        <stp>601881</stp>
        <stp>12/31/2018</stp>
        <tr r="N338" s="1"/>
      </tp>
      <tp>
        <v>1.30669257800395</v>
        <stp/>
        <stp>EM_S_VAL_PBGOODWILLDEDUCTED</stp>
        <stp>2</stp>
        <stp>601880</stp>
        <stp>12/31/2018</stp>
        <tr r="N1781" s="1"/>
      </tp>
      <tp>
        <v>1.33081869093572</v>
        <stp/>
        <stp>EM_S_VAL_PBGOODWILLDEDUCTED</stp>
        <stp>2</stp>
        <stp>601886</stp>
        <stp>12/31/2018</stp>
        <tr r="N2479" s="1"/>
      </tp>
      <tp>
        <v>2.1880971163921501</v>
        <stp/>
        <stp>EM_S_VAL_PBGOODWILLDEDUCTED</stp>
        <stp>2</stp>
        <stp>601899</stp>
        <stp>12/31/2018</stp>
        <tr r="N838" s="1"/>
      </tp>
      <tp>
        <v>0.66915227120861298</v>
        <stp/>
        <stp>EM_S_VAL_PBGOODWILLDEDUCTED</stp>
        <stp>2</stp>
        <stp>601898</stp>
        <stp>12/31/2018</stp>
        <tr r="N1860" s="1"/>
      </tp>
      <tp>
        <v>1.16232617886298</v>
        <stp/>
        <stp>EM_S_VAL_PBGOODWILLDEDUCTED</stp>
        <stp>2</stp>
        <stp>601890</stp>
        <stp>12/31/2018</stp>
        <tr r="N410" s="1"/>
      </tp>
      <tp>
        <v>0.61640295235904496</v>
        <stp/>
        <stp>EM_S_VAL_PBGOODWILLDEDUCTED</stp>
        <stp>2</stp>
        <stp>001896</stp>
        <stp>12/31/2018</stp>
        <tr r="N3602" s="1"/>
      </tp>
      <tp>
        <v>1.18011995822964</v>
        <stp/>
        <stp>EM_S_VAL_PBGOODWILLDEDUCTED</stp>
        <stp>2</stp>
        <stp>601808</stp>
        <stp>12/31/2018</stp>
        <tr r="N119" s="1"/>
      </tp>
      <tp>
        <v>1.3440396515964601</v>
        <stp/>
        <stp>EM_S_VAL_PBGOODWILLDEDUCTED</stp>
        <stp>2</stp>
        <stp>601801</stp>
        <stp>12/31/2018</stp>
        <tr r="N3010" s="1"/>
      </tp>
      <tp>
        <v>1.0867369944657199</v>
        <stp/>
        <stp>EM_S_VAL_PBGOODWILLDEDUCTED</stp>
        <stp>2</stp>
        <stp>601800</stp>
        <stp>12/31/2018</stp>
        <tr r="N3086" s="1"/>
      </tp>
      <tp>
        <v>0.68120295690198895</v>
        <stp/>
        <stp>EM_S_VAL_PBGOODWILLDEDUCTED</stp>
        <stp>2</stp>
        <stp>601818</stp>
        <stp>12/31/2018</stp>
        <tr r="N1342" s="1"/>
      </tp>
      <tp>
        <v>1.4394859472391801</v>
        <stp/>
        <stp>EM_S_VAL_PBGOODWILLDEDUCTED</stp>
        <stp>2</stp>
        <stp>601811</stp>
        <stp>12/31/2018</stp>
        <tr r="N728" s="1"/>
      </tp>
      <tp>
        <v>0.93991317802629804</v>
        <stp/>
        <stp>EM_S_VAL_PBGOODWILLDEDUCTED</stp>
        <stp>2</stp>
        <stp>601828</stp>
        <stp>12/31/2018</stp>
        <tr r="N2154" s="1"/>
      </tp>
      <tp>
        <v>0.93202376422797795</v>
        <stp/>
        <stp>EM_S_VAL_PBGOODWILLDEDUCTED</stp>
        <stp>2</stp>
        <stp>601838</stp>
        <stp>12/31/2018</stp>
        <tr r="N1663" s="1"/>
      </tp>
      <tp>
        <v>1.95575615847512</v>
        <stp/>
        <stp>EM_S_VAL_PBGOODWILLDEDUCTED</stp>
        <stp>2</stp>
        <stp>601858</stp>
        <stp>12/31/2018</stp>
        <tr r="N1108" s="1"/>
      </tp>
      <tp>
        <v>1.12563731722233</v>
        <stp/>
        <stp>EM_S_VAL_PBGOODWILLDEDUCTED</stp>
        <stp>2</stp>
        <stp>601857</stp>
        <stp>12/31/2018</stp>
        <tr r="N3048" s="1"/>
      </tp>
      <tp>
        <v>1.66067943231781</v>
        <stp/>
        <stp>EM_S_VAL_PBGOODWILLDEDUCTED</stp>
        <stp>2</stp>
        <stp>601866</stp>
        <stp>12/31/2018</stp>
        <tr r="N1597" s="1"/>
      </tp>
      <tp>
        <v>1.77363162696071</v>
        <stp/>
        <stp>EM_S_VAL_PBGOODWILLDEDUCTED</stp>
        <stp>2</stp>
        <stp>601878</stp>
        <stp>12/31/2018</stp>
        <tr r="N466" s="1"/>
      </tp>
      <tp>
        <v>1.1070857788473301</v>
        <stp/>
        <stp>EM_S_VAL_PBGOODWILLDEDUCTED</stp>
        <stp>2</stp>
        <stp>601872</stp>
        <stp>12/31/2018</stp>
        <tr r="N137" s="1"/>
      </tp>
      <tp>
        <v>2.41221690225463</v>
        <stp/>
        <stp>EM_S_VAL_PBGOODWILLDEDUCTED</stp>
        <stp>2</stp>
        <stp>601877</stp>
        <stp>12/31/2018</stp>
        <tr r="N1679" s="1"/>
      </tp>
      <tp>
        <v>2.0392517354177002</v>
        <stp/>
        <stp>EM_S_VAL_PBGOODWILLDEDUCTED</stp>
        <stp>2</stp>
        <stp>002589</stp>
        <stp>12/31/2018</stp>
        <tr r="N1768" s="1"/>
      </tp>
      <tp>
        <v>1.0476780453541299</v>
        <stp/>
        <stp>EM_S_VAL_PBGOODWILLDEDUCTED</stp>
        <stp>2</stp>
        <stp>002588</stp>
        <stp>12/31/2018</stp>
        <tr r="N2389" s="1"/>
      </tp>
      <tp>
        <v>2.4762127374873901</v>
        <stp/>
        <stp>EM_S_VAL_PBGOODWILLDEDUCTED</stp>
        <stp>2</stp>
        <stp>002583</stp>
        <stp>12/31/2018</stp>
        <tr r="N1954" s="1"/>
      </tp>
      <tp>
        <v>1.5268202838182601</v>
        <stp/>
        <stp>EM_S_VAL_PBGOODWILLDEDUCTED</stp>
        <stp>2</stp>
        <stp>002582</stp>
        <stp>12/31/2018</stp>
        <tr r="N1633" s="1"/>
      </tp>
      <tp>
        <v>1.5544843847462899</v>
        <stp/>
        <stp>EM_S_VAL_PBGOODWILLDEDUCTED</stp>
        <stp>2</stp>
        <stp>002581</stp>
        <stp>12/31/2018</stp>
        <tr r="N2170" s="1"/>
      </tp>
      <tp>
        <v>1.5112241446781101</v>
        <stp/>
        <stp>EM_S_VAL_PBGOODWILLDEDUCTED</stp>
        <stp>2</stp>
        <stp>002580</stp>
        <stp>12/31/2018</stp>
        <tr r="N1977" s="1"/>
      </tp>
      <tp>
        <v>2.78850724958312</v>
        <stp/>
        <stp>EM_S_VAL_PBGOODWILLDEDUCTED</stp>
        <stp>2</stp>
        <stp>002587</stp>
        <stp>12/31/2018</stp>
        <tr r="N422" s="1"/>
      </tp>
      <tp>
        <v>1.1156581271933601</v>
        <stp/>
        <stp>EM_S_VAL_PBGOODWILLDEDUCTED</stp>
        <stp>2</stp>
        <stp>002586</stp>
        <stp>12/31/2018</stp>
        <tr r="N3213" s="1"/>
      </tp>
      <tp>
        <v>0.76771971074746104</v>
        <stp/>
        <stp>EM_S_VAL_PBGOODWILLDEDUCTED</stp>
        <stp>2</stp>
        <stp>002585</stp>
        <stp>12/31/2018</stp>
        <tr r="N2748" s="1"/>
      </tp>
      <tp>
        <v>2.6021649677469698</v>
        <stp/>
        <stp>EM_S_VAL_PBGOODWILLDEDUCTED</stp>
        <stp>2</stp>
        <stp>002584</stp>
        <stp>12/31/2018</stp>
        <tr r="N2985" s="1"/>
      </tp>
      <tp>
        <v>2.76539031488092</v>
        <stp/>
        <stp>EM_S_VAL_PBGOODWILLDEDUCTED</stp>
        <stp>2</stp>
        <stp>002599</stp>
        <stp>12/31/2018</stp>
        <tr r="N3370" s="1"/>
      </tp>
      <tp>
        <v>2.5180846600943001</v>
        <stp/>
        <stp>EM_S_VAL_PBGOODWILLDEDUCTED</stp>
        <stp>2</stp>
        <stp>002598</stp>
        <stp>12/31/2018</stp>
        <tr r="N2728" s="1"/>
      </tp>
      <tp>
        <v>1.1340582655378599</v>
        <stp/>
        <stp>EM_S_VAL_PBGOODWILLDEDUCTED</stp>
        <stp>2</stp>
        <stp>002593</stp>
        <stp>12/31/2018</stp>
        <tr r="N1008" s="1"/>
      </tp>
      <tp>
        <v>3.5628784317420998</v>
        <stp/>
        <stp>EM_S_VAL_PBGOODWILLDEDUCTED</stp>
        <stp>2</stp>
        <stp>002592</stp>
        <stp>12/31/2018</stp>
        <tr r="N3324" s="1"/>
      </tp>
      <tp>
        <v>3.0723278675994798</v>
        <stp/>
        <stp>EM_S_VAL_PBGOODWILLDEDUCTED</stp>
        <stp>2</stp>
        <stp>002591</stp>
        <stp>12/31/2018</stp>
        <tr r="N814" s="1"/>
      </tp>
      <tp>
        <v>1.7159325167900701</v>
        <stp/>
        <stp>EM_S_VAL_PBGOODWILLDEDUCTED</stp>
        <stp>2</stp>
        <stp>002590</stp>
        <stp>12/31/2018</stp>
        <tr r="N1706" s="1"/>
      </tp>
      <tp>
        <v>2.3581900308269801</v>
        <stp/>
        <stp>EM_S_VAL_PBGOODWILLDEDUCTED</stp>
        <stp>2</stp>
        <stp>002597</stp>
        <stp>12/31/2018</stp>
        <tr r="N765" s="1"/>
      </tp>
      <tp>
        <v>3.6705768659220501</v>
        <stp/>
        <stp>EM_S_VAL_PBGOODWILLDEDUCTED</stp>
        <stp>2</stp>
        <stp>002596</stp>
        <stp>12/31/2018</stp>
        <tr r="N1810" s="1"/>
      </tp>
      <tp>
        <v>2.94746604087582</v>
        <stp/>
        <stp>EM_S_VAL_PBGOODWILLDEDUCTED</stp>
        <stp>2</stp>
        <stp>002595</stp>
        <stp>12/31/2018</stp>
        <tr r="N1354" s="1"/>
      </tp>
      <tp>
        <v>2.71554618170711</v>
        <stp/>
        <stp>EM_S_VAL_PBGOODWILLDEDUCTED</stp>
        <stp>2</stp>
        <stp>002594</stp>
        <stp>12/31/2018</stp>
        <tr r="N2634" s="1"/>
      </tp>
      <tp>
        <v>4.4787071119746598</v>
        <stp/>
        <stp>EM_S_VAL_PBGOODWILLDEDUCTED</stp>
        <stp>2</stp>
        <stp>002569</stp>
        <stp>12/31/2018</stp>
        <tr r="N2052" s="1"/>
      </tp>
      <tp>
        <v>2.5296929524809202</v>
        <stp/>
        <stp>EM_S_VAL_PBGOODWILLDEDUCTED</stp>
        <stp>2</stp>
        <stp>002568</stp>
        <stp>12/31/2018</stp>
        <tr r="N47" s="1"/>
      </tp>
      <tp>
        <v>2.1606854800303901</v>
        <stp/>
        <stp>EM_S_VAL_PBGOODWILLDEDUCTED</stp>
        <stp>2</stp>
        <stp>002563</stp>
        <stp>12/31/2018</stp>
        <tr r="N1758" s="1"/>
      </tp>
      <tp>
        <v>1.76694627045315</v>
        <stp/>
        <stp>EM_S_VAL_PBGOODWILLDEDUCTED</stp>
        <stp>2</stp>
        <stp>002562</stp>
        <stp>12/31/2018</stp>
        <tr r="N1598" s="1"/>
      </tp>
      <tp>
        <v>1.4681158120173801</v>
        <stp/>
        <stp>EM_S_VAL_PBGOODWILLDEDUCTED</stp>
        <stp>2</stp>
        <stp>002561</stp>
        <stp>12/31/2018</stp>
        <tr r="N1959" s="1"/>
      </tp>
      <tp>
        <v>1.8377985253944999</v>
        <stp/>
        <stp>EM_S_VAL_PBGOODWILLDEDUCTED</stp>
        <stp>2</stp>
        <stp>002560</stp>
        <stp>12/31/2018</stp>
        <tr r="N1921" s="1"/>
      </tp>
      <tp>
        <v>1.67938016361395</v>
        <stp/>
        <stp>EM_S_VAL_PBGOODWILLDEDUCTED</stp>
        <stp>2</stp>
        <stp>002567</stp>
        <stp>12/31/2018</stp>
        <tr r="N485" s="1"/>
      </tp>
      <tp>
        <v>1.02479435438</v>
        <stp/>
        <stp>EM_S_VAL_PBGOODWILLDEDUCTED</stp>
        <stp>2</stp>
        <stp>002566</stp>
        <stp>12/31/2018</stp>
        <tr r="N1514" s="1"/>
      </tp>
      <tp>
        <v>1.52726578679908</v>
        <stp/>
        <stp>EM_S_VAL_PBGOODWILLDEDUCTED</stp>
        <stp>2</stp>
        <stp>002565</stp>
        <stp>12/31/2018</stp>
        <tr r="N336" s="1"/>
      </tp>
      <tp>
        <v>2.6737275060355499</v>
        <stp/>
        <stp>EM_S_VAL_PBGOODWILLDEDUCTED</stp>
        <stp>2</stp>
        <stp>002564</stp>
        <stp>12/31/2018</stp>
        <tr r="N2712" s="1"/>
      </tp>
      <tp>
        <v>3.6323393277080198</v>
        <stp/>
        <stp>EM_S_VAL_PBGOODWILLDEDUCTED</stp>
        <stp>2</stp>
        <stp>002579</stp>
        <stp>12/31/2018</stp>
        <tr r="N396" s="1"/>
      </tp>
      <tp>
        <v>2.1966890132518202</v>
        <stp/>
        <stp>EM_S_VAL_PBGOODWILLDEDUCTED</stp>
        <stp>2</stp>
        <stp>002578</stp>
        <stp>12/31/2018</stp>
        <tr r="N1903" s="1"/>
      </tp>
      <tp>
        <v>1.71208872932662</v>
        <stp/>
        <stp>EM_S_VAL_PBGOODWILLDEDUCTED</stp>
        <stp>2</stp>
        <stp>002573</stp>
        <stp>12/31/2018</stp>
        <tr r="N2784" s="1"/>
      </tp>
      <tp>
        <v>3.2133986082664601</v>
        <stp/>
        <stp>EM_S_VAL_PBGOODWILLDEDUCTED</stp>
        <stp>2</stp>
        <stp>002572</stp>
        <stp>12/31/2018</stp>
        <tr r="N1070" s="1"/>
      </tp>
      <tp>
        <v>1.45929990973738</v>
        <stp/>
        <stp>EM_S_VAL_PBGOODWILLDEDUCTED</stp>
        <stp>2</stp>
        <stp>002571</stp>
        <stp>12/31/2018</stp>
        <tr r="N2579" s="1"/>
      </tp>
      <tp>
        <v>2.8122834479524199</v>
        <stp/>
        <stp>EM_S_VAL_PBGOODWILLDEDUCTED</stp>
        <stp>2</stp>
        <stp>002570</stp>
        <stp>12/31/2018</stp>
        <tr r="N1926" s="1"/>
      </tp>
      <tp>
        <v>2.3344845293907799</v>
        <stp/>
        <stp>EM_S_VAL_PBGOODWILLDEDUCTED</stp>
        <stp>2</stp>
        <stp>002577</stp>
        <stp>12/31/2018</stp>
        <tr r="N919" s="1"/>
      </tp>
      <tp>
        <v>1.9012030292547999</v>
        <stp/>
        <stp>EM_S_VAL_PBGOODWILLDEDUCTED</stp>
        <stp>2</stp>
        <stp>002576</stp>
        <stp>12/31/2018</stp>
        <tr r="N2458" s="1"/>
      </tp>
      <tp>
        <v>4.9462707429565498</v>
        <stp/>
        <stp>EM_S_VAL_PBGOODWILLDEDUCTED</stp>
        <stp>2</stp>
        <stp>002575</stp>
        <stp>12/31/2018</stp>
        <tr r="N2631" s="1"/>
      </tp>
      <tp>
        <v>0.81384542905274804</v>
        <stp/>
        <stp>EM_S_VAL_PBGOODWILLDEDUCTED</stp>
        <stp>2</stp>
        <stp>002574</stp>
        <stp>12/31/2018</stp>
        <tr r="N2095" s="1"/>
      </tp>
      <tp>
        <v>3.58734097545821</v>
        <stp/>
        <stp>EM_S_VAL_PBGOODWILLDEDUCTED</stp>
        <stp>2</stp>
        <stp>002549</stp>
        <stp>12/31/2018</stp>
        <tr r="N1576" s="1"/>
      </tp>
      <tp>
        <v>4.3890250620726796</v>
        <stp/>
        <stp>EM_S_VAL_PBGOODWILLDEDUCTED</stp>
        <stp>2</stp>
        <stp>002548</stp>
        <stp>12/31/2018</stp>
        <tr r="N938" s="1"/>
      </tp>
      <tp>
        <v>2.2376080982834301</v>
        <stp/>
        <stp>EM_S_VAL_PBGOODWILLDEDUCTED</stp>
        <stp>2</stp>
        <stp>002543</stp>
        <stp>12/31/2018</stp>
        <tr r="N3167" s="1"/>
      </tp>
      <tp>
        <v>2.3970877307294001</v>
        <stp/>
        <stp>EM_S_VAL_PBGOODWILLDEDUCTED</stp>
        <stp>2</stp>
        <stp>002542</stp>
        <stp>12/31/2018</stp>
        <tr r="N2894" s="1"/>
      </tp>
      <tp>
        <v>0.83114556876182499</v>
        <stp/>
        <stp>EM_S_VAL_PBGOODWILLDEDUCTED</stp>
        <stp>2</stp>
        <stp>002541</stp>
        <stp>12/31/2018</stp>
        <tr r="N538" s="1"/>
      </tp>
      <tp>
        <v>1.1996635449591</v>
        <stp/>
        <stp>EM_S_VAL_PBGOODWILLDEDUCTED</stp>
        <stp>2</stp>
        <stp>002540</stp>
        <stp>12/31/2018</stp>
        <tr r="N2657" s="1"/>
      </tp>
      <tp>
        <v>2.6292252422898601</v>
        <stp/>
        <stp>EM_S_VAL_PBGOODWILLDEDUCTED</stp>
        <stp>2</stp>
        <stp>002547</stp>
        <stp>12/31/2018</stp>
        <tr r="N524" s="1"/>
      </tp>
      <tp>
        <v>1.08287982565372</v>
        <stp/>
        <stp>EM_S_VAL_PBGOODWILLDEDUCTED</stp>
        <stp>2</stp>
        <stp>002546</stp>
        <stp>12/31/2018</stp>
        <tr r="N1763" s="1"/>
      </tp>
      <tp>
        <v>1.06350480687774</v>
        <stp/>
        <stp>EM_S_VAL_PBGOODWILLDEDUCTED</stp>
        <stp>2</stp>
        <stp>002545</stp>
        <stp>12/31/2018</stp>
        <tr r="N996" s="1"/>
      </tp>
      <tp>
        <v>3.0178946390574501</v>
        <stp/>
        <stp>EM_S_VAL_PBGOODWILLDEDUCTED</stp>
        <stp>2</stp>
        <stp>002544</stp>
        <stp>12/31/2018</stp>
        <tr r="N1046" s="1"/>
      </tp>
      <tp>
        <v>1.5457621128924499</v>
        <stp/>
        <stp>EM_S_VAL_PBGOODWILLDEDUCTED</stp>
        <stp>2</stp>
        <stp>002559</stp>
        <stp>12/31/2018</stp>
        <tr r="N2941" s="1"/>
      </tp>
      <tp>
        <v>4.7023474834291097</v>
        <stp/>
        <stp>EM_S_VAL_PBGOODWILLDEDUCTED</stp>
        <stp>2</stp>
        <stp>002558</stp>
        <stp>12/31/2018</stp>
        <tr r="N2676" s="1"/>
      </tp>
      <tp>
        <v>2.49046620258243</v>
        <stp/>
        <stp>EM_S_VAL_PBGOODWILLDEDUCTED</stp>
        <stp>2</stp>
        <stp>002553</stp>
        <stp>12/31/2018</stp>
        <tr r="N2055" s="1"/>
      </tp>
      <tp>
        <v>2.5852031606128199</v>
        <stp/>
        <stp>EM_S_VAL_PBGOODWILLDEDUCTED</stp>
        <stp>2</stp>
        <stp>002552</stp>
        <stp>12/31/2018</stp>
        <tr r="N17" s="1"/>
      </tp>
      <tp>
        <v>1.49554672182335</v>
        <stp/>
        <stp>EM_S_VAL_PBGOODWILLDEDUCTED</stp>
        <stp>2</stp>
        <stp>002551</stp>
        <stp>12/31/2018</stp>
        <tr r="N2390" s="1"/>
      </tp>
      <tp>
        <v>1.9311923177902299</v>
        <stp/>
        <stp>EM_S_VAL_PBGOODWILLDEDUCTED</stp>
        <stp>2</stp>
        <stp>002550</stp>
        <stp>12/31/2018</stp>
        <tr r="N1338" s="1"/>
      </tp>
      <tp>
        <v>2.9022345999771</v>
        <stp/>
        <stp>EM_S_VAL_PBGOODWILLDEDUCTED</stp>
        <stp>2</stp>
        <stp>002557</stp>
        <stp>12/31/2018</stp>
        <tr r="N276" s="1"/>
      </tp>
      <tp>
        <v>1.54860883730523</v>
        <stp/>
        <stp>EM_S_VAL_PBGOODWILLDEDUCTED</stp>
        <stp>2</stp>
        <stp>002556</stp>
        <stp>12/31/2018</stp>
        <tr r="N1846" s="1"/>
      </tp>
      <tp>
        <v>4.5649253844794204</v>
        <stp/>
        <stp>EM_S_VAL_PBGOODWILLDEDUCTED</stp>
        <stp>2</stp>
        <stp>002555</stp>
        <stp>12/31/2018</stp>
        <tr r="N50" s="1"/>
      </tp>
      <tp>
        <v>1.7637713527681</v>
        <stp/>
        <stp>EM_S_VAL_PBGOODWILLDEDUCTED</stp>
        <stp>2</stp>
        <stp>002554</stp>
        <stp>12/31/2018</stp>
        <tr r="N1656" s="1"/>
      </tp>
      <tp>
        <v>1.2671731415238301</v>
        <stp/>
        <stp>EM_S_VAL_PBGOODWILLDEDUCTED</stp>
        <stp>2</stp>
        <stp>002529</stp>
        <stp>12/31/2018</stp>
        <tr r="N2916" s="1"/>
      </tp>
      <tp>
        <v>1.6518761127371799</v>
        <stp/>
        <stp>EM_S_VAL_PBGOODWILLDEDUCTED</stp>
        <stp>2</stp>
        <stp>002528</stp>
        <stp>12/31/2018</stp>
        <tr r="N665" s="1"/>
      </tp>
      <tp>
        <v>2.1907014532534199</v>
        <stp/>
        <stp>EM_S_VAL_PBGOODWILLDEDUCTED</stp>
        <stp>2</stp>
        <stp>002523</stp>
        <stp>12/31/2018</stp>
        <tr r="N2054" s="1"/>
      </tp>
      <tp>
        <v>2.4800520326493301</v>
        <stp/>
        <stp>EM_S_VAL_PBGOODWILLDEDUCTED</stp>
        <stp>2</stp>
        <stp>002522</stp>
        <stp>12/31/2018</stp>
        <tr r="N1044" s="1"/>
      </tp>
      <tp>
        <v>0.81670357061638799</v>
        <stp/>
        <stp>EM_S_VAL_PBGOODWILLDEDUCTED</stp>
        <stp>2</stp>
        <stp>002521</stp>
        <stp>12/31/2018</stp>
        <tr r="N1904" s="1"/>
      </tp>
      <tp>
        <v>1.8047428668660701</v>
        <stp/>
        <stp>EM_S_VAL_PBGOODWILLDEDUCTED</stp>
        <stp>2</stp>
        <stp>002520</stp>
        <stp>12/31/2018</stp>
        <tr r="N2660" s="1"/>
      </tp>
      <tp>
        <v>2.5091683655908601</v>
        <stp/>
        <stp>EM_S_VAL_PBGOODWILLDEDUCTED</stp>
        <stp>2</stp>
        <stp>002527</stp>
        <stp>12/31/2018</stp>
        <tr r="N2484" s="1"/>
      </tp>
      <tp>
        <v>1.67217742920776</v>
        <stp/>
        <stp>EM_S_VAL_PBGOODWILLDEDUCTED</stp>
        <stp>2</stp>
        <stp>002526</stp>
        <stp>12/31/2018</stp>
        <tr r="N1267" s="1"/>
      </tp>
      <tp>
        <v>0</v>
        <stp/>
        <stp>EM_S_VAL_PBGOODWILLDEDUCTED</stp>
        <stp>2</stp>
        <stp>002525</stp>
        <stp>12/31/2018</stp>
        <tr r="N6" s="1"/>
      </tp>
      <tp>
        <v>12.1080262676558</v>
        <stp/>
        <stp>EM_S_VAL_PBGOODWILLDEDUCTED</stp>
        <stp>2</stp>
        <stp>002524</stp>
        <stp>12/31/2018</stp>
        <tr r="N120" s="1"/>
      </tp>
      <tp>
        <v>1.3503546396650401</v>
        <stp/>
        <stp>EM_S_VAL_PBGOODWILLDEDUCTED</stp>
        <stp>2</stp>
        <stp>002539</stp>
        <stp>12/31/2018</stp>
        <tr r="N1332" s="1"/>
      </tp>
      <tp>
        <v>0.988459288613731</v>
        <stp/>
        <stp>EM_S_VAL_PBGOODWILLDEDUCTED</stp>
        <stp>2</stp>
        <stp>002538</stp>
        <stp>12/31/2018</stp>
        <tr r="N2472" s="1"/>
      </tp>
      <tp>
        <v>1.03981799392064</v>
        <stp/>
        <stp>EM_S_VAL_PBGOODWILLDEDUCTED</stp>
        <stp>2</stp>
        <stp>002533</stp>
        <stp>12/31/2018</stp>
        <tr r="N1582" s="1"/>
      </tp>
      <tp>
        <v>1.91444846105014</v>
        <stp/>
        <stp>EM_S_VAL_PBGOODWILLDEDUCTED</stp>
        <stp>2</stp>
        <stp>002532</stp>
        <stp>12/31/2018</stp>
        <tr r="N1275" s="1"/>
      </tp>
      <tp>
        <v>1.5329146670796601</v>
        <stp/>
        <stp>EM_S_VAL_PBGOODWILLDEDUCTED</stp>
        <stp>2</stp>
        <stp>002531</stp>
        <stp>12/31/2018</stp>
        <tr r="N787" s="1"/>
      </tp>
      <tp>
        <v>2.1883288653451101</v>
        <stp/>
        <stp>EM_S_VAL_PBGOODWILLDEDUCTED</stp>
        <stp>2</stp>
        <stp>002530</stp>
        <stp>12/31/2018</stp>
        <tr r="N250" s="1"/>
      </tp>
      <tp>
        <v>2.9629719194499899</v>
        <stp/>
        <stp>EM_S_VAL_PBGOODWILLDEDUCTED</stp>
        <stp>2</stp>
        <stp>002537</stp>
        <stp>12/31/2018</stp>
        <tr r="N3234" s="1"/>
      </tp>
      <tp>
        <v>1.4104840830169101</v>
        <stp/>
        <stp>EM_S_VAL_PBGOODWILLDEDUCTED</stp>
        <stp>2</stp>
        <stp>002536</stp>
        <stp>12/31/2018</stp>
        <tr r="N3350" s="1"/>
      </tp>
      <tp>
        <v>0.93728338727853</v>
        <stp/>
        <stp>EM_S_VAL_PBGOODWILLDEDUCTED</stp>
        <stp>2</stp>
        <stp>002535</stp>
        <stp>12/31/2018</stp>
        <tr r="N2901" s="1"/>
      </tp>
      <tp>
        <v>1.2795654515538899</v>
        <stp/>
        <stp>EM_S_VAL_PBGOODWILLDEDUCTED</stp>
        <stp>2</stp>
        <stp>002534</stp>
        <stp>12/31/2018</stp>
        <tr r="N721" s="1"/>
      </tp>
      <tp>
        <v>1.5394480919698601</v>
        <stp/>
        <stp>EM_S_VAL_PBGOODWILLDEDUCTED</stp>
        <stp>2</stp>
        <stp>002509</stp>
        <stp>12/31/2018</stp>
        <tr r="N3313" s="1"/>
      </tp>
      <tp>
        <v>3.2123439798709899</v>
        <stp/>
        <stp>EM_S_VAL_PBGOODWILLDEDUCTED</stp>
        <stp>2</stp>
        <stp>002508</stp>
        <stp>12/31/2018</stp>
        <tr r="N332" s="1"/>
      </tp>
      <tp>
        <v>1.37426568433648</v>
        <stp/>
        <stp>EM_S_VAL_PBGOODWILLDEDUCTED</stp>
        <stp>2</stp>
        <stp>002503</stp>
        <stp>12/31/2018</stp>
        <tr r="N2089" s="1"/>
      </tp>
      <tp>
        <v>2.0740654934388298</v>
        <stp/>
        <stp>EM_S_VAL_PBGOODWILLDEDUCTED</stp>
        <stp>2</stp>
        <stp>002502</stp>
        <stp>12/31/2018</stp>
        <tr r="N2997" s="1"/>
      </tp>
      <tp>
        <v>0.86588652599420601</v>
        <stp/>
        <stp>EM_S_VAL_PBGOODWILLDEDUCTED</stp>
        <stp>2</stp>
        <stp>002501</stp>
        <stp>12/31/2018</stp>
        <tr r="N3330" s="1"/>
      </tp>
      <tp>
        <v>1.3994296327216</v>
        <stp/>
        <stp>EM_S_VAL_PBGOODWILLDEDUCTED</stp>
        <stp>2</stp>
        <stp>002500</stp>
        <stp>12/31/2018</stp>
        <tr r="N731" s="1"/>
      </tp>
      <tp>
        <v>7.0097608987335498</v>
        <stp/>
        <stp>EM_S_VAL_PBGOODWILLDEDUCTED</stp>
        <stp>2</stp>
        <stp>002507</stp>
        <stp>12/31/2018</stp>
        <tr r="N1166" s="1"/>
      </tp>
      <tp>
        <v>6.70795079808543</v>
        <stp/>
        <stp>EM_S_VAL_PBGOODWILLDEDUCTED</stp>
        <stp>2</stp>
        <stp>002506</stp>
        <stp>12/31/2018</stp>
        <tr r="N1358" s="1"/>
      </tp>
      <tp>
        <v>2.1698797985878402</v>
        <stp/>
        <stp>EM_S_VAL_PBGOODWILLDEDUCTED</stp>
        <stp>2</stp>
        <stp>002505</stp>
        <stp>12/31/2018</stp>
        <tr r="N1975" s="1"/>
      </tp>
      <tp>
        <v>3.9057347310160999</v>
        <stp/>
        <stp>EM_S_VAL_PBGOODWILLDEDUCTED</stp>
        <stp>2</stp>
        <stp>002504</stp>
        <stp>12/31/2018</stp>
        <tr r="N2893" s="1"/>
      </tp>
      <tp>
        <v>1.7700793086916</v>
        <stp/>
        <stp>EM_S_VAL_PBGOODWILLDEDUCTED</stp>
        <stp>2</stp>
        <stp>002519</stp>
        <stp>12/31/2018</stp>
        <tr r="N1671" s="1"/>
      </tp>
      <tp>
        <v>1.7339920709785099</v>
        <stp/>
        <stp>EM_S_VAL_PBGOODWILLDEDUCTED</stp>
        <stp>2</stp>
        <stp>002518</stp>
        <stp>12/31/2018</stp>
        <tr r="N588" s="1"/>
      </tp>
      <tp>
        <v>1.5486290527361599</v>
        <stp/>
        <stp>EM_S_VAL_PBGOODWILLDEDUCTED</stp>
        <stp>2</stp>
        <stp>002513</stp>
        <stp>12/31/2018</stp>
        <tr r="N1792" s="1"/>
      </tp>
      <tp>
        <v>6.9544833491113804</v>
        <stp/>
        <stp>EM_S_VAL_PBGOODWILLDEDUCTED</stp>
        <stp>2</stp>
        <stp>002512</stp>
        <stp>12/31/2018</stp>
        <tr r="N1261" s="1"/>
      </tp>
      <tp>
        <v>3.3107920877757802</v>
        <stp/>
        <stp>EM_S_VAL_PBGOODWILLDEDUCTED</stp>
        <stp>2</stp>
        <stp>002511</stp>
        <stp>12/31/2018</stp>
        <tr r="N611" s="1"/>
      </tp>
      <tp>
        <v>1.2855658281671101</v>
        <stp/>
        <stp>EM_S_VAL_PBGOODWILLDEDUCTED</stp>
        <stp>2</stp>
        <stp>002510</stp>
        <stp>12/31/2018</stp>
        <tr r="N994" s="1"/>
      </tp>
      <tp>
        <v>4.3110841041138404</v>
        <stp/>
        <stp>EM_S_VAL_PBGOODWILLDEDUCTED</stp>
        <stp>2</stp>
        <stp>002517</stp>
        <stp>12/31/2018</stp>
        <tr r="N3215" s="1"/>
      </tp>
      <tp>
        <v>1.13607201244792</v>
        <stp/>
        <stp>EM_S_VAL_PBGOODWILLDEDUCTED</stp>
        <stp>2</stp>
        <stp>002516</stp>
        <stp>12/31/2018</stp>
        <tr r="N2588" s="1"/>
      </tp>
      <tp>
        <v>2.9739600561594699</v>
        <stp/>
        <stp>EM_S_VAL_PBGOODWILLDEDUCTED</stp>
        <stp>2</stp>
        <stp>002515</stp>
        <stp>12/31/2018</stp>
        <tr r="N982" s="1"/>
      </tp>
      <tp>
        <v>4.3538333408257799</v>
        <stp/>
        <stp>EM_S_VAL_PBGOODWILLDEDUCTED</stp>
        <stp>2</stp>
        <stp>002514</stp>
        <stp>12/31/2018</stp>
        <tr r="N1830" s="1"/>
      </tp>
      <tp>
        <v>1.9286224617866701</v>
        <stp/>
        <stp>EM_S_VAL_PBGOODWILLDEDUCTED</stp>
        <stp>2</stp>
        <stp>002489</stp>
        <stp>12/31/2018</stp>
        <tr r="N452" s="1"/>
      </tp>
      <tp>
        <v>1.68868090006706</v>
        <stp/>
        <stp>EM_S_VAL_PBGOODWILLDEDUCTED</stp>
        <stp>2</stp>
        <stp>002488</stp>
        <stp>12/31/2018</stp>
        <tr r="N1900" s="1"/>
      </tp>
      <tp>
        <v>1.0251635582398699</v>
        <stp/>
        <stp>EM_S_VAL_PBGOODWILLDEDUCTED</stp>
        <stp>2</stp>
        <stp>002483</stp>
        <stp>12/31/2018</stp>
        <tr r="N1478" s="1"/>
      </tp>
      <tp>
        <v>1.35060975045287</v>
        <stp/>
        <stp>EM_S_VAL_PBGOODWILLDEDUCTED</stp>
        <stp>2</stp>
        <stp>002482</stp>
        <stp>12/31/2018</stp>
        <tr r="N3133" s="1"/>
      </tp>
      <tp>
        <v>1.3455239881277701</v>
        <stp/>
        <stp>EM_S_VAL_PBGOODWILLDEDUCTED</stp>
        <stp>2</stp>
        <stp>002481</stp>
        <stp>12/31/2018</stp>
        <tr r="N57" s="1"/>
      </tp>
      <tp>
        <v>1.4172954573305001</v>
        <stp/>
        <stp>EM_S_VAL_PBGOODWILLDEDUCTED</stp>
        <stp>2</stp>
        <stp>002480</stp>
        <stp>12/31/2018</stp>
        <tr r="N3063" s="1"/>
      </tp>
      <tp>
        <v>1.01667856138307</v>
        <stp/>
        <stp>EM_S_VAL_PBGOODWILLDEDUCTED</stp>
        <stp>2</stp>
        <stp>002487</stp>
        <stp>12/31/2018</stp>
        <tr r="N525" s="1"/>
      </tp>
      <tp>
        <v>3.3476088016752699</v>
        <stp/>
        <stp>EM_S_VAL_PBGOODWILLDEDUCTED</stp>
        <stp>2</stp>
        <stp>002486</stp>
        <stp>12/31/2018</stp>
        <tr r="N2922" s="1"/>
      </tp>
      <tp>
        <v>1.8593747153495099</v>
        <stp/>
        <stp>EM_S_VAL_PBGOODWILLDEDUCTED</stp>
        <stp>2</stp>
        <stp>002485</stp>
        <stp>12/31/2018</stp>
        <tr r="N2666" s="1"/>
      </tp>
      <tp>
        <v>1.6243579306572999</v>
        <stp/>
        <stp>EM_S_VAL_PBGOODWILLDEDUCTED</stp>
        <stp>2</stp>
        <stp>002484</stp>
        <stp>12/31/2018</stp>
        <tr r="N965" s="1"/>
      </tp>
      <tp>
        <v>6.9960482114369498</v>
        <stp/>
        <stp>EM_S_VAL_PBGOODWILLDEDUCTED</stp>
        <stp>2</stp>
        <stp>002499</stp>
        <stp>12/31/2018</stp>
        <tr r="N3287" s="1"/>
      </tp>
      <tp>
        <v>1.4095291455435099</v>
        <stp/>
        <stp>EM_S_VAL_PBGOODWILLDEDUCTED</stp>
        <stp>2</stp>
        <stp>002498</stp>
        <stp>12/31/2018</stp>
        <tr r="N544" s="1"/>
      </tp>
      <tp>
        <v>3.03261477457374</v>
        <stp/>
        <stp>EM_S_VAL_PBGOODWILLDEDUCTED</stp>
        <stp>2</stp>
        <stp>002493</stp>
        <stp>12/31/2018</stp>
        <tr r="N1189" s="1"/>
      </tp>
      <tp>
        <v>1.77592094564165</v>
        <stp/>
        <stp>EM_S_VAL_PBGOODWILLDEDUCTED</stp>
        <stp>2</stp>
        <stp>002492</stp>
        <stp>12/31/2018</stp>
        <tr r="N1745" s="1"/>
      </tp>
      <tp>
        <v>2.3805568059352198</v>
        <stp/>
        <stp>EM_S_VAL_PBGOODWILLDEDUCTED</stp>
        <stp>2</stp>
        <stp>002491</stp>
        <stp>12/31/2018</stp>
        <tr r="N2970" s="1"/>
      </tp>
      <tp>
        <v>1.7490772430636199</v>
        <stp/>
        <stp>EM_S_VAL_PBGOODWILLDEDUCTED</stp>
        <stp>2</stp>
        <stp>002490</stp>
        <stp>12/31/2018</stp>
        <tr r="N2775" s="1"/>
      </tp>
      <tp>
        <v>2.8677075998473498</v>
        <stp/>
        <stp>EM_S_VAL_PBGOODWILLDEDUCTED</stp>
        <stp>2</stp>
        <stp>002497</stp>
        <stp>12/31/2018</stp>
        <tr r="N1848" s="1"/>
      </tp>
      <tp>
        <v>0.94641466704027699</v>
        <stp/>
        <stp>EM_S_VAL_PBGOODWILLDEDUCTED</stp>
        <stp>2</stp>
        <stp>002496</stp>
        <stp>12/31/2018</stp>
        <tr r="N600" s="1"/>
      </tp>
      <tp>
        <v>2.5374948005275102</v>
        <stp/>
        <stp>EM_S_VAL_PBGOODWILLDEDUCTED</stp>
        <stp>2</stp>
        <stp>002495</stp>
        <stp>12/31/2018</stp>
        <tr r="N2707" s="1"/>
      </tp>
      <tp>
        <v>1.23999742279739</v>
        <stp/>
        <stp>EM_S_VAL_PBGOODWILLDEDUCTED</stp>
        <stp>2</stp>
        <stp>002494</stp>
        <stp>12/31/2018</stp>
        <tr r="N2654" s="1"/>
      </tp>
      <tp>
        <v>1.63296253026708</v>
        <stp/>
        <stp>EM_S_VAL_PBGOODWILLDEDUCTED</stp>
        <stp>2</stp>
        <stp>002469</stp>
        <stp>12/31/2018</stp>
        <tr r="N1922" s="1"/>
      </tp>
      <tp>
        <v>3.50293310305134</v>
        <stp/>
        <stp>EM_S_VAL_PBGOODWILLDEDUCTED</stp>
        <stp>2</stp>
        <stp>002468</stp>
        <stp>12/31/2018</stp>
        <tr r="N1355" s="1"/>
      </tp>
      <tp>
        <v>3.0743499833510501</v>
        <stp/>
        <stp>EM_S_VAL_PBGOODWILLDEDUCTED</stp>
        <stp>2</stp>
        <stp>002463</stp>
        <stp>12/31/2018</stp>
        <tr r="N42" s="1"/>
      </tp>
      <tp>
        <v>1.9659160924529899</v>
        <stp/>
        <stp>EM_S_VAL_PBGOODWILLDEDUCTED</stp>
        <stp>2</stp>
        <stp>002462</stp>
        <stp>12/31/2018</stp>
        <tr r="N1795" s="1"/>
      </tp>
      <tp>
        <v>1.1847956770006001</v>
        <stp/>
        <stp>EM_S_VAL_PBGOODWILLDEDUCTED</stp>
        <stp>2</stp>
        <stp>002461</stp>
        <stp>12/31/2018</stp>
        <tr r="N428" s="1"/>
      </tp>
      <tp>
        <v>3.7712026821539402</v>
        <stp/>
        <stp>EM_S_VAL_PBGOODWILLDEDUCTED</stp>
        <stp>2</stp>
        <stp>002460</stp>
        <stp>12/31/2018</stp>
        <tr r="N490" s="1"/>
      </tp>
      <tp>
        <v>5.0487470926334197</v>
        <stp/>
        <stp>EM_S_VAL_PBGOODWILLDEDUCTED</stp>
        <stp>2</stp>
        <stp>002467</stp>
        <stp>12/31/2018</stp>
        <tr r="N1888" s="1"/>
      </tp>
      <tp>
        <v>3.44493924710945</v>
        <stp/>
        <stp>EM_S_VAL_PBGOODWILLDEDUCTED</stp>
        <stp>2</stp>
        <stp>002466</stp>
        <stp>12/31/2018</stp>
        <tr r="N2482" s="1"/>
      </tp>
      <tp>
        <v>2.5680508637351198</v>
        <stp/>
        <stp>EM_S_VAL_PBGOODWILLDEDUCTED</stp>
        <stp>2</stp>
        <stp>002465</stp>
        <stp>12/31/2018</stp>
        <tr r="N738" s="1"/>
      </tp>
      <tp>
        <v>-4.3211564556370297</v>
        <stp/>
        <stp>EM_S_VAL_PBGOODWILLDEDUCTED</stp>
        <stp>2</stp>
        <stp>002464</stp>
        <stp>12/31/2018</stp>
        <tr r="N3165" s="1"/>
      </tp>
      <tp>
        <v>1.17562828793694</v>
        <stp/>
        <stp>EM_S_VAL_PBGOODWILLDEDUCTED</stp>
        <stp>2</stp>
        <stp>002479</stp>
        <stp>12/31/2018</stp>
        <tr r="N445" s="1"/>
      </tp>
      <tp>
        <v>1.2613608959792499</v>
        <stp/>
        <stp>EM_S_VAL_PBGOODWILLDEDUCTED</stp>
        <stp>2</stp>
        <stp>002478</stp>
        <stp>12/31/2018</stp>
        <tr r="N1021" s="1"/>
      </tp>
      <tp>
        <v>3.5323977529708599</v>
        <stp/>
        <stp>EM_S_VAL_PBGOODWILLDEDUCTED</stp>
        <stp>2</stp>
        <stp>002473</stp>
        <stp>12/31/2018</stp>
        <tr r="N797" s="1"/>
      </tp>
      <tp>
        <v>1.16795887730919</v>
        <stp/>
        <stp>EM_S_VAL_PBGOODWILLDEDUCTED</stp>
        <stp>2</stp>
        <stp>002472</stp>
        <stp>12/31/2018</stp>
        <tr r="N2553" s="1"/>
      </tp>
      <tp>
        <v>1.9049027990488401</v>
        <stp/>
        <stp>EM_S_VAL_PBGOODWILLDEDUCTED</stp>
        <stp>2</stp>
        <stp>002471</stp>
        <stp>12/31/2018</stp>
        <tr r="N2871" s="1"/>
      </tp>
      <tp>
        <v>2.1335921614331901</v>
        <stp/>
        <stp>EM_S_VAL_PBGOODWILLDEDUCTED</stp>
        <stp>2</stp>
        <stp>002470</stp>
        <stp>12/31/2018</stp>
        <tr r="N3391" s="1"/>
      </tp>
      <tp>
        <v>4.4056595162373799</v>
        <stp/>
        <stp>EM_S_VAL_PBGOODWILLDEDUCTED</stp>
        <stp>2</stp>
        <stp>002477</stp>
        <stp>12/31/2018</stp>
        <tr r="N3410" s="1"/>
      </tp>
      <tp>
        <v>3.8007845023377298</v>
        <stp/>
        <stp>EM_S_VAL_PBGOODWILLDEDUCTED</stp>
        <stp>2</stp>
        <stp>002476</stp>
        <stp>12/31/2018</stp>
        <tr r="N660" s="1"/>
      </tp>
      <tp>
        <v>3.8627796862356298</v>
        <stp/>
        <stp>EM_S_VAL_PBGOODWILLDEDUCTED</stp>
        <stp>2</stp>
        <stp>002475</stp>
        <stp>12/31/2018</stp>
        <tr r="N81" s="1"/>
      </tp>
      <tp>
        <v>2.6476941981125202</v>
        <stp/>
        <stp>EM_S_VAL_PBGOODWILLDEDUCTED</stp>
        <stp>2</stp>
        <stp>002474</stp>
        <stp>12/31/2018</stp>
        <tr r="N779" s="1"/>
      </tp>
      <tp>
        <v>1.8631429575362199</v>
        <stp/>
        <stp>EM_S_VAL_PBGOODWILLDEDUCTED</stp>
        <stp>2</stp>
        <stp>002449</stp>
        <stp>12/31/2018</stp>
        <tr r="N1099" s="1"/>
      </tp>
      <tp>
        <v>1.54221876972281</v>
        <stp/>
        <stp>EM_S_VAL_PBGOODWILLDEDUCTED</stp>
        <stp>2</stp>
        <stp>002448</stp>
        <stp>12/31/2018</stp>
        <tr r="N2396" s="1"/>
      </tp>
      <tp>
        <v>1.2203885801629299</v>
        <stp/>
        <stp>EM_S_VAL_PBGOODWILLDEDUCTED</stp>
        <stp>2</stp>
        <stp>002443</stp>
        <stp>12/31/2018</stp>
        <tr r="N1085" s="1"/>
      </tp>
      <tp>
        <v>2.9280079801966701</v>
        <stp/>
        <stp>EM_S_VAL_PBGOODWILLDEDUCTED</stp>
        <stp>2</stp>
        <stp>002442</stp>
        <stp>12/31/2018</stp>
        <tr r="N3101" s="1"/>
      </tp>
      <tp>
        <v>1.02664013472563</v>
        <stp/>
        <stp>EM_S_VAL_PBGOODWILLDEDUCTED</stp>
        <stp>2</stp>
        <stp>002441</stp>
        <stp>12/31/2018</stp>
        <tr r="N1561" s="1"/>
      </tp>
      <tp>
        <v>1.30330319351346</v>
        <stp/>
        <stp>EM_S_VAL_PBGOODWILLDEDUCTED</stp>
        <stp>2</stp>
        <stp>002440</stp>
        <stp>12/31/2018</stp>
        <tr r="N1133" s="1"/>
      </tp>
      <tp>
        <v>4.0129469848745396</v>
        <stp/>
        <stp>EM_S_VAL_PBGOODWILLDEDUCTED</stp>
        <stp>2</stp>
        <stp>002447</stp>
        <stp>12/31/2018</stp>
        <tr r="N1388" s="1"/>
      </tp>
      <tp>
        <v>5.7611449464345199</v>
        <stp/>
        <stp>EM_S_VAL_PBGOODWILLDEDUCTED</stp>
        <stp>2</stp>
        <stp>002446</stp>
        <stp>12/31/2018</stp>
        <tr r="N1496" s="1"/>
      </tp>
      <tp>
        <v>2.06787007169447</v>
        <stp/>
        <stp>EM_S_VAL_PBGOODWILLDEDUCTED</stp>
        <stp>2</stp>
        <stp>002445</stp>
        <stp>12/31/2018</stp>
        <tr r="N3228" s="1"/>
      </tp>
      <tp>
        <v>2.0993376707399301</v>
        <stp/>
        <stp>EM_S_VAL_PBGOODWILLDEDUCTED</stp>
        <stp>2</stp>
        <stp>002444</stp>
        <stp>12/31/2018</stp>
        <tr r="N1624" s="1"/>
      </tp>
      <tp>
        <v>2.5589832977572202</v>
        <stp/>
        <stp>EM_S_VAL_PBGOODWILLDEDUCTED</stp>
        <stp>2</stp>
        <stp>002459</stp>
        <stp>12/31/2018</stp>
        <tr r="N871" s="1"/>
      </tp>
      <tp>
        <v>3.0358513523244199</v>
        <stp/>
        <stp>EM_S_VAL_PBGOODWILLDEDUCTED</stp>
        <stp>2</stp>
        <stp>002458</stp>
        <stp>12/31/2018</stp>
        <tr r="N190" s="1"/>
      </tp>
      <tp>
        <v>6.2632586680943803</v>
        <stp/>
        <stp>EM_S_VAL_PBGOODWILLDEDUCTED</stp>
        <stp>2</stp>
        <stp>002453</stp>
        <stp>12/31/2018</stp>
        <tr r="N2057" s="1"/>
      </tp>
      <tp>
        <v>1.86826180405819</v>
        <stp/>
        <stp>EM_S_VAL_PBGOODWILLDEDUCTED</stp>
        <stp>2</stp>
        <stp>002452</stp>
        <stp>12/31/2018</stp>
        <tr r="N763" s="1"/>
      </tp>
      <tp>
        <v>8.0878290701428099</v>
        <stp/>
        <stp>EM_S_VAL_PBGOODWILLDEDUCTED</stp>
        <stp>2</stp>
        <stp>002451</stp>
        <stp>12/31/2018</stp>
        <tr r="N3095" s="1"/>
      </tp>
      <tp>
        <v>1.4921924895003</v>
        <stp/>
        <stp>EM_S_VAL_PBGOODWILLDEDUCTED</stp>
        <stp>2</stp>
        <stp>002450</stp>
        <stp>12/31/2018</stp>
        <tr r="N3380" s="1"/>
      </tp>
      <tp>
        <v>1.4570368445433799</v>
        <stp/>
        <stp>EM_S_VAL_PBGOODWILLDEDUCTED</stp>
        <stp>2</stp>
        <stp>002457</stp>
        <stp>12/31/2018</stp>
        <tr r="N2255" s="1"/>
      </tp>
      <tp>
        <v>2.9442978152130599</v>
        <stp/>
        <stp>EM_S_VAL_PBGOODWILLDEDUCTED</stp>
        <stp>2</stp>
        <stp>002456</stp>
        <stp>12/31/2018</stp>
        <tr r="N316" s="1"/>
      </tp>
      <tp>
        <v>1.9388956940375801</v>
        <stp/>
        <stp>EM_S_VAL_PBGOODWILLDEDUCTED</stp>
        <stp>2</stp>
        <stp>002455</stp>
        <stp>12/31/2018</stp>
        <tr r="N1250" s="1"/>
      </tp>
      <tp>
        <v>0.81934790623710796</v>
        <stp/>
        <stp>EM_S_VAL_PBGOODWILLDEDUCTED</stp>
        <stp>2</stp>
        <stp>002454</stp>
        <stp>12/31/2018</stp>
        <tr r="N1327" s="1"/>
      </tp>
      <tp>
        <v>1.0934391728330699</v>
        <stp/>
        <stp>EM_S_VAL_PBGOODWILLDEDUCTED</stp>
        <stp>2</stp>
        <stp>002429</stp>
        <stp>12/31/2018</stp>
        <tr r="N242" s="1"/>
      </tp>
      <tp>
        <v>2.1892508142796698</v>
        <stp/>
        <stp>EM_S_VAL_PBGOODWILLDEDUCTED</stp>
        <stp>2</stp>
        <stp>002428</stp>
        <stp>12/31/2018</stp>
        <tr r="N268" s="1"/>
      </tp>
      <tp>
        <v>3.0284544909223099</v>
        <stp/>
        <stp>EM_S_VAL_PBGOODWILLDEDUCTED</stp>
        <stp>2</stp>
        <stp>002423</stp>
        <stp>12/31/2018</stp>
        <tr r="N1697" s="1"/>
      </tp>
      <tp>
        <v>2.3588053089736398</v>
        <stp/>
        <stp>EM_S_VAL_PBGOODWILLDEDUCTED</stp>
        <stp>2</stp>
        <stp>002422</stp>
        <stp>12/31/2018</stp>
        <tr r="N1614" s="1"/>
      </tp>
      <tp>
        <v>2.88839524077467</v>
        <stp/>
        <stp>EM_S_VAL_PBGOODWILLDEDUCTED</stp>
        <stp>2</stp>
        <stp>002421</stp>
        <stp>12/31/2018</stp>
        <tr r="N2669" s="1"/>
      </tp>
      <tp>
        <v>3.5875878909089298</v>
        <stp/>
        <stp>EM_S_VAL_PBGOODWILLDEDUCTED</stp>
        <stp>2</stp>
        <stp>002420</stp>
        <stp>12/31/2018</stp>
        <tr r="N1302" s="1"/>
      </tp>
      <tp>
        <v>16.932238964417898</v>
        <stp/>
        <stp>EM_S_VAL_PBGOODWILLDEDUCTED</stp>
        <stp>2</stp>
        <stp>002427</stp>
        <stp>12/31/2018</stp>
        <tr r="N3260" s="1"/>
      </tp>
      <tp>
        <v>1.20312940472314</v>
        <stp/>
        <stp>EM_S_VAL_PBGOODWILLDEDUCTED</stp>
        <stp>2</stp>
        <stp>002426</stp>
        <stp>12/31/2018</stp>
        <tr r="N2106" s="1"/>
      </tp>
      <tp>
        <v>2.8450835919494999</v>
        <stp/>
        <stp>EM_S_VAL_PBGOODWILLDEDUCTED</stp>
        <stp>2</stp>
        <stp>002425</stp>
        <stp>12/31/2018</stp>
        <tr r="N2629" s="1"/>
      </tp>
      <tp>
        <v>3.2076343033838799</v>
        <stp/>
        <stp>EM_S_VAL_PBGOODWILLDEDUCTED</stp>
        <stp>2</stp>
        <stp>002424</stp>
        <stp>12/31/2018</stp>
        <tr r="N2474" s="1"/>
      </tp>
      <tp>
        <v>6.3904666330979198</v>
        <stp/>
        <stp>EM_S_VAL_PBGOODWILLDEDUCTED</stp>
        <stp>2</stp>
        <stp>002439</stp>
        <stp>12/31/2018</stp>
        <tr r="N349" s="1"/>
      </tp>
      <tp>
        <v>1.77211494569762</v>
        <stp/>
        <stp>EM_S_VAL_PBGOODWILLDEDUCTED</stp>
        <stp>2</stp>
        <stp>002438</stp>
        <stp>12/31/2018</stp>
        <tr r="N726" s="1"/>
      </tp>
      <tp>
        <v>0.76175305451888498</v>
        <stp/>
        <stp>EM_S_VAL_PBGOODWILLDEDUCTED</stp>
        <stp>2</stp>
        <stp>002433</stp>
        <stp>12/31/2018</stp>
        <tr r="N2500" s="1"/>
      </tp>
      <tp>
        <v>2.0124662611839299</v>
        <stp/>
        <stp>EM_S_VAL_PBGOODWILLDEDUCTED</stp>
        <stp>2</stp>
        <stp>002432</stp>
        <stp>12/31/2018</stp>
        <tr r="N2464" s="1"/>
      </tp>
      <tp>
        <v>0.962101048754607</v>
        <stp/>
        <stp>EM_S_VAL_PBGOODWILLDEDUCTED</stp>
        <stp>2</stp>
        <stp>002431</stp>
        <stp>12/31/2018</stp>
        <tr r="N2936" s="1"/>
      </tp>
      <tp>
        <v>1.6991880038298399</v>
        <stp/>
        <stp>EM_S_VAL_PBGOODWILLDEDUCTED</stp>
        <stp>2</stp>
        <stp>002430</stp>
        <stp>12/31/2018</stp>
        <tr r="N751" s="1"/>
      </tp>
      <tp>
        <v>6.3860629028425002</v>
        <stp/>
        <stp>EM_S_VAL_PBGOODWILLDEDUCTED</stp>
        <stp>2</stp>
        <stp>002437</stp>
        <stp>12/31/2018</stp>
        <tr r="N1992" s="1"/>
      </tp>
      <tp>
        <v>2.9196397637308902</v>
        <stp/>
        <stp>EM_S_VAL_PBGOODWILLDEDUCTED</stp>
        <stp>2</stp>
        <stp>002436</stp>
        <stp>12/31/2018</stp>
        <tr r="N221" s="1"/>
      </tp>
      <tp>
        <v>1.6765088738441301</v>
        <stp/>
        <stp>EM_S_VAL_PBGOODWILLDEDUCTED</stp>
        <stp>2</stp>
        <stp>002435</stp>
        <stp>12/31/2018</stp>
        <tr r="N3162" s="1"/>
      </tp>
      <tp>
        <v>1.8891056627613201</v>
        <stp/>
        <stp>EM_S_VAL_PBGOODWILLDEDUCTED</stp>
        <stp>2</stp>
        <stp>002434</stp>
        <stp>12/31/2018</stp>
        <tr r="N706" s="1"/>
      </tp>
      <tp>
        <v>2.5720675151069701</v>
        <stp/>
        <stp>EM_S_VAL_PBGOODWILLDEDUCTED</stp>
        <stp>2</stp>
        <stp>002409</stp>
        <stp>12/31/2018</stp>
        <tr r="N294" s="1"/>
      </tp>
      <tp>
        <v>1.8393642831248</v>
        <stp/>
        <stp>EM_S_VAL_PBGOODWILLDEDUCTED</stp>
        <stp>2</stp>
        <stp>002408</stp>
        <stp>12/31/2018</stp>
        <tr r="N2019" s="1"/>
      </tp>
      <tp>
        <v>1.28902213388368</v>
        <stp/>
        <stp>EM_S_VAL_PBGOODWILLDEDUCTED</stp>
        <stp>2</stp>
        <stp>002403</stp>
        <stp>12/31/2018</stp>
        <tr r="N1774" s="1"/>
      </tp>
      <tp>
        <v>5.0159771450442303</v>
        <stp/>
        <stp>EM_S_VAL_PBGOODWILLDEDUCTED</stp>
        <stp>2</stp>
        <stp>002402</stp>
        <stp>12/31/2018</stp>
        <tr r="N144" s="1"/>
      </tp>
      <tp>
        <v>3.11424110326494</v>
        <stp/>
        <stp>EM_S_VAL_PBGOODWILLDEDUCTED</stp>
        <stp>2</stp>
        <stp>002401</stp>
        <stp>12/31/2018</stp>
        <tr r="N1098" s="1"/>
      </tp>
      <tp>
        <v>1.52550657731731</v>
        <stp/>
        <stp>EM_S_VAL_PBGOODWILLDEDUCTED</stp>
        <stp>2</stp>
        <stp>002400</stp>
        <stp>12/31/2018</stp>
        <tr r="N1851" s="1"/>
      </tp>
      <tp>
        <v>2.2237911407566</v>
        <stp/>
        <stp>EM_S_VAL_PBGOODWILLDEDUCTED</stp>
        <stp>2</stp>
        <stp>002407</stp>
        <stp>12/31/2018</stp>
        <tr r="N1316" s="1"/>
      </tp>
      <tp>
        <v>1.21677957560441</v>
        <stp/>
        <stp>EM_S_VAL_PBGOODWILLDEDUCTED</stp>
        <stp>2</stp>
        <stp>002406</stp>
        <stp>12/31/2018</stp>
        <tr r="N1384" s="1"/>
      </tp>
      <tp>
        <v>3.7183735715400199</v>
        <stp/>
        <stp>EM_S_VAL_PBGOODWILLDEDUCTED</stp>
        <stp>2</stp>
        <stp>002405</stp>
        <stp>12/31/2018</stp>
        <tr r="N1559" s="1"/>
      </tp>
      <tp>
        <v>1.76199452777364</v>
        <stp/>
        <stp>EM_S_VAL_PBGOODWILLDEDUCTED</stp>
        <stp>2</stp>
        <stp>002404</stp>
        <stp>12/31/2018</stp>
        <tr r="N1312" s="1"/>
      </tp>
      <tp>
        <v>2.0430149813976901</v>
        <stp/>
        <stp>EM_S_VAL_PBGOODWILLDEDUCTED</stp>
        <stp>2</stp>
        <stp>002419</stp>
        <stp>12/31/2018</stp>
        <tr r="N2535" s="1"/>
      </tp>
      <tp>
        <v>3.0553231486610999</v>
        <stp/>
        <stp>EM_S_VAL_PBGOODWILLDEDUCTED</stp>
        <stp>2</stp>
        <stp>002418</stp>
        <stp>12/31/2018</stp>
        <tr r="N2643" s="1"/>
      </tp>
      <tp>
        <v>2.8309678428674001</v>
        <stp/>
        <stp>EM_S_VAL_PBGOODWILLDEDUCTED</stp>
        <stp>2</stp>
        <stp>002413</stp>
        <stp>12/31/2018</stp>
        <tr r="N2131" s="1"/>
      </tp>
      <tp>
        <v>3.5073833671422601</v>
        <stp/>
        <stp>EM_S_VAL_PBGOODWILLDEDUCTED</stp>
        <stp>2</stp>
        <stp>002412</stp>
        <stp>12/31/2018</stp>
        <tr r="N3306" s="1"/>
      </tp>
      <tp>
        <v>4.2293437186023404</v>
        <stp/>
        <stp>EM_S_VAL_PBGOODWILLDEDUCTED</stp>
        <stp>2</stp>
        <stp>002411</stp>
        <stp>12/31/2018</stp>
        <tr r="N3164" s="1"/>
      </tp>
      <tp>
        <v>9.3032006547598307</v>
        <stp/>
        <stp>EM_S_VAL_PBGOODWILLDEDUCTED</stp>
        <stp>2</stp>
        <stp>002410</stp>
        <stp>12/31/2018</stp>
        <tr r="N427" s="1"/>
      </tp>
      <tp>
        <v>12.0068252835968</v>
        <stp/>
        <stp>EM_S_VAL_PBGOODWILLDEDUCTED</stp>
        <stp>2</stp>
        <stp>002417</stp>
        <stp>12/31/2018</stp>
        <tr r="N3078" s="1"/>
      </tp>
      <tp>
        <v>1.48165462220142</v>
        <stp/>
        <stp>EM_S_VAL_PBGOODWILLDEDUCTED</stp>
        <stp>2</stp>
        <stp>002416</stp>
        <stp>12/31/2018</stp>
        <tr r="N976" s="1"/>
      </tp>
      <tp>
        <v>6.3592278019178901</v>
        <stp/>
        <stp>EM_S_VAL_PBGOODWILLDEDUCTED</stp>
        <stp>2</stp>
        <stp>002415</stp>
        <stp>12/31/2018</stp>
        <tr r="N1038" s="1"/>
      </tp>
      <tp>
        <v>4.4114364515492399</v>
        <stp/>
        <stp>EM_S_VAL_PBGOODWILLDEDUCTED</stp>
        <stp>2</stp>
        <stp>002414</stp>
        <stp>12/31/2018</stp>
        <tr r="N2621" s="1"/>
      </tp>
      <tp>
        <v>1.80388557908818</v>
        <stp/>
        <stp>EM_S_VAL_PBGOODWILLDEDUCTED</stp>
        <stp>2</stp>
        <stp>002789</stp>
        <stp>12/31/2018</stp>
        <tr r="N2208" s="1"/>
      </tp>
      <tp>
        <v>1.8951697463197601</v>
        <stp/>
        <stp>EM_S_VAL_PBGOODWILLDEDUCTED</stp>
        <stp>2</stp>
        <stp>002788</stp>
        <stp>12/31/2018</stp>
        <tr r="N3288" s="1"/>
      </tp>
      <tp>
        <v>1.7301305218946199</v>
        <stp/>
        <stp>EM_S_VAL_PBGOODWILLDEDUCTED</stp>
        <stp>2</stp>
        <stp>002783</stp>
        <stp>12/31/2018</stp>
        <tr r="N244" s="1"/>
      </tp>
      <tp>
        <v>5.6208691061843101</v>
        <stp/>
        <stp>EM_S_VAL_PBGOODWILLDEDUCTED</stp>
        <stp>2</stp>
        <stp>002782</stp>
        <stp>12/31/2018</stp>
        <tr r="N2525" s="1"/>
      </tp>
      <tp>
        <v>1.69651632061302</v>
        <stp/>
        <stp>EM_S_VAL_PBGOODWILLDEDUCTED</stp>
        <stp>2</stp>
        <stp>002781</stp>
        <stp>12/31/2018</stp>
        <tr r="N1532" s="1"/>
      </tp>
      <tp>
        <v>2.2158977808729299</v>
        <stp/>
        <stp>EM_S_VAL_PBGOODWILLDEDUCTED</stp>
        <stp>2</stp>
        <stp>002780</stp>
        <stp>12/31/2018</stp>
        <tr r="N661" s="1"/>
      </tp>
      <tp>
        <v>1.6293331645478399</v>
        <stp/>
        <stp>EM_S_VAL_PBGOODWILLDEDUCTED</stp>
        <stp>2</stp>
        <stp>002787</stp>
        <stp>12/31/2018</stp>
        <tr r="N1847" s="1"/>
      </tp>
      <tp>
        <v>2.0423105792718301</v>
        <stp/>
        <stp>EM_S_VAL_PBGOODWILLDEDUCTED</stp>
        <stp>2</stp>
        <stp>002786</stp>
        <stp>12/31/2018</stp>
        <tr r="N785" s="1"/>
      </tp>
      <tp>
        <v>2.9232084681330499</v>
        <stp/>
        <stp>EM_S_VAL_PBGOODWILLDEDUCTED</stp>
        <stp>2</stp>
        <stp>002785</stp>
        <stp>12/31/2018</stp>
        <tr r="N500" s="1"/>
      </tp>
      <tp>
        <v>4.14428260055612</v>
        <stp/>
        <stp>EM_S_VAL_PBGOODWILLDEDUCTED</stp>
        <stp>2</stp>
        <stp>002799</stp>
        <stp>12/31/2018</stp>
        <tr r="N657" s="1"/>
      </tp>
      <tp>
        <v>1.8962411133961801</v>
        <stp/>
        <stp>EM_S_VAL_PBGOODWILLDEDUCTED</stp>
        <stp>2</stp>
        <stp>002798</stp>
        <stp>12/31/2018</stp>
        <tr r="N231" s="1"/>
      </tp>
      <tp>
        <v>2.4126873594229501</v>
        <stp/>
        <stp>EM_S_VAL_PBGOODWILLDEDUCTED</stp>
        <stp>2</stp>
        <stp>002793</stp>
        <stp>12/31/2018</stp>
        <tr r="N848" s="1"/>
      </tp>
      <tp>
        <v>3.67897047692081</v>
        <stp/>
        <stp>EM_S_VAL_PBGOODWILLDEDUCTED</stp>
        <stp>2</stp>
        <stp>002792</stp>
        <stp>12/31/2018</stp>
        <tr r="N2935" s="1"/>
      </tp>
      <tp>
        <v>1.15060512168905</v>
        <stp/>
        <stp>EM_S_VAL_PBGOODWILLDEDUCTED</stp>
        <stp>2</stp>
        <stp>002791</stp>
        <stp>12/31/2018</stp>
        <tr r="N43" s="1"/>
      </tp>
      <tp>
        <v>1.7656163578533799</v>
        <stp/>
        <stp>EM_S_VAL_PBGOODWILLDEDUCTED</stp>
        <stp>2</stp>
        <stp>002790</stp>
        <stp>12/31/2018</stp>
        <tr r="N3304" s="1"/>
      </tp>
      <tp>
        <v>2.1601538927928599</v>
        <stp/>
        <stp>EM_S_VAL_PBGOODWILLDEDUCTED</stp>
        <stp>2</stp>
        <stp>002797</stp>
        <stp>12/31/2018</stp>
        <tr r="N505" s="1"/>
      </tp>
      <tp>
        <v>4.5452791673466697</v>
        <stp/>
        <stp>EM_S_VAL_PBGOODWILLDEDUCTED</stp>
        <stp>2</stp>
        <stp>002796</stp>
        <stp>12/31/2018</stp>
        <tr r="N2130" s="1"/>
      </tp>
      <tp>
        <v>4.7870928962241699</v>
        <stp/>
        <stp>EM_S_VAL_PBGOODWILLDEDUCTED</stp>
        <stp>2</stp>
        <stp>002795</stp>
        <stp>12/31/2018</stp>
        <tr r="N2685" s="1"/>
      </tp>
      <tp>
        <v>2.8266588278970701</v>
        <stp/>
        <stp>EM_S_VAL_PBGOODWILLDEDUCTED</stp>
        <stp>2</stp>
        <stp>002769</stp>
        <stp>12/31/2018</stp>
        <tr r="N2989" s="1"/>
      </tp>
      <tp>
        <v>2.9894672985533202</v>
        <stp/>
        <stp>EM_S_VAL_PBGOODWILLDEDUCTED</stp>
        <stp>2</stp>
        <stp>002768</stp>
        <stp>12/31/2018</stp>
        <tr r="N2063" s="1"/>
      </tp>
      <tp>
        <v>1.73702536635858</v>
        <stp/>
        <stp>EM_S_VAL_PBGOODWILLDEDUCTED</stp>
        <stp>2</stp>
        <stp>002763</stp>
        <stp>12/31/2018</stp>
        <tr r="N2122" s="1"/>
      </tp>
      <tp>
        <v>1.88470796485474</v>
        <stp/>
        <stp>EM_S_VAL_PBGOODWILLDEDUCTED</stp>
        <stp>2</stp>
        <stp>002762</stp>
        <stp>12/31/2018</stp>
        <tr r="N2112" s="1"/>
      </tp>
      <tp>
        <v>5.3410329549599496</v>
        <stp/>
        <stp>EM_S_VAL_PBGOODWILLDEDUCTED</stp>
        <stp>2</stp>
        <stp>002761</stp>
        <stp>12/31/2018</stp>
        <tr r="N3296" s="1"/>
      </tp>
      <tp>
        <v>2.53958575805117</v>
        <stp/>
        <stp>EM_S_VAL_PBGOODWILLDEDUCTED</stp>
        <stp>2</stp>
        <stp>002760</stp>
        <stp>12/31/2018</stp>
        <tr r="N1204" s="1"/>
      </tp>
      <tp>
        <v>2.9587848956043699</v>
        <stp/>
        <stp>EM_S_VAL_PBGOODWILLDEDUCTED</stp>
        <stp>2</stp>
        <stp>002767</stp>
        <stp>12/31/2018</stp>
        <tr r="N1895" s="1"/>
      </tp>
      <tp>
        <v>2.8365086554719099</v>
        <stp/>
        <stp>EM_S_VAL_PBGOODWILLDEDUCTED</stp>
        <stp>2</stp>
        <stp>002766</stp>
        <stp>12/31/2018</stp>
        <tr r="N3305" s="1"/>
      </tp>
      <tp>
        <v>2.1238756704947401</v>
        <stp/>
        <stp>EM_S_VAL_PBGOODWILLDEDUCTED</stp>
        <stp>2</stp>
        <stp>002765</stp>
        <stp>12/31/2018</stp>
        <tr r="N3005" s="1"/>
      </tp>
      <tp>
        <v>3.3577970046469998</v>
        <stp/>
        <stp>EM_S_VAL_PBGOODWILLDEDUCTED</stp>
        <stp>2</stp>
        <stp>002779</stp>
        <stp>12/31/2018</stp>
        <tr r="N2173" s="1"/>
      </tp>
      <tp>
        <v>2.4671952297157902</v>
        <stp/>
        <stp>EM_S_VAL_PBGOODWILLDEDUCTED</stp>
        <stp>2</stp>
        <stp>002778</stp>
        <stp>12/31/2018</stp>
        <tr r="N1331" s="1"/>
      </tp>
      <tp>
        <v>5.9309147112617104</v>
        <stp/>
        <stp>EM_S_VAL_PBGOODWILLDEDUCTED</stp>
        <stp>2</stp>
        <stp>002773</stp>
        <stp>12/31/2018</stp>
        <tr r="N1974" s="1"/>
      </tp>
      <tp>
        <v>0.99271095284752897</v>
        <stp/>
        <stp>EM_S_VAL_PBGOODWILLDEDUCTED</stp>
        <stp>2</stp>
        <stp>002772</stp>
        <stp>12/31/2018</stp>
        <tr r="N1906" s="1"/>
      </tp>
      <tp>
        <v>2.65552738177204</v>
        <stp/>
        <stp>EM_S_VAL_PBGOODWILLDEDUCTED</stp>
        <stp>2</stp>
        <stp>002771</stp>
        <stp>12/31/2018</stp>
        <tr r="N2174" s="1"/>
      </tp>
      <tp>
        <v>1.75369575268232</v>
        <stp/>
        <stp>EM_S_VAL_PBGOODWILLDEDUCTED</stp>
        <stp>2</stp>
        <stp>002770</stp>
        <stp>12/31/2018</stp>
        <tr r="N2889" s="1"/>
      </tp>
      <tp>
        <v>4.1317746368697303</v>
        <stp/>
        <stp>EM_S_VAL_PBGOODWILLDEDUCTED</stp>
        <stp>2</stp>
        <stp>002777</stp>
        <stp>12/31/2018</stp>
        <tr r="N647" s="1"/>
      </tp>
      <tp>
        <v>2.5306144812892799</v>
        <stp/>
        <stp>EM_S_VAL_PBGOODWILLDEDUCTED</stp>
        <stp>2</stp>
        <stp>002776</stp>
        <stp>12/31/2018</stp>
        <tr r="N3377" s="1"/>
      </tp>
      <tp>
        <v>1.2310843727577001</v>
        <stp/>
        <stp>EM_S_VAL_PBGOODWILLDEDUCTED</stp>
        <stp>2</stp>
        <stp>002775</stp>
        <stp>12/31/2018</stp>
        <tr r="N2512" s="1"/>
      </tp>
      <tp>
        <v>2.6138646258675902</v>
        <stp/>
        <stp>EM_S_VAL_PBGOODWILLDEDUCTED</stp>
        <stp>2</stp>
        <stp>002774</stp>
        <stp>12/31/2018</stp>
        <tr r="N2622" s="1"/>
      </tp>
      <tp>
        <v>4.0125575566960503</v>
        <stp/>
        <stp>EM_S_VAL_PBGOODWILLDEDUCTED</stp>
        <stp>2</stp>
        <stp>002749</stp>
        <stp>12/31/2018</stp>
        <tr r="N3174" s="1"/>
      </tp>
      <tp>
        <v>1.45083647422053</v>
        <stp/>
        <stp>EM_S_VAL_PBGOODWILLDEDUCTED</stp>
        <stp>2</stp>
        <stp>002748</stp>
        <stp>12/31/2018</stp>
        <tr r="N2044" s="1"/>
      </tp>
      <tp>
        <v>0.97700851356735197</v>
        <stp/>
        <stp>EM_S_VAL_PBGOODWILLDEDUCTED</stp>
        <stp>2</stp>
        <stp>002743</stp>
        <stp>12/31/2018</stp>
        <tr r="N1568" s="1"/>
      </tp>
      <tp>
        <v>3.5080074560834298</v>
        <stp/>
        <stp>EM_S_VAL_PBGOODWILLDEDUCTED</stp>
        <stp>2</stp>
        <stp>002742</stp>
        <stp>12/31/2018</stp>
        <tr r="N3194" s="1"/>
      </tp>
      <tp>
        <v>4.93859664615794</v>
        <stp/>
        <stp>EM_S_VAL_PBGOODWILLDEDUCTED</stp>
        <stp>2</stp>
        <stp>002741</stp>
        <stp>12/31/2018</stp>
        <tr r="N3107" s="1"/>
      </tp>
      <tp>
        <v>1.3049179353435101</v>
        <stp/>
        <stp>EM_S_VAL_PBGOODWILLDEDUCTED</stp>
        <stp>2</stp>
        <stp>002740</stp>
        <stp>12/31/2018</stp>
        <tr r="N1265" s="1"/>
      </tp>
      <tp>
        <v>6.2094731255617104</v>
        <stp/>
        <stp>EM_S_VAL_PBGOODWILLDEDUCTED</stp>
        <stp>2</stp>
        <stp>002747</stp>
        <stp>12/31/2018</stp>
        <tr r="N862" s="1"/>
      </tp>
      <tp>
        <v>1.72744743724665</v>
        <stp/>
        <stp>EM_S_VAL_PBGOODWILLDEDUCTED</stp>
        <stp>2</stp>
        <stp>002746</stp>
        <stp>12/31/2018</stp>
        <tr r="N1580" s="1"/>
      </tp>
      <tp>
        <v>1.84740693629476</v>
        <stp/>
        <stp>EM_S_VAL_PBGOODWILLDEDUCTED</stp>
        <stp>2</stp>
        <stp>002745</stp>
        <stp>12/31/2018</stp>
        <tr r="N1165" s="1"/>
      </tp>
      <tp>
        <v>2.2066312329613602</v>
        <stp/>
        <stp>EM_S_VAL_PBGOODWILLDEDUCTED</stp>
        <stp>2</stp>
        <stp>002759</stp>
        <stp>12/31/2018</stp>
        <tr r="N1470" s="1"/>
      </tp>
      <tp>
        <v>2.5173897810599799</v>
        <stp/>
        <stp>EM_S_VAL_PBGOODWILLDEDUCTED</stp>
        <stp>2</stp>
        <stp>002758</stp>
        <stp>12/31/2018</stp>
        <tr r="N633" s="1"/>
      </tp>
      <tp>
        <v>2.1613677614465199</v>
        <stp/>
        <stp>EM_S_VAL_PBGOODWILLDEDUCTED</stp>
        <stp>2</stp>
        <stp>002753</stp>
        <stp>12/31/2018</stp>
        <tr r="N2896" s="1"/>
      </tp>
      <tp>
        <v>3.6664115286274899</v>
        <stp/>
        <stp>EM_S_VAL_PBGOODWILLDEDUCTED</stp>
        <stp>2</stp>
        <stp>002752</stp>
        <stp>12/31/2018</stp>
        <tr r="N2953" s="1"/>
      </tp>
      <tp>
        <v>3.29501504278528</v>
        <stp/>
        <stp>EM_S_VAL_PBGOODWILLDEDUCTED</stp>
        <stp>2</stp>
        <stp>002751</stp>
        <stp>12/31/2018</stp>
        <tr r="N1394" s="1"/>
      </tp>
      <tp>
        <v>3.4643439124438999</v>
        <stp/>
        <stp>EM_S_VAL_PBGOODWILLDEDUCTED</stp>
        <stp>2</stp>
        <stp>002750</stp>
        <stp>12/31/2018</stp>
        <tr r="N121" s="1"/>
      </tp>
      <tp>
        <v>3.4911234881278901</v>
        <stp/>
        <stp>EM_S_VAL_PBGOODWILLDEDUCTED</stp>
        <stp>2</stp>
        <stp>002757</stp>
        <stp>12/31/2018</stp>
        <tr r="N3322" s="1"/>
      </tp>
      <tp>
        <v>1.3180679334572101</v>
        <stp/>
        <stp>EM_S_VAL_PBGOODWILLDEDUCTED</stp>
        <stp>2</stp>
        <stp>002756</stp>
        <stp>12/31/2018</stp>
        <tr r="N470" s="1"/>
      </tp>
      <tp>
        <v>1.2183612948235401</v>
        <stp/>
        <stp>EM_S_VAL_PBGOODWILLDEDUCTED</stp>
        <stp>2</stp>
        <stp>002755</stp>
        <stp>12/31/2018</stp>
        <tr r="N1289" s="1"/>
      </tp>
      <tp>
        <v>3.1684915127599398</v>
        <stp/>
        <stp>EM_S_VAL_PBGOODWILLDEDUCTED</stp>
        <stp>2</stp>
        <stp>002729</stp>
        <stp>12/31/2018</stp>
        <tr r="N92" s="1"/>
      </tp>
      <tp>
        <v>5.6847243734272004</v>
        <stp/>
        <stp>EM_S_VAL_PBGOODWILLDEDUCTED</stp>
        <stp>2</stp>
        <stp>002728</stp>
        <stp>12/31/2018</stp>
        <tr r="N991" s="1"/>
      </tp>
      <tp>
        <v>3.0409970517178602</v>
        <stp/>
        <stp>EM_S_VAL_PBGOODWILLDEDUCTED</stp>
        <stp>2</stp>
        <stp>002723</stp>
        <stp>12/31/2018</stp>
        <tr r="N2029" s="1"/>
      </tp>
      <tp>
        <v>1.9308019180551701</v>
        <stp/>
        <stp>EM_S_VAL_PBGOODWILLDEDUCTED</stp>
        <stp>2</stp>
        <stp>002722</stp>
        <stp>12/31/2018</stp>
        <tr r="N1754" s="1"/>
      </tp>
      <tp>
        <v>1.94525283302621</v>
        <stp/>
        <stp>EM_S_VAL_PBGOODWILLDEDUCTED</stp>
        <stp>2</stp>
        <stp>002721</stp>
        <stp>12/31/2018</stp>
        <tr r="N2808" s="1"/>
      </tp>
      <tp>
        <v>0</v>
        <stp/>
        <stp>EM_S_VAL_PBGOODWILLDEDUCTED</stp>
        <stp>2</stp>
        <stp>002720</stp>
        <stp>12/31/2018</stp>
        <tr r="N8" s="1"/>
      </tp>
      <tp>
        <v>3.4007890247738199</v>
        <stp/>
        <stp>EM_S_VAL_PBGOODWILLDEDUCTED</stp>
        <stp>2</stp>
        <stp>002727</stp>
        <stp>12/31/2018</stp>
        <tr r="N946" s="1"/>
      </tp>
      <tp>
        <v>2.9202016952010599</v>
        <stp/>
        <stp>EM_S_VAL_PBGOODWILLDEDUCTED</stp>
        <stp>2</stp>
        <stp>002726</stp>
        <stp>12/31/2018</stp>
        <tr r="N2844" s="1"/>
      </tp>
      <tp>
        <v>2.1433561193761701</v>
        <stp/>
        <stp>EM_S_VAL_PBGOODWILLDEDUCTED</stp>
        <stp>2</stp>
        <stp>002725</stp>
        <stp>12/31/2018</stp>
        <tr r="N1230" s="1"/>
      </tp>
      <tp>
        <v>1.9756961075419299</v>
        <stp/>
        <stp>EM_S_VAL_PBGOODWILLDEDUCTED</stp>
        <stp>2</stp>
        <stp>002724</stp>
        <stp>12/31/2018</stp>
        <tr r="N757" s="1"/>
      </tp>
      <tp>
        <v>12.722514413721299</v>
        <stp/>
        <stp>EM_S_VAL_PBGOODWILLDEDUCTED</stp>
        <stp>2</stp>
        <stp>002739</stp>
        <stp>12/31/2018</stp>
        <tr r="N2975" s="1"/>
      </tp>
      <tp>
        <v>3.9338377476198501</v>
        <stp/>
        <stp>EM_S_VAL_PBGOODWILLDEDUCTED</stp>
        <stp>2</stp>
        <stp>002738</stp>
        <stp>12/31/2018</stp>
        <tr r="N1459" s="1"/>
      </tp>
      <tp>
        <v>1.51095082903418</v>
        <stp/>
        <stp>EM_S_VAL_PBGOODWILLDEDUCTED</stp>
        <stp>2</stp>
        <stp>002733</stp>
        <stp>12/31/2018</stp>
        <tr r="N67" s="1"/>
      </tp>
      <tp>
        <v>3.00217775644319</v>
        <stp/>
        <stp>EM_S_VAL_PBGOODWILLDEDUCTED</stp>
        <stp>2</stp>
        <stp>002732</stp>
        <stp>12/31/2018</stp>
        <tr r="N992" s="1"/>
      </tp>
      <tp>
        <v>2.17190593213946</v>
        <stp/>
        <stp>EM_S_VAL_PBGOODWILLDEDUCTED</stp>
        <stp>2</stp>
        <stp>002731</stp>
        <stp>12/31/2018</stp>
        <tr r="N3386" s="1"/>
      </tp>
      <tp>
        <v>2.8742789802769999</v>
        <stp/>
        <stp>EM_S_VAL_PBGOODWILLDEDUCTED</stp>
        <stp>2</stp>
        <stp>002730</stp>
        <stp>12/31/2018</stp>
        <tr r="N1216" s="1"/>
      </tp>
      <tp>
        <v>2.7831920235095402</v>
        <stp/>
        <stp>EM_S_VAL_PBGOODWILLDEDUCTED</stp>
        <stp>2</stp>
        <stp>002737</stp>
        <stp>12/31/2018</stp>
        <tr r="N2433" s="1"/>
      </tp>
      <tp>
        <v>1.45094052474892</v>
        <stp/>
        <stp>EM_S_VAL_PBGOODWILLDEDUCTED</stp>
        <stp>2</stp>
        <stp>002736</stp>
        <stp>12/31/2018</stp>
        <tr r="N549" s="1"/>
      </tp>
      <tp>
        <v>3.5448423791696801</v>
        <stp/>
        <stp>EM_S_VAL_PBGOODWILLDEDUCTED</stp>
        <stp>2</stp>
        <stp>002735</stp>
        <stp>12/31/2018</stp>
        <tr r="N2934" s="1"/>
      </tp>
      <tp>
        <v>1.6322866337661499</v>
        <stp/>
        <stp>EM_S_VAL_PBGOODWILLDEDUCTED</stp>
        <stp>2</stp>
        <stp>002734</stp>
        <stp>12/31/2018</stp>
        <tr r="N875" s="1"/>
      </tp>
      <tp>
        <v>2.7291958769523799</v>
        <stp/>
        <stp>EM_S_VAL_PBGOODWILLDEDUCTED</stp>
        <stp>2</stp>
        <stp>002709</stp>
        <stp>12/31/2018</stp>
        <tr r="N2533" s="1"/>
      </tp>
      <tp>
        <v>2.5332655865996401</v>
        <stp/>
        <stp>EM_S_VAL_PBGOODWILLDEDUCTED</stp>
        <stp>2</stp>
        <stp>002708</stp>
        <stp>12/31/2018</stp>
        <tr r="N1971" s="1"/>
      </tp>
      <tp>
        <v>2.2448730123515199</v>
        <stp/>
        <stp>EM_S_VAL_PBGOODWILLDEDUCTED</stp>
        <stp>2</stp>
        <stp>002703</stp>
        <stp>12/31/2018</stp>
        <tr r="N1670" s="1"/>
      </tp>
      <tp>
        <v>2.5241187112230201</v>
        <stp/>
        <stp>EM_S_VAL_PBGOODWILLDEDUCTED</stp>
        <stp>2</stp>
        <stp>002702</stp>
        <stp>12/31/2018</stp>
        <tr r="N1877" s="1"/>
      </tp>
      <tp>
        <v>2.2344961576759901</v>
        <stp/>
        <stp>EM_S_VAL_PBGOODWILLDEDUCTED</stp>
        <stp>2</stp>
        <stp>002701</stp>
        <stp>12/31/2018</stp>
        <tr r="N2874" s="1"/>
      </tp>
      <tp>
        <v>4.1129205114523701</v>
        <stp/>
        <stp>EM_S_VAL_PBGOODWILLDEDUCTED</stp>
        <stp>2</stp>
        <stp>002700</stp>
        <stp>12/31/2018</stp>
        <tr r="N3204" s="1"/>
      </tp>
      <tp>
        <v>3.7671145748906598</v>
        <stp/>
        <stp>EM_S_VAL_PBGOODWILLDEDUCTED</stp>
        <stp>2</stp>
        <stp>002707</stp>
        <stp>12/31/2018</stp>
        <tr r="N2368" s="1"/>
      </tp>
      <tp>
        <v>2.7829385444640899</v>
        <stp/>
        <stp>EM_S_VAL_PBGOODWILLDEDUCTED</stp>
        <stp>2</stp>
        <stp>002706</stp>
        <stp>12/31/2018</stp>
        <tr r="N778" s="1"/>
      </tp>
      <tp>
        <v>1.91330587526538</v>
        <stp/>
        <stp>EM_S_VAL_PBGOODWILLDEDUCTED</stp>
        <stp>2</stp>
        <stp>002705</stp>
        <stp>12/31/2018</stp>
        <tr r="N240" s="1"/>
      </tp>
      <tp>
        <v>1.94142152804997</v>
        <stp/>
        <stp>EM_S_VAL_PBGOODWILLDEDUCTED</stp>
        <stp>2</stp>
        <stp>002719</stp>
        <stp>12/31/2018</stp>
        <tr r="N2151" s="1"/>
      </tp>
      <tp>
        <v>2.0424694719834799</v>
        <stp/>
        <stp>EM_S_VAL_PBGOODWILLDEDUCTED</stp>
        <stp>2</stp>
        <stp>002718</stp>
        <stp>12/31/2018</stp>
        <tr r="N3310" s="1"/>
      </tp>
      <tp>
        <v>7.1254427147281802</v>
        <stp/>
        <stp>EM_S_VAL_PBGOODWILLDEDUCTED</stp>
        <stp>2</stp>
        <stp>002713</stp>
        <stp>12/31/2018</stp>
        <tr r="N3382" s="1"/>
      </tp>
      <tp>
        <v>2.2334663206624898</v>
        <stp/>
        <stp>EM_S_VAL_PBGOODWILLDEDUCTED</stp>
        <stp>2</stp>
        <stp>002712</stp>
        <stp>12/31/2018</stp>
        <tr r="N708" s="1"/>
      </tp>
      <tp>
        <v>-1.6042114261388101</v>
        <stp/>
        <stp>EM_S_VAL_PBGOODWILLDEDUCTED</stp>
        <stp>2</stp>
        <stp>002711</stp>
        <stp>12/31/2018</stp>
        <tr r="N3398" s="1"/>
      </tp>
      <tp>
        <v>0</v>
        <stp/>
        <stp>EM_S_VAL_PBGOODWILLDEDUCTED</stp>
        <stp>2</stp>
        <stp>002710</stp>
        <stp>12/31/2018</stp>
        <tr r="N7" s="1"/>
      </tp>
      <tp>
        <v>2.7780595269717598</v>
        <stp/>
        <stp>EM_S_VAL_PBGOODWILLDEDUCTED</stp>
        <stp>2</stp>
        <stp>002717</stp>
        <stp>12/31/2018</stp>
        <tr r="N3355" s="1"/>
      </tp>
      <tp>
        <v>1.59236409660209</v>
        <stp/>
        <stp>EM_S_VAL_PBGOODWILLDEDUCTED</stp>
        <stp>2</stp>
        <stp>002716</stp>
        <stp>12/31/2018</stp>
        <tr r="N3375" s="1"/>
      </tp>
      <tp>
        <v>3.1219423093486398</v>
        <stp/>
        <stp>EM_S_VAL_PBGOODWILLDEDUCTED</stp>
        <stp>2</stp>
        <stp>002715</stp>
        <stp>12/31/2018</stp>
        <tr r="N1693" s="1"/>
      </tp>
      <tp>
        <v>6.0989903125197804</v>
        <stp/>
        <stp>EM_S_VAL_PBGOODWILLDEDUCTED</stp>
        <stp>2</stp>
        <stp>002714</stp>
        <stp>12/31/2018</stp>
        <tr r="N46" s="1"/>
      </tp>
      <tp>
        <v>2.4889720030834499</v>
        <stp/>
        <stp>EM_S_VAL_PBGOODWILLDEDUCTED</stp>
        <stp>2</stp>
        <stp>002689</stp>
        <stp>12/31/2018</stp>
        <tr r="N1692" s="1"/>
      </tp>
      <tp>
        <v>2.13577001931196</v>
        <stp/>
        <stp>EM_S_VAL_PBGOODWILLDEDUCTED</stp>
        <stp>2</stp>
        <stp>002688</stp>
        <stp>12/31/2018</stp>
        <tr r="N809" s="1"/>
      </tp>
      <tp>
        <v>2.7939565744390902</v>
        <stp/>
        <stp>EM_S_VAL_PBGOODWILLDEDUCTED</stp>
        <stp>2</stp>
        <stp>002683</stp>
        <stp>12/31/2018</stp>
        <tr r="N111" s="1"/>
      </tp>
      <tp>
        <v>1.3450513539294799</v>
        <stp/>
        <stp>EM_S_VAL_PBGOODWILLDEDUCTED</stp>
        <stp>2</stp>
        <stp>002682</stp>
        <stp>12/31/2018</stp>
        <tr r="N2134" s="1"/>
      </tp>
      <tp>
        <v>3.11280656100493</v>
        <stp/>
        <stp>EM_S_VAL_PBGOODWILLDEDUCTED</stp>
        <stp>2</stp>
        <stp>002681</stp>
        <stp>12/31/2018</stp>
        <tr r="N536" s="1"/>
      </tp>
      <tp>
        <v>1.0373785695755999</v>
        <stp/>
        <stp>EM_S_VAL_PBGOODWILLDEDUCTED</stp>
        <stp>2</stp>
        <stp>002680</stp>
        <stp>12/31/2018</stp>
        <tr r="N3406" s="1"/>
      </tp>
      <tp>
        <v>2.0628173905098199</v>
        <stp/>
        <stp>EM_S_VAL_PBGOODWILLDEDUCTED</stp>
        <stp>2</stp>
        <stp>002687</stp>
        <stp>12/31/2018</stp>
        <tr r="N2607" s="1"/>
      </tp>
      <tp>
        <v>3.4465510011977498</v>
        <stp/>
        <stp>EM_S_VAL_PBGOODWILLDEDUCTED</stp>
        <stp>2</stp>
        <stp>002686</stp>
        <stp>12/31/2018</stp>
        <tr r="N2783" s="1"/>
      </tp>
      <tp>
        <v>2.0815785826932802</v>
        <stp/>
        <stp>EM_S_VAL_PBGOODWILLDEDUCTED</stp>
        <stp>2</stp>
        <stp>002685</stp>
        <stp>12/31/2018</stp>
        <tr r="N775" s="1"/>
      </tp>
      <tp>
        <v>-11.5536962459778</v>
        <stp/>
        <stp>EM_S_VAL_PBGOODWILLDEDUCTED</stp>
        <stp>2</stp>
        <stp>002684</stp>
        <stp>12/31/2018</stp>
        <tr r="N2556" s="1"/>
      </tp>
      <tp>
        <v>2.0131480977351299</v>
        <stp/>
        <stp>EM_S_VAL_PBGOODWILLDEDUCTED</stp>
        <stp>2</stp>
        <stp>002699</stp>
        <stp>12/31/2018</stp>
        <tr r="N1025" s="1"/>
      </tp>
      <tp>
        <v>3.0241308439924901</v>
        <stp/>
        <stp>EM_S_VAL_PBGOODWILLDEDUCTED</stp>
        <stp>2</stp>
        <stp>002698</stp>
        <stp>12/31/2018</stp>
        <tr r="N1301" s="1"/>
      </tp>
      <tp>
        <v>3.0177952351828998</v>
        <stp/>
        <stp>EM_S_VAL_PBGOODWILLDEDUCTED</stp>
        <stp>2</stp>
        <stp>002693</stp>
        <stp>12/31/2018</stp>
        <tr r="N1309" s="1"/>
      </tp>
      <tp>
        <v>2.5509575131653599</v>
        <stp/>
        <stp>EM_S_VAL_PBGOODWILLDEDUCTED</stp>
        <stp>2</stp>
        <stp>002692</stp>
        <stp>12/31/2018</stp>
        <tr r="N2695" s="1"/>
      </tp>
      <tp>
        <v>2.8656808513427001</v>
        <stp/>
        <stp>EM_S_VAL_PBGOODWILLDEDUCTED</stp>
        <stp>2</stp>
        <stp>002691</stp>
        <stp>12/31/2018</stp>
        <tr r="N3060" s="1"/>
      </tp>
      <tp>
        <v>6.2293648374289798</v>
        <stp/>
        <stp>EM_S_VAL_PBGOODWILLDEDUCTED</stp>
        <stp>2</stp>
        <stp>002690</stp>
        <stp>12/31/2018</stp>
        <tr r="N233" s="1"/>
      </tp>
      <tp>
        <v>2.6700909397486501</v>
        <stp/>
        <stp>EM_S_VAL_PBGOODWILLDEDUCTED</stp>
        <stp>2</stp>
        <stp>002697</stp>
        <stp>12/31/2018</stp>
        <tr r="N629" s="1"/>
      </tp>
      <tp>
        <v>2.75058144683226</v>
        <stp/>
        <stp>EM_S_VAL_PBGOODWILLDEDUCTED</stp>
        <stp>2</stp>
        <stp>002696</stp>
        <stp>12/31/2018</stp>
        <tr r="N3242" s="1"/>
      </tp>
      <tp>
        <v>2.7538955915967001</v>
        <stp/>
        <stp>EM_S_VAL_PBGOODWILLDEDUCTED</stp>
        <stp>2</stp>
        <stp>002695</stp>
        <stp>12/31/2018</stp>
        <tr r="N430" s="1"/>
      </tp>
      <tp>
        <v>2.5556463496593098</v>
        <stp/>
        <stp>EM_S_VAL_PBGOODWILLDEDUCTED</stp>
        <stp>2</stp>
        <stp>002694</stp>
        <stp>12/31/2018</stp>
        <tr r="N3113" s="1"/>
      </tp>
      <tp>
        <v>1.5422797859189099</v>
        <stp/>
        <stp>EM_S_VAL_PBGOODWILLDEDUCTED</stp>
        <stp>2</stp>
        <stp>002669</stp>
        <stp>12/31/2018</stp>
        <tr r="N830" s="1"/>
      </tp>
      <tp>
        <v>2.2490489038472199</v>
        <stp/>
        <stp>EM_S_VAL_PBGOODWILLDEDUCTED</stp>
        <stp>2</stp>
        <stp>002668</stp>
        <stp>12/31/2018</stp>
        <tr r="N1444" s="1"/>
      </tp>
      <tp>
        <v>1.0791308649155</v>
        <stp/>
        <stp>EM_S_VAL_PBGOODWILLDEDUCTED</stp>
        <stp>2</stp>
        <stp>002663</stp>
        <stp>12/31/2018</stp>
        <tr r="N1524" s="1"/>
      </tp>
      <tp>
        <v>1.18658673237934</v>
        <stp/>
        <stp>EM_S_VAL_PBGOODWILLDEDUCTED</stp>
        <stp>2</stp>
        <stp>002662</stp>
        <stp>12/31/2018</stp>
        <tr r="N3217" s="1"/>
      </tp>
      <tp>
        <v>1.8462430099870899</v>
        <stp/>
        <stp>EM_S_VAL_PBGOODWILLDEDUCTED</stp>
        <stp>2</stp>
        <stp>002661</stp>
        <stp>12/31/2018</stp>
        <tr r="N2711" s="1"/>
      </tp>
      <tp>
        <v>2.9195272345389198</v>
        <stp/>
        <stp>EM_S_VAL_PBGOODWILLDEDUCTED</stp>
        <stp>2</stp>
        <stp>002660</stp>
        <stp>12/31/2018</stp>
        <tr r="N568" s="1"/>
      </tp>
      <tp>
        <v>1.9741784026581899</v>
        <stp/>
        <stp>EM_S_VAL_PBGOODWILLDEDUCTED</stp>
        <stp>2</stp>
        <stp>002667</stp>
        <stp>12/31/2018</stp>
        <tr r="N1882" s="1"/>
      </tp>
      <tp>
        <v>0.97912350127430303</v>
        <stp/>
        <stp>EM_S_VAL_PBGOODWILLDEDUCTED</stp>
        <stp>2</stp>
        <stp>002666</stp>
        <stp>12/31/2018</stp>
        <tr r="N1190" s="1"/>
      </tp>
      <tp>
        <v>1.0611789616615801</v>
        <stp/>
        <stp>EM_S_VAL_PBGOODWILLDEDUCTED</stp>
        <stp>2</stp>
        <stp>002665</stp>
        <stp>12/31/2018</stp>
        <tr r="N1281" s="1"/>
      </tp>
      <tp>
        <v>2.7759393192132502</v>
        <stp/>
        <stp>EM_S_VAL_PBGOODWILLDEDUCTED</stp>
        <stp>2</stp>
        <stp>002664</stp>
        <stp>12/31/2018</stp>
        <tr r="N985" s="1"/>
      </tp>
      <tp>
        <v>5.3492658325446003</v>
        <stp/>
        <stp>EM_S_VAL_PBGOODWILLDEDUCTED</stp>
        <stp>2</stp>
        <stp>002679</stp>
        <stp>12/31/2018</stp>
        <tr r="N2584" s="1"/>
      </tp>
      <tp>
        <v>2.3728855126687201</v>
        <stp/>
        <stp>EM_S_VAL_PBGOODWILLDEDUCTED</stp>
        <stp>2</stp>
        <stp>002678</stp>
        <stp>12/31/2018</stp>
        <tr r="N697" s="1"/>
      </tp>
      <tp>
        <v>1.5478915918155101</v>
        <stp/>
        <stp>EM_S_VAL_PBGOODWILLDEDUCTED</stp>
        <stp>2</stp>
        <stp>002673</stp>
        <stp>12/31/2018</stp>
        <tr r="N998" s="1"/>
      </tp>
      <tp>
        <v>3.58754413733066</v>
        <stp/>
        <stp>EM_S_VAL_PBGOODWILLDEDUCTED</stp>
        <stp>2</stp>
        <stp>002672</stp>
        <stp>12/31/2018</stp>
        <tr r="N3093" s="1"/>
      </tp>
      <tp>
        <v>1.0805461614404299</v>
        <stp/>
        <stp>EM_S_VAL_PBGOODWILLDEDUCTED</stp>
        <stp>2</stp>
        <stp>002671</stp>
        <stp>12/31/2018</stp>
        <tr r="N1752" s="1"/>
      </tp>
      <tp>
        <v>2.3437368393111</v>
        <stp/>
        <stp>EM_S_VAL_PBGOODWILLDEDUCTED</stp>
        <stp>2</stp>
        <stp>002670</stp>
        <stp>12/31/2018</stp>
        <tr r="N1233" s="1"/>
      </tp>
      <tp>
        <v>4.71851661139981</v>
        <stp/>
        <stp>EM_S_VAL_PBGOODWILLDEDUCTED</stp>
        <stp>2</stp>
        <stp>002677</stp>
        <stp>12/31/2018</stp>
        <tr r="N839" s="1"/>
      </tp>
      <tp>
        <v>1.9872047535880399</v>
        <stp/>
        <stp>EM_S_VAL_PBGOODWILLDEDUCTED</stp>
        <stp>2</stp>
        <stp>002676</stp>
        <stp>12/31/2018</stp>
        <tr r="N1749" s="1"/>
      </tp>
      <tp>
        <v>4.2481670132610496</v>
        <stp/>
        <stp>EM_S_VAL_PBGOODWILLDEDUCTED</stp>
        <stp>2</stp>
        <stp>002675</stp>
        <stp>12/31/2018</stp>
        <tr r="N177" s="1"/>
      </tp>
      <tp>
        <v>0.99017499167079703</v>
        <stp/>
        <stp>EM_S_VAL_PBGOODWILLDEDUCTED</stp>
        <stp>2</stp>
        <stp>002674</stp>
        <stp>12/31/2018</stp>
        <tr r="N622" s="1"/>
      </tp>
      <tp>
        <v>2.0878059995025202</v>
        <stp/>
        <stp>EM_S_VAL_PBGOODWILLDEDUCTED</stp>
        <stp>2</stp>
        <stp>002649</stp>
        <stp>12/31/2018</stp>
        <tr r="N807" s="1"/>
      </tp>
      <tp>
        <v>1.2888361783580899</v>
        <stp/>
        <stp>EM_S_VAL_PBGOODWILLDEDUCTED</stp>
        <stp>2</stp>
        <stp>002648</stp>
        <stp>12/31/2018</stp>
        <tr r="N309" s="1"/>
      </tp>
      <tp>
        <v>2.4835018399045201</v>
        <stp/>
        <stp>EM_S_VAL_PBGOODWILLDEDUCTED</stp>
        <stp>2</stp>
        <stp>002643</stp>
        <stp>12/31/2018</stp>
        <tr r="N561" s="1"/>
      </tp>
      <tp>
        <v>1.9341051902753601</v>
        <stp/>
        <stp>EM_S_VAL_PBGOODWILLDEDUCTED</stp>
        <stp>2</stp>
        <stp>002642</stp>
        <stp>12/31/2018</stp>
        <tr r="N2603" s="1"/>
      </tp>
      <tp>
        <v>1.2794466874258701</v>
        <stp/>
        <stp>EM_S_VAL_PBGOODWILLDEDUCTED</stp>
        <stp>2</stp>
        <stp>002641</stp>
        <stp>12/31/2018</stp>
        <tr r="N718" s="1"/>
      </tp>
      <tp>
        <v>3.5145335281556598</v>
        <stp/>
        <stp>EM_S_VAL_PBGOODWILLDEDUCTED</stp>
        <stp>2</stp>
        <stp>002640</stp>
        <stp>12/31/2018</stp>
        <tr r="N3219" s="1"/>
      </tp>
      <tp>
        <v>-270.37907224557</v>
        <stp/>
        <stp>EM_S_VAL_PBGOODWILLDEDUCTED</stp>
        <stp>2</stp>
        <stp>002647</stp>
        <stp>12/31/2018</stp>
        <tr r="N963" s="1"/>
      </tp>
      <tp>
        <v>2.0163703184102002</v>
        <stp/>
        <stp>EM_S_VAL_PBGOODWILLDEDUCTED</stp>
        <stp>2</stp>
        <stp>002646</stp>
        <stp>12/31/2018</stp>
        <tr r="N2254" s="1"/>
      </tp>
      <tp>
        <v>2.0993548995183899</v>
        <stp/>
        <stp>EM_S_VAL_PBGOODWILLDEDUCTED</stp>
        <stp>2</stp>
        <stp>002645</stp>
        <stp>12/31/2018</stp>
        <tr r="N1368" s="1"/>
      </tp>
      <tp>
        <v>2.7661698110139699</v>
        <stp/>
        <stp>EM_S_VAL_PBGOODWILLDEDUCTED</stp>
        <stp>2</stp>
        <stp>002644</stp>
        <stp>12/31/2018</stp>
        <tr r="N2710" s="1"/>
      </tp>
      <tp>
        <v>2.2111843633157</v>
        <stp/>
        <stp>EM_S_VAL_PBGOODWILLDEDUCTED</stp>
        <stp>2</stp>
        <stp>002659</stp>
        <stp>12/31/2018</stp>
        <tr r="N3175" s="1"/>
      </tp>
      <tp>
        <v>2.15894884672137</v>
        <stp/>
        <stp>EM_S_VAL_PBGOODWILLDEDUCTED</stp>
        <stp>2</stp>
        <stp>002658</stp>
        <stp>12/31/2018</stp>
        <tr r="N2191" s="1"/>
      </tp>
      <tp>
        <v>6.3375459094067796</v>
        <stp/>
        <stp>EM_S_VAL_PBGOODWILLDEDUCTED</stp>
        <stp>2</stp>
        <stp>002653</stp>
        <stp>12/31/2018</stp>
        <tr r="N337" s="1"/>
      </tp>
      <tp>
        <v>4.1311403750000801</v>
        <stp/>
        <stp>EM_S_VAL_PBGOODWILLDEDUCTED</stp>
        <stp>2</stp>
        <stp>002652</stp>
        <stp>12/31/2018</stp>
        <tr r="N2182" s="1"/>
      </tp>
      <tp>
        <v>2.43730090382304</v>
        <stp/>
        <stp>EM_S_VAL_PBGOODWILLDEDUCTED</stp>
        <stp>2</stp>
        <stp>002651</stp>
        <stp>12/31/2018</stp>
        <tr r="N1383" s="1"/>
      </tp>
      <tp>
        <v>1.90733125783241</v>
        <stp/>
        <stp>EM_S_VAL_PBGOODWILLDEDUCTED</stp>
        <stp>2</stp>
        <stp>002650</stp>
        <stp>12/31/2018</stp>
        <tr r="N2392" s="1"/>
      </tp>
      <tp>
        <v>1.8922327012556901</v>
        <stp/>
        <stp>EM_S_VAL_PBGOODWILLDEDUCTED</stp>
        <stp>2</stp>
        <stp>002657</stp>
        <stp>12/31/2018</stp>
        <tr r="N628" s="1"/>
      </tp>
      <tp>
        <v>2.239879645237</v>
        <stp/>
        <stp>EM_S_VAL_PBGOODWILLDEDUCTED</stp>
        <stp>2</stp>
        <stp>002656</stp>
        <stp>12/31/2018</stp>
        <tr r="N3289" s="1"/>
      </tp>
      <tp>
        <v>4.8114000069002696</v>
        <stp/>
        <stp>EM_S_VAL_PBGOODWILLDEDUCTED</stp>
        <stp>2</stp>
        <stp>002655</stp>
        <stp>12/31/2018</stp>
        <tr r="N153" s="1"/>
      </tp>
      <tp>
        <v>3.27936654609768</v>
        <stp/>
        <stp>EM_S_VAL_PBGOODWILLDEDUCTED</stp>
        <stp>2</stp>
        <stp>002654</stp>
        <stp>12/31/2018</stp>
        <tr r="N606" s="1"/>
      </tp>
      <tp>
        <v>64.053598546399201</v>
        <stp/>
        <stp>EM_S_VAL_PBGOODWILLDEDUCTED</stp>
        <stp>2</stp>
        <stp>002629</stp>
        <stp>12/31/2018</stp>
        <tr r="N3220" s="1"/>
      </tp>
      <tp>
        <v>1.2514080018460401</v>
        <stp/>
        <stp>EM_S_VAL_PBGOODWILLDEDUCTED</stp>
        <stp>2</stp>
        <stp>002628</stp>
        <stp>12/31/2018</stp>
        <tr r="N2357" s="1"/>
      </tp>
      <tp>
        <v>1.1059270317686201</v>
        <stp/>
        <stp>EM_S_VAL_PBGOODWILLDEDUCTED</stp>
        <stp>2</stp>
        <stp>002623</stp>
        <stp>12/31/2018</stp>
        <tr r="N556" s="1"/>
      </tp>
      <tp>
        <v>2.4354763831767099</v>
        <stp/>
        <stp>EM_S_VAL_PBGOODWILLDEDUCTED</stp>
        <stp>2</stp>
        <stp>002622</stp>
        <stp>12/31/2018</stp>
        <tr r="N1510" s="1"/>
      </tp>
      <tp>
        <v>-6.6687752823055497</v>
        <stp/>
        <stp>EM_S_VAL_PBGOODWILLDEDUCTED</stp>
        <stp>2</stp>
        <stp>002621</stp>
        <stp>12/31/2018</stp>
        <tr r="N3271" s="1"/>
      </tp>
      <tp>
        <v>0.98061967442913101</v>
        <stp/>
        <stp>EM_S_VAL_PBGOODWILLDEDUCTED</stp>
        <stp>2</stp>
        <stp>002620</stp>
        <stp>12/31/2018</stp>
        <tr r="N2023" s="1"/>
      </tp>
      <tp>
        <v>0.97309975425831297</v>
        <stp/>
        <stp>EM_S_VAL_PBGOODWILLDEDUCTED</stp>
        <stp>2</stp>
        <stp>002627</stp>
        <stp>12/31/2018</stp>
        <tr r="N389" s="1"/>
      </tp>
      <tp>
        <v>3.3369576433196801</v>
        <stp/>
        <stp>EM_S_VAL_PBGOODWILLDEDUCTED</stp>
        <stp>2</stp>
        <stp>002626</stp>
        <stp>12/31/2018</stp>
        <tr r="N414" s="1"/>
      </tp>
      <tp>
        <v>2.9329988035904999</v>
        <stp/>
        <stp>EM_S_VAL_PBGOODWILLDEDUCTED</stp>
        <stp>2</stp>
        <stp>002625</stp>
        <stp>12/31/2018</stp>
        <tr r="N2630" s="1"/>
      </tp>
      <tp>
        <v>4.8777493244052703</v>
        <stp/>
        <stp>EM_S_VAL_PBGOODWILLDEDUCTED</stp>
        <stp>2</stp>
        <stp>002624</stp>
        <stp>12/31/2018</stp>
        <tr r="N449" s="1"/>
      </tp>
      <tp>
        <v>1.9516074269480499</v>
        <stp/>
        <stp>EM_S_VAL_PBGOODWILLDEDUCTED</stp>
        <stp>2</stp>
        <stp>002639</stp>
        <stp>12/31/2018</stp>
        <tr r="N434" s="1"/>
      </tp>
      <tp>
        <v>1.11792268697007</v>
        <stp/>
        <stp>EM_S_VAL_PBGOODWILLDEDUCTED</stp>
        <stp>2</stp>
        <stp>002638</stp>
        <stp>12/31/2018</stp>
        <tr r="N689" s="1"/>
      </tp>
      <tp>
        <v>2.3207512640067498</v>
        <stp/>
        <stp>EM_S_VAL_PBGOODWILLDEDUCTED</stp>
        <stp>2</stp>
        <stp>002633</stp>
        <stp>12/31/2018</stp>
        <tr r="N2033" s="1"/>
      </tp>
      <tp>
        <v>2.4379639079898001</v>
        <stp/>
        <stp>EM_S_VAL_PBGOODWILLDEDUCTED</stp>
        <stp>2</stp>
        <stp>002632</stp>
        <stp>12/31/2018</stp>
        <tr r="N1891" s="1"/>
      </tp>
      <tp>
        <v>2.7397850505687802</v>
        <stp/>
        <stp>EM_S_VAL_PBGOODWILLDEDUCTED</stp>
        <stp>2</stp>
        <stp>002631</stp>
        <stp>12/31/2018</stp>
        <tr r="N1082" s="1"/>
      </tp>
      <tp>
        <v>1.07343029965667</v>
        <stp/>
        <stp>EM_S_VAL_PBGOODWILLDEDUCTED</stp>
        <stp>2</stp>
        <stp>002630</stp>
        <stp>12/31/2018</stp>
        <tr r="N2954" s="1"/>
      </tp>
      <tp>
        <v>1.50615791375015</v>
        <stp/>
        <stp>EM_S_VAL_PBGOODWILLDEDUCTED</stp>
        <stp>2</stp>
        <stp>002637</stp>
        <stp>12/31/2018</stp>
        <tr r="N640" s="1"/>
      </tp>
      <tp>
        <v>2.2089642719931502</v>
        <stp/>
        <stp>EM_S_VAL_PBGOODWILLDEDUCTED</stp>
        <stp>2</stp>
        <stp>002636</stp>
        <stp>12/31/2018</stp>
        <tr r="N1181" s="1"/>
      </tp>
      <tp>
        <v>1.84803620272262</v>
        <stp/>
        <stp>EM_S_VAL_PBGOODWILLDEDUCTED</stp>
        <stp>2</stp>
        <stp>002635</stp>
        <stp>12/31/2018</stp>
        <tr r="N547" s="1"/>
      </tp>
      <tp>
        <v>3.3200837233111602</v>
        <stp/>
        <stp>EM_S_VAL_PBGOODWILLDEDUCTED</stp>
        <stp>2</stp>
        <stp>002634</stp>
        <stp>12/31/2018</stp>
        <tr r="N713" s="1"/>
      </tp>
      <tp>
        <v>1.9004550776954201</v>
        <stp/>
        <stp>EM_S_VAL_PBGOODWILLDEDUCTED</stp>
        <stp>2</stp>
        <stp>002609</stp>
        <stp>12/31/2018</stp>
        <tr r="N507" s="1"/>
      </tp>
      <tp>
        <v>1.19343319901862</v>
        <stp/>
        <stp>EM_S_VAL_PBGOODWILLDEDUCTED</stp>
        <stp>2</stp>
        <stp>002608</stp>
        <stp>12/31/2018</stp>
        <tr r="N2248" s="1"/>
      </tp>
      <tp>
        <v>1.6687946209014799</v>
        <stp/>
        <stp>EM_S_VAL_PBGOODWILLDEDUCTED</stp>
        <stp>2</stp>
        <stp>002603</stp>
        <stp>12/31/2018</stp>
        <tr r="N1855" s="1"/>
      </tp>
      <tp>
        <v>8.0777725533909202</v>
        <stp/>
        <stp>EM_S_VAL_PBGOODWILLDEDUCTED</stp>
        <stp>2</stp>
        <stp>002602</stp>
        <stp>12/31/2018</stp>
        <tr r="N3332" s="1"/>
      </tp>
      <tp>
        <v>3.36074158137159</v>
        <stp/>
        <stp>EM_S_VAL_PBGOODWILLDEDUCTED</stp>
        <stp>2</stp>
        <stp>002601</stp>
        <stp>12/31/2018</stp>
        <tr r="N1076" s="1"/>
      </tp>
      <tp>
        <v>2.0986640011560498</v>
        <stp/>
        <stp>EM_S_VAL_PBGOODWILLDEDUCTED</stp>
        <stp>2</stp>
        <stp>002600</stp>
        <stp>12/31/2018</stp>
        <tr r="N23" s="1"/>
      </tp>
      <tp>
        <v>2.06946205154996</v>
        <stp/>
        <stp>EM_S_VAL_PBGOODWILLDEDUCTED</stp>
        <stp>2</stp>
        <stp>002607</stp>
        <stp>12/31/2018</stp>
        <tr r="N95" s="1"/>
      </tp>
      <tp>
        <v>3.0589424507491101</v>
        <stp/>
        <stp>EM_S_VAL_PBGOODWILLDEDUCTED</stp>
        <stp>2</stp>
        <stp>002606</stp>
        <stp>12/31/2018</stp>
        <tr r="N2831" s="1"/>
      </tp>
      <tp>
        <v>2.97492365373743</v>
        <stp/>
        <stp>EM_S_VAL_PBGOODWILLDEDUCTED</stp>
        <stp>2</stp>
        <stp>002605</stp>
        <stp>12/31/2018</stp>
        <tr r="N74" s="1"/>
      </tp>
      <tp>
        <v>-0.29469061358249798</v>
        <stp/>
        <stp>EM_S_VAL_PBGOODWILLDEDUCTED</stp>
        <stp>2</stp>
        <stp>002604</stp>
        <stp>12/31/2018</stp>
        <tr r="N1363" s="1"/>
      </tp>
      <tp>
        <v>2.2607429240509198</v>
        <stp/>
        <stp>EM_S_VAL_PBGOODWILLDEDUCTED</stp>
        <stp>2</stp>
        <stp>002619</stp>
        <stp>12/31/2018</stp>
        <tr r="N2620" s="1"/>
      </tp>
      <tp>
        <v>4.3970328381987196</v>
        <stp/>
        <stp>EM_S_VAL_PBGOODWILLDEDUCTED</stp>
        <stp>2</stp>
        <stp>002618</stp>
        <stp>12/31/2018</stp>
        <tr r="N2739" s="1"/>
      </tp>
      <tp>
        <v>1.6815895931132401</v>
        <stp/>
        <stp>EM_S_VAL_PBGOODWILLDEDUCTED</stp>
        <stp>2</stp>
        <stp>002613</stp>
        <stp>12/31/2018</stp>
        <tr r="N2072" s="1"/>
      </tp>
      <tp>
        <v>1.5748763833778101</v>
        <stp/>
        <stp>EM_S_VAL_PBGOODWILLDEDUCTED</stp>
        <stp>2</stp>
        <stp>002612</stp>
        <stp>12/31/2018</stp>
        <tr r="N1881" s="1"/>
      </tp>
      <tp>
        <v>2.0543368649961899</v>
        <stp/>
        <stp>EM_S_VAL_PBGOODWILLDEDUCTED</stp>
        <stp>2</stp>
        <stp>002611</stp>
        <stp>12/31/2018</stp>
        <tr r="N1539" s="1"/>
      </tp>
      <tp>
        <v>1.2014912759055401</v>
        <stp/>
        <stp>EM_S_VAL_PBGOODWILLDEDUCTED</stp>
        <stp>2</stp>
        <stp>002610</stp>
        <stp>12/31/2018</stp>
        <tr r="N2135" s="1"/>
      </tp>
      <tp>
        <v>2.9861067983591001</v>
        <stp/>
        <stp>EM_S_VAL_PBGOODWILLDEDUCTED</stp>
        <stp>2</stp>
        <stp>002617</stp>
        <stp>12/31/2018</stp>
        <tr r="N760" s="1"/>
      </tp>
      <tp>
        <v>2.5606572402321799</v>
        <stp/>
        <stp>EM_S_VAL_PBGOODWILLDEDUCTED</stp>
        <stp>2</stp>
        <stp>002616</stp>
        <stp>12/31/2018</stp>
        <tr r="N1661" s="1"/>
      </tp>
      <tp>
        <v>2.4931350838575699</v>
        <stp/>
        <stp>EM_S_VAL_PBGOODWILLDEDUCTED</stp>
        <stp>2</stp>
        <stp>002615</stp>
        <stp>12/31/2018</stp>
        <tr r="N1586" s="1"/>
      </tp>
      <tp>
        <v>2.9272098843601602</v>
        <stp/>
        <stp>EM_S_VAL_PBGOODWILLDEDUCTED</stp>
        <stp>2</stp>
        <stp>002614</stp>
        <stp>12/31/2018</stp>
        <tr r="N3257" s="1"/>
      </tp>
      <tp>
        <v>3.2044616869364102</v>
        <stp/>
        <stp>EM_S_VAL_PBGOODWILLDEDUCTED</stp>
        <stp>2</stp>
        <stp>002189</stp>
        <stp>12/31/2018</stp>
        <tr r="N409" s="1"/>
      </tp>
      <tp>
        <v>-1.7877239745498501</v>
        <stp/>
        <stp>EM_S_VAL_PBGOODWILLDEDUCTED</stp>
        <stp>2</stp>
        <stp>002188</stp>
        <stp>12/31/2018</stp>
        <tr r="N2426" s="1"/>
      </tp>
      <tp>
        <v>1.8798629097421999</v>
        <stp/>
        <stp>EM_S_VAL_PBGOODWILLDEDUCTED</stp>
        <stp>2</stp>
        <stp>002183</stp>
        <stp>12/31/2018</stp>
        <tr r="N2949" s="1"/>
      </tp>
      <tp>
        <v>2.2081237171047099</v>
        <stp/>
        <stp>EM_S_VAL_PBGOODWILLDEDUCTED</stp>
        <stp>2</stp>
        <stp>002182</stp>
        <stp>12/31/2018</stp>
        <tr r="N558" s="1"/>
      </tp>
      <tp>
        <v>1.0569605485251301</v>
        <stp/>
        <stp>EM_S_VAL_PBGOODWILLDEDUCTED</stp>
        <stp>2</stp>
        <stp>002181</stp>
        <stp>12/31/2018</stp>
        <tr r="N406" s="1"/>
      </tp>
      <tp>
        <v>-3.16523691617724</v>
        <stp/>
        <stp>EM_S_VAL_PBGOODWILLDEDUCTED</stp>
        <stp>2</stp>
        <stp>002180</stp>
        <stp>12/31/2018</stp>
        <tr r="N700" s="1"/>
      </tp>
      <tp>
        <v>1.0167211280102799</v>
        <stp/>
        <stp>EM_S_VAL_PBGOODWILLDEDUCTED</stp>
        <stp>2</stp>
        <stp>002187</stp>
        <stp>12/31/2018</stp>
        <tr r="N1956" s="1"/>
      </tp>
      <tp>
        <v>2.3469346412188998</v>
        <stp/>
        <stp>EM_S_VAL_PBGOODWILLDEDUCTED</stp>
        <stp>2</stp>
        <stp>002186</stp>
        <stp>12/31/2018</stp>
        <tr r="N2772" s="1"/>
      </tp>
      <tp>
        <v>1.52437179020698</v>
        <stp/>
        <stp>EM_S_VAL_PBGOODWILLDEDUCTED</stp>
        <stp>2</stp>
        <stp>002185</stp>
        <stp>12/31/2018</stp>
        <tr r="N243" s="1"/>
      </tp>
      <tp>
        <v>2.4585658221366198</v>
        <stp/>
        <stp>EM_S_VAL_PBGOODWILLDEDUCTED</stp>
        <stp>2</stp>
        <stp>002184</stp>
        <stp>12/31/2018</stp>
        <tr r="N1608" s="1"/>
      </tp>
      <tp>
        <v>5.8476794247527399</v>
        <stp/>
        <stp>EM_S_VAL_PBGOODWILLDEDUCTED</stp>
        <stp>2</stp>
        <stp>002199</stp>
        <stp>12/31/2018</stp>
        <tr r="N2124" s="1"/>
      </tp>
      <tp>
        <v>3.8870890544081398</v>
        <stp/>
        <stp>EM_S_VAL_PBGOODWILLDEDUCTED</stp>
        <stp>2</stp>
        <stp>002198</stp>
        <stp>12/31/2018</stp>
        <tr r="N2082" s="1"/>
      </tp>
      <tp>
        <v>0.87986863445974495</v>
        <stp/>
        <stp>EM_S_VAL_PBGOODWILLDEDUCTED</stp>
        <stp>2</stp>
        <stp>002193</stp>
        <stp>12/31/2018</stp>
        <tr r="N2773" s="1"/>
      </tp>
      <tp>
        <v>7.6333829110814104</v>
        <stp/>
        <stp>EM_S_VAL_PBGOODWILLDEDUCTED</stp>
        <stp>2</stp>
        <stp>002192</stp>
        <stp>12/31/2018</stp>
        <tr r="N988" s="1"/>
      </tp>
      <tp>
        <v>2.1211060899628</v>
        <stp/>
        <stp>EM_S_VAL_PBGOODWILLDEDUCTED</stp>
        <stp>2</stp>
        <stp>002191</stp>
        <stp>12/31/2018</stp>
        <tr r="N626" s="1"/>
      </tp>
      <tp>
        <v>3.2211467860818099</v>
        <stp/>
        <stp>EM_S_VAL_PBGOODWILLDEDUCTED</stp>
        <stp>2</stp>
        <stp>002190</stp>
        <stp>12/31/2018</stp>
        <tr r="N842" s="1"/>
      </tp>
      <tp>
        <v>1.4978640958202301</v>
        <stp/>
        <stp>EM_S_VAL_PBGOODWILLDEDUCTED</stp>
        <stp>2</stp>
        <stp>002197</stp>
        <stp>12/31/2018</stp>
        <tr r="N1474" s="1"/>
      </tp>
      <tp>
        <v>1.6845646779599901</v>
        <stp/>
        <stp>EM_S_VAL_PBGOODWILLDEDUCTED</stp>
        <stp>2</stp>
        <stp>002196</stp>
        <stp>12/31/2018</stp>
        <tr r="N1966" s="1"/>
      </tp>
      <tp>
        <v>2.37344456189056</v>
        <stp/>
        <stp>EM_S_VAL_PBGOODWILLDEDUCTED</stp>
        <stp>2</stp>
        <stp>002195</stp>
        <stp>12/31/2018</stp>
        <tr r="N2857" s="1"/>
      </tp>
      <tp>
        <v>2.1927183361227498</v>
        <stp/>
        <stp>EM_S_VAL_PBGOODWILLDEDUCTED</stp>
        <stp>2</stp>
        <stp>002194</stp>
        <stp>12/31/2018</stp>
        <tr r="N48" s="1"/>
      </tp>
      <tp>
        <v>1.02197955527988</v>
        <stp/>
        <stp>EM_S_VAL_PBGOODWILLDEDUCTED</stp>
        <stp>2</stp>
        <stp>002169</stp>
        <stp>12/31/2018</stp>
        <tr r="N182" s="1"/>
      </tp>
      <tp>
        <v>11.1320996633566</v>
        <stp/>
        <stp>EM_S_VAL_PBGOODWILLDEDUCTED</stp>
        <stp>2</stp>
        <stp>002168</stp>
        <stp>12/31/2018</stp>
        <tr r="N3021" s="1"/>
      </tp>
      <tp>
        <v>5.9265811667511796</v>
        <stp/>
        <stp>EM_S_VAL_PBGOODWILLDEDUCTED</stp>
        <stp>2</stp>
        <stp>002163</stp>
        <stp>12/31/2018</stp>
        <tr r="N1572" s="1"/>
      </tp>
      <tp>
        <v>2.8077117382913501</v>
        <stp/>
        <stp>EM_S_VAL_PBGOODWILLDEDUCTED</stp>
        <stp>2</stp>
        <stp>002162</stp>
        <stp>12/31/2018</stp>
        <tr r="N1080" s="1"/>
      </tp>
      <tp>
        <v>2.8844093600619498</v>
        <stp/>
        <stp>EM_S_VAL_PBGOODWILLDEDUCTED</stp>
        <stp>2</stp>
        <stp>002161</stp>
        <stp>12/31/2018</stp>
        <tr r="N278" s="1"/>
      </tp>
      <tp>
        <v>1.2293136028571501</v>
        <stp/>
        <stp>EM_S_VAL_PBGOODWILLDEDUCTED</stp>
        <stp>2</stp>
        <stp>002160</stp>
        <stp>12/31/2018</stp>
        <tr r="N3009" s="1"/>
      </tp>
      <tp>
        <v>3.1440991799212599</v>
        <stp/>
        <stp>EM_S_VAL_PBGOODWILLDEDUCTED</stp>
        <stp>2</stp>
        <stp>002167</stp>
        <stp>12/31/2018</stp>
        <tr r="N860" s="1"/>
      </tp>
      <tp>
        <v>2.4108740794621002</v>
        <stp/>
        <stp>EM_S_VAL_PBGOODWILLDEDUCTED</stp>
        <stp>2</stp>
        <stp>002166</stp>
        <stp>12/31/2018</stp>
        <tr r="N1282" s="1"/>
      </tp>
      <tp>
        <v>1.38448313518857</v>
        <stp/>
        <stp>EM_S_VAL_PBGOODWILLDEDUCTED</stp>
        <stp>2</stp>
        <stp>002165</stp>
        <stp>12/31/2018</stp>
        <tr r="N1121" s="1"/>
      </tp>
      <tp>
        <v>3.48319450619366</v>
        <stp/>
        <stp>EM_S_VAL_PBGOODWILLDEDUCTED</stp>
        <stp>2</stp>
        <stp>002164</stp>
        <stp>12/31/2018</stp>
        <tr r="N733" s="1"/>
      </tp>
      <tp>
        <v>4.6635559271113403</v>
        <stp/>
        <stp>EM_S_VAL_PBGOODWILLDEDUCTED</stp>
        <stp>2</stp>
        <stp>002179</stp>
        <stp>12/31/2018</stp>
        <tr r="N1453" s="1"/>
      </tp>
      <tp>
        <v>3.4352515135683701</v>
        <stp/>
        <stp>EM_S_VAL_PBGOODWILLDEDUCTED</stp>
        <stp>2</stp>
        <stp>002178</stp>
        <stp>12/31/2018</stp>
        <tr r="N1588" s="1"/>
      </tp>
      <tp>
        <v>1.2711413718098701</v>
        <stp/>
        <stp>EM_S_VAL_PBGOODWILLDEDUCTED</stp>
        <stp>2</stp>
        <stp>002173</stp>
        <stp>12/31/2018</stp>
        <tr r="N2881" s="1"/>
      </tp>
      <tp>
        <v>1.60434610183923</v>
        <stp/>
        <stp>EM_S_VAL_PBGOODWILLDEDUCTED</stp>
        <stp>2</stp>
        <stp>002172</stp>
        <stp>12/31/2018</stp>
        <tr r="N2424" s="1"/>
      </tp>
      <tp>
        <v>1.4822168821828501</v>
        <stp/>
        <stp>EM_S_VAL_PBGOODWILLDEDUCTED</stp>
        <stp>2</stp>
        <stp>002171</stp>
        <stp>12/31/2018</stp>
        <tr r="N435" s="1"/>
      </tp>
      <tp>
        <v>1.43079644088334</v>
        <stp/>
        <stp>EM_S_VAL_PBGOODWILLDEDUCTED</stp>
        <stp>2</stp>
        <stp>002170</stp>
        <stp>12/31/2018</stp>
        <tr r="N1698" s="1"/>
      </tp>
      <tp>
        <v>1.5277977630791999</v>
        <stp/>
        <stp>EM_S_VAL_PBGOODWILLDEDUCTED</stp>
        <stp>2</stp>
        <stp>002177</stp>
        <stp>12/31/2018</stp>
        <tr r="N284" s="1"/>
      </tp>
      <tp>
        <v>2.9112491186223499</v>
        <stp/>
        <stp>EM_S_VAL_PBGOODWILLDEDUCTED</stp>
        <stp>2</stp>
        <stp>002176</stp>
        <stp>12/31/2018</stp>
        <tr r="N3286" s="1"/>
      </tp>
      <tp>
        <v>13.7032801574149</v>
        <stp/>
        <stp>EM_S_VAL_PBGOODWILLDEDUCTED</stp>
        <stp>2</stp>
        <stp>002175</stp>
        <stp>12/31/2018</stp>
        <tr r="N3335" s="1"/>
      </tp>
      <tp>
        <v>4.6851493581061998</v>
        <stp/>
        <stp>EM_S_VAL_PBGOODWILLDEDUCTED</stp>
        <stp>2</stp>
        <stp>002174</stp>
        <stp>12/31/2018</stp>
        <tr r="N1138" s="1"/>
      </tp>
      <tp>
        <v>1.2560407266976401</v>
        <stp/>
        <stp>EM_S_VAL_PBGOODWILLDEDUCTED</stp>
        <stp>2</stp>
        <stp>002149</stp>
        <stp>12/31/2018</stp>
        <tr r="N618" s="1"/>
      </tp>
      <tp>
        <v>2.9377657170897198</v>
        <stp/>
        <stp>EM_S_VAL_PBGOODWILLDEDUCTED</stp>
        <stp>2</stp>
        <stp>002148</stp>
        <stp>12/31/2018</stp>
        <tr r="N2885" s="1"/>
      </tp>
      <tp>
        <v>4.2239856079788503</v>
        <stp/>
        <stp>EM_S_VAL_PBGOODWILLDEDUCTED</stp>
        <stp>2</stp>
        <stp>002143</stp>
        <stp>12/31/2018</stp>
        <tr r="N3411" s="1"/>
      </tp>
      <tp>
        <v>1.3068470788465001</v>
        <stp/>
        <stp>EM_S_VAL_PBGOODWILLDEDUCTED</stp>
        <stp>2</stp>
        <stp>002142</stp>
        <stp>12/31/2018</stp>
        <tr r="N303" s="1"/>
      </tp>
      <tp>
        <v>3.6665966030023198</v>
        <stp/>
        <stp>EM_S_VAL_PBGOODWILLDEDUCTED</stp>
        <stp>2</stp>
        <stp>002141</stp>
        <stp>12/31/2018</stp>
        <tr r="N2946" s="1"/>
      </tp>
      <tp>
        <v>1.22106690855653</v>
        <stp/>
        <stp>EM_S_VAL_PBGOODWILLDEDUCTED</stp>
        <stp>2</stp>
        <stp>002140</stp>
        <stp>12/31/2018</stp>
        <tr r="N1194" s="1"/>
      </tp>
      <tp>
        <v>0.72759359822755698</v>
        <stp/>
        <stp>EM_S_VAL_PBGOODWILLDEDUCTED</stp>
        <stp>2</stp>
        <stp>002147</stp>
        <stp>12/31/2018</stp>
        <tr r="N3244" s="1"/>
      </tp>
      <tp>
        <v>1.0343263310178701</v>
        <stp/>
        <stp>EM_S_VAL_PBGOODWILLDEDUCTED</stp>
        <stp>2</stp>
        <stp>002146</stp>
        <stp>12/31/2018</stp>
        <tr r="N1173" s="1"/>
      </tp>
      <tp>
        <v>1.8330056040384</v>
        <stp/>
        <stp>EM_S_VAL_PBGOODWILLDEDUCTED</stp>
        <stp>2</stp>
        <stp>002145</stp>
        <stp>12/31/2018</stp>
        <tr r="N805" s="1"/>
      </tp>
      <tp>
        <v>1.1361172518166001</v>
        <stp/>
        <stp>EM_S_VAL_PBGOODWILLDEDUCTED</stp>
        <stp>2</stp>
        <stp>002144</stp>
        <stp>12/31/2018</stp>
        <tr r="N2202" s="1"/>
      </tp>
      <tp>
        <v>2.7744555028809499</v>
        <stp/>
        <stp>EM_S_VAL_PBGOODWILLDEDUCTED</stp>
        <stp>2</stp>
        <stp>002159</stp>
        <stp>12/31/2018</stp>
        <tr r="N3212" s="1"/>
      </tp>
      <tp>
        <v>2.07486156768914</v>
        <stp/>
        <stp>EM_S_VAL_PBGOODWILLDEDUCTED</stp>
        <stp>2</stp>
        <stp>002158</stp>
        <stp>12/31/2018</stp>
        <tr r="N1124" s="1"/>
      </tp>
      <tp>
        <v>4.1455188769545801</v>
        <stp/>
        <stp>EM_S_VAL_PBGOODWILLDEDUCTED</stp>
        <stp>2</stp>
        <stp>002153</stp>
        <stp>12/31/2018</stp>
        <tr r="N541" s="1"/>
      </tp>
      <tp>
        <v>1.77594513230936</v>
        <stp/>
        <stp>EM_S_VAL_PBGOODWILLDEDUCTED</stp>
        <stp>2</stp>
        <stp>002152</stp>
        <stp>12/31/2018</stp>
        <tr r="N279" s="1"/>
      </tp>
      <tp>
        <v>4.2970189079562999</v>
        <stp/>
        <stp>EM_S_VAL_PBGOODWILLDEDUCTED</stp>
        <stp>2</stp>
        <stp>002151</stp>
        <stp>12/31/2018</stp>
        <tr r="N1237" s="1"/>
      </tp>
      <tp>
        <v>1.4236860488521801</v>
        <stp/>
        <stp>EM_S_VAL_PBGOODWILLDEDUCTED</stp>
        <stp>2</stp>
        <stp>002150</stp>
        <stp>12/31/2018</stp>
        <tr r="N1664" s="1"/>
      </tp>
      <tp>
        <v>1.95161961785615</v>
        <stp/>
        <stp>EM_S_VAL_PBGOODWILLDEDUCTED</stp>
        <stp>2</stp>
        <stp>002157</stp>
        <stp>12/31/2018</stp>
        <tr r="N45" s="1"/>
      </tp>
      <tp>
        <v>1.6228495937478</v>
        <stp/>
        <stp>EM_S_VAL_PBGOODWILLDEDUCTED</stp>
        <stp>2</stp>
        <stp>002156</stp>
        <stp>12/31/2018</stp>
        <tr r="N102" s="1"/>
      </tp>
      <tp>
        <v>1.9747750952222001</v>
        <stp/>
        <stp>EM_S_VAL_PBGOODWILLDEDUCTED</stp>
        <stp>2</stp>
        <stp>002155</stp>
        <stp>12/31/2018</stp>
        <tr r="N2369" s="1"/>
      </tp>
      <tp>
        <v>1.4035833318319</v>
        <stp/>
        <stp>EM_S_VAL_PBGOODWILLDEDUCTED</stp>
        <stp>2</stp>
        <stp>002154</stp>
        <stp>12/31/2018</stp>
        <tr r="N1861" s="1"/>
      </tp>
      <tp>
        <v>1.63127961019467</v>
        <stp/>
        <stp>EM_S_VAL_PBGOODWILLDEDUCTED</stp>
        <stp>2</stp>
        <stp>002129</stp>
        <stp>12/31/2018</stp>
        <tr r="N384" s="1"/>
      </tp>
      <tp>
        <v>0.95184897835327997</v>
        <stp/>
        <stp>EM_S_VAL_PBGOODWILLDEDUCTED</stp>
        <stp>2</stp>
        <stp>002128</stp>
        <stp>12/31/2018</stp>
        <tr r="N1209" s="1"/>
      </tp>
      <tp>
        <v>2.8803520595715701</v>
        <stp/>
        <stp>EM_S_VAL_PBGOODWILLDEDUCTED</stp>
        <stp>2</stp>
        <stp>002123</stp>
        <stp>12/31/2018</stp>
        <tr r="N78" s="1"/>
      </tp>
      <tp>
        <v>0.61097489331578403</v>
        <stp/>
        <stp>EM_S_VAL_PBGOODWILLDEDUCTED</stp>
        <stp>2</stp>
        <stp>002122</stp>
        <stp>12/31/2018</stp>
        <tr r="N3640" s="1"/>
      </tp>
      <tp>
        <v>2.1115584597670298</v>
        <stp/>
        <stp>EM_S_VAL_PBGOODWILLDEDUCTED</stp>
        <stp>2</stp>
        <stp>002121</stp>
        <stp>12/31/2018</stp>
        <tr r="N3639" s="1"/>
      </tp>
      <tp>
        <v>4.5348214547306602</v>
        <stp/>
        <stp>EM_S_VAL_PBGOODWILLDEDUCTED</stp>
        <stp>2</stp>
        <stp>002120</stp>
        <stp>12/31/2018</stp>
        <tr r="N1786" s="1"/>
      </tp>
      <tp>
        <v>6.4801132781431603</v>
        <stp/>
        <stp>EM_S_VAL_PBGOODWILLDEDUCTED</stp>
        <stp>2</stp>
        <stp>002127</stp>
        <stp>12/31/2018</stp>
        <tr r="N645" s="1"/>
      </tp>
      <tp>
        <v>1.7616731570642901</v>
        <stp/>
        <stp>EM_S_VAL_PBGOODWILLDEDUCTED</stp>
        <stp>2</stp>
        <stp>002126</stp>
        <stp>12/31/2018</stp>
        <tr r="N1836" s="1"/>
      </tp>
      <tp>
        <v>2.0017457165848702</v>
        <stp/>
        <stp>EM_S_VAL_PBGOODWILLDEDUCTED</stp>
        <stp>2</stp>
        <stp>002125</stp>
        <stp>12/31/2018</stp>
        <tr r="N3120" s="1"/>
      </tp>
      <tp>
        <v>3.38407096311342</v>
        <stp/>
        <stp>EM_S_VAL_PBGOODWILLDEDUCTED</stp>
        <stp>2</stp>
        <stp>002124</stp>
        <stp>12/31/2018</stp>
        <tr r="N3641" s="1"/>
      </tp>
      <tp>
        <v>2.0274194887851702</v>
        <stp/>
        <stp>EM_S_VAL_PBGOODWILLDEDUCTED</stp>
        <stp>2</stp>
        <stp>002139</stp>
        <stp>12/31/2018</stp>
        <tr r="N684" s="1"/>
      </tp>
      <tp>
        <v>2.8323335093214501</v>
        <stp/>
        <stp>EM_S_VAL_PBGOODWILLDEDUCTED</stp>
        <stp>2</stp>
        <stp>002138</stp>
        <stp>12/31/2018</stp>
        <tr r="N329" s="1"/>
      </tp>
      <tp>
        <v>0.82763687280990095</v>
        <stp/>
        <stp>EM_S_VAL_PBGOODWILLDEDUCTED</stp>
        <stp>2</stp>
        <stp>002133</stp>
        <stp>12/31/2018</stp>
        <tr r="N2546" s="1"/>
      </tp>
      <tp>
        <v>1.2136536870167101</v>
        <stp/>
        <stp>EM_S_VAL_PBGOODWILLDEDUCTED</stp>
        <stp>2</stp>
        <stp>002132</stp>
        <stp>12/31/2018</stp>
        <tr r="N1461" s="1"/>
      </tp>
      <tp>
        <v>1.79654344730875</v>
        <stp/>
        <stp>EM_S_VAL_PBGOODWILLDEDUCTED</stp>
        <stp>2</stp>
        <stp>002131</stp>
        <stp>12/31/2018</stp>
        <tr r="N178" s="1"/>
      </tp>
      <tp>
        <v>2.2593341816816799</v>
        <stp/>
        <stp>EM_S_VAL_PBGOODWILLDEDUCTED</stp>
        <stp>2</stp>
        <stp>002130</stp>
        <stp>12/31/2018</stp>
        <tr r="N517" s="1"/>
      </tp>
      <tp>
        <v>3.2415718789227399</v>
        <stp/>
        <stp>EM_S_VAL_PBGOODWILLDEDUCTED</stp>
        <stp>2</stp>
        <stp>002137</stp>
        <stp>12/31/2018</stp>
        <tr r="N1770" s="1"/>
      </tp>
      <tp>
        <v>2.5390581345620098</v>
        <stp/>
        <stp>EM_S_VAL_PBGOODWILLDEDUCTED</stp>
        <stp>2</stp>
        <stp>002136</stp>
        <stp>12/31/2018</stp>
        <tr r="N2611" s="1"/>
      </tp>
      <tp>
        <v>1.2720662227428701</v>
        <stp/>
        <stp>EM_S_VAL_PBGOODWILLDEDUCTED</stp>
        <stp>2</stp>
        <stp>002135</stp>
        <stp>12/31/2018</stp>
        <tr r="N1756" s="1"/>
      </tp>
      <tp>
        <v>3.8321508235148301</v>
        <stp/>
        <stp>EM_S_VAL_PBGOODWILLDEDUCTED</stp>
        <stp>2</stp>
        <stp>002134</stp>
        <stp>12/31/2018</stp>
        <tr r="N424" s="1"/>
      </tp>
      <tp>
        <v>1.03513860935935</v>
        <stp/>
        <stp>EM_S_VAL_PBGOODWILLDEDUCTED</stp>
        <stp>2</stp>
        <stp>002109</stp>
        <stp>12/31/2018</stp>
        <tr r="N2560" s="1"/>
      </tp>
      <tp>
        <v>1.8399989422426399</v>
        <stp/>
        <stp>EM_S_VAL_PBGOODWILLDEDUCTED</stp>
        <stp>2</stp>
        <stp>002108</stp>
        <stp>12/31/2018</stp>
        <tr r="N3637" s="1"/>
      </tp>
      <tp>
        <v>2.5293518669151198</v>
        <stp/>
        <stp>EM_S_VAL_PBGOODWILLDEDUCTED</stp>
        <stp>2</stp>
        <stp>002103</stp>
        <stp>12/31/2018</stp>
        <tr r="N3635" s="1"/>
      </tp>
      <tp>
        <v>-49.951157947060402</v>
        <stp/>
        <stp>EM_S_VAL_PBGOODWILLDEDUCTED</stp>
        <stp>2</stp>
        <stp>002102</stp>
        <stp>12/31/2018</stp>
        <tr r="N3634" s="1"/>
      </tp>
      <tp>
        <v>1.23483143182778</v>
        <stp/>
        <stp>EM_S_VAL_PBGOODWILLDEDUCTED</stp>
        <stp>2</stp>
        <stp>002101</stp>
        <stp>12/31/2018</stp>
        <tr r="N2834" s="1"/>
      </tp>
      <tp>
        <v>1.2786765239281599</v>
        <stp/>
        <stp>EM_S_VAL_PBGOODWILLDEDUCTED</stp>
        <stp>2</stp>
        <stp>002100</stp>
        <stp>12/31/2018</stp>
        <tr r="N54" s="1"/>
      </tp>
      <tp>
        <v>4.3514530572866903</v>
        <stp/>
        <stp>EM_S_VAL_PBGOODWILLDEDUCTED</stp>
        <stp>2</stp>
        <stp>002107</stp>
        <stp>12/31/2018</stp>
        <tr r="N1136" s="1"/>
      </tp>
      <tp>
        <v>1.1132994884557701</v>
        <stp/>
        <stp>EM_S_VAL_PBGOODWILLDEDUCTED</stp>
        <stp>2</stp>
        <stp>002106</stp>
        <stp>12/31/2018</stp>
        <tr r="N474" s="1"/>
      </tp>
      <tp>
        <v>2.8798378757438599</v>
        <stp/>
        <stp>EM_S_VAL_PBGOODWILLDEDUCTED</stp>
        <stp>2</stp>
        <stp>002105</stp>
        <stp>12/31/2018</stp>
        <tr r="N3636" s="1"/>
      </tp>
      <tp>
        <v>2.2821808409734001</v>
        <stp/>
        <stp>EM_S_VAL_PBGOODWILLDEDUCTED</stp>
        <stp>2</stp>
        <stp>002104</stp>
        <stp>12/31/2018</stp>
        <tr r="N962" s="1"/>
      </tp>
      <tp>
        <v>3.0694941877439699</v>
        <stp/>
        <stp>EM_S_VAL_PBGOODWILLDEDUCTED</stp>
        <stp>2</stp>
        <stp>002119</stp>
        <stp>12/31/2018</stp>
        <tr r="N493" s="1"/>
      </tp>
      <tp>
        <v>1.29837832877715</v>
        <stp/>
        <stp>EM_S_VAL_PBGOODWILLDEDUCTED</stp>
        <stp>2</stp>
        <stp>002118</stp>
        <stp>12/31/2018</stp>
        <tr r="N754" s="1"/>
      </tp>
      <tp>
        <v>6.6279885494718398</v>
        <stp/>
        <stp>EM_S_VAL_PBGOODWILLDEDUCTED</stp>
        <stp>2</stp>
        <stp>002113</stp>
        <stp>12/31/2018</stp>
        <tr r="N3352" s="1"/>
      </tp>
      <tp>
        <v>3.4866847638746701</v>
        <stp/>
        <stp>EM_S_VAL_PBGOODWILLDEDUCTED</stp>
        <stp>2</stp>
        <stp>002112</stp>
        <stp>12/31/2018</stp>
        <tr r="N2156" s="1"/>
      </tp>
      <tp>
        <v>1.6047919603452401</v>
        <stp/>
        <stp>EM_S_VAL_PBGOODWILLDEDUCTED</stp>
        <stp>2</stp>
        <stp>002111</stp>
        <stp>12/31/2018</stp>
        <tr r="N421" s="1"/>
      </tp>
      <tp>
        <v>1.14045679228243</v>
        <stp/>
        <stp>EM_S_VAL_PBGOODWILLDEDUCTED</stp>
        <stp>2</stp>
        <stp>002110</stp>
        <stp>12/31/2018</stp>
        <tr r="N3202" s="1"/>
      </tp>
      <tp>
        <v>3.1693272291925898</v>
        <stp/>
        <stp>EM_S_VAL_PBGOODWILLDEDUCTED</stp>
        <stp>2</stp>
        <stp>002117</stp>
        <stp>12/31/2018</stp>
        <tr r="N2798" s="1"/>
      </tp>
      <tp>
        <v>1.99675249785917</v>
        <stp/>
        <stp>EM_S_VAL_PBGOODWILLDEDUCTED</stp>
        <stp>2</stp>
        <stp>002116</stp>
        <stp>12/31/2018</stp>
        <tr r="N1546" s="1"/>
      </tp>
      <tp>
        <v>4.3999135801357498</v>
        <stp/>
        <stp>EM_S_VAL_PBGOODWILLDEDUCTED</stp>
        <stp>2</stp>
        <stp>002115</stp>
        <stp>12/31/2018</stp>
        <tr r="N2756" s="1"/>
      </tp>
      <tp>
        <v>1.40065590504472</v>
        <stp/>
        <stp>EM_S_VAL_PBGOODWILLDEDUCTED</stp>
        <stp>2</stp>
        <stp>002114</stp>
        <stp>12/31/2018</stp>
        <tr r="N3638" s="1"/>
      </tp>
      <tp>
        <v>4.5130189223221198</v>
        <stp/>
        <stp>EM_S_VAL_PBGOODWILLDEDUCTED</stp>
        <stp>2</stp>
        <stp>002089</stp>
        <stp>12/31/2018</stp>
        <tr r="N3630" s="1"/>
      </tp>
      <tp>
        <v>1.51046431921804</v>
        <stp/>
        <stp>EM_S_VAL_PBGOODWILLDEDUCTED</stp>
        <stp>2</stp>
        <stp>002088</stp>
        <stp>12/31/2018</stp>
        <tr r="N1065" s="1"/>
      </tp>
      <tp>
        <v>1.3027875843622401</v>
        <stp/>
        <stp>EM_S_VAL_PBGOODWILLDEDUCTED</stp>
        <stp>2</stp>
        <stp>002083</stp>
        <stp>12/31/2018</stp>
        <tr r="N1111" s="1"/>
      </tp>
      <tp>
        <v>1.4705894566039801</v>
        <stp/>
        <stp>EM_S_VAL_PBGOODWILLDEDUCTED</stp>
        <stp>2</stp>
        <stp>002082</stp>
        <stp>12/31/2018</stp>
        <tr r="N3628" s="1"/>
      </tp>
      <tp>
        <v>1.6721493796678999</v>
        <stp/>
        <stp>EM_S_VAL_PBGOODWILLDEDUCTED</stp>
        <stp>2</stp>
        <stp>002081</stp>
        <stp>12/31/2018</stp>
        <tr r="N1856" s="1"/>
      </tp>
      <tp>
        <v>1.0972774884868</v>
        <stp/>
        <stp>EM_S_VAL_PBGOODWILLDEDUCTED</stp>
        <stp>2</stp>
        <stp>002080</stp>
        <stp>12/31/2018</stp>
        <tr r="N599" s="1"/>
      </tp>
      <tp>
        <v>0.73838148691912897</v>
        <stp/>
        <stp>EM_S_VAL_PBGOODWILLDEDUCTED</stp>
        <stp>2</stp>
        <stp>002087</stp>
        <stp>12/31/2018</stp>
        <tr r="N2227" s="1"/>
      </tp>
      <tp>
        <v>1.1989761121617399</v>
        <stp/>
        <stp>EM_S_VAL_PBGOODWILLDEDUCTED</stp>
        <stp>2</stp>
        <stp>002086</stp>
        <stp>12/31/2018</stp>
        <tr r="N3629" s="1"/>
      </tp>
      <tp>
        <v>2.9277158574365698</v>
        <stp/>
        <stp>EM_S_VAL_PBGOODWILLDEDUCTED</stp>
        <stp>2</stp>
        <stp>002085</stp>
        <stp>12/31/2018</stp>
        <tr r="N2749" s="1"/>
      </tp>
      <tp>
        <v>1.2397235382420799</v>
        <stp/>
        <stp>EM_S_VAL_PBGOODWILLDEDUCTED</stp>
        <stp>2</stp>
        <stp>002084</stp>
        <stp>12/31/2018</stp>
        <tr r="N346" s="1"/>
      </tp>
      <tp>
        <v>1.5794005256752099</v>
        <stp/>
        <stp>EM_S_VAL_PBGOODWILLDEDUCTED</stp>
        <stp>2</stp>
        <stp>002099</stp>
        <stp>12/31/2018</stp>
        <tr r="N498" s="1"/>
      </tp>
      <tp>
        <v>4.9992904412132404</v>
        <stp/>
        <stp>EM_S_VAL_PBGOODWILLDEDUCTED</stp>
        <stp>2</stp>
        <stp>002098</stp>
        <stp>12/31/2018</stp>
        <tr r="N3633" s="1"/>
      </tp>
      <tp>
        <v>2.33256020660603</v>
        <stp/>
        <stp>EM_S_VAL_PBGOODWILLDEDUCTED</stp>
        <stp>2</stp>
        <stp>002093</stp>
        <stp>12/31/2018</stp>
        <tr r="N3631" s="1"/>
      </tp>
      <tp>
        <v>0.80087063973892703</v>
        <stp/>
        <stp>EM_S_VAL_PBGOODWILLDEDUCTED</stp>
        <stp>2</stp>
        <stp>002092</stp>
        <stp>12/31/2018</stp>
        <tr r="N2499" s="1"/>
      </tp>
      <tp>
        <v>1.12906176593854</v>
        <stp/>
        <stp>EM_S_VAL_PBGOODWILLDEDUCTED</stp>
        <stp>2</stp>
        <stp>002091</stp>
        <stp>12/31/2018</stp>
        <tr r="N1200" s="1"/>
      </tp>
      <tp>
        <v>3.4239965935427299</v>
        <stp/>
        <stp>EM_S_VAL_PBGOODWILLDEDUCTED</stp>
        <stp>2</stp>
        <stp>002090</stp>
        <stp>12/31/2018</stp>
        <tr r="N3281" s="1"/>
      </tp>
      <tp>
        <v>1.28723133257782</v>
        <stp/>
        <stp>EM_S_VAL_PBGOODWILLDEDUCTED</stp>
        <stp>2</stp>
        <stp>002097</stp>
        <stp>12/31/2018</stp>
        <tr r="N1946" s="1"/>
      </tp>
      <tp>
        <v>0.98423897940655702</v>
        <stp/>
        <stp>EM_S_VAL_PBGOODWILLDEDUCTED</stp>
        <stp>2</stp>
        <stp>002096</stp>
        <stp>12/31/2018</stp>
        <tr r="N3632" s="1"/>
      </tp>
      <tp>
        <v>5.8492998042560398</v>
        <stp/>
        <stp>EM_S_VAL_PBGOODWILLDEDUCTED</stp>
        <stp>2</stp>
        <stp>002095</stp>
        <stp>12/31/2018</stp>
        <tr r="N1584" s="1"/>
      </tp>
      <tp>
        <v>2.1730238145089</v>
        <stp/>
        <stp>EM_S_VAL_PBGOODWILLDEDUCTED</stp>
        <stp>2</stp>
        <stp>002094</stp>
        <stp>12/31/2018</stp>
        <tr r="N2354" s="1"/>
      </tp>
      <tp>
        <v>6.04450801489965</v>
        <stp/>
        <stp>EM_S_VAL_PBGOODWILLDEDUCTED</stp>
        <stp>2</stp>
        <stp>002069</stp>
        <stp>12/31/2018</stp>
        <tr r="N3621" s="1"/>
      </tp>
      <tp>
        <v>1.2753318800946101</v>
        <stp/>
        <stp>EM_S_VAL_PBGOODWILLDEDUCTED</stp>
        <stp>2</stp>
        <stp>002068</stp>
        <stp>12/31/2018</stp>
        <tr r="N3034" s="1"/>
      </tp>
      <tp>
        <v>2.0773787828685202</v>
        <stp/>
        <stp>EM_S_VAL_PBGOODWILLDEDUCTED</stp>
        <stp>2</stp>
        <stp>002063</stp>
        <stp>12/31/2018</stp>
        <tr r="N118" s="1"/>
      </tp>
      <tp>
        <v>1.4157578981930901</v>
        <stp/>
        <stp>EM_S_VAL_PBGOODWILLDEDUCTED</stp>
        <stp>2</stp>
        <stp>002062</stp>
        <stp>12/31/2018</stp>
        <tr r="N2740" s="1"/>
      </tp>
      <tp>
        <v>1.98279492937699</v>
        <stp/>
        <stp>EM_S_VAL_PBGOODWILLDEDUCTED</stp>
        <stp>2</stp>
        <stp>002061</stp>
        <stp>12/31/2018</stp>
        <tr r="N3337" s="1"/>
      </tp>
      <tp>
        <v>1.0827509933114601</v>
        <stp/>
        <stp>EM_S_VAL_PBGOODWILLDEDUCTED</stp>
        <stp>2</stp>
        <stp>002060</stp>
        <stp>12/31/2018</stp>
        <tr r="N1677" s="1"/>
      </tp>
      <tp>
        <v>0.92602094093489595</v>
        <stp/>
        <stp>EM_S_VAL_PBGOODWILLDEDUCTED</stp>
        <stp>2</stp>
        <stp>002067</stp>
        <stp>12/31/2018</stp>
        <tr r="N2531" s="1"/>
      </tp>
      <tp>
        <v>3.9747333012410002</v>
        <stp/>
        <stp>EM_S_VAL_PBGOODWILLDEDUCTED</stp>
        <stp>2</stp>
        <stp>002066</stp>
        <stp>12/31/2018</stp>
        <tr r="N1696" s="1"/>
      </tp>
      <tp>
        <v>2.5796470703500001</v>
        <stp/>
        <stp>EM_S_VAL_PBGOODWILLDEDUCTED</stp>
        <stp>2</stp>
        <stp>002065</stp>
        <stp>12/31/2018</stp>
        <tr r="N619" s="1"/>
      </tp>
      <tp>
        <v>1.8482915420862001</v>
        <stp/>
        <stp>EM_S_VAL_PBGOODWILLDEDUCTED</stp>
        <stp>2</stp>
        <stp>002064</stp>
        <stp>12/31/2018</stp>
        <tr r="N557" s="1"/>
      </tp>
      <tp>
        <v>2.1068020004803998</v>
        <stp/>
        <stp>EM_S_VAL_PBGOODWILLDEDUCTED</stp>
        <stp>2</stp>
        <stp>002079</stp>
        <stp>12/31/2018</stp>
        <tr r="N84" s="1"/>
      </tp>
      <tp>
        <v>1.2031018343975</v>
        <stp/>
        <stp>EM_S_VAL_PBGOODWILLDEDUCTED</stp>
        <stp>2</stp>
        <stp>002078</stp>
        <stp>12/31/2018</stp>
        <tr r="N275" s="1"/>
      </tp>
      <tp>
        <v>1.0021969280655101</v>
        <stp/>
        <stp>EM_S_VAL_PBGOODWILLDEDUCTED</stp>
        <stp>2</stp>
        <stp>002073</stp>
        <stp>12/31/2018</stp>
        <tr r="N3625" s="1"/>
      </tp>
      <tp>
        <v>-5.7219220077678798</v>
        <stp/>
        <stp>EM_S_VAL_PBGOODWILLDEDUCTED</stp>
        <stp>2</stp>
        <stp>002072</stp>
        <stp>12/31/2018</stp>
        <tr r="N3624" s="1"/>
      </tp>
      <tp>
        <v>-3.2548405574155499</v>
        <stp/>
        <stp>EM_S_VAL_PBGOODWILLDEDUCTED</stp>
        <stp>2</stp>
        <stp>002071</stp>
        <stp>12/31/2018</stp>
        <tr r="N3623" s="1"/>
      </tp>
      <tp>
        <v>-2.23865186455114</v>
        <stp/>
        <stp>EM_S_VAL_PBGOODWILLDEDUCTED</stp>
        <stp>2</stp>
        <stp>002070</stp>
        <stp>12/31/2018</stp>
        <tr r="N3622" s="1"/>
      </tp>
      <tp>
        <v>0.74765672519106097</v>
        <stp/>
        <stp>EM_S_VAL_PBGOODWILLDEDUCTED</stp>
        <stp>2</stp>
        <stp>002077</stp>
        <stp>12/31/2018</stp>
        <tr r="N3627" s="1"/>
      </tp>
      <tp>
        <v>6.2338372285722397</v>
        <stp/>
        <stp>EM_S_VAL_PBGOODWILLDEDUCTED</stp>
        <stp>2</stp>
        <stp>002076</stp>
        <stp>12/31/2018</stp>
        <tr r="N3626" s="1"/>
      </tp>
      <tp>
        <v>3.9724065230705299</v>
        <stp/>
        <stp>EM_S_VAL_PBGOODWILLDEDUCTED</stp>
        <stp>2</stp>
        <stp>002075</stp>
        <stp>12/31/2018</stp>
        <tr r="N3139" s="1"/>
      </tp>
      <tp>
        <v>1.55579603911291</v>
        <stp/>
        <stp>EM_S_VAL_PBGOODWILLDEDUCTED</stp>
        <stp>2</stp>
        <stp>002074</stp>
        <stp>12/31/2018</stp>
        <tr r="N1128" s="1"/>
      </tp>
      <tp>
        <v>5.8697493147376196</v>
        <stp/>
        <stp>EM_S_VAL_PBGOODWILLDEDUCTED</stp>
        <stp>2</stp>
        <stp>002049</stp>
        <stp>12/31/2018</stp>
        <tr r="N262" s="1"/>
      </tp>
      <tp>
        <v>0.92181885011386</v>
        <stp/>
        <stp>EM_S_VAL_PBGOODWILLDEDUCTED</stp>
        <stp>2</stp>
        <stp>002048</stp>
        <stp>12/31/2018</stp>
        <tr r="N510" s="1"/>
      </tp>
      <tp>
        <v>3.33209001383808</v>
        <stp/>
        <stp>EM_S_VAL_PBGOODWILLDEDUCTED</stp>
        <stp>2</stp>
        <stp>002043</stp>
        <stp>12/31/2018</stp>
        <tr r="N656" s="1"/>
      </tp>
      <tp>
        <v>1.19221641867076</v>
        <stp/>
        <stp>EM_S_VAL_PBGOODWILLDEDUCTED</stp>
        <stp>2</stp>
        <stp>002042</stp>
        <stp>12/31/2018</stp>
        <tr r="N872" s="1"/>
      </tp>
      <tp>
        <v>1.69877537793956</v>
        <stp/>
        <stp>EM_S_VAL_PBGOODWILLDEDUCTED</stp>
        <stp>2</stp>
        <stp>002041</stp>
        <stp>12/31/2018</stp>
        <tr r="N3615" s="1"/>
      </tp>
      <tp>
        <v>1.15861599200867</v>
        <stp/>
        <stp>EM_S_VAL_PBGOODWILLDEDUCTED</stp>
        <stp>2</stp>
        <stp>002040</stp>
        <stp>12/31/2018</stp>
        <tr r="N2768" s="1"/>
      </tp>
      <tp>
        <v>2.3984190968023702</v>
        <stp/>
        <stp>EM_S_VAL_PBGOODWILLDEDUCTED</stp>
        <stp>2</stp>
        <stp>002047</stp>
        <stp>12/31/2018</stp>
        <tr r="N3616" s="1"/>
      </tp>
      <tp>
        <v>1.27138388202255</v>
        <stp/>
        <stp>EM_S_VAL_PBGOODWILLDEDUCTED</stp>
        <stp>2</stp>
        <stp>002046</stp>
        <stp>12/31/2018</stp>
        <tr r="N1952" s="1"/>
      </tp>
      <tp>
        <v>1.3009938765220199</v>
        <stp/>
        <stp>EM_S_VAL_PBGOODWILLDEDUCTED</stp>
        <stp>2</stp>
        <stp>002045</stp>
        <stp>12/31/2018</stp>
        <tr r="N63" s="1"/>
      </tp>
      <tp>
        <v>25.543436344664901</v>
        <stp/>
        <stp>EM_S_VAL_PBGOODWILLDEDUCTED</stp>
        <stp>2</stp>
        <stp>002044</stp>
        <stp>12/31/2018</stp>
        <tr r="N2450" s="1"/>
      </tp>
      <tp>
        <v>2.06879265824815</v>
        <stp/>
        <stp>EM_S_VAL_PBGOODWILLDEDUCTED</stp>
        <stp>2</stp>
        <stp>002059</stp>
        <stp>12/31/2018</stp>
        <tr r="N2514" s="1"/>
      </tp>
      <tp>
        <v>9.6728529113814794</v>
        <stp/>
        <stp>EM_S_VAL_PBGOODWILLDEDUCTED</stp>
        <stp>2</stp>
        <stp>002058</stp>
        <stp>12/31/2018</stp>
        <tr r="N306" s="1"/>
      </tp>
      <tp>
        <v>1.5848638199751299</v>
        <stp/>
        <stp>EM_S_VAL_PBGOODWILLDEDUCTED</stp>
        <stp>2</stp>
        <stp>002053</stp>
        <stp>12/31/2018</stp>
        <tr r="N3619" s="1"/>
      </tp>
      <tp>
        <v>5.1558859498143201</v>
        <stp/>
        <stp>EM_S_VAL_PBGOODWILLDEDUCTED</stp>
        <stp>2</stp>
        <stp>002052</stp>
        <stp>12/31/2018</stp>
        <tr r="N3618" s="1"/>
      </tp>
      <tp>
        <v>1.3985075907997999</v>
        <stp/>
        <stp>EM_S_VAL_PBGOODWILLDEDUCTED</stp>
        <stp>2</stp>
        <stp>002051</stp>
        <stp>12/31/2018</stp>
        <tr r="N3617" s="1"/>
      </tp>
      <tp>
        <v>3.1502119479440398</v>
        <stp/>
        <stp>EM_S_VAL_PBGOODWILLDEDUCTED</stp>
        <stp>2</stp>
        <stp>002050</stp>
        <stp>12/31/2018</stp>
        <tr r="N791" s="1"/>
      </tp>
      <tp>
        <v>1.67680065538515</v>
        <stp/>
        <stp>EM_S_VAL_PBGOODWILLDEDUCTED</stp>
        <stp>2</stp>
        <stp>002057</stp>
        <stp>12/31/2018</stp>
        <tr r="N460" s="1"/>
      </tp>
      <tp>
        <v>1.9207815488239099</v>
        <stp/>
        <stp>EM_S_VAL_PBGOODWILLDEDUCTED</stp>
        <stp>2</stp>
        <stp>002056</stp>
        <stp>12/31/2018</stp>
        <tr r="N553" s="1"/>
      </tp>
      <tp>
        <v>2.1291338235172299</v>
        <stp/>
        <stp>EM_S_VAL_PBGOODWILLDEDUCTED</stp>
        <stp>2</stp>
        <stp>002055</stp>
        <stp>12/31/2018</stp>
        <tr r="N1666" s="1"/>
      </tp>
      <tp>
        <v>1.5249309503985</v>
        <stp/>
        <stp>EM_S_VAL_PBGOODWILLDEDUCTED</stp>
        <stp>2</stp>
        <stp>002054</stp>
        <stp>12/31/2018</stp>
        <tr r="N3620" s="1"/>
      </tp>
      <tp>
        <v>0.81799068955646603</v>
        <stp/>
        <stp>EM_S_VAL_PBGOODWILLDEDUCTED</stp>
        <stp>2</stp>
        <stp>002029</stp>
        <stp>12/31/2018</stp>
        <tr r="N2562" s="1"/>
      </tp>
      <tp>
        <v>1.66054714038002</v>
        <stp/>
        <stp>EM_S_VAL_PBGOODWILLDEDUCTED</stp>
        <stp>2</stp>
        <stp>002028</stp>
        <stp>12/31/2018</stp>
        <tr r="N743" s="1"/>
      </tp>
      <tp>
        <v>2.3271550287318998</v>
        <stp/>
        <stp>EM_S_VAL_PBGOODWILLDEDUCTED</stp>
        <stp>2</stp>
        <stp>002023</stp>
        <stp>12/31/2018</stp>
        <tr r="N1575" s="1"/>
      </tp>
      <tp>
        <v>3.6578011178675398</v>
        <stp/>
        <stp>EM_S_VAL_PBGOODWILLDEDUCTED</stp>
        <stp>2</stp>
        <stp>002022</stp>
        <stp>12/31/2018</stp>
        <tr r="N1340" s="1"/>
      </tp>
      <tp>
        <v>2.9712994550743299</v>
        <stp/>
        <stp>EM_S_VAL_PBGOODWILLDEDUCTED</stp>
        <stp>2</stp>
        <stp>002021</stp>
        <stp>12/31/2018</stp>
        <tr r="N3609" s="1"/>
      </tp>
      <tp>
        <v>1.8868379871629899</v>
        <stp/>
        <stp>EM_S_VAL_PBGOODWILLDEDUCTED</stp>
        <stp>2</stp>
        <stp>002020</stp>
        <stp>12/31/2018</stp>
        <tr r="N1187" s="1"/>
      </tp>
      <tp>
        <v>5.4733786417392603</v>
        <stp/>
        <stp>EM_S_VAL_PBGOODWILLDEDUCTED</stp>
        <stp>2</stp>
        <stp>002027</stp>
        <stp>12/31/2018</stp>
        <tr r="N1266" s="1"/>
      </tp>
      <tp>
        <v>1.03789181279957</v>
        <stp/>
        <stp>EM_S_VAL_PBGOODWILLDEDUCTED</stp>
        <stp>2</stp>
        <stp>002026</stp>
        <stp>12/31/2018</stp>
        <tr r="N2623" s="1"/>
      </tp>
      <tp>
        <v>3.4713300557012698</v>
        <stp/>
        <stp>EM_S_VAL_PBGOODWILLDEDUCTED</stp>
        <stp>2</stp>
        <stp>002025</stp>
        <stp>12/31/2018</stp>
        <tr r="N1156" s="1"/>
      </tp>
      <tp>
        <v>1.1681199007487999</v>
        <stp/>
        <stp>EM_S_VAL_PBGOODWILLDEDUCTED</stp>
        <stp>2</stp>
        <stp>002024</stp>
        <stp>12/31/2018</stp>
        <tr r="N2136" s="1"/>
      </tp>
      <tp>
        <v>1.50798837893518</v>
        <stp/>
        <stp>EM_S_VAL_PBGOODWILLDEDUCTED</stp>
        <stp>2</stp>
        <stp>002039</stp>
        <stp>12/31/2018</stp>
        <tr r="N3614" s="1"/>
      </tp>
      <tp>
        <v>3.77788958078547</v>
        <stp/>
        <stp>EM_S_VAL_PBGOODWILLDEDUCTED</stp>
        <stp>2</stp>
        <stp>002038</stp>
        <stp>12/31/2018</stp>
        <tr r="N3361" s="1"/>
      </tp>
      <tp>
        <v>1.29398117744479</v>
        <stp/>
        <stp>EM_S_VAL_PBGOODWILLDEDUCTED</stp>
        <stp>2</stp>
        <stp>002033</stp>
        <stp>12/31/2018</stp>
        <tr r="N3611" s="1"/>
      </tp>
      <tp>
        <v>7.2986024886395304</v>
        <stp/>
        <stp>EM_S_VAL_PBGOODWILLDEDUCTED</stp>
        <stp>2</stp>
        <stp>002032</stp>
        <stp>12/31/2018</stp>
        <tr r="N638" s="1"/>
      </tp>
      <tp>
        <v>1.58246088166147</v>
        <stp/>
        <stp>EM_S_VAL_PBGOODWILLDEDUCTED</stp>
        <stp>2</stp>
        <stp>002031</stp>
        <stp>12/31/2018</stp>
        <tr r="N1994" s="1"/>
      </tp>
      <tp>
        <v>4.4766220996067396</v>
        <stp/>
        <stp>EM_S_VAL_PBGOODWILLDEDUCTED</stp>
        <stp>2</stp>
        <stp>002030</stp>
        <stp>12/31/2018</stp>
        <tr r="N3610" s="1"/>
      </tp>
      <tp>
        <v>1.2515422306094099</v>
        <stp/>
        <stp>EM_S_VAL_PBGOODWILLDEDUCTED</stp>
        <stp>2</stp>
        <stp>002037</stp>
        <stp>12/31/2018</stp>
        <tr r="N2964" s="1"/>
      </tp>
      <tp>
        <v>2.2943461860428398</v>
        <stp/>
        <stp>EM_S_VAL_PBGOODWILLDEDUCTED</stp>
        <stp>2</stp>
        <stp>002036</stp>
        <stp>12/31/2018</stp>
        <tr r="N3613" s="1"/>
      </tp>
      <tp>
        <v>3.1376797686347899</v>
        <stp/>
        <stp>EM_S_VAL_PBGOODWILLDEDUCTED</stp>
        <stp>2</stp>
        <stp>002035</stp>
        <stp>12/31/2018</stp>
        <tr r="N527" s="1"/>
      </tp>
      <tp>
        <v>1.2534607186087701</v>
        <stp/>
        <stp>EM_S_VAL_PBGOODWILLDEDUCTED</stp>
        <stp>2</stp>
        <stp>002034</stp>
        <stp>12/31/2018</stp>
        <tr r="N3612" s="1"/>
      </tp>
      <tp>
        <v>1.44603418144302</v>
        <stp/>
        <stp>EM_S_VAL_PBGOODWILLDEDUCTED</stp>
        <stp>2</stp>
        <stp>002009</stp>
        <stp>12/31/2018</stp>
        <tr r="N2192" s="1"/>
      </tp>
      <tp>
        <v>4.3535060480278904</v>
        <stp/>
        <stp>EM_S_VAL_PBGOODWILLDEDUCTED</stp>
        <stp>2</stp>
        <stp>002008</stp>
        <stp>12/31/2018</stp>
        <tr r="N3605" s="1"/>
      </tp>
      <tp>
        <v>2.3627759179101</v>
        <stp/>
        <stp>EM_S_VAL_PBGOODWILLDEDUCTED</stp>
        <stp>2</stp>
        <stp>002003</stp>
        <stp>12/31/2018</stp>
        <tr r="N2851" s="1"/>
      </tp>
      <tp>
        <v>1.2243967916206799</v>
        <stp/>
        <stp>EM_S_VAL_PBGOODWILLDEDUCTED</stp>
        <stp>2</stp>
        <stp>002002</stp>
        <stp>12/31/2018</stp>
        <tr r="N3603" s="1"/>
      </tp>
      <tp>
        <v>1.9944731692481099</v>
        <stp/>
        <stp>EM_S_VAL_PBGOODWILLDEDUCTED</stp>
        <stp>2</stp>
        <stp>002001</stp>
        <stp>12/31/2018</stp>
        <tr r="N565" s="1"/>
      </tp>
      <tp>
        <v>5.52050782762689</v>
        <stp/>
        <stp>EM_S_VAL_PBGOODWILLDEDUCTED</stp>
        <stp>2</stp>
        <stp>002007</stp>
        <stp>12/31/2018</stp>
        <tr r="N2145" s="1"/>
      </tp>
      <tp>
        <v>2.4644855423483798</v>
        <stp/>
        <stp>EM_S_VAL_PBGOODWILLDEDUCTED</stp>
        <stp>2</stp>
        <stp>002006</stp>
        <stp>12/31/2018</stp>
        <tr r="N2930" s="1"/>
      </tp>
      <tp>
        <v>1.7182183906397599</v>
        <stp/>
        <stp>EM_S_VAL_PBGOODWILLDEDUCTED</stp>
        <stp>2</stp>
        <stp>002005</stp>
        <stp>12/31/2018</stp>
        <tr r="N3604" s="1"/>
      </tp>
      <tp>
        <v>1.6951637707295699</v>
        <stp/>
        <stp>EM_S_VAL_PBGOODWILLDEDUCTED</stp>
        <stp>2</stp>
        <stp>002004</stp>
        <stp>12/31/2018</stp>
        <tr r="N1958" s="1"/>
      </tp>
      <tp>
        <v>3.2458746791267199</v>
        <stp/>
        <stp>EM_S_VAL_PBGOODWILLDEDUCTED</stp>
        <stp>2</stp>
        <stp>002019</stp>
        <stp>12/31/2018</stp>
        <tr r="N581" s="1"/>
      </tp>
      <tp>
        <v>-2.1653098322075799</v>
        <stp/>
        <stp>EM_S_VAL_PBGOODWILLDEDUCTED</stp>
        <stp>2</stp>
        <stp>002018</stp>
        <stp>12/31/2018</stp>
        <tr r="N3608" s="1"/>
      </tp>
      <tp>
        <v>2.75067216168951</v>
        <stp/>
        <stp>EM_S_VAL_PBGOODWILLDEDUCTED</stp>
        <stp>2</stp>
        <stp>002013</stp>
        <stp>12/31/2018</stp>
        <tr r="N1925" s="1"/>
      </tp>
      <tp>
        <v>1.4840464373117701</v>
        <stp/>
        <stp>EM_S_VAL_PBGOODWILLDEDUCTED</stp>
        <stp>2</stp>
        <stp>002012</stp>
        <stp>12/31/2018</stp>
        <tr r="N608" s="1"/>
      </tp>
      <tp>
        <v>1.7552587880543999</v>
        <stp/>
        <stp>EM_S_VAL_PBGOODWILLDEDUCTED</stp>
        <stp>2</stp>
        <stp>002011</stp>
        <stp>12/31/2018</stp>
        <tr r="N3606" s="1"/>
      </tp>
      <tp>
        <v>1.7932523033727299</v>
        <stp/>
        <stp>EM_S_VAL_PBGOODWILLDEDUCTED</stp>
        <stp>2</stp>
        <stp>002010</stp>
        <stp>12/31/2018</stp>
        <tr r="N1950" s="1"/>
      </tp>
      <tp>
        <v>3.3183601203943498</v>
        <stp/>
        <stp>EM_S_VAL_PBGOODWILLDEDUCTED</stp>
        <stp>2</stp>
        <stp>002017</stp>
        <stp>12/31/2018</stp>
        <tr r="N3607" s="1"/>
      </tp>
      <tp>
        <v>2.7177023185080502</v>
        <stp/>
        <stp>EM_S_VAL_PBGOODWILLDEDUCTED</stp>
        <stp>2</stp>
        <stp>002016</stp>
        <stp>12/31/2018</stp>
        <tr r="N2526" s="1"/>
      </tp>
      <tp>
        <v>3.5708379521085698</v>
        <stp/>
        <stp>EM_S_VAL_PBGOODWILLDEDUCTED</stp>
        <stp>2</stp>
        <stp>002015</stp>
        <stp>12/31/2018</stp>
        <tr r="N1673" s="1"/>
      </tp>
      <tp>
        <v>1.79700251103065</v>
        <stp/>
        <stp>EM_S_VAL_PBGOODWILLDEDUCTED</stp>
        <stp>2</stp>
        <stp>002014</stp>
        <stp>12/31/2018</stp>
        <tr r="N643" s="1"/>
      </tp>
      <tp>
        <v>2.07711256600233</v>
        <stp/>
        <stp>EM_S_VAL_PBGOODWILLDEDUCTED</stp>
        <stp>2</stp>
        <stp>002389</stp>
        <stp>12/31/2018</stp>
        <tr r="N2708" s="1"/>
      </tp>
      <tp>
        <v>2.4322722051907499</v>
        <stp/>
        <stp>EM_S_VAL_PBGOODWILLDEDUCTED</stp>
        <stp>2</stp>
        <stp>002388</stp>
        <stp>12/31/2018</stp>
        <tr r="N895" s="1"/>
      </tp>
      <tp>
        <v>3.2179983205352101</v>
        <stp/>
        <stp>EM_S_VAL_PBGOODWILLDEDUCTED</stp>
        <stp>2</stp>
        <stp>002383</stp>
        <stp>12/31/2018</stp>
        <tr r="N3075" s="1"/>
      </tp>
      <tp>
        <v>10.092516847692799</v>
        <stp/>
        <stp>EM_S_VAL_PBGOODWILLDEDUCTED</stp>
        <stp>2</stp>
        <stp>002382</stp>
        <stp>12/31/2018</stp>
        <tr r="N3033" s="1"/>
      </tp>
      <tp>
        <v>1.67803132767339</v>
        <stp/>
        <stp>EM_S_VAL_PBGOODWILLDEDUCTED</stp>
        <stp>2</stp>
        <stp>002381</stp>
        <stp>12/31/2018</stp>
        <tr r="N1089" s="1"/>
      </tp>
      <tp>
        <v>1.2267231087622901</v>
        <stp/>
        <stp>EM_S_VAL_PBGOODWILLDEDUCTED</stp>
        <stp>2</stp>
        <stp>002380</stp>
        <stp>12/31/2018</stp>
        <tr r="N853" s="1"/>
      </tp>
      <tp>
        <v>0.73841697260116901</v>
        <stp/>
        <stp>EM_S_VAL_PBGOODWILLDEDUCTED</stp>
        <stp>2</stp>
        <stp>002387</stp>
        <stp>12/31/2018</stp>
        <tr r="N135" s="1"/>
      </tp>
      <tp>
        <v>0.85745461566158598</v>
        <stp/>
        <stp>EM_S_VAL_PBGOODWILLDEDUCTED</stp>
        <stp>2</stp>
        <stp>002386</stp>
        <stp>12/31/2018</stp>
        <tr r="N1776" s="1"/>
      </tp>
      <tp>
        <v>1.43152206814779</v>
        <stp/>
        <stp>EM_S_VAL_PBGOODWILLDEDUCTED</stp>
        <stp>2</stp>
        <stp>002385</stp>
        <stp>12/31/2018</stp>
        <tr r="N707" s="1"/>
      </tp>
      <tp>
        <v>2.92826217776213</v>
        <stp/>
        <stp>EM_S_VAL_PBGOODWILLDEDUCTED</stp>
        <stp>2</stp>
        <stp>002384</stp>
        <stp>12/31/2018</stp>
        <tr r="N172" s="1"/>
      </tp>
      <tp>
        <v>7.6635530700766203</v>
        <stp/>
        <stp>EM_S_VAL_PBGOODWILLDEDUCTED</stp>
        <stp>2</stp>
        <stp>002399</stp>
        <stp>12/31/2018</stp>
        <tr r="N2973" s="1"/>
      </tp>
      <tp>
        <v>1.39832118315725</v>
        <stp/>
        <stp>EM_S_VAL_PBGOODWILLDEDUCTED</stp>
        <stp>2</stp>
        <stp>002398</stp>
        <stp>12/31/2018</stp>
        <tr r="N850" s="1"/>
      </tp>
      <tp>
        <v>1.22285849359472</v>
        <stp/>
        <stp>EM_S_VAL_PBGOODWILLDEDUCTED</stp>
        <stp>2</stp>
        <stp>002393</stp>
        <stp>12/31/2018</stp>
        <tr r="N1123" s="1"/>
      </tp>
      <tp>
        <v>1.10750407759446</v>
        <stp/>
        <stp>EM_S_VAL_PBGOODWILLDEDUCTED</stp>
        <stp>2</stp>
        <stp>002392</stp>
        <stp>12/31/2018</stp>
        <tr r="N1412" s="1"/>
      </tp>
      <tp>
        <v>1.1637853213512599</v>
        <stp/>
        <stp>EM_S_VAL_PBGOODWILLDEDUCTED</stp>
        <stp>2</stp>
        <stp>002391</stp>
        <stp>12/31/2018</stp>
        <tr r="N3106" s="1"/>
      </tp>
      <tp>
        <v>1.62773230254266</v>
        <stp/>
        <stp>EM_S_VAL_PBGOODWILLDEDUCTED</stp>
        <stp>2</stp>
        <stp>002390</stp>
        <stp>12/31/2018</stp>
        <tr r="N1014" s="1"/>
      </tp>
      <tp>
        <v>1.6735814614873099</v>
        <stp/>
        <stp>EM_S_VAL_PBGOODWILLDEDUCTED</stp>
        <stp>2</stp>
        <stp>002397</stp>
        <stp>12/31/2018</stp>
        <tr r="N1300" s="1"/>
      </tp>
      <tp>
        <v>2.9155804858547598</v>
        <stp/>
        <stp>EM_S_VAL_PBGOODWILLDEDUCTED</stp>
        <stp>2</stp>
        <stp>002396</stp>
        <stp>12/31/2018</stp>
        <tr r="N155" s="1"/>
      </tp>
      <tp>
        <v>2.2490383818077202</v>
        <stp/>
        <stp>EM_S_VAL_PBGOODWILLDEDUCTED</stp>
        <stp>2</stp>
        <stp>002395</stp>
        <stp>12/31/2018</stp>
        <tr r="N101" s="1"/>
      </tp>
      <tp>
        <v>1.02053543354508</v>
        <stp/>
        <stp>EM_S_VAL_PBGOODWILLDEDUCTED</stp>
        <stp>2</stp>
        <stp>002394</stp>
        <stp>12/31/2018</stp>
        <tr r="N2636" s="1"/>
      </tp>
      <tp>
        <v>2.1620067925378099</v>
        <stp/>
        <stp>EM_S_VAL_PBGOODWILLDEDUCTED</stp>
        <stp>2</stp>
        <stp>002369</stp>
        <stp>12/31/2018</stp>
        <tr r="N1109" s="1"/>
      </tp>
      <tp>
        <v>3.8979291236039</v>
        <stp/>
        <stp>EM_S_VAL_PBGOODWILLDEDUCTED</stp>
        <stp>2</stp>
        <stp>002368</stp>
        <stp>12/31/2018</stp>
        <tr r="N315" s="1"/>
      </tp>
      <tp>
        <v>0.86187460389646597</v>
        <stp/>
        <stp>EM_S_VAL_PBGOODWILLDEDUCTED</stp>
        <stp>2</stp>
        <stp>002363</stp>
        <stp>12/31/2018</stp>
        <tr r="N1055" s="1"/>
      </tp>
      <tp>
        <v>3.4032874926389298</v>
        <stp/>
        <stp>EM_S_VAL_PBGOODWILLDEDUCTED</stp>
        <stp>2</stp>
        <stp>002362</stp>
        <stp>12/31/2018</stp>
        <tr r="N1277" s="1"/>
      </tp>
      <tp>
        <v>2.0575785099956798</v>
        <stp/>
        <stp>EM_S_VAL_PBGOODWILLDEDUCTED</stp>
        <stp>2</stp>
        <stp>002361</stp>
        <stp>12/31/2018</stp>
        <tr r="N1315" s="1"/>
      </tp>
      <tp>
        <v>2.1944144100959102</v>
        <stp/>
        <stp>EM_S_VAL_PBGOODWILLDEDUCTED</stp>
        <stp>2</stp>
        <stp>002360</stp>
        <stp>12/31/2018</stp>
        <tr r="N2452" s="1"/>
      </tp>
      <tp>
        <v>1.4095436057656301</v>
        <stp/>
        <stp>EM_S_VAL_PBGOODWILLDEDUCTED</stp>
        <stp>2</stp>
        <stp>002367</stp>
        <stp>12/31/2018</stp>
        <tr r="N773" s="1"/>
      </tp>
      <tp>
        <v>2.7168888653586198</v>
        <stp/>
        <stp>EM_S_VAL_PBGOODWILLDEDUCTED</stp>
        <stp>2</stp>
        <stp>002366</stp>
        <stp>12/31/2018</stp>
        <tr r="N3168" s="1"/>
      </tp>
      <tp>
        <v>1.95813541480505</v>
        <stp/>
        <stp>EM_S_VAL_PBGOODWILLDEDUCTED</stp>
        <stp>2</stp>
        <stp>002365</stp>
        <stp>12/31/2018</stp>
        <tr r="N2692" s="1"/>
      </tp>
      <tp>
        <v>3.0849504432635699</v>
        <stp/>
        <stp>EM_S_VAL_PBGOODWILLDEDUCTED</stp>
        <stp>2</stp>
        <stp>002364</stp>
        <stp>12/31/2018</stp>
        <tr r="N2413" s="1"/>
      </tp>
      <tp>
        <v>2.0213398170851198</v>
        <stp/>
        <stp>EM_S_VAL_PBGOODWILLDEDUCTED</stp>
        <stp>2</stp>
        <stp>002379</stp>
        <stp>12/31/2018</stp>
        <tr r="N881" s="1"/>
      </tp>
      <tp>
        <v>2.2116696128822002</v>
        <stp/>
        <stp>EM_S_VAL_PBGOODWILLDEDUCTED</stp>
        <stp>2</stp>
        <stp>002378</stp>
        <stp>12/31/2018</stp>
        <tr r="N1552" s="1"/>
      </tp>
      <tp>
        <v>3.5840622615718698</v>
        <stp/>
        <stp>EM_S_VAL_PBGOODWILLDEDUCTED</stp>
        <stp>2</stp>
        <stp>002373</stp>
        <stp>12/31/2018</stp>
        <tr r="N379" s="1"/>
      </tp>
      <tp>
        <v>5.5793922524688497</v>
        <stp/>
        <stp>EM_S_VAL_PBGOODWILLDEDUCTED</stp>
        <stp>2</stp>
        <stp>002372</stp>
        <stp>12/31/2018</stp>
        <tr r="N2991" s="1"/>
      </tp>
      <tp>
        <v>4.8995371739653697</v>
        <stp/>
        <stp>EM_S_VAL_PBGOODWILLDEDUCTED</stp>
        <stp>2</stp>
        <stp>002371</stp>
        <stp>12/31/2018</stp>
        <tr r="N103" s="1"/>
      </tp>
      <tp>
        <v>4.8379908038972399</v>
        <stp/>
        <stp>EM_S_VAL_PBGOODWILLDEDUCTED</stp>
        <stp>2</stp>
        <stp>002370</stp>
        <stp>12/31/2018</stp>
        <tr r="N3395" s="1"/>
      </tp>
      <tp>
        <v>2.04096512318683</v>
        <stp/>
        <stp>EM_S_VAL_PBGOODWILLDEDUCTED</stp>
        <stp>2</stp>
        <stp>002377</stp>
        <stp>12/31/2018</stp>
        <tr r="N2493" s="1"/>
      </tp>
      <tp>
        <v>3.5755416314406001</v>
        <stp/>
        <stp>EM_S_VAL_PBGOODWILLDEDUCTED</stp>
        <stp>2</stp>
        <stp>002376</stp>
        <stp>12/31/2018</stp>
        <tr r="N3097" s="1"/>
      </tp>
      <tp>
        <v>0.89409054574921698</v>
        <stp/>
        <stp>EM_S_VAL_PBGOODWILLDEDUCTED</stp>
        <stp>2</stp>
        <stp>002375</stp>
        <stp>12/31/2018</stp>
        <tr r="N1491" s="1"/>
      </tp>
      <tp>
        <v>1.13612266036367</v>
        <stp/>
        <stp>EM_S_VAL_PBGOODWILLDEDUCTED</stp>
        <stp>2</stp>
        <stp>002374</stp>
        <stp>12/31/2018</stp>
        <tr r="N2545" s="1"/>
      </tp>
      <tp>
        <v>2.7972526032219398</v>
        <stp/>
        <stp>EM_S_VAL_PBGOODWILLDEDUCTED</stp>
        <stp>2</stp>
        <stp>002349</stp>
        <stp>12/31/2018</stp>
        <tr r="N3126" s="1"/>
      </tp>
      <tp>
        <v>2.98737337559123</v>
        <stp/>
        <stp>EM_S_VAL_PBGOODWILLDEDUCTED</stp>
        <stp>2</stp>
        <stp>002348</stp>
        <stp>12/31/2018</stp>
        <tr r="N2047" s="1"/>
      </tp>
      <tp>
        <v>3.1772508577826102</v>
        <stp/>
        <stp>EM_S_VAL_PBGOODWILLDEDUCTED</stp>
        <stp>2</stp>
        <stp>002343</stp>
        <stp>12/31/2018</stp>
        <tr r="N1031" s="1"/>
      </tp>
      <tp>
        <v>1.31573988458961</v>
        <stp/>
        <stp>EM_S_VAL_PBGOODWILLDEDUCTED</stp>
        <stp>2</stp>
        <stp>002342</stp>
        <stp>12/31/2018</stp>
        <tr r="N2594" s="1"/>
      </tp>
      <tp>
        <v>4.0132621704454596</v>
        <stp/>
        <stp>EM_S_VAL_PBGOODWILLDEDUCTED</stp>
        <stp>2</stp>
        <stp>002341</stp>
        <stp>12/31/2018</stp>
        <tr r="N3376" s="1"/>
      </tp>
      <tp>
        <v>1.64547170181613</v>
        <stp/>
        <stp>EM_S_VAL_PBGOODWILLDEDUCTED</stp>
        <stp>2</stp>
        <stp>002340</stp>
        <stp>12/31/2018</stp>
        <tr r="N1005" s="1"/>
      </tp>
      <tp>
        <v>1.44605986228011</v>
        <stp/>
        <stp>EM_S_VAL_PBGOODWILLDEDUCTED</stp>
        <stp>2</stp>
        <stp>002347</stp>
        <stp>12/31/2018</stp>
        <tr r="N1192" s="1"/>
      </tp>
      <tp>
        <v>2.7078128824497498</v>
        <stp/>
        <stp>EM_S_VAL_PBGOODWILLDEDUCTED</stp>
        <stp>2</stp>
        <stp>002346</stp>
        <stp>12/31/2018</stp>
        <tr r="N2763" s="1"/>
      </tp>
      <tp>
        <v>1.72387295215065</v>
        <stp/>
        <stp>EM_S_VAL_PBGOODWILLDEDUCTED</stp>
        <stp>2</stp>
        <stp>002345</stp>
        <stp>12/31/2018</stp>
        <tr r="N2799" s="1"/>
      </tp>
      <tp>
        <v>0.78251090550468105</v>
        <stp/>
        <stp>EM_S_VAL_PBGOODWILLDEDUCTED</stp>
        <stp>2</stp>
        <stp>002344</stp>
        <stp>12/31/2018</stp>
        <tr r="N2491" s="1"/>
      </tp>
      <tp>
        <v>2.4200441657927998</v>
        <stp/>
        <stp>EM_S_VAL_PBGOODWILLDEDUCTED</stp>
        <stp>2</stp>
        <stp>002359</stp>
        <stp>12/31/2018</stp>
        <tr r="N3401" s="1"/>
      </tp>
      <tp>
        <v>3.2828644295470801</v>
        <stp/>
        <stp>EM_S_VAL_PBGOODWILLDEDUCTED</stp>
        <stp>2</stp>
        <stp>002358</stp>
        <stp>12/31/2018</stp>
        <tr r="N3394" s="1"/>
      </tp>
      <tp>
        <v>1.72606309727583</v>
        <stp/>
        <stp>EM_S_VAL_PBGOODWILLDEDUCTED</stp>
        <stp>2</stp>
        <stp>002353</stp>
        <stp>12/31/2018</stp>
        <tr r="N89" s="1"/>
      </tp>
      <tp>
        <v>4.0231311236060998</v>
        <stp/>
        <stp>EM_S_VAL_PBGOODWILLDEDUCTED</stp>
        <stp>2</stp>
        <stp>002352</stp>
        <stp>12/31/2018</stp>
        <tr r="N1475" s="1"/>
      </tp>
      <tp>
        <v>1.6494927594812701</v>
        <stp/>
        <stp>EM_S_VAL_PBGOODWILLDEDUCTED</stp>
        <stp>2</stp>
        <stp>002351</stp>
        <stp>12/31/2018</stp>
        <tr r="N22" s="1"/>
      </tp>
      <tp>
        <v>1.7788173912804099</v>
        <stp/>
        <stp>EM_S_VAL_PBGOODWILLDEDUCTED</stp>
        <stp>2</stp>
        <stp>002350</stp>
        <stp>12/31/2018</stp>
        <tr r="N2684" s="1"/>
      </tp>
      <tp>
        <v>1.84454004755861</v>
        <stp/>
        <stp>EM_S_VAL_PBGOODWILLDEDUCTED</stp>
        <stp>2</stp>
        <stp>002357</stp>
        <stp>12/31/2018</stp>
        <tr r="N1607" s="1"/>
      </tp>
      <tp>
        <v>25.306812827115401</v>
        <stp/>
        <stp>EM_S_VAL_PBGOODWILLDEDUCTED</stp>
        <stp>2</stp>
        <stp>002356</stp>
        <stp>12/31/2018</stp>
        <tr r="N3400" s="1"/>
      </tp>
      <tp>
        <v>1.8550702421165699</v>
        <stp/>
        <stp>EM_S_VAL_PBGOODWILLDEDUCTED</stp>
        <stp>2</stp>
        <stp>002355</stp>
        <stp>12/31/2018</stp>
        <tr r="N2718" s="1"/>
      </tp>
      <tp>
        <v>-8.1289151147042293</v>
        <stp/>
        <stp>EM_S_VAL_PBGOODWILLDEDUCTED</stp>
        <stp>2</stp>
        <stp>002354</stp>
        <stp>12/31/2018</stp>
        <tr r="N3345" s="1"/>
      </tp>
      <tp>
        <v>1.5465617524063699</v>
        <stp/>
        <stp>EM_S_VAL_PBGOODWILLDEDUCTED</stp>
        <stp>2</stp>
        <stp>002329</stp>
        <stp>12/31/2018</stp>
        <tr r="N907" s="1"/>
      </tp>
      <tp>
        <v>1.0119240425062599</v>
        <stp/>
        <stp>EM_S_VAL_PBGOODWILLDEDUCTED</stp>
        <stp>2</stp>
        <stp>002328</stp>
        <stp>12/31/2018</stp>
        <tr r="N3199" s="1"/>
      </tp>
      <tp>
        <v>2.7401246745705201</v>
        <stp/>
        <stp>EM_S_VAL_PBGOODWILLDEDUCTED</stp>
        <stp>2</stp>
        <stp>002323</stp>
        <stp>12/31/2018</stp>
        <tr r="N80" s="1"/>
      </tp>
      <tp>
        <v>2.7862797980933398</v>
        <stp/>
        <stp>EM_S_VAL_PBGOODWILLDEDUCTED</stp>
        <stp>2</stp>
        <stp>002322</stp>
        <stp>12/31/2018</stp>
        <tr r="N932" s="1"/>
      </tp>
      <tp>
        <v>1.1156577262598699</v>
        <stp/>
        <stp>EM_S_VAL_PBGOODWILLDEDUCTED</stp>
        <stp>2</stp>
        <stp>002321</stp>
        <stp>12/31/2018</stp>
        <tr r="N1897" s="1"/>
      </tp>
      <tp>
        <v>2.44360262265057</v>
        <stp/>
        <stp>EM_S_VAL_PBGOODWILLDEDUCTED</stp>
        <stp>2</stp>
        <stp>002320</stp>
        <stp>12/31/2018</stp>
        <tr r="N2750" s="1"/>
      </tp>
      <tp>
        <v>1.8379014418408599</v>
        <stp/>
        <stp>EM_S_VAL_PBGOODWILLDEDUCTED</stp>
        <stp>2</stp>
        <stp>002327</stp>
        <stp>12/31/2018</stp>
        <tr r="N2672" s="1"/>
      </tp>
      <tp>
        <v>2.5209746382954799</v>
        <stp/>
        <stp>EM_S_VAL_PBGOODWILLDEDUCTED</stp>
        <stp>2</stp>
        <stp>002326</stp>
        <stp>12/31/2018</stp>
        <tr r="N623" s="1"/>
      </tp>
      <tp>
        <v>1.2785635280627099</v>
        <stp/>
        <stp>EM_S_VAL_PBGOODWILLDEDUCTED</stp>
        <stp>2</stp>
        <stp>002325</stp>
        <stp>12/31/2018</stp>
        <tr r="N1760" s="1"/>
      </tp>
      <tp>
        <v>2.0164372378956399</v>
        <stp/>
        <stp>EM_S_VAL_PBGOODWILLDEDUCTED</stp>
        <stp>2</stp>
        <stp>002324</stp>
        <stp>12/31/2018</stp>
        <tr r="N820" s="1"/>
      </tp>
      <tp>
        <v>1.3434805197747599</v>
        <stp/>
        <stp>EM_S_VAL_PBGOODWILLDEDUCTED</stp>
        <stp>2</stp>
        <stp>002339</stp>
        <stp>12/31/2018</stp>
        <tr r="N1989" s="1"/>
      </tp>
      <tp>
        <v>3.2644160735709602</v>
        <stp/>
        <stp>EM_S_VAL_PBGOODWILLDEDUCTED</stp>
        <stp>2</stp>
        <stp>002338</stp>
        <stp>12/31/2018</stp>
        <tr r="N1311" s="1"/>
      </tp>
      <tp>
        <v>2.2345035171559999</v>
        <stp/>
        <stp>EM_S_VAL_PBGOODWILLDEDUCTED</stp>
        <stp>2</stp>
        <stp>002333</stp>
        <stp>12/31/2018</stp>
        <tr r="N3105" s="1"/>
      </tp>
      <tp>
        <v>2.7726648228535899</v>
        <stp/>
        <stp>EM_S_VAL_PBGOODWILLDEDUCTED</stp>
        <stp>2</stp>
        <stp>002332</stp>
        <stp>12/31/2018</stp>
        <tr r="N458" s="1"/>
      </tp>
      <tp>
        <v>2.1703398266636098</v>
        <stp/>
        <stp>EM_S_VAL_PBGOODWILLDEDUCTED</stp>
        <stp>2</stp>
        <stp>002331</stp>
        <stp>12/31/2018</stp>
        <tr r="N1715" s="1"/>
      </tp>
      <tp>
        <v>1.62935807673772</v>
        <stp/>
        <stp>EM_S_VAL_PBGOODWILLDEDUCTED</stp>
        <stp>2</stp>
        <stp>002330</stp>
        <stp>12/31/2018</stp>
        <tr r="N253" s="1"/>
      </tp>
      <tp>
        <v>1.82623339950354</v>
        <stp/>
        <stp>EM_S_VAL_PBGOODWILLDEDUCTED</stp>
        <stp>2</stp>
        <stp>002337</stp>
        <stp>12/31/2018</stp>
        <tr r="N2558" s="1"/>
      </tp>
      <tp>
        <v>1.7800861735539499</v>
        <stp/>
        <stp>EM_S_VAL_PBGOODWILLDEDUCTED</stp>
        <stp>2</stp>
        <stp>002336</stp>
        <stp>12/31/2018</stp>
        <tr r="N2961" s="1"/>
      </tp>
      <tp>
        <v>1.6718568035600601</v>
        <stp/>
        <stp>EM_S_VAL_PBGOODWILLDEDUCTED</stp>
        <stp>2</stp>
        <stp>002335</stp>
        <stp>12/31/2018</stp>
        <tr r="N1827" s="1"/>
      </tp>
      <tp>
        <v>1.9337124290966099</v>
        <stp/>
        <stp>EM_S_VAL_PBGOODWILLDEDUCTED</stp>
        <stp>2</stp>
        <stp>002334</stp>
        <stp>12/31/2018</stp>
        <tr r="N2234" s="1"/>
      </tp>
      <tp>
        <v>0.85016018617266198</v>
        <stp/>
        <stp>EM_S_VAL_PBGOODWILLDEDUCTED</stp>
        <stp>2</stp>
        <stp>002309</stp>
        <stp>12/31/2018</stp>
        <tr r="N3182" s="1"/>
      </tp>
      <tp>
        <v>2.2295897960499298</v>
        <stp/>
        <stp>EM_S_VAL_PBGOODWILLDEDUCTED</stp>
        <stp>2</stp>
        <stp>002308</stp>
        <stp>12/31/2018</stp>
        <tr r="N2098" s="1"/>
      </tp>
      <tp>
        <v>1.5906796437264901</v>
        <stp/>
        <stp>EM_S_VAL_PBGOODWILLDEDUCTED</stp>
        <stp>2</stp>
        <stp>002303</stp>
        <stp>12/31/2018</stp>
        <tr r="N1611" s="1"/>
      </tp>
      <tp>
        <v>1.71337962537719</v>
        <stp/>
        <stp>EM_S_VAL_PBGOODWILLDEDUCTED</stp>
        <stp>2</stp>
        <stp>002302</stp>
        <stp>12/31/2018</stp>
        <tr r="N1075" s="1"/>
      </tp>
      <tp>
        <v>3.2289952859252198</v>
        <stp/>
        <stp>EM_S_VAL_PBGOODWILLDEDUCTED</stp>
        <stp>2</stp>
        <stp>002301</stp>
        <stp>12/31/2018</stp>
        <tr r="N732" s="1"/>
      </tp>
      <tp>
        <v>2.1957875351611298</v>
        <stp/>
        <stp>EM_S_VAL_PBGOODWILLDEDUCTED</stp>
        <stp>2</stp>
        <stp>002300</stp>
        <stp>12/31/2018</stp>
        <tr r="N1241" s="1"/>
      </tp>
      <tp>
        <v>2.5033347374556798</v>
        <stp/>
        <stp>EM_S_VAL_PBGOODWILLDEDUCTED</stp>
        <stp>2</stp>
        <stp>002307</stp>
        <stp>12/31/2018</stp>
        <tr r="N1740" s="1"/>
      </tp>
      <tp>
        <v>316.59836413379497</v>
        <stp/>
        <stp>EM_S_VAL_PBGOODWILLDEDUCTED</stp>
        <stp>2</stp>
        <stp>002306</stp>
        <stp>12/31/2018</stp>
        <tr r="N3111" s="1"/>
      </tp>
      <tp>
        <v>1.10738953384609</v>
        <stp/>
        <stp>EM_S_VAL_PBGOODWILLDEDUCTED</stp>
        <stp>2</stp>
        <stp>002305</stp>
        <stp>12/31/2018</stp>
        <tr r="N3140" s="1"/>
      </tp>
      <tp>
        <v>4.2777404558614602</v>
        <stp/>
        <stp>EM_S_VAL_PBGOODWILLDEDUCTED</stp>
        <stp>2</stp>
        <stp>002304</stp>
        <stp>12/31/2018</stp>
        <tr r="N1400" s="1"/>
      </tp>
      <tp>
        <v>16.360358633243099</v>
        <stp/>
        <stp>EM_S_VAL_PBGOODWILLDEDUCTED</stp>
        <stp>2</stp>
        <stp>002319</stp>
        <stp>12/31/2018</stp>
        <tr r="N3323" s="1"/>
      </tp>
      <tp>
        <v>1.79771719263354</v>
        <stp/>
        <stp>EM_S_VAL_PBGOODWILLDEDUCTED</stp>
        <stp>2</stp>
        <stp>002318</stp>
        <stp>12/31/2018</stp>
        <tr r="N566" s="1"/>
      </tp>
      <tp>
        <v>4.6516809961083698</v>
        <stp/>
        <stp>EM_S_VAL_PBGOODWILLDEDUCTED</stp>
        <stp>2</stp>
        <stp>002313</stp>
        <stp>12/31/2018</stp>
        <tr r="N2845" s="1"/>
      </tp>
      <tp>
        <v>1.3221288770081701</v>
        <stp/>
        <stp>EM_S_VAL_PBGOODWILLDEDUCTED</stp>
        <stp>2</stp>
        <stp>002312</stp>
        <stp>12/31/2018</stp>
        <tr r="N876" s="1"/>
      </tp>
      <tp>
        <v>4.97374379134693</v>
        <stp/>
        <stp>EM_S_VAL_PBGOODWILLDEDUCTED</stp>
        <stp>2</stp>
        <stp>002311</stp>
        <stp>12/31/2018</stp>
        <tr r="N476" s="1"/>
      </tp>
      <tp>
        <v>1.75244443844326</v>
        <stp/>
        <stp>EM_S_VAL_PBGOODWILLDEDUCTED</stp>
        <stp>2</stp>
        <stp>002310</stp>
        <stp>12/31/2018</stp>
        <tr r="N3198" s="1"/>
      </tp>
      <tp>
        <v>2.66503934504256</v>
        <stp/>
        <stp>EM_S_VAL_PBGOODWILLDEDUCTED</stp>
        <stp>2</stp>
        <stp>002317</stp>
        <stp>12/31/2018</stp>
        <tr r="N653" s="1"/>
      </tp>
      <tp>
        <v>140.196728568411</v>
        <stp/>
        <stp>EM_S_VAL_PBGOODWILLDEDUCTED</stp>
        <stp>2</stp>
        <stp>002316</stp>
        <stp>12/31/2018</stp>
        <tr r="N1910" s="1"/>
      </tp>
      <tp>
        <v>1.56537667017666</v>
        <stp/>
        <stp>EM_S_VAL_PBGOODWILLDEDUCTED</stp>
        <stp>2</stp>
        <stp>002315</stp>
        <stp>12/31/2018</stp>
        <tr r="N403" s="1"/>
      </tp>
      <tp>
        <v>0.963013424032927</v>
        <stp/>
        <stp>EM_S_VAL_PBGOODWILLDEDUCTED</stp>
        <stp>2</stp>
        <stp>002314</stp>
        <stp>12/31/2018</stp>
        <tr r="N1918" s="1"/>
      </tp>
      <tp>
        <v>4.3090096742503903</v>
        <stp/>
        <stp>EM_S_VAL_PBGOODWILLDEDUCTED</stp>
        <stp>2</stp>
        <stp>002289</stp>
        <stp>12/31/2018</stp>
        <tr r="N380" s="1"/>
      </tp>
      <tp>
        <v>2.7379180591402199</v>
        <stp/>
        <stp>EM_S_VAL_PBGOODWILLDEDUCTED</stp>
        <stp>2</stp>
        <stp>002288</stp>
        <stp>12/31/2018</stp>
        <tr r="N1928" s="1"/>
      </tp>
      <tp>
        <v>0.89402213563329103</v>
        <stp/>
        <stp>EM_S_VAL_PBGOODWILLDEDUCTED</stp>
        <stp>2</stp>
        <stp>002283</stp>
        <stp>12/31/2018</stp>
        <tr r="N1746" s="1"/>
      </tp>
      <tp>
        <v>2.76329775171408</v>
        <stp/>
        <stp>EM_S_VAL_PBGOODWILLDEDUCTED</stp>
        <stp>2</stp>
        <stp>002282</stp>
        <stp>12/31/2018</stp>
        <tr r="N2263" s="1"/>
      </tp>
      <tp>
        <v>5.1608682365239904</v>
        <stp/>
        <stp>EM_S_VAL_PBGOODWILLDEDUCTED</stp>
        <stp>2</stp>
        <stp>002281</stp>
        <stp>12/31/2018</stp>
        <tr r="N1737" s="1"/>
      </tp>
      <tp>
        <v>3.0400428110403199</v>
        <stp/>
        <stp>EM_S_VAL_PBGOODWILLDEDUCTED</stp>
        <stp>2</stp>
        <stp>002280</stp>
        <stp>12/31/2018</stp>
        <tr r="N2214" s="1"/>
      </tp>
      <tp>
        <v>5.0057567388874196</v>
        <stp/>
        <stp>EM_S_VAL_PBGOODWILLDEDUCTED</stp>
        <stp>2</stp>
        <stp>002287</stp>
        <stp>12/31/2018</stp>
        <tr r="N2908" s="1"/>
      </tp>
      <tp>
        <v>1.3091634732427899</v>
        <stp/>
        <stp>EM_S_VAL_PBGOODWILLDEDUCTED</stp>
        <stp>2</stp>
        <stp>002286</stp>
        <stp>12/31/2018</stp>
        <tr r="N1755" s="1"/>
      </tp>
      <tp>
        <v>2.0659021013066501</v>
        <stp/>
        <stp>EM_S_VAL_PBGOODWILLDEDUCTED</stp>
        <stp>2</stp>
        <stp>002285</stp>
        <stp>12/31/2018</stp>
        <tr r="N3147" s="1"/>
      </tp>
      <tp>
        <v>1.20663238974718</v>
        <stp/>
        <stp>EM_S_VAL_PBGOODWILLDEDUCTED</stp>
        <stp>2</stp>
        <stp>002284</stp>
        <stp>12/31/2018</stp>
        <tr r="N1226" s="1"/>
      </tp>
      <tp>
        <v>2.6439453190735498</v>
        <stp/>
        <stp>EM_S_VAL_PBGOODWILLDEDUCTED</stp>
        <stp>2</stp>
        <stp>002299</stp>
        <stp>12/31/2018</stp>
        <tr r="N644" s="1"/>
      </tp>
      <tp>
        <v>1.5241672910148401</v>
        <stp/>
        <stp>EM_S_VAL_PBGOODWILLDEDUCTED</stp>
        <stp>2</stp>
        <stp>002298</stp>
        <stp>12/31/2018</stp>
        <tr r="N1002" s="1"/>
      </tp>
      <tp>
        <v>1.8451815363258</v>
        <stp/>
        <stp>EM_S_VAL_PBGOODWILLDEDUCTED</stp>
        <stp>2</stp>
        <stp>002293</stp>
        <stp>12/31/2018</stp>
        <tr r="N1996" s="1"/>
      </tp>
      <tp>
        <v>4.11580377786564</v>
        <stp/>
        <stp>EM_S_VAL_PBGOODWILLDEDUCTED</stp>
        <stp>2</stp>
        <stp>002292</stp>
        <stp>12/31/2018</stp>
        <tr r="N282" s="1"/>
      </tp>
      <tp>
        <v>1.57725868861881</v>
        <stp/>
        <stp>EM_S_VAL_PBGOODWILLDEDUCTED</stp>
        <stp>2</stp>
        <stp>002291</stp>
        <stp>12/31/2018</stp>
        <tr r="N28" s="1"/>
      </tp>
      <tp>
        <v>1.88209924556488</v>
        <stp/>
        <stp>EM_S_VAL_PBGOODWILLDEDUCTED</stp>
        <stp>2</stp>
        <stp>002290</stp>
        <stp>12/31/2018</stp>
        <tr r="N3357" s="1"/>
      </tp>
      <tp>
        <v>1.9614535314249599</v>
        <stp/>
        <stp>EM_S_VAL_PBGOODWILLDEDUCTED</stp>
        <stp>2</stp>
        <stp>002297</stp>
        <stp>12/31/2018</stp>
        <tr r="N1894" s="1"/>
      </tp>
      <tp>
        <v>1.3537384324383399</v>
        <stp/>
        <stp>EM_S_VAL_PBGOODWILLDEDUCTED</stp>
        <stp>2</stp>
        <stp>002296</stp>
        <stp>12/31/2018</stp>
        <tr r="N457" s="1"/>
      </tp>
      <tp>
        <v>1.6837005594849099</v>
        <stp/>
        <stp>EM_S_VAL_PBGOODWILLDEDUCTED</stp>
        <stp>2</stp>
        <stp>002295</stp>
        <stp>12/31/2018</stp>
        <tr r="N2213" s="1"/>
      </tp>
      <tp>
        <v>3.4794570029882901</v>
        <stp/>
        <stp>EM_S_VAL_PBGOODWILLDEDUCTED</stp>
        <stp>2</stp>
        <stp>002294</stp>
        <stp>12/31/2018</stp>
        <tr r="N2519" s="1"/>
      </tp>
      <tp>
        <v>2.0168483866334799</v>
        <stp/>
        <stp>EM_S_VAL_PBGOODWILLDEDUCTED</stp>
        <stp>2</stp>
        <stp>002269</stp>
        <stp>12/31/2018</stp>
        <tr r="N1454" s="1"/>
      </tp>
      <tp>
        <v>3.3975714945989299</v>
        <stp/>
        <stp>EM_S_VAL_PBGOODWILLDEDUCTED</stp>
        <stp>2</stp>
        <stp>002268</stp>
        <stp>12/31/2018</stp>
        <tr r="N691" s="1"/>
      </tp>
      <tp>
        <v>1.4556021976198601</v>
        <stp/>
        <stp>EM_S_VAL_PBGOODWILLDEDUCTED</stp>
        <stp>2</stp>
        <stp>002263</stp>
        <stp>12/31/2018</stp>
        <tr r="N1203" s="1"/>
      </tp>
      <tp>
        <v>3.1121283641415101</v>
        <stp/>
        <stp>EM_S_VAL_PBGOODWILLDEDUCTED</stp>
        <stp>2</stp>
        <stp>002262</stp>
        <stp>12/31/2018</stp>
        <tr r="N1001" s="1"/>
      </tp>
      <tp>
        <v>2.8262932165570702</v>
        <stp/>
        <stp>EM_S_VAL_PBGOODWILLDEDUCTED</stp>
        <stp>2</stp>
        <stp>002261</stp>
        <stp>12/31/2018</stp>
        <tr r="N164" s="1"/>
      </tp>
      <tp>
        <v>-2.47689985284488</v>
        <stp/>
        <stp>EM_S_VAL_PBGOODWILLDEDUCTED</stp>
        <stp>2</stp>
        <stp>002260</stp>
        <stp>12/31/2018</stp>
        <tr r="N2467" s="1"/>
      </tp>
      <tp>
        <v>1.4561645263905501</v>
        <stp/>
        <stp>EM_S_VAL_PBGOODWILLDEDUCTED</stp>
        <stp>2</stp>
        <stp>002267</stp>
        <stp>12/31/2018</stp>
        <tr r="N2497" s="1"/>
      </tp>
      <tp>
        <v>2.60458417456671</v>
        <stp/>
        <stp>EM_S_VAL_PBGOODWILLDEDUCTED</stp>
        <stp>2</stp>
        <stp>002266</stp>
        <stp>12/31/2018</stp>
        <tr r="N2187" s="1"/>
      </tp>
      <tp>
        <v>3.38820313178952</v>
        <stp/>
        <stp>EM_S_VAL_PBGOODWILLDEDUCTED</stp>
        <stp>2</stp>
        <stp>002265</stp>
        <stp>12/31/2018</stp>
        <tr r="N2427" s="1"/>
      </tp>
      <tp>
        <v>3.9999218117301001</v>
        <stp/>
        <stp>EM_S_VAL_PBGOODWILLDEDUCTED</stp>
        <stp>2</stp>
        <stp>002264</stp>
        <stp>12/31/2018</stp>
        <tr r="N2960" s="1"/>
      </tp>
      <tp>
        <v>13.377652373548599</v>
        <stp/>
        <stp>EM_S_VAL_PBGOODWILLDEDUCTED</stp>
        <stp>2</stp>
        <stp>002279</stp>
        <stp>12/31/2018</stp>
        <tr r="N2897" s="1"/>
      </tp>
      <tp>
        <v>2.37582534143522</v>
        <stp/>
        <stp>EM_S_VAL_PBGOODWILLDEDUCTED</stp>
        <stp>2</stp>
        <stp>002278</stp>
        <stp>12/31/2018</stp>
        <tr r="N2576" s="1"/>
      </tp>
      <tp>
        <v>2.2916486839767098</v>
        <stp/>
        <stp>EM_S_VAL_PBGOODWILLDEDUCTED</stp>
        <stp>2</stp>
        <stp>002273</stp>
        <stp>12/31/2018</stp>
        <tr r="N318" s="1"/>
      </tp>
      <tp>
        <v>1.39928315561752</v>
        <stp/>
        <stp>EM_S_VAL_PBGOODWILLDEDUCTED</stp>
        <stp>2</stp>
        <stp>002272</stp>
        <stp>12/31/2018</stp>
        <tr r="N1640" s="1"/>
      </tp>
      <tp>
        <v>2.5991858110134198</v>
        <stp/>
        <stp>EM_S_VAL_PBGOODWILLDEDUCTED</stp>
        <stp>2</stp>
        <stp>002271</stp>
        <stp>12/31/2018</stp>
        <tr r="N152" s="1"/>
      </tp>
      <tp>
        <v>1.61185201773994</v>
        <stp/>
        <stp>EM_S_VAL_PBGOODWILLDEDUCTED</stp>
        <stp>2</stp>
        <stp>002270</stp>
        <stp>12/31/2018</stp>
        <tr r="N2017" s="1"/>
      </tp>
      <tp>
        <v>0.677687337091191</v>
        <stp/>
        <stp>EM_S_VAL_PBGOODWILLDEDUCTED</stp>
        <stp>2</stp>
        <stp>002277</stp>
        <stp>12/31/2018</stp>
        <tr r="N2034" s="1"/>
      </tp>
      <tp>
        <v>1.39509217849761</v>
        <stp/>
        <stp>EM_S_VAL_PBGOODWILLDEDUCTED</stp>
        <stp>2</stp>
        <stp>002276</stp>
        <stp>12/31/2018</stp>
        <tr r="N361" s="1"/>
      </tp>
      <tp>
        <v>2.69712784224786</v>
        <stp/>
        <stp>EM_S_VAL_PBGOODWILLDEDUCTED</stp>
        <stp>2</stp>
        <stp>002275</stp>
        <stp>12/31/2018</stp>
        <tr r="N2210" s="1"/>
      </tp>
      <tp>
        <v>1.22547856104877</v>
        <stp/>
        <stp>EM_S_VAL_PBGOODWILLDEDUCTED</stp>
        <stp>2</stp>
        <stp>002274</stp>
        <stp>12/31/2018</stp>
        <tr r="N999" s="1"/>
      </tp>
      <tp>
        <v>1.5048173357747301</v>
        <stp/>
        <stp>EM_S_VAL_PBGOODWILLDEDUCTED</stp>
        <stp>2</stp>
        <stp>002249</stp>
        <stp>12/31/2018</stp>
        <tr r="N1320" s="1"/>
      </tp>
      <tp>
        <v>25.672159006218301</v>
        <stp/>
        <stp>EM_S_VAL_PBGOODWILLDEDUCTED</stp>
        <stp>2</stp>
        <stp>002248</stp>
        <stp>12/31/2018</stp>
        <tr r="N2746" s="1"/>
      </tp>
      <tp>
        <v>3.24813111807403</v>
        <stp/>
        <stp>EM_S_VAL_PBGOODWILLDEDUCTED</stp>
        <stp>2</stp>
        <stp>002243</stp>
        <stp>12/31/2018</stp>
        <tr r="N1825" s="1"/>
      </tp>
      <tp>
        <v>3.2249111246780502</v>
        <stp/>
        <stp>EM_S_VAL_PBGOODWILLDEDUCTED</stp>
        <stp>2</stp>
        <stp>002242</stp>
        <stp>12/31/2018</stp>
        <tr r="N504" s="1"/>
      </tp>
      <tp>
        <v>1.4704373612283701</v>
        <stp/>
        <stp>EM_S_VAL_PBGOODWILLDEDUCTED</stp>
        <stp>2</stp>
        <stp>002241</stp>
        <stp>12/31/2018</stp>
        <tr r="N52" s="1"/>
      </tp>
      <tp>
        <v>1.80797706804972</v>
        <stp/>
        <stp>EM_S_VAL_PBGOODWILLDEDUCTED</stp>
        <stp>2</stp>
        <stp>002240</stp>
        <stp>12/31/2018</stp>
        <tr r="N1935" s="1"/>
      </tp>
      <tp>
        <v>2.2671199135368498</v>
        <stp/>
        <stp>EM_S_VAL_PBGOODWILLDEDUCTED</stp>
        <stp>2</stp>
        <stp>002247</stp>
        <stp>12/31/2018</stp>
        <tr r="N3301" s="1"/>
      </tp>
      <tp>
        <v>1.50712034301918</v>
        <stp/>
        <stp>EM_S_VAL_PBGOODWILLDEDUCTED</stp>
        <stp>2</stp>
        <stp>002246</stp>
        <stp>12/31/2018</stp>
        <tr r="N1557" s="1"/>
      </tp>
      <tp>
        <v>1.8675991147543201</v>
        <stp/>
        <stp>EM_S_VAL_PBGOODWILLDEDUCTED</stp>
        <stp>2</stp>
        <stp>002245</stp>
        <stp>12/31/2018</stp>
        <tr r="N2022" s="1"/>
      </tp>
      <tp>
        <v>0.811477585297257</v>
        <stp/>
        <stp>EM_S_VAL_PBGOODWILLDEDUCTED</stp>
        <stp>2</stp>
        <stp>002244</stp>
        <stp>12/31/2018</stp>
        <tr r="N1120" s="1"/>
      </tp>
      <tp>
        <v>1.1651262600363801</v>
        <stp/>
        <stp>EM_S_VAL_PBGOODWILLDEDUCTED</stp>
        <stp>2</stp>
        <stp>002259</stp>
        <stp>12/31/2018</stp>
        <tr r="N2658" s="1"/>
      </tp>
      <tp>
        <v>2.3485344336363201</v>
        <stp/>
        <stp>EM_S_VAL_PBGOODWILLDEDUCTED</stp>
        <stp>2</stp>
        <stp>002258</stp>
        <stp>12/31/2018</stp>
        <tr r="N1840" s="1"/>
      </tp>
      <tp>
        <v>2.2106621292081199</v>
        <stp/>
        <stp>EM_S_VAL_PBGOODWILLDEDUCTED</stp>
        <stp>2</stp>
        <stp>002253</stp>
        <stp>12/31/2018</stp>
        <tr r="N1773" s="1"/>
      </tp>
      <tp>
        <v>7.4354935486781804</v>
        <stp/>
        <stp>EM_S_VAL_PBGOODWILLDEDUCTED</stp>
        <stp>2</stp>
        <stp>002252</stp>
        <stp>12/31/2018</stp>
        <tr r="N2752" s="1"/>
      </tp>
      <tp>
        <v>0.98869961769797798</v>
        <stp/>
        <stp>EM_S_VAL_PBGOODWILLDEDUCTED</stp>
        <stp>2</stp>
        <stp>002251</stp>
        <stp>12/31/2018</stp>
        <tr r="N1280" s="1"/>
      </tp>
      <tp>
        <v>1.6896705931518801</v>
        <stp/>
        <stp>EM_S_VAL_PBGOODWILLDEDUCTED</stp>
        <stp>2</stp>
        <stp>002250</stp>
        <stp>12/31/2018</stp>
        <tr r="N271" s="1"/>
      </tp>
      <tp>
        <v>0</v>
        <stp/>
        <stp>EM_S_VAL_PBGOODWILLDEDUCTED</stp>
        <stp>2</stp>
        <stp>002257</stp>
        <stp>12/31/2018</stp>
        <tr r="N5" s="1"/>
      </tp>
      <tp>
        <v>2.87233917888818</v>
        <stp/>
        <stp>EM_S_VAL_PBGOODWILLDEDUCTED</stp>
        <stp>2</stp>
        <stp>002256</stp>
        <stp>12/31/2018</stp>
        <tr r="N2915" s="1"/>
      </tp>
      <tp>
        <v>1.01976028087161</v>
        <stp/>
        <stp>EM_S_VAL_PBGOODWILLDEDUCTED</stp>
        <stp>2</stp>
        <stp>002255</stp>
        <stp>12/31/2018</stp>
        <tr r="N3028" s="1"/>
      </tp>
      <tp>
        <v>3.0714789177576098</v>
        <stp/>
        <stp>EM_S_VAL_PBGOODWILLDEDUCTED</stp>
        <stp>2</stp>
        <stp>002254</stp>
        <stp>12/31/2018</stp>
        <tr r="N2504" s="1"/>
      </tp>
      <tp>
        <v>2.33611534400807</v>
        <stp/>
        <stp>EM_S_VAL_PBGOODWILLDEDUCTED</stp>
        <stp>2</stp>
        <stp>002229</stp>
        <stp>12/31/2018</stp>
        <tr r="N2717" s="1"/>
      </tp>
      <tp>
        <v>1.84019334191955</v>
        <stp/>
        <stp>EM_S_VAL_PBGOODWILLDEDUCTED</stp>
        <stp>2</stp>
        <stp>002228</stp>
        <stp>12/31/2018</stp>
        <tr r="N2642" s="1"/>
      </tp>
      <tp>
        <v>4.1545888260275499</v>
        <stp/>
        <stp>EM_S_VAL_PBGOODWILLDEDUCTED</stp>
        <stp>2</stp>
        <stp>002223</stp>
        <stp>12/31/2018</stp>
        <tr r="N2176" s="1"/>
      </tp>
      <tp>
        <v>4.7640767590145101</v>
        <stp/>
        <stp>EM_S_VAL_PBGOODWILLDEDUCTED</stp>
        <stp>2</stp>
        <stp>002222</stp>
        <stp>12/31/2018</stp>
        <tr r="N1041" s="1"/>
      </tp>
      <tp>
        <v>1.6231862660524801</v>
        <stp/>
        <stp>EM_S_VAL_PBGOODWILLDEDUCTED</stp>
        <stp>2</stp>
        <stp>002221</stp>
        <stp>12/31/2018</stp>
        <tr r="N2543" s="1"/>
      </tp>
      <tp>
        <v>0.75700983470790995</v>
        <stp/>
        <stp>EM_S_VAL_PBGOODWILLDEDUCTED</stp>
        <stp>2</stp>
        <stp>002220</stp>
        <stp>12/31/2018</stp>
        <tr r="N3336" s="1"/>
      </tp>
      <tp>
        <v>2.7616951283605999</v>
        <stp/>
        <stp>EM_S_VAL_PBGOODWILLDEDUCTED</stp>
        <stp>2</stp>
        <stp>002227</stp>
        <stp>12/31/2018</stp>
        <tr r="N1779" s="1"/>
      </tp>
      <tp>
        <v>1.35765164476783</v>
        <stp/>
        <stp>EM_S_VAL_PBGOODWILLDEDUCTED</stp>
        <stp>2</stp>
        <stp>002226</stp>
        <stp>12/31/2018</stp>
        <tr r="N1997" s="1"/>
      </tp>
      <tp>
        <v>1.672461940434</v>
        <stp/>
        <stp>EM_S_VAL_PBGOODWILLDEDUCTED</stp>
        <stp>2</stp>
        <stp>002225</stp>
        <stp>12/31/2018</stp>
        <tr r="N2508" s="1"/>
      </tp>
      <tp>
        <v>2.0410507097233901</v>
        <stp/>
        <stp>EM_S_VAL_PBGOODWILLDEDUCTED</stp>
        <stp>2</stp>
        <stp>002224</stp>
        <stp>12/31/2018</stp>
        <tr r="N1500" s="1"/>
      </tp>
      <tp>
        <v>1.8870356551748899</v>
        <stp/>
        <stp>EM_S_VAL_PBGOODWILLDEDUCTED</stp>
        <stp>2</stp>
        <stp>002239</stp>
        <stp>12/31/2018</stp>
        <tr r="N2868" s="1"/>
      </tp>
      <tp>
        <v>1.44710243968476</v>
        <stp/>
        <stp>EM_S_VAL_PBGOODWILLDEDUCTED</stp>
        <stp>2</stp>
        <stp>002238</stp>
        <stp>12/31/2018</stp>
        <tr r="N1196" s="1"/>
      </tp>
      <tp>
        <v>1.33631085394322</v>
        <stp/>
        <stp>EM_S_VAL_PBGOODWILLDEDUCTED</stp>
        <stp>2</stp>
        <stp>002233</stp>
        <stp>12/31/2018</stp>
        <tr r="N1157" s="1"/>
      </tp>
      <tp>
        <v>2.4873526378219601</v>
        <stp/>
        <stp>EM_S_VAL_PBGOODWILLDEDUCTED</stp>
        <stp>2</stp>
        <stp>002232</stp>
        <stp>12/31/2018</stp>
        <tr r="N1004" s="1"/>
      </tp>
      <tp>
        <v>4.4171572807088699</v>
        <stp/>
        <stp>EM_S_VAL_PBGOODWILLDEDUCTED</stp>
        <stp>2</stp>
        <stp>002231</stp>
        <stp>12/31/2018</stp>
        <tr r="N2167" s="1"/>
      </tp>
      <tp>
        <v>7.5281468943474703</v>
        <stp/>
        <stp>EM_S_VAL_PBGOODWILLDEDUCTED</stp>
        <stp>2</stp>
        <stp>002230</stp>
        <stp>12/31/2018</stp>
        <tr r="N734" s="1"/>
      </tp>
      <tp>
        <v>1.7511583263144701</v>
        <stp/>
        <stp>EM_S_VAL_PBGOODWILLDEDUCTED</stp>
        <stp>2</stp>
        <stp>002237</stp>
        <stp>12/31/2018</stp>
        <tr r="N382" s="1"/>
      </tp>
      <tp>
        <v>2.7462395256493299</v>
        <stp/>
        <stp>EM_S_VAL_PBGOODWILLDEDUCTED</stp>
        <stp>2</stp>
        <stp>002236</stp>
        <stp>12/31/2018</stp>
        <tr r="N283" s="1"/>
      </tp>
      <tp>
        <v>2.2269267457540001</v>
        <stp/>
        <stp>EM_S_VAL_PBGOODWILLDEDUCTED</stp>
        <stp>2</stp>
        <stp>002235</stp>
        <stp>12/31/2018</stp>
        <tr r="N359" s="1"/>
      </tp>
      <tp>
        <v>3.0863580732876899</v>
        <stp/>
        <stp>EM_S_VAL_PBGOODWILLDEDUCTED</stp>
        <stp>2</stp>
        <stp>002234</stp>
        <stp>12/31/2018</stp>
        <tr r="N58" s="1"/>
      </tp>
      <tp>
        <v>2.0631946832438999</v>
        <stp/>
        <stp>EM_S_VAL_PBGOODWILLDEDUCTED</stp>
        <stp>2</stp>
        <stp>002209</stp>
        <stp>12/31/2018</stp>
        <tr r="N2160" s="1"/>
      </tp>
      <tp>
        <v>1.6990654156749601</v>
        <stp/>
        <stp>EM_S_VAL_PBGOODWILLDEDUCTED</stp>
        <stp>2</stp>
        <stp>002208</stp>
        <stp>12/31/2018</stp>
        <tr r="N3250" s="1"/>
      </tp>
      <tp>
        <v>1.9771090951126999</v>
        <stp/>
        <stp>EM_S_VAL_PBGOODWILLDEDUCTED</stp>
        <stp>2</stp>
        <stp>002203</stp>
        <stp>12/31/2018</stp>
        <tr r="N951" s="1"/>
      </tp>
      <tp>
        <v>1.58036955555245</v>
        <stp/>
        <stp>EM_S_VAL_PBGOODWILLDEDUCTED</stp>
        <stp>2</stp>
        <stp>002202</stp>
        <stp>12/31/2018</stp>
        <tr r="N1408" s="1"/>
      </tp>
      <tp>
        <v>2.3416791401708399</v>
        <stp/>
        <stp>EM_S_VAL_PBGOODWILLDEDUCTED</stp>
        <stp>2</stp>
        <stp>002201</stp>
        <stp>12/31/2018</stp>
        <tr r="N33" s="1"/>
      </tp>
      <tp>
        <v>6.5041662989022901</v>
        <stp/>
        <stp>EM_S_VAL_PBGOODWILLDEDUCTED</stp>
        <stp>2</stp>
        <stp>002200</stp>
        <stp>12/31/2018</stp>
        <tr r="N1257" s="1"/>
      </tp>
      <tp>
        <v>56.2363636264365</v>
        <stp/>
        <stp>EM_S_VAL_PBGOODWILLDEDUCTED</stp>
        <stp>2</stp>
        <stp>002207</stp>
        <stp>12/31/2018</stp>
        <tr r="N968" s="1"/>
      </tp>
      <tp>
        <v>1.59843865199616</v>
        <stp/>
        <stp>EM_S_VAL_PBGOODWILLDEDUCTED</stp>
        <stp>2</stp>
        <stp>002206</stp>
        <stp>12/31/2018</stp>
        <tr r="N2495" s="1"/>
      </tp>
      <tp>
        <v>1.4527915038180701</v>
        <stp/>
        <stp>EM_S_VAL_PBGOODWILLDEDUCTED</stp>
        <stp>2</stp>
        <stp>002205</stp>
        <stp>12/31/2018</stp>
        <tr r="N1137" s="1"/>
      </tp>
      <tp>
        <v>0.86728877443961205</v>
        <stp/>
        <stp>EM_S_VAL_PBGOODWILLDEDUCTED</stp>
        <stp>2</stp>
        <stp>002204</stp>
        <stp>12/31/2018</stp>
        <tr r="N1806" s="1"/>
      </tp>
      <tp>
        <v>-13.322913840504899</v>
        <stp/>
        <stp>EM_S_VAL_PBGOODWILLDEDUCTED</stp>
        <stp>2</stp>
        <stp>002219</stp>
        <stp>12/31/2018</stp>
        <tr r="N3232" s="1"/>
      </tp>
      <tp>
        <v>1.1855155297702</v>
        <stp/>
        <stp>EM_S_VAL_PBGOODWILLDEDUCTED</stp>
        <stp>2</stp>
        <stp>002218</stp>
        <stp>12/31/2018</stp>
        <tr r="N1748" s="1"/>
      </tp>
      <tp>
        <v>5.2250264685067496</v>
        <stp/>
        <stp>EM_S_VAL_PBGOODWILLDEDUCTED</stp>
        <stp>2</stp>
        <stp>002213</stp>
        <stp>12/31/2018</stp>
        <tr r="N924" s="1"/>
      </tp>
      <tp>
        <v>3.5317118425501399</v>
        <stp/>
        <stp>EM_S_VAL_PBGOODWILLDEDUCTED</stp>
        <stp>2</stp>
        <stp>002212</stp>
        <stp>12/31/2018</stp>
        <tr r="N305" s="1"/>
      </tp>
      <tp>
        <v>2.5586426883662798</v>
        <stp/>
        <stp>EM_S_VAL_PBGOODWILLDEDUCTED</stp>
        <stp>2</stp>
        <stp>002211</stp>
        <stp>12/31/2018</stp>
        <tr r="N822" s="1"/>
      </tp>
      <tp>
        <v>3.9049549043115102</v>
        <stp/>
        <stp>EM_S_VAL_PBGOODWILLDEDUCTED</stp>
        <stp>2</stp>
        <stp>002210</stp>
        <stp>12/31/2018</stp>
        <tr r="N3397" s="1"/>
      </tp>
      <tp>
        <v>1.62439558806531</v>
        <stp/>
        <stp>EM_S_VAL_PBGOODWILLDEDUCTED</stp>
        <stp>2</stp>
        <stp>002217</stp>
        <stp>12/31/2018</stp>
        <tr r="N1404" s="1"/>
      </tp>
      <tp>
        <v>2.8867435258577299</v>
        <stp/>
        <stp>EM_S_VAL_PBGOODWILLDEDUCTED</stp>
        <stp>2</stp>
        <stp>002216</stp>
        <stp>12/31/2018</stp>
        <tr r="N197" s="1"/>
      </tp>
      <tp>
        <v>3.05165767128759</v>
        <stp/>
        <stp>EM_S_VAL_PBGOODWILLDEDUCTED</stp>
        <stp>2</stp>
        <stp>002215</stp>
        <stp>12/31/2018</stp>
        <tr r="N2430" s="1"/>
      </tp>
      <tp>
        <v>2.4238247167040998</v>
        <stp/>
        <stp>EM_S_VAL_PBGOODWILLDEDUCTED</stp>
        <stp>2</stp>
        <stp>002214</stp>
        <stp>12/31/2018</stp>
        <tr r="N189" s="1"/>
      </tp>
      <tp>
        <v>2.7516438870917801</v>
        <stp/>
        <stp>EM_S_VAL_PBGOODWILLDEDUCTED</stp>
        <stp>2</stp>
        <stp>002929</stp>
        <stp>12/31/2018</stp>
        <tr r="N2978" s="1"/>
      </tp>
      <tp>
        <v>3.5280292423786102</v>
        <stp/>
        <stp>EM_S_VAL_PBGOODWILLDEDUCTED</stp>
        <stp>2</stp>
        <stp>002928</stp>
        <stp>12/31/2018</stp>
        <tr r="N3274" s="1"/>
      </tp>
      <tp>
        <v>3.23931785510824</v>
        <stp/>
        <stp>EM_S_VAL_PBGOODWILLDEDUCTED</stp>
        <stp>2</stp>
        <stp>002923</stp>
        <stp>12/31/2018</stp>
        <tr r="N3191" s="1"/>
      </tp>
      <tp>
        <v>2.5592863490201498</v>
        <stp/>
        <stp>EM_S_VAL_PBGOODWILLDEDUCTED</stp>
        <stp>2</stp>
        <stp>002922</stp>
        <stp>12/31/2018</stp>
        <tr r="N2884" s="1"/>
      </tp>
      <tp>
        <v>3.0765717619553299</v>
        <stp/>
        <stp>EM_S_VAL_PBGOODWILLDEDUCTED</stp>
        <stp>2</stp>
        <stp>002921</stp>
        <stp>12/31/2018</stp>
        <tr r="N3207" s="1"/>
      </tp>
      <tp>
        <v>2.4022298968054301</v>
        <stp/>
        <stp>EM_S_VAL_PBGOODWILLDEDUCTED</stp>
        <stp>2</stp>
        <stp>002920</stp>
        <stp>12/31/2018</stp>
        <tr r="N269" s="1"/>
      </tp>
      <tp>
        <v>7.1939397622574299</v>
        <stp/>
        <stp>EM_S_VAL_PBGOODWILLDEDUCTED</stp>
        <stp>2</stp>
        <stp>002927</stp>
        <stp>12/31/2018</stp>
        <tr r="N3378" s="1"/>
      </tp>
      <tp>
        <v>1.1978544068632</v>
        <stp/>
        <stp>EM_S_VAL_PBGOODWILLDEDUCTED</stp>
        <stp>2</stp>
        <stp>002926</stp>
        <stp>12/31/2018</stp>
        <tr r="N890" s="1"/>
      </tp>
      <tp>
        <v>5.7100511209132101</v>
        <stp/>
        <stp>EM_S_VAL_PBGOODWILLDEDUCTED</stp>
        <stp>2</stp>
        <stp>002925</stp>
        <stp>12/31/2018</stp>
        <tr r="N2367" s="1"/>
      </tp>
      <tp>
        <v>5.85144013463636</v>
        <stp/>
        <stp>EM_S_VAL_PBGOODWILLDEDUCTED</stp>
        <stp>2</stp>
        <stp>002931</stp>
        <stp>12/31/2018</stp>
        <tr r="N2638" s="1"/>
      </tp>
      <tp>
        <v>4.0102331383368197</v>
        <stp/>
        <stp>EM_S_VAL_PBGOODWILLDEDUCTED</stp>
        <stp>2</stp>
        <stp>002930</stp>
        <stp>12/31/2018</stp>
        <tr r="N3331" s="1"/>
      </tp>
      <tp>
        <v>3.9563442337422101</v>
        <stp/>
        <stp>EM_S_VAL_PBGOODWILLDEDUCTED</stp>
        <stp>2</stp>
        <stp>002909</stp>
        <stp>12/31/2018</stp>
        <tr r="N2046" s="1"/>
      </tp>
      <tp>
        <v>3.5655214473547701</v>
        <stp/>
        <stp>EM_S_VAL_PBGOODWILLDEDUCTED</stp>
        <stp>2</stp>
        <stp>002908</stp>
        <stp>12/31/2018</stp>
        <tr r="N3201" s="1"/>
      </tp>
      <tp>
        <v>4.2077420454276604</v>
        <stp/>
        <stp>EM_S_VAL_PBGOODWILLDEDUCTED</stp>
        <stp>2</stp>
        <stp>002903</stp>
        <stp>12/31/2018</stp>
        <tr r="N2947" s="1"/>
      </tp>
      <tp>
        <v>3.1564142510992999</v>
        <stp/>
        <stp>EM_S_VAL_PBGOODWILLDEDUCTED</stp>
        <stp>2</stp>
        <stp>002902</stp>
        <stp>12/31/2018</stp>
        <tr r="N2409" s="1"/>
      </tp>
      <tp>
        <v>8.3598725348016405</v>
        <stp/>
        <stp>EM_S_VAL_PBGOODWILLDEDUCTED</stp>
        <stp>2</stp>
        <stp>002901</stp>
        <stp>12/31/2018</stp>
        <tr r="N184" s="1"/>
      </tp>
      <tp>
        <v>1.97341725552007</v>
        <stp/>
        <stp>EM_S_VAL_PBGOODWILLDEDUCTED</stp>
        <stp>2</stp>
        <stp>002900</stp>
        <stp>12/31/2018</stp>
        <tr r="N2567" s="1"/>
      </tp>
      <tp>
        <v>9.0927767484129198</v>
        <stp/>
        <stp>EM_S_VAL_PBGOODWILLDEDUCTED</stp>
        <stp>2</stp>
        <stp>002907</stp>
        <stp>12/31/2018</stp>
        <tr r="N2905" s="1"/>
      </tp>
      <tp>
        <v>1.3623250523371899</v>
        <stp/>
        <stp>EM_S_VAL_PBGOODWILLDEDUCTED</stp>
        <stp>2</stp>
        <stp>002906</stp>
        <stp>12/31/2018</stp>
        <tr r="N1168" s="1"/>
      </tp>
      <tp>
        <v>1.80274633177038</v>
        <stp/>
        <stp>EM_S_VAL_PBGOODWILLDEDUCTED</stp>
        <stp>2</stp>
        <stp>002905</stp>
        <stp>12/31/2018</stp>
        <tr r="N980" s="1"/>
      </tp>
      <tp>
        <v>2.9516171400429099</v>
        <stp/>
        <stp>EM_S_VAL_PBGOODWILLDEDUCTED</stp>
        <stp>2</stp>
        <stp>002919</stp>
        <stp>12/31/2018</stp>
        <tr r="N3159" s="1"/>
      </tp>
      <tp>
        <v>1.5404438743398501</v>
        <stp/>
        <stp>EM_S_VAL_PBGOODWILLDEDUCTED</stp>
        <stp>2</stp>
        <stp>002918</stp>
        <stp>12/31/2018</stp>
        <tr r="N1272" s="1"/>
      </tp>
      <tp>
        <v>2.7025891153770201</v>
        <stp/>
        <stp>EM_S_VAL_PBGOODWILLDEDUCTED</stp>
        <stp>2</stp>
        <stp>002913</stp>
        <stp>12/31/2018</stp>
        <tr r="N570" s="1"/>
      </tp>
      <tp>
        <v>6.68590348513397</v>
        <stp/>
        <stp>EM_S_VAL_PBGOODWILLDEDUCTED</stp>
        <stp>2</stp>
        <stp>002912</stp>
        <stp>12/31/2018</stp>
        <tr r="N494" s="1"/>
      </tp>
      <tp>
        <v>3.6323480837815598</v>
        <stp/>
        <stp>EM_S_VAL_PBGOODWILLDEDUCTED</stp>
        <stp>2</stp>
        <stp>002911</stp>
        <stp>12/31/2018</stp>
        <tr r="N2725" s="1"/>
      </tp>
      <tp>
        <v>1.97039498064397</v>
        <stp/>
        <stp>EM_S_VAL_PBGOODWILLDEDUCTED</stp>
        <stp>2</stp>
        <stp>002910</stp>
        <stp>12/31/2018</stp>
        <tr r="N2541" s="1"/>
      </tp>
      <tp>
        <v>3.9623826549445198</v>
        <stp/>
        <stp>EM_S_VAL_PBGOODWILLDEDUCTED</stp>
        <stp>2</stp>
        <stp>002917</stp>
        <stp>12/31/2018</stp>
        <tr r="N3192" s="1"/>
      </tp>
      <tp>
        <v>6.0303446134542602</v>
        <stp/>
        <stp>EM_S_VAL_PBGOODWILLDEDUCTED</stp>
        <stp>2</stp>
        <stp>002916</stp>
        <stp>12/31/2018</stp>
        <tr r="N264" s="1"/>
      </tp>
      <tp>
        <v>5.1913547157469697</v>
        <stp/>
        <stp>EM_S_VAL_PBGOODWILLDEDUCTED</stp>
        <stp>2</stp>
        <stp>002915</stp>
        <stp>12/31/2018</stp>
        <tr r="N1164" s="1"/>
      </tp>
      <tp>
        <v>2.3538521683326801</v>
        <stp/>
        <stp>EM_S_VAL_PBGOODWILLDEDUCTED</stp>
        <stp>2</stp>
        <stp>002889</stp>
        <stp>12/31/2018</stp>
        <tr r="N1842" s="1"/>
      </tp>
      <tp>
        <v>5.2026652161294002</v>
        <stp/>
        <stp>EM_S_VAL_PBGOODWILLDEDUCTED</stp>
        <stp>2</stp>
        <stp>002888</stp>
        <stp>12/31/2018</stp>
        <tr r="N1442" s="1"/>
      </tp>
      <tp>
        <v>3.9497541567504499</v>
        <stp/>
        <stp>EM_S_VAL_PBGOODWILLDEDUCTED</stp>
        <stp>2</stp>
        <stp>002883</stp>
        <stp>12/31/2018</stp>
        <tr r="N2216" s="1"/>
      </tp>
      <tp>
        <v>2.64337540396077</v>
        <stp/>
        <stp>EM_S_VAL_PBGOODWILLDEDUCTED</stp>
        <stp>2</stp>
        <stp>002882</stp>
        <stp>12/31/2018</stp>
        <tr r="N1759" s="1"/>
      </tp>
      <tp>
        <v>6.1014738871933796</v>
        <stp/>
        <stp>EM_S_VAL_PBGOODWILLDEDUCTED</stp>
        <stp>2</stp>
        <stp>002881</stp>
        <stp>12/31/2018</stp>
        <tr r="N534" s="1"/>
      </tp>
      <tp>
        <v>3.3737547137354902</v>
        <stp/>
        <stp>EM_S_VAL_PBGOODWILLDEDUCTED</stp>
        <stp>2</stp>
        <stp>002880</stp>
        <stp>12/31/2018</stp>
        <tr r="N1086" s="1"/>
      </tp>
      <tp>
        <v>1.4580682761803501</v>
        <stp/>
        <stp>EM_S_VAL_PBGOODWILLDEDUCTED</stp>
        <stp>2</stp>
        <stp>002887</stp>
        <stp>12/31/2018</stp>
        <tr r="N2528" s="1"/>
      </tp>
      <tp>
        <v>3.1410707454906301</v>
        <stp/>
        <stp>EM_S_VAL_PBGOODWILLDEDUCTED</stp>
        <stp>2</stp>
        <stp>002886</stp>
        <stp>12/31/2018</stp>
        <tr r="N774" s="1"/>
      </tp>
      <tp>
        <v>3.44409999615594</v>
        <stp/>
        <stp>EM_S_VAL_PBGOODWILLDEDUCTED</stp>
        <stp>2</stp>
        <stp>002885</stp>
        <stp>12/31/2018</stp>
        <tr r="N3090" s="1"/>
      </tp>
      <tp>
        <v>1.9364655734598</v>
        <stp/>
        <stp>EM_S_VAL_PBGOODWILLDEDUCTED</stp>
        <stp>2</stp>
        <stp>002884</stp>
        <stp>12/31/2018</stp>
        <tr r="N3180" s="1"/>
      </tp>
      <tp>
        <v>1.7244862893534101</v>
        <stp/>
        <stp>EM_S_VAL_PBGOODWILLDEDUCTED</stp>
        <stp>2</stp>
        <stp>002899</stp>
        <stp>12/31/2018</stp>
        <tr r="N2501" s="1"/>
      </tp>
      <tp>
        <v>3.6241913982635299</v>
        <stp/>
        <stp>EM_S_VAL_PBGOODWILLDEDUCTED</stp>
        <stp>2</stp>
        <stp>002898</stp>
        <stp>12/31/2018</stp>
        <tr r="N2713" s="1"/>
      </tp>
      <tp>
        <v>3.1844525077468502</v>
        <stp/>
        <stp>EM_S_VAL_PBGOODWILLDEDUCTED</stp>
        <stp>2</stp>
        <stp>002893</stp>
        <stp>12/31/2018</stp>
        <tr r="N3136" s="1"/>
      </tp>
      <tp>
        <v>3.5719491969148698</v>
        <stp/>
        <stp>EM_S_VAL_PBGOODWILLDEDUCTED</stp>
        <stp>2</stp>
        <stp>002892</stp>
        <stp>12/31/2018</stp>
        <tr r="N1688" s="1"/>
      </tp>
      <tp>
        <v>4.9095685074804001</v>
        <stp/>
        <stp>EM_S_VAL_PBGOODWILLDEDUCTED</stp>
        <stp>2</stp>
        <stp>002891</stp>
        <stp>12/31/2018</stp>
        <tr r="N3025" s="1"/>
      </tp>
      <tp>
        <v>2.3201814222498802</v>
        <stp/>
        <stp>EM_S_VAL_PBGOODWILLDEDUCTED</stp>
        <stp>2</stp>
        <stp>002890</stp>
        <stp>12/31/2018</stp>
        <tr r="N756" s="1"/>
      </tp>
      <tp>
        <v>3.1071790575342302</v>
        <stp/>
        <stp>EM_S_VAL_PBGOODWILLDEDUCTED</stp>
        <stp>2</stp>
        <stp>002897</stp>
        <stp>12/31/2018</stp>
        <tr r="N887" s="1"/>
      </tp>
      <tp>
        <v>4.2207953034539996</v>
        <stp/>
        <stp>EM_S_VAL_PBGOODWILLDEDUCTED</stp>
        <stp>2</stp>
        <stp>002896</stp>
        <stp>12/31/2018</stp>
        <tr r="N3187" s="1"/>
      </tp>
      <tp>
        <v>2.5469108442635902</v>
        <stp/>
        <stp>EM_S_VAL_PBGOODWILLDEDUCTED</stp>
        <stp>2</stp>
        <stp>002895</stp>
        <stp>12/31/2018</stp>
        <tr r="N2097" s="1"/>
      </tp>
      <tp>
        <v>1.8458985229424301</v>
        <stp/>
        <stp>EM_S_VAL_PBGOODWILLDEDUCTED</stp>
        <stp>2</stp>
        <stp>002869</stp>
        <stp>12/31/2018</stp>
        <tr r="N26" s="1"/>
      </tp>
      <tp>
        <v>2.4182517222956998</v>
        <stp/>
        <stp>EM_S_VAL_PBGOODWILLDEDUCTED</stp>
        <stp>2</stp>
        <stp>002868</stp>
        <stp>12/31/2018</stp>
        <tr r="N1313" s="1"/>
      </tp>
      <tp>
        <v>2.51797945967063</v>
        <stp/>
        <stp>EM_S_VAL_PBGOODWILLDEDUCTED</stp>
        <stp>2</stp>
        <stp>002863</stp>
        <stp>12/31/2018</stp>
        <tr r="N2846" s="1"/>
      </tp>
      <tp>
        <v>2.9952317339188399</v>
        <stp/>
        <stp>EM_S_VAL_PBGOODWILLDEDUCTED</stp>
        <stp>2</stp>
        <stp>002862</stp>
        <stp>12/31/2018</stp>
        <tr r="N2070" s="1"/>
      </tp>
      <tp>
        <v>2.46288118197401</v>
        <stp/>
        <stp>EM_S_VAL_PBGOODWILLDEDUCTED</stp>
        <stp>2</stp>
        <stp>002861</stp>
        <stp>12/31/2018</stp>
        <tr r="N286" s="1"/>
      </tp>
      <tp>
        <v>3.19748630584813</v>
        <stp/>
        <stp>EM_S_VAL_PBGOODWILLDEDUCTED</stp>
        <stp>2</stp>
        <stp>002860</stp>
        <stp>12/31/2018</stp>
        <tr r="N1191" s="1"/>
      </tp>
      <tp>
        <v>3.4026425433177199</v>
        <stp/>
        <stp>EM_S_VAL_PBGOODWILLDEDUCTED</stp>
        <stp>2</stp>
        <stp>002867</stp>
        <stp>12/31/2018</stp>
        <tr r="N3224" s="1"/>
      </tp>
      <tp>
        <v>2.9189842931296002</v>
        <stp/>
        <stp>EM_S_VAL_PBGOODWILLDEDUCTED</stp>
        <stp>2</stp>
        <stp>002866</stp>
        <stp>12/31/2018</stp>
        <tr r="N796" s="1"/>
      </tp>
      <tp>
        <v>2.68595551763763</v>
        <stp/>
        <stp>EM_S_VAL_PBGOODWILLDEDUCTED</stp>
        <stp>2</stp>
        <stp>002865</stp>
        <stp>12/31/2018</stp>
        <tr r="N3027" s="1"/>
      </tp>
      <tp>
        <v>4.5219925290078802</v>
        <stp/>
        <stp>EM_S_VAL_PBGOODWILLDEDUCTED</stp>
        <stp>2</stp>
        <stp>002864</stp>
        <stp>12/31/2018</stp>
        <tr r="N2995" s="1"/>
      </tp>
      <tp>
        <v>1.7294446518151101</v>
        <stp/>
        <stp>EM_S_VAL_PBGOODWILLDEDUCTED</stp>
        <stp>2</stp>
        <stp>002879</stp>
        <stp>12/31/2018</stp>
        <tr r="N1221" s="1"/>
      </tp>
      <tp>
        <v>7.6194902440446102</v>
        <stp/>
        <stp>EM_S_VAL_PBGOODWILLDEDUCTED</stp>
        <stp>2</stp>
        <stp>002878</stp>
        <stp>12/31/2018</stp>
        <tr r="N1941" s="1"/>
      </tp>
      <tp>
        <v>2.88687533803235</v>
        <stp/>
        <stp>EM_S_VAL_PBGOODWILLDEDUCTED</stp>
        <stp>2</stp>
        <stp>002873</stp>
        <stp>12/31/2018</stp>
        <tr r="N2205" s="1"/>
      </tp>
      <tp>
        <v>0.85820980689305004</v>
        <stp/>
        <stp>EM_S_VAL_PBGOODWILLDEDUCTED</stp>
        <stp>2</stp>
        <stp>002872</stp>
        <stp>12/31/2018</stp>
        <tr r="N3295" s="1"/>
      </tp>
      <tp>
        <v>3.7189407877205398</v>
        <stp/>
        <stp>EM_S_VAL_PBGOODWILLDEDUCTED</stp>
        <stp>2</stp>
        <stp>002871</stp>
        <stp>12/31/2018</stp>
        <tr r="N2391" s="1"/>
      </tp>
      <tp>
        <v>1.94407862133367</v>
        <stp/>
        <stp>EM_S_VAL_PBGOODWILLDEDUCTED</stp>
        <stp>2</stp>
        <stp>002870</stp>
        <stp>12/31/2018</stp>
        <tr r="N411" s="1"/>
      </tp>
      <tp>
        <v>4.7284366406540297</v>
        <stp/>
        <stp>EM_S_VAL_PBGOODWILLDEDUCTED</stp>
        <stp>2</stp>
        <stp>002877</stp>
        <stp>12/31/2018</stp>
        <tr r="N3315" s="1"/>
      </tp>
      <tp>
        <v>2.9272705627855</v>
        <stp/>
        <stp>EM_S_VAL_PBGOODWILLDEDUCTED</stp>
        <stp>2</stp>
        <stp>002876</stp>
        <stp>12/31/2018</stp>
        <tr r="N487" s="1"/>
      </tp>
      <tp>
        <v>2.1994818958035101</v>
        <stp/>
        <stp>EM_S_VAL_PBGOODWILLDEDUCTED</stp>
        <stp>2</stp>
        <stp>002875</stp>
        <stp>12/31/2018</stp>
        <tr r="N1887" s="1"/>
      </tp>
      <tp>
        <v>3.0904547304229602</v>
        <stp/>
        <stp>EM_S_VAL_PBGOODWILLDEDUCTED</stp>
        <stp>2</stp>
        <stp>002849</stp>
        <stp>12/31/2018</stp>
        <tr r="N2282" s="1"/>
      </tp>
      <tp>
        <v>3.24240459713271</v>
        <stp/>
        <stp>EM_S_VAL_PBGOODWILLDEDUCTED</stp>
        <stp>2</stp>
        <stp>002848</stp>
        <stp>12/31/2018</stp>
        <tr r="N1699" s="1"/>
      </tp>
      <tp>
        <v>2.5315228232543001</v>
        <stp/>
        <stp>EM_S_VAL_PBGOODWILLDEDUCTED</stp>
        <stp>2</stp>
        <stp>002843</stp>
        <stp>12/31/2018</stp>
        <tr r="N3239" s="1"/>
      </tp>
      <tp>
        <v>3.20345220485419</v>
        <stp/>
        <stp>EM_S_VAL_PBGOODWILLDEDUCTED</stp>
        <stp>2</stp>
        <stp>002842</stp>
        <stp>12/31/2018</stp>
        <tr r="N2843" s="1"/>
      </tp>
      <tp>
        <v>11.075489327642901</v>
        <stp/>
        <stp>EM_S_VAL_PBGOODWILLDEDUCTED</stp>
        <stp>2</stp>
        <stp>002841</stp>
        <stp>12/31/2018</stp>
        <tr r="N563" s="1"/>
      </tp>
      <tp>
        <v>2.79333116453597</v>
        <stp/>
        <stp>EM_S_VAL_PBGOODWILLDEDUCTED</stp>
        <stp>2</stp>
        <stp>002840</stp>
        <stp>12/31/2018</stp>
        <tr r="N1148" s="1"/>
      </tp>
      <tp>
        <v>4.1602016519861804</v>
        <stp/>
        <stp>EM_S_VAL_PBGOODWILLDEDUCTED</stp>
        <stp>2</stp>
        <stp>002847</stp>
        <stp>12/31/2018</stp>
        <tr r="N368" s="1"/>
      </tp>
      <tp>
        <v>3.9049738040306798</v>
        <stp/>
        <stp>EM_S_VAL_PBGOODWILLDEDUCTED</stp>
        <stp>2</stp>
        <stp>002846</stp>
        <stp>12/31/2018</stp>
        <tr r="N237" s="1"/>
      </tp>
      <tp>
        <v>3.05877350174555</v>
        <stp/>
        <stp>EM_S_VAL_PBGOODWILLDEDUCTED</stp>
        <stp>2</stp>
        <stp>002845</stp>
        <stp>12/31/2018</stp>
        <tr r="N1899" s="1"/>
      </tp>
      <tp>
        <v>5.1068978283658</v>
        <stp/>
        <stp>EM_S_VAL_PBGOODWILLDEDUCTED</stp>
        <stp>2</stp>
        <stp>002859</stp>
        <stp>12/31/2018</stp>
        <tr r="N1645" s="1"/>
      </tp>
      <tp>
        <v>4.3094356795225703</v>
        <stp/>
        <stp>EM_S_VAL_PBGOODWILLDEDUCTED</stp>
        <stp>2</stp>
        <stp>002858</stp>
        <stp>12/31/2018</stp>
        <tr r="N1816" s="1"/>
      </tp>
      <tp>
        <v>2.77371353201571</v>
        <stp/>
        <stp>EM_S_VAL_PBGOODWILLDEDUCTED</stp>
        <stp>2</stp>
        <stp>002853</stp>
        <stp>12/31/2018</stp>
        <tr r="N2233" s="1"/>
      </tp>
      <tp>
        <v>1.6806382932745101</v>
        <stp/>
        <stp>EM_S_VAL_PBGOODWILLDEDUCTED</stp>
        <stp>2</stp>
        <stp>002852</stp>
        <stp>12/31/2018</stp>
        <tr r="N1784" s="1"/>
      </tp>
      <tp>
        <v>4.1467092343522003</v>
        <stp/>
        <stp>EM_S_VAL_PBGOODWILLDEDUCTED</stp>
        <stp>2</stp>
        <stp>002851</stp>
        <stp>12/31/2018</stp>
        <tr r="N2406" s="1"/>
      </tp>
      <tp>
        <v>1.68800021724239</v>
        <stp/>
        <stp>EM_S_VAL_PBGOODWILLDEDUCTED</stp>
        <stp>2</stp>
        <stp>002850</stp>
        <stp>12/31/2018</stp>
        <tr r="N87" s="1"/>
      </tp>
      <tp>
        <v>3.2901922450974799</v>
        <stp/>
        <stp>EM_S_VAL_PBGOODWILLDEDUCTED</stp>
        <stp>2</stp>
        <stp>002857</stp>
        <stp>12/31/2018</stp>
        <tr r="N2140" s="1"/>
      </tp>
      <tp>
        <v>3.9416336872735598</v>
        <stp/>
        <stp>EM_S_VAL_PBGOODWILLDEDUCTED</stp>
        <stp>2</stp>
        <stp>002856</stp>
        <stp>12/31/2018</stp>
        <tr r="N2870" s="1"/>
      </tp>
      <tp>
        <v>1.76115465480403</v>
        <stp/>
        <stp>EM_S_VAL_PBGOODWILLDEDUCTED</stp>
        <stp>2</stp>
        <stp>002855</stp>
        <stp>12/31/2018</stp>
        <tr r="N475" s="1"/>
      </tp>
      <tp>
        <v>5.1236366392609201</v>
        <stp/>
        <stp>EM_S_VAL_PBGOODWILLDEDUCTED</stp>
        <stp>2</stp>
        <stp>002829</stp>
        <stp>12/31/2018</stp>
        <tr r="N1147" s="1"/>
      </tp>
      <tp>
        <v>2.5251787630921498</v>
        <stp/>
        <stp>EM_S_VAL_PBGOODWILLDEDUCTED</stp>
        <stp>2</stp>
        <stp>002828</stp>
        <stp>12/31/2018</stp>
        <tr r="N2577" s="1"/>
      </tp>
      <tp>
        <v>2.6471089408788999</v>
        <stp/>
        <stp>EM_S_VAL_PBGOODWILLDEDUCTED</stp>
        <stp>2</stp>
        <stp>002823</stp>
        <stp>12/31/2018</stp>
        <tr r="N2753" s="1"/>
      </tp>
      <tp>
        <v>1.4307366870073399</v>
        <stp/>
        <stp>EM_S_VAL_PBGOODWILLDEDUCTED</stp>
        <stp>2</stp>
        <stp>002822</stp>
        <stp>12/31/2018</stp>
        <tr r="N219" s="1"/>
      </tp>
      <tp>
        <v>6.2389588670710099</v>
        <stp/>
        <stp>EM_S_VAL_PBGOODWILLDEDUCTED</stp>
        <stp>2</stp>
        <stp>002821</stp>
        <stp>12/31/2018</stp>
        <tr r="N209" s="1"/>
      </tp>
      <tp>
        <v>2.2932712938951099</v>
        <stp/>
        <stp>EM_S_VAL_PBGOODWILLDEDUCTED</stp>
        <stp>2</stp>
        <stp>002820</stp>
        <stp>12/31/2018</stp>
        <tr r="N2429" s="1"/>
      </tp>
      <tp>
        <v>3.18685588503054</v>
        <stp/>
        <stp>EM_S_VAL_PBGOODWILLDEDUCTED</stp>
        <stp>2</stp>
        <stp>002827</stp>
        <stp>12/31/2018</stp>
        <tr r="N3229" s="1"/>
      </tp>
      <tp>
        <v>3.1747693595420401</v>
        <stp/>
        <stp>EM_S_VAL_PBGOODWILLDEDUCTED</stp>
        <stp>2</stp>
        <stp>002826</stp>
        <stp>12/31/2018</stp>
        <tr r="N2473" s="1"/>
      </tp>
      <tp>
        <v>3.1327513669801301</v>
        <stp/>
        <stp>EM_S_VAL_PBGOODWILLDEDUCTED</stp>
        <stp>2</stp>
        <stp>002825</stp>
        <stp>12/31/2018</stp>
        <tr r="N2522" s="1"/>
      </tp>
      <tp>
        <v>2.2609110553298502</v>
        <stp/>
        <stp>EM_S_VAL_PBGOODWILLDEDUCTED</stp>
        <stp>2</stp>
        <stp>002824</stp>
        <stp>12/31/2018</stp>
        <tr r="N1249" s="1"/>
      </tp>
      <tp>
        <v>1.02142408557283</v>
        <stp/>
        <stp>EM_S_VAL_PBGOODWILLDEDUCTED</stp>
        <stp>2</stp>
        <stp>002839</stp>
        <stp>12/31/2018</stp>
        <tr r="N1722" s="1"/>
      </tp>
      <tp>
        <v>4.8129692686267997</v>
        <stp/>
        <stp>EM_S_VAL_PBGOODWILLDEDUCTED</stp>
        <stp>2</stp>
        <stp>002838</stp>
        <stp>12/31/2018</stp>
        <tr r="N3303" s="1"/>
      </tp>
      <tp>
        <v>4.2831956998731604</v>
        <stp/>
        <stp>EM_S_VAL_PBGOODWILLDEDUCTED</stp>
        <stp>2</stp>
        <stp>002833</stp>
        <stp>12/31/2018</stp>
        <tr r="N1553" s="1"/>
      </tp>
      <tp>
        <v>3.7198020476889999</v>
        <stp/>
        <stp>EM_S_VAL_PBGOODWILLDEDUCTED</stp>
        <stp>2</stp>
        <stp>002832</stp>
        <stp>12/31/2018</stp>
        <tr r="N3123" s="1"/>
      </tp>
      <tp>
        <v>2.9433813855434399</v>
        <stp/>
        <stp>EM_S_VAL_PBGOODWILLDEDUCTED</stp>
        <stp>2</stp>
        <stp>002831</stp>
        <stp>12/31/2018</stp>
        <tr r="N3252" s="1"/>
      </tp>
      <tp>
        <v>3.1819412336150901</v>
        <stp/>
        <stp>EM_S_VAL_PBGOODWILLDEDUCTED</stp>
        <stp>2</stp>
        <stp>002830</stp>
        <stp>12/31/2018</stp>
        <tr r="N2632" s="1"/>
      </tp>
      <tp>
        <v>3.9649221808808699</v>
        <stp/>
        <stp>EM_S_VAL_PBGOODWILLDEDUCTED</stp>
        <stp>2</stp>
        <stp>002837</stp>
        <stp>12/31/2018</stp>
        <tr r="N1629" s="1"/>
      </tp>
      <tp>
        <v>4.1697966079362603</v>
        <stp/>
        <stp>EM_S_VAL_PBGOODWILLDEDUCTED</stp>
        <stp>2</stp>
        <stp>002836</stp>
        <stp>12/31/2018</stp>
        <tr r="N2009" s="1"/>
      </tp>
      <tp>
        <v>2.3791473691697602</v>
        <stp/>
        <stp>EM_S_VAL_PBGOODWILLDEDUCTED</stp>
        <stp>2</stp>
        <stp>002835</stp>
        <stp>12/31/2018</stp>
        <tr r="N321" s="1"/>
      </tp>
      <tp>
        <v>1.84237846533104</v>
        <stp/>
        <stp>EM_S_VAL_PBGOODWILLDEDUCTED</stp>
        <stp>2</stp>
        <stp>002809</stp>
        <stp>12/31/2018</stp>
        <tr r="N961" s="1"/>
      </tp>
      <tp>
        <v>4.3372605388377101</v>
        <stp/>
        <stp>EM_S_VAL_PBGOODWILLDEDUCTED</stp>
        <stp>2</stp>
        <stp>002808</stp>
        <stp>12/31/2018</stp>
        <tr r="N3161" s="1"/>
      </tp>
      <tp>
        <v>5.3577667748254996</v>
        <stp/>
        <stp>EM_S_VAL_PBGOODWILLDEDUCTED</stp>
        <stp>2</stp>
        <stp>002803</stp>
        <stp>12/31/2018</stp>
        <tr r="N257" s="1"/>
      </tp>
      <tp>
        <v>3.6867610411084599</v>
        <stp/>
        <stp>EM_S_VAL_PBGOODWILLDEDUCTED</stp>
        <stp>2</stp>
        <stp>002802</stp>
        <stp>12/31/2018</stp>
        <tr r="N2459" s="1"/>
      </tp>
      <tp>
        <v>2.8346110817778101</v>
        <stp/>
        <stp>EM_S_VAL_PBGOODWILLDEDUCTED</stp>
        <stp>2</stp>
        <stp>002801</stp>
        <stp>12/31/2018</stp>
        <tr r="N345" s="1"/>
      </tp>
      <tp>
        <v>2.8013149053165698</v>
        <stp/>
        <stp>EM_S_VAL_PBGOODWILLDEDUCTED</stp>
        <stp>2</stp>
        <stp>002800</stp>
        <stp>12/31/2018</stp>
        <tr r="N363" s="1"/>
      </tp>
      <tp>
        <v>0.88830504206181904</v>
        <stp/>
        <stp>EM_S_VAL_PBGOODWILLDEDUCTED</stp>
        <stp>2</stp>
        <stp>002807</stp>
        <stp>12/31/2018</stp>
        <tr r="N2715" s="1"/>
      </tp>
      <tp>
        <v>5.6221953058788303</v>
        <stp/>
        <stp>EM_S_VAL_PBGOODWILLDEDUCTED</stp>
        <stp>2</stp>
        <stp>002806</stp>
        <stp>12/31/2018</stp>
        <tr r="N3132" s="1"/>
      </tp>
      <tp>
        <v>2.4546451160012199</v>
        <stp/>
        <stp>EM_S_VAL_PBGOODWILLDEDUCTED</stp>
        <stp>2</stp>
        <stp>002805</stp>
        <stp>12/31/2018</stp>
        <tr r="N3062" s="1"/>
      </tp>
      <tp>
        <v>5.0201763447466003</v>
        <stp/>
        <stp>EM_S_VAL_PBGOODWILLDEDUCTED</stp>
        <stp>2</stp>
        <stp>002819</stp>
        <stp>12/31/2018</stp>
        <tr r="N1242" s="1"/>
      </tp>
      <tp>
        <v>2.0547787948540499</v>
        <stp/>
        <stp>EM_S_VAL_PBGOODWILLDEDUCTED</stp>
        <stp>2</stp>
        <stp>002818</stp>
        <stp>12/31/2018</stp>
        <tr r="N3300" s="1"/>
      </tp>
      <tp>
        <v>4.6419956295019897</v>
        <stp/>
        <stp>EM_S_VAL_PBGOODWILLDEDUCTED</stp>
        <stp>2</stp>
        <stp>002813</stp>
        <stp>12/31/2018</stp>
        <tr r="N2566" s="1"/>
      </tp>
      <tp>
        <v>6.1669311948032401</v>
        <stp/>
        <stp>EM_S_VAL_PBGOODWILLDEDUCTED</stp>
        <stp>2</stp>
        <stp>002812</stp>
        <stp>12/31/2018</stp>
        <tr r="N2026" s="1"/>
      </tp>
      <tp>
        <v>2.3125774136475798</v>
        <stp/>
        <stp>EM_S_VAL_PBGOODWILLDEDUCTED</stp>
        <stp>2</stp>
        <stp>002811</stp>
        <stp>12/31/2018</stp>
        <tr r="N2796" s="1"/>
      </tp>
      <tp>
        <v>2.8058660663273698</v>
        <stp/>
        <stp>EM_S_VAL_PBGOODWILLDEDUCTED</stp>
        <stp>2</stp>
        <stp>002810</stp>
        <stp>12/31/2018</stp>
        <tr r="N1778" s="1"/>
      </tp>
      <tp>
        <v>2.15255790517902</v>
        <stp/>
        <stp>EM_S_VAL_PBGOODWILLDEDUCTED</stp>
        <stp>2</stp>
        <stp>002817</stp>
        <stp>12/31/2018</stp>
        <tr r="N851" s="1"/>
      </tp>
      <tp>
        <v>2.8426362240722201</v>
        <stp/>
        <stp>EM_S_VAL_PBGOODWILLDEDUCTED</stp>
        <stp>2</stp>
        <stp>002816</stp>
        <stp>12/31/2018</stp>
        <tr r="N652" s="1"/>
      </tp>
      <tp>
        <v>4.41212148692789</v>
        <stp/>
        <stp>EM_S_VAL_PBGOODWILLDEDUCTED</stp>
        <stp>2</stp>
        <stp>002815</stp>
        <stp>12/31/2018</stp>
        <tr r="N1314" s="1"/>
      </tp>
      <tp>
        <v>3.4118117222788502</v>
        <stp/>
        <stp>EM_S_VAL_PBGOODWILLDEDUCTED</stp>
        <stp>2</stp>
        <stp>603589</stp>
        <stp>12/31/2018</stp>
        <tr r="N454" s="1"/>
      </tp>
      <tp>
        <v>2.6775718623326199</v>
        <stp/>
        <stp>EM_S_VAL_PBGOODWILLDEDUCTED</stp>
        <stp>2</stp>
        <stp>603588</stp>
        <stp>12/31/2018</stp>
        <tr r="N1304" s="1"/>
      </tp>
      <tp>
        <v>3.77079509031091</v>
        <stp/>
        <stp>EM_S_VAL_PBGOODWILLDEDUCTED</stp>
        <stp>2</stp>
        <stp>603580</stp>
        <stp>12/31/2018</stp>
        <tr r="N3094" s="1"/>
      </tp>
      <tp>
        <v>2.85703171111457</v>
        <stp/>
        <stp>EM_S_VAL_PBGOODWILLDEDUCTED</stp>
        <stp>2</stp>
        <stp>603587</stp>
        <stp>12/31/2018</stp>
        <tr r="N1574" s="1"/>
      </tp>
      <tp>
        <v>1.27461901591071</v>
        <stp/>
        <stp>EM_S_VAL_PBGOODWILLDEDUCTED</stp>
        <stp>2</stp>
        <stp>603586</stp>
        <stp>12/31/2018</stp>
        <tr r="N698" s="1"/>
      </tp>
      <tp>
        <v>2.1033679516907</v>
        <stp/>
        <stp>EM_S_VAL_PBGOODWILLDEDUCTED</stp>
        <stp>2</stp>
        <stp>603585</stp>
        <stp>12/31/2018</stp>
        <tr r="N2125" s="1"/>
      </tp>
      <tp>
        <v>1.0518465075496199</v>
        <stp/>
        <stp>EM_S_VAL_PBGOODWILLDEDUCTED</stp>
        <stp>2</stp>
        <stp>603599</stp>
        <stp>12/31/2018</stp>
        <tr r="N724" s="1"/>
      </tp>
      <tp>
        <v>-96.210412463718399</v>
        <stp/>
        <stp>EM_S_VAL_PBGOODWILLDEDUCTED</stp>
        <stp>2</stp>
        <stp>603598</stp>
        <stp>12/31/2018</stp>
        <tr r="N273" s="1"/>
      </tp>
      <tp>
        <v>4.9005208920018202</v>
        <stp/>
        <stp>EM_S_VAL_PBGOODWILLDEDUCTED</stp>
        <stp>2</stp>
        <stp>603596</stp>
        <stp>12/31/2018</stp>
        <tr r="N2425" s="1"/>
      </tp>
      <tp>
        <v>5.0928896923600702</v>
        <stp/>
        <stp>EM_S_VAL_PBGOODWILLDEDUCTED</stp>
        <stp>2</stp>
        <stp>603595</stp>
        <stp>12/31/2018</stp>
        <tr r="N3013" s="1"/>
      </tp>
      <tp>
        <v>2.3876370586531501</v>
        <stp/>
        <stp>EM_S_VAL_PBGOODWILLDEDUCTED</stp>
        <stp>2</stp>
        <stp>603508</stp>
        <stp>12/31/2018</stp>
        <tr r="N586" s="1"/>
      </tp>
      <tp>
        <v>8.5820808004047304</v>
        <stp/>
        <stp>EM_S_VAL_PBGOODWILLDEDUCTED</stp>
        <stp>2</stp>
        <stp>603501</stp>
        <stp>12/31/2018</stp>
        <tr r="N18" s="1"/>
      </tp>
      <tp>
        <v>2.1835386078963399</v>
        <stp/>
        <stp>EM_S_VAL_PBGOODWILLDEDUCTED</stp>
        <stp>2</stp>
        <stp>603500</stp>
        <stp>12/31/2018</stp>
        <tr r="N1345" s="1"/>
      </tp>
      <tp>
        <v>2.1514214045325701</v>
        <stp/>
        <stp>EM_S_VAL_PBGOODWILLDEDUCTED</stp>
        <stp>2</stp>
        <stp>603507</stp>
        <stp>12/31/2018</stp>
        <tr r="N2178" s="1"/>
      </tp>
      <tp>
        <v>4.5885307294020103</v>
        <stp/>
        <stp>EM_S_VAL_PBGOODWILLDEDUCTED</stp>
        <stp>2</stp>
        <stp>603506</stp>
        <stp>12/31/2018</stp>
        <tr r="N2595" s="1"/>
      </tp>
      <tp>
        <v>3.5099267666118399</v>
        <stp/>
        <stp>EM_S_VAL_PBGOODWILLDEDUCTED</stp>
        <stp>2</stp>
        <stp>603505</stp>
        <stp>12/31/2018</stp>
        <tr r="N335" s="1"/>
      </tp>
      <tp>
        <v>2.8001125982945898</v>
        <stp/>
        <stp>EM_S_VAL_PBGOODWILLDEDUCTED</stp>
        <stp>2</stp>
        <stp>603519</stp>
        <stp>12/31/2018</stp>
        <tr r="N531" s="1"/>
      </tp>
      <tp>
        <v>-23.206086974658898</v>
        <stp/>
        <stp>EM_S_VAL_PBGOODWILLDEDUCTED</stp>
        <stp>2</stp>
        <stp>603518</stp>
        <stp>12/31/2018</stp>
        <tr r="N3366" s="1"/>
      </tp>
      <tp>
        <v>4.4883300432051403</v>
        <stp/>
        <stp>EM_S_VAL_PBGOODWILLDEDUCTED</stp>
        <stp>2</stp>
        <stp>603517</stp>
        <stp>12/31/2018</stp>
        <tr r="N793" s="1"/>
      </tp>
      <tp>
        <v>3.9984584241648</v>
        <stp/>
        <stp>EM_S_VAL_PBGOODWILLDEDUCTED</stp>
        <stp>2</stp>
        <stp>603516</stp>
        <stp>12/31/2018</stp>
        <tr r="N366" s="1"/>
      </tp>
      <tp>
        <v>4.8607019928747004</v>
        <stp/>
        <stp>EM_S_VAL_PBGOODWILLDEDUCTED</stp>
        <stp>2</stp>
        <stp>603515</stp>
        <stp>12/31/2018</stp>
        <tr r="N2247" s="1"/>
      </tp>
      <tp>
        <v>2.6233162615809702</v>
        <stp/>
        <stp>EM_S_VAL_PBGOODWILLDEDUCTED</stp>
        <stp>2</stp>
        <stp>603528</stp>
        <stp>12/31/2018</stp>
        <tr r="N1609" s="1"/>
      </tp>
      <tp>
        <v>9.1779174555282204</v>
        <stp/>
        <stp>EM_S_VAL_PBGOODWILLDEDUCTED</stp>
        <stp>2</stp>
        <stp>603520</stp>
        <stp>12/31/2018</stp>
        <tr r="N419" s="1"/>
      </tp>
      <tp>
        <v>2.0791556129797399</v>
        <stp/>
        <stp>EM_S_VAL_PBGOODWILLDEDUCTED</stp>
        <stp>2</stp>
        <stp>603527</stp>
        <stp>12/31/2018</stp>
        <tr r="N1518" s="1"/>
      </tp>
      <tp>
        <v>2.5620052315117898</v>
        <stp/>
        <stp>EM_S_VAL_PBGOODWILLDEDUCTED</stp>
        <stp>2</stp>
        <stp>603538</stp>
        <stp>12/31/2018</stp>
        <tr r="N1150" s="1"/>
      </tp>
      <tp>
        <v>6.4283416840846703</v>
        <stp/>
        <stp>EM_S_VAL_PBGOODWILLDEDUCTED</stp>
        <stp>2</stp>
        <stp>603533</stp>
        <stp>12/31/2018</stp>
        <tr r="N2569" s="1"/>
      </tp>
      <tp>
        <v>2.10141780054518</v>
        <stp/>
        <stp>EM_S_VAL_PBGOODWILLDEDUCTED</stp>
        <stp>2</stp>
        <stp>603536</stp>
        <stp>12/31/2018</stp>
        <tr r="N60" s="1"/>
      </tp>
      <tp>
        <v>1.8648661788796199</v>
        <stp/>
        <stp>EM_S_VAL_PBGOODWILLDEDUCTED</stp>
        <stp>2</stp>
        <stp>603535</stp>
        <stp>12/31/2018</stp>
        <tr r="N2420" s="1"/>
      </tp>
      <tp>
        <v>6.3813643228900698</v>
        <stp/>
        <stp>EM_S_VAL_PBGOODWILLDEDUCTED</stp>
        <stp>2</stp>
        <stp>603559</stp>
        <stp>12/31/2018</stp>
        <tr r="N3183" s="1"/>
      </tp>
      <tp>
        <v>2.02600991331997</v>
        <stp/>
        <stp>EM_S_VAL_PBGOODWILLDEDUCTED</stp>
        <stp>2</stp>
        <stp>603558</stp>
        <stp>12/31/2018</stp>
        <tr r="N2587" s="1"/>
      </tp>
      <tp>
        <v>2.2575814139717401</v>
        <stp/>
        <stp>EM_S_VAL_PBGOODWILLDEDUCTED</stp>
        <stp>2</stp>
        <stp>603557</stp>
        <stp>12/31/2018</stp>
        <tr r="N1610" s="1"/>
      </tp>
      <tp>
        <v>1.3163087033738801</v>
        <stp/>
        <stp>EM_S_VAL_PBGOODWILLDEDUCTED</stp>
        <stp>2</stp>
        <stp>603556</stp>
        <stp>12/31/2018</stp>
        <tr r="N1158" s="1"/>
      </tp>
      <tp>
        <v>2.7705632329542</v>
        <stp/>
        <stp>EM_S_VAL_PBGOODWILLDEDUCTED</stp>
        <stp>2</stp>
        <stp>603555</stp>
        <stp>12/31/2018</stp>
        <tr r="N2224" s="1"/>
      </tp>
      <tp>
        <v>2.49418158624061</v>
        <stp/>
        <stp>EM_S_VAL_PBGOODWILLDEDUCTED</stp>
        <stp>2</stp>
        <stp>603569</stp>
        <stp>12/31/2018</stp>
        <tr r="N2510" s="1"/>
      </tp>
      <tp>
        <v>5.3923593536737702</v>
        <stp/>
        <stp>EM_S_VAL_PBGOODWILLDEDUCTED</stp>
        <stp>2</stp>
        <stp>603568</stp>
        <stp>12/31/2018</stp>
        <tr r="N2253" s="1"/>
      </tp>
      <tp>
        <v>2.0524464145269499</v>
        <stp/>
        <stp>EM_S_VAL_PBGOODWILLDEDUCTED</stp>
        <stp>2</stp>
        <stp>603567</stp>
        <stp>12/31/2018</stp>
        <tr r="N2492" s="1"/>
      </tp>
      <tp>
        <v>2.3376372736856998</v>
        <stp/>
        <stp>EM_S_VAL_PBGOODWILLDEDUCTED</stp>
        <stp>2</stp>
        <stp>603566</stp>
        <stp>12/31/2018</stp>
        <tr r="N482" s="1"/>
      </tp>
      <tp>
        <v>2.6662099593338699</v>
        <stp/>
        <stp>EM_S_VAL_PBGOODWILLDEDUCTED</stp>
        <stp>2</stp>
        <stp>603579</stp>
        <stp>12/31/2018</stp>
        <tr r="N1908" s="1"/>
      </tp>
      <tp>
        <v>3.11769863706626</v>
        <stp/>
        <stp>EM_S_VAL_PBGOODWILLDEDUCTED</stp>
        <stp>2</stp>
        <stp>603578</stp>
        <stp>12/31/2018</stp>
        <tr r="N1869" s="1"/>
      </tp>
      <tp>
        <v>1.79245380510844</v>
        <stp/>
        <stp>EM_S_VAL_PBGOODWILLDEDUCTED</stp>
        <stp>2</stp>
        <stp>603577</stp>
        <stp>12/31/2018</stp>
        <tr r="N1423" s="1"/>
      </tp>
      <tp>
        <v>1.8354854212209</v>
        <stp/>
        <stp>EM_S_VAL_PBGOODWILLDEDUCTED</stp>
        <stp>2</stp>
        <stp>603488</stp>
        <stp>12/31/2018</stp>
        <tr r="N1208" s="1"/>
      </tp>
      <tp>
        <v>7.40102184057465</v>
        <stp/>
        <stp>EM_S_VAL_PBGOODWILLDEDUCTED</stp>
        <stp>2</stp>
        <stp>603486</stp>
        <stp>12/31/2018</stp>
        <tr r="N3384" s="1"/>
      </tp>
      <tp>
        <v>3.7613591204971799</v>
        <stp/>
        <stp>EM_S_VAL_PBGOODWILLDEDUCTED</stp>
        <stp>2</stp>
        <stp>603499</stp>
        <stp>12/31/2018</stp>
        <tr r="N3091" s="1"/>
      </tp>
      <tp>
        <v>4.6039580335450898</v>
        <stp/>
        <stp>EM_S_VAL_PBGOODWILLDEDUCTED</stp>
        <stp>2</stp>
        <stp>603496</stp>
        <stp>12/31/2018</stp>
        <tr r="N2724" s="1"/>
      </tp>
      <tp>
        <v>2.6764062724304298</v>
        <stp/>
        <stp>EM_S_VAL_PBGOODWILLDEDUCTED</stp>
        <stp>2</stp>
        <stp>603416</stp>
        <stp>12/31/2018</stp>
        <tr r="N745" s="1"/>
      </tp>
      <tp>
        <v>7.7537924203744897</v>
        <stp/>
        <stp>EM_S_VAL_PBGOODWILLDEDUCTED</stp>
        <stp>2</stp>
        <stp>603429</stp>
        <stp>12/31/2018</stp>
        <tr r="N535" s="1"/>
      </tp>
      <tp>
        <v>3.80329803824457</v>
        <stp/>
        <stp>EM_S_VAL_PBGOODWILLDEDUCTED</stp>
        <stp>2</stp>
        <stp>603421</stp>
        <stp>12/31/2018</stp>
        <tr r="N3047" s="1"/>
      </tp>
      <tp>
        <v>3.6644732436449101</v>
        <stp/>
        <stp>EM_S_VAL_PBGOODWILLDEDUCTED</stp>
        <stp>2</stp>
        <stp>603444</stp>
        <stp>12/31/2018</stp>
        <tr r="N141" s="1"/>
      </tp>
      <tp>
        <v>1.71189894158069</v>
        <stp/>
        <stp>EM_S_VAL_PBGOODWILLDEDUCTED</stp>
        <stp>2</stp>
        <stp>603458</stp>
        <stp>12/31/2018</stp>
        <tr r="N3290" s="1"/>
      </tp>
      <tp>
        <v>1.84795790447171</v>
        <stp/>
        <stp>EM_S_VAL_PBGOODWILLDEDUCTED</stp>
        <stp>2</stp>
        <stp>603456</stp>
        <stp>12/31/2018</stp>
        <tr r="N126" s="1"/>
      </tp>
      <tp>
        <v>3.1717435591415399</v>
        <stp/>
        <stp>EM_S_VAL_PBGOODWILLDEDUCTED</stp>
        <stp>2</stp>
        <stp>603466</stp>
        <stp>12/31/2018</stp>
        <tr r="N2505" s="1"/>
      </tp>
      <tp>
        <v>2.1622734749936301</v>
        <stp/>
        <stp>EM_S_VAL_PBGOODWILLDEDUCTED</stp>
        <stp>2</stp>
        <stp>603477</stp>
        <stp>12/31/2018</stp>
        <tr r="N496" s="1"/>
      </tp>
      <tp>
        <v>3.6269474442051401</v>
        <stp/>
        <stp>EM_S_VAL_PBGOODWILLDEDUCTED</stp>
        <stp>2</stp>
        <stp>603789</stp>
        <stp>12/31/2018</stp>
        <tr r="N1413" s="1"/>
      </tp>
      <tp>
        <v>1.7581208287051999</v>
        <stp/>
        <stp>EM_S_VAL_PBGOODWILLDEDUCTED</stp>
        <stp>2</stp>
        <stp>603788</stp>
        <stp>12/31/2018</stp>
        <tr r="N1735" s="1"/>
      </tp>
      <tp>
        <v>2.0882986923505902</v>
        <stp/>
        <stp>EM_S_VAL_PBGOODWILLDEDUCTED</stp>
        <stp>2</stp>
        <stp>603787</stp>
        <stp>12/31/2018</stp>
        <tr r="N662" s="1"/>
      </tp>
      <tp>
        <v>3.2870015662404701</v>
        <stp/>
        <stp>EM_S_VAL_PBGOODWILLDEDUCTED</stp>
        <stp>2</stp>
        <stp>603799</stp>
        <stp>12/31/2018</stp>
        <tr r="N912" s="1"/>
      </tp>
      <tp>
        <v>2.2977869142410898</v>
        <stp/>
        <stp>EM_S_VAL_PBGOODWILLDEDUCTED</stp>
        <stp>2</stp>
        <stp>603798</stp>
        <stp>12/31/2018</stp>
        <tr r="N878" s="1"/>
      </tp>
      <tp>
        <v>2.3946182622724601</v>
        <stp/>
        <stp>EM_S_VAL_PBGOODWILLDEDUCTED</stp>
        <stp>2</stp>
        <stp>603797</stp>
        <stp>12/31/2018</stp>
        <tr r="N2635" s="1"/>
      </tp>
      <tp>
        <v>3.3420774094246202</v>
        <stp/>
        <stp>EM_S_VAL_PBGOODWILLDEDUCTED</stp>
        <stp>2</stp>
        <stp>603709</stp>
        <stp>12/31/2018</stp>
        <tr r="N2206" s="1"/>
      </tp>
      <tp>
        <v>3.8139370865969102</v>
        <stp/>
        <stp>EM_S_VAL_PBGOODWILLDEDUCTED</stp>
        <stp>2</stp>
        <stp>603708</stp>
        <stp>12/31/2018</stp>
        <tr r="N1222" s="1"/>
      </tp>
      <tp>
        <v>7.83212280674441</v>
        <stp/>
        <stp>EM_S_VAL_PBGOODWILLDEDUCTED</stp>
        <stp>2</stp>
        <stp>603703</stp>
        <stp>12/31/2018</stp>
        <tr r="N347" s="1"/>
      </tp>
      <tp>
        <v>2.39268159445162</v>
        <stp/>
        <stp>EM_S_VAL_PBGOODWILLDEDUCTED</stp>
        <stp>2</stp>
        <stp>603701</stp>
        <stp>12/31/2018</stp>
        <tr r="N1613" s="1"/>
      </tp>
      <tp>
        <v>4.2827555784264604</v>
        <stp/>
        <stp>EM_S_VAL_PBGOODWILLDEDUCTED</stp>
        <stp>2</stp>
        <stp>603707</stp>
        <stp>12/31/2018</stp>
        <tr r="N131" s="1"/>
      </tp>
      <tp>
        <v>3.89436051749807</v>
        <stp/>
        <stp>EM_S_VAL_PBGOODWILLDEDUCTED</stp>
        <stp>2</stp>
        <stp>603706</stp>
        <stp>12/31/2018</stp>
        <tr r="N3177" s="1"/>
      </tp>
      <tp>
        <v>9.8076340771968304</v>
        <stp/>
        <stp>EM_S_VAL_PBGOODWILLDEDUCTED</stp>
        <stp>2</stp>
        <stp>603718</stp>
        <stp>12/31/2018</stp>
        <tr r="N2359" s="1"/>
      </tp>
      <tp>
        <v>6.1040050519260198</v>
        <stp/>
        <stp>EM_S_VAL_PBGOODWILLDEDUCTED</stp>
        <stp>2</stp>
        <stp>603712</stp>
        <stp>12/31/2018</stp>
        <tr r="N824" s="1"/>
      </tp>
      <tp>
        <v>4.0229020325954101</v>
        <stp/>
        <stp>EM_S_VAL_PBGOODWILLDEDUCTED</stp>
        <stp>2</stp>
        <stp>603711</stp>
        <stp>12/31/2018</stp>
        <tr r="N1298" s="1"/>
      </tp>
      <tp>
        <v>1.6710440733345699</v>
        <stp/>
        <stp>EM_S_VAL_PBGOODWILLDEDUCTED</stp>
        <stp>2</stp>
        <stp>603717</stp>
        <stp>12/31/2018</stp>
        <tr r="N2608" s="1"/>
      </tp>
      <tp>
        <v>2.7889979088931298</v>
        <stp/>
        <stp>EM_S_VAL_PBGOODWILLDEDUCTED</stp>
        <stp>2</stp>
        <stp>603716</stp>
        <stp>12/31/2018</stp>
        <tr r="N2838" s="1"/>
      </tp>
      <tp>
        <v>1.65543226995297</v>
        <stp/>
        <stp>EM_S_VAL_PBGOODWILLDEDUCTED</stp>
        <stp>2</stp>
        <stp>603729</stp>
        <stp>12/31/2018</stp>
        <tr r="N2042" s="1"/>
      </tp>
      <tp>
        <v>3.5869400977118202</v>
        <stp/>
        <stp>EM_S_VAL_PBGOODWILLDEDUCTED</stp>
        <stp>2</stp>
        <stp>603728</stp>
        <stp>12/31/2018</stp>
        <tr r="N2855" s="1"/>
      </tp>
      <tp>
        <v>3.5803747921542901</v>
        <stp/>
        <stp>EM_S_VAL_PBGOODWILLDEDUCTED</stp>
        <stp>2</stp>
        <stp>603722</stp>
        <stp>12/31/2018</stp>
        <tr r="N673" s="1"/>
      </tp>
      <tp>
        <v>2.6611324193195598</v>
        <stp/>
        <stp>EM_S_VAL_PBGOODWILLDEDUCTED</stp>
        <stp>2</stp>
        <stp>603721</stp>
        <stp>12/31/2018</stp>
        <tr r="N277" s="1"/>
      </tp>
      <tp>
        <v>1.20243596206863</v>
        <stp/>
        <stp>EM_S_VAL_PBGOODWILLDEDUCTED</stp>
        <stp>2</stp>
        <stp>603727</stp>
        <stp>12/31/2018</stp>
        <tr r="N592" s="1"/>
      </tp>
      <tp>
        <v>2.8065447297112498</v>
        <stp/>
        <stp>EM_S_VAL_PBGOODWILLDEDUCTED</stp>
        <stp>2</stp>
        <stp>603726</stp>
        <stp>12/31/2018</stp>
        <tr r="N3291" s="1"/>
      </tp>
      <tp>
        <v>2.0071226450521502</v>
        <stp/>
        <stp>EM_S_VAL_PBGOODWILLDEDUCTED</stp>
        <stp>2</stp>
        <stp>603725</stp>
        <stp>12/31/2018</stp>
        <tr r="N3230" s="1"/>
      </tp>
      <tp>
        <v>3.3498329697253899</v>
        <stp/>
        <stp>EM_S_VAL_PBGOODWILLDEDUCTED</stp>
        <stp>2</stp>
        <stp>603738</stp>
        <stp>12/31/2018</stp>
        <tr r="N418" s="1"/>
      </tp>
      <tp>
        <v>2.9260817174953</v>
        <stp/>
        <stp>EM_S_VAL_PBGOODWILLDEDUCTED</stp>
        <stp>2</stp>
        <stp>603733</stp>
        <stp>12/31/2018</stp>
        <tr r="N2668" s="1"/>
      </tp>
      <tp>
        <v>3.07630163970832</v>
        <stp/>
        <stp>EM_S_VAL_PBGOODWILLDEDUCTED</stp>
        <stp>2</stp>
        <stp>603730</stp>
        <stp>12/31/2018</stp>
        <tr r="N677" s="1"/>
      </tp>
      <tp>
        <v>3.6284299374854001</v>
        <stp/>
        <stp>EM_S_VAL_PBGOODWILLDEDUCTED</stp>
        <stp>2</stp>
        <stp>603737</stp>
        <stp>12/31/2018</stp>
        <tr r="N124" s="1"/>
      </tp>
      <tp>
        <v>1.13563706214315</v>
        <stp/>
        <stp>EM_S_VAL_PBGOODWILLDEDUCTED</stp>
        <stp>2</stp>
        <stp>603758</stp>
        <stp>12/31/2018</stp>
        <tr r="N2185" s="1"/>
      </tp>
      <tp>
        <v>2.1903999475390399</v>
        <stp/>
        <stp>EM_S_VAL_PBGOODWILLDEDUCTED</stp>
        <stp>2</stp>
        <stp>603757</stp>
        <stp>12/31/2018</stp>
        <tr r="N3019" s="1"/>
      </tp>
      <tp>
        <v>1.2864870210366299</v>
        <stp/>
        <stp>EM_S_VAL_PBGOODWILLDEDUCTED</stp>
        <stp>2</stp>
        <stp>603768</stp>
        <stp>12/31/2018</stp>
        <tr r="N2158" s="1"/>
      </tp>
      <tp>
        <v>1.4327973555895701</v>
        <stp/>
        <stp>EM_S_VAL_PBGOODWILLDEDUCTED</stp>
        <stp>2</stp>
        <stp>603767</stp>
        <stp>12/31/2018</stp>
        <tr r="N1821" s="1"/>
      </tp>
      <tp>
        <v>1.55848427439287</v>
        <stp/>
        <stp>EM_S_VAL_PBGOODWILLDEDUCTED</stp>
        <stp>2</stp>
        <stp>603766</stp>
        <stp>12/31/2018</stp>
        <tr r="N2719" s="1"/>
      </tp>
      <tp>
        <v>2.1616898611625799</v>
        <stp/>
        <stp>EM_S_VAL_PBGOODWILLDEDUCTED</stp>
        <stp>2</stp>
        <stp>603779</stp>
        <stp>12/31/2018</stp>
        <tr r="N3383" s="1"/>
      </tp>
      <tp>
        <v>2.1029456783115399</v>
        <stp/>
        <stp>EM_S_VAL_PBGOODWILLDEDUCTED</stp>
        <stp>2</stp>
        <stp>603778</stp>
        <stp>12/31/2018</stp>
        <tr r="N2264" s="1"/>
      </tp>
      <tp>
        <v>2.5714842357321199</v>
        <stp/>
        <stp>EM_S_VAL_PBGOODWILLDEDUCTED</stp>
        <stp>2</stp>
        <stp>603773</stp>
        <stp>12/31/2018</stp>
        <tr r="N3149" s="1"/>
      </tp>
      <tp>
        <v>1.7704633023824401</v>
        <stp/>
        <stp>EM_S_VAL_PBGOODWILLDEDUCTED</stp>
        <stp>2</stp>
        <stp>603777</stp>
        <stp>12/31/2018</stp>
        <tr r="N1212" s="1"/>
      </tp>
      <tp>
        <v>1.59546322801227</v>
        <stp/>
        <stp>EM_S_VAL_PBGOODWILLDEDUCTED</stp>
        <stp>2</stp>
        <stp>603776</stp>
        <stp>12/31/2018</stp>
        <tr r="N2890" s="1"/>
      </tp>
      <tp>
        <v>1.7597399148450801</v>
        <stp/>
        <stp>EM_S_VAL_PBGOODWILLDEDUCTED</stp>
        <stp>2</stp>
        <stp>603689</stp>
        <stp>12/31/2018</stp>
        <tr r="N2038" s="1"/>
      </tp>
      <tp>
        <v>2.6669042135586798</v>
        <stp/>
        <stp>EM_S_VAL_PBGOODWILLDEDUCTED</stp>
        <stp>2</stp>
        <stp>603688</stp>
        <stp>12/31/2018</stp>
        <tr r="N342" s="1"/>
      </tp>
      <tp>
        <v>2.26948860128556</v>
        <stp/>
        <stp>EM_S_VAL_PBGOODWILLDEDUCTED</stp>
        <stp>2</stp>
        <stp>603683</stp>
        <stp>12/31/2018</stp>
        <tr r="N2437" s="1"/>
      </tp>
      <tp>
        <v>2.5572063451181499</v>
        <stp/>
        <stp>EM_S_VAL_PBGOODWILLDEDUCTED</stp>
        <stp>2</stp>
        <stp>603680</stp>
        <stp>12/31/2018</stp>
        <tr r="N3264" s="1"/>
      </tp>
      <tp>
        <v>1.40507913876426</v>
        <stp/>
        <stp>EM_S_VAL_PBGOODWILLDEDUCTED</stp>
        <stp>2</stp>
        <stp>603686</stp>
        <stp>12/31/2018</stp>
        <tr r="N2229" s="1"/>
      </tp>
      <tp>
        <v>2.07626954965203</v>
        <stp/>
        <stp>EM_S_VAL_PBGOODWILLDEDUCTED</stp>
        <stp>2</stp>
        <stp>603685</stp>
        <stp>12/31/2018</stp>
        <tr r="N2615" s="1"/>
      </tp>
      <tp>
        <v>3.2793956108168398</v>
        <stp/>
        <stp>EM_S_VAL_PBGOODWILLDEDUCTED</stp>
        <stp>2</stp>
        <stp>603699</stp>
        <stp>12/31/2018</stp>
        <tr r="N1395" s="1"/>
      </tp>
      <tp>
        <v>2.2194026524688</v>
        <stp/>
        <stp>EM_S_VAL_PBGOODWILLDEDUCTED</stp>
        <stp>2</stp>
        <stp>603698</stp>
        <stp>12/31/2018</stp>
        <tr r="N2873" s="1"/>
      </tp>
      <tp>
        <v>1.90994319693837</v>
        <stp/>
        <stp>EM_S_VAL_PBGOODWILLDEDUCTED</stp>
        <stp>2</stp>
        <stp>603693</stp>
        <stp>12/31/2018</stp>
        <tr r="N3179" s="1"/>
      </tp>
      <tp>
        <v>7.4407054477213297</v>
        <stp/>
        <stp>EM_S_VAL_PBGOODWILLDEDUCTED</stp>
        <stp>2</stp>
        <stp>603690</stp>
        <stp>12/31/2018</stp>
        <tr r="N133" s="1"/>
      </tp>
      <tp>
        <v>2.5147138188863098</v>
        <stp/>
        <stp>EM_S_VAL_PBGOODWILLDEDUCTED</stp>
        <stp>2</stp>
        <stp>603696</stp>
        <stp>12/31/2018</stp>
        <tr r="N2853" s="1"/>
      </tp>
      <tp>
        <v>1.6724413923674299</v>
        <stp/>
        <stp>EM_S_VAL_PBGOODWILLDEDUCTED</stp>
        <stp>2</stp>
        <stp>603609</stp>
        <stp>12/31/2018</stp>
        <tr r="N548" s="1"/>
      </tp>
      <tp>
        <v>3.1036941777924598</v>
        <stp/>
        <stp>EM_S_VAL_PBGOODWILLDEDUCTED</stp>
        <stp>2</stp>
        <stp>603608</stp>
        <stp>12/31/2018</stp>
        <tr r="N2963" s="1"/>
      </tp>
      <tp>
        <v>4.55775183739898</v>
        <stp/>
        <stp>EM_S_VAL_PBGOODWILLDEDUCTED</stp>
        <stp>2</stp>
        <stp>603603</stp>
        <stp>12/31/2018</stp>
        <tr r="N3314" s="1"/>
      </tp>
      <tp>
        <v>4.5750933710359796</v>
        <stp/>
        <stp>EM_S_VAL_PBGOODWILLDEDUCTED</stp>
        <stp>2</stp>
        <stp>603602</stp>
        <stp>12/31/2018</stp>
        <tr r="N2921" s="1"/>
      </tp>
      <tp>
        <v>3.9887291920310299</v>
        <stp/>
        <stp>EM_S_VAL_PBGOODWILLDEDUCTED</stp>
        <stp>2</stp>
        <stp>603601</stp>
        <stp>12/31/2018</stp>
        <tr r="N2589" s="1"/>
      </tp>
      <tp>
        <v>1.80564906553932</v>
        <stp/>
        <stp>EM_S_VAL_PBGOODWILLDEDUCTED</stp>
        <stp>2</stp>
        <stp>603600</stp>
        <stp>12/31/2018</stp>
        <tr r="N311" s="1"/>
      </tp>
      <tp>
        <v>3.0303108273660402</v>
        <stp/>
        <stp>EM_S_VAL_PBGOODWILLDEDUCTED</stp>
        <stp>2</stp>
        <stp>603607</stp>
        <stp>12/31/2018</stp>
        <tr r="N1256" s="1"/>
      </tp>
      <tp>
        <v>2.59848808571657</v>
        <stp/>
        <stp>EM_S_VAL_PBGOODWILLDEDUCTED</stp>
        <stp>2</stp>
        <stp>603606</stp>
        <stp>12/31/2018</stp>
        <tr r="N1264" s="1"/>
      </tp>
      <tp>
        <v>5.2375504668934401</v>
        <stp/>
        <stp>EM_S_VAL_PBGOODWILLDEDUCTED</stp>
        <stp>2</stp>
        <stp>603605</stp>
        <stp>12/31/2018</stp>
        <tr r="N169" s="1"/>
      </tp>
      <tp>
        <v>2.6170428122915101</v>
        <stp/>
        <stp>EM_S_VAL_PBGOODWILLDEDUCTED</stp>
        <stp>2</stp>
        <stp>603619</stp>
        <stp>12/31/2018</stp>
        <tr r="N2734" s="1"/>
      </tp>
      <tp>
        <v>1.7313502871181199</v>
        <stp/>
        <stp>EM_S_VAL_PBGOODWILLDEDUCTED</stp>
        <stp>2</stp>
        <stp>603618</stp>
        <stp>12/31/2018</stp>
        <tr r="N2025" s="1"/>
      </tp>
      <tp>
        <v>1.6229335511383101</v>
        <stp/>
        <stp>EM_S_VAL_PBGOODWILLDEDUCTED</stp>
        <stp>2</stp>
        <stp>603612</stp>
        <stp>12/31/2018</stp>
        <tr r="N2028" s="1"/>
      </tp>
      <tp>
        <v>2.47126809607829</v>
        <stp/>
        <stp>EM_S_VAL_PBGOODWILLDEDUCTED</stp>
        <stp>2</stp>
        <stp>603611</stp>
        <stp>12/31/2018</stp>
        <tr r="N826" s="1"/>
      </tp>
      <tp>
        <v>3.22237913055806</v>
        <stp/>
        <stp>EM_S_VAL_PBGOODWILLDEDUCTED</stp>
        <stp>2</stp>
        <stp>603617</stp>
        <stp>12/31/2018</stp>
        <tr r="N2807" s="1"/>
      </tp>
      <tp>
        <v>8.8478787668390808</v>
        <stp/>
        <stp>EM_S_VAL_PBGOODWILLDEDUCTED</stp>
        <stp>2</stp>
        <stp>603616</stp>
        <stp>12/31/2018</stp>
        <tr r="N3209" s="1"/>
      </tp>
      <tp>
        <v>1.5200904843757199</v>
        <stp/>
        <stp>EM_S_VAL_PBGOODWILLDEDUCTED</stp>
        <stp>2</stp>
        <stp>603615</stp>
        <stp>12/31/2018</stp>
        <tr r="N1733" s="1"/>
      </tp>
      <tp>
        <v>2.0830017584776401</v>
        <stp/>
        <stp>EM_S_VAL_PBGOODWILLDEDUCTED</stp>
        <stp>2</stp>
        <stp>603628</stp>
        <stp>12/31/2018</stp>
        <tr r="N1789" s="1"/>
      </tp>
      <tp>
        <v>1.79112807450306</v>
        <stp/>
        <stp>EM_S_VAL_PBGOODWILLDEDUCTED</stp>
        <stp>2</stp>
        <stp>603626</stp>
        <stp>12/31/2018</stp>
        <tr r="N770" s="1"/>
      </tp>
      <tp>
        <v>2.2978399998942498</v>
        <stp/>
        <stp>EM_S_VAL_PBGOODWILLDEDUCTED</stp>
        <stp>2</stp>
        <stp>603639</stp>
        <stp>12/31/2018</stp>
        <tr r="N2640" s="1"/>
      </tp>
      <tp>
        <v>6.1670113881338304</v>
        <stp/>
        <stp>EM_S_VAL_PBGOODWILLDEDUCTED</stp>
        <stp>2</stp>
        <stp>603638</stp>
        <stp>12/31/2018</stp>
        <tr r="N1019" s="1"/>
      </tp>
      <tp>
        <v>2.1434598376977201</v>
        <stp/>
        <stp>EM_S_VAL_PBGOODWILLDEDUCTED</stp>
        <stp>2</stp>
        <stp>603633</stp>
        <stp>12/31/2018</stp>
        <tr r="N2051" s="1"/>
      </tp>
      <tp>
        <v>1.6638580831107601</v>
        <stp/>
        <stp>EM_S_VAL_PBGOODWILLDEDUCTED</stp>
        <stp>2</stp>
        <stp>603630</stp>
        <stp>12/31/2018</stp>
        <tr r="N2235" s="1"/>
      </tp>
      <tp>
        <v>3.4068798703140701</v>
        <stp/>
        <stp>EM_S_VAL_PBGOODWILLDEDUCTED</stp>
        <stp>2</stp>
        <stp>603637</stp>
        <stp>12/31/2018</stp>
        <tr r="N2119" s="1"/>
      </tp>
      <tp>
        <v>3.22211861334887</v>
        <stp/>
        <stp>EM_S_VAL_PBGOODWILLDEDUCTED</stp>
        <stp>2</stp>
        <stp>603636</stp>
        <stp>12/31/2018</stp>
        <tr r="N1377" s="1"/>
      </tp>
      <tp>
        <v>2.3568985634540001</v>
        <stp/>
        <stp>EM_S_VAL_PBGOODWILLDEDUCTED</stp>
        <stp>2</stp>
        <stp>603648</stp>
        <stp>12/31/2018</stp>
        <tr r="N2597" s="1"/>
      </tp>
      <tp>
        <v>7.30288028198901</v>
        <stp/>
        <stp>EM_S_VAL_PBGOODWILLDEDUCTED</stp>
        <stp>2</stp>
        <stp>603659</stp>
        <stp>12/31/2018</stp>
        <tr r="N241" s="1"/>
      </tp>
      <tp>
        <v>11.640796028210101</v>
        <stp/>
        <stp>EM_S_VAL_PBGOODWILLDEDUCTED</stp>
        <stp>2</stp>
        <stp>603658</stp>
        <stp>12/31/2018</stp>
        <tr r="N188" s="1"/>
      </tp>
      <tp>
        <v>5.1078293543289899</v>
        <stp/>
        <stp>EM_S_VAL_PBGOODWILLDEDUCTED</stp>
        <stp>2</stp>
        <stp>603650</stp>
        <stp>12/31/2018</stp>
        <tr r="N2848" s="1"/>
      </tp>
      <tp>
        <v>2.3587889474171799</v>
        <stp/>
        <stp>EM_S_VAL_PBGOODWILLDEDUCTED</stp>
        <stp>2</stp>
        <stp>603656</stp>
        <stp>12/31/2018</stp>
        <tr r="N1868" s="1"/>
      </tp>
      <tp>
        <v>3.4392103593380701</v>
        <stp/>
        <stp>EM_S_VAL_PBGOODWILLDEDUCTED</stp>
        <stp>2</stp>
        <stp>603655</stp>
        <stp>12/31/2018</stp>
        <tr r="N604" s="1"/>
      </tp>
      <tp>
        <v>2.6190303326898401</v>
        <stp/>
        <stp>EM_S_VAL_PBGOODWILLDEDUCTED</stp>
        <stp>2</stp>
        <stp>603669</stp>
        <stp>12/31/2018</stp>
        <tr r="N3197" s="1"/>
      </tp>
      <tp>
        <v>2.5086697870760699</v>
        <stp/>
        <stp>EM_S_VAL_PBGOODWILLDEDUCTED</stp>
        <stp>2</stp>
        <stp>603668</stp>
        <stp>12/31/2018</stp>
        <tr r="N1555" s="1"/>
      </tp>
      <tp>
        <v>4.6777775337233898</v>
        <stp/>
        <stp>EM_S_VAL_PBGOODWILLDEDUCTED</stp>
        <stp>2</stp>
        <stp>603663</stp>
        <stp>12/31/2018</stp>
        <tr r="N3084" s="1"/>
      </tp>
      <tp>
        <v>1.31175574766069</v>
        <stp/>
        <stp>EM_S_VAL_PBGOODWILLDEDUCTED</stp>
        <stp>2</stp>
        <stp>603661</stp>
        <stp>12/31/2018</stp>
        <tr r="N578" s="1"/>
      </tp>
      <tp>
        <v>3.4875730198110699</v>
        <stp/>
        <stp>EM_S_VAL_PBGOODWILLDEDUCTED</stp>
        <stp>2</stp>
        <stp>603660</stp>
        <stp>12/31/2018</stp>
        <tr r="N3259" s="1"/>
      </tp>
      <tp>
        <v>1.64657507261105</v>
        <stp/>
        <stp>EM_S_VAL_PBGOODWILLDEDUCTED</stp>
        <stp>2</stp>
        <stp>603667</stp>
        <stp>12/31/2018</stp>
        <tr r="N1247" s="1"/>
      </tp>
      <tp>
        <v>4.5693982008265497</v>
        <stp/>
        <stp>EM_S_VAL_PBGOODWILLDEDUCTED</stp>
        <stp>2</stp>
        <stp>603666</stp>
        <stp>12/31/2018</stp>
        <tr r="N575" s="1"/>
      </tp>
      <tp>
        <v>2.8403142705739599</v>
        <stp/>
        <stp>EM_S_VAL_PBGOODWILLDEDUCTED</stp>
        <stp>2</stp>
        <stp>603665</stp>
        <stp>12/31/2018</stp>
        <tr r="N3001" s="1"/>
      </tp>
      <tp>
        <v>3.90430801634631</v>
        <stp/>
        <stp>EM_S_VAL_PBGOODWILLDEDUCTED</stp>
        <stp>2</stp>
        <stp>603679</stp>
        <stp>12/31/2018</stp>
        <tr r="N247" s="1"/>
      </tp>
      <tp>
        <v>2.5880370426648698</v>
        <stp/>
        <stp>EM_S_VAL_PBGOODWILLDEDUCTED</stp>
        <stp>2</stp>
        <stp>603678</stp>
        <stp>12/31/2018</stp>
        <tr r="N631" s="1"/>
      </tp>
      <tp>
        <v>2.8341752177141601</v>
        <stp/>
        <stp>EM_S_VAL_PBGOODWILLDEDUCTED</stp>
        <stp>2</stp>
        <stp>603677</stp>
        <stp>12/31/2018</stp>
        <tr r="N2785" s="1"/>
      </tp>
      <tp>
        <v>5.3121022957018704</v>
        <stp/>
        <stp>EM_S_VAL_PBGOODWILLDEDUCTED</stp>
        <stp>2</stp>
        <stp>603676</stp>
        <stp>12/31/2018</stp>
        <tr r="N2673" s="1"/>
      </tp>
      <tp>
        <v>3.0990951715475701</v>
        <stp/>
        <stp>EM_S_VAL_PBGOODWILLDEDUCTED</stp>
        <stp>2</stp>
        <stp>603189</stp>
        <stp>12/31/2018</stp>
        <tr r="N591" s="1"/>
      </tp>
      <tp>
        <v>1.52385118689391</v>
        <stp/>
        <stp>EM_S_VAL_PBGOODWILLDEDUCTED</stp>
        <stp>2</stp>
        <stp>603188</stp>
        <stp>12/31/2018</stp>
        <tr r="N2816" s="1"/>
      </tp>
      <tp>
        <v>3.4327504945156599</v>
        <stp/>
        <stp>EM_S_VAL_PBGOODWILLDEDUCTED</stp>
        <stp>2</stp>
        <stp>603183</stp>
        <stp>12/31/2018</stp>
        <tr r="N3318" s="1"/>
      </tp>
      <tp>
        <v>1.9826897698433601</v>
        <stp/>
        <stp>EM_S_VAL_PBGOODWILLDEDUCTED</stp>
        <stp>2</stp>
        <stp>603181</stp>
        <stp>12/31/2018</stp>
        <tr r="N1219" s="1"/>
      </tp>
      <tp>
        <v>3.9852973770314102</v>
        <stp/>
        <stp>EM_S_VAL_PBGOODWILLDEDUCTED</stp>
        <stp>2</stp>
        <stp>603180</stp>
        <stp>12/31/2018</stp>
        <tr r="N1458" s="1"/>
      </tp>
      <tp>
        <v>2.93747772384478</v>
        <stp/>
        <stp>EM_S_VAL_PBGOODWILLDEDUCTED</stp>
        <stp>2</stp>
        <stp>603186</stp>
        <stp>12/31/2018</stp>
        <tr r="N82" s="1"/>
      </tp>
      <tp>
        <v>1.9111481317816399</v>
        <stp/>
        <stp>EM_S_VAL_PBGOODWILLDEDUCTED</stp>
        <stp>2</stp>
        <stp>603199</stp>
        <stp>12/31/2018</stp>
        <tr r="N1084" s="1"/>
      </tp>
      <tp>
        <v>2.6022665953620399</v>
        <stp/>
        <stp>EM_S_VAL_PBGOODWILLDEDUCTED</stp>
        <stp>2</stp>
        <stp>603198</stp>
        <stp>12/31/2018</stp>
        <tr r="N704" s="1"/>
      </tp>
      <tp>
        <v>3.7342965727916799</v>
        <stp/>
        <stp>EM_S_VAL_PBGOODWILLDEDUCTED</stp>
        <stp>2</stp>
        <stp>603197</stp>
        <stp>12/31/2018</stp>
        <tr r="N545" s="1"/>
      </tp>
      <tp>
        <v>3.16031537904286</v>
        <stp/>
        <stp>EM_S_VAL_PBGOODWILLDEDUCTED</stp>
        <stp>2</stp>
        <stp>603196</stp>
        <stp>12/31/2018</stp>
        <tr r="N3158" s="1"/>
      </tp>
      <tp>
        <v>4.9032697161941101</v>
        <stp/>
        <stp>EM_S_VAL_PBGOODWILLDEDUCTED</stp>
        <stp>2</stp>
        <stp>603108</stp>
        <stp>12/31/2018</stp>
        <tr r="N803" s="1"/>
      </tp>
      <tp>
        <v>4.6452475063313203</v>
        <stp/>
        <stp>EM_S_VAL_PBGOODWILLDEDUCTED</stp>
        <stp>2</stp>
        <stp>603103</stp>
        <stp>12/31/2018</stp>
        <tr r="N2987" s="1"/>
      </tp>
      <tp>
        <v>3.5942807468582401</v>
        <stp/>
        <stp>EM_S_VAL_PBGOODWILLDEDUCTED</stp>
        <stp>2</stp>
        <stp>603101</stp>
        <stp>12/31/2018</stp>
        <tr r="N3340" s="1"/>
      </tp>
      <tp>
        <v>1.31130813756414</v>
        <stp/>
        <stp>EM_S_VAL_PBGOODWILLDEDUCTED</stp>
        <stp>2</stp>
        <stp>603100</stp>
        <stp>12/31/2018</stp>
        <tr r="N1357" s="1"/>
      </tp>
      <tp>
        <v>1.9154854483125701</v>
        <stp/>
        <stp>EM_S_VAL_PBGOODWILLDEDUCTED</stp>
        <stp>2</stp>
        <stp>603106</stp>
        <stp>12/31/2018</stp>
        <tr r="N2923" s="1"/>
      </tp>
      <tp>
        <v>4.4816774252737899</v>
        <stp/>
        <stp>EM_S_VAL_PBGOODWILLDEDUCTED</stp>
        <stp>2</stp>
        <stp>603105</stp>
        <stp>12/31/2018</stp>
        <tr r="N3344" s="1"/>
      </tp>
      <tp>
        <v>1.2494377966252399</v>
        <stp/>
        <stp>EM_S_VAL_PBGOODWILLDEDUCTED</stp>
        <stp>2</stp>
        <stp>603118</stp>
        <stp>12/31/2018</stp>
        <tr r="N261" s="1"/>
      </tp>
      <tp>
        <v>1.52384901492733</v>
        <stp/>
        <stp>EM_S_VAL_PBGOODWILLDEDUCTED</stp>
        <stp>2</stp>
        <stp>603113</stp>
        <stp>12/31/2018</stp>
        <tr r="N2475" s="1"/>
      </tp>
      <tp>
        <v>2.3114000288127698</v>
        <stp/>
        <stp>EM_S_VAL_PBGOODWILLDEDUCTED</stp>
        <stp>2</stp>
        <stp>603111</stp>
        <stp>12/31/2018</stp>
        <tr r="N948" s="1"/>
      </tp>
      <tp>
        <v>2.4003607443746899</v>
        <stp/>
        <stp>EM_S_VAL_PBGOODWILLDEDUCTED</stp>
        <stp>2</stp>
        <stp>603110</stp>
        <stp>12/31/2018</stp>
        <tr r="N453" s="1"/>
      </tp>
      <tp>
        <v>1.0619881508870801</v>
        <stp/>
        <stp>EM_S_VAL_PBGOODWILLDEDUCTED</stp>
        <stp>2</stp>
        <stp>603117</stp>
        <stp>12/31/2018</stp>
        <tr r="N1955" s="1"/>
      </tp>
      <tp>
        <v>1.1526295281519501</v>
        <stp/>
        <stp>EM_S_VAL_PBGOODWILLDEDUCTED</stp>
        <stp>2</stp>
        <stp>603116</stp>
        <stp>12/31/2018</stp>
        <tr r="N2418" s="1"/>
      </tp>
      <tp>
        <v>2.2300107430869698</v>
        <stp/>
        <stp>EM_S_VAL_PBGOODWILLDEDUCTED</stp>
        <stp>2</stp>
        <stp>603129</stp>
        <stp>12/31/2018</stp>
        <tr r="N76" s="1"/>
      </tp>
      <tp>
        <v>1.6858992930255401</v>
        <stp/>
        <stp>EM_S_VAL_PBGOODWILLDEDUCTED</stp>
        <stp>2</stp>
        <stp>603128</stp>
        <stp>12/31/2018</stp>
        <tr r="N1380" s="1"/>
      </tp>
      <tp>
        <v>0.98703824957170905</v>
        <stp/>
        <stp>EM_S_VAL_PBGOODWILLDEDUCTED</stp>
        <stp>2</stp>
        <stp>603123</stp>
        <stp>12/31/2018</stp>
        <tr r="N1396" s="1"/>
      </tp>
      <tp>
        <v>8.4040835173797106</v>
        <stp/>
        <stp>EM_S_VAL_PBGOODWILLDEDUCTED</stp>
        <stp>2</stp>
        <stp>603127</stp>
        <stp>12/31/2018</stp>
        <tr r="N1307" s="1"/>
      </tp>
      <tp>
        <v>1.8859283962531099</v>
        <stp/>
        <stp>EM_S_VAL_PBGOODWILLDEDUCTED</stp>
        <stp>2</stp>
        <stp>603126</stp>
        <stp>12/31/2018</stp>
        <tr r="N2549" s="1"/>
      </tp>
      <tp>
        <v>1.6547253500310799</v>
        <stp/>
        <stp>EM_S_VAL_PBGOODWILLDEDUCTED</stp>
        <stp>2</stp>
        <stp>603139</stp>
        <stp>12/31/2018</stp>
        <tr r="N1742" s="1"/>
      </tp>
      <tp>
        <v>6.4371622716324399</v>
        <stp/>
        <stp>EM_S_VAL_PBGOODWILLDEDUCTED</stp>
        <stp>2</stp>
        <stp>603138</stp>
        <stp>12/31/2018</stp>
        <tr r="N2938" s="1"/>
      </tp>
      <tp>
        <v>3.57072417753364</v>
        <stp/>
        <stp>EM_S_VAL_PBGOODWILLDEDUCTED</stp>
        <stp>2</stp>
        <stp>603133</stp>
        <stp>12/31/2018</stp>
        <tr r="N506" s="1"/>
      </tp>
      <tp>
        <v>4.57943173499552</v>
        <stp/>
        <stp>EM_S_VAL_PBGOODWILLDEDUCTED</stp>
        <stp>2</stp>
        <stp>603131</stp>
        <stp>12/31/2018</stp>
        <tr r="N2818" s="1"/>
      </tp>
      <tp>
        <v>2.84196951796944</v>
        <stp/>
        <stp>EM_S_VAL_PBGOODWILLDEDUCTED</stp>
        <stp>2</stp>
        <stp>603136</stp>
        <stp>12/31/2018</stp>
        <tr r="N2787" s="1"/>
      </tp>
      <tp>
        <v>4.1866597772687202</v>
        <stp/>
        <stp>EM_S_VAL_PBGOODWILLDEDUCTED</stp>
        <stp>2</stp>
        <stp>603159</stp>
        <stp>12/31/2018</stp>
        <tr r="N3276" s="1"/>
      </tp>
      <tp>
        <v>4.0611842513853302</v>
        <stp/>
        <stp>EM_S_VAL_PBGOODWILLDEDUCTED</stp>
        <stp>2</stp>
        <stp>603158</stp>
        <stp>12/31/2018</stp>
        <tr r="N2653" s="1"/>
      </tp>
      <tp>
        <v>1.40408311867172</v>
        <stp/>
        <stp>EM_S_VAL_PBGOODWILLDEDUCTED</stp>
        <stp>2</stp>
        <stp>603157</stp>
        <stp>12/31/2018</stp>
        <tr r="N3240" s="1"/>
      </tp>
      <tp>
        <v>2.6166083324992799</v>
        <stp/>
        <stp>EM_S_VAL_PBGOODWILLDEDUCTED</stp>
        <stp>2</stp>
        <stp>603156</stp>
        <stp>12/31/2018</stp>
        <tr r="N3226" s="1"/>
      </tp>
      <tp>
        <v>2.9723778081523702</v>
        <stp/>
        <stp>EM_S_VAL_PBGOODWILLDEDUCTED</stp>
        <stp>2</stp>
        <stp>603169</stp>
        <stp>12/31/2018</stp>
        <tr r="N821" s="1"/>
      </tp>
      <tp>
        <v>1.4918915867557001</v>
        <stp/>
        <stp>EM_S_VAL_PBGOODWILLDEDUCTED</stp>
        <stp>2</stp>
        <stp>603168</stp>
        <stp>12/31/2018</stp>
        <tr r="N1079" s="1"/>
      </tp>
      <tp>
        <v>1.67693462578939</v>
        <stp/>
        <stp>EM_S_VAL_PBGOODWILLDEDUCTED</stp>
        <stp>2</stp>
        <stp>603161</stp>
        <stp>12/31/2018</stp>
        <tr r="N2902" s="1"/>
      </tp>
      <tp>
        <v>8.8427762877240408</v>
        <stp/>
        <stp>EM_S_VAL_PBGOODWILLDEDUCTED</stp>
        <stp>2</stp>
        <stp>603160</stp>
        <stp>12/31/2018</stp>
        <tr r="N70" s="1"/>
      </tp>
      <tp>
        <v>1.2595376755790499</v>
        <stp/>
        <stp>EM_S_VAL_PBGOODWILLDEDUCTED</stp>
        <stp>2</stp>
        <stp>603167</stp>
        <stp>12/31/2018</stp>
        <tr r="N1235" s="1"/>
      </tp>
      <tp>
        <v>1.4529753405189201</v>
        <stp/>
        <stp>EM_S_VAL_PBGOODWILLDEDUCTED</stp>
        <stp>2</stp>
        <stp>603166</stp>
        <stp>12/31/2018</stp>
        <tr r="N1347" s="1"/>
      </tp>
      <tp>
        <v>2.1632965690821999</v>
        <stp/>
        <stp>EM_S_VAL_PBGOODWILLDEDUCTED</stp>
        <stp>2</stp>
        <stp>603165</stp>
        <stp>12/31/2018</stp>
        <tr r="N1558" s="1"/>
      </tp>
      <tp>
        <v>2.4063199406094098</v>
        <stp/>
        <stp>EM_S_VAL_PBGOODWILLDEDUCTED</stp>
        <stp>2</stp>
        <stp>603179</stp>
        <stp>12/31/2018</stp>
        <tr r="N1445" s="1"/>
      </tp>
      <tp>
        <v>2.3740459933142199</v>
        <stp/>
        <stp>EM_S_VAL_PBGOODWILLDEDUCTED</stp>
        <stp>2</stp>
        <stp>603178</stp>
        <stp>12/31/2018</stp>
        <tr r="N1243" s="1"/>
      </tp>
      <tp>
        <v>3.5116122274538601</v>
        <stp/>
        <stp>EM_S_VAL_PBGOODWILLDEDUCTED</stp>
        <stp>2</stp>
        <stp>603177</stp>
        <stp>12/31/2018</stp>
        <tr r="N1680" s="1"/>
      </tp>
      <tp>
        <v>3.1353622423787502</v>
        <stp/>
        <stp>EM_S_VAL_PBGOODWILLDEDUCTED</stp>
        <stp>2</stp>
        <stp>603089</stp>
        <stp>12/31/2018</stp>
        <tr r="N2683" s="1"/>
      </tp>
      <tp>
        <v>2.4399385029261</v>
        <stp/>
        <stp>EM_S_VAL_PBGOODWILLDEDUCTED</stp>
        <stp>2</stp>
        <stp>603088</stp>
        <stp>12/31/2018</stp>
        <tr r="N3087" s="1"/>
      </tp>
      <tp>
        <v>2.80977111385761</v>
        <stp/>
        <stp>EM_S_VAL_PBGOODWILLDEDUCTED</stp>
        <stp>2</stp>
        <stp>603083</stp>
        <stp>12/31/2018</stp>
        <tr r="N1659" s="1"/>
      </tp>
      <tp>
        <v>2.72839219613858</v>
        <stp/>
        <stp>EM_S_VAL_PBGOODWILLDEDUCTED</stp>
        <stp>2</stp>
        <stp>603081</stp>
        <stp>12/31/2018</stp>
        <tr r="N617" s="1"/>
      </tp>
      <tp>
        <v>2.8742926137451099</v>
        <stp/>
        <stp>EM_S_VAL_PBGOODWILLDEDUCTED</stp>
        <stp>2</stp>
        <stp>603080</stp>
        <stp>12/31/2018</stp>
        <tr r="N3079" s="1"/>
      </tp>
      <tp>
        <v>1.8385326528327799</v>
        <stp/>
        <stp>EM_S_VAL_PBGOODWILLDEDUCTED</stp>
        <stp>2</stp>
        <stp>603086</stp>
        <stp>12/31/2018</stp>
        <tr r="N1630" s="1"/>
      </tp>
      <tp>
        <v>4.1751390498498404</v>
        <stp/>
        <stp>EM_S_VAL_PBGOODWILLDEDUCTED</stp>
        <stp>2</stp>
        <stp>603085</stp>
        <stp>12/31/2018</stp>
        <tr r="N1947" s="1"/>
      </tp>
      <tp>
        <v>2.31309681400381</v>
        <stp/>
        <stp>EM_S_VAL_PBGOODWILLDEDUCTED</stp>
        <stp>2</stp>
        <stp>603099</stp>
        <stp>12/31/2018</stp>
        <tr r="N1625" s="1"/>
      </tp>
      <tp>
        <v>3.5370510908496402</v>
        <stp/>
        <stp>EM_S_VAL_PBGOODWILLDEDUCTED</stp>
        <stp>2</stp>
        <stp>603098</stp>
        <stp>12/31/2018</stp>
        <tr r="N3054" s="1"/>
      </tp>
      <tp>
        <v>3.05785036146955</v>
        <stp/>
        <stp>EM_S_VAL_PBGOODWILLDEDUCTED</stp>
        <stp>2</stp>
        <stp>603090</stp>
        <stp>12/31/2018</stp>
        <tr r="N1077" s="1"/>
      </tp>
      <tp>
        <v>4.96202213761865</v>
        <stp/>
        <stp>EM_S_VAL_PBGOODWILLDEDUCTED</stp>
        <stp>2</stp>
        <stp>603096</stp>
        <stp>12/31/2018</stp>
        <tr r="N2758" s="1"/>
      </tp>
      <tp>
        <v>1.4117069490981899</v>
        <stp/>
        <stp>EM_S_VAL_PBGOODWILLDEDUCTED</stp>
        <stp>2</stp>
        <stp>603009</stp>
        <stp>12/31/2018</stp>
        <tr r="N1875" s="1"/>
      </tp>
      <tp>
        <v>2.08660785841096</v>
        <stp/>
        <stp>EM_S_VAL_PBGOODWILLDEDUCTED</stp>
        <stp>2</stp>
        <stp>603008</stp>
        <stp>12/31/2018</stp>
        <tr r="N376" s="1"/>
      </tp>
      <tp>
        <v>0.73960312862234301</v>
        <stp/>
        <stp>EM_S_VAL_PBGOODWILLDEDUCTED</stp>
        <stp>2</stp>
        <stp>603003</stp>
        <stp>12/31/2018</stp>
        <tr r="N1217" s="1"/>
      </tp>
      <tp>
        <v>1.9205380204945499</v>
        <stp/>
        <stp>EM_S_VAL_PBGOODWILLDEDUCTED</stp>
        <stp>2</stp>
        <stp>603002</stp>
        <stp>12/31/2018</stp>
        <tr r="N1090" s="1"/>
      </tp>
      <tp>
        <v>1.0227483680535101</v>
        <stp/>
        <stp>EM_S_VAL_PBGOODWILLDEDUCTED</stp>
        <stp>2</stp>
        <stp>603001</stp>
        <stp>12/31/2018</stp>
        <tr r="N2795" s="1"/>
      </tp>
      <tp>
        <v>2.69877896269979</v>
        <stp/>
        <stp>EM_S_VAL_PBGOODWILLDEDUCTED</stp>
        <stp>2</stp>
        <stp>603000</stp>
        <stp>12/31/2018</stp>
        <tr r="N61" s="1"/>
      </tp>
      <tp>
        <v>3.3854642247355202</v>
        <stp/>
        <stp>EM_S_VAL_PBGOODWILLDEDUCTED</stp>
        <stp>2</stp>
        <stp>603007</stp>
        <stp>12/31/2018</stp>
        <tr r="N2914" s="1"/>
      </tp>
      <tp>
        <v>1.90867125197524</v>
        <stp/>
        <stp>EM_S_VAL_PBGOODWILLDEDUCTED</stp>
        <stp>2</stp>
        <stp>603006</stp>
        <stp>12/31/2018</stp>
        <tr r="N1371" s="1"/>
      </tp>
      <tp>
        <v>2.0418370762756499</v>
        <stp/>
        <stp>EM_S_VAL_PBGOODWILLDEDUCTED</stp>
        <stp>2</stp>
        <stp>603005</stp>
        <stp>12/31/2018</stp>
        <tr r="N98" s="1"/>
      </tp>
      <tp>
        <v>6.3184749459398803</v>
        <stp/>
        <stp>EM_S_VAL_PBGOODWILLDEDUCTED</stp>
        <stp>2</stp>
        <stp>603019</stp>
        <stp>12/31/2018</stp>
        <tr r="N2496" s="1"/>
      </tp>
      <tp>
        <v>2.2776798431499601</v>
        <stp/>
        <stp>EM_S_VAL_PBGOODWILLDEDUCTED</stp>
        <stp>2</stp>
        <stp>603018</stp>
        <stp>12/31/2018</stp>
        <tr r="N3325" s="1"/>
      </tp>
      <tp>
        <v>2.9647682039104901</v>
        <stp/>
        <stp>EM_S_VAL_PBGOODWILLDEDUCTED</stp>
        <stp>2</stp>
        <stp>603013</stp>
        <stp>12/31/2018</stp>
        <tr r="N2867" s="1"/>
      </tp>
      <tp>
        <v>1.9118021876998601</v>
        <stp/>
        <stp>EM_S_VAL_PBGOODWILLDEDUCTED</stp>
        <stp>2</stp>
        <stp>603012</stp>
        <stp>12/31/2018</stp>
        <tr r="N1606" s="1"/>
      </tp>
      <tp>
        <v>1.6229923179492101</v>
        <stp/>
        <stp>EM_S_VAL_PBGOODWILLDEDUCTED</stp>
        <stp>2</stp>
        <stp>603011</stp>
        <stp>12/31/2018</stp>
        <tr r="N1463" s="1"/>
      </tp>
      <tp>
        <v>3.574795492307</v>
        <stp/>
        <stp>EM_S_VAL_PBGOODWILLDEDUCTED</stp>
        <stp>2</stp>
        <stp>603010</stp>
        <stp>12/31/2018</stp>
        <tr r="N3049" s="1"/>
      </tp>
      <tp>
        <v>2.46197431532112</v>
        <stp/>
        <stp>EM_S_VAL_PBGOODWILLDEDUCTED</stp>
        <stp>2</stp>
        <stp>603017</stp>
        <stp>12/31/2018</stp>
        <tr r="N1945" s="1"/>
      </tp>
      <tp>
        <v>2.9931853819755698</v>
        <stp/>
        <stp>EM_S_VAL_PBGOODWILLDEDUCTED</stp>
        <stp>2</stp>
        <stp>603016</stp>
        <stp>12/31/2018</stp>
        <tr r="N2520" s="1"/>
      </tp>
      <tp>
        <v>2.0857189761786801</v>
        <stp/>
        <stp>EM_S_VAL_PBGOODWILLDEDUCTED</stp>
        <stp>2</stp>
        <stp>603015</stp>
        <stp>12/31/2018</stp>
        <tr r="N1933" s="1"/>
      </tp>
      <tp>
        <v>2.0784735464785999</v>
        <stp/>
        <stp>EM_S_VAL_PBGOODWILLDEDUCTED</stp>
        <stp>2</stp>
        <stp>603029</stp>
        <stp>12/31/2018</stp>
        <tr r="N1695" s="1"/>
      </tp>
      <tp>
        <v>2.3023990558961702</v>
        <stp/>
        <stp>EM_S_VAL_PBGOODWILLDEDUCTED</stp>
        <stp>2</stp>
        <stp>603028</stp>
        <stp>12/31/2018</stp>
        <tr r="N383" s="1"/>
      </tp>
      <tp>
        <v>2.8360433798847602</v>
        <stp/>
        <stp>EM_S_VAL_PBGOODWILLDEDUCTED</stp>
        <stp>2</stp>
        <stp>603023</stp>
        <stp>12/31/2018</stp>
        <tr r="N2040" s="1"/>
      </tp>
      <tp>
        <v>2.2030415801585401</v>
        <stp/>
        <stp>EM_S_VAL_PBGOODWILLDEDUCTED</stp>
        <stp>2</stp>
        <stp>603022</stp>
        <stp>12/31/2018</stp>
        <tr r="N185" s="1"/>
      </tp>
      <tp>
        <v>1.3717010189709999</v>
        <stp/>
        <stp>EM_S_VAL_PBGOODWILLDEDUCTED</stp>
        <stp>2</stp>
        <stp>603021</stp>
        <stp>12/31/2018</stp>
        <tr r="N717" s="1"/>
      </tp>
      <tp>
        <v>1.25700379544074</v>
        <stp/>
        <stp>EM_S_VAL_PBGOODWILLDEDUCTED</stp>
        <stp>2</stp>
        <stp>603020</stp>
        <stp>12/31/2018</stp>
        <tr r="N1717" s="1"/>
      </tp>
      <tp>
        <v>4.0582302512060497</v>
        <stp/>
        <stp>EM_S_VAL_PBGOODWILLDEDUCTED</stp>
        <stp>2</stp>
        <stp>603027</stp>
        <stp>12/31/2018</stp>
        <tr r="N783" s="1"/>
      </tp>
      <tp>
        <v>2.4205412704900899</v>
        <stp/>
        <stp>EM_S_VAL_PBGOODWILLDEDUCTED</stp>
        <stp>2</stp>
        <stp>603026</stp>
        <stp>12/31/2018</stp>
        <tr r="N220" s="1"/>
      </tp>
      <tp>
        <v>6.1513322059681599</v>
        <stp/>
        <stp>EM_S_VAL_PBGOODWILLDEDUCTED</stp>
        <stp>2</stp>
        <stp>603025</stp>
        <stp>12/31/2018</stp>
        <tr r="N2951" s="1"/>
      </tp>
      <tp>
        <v>10.2364847040056</v>
        <stp/>
        <stp>EM_S_VAL_PBGOODWILLDEDUCTED</stp>
        <stp>2</stp>
        <stp>603039</stp>
        <stp>12/31/2018</stp>
        <tr r="N3129" s="1"/>
      </tp>
      <tp>
        <v>1.5511403521778599</v>
        <stp/>
        <stp>EM_S_VAL_PBGOODWILLDEDUCTED</stp>
        <stp>2</stp>
        <stp>603038</stp>
        <stp>12/31/2018</stp>
        <tr r="N2833" s="1"/>
      </tp>
      <tp>
        <v>2.01728379224671</v>
        <stp/>
        <stp>EM_S_VAL_PBGOODWILLDEDUCTED</stp>
        <stp>2</stp>
        <stp>603033</stp>
        <stp>12/31/2018</stp>
        <tr r="N2572" s="1"/>
      </tp>
      <tp>
        <v>6.7273769509395596</v>
        <stp/>
        <stp>EM_S_VAL_PBGOODWILLDEDUCTED</stp>
        <stp>2</stp>
        <stp>603032</stp>
        <stp>12/31/2018</stp>
        <tr r="N3116" s="1"/>
      </tp>
      <tp>
        <v>2.2066765105477102</v>
        <stp/>
        <stp>EM_S_VAL_PBGOODWILLDEDUCTED</stp>
        <stp>2</stp>
        <stp>603031</stp>
        <stp>12/31/2018</stp>
        <tr r="N225" s="1"/>
      </tp>
      <tp>
        <v>1.8309781706625201</v>
        <stp/>
        <stp>EM_S_VAL_PBGOODWILLDEDUCTED</stp>
        <stp>2</stp>
        <stp>603030</stp>
        <stp>12/31/2018</stp>
        <tr r="N1545" s="1"/>
      </tp>
      <tp>
        <v>2.30050190050726</v>
        <stp/>
        <stp>EM_S_VAL_PBGOODWILLDEDUCTED</stp>
        <stp>2</stp>
        <stp>603037</stp>
        <stp>12/31/2018</stp>
        <tr r="N2448" s="1"/>
      </tp>
      <tp>
        <v>2.2701174027089599</v>
        <stp/>
        <stp>EM_S_VAL_PBGOODWILLDEDUCTED</stp>
        <stp>2</stp>
        <stp>603036</stp>
        <stp>12/31/2018</stp>
        <tr r="N2651" s="1"/>
      </tp>
      <tp>
        <v>1.34995528070938</v>
        <stp/>
        <stp>EM_S_VAL_PBGOODWILLDEDUCTED</stp>
        <stp>2</stp>
        <stp>603035</stp>
        <stp>12/31/2018</stp>
        <tr r="N1913" s="1"/>
      </tp>
      <tp>
        <v>5.6118182975745103</v>
        <stp/>
        <stp>EM_S_VAL_PBGOODWILLDEDUCTED</stp>
        <stp>2</stp>
        <stp>603043</stp>
        <stp>12/31/2018</stp>
        <tr r="N1672" s="1"/>
      </tp>
      <tp>
        <v>3.19372234168616</v>
        <stp/>
        <stp>EM_S_VAL_PBGOODWILLDEDUCTED</stp>
        <stp>2</stp>
        <stp>603042</stp>
        <stp>12/31/2018</stp>
        <tr r="N2387" s="1"/>
      </tp>
      <tp>
        <v>1.9473137717133</v>
        <stp/>
        <stp>EM_S_VAL_PBGOODWILLDEDUCTED</stp>
        <stp>2</stp>
        <stp>603041</stp>
        <stp>12/31/2018</stp>
        <tr r="N1218" s="1"/>
      </tp>
      <tp>
        <v>3.1148532648304998</v>
        <stp/>
        <stp>EM_S_VAL_PBGOODWILLDEDUCTED</stp>
        <stp>2</stp>
        <stp>603040</stp>
        <stp>12/31/2018</stp>
        <tr r="N891" s="1"/>
      </tp>
      <tp>
        <v>3.6716087562103499</v>
        <stp/>
        <stp>EM_S_VAL_PBGOODWILLDEDUCTED</stp>
        <stp>2</stp>
        <stp>603045</stp>
        <stp>12/31/2018</stp>
        <tr r="N3358" s="1"/>
      </tp>
      <tp>
        <v>2.9038997734971499</v>
        <stp/>
        <stp>EM_S_VAL_PBGOODWILLDEDUCTED</stp>
        <stp>2</stp>
        <stp>603059</stp>
        <stp>12/31/2018</stp>
        <tr r="N2986" s="1"/>
      </tp>
      <tp>
        <v>4.3208579247470098</v>
        <stp/>
        <stp>EM_S_VAL_PBGOODWILLDEDUCTED</stp>
        <stp>2</stp>
        <stp>603058</stp>
        <stp>12/31/2018</stp>
        <tr r="N3088" s="1"/>
      </tp>
      <tp>
        <v>2.0421923185097302</v>
        <stp/>
        <stp>EM_S_VAL_PBGOODWILLDEDUCTED</stp>
        <stp>2</stp>
        <stp>603050</stp>
        <stp>12/31/2018</stp>
        <tr r="N2950" s="1"/>
      </tp>
      <tp>
        <v>3.9451151494551802</v>
        <stp/>
        <stp>EM_S_VAL_PBGOODWILLDEDUCTED</stp>
        <stp>2</stp>
        <stp>603056</stp>
        <stp>12/31/2018</stp>
        <tr r="N3254" s="1"/>
      </tp>
      <tp>
        <v>2.3178567058031998</v>
        <stp/>
        <stp>EM_S_VAL_PBGOODWILLDEDUCTED</stp>
        <stp>2</stp>
        <stp>603055</stp>
        <stp>12/31/2018</stp>
        <tr r="N3266" s="1"/>
      </tp>
      <tp>
        <v>1.87089678137079</v>
        <stp/>
        <stp>EM_S_VAL_PBGOODWILLDEDUCTED</stp>
        <stp>2</stp>
        <stp>603069</stp>
        <stp>12/31/2018</stp>
        <tr r="N464" s="1"/>
      </tp>
      <tp>
        <v>1.3216259753159501</v>
        <stp/>
        <stp>EM_S_VAL_PBGOODWILLDEDUCTED</stp>
        <stp>2</stp>
        <stp>603063</stp>
        <stp>12/31/2018</stp>
        <tr r="N636" s="1"/>
      </tp>
      <tp>
        <v>3.9308811087675002</v>
        <stp/>
        <stp>EM_S_VAL_PBGOODWILLDEDUCTED</stp>
        <stp>2</stp>
        <stp>603060</stp>
        <stp>12/31/2018</stp>
        <tr r="N1134" s="1"/>
      </tp>
      <tp>
        <v>1.91612959980925</v>
        <stp/>
        <stp>EM_S_VAL_PBGOODWILLDEDUCTED</stp>
        <stp>2</stp>
        <stp>603067</stp>
        <stp>12/31/2018</stp>
        <tr r="N3099" s="1"/>
      </tp>
      <tp>
        <v>2.26583614295869</v>
        <stp/>
        <stp>EM_S_VAL_PBGOODWILLDEDUCTED</stp>
        <stp>2</stp>
        <stp>603066</stp>
        <stp>12/31/2018</stp>
        <tr r="N1845" s="1"/>
      </tp>
      <tp>
        <v>2.31652232653378</v>
        <stp/>
        <stp>EM_S_VAL_PBGOODWILLDEDUCTED</stp>
        <stp>2</stp>
        <stp>603079</stp>
        <stp>12/31/2018</stp>
        <tr r="N90" s="1"/>
      </tp>
      <tp>
        <v>3.1481419200577401</v>
        <stp/>
        <stp>EM_S_VAL_PBGOODWILLDEDUCTED</stp>
        <stp>2</stp>
        <stp>603078</stp>
        <stp>12/31/2018</stp>
        <tr r="N1260" s="1"/>
      </tp>
      <tp>
        <v>1.4929523891618</v>
        <stp/>
        <stp>EM_S_VAL_PBGOODWILLDEDUCTED</stp>
        <stp>2</stp>
        <stp>603077</stp>
        <stp>12/31/2018</stp>
        <tr r="N2778" s="1"/>
      </tp>
      <tp>
        <v>2.4440773014027299</v>
        <stp/>
        <stp>EM_S_VAL_PBGOODWILLDEDUCTED</stp>
        <stp>2</stp>
        <stp>603076</stp>
        <stp>12/31/2018</stp>
        <tr r="N2382" s="1"/>
      </tp>
      <tp>
        <v>2.9408912039127202</v>
        <stp/>
        <stp>EM_S_VAL_PBGOODWILLDEDUCTED</stp>
        <stp>2</stp>
        <stp>603389</stp>
        <stp>12/31/2018</stp>
        <tr r="N3343" s="1"/>
      </tp>
      <tp>
        <v>2.56822627224052</v>
        <stp/>
        <stp>EM_S_VAL_PBGOODWILLDEDUCTED</stp>
        <stp>2</stp>
        <stp>603388</stp>
        <stp>12/31/2018</stp>
        <tr r="N3051" s="1"/>
      </tp>
      <tp>
        <v>3.4447048158193998</v>
        <stp/>
        <stp>EM_S_VAL_PBGOODWILLDEDUCTED</stp>
        <stp>2</stp>
        <stp>603383</stp>
        <stp>12/31/2018</stp>
        <tr r="N88" s="1"/>
      </tp>
      <tp>
        <v>3.2257742689569699</v>
        <stp/>
        <stp>EM_S_VAL_PBGOODWILLDEDUCTED</stp>
        <stp>2</stp>
        <stp>603380</stp>
        <stp>12/31/2018</stp>
        <tr r="N1980" s="1"/>
      </tp>
      <tp>
        <v>3.6744662063925899</v>
        <stp/>
        <stp>EM_S_VAL_PBGOODWILLDEDUCTED</stp>
        <stp>2</stp>
        <stp>603387</stp>
        <stp>12/31/2018</stp>
        <tr r="N2919" s="1"/>
      </tp>
      <tp>
        <v>4.91412450397263</v>
        <stp/>
        <stp>EM_S_VAL_PBGOODWILLDEDUCTED</stp>
        <stp>2</stp>
        <stp>603386</stp>
        <stp>12/31/2018</stp>
        <tr r="N2198" s="1"/>
      </tp>
      <tp>
        <v>0.93970683248261799</v>
        <stp/>
        <stp>EM_S_VAL_PBGOODWILLDEDUCTED</stp>
        <stp>2</stp>
        <stp>603385</stp>
        <stp>12/31/2018</stp>
        <tr r="N711" s="1"/>
      </tp>
      <tp>
        <v>2.2593286792008498</v>
        <stp/>
        <stp>EM_S_VAL_PBGOODWILLDEDUCTED</stp>
        <stp>2</stp>
        <stp>603399</stp>
        <stp>12/31/2018</stp>
        <tr r="N1095" s="1"/>
      </tp>
      <tp>
        <v>6.7082772640608201</v>
        <stp/>
        <stp>EM_S_VAL_PBGOODWILLDEDUCTED</stp>
        <stp>2</stp>
        <stp>603398</stp>
        <stp>12/31/2018</stp>
        <tr r="N2667" s="1"/>
      </tp>
      <tp>
        <v>2.1555266805318101</v>
        <stp/>
        <stp>EM_S_VAL_PBGOODWILLDEDUCTED</stp>
        <stp>2</stp>
        <stp>603393</stp>
        <stp>12/31/2018</stp>
        <tr r="N2735" s="1"/>
      </tp>
      <tp>
        <v>2.2560641243186699</v>
        <stp/>
        <stp>EM_S_VAL_PBGOODWILLDEDUCTED</stp>
        <stp>2</stp>
        <stp>603396</stp>
        <stp>12/31/2018</stp>
        <tr r="N3014" s="1"/>
      </tp>
      <tp>
        <v>3.0242105365163301</v>
        <stp/>
        <stp>EM_S_VAL_PBGOODWILLDEDUCTED</stp>
        <stp>2</stp>
        <stp>603309</stp>
        <stp>12/31/2018</stp>
        <tr r="N620" s="1"/>
      </tp>
      <tp>
        <v>1.2073554353435001</v>
        <stp/>
        <stp>EM_S_VAL_PBGOODWILLDEDUCTED</stp>
        <stp>2</stp>
        <stp>603308</stp>
        <stp>12/31/2018</stp>
        <tr r="N218" s="1"/>
      </tp>
      <tp>
        <v>1.8809152319325799</v>
        <stp/>
        <stp>EM_S_VAL_PBGOODWILLDEDUCTED</stp>
        <stp>2</stp>
        <stp>603303</stp>
        <stp>12/31/2018</stp>
        <tr r="N2847" s="1"/>
      </tp>
      <tp>
        <v>0</v>
        <stp/>
        <stp>EM_S_VAL_PBGOODWILLDEDUCTED</stp>
        <stp>2</stp>
        <stp>603302</stp>
        <stp>12/31/2018</stp>
        <tr r="N14" s="1"/>
      </tp>
      <tp>
        <v>2.90814375136013</v>
        <stp/>
        <stp>EM_S_VAL_PBGOODWILLDEDUCTED</stp>
        <stp>2</stp>
        <stp>603301</stp>
        <stp>12/31/2018</stp>
        <tr r="N3245" s="1"/>
      </tp>
      <tp>
        <v>1.5764401513811599</v>
        <stp/>
        <stp>EM_S_VAL_PBGOODWILLDEDUCTED</stp>
        <stp>2</stp>
        <stp>603300</stp>
        <stp>12/31/2018</stp>
        <tr r="N370" s="1"/>
      </tp>
      <tp>
        <v>1.9232917267679499</v>
        <stp/>
        <stp>EM_S_VAL_PBGOODWILLDEDUCTED</stp>
        <stp>2</stp>
        <stp>603306</stp>
        <stp>12/31/2018</stp>
        <tr r="N2468" s="1"/>
      </tp>
      <tp>
        <v>8.6614305472347795</v>
        <stp/>
        <stp>EM_S_VAL_PBGOODWILLDEDUCTED</stp>
        <stp>2</stp>
        <stp>603305</stp>
        <stp>12/31/2018</stp>
        <tr r="N1751" s="1"/>
      </tp>
      <tp>
        <v>2.1839410946384601</v>
        <stp/>
        <stp>EM_S_VAL_PBGOODWILLDEDUCTED</stp>
        <stp>2</stp>
        <stp>603319</stp>
        <stp>12/31/2018</stp>
        <tr r="N2802" s="1"/>
      </tp>
      <tp>
        <v>5.3051422313075003</v>
        <stp/>
        <stp>EM_S_VAL_PBGOODWILLDEDUCTED</stp>
        <stp>2</stp>
        <stp>603318</stp>
        <stp>12/31/2018</stp>
        <tr r="N2674" s="1"/>
      </tp>
      <tp>
        <v>3.04795705832196</v>
        <stp/>
        <stp>EM_S_VAL_PBGOODWILLDEDUCTED</stp>
        <stp>2</stp>
        <stp>603313</stp>
        <stp>12/31/2018</stp>
        <tr r="N2362" s="1"/>
      </tp>
      <tp>
        <v>2.82336712229819</v>
        <stp/>
        <stp>EM_S_VAL_PBGOODWILLDEDUCTED</stp>
        <stp>2</stp>
        <stp>603311</stp>
        <stp>12/31/2018</stp>
        <tr r="N1757" s="1"/>
      </tp>
      <tp>
        <v>1.9366976913993901</v>
        <stp/>
        <stp>EM_S_VAL_PBGOODWILLDEDUCTED</stp>
        <stp>2</stp>
        <stp>603316</stp>
        <stp>12/31/2018</stp>
        <tr r="N1325" s="1"/>
      </tp>
      <tp>
        <v>2.5256961913117699</v>
        <stp/>
        <stp>EM_S_VAL_PBGOODWILLDEDUCTED</stp>
        <stp>2</stp>
        <stp>603315</stp>
        <stp>12/31/2018</stp>
        <tr r="N2056" s="1"/>
      </tp>
      <tp>
        <v>2.8609444092076699</v>
        <stp/>
        <stp>EM_S_VAL_PBGOODWILLDEDUCTED</stp>
        <stp>2</stp>
        <stp>603329</stp>
        <stp>12/31/2018</stp>
        <tr r="N2895" s="1"/>
      </tp>
      <tp>
        <v>2.2106800306221199</v>
        <stp/>
        <stp>EM_S_VAL_PBGOODWILLDEDUCTED</stp>
        <stp>2</stp>
        <stp>603328</stp>
        <stp>12/31/2018</stp>
        <tr r="N1464" s="1"/>
      </tp>
      <tp>
        <v>0.97060987500585505</v>
        <stp/>
        <stp>EM_S_VAL_PBGOODWILLDEDUCTED</stp>
        <stp>2</stp>
        <stp>603323</stp>
        <stp>12/31/2018</stp>
        <tr r="N2888" s="1"/>
      </tp>
      <tp>
        <v>11.947703817547</v>
        <stp/>
        <stp>EM_S_VAL_PBGOODWILLDEDUCTED</stp>
        <stp>2</stp>
        <stp>603322</stp>
        <stp>12/31/2018</stp>
        <tr r="N3308" s="1"/>
      </tp>
      <tp>
        <v>2.1187784469902402</v>
        <stp/>
        <stp>EM_S_VAL_PBGOODWILLDEDUCTED</stp>
        <stp>2</stp>
        <stp>603321</stp>
        <stp>12/31/2018</stp>
        <tr r="N1483" s="1"/>
      </tp>
      <tp>
        <v>2.9303486627519302</v>
        <stp/>
        <stp>EM_S_VAL_PBGOODWILLDEDUCTED</stp>
        <stp>2</stp>
        <stp>603320</stp>
        <stp>12/31/2018</stp>
        <tr r="N2682" s="1"/>
      </tp>
      <tp>
        <v>3.0571220164753399</v>
        <stp/>
        <stp>EM_S_VAL_PBGOODWILLDEDUCTED</stp>
        <stp>2</stp>
        <stp>603326</stp>
        <stp>12/31/2018</stp>
        <tr r="N798" s="1"/>
      </tp>
      <tp>
        <v>1.91500682828123</v>
        <stp/>
        <stp>EM_S_VAL_PBGOODWILLDEDUCTED</stp>
        <stp>2</stp>
        <stp>603339</stp>
        <stp>12/31/2018</stp>
        <tr r="N2771" s="1"/>
      </tp>
      <tp>
        <v>5.3626411905266798</v>
        <stp/>
        <stp>EM_S_VAL_PBGOODWILLDEDUCTED</stp>
        <stp>2</stp>
        <stp>603338</stp>
        <stp>12/31/2018</stp>
        <tr r="N1029" s="1"/>
      </tp>
      <tp>
        <v>1.84055200336171</v>
        <stp/>
        <stp>EM_S_VAL_PBGOODWILLDEDUCTED</stp>
        <stp>2</stp>
        <stp>603333</stp>
        <stp>12/31/2018</stp>
        <tr r="N196" s="1"/>
      </tp>
      <tp>
        <v>2.6373850665615302</v>
        <stp/>
        <stp>EM_S_VAL_PBGOODWILLDEDUCTED</stp>
        <stp>2</stp>
        <stp>603331</stp>
        <stp>12/31/2018</stp>
        <tr r="N1621" s="1"/>
      </tp>
      <tp>
        <v>2.6784856127087902</v>
        <stp/>
        <stp>EM_S_VAL_PBGOODWILLDEDUCTED</stp>
        <stp>2</stp>
        <stp>603330</stp>
        <stp>12/31/2018</stp>
        <tr r="N3151" s="1"/>
      </tp>
      <tp>
        <v>4.7358960879070802</v>
        <stp/>
        <stp>EM_S_VAL_PBGOODWILLDEDUCTED</stp>
        <stp>2</stp>
        <stp>603337</stp>
        <stp>12/31/2018</stp>
        <tr r="N3338" s="1"/>
      </tp>
      <tp>
        <v>3.3083631982828998</v>
        <stp/>
        <stp>EM_S_VAL_PBGOODWILLDEDUCTED</stp>
        <stp>2</stp>
        <stp>603336</stp>
        <stp>12/31/2018</stp>
        <tr r="N2819" s="1"/>
      </tp>
      <tp>
        <v>3.6114253518689501</v>
        <stp/>
        <stp>EM_S_VAL_PBGOODWILLDEDUCTED</stp>
        <stp>2</stp>
        <stp>603335</stp>
        <stp>12/31/2018</stp>
        <tr r="N3070" s="1"/>
      </tp>
      <tp>
        <v>2.4252422441512902</v>
        <stp/>
        <stp>EM_S_VAL_PBGOODWILLDEDUCTED</stp>
        <stp>2</stp>
        <stp>603348</stp>
        <stp>12/31/2018</stp>
        <tr r="N2404" s="1"/>
      </tp>
      <tp>
        <v>4.1805214445818102</v>
        <stp/>
        <stp>EM_S_VAL_PBGOODWILLDEDUCTED</stp>
        <stp>2</stp>
        <stp>603345</stp>
        <stp>12/31/2018</stp>
        <tr r="N351" s="1"/>
      </tp>
      <tp>
        <v>1.9977638929907799</v>
        <stp/>
        <stp>EM_S_VAL_PBGOODWILLDEDUCTED</stp>
        <stp>2</stp>
        <stp>603359</stp>
        <stp>12/31/2018</stp>
        <tr r="N2716" s="1"/>
      </tp>
      <tp>
        <v>1.3534166435365</v>
        <stp/>
        <stp>EM_S_VAL_PBGOODWILLDEDUCTED</stp>
        <stp>2</stp>
        <stp>603358</stp>
        <stp>12/31/2018</stp>
        <tr r="N844" s="1"/>
      </tp>
      <tp>
        <v>3.0092702373814602</v>
        <stp/>
        <stp>EM_S_VAL_PBGOODWILLDEDUCTED</stp>
        <stp>2</stp>
        <stp>603357</stp>
        <stp>12/31/2018</stp>
        <tr r="N3354" s="1"/>
      </tp>
      <tp>
        <v>3.03372889010627</v>
        <stp/>
        <stp>EM_S_VAL_PBGOODWILLDEDUCTED</stp>
        <stp>2</stp>
        <stp>603356</stp>
        <stp>12/31/2018</stp>
        <tr r="N3040" s="1"/>
      </tp>
      <tp>
        <v>3.0992870078558798</v>
        <stp/>
        <stp>EM_S_VAL_PBGOODWILLDEDUCTED</stp>
        <stp>2</stp>
        <stp>603355</stp>
        <stp>12/31/2018</stp>
        <tr r="N1769" s="1"/>
      </tp>
      <tp>
        <v>2.9825590115303</v>
        <stp/>
        <stp>EM_S_VAL_PBGOODWILLDEDUCTED</stp>
        <stp>2</stp>
        <stp>603369</stp>
        <stp>12/31/2018</stp>
        <tr r="N109" s="1"/>
      </tp>
      <tp>
        <v>2.2030891425626198</v>
        <stp/>
        <stp>EM_S_VAL_PBGOODWILLDEDUCTED</stp>
        <stp>2</stp>
        <stp>603368</stp>
        <stp>12/31/2018</stp>
        <tr r="N1009" s="1"/>
      </tp>
      <tp>
        <v>4.51247795500643</v>
        <stp/>
        <stp>EM_S_VAL_PBGOODWILLDEDUCTED</stp>
        <stp>2</stp>
        <stp>603363</stp>
        <stp>12/31/2018</stp>
        <tr r="N230" s="1"/>
      </tp>
      <tp>
        <v>2.8865143259333799</v>
        <stp/>
        <stp>EM_S_VAL_PBGOODWILLDEDUCTED</stp>
        <stp>2</stp>
        <stp>603360</stp>
        <stp>12/31/2018</stp>
        <tr r="N51" s="1"/>
      </tp>
      <tp>
        <v>1.65669498530489</v>
        <stp/>
        <stp>EM_S_VAL_PBGOODWILLDEDUCTED</stp>
        <stp>2</stp>
        <stp>603367</stp>
        <stp>12/31/2018</stp>
        <tr r="N1963" s="1"/>
      </tp>
      <tp>
        <v>1.19027348771337</v>
        <stp/>
        <stp>EM_S_VAL_PBGOODWILLDEDUCTED</stp>
        <stp>2</stp>
        <stp>603366</stp>
        <stp>12/31/2018</stp>
        <tr r="N1104" s="1"/>
      </tp>
      <tp>
        <v>1.82016959580941</v>
        <stp/>
        <stp>EM_S_VAL_PBGOODWILLDEDUCTED</stp>
        <stp>2</stp>
        <stp>603365</stp>
        <stp>12/31/2018</stp>
        <tr r="N2148" s="1"/>
      </tp>
      <tp>
        <v>1.9804205641574599</v>
        <stp/>
        <stp>EM_S_VAL_PBGOODWILLDEDUCTED</stp>
        <stp>2</stp>
        <stp>603378</stp>
        <stp>12/31/2018</stp>
        <tr r="N357" s="1"/>
      </tp>
      <tp>
        <v>5.2185100160180804</v>
        <stp/>
        <stp>EM_S_VAL_PBGOODWILLDEDUCTED</stp>
        <stp>2</stp>
        <stp>603377</stp>
        <stp>12/31/2018</stp>
        <tr r="N1083" s="1"/>
      </tp>
      <tp>
        <v>2.2023285603869698</v>
        <stp/>
        <stp>EM_S_VAL_PBGOODWILLDEDUCTED</stp>
        <stp>2</stp>
        <stp>603289</stp>
        <stp>12/31/2018</stp>
        <tr r="N1451" s="1"/>
      </tp>
      <tp>
        <v>13.421024355972699</v>
        <stp/>
        <stp>EM_S_VAL_PBGOODWILLDEDUCTED</stp>
        <stp>2</stp>
        <stp>603288</stp>
        <stp>12/31/2018</stp>
        <tr r="N469" s="1"/>
      </tp>
      <tp>
        <v>4.1811558419347001</v>
        <stp/>
        <stp>EM_S_VAL_PBGOODWILLDEDUCTED</stp>
        <stp>2</stp>
        <stp>603283</stp>
        <stp>12/31/2018</stp>
        <tr r="N288" s="1"/>
      </tp>
      <tp>
        <v>2.9089206835813002</v>
        <stp/>
        <stp>EM_S_VAL_PBGOODWILLDEDUCTED</stp>
        <stp>2</stp>
        <stp>603286</stp>
        <stp>12/31/2018</stp>
        <tr r="N1812" s="1"/>
      </tp>
      <tp>
        <v>1.2915244870217799</v>
        <stp/>
        <stp>EM_S_VAL_PBGOODWILLDEDUCTED</stp>
        <stp>2</stp>
        <stp>603299</stp>
        <stp>12/31/2018</stp>
        <tr r="N852" s="1"/>
      </tp>
      <tp>
        <v>1.90057364902555</v>
        <stp/>
        <stp>EM_S_VAL_PBGOODWILLDEDUCTED</stp>
        <stp>2</stp>
        <stp>603298</stp>
        <stp>12/31/2018</stp>
        <tr r="N1939" s="1"/>
      </tp>
      <tp>
        <v>1.9592940044762299</v>
        <stp/>
        <stp>EM_S_VAL_PBGOODWILLDEDUCTED</stp>
        <stp>2</stp>
        <stp>603208</stp>
        <stp>12/31/2018</stp>
        <tr r="N181" s="1"/>
      </tp>
      <tp>
        <v>3.56397846280273</v>
        <stp/>
        <stp>EM_S_VAL_PBGOODWILLDEDUCTED</stp>
        <stp>2</stp>
        <stp>603203</stp>
        <stp>12/31/2018</stp>
        <tr r="N761" s="1"/>
      </tp>
      <tp>
        <v>3.4801737178443699</v>
        <stp/>
        <stp>EM_S_VAL_PBGOODWILLDEDUCTED</stp>
        <stp>2</stp>
        <stp>603200</stp>
        <stp>12/31/2018</stp>
        <tr r="N3342" s="1"/>
      </tp>
      <tp>
        <v>2.26566318405657</v>
        <stp/>
        <stp>EM_S_VAL_PBGOODWILLDEDUCTED</stp>
        <stp>2</stp>
        <stp>603218</stp>
        <stp>12/31/2018</stp>
        <tr r="N1213" s="1"/>
      </tp>
      <tp>
        <v>4.21054126391771</v>
        <stp/>
        <stp>EM_S_VAL_PBGOODWILLDEDUCTED</stp>
        <stp>2</stp>
        <stp>603214</stp>
        <stp>12/31/2018</stp>
        <tr r="N1650" s="1"/>
      </tp>
      <tp>
        <v>3.0629246720699901</v>
        <stp/>
        <stp>EM_S_VAL_PBGOODWILLDEDUCTED</stp>
        <stp>2</stp>
        <stp>603229</stp>
        <stp>12/31/2018</stp>
        <tr r="N274" s="1"/>
      </tp>
      <tp>
        <v>5.2901213932190396</v>
        <stp/>
        <stp>EM_S_VAL_PBGOODWILLDEDUCTED</stp>
        <stp>2</stp>
        <stp>603228</stp>
        <stp>12/31/2018</stp>
        <tr r="N2805" s="1"/>
      </tp>
      <tp>
        <v>2.01216217795504</v>
        <stp/>
        <stp>EM_S_VAL_PBGOODWILLDEDUCTED</stp>
        <stp>2</stp>
        <stp>603223</stp>
        <stp>12/31/2018</stp>
        <tr r="N3307" s="1"/>
      </tp>
      <tp>
        <v>6.8224064666407802</v>
        <stp/>
        <stp>EM_S_VAL_PBGOODWILLDEDUCTED</stp>
        <stp>2</stp>
        <stp>603222</stp>
        <stp>12/31/2018</stp>
        <tr r="N29" s="1"/>
      </tp>
      <tp>
        <v>2.06141020623987</v>
        <stp/>
        <stp>EM_S_VAL_PBGOODWILLDEDUCTED</stp>
        <stp>2</stp>
        <stp>603227</stp>
        <stp>12/31/2018</stp>
        <tr r="N1007" s="1"/>
      </tp>
      <tp>
        <v>2.2628725168489798</v>
        <stp/>
        <stp>EM_S_VAL_PBGOODWILLDEDUCTED</stp>
        <stp>2</stp>
        <stp>603226</stp>
        <stp>12/31/2018</stp>
        <tr r="N1365" s="1"/>
      </tp>
      <tp>
        <v>2.0182223766802001</v>
        <stp/>
        <stp>EM_S_VAL_PBGOODWILLDEDUCTED</stp>
        <stp>2</stp>
        <stp>603225</stp>
        <stp>12/31/2018</stp>
        <tr r="N3262" s="1"/>
      </tp>
      <tp>
        <v>2.8738381592092099</v>
        <stp/>
        <stp>EM_S_VAL_PBGOODWILLDEDUCTED</stp>
        <stp>2</stp>
        <stp>603239</stp>
        <stp>12/31/2018</stp>
        <tr r="N1957" s="1"/>
      </tp>
      <tp>
        <v>3.2521472545484502</v>
        <stp/>
        <stp>EM_S_VAL_PBGOODWILLDEDUCTED</stp>
        <stp>2</stp>
        <stp>603238</stp>
        <stp>12/31/2018</stp>
        <tr r="N2678" s="1"/>
      </tp>
      <tp>
        <v>6.36740839946017</v>
        <stp/>
        <stp>EM_S_VAL_PBGOODWILLDEDUCTED</stp>
        <stp>2</stp>
        <stp>603233</stp>
        <stp>12/31/2018</stp>
        <tr r="N958" s="1"/>
      </tp>
      <tp>
        <v>3.1370244415225801</v>
        <stp/>
        <stp>EM_S_VAL_PBGOODWILLDEDUCTED</stp>
        <stp>2</stp>
        <stp>603232</stp>
        <stp>12/31/2018</stp>
        <tr r="N680" s="1"/>
      </tp>
      <tp>
        <v>5.2703583148155797</v>
        <stp/>
        <stp>EM_S_VAL_PBGOODWILLDEDUCTED</stp>
        <stp>2</stp>
        <stp>603259</stp>
        <stp>12/31/2018</stp>
        <tr r="N1205" s="1"/>
      </tp>
      <tp>
        <v>2.4185053579234799</v>
        <stp/>
        <stp>EM_S_VAL_PBGOODWILLDEDUCTED</stp>
        <stp>2</stp>
        <stp>603258</stp>
        <stp>12/31/2018</stp>
        <tr r="N727" s="1"/>
      </tp>
      <tp>
        <v>2.0480507677876099</v>
        <stp/>
        <stp>EM_S_VAL_PBGOODWILLDEDUCTED</stp>
        <stp>2</stp>
        <stp>603269</stp>
        <stp>12/31/2018</stp>
        <tr r="N2502" s="1"/>
      </tp>
      <tp>
        <v>6.4068108171657903</v>
        <stp/>
        <stp>EM_S_VAL_PBGOODWILLDEDUCTED</stp>
        <stp>2</stp>
        <stp>603268</stp>
        <stp>12/31/2018</stp>
        <tr r="N2529" s="1"/>
      </tp>
      <tp>
        <v>3.70191944627638</v>
        <stp/>
        <stp>EM_S_VAL_PBGOODWILLDEDUCTED</stp>
        <stp>2</stp>
        <stp>603260</stp>
        <stp>12/31/2018</stp>
        <tr r="N3246" s="1"/>
      </tp>
      <tp>
        <v>2.2772929173647101</v>
        <stp/>
        <stp>EM_S_VAL_PBGOODWILLDEDUCTED</stp>
        <stp>2</stp>
        <stp>603266</stp>
        <stp>12/31/2018</stp>
        <tr r="N2948" s="1"/>
      </tp>
      <tp>
        <v>2.0162920681632301</v>
        <stp/>
        <stp>EM_S_VAL_PBGOODWILLDEDUCTED</stp>
        <stp>2</stp>
        <stp>603278</stp>
        <stp>12/31/2018</stp>
        <tr r="N3255" s="1"/>
      </tp>
      <tp>
        <v>2.0436213717194298</v>
        <stp/>
        <stp>EM_S_VAL_PBGOODWILLDEDUCTED</stp>
        <stp>2</stp>
        <stp>603277</stp>
        <stp>12/31/2018</stp>
        <tr r="N1326" s="1"/>
      </tp>
      <tp>
        <v>4.1511444532055499</v>
        <stp/>
        <stp>EM_S_VAL_PBGOODWILLDEDUCTED</stp>
        <stp>2</stp>
        <stp>603989</stp>
        <stp>12/31/2018</stp>
        <tr r="N1726" s="1"/>
      </tp>
      <tp>
        <v>3.50393540261092</v>
        <stp/>
        <stp>EM_S_VAL_PBGOODWILLDEDUCTED</stp>
        <stp>2</stp>
        <stp>603988</stp>
        <stp>12/31/2018</stp>
        <tr r="N2544" s="1"/>
      </tp>
      <tp>
        <v>1.35494168460108</v>
        <stp/>
        <stp>EM_S_VAL_PBGOODWILLDEDUCTED</stp>
        <stp>2</stp>
        <stp>603980</stp>
        <stp>12/31/2018</stp>
        <tr r="N3238" s="1"/>
      </tp>
      <tp>
        <v>2.0665997396134199</v>
        <stp/>
        <stp>EM_S_VAL_PBGOODWILLDEDUCTED</stp>
        <stp>2</stp>
        <stp>603987</stp>
        <stp>12/31/2018</stp>
        <tr r="N1117" s="1"/>
      </tp>
      <tp>
        <v>9.35022922496041</v>
        <stp/>
        <stp>EM_S_VAL_PBGOODWILLDEDUCTED</stp>
        <stp>2</stp>
        <stp>603986</stp>
        <stp>12/31/2018</stp>
        <tr r="N35" s="1"/>
      </tp>
      <tp>
        <v>2.1986181632125601</v>
        <stp/>
        <stp>EM_S_VAL_PBGOODWILLDEDUCTED</stp>
        <stp>2</stp>
        <stp>603985</stp>
        <stp>12/31/2018</stp>
        <tr r="N3160" s="1"/>
      </tp>
      <tp>
        <v>1.6595884608139</v>
        <stp/>
        <stp>EM_S_VAL_PBGOODWILLDEDUCTED</stp>
        <stp>2</stp>
        <stp>603999</stp>
        <stp>12/31/2018</stp>
        <tr r="N473" s="1"/>
      </tp>
      <tp>
        <v>2.1182535929253499</v>
        <stp/>
        <stp>EM_S_VAL_PBGOODWILLDEDUCTED</stp>
        <stp>2</stp>
        <stp>603998</stp>
        <stp>12/31/2018</stp>
        <tr r="N287" s="1"/>
      </tp>
      <tp>
        <v>2.0165161383335599</v>
        <stp/>
        <stp>EM_S_VAL_PBGOODWILLDEDUCTED</stp>
        <stp>2</stp>
        <stp>603993</stp>
        <stp>12/31/2018</stp>
        <tr r="N1415" s="1"/>
      </tp>
      <tp>
        <v>2.7548833170407101</v>
        <stp/>
        <stp>EM_S_VAL_PBGOODWILLDEDUCTED</stp>
        <stp>2</stp>
        <stp>603991</stp>
        <stp>12/31/2018</stp>
        <tr r="N2590" s="1"/>
      </tp>
      <tp>
        <v>5.6093916864252096</v>
        <stp/>
        <stp>EM_S_VAL_PBGOODWILLDEDUCTED</stp>
        <stp>2</stp>
        <stp>603990</stp>
        <stp>12/31/2018</stp>
        <tr r="N2011" s="1"/>
      </tp>
      <tp>
        <v>2.6221378633978198</v>
        <stp/>
        <stp>EM_S_VAL_PBGOODWILLDEDUCTED</stp>
        <stp>2</stp>
        <stp>603997</stp>
        <stp>12/31/2018</stp>
        <tr r="N1914" s="1"/>
      </tp>
      <tp>
        <v>1.61319129189503</v>
        <stp/>
        <stp>EM_S_VAL_PBGOODWILLDEDUCTED</stp>
        <stp>2</stp>
        <stp>603996</stp>
        <stp>12/31/2018</stp>
        <tr r="N3243" s="1"/>
      </tp>
      <tp>
        <v>4.4489601654059401</v>
        <stp/>
        <stp>EM_S_VAL_PBGOODWILLDEDUCTED</stp>
        <stp>2</stp>
        <stp>603909</stp>
        <stp>12/31/2018</stp>
        <tr r="N3356" s="1"/>
      </tp>
      <tp>
        <v>3.5874947304020601</v>
        <stp/>
        <stp>EM_S_VAL_PBGOODWILLDEDUCTED</stp>
        <stp>2</stp>
        <stp>603908</stp>
        <stp>12/31/2018</stp>
        <tr r="N2189" s="1"/>
      </tp>
      <tp>
        <v>3.65971843708587</v>
        <stp/>
        <stp>EM_S_VAL_PBGOODWILLDEDUCTED</stp>
        <stp>2</stp>
        <stp>603903</stp>
        <stp>12/31/2018</stp>
        <tr r="N3225" s="1"/>
      </tp>
      <tp>
        <v>2.5527316771555402</v>
        <stp/>
        <stp>EM_S_VAL_PBGOODWILLDEDUCTED</stp>
        <stp>2</stp>
        <stp>603901</stp>
        <stp>12/31/2018</stp>
        <tr r="N415" s="1"/>
      </tp>
      <tp>
        <v>1.7094897842819501</v>
        <stp/>
        <stp>EM_S_VAL_PBGOODWILLDEDUCTED</stp>
        <stp>2</stp>
        <stp>603900</stp>
        <stp>12/31/2018</stp>
        <tr r="N3083" s="1"/>
      </tp>
      <tp>
        <v>2.0663612570007301</v>
        <stp/>
        <stp>EM_S_VAL_PBGOODWILLDEDUCTED</stp>
        <stp>2</stp>
        <stp>603906</stp>
        <stp>12/31/2018</stp>
        <tr r="N1119" s="1"/>
      </tp>
      <tp>
        <v>2.1271934293092301</v>
        <stp/>
        <stp>EM_S_VAL_PBGOODWILLDEDUCTED</stp>
        <stp>2</stp>
        <stp>603919</stp>
        <stp>12/31/2018</stp>
        <tr r="N540" s="1"/>
      </tp>
      <tp>
        <v>3.71288669767377</v>
        <stp/>
        <stp>EM_S_VAL_PBGOODWILLDEDUCTED</stp>
        <stp>2</stp>
        <stp>603918</stp>
        <stp>12/31/2018</stp>
        <tr r="N2585" s="1"/>
      </tp>
      <tp>
        <v>4.0116179556613298</v>
        <stp/>
        <stp>EM_S_VAL_PBGOODWILLDEDUCTED</stp>
        <stp>2</stp>
        <stp>603912</stp>
        <stp>12/31/2018</stp>
        <tr r="N2116" s="1"/>
      </tp>
      <tp>
        <v>2.0807651070963802</v>
        <stp/>
        <stp>EM_S_VAL_PBGOODWILLDEDUCTED</stp>
        <stp>2</stp>
        <stp>603917</stp>
        <stp>12/31/2018</stp>
        <tr r="N2852" s="1"/>
      </tp>
      <tp>
        <v>1.65851168885691</v>
        <stp/>
        <stp>EM_S_VAL_PBGOODWILLDEDUCTED</stp>
        <stp>2</stp>
        <stp>603916</stp>
        <stp>12/31/2018</stp>
        <tr r="N639" s="1"/>
      </tp>
      <tp>
        <v>2.8664511261668699</v>
        <stp/>
        <stp>EM_S_VAL_PBGOODWILLDEDUCTED</stp>
        <stp>2</stp>
        <stp>603929</stp>
        <stp>12/31/2018</stp>
        <tr r="N2220" s="1"/>
      </tp>
      <tp>
        <v>2.3325904055279998</v>
        <stp/>
        <stp>EM_S_VAL_PBGOODWILLDEDUCTED</stp>
        <stp>2</stp>
        <stp>603928</stp>
        <stp>12/31/2018</stp>
        <tr r="N2878" s="1"/>
      </tp>
      <tp>
        <v>1.76704572318483</v>
        <stp/>
        <stp>EM_S_VAL_PBGOODWILLDEDUCTED</stp>
        <stp>2</stp>
        <stp>603922</stp>
        <stp>12/31/2018</stp>
        <tr r="N2100" s="1"/>
      </tp>
      <tp>
        <v>2.03753016826722</v>
        <stp/>
        <stp>EM_S_VAL_PBGOODWILLDEDUCTED</stp>
        <stp>2</stp>
        <stp>603920</stp>
        <stp>12/31/2018</stp>
        <tr r="N354" s="1"/>
      </tp>
      <tp>
        <v>1.5594719309563201</v>
        <stp/>
        <stp>EM_S_VAL_PBGOODWILLDEDUCTED</stp>
        <stp>2</stp>
        <stp>603926</stp>
        <stp>12/31/2018</stp>
        <tr r="N2907" s="1"/>
      </tp>
      <tp>
        <v>11.8501566943791</v>
        <stp/>
        <stp>EM_S_VAL_PBGOODWILLDEDUCTED</stp>
        <stp>2</stp>
        <stp>603939</stp>
        <stp>12/31/2018</stp>
        <tr r="N285" s="1"/>
      </tp>
      <tp>
        <v>2.6804105415356698</v>
        <stp/>
        <stp>EM_S_VAL_PBGOODWILLDEDUCTED</stp>
        <stp>2</stp>
        <stp>603938</stp>
        <stp>12/31/2018</stp>
        <tr r="N1870" s="1"/>
      </tp>
      <tp>
        <v>2.56369868295161</v>
        <stp/>
        <stp>EM_S_VAL_PBGOODWILLDEDUCTED</stp>
        <stp>2</stp>
        <stp>603933</stp>
        <stp>12/31/2018</stp>
        <tr r="N2900" s="1"/>
      </tp>
      <tp>
        <v>1.7682856255482</v>
        <stp/>
        <stp>EM_S_VAL_PBGOODWILLDEDUCTED</stp>
        <stp>2</stp>
        <stp>603937</stp>
        <stp>12/31/2018</stp>
        <tr r="N2150" s="1"/>
      </tp>
      <tp>
        <v>2.4643963022439399</v>
        <stp/>
        <stp>EM_S_VAL_PBGOODWILLDEDUCTED</stp>
        <stp>2</stp>
        <stp>603936</stp>
        <stp>12/31/2018</stp>
        <tr r="N1179" s="1"/>
      </tp>
      <tp>
        <v>4.8783163757320098</v>
        <stp/>
        <stp>EM_S_VAL_PBGOODWILLDEDUCTED</stp>
        <stp>2</stp>
        <stp>603959</stp>
        <stp>12/31/2018</stp>
        <tr r="N3275" s="1"/>
      </tp>
      <tp>
        <v>1.7186714618258501</v>
        <stp/>
        <stp>EM_S_VAL_PBGOODWILLDEDUCTED</stp>
        <stp>2</stp>
        <stp>603958</stp>
        <stp>12/31/2018</stp>
        <tr r="N2677" s="1"/>
      </tp>
      <tp>
        <v>1.39725317514429</v>
        <stp/>
        <stp>EM_S_VAL_PBGOODWILLDEDUCTED</stp>
        <stp>2</stp>
        <stp>603955</stp>
        <stp>12/31/2018</stp>
        <tr r="N1547" s="1"/>
      </tp>
      <tp>
        <v>2.2700732963224999</v>
        <stp/>
        <stp>EM_S_VAL_PBGOODWILLDEDUCTED</stp>
        <stp>2</stp>
        <stp>603969</stp>
        <stp>12/31/2018</stp>
        <tr r="N2760" s="1"/>
      </tp>
      <tp>
        <v>1.7879231981738399</v>
        <stp/>
        <stp>EM_S_VAL_PBGOODWILLDEDUCTED</stp>
        <stp>2</stp>
        <stp>603968</stp>
        <stp>12/31/2018</stp>
        <tr r="N1405" s="1"/>
      </tp>
      <tp>
        <v>3.2939224238497302</v>
        <stp/>
        <stp>EM_S_VAL_PBGOODWILLDEDUCTED</stp>
        <stp>2</stp>
        <stp>603963</stp>
        <stp>12/31/2018</stp>
        <tr r="N2617" s="1"/>
      </tp>
      <tp>
        <v>10.2476629959954</v>
        <stp/>
        <stp>EM_S_VAL_PBGOODWILLDEDUCTED</stp>
        <stp>2</stp>
        <stp>603960</stp>
        <stp>12/31/2018</stp>
        <tr r="N1420" s="1"/>
      </tp>
      <tp>
        <v>3.4096960675936701</v>
        <stp/>
        <stp>EM_S_VAL_PBGOODWILLDEDUCTED</stp>
        <stp>2</stp>
        <stp>603966</stp>
        <stp>12/31/2018</stp>
        <tr r="N1319" s="1"/>
      </tp>
      <tp>
        <v>1.0811580323324199</v>
        <stp/>
        <stp>EM_S_VAL_PBGOODWILLDEDUCTED</stp>
        <stp>2</stp>
        <stp>603979</stp>
        <stp>12/31/2018</stp>
        <tr r="N1297" s="1"/>
      </tp>
      <tp>
        <v>2.1365624808514299</v>
        <stp/>
        <stp>EM_S_VAL_PBGOODWILLDEDUCTED</stp>
        <stp>2</stp>
        <stp>603978</stp>
        <stp>12/31/2018</stp>
        <tr r="N780" s="1"/>
      </tp>
      <tp>
        <v>2.8590428844668501</v>
        <stp/>
        <stp>EM_S_VAL_PBGOODWILLDEDUCTED</stp>
        <stp>2</stp>
        <stp>603970</stp>
        <stp>12/31/2018</stp>
        <tr r="N3016" s="1"/>
      </tp>
      <tp>
        <v>1.8290318115272299</v>
        <stp/>
        <stp>EM_S_VAL_PBGOODWILLDEDUCTED</stp>
        <stp>2</stp>
        <stp>603977</stp>
        <stp>12/31/2018</stp>
        <tr r="N1382" s="1"/>
      </tp>
      <tp>
        <v>2.4969725172242301</v>
        <stp/>
        <stp>EM_S_VAL_PBGOODWILLDEDUCTED</stp>
        <stp>2</stp>
        <stp>603976</stp>
        <stp>12/31/2018</stp>
        <tr r="N1880" s="1"/>
      </tp>
      <tp>
        <v>1.4576680453120101</v>
        <stp/>
        <stp>EM_S_VAL_PBGOODWILLDEDUCTED</stp>
        <stp>2</stp>
        <stp>603889</stp>
        <stp>12/31/2018</stp>
        <tr r="N3265" s="1"/>
      </tp>
      <tp>
        <v>2.3518996895530502</v>
        <stp/>
        <stp>EM_S_VAL_PBGOODWILLDEDUCTED</stp>
        <stp>2</stp>
        <stp>603888</stp>
        <stp>12/31/2018</stp>
        <tr r="N402" s="1"/>
      </tp>
      <tp>
        <v>12.705987578112</v>
        <stp/>
        <stp>EM_S_VAL_PBGOODWILLDEDUCTED</stp>
        <stp>2</stp>
        <stp>603883</stp>
        <stp>12/31/2018</stp>
        <tr r="N819" s="1"/>
      </tp>
      <tp>
        <v>5.39208105967582</v>
        <stp/>
        <stp>EM_S_VAL_PBGOODWILLDEDUCTED</stp>
        <stp>2</stp>
        <stp>603882</stp>
        <stp>12/31/2018</stp>
        <tr r="N116" s="1"/>
      </tp>
      <tp>
        <v>5.2833200374220999</v>
        <stp/>
        <stp>EM_S_VAL_PBGOODWILLDEDUCTED</stp>
        <stp>2</stp>
        <stp>603881</stp>
        <stp>12/31/2018</stp>
        <tr r="N513" s="1"/>
      </tp>
      <tp>
        <v>2.7717431159894002</v>
        <stp/>
        <stp>EM_S_VAL_PBGOODWILLDEDUCTED</stp>
        <stp>2</stp>
        <stp>603880</stp>
        <stp>12/31/2018</stp>
        <tr r="N2774" s="1"/>
      </tp>
      <tp>
        <v>2.3496609707708198</v>
        <stp/>
        <stp>EM_S_VAL_PBGOODWILLDEDUCTED</stp>
        <stp>2</stp>
        <stp>603887</stp>
        <stp>12/31/2018</stp>
        <tr r="N293" s="1"/>
      </tp>
      <tp>
        <v>3.1073534800879701</v>
        <stp/>
        <stp>EM_S_VAL_PBGOODWILLDEDUCTED</stp>
        <stp>2</stp>
        <stp>603886</stp>
        <stp>12/31/2018</stp>
        <tr r="N2380" s="1"/>
      </tp>
      <tp>
        <v>2.3880223247563701</v>
        <stp/>
        <stp>EM_S_VAL_PBGOODWILLDEDUCTED</stp>
        <stp>2</stp>
        <stp>603885</stp>
        <stp>12/31/2018</stp>
        <tr r="N1184" s="1"/>
      </tp>
      <tp>
        <v>8.1596692901843504</v>
        <stp/>
        <stp>EM_S_VAL_PBGOODWILLDEDUCTED</stp>
        <stp>2</stp>
        <stp>603899</stp>
        <stp>12/31/2018</stp>
        <tr r="N439" s="1"/>
      </tp>
      <tp>
        <v>2.1240585141517201</v>
        <stp/>
        <stp>EM_S_VAL_PBGOODWILLDEDUCTED</stp>
        <stp>2</stp>
        <stp>603898</stp>
        <stp>12/31/2018</stp>
        <tr r="N2001" s="1"/>
      </tp>
      <tp>
        <v>1.6057611710486299</v>
        <stp/>
        <stp>EM_S_VAL_PBGOODWILLDEDUCTED</stp>
        <stp>2</stp>
        <stp>603890</stp>
        <stp>12/31/2018</stp>
        <tr r="N2755" s="1"/>
      </tp>
      <tp>
        <v>2.4185878228353599</v>
        <stp/>
        <stp>EM_S_VAL_PBGOODWILLDEDUCTED</stp>
        <stp>2</stp>
        <stp>603897</stp>
        <stp>12/31/2018</stp>
        <tr r="N2927" s="1"/>
      </tp>
      <tp>
        <v>3.8528675136037398</v>
        <stp/>
        <stp>EM_S_VAL_PBGOODWILLDEDUCTED</stp>
        <stp>2</stp>
        <stp>603896</stp>
        <stp>12/31/2018</stp>
        <tr r="N1605" s="1"/>
      </tp>
      <tp>
        <v>4.4570123666416404</v>
        <stp/>
        <stp>EM_S_VAL_PBGOODWILLDEDUCTED</stp>
        <stp>2</stp>
        <stp>603895</stp>
        <stp>12/31/2018</stp>
        <tr r="N2804" s="1"/>
      </tp>
      <tp>
        <v>1.4407824592376799</v>
        <stp/>
        <stp>EM_S_VAL_PBGOODWILLDEDUCTED</stp>
        <stp>2</stp>
        <stp>603809</stp>
        <stp>12/31/2018</stp>
        <tr r="N3285" s="1"/>
      </tp>
      <tp>
        <v>3.06661453208137</v>
        <stp/>
        <stp>EM_S_VAL_PBGOODWILLDEDUCTED</stp>
        <stp>2</stp>
        <stp>603808</stp>
        <stp>12/31/2018</stp>
        <tr r="N2714" s="1"/>
      </tp>
      <tp>
        <v>1.72090434074467</v>
        <stp/>
        <stp>EM_S_VAL_PBGOODWILLDEDUCTED</stp>
        <stp>2</stp>
        <stp>603803</stp>
        <stp>12/31/2018</stp>
        <tr r="N1040" s="1"/>
      </tp>
      <tp>
        <v>2.0518081058778099</v>
        <stp/>
        <stp>EM_S_VAL_PBGOODWILLDEDUCTED</stp>
        <stp>2</stp>
        <stp>603801</stp>
        <stp>12/31/2018</stp>
        <tr r="N2581" s="1"/>
      </tp>
      <tp>
        <v>2.3271646615364601</v>
        <stp/>
        <stp>EM_S_VAL_PBGOODWILLDEDUCTED</stp>
        <stp>2</stp>
        <stp>603800</stp>
        <stp>12/31/2018</stp>
        <tr r="N1378" s="1"/>
      </tp>
      <tp>
        <v>2.52177893431982</v>
        <stp/>
        <stp>EM_S_VAL_PBGOODWILLDEDUCTED</stp>
        <stp>2</stp>
        <stp>603806</stp>
        <stp>12/31/2018</stp>
        <tr r="N249" s="1"/>
      </tp>
      <tp>
        <v>2.5027101081782601</v>
        <stp/>
        <stp>EM_S_VAL_PBGOODWILLDEDUCTED</stp>
        <stp>2</stp>
        <stp>603819</stp>
        <stp>12/31/2018</stp>
        <tr r="N2892" s="1"/>
      </tp>
      <tp>
        <v>43.009011762646502</v>
        <stp/>
        <stp>EM_S_VAL_PBGOODWILLDEDUCTED</stp>
        <stp>2</stp>
        <stp>603818</stp>
        <stp>12/31/2018</stp>
        <tr r="N1096" s="1"/>
      </tp>
      <tp>
        <v>2.7198076797900099</v>
        <stp/>
        <stp>EM_S_VAL_PBGOODWILLDEDUCTED</stp>
        <stp>2</stp>
        <stp>603813</stp>
        <stp>12/31/2018</stp>
        <tr r="N2153" s="1"/>
      </tp>
      <tp>
        <v>2.9758179477858699</v>
        <stp/>
        <stp>EM_S_VAL_PBGOODWILLDEDUCTED</stp>
        <stp>2</stp>
        <stp>603811</stp>
        <stp>12/31/2018</stp>
        <tr r="N503" s="1"/>
      </tp>
      <tp>
        <v>1.77762876429661</v>
        <stp/>
        <stp>EM_S_VAL_PBGOODWILLDEDUCTED</stp>
        <stp>2</stp>
        <stp>603817</stp>
        <stp>12/31/2018</stp>
        <tr r="N1638" s="1"/>
      </tp>
      <tp>
        <v>5.5025084737420302</v>
        <stp/>
        <stp>EM_S_VAL_PBGOODWILLDEDUCTED</stp>
        <stp>2</stp>
        <stp>603816</stp>
        <stp>12/31/2018</stp>
        <tr r="N2230" s="1"/>
      </tp>
      <tp>
        <v>2.3262242325583999</v>
        <stp/>
        <stp>EM_S_VAL_PBGOODWILLDEDUCTED</stp>
        <stp>2</stp>
        <stp>603829</stp>
        <stp>12/31/2018</stp>
        <tr r="N1573" s="1"/>
      </tp>
      <tp>
        <v>3.3927451679487102</v>
        <stp/>
        <stp>EM_S_VAL_PBGOODWILLDEDUCTED</stp>
        <stp>2</stp>
        <stp>603828</stp>
        <stp>12/31/2018</stp>
        <tr r="N3237" s="1"/>
      </tp>
      <tp>
        <v>2.4340513377520701</v>
        <stp/>
        <stp>EM_S_VAL_PBGOODWILLDEDUCTED</stp>
        <stp>2</stp>
        <stp>603823</stp>
        <stp>12/31/2018</stp>
        <tr r="N322" s="1"/>
      </tp>
      <tp>
        <v>2.6990624253382598</v>
        <stp/>
        <stp>EM_S_VAL_PBGOODWILLDEDUCTED</stp>
        <stp>2</stp>
        <stp>603822</stp>
        <stp>12/31/2018</stp>
        <tr r="N1362" s="1"/>
      </tp>
      <tp>
        <v>5.0320841184375702</v>
        <stp/>
        <stp>EM_S_VAL_PBGOODWILLDEDUCTED</stp>
        <stp>2</stp>
        <stp>603826</stp>
        <stp>12/31/2018</stp>
        <tr r="N1431" s="1"/>
      </tp>
      <tp>
        <v>2.5401006412029399</v>
        <stp/>
        <stp>EM_S_VAL_PBGOODWILLDEDUCTED</stp>
        <stp>2</stp>
        <stp>603825</stp>
        <stp>12/31/2018</stp>
        <tr r="N901" s="1"/>
      </tp>
      <tp>
        <v>1.7763817399620501</v>
        <stp/>
        <stp>EM_S_VAL_PBGOODWILLDEDUCTED</stp>
        <stp>2</stp>
        <stp>603839</stp>
        <stp>12/31/2018</stp>
        <tr r="N1152" s="1"/>
      </tp>
      <tp>
        <v>3.4990043884834199</v>
        <stp/>
        <stp>EM_S_VAL_PBGOODWILLDEDUCTED</stp>
        <stp>2</stp>
        <stp>603838</stp>
        <stp>12/31/2018</stp>
        <tr r="N2880" s="1"/>
      </tp>
      <tp>
        <v>4.4313250961140103</v>
        <stp/>
        <stp>EM_S_VAL_PBGOODWILLDEDUCTED</stp>
        <stp>2</stp>
        <stp>603833</stp>
        <stp>12/31/2018</stp>
        <tr r="N634" s="1"/>
      </tp>
      <tp>
        <v>4.7094951368845503</v>
        <stp/>
        <stp>EM_S_VAL_PBGOODWILLDEDUCTED</stp>
        <stp>2</stp>
        <stp>603848</stp>
        <stp>12/31/2018</stp>
        <tr r="N2703" s="1"/>
      </tp>
      <tp>
        <v>2.40614297512984</v>
        <stp/>
        <stp>EM_S_VAL_PBGOODWILLDEDUCTED</stp>
        <stp>2</stp>
        <stp>603843</stp>
        <stp>12/31/2018</stp>
        <tr r="N3316" s="1"/>
      </tp>
      <tp>
        <v>2.8145492824646201</v>
        <stp/>
        <stp>EM_S_VAL_PBGOODWILLDEDUCTED</stp>
        <stp>2</stp>
        <stp>603859</stp>
        <stp>12/31/2018</stp>
        <tr r="N443" s="1"/>
      </tp>
      <tp>
        <v>2.5684236376627299</v>
        <stp/>
        <stp>EM_S_VAL_PBGOODWILLDEDUCTED</stp>
        <stp>2</stp>
        <stp>603858</stp>
        <stp>12/31/2018</stp>
        <tr r="N3059" s="1"/>
      </tp>
      <tp>
        <v>2.0815047346053701</v>
        <stp/>
        <stp>EM_S_VAL_PBGOODWILLDEDUCTED</stp>
        <stp>2</stp>
        <stp>603856</stp>
        <stp>12/31/2018</stp>
        <tr r="N2996" s="1"/>
      </tp>
      <tp>
        <v>1.80811336049547</v>
        <stp/>
        <stp>EM_S_VAL_PBGOODWILLDEDUCTED</stp>
        <stp>2</stp>
        <stp>603855</stp>
        <stp>12/31/2018</stp>
        <tr r="N1126" s="1"/>
      </tp>
      <tp>
        <v>1.6424367988089701</v>
        <stp/>
        <stp>EM_S_VAL_PBGOODWILLDEDUCTED</stp>
        <stp>2</stp>
        <stp>603869</stp>
        <stp>12/31/2018</stp>
        <tr r="N3074" s="1"/>
      </tp>
      <tp>
        <v>6.3924587204290697</v>
        <stp/>
        <stp>EM_S_VAL_PBGOODWILLDEDUCTED</stp>
        <stp>2</stp>
        <stp>603868</stp>
        <stp>12/31/2018</stp>
        <tr r="N2443" s="1"/>
      </tp>
      <tp>
        <v>2.2104528256388898</v>
        <stp/>
        <stp>EM_S_VAL_PBGOODWILLDEDUCTED</stp>
        <stp>2</stp>
        <stp>603861</stp>
        <stp>12/31/2018</stp>
        <tr r="N3153" s="1"/>
      </tp>
      <tp>
        <v>2.6858902925263899</v>
        <stp/>
        <stp>EM_S_VAL_PBGOODWILLDEDUCTED</stp>
        <stp>2</stp>
        <stp>603860</stp>
        <stp>12/31/2018</stp>
        <tr r="N1627" s="1"/>
      </tp>
      <tp>
        <v>6.2118743359964101</v>
        <stp/>
        <stp>EM_S_VAL_PBGOODWILLDEDUCTED</stp>
        <stp>2</stp>
        <stp>603866</stp>
        <stp>12/31/2018</stp>
        <tr r="N2655" s="1"/>
      </tp>
      <tp>
        <v>2.61366209599348</v>
        <stp/>
        <stp>EM_S_VAL_PBGOODWILLDEDUCTED</stp>
        <stp>2</stp>
        <stp>603879</stp>
        <stp>12/31/2018</stp>
        <tr r="N1251" s="1"/>
      </tp>
      <tp>
        <v>1.07016981588375</v>
        <stp/>
        <stp>EM_S_VAL_PBGOODWILLDEDUCTED</stp>
        <stp>2</stp>
        <stp>603878</stp>
        <stp>12/31/2018</stp>
        <tr r="N2363" s="1"/>
      </tp>
      <tp>
        <v>2.5522744886760602</v>
        <stp/>
        <stp>EM_S_VAL_PBGOODWILLDEDUCTED</stp>
        <stp>2</stp>
        <stp>603871</stp>
        <stp>12/31/2018</stp>
        <tr r="N2770" s="1"/>
      </tp>
      <tp>
        <v>2.55254383376323</v>
        <stp/>
        <stp>EM_S_VAL_PBGOODWILLDEDUCTED</stp>
        <stp>2</stp>
        <stp>603877</stp>
        <stp>12/31/2018</stp>
        <tr r="N2990" s="1"/>
      </tp>
      <tp>
        <v>2.35742058571901</v>
        <stp/>
        <stp>EM_S_VAL_PBGOODWILLDEDUCTED</stp>
        <stp>2</stp>
        <stp>603876</stp>
        <stp>12/31/2018</stp>
        <tr r="N2926" s="1"/>
      </tp>
      <tp>
        <v>165.98412397999999</v>
        <stp/>
        <stp>EM_S_PQ_PCTCHANGE</stp>
        <stp>4</stp>
        <stp>000858</stp>
        <stp>2019-01-01</stp>
        <stp>2019-12-31</stp>
        <stp>3</stp>
        <tr r="G65" s="1"/>
      </tp>
      <tp>
        <v>38.63489508</v>
        <stp/>
        <stp>EM_S_PQ_PCTCHANGE</stp>
        <stp>4</stp>
        <stp>601838</stp>
        <stp>2018-01-01</stp>
        <stp>2019-12-31</stp>
        <stp>3</stp>
        <tr r="F1663" s="1"/>
      </tp>
      <tp>
        <v>72.588128179999998</v>
        <stp/>
        <stp>EM_S_PQ_PCTCHANGE</stp>
        <stp>4</stp>
        <stp>000858</stp>
        <stp>2018-01-01</stp>
        <stp>2019-12-31</stp>
        <stp>3</stp>
        <tr r="F65" s="1"/>
      </tp>
      <tp>
        <v>-33.803330469999999</v>
        <stp/>
        <stp>EM_S_PQ_PCTCHANGE</stp>
        <stp>4</stp>
        <stp>600838</stp>
        <stp>2018-01-01</stp>
        <stp>2019-12-31</stp>
        <stp>3</stp>
        <tr r="F1970" s="1"/>
      </tp>
      <tp>
        <v>-31.618693629999999</v>
        <stp/>
        <stp>EM_S_PQ_PCTCHANGE</stp>
        <stp>4</stp>
        <stp>603838</stp>
        <stp>2018-01-01</stp>
        <stp>2019-12-31</stp>
        <stp>3</stp>
        <tr r="F2880" s="1"/>
      </tp>
      <tp>
        <v>-22.11412004</v>
        <stp/>
        <stp>EM_S_PQ_PCTCHANGE</stp>
        <stp>4</stp>
        <stp>002858</stp>
        <stp>2018-01-01</stp>
        <stp>2019-12-31</stp>
        <stp>3</stp>
        <tr r="F1816" s="1"/>
      </tp>
      <tp>
        <v>36.277423540000001</v>
        <stp/>
        <stp>EM_S_PQ_PCTCHANGE</stp>
        <stp>4</stp>
        <stp>000859</stp>
        <stp>2018-01-01</stp>
        <stp>2019-12-31</stp>
        <stp>3</stp>
        <tr r="F151" s="1"/>
      </tp>
      <tp>
        <v>-15.44072266</v>
        <stp/>
        <stp>EM_S_PQ_PCTCHANGE</stp>
        <stp>4</stp>
        <stp>600839</stp>
        <stp>2018-01-01</stp>
        <stp>2019-12-31</stp>
        <stp>3</stp>
        <tr r="F1139" s="1"/>
      </tp>
      <tp>
        <v>-21.48040782</v>
        <stp/>
        <stp>EM_S_PQ_PCTCHANGE</stp>
        <stp>4</stp>
        <stp>603839</stp>
        <stp>2018-01-01</stp>
        <stp>2019-12-31</stp>
        <stp>3</stp>
        <tr r="F1152" s="1"/>
      </tp>
      <tp>
        <v>-1.2024948799999999</v>
        <stp/>
        <stp>EM_S_PQ_PCTCHANGE</stp>
        <stp>4</stp>
        <stp>002859</stp>
        <stp>2018-01-01</stp>
        <stp>2019-12-31</stp>
        <stp>3</stp>
        <tr r="F1645" s="1"/>
      </tp>
      <tp>
        <v>-9.3192544000000002</v>
        <stp/>
        <stp>EM_S_PQ_PCTCHANGE</stp>
        <stp>4</stp>
        <stp>000850</stp>
        <stp>2018-01-01</stp>
        <stp>2019-12-31</stp>
        <stp>3</stp>
        <tr r="F1049" s="1"/>
      </tp>
      <tp>
        <v>-41.374269169999998</v>
        <stp/>
        <stp>EM_S_PQ_PCTCHANGE</stp>
        <stp>4</stp>
        <stp>600830</stp>
        <stp>2018-01-01</stp>
        <stp>2019-12-31</stp>
        <stp>3</stp>
        <tr r="F1448" s="1"/>
      </tp>
      <tp>
        <v>8.5425189699999997</v>
        <stp/>
        <stp>EM_S_PQ_PCTCHANGE</stp>
        <stp>4</stp>
        <stp>002850</stp>
        <stp>2018-01-01</stp>
        <stp>2019-12-31</stp>
        <stp>3</stp>
        <tr r="F87" s="1"/>
      </tp>
      <tp>
        <v>-5.2902099099999997</v>
        <stp/>
        <stp>EM_S_PQ_PCTCHANGE</stp>
        <stp>4</stp>
        <stp>000851</stp>
        <stp>2018-01-01</stp>
        <stp>2019-12-31</stp>
        <stp>3</stp>
        <tr r="F1159" s="1"/>
      </tp>
      <tp>
        <v>14.010462199999999</v>
        <stp/>
        <stp>EM_S_PQ_PCTCHANGE</stp>
        <stp>4</stp>
        <stp>600831</stp>
        <stp>2018-01-01</stp>
        <stp>2019-12-31</stp>
        <stp>3</stp>
        <tr r="F788" s="1"/>
      </tp>
      <tp>
        <v>36.891679099999998</v>
        <stp/>
        <stp>EM_S_PQ_PCTCHANGE</stp>
        <stp>4</stp>
        <stp>002851</stp>
        <stp>2018-01-01</stp>
        <stp>2019-12-31</stp>
        <stp>3</stp>
        <tr r="F2406" s="1"/>
      </tp>
      <tp>
        <v>-14.89548235</v>
        <stp/>
        <stp>EM_S_PQ_PCTCHANGE</stp>
        <stp>4</stp>
        <stp>000852</stp>
        <stp>2018-01-01</stp>
        <stp>2019-12-31</stp>
        <stp>3</stp>
        <tr r="F2811" s="1"/>
      </tp>
      <tp>
        <v>0</v>
        <stp/>
        <stp>EM_S_PQ_PCTCHANGE</stp>
        <stp>4</stp>
        <stp>600832</stp>
        <stp>2018-01-01</stp>
        <stp>2019-12-31</stp>
        <stp>3</stp>
        <tr r="F2328" s="1"/>
      </tp>
      <tp>
        <v>-28.464232899999999</v>
        <stp/>
        <stp>EM_S_PQ_PCTCHANGE</stp>
        <stp>4</stp>
        <stp>002852</stp>
        <stp>2018-01-01</stp>
        <stp>2019-12-31</stp>
        <stp>3</stp>
        <tr r="F1784" s="1"/>
      </tp>
      <tp>
        <v>-31.467909599999999</v>
        <stp/>
        <stp>EM_S_PQ_PCTCHANGE</stp>
        <stp>4</stp>
        <stp>600833</stp>
        <stp>2018-01-01</stp>
        <stp>2019-12-31</stp>
        <stp>3</stp>
        <tr r="F2110" s="1"/>
      </tp>
      <tp>
        <v>0.63177274000000005</v>
        <stp/>
        <stp>EM_S_PQ_PCTCHANGE</stp>
        <stp>4</stp>
        <stp>603833</stp>
        <stp>2018-01-01</stp>
        <stp>2019-12-31</stp>
        <stp>3</stp>
        <tr r="F634" s="1"/>
      </tp>
      <tp>
        <v>-44.170767959999999</v>
        <stp/>
        <stp>EM_S_PQ_PCTCHANGE</stp>
        <stp>4</stp>
        <stp>002853</stp>
        <stp>2018-01-01</stp>
        <stp>2019-12-31</stp>
        <stp>3</stp>
        <tr r="F2233" s="1"/>
      </tp>
      <tp>
        <v>-23.214187129999999</v>
        <stp/>
        <stp>EM_S_PQ_PCTCHANGE</stp>
        <stp>4</stp>
        <stp>600834</stp>
        <stp>2018-01-01</stp>
        <stp>2019-12-31</stp>
        <stp>3</stp>
        <tr r="F1990" s="1"/>
      </tp>
      <tp>
        <v>-28.711017729999998</v>
        <stp/>
        <stp>EM_S_PQ_PCTCHANGE</stp>
        <stp>4</stp>
        <stp>600835</stp>
        <stp>2018-01-01</stp>
        <stp>2019-12-31</stp>
        <stp>3</stp>
        <tr r="F1537" s="1"/>
      </tp>
      <tp>
        <v>2.0129446999999998</v>
        <stp/>
        <stp>EM_S_PQ_PCTCHANGE</stp>
        <stp>4</stp>
        <stp>002855</stp>
        <stp>2018-01-01</stp>
        <stp>2019-12-31</stp>
        <stp>3</stp>
        <tr r="F475" s="1"/>
      </tp>
      <tp>
        <v>-47.437774519999998</v>
        <stp/>
        <stp>EM_S_PQ_PCTCHANGE</stp>
        <stp>4</stp>
        <stp>000856</stp>
        <stp>2018-01-01</stp>
        <stp>2019-12-31</stp>
        <stp>3</stp>
        <tr r="F3157" s="1"/>
      </tp>
      <tp>
        <v>-1.9464851599999999</v>
        <stp/>
        <stp>EM_S_PQ_PCTCHANGE</stp>
        <stp>4</stp>
        <stp>600836</stp>
        <stp>2018-01-01</stp>
        <stp>2019-12-31</stp>
        <stp>3</stp>
        <tr r="F857" s="1"/>
      </tp>
      <tp>
        <v>-49.416465029999998</v>
        <stp/>
        <stp>EM_S_PQ_PCTCHANGE</stp>
        <stp>4</stp>
        <stp>002856</stp>
        <stp>2018-01-01</stp>
        <stp>2019-12-31</stp>
        <stp>3</stp>
        <tr r="F2870" s="1"/>
      </tp>
      <tp>
        <v>24.44395652</v>
        <stp/>
        <stp>EM_S_PQ_PCTCHANGE</stp>
        <stp>4</stp>
        <stp>600837</stp>
        <stp>2018-01-01</stp>
        <stp>2019-12-31</stp>
        <stp>3</stp>
        <tr r="F260" s="1"/>
      </tp>
      <tp>
        <v>-27.81050888</v>
        <stp/>
        <stp>EM_S_PQ_PCTCHANGE</stp>
        <stp>4</stp>
        <stp>002857</stp>
        <stp>2018-01-01</stp>
        <stp>2019-12-31</stp>
        <stp>3</stp>
        <tr r="F2140" s="1"/>
      </tp>
      <tp>
        <v>15.57436757</v>
        <stp/>
        <stp>EM_S_PQ_PCTCHANGE</stp>
        <stp>4</stp>
        <stp>601828</stp>
        <stp>2018-01-01</stp>
        <stp>2019-12-31</stp>
        <stp>3</stp>
        <tr r="F2154" s="1"/>
      </tp>
      <tp>
        <v>-8.2922057299999992</v>
        <stp/>
        <stp>EM_S_PQ_PCTCHANGE</stp>
        <stp>4</stp>
        <stp>000848</stp>
        <stp>2018-01-01</stp>
        <stp>2019-12-31</stp>
        <stp>3</stp>
        <tr r="F2428" s="1"/>
      </tp>
      <tp>
        <v>-17.778273850000001</v>
        <stp/>
        <stp>EM_S_PQ_PCTCHANGE</stp>
        <stp>4</stp>
        <stp>600828</stp>
        <stp>2018-01-01</stp>
        <stp>2019-12-31</stp>
        <stp>3</stp>
        <tr r="F2265" s="1"/>
      </tp>
      <tp>
        <v>-11.01206417</v>
        <stp/>
        <stp>EM_S_PQ_PCTCHANGE</stp>
        <stp>4</stp>
        <stp>603828</stp>
        <stp>2018-01-01</stp>
        <stp>2019-12-31</stp>
        <stp>3</stp>
        <tr r="F3237" s="1"/>
      </tp>
      <tp>
        <v>-17.688831499999999</v>
        <stp/>
        <stp>EM_S_PQ_PCTCHANGE</stp>
        <stp>4</stp>
        <stp>002848</stp>
        <stp>2018-01-01</stp>
        <stp>2019-12-31</stp>
        <stp>3</stp>
        <tr r="F1699" s="1"/>
      </tp>
      <tp>
        <v>-41.684635800000002</v>
        <stp/>
        <stp>EM_S_PQ_PCTCHANGE</stp>
        <stp>4</stp>
        <stp>600829</stp>
        <stp>2018-01-01</stp>
        <stp>2019-12-31</stp>
        <stp>3</stp>
        <tr r="F1485" s="1"/>
      </tp>
      <tp>
        <v>-39.571955539999998</v>
        <stp/>
        <stp>EM_S_PQ_PCTCHANGE</stp>
        <stp>4</stp>
        <stp>603829</stp>
        <stp>2018-01-01</stp>
        <stp>2019-12-31</stp>
        <stp>3</stp>
        <tr r="F1573" s="1"/>
      </tp>
      <tp>
        <v>-25.09922504</v>
        <stp/>
        <stp>EM_S_PQ_PCTCHANGE</stp>
        <stp>4</stp>
        <stp>002849</stp>
        <stp>2018-01-01</stp>
        <stp>2019-12-31</stp>
        <stp>3</stp>
        <tr r="F2282" s="1"/>
      </tp>
      <tp>
        <v>-23.261555130000001</v>
        <stp/>
        <stp>EM_S_PQ_PCTCHANGE</stp>
        <stp>4</stp>
        <stp>600820</stp>
        <stp>2018-01-01</stp>
        <stp>2019-12-31</stp>
        <stp>3</stp>
        <tr r="F2521" s="1"/>
      </tp>
      <tp>
        <v>-38.362610330000003</v>
        <stp/>
        <stp>EM_S_PQ_PCTCHANGE</stp>
        <stp>4</stp>
        <stp>002840</stp>
        <stp>2018-01-01</stp>
        <stp>2019-12-31</stp>
        <stp>3</stp>
        <tr r="F1148" s="1"/>
      </tp>
      <tp>
        <v>-33.956834530000002</v>
        <stp/>
        <stp>EM_S_PQ_PCTCHANGE</stp>
        <stp>4</stp>
        <stp>600821</stp>
        <stp>2018-01-01</stp>
        <stp>2019-12-31</stp>
        <stp>3</stp>
        <tr r="F1516" s="1"/>
      </tp>
      <tp>
        <v>91.744726799999995</v>
        <stp/>
        <stp>EM_S_PQ_PCTCHANGE</stp>
        <stp>4</stp>
        <stp>002841</stp>
        <stp>2018-01-01</stp>
        <stp>2019-12-31</stp>
        <stp>3</stp>
        <tr r="F563" s="1"/>
      </tp>
      <tp>
        <v>-22.103658540000001</v>
        <stp/>
        <stp>EM_S_PQ_PCTCHANGE</stp>
        <stp>4</stp>
        <stp>600822</stp>
        <stp>2018-01-01</stp>
        <stp>2019-12-31</stp>
        <stp>3</stp>
        <tr r="F1393" s="1"/>
      </tp>
      <tp>
        <v>-20.471909579999998</v>
        <stp/>
        <stp>EM_S_PQ_PCTCHANGE</stp>
        <stp>4</stp>
        <stp>603822</stp>
        <stp>2018-01-01</stp>
        <stp>2019-12-31</stp>
        <stp>3</stp>
        <tr r="F1362" s="1"/>
      </tp>
      <tp>
        <v>-19.71951297</v>
        <stp/>
        <stp>EM_S_PQ_PCTCHANGE</stp>
        <stp>4</stp>
        <stp>002842</stp>
        <stp>2018-01-01</stp>
        <stp>2019-12-31</stp>
        <stp>3</stp>
        <tr r="F2843" s="1"/>
      </tp>
      <tp>
        <v>-1.75825947</v>
        <stp/>
        <stp>EM_S_PQ_PCTCHANGE</stp>
        <stp>4</stp>
        <stp>600823</stp>
        <stp>2018-01-01</stp>
        <stp>2019-12-31</stp>
        <stp>3</stp>
        <tr r="F1206" s="1"/>
      </tp>
      <tp>
        <v>58.510884699999998</v>
        <stp/>
        <stp>EM_S_PQ_PCTCHANGE</stp>
        <stp>4</stp>
        <stp>603823</stp>
        <stp>2018-01-01</stp>
        <stp>2019-12-31</stp>
        <stp>3</stp>
        <tr r="F322" s="1"/>
      </tp>
      <tp>
        <v>-39.546973039999997</v>
        <stp/>
        <stp>EM_S_PQ_PCTCHANGE</stp>
        <stp>4</stp>
        <stp>002843</stp>
        <stp>2018-01-01</stp>
        <stp>2019-12-31</stp>
        <stp>3</stp>
        <tr r="F3239" s="1"/>
      </tp>
      <tp>
        <v>-27.326798920000002</v>
        <stp/>
        <stp>EM_S_PQ_PCTCHANGE</stp>
        <stp>4</stp>
        <stp>600824</stp>
        <stp>2018-01-01</stp>
        <stp>2019-12-31</stp>
        <stp>3</stp>
        <tr r="F2064" s="1"/>
      </tp>
      <tp>
        <v>-6.7212016099999996</v>
        <stp/>
        <stp>EM_S_PQ_PCTCHANGE</stp>
        <stp>4</stp>
        <stp>600825</stp>
        <stp>2018-01-01</stp>
        <stp>2019-12-31</stp>
        <stp>3</stp>
        <tr r="F1333" s="1"/>
      </tp>
      <tp>
        <v>-8.0006199099999993</v>
        <stp/>
        <stp>EM_S_PQ_PCTCHANGE</stp>
        <stp>4</stp>
        <stp>603825</stp>
        <stp>2018-01-01</stp>
        <stp>2019-12-31</stp>
        <stp>3</stp>
        <tr r="F901" s="1"/>
      </tp>
      <tp>
        <v>-30.21229855</v>
        <stp/>
        <stp>EM_S_PQ_PCTCHANGE</stp>
        <stp>4</stp>
        <stp>002845</stp>
        <stp>2018-01-01</stp>
        <stp>2019-12-31</stp>
        <stp>3</stp>
        <tr r="F1899" s="1"/>
      </tp>
      <tp>
        <v>-10.95581975</v>
        <stp/>
        <stp>EM_S_PQ_PCTCHANGE</stp>
        <stp>4</stp>
        <stp>600826</stp>
        <stp>2018-01-01</stp>
        <stp>2019-12-31</stp>
        <stp>3</stp>
        <tr r="F1328" s="1"/>
      </tp>
      <tp>
        <v>40.003129029999997</v>
        <stp/>
        <stp>EM_S_PQ_PCTCHANGE</stp>
        <stp>4</stp>
        <stp>603826</stp>
        <stp>2018-01-01</stp>
        <stp>2019-12-31</stp>
        <stp>3</stp>
        <tr r="F1431" s="1"/>
      </tp>
      <tp>
        <v>-0.75530699999999995</v>
        <stp/>
        <stp>EM_S_PQ_PCTCHANGE</stp>
        <stp>4</stp>
        <stp>002846</stp>
        <stp>2018-01-01</stp>
        <stp>2019-12-31</stp>
        <stp>3</stp>
        <tr r="F237" s="1"/>
      </tp>
      <tp>
        <v>-30.868172749999999</v>
        <stp/>
        <stp>EM_S_PQ_PCTCHANGE</stp>
        <stp>4</stp>
        <stp>600827</stp>
        <stp>2018-01-01</stp>
        <stp>2019-12-31</stp>
        <stp>3</stp>
        <tr r="F1943" s="1"/>
      </tp>
      <tp>
        <v>39.07261871</v>
        <stp/>
        <stp>EM_S_PQ_PCTCHANGE</stp>
        <stp>4</stp>
        <stp>002847</stp>
        <stp>2018-01-01</stp>
        <stp>2019-12-31</stp>
        <stp>3</stp>
        <tr r="F368" s="1"/>
      </tp>
      <tp>
        <v>19.056831630000001</v>
        <stp/>
        <stp>EM_S_PQ_PCTCHANGE</stp>
        <stp>4</stp>
        <stp>601818</stp>
        <stp>2018-01-01</stp>
        <stp>2019-12-31</stp>
        <stp>3</stp>
        <tr r="F1342" s="1"/>
      </tp>
      <tp>
        <v>-3.73502467</v>
        <stp/>
        <stp>EM_S_PQ_PCTCHANGE</stp>
        <stp>4</stp>
        <stp>000878</stp>
        <stp>2018-01-01</stp>
        <stp>2019-12-31</stp>
        <stp>3</stp>
        <tr r="F3560" s="1"/>
      </tp>
      <tp>
        <v>-47.528753029999997</v>
        <stp/>
        <stp>EM_S_PQ_PCTCHANGE</stp>
        <stp>4</stp>
        <stp>600818</stp>
        <stp>2018-01-01</stp>
        <stp>2019-12-31</stp>
        <stp>3</stp>
        <tr r="F1647" s="1"/>
      </tp>
      <tp>
        <v>-42.084433480000001</v>
        <stp/>
        <stp>EM_S_PQ_PCTCHANGE</stp>
        <stp>4</stp>
        <stp>603818</stp>
        <stp>2018-01-01</stp>
        <stp>2019-12-31</stp>
        <stp>3</stp>
        <tr r="F1096" s="1"/>
      </tp>
      <tp>
        <v>39.324529859999998</v>
        <stp/>
        <stp>EM_S_PQ_PCTCHANGE</stp>
        <stp>4</stp>
        <stp>002878</stp>
        <stp>2018-01-01</stp>
        <stp>2019-12-31</stp>
        <stp>3</stp>
        <tr r="F1941" s="1"/>
      </tp>
      <tp>
        <v>-6.9878415299999999</v>
        <stp/>
        <stp>EM_S_PQ_PCTCHANGE</stp>
        <stp>4</stp>
        <stp>600819</stp>
        <stp>2018-01-01</stp>
        <stp>2019-12-31</stp>
        <stp>3</stp>
        <tr r="F1023" s="1"/>
      </tp>
      <tp>
        <v>17.201333080000001</v>
        <stp/>
        <stp>EM_S_PQ_PCTCHANGE</stp>
        <stp>4</stp>
        <stp>603819</stp>
        <stp>2018-01-01</stp>
        <stp>2019-12-31</stp>
        <stp>3</stp>
        <tr r="F2892" s="1"/>
      </tp>
      <tp>
        <v>-59.225743729999998</v>
        <stp/>
        <stp>EM_S_PQ_PCTCHANGE</stp>
        <stp>4</stp>
        <stp>002879</stp>
        <stp>2018-01-01</stp>
        <stp>2019-12-31</stp>
        <stp>3</stp>
        <tr r="F1221" s="1"/>
      </tp>
      <tp>
        <v>51.270951369999999</v>
        <stp/>
        <stp>EM_S_PQ_PCTCHANGE</stp>
        <stp>4</stp>
        <stp>600810</stp>
        <stp>2018-01-01</stp>
        <stp>2019-12-31</stp>
        <stp>3</stp>
        <tr r="F3112" s="1"/>
      </tp>
      <tp>
        <v>-8.0186005599999994</v>
        <stp/>
        <stp>EM_S_PQ_PCTCHANGE</stp>
        <stp>4</stp>
        <stp>002870</stp>
        <stp>2018-01-01</stp>
        <stp>2019-12-31</stp>
        <stp>3</stp>
        <tr r="F411" s="1"/>
      </tp>
      <tp>
        <v>3.5143503599999999</v>
        <stp/>
        <stp>EM_S_PQ_PCTCHANGE</stp>
        <stp>4</stp>
        <stp>601811</stp>
        <stp>2018-01-01</stp>
        <stp>2019-12-31</stp>
        <stp>3</stp>
        <tr r="F728" s="1"/>
      </tp>
      <tp>
        <v>-26.294739629999999</v>
        <stp/>
        <stp>EM_S_PQ_PCTCHANGE</stp>
        <stp>4</stp>
        <stp>600811</stp>
        <stp>2018-01-01</stp>
        <stp>2019-12-31</stp>
        <stp>3</stp>
        <tr r="F2690" s="1"/>
      </tp>
      <tp>
        <v>24.740011160000002</v>
        <stp/>
        <stp>EM_S_PQ_PCTCHANGE</stp>
        <stp>4</stp>
        <stp>603811</stp>
        <stp>2018-01-01</stp>
        <stp>2019-12-31</stp>
        <stp>3</stp>
        <tr r="F503" s="1"/>
      </tp>
      <tp>
        <v>-5.0454639999999999</v>
        <stp/>
        <stp>EM_S_PQ_PCTCHANGE</stp>
        <stp>4</stp>
        <stp>002871</stp>
        <stp>2018-01-01</stp>
        <stp>2019-12-31</stp>
        <stp>3</stp>
        <tr r="F2391" s="1"/>
      </tp>
      <tp>
        <v>101.03290883</v>
        <stp/>
        <stp>EM_S_PQ_PCTCHANGE</stp>
        <stp>4</stp>
        <stp>600812</stp>
        <stp>2018-01-01</stp>
        <stp>2019-12-31</stp>
        <stp>3</stp>
        <tr r="F107" s="1"/>
      </tp>
      <tp>
        <v>-73.271122460000001</v>
        <stp/>
        <stp>EM_S_PQ_PCTCHANGE</stp>
        <stp>4</stp>
        <stp>002872</stp>
        <stp>2018-01-01</stp>
        <stp>2019-12-31</stp>
        <stp>3</stp>
        <tr r="F3295" s="1"/>
      </tp>
      <tp>
        <v>0</v>
        <stp/>
        <stp>EM_S_PQ_PCTCHANGE</stp>
        <stp>4</stp>
        <stp>600813</stp>
        <stp>2018-01-01</stp>
        <stp>2019-12-31</stp>
        <stp>3</stp>
        <tr r="F2327" s="1"/>
      </tp>
      <tp>
        <v>-37.090815409999998</v>
        <stp/>
        <stp>EM_S_PQ_PCTCHANGE</stp>
        <stp>4</stp>
        <stp>603813</stp>
        <stp>2018-01-01</stp>
        <stp>2019-12-31</stp>
        <stp>3</stp>
        <tr r="F2153" s="1"/>
      </tp>
      <tp>
        <v>-31.876707620000001</v>
        <stp/>
        <stp>EM_S_PQ_PCTCHANGE</stp>
        <stp>4</stp>
        <stp>002873</stp>
        <stp>2018-01-01</stp>
        <stp>2019-12-31</stp>
        <stp>3</stp>
        <tr r="F2205" s="1"/>
      </tp>
      <tp>
        <v>-42.012332290000003</v>
        <stp/>
        <stp>EM_S_PQ_PCTCHANGE</stp>
        <stp>4</stp>
        <stp>600814</stp>
        <stp>2018-01-01</stp>
        <stp>2019-12-31</stp>
        <stp>3</stp>
        <tr r="F2267" s="1"/>
      </tp>
      <tp>
        <v>-19.28020566</v>
        <stp/>
        <stp>EM_S_PQ_PCTCHANGE</stp>
        <stp>4</stp>
        <stp>000875</stp>
        <stp>2018-01-01</stp>
        <stp>2019-12-31</stp>
        <stp>3</stp>
        <tr r="F1036" s="1"/>
      </tp>
      <tp>
        <v>-31.694963980000001</v>
        <stp/>
        <stp>EM_S_PQ_PCTCHANGE</stp>
        <stp>4</stp>
        <stp>600815</stp>
        <stp>2018-01-01</stp>
        <stp>2019-12-31</stp>
        <stp>3</stp>
        <tr r="F2476" s="1"/>
      </tp>
      <tp>
        <v>-22.519106229999998</v>
        <stp/>
        <stp>EM_S_PQ_PCTCHANGE</stp>
        <stp>4</stp>
        <stp>002875</stp>
        <stp>2018-01-01</stp>
        <stp>2019-12-31</stp>
        <stp>3</stp>
        <tr r="F1887" s="1"/>
      </tp>
      <tp>
        <v>174.70184835000001</v>
        <stp/>
        <stp>EM_S_PQ_PCTCHANGE</stp>
        <stp>4</stp>
        <stp>000876</stp>
        <stp>2018-01-01</stp>
        <stp>2019-12-31</stp>
        <stp>3</stp>
        <tr r="F64" s="1"/>
      </tp>
      <tp>
        <v>-57.440505889999997</v>
        <stp/>
        <stp>EM_S_PQ_PCTCHANGE</stp>
        <stp>4</stp>
        <stp>600816</stp>
        <stp>2018-01-01</stp>
        <stp>2019-12-31</stp>
        <stp>3</stp>
        <tr r="F2137" s="1"/>
      </tp>
      <tp>
        <v>12.500299890000001</v>
        <stp/>
        <stp>EM_S_PQ_PCTCHANGE</stp>
        <stp>4</stp>
        <stp>603816</stp>
        <stp>2018-01-01</stp>
        <stp>2019-12-31</stp>
        <stp>3</stp>
        <tr r="F2230" s="1"/>
      </tp>
      <tp>
        <v>6.77654932</v>
        <stp/>
        <stp>EM_S_PQ_PCTCHANGE</stp>
        <stp>4</stp>
        <stp>002876</stp>
        <stp>2018-01-01</stp>
        <stp>2019-12-31</stp>
        <stp>3</stp>
        <tr r="F487" s="1"/>
      </tp>
      <tp>
        <v>19.091566199999999</v>
        <stp/>
        <stp>EM_S_PQ_PCTCHANGE</stp>
        <stp>4</stp>
        <stp>000877</stp>
        <stp>2018-01-01</stp>
        <stp>2019-12-31</stp>
        <stp>3</stp>
        <tr r="F407" s="1"/>
      </tp>
      <tp>
        <v>-43.424124509999999</v>
        <stp/>
        <stp>EM_S_PQ_PCTCHANGE</stp>
        <stp>4</stp>
        <stp>600817</stp>
        <stp>2018-01-01</stp>
        <stp>2019-12-31</stp>
        <stp>3</stp>
        <tr r="F2126" s="1"/>
      </tp>
      <tp>
        <v>-47.549734430000001</v>
        <stp/>
        <stp>EM_S_PQ_PCTCHANGE</stp>
        <stp>4</stp>
        <stp>603817</stp>
        <stp>2018-01-01</stp>
        <stp>2019-12-31</stp>
        <stp>3</stp>
        <tr r="F1638" s="1"/>
      </tp>
      <tp>
        <v>-1.22804881</v>
        <stp/>
        <stp>EM_S_PQ_PCTCHANGE</stp>
        <stp>4</stp>
        <stp>002877</stp>
        <stp>2018-01-01</stp>
        <stp>2019-12-31</stp>
        <stp>3</stp>
        <tr r="F3315" s="1"/>
      </tp>
      <tp>
        <v>84.234014819999999</v>
        <stp/>
        <stp>EM_S_PQ_PCTCHANGE</stp>
        <stp>4</stp>
        <stp>601808</stp>
        <stp>2018-01-01</stp>
        <stp>2019-12-31</stp>
        <stp>3</stp>
        <tr r="F119" s="1"/>
      </tp>
      <tp>
        <v>-35.57692308</v>
        <stp/>
        <stp>EM_S_PQ_PCTCHANGE</stp>
        <stp>4</stp>
        <stp>000868</stp>
        <stp>2018-01-01</stp>
        <stp>2019-12-31</stp>
        <stp>3</stp>
        <tr r="F3559" s="1"/>
      </tp>
      <tp>
        <v>-13.75200182</v>
        <stp/>
        <stp>EM_S_PQ_PCTCHANGE</stp>
        <stp>4</stp>
        <stp>600808</stp>
        <stp>2018-01-01</stp>
        <stp>2019-12-31</stp>
        <stp>3</stp>
        <tr r="F2869" s="1"/>
      </tp>
      <tp>
        <v>-32.333286170000001</v>
        <stp/>
        <stp>EM_S_PQ_PCTCHANGE</stp>
        <stp>4</stp>
        <stp>603808</stp>
        <stp>2018-01-01</stp>
        <stp>2019-12-31</stp>
        <stp>3</stp>
        <tr r="F2714" s="1"/>
      </tp>
      <tp>
        <v>-24.224232140000002</v>
        <stp/>
        <stp>EM_S_PQ_PCTCHANGE</stp>
        <stp>4</stp>
        <stp>002868</stp>
        <stp>2018-01-01</stp>
        <stp>2019-12-31</stp>
        <stp>3</stp>
        <tr r="F1313" s="1"/>
      </tp>
      <tp>
        <v>158.65235726</v>
        <stp/>
        <stp>EM_S_PQ_PCTCHANGE</stp>
        <stp>4</stp>
        <stp>600809</stp>
        <stp>2019-01-01</stp>
        <stp>2019-12-31</stp>
        <stp>3</stp>
        <tr r="G75" s="1"/>
      </tp>
      <tp>
        <v>-21.0414183</v>
        <stp/>
        <stp>EM_S_PQ_PCTCHANGE</stp>
        <stp>4</stp>
        <stp>000869</stp>
        <stp>2018-01-01</stp>
        <stp>2019-12-31</stp>
        <stp>3</stp>
        <tr r="F1713" s="1"/>
      </tp>
      <tp>
        <v>61.096864330000002</v>
        <stp/>
        <stp>EM_S_PQ_PCTCHANGE</stp>
        <stp>4</stp>
        <stp>600809</stp>
        <stp>2018-01-01</stp>
        <stp>2019-12-31</stp>
        <stp>3</stp>
        <tr r="F75" s="1"/>
      </tp>
      <tp>
        <v>-44.939639450000001</v>
        <stp/>
        <stp>EM_S_PQ_PCTCHANGE</stp>
        <stp>4</stp>
        <stp>603809</stp>
        <stp>2018-01-01</stp>
        <stp>2019-12-31</stp>
        <stp>3</stp>
        <tr r="F3285" s="1"/>
      </tp>
      <tp>
        <v>108.72750480000001</v>
        <stp/>
        <stp>EM_S_PQ_PCTCHANGE</stp>
        <stp>4</stp>
        <stp>002869</stp>
        <stp>2018-01-01</stp>
        <stp>2019-12-31</stp>
        <stp>3</stp>
        <tr r="F26" s="1"/>
      </tp>
      <tp>
        <v>-25.413147070000001</v>
        <stp/>
        <stp>EM_S_PQ_PCTCHANGE</stp>
        <stp>4</stp>
        <stp>601800</stp>
        <stp>2018-01-01</stp>
        <stp>2019-12-31</stp>
        <stp>3</stp>
        <tr r="F3086" s="1"/>
      </tp>
      <tp>
        <v>259.28314669999997</v>
        <stp/>
        <stp>EM_S_PQ_PCTCHANGE</stp>
        <stp>4</stp>
        <stp>000860</stp>
        <stp>2018-01-01</stp>
        <stp>2019-12-31</stp>
        <stp>3</stp>
        <tr r="F371" s="1"/>
      </tp>
      <tp>
        <v>-14.76923077</v>
        <stp/>
        <stp>EM_S_PQ_PCTCHANGE</stp>
        <stp>4</stp>
        <stp>600800</stp>
        <stp>2018-01-01</stp>
        <stp>2019-12-31</stp>
        <stp>3</stp>
        <tr r="F1729" s="1"/>
      </tp>
      <tp>
        <v>-15.67706997</v>
        <stp/>
        <stp>EM_S_PQ_PCTCHANGE</stp>
        <stp>4</stp>
        <stp>603800</stp>
        <stp>2018-01-01</stp>
        <stp>2019-12-31</stp>
        <stp>3</stp>
        <tr r="F1378" s="1"/>
      </tp>
      <tp>
        <v>-17.401451850000001</v>
        <stp/>
        <stp>EM_S_PQ_PCTCHANGE</stp>
        <stp>4</stp>
        <stp>002860</stp>
        <stp>2018-01-01</stp>
        <stp>2019-12-31</stp>
        <stp>3</stp>
        <tr r="F1191" s="1"/>
      </tp>
      <tp>
        <v>-45.619602039999997</v>
        <stp/>
        <stp>EM_S_PQ_PCTCHANGE</stp>
        <stp>4</stp>
        <stp>601801</stp>
        <stp>2018-01-01</stp>
        <stp>2019-12-31</stp>
        <stp>3</stp>
        <tr r="F3010" s="1"/>
      </tp>
      <tp>
        <v>-17.30407666</v>
        <stp/>
        <stp>EM_S_PQ_PCTCHANGE</stp>
        <stp>4</stp>
        <stp>000861</stp>
        <stp>2018-01-01</stp>
        <stp>2019-12-31</stp>
        <stp>3</stp>
        <tr r="F3556" s="1"/>
      </tp>
      <tp>
        <v>178.79515008999999</v>
        <stp/>
        <stp>EM_S_PQ_PCTCHANGE</stp>
        <stp>4</stp>
        <stp>600801</stp>
        <stp>2018-01-01</stp>
        <stp>2019-12-31</stp>
        <stp>3</stp>
        <tr r="F585" s="1"/>
      </tp>
      <tp>
        <v>-34.329913570000002</v>
        <stp/>
        <stp>EM_S_PQ_PCTCHANGE</stp>
        <stp>4</stp>
        <stp>603801</stp>
        <stp>2018-01-01</stp>
        <stp>2019-12-31</stp>
        <stp>3</stp>
        <tr r="F2581" s="1"/>
      </tp>
      <tp>
        <v>22.159905800000001</v>
        <stp/>
        <stp>EM_S_PQ_PCTCHANGE</stp>
        <stp>4</stp>
        <stp>002861</stp>
        <stp>2018-01-01</stp>
        <stp>2019-12-31</stp>
        <stp>3</stp>
        <tr r="F286" s="1"/>
      </tp>
      <tp>
        <v>4.1322314000000002</v>
        <stp/>
        <stp>EM_S_PQ_PCTCHANGE</stp>
        <stp>4</stp>
        <stp>000862</stp>
        <stp>2018-01-01</stp>
        <stp>2019-12-31</stp>
        <stp>3</stp>
        <tr r="F331" s="1"/>
      </tp>
      <tp>
        <v>22.03457135</v>
        <stp/>
        <stp>EM_S_PQ_PCTCHANGE</stp>
        <stp>4</stp>
        <stp>600802</stp>
        <stp>2018-01-01</stp>
        <stp>2019-12-31</stp>
        <stp>3</stp>
        <tr r="F1449" s="1"/>
      </tp>
      <tp>
        <v>-21.225229469999999</v>
        <stp/>
        <stp>EM_S_PQ_PCTCHANGE</stp>
        <stp>4</stp>
        <stp>002862</stp>
        <stp>2018-01-01</stp>
        <stp>2019-12-31</stp>
        <stp>3</stp>
        <tr r="F2070" s="1"/>
      </tp>
      <tp>
        <v>-8.4318331200000003</v>
        <stp/>
        <stp>EM_S_PQ_PCTCHANGE</stp>
        <stp>4</stp>
        <stp>000863</stp>
        <stp>2018-01-01</stp>
        <stp>2019-12-31</stp>
        <stp>3</stp>
        <tr r="F3557" s="1"/>
      </tp>
      <tp>
        <v>-21.431956599999999</v>
        <stp/>
        <stp>EM_S_PQ_PCTCHANGE</stp>
        <stp>4</stp>
        <stp>600803</stp>
        <stp>2018-01-01</stp>
        <stp>2019-12-31</stp>
        <stp>3</stp>
        <tr r="F1898" s="1"/>
      </tp>
      <tp>
        <v>-28.34357885</v>
        <stp/>
        <stp>EM_S_PQ_PCTCHANGE</stp>
        <stp>4</stp>
        <stp>603803</stp>
        <stp>2018-01-01</stp>
        <stp>2019-12-31</stp>
        <stp>3</stp>
        <tr r="F1040" s="1"/>
      </tp>
      <tp>
        <v>-24.526957540000002</v>
        <stp/>
        <stp>EM_S_PQ_PCTCHANGE</stp>
        <stp>4</stp>
        <stp>002863</stp>
        <stp>2018-01-01</stp>
        <stp>2019-12-31</stp>
        <stp>3</stp>
        <tr r="F2846" s="1"/>
      </tp>
      <tp>
        <v>-63.551409200000002</v>
        <stp/>
        <stp>EM_S_PQ_PCTCHANGE</stp>
        <stp>4</stp>
        <stp>600804</stp>
        <stp>2018-01-01</stp>
        <stp>2019-12-31</stp>
        <stp>3</stp>
        <tr r="F2849" s="1"/>
      </tp>
      <tp>
        <v>-3.5964041500000001</v>
        <stp/>
        <stp>EM_S_PQ_PCTCHANGE</stp>
        <stp>4</stp>
        <stp>002864</stp>
        <stp>2018-01-01</stp>
        <stp>2019-12-31</stp>
        <stp>3</stp>
        <tr r="F2995" s="1"/>
      </tp>
      <tp>
        <v>-16.885245900000001</v>
        <stp/>
        <stp>EM_S_PQ_PCTCHANGE</stp>
        <stp>4</stp>
        <stp>600805</stp>
        <stp>2018-01-01</stp>
        <stp>2019-12-31</stp>
        <stp>3</stp>
        <tr r="F1762" s="1"/>
      </tp>
      <tp>
        <v>-27.014470840000001</v>
        <stp/>
        <stp>EM_S_PQ_PCTCHANGE</stp>
        <stp>4</stp>
        <stp>002865</stp>
        <stp>2018-01-01</stp>
        <stp>2019-12-31</stp>
        <stp>3</stp>
        <tr r="F3027" s="1"/>
      </tp>
      <tp>
        <v>0</v>
        <stp/>
        <stp>EM_S_PQ_PCTCHANGE</stp>
        <stp>4</stp>
        <stp>000866</stp>
        <stp>2018-01-01</stp>
        <stp>2019-12-31</stp>
        <stp>3</stp>
        <tr r="F3558" s="1"/>
      </tp>
      <tp>
        <v>-77.173913040000002</v>
        <stp/>
        <stp>EM_S_PQ_PCTCHANGE</stp>
        <stp>4</stp>
        <stp>600806</stp>
        <stp>2018-01-01</stp>
        <stp>2019-12-31</stp>
        <stp>3</stp>
        <tr r="F2326" s="1"/>
      </tp>
      <tp>
        <v>90.423140880000005</v>
        <stp/>
        <stp>EM_S_PQ_PCTCHANGE</stp>
        <stp>4</stp>
        <stp>603806</stp>
        <stp>2018-01-01</stp>
        <stp>2019-12-31</stp>
        <stp>3</stp>
        <tr r="F249" s="1"/>
      </tp>
      <tp>
        <v>-34.175874520000001</v>
        <stp/>
        <stp>EM_S_PQ_PCTCHANGE</stp>
        <stp>4</stp>
        <stp>002866</stp>
        <stp>2018-01-01</stp>
        <stp>2019-12-31</stp>
        <stp>3</stp>
        <tr r="F796" s="1"/>
      </tp>
      <tp>
        <v>-63.936063939999997</v>
        <stp/>
        <stp>EM_S_PQ_PCTCHANGE</stp>
        <stp>4</stp>
        <stp>600807</stp>
        <stp>2018-01-01</stp>
        <stp>2019-12-31</stp>
        <stp>3</stp>
        <tr r="F2570" s="1"/>
      </tp>
      <tp>
        <v>6.84962991</v>
        <stp/>
        <stp>EM_S_PQ_PCTCHANGE</stp>
        <stp>4</stp>
        <stp>002867</stp>
        <stp>2018-01-01</stp>
        <stp>2019-12-31</stp>
        <stp>3</stp>
        <tr r="F3224" s="1"/>
      </tp>
      <tp>
        <v>-31.533794489999998</v>
        <stp/>
        <stp>EM_S_PQ_PCTCHANGE</stp>
        <stp>4</stp>
        <stp>601878</stp>
        <stp>2018-01-01</stp>
        <stp>2019-12-31</stp>
        <stp>3</stp>
        <tr r="F466" s="1"/>
      </tp>
      <tp>
        <v>57.112651390000003</v>
        <stp/>
        <stp>EM_S_PQ_PCTCHANGE</stp>
        <stp>4</stp>
        <stp>000818</stp>
        <stp>2018-01-01</stp>
        <stp>2019-12-31</stp>
        <stp>3</stp>
        <tr r="F176" s="1"/>
      </tp>
      <tp>
        <v>0</v>
        <stp/>
        <stp>EM_S_PQ_PCTCHANGE</stp>
        <stp>4</stp>
        <stp>600878</stp>
        <stp>2018-01-01</stp>
        <stp>2019-12-31</stp>
        <stp>3</stp>
        <tr r="F2332" s="1"/>
      </tp>
      <tp>
        <v>0.10790259000000001</v>
        <stp/>
        <stp>EM_S_PQ_PCTCHANGE</stp>
        <stp>4</stp>
        <stp>603878</stp>
        <stp>2018-01-01</stp>
        <stp>2019-12-31</stp>
        <stp>3</stp>
        <tr r="F2363" s="1"/>
      </tp>
      <tp>
        <v>-22.996207770000002</v>
        <stp/>
        <stp>EM_S_PQ_PCTCHANGE</stp>
        <stp>4</stp>
        <stp>002818</stp>
        <stp>2018-01-01</stp>
        <stp>2019-12-31</stp>
        <stp>3</stp>
        <tr r="F3300" s="1"/>
      </tp>
      <tp>
        <v>-31.99480732</v>
        <stp/>
        <stp>EM_S_PQ_PCTCHANGE</stp>
        <stp>4</stp>
        <stp>000819</stp>
        <stp>2018-01-01</stp>
        <stp>2019-12-31</stp>
        <stp>3</stp>
        <tr r="F2694" s="1"/>
      </tp>
      <tp>
        <v>-23.724489800000001</v>
        <stp/>
        <stp>EM_S_PQ_PCTCHANGE</stp>
        <stp>4</stp>
        <stp>600879</stp>
        <stp>2018-01-01</stp>
        <stp>2019-12-31</stp>
        <stp>3</stp>
        <tr r="F1674" s="1"/>
      </tp>
      <tp>
        <v>-3.6028164299999998</v>
        <stp/>
        <stp>EM_S_PQ_PCTCHANGE</stp>
        <stp>4</stp>
        <stp>603879</stp>
        <stp>2018-01-01</stp>
        <stp>2019-12-31</stp>
        <stp>3</stp>
        <tr r="F1251" s="1"/>
      </tp>
      <tp>
        <v>27.226537400000002</v>
        <stp/>
        <stp>EM_S_PQ_PCTCHANGE</stp>
        <stp>4</stp>
        <stp>002819</stp>
        <stp>2018-01-01</stp>
        <stp>2019-12-31</stp>
        <stp>3</stp>
        <tr r="F1242" s="1"/>
      </tp>
      <tp>
        <v>74.039643799999993</v>
        <stp/>
        <stp>EM_S_PQ_PCTCHANGE</stp>
        <stp>4</stp>
        <stp>000810</stp>
        <stp>2018-01-01</stp>
        <stp>2019-12-31</stp>
        <stp>3</stp>
        <tr r="F139" s="1"/>
      </tp>
      <tp>
        <v>-60.477453580000002</v>
        <stp/>
        <stp>EM_S_PQ_PCTCHANGE</stp>
        <stp>4</stp>
        <stp>600870</stp>
        <stp>2018-01-01</stp>
        <stp>2019-12-31</stp>
        <stp>3</stp>
        <tr r="F2830" s="1"/>
      </tp>
      <tp>
        <v>57.754688510000001</v>
        <stp/>
        <stp>EM_S_PQ_PCTCHANGE</stp>
        <stp>4</stp>
        <stp>002810</stp>
        <stp>2018-01-01</stp>
        <stp>2019-12-31</stp>
        <stp>3</stp>
        <tr r="F1778" s="1"/>
      </tp>
      <tp>
        <v>-9.0211302399999997</v>
        <stp/>
        <stp>EM_S_PQ_PCTCHANGE</stp>
        <stp>4</stp>
        <stp>000811</stp>
        <stp>2018-01-01</stp>
        <stp>2019-12-31</stp>
        <stp>3</stp>
        <tr r="F843" s="1"/>
      </tp>
      <tp>
        <v>-15.35580524</v>
        <stp/>
        <stp>EM_S_PQ_PCTCHANGE</stp>
        <stp>4</stp>
        <stp>600871</stp>
        <stp>2018-01-01</stp>
        <stp>2019-12-31</stp>
        <stp>3</stp>
        <tr r="F1178" s="1"/>
      </tp>
      <tp>
        <v>46.242609530000003</v>
        <stp/>
        <stp>EM_S_PQ_PCTCHANGE</stp>
        <stp>4</stp>
        <stp>603871</stp>
        <stp>2018-01-01</stp>
        <stp>2019-12-31</stp>
        <stp>3</stp>
        <tr r="F2770" s="1"/>
      </tp>
      <tp>
        <v>-18.809356770000001</v>
        <stp/>
        <stp>EM_S_PQ_PCTCHANGE</stp>
        <stp>4</stp>
        <stp>002811</stp>
        <stp>2018-01-01</stp>
        <stp>2019-12-31</stp>
        <stp>3</stp>
        <tr r="F2796" s="1"/>
      </tp>
      <tp>
        <v>92.539706269999996</v>
        <stp/>
        <stp>EM_S_PQ_PCTCHANGE</stp>
        <stp>4</stp>
        <stp>601872</stp>
        <stp>2018-01-01</stp>
        <stp>2019-12-31</stp>
        <stp>3</stp>
        <tr r="F137" s="1"/>
      </tp>
      <tp>
        <v>-30.672269279999998</v>
        <stp/>
        <stp>EM_S_PQ_PCTCHANGE</stp>
        <stp>4</stp>
        <stp>000812</stp>
        <stp>2018-01-01</stp>
        <stp>2019-12-31</stp>
        <stp>3</stp>
        <tr r="F2624" s="1"/>
      </tp>
      <tp>
        <v>60.845809170000003</v>
        <stp/>
        <stp>EM_S_PQ_PCTCHANGE</stp>
        <stp>4</stp>
        <stp>600872</stp>
        <stp>2018-01-01</stp>
        <stp>2019-12-31</stp>
        <stp>3</stp>
        <tr r="F909" s="1"/>
      </tp>
      <tp>
        <v>69.598938380000007</v>
        <stp/>
        <stp>EM_S_PQ_PCTCHANGE</stp>
        <stp>4</stp>
        <stp>002812</stp>
        <stp>2018-01-01</stp>
        <stp>2019-12-31</stp>
        <stp>3</stp>
        <tr r="F2026" s="1"/>
      </tp>
      <tp>
        <v>-27.534562210000001</v>
        <stp/>
        <stp>EM_S_PQ_PCTCHANGE</stp>
        <stp>4</stp>
        <stp>000813</stp>
        <stp>2018-01-01</stp>
        <stp>2019-12-31</stp>
        <stp>3</stp>
        <tr r="F3236" s="1"/>
      </tp>
      <tp>
        <v>0.18815425</v>
        <stp/>
        <stp>EM_S_PQ_PCTCHANGE</stp>
        <stp>4</stp>
        <stp>600873</stp>
        <stp>2018-01-01</stp>
        <stp>2019-12-31</stp>
        <stp>3</stp>
        <tr r="F2002" s="1"/>
      </tp>
      <tp>
        <v>-30.212519149999999</v>
        <stp/>
        <stp>EM_S_PQ_PCTCHANGE</stp>
        <stp>4</stp>
        <stp>002813</stp>
        <stp>2018-01-01</stp>
        <stp>2019-12-31</stp>
        <stp>3</stp>
        <tr r="F2566" s="1"/>
      </tp>
      <tp>
        <v>-44.011969100000002</v>
        <stp/>
        <stp>EM_S_PQ_PCTCHANGE</stp>
        <stp>4</stp>
        <stp>600874</stp>
        <stp>2018-01-01</stp>
        <stp>2019-12-31</stp>
        <stp>3</stp>
        <tr r="F2879" s="1"/>
      </tp>
      <tp>
        <v>-55.165562909999998</v>
        <stp/>
        <stp>EM_S_PQ_PCTCHANGE</stp>
        <stp>4</stp>
        <stp>000815</stp>
        <stp>2018-01-01</stp>
        <stp>2019-12-31</stp>
        <stp>3</stp>
        <tr r="F2186" s="1"/>
      </tp>
      <tp>
        <v>-17.203898909999999</v>
        <stp/>
        <stp>EM_S_PQ_PCTCHANGE</stp>
        <stp>4</stp>
        <stp>600875</stp>
        <stp>2018-01-01</stp>
        <stp>2019-12-31</stp>
        <stp>3</stp>
        <tr r="F1425" s="1"/>
      </tp>
      <tp>
        <v>13.484853770000001</v>
        <stp/>
        <stp>EM_S_PQ_PCTCHANGE</stp>
        <stp>4</stp>
        <stp>002815</stp>
        <stp>2018-01-01</stp>
        <stp>2019-12-31</stp>
        <stp>3</stp>
        <tr r="F1314" s="1"/>
      </tp>
      <tp>
        <v>-53.008505829999997</v>
        <stp/>
        <stp>EM_S_PQ_PCTCHANGE</stp>
        <stp>4</stp>
        <stp>000816</stp>
        <stp>2018-01-01</stp>
        <stp>2019-12-31</stp>
        <stp>3</stp>
        <tr r="F3547" s="1"/>
      </tp>
      <tp>
        <v>-19.99007937</v>
        <stp/>
        <stp>EM_S_PQ_PCTCHANGE</stp>
        <stp>4</stp>
        <stp>600876</stp>
        <stp>2018-01-01</stp>
        <stp>2019-12-31</stp>
        <stp>3</stp>
        <tr r="F598" s="1"/>
      </tp>
      <tp>
        <v>18.286731580000001</v>
        <stp/>
        <stp>EM_S_PQ_PCTCHANGE</stp>
        <stp>4</stp>
        <stp>603876</stp>
        <stp>2018-01-01</stp>
        <stp>2019-12-31</stp>
        <stp>3</stp>
        <tr r="F2926" s="1"/>
      </tp>
      <tp>
        <v>1.2009504600000001</v>
        <stp/>
        <stp>EM_S_PQ_PCTCHANGE</stp>
        <stp>4</stp>
        <stp>002816</stp>
        <stp>2018-01-01</stp>
        <stp>2019-12-31</stp>
        <stp>3</stp>
        <tr r="F652" s="1"/>
      </tp>
      <tp>
        <v>9.2801764799999997</v>
        <stp/>
        <stp>EM_S_PQ_PCTCHANGE</stp>
        <stp>4</stp>
        <stp>601877</stp>
        <stp>2018-01-01</stp>
        <stp>2019-12-31</stp>
        <stp>3</stp>
        <tr r="F1679" s="1"/>
      </tp>
      <tp>
        <v>0</v>
        <stp/>
        <stp>EM_S_PQ_PCTCHANGE</stp>
        <stp>4</stp>
        <stp>000817</stp>
        <stp>2018-01-01</stp>
        <stp>2019-12-31</stp>
        <stp>3</stp>
        <tr r="F3548" s="1"/>
      </tp>
      <tp>
        <v>-9.6423017099999999</v>
        <stp/>
        <stp>EM_S_PQ_PCTCHANGE</stp>
        <stp>4</stp>
        <stp>600877</stp>
        <stp>2018-01-01</stp>
        <stp>2019-12-31</stp>
        <stp>3</stp>
        <tr r="F1175" s="1"/>
      </tp>
      <tp>
        <v>-39.126976480000003</v>
        <stp/>
        <stp>EM_S_PQ_PCTCHANGE</stp>
        <stp>4</stp>
        <stp>603877</stp>
        <stp>2018-01-01</stp>
        <stp>2019-12-31</stp>
        <stp>3</stp>
        <tr r="F2990" s="1"/>
      </tp>
      <tp>
        <v>-25.73413845</v>
        <stp/>
        <stp>EM_S_PQ_PCTCHANGE</stp>
        <stp>4</stp>
        <stp>002817</stp>
        <stp>2018-01-01</stp>
        <stp>2019-12-31</stp>
        <stp>3</stp>
        <tr r="F851" s="1"/>
      </tp>
      <tp>
        <v>-13.549459880000001</v>
        <stp/>
        <stp>EM_S_PQ_PCTCHANGE</stp>
        <stp>4</stp>
        <stp>600868</stp>
        <stp>2018-01-01</stp>
        <stp>2019-12-31</stp>
        <stp>3</stp>
        <tr r="F1248" s="1"/>
      </tp>
      <tp>
        <v>-46.765396520000003</v>
        <stp/>
        <stp>EM_S_PQ_PCTCHANGE</stp>
        <stp>4</stp>
        <stp>603868</stp>
        <stp>2018-01-01</stp>
        <stp>2019-12-31</stp>
        <stp>3</stp>
        <tr r="F2443" s="1"/>
      </tp>
      <tp>
        <v>13.22473924</v>
        <stp/>
        <stp>EM_S_PQ_PCTCHANGE</stp>
        <stp>4</stp>
        <stp>002808</stp>
        <stp>2018-01-01</stp>
        <stp>2019-12-31</stp>
        <stp>3</stp>
        <tr r="F3161" s="1"/>
      </tp>
      <tp>
        <v>-37.795275590000003</v>
        <stp/>
        <stp>EM_S_PQ_PCTCHANGE</stp>
        <stp>4</stp>
        <stp>000809</stp>
        <stp>2018-01-01</stp>
        <stp>2019-12-31</stp>
        <stp>3</stp>
        <tr r="F2356" s="1"/>
      </tp>
      <tp>
        <v>-14.634146339999999</v>
        <stp/>
        <stp>EM_S_PQ_PCTCHANGE</stp>
        <stp>4</stp>
        <stp>600869</stp>
        <stp>2018-01-01</stp>
        <stp>2019-12-31</stp>
        <stp>3</stp>
        <tr r="F2251" s="1"/>
      </tp>
      <tp>
        <v>-16.281676180000002</v>
        <stp/>
        <stp>EM_S_PQ_PCTCHANGE</stp>
        <stp>4</stp>
        <stp>603869</stp>
        <stp>2018-01-01</stp>
        <stp>2019-12-31</stp>
        <stp>3</stp>
        <tr r="F3074" s="1"/>
      </tp>
      <tp>
        <v>-42.815912189999999</v>
        <stp/>
        <stp>EM_S_PQ_PCTCHANGE</stp>
        <stp>4</stp>
        <stp>002809</stp>
        <stp>2018-01-01</stp>
        <stp>2019-12-31</stp>
        <stp>3</stp>
        <tr r="F961" s="1"/>
      </tp>
      <tp>
        <v>-6.7959219500000003</v>
        <stp/>
        <stp>EM_S_PQ_PCTCHANGE</stp>
        <stp>4</stp>
        <stp>000800</stp>
        <stp>2018-01-01</stp>
        <stp>2019-12-31</stp>
        <stp>3</stp>
        <tr r="F3542" s="1"/>
      </tp>
      <tp>
        <v>-12.663755460000001</v>
        <stp/>
        <stp>EM_S_PQ_PCTCHANGE</stp>
        <stp>4</stp>
        <stp>600860</stp>
        <stp>2018-01-01</stp>
        <stp>2019-12-31</stp>
        <stp>3</stp>
        <tr r="F816" s="1"/>
      </tp>
      <tp>
        <v>-24.256566329999998</v>
        <stp/>
        <stp>EM_S_PQ_PCTCHANGE</stp>
        <stp>4</stp>
        <stp>603860</stp>
        <stp>2018-01-01</stp>
        <stp>2019-12-31</stp>
        <stp>3</stp>
        <tr r="F1627" s="1"/>
      </tp>
      <tp>
        <v>-11.09404479</v>
        <stp/>
        <stp>EM_S_PQ_PCTCHANGE</stp>
        <stp>4</stp>
        <stp>002800</stp>
        <stp>2018-01-01</stp>
        <stp>2019-12-31</stp>
        <stp>3</stp>
        <tr r="F363" s="1"/>
      </tp>
      <tp>
        <v>-4.9358046499999997</v>
        <stp/>
        <stp>EM_S_PQ_PCTCHANGE</stp>
        <stp>4</stp>
        <stp>000801</stp>
        <stp>2018-01-01</stp>
        <stp>2019-12-31</stp>
        <stp>3</stp>
        <tr r="F1131" s="1"/>
      </tp>
      <tp>
        <v>-8.6236193399999994</v>
        <stp/>
        <stp>EM_S_PQ_PCTCHANGE</stp>
        <stp>4</stp>
        <stp>600861</stp>
        <stp>2018-01-01</stp>
        <stp>2019-12-31</stp>
        <stp>3</stp>
        <tr r="F1151" s="1"/>
      </tp>
      <tp>
        <v>-46.987758820000003</v>
        <stp/>
        <stp>EM_S_PQ_PCTCHANGE</stp>
        <stp>4</stp>
        <stp>603861</stp>
        <stp>2018-01-01</stp>
        <stp>2019-12-31</stp>
        <stp>3</stp>
        <tr r="F3153" s="1"/>
      </tp>
      <tp>
        <v>11.69302882</v>
        <stp/>
        <stp>EM_S_PQ_PCTCHANGE</stp>
        <stp>4</stp>
        <stp>002801</stp>
        <stp>2018-01-01</stp>
        <stp>2019-12-31</stp>
        <stp>3</stp>
        <tr r="F345" s="1"/>
      </tp>
      <tp>
        <v>-36.175128479999998</v>
        <stp/>
        <stp>EM_S_PQ_PCTCHANGE</stp>
        <stp>4</stp>
        <stp>000802</stp>
        <stp>2018-01-01</stp>
        <stp>2019-12-31</stp>
        <stp>3</stp>
        <tr r="F3543" s="1"/>
      </tp>
      <tp>
        <v>15.13132117</v>
        <stp/>
        <stp>EM_S_PQ_PCTCHANGE</stp>
        <stp>4</stp>
        <stp>600862</stp>
        <stp>2018-01-01</stp>
        <stp>2019-12-31</stp>
        <stp>3</stp>
        <tr r="F174" s="1"/>
      </tp>
      <tp>
        <v>-25.181730439999999</v>
        <stp/>
        <stp>EM_S_PQ_PCTCHANGE</stp>
        <stp>4</stp>
        <stp>002802</stp>
        <stp>2018-01-01</stp>
        <stp>2019-12-31</stp>
        <stp>3</stp>
        <tr r="F2459" s="1"/>
      </tp>
      <tp>
        <v>-40.70758738</v>
        <stp/>
        <stp>EM_S_PQ_PCTCHANGE</stp>
        <stp>4</stp>
        <stp>000803</stp>
        <stp>2018-01-01</stp>
        <stp>2019-12-31</stp>
        <stp>3</stp>
        <tr r="F1520" s="1"/>
      </tp>
      <tp>
        <v>-3.2738098</v>
        <stp/>
        <stp>EM_S_PQ_PCTCHANGE</stp>
        <stp>4</stp>
        <stp>600863</stp>
        <stp>2018-01-01</stp>
        <stp>2019-12-31</stp>
        <stp>3</stp>
        <tr r="F1344" s="1"/>
      </tp>
      <tp>
        <v>2.10241736</v>
        <stp/>
        <stp>EM_S_PQ_PCTCHANGE</stp>
        <stp>4</stp>
        <stp>002803</stp>
        <stp>2018-01-01</stp>
        <stp>2019-12-31</stp>
        <stp>3</stp>
        <tr r="F257" s="1"/>
      </tp>
      <tp>
        <v>3.8449289100000001</v>
        <stp/>
        <stp>EM_S_PQ_PCTCHANGE</stp>
        <stp>4</stp>
        <stp>600864</stp>
        <stp>2018-01-01</stp>
        <stp>2019-12-31</stp>
        <stp>3</stp>
        <tr r="F222" s="1"/>
      </tp>
      <tp>
        <v>0</v>
        <stp/>
        <stp>EM_S_PQ_PCTCHANGE</stp>
        <stp>4</stp>
        <stp>000805</stp>
        <stp>2018-01-01</stp>
        <stp>2019-12-31</stp>
        <stp>3</stp>
        <tr r="F3544" s="1"/>
      </tp>
      <tp>
        <v>-15.74635114</v>
        <stp/>
        <stp>EM_S_PQ_PCTCHANGE</stp>
        <stp>4</stp>
        <stp>600865</stp>
        <stp>2018-01-01</stp>
        <stp>2019-12-31</stp>
        <stp>3</stp>
        <tr r="F1563" s="1"/>
      </tp>
      <tp>
        <v>-39.108033419999998</v>
        <stp/>
        <stp>EM_S_PQ_PCTCHANGE</stp>
        <stp>4</stp>
        <stp>002805</stp>
        <stp>2018-01-01</stp>
        <stp>2019-12-31</stp>
        <stp>3</stp>
        <tr r="F3062" s="1"/>
      </tp>
      <tp>
        <v>-23.22432396</v>
        <stp/>
        <stp>EM_S_PQ_PCTCHANGE</stp>
        <stp>4</stp>
        <stp>601866</stp>
        <stp>2018-01-01</stp>
        <stp>2019-12-31</stp>
        <stp>3</stp>
        <tr r="F1597" s="1"/>
      </tp>
      <tp>
        <v>-78.996282530000002</v>
        <stp/>
        <stp>EM_S_PQ_PCTCHANGE</stp>
        <stp>4</stp>
        <stp>000806</stp>
        <stp>2018-01-01</stp>
        <stp>2019-12-31</stp>
        <stp>3</stp>
        <tr r="F3545" s="1"/>
      </tp>
      <tp>
        <v>-3.4782608700000002</v>
        <stp/>
        <stp>EM_S_PQ_PCTCHANGE</stp>
        <stp>4</stp>
        <stp>600866</stp>
        <stp>2018-01-01</stp>
        <stp>2019-12-31</stp>
        <stp>3</stp>
        <tr r="F736" s="1"/>
      </tp>
      <tp>
        <v>57.620508180000002</v>
        <stp/>
        <stp>EM_S_PQ_PCTCHANGE</stp>
        <stp>4</stp>
        <stp>603866</stp>
        <stp>2018-01-01</stp>
        <stp>2019-12-31</stp>
        <stp>3</stp>
        <tr r="F2655" s="1"/>
      </tp>
      <tp>
        <v>-37.903750459999998</v>
        <stp/>
        <stp>EM_S_PQ_PCTCHANGE</stp>
        <stp>4</stp>
        <stp>002806</stp>
        <stp>2018-01-01</stp>
        <stp>2019-12-31</stp>
        <stp>3</stp>
        <tr r="F3132" s="1"/>
      </tp>
      <tp>
        <v>-49.259554729999998</v>
        <stp/>
        <stp>EM_S_PQ_PCTCHANGE</stp>
        <stp>4</stp>
        <stp>000807</stp>
        <stp>2018-01-01</stp>
        <stp>2019-12-31</stp>
        <stp>3</stp>
        <tr r="F3546" s="1"/>
      </tp>
      <tp>
        <v>-32.312563760000003</v>
        <stp/>
        <stp>EM_S_PQ_PCTCHANGE</stp>
        <stp>4</stp>
        <stp>600867</stp>
        <stp>2018-01-01</stp>
        <stp>2019-12-31</stp>
        <stp>3</stp>
        <tr r="F2809" s="1"/>
      </tp>
      <tp>
        <v>-30.93474938</v>
        <stp/>
        <stp>EM_S_PQ_PCTCHANGE</stp>
        <stp>4</stp>
        <stp>002807</stp>
        <stp>2018-01-01</stp>
        <stp>2019-12-31</stp>
        <stp>3</stp>
        <tr r="F2715" s="1"/>
      </tp>
      <tp>
        <v>3.8781566299999999</v>
        <stp/>
        <stp>EM_S_PQ_PCTCHANGE</stp>
        <stp>4</stp>
        <stp>601858</stp>
        <stp>2018-01-01</stp>
        <stp>2019-12-31</stp>
        <stp>3</stp>
        <tr r="F1108" s="1"/>
      </tp>
      <tp>
        <v>-44.305755840000003</v>
        <stp/>
        <stp>EM_S_PQ_PCTCHANGE</stp>
        <stp>4</stp>
        <stp>000838</stp>
        <stp>2018-01-01</stp>
        <stp>2019-12-31</stp>
        <stp>3</stp>
        <tr r="F1804" s="1"/>
      </tp>
      <tp>
        <v>-28.540794259999998</v>
        <stp/>
        <stp>EM_S_PQ_PCTCHANGE</stp>
        <stp>4</stp>
        <stp>600858</stp>
        <stp>2018-01-01</stp>
        <stp>2019-12-31</stp>
        <stp>3</stp>
        <tr r="F2088" s="1"/>
      </tp>
      <tp>
        <v>-24.816703820000001</v>
        <stp/>
        <stp>EM_S_PQ_PCTCHANGE</stp>
        <stp>4</stp>
        <stp>603858</stp>
        <stp>2018-01-01</stp>
        <stp>2019-12-31</stp>
        <stp>3</stp>
        <tr r="F3059" s="1"/>
      </tp>
      <tp>
        <v>-16.23101269</v>
        <stp/>
        <stp>EM_S_PQ_PCTCHANGE</stp>
        <stp>4</stp>
        <stp>002838</stp>
        <stp>2018-01-01</stp>
        <stp>2019-12-31</stp>
        <stp>3</stp>
        <tr r="F3303" s="1"/>
      </tp>
      <tp>
        <v>-62.671790649999998</v>
        <stp/>
        <stp>EM_S_PQ_PCTCHANGE</stp>
        <stp>4</stp>
        <stp>000839</stp>
        <stp>2018-01-01</stp>
        <stp>2019-12-31</stp>
        <stp>3</stp>
        <tr r="F3555" s="1"/>
      </tp>
      <tp>
        <v>-28.270283490000001</v>
        <stp/>
        <stp>EM_S_PQ_PCTCHANGE</stp>
        <stp>4</stp>
        <stp>600859</stp>
        <stp>2018-01-01</stp>
        <stp>2019-12-31</stp>
        <stp>3</stp>
        <tr r="F2086" s="1"/>
      </tp>
      <tp>
        <v>24.216359870000002</v>
        <stp/>
        <stp>EM_S_PQ_PCTCHANGE</stp>
        <stp>4</stp>
        <stp>603859</stp>
        <stp>2018-01-01</stp>
        <stp>2019-12-31</stp>
        <stp>3</stp>
        <tr r="F443" s="1"/>
      </tp>
      <tp>
        <v>-47.315772719999998</v>
        <stp/>
        <stp>EM_S_PQ_PCTCHANGE</stp>
        <stp>4</stp>
        <stp>002839</stp>
        <stp>2018-01-01</stp>
        <stp>2019-12-31</stp>
        <stp>3</stp>
        <tr r="F1722" s="1"/>
      </tp>
      <tp>
        <v>-30.239069109999999</v>
        <stp/>
        <stp>EM_S_PQ_PCTCHANGE</stp>
        <stp>4</stp>
        <stp>000830</stp>
        <stp>2018-01-01</stp>
        <stp>2019-12-31</stp>
        <stp>3</stp>
        <tr r="F2036" s="1"/>
      </tp>
      <tp>
        <v>32.252411879999997</v>
        <stp/>
        <stp>EM_S_PQ_PCTCHANGE</stp>
        <stp>4</stp>
        <stp>600850</stp>
        <stp>2018-01-01</stp>
        <stp>2019-12-31</stp>
        <stp>3</stp>
        <tr r="F441" s="1"/>
      </tp>
      <tp>
        <v>-37.822850879999997</v>
        <stp/>
        <stp>EM_S_PQ_PCTCHANGE</stp>
        <stp>4</stp>
        <stp>002830</stp>
        <stp>2018-01-01</stp>
        <stp>2019-12-31</stp>
        <stp>3</stp>
        <tr r="F2632" s="1"/>
      </tp>
      <tp>
        <v>4.6849757700000003</v>
        <stp/>
        <stp>EM_S_PQ_PCTCHANGE</stp>
        <stp>4</stp>
        <stp>000831</stp>
        <stp>2018-01-01</stp>
        <stp>2019-12-31</stp>
        <stp>3</stp>
        <tr r="F465" s="1"/>
      </tp>
      <tp>
        <v>-24.565466950000001</v>
        <stp/>
        <stp>EM_S_PQ_PCTCHANGE</stp>
        <stp>4</stp>
        <stp>600851</stp>
        <stp>2018-01-01</stp>
        <stp>2019-12-31</stp>
        <stp>3</stp>
        <tr r="F1652" s="1"/>
      </tp>
      <tp>
        <v>6.7685355899999999</v>
        <stp/>
        <stp>EM_S_PQ_PCTCHANGE</stp>
        <stp>4</stp>
        <stp>002831</stp>
        <stp>2018-01-01</stp>
        <stp>2019-12-31</stp>
        <stp>3</stp>
        <tr r="F3252" s="1"/>
      </tp>
      <tp>
        <v>0</v>
        <stp/>
        <stp>EM_S_PQ_PCTCHANGE</stp>
        <stp>4</stp>
        <stp>000832</stp>
        <stp>2018-01-01</stp>
        <stp>2019-12-31</stp>
        <stp>3</stp>
        <tr r="F3552" s="1"/>
      </tp>
      <tp>
        <v>0</v>
        <stp/>
        <stp>EM_S_PQ_PCTCHANGE</stp>
        <stp>4</stp>
        <stp>600852</stp>
        <stp>2018-01-01</stp>
        <stp>2019-12-31</stp>
        <stp>3</stp>
        <tr r="F2331" s="1"/>
      </tp>
      <tp>
        <v>27.827797700000001</v>
        <stp/>
        <stp>EM_S_PQ_PCTCHANGE</stp>
        <stp>4</stp>
        <stp>002832</stp>
        <stp>2018-01-01</stp>
        <stp>2019-12-31</stp>
        <stp>3</stp>
        <tr r="F3123" s="1"/>
      </tp>
      <tp>
        <v>-25.629392249999999</v>
        <stp/>
        <stp>EM_S_PQ_PCTCHANGE</stp>
        <stp>4</stp>
        <stp>000833</stp>
        <stp>2018-01-01</stp>
        <stp>2019-12-31</stp>
        <stp>3</stp>
        <tr r="F1707" s="1"/>
      </tp>
      <tp>
        <v>-13.48713371</v>
        <stp/>
        <stp>EM_S_PQ_PCTCHANGE</stp>
        <stp>4</stp>
        <stp>600853</stp>
        <stp>2018-01-01</stp>
        <stp>2019-12-31</stp>
        <stp>3</stp>
        <tr r="F2699" s="1"/>
      </tp>
      <tp>
        <v>-34.588394839999999</v>
        <stp/>
        <stp>EM_S_PQ_PCTCHANGE</stp>
        <stp>4</stp>
        <stp>002833</stp>
        <stp>2018-01-01</stp>
        <stp>2019-12-31</stp>
        <stp>3</stp>
        <tr r="F1553" s="1"/>
      </tp>
      <tp>
        <v>-30.254212540000001</v>
        <stp/>
        <stp>EM_S_PQ_PCTCHANGE</stp>
        <stp>4</stp>
        <stp>600854</stp>
        <stp>2018-01-01</stp>
        <stp>2019-12-31</stp>
        <stp>3</stp>
        <tr r="F1766" s="1"/>
      </tp>
      <tp>
        <v>-42.028985509999998</v>
        <stp/>
        <stp>EM_S_PQ_PCTCHANGE</stp>
        <stp>4</stp>
        <stp>000835</stp>
        <stp>2018-01-01</stp>
        <stp>2019-12-31</stp>
        <stp>3</stp>
        <tr r="F3553" s="1"/>
      </tp>
      <tp>
        <v>-16.65599903</v>
        <stp/>
        <stp>EM_S_PQ_PCTCHANGE</stp>
        <stp>4</stp>
        <stp>600855</stp>
        <stp>2018-01-01</stp>
        <stp>2019-12-31</stp>
        <stp>3</stp>
        <tr r="F817" s="1"/>
      </tp>
      <tp>
        <v>-11.27282222</v>
        <stp/>
        <stp>EM_S_PQ_PCTCHANGE</stp>
        <stp>4</stp>
        <stp>603855</stp>
        <stp>2018-01-01</stp>
        <stp>2019-12-31</stp>
        <stp>3</stp>
        <tr r="F1126" s="1"/>
      </tp>
      <tp>
        <v>9.1187777699999994</v>
        <stp/>
        <stp>EM_S_PQ_PCTCHANGE</stp>
        <stp>4</stp>
        <stp>002835</stp>
        <stp>2018-01-01</stp>
        <stp>2019-12-31</stp>
        <stp>3</stp>
        <tr r="F321" s="1"/>
      </tp>
      <tp>
        <v>-10.4406737</v>
        <stp/>
        <stp>EM_S_PQ_PCTCHANGE</stp>
        <stp>4</stp>
        <stp>000836</stp>
        <stp>2018-01-01</stp>
        <stp>2019-12-31</stp>
        <stp>3</stp>
        <tr r="F2534" s="1"/>
      </tp>
      <tp>
        <v>-78.092690559999994</v>
        <stp/>
        <stp>EM_S_PQ_PCTCHANGE</stp>
        <stp>4</stp>
        <stp>600856</stp>
        <stp>2018-01-01</stp>
        <stp>2019-12-31</stp>
        <stp>3</stp>
        <tr r="F3278" s="1"/>
      </tp>
      <tp>
        <v>-32.714946900000001</v>
        <stp/>
        <stp>EM_S_PQ_PCTCHANGE</stp>
        <stp>4</stp>
        <stp>603856</stp>
        <stp>2018-01-01</stp>
        <stp>2019-12-31</stp>
        <stp>3</stp>
        <tr r="F2996" s="1"/>
      </tp>
      <tp>
        <v>-34.521342490000002</v>
        <stp/>
        <stp>EM_S_PQ_PCTCHANGE</stp>
        <stp>4</stp>
        <stp>002836</stp>
        <stp>2018-01-01</stp>
        <stp>2019-12-31</stp>
        <stp>3</stp>
        <tr r="F2009" s="1"/>
      </tp>
      <tp>
        <v>-24.706745550000001</v>
        <stp/>
        <stp>EM_S_PQ_PCTCHANGE</stp>
        <stp>4</stp>
        <stp>601857</stp>
        <stp>2018-01-01</stp>
        <stp>2019-12-31</stp>
        <stp>3</stp>
        <tr r="F3048" s="1"/>
      </tp>
      <tp>
        <v>-30.065359480000001</v>
        <stp/>
        <stp>EM_S_PQ_PCTCHANGE</stp>
        <stp>4</stp>
        <stp>000837</stp>
        <stp>2018-01-01</stp>
        <stp>2019-12-31</stp>
        <stp>3</stp>
        <tr r="F3554" s="1"/>
      </tp>
      <tp>
        <v>-0.43243242999999998</v>
        <stp/>
        <stp>EM_S_PQ_PCTCHANGE</stp>
        <stp>4</stp>
        <stp>600857</stp>
        <stp>2018-01-01</stp>
        <stp>2019-12-31</stp>
        <stp>3</stp>
        <tr r="F1701" s="1"/>
      </tp>
      <tp>
        <v>-14.67461177</v>
        <stp/>
        <stp>EM_S_PQ_PCTCHANGE</stp>
        <stp>4</stp>
        <stp>002837</stp>
        <stp>2018-01-01</stp>
        <stp>2019-12-31</stp>
        <stp>3</stp>
        <tr r="F1629" s="1"/>
      </tp>
      <tp>
        <v>-21.152457259999998</v>
        <stp/>
        <stp>EM_S_PQ_PCTCHANGE</stp>
        <stp>4</stp>
        <stp>000828</stp>
        <stp>2018-01-01</stp>
        <stp>2019-12-31</stp>
        <stp>3</stp>
        <tr r="F1711" s="1"/>
      </tp>
      <tp>
        <v>11.03808795</v>
        <stp/>
        <stp>EM_S_PQ_PCTCHANGE</stp>
        <stp>4</stp>
        <stp>600848</stp>
        <stp>2018-01-01</stp>
        <stp>2019-12-31</stp>
        <stp>3</stp>
        <tr r="F1417" s="1"/>
      </tp>
      <tp>
        <v>-37.507137399999998</v>
        <stp/>
        <stp>EM_S_PQ_PCTCHANGE</stp>
        <stp>4</stp>
        <stp>603848</stp>
        <stp>2018-01-01</stp>
        <stp>2019-12-31</stp>
        <stp>3</stp>
        <tr r="F2703" s="1"/>
      </tp>
      <tp>
        <v>-17.070625239999998</v>
        <stp/>
        <stp>EM_S_PQ_PCTCHANGE</stp>
        <stp>4</stp>
        <stp>002828</stp>
        <stp>2018-01-01</stp>
        <stp>2019-12-31</stp>
        <stp>3</stp>
        <tr r="F2577" s="1"/>
      </tp>
      <tp>
        <v>-33.842105580000002</v>
        <stp/>
        <stp>EM_S_PQ_PCTCHANGE</stp>
        <stp>4</stp>
        <stp>000829</stp>
        <stp>2018-01-01</stp>
        <stp>2019-12-31</stp>
        <stp>3</stp>
        <tr r="F3551" s="1"/>
      </tp>
      <tp>
        <v>0</v>
        <stp/>
        <stp>EM_S_PQ_PCTCHANGE</stp>
        <stp>4</stp>
        <stp>600849</stp>
        <stp>2018-01-01</stp>
        <stp>2019-12-31</stp>
        <stp>3</stp>
        <tr r="F2335" s="1"/>
      </tp>
      <tp>
        <v>-19.893188469999998</v>
        <stp/>
        <stp>EM_S_PQ_PCTCHANGE</stp>
        <stp>4</stp>
        <stp>002829</stp>
        <stp>2018-01-01</stp>
        <stp>2019-12-31</stp>
        <stp>3</stp>
        <tr r="F1147" s="1"/>
      </tp>
      <tp>
        <v>-94.198895030000003</v>
        <stp/>
        <stp>EM_S_PQ_PCTCHANGE</stp>
        <stp>4</stp>
        <stp>000820</stp>
        <stp>2018-01-01</stp>
        <stp>2019-12-31</stp>
        <stp>3</stp>
        <tr r="F3549" s="1"/>
      </tp>
      <tp>
        <v>0</v>
        <stp/>
        <stp>EM_S_PQ_PCTCHANGE</stp>
        <stp>4</stp>
        <stp>600840</stp>
        <stp>2018-01-01</stp>
        <stp>2019-12-31</stp>
        <stp>3</stp>
        <tr r="F2329" s="1"/>
      </tp>
      <tp>
        <v>-24.57642839</v>
        <stp/>
        <stp>EM_S_PQ_PCTCHANGE</stp>
        <stp>4</stp>
        <stp>002820</stp>
        <stp>2018-01-01</stp>
        <stp>2019-12-31</stp>
        <stp>3</stp>
        <tr r="F2429" s="1"/>
      </tp>
      <tp>
        <v>-47.741040519999999</v>
        <stp/>
        <stp>EM_S_PQ_PCTCHANGE</stp>
        <stp>4</stp>
        <stp>000821</stp>
        <stp>2018-01-01</stp>
        <stp>2019-12-31</stp>
        <stp>3</stp>
        <tr r="F2937" s="1"/>
      </tp>
      <tp>
        <v>-41.535715240000002</v>
        <stp/>
        <stp>EM_S_PQ_PCTCHANGE</stp>
        <stp>4</stp>
        <stp>600841</stp>
        <stp>2018-01-01</stp>
        <stp>2019-12-31</stp>
        <stp>3</stp>
        <tr r="F1932" s="1"/>
      </tp>
      <tp>
        <v>118.33156563999999</v>
        <stp/>
        <stp>EM_S_PQ_PCTCHANGE</stp>
        <stp>4</stp>
        <stp>002821</stp>
        <stp>2018-01-01</stp>
        <stp>2019-12-31</stp>
        <stp>3</stp>
        <tr r="F209" s="1"/>
      </tp>
      <tp>
        <v>-43.352129789999999</v>
        <stp/>
        <stp>EM_S_PQ_PCTCHANGE</stp>
        <stp>4</stp>
        <stp>000822</stp>
        <stp>2018-01-01</stp>
        <stp>2019-12-31</stp>
        <stp>3</stp>
        <tr r="F2171" s="1"/>
      </tp>
      <tp>
        <v>0</v>
        <stp/>
        <stp>EM_S_PQ_PCTCHANGE</stp>
        <stp>4</stp>
        <stp>600842</stp>
        <stp>2018-01-01</stp>
        <stp>2019-12-31</stp>
        <stp>3</stp>
        <tr r="F2330" s="1"/>
      </tp>
      <tp>
        <v>27.687764659999999</v>
        <stp/>
        <stp>EM_S_PQ_PCTCHANGE</stp>
        <stp>4</stp>
        <stp>002822</stp>
        <stp>2018-01-01</stp>
        <stp>2019-12-31</stp>
        <stp>3</stp>
        <tr r="F219" s="1"/>
      </tp>
      <tp>
        <v>2.00073151</v>
        <stp/>
        <stp>EM_S_PQ_PCTCHANGE</stp>
        <stp>4</stp>
        <stp>000823</stp>
        <stp>2018-01-01</stp>
        <stp>2019-12-31</stp>
        <stp>3</stp>
        <tr r="F267" s="1"/>
      </tp>
      <tp>
        <v>-27.10900474</v>
        <stp/>
        <stp>EM_S_PQ_PCTCHANGE</stp>
        <stp>4</stp>
        <stp>600843</stp>
        <stp>2018-01-01</stp>
        <stp>2019-12-31</stp>
        <stp>3</stp>
        <tr r="F1525" s="1"/>
      </tp>
      <tp>
        <v>-55.033955030000001</v>
        <stp/>
        <stp>EM_S_PQ_PCTCHANGE</stp>
        <stp>4</stp>
        <stp>603843</stp>
        <stp>2018-01-01</stp>
        <stp>2019-12-31</stp>
        <stp>3</stp>
        <tr r="F3316" s="1"/>
      </tp>
      <tp>
        <v>-39.015570310000001</v>
        <stp/>
        <stp>EM_S_PQ_PCTCHANGE</stp>
        <stp>4</stp>
        <stp>002823</stp>
        <stp>2018-01-01</stp>
        <stp>2019-12-31</stp>
        <stp>3</stp>
        <tr r="F2753" s="1"/>
      </tp>
      <tp>
        <v>-14.65517241</v>
        <stp/>
        <stp>EM_S_PQ_PCTCHANGE</stp>
        <stp>4</stp>
        <stp>600844</stp>
        <stp>2018-01-01</stp>
        <stp>2019-12-31</stp>
        <stp>3</stp>
        <tr r="F467" s="1"/>
      </tp>
      <tp>
        <v>-45.99011041</v>
        <stp/>
        <stp>EM_S_PQ_PCTCHANGE</stp>
        <stp>4</stp>
        <stp>002824</stp>
        <stp>2018-01-01</stp>
        <stp>2019-12-31</stp>
        <stp>3</stp>
        <tr r="F1249" s="1"/>
      </tp>
      <tp>
        <v>-12.01966007</v>
        <stp/>
        <stp>EM_S_PQ_PCTCHANGE</stp>
        <stp>4</stp>
        <stp>000825</stp>
        <stp>2018-01-01</stp>
        <stp>2019-12-31</stp>
        <stp>3</stp>
        <tr r="F2407" s="1"/>
      </tp>
      <tp>
        <v>134.36204286</v>
        <stp/>
        <stp>EM_S_PQ_PCTCHANGE</stp>
        <stp>4</stp>
        <stp>600845</stp>
        <stp>2018-01-01</stp>
        <stp>2019-12-31</stp>
        <stp>3</stp>
        <tr r="F442" s="1"/>
      </tp>
      <tp>
        <v>-24.94798119</v>
        <stp/>
        <stp>EM_S_PQ_PCTCHANGE</stp>
        <stp>4</stp>
        <stp>002825</stp>
        <stp>2018-01-01</stp>
        <stp>2019-12-31</stp>
        <stp>3</stp>
        <tr r="F2522" s="1"/>
      </tp>
      <tp>
        <v>-60.43170284</v>
        <stp/>
        <stp>EM_S_PQ_PCTCHANGE</stp>
        <stp>4</stp>
        <stp>000826</stp>
        <stp>2018-01-01</stp>
        <stp>2019-12-31</stp>
        <stp>3</stp>
        <tr r="F2803" s="1"/>
      </tp>
      <tp>
        <v>0.27659664</v>
        <stp/>
        <stp>EM_S_PQ_PCTCHANGE</stp>
        <stp>4</stp>
        <stp>600846</stp>
        <stp>2018-01-01</stp>
        <stp>2019-12-31</stp>
        <stp>3</stp>
        <tr r="F959" s="1"/>
      </tp>
      <tp>
        <v>-31.551390260000002</v>
        <stp/>
        <stp>EM_S_PQ_PCTCHANGE</stp>
        <stp>4</stp>
        <stp>002826</stp>
        <stp>2018-01-01</stp>
        <stp>2019-12-31</stp>
        <stp>3</stp>
        <tr r="F2473" s="1"/>
      </tp>
      <tp>
        <v>0</v>
        <stp/>
        <stp>EM_S_PQ_PCTCHANGE</stp>
        <stp>4</stp>
        <stp>000827</stp>
        <stp>2018-01-01</stp>
        <stp>2019-12-31</stp>
        <stp>3</stp>
        <tr r="F3550" s="1"/>
      </tp>
      <tp>
        <v>-27.896440129999998</v>
        <stp/>
        <stp>EM_S_PQ_PCTCHANGE</stp>
        <stp>4</stp>
        <stp>600847</stp>
        <stp>2018-01-01</stp>
        <stp>2019-12-31</stp>
        <stp>3</stp>
        <tr r="F2395" s="1"/>
      </tp>
      <tp>
        <v>-15.927903710000001</v>
        <stp/>
        <stp>EM_S_PQ_PCTCHANGE</stp>
        <stp>4</stp>
        <stp>002827</stp>
        <stp>2018-01-01</stp>
        <stp>2019-12-31</stp>
        <stp>3</stp>
        <tr r="F3229" s="1"/>
      </tp>
      <tp>
        <v>-9.7691647899999996</v>
        <stp/>
        <stp>EM_S_PQ_PCTCHANGE</stp>
        <stp>4</stp>
        <stp>601898</stp>
        <stp>2018-01-01</stp>
        <stp>2019-12-31</stp>
        <stp>3</stp>
        <tr r="F1860" s="1"/>
      </tp>
      <tp>
        <v>-33.949579829999998</v>
        <stp/>
        <stp>EM_S_PQ_PCTCHANGE</stp>
        <stp>4</stp>
        <stp>600898</stp>
        <stp>2018-01-01</stp>
        <stp>2019-12-31</stp>
        <stp>3</stp>
        <tr r="F2388" s="1"/>
      </tp>
      <tp>
        <v>-43.347112180000003</v>
        <stp/>
        <stp>EM_S_PQ_PCTCHANGE</stp>
        <stp>4</stp>
        <stp>603898</stp>
        <stp>2018-01-01</stp>
        <stp>2019-12-31</stp>
        <stp>3</stp>
        <tr r="F2001" s="1"/>
      </tp>
      <tp>
        <v>5.4816258900000001</v>
        <stp/>
        <stp>EM_S_PQ_PCTCHANGE</stp>
        <stp>4</stp>
        <stp>601899</stp>
        <stp>2018-01-01</stp>
        <stp>2019-12-31</stp>
        <stp>3</stp>
        <tr r="F838" s="1"/>
      </tp>
      <tp>
        <v>0</v>
        <stp/>
        <stp>EM_S_PQ_PCTCHANGE</stp>
        <stp>4</stp>
        <stp>600899</stp>
        <stp>2018-01-01</stp>
        <stp>2019-12-31</stp>
        <stp>3</stp>
        <tr r="F2333" s="1"/>
      </tp>
      <tp>
        <v>100.96314932</v>
        <stp/>
        <stp>EM_S_PQ_PCTCHANGE</stp>
        <stp>4</stp>
        <stp>603899</stp>
        <stp>2018-01-01</stp>
        <stp>2019-12-31</stp>
        <stp>3</stp>
        <tr r="F439" s="1"/>
      </tp>
      <tp>
        <v>-10.895533090000001</v>
        <stp/>
        <stp>EM_S_PQ_PCTCHANGE</stp>
        <stp>4</stp>
        <stp>601890</stp>
        <stp>2018-01-01</stp>
        <stp>2019-12-31</stp>
        <stp>3</stp>
        <tr r="F410" s="1"/>
      </tp>
      <tp>
        <v>-38.001958860000002</v>
        <stp/>
        <stp>EM_S_PQ_PCTCHANGE</stp>
        <stp>4</stp>
        <stp>600890</stp>
        <stp>2018-01-01</stp>
        <stp>2019-12-31</stp>
        <stp>3</stp>
        <tr r="F3134" s="1"/>
      </tp>
      <tp>
        <v>-49.600778490000003</v>
        <stp/>
        <stp>EM_S_PQ_PCTCHANGE</stp>
        <stp>4</stp>
        <stp>603890</stp>
        <stp>2018-01-01</stp>
        <stp>2019-12-31</stp>
        <stp>3</stp>
        <tr r="F2755" s="1"/>
      </tp>
      <tp>
        <v>-80.314960630000002</v>
        <stp/>
        <stp>EM_S_PQ_PCTCHANGE</stp>
        <stp>4</stp>
        <stp>600891</stp>
        <stp>2018-01-01</stp>
        <stp>2019-12-31</stp>
        <stp>3</stp>
        <tr r="F3403" s="1"/>
      </tp>
      <tp>
        <v>-39.060832439999999</v>
        <stp/>
        <stp>EM_S_PQ_PCTCHANGE</stp>
        <stp>4</stp>
        <stp>600892</stp>
        <stp>2018-01-01</stp>
        <stp>2019-12-31</stp>
        <stp>3</stp>
        <tr r="F3227" s="1"/>
      </tp>
      <tp>
        <v>-18.505413449999999</v>
        <stp/>
        <stp>EM_S_PQ_PCTCHANGE</stp>
        <stp>4</stp>
        <stp>600893</stp>
        <stp>2018-01-01</stp>
        <stp>2019-12-31</stp>
        <stp>3</stp>
        <tr r="F2384" s="1"/>
      </tp>
      <tp>
        <v>-17.139929850000001</v>
        <stp/>
        <stp>EM_S_PQ_PCTCHANGE</stp>
        <stp>4</stp>
        <stp>600894</stp>
        <stp>2018-01-01</stp>
        <stp>2019-12-31</stp>
        <stp>3</stp>
        <tr r="F802" s="1"/>
      </tp>
      <tp>
        <v>8.7171699100000009</v>
        <stp/>
        <stp>EM_S_PQ_PCTCHANGE</stp>
        <stp>4</stp>
        <stp>600895</stp>
        <stp>2018-01-01</stp>
        <stp>2019-12-31</stp>
        <stp>3</stp>
        <tr r="F2139" s="1"/>
      </tp>
      <tp>
        <v>77.895123339999998</v>
        <stp/>
        <stp>EM_S_PQ_PCTCHANGE</stp>
        <stp>4</stp>
        <stp>603895</stp>
        <stp>2018-01-01</stp>
        <stp>2019-12-31</stp>
        <stp>3</stp>
        <tr r="F2804" s="1"/>
      </tp>
      <tp>
        <v>-40.139860140000003</v>
        <stp/>
        <stp>EM_S_PQ_PCTCHANGE</stp>
        <stp>4</stp>
        <stp>600896</stp>
        <stp>2018-01-01</stp>
        <stp>2019-12-31</stp>
        <stp>3</stp>
        <tr r="F1511" s="1"/>
      </tp>
      <tp>
        <v>-46.497887069999997</v>
        <stp/>
        <stp>EM_S_PQ_PCTCHANGE</stp>
        <stp>4</stp>
        <stp>603896</stp>
        <stp>2018-01-01</stp>
        <stp>2019-12-31</stp>
        <stp>3</stp>
        <tr r="F1605" s="1"/>
      </tp>
      <tp>
        <v>9.9570191900000005</v>
        <stp/>
        <stp>EM_S_PQ_PCTCHANGE</stp>
        <stp>4</stp>
        <stp>600897</stp>
        <stp>2018-01-01</stp>
        <stp>2019-12-31</stp>
        <stp>3</stp>
        <tr r="F2061" s="1"/>
      </tp>
      <tp>
        <v>9.7944235099999997</v>
        <stp/>
        <stp>EM_S_PQ_PCTCHANGE</stp>
        <stp>4</stp>
        <stp>603897</stp>
        <stp>2018-01-01</stp>
        <stp>2019-12-31</stp>
        <stp>3</stp>
        <tr r="F2927" s="1"/>
      </tp>
      <tp>
        <v>107.93204391</v>
        <stp/>
        <stp>EM_S_PQ_PCTCHANGE</stp>
        <stp>4</stp>
        <stp>601888</stp>
        <stp>2018-01-01</stp>
        <stp>2019-12-31</stp>
        <stp>3</stp>
        <tr r="F601" s="1"/>
      </tp>
      <tp>
        <v>-30.29821832</v>
        <stp/>
        <stp>EM_S_PQ_PCTCHANGE</stp>
        <stp>4</stp>
        <stp>600888</stp>
        <stp>2018-01-01</stp>
        <stp>2019-12-31</stp>
        <stp>3</stp>
        <tr r="F1734" s="1"/>
      </tp>
      <tp>
        <v>-8.6730225500000007</v>
        <stp/>
        <stp>EM_S_PQ_PCTCHANGE</stp>
        <stp>4</stp>
        <stp>603888</stp>
        <stp>2018-01-01</stp>
        <stp>2019-12-31</stp>
        <stp>3</stp>
        <tr r="F402" s="1"/>
      </tp>
      <tp>
        <v>-45.153541789999998</v>
        <stp/>
        <stp>EM_S_PQ_PCTCHANGE</stp>
        <stp>4</stp>
        <stp>600889</stp>
        <stp>2018-01-01</stp>
        <stp>2019-12-31</stp>
        <stp>3</stp>
        <tr r="F2344" s="1"/>
      </tp>
      <tp>
        <v>-45.655833479999998</v>
        <stp/>
        <stp>EM_S_PQ_PCTCHANGE</stp>
        <stp>4</stp>
        <stp>603889</stp>
        <stp>2018-01-01</stp>
        <stp>2019-12-31</stp>
        <stp>3</stp>
        <tr r="F3265" s="1"/>
      </tp>
      <tp>
        <v>-25.788387610000001</v>
        <stp/>
        <stp>EM_S_PQ_PCTCHANGE</stp>
        <stp>4</stp>
        <stp>601880</stp>
        <stp>2018-01-01</stp>
        <stp>2019-12-31</stp>
        <stp>3</stp>
        <tr r="F1781" s="1"/>
      </tp>
      <tp>
        <v>-24.079853419999999</v>
        <stp/>
        <stp>EM_S_PQ_PCTCHANGE</stp>
        <stp>4</stp>
        <stp>600880</stp>
        <stp>2018-01-01</stp>
        <stp>2019-12-31</stp>
        <stp>3</stp>
        <tr r="F1852" s="1"/>
      </tp>
      <tp>
        <v>-21.19007959</v>
        <stp/>
        <stp>EM_S_PQ_PCTCHANGE</stp>
        <stp>4</stp>
        <stp>603880</stp>
        <stp>2018-01-01</stp>
        <stp>2019-12-31</stp>
        <stp>3</stp>
        <tr r="F2774" s="1"/>
      </tp>
      <tp>
        <v>13.229239140000001</v>
        <stp/>
        <stp>EM_S_PQ_PCTCHANGE</stp>
        <stp>4</stp>
        <stp>601881</stp>
        <stp>2018-01-01</stp>
        <stp>2019-12-31</stp>
        <stp>3</stp>
        <tr r="F338" s="1"/>
      </tp>
      <tp>
        <v>-38.794603879999997</v>
        <stp/>
        <stp>EM_S_PQ_PCTCHANGE</stp>
        <stp>4</stp>
        <stp>600881</stp>
        <stp>2018-01-01</stp>
        <stp>2019-12-31</stp>
        <stp>3</stp>
        <tr r="F2561" s="1"/>
      </tp>
      <tp>
        <v>-16.485281990000001</v>
        <stp/>
        <stp>EM_S_PQ_PCTCHANGE</stp>
        <stp>4</stp>
        <stp>603881</stp>
        <stp>2018-01-01</stp>
        <stp>2019-12-31</stp>
        <stp>3</stp>
        <tr r="F513" s="1"/>
      </tp>
      <tp>
        <v>-40.646026399999997</v>
        <stp/>
        <stp>EM_S_PQ_PCTCHANGE</stp>
        <stp>4</stp>
        <stp>601882</stp>
        <stp>2018-01-01</stp>
        <stp>2019-12-31</stp>
        <stp>3</stp>
        <tr r="F2144" s="1"/>
      </tp>
      <tp>
        <v>59.868421050000002</v>
        <stp/>
        <stp>EM_S_PQ_PCTCHANGE</stp>
        <stp>4</stp>
        <stp>600882</stp>
        <stp>2018-01-01</stp>
        <stp>2019-12-31</stp>
        <stp>3</stp>
        <tr r="F211" s="1"/>
      </tp>
      <tp>
        <v>62.919398770000001</v>
        <stp/>
        <stp>EM_S_PQ_PCTCHANGE</stp>
        <stp>4</stp>
        <stp>603882</stp>
        <stp>2018-01-01</stp>
        <stp>2019-12-31</stp>
        <stp>3</stp>
        <tr r="F116" s="1"/>
      </tp>
      <tp>
        <v>-18.313929040000001</v>
        <stp/>
        <stp>EM_S_PQ_PCTCHANGE</stp>
        <stp>4</stp>
        <stp>600883</stp>
        <stp>2018-01-01</stp>
        <stp>2019-12-31</stp>
        <stp>3</stp>
        <tr r="F1056" s="1"/>
      </tp>
      <tp>
        <v>3.8883301100000001</v>
        <stp/>
        <stp>EM_S_PQ_PCTCHANGE</stp>
        <stp>4</stp>
        <stp>603883</stp>
        <stp>2018-01-01</stp>
        <stp>2019-12-31</stp>
        <stp>3</stp>
        <tr r="F819" s="1"/>
      </tp>
      <tp>
        <v>-29.558271980000001</v>
        <stp/>
        <stp>EM_S_PQ_PCTCHANGE</stp>
        <stp>4</stp>
        <stp>600884</stp>
        <stp>2018-01-01</stp>
        <stp>2019-12-31</stp>
        <stp>3</stp>
        <tr r="F1987" s="1"/>
      </tp>
      <tp>
        <v>19.183453159999999</v>
        <stp/>
        <stp>EM_S_PQ_PCTCHANGE</stp>
        <stp>4</stp>
        <stp>600885</stp>
        <stp>2018-01-01</stp>
        <stp>2019-12-31</stp>
        <stp>3</stp>
        <tr r="F497" s="1"/>
      </tp>
      <tp>
        <v>-0.52082472000000002</v>
        <stp/>
        <stp>EM_S_PQ_PCTCHANGE</stp>
        <stp>4</stp>
        <stp>603885</stp>
        <stp>2018-01-01</stp>
        <stp>2019-12-31</stp>
        <stp>3</stp>
        <tr r="F1184" s="1"/>
      </tp>
      <tp>
        <v>-10.089575099999999</v>
        <stp/>
        <stp>EM_S_PQ_PCTCHANGE</stp>
        <stp>4</stp>
        <stp>601886</stp>
        <stp>2018-01-01</stp>
        <stp>2019-12-31</stp>
        <stp>3</stp>
        <tr r="F2479" s="1"/>
      </tp>
      <tp>
        <v>31.256830900000001</v>
        <stp/>
        <stp>EM_S_PQ_PCTCHANGE</stp>
        <stp>4</stp>
        <stp>600886</stp>
        <stp>2018-01-01</stp>
        <stp>2019-12-31</stp>
        <stp>3</stp>
        <tr r="F1548" s="1"/>
      </tp>
      <tp>
        <v>-7.9590673599999997</v>
        <stp/>
        <stp>EM_S_PQ_PCTCHANGE</stp>
        <stp>4</stp>
        <stp>603886</stp>
        <stp>2018-01-01</stp>
        <stp>2019-12-31</stp>
        <stp>3</stp>
        <tr r="F2380" s="1"/>
      </tp>
      <tp>
        <v>0.74183489000000002</v>
        <stp/>
        <stp>EM_S_PQ_PCTCHANGE</stp>
        <stp>4</stp>
        <stp>600887</stp>
        <stp>2018-01-01</stp>
        <stp>2019-12-31</stp>
        <stp>3</stp>
        <tr r="F827" s="1"/>
      </tp>
      <tp>
        <v>38.634119859999998</v>
        <stp/>
        <stp>EM_S_PQ_PCTCHANGE</stp>
        <stp>4</stp>
        <stp>603887</stp>
        <stp>2018-01-01</stp>
        <stp>2019-12-31</stp>
        <stp>3</stp>
        <tr r="F293" s="1"/>
      </tp>
      <tp>
        <v>-25.407149350000001</v>
        <stp/>
        <stp>EM_S_PQ_PCTCHANGE</stp>
        <stp>4</stp>
        <stp>000898</stp>
        <stp>2018-01-01</stp>
        <stp>2019-12-31</stp>
        <stp>3</stp>
        <tr r="F3280" s="1"/>
      </tp>
      <tp>
        <v>-29.657146860000001</v>
        <stp/>
        <stp>EM_S_PQ_PCTCHANGE</stp>
        <stp>4</stp>
        <stp>002898</stp>
        <stp>2018-01-01</stp>
        <stp>2019-12-31</stp>
        <stp>3</stp>
        <tr r="F2713" s="1"/>
      </tp>
      <tp>
        <v>-15.961623339999999</v>
        <stp/>
        <stp>EM_S_PQ_PCTCHANGE</stp>
        <stp>4</stp>
        <stp>000899</stp>
        <stp>2018-01-01</stp>
        <stp>2019-12-31</stp>
        <stp>3</stp>
        <tr r="F1690" s="1"/>
      </tp>
      <tp>
        <v>-50.254021600000002</v>
        <stp/>
        <stp>EM_S_PQ_PCTCHANGE</stp>
        <stp>4</stp>
        <stp>002899</stp>
        <stp>2018-01-01</stp>
        <stp>2019-12-31</stp>
        <stp>3</stp>
        <tr r="F2501" s="1"/>
      </tp>
      <tp>
        <v>-17.469879519999999</v>
        <stp/>
        <stp>EM_S_PQ_PCTCHANGE</stp>
        <stp>4</stp>
        <stp>000890</stp>
        <stp>2018-01-01</stp>
        <stp>2019-12-31</stp>
        <stp>3</stp>
        <tr r="F3564" s="1"/>
      </tp>
      <tp>
        <v>-24.465456710000002</v>
        <stp/>
        <stp>EM_S_PQ_PCTCHANGE</stp>
        <stp>4</stp>
        <stp>002890</stp>
        <stp>2018-01-01</stp>
        <stp>2019-12-31</stp>
        <stp>3</stp>
        <tr r="F756" s="1"/>
      </tp>
      <tp>
        <v>30.934383440000001</v>
        <stp/>
        <stp>EM_S_PQ_PCTCHANGE</stp>
        <stp>4</stp>
        <stp>002891</stp>
        <stp>2018-01-01</stp>
        <stp>2019-12-31</stp>
        <stp>3</stp>
        <tr r="F3025" s="1"/>
      </tp>
      <tp>
        <v>-35.60411311</v>
        <stp/>
        <stp>EM_S_PQ_PCTCHANGE</stp>
        <stp>4</stp>
        <stp>000892</stp>
        <stp>2018-01-01</stp>
        <stp>2019-12-31</stp>
        <stp>3</stp>
        <tr r="F3565" s="1"/>
      </tp>
      <tp>
        <v>36.607648730000001</v>
        <stp/>
        <stp>EM_S_PQ_PCTCHANGE</stp>
        <stp>4</stp>
        <stp>002892</stp>
        <stp>2018-01-01</stp>
        <stp>2019-12-31</stp>
        <stp>3</stp>
        <tr r="F1688" s="1"/>
      </tp>
      <tp>
        <v>-36</v>
        <stp/>
        <stp>EM_S_PQ_PCTCHANGE</stp>
        <stp>4</stp>
        <stp>000893</stp>
        <stp>2018-01-01</stp>
        <stp>2019-12-31</stp>
        <stp>3</stp>
        <tr r="F3566" s="1"/>
      </tp>
      <tp>
        <v>-37.749595540000001</v>
        <stp/>
        <stp>EM_S_PQ_PCTCHANGE</stp>
        <stp>4</stp>
        <stp>002893</stp>
        <stp>2018-01-01</stp>
        <stp>2019-12-31</stp>
        <stp>3</stp>
        <tr r="F3136" s="1"/>
      </tp>
      <tp>
        <v>21.369533310000001</v>
        <stp/>
        <stp>EM_S_PQ_PCTCHANGE</stp>
        <stp>4</stp>
        <stp>000895</stp>
        <stp>2018-01-01</stp>
        <stp>2019-12-31</stp>
        <stp>3</stp>
        <tr r="F3567" s="1"/>
      </tp>
      <tp>
        <v>-53.908122179999999</v>
        <stp/>
        <stp>EM_S_PQ_PCTCHANGE</stp>
        <stp>4</stp>
        <stp>002895</stp>
        <stp>2018-01-01</stp>
        <stp>2019-12-31</stp>
        <stp>3</stp>
        <tr r="F2097" s="1"/>
      </tp>
      <tp>
        <v>-34.317343170000001</v>
        <stp/>
        <stp>EM_S_PQ_PCTCHANGE</stp>
        <stp>4</stp>
        <stp>001896</stp>
        <stp>2018-01-01</stp>
        <stp>2019-12-31</stp>
        <stp>3</stp>
        <tr r="F3602" s="1"/>
      </tp>
      <tp>
        <v>-47.874450320000001</v>
        <stp/>
        <stp>EM_S_PQ_PCTCHANGE</stp>
        <stp>4</stp>
        <stp>002896</stp>
        <stp>2018-01-01</stp>
        <stp>2019-12-31</stp>
        <stp>3</stp>
        <tr r="F3187" s="1"/>
      </tp>
      <tp>
        <v>-37.869822489999997</v>
        <stp/>
        <stp>EM_S_PQ_PCTCHANGE</stp>
        <stp>4</stp>
        <stp>000897</stp>
        <stp>2018-01-01</stp>
        <stp>2019-12-31</stp>
        <stp>3</stp>
        <tr r="F3568" s="1"/>
      </tp>
      <tp>
        <v>12.346486730000001</v>
        <stp/>
        <stp>EM_S_PQ_PCTCHANGE</stp>
        <stp>4</stp>
        <stp>002897</stp>
        <stp>2018-01-01</stp>
        <stp>2019-12-31</stp>
        <stp>3</stp>
        <tr r="F887" s="1"/>
      </tp>
      <tp>
        <v>-37.412720909999997</v>
        <stp/>
        <stp>EM_S_PQ_PCTCHANGE</stp>
        <stp>4</stp>
        <stp>000888</stp>
        <stp>2018-01-01</stp>
        <stp>2019-12-31</stp>
        <stp>3</stp>
        <tr r="F3563" s="1"/>
      </tp>
      <tp>
        <v>23.578043000000001</v>
        <stp/>
        <stp>EM_S_PQ_PCTCHANGE</stp>
        <stp>4</stp>
        <stp>002888</stp>
        <stp>2018-01-01</stp>
        <stp>2019-12-31</stp>
        <stp>3</stp>
        <tr r="F1442" s="1"/>
      </tp>
      <tp>
        <v>-29.421740110000002</v>
        <stp/>
        <stp>EM_S_PQ_PCTCHANGE</stp>
        <stp>4</stp>
        <stp>000889</stp>
        <stp>2018-01-01</stp>
        <stp>2019-12-31</stp>
        <stp>3</stp>
        <tr r="F2649" s="1"/>
      </tp>
      <tp>
        <v>-8.5674157300000005</v>
        <stp/>
        <stp>EM_S_PQ_PCTCHANGE</stp>
        <stp>4</stp>
        <stp>002889</stp>
        <stp>2018-01-01</stp>
        <stp>2019-12-31</stp>
        <stp>3</stp>
        <tr r="F1842" s="1"/>
      </tp>
      <tp>
        <v>-14.44125938</v>
        <stp/>
        <stp>EM_S_PQ_PCTCHANGE</stp>
        <stp>4</stp>
        <stp>000880</stp>
        <stp>2018-01-01</stp>
        <stp>2019-12-31</stp>
        <stp>3</stp>
        <tr r="F1865" s="1"/>
      </tp>
      <tp>
        <v>-2.6555676099999999</v>
        <stp/>
        <stp>EM_S_PQ_PCTCHANGE</stp>
        <stp>4</stp>
        <stp>002880</stp>
        <stp>2018-01-01</stp>
        <stp>2019-12-31</stp>
        <stp>3</stp>
        <tr r="F1086" s="1"/>
      </tp>
      <tp>
        <v>-46.997749399999996</v>
        <stp/>
        <stp>EM_S_PQ_PCTCHANGE</stp>
        <stp>4</stp>
        <stp>000881</stp>
        <stp>2018-01-01</stp>
        <stp>2019-12-31</stp>
        <stp>3</stp>
        <tr r="F2108" s="1"/>
      </tp>
      <tp>
        <v>49.737812249999998</v>
        <stp/>
        <stp>EM_S_PQ_PCTCHANGE</stp>
        <stp>4</stp>
        <stp>002881</stp>
        <stp>2018-01-01</stp>
        <stp>2019-12-31</stp>
        <stp>3</stp>
        <tr r="F534" s="1"/>
      </tp>
      <tp>
        <v>-26.229508200000001</v>
        <stp/>
        <stp>EM_S_PQ_PCTCHANGE</stp>
        <stp>4</stp>
        <stp>000882</stp>
        <stp>2018-01-01</stp>
        <stp>2019-12-31</stp>
        <stp>3</stp>
        <tr r="F2222" s="1"/>
      </tp>
      <tp>
        <v>-20.36403778</v>
        <stp/>
        <stp>EM_S_PQ_PCTCHANGE</stp>
        <stp>4</stp>
        <stp>002882</stp>
        <stp>2018-01-01</stp>
        <stp>2019-12-31</stp>
        <stp>3</stp>
        <tr r="F1759" s="1"/>
      </tp>
      <tp>
        <v>-5.4340543600000002</v>
        <stp/>
        <stp>EM_S_PQ_PCTCHANGE</stp>
        <stp>4</stp>
        <stp>000883</stp>
        <stp>2018-01-01</stp>
        <stp>2019-12-31</stp>
        <stp>3</stp>
        <tr r="F1562" s="1"/>
      </tp>
      <tp>
        <v>-32.792250760000002</v>
        <stp/>
        <stp>EM_S_PQ_PCTCHANGE</stp>
        <stp>4</stp>
        <stp>002883</stp>
        <stp>2018-01-01</stp>
        <stp>2019-12-31</stp>
        <stp>3</stp>
        <tr r="F2216" s="1"/>
      </tp>
      <tp>
        <v>-21.346676779999999</v>
        <stp/>
        <stp>EM_S_PQ_PCTCHANGE</stp>
        <stp>4</stp>
        <stp>002884</stp>
        <stp>2018-01-01</stp>
        <stp>2019-12-31</stp>
        <stp>3</stp>
        <tr r="F3180" s="1"/>
      </tp>
      <tp>
        <v>-27.328942430000001</v>
        <stp/>
        <stp>EM_S_PQ_PCTCHANGE</stp>
        <stp>4</stp>
        <stp>000885</stp>
        <stp>2018-01-01</stp>
        <stp>2019-12-31</stp>
        <stp>3</stp>
        <tr r="F3561" s="1"/>
      </tp>
      <tp>
        <v>-2.5267809699999999</v>
        <stp/>
        <stp>EM_S_PQ_PCTCHANGE</stp>
        <stp>4</stp>
        <stp>002885</stp>
        <stp>2018-01-01</stp>
        <stp>2019-12-31</stp>
        <stp>3</stp>
        <tr r="F3090" s="1"/>
      </tp>
      <tp>
        <v>-42.610704779999999</v>
        <stp/>
        <stp>EM_S_PQ_PCTCHANGE</stp>
        <stp>4</stp>
        <stp>000886</stp>
        <stp>2018-01-01</stp>
        <stp>2019-12-31</stp>
        <stp>3</stp>
        <tr r="F3562" s="1"/>
      </tp>
      <tp>
        <v>-0.72401833000000004</v>
        <stp/>
        <stp>EM_S_PQ_PCTCHANGE</stp>
        <stp>4</stp>
        <stp>002886</stp>
        <stp>2018-01-01</stp>
        <stp>2019-12-31</stp>
        <stp>3</stp>
        <tr r="F774" s="1"/>
      </tp>
      <tp>
        <v>-48.06010938</v>
        <stp/>
        <stp>EM_S_PQ_PCTCHANGE</stp>
        <stp>4</stp>
        <stp>000887</stp>
        <stp>2018-01-01</stp>
        <stp>2019-12-31</stp>
        <stp>3</stp>
        <tr r="F2794" s="1"/>
      </tp>
      <tp>
        <v>-46.764869760000003</v>
        <stp/>
        <stp>EM_S_PQ_PCTCHANGE</stp>
        <stp>4</stp>
        <stp>002887</stp>
        <stp>2018-01-01</stp>
        <stp>2019-12-31</stp>
        <stp>3</stp>
        <tr r="F2528" s="1"/>
      </tp>
      <tp>
        <v>14.66718635</v>
        <stp/>
        <stp>EM_S_PQ_PCTCHANGE</stp>
        <stp>4</stp>
        <stp>000958</stp>
        <stp>2018-01-01</stp>
        <stp>2019-12-31</stp>
        <stp>3</stp>
        <tr r="F289" s="1"/>
      </tp>
      <tp>
        <v>-47.284376330000001</v>
        <stp/>
        <stp>EM_S_PQ_PCTCHANGE</stp>
        <stp>4</stp>
        <stp>603938</stp>
        <stp>2018-01-01</stp>
        <stp>2019-12-31</stp>
        <stp>3</stp>
        <tr r="F1870" s="1"/>
      </tp>
      <tp>
        <v>2.6338176799999999</v>
        <stp/>
        <stp>EM_S_PQ_PCTCHANGE</stp>
        <stp>4</stp>
        <stp>601939</stp>
        <stp>2018-01-01</stp>
        <stp>2019-12-31</stp>
        <stp>3</stp>
        <tr r="F1554" s="1"/>
      </tp>
      <tp>
        <v>-40.969899669999997</v>
        <stp/>
        <stp>EM_S_PQ_PCTCHANGE</stp>
        <stp>4</stp>
        <stp>000959</stp>
        <stp>2018-01-01</stp>
        <stp>2019-12-31</stp>
        <stp>3</stp>
        <tr r="F2602" s="1"/>
      </tp>
      <tp>
        <v>-33.529888079999999</v>
        <stp/>
        <stp>EM_S_PQ_PCTCHANGE</stp>
        <stp>4</stp>
        <stp>600939</stp>
        <stp>2018-01-01</stp>
        <stp>2019-12-31</stp>
        <stp>3</stp>
        <tr r="F2104" s="1"/>
      </tp>
      <tp>
        <v>62.631068300000003</v>
        <stp/>
        <stp>EM_S_PQ_PCTCHANGE</stp>
        <stp>4</stp>
        <stp>603939</stp>
        <stp>2018-01-01</stp>
        <stp>2019-12-31</stp>
        <stp>3</stp>
        <tr r="F285" s="1"/>
      </tp>
      <tp>
        <v>-46.268656720000003</v>
        <stp/>
        <stp>EM_S_PQ_PCTCHANGE</stp>
        <stp>4</stp>
        <stp>000950</stp>
        <stp>2018-01-01</stp>
        <stp>2019-12-31</stp>
        <stp>3</stp>
        <tr r="F1579" s="1"/>
      </tp>
      <tp>
        <v>39.463846650000001</v>
        <stp/>
        <stp>EM_S_PQ_PCTCHANGE</stp>
        <stp>4</stp>
        <stp>000951</stp>
        <stp>2018-01-01</stp>
        <stp>2019-12-31</stp>
        <stp>3</stp>
        <tr r="F163" s="1"/>
      </tp>
      <tp>
        <v>-33.109504860000001</v>
        <stp/>
        <stp>EM_S_PQ_PCTCHANGE</stp>
        <stp>4</stp>
        <stp>000952</stp>
        <stp>2018-01-01</stp>
        <stp>2019-12-31</stp>
        <stp>3</stp>
        <tr r="F2593" s="1"/>
      </tp>
      <tp>
        <v>-23.325093519999999</v>
        <stp/>
        <stp>EM_S_PQ_PCTCHANGE</stp>
        <stp>4</stp>
        <stp>601933</stp>
        <stp>2018-01-01</stp>
        <stp>2019-12-31</stp>
        <stp>3</stp>
        <tr r="F2507" s="1"/>
      </tp>
      <tp>
        <v>-47.39393939</v>
        <stp/>
        <stp>EM_S_PQ_PCTCHANGE</stp>
        <stp>4</stp>
        <stp>000953</stp>
        <stp>2018-01-01</stp>
        <stp>2019-12-31</stp>
        <stp>3</stp>
        <tr r="F3584" s="1"/>
      </tp>
      <tp>
        <v>-5.1485056599999997</v>
        <stp/>
        <stp>EM_S_PQ_PCTCHANGE</stp>
        <stp>4</stp>
        <stp>600933</stp>
        <stp>2018-01-01</stp>
        <stp>2019-12-31</stp>
        <stp>3</stp>
        <tr r="F256" s="1"/>
      </tp>
      <tp>
        <v>-39.749958479999997</v>
        <stp/>
        <stp>EM_S_PQ_PCTCHANGE</stp>
        <stp>4</stp>
        <stp>603933</stp>
        <stp>2018-01-01</stp>
        <stp>2019-12-31</stp>
        <stp>3</stp>
        <tr r="F2900" s="1"/>
      </tp>
      <tp>
        <v>21.301775150000001</v>
        <stp/>
        <stp>EM_S_PQ_PCTCHANGE</stp>
        <stp>4</stp>
        <stp>000955</stp>
        <stp>2018-01-01</stp>
        <stp>2019-12-31</stp>
        <stp>3</stp>
        <tr r="F3585" s="1"/>
      </tp>
      <tp>
        <v>0</v>
        <stp/>
        <stp>EM_S_PQ_PCTCHANGE</stp>
        <stp>4</stp>
        <stp>000956</stp>
        <stp>2018-01-01</stp>
        <stp>2019-12-31</stp>
        <stp>3</stp>
        <tr r="F3586" s="1"/>
      </tp>
      <tp>
        <v>-43.422715570000001</v>
        <stp/>
        <stp>EM_S_PQ_PCTCHANGE</stp>
        <stp>4</stp>
        <stp>600936</stp>
        <stp>2018-01-01</stp>
        <stp>2019-12-31</stp>
        <stp>3</stp>
        <tr r="F2127" s="1"/>
      </tp>
      <tp>
        <v>-15.5513931</v>
        <stp/>
        <stp>EM_S_PQ_PCTCHANGE</stp>
        <stp>4</stp>
        <stp>603936</stp>
        <stp>2018-01-01</stp>
        <stp>2019-12-31</stp>
        <stp>3</stp>
        <tr r="F1179" s="1"/>
      </tp>
      <tp>
        <v>-38.91552085</v>
        <stp/>
        <stp>EM_S_PQ_PCTCHANGE</stp>
        <stp>4</stp>
        <stp>000957</stp>
        <stp>2018-01-01</stp>
        <stp>2019-12-31</stp>
        <stp>3</stp>
        <tr r="F3587" s="1"/>
      </tp>
      <tp>
        <v>-56.734723099999997</v>
        <stp/>
        <stp>EM_S_PQ_PCTCHANGE</stp>
        <stp>4</stp>
        <stp>603937</stp>
        <stp>2018-01-01</stp>
        <stp>2019-12-31</stp>
        <stp>3</stp>
        <tr r="F2150" s="1"/>
      </tp>
      <tp>
        <v>-9.0942229999999999E-2</v>
        <stp/>
        <stp>EM_S_PQ_PCTCHANGE</stp>
        <stp>4</stp>
        <stp>601928</stp>
        <stp>2018-01-01</stp>
        <stp>2019-12-31</stp>
        <stp>3</stp>
        <tr r="F2548" s="1"/>
      </tp>
      <tp>
        <v>34.47030273</v>
        <stp/>
        <stp>EM_S_PQ_PCTCHANGE</stp>
        <stp>4</stp>
        <stp>000948</stp>
        <stp>2018-01-01</stp>
        <stp>2019-12-31</stp>
        <stp>3</stp>
        <tr r="F1716" s="1"/>
      </tp>
      <tp>
        <v>-16.577642579999999</v>
        <stp/>
        <stp>EM_S_PQ_PCTCHANGE</stp>
        <stp>4</stp>
        <stp>603928</stp>
        <stp>2018-01-01</stp>
        <stp>2019-12-31</stp>
        <stp>3</stp>
        <tr r="F2878" s="1"/>
      </tp>
      <tp>
        <v>-27.100022939999999</v>
        <stp/>
        <stp>EM_S_PQ_PCTCHANGE</stp>
        <stp>4</stp>
        <stp>601929</stp>
        <stp>2018-01-01</stp>
        <stp>2019-12-31</stp>
        <stp>3</stp>
        <tr r="F2062" s="1"/>
      </tp>
      <tp>
        <v>-13.27059611</v>
        <stp/>
        <stp>EM_S_PQ_PCTCHANGE</stp>
        <stp>4</stp>
        <stp>000949</stp>
        <stp>2018-01-01</stp>
        <stp>2019-12-31</stp>
        <stp>3</stp>
        <tr r="F670" s="1"/>
      </tp>
      <tp>
        <v>78.472330279999994</v>
        <stp/>
        <stp>EM_S_PQ_PCTCHANGE</stp>
        <stp>4</stp>
        <stp>600929</stp>
        <stp>2018-01-01</stp>
        <stp>2019-12-31</stp>
        <stp>3</stp>
        <tr r="F3072" s="1"/>
      </tp>
      <tp>
        <v>-40.158314730000001</v>
        <stp/>
        <stp>EM_S_PQ_PCTCHANGE</stp>
        <stp>4</stp>
        <stp>603929</stp>
        <stp>2018-01-01</stp>
        <stp>2019-12-31</stp>
        <stp>3</stp>
        <tr r="F2220" s="1"/>
      </tp>
      <tp>
        <v>4.0802404000000001</v>
        <stp/>
        <stp>EM_S_PQ_PCTCHANGE</stp>
        <stp>4</stp>
        <stp>603920</stp>
        <stp>2018-01-01</stp>
        <stp>2019-12-31</stp>
        <stp>3</stp>
        <tr r="F354" s="1"/>
      </tp>
      <tp>
        <v>-43.95164596</v>
        <stp/>
        <stp>EM_S_PQ_PCTCHANGE</stp>
        <stp>4</stp>
        <stp>603922</stp>
        <stp>2018-01-01</stp>
        <stp>2019-12-31</stp>
        <stp>3</stp>
        <tr r="F2100" s="1"/>
      </tp>
      <tp>
        <v>17.765136389999999</v>
        <stp/>
        <stp>EM_S_PQ_PCTCHANGE</stp>
        <stp>4</stp>
        <stp>600926</stp>
        <stp>2018-01-01</stp>
        <stp>2019-12-31</stp>
        <stp>3</stp>
        <tr r="F1142" s="1"/>
      </tp>
      <tp>
        <v>-38.551638789999998</v>
        <stp/>
        <stp>EM_S_PQ_PCTCHANGE</stp>
        <stp>4</stp>
        <stp>603926</stp>
        <stp>2018-01-01</stp>
        <stp>2019-12-31</stp>
        <stp>3</stp>
        <tr r="F2907" s="1"/>
      </tp>
      <tp>
        <v>-16.220157230000002</v>
        <stp/>
        <stp>EM_S_PQ_PCTCHANGE</stp>
        <stp>4</stp>
        <stp>601918</stp>
        <stp>2018-01-01</stp>
        <stp>2019-12-31</stp>
        <stp>3</stp>
        <tr r="F1915" s="1"/>
      </tp>
      <tp>
        <v>-34.216228409999999</v>
        <stp/>
        <stp>EM_S_PQ_PCTCHANGE</stp>
        <stp>4</stp>
        <stp>000978</stp>
        <stp>2018-01-01</stp>
        <stp>2019-12-31</stp>
        <stp>3</stp>
        <tr r="F2177" s="1"/>
      </tp>
      <tp>
        <v>-17.719861510000001</v>
        <stp/>
        <stp>EM_S_PQ_PCTCHANGE</stp>
        <stp>4</stp>
        <stp>603918</stp>
        <stp>2018-01-01</stp>
        <stp>2019-12-31</stp>
        <stp>3</stp>
        <tr r="F2585" s="1"/>
      </tp>
      <tp>
        <v>8.2028682899999996</v>
        <stp/>
        <stp>EM_S_PQ_PCTCHANGE</stp>
        <stp>4</stp>
        <stp>001979</stp>
        <stp>2018-01-01</stp>
        <stp>2019-12-31</stp>
        <stp>3</stp>
        <tr r="F1473" s="1"/>
      </tp>
      <tp>
        <v>-22.156573120000001</v>
        <stp/>
        <stp>EM_S_PQ_PCTCHANGE</stp>
        <stp>4</stp>
        <stp>601919</stp>
        <stp>2018-01-01</stp>
        <stp>2019-12-31</stp>
        <stp>3</stp>
        <tr r="F933" s="1"/>
      </tp>
      <tp>
        <v>-88.659793809999996</v>
        <stp/>
        <stp>EM_S_PQ_PCTCHANGE</stp>
        <stp>4</stp>
        <stp>000979</stp>
        <stp>2018-01-01</stp>
        <stp>2019-12-31</stp>
        <stp>3</stp>
        <tr r="F3592" s="1"/>
      </tp>
      <tp>
        <v>6.3604567699999999</v>
        <stp/>
        <stp>EM_S_PQ_PCTCHANGE</stp>
        <stp>4</stp>
        <stp>600919</stp>
        <stp>2018-01-01</stp>
        <stp>2019-12-31</stp>
        <stp>3</stp>
        <tr r="F1245" s="1"/>
      </tp>
      <tp>
        <v>0.84028773000000001</v>
        <stp/>
        <stp>EM_S_PQ_PCTCHANGE</stp>
        <stp>4</stp>
        <stp>603919</stp>
        <stp>2018-01-01</stp>
        <stp>2019-12-31</stp>
        <stp>3</stp>
        <tr r="F540" s="1"/>
      </tp>
      <tp>
        <v>-24.039909269999999</v>
        <stp/>
        <stp>EM_S_PQ_PCTCHANGE</stp>
        <stp>4</stp>
        <stp>000970</stp>
        <stp>2018-01-01</stp>
        <stp>2019-12-31</stp>
        <stp>3</stp>
        <tr r="F573" s="1"/>
      </tp>
      <tp>
        <v>-62.984014969999997</v>
        <stp/>
        <stp>EM_S_PQ_PCTCHANGE</stp>
        <stp>4</stp>
        <stp>000971</stp>
        <stp>2018-01-01</stp>
        <stp>2019-12-31</stp>
        <stp>3</stp>
        <tr r="F3589" s="1"/>
      </tp>
      <tp>
        <v>-17.422434370000001</v>
        <stp/>
        <stp>EM_S_PQ_PCTCHANGE</stp>
        <stp>4</stp>
        <stp>000972</stp>
        <stp>2018-01-01</stp>
        <stp>2019-12-31</stp>
        <stp>3</stp>
        <tr r="F3590" s="1"/>
      </tp>
      <tp>
        <v>-30.039588500000001</v>
        <stp/>
        <stp>EM_S_PQ_PCTCHANGE</stp>
        <stp>4</stp>
        <stp>603912</stp>
        <stp>2018-01-01</stp>
        <stp>2019-12-31</stp>
        <stp>3</stp>
        <tr r="F2116" s="1"/>
      </tp>
      <tp>
        <v>-21.990768599999999</v>
        <stp/>
        <stp>EM_S_PQ_PCTCHANGE</stp>
        <stp>4</stp>
        <stp>000973</stp>
        <stp>2018-01-01</stp>
        <stp>2019-12-31</stp>
        <stp>3</stp>
        <tr r="F658" s="1"/>
      </tp>
      <tp>
        <v>46.597583579999998</v>
        <stp/>
        <stp>EM_S_PQ_PCTCHANGE</stp>
        <stp>4</stp>
        <stp>000975</stp>
        <stp>2018-01-01</stp>
        <stp>2019-12-31</stp>
        <stp>3</stp>
        <tr r="F930" s="1"/>
      </tp>
      <tp>
        <v>-37.009803920000003</v>
        <stp/>
        <stp>EM_S_PQ_PCTCHANGE</stp>
        <stp>4</stp>
        <stp>000976</stp>
        <stp>2018-01-01</stp>
        <stp>2019-12-31</stp>
        <stp>3</stp>
        <tr r="F3591" s="1"/>
      </tp>
      <tp>
        <v>1.35359242</v>
        <stp/>
        <stp>EM_S_PQ_PCTCHANGE</stp>
        <stp>4</stp>
        <stp>603916</stp>
        <stp>2018-01-01</stp>
        <stp>2019-12-31</stp>
        <stp>3</stp>
        <tr r="F639" s="1"/>
      </tp>
      <tp>
        <v>52.018462790000001</v>
        <stp/>
        <stp>EM_S_PQ_PCTCHANGE</stp>
        <stp>4</stp>
        <stp>000977</stp>
        <stp>2018-01-01</stp>
        <stp>2019-12-31</stp>
        <stp>3</stp>
        <tr r="F206" s="1"/>
      </tp>
      <tp>
        <v>-32.91710878</v>
        <stp/>
        <stp>EM_S_PQ_PCTCHANGE</stp>
        <stp>4</stp>
        <stp>600917</stp>
        <stp>2018-01-01</stp>
        <stp>2019-12-31</stp>
        <stp>3</stp>
        <tr r="F2163" s="1"/>
      </tp>
      <tp>
        <v>-47.417437700000001</v>
        <stp/>
        <stp>EM_S_PQ_PCTCHANGE</stp>
        <stp>4</stp>
        <stp>603917</stp>
        <stp>2018-01-01</stp>
        <stp>2019-12-31</stp>
        <stp>3</stp>
        <tr r="F2852" s="1"/>
      </tp>
      <tp>
        <v>-42.321571239999997</v>
        <stp/>
        <stp>EM_S_PQ_PCTCHANGE</stp>
        <stp>4</stp>
        <stp>601908</stp>
        <stp>2018-01-01</stp>
        <stp>2019-12-31</stp>
        <stp>3</stp>
        <tr r="F2539" s="1"/>
      </tp>
      <tp>
        <v>-38.613421019999997</v>
        <stp/>
        <stp>EM_S_PQ_PCTCHANGE</stp>
        <stp>4</stp>
        <stp>000968</stp>
        <stp>2018-01-01</stp>
        <stp>2019-12-31</stp>
        <stp>3</stp>
        <tr r="F2527" s="1"/>
      </tp>
      <tp>
        <v>-25.53714265</v>
        <stp/>
        <stp>EM_S_PQ_PCTCHANGE</stp>
        <stp>4</stp>
        <stp>600908</stp>
        <stp>2018-01-01</stp>
        <stp>2019-12-31</stp>
        <stp>3</stp>
        <tr r="F1965" s="1"/>
      </tp>
      <tp>
        <v>-27.43160005</v>
        <stp/>
        <stp>EM_S_PQ_PCTCHANGE</stp>
        <stp>4</stp>
        <stp>603908</stp>
        <stp>2018-01-01</stp>
        <stp>2019-12-31</stp>
        <stp>3</stp>
        <tr r="F2189" s="1"/>
      </tp>
      <tp>
        <v>-24.723035020000001</v>
        <stp/>
        <stp>EM_S_PQ_PCTCHANGE</stp>
        <stp>4</stp>
        <stp>000969</stp>
        <stp>2018-01-01</stp>
        <stp>2019-12-31</stp>
        <stp>3</stp>
        <tr r="F3588" s="1"/>
      </tp>
      <tp>
        <v>2.46529277</v>
        <stp/>
        <stp>EM_S_PQ_PCTCHANGE</stp>
        <stp>4</stp>
        <stp>600909</stp>
        <stp>2018-01-01</stp>
        <stp>2019-12-31</stp>
        <stp>3</stp>
        <tr r="F502" s="1"/>
      </tp>
      <tp>
        <v>-41.471465629999997</v>
        <stp/>
        <stp>EM_S_PQ_PCTCHANGE</stp>
        <stp>4</stp>
        <stp>603909</stp>
        <stp>2018-01-01</stp>
        <stp>2019-12-31</stp>
        <stp>3</stp>
        <tr r="F3356" s="1"/>
      </tp>
      <tp>
        <v>-16.665290450000001</v>
        <stp/>
        <stp>EM_S_PQ_PCTCHANGE</stp>
        <stp>4</stp>
        <stp>601900</stp>
        <stp>2018-01-01</stp>
        <stp>2019-12-31</stp>
        <stp>3</stp>
        <tr r="F1823" s="1"/>
      </tp>
      <tp>
        <v>-20.90909091</v>
        <stp/>
        <stp>EM_S_PQ_PCTCHANGE</stp>
        <stp>4</stp>
        <stp>000960</stp>
        <stp>2018-01-01</stp>
        <stp>2019-12-31</stp>
        <stp>3</stp>
        <tr r="F1651" s="1"/>
      </tp>
      <tp>
        <v>27.409571360000001</v>
        <stp/>
        <stp>EM_S_PQ_PCTCHANGE</stp>
        <stp>4</stp>
        <stp>600900</stp>
        <stp>2018-01-01</stp>
        <stp>2019-12-31</stp>
        <stp>3</stp>
        <tr r="F1447" s="1"/>
      </tp>
      <tp>
        <v>-65.398241960000007</v>
        <stp/>
        <stp>EM_S_PQ_PCTCHANGE</stp>
        <stp>4</stp>
        <stp>603900</stp>
        <stp>2018-01-01</stp>
        <stp>2019-12-31</stp>
        <stp>3</stp>
        <tr r="F3083" s="1"/>
      </tp>
      <tp>
        <v>26.604493099999999</v>
        <stp/>
        <stp>EM_S_PQ_PCTCHANGE</stp>
        <stp>4</stp>
        <stp>601901</stp>
        <stp>2018-01-01</stp>
        <stp>2019-12-31</stp>
        <stp>3</stp>
        <tr r="F408" s="1"/>
      </tp>
      <tp>
        <v>67.413858660000002</v>
        <stp/>
        <stp>EM_S_PQ_PCTCHANGE</stp>
        <stp>4</stp>
        <stp>000961</stp>
        <stp>2018-01-01</stp>
        <stp>2019-12-31</stp>
        <stp>3</stp>
        <tr r="F207" s="1"/>
      </tp>
      <tp>
        <v>5.71167874</v>
        <stp/>
        <stp>EM_S_PQ_PCTCHANGE</stp>
        <stp>4</stp>
        <stp>600901</stp>
        <stp>2018-01-01</stp>
        <stp>2019-12-31</stp>
        <stp>3</stp>
        <tr r="F1864" s="1"/>
      </tp>
      <tp>
        <v>22.279557390000001</v>
        <stp/>
        <stp>EM_S_PQ_PCTCHANGE</stp>
        <stp>4</stp>
        <stp>603901</stp>
        <stp>2018-01-01</stp>
        <stp>2019-12-31</stp>
        <stp>3</stp>
        <tr r="F415" s="1"/>
      </tp>
      <tp>
        <v>-18.128654969999999</v>
        <stp/>
        <stp>EM_S_PQ_PCTCHANGE</stp>
        <stp>4</stp>
        <stp>000962</stp>
        <stp>2018-01-01</stp>
        <stp>2019-12-31</stp>
        <stp>3</stp>
        <tr r="F1521" s="1"/>
      </tp>
      <tp>
        <v>-16.836138989999998</v>
        <stp/>
        <stp>EM_S_PQ_PCTCHANGE</stp>
        <stp>4</stp>
        <stp>000963</stp>
        <stp>2018-01-01</stp>
        <stp>2019-12-31</stp>
        <stp>3</stp>
        <tr r="F2741" s="1"/>
      </tp>
      <tp>
        <v>23.27874387</v>
        <stp/>
        <stp>EM_S_PQ_PCTCHANGE</stp>
        <stp>4</stp>
        <stp>600903</stp>
        <stp>2018-01-01</stp>
        <stp>2019-12-31</stp>
        <stp>3</stp>
        <tr r="F3216" s="1"/>
      </tp>
      <tp>
        <v>-49.095910799999999</v>
        <stp/>
        <stp>EM_S_PQ_PCTCHANGE</stp>
        <stp>4</stp>
        <stp>603903</stp>
        <stp>2018-01-01</stp>
        <stp>2019-12-31</stp>
        <stp>3</stp>
        <tr r="F3225" s="1"/>
      </tp>
      <tp>
        <v>-33.022398449999997</v>
        <stp/>
        <stp>EM_S_PQ_PCTCHANGE</stp>
        <stp>4</stp>
        <stp>001965</stp>
        <stp>2018-01-01</stp>
        <stp>2019-12-31</stp>
        <stp>3</stp>
        <tr r="F1808" s="1"/>
      </tp>
      <tp>
        <v>-37.451458860000002</v>
        <stp/>
        <stp>EM_S_PQ_PCTCHANGE</stp>
        <stp>4</stp>
        <stp>000965</stp>
        <stp>2018-01-01</stp>
        <stp>2019-12-31</stp>
        <stp>3</stp>
        <tr r="F3017" s="1"/>
      </tp>
      <tp>
        <v>21.785294960000002</v>
        <stp/>
        <stp>EM_S_PQ_PCTCHANGE</stp>
        <stp>4</stp>
        <stp>000966</stp>
        <stp>2018-01-01</stp>
        <stp>2019-12-31</stp>
        <stp>3</stp>
        <tr r="F869" s="1"/>
      </tp>
      <tp>
        <v>-0.43491721999999999</v>
        <stp/>
        <stp>EM_S_PQ_PCTCHANGE</stp>
        <stp>4</stp>
        <stp>603906</stp>
        <stp>2018-01-01</stp>
        <stp>2019-12-31</stp>
        <stp>3</stp>
        <tr r="F1119" s="1"/>
      </tp>
      <tp>
        <v>-31.132891560000001</v>
        <stp/>
        <stp>EM_S_PQ_PCTCHANGE</stp>
        <stp>4</stp>
        <stp>000967</stp>
        <stp>2018-01-01</stp>
        <stp>2019-12-31</stp>
        <stp>3</stp>
        <tr r="F1753" s="1"/>
      </tp>
      <tp>
        <v>-14.71428571</v>
        <stp/>
        <stp>EM_S_PQ_PCTCHANGE</stp>
        <stp>4</stp>
        <stp>000918</stp>
        <stp>2018-01-01</stp>
        <stp>2019-12-31</stp>
        <stp>3</stp>
        <tr r="F3575" s="1"/>
      </tp>
      <tp>
        <v>-66.988493430000005</v>
        <stp/>
        <stp>EM_S_PQ_PCTCHANGE</stp>
        <stp>4</stp>
        <stp>600978</stp>
        <stp>2018-01-01</stp>
        <stp>2019-12-31</stp>
        <stp>3</stp>
        <tr r="F3195" s="1"/>
      </tp>
      <tp>
        <v>-44.231555839999999</v>
        <stp/>
        <stp>EM_S_PQ_PCTCHANGE</stp>
        <stp>4</stp>
        <stp>603978</stp>
        <stp>2018-01-01</stp>
        <stp>2019-12-31</stp>
        <stp>3</stp>
        <tr r="F780" s="1"/>
      </tp>
      <tp>
        <v>-6.4041957399999996</v>
        <stp/>
        <stp>EM_S_PQ_PCTCHANGE</stp>
        <stp>4</stp>
        <stp>002918</stp>
        <stp>2018-01-01</stp>
        <stp>2019-12-31</stp>
        <stp>3</stp>
        <tr r="F1272" s="1"/>
      </tp>
      <tp>
        <v>-13.48886433</v>
        <stp/>
        <stp>EM_S_PQ_PCTCHANGE</stp>
        <stp>4</stp>
        <stp>000919</stp>
        <stp>2018-01-01</stp>
        <stp>2019-12-31</stp>
        <stp>3</stp>
        <tr r="F3576" s="1"/>
      </tp>
      <tp>
        <v>-19.17657891</v>
        <stp/>
        <stp>EM_S_PQ_PCTCHANGE</stp>
        <stp>4</stp>
        <stp>600979</stp>
        <stp>2018-01-01</stp>
        <stp>2019-12-31</stp>
        <stp>3</stp>
        <tr r="F2045" s="1"/>
      </tp>
      <tp>
        <v>-11.4775077</v>
        <stp/>
        <stp>EM_S_PQ_PCTCHANGE</stp>
        <stp>4</stp>
        <stp>603979</stp>
        <stp>2018-01-01</stp>
        <stp>2019-12-31</stp>
        <stp>3</stp>
        <tr r="F1297" s="1"/>
      </tp>
      <tp>
        <v>-34.852096660000001</v>
        <stp/>
        <stp>EM_S_PQ_PCTCHANGE</stp>
        <stp>4</stp>
        <stp>002919</stp>
        <stp>2018-01-01</stp>
        <stp>2019-12-31</stp>
        <stp>3</stp>
        <tr r="F3159" s="1"/>
      </tp>
      <tp>
        <v>-37.921256720000002</v>
        <stp/>
        <stp>EM_S_PQ_PCTCHANGE</stp>
        <stp>4</stp>
        <stp>000910</stp>
        <stp>2018-01-01</stp>
        <stp>2019-12-31</stp>
        <stp>3</stp>
        <tr r="F880" s="1"/>
      </tp>
      <tp>
        <v>-25.135596020000001</v>
        <stp/>
        <stp>EM_S_PQ_PCTCHANGE</stp>
        <stp>4</stp>
        <stp>600970</stp>
        <stp>2018-01-01</stp>
        <stp>2019-12-31</stp>
        <stp>3</stp>
        <tr r="F1048" s="1"/>
      </tp>
      <tp>
        <v>-41.873630599999998</v>
        <stp/>
        <stp>EM_S_PQ_PCTCHANGE</stp>
        <stp>4</stp>
        <stp>603970</stp>
        <stp>2018-01-01</stp>
        <stp>2019-12-31</stp>
        <stp>3</stp>
        <tr r="F3016" s="1"/>
      </tp>
      <tp>
        <v>-43.904649790000001</v>
        <stp/>
        <stp>EM_S_PQ_PCTCHANGE</stp>
        <stp>4</stp>
        <stp>002910</stp>
        <stp>2018-01-01</stp>
        <stp>2019-12-31</stp>
        <stp>3</stp>
        <tr r="F2541" s="1"/>
      </tp>
      <tp>
        <v>-35.897435899999998</v>
        <stp/>
        <stp>EM_S_PQ_PCTCHANGE</stp>
        <stp>4</stp>
        <stp>000911</stp>
        <stp>2018-01-01</stp>
        <stp>2019-12-31</stp>
        <stp>3</stp>
        <tr r="F3572" s="1"/>
      </tp>
      <tp>
        <v>-23.365856279999999</v>
        <stp/>
        <stp>EM_S_PQ_PCTCHANGE</stp>
        <stp>4</stp>
        <stp>600971</stp>
        <stp>2018-01-01</stp>
        <stp>2019-12-31</stp>
        <stp>3</stp>
        <tr r="F1930" s="1"/>
      </tp>
      <tp>
        <v>-41.356015759999998</v>
        <stp/>
        <stp>EM_S_PQ_PCTCHANGE</stp>
        <stp>4</stp>
        <stp>002911</stp>
        <stp>2018-01-01</stp>
        <stp>2019-12-31</stp>
        <stp>3</stp>
        <tr r="F2725" s="1"/>
      </tp>
      <tp>
        <v>-16.435986159999999</v>
        <stp/>
        <stp>EM_S_PQ_PCTCHANGE</stp>
        <stp>4</stp>
        <stp>000912</stp>
        <stp>2018-01-01</stp>
        <stp>2019-12-31</stp>
        <stp>3</stp>
        <tr r="F2196" s="1"/>
      </tp>
      <tp>
        <v>81.638283250000001</v>
        <stp/>
        <stp>EM_S_PQ_PCTCHANGE</stp>
        <stp>4</stp>
        <stp>002912</stp>
        <stp>2018-01-01</stp>
        <stp>2019-12-31</stp>
        <stp>3</stp>
        <tr r="F494" s="1"/>
      </tp>
      <tp>
        <v>-44.673366829999999</v>
        <stp/>
        <stp>EM_S_PQ_PCTCHANGE</stp>
        <stp>4</stp>
        <stp>000913</stp>
        <stp>2018-01-01</stp>
        <stp>2019-12-31</stp>
        <stp>3</stp>
        <tr r="F1323" s="1"/>
      </tp>
      <tp>
        <v>-23.962502099999998</v>
        <stp/>
        <stp>EM_S_PQ_PCTCHANGE</stp>
        <stp>4</stp>
        <stp>600973</stp>
        <stp>2018-01-01</stp>
        <stp>2019-12-31</stp>
        <stp>3</stp>
        <tr r="F2049" s="1"/>
      </tp>
      <tp>
        <v>25.535471650000002</v>
        <stp/>
        <stp>EM_S_PQ_PCTCHANGE</stp>
        <stp>4</stp>
        <stp>002913</stp>
        <stp>2018-01-01</stp>
        <stp>2019-12-31</stp>
        <stp>3</stp>
        <tr r="F570" s="1"/>
      </tp>
      <tp>
        <v>-9.5164972999999993</v>
        <stp/>
        <stp>EM_S_PQ_PCTCHANGE</stp>
        <stp>4</stp>
        <stp>000915</stp>
        <stp>2018-01-01</stp>
        <stp>2019-12-31</stp>
        <stp>3</stp>
        <tr r="F3573" s="1"/>
      </tp>
      <tp>
        <v>43.143050770000002</v>
        <stp/>
        <stp>EM_S_PQ_PCTCHANGE</stp>
        <stp>4</stp>
        <stp>600975</stp>
        <stp>2018-01-01</stp>
        <stp>2019-12-31</stp>
        <stp>3</stp>
        <tr r="F106" s="1"/>
      </tp>
      <tp>
        <v>-23.172073390000001</v>
        <stp/>
        <stp>EM_S_PQ_PCTCHANGE</stp>
        <stp>4</stp>
        <stp>002915</stp>
        <stp>2018-01-01</stp>
        <stp>2019-12-31</stp>
        <stp>3</stp>
        <tr r="F1164" s="1"/>
      </tp>
      <tp>
        <v>0</v>
        <stp/>
        <stp>EM_S_PQ_PCTCHANGE</stp>
        <stp>4</stp>
        <stp>000916</stp>
        <stp>2018-01-01</stp>
        <stp>2019-12-31</stp>
        <stp>3</stp>
        <tr r="F3574" s="1"/>
      </tp>
      <tp>
        <v>-22.989995499999999</v>
        <stp/>
        <stp>EM_S_PQ_PCTCHANGE</stp>
        <stp>4</stp>
        <stp>600976</stp>
        <stp>2018-01-01</stp>
        <stp>2019-12-31</stp>
        <stp>3</stp>
        <tr r="F1228" s="1"/>
      </tp>
      <tp>
        <v>-9.7544831100000007</v>
        <stp/>
        <stp>EM_S_PQ_PCTCHANGE</stp>
        <stp>4</stp>
        <stp>603976</stp>
        <stp>2018-01-01</stp>
        <stp>2019-12-31</stp>
        <stp>3</stp>
        <tr r="F1880" s="1"/>
      </tp>
      <tp>
        <v>98.164748500000002</v>
        <stp/>
        <stp>EM_S_PQ_PCTCHANGE</stp>
        <stp>4</stp>
        <stp>002916</stp>
        <stp>2018-01-01</stp>
        <stp>2019-12-31</stp>
        <stp>3</stp>
        <tr r="F264" s="1"/>
      </tp>
      <tp>
        <v>-25.385656399999998</v>
        <stp/>
        <stp>EM_S_PQ_PCTCHANGE</stp>
        <stp>4</stp>
        <stp>000917</stp>
        <stp>2018-01-01</stp>
        <stp>2019-12-31</stp>
        <stp>3</stp>
        <tr r="F2445" s="1"/>
      </tp>
      <tp>
        <v>2.9634976100000001</v>
        <stp/>
        <stp>EM_S_PQ_PCTCHANGE</stp>
        <stp>4</stp>
        <stp>600977</stp>
        <stp>2018-01-01</stp>
        <stp>2019-12-31</stp>
        <stp>3</stp>
        <tr r="F1944" s="1"/>
      </tp>
      <tp>
        <v>-12.661826810000001</v>
        <stp/>
        <stp>EM_S_PQ_PCTCHANGE</stp>
        <stp>4</stp>
        <stp>603977</stp>
        <stp>2018-01-01</stp>
        <stp>2019-12-31</stp>
        <stp>3</stp>
        <tr r="F1382" s="1"/>
      </tp>
      <tp>
        <v>-18.973468990000001</v>
        <stp/>
        <stp>EM_S_PQ_PCTCHANGE</stp>
        <stp>4</stp>
        <stp>002917</stp>
        <stp>2018-01-01</stp>
        <stp>2019-12-31</stp>
        <stp>3</stp>
        <tr r="F3192" s="1"/>
      </tp>
      <tp>
        <v>-1.2960636999999999</v>
        <stp/>
        <stp>EM_S_PQ_PCTCHANGE</stp>
        <stp>4</stp>
        <stp>601968</stp>
        <stp>2018-01-01</stp>
        <stp>2019-12-31</stp>
        <stp>3</stp>
        <tr r="F1000" s="1"/>
      </tp>
      <tp>
        <v>-37.404504299999999</v>
        <stp/>
        <stp>EM_S_PQ_PCTCHANGE</stp>
        <stp>4</stp>
        <stp>000908</stp>
        <stp>2018-01-01</stp>
        <stp>2019-12-31</stp>
        <stp>3</stp>
        <tr r="F3008" s="1"/>
      </tp>
      <tp>
        <v>-22.235448330000001</v>
        <stp/>
        <stp>EM_S_PQ_PCTCHANGE</stp>
        <stp>4</stp>
        <stp>603968</stp>
        <stp>2018-01-01</stp>
        <stp>2019-12-31</stp>
        <stp>3</stp>
        <tr r="F1405" s="1"/>
      </tp>
      <tp>
        <v>-32.435215280000001</v>
        <stp/>
        <stp>EM_S_PQ_PCTCHANGE</stp>
        <stp>4</stp>
        <stp>002908</stp>
        <stp>2018-01-01</stp>
        <stp>2019-12-31</stp>
        <stp>3</stp>
        <tr r="F3201" s="1"/>
      </tp>
      <tp>
        <v>-34.57627119</v>
        <stp/>
        <stp>EM_S_PQ_PCTCHANGE</stp>
        <stp>4</stp>
        <stp>601969</stp>
        <stp>2018-01-01</stp>
        <stp>2019-12-31</stp>
        <stp>3</stp>
        <tr r="F915" s="1"/>
      </tp>
      <tp>
        <v>-25.745811979999999</v>
        <stp/>
        <stp>EM_S_PQ_PCTCHANGE</stp>
        <stp>4</stp>
        <stp>000909</stp>
        <stp>2018-01-01</stp>
        <stp>2019-12-31</stp>
        <stp>3</stp>
        <tr r="F3571" s="1"/>
      </tp>
      <tp>
        <v>-24.384360999999998</v>
        <stp/>
        <stp>EM_S_PQ_PCTCHANGE</stp>
        <stp>4</stp>
        <stp>600969</stp>
        <stp>2018-01-01</stp>
        <stp>2019-12-31</stp>
        <stp>3</stp>
        <tr r="F1681" s="1"/>
      </tp>
      <tp>
        <v>-20.79741538</v>
        <stp/>
        <stp>EM_S_PQ_PCTCHANGE</stp>
        <stp>4</stp>
        <stp>603969</stp>
        <stp>2018-01-01</stp>
        <stp>2019-12-31</stp>
        <stp>3</stp>
        <tr r="F2760" s="1"/>
      </tp>
      <tp>
        <v>-24.736521419999999</v>
        <stp/>
        <stp>EM_S_PQ_PCTCHANGE</stp>
        <stp>4</stp>
        <stp>002909</stp>
        <stp>2018-01-01</stp>
        <stp>2019-12-31</stp>
        <stp>3</stp>
        <tr r="F2046" s="1"/>
      </tp>
      <tp>
        <v>-26.35801816</v>
        <stp/>
        <stp>EM_S_PQ_PCTCHANGE</stp>
        <stp>4</stp>
        <stp>000900</stp>
        <stp>2018-01-01</stp>
        <stp>2019-12-31</stp>
        <stp>3</stp>
        <tr r="F1632" s="1"/>
      </tp>
      <tp>
        <v>-56.251433650000003</v>
        <stp/>
        <stp>EM_S_PQ_PCTCHANGE</stp>
        <stp>4</stp>
        <stp>600960</stp>
        <stp>2018-01-01</stp>
        <stp>2019-12-31</stp>
        <stp>3</stp>
        <tr r="F2720" s="1"/>
      </tp>
      <tp>
        <v>101.41076786000001</v>
        <stp/>
        <stp>EM_S_PQ_PCTCHANGE</stp>
        <stp>4</stp>
        <stp>603960</stp>
        <stp>2018-01-01</stp>
        <stp>2019-12-31</stp>
        <stp>3</stp>
        <tr r="F1420" s="1"/>
      </tp>
      <tp>
        <v>-33.426790060000002</v>
        <stp/>
        <stp>EM_S_PQ_PCTCHANGE</stp>
        <stp>4</stp>
        <stp>002900</stp>
        <stp>2018-01-01</stp>
        <stp>2019-12-31</stp>
        <stp>3</stp>
        <tr r="F2567" s="1"/>
      </tp>
      <tp>
        <v>-27.673294200000001</v>
        <stp/>
        <stp>EM_S_PQ_PCTCHANGE</stp>
        <stp>4</stp>
        <stp>000901</stp>
        <stp>2018-01-01</stp>
        <stp>2019-12-31</stp>
        <stp>3</stp>
        <tr r="F3569" s="1"/>
      </tp>
      <tp>
        <v>-2.5791324699999998</v>
        <stp/>
        <stp>EM_S_PQ_PCTCHANGE</stp>
        <stp>4</stp>
        <stp>600961</stp>
        <stp>2018-01-01</stp>
        <stp>2019-12-31</stp>
        <stp>3</stp>
        <tr r="F1803" s="1"/>
      </tp>
      <tp>
        <v>61.868642399999999</v>
        <stp/>
        <stp>EM_S_PQ_PCTCHANGE</stp>
        <stp>4</stp>
        <stp>002901</stp>
        <stp>2018-01-01</stp>
        <stp>2019-12-31</stp>
        <stp>3</stp>
        <tr r="F184" s="1"/>
      </tp>
      <tp>
        <v>-15.97500509</v>
        <stp/>
        <stp>EM_S_PQ_PCTCHANGE</stp>
        <stp>4</stp>
        <stp>000902</stp>
        <stp>2018-01-01</stp>
        <stp>2019-12-31</stp>
        <stp>3</stp>
        <tr r="F2826" s="1"/>
      </tp>
      <tp>
        <v>-19.882468169999999</v>
        <stp/>
        <stp>EM_S_PQ_PCTCHANGE</stp>
        <stp>4</stp>
        <stp>600962</stp>
        <stp>2018-01-01</stp>
        <stp>2019-12-31</stp>
        <stp>3</stp>
        <tr r="F1599" s="1"/>
      </tp>
      <tp>
        <v>-17.719446250000001</v>
        <stp/>
        <stp>EM_S_PQ_PCTCHANGE</stp>
        <stp>4</stp>
        <stp>002902</stp>
        <stp>2018-01-01</stp>
        <stp>2019-12-31</stp>
        <stp>3</stp>
        <tr r="F2409" s="1"/>
      </tp>
      <tp>
        <v>-24.46608088</v>
        <stp/>
        <stp>EM_S_PQ_PCTCHANGE</stp>
        <stp>4</stp>
        <stp>000903</stp>
        <stp>2018-01-01</stp>
        <stp>2019-12-31</stp>
        <stp>3</stp>
        <tr r="F1940" s="1"/>
      </tp>
      <tp>
        <v>-30.213828710000001</v>
        <stp/>
        <stp>EM_S_PQ_PCTCHANGE</stp>
        <stp>4</stp>
        <stp>600963</stp>
        <stp>2018-01-01</stp>
        <stp>2019-12-31</stp>
        <stp>3</stp>
        <tr r="F1727" s="1"/>
      </tp>
      <tp>
        <v>-32.471315060000002</v>
        <stp/>
        <stp>EM_S_PQ_PCTCHANGE</stp>
        <stp>4</stp>
        <stp>603963</stp>
        <stp>2018-01-01</stp>
        <stp>2019-12-31</stp>
        <stp>3</stp>
        <tr r="F2617" s="1"/>
      </tp>
      <tp>
        <v>-44.480921430000002</v>
        <stp/>
        <stp>EM_S_PQ_PCTCHANGE</stp>
        <stp>4</stp>
        <stp>002903</stp>
        <stp>2018-01-01</stp>
        <stp>2019-12-31</stp>
        <stp>3</stp>
        <tr r="F2947" s="1"/>
      </tp>
      <tp>
        <v>4.7397039599999999</v>
        <stp/>
        <stp>EM_S_PQ_PCTCHANGE</stp>
        <stp>4</stp>
        <stp>601965</stp>
        <stp>2018-01-01</stp>
        <stp>2019-12-31</stp>
        <stp>3</stp>
        <tr r="F1351" s="1"/>
      </tp>
      <tp>
        <v>-28.88275097</v>
        <stp/>
        <stp>EM_S_PQ_PCTCHANGE</stp>
        <stp>4</stp>
        <stp>000905</stp>
        <stp>2018-01-01</stp>
        <stp>2019-12-31</stp>
        <stp>3</stp>
        <tr r="F3570" s="1"/>
      </tp>
      <tp>
        <v>-32.865051530000002</v>
        <stp/>
        <stp>EM_S_PQ_PCTCHANGE</stp>
        <stp>4</stp>
        <stp>600965</stp>
        <stp>2018-01-01</stp>
        <stp>2019-12-31</stp>
        <stp>3</stp>
        <tr r="F3222" s="1"/>
      </tp>
      <tp>
        <v>-23.452113730000001</v>
        <stp/>
        <stp>EM_S_PQ_PCTCHANGE</stp>
        <stp>4</stp>
        <stp>002905</stp>
        <stp>2018-01-01</stp>
        <stp>2019-12-31</stp>
        <stp>3</stp>
        <tr r="F980" s="1"/>
      </tp>
      <tp>
        <v>35.696561860000003</v>
        <stp/>
        <stp>EM_S_PQ_PCTCHANGE</stp>
        <stp>4</stp>
        <stp>601966</stp>
        <stp>2018-01-01</stp>
        <stp>2019-12-31</stp>
        <stp>3</stp>
        <tr r="F385" s="1"/>
      </tp>
      <tp>
        <v>8.2950215600000003</v>
        <stp/>
        <stp>EM_S_PQ_PCTCHANGE</stp>
        <stp>4</stp>
        <stp>000906</stp>
        <stp>2018-01-01</stp>
        <stp>2019-12-31</stp>
        <stp>3</stp>
        <tr r="F1291" s="1"/>
      </tp>
      <tp>
        <v>-9.40511096</v>
        <stp/>
        <stp>EM_S_PQ_PCTCHANGE</stp>
        <stp>4</stp>
        <stp>600966</stp>
        <stp>2018-01-01</stp>
        <stp>2019-12-31</stp>
        <stp>3</stp>
        <tr r="F326" s="1"/>
      </tp>
      <tp>
        <v>-17.01185821</v>
        <stp/>
        <stp>EM_S_PQ_PCTCHANGE</stp>
        <stp>4</stp>
        <stp>603966</stp>
        <stp>2018-01-01</stp>
        <stp>2019-12-31</stp>
        <stp>3</stp>
        <tr r="F1319" s="1"/>
      </tp>
      <tp>
        <v>-46.544640579999999</v>
        <stp/>
        <stp>EM_S_PQ_PCTCHANGE</stp>
        <stp>4</stp>
        <stp>002906</stp>
        <stp>2018-01-01</stp>
        <stp>2019-12-31</stp>
        <stp>3</stp>
        <tr r="F1168" s="1"/>
      </tp>
      <tp>
        <v>-11.346319530000001</v>
        <stp/>
        <stp>EM_S_PQ_PCTCHANGE</stp>
        <stp>4</stp>
        <stp>600967</stp>
        <stp>2018-01-01</stp>
        <stp>2019-12-31</stp>
        <stp>3</stp>
        <tr r="F2184" s="1"/>
      </tp>
      <tp>
        <v>-11.204973649999999</v>
        <stp/>
        <stp>EM_S_PQ_PCTCHANGE</stp>
        <stp>4</stp>
        <stp>002907</stp>
        <stp>2018-01-01</stp>
        <stp>2019-12-31</stp>
        <stp>3</stp>
        <tr r="F2905" s="1"/>
      </tp>
      <tp>
        <v>13.774440869999999</v>
        <stp/>
        <stp>EM_S_PQ_PCTCHANGE</stp>
        <stp>4</stp>
        <stp>601958</stp>
        <stp>2018-01-01</stp>
        <stp>2019-12-31</stp>
        <stp>3</stp>
        <tr r="F799" s="1"/>
      </tp>
      <tp>
        <v>-13.365177060000001</v>
        <stp/>
        <stp>EM_S_PQ_PCTCHANGE</stp>
        <stp>4</stp>
        <stp>000938</stp>
        <stp>2018-01-01</stp>
        <stp>2019-12-31</stp>
        <stp>3</stp>
        <tr r="F2342" s="1"/>
      </tp>
      <tp>
        <v>-19.84157196</v>
        <stp/>
        <stp>EM_S_PQ_PCTCHANGE</stp>
        <stp>4</stp>
        <stp>600958</stp>
        <stp>2018-01-01</stp>
        <stp>2019-12-31</stp>
        <stp>3</stp>
        <tr r="F811" s="1"/>
      </tp>
      <tp>
        <v>-46.378117719999999</v>
        <stp/>
        <stp>EM_S_PQ_PCTCHANGE</stp>
        <stp>4</stp>
        <stp>603958</stp>
        <stp>2018-01-01</stp>
        <stp>2019-12-31</stp>
        <stp>3</stp>
        <tr r="F2677" s="1"/>
      </tp>
      <tp>
        <v>-78.957915830000005</v>
        <stp/>
        <stp>EM_S_PQ_PCTCHANGE</stp>
        <stp>4</stp>
        <stp>000939</stp>
        <stp>2018-01-01</stp>
        <stp>2019-12-31</stp>
        <stp>3</stp>
        <tr r="F3583" s="1"/>
      </tp>
      <tp>
        <v>-50.238942100000003</v>
        <stp/>
        <stp>EM_S_PQ_PCTCHANGE</stp>
        <stp>4</stp>
        <stp>600959</stp>
        <stp>2018-01-01</stp>
        <stp>2019-12-31</stp>
        <stp>3</stp>
        <tr r="F2509" s="1"/>
      </tp>
      <tp>
        <v>-35.745745159999998</v>
        <stp/>
        <stp>EM_S_PQ_PCTCHANGE</stp>
        <stp>4</stp>
        <stp>603959</stp>
        <stp>2018-01-01</stp>
        <stp>2019-12-31</stp>
        <stp>3</stp>
        <tr r="F3275" s="1"/>
      </tp>
      <tp>
        <v>-50.392096019999997</v>
        <stp/>
        <stp>EM_S_PQ_PCTCHANGE</stp>
        <stp>4</stp>
        <stp>000930</stp>
        <stp>2018-01-01</stp>
        <stp>2019-12-31</stp>
        <stp>3</stp>
        <tr r="F2797" s="1"/>
      </tp>
      <tp>
        <v>149.60957020999999</v>
        <stp/>
        <stp>EM_S_PQ_PCTCHANGE</stp>
        <stp>4</stp>
        <stp>002930</stp>
        <stp>2018-01-01</stp>
        <stp>2019-12-31</stp>
        <stp>3</stp>
        <tr r="F3331" s="1"/>
      </tp>
      <tp>
        <v>43.002915450000003</v>
        <stp/>
        <stp>EM_S_PQ_PCTCHANGE</stp>
        <stp>4</stp>
        <stp>000931</stp>
        <stp>2018-01-01</stp>
        <stp>2019-12-31</stp>
        <stp>3</stp>
        <tr r="F720" s="1"/>
      </tp>
      <tp>
        <v>141.20571437000001</v>
        <stp/>
        <stp>EM_S_PQ_PCTCHANGE</stp>
        <stp>4</stp>
        <stp>002931</stp>
        <stp>2018-01-01</stp>
        <stp>2019-12-31</stp>
        <stp>3</stp>
        <tr r="F2638" s="1"/>
      </tp>
      <tp>
        <v>-32.769978709999997</v>
        <stp/>
        <stp>EM_S_PQ_PCTCHANGE</stp>
        <stp>4</stp>
        <stp>601952</stp>
        <stp>2018-01-01</stp>
        <stp>2019-12-31</stp>
        <stp>3</stp>
        <tr r="F2012" s="1"/>
      </tp>
      <tp>
        <v>-17.459345339999999</v>
        <stp/>
        <stp>EM_S_PQ_PCTCHANGE</stp>
        <stp>4</stp>
        <stp>000932</stp>
        <stp>2018-01-01</stp>
        <stp>2019-12-31</stp>
        <stp>3</stp>
        <tr r="F3096" s="1"/>
      </tp>
      <tp>
        <v>-45.629168309999997</v>
        <stp/>
        <stp>EM_S_PQ_PCTCHANGE</stp>
        <stp>4</stp>
        <stp>000933</stp>
        <stp>2018-01-01</stp>
        <stp>2019-12-31</stp>
        <stp>3</stp>
        <tr r="F3581" s="1"/>
      </tp>
      <tp>
        <v>-0.35640370999999998</v>
        <stp/>
        <stp>EM_S_PQ_PCTCHANGE</stp>
        <stp>4</stp>
        <stp>000935</stp>
        <stp>2018-01-01</stp>
        <stp>2019-12-31</stp>
        <stp>3</stp>
        <tr r="F3582" s="1"/>
      </tp>
      <tp>
        <v>-51.690564989999999</v>
        <stp/>
        <stp>EM_S_PQ_PCTCHANGE</stp>
        <stp>4</stp>
        <stp>603955</stp>
        <stp>2018-01-01</stp>
        <stp>2019-12-31</stp>
        <stp>3</stp>
        <tr r="F1547" s="1"/>
      </tp>
      <tp>
        <v>16.950698719999998</v>
        <stp/>
        <stp>EM_S_PQ_PCTCHANGE</stp>
        <stp>4</stp>
        <stp>000936</stp>
        <stp>2018-01-01</stp>
        <stp>2019-12-31</stp>
        <stp>3</stp>
        <tr r="F953" s="1"/>
      </tp>
      <tp>
        <v>-33.930691510000003</v>
        <stp/>
        <stp>EM_S_PQ_PCTCHANGE</stp>
        <stp>4</stp>
        <stp>000937</stp>
        <stp>2018-01-01</stp>
        <stp>2019-12-31</stp>
        <stp>3</stp>
        <tr r="F2461" s="1"/>
      </tp>
      <tp>
        <v>-22.20974094</v>
        <stp/>
        <stp>EM_S_PQ_PCTCHANGE</stp>
        <stp>4</stp>
        <stp>000928</stp>
        <stp>2018-01-01</stp>
        <stp>2019-12-31</stp>
        <stp>3</stp>
        <tr r="F1780" s="1"/>
      </tp>
      <tp>
        <v>-10.59417944</v>
        <stp/>
        <stp>EM_S_PQ_PCTCHANGE</stp>
        <stp>4</stp>
        <stp>002928</stp>
        <stp>2018-01-01</stp>
        <stp>2019-12-31</stp>
        <stp>3</stp>
        <tr r="F3274" s="1"/>
      </tp>
      <tp>
        <v>-12.489221499999999</v>
        <stp/>
        <stp>EM_S_PQ_PCTCHANGE</stp>
        <stp>4</stp>
        <stp>601949</stp>
        <stp>2018-01-01</stp>
        <stp>2019-12-31</stp>
        <stp>3</stp>
        <tr r="F681" s="1"/>
      </tp>
      <tp>
        <v>-41.827326069999998</v>
        <stp/>
        <stp>EM_S_PQ_PCTCHANGE</stp>
        <stp>4</stp>
        <stp>000929</stp>
        <stp>2018-01-01</stp>
        <stp>2019-12-31</stp>
        <stp>3</stp>
        <tr r="F3580" s="1"/>
      </tp>
      <tp>
        <v>16.478711090000001</v>
        <stp/>
        <stp>EM_S_PQ_PCTCHANGE</stp>
        <stp>4</stp>
        <stp>002929</stp>
        <stp>2018-01-01</stp>
        <stp>2019-12-31</stp>
        <stp>3</stp>
        <tr r="F2978" s="1"/>
      </tp>
      <tp>
        <v>-30.260473699999999</v>
        <stp/>
        <stp>EM_S_PQ_PCTCHANGE</stp>
        <stp>4</stp>
        <stp>000920</stp>
        <stp>2018-01-01</stp>
        <stp>2019-12-31</stp>
        <stp>3</stp>
        <tr r="F969" s="1"/>
      </tp>
      <tp>
        <v>-21.184712659999999</v>
        <stp/>
        <stp>EM_S_PQ_PCTCHANGE</stp>
        <stp>4</stp>
        <stp>002920</stp>
        <stp>2018-01-01</stp>
        <stp>2019-12-31</stp>
        <stp>3</stp>
        <tr r="F269" s="1"/>
      </tp>
      <tp>
        <v>-4.8922786499999997</v>
        <stp/>
        <stp>EM_S_PQ_PCTCHANGE</stp>
        <stp>4</stp>
        <stp>000921</stp>
        <stp>2018-01-01</stp>
        <stp>2019-12-31</stp>
        <stp>3</stp>
        <tr r="F344" s="1"/>
      </tp>
      <tp>
        <v>-7.56335902</v>
        <stp/>
        <stp>EM_S_PQ_PCTCHANGE</stp>
        <stp>4</stp>
        <stp>002921</stp>
        <stp>2018-01-01</stp>
        <stp>2019-12-31</stp>
        <stp>3</stp>
        <tr r="F3207" s="1"/>
      </tp>
      <tp>
        <v>-9.8360655700000006</v>
        <stp/>
        <stp>EM_S_PQ_PCTCHANGE</stp>
        <stp>4</stp>
        <stp>000922</stp>
        <stp>2018-01-01</stp>
        <stp>2019-12-31</stp>
        <stp>3</stp>
        <tr r="F1487" s="1"/>
      </tp>
      <tp>
        <v>-14.60754448</v>
        <stp/>
        <stp>EM_S_PQ_PCTCHANGE</stp>
        <stp>4</stp>
        <stp>002922</stp>
        <stp>2018-01-01</stp>
        <stp>2019-12-31</stp>
        <stp>3</stp>
        <tr r="F2884" s="1"/>
      </tp>
      <tp>
        <v>-35.180553719999999</v>
        <stp/>
        <stp>EM_S_PQ_PCTCHANGE</stp>
        <stp>4</stp>
        <stp>000923</stp>
        <stp>2018-01-01</stp>
        <stp>2019-12-31</stp>
        <stp>3</stp>
        <tr r="F3577" s="1"/>
      </tp>
      <tp>
        <v>91.834317330000005</v>
        <stp/>
        <stp>EM_S_PQ_PCTCHANGE</stp>
        <stp>4</stp>
        <stp>002923</stp>
        <stp>2018-01-01</stp>
        <stp>2019-12-31</stp>
        <stp>3</stp>
        <tr r="F3191" s="1"/>
      </tp>
      <tp>
        <v>-39.432076019999997</v>
        <stp/>
        <stp>EM_S_PQ_PCTCHANGE</stp>
        <stp>4</stp>
        <stp>000925</stp>
        <stp>2018-01-01</stp>
        <stp>2019-12-31</stp>
        <stp>3</stp>
        <tr r="F1523" s="1"/>
      </tp>
      <tp>
        <v>101.94389609</v>
        <stp/>
        <stp>EM_S_PQ_PCTCHANGE</stp>
        <stp>4</stp>
        <stp>002925</stp>
        <stp>2018-01-01</stp>
        <stp>2019-12-31</stp>
        <stp>3</stp>
        <tr r="F2367" s="1"/>
      </tp>
      <tp>
        <v>-37.982902969999998</v>
        <stp/>
        <stp>EM_S_PQ_PCTCHANGE</stp>
        <stp>4</stp>
        <stp>000926</stp>
        <stp>2018-01-01</stp>
        <stp>2019-12-31</stp>
        <stp>3</stp>
        <tr r="F3578" s="1"/>
      </tp>
      <tp>
        <v>17.826961170000001</v>
        <stp/>
        <stp>EM_S_PQ_PCTCHANGE</stp>
        <stp>4</stp>
        <stp>002926</stp>
        <stp>2018-01-01</stp>
        <stp>2019-12-31</stp>
        <stp>3</stp>
        <tr r="F890" s="1"/>
      </tp>
      <tp>
        <v>13.12910284</v>
        <stp/>
        <stp>EM_S_PQ_PCTCHANGE</stp>
        <stp>4</stp>
        <stp>000927</stp>
        <stp>2018-01-01</stp>
        <stp>2019-12-31</stp>
        <stp>3</stp>
        <tr r="F3579" s="1"/>
      </tp>
      <tp>
        <v>148.94496097000001</v>
        <stp/>
        <stp>EM_S_PQ_PCTCHANGE</stp>
        <stp>4</stp>
        <stp>002927</stp>
        <stp>2018-01-01</stp>
        <stp>2019-12-31</stp>
        <stp>3</stp>
        <tr r="F3378" s="1"/>
      </tp>
      <tp>
        <v>8.0640352899999996</v>
        <stp/>
        <stp>EM_S_PQ_PCTCHANGE</stp>
        <stp>4</stp>
        <stp>601998</stp>
        <stp>2018-01-01</stp>
        <stp>2019-12-31</stp>
        <stp>3</stp>
        <tr r="F1567" s="1"/>
      </tp>
      <tp>
        <v>-24.280082060000002</v>
        <stp/>
        <stp>EM_S_PQ_PCTCHANGE</stp>
        <stp>4</stp>
        <stp>600998</stp>
        <stp>2018-01-01</stp>
        <stp>2019-12-31</stp>
        <stp>3</stp>
        <tr r="F2675" s="1"/>
      </tp>
      <tp>
        <v>-25.399687360000001</v>
        <stp/>
        <stp>EM_S_PQ_PCTCHANGE</stp>
        <stp>4</stp>
        <stp>603998</stp>
        <stp>2018-01-01</stp>
        <stp>2019-12-31</stp>
        <stp>3</stp>
        <tr r="F287" s="1"/>
      </tp>
      <tp>
        <v>-16.747387450000002</v>
        <stp/>
        <stp>EM_S_PQ_PCTCHANGE</stp>
        <stp>4</stp>
        <stp>601999</stp>
        <stp>2018-01-01</stp>
        <stp>2019-12-31</stp>
        <stp>3</stp>
        <tr r="F1305" s="1"/>
      </tp>
      <tp>
        <v>11.20796674</v>
        <stp/>
        <stp>EM_S_PQ_PCTCHANGE</stp>
        <stp>4</stp>
        <stp>600999</stp>
        <stp>2018-01-01</stp>
        <stp>2019-12-31</stp>
        <stp>3</stp>
        <tr r="F764" s="1"/>
      </tp>
      <tp>
        <v>-3.56615774</v>
        <stp/>
        <stp>EM_S_PQ_PCTCHANGE</stp>
        <stp>4</stp>
        <stp>603999</stp>
        <stp>2018-01-01</stp>
        <stp>2019-12-31</stp>
        <stp>3</stp>
        <tr r="F473" s="1"/>
      </tp>
      <tp>
        <v>312.85083502999998</v>
        <stp/>
        <stp>EM_S_PQ_PCTCHANGE</stp>
        <stp>4</stp>
        <stp>601990</stp>
        <stp>2018-01-01</stp>
        <stp>2019-12-31</stp>
        <stp>3</stp>
        <tr r="F632" s="1"/>
      </tp>
      <tp>
        <v>-22.770790689999998</v>
        <stp/>
        <stp>EM_S_PQ_PCTCHANGE</stp>
        <stp>4</stp>
        <stp>600990</stp>
        <stp>2018-01-01</stp>
        <stp>2019-12-31</stp>
        <stp>3</stp>
        <tr r="F934" s="1"/>
      </tp>
      <tp>
        <v>36.767162740000003</v>
        <stp/>
        <stp>EM_S_PQ_PCTCHANGE</stp>
        <stp>4</stp>
        <stp>603990</stp>
        <stp>2018-01-01</stp>
        <stp>2019-12-31</stp>
        <stp>3</stp>
        <tr r="F2011" s="1"/>
      </tp>
      <tp>
        <v>-37.031464730000003</v>
        <stp/>
        <stp>EM_S_PQ_PCTCHANGE</stp>
        <stp>4</stp>
        <stp>601991</stp>
        <stp>2018-01-01</stp>
        <stp>2019-12-31</stp>
        <stp>3</stp>
        <tr r="F3110" s="1"/>
      </tp>
      <tp>
        <v>0</v>
        <stp/>
        <stp>EM_S_PQ_PCTCHANGE</stp>
        <stp>4</stp>
        <stp>600991</stp>
        <stp>2018-01-01</stp>
        <stp>2019-12-31</stp>
        <stp>3</stp>
        <tr r="F2334" s="1"/>
      </tp>
      <tp>
        <v>-38.300889890000001</v>
        <stp/>
        <stp>EM_S_PQ_PCTCHANGE</stp>
        <stp>4</stp>
        <stp>603991</stp>
        <stp>2018-01-01</stp>
        <stp>2019-12-31</stp>
        <stp>3</stp>
        <tr r="F2590" s="1"/>
      </tp>
      <tp>
        <v>-29.32481705</v>
        <stp/>
        <stp>EM_S_PQ_PCTCHANGE</stp>
        <stp>4</stp>
        <stp>601992</stp>
        <stp>2018-01-01</stp>
        <stp>2019-12-31</stp>
        <stp>3</stp>
        <tr r="F2099" s="1"/>
      </tp>
      <tp>
        <v>-36.987608520000002</v>
        <stp/>
        <stp>EM_S_PQ_PCTCHANGE</stp>
        <stp>4</stp>
        <stp>600992</stp>
        <stp>2018-01-01</stp>
        <stp>2019-12-31</stp>
        <stp>3</stp>
        <tr r="F2383" s="1"/>
      </tp>
      <tp>
        <v>-12.564295019999999</v>
        <stp/>
        <stp>EM_S_PQ_PCTCHANGE</stp>
        <stp>4</stp>
        <stp>600993</stp>
        <stp>2018-01-01</stp>
        <stp>2019-12-31</stp>
        <stp>3</stp>
        <tr r="F973" s="1"/>
      </tp>
      <tp>
        <v>-34.040558849999996</v>
        <stp/>
        <stp>EM_S_PQ_PCTCHANGE</stp>
        <stp>4</stp>
        <stp>603993</stp>
        <stp>2018-01-01</stp>
        <stp>2019-12-31</stp>
        <stp>3</stp>
        <tr r="F1415" s="1"/>
      </tp>
      <tp>
        <v>-10.931712539999999</v>
        <stp/>
        <stp>EM_S_PQ_PCTCHANGE</stp>
        <stp>4</stp>
        <stp>600995</stp>
        <stp>2018-01-01</stp>
        <stp>2019-12-31</stp>
        <stp>3</stp>
        <tr r="F1373" s="1"/>
      </tp>
      <tp>
        <v>-39.603941370000001</v>
        <stp/>
        <stp>EM_S_PQ_PCTCHANGE</stp>
        <stp>4</stp>
        <stp>601996</stp>
        <stp>2018-01-01</stp>
        <stp>2019-12-31</stp>
        <stp>3</stp>
        <tr r="F2340" s="1"/>
      </tp>
      <tp>
        <v>-16.503534640000002</v>
        <stp/>
        <stp>EM_S_PQ_PCTCHANGE</stp>
        <stp>4</stp>
        <stp>600996</stp>
        <stp>2018-01-01</stp>
        <stp>2019-12-31</stp>
        <stp>3</stp>
        <tr r="F1043" s="1"/>
      </tp>
      <tp>
        <v>-72.616405299999997</v>
        <stp/>
        <stp>EM_S_PQ_PCTCHANGE</stp>
        <stp>4</stp>
        <stp>603996</stp>
        <stp>2018-01-01</stp>
        <stp>2019-12-31</stp>
        <stp>3</stp>
        <tr r="F3243" s="1"/>
      </tp>
      <tp>
        <v>6.20411322</v>
        <stp/>
        <stp>EM_S_PQ_PCTCHANGE</stp>
        <stp>4</stp>
        <stp>601997</stp>
        <stp>2018-01-01</stp>
        <stp>2019-12-31</stp>
        <stp>3</stp>
        <tr r="F2788" s="1"/>
      </tp>
      <tp>
        <v>-5.9117614600000001</v>
        <stp/>
        <stp>EM_S_PQ_PCTCHANGE</stp>
        <stp>4</stp>
        <stp>600997</stp>
        <stp>2018-01-01</stp>
        <stp>2019-12-31</stp>
        <stp>3</stp>
        <tr r="F2542" s="1"/>
      </tp>
      <tp>
        <v>-23.782974119999999</v>
        <stp/>
        <stp>EM_S_PQ_PCTCHANGE</stp>
        <stp>4</stp>
        <stp>603997</stp>
        <stp>2018-01-01</stp>
        <stp>2019-12-31</stp>
        <stp>3</stp>
        <tr r="F1914" s="1"/>
      </tp>
      <tp>
        <v>2.3287966600000001</v>
        <stp/>
        <stp>EM_S_PQ_PCTCHANGE</stp>
        <stp>4</stp>
        <stp>601988</stp>
        <stp>2018-01-01</stp>
        <stp>2019-12-31</stp>
        <stp>3</stp>
        <tr r="F2120" s="1"/>
      </tp>
      <tp>
        <v>-21.894409939999999</v>
        <stp/>
        <stp>EM_S_PQ_PCTCHANGE</stp>
        <stp>4</stp>
        <stp>600988</stp>
        <stp>2018-01-01</stp>
        <stp>2019-12-31</stp>
        <stp>3</stp>
        <tr r="F1255" s="1"/>
      </tp>
      <tp>
        <v>-61.00507992</v>
        <stp/>
        <stp>EM_S_PQ_PCTCHANGE</stp>
        <stp>4</stp>
        <stp>603988</stp>
        <stp>2018-01-01</stp>
        <stp>2019-12-31</stp>
        <stp>3</stp>
        <tr r="F2544" s="1"/>
      </tp>
      <tp>
        <v>-12.74484309</v>
        <stp/>
        <stp>EM_S_PQ_PCTCHANGE</stp>
        <stp>4</stp>
        <stp>601989</stp>
        <stp>2018-01-01</stp>
        <stp>2019-12-31</stp>
        <stp>3</stp>
        <tr r="F1155" s="1"/>
      </tp>
      <tp>
        <v>-22.899056479999999</v>
        <stp/>
        <stp>EM_S_PQ_PCTCHANGE</stp>
        <stp>4</stp>
        <stp>603989</stp>
        <stp>2018-01-01</stp>
        <stp>2019-12-31</stp>
        <stp>3</stp>
        <tr r="F1726" s="1"/>
      </tp>
      <tp>
        <v>-9.34834721</v>
        <stp/>
        <stp>EM_S_PQ_PCTCHANGE</stp>
        <stp>4</stp>
        <stp>600980</stp>
        <stp>2018-01-01</stp>
        <stp>2019-12-31</stp>
        <stp>3</stp>
        <tr r="F669" s="1"/>
      </tp>
      <tp>
        <v>-41.222863779999997</v>
        <stp/>
        <stp>EM_S_PQ_PCTCHANGE</stp>
        <stp>4</stp>
        <stp>603980</stp>
        <stp>2018-01-01</stp>
        <stp>2019-12-31</stp>
        <stp>3</stp>
        <tr r="F3238" s="1"/>
      </tp>
      <tp>
        <v>-30.893343130000002</v>
        <stp/>
        <stp>EM_S_PQ_PCTCHANGE</stp>
        <stp>4</stp>
        <stp>600981</stp>
        <stp>2018-01-01</stp>
        <stp>2019-12-31</stp>
        <stp>3</stp>
        <tr r="F2364" s="1"/>
      </tp>
      <tp>
        <v>-27.70124002</v>
        <stp/>
        <stp>EM_S_PQ_PCTCHANGE</stp>
        <stp>4</stp>
        <stp>600982</stp>
        <stp>2018-01-01</stp>
        <stp>2019-12-31</stp>
        <stp>3</stp>
        <tr r="F2729" s="1"/>
      </tp>
      <tp>
        <v>-30.46680482</v>
        <stp/>
        <stp>EM_S_PQ_PCTCHANGE</stp>
        <stp>4</stp>
        <stp>600983</stp>
        <stp>2018-01-01</stp>
        <stp>2019-12-31</stp>
        <stp>3</stp>
        <tr r="F2645" s="1"/>
      </tp>
      <tp>
        <v>103.74753452</v>
        <stp/>
        <stp>EM_S_PQ_PCTCHANGE</stp>
        <stp>4</stp>
        <stp>600984</stp>
        <stp>2019-01-01</stp>
        <stp>2019-12-31</stp>
        <stp>3</stp>
        <tr r="G159" s="1"/>
      </tp>
      <tp>
        <v>109.05020626</v>
        <stp/>
        <stp>EM_S_PQ_PCTCHANGE</stp>
        <stp>4</stp>
        <stp>600984</stp>
        <stp>2018-01-01</stp>
        <stp>2019-12-31</stp>
        <stp>3</stp>
        <tr r="F159" s="1"/>
      </tp>
      <tp>
        <v>-29.097979479999999</v>
        <stp/>
        <stp>EM_S_PQ_PCTCHANGE</stp>
        <stp>4</stp>
        <stp>601985</stp>
        <stp>2018-01-01</stp>
        <stp>2019-12-31</stp>
        <stp>3</stp>
        <tr r="F2565" s="1"/>
      </tp>
      <tp>
        <v>-18.574460340000002</v>
        <stp/>
        <stp>EM_S_PQ_PCTCHANGE</stp>
        <stp>4</stp>
        <stp>600985</stp>
        <stp>2018-01-01</stp>
        <stp>2019-12-31</stp>
        <stp>3</stp>
        <tr r="F1841" s="1"/>
      </tp>
      <tp>
        <v>-21.213968430000001</v>
        <stp/>
        <stp>EM_S_PQ_PCTCHANGE</stp>
        <stp>4</stp>
        <stp>603985</stp>
        <stp>2018-01-01</stp>
        <stp>2019-12-31</stp>
        <stp>3</stp>
        <tr r="F3160" s="1"/>
      </tp>
      <tp>
        <v>-36.067323610000003</v>
        <stp/>
        <stp>EM_S_PQ_PCTCHANGE</stp>
        <stp>4</stp>
        <stp>600986</stp>
        <stp>2018-01-01</stp>
        <stp>2019-12-31</stp>
        <stp>3</stp>
        <tr r="F1246" s="1"/>
      </tp>
      <tp>
        <v>76.898897230000003</v>
        <stp/>
        <stp>EM_S_PQ_PCTCHANGE</stp>
        <stp>4</stp>
        <stp>603986</stp>
        <stp>2018-01-01</stp>
        <stp>2019-12-31</stp>
        <stp>3</stp>
        <tr r="F35" s="1"/>
      </tp>
      <tp>
        <v>229.97059687000001</v>
        <stp/>
        <stp>EM_S_PQ_PCTCHANGE</stp>
        <stp>4</stp>
        <stp>603986</stp>
        <stp>2019-01-01</stp>
        <stp>2019-12-31</stp>
        <stp>3</stp>
        <tr r="G35" s="1"/>
      </tp>
      <tp>
        <v>-14.348650360000001</v>
        <stp/>
        <stp>EM_S_PQ_PCTCHANGE</stp>
        <stp>4</stp>
        <stp>600987</stp>
        <stp>2018-01-01</stp>
        <stp>2019-12-31</stp>
        <stp>3</stp>
        <tr r="F3102" s="1"/>
      </tp>
      <tp>
        <v>-3.3458160299999999</v>
        <stp/>
        <stp>EM_S_PQ_PCTCHANGE</stp>
        <stp>4</stp>
        <stp>603987</stp>
        <stp>2018-01-01</stp>
        <stp>2019-12-31</stp>
        <stp>3</stp>
        <tr r="F1117" s="1"/>
      </tp>
      <tp>
        <v>-41.66264031</v>
        <stp/>
        <stp>EM_S_PQ_PCTCHANGE</stp>
        <stp>4</stp>
        <stp>000998</stp>
        <stp>2018-01-01</stp>
        <stp>2019-12-31</stp>
        <stp>3</stp>
        <tr r="F2742" s="1"/>
      </tp>
      <tp>
        <v>20.063714610000002</v>
        <stp/>
        <stp>EM_S_PQ_PCTCHANGE</stp>
        <stp>4</stp>
        <stp>000999</stp>
        <stp>2018-01-01</stp>
        <stp>2019-12-31</stp>
        <stp>3</stp>
        <tr r="F1163" s="1"/>
      </tp>
      <tp>
        <v>-11.42477781</v>
        <stp/>
        <stp>EM_S_PQ_PCTCHANGE</stp>
        <stp>4</stp>
        <stp>000990</stp>
        <stp>2018-01-01</stp>
        <stp>2019-12-31</stp>
        <stp>3</stp>
        <tr r="F1153" s="1"/>
      </tp>
      <tp>
        <v>0</v>
        <stp/>
        <stp>EM_S_PQ_PCTCHANGE</stp>
        <stp>4</stp>
        <stp>000991</stp>
        <stp>2018-01-01</stp>
        <stp>2019-12-31</stp>
        <stp>3</stp>
        <tr r="F3599" s="1"/>
      </tp>
      <tp>
        <v>-7.2060682700000003</v>
        <stp/>
        <stp>EM_S_PQ_PCTCHANGE</stp>
        <stp>4</stp>
        <stp>000993</stp>
        <stp>2018-01-01</stp>
        <stp>2019-12-31</stp>
        <stp>3</stp>
        <tr r="F3600" s="1"/>
      </tp>
      <tp>
        <v>-47.689075629999998</v>
        <stp/>
        <stp>EM_S_PQ_PCTCHANGE</stp>
        <stp>4</stp>
        <stp>000995</stp>
        <stp>2018-01-01</stp>
        <stp>2019-12-31</stp>
        <stp>3</stp>
        <tr r="F3601" s="1"/>
      </tp>
      <tp>
        <v>-30.582842169999999</v>
        <stp/>
        <stp>EM_S_PQ_PCTCHANGE</stp>
        <stp>4</stp>
        <stp>000996</stp>
        <stp>2018-01-01</stp>
        <stp>2019-12-31</stp>
        <stp>3</stp>
        <tr r="F1113" s="1"/>
      </tp>
      <tp>
        <v>-9.3918274799999999</v>
        <stp/>
        <stp>EM_S_PQ_PCTCHANGE</stp>
        <stp>4</stp>
        <stp>000997</stp>
        <stp>2018-01-01</stp>
        <stp>2019-12-31</stp>
        <stp>3</stp>
        <tr r="F1814" s="1"/>
      </tp>
      <tp>
        <v>22.870765670000001</v>
        <stp/>
        <stp>EM_S_PQ_PCTCHANGE</stp>
        <stp>4</stp>
        <stp>000988</stp>
        <stp>2018-01-01</stp>
        <stp>2019-12-31</stp>
        <stp>3</stp>
        <tr r="F328" s="1"/>
      </tp>
      <tp>
        <v>-52.053804030000002</v>
        <stp/>
        <stp>EM_S_PQ_PCTCHANGE</stp>
        <stp>4</stp>
        <stp>000989</stp>
        <stp>2018-01-01</stp>
        <stp>2019-12-31</stp>
        <stp>3</stp>
        <tr r="F3598" s="1"/>
      </tp>
      <tp>
        <v>-75.432814179999994</v>
        <stp/>
        <stp>EM_S_PQ_PCTCHANGE</stp>
        <stp>4</stp>
        <stp>000980</stp>
        <stp>2018-01-01</stp>
        <stp>2019-12-31</stp>
        <stp>3</stp>
        <tr r="F3593" s="1"/>
      </tp>
      <tp>
        <v>-77.50059985</v>
        <stp/>
        <stp>EM_S_PQ_PCTCHANGE</stp>
        <stp>4</stp>
        <stp>000981</stp>
        <stp>2018-01-01</stp>
        <stp>2019-12-31</stp>
        <stp>3</stp>
        <tr r="F3594" s="1"/>
      </tp>
      <tp>
        <v>-46.857142860000003</v>
        <stp/>
        <stp>EM_S_PQ_PCTCHANGE</stp>
        <stp>4</stp>
        <stp>000982</stp>
        <stp>2018-01-01</stp>
        <stp>2019-12-31</stp>
        <stp>3</stp>
        <tr r="F3595" s="1"/>
      </tp>
      <tp>
        <v>-36.22102503</v>
        <stp/>
        <stp>EM_S_PQ_PCTCHANGE</stp>
        <stp>4</stp>
        <stp>000983</stp>
        <stp>2018-01-01</stp>
        <stp>2019-12-31</stp>
        <stp>3</stp>
        <tr r="F1655" s="1"/>
      </tp>
      <tp>
        <v>-20.128688189999998</v>
        <stp/>
        <stp>EM_S_PQ_PCTCHANGE</stp>
        <stp>4</stp>
        <stp>000985</stp>
        <stp>2018-01-01</stp>
        <stp>2019-12-31</stp>
        <stp>3</stp>
        <tr r="F3596" s="1"/>
      </tp>
      <tp>
        <v>0.13604029000000001</v>
        <stp/>
        <stp>EM_S_PQ_PCTCHANGE</stp>
        <stp>4</stp>
        <stp>000987</stp>
        <stp>2018-01-01</stp>
        <stp>2019-12-31</stp>
        <stp>3</stp>
        <tr r="F3597" s="1"/>
      </tp>
      <tp>
        <v>14.922813039999999</v>
        <stp/>
        <stp>EM_S_PQ_PCTCHANGE</stp>
        <stp>4</stp>
        <stp>600829</stp>
        <stp>2018-12-31</stp>
        <stp>2019-12-30</stp>
        <stp>1</stp>
        <tr r="G1485" s="1"/>
      </tp>
      <tp>
        <v>13.14405889</v>
        <stp/>
        <stp>EM_S_PQ_PCTCHANGE</stp>
        <stp>4</stp>
        <stp>603829</stp>
        <stp>2018-12-31</stp>
        <stp>2019-12-30</stp>
        <stp>1</stp>
        <tr r="G1573" s="1"/>
      </tp>
      <tp>
        <v>0</v>
        <stp/>
        <stp>EM_S_PQ_PCTCHANGE</stp>
        <stp>4</stp>
        <stp>002849</stp>
        <stp>2018-12-31</stp>
        <stp>2019-12-30</stp>
        <stp>1</stp>
        <tr r="G2282" s="1"/>
      </tp>
      <tp>
        <v>2.2644927500000001</v>
        <stp/>
        <stp>EM_S_PQ_PCTCHANGE</stp>
        <stp>4</stp>
        <stp>601828</stp>
        <stp>2018-12-31</stp>
        <stp>2019-12-30</stp>
        <stp>1</stp>
        <tr r="G2154" s="1"/>
      </tp>
      <tp>
        <v>-2.1144278600000002</v>
        <stp/>
        <stp>EM_S_PQ_PCTCHANGE</stp>
        <stp>4</stp>
        <stp>000848</stp>
        <stp>2018-12-31</stp>
        <stp>2019-12-30</stp>
        <stp>1</stp>
        <tr r="G2428" s="1"/>
      </tp>
      <tp>
        <v>0.21321962</v>
        <stp/>
        <stp>EM_S_PQ_PCTCHANGE</stp>
        <stp>4</stp>
        <stp>600828</stp>
        <stp>2018-12-31</stp>
        <stp>2019-12-30</stp>
        <stp>1</stp>
        <tr r="G2265" s="1"/>
      </tp>
      <tp>
        <v>-31.973684209999998</v>
        <stp/>
        <stp>EM_S_PQ_PCTCHANGE</stp>
        <stp>4</stp>
        <stp>603828</stp>
        <stp>2018-12-31</stp>
        <stp>2019-12-30</stp>
        <stp>1</stp>
        <tr r="G3237" s="1"/>
      </tp>
      <tp>
        <v>10.60735672</v>
        <stp/>
        <stp>EM_S_PQ_PCTCHANGE</stp>
        <stp>4</stp>
        <stp>002848</stp>
        <stp>2018-12-31</stp>
        <stp>2019-12-30</stp>
        <stp>1</stp>
        <tr r="G1699" s="1"/>
      </tp>
      <tp>
        <v>14.28571429</v>
        <stp/>
        <stp>EM_S_PQ_PCTCHANGE</stp>
        <stp>4</stp>
        <stp>600821</stp>
        <stp>2018-12-31</stp>
        <stp>2019-12-30</stp>
        <stp>1</stp>
        <tr r="G1516" s="1"/>
      </tp>
      <tp>
        <v>50.087873459999997</v>
        <stp/>
        <stp>EM_S_PQ_PCTCHANGE</stp>
        <stp>4</stp>
        <stp>002841</stp>
        <stp>2018-12-31</stp>
        <stp>2019-12-30</stp>
        <stp>1</stp>
        <tr r="G563" s="1"/>
      </tp>
      <tp>
        <v>-4.1533546299999999</v>
        <stp/>
        <stp>EM_S_PQ_PCTCHANGE</stp>
        <stp>4</stp>
        <stp>600820</stp>
        <stp>2018-12-31</stp>
        <stp>2019-12-30</stp>
        <stp>1</stp>
        <tr r="G2521" s="1"/>
      </tp>
      <tp>
        <v>23.488905890000002</v>
        <stp/>
        <stp>EM_S_PQ_PCTCHANGE</stp>
        <stp>4</stp>
        <stp>002840</stp>
        <stp>2018-12-31</stp>
        <stp>2019-12-30</stp>
        <stp>1</stp>
        <tr r="G1148" s="1"/>
      </tp>
      <tp>
        <v>21.54255319</v>
        <stp/>
        <stp>EM_S_PQ_PCTCHANGE</stp>
        <stp>4</stp>
        <stp>600823</stp>
        <stp>2018-12-31</stp>
        <stp>2019-12-30</stp>
        <stp>1</stp>
        <tr r="G1206" s="1"/>
      </tp>
      <tp>
        <v>69.346405230000002</v>
        <stp/>
        <stp>EM_S_PQ_PCTCHANGE</stp>
        <stp>4</stp>
        <stp>603823</stp>
        <stp>2018-12-31</stp>
        <stp>2019-12-30</stp>
        <stp>1</stp>
        <tr r="G322" s="1"/>
      </tp>
      <tp>
        <v>-32.116182569999999</v>
        <stp/>
        <stp>EM_S_PQ_PCTCHANGE</stp>
        <stp>4</stp>
        <stp>002843</stp>
        <stp>2018-12-31</stp>
        <stp>2019-12-30</stp>
        <stp>1</stp>
        <tr r="G3239" s="1"/>
      </tp>
      <tp>
        <v>17.26535342</v>
        <stp/>
        <stp>EM_S_PQ_PCTCHANGE</stp>
        <stp>4</stp>
        <stp>600822</stp>
        <stp>2018-12-31</stp>
        <stp>2019-12-30</stp>
        <stp>1</stp>
        <tr r="G1393" s="1"/>
      </tp>
      <tp>
        <v>18.076427649999999</v>
        <stp/>
        <stp>EM_S_PQ_PCTCHANGE</stp>
        <stp>4</stp>
        <stp>603822</stp>
        <stp>2018-12-31</stp>
        <stp>2019-12-30</stp>
        <stp>1</stp>
        <tr r="G1362" s="1"/>
      </tp>
      <tp>
        <v>-12.37590999</v>
        <stp/>
        <stp>EM_S_PQ_PCTCHANGE</stp>
        <stp>4</stp>
        <stp>002842</stp>
        <stp>2018-12-31</stp>
        <stp>2019-12-30</stp>
        <stp>1</stp>
        <tr r="G2843" s="1"/>
      </tp>
      <tp>
        <v>18.775510199999999</v>
        <stp/>
        <stp>EM_S_PQ_PCTCHANGE</stp>
        <stp>4</stp>
        <stp>600825</stp>
        <stp>2018-12-31</stp>
        <stp>2019-12-30</stp>
        <stp>1</stp>
        <tr r="G1333" s="1"/>
      </tp>
      <tp>
        <v>31.29055516</v>
        <stp/>
        <stp>EM_S_PQ_PCTCHANGE</stp>
        <stp>4</stp>
        <stp>603825</stp>
        <stp>2018-12-31</stp>
        <stp>2019-12-30</stp>
        <stp>1</stp>
        <tr r="G901" s="1"/>
      </tp>
      <tp>
        <v>6.9404279899999999</v>
        <stp/>
        <stp>EM_S_PQ_PCTCHANGE</stp>
        <stp>4</stp>
        <stp>002845</stp>
        <stp>2018-12-31</stp>
        <stp>2019-12-30</stp>
        <stp>1</stp>
        <tr r="G1899" s="1"/>
      </tp>
      <tp>
        <v>3.8922155699999998</v>
        <stp/>
        <stp>EM_S_PQ_PCTCHANGE</stp>
        <stp>4</stp>
        <stp>600824</stp>
        <stp>2018-12-31</stp>
        <stp>2019-12-30</stp>
        <stp>1</stp>
        <tr r="G2064" s="1"/>
      </tp>
      <tp>
        <v>6.1538461499999997</v>
        <stp/>
        <stp>EM_S_PQ_PCTCHANGE</stp>
        <stp>4</stp>
        <stp>600827</stp>
        <stp>2018-12-31</stp>
        <stp>2019-12-30</stp>
        <stp>1</stp>
        <tr r="G1943" s="1"/>
      </tp>
      <tp>
        <v>64.930232559999993</v>
        <stp/>
        <stp>EM_S_PQ_PCTCHANGE</stp>
        <stp>4</stp>
        <stp>002847</stp>
        <stp>2018-12-31</stp>
        <stp>2019-12-30</stp>
        <stp>1</stp>
        <tr r="G368" s="1"/>
      </tp>
      <tp>
        <v>18.822292319999999</v>
        <stp/>
        <stp>EM_S_PQ_PCTCHANGE</stp>
        <stp>4</stp>
        <stp>600826</stp>
        <stp>2018-12-31</stp>
        <stp>2019-12-30</stp>
        <stp>1</stp>
        <tr r="G1328" s="1"/>
      </tp>
      <tp>
        <v>16.057347669999999</v>
        <stp/>
        <stp>EM_S_PQ_PCTCHANGE</stp>
        <stp>4</stp>
        <stp>603826</stp>
        <stp>2018-12-31</stp>
        <stp>2019-12-30</stp>
        <stp>1</stp>
        <tr r="G1431" s="1"/>
      </tp>
      <tp>
        <v>82.072829130000002</v>
        <stp/>
        <stp>EM_S_PQ_PCTCHANGE</stp>
        <stp>4</stp>
        <stp>002846</stp>
        <stp>2018-12-31</stp>
        <stp>2019-12-30</stp>
        <stp>1</stp>
        <tr r="G237" s="1"/>
      </tp>
      <tp>
        <v>106.33802817</v>
        <stp/>
        <stp>EM_S_PQ_PCTCHANGE</stp>
        <stp>4</stp>
        <stp>000859</stp>
        <stp>2018-12-31</stp>
        <stp>2019-12-30</stp>
        <stp>1</stp>
        <tr r="G151" s="1"/>
      </tp>
      <tp>
        <v>23.809523810000002</v>
        <stp/>
        <stp>EM_S_PQ_PCTCHANGE</stp>
        <stp>4</stp>
        <stp>600839</stp>
        <stp>2018-12-31</stp>
        <stp>2019-12-30</stp>
        <stp>1</stp>
        <tr r="G1139" s="1"/>
      </tp>
      <tp>
        <v>23.17757009</v>
        <stp/>
        <stp>EM_S_PQ_PCTCHANGE</stp>
        <stp>4</stp>
        <stp>603839</stp>
        <stp>2018-12-31</stp>
        <stp>2019-12-30</stp>
        <stp>1</stp>
        <tr r="G1152" s="1"/>
      </tp>
      <tp>
        <v>11.674796750000001</v>
        <stp/>
        <stp>EM_S_PQ_PCTCHANGE</stp>
        <stp>4</stp>
        <stp>002859</stp>
        <stp>2018-12-31</stp>
        <stp>2019-12-30</stp>
        <stp>1</stp>
        <tr r="G1645" s="1"/>
      </tp>
      <tp>
        <v>11.304347829999999</v>
        <stp/>
        <stp>EM_S_PQ_PCTCHANGE</stp>
        <stp>4</stp>
        <stp>601838</stp>
        <stp>2018-12-31</stp>
        <stp>2019-12-30</stp>
        <stp>1</stp>
        <tr r="G1663" s="1"/>
      </tp>
      <tp>
        <v>5.6572379399999999</v>
        <stp/>
        <stp>EM_S_PQ_PCTCHANGE</stp>
        <stp>4</stp>
        <stp>600838</stp>
        <stp>2018-12-31</stp>
        <stp>2019-12-30</stp>
        <stp>1</stp>
        <tr r="G1970" s="1"/>
      </tp>
      <tp>
        <v>-13.467656420000001</v>
        <stp/>
        <stp>EM_S_PQ_PCTCHANGE</stp>
        <stp>4</stp>
        <stp>603838</stp>
        <stp>2018-12-31</stp>
        <stp>2019-12-30</stp>
        <stp>1</stp>
        <tr r="G2880" s="1"/>
      </tp>
      <tp>
        <v>8.5818181800000009</v>
        <stp/>
        <stp>EM_S_PQ_PCTCHANGE</stp>
        <stp>4</stp>
        <stp>002858</stp>
        <stp>2018-12-31</stp>
        <stp>2019-12-30</stp>
        <stp>1</stp>
        <tr r="G1816" s="1"/>
      </tp>
      <tp>
        <v>22.899159659999999</v>
        <stp/>
        <stp>EM_S_PQ_PCTCHANGE</stp>
        <stp>4</stp>
        <stp>000851</stp>
        <stp>2018-12-31</stp>
        <stp>2019-12-30</stp>
        <stp>1</stp>
        <tr r="G1159" s="1"/>
      </tp>
      <tp>
        <v>37.075332349999996</v>
        <stp/>
        <stp>EM_S_PQ_PCTCHANGE</stp>
        <stp>4</stp>
        <stp>600831</stp>
        <stp>2018-12-31</stp>
        <stp>2019-12-30</stp>
        <stp>1</stp>
        <tr r="G788" s="1"/>
      </tp>
      <tp>
        <v>-1.6509434000000001</v>
        <stp/>
        <stp>EM_S_PQ_PCTCHANGE</stp>
        <stp>4</stp>
        <stp>002851</stp>
        <stp>2018-12-31</stp>
        <stp>2019-12-30</stp>
        <stp>1</stp>
        <tr r="G2406" s="1"/>
      </tp>
      <tp>
        <v>26.25</v>
        <stp/>
        <stp>EM_S_PQ_PCTCHANGE</stp>
        <stp>4</stp>
        <stp>000850</stp>
        <stp>2018-12-31</stp>
        <stp>2019-12-30</stp>
        <stp>1</stp>
        <tr r="G1049" s="1"/>
      </tp>
      <tp>
        <v>15.657620039999999</v>
        <stp/>
        <stp>EM_S_PQ_PCTCHANGE</stp>
        <stp>4</stp>
        <stp>600830</stp>
        <stp>2018-12-31</stp>
        <stp>2019-12-30</stp>
        <stp>1</stp>
        <tr r="G1448" s="1"/>
      </tp>
      <tp>
        <v>147.64227642</v>
        <stp/>
        <stp>EM_S_PQ_PCTCHANGE</stp>
        <stp>4</stp>
        <stp>002850</stp>
        <stp>2018-12-31</stp>
        <stp>2019-12-30</stp>
        <stp>1</stp>
        <tr r="G87" s="1"/>
      </tp>
      <tp>
        <v>2.9572836800000002</v>
        <stp/>
        <stp>EM_S_PQ_PCTCHANGE</stp>
        <stp>4</stp>
        <stp>600833</stp>
        <stp>2018-12-31</stp>
        <stp>2019-12-30</stp>
        <stp>1</stp>
        <tr r="G2110" s="1"/>
      </tp>
      <tp>
        <v>45.383843450000001</v>
        <stp/>
        <stp>EM_S_PQ_PCTCHANGE</stp>
        <stp>4</stp>
        <stp>603833</stp>
        <stp>2018-12-31</stp>
        <stp>2019-12-30</stp>
        <stp>1</stp>
        <tr r="G634" s="1"/>
      </tp>
      <tp>
        <v>0.70767555999999998</v>
        <stp/>
        <stp>EM_S_PQ_PCTCHANGE</stp>
        <stp>4</stp>
        <stp>002853</stp>
        <stp>2018-12-31</stp>
        <stp>2019-12-30</stp>
        <stp>1</stp>
        <tr r="G2233" s="1"/>
      </tp>
      <tp>
        <v>-11.45251397</v>
        <stp/>
        <stp>EM_S_PQ_PCTCHANGE</stp>
        <stp>4</stp>
        <stp>000852</stp>
        <stp>2018-12-31</stp>
        <stp>2019-12-30</stp>
        <stp>1</stp>
        <tr r="G2811" s="1"/>
      </tp>
      <tp>
        <v>0</v>
        <stp/>
        <stp>EM_S_PQ_PCTCHANGE</stp>
        <stp>4</stp>
        <stp>600832</stp>
        <stp>2018-12-31</stp>
        <stp>2019-12-30</stp>
        <stp>1</stp>
        <tr r="G2328" s="1"/>
      </tp>
      <tp>
        <v>9.1728091700000007</v>
        <stp/>
        <stp>EM_S_PQ_PCTCHANGE</stp>
        <stp>4</stp>
        <stp>002852</stp>
        <stp>2018-12-31</stp>
        <stp>2019-12-30</stp>
        <stp>1</stp>
        <tr r="G1784" s="1"/>
      </tp>
      <tp>
        <v>13.883161510000001</v>
        <stp/>
        <stp>EM_S_PQ_PCTCHANGE</stp>
        <stp>4</stp>
        <stp>600835</stp>
        <stp>2018-12-31</stp>
        <stp>2019-12-30</stp>
        <stp>1</stp>
        <tr r="G1537" s="1"/>
      </tp>
      <tp>
        <v>55.8411215</v>
        <stp/>
        <stp>EM_S_PQ_PCTCHANGE</stp>
        <stp>4</stp>
        <stp>002855</stp>
        <stp>2018-12-31</stp>
        <stp>2019-12-30</stp>
        <stp>1</stp>
        <tr r="G475" s="1"/>
      </tp>
      <tp>
        <v>5.3811659199999999</v>
        <stp/>
        <stp>EM_S_PQ_PCTCHANGE</stp>
        <stp>4</stp>
        <stp>600834</stp>
        <stp>2018-12-31</stp>
        <stp>2019-12-30</stp>
        <stp>1</stp>
        <tr r="G1990" s="1"/>
      </tp>
      <tp>
        <v>77.954545449999998</v>
        <stp/>
        <stp>EM_S_PQ_PCTCHANGE</stp>
        <stp>4</stp>
        <stp>600837</stp>
        <stp>2018-12-31</stp>
        <stp>2019-12-30</stp>
        <stp>1</stp>
        <tr r="G260" s="1"/>
      </tp>
      <tp>
        <v>2.4659863899999999</v>
        <stp/>
        <stp>EM_S_PQ_PCTCHANGE</stp>
        <stp>4</stp>
        <stp>002857</stp>
        <stp>2018-12-31</stp>
        <stp>2019-12-30</stp>
        <stp>1</stp>
        <tr r="G2140" s="1"/>
      </tp>
      <tp>
        <v>-25.347222219999999</v>
        <stp/>
        <stp>EM_S_PQ_PCTCHANGE</stp>
        <stp>4</stp>
        <stp>000856</stp>
        <stp>2018-12-31</stp>
        <stp>2019-12-30</stp>
        <stp>1</stp>
        <tr r="G3157" s="1"/>
      </tp>
      <tp>
        <v>33.421750660000001</v>
        <stp/>
        <stp>EM_S_PQ_PCTCHANGE</stp>
        <stp>4</stp>
        <stp>600836</stp>
        <stp>2018-12-31</stp>
        <stp>2019-12-30</stp>
        <stp>1</stp>
        <tr r="G857" s="1"/>
      </tp>
      <tp>
        <v>-13.053613049999999</v>
        <stp/>
        <stp>EM_S_PQ_PCTCHANGE</stp>
        <stp>4</stp>
        <stp>002856</stp>
        <stp>2018-12-31</stp>
        <stp>2019-12-30</stp>
        <stp>1</stp>
        <tr r="G2870" s="1"/>
      </tp>
      <tp>
        <v>10.42307692</v>
        <stp/>
        <stp>EM_S_PQ_PCTCHANGE</stp>
        <stp>4</stp>
        <stp>000869</stp>
        <stp>2018-12-31</stp>
        <stp>2019-12-30</stp>
        <stp>1</stp>
        <tr r="G1713" s="1"/>
      </tp>
      <tp>
        <v>-36.608344549999998</v>
        <stp/>
        <stp>EM_S_PQ_PCTCHANGE</stp>
        <stp>4</stp>
        <stp>603809</stp>
        <stp>2018-12-31</stp>
        <stp>2019-12-30</stp>
        <stp>1</stp>
        <tr r="G3285" s="1"/>
      </tp>
      <tp>
        <v>307.96963947</v>
        <stp/>
        <stp>EM_S_PQ_PCTCHANGE</stp>
        <stp>4</stp>
        <stp>002869</stp>
        <stp>2018-12-31</stp>
        <stp>2019-12-30</stp>
        <stp>1</stp>
        <tr r="G26" s="1"/>
      </tp>
      <tp>
        <v>123.41920374999999</v>
        <stp/>
        <stp>EM_S_PQ_PCTCHANGE</stp>
        <stp>4</stp>
        <stp>601808</stp>
        <stp>2018-12-31</stp>
        <stp>2019-12-30</stp>
        <stp>1</stp>
        <tr r="G119" s="1"/>
      </tp>
      <tp>
        <v>-13.00578035</v>
        <stp/>
        <stp>EM_S_PQ_PCTCHANGE</stp>
        <stp>4</stp>
        <stp>600808</stp>
        <stp>2018-12-31</stp>
        <stp>2019-12-30</stp>
        <stp>1</stp>
        <tr r="G2869" s="1"/>
      </tp>
      <tp>
        <v>-8.8054187200000005</v>
        <stp/>
        <stp>EM_S_PQ_PCTCHANGE</stp>
        <stp>4</stp>
        <stp>603808</stp>
        <stp>2018-12-31</stp>
        <stp>2019-12-30</stp>
        <stp>1</stp>
        <tr r="G2714" s="1"/>
      </tp>
      <tp>
        <v>19.235924929999999</v>
        <stp/>
        <stp>EM_S_PQ_PCTCHANGE</stp>
        <stp>4</stp>
        <stp>002868</stp>
        <stp>2018-12-31</stp>
        <stp>2019-12-30</stp>
        <stp>1</stp>
        <tr r="G1313" s="1"/>
      </tp>
      <tp>
        <v>-17.814371260000001</v>
        <stp/>
        <stp>EM_S_PQ_PCTCHANGE</stp>
        <stp>4</stp>
        <stp>601801</stp>
        <stp>2018-12-31</stp>
        <stp>2019-12-30</stp>
        <stp>1</stp>
        <tr r="G3010" s="1"/>
      </tp>
      <tp>
        <v>48.744019139999999</v>
        <stp/>
        <stp>EM_S_PQ_PCTCHANGE</stp>
        <stp>4</stp>
        <stp>600801</stp>
        <stp>2018-12-31</stp>
        <stp>2019-12-30</stp>
        <stp>1</stp>
        <tr r="G585" s="1"/>
      </tp>
      <tp>
        <v>-5.5393585999999999</v>
        <stp/>
        <stp>EM_S_PQ_PCTCHANGE</stp>
        <stp>4</stp>
        <stp>603801</stp>
        <stp>2018-12-31</stp>
        <stp>2019-12-30</stp>
        <stp>1</stp>
        <tr r="G2581" s="1"/>
      </tp>
      <tp>
        <v>73.854447440000001</v>
        <stp/>
        <stp>EM_S_PQ_PCTCHANGE</stp>
        <stp>4</stp>
        <stp>002861</stp>
        <stp>2018-12-31</stp>
        <stp>2019-12-30</stp>
        <stp>1</stp>
        <tr r="G286" s="1"/>
      </tp>
      <tp>
        <v>-21.403197160000001</v>
        <stp/>
        <stp>EM_S_PQ_PCTCHANGE</stp>
        <stp>4</stp>
        <stp>601800</stp>
        <stp>2018-12-31</stp>
        <stp>2019-12-30</stp>
        <stp>1</stp>
        <tr r="G3086" s="1"/>
      </tp>
      <tp>
        <v>64.722483539999999</v>
        <stp/>
        <stp>EM_S_PQ_PCTCHANGE</stp>
        <stp>4</stp>
        <stp>000860</stp>
        <stp>2018-12-31</stp>
        <stp>2019-12-30</stp>
        <stp>1</stp>
        <tr r="G371" s="1"/>
      </tp>
      <tp>
        <v>10.17964072</v>
        <stp/>
        <stp>EM_S_PQ_PCTCHANGE</stp>
        <stp>4</stp>
        <stp>600800</stp>
        <stp>2018-12-31</stp>
        <stp>2019-12-30</stp>
        <stp>1</stp>
        <tr r="G1729" s="1"/>
      </tp>
      <tp>
        <v>17.70462633</v>
        <stp/>
        <stp>EM_S_PQ_PCTCHANGE</stp>
        <stp>4</stp>
        <stp>603800</stp>
        <stp>2018-12-31</stp>
        <stp>2019-12-30</stp>
        <stp>1</stp>
        <tr r="G1378" s="1"/>
      </tp>
      <tp>
        <v>21.806520580000001</v>
        <stp/>
        <stp>EM_S_PQ_PCTCHANGE</stp>
        <stp>4</stp>
        <stp>002860</stp>
        <stp>2018-12-31</stp>
        <stp>2019-12-30</stp>
        <stp>1</stp>
        <tr r="G1191" s="1"/>
      </tp>
      <tp>
        <v>6.9416498999999998</v>
        <stp/>
        <stp>EM_S_PQ_PCTCHANGE</stp>
        <stp>4</stp>
        <stp>600803</stp>
        <stp>2018-12-31</stp>
        <stp>2019-12-30</stp>
        <stp>1</stp>
        <tr r="G1898" s="1"/>
      </tp>
      <tp>
        <v>26.456071080000001</v>
        <stp/>
        <stp>EM_S_PQ_PCTCHANGE</stp>
        <stp>4</stp>
        <stp>603803</stp>
        <stp>2018-12-31</stp>
        <stp>2019-12-30</stp>
        <stp>1</stp>
        <tr r="G1040" s="1"/>
      </tp>
      <tp>
        <v>-12.401883829999999</v>
        <stp/>
        <stp>EM_S_PQ_PCTCHANGE</stp>
        <stp>4</stp>
        <stp>002863</stp>
        <stp>2018-12-31</stp>
        <stp>2019-12-30</stp>
        <stp>1</stp>
        <tr r="G2846" s="1"/>
      </tp>
      <tp>
        <v>68.918918919999996</v>
        <stp/>
        <stp>EM_S_PQ_PCTCHANGE</stp>
        <stp>4</stp>
        <stp>000862</stp>
        <stp>2018-12-31</stp>
        <stp>2019-12-30</stp>
        <stp>1</stp>
        <tr r="G331" s="1"/>
      </tp>
      <tp>
        <v>15.625</v>
        <stp/>
        <stp>EM_S_PQ_PCTCHANGE</stp>
        <stp>4</stp>
        <stp>600802</stp>
        <stp>2018-12-31</stp>
        <stp>2019-12-30</stp>
        <stp>1</stp>
        <tr r="G1449" s="1"/>
      </tp>
      <tp>
        <v>3.8010323800000001</v>
        <stp/>
        <stp>EM_S_PQ_PCTCHANGE</stp>
        <stp>4</stp>
        <stp>002862</stp>
        <stp>2018-12-31</stp>
        <stp>2019-12-30</stp>
        <stp>1</stp>
        <tr r="G2070" s="1"/>
      </tp>
      <tp>
        <v>9.5652173900000008</v>
        <stp/>
        <stp>EM_S_PQ_PCTCHANGE</stp>
        <stp>4</stp>
        <stp>600805</stp>
        <stp>2018-12-31</stp>
        <stp>2019-12-30</stp>
        <stp>1</stp>
        <tr r="G1762" s="1"/>
      </tp>
      <tp>
        <v>-18.09623431</v>
        <stp/>
        <stp>EM_S_PQ_PCTCHANGE</stp>
        <stp>4</stp>
        <stp>002865</stp>
        <stp>2018-12-31</stp>
        <stp>2019-12-30</stp>
        <stp>1</stp>
        <tr r="G3027" s="1"/>
      </tp>
      <tp>
        <v>-12.51778094</v>
        <stp/>
        <stp>EM_S_PQ_PCTCHANGE</stp>
        <stp>4</stp>
        <stp>600804</stp>
        <stp>2018-12-31</stp>
        <stp>2019-12-30</stp>
        <stp>1</stp>
        <tr r="G2849" s="1"/>
      </tp>
      <tp>
        <v>-17.204638039999999</v>
        <stp/>
        <stp>EM_S_PQ_PCTCHANGE</stp>
        <stp>4</stp>
        <stp>002864</stp>
        <stp>2018-12-31</stp>
        <stp>2019-12-30</stp>
        <stp>1</stp>
        <tr r="G2995" s="1"/>
      </tp>
      <tp>
        <v>-5.0264550300000002</v>
        <stp/>
        <stp>EM_S_PQ_PCTCHANGE</stp>
        <stp>4</stp>
        <stp>600807</stp>
        <stp>2018-12-31</stp>
        <stp>2019-12-30</stp>
        <stp>1</stp>
        <tr r="G2570" s="1"/>
      </tp>
      <tp>
        <v>-30.799855229999999</v>
        <stp/>
        <stp>EM_S_PQ_PCTCHANGE</stp>
        <stp>4</stp>
        <stp>002867</stp>
        <stp>2018-12-31</stp>
        <stp>2019-12-30</stp>
        <stp>1</stp>
        <tr r="G3224" s="1"/>
      </tp>
      <tp>
        <v>0</v>
        <stp/>
        <stp>EM_S_PQ_PCTCHANGE</stp>
        <stp>4</stp>
        <stp>600806</stp>
        <stp>2018-12-31</stp>
        <stp>2019-12-30</stp>
        <stp>1</stp>
        <tr r="G2326" s="1"/>
      </tp>
      <tp>
        <v>80.111940300000001</v>
        <stp/>
        <stp>EM_S_PQ_PCTCHANGE</stp>
        <stp>4</stp>
        <stp>603806</stp>
        <stp>2018-12-31</stp>
        <stp>2019-12-30</stp>
        <stp>1</stp>
        <tr r="G249" s="1"/>
      </tp>
      <tp>
        <v>36.711281069999998</v>
        <stp/>
        <stp>EM_S_PQ_PCTCHANGE</stp>
        <stp>4</stp>
        <stp>002866</stp>
        <stp>2018-12-31</stp>
        <stp>2019-12-30</stp>
        <stp>1</stp>
        <tr r="G796" s="1"/>
      </tp>
      <tp>
        <v>26.894865530000001</v>
        <stp/>
        <stp>EM_S_PQ_PCTCHANGE</stp>
        <stp>4</stp>
        <stp>600819</stp>
        <stp>2018-12-31</stp>
        <stp>2019-12-30</stp>
        <stp>1</stp>
        <tr r="G1023" s="1"/>
      </tp>
      <tp>
        <v>-13.68421053</v>
        <stp/>
        <stp>EM_S_PQ_PCTCHANGE</stp>
        <stp>4</stp>
        <stp>603819</stp>
        <stp>2018-12-31</stp>
        <stp>2019-12-30</stp>
        <stp>1</stp>
        <tr r="G2892" s="1"/>
      </tp>
      <tp>
        <v>21.306607280000001</v>
        <stp/>
        <stp>EM_S_PQ_PCTCHANGE</stp>
        <stp>4</stp>
        <stp>002879</stp>
        <stp>2018-12-31</stp>
        <stp>2019-12-30</stp>
        <stp>1</stp>
        <tr r="G1221" s="1"/>
      </tp>
      <tp>
        <v>18.648648649999998</v>
        <stp/>
        <stp>EM_S_PQ_PCTCHANGE</stp>
        <stp>4</stp>
        <stp>601818</stp>
        <stp>2018-12-31</stp>
        <stp>2019-12-30</stp>
        <stp>1</stp>
        <tr r="G1342" s="1"/>
      </tp>
      <tp>
        <v>11.60377358</v>
        <stp/>
        <stp>EM_S_PQ_PCTCHANGE</stp>
        <stp>4</stp>
        <stp>600818</stp>
        <stp>2018-12-31</stp>
        <stp>2019-12-30</stp>
        <stp>1</stp>
        <tr r="G1647" s="1"/>
      </tp>
      <tp>
        <v>24.925373130000001</v>
        <stp/>
        <stp>EM_S_PQ_PCTCHANGE</stp>
        <stp>4</stp>
        <stp>603818</stp>
        <stp>2018-12-31</stp>
        <stp>2019-12-30</stp>
        <stp>1</stp>
        <tr r="G1096" s="1"/>
      </tp>
      <tp>
        <v>6.1859732100000002</v>
        <stp/>
        <stp>EM_S_PQ_PCTCHANGE</stp>
        <stp>4</stp>
        <stp>002878</stp>
        <stp>2018-12-31</stp>
        <stp>2019-12-30</stp>
        <stp>1</stp>
        <tr r="G1941" s="1"/>
      </tp>
      <tp>
        <v>40.386680990000002</v>
        <stp/>
        <stp>EM_S_PQ_PCTCHANGE</stp>
        <stp>4</stp>
        <stp>601811</stp>
        <stp>2018-12-31</stp>
        <stp>2019-12-30</stp>
        <stp>1</stp>
        <tr r="G728" s="1"/>
      </tp>
      <tp>
        <v>-8.1967213099999991</v>
        <stp/>
        <stp>EM_S_PQ_PCTCHANGE</stp>
        <stp>4</stp>
        <stp>600811</stp>
        <stp>2018-12-31</stp>
        <stp>2019-12-30</stp>
        <stp>1</stp>
        <tr r="G2690" s="1"/>
      </tp>
      <tp>
        <v>53.789279110000003</v>
        <stp/>
        <stp>EM_S_PQ_PCTCHANGE</stp>
        <stp>4</stp>
        <stp>603811</stp>
        <stp>2018-12-31</stp>
        <stp>2019-12-30</stp>
        <stp>1</stp>
        <tr r="G503" s="1"/>
      </tp>
      <tp>
        <v>-1.38817481</v>
        <stp/>
        <stp>EM_S_PQ_PCTCHANGE</stp>
        <stp>4</stp>
        <stp>002871</stp>
        <stp>2018-12-31</stp>
        <stp>2019-12-30</stp>
        <stp>1</stp>
        <tr r="G2391" s="1"/>
      </tp>
      <tp>
        <v>-22.718253969999999</v>
        <stp/>
        <stp>EM_S_PQ_PCTCHANGE</stp>
        <stp>4</stp>
        <stp>600810</stp>
        <stp>2018-12-31</stp>
        <stp>2019-12-30</stp>
        <stp>1</stp>
        <tr r="G3112" s="1"/>
      </tp>
      <tp>
        <v>61.307901909999998</v>
        <stp/>
        <stp>EM_S_PQ_PCTCHANGE</stp>
        <stp>4</stp>
        <stp>002870</stp>
        <stp>2018-12-31</stp>
        <stp>2019-12-30</stp>
        <stp>1</stp>
        <tr r="G411" s="1"/>
      </tp>
      <tp>
        <v>0</v>
        <stp/>
        <stp>EM_S_PQ_PCTCHANGE</stp>
        <stp>4</stp>
        <stp>600813</stp>
        <stp>2018-12-31</stp>
        <stp>2019-12-30</stp>
        <stp>1</stp>
        <tr r="G2327" s="1"/>
      </tp>
      <tp>
        <v>2.2702702700000001</v>
        <stp/>
        <stp>EM_S_PQ_PCTCHANGE</stp>
        <stp>4</stp>
        <stp>603813</stp>
        <stp>2018-12-31</stp>
        <stp>2019-12-30</stp>
        <stp>1</stp>
        <tr r="G2153" s="1"/>
      </tp>
      <tp>
        <v>1.16995074</v>
        <stp/>
        <stp>EM_S_PQ_PCTCHANGE</stp>
        <stp>4</stp>
        <stp>002873</stp>
        <stp>2018-12-31</stp>
        <stp>2019-12-30</stp>
        <stp>1</stp>
        <tr r="G2205" s="1"/>
      </tp>
      <tp>
        <v>132</v>
        <stp/>
        <stp>EM_S_PQ_PCTCHANGE</stp>
        <stp>4</stp>
        <stp>600812</stp>
        <stp>2018-12-31</stp>
        <stp>2019-12-30</stp>
        <stp>1</stp>
        <tr r="G107" s="1"/>
      </tp>
      <tp>
        <v>-37.967289719999997</v>
        <stp/>
        <stp>EM_S_PQ_PCTCHANGE</stp>
        <stp>4</stp>
        <stp>002872</stp>
        <stp>2018-12-31</stp>
        <stp>2019-12-30</stp>
        <stp>1</stp>
        <tr r="G3295" s="1"/>
      </tp>
      <tp>
        <v>26.53061224</v>
        <stp/>
        <stp>EM_S_PQ_PCTCHANGE</stp>
        <stp>4</stp>
        <stp>000875</stp>
        <stp>2018-12-31</stp>
        <stp>2019-12-30</stp>
        <stp>1</stp>
        <tr r="G1036" s="1"/>
      </tp>
      <tp>
        <v>-3.0100334399999999</v>
        <stp/>
        <stp>EM_S_PQ_PCTCHANGE</stp>
        <stp>4</stp>
        <stp>600815</stp>
        <stp>2018-12-31</stp>
        <stp>2019-12-30</stp>
        <stp>1</stp>
        <tr r="G2476" s="1"/>
      </tp>
      <tp>
        <v>7.1179344000000002</v>
        <stp/>
        <stp>EM_S_PQ_PCTCHANGE</stp>
        <stp>4</stp>
        <stp>002875</stp>
        <stp>2018-12-31</stp>
        <stp>2019-12-30</stp>
        <stp>1</stp>
        <tr r="G1887" s="1"/>
      </tp>
      <tp>
        <v>0.19685038999999999</v>
        <stp/>
        <stp>EM_S_PQ_PCTCHANGE</stp>
        <stp>4</stp>
        <stp>600814</stp>
        <stp>2018-12-31</stp>
        <stp>2019-12-30</stp>
        <stp>1</stp>
        <tr r="G2267" s="1"/>
      </tp>
      <tp>
        <v>61.462728550000001</v>
        <stp/>
        <stp>EM_S_PQ_PCTCHANGE</stp>
        <stp>4</stp>
        <stp>000877</stp>
        <stp>2018-12-31</stp>
        <stp>2019-12-30</stp>
        <stp>1</stp>
        <tr r="G407" s="1"/>
      </tp>
      <tp>
        <v>2.70655271</v>
        <stp/>
        <stp>EM_S_PQ_PCTCHANGE</stp>
        <stp>4</stp>
        <stp>600817</stp>
        <stp>2018-12-31</stp>
        <stp>2019-12-30</stp>
        <stp>1</stp>
        <tr r="G2126" s="1"/>
      </tp>
      <tp>
        <v>11.81364393</v>
        <stp/>
        <stp>EM_S_PQ_PCTCHANGE</stp>
        <stp>4</stp>
        <stp>603817</stp>
        <stp>2018-12-31</stp>
        <stp>2019-12-30</stp>
        <stp>1</stp>
        <tr r="G1638" s="1"/>
      </tp>
      <tp>
        <v>-40.412371129999997</v>
        <stp/>
        <stp>EM_S_PQ_PCTCHANGE</stp>
        <stp>4</stp>
        <stp>002877</stp>
        <stp>2018-12-31</stp>
        <stp>2019-12-30</stp>
        <stp>1</stp>
        <tr r="G3315" s="1"/>
      </tp>
      <tp>
        <v>166.20879120999999</v>
        <stp/>
        <stp>EM_S_PQ_PCTCHANGE</stp>
        <stp>4</stp>
        <stp>000876</stp>
        <stp>2018-12-31</stp>
        <stp>2019-12-30</stp>
        <stp>1</stp>
        <tr r="G64" s="1"/>
      </tp>
      <tp>
        <v>2.5171624700000002</v>
        <stp/>
        <stp>EM_S_PQ_PCTCHANGE</stp>
        <stp>4</stp>
        <stp>600816</stp>
        <stp>2018-12-31</stp>
        <stp>2019-12-30</stp>
        <stp>1</stp>
        <tr r="G2137" s="1"/>
      </tp>
      <tp>
        <v>0.8</v>
        <stp/>
        <stp>EM_S_PQ_PCTCHANGE</stp>
        <stp>4</stp>
        <stp>603816</stp>
        <stp>2018-12-31</stp>
        <stp>2019-12-30</stp>
        <stp>1</stp>
        <tr r="G2230" s="1"/>
      </tp>
      <tp>
        <v>55.350438050000001</v>
        <stp/>
        <stp>EM_S_PQ_PCTCHANGE</stp>
        <stp>4</stp>
        <stp>002876</stp>
        <stp>2018-12-31</stp>
        <stp>2019-12-30</stp>
        <stp>1</stp>
        <tr r="G487" s="1"/>
      </tp>
      <tp>
        <v>-0.42553191000000001</v>
        <stp/>
        <stp>EM_S_PQ_PCTCHANGE</stp>
        <stp>4</stp>
        <stp>000809</stp>
        <stp>2018-12-31</stp>
        <stp>2019-12-30</stp>
        <stp>1</stp>
        <tr r="G2356" s="1"/>
      </tp>
      <tp>
        <v>0.41237112999999997</v>
        <stp/>
        <stp>EM_S_PQ_PCTCHANGE</stp>
        <stp>4</stp>
        <stp>600869</stp>
        <stp>2018-12-31</stp>
        <stp>2019-12-30</stp>
        <stp>1</stp>
        <tr r="G2251" s="1"/>
      </tp>
      <tp>
        <v>-20.611702130000001</v>
        <stp/>
        <stp>EM_S_PQ_PCTCHANGE</stp>
        <stp>4</stp>
        <stp>603869</stp>
        <stp>2018-12-31</stp>
        <stp>2019-12-30</stp>
        <stp>1</stp>
        <tr r="G3074" s="1"/>
      </tp>
      <tp>
        <v>28.874172189999999</v>
        <stp/>
        <stp>EM_S_PQ_PCTCHANGE</stp>
        <stp>4</stp>
        <stp>002809</stp>
        <stp>2018-12-31</stp>
        <stp>2019-12-30</stp>
        <stp>1</stp>
        <tr r="G961" s="1"/>
      </tp>
      <tp>
        <v>20.701754390000001</v>
        <stp/>
        <stp>EM_S_PQ_PCTCHANGE</stp>
        <stp>4</stp>
        <stp>600868</stp>
        <stp>2018-12-31</stp>
        <stp>2019-12-30</stp>
        <stp>1</stp>
        <tr r="G1248" s="1"/>
      </tp>
      <tp>
        <v>-2.4358302799999998</v>
        <stp/>
        <stp>EM_S_PQ_PCTCHANGE</stp>
        <stp>4</stp>
        <stp>603868</stp>
        <stp>2018-12-31</stp>
        <stp>2019-12-30</stp>
        <stp>1</stp>
        <tr r="G2443" s="1"/>
      </tp>
      <tp>
        <v>-25.703125</v>
        <stp/>
        <stp>EM_S_PQ_PCTCHANGE</stp>
        <stp>4</stp>
        <stp>002808</stp>
        <stp>2018-12-31</stp>
        <stp>2019-12-30</stp>
        <stp>1</stp>
        <tr r="G3161" s="1"/>
      </tp>
      <tp>
        <v>24.01847575</v>
        <stp/>
        <stp>EM_S_PQ_PCTCHANGE</stp>
        <stp>4</stp>
        <stp>000801</stp>
        <stp>2018-12-31</stp>
        <stp>2019-12-30</stp>
        <stp>1</stp>
        <tr r="G1131" s="1"/>
      </tp>
      <tp>
        <v>23.309352520000001</v>
        <stp/>
        <stp>EM_S_PQ_PCTCHANGE</stp>
        <stp>4</stp>
        <stp>600861</stp>
        <stp>2018-12-31</stp>
        <stp>2019-12-30</stp>
        <stp>1</stp>
        <tr r="G1151" s="1"/>
      </tp>
      <tp>
        <v>-25.086206900000001</v>
        <stp/>
        <stp>EM_S_PQ_PCTCHANGE</stp>
        <stp>4</stp>
        <stp>603861</stp>
        <stp>2018-12-31</stp>
        <stp>2019-12-30</stp>
        <stp>1</stp>
        <tr r="G3153" s="1"/>
      </tp>
      <tp>
        <v>67.216203489999998</v>
        <stp/>
        <stp>EM_S_PQ_PCTCHANGE</stp>
        <stp>4</stp>
        <stp>002801</stp>
        <stp>2018-12-31</stp>
        <stp>2019-12-30</stp>
        <stp>1</stp>
        <tr r="G345" s="1"/>
      </tp>
      <tp>
        <v>35.346756149999997</v>
        <stp/>
        <stp>EM_S_PQ_PCTCHANGE</stp>
        <stp>4</stp>
        <stp>600860</stp>
        <stp>2018-12-31</stp>
        <stp>2019-12-30</stp>
        <stp>1</stp>
        <tr r="G816" s="1"/>
      </tp>
      <tp>
        <v>12.172829249999999</v>
        <stp/>
        <stp>EM_S_PQ_PCTCHANGE</stp>
        <stp>4</stp>
        <stp>603860</stp>
        <stp>2018-12-31</stp>
        <stp>2019-12-30</stp>
        <stp>1</stp>
        <tr r="G1627" s="1"/>
      </tp>
      <tp>
        <v>65.660832830000004</v>
        <stp/>
        <stp>EM_S_PQ_PCTCHANGE</stp>
        <stp>4</stp>
        <stp>002800</stp>
        <stp>2018-12-31</stp>
        <stp>2019-12-30</stp>
        <stp>1</stp>
        <tr r="G363" s="1"/>
      </tp>
      <tp>
        <v>14.25061425</v>
        <stp/>
        <stp>EM_S_PQ_PCTCHANGE</stp>
        <stp>4</stp>
        <stp>000803</stp>
        <stp>2018-12-31</stp>
        <stp>2019-12-30</stp>
        <stp>1</stp>
        <tr r="G1520" s="1"/>
      </tp>
      <tp>
        <v>18.614718610000001</v>
        <stp/>
        <stp>EM_S_PQ_PCTCHANGE</stp>
        <stp>4</stp>
        <stp>600863</stp>
        <stp>2018-12-31</stp>
        <stp>2019-12-30</stp>
        <stp>1</stp>
        <tr r="G1344" s="1"/>
      </tp>
      <tp>
        <v>78.033898309999998</v>
        <stp/>
        <stp>EM_S_PQ_PCTCHANGE</stp>
        <stp>4</stp>
        <stp>002803</stp>
        <stp>2018-12-31</stp>
        <stp>2019-12-30</stp>
        <stp>1</stp>
        <tr r="G257" s="1"/>
      </tp>
      <tp>
        <v>97.678571430000005</v>
        <stp/>
        <stp>EM_S_PQ_PCTCHANGE</stp>
        <stp>4</stp>
        <stp>600862</stp>
        <stp>2018-12-31</stp>
        <stp>2019-12-30</stp>
        <stp>1</stp>
        <tr r="G174" s="1"/>
      </tp>
      <tp>
        <v>-2.6366251200000002</v>
        <stp/>
        <stp>EM_S_PQ_PCTCHANGE</stp>
        <stp>4</stp>
        <stp>002802</stp>
        <stp>2018-12-31</stp>
        <stp>2019-12-30</stp>
        <stp>1</stp>
        <tr r="G2459" s="1"/>
      </tp>
      <tp>
        <v>13.33333333</v>
        <stp/>
        <stp>EM_S_PQ_PCTCHANGE</stp>
        <stp>4</stp>
        <stp>600865</stp>
        <stp>2018-12-31</stp>
        <stp>2019-12-30</stp>
        <stp>1</stp>
        <tr r="G1563" s="1"/>
      </tp>
      <tp>
        <v>-19.863945579999999</v>
        <stp/>
        <stp>EM_S_PQ_PCTCHANGE</stp>
        <stp>4</stp>
        <stp>002805</stp>
        <stp>2018-12-31</stp>
        <stp>2019-12-30</stp>
        <stp>1</stp>
        <tr r="G3062" s="1"/>
      </tp>
      <tp>
        <v>85.168539330000002</v>
        <stp/>
        <stp>EM_S_PQ_PCTCHANGE</stp>
        <stp>4</stp>
        <stp>600864</stp>
        <stp>2018-12-31</stp>
        <stp>2019-12-30</stp>
        <stp>1</stp>
        <tr r="G222" s="1"/>
      </tp>
      <tp>
        <v>-11.294964029999999</v>
        <stp/>
        <stp>EM_S_PQ_PCTCHANGE</stp>
        <stp>4</stp>
        <stp>600867</stp>
        <stp>2018-12-31</stp>
        <stp>2019-12-30</stp>
        <stp>1</stp>
        <tr r="G2809" s="1"/>
      </tp>
      <tp>
        <v>-8.8582677200000006</v>
        <stp/>
        <stp>EM_S_PQ_PCTCHANGE</stp>
        <stp>4</stp>
        <stp>002807</stp>
        <stp>2018-12-31</stp>
        <stp>2019-12-30</stp>
        <stp>1</stp>
        <tr r="G2715" s="1"/>
      </tp>
      <tp>
        <v>12.71929825</v>
        <stp/>
        <stp>EM_S_PQ_PCTCHANGE</stp>
        <stp>4</stp>
        <stp>601866</stp>
        <stp>2018-12-31</stp>
        <stp>2019-12-30</stp>
        <stp>1</stp>
        <tr r="G1597" s="1"/>
      </tp>
      <tp>
        <v>39.808917200000003</v>
        <stp/>
        <stp>EM_S_PQ_PCTCHANGE</stp>
        <stp>4</stp>
        <stp>600866</stp>
        <stp>2018-12-31</stp>
        <stp>2019-12-30</stp>
        <stp>1</stp>
        <tr r="G736" s="1"/>
      </tp>
      <tp>
        <v>-6.9087688199999997</v>
        <stp/>
        <stp>EM_S_PQ_PCTCHANGE</stp>
        <stp>4</stp>
        <stp>603866</stp>
        <stp>2018-12-31</stp>
        <stp>2019-12-30</stp>
        <stp>1</stp>
        <tr r="G2655" s="1"/>
      </tp>
      <tp>
        <v>-23.978201630000001</v>
        <stp/>
        <stp>EM_S_PQ_PCTCHANGE</stp>
        <stp>4</stp>
        <stp>002806</stp>
        <stp>2018-12-31</stp>
        <stp>2019-12-30</stp>
        <stp>1</stp>
        <tr r="G3132" s="1"/>
      </tp>
      <tp>
        <v>-8.2672706700000003</v>
        <stp/>
        <stp>EM_S_PQ_PCTCHANGE</stp>
        <stp>4</stp>
        <stp>000819</stp>
        <stp>2018-12-31</stp>
        <stp>2019-12-30</stp>
        <stp>1</stp>
        <tr r="G2694" s="1"/>
      </tp>
      <tp>
        <v>11.09057301</v>
        <stp/>
        <stp>EM_S_PQ_PCTCHANGE</stp>
        <stp>4</stp>
        <stp>600879</stp>
        <stp>2018-12-31</stp>
        <stp>2019-12-30</stp>
        <stp>1</stp>
        <tr r="G1674" s="1"/>
      </tp>
      <tp>
        <v>20.636550310000001</v>
        <stp/>
        <stp>EM_S_PQ_PCTCHANGE</stp>
        <stp>4</stp>
        <stp>603879</stp>
        <stp>2018-12-31</stp>
        <stp>2019-12-30</stp>
        <stp>1</stp>
        <tr r="G1251" s="1"/>
      </tp>
      <tp>
        <v>20.861244020000001</v>
        <stp/>
        <stp>EM_S_PQ_PCTCHANGE</stp>
        <stp>4</stp>
        <stp>002819</stp>
        <stp>2018-12-31</stp>
        <stp>2019-12-30</stp>
        <stp>1</stp>
        <tr r="G1242" s="1"/>
      </tp>
      <tp>
        <v>56.336088150000002</v>
        <stp/>
        <stp>EM_S_PQ_PCTCHANGE</stp>
        <stp>4</stp>
        <stp>601878</stp>
        <stp>2018-12-31</stp>
        <stp>2019-12-30</stp>
        <stp>1</stp>
        <tr r="G466" s="1"/>
      </tp>
      <tp>
        <v>96.749729139999999</v>
        <stp/>
        <stp>EM_S_PQ_PCTCHANGE</stp>
        <stp>4</stp>
        <stp>000818</stp>
        <stp>2018-12-31</stp>
        <stp>2019-12-30</stp>
        <stp>1</stp>
        <tr r="G176" s="1"/>
      </tp>
      <tp>
        <v>0</v>
        <stp/>
        <stp>EM_S_PQ_PCTCHANGE</stp>
        <stp>4</stp>
        <stp>600878</stp>
        <stp>2018-12-31</stp>
        <stp>2019-12-30</stp>
        <stp>1</stp>
        <tr r="G2332" s="1"/>
      </tp>
      <tp>
        <v>-0.52956751999999996</v>
        <stp/>
        <stp>EM_S_PQ_PCTCHANGE</stp>
        <stp>4</stp>
        <stp>603878</stp>
        <stp>2018-12-31</stp>
        <stp>2019-12-30</stp>
        <stp>1</stp>
        <tr r="G2363" s="1"/>
      </tp>
      <tp>
        <v>-38.961038960000003</v>
        <stp/>
        <stp>EM_S_PQ_PCTCHANGE</stp>
        <stp>4</stp>
        <stp>002818</stp>
        <stp>2018-12-31</stp>
        <stp>2019-12-30</stp>
        <stp>1</stp>
        <tr r="G3300" s="1"/>
      </tp>
      <tp>
        <v>34.235976790000002</v>
        <stp/>
        <stp>EM_S_PQ_PCTCHANGE</stp>
        <stp>4</stp>
        <stp>000811</stp>
        <stp>2018-12-31</stp>
        <stp>2019-12-30</stp>
        <stp>1</stp>
        <tr r="G843" s="1"/>
      </tp>
      <tp>
        <v>22.404371579999999</v>
        <stp/>
        <stp>EM_S_PQ_PCTCHANGE</stp>
        <stp>4</stp>
        <stp>600871</stp>
        <stp>2018-12-31</stp>
        <stp>2019-12-30</stp>
        <stp>1</stp>
        <tr r="G1178" s="1"/>
      </tp>
      <tp>
        <v>-10.3617945</v>
        <stp/>
        <stp>EM_S_PQ_PCTCHANGE</stp>
        <stp>4</stp>
        <stp>603871</stp>
        <stp>2018-12-31</stp>
        <stp>2019-12-30</stp>
        <stp>1</stp>
        <tr r="G2770" s="1"/>
      </tp>
      <tp>
        <v>-10.88888889</v>
        <stp/>
        <stp>EM_S_PQ_PCTCHANGE</stp>
        <stp>4</stp>
        <stp>002811</stp>
        <stp>2018-12-31</stp>
        <stp>2019-12-30</stp>
        <stp>1</stp>
        <tr r="G2796" s="1"/>
      </tp>
      <tp>
        <v>112.05035971</v>
        <stp/>
        <stp>EM_S_PQ_PCTCHANGE</stp>
        <stp>4</stp>
        <stp>000810</stp>
        <stp>2018-12-31</stp>
        <stp>2019-12-30</stp>
        <stp>1</stp>
        <tr r="G139" s="1"/>
      </tp>
      <tp>
        <v>-12.012012009999999</v>
        <stp/>
        <stp>EM_S_PQ_PCTCHANGE</stp>
        <stp>4</stp>
        <stp>600870</stp>
        <stp>2018-12-31</stp>
        <stp>2019-12-30</stp>
        <stp>1</stp>
        <tr r="G2830" s="1"/>
      </tp>
      <tp>
        <v>9.2540661800000006</v>
        <stp/>
        <stp>EM_S_PQ_PCTCHANGE</stp>
        <stp>4</stp>
        <stp>002810</stp>
        <stp>2018-12-31</stp>
        <stp>2019-12-30</stp>
        <stp>1</stp>
        <tr r="G1778" s="1"/>
      </tp>
      <tp>
        <v>-31.917211330000001</v>
        <stp/>
        <stp>EM_S_PQ_PCTCHANGE</stp>
        <stp>4</stp>
        <stp>000813</stp>
        <stp>2018-12-31</stp>
        <stp>2019-12-30</stp>
        <stp>1</stp>
        <tr r="G3236" s="1"/>
      </tp>
      <tp>
        <v>5.2132701399999997</v>
        <stp/>
        <stp>EM_S_PQ_PCTCHANGE</stp>
        <stp>4</stp>
        <stp>600873</stp>
        <stp>2018-12-31</stp>
        <stp>2019-12-30</stp>
        <stp>1</stp>
        <tr r="G2002" s="1"/>
      </tp>
      <tp>
        <v>-4.9401775399999996</v>
        <stp/>
        <stp>EM_S_PQ_PCTCHANGE</stp>
        <stp>4</stp>
        <stp>002813</stp>
        <stp>2018-12-31</stp>
        <stp>2019-12-30</stp>
        <stp>1</stp>
        <tr r="G2566" s="1"/>
      </tp>
      <tp>
        <v>113.27913279000001</v>
        <stp/>
        <stp>EM_S_PQ_PCTCHANGE</stp>
        <stp>4</stp>
        <stp>601872</stp>
        <stp>2018-12-31</stp>
        <stp>2019-12-30</stp>
        <stp>1</stp>
        <tr r="G137" s="1"/>
      </tp>
      <tp>
        <v>-6.3583815000000001</v>
        <stp/>
        <stp>EM_S_PQ_PCTCHANGE</stp>
        <stp>4</stp>
        <stp>000812</stp>
        <stp>2018-12-31</stp>
        <stp>2019-12-30</stp>
        <stp>1</stp>
        <tr r="G2624" s="1"/>
      </tp>
      <tp>
        <v>31.025118809999999</v>
        <stp/>
        <stp>EM_S_PQ_PCTCHANGE</stp>
        <stp>4</stp>
        <stp>600872</stp>
        <stp>2018-12-31</stp>
        <stp>2019-12-30</stp>
        <stp>1</stp>
        <tr r="G909" s="1"/>
      </tp>
      <tp>
        <v>4.5942116999999998</v>
        <stp/>
        <stp>EM_S_PQ_PCTCHANGE</stp>
        <stp>4</stp>
        <stp>002812</stp>
        <stp>2018-12-31</stp>
        <stp>2019-12-30</stp>
        <stp>1</stp>
        <tr r="G2026" s="1"/>
      </tp>
      <tp>
        <v>1.48148148</v>
        <stp/>
        <stp>EM_S_PQ_PCTCHANGE</stp>
        <stp>4</stp>
        <stp>000815</stp>
        <stp>2018-12-31</stp>
        <stp>2019-12-30</stp>
        <stp>1</stp>
        <tr r="G2186" s="1"/>
      </tp>
      <tp>
        <v>16.22306717</v>
        <stp/>
        <stp>EM_S_PQ_PCTCHANGE</stp>
        <stp>4</stp>
        <stp>600875</stp>
        <stp>2018-12-31</stp>
        <stp>2019-12-30</stp>
        <stp>1</stp>
        <tr r="G1425" s="1"/>
      </tp>
      <tp>
        <v>19.233401780000001</v>
        <stp/>
        <stp>EM_S_PQ_PCTCHANGE</stp>
        <stp>4</stp>
        <stp>002815</stp>
        <stp>2018-12-31</stp>
        <stp>2019-12-30</stp>
        <stp>1</stp>
        <tr r="G1314" s="1"/>
      </tp>
      <tp>
        <v>-13.454545449999999</v>
        <stp/>
        <stp>EM_S_PQ_PCTCHANGE</stp>
        <stp>4</stp>
        <stp>600874</stp>
        <stp>2018-12-31</stp>
        <stp>2019-12-30</stp>
        <stp>1</stp>
        <tr r="G2879" s="1"/>
      </tp>
      <tp>
        <v>11.01485149</v>
        <stp/>
        <stp>EM_S_PQ_PCTCHANGE</stp>
        <stp>4</stp>
        <stp>601877</stp>
        <stp>2018-12-31</stp>
        <stp>2019-12-30</stp>
        <stp>1</stp>
        <tr r="G1679" s="1"/>
      </tp>
      <tp>
        <v>22.478991600000001</v>
        <stp/>
        <stp>EM_S_PQ_PCTCHANGE</stp>
        <stp>4</stp>
        <stp>600877</stp>
        <stp>2018-12-31</stp>
        <stp>2019-12-30</stp>
        <stp>1</stp>
        <tr r="G1175" s="1"/>
      </tp>
      <tp>
        <v>-17.08355508</v>
        <stp/>
        <stp>EM_S_PQ_PCTCHANGE</stp>
        <stp>4</stp>
        <stp>603877</stp>
        <stp>2018-12-31</stp>
        <stp>2019-12-30</stp>
        <stp>1</stp>
        <tr r="G2990" s="1"/>
      </tp>
      <tp>
        <v>33.953488370000002</v>
        <stp/>
        <stp>EM_S_PQ_PCTCHANGE</stp>
        <stp>4</stp>
        <stp>002817</stp>
        <stp>2018-12-31</stp>
        <stp>2019-12-30</stp>
        <stp>1</stp>
        <tr r="G851" s="1"/>
      </tp>
      <tp>
        <v>48.021582729999999</v>
        <stp/>
        <stp>EM_S_PQ_PCTCHANGE</stp>
        <stp>4</stp>
        <stp>600876</stp>
        <stp>2018-12-31</stp>
        <stp>2019-12-30</stp>
        <stp>1</stp>
        <tr r="G598" s="1"/>
      </tp>
      <tp>
        <v>-14.778856530000001</v>
        <stp/>
        <stp>EM_S_PQ_PCTCHANGE</stp>
        <stp>4</stp>
        <stp>603876</stp>
        <stp>2018-12-31</stp>
        <stp>2019-12-30</stp>
        <stp>1</stp>
        <tr r="G2926" s="1"/>
      </tp>
      <tp>
        <v>44.763175449999999</v>
        <stp/>
        <stp>EM_S_PQ_PCTCHANGE</stp>
        <stp>4</stp>
        <stp>002816</stp>
        <stp>2018-12-31</stp>
        <stp>2019-12-30</stp>
        <stp>1</stp>
        <tr r="G652" s="1"/>
      </tp>
      <tp>
        <v>0</v>
        <stp/>
        <stp>EM_S_PQ_PCTCHANGE</stp>
        <stp>4</stp>
        <stp>600849</stp>
        <stp>2018-12-31</stp>
        <stp>2019-12-30</stp>
        <stp>1</stp>
        <tr r="G2335" s="1"/>
      </tp>
      <tp>
        <v>23.5</v>
        <stp/>
        <stp>EM_S_PQ_PCTCHANGE</stp>
        <stp>4</stp>
        <stp>002829</stp>
        <stp>2018-12-31</stp>
        <stp>2019-12-30</stp>
        <stp>1</stp>
        <tr r="G1147" s="1"/>
      </tp>
      <tp>
        <v>10.441767069999999</v>
        <stp/>
        <stp>EM_S_PQ_PCTCHANGE</stp>
        <stp>4</stp>
        <stp>000828</stp>
        <stp>2018-12-31</stp>
        <stp>2019-12-30</stp>
        <stp>1</stp>
        <tr r="G1711" s="1"/>
      </tp>
      <tp>
        <v>16.441005799999999</v>
        <stp/>
        <stp>EM_S_PQ_PCTCHANGE</stp>
        <stp>4</stp>
        <stp>600848</stp>
        <stp>2018-12-31</stp>
        <stp>2019-12-30</stp>
        <stp>1</stp>
        <tr r="G1417" s="1"/>
      </tp>
      <tp>
        <v>-8.4712111199999995</v>
        <stp/>
        <stp>EM_S_PQ_PCTCHANGE</stp>
        <stp>4</stp>
        <stp>603848</stp>
        <stp>2018-12-31</stp>
        <stp>2019-12-30</stp>
        <stp>1</stp>
        <tr r="G2703" s="1"/>
      </tp>
      <tp>
        <v>-5.2991453000000002</v>
        <stp/>
        <stp>EM_S_PQ_PCTCHANGE</stp>
        <stp>4</stp>
        <stp>002828</stp>
        <stp>2018-12-31</stp>
        <stp>2019-12-30</stp>
        <stp>1</stp>
        <tr r="G2577" s="1"/>
      </tp>
      <tp>
        <v>-15.143603130000001</v>
        <stp/>
        <stp>EM_S_PQ_PCTCHANGE</stp>
        <stp>4</stp>
        <stp>000821</stp>
        <stp>2018-12-31</stp>
        <stp>2019-12-30</stp>
        <stp>1</stp>
        <tr r="G2937" s="1"/>
      </tp>
      <tp>
        <v>6.3829787199999997</v>
        <stp/>
        <stp>EM_S_PQ_PCTCHANGE</stp>
        <stp>4</stp>
        <stp>600841</stp>
        <stp>2018-12-31</stp>
        <stp>2019-12-30</stp>
        <stp>1</stp>
        <tr r="G1932" s="1"/>
      </tp>
      <tp>
        <v>87.98820929</v>
        <stp/>
        <stp>EM_S_PQ_PCTCHANGE</stp>
        <stp>4</stp>
        <stp>002821</stp>
        <stp>2018-12-31</stp>
        <stp>2019-12-30</stp>
        <stp>1</stp>
        <tr r="G209" s="1"/>
      </tp>
      <tp>
        <v>0</v>
        <stp/>
        <stp>EM_S_PQ_PCTCHANGE</stp>
        <stp>4</stp>
        <stp>600840</stp>
        <stp>2018-12-31</stp>
        <stp>2019-12-30</stp>
        <stp>1</stp>
        <tr r="G2329" s="1"/>
      </tp>
      <tp>
        <v>-2.1416803999999998</v>
        <stp/>
        <stp>EM_S_PQ_PCTCHANGE</stp>
        <stp>4</stp>
        <stp>002820</stp>
        <stp>2018-12-31</stp>
        <stp>2019-12-30</stp>
        <stp>1</stp>
        <tr r="G2429" s="1"/>
      </tp>
      <tp>
        <v>76.666666669999998</v>
        <stp/>
        <stp>EM_S_PQ_PCTCHANGE</stp>
        <stp>4</stp>
        <stp>000823</stp>
        <stp>2018-12-31</stp>
        <stp>2019-12-30</stp>
        <stp>1</stp>
        <tr r="G267" s="1"/>
      </tp>
      <tp>
        <v>14.156626510000001</v>
        <stp/>
        <stp>EM_S_PQ_PCTCHANGE</stp>
        <stp>4</stp>
        <stp>600843</stp>
        <stp>2018-12-31</stp>
        <stp>2019-12-30</stp>
        <stp>1</stp>
        <tr r="G1525" s="1"/>
      </tp>
      <tp>
        <v>-40.512820509999997</v>
        <stp/>
        <stp>EM_S_PQ_PCTCHANGE</stp>
        <stp>4</stp>
        <stp>603843</stp>
        <stp>2018-12-31</stp>
        <stp>2019-12-30</stp>
        <stp>1</stp>
        <tr r="G3316" s="1"/>
      </tp>
      <tp>
        <v>-9.8933074699999999</v>
        <stp/>
        <stp>EM_S_PQ_PCTCHANGE</stp>
        <stp>4</stp>
        <stp>002823</stp>
        <stp>2018-12-31</stp>
        <stp>2019-12-30</stp>
        <stp>1</stp>
        <tr r="G2753" s="1"/>
      </tp>
      <tp>
        <v>1.8556701</v>
        <stp/>
        <stp>EM_S_PQ_PCTCHANGE</stp>
        <stp>4</stp>
        <stp>000822</stp>
        <stp>2018-12-31</stp>
        <stp>2019-12-30</stp>
        <stp>1</stp>
        <tr r="G2171" s="1"/>
      </tp>
      <tp>
        <v>0</v>
        <stp/>
        <stp>EM_S_PQ_PCTCHANGE</stp>
        <stp>4</stp>
        <stp>600842</stp>
        <stp>2018-12-31</stp>
        <stp>2019-12-30</stp>
        <stp>1</stp>
        <tr r="G2330" s="1"/>
      </tp>
      <tp>
        <v>85.90733591</v>
        <stp/>
        <stp>EM_S_PQ_PCTCHANGE</stp>
        <stp>4</stp>
        <stp>002822</stp>
        <stp>2018-12-31</stp>
        <stp>2019-12-30</stp>
        <stp>1</stp>
        <tr r="G219" s="1"/>
      </tp>
      <tp>
        <v>-1.6908212600000001</v>
        <stp/>
        <stp>EM_S_PQ_PCTCHANGE</stp>
        <stp>4</stp>
        <stp>000825</stp>
        <stp>2018-12-31</stp>
        <stp>2019-12-30</stp>
        <stp>1</stp>
        <tr r="G2407" s="1"/>
      </tp>
      <tp>
        <v>58.273381290000003</v>
        <stp/>
        <stp>EM_S_PQ_PCTCHANGE</stp>
        <stp>4</stp>
        <stp>600845</stp>
        <stp>2018-12-31</stp>
        <stp>2019-12-30</stp>
        <stp>1</stp>
        <tr r="G442" s="1"/>
      </tp>
      <tp>
        <v>-4.1786743499999996</v>
        <stp/>
        <stp>EM_S_PQ_PCTCHANGE</stp>
        <stp>4</stp>
        <stp>002825</stp>
        <stp>2018-12-31</stp>
        <stp>2019-12-30</stp>
        <stp>1</stp>
        <tr r="G2522" s="1"/>
      </tp>
      <tp>
        <v>56.329113919999998</v>
        <stp/>
        <stp>EM_S_PQ_PCTCHANGE</stp>
        <stp>4</stp>
        <stp>600844</stp>
        <stp>2018-12-31</stp>
        <stp>2019-12-30</stp>
        <stp>1</stp>
        <tr r="G467" s="1"/>
      </tp>
      <tp>
        <v>20.700985759999998</v>
        <stp/>
        <stp>EM_S_PQ_PCTCHANGE</stp>
        <stp>4</stp>
        <stp>002824</stp>
        <stp>2018-12-31</stp>
        <stp>2019-12-30</stp>
        <stp>1</stp>
        <tr r="G1249" s="1"/>
      </tp>
      <tp>
        <v>-1.4769765399999999</v>
        <stp/>
        <stp>EM_S_PQ_PCTCHANGE</stp>
        <stp>4</stp>
        <stp>600847</stp>
        <stp>2018-12-31</stp>
        <stp>2019-12-30</stp>
        <stp>1</stp>
        <tr r="G2395" s="1"/>
      </tp>
      <tp>
        <v>-31.200575130000001</v>
        <stp/>
        <stp>EM_S_PQ_PCTCHANGE</stp>
        <stp>4</stp>
        <stp>002827</stp>
        <stp>2018-12-31</stp>
        <stp>2019-12-30</stp>
        <stp>1</stp>
        <tr r="G3229" s="1"/>
      </tp>
      <tp>
        <v>-11.06833494</v>
        <stp/>
        <stp>EM_S_PQ_PCTCHANGE</stp>
        <stp>4</stp>
        <stp>000826</stp>
        <stp>2018-12-31</stp>
        <stp>2019-12-30</stp>
        <stp>1</stp>
        <tr r="G2803" s="1"/>
      </tp>
      <tp>
        <v>28.951048950000001</v>
        <stp/>
        <stp>EM_S_PQ_PCTCHANGE</stp>
        <stp>4</stp>
        <stp>600846</stp>
        <stp>2018-12-31</stp>
        <stp>2019-12-30</stp>
        <stp>1</stp>
        <tr r="G959" s="1"/>
      </tp>
      <tp>
        <v>-2.9354207400000001</v>
        <stp/>
        <stp>EM_S_PQ_PCTCHANGE</stp>
        <stp>4</stp>
        <stp>002826</stp>
        <stp>2018-12-31</stp>
        <stp>2019-12-30</stp>
        <stp>1</stp>
        <tr r="G2473" s="1"/>
      </tp>
      <tp>
        <v>3.4660766999999999</v>
        <stp/>
        <stp>EM_S_PQ_PCTCHANGE</stp>
        <stp>4</stp>
        <stp>600859</stp>
        <stp>2018-12-31</stp>
        <stp>2019-12-30</stp>
        <stp>1</stp>
        <tr r="G2086" s="1"/>
      </tp>
      <tp>
        <v>57.987492889999999</v>
        <stp/>
        <stp>EM_S_PQ_PCTCHANGE</stp>
        <stp>4</stp>
        <stp>603859</stp>
        <stp>2018-12-31</stp>
        <stp>2019-12-30</stp>
        <stp>1</stp>
        <tr r="G443" s="1"/>
      </tp>
      <tp>
        <v>10.28037383</v>
        <stp/>
        <stp>EM_S_PQ_PCTCHANGE</stp>
        <stp>4</stp>
        <stp>002839</stp>
        <stp>2018-12-31</stp>
        <stp>2019-12-30</stp>
        <stp>1</stp>
        <tr r="G1722" s="1"/>
      </tp>
      <tp>
        <v>24.599542329999998</v>
        <stp/>
        <stp>EM_S_PQ_PCTCHANGE</stp>
        <stp>4</stp>
        <stp>601858</stp>
        <stp>2018-12-31</stp>
        <stp>2019-12-30</stp>
        <stp>1</stp>
        <tr r="G1108" s="1"/>
      </tp>
      <tp>
        <v>8.8737201399999996</v>
        <stp/>
        <stp>EM_S_PQ_PCTCHANGE</stp>
        <stp>4</stp>
        <stp>000838</stp>
        <stp>2018-12-31</stp>
        <stp>2019-12-30</stp>
        <stp>1</stp>
        <tr r="G1804" s="1"/>
      </tp>
      <tp>
        <v>3.44129555</v>
        <stp/>
        <stp>EM_S_PQ_PCTCHANGE</stp>
        <stp>4</stp>
        <stp>600858</stp>
        <stp>2018-12-31</stp>
        <stp>2019-12-30</stp>
        <stp>1</stp>
        <tr r="G2088" s="1"/>
      </tp>
      <tp>
        <v>-19.738924050000001</v>
        <stp/>
        <stp>EM_S_PQ_PCTCHANGE</stp>
        <stp>4</stp>
        <stp>603858</stp>
        <stp>2018-12-31</stp>
        <stp>2019-12-30</stp>
        <stp>1</stp>
        <tr r="G3059" s="1"/>
      </tp>
      <tp>
        <v>-39.132914999999997</v>
        <stp/>
        <stp>EM_S_PQ_PCTCHANGE</stp>
        <stp>4</stp>
        <stp>002838</stp>
        <stp>2018-12-31</stp>
        <stp>2019-12-30</stp>
        <stp>1</stp>
        <tr r="G3303" s="1"/>
      </tp>
      <tp>
        <v>56.391875749999997</v>
        <stp/>
        <stp>EM_S_PQ_PCTCHANGE</stp>
        <stp>4</stp>
        <stp>000831</stp>
        <stp>2018-12-31</stp>
        <stp>2019-12-30</stp>
        <stp>1</stp>
        <tr r="G465" s="1"/>
      </tp>
      <tp>
        <v>11.52737752</v>
        <stp/>
        <stp>EM_S_PQ_PCTCHANGE</stp>
        <stp>4</stp>
        <stp>600851</stp>
        <stp>2018-12-31</stp>
        <stp>2019-12-30</stp>
        <stp>1</stp>
        <tr r="G1652" s="1"/>
      </tp>
      <tp>
        <v>-33.07538692</v>
        <stp/>
        <stp>EM_S_PQ_PCTCHANGE</stp>
        <stp>4</stp>
        <stp>002831</stp>
        <stp>2018-12-31</stp>
        <stp>2019-12-30</stp>
        <stp>1</stp>
        <tr r="G3252" s="1"/>
      </tp>
      <tp>
        <v>4.3877550999999997</v>
        <stp/>
        <stp>EM_S_PQ_PCTCHANGE</stp>
        <stp>4</stp>
        <stp>000830</stp>
        <stp>2018-12-31</stp>
        <stp>2019-12-30</stp>
        <stp>1</stp>
        <tr r="G2036" s="1"/>
      </tp>
      <tp>
        <v>58.402029169999999</v>
        <stp/>
        <stp>EM_S_PQ_PCTCHANGE</stp>
        <stp>4</stp>
        <stp>600850</stp>
        <stp>2018-12-31</stp>
        <stp>2019-12-30</stp>
        <stp>1</stp>
        <tr r="G441" s="1"/>
      </tp>
      <tp>
        <v>-6.5659881799999997</v>
        <stp/>
        <stp>EM_S_PQ_PCTCHANGE</stp>
        <stp>4</stp>
        <stp>002830</stp>
        <stp>2018-12-31</stp>
        <stp>2019-12-30</stp>
        <stp>1</stp>
        <tr r="G2632" s="1"/>
      </tp>
      <tp>
        <v>10.52631579</v>
        <stp/>
        <stp>EM_S_PQ_PCTCHANGE</stp>
        <stp>4</stp>
        <stp>000833</stp>
        <stp>2018-12-31</stp>
        <stp>2019-12-30</stp>
        <stp>1</stp>
        <tr r="G1707" s="1"/>
      </tp>
      <tp>
        <v>-8.3815028900000001</v>
        <stp/>
        <stp>EM_S_PQ_PCTCHANGE</stp>
        <stp>4</stp>
        <stp>600853</stp>
        <stp>2018-12-31</stp>
        <stp>2019-12-30</stp>
        <stp>1</stp>
        <tr r="G2699" s="1"/>
      </tp>
      <tp>
        <v>13.52941176</v>
        <stp/>
        <stp>EM_S_PQ_PCTCHANGE</stp>
        <stp>4</stp>
        <stp>002833</stp>
        <stp>2018-12-31</stp>
        <stp>2019-12-30</stp>
        <stp>1</stp>
        <tr r="G1553" s="1"/>
      </tp>
      <tp>
        <v>0</v>
        <stp/>
        <stp>EM_S_PQ_PCTCHANGE</stp>
        <stp>4</stp>
        <stp>600852</stp>
        <stp>2018-12-31</stp>
        <stp>2019-12-30</stp>
        <stp>1</stp>
        <tr r="G2331" s="1"/>
      </tp>
      <tp>
        <v>-23.413173650000001</v>
        <stp/>
        <stp>EM_S_PQ_PCTCHANGE</stp>
        <stp>4</stp>
        <stp>002832</stp>
        <stp>2018-12-31</stp>
        <stp>2019-12-30</stp>
        <stp>1</stp>
        <tr r="G3123" s="1"/>
      </tp>
      <tp>
        <v>35.326688820000001</v>
        <stp/>
        <stp>EM_S_PQ_PCTCHANGE</stp>
        <stp>4</stp>
        <stp>600855</stp>
        <stp>2018-12-31</stp>
        <stp>2019-12-30</stp>
        <stp>1</stp>
        <tr r="G817" s="1"/>
      </tp>
      <tp>
        <v>24.23857868</v>
        <stp/>
        <stp>EM_S_PQ_PCTCHANGE</stp>
        <stp>4</stp>
        <stp>603855</stp>
        <stp>2018-12-31</stp>
        <stp>2019-12-30</stp>
        <stp>1</stp>
        <tr r="G1126" s="1"/>
      </tp>
      <tp>
        <v>69.467787110000003</v>
        <stp/>
        <stp>EM_S_PQ_PCTCHANGE</stp>
        <stp>4</stp>
        <stp>002835</stp>
        <stp>2018-12-31</stp>
        <stp>2019-12-30</stp>
        <stp>1</stp>
        <tr r="G321" s="1"/>
      </tp>
      <tp>
        <v>9.4827586200000002</v>
        <stp/>
        <stp>EM_S_PQ_PCTCHANGE</stp>
        <stp>4</stp>
        <stp>600854</stp>
        <stp>2018-12-31</stp>
        <stp>2019-12-30</stp>
        <stp>1</stp>
        <tr r="G1766" s="1"/>
      </tp>
      <tp>
        <v>-19.27877947</v>
        <stp/>
        <stp>EM_S_PQ_PCTCHANGE</stp>
        <stp>4</stp>
        <stp>601857</stp>
        <stp>2018-12-31</stp>
        <stp>2019-12-30</stp>
        <stp>1</stp>
        <tr r="G3048" s="1"/>
      </tp>
      <tp>
        <v>10.58965102</v>
        <stp/>
        <stp>EM_S_PQ_PCTCHANGE</stp>
        <stp>4</stp>
        <stp>600857</stp>
        <stp>2018-12-31</stp>
        <stp>2019-12-30</stp>
        <stp>1</stp>
        <tr r="G1701" s="1"/>
      </tp>
      <tp>
        <v>12.12516297</v>
        <stp/>
        <stp>EM_S_PQ_PCTCHANGE</stp>
        <stp>4</stp>
        <stp>002837</stp>
        <stp>2018-12-31</stp>
        <stp>2019-12-30</stp>
        <stp>1</stp>
        <tr r="G1629" s="1"/>
      </tp>
      <tp>
        <v>-4.3701799499999998</v>
        <stp/>
        <stp>EM_S_PQ_PCTCHANGE</stp>
        <stp>4</stp>
        <stp>000836</stp>
        <stp>2018-12-31</stp>
        <stp>2019-12-30</stp>
        <stp>1</stp>
        <tr r="G2534" s="1"/>
      </tp>
      <tp>
        <v>-35.752688169999999</v>
        <stp/>
        <stp>EM_S_PQ_PCTCHANGE</stp>
        <stp>4</stp>
        <stp>600856</stp>
        <stp>2018-12-31</stp>
        <stp>2019-12-30</stp>
        <stp>1</stp>
        <tr r="G3278" s="1"/>
      </tp>
      <tp>
        <v>-17.235901510000001</v>
        <stp/>
        <stp>EM_S_PQ_PCTCHANGE</stp>
        <stp>4</stp>
        <stp>603856</stp>
        <stp>2018-12-31</stp>
        <stp>2019-12-30</stp>
        <stp>1</stp>
        <tr r="G2996" s="1"/>
      </tp>
      <tp>
        <v>5.0966608100000004</v>
        <stp/>
        <stp>EM_S_PQ_PCTCHANGE</stp>
        <stp>4</stp>
        <stp>002836</stp>
        <stp>2018-12-31</stp>
        <stp>2019-12-30</stp>
        <stp>1</stp>
        <tr r="G2009" s="1"/>
      </tp>
      <tp>
        <v>-0.21739130000000001</v>
        <stp/>
        <stp>EM_S_PQ_PCTCHANGE</stp>
        <stp>4</stp>
        <stp>600889</stp>
        <stp>2018-12-31</stp>
        <stp>2019-12-30</stp>
        <stp>1</stp>
        <tr r="G2344" s="1"/>
      </tp>
      <tp>
        <v>-34.33179724</v>
        <stp/>
        <stp>EM_S_PQ_PCTCHANGE</stp>
        <stp>4</stp>
        <stp>603889</stp>
        <stp>2018-12-31</stp>
        <stp>2019-12-30</stp>
        <stp>1</stp>
        <tr r="G3265" s="1"/>
      </tp>
      <tp>
        <v>47.840531560000002</v>
        <stp/>
        <stp>EM_S_PQ_PCTCHANGE</stp>
        <stp>4</stp>
        <stp>601888</stp>
        <stp>2018-12-31</stp>
        <stp>2019-12-30</stp>
        <stp>1</stp>
        <tr r="G601" s="1"/>
      </tp>
      <tp>
        <v>10.047846890000001</v>
        <stp/>
        <stp>EM_S_PQ_PCTCHANGE</stp>
        <stp>4</stp>
        <stp>600888</stp>
        <stp>2018-12-31</stp>
        <stp>2019-12-30</stp>
        <stp>1</stp>
        <tr r="G1734" s="1"/>
      </tp>
      <tp>
        <v>62.071651090000003</v>
        <stp/>
        <stp>EM_S_PQ_PCTCHANGE</stp>
        <stp>4</stp>
        <stp>603888</stp>
        <stp>2018-12-31</stp>
        <stp>2019-12-30</stp>
        <stp>1</stp>
        <tr r="G402" s="1"/>
      </tp>
      <tp>
        <v>68.181818179999993</v>
        <stp/>
        <stp>EM_S_PQ_PCTCHANGE</stp>
        <stp>4</stp>
        <stp>601881</stp>
        <stp>2018-12-31</stp>
        <stp>2019-12-30</stp>
        <stp>1</stp>
        <tr r="G338" s="1"/>
      </tp>
      <tp>
        <v>-4.8338368599999999</v>
        <stp/>
        <stp>EM_S_PQ_PCTCHANGE</stp>
        <stp>4</stp>
        <stp>600881</stp>
        <stp>2018-12-31</stp>
        <stp>2019-12-30</stp>
        <stp>1</stp>
        <tr r="G2561" s="1"/>
      </tp>
      <tp>
        <v>53.193209379999999</v>
        <stp/>
        <stp>EM_S_PQ_PCTCHANGE</stp>
        <stp>4</stp>
        <stp>603881</stp>
        <stp>2018-12-31</stp>
        <stp>2019-12-30</stp>
        <stp>1</stp>
        <tr r="G513" s="1"/>
      </tp>
      <tp>
        <v>9.1891891900000005</v>
        <stp/>
        <stp>EM_S_PQ_PCTCHANGE</stp>
        <stp>4</stp>
        <stp>601880</stp>
        <stp>2018-12-31</stp>
        <stp>2019-12-30</stp>
        <stp>1</stp>
        <tr r="G1781" s="1"/>
      </tp>
      <tp>
        <v>8.0862533699999997</v>
        <stp/>
        <stp>EM_S_PQ_PCTCHANGE</stp>
        <stp>4</stp>
        <stp>600880</stp>
        <stp>2018-12-31</stp>
        <stp>2019-12-30</stp>
        <stp>1</stp>
        <tr r="G1852" s="1"/>
      </tp>
      <tp>
        <v>-10.44650379</v>
        <stp/>
        <stp>EM_S_PQ_PCTCHANGE</stp>
        <stp>4</stp>
        <stp>603880</stp>
        <stp>2018-12-31</stp>
        <stp>2019-12-30</stp>
        <stp>1</stp>
        <tr r="G2774" s="1"/>
      </tp>
      <tp>
        <v>26.02965404</v>
        <stp/>
        <stp>EM_S_PQ_PCTCHANGE</stp>
        <stp>4</stp>
        <stp>600883</stp>
        <stp>2018-12-31</stp>
        <stp>2019-12-30</stp>
        <stp>1</stp>
        <tr r="G1056" s="1"/>
      </tp>
      <tp>
        <v>35.246769749999999</v>
        <stp/>
        <stp>EM_S_PQ_PCTCHANGE</stp>
        <stp>4</stp>
        <stp>603883</stp>
        <stp>2018-12-31</stp>
        <stp>2019-12-30</stp>
        <stp>1</stp>
        <tr r="G819" s="1"/>
      </tp>
      <tp>
        <v>2.4147727300000001</v>
        <stp/>
        <stp>EM_S_PQ_PCTCHANGE</stp>
        <stp>4</stp>
        <stp>601882</stp>
        <stp>2018-12-31</stp>
        <stp>2019-12-30</stp>
        <stp>1</stp>
        <tr r="G2144" s="1"/>
      </tp>
      <tp>
        <v>87.744458929999993</v>
        <stp/>
        <stp>EM_S_PQ_PCTCHANGE</stp>
        <stp>4</stp>
        <stp>600882</stp>
        <stp>2018-12-31</stp>
        <stp>2019-12-30</stp>
        <stp>1</stp>
        <tr r="G211" s="1"/>
      </tp>
      <tp>
        <v>125.08976661</v>
        <stp/>
        <stp>EM_S_PQ_PCTCHANGE</stp>
        <stp>4</stp>
        <stp>603882</stp>
        <stp>2018-12-31</stp>
        <stp>2019-12-30</stp>
        <stp>1</stp>
        <tr r="G116" s="1"/>
      </tp>
      <tp>
        <v>54.255319149999998</v>
        <stp/>
        <stp>EM_S_PQ_PCTCHANGE</stp>
        <stp>4</stp>
        <stp>600885</stp>
        <stp>2018-12-31</stp>
        <stp>2019-12-30</stp>
        <stp>1</stp>
        <tr r="G497" s="1"/>
      </tp>
      <tp>
        <v>22.106943340000001</v>
        <stp/>
        <stp>EM_S_PQ_PCTCHANGE</stp>
        <stp>4</stp>
        <stp>603885</stp>
        <stp>2018-12-31</stp>
        <stp>2019-12-30</stp>
        <stp>1</stp>
        <tr r="G1184" s="1"/>
      </tp>
      <tp>
        <v>5.4179566599999998</v>
        <stp/>
        <stp>EM_S_PQ_PCTCHANGE</stp>
        <stp>4</stp>
        <stp>600884</stp>
        <stp>2018-12-31</stp>
        <stp>2019-12-30</stp>
        <stp>1</stp>
        <tr r="G1987" s="1"/>
      </tp>
      <tp>
        <v>34.746503500000003</v>
        <stp/>
        <stp>EM_S_PQ_PCTCHANGE</stp>
        <stp>4</stp>
        <stp>600887</stp>
        <stp>2018-12-31</stp>
        <stp>2019-12-30</stp>
        <stp>1</stp>
        <tr r="G827" s="1"/>
      </tp>
      <tp>
        <v>72.824536379999998</v>
        <stp/>
        <stp>EM_S_PQ_PCTCHANGE</stp>
        <stp>4</stp>
        <stp>603887</stp>
        <stp>2018-12-31</stp>
        <stp>2019-12-30</stp>
        <stp>1</stp>
        <tr r="G293" s="1"/>
      </tp>
      <tp>
        <v>-3.07076101</v>
        <stp/>
        <stp>EM_S_PQ_PCTCHANGE</stp>
        <stp>4</stp>
        <stp>601886</stp>
        <stp>2018-12-31</stp>
        <stp>2019-12-30</stp>
        <stp>1</stp>
        <tr r="G2479" s="1"/>
      </tp>
      <tp>
        <v>13.664596270000001</v>
        <stp/>
        <stp>EM_S_PQ_PCTCHANGE</stp>
        <stp>4</stp>
        <stp>600886</stp>
        <stp>2018-12-31</stp>
        <stp>2019-12-30</stp>
        <stp>1</stp>
        <tr r="G1548" s="1"/>
      </tp>
      <tp>
        <v>-1.02857143</v>
        <stp/>
        <stp>EM_S_PQ_PCTCHANGE</stp>
        <stp>4</stp>
        <stp>603886</stp>
        <stp>2018-12-31</stp>
        <stp>2019-12-30</stp>
        <stp>1</stp>
        <tr r="G2380" s="1"/>
      </tp>
      <tp>
        <v>34.431137720000002</v>
        <stp/>
        <stp>EM_S_PQ_PCTCHANGE</stp>
        <stp>4</stp>
        <stp>601899</stp>
        <stp>2018-12-31</stp>
        <stp>2019-12-30</stp>
        <stp>1</stp>
        <tr r="G838" s="1"/>
      </tp>
      <tp>
        <v>0</v>
        <stp/>
        <stp>EM_S_PQ_PCTCHANGE</stp>
        <stp>4</stp>
        <stp>600899</stp>
        <stp>2018-12-31</stp>
        <stp>2019-12-30</stp>
        <stp>1</stp>
        <tr r="G2333" s="1"/>
      </tp>
      <tp>
        <v>58.512396690000003</v>
        <stp/>
        <stp>EM_S_PQ_PCTCHANGE</stp>
        <stp>4</stp>
        <stp>603899</stp>
        <stp>2018-12-31</stp>
        <stp>2019-12-30</stp>
        <stp>1</stp>
        <tr r="G439" s="1"/>
      </tp>
      <tp>
        <v>7.9569892500000003</v>
        <stp/>
        <stp>EM_S_PQ_PCTCHANGE</stp>
        <stp>4</stp>
        <stp>601898</stp>
        <stp>2018-12-31</stp>
        <stp>2019-12-30</stp>
        <stp>1</stp>
        <tr r="G1860" s="1"/>
      </tp>
      <tp>
        <v>-1.24069479</v>
        <stp/>
        <stp>EM_S_PQ_PCTCHANGE</stp>
        <stp>4</stp>
        <stp>600898</stp>
        <stp>2018-12-31</stp>
        <stp>2019-12-30</stp>
        <stp>1</stp>
        <tr r="G2388" s="1"/>
      </tp>
      <tp>
        <v>5.2185257700000003</v>
        <stp/>
        <stp>EM_S_PQ_PCTCHANGE</stp>
        <stp>4</stp>
        <stp>603898</stp>
        <stp>2018-12-31</stp>
        <stp>2019-12-30</stp>
        <stp>1</stp>
        <tr r="G2001" s="1"/>
      </tp>
      <tp>
        <v>-78.908554570000007</v>
        <stp/>
        <stp>EM_S_PQ_PCTCHANGE</stp>
        <stp>4</stp>
        <stp>600891</stp>
        <stp>2018-12-31</stp>
        <stp>2019-12-30</stp>
        <stp>1</stp>
        <tr r="G3403" s="1"/>
      </tp>
      <tp>
        <v>61.363636360000001</v>
        <stp/>
        <stp>EM_S_PQ_PCTCHANGE</stp>
        <stp>4</stp>
        <stp>601890</stp>
        <stp>2018-12-31</stp>
        <stp>2019-12-30</stp>
        <stp>1</stp>
        <tr r="G410" s="1"/>
      </tp>
      <tp>
        <v>-24.062877870000001</v>
        <stp/>
        <stp>EM_S_PQ_PCTCHANGE</stp>
        <stp>4</stp>
        <stp>600890</stp>
        <stp>2018-12-31</stp>
        <stp>2019-12-30</stp>
        <stp>1</stp>
        <tr r="G3134" s="1"/>
      </tp>
      <tp>
        <v>-9.9068585900000006</v>
        <stp/>
        <stp>EM_S_PQ_PCTCHANGE</stp>
        <stp>4</stp>
        <stp>603890</stp>
        <stp>2018-12-31</stp>
        <stp>2019-12-30</stp>
        <stp>1</stp>
        <tr r="G2755" s="1"/>
      </tp>
      <tp>
        <v>-1.1970534100000001</v>
        <stp/>
        <stp>EM_S_PQ_PCTCHANGE</stp>
        <stp>4</stp>
        <stp>600893</stp>
        <stp>2018-12-31</stp>
        <stp>2019-12-30</stp>
        <stp>1</stp>
        <tr r="G2384" s="1"/>
      </tp>
      <tp>
        <v>-31.11111111</v>
        <stp/>
        <stp>EM_S_PQ_PCTCHANGE</stp>
        <stp>4</stp>
        <stp>600892</stp>
        <stp>2018-12-31</stp>
        <stp>2019-12-30</stp>
        <stp>1</stp>
        <tr r="G3227" s="1"/>
      </tp>
      <tp>
        <v>2.4749163900000002</v>
        <stp/>
        <stp>EM_S_PQ_PCTCHANGE</stp>
        <stp>4</stp>
        <stp>600895</stp>
        <stp>2018-12-31</stp>
        <stp>2019-12-30</stp>
        <stp>1</stp>
        <tr r="G2139" s="1"/>
      </tp>
      <tp>
        <v>-11.07692308</v>
        <stp/>
        <stp>EM_S_PQ_PCTCHANGE</stp>
        <stp>4</stp>
        <stp>603895</stp>
        <stp>2018-12-31</stp>
        <stp>2019-12-30</stp>
        <stp>1</stp>
        <tr r="G2804" s="1"/>
      </tp>
      <tp>
        <v>36.330275229999998</v>
        <stp/>
        <stp>EM_S_PQ_PCTCHANGE</stp>
        <stp>4</stp>
        <stp>600894</stp>
        <stp>2018-12-31</stp>
        <stp>2019-12-30</stp>
        <stp>1</stp>
        <tr r="G802" s="1"/>
      </tp>
      <tp>
        <v>3.9924847300000001</v>
        <stp/>
        <stp>EM_S_PQ_PCTCHANGE</stp>
        <stp>4</stp>
        <stp>600897</stp>
        <stp>2018-12-31</stp>
        <stp>2019-12-30</stp>
        <stp>1</stp>
        <tr r="G2061" s="1"/>
      </tp>
      <tp>
        <v>-14.91882405</v>
        <stp/>
        <stp>EM_S_PQ_PCTCHANGE</stp>
        <stp>4</stp>
        <stp>603897</stp>
        <stp>2018-12-31</stp>
        <stp>2019-12-30</stp>
        <stp>1</stp>
        <tr r="G2927" s="1"/>
      </tp>
      <tp>
        <v>14.323607429999999</v>
        <stp/>
        <stp>EM_S_PQ_PCTCHANGE</stp>
        <stp>4</stp>
        <stp>600896</stp>
        <stp>2018-12-31</stp>
        <stp>2019-12-30</stp>
        <stp>1</stp>
        <tr r="G1511" s="1"/>
      </tp>
      <tp>
        <v>12.580279559999999</v>
        <stp/>
        <stp>EM_S_PQ_PCTCHANGE</stp>
        <stp>4</stp>
        <stp>603896</stp>
        <stp>2018-12-31</stp>
        <stp>2019-12-30</stp>
        <stp>1</stp>
        <tr r="G1605" s="1"/>
      </tp>
      <tp>
        <v>-6.8627450999999997</v>
        <stp/>
        <stp>EM_S_PQ_PCTCHANGE</stp>
        <stp>4</stp>
        <stp>000889</stp>
        <stp>2018-12-31</stp>
        <stp>2019-12-30</stp>
        <stp>1</stp>
        <tr r="G2649" s="1"/>
      </tp>
      <tp>
        <v>8.2512315300000001</v>
        <stp/>
        <stp>EM_S_PQ_PCTCHANGE</stp>
        <stp>4</stp>
        <stp>002889</stp>
        <stp>2018-12-31</stp>
        <stp>2019-12-30</stp>
        <stp>1</stp>
        <tr r="G1842" s="1"/>
      </tp>
      <tp>
        <v>15.877287409999999</v>
        <stp/>
        <stp>EM_S_PQ_PCTCHANGE</stp>
        <stp>4</stp>
        <stp>002888</stp>
        <stp>2018-12-31</stp>
        <stp>2019-12-30</stp>
        <stp>1</stp>
        <tr r="G1442" s="1"/>
      </tp>
      <tp>
        <v>2.9761904800000001</v>
        <stp/>
        <stp>EM_S_PQ_PCTCHANGE</stp>
        <stp>4</stp>
        <stp>000881</stp>
        <stp>2018-12-31</stp>
        <stp>2019-12-30</stp>
        <stp>1</stp>
        <tr r="G2108" s="1"/>
      </tp>
      <tp>
        <v>51.993262209999997</v>
        <stp/>
        <stp>EM_S_PQ_PCTCHANGE</stp>
        <stp>4</stp>
        <stp>002881</stp>
        <stp>2018-12-31</stp>
        <stp>2019-12-30</stp>
        <stp>1</stp>
        <tr r="G534" s="1"/>
      </tp>
      <tp>
        <v>7.7777777800000001</v>
        <stp/>
        <stp>EM_S_PQ_PCTCHANGE</stp>
        <stp>4</stp>
        <stp>000880</stp>
        <stp>2018-12-31</stp>
        <stp>2019-12-30</stp>
        <stp>1</stp>
        <tr r="G1865" s="1"/>
      </tp>
      <tp>
        <v>25.205274939999999</v>
        <stp/>
        <stp>EM_S_PQ_PCTCHANGE</stp>
        <stp>4</stp>
        <stp>002880</stp>
        <stp>2018-12-31</stp>
        <stp>2019-12-30</stp>
        <stp>1</stp>
        <tr r="G1086" s="1"/>
      </tp>
      <tp>
        <v>13.351498640000001</v>
        <stp/>
        <stp>EM_S_PQ_PCTCHANGE</stp>
        <stp>4</stp>
        <stp>000883</stp>
        <stp>2018-12-31</stp>
        <stp>2019-12-30</stp>
        <stp>1</stp>
        <tr r="G1562" s="1"/>
      </tp>
      <tp>
        <v>1.0214504600000001</v>
        <stp/>
        <stp>EM_S_PQ_PCTCHANGE</stp>
        <stp>4</stp>
        <stp>002883</stp>
        <stp>2018-12-31</stp>
        <stp>2019-12-30</stp>
        <stp>1</stp>
        <tr r="G2216" s="1"/>
      </tp>
      <tp>
        <v>0.89686098999999997</v>
        <stp/>
        <stp>EM_S_PQ_PCTCHANGE</stp>
        <stp>4</stp>
        <stp>000882</stp>
        <stp>2018-12-31</stp>
        <stp>2019-12-30</stp>
        <stp>1</stp>
        <tr r="G2222" s="1"/>
      </tp>
      <tp>
        <v>9.6410256400000005</v>
        <stp/>
        <stp>EM_S_PQ_PCTCHANGE</stp>
        <stp>4</stp>
        <stp>002882</stp>
        <stp>2018-12-31</stp>
        <stp>2019-12-30</stp>
        <stp>1</stp>
        <tr r="G1759" s="1"/>
      </tp>
      <tp>
        <v>-21.513002360000002</v>
        <stp/>
        <stp>EM_S_PQ_PCTCHANGE</stp>
        <stp>4</stp>
        <stp>002885</stp>
        <stp>2018-12-31</stp>
        <stp>2019-12-30</stp>
        <stp>1</stp>
        <tr r="G3090" s="1"/>
      </tp>
      <tp>
        <v>-26.579835989999999</v>
        <stp/>
        <stp>EM_S_PQ_PCTCHANGE</stp>
        <stp>4</stp>
        <stp>002884</stp>
        <stp>2018-12-31</stp>
        <stp>2019-12-30</stp>
        <stp>1</stp>
        <tr r="G3180" s="1"/>
      </tp>
      <tp>
        <v>-10.86956522</v>
        <stp/>
        <stp>EM_S_PQ_PCTCHANGE</stp>
        <stp>4</stp>
        <stp>000887</stp>
        <stp>2018-12-31</stp>
        <stp>2019-12-30</stp>
        <stp>1</stp>
        <tr r="G2794" s="1"/>
      </tp>
      <tp>
        <v>-4.2271293400000003</v>
        <stp/>
        <stp>EM_S_PQ_PCTCHANGE</stp>
        <stp>4</stp>
        <stp>002887</stp>
        <stp>2018-12-31</stp>
        <stp>2019-12-30</stp>
        <stp>1</stp>
        <tr r="G2528" s="1"/>
      </tp>
      <tp>
        <v>37.865748709999998</v>
        <stp/>
        <stp>EM_S_PQ_PCTCHANGE</stp>
        <stp>4</stp>
        <stp>002886</stp>
        <stp>2018-12-31</stp>
        <stp>2019-12-30</stp>
        <stp>1</stp>
        <tr r="G774" s="1"/>
      </tp>
      <tp>
        <v>10.73059361</v>
        <stp/>
        <stp>EM_S_PQ_PCTCHANGE</stp>
        <stp>4</stp>
        <stp>000899</stp>
        <stp>2018-12-31</stp>
        <stp>2019-12-30</stp>
        <stp>1</stp>
        <tr r="G1690" s="1"/>
      </tp>
      <tp>
        <v>-3.6678200699999999</v>
        <stp/>
        <stp>EM_S_PQ_PCTCHANGE</stp>
        <stp>4</stp>
        <stp>002899</stp>
        <stp>2018-12-31</stp>
        <stp>2019-12-30</stp>
        <stp>1</stp>
        <tr r="G2501" s="1"/>
      </tp>
      <tp>
        <v>-36.062378170000002</v>
        <stp/>
        <stp>EM_S_PQ_PCTCHANGE</stp>
        <stp>4</stp>
        <stp>000898</stp>
        <stp>2018-12-31</stp>
        <stp>2019-12-30</stp>
        <stp>1</stp>
        <tr r="G3280" s="1"/>
      </tp>
      <tp>
        <v>-8.7824351299999996</v>
        <stp/>
        <stp>EM_S_PQ_PCTCHANGE</stp>
        <stp>4</stp>
        <stp>002898</stp>
        <stp>2018-12-31</stp>
        <stp>2019-12-30</stp>
        <stp>1</stp>
        <tr r="G2713" s="1"/>
      </tp>
      <tp>
        <v>-18.071925050000001</v>
        <stp/>
        <stp>EM_S_PQ_PCTCHANGE</stp>
        <stp>4</stp>
        <stp>002891</stp>
        <stp>2018-12-31</stp>
        <stp>2019-12-30</stp>
        <stp>1</stp>
        <tr r="G3025" s="1"/>
      </tp>
      <tp>
        <v>38.807588080000002</v>
        <stp/>
        <stp>EM_S_PQ_PCTCHANGE</stp>
        <stp>4</stp>
        <stp>002890</stp>
        <stp>2018-12-31</stp>
        <stp>2019-12-30</stp>
        <stp>1</stp>
        <tr r="G756" s="1"/>
      </tp>
      <tp>
        <v>-24.191542290000001</v>
        <stp/>
        <stp>EM_S_PQ_PCTCHANGE</stp>
        <stp>4</stp>
        <stp>002893</stp>
        <stp>2018-12-31</stp>
        <stp>2019-12-30</stp>
        <stp>1</stp>
        <tr r="G3136" s="1"/>
      </tp>
      <tp>
        <v>10.882572919999999</v>
        <stp/>
        <stp>EM_S_PQ_PCTCHANGE</stp>
        <stp>4</stp>
        <stp>002892</stp>
        <stp>2018-12-31</stp>
        <stp>2019-12-30</stp>
        <stp>1</stp>
        <tr r="G1688" s="1"/>
      </tp>
      <tp>
        <v>3.1772575299999999</v>
        <stp/>
        <stp>EM_S_PQ_PCTCHANGE</stp>
        <stp>4</stp>
        <stp>002895</stp>
        <stp>2018-12-31</stp>
        <stp>2019-12-30</stp>
        <stp>1</stp>
        <tr r="G2097" s="1"/>
      </tp>
      <tp>
        <v>31.83374083</v>
        <stp/>
        <stp>EM_S_PQ_PCTCHANGE</stp>
        <stp>4</stp>
        <stp>002897</stp>
        <stp>2018-12-31</stp>
        <stp>2019-12-30</stp>
        <stp>1</stp>
        <tr r="G887" s="1"/>
      </tp>
      <tp>
        <v>-27.263969169999999</v>
        <stp/>
        <stp>EM_S_PQ_PCTCHANGE</stp>
        <stp>4</stp>
        <stp>002896</stp>
        <stp>2018-12-31</stp>
        <stp>2019-12-30</stp>
        <stp>1</stp>
        <tr r="G3187" s="1"/>
      </tp>
      <tp>
        <v>3.9024390200000001</v>
        <stp/>
        <stp>EM_S_PQ_PCTCHANGE</stp>
        <stp>4</stp>
        <stp>601929</stp>
        <stp>2018-12-31</stp>
        <stp>2019-12-30</stp>
        <stp>1</stp>
        <tr r="G2062" s="1"/>
      </tp>
      <tp>
        <v>44.029850750000001</v>
        <stp/>
        <stp>EM_S_PQ_PCTCHANGE</stp>
        <stp>4</stp>
        <stp>000949</stp>
        <stp>2018-12-31</stp>
        <stp>2019-12-30</stp>
        <stp>1</stp>
        <tr r="G670" s="1"/>
      </tp>
      <tp>
        <v>-20.5346294</v>
        <stp/>
        <stp>EM_S_PQ_PCTCHANGE</stp>
        <stp>4</stp>
        <stp>600929</stp>
        <stp>2018-12-31</stp>
        <stp>2019-12-30</stp>
        <stp>1</stp>
        <tr r="G3072" s="1"/>
      </tp>
      <tp>
        <v>0.94722598000000002</v>
        <stp/>
        <stp>EM_S_PQ_PCTCHANGE</stp>
        <stp>4</stp>
        <stp>603929</stp>
        <stp>2018-12-31</stp>
        <stp>2019-12-30</stp>
        <stp>1</stp>
        <tr r="G2220" s="1"/>
      </tp>
      <tp>
        <v>-4.6599496199999999</v>
        <stp/>
        <stp>EM_S_PQ_PCTCHANGE</stp>
        <stp>4</stp>
        <stp>601928</stp>
        <stp>2018-12-31</stp>
        <stp>2019-12-30</stp>
        <stp>1</stp>
        <tr r="G2548" s="1"/>
      </tp>
      <tp>
        <v>10.377358490000001</v>
        <stp/>
        <stp>EM_S_PQ_PCTCHANGE</stp>
        <stp>4</stp>
        <stp>000948</stp>
        <stp>2018-12-31</stp>
        <stp>2019-12-30</stp>
        <stp>1</stp>
        <tr r="G1716" s="1"/>
      </tp>
      <tp>
        <v>-13.44947735</v>
        <stp/>
        <stp>EM_S_PQ_PCTCHANGE</stp>
        <stp>4</stp>
        <stp>603928</stp>
        <stp>2018-12-31</stp>
        <stp>2019-12-30</stp>
        <stp>1</stp>
        <tr r="G2878" s="1"/>
      </tp>
      <tp>
        <v>66.582703609999996</v>
        <stp/>
        <stp>EM_S_PQ_PCTCHANGE</stp>
        <stp>4</stp>
        <stp>603920</stp>
        <stp>2018-12-31</stp>
        <stp>2019-12-30</stp>
        <stp>1</stp>
        <tr r="G354" s="1"/>
      </tp>
      <tp>
        <v>3.1190324600000001</v>
        <stp/>
        <stp>EM_S_PQ_PCTCHANGE</stp>
        <stp>4</stp>
        <stp>603922</stp>
        <stp>2018-12-31</stp>
        <stp>2019-12-30</stp>
        <stp>1</stp>
        <tr r="G2100" s="1"/>
      </tp>
      <tp>
        <v>23.648648649999998</v>
        <stp/>
        <stp>EM_S_PQ_PCTCHANGE</stp>
        <stp>4</stp>
        <stp>600926</stp>
        <stp>2018-12-31</stp>
        <stp>2019-12-30</stp>
        <stp>1</stp>
        <tr r="G1142" s="1"/>
      </tp>
      <tp>
        <v>-14.03762663</v>
        <stp/>
        <stp>EM_S_PQ_PCTCHANGE</stp>
        <stp>4</stp>
        <stp>603926</stp>
        <stp>2018-12-31</stp>
        <stp>2019-12-30</stp>
        <stp>1</stp>
        <tr r="G2907" s="1"/>
      </tp>
      <tp>
        <v>13.50078493</v>
        <stp/>
        <stp>EM_S_PQ_PCTCHANGE</stp>
        <stp>4</stp>
        <stp>601939</stp>
        <stp>2018-12-31</stp>
        <stp>2019-12-30</stp>
        <stp>1</stp>
        <tr r="G1554" s="1"/>
      </tp>
      <tp>
        <v>-5.8981233199999998</v>
        <stp/>
        <stp>EM_S_PQ_PCTCHANGE</stp>
        <stp>4</stp>
        <stp>000959</stp>
        <stp>2018-12-31</stp>
        <stp>2019-12-30</stp>
        <stp>1</stp>
        <tr r="G2602" s="1"/>
      </tp>
      <tp>
        <v>3.0368763599999999</v>
        <stp/>
        <stp>EM_S_PQ_PCTCHANGE</stp>
        <stp>4</stp>
        <stp>600939</stp>
        <stp>2018-12-31</stp>
        <stp>2019-12-30</stp>
        <stp>1</stp>
        <tr r="G2104" s="1"/>
      </tp>
      <tp>
        <v>73.860911270000003</v>
        <stp/>
        <stp>EM_S_PQ_PCTCHANGE</stp>
        <stp>4</stp>
        <stp>603939</stp>
        <stp>2018-12-31</stp>
        <stp>2019-12-30</stp>
        <stp>1</stp>
        <tr r="G285" s="1"/>
      </tp>
      <tp>
        <v>73.602484469999993</v>
        <stp/>
        <stp>EM_S_PQ_PCTCHANGE</stp>
        <stp>4</stp>
        <stp>000958</stp>
        <stp>2018-12-31</stp>
        <stp>2019-12-30</stp>
        <stp>1</stp>
        <tr r="G289" s="1"/>
      </tp>
      <tp>
        <v>7.7167019000000003</v>
        <stp/>
        <stp>EM_S_PQ_PCTCHANGE</stp>
        <stp>4</stp>
        <stp>603938</stp>
        <stp>2018-12-31</stp>
        <stp>2019-12-30</stp>
        <stp>1</stp>
        <tr r="G1870" s="1"/>
      </tp>
      <tp>
        <v>102.96229803</v>
        <stp/>
        <stp>EM_S_PQ_PCTCHANGE</stp>
        <stp>4</stp>
        <stp>000951</stp>
        <stp>2018-12-31</stp>
        <stp>2019-12-30</stp>
        <stp>1</stp>
        <tr r="G163" s="1"/>
      </tp>
      <tp>
        <v>12.94820717</v>
        <stp/>
        <stp>EM_S_PQ_PCTCHANGE</stp>
        <stp>4</stp>
        <stp>000950</stp>
        <stp>2018-12-31</stp>
        <stp>2019-12-30</stp>
        <stp>1</stp>
        <tr r="G1579" s="1"/>
      </tp>
      <tp>
        <v>-3.8119440899999999</v>
        <stp/>
        <stp>EM_S_PQ_PCTCHANGE</stp>
        <stp>4</stp>
        <stp>601933</stp>
        <stp>2018-12-31</stp>
        <stp>2019-12-30</stp>
        <stp>1</stp>
        <tr r="G2507" s="1"/>
      </tp>
      <tp>
        <v>78.06788512</v>
        <stp/>
        <stp>EM_S_PQ_PCTCHANGE</stp>
        <stp>4</stp>
        <stp>600933</stp>
        <stp>2018-12-31</stp>
        <stp>2019-12-30</stp>
        <stp>1</stp>
        <tr r="G256" s="1"/>
      </tp>
      <tp>
        <v>-13.94230769</v>
        <stp/>
        <stp>EM_S_PQ_PCTCHANGE</stp>
        <stp>4</stp>
        <stp>603933</stp>
        <stp>2018-12-31</stp>
        <stp>2019-12-30</stp>
        <stp>1</stp>
        <tr r="G2900" s="1"/>
      </tp>
      <tp>
        <v>-5.7344064399999999</v>
        <stp/>
        <stp>EM_S_PQ_PCTCHANGE</stp>
        <stp>4</stp>
        <stp>000952</stp>
        <stp>2018-12-31</stp>
        <stp>2019-12-30</stp>
        <stp>1</stp>
        <tr r="G2593" s="1"/>
      </tp>
      <tp>
        <v>2.3276633800000002</v>
        <stp/>
        <stp>EM_S_PQ_PCTCHANGE</stp>
        <stp>4</stp>
        <stp>603937</stp>
        <stp>2018-12-31</stp>
        <stp>2019-12-30</stp>
        <stp>1</stp>
        <tr r="G2150" s="1"/>
      </tp>
      <tp>
        <v>2.6737967899999999</v>
        <stp/>
        <stp>EM_S_PQ_PCTCHANGE</stp>
        <stp>4</stp>
        <stp>600936</stp>
        <stp>2018-12-31</stp>
        <stp>2019-12-30</stp>
        <stp>1</stp>
        <tr r="G2127" s="1"/>
      </tp>
      <tp>
        <v>22.292545709999999</v>
        <stp/>
        <stp>EM_S_PQ_PCTCHANGE</stp>
        <stp>4</stp>
        <stp>603936</stp>
        <stp>2018-12-31</stp>
        <stp>2019-12-30</stp>
        <stp>1</stp>
        <tr r="G1179" s="1"/>
      </tp>
      <tp>
        <v>54.02542373</v>
        <stp/>
        <stp>EM_S_PQ_PCTCHANGE</stp>
        <stp>4</stp>
        <stp>600909</stp>
        <stp>2018-12-31</stp>
        <stp>2019-12-30</stp>
        <stp>1</stp>
        <tr r="G502" s="1"/>
      </tp>
      <tp>
        <v>-48.171206230000003</v>
        <stp/>
        <stp>EM_S_PQ_PCTCHANGE</stp>
        <stp>4</stp>
        <stp>603909</stp>
        <stp>2018-12-31</stp>
        <stp>2019-12-30</stp>
        <stp>1</stp>
        <tr r="G3356" s="1"/>
      </tp>
      <tp>
        <v>-4.4444444399999998</v>
        <stp/>
        <stp>EM_S_PQ_PCTCHANGE</stp>
        <stp>4</stp>
        <stp>601908</stp>
        <stp>2018-12-31</stp>
        <stp>2019-12-30</stp>
        <stp>1</stp>
        <tr r="G2539" s="1"/>
      </tp>
      <tp>
        <v>-4.2253521100000002</v>
        <stp/>
        <stp>EM_S_PQ_PCTCHANGE</stp>
        <stp>4</stp>
        <stp>000968</stp>
        <stp>2018-12-31</stp>
        <stp>2019-12-30</stp>
        <stp>1</stp>
        <tr r="G2527" s="1"/>
      </tp>
      <tp>
        <v>5.7251908399999998</v>
        <stp/>
        <stp>EM_S_PQ_PCTCHANGE</stp>
        <stp>4</stp>
        <stp>600908</stp>
        <stp>2018-12-31</stp>
        <stp>2019-12-30</stp>
        <stp>1</stp>
        <tr r="G1965" s="1"/>
      </tp>
      <tp>
        <v>1.43560295</v>
        <stp/>
        <stp>EM_S_PQ_PCTCHANGE</stp>
        <stp>4</stp>
        <stp>603908</stp>
        <stp>2018-12-31</stp>
        <stp>2019-12-30</stp>
        <stp>1</stp>
        <tr r="G2189" s="1"/>
      </tp>
      <tp>
        <v>61.393596989999999</v>
        <stp/>
        <stp>EM_S_PQ_PCTCHANGE</stp>
        <stp>4</stp>
        <stp>601901</stp>
        <stp>2018-12-31</stp>
        <stp>2019-12-30</stp>
        <stp>1</stp>
        <tr r="G408" s="1"/>
      </tp>
      <tp>
        <v>88.591800359999993</v>
        <stp/>
        <stp>EM_S_PQ_PCTCHANGE</stp>
        <stp>4</stp>
        <stp>000961</stp>
        <stp>2018-12-31</stp>
        <stp>2019-12-30</stp>
        <stp>1</stp>
        <tr r="G207" s="1"/>
      </tp>
      <tp>
        <v>7.7834179399999996</v>
        <stp/>
        <stp>EM_S_PQ_PCTCHANGE</stp>
        <stp>4</stp>
        <stp>600901</stp>
        <stp>2018-12-31</stp>
        <stp>2019-12-30</stp>
        <stp>1</stp>
        <tr r="G1864" s="1"/>
      </tp>
      <tp>
        <v>60.757575760000002</v>
        <stp/>
        <stp>EM_S_PQ_PCTCHANGE</stp>
        <stp>4</stp>
        <stp>603901</stp>
        <stp>2018-12-31</stp>
        <stp>2019-12-30</stp>
        <stp>1</stp>
        <tr r="G415" s="1"/>
      </tp>
      <tp>
        <v>8.5510688800000008</v>
        <stp/>
        <stp>EM_S_PQ_PCTCHANGE</stp>
        <stp>4</stp>
        <stp>601900</stp>
        <stp>2018-12-31</stp>
        <stp>2019-12-30</stp>
        <stp>1</stp>
        <tr r="G1823" s="1"/>
      </tp>
      <tp>
        <v>11.53039832</v>
        <stp/>
        <stp>EM_S_PQ_PCTCHANGE</stp>
        <stp>4</stp>
        <stp>000960</stp>
        <stp>2018-12-31</stp>
        <stp>2019-12-30</stp>
        <stp>1</stp>
        <tr r="G1651" s="1"/>
      </tp>
      <tp>
        <v>15.68010076</v>
        <stp/>
        <stp>EM_S_PQ_PCTCHANGE</stp>
        <stp>4</stp>
        <stp>600900</stp>
        <stp>2018-12-31</stp>
        <stp>2019-12-30</stp>
        <stp>1</stp>
        <tr r="G1447" s="1"/>
      </tp>
      <tp>
        <v>-21.074727119999999</v>
        <stp/>
        <stp>EM_S_PQ_PCTCHANGE</stp>
        <stp>4</stp>
        <stp>603900</stp>
        <stp>2018-12-31</stp>
        <stp>2019-12-30</stp>
        <stp>1</stp>
        <tr r="G3083" s="1"/>
      </tp>
      <tp>
        <v>-9.6371882099999997</v>
        <stp/>
        <stp>EM_S_PQ_PCTCHANGE</stp>
        <stp>4</stp>
        <stp>000963</stp>
        <stp>2018-12-31</stp>
        <stp>2019-12-30</stp>
        <stp>1</stp>
        <tr r="G2741" s="1"/>
      </tp>
      <tp>
        <v>-29.952606639999999</v>
        <stp/>
        <stp>EM_S_PQ_PCTCHANGE</stp>
        <stp>4</stp>
        <stp>600903</stp>
        <stp>2018-12-31</stp>
        <stp>2019-12-30</stp>
        <stp>1</stp>
        <tr r="G3216" s="1"/>
      </tp>
      <tp>
        <v>-30.822942640000001</v>
        <stp/>
        <stp>EM_S_PQ_PCTCHANGE</stp>
        <stp>4</stp>
        <stp>603903</stp>
        <stp>2018-12-31</stp>
        <stp>2019-12-30</stp>
        <stp>1</stp>
        <tr r="G3225" s="1"/>
      </tp>
      <tp>
        <v>14.192495920000001</v>
        <stp/>
        <stp>EM_S_PQ_PCTCHANGE</stp>
        <stp>4</stp>
        <stp>000962</stp>
        <stp>2018-12-31</stp>
        <stp>2019-12-30</stp>
        <stp>1</stp>
        <tr r="G1521" s="1"/>
      </tp>
      <tp>
        <v>8.7173100899999998</v>
        <stp/>
        <stp>EM_S_PQ_PCTCHANGE</stp>
        <stp>4</stp>
        <stp>001965</stp>
        <stp>2018-12-31</stp>
        <stp>2019-12-30</stp>
        <stp>1</stp>
        <tr r="G1808" s="1"/>
      </tp>
      <tp>
        <v>-17.92207792</v>
        <stp/>
        <stp>EM_S_PQ_PCTCHANGE</stp>
        <stp>4</stp>
        <stp>000965</stp>
        <stp>2018-12-31</stp>
        <stp>2019-12-30</stp>
        <stp>1</stp>
        <tr r="G3017" s="1"/>
      </tp>
      <tp>
        <v>9.7345132700000008</v>
        <stp/>
        <stp>EM_S_PQ_PCTCHANGE</stp>
        <stp>4</stp>
        <stp>000967</stp>
        <stp>2018-12-31</stp>
        <stp>2019-12-30</stp>
        <stp>1</stp>
        <tr r="G1753" s="1"/>
      </tp>
      <tp>
        <v>32.763532759999997</v>
        <stp/>
        <stp>EM_S_PQ_PCTCHANGE</stp>
        <stp>4</stp>
        <stp>000966</stp>
        <stp>2018-12-31</stp>
        <stp>2019-12-30</stp>
        <stp>1</stp>
        <tr r="G869" s="1"/>
      </tp>
      <tp>
        <v>24.381625440000001</v>
        <stp/>
        <stp>EM_S_PQ_PCTCHANGE</stp>
        <stp>4</stp>
        <stp>603906</stp>
        <stp>2018-12-31</stp>
        <stp>2019-12-30</stp>
        <stp>1</stp>
        <tr r="G1119" s="1"/>
      </tp>
      <tp>
        <v>15.15850144</v>
        <stp/>
        <stp>EM_S_PQ_PCTCHANGE</stp>
        <stp>4</stp>
        <stp>001979</stp>
        <stp>2018-12-31</stp>
        <stp>2019-12-30</stp>
        <stp>1</stp>
        <tr r="G1473" s="1"/>
      </tp>
      <tp>
        <v>29.950495050000001</v>
        <stp/>
        <stp>EM_S_PQ_PCTCHANGE</stp>
        <stp>4</stp>
        <stp>601919</stp>
        <stp>2018-12-31</stp>
        <stp>2019-12-30</stp>
        <stp>1</stp>
        <tr r="G933" s="1"/>
      </tp>
      <tp>
        <v>20.77051926</v>
        <stp/>
        <stp>EM_S_PQ_PCTCHANGE</stp>
        <stp>4</stp>
        <stp>600919</stp>
        <stp>2018-12-31</stp>
        <stp>2019-12-30</stp>
        <stp>1</stp>
        <tr r="G1245" s="1"/>
      </tp>
      <tp>
        <v>51.455479449999999</v>
        <stp/>
        <stp>EM_S_PQ_PCTCHANGE</stp>
        <stp>4</stp>
        <stp>603919</stp>
        <stp>2018-12-31</stp>
        <stp>2019-12-30</stp>
        <stp>1</stp>
        <tr r="G540" s="1"/>
      </tp>
      <tp>
        <v>6.6445182699999998</v>
        <stp/>
        <stp>EM_S_PQ_PCTCHANGE</stp>
        <stp>4</stp>
        <stp>601918</stp>
        <stp>2018-12-31</stp>
        <stp>2019-12-30</stp>
        <stp>1</stp>
        <tr r="G1915" s="1"/>
      </tp>
      <tp>
        <v>1.7208413</v>
        <stp/>
        <stp>EM_S_PQ_PCTCHANGE</stp>
        <stp>4</stp>
        <stp>000978</stp>
        <stp>2018-12-31</stp>
        <stp>2019-12-30</stp>
        <stp>1</stp>
        <tr r="G2177" s="1"/>
      </tp>
      <tp>
        <v>-5.5696202499999998</v>
        <stp/>
        <stp>EM_S_PQ_PCTCHANGE</stp>
        <stp>4</stp>
        <stp>603918</stp>
        <stp>2018-12-31</stp>
        <stp>2019-12-30</stp>
        <stp>1</stp>
        <tr r="G2585" s="1"/>
      </tp>
      <tp>
        <v>49.249658940000003</v>
        <stp/>
        <stp>EM_S_PQ_PCTCHANGE</stp>
        <stp>4</stp>
        <stp>000970</stp>
        <stp>2018-12-31</stp>
        <stp>2019-12-30</stp>
        <stp>1</stp>
        <tr r="G573" s="1"/>
      </tp>
      <tp>
        <v>44.548286599999997</v>
        <stp/>
        <stp>EM_S_PQ_PCTCHANGE</stp>
        <stp>4</stp>
        <stp>000973</stp>
        <stp>2018-12-31</stp>
        <stp>2019-12-30</stp>
        <stp>1</stp>
        <tr r="G658" s="1"/>
      </tp>
      <tp>
        <v>2.8443113800000002</v>
        <stp/>
        <stp>EM_S_PQ_PCTCHANGE</stp>
        <stp>4</stp>
        <stp>603912</stp>
        <stp>2018-12-31</stp>
        <stp>2019-12-30</stp>
        <stp>1</stp>
        <tr r="G2116" s="1"/>
      </tp>
      <tp>
        <v>30.02944063</v>
        <stp/>
        <stp>EM_S_PQ_PCTCHANGE</stp>
        <stp>4</stp>
        <stp>000975</stp>
        <stp>2018-12-31</stp>
        <stp>2019-12-30</stp>
        <stp>1</stp>
        <tr r="G930" s="1"/>
      </tp>
      <tp>
        <v>88.630653269999996</v>
        <stp/>
        <stp>EM_S_PQ_PCTCHANGE</stp>
        <stp>4</stp>
        <stp>000977</stp>
        <stp>2018-12-31</stp>
        <stp>2019-12-30</stp>
        <stp>1</stp>
        <tr r="G206" s="1"/>
      </tp>
      <tp>
        <v>2.1067415700000001</v>
        <stp/>
        <stp>EM_S_PQ_PCTCHANGE</stp>
        <stp>4</stp>
        <stp>600917</stp>
        <stp>2018-12-31</stp>
        <stp>2019-12-30</stp>
        <stp>1</stp>
        <tr r="G2163" s="1"/>
      </tp>
      <tp>
        <v>-12.5932063</v>
        <stp/>
        <stp>EM_S_PQ_PCTCHANGE</stp>
        <stp>4</stp>
        <stp>603917</stp>
        <stp>2018-12-31</stp>
        <stp>2019-12-30</stp>
        <stp>1</stp>
        <tr r="G2852" s="1"/>
      </tp>
      <tp>
        <v>45.259391770000001</v>
        <stp/>
        <stp>EM_S_PQ_PCTCHANGE</stp>
        <stp>4</stp>
        <stp>603916</stp>
        <stp>2018-12-31</stp>
        <stp>2019-12-30</stp>
        <stp>1</stp>
        <tr r="G639" s="1"/>
      </tp>
      <tp>
        <v>30.58035714</v>
        <stp/>
        <stp>EM_S_PQ_PCTCHANGE</stp>
        <stp>4</stp>
        <stp>601969</stp>
        <stp>2018-12-31</stp>
        <stp>2019-12-30</stp>
        <stp>1</stp>
        <tr r="G915" s="1"/>
      </tp>
      <tp>
        <v>10.96121417</v>
        <stp/>
        <stp>EM_S_PQ_PCTCHANGE</stp>
        <stp>4</stp>
        <stp>600969</stp>
        <stp>2018-12-31</stp>
        <stp>2019-12-30</stp>
        <stp>1</stp>
        <tr r="G1681" s="1"/>
      </tp>
      <tp>
        <v>-10.085836909999999</v>
        <stp/>
        <stp>EM_S_PQ_PCTCHANGE</stp>
        <stp>4</stp>
        <stp>603969</stp>
        <stp>2018-12-31</stp>
        <stp>2019-12-30</stp>
        <stp>1</stp>
        <tr r="G2760" s="1"/>
      </tp>
      <tp>
        <v>4.2357274399999998</v>
        <stp/>
        <stp>EM_S_PQ_PCTCHANGE</stp>
        <stp>4</stp>
        <stp>002909</stp>
        <stp>2018-12-31</stp>
        <stp>2019-12-30</stp>
        <stp>1</stp>
        <tr r="G2046" s="1"/>
      </tp>
      <tp>
        <v>27.568922310000001</v>
        <stp/>
        <stp>EM_S_PQ_PCTCHANGE</stp>
        <stp>4</stp>
        <stp>601968</stp>
        <stp>2018-12-31</stp>
        <stp>2019-12-30</stp>
        <stp>1</stp>
        <tr r="G1000" s="1"/>
      </tp>
      <tp>
        <v>-17.567567570000001</v>
        <stp/>
        <stp>EM_S_PQ_PCTCHANGE</stp>
        <stp>4</stp>
        <stp>000908</stp>
        <stp>2018-12-31</stp>
        <stp>2019-12-30</stp>
        <stp>1</stp>
        <tr r="G3008" s="1"/>
      </tp>
      <tp>
        <v>16.851265819999998</v>
        <stp/>
        <stp>EM_S_PQ_PCTCHANGE</stp>
        <stp>4</stp>
        <stp>603968</stp>
        <stp>2018-12-31</stp>
        <stp>2019-12-30</stp>
        <stp>1</stp>
        <tr r="G1405" s="1"/>
      </tp>
      <tp>
        <v>-28.2208589</v>
        <stp/>
        <stp>EM_S_PQ_PCTCHANGE</stp>
        <stp>4</stp>
        <stp>002908</stp>
        <stp>2018-12-31</stp>
        <stp>2019-12-30</stp>
        <stp>1</stp>
        <tr r="G3201" s="1"/>
      </tp>
      <tp>
        <v>8.8977423600000005</v>
        <stp/>
        <stp>EM_S_PQ_PCTCHANGE</stp>
        <stp>4</stp>
        <stp>600961</stp>
        <stp>2018-12-31</stp>
        <stp>2019-12-30</stp>
        <stp>1</stp>
        <tr r="G1803" s="1"/>
      </tp>
      <tp>
        <v>94.62656303</v>
        <stp/>
        <stp>EM_S_PQ_PCTCHANGE</stp>
        <stp>4</stp>
        <stp>002901</stp>
        <stp>2018-12-31</stp>
        <stp>2019-12-30</stp>
        <stp>1</stp>
        <tr r="G184" s="1"/>
      </tp>
      <tp>
        <v>12.08226221</v>
        <stp/>
        <stp>EM_S_PQ_PCTCHANGE</stp>
        <stp>4</stp>
        <stp>000900</stp>
        <stp>2018-12-31</stp>
        <stp>2019-12-30</stp>
        <stp>1</stp>
        <tr r="G1632" s="1"/>
      </tp>
      <tp>
        <v>-9.0909090900000002</v>
        <stp/>
        <stp>EM_S_PQ_PCTCHANGE</stp>
        <stp>4</stp>
        <stp>600960</stp>
        <stp>2018-12-31</stp>
        <stp>2019-12-30</stp>
        <stp>1</stp>
        <tr r="G2720" s="1"/>
      </tp>
      <tp>
        <v>16.378689699999999</v>
        <stp/>
        <stp>EM_S_PQ_PCTCHANGE</stp>
        <stp>4</stp>
        <stp>603960</stp>
        <stp>2018-12-31</stp>
        <stp>2019-12-30</stp>
        <stp>1</stp>
        <tr r="G1420" s="1"/>
      </tp>
      <tp>
        <v>-4.9668874199999999</v>
        <stp/>
        <stp>EM_S_PQ_PCTCHANGE</stp>
        <stp>4</stp>
        <stp>002900</stp>
        <stp>2018-12-31</stp>
        <stp>2019-12-30</stp>
        <stp>1</stp>
        <tr r="G2567" s="1"/>
      </tp>
      <tp>
        <v>6.25</v>
        <stp/>
        <stp>EM_S_PQ_PCTCHANGE</stp>
        <stp>4</stp>
        <stp>000903</stp>
        <stp>2018-12-31</stp>
        <stp>2019-12-30</stp>
        <stp>1</stp>
        <tr r="G1940" s="1"/>
      </tp>
      <tp>
        <v>10.224438900000001</v>
        <stp/>
        <stp>EM_S_PQ_PCTCHANGE</stp>
        <stp>4</stp>
        <stp>600963</stp>
        <stp>2018-12-31</stp>
        <stp>2019-12-30</stp>
        <stp>1</stp>
        <tr r="G1727" s="1"/>
      </tp>
      <tp>
        <v>-6.2074829899999999</v>
        <stp/>
        <stp>EM_S_PQ_PCTCHANGE</stp>
        <stp>4</stp>
        <stp>603963</stp>
        <stp>2018-12-31</stp>
        <stp>2019-12-30</stp>
        <stp>1</stp>
        <tr r="G2617" s="1"/>
      </tp>
      <tp>
        <v>-15.56712963</v>
        <stp/>
        <stp>EM_S_PQ_PCTCHANGE</stp>
        <stp>4</stp>
        <stp>002903</stp>
        <stp>2018-12-31</stp>
        <stp>2019-12-30</stp>
        <stp>1</stp>
        <tr r="G2947" s="1"/>
      </tp>
      <tp>
        <v>-11.83035714</v>
        <stp/>
        <stp>EM_S_PQ_PCTCHANGE</stp>
        <stp>4</stp>
        <stp>000902</stp>
        <stp>2018-12-31</stp>
        <stp>2019-12-30</stp>
        <stp>1</stp>
        <tr r="G2826" s="1"/>
      </tp>
      <tp>
        <v>12.68758527</v>
        <stp/>
        <stp>EM_S_PQ_PCTCHANGE</stp>
        <stp>4</stp>
        <stp>600962</stp>
        <stp>2018-12-31</stp>
        <stp>2019-12-30</stp>
        <stp>1</stp>
        <tr r="G1599" s="1"/>
      </tp>
      <tp>
        <v>-1.7751479299999999</v>
        <stp/>
        <stp>EM_S_PQ_PCTCHANGE</stp>
        <stp>4</stp>
        <stp>002902</stp>
        <stp>2018-12-31</stp>
        <stp>2019-12-30</stp>
        <stp>1</stp>
        <tr r="G2409" s="1"/>
      </tp>
      <tp>
        <v>18.361581919999999</v>
        <stp/>
        <stp>EM_S_PQ_PCTCHANGE</stp>
        <stp>4</stp>
        <stp>601965</stp>
        <stp>2018-12-31</stp>
        <stp>2019-12-30</stp>
        <stp>1</stp>
        <tr r="G1351" s="1"/>
      </tp>
      <tp>
        <v>-30.430430430000001</v>
        <stp/>
        <stp>EM_S_PQ_PCTCHANGE</stp>
        <stp>4</stp>
        <stp>600965</stp>
        <stp>2018-12-31</stp>
        <stp>2019-12-30</stp>
        <stp>1</stp>
        <tr r="G3222" s="1"/>
      </tp>
      <tp>
        <v>28.165771299999999</v>
        <stp/>
        <stp>EM_S_PQ_PCTCHANGE</stp>
        <stp>4</stp>
        <stp>002905</stp>
        <stp>2018-12-31</stp>
        <stp>2019-12-30</stp>
        <stp>1</stp>
        <tr r="G980" s="1"/>
      </tp>
      <tp>
        <v>1.5384615399999999</v>
        <stp/>
        <stp>EM_S_PQ_PCTCHANGE</stp>
        <stp>4</stp>
        <stp>600967</stp>
        <stp>2018-12-31</stp>
        <stp>2019-12-30</stp>
        <stp>1</stp>
        <tr r="G2184" s="1"/>
      </tp>
      <tp>
        <v>-14.01273885</v>
        <stp/>
        <stp>EM_S_PQ_PCTCHANGE</stp>
        <stp>4</stp>
        <stp>002907</stp>
        <stp>2018-12-31</stp>
        <stp>2019-12-30</stp>
        <stp>1</stp>
        <tr r="G2905" s="1"/>
      </tp>
      <tp>
        <v>63.809523810000002</v>
        <stp/>
        <stp>EM_S_PQ_PCTCHANGE</stp>
        <stp>4</stp>
        <stp>601966</stp>
        <stp>2018-12-31</stp>
        <stp>2019-12-30</stp>
        <stp>1</stp>
        <tr r="G385" s="1"/>
      </tp>
      <tp>
        <v>19.631901840000001</v>
        <stp/>
        <stp>EM_S_PQ_PCTCHANGE</stp>
        <stp>4</stp>
        <stp>000906</stp>
        <stp>2018-12-31</stp>
        <stp>2019-12-30</stp>
        <stp>1</stp>
        <tr r="G1291" s="1"/>
      </tp>
      <tp>
        <v>69.108280250000007</v>
        <stp/>
        <stp>EM_S_PQ_PCTCHANGE</stp>
        <stp>4</stp>
        <stp>600966</stp>
        <stp>2018-12-31</stp>
        <stp>2019-12-30</stp>
        <stp>1</stp>
        <tr r="G326" s="1"/>
      </tp>
      <tp>
        <v>19.097222219999999</v>
        <stp/>
        <stp>EM_S_PQ_PCTCHANGE</stp>
        <stp>4</stp>
        <stp>603966</stp>
        <stp>2018-12-31</stp>
        <stp>2019-12-30</stp>
        <stp>1</stp>
        <tr r="G1319" s="1"/>
      </tp>
      <tp>
        <v>22.643442619999998</v>
        <stp/>
        <stp>EM_S_PQ_PCTCHANGE</stp>
        <stp>4</stp>
        <stp>002906</stp>
        <stp>2018-12-31</stp>
        <stp>2019-12-30</stp>
        <stp>1</stp>
        <tr r="G1168" s="1"/>
      </tp>
      <tp>
        <v>4.25</v>
        <stp/>
        <stp>EM_S_PQ_PCTCHANGE</stp>
        <stp>4</stp>
        <stp>600979</stp>
        <stp>2018-12-31</stp>
        <stp>2019-12-30</stp>
        <stp>1</stp>
        <tr r="G2045" s="1"/>
      </tp>
      <tp>
        <v>19.492656879999998</v>
        <stp/>
        <stp>EM_S_PQ_PCTCHANGE</stp>
        <stp>4</stp>
        <stp>603979</stp>
        <stp>2018-12-31</stp>
        <stp>2019-12-30</stp>
        <stp>1</stp>
        <tr r="G1297" s="1"/>
      </tp>
      <tp>
        <v>-25.488232350000001</v>
        <stp/>
        <stp>EM_S_PQ_PCTCHANGE</stp>
        <stp>4</stp>
        <stp>002919</stp>
        <stp>2018-12-31</stp>
        <stp>2019-12-30</stp>
        <stp>1</stp>
        <tr r="G3159" s="1"/>
      </tp>
      <tp>
        <v>-27.804878049999999</v>
        <stp/>
        <stp>EM_S_PQ_PCTCHANGE</stp>
        <stp>4</stp>
        <stp>600978</stp>
        <stp>2018-12-31</stp>
        <stp>2019-12-30</stp>
        <stp>1</stp>
        <tr r="G3195" s="1"/>
      </tp>
      <tp>
        <v>37.665782489999998</v>
        <stp/>
        <stp>EM_S_PQ_PCTCHANGE</stp>
        <stp>4</stp>
        <stp>603978</stp>
        <stp>2018-12-31</stp>
        <stp>2019-12-30</stp>
        <stp>1</stp>
        <tr r="G780" s="1"/>
      </tp>
      <tp>
        <v>20.060240960000002</v>
        <stp/>
        <stp>EM_S_PQ_PCTCHANGE</stp>
        <stp>4</stp>
        <stp>002918</stp>
        <stp>2018-12-31</stp>
        <stp>2019-12-30</stp>
        <stp>1</stp>
        <tr r="G1272" s="1"/>
      </tp>
      <tp>
        <v>6.3943161599999998</v>
        <stp/>
        <stp>EM_S_PQ_PCTCHANGE</stp>
        <stp>4</stp>
        <stp>600971</stp>
        <stp>2018-12-31</stp>
        <stp>2019-12-30</stp>
        <stp>1</stp>
        <tr r="G1930" s="1"/>
      </tp>
      <tp>
        <v>-9.2526690400000007</v>
        <stp/>
        <stp>EM_S_PQ_PCTCHANGE</stp>
        <stp>4</stp>
        <stp>002911</stp>
        <stp>2018-12-31</stp>
        <stp>2019-12-30</stp>
        <stp>1</stp>
        <tr r="G2725" s="1"/>
      </tp>
      <tp>
        <v>32.201745879999997</v>
        <stp/>
        <stp>EM_S_PQ_PCTCHANGE</stp>
        <stp>4</stp>
        <stp>000910</stp>
        <stp>2018-12-31</stp>
        <stp>2019-12-30</stp>
        <stp>1</stp>
        <tr r="G880" s="1"/>
      </tp>
      <tp>
        <v>26.325411330000001</v>
        <stp/>
        <stp>EM_S_PQ_PCTCHANGE</stp>
        <stp>4</stp>
        <stp>600970</stp>
        <stp>2018-12-31</stp>
        <stp>2019-12-30</stp>
        <stp>1</stp>
        <tr r="G1048" s="1"/>
      </tp>
      <tp>
        <v>-17.85252264</v>
        <stp/>
        <stp>EM_S_PQ_PCTCHANGE</stp>
        <stp>4</stp>
        <stp>603970</stp>
        <stp>2018-12-31</stp>
        <stp>2019-12-30</stp>
        <stp>1</stp>
        <tr r="G3016" s="1"/>
      </tp>
      <tp>
        <v>-4.4763513499999998</v>
        <stp/>
        <stp>EM_S_PQ_PCTCHANGE</stp>
        <stp>4</stp>
        <stp>002910</stp>
        <stp>2018-12-31</stp>
        <stp>2019-12-30</stp>
        <stp>1</stp>
        <tr r="G2541" s="1"/>
      </tp>
      <tp>
        <v>18.99563319</v>
        <stp/>
        <stp>EM_S_PQ_PCTCHANGE</stp>
        <stp>4</stp>
        <stp>000913</stp>
        <stp>2018-12-31</stp>
        <stp>2019-12-30</stp>
        <stp>1</stp>
        <tr r="G1323" s="1"/>
      </tp>
      <tp>
        <v>4.1436464099999997</v>
        <stp/>
        <stp>EM_S_PQ_PCTCHANGE</stp>
        <stp>4</stp>
        <stp>600973</stp>
        <stp>2018-12-31</stp>
        <stp>2019-12-30</stp>
        <stp>1</stp>
        <tr r="G2049" s="1"/>
      </tp>
      <tp>
        <v>49.423847700000003</v>
        <stp/>
        <stp>EM_S_PQ_PCTCHANGE</stp>
        <stp>4</stp>
        <stp>002913</stp>
        <stp>2018-12-31</stp>
        <stp>2019-12-30</stp>
        <stp>1</stp>
        <tr r="G570" s="1"/>
      </tp>
      <tp>
        <v>1.2658227799999999</v>
        <stp/>
        <stp>EM_S_PQ_PCTCHANGE</stp>
        <stp>4</stp>
        <stp>000912</stp>
        <stp>2018-12-31</stp>
        <stp>2019-12-30</stp>
        <stp>1</stp>
        <tr r="G2196" s="1"/>
      </tp>
      <tp>
        <v>54.515173949999998</v>
        <stp/>
        <stp>EM_S_PQ_PCTCHANGE</stp>
        <stp>4</stp>
        <stp>002912</stp>
        <stp>2018-12-31</stp>
        <stp>2019-12-30</stp>
        <stp>1</stp>
        <tr r="G494" s="1"/>
      </tp>
      <tp>
        <v>132.24852071000001</v>
        <stp/>
        <stp>EM_S_PQ_PCTCHANGE</stp>
        <stp>4</stp>
        <stp>600975</stp>
        <stp>2018-12-31</stp>
        <stp>2019-12-30</stp>
        <stp>1</stp>
        <tr r="G106" s="1"/>
      </tp>
      <tp>
        <v>22.799817600000001</v>
        <stp/>
        <stp>EM_S_PQ_PCTCHANGE</stp>
        <stp>4</stp>
        <stp>002915</stp>
        <stp>2018-12-31</stp>
        <stp>2019-12-30</stp>
        <stp>1</stp>
        <tr r="G1164" s="1"/>
      </tp>
      <tp>
        <v>-2.4566474</v>
        <stp/>
        <stp>EM_S_PQ_PCTCHANGE</stp>
        <stp>4</stp>
        <stp>000917</stp>
        <stp>2018-12-31</stp>
        <stp>2019-12-30</stp>
        <stp>1</stp>
        <tr r="G2445" s="1"/>
      </tp>
      <tp>
        <v>6.1452514000000003</v>
        <stp/>
        <stp>EM_S_PQ_PCTCHANGE</stp>
        <stp>4</stp>
        <stp>600977</stp>
        <stp>2018-12-31</stp>
        <stp>2019-12-30</stp>
        <stp>1</stp>
        <tr r="G1944" s="1"/>
      </tp>
      <tp>
        <v>17.655571640000002</v>
        <stp/>
        <stp>EM_S_PQ_PCTCHANGE</stp>
        <stp>4</stp>
        <stp>603977</stp>
        <stp>2018-12-31</stp>
        <stp>2019-12-30</stp>
        <stp>1</stp>
        <tr r="G1382" s="1"/>
      </tp>
      <tp>
        <v>-27.65388046</v>
        <stp/>
        <stp>EM_S_PQ_PCTCHANGE</stp>
        <stp>4</stp>
        <stp>002917</stp>
        <stp>2018-12-31</stp>
        <stp>2019-12-30</stp>
        <stp>1</stp>
        <tr r="G3192" s="1"/>
      </tp>
      <tp>
        <v>21.148459379999998</v>
        <stp/>
        <stp>EM_S_PQ_PCTCHANGE</stp>
        <stp>4</stp>
        <stp>600976</stp>
        <stp>2018-12-31</stp>
        <stp>2019-12-30</stp>
        <stp>1</stp>
        <tr r="G1228" s="1"/>
      </tp>
      <tp>
        <v>7.4233128800000001</v>
        <stp/>
        <stp>EM_S_PQ_PCTCHANGE</stp>
        <stp>4</stp>
        <stp>603976</stp>
        <stp>2018-12-31</stp>
        <stp>2019-12-30</stp>
        <stp>1</stp>
        <tr r="G1880" s="1"/>
      </tp>
      <tp>
        <v>77.585131599999997</v>
        <stp/>
        <stp>EM_S_PQ_PCTCHANGE</stp>
        <stp>4</stp>
        <stp>002916</stp>
        <stp>2018-12-31</stp>
        <stp>2019-12-30</stp>
        <stp>1</stp>
        <tr r="G264" s="1"/>
      </tp>
      <tp>
        <v>43.280182230000001</v>
        <stp/>
        <stp>EM_S_PQ_PCTCHANGE</stp>
        <stp>4</stp>
        <stp>601949</stp>
        <stp>2018-12-31</stp>
        <stp>2019-12-30</stp>
        <stp>1</stp>
        <tr r="G681" s="1"/>
      </tp>
      <tp>
        <v>-16.748315980000001</v>
        <stp/>
        <stp>EM_S_PQ_PCTCHANGE</stp>
        <stp>4</stp>
        <stp>002929</stp>
        <stp>2018-12-31</stp>
        <stp>2019-12-30</stp>
        <stp>1</stp>
        <tr r="G2978" s="1"/>
      </tp>
      <tp>
        <v>9.1954022999999996</v>
        <stp/>
        <stp>EM_S_PQ_PCTCHANGE</stp>
        <stp>4</stp>
        <stp>000928</stp>
        <stp>2018-12-31</stp>
        <stp>2019-12-30</stp>
        <stp>1</stp>
        <tr r="G1780" s="1"/>
      </tp>
      <tp>
        <v>-35.32870123</v>
        <stp/>
        <stp>EM_S_PQ_PCTCHANGE</stp>
        <stp>4</stp>
        <stp>002928</stp>
        <stp>2018-12-31</stp>
        <stp>2019-12-30</stp>
        <stp>1</stp>
        <tr r="G3274" s="1"/>
      </tp>
      <tp>
        <v>67.326732669999998</v>
        <stp/>
        <stp>EM_S_PQ_PCTCHANGE</stp>
        <stp>4</stp>
        <stp>000921</stp>
        <stp>2018-12-31</stp>
        <stp>2019-12-30</stp>
        <stp>1</stp>
        <tr r="G344" s="1"/>
      </tp>
      <tp>
        <v>-29.179566560000001</v>
        <stp/>
        <stp>EM_S_PQ_PCTCHANGE</stp>
        <stp>4</stp>
        <stp>002921</stp>
        <stp>2018-12-31</stp>
        <stp>2019-12-30</stp>
        <stp>1</stp>
        <tr r="G3207" s="1"/>
      </tp>
      <tp>
        <v>28.571428569999998</v>
        <stp/>
        <stp>EM_S_PQ_PCTCHANGE</stp>
        <stp>4</stp>
        <stp>000920</stp>
        <stp>2018-12-31</stp>
        <stp>2019-12-30</stp>
        <stp>1</stp>
        <tr r="G969" s="1"/>
      </tp>
      <tp>
        <v>76.368876080000007</v>
        <stp/>
        <stp>EM_S_PQ_PCTCHANGE</stp>
        <stp>4</stp>
        <stp>002920</stp>
        <stp>2018-12-31</stp>
        <stp>2019-12-30</stp>
        <stp>1</stp>
        <tr r="G269" s="1"/>
      </tp>
      <tp>
        <v>-27.55102041</v>
        <stp/>
        <stp>EM_S_PQ_PCTCHANGE</stp>
        <stp>4</stp>
        <stp>002923</stp>
        <stp>2018-12-31</stp>
        <stp>2019-12-30</stp>
        <stp>1</stp>
        <tr r="G3191" s="1"/>
      </tp>
      <tp>
        <v>14.903129659999999</v>
        <stp/>
        <stp>EM_S_PQ_PCTCHANGE</stp>
        <stp>4</stp>
        <stp>000922</stp>
        <stp>2018-12-31</stp>
        <stp>2019-12-30</stp>
        <stp>1</stp>
        <tr r="G1487" s="1"/>
      </tp>
      <tp>
        <v>-13.55247982</v>
        <stp/>
        <stp>EM_S_PQ_PCTCHANGE</stp>
        <stp>4</stp>
        <stp>002922</stp>
        <stp>2018-12-31</stp>
        <stp>2019-12-30</stp>
        <stp>1</stp>
        <tr r="G2884" s="1"/>
      </tp>
      <tp>
        <v>14.18803419</v>
        <stp/>
        <stp>EM_S_PQ_PCTCHANGE</stp>
        <stp>4</stp>
        <stp>000925</stp>
        <stp>2018-12-31</stp>
        <stp>2019-12-30</stp>
        <stp>1</stp>
        <tr r="G1523" s="1"/>
      </tp>
      <tp>
        <v>-0.59252506999999999</v>
        <stp/>
        <stp>EM_S_PQ_PCTCHANGE</stp>
        <stp>4</stp>
        <stp>002925</stp>
        <stp>2018-12-31</stp>
        <stp>2019-12-30</stp>
        <stp>1</stp>
        <tr r="G2367" s="1"/>
      </tp>
      <tp>
        <v>-53.620848709999997</v>
        <stp/>
        <stp>EM_S_PQ_PCTCHANGE</stp>
        <stp>4</stp>
        <stp>002927</stp>
        <stp>2018-12-31</stp>
        <stp>2019-12-30</stp>
        <stp>1</stp>
        <tr r="G3378" s="1"/>
      </tp>
      <tp>
        <v>31.780167259999999</v>
        <stp/>
        <stp>EM_S_PQ_PCTCHANGE</stp>
        <stp>4</stp>
        <stp>002926</stp>
        <stp>2018-12-31</stp>
        <stp>2019-12-30</stp>
        <stp>1</stp>
        <tr r="G890" s="1"/>
      </tp>
      <tp>
        <v>-3.8834951499999999</v>
        <stp/>
        <stp>EM_S_PQ_PCTCHANGE</stp>
        <stp>4</stp>
        <stp>600959</stp>
        <stp>2018-12-31</stp>
        <stp>2019-12-30</stp>
        <stp>1</stp>
        <tr r="G2509" s="1"/>
      </tp>
      <tp>
        <v>-35.341909280000003</v>
        <stp/>
        <stp>EM_S_PQ_PCTCHANGE</stp>
        <stp>4</stp>
        <stp>603959</stp>
        <stp>2018-12-31</stp>
        <stp>2019-12-30</stp>
        <stp>1</stp>
        <tr r="G3275" s="1"/>
      </tp>
      <tp>
        <v>36.486486489999997</v>
        <stp/>
        <stp>EM_S_PQ_PCTCHANGE</stp>
        <stp>4</stp>
        <stp>601958</stp>
        <stp>2018-12-31</stp>
        <stp>2019-12-30</stp>
        <stp>1</stp>
        <tr r="G799" s="1"/>
      </tp>
      <tp>
        <v>-6.3979530000000007E-2</v>
        <stp/>
        <stp>EM_S_PQ_PCTCHANGE</stp>
        <stp>4</stp>
        <stp>000938</stp>
        <stp>2018-12-31</stp>
        <stp>2019-12-30</stp>
        <stp>1</stp>
        <tr r="G2342" s="1"/>
      </tp>
      <tp>
        <v>35.50815558</v>
        <stp/>
        <stp>EM_S_PQ_PCTCHANGE</stp>
        <stp>4</stp>
        <stp>600958</stp>
        <stp>2018-12-31</stp>
        <stp>2019-12-30</stp>
        <stp>1</stp>
        <tr r="G811" s="1"/>
      </tp>
      <tp>
        <v>-7.82828283</v>
        <stp/>
        <stp>EM_S_PQ_PCTCHANGE</stp>
        <stp>4</stp>
        <stp>603958</stp>
        <stp>2018-12-31</stp>
        <stp>2019-12-30</stp>
        <stp>1</stp>
        <tr r="G2677" s="1"/>
      </tp>
      <tp>
        <v>40.751445089999997</v>
        <stp/>
        <stp>EM_S_PQ_PCTCHANGE</stp>
        <stp>4</stp>
        <stp>000931</stp>
        <stp>2018-12-31</stp>
        <stp>2019-12-30</stp>
        <stp>1</stp>
        <tr r="G720" s="1"/>
      </tp>
      <tp>
        <v>-6.6727884900000003</v>
        <stp/>
        <stp>EM_S_PQ_PCTCHANGE</stp>
        <stp>4</stp>
        <stp>002931</stp>
        <stp>2018-12-31</stp>
        <stp>2019-12-30</stp>
        <stp>1</stp>
        <tr r="G2638" s="1"/>
      </tp>
      <tp>
        <v>-10.916442050000001</v>
        <stp/>
        <stp>EM_S_PQ_PCTCHANGE</stp>
        <stp>4</stp>
        <stp>000930</stp>
        <stp>2018-12-31</stp>
        <stp>2019-12-30</stp>
        <stp>1</stp>
        <tr r="G2797" s="1"/>
      </tp>
      <tp>
        <v>-42.08897485</v>
        <stp/>
        <stp>EM_S_PQ_PCTCHANGE</stp>
        <stp>4</stp>
        <stp>002930</stp>
        <stp>2018-12-31</stp>
        <stp>2019-12-30</stp>
        <stp>1</stp>
        <tr r="G3331" s="1"/>
      </tp>
      <tp>
        <v>4.9773755700000004</v>
        <stp/>
        <stp>EM_S_PQ_PCTCHANGE</stp>
        <stp>4</stp>
        <stp>601952</stp>
        <stp>2018-12-31</stp>
        <stp>2019-12-30</stp>
        <stp>1</stp>
        <tr r="G2012" s="1"/>
      </tp>
      <tp>
        <v>-21.782178219999999</v>
        <stp/>
        <stp>EM_S_PQ_PCTCHANGE</stp>
        <stp>4</stp>
        <stp>000932</stp>
        <stp>2018-12-31</stp>
        <stp>2019-12-30</stp>
        <stp>1</stp>
        <tr r="G3096" s="1"/>
      </tp>
      <tp>
        <v>13.66906475</v>
        <stp/>
        <stp>EM_S_PQ_PCTCHANGE</stp>
        <stp>4</stp>
        <stp>603955</stp>
        <stp>2018-12-31</stp>
        <stp>2019-12-30</stp>
        <stp>1</stp>
        <tr r="G1547" s="1"/>
      </tp>
      <tp>
        <v>-2.6525198900000002</v>
        <stp/>
        <stp>EM_S_PQ_PCTCHANGE</stp>
        <stp>4</stp>
        <stp>000937</stp>
        <stp>2018-12-31</stp>
        <stp>2019-12-30</stp>
        <stp>1</stp>
        <tr r="G2461" s="1"/>
      </tp>
      <tp>
        <v>29.084967320000001</v>
        <stp/>
        <stp>EM_S_PQ_PCTCHANGE</stp>
        <stp>4</stp>
        <stp>000936</stp>
        <stp>2018-12-31</stp>
        <stp>2019-12-30</stp>
        <stp>1</stp>
        <tr r="G953" s="1"/>
      </tp>
      <tp>
        <v>23.058823530000002</v>
        <stp/>
        <stp>EM_S_PQ_PCTCHANGE</stp>
        <stp>4</stp>
        <stp>601989</stp>
        <stp>2018-12-31</stp>
        <stp>2019-12-30</stp>
        <stp>1</stp>
        <tr r="G1155" s="1"/>
      </tp>
      <tp>
        <v>10.22840119</v>
        <stp/>
        <stp>EM_S_PQ_PCTCHANGE</stp>
        <stp>4</stp>
        <stp>603989</stp>
        <stp>2018-12-31</stp>
        <stp>2019-12-30</stp>
        <stp>1</stp>
        <tr r="G1726" s="1"/>
      </tp>
      <tp>
        <v>2.7700830999999999</v>
        <stp/>
        <stp>EM_S_PQ_PCTCHANGE</stp>
        <stp>4</stp>
        <stp>601988</stp>
        <stp>2018-12-31</stp>
        <stp>2019-12-30</stp>
        <stp>1</stp>
        <tr r="G2120" s="1"/>
      </tp>
      <tp>
        <v>20.551378450000001</v>
        <stp/>
        <stp>EM_S_PQ_PCTCHANGE</stp>
        <stp>4</stp>
        <stp>600988</stp>
        <stp>2018-12-31</stp>
        <stp>2019-12-30</stp>
        <stp>1</stp>
        <tr r="G1255" s="1"/>
      </tp>
      <tp>
        <v>-4.5954046000000002</v>
        <stp/>
        <stp>EM_S_PQ_PCTCHANGE</stp>
        <stp>4</stp>
        <stp>603988</stp>
        <stp>2018-12-31</stp>
        <stp>2019-12-30</stp>
        <stp>1</stp>
        <tr r="G2544" s="1"/>
      </tp>
      <tp>
        <v>-0.53475936000000002</v>
        <stp/>
        <stp>EM_S_PQ_PCTCHANGE</stp>
        <stp>4</stp>
        <stp>600981</stp>
        <stp>2018-12-31</stp>
        <stp>2019-12-30</stp>
        <stp>1</stp>
        <tr r="G2364" s="1"/>
      </tp>
      <tp>
        <v>44.126659859999997</v>
        <stp/>
        <stp>EM_S_PQ_PCTCHANGE</stp>
        <stp>4</stp>
        <stp>600980</stp>
        <stp>2018-12-31</stp>
        <stp>2019-12-30</stp>
        <stp>1</stp>
        <tr r="G669" s="1"/>
      </tp>
      <tp>
        <v>-32.115547999999997</v>
        <stp/>
        <stp>EM_S_PQ_PCTCHANGE</stp>
        <stp>4</stp>
        <stp>603980</stp>
        <stp>2018-12-31</stp>
        <stp>2019-12-30</stp>
        <stp>1</stp>
        <tr r="G3238" s="1"/>
      </tp>
      <tp>
        <v>-6.8441064599999999</v>
        <stp/>
        <stp>EM_S_PQ_PCTCHANGE</stp>
        <stp>4</stp>
        <stp>600983</stp>
        <stp>2018-12-31</stp>
        <stp>2019-12-30</stp>
        <stp>1</stp>
        <tr r="G2645" s="1"/>
      </tp>
      <tp>
        <v>-9.3093093099999997</v>
        <stp/>
        <stp>EM_S_PQ_PCTCHANGE</stp>
        <stp>4</stp>
        <stp>600982</stp>
        <stp>2018-12-31</stp>
        <stp>2019-12-30</stp>
        <stp>1</stp>
        <tr r="G2729" s="1"/>
      </tp>
      <tp>
        <v>-4.9335863399999997</v>
        <stp/>
        <stp>EM_S_PQ_PCTCHANGE</stp>
        <stp>4</stp>
        <stp>601985</stp>
        <stp>2018-12-31</stp>
        <stp>2019-12-30</stp>
        <stp>1</stp>
        <tr r="G2565" s="1"/>
      </tp>
      <tp>
        <v>8.2795698899999994</v>
        <stp/>
        <stp>EM_S_PQ_PCTCHANGE</stp>
        <stp>4</stp>
        <stp>600985</stp>
        <stp>2018-12-31</stp>
        <stp>2019-12-30</stp>
        <stp>1</stp>
        <tr r="G1841" s="1"/>
      </tp>
      <tp>
        <v>-25.555555559999998</v>
        <stp/>
        <stp>EM_S_PQ_PCTCHANGE</stp>
        <stp>4</stp>
        <stp>603985</stp>
        <stp>2018-12-31</stp>
        <stp>2019-12-30</stp>
        <stp>1</stp>
        <tr r="G3160" s="1"/>
      </tp>
      <tp>
        <v>-22.249388750000001</v>
        <stp/>
        <stp>EM_S_PQ_PCTCHANGE</stp>
        <stp>4</stp>
        <stp>600987</stp>
        <stp>2018-12-31</stp>
        <stp>2019-12-30</stp>
        <stp>1</stp>
        <tr r="G3102" s="1"/>
      </tp>
      <tp>
        <v>24.45482866</v>
        <stp/>
        <stp>EM_S_PQ_PCTCHANGE</stp>
        <stp>4</stp>
        <stp>603987</stp>
        <stp>2018-12-31</stp>
        <stp>2019-12-30</stp>
        <stp>1</stp>
        <tr r="G1117" s="1"/>
      </tp>
      <tp>
        <v>20.763723150000001</v>
        <stp/>
        <stp>EM_S_PQ_PCTCHANGE</stp>
        <stp>4</stp>
        <stp>600986</stp>
        <stp>2018-12-31</stp>
        <stp>2019-12-30</stp>
        <stp>1</stp>
        <tr r="G1246" s="1"/>
      </tp>
      <tp>
        <v>19.329388560000002</v>
        <stp/>
        <stp>EM_S_PQ_PCTCHANGE</stp>
        <stp>4</stp>
        <stp>601999</stp>
        <stp>2018-12-31</stp>
        <stp>2019-12-30</stp>
        <stp>1</stp>
        <tr r="G1305" s="1"/>
      </tp>
      <tp>
        <v>38.432835820000001</v>
        <stp/>
        <stp>EM_S_PQ_PCTCHANGE</stp>
        <stp>4</stp>
        <stp>600999</stp>
        <stp>2018-12-31</stp>
        <stp>2019-12-30</stp>
        <stp>1</stp>
        <tr r="G764" s="1"/>
      </tp>
      <tp>
        <v>55.991735540000001</v>
        <stp/>
        <stp>EM_S_PQ_PCTCHANGE</stp>
        <stp>4</stp>
        <stp>603999</stp>
        <stp>2018-12-31</stp>
        <stp>2019-12-30</stp>
        <stp>1</stp>
        <tr r="G473" s="1"/>
      </tp>
      <tp>
        <v>13.211009170000001</v>
        <stp/>
        <stp>EM_S_PQ_PCTCHANGE</stp>
        <stp>4</stp>
        <stp>601998</stp>
        <stp>2018-12-31</stp>
        <stp>2019-12-30</stp>
        <stp>1</stp>
        <tr r="G1567" s="1"/>
      </tp>
      <tp>
        <v>-7.7397260299999999</v>
        <stp/>
        <stp>EM_S_PQ_PCTCHANGE</stp>
        <stp>4</stp>
        <stp>600998</stp>
        <stp>2018-12-31</stp>
        <stp>2019-12-30</stp>
        <stp>1</stp>
        <tr r="G2675" s="1"/>
      </tp>
      <tp>
        <v>73.661670240000007</v>
        <stp/>
        <stp>EM_S_PQ_PCTCHANGE</stp>
        <stp>4</stp>
        <stp>603998</stp>
        <stp>2018-12-31</stp>
        <stp>2019-12-30</stp>
        <stp>1</stp>
        <tr r="G287" s="1"/>
      </tp>
      <tp>
        <v>-22.539682540000001</v>
        <stp/>
        <stp>EM_S_PQ_PCTCHANGE</stp>
        <stp>4</stp>
        <stp>601991</stp>
        <stp>2018-12-31</stp>
        <stp>2019-12-30</stp>
        <stp>1</stp>
        <tr r="G3110" s="1"/>
      </tp>
      <tp>
        <v>0</v>
        <stp/>
        <stp>EM_S_PQ_PCTCHANGE</stp>
        <stp>4</stp>
        <stp>600991</stp>
        <stp>2018-12-31</stp>
        <stp>2019-12-30</stp>
        <stp>1</stp>
        <tr r="G2334" s="1"/>
      </tp>
      <tp>
        <v>-5.6655665600000003</v>
        <stp/>
        <stp>EM_S_PQ_PCTCHANGE</stp>
        <stp>4</stp>
        <stp>603991</stp>
        <stp>2018-12-31</stp>
        <stp>2019-12-30</stp>
        <stp>1</stp>
        <tr r="G2590" s="1"/>
      </tp>
      <tp>
        <v>45.632183910000002</v>
        <stp/>
        <stp>EM_S_PQ_PCTCHANGE</stp>
        <stp>4</stp>
        <stp>601990</stp>
        <stp>2018-12-31</stp>
        <stp>2019-12-30</stp>
        <stp>1</stp>
        <tr r="G632" s="1"/>
      </tp>
      <tp>
        <v>29.80460776</v>
        <stp/>
        <stp>EM_S_PQ_PCTCHANGE</stp>
        <stp>4</stp>
        <stp>600990</stp>
        <stp>2018-12-31</stp>
        <stp>2019-12-30</stp>
        <stp>1</stp>
        <tr r="G934" s="1"/>
      </tp>
      <tp>
        <v>4.9908703599999997</v>
        <stp/>
        <stp>EM_S_PQ_PCTCHANGE</stp>
        <stp>4</stp>
        <stp>603990</stp>
        <stp>2018-12-31</stp>
        <stp>2019-12-30</stp>
        <stp>1</stp>
        <tr r="G2011" s="1"/>
      </tp>
      <tp>
        <v>28.390461999999999</v>
        <stp/>
        <stp>EM_S_PQ_PCTCHANGE</stp>
        <stp>4</stp>
        <stp>600993</stp>
        <stp>2018-12-31</stp>
        <stp>2019-12-30</stp>
        <stp>1</stp>
        <tr r="G973" s="1"/>
      </tp>
      <tp>
        <v>16.4893617</v>
        <stp/>
        <stp>EM_S_PQ_PCTCHANGE</stp>
        <stp>4</stp>
        <stp>603993</stp>
        <stp>2018-12-31</stp>
        <stp>2019-12-30</stp>
        <stp>1</stp>
        <tr r="G1415" s="1"/>
      </tp>
      <tp>
        <v>3.1428571399999998</v>
        <stp/>
        <stp>EM_S_PQ_PCTCHANGE</stp>
        <stp>4</stp>
        <stp>601992</stp>
        <stp>2018-12-31</stp>
        <stp>2019-12-30</stp>
        <stp>1</stp>
        <tr r="G2099" s="1"/>
      </tp>
      <tp>
        <v>-1.15606936</v>
        <stp/>
        <stp>EM_S_PQ_PCTCHANGE</stp>
        <stp>4</stp>
        <stp>600992</stp>
        <stp>2018-12-31</stp>
        <stp>2019-12-30</stp>
        <stp>1</stp>
        <tr r="G2383" s="1"/>
      </tp>
      <tp>
        <v>17.85173979</v>
        <stp/>
        <stp>EM_S_PQ_PCTCHANGE</stp>
        <stp>4</stp>
        <stp>600995</stp>
        <stp>2018-12-31</stp>
        <stp>2019-12-30</stp>
        <stp>1</stp>
        <tr r="G1373" s="1"/>
      </tp>
      <tp>
        <v>-10.76779026</v>
        <stp/>
        <stp>EM_S_PQ_PCTCHANGE</stp>
        <stp>4</stp>
        <stp>601997</stp>
        <stp>2018-12-31</stp>
        <stp>2019-12-30</stp>
        <stp>1</stp>
        <tr r="G2788" s="1"/>
      </tp>
      <tp>
        <v>-4.5855379200000002</v>
        <stp/>
        <stp>EM_S_PQ_PCTCHANGE</stp>
        <stp>4</stp>
        <stp>600997</stp>
        <stp>2018-12-31</stp>
        <stp>2019-12-30</stp>
        <stp>1</stp>
        <tr r="G2542" s="1"/>
      </tp>
      <tp>
        <v>6.6666666699999997</v>
        <stp/>
        <stp>EM_S_PQ_PCTCHANGE</stp>
        <stp>4</stp>
        <stp>603997</stp>
        <stp>2018-12-31</stp>
        <stp>2019-12-30</stp>
        <stp>1</stp>
        <tr r="G1914" s="1"/>
      </tp>
      <tp>
        <v>0</v>
        <stp/>
        <stp>EM_S_PQ_PCTCHANGE</stp>
        <stp>4</stp>
        <stp>601996</stp>
        <stp>2018-12-31</stp>
        <stp>2019-12-30</stp>
        <stp>1</stp>
        <tr r="G2340" s="1"/>
      </tp>
      <tp>
        <v>26.41509434</v>
        <stp/>
        <stp>EM_S_PQ_PCTCHANGE</stp>
        <stp>4</stp>
        <stp>600996</stp>
        <stp>2018-12-31</stp>
        <stp>2019-12-30</stp>
        <stp>1</stp>
        <tr r="G1043" s="1"/>
      </tp>
      <tp>
        <v>-32.228116710000002</v>
        <stp/>
        <stp>EM_S_PQ_PCTCHANGE</stp>
        <stp>4</stp>
        <stp>603996</stp>
        <stp>2018-12-31</stp>
        <stp>2019-12-30</stp>
        <stp>1</stp>
        <tr r="G3243" s="1"/>
      </tp>
      <tp>
        <v>69.095477389999999</v>
        <stp/>
        <stp>EM_S_PQ_PCTCHANGE</stp>
        <stp>4</stp>
        <stp>000988</stp>
        <stp>2018-12-31</stp>
        <stp>2019-12-30</stp>
        <stp>1</stp>
        <tr r="G328" s="1"/>
      </tp>
      <tp>
        <v>11.475409839999999</v>
        <stp/>
        <stp>EM_S_PQ_PCTCHANGE</stp>
        <stp>4</stp>
        <stp>000983</stp>
        <stp>2018-12-31</stp>
        <stp>2019-12-30</stp>
        <stp>1</stp>
        <tr r="G1655" s="1"/>
      </tp>
      <tp>
        <v>22.807723249999999</v>
        <stp/>
        <stp>EM_S_PQ_PCTCHANGE</stp>
        <stp>4</stp>
        <stp>000999</stp>
        <stp>2018-12-31</stp>
        <stp>2019-12-30</stp>
        <stp>1</stp>
        <tr r="G1163" s="1"/>
      </tp>
      <tp>
        <v>-9.6621621599999994</v>
        <stp/>
        <stp>EM_S_PQ_PCTCHANGE</stp>
        <stp>4</stp>
        <stp>000998</stp>
        <stp>2018-12-31</stp>
        <stp>2019-12-30</stp>
        <stp>1</stp>
        <tr r="G2742" s="1"/>
      </tp>
      <tp>
        <v>23.14737719</v>
        <stp/>
        <stp>EM_S_PQ_PCTCHANGE</stp>
        <stp>4</stp>
        <stp>000990</stp>
        <stp>2018-12-31</stp>
        <stp>2019-12-30</stp>
        <stp>1</stp>
        <tr r="G1153" s="1"/>
      </tp>
      <tp>
        <v>8.6065573799999999</v>
        <stp/>
        <stp>EM_S_PQ_PCTCHANGE</stp>
        <stp>4</stp>
        <stp>000997</stp>
        <stp>2018-12-31</stp>
        <stp>2019-12-30</stp>
        <stp>1</stp>
        <tr r="G1814" s="1"/>
      </tp>
      <tp>
        <v>24.521531100000001</v>
        <stp/>
        <stp>EM_S_PQ_PCTCHANGE</stp>
        <stp>4</stp>
        <stp>000996</stp>
        <stp>2018-12-31</stp>
        <stp>2019-12-30</stp>
        <stp>1</stp>
        <tr r="G1113" s="1"/>
      </tp>
      <tp>
        <v>-74.874051336631894</v>
        <stp/>
        <stp>EM_S_VAL_PCF_NCFTTM</stp>
        <stp>2</stp>
        <stp>000985</stp>
        <stp>12/31/2018</stp>
        <tr r="P3596" s="1"/>
      </tp>
      <tp>
        <v>67.022771285257804</v>
        <stp/>
        <stp>EM_S_VAL_PCF_NCFTTM</stp>
        <stp>2</stp>
        <stp>000987</stp>
        <stp>12/31/2018</stp>
        <tr r="P3597" s="1"/>
      </tp>
      <tp>
        <v>-6.0664537668068803</v>
        <stp/>
        <stp>EM_S_VAL_PCF_NCFTTM</stp>
        <stp>2</stp>
        <stp>000980</stp>
        <stp>12/31/2018</stp>
        <tr r="P3593" s="1"/>
      </tp>
      <tp>
        <v>-7.5748747262263896</v>
        <stp/>
        <stp>EM_S_VAL_PCF_NCFTTM</stp>
        <stp>2</stp>
        <stp>000981</stp>
        <stp>12/31/2018</stp>
        <tr r="P3594" s="1"/>
      </tp>
      <tp>
        <v>-96.293160203730693</v>
        <stp/>
        <stp>EM_S_VAL_PCF_NCFTTM</stp>
        <stp>2</stp>
        <stp>000982</stp>
        <stp>12/31/2018</stp>
        <tr r="P3595" s="1"/>
      </tp>
      <tp>
        <v>4.0928128270322599</v>
        <stp/>
        <stp>EM_S_VAL_PCF_NCFTTM</stp>
        <stp>2</stp>
        <stp>000983</stp>
        <stp>12/31/2018</stp>
        <tr r="P1655" s="1"/>
      </tp>
      <tp>
        <v>17.2305252482433</v>
        <stp/>
        <stp>EM_S_VAL_PCF_NCFTTM</stp>
        <stp>2</stp>
        <stp>000988</stp>
        <stp>12/31/2018</stp>
        <tr r="P328" s="1"/>
      </tp>
      <tp>
        <v>30.348955038872401</v>
        <stp/>
        <stp>EM_S_VAL_PCF_NCFTTM</stp>
        <stp>2</stp>
        <stp>000989</stp>
        <stp>12/31/2018</stp>
        <tr r="P3598" s="1"/>
      </tp>
      <tp>
        <v>-509.301626484971</v>
        <stp/>
        <stp>EM_S_VAL_PCF_NCFTTM</stp>
        <stp>2</stp>
        <stp>000995</stp>
        <stp>12/31/2018</stp>
        <tr r="P3601" s="1"/>
      </tp>
      <tp>
        <v>-51.642395825389997</v>
        <stp/>
        <stp>EM_S_VAL_PCF_NCFTTM</stp>
        <stp>2</stp>
        <stp>000996</stp>
        <stp>12/31/2018</stp>
        <tr r="P1113" s="1"/>
      </tp>
      <tp>
        <v>211.061879179957</v>
        <stp/>
        <stp>EM_S_VAL_PCF_NCFTTM</stp>
        <stp>2</stp>
        <stp>000997</stp>
        <stp>12/31/2018</stp>
        <tr r="P1814" s="1"/>
      </tp>
      <tp>
        <v>11.0664449396091</v>
        <stp/>
        <stp>EM_S_VAL_PCF_NCFTTM</stp>
        <stp>2</stp>
        <stp>000990</stp>
        <stp>12/31/2018</stp>
        <tr r="P1153" s="1"/>
      </tp>
      <tp>
        <v>0</v>
        <stp/>
        <stp>EM_S_VAL_PCF_NCFTTM</stp>
        <stp>2</stp>
        <stp>000991</stp>
        <stp>12/31/2018</stp>
        <tr r="P3599" s="1"/>
      </tp>
      <tp>
        <v>11.9714358881784</v>
        <stp/>
        <stp>EM_S_VAL_PCF_NCFTTM</stp>
        <stp>2</stp>
        <stp>000993</stp>
        <stp>12/31/2018</stp>
        <tr r="P3600" s="1"/>
      </tp>
      <tp>
        <v>103.442345408124</v>
        <stp/>
        <stp>EM_S_VAL_PCF_NCFTTM</stp>
        <stp>2</stp>
        <stp>000998</stp>
        <stp>12/31/2018</stp>
        <tr r="P2742" s="1"/>
      </tp>
      <tp>
        <v>-232.13358709176501</v>
        <stp/>
        <stp>EM_S_VAL_PCF_NCFTTM</stp>
        <stp>2</stp>
        <stp>000999</stp>
        <stp>12/31/2018</stp>
        <tr r="P1163" s="1"/>
      </tp>
      <tp>
        <v>40.864542497932803</v>
        <stp/>
        <stp>EM_S_VAL_PCF_NCFTTM</stp>
        <stp>2</stp>
        <stp>600984</stp>
        <stp>12/31/2018</stp>
        <tr r="P159" s="1"/>
      </tp>
      <tp>
        <v>89.372035453695403</v>
        <stp/>
        <stp>EM_S_VAL_PCF_NCFTTM</stp>
        <stp>2</stp>
        <stp>600985</stp>
        <stp>12/31/2018</stp>
        <tr r="P1841" s="1"/>
      </tp>
      <tp>
        <v>21.5813023287124</v>
        <stp/>
        <stp>EM_S_VAL_PCF_NCFTTM</stp>
        <stp>2</stp>
        <stp>600986</stp>
        <stp>12/31/2018</stp>
        <tr r="P1246" s="1"/>
      </tp>
      <tp>
        <v>25.004256401986002</v>
        <stp/>
        <stp>EM_S_VAL_PCF_NCFTTM</stp>
        <stp>2</stp>
        <stp>600987</stp>
        <stp>12/31/2018</stp>
        <tr r="P3102" s="1"/>
      </tp>
      <tp>
        <v>-39.7569891419638</v>
        <stp/>
        <stp>EM_S_VAL_PCF_NCFTTM</stp>
        <stp>2</stp>
        <stp>600980</stp>
        <stp>12/31/2018</stp>
        <tr r="P669" s="1"/>
      </tp>
      <tp>
        <v>10.4692045778646</v>
        <stp/>
        <stp>EM_S_VAL_PCF_NCFTTM</stp>
        <stp>2</stp>
        <stp>600981</stp>
        <stp>12/31/2018</stp>
        <tr r="P2364" s="1"/>
      </tp>
      <tp>
        <v>10.285700807292701</v>
        <stp/>
        <stp>EM_S_VAL_PCF_NCFTTM</stp>
        <stp>2</stp>
        <stp>600982</stp>
        <stp>12/31/2018</stp>
        <tr r="P2729" s="1"/>
      </tp>
      <tp>
        <v>770.42919634793202</v>
        <stp/>
        <stp>EM_S_VAL_PCF_NCFTTM</stp>
        <stp>2</stp>
        <stp>600983</stp>
        <stp>12/31/2018</stp>
        <tr r="P2645" s="1"/>
      </tp>
      <tp>
        <v>-17.5171815122374</v>
        <stp/>
        <stp>EM_S_VAL_PCF_NCFTTM</stp>
        <stp>2</stp>
        <stp>600988</stp>
        <stp>12/31/2018</stp>
        <tr r="P1255" s="1"/>
      </tp>
      <tp>
        <v>18.1857120880344</v>
        <stp/>
        <stp>EM_S_VAL_PCF_NCFTTM</stp>
        <stp>2</stp>
        <stp>600995</stp>
        <stp>12/31/2018</stp>
        <tr r="P1373" s="1"/>
      </tp>
      <tp>
        <v>10.2975596899138</v>
        <stp/>
        <stp>EM_S_VAL_PCF_NCFTTM</stp>
        <stp>2</stp>
        <stp>600996</stp>
        <stp>12/31/2018</stp>
        <tr r="P1043" s="1"/>
      </tp>
      <tp>
        <v>17.180358505996001</v>
        <stp/>
        <stp>EM_S_VAL_PCF_NCFTTM</stp>
        <stp>2</stp>
        <stp>600997</stp>
        <stp>12/31/2018</stp>
        <tr r="P2542" s="1"/>
      </tp>
      <tp>
        <v>-39.865552510442498</v>
        <stp/>
        <stp>EM_S_VAL_PCF_NCFTTM</stp>
        <stp>2</stp>
        <stp>600990</stp>
        <stp>12/31/2018</stp>
        <tr r="P934" s="1"/>
      </tp>
      <tp>
        <v>180.59585936753999</v>
        <stp/>
        <stp>EM_S_VAL_PCF_NCFTTM</stp>
        <stp>2</stp>
        <stp>600991</stp>
        <stp>12/31/2018</stp>
        <tr r="P2334" s="1"/>
      </tp>
      <tp>
        <v>18.1085050598329</v>
        <stp/>
        <stp>EM_S_VAL_PCF_NCFTTM</stp>
        <stp>2</stp>
        <stp>600992</stp>
        <stp>12/31/2018</stp>
        <tr r="P2383" s="1"/>
      </tp>
      <tp>
        <v>18.391105692723201</v>
        <stp/>
        <stp>EM_S_VAL_PCF_NCFTTM</stp>
        <stp>2</stp>
        <stp>600993</stp>
        <stp>12/31/2018</stp>
        <tr r="P973" s="1"/>
      </tp>
      <tp>
        <v>26.993508884248701</v>
        <stp/>
        <stp>EM_S_VAL_PCF_NCFTTM</stp>
        <stp>2</stp>
        <stp>600998</stp>
        <stp>12/31/2018</stp>
        <tr r="P2675" s="1"/>
      </tp>
      <tp>
        <v>-40.801171422905398</v>
        <stp/>
        <stp>EM_S_VAL_PCF_NCFTTM</stp>
        <stp>2</stp>
        <stp>600999</stp>
        <stp>12/31/2018</stp>
        <tr r="P764" s="1"/>
      </tp>
      <tp>
        <v>18.153059596024502</v>
        <stp/>
        <stp>EM_S_VAL_PCF_NCFTTM</stp>
        <stp>2</stp>
        <stp>000905</stp>
        <stp>12/31/2018</stp>
        <tr r="P3570" s="1"/>
      </tp>
      <tp>
        <v>1098.30144867788</v>
        <stp/>
        <stp>EM_S_VAL_PCF_NCFTTM</stp>
        <stp>2</stp>
        <stp>600965</stp>
        <stp>12/31/2018</stp>
        <tr r="P3222" s="1"/>
      </tp>
      <tp>
        <v>5.7799634913683899</v>
        <stp/>
        <stp>EM_S_VAL_PCF_NCFTTM</stp>
        <stp>2</stp>
        <stp>000906</stp>
        <stp>12/31/2018</stp>
        <tr r="P1291" s="1"/>
      </tp>
      <tp>
        <v>-103.069588530941</v>
        <stp/>
        <stp>EM_S_VAL_PCF_NCFTTM</stp>
        <stp>2</stp>
        <stp>600966</stp>
        <stp>12/31/2018</stp>
        <tr r="P326" s="1"/>
      </tp>
      <tp>
        <v>5.8685043404875001</v>
        <stp/>
        <stp>EM_S_VAL_PCF_NCFTTM</stp>
        <stp>2</stp>
        <stp>600967</stp>
        <stp>12/31/2018</stp>
        <tr r="P2184" s="1"/>
      </tp>
      <tp>
        <v>21.740968825721101</v>
        <stp/>
        <stp>EM_S_VAL_PCF_NCFTTM</stp>
        <stp>2</stp>
        <stp>000900</stp>
        <stp>12/31/2018</stp>
        <tr r="P1632" s="1"/>
      </tp>
      <tp>
        <v>123.85378340074899</v>
        <stp/>
        <stp>EM_S_VAL_PCF_NCFTTM</stp>
        <stp>2</stp>
        <stp>600960</stp>
        <stp>12/31/2018</stp>
        <tr r="P2720" s="1"/>
      </tp>
      <tp>
        <v>-7761.8727057358201</v>
        <stp/>
        <stp>EM_S_VAL_PCF_NCFTTM</stp>
        <stp>2</stp>
        <stp>000901</stp>
        <stp>12/31/2018</stp>
        <tr r="P3569" s="1"/>
      </tp>
      <tp>
        <v>-25.940060033962901</v>
        <stp/>
        <stp>EM_S_VAL_PCF_NCFTTM</stp>
        <stp>2</stp>
        <stp>600961</stp>
        <stp>12/31/2018</stp>
        <tr r="P1803" s="1"/>
      </tp>
      <tp>
        <v>-75.628414386560905</v>
        <stp/>
        <stp>EM_S_VAL_PCF_NCFTTM</stp>
        <stp>2</stp>
        <stp>000902</stp>
        <stp>12/31/2018</stp>
        <tr r="P2826" s="1"/>
      </tp>
      <tp>
        <v>-40.070402045833198</v>
        <stp/>
        <stp>EM_S_VAL_PCF_NCFTTM</stp>
        <stp>2</stp>
        <stp>600962</stp>
        <stp>12/31/2018</stp>
        <tr r="P1599" s="1"/>
      </tp>
      <tp>
        <v>11.7276747329205</v>
        <stp/>
        <stp>EM_S_VAL_PCF_NCFTTM</stp>
        <stp>2</stp>
        <stp>000903</stp>
        <stp>12/31/2018</stp>
        <tr r="P1940" s="1"/>
      </tp>
      <tp>
        <v>174.64740505890001</v>
        <stp/>
        <stp>EM_S_VAL_PCF_NCFTTM</stp>
        <stp>2</stp>
        <stp>600963</stp>
        <stp>12/31/2018</stp>
        <tr r="P1727" s="1"/>
      </tp>
      <tp>
        <v>-18.391707371075299</v>
        <stp/>
        <stp>EM_S_VAL_PCF_NCFTTM</stp>
        <stp>2</stp>
        <stp>000908</stp>
        <stp>12/31/2018</stp>
        <tr r="P3008" s="1"/>
      </tp>
      <tp>
        <v>-12.376063633602501</v>
        <stp/>
        <stp>EM_S_VAL_PCF_NCFTTM</stp>
        <stp>2</stp>
        <stp>000909</stp>
        <stp>12/31/2018</stp>
        <tr r="P3571" s="1"/>
      </tp>
      <tp>
        <v>-1.26235238483173</v>
        <stp/>
        <stp>EM_S_VAL_PCF_NCFTTM</stp>
        <stp>2</stp>
        <stp>600969</stp>
        <stp>12/31/2018</stp>
        <tr r="P1681" s="1"/>
      </tp>
      <tp>
        <v>43.404432571133398</v>
        <stp/>
        <stp>EM_S_VAL_PCF_NCFTTM</stp>
        <stp>2</stp>
        <stp>000915</stp>
        <stp>12/31/2018</stp>
        <tr r="P3573" s="1"/>
      </tp>
      <tp>
        <v>-1128.17912742211</v>
        <stp/>
        <stp>EM_S_VAL_PCF_NCFTTM</stp>
        <stp>2</stp>
        <stp>600975</stp>
        <stp>12/31/2018</stp>
        <tr r="P106" s="1"/>
      </tp>
      <tp>
        <v>-7136.9496664654198</v>
        <stp/>
        <stp>EM_S_VAL_PCF_NCFTTM</stp>
        <stp>2</stp>
        <stp>000916</stp>
        <stp>12/31/2018</stp>
        <tr r="P3574" s="1"/>
      </tp>
      <tp>
        <v>109.544401091316</v>
        <stp/>
        <stp>EM_S_VAL_PCF_NCFTTM</stp>
        <stp>2</stp>
        <stp>600976</stp>
        <stp>12/31/2018</stp>
        <tr r="P1228" s="1"/>
      </tp>
      <tp>
        <v>13.855201208826101</v>
        <stp/>
        <stp>EM_S_VAL_PCF_NCFTTM</stp>
        <stp>2</stp>
        <stp>000917</stp>
        <stp>12/31/2018</stp>
        <tr r="P2445" s="1"/>
      </tp>
      <tp>
        <v>-81.871973575363597</v>
        <stp/>
        <stp>EM_S_VAL_PCF_NCFTTM</stp>
        <stp>2</stp>
        <stp>600977</stp>
        <stp>12/31/2018</stp>
        <tr r="P1944" s="1"/>
      </tp>
      <tp>
        <v>83.436518111226704</v>
        <stp/>
        <stp>EM_S_VAL_PCF_NCFTTM</stp>
        <stp>2</stp>
        <stp>000910</stp>
        <stp>12/31/2018</stp>
        <tr r="P880" s="1"/>
      </tp>
      <tp>
        <v>-2.4896941303776199</v>
        <stp/>
        <stp>EM_S_VAL_PCF_NCFTTM</stp>
        <stp>2</stp>
        <stp>600970</stp>
        <stp>12/31/2018</stp>
        <tr r="P1048" s="1"/>
      </tp>
      <tp>
        <v>-13.5494908382733</v>
        <stp/>
        <stp>EM_S_VAL_PCF_NCFTTM</stp>
        <stp>2</stp>
        <stp>000911</stp>
        <stp>12/31/2018</stp>
        <tr r="P3572" s="1"/>
      </tp>
      <tp>
        <v>3.4264509507862</v>
        <stp/>
        <stp>EM_S_VAL_PCF_NCFTTM</stp>
        <stp>2</stp>
        <stp>600971</stp>
        <stp>12/31/2018</stp>
        <tr r="P1930" s="1"/>
      </tp>
      <tp>
        <v>-174.07010355836201</v>
        <stp/>
        <stp>EM_S_VAL_PCF_NCFTTM</stp>
        <stp>2</stp>
        <stp>000912</stp>
        <stp>12/31/2018</stp>
        <tr r="P2196" s="1"/>
      </tp>
      <tp>
        <v>-30.245983047602099</v>
        <stp/>
        <stp>EM_S_VAL_PCF_NCFTTM</stp>
        <stp>2</stp>
        <stp>000913</stp>
        <stp>12/31/2018</stp>
        <tr r="P1323" s="1"/>
      </tp>
      <tp>
        <v>2.0321170954401802</v>
        <stp/>
        <stp>EM_S_VAL_PCF_NCFTTM</stp>
        <stp>2</stp>
        <stp>600973</stp>
        <stp>12/31/2018</stp>
        <tr r="P2049" s="1"/>
      </tp>
      <tp>
        <v>-10.249052871861799</v>
        <stp/>
        <stp>EM_S_VAL_PCF_NCFTTM</stp>
        <stp>2</stp>
        <stp>000918</stp>
        <stp>12/31/2018</stp>
        <tr r="P3575" s="1"/>
      </tp>
      <tp>
        <v>-9.7498976565220303</v>
        <stp/>
        <stp>EM_S_VAL_PCF_NCFTTM</stp>
        <stp>2</stp>
        <stp>600978</stp>
        <stp>12/31/2018</stp>
        <tr r="P3195" s="1"/>
      </tp>
      <tp>
        <v>-23.582825830790402</v>
        <stp/>
        <stp>EM_S_VAL_PCF_NCFTTM</stp>
        <stp>2</stp>
        <stp>000919</stp>
        <stp>12/31/2018</stp>
        <tr r="P3576" s="1"/>
      </tp>
      <tp>
        <v>-52.323180092231198</v>
        <stp/>
        <stp>EM_S_VAL_PCF_NCFTTM</stp>
        <stp>2</stp>
        <stp>600979</stp>
        <stp>12/31/2018</stp>
        <tr r="P2045" s="1"/>
      </tp>
      <tp>
        <v>-23.513038692225901</v>
        <stp/>
        <stp>EM_S_VAL_PCF_NCFTTM</stp>
        <stp>2</stp>
        <stp>000925</stp>
        <stp>12/31/2018</stp>
        <tr r="P1523" s="1"/>
      </tp>
      <tp>
        <v>-2.0250032749509099</v>
        <stp/>
        <stp>EM_S_VAL_PCF_NCFTTM</stp>
        <stp>2</stp>
        <stp>000926</stp>
        <stp>12/31/2018</stp>
        <tr r="P3578" s="1"/>
      </tp>
      <tp>
        <v>-6.7633557269249502</v>
        <stp/>
        <stp>EM_S_VAL_PCF_NCFTTM</stp>
        <stp>2</stp>
        <stp>000927</stp>
        <stp>12/31/2018</stp>
        <tr r="P3579" s="1"/>
      </tp>
      <tp>
        <v>34.768791831983997</v>
        <stp/>
        <stp>EM_S_VAL_PCF_NCFTTM</stp>
        <stp>2</stp>
        <stp>000920</stp>
        <stp>12/31/2018</stp>
        <tr r="P969" s="1"/>
      </tp>
      <tp>
        <v>-32.597151046185999</v>
        <stp/>
        <stp>EM_S_VAL_PCF_NCFTTM</stp>
        <stp>2</stp>
        <stp>000921</stp>
        <stp>12/31/2018</stp>
        <tr r="P344" s="1"/>
      </tp>
      <tp>
        <v>27.0875542541458</v>
        <stp/>
        <stp>EM_S_VAL_PCF_NCFTTM</stp>
        <stp>2</stp>
        <stp>000922</stp>
        <stp>12/31/2018</stp>
        <tr r="P1487" s="1"/>
      </tp>
      <tp>
        <v>-9.47899655449792</v>
        <stp/>
        <stp>EM_S_VAL_PCF_NCFTTM</stp>
        <stp>2</stp>
        <stp>000923</stp>
        <stp>12/31/2018</stp>
        <tr r="P3577" s="1"/>
      </tp>
      <tp>
        <v>9.7284091472482697</v>
        <stp/>
        <stp>EM_S_VAL_PCF_NCFTTM</stp>
        <stp>2</stp>
        <stp>000928</stp>
        <stp>12/31/2018</stp>
        <tr r="P1780" s="1"/>
      </tp>
      <tp>
        <v>71.025226367135701</v>
        <stp/>
        <stp>EM_S_VAL_PCF_NCFTTM</stp>
        <stp>2</stp>
        <stp>000929</stp>
        <stp>12/31/2018</stp>
        <tr r="P3580" s="1"/>
      </tp>
      <tp>
        <v>12.631195542389801</v>
        <stp/>
        <stp>EM_S_VAL_PCF_NCFTTM</stp>
        <stp>2</stp>
        <stp>000935</stp>
        <stp>12/31/2018</stp>
        <tr r="P3582" s="1"/>
      </tp>
      <tp>
        <v>-5.6212941047924403</v>
        <stp/>
        <stp>EM_S_VAL_PCF_NCFTTM</stp>
        <stp>2</stp>
        <stp>000936</stp>
        <stp>12/31/2018</stp>
        <tr r="P953" s="1"/>
      </tp>
      <tp>
        <v>11.451964100108899</v>
        <stp/>
        <stp>EM_S_VAL_PCF_NCFTTM</stp>
        <stp>2</stp>
        <stp>000937</stp>
        <stp>12/31/2018</stp>
        <tr r="P2461" s="1"/>
      </tp>
      <tp>
        <v>-87.166872845984898</v>
        <stp/>
        <stp>EM_S_VAL_PCF_NCFTTM</stp>
        <stp>2</stp>
        <stp>000930</stp>
        <stp>12/31/2018</stp>
        <tr r="P2797" s="1"/>
      </tp>
      <tp>
        <v>-117.164206213683</v>
        <stp/>
        <stp>EM_S_VAL_PCF_NCFTTM</stp>
        <stp>2</stp>
        <stp>000931</stp>
        <stp>12/31/2018</stp>
        <tr r="P720" s="1"/>
      </tp>
      <tp>
        <v>13.561124391664199</v>
        <stp/>
        <stp>EM_S_VAL_PCF_NCFTTM</stp>
        <stp>2</stp>
        <stp>000932</stp>
        <stp>12/31/2018</stp>
        <tr r="P3096" s="1"/>
      </tp>
      <tp>
        <v>-18.867112614924299</v>
        <stp/>
        <stp>EM_S_VAL_PCF_NCFTTM</stp>
        <stp>2</stp>
        <stp>000933</stp>
        <stp>12/31/2018</stp>
        <tr r="P3581" s="1"/>
      </tp>
      <tp>
        <v>-185.16031236315101</v>
        <stp/>
        <stp>EM_S_VAL_PCF_NCFTTM</stp>
        <stp>2</stp>
        <stp>000938</stp>
        <stp>12/31/2018</stp>
        <tr r="P2342" s="1"/>
      </tp>
      <tp>
        <v>23.600325802914998</v>
        <stp/>
        <stp>EM_S_VAL_PCF_NCFTTM</stp>
        <stp>2</stp>
        <stp>600958</stp>
        <stp>12/31/2018</stp>
        <tr r="P811" s="1"/>
      </tp>
      <tp>
        <v>-2.2163368851348602</v>
        <stp/>
        <stp>EM_S_VAL_PCF_NCFTTM</stp>
        <stp>2</stp>
        <stp>000939</stp>
        <stp>12/31/2018</stp>
        <tr r="P3583" s="1"/>
      </tp>
      <tp>
        <v>28.634828357304801</v>
        <stp/>
        <stp>EM_S_VAL_PCF_NCFTTM</stp>
        <stp>2</stp>
        <stp>600959</stp>
        <stp>12/31/2018</stp>
        <tr r="P2509" s="1"/>
      </tp>
      <tp>
        <v>-1.67708934173215</v>
        <stp/>
        <stp>EM_S_VAL_PCF_NCFTTM</stp>
        <stp>2</stp>
        <stp>600926</stp>
        <stp>12/31/2018</stp>
        <tr r="P1142" s="1"/>
      </tp>
      <tp>
        <v>18.383696142892099</v>
        <stp/>
        <stp>EM_S_VAL_PCF_NCFTTM</stp>
        <stp>2</stp>
        <stp>000948</stp>
        <stp>12/31/2018</stp>
        <tr r="P1716" s="1"/>
      </tp>
      <tp>
        <v>1005.9174520515</v>
        <stp/>
        <stp>EM_S_VAL_PCF_NCFTTM</stp>
        <stp>2</stp>
        <stp>000949</stp>
        <stp>12/31/2018</stp>
        <tr r="P670" s="1"/>
      </tp>
      <tp>
        <v>19.253458652228399</v>
        <stp/>
        <stp>EM_S_VAL_PCF_NCFTTM</stp>
        <stp>2</stp>
        <stp>600929</stp>
        <stp>12/31/2018</stp>
        <tr r="P3072" s="1"/>
      </tp>
      <tp>
        <v>-23.473603987206999</v>
        <stp/>
        <stp>EM_S_VAL_PCF_NCFTTM</stp>
        <stp>2</stp>
        <stp>000955</stp>
        <stp>12/31/2018</stp>
        <tr r="P3585" s="1"/>
      </tp>
      <tp>
        <v>-52.034696215222297</v>
        <stp/>
        <stp>EM_S_VAL_PCF_NCFTTM</stp>
        <stp>2</stp>
        <stp>000956</stp>
        <stp>12/31/2018</stp>
        <tr r="P3586" s="1"/>
      </tp>
      <tp>
        <v>13.3371160893398</v>
        <stp/>
        <stp>EM_S_VAL_PCF_NCFTTM</stp>
        <stp>2</stp>
        <stp>600936</stp>
        <stp>12/31/2018</stp>
        <tr r="P2127" s="1"/>
      </tp>
      <tp>
        <v>-34.915431278638003</v>
        <stp/>
        <stp>EM_S_VAL_PCF_NCFTTM</stp>
        <stp>2</stp>
        <stp>000957</stp>
        <stp>12/31/2018</stp>
        <tr r="P3587" s="1"/>
      </tp>
      <tp>
        <v>-81.437841281610901</v>
        <stp/>
        <stp>EM_S_VAL_PCF_NCFTTM</stp>
        <stp>2</stp>
        <stp>000950</stp>
        <stp>12/31/2018</stp>
        <tr r="P1579" s="1"/>
      </tp>
      <tp>
        <v>6.9448401675837603</v>
        <stp/>
        <stp>EM_S_VAL_PCF_NCFTTM</stp>
        <stp>2</stp>
        <stp>000951</stp>
        <stp>12/31/2018</stp>
        <tr r="P163" s="1"/>
      </tp>
      <tp>
        <v>-119.20003995878</v>
        <stp/>
        <stp>EM_S_VAL_PCF_NCFTTM</stp>
        <stp>2</stp>
        <stp>000952</stp>
        <stp>12/31/2018</stp>
        <tr r="P2593" s="1"/>
      </tp>
      <tp>
        <v>-114.956342255561</v>
        <stp/>
        <stp>EM_S_VAL_PCF_NCFTTM</stp>
        <stp>2</stp>
        <stp>000953</stp>
        <stp>12/31/2018</stp>
        <tr r="P3584" s="1"/>
      </tp>
      <tp>
        <v>12.8834040421831</v>
        <stp/>
        <stp>EM_S_VAL_PCF_NCFTTM</stp>
        <stp>2</stp>
        <stp>600933</stp>
        <stp>12/31/2018</stp>
        <tr r="P256" s="1"/>
      </tp>
      <tp>
        <v>9.1019149526866396</v>
        <stp/>
        <stp>EM_S_VAL_PCF_NCFTTM</stp>
        <stp>2</stp>
        <stp>000958</stp>
        <stp>12/31/2018</stp>
        <tr r="P289" s="1"/>
      </tp>
      <tp>
        <v>3.5681933948034801</v>
        <stp/>
        <stp>EM_S_VAL_PCF_NCFTTM</stp>
        <stp>2</stp>
        <stp>000959</stp>
        <stp>12/31/2018</stp>
        <tr r="P2602" s="1"/>
      </tp>
      <tp>
        <v>91.591574399264601</v>
        <stp/>
        <stp>EM_S_VAL_PCF_NCFTTM</stp>
        <stp>2</stp>
        <stp>600939</stp>
        <stp>12/31/2018</stp>
        <tr r="P2104" s="1"/>
      </tp>
      <tp>
        <v>-1.9814546248804401</v>
        <stp/>
        <stp>EM_S_VAL_PCF_NCFTTM</stp>
        <stp>2</stp>
        <stp>000965</stp>
        <stp>12/31/2018</stp>
        <tr r="P3017" s="1"/>
      </tp>
      <tp>
        <v>-51.417730228490598</v>
        <stp/>
        <stp>EM_S_VAL_PCF_NCFTTM</stp>
        <stp>2</stp>
        <stp>000966</stp>
        <stp>12/31/2018</stp>
        <tr r="P869" s="1"/>
      </tp>
      <tp>
        <v>16.016771385842102</v>
        <stp/>
        <stp>EM_S_VAL_PCF_NCFTTM</stp>
        <stp>2</stp>
        <stp>000967</stp>
        <stp>12/31/2018</stp>
        <tr r="P1753" s="1"/>
      </tp>
      <tp>
        <v>13.2492618778105</v>
        <stp/>
        <stp>EM_S_VAL_PCF_NCFTTM</stp>
        <stp>2</stp>
        <stp>000960</stp>
        <stp>12/31/2018</stp>
        <tr r="P1651" s="1"/>
      </tp>
      <tp>
        <v>406.29182472169299</v>
        <stp/>
        <stp>EM_S_VAL_PCF_NCFTTM</stp>
        <stp>2</stp>
        <stp>600900</stp>
        <stp>12/31/2018</stp>
        <tr r="P1447" s="1"/>
      </tp>
      <tp>
        <v>2.5416414325378098</v>
        <stp/>
        <stp>EM_S_VAL_PCF_NCFTTM</stp>
        <stp>2</stp>
        <stp>000961</stp>
        <stp>12/31/2018</stp>
        <tr r="P207" s="1"/>
      </tp>
      <tp>
        <v>-55.073638647156301</v>
        <stp/>
        <stp>EM_S_VAL_PCF_NCFTTM</stp>
        <stp>2</stp>
        <stp>600901</stp>
        <stp>12/31/2018</stp>
        <tr r="P1864" s="1"/>
      </tp>
      <tp>
        <v>-59.999534194902701</v>
        <stp/>
        <stp>EM_S_VAL_PCF_NCFTTM</stp>
        <stp>2</stp>
        <stp>000962</stp>
        <stp>12/31/2018</stp>
        <tr r="P1521" s="1"/>
      </tp>
      <tp>
        <v>-95.352237065772698</v>
        <stp/>
        <stp>EM_S_VAL_PCF_NCFTTM</stp>
        <stp>2</stp>
        <stp>000963</stp>
        <stp>12/31/2018</stp>
        <tr r="P2741" s="1"/>
      </tp>
      <tp>
        <v>37.556393384705899</v>
        <stp/>
        <stp>EM_S_VAL_PCF_NCFTTM</stp>
        <stp>2</stp>
        <stp>600903</stp>
        <stp>12/31/2018</stp>
        <tr r="P3216" s="1"/>
      </tp>
      <tp>
        <v>382.684973552629</v>
        <stp/>
        <stp>EM_S_VAL_PCF_NCFTTM</stp>
        <stp>2</stp>
        <stp>000968</stp>
        <stp>12/31/2018</stp>
        <tr r="P2527" s="1"/>
      </tp>
      <tp>
        <v>2.9020913776151902</v>
        <stp/>
        <stp>EM_S_VAL_PCF_NCFTTM</stp>
        <stp>2</stp>
        <stp>600908</stp>
        <stp>12/31/2018</stp>
        <tr r="P1965" s="1"/>
      </tp>
      <tp>
        <v>104.30514578720801</v>
        <stp/>
        <stp>EM_S_VAL_PCF_NCFTTM</stp>
        <stp>2</stp>
        <stp>000969</stp>
        <stp>12/31/2018</stp>
        <tr r="P3588" s="1"/>
      </tp>
      <tp>
        <v>-4.80536252550064</v>
        <stp/>
        <stp>EM_S_VAL_PCF_NCFTTM</stp>
        <stp>2</stp>
        <stp>600909</stp>
        <stp>12/31/2018</stp>
        <tr r="P502" s="1"/>
      </tp>
      <tp>
        <v>-59.985381485861197</v>
        <stp/>
        <stp>EM_S_VAL_PCF_NCFTTM</stp>
        <stp>2</stp>
        <stp>000975</stp>
        <stp>12/31/2018</stp>
        <tr r="P930" s="1"/>
      </tp>
      <tp>
        <v>-42.359897106862697</v>
        <stp/>
        <stp>EM_S_VAL_PCF_NCFTTM</stp>
        <stp>2</stp>
        <stp>000976</stp>
        <stp>12/31/2018</stp>
        <tr r="P3591" s="1"/>
      </tp>
      <tp>
        <v>42.766672085692697</v>
        <stp/>
        <stp>EM_S_VAL_PCF_NCFTTM</stp>
        <stp>2</stp>
        <stp>000977</stp>
        <stp>12/31/2018</stp>
        <tr r="P206" s="1"/>
      </tp>
      <tp>
        <v>-153.234876858978</v>
        <stp/>
        <stp>EM_S_VAL_PCF_NCFTTM</stp>
        <stp>2</stp>
        <stp>600917</stp>
        <stp>12/31/2018</stp>
        <tr r="P2163" s="1"/>
      </tp>
      <tp>
        <v>-22.2420641306337</v>
        <stp/>
        <stp>EM_S_VAL_PCF_NCFTTM</stp>
        <stp>2</stp>
        <stp>000970</stp>
        <stp>12/31/2018</stp>
        <tr r="P573" s="1"/>
      </tp>
      <tp>
        <v>479.57673869791898</v>
        <stp/>
        <stp>EM_S_VAL_PCF_NCFTTM</stp>
        <stp>2</stp>
        <stp>000971</stp>
        <stp>12/31/2018</stp>
        <tr r="P3589" s="1"/>
      </tp>
      <tp>
        <v>-31.557616535193599</v>
        <stp/>
        <stp>EM_S_VAL_PCF_NCFTTM</stp>
        <stp>2</stp>
        <stp>000972</stp>
        <stp>12/31/2018</stp>
        <tr r="P3590" s="1"/>
      </tp>
      <tp>
        <v>-240.72404309732099</v>
        <stp/>
        <stp>EM_S_VAL_PCF_NCFTTM</stp>
        <stp>2</stp>
        <stp>000973</stp>
        <stp>12/31/2018</stp>
        <tr r="P658" s="1"/>
      </tp>
      <tp>
        <v>-47.0975089146852</v>
        <stp/>
        <stp>EM_S_VAL_PCF_NCFTTM</stp>
        <stp>2</stp>
        <stp>000978</stp>
        <stp>12/31/2018</stp>
        <tr r="P2177" s="1"/>
      </tp>
      <tp>
        <v>-0.44218116616119302</v>
        <stp/>
        <stp>EM_S_VAL_PCF_NCFTTM</stp>
        <stp>2</stp>
        <stp>000979</stp>
        <stp>12/31/2018</stp>
        <tr r="P3592" s="1"/>
      </tp>
      <tp>
        <v>-1.16727428288085</v>
        <stp/>
        <stp>EM_S_VAL_PCF_NCFTTM</stp>
        <stp>2</stp>
        <stp>600919</stp>
        <stp>12/31/2018</stp>
        <tr r="P1245" s="1"/>
      </tp>
      <tp>
        <v>19.277772833644299</v>
        <stp/>
        <stp>EM_S_VAL_PCF_NCFTTM</stp>
        <stp>2</stp>
        <stp>000885</stp>
        <stp>12/31/2018</stp>
        <tr r="P3561" s="1"/>
      </tp>
      <tp>
        <v>6.4735046458262602</v>
        <stp/>
        <stp>EM_S_VAL_PCF_NCFTTM</stp>
        <stp>2</stp>
        <stp>000886</stp>
        <stp>12/31/2018</stp>
        <tr r="P3562" s="1"/>
      </tp>
      <tp>
        <v>22.627266941102398</v>
        <stp/>
        <stp>EM_S_VAL_PCF_NCFTTM</stp>
        <stp>2</stp>
        <stp>000887</stp>
        <stp>12/31/2018</stp>
        <tr r="P2794" s="1"/>
      </tp>
      <tp>
        <v>25.6572787214531</v>
        <stp/>
        <stp>EM_S_VAL_PCF_NCFTTM</stp>
        <stp>2</stp>
        <stp>000880</stp>
        <stp>12/31/2018</stp>
        <tr r="P1865" s="1"/>
      </tp>
      <tp>
        <v>25.0898223940099</v>
        <stp/>
        <stp>EM_S_VAL_PCF_NCFTTM</stp>
        <stp>2</stp>
        <stp>000881</stp>
        <stp>12/31/2018</stp>
        <tr r="P2108" s="1"/>
      </tp>
      <tp>
        <v>-4.9919831939875898</v>
        <stp/>
        <stp>EM_S_VAL_PCF_NCFTTM</stp>
        <stp>2</stp>
        <stp>000882</stp>
        <stp>12/31/2018</stp>
        <tr r="P2222" s="1"/>
      </tp>
      <tp>
        <v>138.87359109379599</v>
        <stp/>
        <stp>EM_S_VAL_PCF_NCFTTM</stp>
        <stp>2</stp>
        <stp>000883</stp>
        <stp>12/31/2018</stp>
        <tr r="P1562" s="1"/>
      </tp>
      <tp>
        <v>16.622336226273099</v>
        <stp/>
        <stp>EM_S_VAL_PCF_NCFTTM</stp>
        <stp>2</stp>
        <stp>000888</stp>
        <stp>12/31/2018</stp>
        <tr r="P3563" s="1"/>
      </tp>
      <tp>
        <v>63.689269790511602</v>
        <stp/>
        <stp>EM_S_VAL_PCF_NCFTTM</stp>
        <stp>2</stp>
        <stp>000889</stp>
        <stp>12/31/2018</stp>
        <tr r="P2649" s="1"/>
      </tp>
      <tp>
        <v>-69.320928165539001</v>
        <stp/>
        <stp>EM_S_VAL_PCF_NCFTTM</stp>
        <stp>2</stp>
        <stp>000895</stp>
        <stp>12/31/2018</stp>
        <tr r="P3567" s="1"/>
      </tp>
      <tp>
        <v>257.32858246928703</v>
        <stp/>
        <stp>EM_S_VAL_PCF_NCFTTM</stp>
        <stp>2</stp>
        <stp>000897</stp>
        <stp>12/31/2018</stp>
        <tr r="P3568" s="1"/>
      </tp>
      <tp>
        <v>-1.78782739104693</v>
        <stp/>
        <stp>EM_S_VAL_PCF_NCFTTM</stp>
        <stp>2</stp>
        <stp>000890</stp>
        <stp>12/31/2018</stp>
        <tr r="P3564" s="1"/>
      </tp>
      <tp>
        <v>-497.351376892144</v>
        <stp/>
        <stp>EM_S_VAL_PCF_NCFTTM</stp>
        <stp>2</stp>
        <stp>000892</stp>
        <stp>12/31/2018</stp>
        <tr r="P3565" s="1"/>
      </tp>
      <tp>
        <v>-192.32774502218399</v>
        <stp/>
        <stp>EM_S_VAL_PCF_NCFTTM</stp>
        <stp>2</stp>
        <stp>000893</stp>
        <stp>12/31/2018</stp>
        <tr r="P3566" s="1"/>
      </tp>
      <tp>
        <v>91.190575565380797</v>
        <stp/>
        <stp>EM_S_VAL_PCF_NCFTTM</stp>
        <stp>2</stp>
        <stp>000898</stp>
        <stp>12/31/2018</stp>
        <tr r="P3280" s="1"/>
      </tp>
      <tp>
        <v>-5.1868170064414301</v>
        <stp/>
        <stp>EM_S_VAL_PCF_NCFTTM</stp>
        <stp>2</stp>
        <stp>000899</stp>
        <stp>12/31/2018</stp>
        <tr r="P1690" s="1"/>
      </tp>
      <tp>
        <v>15.254808743859</v>
        <stp/>
        <stp>EM_S_VAL_PCF_NCFTTM</stp>
        <stp>2</stp>
        <stp>600884</stp>
        <stp>12/31/2018</stp>
        <tr r="P1987" s="1"/>
      </tp>
      <tp>
        <v>68.906471470230102</v>
        <stp/>
        <stp>EM_S_VAL_PCF_NCFTTM</stp>
        <stp>2</stp>
        <stp>600885</stp>
        <stp>12/31/2018</stp>
        <tr r="P497" s="1"/>
      </tp>
      <tp>
        <v>20.518919799059201</v>
        <stp/>
        <stp>EM_S_VAL_PCF_NCFTTM</stp>
        <stp>2</stp>
        <stp>600886</stp>
        <stp>12/31/2018</stp>
        <tr r="P1548" s="1"/>
      </tp>
      <tp>
        <v>-15.320518813294299</v>
        <stp/>
        <stp>EM_S_VAL_PCF_NCFTTM</stp>
        <stp>2</stp>
        <stp>600887</stp>
        <stp>12/31/2018</stp>
        <tr r="P827" s="1"/>
      </tp>
      <tp>
        <v>-140.42366323530899</v>
        <stp/>
        <stp>EM_S_VAL_PCF_NCFTTM</stp>
        <stp>2</stp>
        <stp>600880</stp>
        <stp>12/31/2018</stp>
        <tr r="P1852" s="1"/>
      </tp>
      <tp>
        <v>-11.767230412718</v>
        <stp/>
        <stp>EM_S_VAL_PCF_NCFTTM</stp>
        <stp>2</stp>
        <stp>600881</stp>
        <stp>12/31/2018</stp>
        <tr r="P2561" s="1"/>
      </tp>
      <tp>
        <v>-15.860315851618999</v>
        <stp/>
        <stp>EM_S_VAL_PCF_NCFTTM</stp>
        <stp>2</stp>
        <stp>600882</stp>
        <stp>12/31/2018</stp>
        <tr r="P211" s="1"/>
      </tp>
      <tp>
        <v>-30.577114076625602</v>
        <stp/>
        <stp>EM_S_VAL_PCF_NCFTTM</stp>
        <stp>2</stp>
        <stp>600883</stp>
        <stp>12/31/2018</stp>
        <tr r="P1056" s="1"/>
      </tp>
      <tp>
        <v>2.21391129406017</v>
        <stp/>
        <stp>EM_S_VAL_PCF_NCFTTM</stp>
        <stp>2</stp>
        <stp>600888</stp>
        <stp>12/31/2018</stp>
        <tr r="P1734" s="1"/>
      </tp>
      <tp>
        <v>4.8331021004349397</v>
        <stp/>
        <stp>EM_S_VAL_PCF_NCFTTM</stp>
        <stp>2</stp>
        <stp>600889</stp>
        <stp>12/31/2018</stp>
        <tr r="P2344" s="1"/>
      </tp>
      <tp>
        <v>23.499779672901902</v>
        <stp/>
        <stp>EM_S_VAL_PCF_NCFTTM</stp>
        <stp>2</stp>
        <stp>600894</stp>
        <stp>12/31/2018</stp>
        <tr r="P802" s="1"/>
      </tp>
      <tp>
        <v>-75.029732931834403</v>
        <stp/>
        <stp>EM_S_VAL_PCF_NCFTTM</stp>
        <stp>2</stp>
        <stp>600895</stp>
        <stp>12/31/2018</stp>
        <tr r="P2139" s="1"/>
      </tp>
      <tp>
        <v>-134.710327244213</v>
        <stp/>
        <stp>EM_S_VAL_PCF_NCFTTM</stp>
        <stp>2</stp>
        <stp>600896</stp>
        <stp>12/31/2018</stp>
        <tr r="P1511" s="1"/>
      </tp>
      <tp>
        <v>17.8819136968816</v>
        <stp/>
        <stp>EM_S_VAL_PCF_NCFTTM</stp>
        <stp>2</stp>
        <stp>600897</stp>
        <stp>12/31/2018</stp>
        <tr r="P2061" s="1"/>
      </tp>
      <tp>
        <v>62.844879872696197</v>
        <stp/>
        <stp>EM_S_VAL_PCF_NCFTTM</stp>
        <stp>2</stp>
        <stp>600890</stp>
        <stp>12/31/2018</stp>
        <tr r="P3134" s="1"/>
      </tp>
      <tp>
        <v>-40.791548224520497</v>
        <stp/>
        <stp>EM_S_VAL_PCF_NCFTTM</stp>
        <stp>2</stp>
        <stp>600891</stp>
        <stp>12/31/2018</stp>
        <tr r="P3403" s="1"/>
      </tp>
      <tp>
        <v>57.005727864725699</v>
        <stp/>
        <stp>EM_S_VAL_PCF_NCFTTM</stp>
        <stp>2</stp>
        <stp>600892</stp>
        <stp>12/31/2018</stp>
        <tr r="P3227" s="1"/>
      </tp>
      <tp>
        <v>-5.1960480210054101</v>
        <stp/>
        <stp>EM_S_VAL_PCF_NCFTTM</stp>
        <stp>2</stp>
        <stp>600893</stp>
        <stp>12/31/2018</stp>
        <tr r="P2384" s="1"/>
      </tp>
      <tp>
        <v>-27.807713045676099</v>
        <stp/>
        <stp>EM_S_VAL_PCF_NCFTTM</stp>
        <stp>2</stp>
        <stp>600898</stp>
        <stp>12/31/2018</stp>
        <tr r="P2388" s="1"/>
      </tp>
      <tp>
        <v>153.452621325884</v>
        <stp/>
        <stp>EM_S_VAL_PCF_NCFTTM</stp>
        <stp>2</stp>
        <stp>600899</stp>
        <stp>12/31/2018</stp>
        <tr r="P2333" s="1"/>
      </tp>
      <tp>
        <v>-14.966317107584899</v>
        <stp/>
        <stp>EM_S_VAL_PCF_NCFTTM</stp>
        <stp>2</stp>
        <stp>600864</stp>
        <stp>12/31/2018</stp>
        <tr r="P222" s="1"/>
      </tp>
      <tp>
        <v>-5.8976045057131801</v>
        <stp/>
        <stp>EM_S_VAL_PCF_NCFTTM</stp>
        <stp>2</stp>
        <stp>000805</stp>
        <stp>12/31/2018</stp>
        <tr r="P3544" s="1"/>
      </tp>
      <tp>
        <v>-19.032166700179001</v>
        <stp/>
        <stp>EM_S_VAL_PCF_NCFTTM</stp>
        <stp>2</stp>
        <stp>600865</stp>
        <stp>12/31/2018</stp>
        <tr r="P1563" s="1"/>
      </tp>
      <tp>
        <v>-22.610707159456201</v>
        <stp/>
        <stp>EM_S_VAL_PCF_NCFTTM</stp>
        <stp>2</stp>
        <stp>000806</stp>
        <stp>12/31/2018</stp>
        <tr r="P3545" s="1"/>
      </tp>
      <tp>
        <v>217.76346028958301</v>
        <stp/>
        <stp>EM_S_VAL_PCF_NCFTTM</stp>
        <stp>2</stp>
        <stp>600866</stp>
        <stp>12/31/2018</stp>
        <tr r="P736" s="1"/>
      </tp>
      <tp>
        <v>-21.2662135886718</v>
        <stp/>
        <stp>EM_S_VAL_PCF_NCFTTM</stp>
        <stp>2</stp>
        <stp>000807</stp>
        <stp>12/31/2018</stp>
        <tr r="P3546" s="1"/>
      </tp>
      <tp>
        <v>671.06358836351797</v>
        <stp/>
        <stp>EM_S_VAL_PCF_NCFTTM</stp>
        <stp>2</stp>
        <stp>600867</stp>
        <stp>12/31/2018</stp>
        <tr r="P2809" s="1"/>
      </tp>
      <tp>
        <v>-42.164021254393802</v>
        <stp/>
        <stp>EM_S_VAL_PCF_NCFTTM</stp>
        <stp>2</stp>
        <stp>000800</stp>
        <stp>12/31/2018</stp>
        <tr r="P3542" s="1"/>
      </tp>
      <tp>
        <v>43.303555013215998</v>
        <stp/>
        <stp>EM_S_VAL_PCF_NCFTTM</stp>
        <stp>2</stp>
        <stp>600860</stp>
        <stp>12/31/2018</stp>
        <tr r="P816" s="1"/>
      </tp>
      <tp>
        <v>6322.83086695375</v>
        <stp/>
        <stp>EM_S_VAL_PCF_NCFTTM</stp>
        <stp>2</stp>
        <stp>000801</stp>
        <stp>12/31/2018</stp>
        <tr r="P1131" s="1"/>
      </tp>
      <tp>
        <v>-18.765401759316902</v>
        <stp/>
        <stp>EM_S_VAL_PCF_NCFTTM</stp>
        <stp>2</stp>
        <stp>600861</stp>
        <stp>12/31/2018</stp>
        <tr r="P1151" s="1"/>
      </tp>
      <tp>
        <v>36.590142778824898</v>
        <stp/>
        <stp>EM_S_VAL_PCF_NCFTTM</stp>
        <stp>2</stp>
        <stp>000802</stp>
        <stp>12/31/2018</stp>
        <tr r="P3543" s="1"/>
      </tp>
      <tp>
        <v>-9.7724482456541306</v>
        <stp/>
        <stp>EM_S_VAL_PCF_NCFTTM</stp>
        <stp>2</stp>
        <stp>600862</stp>
        <stp>12/31/2018</stp>
        <tr r="P174" s="1"/>
      </tp>
      <tp>
        <v>86.158974253888005</v>
        <stp/>
        <stp>EM_S_VAL_PCF_NCFTTM</stp>
        <stp>2</stp>
        <stp>000803</stp>
        <stp>12/31/2018</stp>
        <tr r="P1520" s="1"/>
      </tp>
      <tp>
        <v>31.429149791042601</v>
        <stp/>
        <stp>EM_S_VAL_PCF_NCFTTM</stp>
        <stp>2</stp>
        <stp>600863</stp>
        <stp>12/31/2018</stp>
        <tr r="P1344" s="1"/>
      </tp>
      <tp>
        <v>275.15269921833402</v>
        <stp/>
        <stp>EM_S_VAL_PCF_NCFTTM</stp>
        <stp>2</stp>
        <stp>600868</stp>
        <stp>12/31/2018</stp>
        <tr r="P1248" s="1"/>
      </tp>
      <tp>
        <v>-644.02962391772303</v>
        <stp/>
        <stp>EM_S_VAL_PCF_NCFTTM</stp>
        <stp>2</stp>
        <stp>000809</stp>
        <stp>12/31/2018</stp>
        <tr r="P2356" s="1"/>
      </tp>
      <tp>
        <v>110.49012450850999</v>
        <stp/>
        <stp>EM_S_VAL_PCF_NCFTTM</stp>
        <stp>2</stp>
        <stp>600869</stp>
        <stp>12/31/2018</stp>
        <tr r="P2251" s="1"/>
      </tp>
      <tp>
        <v>19.091112503242801</v>
        <stp/>
        <stp>EM_S_VAL_PCF_NCFTTM</stp>
        <stp>2</stp>
        <stp>600874</stp>
        <stp>12/31/2018</stp>
        <tr r="P2879" s="1"/>
      </tp>
      <tp>
        <v>-253.96317976042999</v>
        <stp/>
        <stp>EM_S_VAL_PCF_NCFTTM</stp>
        <stp>2</stp>
        <stp>000815</stp>
        <stp>12/31/2018</stp>
        <tr r="P2186" s="1"/>
      </tp>
      <tp>
        <v>6.4480622947239601</v>
        <stp/>
        <stp>EM_S_VAL_PCF_NCFTTM</stp>
        <stp>2</stp>
        <stp>600875</stp>
        <stp>12/31/2018</stp>
        <tr r="P1425" s="1"/>
      </tp>
      <tp>
        <v>-3.9354854975703</v>
        <stp/>
        <stp>EM_S_VAL_PCF_NCFTTM</stp>
        <stp>2</stp>
        <stp>000816</stp>
        <stp>12/31/2018</stp>
        <tr r="P3547" s="1"/>
      </tp>
      <tp>
        <v>73.321754806440396</v>
        <stp/>
        <stp>EM_S_VAL_PCF_NCFTTM</stp>
        <stp>2</stp>
        <stp>600876</stp>
        <stp>12/31/2018</stp>
        <tr r="P598" s="1"/>
      </tp>
      <tp>
        <v>56.768336048950999</v>
        <stp/>
        <stp>EM_S_VAL_PCF_NCFTTM</stp>
        <stp>2</stp>
        <stp>000817</stp>
        <stp>12/31/2018</stp>
        <tr r="P3548" s="1"/>
      </tp>
      <tp>
        <v>-59.422493790096603</v>
        <stp/>
        <stp>EM_S_VAL_PCF_NCFTTM</stp>
        <stp>2</stp>
        <stp>600877</stp>
        <stp>12/31/2018</stp>
        <tr r="P1175" s="1"/>
      </tp>
      <tp>
        <v>-11.793922893750899</v>
        <stp/>
        <stp>EM_S_VAL_PCF_NCFTTM</stp>
        <stp>2</stp>
        <stp>000810</stp>
        <stp>12/31/2018</stp>
        <tr r="P139" s="1"/>
      </tp>
      <tp>
        <v>326.48364743049098</v>
        <stp/>
        <stp>EM_S_VAL_PCF_NCFTTM</stp>
        <stp>2</stp>
        <stp>600870</stp>
        <stp>12/31/2018</stp>
        <tr r="P2830" s="1"/>
      </tp>
      <tp>
        <v>-47.693710719631603</v>
        <stp/>
        <stp>EM_S_VAL_PCF_NCFTTM</stp>
        <stp>2</stp>
        <stp>000811</stp>
        <stp>12/31/2018</stp>
        <tr r="P843" s="1"/>
      </tp>
      <tp>
        <v>290.25375135045499</v>
        <stp/>
        <stp>EM_S_VAL_PCF_NCFTTM</stp>
        <stp>2</stp>
        <stp>600871</stp>
        <stp>12/31/2018</stp>
        <tr r="P1178" s="1"/>
      </tp>
      <tp>
        <v>-12.8014472138593</v>
        <stp/>
        <stp>EM_S_VAL_PCF_NCFTTM</stp>
        <stp>2</stp>
        <stp>000812</stp>
        <stp>12/31/2018</stp>
        <tr r="P2624" s="1"/>
      </tp>
      <tp>
        <v>-2820.8749898934502</v>
        <stp/>
        <stp>EM_S_VAL_PCF_NCFTTM</stp>
        <stp>2</stp>
        <stp>600872</stp>
        <stp>12/31/2018</stp>
        <tr r="P909" s="1"/>
      </tp>
      <tp>
        <v>207.75161349531001</v>
        <stp/>
        <stp>EM_S_VAL_PCF_NCFTTM</stp>
        <stp>2</stp>
        <stp>000813</stp>
        <stp>12/31/2018</stp>
        <tr r="P3236" s="1"/>
      </tp>
      <tp>
        <v>-9.4812517188117305</v>
        <stp/>
        <stp>EM_S_VAL_PCF_NCFTTM</stp>
        <stp>2</stp>
        <stp>600873</stp>
        <stp>12/31/2018</stp>
        <tr r="P2002" s="1"/>
      </tp>
      <tp>
        <v>-43.9560009944976</v>
        <stp/>
        <stp>EM_S_VAL_PCF_NCFTTM</stp>
        <stp>2</stp>
        <stp>000818</stp>
        <stp>12/31/2018</stp>
        <tr r="P176" s="1"/>
      </tp>
      <tp>
        <v>-35.143996459871403</v>
        <stp/>
        <stp>EM_S_VAL_PCF_NCFTTM</stp>
        <stp>2</stp>
        <stp>600878</stp>
        <stp>12/31/2018</stp>
        <tr r="P2332" s="1"/>
      </tp>
      <tp>
        <v>-89.823747937136204</v>
        <stp/>
        <stp>EM_S_VAL_PCF_NCFTTM</stp>
        <stp>2</stp>
        <stp>000819</stp>
        <stp>12/31/2018</stp>
        <tr r="P2694" s="1"/>
      </tp>
      <tp>
        <v>-127.873598337266</v>
        <stp/>
        <stp>EM_S_VAL_PCF_NCFTTM</stp>
        <stp>2</stp>
        <stp>600879</stp>
        <stp>12/31/2018</stp>
        <tr r="P1674" s="1"/>
      </tp>
      <tp>
        <v>54.446632506452097</v>
        <stp/>
        <stp>EM_S_VAL_PCF_NCFTTM</stp>
        <stp>2</stp>
        <stp>600844</stp>
        <stp>12/31/2018</stp>
        <tr r="P467" s="1"/>
      </tp>
      <tp>
        <v>-1613.5506536064599</v>
        <stp/>
        <stp>EM_S_VAL_PCF_NCFTTM</stp>
        <stp>2</stp>
        <stp>000825</stp>
        <stp>12/31/2018</stp>
        <tr r="P2407" s="1"/>
      </tp>
      <tp>
        <v>10.706249453067599</v>
        <stp/>
        <stp>EM_S_VAL_PCF_NCFTTM</stp>
        <stp>2</stp>
        <stp>600845</stp>
        <stp>12/31/2018</stp>
        <tr r="P442" s="1"/>
      </tp>
      <tp>
        <v>-3.3914882858450399</v>
        <stp/>
        <stp>EM_S_VAL_PCF_NCFTTM</stp>
        <stp>2</stp>
        <stp>000826</stp>
        <stp>12/31/2018</stp>
        <tr r="P2803" s="1"/>
      </tp>
      <tp>
        <v>2.5769724577403301</v>
        <stp/>
        <stp>EM_S_VAL_PCF_NCFTTM</stp>
        <stp>2</stp>
        <stp>600846</stp>
        <stp>12/31/2018</stp>
        <tr r="P959" s="1"/>
      </tp>
      <tp>
        <v>609.63934111757897</v>
        <stp/>
        <stp>EM_S_VAL_PCF_NCFTTM</stp>
        <stp>2</stp>
        <stp>000827</stp>
        <stp>12/31/2018</stp>
        <tr r="P3550" s="1"/>
      </tp>
      <tp>
        <v>-2502.1373633210301</v>
        <stp/>
        <stp>EM_S_VAL_PCF_NCFTTM</stp>
        <stp>2</stp>
        <stp>600847</stp>
        <stp>12/31/2018</stp>
        <tr r="P2395" s="1"/>
      </tp>
      <tp>
        <v>-5.9761819027214402</v>
        <stp/>
        <stp>EM_S_VAL_PCF_NCFTTM</stp>
        <stp>2</stp>
        <stp>000820</stp>
        <stp>12/31/2018</stp>
        <tr r="P3549" s="1"/>
      </tp>
      <tp>
        <v>-127.93340560483399</v>
        <stp/>
        <stp>EM_S_VAL_PCF_NCFTTM</stp>
        <stp>2</stp>
        <stp>600840</stp>
        <stp>12/31/2018</stp>
        <tr r="P2329" s="1"/>
      </tp>
      <tp>
        <v>34.379072680821302</v>
        <stp/>
        <stp>EM_S_VAL_PCF_NCFTTM</stp>
        <stp>2</stp>
        <stp>000821</stp>
        <stp>12/31/2018</stp>
        <tr r="P2937" s="1"/>
      </tp>
      <tp>
        <v>46.317182847507198</v>
        <stp/>
        <stp>EM_S_VAL_PCF_NCFTTM</stp>
        <stp>2</stp>
        <stp>600841</stp>
        <stp>12/31/2018</stp>
        <tr r="P1932" s="1"/>
      </tp>
      <tp>
        <v>206.09063119343901</v>
        <stp/>
        <stp>EM_S_VAL_PCF_NCFTTM</stp>
        <stp>2</stp>
        <stp>000822</stp>
        <stp>12/31/2018</stp>
        <tr r="P2171" s="1"/>
      </tp>
      <tp>
        <v>106.173539167576</v>
        <stp/>
        <stp>EM_S_VAL_PCF_NCFTTM</stp>
        <stp>2</stp>
        <stp>600842</stp>
        <stp>12/31/2018</stp>
        <tr r="P2330" s="1"/>
      </tp>
      <tp>
        <v>111.50223217105599</v>
        <stp/>
        <stp>EM_S_VAL_PCF_NCFTTM</stp>
        <stp>2</stp>
        <stp>000823</stp>
        <stp>12/31/2018</stp>
        <tr r="P267" s="1"/>
      </tp>
      <tp>
        <v>-21.438875315708501</v>
        <stp/>
        <stp>EM_S_VAL_PCF_NCFTTM</stp>
        <stp>2</stp>
        <stp>600843</stp>
        <stp>12/31/2018</stp>
        <tr r="P1525" s="1"/>
      </tp>
      <tp>
        <v>5.8613615514424202</v>
        <stp/>
        <stp>EM_S_VAL_PCF_NCFTTM</stp>
        <stp>2</stp>
        <stp>000828</stp>
        <stp>12/31/2018</stp>
        <tr r="P1711" s="1"/>
      </tp>
      <tp>
        <v>43.466658979235902</v>
        <stp/>
        <stp>EM_S_VAL_PCF_NCFTTM</stp>
        <stp>2</stp>
        <stp>600848</stp>
        <stp>12/31/2018</stp>
        <tr r="P1417" s="1"/>
      </tp>
      <tp>
        <v>-3.1186628515880801</v>
        <stp/>
        <stp>EM_S_VAL_PCF_NCFTTM</stp>
        <stp>2</stp>
        <stp>000829</stp>
        <stp>12/31/2018</stp>
        <tr r="P3551" s="1"/>
      </tp>
      <tp>
        <v>10.908391907222301</v>
        <stp/>
        <stp>EM_S_VAL_PCF_NCFTTM</stp>
        <stp>2</stp>
        <stp>600849</stp>
        <stp>12/31/2018</stp>
        <tr r="P2335" s="1"/>
      </tp>
      <tp>
        <v>-913.17653962211398</v>
        <stp/>
        <stp>EM_S_VAL_PCF_NCFTTM</stp>
        <stp>2</stp>
        <stp>600854</stp>
        <stp>12/31/2018</stp>
        <tr r="P1766" s="1"/>
      </tp>
      <tp>
        <v>-22.264790222024899</v>
        <stp/>
        <stp>EM_S_VAL_PCF_NCFTTM</stp>
        <stp>2</stp>
        <stp>000835</stp>
        <stp>12/31/2018</stp>
        <tr r="P3553" s="1"/>
      </tp>
      <tp>
        <v>-70.420178957091593</v>
        <stp/>
        <stp>EM_S_VAL_PCF_NCFTTM</stp>
        <stp>2</stp>
        <stp>600855</stp>
        <stp>12/31/2018</stp>
        <tr r="P817" s="1"/>
      </tp>
      <tp>
        <v>-15.0697055766801</v>
        <stp/>
        <stp>EM_S_VAL_PCF_NCFTTM</stp>
        <stp>2</stp>
        <stp>000836</stp>
        <stp>12/31/2018</stp>
        <tr r="P2534" s="1"/>
      </tp>
      <tp>
        <v>-3.4374636042540399</v>
        <stp/>
        <stp>EM_S_VAL_PCF_NCFTTM</stp>
        <stp>2</stp>
        <stp>600856</stp>
        <stp>12/31/2018</stp>
        <tr r="P3278" s="1"/>
      </tp>
      <tp>
        <v>-6.56333076149678</v>
        <stp/>
        <stp>EM_S_VAL_PCF_NCFTTM</stp>
        <stp>2</stp>
        <stp>000837</stp>
        <stp>12/31/2018</stp>
        <tr r="P3554" s="1"/>
      </tp>
      <tp>
        <v>-184.321079946456</v>
        <stp/>
        <stp>EM_S_VAL_PCF_NCFTTM</stp>
        <stp>2</stp>
        <stp>600857</stp>
        <stp>12/31/2018</stp>
        <tr r="P1701" s="1"/>
      </tp>
      <tp>
        <v>-61.286262079896296</v>
        <stp/>
        <stp>EM_S_VAL_PCF_NCFTTM</stp>
        <stp>2</stp>
        <stp>000830</stp>
        <stp>12/31/2018</stp>
        <tr r="P2036" s="1"/>
      </tp>
      <tp>
        <v>-112.692880388964</v>
        <stp/>
        <stp>EM_S_VAL_PCF_NCFTTM</stp>
        <stp>2</stp>
        <stp>600850</stp>
        <stp>12/31/2018</stp>
        <tr r="P441" s="1"/>
      </tp>
      <tp>
        <v>-122.34511934031499</v>
        <stp/>
        <stp>EM_S_VAL_PCF_NCFTTM</stp>
        <stp>2</stp>
        <stp>000831</stp>
        <stp>12/31/2018</stp>
        <tr r="P465" s="1"/>
      </tp>
      <tp>
        <v>-52.268406210896003</v>
        <stp/>
        <stp>EM_S_VAL_PCF_NCFTTM</stp>
        <stp>2</stp>
        <stp>600851</stp>
        <stp>12/31/2018</stp>
        <tr r="P1652" s="1"/>
      </tp>
      <tp>
        <v>0</v>
        <stp/>
        <stp>EM_S_VAL_PCF_NCFTTM</stp>
        <stp>2</stp>
        <stp>000832</stp>
        <stp>12/31/2018</stp>
        <tr r="P3552" s="1"/>
      </tp>
      <tp>
        <v>29693.729403024099</v>
        <stp/>
        <stp>EM_S_VAL_PCF_NCFTTM</stp>
        <stp>2</stp>
        <stp>600852</stp>
        <stp>12/31/2018</stp>
        <tr r="P2331" s="1"/>
      </tp>
      <tp>
        <v>123.038780900871</v>
        <stp/>
        <stp>EM_S_VAL_PCF_NCFTTM</stp>
        <stp>2</stp>
        <stp>000833</stp>
        <stp>12/31/2018</stp>
        <tr r="P1707" s="1"/>
      </tp>
      <tp>
        <v>12.431030487614001</v>
        <stp/>
        <stp>EM_S_VAL_PCF_NCFTTM</stp>
        <stp>2</stp>
        <stp>600853</stp>
        <stp>12/31/2018</stp>
        <tr r="P2699" s="1"/>
      </tp>
      <tp>
        <v>-4.2374413502631096</v>
        <stp/>
        <stp>EM_S_VAL_PCF_NCFTTM</stp>
        <stp>2</stp>
        <stp>000838</stp>
        <stp>12/31/2018</stp>
        <tr r="P1804" s="1"/>
      </tp>
      <tp>
        <v>2.5105930991869498</v>
        <stp/>
        <stp>EM_S_VAL_PCF_NCFTTM</stp>
        <stp>2</stp>
        <stp>600858</stp>
        <stp>12/31/2018</stp>
        <tr r="P2088" s="1"/>
      </tp>
      <tp>
        <v>-11.143904112384901</v>
        <stp/>
        <stp>EM_S_VAL_PCF_NCFTTM</stp>
        <stp>2</stp>
        <stp>000839</stp>
        <stp>12/31/2018</stp>
        <tr r="P3555" s="1"/>
      </tp>
      <tp>
        <v>-18.658606219868499</v>
        <stp/>
        <stp>EM_S_VAL_PCF_NCFTTM</stp>
        <stp>2</stp>
        <stp>600859</stp>
        <stp>12/31/2018</stp>
        <tr r="P2086" s="1"/>
      </tp>
      <tp>
        <v>185.18505230140099</v>
        <stp/>
        <stp>EM_S_VAL_PCF_NCFTTM</stp>
        <stp>2</stp>
        <stp>600824</stp>
        <stp>12/31/2018</stp>
        <tr r="P2064" s="1"/>
      </tp>
      <tp>
        <v>74.622482299097896</v>
        <stp/>
        <stp>EM_S_VAL_PCF_NCFTTM</stp>
        <stp>2</stp>
        <stp>600825</stp>
        <stp>12/31/2018</stp>
        <tr r="P1333" s="1"/>
      </tp>
      <tp>
        <v>-13.713968926495699</v>
        <stp/>
        <stp>EM_S_VAL_PCF_NCFTTM</stp>
        <stp>2</stp>
        <stp>600826</stp>
        <stp>12/31/2018</stp>
        <tr r="P1328" s="1"/>
      </tp>
      <tp>
        <v>32.409616157590399</v>
        <stp/>
        <stp>EM_S_VAL_PCF_NCFTTM</stp>
        <stp>2</stp>
        <stp>600827</stp>
        <stp>12/31/2018</stp>
        <tr r="P1943" s="1"/>
      </tp>
      <tp>
        <v>-53.3755736470752</v>
        <stp/>
        <stp>EM_S_VAL_PCF_NCFTTM</stp>
        <stp>2</stp>
        <stp>600820</stp>
        <stp>12/31/2018</stp>
        <tr r="P2521" s="1"/>
      </tp>
      <tp>
        <v>-34.407884223724302</v>
        <stp/>
        <stp>EM_S_VAL_PCF_NCFTTM</stp>
        <stp>2</stp>
        <stp>600821</stp>
        <stp>12/31/2018</stp>
        <tr r="P1516" s="1"/>
      </tp>
      <tp>
        <v>176.23552822929801</v>
        <stp/>
        <stp>EM_S_VAL_PCF_NCFTTM</stp>
        <stp>2</stp>
        <stp>600822</stp>
        <stp>12/31/2018</stp>
        <tr r="P1393" s="1"/>
      </tp>
      <tp>
        <v>344.839135250808</v>
        <stp/>
        <stp>EM_S_VAL_PCF_NCFTTM</stp>
        <stp>2</stp>
        <stp>600823</stp>
        <stp>12/31/2018</stp>
        <tr r="P1206" s="1"/>
      </tp>
      <tp>
        <v>-67.9687976204374</v>
        <stp/>
        <stp>EM_S_VAL_PCF_NCFTTM</stp>
        <stp>2</stp>
        <stp>000848</stp>
        <stp>12/31/2018</stp>
        <tr r="P2428" s="1"/>
      </tp>
      <tp>
        <v>9.7299910834596499</v>
        <stp/>
        <stp>EM_S_VAL_PCF_NCFTTM</stp>
        <stp>2</stp>
        <stp>600828</stp>
        <stp>12/31/2018</stp>
        <tr r="P2265" s="1"/>
      </tp>
      <tp>
        <v>861.92418081637402</v>
        <stp/>
        <stp>EM_S_VAL_PCF_NCFTTM</stp>
        <stp>2</stp>
        <stp>600829</stp>
        <stp>12/31/2018</stp>
        <tr r="P1485" s="1"/>
      </tp>
      <tp>
        <v>-162.682158264739</v>
        <stp/>
        <stp>EM_S_VAL_PCF_NCFTTM</stp>
        <stp>2</stp>
        <stp>600834</stp>
        <stp>12/31/2018</stp>
        <tr r="P1990" s="1"/>
      </tp>
      <tp>
        <v>43.582700066266298</v>
        <stp/>
        <stp>EM_S_VAL_PCF_NCFTTM</stp>
        <stp>2</stp>
        <stp>600835</stp>
        <stp>12/31/2018</stp>
        <tr r="P1537" s="1"/>
      </tp>
      <tp>
        <v>41.078374430516703</v>
        <stp/>
        <stp>EM_S_VAL_PCF_NCFTTM</stp>
        <stp>2</stp>
        <stp>000856</stp>
        <stp>12/31/2018</stp>
        <tr r="P3157" s="1"/>
      </tp>
      <tp>
        <v>-40.635579565148703</v>
        <stp/>
        <stp>EM_S_VAL_PCF_NCFTTM</stp>
        <stp>2</stp>
        <stp>600836</stp>
        <stp>12/31/2018</stp>
        <tr r="P857" s="1"/>
      </tp>
      <tp>
        <v>41.667018261818001</v>
        <stp/>
        <stp>EM_S_VAL_PCF_NCFTTM</stp>
        <stp>2</stp>
        <stp>600837</stp>
        <stp>12/31/2018</stp>
        <tr r="P260" s="1"/>
      </tp>
      <tp>
        <v>-2474.1314078902801</v>
        <stp/>
        <stp>EM_S_VAL_PCF_NCFTTM</stp>
        <stp>2</stp>
        <stp>000850</stp>
        <stp>12/31/2018</stp>
        <tr r="P1049" s="1"/>
      </tp>
      <tp>
        <v>25.219584095138501</v>
        <stp/>
        <stp>EM_S_VAL_PCF_NCFTTM</stp>
        <stp>2</stp>
        <stp>600830</stp>
        <stp>12/31/2018</stp>
        <tr r="P1448" s="1"/>
      </tp>
      <tp>
        <v>14.7012386124367</v>
        <stp/>
        <stp>EM_S_VAL_PCF_NCFTTM</stp>
        <stp>2</stp>
        <stp>000851</stp>
        <stp>12/31/2018</stp>
        <tr r="P1159" s="1"/>
      </tp>
      <tp>
        <v>20.0143593240212</v>
        <stp/>
        <stp>EM_S_VAL_PCF_NCFTTM</stp>
        <stp>2</stp>
        <stp>600831</stp>
        <stp>12/31/2018</stp>
        <tr r="P788" s="1"/>
      </tp>
      <tp>
        <v>124.355532269788</v>
        <stp/>
        <stp>EM_S_VAL_PCF_NCFTTM</stp>
        <stp>2</stp>
        <stp>000852</stp>
        <stp>12/31/2018</stp>
        <tr r="P2811" s="1"/>
      </tp>
      <tp>
        <v>33.110736965475198</v>
        <stp/>
        <stp>EM_S_VAL_PCF_NCFTTM</stp>
        <stp>2</stp>
        <stp>600832</stp>
        <stp>12/31/2018</stp>
        <tr r="P2328" s="1"/>
      </tp>
      <tp>
        <v>19.0377006842876</v>
        <stp/>
        <stp>EM_S_VAL_PCF_NCFTTM</stp>
        <stp>2</stp>
        <stp>600833</stp>
        <stp>12/31/2018</stp>
        <tr r="P2110" s="1"/>
      </tp>
      <tp>
        <v>54.286009547830503</v>
        <stp/>
        <stp>EM_S_VAL_PCF_NCFTTM</stp>
        <stp>2</stp>
        <stp>000858</stp>
        <stp>12/31/2018</stp>
        <tr r="P65" s="1"/>
      </tp>
      <tp>
        <v>38.331403099798997</v>
        <stp/>
        <stp>EM_S_VAL_PCF_NCFTTM</stp>
        <stp>2</stp>
        <stp>600838</stp>
        <stp>12/31/2018</stp>
        <tr r="P1970" s="1"/>
      </tp>
      <tp>
        <v>-42.142342462680404</v>
        <stp/>
        <stp>EM_S_VAL_PCF_NCFTTM</stp>
        <stp>2</stp>
        <stp>000859</stp>
        <stp>12/31/2018</stp>
        <tr r="P151" s="1"/>
      </tp>
      <tp>
        <v>-14.0447393988852</v>
        <stp/>
        <stp>EM_S_VAL_PCF_NCFTTM</stp>
        <stp>2</stp>
        <stp>600839</stp>
        <stp>12/31/2018</stp>
        <tr r="P1139" s="1"/>
      </tp>
      <tp>
        <v>-2.9769295897632202</v>
        <stp/>
        <stp>EM_S_VAL_PCF_NCFTTM</stp>
        <stp>2</stp>
        <stp>600804</stp>
        <stp>12/31/2018</stp>
        <tr r="P2849" s="1"/>
      </tp>
      <tp>
        <v>-19.905624016278399</v>
        <stp/>
        <stp>EM_S_VAL_PCF_NCFTTM</stp>
        <stp>2</stp>
        <stp>600805</stp>
        <stp>12/31/2018</stp>
        <tr r="P1762" s="1"/>
      </tp>
      <tp>
        <v>-44.472543374706802</v>
        <stp/>
        <stp>EM_S_VAL_PCF_NCFTTM</stp>
        <stp>2</stp>
        <stp>000866</stp>
        <stp>12/31/2018</stp>
        <tr r="P3558" s="1"/>
      </tp>
      <tp>
        <v>-25.9949489272215</v>
        <stp/>
        <stp>EM_S_VAL_PCF_NCFTTM</stp>
        <stp>2</stp>
        <stp>600806</stp>
        <stp>12/31/2018</stp>
        <tr r="P2326" s="1"/>
      </tp>
      <tp>
        <v>-2.99315530335396</v>
        <stp/>
        <stp>EM_S_VAL_PCF_NCFTTM</stp>
        <stp>2</stp>
        <stp>600807</stp>
        <stp>12/31/2018</stp>
        <tr r="P2570" s="1"/>
      </tp>
      <tp>
        <v>7.7961199390817102</v>
        <stp/>
        <stp>EM_S_VAL_PCF_NCFTTM</stp>
        <stp>2</stp>
        <stp>000860</stp>
        <stp>12/31/2018</stp>
        <tr r="P371" s="1"/>
      </tp>
      <tp>
        <v>-97.114972430392697</v>
        <stp/>
        <stp>EM_S_VAL_PCF_NCFTTM</stp>
        <stp>2</stp>
        <stp>600800</stp>
        <stp>12/31/2018</stp>
        <tr r="P1729" s="1"/>
      </tp>
      <tp>
        <v>-19.393270846276199</v>
        <stp/>
        <stp>EM_S_VAL_PCF_NCFTTM</stp>
        <stp>2</stp>
        <stp>000861</stp>
        <stp>12/31/2018</stp>
        <tr r="P3556" s="1"/>
      </tp>
      <tp>
        <v>17.801378594808899</v>
        <stp/>
        <stp>EM_S_VAL_PCF_NCFTTM</stp>
        <stp>2</stp>
        <stp>600801</stp>
        <stp>12/31/2018</stp>
        <tr r="P585" s="1"/>
      </tp>
      <tp>
        <v>-9.04428991999389</v>
        <stp/>
        <stp>EM_S_VAL_PCF_NCFTTM</stp>
        <stp>2</stp>
        <stp>000862</stp>
        <stp>12/31/2018</stp>
        <tr r="P331" s="1"/>
      </tp>
      <tp>
        <v>20.741947513759801</v>
        <stp/>
        <stp>EM_S_VAL_PCF_NCFTTM</stp>
        <stp>2</stp>
        <stp>600802</stp>
        <stp>12/31/2018</stp>
        <tr r="P1449" s="1"/>
      </tp>
      <tp>
        <v>-9.4043516046408797</v>
        <stp/>
        <stp>EM_S_VAL_PCF_NCFTTM</stp>
        <stp>2</stp>
        <stp>000863</stp>
        <stp>12/31/2018</stp>
        <tr r="P3557" s="1"/>
      </tp>
      <tp>
        <v>-74.644788971536201</v>
        <stp/>
        <stp>EM_S_VAL_PCF_NCFTTM</stp>
        <stp>2</stp>
        <stp>600803</stp>
        <stp>12/31/2018</stp>
        <tr r="P1898" s="1"/>
      </tp>
      <tp>
        <v>26.075633244802699</v>
        <stp/>
        <stp>EM_S_VAL_PCF_NCFTTM</stp>
        <stp>2</stp>
        <stp>000868</stp>
        <stp>12/31/2018</stp>
        <tr r="P3559" s="1"/>
      </tp>
      <tp>
        <v>89.715638246394306</v>
        <stp/>
        <stp>EM_S_VAL_PCF_NCFTTM</stp>
        <stp>2</stp>
        <stp>600808</stp>
        <stp>12/31/2018</stp>
        <tr r="P2869" s="1"/>
      </tp>
      <tp>
        <v>225.41745304362701</v>
        <stp/>
        <stp>EM_S_VAL_PCF_NCFTTM</stp>
        <stp>2</stp>
        <stp>000869</stp>
        <stp>12/31/2018</stp>
        <tr r="P1713" s="1"/>
      </tp>
      <tp>
        <v>-63.674391809635701</v>
        <stp/>
        <stp>EM_S_VAL_PCF_NCFTTM</stp>
        <stp>2</stp>
        <stp>600809</stp>
        <stp>12/31/2018</stp>
        <tr r="P75" s="1"/>
      </tp>
      <tp>
        <v>-171.912995501941</v>
        <stp/>
        <stp>EM_S_VAL_PCF_NCFTTM</stp>
        <stp>2</stp>
        <stp>600814</stp>
        <stp>12/31/2018</stp>
        <tr r="P2267" s="1"/>
      </tp>
      <tp>
        <v>9.0885400397803906</v>
        <stp/>
        <stp>EM_S_VAL_PCF_NCFTTM</stp>
        <stp>2</stp>
        <stp>000875</stp>
        <stp>12/31/2018</stp>
        <tr r="P1036" s="1"/>
      </tp>
      <tp>
        <v>-34.937881322428701</v>
        <stp/>
        <stp>EM_S_VAL_PCF_NCFTTM</stp>
        <stp>2</stp>
        <stp>600815</stp>
        <stp>12/31/2018</stp>
        <tr r="P2476" s="1"/>
      </tp>
      <tp>
        <v>12.756777465691799</v>
        <stp/>
        <stp>EM_S_VAL_PCF_NCFTTM</stp>
        <stp>2</stp>
        <stp>000876</stp>
        <stp>12/31/2018</stp>
        <tr r="P64" s="1"/>
      </tp>
      <tp>
        <v>-26.841908234736799</v>
        <stp/>
        <stp>EM_S_VAL_PCF_NCFTTM</stp>
        <stp>2</stp>
        <stp>600816</stp>
        <stp>12/31/2018</stp>
        <tr r="P2137" s="1"/>
      </tp>
      <tp>
        <v>23.203994561620199</v>
        <stp/>
        <stp>EM_S_VAL_PCF_NCFTTM</stp>
        <stp>2</stp>
        <stp>000877</stp>
        <stp>12/31/2018</stp>
        <tr r="P407" s="1"/>
      </tp>
      <tp>
        <v>-271.92120121921999</v>
        <stp/>
        <stp>EM_S_VAL_PCF_NCFTTM</stp>
        <stp>2</stp>
        <stp>600817</stp>
        <stp>12/31/2018</stp>
        <tr r="P2126" s="1"/>
      </tp>
      <tp>
        <v>26.509566395805901</v>
        <stp/>
        <stp>EM_S_VAL_PCF_NCFTTM</stp>
        <stp>2</stp>
        <stp>600810</stp>
        <stp>12/31/2018</stp>
        <tr r="P3112" s="1"/>
      </tp>
      <tp>
        <v>-7.2735609298775596</v>
        <stp/>
        <stp>EM_S_VAL_PCF_NCFTTM</stp>
        <stp>2</stp>
        <stp>600811</stp>
        <stp>12/31/2018</stp>
        <tr r="P2690" s="1"/>
      </tp>
      <tp>
        <v>-237.675051779824</v>
        <stp/>
        <stp>EM_S_VAL_PCF_NCFTTM</stp>
        <stp>2</stp>
        <stp>600812</stp>
        <stp>12/31/2018</stp>
        <tr r="P107" s="1"/>
      </tp>
      <tp>
        <v>-4829.9943841535396</v>
        <stp/>
        <stp>EM_S_VAL_PCF_NCFTTM</stp>
        <stp>2</stp>
        <stp>600813</stp>
        <stp>12/31/2018</stp>
        <tr r="P2327" s="1"/>
      </tp>
      <tp>
        <v>-29.4726302850313</v>
        <stp/>
        <stp>EM_S_VAL_PCF_NCFTTM</stp>
        <stp>2</stp>
        <stp>000878</stp>
        <stp>12/31/2018</stp>
        <tr r="P3560" s="1"/>
      </tp>
      <tp>
        <v>-346.22413115345603</v>
        <stp/>
        <stp>EM_S_VAL_PCF_NCFTTM</stp>
        <stp>2</stp>
        <stp>600818</stp>
        <stp>12/31/2018</stp>
        <tr r="P1647" s="1"/>
      </tp>
      <tp>
        <v>-60.5219508583804</v>
        <stp/>
        <stp>EM_S_VAL_PCF_NCFTTM</stp>
        <stp>2</stp>
        <stp>600819</stp>
        <stp>12/31/2018</stp>
        <tr r="P1023" s="1"/>
      </tp>
      <tp>
        <v>13.603726203744699</v>
        <stp/>
        <stp>EM_S_VAL_PCF_NCFTTM</stp>
        <stp>2</stp>
        <stp>000584</stp>
        <stp>12/31/2018</stp>
        <tr r="P2403" s="1"/>
      </tp>
      <tp>
        <v>39.6161428607926</v>
        <stp/>
        <stp>EM_S_VAL_PCF_NCFTTM</stp>
        <stp>2</stp>
        <stp>000585</stp>
        <stp>12/31/2018</stp>
        <tr r="P3467" s="1"/>
      </tp>
      <tp>
        <v>-230.83321091198101</v>
        <stp/>
        <stp>EM_S_VAL_PCF_NCFTTM</stp>
        <stp>2</stp>
        <stp>000586</stp>
        <stp>12/31/2018</stp>
        <tr r="P3468" s="1"/>
      </tp>
      <tp>
        <v>-6.1588067825126398</v>
        <stp/>
        <stp>EM_S_VAL_PCF_NCFTTM</stp>
        <stp>2</stp>
        <stp>000587</stp>
        <stp>12/31/2018</stp>
        <tr r="P3469" s="1"/>
      </tp>
      <tp>
        <v>16.834282847164101</v>
        <stp/>
        <stp>EM_S_VAL_PCF_NCFTTM</stp>
        <stp>2</stp>
        <stp>000581</stp>
        <stp>12/31/2018</stp>
        <tr r="P3465" s="1"/>
      </tp>
      <tp>
        <v>-12.950197175049899</v>
        <stp/>
        <stp>EM_S_VAL_PCF_NCFTTM</stp>
        <stp>2</stp>
        <stp>000582</stp>
        <stp>12/31/2018</stp>
        <tr r="P1167" s="1"/>
      </tp>
      <tp>
        <v>1746094.49013191</v>
        <stp/>
        <stp>EM_S_VAL_PCF_NCFTTM</stp>
        <stp>2</stp>
        <stp>000583</stp>
        <stp>12/31/2018</stp>
        <tr r="P3466" s="1"/>
      </tp>
      <tp>
        <v>317.86678563673098</v>
        <stp/>
        <stp>EM_S_VAL_PCF_NCFTTM</stp>
        <stp>2</stp>
        <stp>000588</stp>
        <stp>12/31/2018</stp>
        <tr r="P3470" s="1"/>
      </tp>
      <tp>
        <v>10.512668291311099</v>
        <stp/>
        <stp>EM_S_VAL_PCF_NCFTTM</stp>
        <stp>2</stp>
        <stp>000589</stp>
        <stp>12/31/2018</stp>
        <tr r="P3471" s="1"/>
      </tp>
      <tp>
        <v>6393.2087742925896</v>
        <stp/>
        <stp>EM_S_VAL_PCF_NCFTTM</stp>
        <stp>2</stp>
        <stp>000594</stp>
        <stp>12/31/2018</stp>
        <tr r="P3474" s="1"/>
      </tp>
      <tp>
        <v>-177.00278320285099</v>
        <stp/>
        <stp>EM_S_VAL_PCF_NCFTTM</stp>
        <stp>2</stp>
        <stp>000595</stp>
        <stp>12/31/2018</stp>
        <tr r="P3475" s="1"/>
      </tp>
      <tp>
        <v>17.1979144611085</v>
        <stp/>
        <stp>EM_S_VAL_PCF_NCFTTM</stp>
        <stp>2</stp>
        <stp>000596</stp>
        <stp>12/31/2018</stp>
        <tr r="P77" s="1"/>
      </tp>
      <tp>
        <v>-14.2521055084809</v>
        <stp/>
        <stp>EM_S_VAL_PCF_NCFTTM</stp>
        <stp>2</stp>
        <stp>000597</stp>
        <stp>12/31/2018</stp>
        <tr r="P3256" s="1"/>
      </tp>
      <tp>
        <v>15.937977385088599</v>
        <stp/>
        <stp>EM_S_VAL_PCF_NCFTTM</stp>
        <stp>2</stp>
        <stp>000590</stp>
        <stp>12/31/2018</stp>
        <tr r="P3472" s="1"/>
      </tp>
      <tp>
        <v>-60.001728289936203</v>
        <stp/>
        <stp>EM_S_VAL_PCF_NCFTTM</stp>
        <stp>2</stp>
        <stp>000591</stp>
        <stp>12/31/2018</stp>
        <tr r="P1170" s="1"/>
      </tp>
      <tp>
        <v>-58.986925318552402</v>
        <stp/>
        <stp>EM_S_VAL_PCF_NCFTTM</stp>
        <stp>2</stp>
        <stp>000592</stp>
        <stp>12/31/2018</stp>
        <tr r="P1951" s="1"/>
      </tp>
      <tp>
        <v>-888.14822474176594</v>
        <stp/>
        <stp>EM_S_VAL_PCF_NCFTTM</stp>
        <stp>2</stp>
        <stp>000593</stp>
        <stp>12/31/2018</stp>
        <tr r="P3473" s="1"/>
      </tp>
      <tp>
        <v>-250.76704486901599</v>
        <stp/>
        <stp>EM_S_VAL_PCF_NCFTTM</stp>
        <stp>2</stp>
        <stp>000598</stp>
        <stp>12/31/2018</stp>
        <tr r="P1507" s="1"/>
      </tp>
      <tp>
        <v>-49.386491230600903</v>
        <stp/>
        <stp>EM_S_VAL_PCF_NCFTTM</stp>
        <stp>2</stp>
        <stp>000599</stp>
        <stp>12/31/2018</stp>
        <tr r="P3476" s="1"/>
      </tp>
      <tp>
        <v>93.740473183837807</v>
        <stp/>
        <stp>EM_S_VAL_PCF_NCFTTM</stp>
        <stp>2</stp>
        <stp>300595</stp>
        <stp>12/31/2018</stp>
        <tr r="P1286" s="1"/>
      </tp>
      <tp>
        <v>-114.014845416962</v>
        <stp/>
        <stp>EM_S_VAL_PCF_NCFTTM</stp>
        <stp>2</stp>
        <stp>300596</stp>
        <stp>12/31/2018</stp>
        <tr r="P1350" s="1"/>
      </tp>
      <tp>
        <v>39.555520928842498</v>
        <stp/>
        <stp>EM_S_VAL_PCF_NCFTTM</stp>
        <stp>2</stp>
        <stp>300597</stp>
        <stp>12/31/2018</stp>
        <tr r="P3046" s="1"/>
      </tp>
      <tp>
        <v>-44.369756654203897</v>
        <stp/>
        <stp>EM_S_VAL_PCF_NCFTTM</stp>
        <stp>2</stp>
        <stp>300590</stp>
        <stp>12/31/2018</stp>
        <tr r="P609" s="1"/>
      </tp>
      <tp>
        <v>-20.984638904876601</v>
        <stp/>
        <stp>EM_S_VAL_PCF_NCFTTM</stp>
        <stp>2</stp>
        <stp>300591</stp>
        <stp>12/31/2018</stp>
        <tr r="P2386" s="1"/>
      </tp>
      <tp>
        <v>-36.062747040451299</v>
        <stp/>
        <stp>EM_S_VAL_PCF_NCFTTM</stp>
        <stp>2</stp>
        <stp>300592</stp>
        <stp>12/31/2018</stp>
        <tr r="P1026" s="1"/>
      </tp>
      <tp>
        <v>-62.660023665602701</v>
        <stp/>
        <stp>EM_S_VAL_PCF_NCFTTM</stp>
        <stp>2</stp>
        <stp>300593</stp>
        <stp>12/31/2018</stp>
        <tr r="P1675" s="1"/>
      </tp>
      <tp>
        <v>-32.876345318771797</v>
        <stp/>
        <stp>EM_S_VAL_PCF_NCFTTM</stp>
        <stp>2</stp>
        <stp>300598</stp>
        <stp>12/31/2018</stp>
        <tr r="P16" s="1"/>
      </tp>
      <tp>
        <v>-20.8360525768671</v>
        <stp/>
        <stp>EM_S_VAL_PCF_NCFTTM</stp>
        <stp>2</stp>
        <stp>300599</stp>
        <stp>12/31/2018</stp>
        <tr r="P2093" s="1"/>
      </tp>
      <tp>
        <v>37.021074347022797</v>
        <stp/>
        <stp>EM_S_VAL_PCF_NCFTTM</stp>
        <stp>2</stp>
        <stp>300584</stp>
        <stp>12/31/2018</stp>
        <tr r="P1602" s="1"/>
      </tp>
      <tp>
        <v>-18.436337674650598</v>
        <stp/>
        <stp>EM_S_VAL_PCF_NCFTTM</stp>
        <stp>2</stp>
        <stp>300585</stp>
        <stp>12/31/2018</stp>
        <tr r="P290" s="1"/>
      </tp>
      <tp>
        <v>15.787093907248799</v>
        <stp/>
        <stp>EM_S_VAL_PCF_NCFTTM</stp>
        <stp>2</stp>
        <stp>300586</stp>
        <stp>12/31/2018</stp>
        <tr r="P117" s="1"/>
      </tp>
      <tp>
        <v>-18.0170178367934</v>
        <stp/>
        <stp>EM_S_VAL_PCF_NCFTTM</stp>
        <stp>2</stp>
        <stp>300587</stp>
        <stp>12/31/2018</stp>
        <tr r="P2762" s="1"/>
      </tp>
      <tp>
        <v>-210.95207789151701</v>
        <stp/>
        <stp>EM_S_VAL_PCF_NCFTTM</stp>
        <stp>2</stp>
        <stp>300580</stp>
        <stp>12/31/2018</stp>
        <tr r="P1402" s="1"/>
      </tp>
      <tp>
        <v>195.94510094378001</v>
        <stp/>
        <stp>EM_S_VAL_PCF_NCFTTM</stp>
        <stp>2</stp>
        <stp>300581</stp>
        <stp>12/31/2018</stp>
        <tr r="P989" s="1"/>
      </tp>
      <tp>
        <v>31.9153894872073</v>
        <stp/>
        <stp>EM_S_VAL_PCF_NCFTTM</stp>
        <stp>2</stp>
        <stp>300582</stp>
        <stp>12/31/2018</stp>
        <tr r="P1308" s="1"/>
      </tp>
      <tp>
        <v>-61.149971430748998</v>
        <stp/>
        <stp>EM_S_VAL_PCF_NCFTTM</stp>
        <stp>2</stp>
        <stp>300583</stp>
        <stp>12/31/2018</stp>
        <tr r="P2080" s="1"/>
      </tp>
      <tp>
        <v>-80.468203628223407</v>
        <stp/>
        <stp>EM_S_VAL_PCF_NCFTTM</stp>
        <stp>2</stp>
        <stp>300588</stp>
        <stp>12/31/2018</stp>
        <tr r="P2696" s="1"/>
      </tp>
      <tp>
        <v>53.658731496367203</v>
        <stp/>
        <stp>EM_S_VAL_PCF_NCFTTM</stp>
        <stp>2</stp>
        <stp>300589</stp>
        <stp>12/31/2018</stp>
        <tr r="P1439" s="1"/>
      </tp>
      <tp>
        <v>4.6955520880494301</v>
        <stp/>
        <stp>EM_S_VAL_PCF_NCFTTM</stp>
        <stp>2</stp>
        <stp>600584</stp>
        <stp>12/31/2018</stp>
        <tr r="P62" s="1"/>
      </tp>
      <tp>
        <v>11.5249564778627</v>
        <stp/>
        <stp>EM_S_VAL_PCF_NCFTTM</stp>
        <stp>2</stp>
        <stp>600585</stp>
        <stp>12/31/2018</stp>
        <tr r="P248" s="1"/>
      </tp>
      <tp>
        <v>52.757797715668097</v>
        <stp/>
        <stp>EM_S_VAL_PCF_NCFTTM</stp>
        <stp>2</stp>
        <stp>600586</stp>
        <stp>12/31/2018</stp>
        <tr r="P2118" s="1"/>
      </tp>
      <tp>
        <v>-80.070275701575099</v>
        <stp/>
        <stp>EM_S_VAL_PCF_NCFTTM</stp>
        <stp>2</stp>
        <stp>600587</stp>
        <stp>12/31/2018</stp>
        <tr r="P1818" s="1"/>
      </tp>
      <tp>
        <v>-12.8277524677298</v>
        <stp/>
        <stp>EM_S_VAL_PCF_NCFTTM</stp>
        <stp>2</stp>
        <stp>600580</stp>
        <stp>12/31/2018</stp>
        <tr r="P186" s="1"/>
      </tp>
      <tp>
        <v>4.1012732782267198</v>
        <stp/>
        <stp>EM_S_VAL_PCF_NCFTTM</stp>
        <stp>2</stp>
        <stp>600581</stp>
        <stp>12/31/2018</stp>
        <tr r="P2480" s="1"/>
      </tp>
      <tp>
        <v>-84.477438896098306</v>
        <stp/>
        <stp>EM_S_VAL_PCF_NCFTTM</stp>
        <stp>2</stp>
        <stp>600582</stp>
        <stp>12/31/2018</stp>
        <tr r="P2641" s="1"/>
      </tp>
      <tp>
        <v>-4.26155681400334</v>
        <stp/>
        <stp>EM_S_VAL_PCF_NCFTTM</stp>
        <stp>2</stp>
        <stp>600583</stp>
        <stp>12/31/2018</stp>
        <tr r="P616" s="1"/>
      </tp>
      <tp>
        <v>90.310851677036197</v>
        <stp/>
        <stp>EM_S_VAL_PCF_NCFTTM</stp>
        <stp>2</stp>
        <stp>600588</stp>
        <stp>12/31/2018</stp>
        <tr r="P868" s="1"/>
      </tp>
      <tp>
        <v>-3.1933513605749599</v>
        <stp/>
        <stp>EM_S_VAL_PCF_NCFTTM</stp>
        <stp>2</stp>
        <stp>600589</stp>
        <stp>12/31/2018</stp>
        <tr r="P818" s="1"/>
      </tp>
      <tp>
        <v>-37.6479312943883</v>
        <stp/>
        <stp>EM_S_VAL_PCF_NCFTTM</stp>
        <stp>2</stp>
        <stp>600594</stp>
        <stp>12/31/2018</stp>
        <tr r="P2856" s="1"/>
      </tp>
      <tp>
        <v>-7.6610672398319997</v>
        <stp/>
        <stp>EM_S_VAL_PCF_NCFTTM</stp>
        <stp>2</stp>
        <stp>600595</stp>
        <stp>12/31/2018</stp>
        <tr r="P1620" s="1"/>
      </tp>
      <tp>
        <v>11.863852588466401</v>
        <stp/>
        <stp>EM_S_VAL_PCF_NCFTTM</stp>
        <stp>2</stp>
        <stp>600596</stp>
        <stp>12/31/2018</stp>
        <tr r="P2764" s="1"/>
      </tp>
      <tp>
        <v>-289.45166839267102</v>
        <stp/>
        <stp>EM_S_VAL_PCF_NCFTTM</stp>
        <stp>2</stp>
        <stp>600597</stp>
        <stp>12/31/2018</stp>
        <tr r="P587" s="1"/>
      </tp>
      <tp>
        <v>-172.430512679922</v>
        <stp/>
        <stp>EM_S_VAL_PCF_NCFTTM</stp>
        <stp>2</stp>
        <stp>600590</stp>
        <stp>12/31/2018</stp>
        <tr r="P1835" s="1"/>
      </tp>
      <tp>
        <v>21.528362405947099</v>
        <stp/>
        <stp>EM_S_VAL_PCF_NCFTTM</stp>
        <stp>2</stp>
        <stp>600591</stp>
        <stp>12/31/2018</stp>
        <tr r="P2305" s="1"/>
      </tp>
      <tp>
        <v>80.377979044610498</v>
        <stp/>
        <stp>EM_S_VAL_PCF_NCFTTM</stp>
        <stp>2</stp>
        <stp>600592</stp>
        <stp>12/31/2018</stp>
        <tr r="P53" s="1"/>
      </tp>
      <tp>
        <v>-158.76361963385401</v>
        <stp/>
        <stp>EM_S_VAL_PCF_NCFTTM</stp>
        <stp>2</stp>
        <stp>600593</stp>
        <stp>12/31/2018</stp>
        <tr r="P387" s="1"/>
      </tp>
      <tp>
        <v>-166.51230632390201</v>
        <stp/>
        <stp>EM_S_VAL_PCF_NCFTTM</stp>
        <stp>2</stp>
        <stp>600598</stp>
        <stp>12/31/2018</stp>
        <tr r="P1569" s="1"/>
      </tp>
      <tp>
        <v>-9.8610134851866</v>
        <stp/>
        <stp>EM_S_VAL_PCF_NCFTTM</stp>
        <stp>2</stp>
        <stp>600599</stp>
        <stp>12/31/2018</stp>
        <tr r="P2128" s="1"/>
      </tp>
      <tp>
        <v>1700.8783024045099</v>
        <stp/>
        <stp>EM_S_VAL_PCF_NCFTTM</stp>
        <stp>2</stp>
        <stp>000504</stp>
        <stp>12/31/2018</stp>
        <tr r="P3431" s="1"/>
      </tp>
      <tp>
        <v>220.93885672847901</v>
        <stp/>
        <stp>EM_S_VAL_PCF_NCFTTM</stp>
        <stp>2</stp>
        <stp>300534</stp>
        <stp>12/31/2018</stp>
        <tr r="P2141" s="1"/>
      </tp>
      <tp>
        <v>51.824997979505497</v>
        <stp/>
        <stp>EM_S_VAL_PCF_NCFTTM</stp>
        <stp>2</stp>
        <stp>000505</stp>
        <stp>12/31/2018</stp>
        <tr r="P3432" s="1"/>
      </tp>
      <tp>
        <v>-33.677911441609602</v>
        <stp/>
        <stp>EM_S_VAL_PCF_NCFTTM</stp>
        <stp>2</stp>
        <stp>300535</stp>
        <stp>12/31/2018</stp>
        <tr r="P1948" s="1"/>
      </tp>
      <tp>
        <v>33.836124714408797</v>
        <stp/>
        <stp>EM_S_VAL_PCF_NCFTTM</stp>
        <stp>2</stp>
        <stp>600565</stp>
        <stp>12/31/2018</stp>
        <tr r="P845" s="1"/>
      </tp>
      <tp>
        <v>-53.2468821577528</v>
        <stp/>
        <stp>EM_S_VAL_PCF_NCFTTM</stp>
        <stp>2</stp>
        <stp>000506</stp>
        <stp>12/31/2018</stp>
        <tr r="P3433" s="1"/>
      </tp>
      <tp>
        <v>52.3758262765244</v>
        <stp/>
        <stp>EM_S_VAL_PCF_NCFTTM</stp>
        <stp>2</stp>
        <stp>300536</stp>
        <stp>12/31/2018</stp>
        <tr r="P2931" s="1"/>
      </tp>
      <tp>
        <v>35.472303883175996</v>
        <stp/>
        <stp>EM_S_VAL_PCF_NCFTTM</stp>
        <stp>2</stp>
        <stp>600566</stp>
        <stp>12/31/2018</stp>
        <tr r="P3221" s="1"/>
      </tp>
      <tp>
        <v>17.7154056697347</v>
        <stp/>
        <stp>EM_S_VAL_PCF_NCFTTM</stp>
        <stp>2</stp>
        <stp>000507</stp>
        <stp>12/31/2018</stp>
        <tr r="P2637" s="1"/>
      </tp>
      <tp>
        <v>-9.9662809273906703</v>
        <stp/>
        <stp>EM_S_VAL_PCF_NCFTTM</stp>
        <stp>2</stp>
        <stp>300537</stp>
        <stp>12/31/2018</stp>
        <tr r="P142" s="1"/>
      </tp>
      <tp>
        <v>-18.551885991634201</v>
        <stp/>
        <stp>EM_S_VAL_PCF_NCFTTM</stp>
        <stp>2</stp>
        <stp>600567</stp>
        <stp>12/31/2018</stp>
        <tr r="P1183" s="1"/>
      </tp>
      <tp>
        <v>117.246597178746</v>
        <stp/>
        <stp>EM_S_VAL_PCF_NCFTTM</stp>
        <stp>2</stp>
        <stp>300530</stp>
        <stp>12/31/2018</stp>
        <tr r="P1349" s="1"/>
      </tp>
      <tp>
        <v>-54.032711939500302</v>
        <stp/>
        <stp>EM_S_VAL_PCF_NCFTTM</stp>
        <stp>2</stp>
        <stp>600560</stp>
        <stp>12/31/2018</stp>
        <tr r="P1883" s="1"/>
      </tp>
      <tp>
        <v>13.242534402497199</v>
        <stp/>
        <stp>EM_S_VAL_PCF_NCFTTM</stp>
        <stp>2</stp>
        <stp>000501</stp>
        <stp>12/31/2018</stp>
        <tr r="P3428" s="1"/>
      </tp>
      <tp>
        <v>61.317605902122502</v>
        <stp/>
        <stp>EM_S_VAL_PCF_NCFTTM</stp>
        <stp>2</stp>
        <stp>300531</stp>
        <stp>12/31/2018</stp>
        <tr r="P2481" s="1"/>
      </tp>
      <tp>
        <v>-3.29099175110583</v>
        <stp/>
        <stp>EM_S_VAL_PCF_NCFTTM</stp>
        <stp>2</stp>
        <stp>600561</stp>
        <stp>12/31/2018</stp>
        <tr r="P1927" s="1"/>
      </tp>
      <tp>
        <v>-161.56254438392401</v>
        <stp/>
        <stp>EM_S_VAL_PCF_NCFTTM</stp>
        <stp>2</stp>
        <stp>000502</stp>
        <stp>12/31/2018</stp>
        <tr r="P3429" s="1"/>
      </tp>
      <tp>
        <v>-68.989697711246805</v>
        <stp/>
        <stp>EM_S_VAL_PCF_NCFTTM</stp>
        <stp>2</stp>
        <stp>300532</stp>
        <stp>12/31/2018</stp>
        <tr r="P1967" s="1"/>
      </tp>
      <tp>
        <v>-60.017525059125198</v>
        <stp/>
        <stp>EM_S_VAL_PCF_NCFTTM</stp>
        <stp>2</stp>
        <stp>600562</stp>
        <stp>12/31/2018</stp>
        <tr r="P1682" s="1"/>
      </tp>
      <tp>
        <v>128.73203046749899</v>
        <stp/>
        <stp>EM_S_VAL_PCF_NCFTTM</stp>
        <stp>2</stp>
        <stp>000503</stp>
        <stp>12/31/2018</stp>
        <tr r="P3430" s="1"/>
      </tp>
      <tp>
        <v>51.129998510098098</v>
        <stp/>
        <stp>EM_S_VAL_PCF_NCFTTM</stp>
        <stp>2</stp>
        <stp>300533</stp>
        <stp>12/31/2018</stp>
        <tr r="P687" s="1"/>
      </tp>
      <tp>
        <v>-30.193595867366401</v>
        <stp/>
        <stp>EM_S_VAL_PCF_NCFTTM</stp>
        <stp>2</stp>
        <stp>600563</stp>
        <stp>12/31/2018</stp>
        <tr r="P1335" s="1"/>
      </tp>
      <tp>
        <v>0</v>
        <stp/>
        <stp>EM_S_VAL_PCF_NCFTTM</stp>
        <stp>2</stp>
        <stp>000508</stp>
        <stp>12/31/2018</stp>
        <tr r="P3434" s="1"/>
      </tp>
      <tp>
        <v>-184.975151864342</v>
        <stp/>
        <stp>EM_S_VAL_PCF_NCFTTM</stp>
        <stp>2</stp>
        <stp>300538</stp>
        <stp>12/31/2018</stp>
        <tr r="P2971" s="1"/>
      </tp>
      <tp>
        <v>-24.747198325973201</v>
        <stp/>
        <stp>EM_S_VAL_PCF_NCFTTM</stp>
        <stp>2</stp>
        <stp>600568</stp>
        <stp>12/31/2018</stp>
        <tr r="P3135" s="1"/>
      </tp>
      <tp>
        <v>-79.141665480405095</v>
        <stp/>
        <stp>EM_S_VAL_PCF_NCFTTM</stp>
        <stp>2</stp>
        <stp>000509</stp>
        <stp>12/31/2018</stp>
        <tr r="P3435" s="1"/>
      </tp>
      <tp>
        <v>-10.019050722548799</v>
        <stp/>
        <stp>EM_S_VAL_PCF_NCFTTM</stp>
        <stp>2</stp>
        <stp>300539</stp>
        <stp>12/31/2018</stp>
        <tr r="P2767" s="1"/>
      </tp>
      <tp>
        <v>19.131001056042301</v>
        <stp/>
        <stp>EM_S_VAL_PCF_NCFTTM</stp>
        <stp>2</stp>
        <stp>600569</stp>
        <stp>12/31/2018</stp>
        <tr r="P3012" s="1"/>
      </tp>
      <tp>
        <v>-3.5551056827737102</v>
        <stp/>
        <stp>EM_S_VAL_PCF_NCFTTM</stp>
        <stp>2</stp>
        <stp>000514</stp>
        <stp>12/31/2018</stp>
        <tr r="P3437" s="1"/>
      </tp>
      <tp>
        <v>-129.243507938742</v>
        <stp/>
        <stp>EM_S_VAL_PCF_NCFTTM</stp>
        <stp>2</stp>
        <stp>000515</stp>
        <stp>12/31/2018</stp>
        <tr r="P3438" s="1"/>
      </tp>
      <tp>
        <v>-26.422331334611599</v>
        <stp/>
        <stp>EM_S_VAL_PCF_NCFTTM</stp>
        <stp>2</stp>
        <stp>300525</stp>
        <stp>12/31/2018</stp>
        <tr r="P381" s="1"/>
      </tp>
      <tp>
        <v>24.320728480155001</v>
        <stp/>
        <stp>EM_S_VAL_PCF_NCFTTM</stp>
        <stp>2</stp>
        <stp>600575</stp>
        <stp>12/31/2018</stp>
        <tr r="P1229" s="1"/>
      </tp>
      <tp>
        <v>15.751842561603</v>
        <stp/>
        <stp>EM_S_VAL_PCF_NCFTTM</stp>
        <stp>2</stp>
        <stp>000516</stp>
        <stp>12/31/2018</stp>
        <tr r="P3439" s="1"/>
      </tp>
      <tp>
        <v>92.755554012043007</v>
        <stp/>
        <stp>EM_S_VAL_PCF_NCFTTM</stp>
        <stp>2</stp>
        <stp>300526</stp>
        <stp>12/31/2018</stp>
        <tr r="P21" s="1"/>
      </tp>
      <tp>
        <v>17.5792660100884</v>
        <stp/>
        <stp>EM_S_VAL_PCF_NCFTTM</stp>
        <stp>2</stp>
        <stp>600576</stp>
        <stp>12/31/2018</stp>
        <tr r="P1411" s="1"/>
      </tp>
      <tp>
        <v>7.5928305796224498</v>
        <stp/>
        <stp>EM_S_VAL_PCF_NCFTTM</stp>
        <stp>2</stp>
        <stp>000517</stp>
        <stp>12/31/2018</stp>
        <tr r="P3440" s="1"/>
      </tp>
      <tp>
        <v>-17.582599548186099</v>
        <stp/>
        <stp>EM_S_VAL_PCF_NCFTTM</stp>
        <stp>2</stp>
        <stp>300527</stp>
        <stp>12/31/2018</stp>
        <tr r="P365" s="1"/>
      </tp>
      <tp>
        <v>-209.82363949887201</v>
        <stp/>
        <stp>EM_S_VAL_PCF_NCFTTM</stp>
        <stp>2</stp>
        <stp>600577</stp>
        <stp>12/31/2018</stp>
        <tr r="P2701" s="1"/>
      </tp>
      <tp>
        <v>194.68368286959901</v>
        <stp/>
        <stp>EM_S_VAL_PCF_NCFTTM</stp>
        <stp>2</stp>
        <stp>000510</stp>
        <stp>12/31/2018</stp>
        <tr r="P1993" s="1"/>
      </tp>
      <tp>
        <v>-25.877966942317901</v>
        <stp/>
        <stp>EM_S_VAL_PCF_NCFTTM</stp>
        <stp>2</stp>
        <stp>300520</stp>
        <stp>12/31/2018</stp>
        <tr r="P1078" s="1"/>
      </tp>
      <tp>
        <v>198.04490066214001</v>
        <stp/>
        <stp>EM_S_VAL_PCF_NCFTTM</stp>
        <stp>2</stp>
        <stp>600570</stp>
        <stp>12/31/2018</stp>
        <tr r="P583" s="1"/>
      </tp>
      <tp>
        <v>-42.241240197980098</v>
        <stp/>
        <stp>EM_S_VAL_PCF_NCFTTM</stp>
        <stp>2</stp>
        <stp>000511</stp>
        <stp>12/31/2018</stp>
        <tr r="P3436" s="1"/>
      </tp>
      <tp>
        <v>-39.209118110932501</v>
        <stp/>
        <stp>EM_S_VAL_PCF_NCFTTM</stp>
        <stp>2</stp>
        <stp>300521</stp>
        <stp>12/31/2018</stp>
        <tr r="P1258" s="1"/>
      </tp>
      <tp>
        <v>-27.587619731495401</v>
        <stp/>
        <stp>EM_S_VAL_PCF_NCFTTM</stp>
        <stp>2</stp>
        <stp>600571</stp>
        <stp>12/31/2018</stp>
        <tr r="P555" s="1"/>
      </tp>
      <tp>
        <v>48.576604412733701</v>
        <stp/>
        <stp>EM_S_VAL_PCF_NCFTTM</stp>
        <stp>2</stp>
        <stp>300522</stp>
        <stp>12/31/2018</stp>
        <tr r="P1837" s="1"/>
      </tp>
      <tp>
        <v>25.8470604140368</v>
        <stp/>
        <stp>EM_S_VAL_PCF_NCFTTM</stp>
        <stp>2</stp>
        <stp>600572</stp>
        <stp>12/31/2018</stp>
        <tr r="P2179" s="1"/>
      </tp>
      <tp>
        <v>-45.781470923133703</v>
        <stp/>
        <stp>EM_S_VAL_PCF_NCFTTM</stp>
        <stp>2</stp>
        <stp>000513</stp>
        <stp>12/31/2018</stp>
        <tr r="P913" s="1"/>
      </tp>
      <tp>
        <v>-104.649516278729</v>
        <stp/>
        <stp>EM_S_VAL_PCF_NCFTTM</stp>
        <stp>2</stp>
        <stp>300523</stp>
        <stp>12/31/2018</stp>
        <tr r="P3143" s="1"/>
      </tp>
      <tp>
        <v>44.824158239279299</v>
        <stp/>
        <stp>EM_S_VAL_PCF_NCFTTM</stp>
        <stp>2</stp>
        <stp>600573</stp>
        <stp>12/31/2018</stp>
        <tr r="P2085" s="1"/>
      </tp>
      <tp>
        <v>-846.89074211582999</v>
        <stp/>
        <stp>EM_S_VAL_PCF_NCFTTM</stp>
        <stp>2</stp>
        <stp>000518</stp>
        <stp>12/31/2018</stp>
        <tr r="P3441" s="1"/>
      </tp>
      <tp>
        <v>-8.0527403119869607</v>
        <stp/>
        <stp>EM_S_VAL_PCF_NCFTTM</stp>
        <stp>2</stp>
        <stp>300528</stp>
        <stp>12/31/2018</stp>
        <tr r="P3044" s="1"/>
      </tp>
      <tp>
        <v>48.587460132138297</v>
        <stp/>
        <stp>EM_S_VAL_PCF_NCFTTM</stp>
        <stp>2</stp>
        <stp>600578</stp>
        <stp>12/31/2018</stp>
        <tr r="P1962" s="1"/>
      </tp>
      <tp>
        <v>12.576852917279</v>
        <stp/>
        <stp>EM_S_VAL_PCF_NCFTTM</stp>
        <stp>2</stp>
        <stp>000519</stp>
        <stp>12/31/2018</stp>
        <tr r="P1223" s="1"/>
      </tp>
      <tp>
        <v>23.259551749085301</v>
        <stp/>
        <stp>EM_S_VAL_PCF_NCFTTM</stp>
        <stp>2</stp>
        <stp>300529</stp>
        <stp>12/31/2018</stp>
        <tr r="P323" s="1"/>
      </tp>
      <tp>
        <v>-9690.5836442989093</v>
        <stp/>
        <stp>EM_S_VAL_PCF_NCFTTM</stp>
        <stp>2</stp>
        <stp>600579</stp>
        <stp>12/31/2018</stp>
        <tr r="P3071" s="1"/>
      </tp>
      <tp>
        <v>-32.407868290151498</v>
        <stp/>
        <stp>EM_S_VAL_PCF_NCFTTM</stp>
        <stp>2</stp>
        <stp>000524</stp>
        <stp>12/31/2018</stp>
        <tr r="P1832" s="1"/>
      </tp>
      <tp>
        <v>-69.133792015967501</v>
        <stp/>
        <stp>EM_S_VAL_PCF_NCFTTM</stp>
        <stp>2</stp>
        <stp>300514</stp>
        <stp>12/31/2018</stp>
        <tr r="P2250" s="1"/>
      </tp>
      <tp>
        <v>-18.309429492873502</v>
        <stp/>
        <stp>EM_S_VAL_PCF_NCFTTM</stp>
        <stp>2</stp>
        <stp>000525</stp>
        <stp>12/31/2018</stp>
        <tr r="P3231" s="1"/>
      </tp>
      <tp>
        <v>117.770677318498</v>
        <stp/>
        <stp>EM_S_VAL_PCF_NCFTTM</stp>
        <stp>2</stp>
        <stp>300515</stp>
        <stp>12/31/2018</stp>
        <tr r="P1615" s="1"/>
      </tp>
      <tp>
        <v>-9.1424750958828405</v>
        <stp/>
        <stp>EM_S_VAL_PCF_NCFTTM</stp>
        <stp>2</stp>
        <stp>600545</stp>
        <stp>12/31/2018</stp>
        <tr r="P3035" s="1"/>
      </tp>
      <tp>
        <v>8.4074457994921499</v>
        <stp/>
        <stp>EM_S_VAL_PCF_NCFTTM</stp>
        <stp>2</stp>
        <stp>000526</stp>
        <stp>12/31/2018</stp>
        <tr r="P325" s="1"/>
      </tp>
      <tp>
        <v>21.9373468748826</v>
        <stp/>
        <stp>EM_S_VAL_PCF_NCFTTM</stp>
        <stp>2</stp>
        <stp>300516</stp>
        <stp>12/31/2018</stp>
        <tr r="P1820" s="1"/>
      </tp>
      <tp>
        <v>2.9140634351446901</v>
        <stp/>
        <stp>EM_S_VAL_PCF_NCFTTM</stp>
        <stp>2</stp>
        <stp>600546</stp>
        <stp>12/31/2018</stp>
        <tr r="P191" s="1"/>
      </tp>
      <tp>
        <v>8.8809071646029807</v>
        <stp/>
        <stp>EM_S_VAL_PCF_NCFTTM</stp>
        <stp>2</stp>
        <stp>000527</stp>
        <stp>12/31/2018</stp>
        <tr r="P3443" s="1"/>
      </tp>
      <tp>
        <v>-22.085949714345301</v>
        <stp/>
        <stp>EM_S_VAL_PCF_NCFTTM</stp>
        <stp>2</stp>
        <stp>300517</stp>
        <stp>12/31/2018</stp>
        <tr r="P1512" s="1"/>
      </tp>
      <tp>
        <v>18.315436871474599</v>
        <stp/>
        <stp>EM_S_VAL_PCF_NCFTTM</stp>
        <stp>2</stp>
        <stp>600547</stp>
        <stp>12/31/2018</stp>
        <tr r="P1942" s="1"/>
      </tp>
      <tp>
        <v>-69.887439403850394</v>
        <stp/>
        <stp>EM_S_VAL_PCF_NCFTTM</stp>
        <stp>2</stp>
        <stp>000520</stp>
        <stp>12/31/2018</stp>
        <tr r="P641" s="1"/>
      </tp>
      <tp>
        <v>64.237071735170403</v>
        <stp/>
        <stp>EM_S_VAL_PCF_NCFTTM</stp>
        <stp>2</stp>
        <stp>300510</stp>
        <stp>12/31/2018</stp>
        <tr r="P3188" s="1"/>
      </tp>
      <tp>
        <v>-38.690404047283202</v>
        <stp/>
        <stp>EM_S_VAL_PCF_NCFTTM</stp>
        <stp>2</stp>
        <stp>600540</stp>
        <stp>12/31/2018</stp>
        <tr r="P1667" s="1"/>
      </tp>
      <tp>
        <v>-6.4334529634621704</v>
        <stp/>
        <stp>EM_S_VAL_PCF_NCFTTM</stp>
        <stp>2</stp>
        <stp>000521</stp>
        <stp>12/31/2018</stp>
        <tr r="P1492" s="1"/>
      </tp>
      <tp>
        <v>-7.7989991238572696</v>
        <stp/>
        <stp>EM_S_VAL_PCF_NCFTTM</stp>
        <stp>2</stp>
        <stp>300511</stp>
        <stp>12/31/2018</stp>
        <tr r="P1595" s="1"/>
      </tp>
      <tp>
        <v>87.0421048839778</v>
        <stp/>
        <stp>EM_S_VAL_PCF_NCFTTM</stp>
        <stp>2</stp>
        <stp>000522</stp>
        <stp>12/31/2018</stp>
        <tr r="P3442" s="1"/>
      </tp>
      <tp>
        <v>11.245127706381901</v>
        <stp/>
        <stp>EM_S_VAL_PCF_NCFTTM</stp>
        <stp>2</stp>
        <stp>300512</stp>
        <stp>12/31/2018</stp>
        <tr r="P2554" s="1"/>
      </tp>
      <tp>
        <v>-16.1406758649563</v>
        <stp/>
        <stp>EM_S_VAL_PCF_NCFTTM</stp>
        <stp>2</stp>
        <stp>000523</stp>
        <stp>12/31/2018</stp>
        <tr r="P204" s="1"/>
      </tp>
      <tp>
        <v>-75.221581180168002</v>
        <stp/>
        <stp>EM_S_VAL_PCF_NCFTTM</stp>
        <stp>2</stp>
        <stp>300513</stp>
        <stp>12/31/2018</stp>
        <tr r="P3312" s="1"/>
      </tp>
      <tp>
        <v>-95.239107339941995</v>
        <stp/>
        <stp>EM_S_VAL_PCF_NCFTTM</stp>
        <stp>2</stp>
        <stp>600543</stp>
        <stp>12/31/2018</stp>
        <tr r="P2825" s="1"/>
      </tp>
      <tp>
        <v>-7.1478932715748398</v>
        <stp/>
        <stp>EM_S_VAL_PCF_NCFTTM</stp>
        <stp>2</stp>
        <stp>000528</stp>
        <stp>12/31/2018</stp>
        <tr r="P1542" s="1"/>
      </tp>
      <tp>
        <v>-12.797201163801599</v>
        <stp/>
        <stp>EM_S_VAL_PCF_NCFTTM</stp>
        <stp>2</stp>
        <stp>300518</stp>
        <stp>12/31/2018</stp>
        <tr r="P1346" s="1"/>
      </tp>
      <tp>
        <v>177.450340610891</v>
        <stp/>
        <stp>EM_S_VAL_PCF_NCFTTM</stp>
        <stp>2</stp>
        <stp>600548</stp>
        <stp>12/31/2018</stp>
        <tr r="P1053" s="1"/>
      </tp>
      <tp>
        <v>22.012752531703502</v>
        <stp/>
        <stp>EM_S_VAL_PCF_NCFTTM</stp>
        <stp>2</stp>
        <stp>000529</stp>
        <stp>12/31/2018</stp>
        <tr r="P546" s="1"/>
      </tp>
      <tp>
        <v>60.821626555529598</v>
        <stp/>
        <stp>EM_S_VAL_PCF_NCFTTM</stp>
        <stp>2</stp>
        <stp>300519</stp>
        <stp>12/31/2018</stp>
        <tr r="P2466" s="1"/>
      </tp>
      <tp>
        <v>159.104616494157</v>
        <stp/>
        <stp>EM_S_VAL_PCF_NCFTTM</stp>
        <stp>2</stp>
        <stp>600549</stp>
        <stp>12/31/2018</stp>
        <tr r="P1788" s="1"/>
      </tp>
      <tp>
        <v>-33.125752506334599</v>
        <stp/>
        <stp>EM_S_VAL_PCF_NCFTTM</stp>
        <stp>2</stp>
        <stp>000534</stp>
        <stp>12/31/2018</stp>
        <tr r="P2858" s="1"/>
      </tp>
      <tp>
        <v>57.669863203544402</v>
        <stp/>
        <stp>EM_S_VAL_PCF_NCFTTM</stp>
        <stp>2</stp>
        <stp>300504</stp>
        <stp>12/31/2018</stp>
        <tr r="P2863" s="1"/>
      </tp>
      <tp>
        <v>-48.345106193153697</v>
        <stp/>
        <stp>EM_S_VAL_PCF_NCFTTM</stp>
        <stp>2</stp>
        <stp>000535</stp>
        <stp>12/31/2018</stp>
        <tr r="P3446" s="1"/>
      </tp>
      <tp>
        <v>-43.683772731353002</v>
        <stp/>
        <stp>EM_S_VAL_PCF_NCFTTM</stp>
        <stp>2</stp>
        <stp>300505</stp>
        <stp>12/31/2018</stp>
        <tr r="P2103" s="1"/>
      </tp>
      <tp>
        <v>49.2272527000911</v>
        <stp/>
        <stp>EM_S_VAL_PCF_NCFTTM</stp>
        <stp>2</stp>
        <stp>600555</stp>
        <stp>12/31/2018</stp>
        <tr r="P3045" s="1"/>
      </tp>
      <tp>
        <v>-5.6149035183497604</v>
        <stp/>
        <stp>EM_S_VAL_PCF_NCFTTM</stp>
        <stp>2</stp>
        <stp>000536</stp>
        <stp>12/31/2018</stp>
        <tr r="P3447" s="1"/>
      </tp>
      <tp>
        <v>7.5160885139067801</v>
        <stp/>
        <stp>EM_S_VAL_PCF_NCFTTM</stp>
        <stp>2</stp>
        <stp>300506</stp>
        <stp>12/31/2018</stp>
        <tr r="P3320" s="1"/>
      </tp>
      <tp>
        <v>4407.6682126306996</v>
        <stp/>
        <stp>EM_S_VAL_PCF_NCFTTM</stp>
        <stp>2</stp>
        <stp>600556</stp>
        <stp>12/31/2018</stp>
        <tr r="P210" s="1"/>
      </tp>
      <tp>
        <v>-2.5052591814913501</v>
        <stp/>
        <stp>EM_S_VAL_PCF_NCFTTM</stp>
        <stp>2</stp>
        <stp>000537</stp>
        <stp>12/31/2018</stp>
        <tr r="P2013" s="1"/>
      </tp>
      <tp>
        <v>-70.3673964968348</v>
        <stp/>
        <stp>EM_S_VAL_PCF_NCFTTM</stp>
        <stp>2</stp>
        <stp>300507</stp>
        <stp>12/31/2018</stp>
        <tr r="P3002" s="1"/>
      </tp>
      <tp>
        <v>86.026502173913599</v>
        <stp/>
        <stp>EM_S_VAL_PCF_NCFTTM</stp>
        <stp>2</stp>
        <stp>600557</stp>
        <stp>12/31/2018</stp>
        <tr r="P737" s="1"/>
      </tp>
      <tp>
        <v>-15.983669779830199</v>
        <stp/>
        <stp>EM_S_VAL_PCF_NCFTTM</stp>
        <stp>2</stp>
        <stp>000530</stp>
        <stp>12/31/2018</stp>
        <tr r="P3444" s="1"/>
      </tp>
      <tp>
        <v>-64.551966795460004</v>
        <stp/>
        <stp>EM_S_VAL_PCF_NCFTTM</stp>
        <stp>2</stp>
        <stp>300500</stp>
        <stp>12/31/2018</stp>
        <tr r="P3235" s="1"/>
      </tp>
      <tp>
        <v>-6.2804983612872398</v>
        <stp/>
        <stp>EM_S_VAL_PCF_NCFTTM</stp>
        <stp>2</stp>
        <stp>600550</stp>
        <stp>12/31/2018</stp>
        <tr r="P2983" s="1"/>
      </tp>
      <tp>
        <v>7.4264743479015101</v>
        <stp/>
        <stp>EM_S_VAL_PCF_NCFTTM</stp>
        <stp>2</stp>
        <stp>000531</stp>
        <stp>12/31/2018</stp>
        <tr r="P806" s="1"/>
      </tp>
      <tp>
        <v>3529.6463903697299</v>
        <stp/>
        <stp>EM_S_VAL_PCF_NCFTTM</stp>
        <stp>2</stp>
        <stp>300501</stp>
        <stp>12/31/2018</stp>
        <tr r="P3206" s="1"/>
      </tp>
      <tp>
        <v>-32.430872904506899</v>
        <stp/>
        <stp>EM_S_VAL_PCF_NCFTTM</stp>
        <stp>2</stp>
        <stp>600551</stp>
        <stp>12/31/2018</stp>
        <tr r="P2574" s="1"/>
      </tp>
      <tp>
        <v>23.365732470601898</v>
        <stp/>
        <stp>EM_S_VAL_PCF_NCFTTM</stp>
        <stp>2</stp>
        <stp>000532</stp>
        <stp>12/31/2018</stp>
        <tr r="P1180" s="1"/>
      </tp>
      <tp>
        <v>109.852671518422</v>
        <stp/>
        <stp>EM_S_VAL_PCF_NCFTTM</stp>
        <stp>2</stp>
        <stp>300502</stp>
        <stp>12/31/2018</stp>
        <tr r="P171" s="1"/>
      </tp>
      <tp>
        <v>-26.319294535214802</v>
        <stp/>
        <stp>EM_S_VAL_PCF_NCFTTM</stp>
        <stp>2</stp>
        <stp>600552</stp>
        <stp>12/31/2018</stp>
        <tr r="P420" s="1"/>
      </tp>
      <tp>
        <v>-454.52111140945402</v>
        <stp/>
        <stp>EM_S_VAL_PCF_NCFTTM</stp>
        <stp>2</stp>
        <stp>000533</stp>
        <stp>12/31/2018</stp>
        <tr r="P3445" s="1"/>
      </tp>
      <tp>
        <v>-83.786182707903293</v>
        <stp/>
        <stp>EM_S_VAL_PCF_NCFTTM</stp>
        <stp>2</stp>
        <stp>300503</stp>
        <stp>12/31/2018</stp>
        <tr r="P978" s="1"/>
      </tp>
      <tp>
        <v>-39.058248754637702</v>
        <stp/>
        <stp>EM_S_VAL_PCF_NCFTTM</stp>
        <stp>2</stp>
        <stp>600553</stp>
        <stp>12/31/2018</stp>
        <tr r="P2304" s="1"/>
      </tp>
      <tp>
        <v>-341.259535682148</v>
        <stp/>
        <stp>EM_S_VAL_PCF_NCFTTM</stp>
        <stp>2</stp>
        <stp>000538</stp>
        <stp>12/31/2018</stp>
        <tr r="P1317" s="1"/>
      </tp>
      <tp>
        <v>182.82238216087501</v>
        <stp/>
        <stp>EM_S_VAL_PCF_NCFTTM</stp>
        <stp>2</stp>
        <stp>300508</stp>
        <stp>12/31/2018</stp>
        <tr r="P1385" s="1"/>
      </tp>
      <tp>
        <v>48.798149836238203</v>
        <stp/>
        <stp>EM_S_VAL_PCF_NCFTTM</stp>
        <stp>2</stp>
        <stp>600558</stp>
        <stp>12/31/2018</stp>
        <tr r="P2115" s="1"/>
      </tp>
      <tp>
        <v>27.504578267677299</v>
        <stp/>
        <stp>EM_S_VAL_PCF_NCFTTM</stp>
        <stp>2</stp>
        <stp>000539</stp>
        <stp>12/31/2018</stp>
        <tr r="P2832" s="1"/>
      </tp>
      <tp>
        <v>-22.8326062568301</v>
        <stp/>
        <stp>EM_S_VAL_PCF_NCFTTM</stp>
        <stp>2</stp>
        <stp>300509</stp>
        <stp>12/31/2018</stp>
        <tr r="P3148" s="1"/>
      </tp>
      <tp>
        <v>49.063438009304299</v>
        <stp/>
        <stp>EM_S_VAL_PCF_NCFTTM</stp>
        <stp>2</stp>
        <stp>600559</stp>
        <stp>12/31/2018</stp>
        <tr r="P2704" s="1"/>
      </tp>
      <tp>
        <v>709.31961872409295</v>
        <stp/>
        <stp>EM_S_VAL_PCF_NCFTTM</stp>
        <stp>2</stp>
        <stp>000544</stp>
        <stp>12/31/2018</stp>
        <tr r="P1160" s="1"/>
      </tp>
      <tp>
        <v>1912.5198527237301</v>
        <stp/>
        <stp>EM_S_VAL_PCF_NCFTTM</stp>
        <stp>2</stp>
        <stp>000545</stp>
        <stp>12/31/2018</stp>
        <tr r="P2486" s="1"/>
      </tp>
      <tp>
        <v>-91.228574999833498</v>
        <stp/>
        <stp>EM_S_VAL_PCF_NCFTTM</stp>
        <stp>2</stp>
        <stp>300575</stp>
        <stp>12/31/2018</stp>
        <tr r="P3269" s="1"/>
      </tp>
      <tp>
        <v>11.0767650914442</v>
        <stp/>
        <stp>EM_S_VAL_PCF_NCFTTM</stp>
        <stp>2</stp>
        <stp>600525</stp>
        <stp>12/31/2018</stp>
        <tr r="P831" s="1"/>
      </tp>
      <tp>
        <v>-31.258704408241201</v>
        <stp/>
        <stp>EM_S_VAL_PCF_NCFTTM</stp>
        <stp>2</stp>
        <stp>000546</stp>
        <stp>12/31/2018</stp>
        <tr r="P1381" s="1"/>
      </tp>
      <tp>
        <v>-2783.71753720063</v>
        <stp/>
        <stp>EM_S_VAL_PCF_NCFTTM</stp>
        <stp>2</stp>
        <stp>300576</stp>
        <stp>12/31/2018</stp>
        <tr r="P161" s="1"/>
      </tp>
      <tp>
        <v>64.364215661851901</v>
        <stp/>
        <stp>EM_S_VAL_PCF_NCFTTM</stp>
        <stp>2</stp>
        <stp>600526</stp>
        <stp>12/31/2018</stp>
        <tr r="P1544" s="1"/>
      </tp>
      <tp>
        <v>332.14288867006297</v>
        <stp/>
        <stp>EM_S_VAL_PCF_NCFTTM</stp>
        <stp>2</stp>
        <stp>000547</stp>
        <stp>12/31/2018</stp>
        <tr r="P790" s="1"/>
      </tp>
      <tp>
        <v>37.0771157572606</v>
        <stp/>
        <stp>EM_S_VAL_PCF_NCFTTM</stp>
        <stp>2</stp>
        <stp>300577</stp>
        <stp>12/31/2018</stp>
        <tr r="P1691" s="1"/>
      </tp>
      <tp>
        <v>4.7517509898515504</v>
        <stp/>
        <stp>EM_S_VAL_PCF_NCFTTM</stp>
        <stp>2</stp>
        <stp>600527</stp>
        <stp>12/31/2018</stp>
        <tr r="P2084" s="1"/>
      </tp>
      <tp>
        <v>2.77735929181847</v>
        <stp/>
        <stp>EM_S_VAL_PCF_NCFTTM</stp>
        <stp>2</stp>
        <stp>000540</stp>
        <stp>12/31/2018</stp>
        <tr r="P3448" s="1"/>
      </tp>
      <tp>
        <v>-37.880607173943702</v>
        <stp/>
        <stp>EM_S_VAL_PCF_NCFTTM</stp>
        <stp>2</stp>
        <stp>300570</stp>
        <stp>12/31/2018</stp>
        <tr r="P674" s="1"/>
      </tp>
      <tp>
        <v>406.69708784901599</v>
        <stp/>
        <stp>EM_S_VAL_PCF_NCFTTM</stp>
        <stp>2</stp>
        <stp>600520</stp>
        <stp>12/31/2018</stp>
        <tr r="P3023" s="1"/>
      </tp>
      <tp>
        <v>-35.684583772795101</v>
        <stp/>
        <stp>EM_S_VAL_PCF_NCFTTM</stp>
        <stp>2</stp>
        <stp>000541</stp>
        <stp>12/31/2018</stp>
        <tr r="P2586" s="1"/>
      </tp>
      <tp>
        <v>62.949692568045698</v>
        <stp/>
        <stp>EM_S_VAL_PCF_NCFTTM</stp>
        <stp>2</stp>
        <stp>300571</stp>
        <stp>12/31/2018</stp>
        <tr r="P939" s="1"/>
      </tp>
      <tp>
        <v>-432.61496338031299</v>
        <stp/>
        <stp>EM_S_VAL_PCF_NCFTTM</stp>
        <stp>2</stp>
        <stp>600521</stp>
        <stp>12/31/2018</stp>
        <tr r="P489" s="1"/>
      </tp>
      <tp>
        <v>36.495322500248399</v>
        <stp/>
        <stp>EM_S_VAL_PCF_NCFTTM</stp>
        <stp>2</stp>
        <stp>000542</stp>
        <stp>12/31/2018</stp>
        <tr r="P3449" s="1"/>
      </tp>
      <tp>
        <v>-38.489844397642202</v>
        <stp/>
        <stp>EM_S_VAL_PCF_NCFTTM</stp>
        <stp>2</stp>
        <stp>300572</stp>
        <stp>12/31/2018</stp>
        <tr r="P1863" s="1"/>
      </tp>
      <tp>
        <v>-60.803526389560098</v>
        <stp/>
        <stp>EM_S_VAL_PCF_NCFTTM</stp>
        <stp>2</stp>
        <stp>600522</stp>
        <stp>12/31/2018</stp>
        <tr r="P2201" s="1"/>
      </tp>
      <tp>
        <v>17.341870969229099</v>
        <stp/>
        <stp>EM_S_VAL_PCF_NCFTTM</stp>
        <stp>2</stp>
        <stp>000543</stp>
        <stp>12/31/2018</stp>
        <tr r="P2463" s="1"/>
      </tp>
      <tp>
        <v>-574.133350103716</v>
        <stp/>
        <stp>EM_S_VAL_PCF_NCFTTM</stp>
        <stp>2</stp>
        <stp>300573</stp>
        <stp>12/31/2018</stp>
        <tr r="P25" s="1"/>
      </tp>
      <tp>
        <v>1190.2824596912001</v>
        <stp/>
        <stp>EM_S_VAL_PCF_NCFTTM</stp>
        <stp>2</stp>
        <stp>600523</stp>
        <stp>12/31/2018</stp>
        <tr r="P688" s="1"/>
      </tp>
      <tp>
        <v>-18.952205939041399</v>
        <stp/>
        <stp>EM_S_VAL_PCF_NCFTTM</stp>
        <stp>2</stp>
        <stp>000548</stp>
        <stp>12/31/2018</stp>
        <tr r="P3450" s="1"/>
      </tp>
      <tp>
        <v>-41.4898726650828</v>
        <stp/>
        <stp>EM_S_VAL_PCF_NCFTTM</stp>
        <stp>2</stp>
        <stp>300578</stp>
        <stp>12/31/2018</stp>
        <tr r="P543" s="1"/>
      </tp>
      <tp>
        <v>-9.4607909198041291</v>
        <stp/>
        <stp>EM_S_VAL_PCF_NCFTTM</stp>
        <stp>2</stp>
        <stp>600528</stp>
        <stp>12/31/2018</stp>
        <tr r="P2069" s="1"/>
      </tp>
      <tp>
        <v>77.333755054297995</v>
        <stp/>
        <stp>EM_S_VAL_PCF_NCFTTM</stp>
        <stp>2</stp>
        <stp>000549</stp>
        <stp>12/31/2018</stp>
        <tr r="P3451" s="1"/>
      </tp>
      <tp>
        <v>-72.873288395882597</v>
        <stp/>
        <stp>EM_S_VAL_PCF_NCFTTM</stp>
        <stp>2</stp>
        <stp>300579</stp>
        <stp>12/31/2018</stp>
        <tr r="P330" s="1"/>
      </tp>
      <tp>
        <v>-15.0575560586867</v>
        <stp/>
        <stp>EM_S_VAL_PCF_NCFTTM</stp>
        <stp>2</stp>
        <stp>600529</stp>
        <stp>12/31/2018</stp>
        <tr r="P589" s="1"/>
      </tp>
      <tp>
        <v>35.614978830734699</v>
        <stp/>
        <stp>EM_S_VAL_PCF_NCFTTM</stp>
        <stp>2</stp>
        <stp>000554</stp>
        <stp>12/31/2018</stp>
        <tr r="P2564" s="1"/>
      </tp>
      <tp>
        <v>-27.8190278284398</v>
        <stp/>
        <stp>EM_S_VAL_PCF_NCFTTM</stp>
        <stp>2</stp>
        <stp>000555</stp>
        <stp>12/31/2018</stp>
        <tr r="P519" s="1"/>
      </tp>
      <tp>
        <v>18.280917363518601</v>
        <stp/>
        <stp>EM_S_VAL_PCF_NCFTTM</stp>
        <stp>2</stp>
        <stp>300565</stp>
        <stp>12/31/2018</stp>
        <tr r="P3141" s="1"/>
      </tp>
      <tp>
        <v>18.856959004800199</v>
        <stp/>
        <stp>EM_S_VAL_PCF_NCFTTM</stp>
        <stp>2</stp>
        <stp>600535</stp>
        <stp>12/31/2018</stp>
        <tr r="P3081" s="1"/>
      </tp>
      <tp>
        <v>-137.38817139924299</v>
        <stp/>
        <stp>EM_S_VAL_PCF_NCFTTM</stp>
        <stp>2</stp>
        <stp>000556</stp>
        <stp>12/31/2018</stp>
        <tr r="P3453" s="1"/>
      </tp>
      <tp>
        <v>3103.8143656399402</v>
        <stp/>
        <stp>EM_S_VAL_PCF_NCFTTM</stp>
        <stp>2</stp>
        <stp>300566</stp>
        <stp>12/31/2018</stp>
        <tr r="P215" s="1"/>
      </tp>
      <tp>
        <v>-77.843834540759403</v>
        <stp/>
        <stp>EM_S_VAL_PCF_NCFTTM</stp>
        <stp>2</stp>
        <stp>600536</stp>
        <stp>12/31/2018</stp>
        <tr r="P32" s="1"/>
      </tp>
      <tp>
        <v>418.49280967580501</v>
        <stp/>
        <stp>EM_S_VAL_PCF_NCFTTM</stp>
        <stp>2</stp>
        <stp>000557</stp>
        <stp>12/31/2018</stp>
        <tr r="P2277" s="1"/>
      </tp>
      <tp>
        <v>59.441602776403499</v>
        <stp/>
        <stp>EM_S_VAL_PCF_NCFTTM</stp>
        <stp>2</stp>
        <stp>300567</stp>
        <stp>12/31/2018</stp>
        <tr r="P1721" s="1"/>
      </tp>
      <tp>
        <v>68.762706906519199</v>
        <stp/>
        <stp>EM_S_VAL_PCF_NCFTTM</stp>
        <stp>2</stp>
        <stp>600537</stp>
        <stp>12/31/2018</stp>
        <tr r="P1744" s="1"/>
      </tp>
      <tp>
        <v>-3.2289992111644001</v>
        <stp/>
        <stp>EM_S_VAL_PCF_NCFTTM</stp>
        <stp>2</stp>
        <stp>000550</stp>
        <stp>12/31/2018</stp>
        <tr r="P3452" s="1"/>
      </tp>
      <tp>
        <v>-322.85631766922501</v>
        <stp/>
        <stp>EM_S_VAL_PCF_NCFTTM</stp>
        <stp>2</stp>
        <stp>300560</stp>
        <stp>12/31/2018</stp>
        <tr r="P3115" s="1"/>
      </tp>
      <tp>
        <v>-117.56511908962599</v>
        <stp/>
        <stp>EM_S_VAL_PCF_NCFTTM</stp>
        <stp>2</stp>
        <stp>600530</stp>
        <stp>12/31/2018</stp>
        <tr r="P1765" s="1"/>
      </tp>
      <tp>
        <v>-84.909724170375597</v>
        <stp/>
        <stp>EM_S_VAL_PCF_NCFTTM</stp>
        <stp>2</stp>
        <stp>000551</stp>
        <stp>12/31/2018</stp>
        <tr r="P1505" s="1"/>
      </tp>
      <tp>
        <v>-67.815474671226795</v>
        <stp/>
        <stp>EM_S_VAL_PCF_NCFTTM</stp>
        <stp>2</stp>
        <stp>300561</stp>
        <stp>12/31/2018</stp>
        <tr r="P1339" s="1"/>
      </tp>
      <tp>
        <v>-58.421360476929401</v>
        <stp/>
        <stp>EM_S_VAL_PCF_NCFTTM</stp>
        <stp>2</stp>
        <stp>600531</stp>
        <stp>12/31/2018</stp>
        <tr r="P855" s="1"/>
      </tp>
      <tp>
        <v>32.483774735671098</v>
        <stp/>
        <stp>EM_S_VAL_PCF_NCFTTM</stp>
        <stp>2</stp>
        <stp>000552</stp>
        <stp>12/31/2018</stp>
        <tr r="P2352" s="1"/>
      </tp>
      <tp>
        <v>24.020390067598399</v>
        <stp/>
        <stp>EM_S_VAL_PCF_NCFTTM</stp>
        <stp>2</stp>
        <stp>300562</stp>
        <stp>12/31/2018</stp>
        <tr r="P550" s="1"/>
      </tp>
      <tp>
        <v>-2.6103248394233902</v>
        <stp/>
        <stp>EM_S_VAL_PCF_NCFTTM</stp>
        <stp>2</stp>
        <stp>600532</stp>
        <stp>12/31/2018</stp>
        <tr r="P2419" s="1"/>
      </tp>
      <tp>
        <v>10.978425661501101</v>
        <stp/>
        <stp>EM_S_VAL_PCF_NCFTTM</stp>
        <stp>2</stp>
        <stp>000553</stp>
        <stp>12/31/2018</stp>
        <tr r="P1907" s="1"/>
      </tp>
      <tp>
        <v>-27.256555695274699</v>
        <stp/>
        <stp>EM_S_VAL_PCF_NCFTTM</stp>
        <stp>2</stp>
        <stp>300563</stp>
        <stp>12/31/2018</stp>
        <tr r="P1534" s="1"/>
      </tp>
      <tp>
        <v>-7.5365664521712397</v>
        <stp/>
        <stp>EM_S_VAL_PCF_NCFTTM</stp>
        <stp>2</stp>
        <stp>600533</stp>
        <stp>12/31/2018</stp>
        <tr r="P1535" s="1"/>
      </tp>
      <tp>
        <v>66.827066749878497</v>
        <stp/>
        <stp>EM_S_VAL_PCF_NCFTTM</stp>
        <stp>2</stp>
        <stp>000558</stp>
        <stp>12/31/2018</stp>
        <tr r="P3454" s="1"/>
      </tp>
      <tp>
        <v>-12.6182628913144</v>
        <stp/>
        <stp>EM_S_VAL_PCF_NCFTTM</stp>
        <stp>2</stp>
        <stp>300568</stp>
        <stp>12/31/2018</stp>
        <tr r="P800" s="1"/>
      </tp>
      <tp>
        <v>39.2051877157894</v>
        <stp/>
        <stp>EM_S_VAL_PCF_NCFTTM</stp>
        <stp>2</stp>
        <stp>600538</stp>
        <stp>12/31/2018</stp>
        <tr r="P1379" s="1"/>
      </tp>
      <tp>
        <v>-1141.34107278127</v>
        <stp/>
        <stp>EM_S_VAL_PCF_NCFTTM</stp>
        <stp>2</stp>
        <stp>000559</stp>
        <stp>12/31/2018</stp>
        <tr r="P1985" s="1"/>
      </tp>
      <tp>
        <v>-5.7273702098095303</v>
        <stp/>
        <stp>EM_S_VAL_PCF_NCFTTM</stp>
        <stp>2</stp>
        <stp>300569</stp>
        <stp>12/31/2018</stp>
        <tr r="P1506" s="1"/>
      </tp>
      <tp>
        <v>53.662507261617101</v>
        <stp/>
        <stp>EM_S_VAL_PCF_NCFTTM</stp>
        <stp>2</stp>
        <stp>600539</stp>
        <stp>12/31/2018</stp>
        <tr r="P1929" s="1"/>
      </tp>
      <tp>
        <v>-3.6463855318840301</v>
        <stp/>
        <stp>EM_S_VAL_PCF_NCFTTM</stp>
        <stp>2</stp>
        <stp>000564</stp>
        <stp>12/31/2018</stp>
        <tr r="P3457" s="1"/>
      </tp>
      <tp>
        <v>80.700168277353399</v>
        <stp/>
        <stp>EM_S_VAL_PCF_NCFTTM</stp>
        <stp>2</stp>
        <stp>300554</stp>
        <stp>12/31/2018</stp>
        <tr r="P2839" s="1"/>
      </tp>
      <tp>
        <v>14.8273621289998</v>
        <stp/>
        <stp>EM_S_VAL_PCF_NCFTTM</stp>
        <stp>2</stp>
        <stp>000565</stp>
        <stp>12/31/2018</stp>
        <tr r="P3458" s="1"/>
      </tp>
      <tp>
        <v>426.57630436435699</v>
        <stp/>
        <stp>EM_S_VAL_PCF_NCFTTM</stp>
        <stp>2</stp>
        <stp>300555</stp>
        <stp>12/31/2018</stp>
        <tr r="P1438" s="1"/>
      </tp>
      <tp>
        <v>15.0231473038082</v>
        <stp/>
        <stp>EM_S_VAL_PCF_NCFTTM</stp>
        <stp>2</stp>
        <stp>600505</stp>
        <stp>12/31/2018</stp>
        <tr r="P146" s="1"/>
      </tp>
      <tp>
        <v>11.4494166238142</v>
        <stp/>
        <stp>EM_S_VAL_PCF_NCFTTM</stp>
        <stp>2</stp>
        <stp>000566</stp>
        <stp>12/31/2018</stp>
        <tr r="P1499" s="1"/>
      </tp>
      <tp>
        <v>139.20294729562099</v>
        <stp/>
        <stp>EM_S_VAL_PCF_NCFTTM</stp>
        <stp>2</stp>
        <stp>300556</stp>
        <stp>12/31/2018</stp>
        <tr r="P2073" s="1"/>
      </tp>
      <tp>
        <v>22.328055720163999</v>
        <stp/>
        <stp>EM_S_VAL_PCF_NCFTTM</stp>
        <stp>2</stp>
        <stp>600506</stp>
        <stp>12/31/2018</stp>
        <tr r="P2132" s="1"/>
      </tp>
      <tp>
        <v>3.1183987698219999</v>
        <stp/>
        <stp>EM_S_VAL_PCF_NCFTTM</stp>
        <stp>2</stp>
        <stp>000567</stp>
        <stp>12/31/2018</stp>
        <tr r="P3459" s="1"/>
      </tp>
      <tp>
        <v>31.872213459114501</v>
        <stp/>
        <stp>EM_S_VAL_PCF_NCFTTM</stp>
        <stp>2</stp>
        <stp>300557</stp>
        <stp>12/31/2018</stp>
        <tr r="P1012" s="1"/>
      </tp>
      <tp>
        <v>8.1747347960127694</v>
        <stp/>
        <stp>EM_S_VAL_PCF_NCFTTM</stp>
        <stp>2</stp>
        <stp>600507</stp>
        <stp>12/31/2018</stp>
        <tr r="P2209" s="1"/>
      </tp>
      <tp>
        <v>6.7556810889559804</v>
        <stp/>
        <stp>EM_S_VAL_PCF_NCFTTM</stp>
        <stp>2</stp>
        <stp>000560</stp>
        <stp>12/31/2018</stp>
        <tr r="P2688" s="1"/>
      </tp>
      <tp>
        <v>99.030097115290502</v>
        <stp/>
        <stp>EM_S_VAL_PCF_NCFTTM</stp>
        <stp>2</stp>
        <stp>300550</stp>
        <stp>12/31/2018</stp>
        <tr r="P3349" s="1"/>
      </tp>
      <tp>
        <v>3.6945321322031202</v>
        <stp/>
        <stp>EM_S_VAL_PCF_NCFTTM</stp>
        <stp>2</stp>
        <stp>600500</stp>
        <stp>12/31/2018</stp>
        <tr r="P3109" s="1"/>
      </tp>
      <tp>
        <v>53.947242351158003</v>
        <stp/>
        <stp>EM_S_VAL_PCF_NCFTTM</stp>
        <stp>2</stp>
        <stp>000561</stp>
        <stp>12/31/2018</stp>
        <tr r="P926" s="1"/>
      </tp>
      <tp>
        <v>162.11103408310299</v>
        <stp/>
        <stp>EM_S_VAL_PCF_NCFTTM</stp>
        <stp>2</stp>
        <stp>300551</stp>
        <stp>12/31/2018</stp>
        <tr r="P113" s="1"/>
      </tp>
      <tp>
        <v>22.838119728370302</v>
        <stp/>
        <stp>EM_S_VAL_PCF_NCFTTM</stp>
        <stp>2</stp>
        <stp>600501</stp>
        <stp>12/31/2018</stp>
        <tr r="P972" s="1"/>
      </tp>
      <tp>
        <v>36.150388432649201</v>
        <stp/>
        <stp>EM_S_VAL_PCF_NCFTTM</stp>
        <stp>2</stp>
        <stp>000562</stp>
        <stp>12/31/2018</stp>
        <tr r="P3455" s="1"/>
      </tp>
      <tp>
        <v>230.67238246721999</v>
        <stp/>
        <stp>EM_S_VAL_PCF_NCFTTM</stp>
        <stp>2</stp>
        <stp>300552</stp>
        <stp>12/31/2018</stp>
        <tr r="P15" s="1"/>
      </tp>
      <tp>
        <v>5.9358236369510502</v>
        <stp/>
        <stp>EM_S_VAL_PCF_NCFTTM</stp>
        <stp>2</stp>
        <stp>600502</stp>
        <stp>12/31/2018</stp>
        <tr r="P1556" s="1"/>
      </tp>
      <tp>
        <v>-72.8373568810065</v>
        <stp/>
        <stp>EM_S_VAL_PCF_NCFTTM</stp>
        <stp>2</stp>
        <stp>000563</stp>
        <stp>12/31/2018</stp>
        <tr r="P3456" s="1"/>
      </tp>
      <tp>
        <v>-51.876896236656698</v>
        <stp/>
        <stp>EM_S_VAL_PCF_NCFTTM</stp>
        <stp>2</stp>
        <stp>300553</stp>
        <stp>12/31/2018</stp>
        <tr r="P1587" s="1"/>
      </tp>
      <tp>
        <v>10.2411270884405</v>
        <stp/>
        <stp>EM_S_VAL_PCF_NCFTTM</stp>
        <stp>2</stp>
        <stp>600503</stp>
        <stp>12/31/2018</stp>
        <tr r="P2014" s="1"/>
      </tp>
      <tp>
        <v>75.9487030320728</v>
        <stp/>
        <stp>EM_S_VAL_PCF_NCFTTM</stp>
        <stp>2</stp>
        <stp>000568</stp>
        <stp>12/31/2018</stp>
        <tr r="P129" s="1"/>
      </tp>
      <tp>
        <v>-445.39934721041902</v>
        <stp/>
        <stp>EM_S_VAL_PCF_NCFTTM</stp>
        <stp>2</stp>
        <stp>300558</stp>
        <stp>12/31/2018</stp>
        <tr r="P157" s="1"/>
      </tp>
      <tp>
        <v>30.118680995095101</v>
        <stp/>
        <stp>EM_S_VAL_PCF_NCFTTM</stp>
        <stp>2</stp>
        <stp>600508</stp>
        <stp>12/31/2018</stp>
        <tr r="P2440" s="1"/>
      </tp>
      <tp>
        <v>-123.62435313685999</v>
        <stp/>
        <stp>EM_S_VAL_PCF_NCFTTM</stp>
        <stp>2</stp>
        <stp>000569</stp>
        <stp>12/31/2018</stp>
        <tr r="P3460" s="1"/>
      </tp>
      <tp>
        <v>-104.251807847854</v>
        <stp/>
        <stp>EM_S_VAL_PCF_NCFTTM</stp>
        <stp>2</stp>
        <stp>300559</stp>
        <stp>12/31/2018</stp>
        <tr r="P2942" s="1"/>
      </tp>
      <tp>
        <v>-7.4821679120692801</v>
        <stp/>
        <stp>EM_S_VAL_PCF_NCFTTM</stp>
        <stp>2</stp>
        <stp>600509</stp>
        <stp>12/31/2018</stp>
        <tr r="P2207" s="1"/>
      </tp>
      <tp>
        <v>-31.026860034089399</v>
        <stp/>
        <stp>EM_S_VAL_PCF_NCFTTM</stp>
        <stp>2</stp>
        <stp>300545</stp>
        <stp>12/31/2018</stp>
        <tr r="P1071" s="1"/>
      </tp>
      <tp>
        <v>3.6171456024770898</v>
        <stp/>
        <stp>EM_S_VAL_PCF_NCFTTM</stp>
        <stp>2</stp>
        <stp>600515</stp>
        <stp>12/31/2018</stp>
        <tr r="P2485" s="1"/>
      </tp>
      <tp>
        <v>-67.759529367945802</v>
        <stp/>
        <stp>EM_S_VAL_PCF_NCFTTM</stp>
        <stp>2</stp>
        <stp>000576</stp>
        <stp>12/31/2018</stp>
        <tr r="P1024" s="1"/>
      </tp>
      <tp>
        <v>12.778859687707801</v>
        <stp/>
        <stp>EM_S_VAL_PCF_NCFTTM</stp>
        <stp>2</stp>
        <stp>300546</stp>
        <stp>12/31/2018</stp>
        <tr r="P1654" s="1"/>
      </tp>
      <tp>
        <v>83.269913816211798</v>
        <stp/>
        <stp>EM_S_VAL_PCF_NCFTTM</stp>
        <stp>2</stp>
        <stp>600516</stp>
        <stp>12/31/2018</stp>
        <tr r="P3163" s="1"/>
      </tp>
      <tp>
        <v>-71.330955233067101</v>
        <stp/>
        <stp>EM_S_VAL_PCF_NCFTTM</stp>
        <stp>2</stp>
        <stp>300547</stp>
        <stp>12/31/2018</stp>
        <tr r="P3328" s="1"/>
      </tp>
      <tp>
        <v>-29.506776588353599</v>
        <stp/>
        <stp>EM_S_VAL_PCF_NCFTTM</stp>
        <stp>2</stp>
        <stp>600517</stp>
        <stp>12/31/2018</stp>
        <tr r="P72" s="1"/>
      </tp>
      <tp>
        <v>-8.4060992965100496</v>
        <stp/>
        <stp>EM_S_VAL_PCF_NCFTTM</stp>
        <stp>2</stp>
        <stp>000570</stp>
        <stp>12/31/2018</stp>
        <tr r="P3461" s="1"/>
      </tp>
      <tp>
        <v>17.610300736388599</v>
        <stp/>
        <stp>EM_S_VAL_PCF_NCFTTM</stp>
        <stp>2</stp>
        <stp>300540</stp>
        <stp>12/31/2018</stp>
        <tr r="P1366" s="1"/>
      </tp>
      <tp>
        <v>11.9287545476863</v>
        <stp/>
        <stp>EM_S_VAL_PCF_NCFTTM</stp>
        <stp>2</stp>
        <stp>600510</stp>
        <stp>12/31/2018</stp>
        <tr r="P1618" s="1"/>
      </tp>
      <tp>
        <v>-13.460397485986901</v>
        <stp/>
        <stp>EM_S_VAL_PCF_NCFTTM</stp>
        <stp>2</stp>
        <stp>000571</stp>
        <stp>12/31/2018</stp>
        <tr r="P3462" s="1"/>
      </tp>
      <tp>
        <v>-11.259090868977299</v>
        <stp/>
        <stp>EM_S_VAL_PCF_NCFTTM</stp>
        <stp>2</stp>
        <stp>300541</stp>
        <stp>12/31/2018</stp>
        <tr r="P463" s="1"/>
      </tp>
      <tp>
        <v>23.302026774655001</v>
        <stp/>
        <stp>EM_S_VAL_PCF_NCFTTM</stp>
        <stp>2</stp>
        <stp>600511</stp>
        <stp>12/31/2018</stp>
        <tr r="P1450" s="1"/>
      </tp>
      <tp>
        <v>-2.2280781842509398</v>
        <stp/>
        <stp>EM_S_VAL_PCF_NCFTTM</stp>
        <stp>2</stp>
        <stp>000572</stp>
        <stp>12/31/2018</stp>
        <tr r="P3463" s="1"/>
      </tp>
      <tp>
        <v>19.447649482676201</v>
        <stp/>
        <stp>EM_S_VAL_PCF_NCFTTM</stp>
        <stp>2</stp>
        <stp>300542</stp>
        <stp>12/31/2018</stp>
        <tr r="P1783" s="1"/>
      </tp>
      <tp>
        <v>20.104582338115701</v>
        <stp/>
        <stp>EM_S_VAL_PCF_NCFTTM</stp>
        <stp>2</stp>
        <stp>600512</stp>
        <stp>12/31/2018</stp>
        <tr r="P947" s="1"/>
      </tp>
      <tp>
        <v>-13.019254501929399</v>
        <stp/>
        <stp>EM_S_VAL_PCF_NCFTTM</stp>
        <stp>2</stp>
        <stp>000573</stp>
        <stp>12/31/2018</stp>
        <tr r="P2239" s="1"/>
      </tp>
      <tp>
        <v>-16.834979591523801</v>
        <stp/>
        <stp>EM_S_VAL_PCF_NCFTTM</stp>
        <stp>2</stp>
        <stp>300543</stp>
        <stp>12/31/2018</stp>
        <tr r="P759" s="1"/>
      </tp>
      <tp>
        <v>-14.354381498452099</v>
        <stp/>
        <stp>EM_S_VAL_PCF_NCFTTM</stp>
        <stp>2</stp>
        <stp>600513</stp>
        <stp>12/31/2018</stp>
        <tr r="P1324" s="1"/>
      </tp>
      <tp>
        <v>-1380.8141560449401</v>
        <stp/>
        <stp>EM_S_VAL_PCF_NCFTTM</stp>
        <stp>2</stp>
        <stp>000578</stp>
        <stp>12/31/2018</stp>
        <tr r="P3464" s="1"/>
      </tp>
      <tp>
        <v>29.322034842290801</v>
        <stp/>
        <stp>EM_S_VAL_PCF_NCFTTM</stp>
        <stp>2</stp>
        <stp>300548</stp>
        <stp>12/31/2018</stp>
        <tr r="P199" s="1"/>
      </tp>
      <tp>
        <v>9.0041947129338098</v>
        <stp/>
        <stp>EM_S_VAL_PCF_NCFTTM</stp>
        <stp>2</stp>
        <stp>600518</stp>
        <stp>12/31/2018</stp>
        <tr r="P3393" s="1"/>
      </tp>
      <tp>
        <v>-613.24196926302795</v>
        <stp/>
        <stp>EM_S_VAL_PCF_NCFTTM</stp>
        <stp>2</stp>
        <stp>300549</stp>
        <stp>12/31/2018</stp>
        <tr r="P1330" s="1"/>
      </tp>
      <tp>
        <v>76.015540895724996</v>
        <stp/>
        <stp>EM_S_VAL_PCF_NCFTTM</stp>
        <stp>2</stp>
        <stp>600519</stp>
        <stp>12/31/2018</stp>
        <tr r="P160" s="1"/>
      </tp>
      <tp>
        <v>19.872235189965998</v>
        <stp/>
        <stp>EM_S_VAL_PCF_NCFTTM</stp>
        <stp>2</stp>
        <stp>000488</stp>
        <stp>12/31/2018</stp>
        <tr r="P3427" s="1"/>
      </tp>
      <tp>
        <v>38.951576652786002</v>
        <stp/>
        <stp>EM_S_VAL_PCF_NCFTTM</stp>
        <stp>2</stp>
        <stp>000498</stp>
        <stp>12/31/2018</stp>
        <tr r="P2686" s="1"/>
      </tp>
      <tp>
        <v>51.208907635239498</v>
        <stp/>
        <stp>EM_S_VAL_PCF_NCFTTM</stp>
        <stp>2</stp>
        <stp>300494</stp>
        <stp>12/31/2018</stp>
        <tr r="P404" s="1"/>
      </tp>
      <tp>
        <v>13.6832199555465</v>
        <stp/>
        <stp>EM_S_VAL_PCF_NCFTTM</stp>
        <stp>2</stp>
        <stp>300495</stp>
        <stp>12/31/2018</stp>
        <tr r="P2945" s="1"/>
      </tp>
      <tp>
        <v>-140.10532260938101</v>
        <stp/>
        <stp>EM_S_VAL_PCF_NCFTTM</stp>
        <stp>2</stp>
        <stp>300496</stp>
        <stp>12/31/2018</stp>
        <tr r="P156" s="1"/>
      </tp>
      <tp>
        <v>23.9753828667161</v>
        <stp/>
        <stp>EM_S_VAL_PCF_NCFTTM</stp>
        <stp>2</stp>
        <stp>300497</stp>
        <stp>12/31/2018</stp>
        <tr r="P2053" s="1"/>
      </tp>
      <tp>
        <v>10.523676768731599</v>
        <stp/>
        <stp>EM_S_VAL_PCF_NCFTTM</stp>
        <stp>2</stp>
        <stp>300490</stp>
        <stp>12/31/2018</stp>
        <tr r="P2910" s="1"/>
      </tp>
      <tp>
        <v>-29.0422571347464</v>
        <stp/>
        <stp>EM_S_VAL_PCF_NCFTTM</stp>
        <stp>2</stp>
        <stp>300491</stp>
        <stp>12/31/2018</stp>
        <tr r="P2962" s="1"/>
      </tp>
      <tp>
        <v>36.608563422388002</v>
        <stp/>
        <stp>EM_S_VAL_PCF_NCFTTM</stp>
        <stp>2</stp>
        <stp>300492</stp>
        <stp>12/31/2018</stp>
        <tr r="P69" s="1"/>
      </tp>
      <tp>
        <v>68.483110732771095</v>
        <stp/>
        <stp>EM_S_VAL_PCF_NCFTTM</stp>
        <stp>2</stp>
        <stp>300493</stp>
        <stp>12/31/2018</stp>
        <tr r="P2536" s="1"/>
      </tp>
      <tp>
        <v>102.259401436018</v>
        <stp/>
        <stp>EM_S_VAL_PCF_NCFTTM</stp>
        <stp>2</stp>
        <stp>300498</stp>
        <stp>12/31/2018</stp>
        <tr r="P1017" s="1"/>
      </tp>
      <tp>
        <v>-35.277654715527802</v>
        <stp/>
        <stp>EM_S_VAL_PCF_NCFTTM</stp>
        <stp>2</stp>
        <stp>300499</stp>
        <stp>12/31/2018</stp>
        <tr r="P3080" s="1"/>
      </tp>
      <tp>
        <v>-30.963425915822</v>
        <stp/>
        <stp>EM_S_VAL_PCF_NCFTTM</stp>
        <stp>2</stp>
        <stp>300484</stp>
        <stp>12/31/2018</stp>
        <tr r="P3031" s="1"/>
      </tp>
      <tp>
        <v>6.9125228909593002</v>
        <stp/>
        <stp>EM_S_VAL_PCF_NCFTTM</stp>
        <stp>2</stp>
        <stp>300485</stp>
        <stp>12/31/2018</stp>
        <tr r="P2810" s="1"/>
      </tp>
      <tp>
        <v>-68.784435351770597</v>
        <stp/>
        <stp>EM_S_VAL_PCF_NCFTTM</stp>
        <stp>2</stp>
        <stp>300486</stp>
        <stp>12/31/2018</stp>
        <tr r="P459" s="1"/>
      </tp>
      <tp>
        <v>27.550495207718001</v>
        <stp/>
        <stp>EM_S_VAL_PCF_NCFTTM</stp>
        <stp>2</stp>
        <stp>300487</stp>
        <stp>12/31/2018</stp>
        <tr r="P612" s="1"/>
      </tp>
      <tp>
        <v>165.3588186522</v>
        <stp/>
        <stp>EM_S_VAL_PCF_NCFTTM</stp>
        <stp>2</stp>
        <stp>300480</stp>
        <stp>12/31/2018</stp>
        <tr r="P213" s="1"/>
      </tp>
      <tp>
        <v>30.2362117452926</v>
        <stp/>
        <stp>EM_S_VAL_PCF_NCFTTM</stp>
        <stp>2</stp>
        <stp>300481</stp>
        <stp>12/31/2018</stp>
        <tr r="P358" s="1"/>
      </tp>
      <tp>
        <v>-113.083328324051</v>
        <stp/>
        <stp>EM_S_VAL_PCF_NCFTTM</stp>
        <stp>2</stp>
        <stp>300482</stp>
        <stp>12/31/2018</stp>
        <tr r="P183" s="1"/>
      </tp>
      <tp>
        <v>-10.5739867327719</v>
        <stp/>
        <stp>EM_S_VAL_PCF_NCFTTM</stp>
        <stp>2</stp>
        <stp>300483</stp>
        <stp>12/31/2018</stp>
        <tr r="P1094" s="1"/>
      </tp>
      <tp>
        <v>-264.55283953135302</v>
        <stp/>
        <stp>EM_S_VAL_PCF_NCFTTM</stp>
        <stp>2</stp>
        <stp>300488</stp>
        <stp>12/31/2018</stp>
        <tr r="P3270" s="1"/>
      </tp>
      <tp>
        <v>-73.492078612875403</v>
        <stp/>
        <stp>EM_S_VAL_PCF_NCFTTM</stp>
        <stp>2</stp>
        <stp>300489</stp>
        <stp>12/31/2018</stp>
        <tr r="P317" s="1"/>
      </tp>
      <tp>
        <v>-196.93143871688099</v>
        <stp/>
        <stp>EM_S_VAL_PCF_NCFTTM</stp>
        <stp>2</stp>
        <stp>600485</stp>
        <stp>12/31/2018</stp>
        <tr r="P3405" s="1"/>
      </tp>
      <tp>
        <v>27.7804987410649</v>
        <stp/>
        <stp>EM_S_VAL_PCF_NCFTTM</stp>
        <stp>2</stp>
        <stp>600486</stp>
        <stp>12/31/2018</stp>
        <tr r="P235" s="1"/>
      </tp>
      <tp>
        <v>-87.275955117175599</v>
        <stp/>
        <stp>EM_S_VAL_PCF_NCFTTM</stp>
        <stp>2</stp>
        <stp>600487</stp>
        <stp>12/31/2018</stp>
        <tr r="P2604" s="1"/>
      </tp>
      <tp>
        <v>17.476910733566001</v>
        <stp/>
        <stp>EM_S_VAL_PCF_NCFTTM</stp>
        <stp>2</stp>
        <stp>600480</stp>
        <stp>12/31/2018</stp>
        <tr r="P2408" s="1"/>
      </tp>
      <tp>
        <v>-37.966591192753299</v>
        <stp/>
        <stp>EM_S_VAL_PCF_NCFTTM</stp>
        <stp>2</stp>
        <stp>600481</stp>
        <stp>12/31/2018</stp>
        <tr r="P2397" s="1"/>
      </tp>
      <tp>
        <v>-32.485392091063602</v>
        <stp/>
        <stp>EM_S_VAL_PCF_NCFTTM</stp>
        <stp>2</stp>
        <stp>600482</stp>
        <stp>12/31/2018</stp>
        <tr r="P2777" s="1"/>
      </tp>
      <tp>
        <v>54.826951612339201</v>
        <stp/>
        <stp>EM_S_VAL_PCF_NCFTTM</stp>
        <stp>2</stp>
        <stp>600483</stp>
        <stp>12/31/2018</stp>
        <tr r="P1892" s="1"/>
      </tp>
      <tp>
        <v>127.659322689478</v>
        <stp/>
        <stp>EM_S_VAL_PCF_NCFTTM</stp>
        <stp>2</stp>
        <stp>600488</stp>
        <stp>12/31/2018</stp>
        <tr r="P1787" s="1"/>
      </tp>
      <tp>
        <v>-38.636332848227198</v>
        <stp/>
        <stp>EM_S_VAL_PCF_NCFTTM</stp>
        <stp>2</stp>
        <stp>600489</stp>
        <stp>12/31/2018</stp>
        <tr r="P2454" s="1"/>
      </tp>
      <tp>
        <v>13.794319048684301</v>
        <stp/>
        <stp>EM_S_VAL_PCF_NCFTTM</stp>
        <stp>2</stp>
        <stp>600495</stp>
        <stp>12/31/2018</stp>
        <tr r="P2218" s="1"/>
      </tp>
      <tp>
        <v>7.6353537464651797</v>
        <stp/>
        <stp>EM_S_VAL_PCF_NCFTTM</stp>
        <stp>2</stp>
        <stp>600496</stp>
        <stp>12/31/2018</stp>
        <tr r="P1831" s="1"/>
      </tp>
      <tp>
        <v>269.019231814877</v>
        <stp/>
        <stp>EM_S_VAL_PCF_NCFTTM</stp>
        <stp>2</stp>
        <stp>600497</stp>
        <stp>12/31/2018</stp>
        <tr r="P1854" s="1"/>
      </tp>
      <tp>
        <v>24.405307314770901</v>
        <stp/>
        <stp>EM_S_VAL_PCF_NCFTTM</stp>
        <stp>2</stp>
        <stp>600490</stp>
        <stp>12/31/2018</stp>
        <tr r="P2114" s="1"/>
      </tp>
      <tp>
        <v>9.47606278900078</v>
        <stp/>
        <stp>EM_S_VAL_PCF_NCFTTM</stp>
        <stp>2</stp>
        <stp>600491</stp>
        <stp>12/31/2018</stp>
        <tr r="P1872" s="1"/>
      </tp>
      <tp>
        <v>38.226069470093201</v>
        <stp/>
        <stp>EM_S_VAL_PCF_NCFTTM</stp>
        <stp>2</stp>
        <stp>600493</stp>
        <stp>12/31/2018</stp>
        <tr r="P2813" s="1"/>
      </tp>
      <tp>
        <v>92.912929007842806</v>
        <stp/>
        <stp>EM_S_VAL_PCF_NCFTTM</stp>
        <stp>2</stp>
        <stp>600498</stp>
        <stp>12/31/2018</stp>
        <tr r="P2489" s="1"/>
      </tp>
      <tp>
        <v>21.592929816845899</v>
        <stp/>
        <stp>EM_S_VAL_PCF_NCFTTM</stp>
        <stp>2</stp>
        <stp>600499</stp>
        <stp>12/31/2018</stp>
        <tr r="P1885" s="1"/>
      </tp>
      <tp>
        <v>-2.0951181943752801</v>
        <stp/>
        <stp>EM_S_VAL_PCF_NCFTTM</stp>
        <stp>2</stp>
        <stp>000404</stp>
        <stp>12/31/2018</stp>
        <tr r="P2194" s="1"/>
      </tp>
      <tp>
        <v>25.756474132336798</v>
        <stp/>
        <stp>EM_S_VAL_PCF_NCFTTM</stp>
        <stp>2</stp>
        <stp>300434</stp>
        <stp>12/31/2018</stp>
        <tr r="P2981" s="1"/>
      </tp>
      <tp>
        <v>-702.81123182077999</v>
        <stp/>
        <stp>EM_S_VAL_PCF_NCFTTM</stp>
        <stp>2</stp>
        <stp>000405</stp>
        <stp>12/31/2018</stp>
        <tr r="P3416" s="1"/>
      </tp>
      <tp>
        <v>-18.6415275314849</v>
        <stp/>
        <stp>EM_S_VAL_PCF_NCFTTM</stp>
        <stp>2</stp>
        <stp>300435</stp>
        <stp>12/31/2018</stp>
        <tr r="P1794" s="1"/>
      </tp>
      <tp>
        <v>-168.81680453182199</v>
        <stp/>
        <stp>EM_S_VAL_PCF_NCFTTM</stp>
        <stp>2</stp>
        <stp>000406</stp>
        <stp>12/31/2018</stp>
        <tr r="P3417" s="1"/>
      </tp>
      <tp>
        <v>-22.969613609820399</v>
        <stp/>
        <stp>EM_S_VAL_PCF_NCFTTM</stp>
        <stp>2</stp>
        <stp>300436</stp>
        <stp>12/31/2018</stp>
        <tr r="P879" s="1"/>
      </tp>
      <tp>
        <v>3.7462698258273499</v>
        <stp/>
        <stp>EM_S_VAL_PCF_NCFTTM</stp>
        <stp>2</stp>
        <stp>600466</stp>
        <stp>12/31/2018</stp>
        <tr r="P865" s="1"/>
      </tp>
      <tp>
        <v>2671.1770967262701</v>
        <stp/>
        <stp>EM_S_VAL_PCF_NCFTTM</stp>
        <stp>2</stp>
        <stp>000407</stp>
        <stp>12/31/2018</stp>
        <tr r="P2601" s="1"/>
      </tp>
      <tp>
        <v>-51.352674064996002</v>
        <stp/>
        <stp>EM_S_VAL_PCF_NCFTTM</stp>
        <stp>2</stp>
        <stp>300437</stp>
        <stp>12/31/2018</stp>
        <tr r="P2786" s="1"/>
      </tp>
      <tp>
        <v>-16.565358988758302</v>
        <stp/>
        <stp>EM_S_VAL_PCF_NCFTTM</stp>
        <stp>2</stp>
        <stp>600467</stp>
        <stp>12/31/2018</stp>
        <tr r="P2199" s="1"/>
      </tp>
      <tp>
        <v>-355.92212095093203</v>
        <stp/>
        <stp>EM_S_VAL_PCF_NCFTTM</stp>
        <stp>2</stp>
        <stp>000400</stp>
        <stp>12/31/2018</stp>
        <tr r="P3414" s="1"/>
      </tp>
      <tp>
        <v>-22.575593767938599</v>
        <stp/>
        <stp>EM_S_VAL_PCF_NCFTTM</stp>
        <stp>2</stp>
        <stp>300430</stp>
        <stp>12/31/2018</stp>
        <tr r="P2455" s="1"/>
      </tp>
      <tp>
        <v>19.518705138111699</v>
        <stp/>
        <stp>EM_S_VAL_PCF_NCFTTM</stp>
        <stp>2</stp>
        <stp>600460</stp>
        <stp>12/31/2018</stp>
        <tr r="P200" s="1"/>
      </tp>
      <tp>
        <v>-30.800540715383001</v>
        <stp/>
        <stp>EM_S_VAL_PCF_NCFTTM</stp>
        <stp>2</stp>
        <stp>000401</stp>
        <stp>12/31/2018</stp>
        <tr r="P849" s="1"/>
      </tp>
      <tp>
        <v>-10.8179303398658</v>
        <stp/>
        <stp>EM_S_VAL_PCF_NCFTTM</stp>
        <stp>2</stp>
        <stp>300431</stp>
        <stp>12/31/2018</stp>
        <tr r="P3388" s="1"/>
      </tp>
      <tp>
        <v>5.08239531463121</v>
        <stp/>
        <stp>EM_S_VAL_PCF_NCFTTM</stp>
        <stp>2</stp>
        <stp>600461</stp>
        <stp>12/31/2018</stp>
        <tr r="P1858" s="1"/>
      </tp>
      <tp>
        <v>94.596699616299404</v>
        <stp/>
        <stp>EM_S_VAL_PCF_NCFTTM</stp>
        <stp>2</stp>
        <stp>000402</stp>
        <stp>12/31/2018</stp>
        <tr r="P3415" s="1"/>
      </tp>
      <tp>
        <v>48.0446195034678</v>
        <stp/>
        <stp>EM_S_VAL_PCF_NCFTTM</stp>
        <stp>2</stp>
        <stp>300432</stp>
        <stp>12/31/2018</stp>
        <tr r="P180" s="1"/>
      </tp>
      <tp>
        <v>-64.557940023234096</v>
        <stp/>
        <stp>EM_S_VAL_PCF_NCFTTM</stp>
        <stp>2</stp>
        <stp>600462</stp>
        <stp>12/31/2018</stp>
        <tr r="P3369" s="1"/>
      </tp>
      <tp>
        <v>-883.911301051588</v>
        <stp/>
        <stp>EM_S_VAL_PCF_NCFTTM</stp>
        <stp>2</stp>
        <stp>000403</stp>
        <stp>12/31/2018</stp>
        <tr r="P1103" s="1"/>
      </tp>
      <tp>
        <v>11.168491217011001</v>
        <stp/>
        <stp>EM_S_VAL_PCF_NCFTTM</stp>
        <stp>2</stp>
        <stp>300433</stp>
        <stp>12/31/2018</stp>
        <tr r="P140" s="1"/>
      </tp>
      <tp>
        <v>-25.649979646221698</v>
        <stp/>
        <stp>EM_S_VAL_PCF_NCFTTM</stp>
        <stp>2</stp>
        <stp>600463</stp>
        <stp>12/31/2018</stp>
        <tr r="P2180" s="1"/>
      </tp>
      <tp>
        <v>-41.758250882920997</v>
        <stp/>
        <stp>EM_S_VAL_PCF_NCFTTM</stp>
        <stp>2</stp>
        <stp>000408</stp>
        <stp>12/31/2018</stp>
        <tr r="P3418" s="1"/>
      </tp>
      <tp>
        <v>448.96265881661998</v>
        <stp/>
        <stp>EM_S_VAL_PCF_NCFTTM</stp>
        <stp>2</stp>
        <stp>300438</stp>
        <stp>12/31/2018</stp>
        <tr r="P364" s="1"/>
      </tp>
      <tp>
        <v>-420.45566726247301</v>
        <stp/>
        <stp>EM_S_VAL_PCF_NCFTTM</stp>
        <stp>2</stp>
        <stp>600468</stp>
        <stp>12/31/2018</stp>
        <tr r="P3233" s="1"/>
      </tp>
      <tp>
        <v>175.62411984382899</v>
        <stp/>
        <stp>EM_S_VAL_PCF_NCFTTM</stp>
        <stp>2</stp>
        <stp>000409</stp>
        <stp>12/31/2018</stp>
        <tr r="P2918" s="1"/>
      </tp>
      <tp>
        <v>16.812551413099602</v>
        <stp/>
        <stp>EM_S_VAL_PCF_NCFTTM</stp>
        <stp>2</stp>
        <stp>300439</stp>
        <stp>12/31/2018</stp>
        <tr r="P2237" s="1"/>
      </tp>
      <tp>
        <v>-7.4265152894308804</v>
        <stp/>
        <stp>EM_S_VAL_PCF_NCFTTM</stp>
        <stp>2</stp>
        <stp>600469</stp>
        <stp>12/31/2018</stp>
        <tr r="P749" s="1"/>
      </tp>
      <tp>
        <v>533.01203312985297</v>
        <stp/>
        <stp>EM_S_VAL_PCF_NCFTTM</stp>
        <stp>2</stp>
        <stp>300424</stp>
        <stp>12/31/2018</stp>
        <tr r="P1457" s="1"/>
      </tp>
      <tp>
        <v>-3.6338816103131499</v>
        <stp/>
        <stp>EM_S_VAL_PCF_NCFTTM</stp>
        <stp>2</stp>
        <stp>000415</stp>
        <stp>12/31/2018</stp>
        <tr r="P2000" s="1"/>
      </tp>
      <tp>
        <v>-24.806369702347499</v>
        <stp/>
        <stp>EM_S_VAL_PCF_NCFTTM</stp>
        <stp>2</stp>
        <stp>300425</stp>
        <stp>12/31/2018</stp>
        <tr r="P2401" s="1"/>
      </tp>
      <tp>
        <v>-8.6501153932518395</v>
        <stp/>
        <stp>EM_S_VAL_PCF_NCFTTM</stp>
        <stp>2</stp>
        <stp>600475</stp>
        <stp>12/31/2018</stp>
        <tr r="P1220" s="1"/>
      </tp>
      <tp>
        <v>-23.779053092297801</v>
        <stp/>
        <stp>EM_S_VAL_PCF_NCFTTM</stp>
        <stp>2</stp>
        <stp>000416</stp>
        <stp>12/31/2018</stp>
        <tr r="P3421" s="1"/>
      </tp>
      <tp>
        <v>-54.825368974642799</v>
        <stp/>
        <stp>EM_S_VAL_PCF_NCFTTM</stp>
        <stp>2</stp>
        <stp>300426</stp>
        <stp>12/31/2018</stp>
        <tr r="P2691" s="1"/>
      </tp>
      <tp>
        <v>40.047762448422901</v>
        <stp/>
        <stp>EM_S_VAL_PCF_NCFTTM</stp>
        <stp>2</stp>
        <stp>600476</stp>
        <stp>12/31/2018</stp>
        <tr r="P1132" s="1"/>
      </tp>
      <tp>
        <v>-62.323873348114503</v>
        <stp/>
        <stp>EM_S_VAL_PCF_NCFTTM</stp>
        <stp>2</stp>
        <stp>000417</stp>
        <stp>12/31/2018</stp>
        <tr r="P1571" s="1"/>
      </tp>
      <tp>
        <v>-8.1819903763532604</v>
        <stp/>
        <stp>EM_S_VAL_PCF_NCFTTM</stp>
        <stp>2</stp>
        <stp>300427</stp>
        <stp>12/31/2018</stp>
        <tr r="P971" s="1"/>
      </tp>
      <tp>
        <v>93.112605577119893</v>
        <stp/>
        <stp>EM_S_VAL_PCF_NCFTTM</stp>
        <stp>2</stp>
        <stp>600477</stp>
        <stp>12/31/2018</stp>
        <tr r="P3098" s="1"/>
      </tp>
      <tp>
        <v>-56.837426209810801</v>
        <stp/>
        <stp>EM_S_VAL_PCF_NCFTTM</stp>
        <stp>2</stp>
        <stp>000410</stp>
        <stp>12/31/2018</stp>
        <tr r="P3419" s="1"/>
      </tp>
      <tp>
        <v>-83.9826265519077</v>
        <stp/>
        <stp>EM_S_VAL_PCF_NCFTTM</stp>
        <stp>2</stp>
        <stp>300420</stp>
        <stp>12/31/2018</stp>
        <tr r="P1747" s="1"/>
      </tp>
      <tp>
        <v>17.4861055887737</v>
        <stp/>
        <stp>EM_S_VAL_PCF_NCFTTM</stp>
        <stp>2</stp>
        <stp>600470</stp>
        <stp>12/31/2018</stp>
        <tr r="P1540" s="1"/>
      </tp>
      <tp>
        <v>8.6218024419982804</v>
        <stp/>
        <stp>EM_S_VAL_PCF_NCFTTM</stp>
        <stp>2</stp>
        <stp>000411</stp>
        <stp>12/31/2018</stp>
        <tr r="P2518" s="1"/>
      </tp>
      <tp>
        <v>-35.085822667284901</v>
        <stp/>
        <stp>EM_S_VAL_PCF_NCFTTM</stp>
        <stp>2</stp>
        <stp>300421</stp>
        <stp>12/31/2018</stp>
        <tr r="P3348" s="1"/>
      </tp>
      <tp>
        <v>0</v>
        <stp/>
        <stp>EM_S_VAL_PCF_NCFTTM</stp>
        <stp>2</stp>
        <stp>000412</stp>
        <stp>12/31/2018</stp>
        <tr r="P3420" s="1"/>
      </tp>
      <tp>
        <v>68.823881212148606</v>
        <stp/>
        <stp>EM_S_VAL_PCF_NCFTTM</stp>
        <stp>2</stp>
        <stp>300422</stp>
        <stp>12/31/2018</stp>
        <tr r="P2032" s="1"/>
      </tp>
      <tp>
        <v>-145.17539612540699</v>
        <stp/>
        <stp>EM_S_VAL_PCF_NCFTTM</stp>
        <stp>2</stp>
        <stp>600472</stp>
        <stp>12/31/2018</stp>
        <tr r="P2303" s="1"/>
      </tp>
      <tp>
        <v>-7.2643768648336202</v>
        <stp/>
        <stp>EM_S_VAL_PCF_NCFTTM</stp>
        <stp>2</stp>
        <stp>000413</stp>
        <stp>12/31/2018</stp>
        <tr r="P3142" s="1"/>
      </tp>
      <tp>
        <v>-2076.8204921794299</v>
        <stp/>
        <stp>EM_S_VAL_PCF_NCFTTM</stp>
        <stp>2</stp>
        <stp>300423</stp>
        <stp>12/31/2018</stp>
        <tr r="P3152" s="1"/>
      </tp>
      <tp>
        <v>-14.582215101687799</v>
        <stp/>
        <stp>EM_S_VAL_PCF_NCFTTM</stp>
        <stp>2</stp>
        <stp>000418</stp>
        <stp>12/31/2018</stp>
        <tr r="P870" s="1"/>
      </tp>
      <tp>
        <v>281.47003528173099</v>
        <stp/>
        <stp>EM_S_VAL_PCF_NCFTTM</stp>
        <stp>2</stp>
        <stp>300428</stp>
        <stp>12/31/2018</stp>
        <tr r="P1051" s="1"/>
      </tp>
      <tp>
        <v>14.5252845264152</v>
        <stp/>
        <stp>EM_S_VAL_PCF_NCFTTM</stp>
        <stp>2</stp>
        <stp>600478</stp>
        <stp>12/31/2018</stp>
        <tr r="P1797" s="1"/>
      </tp>
      <tp>
        <v>15.0298271993403</v>
        <stp/>
        <stp>EM_S_VAL_PCF_NCFTTM</stp>
        <stp>2</stp>
        <stp>000419</stp>
        <stp>12/31/2018</stp>
        <tr r="P3422" s="1"/>
      </tp>
      <tp>
        <v>300.36887108244599</v>
        <stp/>
        <stp>EM_S_VAL_PCF_NCFTTM</stp>
        <stp>2</stp>
        <stp>300429</stp>
        <stp>12/31/2018</stp>
        <tr r="P3351" s="1"/>
      </tp>
      <tp>
        <v>-29.315923812090698</v>
        <stp/>
        <stp>EM_S_VAL_PCF_NCFTTM</stp>
        <stp>2</stp>
        <stp>600479</stp>
        <stp>12/31/2018</stp>
        <tr r="P1683" s="1"/>
      </tp>
      <tp>
        <v>-19.483532904796501</v>
        <stp/>
        <stp>EM_S_VAL_PCF_NCFTTM</stp>
        <stp>2</stp>
        <stp>300414</stp>
        <stp>12/31/2018</stp>
        <tr r="P3089" s="1"/>
      </tp>
      <tp>
        <v>10.9122181799716</v>
        <stp/>
        <stp>EM_S_VAL_PCF_NCFTTM</stp>
        <stp>2</stp>
        <stp>600444</stp>
        <stp>12/31/2018</stp>
        <tr r="P1702" s="1"/>
      </tp>
      <tp>
        <v>-57.632114660040699</v>
        <stp/>
        <stp>EM_S_VAL_PCF_NCFTTM</stp>
        <stp>2</stp>
        <stp>000425</stp>
        <stp>12/31/2018</stp>
        <tr r="P319" s="1"/>
      </tp>
      <tp>
        <v>22.485160932034301</v>
        <stp/>
        <stp>EM_S_VAL_PCF_NCFTTM</stp>
        <stp>2</stp>
        <stp>300415</stp>
        <stp>12/31/2018</stp>
        <tr r="P374" s="1"/>
      </tp>
      <tp>
        <v>-79.174198164211404</v>
        <stp/>
        <stp>EM_S_VAL_PCF_NCFTTM</stp>
        <stp>2</stp>
        <stp>000426</stp>
        <stp>12/31/2018</stp>
        <tr r="P2266" s="1"/>
      </tp>
      <tp>
        <v>15.1137101519271</v>
        <stp/>
        <stp>EM_S_VAL_PCF_NCFTTM</stp>
        <stp>2</stp>
        <stp>300416</stp>
        <stp>12/31/2018</stp>
        <tr r="P301" s="1"/>
      </tp>
      <tp>
        <v>-74.924605340817394</v>
        <stp/>
        <stp>EM_S_VAL_PCF_NCFTTM</stp>
        <stp>2</stp>
        <stp>600446</stp>
        <stp>12/31/2018</stp>
        <tr r="P127" s="1"/>
      </tp>
      <tp>
        <v>108.355711539691</v>
        <stp/>
        <stp>EM_S_VAL_PCF_NCFTTM</stp>
        <stp>2</stp>
        <stp>300417</stp>
        <stp>12/31/2018</stp>
        <tr r="P56" s="1"/>
      </tp>
      <tp>
        <v>9.7386345504968208</v>
        <stp/>
        <stp>EM_S_VAL_PCF_NCFTTM</stp>
        <stp>2</stp>
        <stp>000420</stp>
        <stp>12/31/2018</stp>
        <tr r="P1603" s="1"/>
      </tp>
      <tp>
        <v>-14317.862909671499</v>
        <stp/>
        <stp>EM_S_VAL_PCF_NCFTTM</stp>
        <stp>2</stp>
        <stp>300410</stp>
        <stp>12/31/2018</stp>
        <tr r="P3396" s="1"/>
      </tp>
      <tp>
        <v>-7.4524460515992601</v>
        <stp/>
        <stp>EM_S_VAL_PCF_NCFTTM</stp>
        <stp>2</stp>
        <stp>000421</stp>
        <stp>12/31/2018</stp>
        <tr r="P3423" s="1"/>
      </tp>
      <tp>
        <v>14.9382017566709</v>
        <stp/>
        <stp>EM_S_VAL_PCF_NCFTTM</stp>
        <stp>2</stp>
        <stp>300411</stp>
        <stp>12/31/2018</stp>
        <tr r="P2490" s="1"/>
      </tp>
      <tp>
        <v>-19.088568500363198</v>
        <stp/>
        <stp>EM_S_VAL_PCF_NCFTTM</stp>
        <stp>2</stp>
        <stp>000422</stp>
        <stp>12/31/2018</stp>
        <tr r="P2350" s="1"/>
      </tp>
      <tp>
        <v>22.584584643493699</v>
        <stp/>
        <stp>EM_S_VAL_PCF_NCFTTM</stp>
        <stp>2</stp>
        <stp>300412</stp>
        <stp>12/31/2018</stp>
        <tr r="P2243" s="1"/>
      </tp>
      <tp>
        <v>155.45645210876199</v>
        <stp/>
        <stp>EM_S_VAL_PCF_NCFTTM</stp>
        <stp>2</stp>
        <stp>000423</stp>
        <stp>12/31/2018</stp>
        <tr r="P3424" s="1"/>
      </tp>
      <tp>
        <v>60.263143307964299</v>
        <stp/>
        <stp>EM_S_VAL_PCF_NCFTTM</stp>
        <stp>2</stp>
        <stp>300413</stp>
        <stp>12/31/2018</stp>
        <tr r="P2612" s="1"/>
      </tp>
      <tp>
        <v>-34.143603147936197</v>
        <stp/>
        <stp>EM_S_VAL_PCF_NCFTTM</stp>
        <stp>2</stp>
        <stp>000428</stp>
        <stp>12/31/2018</stp>
        <tr r="P3425" s="1"/>
      </tp>
      <tp>
        <v>-126.79437599196299</v>
        <stp/>
        <stp>EM_S_VAL_PCF_NCFTTM</stp>
        <stp>2</stp>
        <stp>300418</stp>
        <stp>12/31/2018</stp>
        <tr r="P889" s="1"/>
      </tp>
      <tp>
        <v>9.4990152163186092</v>
        <stp/>
        <stp>EM_S_VAL_PCF_NCFTTM</stp>
        <stp>2</stp>
        <stp>600448</stp>
        <stp>12/31/2018</stp>
        <tr r="P1775" s="1"/>
      </tp>
      <tp>
        <v>-18.929581414677301</v>
        <stp/>
        <stp>EM_S_VAL_PCF_NCFTTM</stp>
        <stp>2</stp>
        <stp>000429</stp>
        <stp>12/31/2018</stp>
        <tr r="P2465" s="1"/>
      </tp>
      <tp>
        <v>-12.6852830817419</v>
        <stp/>
        <stp>EM_S_VAL_PCF_NCFTTM</stp>
        <stp>2</stp>
        <stp>300419</stp>
        <stp>12/31/2018</stp>
        <tr r="P1348" s="1"/>
      </tp>
      <tp>
        <v>58.5191536608449</v>
        <stp/>
        <stp>EM_S_VAL_PCF_NCFTTM</stp>
        <stp>2</stp>
        <stp>600449</stp>
        <stp>12/31/2018</stp>
        <tr r="P621" s="1"/>
      </tp>
      <tp>
        <v>-15.999520815316</v>
        <stp/>
        <stp>EM_S_VAL_PCF_NCFTTM</stp>
        <stp>2</stp>
        <stp>300404</stp>
        <stp>12/31/2018</stp>
        <tr r="P1027" s="1"/>
      </tp>
      <tp>
        <v>23.1727565910804</v>
        <stp/>
        <stp>EM_S_VAL_PCF_NCFTTM</stp>
        <stp>2</stp>
        <stp>300405</stp>
        <stp>12/31/2018</stp>
        <tr r="P2766" s="1"/>
      </tp>
      <tp>
        <v>29.675701067591699</v>
        <stp/>
        <stp>EM_S_VAL_PCF_NCFTTM</stp>
        <stp>2</stp>
        <stp>600455</stp>
        <stp>12/31/2018</stp>
        <tr r="P440" s="1"/>
      </tp>
      <tp>
        <v>-218.776274290391</v>
        <stp/>
        <stp>EM_S_VAL_PCF_NCFTTM</stp>
        <stp>2</stp>
        <stp>300406</stp>
        <stp>12/31/2018</stp>
        <tr r="P400" s="1"/>
      </tp>
      <tp>
        <v>55.201592085031699</v>
        <stp/>
        <stp>EM_S_VAL_PCF_NCFTTM</stp>
        <stp>2</stp>
        <stp>600456</stp>
        <stp>12/31/2018</stp>
        <tr r="P393" s="1"/>
      </tp>
      <tp>
        <v>14.802863881049401</v>
        <stp/>
        <stp>EM_S_VAL_PCF_NCFTTM</stp>
        <stp>2</stp>
        <stp>300407</stp>
        <stp>12/31/2018</stp>
        <tr r="P2060" s="1"/>
      </tp>
      <tp>
        <v>-22.7274454992926</v>
        <stp/>
        <stp>EM_S_VAL_PCF_NCFTTM</stp>
        <stp>2</stp>
        <stp>000430</stp>
        <stp>12/31/2018</stp>
        <tr r="P3426" s="1"/>
      </tp>
      <tp>
        <v>-25.3571010494875</v>
        <stp/>
        <stp>EM_S_VAL_PCF_NCFTTM</stp>
        <stp>2</stp>
        <stp>300400</stp>
        <stp>12/31/2018</stp>
        <tr r="P2511" s="1"/>
      </tp>
      <tp>
        <v>32.508702091744098</v>
        <stp/>
        <stp>EM_S_VAL_PCF_NCFTTM</stp>
        <stp>2</stp>
        <stp>300401</stp>
        <stp>12/31/2018</stp>
        <tr r="P2232" s="1"/>
      </tp>
      <tp>
        <v>-35.884238044217398</v>
        <stp/>
        <stp>EM_S_VAL_PCF_NCFTTM</stp>
        <stp>2</stp>
        <stp>300402</stp>
        <stp>12/31/2018</stp>
        <tr r="P1278" s="1"/>
      </tp>
      <tp>
        <v>-37.255002172342103</v>
        <stp/>
        <stp>EM_S_VAL_PCF_NCFTTM</stp>
        <stp>2</stp>
        <stp>600452</stp>
        <stp>12/31/2018</stp>
        <tr r="P1428" s="1"/>
      </tp>
      <tp>
        <v>-14.9538828799549</v>
        <stp/>
        <stp>EM_S_VAL_PCF_NCFTTM</stp>
        <stp>2</stp>
        <stp>300403</stp>
        <stp>12/31/2018</stp>
        <tr r="P2252" s="1"/>
      </tp>
      <tp>
        <v>-100.835936480822</v>
        <stp/>
        <stp>EM_S_VAL_PCF_NCFTTM</stp>
        <stp>2</stp>
        <stp>300408</stp>
        <stp>12/31/2018</stp>
        <tr r="P858" s="1"/>
      </tp>
      <tp>
        <v>-47.062932630810302</v>
        <stp/>
        <stp>EM_S_VAL_PCF_NCFTTM</stp>
        <stp>2</stp>
        <stp>600458</stp>
        <stp>12/31/2018</stp>
        <tr r="P2074" s="1"/>
      </tp>
      <tp>
        <v>21.966747214388999</v>
        <stp/>
        <stp>EM_S_VAL_PCF_NCFTTM</stp>
        <stp>2</stp>
        <stp>300409</stp>
        <stp>12/31/2018</stp>
        <tr r="P2377" s="1"/>
      </tp>
      <tp>
        <v>-58.810633584670299</v>
        <stp/>
        <stp>EM_S_VAL_PCF_NCFTTM</stp>
        <stp>2</stp>
        <stp>600459</stp>
        <stp>12/31/2018</stp>
        <tr r="P755" s="1"/>
      </tp>
      <tp>
        <v>-239.96998676430201</v>
        <stp/>
        <stp>EM_S_VAL_PCF_NCFTTM</stp>
        <stp>2</stp>
        <stp>300474</stp>
        <stp>12/31/2018</stp>
        <tr r="P392" s="1"/>
      </tp>
      <tp>
        <v>-13.2397386773811</v>
        <stp/>
        <stp>EM_S_VAL_PCF_NCFTTM</stp>
        <stp>2</stp>
        <stp>300475</stp>
        <stp>12/31/2018</stp>
        <tr r="P864" s="1"/>
      </tp>
      <tp>
        <v>13.3928245748706</v>
        <stp/>
        <stp>EM_S_VAL_PCF_NCFTTM</stp>
        <stp>2</stp>
        <stp>600425</stp>
        <stp>12/31/2018</stp>
        <tr r="P935" s="1"/>
      </tp>
      <tp>
        <v>66.590709663861801</v>
        <stp/>
        <stp>EM_S_VAL_PCF_NCFTTM</stp>
        <stp>2</stp>
        <stp>300476</stp>
        <stp>12/31/2018</stp>
        <tr r="P744" s="1"/>
      </tp>
      <tp>
        <v>11.107724366278999</v>
        <stp/>
        <stp>EM_S_VAL_PCF_NCFTTM</stp>
        <stp>2</stp>
        <stp>600426</stp>
        <stp>12/31/2018</stp>
        <tr r="P417" s="1"/>
      </tp>
      <tp>
        <v>-18.431553767730499</v>
        <stp/>
        <stp>EM_S_VAL_PCF_NCFTTM</stp>
        <stp>2</stp>
        <stp>300477</stp>
        <stp>12/31/2018</stp>
        <tr r="P3020" s="1"/>
      </tp>
      <tp>
        <v>-17.717600447131399</v>
        <stp/>
        <stp>EM_S_VAL_PCF_NCFTTM</stp>
        <stp>2</stp>
        <stp>300470</stp>
        <stp>12/31/2018</stp>
        <tr r="P1244" s="1"/>
      </tp>
      <tp>
        <v>10.5994418216191</v>
        <stp/>
        <stp>EM_S_VAL_PCF_NCFTTM</stp>
        <stp>2</stp>
        <stp>600420</stp>
        <stp>12/31/2018</stp>
        <tr r="P2530" s="1"/>
      </tp>
      <tp>
        <v>-8.7916387872982895</v>
        <stp/>
        <stp>EM_S_VAL_PCF_NCFTTM</stp>
        <stp>2</stp>
        <stp>300471</stp>
        <stp>12/31/2018</stp>
        <tr r="P341" s="1"/>
      </tp>
      <tp>
        <v>-827.53060672896697</v>
        <stp/>
        <stp>EM_S_VAL_PCF_NCFTTM</stp>
        <stp>2</stp>
        <stp>600421</stp>
        <stp>12/31/2018</stp>
        <tr r="P1884" s="1"/>
      </tp>
      <tp>
        <v>86.025995846550302</v>
        <stp/>
        <stp>EM_S_VAL_PCF_NCFTTM</stp>
        <stp>2</stp>
        <stp>300472</stp>
        <stp>12/31/2018</stp>
        <tr r="P2439" s="1"/>
      </tp>
      <tp>
        <v>37.085364920386297</v>
        <stp/>
        <stp>EM_S_VAL_PCF_NCFTTM</stp>
        <stp>2</stp>
        <stp>600422</stp>
        <stp>12/31/2018</stp>
        <tr r="P333" s="1"/>
      </tp>
      <tp>
        <v>5.4207459553482398</v>
        <stp/>
        <stp>EM_S_VAL_PCF_NCFTTM</stp>
        <stp>2</stp>
        <stp>300473</stp>
        <stp>12/31/2018</stp>
        <tr r="P898" s="1"/>
      </tp>
      <tp>
        <v>14.9481946642385</v>
        <stp/>
        <stp>EM_S_VAL_PCF_NCFTTM</stp>
        <stp>2</stp>
        <stp>600423</stp>
        <stp>12/31/2018</stp>
        <tr r="P2841" s="1"/>
      </tp>
      <tp>
        <v>-14.1503324414867</v>
        <stp/>
        <stp>EM_S_VAL_PCF_NCFTTM</stp>
        <stp>2</stp>
        <stp>300478</stp>
        <stp>12/31/2018</stp>
        <tr r="P3004" s="1"/>
      </tp>
      <tp>
        <v>-11.8677532031893</v>
        <stp/>
        <stp>EM_S_VAL_PCF_NCFTTM</stp>
        <stp>2</stp>
        <stp>600428</stp>
        <stp>12/31/2018</stp>
        <tr r="P1477" s="1"/>
      </tp>
      <tp>
        <v>-492.81874306221101</v>
        <stp/>
        <stp>EM_S_VAL_PCF_NCFTTM</stp>
        <stp>2</stp>
        <stp>300479</stp>
        <stp>12/31/2018</stp>
        <tr r="P1154" s="1"/>
      </tp>
      <tp>
        <v>37.527663891607403</v>
        <stp/>
        <stp>EM_S_VAL_PCF_NCFTTM</stp>
        <stp>2</stp>
        <stp>600429</stp>
        <stp>12/31/2018</stp>
        <tr r="P2394" s="1"/>
      </tp>
      <tp>
        <v>-106.070097432221</v>
        <stp/>
        <stp>EM_S_VAL_PCF_NCFTTM</stp>
        <stp>2</stp>
        <stp>300464</stp>
        <stp>12/31/2018</stp>
        <tr r="P195" s="1"/>
      </tp>
      <tp>
        <v>22.0066622706983</v>
        <stp/>
        <stp>EM_S_VAL_PCF_NCFTTM</stp>
        <stp>2</stp>
        <stp>300465</stp>
        <stp>12/31/2018</stp>
        <tr r="P477" s="1"/>
      </tp>
      <tp>
        <v>307.46634601791698</v>
        <stp/>
        <stp>EM_S_VAL_PCF_NCFTTM</stp>
        <stp>2</stp>
        <stp>600435</stp>
        <stp>12/31/2018</stp>
        <tr r="P1564" s="1"/>
      </tp>
      <tp>
        <v>907.83982712324098</v>
        <stp/>
        <stp>EM_S_VAL_PCF_NCFTTM</stp>
        <stp>2</stp>
        <stp>300466</stp>
        <stp>12/31/2018</stp>
        <tr r="P1519" s="1"/>
      </tp>
      <tp>
        <v>821.945657665299</v>
        <stp/>
        <stp>EM_S_VAL_PCF_NCFTTM</stp>
        <stp>2</stp>
        <stp>600436</stp>
        <stp>12/31/2018</stp>
        <tr r="P1060" s="1"/>
      </tp>
      <tp>
        <v>-138.85160256359799</v>
        <stp/>
        <stp>EM_S_VAL_PCF_NCFTTM</stp>
        <stp>2</stp>
        <stp>300467</stp>
        <stp>12/31/2018</stp>
        <tr r="P2940" s="1"/>
      </tp>
      <tp>
        <v>90.387726685429797</v>
        <stp/>
        <stp>EM_S_VAL_PCF_NCFTTM</stp>
        <stp>2</stp>
        <stp>300460</stp>
        <stp>12/31/2018</stp>
        <tr r="P170" s="1"/>
      </tp>
      <tp>
        <v>24.585322363512802</v>
        <stp/>
        <stp>EM_S_VAL_PCF_NCFTTM</stp>
        <stp>2</stp>
        <stp>300461</stp>
        <stp>12/31/2018</stp>
        <tr r="P1686" s="1"/>
      </tp>
      <tp>
        <v>-184.29739643867799</v>
        <stp/>
        <stp>EM_S_VAL_PCF_NCFTTM</stp>
        <stp>2</stp>
        <stp>300462</stp>
        <stp>12/31/2018</stp>
        <tr r="P369" s="1"/>
      </tp>
      <tp>
        <v>297.50606091273801</v>
        <stp/>
        <stp>EM_S_VAL_PCF_NCFTTM</stp>
        <stp>2</stp>
        <stp>600432</stp>
        <stp>12/31/2018</stp>
        <tr r="P2302" s="1"/>
      </tp>
      <tp>
        <v>-233.76379452043599</v>
        <stp/>
        <stp>EM_S_VAL_PCF_NCFTTM</stp>
        <stp>2</stp>
        <stp>300463</stp>
        <stp>12/31/2018</stp>
        <tr r="P238" s="1"/>
      </tp>
      <tp>
        <v>29.723249180634902</v>
        <stp/>
        <stp>EM_S_VAL_PCF_NCFTTM</stp>
        <stp>2</stp>
        <stp>600433</stp>
        <stp>12/31/2018</stp>
        <tr r="P2625" s="1"/>
      </tp>
      <tp>
        <v>-47.988598098496396</v>
        <stp/>
        <stp>EM_S_VAL_PCF_NCFTTM</stp>
        <stp>2</stp>
        <stp>300468</stp>
        <stp>12/31/2018</stp>
        <tr r="P55" s="1"/>
      </tp>
      <tp>
        <v>89.097413735096296</v>
        <stp/>
        <stp>EM_S_VAL_PCF_NCFTTM</stp>
        <stp>2</stp>
        <stp>600438</stp>
        <stp>12/31/2018</stp>
        <tr r="P448" s="1"/>
      </tp>
      <tp>
        <v>-40.195025104023401</v>
        <stp/>
        <stp>EM_S_VAL_PCF_NCFTTM</stp>
        <stp>2</stp>
        <stp>300469</stp>
        <stp>12/31/2018</stp>
        <tr r="P2968" s="1"/>
      </tp>
      <tp>
        <v>116.125142775363</v>
        <stp/>
        <stp>EM_S_VAL_PCF_NCFTTM</stp>
        <stp>2</stp>
        <stp>600439</stp>
        <stp>12/31/2018</stp>
        <tr r="P823" s="1"/>
      </tp>
      <tp>
        <v>126.528365163941</v>
        <stp/>
        <stp>EM_S_VAL_PCF_NCFTTM</stp>
        <stp>2</stp>
        <stp>300454</stp>
        <stp>12/31/2018</stp>
        <tr r="P1028" s="1"/>
      </tp>
      <tp>
        <v>-26.430670475718902</v>
        <stp/>
        <stp>EM_S_VAL_PCF_NCFTTM</stp>
        <stp>2</stp>
        <stp>300455</stp>
        <stp>12/31/2018</stp>
        <tr r="P388" s="1"/>
      </tp>
      <tp>
        <v>-8.7772743966979299</v>
        <stp/>
        <stp>EM_S_VAL_PCF_NCFTTM</stp>
        <stp>2</stp>
        <stp>600405</stp>
        <stp>12/31/2018</stp>
        <tr r="P1472" s="1"/>
      </tp>
      <tp>
        <v>15.5593724528684</v>
        <stp/>
        <stp>EM_S_VAL_PCF_NCFTTM</stp>
        <stp>2</stp>
        <stp>300456</stp>
        <stp>12/31/2018</stp>
        <tr r="P1723" s="1"/>
      </tp>
      <tp>
        <v>844.29717989877599</v>
        <stp/>
        <stp>EM_S_VAL_PCF_NCFTTM</stp>
        <stp>2</stp>
        <stp>600406</stp>
        <stp>12/31/2018</stp>
        <tr r="P1471" s="1"/>
      </tp>
      <tp>
        <v>18.017702470949502</v>
        <stp/>
        <stp>EM_S_VAL_PCF_NCFTTM</stp>
        <stp>2</stp>
        <stp>300457</stp>
        <stp>12/31/2018</stp>
        <tr r="P1422" s="1"/>
      </tp>
      <tp>
        <v>-114.22527615350801</v>
        <stp/>
        <stp>EM_S_VAL_PCF_NCFTTM</stp>
        <stp>2</stp>
        <stp>300450</stp>
        <stp>12/31/2018</stp>
        <tr r="P468" s="1"/>
      </tp>
      <tp>
        <v>-56.018138641181501</v>
        <stp/>
        <stp>EM_S_VAL_PCF_NCFTTM</stp>
        <stp>2</stp>
        <stp>600400</stp>
        <stp>12/31/2018</stp>
        <tr r="P2812" s="1"/>
      </tp>
      <tp>
        <v>-757.70372291589194</v>
        <stp/>
        <stp>EM_S_VAL_PCF_NCFTTM</stp>
        <stp>2</stp>
        <stp>300451</stp>
        <stp>12/31/2018</stp>
        <tr r="P2693" s="1"/>
      </tp>
      <tp>
        <v>-26.1290350568996</v>
        <stp/>
        <stp>EM_S_VAL_PCF_NCFTTM</stp>
        <stp>2</stp>
        <stp>600401</stp>
        <stp>12/31/2018</stp>
        <tr r="P3407" s="1"/>
      </tp>
      <tp>
        <v>-23.354815165883998</v>
        <stp/>
        <stp>EM_S_VAL_PCF_NCFTTM</stp>
        <stp>2</stp>
        <stp>300452</stp>
        <stp>12/31/2018</stp>
        <tr r="P1739" s="1"/>
      </tp>
      <tp>
        <v>-106.450906618122</v>
        <stp/>
        <stp>EM_S_VAL_PCF_NCFTTM</stp>
        <stp>2</stp>
        <stp>300453</stp>
        <stp>12/31/2018</stp>
        <tr r="P3248" s="1"/>
      </tp>
      <tp>
        <v>3.80338927143693</v>
        <stp/>
        <stp>EM_S_VAL_PCF_NCFTTM</stp>
        <stp>2</stp>
        <stp>600403</stp>
        <stp>12/31/2018</stp>
        <tr r="P1468" s="1"/>
      </tp>
      <tp>
        <v>25.149972013552901</v>
        <stp/>
        <stp>EM_S_VAL_PCF_NCFTTM</stp>
        <stp>2</stp>
        <stp>300458</stp>
        <stp>12/31/2018</stp>
        <tr r="P425" s="1"/>
      </tp>
      <tp>
        <v>-144.305719558915</v>
        <stp/>
        <stp>EM_S_VAL_PCF_NCFTTM</stp>
        <stp>2</stp>
        <stp>600408</stp>
        <stp>12/31/2018</stp>
        <tr r="P2702" s="1"/>
      </tp>
      <tp>
        <v>45.293052032205701</v>
        <stp/>
        <stp>EM_S_VAL_PCF_NCFTTM</stp>
        <stp>2</stp>
        <stp>300459</stp>
        <stp>12/31/2018</stp>
        <tr r="P3387" s="1"/>
      </tp>
      <tp>
        <v>19.541640553922502</v>
        <stp/>
        <stp>EM_S_VAL_PCF_NCFTTM</stp>
        <stp>2</stp>
        <stp>600409</stp>
        <stp>12/31/2018</stp>
        <tr r="P1750" s="1"/>
      </tp>
      <tp>
        <v>39.227813064327599</v>
        <stp/>
        <stp>EM_S_VAL_PCF_NCFTTM</stp>
        <stp>2</stp>
        <stp>300444</stp>
        <stp>12/31/2018</stp>
        <tr r="P3128" s="1"/>
      </tp>
      <tp>
        <v>-34.702777439120503</v>
        <stp/>
        <stp>EM_S_VAL_PCF_NCFTTM</stp>
        <stp>2</stp>
        <stp>300445</stp>
        <stp>12/31/2018</stp>
        <tr r="P314" s="1"/>
      </tp>
      <tp>
        <v>12.688799101306699</v>
        <stp/>
        <stp>EM_S_VAL_PCF_NCFTTM</stp>
        <stp>2</stp>
        <stp>600415</stp>
        <stp>12/31/2018</stp>
        <tr r="P1685" s="1"/>
      </tp>
      <tp>
        <v>41.0051900638978</v>
        <stp/>
        <stp>EM_S_VAL_PCF_NCFTTM</stp>
        <stp>2</stp>
        <stp>300446</stp>
        <stp>12/31/2018</stp>
        <tr r="P1334" s="1"/>
      </tp>
      <tp>
        <v>-13.7686569800169</v>
        <stp/>
        <stp>EM_S_VAL_PCF_NCFTTM</stp>
        <stp>2</stp>
        <stp>600416</stp>
        <stp>12/31/2018</stp>
        <tr r="P795" s="1"/>
      </tp>
      <tp>
        <v>219.258920456543</v>
        <stp/>
        <stp>EM_S_VAL_PCF_NCFTTM</stp>
        <stp>2</stp>
        <stp>300447</stp>
        <stp>12/31/2018</stp>
        <tr r="P1960" s="1"/>
      </tp>
      <tp>
        <v>-11.1172086900797</v>
        <stp/>
        <stp>EM_S_VAL_PCF_NCFTTM</stp>
        <stp>2</stp>
        <stp>300440</stp>
        <stp>12/31/2018</stp>
        <tr r="P675" s="1"/>
      </tp>
      <tp>
        <v>-8.6800147830169596</v>
        <stp/>
        <stp>EM_S_VAL_PCF_NCFTTM</stp>
        <stp>2</stp>
        <stp>600410</stp>
        <stp>12/31/2018</stp>
        <tr r="P272" s="1"/>
      </tp>
      <tp>
        <v>34.477261321536197</v>
        <stp/>
        <stp>EM_S_VAL_PCF_NCFTTM</stp>
        <stp>2</stp>
        <stp>300441</stp>
        <stp>12/31/2018</stp>
        <tr r="P685" s="1"/>
      </tp>
      <tp>
        <v>-70.284658419475207</v>
        <stp/>
        <stp>EM_S_VAL_PCF_NCFTTM</stp>
        <stp>2</stp>
        <stp>300442</stp>
        <stp>12/31/2018</stp>
        <tr r="P1232" s="1"/>
      </tp>
      <tp>
        <v>-22.510471184861998</v>
        <stp/>
        <stp>EM_S_VAL_PCF_NCFTTM</stp>
        <stp>2</stp>
        <stp>300443</stp>
        <stp>12/31/2018</stp>
        <tr r="P981" s="1"/>
      </tp>
      <tp>
        <v>64.862209674150904</v>
        <stp/>
        <stp>EM_S_VAL_PCF_NCFTTM</stp>
        <stp>2</stp>
        <stp>300448</stp>
        <stp>12/31/2018</stp>
        <tr r="P3181" s="1"/>
      </tp>
      <tp>
        <v>-2.5205086215869499</v>
        <stp/>
        <stp>EM_S_VAL_PCF_NCFTTM</stp>
        <stp>2</stp>
        <stp>600418</stp>
        <stp>12/31/2018</stp>
        <tr r="P2111" s="1"/>
      </tp>
      <tp>
        <v>27.991459795727501</v>
        <stp/>
        <stp>EM_S_VAL_PCF_NCFTTM</stp>
        <stp>2</stp>
        <stp>300449</stp>
        <stp>12/31/2018</stp>
        <tr r="P3249" s="1"/>
      </tp>
      <tp>
        <v>62.799770217218096</v>
        <stp/>
        <stp>EM_S_VAL_PCF_NCFTTM</stp>
        <stp>2</stp>
        <stp>600419</stp>
        <stp>12/31/2018</stp>
        <tr r="P2434" s="1"/>
      </tp>
      <tp>
        <v>6.4468157884279602</v>
        <stp/>
        <stp>EM_S_VAL_PCF_NCFTTM</stp>
        <stp>2</stp>
        <stp>000785</stp>
        <stp>12/31/2018</stp>
        <tr r="P560" s="1"/>
      </tp>
      <tp>
        <v>-30.138680352428</v>
        <stp/>
        <stp>EM_S_VAL_PCF_NCFTTM</stp>
        <stp>2</stp>
        <stp>000786</stp>
        <stp>12/31/2018</stp>
        <tr r="P216" s="1"/>
      </tp>
      <tp>
        <v>-10.7322774694843</v>
        <stp/>
        <stp>EM_S_VAL_PCF_NCFTTM</stp>
        <stp>2</stp>
        <stp>000787</stp>
        <stp>12/31/2018</stp>
        <tr r="P3538" s="1"/>
      </tp>
      <tp>
        <v>-4.2353405690595496</v>
        <stp/>
        <stp>EM_S_VAL_PCF_NCFTTM</stp>
        <stp>2</stp>
        <stp>000780</stp>
        <stp>12/31/2018</stp>
        <tr r="P3536" s="1"/>
      </tp>
      <tp>
        <v>5.3079313264104897</v>
        <stp/>
        <stp>EM_S_VAL_PCF_NCFTTM</stp>
        <stp>2</stp>
        <stp>000782</stp>
        <stp>12/31/2018</stp>
        <tr r="P3032" s="1"/>
      </tp>
      <tp>
        <v>28.048410621312399</v>
        <stp/>
        <stp>EM_S_VAL_PCF_NCFTTM</stp>
        <stp>2</stp>
        <stp>000783</stp>
        <stp>12/31/2018</stp>
        <tr r="P3537" s="1"/>
      </tp>
      <tp>
        <v>-73.012503957629207</v>
        <stp/>
        <stp>EM_S_VAL_PCF_NCFTTM</stp>
        <stp>2</stp>
        <stp>000788</stp>
        <stp>12/31/2018</stp>
        <tr r="P1145" s="1"/>
      </tp>
      <tp>
        <v>12.031842264372299</v>
        <stp/>
        <stp>EM_S_VAL_PCF_NCFTTM</stp>
        <stp>2</stp>
        <stp>000789</stp>
        <stp>12/31/2018</stp>
        <tr r="P2031" s="1"/>
      </tp>
      <tp>
        <v>-75.4879322871559</v>
        <stp/>
        <stp>EM_S_VAL_PCF_NCFTTM</stp>
        <stp>2</stp>
        <stp>000795</stp>
        <stp>12/31/2018</stp>
        <tr r="P292" s="1"/>
      </tp>
      <tp>
        <v>-6.9323492374858704</v>
        <stp/>
        <stp>EM_S_VAL_PCF_NCFTTM</stp>
        <stp>2</stp>
        <stp>000796</stp>
        <stp>12/31/2018</stp>
        <tr r="P776" s="1"/>
      </tp>
      <tp>
        <v>-5.0479030708833603</v>
        <stp/>
        <stp>EM_S_VAL_PCF_NCFTTM</stp>
        <stp>2</stp>
        <stp>000797</stp>
        <stp>12/31/2018</stp>
        <tr r="P3127" s="1"/>
      </tp>
      <tp>
        <v>16.7188090601441</v>
        <stp/>
        <stp>EM_S_VAL_PCF_NCFTTM</stp>
        <stp>2</stp>
        <stp>000790</stp>
        <stp>12/31/2018</stp>
        <tr r="P1849" s="1"/>
      </tp>
      <tp>
        <v>210.24210038866801</v>
        <stp/>
        <stp>EM_S_VAL_PCF_NCFTTM</stp>
        <stp>2</stp>
        <stp>000791</stp>
        <stp>12/31/2018</stp>
        <tr r="P3193" s="1"/>
      </tp>
      <tp>
        <v>-20.8668302230931</v>
        <stp/>
        <stp>EM_S_VAL_PCF_NCFTTM</stp>
        <stp>2</stp>
        <stp>000792</stp>
        <stp>12/31/2018</stp>
        <tr r="P3539" s="1"/>
      </tp>
      <tp>
        <v>-14.8080697971685</v>
        <stp/>
        <stp>EM_S_VAL_PCF_NCFTTM</stp>
        <stp>2</stp>
        <stp>000793</stp>
        <stp>12/31/2018</stp>
        <tr r="P3540" s="1"/>
      </tp>
      <tp>
        <v>-17.792063662100201</v>
        <stp/>
        <stp>EM_S_VAL_PCF_NCFTTM</stp>
        <stp>2</stp>
        <stp>000798</stp>
        <stp>12/31/2018</stp>
        <tr r="P3541" s="1"/>
      </tp>
      <tp>
        <v>13.007023866575301</v>
        <stp/>
        <stp>EM_S_VAL_PCF_NCFTTM</stp>
        <stp>2</stp>
        <stp>000799</stp>
        <stp>12/31/2018</stp>
        <tr r="P114" s="1"/>
      </tp>
      <tp>
        <v>6.7044905192483002</v>
        <stp/>
        <stp>EM_S_VAL_PCF_NCFTTM</stp>
        <stp>2</stp>
        <stp>600784</stp>
        <stp>12/31/2018</stp>
        <tr r="P2018" s="1"/>
      </tp>
      <tp>
        <v>54.785049538623099</v>
        <stp/>
        <stp>EM_S_VAL_PCF_NCFTTM</stp>
        <stp>2</stp>
        <stp>600785</stp>
        <stp>12/31/2018</stp>
        <tr r="P2709" s="1"/>
      </tp>
      <tp>
        <v>-111.629903884475</v>
        <stp/>
        <stp>EM_S_VAL_PCF_NCFTTM</stp>
        <stp>2</stp>
        <stp>600786</stp>
        <stp>12/31/2018</stp>
        <tr r="P2322" s="1"/>
      </tp>
      <tp>
        <v>-11.4218285071765</v>
        <stp/>
        <stp>EM_S_VAL_PCF_NCFTTM</stp>
        <stp>2</stp>
        <stp>600787</stp>
        <stp>12/31/2018</stp>
        <tr r="P2015" s="1"/>
      </tp>
      <tp>
        <v>-5.72346921123596</v>
        <stp/>
        <stp>EM_S_VAL_PCF_NCFTTM</stp>
        <stp>2</stp>
        <stp>600780</stp>
        <stp>12/31/2018</stp>
        <tr r="P1853" s="1"/>
      </tp>
      <tp>
        <v>29.6205083808408</v>
        <stp/>
        <stp>EM_S_VAL_PCF_NCFTTM</stp>
        <stp>2</stp>
        <stp>600781</stp>
        <stp>12/31/2018</stp>
        <tr r="P3379" s="1"/>
      </tp>
      <tp>
        <v>2.57260384945427</v>
        <stp/>
        <stp>EM_S_VAL_PCF_NCFTTM</stp>
        <stp>2</stp>
        <stp>600782</stp>
        <stp>12/31/2018</stp>
        <tr r="P2374" s="1"/>
      </tp>
      <tp>
        <v>289.01885682747798</v>
        <stp/>
        <stp>EM_S_VAL_PCF_NCFTTM</stp>
        <stp>2</stp>
        <stp>600783</stp>
        <stp>12/31/2018</stp>
        <tr r="P2462" s="1"/>
      </tp>
      <tp>
        <v>-13105.201990215301</v>
        <stp/>
        <stp>EM_S_VAL_PCF_NCFTTM</stp>
        <stp>2</stp>
        <stp>600788</stp>
        <stp>12/31/2018</stp>
        <tr r="P2323" s="1"/>
      </tp>
      <tp>
        <v>6.7947210593662497</v>
        <stp/>
        <stp>EM_S_VAL_PCF_NCFTTM</stp>
        <stp>2</stp>
        <stp>600789</stp>
        <stp>12/31/2018</stp>
        <tr r="P2875" s="1"/>
      </tp>
      <tp>
        <v>-17.488377014255899</v>
        <stp/>
        <stp>EM_S_VAL_PCF_NCFTTM</stp>
        <stp>2</stp>
        <stp>600794</stp>
        <stp>12/31/2018</stp>
        <tr r="P627" s="1"/>
      </tp>
      <tp>
        <v>-55.112335682280303</v>
        <stp/>
        <stp>EM_S_VAL_PCF_NCFTTM</stp>
        <stp>2</stp>
        <stp>600795</stp>
        <stp>12/31/2018</stp>
        <tr r="P2731" s="1"/>
      </tp>
      <tp>
        <v>23.6843485667648</v>
        <stp/>
        <stp>EM_S_VAL_PCF_NCFTTM</stp>
        <stp>2</stp>
        <stp>600796</stp>
        <stp>12/31/2018</stp>
        <tr r="P1931" s="1"/>
      </tp>
      <tp>
        <v>-10.800024304044101</v>
        <stp/>
        <stp>EM_S_VAL_PCF_NCFTTM</stp>
        <stp>2</stp>
        <stp>600797</stp>
        <stp>12/31/2018</stp>
        <tr r="P719" s="1"/>
      </tp>
      <tp>
        <v>4.7724195054758303</v>
        <stp/>
        <stp>EM_S_VAL_PCF_NCFTTM</stp>
        <stp>2</stp>
        <stp>600790</stp>
        <stp>12/31/2018</stp>
        <tr r="P2647" s="1"/>
      </tp>
      <tp>
        <v>-11.9541503837834</v>
        <stp/>
        <stp>EM_S_VAL_PCF_NCFTTM</stp>
        <stp>2</stp>
        <stp>600791</stp>
        <stp>12/31/2018</stp>
        <tr r="P1982" s="1"/>
      </tp>
      <tp>
        <v>-46.742838341646198</v>
        <stp/>
        <stp>EM_S_VAL_PCF_NCFTTM</stp>
        <stp>2</stp>
        <stp>600792</stp>
        <stp>12/31/2018</stp>
        <tr r="P952" s="1"/>
      </tp>
      <tp>
        <v>-32.630584392033398</v>
        <stp/>
        <stp>EM_S_VAL_PCF_NCFTTM</stp>
        <stp>2</stp>
        <stp>600793</stp>
        <stp>12/31/2018</stp>
        <tr r="P1843" s="1"/>
      </tp>
      <tp>
        <v>25.830032072195301</v>
        <stp/>
        <stp>EM_S_VAL_PCF_NCFTTM</stp>
        <stp>2</stp>
        <stp>600798</stp>
        <stp>12/31/2018</stp>
        <tr r="P1796" s="1"/>
      </tp>
      <tp>
        <v>35.120771943288702</v>
        <stp/>
        <stp>EM_S_VAL_PCF_NCFTTM</stp>
        <stp>2</stp>
        <stp>600799</stp>
        <stp>12/31/2018</stp>
        <tr r="P2325" s="1"/>
      </tp>
      <tp>
        <v>18.951121789808401</v>
        <stp/>
        <stp>EM_S_VAL_PCF_NCFTTM</stp>
        <stp>2</stp>
        <stp>600764</stp>
        <stp>12/31/2018</stp>
        <tr r="P1185" s="1"/>
      </tp>
      <tp>
        <v>-19.894107946862501</v>
        <stp/>
        <stp>EM_S_VAL_PCF_NCFTTM</stp>
        <stp>2</stp>
        <stp>000705</stp>
        <stp>12/31/2018</stp>
        <tr r="P1817" s="1"/>
      </tp>
      <tp>
        <v>68.207048257697807</v>
        <stp/>
        <stp>EM_S_VAL_PCF_NCFTTM</stp>
        <stp>2</stp>
        <stp>300735</stp>
        <stp>12/31/2018</stp>
        <tr r="P394" s="1"/>
      </tp>
      <tp>
        <v>5.6444709665258896</v>
        <stp/>
        <stp>EM_S_VAL_PCF_NCFTTM</stp>
        <stp>2</stp>
        <stp>600765</stp>
        <stp>12/31/2018</stp>
        <tr r="P867" s="1"/>
      </tp>
      <tp>
        <v>33.096676788846302</v>
        <stp/>
        <stp>EM_S_VAL_PCF_NCFTTM</stp>
        <stp>2</stp>
        <stp>300736</stp>
        <stp>12/31/2018</stp>
        <tr r="P3372" s="1"/>
      </tp>
      <tp>
        <v>5384.8357957186299</v>
        <stp/>
        <stp>EM_S_VAL_PCF_NCFTTM</stp>
        <stp>2</stp>
        <stp>600766</stp>
        <stp>12/31/2018</stp>
        <tr r="P2671" s="1"/>
      </tp>
      <tp>
        <v>-1.24101379167738</v>
        <stp/>
        <stp>EM_S_VAL_PCF_NCFTTM</stp>
        <stp>2</stp>
        <stp>000707</stp>
        <stp>12/31/2018</stp>
        <tr r="P3517" s="1"/>
      </tp>
      <tp>
        <v>41.254212380298803</v>
        <stp/>
        <stp>EM_S_VAL_PCF_NCFTTM</stp>
        <stp>2</stp>
        <stp>300737</stp>
        <stp>12/31/2018</stp>
        <tr r="P983" s="1"/>
      </tp>
      <tp>
        <v>-33.539092348568602</v>
        <stp/>
        <stp>EM_S_VAL_PCF_NCFTTM</stp>
        <stp>2</stp>
        <stp>600767</stp>
        <stp>12/31/2018</stp>
        <tr r="P2211" s="1"/>
      </tp>
      <tp>
        <v>-4.7376963350355004</v>
        <stp/>
        <stp>EM_S_VAL_PCF_NCFTTM</stp>
        <stp>2</stp>
        <stp>000700</stp>
        <stp>12/31/2018</stp>
        <tr r="P854" s="1"/>
      </tp>
      <tp>
        <v>28.936615303196199</v>
        <stp/>
        <stp>EM_S_VAL_PCF_NCFTTM</stp>
        <stp>2</stp>
        <stp>300730</stp>
        <stp>12/31/2018</stp>
        <tr r="P3065" s="1"/>
      </tp>
      <tp>
        <v>6.5180262959921702</v>
        <stp/>
        <stp>EM_S_VAL_PCF_NCFTTM</stp>
        <stp>2</stp>
        <stp>600760</stp>
        <stp>12/31/2018</stp>
        <tr r="P1639" s="1"/>
      </tp>
      <tp>
        <v>2.5417053597916301</v>
        <stp/>
        <stp>EM_S_VAL_PCF_NCFTTM</stp>
        <stp>2</stp>
        <stp>000701</stp>
        <stp>12/31/2018</stp>
        <tr r="P2836" s="1"/>
      </tp>
      <tp>
        <v>13.358065109098799</v>
        <stp/>
        <stp>EM_S_VAL_PCF_NCFTTM</stp>
        <stp>2</stp>
        <stp>300731</stp>
        <stp>12/31/2018</stp>
        <tr r="P1668" s="1"/>
      </tp>
      <tp>
        <v>-54.5317696381397</v>
        <stp/>
        <stp>EM_S_VAL_PCF_NCFTTM</stp>
        <stp>2</stp>
        <stp>600761</stp>
        <stp>12/31/2018</stp>
        <tr r="P1761" s="1"/>
      </tp>
      <tp>
        <v>23.465228906020101</v>
        <stp/>
        <stp>EM_S_VAL_PCF_NCFTTM</stp>
        <stp>2</stp>
        <stp>000702</stp>
        <stp>12/31/2018</stp>
        <tr r="P3516" s="1"/>
      </tp>
      <tp>
        <v>14.528209962625599</v>
        <stp/>
        <stp>EM_S_VAL_PCF_NCFTTM</stp>
        <stp>2</stp>
        <stp>300732</stp>
        <stp>12/31/2018</stp>
        <tr r="P3364" s="1"/>
      </tp>
      <tp>
        <v>-1157.1015063273401</v>
        <stp/>
        <stp>EM_S_VAL_PCF_NCFTTM</stp>
        <stp>2</stp>
        <stp>600762</stp>
        <stp>12/31/2018</stp>
        <tr r="P2320" s="1"/>
      </tp>
      <tp>
        <v>6.6563248061123099</v>
        <stp/>
        <stp>EM_S_VAL_PCF_NCFTTM</stp>
        <stp>2</stp>
        <stp>000703</stp>
        <stp>12/31/2018</stp>
        <tr r="P1288" s="1"/>
      </tp>
      <tp>
        <v>71.828646806685995</v>
        <stp/>
        <stp>EM_S_VAL_PCF_NCFTTM</stp>
        <stp>2</stp>
        <stp>300733</stp>
        <stp>12/31/2018</stp>
        <tr r="P3184" s="1"/>
      </tp>
      <tp>
        <v>74.556271652915697</v>
        <stp/>
        <stp>EM_S_VAL_PCF_NCFTTM</stp>
        <stp>2</stp>
        <stp>600763</stp>
        <stp>12/31/2018</stp>
        <tr r="P136" s="1"/>
      </tp>
      <tp>
        <v>4.5860155814542596</v>
        <stp/>
        <stp>EM_S_VAL_PCF_NCFTTM</stp>
        <stp>2</stp>
        <stp>000708</stp>
        <stp>12/31/2018</stp>
        <tr r="P73" s="1"/>
      </tp>
      <tp>
        <v>728.86315714859802</v>
        <stp/>
        <stp>EM_S_VAL_PCF_NCFTTM</stp>
        <stp>2</stp>
        <stp>300738</stp>
        <stp>12/31/2018</stp>
        <tr r="P2898" s="1"/>
      </tp>
      <tp>
        <v>-23.835923798064702</v>
        <stp/>
        <stp>EM_S_VAL_PCF_NCFTTM</stp>
        <stp>2</stp>
        <stp>600768</stp>
        <stp>12/31/2018</stp>
        <tr r="P914" s="1"/>
      </tp>
      <tp>
        <v>7.7877675070677501</v>
        <stp/>
        <stp>EM_S_VAL_PCF_NCFTTM</stp>
        <stp>2</stp>
        <stp>000709</stp>
        <stp>12/31/2018</stp>
        <tr r="P2736" s="1"/>
      </tp>
      <tp>
        <v>63.532008022724902</v>
        <stp/>
        <stp>EM_S_VAL_PCF_NCFTTM</stp>
        <stp>2</stp>
        <stp>300739</stp>
        <stp>12/31/2018</stp>
        <tr r="P2754" s="1"/>
      </tp>
      <tp>
        <v>-83.940829485386203</v>
        <stp/>
        <stp>EM_S_VAL_PCF_NCFTTM</stp>
        <stp>2</stp>
        <stp>600769</stp>
        <stp>12/31/2018</stp>
        <tr r="P695" s="1"/>
      </tp>
      <tp>
        <v>49.023352683264001</v>
        <stp/>
        <stp>EM_S_VAL_PCF_NCFTTM</stp>
        <stp>2</stp>
        <stp>600774</stp>
        <stp>12/31/2018</stp>
        <tr r="P3117" s="1"/>
      </tp>
      <tp>
        <v>-25.414460923159002</v>
        <stp/>
        <stp>EM_S_VAL_PCF_NCFTTM</stp>
        <stp>2</stp>
        <stp>000715</stp>
        <stp>12/31/2018</stp>
        <tr r="P2071" s="1"/>
      </tp>
      <tp>
        <v>735.36931712466799</v>
        <stp/>
        <stp>EM_S_VAL_PCF_NCFTTM</stp>
        <stp>2</stp>
        <stp>300725</stp>
        <stp>12/31/2018</stp>
        <tr r="P1231" s="1"/>
      </tp>
      <tp>
        <v>15.589442866346801</v>
        <stp/>
        <stp>EM_S_VAL_PCF_NCFTTM</stp>
        <stp>2</stp>
        <stp>600775</stp>
        <stp>12/31/2018</stp>
        <tr r="P1097" s="1"/>
      </tp>
      <tp>
        <v>-18.6686269812988</v>
        <stp/>
        <stp>EM_S_VAL_PCF_NCFTTM</stp>
        <stp>2</stp>
        <stp>000716</stp>
        <stp>12/31/2018</stp>
        <tr r="P812" s="1"/>
      </tp>
      <tp>
        <v>34.653101865957503</v>
        <stp/>
        <stp>EM_S_VAL_PCF_NCFTTM</stp>
        <stp>2</stp>
        <stp>300726</stp>
        <stp>12/31/2018</stp>
        <tr r="P613" s="1"/>
      </tp>
      <tp>
        <v>-70.117409275884398</v>
        <stp/>
        <stp>EM_S_VAL_PCF_NCFTTM</stp>
        <stp>2</stp>
        <stp>600776</stp>
        <stp>12/31/2018</stp>
        <tr r="P255" s="1"/>
      </tp>
      <tp>
        <v>-60.678664424206197</v>
        <stp/>
        <stp>EM_S_VAL_PCF_NCFTTM</stp>
        <stp>2</stp>
        <stp>000717</stp>
        <stp>12/31/2018</stp>
        <tr r="P2113" s="1"/>
      </tp>
      <tp>
        <v>111.281358179855</v>
        <stp/>
        <stp>EM_S_VAL_PCF_NCFTTM</stp>
        <stp>2</stp>
        <stp>300727</stp>
        <stp>12/31/2018</stp>
        <tr r="P3144" s="1"/>
      </tp>
      <tp>
        <v>-8.6903964966292193</v>
        <stp/>
        <stp>EM_S_VAL_PCF_NCFTTM</stp>
        <stp>2</stp>
        <stp>600777</stp>
        <stp>12/31/2018</stp>
        <tr r="P1771" s="1"/>
      </tp>
      <tp>
        <v>-1985.2560641175401</v>
        <stp/>
        <stp>EM_S_VAL_PCF_NCFTTM</stp>
        <stp>2</stp>
        <stp>000710</stp>
        <stp>12/31/2018</stp>
        <tr r="P1684" s="1"/>
      </tp>
      <tp>
        <v>-580.44460954340002</v>
        <stp/>
        <stp>EM_S_VAL_PCF_NCFTTM</stp>
        <stp>2</stp>
        <stp>300720</stp>
        <stp>12/31/2018</stp>
        <tr r="P3311" s="1"/>
      </tp>
      <tp>
        <v>-11.193056786074299</v>
        <stp/>
        <stp>EM_S_VAL_PCF_NCFTTM</stp>
        <stp>2</stp>
        <stp>600770</stp>
        <stp>12/31/2018</stp>
        <tr r="P1467" s="1"/>
      </tp>
      <tp>
        <v>-9.5833698590595109</v>
        <stp/>
        <stp>EM_S_VAL_PCF_NCFTTM</stp>
        <stp>2</stp>
        <stp>000711</stp>
        <stp>12/31/2018</stp>
        <tr r="P2850" s="1"/>
      </tp>
      <tp>
        <v>19.9198974007654</v>
        <stp/>
        <stp>EM_S_VAL_PCF_NCFTTM</stp>
        <stp>2</stp>
        <stp>300721</stp>
        <stp>12/31/2018</stp>
        <tr r="P2599" s="1"/>
      </tp>
      <tp>
        <v>-236.75778099445</v>
        <stp/>
        <stp>EM_S_VAL_PCF_NCFTTM</stp>
        <stp>2</stp>
        <stp>600771</stp>
        <stp>12/31/2018</stp>
        <tr r="P3341" s="1"/>
      </tp>
      <tp>
        <v>-11.3948393216087</v>
        <stp/>
        <stp>EM_S_VAL_PCF_NCFTTM</stp>
        <stp>2</stp>
        <stp>000712</stp>
        <stp>12/31/2018</stp>
        <tr r="P3518" s="1"/>
      </tp>
      <tp>
        <v>114.353698905176</v>
        <stp/>
        <stp>EM_S_VAL_PCF_NCFTTM</stp>
        <stp>2</stp>
        <stp>300722</stp>
        <stp>12/31/2018</stp>
        <tr r="P3251" s="1"/>
      </tp>
      <tp>
        <v>-5.09828426570893</v>
        <stp/>
        <stp>EM_S_VAL_PCF_NCFTTM</stp>
        <stp>2</stp>
        <stp>600772</stp>
        <stp>12/31/2018</stp>
        <tr r="P2321" s="1"/>
      </tp>
      <tp>
        <v>4304.5759807295099</v>
        <stp/>
        <stp>EM_S_VAL_PCF_NCFTTM</stp>
        <stp>2</stp>
        <stp>000713</stp>
        <stp>12/31/2018</stp>
        <tr r="P252" s="1"/>
      </tp>
      <tp>
        <v>11.4426480510636</v>
        <stp/>
        <stp>EM_S_VAL_PCF_NCFTTM</stp>
        <stp>2</stp>
        <stp>300723</stp>
        <stp>12/31/2018</stp>
        <tr r="P648" s="1"/>
      </tp>
      <tp>
        <v>-11.532744559785201</v>
        <stp/>
        <stp>EM_S_VAL_PCF_NCFTTM</stp>
        <stp>2</stp>
        <stp>600773</stp>
        <stp>12/31/2018</stp>
        <tr r="P2483" s="1"/>
      </tp>
      <tp>
        <v>9.8821097331733494</v>
        <stp/>
        <stp>EM_S_VAL_PCF_NCFTTM</stp>
        <stp>2</stp>
        <stp>000718</stp>
        <stp>12/31/2018</stp>
        <tr r="P3519" s="1"/>
      </tp>
      <tp>
        <v>0</v>
        <stp/>
        <stp>EM_S_VAL_PCF_NCFTTM</stp>
        <stp>2</stp>
        <stp>300728</stp>
        <stp>12/31/2018</stp>
        <tr r="P11" s="1"/>
      </tp>
      <tp>
        <v>249.891808730398</v>
        <stp/>
        <stp>EM_S_VAL_PCF_NCFTTM</stp>
        <stp>2</stp>
        <stp>600778</stp>
        <stp>12/31/2018</stp>
        <tr r="P1299" s="1"/>
      </tp>
      <tp>
        <v>11.4833433018885</v>
        <stp/>
        <stp>EM_S_VAL_PCF_NCFTTM</stp>
        <stp>2</stp>
        <stp>000719</stp>
        <stp>12/31/2018</stp>
        <tr r="P2726" s="1"/>
      </tp>
      <tp>
        <v>178.091104061583</v>
        <stp/>
        <stp>EM_S_VAL_PCF_NCFTTM</stp>
        <stp>2</stp>
        <stp>300729</stp>
        <stp>12/31/2018</stp>
        <tr r="P1886" s="1"/>
      </tp>
      <tp>
        <v>-364.55913940719699</v>
        <stp/>
        <stp>EM_S_VAL_PCF_NCFTTM</stp>
        <stp>2</stp>
        <stp>600779</stp>
        <stp>12/31/2018</stp>
        <tr r="P355" s="1"/>
      </tp>
      <tp>
        <v>21.6105521375206</v>
        <stp/>
        <stp>EM_S_VAL_PCF_NCFTTM</stp>
        <stp>2</stp>
        <stp>600744</stp>
        <stp>12/31/2018</stp>
        <tr r="P2416" s="1"/>
      </tp>
      <tp>
        <v>223.93841384478699</v>
        <stp/>
        <stp>EM_S_VAL_PCF_NCFTTM</stp>
        <stp>2</stp>
        <stp>000725</stp>
        <stp>12/31/2018</stp>
        <tr r="P291" s="1"/>
      </tp>
      <tp>
        <v>15.7972683823917</v>
        <stp/>
        <stp>EM_S_VAL_PCF_NCFTTM</stp>
        <stp>2</stp>
        <stp>300715</stp>
        <stp>12/31/2018</stp>
        <tr r="P1509" s="1"/>
      </tp>
      <tp>
        <v>59.9728360574749</v>
        <stp/>
        <stp>EM_S_VAL_PCF_NCFTTM</stp>
        <stp>2</stp>
        <stp>600745</stp>
        <stp>12/31/2018</stp>
        <tr r="P24" s="1"/>
      </tp>
      <tp>
        <v>64.043937407147695</v>
        <stp/>
        <stp>EM_S_VAL_PCF_NCFTTM</stp>
        <stp>2</stp>
        <stp>000726</stp>
        <stp>12/31/2018</stp>
        <tr r="P2606" s="1"/>
      </tp>
      <tp>
        <v>20.7203930412864</v>
        <stp/>
        <stp>EM_S_VAL_PCF_NCFTTM</stp>
        <stp>2</stp>
        <stp>300716</stp>
        <stp>12/31/2018</stp>
        <tr r="P2689" s="1"/>
      </tp>
      <tp>
        <v>-21.141879156077302</v>
        <stp/>
        <stp>EM_S_VAL_PCF_NCFTTM</stp>
        <stp>2</stp>
        <stp>600746</stp>
        <stp>12/31/2018</stp>
        <tr r="P1254" s="1"/>
      </tp>
      <tp>
        <v>11.7014667416808</v>
        <stp/>
        <stp>EM_S_VAL_PCF_NCFTTM</stp>
        <stp>2</stp>
        <stp>000727</stp>
        <stp>12/31/2018</stp>
        <tr r="P3520" s="1"/>
      </tp>
      <tp>
        <v>24.349722814325698</v>
        <stp/>
        <stp>EM_S_VAL_PCF_NCFTTM</stp>
        <stp>2</stp>
        <stp>300717</stp>
        <stp>12/31/2018</stp>
        <tr r="P1526" s="1"/>
      </tp>
      <tp>
        <v>-48.337671377392603</v>
        <stp/>
        <stp>EM_S_VAL_PCF_NCFTTM</stp>
        <stp>2</stp>
        <stp>600747</stp>
        <stp>12/31/2018</stp>
        <tr r="P3404" s="1"/>
      </tp>
      <tp>
        <v>7.76872152727565</v>
        <stp/>
        <stp>EM_S_VAL_PCF_NCFTTM</stp>
        <stp>2</stp>
        <stp>000720</stp>
        <stp>12/31/2018</stp>
        <tr r="P432" s="1"/>
      </tp>
      <tp>
        <v>80.096152589899802</v>
        <stp/>
        <stp>EM_S_VAL_PCF_NCFTTM</stp>
        <stp>2</stp>
        <stp>300710</stp>
        <stp>12/31/2018</stp>
        <tr r="P1068" s="1"/>
      </tp>
      <tp>
        <v>-36.967749046902902</v>
        <stp/>
        <stp>EM_S_VAL_PCF_NCFTTM</stp>
        <stp>2</stp>
        <stp>600740</stp>
        <stp>12/31/2018</stp>
        <tr r="P2680" s="1"/>
      </tp>
      <tp>
        <v>114.75742466581001</v>
        <stp/>
        <stp>EM_S_VAL_PCF_NCFTTM</stp>
        <stp>2</stp>
        <stp>000721</stp>
        <stp>12/31/2018</stp>
        <tr r="P2092" s="1"/>
      </tp>
      <tp>
        <v>14.6814954738284</v>
        <stp/>
        <stp>EM_S_VAL_PCF_NCFTTM</stp>
        <stp>2</stp>
        <stp>300711</stp>
        <stp>12/31/2018</stp>
        <tr r="P3178" s="1"/>
      </tp>
      <tp>
        <v>-82.326511058838506</v>
        <stp/>
        <stp>EM_S_VAL_PCF_NCFTTM</stp>
        <stp>2</stp>
        <stp>600741</stp>
        <stp>12/31/2018</stp>
        <tr r="P766" s="1"/>
      </tp>
      <tp>
        <v>36.134074102224403</v>
        <stp/>
        <stp>EM_S_VAL_PCF_NCFTTM</stp>
        <stp>2</stp>
        <stp>000722</stp>
        <stp>12/31/2018</stp>
        <tr r="P1665" s="1"/>
      </tp>
      <tp>
        <v>33.075578794708903</v>
        <stp/>
        <stp>EM_S_VAL_PCF_NCFTTM</stp>
        <stp>2</stp>
        <stp>300712</stp>
        <stp>12/31/2018</stp>
        <tr r="P3068" s="1"/>
      </tp>
      <tp>
        <v>-26.545809156734499</v>
        <stp/>
        <stp>EM_S_VAL_PCF_NCFTTM</stp>
        <stp>2</stp>
        <stp>600742</stp>
        <stp>12/31/2018</stp>
        <tr r="P1197" s="1"/>
      </tp>
      <tp>
        <v>-39.038204271559501</v>
        <stp/>
        <stp>EM_S_VAL_PCF_NCFTTM</stp>
        <stp>2</stp>
        <stp>000723</stp>
        <stp>12/31/2018</stp>
        <tr r="P44" s="1"/>
      </tp>
      <tp>
        <v>-50.344099706730802</v>
        <stp/>
        <stp>EM_S_VAL_PCF_NCFTTM</stp>
        <stp>2</stp>
        <stp>300713</stp>
        <stp>12/31/2018</stp>
        <tr r="P3292" s="1"/>
      </tp>
      <tp>
        <v>-4.1145828204655599</v>
        <stp/>
        <stp>EM_S_VAL_PCF_NCFTTM</stp>
        <stp>2</stp>
        <stp>600743</stp>
        <stp>12/31/2018</stp>
        <tr r="P2138" s="1"/>
      </tp>
      <tp>
        <v>-8.2442082073498799</v>
        <stp/>
        <stp>EM_S_VAL_PCF_NCFTTM</stp>
        <stp>2</stp>
        <stp>000728</stp>
        <stp>12/31/2018</stp>
        <tr r="P3521" s="1"/>
      </tp>
      <tp>
        <v>35.297603103479702</v>
        <stp/>
        <stp>EM_S_VAL_PCF_NCFTTM</stp>
        <stp>2</stp>
        <stp>300718</stp>
        <stp>12/31/2018</stp>
        <tr r="P730" s="1"/>
      </tp>
      <tp>
        <v>-49.324670557591602</v>
        <stp/>
        <stp>EM_S_VAL_PCF_NCFTTM</stp>
        <stp>2</stp>
        <stp>600748</stp>
        <stp>12/31/2018</stp>
        <tr r="P1694" s="1"/>
      </tp>
      <tp>
        <v>35.477898836211303</v>
        <stp/>
        <stp>EM_S_VAL_PCF_NCFTTM</stp>
        <stp>2</stp>
        <stp>000729</stp>
        <stp>12/31/2018</stp>
        <tr r="P1469" s="1"/>
      </tp>
      <tp>
        <v>32.823651028285902</v>
        <stp/>
        <stp>EM_S_VAL_PCF_NCFTTM</stp>
        <stp>2</stp>
        <stp>300719</stp>
        <stp>12/31/2018</stp>
        <tr r="P1490" s="1"/>
      </tp>
      <tp>
        <v>31.008089779683502</v>
        <stp/>
        <stp>EM_S_VAL_PCF_NCFTTM</stp>
        <stp>2</stp>
        <stp>600749</stp>
        <stp>12/31/2018</stp>
        <tr r="P2258" s="1"/>
      </tp>
      <tp>
        <v>23.214233560231399</v>
        <stp/>
        <stp>EM_S_VAL_PCF_NCFTTM</stp>
        <stp>2</stp>
        <stp>600754</stp>
        <stp>12/31/2018</stp>
        <tr r="P789" s="1"/>
      </tp>
      <tp>
        <v>-29.070952292968499</v>
        <stp/>
        <stp>EM_S_VAL_PCF_NCFTTM</stp>
        <stp>2</stp>
        <stp>000735</stp>
        <stp>12/31/2018</stp>
        <tr r="P3523" s="1"/>
      </tp>
      <tp>
        <v>-17.4225338662086</v>
        <stp/>
        <stp>EM_S_VAL_PCF_NCFTTM</stp>
        <stp>2</stp>
        <stp>300705</stp>
        <stp>12/31/2018</stp>
        <tr r="P2226" s="1"/>
      </tp>
      <tp>
        <v>26.393684347333799</v>
        <stp/>
        <stp>EM_S_VAL_PCF_NCFTTM</stp>
        <stp>2</stp>
        <stp>600755</stp>
        <stp>12/31/2018</stp>
        <tr r="P1998" s="1"/>
      </tp>
      <tp>
        <v>5.5847358413827299</v>
        <stp/>
        <stp>EM_S_VAL_PCF_NCFTTM</stp>
        <stp>2</stp>
        <stp>000736</stp>
        <stp>12/31/2018</stp>
        <tr r="P2610" s="1"/>
      </tp>
      <tp>
        <v>-32.849896764948298</v>
        <stp/>
        <stp>EM_S_VAL_PCF_NCFTTM</stp>
        <stp>2</stp>
        <stp>300706</stp>
        <stp>12/31/2018</stp>
        <tr r="P1440" s="1"/>
      </tp>
      <tp>
        <v>-84.036812734951496</v>
        <stp/>
        <stp>EM_S_VAL_PCF_NCFTTM</stp>
        <stp>2</stp>
        <stp>600756</stp>
        <stp>12/31/2018</stp>
        <tr r="P829" s="1"/>
      </tp>
      <tp>
        <v>3.0656391841829902</v>
        <stp/>
        <stp>EM_S_VAL_PCF_NCFTTM</stp>
        <stp>2</stp>
        <stp>000737</stp>
        <stp>12/31/2018</stp>
        <tr r="P3524" s="1"/>
      </tp>
      <tp>
        <v>-14.0437022133562</v>
        <stp/>
        <stp>EM_S_VAL_PCF_NCFTTM</stp>
        <stp>2</stp>
        <stp>300707</stp>
        <stp>12/31/2018</stp>
        <tr r="P1481" s="1"/>
      </tp>
      <tp>
        <v>-37.249461052806097</v>
        <stp/>
        <stp>EM_S_VAL_PCF_NCFTTM</stp>
        <stp>2</stp>
        <stp>600757</stp>
        <stp>12/31/2018</stp>
        <tr r="P2613" s="1"/>
      </tp>
      <tp>
        <v>-51.0610670359588</v>
        <stp/>
        <stp>EM_S_VAL_PCF_NCFTTM</stp>
        <stp>2</stp>
        <stp>000730</stp>
        <stp>12/31/2018</stp>
        <tr r="P2278" s="1"/>
      </tp>
      <tp>
        <v>-31.959752504109598</v>
        <stp/>
        <stp>EM_S_VAL_PCF_NCFTTM</stp>
        <stp>2</stp>
        <stp>300700</stp>
        <stp>12/31/2018</stp>
        <tr r="P3042" s="1"/>
      </tp>
      <tp>
        <v>42.227148765009701</v>
        <stp/>
        <stp>EM_S_VAL_PCF_NCFTTM</stp>
        <stp>2</stp>
        <stp>600750</stp>
        <stp>12/31/2018</stp>
        <tr r="P3185" s="1"/>
      </tp>
      <tp>
        <v>17.8922612825776</v>
        <stp/>
        <stp>EM_S_VAL_PCF_NCFTTM</stp>
        <stp>2</stp>
        <stp>000731</stp>
        <stp>12/31/2018</stp>
        <tr r="P2107" s="1"/>
      </tp>
      <tp>
        <v>-10.697350245562401</v>
        <stp/>
        <stp>EM_S_VAL_PCF_NCFTTM</stp>
        <stp>2</stp>
        <stp>300701</stp>
        <stp>12/31/2018</stp>
        <tr r="P2221" s="1"/>
      </tp>
      <tp>
        <v>-2.55062250894902</v>
        <stp/>
        <stp>EM_S_VAL_PCF_NCFTTM</stp>
        <stp>2</stp>
        <stp>600751</stp>
        <stp>12/31/2018</stp>
        <tr r="P1828" s="1"/>
      </tp>
      <tp>
        <v>5.6839946520968203</v>
        <stp/>
        <stp>EM_S_VAL_PCF_NCFTTM</stp>
        <stp>2</stp>
        <stp>000732</stp>
        <stp>12/31/2018</stp>
        <tr r="P3385" s="1"/>
      </tp>
      <tp>
        <v>-8.2224652229774993</v>
        <stp/>
        <stp>EM_S_VAL_PCF_NCFTTM</stp>
        <stp>2</stp>
        <stp>300702</stp>
        <stp>12/31/2018</stp>
        <tr r="P105" s="1"/>
      </tp>
      <tp>
        <v>0</v>
        <stp/>
        <stp>EM_S_VAL_PCF_NCFTTM</stp>
        <stp>2</stp>
        <stp>600752</stp>
        <stp>12/31/2018</stp>
        <tr r="P2319" s="1"/>
      </tp>
      <tp>
        <v>-33.829617910122998</v>
        <stp/>
        <stp>EM_S_VAL_PCF_NCFTTM</stp>
        <stp>2</stp>
        <stp>000733</stp>
        <stp>12/31/2018</stp>
        <tr r="P3522" s="1"/>
      </tp>
      <tp>
        <v>-7.1674389814130404</v>
        <stp/>
        <stp>EM_S_VAL_PCF_NCFTTM</stp>
        <stp>2</stp>
        <stp>300703</stp>
        <stp>12/31/2018</stp>
        <tr r="P3050" s="1"/>
      </tp>
      <tp>
        <v>15.187597119357701</v>
        <stp/>
        <stp>EM_S_VAL_PCF_NCFTTM</stp>
        <stp>2</stp>
        <stp>600753</stp>
        <stp>12/31/2018</stp>
        <tr r="P1909" s="1"/>
      </tp>
      <tp>
        <v>48.552820753097997</v>
        <stp/>
        <stp>EM_S_VAL_PCF_NCFTTM</stp>
        <stp>2</stp>
        <stp>000738</stp>
        <stp>12/31/2018</stp>
        <tr r="P1824" s="1"/>
      </tp>
      <tp>
        <v>43.550725518694598</v>
        <stp/>
        <stp>EM_S_VAL_PCF_NCFTTM</stp>
        <stp>2</stp>
        <stp>300708</stp>
        <stp>12/31/2018</stp>
        <tr r="P1073" s="1"/>
      </tp>
      <tp>
        <v>-3.3539580125005002</v>
        <stp/>
        <stp>EM_S_VAL_PCF_NCFTTM</stp>
        <stp>2</stp>
        <stp>600758</stp>
        <stp>12/31/2018</stp>
        <tr r="P884" s="1"/>
      </tp>
      <tp>
        <v>79.5070481273019</v>
        <stp/>
        <stp>EM_S_VAL_PCF_NCFTTM</stp>
        <stp>2</stp>
        <stp>000739</stp>
        <stp>12/31/2018</stp>
        <tr r="P340" s="1"/>
      </tp>
      <tp>
        <v>25.969937686271098</v>
        <stp/>
        <stp>EM_S_VAL_PCF_NCFTTM</stp>
        <stp>2</stp>
        <stp>300709</stp>
        <stp>12/31/2018</stp>
        <tr r="P30" s="1"/>
      </tp>
      <tp>
        <v>51.925745129321299</v>
        <stp/>
        <stp>EM_S_VAL_PCF_NCFTTM</stp>
        <stp>2</stp>
        <stp>600759</stp>
        <stp>12/31/2018</stp>
        <tr r="P1390" s="1"/>
      </tp>
      <tp>
        <v>-9.5372384632857194</v>
        <stp/>
        <stp>EM_S_VAL_PCF_NCFTTM</stp>
        <stp>2</stp>
        <stp>600724</stp>
        <stp>12/31/2018</stp>
        <tr r="P1617" s="1"/>
      </tp>
      <tp>
        <v>-87.637696874907107</v>
        <stp/>
        <stp>EM_S_VAL_PCF_NCFTTM</stp>
        <stp>2</stp>
        <stp>600725</stp>
        <stp>12/31/2018</stp>
        <tr r="P1728" s="1"/>
      </tp>
      <tp>
        <v>7.8801764463408599</v>
        <stp/>
        <stp>EM_S_VAL_PCF_NCFTTM</stp>
        <stp>2</stp>
        <stp>600726</stp>
        <stp>12/31/2018</stp>
        <tr r="P3137" s="1"/>
      </tp>
      <tp>
        <v>24.244010547636002</v>
        <stp/>
        <stp>EM_S_VAL_PCF_NCFTTM</stp>
        <stp>2</stp>
        <stp>600727</stp>
        <stp>12/31/2018</stp>
        <tr r="P964" s="1"/>
      </tp>
      <tp>
        <v>28.1195420664504</v>
        <stp/>
        <stp>EM_S_VAL_PCF_NCFTTM</stp>
        <stp>2</stp>
        <stp>600720</stp>
        <stp>12/31/2018</stp>
        <tr r="P201" s="1"/>
      </tp>
      <tp>
        <v>-11.568072398212999</v>
        <stp/>
        <stp>EM_S_VAL_PCF_NCFTTM</stp>
        <stp>2</stp>
        <stp>600721</stp>
        <stp>12/31/2018</stp>
        <tr r="P1284" s="1"/>
      </tp>
      <tp>
        <v>-28.377643171032901</v>
        <stp/>
        <stp>EM_S_VAL_PCF_NCFTTM</stp>
        <stp>2</stp>
        <stp>600722</stp>
        <stp>12/31/2018</stp>
        <tr r="P2048" s="1"/>
      </tp>
      <tp>
        <v>40.714714853695</v>
        <stp/>
        <stp>EM_S_VAL_PCF_NCFTTM</stp>
        <stp>2</stp>
        <stp>600723</stp>
        <stp>12/31/2018</stp>
        <tr r="P2405" s="1"/>
      </tp>
      <tp>
        <v>-1673.37047161649</v>
        <stp/>
        <stp>EM_S_VAL_PCF_NCFTTM</stp>
        <stp>2</stp>
        <stp>000748</stp>
        <stp>12/31/2018</stp>
        <tr r="P3525" s="1"/>
      </tp>
      <tp>
        <v>-56.261698097387502</v>
        <stp/>
        <stp>EM_S_VAL_PCF_NCFTTM</stp>
        <stp>2</stp>
        <stp>600728</stp>
        <stp>12/31/2018</stp>
        <tr r="P794" s="1"/>
      </tp>
      <tp>
        <v>19.440831928468501</v>
        <stp/>
        <stp>EM_S_VAL_PCF_NCFTTM</stp>
        <stp>2</stp>
        <stp>600729</stp>
        <stp>12/31/2018</stp>
        <tr r="P2021" s="1"/>
      </tp>
      <tp>
        <v>-28.193723091020001</v>
        <stp/>
        <stp>EM_S_VAL_PCF_NCFTTM</stp>
        <stp>2</stp>
        <stp>600734</stp>
        <stp>12/31/2018</stp>
        <tr r="P1850" s="1"/>
      </tp>
      <tp>
        <v>-7.3126308200669303</v>
        <stp/>
        <stp>EM_S_VAL_PCF_NCFTTM</stp>
        <stp>2</stp>
        <stp>000755</stp>
        <stp>12/31/2018</stp>
        <tr r="P3528" s="1"/>
      </tp>
      <tp>
        <v>-92.409106135773399</v>
        <stp/>
        <stp>EM_S_VAL_PCF_NCFTTM</stp>
        <stp>2</stp>
        <stp>600735</stp>
        <stp>12/31/2018</stp>
        <tr r="P990" s="1"/>
      </tp>
      <tp>
        <v>-37.668721018746702</v>
        <stp/>
        <stp>EM_S_VAL_PCF_NCFTTM</stp>
        <stp>2</stp>
        <stp>000756</stp>
        <stp>12/31/2018</stp>
        <tr r="P945" s="1"/>
      </tp>
      <tp>
        <v>132.86991013912399</v>
        <stp/>
        <stp>EM_S_VAL_PCF_NCFTTM</stp>
        <stp>2</stp>
        <stp>600736</stp>
        <stp>12/31/2018</stp>
        <tr r="P1764" s="1"/>
      </tp>
      <tp>
        <v>78.892396516255104</v>
        <stp/>
        <stp>EM_S_VAL_PCF_NCFTTM</stp>
        <stp>2</stp>
        <stp>000757</stp>
        <stp>12/31/2018</stp>
        <tr r="P2835" s="1"/>
      </tp>
      <tp>
        <v>-26.9508946306585</v>
        <stp/>
        <stp>EM_S_VAL_PCF_NCFTTM</stp>
        <stp>2</stp>
        <stp>600737</stp>
        <stp>12/31/2018</stp>
        <tr r="P1484" s="1"/>
      </tp>
      <tp>
        <v>-8.7656324525168792</v>
        <stp/>
        <stp>EM_S_VAL_PCF_NCFTTM</stp>
        <stp>2</stp>
        <stp>000750</stp>
        <stp>12/31/2018</stp>
        <tr r="P3526" s="1"/>
      </tp>
      <tp>
        <v>10.141014831770701</v>
        <stp/>
        <stp>EM_S_VAL_PCF_NCFTTM</stp>
        <stp>2</stp>
        <stp>600730</stp>
        <stp>12/31/2018</stp>
        <tr r="P2242" s="1"/>
      </tp>
      <tp>
        <v>395.94685013444501</v>
        <stp/>
        <stp>EM_S_VAL_PCF_NCFTTM</stp>
        <stp>2</stp>
        <stp>000751</stp>
        <stp>12/31/2018</stp>
        <tr r="P1531" s="1"/>
      </tp>
      <tp>
        <v>21.891187691058001</v>
        <stp/>
        <stp>EM_S_VAL_PCF_NCFTTM</stp>
        <stp>2</stp>
        <stp>600731</stp>
        <stp>12/31/2018</stp>
        <tr r="P296" s="1"/>
      </tp>
      <tp>
        <v>-7.7285536542906801</v>
        <stp/>
        <stp>EM_S_VAL_PCF_NCFTTM</stp>
        <stp>2</stp>
        <stp>000752</stp>
        <stp>12/31/2018</stp>
        <tr r="P3527" s="1"/>
      </tp>
      <tp>
        <v>67.192025697365594</v>
        <stp/>
        <stp>EM_S_VAL_PCF_NCFTTM</stp>
        <stp>2</stp>
        <stp>600732</stp>
        <stp>12/31/2018</stp>
        <tr r="P281" s="1"/>
      </tp>
      <tp>
        <v>9.2085348900189405</v>
        <stp/>
        <stp>EM_S_VAL_PCF_NCFTTM</stp>
        <stp>2</stp>
        <stp>000753</stp>
        <stp>12/31/2018</stp>
        <tr r="P2257" s="1"/>
      </tp>
      <tp>
        <v>-5.2847031646878104</v>
        <stp/>
        <stp>EM_S_VAL_PCF_NCFTTM</stp>
        <stp>2</stp>
        <stp>600733</stp>
        <stp>12/31/2018</stp>
        <tr r="P3186" s="1"/>
      </tp>
      <tp>
        <v>4.0535881472258897</v>
        <stp/>
        <stp>EM_S_VAL_PCF_NCFTTM</stp>
        <stp>2</stp>
        <stp>000758</stp>
        <stp>12/31/2018</stp>
        <tr r="P3529" s="1"/>
      </tp>
      <tp>
        <v>3.02781859702195</v>
        <stp/>
        <stp>EM_S_VAL_PCF_NCFTTM</stp>
        <stp>2</stp>
        <stp>600738</stp>
        <stp>12/31/2018</stp>
        <tr r="P2955" s="1"/>
      </tp>
      <tp>
        <v>5.8602004836940598</v>
        <stp/>
        <stp>EM_S_VAL_PCF_NCFTTM</stp>
        <stp>2</stp>
        <stp>000759</stp>
        <stp>12/31/2018</stp>
        <tr r="P752" s="1"/>
      </tp>
      <tp>
        <v>131.41602043163999</v>
        <stp/>
        <stp>EM_S_VAL_PCF_NCFTTM</stp>
        <stp>2</stp>
        <stp>600739</stp>
        <stp>12/31/2018</stp>
        <tr r="P642" s="1"/>
      </tp>
      <tp>
        <v>21.861772260889001</v>
        <stp/>
        <stp>EM_S_VAL_PCF_NCFTTM</stp>
        <stp>2</stp>
        <stp>600704</stp>
        <stp>12/31/2018</stp>
        <tr r="P1522" s="1"/>
      </tp>
      <tp>
        <v>116.19419914345001</v>
        <stp/>
        <stp>EM_S_VAL_PCF_NCFTTM</stp>
        <stp>2</stp>
        <stp>000765</stp>
        <stp>12/31/2018</stp>
        <tr r="P3533" s="1"/>
      </tp>
      <tp>
        <v>1.2647416133251901</v>
        <stp/>
        <stp>EM_S_VAL_PCF_NCFTTM</stp>
        <stp>2</stp>
        <stp>600705</stp>
        <stp>12/31/2018</stp>
        <tr r="P1501" s="1"/>
      </tp>
      <tp>
        <v>66.213795298355606</v>
        <stp/>
        <stp>EM_S_VAL_PCF_NCFTTM</stp>
        <stp>2</stp>
        <stp>000766</stp>
        <stp>12/31/2018</stp>
        <tr r="P2592" s="1"/>
      </tp>
      <tp>
        <v>17.831434181146101</v>
        <stp/>
        <stp>EM_S_VAL_PCF_NCFTTM</stp>
        <stp>2</stp>
        <stp>600706</stp>
        <stp>12/31/2018</stp>
        <tr r="P2912" s="1"/>
      </tp>
      <tp>
        <v>-6.4789667241159998</v>
        <stp/>
        <stp>EM_S_VAL_PCF_NCFTTM</stp>
        <stp>2</stp>
        <stp>000767</stp>
        <stp>12/31/2018</stp>
        <tr r="P2442" s="1"/>
      </tp>
      <tp>
        <v>-1.1512914687409299</v>
        <stp/>
        <stp>EM_S_VAL_PCF_NCFTTM</stp>
        <stp>2</stp>
        <stp>600707</stp>
        <stp>12/31/2018</stp>
        <tr r="P2050" s="1"/>
      </tp>
      <tp>
        <v>-4.8611545070511903</v>
        <stp/>
        <stp>EM_S_VAL_PCF_NCFTTM</stp>
        <stp>2</stp>
        <stp>000760</stp>
        <stp>12/31/2018</stp>
        <tr r="P3530" s="1"/>
      </tp>
      <tp>
        <v>294.632385257615</v>
        <stp/>
        <stp>EM_S_VAL_PCF_NCFTTM</stp>
        <stp>2</stp>
        <stp>300750</stp>
        <stp>12/31/2018</stp>
        <tr r="P579" s="1"/>
      </tp>
      <tp>
        <v>-591.44979500244801</v>
        <stp/>
        <stp>EM_S_VAL_PCF_NCFTTM</stp>
        <stp>2</stp>
        <stp>600700</stp>
        <stp>12/31/2018</stp>
        <tr r="P2317" s="1"/>
      </tp>
      <tp>
        <v>7.9400845935954703</v>
        <stp/>
        <stp>EM_S_VAL_PCF_NCFTTM</stp>
        <stp>2</stp>
        <stp>000761</stp>
        <stp>12/31/2018</stp>
        <tr r="P1372" s="1"/>
      </tp>
      <tp>
        <v>-2.1777157561452598</v>
        <stp/>
        <stp>EM_S_VAL_PCF_NCFTTM</stp>
        <stp>2</stp>
        <stp>600701</stp>
        <stp>12/31/2018</stp>
        <tr r="P3066" s="1"/>
      </tp>
      <tp>
        <v>-17.179681567960401</v>
        <stp/>
        <stp>EM_S_VAL_PCF_NCFTTM</stp>
        <stp>2</stp>
        <stp>000762</stp>
        <stp>12/31/2018</stp>
        <tr r="P3531" s="1"/>
      </tp>
      <tp>
        <v>-23.441596776250801</v>
        <stp/>
        <stp>EM_S_VAL_PCF_NCFTTM</stp>
        <stp>2</stp>
        <stp>600702</stp>
        <stp>12/31/2018</stp>
        <tr r="P882" s="1"/>
      </tp>
      <tp>
        <v>72.378389492394206</v>
        <stp/>
        <stp>EM_S_VAL_PCF_NCFTTM</stp>
        <stp>2</stp>
        <stp>000763</stp>
        <stp>12/31/2018</stp>
        <tr r="P3532" s="1"/>
      </tp>
      <tp>
        <v>-257.49954675697802</v>
        <stp/>
        <stp>EM_S_VAL_PCF_NCFTTM</stp>
        <stp>2</stp>
        <stp>600703</stp>
        <stp>12/31/2018</stp>
        <tr r="P375" s="1"/>
      </tp>
      <tp>
        <v>-34.590271593597798</v>
        <stp/>
        <stp>EM_S_VAL_PCF_NCFTTM</stp>
        <stp>2</stp>
        <stp>000768</stp>
        <stp>12/31/2018</stp>
        <tr r="P1149" s="1"/>
      </tp>
      <tp>
        <v>3.8158041640210798</v>
        <stp/>
        <stp>EM_S_VAL_PCF_NCFTTM</stp>
        <stp>2</stp>
        <stp>600708</stp>
        <stp>12/31/2018</stp>
        <tr r="P2225" s="1"/>
      </tp>
      <tp>
        <v>-149.100708539327</v>
        <stp/>
        <stp>EM_S_VAL_PCF_NCFTTM</stp>
        <stp>2</stp>
        <stp>000769</stp>
        <stp>12/31/2018</stp>
        <tr r="P2279" s="1"/>
      </tp>
      <tp>
        <v>-464.50643258739302</v>
        <stp/>
        <stp>EM_S_VAL_PCF_NCFTTM</stp>
        <stp>2</stp>
        <stp>600709</stp>
        <stp>12/31/2018</stp>
        <tr r="P2318" s="1"/>
      </tp>
      <tp>
        <v>-44.565939656950398</v>
        <stp/>
        <stp>EM_S_VAL_PCF_NCFTTM</stp>
        <stp>2</stp>
        <stp>600714</stp>
        <stp>12/31/2018</stp>
        <tr r="P2212" s="1"/>
      </tp>
      <tp>
        <v>30.3140748303971</v>
        <stp/>
        <stp>EM_S_VAL_PCF_NCFTTM</stp>
        <stp>2</stp>
        <stp>300745</stp>
        <stp>12/31/2018</stp>
        <tr r="P3282" s="1"/>
      </tp>
      <tp>
        <v>-18.078895864956301</v>
        <stp/>
        <stp>EM_S_VAL_PCF_NCFTTM</stp>
        <stp>2</stp>
        <stp>600715</stp>
        <stp>12/31/2018</stp>
        <tr r="P3118" s="1"/>
      </tp>
      <tp>
        <v>-19.503898444140798</v>
        <stp/>
        <stp>EM_S_VAL_PCF_NCFTTM</stp>
        <stp>2</stp>
        <stp>000776</stp>
        <stp>12/31/2018</stp>
        <tr r="P3534" s="1"/>
      </tp>
      <tp>
        <v>45.051139471139798</v>
        <stp/>
        <stp>EM_S_VAL_PCF_NCFTTM</stp>
        <stp>2</stp>
        <stp>300746</stp>
        <stp>12/31/2018</stp>
        <tr r="P3170" s="1"/>
      </tp>
      <tp>
        <v>-3.8527107064691499</v>
        <stp/>
        <stp>EM_S_VAL_PCF_NCFTTM</stp>
        <stp>2</stp>
        <stp>600716</stp>
        <stp>12/31/2018</stp>
        <tr r="P954" s="1"/>
      </tp>
      <tp>
        <v>-71.035016328280605</v>
        <stp/>
        <stp>EM_S_VAL_PCF_NCFTTM</stp>
        <stp>2</stp>
        <stp>000777</stp>
        <stp>12/31/2018</stp>
        <tr r="P1259" s="1"/>
      </tp>
      <tp>
        <v>182.26030345053601</v>
        <stp/>
        <stp>EM_S_VAL_PCF_NCFTTM</stp>
        <stp>2</stp>
        <stp>300747</stp>
        <stp>12/31/2018</stp>
        <tr r="P2959" s="1"/>
      </tp>
      <tp>
        <v>-5.6793476539731698</v>
        <stp/>
        <stp>EM_S_VAL_PCF_NCFTTM</stp>
        <stp>2</stp>
        <stp>600717</stp>
        <stp>12/31/2018</stp>
        <tr r="P2806" s="1"/>
      </tp>
      <tp>
        <v>79.205163481264904</v>
        <stp/>
        <stp>EM_S_VAL_PCF_NCFTTM</stp>
        <stp>2</stp>
        <stp>300740</stp>
        <stp>12/31/2018</stp>
        <tr r="P3353" s="1"/>
      </tp>
      <tp>
        <v>4.5809937982698097</v>
        <stp/>
        <stp>EM_S_VAL_PCF_NCFTTM</stp>
        <stp>2</stp>
        <stp>600710</stp>
        <stp>12/31/2018</stp>
        <tr r="P584" s="1"/>
      </tp>
      <tp>
        <v>21.662410500486398</v>
        <stp/>
        <stp>EM_S_VAL_PCF_NCFTTM</stp>
        <stp>2</stp>
        <stp>300741</stp>
        <stp>12/31/2018</stp>
        <tr r="P2360" s="1"/>
      </tp>
      <tp>
        <v>263.72875837099599</v>
        <stp/>
        <stp>EM_S_VAL_PCF_NCFTTM</stp>
        <stp>2</stp>
        <stp>600711</stp>
        <stp>12/31/2018</stp>
        <tr r="P1456" s="1"/>
      </tp>
      <tp>
        <v>61.806230627854497</v>
        <stp/>
        <stp>EM_S_VAL_PCF_NCFTTM</stp>
        <stp>2</stp>
        <stp>300742</stp>
        <stp>12/31/2018</stp>
        <tr r="P3334" s="1"/>
      </tp>
      <tp>
        <v>21.469913549276701</v>
        <stp/>
        <stp>EM_S_VAL_PCF_NCFTTM</stp>
        <stp>2</stp>
        <stp>600712</stp>
        <stp>12/31/2018</stp>
        <tr r="P59" s="1"/>
      </tp>
      <tp>
        <v>20.6485502357672</v>
        <stp/>
        <stp>EM_S_VAL_PCF_NCFTTM</stp>
        <stp>2</stp>
        <stp>300743</stp>
        <stp>12/31/2018</stp>
        <tr r="P3368" s="1"/>
      </tp>
      <tp>
        <v>7.2684588578308702</v>
        <stp/>
        <stp>EM_S_VAL_PCF_NCFTTM</stp>
        <stp>2</stp>
        <stp>600713</stp>
        <stp>12/31/2018</stp>
        <tr r="P1785" s="1"/>
      </tp>
      <tp>
        <v>69.301597282335194</v>
        <stp/>
        <stp>EM_S_VAL_PCF_NCFTTM</stp>
        <stp>2</stp>
        <stp>000778</stp>
        <stp>12/31/2018</stp>
        <tr r="P3535" s="1"/>
      </tp>
      <tp>
        <v>-53.313152075098898</v>
        <stp/>
        <stp>EM_S_VAL_PCF_NCFTTM</stp>
        <stp>2</stp>
        <stp>600718</stp>
        <stp>12/31/2018</stp>
        <tr r="P2488" s="1"/>
      </tp>
      <tp>
        <v>137.50656024648401</v>
        <stp/>
        <stp>EM_S_VAL_PCF_NCFTTM</stp>
        <stp>2</stp>
        <stp>000779</stp>
        <stp>12/31/2018</stp>
        <tr r="P1367" s="1"/>
      </tp>
      <tp>
        <v>47.492269276315703</v>
        <stp/>
        <stp>EM_S_VAL_PCF_NCFTTM</stp>
        <stp>2</stp>
        <stp>600719</stp>
        <stp>12/31/2018</stp>
        <tr r="P1059" s="1"/>
      </tp>
      <tp>
        <v>33.568184261797398</v>
        <stp/>
        <stp>EM_S_VAL_PCF_NCFTTM</stp>
        <stp>2</stp>
        <stp>000685</stp>
        <stp>12/31/2018</stp>
        <tr r="P1353" s="1"/>
      </tp>
      <tp>
        <v>-53.2970138170827</v>
        <stp/>
        <stp>EM_S_VAL_PCF_NCFTTM</stp>
        <stp>2</stp>
        <stp>000686</stp>
        <stp>12/31/2018</stp>
        <tr r="P3508" s="1"/>
      </tp>
      <tp>
        <v>-52.501406653207702</v>
        <stp/>
        <stp>EM_S_VAL_PCF_NCFTTM</stp>
        <stp>2</stp>
        <stp>000687</stp>
        <stp>12/31/2018</stp>
        <tr r="P3509" s="1"/>
      </tp>
      <tp>
        <v>-56.047917275005503</v>
        <stp/>
        <stp>EM_S_VAL_PCF_NCFTTM</stp>
        <stp>2</stp>
        <stp>000680</stp>
        <stp>12/31/2018</stp>
        <tr r="P1767" s="1"/>
      </tp>
      <tp>
        <v>-155.43097948732401</v>
        <stp/>
        <stp>EM_S_VAL_PCF_NCFTTM</stp>
        <stp>2</stp>
        <stp>000681</stp>
        <stp>12/31/2018</stp>
        <tr r="P3208" s="1"/>
      </tp>
      <tp>
        <v>-13.6507148924043</v>
        <stp/>
        <stp>EM_S_VAL_PCF_NCFTTM</stp>
        <stp>2</stp>
        <stp>000682</stp>
        <stp>12/31/2018</stp>
        <tr r="P515" s="1"/>
      </tp>
      <tp>
        <v>-62.014527276343898</v>
        <stp/>
        <stp>EM_S_VAL_PCF_NCFTTM</stp>
        <stp>2</stp>
        <stp>000683</stp>
        <stp>12/31/2018</stp>
        <tr r="P3507" s="1"/>
      </tp>
      <tp>
        <v>341.17794361769</v>
        <stp/>
        <stp>EM_S_VAL_PCF_NCFTTM</stp>
        <stp>2</stp>
        <stp>000688</stp>
        <stp>12/31/2018</stp>
        <tr r="P3510" s="1"/>
      </tp>
      <tp>
        <v>-19224.957030759098</v>
        <stp/>
        <stp>EM_S_VAL_PCF_NCFTTM</stp>
        <stp>2</stp>
        <stp>000689</stp>
        <stp>12/31/2018</stp>
        <tr r="P3511" s="1"/>
      </tp>
      <tp>
        <v>7.1520228830659898</v>
        <stp/>
        <stp>EM_S_VAL_PCF_NCFTTM</stp>
        <stp>2</stp>
        <stp>000695</stp>
        <stp>12/31/2018</stp>
        <tr r="P2992" s="1"/>
      </tp>
      <tp>
        <v>-36.712001128497199</v>
        <stp/>
        <stp>EM_S_VAL_PCF_NCFTTM</stp>
        <stp>2</stp>
        <stp>000697</stp>
        <stp>12/31/2018</stp>
        <tr r="P2913" s="1"/>
      </tp>
      <tp>
        <v>6.3978903282962802</v>
        <stp/>
        <stp>EM_S_VAL_PCF_NCFTTM</stp>
        <stp>2</stp>
        <stp>000690</stp>
        <stp>12/31/2018</stp>
        <tr r="P2957" s="1"/>
      </tp>
      <tp>
        <v>-70.502030772475194</v>
        <stp/>
        <stp>EM_S_VAL_PCF_NCFTTM</stp>
        <stp>2</stp>
        <stp>000691</stp>
        <stp>12/31/2018</stp>
        <tr r="P3512" s="1"/>
      </tp>
      <tp>
        <v>21.440340528431999</v>
        <stp/>
        <stp>EM_S_VAL_PCF_NCFTTM</stp>
        <stp>2</stp>
        <stp>000692</stp>
        <stp>12/31/2018</stp>
        <tr r="P1493" s="1"/>
      </tp>
      <tp>
        <v>-2758.54687899598</v>
        <stp/>
        <stp>EM_S_VAL_PCF_NCFTTM</stp>
        <stp>2</stp>
        <stp>000693</stp>
        <stp>12/31/2018</stp>
        <tr r="P3513" s="1"/>
      </tp>
      <tp>
        <v>-200.57023615460699</v>
        <stp/>
        <stp>EM_S_VAL_PCF_NCFTTM</stp>
        <stp>2</stp>
        <stp>000698</stp>
        <stp>12/31/2018</stp>
        <tr r="P3514" s="1"/>
      </tp>
      <tp>
        <v>-9.7222442512594291</v>
        <stp/>
        <stp>EM_S_VAL_PCF_NCFTTM</stp>
        <stp>2</stp>
        <stp>000699</stp>
        <stp>12/31/2018</stp>
        <tr r="P3515" s="1"/>
      </tp>
      <tp>
        <v>-4.0690440830782704</v>
        <stp/>
        <stp>EM_S_VAL_PCF_NCFTTM</stp>
        <stp>2</stp>
        <stp>300695</stp>
        <stp>12/31/2018</stp>
        <tr r="P1890" s="1"/>
      </tp>
      <tp>
        <v>-11.208140324851</v>
        <stp/>
        <stp>EM_S_VAL_PCF_NCFTTM</stp>
        <stp>2</stp>
        <stp>300696</stp>
        <stp>12/31/2018</stp>
        <tr r="P2215" s="1"/>
      </tp>
      <tp>
        <v>-9.1700957868189104</v>
        <stp/>
        <stp>EM_S_VAL_PCF_NCFTTM</stp>
        <stp>2</stp>
        <stp>300697</stp>
        <stp>12/31/2018</stp>
        <tr r="P772" s="1"/>
      </tp>
      <tp>
        <v>-179.53083927606599</v>
        <stp/>
        <stp>EM_S_VAL_PCF_NCFTTM</stp>
        <stp>2</stp>
        <stp>300690</stp>
        <stp>12/31/2018</stp>
        <tr r="P735" s="1"/>
      </tp>
      <tp>
        <v>-11.272155707453001</v>
        <stp/>
        <stp>EM_S_VAL_PCF_NCFTTM</stp>
        <stp>2</stp>
        <stp>300691</stp>
        <stp>12/31/2018</stp>
        <tr r="P2974" s="1"/>
      </tp>
      <tp>
        <v>-22.445102610200902</v>
        <stp/>
        <stp>EM_S_VAL_PCF_NCFTTM</stp>
        <stp>2</stp>
        <stp>300692</stp>
        <stp>12/31/2018</stp>
        <tr r="P2598" s="1"/>
      </tp>
      <tp>
        <v>-8.7704581811885696</v>
        <stp/>
        <stp>EM_S_VAL_PCF_NCFTTM</stp>
        <stp>2</stp>
        <stp>300693</stp>
        <stp>12/31/2018</stp>
        <tr r="P2842" s="1"/>
      </tp>
      <tp>
        <v>-13.7262497005706</v>
        <stp/>
        <stp>EM_S_VAL_PCF_NCFTTM</stp>
        <stp>2</stp>
        <stp>300698</stp>
        <stp>12/31/2018</stp>
        <tr r="P2793" s="1"/>
      </tp>
      <tp>
        <v>-16.936389798322399</v>
        <stp/>
        <stp>EM_S_VAL_PCF_NCFTTM</stp>
        <stp>2</stp>
        <stp>300699</stp>
        <stp>12/31/2018</stp>
        <tr r="P995" s="1"/>
      </tp>
      <tp>
        <v>41.437741173164902</v>
        <stp/>
        <stp>EM_S_VAL_PCF_NCFTTM</stp>
        <stp>2</stp>
        <stp>300684</stp>
        <stp>12/31/2018</stp>
        <tr r="P2979" s="1"/>
      </tp>
      <tp>
        <v>-141.70440451116201</v>
        <stp/>
        <stp>EM_S_VAL_PCF_NCFTTM</stp>
        <stp>2</stp>
        <stp>300685</stp>
        <stp>12/31/2018</stp>
        <tr r="P436" s="1"/>
      </tp>
      <tp>
        <v>-20.9061588259089</v>
        <stp/>
        <stp>EM_S_VAL_PCF_NCFTTM</stp>
        <stp>2</stp>
        <stp>300686</stp>
        <stp>12/31/2018</stp>
        <tr r="P205" s="1"/>
      </tp>
      <tp>
        <v>-33.192331975483398</v>
        <stp/>
        <stp>EM_S_VAL_PCF_NCFTTM</stp>
        <stp>2</stp>
        <stp>300687</stp>
        <stp>12/31/2018</stp>
        <tr r="P3104" s="1"/>
      </tp>
      <tp>
        <v>-12.020454124358499</v>
        <stp/>
        <stp>EM_S_VAL_PCF_NCFTTM</stp>
        <stp>2</stp>
        <stp>300680</stp>
        <stp>12/31/2018</stp>
        <tr r="P910" s="1"/>
      </tp>
      <tp>
        <v>-38.065455478886598</v>
        <stp/>
        <stp>EM_S_VAL_PCF_NCFTTM</stp>
        <stp>2</stp>
        <stp>300681</stp>
        <stp>12/31/2018</stp>
        <tr r="P2417" s="1"/>
      </tp>
      <tp>
        <v>46.167459309893403</v>
        <stp/>
        <stp>EM_S_VAL_PCF_NCFTTM</stp>
        <stp>2</stp>
        <stp>300682</stp>
        <stp>12/31/2018</stp>
        <tr r="P782" s="1"/>
      </tp>
      <tp>
        <v>13.5160696280054</v>
        <stp/>
        <stp>EM_S_VAL_PCF_NCFTTM</stp>
        <stp>2</stp>
        <stp>300683</stp>
        <stp>12/31/2018</stp>
        <tr r="P1867" s="1"/>
      </tp>
      <tp>
        <v>-11.487407747330501</v>
        <stp/>
        <stp>EM_S_VAL_PCF_NCFTTM</stp>
        <stp>2</stp>
        <stp>300688</stp>
        <stp>12/31/2018</stp>
        <tr r="P3329" s="1"/>
      </tp>
      <tp>
        <v>75.525889321368794</v>
        <stp/>
        <stp>EM_S_VAL_PCF_NCFTTM</stp>
        <stp>2</stp>
        <stp>300689</stp>
        <stp>12/31/2018</stp>
        <tr r="P977" s="1"/>
      </tp>
      <tp>
        <v>-5.2909443003754202</v>
        <stp/>
        <stp>EM_S_VAL_PCF_NCFTTM</stp>
        <stp>2</stp>
        <stp>600684</stp>
        <stp>12/31/2018</stp>
        <tr r="P2854" s="1"/>
      </tp>
      <tp>
        <v>856.94347030062897</v>
        <stp/>
        <stp>EM_S_VAL_PCF_NCFTTM</stp>
        <stp>2</stp>
        <stp>600685</stp>
        <stp>12/31/2018</stp>
        <tr r="P512" s="1"/>
      </tp>
      <tp>
        <v>4.0017475010511099</v>
        <stp/>
        <stp>EM_S_VAL_PCF_NCFTTM</stp>
        <stp>2</stp>
        <stp>600686</stp>
        <stp>12/31/2018</stp>
        <tr r="P2161" s="1"/>
      </tp>
      <tp>
        <v>-6.0426418023910404</v>
        <stp/>
        <stp>EM_S_VAL_PCF_NCFTTM</stp>
        <stp>2</stp>
        <stp>600687</stp>
        <stp>12/31/2018</stp>
        <tr r="P3392" s="1"/>
      </tp>
      <tp>
        <v>-71.478682058321894</v>
        <stp/>
        <stp>EM_S_VAL_PCF_NCFTTM</stp>
        <stp>2</stp>
        <stp>600680</stp>
        <stp>12/31/2018</stp>
        <tr r="P2316" s="1"/>
      </tp>
      <tp>
        <v>-32.455537622858699</v>
        <stp/>
        <stp>EM_S_VAL_PCF_NCFTTM</stp>
        <stp>2</stp>
        <stp>600681</stp>
        <stp>12/31/2018</stp>
        <tr r="P3333" s="1"/>
      </tp>
      <tp>
        <v>52.077496716345003</v>
        <stp/>
        <stp>EM_S_VAL_PCF_NCFTTM</stp>
        <stp>2</stp>
        <stp>600682</stp>
        <stp>12/31/2018</stp>
        <tr r="P1585" s="1"/>
      </tp>
      <tp>
        <v>1.6124207563269899</v>
        <stp/>
        <stp>EM_S_VAL_PCF_NCFTTM</stp>
        <stp>2</stp>
        <stp>600683</stp>
        <stp>12/31/2018</stp>
        <tr r="P2385" s="1"/>
      </tp>
      <tp>
        <v>17.867217406392101</v>
        <stp/>
        <stp>EM_S_VAL_PCF_NCFTTM</stp>
        <stp>2</stp>
        <stp>600688</stp>
        <stp>12/31/2018</stp>
        <tr r="P3114" s="1"/>
      </tp>
      <tp>
        <v>-51.086598418198001</v>
        <stp/>
        <stp>EM_S_VAL_PCF_NCFTTM</stp>
        <stp>2</stp>
        <stp>600689</stp>
        <stp>12/31/2018</stp>
        <tr r="P2646" s="1"/>
      </tp>
      <tp>
        <v>-159.326327307517</v>
        <stp/>
        <stp>EM_S_VAL_PCF_NCFTTM</stp>
        <stp>2</stp>
        <stp>600694</stp>
        <stp>12/31/2018</stp>
        <tr r="P1594" s="1"/>
      </tp>
      <tp>
        <v>-47.059938347034198</v>
        <stp/>
        <stp>EM_S_VAL_PCF_NCFTTM</stp>
        <stp>2</stp>
        <stp>600695</stp>
        <stp>12/31/2018</stp>
        <tr r="P307" s="1"/>
      </tp>
      <tp>
        <v>-38.059096289746897</v>
        <stp/>
        <stp>EM_S_VAL_PCF_NCFTTM</stp>
        <stp>2</stp>
        <stp>600696</stp>
        <stp>12/31/2018</stp>
        <tr r="P71" s="1"/>
      </tp>
      <tp>
        <v>-17.889357629768298</v>
        <stp/>
        <stp>EM_S_VAL_PCF_NCFTTM</stp>
        <stp>2</stp>
        <stp>600697</stp>
        <stp>12/31/2018</stp>
        <tr r="P2616" s="1"/>
      </tp>
      <tp>
        <v>65.482344530504207</v>
        <stp/>
        <stp>EM_S_VAL_PCF_NCFTTM</stp>
        <stp>2</stp>
        <stp>600690</stp>
        <stp>12/31/2018</stp>
        <tr r="P748" s="1"/>
      </tp>
      <tp>
        <v>-6.0341866941586098</v>
        <stp/>
        <stp>EM_S_VAL_PCF_NCFTTM</stp>
        <stp>2</stp>
        <stp>600691</stp>
        <stp>12/31/2018</stp>
        <tr r="P2883" s="1"/>
      </tp>
      <tp>
        <v>-10.751311012001</v>
        <stp/>
        <stp>EM_S_VAL_PCF_NCFTTM</stp>
        <stp>2</stp>
        <stp>600692</stp>
        <stp>12/31/2018</stp>
        <tr r="P2781" s="1"/>
      </tp>
      <tp>
        <v>-200.17283657089899</v>
        <stp/>
        <stp>EM_S_VAL_PCF_NCFTTM</stp>
        <stp>2</stp>
        <stp>600693</stp>
        <stp>12/31/2018</stp>
        <tr r="P2373" s="1"/>
      </tp>
      <tp>
        <v>-390.02400222913798</v>
        <stp/>
        <stp>EM_S_VAL_PCF_NCFTTM</stp>
        <stp>2</stp>
        <stp>600698</stp>
        <stp>12/31/2018</stp>
        <tr r="P3214" s="1"/>
      </tp>
      <tp>
        <v>6.7883565498295999</v>
        <stp/>
        <stp>EM_S_VAL_PCF_NCFTTM</stp>
        <stp>2</stp>
        <stp>600699</stp>
        <stp>12/31/2018</stp>
        <tr r="P3125" s="1"/>
      </tp>
      <tp>
        <v>-378.96485981950502</v>
        <stp/>
        <stp>EM_S_VAL_PCF_NCFTTM</stp>
        <stp>2</stp>
        <stp>300634</stp>
        <stp>12/31/2018</stp>
        <tr r="P3171" s="1"/>
      </tp>
      <tp>
        <v>-8.3795276066446398</v>
        <stp/>
        <stp>EM_S_VAL_PCF_NCFTTM</stp>
        <stp>2</stp>
        <stp>600664</stp>
        <stp>12/31/2018</stp>
        <tr r="P2644" s="1"/>
      </tp>
      <tp>
        <v>87.4590724583948</v>
        <stp/>
        <stp>EM_S_VAL_PCF_NCFTTM</stp>
        <stp>2</stp>
        <stp>000605</stp>
        <stp>12/31/2018</stp>
        <tr r="P3479" s="1"/>
      </tp>
      <tp>
        <v>91.278955057210297</v>
        <stp/>
        <stp>EM_S_VAL_PCF_NCFTTM</stp>
        <stp>2</stp>
        <stp>300635</stp>
        <stp>12/31/2018</stp>
        <tr r="P3011" s="1"/>
      </tp>
      <tp>
        <v>8.6393233159631908</v>
        <stp/>
        <stp>EM_S_VAL_PCF_NCFTTM</stp>
        <stp>2</stp>
        <stp>600665</stp>
        <stp>12/31/2018</stp>
        <tr r="P2096" s="1"/>
      </tp>
      <tp>
        <v>-24.813852927205001</v>
        <stp/>
        <stp>EM_S_VAL_PCF_NCFTTM</stp>
        <stp>2</stp>
        <stp>000606</stp>
        <stp>12/31/2018</stp>
        <tr r="P2652" s="1"/>
      </tp>
      <tp>
        <v>-59.698454491220602</v>
        <stp/>
        <stp>EM_S_VAL_PCF_NCFTTM</stp>
        <stp>2</stp>
        <stp>300636</stp>
        <stp>12/31/2018</stp>
        <tr r="P456" s="1"/>
      </tp>
      <tp>
        <v>226.243059993782</v>
        <stp/>
        <stp>EM_S_VAL_PCF_NCFTTM</stp>
        <stp>2</stp>
        <stp>600666</stp>
        <stp>12/31/2018</stp>
        <tr r="P3218" s="1"/>
      </tp>
      <tp>
        <v>32.594844058700602</v>
        <stp/>
        <stp>EM_S_VAL_PCF_NCFTTM</stp>
        <stp>2</stp>
        <stp>000607</stp>
        <stp>12/31/2018</stp>
        <tr r="P3480" s="1"/>
      </tp>
      <tp>
        <v>-269.81272128052098</v>
        <stp/>
        <stp>EM_S_VAL_PCF_NCFTTM</stp>
        <stp>2</stp>
        <stp>300637</stp>
        <stp>12/31/2018</stp>
        <tr r="P3365" s="1"/>
      </tp>
      <tp>
        <v>19.971906329823799</v>
        <stp/>
        <stp>EM_S_VAL_PCF_NCFTTM</stp>
        <stp>2</stp>
        <stp>600667</stp>
        <stp>12/31/2018</stp>
        <tr r="P398" s="1"/>
      </tp>
      <tp>
        <v>53.252256948554603</v>
        <stp/>
        <stp>EM_S_VAL_PCF_NCFTTM</stp>
        <stp>2</stp>
        <stp>000600</stp>
        <stp>12/31/2018</stp>
        <tr r="P2456" s="1"/>
      </tp>
      <tp>
        <v>-148.060824739586</v>
        <stp/>
        <stp>EM_S_VAL_PCF_NCFTTM</stp>
        <stp>2</stp>
        <stp>300630</stp>
        <stp>12/31/2018</stp>
        <tr r="P1074" s="1"/>
      </tp>
      <tp>
        <v>28.003991136281201</v>
        <stp/>
        <stp>EM_S_VAL_PCF_NCFTTM</stp>
        <stp>2</stp>
        <stp>600660</stp>
        <stp>12/31/2018</stp>
        <tr r="P2159" s="1"/>
      </tp>
      <tp>
        <v>-7.3351399948000902</v>
        <stp/>
        <stp>EM_S_VAL_PCF_NCFTTM</stp>
        <stp>2</stp>
        <stp>000601</stp>
        <stp>12/31/2018</stp>
        <tr r="P3477" s="1"/>
      </tp>
      <tp>
        <v>124.49682890977</v>
        <stp/>
        <stp>EM_S_VAL_PCF_NCFTTM</stp>
        <stp>2</stp>
        <stp>300631</stp>
        <stp>12/31/2018</stp>
        <tr r="P1619" s="1"/>
      </tp>
      <tp>
        <v>44.795474357801702</v>
        <stp/>
        <stp>EM_S_VAL_PCF_NCFTTM</stp>
        <stp>2</stp>
        <stp>600661</stp>
        <stp>12/31/2018</stp>
        <tr r="P2866" s="1"/>
      </tp>
      <tp>
        <v>-27.8590049976392</v>
        <stp/>
        <stp>EM_S_VAL_PCF_NCFTTM</stp>
        <stp>2</stp>
        <stp>000602</stp>
        <stp>12/31/2018</stp>
        <tr r="P3478" s="1"/>
      </tp>
      <tp>
        <v>-618.93689835094301</v>
        <stp/>
        <stp>EM_S_VAL_PCF_NCFTTM</stp>
        <stp>2</stp>
        <stp>300632</stp>
        <stp>12/31/2018</stp>
        <tr r="P320" s="1"/>
      </tp>
      <tp>
        <v>-14.8489029213716</v>
        <stp/>
        <stp>EM_S_VAL_PCF_NCFTTM</stp>
        <stp>2</stp>
        <stp>600662</stp>
        <stp>12/31/2018</stp>
        <tr r="P1782" s="1"/>
      </tp>
      <tp>
        <v>-23.5774959108128</v>
        <stp/>
        <stp>EM_S_VAL_PCF_NCFTTM</stp>
        <stp>2</stp>
        <stp>000603</stp>
        <stp>12/31/2018</stp>
        <tr r="P625" s="1"/>
      </tp>
      <tp>
        <v>-211.32335943243399</v>
        <stp/>
        <stp>EM_S_VAL_PCF_NCFTTM</stp>
        <stp>2</stp>
        <stp>300633</stp>
        <stp>12/31/2018</stp>
        <tr r="P2972" s="1"/>
      </tp>
      <tp>
        <v>18.123241365314499</v>
        <stp/>
        <stp>EM_S_VAL_PCF_NCFTTM</stp>
        <stp>2</stp>
        <stp>600663</stp>
        <stp>12/31/2018</stp>
        <tr r="P2066" s="1"/>
      </tp>
      <tp>
        <v>-3.8747118295182799</v>
        <stp/>
        <stp>EM_S_VAL_PCF_NCFTTM</stp>
        <stp>2</stp>
        <stp>000608</stp>
        <stp>12/31/2018</stp>
        <tr r="P3481" s="1"/>
      </tp>
      <tp>
        <v>40.6351255787432</v>
        <stp/>
        <stp>EM_S_VAL_PCF_NCFTTM</stp>
        <stp>2</stp>
        <stp>300638</stp>
        <stp>12/31/2018</stp>
        <tr r="P110" s="1"/>
      </tp>
      <tp>
        <v>77.230140974847203</v>
        <stp/>
        <stp>EM_S_VAL_PCF_NCFTTM</stp>
        <stp>2</stp>
        <stp>600668</stp>
        <stp>12/31/2018</stp>
        <tr r="P921" s="1"/>
      </tp>
      <tp>
        <v>17.006204951462198</v>
        <stp/>
        <stp>EM_S_VAL_PCF_NCFTTM</stp>
        <stp>2</stp>
        <stp>000609</stp>
        <stp>12/31/2018</stp>
        <tr r="P3482" s="1"/>
      </tp>
      <tp>
        <v>-22.383289834434201</v>
        <stp/>
        <stp>EM_S_VAL_PCF_NCFTTM</stp>
        <stp>2</stp>
        <stp>300639</stp>
        <stp>12/31/2018</stp>
        <tr r="P429" s="1"/>
      </tp>
      <tp>
        <v>-514.49707835664901</v>
        <stp/>
        <stp>EM_S_VAL_PCF_NCFTTM</stp>
        <stp>2</stp>
        <stp>600669</stp>
        <stp>12/31/2018</stp>
        <tr r="P2313" s="1"/>
      </tp>
      <tp>
        <v>210.87918276079699</v>
        <stp/>
        <stp>EM_S_VAL_PCF_NCFTTM</stp>
        <stp>2</stp>
        <stp>300624</stp>
        <stp>12/31/2018</stp>
        <tr r="P1409" s="1"/>
      </tp>
      <tp>
        <v>-34.740490985710998</v>
        <stp/>
        <stp>EM_S_VAL_PCF_NCFTTM</stp>
        <stp>2</stp>
        <stp>600674</stp>
        <stp>12/31/2018</stp>
        <tr r="P1589" s="1"/>
      </tp>
      <tp>
        <v>5.35489210871284</v>
        <stp/>
        <stp>EM_S_VAL_PCF_NCFTTM</stp>
        <stp>2</stp>
        <stp>000615</stp>
        <stp>12/31/2018</stp>
        <tr r="P3000" s="1"/>
      </tp>
      <tp>
        <v>-30.319993039035701</v>
        <stp/>
        <stp>EM_S_VAL_PCF_NCFTTM</stp>
        <stp>2</stp>
        <stp>300625</stp>
        <stp>12/31/2018</stp>
        <tr r="P1465" s="1"/>
      </tp>
      <tp>
        <v>624.78002304124698</v>
        <stp/>
        <stp>EM_S_VAL_PCF_NCFTTM</stp>
        <stp>2</stp>
        <stp>600675</stp>
        <stp>12/31/2018</stp>
        <tr r="P2967" s="1"/>
      </tp>
      <tp>
        <v>2.4638363260101599</v>
        <stp/>
        <stp>EM_S_VAL_PCF_NCFTTM</stp>
        <stp>2</stp>
        <stp>000616</stp>
        <stp>12/31/2018</stp>
        <tr r="P2228" s="1"/>
      </tp>
      <tp>
        <v>55.349519704855801</v>
        <stp/>
        <stp>EM_S_VAL_PCF_NCFTTM</stp>
        <stp>2</stp>
        <stp>300626</stp>
        <stp>12/31/2018</stp>
        <tr r="P2555" s="1"/>
      </tp>
      <tp>
        <v>-5.7847174498369904</v>
        <stp/>
        <stp>EM_S_VAL_PCF_NCFTTM</stp>
        <stp>2</stp>
        <stp>600676</stp>
        <stp>12/31/2018</stp>
        <tr r="P2345" s="1"/>
      </tp>
      <tp>
        <v>2.1853658782530299</v>
        <stp/>
        <stp>EM_S_VAL_PCF_NCFTTM</stp>
        <stp>2</stp>
        <stp>000617</stp>
        <stp>12/31/2018</stp>
        <tr r="P1592" s="1"/>
      </tp>
      <tp>
        <v>-33.897436226073403</v>
        <stp/>
        <stp>EM_S_VAL_PCF_NCFTTM</stp>
        <stp>2</stp>
        <stp>300627</stp>
        <stp>12/31/2018</stp>
        <tr r="P908" s="1"/>
      </tp>
      <tp>
        <v>259.88065571914098</v>
        <stp/>
        <stp>EM_S_VAL_PCF_NCFTTM</stp>
        <stp>2</stp>
        <stp>600677</stp>
        <stp>12/31/2018</stp>
        <tr r="P2619" s="1"/>
      </tp>
      <tp>
        <v>-11.4906853051742</v>
        <stp/>
        <stp>EM_S_VAL_PCF_NCFTTM</stp>
        <stp>2</stp>
        <stp>000610</stp>
        <stp>12/31/2018</stp>
        <tr r="P1211" s="1"/>
      </tp>
      <tp>
        <v>45.944481401088701</v>
        <stp/>
        <stp>EM_S_VAL_PCF_NCFTTM</stp>
        <stp>2</stp>
        <stp>300620</stp>
        <stp>12/31/2018</stp>
        <tr r="P2759" s="1"/>
      </tp>
      <tp>
        <v>-30.7898642517452</v>
        <stp/>
        <stp>EM_S_VAL_PCF_NCFTTM</stp>
        <stp>2</stp>
        <stp>600670</stp>
        <stp>12/31/2018</stp>
        <tr r="P2314" s="1"/>
      </tp>
      <tp>
        <v>-622.68047004115101</v>
        <stp/>
        <stp>EM_S_VAL_PCF_NCFTTM</stp>
        <stp>2</stp>
        <stp>000611</stp>
        <stp>12/31/2018</stp>
        <tr r="P3483" s="1"/>
      </tp>
      <tp>
        <v>13.9773296500858</v>
        <stp/>
        <stp>EM_S_VAL_PCF_NCFTTM</stp>
        <stp>2</stp>
        <stp>300621</stp>
        <stp>12/31/2018</stp>
        <tr r="P1811" s="1"/>
      </tp>
      <tp>
        <v>-202.20461481817901</v>
        <stp/>
        <stp>EM_S_VAL_PCF_NCFTTM</stp>
        <stp>2</stp>
        <stp>600671</stp>
        <stp>12/31/2018</stp>
        <tr r="P3131" s="1"/>
      </tp>
      <tp>
        <v>21.4277740155764</v>
        <stp/>
        <stp>EM_S_VAL_PCF_NCFTTM</stp>
        <stp>2</stp>
        <stp>000612</stp>
        <stp>12/31/2018</stp>
        <tr r="P3484" s="1"/>
      </tp>
      <tp>
        <v>13.890930875694799</v>
        <stp/>
        <stp>EM_S_VAL_PCF_NCFTTM</stp>
        <stp>2</stp>
        <stp>300622</stp>
        <stp>12/31/2018</stp>
        <tr r="P1369" s="1"/>
      </tp>
      <tp>
        <v>-57.718930200446003</v>
        <stp/>
        <stp>EM_S_VAL_PCF_NCFTTM</stp>
        <stp>2</stp>
        <stp>600672</stp>
        <stp>12/31/2018</stp>
        <tr r="P2315" s="1"/>
      </tp>
      <tp>
        <v>486.40244419612497</v>
        <stp/>
        <stp>EM_S_VAL_PCF_NCFTTM</stp>
        <stp>2</stp>
        <stp>000613</stp>
        <stp>12/31/2018</stp>
        <tr r="P3064" s="1"/>
      </tp>
      <tp>
        <v>-32.635083923378502</v>
        <stp/>
        <stp>EM_S_VAL_PCF_NCFTTM</stp>
        <stp>2</stp>
        <stp>300623</stp>
        <stp>12/31/2018</stp>
        <tr r="P1635" s="1"/>
      </tp>
      <tp>
        <v>-67.388894854072703</v>
        <stp/>
        <stp>EM_S_VAL_PCF_NCFTTM</stp>
        <stp>2</stp>
        <stp>600673</stp>
        <stp>12/31/2018</stp>
        <tr r="P859" s="1"/>
      </tp>
      <tp>
        <v>-4254.3882030181503</v>
        <stp/>
        <stp>EM_S_VAL_PCF_NCFTTM</stp>
        <stp>2</stp>
        <stp>000618</stp>
        <stp>12/31/2018</stp>
        <tr r="P3485" s="1"/>
      </tp>
      <tp>
        <v>-190.402652253149</v>
        <stp/>
        <stp>EM_S_VAL_PCF_NCFTTM</stp>
        <stp>2</stp>
        <stp>300628</stp>
        <stp>12/31/2018</stp>
        <tr r="P2626" s="1"/>
      </tp>
      <tp>
        <v>432.47094690140699</v>
        <stp/>
        <stp>EM_S_VAL_PCF_NCFTTM</stp>
        <stp>2</stp>
        <stp>600678</stp>
        <stp>12/31/2018</stp>
        <tr r="P1034" s="1"/>
      </tp>
      <tp>
        <v>-71.107776395064903</v>
        <stp/>
        <stp>EM_S_VAL_PCF_NCFTTM</stp>
        <stp>2</stp>
        <stp>000619</stp>
        <stp>12/31/2018</stp>
        <tr r="P1623" s="1"/>
      </tp>
      <tp>
        <v>-54.1246902340284</v>
        <stp/>
        <stp>EM_S_VAL_PCF_NCFTTM</stp>
        <stp>2</stp>
        <stp>300629</stp>
        <stp>12/31/2018</stp>
        <tr r="P1628" s="1"/>
      </tp>
      <tp>
        <v>-28.222466488871699</v>
        <stp/>
        <stp>EM_S_VAL_PCF_NCFTTM</stp>
        <stp>2</stp>
        <stp>600679</stp>
        <stp>12/31/2018</stp>
        <tr r="P1214" s="1"/>
      </tp>
      <tp>
        <v>41.8447621950315</v>
        <stp/>
        <stp>EM_S_VAL_PCF_NCFTTM</stp>
        <stp>2</stp>
        <stp>600644</stp>
        <stp>12/31/2018</stp>
        <tr r="P1143" s="1"/>
      </tp>
      <tp>
        <v>-4.2222010537188197</v>
        <stp/>
        <stp>EM_S_VAL_PCF_NCFTTM</stp>
        <stp>2</stp>
        <stp>000625</stp>
        <stp>12/31/2018</stp>
        <tr r="P3487" s="1"/>
      </tp>
      <tp>
        <v>-47.695706540632003</v>
        <stp/>
        <stp>EM_S_VAL_PCF_NCFTTM</stp>
        <stp>2</stp>
        <stp>300615</stp>
        <stp>12/31/2018</stp>
        <tr r="P1398" s="1"/>
      </tp>
      <tp>
        <v>139.02754021761399</v>
        <stp/>
        <stp>EM_S_VAL_PCF_NCFTTM</stp>
        <stp>2</stp>
        <stp>600645</stp>
        <stp>12/31/2018</stp>
        <tr r="P2094" s="1"/>
      </tp>
      <tp>
        <v>-1.1624542055721101</v>
        <stp/>
        <stp>EM_S_VAL_PCF_NCFTTM</stp>
        <stp>2</stp>
        <stp>000626</stp>
        <stp>12/31/2018</stp>
        <tr r="P3488" s="1"/>
      </tp>
      <tp>
        <v>-16.713010119643702</v>
        <stp/>
        <stp>EM_S_VAL_PCF_NCFTTM</stp>
        <stp>2</stp>
        <stp>300616</stp>
        <stp>12/31/2018</stp>
        <tr r="P1091" s="1"/>
      </tp>
      <tp>
        <v>0</v>
        <stp/>
        <stp>EM_S_VAL_PCF_NCFTTM</stp>
        <stp>2</stp>
        <stp>600646</stp>
        <stp>12/31/2018</stp>
        <tr r="P2311" s="1"/>
      </tp>
      <tp>
        <v>-6.97483074597117</v>
        <stp/>
        <stp>EM_S_VAL_PCF_NCFTTM</stp>
        <stp>2</stp>
        <stp>000627</stp>
        <stp>12/31/2018</stp>
        <tr r="P3489" s="1"/>
      </tp>
      <tp>
        <v>193.86725582134</v>
        <stp/>
        <stp>EM_S_VAL_PCF_NCFTTM</stp>
        <stp>2</stp>
        <stp>300617</stp>
        <stp>12/31/2018</stp>
        <tr r="P1581" s="1"/>
      </tp>
      <tp>
        <v>-102.823793685897</v>
        <stp/>
        <stp>EM_S_VAL_PCF_NCFTTM</stp>
        <stp>2</stp>
        <stp>600647</stp>
        <stp>12/31/2018</stp>
        <tr r="P1435" s="1"/>
      </tp>
      <tp>
        <v>-2.0746742175430701</v>
        <stp/>
        <stp>EM_S_VAL_PCF_NCFTTM</stp>
        <stp>2</stp>
        <stp>000620</stp>
        <stp>12/31/2018</stp>
        <tr r="P2102" s="1"/>
      </tp>
      <tp>
        <v>-15.407965799300801</v>
        <stp/>
        <stp>EM_S_VAL_PCF_NCFTTM</stp>
        <stp>2</stp>
        <stp>300610</stp>
        <stp>12/31/2018</stp>
        <tr r="P2478" s="1"/>
      </tp>
      <tp>
        <v>-9.3495267219271998</v>
        <stp/>
        <stp>EM_S_VAL_PCF_NCFTTM</stp>
        <stp>2</stp>
        <stp>600640</stp>
        <stp>12/31/2018</stp>
        <tr r="P66" s="1"/>
      </tp>
      <tp>
        <v>24607.9914313968</v>
        <stp/>
        <stp>EM_S_VAL_PCF_NCFTTM</stp>
        <stp>2</stp>
        <stp>000621</stp>
        <stp>12/31/2018</stp>
        <tr r="P3486" s="1"/>
      </tp>
      <tp>
        <v>219.03704510855701</v>
        <stp/>
        <stp>EM_S_VAL_PCF_NCFTTM</stp>
        <stp>2</stp>
        <stp>300611</stp>
        <stp>12/31/2018</stp>
        <tr r="P1560" s="1"/>
      </tp>
      <tp>
        <v>21.137596563842699</v>
        <stp/>
        <stp>EM_S_VAL_PCF_NCFTTM</stp>
        <stp>2</stp>
        <stp>600641</stp>
        <stp>12/31/2018</stp>
        <tr r="P147" s="1"/>
      </tp>
      <tp>
        <v>-38.556952597317903</v>
        <stp/>
        <stp>EM_S_VAL_PCF_NCFTTM</stp>
        <stp>2</stp>
        <stp>000622</stp>
        <stp>12/31/2018</stp>
        <tr r="P3279" s="1"/>
      </tp>
      <tp>
        <v>87.347957359755895</v>
        <stp/>
        <stp>EM_S_VAL_PCF_NCFTTM</stp>
        <stp>2</stp>
        <stp>300612</stp>
        <stp>12/31/2018</stp>
        <tr r="P1593" s="1"/>
      </tp>
      <tp>
        <v>-78.396365874263395</v>
        <stp/>
        <stp>EM_S_VAL_PCF_NCFTTM</stp>
        <stp>2</stp>
        <stp>600642</stp>
        <stp>12/31/2018</stp>
        <tr r="P1343" s="1"/>
      </tp>
      <tp>
        <v>27.3290326442511</v>
        <stp/>
        <stp>EM_S_VAL_PCF_NCFTTM</stp>
        <stp>2</stp>
        <stp>000623</stp>
        <stp>12/31/2018</stp>
        <tr r="P1489" s="1"/>
      </tp>
      <tp>
        <v>-20.620309382648902</v>
        <stp/>
        <stp>EM_S_VAL_PCF_NCFTTM</stp>
        <stp>2</stp>
        <stp>300613</stp>
        <stp>12/31/2018</stp>
        <tr r="P258" s="1"/>
      </tp>
      <tp>
        <v>202.00354920387301</v>
        <stp/>
        <stp>EM_S_VAL_PCF_NCFTTM</stp>
        <stp>2</stp>
        <stp>600643</stp>
        <stp>12/31/2018</stp>
        <tr r="P1527" s="1"/>
      </tp>
      <tp>
        <v>-18.120162746160901</v>
        <stp/>
        <stp>EM_S_VAL_PCF_NCFTTM</stp>
        <stp>2</stp>
        <stp>000628</stp>
        <stp>12/31/2018</stp>
        <tr r="P2503" s="1"/>
      </tp>
      <tp>
        <v>120.616651122785</v>
        <stp/>
        <stp>EM_S_VAL_PCF_NCFTTM</stp>
        <stp>2</stp>
        <stp>300618</stp>
        <stp>12/31/2018</stp>
        <tr r="P1876" s="1"/>
      </tp>
      <tp>
        <v>12.306802676314</v>
        <stp/>
        <stp>EM_S_VAL_PCF_NCFTTM</stp>
        <stp>2</stp>
        <stp>600648</stp>
        <stp>12/31/2018</stp>
        <tr r="P1052" s="1"/>
      </tp>
      <tp>
        <v>36.054610561967102</v>
        <stp/>
        <stp>EM_S_VAL_PCF_NCFTTM</stp>
        <stp>2</stp>
        <stp>000629</stp>
        <stp>12/31/2018</stp>
        <tr r="P2438" s="1"/>
      </tp>
      <tp>
        <v>-26.321154330588499</v>
        <stp/>
        <stp>EM_S_VAL_PCF_NCFTTM</stp>
        <stp>2</stp>
        <stp>300619</stp>
        <stp>12/31/2018</stp>
        <tr r="P2952" s="1"/>
      </tp>
      <tp>
        <v>-78.183568911308598</v>
        <stp/>
        <stp>EM_S_VAL_PCF_NCFTTM</stp>
        <stp>2</stp>
        <stp>600649</stp>
        <stp>12/31/2018</stp>
        <tr r="P2008" s="1"/>
      </tp>
      <tp>
        <v>-352.464385285883</v>
        <stp/>
        <stp>EM_S_VAL_PCF_NCFTTM</stp>
        <stp>2</stp>
        <stp>300604</stp>
        <stp>12/31/2018</stp>
        <tr r="P3085" s="1"/>
      </tp>
      <tp>
        <v>-43.699248489548403</v>
        <stp/>
        <stp>EM_S_VAL_PCF_NCFTTM</stp>
        <stp>2</stp>
        <stp>600654</stp>
        <stp>12/31/2018</stp>
        <tr r="P2568" s="1"/>
      </tp>
      <tp>
        <v>-14.725059938884</v>
        <stp/>
        <stp>EM_S_VAL_PCF_NCFTTM</stp>
        <stp>2</stp>
        <stp>000635</stp>
        <stp>12/31/2018</stp>
        <tr r="P2661" s="1"/>
      </tp>
      <tp>
        <v>-40.337847620259303</v>
        <stp/>
        <stp>EM_S_VAL_PCF_NCFTTM</stp>
        <stp>2</stp>
        <stp>300605</stp>
        <stp>12/31/2018</stp>
        <tr r="P2903" s="1"/>
      </tp>
      <tp>
        <v>5.0480841179227198</v>
        <stp/>
        <stp>EM_S_VAL_PCF_NCFTTM</stp>
        <stp>2</stp>
        <stp>600655</stp>
        <stp>12/31/2018</stp>
        <tr r="P2010" s="1"/>
      </tp>
      <tp>
        <v>16.783652181808701</v>
        <stp/>
        <stp>EM_S_VAL_PCF_NCFTTM</stp>
        <stp>2</stp>
        <stp>000636</stp>
        <stp>12/31/2018</stp>
        <tr r="P714" s="1"/>
      </tp>
      <tp>
        <v>41.384107204756297</v>
        <stp/>
        <stp>EM_S_VAL_PCF_NCFTTM</stp>
        <stp>2</stp>
        <stp>300606</stp>
        <stp>12/31/2018</stp>
        <tr r="P1432" s="1"/>
      </tp>
      <tp>
        <v>-14579.133856512501</v>
        <stp/>
        <stp>EM_S_VAL_PCF_NCFTTM</stp>
        <stp>2</stp>
        <stp>600656</stp>
        <stp>12/31/2018</stp>
        <tr r="P2312" s="1"/>
      </tp>
      <tp>
        <v>19.070680110633599</v>
        <stp/>
        <stp>EM_S_VAL_PCF_NCFTTM</stp>
        <stp>2</stp>
        <stp>000637</stp>
        <stp>12/31/2018</stp>
        <tr r="P3491" s="1"/>
      </tp>
      <tp>
        <v>33.685465698733097</v>
        <stp/>
        <stp>EM_S_VAL_PCF_NCFTTM</stp>
        <stp>2</stp>
        <stp>300607</stp>
        <stp>12/31/2018</stp>
        <tr r="P484" s="1"/>
      </tp>
      <tp>
        <v>2.0808995363349201</v>
        <stp/>
        <stp>EM_S_VAL_PCF_NCFTTM</stp>
        <stp>2</stp>
        <stp>600657</stp>
        <stp>12/31/2018</stp>
        <tr r="P2195" s="1"/>
      </tp>
      <tp>
        <v>-40.1927091156901</v>
        <stp/>
        <stp>EM_S_VAL_PCF_NCFTTM</stp>
        <stp>2</stp>
        <stp>000630</stp>
        <stp>12/31/2018</stp>
        <tr r="P1285" s="1"/>
      </tp>
      <tp>
        <v>164.516147141126</v>
        <stp/>
        <stp>EM_S_VAL_PCF_NCFTTM</stp>
        <stp>2</stp>
        <stp>300600</stp>
        <stp>12/31/2018</stp>
        <tr r="P3297" s="1"/>
      </tp>
      <tp>
        <v>-1037.2817911560801</v>
        <stp/>
        <stp>EM_S_VAL_PCF_NCFTTM</stp>
        <stp>2</stp>
        <stp>600650</stp>
        <stp>12/31/2018</stp>
        <tr r="P1878" s="1"/>
      </tp>
      <tp>
        <v>-34.717410736695797</v>
        <stp/>
        <stp>EM_S_VAL_PCF_NCFTTM</stp>
        <stp>2</stp>
        <stp>000631</stp>
        <stp>12/31/2018</stp>
        <tr r="P3490" s="1"/>
      </tp>
      <tp>
        <v>91.103873121550805</v>
        <stp/>
        <stp>EM_S_VAL_PCF_NCFTTM</stp>
        <stp>2</stp>
        <stp>300601</stp>
        <stp>12/31/2018</stp>
        <tr r="P93" s="1"/>
      </tp>
      <tp>
        <v>-835.60770278213397</v>
        <stp/>
        <stp>EM_S_VAL_PCF_NCFTTM</stp>
        <stp>2</stp>
        <stp>600651</stp>
        <stp>12/31/2018</stp>
        <tr r="P810" s="1"/>
      </tp>
      <tp>
        <v>14.275011883704201</v>
        <stp/>
        <stp>EM_S_VAL_PCF_NCFTTM</stp>
        <stp>2</stp>
        <stp>000632</stp>
        <stp>12/31/2018</stp>
        <tr r="P438" s="1"/>
      </tp>
      <tp>
        <v>-204.24272708024901</v>
        <stp/>
        <stp>EM_S_VAL_PCF_NCFTTM</stp>
        <stp>2</stp>
        <stp>300602</stp>
        <stp>12/31/2018</stp>
        <tr r="P1016" s="1"/>
      </tp>
      <tp>
        <v>-71.527214001608698</v>
        <stp/>
        <stp>EM_S_VAL_PCF_NCFTTM</stp>
        <stp>2</stp>
        <stp>600652</stp>
        <stp>12/31/2018</stp>
        <tr r="P3367" s="1"/>
      </tp>
      <tp>
        <v>-3.91391708424888</v>
        <stp/>
        <stp>EM_S_VAL_PCF_NCFTTM</stp>
        <stp>2</stp>
        <stp>000633</stp>
        <stp>12/31/2018</stp>
        <tr r="P2730" s="1"/>
      </tp>
      <tp>
        <v>-54.206252371922503</v>
        <stp/>
        <stp>EM_S_VAL_PCF_NCFTTM</stp>
        <stp>2</stp>
        <stp>300603</stp>
        <stp>12/31/2018</stp>
        <tr r="P3173" s="1"/>
      </tp>
      <tp>
        <v>67.015905706276598</v>
        <stp/>
        <stp>EM_S_VAL_PCF_NCFTTM</stp>
        <stp>2</stp>
        <stp>600653</stp>
        <stp>12/31/2018</stp>
        <tr r="P1829" s="1"/>
      </tp>
      <tp>
        <v>-183.13891890565401</v>
        <stp/>
        <stp>EM_S_VAL_PCF_NCFTTM</stp>
        <stp>2</stp>
        <stp>000638</stp>
        <stp>12/31/2018</stp>
        <tr r="P3492" s="1"/>
      </tp>
      <tp>
        <v>68.820977744644907</v>
        <stp/>
        <stp>EM_S_VAL_PCF_NCFTTM</stp>
        <stp>2</stp>
        <stp>300608</stp>
        <stp>12/31/2018</stp>
        <tr r="P2460" s="1"/>
      </tp>
      <tp>
        <v>-5.9462474570198598</v>
        <stp/>
        <stp>EM_S_VAL_PCF_NCFTTM</stp>
        <stp>2</stp>
        <stp>600658</stp>
        <stp>12/31/2018</stp>
        <tr r="P2829" s="1"/>
      </tp>
      <tp>
        <v>4.1173216754473199</v>
        <stp/>
        <stp>EM_S_VAL_PCF_NCFTTM</stp>
        <stp>2</stp>
        <stp>000639</stp>
        <stp>12/31/2018</stp>
        <tr r="P3211" s="1"/>
      </tp>
      <tp>
        <v>-24.275391740582901</v>
        <stp/>
        <stp>EM_S_VAL_PCF_NCFTTM</stp>
        <stp>2</stp>
        <stp>300609</stp>
        <stp>12/31/2018</stp>
        <tr r="P784" s="1"/>
      </tp>
      <tp>
        <v>65.584634543212204</v>
        <stp/>
        <stp>EM_S_VAL_PCF_NCFTTM</stp>
        <stp>2</stp>
        <stp>600659</stp>
        <stp>12/31/2018</stp>
        <tr r="P2324" s="1"/>
      </tp>
      <tp>
        <v>75.797180592939398</v>
        <stp/>
        <stp>EM_S_VAL_PCF_NCFTTM</stp>
        <stp>2</stp>
        <stp>600624</stp>
        <stp>12/31/2018</stp>
        <tr r="P437" s="1"/>
      </tp>
      <tp>
        <v>-354.77685261131103</v>
        <stp/>
        <stp>EM_S_VAL_PCF_NCFTTM</stp>
        <stp>2</stp>
        <stp>300675</stp>
        <stp>12/31/2018</stp>
        <tr r="P3339" s="1"/>
      </tp>
      <tp>
        <v>960.39492214661402</v>
        <stp/>
        <stp>EM_S_VAL_PCF_NCFTTM</stp>
        <stp>2</stp>
        <stp>600625</stp>
        <stp>12/31/2018</stp>
        <tr r="P2307" s="1"/>
      </tp>
      <tp>
        <v>124.863196636653</v>
        <stp/>
        <stp>EM_S_VAL_PCF_NCFTTM</stp>
        <stp>2</stp>
        <stp>300676</stp>
        <stp>12/31/2018</stp>
        <tr r="P1637" s="1"/>
      </tp>
      <tp>
        <v>-83.964162557304206</v>
        <stp/>
        <stp>EM_S_VAL_PCF_NCFTTM</stp>
        <stp>2</stp>
        <stp>600626</stp>
        <stp>12/31/2018</stp>
        <tr r="P1387" s="1"/>
      </tp>
      <tp>
        <v>9.73331200280197</v>
        <stp/>
        <stp>EM_S_VAL_PCF_NCFTTM</stp>
        <stp>2</stp>
        <stp>300677</stp>
        <stp>12/31/2018</stp>
        <tr r="P1528" s="1"/>
      </tp>
      <tp>
        <v>-219.12354528021999</v>
        <stp/>
        <stp>EM_S_VAL_PCF_NCFTTM</stp>
        <stp>2</stp>
        <stp>600627</stp>
        <stp>12/31/2018</stp>
        <tr r="P2308" s="1"/>
      </tp>
      <tp>
        <v>-150.08614177950901</v>
        <stp/>
        <stp>EM_S_VAL_PCF_NCFTTM</stp>
        <stp>2</stp>
        <stp>300670</stp>
        <stp>12/31/2018</stp>
        <tr r="P3362" s="1"/>
      </tp>
      <tp>
        <v>25.686471547054801</v>
        <stp/>
        <stp>EM_S_VAL_PCF_NCFTTM</stp>
        <stp>2</stp>
        <stp>600620</stp>
        <stp>12/31/2018</stp>
        <tr r="P1374" s="1"/>
      </tp>
      <tp>
        <v>-42.5958661697602</v>
        <stp/>
        <stp>EM_S_VAL_PCF_NCFTTM</stp>
        <stp>2</stp>
        <stp>300671</stp>
        <stp>12/31/2018</stp>
        <tr r="P929" s="1"/>
      </tp>
      <tp>
        <v>-11.296803460488899</v>
        <stp/>
        <stp>EM_S_VAL_PCF_NCFTTM</stp>
        <stp>2</stp>
        <stp>600621</stp>
        <stp>12/31/2018</stp>
        <tr r="P302" s="1"/>
      </tp>
      <tp>
        <v>1145.2455587766799</v>
        <stp/>
        <stp>EM_S_VAL_PCF_NCFTTM</stp>
        <stp>2</stp>
        <stp>300672</stp>
        <stp>12/31/2018</stp>
        <tr r="P1657" s="1"/>
      </tp>
      <tp>
        <v>6.4400646145942204</v>
        <stp/>
        <stp>EM_S_VAL_PCF_NCFTTM</stp>
        <stp>2</stp>
        <stp>600622</stp>
        <stp>12/31/2018</stp>
        <tr r="P3247" s="1"/>
      </tp>
      <tp>
        <v>-5827.0681256501903</v>
        <stp/>
        <stp>EM_S_VAL_PCF_NCFTTM</stp>
        <stp>2</stp>
        <stp>300673</stp>
        <stp>12/31/2018</stp>
        <tr r="P3263" s="1"/>
      </tp>
      <tp>
        <v>5.4822022267329897</v>
        <stp/>
        <stp>EM_S_VAL_PCF_NCFTTM</stp>
        <stp>2</stp>
        <stp>600623</stp>
        <stp>12/31/2018</stp>
        <tr r="P3024" s="1"/>
      </tp>
      <tp>
        <v>-30.1433109958787</v>
        <stp/>
        <stp>EM_S_VAL_PCF_NCFTTM</stp>
        <stp>2</stp>
        <stp>300678</stp>
        <stp>12/31/2018</stp>
        <tr r="P1418" s="1"/>
      </tp>
      <tp>
        <v>-63.647319537431002</v>
        <stp/>
        <stp>EM_S_VAL_PCF_NCFTTM</stp>
        <stp>2</stp>
        <stp>600628</stp>
        <stp>12/31/2018</stp>
        <tr r="P603" s="1"/>
      </tp>
      <tp>
        <v>-11.2952653721327</v>
        <stp/>
        <stp>EM_S_VAL_PCF_NCFTTM</stp>
        <stp>2</stp>
        <stp>300679</stp>
        <stp>12/31/2018</stp>
        <tr r="P739" s="1"/>
      </tp>
      <tp>
        <v>-25.960430557274499</v>
        <stp/>
        <stp>EM_S_VAL_PCF_NCFTTM</stp>
        <stp>2</stp>
        <stp>600629</stp>
        <stp>12/31/2018</stp>
        <tr r="P3119" s="1"/>
      </tp>
      <tp>
        <v>6.8185266312672699</v>
        <stp/>
        <stp>EM_S_VAL_PCF_NCFTTM</stp>
        <stp>2</stp>
        <stp>300664</stp>
        <stp>12/31/2018</stp>
        <tr r="P1901" s="1"/>
      </tp>
      <tp>
        <v>-0.76597342957636305</v>
        <stp/>
        <stp>EM_S_VAL_PCF_NCFTTM</stp>
        <stp>2</stp>
        <stp>600634</stp>
        <stp>12/31/2018</stp>
        <tr r="P3293" s="1"/>
      </tp>
      <tp>
        <v>10.9629450723498</v>
        <stp/>
        <stp>EM_S_VAL_PCF_NCFTTM</stp>
        <stp>2</stp>
        <stp>000655</stp>
        <stp>12/31/2018</stp>
        <tr r="P3494" s="1"/>
      </tp>
      <tp>
        <v>-25.151534933142202</v>
        <stp/>
        <stp>EM_S_VAL_PCF_NCFTTM</stp>
        <stp>2</stp>
        <stp>300665</stp>
        <stp>12/31/2018</stp>
        <tr r="P1720" s="1"/>
      </tp>
      <tp>
        <v>-9.6831725759686904</v>
        <stp/>
        <stp>EM_S_VAL_PCF_NCFTTM</stp>
        <stp>2</stp>
        <stp>600635</stp>
        <stp>12/31/2018</stp>
        <tr r="P2147" s="1"/>
      </tp>
      <tp>
        <v>2.41607028041948</v>
        <stp/>
        <stp>EM_S_VAL_PCF_NCFTTM</stp>
        <stp>2</stp>
        <stp>000656</stp>
        <stp>12/31/2018</stp>
        <tr r="P1182" s="1"/>
      </tp>
      <tp>
        <v>95.280438343425601</v>
        <stp/>
        <stp>EM_S_VAL_PCF_NCFTTM</stp>
        <stp>2</stp>
        <stp>300666</stp>
        <stp>12/31/2018</stp>
        <tr r="P2037" s="1"/>
      </tp>
      <tp>
        <v>15.896084260417901</v>
        <stp/>
        <stp>EM_S_VAL_PCF_NCFTTM</stp>
        <stp>2</stp>
        <stp>600636</stp>
        <stp>12/31/2018</stp>
        <tr r="P2618" s="1"/>
      </tp>
      <tp>
        <v>-428.94180308722002</v>
        <stp/>
        <stp>EM_S_VAL_PCF_NCFTTM</stp>
        <stp>2</stp>
        <stp>000657</stp>
        <stp>12/31/2018</stp>
        <tr r="P974" s="1"/>
      </tp>
      <tp>
        <v>-147.51037659285299</v>
        <stp/>
        <stp>EM_S_VAL_PCF_NCFTTM</stp>
        <stp>2</stp>
        <stp>300667</stp>
        <stp>12/31/2018</stp>
        <tr r="P1538" s="1"/>
      </tp>
      <tp>
        <v>-170.76476300145299</v>
        <stp/>
        <stp>EM_S_VAL_PCF_NCFTTM</stp>
        <stp>2</stp>
        <stp>600637</stp>
        <stp>12/31/2018</stp>
        <tr r="P2727" s="1"/>
      </tp>
      <tp>
        <v>15.546229012427901</v>
        <stp/>
        <stp>EM_S_VAL_PCF_NCFTTM</stp>
        <stp>2</stp>
        <stp>000650</stp>
        <stp>12/31/2018</stp>
        <tr r="P1616" s="1"/>
      </tp>
      <tp>
        <v>22.752828371212299</v>
        <stp/>
        <stp>EM_S_VAL_PCF_NCFTTM</stp>
        <stp>2</stp>
        <stp>300660</stp>
        <stp>12/31/2018</stp>
        <tr r="P2965" s="1"/>
      </tp>
      <tp>
        <v>85.551363640157305</v>
        <stp/>
        <stp>EM_S_VAL_PCF_NCFTTM</stp>
        <stp>2</stp>
        <stp>600630</stp>
        <stp>12/31/2018</stp>
        <tr r="P2003" s="1"/>
      </tp>
      <tp>
        <v>-7.9953253821833501</v>
        <stp/>
        <stp>EM_S_VAL_PCF_NCFTTM</stp>
        <stp>2</stp>
        <stp>000651</stp>
        <stp>12/31/2018</stp>
        <tr r="P229" s="1"/>
      </tp>
      <tp>
        <v>44.884878865237802</v>
        <stp/>
        <stp>EM_S_VAL_PCF_NCFTTM</stp>
        <stp>2</stp>
        <stp>300661</stp>
        <stp>12/31/2018</stp>
        <tr r="P19" s="1"/>
      </tp>
      <tp>
        <v>15.3922714687411</v>
        <stp/>
        <stp>EM_S_VAL_PCF_NCFTTM</stp>
        <stp>2</stp>
        <stp>600631</stp>
        <stp>12/31/2018</stp>
        <tr r="P2309" s="1"/>
      </tp>
      <tp>
        <v>-3.8973564167954802</v>
        <stp/>
        <stp>EM_S_VAL_PCF_NCFTTM</stp>
        <stp>2</stp>
        <stp>000652</stp>
        <stp>12/31/2018</stp>
        <tr r="P1224" s="1"/>
      </tp>
      <tp>
        <v>-25.705236787580301</v>
        <stp/>
        <stp>EM_S_VAL_PCF_NCFTTM</stp>
        <stp>2</stp>
        <stp>300662</stp>
        <stp>12/31/2018</stp>
        <tr r="P1399" s="1"/>
      </tp>
      <tp>
        <v>-134.09693966096901</v>
        <stp/>
        <stp>EM_S_VAL_PCF_NCFTTM</stp>
        <stp>2</stp>
        <stp>600632</stp>
        <stp>12/31/2018</stp>
        <tr r="P2310" s="1"/>
      </tp>
      <tp>
        <v>204782.159443682</v>
        <stp/>
        <stp>EM_S_VAL_PCF_NCFTTM</stp>
        <stp>2</stp>
        <stp>000653</stp>
        <stp>12/31/2018</stp>
        <tr r="P3493" s="1"/>
      </tp>
      <tp>
        <v>27.653432983736501</v>
        <stp/>
        <stp>EM_S_VAL_PCF_NCFTTM</stp>
        <stp>2</stp>
        <stp>300663</stp>
        <stp>12/31/2018</stp>
        <tr r="P224" s="1"/>
      </tp>
      <tp>
        <v>-13.1345804387754</v>
        <stp/>
        <stp>EM_S_VAL_PCF_NCFTTM</stp>
        <stp>2</stp>
        <stp>600633</stp>
        <stp>12/31/2018</stp>
        <tr r="P1476" s="1"/>
      </tp>
      <tp>
        <v>-31.631339628627501</v>
        <stp/>
        <stp>EM_S_VAL_PCF_NCFTTM</stp>
        <stp>2</stp>
        <stp>000658</stp>
        <stp>12/31/2018</stp>
        <tr r="P3495" s="1"/>
      </tp>
      <tp>
        <v>-15.2282715023004</v>
        <stp/>
        <stp>EM_S_VAL_PCF_NCFTTM</stp>
        <stp>2</stp>
        <stp>300668</stp>
        <stp>12/31/2018</stp>
        <tr r="P2582" s="1"/>
      </tp>
      <tp>
        <v>-8.7409937956748092</v>
        <stp/>
        <stp>EM_S_VAL_PCF_NCFTTM</stp>
        <stp>2</stp>
        <stp>600638</stp>
        <stp>12/31/2018</stp>
        <tr r="P3026" s="1"/>
      </tp>
      <tp>
        <v>-326.63134130015601</v>
        <stp/>
        <stp>EM_S_VAL_PCF_NCFTTM</stp>
        <stp>2</stp>
        <stp>000659</stp>
        <stp>12/31/2018</stp>
        <tr r="P3261" s="1"/>
      </tp>
      <tp>
        <v>-163.09128323641599</v>
        <stp/>
        <stp>EM_S_VAL_PCF_NCFTTM</stp>
        <stp>2</stp>
        <stp>300669</stp>
        <stp>12/31/2018</stp>
        <tr r="P488" s="1"/>
      </tp>
      <tp>
        <v>-48.7266300021207</v>
        <stp/>
        <stp>EM_S_VAL_PCF_NCFTTM</stp>
        <stp>2</stp>
        <stp>600639</stp>
        <stp>12/31/2018</stp>
        <tr r="P1287" s="1"/>
      </tp>
      <tp>
        <v>-17.379159988657101</v>
        <stp/>
        <stp>EM_S_VAL_PCF_NCFTTM</stp>
        <stp>2</stp>
        <stp>300654</stp>
        <stp>12/31/2018</stp>
        <tr r="P3061" s="1"/>
      </tp>
      <tp>
        <v>-69.297783210826793</v>
        <stp/>
        <stp>EM_S_VAL_PCF_NCFTTM</stp>
        <stp>2</stp>
        <stp>600604</stp>
        <stp>12/31/2018</stp>
        <tr r="P1429" s="1"/>
      </tp>
      <tp>
        <v>77.656441301350995</v>
        <stp/>
        <stp>EM_S_VAL_PCF_NCFTTM</stp>
        <stp>2</stp>
        <stp>000665</stp>
        <stp>12/31/2018</stp>
        <tr r="P3156" s="1"/>
      </tp>
      <tp>
        <v>-330.51907125126002</v>
        <stp/>
        <stp>EM_S_VAL_PCF_NCFTTM</stp>
        <stp>2</stp>
        <stp>300655</stp>
        <stp>12/31/2018</stp>
        <tr r="P94" s="1"/>
      </tp>
      <tp>
        <v>-25.4833150598818</v>
        <stp/>
        <stp>EM_S_VAL_PCF_NCFTTM</stp>
        <stp>2</stp>
        <stp>600605</stp>
        <stp>12/31/2018</stp>
        <tr r="P1488" s="1"/>
      </tp>
      <tp>
        <v>-1.12066834183755</v>
        <stp/>
        <stp>EM_S_VAL_PCF_NCFTTM</stp>
        <stp>2</stp>
        <stp>000666</stp>
        <stp>12/31/2018</stp>
        <tr r="P1969" s="1"/>
      </tp>
      <tp>
        <v>-115.744832533183</v>
        <stp/>
        <stp>EM_S_VAL_PCF_NCFTTM</stp>
        <stp>2</stp>
        <stp>300656</stp>
        <stp>12/31/2018</stp>
        <tr r="P2217" s="1"/>
      </tp>
      <tp>
        <v>42.473989338201498</v>
        <stp/>
        <stp>EM_S_VAL_PCF_NCFTTM</stp>
        <stp>2</stp>
        <stp>600606</stp>
        <stp>12/31/2018</stp>
        <tr r="P1591" s="1"/>
      </tp>
      <tp>
        <v>3.9860801083638902</v>
        <stp/>
        <stp>EM_S_VAL_PCF_NCFTTM</stp>
        <stp>2</stp>
        <stp>000667</stp>
        <stp>12/31/2018</stp>
        <tr r="P3499" s="1"/>
      </tp>
      <tp>
        <v>68.660047792534201</v>
        <stp/>
        <stp>EM_S_VAL_PCF_NCFTTM</stp>
        <stp>2</stp>
        <stp>300657</stp>
        <stp>12/31/2018</stp>
        <tr r="P1186" s="1"/>
      </tp>
      <tp>
        <v>8.4873410486611895</v>
        <stp/>
        <stp>EM_S_VAL_PCF_NCFTTM</stp>
        <stp>2</stp>
        <stp>600607</stp>
        <stp>12/31/2018</stp>
        <tr r="P2306" s="1"/>
      </tp>
      <tp>
        <v>-148.36946474634701</v>
        <stp/>
        <stp>EM_S_VAL_PCF_NCFTTM</stp>
        <stp>2</stp>
        <stp>000660</stp>
        <stp>12/31/2018</stp>
        <tr r="P3496" s="1"/>
      </tp>
      <tp>
        <v>-48.439076406927498</v>
        <stp/>
        <stp>EM_S_VAL_PCF_NCFTTM</stp>
        <stp>2</stp>
        <stp>300650</stp>
        <stp>12/31/2018</stp>
        <tr r="P1066" s="1"/>
      </tp>
      <tp>
        <v>21.583375324265699</v>
        <stp/>
        <stp>EM_S_VAL_PCF_NCFTTM</stp>
        <stp>2</stp>
        <stp>600600</stp>
        <stp>12/31/2018</stp>
        <tr r="P615" s="1"/>
      </tp>
      <tp>
        <v>-957.91700506551297</v>
        <stp/>
        <stp>EM_S_VAL_PCF_NCFTTM</stp>
        <stp>2</stp>
        <stp>000661</stp>
        <stp>12/31/2018</stp>
        <tr r="P85" s="1"/>
      </tp>
      <tp>
        <v>862.04826004679705</v>
        <stp/>
        <stp>EM_S_VAL_PCF_NCFTTM</stp>
        <stp>2</stp>
        <stp>300651</stp>
        <stp>12/31/2018</stp>
        <tr r="P3284" s="1"/>
      </tp>
      <tp>
        <v>12.857611692298001</v>
        <stp/>
        <stp>EM_S_VAL_PCF_NCFTTM</stp>
        <stp>2</stp>
        <stp>600601</stp>
        <stp>12/31/2018</stp>
        <tr r="P651" s="1"/>
      </tp>
      <tp>
        <v>46.117086482918999</v>
        <stp/>
        <stp>EM_S_VAL_PCF_NCFTTM</stp>
        <stp>2</stp>
        <stp>000662</stp>
        <stp>12/31/2018</stp>
        <tr r="P3497" s="1"/>
      </tp>
      <tp>
        <v>29.7914371639616</v>
        <stp/>
        <stp>EM_S_VAL_PCF_NCFTTM</stp>
        <stp>2</stp>
        <stp>300652</stp>
        <stp>12/31/2018</stp>
        <tr r="P2079" s="1"/>
      </tp>
      <tp>
        <v>36.733367223983798</v>
        <stp/>
        <stp>EM_S_VAL_PCF_NCFTTM</stp>
        <stp>2</stp>
        <stp>600602</stp>
        <stp>12/31/2018</stp>
        <tr r="P353" s="1"/>
      </tp>
      <tp>
        <v>151.27104421654099</v>
        <stp/>
        <stp>EM_S_VAL_PCF_NCFTTM</stp>
        <stp>2</stp>
        <stp>000663</stp>
        <stp>12/31/2018</stp>
        <tr r="P3498" s="1"/>
      </tp>
      <tp>
        <v>365.44203515530302</v>
        <stp/>
        <stp>EM_S_VAL_PCF_NCFTTM</stp>
        <stp>2</stp>
        <stp>300653</stp>
        <stp>12/31/2018</stp>
        <tr r="P539" s="1"/>
      </tp>
      <tp>
        <v>4.61799452312931</v>
        <stp/>
        <stp>EM_S_VAL_PCF_NCFTTM</stp>
        <stp>2</stp>
        <stp>600603</stp>
        <stp>12/31/2018</stp>
        <tr r="P1271" s="1"/>
      </tp>
      <tp>
        <v>14.6329110008352</v>
        <stp/>
        <stp>EM_S_VAL_PCF_NCFTTM</stp>
        <stp>2</stp>
        <stp>000668</stp>
        <stp>12/31/2018</stp>
        <tr r="P3500" s="1"/>
      </tp>
      <tp>
        <v>-29.152598093667301</v>
        <stp/>
        <stp>EM_S_VAL_PCF_NCFTTM</stp>
        <stp>2</stp>
        <stp>300658</stp>
        <stp>12/31/2018</stp>
        <tr r="P886" s="1"/>
      </tp>
      <tp>
        <v>-41.301929218763199</v>
        <stp/>
        <stp>EM_S_VAL_PCF_NCFTTM</stp>
        <stp>2</stp>
        <stp>600608</stp>
        <stp>12/31/2018</stp>
        <tr r="P1802" s="1"/>
      </tp>
      <tp>
        <v>-12.6196729321471</v>
        <stp/>
        <stp>EM_S_VAL_PCF_NCFTTM</stp>
        <stp>2</stp>
        <stp>000669</stp>
        <stp>12/31/2018</stp>
        <tr r="P3501" s="1"/>
      </tp>
      <tp>
        <v>45.590172873390898</v>
        <stp/>
        <stp>EM_S_VAL_PCF_NCFTTM</stp>
        <stp>2</stp>
        <stp>300659</stp>
        <stp>12/31/2018</stp>
        <tr r="P39" s="1"/>
      </tp>
      <tp>
        <v>-1.5511035419399</v>
        <stp/>
        <stp>EM_S_VAL_PCF_NCFTTM</stp>
        <stp>2</stp>
        <stp>600609</stp>
        <stp>12/31/2018</stp>
        <tr r="P955" s="1"/>
      </tp>
      <tp>
        <v>32.610820346737803</v>
        <stp/>
        <stp>EM_S_VAL_PCF_NCFTTM</stp>
        <stp>2</stp>
        <stp>300644</stp>
        <stp>12/31/2018</stp>
        <tr r="P2969" s="1"/>
      </tp>
      <tp>
        <v>-12.0794806450815</v>
        <stp/>
        <stp>EM_S_VAL_PCF_NCFTTM</stp>
        <stp>2</stp>
        <stp>600614</stp>
        <stp>12/31/2018</stp>
        <tr r="P3373" s="1"/>
      </tp>
      <tp>
        <v>584.32238800306698</v>
        <stp/>
        <stp>EM_S_VAL_PCF_NCFTTM</stp>
        <stp>2</stp>
        <stp>000675</stp>
        <stp>12/31/2018</stp>
        <tr r="P3504" s="1"/>
      </tp>
      <tp>
        <v>53.968148579843103</v>
        <stp/>
        <stp>EM_S_VAL_PCF_NCFTTM</stp>
        <stp>2</stp>
        <stp>300645</stp>
        <stp>12/31/2018</stp>
        <tr r="P3374" s="1"/>
      </tp>
      <tp>
        <v>-9.3890340468955191</v>
        <stp/>
        <stp>EM_S_VAL_PCF_NCFTTM</stp>
        <stp>2</stp>
        <stp>600615</stp>
        <stp>12/31/2018</stp>
        <tr r="P1631" s="1"/>
      </tp>
      <tp>
        <v>-68.359545851693895</v>
        <stp/>
        <stp>EM_S_VAL_PCF_NCFTTM</stp>
        <stp>2</stp>
        <stp>000676</stp>
        <stp>12/31/2018</stp>
        <tr r="P2517" s="1"/>
      </tp>
      <tp>
        <v>0</v>
        <stp/>
        <stp>EM_S_VAL_PCF_NCFTTM</stp>
        <stp>2</stp>
        <stp>300646</stp>
        <stp>12/31/2018</stp>
        <tr r="P10" s="1"/>
      </tp>
      <tp>
        <v>-22.275334487557501</v>
        <stp/>
        <stp>EM_S_VAL_PCF_NCFTTM</stp>
        <stp>2</stp>
        <stp>600616</stp>
        <stp>12/31/2018</stp>
        <tr r="P2035" s="1"/>
      </tp>
      <tp>
        <v>-54.142642141209897</v>
        <stp/>
        <stp>EM_S_VAL_PCF_NCFTTM</stp>
        <stp>2</stp>
        <stp>000677</stp>
        <stp>12/31/2018</stp>
        <tr r="P699" s="1"/>
      </tp>
      <tp>
        <v>1432.98241224003</v>
        <stp/>
        <stp>EM_S_VAL_PCF_NCFTTM</stp>
        <stp>2</stp>
        <stp>300647</stp>
        <stp>12/31/2018</stp>
        <tr r="P2744" s="1"/>
      </tp>
      <tp>
        <v>6.1823366621436504</v>
        <stp/>
        <stp>EM_S_VAL_PCF_NCFTTM</stp>
        <stp>2</stp>
        <stp>600617</stp>
        <stp>12/31/2018</stp>
        <tr r="P2412" s="1"/>
      </tp>
      <tp>
        <v>184.010462081452</v>
        <stp/>
        <stp>EM_S_VAL_PCF_NCFTTM</stp>
        <stp>2</stp>
        <stp>000670</stp>
        <stp>12/31/2018</stp>
        <tr r="P3502" s="1"/>
      </tp>
      <tp>
        <v>-39.106818816453398</v>
        <stp/>
        <stp>EM_S_VAL_PCF_NCFTTM</stp>
        <stp>2</stp>
        <stp>300640</stp>
        <stp>12/31/2018</stp>
        <tr r="P2861" s="1"/>
      </tp>
      <tp>
        <v>-40.909956004282797</v>
        <stp/>
        <stp>EM_S_VAL_PCF_NCFTTM</stp>
        <stp>2</stp>
        <stp>600610</stp>
        <stp>12/31/2018</stp>
        <tr r="P203" s="1"/>
      </tp>
      <tp>
        <v>5.2364251637600399</v>
        <stp/>
        <stp>EM_S_VAL_PCF_NCFTTM</stp>
        <stp>2</stp>
        <stp>000671</stp>
        <stp>12/31/2018</stp>
        <tr r="P373" s="1"/>
      </tp>
      <tp>
        <v>131.72989196657201</v>
        <stp/>
        <stp>EM_S_VAL_PCF_NCFTTM</stp>
        <stp>2</stp>
        <stp>300641</stp>
        <stp>12/31/2018</stp>
        <tr r="P2353" s="1"/>
      </tp>
      <tp>
        <v>-44.096462129524497</v>
        <stp/>
        <stp>EM_S_VAL_PCF_NCFTTM</stp>
        <stp>2</stp>
        <stp>600611</stp>
        <stp>12/31/2018</stp>
        <tr r="P2175" s="1"/>
      </tp>
      <tp>
        <v>26.752325778600799</v>
        <stp/>
        <stp>EM_S_VAL_PCF_NCFTTM</stp>
        <stp>2</stp>
        <stp>000672</stp>
        <stp>12/31/2018</stp>
        <tr r="P150" s="1"/>
      </tp>
      <tp>
        <v>-10.620280534558299</v>
        <stp/>
        <stp>EM_S_VAL_PCF_NCFTTM</stp>
        <stp>2</stp>
        <stp>300642</stp>
        <stp>12/31/2018</stp>
        <tr r="P1902" s="1"/>
      </tp>
      <tp>
        <v>18.526611874769898</v>
        <stp/>
        <stp>EM_S_VAL_PCF_NCFTTM</stp>
        <stp>2</stp>
        <stp>600612</stp>
        <stp>12/31/2018</stp>
        <tr r="P2043" s="1"/>
      </tp>
      <tp>
        <v>-27.983029481922198</v>
        <stp/>
        <stp>EM_S_VAL_PCF_NCFTTM</stp>
        <stp>2</stp>
        <stp>000673</stp>
        <stp>12/31/2018</stp>
        <tr r="P3503" s="1"/>
      </tp>
      <tp>
        <v>328.52110787562299</v>
        <stp/>
        <stp>EM_S_VAL_PCF_NCFTTM</stp>
        <stp>2</stp>
        <stp>300643</stp>
        <stp>12/31/2018</stp>
        <tr r="P149" s="1"/>
      </tp>
      <tp>
        <v>-19.022736572849201</v>
        <stp/>
        <stp>EM_S_VAL_PCF_NCFTTM</stp>
        <stp>2</stp>
        <stp>600613</stp>
        <stp>12/31/2018</stp>
        <tr r="P768" s="1"/>
      </tp>
      <tp>
        <v>136.679595976754</v>
        <stp/>
        <stp>EM_S_VAL_PCF_NCFTTM</stp>
        <stp>2</stp>
        <stp>000678</stp>
        <stp>12/31/2018</stp>
        <tr r="P3505" s="1"/>
      </tp>
      <tp>
        <v>-105.46261173676</v>
        <stp/>
        <stp>EM_S_VAL_PCF_NCFTTM</stp>
        <stp>2</stp>
        <stp>300648</stp>
        <stp>12/31/2018</stp>
        <tr r="P2494" s="1"/>
      </tp>
      <tp>
        <v>11.0572481800238</v>
        <stp/>
        <stp>EM_S_VAL_PCF_NCFTTM</stp>
        <stp>2</stp>
        <stp>600618</stp>
        <stp>12/31/2018</stp>
        <tr r="P1601" s="1"/>
      </tp>
      <tp>
        <v>-2.3160452806440901</v>
        <stp/>
        <stp>EM_S_VAL_PCF_NCFTTM</stp>
        <stp>2</stp>
        <stp>000679</stp>
        <stp>12/31/2018</stp>
        <tr r="P3506" s="1"/>
      </tp>
      <tp>
        <v>-305.45956754804303</v>
        <stp/>
        <stp>EM_S_VAL_PCF_NCFTTM</stp>
        <stp>2</stp>
        <stp>300649</stp>
        <stp>12/31/2018</stp>
        <tr r="P3039" s="1"/>
      </tp>
      <tp>
        <v>-432.252094391127</v>
        <stp/>
        <stp>EM_S_VAL_PCF_NCFTTM</stp>
        <stp>2</stp>
        <stp>600619</stp>
        <stp>12/31/2018</stp>
        <tr r="P2513" s="1"/>
      </tp>
      <tp>
        <v>10.3368917407151</v>
        <stp/>
        <stp>EM_S_VAL_PCF_NCFTTM</stp>
        <stp>2</stp>
        <stp>300194</stp>
        <stp>12/31/2018</stp>
        <tr r="P334" s="1"/>
      </tp>
      <tp>
        <v>-32.643604044443798</v>
        <stp/>
        <stp>EM_S_VAL_PCF_NCFTTM</stp>
        <stp>2</stp>
        <stp>300195</stp>
        <stp>12/31/2018</stp>
        <tr r="P2722" s="1"/>
      </tp>
      <tp>
        <v>41.897406384005201</v>
        <stp/>
        <stp>EM_S_VAL_PCF_NCFTTM</stp>
        <stp>2</stp>
        <stp>300196</stp>
        <stp>12/31/2018</stp>
        <tr r="P904" s="1"/>
      </tp>
      <tp>
        <v>-6.5084018213281496</v>
        <stp/>
        <stp>EM_S_VAL_PCF_NCFTTM</stp>
        <stp>2</stp>
        <stp>300197</stp>
        <stp>12/31/2018</stp>
        <tr r="P3073" s="1"/>
      </tp>
      <tp>
        <v>-6.3919804075814701</v>
        <stp/>
        <stp>EM_S_VAL_PCF_NCFTTM</stp>
        <stp>2</stp>
        <stp>300190</stp>
        <stp>12/31/2018</stp>
        <tr r="P746" s="1"/>
      </tp>
      <tp>
        <v>98.204241624161199</v>
        <stp/>
        <stp>EM_S_VAL_PCF_NCFTTM</stp>
        <stp>2</stp>
        <stp>300191</stp>
        <stp>12/31/2018</stp>
        <tr r="P602" s="1"/>
      </tp>
      <tp>
        <v>15.119713824963</v>
        <stp/>
        <stp>EM_S_VAL_PCF_NCFTTM</stp>
        <stp>2</stp>
        <stp>300192</stp>
        <stp>12/31/2018</stp>
        <tr r="P413" s="1"/>
      </tp>
      <tp>
        <v>-24.4234007747018</v>
        <stp/>
        <stp>EM_S_VAL_PCF_NCFTTM</stp>
        <stp>2</stp>
        <stp>300193</stp>
        <stp>12/31/2018</stp>
        <tr r="P1114" s="1"/>
      </tp>
      <tp>
        <v>-30.799300195399901</v>
        <stp/>
        <stp>EM_S_VAL_PCF_NCFTTM</stp>
        <stp>2</stp>
        <stp>300198</stp>
        <stp>12/31/2018</stp>
        <tr r="P522" s="1"/>
      </tp>
      <tp>
        <v>17.8020900183284</v>
        <stp/>
        <stp>EM_S_VAL_PCF_NCFTTM</stp>
        <stp>2</stp>
        <stp>300199</stp>
        <stp>12/31/2018</stp>
        <tr r="P3302" s="1"/>
      </tp>
      <tp>
        <v>48.9216671586682</v>
        <stp/>
        <stp>EM_S_VAL_PCF_NCFTTM</stp>
        <stp>2</stp>
        <stp>300184</stp>
        <stp>12/31/2018</stp>
        <tr r="P2506" s="1"/>
      </tp>
      <tp>
        <v>918.64931325937198</v>
        <stp/>
        <stp>EM_S_VAL_PCF_NCFTTM</stp>
        <stp>2</stp>
        <stp>300185</stp>
        <stp>12/31/2018</stp>
        <tr r="P1705" s="1"/>
      </tp>
      <tp>
        <v>-240.20993698081901</v>
        <stp/>
        <stp>EM_S_VAL_PCF_NCFTTM</stp>
        <stp>2</stp>
        <stp>300186</stp>
        <stp>12/31/2018</stp>
        <tr r="P2281" s="1"/>
      </tp>
      <tp>
        <v>-9.5340110135872997</v>
        <stp/>
        <stp>EM_S_VAL_PCF_NCFTTM</stp>
        <stp>2</stp>
        <stp>300187</stp>
        <stp>12/31/2018</stp>
        <tr r="P2789" s="1"/>
      </tp>
      <tp>
        <v>-261.73778881949499</v>
        <stp/>
        <stp>EM_S_VAL_PCF_NCFTTM</stp>
        <stp>2</stp>
        <stp>300180</stp>
        <stp>12/31/2018</stp>
        <tr r="P3053" s="1"/>
      </tp>
      <tp>
        <v>251.77019496913101</v>
        <stp/>
        <stp>EM_S_VAL_PCF_NCFTTM</stp>
        <stp>2</stp>
        <stp>300181</stp>
        <stp>12/31/2018</stp>
        <tr r="P2515" s="1"/>
      </tp>
      <tp>
        <v>56.606869456829102</v>
        <stp/>
        <stp>EM_S_VAL_PCF_NCFTTM</stp>
        <stp>2</stp>
        <stp>300182</stp>
        <stp>12/31/2018</stp>
        <tr r="P3029" s="1"/>
      </tp>
      <tp>
        <v>34.815267984172699</v>
        <stp/>
        <stp>EM_S_VAL_PCF_NCFTTM</stp>
        <stp>2</stp>
        <stp>300183</stp>
        <stp>12/31/2018</stp>
        <tr r="P1047" s="1"/>
      </tp>
      <tp>
        <v>-270.95733558187601</v>
        <stp/>
        <stp>EM_S_VAL_PCF_NCFTTM</stp>
        <stp>2</stp>
        <stp>300188</stp>
        <stp>12/31/2018</stp>
        <tr r="P906" s="1"/>
      </tp>
      <tp>
        <v>-27.8759683853552</v>
        <stp/>
        <stp>EM_S_VAL_PCF_NCFTTM</stp>
        <stp>2</stp>
        <stp>300189</stp>
        <stp>12/31/2018</stp>
        <tr r="P624" s="1"/>
      </tp>
      <tp>
        <v>802.46953108294701</v>
        <stp/>
        <stp>EM_S_VAL_PCF_NCFTTM</stp>
        <stp>2</stp>
        <stp>600184</stp>
        <stp>12/31/2018</stp>
        <tr r="P1421" s="1"/>
      </tp>
      <tp>
        <v>-4.7509766760597296</v>
        <stp/>
        <stp>EM_S_VAL_PCF_NCFTTM</stp>
        <stp>2</stp>
        <stp>600185</stp>
        <stp>12/31/2018</stp>
        <tr r="P1239" s="1"/>
      </tp>
      <tp>
        <v>-52.364110663974103</v>
        <stp/>
        <stp>EM_S_VAL_PCF_NCFTTM</stp>
        <stp>2</stp>
        <stp>600186</stp>
        <stp>12/31/2018</stp>
        <tr r="P709" s="1"/>
      </tp>
      <tp>
        <v>11.304612053178699</v>
        <stp/>
        <stp>EM_S_VAL_PCF_NCFTTM</stp>
        <stp>2</stp>
        <stp>600187</stp>
        <stp>12/31/2018</stp>
        <tr r="P2117" s="1"/>
      </tp>
      <tp>
        <v>26.8930658856913</v>
        <stp/>
        <stp>EM_S_VAL_PCF_NCFTTM</stp>
        <stp>2</stp>
        <stp>600180</stp>
        <stp>12/31/2018</stp>
        <tr r="P2347" s="1"/>
      </tp>
      <tp>
        <v>-33.718671997328201</v>
        <stp/>
        <stp>EM_S_VAL_PCF_NCFTTM</stp>
        <stp>2</stp>
        <stp>600181</stp>
        <stp>12/31/2018</stp>
        <tr r="P2294" s="1"/>
      </tp>
      <tp>
        <v>48.099152659611903</v>
        <stp/>
        <stp>EM_S_VAL_PCF_NCFTTM</stp>
        <stp>2</stp>
        <stp>600182</stp>
        <stp>12/31/2018</stp>
        <tr r="P1800" s="1"/>
      </tp>
      <tp>
        <v>44.788342250396703</v>
        <stp/>
        <stp>EM_S_VAL_PCF_NCFTTM</stp>
        <stp>2</stp>
        <stp>600183</stp>
        <stp>12/31/2018</stp>
        <tr r="P138" s="1"/>
      </tp>
      <tp>
        <v>-29.700273935999899</v>
        <stp/>
        <stp>EM_S_VAL_PCF_NCFTTM</stp>
        <stp>2</stp>
        <stp>600188</stp>
        <stp>12/31/2018</stp>
        <tr r="P1329" s="1"/>
      </tp>
      <tp>
        <v>4.8271596493103797</v>
        <stp/>
        <stp>EM_S_VAL_PCF_NCFTTM</stp>
        <stp>2</stp>
        <stp>600189</stp>
        <stp>12/31/2018</stp>
        <tr r="P2168" s="1"/>
      </tp>
      <tp>
        <v>-12.2403135150533</v>
        <stp/>
        <stp>EM_S_VAL_PCF_NCFTTM</stp>
        <stp>2</stp>
        <stp>600195</stp>
        <stp>12/31/2018</stp>
        <tr r="P1893" s="1"/>
      </tp>
      <tp>
        <v>-9.0973280784718593</v>
        <stp/>
        <stp>EM_S_VAL_PCF_NCFTTM</stp>
        <stp>2</stp>
        <stp>600196</stp>
        <stp>12/31/2018</stp>
        <tr r="P1604" s="1"/>
      </tp>
      <tp>
        <v>46.774535209842199</v>
        <stp/>
        <stp>EM_S_VAL_PCF_NCFTTM</stp>
        <stp>2</stp>
        <stp>600197</stp>
        <stp>12/31/2018</stp>
        <tr r="P1198" s="1"/>
      </tp>
      <tp>
        <v>380.04692804622101</v>
        <stp/>
        <stp>EM_S_VAL_PCF_NCFTTM</stp>
        <stp>2</stp>
        <stp>600190</stp>
        <stp>12/31/2018</stp>
        <tr r="P1541" s="1"/>
      </tp>
      <tp>
        <v>151.762112382504</v>
        <stp/>
        <stp>EM_S_VAL_PCF_NCFTTM</stp>
        <stp>2</stp>
        <stp>600191</stp>
        <stp>12/31/2018</stp>
        <tr r="P885" s="1"/>
      </tp>
      <tp>
        <v>-7.5180694078404899</v>
        <stp/>
        <stp>EM_S_VAL_PCF_NCFTTM</stp>
        <stp>2</stp>
        <stp>600192</stp>
        <stp>12/31/2018</stp>
        <tr r="P1193" s="1"/>
      </tp>
      <tp>
        <v>-22.248139241311801</v>
        <stp/>
        <stp>EM_S_VAL_PCF_NCFTTM</stp>
        <stp>2</stp>
        <stp>600193</stp>
        <stp>12/31/2018</stp>
        <tr r="P1171" s="1"/>
      </tp>
      <tp>
        <v>-10.4500045017466</v>
        <stp/>
        <stp>EM_S_VAL_PCF_NCFTTM</stp>
        <stp>2</stp>
        <stp>600198</stp>
        <stp>12/31/2018</stp>
        <tr r="P416" s="1"/>
      </tp>
      <tp>
        <v>-9.5783868047299805</v>
        <stp/>
        <stp>EM_S_VAL_PCF_NCFTTM</stp>
        <stp>2</stp>
        <stp>600199</stp>
        <stp>12/31/2018</stp>
        <tr r="P781" s="1"/>
      </tp>
      <tp>
        <v>15.0821184149966</v>
        <stp/>
        <stp>EM_S_VAL_PCF_NCFTTM</stp>
        <stp>2</stp>
        <stp>300134</stp>
        <stp>12/31/2018</stp>
        <tr r="P367" s="1"/>
      </tp>
      <tp>
        <v>13.594728944865301</v>
        <stp/>
        <stp>EM_S_VAL_PCF_NCFTTM</stp>
        <stp>2</stp>
        <stp>300135</stp>
        <stp>12/31/2018</stp>
        <tr r="P2372" s="1"/>
      </tp>
      <tp>
        <v>47.451943613250698</v>
        <stp/>
        <stp>EM_S_VAL_PCF_NCFTTM</stp>
        <stp>2</stp>
        <stp>600165</stp>
        <stp>12/31/2018</stp>
        <tr r="P3077" s="1"/>
      </tp>
      <tp>
        <v>193.18268269276601</v>
        <stp/>
        <stp>EM_S_VAL_PCF_NCFTTM</stp>
        <stp>2</stp>
        <stp>300136</stp>
        <stp>12/31/2018</stp>
        <tr r="P145" s="1"/>
      </tp>
      <tp>
        <v>10.406459298504499</v>
        <stp/>
        <stp>EM_S_VAL_PCF_NCFTTM</stp>
        <stp>2</stp>
        <stp>600166</stp>
        <stp>12/31/2018</stp>
        <tr r="P1515" s="1"/>
      </tp>
      <tp>
        <v>89.111293298386002</v>
        <stp/>
        <stp>EM_S_VAL_PCF_NCFTTM</stp>
        <stp>2</stp>
        <stp>300137</stp>
        <stp>12/31/2018</stp>
        <tr r="P2600" s="1"/>
      </tp>
      <tp>
        <v>-38.419079956264099</v>
        <stp/>
        <stp>EM_S_VAL_PCF_NCFTTM</stp>
        <stp>2</stp>
        <stp>600167</stp>
        <stp>12/31/2018</stp>
        <tr r="P683" s="1"/>
      </tp>
      <tp>
        <v>-8.1385646054946008</v>
        <stp/>
        <stp>EM_S_VAL_PCF_NCFTTM</stp>
        <stp>2</stp>
        <stp>000100</stp>
        <stp>12/31/2018</stp>
        <tr r="P212" s="1"/>
      </tp>
      <tp>
        <v>103.45850210246</v>
        <stp/>
        <stp>EM_S_VAL_PCF_NCFTTM</stp>
        <stp>2</stp>
        <stp>300130</stp>
        <stp>12/31/2018</stp>
        <tr r="P478" s="1"/>
      </tp>
      <tp>
        <v>15.6175918271543</v>
        <stp/>
        <stp>EM_S_VAL_PCF_NCFTTM</stp>
        <stp>2</stp>
        <stp>600160</stp>
        <stp>12/31/2018</stp>
        <tr r="P1738" s="1"/>
      </tp>
      <tp>
        <v>86.601703129936695</v>
        <stp/>
        <stp>EM_S_VAL_PCF_NCFTTM</stp>
        <stp>2</stp>
        <stp>300131</stp>
        <stp>12/31/2018</stp>
        <tr r="P1274" s="1"/>
      </tp>
      <tp>
        <v>-25.8379940377183</v>
        <stp/>
        <stp>EM_S_VAL_PCF_NCFTTM</stp>
        <stp>2</stp>
        <stp>600161</stp>
        <stp>12/31/2018</stp>
        <tr r="P1011" s="1"/>
      </tp>
      <tp>
        <v>13.283656861038001</v>
        <stp/>
        <stp>EM_S_VAL_PCF_NCFTTM</stp>
        <stp>2</stp>
        <stp>300132</stp>
        <stp>12/31/2018</stp>
        <tr r="P2143" s="1"/>
      </tp>
      <tp>
        <v>-3.2270756817303998</v>
        <stp/>
        <stp>EM_S_VAL_PCF_NCFTTM</stp>
        <stp>2</stp>
        <stp>600162</stp>
        <stp>12/31/2018</stp>
        <tr r="P2078" s="1"/>
      </tp>
      <tp>
        <v>38.161660759915002</v>
        <stp/>
        <stp>EM_S_VAL_PCF_NCFTTM</stp>
        <stp>2</stp>
        <stp>300133</stp>
        <stp>12/31/2018</stp>
        <tr r="P3041" s="1"/>
      </tp>
      <tp>
        <v>126.9268814899</v>
        <stp/>
        <stp>EM_S_VAL_PCF_NCFTTM</stp>
        <stp>2</stp>
        <stp>600163</stp>
        <stp>12/31/2018</stp>
        <tr r="P1968" s="1"/>
      </tp>
      <tp>
        <v>20.377986163973102</v>
        <stp/>
        <stp>EM_S_VAL_PCF_NCFTTM</stp>
        <stp>2</stp>
        <stp>300138</stp>
        <stp>12/31/2018</stp>
        <tr r="P941" s="1"/>
      </tp>
      <tp>
        <v>6.7591724342225401</v>
        <stp/>
        <stp>EM_S_VAL_PCF_NCFTTM</stp>
        <stp>2</stp>
        <stp>600168</stp>
        <stp>12/31/2018</stp>
        <tr r="P1443" s="1"/>
      </tp>
      <tp>
        <v>-8.9087499007644197</v>
        <stp/>
        <stp>EM_S_VAL_PCF_NCFTTM</stp>
        <stp>2</stp>
        <stp>300139</stp>
        <stp>12/31/2018</stp>
        <tr r="P1318" s="1"/>
      </tp>
      <tp>
        <v>26.483446216733501</v>
        <stp/>
        <stp>EM_S_VAL_PCF_NCFTTM</stp>
        <stp>2</stp>
        <stp>600169</stp>
        <stp>12/31/2018</stp>
        <tr r="P2058" s="1"/>
      </tp>
      <tp>
        <v>77.103890673251897</v>
        <stp/>
        <stp>EM_S_VAL_PCF_NCFTTM</stp>
        <stp>2</stp>
        <stp>300124</stp>
        <stp>12/31/2018</stp>
        <tr r="P514" s="1"/>
      </tp>
      <tp>
        <v>-15.7594974888757</v>
        <stp/>
        <stp>EM_S_VAL_PCF_NCFTTM</stp>
        <stp>2</stp>
        <stp>300125</stp>
        <stp>12/31/2018</stp>
        <tr r="P841" s="1"/>
      </tp>
      <tp>
        <v>-4.6150099822768098</v>
        <stp/>
        <stp>EM_S_VAL_PCF_NCFTTM</stp>
        <stp>2</stp>
        <stp>600175</stp>
        <stp>12/31/2018</stp>
        <tr r="P2982" s="1"/>
      </tp>
      <tp>
        <v>-17.835578811646499</v>
        <stp/>
        <stp>EM_S_VAL_PCF_NCFTTM</stp>
        <stp>2</stp>
        <stp>300126</stp>
        <stp>12/31/2018</stp>
        <tr r="P1497" s="1"/>
      </tp>
      <tp>
        <v>285.39007348502298</v>
        <stp/>
        <stp>EM_S_VAL_PCF_NCFTTM</stp>
        <stp>2</stp>
        <stp>600176</stp>
        <stp>12/31/2018</stp>
        <tr r="P1596" s="1"/>
      </tp>
      <tp>
        <v>13.733182405801699</v>
        <stp/>
        <stp>EM_S_VAL_PCF_NCFTTM</stp>
        <stp>2</stp>
        <stp>300127</stp>
        <stp>12/31/2018</stp>
        <tr r="P251" s="1"/>
      </tp>
      <tp>
        <v>6.0076976580217796</v>
        <stp/>
        <stp>EM_S_VAL_PCF_NCFTTM</stp>
        <stp>2</stp>
        <stp>600177</stp>
        <stp>12/31/2018</stp>
        <tr r="P2487" s="1"/>
      </tp>
      <tp>
        <v>22.585741122413001</v>
        <stp/>
        <stp>EM_S_VAL_PCF_NCFTTM</stp>
        <stp>2</stp>
        <stp>300120</stp>
        <stp>12/31/2018</stp>
        <tr r="P2024" s="1"/>
      </tp>
      <tp>
        <v>-12.1905939995835</v>
        <stp/>
        <stp>EM_S_VAL_PCF_NCFTTM</stp>
        <stp>2</stp>
        <stp>600170</stp>
        <stp>12/31/2018</stp>
        <tr r="P1414" s="1"/>
      </tp>
      <tp>
        <v>7.7309314935456799</v>
        <stp/>
        <stp>EM_S_VAL_PCF_NCFTTM</stp>
        <stp>2</stp>
        <stp>300121</stp>
        <stp>12/31/2018</stp>
        <tr r="P3007" s="1"/>
      </tp>
      <tp>
        <v>362.422029852001</v>
        <stp/>
        <stp>EM_S_VAL_PCF_NCFTTM</stp>
        <stp>2</stp>
        <stp>600171</stp>
        <stp>12/31/2018</stp>
        <tr r="P298" s="1"/>
      </tp>
      <tp>
        <v>-1040.65904771029</v>
        <stp/>
        <stp>EM_S_VAL_PCF_NCFTTM</stp>
        <stp>2</stp>
        <stp>300122</stp>
        <stp>12/31/2018</stp>
        <tr r="P1101" s="1"/>
      </tp>
      <tp>
        <v>16.0645445492387</v>
        <stp/>
        <stp>EM_S_VAL_PCF_NCFTTM</stp>
        <stp>2</stp>
        <stp>600172</stp>
        <stp>12/31/2018</stp>
        <tr r="P2575" s="1"/>
      </tp>
      <tp>
        <v>30.692986404840301</v>
        <stp/>
        <stp>EM_S_VAL_PCF_NCFTTM</stp>
        <stp>2</stp>
        <stp>300123</stp>
        <stp>12/31/2018</stp>
        <tr r="P2994" s="1"/>
      </tp>
      <tp>
        <v>-2616.61626376203</v>
        <stp/>
        <stp>EM_S_VAL_PCF_NCFTTM</stp>
        <stp>2</stp>
        <stp>600173</stp>
        <stp>12/31/2018</stp>
        <tr r="P786" s="1"/>
      </tp>
      <tp>
        <v>-63.798144430352203</v>
        <stp/>
        <stp>EM_S_VAL_PCF_NCFTTM</stp>
        <stp>2</stp>
        <stp>300128</stp>
        <stp>12/31/2018</stp>
        <tr r="P1612" s="1"/>
      </tp>
      <tp>
        <v>-26.106388117295801</v>
        <stp/>
        <stp>EM_S_VAL_PCF_NCFTTM</stp>
        <stp>2</stp>
        <stp>600178</stp>
        <stp>12/31/2018</stp>
        <tr r="P1550" s="1"/>
      </tp>
      <tp>
        <v>13.8413071614586</v>
        <stp/>
        <stp>EM_S_VAL_PCF_NCFTTM</stp>
        <stp>2</stp>
        <stp>300129</stp>
        <stp>12/31/2018</stp>
        <tr r="P310" s="1"/>
      </tp>
      <tp>
        <v>281.56475877776103</v>
        <stp/>
        <stp>EM_S_VAL_PCF_NCFTTM</stp>
        <stp>2</stp>
        <stp>600179</stp>
        <stp>12/31/2018</stp>
        <tr r="P3223" s="1"/>
      </tp>
      <tp>
        <v>-30.902800157098699</v>
        <stp/>
        <stp>EM_S_VAL_PCF_NCFTTM</stp>
        <stp>2</stp>
        <stp>300114</stp>
        <stp>12/31/2018</stp>
        <tr r="P433" s="1"/>
      </tp>
      <tp>
        <v>-56.772519746638302</v>
        <stp/>
        <stp>EM_S_VAL_PCF_NCFTTM</stp>
        <stp>2</stp>
        <stp>300115</stp>
        <stp>12/31/2018</stp>
        <tr r="P125" s="1"/>
      </tp>
      <tp>
        <v>129.930681782698</v>
        <stp/>
        <stp>EM_S_VAL_PCF_NCFTTM</stp>
        <stp>2</stp>
        <stp>600145</stp>
        <stp>12/31/2018</stp>
        <tr r="P2293" s="1"/>
      </tp>
      <tp>
        <v>-10.2152127523368</v>
        <stp/>
        <stp>EM_S_VAL_PCF_NCFTTM</stp>
        <stp>2</stp>
        <stp>300116</stp>
        <stp>12/31/2018</stp>
        <tr r="P911" s="1"/>
      </tp>
      <tp>
        <v>-138.63040900123801</v>
        <stp/>
        <stp>EM_S_VAL_PCF_NCFTTM</stp>
        <stp>2</stp>
        <stp>600146</stp>
        <stp>12/31/2018</stp>
        <tr r="P192" s="1"/>
      </tp>
      <tp>
        <v>12.975315626140199</v>
        <stp/>
        <stp>EM_S_VAL_PCF_NCFTTM</stp>
        <stp>2</stp>
        <stp>300117</stp>
        <stp>12/31/2018</stp>
        <tr r="P2769" s="1"/>
      </tp>
      <tp>
        <v>7.8171984535379204</v>
        <stp/>
        <stp>EM_S_VAL_PCF_NCFTTM</stp>
        <stp>2</stp>
        <stp>300110</stp>
        <stp>12/31/2018</stp>
        <tr r="P956" s="1"/>
      </tp>
      <tp>
        <v>-48.674298403513198</v>
        <stp/>
        <stp>EM_S_VAL_PCF_NCFTTM</stp>
        <stp>2</stp>
        <stp>300111</stp>
        <stp>12/31/2018</stp>
        <tr r="P1403" s="1"/>
      </tp>
      <tp>
        <v>15.3398335512977</v>
        <stp/>
        <stp>EM_S_VAL_PCF_NCFTTM</stp>
        <stp>2</stp>
        <stp>600141</stp>
        <stp>12/31/2018</stp>
        <tr r="P2269" s="1"/>
      </tp>
      <tp>
        <v>19.868764161723199</v>
        <stp/>
        <stp>EM_S_VAL_PCF_NCFTTM</stp>
        <stp>2</stp>
        <stp>300112</stp>
        <stp>12/31/2018</stp>
        <tr r="P580" s="1"/>
      </tp>
      <tp>
        <v>20.265514868649198</v>
        <stp/>
        <stp>EM_S_VAL_PCF_NCFTTM</stp>
        <stp>2</stp>
        <stp>300113</stp>
        <stp>12/31/2018</stp>
        <tr r="P165" s="1"/>
      </tp>
      <tp>
        <v>17.2466408103462</v>
        <stp/>
        <stp>EM_S_VAL_PCF_NCFTTM</stp>
        <stp>2</stp>
        <stp>600143</stp>
        <stp>12/31/2018</stp>
        <tr r="P610" s="1"/>
      </tp>
      <tp>
        <v>-5.8424300438246002</v>
        <stp/>
        <stp>EM_S_VAL_PCF_NCFTTM</stp>
        <stp>2</stp>
        <stp>300118</stp>
        <stp>12/31/2018</stp>
        <tr r="P91" s="1"/>
      </tp>
      <tp>
        <v>75.715748800718103</v>
        <stp/>
        <stp>EM_S_VAL_PCF_NCFTTM</stp>
        <stp>2</stp>
        <stp>600148</stp>
        <stp>12/31/2018</stp>
        <tr r="P2591" s="1"/>
      </tp>
      <tp>
        <v>-53.945603418669499</v>
        <stp/>
        <stp>EM_S_VAL_PCF_NCFTTM</stp>
        <stp>2</stp>
        <stp>300119</stp>
        <stp>12/31/2018</stp>
        <tr r="P217" s="1"/>
      </tp>
      <tp>
        <v>13.8836755673815</v>
        <stp/>
        <stp>EM_S_VAL_PCF_NCFTTM</stp>
        <stp>2</stp>
        <stp>600149</stp>
        <stp>12/31/2018</stp>
        <tr r="P1642" s="1"/>
      </tp>
      <tp>
        <v>-18.550109205033198</v>
        <stp/>
        <stp>EM_S_VAL_PCF_NCFTTM</stp>
        <stp>2</stp>
        <stp>300104</stp>
        <stp>12/31/2018</stp>
        <tr r="P3241" s="1"/>
      </tp>
      <tp>
        <v>3.5335635154348601</v>
        <stp/>
        <stp>EM_S_VAL_PCF_NCFTTM</stp>
        <stp>2</stp>
        <stp>300105</stp>
        <stp>12/31/2018</stp>
        <tr r="P1424" s="1"/>
      </tp>
      <tp>
        <v>-13.939554079593799</v>
        <stp/>
        <stp>EM_S_VAL_PCF_NCFTTM</stp>
        <stp>2</stp>
        <stp>600155</stp>
        <stp>12/31/2018</stp>
        <tr r="P234" s="1"/>
      </tp>
      <tp>
        <v>-18.995823688764499</v>
        <stp/>
        <stp>EM_S_VAL_PCF_NCFTTM</stp>
        <stp>2</stp>
        <stp>300106</stp>
        <stp>12/31/2018</stp>
        <tr r="P1125" s="1"/>
      </tp>
      <tp>
        <v>15.8207508938871</v>
        <stp/>
        <stp>EM_S_VAL_PCF_NCFTTM</stp>
        <stp>2</stp>
        <stp>600156</stp>
        <stp>12/31/2018</stp>
        <tr r="P1708" s="1"/>
      </tp>
      <tp>
        <v>21.0303317418939</v>
        <stp/>
        <stp>EM_S_VAL_PCF_NCFTTM</stp>
        <stp>2</stp>
        <stp>300107</stp>
        <stp>12/31/2018</stp>
        <tr r="P3155" s="1"/>
      </tp>
      <tp>
        <v>-4.6168613778183101</v>
        <stp/>
        <stp>EM_S_VAL_PCF_NCFTTM</stp>
        <stp>2</stp>
        <stp>600157</stp>
        <stp>12/31/2018</stp>
        <tr r="P1912" s="1"/>
      </tp>
      <tp>
        <v>23.905497861337</v>
        <stp/>
        <stp>EM_S_VAL_PCF_NCFTTM</stp>
        <stp>2</stp>
        <stp>300100</stp>
        <stp>12/31/2018</stp>
        <tr r="P3326" s="1"/>
      </tp>
      <tp>
        <v>-9.4876141722778407</v>
        <stp/>
        <stp>EM_S_VAL_PCF_NCFTTM</stp>
        <stp>2</stp>
        <stp>600150</stp>
        <stp>12/31/2018</stp>
        <tr r="P395" s="1"/>
      </tp>
      <tp>
        <v>22.743496374046199</v>
        <stp/>
        <stp>EM_S_VAL_PCF_NCFTTM</stp>
        <stp>2</stp>
        <stp>300101</stp>
        <stp>12/31/2018</stp>
        <tr r="P2605" s="1"/>
      </tp>
      <tp>
        <v>-16.982020483484099</v>
        <stp/>
        <stp>EM_S_VAL_PCF_NCFTTM</stp>
        <stp>2</stp>
        <stp>600151</stp>
        <stp>12/31/2018</stp>
        <tr r="P1268" s="1"/>
      </tp>
      <tp>
        <v>13.731944216019601</v>
        <stp/>
        <stp>EM_S_VAL_PCF_NCFTTM</stp>
        <stp>2</stp>
        <stp>300102</stp>
        <stp>12/31/2018</stp>
        <tr r="P3006" s="1"/>
      </tp>
      <tp>
        <v>-7.6996749543870404</v>
        <stp/>
        <stp>EM_S_VAL_PCF_NCFTTM</stp>
        <stp>2</stp>
        <stp>600152</stp>
        <stp>12/31/2018</stp>
        <tr r="P1376" s="1"/>
      </tp>
      <tp>
        <v>20.872851176658799</v>
        <stp/>
        <stp>EM_S_VAL_PCF_NCFTTM</stp>
        <stp>2</stp>
        <stp>300103</stp>
        <stp>12/31/2018</stp>
        <tr r="P1115" s="1"/>
      </tp>
      <tp>
        <v>2.26894625079301</v>
        <stp/>
        <stp>EM_S_VAL_PCF_NCFTTM</stp>
        <stp>2</stp>
        <stp>600153</stp>
        <stp>12/31/2018</stp>
        <tr r="P1100" s="1"/>
      </tp>
      <tp>
        <v>88.742173628721702</v>
        <stp/>
        <stp>EM_S_VAL_PCF_NCFTTM</stp>
        <stp>2</stp>
        <stp>300108</stp>
        <stp>12/31/2018</stp>
        <tr r="P3150" s="1"/>
      </tp>
      <tp>
        <v>31.6069119680669</v>
        <stp/>
        <stp>EM_S_VAL_PCF_NCFTTM</stp>
        <stp>2</stp>
        <stp>600158</stp>
        <stp>12/31/2018</stp>
        <tr r="P1644" s="1"/>
      </tp>
      <tp>
        <v>-16.266504821904999</v>
        <stp/>
        <stp>EM_S_VAL_PCF_NCFTTM</stp>
        <stp>2</stp>
        <stp>300109</stp>
        <stp>12/31/2018</stp>
        <tr r="P1364" s="1"/>
      </tp>
      <tp>
        <v>-90.207855181682206</v>
        <stp/>
        <stp>EM_S_VAL_PCF_NCFTTM</stp>
        <stp>2</stp>
        <stp>600159</stp>
        <stp>12/31/2018</stp>
        <tr r="P1961" s="1"/>
      </tp>
      <tp>
        <v>23.184472999451899</v>
        <stp/>
        <stp>EM_S_VAL_PCF_NCFTTM</stp>
        <stp>2</stp>
        <stp>300174</stp>
        <stp>12/31/2018</stp>
        <tr r="P701" s="1"/>
      </tp>
      <tp>
        <v>24.639498919652802</v>
        <stp/>
        <stp>EM_S_VAL_PCF_NCFTTM</stp>
        <stp>2</stp>
        <stp>300175</stp>
        <stp>12/31/2018</stp>
        <tr r="P630" s="1"/>
      </tp>
      <tp>
        <v>11.6977341052676</v>
        <stp/>
        <stp>EM_S_VAL_PCF_NCFTTM</stp>
        <stp>2</stp>
        <stp>600125</stp>
        <stp>12/31/2018</stp>
        <tr r="P2904" s="1"/>
      </tp>
      <tp>
        <v>-82.421343168639794</v>
        <stp/>
        <stp>EM_S_VAL_PCF_NCFTTM</stp>
        <stp>2</stp>
        <stp>300176</stp>
        <stp>12/31/2018</stp>
        <tr r="P3402" s="1"/>
      </tp>
      <tp>
        <v>3.88455300517324</v>
        <stp/>
        <stp>EM_S_VAL_PCF_NCFTTM</stp>
        <stp>2</stp>
        <stp>600126</stp>
        <stp>12/31/2018</stp>
        <tr r="P1866" s="1"/>
      </tp>
      <tp>
        <v>408.98018248958499</v>
        <stp/>
        <stp>EM_S_VAL_PCF_NCFTTM</stp>
        <stp>2</stp>
        <stp>300177</stp>
        <stp>12/31/2018</stp>
        <tr r="P2865" s="1"/>
      </tp>
      <tp>
        <v>93.853896575813394</v>
        <stp/>
        <stp>EM_S_VAL_PCF_NCFTTM</stp>
        <stp>2</stp>
        <stp>600127</stp>
        <stp>12/31/2018</stp>
        <tr r="P762" s="1"/>
      </tp>
      <tp>
        <v>-762.74515232327497</v>
        <stp/>
        <stp>EM_S_VAL_PCF_NCFTTM</stp>
        <stp>2</stp>
        <stp>300170</stp>
        <stp>12/31/2018</stp>
        <tr r="P2376" s="1"/>
      </tp>
      <tp>
        <v>8.9509596038550008</v>
        <stp/>
        <stp>EM_S_VAL_PCF_NCFTTM</stp>
        <stp>2</stp>
        <stp>600120</stp>
        <stp>12/31/2018</stp>
        <tr r="P3210" s="1"/>
      </tp>
      <tp>
        <v>-62.189527863637402</v>
        <stp/>
        <stp>EM_S_VAL_PCF_NCFTTM</stp>
        <stp>2</stp>
        <stp>300171</stp>
        <stp>12/31/2018</stp>
        <tr r="P2262" s="1"/>
      </tp>
      <tp>
        <v>-12.4400692479258</v>
        <stp/>
        <stp>EM_S_VAL_PCF_NCFTTM</stp>
        <stp>2</stp>
        <stp>600121</stp>
        <stp>12/31/2018</stp>
        <tr r="P3036" s="1"/>
      </tp>
      <tp>
        <v>56.087889070571698</v>
        <stp/>
        <stp>EM_S_VAL_PCF_NCFTTM</stp>
        <stp>2</stp>
        <stp>300172</stp>
        <stp>12/31/2018</stp>
        <tr r="P2415" s="1"/>
      </tp>
      <tp>
        <v>-0.61093581290995502</v>
        <stp/>
        <stp>EM_S_VAL_PCF_NCFTTM</stp>
        <stp>2</stp>
        <stp>600122</stp>
        <stp>12/31/2018</stp>
        <tr r="P3190" s="1"/>
      </tp>
      <tp>
        <v>-10.510750163152</v>
        <stp/>
        <stp>EM_S_VAL_PCF_NCFTTM</stp>
        <stp>2</stp>
        <stp>300173</stp>
        <stp>12/31/2018</stp>
        <tr r="P450" s="1"/>
      </tp>
      <tp>
        <v>-3.2207713213079998</v>
        <stp/>
        <stp>EM_S_VAL_PCF_NCFTTM</stp>
        <stp>2</stp>
        <stp>600123</stp>
        <stp>12/31/2018</stp>
        <tr r="P2399" s="1"/>
      </tp>
      <tp>
        <v>-6.1144967082383896</v>
        <stp/>
        <stp>EM_S_VAL_PCF_NCFTTM</stp>
        <stp>2</stp>
        <stp>300178</stp>
        <stp>12/31/2018</stp>
        <tr r="P3346" s="1"/>
      </tp>
      <tp>
        <v>34.908602667382901</v>
        <stp/>
        <stp>EM_S_VAL_PCF_NCFTTM</stp>
        <stp>2</stp>
        <stp>600128</stp>
        <stp>12/31/2018</stp>
        <tr r="P2583" s="1"/>
      </tp>
      <tp>
        <v>11.292775231094801</v>
        <stp/>
        <stp>EM_S_VAL_PCF_NCFTTM</stp>
        <stp>2</stp>
        <stp>300179</stp>
        <stp>12/31/2018</stp>
        <tr r="P596" s="1"/>
      </tp>
      <tp>
        <v>14.4803333151903</v>
        <stp/>
        <stp>EM_S_VAL_PCF_NCFTTM</stp>
        <stp>2</stp>
        <stp>600129</stp>
        <stp>12/31/2018</stp>
        <tr r="P892" s="1"/>
      </tp>
      <tp>
        <v>274.407075384579</v>
        <stp/>
        <stp>EM_S_VAL_PCF_NCFTTM</stp>
        <stp>2</stp>
        <stp>300164</stp>
        <stp>12/31/2018</stp>
        <tr r="P2988" s="1"/>
      </tp>
      <tp>
        <v>-16.366014088336701</v>
        <stp/>
        <stp>EM_S_VAL_PCF_NCFTTM</stp>
        <stp>2</stp>
        <stp>000155</stp>
        <stp>12/31/2018</stp>
        <tr r="P1263" s="1"/>
      </tp>
      <tp>
        <v>-7.0475508028094502</v>
        <stp/>
        <stp>EM_S_VAL_PCF_NCFTTM</stp>
        <stp>2</stp>
        <stp>300165</stp>
        <stp>12/31/2018</stp>
        <tr r="P1207" s="1"/>
      </tp>
      <tp>
        <v>5.9745672825925498</v>
        <stp/>
        <stp>EM_S_VAL_PCF_NCFTTM</stp>
        <stp>2</stp>
        <stp>600135</stp>
        <stp>12/31/2018</stp>
        <tr r="P1020" s="1"/>
      </tp>
      <tp>
        <v>57.384556500059603</v>
        <stp/>
        <stp>EM_S_VAL_PCF_NCFTTM</stp>
        <stp>2</stp>
        <stp>000156</stp>
        <stp>12/31/2018</stp>
        <tr r="P834" s="1"/>
      </tp>
      <tp>
        <v>-71.477588292265196</v>
        <stp/>
        <stp>EM_S_VAL_PCF_NCFTTM</stp>
        <stp>2</stp>
        <stp>300166</stp>
        <stp>12/31/2018</stp>
        <tr r="P1061" s="1"/>
      </tp>
      <tp>
        <v>11.8466972160331</v>
        <stp/>
        <stp>EM_S_VAL_PCF_NCFTTM</stp>
        <stp>2</stp>
        <stp>600136</stp>
        <stp>12/31/2018</stp>
        <tr r="P571" s="1"/>
      </tp>
      <tp>
        <v>-8.7861761009619102</v>
        <stp/>
        <stp>EM_S_VAL_PCF_NCFTTM</stp>
        <stp>2</stp>
        <stp>000157</stp>
        <stp>12/31/2018</stp>
        <tr r="P223" s="1"/>
      </tp>
      <tp>
        <v>-9.5141571773081495</v>
        <stp/>
        <stp>EM_S_VAL_PCF_NCFTTM</stp>
        <stp>2</stp>
        <stp>300167</stp>
        <stp>12/31/2018</stp>
        <tr r="P2101" s="1"/>
      </tp>
      <tp>
        <v>-4.3011892622536401</v>
        <stp/>
        <stp>EM_S_VAL_PCF_NCFTTM</stp>
        <stp>2</stp>
        <stp>600137</stp>
        <stp>12/31/2018</stp>
        <tr r="P896" s="1"/>
      </tp>
      <tp>
        <v>-50.544750991284197</v>
        <stp/>
        <stp>EM_S_VAL_PCF_NCFTTM</stp>
        <stp>2</stp>
        <stp>000150</stp>
        <stp>12/31/2018</stp>
        <tr r="P3399" s="1"/>
      </tp>
      <tp>
        <v>-51.747146552954803</v>
        <stp/>
        <stp>EM_S_VAL_PCF_NCFTTM</stp>
        <stp>2</stp>
        <stp>300160</stp>
        <stp>12/31/2018</stp>
        <tr r="P1712" s="1"/>
      </tp>
      <tp>
        <v>-15.2113808984782</v>
        <stp/>
        <stp>EM_S_VAL_PCF_NCFTTM</stp>
        <stp>2</stp>
        <stp>600130</stp>
        <stp>12/31/2018</stp>
        <tr r="P2075" s="1"/>
      </tp>
      <tp>
        <v>-7.7576799095597799</v>
        <stp/>
        <stp>EM_S_VAL_PCF_NCFTTM</stp>
        <stp>2</stp>
        <stp>000151</stp>
        <stp>12/31/2018</stp>
        <tr r="P2041" s="1"/>
      </tp>
      <tp>
        <v>-40.392759196199997</v>
        <stp/>
        <stp>EM_S_VAL_PCF_NCFTTM</stp>
        <stp>2</stp>
        <stp>300161</stp>
        <stp>12/31/2018</stp>
        <tr r="P705" s="1"/>
      </tp>
      <tp>
        <v>209.437424612451</v>
        <stp/>
        <stp>EM_S_VAL_PCF_NCFTTM</stp>
        <stp>2</stp>
        <stp>600131</stp>
        <stp>12/31/2018</stp>
        <tr r="P38" s="1"/>
      </tp>
      <tp>
        <v>23.583734319674701</v>
        <stp/>
        <stp>EM_S_VAL_PCF_NCFTTM</stp>
        <stp>2</stp>
        <stp>300162</stp>
        <stp>12/31/2018</stp>
        <tr r="P194" s="1"/>
      </tp>
      <tp>
        <v>46.7279413365221</v>
        <stp/>
        <stp>EM_S_VAL_PCF_NCFTTM</stp>
        <stp>2</stp>
        <stp>600132</stp>
        <stp>12/31/2018</stp>
        <tr r="P313" s="1"/>
      </tp>
      <tp>
        <v>19.802088341195802</v>
        <stp/>
        <stp>EM_S_VAL_PCF_NCFTTM</stp>
        <stp>2</stp>
        <stp>000153</stp>
        <stp>12/31/2018</stp>
        <tr r="P917" s="1"/>
      </tp>
      <tp>
        <v>-55.162811953292604</v>
        <stp/>
        <stp>EM_S_VAL_PCF_NCFTTM</stp>
        <stp>2</stp>
        <stp>300163</stp>
        <stp>12/31/2018</stp>
        <tr r="P1700" s="1"/>
      </tp>
      <tp>
        <v>-28.845370925375502</v>
        <stp/>
        <stp>EM_S_VAL_PCF_NCFTTM</stp>
        <stp>2</stp>
        <stp>600133</stp>
        <stp>12/31/2018</stp>
        <tr r="P2928" s="1"/>
      </tp>
      <tp>
        <v>-42.5897555813129</v>
        <stp/>
        <stp>EM_S_VAL_PCF_NCFTTM</stp>
        <stp>2</stp>
        <stp>000158</stp>
        <stp>12/31/2018</stp>
        <tr r="P3412" s="1"/>
      </tp>
      <tp>
        <v>62.581720166327202</v>
        <stp/>
        <stp>EM_S_VAL_PCF_NCFTTM</stp>
        <stp>2</stp>
        <stp>300168</stp>
        <stp>12/31/2018</stp>
        <tr r="P960" s="1"/>
      </tp>
      <tp>
        <v>-32.147255225898398</v>
        <stp/>
        <stp>EM_S_VAL_PCF_NCFTTM</stp>
        <stp>2</stp>
        <stp>600138</stp>
        <stp>12/31/2018</stp>
        <tr r="P2400" s="1"/>
      </tp>
      <tp>
        <v>-21.3081569444034</v>
        <stp/>
        <stp>EM_S_VAL_PCF_NCFTTM</stp>
        <stp>2</stp>
        <stp>000159</stp>
        <stp>12/31/2018</stp>
        <tr r="P847" s="1"/>
      </tp>
      <tp>
        <v>56.185811148173201</v>
        <stp/>
        <stp>EM_S_VAL_PCF_NCFTTM</stp>
        <stp>2</stp>
        <stp>300169</stp>
        <stp>12/31/2018</stp>
        <tr r="P1392" s="1"/>
      </tp>
      <tp>
        <v>-23.840609509700698</v>
        <stp/>
        <stp>EM_S_VAL_PCF_NCFTTM</stp>
        <stp>2</stp>
        <stp>600139</stp>
        <stp>12/31/2018</stp>
        <tr r="P1360" s="1"/>
      </tp>
      <tp>
        <v>-4.0937663554128001</v>
        <stp/>
        <stp>EM_S_VAL_PCF_NCFTTM</stp>
        <stp>2</stp>
        <stp>300154</stp>
        <stp>12/31/2018</stp>
        <tr r="P1433" s="1"/>
      </tp>
      <tp>
        <v>-28.4483766861246</v>
        <stp/>
        <stp>EM_S_VAL_PCF_NCFTTM</stp>
        <stp>2</stp>
        <stp>600104</stp>
        <stp>12/31/2018</stp>
        <tr r="P2780" s="1"/>
      </tp>
      <tp>
        <v>1974.97354913912</v>
        <stp/>
        <stp>EM_S_VAL_PCF_NCFTTM</stp>
        <stp>2</stp>
        <stp>300155</stp>
        <stp>12/31/2018</stp>
        <tr r="P1092" s="1"/>
      </tp>
      <tp>
        <v>152.21619207855699</v>
        <stp/>
        <stp>EM_S_VAL_PCF_NCFTTM</stp>
        <stp>2</stp>
        <stp>600105</stp>
        <stp>12/31/2018</stp>
        <tr r="P1397" s="1"/>
      </tp>
      <tp>
        <v>-7.7384881943171004</v>
        <stp/>
        <stp>EM_S_VAL_PCF_NCFTTM</stp>
        <stp>2</stp>
        <stp>000166</stp>
        <stp>12/31/2018</stp>
        <tr r="P3413" s="1"/>
      </tp>
      <tp>
        <v>-14.5945663168999</v>
        <stp/>
        <stp>EM_S_VAL_PCF_NCFTTM</stp>
        <stp>2</stp>
        <stp>300156</stp>
        <stp>12/31/2018</stp>
        <tr r="P3381" s="1"/>
      </tp>
      <tp>
        <v>-12.3934456256285</v>
        <stp/>
        <stp>EM_S_VAL_PCF_NCFTTM</stp>
        <stp>2</stp>
        <stp>600106</stp>
        <stp>12/31/2018</stp>
        <tr r="P2193" s="1"/>
      </tp>
      <tp>
        <v>-12.357852559678999</v>
        <stp/>
        <stp>EM_S_VAL_PCF_NCFTTM</stp>
        <stp>2</stp>
        <stp>300157</stp>
        <stp>12/31/2018</stp>
        <tr r="P2441" s="1"/>
      </tp>
      <tp>
        <v>-92.0421289341717</v>
        <stp/>
        <stp>EM_S_VAL_PCF_NCFTTM</stp>
        <stp>2</stp>
        <stp>600107</stp>
        <stp>12/31/2018</stp>
        <tr r="P1238" s="1"/>
      </tp>
      <tp>
        <v>-341.31713671609498</v>
        <stp/>
        <stp>EM_S_VAL_PCF_NCFTTM</stp>
        <stp>2</stp>
        <stp>300150</stp>
        <stp>12/31/2018</stp>
        <tr r="P2203" s="1"/>
      </tp>
      <tp>
        <v>76.182136775081901</v>
        <stp/>
        <stp>EM_S_VAL_PCF_NCFTTM</stp>
        <stp>2</stp>
        <stp>600100</stp>
        <stp>12/31/2018</stp>
        <tr r="P2791" s="1"/>
      </tp>
      <tp>
        <v>-601.24380040090296</v>
        <stp/>
        <stp>EM_S_VAL_PCF_NCFTTM</stp>
        <stp>2</stp>
        <stp>300151</stp>
        <stp>12/31/2018</stp>
        <tr r="P378" s="1"/>
      </tp>
      <tp>
        <v>9.0567922617583196</v>
        <stp/>
        <stp>EM_S_VAL_PCF_NCFTTM</stp>
        <stp>2</stp>
        <stp>600101</stp>
        <stp>12/31/2018</stp>
        <tr r="P1988" s="1"/>
      </tp>
      <tp>
        <v>-15.816231164464099</v>
        <stp/>
        <stp>EM_S_VAL_PCF_NCFTTM</stp>
        <stp>2</stp>
        <stp>300152</stp>
        <stp>12/31/2018</stp>
        <tr r="P897" s="1"/>
      </tp>
      <tp>
        <v>-39.411960442328898</v>
        <stp/>
        <stp>EM_S_VAL_PCF_NCFTTM</stp>
        <stp>2</stp>
        <stp>600102</stp>
        <stp>12/31/2018</stp>
        <tr r="P2292" s="1"/>
      </tp>
      <tp>
        <v>-96.034220291779306</v>
        <stp/>
        <stp>EM_S_VAL_PCF_NCFTTM</stp>
        <stp>2</stp>
        <stp>300153</stp>
        <stp>12/31/2018</stp>
        <tr r="P2698" s="1"/>
      </tp>
      <tp>
        <v>-398.58819145047801</v>
        <stp/>
        <stp>EM_S_VAL_PCF_NCFTTM</stp>
        <stp>2</stp>
        <stp>600103</stp>
        <stp>12/31/2018</stp>
        <tr r="P3018" s="1"/>
      </tp>
      <tp>
        <v>40.822704842897203</v>
        <stp/>
        <stp>EM_S_VAL_PCF_NCFTTM</stp>
        <stp>2</stp>
        <stp>300158</stp>
        <stp>12/31/2018</stp>
        <tr r="P1236" s="1"/>
      </tp>
      <tp>
        <v>77.7311647193971</v>
        <stp/>
        <stp>EM_S_VAL_PCF_NCFTTM</stp>
        <stp>2</stp>
        <stp>600108</stp>
        <stp>12/31/2018</stp>
        <tr r="P1790" s="1"/>
      </tp>
      <tp>
        <v>111.832173045926</v>
        <stp/>
        <stp>EM_S_VAL_PCF_NCFTTM</stp>
        <stp>2</stp>
        <stp>300159</stp>
        <stp>12/31/2018</stp>
        <tr r="P2909" s="1"/>
      </tp>
      <tp>
        <v>57.1487840791618</v>
        <stp/>
        <stp>EM_S_VAL_PCF_NCFTTM</stp>
        <stp>2</stp>
        <stp>600109</stp>
        <stp>12/31/2018</stp>
        <tr r="P918" s="1"/>
      </tp>
      <tp>
        <v>51.384723557740799</v>
        <stp/>
        <stp>EM_S_VAL_PCF_NCFTTM</stp>
        <stp>2</stp>
        <stp>300144</stp>
        <stp>12/31/2018</stp>
        <tr r="P664" s="1"/>
      </tp>
      <tp>
        <v>-37.262126742376303</v>
        <stp/>
        <stp>EM_S_VAL_PCF_NCFTTM</stp>
        <stp>2</stp>
        <stp>600114</stp>
        <stp>12/31/2018</stp>
        <tr r="P729" s="1"/>
      </tp>
      <tp>
        <v>25.0833974606326</v>
        <stp/>
        <stp>EM_S_VAL_PCF_NCFTTM</stp>
        <stp>2</stp>
        <stp>300145</stp>
        <stp>12/31/2018</stp>
        <tr r="P1801" s="1"/>
      </tp>
      <tp>
        <v>-118.280605833907</v>
        <stp/>
        <stp>EM_S_VAL_PCF_NCFTTM</stp>
        <stp>2</stp>
        <stp>600115</stp>
        <stp>12/31/2018</stp>
        <tr r="P1172" s="1"/>
      </tp>
      <tp>
        <v>-15.5344949898394</v>
        <stp/>
        <stp>EM_S_VAL_PCF_NCFTTM</stp>
        <stp>2</stp>
        <stp>300146</stp>
        <stp>12/31/2018</stp>
        <tr r="P2523" s="1"/>
      </tp>
      <tp>
        <v>-49.9633361944108</v>
        <stp/>
        <stp>EM_S_VAL_PCF_NCFTTM</stp>
        <stp>2</stp>
        <stp>600116</stp>
        <stp>12/31/2018</stp>
        <tr r="P2123" s="1"/>
      </tp>
      <tp>
        <v>-36.544998261301799</v>
        <stp/>
        <stp>EM_S_VAL_PCF_NCFTTM</stp>
        <stp>2</stp>
        <stp>300147</stp>
        <stp>12/31/2018</stp>
        <tr r="P905" s="1"/>
      </tp>
      <tp>
        <v>-20.216604070703799</v>
        <stp/>
        <stp>EM_S_VAL_PCF_NCFTTM</stp>
        <stp>2</stp>
        <stp>600117</stp>
        <stp>12/31/2018</stp>
        <tr r="P2068" s="1"/>
      </tp>
      <tp>
        <v>-46.207466939256904</v>
        <stp/>
        <stp>EM_S_VAL_PCF_NCFTTM</stp>
        <stp>2</stp>
        <stp>300140</stp>
        <stp>12/31/2018</stp>
        <tr r="P1419" s="1"/>
      </tp>
      <tp>
        <v>-41.041716200038799</v>
        <stp/>
        <stp>EM_S_VAL_PCF_NCFTTM</stp>
        <stp>2</stp>
        <stp>600110</stp>
        <stp>12/31/2018</stp>
        <tr r="P1434" s="1"/>
      </tp>
      <tp>
        <v>-64.374039026956694</v>
        <stp/>
        <stp>EM_S_VAL_PCF_NCFTTM</stp>
        <stp>2</stp>
        <stp>300141</stp>
        <stp>12/31/2018</stp>
        <tr r="P2371" s="1"/>
      </tp>
      <tp>
        <v>-7.18515254932041</v>
        <stp/>
        <stp>EM_S_VAL_PCF_NCFTTM</stp>
        <stp>2</stp>
        <stp>600111</stp>
        <stp>12/31/2018</stp>
        <tr r="P1118" s="1"/>
      </tp>
      <tp>
        <v>21.146724695674401</v>
        <stp/>
        <stp>EM_S_VAL_PCF_NCFTTM</stp>
        <stp>2</stp>
        <stp>300142</stp>
        <stp>12/31/2018</stp>
        <tr r="P360" s="1"/>
      </tp>
      <tp>
        <v>-88.096094719312205</v>
        <stp/>
        <stp>EM_S_VAL_PCF_NCFTTM</stp>
        <stp>2</stp>
        <stp>600112</stp>
        <stp>12/31/2018</stp>
        <tr r="P3347" s="1"/>
      </tp>
      <tp>
        <v>-217.30130475138901</v>
        <stp/>
        <stp>EM_S_VAL_PCF_NCFTTM</stp>
        <stp>2</stp>
        <stp>300143</stp>
        <stp>12/31/2018</stp>
        <tr r="P2121" s="1"/>
      </tp>
      <tp>
        <v>18.120170285501899</v>
        <stp/>
        <stp>EM_S_VAL_PCF_NCFTTM</stp>
        <stp>2</stp>
        <stp>600113</stp>
        <stp>12/31/2018</stp>
        <tr r="P2268" s="1"/>
      </tp>
      <tp>
        <v>-7.4767530043948502</v>
        <stp/>
        <stp>EM_S_VAL_PCF_NCFTTM</stp>
        <stp>2</stp>
        <stp>300148</stp>
        <stp>12/31/2018</stp>
        <tr r="P2790" s="1"/>
      </tp>
      <tp>
        <v>-138.881871076518</v>
        <stp/>
        <stp>EM_S_VAL_PCF_NCFTTM</stp>
        <stp>2</stp>
        <stp>600118</stp>
        <stp>12/31/2018</stp>
        <tr r="P1129" s="1"/>
      </tp>
      <tp>
        <v>-28.126076403868598</v>
        <stp/>
        <stp>EM_S_VAL_PCF_NCFTTM</stp>
        <stp>2</stp>
        <stp>300149</stp>
        <stp>12/31/2018</stp>
        <tr r="P2776" s="1"/>
      </tp>
      <tp>
        <v>-11.595727679513899</v>
        <stp/>
        <stp>EM_S_VAL_PCF_NCFTTM</stp>
        <stp>2</stp>
        <stp>600119</stp>
        <stp>12/31/2018</stp>
        <tr r="P3176" s="1"/>
      </tp>
      <tp>
        <v>-42.035579726043402</v>
        <stp/>
        <stp>EM_S_VAL_PCF_NCFTTM</stp>
        <stp>2</stp>
        <stp>000088</stp>
        <stp>12/31/2018</stp>
        <tr r="P1566" s="1"/>
      </tp>
      <tp>
        <v>60.909116122071097</v>
        <stp/>
        <stp>EM_S_VAL_PCF_NCFTTM</stp>
        <stp>2</stp>
        <stp>000089</stp>
        <stp>12/31/2018</stp>
        <tr r="P1035" s="1"/>
      </tp>
      <tp>
        <v>47.279033111920498</v>
        <stp/>
        <stp>EM_S_VAL_PCF_NCFTTM</stp>
        <stp>2</stp>
        <stp>000096</stp>
        <stp>12/31/2018</stp>
        <tr r="P1146" s="1"/>
      </tp>
      <tp>
        <v>3.90591304947842</v>
        <stp/>
        <stp>EM_S_VAL_PCF_NCFTTM</stp>
        <stp>2</stp>
        <stp>000090</stp>
        <stp>12/31/2018</stp>
        <tr r="P479" s="1"/>
      </tp>
      <tp>
        <v>-22.292537624174699</v>
        <stp/>
        <stp>EM_S_VAL_PCF_NCFTTM</stp>
        <stp>2</stp>
        <stp>000099</stp>
        <stp>12/31/2018</stp>
        <tr r="P899" s="1"/>
      </tp>
      <tp>
        <v>-51.685273716942703</v>
        <stp/>
        <stp>EM_S_VAL_PCF_NCFTTM</stp>
        <stp>2</stp>
        <stp>300094</stp>
        <stp>12/31/2018</stp>
        <tr r="P2998" s="1"/>
      </tp>
      <tp>
        <v>-20.7014594759634</v>
        <stp/>
        <stp>EM_S_VAL_PCF_NCFTTM</stp>
        <stp>2</stp>
        <stp>300095</stp>
        <stp>12/31/2018</stp>
        <tr r="P950" s="1"/>
      </tp>
      <tp>
        <v>137.718912578089</v>
        <stp/>
        <stp>EM_S_VAL_PCF_NCFTTM</stp>
        <stp>2</stp>
        <stp>300096</stp>
        <stp>12/31/2018</stp>
        <tr r="P1359" s="1"/>
      </tp>
      <tp>
        <v>-23.304349119183801</v>
        <stp/>
        <stp>EM_S_VAL_PCF_NCFTTM</stp>
        <stp>2</stp>
        <stp>300097</stp>
        <stp>12/31/2018</stp>
        <tr r="P2911" s="1"/>
      </tp>
      <tp>
        <v>-5.3042853636278</v>
        <stp/>
        <stp>EM_S_VAL_PCF_NCFTTM</stp>
        <stp>2</stp>
        <stp>300090</stp>
        <stp>12/31/2018</stp>
        <tr r="P3294" s="1"/>
      </tp>
      <tp>
        <v>-12.7322049902644</v>
        <stp/>
        <stp>EM_S_VAL_PCF_NCFTTM</stp>
        <stp>2</stp>
        <stp>300091</stp>
        <stp>12/31/2018</stp>
        <tr r="P1161" s="1"/>
      </tp>
      <tp>
        <v>49.990318351159402</v>
        <stp/>
        <stp>EM_S_VAL_PCF_NCFTTM</stp>
        <stp>2</stp>
        <stp>300092</stp>
        <stp>12/31/2018</stp>
        <tr r="P1306" s="1"/>
      </tp>
      <tp>
        <v>-2661.0717540287201</v>
        <stp/>
        <stp>EM_S_VAL_PCF_NCFTTM</stp>
        <stp>2</stp>
        <stp>300093</stp>
        <stp>12/31/2018</stp>
        <tr r="P239" s="1"/>
      </tp>
      <tp>
        <v>371.87243769483899</v>
        <stp/>
        <stp>EM_S_VAL_PCF_NCFTTM</stp>
        <stp>2</stp>
        <stp>300098</stp>
        <stp>12/31/2018</stp>
        <tr r="P2821" s="1"/>
      </tp>
      <tp>
        <v>-16.389076451019701</v>
        <stp/>
        <stp>EM_S_VAL_PCF_NCFTTM</stp>
        <stp>2</stp>
        <stp>300099</stp>
        <stp>12/31/2018</stp>
        <tr r="P551" s="1"/>
      </tp>
      <tp>
        <v>155.822895032817</v>
        <stp/>
        <stp>EM_S_VAL_PCF_NCFTTM</stp>
        <stp>2</stp>
        <stp>300084</stp>
        <stp>12/31/2018</stp>
        <tr r="P2639" s="1"/>
      </tp>
      <tp>
        <v>-46.324022040551398</v>
        <stp/>
        <stp>EM_S_VAL_PCF_NCFTTM</stp>
        <stp>2</stp>
        <stp>300085</stp>
        <stp>12/31/2018</stp>
        <tr r="P175" s="1"/>
      </tp>
      <tp>
        <v>-16.208163687041299</v>
        <stp/>
        <stp>EM_S_VAL_PCF_NCFTTM</stp>
        <stp>2</stp>
        <stp>300086</stp>
        <stp>12/31/2018</stp>
        <tr r="P3069" s="1"/>
      </tp>
      <tp>
        <v>-180.59022349902301</v>
        <stp/>
        <stp>EM_S_VAL_PCF_NCFTTM</stp>
        <stp>2</stp>
        <stp>300087</stp>
        <stp>12/31/2018</stp>
        <tr r="P2662" s="1"/>
      </tp>
      <tp>
        <v>-53.673153236064302</v>
        <stp/>
        <stp>EM_S_VAL_PCF_NCFTTM</stp>
        <stp>2</stp>
        <stp>300080</stp>
        <stp>12/31/2018</stp>
        <tr r="P1199" s="1"/>
      </tp>
      <tp>
        <v>-10.433671467395</v>
        <stp/>
        <stp>EM_S_VAL_PCF_NCFTTM</stp>
        <stp>2</stp>
        <stp>300081</stp>
        <stp>12/31/2018</stp>
        <tr r="P1430" s="1"/>
      </tp>
      <tp>
        <v>236.69939948202301</v>
        <stp/>
        <stp>EM_S_VAL_PCF_NCFTTM</stp>
        <stp>2</stp>
        <stp>300082</stp>
        <stp>12/31/2018</stp>
        <tr r="P2238" s="1"/>
      </tp>
      <tp>
        <v>-13.739931174721001</v>
        <stp/>
        <stp>EM_S_VAL_PCF_NCFTTM</stp>
        <stp>2</stp>
        <stp>300083</stp>
        <stp>12/31/2018</stp>
        <tr r="P377" s="1"/>
      </tp>
      <tp>
        <v>-96.494601383565197</v>
        <stp/>
        <stp>EM_S_VAL_PCF_NCFTTM</stp>
        <stp>2</stp>
        <stp>300088</stp>
        <stp>12/31/2018</stp>
        <tr r="P96" s="1"/>
      </tp>
      <tp>
        <v>7.8464083351214002</v>
        <stp/>
        <stp>EM_S_VAL_PCF_NCFTTM</stp>
        <stp>2</stp>
        <stp>300089</stp>
        <stp>12/31/2018</stp>
        <tr r="P3253" s="1"/>
      </tp>
      <tp>
        <v>-18.323930046966598</v>
        <stp/>
        <stp>EM_S_VAL_PCF_NCFTTM</stp>
        <stp>2</stp>
        <stp>600084</stp>
        <stp>12/31/2018</stp>
        <tr r="P2817" s="1"/>
      </tp>
      <tp>
        <v>51.0481008345009</v>
        <stp/>
        <stp>EM_S_VAL_PCF_NCFTTM</stp>
        <stp>2</stp>
        <stp>600085</stp>
        <stp>12/31/2018</stp>
        <tr r="P2188" s="1"/>
      </tp>
      <tp>
        <v>-83.367986025618507</v>
        <stp/>
        <stp>EM_S_VAL_PCF_NCFTTM</stp>
        <stp>2</stp>
        <stp>600086</stp>
        <stp>12/31/2018</stp>
        <tr r="P3319" s="1"/>
      </tp>
      <tp>
        <v>29.697199137629699</v>
        <stp/>
        <stp>EM_S_VAL_PCF_NCFTTM</stp>
        <stp>2</stp>
        <stp>600087</stp>
        <stp>12/31/2018</stp>
        <tr r="P2290" s="1"/>
      </tp>
      <tp>
        <v>17.8480442999915</v>
        <stp/>
        <stp>EM_S_VAL_PCF_NCFTTM</stp>
        <stp>2</stp>
        <stp>600080</stp>
        <stp>12/31/2018</stp>
        <tr r="P2993" s="1"/>
      </tp>
      <tp>
        <v>17.404062741075101</v>
        <stp/>
        <stp>EM_S_VAL_PCF_NCFTTM</stp>
        <stp>2</stp>
        <stp>600081</stp>
        <stp>12/31/2018</stp>
        <tr r="P405" s="1"/>
      </tp>
      <tp>
        <v>-24.560377684632101</v>
        <stp/>
        <stp>EM_S_VAL_PCF_NCFTTM</stp>
        <stp>2</stp>
        <stp>600082</stp>
        <stp>12/31/2018</stp>
        <tr r="P2681" s="1"/>
      </tp>
      <tp>
        <v>330.94222460044398</v>
        <stp/>
        <stp>EM_S_VAL_PCF_NCFTTM</stp>
        <stp>2</stp>
        <stp>600083</stp>
        <stp>12/31/2018</stp>
        <tr r="P1494" s="1"/>
      </tp>
      <tp>
        <v>-62.922542103152701</v>
        <stp/>
        <stp>EM_S_VAL_PCF_NCFTTM</stp>
        <stp>2</stp>
        <stp>600088</stp>
        <stp>12/31/2018</stp>
        <tr r="P412" s="1"/>
      </tp>
      <tp>
        <v>21.071158304599798</v>
        <stp/>
        <stp>EM_S_VAL_PCF_NCFTTM</stp>
        <stp>2</stp>
        <stp>600089</stp>
        <stp>12/31/2018</stp>
        <tr r="P2447" s="1"/>
      </tp>
      <tp>
        <v>-6.3209332183855897</v>
        <stp/>
        <stp>EM_S_VAL_PCF_NCFTTM</stp>
        <stp>2</stp>
        <stp>600094</stp>
        <stp>12/31/2018</stp>
        <tr r="P451" s="1"/>
      </tp>
      <tp>
        <v>-47.429610753473298</v>
        <stp/>
        <stp>EM_S_VAL_PCF_NCFTTM</stp>
        <stp>2</stp>
        <stp>600095</stp>
        <stp>12/31/2018</stp>
        <tr r="P100" s="1"/>
      </tp>
      <tp>
        <v>-2.9415148980019699</v>
        <stp/>
        <stp>EM_S_VAL_PCF_NCFTTM</stp>
        <stp>2</stp>
        <stp>600096</stp>
        <stp>12/31/2018</stp>
        <tr r="P2005" s="1"/>
      </tp>
      <tp>
        <v>5.5754944501706696</v>
        <stp/>
        <stp>EM_S_VAL_PCF_NCFTTM</stp>
        <stp>2</stp>
        <stp>600097</stp>
        <stp>12/31/2018</stp>
        <tr r="P2540" s="1"/>
      </tp>
      <tp>
        <v>-9.6088295991545092</v>
        <stp/>
        <stp>EM_S_VAL_PCF_NCFTTM</stp>
        <stp>2</stp>
        <stp>600090</stp>
        <stp>12/31/2018</stp>
        <tr r="P3138" s="1"/>
      </tp>
      <tp>
        <v>-63.027781815638299</v>
        <stp/>
        <stp>EM_S_VAL_PCF_NCFTTM</stp>
        <stp>2</stp>
        <stp>600091</stp>
        <stp>12/31/2018</stp>
        <tr r="P2402" s="1"/>
      </tp>
      <tp>
        <v>-648.12999761269498</v>
        <stp/>
        <stp>EM_S_VAL_PCF_NCFTTM</stp>
        <stp>2</stp>
        <stp>600092</stp>
        <stp>12/31/2018</stp>
        <tr r="P2291" s="1"/>
      </tp>
      <tp>
        <v>-21.451821093504499</v>
        <stp/>
        <stp>EM_S_VAL_PCF_NCFTTM</stp>
        <stp>2</stp>
        <stp>600093</stp>
        <stp>12/31/2018</stp>
        <tr r="P227" s="1"/>
      </tp>
      <tp>
        <v>-50.899948895219602</v>
        <stp/>
        <stp>EM_S_VAL_PCF_NCFTTM</stp>
        <stp>2</stp>
        <stp>600098</stp>
        <stp>12/31/2018</stp>
        <tr r="P1455" s="1"/>
      </tp>
      <tp>
        <v>-174.39264413492799</v>
        <stp/>
        <stp>EM_S_VAL_PCF_NCFTTM</stp>
        <stp>2</stp>
        <stp>600099</stp>
        <stp>12/31/2018</stp>
        <tr r="P1401" s="1"/>
      </tp>
      <tp>
        <v>322.609974850252</v>
        <stp/>
        <stp>EM_S_VAL_PCF_NCFTTM</stp>
        <stp>2</stp>
        <stp>000004</stp>
        <stp>12/31/2018</stp>
        <tr r="P715" s="1"/>
      </tp>
      <tp>
        <v>-103.920124739402</v>
        <stp/>
        <stp>EM_S_VAL_PCF_NCFTTM</stp>
        <stp>2</stp>
        <stp>300034</stp>
        <stp>12/31/2018</stp>
        <tr r="P226" s="1"/>
      </tp>
      <tp>
        <v>-28.712074167099001</v>
        <stp/>
        <stp>EM_S_VAL_PCF_NCFTTM</stp>
        <stp>2</stp>
        <stp>600064</stp>
        <stp>12/31/2018</stp>
        <tr r="P1144" s="1"/>
      </tp>
      <tp>
        <v>1097.45014318275</v>
        <stp/>
        <stp>EM_S_VAL_PCF_NCFTTM</stp>
        <stp>2</stp>
        <stp>000005</stp>
        <stp>12/31/2018</stp>
        <tr r="P1466" s="1"/>
      </tp>
      <tp>
        <v>354.28000124499601</v>
        <stp/>
        <stp>EM_S_VAL_PCF_NCFTTM</stp>
        <stp>2</stp>
        <stp>300035</stp>
        <stp>12/31/2018</stp>
        <tr r="P263" s="1"/>
      </tp>
      <tp>
        <v>1.01550646909053</v>
        <stp/>
        <stp>EM_S_VAL_PCF_NCFTTM</stp>
        <stp>2</stp>
        <stp>600065</stp>
        <stp>12/31/2018</stp>
        <tr r="P2289" s="1"/>
      </tp>
      <tp>
        <v>-5.3290317769800097</v>
        <stp/>
        <stp>EM_S_VAL_PCF_NCFTTM</stp>
        <stp>2</stp>
        <stp>000006</stp>
        <stp>12/31/2018</stp>
        <tr r="P1889" s="1"/>
      </tp>
      <tp>
        <v>-299.51616751937098</v>
        <stp/>
        <stp>EM_S_VAL_PCF_NCFTTM</stp>
        <stp>2</stp>
        <stp>300036</stp>
        <stp>12/31/2018</stp>
        <tr r="P1798" s="1"/>
      </tp>
      <tp>
        <v>-43.741188081662401</v>
        <stp/>
        <stp>EM_S_VAL_PCF_NCFTTM</stp>
        <stp>2</stp>
        <stp>600066</stp>
        <stp>12/31/2018</stp>
        <tr r="P1296" s="1"/>
      </tp>
      <tp>
        <v>-162.07572067036301</v>
        <stp/>
        <stp>EM_S_VAL_PCF_NCFTTM</stp>
        <stp>2</stp>
        <stp>000007</stp>
        <stp>12/31/2018</stp>
        <tr r="P1370" s="1"/>
      </tp>
      <tp>
        <v>-246.26433165223099</v>
        <stp/>
        <stp>EM_S_VAL_PCF_NCFTTM</stp>
        <stp>2</stp>
        <stp>300037</stp>
        <stp>12/31/2018</stp>
        <tr r="P533" s="1"/>
      </tp>
      <tp>
        <v>20.229989192676399</v>
        <stp/>
        <stp>EM_S_VAL_PCF_NCFTTM</stp>
        <stp>2</stp>
        <stp>600067</stp>
        <stp>12/31/2018</stp>
        <tr r="P1911" s="1"/>
      </tp>
      <tp>
        <v>-11.700319351835899</v>
        <stp/>
        <stp>EM_S_VAL_PCF_NCFTTM</stp>
        <stp>2</stp>
        <stp>300030</stp>
        <stp>12/31/2018</stp>
        <tr r="P663" s="1"/>
      </tp>
      <tp>
        <v>8.7901029608195405</v>
        <stp/>
        <stp>EM_S_VAL_PCF_NCFTTM</stp>
        <stp>2</stp>
        <stp>600060</stp>
        <stp>12/31/2018</stp>
        <tr r="P1112" s="1"/>
      </tp>
      <tp>
        <v>4.1652690566395103</v>
        <stp/>
        <stp>EM_S_VAL_PCF_NCFTTM</stp>
        <stp>2</stp>
        <stp>000001</stp>
        <stp>12/31/2018</stp>
        <tr r="P265" s="1"/>
      </tp>
      <tp>
        <v>-4.2492120812583103</v>
        <stp/>
        <stp>EM_S_VAL_PCF_NCFTTM</stp>
        <stp>2</stp>
        <stp>300031</stp>
        <stp>12/31/2018</stp>
        <tr r="P1669" s="1"/>
      </tp>
      <tp>
        <v>120.16700172770901</v>
        <stp/>
        <stp>EM_S_VAL_PCF_NCFTTM</stp>
        <stp>2</stp>
        <stp>600061</stp>
        <stp>12/31/2018</stp>
        <tr r="P518" s="1"/>
      </tp>
      <tp>
        <v>7.1906393054784798</v>
        <stp/>
        <stp>EM_S_VAL_PCF_NCFTTM</stp>
        <stp>2</stp>
        <stp>000002</stp>
        <stp>12/31/2018</stp>
        <tr r="P725" s="1"/>
      </tp>
      <tp>
        <v>-1.52638063472295</v>
        <stp/>
        <stp>EM_S_VAL_PCF_NCFTTM</stp>
        <stp>2</stp>
        <stp>300032</stp>
        <stp>12/31/2018</stp>
        <tr r="P987" s="1"/>
      </tp>
      <tp>
        <v>191.04563586839899</v>
        <stp/>
        <stp>EM_S_VAL_PCF_NCFTTM</stp>
        <stp>2</stp>
        <stp>600062</stp>
        <stp>12/31/2018</stp>
        <tr r="P1938" s="1"/>
      </tp>
      <tp>
        <v>-50.793922516376398</v>
        <stp/>
        <stp>EM_S_VAL_PCF_NCFTTM</stp>
        <stp>2</stp>
        <stp>000003</stp>
        <stp>12/31/2018</stp>
        <tr r="P2271" s="1"/>
      </tp>
      <tp>
        <v>-30.2009205841727</v>
        <stp/>
        <stp>EM_S_VAL_PCF_NCFTTM</stp>
        <stp>2</stp>
        <stp>300033</stp>
        <stp>12/31/2018</stp>
        <tr r="P49" s="1"/>
      </tp>
      <tp>
        <v>-24.035622746226899</v>
        <stp/>
        <stp>EM_S_VAL_PCF_NCFTTM</stp>
        <stp>2</stp>
        <stp>600063</stp>
        <stp>12/31/2018</stp>
        <tr r="P327" s="1"/>
      </tp>
      <tp>
        <v>-19.772489218224901</v>
        <stp/>
        <stp>EM_S_VAL_PCF_NCFTTM</stp>
        <stp>2</stp>
        <stp>000008</stp>
        <stp>12/31/2018</stp>
        <tr r="P2627" s="1"/>
      </tp>
      <tp>
        <v>-20.0941548893781</v>
        <stp/>
        <stp>EM_S_VAL_PCF_NCFTTM</stp>
        <stp>2</stp>
        <stp>300038</stp>
        <stp>12/31/2018</stp>
        <tr r="P2648" s="1"/>
      </tp>
      <tp>
        <v>-14.3767408372102</v>
        <stp/>
        <stp>EM_S_VAL_PCF_NCFTTM</stp>
        <stp>2</stp>
        <stp>600068</stp>
        <stp>12/31/2018</stp>
        <tr r="P2190" s="1"/>
      </tp>
      <tp>
        <v>78.638613235991002</v>
        <stp/>
        <stp>EM_S_VAL_PCF_NCFTTM</stp>
        <stp>2</stp>
        <stp>000009</stp>
        <stp>12/31/2018</stp>
        <tr r="P295" s="1"/>
      </tp>
      <tp>
        <v>23.095428337878701</v>
        <stp/>
        <stp>EM_S_VAL_PCF_NCFTTM</stp>
        <stp>2</stp>
        <stp>300039</stp>
        <stp>12/31/2018</stp>
        <tr r="P1356" s="1"/>
      </tp>
      <tp>
        <v>-12.2761186422132</v>
        <stp/>
        <stp>EM_S_VAL_PCF_NCFTTM</stp>
        <stp>2</stp>
        <stp>600069</stp>
        <stp>12/31/2018</stp>
        <tr r="P2650" s="1"/>
      </tp>
      <tp>
        <v>44.165732791326697</v>
        <stp/>
        <stp>EM_S_VAL_PCF_NCFTTM</stp>
        <stp>2</stp>
        <stp>000014</stp>
        <stp>12/31/2018</stp>
        <tr r="P2219" s="1"/>
      </tp>
      <tp>
        <v>48.647954811621098</v>
        <stp/>
        <stp>EM_S_VAL_PCF_NCFTTM</stp>
        <stp>2</stp>
        <stp>300024</stp>
        <stp>12/31/2018</stp>
        <tr r="P1953" s="1"/>
      </tp>
      <tp>
        <v>-6.7963887422581903</v>
        <stp/>
        <stp>EM_S_VAL_PCF_NCFTTM</stp>
        <stp>2</stp>
        <stp>600074</stp>
        <stp>12/31/2018</stp>
        <tr r="P2876" s="1"/>
      </tp>
      <tp>
        <v>-203467.93944349099</v>
        <stp/>
        <stp>EM_S_VAL_PCF_NCFTTM</stp>
        <stp>2</stp>
        <stp>000015</stp>
        <stp>12/31/2018</stp>
        <tr r="P2273" s="1"/>
      </tp>
      <tp>
        <v>-120.689550144256</v>
        <stp/>
        <stp>EM_S_VAL_PCF_NCFTTM</stp>
        <stp>2</stp>
        <stp>300025</stp>
        <stp>12/31/2018</stp>
        <tr r="P1834" s="1"/>
      </tp>
      <tp>
        <v>23.148489352675298</v>
        <stp/>
        <stp>EM_S_VAL_PCF_NCFTTM</stp>
        <stp>2</stp>
        <stp>600075</stp>
        <stp>12/31/2018</stp>
        <tr r="P1714" s="1"/>
      </tp>
      <tp>
        <v>5.7986044102803298</v>
        <stp/>
        <stp>EM_S_VAL_PCF_NCFTTM</stp>
        <stp>2</stp>
        <stp>000016</stp>
        <stp>12/31/2018</stp>
        <tr r="P767" s="1"/>
      </tp>
      <tp>
        <v>76.262122455521805</v>
        <stp/>
        <stp>EM_S_VAL_PCF_NCFTTM</stp>
        <stp>2</stp>
        <stp>300026</stp>
        <stp>12/31/2018</stp>
        <tr r="P1577" s="1"/>
      </tp>
      <tp>
        <v>-122.28977631604199</v>
        <stp/>
        <stp>EM_S_VAL_PCF_NCFTTM</stp>
        <stp>2</stp>
        <stp>600076</stp>
        <stp>12/31/2018</stp>
        <tr r="P2007" s="1"/>
      </tp>
      <tp>
        <v>1089.6547806250701</v>
        <stp/>
        <stp>EM_S_VAL_PCF_NCFTTM</stp>
        <stp>2</stp>
        <stp>000017</stp>
        <stp>12/31/2018</stp>
        <tr r="P2076" s="1"/>
      </tp>
      <tp>
        <v>-7.96180126578213</v>
        <stp/>
        <stp>EM_S_VAL_PCF_NCFTTM</stp>
        <stp>2</stp>
        <stp>300027</stp>
        <stp>12/31/2018</stp>
        <tr r="P2241" s="1"/>
      </tp>
      <tp>
        <v>-6.1524393190806999</v>
        <stp/>
        <stp>EM_S_VAL_PCF_NCFTTM</stp>
        <stp>2</stp>
        <stp>600077</stp>
        <stp>12/31/2018</stp>
        <tr r="P1551" s="1"/>
      </tp>
      <tp>
        <v>-32.869858240821799</v>
        <stp/>
        <stp>EM_S_VAL_PCF_NCFTTM</stp>
        <stp>2</stp>
        <stp>000010</stp>
        <stp>12/31/2018</stp>
        <tr r="P2039" s="1"/>
      </tp>
      <tp>
        <v>-13.3401275751017</v>
        <stp/>
        <stp>EM_S_VAL_PCF_NCFTTM</stp>
        <stp>2</stp>
        <stp>300020</stp>
        <stp>12/31/2018</stp>
        <tr r="P927" s="1"/>
      </tp>
      <tp>
        <v>96.962170718029995</v>
        <stp/>
        <stp>EM_S_VAL_PCF_NCFTTM</stp>
        <stp>2</stp>
        <stp>600070</stp>
        <stp>12/31/2018</stp>
        <tr r="P667" s="1"/>
      </tp>
      <tp>
        <v>-75.969282145394402</v>
        <stp/>
        <stp>EM_S_VAL_PCF_NCFTTM</stp>
        <stp>2</stp>
        <stp>000011</stp>
        <stp>12/31/2018</stp>
        <tr r="P1983" s="1"/>
      </tp>
      <tp>
        <v>13.2036663182675</v>
        <stp/>
        <stp>EM_S_VAL_PCF_NCFTTM</stp>
        <stp>2</stp>
        <stp>300021</stp>
        <stp>12/31/2018</stp>
        <tr r="P1058" s="1"/>
      </tp>
      <tp>
        <v>99.886552877965201</v>
        <stp/>
        <stp>EM_S_VAL_PCF_NCFTTM</stp>
        <stp>2</stp>
        <stp>600071</stp>
        <stp>12/31/2018</stp>
        <tr r="P523" s="1"/>
      </tp>
      <tp>
        <v>9.5314588727211493</v>
        <stp/>
        <stp>EM_S_VAL_PCF_NCFTTM</stp>
        <stp>2</stp>
        <stp>000012</stp>
        <stp>12/31/2018</stp>
        <tr r="P741" s="1"/>
      </tp>
      <tp>
        <v>58.693063084017801</v>
        <stp/>
        <stp>EM_S_VAL_PCF_NCFTTM</stp>
        <stp>2</stp>
        <stp>300022</stp>
        <stp>12/31/2018</stp>
        <tr r="P1917" s="1"/>
      </tp>
      <tp>
        <v>36.8690734539259</v>
        <stp/>
        <stp>EM_S_VAL_PCF_NCFTTM</stp>
        <stp>2</stp>
        <stp>600072</stp>
        <stp>12/31/2018</stp>
        <tr r="P198" s="1"/>
      </tp>
      <tp>
        <v>-12270.2167481175</v>
        <stp/>
        <stp>EM_S_VAL_PCF_NCFTTM</stp>
        <stp>2</stp>
        <stp>000013</stp>
        <stp>12/31/2018</stp>
        <tr r="P2272" s="1"/>
      </tp>
      <tp>
        <v>-4.5449548026645399</v>
        <stp/>
        <stp>EM_S_VAL_PCF_NCFTTM</stp>
        <stp>2</stp>
        <stp>300023</stp>
        <stp>12/31/2018</stp>
        <tr r="P1352" s="1"/>
      </tp>
      <tp>
        <v>-12.5786461059683</v>
        <stp/>
        <stp>EM_S_VAL_PCF_NCFTTM</stp>
        <stp>2</stp>
        <stp>600073</stp>
        <stp>12/31/2018</stp>
        <tr r="P1973" s="1"/>
      </tp>
      <tp>
        <v>-3.5784364822453698</v>
        <stp/>
        <stp>EM_S_VAL_PCF_NCFTTM</stp>
        <stp>2</stp>
        <stp>000018</stp>
        <stp>12/31/2018</stp>
        <tr r="P3409" s="1"/>
      </tp>
      <tp>
        <v>-69.743508312287204</v>
        <stp/>
        <stp>EM_S_VAL_PCF_NCFTTM</stp>
        <stp>2</stp>
        <stp>300028</stp>
        <stp>12/31/2018</stp>
        <tr r="P2280" s="1"/>
      </tp>
      <tp>
        <v>2.5380489635624</v>
        <stp/>
        <stp>EM_S_VAL_PCF_NCFTTM</stp>
        <stp>2</stp>
        <stp>600078</stp>
        <stp>12/31/2018</stp>
        <tr r="P391" s="1"/>
      </tp>
      <tp>
        <v>-222.984293403252</v>
        <stp/>
        <stp>EM_S_VAL_PCF_NCFTTM</stp>
        <stp>2</stp>
        <stp>000019</stp>
        <stp>12/31/2018</stp>
        <tr r="P2891" s="1"/>
      </tp>
      <tp>
        <v>-11.0280699928384</v>
        <stp/>
        <stp>EM_S_VAL_PCF_NCFTTM</stp>
        <stp>2</stp>
        <stp>300029</stp>
        <stp>12/31/2018</stp>
        <tr r="P944" s="1"/>
      </tp>
      <tp>
        <v>-8.2477272308142506</v>
        <stp/>
        <stp>EM_S_VAL_PCF_NCFTTM</stp>
        <stp>2</stp>
        <stp>600079</stp>
        <stp>12/31/2018</stp>
        <tr r="P1010" s="1"/>
      </tp>
      <tp>
        <v>24.282654956629599</v>
        <stp/>
        <stp>EM_S_VAL_PCF_NCFTTM</stp>
        <stp>2</stp>
        <stp>000024</stp>
        <stp>12/31/2018</stp>
        <tr r="P2274" s="1"/>
      </tp>
      <tp>
        <v>15.2681286000459</v>
        <stp/>
        <stp>EM_S_VAL_PCF_NCFTTM</stp>
        <stp>2</stp>
        <stp>300014</stp>
        <stp>12/31/2018</stp>
        <tr r="P40" s="1"/>
      </tp>
      <tp>
        <v>171.704167037205</v>
        <stp/>
        <stp>EM_S_VAL_PCF_NCFTTM</stp>
        <stp>2</stp>
        <stp>000025</stp>
        <stp>12/31/2018</stp>
        <tr r="P1436" s="1"/>
      </tp>
      <tp>
        <v>119.14513028098899</v>
        <stp/>
        <stp>EM_S_VAL_PCF_NCFTTM</stp>
        <stp>2</stp>
        <stp>300015</stp>
        <stp>12/31/2018</stp>
        <tr r="P607" s="1"/>
      </tp>
      <tp>
        <v>-37.394044279007502</v>
        <stp/>
        <stp>EM_S_VAL_PCF_NCFTTM</stp>
        <stp>2</stp>
        <stp>000026</stp>
        <stp>12/31/2018</stp>
        <tr r="P462" s="1"/>
      </tp>
      <tp>
        <v>32.290318137487198</v>
        <stp/>
        <stp>EM_S_VAL_PCF_NCFTTM</stp>
        <stp>2</stp>
        <stp>300016</stp>
        <stp>12/31/2018</stp>
        <tr r="P993" s="1"/>
      </tp>
      <tp>
        <v>11.098682092662299</v>
        <stp/>
        <stp>EM_S_VAL_PCF_NCFTTM</stp>
        <stp>2</stp>
        <stp>000027</stp>
        <stp>12/31/2018</stp>
        <tr r="P1310" s="1"/>
      </tp>
      <tp>
        <v>74.058991763519998</v>
        <stp/>
        <stp>EM_S_VAL_PCF_NCFTTM</stp>
        <stp>2</stp>
        <stp>300017</stp>
        <stp>12/31/2018</stp>
        <tr r="P1215" s="1"/>
      </tp>
      <tp>
        <v>-49.6276691385441</v>
        <stp/>
        <stp>EM_S_VAL_PCF_NCFTTM</stp>
        <stp>2</stp>
        <stp>000020</stp>
        <stp>12/31/2018</stp>
        <tr r="P2164" s="1"/>
      </tp>
      <tp>
        <v>2492.90151529168</v>
        <stp/>
        <stp>EM_S_VAL_PCF_NCFTTM</stp>
        <stp>2</stp>
        <stp>300010</stp>
        <stp>12/31/2018</stp>
        <tr r="P280" s="1"/>
      </tp>
      <tp>
        <v>11.7783433482258</v>
        <stp/>
        <stp>EM_S_VAL_PCF_NCFTTM</stp>
        <stp>2</stp>
        <stp>000021</stp>
        <stp>12/31/2018</stp>
        <tr r="P134" s="1"/>
      </tp>
      <tp>
        <v>-11.8440902141908</v>
        <stp/>
        <stp>EM_S_VAL_PCF_NCFTTM</stp>
        <stp>2</stp>
        <stp>300011</stp>
        <stp>12/31/2018</stp>
        <tr r="P2446" s="1"/>
      </tp>
      <tp>
        <v>0</v>
        <stp/>
        <stp>EM_S_VAL_PCF_NCFTTM</stp>
        <stp>2</stp>
        <stp>000022</stp>
        <stp>12/31/2018</stp>
        <tr r="P3" s="1"/>
      </tp>
      <tp>
        <v>-1019.01401882762</v>
        <stp/>
        <stp>EM_S_VAL_PCF_NCFTTM</stp>
        <stp>2</stp>
        <stp>300012</stp>
        <stp>12/31/2018</stp>
        <tr r="P112" s="1"/>
      </tp>
      <tp>
        <v>67.027458564031093</v>
        <stp/>
        <stp>EM_S_VAL_PCF_NCFTTM</stp>
        <stp>2</stp>
        <stp>000023</stp>
        <stp>12/31/2018</stp>
        <tr r="P2109" s="1"/>
      </tp>
      <tp>
        <v>-127.52662609038001</v>
        <stp/>
        <stp>EM_S_VAL_PCF_NCFTTM</stp>
        <stp>2</stp>
        <stp>300013</stp>
        <stp>12/31/2018</stp>
        <tr r="P2628" s="1"/>
      </tp>
      <tp>
        <v>4.9778165148165501</v>
        <stp/>
        <stp>EM_S_VAL_PCF_NCFTTM</stp>
        <stp>2</stp>
        <stp>000028</stp>
        <stp>12/31/2018</stp>
        <tr r="P1704" s="1"/>
      </tp>
      <tp>
        <v>-44.079120133081503</v>
        <stp/>
        <stp>EM_S_VAL_PCF_NCFTTM</stp>
        <stp>2</stp>
        <stp>300018</stp>
        <stp>12/31/2018</stp>
        <tr r="P1441" s="1"/>
      </tp>
      <tp>
        <v>4.4234366991752196</v>
        <stp/>
        <stp>EM_S_VAL_PCF_NCFTTM</stp>
        <stp>2</stp>
        <stp>600048</stp>
        <stp>12/31/2018</stp>
        <tr r="P771" s="1"/>
      </tp>
      <tp>
        <v>138.29493446278701</v>
        <stp/>
        <stp>EM_S_VAL_PCF_NCFTTM</stp>
        <stp>2</stp>
        <stp>000029</stp>
        <stp>12/31/2018</stp>
        <tr r="P2341" s="1"/>
      </tp>
      <tp>
        <v>-83.743876836682801</v>
        <stp/>
        <stp>EM_S_VAL_PCF_NCFTTM</stp>
        <stp>2</stp>
        <stp>300019</stp>
        <stp>12/31/2018</stp>
        <tr r="P390" s="1"/>
      </tp>
      <tp>
        <v>95.540658734824802</v>
        <stp/>
        <stp>EM_S_VAL_PCF_NCFTTM</stp>
        <stp>2</stp>
        <stp>000034</stp>
        <stp>12/31/2018</stp>
        <tr r="P564" s="1"/>
      </tp>
      <tp>
        <v>-26.9259912632862</v>
        <stp/>
        <stp>EM_S_VAL_PCF_NCFTTM</stp>
        <stp>2</stp>
        <stp>300004</stp>
        <stp>12/31/2018</stp>
        <tr r="P259" s="1"/>
      </tp>
      <tp>
        <v>45.250715018304199</v>
        <stp/>
        <stp>EM_S_VAL_PCF_NCFTTM</stp>
        <stp>2</stp>
        <stp>600054</stp>
        <stp>12/31/2018</stp>
        <tr r="P2451" s="1"/>
      </tp>
      <tp>
        <v>-92.823721938699194</v>
        <stp/>
        <stp>EM_S_VAL_PCF_NCFTTM</stp>
        <stp>2</stp>
        <stp>000035</stp>
        <stp>12/31/2018</stp>
        <tr r="P1341" s="1"/>
      </tp>
      <tp>
        <v>7.3847852725686298</v>
        <stp/>
        <stp>EM_S_VAL_PCF_NCFTTM</stp>
        <stp>2</stp>
        <stp>300005</stp>
        <stp>12/31/2018</stp>
        <tr r="P801" s="1"/>
      </tp>
      <tp>
        <v>-15.417754973074</v>
        <stp/>
        <stp>EM_S_VAL_PCF_NCFTTM</stp>
        <stp>2</stp>
        <stp>600055</stp>
        <stp>12/31/2018</stp>
        <tr r="P1416" s="1"/>
      </tp>
      <tp>
        <v>3.1078407616602002</v>
        <stp/>
        <stp>EM_S_VAL_PCF_NCFTTM</stp>
        <stp>2</stp>
        <stp>000036</stp>
        <stp>12/31/2018</stp>
        <tr r="P3122" s="1"/>
      </tp>
      <tp>
        <v>-26.432324756536001</v>
        <stp/>
        <stp>EM_S_VAL_PCF_NCFTTM</stp>
        <stp>2</stp>
        <stp>300006</stp>
        <stp>12/31/2018</stp>
        <tr r="P461" s="1"/>
      </tp>
      <tp>
        <v>-96.688111251044603</v>
        <stp/>
        <stp>EM_S_VAL_PCF_NCFTTM</stp>
        <stp>2</stp>
        <stp>600056</stp>
        <stp>12/31/2018</stp>
        <tr r="P2165" s="1"/>
      </tp>
      <tp>
        <v>6.6159815782532201</v>
        <stp/>
        <stp>EM_S_VAL_PCF_NCFTTM</stp>
        <stp>2</stp>
        <stp>000037</stp>
        <stp>12/31/2018</stp>
        <tr r="P68" s="1"/>
      </tp>
      <tp>
        <v>55.369665278594297</v>
        <stp/>
        <stp>EM_S_VAL_PCF_NCFTTM</stp>
        <stp>2</stp>
        <stp>300007</stp>
        <stp>12/31/2018</stp>
        <tr r="P352" s="1"/>
      </tp>
      <tp>
        <v>6.4724829621464304</v>
        <stp/>
        <stp>EM_S_VAL_PCF_NCFTTM</stp>
        <stp>2</stp>
        <stp>600057</stp>
        <stp>12/31/2018</stp>
        <tr r="P2370" s="1"/>
      </tp>
      <tp>
        <v>80.274019548194602</v>
        <stp/>
        <stp>EM_S_VAL_PCF_NCFTTM</stp>
        <stp>2</stp>
        <stp>000030</stp>
        <stp>12/31/2018</stp>
        <tr r="P883" s="1"/>
      </tp>
      <tp>
        <v>30.893344372156498</v>
        <stp/>
        <stp>EM_S_VAL_PCF_NCFTTM</stp>
        <stp>2</stp>
        <stp>600050</stp>
        <stp>12/31/2018</stp>
        <tr r="P1536" s="1"/>
      </tp>
      <tp>
        <v>11.3250210226951</v>
        <stp/>
        <stp>EM_S_VAL_PCF_NCFTTM</stp>
        <stp>2</stp>
        <stp>000031</stp>
        <stp>12/31/2018</stp>
        <tr r="P569" s="1"/>
      </tp>
      <tp>
        <v>-18.107563845358399</v>
        <stp/>
        <stp>EM_S_VAL_PCF_NCFTTM</stp>
        <stp>2</stp>
        <stp>300001</stp>
        <stp>12/31/2018</stp>
        <tr r="P2358" s="1"/>
      </tp>
      <tp>
        <v>8.7101056116325903</v>
        <stp/>
        <stp>EM_S_VAL_PCF_NCFTTM</stp>
        <stp>2</stp>
        <stp>600051</stp>
        <stp>12/31/2018</stp>
        <tr r="P1703" s="1"/>
      </tp>
      <tp>
        <v>-54.305052671049403</v>
        <stp/>
        <stp>EM_S_VAL_PCF_NCFTTM</stp>
        <stp>2</stp>
        <stp>000032</stp>
        <stp>12/31/2018</stp>
        <tr r="P158" s="1"/>
      </tp>
      <tp>
        <v>70.388391482707803</v>
        <stp/>
        <stp>EM_S_VAL_PCF_NCFTTM</stp>
        <stp>2</stp>
        <stp>300002</stp>
        <stp>12/31/2018</stp>
        <tr r="P2398" s="1"/>
      </tp>
      <tp>
        <v>1.4857196345649</v>
        <stp/>
        <stp>EM_S_VAL_PCF_NCFTTM</stp>
        <stp>2</stp>
        <stp>600052</stp>
        <stp>12/31/2018</stp>
        <tr r="P481" s="1"/>
      </tp>
      <tp>
        <v>-119.987628442855</v>
        <stp/>
        <stp>EM_S_VAL_PCF_NCFTTM</stp>
        <stp>2</stp>
        <stp>000033</stp>
        <stp>12/31/2018</stp>
        <tr r="P2275" s="1"/>
      </tp>
      <tp>
        <v>46.169062629161999</v>
        <stp/>
        <stp>EM_S_VAL_PCF_NCFTTM</stp>
        <stp>2</stp>
        <stp>300003</stp>
        <stp>12/31/2018</stp>
        <tr r="P508" s="1"/>
      </tp>
      <tp>
        <v>22.059262183873901</v>
        <stp/>
        <stp>EM_S_VAL_PCF_NCFTTM</stp>
        <stp>2</stp>
        <stp>600053</stp>
        <stp>12/31/2018</stp>
        <tr r="P2410" s="1"/>
      </tp>
      <tp>
        <v>-40.159708393937599</v>
        <stp/>
        <stp>EM_S_VAL_PCF_NCFTTM</stp>
        <stp>2</stp>
        <stp>000038</stp>
        <stp>12/31/2018</stp>
        <tr r="P2663" s="1"/>
      </tp>
      <tp>
        <v>-9.2375367832195607</v>
        <stp/>
        <stp>EM_S_VAL_PCF_NCFTTM</stp>
        <stp>2</stp>
        <stp>300008</stp>
        <stp>12/31/2018</stp>
        <tr r="P1648" s="1"/>
      </tp>
      <tp>
        <v>-11.077063265647199</v>
        <stp/>
        <stp>EM_S_VAL_PCF_NCFTTM</stp>
        <stp>2</stp>
        <stp>600058</stp>
        <stp>12/31/2018</stp>
        <tr r="P1269" s="1"/>
      </tp>
      <tp>
        <v>-55.424909955282203</v>
        <stp/>
        <stp>EM_S_VAL_PCF_NCFTTM</stp>
        <stp>2</stp>
        <stp>000039</stp>
        <stp>12/31/2018</stp>
        <tr r="P1426" s="1"/>
      </tp>
      <tp>
        <v>-1345.8981091401499</v>
        <stp/>
        <stp>EM_S_VAL_PCF_NCFTTM</stp>
        <stp>2</stp>
        <stp>300009</stp>
        <stp>12/31/2018</stp>
        <tr r="P1660" s="1"/>
      </tp>
      <tp>
        <v>5988.5586261649796</v>
        <stp/>
        <stp>EM_S_VAL_PCF_NCFTTM</stp>
        <stp>2</stp>
        <stp>600059</stp>
        <stp>12/31/2018</stp>
        <tr r="P979" s="1"/>
      </tp>
      <tp>
        <v>204.374020399925</v>
        <stp/>
        <stp>EM_S_VAL_PCF_NCFTTM</stp>
        <stp>2</stp>
        <stp>300074</stp>
        <stp>12/31/2018</stp>
        <tr r="P1462" s="1"/>
      </tp>
      <tp>
        <v>9.0712699175235407</v>
        <stp/>
        <stp>EM_S_VAL_PCF_NCFTTM</stp>
        <stp>2</stp>
        <stp>000045</stp>
        <stp>12/31/2018</stp>
        <tr r="P967" s="1"/>
      </tp>
      <tp>
        <v>-48.360944575050901</v>
        <stp/>
        <stp>EM_S_VAL_PCF_NCFTTM</stp>
        <stp>2</stp>
        <stp>300075</stp>
        <stp>12/31/2018</stp>
        <tr r="P2077" s="1"/>
      </tp>
      <tp>
        <v>196.735308135445</v>
        <stp/>
        <stp>EM_S_VAL_PCF_NCFTTM</stp>
        <stp>2</stp>
        <stp>600025</stp>
        <stp>12/31/2018</stp>
        <tr r="P835" s="1"/>
      </tp>
      <tp>
        <v>-7.1944001780882001</v>
        <stp/>
        <stp>EM_S_VAL_PCF_NCFTTM</stp>
        <stp>2</stp>
        <stp>000046</stp>
        <stp>12/31/2018</stp>
        <tr r="P2270" s="1"/>
      </tp>
      <tp>
        <v>-103.13900985866999</v>
        <stp/>
        <stp>EM_S_VAL_PCF_NCFTTM</stp>
        <stp>2</stp>
        <stp>300076</stp>
        <stp>12/31/2018</stp>
        <tr r="P594" s="1"/>
      </tp>
      <tp>
        <v>-8.0378667060184501</v>
        <stp/>
        <stp>EM_S_VAL_PCF_NCFTTM</stp>
        <stp>2</stp>
        <stp>600026</stp>
        <stp>12/31/2018</stp>
        <tr r="P703" s="1"/>
      </tp>
      <tp>
        <v>56401.768529155102</v>
        <stp/>
        <stp>EM_S_VAL_PCF_NCFTTM</stp>
        <stp>2</stp>
        <stp>000047</stp>
        <stp>12/31/2018</stp>
        <tr r="P2276" s="1"/>
      </tp>
      <tp>
        <v>-76.322352286382397</v>
        <stp/>
        <stp>EM_S_VAL_PCF_NCFTTM</stp>
        <stp>2</stp>
        <stp>300077</stp>
        <stp>12/31/2018</stp>
        <tr r="P3056" s="1"/>
      </tp>
      <tp>
        <v>118.77049139627</v>
        <stp/>
        <stp>EM_S_VAL_PCF_NCFTTM</stp>
        <stp>2</stp>
        <stp>600027</stp>
        <stp>12/31/2018</stp>
        <tr r="P3124" s="1"/>
      </tp>
      <tp>
        <v>-3.7266060823377898</v>
        <stp/>
        <stp>EM_S_VAL_PCF_NCFTTM</stp>
        <stp>2</stp>
        <stp>000040</stp>
        <stp>12/31/2018</stp>
        <tr r="P3327" s="1"/>
      </tp>
      <tp>
        <v>59.323325561041798</v>
        <stp/>
        <stp>EM_S_VAL_PCF_NCFTTM</stp>
        <stp>2</stp>
        <stp>300070</stp>
        <stp>12/31/2018</stp>
        <tr r="P2453" s="1"/>
      </tp>
      <tp>
        <v>-6.2623648441938897</v>
        <stp/>
        <stp>EM_S_VAL_PCF_NCFTTM</stp>
        <stp>2</stp>
        <stp>600020</stp>
        <stp>12/31/2018</stp>
        <tr r="P1292" s="1"/>
      </tp>
      <tp>
        <v>-101.022481154769</v>
        <stp/>
        <stp>EM_S_VAL_PCF_NCFTTM</stp>
        <stp>2</stp>
        <stp>300071</stp>
        <stp>12/31/2018</stp>
        <tr r="P3121" s="1"/>
      </tp>
      <tp>
        <v>37.603455448802002</v>
        <stp/>
        <stp>EM_S_VAL_PCF_NCFTTM</stp>
        <stp>2</stp>
        <stp>600021</stp>
        <stp>12/31/2018</stp>
        <tr r="P2411" s="1"/>
      </tp>
      <tp>
        <v>-114.587550245168</v>
        <stp/>
        <stp>EM_S_VAL_PCF_NCFTTM</stp>
        <stp>2</stp>
        <stp>000042</stp>
        <stp>12/31/2018</stp>
        <tr r="P2432" s="1"/>
      </tp>
      <tp>
        <v>-19.6807290754649</v>
        <stp/>
        <stp>EM_S_VAL_PCF_NCFTTM</stp>
        <stp>2</stp>
        <stp>300072</stp>
        <stp>12/31/2018</stp>
        <tr r="P3283" s="1"/>
      </tp>
      <tp>
        <v>-11.274247246007601</v>
        <stp/>
        <stp>EM_S_VAL_PCF_NCFTTM</stp>
        <stp>2</stp>
        <stp>600022</stp>
        <stp>12/31/2018</stp>
        <tr r="P2738" s="1"/>
      </tp>
      <tp>
        <v>5.5155787776960299</v>
        <stp/>
        <stp>EM_S_VAL_PCF_NCFTTM</stp>
        <stp>2</stp>
        <stp>000043</stp>
        <stp>12/31/2018</stp>
        <tr r="P4" s="1"/>
      </tp>
      <tp>
        <v>7.5936347286414403</v>
        <stp/>
        <stp>EM_S_VAL_PCF_NCFTTM</stp>
        <stp>2</stp>
        <stp>300073</stp>
        <stp>12/31/2018</stp>
        <tr r="P2284" s="1"/>
      </tp>
      <tp>
        <v>-65.715161674256393</v>
        <stp/>
        <stp>EM_S_VAL_PCF_NCFTTM</stp>
        <stp>2</stp>
        <stp>600023</stp>
        <stp>12/31/2018</stp>
        <tr r="P2977" s="1"/>
      </tp>
      <tp>
        <v>4.4269356853770496</v>
        <stp/>
        <stp>EM_S_VAL_PCF_NCFTTM</stp>
        <stp>2</stp>
        <stp>000048</stp>
        <stp>12/31/2018</stp>
        <tr r="P1177" s="1"/>
      </tp>
      <tp>
        <v>74.195845965881503</v>
        <stp/>
        <stp>EM_S_VAL_PCF_NCFTTM</stp>
        <stp>2</stp>
        <stp>300078</stp>
        <stp>12/31/2018</stp>
        <tr r="P1234" s="1"/>
      </tp>
      <tp>
        <v>10.701701475745599</v>
        <stp/>
        <stp>EM_S_VAL_PCF_NCFTTM</stp>
        <stp>2</stp>
        <stp>600028</stp>
        <stp>12/31/2018</stp>
        <tr r="P2245" s="1"/>
      </tp>
      <tp>
        <v>-27.637779555158499</v>
        <stp/>
        <stp>EM_S_VAL_PCF_NCFTTM</stp>
        <stp>2</stp>
        <stp>000049</stp>
        <stp>12/31/2018</stp>
        <tr r="P678" s="1"/>
      </tp>
      <tp>
        <v>158.986995781991</v>
        <stp/>
        <stp>EM_S_VAL_PCF_NCFTTM</stp>
        <stp>2</stp>
        <stp>300079</stp>
        <stp>12/31/2018</stp>
        <tr r="P236" s="1"/>
      </tp>
      <tp>
        <v>8.5533995567615193</v>
        <stp/>
        <stp>EM_S_VAL_PCF_NCFTTM</stp>
        <stp>2</stp>
        <stp>600029</stp>
        <stp>12/31/2018</stp>
        <tr r="P1859" s="1"/>
      </tp>
      <tp>
        <v>-66.388508730853005</v>
        <stp/>
        <stp>EM_S_VAL_PCF_NCFTTM</stp>
        <stp>2</stp>
        <stp>300064</stp>
        <stp>12/31/2018</stp>
        <tr r="P3172" s="1"/>
      </tp>
      <tp>
        <v>-5.8920638959261904</v>
        <stp/>
        <stp>EM_S_VAL_PCF_NCFTTM</stp>
        <stp>2</stp>
        <stp>000055</stp>
        <stp>12/31/2018</stp>
        <tr r="P1107" s="1"/>
      </tp>
      <tp>
        <v>42.474764980530601</v>
        <stp/>
        <stp>EM_S_VAL_PCF_NCFTTM</stp>
        <stp>2</stp>
        <stp>300065</stp>
        <stp>12/31/2018</stp>
        <tr r="P1337" s="1"/>
      </tp>
      <tp>
        <v>39.210271806427798</v>
        <stp/>
        <stp>EM_S_VAL_PCF_NCFTTM</stp>
        <stp>2</stp>
        <stp>600035</stp>
        <stp>12/31/2018</stp>
        <tr r="P1452" s="1"/>
      </tp>
      <tp>
        <v>-7.5370018174727198</v>
        <stp/>
        <stp>EM_S_VAL_PCF_NCFTTM</stp>
        <stp>2</stp>
        <stp>000056</stp>
        <stp>12/31/2018</stp>
        <tr r="P2827" s="1"/>
      </tp>
      <tp>
        <v>-153.337789006615</v>
        <stp/>
        <stp>EM_S_VAL_PCF_NCFTTM</stp>
        <stp>2</stp>
        <stp>300066</stp>
        <stp>12/31/2018</stp>
        <tr r="P710" s="1"/>
      </tp>
      <tp>
        <v>56.2673846078088</v>
        <stp/>
        <stp>EM_S_VAL_PCF_NCFTTM</stp>
        <stp>2</stp>
        <stp>600036</stp>
        <stp>12/31/2018</stp>
        <tr r="P562" s="1"/>
      </tp>
      <tp>
        <v>-205.151068668611</v>
        <stp/>
        <stp>EM_S_VAL_PCF_NCFTTM</stp>
        <stp>2</stp>
        <stp>300067</stp>
        <stp>12/31/2018</stp>
        <tr r="P2899" s="1"/>
      </tp>
      <tp>
        <v>-5.1303060216616903</v>
        <stp/>
        <stp>EM_S_VAL_PCF_NCFTTM</stp>
        <stp>2</stp>
        <stp>600037</stp>
        <stp>12/31/2018</stp>
        <tr r="P2030" s="1"/>
      </tp>
      <tp>
        <v>-79.088482481628901</v>
        <stp/>
        <stp>EM_S_VAL_PCF_NCFTTM</stp>
        <stp>2</stp>
        <stp>000050</stp>
        <stp>12/31/2018</stp>
        <tr r="P348" s="1"/>
      </tp>
      <tp>
        <v>-112.180305756176</v>
        <stp/>
        <stp>EM_S_VAL_PCF_NCFTTM</stp>
        <stp>2</stp>
        <stp>600030</stp>
        <stp>12/31/2018</stp>
        <tr r="P423" s="1"/>
      </tp>
      <tp>
        <v>-43.042220989734197</v>
        <stp/>
        <stp>EM_S_VAL_PCF_NCFTTM</stp>
        <stp>2</stp>
        <stp>300061</stp>
        <stp>12/31/2018</stp>
        <tr r="P1862" s="1"/>
      </tp>
      <tp>
        <v>8.2920953881459507</v>
        <stp/>
        <stp>EM_S_VAL_PCF_NCFTTM</stp>
        <stp>2</stp>
        <stp>600031</stp>
        <stp>12/31/2018</stp>
        <tr r="P148" s="1"/>
      </tp>
      <tp>
        <v>-8.5112792517097002</v>
        <stp/>
        <stp>EM_S_VAL_PCF_NCFTTM</stp>
        <stp>2</stp>
        <stp>300062</stp>
        <stp>12/31/2018</stp>
        <tr r="P1772" s="1"/>
      </tp>
      <tp>
        <v>-18.897765207512499</v>
        <stp/>
        <stp>EM_S_VAL_PCF_NCFTTM</stp>
        <stp>2</stp>
        <stp>300063</stp>
        <stp>12/31/2018</stp>
        <tr r="P2700" s="1"/>
      </tp>
      <tp>
        <v>148.598524899209</v>
        <stp/>
        <stp>EM_S_VAL_PCF_NCFTTM</stp>
        <stp>2</stp>
        <stp>600033</stp>
        <stp>12/31/2018</stp>
        <tr r="P2105" s="1"/>
      </tp>
      <tp>
        <v>-52.614304603259903</v>
        <stp/>
        <stp>EM_S_VAL_PCF_NCFTTM</stp>
        <stp>2</stp>
        <stp>000058</stp>
        <stp>12/31/2018</stp>
        <tr r="P1127" s="1"/>
      </tp>
      <tp>
        <v>-23.481061567241401</v>
        <stp/>
        <stp>EM_S_VAL_PCF_NCFTTM</stp>
        <stp>2</stp>
        <stp>300068</stp>
        <stp>12/31/2018</stp>
        <tr r="P3130" s="1"/>
      </tp>
      <tp>
        <v>111.923016265095</v>
        <stp/>
        <stp>EM_S_VAL_PCF_NCFTTM</stp>
        <stp>2</stp>
        <stp>600038</stp>
        <stp>12/31/2018</stp>
        <tr r="P1039" s="1"/>
      </tp>
      <tp>
        <v>-485.687096237297</v>
        <stp/>
        <stp>EM_S_VAL_PCF_NCFTTM</stp>
        <stp>2</stp>
        <stp>000059</stp>
        <stp>12/31/2018</stp>
        <tr r="P1923" s="1"/>
      </tp>
      <tp>
        <v>121.903466394125</v>
        <stp/>
        <stp>EM_S_VAL_PCF_NCFTTM</stp>
        <stp>2</stp>
        <stp>300069</stp>
        <stp>12/31/2018</stp>
        <tr r="P270" s="1"/>
      </tp>
      <tp>
        <v>-26.2743716046683</v>
        <stp/>
        <stp>EM_S_VAL_PCF_NCFTTM</stp>
        <stp>2</stp>
        <stp>600039</stp>
        <stp>12/31/2018</stp>
        <tr r="P2260" s="1"/>
      </tp>
      <tp>
        <v>-21.303214442886201</v>
        <stp/>
        <stp>EM_S_VAL_PCF_NCFTTM</stp>
        <stp>2</stp>
        <stp>300054</stp>
        <stp>12/31/2018</stp>
        <tr r="P635" s="1"/>
      </tp>
      <tp>
        <v>8.3909293294714509</v>
        <stp/>
        <stp>EM_S_VAL_PCF_NCFTTM</stp>
        <stp>2</stp>
        <stp>600004</stp>
        <stp>12/31/2018</stp>
        <tr r="P266" s="1"/>
      </tp>
      <tp>
        <v>-5.4370583791337204</v>
        <stp/>
        <stp>EM_S_VAL_PCF_NCFTTM</stp>
        <stp>2</stp>
        <stp>000065</stp>
        <stp>12/31/2018</stp>
        <tr r="P1549" s="1"/>
      </tp>
      <tp>
        <v>-30.125682574063301</v>
        <stp/>
        <stp>EM_S_VAL_PCF_NCFTTM</stp>
        <stp>2</stp>
        <stp>300055</stp>
        <stp>12/31/2018</stp>
        <tr r="P2859" s="1"/>
      </tp>
      <tp>
        <v>12.820130089371499</v>
        <stp/>
        <stp>EM_S_VAL_PCF_NCFTTM</stp>
        <stp>2</stp>
        <stp>600005</stp>
        <stp>12/31/2018</stp>
        <tr r="P2288" s="1"/>
      </tp>
      <tp>
        <v>70.145628417657704</v>
        <stp/>
        <stp>EM_S_VAL_PCF_NCFTTM</stp>
        <stp>2</stp>
        <stp>000066</stp>
        <stp>12/31/2018</stp>
        <tr r="P34" s="1"/>
      </tp>
      <tp>
        <v>-17.598304228197701</v>
        <stp/>
        <stp>EM_S_VAL_PCF_NCFTTM</stp>
        <stp>2</stp>
        <stp>300056</stp>
        <stp>12/31/2018</stp>
        <tr r="P1201" s="1"/>
      </tp>
      <tp>
        <v>-40.402541594446397</v>
        <stp/>
        <stp>EM_S_VAL_PCF_NCFTTM</stp>
        <stp>2</stp>
        <stp>600006</stp>
        <stp>12/31/2018</stp>
        <tr r="P1054" s="1"/>
      </tp>
      <tp>
        <v>3.7566332424739</v>
        <stp/>
        <stp>EM_S_VAL_PCF_NCFTTM</stp>
        <stp>2</stp>
        <stp>300057</stp>
        <stp>12/31/2018</stp>
        <tr r="P2435" s="1"/>
      </tp>
      <tp>
        <v>-36.269973972166298</v>
        <stp/>
        <stp>EM_S_VAL_PCF_NCFTTM</stp>
        <stp>2</stp>
        <stp>600007</stp>
        <stp>12/31/2018</stp>
        <tr r="P722" s="1"/>
      </tp>
      <tp>
        <v>33.326674214725202</v>
        <stp/>
        <stp>EM_S_VAL_PCF_NCFTTM</stp>
        <stp>2</stp>
        <stp>000060</stp>
        <stp>12/31/2018</stp>
        <tr r="P1710" s="1"/>
      </tp>
      <tp>
        <v>-9.3990467143673104</v>
        <stp/>
        <stp>EM_S_VAL_PCF_NCFTTM</stp>
        <stp>2</stp>
        <stp>300050</stp>
        <stp>12/31/2018</stp>
        <tr r="P2656" s="1"/>
      </tp>
      <tp>
        <v>2.7683979393734699</v>
        <stp/>
        <stp>EM_S_VAL_PCF_NCFTTM</stp>
        <stp>2</stp>
        <stp>600000</stp>
        <stp>12/31/2018</stp>
        <tr r="P1062" s="1"/>
      </tp>
      <tp>
        <v>11.9669714835441</v>
        <stp/>
        <stp>EM_S_VAL_PCF_NCFTTM</stp>
        <stp>2</stp>
        <stp>000061</stp>
        <stp>12/31/2018</stp>
        <tr r="P1460" s="1"/>
      </tp>
      <tp>
        <v>-31.659577816709501</v>
        <stp/>
        <stp>EM_S_VAL_PCF_NCFTTM</stp>
        <stp>2</stp>
        <stp>300051</stp>
        <stp>12/31/2018</stp>
        <tr r="P2016" s="1"/>
      </tp>
      <tp>
        <v>790.66496577993303</v>
        <stp/>
        <stp>EM_S_VAL_PCF_NCFTTM</stp>
        <stp>2</stp>
        <stp>600001</stp>
        <stp>12/31/2018</stp>
        <tr r="P2285" s="1"/>
      </tp>
      <tp>
        <v>24.4124235189221</v>
        <stp/>
        <stp>EM_S_VAL_PCF_NCFTTM</stp>
        <stp>2</stp>
        <stp>000062</stp>
        <stp>12/31/2018</stp>
        <tr r="P1072" s="1"/>
      </tp>
      <tp>
        <v>-27.489409833697799</v>
        <stp/>
        <stp>EM_S_VAL_PCF_NCFTTM</stp>
        <stp>2</stp>
        <stp>300052</stp>
        <stp>12/31/2018</stp>
        <tr r="P509" s="1"/>
      </tp>
      <tp>
        <v>76.217315514235906</v>
        <stp/>
        <stp>EM_S_VAL_PCF_NCFTTM</stp>
        <stp>2</stp>
        <stp>600002</stp>
        <stp>12/31/2018</stp>
        <tr r="P2286" s="1"/>
      </tp>
      <tp>
        <v>-6.7310496046015196</v>
        <stp/>
        <stp>EM_S_VAL_PCF_NCFTTM</stp>
        <stp>2</stp>
        <stp>000063</stp>
        <stp>12/31/2018</stp>
        <tr r="P245" s="1"/>
      </tp>
      <tp>
        <v>435.80654126912799</v>
        <stp/>
        <stp>EM_S_VAL_PCF_NCFTTM</stp>
        <stp>2</stp>
        <stp>300053</stp>
        <stp>12/31/2018</stp>
        <tr r="P528" s="1"/>
      </tp>
      <tp>
        <v>18.828054030255402</v>
        <stp/>
        <stp>EM_S_VAL_PCF_NCFTTM</stp>
        <stp>2</stp>
        <stp>600003</stp>
        <stp>12/31/2018</stp>
        <tr r="P2287" s="1"/>
      </tp>
      <tp>
        <v>-17.649378825119602</v>
        <stp/>
        <stp>EM_S_VAL_PCF_NCFTTM</stp>
        <stp>2</stp>
        <stp>000068</stp>
        <stp>12/31/2018</stp>
        <tr r="P2414" s="1"/>
      </tp>
      <tp>
        <v>-12.4368208766835</v>
        <stp/>
        <stp>EM_S_VAL_PCF_NCFTTM</stp>
        <stp>2</stp>
        <stp>300058</stp>
        <stp>12/31/2018</stp>
        <tr r="P873" s="1"/>
      </tp>
      <tp>
        <v>7.6918737775518098</v>
        <stp/>
        <stp>EM_S_VAL_PCF_NCFTTM</stp>
        <stp>2</stp>
        <stp>600008</stp>
        <stp>12/31/2018</stp>
        <tr r="P2550" s="1"/>
      </tp>
      <tp>
        <v>6.0930965690698997</v>
        <stp/>
        <stp>EM_S_VAL_PCF_NCFTTM</stp>
        <stp>2</stp>
        <stp>000069</stp>
        <stp>12/31/2018</stp>
        <tr r="P986" s="1"/>
      </tp>
      <tp>
        <v>-57.5742846284774</v>
        <stp/>
        <stp>EM_S_VAL_PCF_NCFTTM</stp>
        <stp>2</stp>
        <stp>300059</stp>
        <stp>12/31/2018</stp>
        <tr r="P916" s="1"/>
      </tp>
      <tp>
        <v>186.491416259939</v>
        <stp/>
        <stp>EM_S_VAL_PCF_NCFTTM</stp>
        <stp>2</stp>
        <stp>600009</stp>
        <stp>12/31/2018</stp>
        <tr r="P511" s="1"/>
      </tp>
      <tp>
        <v>144.88415999220101</v>
        <stp/>
        <stp>EM_S_VAL_PCF_NCFTTM</stp>
        <stp>2</stp>
        <stp>300044</stp>
        <stp>12/31/2018</stp>
        <tr r="P1874" s="1"/>
      </tp>
      <tp>
        <v>30.399652503290302</v>
        <stp/>
        <stp>EM_S_VAL_PCF_NCFTTM</stp>
        <stp>2</stp>
        <stp>300045</stp>
        <stp>12/31/2018</stp>
        <tr r="P1141" s="1"/>
      </tp>
      <tp>
        <v>-1.54068212934997</v>
        <stp/>
        <stp>EM_S_VAL_PCF_NCFTTM</stp>
        <stp>2</stp>
        <stp>600015</stp>
        <stp>12/31/2018</stp>
        <tr r="P2083" s="1"/>
      </tp>
      <tp>
        <v>-27.350848392205101</v>
        <stp/>
        <stp>EM_S_VAL_PCF_NCFTTM</stp>
        <stp>2</stp>
        <stp>300046</stp>
        <stp>12/31/2018</stp>
        <tr r="P595" s="1"/>
      </tp>
      <tp>
        <v>-62.112715527719701</v>
        <stp/>
        <stp>EM_S_VAL_PCF_NCFTTM</stp>
        <stp>2</stp>
        <stp>600016</stp>
        <stp>12/31/2018</stp>
        <tr r="P1730" s="1"/>
      </tp>
      <tp>
        <v>309.58122106115201</v>
        <stp/>
        <stp>EM_S_VAL_PCF_NCFTTM</stp>
        <stp>2</stp>
        <stp>300047</stp>
        <stp>12/31/2018</stp>
        <tr r="P3200" s="1"/>
      </tp>
      <tp>
        <v>-16.2314345694748</v>
        <stp/>
        <stp>EM_S_VAL_PCF_NCFTTM</stp>
        <stp>2</stp>
        <stp>600017</stp>
        <stp>12/31/2018</stp>
        <tr r="P1986" s="1"/>
      </tp>
      <tp>
        <v>185.900601087697</v>
        <stp/>
        <stp>EM_S_VAL_PCF_NCFTTM</stp>
        <stp>2</stp>
        <stp>000070</stp>
        <stp>12/31/2018</stp>
        <tr r="P228" s="1"/>
      </tp>
      <tp>
        <v>-23.8562019855922</v>
        <stp/>
        <stp>EM_S_VAL_PCF_NCFTTM</stp>
        <stp>2</stp>
        <stp>300040</stp>
        <stp>12/31/2018</stp>
        <tr r="P1626" s="1"/>
      </tp>
      <tp>
        <v>78.949532869203694</v>
        <stp/>
        <stp>EM_S_VAL_PCF_NCFTTM</stp>
        <stp>2</stp>
        <stp>600010</stp>
        <stp>12/31/2018</stp>
        <tr r="P2792" s="1"/>
      </tp>
      <tp>
        <v>-22.379684771004001</v>
        <stp/>
        <stp>EM_S_VAL_PCF_NCFTTM</stp>
        <stp>2</stp>
        <stp>300041</stp>
        <stp>12/31/2018</stp>
        <tr r="P532" s="1"/>
      </tp>
      <tp>
        <v>-39.848965308392501</v>
        <stp/>
        <stp>EM_S_VAL_PCF_NCFTTM</stp>
        <stp>2</stp>
        <stp>600011</stp>
        <stp>12/31/2018</stp>
        <tr r="P3146" s="1"/>
      </tp>
      <tp>
        <v>43.726709510004099</v>
        <stp/>
        <stp>EM_S_VAL_PCF_NCFTTM</stp>
        <stp>2</stp>
        <stp>300042</stp>
        <stp>12/31/2018</stp>
        <tr r="P1386" s="1"/>
      </tp>
      <tp>
        <v>-28.536632860959799</v>
        <stp/>
        <stp>EM_S_VAL_PCF_NCFTTM</stp>
        <stp>2</stp>
        <stp>600012</stp>
        <stp>12/31/2018</stp>
        <tr r="P2470" s="1"/>
      </tp>
      <tp>
        <v>-16.4349619618439</v>
        <stp/>
        <stp>EM_S_VAL_PCF_NCFTTM</stp>
        <stp>2</stp>
        <stp>300043</stp>
        <stp>12/31/2018</stp>
        <tr r="P491" s="1"/>
      </tp>
      <tp>
        <v>-14.872926240635</v>
        <stp/>
        <stp>EM_S_VAL_PCF_NCFTTM</stp>
        <stp>2</stp>
        <stp>000078</stp>
        <stp>12/31/2018</stp>
        <tr r="P1064" s="1"/>
      </tp>
      <tp>
        <v>40.820159654223701</v>
        <stp/>
        <stp>EM_S_VAL_PCF_NCFTTM</stp>
        <stp>2</stp>
        <stp>300048</stp>
        <stp>12/31/2018</stp>
        <tr r="P2355" s="1"/>
      </tp>
      <tp>
        <v>22.211856317403601</v>
        <stp/>
        <stp>EM_S_VAL_PCF_NCFTTM</stp>
        <stp>2</stp>
        <stp>600018</stp>
        <stp>12/31/2018</stp>
        <tr r="P1725" s="1"/>
      </tp>
      <tp>
        <v>-4.5172565522540502</v>
        <stp/>
        <stp>EM_S_VAL_PCF_NCFTTM</stp>
        <stp>2</stp>
        <stp>300049</stp>
        <stp>12/31/2018</stp>
        <tr r="P3166" s="1"/>
      </tp>
      <tp>
        <v>33.969424280275199</v>
        <stp/>
        <stp>EM_S_VAL_PCF_NCFTTM</stp>
        <stp>2</stp>
        <stp>600019</stp>
        <stp>12/31/2018</stp>
        <tr r="P2815" s="1"/>
      </tp>
      <tp>
        <v>-56.675187562154697</v>
        <stp/>
        <stp>EM_S_VAL_PCF_NCFTTM</stp>
        <stp>2</stp>
        <stp>300394</stp>
        <stp>12/31/2018</stp>
        <tr r="P554" s="1"/>
      </tp>
      <tp>
        <v>-124.656304925551</v>
        <stp/>
        <stp>EM_S_VAL_PCF_NCFTTM</stp>
        <stp>2</stp>
        <stp>300395</stp>
        <stp>12/31/2018</stp>
        <tr r="P574" s="1"/>
      </tp>
      <tp>
        <v>29.899650703915999</v>
        <stp/>
        <stp>EM_S_VAL_PCF_NCFTTM</stp>
        <stp>2</stp>
        <stp>300396</stp>
        <stp>12/31/2018</stp>
        <tr r="P723" s="1"/>
      </tp>
      <tp>
        <v>46.064016465083597</v>
        <stp/>
        <stp>EM_S_VAL_PCF_NCFTTM</stp>
        <stp>2</stp>
        <stp>300397</stp>
        <stp>12/31/2018</stp>
        <tr r="P41" s="1"/>
      </tp>
      <tp>
        <v>64.1804864535588</v>
        <stp/>
        <stp>EM_S_VAL_PCF_NCFTTM</stp>
        <stp>2</stp>
        <stp>300390</stp>
        <stp>12/31/2018</stp>
        <tr r="P2862" s="1"/>
      </tp>
      <tp>
        <v>13.913509606500901</v>
        <stp/>
        <stp>EM_S_VAL_PCF_NCFTTM</stp>
        <stp>2</stp>
        <stp>300391</stp>
        <stp>12/31/2018</stp>
        <tr r="P3154" s="1"/>
      </tp>
      <tp>
        <v>-35.548950764104099</v>
        <stp/>
        <stp>EM_S_VAL_PCF_NCFTTM</stp>
        <stp>2</stp>
        <stp>300392</stp>
        <stp>12/31/2018</stp>
        <tr r="P2449" s="1"/>
      </tp>
      <tp>
        <v>13.2181032458146</v>
        <stp/>
        <stp>EM_S_VAL_PCF_NCFTTM</stp>
        <stp>2</stp>
        <stp>300393</stp>
        <stp>12/31/2018</stp>
        <tr r="P2477" s="1"/>
      </tp>
      <tp>
        <v>-18.136332222901</v>
        <stp/>
        <stp>EM_S_VAL_PCF_NCFTTM</stp>
        <stp>2</stp>
        <stp>300398</stp>
        <stp>12/31/2018</stp>
        <tr r="P2573" s="1"/>
      </tp>
      <tp>
        <v>293.49653089392098</v>
        <stp/>
        <stp>EM_S_VAL_PCF_NCFTTM</stp>
        <stp>2</stp>
        <stp>300399</stp>
        <stp>12/31/2018</stp>
        <tr r="P472" s="1"/>
      </tp>
      <tp>
        <v>17.686515110160599</v>
        <stp/>
        <stp>EM_S_VAL_PCF_NCFTTM</stp>
        <stp>2</stp>
        <stp>300384</stp>
        <stp>12/31/2018</stp>
        <tr r="P530" s="1"/>
      </tp>
      <tp>
        <v>-34.791185755242701</v>
        <stp/>
        <stp>EM_S_VAL_PCF_NCFTTM</stp>
        <stp>2</stp>
        <stp>300385</stp>
        <stp>12/31/2018</stp>
        <tr r="P2956" s="1"/>
      </tp>
      <tp>
        <v>36.874271427831502</v>
        <stp/>
        <stp>EM_S_VAL_PCF_NCFTTM</stp>
        <stp>2</stp>
        <stp>300386</stp>
        <stp>12/31/2018</stp>
        <tr r="P696" s="1"/>
      </tp>
      <tp>
        <v>6.7929642966924302</v>
        <stp/>
        <stp>EM_S_VAL_PCF_NCFTTM</stp>
        <stp>2</stp>
        <stp>300387</stp>
        <stp>12/31/2018</stp>
        <tr r="P304" s="1"/>
      </tp>
      <tp>
        <v>46.836916013003602</v>
        <stp/>
        <stp>EM_S_VAL_PCF_NCFTTM</stp>
        <stp>2</stp>
        <stp>300380</stp>
        <stp>12/31/2018</stp>
        <tr r="P1006" s="1"/>
      </tp>
      <tp>
        <v>410.71585613473201</v>
        <stp/>
        <stp>EM_S_VAL_PCF_NCFTTM</stp>
        <stp>2</stp>
        <stp>300381</stp>
        <stp>12/31/2018</stp>
        <tr r="P1162" s="1"/>
      </tp>
      <tp>
        <v>-217.34399960693301</v>
        <stp/>
        <stp>EM_S_VAL_PCF_NCFTTM</stp>
        <stp>2</stp>
        <stp>300382</stp>
        <stp>12/31/2018</stp>
        <tr r="P2351" s="1"/>
      </tp>
      <tp>
        <v>408.69285995186902</v>
        <stp/>
        <stp>EM_S_VAL_PCF_NCFTTM</stp>
        <stp>2</stp>
        <stp>300383</stp>
        <stp>12/31/2018</stp>
        <tr r="P447" s="1"/>
      </tp>
      <tp>
        <v>49.098427702334099</v>
        <stp/>
        <stp>EM_S_VAL_PCF_NCFTTM</stp>
        <stp>2</stp>
        <stp>300388</stp>
        <stp>12/31/2018</stp>
        <tr r="P1290" s="1"/>
      </tp>
      <tp>
        <v>-102.29044813534</v>
        <stp/>
        <stp>EM_S_VAL_PCF_NCFTTM</stp>
        <stp>2</stp>
        <stp>300389</stp>
        <stp>12/31/2018</stp>
        <tr r="P3203" s="1"/>
      </tp>
      <tp>
        <v>1067.8635698312501</v>
        <stp/>
        <stp>EM_S_VAL_PCF_NCFTTM</stp>
        <stp>2</stp>
        <stp>600385</stp>
        <stp>12/31/2018</stp>
        <tr r="P3030" s="1"/>
      </tp>
      <tp>
        <v>18.156330288470599</v>
        <stp/>
        <stp>EM_S_VAL_PCF_NCFTTM</stp>
        <stp>2</stp>
        <stp>600386</stp>
        <stp>12/31/2018</stp>
        <tr r="P1578" s="1"/>
      </tp>
      <tp>
        <v>4.5666493076683103</v>
        <stp/>
        <stp>EM_S_VAL_PCF_NCFTTM</stp>
        <stp>2</stp>
        <stp>600387</stp>
        <stp>12/31/2018</stp>
        <tr r="P1984" s="1"/>
      </tp>
      <tp>
        <v>-16.676389184504401</v>
        <stp/>
        <stp>EM_S_VAL_PCF_NCFTTM</stp>
        <stp>2</stp>
        <stp>600380</stp>
        <stp>12/31/2018</stp>
        <tr r="P567" s="1"/>
      </tp>
      <tp>
        <v>9.5954241385785597</v>
        <stp/>
        <stp>EM_S_VAL_PCF_NCFTTM</stp>
        <stp>2</stp>
        <stp>600381</stp>
        <stp>12/31/2018</stp>
        <tr r="P2664" s="1"/>
      </tp>
      <tp>
        <v>-22.8308439469969</v>
        <stp/>
        <stp>EM_S_VAL_PCF_NCFTTM</stp>
        <stp>2</stp>
        <stp>600382</stp>
        <stp>12/31/2018</stp>
        <tr r="P2733" s="1"/>
      </tp>
      <tp>
        <v>6.8754997827967204</v>
        <stp/>
        <stp>EM_S_VAL_PCF_NCFTTM</stp>
        <stp>2</stp>
        <stp>600383</stp>
        <stp>12/31/2018</stp>
        <tr r="P593" s="1"/>
      </tp>
      <tp>
        <v>118.592035850228</v>
        <stp/>
        <stp>EM_S_VAL_PCF_NCFTTM</stp>
        <stp>2</stp>
        <stp>600388</stp>
        <stp>12/31/2018</stp>
        <tr r="P2538" s="1"/>
      </tp>
      <tp>
        <v>-335.22211065384602</v>
        <stp/>
        <stp>EM_S_VAL_PCF_NCFTTM</stp>
        <stp>2</stp>
        <stp>600389</stp>
        <stp>12/31/2018</stp>
        <tr r="P1130" s="1"/>
      </tp>
      <tp>
        <v>19.727073587597602</v>
        <stp/>
        <stp>EM_S_VAL_PCF_NCFTTM</stp>
        <stp>2</stp>
        <stp>600395</stp>
        <stp>12/31/2018</stp>
        <tr r="P1227" s="1"/>
      </tp>
      <tp>
        <v>12.1677658094228</v>
        <stp/>
        <stp>EM_S_VAL_PCF_NCFTTM</stp>
        <stp>2</stp>
        <stp>600396</stp>
        <stp>12/31/2018</stp>
        <tr r="P2422" s="1"/>
      </tp>
      <tp>
        <v>-42.2413655162635</v>
        <stp/>
        <stp>EM_S_VAL_PCF_NCFTTM</stp>
        <stp>2</stp>
        <stp>600397</stp>
        <stp>12/31/2018</stp>
        <tr r="P1122" s="1"/>
      </tp>
      <tp>
        <v>-8.0943750674036501</v>
        <stp/>
        <stp>EM_S_VAL_PCF_NCFTTM</stp>
        <stp>2</stp>
        <stp>600390</stp>
        <stp>12/31/2018</stp>
        <tr r="P1389" s="1"/>
      </tp>
      <tp>
        <v>-93.113231527412907</v>
        <stp/>
        <stp>EM_S_VAL_PCF_NCFTTM</stp>
        <stp>2</stp>
        <stp>600391</stp>
        <stp>12/31/2018</stp>
        <tr r="P1045" s="1"/>
      </tp>
      <tp>
        <v>-137.19243471282499</v>
        <stp/>
        <stp>EM_S_VAL_PCF_NCFTTM</stp>
        <stp>2</stp>
        <stp>600392</stp>
        <stp>12/31/2018</stp>
        <tr r="P1949" s="1"/>
      </tp>
      <tp>
        <v>74.788712313086407</v>
        <stp/>
        <stp>EM_S_VAL_PCF_NCFTTM</stp>
        <stp>2</stp>
        <stp>600393</stp>
        <stp>12/31/2018</stp>
        <tr r="P815" s="1"/>
      </tp>
      <tp>
        <v>12.8502264877073</v>
        <stp/>
        <stp>EM_S_VAL_PCF_NCFTTM</stp>
        <stp>2</stp>
        <stp>600398</stp>
        <stp>12/31/2018</stp>
        <tr r="P2779" s="1"/>
      </tp>
      <tp>
        <v>24.7491878015203</v>
        <stp/>
        <stp>EM_S_VAL_PCF_NCFTTM</stp>
        <stp>2</stp>
        <stp>600399</stp>
        <stp>12/31/2018</stp>
        <tr r="P902" s="1"/>
      </tp>
      <tp>
        <v>131.271118661999</v>
        <stp/>
        <stp>EM_S_VAL_PCF_NCFTTM</stp>
        <stp>2</stp>
        <stp>300334</stp>
        <stp>12/31/2018</stp>
        <tr r="P2828" s="1"/>
      </tp>
      <tp>
        <v>-45.4633788828191</v>
        <stp/>
        <stp>EM_S_VAL_PCF_NCFTTM</stp>
        <stp>2</stp>
        <stp>300335</stp>
        <stp>12/31/2018</stp>
        <tr r="P2659" s="1"/>
      </tp>
      <tp>
        <v>117.57228372748899</v>
        <stp/>
        <stp>EM_S_VAL_PCF_NCFTTM</stp>
        <stp>2</stp>
        <stp>600365</stp>
        <stp>12/31/2018</stp>
        <tr r="P1502" s="1"/>
      </tp>
      <tp>
        <v>-20.043430037296002</v>
        <stp/>
        <stp>EM_S_VAL_PCF_NCFTTM</stp>
        <stp>2</stp>
        <stp>300336</stp>
        <stp>12/31/2018</stp>
        <tr r="P2614" s="1"/>
      </tp>
      <tp>
        <v>-41.313304181406899</v>
        <stp/>
        <stp>EM_S_VAL_PCF_NCFTTM</stp>
        <stp>2</stp>
        <stp>600366</stp>
        <stp>12/31/2018</stp>
        <tr r="P846" s="1"/>
      </tp>
      <tp>
        <v>44.032247175834399</v>
        <stp/>
        <stp>EM_S_VAL_PCF_NCFTTM</stp>
        <stp>2</stp>
        <stp>300337</stp>
        <stp>12/31/2018</stp>
        <tr r="P2721" s="1"/>
      </tp>
      <tp>
        <v>-31.015982513935</v>
        <stp/>
        <stp>EM_S_VAL_PCF_NCFTTM</stp>
        <stp>2</stp>
        <stp>600367</stp>
        <stp>12/31/2018</stp>
        <tr r="P1964" s="1"/>
      </tp>
      <tp>
        <v>244.36006372988399</v>
        <stp/>
        <stp>EM_S_VAL_PCF_NCFTTM</stp>
        <stp>2</stp>
        <stp>300330</stp>
        <stp>12/31/2018</stp>
        <tr r="P758" s="1"/>
      </tp>
      <tp>
        <v>24.6212919695311</v>
        <stp/>
        <stp>EM_S_VAL_PCF_NCFTTM</stp>
        <stp>2</stp>
        <stp>600360</stp>
        <stp>12/31/2018</stp>
        <tr r="P920" s="1"/>
      </tp>
      <tp>
        <v>-94.047700551085001</v>
        <stp/>
        <stp>EM_S_VAL_PCF_NCFTTM</stp>
        <stp>2</stp>
        <stp>000301</stp>
        <stp>12/31/2018</stp>
        <tr r="P2580" s="1"/>
      </tp>
      <tp>
        <v>-26.877302408041601</v>
        <stp/>
        <stp>EM_S_VAL_PCF_NCFTTM</stp>
        <stp>2</stp>
        <stp>300331</stp>
        <stp>12/31/2018</stp>
        <tr r="P208" s="1"/>
      </tp>
      <tp>
        <v>-26.468800484640401</v>
        <stp/>
        <stp>EM_S_VAL_PCF_NCFTTM</stp>
        <stp>2</stp>
        <stp>600361</stp>
        <stp>12/31/2018</stp>
        <tr r="P1719" s="1"/>
      </tp>
      <tp>
        <v>-17.9267345537293</v>
        <stp/>
        <stp>EM_S_VAL_PCF_NCFTTM</stp>
        <stp>2</stp>
        <stp>300332</stp>
        <stp>12/31/2018</stp>
        <tr r="P1799" s="1"/>
      </tp>
      <tp>
        <v>6.3494595152590998</v>
        <stp/>
        <stp>EM_S_VAL_PCF_NCFTTM</stp>
        <stp>2</stp>
        <stp>600362</stp>
        <stp>12/31/2018</stp>
        <tr r="P900" s="1"/>
      </tp>
      <tp>
        <v>-257.365908662224</v>
        <stp/>
        <stp>EM_S_VAL_PCF_NCFTTM</stp>
        <stp>2</stp>
        <stp>300333</stp>
        <stp>12/31/2018</stp>
        <tr r="P455" s="1"/>
      </tp>
      <tp>
        <v>-31.8668639059733</v>
        <stp/>
        <stp>EM_S_VAL_PCF_NCFTTM</stp>
        <stp>2</stp>
        <stp>600363</stp>
        <stp>12/31/2018</stp>
        <tr r="P202" s="1"/>
      </tp>
      <tp>
        <v>-27.015650416493699</v>
        <stp/>
        <stp>EM_S_VAL_PCF_NCFTTM</stp>
        <stp>2</stp>
        <stp>300338</stp>
        <stp>12/31/2018</stp>
        <tr r="P520" s="1"/>
      </tp>
      <tp>
        <v>-38.195661408229398</v>
        <stp/>
        <stp>EM_S_VAL_PCF_NCFTTM</stp>
        <stp>2</stp>
        <stp>600368</stp>
        <stp>12/31/2018</stp>
        <tr r="P637" s="1"/>
      </tp>
      <tp>
        <v>21.5548334672038</v>
        <stp/>
        <stp>EM_S_VAL_PCF_NCFTTM</stp>
        <stp>2</stp>
        <stp>300339</stp>
        <stp>12/31/2018</stp>
        <tr r="P650" s="1"/>
      </tp>
      <tp>
        <v>-8.92513007016505</v>
        <stp/>
        <stp>EM_S_VAL_PCF_NCFTTM</stp>
        <stp>2</stp>
        <stp>600369</stp>
        <stp>12/31/2018</stp>
        <tr r="P559" s="1"/>
      </tp>
      <tp>
        <v>-11.188513467103199</v>
        <stp/>
        <stp>EM_S_VAL_PCF_NCFTTM</stp>
        <stp>2</stp>
        <stp>300324</stp>
        <stp>12/31/2018</stp>
        <tr r="P2393" s="1"/>
      </tp>
      <tp>
        <v>-11.404302824587001</v>
        <stp/>
        <stp>EM_S_VAL_PCF_NCFTTM</stp>
        <stp>2</stp>
        <stp>300325</stp>
        <stp>12/31/2018</stp>
        <tr r="P1879" s="1"/>
      </tp>
      <tp>
        <v>-64.199720879160594</v>
        <stp/>
        <stp>EM_S_VAL_PCF_NCFTTM</stp>
        <stp>2</stp>
        <stp>600375</stp>
        <stp>12/31/2018</stp>
        <tr r="P856" s="1"/>
      </tp>
      <tp>
        <v>30.649040530566101</v>
        <stp/>
        <stp>EM_S_VAL_PCF_NCFTTM</stp>
        <stp>2</stp>
        <stp>300326</stp>
        <stp>12/31/2018</stp>
        <tr r="P483" s="1"/>
      </tp>
      <tp>
        <v>-38.666115603580103</v>
        <stp/>
        <stp>EM_S_VAL_PCF_NCFTTM</stp>
        <stp>2</stp>
        <stp>600376</stp>
        <stp>12/31/2018</stp>
        <tr r="P1649" s="1"/>
      </tp>
      <tp>
        <v>-22.398645149180801</v>
        <stp/>
        <stp>EM_S_VAL_PCF_NCFTTM</stp>
        <stp>2</stp>
        <stp>300327</stp>
        <stp>12/31/2018</stp>
        <tr r="P690" s="1"/>
      </tp>
      <tp>
        <v>288.19159681069698</v>
        <stp/>
        <stp>EM_S_VAL_PCF_NCFTTM</stp>
        <stp>2</stp>
        <stp>600377</stp>
        <stp>12/31/2018</stp>
        <tr r="P1600" s="1"/>
      </tp>
      <tp>
        <v>42.174739325027097</v>
        <stp/>
        <stp>EM_S_VAL_PCF_NCFTTM</stp>
        <stp>2</stp>
        <stp>300320</stp>
        <stp>12/31/2018</stp>
        <tr r="P1658" s="1"/>
      </tp>
      <tp>
        <v>49.764566828616999</v>
        <stp/>
        <stp>EM_S_VAL_PCF_NCFTTM</stp>
        <stp>2</stp>
        <stp>600370</stp>
        <stp>12/31/2018</stp>
        <tr r="P1676" s="1"/>
      </tp>
      <tp>
        <v>-77.9413287967445</v>
        <stp/>
        <stp>EM_S_VAL_PCF_NCFTTM</stp>
        <stp>2</stp>
        <stp>300321</stp>
        <stp>12/31/2018</stp>
        <tr r="P1033" s="1"/>
      </tp>
      <tp>
        <v>58.491246468573699</v>
        <stp/>
        <stp>EM_S_VAL_PCF_NCFTTM</stp>
        <stp>2</stp>
        <stp>600371</stp>
        <stp>12/31/2018</stp>
        <tr r="P193" s="1"/>
      </tp>
      <tp>
        <v>63.152959035620597</v>
        <stp/>
        <stp>EM_S_VAL_PCF_NCFTTM</stp>
        <stp>2</stp>
        <stp>300322</stp>
        <stp>12/31/2018</stp>
        <tr r="P123" s="1"/>
      </tp>
      <tp>
        <v>14.1018240054114</v>
        <stp/>
        <stp>EM_S_VAL_PCF_NCFTTM</stp>
        <stp>2</stp>
        <stp>600372</stp>
        <stp>12/31/2018</stp>
        <tr r="P1736" s="1"/>
      </tp>
      <tp>
        <v>11.9917866269965</v>
        <stp/>
        <stp>EM_S_VAL_PCF_NCFTTM</stp>
        <stp>2</stp>
        <stp>300323</stp>
        <stp>12/31/2018</stp>
        <tr r="P2365" s="1"/>
      </tp>
      <tp>
        <v>15.7168360404489</v>
        <stp/>
        <stp>EM_S_VAL_PCF_NCFTTM</stp>
        <stp>2</stp>
        <stp>600373</stp>
        <stp>12/31/2018</stp>
        <tr r="P2059" s="1"/>
      </tp>
      <tp>
        <v>-23.453846398787999</v>
        <stp/>
        <stp>EM_S_VAL_PCF_NCFTTM</stp>
        <stp>2</stp>
        <stp>300328</stp>
        <stp>12/31/2018</stp>
        <tr r="P97" s="1"/>
      </tp>
      <tp>
        <v>-1045.5091876819999</v>
        <stp/>
        <stp>EM_S_VAL_PCF_NCFTTM</stp>
        <stp>2</stp>
        <stp>600378</stp>
        <stp>12/31/2018</stp>
        <tr r="P132" s="1"/>
      </tp>
      <tp>
        <v>-629.36562020139797</v>
        <stp/>
        <stp>EM_S_VAL_PCF_NCFTTM</stp>
        <stp>2</stp>
        <stp>300329</stp>
        <stp>12/31/2018</stp>
        <tr r="P1174" s="1"/>
      </tp>
      <tp>
        <v>154.627682617744</v>
        <stp/>
        <stp>EM_S_VAL_PCF_NCFTTM</stp>
        <stp>2</stp>
        <stp>600379</stp>
        <stp>12/31/2018</stp>
        <tr r="P2976" s="1"/>
      </tp>
      <tp>
        <v>141.623395997036</v>
        <stp/>
        <stp>EM_S_VAL_PCF_NCFTTM</stp>
        <stp>2</stp>
        <stp>300314</stp>
        <stp>12/31/2018</stp>
        <tr r="P1678" s="1"/>
      </tp>
      <tp>
        <v>96.112670356945699</v>
        <stp/>
        <stp>EM_S_VAL_PCF_NCFTTM</stp>
        <stp>2</stp>
        <stp>300315</stp>
        <stp>12/31/2018</stp>
        <tr r="P254" s="1"/>
      </tp>
      <tp>
        <v>60.171186739322302</v>
        <stp/>
        <stp>EM_S_VAL_PCF_NCFTTM</stp>
        <stp>2</stp>
        <stp>600345</stp>
        <stp>12/31/2018</stp>
        <tr r="P2249" s="1"/>
      </tp>
      <tp>
        <v>-237.84534101327401</v>
        <stp/>
        <stp>EM_S_VAL_PCF_NCFTTM</stp>
        <stp>2</stp>
        <stp>300316</stp>
        <stp>12/31/2018</stp>
        <tr r="P480" s="1"/>
      </tp>
      <tp>
        <v>5.6936663269238403</v>
        <stp/>
        <stp>EM_S_VAL_PCF_NCFTTM</stp>
        <stp>2</stp>
        <stp>600346</stp>
        <stp>12/31/2018</stp>
        <tr r="P1252" s="1"/>
      </tp>
      <tp>
        <v>-11.038739941199699</v>
        <stp/>
        <stp>EM_S_VAL_PCF_NCFTTM</stp>
        <stp>2</stp>
        <stp>300317</stp>
        <stp>12/31/2018</stp>
        <tr r="P1978" s="1"/>
      </tp>
      <tp>
        <v>4866.6625145089101</v>
        <stp/>
        <stp>EM_S_VAL_PCF_NCFTTM</stp>
        <stp>2</stp>
        <stp>300310</stp>
        <stp>12/31/2018</stp>
        <tr r="P2231" s="1"/>
      </tp>
      <tp>
        <v>-9.8606938514010292</v>
        <stp/>
        <stp>EM_S_VAL_PCF_NCFTTM</stp>
        <stp>2</stp>
        <stp>600340</stp>
        <stp>12/31/2018</stp>
        <tr r="P1641" s="1"/>
      </tp>
      <tp>
        <v>-32.242313594583898</v>
        <stp/>
        <stp>EM_S_VAL_PCF_NCFTTM</stp>
        <stp>2</stp>
        <stp>300311</stp>
        <stp>12/31/2018</stp>
        <tr r="P362" s="1"/>
      </tp>
      <tp>
        <v>-186.10230708187501</v>
        <stp/>
        <stp>EM_S_VAL_PCF_NCFTTM</stp>
        <stp>2</stp>
        <stp>300312</stp>
        <stp>12/31/2018</stp>
        <tr r="P3298" s="1"/>
      </tp>
      <tp>
        <v>351.46488271022702</v>
        <stp/>
        <stp>EM_S_VAL_PCF_NCFTTM</stp>
        <stp>2</stp>
        <stp>300313</stp>
        <stp>12/31/2018</stp>
        <tr r="P2939" s="1"/>
      </tp>
      <tp>
        <v>116.565670653217</v>
        <stp/>
        <stp>EM_S_VAL_PCF_NCFTTM</stp>
        <stp>2</stp>
        <stp>600343</stp>
        <stp>12/31/2018</stp>
        <tr r="P1225" s="1"/>
      </tp>
      <tp>
        <v>116.39158473591</v>
        <stp/>
        <stp>EM_S_VAL_PCF_NCFTTM</stp>
        <stp>2</stp>
        <stp>300318</stp>
        <stp>12/31/2018</stp>
        <tr r="P2155" s="1"/>
      </tp>
      <tp>
        <v>63.803620918168498</v>
        <stp/>
        <stp>EM_S_VAL_PCF_NCFTTM</stp>
        <stp>2</stp>
        <stp>600348</stp>
        <stp>12/31/2018</stp>
        <tr r="P1741" s="1"/>
      </tp>
      <tp>
        <v>-4.6358270524220302</v>
        <stp/>
        <stp>EM_S_VAL_PCF_NCFTTM</stp>
        <stp>2</stp>
        <stp>300319</stp>
        <stp>12/31/2018</stp>
        <tr r="P128" s="1"/>
      </tp>
      <tp>
        <v>0</v>
        <stp/>
        <stp>EM_S_VAL_PCF_NCFTTM</stp>
        <stp>2</stp>
        <stp>600349</stp>
        <stp>12/31/2018</stp>
        <tr r="P12" s="1"/>
      </tp>
      <tp>
        <v>-3202.96388973895</v>
        <stp/>
        <stp>EM_S_VAL_PCF_NCFTTM</stp>
        <stp>2</stp>
        <stp>300304</stp>
        <stp>12/31/2018</stp>
        <tr r="P949" s="1"/>
      </tp>
      <tp>
        <v>169.33521742467201</v>
        <stp/>
        <stp>EM_S_VAL_PCF_NCFTTM</stp>
        <stp>2</stp>
        <stp>600354</stp>
        <stp>12/31/2018</stp>
        <tr r="P804" s="1"/>
      </tp>
      <tp>
        <v>73.968224721899801</v>
        <stp/>
        <stp>EM_S_VAL_PCF_NCFTTM</stp>
        <stp>2</stp>
        <stp>300305</stp>
        <stp>12/31/2018</stp>
        <tr r="P1934" s="1"/>
      </tp>
      <tp>
        <v>65.080306214118096</v>
        <stp/>
        <stp>EM_S_VAL_PCF_NCFTTM</stp>
        <stp>2</stp>
        <stp>600355</stp>
        <stp>12/31/2018</stp>
        <tr r="P2366" s="1"/>
      </tp>
      <tp>
        <v>-20.1290853933892</v>
        <stp/>
        <stp>EM_S_VAL_PCF_NCFTTM</stp>
        <stp>2</stp>
        <stp>300306</stp>
        <stp>12/31/2018</stp>
        <tr r="P300" s="1"/>
      </tp>
      <tp>
        <v>-5.6148391243746198</v>
        <stp/>
        <stp>EM_S_VAL_PCF_NCFTTM</stp>
        <stp>2</stp>
        <stp>600356</stp>
        <stp>12/31/2018</stp>
        <tr r="P712" s="1"/>
      </tp>
      <tp>
        <v>36.3157079613242</v>
        <stp/>
        <stp>EM_S_VAL_PCF_NCFTTM</stp>
        <stp>2</stp>
        <stp>300307</stp>
        <stp>12/31/2018</stp>
        <tr r="P2197" s="1"/>
      </tp>
      <tp>
        <v>-4.8548468593410004</v>
        <stp/>
        <stp>EM_S_VAL_PCF_NCFTTM</stp>
        <stp>2</stp>
        <stp>600357</stp>
        <stp>12/31/2018</stp>
        <tr r="P2301" s="1"/>
      </tp>
      <tp>
        <v>-39.608959806217001</v>
        <stp/>
        <stp>EM_S_VAL_PCF_NCFTTM</stp>
        <stp>2</stp>
        <stp>300300</stp>
        <stp>12/31/2018</stp>
        <tr r="P2824" s="1"/>
      </tp>
      <tp>
        <v>127.603213284723</v>
        <stp/>
        <stp>EM_S_VAL_PCF_NCFTTM</stp>
        <stp>2</stp>
        <stp>600350</stp>
        <stp>12/31/2018</stp>
        <tr r="P1896" s="1"/>
      </tp>
      <tp>
        <v>-16.837151466189798</v>
        <stp/>
        <stp>EM_S_VAL_PCF_NCFTTM</stp>
        <stp>2</stp>
        <stp>300301</stp>
        <stp>12/31/2018</stp>
        <tr r="P2067" s="1"/>
      </tp>
      <tp>
        <v>39.771032825639303</v>
        <stp/>
        <stp>EM_S_VAL_PCF_NCFTTM</stp>
        <stp>2</stp>
        <stp>600351</stp>
        <stp>12/31/2018</stp>
        <tr r="P2200" s="1"/>
      </tp>
      <tp>
        <v>-113.99051515247599</v>
        <stp/>
        <stp>EM_S_VAL_PCF_NCFTTM</stp>
        <stp>2</stp>
        <stp>300302</stp>
        <stp>12/31/2018</stp>
        <tr r="P343" s="1"/>
      </tp>
      <tp>
        <v>-33.4079803959781</v>
        <stp/>
        <stp>EM_S_VAL_PCF_NCFTTM</stp>
        <stp>2</stp>
        <stp>600352</stp>
        <stp>12/31/2018</stp>
        <tr r="P572" s="1"/>
      </tp>
      <tp>
        <v>-9.3959674448378401</v>
        <stp/>
        <stp>EM_S_VAL_PCF_NCFTTM</stp>
        <stp>2</stp>
        <stp>000333</stp>
        <stp>12/31/2018</stp>
        <tr r="P444" s="1"/>
      </tp>
      <tp>
        <v>-102.037567095885</v>
        <stp/>
        <stp>EM_S_VAL_PCF_NCFTTM</stp>
        <stp>2</stp>
        <stp>300303</stp>
        <stp>12/31/2018</stp>
        <tr r="P104" s="1"/>
      </tp>
      <tp>
        <v>-21.010814219308799</v>
        <stp/>
        <stp>EM_S_VAL_PCF_NCFTTM</stp>
        <stp>2</stp>
        <stp>600353</stp>
        <stp>12/31/2018</stp>
        <tr r="P716" s="1"/>
      </tp>
      <tp>
        <v>-60.5746350614926</v>
        <stp/>
        <stp>EM_S_VAL_PCF_NCFTTM</stp>
        <stp>2</stp>
        <stp>000338</stp>
        <stp>12/31/2018</stp>
        <tr r="P162" s="1"/>
      </tp>
      <tp>
        <v>402.645740082705</v>
        <stp/>
        <stp>EM_S_VAL_PCF_NCFTTM</stp>
        <stp>2</stp>
        <stp>300308</stp>
        <stp>12/31/2018</stp>
        <tr r="P975" s="1"/>
      </tp>
      <tp>
        <v>-11.266752482044801</v>
        <stp/>
        <stp>EM_S_VAL_PCF_NCFTTM</stp>
        <stp>2</stp>
        <stp>600358</stp>
        <stp>12/31/2018</stp>
        <tr r="P1391" s="1"/>
      </tp>
      <tp>
        <v>-41.585570664748602</v>
        <stp/>
        <stp>EM_S_VAL_PCF_NCFTTM</stp>
        <stp>2</stp>
        <stp>300309</stp>
        <stp>12/31/2018</stp>
        <tr r="P3321" s="1"/>
      </tp>
      <tp>
        <v>-12.611382891058801</v>
        <stp/>
        <stp>EM_S_VAL_PCF_NCFTTM</stp>
        <stp>2</stp>
        <stp>600359</stp>
        <stp>12/31/2018</stp>
        <tr r="P997" s="1"/>
      </tp>
      <tp>
        <v>26.4532239911609</v>
        <stp/>
        <stp>EM_S_VAL_PCF_NCFTTM</stp>
        <stp>2</stp>
        <stp>300374</stp>
        <stp>12/31/2018</stp>
        <tr r="P2349" s="1"/>
      </tp>
      <tp>
        <v>-29.143344919251</v>
        <stp/>
        <stp>EM_S_VAL_PCF_NCFTTM</stp>
        <stp>2</stp>
        <stp>300375</stp>
        <stp>12/31/2018</stp>
        <tr r="P3267" s="1"/>
      </tp>
      <tp>
        <v>-3.27000241497415</v>
        <stp/>
        <stp>EM_S_VAL_PCF_NCFTTM</stp>
        <stp>2</stp>
        <stp>600325</stp>
        <stp>12/31/2018</stp>
        <tr r="P1081" s="1"/>
      </tp>
      <tp>
        <v>-11.992441241061799</v>
        <stp/>
        <stp>EM_S_VAL_PCF_NCFTTM</stp>
        <stp>2</stp>
        <stp>300376</stp>
        <stp>12/31/2018</stp>
        <tr r="P1822" s="1"/>
      </tp>
      <tp>
        <v>4.1344648719406401</v>
        <stp/>
        <stp>EM_S_VAL_PCF_NCFTTM</stp>
        <stp>2</stp>
        <stp>600326</stp>
        <stp>12/31/2018</stp>
        <tr r="P1643" s="1"/>
      </tp>
      <tp>
        <v>-35.5049808902357</v>
        <stp/>
        <stp>EM_S_VAL_PCF_NCFTTM</stp>
        <stp>2</stp>
        <stp>300377</stp>
        <stp>12/31/2018</stp>
        <tr r="P2142" s="1"/>
      </tp>
      <tp>
        <v>-37.580029212059699</v>
        <stp/>
        <stp>EM_S_VAL_PCF_NCFTTM</stp>
        <stp>2</stp>
        <stp>600327</stp>
        <stp>12/31/2018</stp>
        <tr r="P2932" s="1"/>
      </tp>
      <tp>
        <v>-16.550944359338999</v>
        <stp/>
        <stp>EM_S_VAL_PCF_NCFTTM</stp>
        <stp>2</stp>
        <stp>300370</stp>
        <stp>12/31/2018</stp>
        <tr r="P888" s="1"/>
      </tp>
      <tp>
        <v>-125.63824806069999</v>
        <stp/>
        <stp>EM_S_VAL_PCF_NCFTTM</stp>
        <stp>2</stp>
        <stp>600320</stp>
        <stp>12/31/2018</stp>
        <tr r="P1504" s="1"/>
      </tp>
      <tp>
        <v>-22.747620126864899</v>
        <stp/>
        <stp>EM_S_VAL_PCF_NCFTTM</stp>
        <stp>2</stp>
        <stp>300371</stp>
        <stp>12/31/2018</stp>
        <tr r="P1838" s="1"/>
      </tp>
      <tp>
        <v>2825.9155160734799</v>
        <stp/>
        <stp>EM_S_VAL_PCF_NCFTTM</stp>
        <stp>2</stp>
        <stp>600321</stp>
        <stp>12/31/2018</stp>
        <tr r="P1240" s="1"/>
      </tp>
      <tp>
        <v>7.6514831205850404</v>
        <stp/>
        <stp>EM_S_VAL_PCF_NCFTTM</stp>
        <stp>2</stp>
        <stp>300372</stp>
        <stp>12/31/2018</stp>
        <tr r="P2283" s="1"/>
      </tp>
      <tp>
        <v>-1.3884549698978501</v>
        <stp/>
        <stp>EM_S_VAL_PCF_NCFTTM</stp>
        <stp>2</stp>
        <stp>600322</stp>
        <stp>12/31/2018</stp>
        <tr r="P2723" s="1"/>
      </tp>
      <tp>
        <v>-898.74172133954801</v>
        <stp/>
        <stp>EM_S_VAL_PCF_NCFTTM</stp>
        <stp>2</stp>
        <stp>300373</stp>
        <stp>12/31/2018</stp>
        <tr r="P1293" s="1"/>
      </tp>
      <tp>
        <v>-125.443850733652</v>
        <stp/>
        <stp>EM_S_VAL_PCF_NCFTTM</stp>
        <stp>2</stp>
        <stp>600323</stp>
        <stp>12/31/2018</stp>
        <tr r="P1110" s="1"/>
      </tp>
      <tp>
        <v>-45.655034863035603</v>
        <stp/>
        <stp>EM_S_VAL_PCF_NCFTTM</stp>
        <stp>2</stp>
        <stp>300378</stp>
        <stp>12/31/2018</stp>
        <tr r="P552" s="1"/>
      </tp>
      <tp>
        <v>74.062622083937498</v>
        <stp/>
        <stp>EM_S_VAL_PCF_NCFTTM</stp>
        <stp>2</stp>
        <stp>600328</stp>
        <stp>12/31/2018</stp>
        <tr r="P1295" s="1"/>
      </tp>
      <tp>
        <v>97.290449605530696</v>
        <stp/>
        <stp>EM_S_VAL_PCF_NCFTTM</stp>
        <stp>2</stp>
        <stp>300379</stp>
        <stp>12/31/2018</stp>
        <tr r="P36" s="1"/>
      </tp>
      <tp>
        <v>20.107113711265502</v>
        <stp/>
        <stp>EM_S_VAL_PCF_NCFTTM</stp>
        <stp>2</stp>
        <stp>600329</stp>
        <stp>12/31/2018</stp>
        <tr r="P1791" s="1"/>
      </tp>
      <tp>
        <v>-6.7408702436392396</v>
        <stp/>
        <stp>EM_S_VAL_PCF_NCFTTM</stp>
        <stp>2</stp>
        <stp>300364</stp>
        <stp>12/31/2018</stp>
        <tr r="P2917" s="1"/>
      </tp>
      <tp>
        <v>-55.762758834383497</v>
        <stp/>
        <stp>EM_S_VAL_PCF_NCFTTM</stp>
        <stp>2</stp>
        <stp>300365</stp>
        <stp>12/31/2018</stp>
        <tr r="P3299" s="1"/>
      </tp>
      <tp>
        <v>-3.2523227624389901</v>
        <stp/>
        <stp>EM_S_VAL_PCF_NCFTTM</stp>
        <stp>2</stp>
        <stp>600335</stp>
        <stp>12/31/2018</stp>
        <tr r="P2633" s="1"/>
      </tp>
      <tp>
        <v>-675.86985028291804</v>
        <stp/>
        <stp>EM_S_VAL_PCF_NCFTTM</stp>
        <stp>2</stp>
        <stp>300366</stp>
        <stp>12/31/2018</stp>
        <tr r="P702" s="1"/>
      </tp>
      <tp>
        <v>-11.807707684031</v>
        <stp/>
        <stp>EM_S_VAL_PCF_NCFTTM</stp>
        <stp>2</stp>
        <stp>600336</stp>
        <stp>12/31/2018</stp>
        <tr r="P936" s="1"/>
      </tp>
      <tp>
        <v>-38.181907210818103</v>
        <stp/>
        <stp>EM_S_VAL_PCF_NCFTTM</stp>
        <stp>2</stp>
        <stp>300367</stp>
        <stp>12/31/2018</stp>
        <tr r="P3371" s="1"/>
      </tp>
      <tp>
        <v>-54.826272114614298</v>
        <stp/>
        <stp>EM_S_VAL_PCF_NCFTTM</stp>
        <stp>2</stp>
        <stp>600337</stp>
        <stp>12/31/2018</stp>
        <tr r="P1687" s="1"/>
      </tp>
      <tp>
        <v>12.4081467465359</v>
        <stp/>
        <stp>EM_S_VAL_PCF_NCFTTM</stp>
        <stp>2</stp>
        <stp>300360</stp>
        <stp>12/31/2018</stp>
        <tr r="P187" s="1"/>
      </tp>
      <tp>
        <v>32.6339931388653</v>
        <stp/>
        <stp>EM_S_VAL_PCF_NCFTTM</stp>
        <stp>2</stp>
        <stp>600330</stp>
        <stp>12/31/2018</stp>
        <tr r="P654" s="1"/>
      </tp>
      <tp>
        <v>0</v>
        <stp/>
        <stp>EM_S_VAL_PCF_NCFTTM</stp>
        <stp>2</stp>
        <stp>300361</stp>
        <stp>12/31/2018</stp>
        <tr r="P9" s="1"/>
      </tp>
      <tp>
        <v>-21.248927170973602</v>
        <stp/>
        <stp>EM_S_VAL_PCF_NCFTTM</stp>
        <stp>2</stp>
        <stp>600331</stp>
        <stp>12/31/2018</stp>
        <tr r="P903" s="1"/>
      </tp>
      <tp>
        <v>-4.7165423264622897</v>
        <stp/>
        <stp>EM_S_VAL_PCF_NCFTTM</stp>
        <stp>2</stp>
        <stp>300362</stp>
        <stp>12/31/2018</stp>
        <tr r="P3359" s="1"/>
      </tp>
      <tp>
        <v>23.0827156508578</v>
        <stp/>
        <stp>EM_S_VAL_PCF_NCFTTM</stp>
        <stp>2</stp>
        <stp>600332</stp>
        <stp>12/31/2018</stp>
        <tr r="P2596" s="1"/>
      </tp>
      <tp>
        <v>3.0182112989878802</v>
        <stp/>
        <stp>EM_S_VAL_PCF_NCFTTM</stp>
        <stp>2</stp>
        <stp>300363</stp>
        <stp>12/31/2018</stp>
        <tr r="P577" s="1"/>
      </tp>
      <tp>
        <v>-98.646076528464704</v>
        <stp/>
        <stp>EM_S_VAL_PCF_NCFTTM</stp>
        <stp>2</stp>
        <stp>600333</stp>
        <stp>12/31/2018</stp>
        <tr r="P2670" s="1"/>
      </tp>
      <tp>
        <v>-66.491208045413202</v>
        <stp/>
        <stp>EM_S_VAL_PCF_NCFTTM</stp>
        <stp>2</stp>
        <stp>300368</stp>
        <stp>12/31/2018</stp>
        <tr r="P686" s="1"/>
      </tp>
      <tp>
        <v>-3852.23815100611</v>
        <stp/>
        <stp>EM_S_VAL_PCF_NCFTTM</stp>
        <stp>2</stp>
        <stp>600338</stp>
        <stp>12/31/2018</stp>
        <tr r="P2747" s="1"/>
      </tp>
      <tp>
        <v>246.01661300969701</v>
        <stp/>
        <stp>EM_S_VAL_PCF_NCFTTM</stp>
        <stp>2</stp>
        <stp>300369</stp>
        <stp>12/31/2018</stp>
        <tr r="P143" s="1"/>
      </tp>
      <tp>
        <v>1.8231024328626</v>
        <stp/>
        <stp>EM_S_VAL_PCF_NCFTTM</stp>
        <stp>2</stp>
        <stp>600339</stp>
        <stp>12/31/2018</stp>
        <tr r="P2706" s="1"/>
      </tp>
      <tp>
        <v>-33.902415895154299</v>
        <stp/>
        <stp>EM_S_VAL_PCF_NCFTTM</stp>
        <stp>2</stp>
        <stp>300354</stp>
        <stp>12/31/2018</stp>
        <tr r="P542" s="1"/>
      </tp>
      <tp>
        <v>-9.6235634266132895</v>
        <stp/>
        <stp>EM_S_VAL_PCF_NCFTTM</stp>
        <stp>2</stp>
        <stp>300355</stp>
        <stp>12/31/2018</stp>
        <tr r="P2877" s="1"/>
      </tp>
      <tp>
        <v>185.70624765908099</v>
        <stp/>
        <stp>EM_S_VAL_PCF_NCFTTM</stp>
        <stp>2</stp>
        <stp>600305</stp>
        <stp>12/31/2018</stp>
        <tr r="P676" s="1"/>
      </tp>
      <tp>
        <v>-19.910899844310801</v>
        <stp/>
        <stp>EM_S_VAL_PCF_NCFTTM</stp>
        <stp>2</stp>
        <stp>300356</stp>
        <stp>12/31/2018</stp>
        <tr r="P792" s="1"/>
      </tp>
      <tp>
        <v>-200.62420866739799</v>
        <stp/>
        <stp>EM_S_VAL_PCF_NCFTTM</stp>
        <stp>2</stp>
        <stp>600306</stp>
        <stp>12/31/2018</stp>
        <tr r="P2801" s="1"/>
      </tp>
      <tp>
        <v>42.589641718717701</v>
        <stp/>
        <stp>EM_S_VAL_PCF_NCFTTM</stp>
        <stp>2</stp>
        <stp>300357</stp>
        <stp>12/31/2018</stp>
        <tr r="P1410" s="1"/>
      </tp>
      <tp>
        <v>221.77438435501301</v>
        <stp/>
        <stp>EM_S_VAL_PCF_NCFTTM</stp>
        <stp>2</stp>
        <stp>600307</stp>
        <stp>12/31/2018</stp>
        <tr r="P1905" s="1"/>
      </tp>
      <tp>
        <v>-37.787113714259199</v>
        <stp/>
        <stp>EM_S_VAL_PCF_NCFTTM</stp>
        <stp>2</stp>
        <stp>300350</stp>
        <stp>12/31/2018</stp>
        <tr r="P2687" s="1"/>
      </tp>
      <tp>
        <v>18.001888970711299</v>
        <stp/>
        <stp>EM_S_VAL_PCF_NCFTTM</stp>
        <stp>2</stp>
        <stp>600300</stp>
        <stp>12/31/2018</stp>
        <tr r="P1995" s="1"/>
      </tp>
      <tp>
        <v>-311.80981995082101</v>
        <stp/>
        <stp>EM_S_VAL_PCF_NCFTTM</stp>
        <stp>2</stp>
        <stp>300351</stp>
        <stp>12/31/2018</stp>
        <tr r="P1871" s="1"/>
      </tp>
      <tp>
        <v>-9.7443708077042501</v>
        <stp/>
        <stp>EM_S_VAL_PCF_NCFTTM</stp>
        <stp>2</stp>
        <stp>600301</stp>
        <stp>12/31/2018</stp>
        <tr r="P1636" s="1"/>
      </tp>
      <tp>
        <v>96.472051542760596</v>
        <stp/>
        <stp>EM_S_VAL_PCF_NCFTTM</stp>
        <stp>2</stp>
        <stp>300352</stp>
        <stp>12/31/2018</stp>
        <tr r="P122" s="1"/>
      </tp>
      <tp>
        <v>-1330.43292652171</v>
        <stp/>
        <stp>EM_S_VAL_PCF_NCFTTM</stp>
        <stp>2</stp>
        <stp>600302</stp>
        <stp>12/31/2018</stp>
        <tr r="P1508" s="1"/>
      </tp>
      <tp>
        <v>-7631.8549309881701</v>
        <stp/>
        <stp>EM_S_VAL_PCF_NCFTTM</stp>
        <stp>2</stp>
        <stp>300353</stp>
        <stp>12/31/2018</stp>
        <tr r="P614" s="1"/>
      </tp>
      <tp>
        <v>-5.2677620035942399</v>
        <stp/>
        <stp>EM_S_VAL_PCF_NCFTTM</stp>
        <stp>2</stp>
        <stp>600303</stp>
        <stp>12/31/2018</stp>
        <tr r="P2765" s="1"/>
      </tp>
      <tp>
        <v>14.3569863416618</v>
        <stp/>
        <stp>EM_S_VAL_PCF_NCFTTM</stp>
        <stp>2</stp>
        <stp>300358</stp>
        <stp>12/31/2018</stp>
        <tr r="P2761" s="1"/>
      </tp>
      <tp>
        <v>-9.5311632847346797</v>
        <stp/>
        <stp>EM_S_VAL_PCF_NCFTTM</stp>
        <stp>2</stp>
        <stp>600308</stp>
        <stp>12/31/2018</stp>
        <tr r="P1999" s="1"/>
      </tp>
      <tp>
        <v>-1054.51793020629</v>
        <stp/>
        <stp>EM_S_VAL_PCF_NCFTTM</stp>
        <stp>2</stp>
        <stp>300359</stp>
        <stp>12/31/2018</stp>
        <tr r="P2431" s="1"/>
      </tp>
      <tp>
        <v>124.80371963180001</v>
        <stp/>
        <stp>EM_S_VAL_PCF_NCFTTM</stp>
        <stp>2</stp>
        <stp>600309</stp>
        <stp>12/31/2018</stp>
        <tr r="P168" s="1"/>
      </tp>
      <tp>
        <v>-40.477446617515497</v>
        <stp/>
        <stp>EM_S_VAL_PCF_NCFTTM</stp>
        <stp>2</stp>
        <stp>300344</stp>
        <stp>12/31/2018</stp>
        <tr r="P2757" s="1"/>
      </tp>
      <tp>
        <v>-20.068008799712601</v>
        <stp/>
        <stp>EM_S_VAL_PCF_NCFTTM</stp>
        <stp>2</stp>
        <stp>300345</stp>
        <stp>12/31/2018</stp>
        <tr r="P115" s="1"/>
      </tp>
      <tp>
        <v>-34.092306528698899</v>
        <stp/>
        <stp>EM_S_VAL_PCF_NCFTTM</stp>
        <stp>2</stp>
        <stp>600315</stp>
        <stp>12/31/2018</stp>
        <tr r="P1565" s="1"/>
      </tp>
      <tp>
        <v>92.836397683040502</v>
        <stp/>
        <stp>EM_S_VAL_PCF_NCFTTM</stp>
        <stp>2</stp>
        <stp>300346</stp>
        <stp>12/31/2018</stp>
        <tr r="P214" s="1"/>
      </tp>
      <tp>
        <v>-32.383794938365497</v>
        <stp/>
        <stp>EM_S_VAL_PCF_NCFTTM</stp>
        <stp>2</stp>
        <stp>600316</stp>
        <stp>12/31/2018</stp>
        <tr r="P937" s="1"/>
      </tp>
      <tp>
        <v>932.52735895375099</v>
        <stp/>
        <stp>EM_S_VAL_PCF_NCFTTM</stp>
        <stp>2</stp>
        <stp>300347</stp>
        <stp>12/31/2018</stp>
        <tr r="P672" s="1"/>
      </tp>
      <tp>
        <v>29.2195975086793</v>
        <stp/>
        <stp>EM_S_VAL_PCF_NCFTTM</stp>
        <stp>2</stp>
        <stp>600317</stp>
        <stp>12/31/2018</stp>
        <tr r="P1634" s="1"/>
      </tp>
      <tp>
        <v>-35.669058666277301</v>
        <stp/>
        <stp>EM_S_VAL_PCF_NCFTTM</stp>
        <stp>2</stp>
        <stp>300340</stp>
        <stp>12/31/2018</stp>
        <tr r="P2737" s="1"/>
      </tp>
      <tp>
        <v>14.1953195978626</v>
        <stp/>
        <stp>EM_S_VAL_PCF_NCFTTM</stp>
        <stp>2</stp>
        <stp>600310</stp>
        <stp>12/31/2018</stp>
        <tr r="P1303" s="1"/>
      </tp>
      <tp>
        <v>-28.376448496613499</v>
        <stp/>
        <stp>EM_S_VAL_PCF_NCFTTM</stp>
        <stp>2</stp>
        <stp>300341</stp>
        <stp>12/31/2018</stp>
        <tr r="P37" s="1"/>
      </tp>
      <tp>
        <v>-71.3085216289995</v>
        <stp/>
        <stp>EM_S_VAL_PCF_NCFTTM</stp>
        <stp>2</stp>
        <stp>600311</stp>
        <stp>12/31/2018</stp>
        <tr r="P2820" s="1"/>
      </tp>
      <tp>
        <v>39.480009118047903</v>
        <stp/>
        <stp>EM_S_VAL_PCF_NCFTTM</stp>
        <stp>2</stp>
        <stp>300342</stp>
        <stp>12/31/2018</stp>
        <tr r="P861" s="1"/>
      </tp>
      <tp>
        <v>16.113566576122501</v>
        <stp/>
        <stp>EM_S_VAL_PCF_NCFTTM</stp>
        <stp>2</stp>
        <stp>600312</stp>
        <stp>12/31/2018</stp>
        <tr r="P3067" s="1"/>
      </tp>
      <tp>
        <v>-10.1403510910576</v>
        <stp/>
        <stp>EM_S_VAL_PCF_NCFTTM</stp>
        <stp>2</stp>
        <stp>300343</stp>
        <stp>12/31/2018</stp>
        <tr r="P3389" s="1"/>
      </tp>
      <tp>
        <v>-67.862003018152706</v>
        <stp/>
        <stp>EM_S_VAL_PCF_NCFTTM</stp>
        <stp>2</stp>
        <stp>600313</stp>
        <stp>12/31/2018</stp>
        <tr r="P1063" s="1"/>
      </tp>
      <tp>
        <v>44.977930965526703</v>
        <stp/>
        <stp>EM_S_VAL_PCF_NCFTTM</stp>
        <stp>2</stp>
        <stp>300348</stp>
        <stp>12/31/2018</stp>
        <tr r="P1093" s="1"/>
      </tp>
      <tp>
        <v>-195.885358046455</v>
        <stp/>
        <stp>EM_S_VAL_PCF_NCFTTM</stp>
        <stp>2</stp>
        <stp>600318</stp>
        <stp>12/31/2018</stp>
        <tr r="P2381" s="1"/>
      </tp>
      <tp>
        <v>45.761810297160302</v>
        <stp/>
        <stp>EM_S_VAL_PCF_NCFTTM</stp>
        <stp>2</stp>
        <stp>300349</stp>
        <stp>12/31/2018</stp>
        <tr r="P2578" s="1"/>
      </tp>
      <tp>
        <v>-17.0766148945936</v>
        <stp/>
        <stp>EM_S_VAL_PCF_NCFTTM</stp>
        <stp>2</stp>
        <stp>600319</stp>
        <stp>12/31/2018</stp>
        <tr r="P2240" s="1"/>
      </tp>
      <tp>
        <v>37.200421668101797</v>
        <stp/>
        <stp>EM_S_VAL_PCF_NCFTTM</stp>
        <stp>2</stp>
        <stp>300294</stp>
        <stp>12/31/2018</stp>
        <tr r="P1530" s="1"/>
      </tp>
      <tp>
        <v>5.2739174621718599</v>
        <stp/>
        <stp>EM_S_VAL_PCF_NCFTTM</stp>
        <stp>2</stp>
        <stp>300295</stp>
        <stp>12/31/2018</stp>
        <tr r="P1480" s="1"/>
      </tp>
      <tp>
        <v>-32.567899838111501</v>
        <stp/>
        <stp>EM_S_VAL_PCF_NCFTTM</stp>
        <stp>2</stp>
        <stp>300296</stp>
        <stp>12/31/2018</stp>
        <tr r="P2149" s="1"/>
      </tp>
      <tp>
        <v>-32.617872607557302</v>
        <stp/>
        <stp>EM_S_VAL_PCF_NCFTTM</stp>
        <stp>2</stp>
        <stp>300297</stp>
        <stp>12/31/2018</stp>
        <tr r="P1570" s="1"/>
      </tp>
      <tp>
        <v>40.267313511162598</v>
        <stp/>
        <stp>EM_S_VAL_PCF_NCFTTM</stp>
        <stp>2</stp>
        <stp>300290</stp>
        <stp>12/31/2018</stp>
        <tr r="P1839" s="1"/>
      </tp>
      <tp>
        <v>-11.911142049631</v>
        <stp/>
        <stp>EM_S_VAL_PCF_NCFTTM</stp>
        <stp>2</stp>
        <stp>300291</stp>
        <stp>12/31/2018</stp>
        <tr r="P808" s="1"/>
      </tp>
      <tp>
        <v>92.774613728535698</v>
        <stp/>
        <stp>EM_S_VAL_PCF_NCFTTM</stp>
        <stp>2</stp>
        <stp>300292</stp>
        <stp>12/31/2018</stp>
        <tr r="P894" s="1"/>
      </tp>
      <tp>
        <v>15.7399274598764</v>
        <stp/>
        <stp>EM_S_VAL_PCF_NCFTTM</stp>
        <stp>2</stp>
        <stp>300293</stp>
        <stp>12/31/2018</stp>
        <tr r="P1253" s="1"/>
      </tp>
      <tp>
        <v>10.503951506543901</v>
        <stp/>
        <stp>EM_S_VAL_PCF_NCFTTM</stp>
        <stp>2</stp>
        <stp>300298</stp>
        <stp>12/31/2018</stp>
        <tr r="P742" s="1"/>
      </tp>
      <tp>
        <v>-22.990803110162901</v>
        <stp/>
        <stp>EM_S_VAL_PCF_NCFTTM</stp>
        <stp>2</stp>
        <stp>300299</stp>
        <stp>12/31/2018</stp>
        <tr r="P2152" s="1"/>
      </tp>
      <tp>
        <v>-325.51089238641799</v>
        <stp/>
        <stp>EM_S_VAL_PCF_NCFTTM</stp>
        <stp>2</stp>
        <stp>300284</stp>
        <stp>12/31/2018</stp>
        <tr r="P3100" s="1"/>
      </tp>
      <tp>
        <v>-57.905933752450402</v>
        <stp/>
        <stp>EM_S_VAL_PCF_NCFTTM</stp>
        <stp>2</stp>
        <stp>300285</stp>
        <stp>12/31/2018</stp>
        <tr r="P750" s="1"/>
      </tp>
      <tp>
        <v>-107.43871765943101</v>
        <stp/>
        <stp>EM_S_VAL_PCF_NCFTTM</stp>
        <stp>2</stp>
        <stp>300286</stp>
        <stp>12/31/2018</stp>
        <tr r="P747" s="1"/>
      </tp>
      <tp>
        <v>-13.992211300737999</v>
        <stp/>
        <stp>EM_S_VAL_PCF_NCFTTM</stp>
        <stp>2</stp>
        <stp>300287</stp>
        <stp>12/31/2018</stp>
        <tr r="P2172" s="1"/>
      </tp>
      <tp>
        <v>-45.171274756210302</v>
        <stp/>
        <stp>EM_S_VAL_PCF_NCFTTM</stp>
        <stp>2</stp>
        <stp>300280</stp>
        <stp>12/31/2018</stp>
        <tr r="P3363" s="1"/>
      </tp>
      <tp>
        <v>-5.7658181211704598</v>
        <stp/>
        <stp>EM_S_VAL_PCF_NCFTTM</stp>
        <stp>2</stp>
        <stp>300281</stp>
        <stp>12/31/2018</stp>
        <tr r="P832" s="1"/>
      </tp>
      <tp>
        <v>9.9312142460452097</v>
        <stp/>
        <stp>EM_S_VAL_PCF_NCFTTM</stp>
        <stp>2</stp>
        <stp>300282</stp>
        <stp>12/31/2018</stp>
        <tr r="P3268" s="1"/>
      </tp>
      <tp>
        <v>180.40232877917799</v>
        <stp/>
        <stp>EM_S_VAL_PCF_NCFTTM</stp>
        <stp>2</stp>
        <stp>300283</stp>
        <stp>12/31/2018</stp>
        <tr r="P2236" s="1"/>
      </tp>
      <tp>
        <v>26.718833808758301</v>
        <stp/>
        <stp>EM_S_VAL_PCF_NCFTTM</stp>
        <stp>2</stp>
        <stp>300288</stp>
        <stp>12/31/2018</stp>
        <tr r="P2609" s="1"/>
      </tp>
      <tp>
        <v>102.491741878317</v>
        <stp/>
        <stp>EM_S_VAL_PCF_NCFTTM</stp>
        <stp>2</stp>
        <stp>300289</stp>
        <stp>12/31/2018</stp>
        <tr r="P2864" s="1"/>
      </tp>
      <tp>
        <v>2.0765500499178202</v>
        <stp/>
        <stp>EM_S_VAL_PCF_NCFTTM</stp>
        <stp>2</stp>
        <stp>600284</stp>
        <stp>12/31/2018</stp>
        <tr r="P1018" s="1"/>
      </tp>
      <tp>
        <v>13.450781926233899</v>
        <stp/>
        <stp>EM_S_VAL_PCF_NCFTTM</stp>
        <stp>2</stp>
        <stp>600285</stp>
        <stp>12/31/2018</stp>
        <tr r="P1003" s="1"/>
      </tp>
      <tp>
        <v>120.952213501524</v>
        <stp/>
        <stp>EM_S_VAL_PCF_NCFTTM</stp>
        <stp>2</stp>
        <stp>600286</stp>
        <stp>12/31/2018</stp>
        <tr r="P2299" s="1"/>
      </tp>
      <tp>
        <v>570.01299093905902</v>
        <stp/>
        <stp>EM_S_VAL_PCF_NCFTTM</stp>
        <stp>2</stp>
        <stp>600287</stp>
        <stp>12/31/2018</stp>
        <tr r="P1135" s="1"/>
      </tp>
      <tp>
        <v>12.5749189222871</v>
        <stp/>
        <stp>EM_S_VAL_PCF_NCFTTM</stp>
        <stp>2</stp>
        <stp>600280</stp>
        <stp>12/31/2018</stp>
        <tr r="P2933" s="1"/>
      </tp>
      <tp>
        <v>-162.88210107721801</v>
        <stp/>
        <stp>EM_S_VAL_PCF_NCFTTM</stp>
        <stp>2</stp>
        <stp>600281</stp>
        <stp>12/31/2018</stp>
        <tr r="P1503" s="1"/>
      </tp>
      <tp>
        <v>-199.278189874513</v>
        <stp/>
        <stp>EM_S_VAL_PCF_NCFTTM</stp>
        <stp>2</stp>
        <stp>600282</stp>
        <stp>12/31/2018</stp>
        <tr r="P2261" s="1"/>
      </tp>
      <tp>
        <v>36.382265028653002</v>
        <stp/>
        <stp>EM_S_VAL_PCF_NCFTTM</stp>
        <stp>2</stp>
        <stp>600283</stp>
        <stp>12/31/2018</stp>
        <tr r="P2697" s="1"/>
      </tp>
      <tp>
        <v>-20.704396043825898</v>
        <stp/>
        <stp>EM_S_VAL_PCF_NCFTTM</stp>
        <stp>2</stp>
        <stp>600288</stp>
        <stp>12/31/2018</stp>
        <tr r="P324" s="1"/>
      </tp>
      <tp>
        <v>-1.8988243888452201</v>
        <stp/>
        <stp>EM_S_VAL_PCF_NCFTTM</stp>
        <stp>2</stp>
        <stp>600289</stp>
        <stp>12/31/2018</stp>
        <tr r="P840" s="1"/>
      </tp>
      <tp>
        <v>3.5716537422944401</v>
        <stp/>
        <stp>EM_S_VAL_PCF_NCFTTM</stp>
        <stp>2</stp>
        <stp>600295</stp>
        <stp>12/31/2018</stp>
        <tr r="P1322" s="1"/>
      </tp>
      <tp>
        <v>59.913300703684499</v>
        <stp/>
        <stp>EM_S_VAL_PCF_NCFTTM</stp>
        <stp>2</stp>
        <stp>600296</stp>
        <stp>12/31/2018</stp>
        <tr r="P2300" s="1"/>
      </tp>
      <tp>
        <v>-28.111135155970501</v>
        <stp/>
        <stp>EM_S_VAL_PCF_NCFTTM</stp>
        <stp>2</stp>
        <stp>600297</stp>
        <stp>12/31/2018</stp>
        <tr r="P3057" s="1"/>
      </tp>
      <tp>
        <v>10.623674863106499</v>
        <stp/>
        <stp>EM_S_VAL_PCF_NCFTTM</stp>
        <stp>2</stp>
        <stp>600290</stp>
        <stp>12/31/2018</stp>
        <tr r="P3277" s="1"/>
      </tp>
      <tp>
        <v>-1.3782209210245899</v>
        <stp/>
        <stp>EM_S_VAL_PCF_NCFTTM</stp>
        <stp>2</stp>
        <stp>600291</stp>
        <stp>12/31/2018</stp>
        <tr r="P2800" s="1"/>
      </tp>
      <tp>
        <v>176.24434218073799</v>
        <stp/>
        <stp>EM_S_VAL_PCF_NCFTTM</stp>
        <stp>2</stp>
        <stp>600292</stp>
        <stp>12/31/2018</stp>
        <tr r="P1533" s="1"/>
      </tp>
      <tp>
        <v>-16.336571659827001</v>
        <stp/>
        <stp>EM_S_VAL_PCF_NCFTTM</stp>
        <stp>2</stp>
        <stp>600293</stp>
        <stp>12/31/2018</stp>
        <tr r="P3052" s="1"/>
      </tp>
      <tp>
        <v>852.098987453738</v>
        <stp/>
        <stp>EM_S_VAL_PCF_NCFTTM</stp>
        <stp>2</stp>
        <stp>600298</stp>
        <stp>12/31/2018</stp>
        <tr r="P1273" s="1"/>
      </tp>
      <tp>
        <v>-15.978229747496499</v>
        <stp/>
        <stp>EM_S_VAL_PCF_NCFTTM</stp>
        <stp>2</stp>
        <stp>600299</stp>
        <stp>12/31/2018</stp>
        <tr r="P2551" s="1"/>
      </tp>
      <tp>
        <v>-858.39409278690903</v>
        <stp/>
        <stp>EM_S_VAL_PCF_NCFTTM</stp>
        <stp>2</stp>
        <stp>300234</stp>
        <stp>12/31/2018</stp>
        <tr r="P173" s="1"/>
      </tp>
      <tp>
        <v>24.8904410003063</v>
        <stp/>
        <stp>EM_S_VAL_PCF_NCFTTM</stp>
        <stp>2</stp>
        <stp>300235</stp>
        <stp>12/31/2018</stp>
        <tr r="P431" s="1"/>
      </tp>
      <tp>
        <v>436.628294841529</v>
        <stp/>
        <stp>EM_S_VAL_PCF_NCFTTM</stp>
        <stp>2</stp>
        <stp>600265</stp>
        <stp>12/31/2018</stp>
        <tr r="P2743" s="1"/>
      </tp>
      <tp>
        <v>28.0750630742223</v>
        <stp/>
        <stp>EM_S_VAL_PCF_NCFTTM</stp>
        <stp>2</stp>
        <stp>300236</stp>
        <stp>12/31/2018</stp>
        <tr r="P1622" s="1"/>
      </tp>
      <tp>
        <v>-3.5289477894053398</v>
        <stp/>
        <stp>EM_S_VAL_PCF_NCFTTM</stp>
        <stp>2</stp>
        <stp>600266</stp>
        <stp>12/31/2018</stp>
        <tr r="P2129" s="1"/>
      </tp>
      <tp>
        <v>-37.260534141754697</v>
        <stp/>
        <stp>EM_S_VAL_PCF_NCFTTM</stp>
        <stp>2</stp>
        <stp>300237</stp>
        <stp>12/31/2018</stp>
        <tr r="P3205" s="1"/>
      </tp>
      <tp>
        <v>-22.194171240473899</v>
        <stp/>
        <stp>EM_S_VAL_PCF_NCFTTM</stp>
        <stp>2</stp>
        <stp>600267</stp>
        <stp>12/31/2018</stp>
        <tr r="P1513" s="1"/>
      </tp>
      <tp>
        <v>-19.7195848703252</v>
        <stp/>
        <stp>EM_S_VAL_PCF_NCFTTM</stp>
        <stp>2</stp>
        <stp>300230</stp>
        <stp>12/31/2018</stp>
        <tr r="P2958" s="1"/>
      </tp>
      <tp>
        <v>-34.909747486614698</v>
        <stp/>
        <stp>EM_S_VAL_PCF_NCFTTM</stp>
        <stp>2</stp>
        <stp>600260</stp>
        <stp>12/31/2018</stp>
        <tr r="P3108" s="1"/>
      </tp>
      <tp>
        <v>10.8512413559707</v>
        <stp/>
        <stp>EM_S_VAL_PCF_NCFTTM</stp>
        <stp>2</stp>
        <stp>300231</stp>
        <stp>12/31/2018</stp>
        <tr r="P943" s="1"/>
      </tp>
      <tp>
        <v>-10.0383905826604</v>
        <stp/>
        <stp>EM_S_VAL_PCF_NCFTTM</stp>
        <stp>2</stp>
        <stp>600261</stp>
        <stp>12/31/2018</stp>
        <tr r="P753" s="1"/>
      </tp>
      <tp>
        <v>147.20931796370201</v>
        <stp/>
        <stp>EM_S_VAL_PCF_NCFTTM</stp>
        <stp>2</stp>
        <stp>300232</stp>
        <stp>12/31/2018</stp>
        <tr r="P1976" s="1"/>
      </tp>
      <tp>
        <v>-33.492432672637499</v>
        <stp/>
        <stp>EM_S_VAL_PCF_NCFTTM</stp>
        <stp>2</stp>
        <stp>600262</stp>
        <stp>12/31/2018</stp>
        <tr r="P2020" s="1"/>
      </tp>
      <tp>
        <v>69.511438832610096</v>
        <stp/>
        <stp>EM_S_VAL_PCF_NCFTTM</stp>
        <stp>2</stp>
        <stp>300233</stp>
        <stp>12/31/2018</stp>
        <tr r="P694" s="1"/>
      </tp>
      <tp>
        <v>31.639490904452501</v>
        <stp/>
        <stp>EM_S_VAL_PCF_NCFTTM</stp>
        <stp>2</stp>
        <stp>600263</stp>
        <stp>12/31/2018</stp>
        <tr r="P2297" s="1"/>
      </tp>
      <tp>
        <v>-26.2418317195235</v>
        <stp/>
        <stp>EM_S_VAL_PCF_NCFTTM</stp>
        <stp>2</stp>
        <stp>300238</stp>
        <stp>12/31/2018</stp>
        <tr r="P179" s="1"/>
      </tp>
      <tp>
        <v>-24.519150169161399</v>
        <stp/>
        <stp>EM_S_VAL_PCF_NCFTTM</stp>
        <stp>2</stp>
        <stp>600268</stp>
        <stp>12/31/2018</stp>
        <tr r="P1195" s="1"/>
      </tp>
      <tp>
        <v>30.8873227625159</v>
        <stp/>
        <stp>EM_S_VAL_PCF_NCFTTM</stp>
        <stp>2</stp>
        <stp>300239</stp>
        <stp>12/31/2018</stp>
        <tr r="P984" s="1"/>
      </tp>
      <tp>
        <v>-12.2826115249062</v>
        <stp/>
        <stp>EM_S_VAL_PCF_NCFTTM</stp>
        <stp>2</stp>
        <stp>600269</stp>
        <stp>12/31/2018</stp>
        <tr r="P1972" s="1"/>
      </tp>
      <tp>
        <v>56.803477497663401</v>
        <stp/>
        <stp>EM_S_VAL_PCF_NCFTTM</stp>
        <stp>2</stp>
        <stp>300224</stp>
        <stp>12/31/2018</stp>
        <tr r="P372" s="1"/>
      </tp>
      <tp>
        <v>-343.03759120067701</v>
        <stp/>
        <stp>EM_S_VAL_PCF_NCFTTM</stp>
        <stp>2</stp>
        <stp>300225</stp>
        <stp>12/31/2018</stp>
        <tr r="P940" s="1"/>
      </tp>
      <tp>
        <v>27.9679403027842</v>
        <stp/>
        <stp>EM_S_VAL_PCF_NCFTTM</stp>
        <stp>2</stp>
        <stp>600275</stp>
        <stp>12/31/2018</stp>
        <tr r="P3082" s="1"/>
      </tp>
      <tp>
        <v>36.457532637311601</v>
        <stp/>
        <stp>EM_S_VAL_PCF_NCFTTM</stp>
        <stp>2</stp>
        <stp>300226</stp>
        <stp>12/31/2018</stp>
        <tr r="P350" s="1"/>
      </tp>
      <tp>
        <v>199.453055581222</v>
        <stp/>
        <stp>EM_S_VAL_PCF_NCFTTM</stp>
        <stp>2</stp>
        <stp>600276</stp>
        <stp>12/31/2018</stp>
        <tr r="P401" s="1"/>
      </tp>
      <tp>
        <v>43.898675003471702</v>
        <stp/>
        <stp>EM_S_VAL_PCF_NCFTTM</stp>
        <stp>2</stp>
        <stp>300227</stp>
        <stp>12/31/2018</stp>
        <tr r="P659" s="1"/>
      </tp>
      <tp>
        <v>131.63376400307499</v>
        <stp/>
        <stp>EM_S_VAL_PCF_NCFTTM</stp>
        <stp>2</stp>
        <stp>600277</stp>
        <stp>12/31/2018</stp>
        <tr r="P3055" s="1"/>
      </tp>
      <tp>
        <v>215.799184014188</v>
        <stp/>
        <stp>EM_S_VAL_PCF_NCFTTM</stp>
        <stp>2</stp>
        <stp>300220</stp>
        <stp>12/31/2018</stp>
        <tr r="P27" s="1"/>
      </tp>
      <tp>
        <v>23.431138494930298</v>
        <stp/>
        <stp>EM_S_VAL_PCF_NCFTTM</stp>
        <stp>2</stp>
        <stp>600270</stp>
        <stp>12/31/2018</stp>
        <tr r="P2298" s="1"/>
      </tp>
      <tp>
        <v>-395.05438642919199</v>
        <stp/>
        <stp>EM_S_VAL_PCF_NCFTTM</stp>
        <stp>2</stp>
        <stp>300221</stp>
        <stp>12/31/2018</stp>
        <tr r="P1732" s="1"/>
      </tp>
      <tp>
        <v>50.3115087427513</v>
        <stp/>
        <stp>EM_S_VAL_PCF_NCFTTM</stp>
        <stp>2</stp>
        <stp>600271</stp>
        <stp>12/31/2018</stp>
        <tr r="P2348" s="1"/>
      </tp>
      <tp>
        <v>27.4019136980897</v>
        <stp/>
        <stp>EM_S_VAL_PCF_NCFTTM</stp>
        <stp>2</stp>
        <stp>300222</stp>
        <stp>12/31/2018</stp>
        <tr r="P3309" s="1"/>
      </tp>
      <tp>
        <v>-42.608056857416003</v>
        <stp/>
        <stp>EM_S_VAL_PCF_NCFTTM</stp>
        <stp>2</stp>
        <stp>600272</stp>
        <stp>12/31/2018</stp>
        <tr r="P1919" s="1"/>
      </tp>
      <tp>
        <v>71.418842049227095</v>
        <stp/>
        <stp>EM_S_VAL_PCF_NCFTTM</stp>
        <stp>2</stp>
        <stp>300223</stp>
        <stp>12/31/2018</stp>
        <tr r="P20" s="1"/>
      </tp>
      <tp>
        <v>184.01161819667001</v>
        <stp/>
        <stp>EM_S_VAL_PCF_NCFTTM</stp>
        <stp>2</stp>
        <stp>600273</stp>
        <stp>12/31/2018</stp>
        <tr r="P1116" s="1"/>
      </tp>
      <tp>
        <v>67.561739964199703</v>
        <stp/>
        <stp>EM_S_VAL_PCF_NCFTTM</stp>
        <stp>2</stp>
        <stp>300228</stp>
        <stp>12/31/2018</stp>
        <tr r="P1991" s="1"/>
      </tp>
      <tp>
        <v>-9.8277032938205906</v>
        <stp/>
        <stp>EM_S_VAL_PCF_NCFTTM</stp>
        <stp>2</stp>
        <stp>600278</stp>
        <stp>12/31/2018</stp>
        <tr r="P923" s="1"/>
      </tp>
      <tp>
        <v>-27.975164437378002</v>
        <stp/>
        <stp>EM_S_VAL_PCF_NCFTTM</stp>
        <stp>2</stp>
        <stp>300229</stp>
        <stp>12/31/2018</stp>
        <tr r="P529" s="1"/>
      </tp>
      <tp>
        <v>18.0754212959203</v>
        <stp/>
        <stp>EM_S_VAL_PCF_NCFTTM</stp>
        <stp>2</stp>
        <stp>600279</stp>
        <stp>12/31/2018</stp>
        <tr r="P1653" s="1"/>
      </tp>
      <tp>
        <v>-77.603627144203699</v>
        <stp/>
        <stp>EM_S_VAL_PCF_NCFTTM</stp>
        <stp>2</stp>
        <stp>300214</stp>
        <stp>12/31/2018</stp>
        <tr r="P590" s="1"/>
      </tp>
      <tp>
        <v>33.9337267173564</v>
        <stp/>
        <stp>EM_S_VAL_PCF_NCFTTM</stp>
        <stp>2</stp>
        <stp>300215</stp>
        <stp>12/31/2018</stp>
        <tr r="P1169" s="1"/>
      </tp>
      <tp>
        <v>-7.8674393431482601</v>
        <stp/>
        <stp>EM_S_VAL_PCF_NCFTTM</stp>
        <stp>2</stp>
        <stp>300216</stp>
        <stp>12/31/2018</stp>
        <tr r="P2361" s="1"/>
      </tp>
      <tp>
        <v>38.917165222032999</v>
        <stp/>
        <stp>EM_S_VAL_PCF_NCFTTM</stp>
        <stp>2</stp>
        <stp>600246</stp>
        <stp>12/31/2018</stp>
        <tr r="P495" s="1"/>
      </tp>
      <tp>
        <v>-30.5325336327328</v>
        <stp/>
        <stp>EM_S_VAL_PCF_NCFTTM</stp>
        <stp>2</stp>
        <stp>300217</stp>
        <stp>12/31/2018</stp>
        <tr r="P2065" s="1"/>
      </tp>
      <tp>
        <v>3131.5259568801198</v>
        <stp/>
        <stp>EM_S_VAL_PCF_NCFTTM</stp>
        <stp>2</stp>
        <stp>600247</stp>
        <stp>12/31/2018</stp>
        <tr r="P3103" s="1"/>
      </tp>
      <tp>
        <v>-33.4921662002711</v>
        <stp/>
        <stp>EM_S_VAL_PCF_NCFTTM</stp>
        <stp>2</stp>
        <stp>300210</stp>
        <stp>12/31/2018</stp>
        <tr r="P3058" s="1"/>
      </tp>
      <tp>
        <v>-5.3563086225850398</v>
        <stp/>
        <stp>EM_S_VAL_PCF_NCFTTM</stp>
        <stp>2</stp>
        <stp>600240</stp>
        <stp>12/31/2018</stp>
        <tr r="P3408" s="1"/>
      </tp>
      <tp>
        <v>12.231570556653599</v>
        <stp/>
        <stp>EM_S_VAL_PCF_NCFTTM</stp>
        <stp>2</stp>
        <stp>300211</stp>
        <stp>12/31/2018</stp>
        <tr r="P339" s="1"/>
      </tp>
      <tp>
        <v>54.280322905876503</v>
        <stp/>
        <stp>EM_S_VAL_PCF_NCFTTM</stp>
        <stp>2</stp>
        <stp>600241</stp>
        <stp>12/31/2018</stp>
        <tr r="P2745" s="1"/>
      </tp>
      <tp>
        <v>-31.674328375212301</v>
        <stp/>
        <stp>EM_S_VAL_PCF_NCFTTM</stp>
        <stp>2</stp>
        <stp>300212</stp>
        <stp>12/31/2018</stp>
        <tr r="P426" s="1"/>
      </tp>
      <tp>
        <v>34.548532646472303</v>
        <stp/>
        <stp>EM_S_VAL_PCF_NCFTTM</stp>
        <stp>2</stp>
        <stp>600242</stp>
        <stp>12/31/2018</stp>
        <tr r="P3360" s="1"/>
      </tp>
      <tp>
        <v>1298.7011025628401</v>
        <stp/>
        <stp>EM_S_VAL_PCF_NCFTTM</stp>
        <stp>2</stp>
        <stp>300213</stp>
        <stp>12/31/2018</stp>
        <tr r="P1437" s="1"/>
      </tp>
      <tp>
        <v>-77.669596985072303</v>
        <stp/>
        <stp>EM_S_VAL_PCF_NCFTTM</stp>
        <stp>2</stp>
        <stp>600243</stp>
        <stp>12/31/2018</stp>
        <tr r="P1495" s="1"/>
      </tp>
      <tp>
        <v>-17.2286095711653</v>
        <stp/>
        <stp>EM_S_VAL_PCF_NCFTTM</stp>
        <stp>2</stp>
        <stp>300218</stp>
        <stp>12/31/2018</stp>
        <tr r="P970" s="1"/>
      </tp>
      <tp>
        <v>12.965300001305399</v>
        <stp/>
        <stp>EM_S_VAL_PCF_NCFTTM</stp>
        <stp>2</stp>
        <stp>600248</stp>
        <stp>12/31/2018</stp>
        <tr r="P1689" s="1"/>
      </tp>
      <tp>
        <v>-24.2116827037608</v>
        <stp/>
        <stp>EM_S_VAL_PCF_NCFTTM</stp>
        <stp>2</stp>
        <stp>300219</stp>
        <stp>12/31/2018</stp>
        <tr r="P2822" s="1"/>
      </tp>
      <tp>
        <v>-47.522558344424098</v>
        <stp/>
        <stp>EM_S_VAL_PCF_NCFTTM</stp>
        <stp>2</stp>
        <stp>600249</stp>
        <stp>12/31/2018</stp>
        <tr r="P1050" s="1"/>
      </tp>
      <tp>
        <v>-38.9138771299951</v>
        <stp/>
        <stp>EM_S_VAL_PCF_NCFTTM</stp>
        <stp>2</stp>
        <stp>300204</stp>
        <stp>12/31/2018</stp>
        <tr r="P2375" s="1"/>
      </tp>
      <tp>
        <v>28.0967127293987</v>
        <stp/>
        <stp>EM_S_VAL_PCF_NCFTTM</stp>
        <stp>2</stp>
        <stp>300205</stp>
        <stp>12/31/2018</stp>
        <tr r="P825" s="1"/>
      </tp>
      <tp>
        <v>-40.306662046733898</v>
        <stp/>
        <stp>EM_S_VAL_PCF_NCFTTM</stp>
        <stp>2</stp>
        <stp>600255</stp>
        <stp>12/31/2018</stp>
        <tr r="P2860" s="1"/>
      </tp>
      <tp>
        <v>-41.763139425880397</v>
        <stp/>
        <stp>EM_S_VAL_PCF_NCFTTM</stp>
        <stp>2</stp>
        <stp>300206</stp>
        <stp>12/31/2018</stp>
        <tr r="P1176" s="1"/>
      </tp>
      <tp>
        <v>16.845747640193299</v>
        <stp/>
        <stp>EM_S_VAL_PCF_NCFTTM</stp>
        <stp>2</stp>
        <stp>600256</stp>
        <stp>12/31/2018</stp>
        <tr r="P2837" s="1"/>
      </tp>
      <tp>
        <v>36.416667684331898</v>
        <stp/>
        <stp>EM_S_VAL_PCF_NCFTTM</stp>
        <stp>2</stp>
        <stp>300207</stp>
        <stp>12/31/2018</stp>
        <tr r="P108" s="1"/>
      </tp>
      <tp>
        <v>22.200125307028799</v>
        <stp/>
        <stp>EM_S_VAL_PCF_NCFTTM</stp>
        <stp>2</stp>
        <stp>600257</stp>
        <stp>12/31/2018</stp>
        <tr r="P2166" s="1"/>
      </tp>
      <tp>
        <v>-37.072026108174299</v>
        <stp/>
        <stp>EM_S_VAL_PCF_NCFTTM</stp>
        <stp>2</stp>
        <stp>300200</stp>
        <stp>12/31/2018</stp>
        <tr r="P246" s="1"/>
      </tp>
      <tp>
        <v>-13.7995489197887</v>
        <stp/>
        <stp>EM_S_VAL_PCF_NCFTTM</stp>
        <stp>2</stp>
        <stp>600250</stp>
        <stp>12/31/2018</stp>
        <tr r="P3043" s="1"/>
      </tp>
      <tp>
        <v>-43.646882733451697</v>
        <stp/>
        <stp>EM_S_VAL_PCF_NCFTTM</stp>
        <stp>2</stp>
        <stp>300201</stp>
        <stp>12/31/2018</stp>
        <tr r="P2087" s="1"/>
      </tp>
      <tp>
        <v>20.8899369951605</v>
        <stp/>
        <stp>EM_S_VAL_PCF_NCFTTM</stp>
        <stp>2</stp>
        <stp>600251</stp>
        <stp>12/31/2018</stp>
        <tr r="P1731" s="1"/>
      </tp>
      <tp>
        <v>32.125730012530703</v>
        <stp/>
        <stp>EM_S_VAL_PCF_NCFTTM</stp>
        <stp>2</stp>
        <stp>300202</stp>
        <stp>12/31/2018</stp>
        <tr r="P299" s="1"/>
      </tp>
      <tp>
        <v>24.695883633740301</v>
        <stp/>
        <stp>EM_S_VAL_PCF_NCFTTM</stp>
        <stp>2</stp>
        <stp>600252</stp>
        <stp>12/31/2018</stp>
        <tr r="P1069" s="1"/>
      </tp>
      <tp>
        <v>261.23461215180299</v>
        <stp/>
        <stp>EM_S_VAL_PCF_NCFTTM</stp>
        <stp>2</stp>
        <stp>300203</stp>
        <stp>12/31/2018</stp>
        <tr r="P3273" s="1"/>
      </tp>
      <tp>
        <v>-154.561000780999</v>
        <stp/>
        <stp>EM_S_VAL_PCF_NCFTTM</stp>
        <stp>2</stp>
        <stp>600253</stp>
        <stp>12/31/2018</stp>
        <tr r="P2296" s="1"/>
      </tp>
      <tp>
        <v>23.633562553502198</v>
        <stp/>
        <stp>EM_S_VAL_PCF_NCFTTM</stp>
        <stp>2</stp>
        <stp>300208</stp>
        <stp>12/31/2018</stp>
        <tr r="P1037" s="1"/>
      </tp>
      <tp>
        <v>-45.991555869125598</v>
        <stp/>
        <stp>EM_S_VAL_PCF_NCFTTM</stp>
        <stp>2</stp>
        <stp>600258</stp>
        <stp>12/31/2018</stp>
        <tr r="P833" s="1"/>
      </tp>
      <tp>
        <v>-61.413137902559697</v>
        <stp/>
        <stp>EM_S_VAL_PCF_NCFTTM</stp>
        <stp>2</stp>
        <stp>300209</stp>
        <stp>12/31/2018</stp>
        <tr r="P866" s="1"/>
      </tp>
      <tp>
        <v>-48.4361986281111</v>
        <stp/>
        <stp>EM_S_VAL_PCF_NCFTTM</stp>
        <stp>2</stp>
        <stp>600259</stp>
        <stp>12/31/2018</stp>
        <tr r="P486" s="1"/>
      </tp>
      <tp>
        <v>229.87477955481299</v>
        <stp/>
        <stp>EM_S_VAL_PCF_NCFTTM</stp>
        <stp>2</stp>
        <stp>300274</stp>
        <stp>12/31/2018</stp>
        <tr r="P1283" s="1"/>
      </tp>
      <tp>
        <v>-7.78881507197665</v>
        <stp/>
        <stp>EM_S_VAL_PCF_NCFTTM</stp>
        <stp>2</stp>
        <stp>300275</stp>
        <stp>12/31/2018</stp>
        <tr r="P386" s="1"/>
      </tp>
      <tp>
        <v>-9.5412285613755099</v>
        <stp/>
        <stp>EM_S_VAL_PCF_NCFTTM</stp>
        <stp>2</stp>
        <stp>600225</stp>
        <stp>12/31/2018</stp>
        <tr r="P2872" s="1"/>
      </tp>
      <tp>
        <v>113.605062938654</v>
        <stp/>
        <stp>EM_S_VAL_PCF_NCFTTM</stp>
        <stp>2</stp>
        <stp>300276</stp>
        <stp>12/31/2018</stp>
        <tr r="P3092" s="1"/>
      </tp>
      <tp>
        <v>-12.572605810337301</v>
        <stp/>
        <stp>EM_S_VAL_PCF_NCFTTM</stp>
        <stp>2</stp>
        <stp>600226</stp>
        <stp>12/31/2018</stp>
        <tr r="P1718" s="1"/>
      </tp>
      <tp>
        <v>96.325812270328299</v>
        <stp/>
        <stp>EM_S_VAL_PCF_NCFTTM</stp>
        <stp>2</stp>
        <stp>300277</stp>
        <stp>12/31/2018</stp>
        <tr r="P492" s="1"/>
      </tp>
      <tp>
        <v>-22.9697959118737</v>
        <stp/>
        <stp>EM_S_VAL_PCF_NCFTTM</stp>
        <stp>2</stp>
        <stp>600227</stp>
        <stp>12/31/2018</stp>
        <tr r="P2732" s="1"/>
      </tp>
      <tp>
        <v>106.80661938541201</v>
        <stp/>
        <stp>EM_S_VAL_PCF_NCFTTM</stp>
        <stp>2</stp>
        <stp>300270</stp>
        <stp>12/31/2018</stp>
        <tr r="P966" s="1"/>
      </tp>
      <tp>
        <v>-10.835101852578401</v>
        <stp/>
        <stp>EM_S_VAL_PCF_NCFTTM</stp>
        <stp>2</stp>
        <stp>600220</stp>
        <stp>12/31/2018</stp>
        <tr r="P1873" s="1"/>
      </tp>
      <tp>
        <v>6843.6995261593402</v>
        <stp/>
        <stp>EM_S_VAL_PCF_NCFTTM</stp>
        <stp>2</stp>
        <stp>300271</stp>
        <stp>12/31/2018</stp>
        <tr r="P312" s="1"/>
      </tp>
      <tp>
        <v>-2.2361847626214102</v>
        <stp/>
        <stp>EM_S_VAL_PCF_NCFTTM</stp>
        <stp>2</stp>
        <stp>600221</stp>
        <stp>12/31/2018</stp>
        <tr r="P2679" s="1"/>
      </tp>
      <tp>
        <v>326.23701478671001</v>
        <stp/>
        <stp>EM_S_VAL_PCF_NCFTTM</stp>
        <stp>2</stp>
        <stp>300272</stp>
        <stp>12/31/2018</stp>
        <tr r="P3189" s="1"/>
      </tp>
      <tp>
        <v>-40.036804795490603</v>
        <stp/>
        <stp>EM_S_VAL_PCF_NCFTTM</stp>
        <stp>2</stp>
        <stp>600222</stp>
        <stp>12/31/2018</stp>
        <tr r="P1015" s="1"/>
      </tp>
      <tp>
        <v>-10.1628578314977</v>
        <stp/>
        <stp>EM_S_VAL_PCF_NCFTTM</stp>
        <stp>2</stp>
        <stp>300273</stp>
        <stp>12/31/2018</stp>
        <tr r="P1936" s="1"/>
      </tp>
      <tp>
        <v>-8.7680955502816609</v>
        <stp/>
        <stp>EM_S_VAL_PCF_NCFTTM</stp>
        <stp>2</stp>
        <stp>600223</stp>
        <stp>12/31/2018</stp>
        <tr r="P86" s="1"/>
      </tp>
      <tp>
        <v>-27.842828768890001</v>
        <stp/>
        <stp>EM_S_VAL_PCF_NCFTTM</stp>
        <stp>2</stp>
        <stp>300278</stp>
        <stp>12/31/2018</stp>
        <tr r="P3145" s="1"/>
      </tp>
      <tp>
        <v>121.985392463116</v>
        <stp/>
        <stp>EM_S_VAL_PCF_NCFTTM</stp>
        <stp>2</stp>
        <stp>600228</stp>
        <stp>12/31/2018</stp>
        <tr r="P3169" s="1"/>
      </tp>
      <tp>
        <v>18.259462340165399</v>
        <stp/>
        <stp>EM_S_VAL_PCF_NCFTTM</stp>
        <stp>2</stp>
        <stp>300279</stp>
        <stp>12/31/2018</stp>
        <tr r="P1022" s="1"/>
      </tp>
      <tp>
        <v>-127.926403961714</v>
        <stp/>
        <stp>EM_S_VAL_PCF_NCFTTM</stp>
        <stp>2</stp>
        <stp>600229</stp>
        <stp>12/31/2018</stp>
        <tr r="P2004" s="1"/>
      </tp>
      <tp>
        <v>-130.56038162050299</v>
        <stp/>
        <stp>EM_S_VAL_PCF_NCFTTM</stp>
        <stp>2</stp>
        <stp>300264</stp>
        <stp>12/31/2018</stp>
        <tr r="P2027" s="1"/>
      </tp>
      <tp>
        <v>165.46724721830901</v>
        <stp/>
        <stp>EM_S_VAL_PCF_NCFTTM</stp>
        <stp>2</stp>
        <stp>600234</stp>
        <stp>12/31/2018</stp>
        <tr r="P1543" s="1"/>
      </tp>
      <tp>
        <v>-66.562400682799407</v>
        <stp/>
        <stp>EM_S_VAL_PCF_NCFTTM</stp>
        <stp>2</stp>
        <stp>300265</stp>
        <stp>12/31/2018</stp>
        <tr r="P2552" s="1"/>
      </tp>
      <tp>
        <v>-338.78207047175903</v>
        <stp/>
        <stp>EM_S_VAL_PCF_NCFTTM</stp>
        <stp>2</stp>
        <stp>600235</stp>
        <stp>12/31/2018</stp>
        <tr r="P2924" s="1"/>
      </tp>
      <tp>
        <v>62.439765185618</v>
        <stp/>
        <stp>EM_S_VAL_PCF_NCFTTM</stp>
        <stp>2</stp>
        <stp>300266</stp>
        <stp>12/31/2018</stp>
        <tr r="P2378" s="1"/>
      </tp>
      <tp>
        <v>43.479978265480703</v>
        <stp/>
        <stp>EM_S_VAL_PCF_NCFTTM</stp>
        <stp>2</stp>
        <stp>600236</stp>
        <stp>12/31/2018</stp>
        <tr r="P2882" s="1"/>
      </tp>
      <tp>
        <v>48.422936050222098</v>
        <stp/>
        <stp>EM_S_VAL_PCF_NCFTTM</stp>
        <stp>2</stp>
        <stp>300267</stp>
        <stp>12/31/2018</stp>
        <tr r="P928" s="1"/>
      </tp>
      <tp>
        <v>-52.609176209842801</v>
        <stp/>
        <stp>EM_S_VAL_PCF_NCFTTM</stp>
        <stp>2</stp>
        <stp>600237</stp>
        <stp>12/31/2018</stp>
        <tr r="P1805" s="1"/>
      </tp>
      <tp>
        <v>52.694463325406701</v>
        <stp/>
        <stp>EM_S_VAL_PCF_NCFTTM</stp>
        <stp>2</stp>
        <stp>300260</stp>
        <stp>12/31/2018</stp>
        <tr r="P893" s="1"/>
      </tp>
      <tp>
        <v>9.2977773553614007</v>
        <stp/>
        <stp>EM_S_VAL_PCF_NCFTTM</stp>
        <stp>2</stp>
        <stp>600230</stp>
        <stp>12/31/2018</stp>
        <tr r="P3272" s="1"/>
      </tp>
      <tp>
        <v>9.3044065248270407</v>
        <stp/>
        <stp>EM_S_VAL_PCF_NCFTTM</stp>
        <stp>2</stp>
        <stp>300261</stp>
        <stp>12/31/2018</stp>
        <tr r="P2999" s="1"/>
      </tp>
      <tp>
        <v>-7.05617984809391</v>
        <stp/>
        <stp>EM_S_VAL_PCF_NCFTTM</stp>
        <stp>2</stp>
        <stp>600231</stp>
        <stp>12/31/2018</stp>
        <tr r="P2157" s="1"/>
      </tp>
      <tp>
        <v>14.4458011634622</v>
        <stp/>
        <stp>EM_S_VAL_PCF_NCFTTM</stp>
        <stp>2</stp>
        <stp>300262</stp>
        <stp>12/31/2018</stp>
        <tr r="P2823" s="1"/>
      </tp>
      <tp>
        <v>45.156094457808301</v>
        <stp/>
        <stp>EM_S_VAL_PCF_NCFTTM</stp>
        <stp>2</stp>
        <stp>600232</stp>
        <stp>12/31/2018</stp>
        <tr r="P942" s="1"/>
      </tp>
      <tp>
        <v>1573.5560665989799</v>
        <stp/>
        <stp>EM_S_VAL_PCF_NCFTTM</stp>
        <stp>2</stp>
        <stp>300263</stp>
        <stp>12/31/2018</stp>
        <tr r="P837" s="1"/>
      </tp>
      <tp>
        <v>-26.6282508637332</v>
        <stp/>
        <stp>EM_S_VAL_PCF_NCFTTM</stp>
        <stp>2</stp>
        <stp>600233</stp>
        <stp>12/31/2018</stp>
        <tr r="P1032" s="1"/>
      </tp>
      <tp>
        <v>19.710830113350799</v>
        <stp/>
        <stp>EM_S_VAL_PCF_NCFTTM</stp>
        <stp>2</stp>
        <stp>300268</stp>
        <stp>12/31/2018</stp>
        <tr r="P1057" s="1"/>
      </tp>
      <tp>
        <v>-9.8902008809690098</v>
        <stp/>
        <stp>EM_S_VAL_PCF_NCFTTM</stp>
        <stp>2</stp>
        <stp>600238</stp>
        <stp>12/31/2018</stp>
        <tr r="P1030" s="1"/>
      </tp>
      <tp>
        <v>-4.5576400814372597</v>
        <stp/>
        <stp>EM_S_VAL_PCF_NCFTTM</stp>
        <stp>2</stp>
        <stp>300269</stp>
        <stp>12/31/2018</stp>
        <tr r="P2751" s="1"/>
      </tp>
      <tp>
        <v>-1.63785291729726</v>
        <stp/>
        <stp>EM_S_VAL_PCF_NCFTTM</stp>
        <stp>2</stp>
        <stp>600239</stp>
        <stp>12/31/2018</stp>
        <tr r="P2256" s="1"/>
      </tp>
      <tp>
        <v>-18.198609348840598</v>
        <stp/>
        <stp>EM_S_VAL_PCF_NCFTTM</stp>
        <stp>2</stp>
        <stp>300254</stp>
        <stp>12/31/2018</stp>
        <tr r="P1140" s="1"/>
      </tp>
      <tp>
        <v>65.350501254127593</v>
        <stp/>
        <stp>EM_S_VAL_PCF_NCFTTM</stp>
        <stp>2</stp>
        <stp>300255</stp>
        <stp>12/31/2018</stp>
        <tr r="P922" s="1"/>
      </tp>
      <tp>
        <v>-33.041471201445397</v>
        <stp/>
        <stp>EM_S_VAL_PCF_NCFTTM</stp>
        <stp>2</stp>
        <stp>600205</stp>
        <stp>12/31/2018</stp>
        <tr r="P2295" s="1"/>
      </tp>
      <tp>
        <v>-17.387295357540701</v>
        <stp/>
        <stp>EM_S_VAL_PCF_NCFTTM</stp>
        <stp>2</stp>
        <stp>300256</stp>
        <stp>12/31/2018</stp>
        <tr r="P154" s="1"/>
      </tp>
      <tp>
        <v>-189.35464621350701</v>
        <stp/>
        <stp>EM_S_VAL_PCF_NCFTTM</stp>
        <stp>2</stp>
        <stp>600206</stp>
        <stp>12/31/2018</stp>
        <tr r="P232" s="1"/>
      </tp>
      <tp>
        <v>-49.360128344557097</v>
        <stp/>
        <stp>EM_S_VAL_PCF_NCFTTM</stp>
        <stp>2</stp>
        <stp>300257</stp>
        <stp>12/31/2018</stp>
        <tr r="P1743" s="1"/>
      </tp>
      <tp>
        <v>794.73993666099602</v>
        <stp/>
        <stp>EM_S_VAL_PCF_NCFTTM</stp>
        <stp>2</stp>
        <stp>600207</stp>
        <stp>12/31/2018</stp>
        <tr r="P1807" s="1"/>
      </tp>
      <tp>
        <v>-19.604489105784101</v>
        <stp/>
        <stp>EM_S_VAL_PCF_NCFTTM</stp>
        <stp>2</stp>
        <stp>300250</stp>
        <stp>12/31/2018</stp>
        <tr r="P1446" s="1"/>
      </tp>
      <tp>
        <v>45.407755126695598</v>
        <stp/>
        <stp>EM_S_VAL_PCF_NCFTTM</stp>
        <stp>2</stp>
        <stp>600200</stp>
        <stp>12/31/2018</stp>
        <tr r="P2906" s="1"/>
      </tp>
      <tp>
        <v>-108.05278277698901</v>
        <stp/>
        <stp>EM_S_VAL_PCF_NCFTTM</stp>
        <stp>2</stp>
        <stp>300251</stp>
        <stp>12/31/2018</stp>
        <tr r="P501" s="1"/>
      </tp>
      <tp>
        <v>-12.835421787633299</v>
        <stp/>
        <stp>EM_S_VAL_PCF_NCFTTM</stp>
        <stp>2</stp>
        <stp>600201</stp>
        <stp>12/31/2018</stp>
        <tr r="P1517" s="1"/>
      </tp>
      <tp>
        <v>-9.35698432079211</v>
        <stp/>
        <stp>EM_S_VAL_PCF_NCFTTM</stp>
        <stp>2</stp>
        <stp>300252</stp>
        <stp>12/31/2018</stp>
        <tr r="P2966" s="1"/>
      </tp>
      <tp>
        <v>-50.8067879973107</v>
        <stp/>
        <stp>EM_S_VAL_PCF_NCFTTM</stp>
        <stp>2</stp>
        <stp>600202</stp>
        <stp>12/31/2018</stp>
        <tr r="P605" s="1"/>
      </tp>
      <tp>
        <v>-287.40261799901702</v>
        <stp/>
        <stp>EM_S_VAL_PCF_NCFTTM</stp>
        <stp>2</stp>
        <stp>300253</stp>
        <stp>12/31/2018</stp>
        <tr r="P1336" s="1"/>
      </tp>
      <tp>
        <v>-22.2356017674411</v>
        <stp/>
        <stp>EM_S_VAL_PCF_NCFTTM</stp>
        <stp>2</stp>
        <stp>600203</stp>
        <stp>12/31/2018</stp>
        <tr r="P655" s="1"/>
      </tp>
      <tp>
        <v>66.667501737195096</v>
        <stp/>
        <stp>EM_S_VAL_PCF_NCFTTM</stp>
        <stp>2</stp>
        <stp>300258</stp>
        <stp>12/31/2018</stp>
        <tr r="P2705" s="1"/>
      </tp>
      <tp>
        <v>-7.9767683032134098</v>
        <stp/>
        <stp>EM_S_VAL_PCF_NCFTTM</stp>
        <stp>2</stp>
        <stp>600208</stp>
        <stp>12/31/2018</stp>
        <tr r="P957" s="1"/>
      </tp>
      <tp>
        <v>-17.822563498527501</v>
        <stp/>
        <stp>EM_S_VAL_PCF_NCFTTM</stp>
        <stp>2</stp>
        <stp>300259</stp>
        <stp>12/31/2018</stp>
        <tr r="P399" s="1"/>
      </tp>
      <tp>
        <v>-55.2206897963298</v>
        <stp/>
        <stp>EM_S_VAL_PCF_NCFTTM</stp>
        <stp>2</stp>
        <stp>600209</stp>
        <stp>12/31/2018</stp>
        <tr r="P3022" s="1"/>
      </tp>
      <tp>
        <v>64.061818302600699</v>
        <stp/>
        <stp>EM_S_VAL_PCF_NCFTTM</stp>
        <stp>2</stp>
        <stp>300244</stp>
        <stp>12/31/2018</stp>
        <tr r="P671" s="1"/>
      </tp>
      <tp>
        <v>44.609176319975099</v>
        <stp/>
        <stp>EM_S_VAL_PCF_NCFTTM</stp>
        <stp>2</stp>
        <stp>300245</stp>
        <stp>12/31/2018</stp>
        <tr r="P1646" s="1"/>
      </tp>
      <tp>
        <v>3.1840732722813598</v>
        <stp/>
        <stp>EM_S_VAL_PCF_NCFTTM</stp>
        <stp>2</stp>
        <stp>600215</stp>
        <stp>12/31/2018</stp>
        <tr r="P2571" s="1"/>
      </tp>
      <tp>
        <v>-184.12958447559399</v>
        <stp/>
        <stp>EM_S_VAL_PCF_NCFTTM</stp>
        <stp>2</stp>
        <stp>300246</stp>
        <stp>12/31/2018</stp>
        <tr r="P740" s="1"/>
      </tp>
      <tp>
        <v>-47.3654155443433</v>
        <stp/>
        <stp>EM_S_VAL_PCF_NCFTTM</stp>
        <stp>2</stp>
        <stp>600216</stp>
        <stp>12/31/2018</stp>
        <tr r="P597" s="1"/>
      </tp>
      <tp>
        <v>-16.682698727538899</v>
        <stp/>
        <stp>EM_S_VAL_PCF_NCFTTM</stp>
        <stp>2</stp>
        <stp>300247</stp>
        <stp>12/31/2018</stp>
        <tr r="P2984" s="1"/>
      </tp>
      <tp>
        <v>21.967463957775202</v>
        <stp/>
        <stp>EM_S_VAL_PCF_NCFTTM</stp>
        <stp>2</stp>
        <stp>600217</stp>
        <stp>12/31/2018</stp>
        <tr r="P1105" s="1"/>
      </tp>
      <tp>
        <v>-36.164884967463799</v>
        <stp/>
        <stp>EM_S_VAL_PCF_NCFTTM</stp>
        <stp>2</stp>
        <stp>300240</stp>
        <stp>12/31/2018</stp>
        <tr r="P2840" s="1"/>
      </tp>
      <tp>
        <v>11.6324929452415</v>
        <stp/>
        <stp>EM_S_VAL_PCF_NCFTTM</stp>
        <stp>2</stp>
        <stp>600210</stp>
        <stp>12/31/2018</stp>
        <tr r="P2091" s="1"/>
      </tp>
      <tp>
        <v>-62.6554500779108</v>
        <stp/>
        <stp>EM_S_VAL_PCF_NCFTTM</stp>
        <stp>2</stp>
        <stp>300241</stp>
        <stp>12/31/2018</stp>
        <tr r="P679" s="1"/>
      </tp>
      <tp>
        <v>30.4370625896569</v>
        <stp/>
        <stp>EM_S_VAL_PCF_NCFTTM</stp>
        <stp>2</stp>
        <stp>600211</stp>
        <stp>12/31/2018</stp>
        <tr r="P1937" s="1"/>
      </tp>
      <tp>
        <v>-20.643936495703599</v>
        <stp/>
        <stp>EM_S_VAL_PCF_NCFTTM</stp>
        <stp>2</stp>
        <stp>300242</stp>
        <stp>12/31/2018</stp>
        <tr r="P2537" s="1"/>
      </tp>
      <tp>
        <v>88.945925658797904</v>
        <stp/>
        <stp>EM_S_VAL_PCF_NCFTTM</stp>
        <stp>2</stp>
        <stp>600212</stp>
        <stp>12/31/2018</stp>
        <tr r="P2006" s="1"/>
      </tp>
      <tp>
        <v>71.017177582179002</v>
        <stp/>
        <stp>EM_S_VAL_PCF_NCFTTM</stp>
        <stp>2</stp>
        <stp>300243</stp>
        <stp>12/31/2018</stp>
        <tr r="P2469" s="1"/>
      </tp>
      <tp>
        <v>-4.5887521788314398</v>
        <stp/>
        <stp>EM_S_VAL_PCF_NCFTTM</stp>
        <stp>2</stp>
        <stp>600213</stp>
        <stp>12/31/2018</stp>
        <tr r="P668" s="1"/>
      </tp>
      <tp>
        <v>-41.852456058774003</v>
        <stp/>
        <stp>EM_S_VAL_PCF_NCFTTM</stp>
        <stp>2</stp>
        <stp>300248</stp>
        <stp>12/31/2018</stp>
        <tr r="P1276" s="1"/>
      </tp>
      <tp>
        <v>13.6092038820052</v>
        <stp/>
        <stp>EM_S_VAL_PCF_NCFTTM</stp>
        <stp>2</stp>
        <stp>600218</stp>
        <stp>12/31/2018</stp>
        <tr r="P83" s="1"/>
      </tp>
      <tp>
        <v>15.536940709167901</v>
        <stp/>
        <stp>EM_S_VAL_PCF_NCFTTM</stp>
        <stp>2</stp>
        <stp>300249</stp>
        <stp>12/31/2018</stp>
        <tr r="P2557" s="1"/>
      </tp>
      <tp>
        <v>-44.974698004986998</v>
        <stp/>
        <stp>EM_S_VAL_PCF_NCFTTM</stp>
        <stp>2</stp>
        <stp>600219</stp>
        <stp>12/31/2018</stp>
        <tr r="P1916" s="1"/>
      </tp>
      <tp>
        <v>96.406603706265301</v>
        <stp/>
        <stp>EM_S_VAL_PCF_NCFTTM</stp>
        <stp>2</stp>
        <stp>601985</stp>
        <stp>12/31/2018</stp>
        <tr r="P2565" s="1"/>
      </tp>
      <tp>
        <v>3.02769732249594</v>
        <stp/>
        <stp>EM_S_VAL_PCF_NCFTTM</stp>
        <stp>2</stp>
        <stp>601988</stp>
        <stp>12/31/2018</stp>
        <tr r="P2120" s="1"/>
      </tp>
      <tp>
        <v>-11.484899845214301</v>
        <stp/>
        <stp>EM_S_VAL_PCF_NCFTTM</stp>
        <stp>2</stp>
        <stp>601989</stp>
        <stp>12/31/2018</stp>
        <tr r="P1155" s="1"/>
      </tp>
      <tp>
        <v>6.3841471962649203</v>
        <stp/>
        <stp>EM_S_VAL_PCF_NCFTTM</stp>
        <stp>2</stp>
        <stp>601996</stp>
        <stp>12/31/2018</stp>
        <tr r="P2340" s="1"/>
      </tp>
      <tp>
        <v>-12.7963878214935</v>
        <stp/>
        <stp>EM_S_VAL_PCF_NCFTTM</stp>
        <stp>2</stp>
        <stp>601997</stp>
        <stp>12/31/2018</stp>
        <tr r="P2788" s="1"/>
      </tp>
      <tp>
        <v>-22.506063673957101</v>
        <stp/>
        <stp>EM_S_VAL_PCF_NCFTTM</stp>
        <stp>2</stp>
        <stp>601990</stp>
        <stp>12/31/2018</stp>
        <tr r="P632" s="1"/>
      </tp>
      <tp>
        <v>13.5352827802152</v>
        <stp/>
        <stp>EM_S_VAL_PCF_NCFTTM</stp>
        <stp>2</stp>
        <stp>601991</stp>
        <stp>12/31/2018</stp>
        <tr r="P3110" s="1"/>
      </tp>
      <tp>
        <v>-45.448282706416798</v>
        <stp/>
        <stp>EM_S_VAL_PCF_NCFTTM</stp>
        <stp>2</stp>
        <stp>601992</stp>
        <stp>12/31/2018</stp>
        <tr r="P2099" s="1"/>
      </tp>
      <tp>
        <v>-3.6821527471434101</v>
        <stp/>
        <stp>EM_S_VAL_PCF_NCFTTM</stp>
        <stp>2</stp>
        <stp>601998</stp>
        <stp>12/31/2018</stp>
        <tr r="P1567" s="1"/>
      </tp>
      <tp>
        <v>-102.77061022407599</v>
        <stp/>
        <stp>EM_S_VAL_PCF_NCFTTM</stp>
        <stp>2</stp>
        <stp>601999</stp>
        <stp>12/31/2018</stp>
        <tr r="P1305" s="1"/>
      </tp>
      <tp>
        <v>-24.627437950862198</v>
        <stp/>
        <stp>EM_S_VAL_PCF_NCFTTM</stp>
        <stp>2</stp>
        <stp>601965</stp>
        <stp>12/31/2018</stp>
        <tr r="P1351" s="1"/>
      </tp>
      <tp>
        <v>12.6256504764419</v>
        <stp/>
        <stp>EM_S_VAL_PCF_NCFTTM</stp>
        <stp>2</stp>
        <stp>601966</stp>
        <stp>12/31/2018</stp>
        <tr r="P385" s="1"/>
      </tp>
      <tp>
        <v>-40.152452424239101</v>
        <stp/>
        <stp>EM_S_VAL_PCF_NCFTTM</stp>
        <stp>2</stp>
        <stp>601968</stp>
        <stp>12/31/2018</stp>
        <tr r="P1000" s="1"/>
      </tp>
      <tp>
        <v>-12.5011818653623</v>
        <stp/>
        <stp>EM_S_VAL_PCF_NCFTTM</stp>
        <stp>2</stp>
        <stp>601969</stp>
        <stp>12/31/2018</stp>
        <tr r="P915" s="1"/>
      </tp>
      <tp>
        <v>-9.9818471303523193</v>
        <stp/>
        <stp>EM_S_VAL_PCF_NCFTTM</stp>
        <stp>2</stp>
        <stp>601949</stp>
        <stp>12/31/2018</stp>
        <tr r="P681" s="1"/>
      </tp>
      <tp>
        <v>766.32010916008903</v>
        <stp/>
        <stp>EM_S_VAL_PCF_NCFTTM</stp>
        <stp>2</stp>
        <stp>601952</stp>
        <stp>12/31/2018</stp>
        <tr r="P2012" s="1"/>
      </tp>
      <tp>
        <v>27.193902304764901</v>
        <stp/>
        <stp>EM_S_VAL_PCF_NCFTTM</stp>
        <stp>2</stp>
        <stp>601958</stp>
        <stp>12/31/2018</stp>
        <tr r="P799" s="1"/>
      </tp>
      <tp>
        <v>5.4202269329704498</v>
        <stp/>
        <stp>EM_S_VAL_PCF_NCFTTM</stp>
        <stp>2</stp>
        <stp>601928</stp>
        <stp>12/31/2018</stp>
        <tr r="P2548" s="1"/>
      </tp>
      <tp>
        <v>-17.1575293728473</v>
        <stp/>
        <stp>EM_S_VAL_PCF_NCFTTM</stp>
        <stp>2</stp>
        <stp>601929</stp>
        <stp>12/31/2018</stp>
        <tr r="P2062" s="1"/>
      </tp>
      <tp>
        <v>-3051.9620698962299</v>
        <stp/>
        <stp>EM_S_VAL_PCF_NCFTTM</stp>
        <stp>2</stp>
        <stp>601933</stp>
        <stp>12/31/2018</stp>
        <tr r="P2507" s="1"/>
      </tp>
      <tp>
        <v>4.4587071201399304</v>
        <stp/>
        <stp>EM_S_VAL_PCF_NCFTTM</stp>
        <stp>2</stp>
        <stp>601939</stp>
        <stp>12/31/2018</stp>
        <tr r="P1554" s="1"/>
      </tp>
      <tp>
        <v>-46.3473666652445</v>
        <stp/>
        <stp>EM_S_VAL_PCF_NCFTTM</stp>
        <stp>2</stp>
        <stp>001965</stp>
        <stp>12/31/2018</stp>
        <tr r="P1808" s="1"/>
      </tp>
      <tp>
        <v>30.497955684467801</v>
        <stp/>
        <stp>EM_S_VAL_PCF_NCFTTM</stp>
        <stp>2</stp>
        <stp>601900</stp>
        <stp>12/31/2018</stp>
        <tr r="P1823" s="1"/>
      </tp>
      <tp>
        <v>-19.572618942272602</v>
        <stp/>
        <stp>EM_S_VAL_PCF_NCFTTM</stp>
        <stp>2</stp>
        <stp>601901</stp>
        <stp>12/31/2018</stp>
        <tr r="P408" s="1"/>
      </tp>
      <tp>
        <v>31.074182905883699</v>
        <stp/>
        <stp>EM_S_VAL_PCF_NCFTTM</stp>
        <stp>2</stp>
        <stp>601908</stp>
        <stp>12/31/2018</stp>
        <tr r="P2539" s="1"/>
      </tp>
      <tp>
        <v>29.6923207784066</v>
        <stp/>
        <stp>EM_S_VAL_PCF_NCFTTM</stp>
        <stp>2</stp>
        <stp>601918</stp>
        <stp>12/31/2018</stp>
        <tr r="P1915" s="1"/>
      </tp>
      <tp>
        <v>24.097498806720999</v>
        <stp/>
        <stp>EM_S_VAL_PCF_NCFTTM</stp>
        <stp>2</stp>
        <stp>001979</stp>
        <stp>12/31/2018</stp>
        <tr r="P1473" s="1"/>
      </tp>
      <tp>
        <v>15.036901242138899</v>
        <stp/>
        <stp>EM_S_VAL_PCF_NCFTTM</stp>
        <stp>2</stp>
        <stp>601919</stp>
        <stp>12/31/2018</stp>
        <tr r="P933" s="1"/>
      </tp>
      <tp>
        <v>-62.378129419207099</v>
        <stp/>
        <stp>EM_S_VAL_PCF_NCFTTM</stp>
        <stp>2</stp>
        <stp>001896</stp>
        <stp>12/31/2018</stp>
        <tr r="P3602" s="1"/>
      </tp>
      <tp>
        <v>9.4803016326158307</v>
        <stp/>
        <stp>EM_S_VAL_PCF_NCFTTM</stp>
        <stp>2</stp>
        <stp>601886</stp>
        <stp>12/31/2018</stp>
        <tr r="P2479" s="1"/>
      </tp>
      <tp>
        <v>180.41213929767801</v>
        <stp/>
        <stp>EM_S_VAL_PCF_NCFTTM</stp>
        <stp>2</stp>
        <stp>601880</stp>
        <stp>12/31/2018</stp>
        <tr r="P1781" s="1"/>
      </tp>
      <tp>
        <v>-7.5872688467915301</v>
        <stp/>
        <stp>EM_S_VAL_PCF_NCFTTM</stp>
        <stp>2</stp>
        <stp>601881</stp>
        <stp>12/31/2018</stp>
        <tr r="P338" s="1"/>
      </tp>
      <tp>
        <v>-102.142950019144</v>
        <stp/>
        <stp>EM_S_VAL_PCF_NCFTTM</stp>
        <stp>2</stp>
        <stp>601882</stp>
        <stp>12/31/2018</stp>
        <tr r="P2144" s="1"/>
      </tp>
      <tp>
        <v>43.410937523567704</v>
        <stp/>
        <stp>EM_S_VAL_PCF_NCFTTM</stp>
        <stp>2</stp>
        <stp>601888</stp>
        <stp>12/31/2018</stp>
        <tr r="P601" s="1"/>
      </tp>
      <tp>
        <v>-7.2485741212877599</v>
        <stp/>
        <stp>EM_S_VAL_PCF_NCFTTM</stp>
        <stp>2</stp>
        <stp>601890</stp>
        <stp>12/31/2018</stp>
        <tr r="P410" s="1"/>
      </tp>
      <tp>
        <v>-5905.4391580459796</v>
        <stp/>
        <stp>EM_S_VAL_PCF_NCFTTM</stp>
        <stp>2</stp>
        <stp>601898</stp>
        <stp>12/31/2018</stp>
        <tr r="P1860" s="1"/>
      </tp>
      <tp>
        <v>-66.675109656774893</v>
        <stp/>
        <stp>EM_S_VAL_PCF_NCFTTM</stp>
        <stp>2</stp>
        <stp>601899</stp>
        <stp>12/31/2018</stp>
        <tr r="P838" s="1"/>
      </tp>
      <tp>
        <v>32.366810279886302</v>
        <stp/>
        <stp>EM_S_VAL_PCF_NCFTTM</stp>
        <stp>2</stp>
        <stp>601866</stp>
        <stp>12/31/2018</stp>
        <tr r="P1597" s="1"/>
      </tp>
      <tp>
        <v>-19.295054600842398</v>
        <stp/>
        <stp>EM_S_VAL_PCF_NCFTTM</stp>
        <stp>2</stp>
        <stp>601877</stp>
        <stp>12/31/2018</stp>
        <tr r="P1679" s="1"/>
      </tp>
      <tp>
        <v>-16.6228936763601</v>
        <stp/>
        <stp>EM_S_VAL_PCF_NCFTTM</stp>
        <stp>2</stp>
        <stp>601872</stp>
        <stp>12/31/2018</stp>
        <tr r="P137" s="1"/>
      </tp>
      <tp>
        <v>-16.959112984803301</v>
        <stp/>
        <stp>EM_S_VAL_PCF_NCFTTM</stp>
        <stp>2</stp>
        <stp>601878</stp>
        <stp>12/31/2018</stp>
        <tr r="P466" s="1"/>
      </tp>
      <tp>
        <v>-123.42916940115801</v>
        <stp/>
        <stp>EM_S_VAL_PCF_NCFTTM</stp>
        <stp>2</stp>
        <stp>601857</stp>
        <stp>12/31/2018</stp>
        <tr r="P3048" s="1"/>
      </tp>
      <tp>
        <v>25.392165162348</v>
        <stp/>
        <stp>EM_S_VAL_PCF_NCFTTM</stp>
        <stp>2</stp>
        <stp>601858</stp>
        <stp>12/31/2018</stp>
        <tr r="P1108" s="1"/>
      </tp>
      <tp>
        <v>-7.5619095018670297</v>
        <stp/>
        <stp>EM_S_VAL_PCF_NCFTTM</stp>
        <stp>2</stp>
        <stp>601828</stp>
        <stp>12/31/2018</stp>
        <tr r="P2154" s="1"/>
      </tp>
      <tp>
        <v>-0.60186904168163202</v>
        <stp/>
        <stp>EM_S_VAL_PCF_NCFTTM</stp>
        <stp>2</stp>
        <stp>601838</stp>
        <stp>12/31/2018</stp>
        <tr r="P1663" s="1"/>
      </tp>
      <tp>
        <v>13.3146956233866</v>
        <stp/>
        <stp>EM_S_VAL_PCF_NCFTTM</stp>
        <stp>2</stp>
        <stp>601800</stp>
        <stp>12/31/2018</stp>
        <tr r="P3086" s="1"/>
      </tp>
      <tp>
        <v>20.0531142729292</v>
        <stp/>
        <stp>EM_S_VAL_PCF_NCFTTM</stp>
        <stp>2</stp>
        <stp>601801</stp>
        <stp>12/31/2018</stp>
        <tr r="P3010" s="1"/>
      </tp>
      <tp>
        <v>-187.487512019278</v>
        <stp/>
        <stp>EM_S_VAL_PCF_NCFTTM</stp>
        <stp>2</stp>
        <stp>601808</stp>
        <stp>12/31/2018</stp>
        <tr r="P119" s="1"/>
      </tp>
      <tp>
        <v>66.021943077455603</v>
        <stp/>
        <stp>EM_S_VAL_PCF_NCFTTM</stp>
        <stp>2</stp>
        <stp>601811</stp>
        <stp>12/31/2018</stp>
        <tr r="P728" s="1"/>
      </tp>
      <tp>
        <v>6.8492428781449499</v>
        <stp/>
        <stp>EM_S_VAL_PCF_NCFTTM</stp>
        <stp>2</stp>
        <stp>601818</stp>
        <stp>12/31/2018</stp>
        <tr r="P1342" s="1"/>
      </tp>
      <tp>
        <v>6.1533275214846199</v>
        <stp/>
        <stp>EM_S_VAL_PCF_NCFTTM</stp>
        <stp>2</stp>
        <stp>601588</stp>
        <stp>12/31/2018</stp>
        <tr r="P1361" s="1"/>
      </tp>
      <tp>
        <v>-72.122880808500398</v>
        <stp/>
        <stp>EM_S_VAL_PCF_NCFTTM</stp>
        <stp>2</stp>
        <stp>601595</stp>
        <stp>12/31/2018</stp>
        <tr r="P1270" s="1"/>
      </tp>
      <tp>
        <v>-15.9764543091355</v>
        <stp/>
        <stp>EM_S_VAL_PCF_NCFTTM</stp>
        <stp>2</stp>
        <stp>601599</stp>
        <stp>12/31/2018</stp>
        <tr r="P1857" s="1"/>
      </tp>
      <tp>
        <v>3723.1522209619802</v>
        <stp/>
        <stp>EM_S_VAL_PCF_NCFTTM</stp>
        <stp>2</stp>
        <stp>601566</stp>
        <stp>12/31/2018</stp>
        <tr r="P2920" s="1"/>
      </tp>
      <tp>
        <v>25.722913834472699</v>
        <stp/>
        <stp>EM_S_VAL_PCF_NCFTTM</stp>
        <stp>2</stp>
        <stp>601567</stp>
        <stp>12/31/2018</stp>
        <tr r="P931" s="1"/>
      </tp>
      <tp>
        <v>190.11436536844201</v>
        <stp/>
        <stp>EM_S_VAL_PCF_NCFTTM</stp>
        <stp>2</stp>
        <stp>601579</stp>
        <stp>12/31/2018</stp>
        <tr r="P2532" s="1"/>
      </tp>
      <tp>
        <v>-6.1096041228908797</v>
        <stp/>
        <stp>EM_S_VAL_PCF_NCFTTM</stp>
        <stp>2</stp>
        <stp>601555</stp>
        <stp>12/31/2018</stp>
        <tr r="P582" s="1"/>
      </tp>
      <tp>
        <v>-38.286229871010299</v>
        <stp/>
        <stp>EM_S_VAL_PCF_NCFTTM</stp>
        <stp>2</stp>
        <stp>601558</stp>
        <stp>12/31/2018</stp>
        <tr r="P2379" s="1"/>
      </tp>
      <tp>
        <v>57.198470512273303</v>
        <stp/>
        <stp>EM_S_VAL_PCF_NCFTTM</stp>
        <stp>2</stp>
        <stp>601500</stp>
        <stp>12/31/2018</stp>
        <tr r="P2436" s="1"/>
      </tp>
      <tp>
        <v>33.617734377211903</v>
        <stp/>
        <stp>EM_S_VAL_PCF_NCFTTM</stp>
        <stp>2</stp>
        <stp>601515</stp>
        <stp>12/31/2018</stp>
        <tr r="P2559" s="1"/>
      </tp>
      <tp>
        <v>7.02285998942103</v>
        <stp/>
        <stp>EM_S_VAL_PCF_NCFTTM</stp>
        <stp>2</stp>
        <stp>601518</stp>
        <stp>12/31/2018</stp>
        <tr r="P2183" s="1"/>
      </tp>
      <tp>
        <v>-27.469461067723099</v>
        <stp/>
        <stp>EM_S_VAL_PCF_NCFTTM</stp>
        <stp>2</stp>
        <stp>601519</stp>
        <stp>12/31/2018</stp>
        <tr r="P99" s="1"/>
      </tp>
      <tp>
        <v>-18.644080044524699</v>
        <stp/>
        <stp>EM_S_VAL_PCF_NCFTTM</stp>
        <stp>2</stp>
        <stp>601788</stp>
        <stp>12/31/2018</stp>
        <tr r="P576" s="1"/>
      </tp>
      <tp>
        <v>27.447299384010599</v>
        <stp/>
        <stp>EM_S_VAL_PCF_NCFTTM</stp>
        <stp>2</stp>
        <stp>601789</stp>
        <stp>12/31/2018</stp>
        <tr r="P1262" s="1"/>
      </tp>
      <tp>
        <v>-212.65633119588301</v>
        <stp/>
        <stp>EM_S_VAL_PCF_NCFTTM</stp>
        <stp>2</stp>
        <stp>601798</stp>
        <stp>12/31/2018</stp>
        <tr r="P1042" s="1"/>
      </tp>
      <tp>
        <v>68.252533486940607</v>
        <stp/>
        <stp>EM_S_VAL_PCF_NCFTTM</stp>
        <stp>2</stp>
        <stp>601799</stp>
        <stp>12/31/2018</stp>
        <tr r="P166" s="1"/>
      </tp>
      <tp>
        <v>55.856027507229498</v>
        <stp/>
        <stp>EM_S_VAL_PCF_NCFTTM</stp>
        <stp>2</stp>
        <stp>601766</stp>
        <stp>12/31/2018</stp>
        <tr r="P3076" s="1"/>
      </tp>
      <tp>
        <v>-15.244924406974199</v>
        <stp/>
        <stp>EM_S_VAL_PCF_NCFTTM</stp>
        <stp>2</stp>
        <stp>601777</stp>
        <stp>12/31/2018</stp>
        <tr r="P3037" s="1"/>
      </tp>
      <tp>
        <v>76.479968818121606</v>
        <stp/>
        <stp>EM_S_VAL_PCF_NCFTTM</stp>
        <stp>2</stp>
        <stp>601727</stp>
        <stp>12/31/2018</stp>
        <tr r="P2339" s="1"/>
      </tp>
      <tp>
        <v>146.973160078012</v>
        <stp/>
        <stp>EM_S_VAL_PCF_NCFTTM</stp>
        <stp>2</stp>
        <stp>601700</stp>
        <stp>12/31/2018</stp>
        <tr r="P297" s="1"/>
      </tp>
      <tp>
        <v>21.493176682741399</v>
        <stp/>
        <stp>EM_S_VAL_PCF_NCFTTM</stp>
        <stp>2</stp>
        <stp>601717</stp>
        <stp>12/31/2018</stp>
        <tr r="P1407" s="1"/>
      </tp>
      <tp>
        <v>-26.807272238083499</v>
        <stp/>
        <stp>EM_S_VAL_PCF_NCFTTM</stp>
        <stp>2</stp>
        <stp>601718</stp>
        <stp>12/31/2018</stp>
        <tr r="P2524" s="1"/>
      </tp>
      <tp>
        <v>62.375481660973797</v>
        <stp/>
        <stp>EM_S_VAL_PCF_NCFTTM</stp>
        <stp>2</stp>
        <stp>001696</stp>
        <stp>12/31/2018</stp>
        <tr r="P863" s="1"/>
      </tp>
      <tp>
        <v>9.8481765293606696</v>
        <stp/>
        <stp>EM_S_VAL_PCF_NCFTTM</stp>
        <stp>2</stp>
        <stp>601688</stp>
        <stp>12/31/2018</stp>
        <tr r="P1013" s="1"/>
      </tp>
      <tp>
        <v>-13.039636394822599</v>
        <stp/>
        <stp>EM_S_VAL_PCF_NCFTTM</stp>
        <stp>2</stp>
        <stp>601689</stp>
        <stp>12/31/2018</stp>
        <tr r="P1375" s="1"/>
      </tp>
      <tp>
        <v>4.3177545609437198</v>
        <stp/>
        <stp>EM_S_VAL_PCF_NCFTTM</stp>
        <stp>2</stp>
        <stp>601699</stp>
        <stp>12/31/2018</stp>
        <tr r="P1809" s="1"/>
      </tp>
      <tp>
        <v>5.6411952546287596</v>
        <stp/>
        <stp>EM_S_VAL_PCF_NCFTTM</stp>
        <stp>2</stp>
        <stp>601666</stp>
        <stp>12/31/2018</stp>
        <tr r="P1590" s="1"/>
      </tp>
      <tp>
        <v>7.8626063635644696</v>
        <stp/>
        <stp>EM_S_VAL_PCF_NCFTTM</stp>
        <stp>2</stp>
        <stp>601668</stp>
        <stp>12/31/2018</stp>
        <tr r="P2444" s="1"/>
      </tp>
      <tp>
        <v>-51.903136767692999</v>
        <stp/>
        <stp>EM_S_VAL_PCF_NCFTTM</stp>
        <stp>2</stp>
        <stp>601669</stp>
        <stp>12/31/2018</stp>
        <tr r="P2887" s="1"/>
      </tp>
      <tp>
        <v>9.16085808676395</v>
        <stp/>
        <stp>EM_S_VAL_PCF_NCFTTM</stp>
        <stp>2</stp>
        <stp>601677</stp>
        <stp>12/31/2018</stp>
        <tr r="P925" s="1"/>
      </tp>
      <tp>
        <v>10.819234908276201</v>
        <stp/>
        <stp>EM_S_VAL_PCF_NCFTTM</stp>
        <stp>2</stp>
        <stp>601678</stp>
        <stp>12/31/2018</stp>
        <tr r="P1202" s="1"/>
      </tp>
      <tp>
        <v>49.073342553644402</v>
        <stp/>
        <stp>EM_S_VAL_PCF_NCFTTM</stp>
        <stp>2</stp>
        <stp>601628</stp>
        <stp>12/31/2018</stp>
        <tr r="P308" s="1"/>
      </tp>
      <tp>
        <v>-17.275795631346998</v>
        <stp/>
        <stp>EM_S_VAL_PCF_NCFTTM</stp>
        <stp>2</stp>
        <stp>601636</stp>
        <stp>12/31/2018</stp>
        <tr r="P666" s="1"/>
      </tp>
      <tp>
        <v>9.04423677558656</v>
        <stp/>
        <stp>EM_S_VAL_PCF_NCFTTM</stp>
        <stp>2</stp>
        <stp>601633</stp>
        <stp>12/31/2018</stp>
        <tr r="P446" s="1"/>
      </tp>
      <tp>
        <v>12.589454339632001</v>
        <stp/>
        <stp>EM_S_VAL_PCF_NCFTTM</stp>
        <stp>2</stp>
        <stp>601607</stp>
        <stp>12/31/2018</stp>
        <tr r="P1979" s="1"/>
      </tp>
      <tp>
        <v>7.8115805959856104</v>
        <stp/>
        <stp>EM_S_VAL_PCF_NCFTTM</stp>
        <stp>2</stp>
        <stp>601600</stp>
        <stp>12/31/2018</stp>
        <tr r="P2346" s="1"/>
      </tp>
      <tp>
        <v>-86.309098827470706</v>
        <stp/>
        <stp>EM_S_VAL_PCF_NCFTTM</stp>
        <stp>2</stp>
        <stp>601601</stp>
        <stp>12/31/2018</stp>
        <tr r="P836" s="1"/>
      </tp>
      <tp>
        <v>-10.0958592809162</v>
        <stp/>
        <stp>EM_S_VAL_PCF_NCFTTM</stp>
        <stp>2</stp>
        <stp>601608</stp>
        <stp>12/31/2018</stp>
        <tr r="P692" s="1"/>
      </tp>
      <tp>
        <v>14.801340395550699</v>
        <stp/>
        <stp>EM_S_VAL_PCF_NCFTTM</stp>
        <stp>2</stp>
        <stp>601616</stp>
        <stp>12/31/2018</stp>
        <tr r="P2516" s="1"/>
      </tp>
      <tp>
        <v>16.123730919862702</v>
        <stp/>
        <stp>EM_S_VAL_PCF_NCFTTM</stp>
        <stp>2</stp>
        <stp>601611</stp>
        <stp>12/31/2018</stp>
        <tr r="P1819" s="1"/>
      </tp>
      <tp>
        <v>51.977473322881501</v>
        <stp/>
        <stp>EM_S_VAL_PCF_NCFTTM</stp>
        <stp>2</stp>
        <stp>601618</stp>
        <stp>12/31/2018</stp>
        <tr r="P2782" s="1"/>
      </tp>
      <tp>
        <v>-44.3330199037893</v>
        <stp/>
        <stp>EM_S_VAL_PCF_NCFTTM</stp>
        <stp>2</stp>
        <stp>601619</stp>
        <stp>12/31/2018</stp>
        <tr r="P3015" s="1"/>
      </tp>
      <tp>
        <v>-28.037628016389199</v>
        <stp/>
        <stp>EM_S_VAL_PCF_NCFTTM</stp>
        <stp>2</stp>
        <stp>601186</stp>
        <stp>12/31/2018</stp>
        <tr r="P2665" s="1"/>
      </tp>
      <tp>
        <v>9.3767181151369297</v>
        <stp/>
        <stp>EM_S_VAL_PCF_NCFTTM</stp>
        <stp>2</stp>
        <stp>601188</stp>
        <stp>12/31/2018</stp>
        <tr r="P2146" s="1"/>
      </tp>
      <tp>
        <v>-18.704870409859701</v>
        <stp/>
        <stp>EM_S_VAL_PCF_NCFTTM</stp>
        <stp>2</stp>
        <stp>601198</stp>
        <stp>12/31/2018</stp>
        <tr r="P769" s="1"/>
      </tp>
      <tp>
        <v>8.9123379254767094</v>
        <stp/>
        <stp>EM_S_VAL_PCF_NCFTTM</stp>
        <stp>2</stp>
        <stp>601199</stp>
        <stp>12/31/2018</stp>
        <tr r="P1924" s="1"/>
      </tp>
      <tp>
        <v>5.5251884325198901</v>
        <stp/>
        <stp>EM_S_VAL_PCF_NCFTTM</stp>
        <stp>2</stp>
        <stp>601166</stp>
        <stp>12/31/2018</stp>
        <tr r="P877" s="1"/>
      </tp>
      <tp>
        <v>-11.286260950149799</v>
        <stp/>
        <stp>EM_S_VAL_PCF_NCFTTM</stp>
        <stp>2</stp>
        <stp>601163</stp>
        <stp>12/31/2018</stp>
        <tr r="P828" s="1"/>
      </tp>
      <tp>
        <v>-20.121501891884499</v>
        <stp/>
        <stp>EM_S_VAL_PCF_NCFTTM</stp>
        <stp>2</stp>
        <stp>601168</stp>
        <stp>12/31/2018</stp>
        <tr r="P1406" s="1"/>
      </tp>
      <tp>
        <v>-689.60547538325602</v>
        <stp/>
        <stp>EM_S_VAL_PCF_NCFTTM</stp>
        <stp>2</stp>
        <stp>601169</stp>
        <stp>12/31/2018</stp>
        <tr r="P2223" s="1"/>
      </tp>
      <tp>
        <v>-41.5604011752663</v>
        <stp/>
        <stp>EM_S_VAL_PCF_NCFTTM</stp>
        <stp>2</stp>
        <stp>601177</stp>
        <stp>12/31/2018</stp>
        <tr r="P2162" s="1"/>
      </tp>
      <tp>
        <v>-7.6568486721944797</v>
        <stp/>
        <stp>EM_S_VAL_PCF_NCFTTM</stp>
        <stp>2</stp>
        <stp>601179</stp>
        <stp>12/31/2018</stp>
        <tr r="P1813" s="1"/>
      </tp>
      <tp>
        <v>3.5042282282168</v>
        <stp/>
        <stp>EM_S_VAL_PCF_NCFTTM</stp>
        <stp>2</stp>
        <stp>601155</stp>
        <stp>12/31/2018</stp>
        <tr r="P397" s="1"/>
      </tp>
      <tp>
        <v>-20.334971583295701</v>
        <stp/>
        <stp>EM_S_VAL_PCF_NCFTTM</stp>
        <stp>2</stp>
        <stp>601158</stp>
        <stp>12/31/2018</stp>
        <tr r="P2337" s="1"/>
      </tp>
      <tp>
        <v>-428.43531738075399</v>
        <stp/>
        <stp>EM_S_VAL_PCF_NCFTTM</stp>
        <stp>2</stp>
        <stp>601126</stp>
        <stp>12/31/2018</stp>
        <tr r="P1793" s="1"/>
      </tp>
      <tp>
        <v>44.4031762873567</v>
        <stp/>
        <stp>EM_S_VAL_PCF_NCFTTM</stp>
        <stp>2</stp>
        <stp>601127</stp>
        <stp>12/31/2018</stp>
        <tr r="P3258" s="1"/>
      </tp>
      <tp>
        <v>-3.52835086070978</v>
        <stp/>
        <stp>EM_S_VAL_PCF_NCFTTM</stp>
        <stp>2</stp>
        <stp>601128</stp>
        <stp>12/31/2018</stp>
        <tr r="P693" s="1"/>
      </tp>
      <tp>
        <v>12.9165139192548</v>
        <stp/>
        <stp>EM_S_VAL_PCF_NCFTTM</stp>
        <stp>2</stp>
        <stp>601137</stp>
        <stp>12/31/2018</stp>
        <tr r="P356" s="1"/>
      </tp>
      <tp>
        <v>5.7027702014379704</v>
        <stp/>
        <stp>EM_S_VAL_PCF_NCFTTM</stp>
        <stp>2</stp>
        <stp>601138</stp>
        <stp>12/31/2018</stp>
        <tr r="P537" s="1"/>
      </tp>
      <tp>
        <v>72.194484397943896</v>
        <stp/>
        <stp>EM_S_VAL_PCF_NCFTTM</stp>
        <stp>2</stp>
        <stp>601139</stp>
        <stp>12/31/2018</stp>
        <tr r="P649" s="1"/>
      </tp>
      <tp>
        <v>-20.8084848529599</v>
        <stp/>
        <stp>EM_S_VAL_PCF_NCFTTM</stp>
        <stp>2</stp>
        <stp>601106</stp>
        <stp>12/31/2018</stp>
        <tr r="P1844" s="1"/>
      </tp>
      <tp>
        <v>-16.770436668701901</v>
        <stp/>
        <stp>EM_S_VAL_PCF_NCFTTM</stp>
        <stp>2</stp>
        <stp>601107</stp>
        <stp>12/31/2018</stp>
        <tr r="P1498" s="1"/>
      </tp>
      <tp>
        <v>99.683293626692702</v>
        <stp/>
        <stp>EM_S_VAL_PCF_NCFTTM</stp>
        <stp>2</stp>
        <stp>601100</stp>
        <stp>12/31/2018</stp>
        <tr r="P79" s="1"/>
      </tp>
      <tp>
        <v>4.6322565509732501</v>
        <stp/>
        <stp>EM_S_VAL_PCF_NCFTTM</stp>
        <stp>2</stp>
        <stp>601101</stp>
        <stp>12/31/2018</stp>
        <tr r="P3038" s="1"/>
      </tp>
      <tp>
        <v>73.046340224919206</v>
        <stp/>
        <stp>EM_S_VAL_PCF_NCFTTM</stp>
        <stp>2</stp>
        <stp>601108</stp>
        <stp>12/31/2018</stp>
        <tr r="P471" s="1"/>
      </tp>
      <tp>
        <v>3.7113310829741502</v>
        <stp/>
        <stp>EM_S_VAL_PCF_NCFTTM</stp>
        <stp>2</stp>
        <stp>601116</stp>
        <stp>12/31/2018</stp>
        <tr r="P1294" s="1"/>
      </tp>
      <tp>
        <v>5.3345763196961302</v>
        <stp/>
        <stp>EM_S_VAL_PCF_NCFTTM</stp>
        <stp>2</stp>
        <stp>601117</stp>
        <stp>12/31/2018</stp>
        <tr r="P1279" s="1"/>
      </tp>
      <tp>
        <v>-34.6880883198831</v>
        <stp/>
        <stp>EM_S_VAL_PCF_NCFTTM</stp>
        <stp>2</stp>
        <stp>601111</stp>
        <stp>12/31/2018</stp>
        <tr r="P1102" s="1"/>
      </tp>
      <tp>
        <v>475.43906539082701</v>
        <stp/>
        <stp>EM_S_VAL_PCF_NCFTTM</stp>
        <stp>2</stp>
        <stp>601113</stp>
        <stp>12/31/2018</stp>
        <tr r="P3390" s="1"/>
      </tp>
      <tp>
        <v>13.354051593781801</v>
        <stp/>
        <stp>EM_S_VAL_PCF_NCFTTM</stp>
        <stp>2</stp>
        <stp>601118</stp>
        <stp>12/31/2018</stp>
        <tr r="P1724" s="1"/>
      </tp>
      <tp>
        <v>-15.0480069498288</v>
        <stp/>
        <stp>EM_S_VAL_PCF_NCFTTM</stp>
        <stp>2</stp>
        <stp>601086</stp>
        <stp>12/31/2018</stp>
        <tr r="P2246" s="1"/>
      </tp>
      <tp>
        <v>8.8001966735268002</v>
        <stp/>
        <stp>EM_S_VAL_PCF_NCFTTM</stp>
        <stp>2</stp>
        <stp>601088</stp>
        <stp>12/31/2018</stp>
        <tr r="P2181" s="1"/>
      </tp>
      <tp>
        <v>-234.37523811891299</v>
        <stp/>
        <stp>EM_S_VAL_PCF_NCFTTM</stp>
        <stp>2</stp>
        <stp>601098</stp>
        <stp>12/31/2018</stp>
        <tr r="P2563" s="1"/>
      </tp>
      <tp>
        <v>-23.161235639645401</v>
        <stp/>
        <stp>EM_S_VAL_PCF_NCFTTM</stp>
        <stp>2</stp>
        <stp>601099</stp>
        <stp>12/31/2018</stp>
        <tr r="P526" s="1"/>
      </tp>
      <tp>
        <v>-10.105095855574501</v>
        <stp/>
        <stp>EM_S_VAL_PCF_NCFTTM</stp>
        <stp>2</stp>
        <stp>601066</stp>
        <stp>12/31/2018</stp>
        <tr r="P31" s="1"/>
      </tp>
      <tp>
        <v>-126.035093298791</v>
        <stp/>
        <stp>EM_S_VAL_PCF_NCFTTM</stp>
        <stp>2</stp>
        <stp>601069</stp>
        <stp>12/31/2018</stp>
        <tr r="P2244" s="1"/>
      </tp>
      <tp>
        <v>11.7600128307775</v>
        <stp/>
        <stp>EM_S_VAL_PCF_NCFTTM</stp>
        <stp>2</stp>
        <stp>601058</stp>
        <stp>12/31/2018</stp>
        <tr r="P167" s="1"/>
      </tp>
      <tp>
        <v>-23.465739282860799</v>
        <stp/>
        <stp>EM_S_VAL_PCF_NCFTTM</stp>
        <stp>2</stp>
        <stp>601020</stp>
        <stp>12/31/2018</stp>
        <tr r="P1826" s="1"/>
      </tp>
      <tp>
        <v>19.735786085746899</v>
        <stp/>
        <stp>EM_S_VAL_PCF_NCFTTM</stp>
        <stp>2</stp>
        <stp>601021</stp>
        <stp>12/31/2018</stp>
        <tr r="P777" s="1"/>
      </tp>
      <tp>
        <v>-5.5282672989919996</v>
        <stp/>
        <stp>EM_S_VAL_PCF_NCFTTM</stp>
        <stp>2</stp>
        <stp>601028</stp>
        <stp>12/31/2018</stp>
        <tr r="P1709" s="1"/>
      </tp>
      <tp>
        <v>-5.3120953558270099</v>
        <stp/>
        <stp>EM_S_VAL_PCF_NCFTTM</stp>
        <stp>2</stp>
        <stp>601038</stp>
        <stp>12/31/2018</stp>
        <tr r="P646" s="1"/>
      </tp>
      <tp>
        <v>10.956250196606099</v>
        <stp/>
        <stp>EM_S_VAL_PCF_NCFTTM</stp>
        <stp>2</stp>
        <stp>601005</stp>
        <stp>12/31/2018</stp>
        <tr r="P2547" s="1"/>
      </tp>
      <tp>
        <v>155.94535263585701</v>
        <stp/>
        <stp>EM_S_VAL_PCF_NCFTTM</stp>
        <stp>2</stp>
        <stp>601006</stp>
        <stp>12/31/2018</stp>
        <tr r="P2343" s="1"/>
      </tp>
      <tp>
        <v>-45.670392956283898</v>
        <stp/>
        <stp>EM_S_VAL_PCF_NCFTTM</stp>
        <stp>2</stp>
        <stp>601007</stp>
        <stp>12/31/2018</stp>
        <tr r="P1482" s="1"/>
      </tp>
      <tp>
        <v>499.99216056586198</v>
        <stp/>
        <stp>EM_S_VAL_PCF_NCFTTM</stp>
        <stp>2</stp>
        <stp>601000</stp>
        <stp>12/31/2018</stp>
        <tr r="P1833" s="1"/>
      </tp>
      <tp>
        <v>-3.10010681952203</v>
        <stp/>
        <stp>EM_S_VAL_PCF_NCFTTM</stp>
        <stp>2</stp>
        <stp>601001</stp>
        <stp>12/31/2018</stp>
        <tr r="P2169" s="1"/>
      </tp>
      <tp>
        <v>31.2278165985947</v>
        <stp/>
        <stp>EM_S_VAL_PCF_NCFTTM</stp>
        <stp>2</stp>
        <stp>601002</stp>
        <stp>12/31/2018</stp>
        <tr r="P1815" s="1"/>
      </tp>
      <tp>
        <v>6.7310666414983098</v>
        <stp/>
        <stp>EM_S_VAL_PCF_NCFTTM</stp>
        <stp>2</stp>
        <stp>601003</stp>
        <stp>12/31/2018</stp>
        <tr r="P2925" s="1"/>
      </tp>
      <tp>
        <v>28.7204815811</v>
        <stp/>
        <stp>EM_S_VAL_PCF_NCFTTM</stp>
        <stp>2</stp>
        <stp>601008</stp>
        <stp>12/31/2018</stp>
        <tr r="P1067" s="1"/>
      </tp>
      <tp>
        <v>-14.595133200324501</v>
        <stp/>
        <stp>EM_S_VAL_PCF_NCFTTM</stp>
        <stp>2</stp>
        <stp>601009</stp>
        <stp>12/31/2018</stp>
        <tr r="P813" s="1"/>
      </tp>
      <tp>
        <v>16.822633323898899</v>
        <stp/>
        <stp>EM_S_VAL_PCF_NCFTTM</stp>
        <stp>2</stp>
        <stp>601015</stp>
        <stp>12/31/2018</stp>
        <tr r="P3317" s="1"/>
      </tp>
      <tp>
        <v>111.376699199768</v>
        <stp/>
        <stp>EM_S_VAL_PCF_NCFTTM</stp>
        <stp>2</stp>
        <stp>601016</stp>
        <stp>12/31/2018</stp>
        <tr r="P2133" s="1"/>
      </tp>
      <tp>
        <v>-67.213488074093803</v>
        <stp/>
        <stp>EM_S_VAL_PCF_NCFTTM</stp>
        <stp>2</stp>
        <stp>601010</stp>
        <stp>12/31/2018</stp>
        <tr r="P1981" s="1"/>
      </tp>
      <tp>
        <v>-28.870988597374001</v>
        <stp/>
        <stp>EM_S_VAL_PCF_NCFTTM</stp>
        <stp>2</stp>
        <stp>601011</stp>
        <stp>12/31/2018</stp>
        <tr r="P3003" s="1"/>
      </tp>
      <tp>
        <v>184.93861607304299</v>
        <stp/>
        <stp>EM_S_VAL_PCF_NCFTTM</stp>
        <stp>2</stp>
        <stp>601012</stp>
        <stp>12/31/2018</stp>
        <tr r="P682" s="1"/>
      </tp>
      <tp>
        <v>6.9410207019220502</v>
        <stp/>
        <stp>EM_S_VAL_PCF_NCFTTM</stp>
        <stp>2</stp>
        <stp>601018</stp>
        <stp>12/31/2018</stp>
        <tr r="P1529" s="1"/>
      </tp>
      <tp>
        <v>14.4874829470617</v>
        <stp/>
        <stp>EM_S_VAL_PCF_NCFTTM</stp>
        <stp>2</stp>
        <stp>601019</stp>
        <stp>12/31/2018</stp>
        <tr r="P2814" s="1"/>
      </tp>
      <tp>
        <v>-28.663040406141501</v>
        <stp/>
        <stp>EM_S_VAL_PCF_NCFTTM</stp>
        <stp>2</stp>
        <stp>601388</stp>
        <stp>12/31/2018</stp>
        <tr r="P2423" s="1"/>
      </tp>
      <tp>
        <v>39.9294509846778</v>
        <stp/>
        <stp>EM_S_VAL_PCF_NCFTTM</stp>
        <stp>2</stp>
        <stp>601390</stp>
        <stp>12/31/2018</stp>
        <tr r="P2944" s="1"/>
      </tp>
      <tp>
        <v>6.61762944711485</v>
        <stp/>
        <stp>EM_S_VAL_PCF_NCFTTM</stp>
        <stp>2</stp>
        <stp>601398</stp>
        <stp>12/31/2018</stp>
        <tr r="P1662" s="1"/>
      </tp>
      <tp>
        <v>18.197891796464699</v>
        <stp/>
        <stp>EM_S_VAL_PCF_NCFTTM</stp>
        <stp>2</stp>
        <stp>601366</stp>
        <stp>12/31/2018</stp>
        <tr r="P2886" s="1"/>
      </tp>
      <tp>
        <v>-119.46607107401201</v>
        <stp/>
        <stp>EM_S_VAL_PCF_NCFTTM</stp>
        <stp>2</stp>
        <stp>601360</stp>
        <stp>12/31/2018</stp>
        <tr r="P1479" s="1"/>
      </tp>
      <tp>
        <v>50.964336528564402</v>
        <stp/>
        <stp>EM_S_VAL_PCF_NCFTTM</stp>
        <stp>2</stp>
        <stp>601368</stp>
        <stp>12/31/2018</stp>
        <tr r="P2204" s="1"/>
      </tp>
      <tp>
        <v>-155.243438349841</v>
        <stp/>
        <stp>EM_S_VAL_PCF_NCFTTM</stp>
        <stp>2</stp>
        <stp>601369</stp>
        <stp>12/31/2018</stp>
        <tr r="P1777" s="1"/>
      </tp>
      <tp>
        <v>-11.4088813319342</v>
        <stp/>
        <stp>EM_S_VAL_PCF_NCFTTM</stp>
        <stp>2</stp>
        <stp>601375</stp>
        <stp>12/31/2018</stp>
        <tr r="P1087" s="1"/>
      </tp>
      <tp>
        <v>4.3181214998103501</v>
        <stp/>
        <stp>EM_S_VAL_PCF_NCFTTM</stp>
        <stp>2</stp>
        <stp>601377</stp>
        <stp>12/31/2018</stp>
        <tr r="P499" s="1"/>
      </tp>
      <tp>
        <v>-19.555129877106499</v>
        <stp/>
        <stp>EM_S_VAL_PCF_NCFTTM</stp>
        <stp>2</stp>
        <stp>601326</stp>
        <stp>12/31/2018</stp>
        <tr r="P2259" s="1"/>
      </tp>
      <tp>
        <v>-11.789996909091</v>
        <stp/>
        <stp>EM_S_VAL_PCF_NCFTTM</stp>
        <stp>2</stp>
        <stp>601328</stp>
        <stp>12/31/2018</stp>
        <tr r="P2457" s="1"/>
      </tp>
      <tp>
        <v>17.288067224350598</v>
        <stp/>
        <stp>EM_S_VAL_PCF_NCFTTM</stp>
        <stp>2</stp>
        <stp>601336</stp>
        <stp>12/31/2018</stp>
        <tr r="P1427" s="1"/>
      </tp>
      <tp>
        <v>-77.809693495419495</v>
        <stp/>
        <stp>EM_S_VAL_PCF_NCFTTM</stp>
        <stp>2</stp>
        <stp>601330</stp>
        <stp>12/31/2018</stp>
        <tr r="P2943" s="1"/>
      </tp>
      <tp>
        <v>72.682991186772298</v>
        <stp/>
        <stp>EM_S_VAL_PCF_NCFTTM</stp>
        <stp>2</stp>
        <stp>601333</stp>
        <stp>12/31/2018</stp>
        <tr r="P2471" s="1"/>
      </tp>
      <tp>
        <v>-19.363717760996</v>
        <stp/>
        <stp>EM_S_VAL_PCF_NCFTTM</stp>
        <stp>2</stp>
        <stp>601339</stp>
        <stp>12/31/2018</stp>
        <tr r="P3196" s="1"/>
      </tp>
      <tp>
        <v>86.162160471782499</v>
        <stp/>
        <stp>EM_S_VAL_PCF_NCFTTM</stp>
        <stp>2</stp>
        <stp>601311</stp>
        <stp>12/31/2018</stp>
        <tr r="P1920" s="1"/>
      </tp>
      <tp>
        <v>23.563290820757299</v>
        <stp/>
        <stp>EM_S_VAL_PCF_NCFTTM</stp>
        <stp>2</stp>
        <stp>601318</stp>
        <stp>12/31/2018</stp>
        <tr r="P516" s="1"/>
      </tp>
      <tp>
        <v>35.470254833557597</v>
        <stp/>
        <stp>EM_S_VAL_PCF_NCFTTM</stp>
        <stp>2</stp>
        <stp>601288</stp>
        <stp>12/31/2018</stp>
        <tr r="P2090" s="1"/>
      </tp>
      <tp>
        <v>102.166710164224</v>
        <stp/>
        <stp>EM_S_VAL_PCF_NCFTTM</stp>
        <stp>2</stp>
        <stp>601299</stp>
        <stp>12/31/2018</stp>
        <tr r="P2336" s="1"/>
      </tp>
      <tp>
        <v>-94.140132964851801</v>
        <stp/>
        <stp>EM_S_VAL_PCF_NCFTTM</stp>
        <stp>2</stp>
        <stp>601268</stp>
        <stp>12/31/2018</stp>
        <tr r="P2338" s="1"/>
      </tp>
      <tp>
        <v>-0.98588575115257204</v>
        <stp/>
        <stp>EM_S_VAL_PCF_NCFTTM</stp>
        <stp>2</stp>
        <stp>601258</stp>
        <stp>12/31/2018</stp>
        <tr r="P2081" s="1"/>
      </tp>
      <tp>
        <v>52.903302196847399</v>
        <stp/>
        <stp>EM_S_VAL_PCF_NCFTTM</stp>
        <stp>2</stp>
        <stp>601225</stp>
        <stp>12/31/2018</stp>
        <tr r="P1210" s="1"/>
      </tp>
      <tp>
        <v>-42.6452387513391</v>
        <stp/>
        <stp>EM_S_VAL_PCF_NCFTTM</stp>
        <stp>2</stp>
        <stp>601226</stp>
        <stp>12/31/2018</stp>
        <tr r="P1486" s="1"/>
      </tp>
      <tp>
        <v>35.197014957311303</v>
        <stp/>
        <stp>EM_S_VAL_PCF_NCFTTM</stp>
        <stp>2</stp>
        <stp>601222</stp>
        <stp>12/31/2018</stp>
        <tr r="P2421" s="1"/>
      </tp>
      <tp>
        <v>-80.480895589873398</v>
        <stp/>
        <stp>EM_S_VAL_PCF_NCFTTM</stp>
        <stp>2</stp>
        <stp>601228</stp>
        <stp>12/31/2018</stp>
        <tr r="P2498" s="1"/>
      </tp>
      <tp>
        <v>-27.0820033171102</v>
        <stp/>
        <stp>EM_S_VAL_PCF_NCFTTM</stp>
        <stp>2</stp>
        <stp>601229</stp>
        <stp>12/31/2018</stp>
        <tr r="P2929" s="1"/>
      </tp>
      <tp>
        <v>-49.513471467563498</v>
        <stp/>
        <stp>EM_S_VAL_PCF_NCFTTM</stp>
        <stp>2</stp>
        <stp>601231</stp>
        <stp>12/31/2018</stp>
        <tr r="P130" s="1"/>
      </tp>
      <tp>
        <v>7.23480162200915</v>
        <stp/>
        <stp>EM_S_VAL_PCF_NCFTTM</stp>
        <stp>2</stp>
        <stp>601233</stp>
        <stp>12/31/2018</stp>
        <tr r="P521" s="1"/>
      </tp>
      <tp>
        <v>7.6902422399700896</v>
        <stp/>
        <stp>EM_S_VAL_PCF_NCFTTM</stp>
        <stp>2</stp>
        <stp>601238</stp>
        <stp>12/31/2018</stp>
        <tr r="P1583" s="1"/>
      </tp>
      <tp>
        <v>0</v>
        <stp/>
        <stp>EM_S_VAL_PCF_NCFTTM</stp>
        <stp>2</stp>
        <stp>601206</stp>
        <stp>12/31/2018</stp>
        <tr r="P13" s="1"/>
      </tp>
      <tp>
        <v>30.865323817338702</v>
        <stp/>
        <stp>EM_S_VAL_PCF_NCFTTM</stp>
        <stp>2</stp>
        <stp>601200</stp>
        <stp>12/31/2018</stp>
        <tr r="P2980" s="1"/>
      </tp>
      <tp>
        <v>30.397126316521501</v>
        <stp/>
        <stp>EM_S_VAL_PCF_NCFTTM</stp>
        <stp>2</stp>
        <stp>601208</stp>
        <stp>12/31/2018</stp>
        <tr r="P874" s="1"/>
      </tp>
      <tp>
        <v>488.11743792168801</v>
        <stp/>
        <stp>EM_S_VAL_PCF_NCFTTM</stp>
        <stp>2</stp>
        <stp>601216</stp>
        <stp>12/31/2018</stp>
        <tr r="P1321" s="1"/>
      </tp>
      <tp>
        <v>-24.579683683464101</v>
        <stp/>
        <stp>EM_S_VAL_PCF_NCFTTM</stp>
        <stp>2</stp>
        <stp>601211</stp>
        <stp>12/31/2018</stp>
        <tr r="P1188" s="1"/>
      </tp>
      <tp>
        <v>-13.341549806696399</v>
        <stp/>
        <stp>EM_S_VAL_PCF_NCFTTM</stp>
        <stp>2</stp>
        <stp>601212</stp>
        <stp>12/31/2018</stp>
        <tr r="P1088" s="1"/>
      </tp>
      <tp>
        <v>-10.736449067765101</v>
        <stp/>
        <stp>EM_S_VAL_PCF_NCFTTM</stp>
        <stp>2</stp>
        <stp>601218</stp>
        <stp>12/31/2018</stp>
        <tr r="P1106" s="1"/>
      </tp>
      <tp>
        <v>-8.87348058153305</v>
        <stp/>
        <stp>EM_S_VAL_PCF_NCFTTM</stp>
        <stp>2</stp>
        <stp>002905</stp>
        <stp>12/31/2018</stp>
        <tr r="P980" s="1"/>
      </tp>
      <tp>
        <v>33.778606338444</v>
        <stp/>
        <stp>EM_S_VAL_PCF_NCFTTM</stp>
        <stp>2</stp>
        <stp>002906</stp>
        <stp>12/31/2018</stp>
        <tr r="P1168" s="1"/>
      </tp>
      <tp>
        <v>43.200018632647499</v>
        <stp/>
        <stp>EM_S_VAL_PCF_NCFTTM</stp>
        <stp>2</stp>
        <stp>002907</stp>
        <stp>12/31/2018</stp>
        <tr r="P2905" s="1"/>
      </tp>
      <tp>
        <v>-6.1729792692077803</v>
        <stp/>
        <stp>EM_S_VAL_PCF_NCFTTM</stp>
        <stp>2</stp>
        <stp>002900</stp>
        <stp>12/31/2018</stp>
        <tr r="P2567" s="1"/>
      </tp>
      <tp>
        <v>-25.964092137350399</v>
        <stp/>
        <stp>EM_S_VAL_PCF_NCFTTM</stp>
        <stp>2</stp>
        <stp>002901</stp>
        <stp>12/31/2018</stp>
        <tr r="P184" s="1"/>
      </tp>
      <tp>
        <v>-9.1352545905559399</v>
        <stp/>
        <stp>EM_S_VAL_PCF_NCFTTM</stp>
        <stp>2</stp>
        <stp>002902</stp>
        <stp>12/31/2018</stp>
        <tr r="P2409" s="1"/>
      </tp>
      <tp>
        <v>-29.906805513395799</v>
        <stp/>
        <stp>EM_S_VAL_PCF_NCFTTM</stp>
        <stp>2</stp>
        <stp>002903</stp>
        <stp>12/31/2018</stp>
        <tr r="P2947" s="1"/>
      </tp>
      <tp>
        <v>31.047984867330499</v>
        <stp/>
        <stp>EM_S_VAL_PCF_NCFTTM</stp>
        <stp>2</stp>
        <stp>002908</stp>
        <stp>12/31/2018</stp>
        <tr r="P3201" s="1"/>
      </tp>
      <tp>
        <v>50.7077300715234</v>
        <stp/>
        <stp>EM_S_VAL_PCF_NCFTTM</stp>
        <stp>2</stp>
        <stp>002909</stp>
        <stp>12/31/2018</stp>
        <tr r="P2046" s="1"/>
      </tp>
      <tp>
        <v>40.671133688563799</v>
        <stp/>
        <stp>EM_S_VAL_PCF_NCFTTM</stp>
        <stp>2</stp>
        <stp>002915</stp>
        <stp>12/31/2018</stp>
        <tr r="P1164" s="1"/>
      </tp>
      <tp>
        <v>169.39453090191199</v>
        <stp/>
        <stp>EM_S_VAL_PCF_NCFTTM</stp>
        <stp>2</stp>
        <stp>002916</stp>
        <stp>12/31/2018</stp>
        <tr r="P264" s="1"/>
      </tp>
      <tp>
        <v>72.899558228691902</v>
        <stp/>
        <stp>EM_S_VAL_PCF_NCFTTM</stp>
        <stp>2</stp>
        <stp>002917</stp>
        <stp>12/31/2018</stp>
        <tr r="P3192" s="1"/>
      </tp>
      <tp>
        <v>9.7124515276592707</v>
        <stp/>
        <stp>EM_S_VAL_PCF_NCFTTM</stp>
        <stp>2</stp>
        <stp>002910</stp>
        <stp>12/31/2018</stp>
        <tr r="P2541" s="1"/>
      </tp>
      <tp>
        <v>48.352917477840599</v>
        <stp/>
        <stp>EM_S_VAL_PCF_NCFTTM</stp>
        <stp>2</stp>
        <stp>002911</stp>
        <stp>12/31/2018</stp>
        <tr r="P2725" s="1"/>
      </tp>
      <tp>
        <v>17.012148114779201</v>
        <stp/>
        <stp>EM_S_VAL_PCF_NCFTTM</stp>
        <stp>2</stp>
        <stp>002912</stp>
        <stp>12/31/2018</stp>
        <tr r="P494" s="1"/>
      </tp>
      <tp>
        <v>57.296814957620903</v>
        <stp/>
        <stp>EM_S_VAL_PCF_NCFTTM</stp>
        <stp>2</stp>
        <stp>002913</stp>
        <stp>12/31/2018</stp>
        <tr r="P570" s="1"/>
      </tp>
      <tp>
        <v>4.3369616875266397</v>
        <stp/>
        <stp>EM_S_VAL_PCF_NCFTTM</stp>
        <stp>2</stp>
        <stp>002918</stp>
        <stp>12/31/2018</stp>
        <tr r="P1272" s="1"/>
      </tp>
      <tp>
        <v>353.83018703178499</v>
        <stp/>
        <stp>EM_S_VAL_PCF_NCFTTM</stp>
        <stp>2</stp>
        <stp>002919</stp>
        <stp>12/31/2018</stp>
        <tr r="P3159" s="1"/>
      </tp>
      <tp>
        <v>-99.190223667419801</v>
        <stp/>
        <stp>EM_S_VAL_PCF_NCFTTM</stp>
        <stp>2</stp>
        <stp>002925</stp>
        <stp>12/31/2018</stp>
        <tr r="P2367" s="1"/>
      </tp>
      <tp>
        <v>-30.778310116003698</v>
        <stp/>
        <stp>EM_S_VAL_PCF_NCFTTM</stp>
        <stp>2</stp>
        <stp>002926</stp>
        <stp>12/31/2018</stp>
        <tr r="P890" s="1"/>
      </tp>
      <tp>
        <v>65.187661064824695</v>
        <stp/>
        <stp>EM_S_VAL_PCF_NCFTTM</stp>
        <stp>2</stp>
        <stp>002927</stp>
        <stp>12/31/2018</stp>
        <tr r="P3378" s="1"/>
      </tp>
      <tp>
        <v>32.627906036416597</v>
        <stp/>
        <stp>EM_S_VAL_PCF_NCFTTM</stp>
        <stp>2</stp>
        <stp>002920</stp>
        <stp>12/31/2018</stp>
        <tr r="P269" s="1"/>
      </tp>
      <tp>
        <v>35.322168223328397</v>
        <stp/>
        <stp>EM_S_VAL_PCF_NCFTTM</stp>
        <stp>2</stp>
        <stp>002921</stp>
        <stp>12/31/2018</stp>
        <tr r="P3207" s="1"/>
      </tp>
      <tp>
        <v>-28.198961366462399</v>
        <stp/>
        <stp>EM_S_VAL_PCF_NCFTTM</stp>
        <stp>2</stp>
        <stp>002922</stp>
        <stp>12/31/2018</stp>
        <tr r="P2884" s="1"/>
      </tp>
      <tp>
        <v>-41.362303014565398</v>
        <stp/>
        <stp>EM_S_VAL_PCF_NCFTTM</stp>
        <stp>2</stp>
        <stp>002923</stp>
        <stp>12/31/2018</stp>
        <tr r="P3191" s="1"/>
      </tp>
      <tp>
        <v>-82.930439076048003</v>
        <stp/>
        <stp>EM_S_VAL_PCF_NCFTTM</stp>
        <stp>2</stp>
        <stp>002928</stp>
        <stp>12/31/2018</stp>
        <tr r="P3274" s="1"/>
      </tp>
      <tp>
        <v>7.6521083661373899</v>
        <stp/>
        <stp>EM_S_VAL_PCF_NCFTTM</stp>
        <stp>2</stp>
        <stp>002929</stp>
        <stp>12/31/2018</stp>
        <tr r="P2978" s="1"/>
      </tp>
      <tp>
        <v>3031.0831485512299</v>
        <stp/>
        <stp>EM_S_VAL_PCF_NCFTTM</stp>
        <stp>2</stp>
        <stp>002930</stp>
        <stp>12/31/2018</stp>
        <tr r="P3331" s="1"/>
      </tp>
      <tp>
        <v>55.325330271033202</v>
        <stp/>
        <stp>EM_S_VAL_PCF_NCFTTM</stp>
        <stp>2</stp>
        <stp>002931</stp>
        <stp>12/31/2018</stp>
        <tr r="P2638" s="1"/>
      </tp>
      <tp>
        <v>-18.9919686399003</v>
        <stp/>
        <stp>EM_S_VAL_PCF_NCFTTM</stp>
        <stp>2</stp>
        <stp>002884</stp>
        <stp>12/31/2018</stp>
        <tr r="P3180" s="1"/>
      </tp>
      <tp>
        <v>-20.814840807103501</v>
        <stp/>
        <stp>EM_S_VAL_PCF_NCFTTM</stp>
        <stp>2</stp>
        <stp>002885</stp>
        <stp>12/31/2018</stp>
        <tr r="P3090" s="1"/>
      </tp>
      <tp>
        <v>-33.819784274507803</v>
        <stp/>
        <stp>EM_S_VAL_PCF_NCFTTM</stp>
        <stp>2</stp>
        <stp>002886</stp>
        <stp>12/31/2018</stp>
        <tr r="P774" s="1"/>
      </tp>
      <tp>
        <v>15.585744596545901</v>
        <stp/>
        <stp>EM_S_VAL_PCF_NCFTTM</stp>
        <stp>2</stp>
        <stp>002887</stp>
        <stp>12/31/2018</stp>
        <tr r="P2528" s="1"/>
      </tp>
      <tp>
        <v>-37.458332326930297</v>
        <stp/>
        <stp>EM_S_VAL_PCF_NCFTTM</stp>
        <stp>2</stp>
        <stp>002880</stp>
        <stp>12/31/2018</stp>
        <tr r="P1086" s="1"/>
      </tp>
      <tp>
        <v>21.135628695813399</v>
        <stp/>
        <stp>EM_S_VAL_PCF_NCFTTM</stp>
        <stp>2</stp>
        <stp>002881</stp>
        <stp>12/31/2018</stp>
        <tr r="P534" s="1"/>
      </tp>
      <tp>
        <v>41.796446662338703</v>
        <stp/>
        <stp>EM_S_VAL_PCF_NCFTTM</stp>
        <stp>2</stp>
        <stp>002882</stp>
        <stp>12/31/2018</stp>
        <tr r="P1759" s="1"/>
      </tp>
      <tp>
        <v>-36.6688739382232</v>
        <stp/>
        <stp>EM_S_VAL_PCF_NCFTTM</stp>
        <stp>2</stp>
        <stp>002883</stp>
        <stp>12/31/2018</stp>
        <tr r="P2216" s="1"/>
      </tp>
      <tp>
        <v>-13.781352580900499</v>
        <stp/>
        <stp>EM_S_VAL_PCF_NCFTTM</stp>
        <stp>2</stp>
        <stp>002888</stp>
        <stp>12/31/2018</stp>
        <tr r="P1442" s="1"/>
      </tp>
      <tp>
        <v>33.621156814726199</v>
        <stp/>
        <stp>EM_S_VAL_PCF_NCFTTM</stp>
        <stp>2</stp>
        <stp>002889</stp>
        <stp>12/31/2018</stp>
        <tr r="P1842" s="1"/>
      </tp>
      <tp>
        <v>926.87315222911104</v>
        <stp/>
        <stp>EM_S_VAL_PCF_NCFTTM</stp>
        <stp>2</stp>
        <stp>002895</stp>
        <stp>12/31/2018</stp>
        <tr r="P2097" s="1"/>
      </tp>
      <tp>
        <v>-14.3309716600571</v>
        <stp/>
        <stp>EM_S_VAL_PCF_NCFTTM</stp>
        <stp>2</stp>
        <stp>002896</stp>
        <stp>12/31/2018</stp>
        <tr r="P3187" s="1"/>
      </tp>
      <tp>
        <v>-8.0739218702909703</v>
        <stp/>
        <stp>EM_S_VAL_PCF_NCFTTM</stp>
        <stp>2</stp>
        <stp>002897</stp>
        <stp>12/31/2018</stp>
        <tr r="P887" s="1"/>
      </tp>
      <tp>
        <v>-24.340465539593701</v>
        <stp/>
        <stp>EM_S_VAL_PCF_NCFTTM</stp>
        <stp>2</stp>
        <stp>002890</stp>
        <stp>12/31/2018</stp>
        <tr r="P756" s="1"/>
      </tp>
      <tp>
        <v>-13.219510648152101</v>
        <stp/>
        <stp>EM_S_VAL_PCF_NCFTTM</stp>
        <stp>2</stp>
        <stp>002891</stp>
        <stp>12/31/2018</stp>
        <tr r="P3025" s="1"/>
      </tp>
      <tp>
        <v>-12.881346872938501</v>
        <stp/>
        <stp>EM_S_VAL_PCF_NCFTTM</stp>
        <stp>2</stp>
        <stp>002892</stp>
        <stp>12/31/2018</stp>
        <tr r="P1688" s="1"/>
      </tp>
      <tp>
        <v>-7.5272185061085004</v>
        <stp/>
        <stp>EM_S_VAL_PCF_NCFTTM</stp>
        <stp>2</stp>
        <stp>002893</stp>
        <stp>12/31/2018</stp>
        <tr r="P3136" s="1"/>
      </tp>
      <tp>
        <v>-12.4997591556095</v>
        <stp/>
        <stp>EM_S_VAL_PCF_NCFTTM</stp>
        <stp>2</stp>
        <stp>002898</stp>
        <stp>12/31/2018</stp>
        <tr r="P2713" s="1"/>
      </tp>
      <tp>
        <v>-3.8963194675555402</v>
        <stp/>
        <stp>EM_S_VAL_PCF_NCFTTM</stp>
        <stp>2</stp>
        <stp>002899</stp>
        <stp>12/31/2018</stp>
        <tr r="P2501" s="1"/>
      </tp>
      <tp>
        <v>1137.97950878953</v>
        <stp/>
        <stp>EM_S_VAL_PCF_NCFTTM</stp>
        <stp>2</stp>
        <stp>002805</stp>
        <stp>12/31/2018</stp>
        <tr r="P3062" s="1"/>
      </tp>
      <tp>
        <v>178.030622673659</v>
        <stp/>
        <stp>EM_S_VAL_PCF_NCFTTM</stp>
        <stp>2</stp>
        <stp>002806</stp>
        <stp>12/31/2018</stp>
        <tr r="P3132" s="1"/>
      </tp>
      <tp>
        <v>-0.98121853941571502</v>
        <stp/>
        <stp>EM_S_VAL_PCF_NCFTTM</stp>
        <stp>2</stp>
        <stp>002807</stp>
        <stp>12/31/2018</stp>
        <tr r="P2715" s="1"/>
      </tp>
      <tp>
        <v>-48.3479959225117</v>
        <stp/>
        <stp>EM_S_VAL_PCF_NCFTTM</stp>
        <stp>2</stp>
        <stp>002800</stp>
        <stp>12/31/2018</stp>
        <tr r="P363" s="1"/>
      </tp>
      <tp>
        <v>-170.70893445381699</v>
        <stp/>
        <stp>EM_S_VAL_PCF_NCFTTM</stp>
        <stp>2</stp>
        <stp>002801</stp>
        <stp>12/31/2018</stp>
        <tr r="P345" s="1"/>
      </tp>
      <tp>
        <v>123.966880977142</v>
        <stp/>
        <stp>EM_S_VAL_PCF_NCFTTM</stp>
        <stp>2</stp>
        <stp>002802</stp>
        <stp>12/31/2018</stp>
        <tr r="P2459" s="1"/>
      </tp>
      <tp>
        <v>22.725061634963801</v>
        <stp/>
        <stp>EM_S_VAL_PCF_NCFTTM</stp>
        <stp>2</stp>
        <stp>002803</stp>
        <stp>12/31/2018</stp>
        <tr r="P257" s="1"/>
      </tp>
      <tp>
        <v>-105.421015787595</v>
        <stp/>
        <stp>EM_S_VAL_PCF_NCFTTM</stp>
        <stp>2</stp>
        <stp>002808</stp>
        <stp>12/31/2018</stp>
        <tr r="P3161" s="1"/>
      </tp>
      <tp>
        <v>-44.334432710499499</v>
        <stp/>
        <stp>EM_S_VAL_PCF_NCFTTM</stp>
        <stp>2</stp>
        <stp>002809</stp>
        <stp>12/31/2018</stp>
        <tr r="P961" s="1"/>
      </tp>
      <tp>
        <v>-154.896510461937</v>
        <stp/>
        <stp>EM_S_VAL_PCF_NCFTTM</stp>
        <stp>2</stp>
        <stp>002815</stp>
        <stp>12/31/2018</stp>
        <tr r="P1314" s="1"/>
      </tp>
      <tp>
        <v>40.814498988363397</v>
        <stp/>
        <stp>EM_S_VAL_PCF_NCFTTM</stp>
        <stp>2</stp>
        <stp>002816</stp>
        <stp>12/31/2018</stp>
        <tr r="P652" s="1"/>
      </tp>
      <tp>
        <v>6.5803648203476603</v>
        <stp/>
        <stp>EM_S_VAL_PCF_NCFTTM</stp>
        <stp>2</stp>
        <stp>002817</stp>
        <stp>12/31/2018</stp>
        <tr r="P851" s="1"/>
      </tp>
      <tp>
        <v>-27.4166416554888</v>
        <stp/>
        <stp>EM_S_VAL_PCF_NCFTTM</stp>
        <stp>2</stp>
        <stp>002810</stp>
        <stp>12/31/2018</stp>
        <tr r="P1778" s="1"/>
      </tp>
      <tp>
        <v>502.19332780922701</v>
        <stp/>
        <stp>EM_S_VAL_PCF_NCFTTM</stp>
        <stp>2</stp>
        <stp>002811</stp>
        <stp>12/31/2018</stp>
        <tr r="P2796" s="1"/>
      </tp>
      <tp>
        <v>-1327.9790956344</v>
        <stp/>
        <stp>EM_S_VAL_PCF_NCFTTM</stp>
        <stp>2</stp>
        <stp>002812</stp>
        <stp>12/31/2018</stp>
        <tr r="P2026" s="1"/>
      </tp>
      <tp>
        <v>-42.834584533448698</v>
        <stp/>
        <stp>EM_S_VAL_PCF_NCFTTM</stp>
        <stp>2</stp>
        <stp>002813</stp>
        <stp>12/31/2018</stp>
        <tr r="P2566" s="1"/>
      </tp>
      <tp>
        <v>18.695505717808501</v>
        <stp/>
        <stp>EM_S_VAL_PCF_NCFTTM</stp>
        <stp>2</stp>
        <stp>002818</stp>
        <stp>12/31/2018</stp>
        <tr r="P3300" s="1"/>
      </tp>
      <tp>
        <v>-138.758176093407</v>
        <stp/>
        <stp>EM_S_VAL_PCF_NCFTTM</stp>
        <stp>2</stp>
        <stp>002819</stp>
        <stp>12/31/2018</stp>
        <tr r="P1242" s="1"/>
      </tp>
      <tp>
        <v>94.5806652620753</v>
        <stp/>
        <stp>EM_S_VAL_PCF_NCFTTM</stp>
        <stp>2</stp>
        <stp>002824</stp>
        <stp>12/31/2018</stp>
        <tr r="P1249" s="1"/>
      </tp>
      <tp>
        <v>-29.118090017960501</v>
        <stp/>
        <stp>EM_S_VAL_PCF_NCFTTM</stp>
        <stp>2</stp>
        <stp>002825</stp>
        <stp>12/31/2018</stp>
        <tr r="P2522" s="1"/>
      </tp>
      <tp>
        <v>-53.016305245752399</v>
        <stp/>
        <stp>EM_S_VAL_PCF_NCFTTM</stp>
        <stp>2</stp>
        <stp>002826</stp>
        <stp>12/31/2018</stp>
        <tr r="P2473" s="1"/>
      </tp>
      <tp>
        <v>-83.807284432999197</v>
        <stp/>
        <stp>EM_S_VAL_PCF_NCFTTM</stp>
        <stp>2</stp>
        <stp>002827</stp>
        <stp>12/31/2018</stp>
        <tr r="P3229" s="1"/>
      </tp>
      <tp>
        <v>55.9671583006457</v>
        <stp/>
        <stp>EM_S_VAL_PCF_NCFTTM</stp>
        <stp>2</stp>
        <stp>002820</stp>
        <stp>12/31/2018</stp>
        <tr r="P2429" s="1"/>
      </tp>
      <tp>
        <v>-22.0278920152147</v>
        <stp/>
        <stp>EM_S_VAL_PCF_NCFTTM</stp>
        <stp>2</stp>
        <stp>002821</stp>
        <stp>12/31/2018</stp>
        <tr r="P209" s="1"/>
      </tp>
      <tp>
        <v>-19.149051422789299</v>
        <stp/>
        <stp>EM_S_VAL_PCF_NCFTTM</stp>
        <stp>2</stp>
        <stp>002822</stp>
        <stp>12/31/2018</stp>
        <tr r="P219" s="1"/>
      </tp>
      <tp>
        <v>12.9978209652218</v>
        <stp/>
        <stp>EM_S_VAL_PCF_NCFTTM</stp>
        <stp>2</stp>
        <stp>002823</stp>
        <stp>12/31/2018</stp>
        <tr r="P2753" s="1"/>
      </tp>
      <tp>
        <v>-14.4246570452716</v>
        <stp/>
        <stp>EM_S_VAL_PCF_NCFTTM</stp>
        <stp>2</stp>
        <stp>002828</stp>
        <stp>12/31/2018</stp>
        <tr r="P2577" s="1"/>
      </tp>
      <tp>
        <v>631.28097167392696</v>
        <stp/>
        <stp>EM_S_VAL_PCF_NCFTTM</stp>
        <stp>2</stp>
        <stp>002829</stp>
        <stp>12/31/2018</stp>
        <tr r="P1147" s="1"/>
      </tp>
      <tp>
        <v>-25.728516961097402</v>
        <stp/>
        <stp>EM_S_VAL_PCF_NCFTTM</stp>
        <stp>2</stp>
        <stp>002835</stp>
        <stp>12/31/2018</stp>
        <tr r="P321" s="1"/>
      </tp>
      <tp>
        <v>-236.74423882641301</v>
        <stp/>
        <stp>EM_S_VAL_PCF_NCFTTM</stp>
        <stp>2</stp>
        <stp>002836</stp>
        <stp>12/31/2018</stp>
        <tr r="P2009" s="1"/>
      </tp>
      <tp>
        <v>-52.3100056146463</v>
        <stp/>
        <stp>EM_S_VAL_PCF_NCFTTM</stp>
        <stp>2</stp>
        <stp>002837</stp>
        <stp>12/31/2018</stp>
        <tr r="P1629" s="1"/>
      </tp>
      <tp>
        <v>5.1008642244650098</v>
        <stp/>
        <stp>EM_S_VAL_PCF_NCFTTM</stp>
        <stp>2</stp>
        <stp>002830</stp>
        <stp>12/31/2018</stp>
        <tr r="P2632" s="1"/>
      </tp>
      <tp>
        <v>53.350122359588397</v>
        <stp/>
        <stp>EM_S_VAL_PCF_NCFTTM</stp>
        <stp>2</stp>
        <stp>002831</stp>
        <stp>12/31/2018</stp>
        <tr r="P3252" s="1"/>
      </tp>
      <tp>
        <v>-14.3889382704177</v>
        <stp/>
        <stp>EM_S_VAL_PCF_NCFTTM</stp>
        <stp>2</stp>
        <stp>002832</stp>
        <stp>12/31/2018</stp>
        <tr r="P3123" s="1"/>
      </tp>
      <tp>
        <v>-43.963880345931699</v>
        <stp/>
        <stp>EM_S_VAL_PCF_NCFTTM</stp>
        <stp>2</stp>
        <stp>002833</stp>
        <stp>12/31/2018</stp>
        <tr r="P1553" s="1"/>
      </tp>
      <tp>
        <v>91.292656966492402</v>
        <stp/>
        <stp>EM_S_VAL_PCF_NCFTTM</stp>
        <stp>2</stp>
        <stp>002838</stp>
        <stp>12/31/2018</stp>
        <tr r="P3303" s="1"/>
      </tp>
      <tp>
        <v>-12.695928743994401</v>
        <stp/>
        <stp>EM_S_VAL_PCF_NCFTTM</stp>
        <stp>2</stp>
        <stp>002839</stp>
        <stp>12/31/2018</stp>
        <tr r="P1722" s="1"/>
      </tp>
      <tp>
        <v>-76.029400669117905</v>
        <stp/>
        <stp>EM_S_VAL_PCF_NCFTTM</stp>
        <stp>2</stp>
        <stp>002845</stp>
        <stp>12/31/2018</stp>
        <tr r="P1899" s="1"/>
      </tp>
      <tp>
        <v>-51.209106967963002</v>
        <stp/>
        <stp>EM_S_VAL_PCF_NCFTTM</stp>
        <stp>2</stp>
        <stp>002846</stp>
        <stp>12/31/2018</stp>
        <tr r="P237" s="1"/>
      </tp>
      <tp>
        <v>-22.918621252287998</v>
        <stp/>
        <stp>EM_S_VAL_PCF_NCFTTM</stp>
        <stp>2</stp>
        <stp>002847</stp>
        <stp>12/31/2018</stp>
        <tr r="P368" s="1"/>
      </tp>
      <tp>
        <v>62.468544708921897</v>
        <stp/>
        <stp>EM_S_VAL_PCF_NCFTTM</stp>
        <stp>2</stp>
        <stp>002840</stp>
        <stp>12/31/2018</stp>
        <tr r="P1148" s="1"/>
      </tp>
      <tp>
        <v>42.476043318450103</v>
        <stp/>
        <stp>EM_S_VAL_PCF_NCFTTM</stp>
        <stp>2</stp>
        <stp>002841</stp>
        <stp>12/31/2018</stp>
        <tr r="P563" s="1"/>
      </tp>
      <tp>
        <v>-65.694134555397</v>
        <stp/>
        <stp>EM_S_VAL_PCF_NCFTTM</stp>
        <stp>2</stp>
        <stp>002842</stp>
        <stp>12/31/2018</stp>
        <tr r="P2843" s="1"/>
      </tp>
      <tp>
        <v>-314.45337968807303</v>
        <stp/>
        <stp>EM_S_VAL_PCF_NCFTTM</stp>
        <stp>2</stp>
        <stp>002843</stp>
        <stp>12/31/2018</stp>
        <tr r="P3239" s="1"/>
      </tp>
      <tp>
        <v>-15.8289598841972</v>
        <stp/>
        <stp>EM_S_VAL_PCF_NCFTTM</stp>
        <stp>2</stp>
        <stp>002848</stp>
        <stp>12/31/2018</stp>
        <tr r="P1699" s="1"/>
      </tp>
      <tp>
        <v>173.10544616184799</v>
        <stp/>
        <stp>EM_S_VAL_PCF_NCFTTM</stp>
        <stp>2</stp>
        <stp>002849</stp>
        <stp>12/31/2018</stp>
        <tr r="P2282" s="1"/>
      </tp>
      <tp>
        <v>-11.5023869396839</v>
        <stp/>
        <stp>EM_S_VAL_PCF_NCFTTM</stp>
        <stp>2</stp>
        <stp>002855</stp>
        <stp>12/31/2018</stp>
        <tr r="P475" s="1"/>
      </tp>
      <tp>
        <v>-18.3671669101712</v>
        <stp/>
        <stp>EM_S_VAL_PCF_NCFTTM</stp>
        <stp>2</stp>
        <stp>002856</stp>
        <stp>12/31/2018</stp>
        <tr r="P2870" s="1"/>
      </tp>
      <tp>
        <v>-32.8242446817762</v>
        <stp/>
        <stp>EM_S_VAL_PCF_NCFTTM</stp>
        <stp>2</stp>
        <stp>002857</stp>
        <stp>12/31/2018</stp>
        <tr r="P2140" s="1"/>
      </tp>
      <tp>
        <v>-54.652732814598899</v>
        <stp/>
        <stp>EM_S_VAL_PCF_NCFTTM</stp>
        <stp>2</stp>
        <stp>002850</stp>
        <stp>12/31/2018</stp>
        <tr r="P87" s="1"/>
      </tp>
      <tp>
        <v>773.28893477671795</v>
        <stp/>
        <stp>EM_S_VAL_PCF_NCFTTM</stp>
        <stp>2</stp>
        <stp>002851</stp>
        <stp>12/31/2018</stp>
        <tr r="P2406" s="1"/>
      </tp>
      <tp>
        <v>46.3372635632604</v>
        <stp/>
        <stp>EM_S_VAL_PCF_NCFTTM</stp>
        <stp>2</stp>
        <stp>002852</stp>
        <stp>12/31/2018</stp>
        <tr r="P1784" s="1"/>
      </tp>
      <tp>
        <v>-24.822029624431799</v>
        <stp/>
        <stp>EM_S_VAL_PCF_NCFTTM</stp>
        <stp>2</stp>
        <stp>002853</stp>
        <stp>12/31/2018</stp>
        <tr r="P2233" s="1"/>
      </tp>
      <tp>
        <v>-15.9181190184391</v>
        <stp/>
        <stp>EM_S_VAL_PCF_NCFTTM</stp>
        <stp>2</stp>
        <stp>002858</stp>
        <stp>12/31/2018</stp>
        <tr r="P1816" s="1"/>
      </tp>
      <tp>
        <v>169.18657919865501</v>
        <stp/>
        <stp>EM_S_VAL_PCF_NCFTTM</stp>
        <stp>2</stp>
        <stp>002859</stp>
        <stp>12/31/2018</stp>
        <tr r="P1645" s="1"/>
      </tp>
      <tp>
        <v>-74.588759532969604</v>
        <stp/>
        <stp>EM_S_VAL_PCF_NCFTTM</stp>
        <stp>2</stp>
        <stp>002864</stp>
        <stp>12/31/2018</stp>
        <tr r="P2995" s="1"/>
      </tp>
      <tp>
        <v>33.385965677260202</v>
        <stp/>
        <stp>EM_S_VAL_PCF_NCFTTM</stp>
        <stp>2</stp>
        <stp>002865</stp>
        <stp>12/31/2018</stp>
        <tr r="P3027" s="1"/>
      </tp>
      <tp>
        <v>-12.9944400110776</v>
        <stp/>
        <stp>EM_S_VAL_PCF_NCFTTM</stp>
        <stp>2</stp>
        <stp>002866</stp>
        <stp>12/31/2018</stp>
        <tr r="P796" s="1"/>
      </tp>
      <tp>
        <v>61.465828351587497</v>
        <stp/>
        <stp>EM_S_VAL_PCF_NCFTTM</stp>
        <stp>2</stp>
        <stp>002867</stp>
        <stp>12/31/2018</stp>
        <tr r="P3224" s="1"/>
      </tp>
      <tp>
        <v>-39.292901736986202</v>
        <stp/>
        <stp>EM_S_VAL_PCF_NCFTTM</stp>
        <stp>2</stp>
        <stp>002860</stp>
        <stp>12/31/2018</stp>
        <tr r="P1191" s="1"/>
      </tp>
      <tp>
        <v>-14.173017255358101</v>
        <stp/>
        <stp>EM_S_VAL_PCF_NCFTTM</stp>
        <stp>2</stp>
        <stp>002861</stp>
        <stp>12/31/2018</stp>
        <tr r="P286" s="1"/>
      </tp>
      <tp>
        <v>87.470961480203201</v>
        <stp/>
        <stp>EM_S_VAL_PCF_NCFTTM</stp>
        <stp>2</stp>
        <stp>002862</stp>
        <stp>12/31/2018</stp>
        <tr r="P2070" s="1"/>
      </tp>
      <tp>
        <v>-75.439372792367706</v>
        <stp/>
        <stp>EM_S_VAL_PCF_NCFTTM</stp>
        <stp>2</stp>
        <stp>002863</stp>
        <stp>12/31/2018</stp>
        <tr r="P2846" s="1"/>
      </tp>
      <tp>
        <v>-94.2122021254158</v>
        <stp/>
        <stp>EM_S_VAL_PCF_NCFTTM</stp>
        <stp>2</stp>
        <stp>002868</stp>
        <stp>12/31/2018</stp>
        <tr r="P1313" s="1"/>
      </tp>
      <tp>
        <v>-4.3669882310656902</v>
        <stp/>
        <stp>EM_S_VAL_PCF_NCFTTM</stp>
        <stp>2</stp>
        <stp>002869</stp>
        <stp>12/31/2018</stp>
        <tr r="P26" s="1"/>
      </tp>
      <tp>
        <v>17.807904230575598</v>
        <stp/>
        <stp>EM_S_VAL_PCF_NCFTTM</stp>
        <stp>2</stp>
        <stp>002875</stp>
        <stp>12/31/2018</stp>
        <tr r="P1887" s="1"/>
      </tp>
      <tp>
        <v>15.597001670512901</v>
        <stp/>
        <stp>EM_S_VAL_PCF_NCFTTM</stp>
        <stp>2</stp>
        <stp>002876</stp>
        <stp>12/31/2018</stp>
        <tr r="P487" s="1"/>
      </tp>
      <tp>
        <v>113.842387797749</v>
        <stp/>
        <stp>EM_S_VAL_PCF_NCFTTM</stp>
        <stp>2</stp>
        <stp>002877</stp>
        <stp>12/31/2018</stp>
        <tr r="P3315" s="1"/>
      </tp>
      <tp>
        <v>-340.87279670877899</v>
        <stp/>
        <stp>EM_S_VAL_PCF_NCFTTM</stp>
        <stp>2</stp>
        <stp>002870</stp>
        <stp>12/31/2018</stp>
        <tr r="P411" s="1"/>
      </tp>
      <tp>
        <v>42.031178425997098</v>
        <stp/>
        <stp>EM_S_VAL_PCF_NCFTTM</stp>
        <stp>2</stp>
        <stp>002871</stp>
        <stp>12/31/2018</stp>
        <tr r="P2391" s="1"/>
      </tp>
      <tp>
        <v>-10.2396965907541</v>
        <stp/>
        <stp>EM_S_VAL_PCF_NCFTTM</stp>
        <stp>2</stp>
        <stp>002872</stp>
        <stp>12/31/2018</stp>
        <tr r="P3295" s="1"/>
      </tp>
      <tp>
        <v>-12.154991021891499</v>
        <stp/>
        <stp>EM_S_VAL_PCF_NCFTTM</stp>
        <stp>2</stp>
        <stp>002873</stp>
        <stp>12/31/2018</stp>
        <tr r="P2205" s="1"/>
      </tp>
      <tp>
        <v>169.92786517374199</v>
        <stp/>
        <stp>EM_S_VAL_PCF_NCFTTM</stp>
        <stp>2</stp>
        <stp>002878</stp>
        <stp>12/31/2018</stp>
        <tr r="P1941" s="1"/>
      </tp>
      <tp>
        <v>-44.453670956796302</v>
        <stp/>
        <stp>EM_S_VAL_PCF_NCFTTM</stp>
        <stp>2</stp>
        <stp>002879</stp>
        <stp>12/31/2018</stp>
        <tr r="P1221" s="1"/>
      </tp>
      <tp>
        <v>31.701822262743601</v>
        <stp/>
        <stp>EM_S_VAL_PCF_NCFTTM</stp>
        <stp>2</stp>
        <stp>002584</stp>
        <stp>12/31/2018</stp>
        <tr r="P2985" s="1"/>
      </tp>
      <tp>
        <v>-18.5772231719085</v>
        <stp/>
        <stp>EM_S_VAL_PCF_NCFTTM</stp>
        <stp>2</stp>
        <stp>002585</stp>
        <stp>12/31/2018</stp>
        <tr r="P2748" s="1"/>
      </tp>
      <tp>
        <v>8.4466417076389195</v>
        <stp/>
        <stp>EM_S_VAL_PCF_NCFTTM</stp>
        <stp>2</stp>
        <stp>002586</stp>
        <stp>12/31/2018</stp>
        <tr r="P3213" s="1"/>
      </tp>
      <tp>
        <v>-34.620661827110297</v>
        <stp/>
        <stp>EM_S_VAL_PCF_NCFTTM</stp>
        <stp>2</stp>
        <stp>002587</stp>
        <stp>12/31/2018</stp>
        <tr r="P422" s="1"/>
      </tp>
      <tp>
        <v>-53.976217293146597</v>
        <stp/>
        <stp>EM_S_VAL_PCF_NCFTTM</stp>
        <stp>2</stp>
        <stp>002580</stp>
        <stp>12/31/2018</stp>
        <tr r="P1977" s="1"/>
      </tp>
      <tp>
        <v>26.0070413220562</v>
        <stp/>
        <stp>EM_S_VAL_PCF_NCFTTM</stp>
        <stp>2</stp>
        <stp>002581</stp>
        <stp>12/31/2018</stp>
        <tr r="P2170" s="1"/>
      </tp>
      <tp>
        <v>-16.1553410002359</v>
        <stp/>
        <stp>EM_S_VAL_PCF_NCFTTM</stp>
        <stp>2</stp>
        <stp>002582</stp>
        <stp>12/31/2018</stp>
        <tr r="P1633" s="1"/>
      </tp>
      <tp>
        <v>122.70375400829199</v>
        <stp/>
        <stp>EM_S_VAL_PCF_NCFTTM</stp>
        <stp>2</stp>
        <stp>002583</stp>
        <stp>12/31/2018</stp>
        <tr r="P1954" s="1"/>
      </tp>
      <tp>
        <v>-627.17257728498896</v>
        <stp/>
        <stp>EM_S_VAL_PCF_NCFTTM</stp>
        <stp>2</stp>
        <stp>002588</stp>
        <stp>12/31/2018</stp>
        <tr r="P2389" s="1"/>
      </tp>
      <tp>
        <v>34.331210984558503</v>
        <stp/>
        <stp>EM_S_VAL_PCF_NCFTTM</stp>
        <stp>2</stp>
        <stp>002589</stp>
        <stp>12/31/2018</stp>
        <tr r="P1768" s="1"/>
      </tp>
      <tp>
        <v>27.382868655393398</v>
        <stp/>
        <stp>EM_S_VAL_PCF_NCFTTM</stp>
        <stp>2</stp>
        <stp>002594</stp>
        <stp>12/31/2018</stp>
        <tr r="P2634" s="1"/>
      </tp>
      <tp>
        <v>74.336295442284097</v>
        <stp/>
        <stp>EM_S_VAL_PCF_NCFTTM</stp>
        <stp>2</stp>
        <stp>002595</stp>
        <stp>12/31/2018</stp>
        <tr r="P1354" s="1"/>
      </tp>
      <tp>
        <v>-55.751966755804098</v>
        <stp/>
        <stp>EM_S_VAL_PCF_NCFTTM</stp>
        <stp>2</stp>
        <stp>002596</stp>
        <stp>12/31/2018</stp>
        <tr r="P1810" s="1"/>
      </tp>
      <tp>
        <v>13.036345725535</v>
        <stp/>
        <stp>EM_S_VAL_PCF_NCFTTM</stp>
        <stp>2</stp>
        <stp>002597</stp>
        <stp>12/31/2018</stp>
        <tr r="P765" s="1"/>
      </tp>
      <tp>
        <v>89.160367632057302</v>
        <stp/>
        <stp>EM_S_VAL_PCF_NCFTTM</stp>
        <stp>2</stp>
        <stp>002590</stp>
        <stp>12/31/2018</stp>
        <tr r="P1706" s="1"/>
      </tp>
      <tp>
        <v>-69.785310558029295</v>
        <stp/>
        <stp>EM_S_VAL_PCF_NCFTTM</stp>
        <stp>2</stp>
        <stp>002591</stp>
        <stp>12/31/2018</stp>
        <tr r="P814" s="1"/>
      </tp>
      <tp>
        <v>25.015473387283201</v>
        <stp/>
        <stp>EM_S_VAL_PCF_NCFTTM</stp>
        <stp>2</stp>
        <stp>002592</stp>
        <stp>12/31/2018</stp>
        <tr r="P3324" s="1"/>
      </tp>
      <tp>
        <v>-43.6044431222725</v>
        <stp/>
        <stp>EM_S_VAL_PCF_NCFTTM</stp>
        <stp>2</stp>
        <stp>002593</stp>
        <stp>12/31/2018</stp>
        <tr r="P1008" s="1"/>
      </tp>
      <tp>
        <v>119.600021379827</v>
        <stp/>
        <stp>EM_S_VAL_PCF_NCFTTM</stp>
        <stp>2</stp>
        <stp>002598</stp>
        <stp>12/31/2018</stp>
        <tr r="P2728" s="1"/>
      </tp>
      <tp>
        <v>-53.2947447050419</v>
        <stp/>
        <stp>EM_S_VAL_PCF_NCFTTM</stp>
        <stp>2</stp>
        <stp>002599</stp>
        <stp>12/31/2018</stp>
        <tr r="P3370" s="1"/>
      </tp>
      <tp>
        <v>-59.764948363506399</v>
        <stp/>
        <stp>EM_S_VAL_PCF_NCFTTM</stp>
        <stp>2</stp>
        <stp>002504</stp>
        <stp>12/31/2018</stp>
        <tr r="P2893" s="1"/>
      </tp>
      <tp>
        <v>-16.621042765231799</v>
        <stp/>
        <stp>EM_S_VAL_PCF_NCFTTM</stp>
        <stp>2</stp>
        <stp>002505</stp>
        <stp>12/31/2018</stp>
        <tr r="P1975" s="1"/>
      </tp>
      <tp>
        <v>-237.94918912112601</v>
        <stp/>
        <stp>EM_S_VAL_PCF_NCFTTM</stp>
        <stp>2</stp>
        <stp>002506</stp>
        <stp>12/31/2018</stp>
        <tr r="P1358" s="1"/>
      </tp>
      <tp>
        <v>26.415293172235099</v>
        <stp/>
        <stp>EM_S_VAL_PCF_NCFTTM</stp>
        <stp>2</stp>
        <stp>002507</stp>
        <stp>12/31/2018</stp>
        <tr r="P1166" s="1"/>
      </tp>
      <tp>
        <v>-14.1403051460273</v>
        <stp/>
        <stp>EM_S_VAL_PCF_NCFTTM</stp>
        <stp>2</stp>
        <stp>002500</stp>
        <stp>12/31/2018</stp>
        <tr r="P731" s="1"/>
      </tp>
      <tp>
        <v>-3.07563672214732</v>
        <stp/>
        <stp>EM_S_VAL_PCF_NCFTTM</stp>
        <stp>2</stp>
        <stp>002501</stp>
        <stp>12/31/2018</stp>
        <tr r="P3330" s="1"/>
      </tp>
      <tp>
        <v>-13.7075868964682</v>
        <stp/>
        <stp>EM_S_VAL_PCF_NCFTTM</stp>
        <stp>2</stp>
        <stp>002502</stp>
        <stp>12/31/2018</stp>
        <tr r="P2997" s="1"/>
      </tp>
      <tp>
        <v>10.895490354678699</v>
        <stp/>
        <stp>EM_S_VAL_PCF_NCFTTM</stp>
        <stp>2</stp>
        <stp>002503</stp>
        <stp>12/31/2018</stp>
        <tr r="P2089" s="1"/>
      </tp>
      <tp>
        <v>67.437745913239993</v>
        <stp/>
        <stp>EM_S_VAL_PCF_NCFTTM</stp>
        <stp>2</stp>
        <stp>002508</stp>
        <stp>12/31/2018</stp>
        <tr r="P332" s="1"/>
      </tp>
      <tp>
        <v>-215.59734815169</v>
        <stp/>
        <stp>EM_S_VAL_PCF_NCFTTM</stp>
        <stp>2</stp>
        <stp>002509</stp>
        <stp>12/31/2018</stp>
        <tr r="P3313" s="1"/>
      </tp>
      <tp>
        <v>-118.72089173000499</v>
        <stp/>
        <stp>EM_S_VAL_PCF_NCFTTM</stp>
        <stp>2</stp>
        <stp>002514</stp>
        <stp>12/31/2018</stp>
        <tr r="P1830" s="1"/>
      </tp>
      <tp>
        <v>108.32612034912199</v>
        <stp/>
        <stp>EM_S_VAL_PCF_NCFTTM</stp>
        <stp>2</stp>
        <stp>002515</stp>
        <stp>12/31/2018</stp>
        <tr r="P982" s="1"/>
      </tp>
      <tp>
        <v>-36.496983450025198</v>
        <stp/>
        <stp>EM_S_VAL_PCF_NCFTTM</stp>
        <stp>2</stp>
        <stp>002516</stp>
        <stp>12/31/2018</stp>
        <tr r="P2588" s="1"/>
      </tp>
      <tp>
        <v>-37.653087020441298</v>
        <stp/>
        <stp>EM_S_VAL_PCF_NCFTTM</stp>
        <stp>2</stp>
        <stp>002517</stp>
        <stp>12/31/2018</stp>
        <tr r="P3215" s="1"/>
      </tp>
      <tp>
        <v>-8.7607791070051206</v>
        <stp/>
        <stp>EM_S_VAL_PCF_NCFTTM</stp>
        <stp>2</stp>
        <stp>002510</stp>
        <stp>12/31/2018</stp>
        <tr r="P994" s="1"/>
      </tp>
      <tp>
        <v>-100.438892549892</v>
        <stp/>
        <stp>EM_S_VAL_PCF_NCFTTM</stp>
        <stp>2</stp>
        <stp>002511</stp>
        <stp>12/31/2018</stp>
        <tr r="P611" s="1"/>
      </tp>
      <tp>
        <v>-15.0229636654225</v>
        <stp/>
        <stp>EM_S_VAL_PCF_NCFTTM</stp>
        <stp>2</stp>
        <stp>002512</stp>
        <stp>12/31/2018</stp>
        <tr r="P1261" s="1"/>
      </tp>
      <tp>
        <v>-8.5112923518502797</v>
        <stp/>
        <stp>EM_S_VAL_PCF_NCFTTM</stp>
        <stp>2</stp>
        <stp>002513</stp>
        <stp>12/31/2018</stp>
        <tr r="P1792" s="1"/>
      </tp>
      <tp>
        <v>-25.6997927404507</v>
        <stp/>
        <stp>EM_S_VAL_PCF_NCFTTM</stp>
        <stp>2</stp>
        <stp>002518</stp>
        <stp>12/31/2018</stp>
        <tr r="P588" s="1"/>
      </tp>
      <tp>
        <v>-32.587441008129197</v>
        <stp/>
        <stp>EM_S_VAL_PCF_NCFTTM</stp>
        <stp>2</stp>
        <stp>002519</stp>
        <stp>12/31/2018</stp>
        <tr r="P1671" s="1"/>
      </tp>
      <tp>
        <v>17.840864285700501</v>
        <stp/>
        <stp>EM_S_VAL_PCF_NCFTTM</stp>
        <stp>2</stp>
        <stp>002524</stp>
        <stp>12/31/2018</stp>
        <tr r="P120" s="1"/>
      </tp>
      <tp>
        <v>0</v>
        <stp/>
        <stp>EM_S_VAL_PCF_NCFTTM</stp>
        <stp>2</stp>
        <stp>002525</stp>
        <stp>12/31/2018</stp>
        <tr r="P6" s="1"/>
      </tp>
      <tp>
        <v>29.196208628416301</v>
        <stp/>
        <stp>EM_S_VAL_PCF_NCFTTM</stp>
        <stp>2</stp>
        <stp>002526</stp>
        <stp>12/31/2018</stp>
        <tr r="P1267" s="1"/>
      </tp>
      <tp>
        <v>134.15304616775501</v>
        <stp/>
        <stp>EM_S_VAL_PCF_NCFTTM</stp>
        <stp>2</stp>
        <stp>002527</stp>
        <stp>12/31/2018</stp>
        <tr r="P2484" s="1"/>
      </tp>
      <tp>
        <v>-53.3553862749419</v>
        <stp/>
        <stp>EM_S_VAL_PCF_NCFTTM</stp>
        <stp>2</stp>
        <stp>002520</stp>
        <stp>12/31/2018</stp>
        <tr r="P2660" s="1"/>
      </tp>
      <tp>
        <v>-19.347894679089901</v>
        <stp/>
        <stp>EM_S_VAL_PCF_NCFTTM</stp>
        <stp>2</stp>
        <stp>002521</stp>
        <stp>12/31/2018</stp>
        <tr r="P1904" s="1"/>
      </tp>
      <tp>
        <v>37.422623165849799</v>
        <stp/>
        <stp>EM_S_VAL_PCF_NCFTTM</stp>
        <stp>2</stp>
        <stp>002522</stp>
        <stp>12/31/2018</stp>
        <tr r="P1044" s="1"/>
      </tp>
      <tp>
        <v>154.615322817551</v>
        <stp/>
        <stp>EM_S_VAL_PCF_NCFTTM</stp>
        <stp>2</stp>
        <stp>002523</stp>
        <stp>12/31/2018</stp>
        <tr r="P2054" s="1"/>
      </tp>
      <tp>
        <v>45.561648302129903</v>
        <stp/>
        <stp>EM_S_VAL_PCF_NCFTTM</stp>
        <stp>2</stp>
        <stp>002528</stp>
        <stp>12/31/2018</stp>
        <tr r="P665" s="1"/>
      </tp>
      <tp>
        <v>-64.302877471339301</v>
        <stp/>
        <stp>EM_S_VAL_PCF_NCFTTM</stp>
        <stp>2</stp>
        <stp>002529</stp>
        <stp>12/31/2018</stp>
        <tr r="P2916" s="1"/>
      </tp>
      <tp>
        <v>-37.950494093678302</v>
        <stp/>
        <stp>EM_S_VAL_PCF_NCFTTM</stp>
        <stp>2</stp>
        <stp>002534</stp>
        <stp>12/31/2018</stp>
        <tr r="P721" s="1"/>
      </tp>
      <tp>
        <v>-17.746417896088101</v>
        <stp/>
        <stp>EM_S_VAL_PCF_NCFTTM</stp>
        <stp>2</stp>
        <stp>002535</stp>
        <stp>12/31/2018</stp>
        <tr r="P2901" s="1"/>
      </tp>
      <tp>
        <v>-115.733032714491</v>
        <stp/>
        <stp>EM_S_VAL_PCF_NCFTTM</stp>
        <stp>2</stp>
        <stp>002536</stp>
        <stp>12/31/2018</stp>
        <tr r="P3350" s="1"/>
      </tp>
      <tp>
        <v>-12.6498894961394</v>
        <stp/>
        <stp>EM_S_VAL_PCF_NCFTTM</stp>
        <stp>2</stp>
        <stp>002537</stp>
        <stp>12/31/2018</stp>
        <tr r="P3234" s="1"/>
      </tp>
      <tp>
        <v>-7.3963336047691204</v>
        <stp/>
        <stp>EM_S_VAL_PCF_NCFTTM</stp>
        <stp>2</stp>
        <stp>002530</stp>
        <stp>12/31/2018</stp>
        <tr r="P250" s="1"/>
      </tp>
      <tp>
        <v>41.412809651696598</v>
        <stp/>
        <stp>EM_S_VAL_PCF_NCFTTM</stp>
        <stp>2</stp>
        <stp>002531</stp>
        <stp>12/31/2018</stp>
        <tr r="P787" s="1"/>
      </tp>
      <tp>
        <v>34.1366665810732</v>
        <stp/>
        <stp>EM_S_VAL_PCF_NCFTTM</stp>
        <stp>2</stp>
        <stp>002532</stp>
        <stp>12/31/2018</stp>
        <tr r="P1275" s="1"/>
      </tp>
      <tp>
        <v>53.104666087213502</v>
        <stp/>
        <stp>EM_S_VAL_PCF_NCFTTM</stp>
        <stp>2</stp>
        <stp>002533</stp>
        <stp>12/31/2018</stp>
        <tr r="P1582" s="1"/>
      </tp>
      <tp>
        <v>5.70889107077969</v>
        <stp/>
        <stp>EM_S_VAL_PCF_NCFTTM</stp>
        <stp>2</stp>
        <stp>002538</stp>
        <stp>12/31/2018</stp>
        <tr r="P2472" s="1"/>
      </tp>
      <tp>
        <v>-480.45341866916101</v>
        <stp/>
        <stp>EM_S_VAL_PCF_NCFTTM</stp>
        <stp>2</stp>
        <stp>002539</stp>
        <stp>12/31/2018</stp>
        <tr r="P1332" s="1"/>
      </tp>
      <tp>
        <v>-79.463295822658793</v>
        <stp/>
        <stp>EM_S_VAL_PCF_NCFTTM</stp>
        <stp>2</stp>
        <stp>002544</stp>
        <stp>12/31/2018</stp>
        <tr r="P1046" s="1"/>
      </tp>
      <tp>
        <v>40.084308176376602</v>
        <stp/>
        <stp>EM_S_VAL_PCF_NCFTTM</stp>
        <stp>2</stp>
        <stp>002545</stp>
        <stp>12/31/2018</stp>
        <tr r="P996" s="1"/>
      </tp>
      <tp>
        <v>-33.1262581135814</v>
        <stp/>
        <stp>EM_S_VAL_PCF_NCFTTM</stp>
        <stp>2</stp>
        <stp>002546</stp>
        <stp>12/31/2018</stp>
        <tr r="P1763" s="1"/>
      </tp>
      <tp>
        <v>-11.0448261590971</v>
        <stp/>
        <stp>EM_S_VAL_PCF_NCFTTM</stp>
        <stp>2</stp>
        <stp>002547</stp>
        <stp>12/31/2018</stp>
        <tr r="P524" s="1"/>
      </tp>
      <tp>
        <v>65.577758477394198</v>
        <stp/>
        <stp>EM_S_VAL_PCF_NCFTTM</stp>
        <stp>2</stp>
        <stp>002540</stp>
        <stp>12/31/2018</stp>
        <tr r="P2657" s="1"/>
      </tp>
      <tp>
        <v>-18.479595507091801</v>
        <stp/>
        <stp>EM_S_VAL_PCF_NCFTTM</stp>
        <stp>2</stp>
        <stp>002541</stp>
        <stp>12/31/2018</stp>
        <tr r="P538" s="1"/>
      </tp>
      <tp>
        <v>20.9102589611159</v>
        <stp/>
        <stp>EM_S_VAL_PCF_NCFTTM</stp>
        <stp>2</stp>
        <stp>002542</stp>
        <stp>12/31/2018</stp>
        <tr r="P2894" s="1"/>
      </tp>
      <tp>
        <v>-42.374760305158098</v>
        <stp/>
        <stp>EM_S_VAL_PCF_NCFTTM</stp>
        <stp>2</stp>
        <stp>002543</stp>
        <stp>12/31/2018</stp>
        <tr r="P3167" s="1"/>
      </tp>
      <tp>
        <v>48.961448111702502</v>
        <stp/>
        <stp>EM_S_VAL_PCF_NCFTTM</stp>
        <stp>2</stp>
        <stp>002548</stp>
        <stp>12/31/2018</stp>
        <tr r="P938" s="1"/>
      </tp>
      <tp>
        <v>50.489373734892197</v>
        <stp/>
        <stp>EM_S_VAL_PCF_NCFTTM</stp>
        <stp>2</stp>
        <stp>002549</stp>
        <stp>12/31/2018</stp>
        <tr r="P1576" s="1"/>
      </tp>
      <tp>
        <v>-9.2737065694566301</v>
        <stp/>
        <stp>EM_S_VAL_PCF_NCFTTM</stp>
        <stp>2</stp>
        <stp>002554</stp>
        <stp>12/31/2018</stp>
        <tr r="P1656" s="1"/>
      </tp>
      <tp>
        <v>217.98545608383901</v>
        <stp/>
        <stp>EM_S_VAL_PCF_NCFTTM</stp>
        <stp>2</stp>
        <stp>002555</stp>
        <stp>12/31/2018</stp>
        <tr r="P50" s="1"/>
      </tp>
      <tp>
        <v>69.859304290929799</v>
        <stp/>
        <stp>EM_S_VAL_PCF_NCFTTM</stp>
        <stp>2</stp>
        <stp>002556</stp>
        <stp>12/31/2018</stp>
        <tr r="P1846" s="1"/>
      </tp>
      <tp>
        <v>10851.278875432199</v>
        <stp/>
        <stp>EM_S_VAL_PCF_NCFTTM</stp>
        <stp>2</stp>
        <stp>002557</stp>
        <stp>12/31/2018</stp>
        <tr r="P276" s="1"/>
      </tp>
      <tp>
        <v>32.509792454779401</v>
        <stp/>
        <stp>EM_S_VAL_PCF_NCFTTM</stp>
        <stp>2</stp>
        <stp>002550</stp>
        <stp>12/31/2018</stp>
        <tr r="P1338" s="1"/>
      </tp>
      <tp>
        <v>43.272281962644598</v>
        <stp/>
        <stp>EM_S_VAL_PCF_NCFTTM</stp>
        <stp>2</stp>
        <stp>002551</stp>
        <stp>12/31/2018</stp>
        <tr r="P2390" s="1"/>
      </tp>
      <tp>
        <v>-21.004148610985101</v>
        <stp/>
        <stp>EM_S_VAL_PCF_NCFTTM</stp>
        <stp>2</stp>
        <stp>002552</stp>
        <stp>12/31/2018</stp>
        <tr r="P17" s="1"/>
      </tp>
      <tp>
        <v>124.16415281116601</v>
        <stp/>
        <stp>EM_S_VAL_PCF_NCFTTM</stp>
        <stp>2</stp>
        <stp>002553</stp>
        <stp>12/31/2018</stp>
        <tr r="P2055" s="1"/>
      </tp>
      <tp>
        <v>-20.696594563650098</v>
        <stp/>
        <stp>EM_S_VAL_PCF_NCFTTM</stp>
        <stp>2</stp>
        <stp>002558</stp>
        <stp>12/31/2018</stp>
        <tr r="P2676" s="1"/>
      </tp>
      <tp>
        <v>-9.4714960200273701</v>
        <stp/>
        <stp>EM_S_VAL_PCF_NCFTTM</stp>
        <stp>2</stp>
        <stp>002559</stp>
        <stp>12/31/2018</stp>
        <tr r="P2941" s="1"/>
      </tp>
      <tp>
        <v>13.163015596235599</v>
        <stp/>
        <stp>EM_S_VAL_PCF_NCFTTM</stp>
        <stp>2</stp>
        <stp>002564</stp>
        <stp>12/31/2018</stp>
        <tr r="P2712" s="1"/>
      </tp>
      <tp>
        <v>17.093257935637101</v>
        <stp/>
        <stp>EM_S_VAL_PCF_NCFTTM</stp>
        <stp>2</stp>
        <stp>002565</stp>
        <stp>12/31/2018</stp>
        <tr r="P336" s="1"/>
      </tp>
      <tp>
        <v>-133.15818936243599</v>
        <stp/>
        <stp>EM_S_VAL_PCF_NCFTTM</stp>
        <stp>2</stp>
        <stp>002566</stp>
        <stp>12/31/2018</stp>
        <tr r="P1514" s="1"/>
      </tp>
      <tp>
        <v>-12.4547639487987</v>
        <stp/>
        <stp>EM_S_VAL_PCF_NCFTTM</stp>
        <stp>2</stp>
        <stp>002567</stp>
        <stp>12/31/2018</stp>
        <tr r="P485" s="1"/>
      </tp>
      <tp>
        <v>304.41067897362899</v>
        <stp/>
        <stp>EM_S_VAL_PCF_NCFTTM</stp>
        <stp>2</stp>
        <stp>002560</stp>
        <stp>12/31/2018</stp>
        <tr r="P1921" s="1"/>
      </tp>
      <tp>
        <v>30.558641622561598</v>
        <stp/>
        <stp>EM_S_VAL_PCF_NCFTTM</stp>
        <stp>2</stp>
        <stp>002561</stp>
        <stp>12/31/2018</stp>
        <tr r="P1959" s="1"/>
      </tp>
      <tp>
        <v>30.472303573691899</v>
        <stp/>
        <stp>EM_S_VAL_PCF_NCFTTM</stp>
        <stp>2</stp>
        <stp>002562</stp>
        <stp>12/31/2018</stp>
        <tr r="P1598" s="1"/>
      </tp>
      <tp>
        <v>33.076870570815601</v>
        <stp/>
        <stp>EM_S_VAL_PCF_NCFTTM</stp>
        <stp>2</stp>
        <stp>002563</stp>
        <stp>12/31/2018</stp>
        <tr r="P1758" s="1"/>
      </tp>
      <tp>
        <v>-1049.42313334803</v>
        <stp/>
        <stp>EM_S_VAL_PCF_NCFTTM</stp>
        <stp>2</stp>
        <stp>002568</stp>
        <stp>12/31/2018</stp>
        <tr r="P47" s="1"/>
      </tp>
      <tp>
        <v>-25.550564059129599</v>
        <stp/>
        <stp>EM_S_VAL_PCF_NCFTTM</stp>
        <stp>2</stp>
        <stp>002569</stp>
        <stp>12/31/2018</stp>
        <tr r="P2052" s="1"/>
      </tp>
      <tp>
        <v>13.136167402423499</v>
        <stp/>
        <stp>EM_S_VAL_PCF_NCFTTM</stp>
        <stp>2</stp>
        <stp>002574</stp>
        <stp>12/31/2018</stp>
        <tr r="P2095" s="1"/>
      </tp>
      <tp>
        <v>202.20195490367399</v>
        <stp/>
        <stp>EM_S_VAL_PCF_NCFTTM</stp>
        <stp>2</stp>
        <stp>002575</stp>
        <stp>12/31/2018</stp>
        <tr r="P2631" s="1"/>
      </tp>
      <tp>
        <v>102.720876146205</v>
        <stp/>
        <stp>EM_S_VAL_PCF_NCFTTM</stp>
        <stp>2</stp>
        <stp>002576</stp>
        <stp>12/31/2018</stp>
        <tr r="P2458" s="1"/>
      </tp>
      <tp>
        <v>-32.670600091134602</v>
        <stp/>
        <stp>EM_S_VAL_PCF_NCFTTM</stp>
        <stp>2</stp>
        <stp>002577</stp>
        <stp>12/31/2018</stp>
        <tr r="P919" s="1"/>
      </tp>
      <tp>
        <v>188.58270898711899</v>
        <stp/>
        <stp>EM_S_VAL_PCF_NCFTTM</stp>
        <stp>2</stp>
        <stp>002570</stp>
        <stp>12/31/2018</stp>
        <tr r="P1926" s="1"/>
      </tp>
      <tp>
        <v>364.583217554111</v>
        <stp/>
        <stp>EM_S_VAL_PCF_NCFTTM</stp>
        <stp>2</stp>
        <stp>002571</stp>
        <stp>12/31/2018</stp>
        <tr r="P2579" s="1"/>
      </tp>
      <tp>
        <v>-182.101747715176</v>
        <stp/>
        <stp>EM_S_VAL_PCF_NCFTTM</stp>
        <stp>2</stp>
        <stp>002572</stp>
        <stp>12/31/2018</stp>
        <tr r="P1070" s="1"/>
      </tp>
      <tp>
        <v>-403.86444188396399</v>
        <stp/>
        <stp>EM_S_VAL_PCF_NCFTTM</stp>
        <stp>2</stp>
        <stp>002573</stp>
        <stp>12/31/2018</stp>
        <tr r="P2784" s="1"/>
      </tp>
      <tp>
        <v>-64.517454118834905</v>
        <stp/>
        <stp>EM_S_VAL_PCF_NCFTTM</stp>
        <stp>2</stp>
        <stp>002578</stp>
        <stp>12/31/2018</stp>
        <tr r="P1903" s="1"/>
      </tp>
      <tp>
        <v>31.718621417293001</v>
        <stp/>
        <stp>EM_S_VAL_PCF_NCFTTM</stp>
        <stp>2</stp>
        <stp>002579</stp>
        <stp>12/31/2018</stp>
        <tr r="P396" s="1"/>
      </tp>
      <tp>
        <v>224.90902080408799</v>
        <stp/>
        <stp>EM_S_VAL_PCF_NCFTTM</stp>
        <stp>2</stp>
        <stp>002484</stp>
        <stp>12/31/2018</stp>
        <tr r="P965" s="1"/>
      </tp>
      <tp>
        <v>-107.739211645842</v>
        <stp/>
        <stp>EM_S_VAL_PCF_NCFTTM</stp>
        <stp>2</stp>
        <stp>002485</stp>
        <stp>12/31/2018</stp>
        <tr r="P2666" s="1"/>
      </tp>
      <tp>
        <v>-129.261915467254</v>
        <stp/>
        <stp>EM_S_VAL_PCF_NCFTTM</stp>
        <stp>2</stp>
        <stp>002486</stp>
        <stp>12/31/2018</stp>
        <tr r="P2922" s="1"/>
      </tp>
      <tp>
        <v>31.1679625037501</v>
        <stp/>
        <stp>EM_S_VAL_PCF_NCFTTM</stp>
        <stp>2</stp>
        <stp>002487</stp>
        <stp>12/31/2018</stp>
        <tr r="P525" s="1"/>
      </tp>
      <tp>
        <v>-18.581752715976801</v>
        <stp/>
        <stp>EM_S_VAL_PCF_NCFTTM</stp>
        <stp>2</stp>
        <stp>002480</stp>
        <stp>12/31/2018</stp>
        <tr r="P3063" s="1"/>
      </tp>
      <tp>
        <v>-20.9032076740856</v>
        <stp/>
        <stp>EM_S_VAL_PCF_NCFTTM</stp>
        <stp>2</stp>
        <stp>002481</stp>
        <stp>12/31/2018</stp>
        <tr r="P57" s="1"/>
      </tp>
      <tp>
        <v>-11.1339415584126</v>
        <stp/>
        <stp>EM_S_VAL_PCF_NCFTTM</stp>
        <stp>2</stp>
        <stp>002482</stp>
        <stp>12/31/2018</stp>
        <tr r="P3133" s="1"/>
      </tp>
      <tp>
        <v>-13.3970300132749</v>
        <stp/>
        <stp>EM_S_VAL_PCF_NCFTTM</stp>
        <stp>2</stp>
        <stp>002483</stp>
        <stp>12/31/2018</stp>
        <tr r="P1478" s="1"/>
      </tp>
      <tp>
        <v>-13.514872240547501</v>
        <stp/>
        <stp>EM_S_VAL_PCF_NCFTTM</stp>
        <stp>2</stp>
        <stp>002488</stp>
        <stp>12/31/2018</stp>
        <tr r="P1900" s="1"/>
      </tp>
      <tp>
        <v>-13.447118132344601</v>
        <stp/>
        <stp>EM_S_VAL_PCF_NCFTTM</stp>
        <stp>2</stp>
        <stp>002489</stp>
        <stp>12/31/2018</stp>
        <tr r="P452" s="1"/>
      </tp>
      <tp>
        <v>-8.7683762313304499</v>
        <stp/>
        <stp>EM_S_VAL_PCF_NCFTTM</stp>
        <stp>2</stp>
        <stp>002494</stp>
        <stp>12/31/2018</stp>
        <tr r="P2654" s="1"/>
      </tp>
      <tp>
        <v>-90.724826984161297</v>
        <stp/>
        <stp>EM_S_VAL_PCF_NCFTTM</stp>
        <stp>2</stp>
        <stp>002495</stp>
        <stp>12/31/2018</stp>
        <tr r="P2707" s="1"/>
      </tp>
      <tp>
        <v>-13.502966755797599</v>
        <stp/>
        <stp>EM_S_VAL_PCF_NCFTTM</stp>
        <stp>2</stp>
        <stp>002496</stp>
        <stp>12/31/2018</stp>
        <tr r="P600" s="1"/>
      </tp>
      <tp>
        <v>84.638522884228493</v>
        <stp/>
        <stp>EM_S_VAL_PCF_NCFTTM</stp>
        <stp>2</stp>
        <stp>002497</stp>
        <stp>12/31/2018</stp>
        <tr r="P1848" s="1"/>
      </tp>
      <tp>
        <v>10.610030493169701</v>
        <stp/>
        <stp>EM_S_VAL_PCF_NCFTTM</stp>
        <stp>2</stp>
        <stp>002490</stp>
        <stp>12/31/2018</stp>
        <tr r="P2775" s="1"/>
      </tp>
      <tp>
        <v>40.333715638366499</v>
        <stp/>
        <stp>EM_S_VAL_PCF_NCFTTM</stp>
        <stp>2</stp>
        <stp>002491</stp>
        <stp>12/31/2018</stp>
        <tr r="P2970" s="1"/>
      </tp>
      <tp>
        <v>16.498301592303299</v>
        <stp/>
        <stp>EM_S_VAL_PCF_NCFTTM</stp>
        <stp>2</stp>
        <stp>002492</stp>
        <stp>12/31/2018</stp>
        <tr r="P1745" s="1"/>
      </tp>
      <tp>
        <v>4.4489894341238001</v>
        <stp/>
        <stp>EM_S_VAL_PCF_NCFTTM</stp>
        <stp>2</stp>
        <stp>002493</stp>
        <stp>12/31/2018</stp>
        <tr r="P1189" s="1"/>
      </tp>
      <tp>
        <v>166.649535412723</v>
        <stp/>
        <stp>EM_S_VAL_PCF_NCFTTM</stp>
        <stp>2</stp>
        <stp>002498</stp>
        <stp>12/31/2018</stp>
        <tr r="P544" s="1"/>
      </tp>
      <tp>
        <v>-5.2020477114616499</v>
        <stp/>
        <stp>EM_S_VAL_PCF_NCFTTM</stp>
        <stp>2</stp>
        <stp>002499</stp>
        <stp>12/31/2018</stp>
        <tr r="P3287" s="1"/>
      </tp>
      <tp>
        <v>48.2712507708722</v>
        <stp/>
        <stp>EM_S_VAL_PCF_NCFTTM</stp>
        <stp>2</stp>
        <stp>002404</stp>
        <stp>12/31/2018</stp>
        <tr r="P1312" s="1"/>
      </tp>
      <tp>
        <v>2000.1509821746899</v>
        <stp/>
        <stp>EM_S_VAL_PCF_NCFTTM</stp>
        <stp>2</stp>
        <stp>002405</stp>
        <stp>12/31/2018</stp>
        <tr r="P1559" s="1"/>
      </tp>
      <tp>
        <v>-31.817795258059999</v>
        <stp/>
        <stp>EM_S_VAL_PCF_NCFTTM</stp>
        <stp>2</stp>
        <stp>002406</stp>
        <stp>12/31/2018</stp>
        <tr r="P1384" s="1"/>
      </tp>
      <tp>
        <v>-47.628475616950197</v>
        <stp/>
        <stp>EM_S_VAL_PCF_NCFTTM</stp>
        <stp>2</stp>
        <stp>002407</stp>
        <stp>12/31/2018</stp>
        <tr r="P1316" s="1"/>
      </tp>
      <tp>
        <v>-1512.66260199765</v>
        <stp/>
        <stp>EM_S_VAL_PCF_NCFTTM</stp>
        <stp>2</stp>
        <stp>002400</stp>
        <stp>12/31/2018</stp>
        <tr r="P1851" s="1"/>
      </tp>
      <tp>
        <v>-14.879204612137</v>
        <stp/>
        <stp>EM_S_VAL_PCF_NCFTTM</stp>
        <stp>2</stp>
        <stp>002401</stp>
        <stp>12/31/2018</stp>
        <tr r="P1098" s="1"/>
      </tp>
      <tp>
        <v>-398.27317514387801</v>
        <stp/>
        <stp>EM_S_VAL_PCF_NCFTTM</stp>
        <stp>2</stp>
        <stp>002402</stp>
        <stp>12/31/2018</stp>
        <tr r="P144" s="1"/>
      </tp>
      <tp>
        <v>111.597374854484</v>
        <stp/>
        <stp>EM_S_VAL_PCF_NCFTTM</stp>
        <stp>2</stp>
        <stp>002403</stp>
        <stp>12/31/2018</stp>
        <tr r="P1774" s="1"/>
      </tp>
      <tp>
        <v>13.3765315720808</v>
        <stp/>
        <stp>EM_S_VAL_PCF_NCFTTM</stp>
        <stp>2</stp>
        <stp>002408</stp>
        <stp>12/31/2018</stp>
        <tr r="P2019" s="1"/>
      </tp>
      <tp>
        <v>-478.244405489239</v>
        <stp/>
        <stp>EM_S_VAL_PCF_NCFTTM</stp>
        <stp>2</stp>
        <stp>002409</stp>
        <stp>12/31/2018</stp>
        <tr r="P294" s="1"/>
      </tp>
      <tp>
        <v>43.121507547113602</v>
        <stp/>
        <stp>EM_S_VAL_PCF_NCFTTM</stp>
        <stp>2</stp>
        <stp>002414</stp>
        <stp>12/31/2018</stp>
        <tr r="P2621" s="1"/>
      </tp>
      <tp>
        <v>51.545363262245402</v>
        <stp/>
        <stp>EM_S_VAL_PCF_NCFTTM</stp>
        <stp>2</stp>
        <stp>002415</stp>
        <stp>12/31/2018</stp>
        <tr r="P1038" s="1"/>
      </tp>
      <tp>
        <v>4.3474462778538197</v>
        <stp/>
        <stp>EM_S_VAL_PCF_NCFTTM</stp>
        <stp>2</stp>
        <stp>002416</stp>
        <stp>12/31/2018</stp>
        <tr r="P976" s="1"/>
      </tp>
      <tp>
        <v>-21.3845256787354</v>
        <stp/>
        <stp>EM_S_VAL_PCF_NCFTTM</stp>
        <stp>2</stp>
        <stp>002417</stp>
        <stp>12/31/2018</stp>
        <tr r="P3078" s="1"/>
      </tp>
      <tp>
        <v>96.958874103447698</v>
        <stp/>
        <stp>EM_S_VAL_PCF_NCFTTM</stp>
        <stp>2</stp>
        <stp>002410</stp>
        <stp>12/31/2018</stp>
        <tr r="P427" s="1"/>
      </tp>
      <tp>
        <v>-20.019797559066902</v>
        <stp/>
        <stp>EM_S_VAL_PCF_NCFTTM</stp>
        <stp>2</stp>
        <stp>002411</stp>
        <stp>12/31/2018</stp>
        <tr r="P3164" s="1"/>
      </tp>
      <tp>
        <v>408.83653669960199</v>
        <stp/>
        <stp>EM_S_VAL_PCF_NCFTTM</stp>
        <stp>2</stp>
        <stp>002412</stp>
        <stp>12/31/2018</stp>
        <tr r="P3306" s="1"/>
      </tp>
      <tp>
        <v>32.163885025499802</v>
        <stp/>
        <stp>EM_S_VAL_PCF_NCFTTM</stp>
        <stp>2</stp>
        <stp>002413</stp>
        <stp>12/31/2018</stp>
        <tr r="P2131" s="1"/>
      </tp>
      <tp>
        <v>-3.31200279298776</v>
        <stp/>
        <stp>EM_S_VAL_PCF_NCFTTM</stp>
        <stp>2</stp>
        <stp>002418</stp>
        <stp>12/31/2018</stp>
        <tr r="P2643" s="1"/>
      </tp>
      <tp>
        <v>9.1540760900445406</v>
        <stp/>
        <stp>EM_S_VAL_PCF_NCFTTM</stp>
        <stp>2</stp>
        <stp>002419</stp>
        <stp>12/31/2018</stp>
        <tr r="P2535" s="1"/>
      </tp>
      <tp>
        <v>-379.68821721239601</v>
        <stp/>
        <stp>EM_S_VAL_PCF_NCFTTM</stp>
        <stp>2</stp>
        <stp>002424</stp>
        <stp>12/31/2018</stp>
        <tr r="P2474" s="1"/>
      </tp>
      <tp>
        <v>-40.230865990787002</v>
        <stp/>
        <stp>EM_S_VAL_PCF_NCFTTM</stp>
        <stp>2</stp>
        <stp>002425</stp>
        <stp>12/31/2018</stp>
        <tr r="P2629" s="1"/>
      </tp>
      <tp>
        <v>-4.8899094782654897</v>
        <stp/>
        <stp>EM_S_VAL_PCF_NCFTTM</stp>
        <stp>2</stp>
        <stp>002426</stp>
        <stp>12/31/2018</stp>
        <tr r="P2106" s="1"/>
      </tp>
      <tp>
        <v>-3.0492937091547399</v>
        <stp/>
        <stp>EM_S_VAL_PCF_NCFTTM</stp>
        <stp>2</stp>
        <stp>002427</stp>
        <stp>12/31/2018</stp>
        <tr r="P3260" s="1"/>
      </tp>
      <tp>
        <v>-9.8804398795021005</v>
        <stp/>
        <stp>EM_S_VAL_PCF_NCFTTM</stp>
        <stp>2</stp>
        <stp>002420</stp>
        <stp>12/31/2018</stp>
        <tr r="P1302" s="1"/>
      </tp>
      <tp>
        <v>32.939005034029002</v>
        <stp/>
        <stp>EM_S_VAL_PCF_NCFTTM</stp>
        <stp>2</stp>
        <stp>002421</stp>
        <stp>12/31/2018</stp>
        <tr r="P2669" s="1"/>
      </tp>
      <tp>
        <v>42.097108678491601</v>
        <stp/>
        <stp>EM_S_VAL_PCF_NCFTTM</stp>
        <stp>2</stp>
        <stp>002422</stp>
        <stp>12/31/2018</stp>
        <tr r="P1614" s="1"/>
      </tp>
      <tp>
        <v>50.002225783262197</v>
        <stp/>
        <stp>EM_S_VAL_PCF_NCFTTM</stp>
        <stp>2</stp>
        <stp>002423</stp>
        <stp>12/31/2018</stp>
        <tr r="P1697" s="1"/>
      </tp>
      <tp>
        <v>158.28933873127599</v>
        <stp/>
        <stp>EM_S_VAL_PCF_NCFTTM</stp>
        <stp>2</stp>
        <stp>002428</stp>
        <stp>12/31/2018</stp>
        <tr r="P268" s="1"/>
      </tp>
      <tp>
        <v>11.6483526864016</v>
        <stp/>
        <stp>EM_S_VAL_PCF_NCFTTM</stp>
        <stp>2</stp>
        <stp>002429</stp>
        <stp>12/31/2018</stp>
        <tr r="P242" s="1"/>
      </tp>
      <tp>
        <v>-71.606997068723999</v>
        <stp/>
        <stp>EM_S_VAL_PCF_NCFTTM</stp>
        <stp>2</stp>
        <stp>002434</stp>
        <stp>12/31/2018</stp>
        <tr r="P706" s="1"/>
      </tp>
      <tp>
        <v>31.468359098396899</v>
        <stp/>
        <stp>EM_S_VAL_PCF_NCFTTM</stp>
        <stp>2</stp>
        <stp>002435</stp>
        <stp>12/31/2018</stp>
        <tr r="P3162" s="1"/>
      </tp>
      <tp>
        <v>-205.16280392452001</v>
        <stp/>
        <stp>EM_S_VAL_PCF_NCFTTM</stp>
        <stp>2</stp>
        <stp>002436</stp>
        <stp>12/31/2018</stp>
        <tr r="P221" s="1"/>
      </tp>
      <tp>
        <v>-13.213385839140701</v>
        <stp/>
        <stp>EM_S_VAL_PCF_NCFTTM</stp>
        <stp>2</stp>
        <stp>002437</stp>
        <stp>12/31/2018</stp>
        <tr r="P1992" s="1"/>
      </tp>
      <tp>
        <v>-63.353912973292601</v>
        <stp/>
        <stp>EM_S_VAL_PCF_NCFTTM</stp>
        <stp>2</stp>
        <stp>002430</stp>
        <stp>12/31/2018</stp>
        <tr r="P751" s="1"/>
      </tp>
      <tp>
        <v>-8.0230538252455403</v>
        <stp/>
        <stp>EM_S_VAL_PCF_NCFTTM</stp>
        <stp>2</stp>
        <stp>002431</stp>
        <stp>12/31/2018</stp>
        <tr r="P2936" s="1"/>
      </tp>
      <tp>
        <v>-8.23917479698272</v>
        <stp/>
        <stp>EM_S_VAL_PCF_NCFTTM</stp>
        <stp>2</stp>
        <stp>002432</stp>
        <stp>12/31/2018</stp>
        <tr r="P2464" s="1"/>
      </tp>
      <tp>
        <v>-154.50777182469099</v>
        <stp/>
        <stp>EM_S_VAL_PCF_NCFTTM</stp>
        <stp>2</stp>
        <stp>002433</stp>
        <stp>12/31/2018</stp>
        <tr r="P2500" s="1"/>
      </tp>
      <tp>
        <v>30.432161308050699</v>
        <stp/>
        <stp>EM_S_VAL_PCF_NCFTTM</stp>
        <stp>2</stp>
        <stp>002438</stp>
        <stp>12/31/2018</stp>
        <tr r="P726" s="1"/>
      </tp>
      <tp>
        <v>924.87012697922898</v>
        <stp/>
        <stp>EM_S_VAL_PCF_NCFTTM</stp>
        <stp>2</stp>
        <stp>002439</stp>
        <stp>12/31/2018</stp>
        <tr r="P349" s="1"/>
      </tp>
      <tp>
        <v>-20.020100789673201</v>
        <stp/>
        <stp>EM_S_VAL_PCF_NCFTTM</stp>
        <stp>2</stp>
        <stp>002444</stp>
        <stp>12/31/2018</stp>
        <tr r="P1624" s="1"/>
      </tp>
      <tp>
        <v>-29.899032107625398</v>
        <stp/>
        <stp>EM_S_VAL_PCF_NCFTTM</stp>
        <stp>2</stp>
        <stp>002445</stp>
        <stp>12/31/2018</stp>
        <tr r="P3228" s="1"/>
      </tp>
      <tp>
        <v>7.0859631781521601</v>
        <stp/>
        <stp>EM_S_VAL_PCF_NCFTTM</stp>
        <stp>2</stp>
        <stp>002446</stp>
        <stp>12/31/2018</stp>
        <tr r="P1496" s="1"/>
      </tp>
      <tp>
        <v>826.99106489228097</v>
        <stp/>
        <stp>EM_S_VAL_PCF_NCFTTM</stp>
        <stp>2</stp>
        <stp>002447</stp>
        <stp>12/31/2018</stp>
        <tr r="P1388" s="1"/>
      </tp>
      <tp>
        <v>-60.442048591828197</v>
        <stp/>
        <stp>EM_S_VAL_PCF_NCFTTM</stp>
        <stp>2</stp>
        <stp>002440</stp>
        <stp>12/31/2018</stp>
        <tr r="P1133" s="1"/>
      </tp>
      <tp>
        <v>-40.1204209977857</v>
        <stp/>
        <stp>EM_S_VAL_PCF_NCFTTM</stp>
        <stp>2</stp>
        <stp>002441</stp>
        <stp>12/31/2018</stp>
        <tr r="P1561" s="1"/>
      </tp>
      <tp>
        <v>-33.7576377377504</v>
        <stp/>
        <stp>EM_S_VAL_PCF_NCFTTM</stp>
        <stp>2</stp>
        <stp>002442</stp>
        <stp>12/31/2018</stp>
        <tr r="P3101" s="1"/>
      </tp>
      <tp>
        <v>54.439100672533897</v>
        <stp/>
        <stp>EM_S_VAL_PCF_NCFTTM</stp>
        <stp>2</stp>
        <stp>002443</stp>
        <stp>12/31/2018</stp>
        <tr r="P1085" s="1"/>
      </tp>
      <tp>
        <v>-7.1414674203810504</v>
        <stp/>
        <stp>EM_S_VAL_PCF_NCFTTM</stp>
        <stp>2</stp>
        <stp>002448</stp>
        <stp>12/31/2018</stp>
        <tr r="P2396" s="1"/>
      </tp>
      <tp>
        <v>-64.395458400502804</v>
        <stp/>
        <stp>EM_S_VAL_PCF_NCFTTM</stp>
        <stp>2</stp>
        <stp>002449</stp>
        <stp>12/31/2018</stp>
        <tr r="P1099" s="1"/>
      </tp>
      <tp>
        <v>-14.5819331201611</v>
        <stp/>
        <stp>EM_S_VAL_PCF_NCFTTM</stp>
        <stp>2</stp>
        <stp>002454</stp>
        <stp>12/31/2018</stp>
        <tr r="P1327" s="1"/>
      </tp>
      <tp>
        <v>-6.7297135475889096</v>
        <stp/>
        <stp>EM_S_VAL_PCF_NCFTTM</stp>
        <stp>2</stp>
        <stp>002455</stp>
        <stp>12/31/2018</stp>
        <tr r="P1250" s="1"/>
      </tp>
      <tp>
        <v>-16.614282071511902</v>
        <stp/>
        <stp>EM_S_VAL_PCF_NCFTTM</stp>
        <stp>2</stp>
        <stp>002456</stp>
        <stp>12/31/2018</stp>
        <tr r="P316" s="1"/>
      </tp>
      <tp>
        <v>-228.613112821827</v>
        <stp/>
        <stp>EM_S_VAL_PCF_NCFTTM</stp>
        <stp>2</stp>
        <stp>002457</stp>
        <stp>12/31/2018</stp>
        <tr r="P2255" s="1"/>
      </tp>
      <tp>
        <v>-6.8508068289306303</v>
        <stp/>
        <stp>EM_S_VAL_PCF_NCFTTM</stp>
        <stp>2</stp>
        <stp>002450</stp>
        <stp>12/31/2018</stp>
        <tr r="P3380" s="1"/>
      </tp>
      <tp>
        <v>-345.269656381049</v>
        <stp/>
        <stp>EM_S_VAL_PCF_NCFTTM</stp>
        <stp>2</stp>
        <stp>002451</stp>
        <stp>12/31/2018</stp>
        <tr r="P3095" s="1"/>
      </tp>
      <tp>
        <v>-13.209861901961</v>
        <stp/>
        <stp>EM_S_VAL_PCF_NCFTTM</stp>
        <stp>2</stp>
        <stp>002452</stp>
        <stp>12/31/2018</stp>
        <tr r="P763" s="1"/>
      </tp>
      <tp>
        <v>-61.011120419592203</v>
        <stp/>
        <stp>EM_S_VAL_PCF_NCFTTM</stp>
        <stp>2</stp>
        <stp>002453</stp>
        <stp>12/31/2018</stp>
        <tr r="P2057" s="1"/>
      </tp>
      <tp>
        <v>63.315951478045797</v>
        <stp/>
        <stp>EM_S_VAL_PCF_NCFTTM</stp>
        <stp>2</stp>
        <stp>002458</stp>
        <stp>12/31/2018</stp>
        <tr r="P190" s="1"/>
      </tp>
      <tp>
        <v>-10.088058347677199</v>
        <stp/>
        <stp>EM_S_VAL_PCF_NCFTTM</stp>
        <stp>2</stp>
        <stp>002459</stp>
        <stp>12/31/2018</stp>
        <tr r="P871" s="1"/>
      </tp>
      <tp>
        <v>-72.844172508975703</v>
        <stp/>
        <stp>EM_S_VAL_PCF_NCFTTM</stp>
        <stp>2</stp>
        <stp>002464</stp>
        <stp>12/31/2018</stp>
        <tr r="P3165" s="1"/>
      </tp>
      <tp>
        <v>52.9795777210011</v>
        <stp/>
        <stp>EM_S_VAL_PCF_NCFTTM</stp>
        <stp>2</stp>
        <stp>002465</stp>
        <stp>12/31/2018</stp>
        <tr r="P738" s="1"/>
      </tp>
      <tp>
        <v>38.335113642021803</v>
        <stp/>
        <stp>EM_S_VAL_PCF_NCFTTM</stp>
        <stp>2</stp>
        <stp>002466</stp>
        <stp>12/31/2018</stp>
        <tr r="P2482" s="1"/>
      </tp>
      <tp>
        <v>-16.1371789501469</v>
        <stp/>
        <stp>EM_S_VAL_PCF_NCFTTM</stp>
        <stp>2</stp>
        <stp>002467</stp>
        <stp>12/31/2018</stp>
        <tr r="P1888" s="1"/>
      </tp>
      <tp>
        <v>85.563244504845102</v>
        <stp/>
        <stp>EM_S_VAL_PCF_NCFTTM</stp>
        <stp>2</stp>
        <stp>002460</stp>
        <stp>12/31/2018</stp>
        <tr r="P490" s="1"/>
      </tp>
      <tp>
        <v>42.250132180755998</v>
        <stp/>
        <stp>EM_S_VAL_PCF_NCFTTM</stp>
        <stp>2</stp>
        <stp>002461</stp>
        <stp>12/31/2018</stp>
        <tr r="P428" s="1"/>
      </tp>
      <tp>
        <v>-81.470509294333894</v>
        <stp/>
        <stp>EM_S_VAL_PCF_NCFTTM</stp>
        <stp>2</stp>
        <stp>002462</stp>
        <stp>12/31/2018</stp>
        <tr r="P1795" s="1"/>
      </tp>
      <tp>
        <v>-84.779131493199301</v>
        <stp/>
        <stp>EM_S_VAL_PCF_NCFTTM</stp>
        <stp>2</stp>
        <stp>002463</stp>
        <stp>12/31/2018</stp>
        <tr r="P42" s="1"/>
      </tp>
      <tp>
        <v>154.90417211346801</v>
        <stp/>
        <stp>EM_S_VAL_PCF_NCFTTM</stp>
        <stp>2</stp>
        <stp>002468</stp>
        <stp>12/31/2018</stp>
        <tr r="P1355" s="1"/>
      </tp>
      <tp>
        <v>22.022458700287199</v>
        <stp/>
        <stp>EM_S_VAL_PCF_NCFTTM</stp>
        <stp>2</stp>
        <stp>002469</stp>
        <stp>12/31/2018</stp>
        <tr r="P1922" s="1"/>
      </tp>
      <tp>
        <v>-17.3605896341512</v>
        <stp/>
        <stp>EM_S_VAL_PCF_NCFTTM</stp>
        <stp>2</stp>
        <stp>002474</stp>
        <stp>12/31/2018</stp>
        <tr r="P779" s="1"/>
      </tp>
      <tp>
        <v>60.3978809916226</v>
        <stp/>
        <stp>EM_S_VAL_PCF_NCFTTM</stp>
        <stp>2</stp>
        <stp>002475</stp>
        <stp>12/31/2018</stp>
        <tr r="P81" s="1"/>
      </tp>
      <tp>
        <v>21.562805787323299</v>
        <stp/>
        <stp>EM_S_VAL_PCF_NCFTTM</stp>
        <stp>2</stp>
        <stp>002476</stp>
        <stp>12/31/2018</stp>
        <tr r="P660" s="1"/>
      </tp>
      <tp>
        <v>-2.0029511847428898</v>
        <stp/>
        <stp>EM_S_VAL_PCF_NCFTTM</stp>
        <stp>2</stp>
        <stp>002477</stp>
        <stp>12/31/2018</stp>
        <tr r="P3410" s="1"/>
      </tp>
      <tp>
        <v>38.682817346134101</v>
        <stp/>
        <stp>EM_S_VAL_PCF_NCFTTM</stp>
        <stp>2</stp>
        <stp>002470</stp>
        <stp>12/31/2018</stp>
        <tr r="P3391" s="1"/>
      </tp>
      <tp>
        <v>-23.347559403210301</v>
        <stp/>
        <stp>EM_S_VAL_PCF_NCFTTM</stp>
        <stp>2</stp>
        <stp>002471</stp>
        <stp>12/31/2018</stp>
        <tr r="P2871" s="1"/>
      </tp>
      <tp>
        <v>11.187768023102199</v>
        <stp/>
        <stp>EM_S_VAL_PCF_NCFTTM</stp>
        <stp>2</stp>
        <stp>002472</stp>
        <stp>12/31/2018</stp>
        <tr r="P2553" s="1"/>
      </tp>
      <tp>
        <v>-11.005210719428399</v>
        <stp/>
        <stp>EM_S_VAL_PCF_NCFTTM</stp>
        <stp>2</stp>
        <stp>002473</stp>
        <stp>12/31/2018</stp>
        <tr r="P797" s="1"/>
      </tp>
      <tp>
        <v>7.9144940729701796</v>
        <stp/>
        <stp>EM_S_VAL_PCF_NCFTTM</stp>
        <stp>2</stp>
        <stp>002478</stp>
        <stp>12/31/2018</stp>
        <tr r="P1021" s="1"/>
      </tp>
      <tp>
        <v>21.923512835971099</v>
        <stp/>
        <stp>EM_S_VAL_PCF_NCFTTM</stp>
        <stp>2</stp>
        <stp>002479</stp>
        <stp>12/31/2018</stp>
        <tr r="P445" s="1"/>
      </tp>
      <tp>
        <v>-186.91574532291699</v>
        <stp/>
        <stp>EM_S_VAL_PCF_NCFTTM</stp>
        <stp>2</stp>
        <stp>002785</stp>
        <stp>12/31/2018</stp>
        <tr r="P500" s="1"/>
      </tp>
      <tp>
        <v>-23.937791734360601</v>
        <stp/>
        <stp>EM_S_VAL_PCF_NCFTTM</stp>
        <stp>2</stp>
        <stp>002786</stp>
        <stp>12/31/2018</stp>
        <tr r="P785" s="1"/>
      </tp>
      <tp>
        <v>52.852674484105997</v>
        <stp/>
        <stp>EM_S_VAL_PCF_NCFTTM</stp>
        <stp>2</stp>
        <stp>002787</stp>
        <stp>12/31/2018</stp>
        <tr r="P1847" s="1"/>
      </tp>
      <tp>
        <v>10.356902135367701</v>
        <stp/>
        <stp>EM_S_VAL_PCF_NCFTTM</stp>
        <stp>2</stp>
        <stp>002780</stp>
        <stp>12/31/2018</stp>
        <tr r="P661" s="1"/>
      </tp>
      <tp>
        <v>-7.9752030455511598</v>
        <stp/>
        <stp>EM_S_VAL_PCF_NCFTTM</stp>
        <stp>2</stp>
        <stp>002781</stp>
        <stp>12/31/2018</stp>
        <tr r="P1532" s="1"/>
      </tp>
      <tp>
        <v>-1599.77389172827</v>
        <stp/>
        <stp>EM_S_VAL_PCF_NCFTTM</stp>
        <stp>2</stp>
        <stp>002782</stp>
        <stp>12/31/2018</stp>
        <tr r="P2525" s="1"/>
      </tp>
      <tp>
        <v>5.9023739722120601</v>
        <stp/>
        <stp>EM_S_VAL_PCF_NCFTTM</stp>
        <stp>2</stp>
        <stp>002783</stp>
        <stp>12/31/2018</stp>
        <tr r="P244" s="1"/>
      </tp>
      <tp>
        <v>-27.297393319840602</v>
        <stp/>
        <stp>EM_S_VAL_PCF_NCFTTM</stp>
        <stp>2</stp>
        <stp>002788</stp>
        <stp>12/31/2018</stp>
        <tr r="P3288" s="1"/>
      </tp>
      <tp>
        <v>-5.9027211917209597</v>
        <stp/>
        <stp>EM_S_VAL_PCF_NCFTTM</stp>
        <stp>2</stp>
        <stp>002789</stp>
        <stp>12/31/2018</stp>
        <tr r="P2208" s="1"/>
      </tp>
      <tp>
        <v>-425.91584886162201</v>
        <stp/>
        <stp>EM_S_VAL_PCF_NCFTTM</stp>
        <stp>2</stp>
        <stp>002795</stp>
        <stp>12/31/2018</stp>
        <tr r="P2685" s="1"/>
      </tp>
      <tp>
        <v>15.7229905478547</v>
        <stp/>
        <stp>EM_S_VAL_PCF_NCFTTM</stp>
        <stp>2</stp>
        <stp>002796</stp>
        <stp>12/31/2018</stp>
        <tr r="P2130" s="1"/>
      </tp>
      <tp>
        <v>-33.916363986176101</v>
        <stp/>
        <stp>EM_S_VAL_PCF_NCFTTM</stp>
        <stp>2</stp>
        <stp>002797</stp>
        <stp>12/31/2018</stp>
        <tr r="P505" s="1"/>
      </tp>
      <tp>
        <v>-106.256403651886</v>
        <stp/>
        <stp>EM_S_VAL_PCF_NCFTTM</stp>
        <stp>2</stp>
        <stp>002790</stp>
        <stp>12/31/2018</stp>
        <tr r="P3304" s="1"/>
      </tp>
      <tp>
        <v>-39.634299385875998</v>
        <stp/>
        <stp>EM_S_VAL_PCF_NCFTTM</stp>
        <stp>2</stp>
        <stp>002791</stp>
        <stp>12/31/2018</stp>
        <tr r="P43" s="1"/>
      </tp>
      <tp>
        <v>-12.934799693127699</v>
        <stp/>
        <stp>EM_S_VAL_PCF_NCFTTM</stp>
        <stp>2</stp>
        <stp>002792</stp>
        <stp>12/31/2018</stp>
        <tr r="P2935" s="1"/>
      </tp>
      <tp>
        <v>7.1009946491022902</v>
        <stp/>
        <stp>EM_S_VAL_PCF_NCFTTM</stp>
        <stp>2</stp>
        <stp>002793</stp>
        <stp>12/31/2018</stp>
        <tr r="P848" s="1"/>
      </tp>
      <tp>
        <v>39.602418756990502</v>
        <stp/>
        <stp>EM_S_VAL_PCF_NCFTTM</stp>
        <stp>2</stp>
        <stp>002798</stp>
        <stp>12/31/2018</stp>
        <tr r="P231" s="1"/>
      </tp>
      <tp>
        <v>31.2775395041221</v>
        <stp/>
        <stp>EM_S_VAL_PCF_NCFTTM</stp>
        <stp>2</stp>
        <stp>002799</stp>
        <stp>12/31/2018</stp>
        <tr r="P657" s="1"/>
      </tp>
      <tp>
        <v>-14.5142381459797</v>
        <stp/>
        <stp>EM_S_VAL_PCF_NCFTTM</stp>
        <stp>2</stp>
        <stp>002705</stp>
        <stp>12/31/2018</stp>
        <tr r="P240" s="1"/>
      </tp>
      <tp>
        <v>59.104702582808002</v>
        <stp/>
        <stp>EM_S_VAL_PCF_NCFTTM</stp>
        <stp>2</stp>
        <stp>002706</stp>
        <stp>12/31/2018</stp>
        <tr r="P778" s="1"/>
      </tp>
      <tp>
        <v>-251.198806535975</v>
        <stp/>
        <stp>EM_S_VAL_PCF_NCFTTM</stp>
        <stp>2</stp>
        <stp>002707</stp>
        <stp>12/31/2018</stp>
        <tr r="P2368" s="1"/>
      </tp>
      <tp>
        <v>7.09561103979153</v>
        <stp/>
        <stp>EM_S_VAL_PCF_NCFTTM</stp>
        <stp>2</stp>
        <stp>002700</stp>
        <stp>12/31/2018</stp>
        <tr r="P3204" s="1"/>
      </tp>
      <tp>
        <v>-13.7727435841987</v>
        <stp/>
        <stp>EM_S_VAL_PCF_NCFTTM</stp>
        <stp>2</stp>
        <stp>002701</stp>
        <stp>12/31/2018</stp>
        <tr r="P2874" s="1"/>
      </tp>
      <tp>
        <v>-3205.7472920775399</v>
        <stp/>
        <stp>EM_S_VAL_PCF_NCFTTM</stp>
        <stp>2</stp>
        <stp>002702</stp>
        <stp>12/31/2018</stp>
        <tr r="P1877" s="1"/>
      </tp>
      <tp>
        <v>90.931334663598307</v>
        <stp/>
        <stp>EM_S_VAL_PCF_NCFTTM</stp>
        <stp>2</stp>
        <stp>002703</stp>
        <stp>12/31/2018</stp>
        <tr r="P1670" s="1"/>
      </tp>
      <tp>
        <v>54.871017491524498</v>
        <stp/>
        <stp>EM_S_VAL_PCF_NCFTTM</stp>
        <stp>2</stp>
        <stp>002708</stp>
        <stp>12/31/2018</stp>
        <tr r="P1971" s="1"/>
      </tp>
      <tp>
        <v>-23.053729208299799</v>
        <stp/>
        <stp>EM_S_VAL_PCF_NCFTTM</stp>
        <stp>2</stp>
        <stp>002709</stp>
        <stp>12/31/2018</stp>
        <tr r="P2533" s="1"/>
      </tp>
      <tp>
        <v>2036.0088375118401</v>
        <stp/>
        <stp>EM_S_VAL_PCF_NCFTTM</stp>
        <stp>2</stp>
        <stp>002714</stp>
        <stp>12/31/2018</stp>
        <tr r="P46" s="1"/>
      </tp>
      <tp>
        <v>94.114551876052204</v>
        <stp/>
        <stp>EM_S_VAL_PCF_NCFTTM</stp>
        <stp>2</stp>
        <stp>002715</stp>
        <stp>12/31/2018</stp>
        <tr r="P1693" s="1"/>
      </tp>
      <tp>
        <v>-5.2483547395438102</v>
        <stp/>
        <stp>EM_S_VAL_PCF_NCFTTM</stp>
        <stp>2</stp>
        <stp>002716</stp>
        <stp>12/31/2018</stp>
        <tr r="P3375" s="1"/>
      </tp>
      <tp>
        <v>11.378011527587301</v>
        <stp/>
        <stp>EM_S_VAL_PCF_NCFTTM</stp>
        <stp>2</stp>
        <stp>002717</stp>
        <stp>12/31/2018</stp>
        <tr r="P3355" s="1"/>
      </tp>
      <tp>
        <v>0</v>
        <stp/>
        <stp>EM_S_VAL_PCF_NCFTTM</stp>
        <stp>2</stp>
        <stp>002710</stp>
        <stp>12/31/2018</stp>
        <tr r="P7" s="1"/>
      </tp>
      <tp>
        <v>-22.7029343060643</v>
        <stp/>
        <stp>EM_S_VAL_PCF_NCFTTM</stp>
        <stp>2</stp>
        <stp>002711</stp>
        <stp>12/31/2018</stp>
        <tr r="P3398" s="1"/>
      </tp>
      <tp>
        <v>9.2267360272758907</v>
        <stp/>
        <stp>EM_S_VAL_PCF_NCFTTM</stp>
        <stp>2</stp>
        <stp>002712</stp>
        <stp>12/31/2018</stp>
        <tr r="P708" s="1"/>
      </tp>
      <tp>
        <v>-38.2657460032191</v>
        <stp/>
        <stp>EM_S_VAL_PCF_NCFTTM</stp>
        <stp>2</stp>
        <stp>002713</stp>
        <stp>12/31/2018</stp>
        <tr r="P3382" s="1"/>
      </tp>
      <tp>
        <v>-109.322782608078</v>
        <stp/>
        <stp>EM_S_VAL_PCF_NCFTTM</stp>
        <stp>2</stp>
        <stp>002718</stp>
        <stp>12/31/2018</stp>
        <tr r="P3310" s="1"/>
      </tp>
      <tp>
        <v>18.4037536134419</v>
        <stp/>
        <stp>EM_S_VAL_PCF_NCFTTM</stp>
        <stp>2</stp>
        <stp>002719</stp>
        <stp>12/31/2018</stp>
        <tr r="P2151" s="1"/>
      </tp>
      <tp>
        <v>-6.0773952746973796</v>
        <stp/>
        <stp>EM_S_VAL_PCF_NCFTTM</stp>
        <stp>2</stp>
        <stp>002724</stp>
        <stp>12/31/2018</stp>
        <tr r="P757" s="1"/>
      </tp>
      <tp>
        <v>-14.9593632789759</v>
        <stp/>
        <stp>EM_S_VAL_PCF_NCFTTM</stp>
        <stp>2</stp>
        <stp>002725</stp>
        <stp>12/31/2018</stp>
        <tr r="P1230" s="1"/>
      </tp>
      <tp>
        <v>35.144318396045101</v>
        <stp/>
        <stp>EM_S_VAL_PCF_NCFTTM</stp>
        <stp>2</stp>
        <stp>002726</stp>
        <stp>12/31/2018</stp>
        <tr r="P2844" s="1"/>
      </tp>
      <tp>
        <v>69.645559260104903</v>
        <stp/>
        <stp>EM_S_VAL_PCF_NCFTTM</stp>
        <stp>2</stp>
        <stp>002727</stp>
        <stp>12/31/2018</stp>
        <tr r="P946" s="1"/>
      </tp>
      <tp>
        <v>0</v>
        <stp/>
        <stp>EM_S_VAL_PCF_NCFTTM</stp>
        <stp>2</stp>
        <stp>002720</stp>
        <stp>12/31/2018</stp>
        <tr r="P8" s="1"/>
      </tp>
      <tp>
        <v>-20.6077296374119</v>
        <stp/>
        <stp>EM_S_VAL_PCF_NCFTTM</stp>
        <stp>2</stp>
        <stp>002721</stp>
        <stp>12/31/2018</stp>
        <tr r="P2808" s="1"/>
      </tp>
      <tp>
        <v>20.8133109592398</v>
        <stp/>
        <stp>EM_S_VAL_PCF_NCFTTM</stp>
        <stp>2</stp>
        <stp>002722</stp>
        <stp>12/31/2018</stp>
        <tr r="P1754" s="1"/>
      </tp>
      <tp>
        <v>-78.655059682049</v>
        <stp/>
        <stp>EM_S_VAL_PCF_NCFTTM</stp>
        <stp>2</stp>
        <stp>002723</stp>
        <stp>12/31/2018</stp>
        <tr r="P2029" s="1"/>
      </tp>
      <tp>
        <v>35.394574028099001</v>
        <stp/>
        <stp>EM_S_VAL_PCF_NCFTTM</stp>
        <stp>2</stp>
        <stp>002728</stp>
        <stp>12/31/2018</stp>
        <tr r="P991" s="1"/>
      </tp>
      <tp>
        <v>38.441282980399798</v>
        <stp/>
        <stp>EM_S_VAL_PCF_NCFTTM</stp>
        <stp>2</stp>
        <stp>002729</stp>
        <stp>12/31/2018</stp>
        <tr r="P92" s="1"/>
      </tp>
      <tp>
        <v>11.4707879147117</v>
        <stp/>
        <stp>EM_S_VAL_PCF_NCFTTM</stp>
        <stp>2</stp>
        <stp>002734</stp>
        <stp>12/31/2018</stp>
        <tr r="P875" s="1"/>
      </tp>
      <tp>
        <v>-32.130538796821298</v>
        <stp/>
        <stp>EM_S_VAL_PCF_NCFTTM</stp>
        <stp>2</stp>
        <stp>002735</stp>
        <stp>12/31/2018</stp>
        <tr r="P2934" s="1"/>
      </tp>
      <tp>
        <v>-5.1662820473482496</v>
        <stp/>
        <stp>EM_S_VAL_PCF_NCFTTM</stp>
        <stp>2</stp>
        <stp>002736</stp>
        <stp>12/31/2018</stp>
        <tr r="P549" s="1"/>
      </tp>
      <tp>
        <v>-379.78221072963203</v>
        <stp/>
        <stp>EM_S_VAL_PCF_NCFTTM</stp>
        <stp>2</stp>
        <stp>002737</stp>
        <stp>12/31/2018</stp>
        <tr r="P2433" s="1"/>
      </tp>
      <tp>
        <v>-21.679920419853001</v>
        <stp/>
        <stp>EM_S_VAL_PCF_NCFTTM</stp>
        <stp>2</stp>
        <stp>002730</stp>
        <stp>12/31/2018</stp>
        <tr r="P1216" s="1"/>
      </tp>
      <tp>
        <v>-80.103718724377003</v>
        <stp/>
        <stp>EM_S_VAL_PCF_NCFTTM</stp>
        <stp>2</stp>
        <stp>002731</stp>
        <stp>12/31/2018</stp>
        <tr r="P3386" s="1"/>
      </tp>
      <tp>
        <v>-3692.79415613541</v>
        <stp/>
        <stp>EM_S_VAL_PCF_NCFTTM</stp>
        <stp>2</stp>
        <stp>002732</stp>
        <stp>12/31/2018</stp>
        <tr r="P992" s="1"/>
      </tp>
      <tp>
        <v>-9.3141010443763896</v>
        <stp/>
        <stp>EM_S_VAL_PCF_NCFTTM</stp>
        <stp>2</stp>
        <stp>002733</stp>
        <stp>12/31/2018</stp>
        <tr r="P67" s="1"/>
      </tp>
      <tp>
        <v>29.424817768497601</v>
        <stp/>
        <stp>EM_S_VAL_PCF_NCFTTM</stp>
        <stp>2</stp>
        <stp>002738</stp>
        <stp>12/31/2018</stp>
        <tr r="P1459" s="1"/>
      </tp>
      <tp>
        <v>-37.111254639412103</v>
        <stp/>
        <stp>EM_S_VAL_PCF_NCFTTM</stp>
        <stp>2</stp>
        <stp>002739</stp>
        <stp>12/31/2018</stp>
        <tr r="P2975" s="1"/>
      </tp>
      <tp>
        <v>5.9964064468139302</v>
        <stp/>
        <stp>EM_S_VAL_PCF_NCFTTM</stp>
        <stp>2</stp>
        <stp>002745</stp>
        <stp>12/31/2018</stp>
        <tr r="P1165" s="1"/>
      </tp>
      <tp>
        <v>-51.971839406626003</v>
        <stp/>
        <stp>EM_S_VAL_PCF_NCFTTM</stp>
        <stp>2</stp>
        <stp>002746</stp>
        <stp>12/31/2018</stp>
        <tr r="P1580" s="1"/>
      </tp>
      <tp>
        <v>-56.952288163458498</v>
        <stp/>
        <stp>EM_S_VAL_PCF_NCFTTM</stp>
        <stp>2</stp>
        <stp>002747</stp>
        <stp>12/31/2018</stp>
        <tr r="P862" s="1"/>
      </tp>
      <tp>
        <v>-4.6337873283925699</v>
        <stp/>
        <stp>EM_S_VAL_PCF_NCFTTM</stp>
        <stp>2</stp>
        <stp>002740</stp>
        <stp>12/31/2018</stp>
        <tr r="P1265" s="1"/>
      </tp>
      <tp>
        <v>659.87171208843495</v>
        <stp/>
        <stp>EM_S_VAL_PCF_NCFTTM</stp>
        <stp>2</stp>
        <stp>002741</stp>
        <stp>12/31/2018</stp>
        <tr r="P3107" s="1"/>
      </tp>
      <tp>
        <v>-14.020054461909201</v>
        <stp/>
        <stp>EM_S_VAL_PCF_NCFTTM</stp>
        <stp>2</stp>
        <stp>002742</stp>
        <stp>12/31/2018</stp>
        <tr r="P3194" s="1"/>
      </tp>
      <tp>
        <v>-25.665292178822298</v>
        <stp/>
        <stp>EM_S_VAL_PCF_NCFTTM</stp>
        <stp>2</stp>
        <stp>002743</stp>
        <stp>12/31/2018</stp>
        <tr r="P1568" s="1"/>
      </tp>
      <tp>
        <v>111.086699101379</v>
        <stp/>
        <stp>EM_S_VAL_PCF_NCFTTM</stp>
        <stp>2</stp>
        <stp>002748</stp>
        <stp>12/31/2018</stp>
        <tr r="P2044" s="1"/>
      </tp>
      <tp>
        <v>-173.759202900551</v>
        <stp/>
        <stp>EM_S_VAL_PCF_NCFTTM</stp>
        <stp>2</stp>
        <stp>002749</stp>
        <stp>12/31/2018</stp>
        <tr r="P3174" s="1"/>
      </tp>
      <tp>
        <v>168.65537402896501</v>
        <stp/>
        <stp>EM_S_VAL_PCF_NCFTTM</stp>
        <stp>2</stp>
        <stp>002755</stp>
        <stp>12/31/2018</stp>
        <tr r="P1289" s="1"/>
      </tp>
      <tp>
        <v>75.293930616102898</v>
        <stp/>
        <stp>EM_S_VAL_PCF_NCFTTM</stp>
        <stp>2</stp>
        <stp>002756</stp>
        <stp>12/31/2018</stp>
        <tr r="P470" s="1"/>
      </tp>
      <tp>
        <v>-67.663469919275897</v>
        <stp/>
        <stp>EM_S_VAL_PCF_NCFTTM</stp>
        <stp>2</stp>
        <stp>002757</stp>
        <stp>12/31/2018</stp>
        <tr r="P3322" s="1"/>
      </tp>
      <tp>
        <v>-147.010006040598</v>
        <stp/>
        <stp>EM_S_VAL_PCF_NCFTTM</stp>
        <stp>2</stp>
        <stp>002750</stp>
        <stp>12/31/2018</stp>
        <tr r="P121" s="1"/>
      </tp>
      <tp>
        <v>62.937443175394598</v>
        <stp/>
        <stp>EM_S_VAL_PCF_NCFTTM</stp>
        <stp>2</stp>
        <stp>002751</stp>
        <stp>12/31/2018</stp>
        <tr r="P1394" s="1"/>
      </tp>
      <tp>
        <v>-85.1085050173849</v>
        <stp/>
        <stp>EM_S_VAL_PCF_NCFTTM</stp>
        <stp>2</stp>
        <stp>002752</stp>
        <stp>12/31/2018</stp>
        <tr r="P2953" s="1"/>
      </tp>
      <tp>
        <v>558.26424453667903</v>
        <stp/>
        <stp>EM_S_VAL_PCF_NCFTTM</stp>
        <stp>2</stp>
        <stp>002753</stp>
        <stp>12/31/2018</stp>
        <tr r="P2896" s="1"/>
      </tp>
      <tp>
        <v>6.41589066255339</v>
        <stp/>
        <stp>EM_S_VAL_PCF_NCFTTM</stp>
        <stp>2</stp>
        <stp>002758</stp>
        <stp>12/31/2018</stp>
        <tr r="P633" s="1"/>
      </tp>
      <tp>
        <v>218.425252025909</v>
        <stp/>
        <stp>EM_S_VAL_PCF_NCFTTM</stp>
        <stp>2</stp>
        <stp>002759</stp>
        <stp>12/31/2018</stp>
        <tr r="P1470" s="1"/>
      </tp>
      <tp>
        <v>-13.2670503070121</v>
        <stp/>
        <stp>EM_S_VAL_PCF_NCFTTM</stp>
        <stp>2</stp>
        <stp>002765</stp>
        <stp>12/31/2018</stp>
        <tr r="P3005" s="1"/>
      </tp>
      <tp>
        <v>-12.029519401925199</v>
        <stp/>
        <stp>EM_S_VAL_PCF_NCFTTM</stp>
        <stp>2</stp>
        <stp>002766</stp>
        <stp>12/31/2018</stp>
        <tr r="P3305" s="1"/>
      </tp>
      <tp>
        <v>197.760414822695</v>
        <stp/>
        <stp>EM_S_VAL_PCF_NCFTTM</stp>
        <stp>2</stp>
        <stp>002767</stp>
        <stp>12/31/2018</stp>
        <tr r="P1895" s="1"/>
      </tp>
      <tp>
        <v>-28.486249579607701</v>
        <stp/>
        <stp>EM_S_VAL_PCF_NCFTTM</stp>
        <stp>2</stp>
        <stp>002760</stp>
        <stp>12/31/2018</stp>
        <tr r="P1204" s="1"/>
      </tp>
      <tp>
        <v>65.565154315043202</v>
        <stp/>
        <stp>EM_S_VAL_PCF_NCFTTM</stp>
        <stp>2</stp>
        <stp>002761</stp>
        <stp>12/31/2018</stp>
        <tr r="P3296" s="1"/>
      </tp>
      <tp>
        <v>-29.537882545509301</v>
        <stp/>
        <stp>EM_S_VAL_PCF_NCFTTM</stp>
        <stp>2</stp>
        <stp>002762</stp>
        <stp>12/31/2018</stp>
        <tr r="P2112" s="1"/>
      </tp>
      <tp>
        <v>-24.652024746527101</v>
        <stp/>
        <stp>EM_S_VAL_PCF_NCFTTM</stp>
        <stp>2</stp>
        <stp>002763</stp>
        <stp>12/31/2018</stp>
        <tr r="P2122" s="1"/>
      </tp>
      <tp>
        <v>15.8319781273911</v>
        <stp/>
        <stp>EM_S_VAL_PCF_NCFTTM</stp>
        <stp>2</stp>
        <stp>002768</stp>
        <stp>12/31/2018</stp>
        <tr r="P2063" s="1"/>
      </tp>
      <tp>
        <v>-6.5165242814992101</v>
        <stp/>
        <stp>EM_S_VAL_PCF_NCFTTM</stp>
        <stp>2</stp>
        <stp>002769</stp>
        <stp>12/31/2018</stp>
        <tr r="P2989" s="1"/>
      </tp>
      <tp>
        <v>24.320577999954601</v>
        <stp/>
        <stp>EM_S_VAL_PCF_NCFTTM</stp>
        <stp>2</stp>
        <stp>002774</stp>
        <stp>12/31/2018</stp>
        <tr r="P2622" s="1"/>
      </tp>
      <tp>
        <v>17.059918930610198</v>
        <stp/>
        <stp>EM_S_VAL_PCF_NCFTTM</stp>
        <stp>2</stp>
        <stp>002775</stp>
        <stp>12/31/2018</stp>
        <tr r="P2512" s="1"/>
      </tp>
      <tp>
        <v>-70.521181995844302</v>
        <stp/>
        <stp>EM_S_VAL_PCF_NCFTTM</stp>
        <stp>2</stp>
        <stp>002776</stp>
        <stp>12/31/2018</stp>
        <tr r="P3377" s="1"/>
      </tp>
      <tp>
        <v>19.661059687013399</v>
        <stp/>
        <stp>EM_S_VAL_PCF_NCFTTM</stp>
        <stp>2</stp>
        <stp>002777</stp>
        <stp>12/31/2018</stp>
        <tr r="P647" s="1"/>
      </tp>
      <tp>
        <v>10.1473979200975</v>
        <stp/>
        <stp>EM_S_VAL_PCF_NCFTTM</stp>
        <stp>2</stp>
        <stp>002770</stp>
        <stp>12/31/2018</stp>
        <tr r="P2889" s="1"/>
      </tp>
      <tp>
        <v>-97.520661503186901</v>
        <stp/>
        <stp>EM_S_VAL_PCF_NCFTTM</stp>
        <stp>2</stp>
        <stp>002771</stp>
        <stp>12/31/2018</stp>
        <tr r="P2174" s="1"/>
      </tp>
      <tp>
        <v>8.5351290671757702</v>
        <stp/>
        <stp>EM_S_VAL_PCF_NCFTTM</stp>
        <stp>2</stp>
        <stp>002772</stp>
        <stp>12/31/2018</stp>
        <tr r="P1906" s="1"/>
      </tp>
      <tp>
        <v>-48.669815984461501</v>
        <stp/>
        <stp>EM_S_VAL_PCF_NCFTTM</stp>
        <stp>2</stp>
        <stp>002773</stp>
        <stp>12/31/2018</stp>
        <tr r="P1974" s="1"/>
      </tp>
      <tp>
        <v>-29.771445743938799</v>
        <stp/>
        <stp>EM_S_VAL_PCF_NCFTTM</stp>
        <stp>2</stp>
        <stp>002778</stp>
        <stp>12/31/2018</stp>
        <tr r="P1331" s="1"/>
      </tp>
      <tp>
        <v>-78.038304745416298</v>
        <stp/>
        <stp>EM_S_VAL_PCF_NCFTTM</stp>
        <stp>2</stp>
        <stp>002779</stp>
        <stp>12/31/2018</stp>
        <tr r="P2173" s="1"/>
      </tp>
      <tp>
        <v>-3.8612582246892901</v>
        <stp/>
        <stp>EM_S_VAL_PCF_NCFTTM</stp>
        <stp>2</stp>
        <stp>002684</stp>
        <stp>12/31/2018</stp>
        <tr r="P2556" s="1"/>
      </tp>
      <tp>
        <v>-74.259462825375607</v>
        <stp/>
        <stp>EM_S_VAL_PCF_NCFTTM</stp>
        <stp>2</stp>
        <stp>002685</stp>
        <stp>12/31/2018</stp>
        <tr r="P775" s="1"/>
      </tp>
      <tp>
        <v>20.950606290846</v>
        <stp/>
        <stp>EM_S_VAL_PCF_NCFTTM</stp>
        <stp>2</stp>
        <stp>002686</stp>
        <stp>12/31/2018</stp>
        <tr r="P2783" s="1"/>
      </tp>
      <tp>
        <v>-33.8743620213939</v>
        <stp/>
        <stp>EM_S_VAL_PCF_NCFTTM</stp>
        <stp>2</stp>
        <stp>002687</stp>
        <stp>12/31/2018</stp>
        <tr r="P2607" s="1"/>
      </tp>
      <tp>
        <v>-15.906722660889301</v>
        <stp/>
        <stp>EM_S_VAL_PCF_NCFTTM</stp>
        <stp>2</stp>
        <stp>002680</stp>
        <stp>12/31/2018</stp>
        <tr r="P3406" s="1"/>
      </tp>
      <tp>
        <v>-13.374007915404</v>
        <stp/>
        <stp>EM_S_VAL_PCF_NCFTTM</stp>
        <stp>2</stp>
        <stp>002681</stp>
        <stp>12/31/2018</stp>
        <tr r="P536" s="1"/>
      </tp>
      <tp>
        <v>-145.091871752412</v>
        <stp/>
        <stp>EM_S_VAL_PCF_NCFTTM</stp>
        <stp>2</stp>
        <stp>002682</stp>
        <stp>12/31/2018</stp>
        <tr r="P2134" s="1"/>
      </tp>
      <tp>
        <v>-42.449781988086201</v>
        <stp/>
        <stp>EM_S_VAL_PCF_NCFTTM</stp>
        <stp>2</stp>
        <stp>002683</stp>
        <stp>12/31/2018</stp>
        <tr r="P111" s="1"/>
      </tp>
      <tp>
        <v>80.2613987534628</v>
        <stp/>
        <stp>EM_S_VAL_PCF_NCFTTM</stp>
        <stp>2</stp>
        <stp>002688</stp>
        <stp>12/31/2018</stp>
        <tr r="P809" s="1"/>
      </tp>
      <tp>
        <v>-19.517383523712802</v>
        <stp/>
        <stp>EM_S_VAL_PCF_NCFTTM</stp>
        <stp>2</stp>
        <stp>002689</stp>
        <stp>12/31/2018</stp>
        <tr r="P1692" s="1"/>
      </tp>
      <tp>
        <v>237.283123825411</v>
        <stp/>
        <stp>EM_S_VAL_PCF_NCFTTM</stp>
        <stp>2</stp>
        <stp>002694</stp>
        <stp>12/31/2018</stp>
        <tr r="P3113" s="1"/>
      </tp>
      <tp>
        <v>15.054563323734</v>
        <stp/>
        <stp>EM_S_VAL_PCF_NCFTTM</stp>
        <stp>2</stp>
        <stp>002695</stp>
        <stp>12/31/2018</stp>
        <tr r="P430" s="1"/>
      </tp>
      <tp>
        <v>-14.9770721389499</v>
        <stp/>
        <stp>EM_S_VAL_PCF_NCFTTM</stp>
        <stp>2</stp>
        <stp>002696</stp>
        <stp>12/31/2018</stp>
        <tr r="P3242" s="1"/>
      </tp>
      <tp>
        <v>8.7713113821706905</v>
        <stp/>
        <stp>EM_S_VAL_PCF_NCFTTM</stp>
        <stp>2</stp>
        <stp>002697</stp>
        <stp>12/31/2018</stp>
        <tr r="P629" s="1"/>
      </tp>
      <tp>
        <v>-79.252684843435503</v>
        <stp/>
        <stp>EM_S_VAL_PCF_NCFTTM</stp>
        <stp>2</stp>
        <stp>002690</stp>
        <stp>12/31/2018</stp>
        <tr r="P233" s="1"/>
      </tp>
      <tp>
        <v>88.507250621513904</v>
        <stp/>
        <stp>EM_S_VAL_PCF_NCFTTM</stp>
        <stp>2</stp>
        <stp>002691</stp>
        <stp>12/31/2018</stp>
        <tr r="P3060" s="1"/>
      </tp>
      <tp>
        <v>26.672034285783798</v>
        <stp/>
        <stp>EM_S_VAL_PCF_NCFTTM</stp>
        <stp>2</stp>
        <stp>002692</stp>
        <stp>12/31/2018</stp>
        <tr r="P2695" s="1"/>
      </tp>
      <tp>
        <v>-81.981193409638095</v>
        <stp/>
        <stp>EM_S_VAL_PCF_NCFTTM</stp>
        <stp>2</stp>
        <stp>002693</stp>
        <stp>12/31/2018</stp>
        <tr r="P1309" s="1"/>
      </tp>
      <tp>
        <v>35.461002832269301</v>
        <stp/>
        <stp>EM_S_VAL_PCF_NCFTTM</stp>
        <stp>2</stp>
        <stp>002698</stp>
        <stp>12/31/2018</stp>
        <tr r="P1301" s="1"/>
      </tp>
      <tp>
        <v>-99.220617407720297</v>
        <stp/>
        <stp>EM_S_VAL_PCF_NCFTTM</stp>
        <stp>2</stp>
        <stp>002699</stp>
        <stp>12/31/2018</stp>
        <tr r="P1025" s="1"/>
      </tp>
      <tp>
        <v>-1.12895619524275</v>
        <stp/>
        <stp>EM_S_VAL_PCF_NCFTTM</stp>
        <stp>2</stp>
        <stp>002604</stp>
        <stp>12/31/2018</stp>
        <tr r="P1363" s="1"/>
      </tp>
      <tp>
        <v>16.216880656802498</v>
        <stp/>
        <stp>EM_S_VAL_PCF_NCFTTM</stp>
        <stp>2</stp>
        <stp>002605</stp>
        <stp>12/31/2018</stp>
        <tr r="P74" s="1"/>
      </tp>
      <tp>
        <v>77.0836147377629</v>
        <stp/>
        <stp>EM_S_VAL_PCF_NCFTTM</stp>
        <stp>2</stp>
        <stp>002606</stp>
        <stp>12/31/2018</stp>
        <tr r="P2831" s="1"/>
      </tp>
      <tp>
        <v>-16.6133132530586</v>
        <stp/>
        <stp>EM_S_VAL_PCF_NCFTTM</stp>
        <stp>2</stp>
        <stp>002607</stp>
        <stp>12/31/2018</stp>
        <tr r="P95" s="1"/>
      </tp>
      <tp>
        <v>10.557344082743001</v>
        <stp/>
        <stp>EM_S_VAL_PCF_NCFTTM</stp>
        <stp>2</stp>
        <stp>002600</stp>
        <stp>12/31/2018</stp>
        <tr r="P23" s="1"/>
      </tp>
      <tp>
        <v>151.71043572409201</v>
        <stp/>
        <stp>EM_S_VAL_PCF_NCFTTM</stp>
        <stp>2</stp>
        <stp>002601</stp>
        <stp>12/31/2018</stp>
        <tr r="P1076" s="1"/>
      </tp>
      <tp>
        <v>21.2699862597863</v>
        <stp/>
        <stp>EM_S_VAL_PCF_NCFTTM</stp>
        <stp>2</stp>
        <stp>002602</stp>
        <stp>12/31/2018</stp>
        <tr r="P3332" s="1"/>
      </tp>
      <tp>
        <v>117.661505177828</v>
        <stp/>
        <stp>EM_S_VAL_PCF_NCFTTM</stp>
        <stp>2</stp>
        <stp>002603</stp>
        <stp>12/31/2018</stp>
        <tr r="P1855" s="1"/>
      </tp>
      <tp>
        <v>27.634838988375101</v>
        <stp/>
        <stp>EM_S_VAL_PCF_NCFTTM</stp>
        <stp>2</stp>
        <stp>002608</stp>
        <stp>12/31/2018</stp>
        <tr r="P2248" s="1"/>
      </tp>
      <tp>
        <v>-38.972936807184702</v>
        <stp/>
        <stp>EM_S_VAL_PCF_NCFTTM</stp>
        <stp>2</stp>
        <stp>002609</stp>
        <stp>12/31/2018</stp>
        <tr r="P507" s="1"/>
      </tp>
      <tp>
        <v>49.340562469020099</v>
        <stp/>
        <stp>EM_S_VAL_PCF_NCFTTM</stp>
        <stp>2</stp>
        <stp>002614</stp>
        <stp>12/31/2018</stp>
        <tr r="P3257" s="1"/>
      </tp>
      <tp>
        <v>205.79372982312901</v>
        <stp/>
        <stp>EM_S_VAL_PCF_NCFTTM</stp>
        <stp>2</stp>
        <stp>002615</stp>
        <stp>12/31/2018</stp>
        <tr r="P1586" s="1"/>
      </tp>
      <tp>
        <v>11.6764272648601</v>
        <stp/>
        <stp>EM_S_VAL_PCF_NCFTTM</stp>
        <stp>2</stp>
        <stp>002616</stp>
        <stp>12/31/2018</stp>
        <tr r="P1661" s="1"/>
      </tp>
      <tp>
        <v>-86.800139157661306</v>
        <stp/>
        <stp>EM_S_VAL_PCF_NCFTTM</stp>
        <stp>2</stp>
        <stp>002617</stp>
        <stp>12/31/2018</stp>
        <tr r="P760" s="1"/>
      </tp>
      <tp>
        <v>-25.255379769451199</v>
        <stp/>
        <stp>EM_S_VAL_PCF_NCFTTM</stp>
        <stp>2</stp>
        <stp>002610</stp>
        <stp>12/31/2018</stp>
        <tr r="P2135" s="1"/>
      </tp>
      <tp>
        <v>302.34622779817602</v>
        <stp/>
        <stp>EM_S_VAL_PCF_NCFTTM</stp>
        <stp>2</stp>
        <stp>002611</stp>
        <stp>12/31/2018</stp>
        <tr r="P1539" s="1"/>
      </tp>
      <tp>
        <v>26.974024436973199</v>
        <stp/>
        <stp>EM_S_VAL_PCF_NCFTTM</stp>
        <stp>2</stp>
        <stp>002612</stp>
        <stp>12/31/2018</stp>
        <tr r="P1881" s="1"/>
      </tp>
      <tp>
        <v>-15.600949092272399</v>
        <stp/>
        <stp>EM_S_VAL_PCF_NCFTTM</stp>
        <stp>2</stp>
        <stp>002613</stp>
        <stp>12/31/2018</stp>
        <tr r="P2072" s="1"/>
      </tp>
      <tp>
        <v>-119.898404528152</v>
        <stp/>
        <stp>EM_S_VAL_PCF_NCFTTM</stp>
        <stp>2</stp>
        <stp>002618</stp>
        <stp>12/31/2018</stp>
        <tr r="P2739" s="1"/>
      </tp>
      <tp>
        <v>-11.415716402259299</v>
        <stp/>
        <stp>EM_S_VAL_PCF_NCFTTM</stp>
        <stp>2</stp>
        <stp>002619</stp>
        <stp>12/31/2018</stp>
        <tr r="P2620" s="1"/>
      </tp>
      <tp>
        <v>124.523577744012</v>
        <stp/>
        <stp>EM_S_VAL_PCF_NCFTTM</stp>
        <stp>2</stp>
        <stp>002624</stp>
        <stp>12/31/2018</stp>
        <tr r="P449" s="1"/>
      </tp>
      <tp>
        <v>32.455435870273703</v>
        <stp/>
        <stp>EM_S_VAL_PCF_NCFTTM</stp>
        <stp>2</stp>
        <stp>002625</stp>
        <stp>12/31/2018</stp>
        <tr r="P2630" s="1"/>
      </tp>
      <tp>
        <v>-48.1621413816097</v>
        <stp/>
        <stp>EM_S_VAL_PCF_NCFTTM</stp>
        <stp>2</stp>
        <stp>002626</stp>
        <stp>12/31/2018</stp>
        <tr r="P414" s="1"/>
      </tp>
      <tp>
        <v>-3.15814031015459</v>
        <stp/>
        <stp>EM_S_VAL_PCF_NCFTTM</stp>
        <stp>2</stp>
        <stp>002627</stp>
        <stp>12/31/2018</stp>
        <tr r="P389" s="1"/>
      </tp>
      <tp>
        <v>-11.788118381902599</v>
        <stp/>
        <stp>EM_S_VAL_PCF_NCFTTM</stp>
        <stp>2</stp>
        <stp>002620</stp>
        <stp>12/31/2018</stp>
        <tr r="P2023" s="1"/>
      </tp>
      <tp>
        <v>67.103316892620995</v>
        <stp/>
        <stp>EM_S_VAL_PCF_NCFTTM</stp>
        <stp>2</stp>
        <stp>002621</stp>
        <stp>12/31/2018</stp>
        <tr r="P3271" s="1"/>
      </tp>
      <tp>
        <v>-54.684628200710598</v>
        <stp/>
        <stp>EM_S_VAL_PCF_NCFTTM</stp>
        <stp>2</stp>
        <stp>002622</stp>
        <stp>12/31/2018</stp>
        <tr r="P1510" s="1"/>
      </tp>
      <tp>
        <v>-12.413514305942099</v>
        <stp/>
        <stp>EM_S_VAL_PCF_NCFTTM</stp>
        <stp>2</stp>
        <stp>002623</stp>
        <stp>12/31/2018</stp>
        <tr r="P556" s="1"/>
      </tp>
      <tp>
        <v>-64.711165385710899</v>
        <stp/>
        <stp>EM_S_VAL_PCF_NCFTTM</stp>
        <stp>2</stp>
        <stp>002628</stp>
        <stp>12/31/2018</stp>
        <tr r="P2357" s="1"/>
      </tp>
      <tp>
        <v>-84.382041331112305</v>
        <stp/>
        <stp>EM_S_VAL_PCF_NCFTTM</stp>
        <stp>2</stp>
        <stp>002629</stp>
        <stp>12/31/2018</stp>
        <tr r="P3220" s="1"/>
      </tp>
      <tp>
        <v>-85.041319632171096</v>
        <stp/>
        <stp>EM_S_VAL_PCF_NCFTTM</stp>
        <stp>2</stp>
        <stp>002634</stp>
        <stp>12/31/2018</stp>
        <tr r="P713" s="1"/>
      </tp>
      <tp>
        <v>-7.3373581348440897</v>
        <stp/>
        <stp>EM_S_VAL_PCF_NCFTTM</stp>
        <stp>2</stp>
        <stp>002635</stp>
        <stp>12/31/2018</stp>
        <tr r="P547" s="1"/>
      </tp>
      <tp>
        <v>26.246283497303502</v>
        <stp/>
        <stp>EM_S_VAL_PCF_NCFTTM</stp>
        <stp>2</stp>
        <stp>002636</stp>
        <stp>12/31/2018</stp>
        <tr r="P1181" s="1"/>
      </tp>
      <tp>
        <v>-93.899625826187602</v>
        <stp/>
        <stp>EM_S_VAL_PCF_NCFTTM</stp>
        <stp>2</stp>
        <stp>002637</stp>
        <stp>12/31/2018</stp>
        <tr r="P640" s="1"/>
      </tp>
      <tp>
        <v>-17.010113530539101</v>
        <stp/>
        <stp>EM_S_VAL_PCF_NCFTTM</stp>
        <stp>2</stp>
        <stp>002630</stp>
        <stp>12/31/2018</stp>
        <tr r="P2954" s="1"/>
      </tp>
      <tp>
        <v>-610.58604601680804</v>
        <stp/>
        <stp>EM_S_VAL_PCF_NCFTTM</stp>
        <stp>2</stp>
        <stp>002631</stp>
        <stp>12/31/2018</stp>
        <tr r="P1082" s="1"/>
      </tp>
      <tp>
        <v>-36.666957920447999</v>
        <stp/>
        <stp>EM_S_VAL_PCF_NCFTTM</stp>
        <stp>2</stp>
        <stp>002632</stp>
        <stp>12/31/2018</stp>
        <tr r="P1891" s="1"/>
      </tp>
      <tp>
        <v>-160.675202686755</v>
        <stp/>
        <stp>EM_S_VAL_PCF_NCFTTM</stp>
        <stp>2</stp>
        <stp>002633</stp>
        <stp>12/31/2018</stp>
        <tr r="P2033" s="1"/>
      </tp>
      <tp>
        <v>-14.4407769971553</v>
        <stp/>
        <stp>EM_S_VAL_PCF_NCFTTM</stp>
        <stp>2</stp>
        <stp>002638</stp>
        <stp>12/31/2018</stp>
        <tr r="P689" s="1"/>
      </tp>
      <tp>
        <v>-38.471832927254098</v>
        <stp/>
        <stp>EM_S_VAL_PCF_NCFTTM</stp>
        <stp>2</stp>
        <stp>002639</stp>
        <stp>12/31/2018</stp>
        <tr r="P434" s="1"/>
      </tp>
      <tp>
        <v>-12.378160392427899</v>
        <stp/>
        <stp>EM_S_VAL_PCF_NCFTTM</stp>
        <stp>2</stp>
        <stp>002644</stp>
        <stp>12/31/2018</stp>
        <tr r="P2710" s="1"/>
      </tp>
      <tp>
        <v>-34.491776186750499</v>
        <stp/>
        <stp>EM_S_VAL_PCF_NCFTTM</stp>
        <stp>2</stp>
        <stp>002645</stp>
        <stp>12/31/2018</stp>
        <tr r="P1368" s="1"/>
      </tp>
      <tp>
        <v>208.49928790063001</v>
        <stp/>
        <stp>EM_S_VAL_PCF_NCFTTM</stp>
        <stp>2</stp>
        <stp>002646</stp>
        <stp>12/31/2018</stp>
        <tr r="P2254" s="1"/>
      </tp>
      <tp>
        <v>-29.5135071833135</v>
        <stp/>
        <stp>EM_S_VAL_PCF_NCFTTM</stp>
        <stp>2</stp>
        <stp>002647</stp>
        <stp>12/31/2018</stp>
        <tr r="P963" s="1"/>
      </tp>
      <tp>
        <v>26.331507028089302</v>
        <stp/>
        <stp>EM_S_VAL_PCF_NCFTTM</stp>
        <stp>2</stp>
        <stp>002640</stp>
        <stp>12/31/2018</stp>
        <tr r="P3219" s="1"/>
      </tp>
      <tp>
        <v>58.533406245237899</v>
        <stp/>
        <stp>EM_S_VAL_PCF_NCFTTM</stp>
        <stp>2</stp>
        <stp>002641</stp>
        <stp>12/31/2018</stp>
        <tr r="P718" s="1"/>
      </tp>
      <tp>
        <v>-17.9556660095528</v>
        <stp/>
        <stp>EM_S_VAL_PCF_NCFTTM</stp>
        <stp>2</stp>
        <stp>002642</stp>
        <stp>12/31/2018</stp>
        <tr r="P2603" s="1"/>
      </tp>
      <tp>
        <v>34.755015420481598</v>
        <stp/>
        <stp>EM_S_VAL_PCF_NCFTTM</stp>
        <stp>2</stp>
        <stp>002643</stp>
        <stp>12/31/2018</stp>
        <tr r="P561" s="1"/>
      </tp>
      <tp>
        <v>-15.967151357992901</v>
        <stp/>
        <stp>EM_S_VAL_PCF_NCFTTM</stp>
        <stp>2</stp>
        <stp>002648</stp>
        <stp>12/31/2018</stp>
        <tr r="P309" s="1"/>
      </tp>
      <tp>
        <v>43.184930635804399</v>
        <stp/>
        <stp>EM_S_VAL_PCF_NCFTTM</stp>
        <stp>2</stp>
        <stp>002649</stp>
        <stp>12/31/2018</stp>
        <tr r="P807" s="1"/>
      </tp>
      <tp>
        <v>-1575.7289828857799</v>
        <stp/>
        <stp>EM_S_VAL_PCF_NCFTTM</stp>
        <stp>2</stp>
        <stp>002654</stp>
        <stp>12/31/2018</stp>
        <tr r="P606" s="1"/>
      </tp>
      <tp>
        <v>-54.669499497743701</v>
        <stp/>
        <stp>EM_S_VAL_PCF_NCFTTM</stp>
        <stp>2</stp>
        <stp>002655</stp>
        <stp>12/31/2018</stp>
        <tr r="P153" s="1"/>
      </tp>
      <tp>
        <v>-14.654060974811101</v>
        <stp/>
        <stp>EM_S_VAL_PCF_NCFTTM</stp>
        <stp>2</stp>
        <stp>002656</stp>
        <stp>12/31/2018</stp>
        <tr r="P3289" s="1"/>
      </tp>
      <tp>
        <v>-5.4341555349081796</v>
        <stp/>
        <stp>EM_S_VAL_PCF_NCFTTM</stp>
        <stp>2</stp>
        <stp>002657</stp>
        <stp>12/31/2018</stp>
        <tr r="P628" s="1"/>
      </tp>
      <tp>
        <v>-1995.80682295476</v>
        <stp/>
        <stp>EM_S_VAL_PCF_NCFTTM</stp>
        <stp>2</stp>
        <stp>002650</stp>
        <stp>12/31/2018</stp>
        <tr r="P2392" s="1"/>
      </tp>
      <tp>
        <v>-27.9640570405078</v>
        <stp/>
        <stp>EM_S_VAL_PCF_NCFTTM</stp>
        <stp>2</stp>
        <stp>002651</stp>
        <stp>12/31/2018</stp>
        <tr r="P1383" s="1"/>
      </tp>
      <tp>
        <v>30.505944400620201</v>
        <stp/>
        <stp>EM_S_VAL_PCF_NCFTTM</stp>
        <stp>2</stp>
        <stp>002652</stp>
        <stp>12/31/2018</stp>
        <tr r="P2182" s="1"/>
      </tp>
      <tp>
        <v>-62.149659996799897</v>
        <stp/>
        <stp>EM_S_VAL_PCF_NCFTTM</stp>
        <stp>2</stp>
        <stp>002653</stp>
        <stp>12/31/2018</stp>
        <tr r="P337" s="1"/>
      </tp>
      <tp>
        <v>28.337897493788901</v>
        <stp/>
        <stp>EM_S_VAL_PCF_NCFTTM</stp>
        <stp>2</stp>
        <stp>002658</stp>
        <stp>12/31/2018</stp>
        <tr r="P2191" s="1"/>
      </tp>
      <tp>
        <v>10.3132852540638</v>
        <stp/>
        <stp>EM_S_VAL_PCF_NCFTTM</stp>
        <stp>2</stp>
        <stp>002659</stp>
        <stp>12/31/2018</stp>
        <tr r="P3175" s="1"/>
      </tp>
      <tp>
        <v>28.874447576848201</v>
        <stp/>
        <stp>EM_S_VAL_PCF_NCFTTM</stp>
        <stp>2</stp>
        <stp>002664</stp>
        <stp>12/31/2018</stp>
        <tr r="P985" s="1"/>
      </tp>
      <tp>
        <v>-4.3064262669804103</v>
        <stp/>
        <stp>EM_S_VAL_PCF_NCFTTM</stp>
        <stp>2</stp>
        <stp>002665</stp>
        <stp>12/31/2018</stp>
        <tr r="P1281" s="1"/>
      </tp>
      <tp>
        <v>43.219074169092998</v>
        <stp/>
        <stp>EM_S_VAL_PCF_NCFTTM</stp>
        <stp>2</stp>
        <stp>002666</stp>
        <stp>12/31/2018</stp>
        <tr r="P1190" s="1"/>
      </tp>
      <tp>
        <v>-42.613045549750602</v>
        <stp/>
        <stp>EM_S_VAL_PCF_NCFTTM</stp>
        <stp>2</stp>
        <stp>002667</stp>
        <stp>12/31/2018</stp>
        <tr r="P1882" s="1"/>
      </tp>
      <tp>
        <v>-14.881022216096</v>
        <stp/>
        <stp>EM_S_VAL_PCF_NCFTTM</stp>
        <stp>2</stp>
        <stp>002660</stp>
        <stp>12/31/2018</stp>
        <tr r="P568" s="1"/>
      </tp>
      <tp>
        <v>17.683372506261499</v>
        <stp/>
        <stp>EM_S_VAL_PCF_NCFTTM</stp>
        <stp>2</stp>
        <stp>002661</stp>
        <stp>12/31/2018</stp>
        <tr r="P2711" s="1"/>
      </tp>
      <tp>
        <v>-22.720294986096999</v>
        <stp/>
        <stp>EM_S_VAL_PCF_NCFTTM</stp>
        <stp>2</stp>
        <stp>002662</stp>
        <stp>12/31/2018</stp>
        <tr r="P3217" s="1"/>
      </tp>
      <tp>
        <v>-53.867344105337999</v>
        <stp/>
        <stp>EM_S_VAL_PCF_NCFTTM</stp>
        <stp>2</stp>
        <stp>002663</stp>
        <stp>12/31/2018</stp>
        <tr r="P1524" s="1"/>
      </tp>
      <tp>
        <v>-15.8356191417089</v>
        <stp/>
        <stp>EM_S_VAL_PCF_NCFTTM</stp>
        <stp>2</stp>
        <stp>002668</stp>
        <stp>12/31/2018</stp>
        <tr r="P1444" s="1"/>
      </tp>
      <tp>
        <v>-6.74547029148522</v>
        <stp/>
        <stp>EM_S_VAL_PCF_NCFTTM</stp>
        <stp>2</stp>
        <stp>002669</stp>
        <stp>12/31/2018</stp>
        <tr r="P830" s="1"/>
      </tp>
      <tp>
        <v>7.7074475823078599</v>
        <stp/>
        <stp>EM_S_VAL_PCF_NCFTTM</stp>
        <stp>2</stp>
        <stp>002674</stp>
        <stp>12/31/2018</stp>
        <tr r="P622" s="1"/>
      </tp>
      <tp>
        <v>6314.3596922646702</v>
        <stp/>
        <stp>EM_S_VAL_PCF_NCFTTM</stp>
        <stp>2</stp>
        <stp>002675</stp>
        <stp>12/31/2018</stp>
        <tr r="P177" s="1"/>
      </tp>
      <tp>
        <v>-36.944735991503698</v>
        <stp/>
        <stp>EM_S_VAL_PCF_NCFTTM</stp>
        <stp>2</stp>
        <stp>002676</stp>
        <stp>12/31/2018</stp>
        <tr r="P1749" s="1"/>
      </tp>
      <tp>
        <v>13.416137431389201</v>
        <stp/>
        <stp>EM_S_VAL_PCF_NCFTTM</stp>
        <stp>2</stp>
        <stp>002677</stp>
        <stp>12/31/2018</stp>
        <tr r="P839" s="1"/>
      </tp>
      <tp>
        <v>-25.1053125502266</v>
        <stp/>
        <stp>EM_S_VAL_PCF_NCFTTM</stp>
        <stp>2</stp>
        <stp>002670</stp>
        <stp>12/31/2018</stp>
        <tr r="P1233" s="1"/>
      </tp>
      <tp>
        <v>-20.411284578303398</v>
        <stp/>
        <stp>EM_S_VAL_PCF_NCFTTM</stp>
        <stp>2</stp>
        <stp>002671</stp>
        <stp>12/31/2018</stp>
        <tr r="P1752" s="1"/>
      </tp>
      <tp>
        <v>106.588250901207</v>
        <stp/>
        <stp>EM_S_VAL_PCF_NCFTTM</stp>
        <stp>2</stp>
        <stp>002672</stp>
        <stp>12/31/2018</stp>
        <tr r="P3093" s="1"/>
      </tp>
      <tp>
        <v>-14.104967708630801</v>
        <stp/>
        <stp>EM_S_VAL_PCF_NCFTTM</stp>
        <stp>2</stp>
        <stp>002673</stp>
        <stp>12/31/2018</stp>
        <tr r="P998" s="1"/>
      </tp>
      <tp>
        <v>-9.4784019946999098</v>
        <stp/>
        <stp>EM_S_VAL_PCF_NCFTTM</stp>
        <stp>2</stp>
        <stp>002678</stp>
        <stp>12/31/2018</stp>
        <tr r="P697" s="1"/>
      </tp>
      <tp>
        <v>227.936395516234</v>
        <stp/>
        <stp>EM_S_VAL_PCF_NCFTTM</stp>
        <stp>2</stp>
        <stp>002679</stp>
        <stp>12/31/2018</stp>
        <tr r="P2584" s="1"/>
      </tp>
      <tp>
        <v>-178.99830732442399</v>
        <stp/>
        <stp>EM_S_VAL_PCF_NCFTTM</stp>
        <stp>2</stp>
        <stp>002184</stp>
        <stp>12/31/2018</stp>
        <tr r="P1608" s="1"/>
      </tp>
      <tp>
        <v>23.905993203691899</v>
        <stp/>
        <stp>EM_S_VAL_PCF_NCFTTM</stp>
        <stp>2</stp>
        <stp>002185</stp>
        <stp>12/31/2018</stp>
        <tr r="P243" s="1"/>
      </tp>
      <tp>
        <v>-42.044340170634896</v>
        <stp/>
        <stp>EM_S_VAL_PCF_NCFTTM</stp>
        <stp>2</stp>
        <stp>002186</stp>
        <stp>12/31/2018</stp>
        <tr r="P2772" s="1"/>
      </tp>
      <tp>
        <v>4.0820575469850704</v>
        <stp/>
        <stp>EM_S_VAL_PCF_NCFTTM</stp>
        <stp>2</stp>
        <stp>002187</stp>
        <stp>12/31/2018</stp>
        <tr r="P1956" s="1"/>
      </tp>
      <tp>
        <v>11.9933977208415</v>
        <stp/>
        <stp>EM_S_VAL_PCF_NCFTTM</stp>
        <stp>2</stp>
        <stp>002180</stp>
        <stp>12/31/2018</stp>
        <tr r="P700" s="1"/>
      </tp>
      <tp>
        <v>-24.956250428724399</v>
        <stp/>
        <stp>EM_S_VAL_PCF_NCFTTM</stp>
        <stp>2</stp>
        <stp>002181</stp>
        <stp>12/31/2018</stp>
        <tr r="P406" s="1"/>
      </tp>
      <tp>
        <v>-63.505833298443498</v>
        <stp/>
        <stp>EM_S_VAL_PCF_NCFTTM</stp>
        <stp>2</stp>
        <stp>002182</stp>
        <stp>12/31/2018</stp>
        <tr r="P558" s="1"/>
      </tp>
      <tp>
        <v>-131.23217472351701</v>
        <stp/>
        <stp>EM_S_VAL_PCF_NCFTTM</stp>
        <stp>2</stp>
        <stp>002183</stp>
        <stp>12/31/2018</stp>
        <tr r="P2949" s="1"/>
      </tp>
      <tp>
        <v>-64.045758067746107</v>
        <stp/>
        <stp>EM_S_VAL_PCF_NCFTTM</stp>
        <stp>2</stp>
        <stp>002188</stp>
        <stp>12/31/2018</stp>
        <tr r="P2426" s="1"/>
      </tp>
      <tp>
        <v>243.525015753312</v>
        <stp/>
        <stp>EM_S_VAL_PCF_NCFTTM</stp>
        <stp>2</stp>
        <stp>002189</stp>
        <stp>12/31/2018</stp>
        <tr r="P409" s="1"/>
      </tp>
      <tp>
        <v>-11.1661117998545</v>
        <stp/>
        <stp>EM_S_VAL_PCF_NCFTTM</stp>
        <stp>2</stp>
        <stp>002194</stp>
        <stp>12/31/2018</stp>
        <tr r="P48" s="1"/>
      </tp>
      <tp>
        <v>-18.228723193362601</v>
        <stp/>
        <stp>EM_S_VAL_PCF_NCFTTM</stp>
        <stp>2</stp>
        <stp>002195</stp>
        <stp>12/31/2018</stp>
        <tr r="P2857" s="1"/>
      </tp>
      <tp>
        <v>-172.42461196102801</v>
        <stp/>
        <stp>EM_S_VAL_PCF_NCFTTM</stp>
        <stp>2</stp>
        <stp>002196</stp>
        <stp>12/31/2018</stp>
        <tr r="P1966" s="1"/>
      </tp>
      <tp>
        <v>-10.7863361986758</v>
        <stp/>
        <stp>EM_S_VAL_PCF_NCFTTM</stp>
        <stp>2</stp>
        <stp>002197</stp>
        <stp>12/31/2018</stp>
        <tr r="P1474" s="1"/>
      </tp>
      <tp>
        <v>-45.790744230649999</v>
        <stp/>
        <stp>EM_S_VAL_PCF_NCFTTM</stp>
        <stp>2</stp>
        <stp>002190</stp>
        <stp>12/31/2018</stp>
        <tr r="P842" s="1"/>
      </tp>
      <tp>
        <v>51.205283081279802</v>
        <stp/>
        <stp>EM_S_VAL_PCF_NCFTTM</stp>
        <stp>2</stp>
        <stp>002191</stp>
        <stp>12/31/2018</stp>
        <tr r="P626" s="1"/>
      </tp>
      <tp>
        <v>148.30717674728601</v>
        <stp/>
        <stp>EM_S_VAL_PCF_NCFTTM</stp>
        <stp>2</stp>
        <stp>002192</stp>
        <stp>12/31/2018</stp>
        <tr r="P988" s="1"/>
      </tp>
      <tp>
        <v>-11.342330732502001</v>
        <stp/>
        <stp>EM_S_VAL_PCF_NCFTTM</stp>
        <stp>2</stp>
        <stp>002193</stp>
        <stp>12/31/2018</stp>
        <tr r="P2773" s="1"/>
      </tp>
      <tp>
        <v>87.009990979302003</v>
        <stp/>
        <stp>EM_S_VAL_PCF_NCFTTM</stp>
        <stp>2</stp>
        <stp>002198</stp>
        <stp>12/31/2018</stp>
        <tr r="P2082" s="1"/>
      </tp>
      <tp>
        <v>-70.900024068131202</v>
        <stp/>
        <stp>EM_S_VAL_PCF_NCFTTM</stp>
        <stp>2</stp>
        <stp>002199</stp>
        <stp>12/31/2018</stp>
        <tr r="P2124" s="1"/>
      </tp>
      <tp>
        <v>11.307697570992801</v>
        <stp/>
        <stp>EM_S_VAL_PCF_NCFTTM</stp>
        <stp>2</stp>
        <stp>002104</stp>
        <stp>12/31/2018</stp>
        <tr r="P962" s="1"/>
      </tp>
      <tp>
        <v>-46.2995568428776</v>
        <stp/>
        <stp>EM_S_VAL_PCF_NCFTTM</stp>
        <stp>2</stp>
        <stp>002105</stp>
        <stp>12/31/2018</stp>
        <tr r="P3636" s="1"/>
      </tp>
      <tp>
        <v>43.976305907586301</v>
        <stp/>
        <stp>EM_S_VAL_PCF_NCFTTM</stp>
        <stp>2</stp>
        <stp>002106</stp>
        <stp>12/31/2018</stp>
        <tr r="P474" s="1"/>
      </tp>
      <tp>
        <v>78.203064183028403</v>
        <stp/>
        <stp>EM_S_VAL_PCF_NCFTTM</stp>
        <stp>2</stp>
        <stp>002107</stp>
        <stp>12/31/2018</stp>
        <tr r="P1136" s="1"/>
      </tp>
      <tp>
        <v>4.1196893401453698</v>
        <stp/>
        <stp>EM_S_VAL_PCF_NCFTTM</stp>
        <stp>2</stp>
        <stp>002100</stp>
        <stp>12/31/2018</stp>
        <tr r="P54" s="1"/>
      </tp>
      <tp>
        <v>-35.824439486918401</v>
        <stp/>
        <stp>EM_S_VAL_PCF_NCFTTM</stp>
        <stp>2</stp>
        <stp>002101</stp>
        <stp>12/31/2018</stp>
        <tr r="P2834" s="1"/>
      </tp>
      <tp>
        <v>13.847536560419799</v>
        <stp/>
        <stp>EM_S_VAL_PCF_NCFTTM</stp>
        <stp>2</stp>
        <stp>002102</stp>
        <stp>12/31/2018</stp>
        <tr r="P3634" s="1"/>
      </tp>
      <tp>
        <v>51.397974668024702</v>
        <stp/>
        <stp>EM_S_VAL_PCF_NCFTTM</stp>
        <stp>2</stp>
        <stp>002103</stp>
        <stp>12/31/2018</stp>
        <tr r="P3635" s="1"/>
      </tp>
      <tp>
        <v>-978.05507861480396</v>
        <stp/>
        <stp>EM_S_VAL_PCF_NCFTTM</stp>
        <stp>2</stp>
        <stp>002108</stp>
        <stp>12/31/2018</stp>
        <tr r="P3637" s="1"/>
      </tp>
      <tp>
        <v>36.398343503580499</v>
        <stp/>
        <stp>EM_S_VAL_PCF_NCFTTM</stp>
        <stp>2</stp>
        <stp>002109</stp>
        <stp>12/31/2018</stp>
        <tr r="P2560" s="1"/>
      </tp>
      <tp>
        <v>-16.1578143333338</v>
        <stp/>
        <stp>EM_S_VAL_PCF_NCFTTM</stp>
        <stp>2</stp>
        <stp>002114</stp>
        <stp>12/31/2018</stp>
        <tr r="P3638" s="1"/>
      </tp>
      <tp>
        <v>50.738321598120997</v>
        <stp/>
        <stp>EM_S_VAL_PCF_NCFTTM</stp>
        <stp>2</stp>
        <stp>002115</stp>
        <stp>12/31/2018</stp>
        <tr r="P2756" s="1"/>
      </tp>
      <tp>
        <v>370.12730106847403</v>
        <stp/>
        <stp>EM_S_VAL_PCF_NCFTTM</stp>
        <stp>2</stp>
        <stp>002116</stp>
        <stp>12/31/2018</stp>
        <tr r="P1546" s="1"/>
      </tp>
      <tp>
        <v>26.829401034968399</v>
        <stp/>
        <stp>EM_S_VAL_PCF_NCFTTM</stp>
        <stp>2</stp>
        <stp>002117</stp>
        <stp>12/31/2018</stp>
        <tr r="P2798" s="1"/>
      </tp>
      <tp>
        <v>23.524468569166402</v>
        <stp/>
        <stp>EM_S_VAL_PCF_NCFTTM</stp>
        <stp>2</stp>
        <stp>002110</stp>
        <stp>12/31/2018</stp>
        <tr r="P3202" s="1"/>
      </tp>
      <tp>
        <v>-31.933423408138299</v>
        <stp/>
        <stp>EM_S_VAL_PCF_NCFTTM</stp>
        <stp>2</stp>
        <stp>002111</stp>
        <stp>12/31/2018</stp>
        <tr r="P421" s="1"/>
      </tp>
      <tp>
        <v>-268.27145440444201</v>
        <stp/>
        <stp>EM_S_VAL_PCF_NCFTTM</stp>
        <stp>2</stp>
        <stp>002112</stp>
        <stp>12/31/2018</stp>
        <tr r="P2156" s="1"/>
      </tp>
      <tp>
        <v>-51.690466071885702</v>
        <stp/>
        <stp>EM_S_VAL_PCF_NCFTTM</stp>
        <stp>2</stp>
        <stp>002113</stp>
        <stp>12/31/2018</stp>
        <tr r="P3352" s="1"/>
      </tp>
      <tp>
        <v>60.440793093549999</v>
        <stp/>
        <stp>EM_S_VAL_PCF_NCFTTM</stp>
        <stp>2</stp>
        <stp>002118</stp>
        <stp>12/31/2018</stp>
        <tr r="P754" s="1"/>
      </tp>
      <tp>
        <v>66.8337395523602</v>
        <stp/>
        <stp>EM_S_VAL_PCF_NCFTTM</stp>
        <stp>2</stp>
        <stp>002119</stp>
        <stp>12/31/2018</stp>
        <tr r="P493" s="1"/>
      </tp>
      <tp>
        <v>-44.996076903167499</v>
        <stp/>
        <stp>EM_S_VAL_PCF_NCFTTM</stp>
        <stp>2</stp>
        <stp>002124</stp>
        <stp>12/31/2018</stp>
        <tr r="P3641" s="1"/>
      </tp>
      <tp>
        <v>10.536913766146901</v>
        <stp/>
        <stp>EM_S_VAL_PCF_NCFTTM</stp>
        <stp>2</stp>
        <stp>002125</stp>
        <stp>12/31/2018</stp>
        <tr r="P3120" s="1"/>
      </tp>
      <tp>
        <v>43.958935282128898</v>
        <stp/>
        <stp>EM_S_VAL_PCF_NCFTTM</stp>
        <stp>2</stp>
        <stp>002126</stp>
        <stp>12/31/2018</stp>
        <tr r="P1836" s="1"/>
      </tp>
      <tp>
        <v>-60.8982364356198</v>
        <stp/>
        <stp>EM_S_VAL_PCF_NCFTTM</stp>
        <stp>2</stp>
        <stp>002127</stp>
        <stp>12/31/2018</stp>
        <tr r="P645" s="1"/>
      </tp>
      <tp>
        <v>45.012196926110001</v>
        <stp/>
        <stp>EM_S_VAL_PCF_NCFTTM</stp>
        <stp>2</stp>
        <stp>002120</stp>
        <stp>12/31/2018</stp>
        <tr r="P1786" s="1"/>
      </tp>
      <tp>
        <v>-24.768872382395401</v>
        <stp/>
        <stp>EM_S_VAL_PCF_NCFTTM</stp>
        <stp>2</stp>
        <stp>002121</stp>
        <stp>12/31/2018</stp>
        <tr r="P3639" s="1"/>
      </tp>
      <tp>
        <v>-2.1925597892905402</v>
        <stp/>
        <stp>EM_S_VAL_PCF_NCFTTM</stp>
        <stp>2</stp>
        <stp>002122</stp>
        <stp>12/31/2018</stp>
        <tr r="P3640" s="1"/>
      </tp>
      <tp>
        <v>-14.946248379583899</v>
        <stp/>
        <stp>EM_S_VAL_PCF_NCFTTM</stp>
        <stp>2</stp>
        <stp>002123</stp>
        <stp>12/31/2018</stp>
        <tr r="P78" s="1"/>
      </tp>
      <tp>
        <v>11.2496865345732</v>
        <stp/>
        <stp>EM_S_VAL_PCF_NCFTTM</stp>
        <stp>2</stp>
        <stp>002128</stp>
        <stp>12/31/2018</stp>
        <tr r="P1209" s="1"/>
      </tp>
      <tp>
        <v>-30.2736998996978</v>
        <stp/>
        <stp>EM_S_VAL_PCF_NCFTTM</stp>
        <stp>2</stp>
        <stp>002129</stp>
        <stp>12/31/2018</stp>
        <tr r="P384" s="1"/>
      </tp>
      <tp>
        <v>-47.7792639121135</v>
        <stp/>
        <stp>EM_S_VAL_PCF_NCFTTM</stp>
        <stp>2</stp>
        <stp>002134</stp>
        <stp>12/31/2018</stp>
        <tr r="P424" s="1"/>
      </tp>
      <tp>
        <v>-9.7080190581620496</v>
        <stp/>
        <stp>EM_S_VAL_PCF_NCFTTM</stp>
        <stp>2</stp>
        <stp>002135</stp>
        <stp>12/31/2018</stp>
        <tr r="P1756" s="1"/>
      </tp>
      <tp>
        <v>588.54312505546102</v>
        <stp/>
        <stp>EM_S_VAL_PCF_NCFTTM</stp>
        <stp>2</stp>
        <stp>002136</stp>
        <stp>12/31/2018</stp>
        <tr r="P2611" s="1"/>
      </tp>
      <tp>
        <v>-987.39256691967296</v>
        <stp/>
        <stp>EM_S_VAL_PCF_NCFTTM</stp>
        <stp>2</stp>
        <stp>002137</stp>
        <stp>12/31/2018</stp>
        <tr r="P1770" s="1"/>
      </tp>
      <tp>
        <v>-34.959916703964602</v>
        <stp/>
        <stp>EM_S_VAL_PCF_NCFTTM</stp>
        <stp>2</stp>
        <stp>002130</stp>
        <stp>12/31/2018</stp>
        <tr r="P517" s="1"/>
      </tp>
      <tp>
        <v>8.1538326561685803</v>
        <stp/>
        <stp>EM_S_VAL_PCF_NCFTTM</stp>
        <stp>2</stp>
        <stp>002131</stp>
        <stp>12/31/2018</stp>
        <tr r="P178" s="1"/>
      </tp>
      <tp>
        <v>-10.633719628383799</v>
        <stp/>
        <stp>EM_S_VAL_PCF_NCFTTM</stp>
        <stp>2</stp>
        <stp>002132</stp>
        <stp>12/31/2018</stp>
        <tr r="P1461" s="1"/>
      </tp>
      <tp>
        <v>6.24552787364469</v>
        <stp/>
        <stp>EM_S_VAL_PCF_NCFTTM</stp>
        <stp>2</stp>
        <stp>002133</stp>
        <stp>12/31/2018</stp>
        <tr r="P2546" s="1"/>
      </tp>
      <tp>
        <v>647.63641899492097</v>
        <stp/>
        <stp>EM_S_VAL_PCF_NCFTTM</stp>
        <stp>2</stp>
        <stp>002138</stp>
        <stp>12/31/2018</stp>
        <tr r="P329" s="1"/>
      </tp>
      <tp>
        <v>51.006900088058799</v>
        <stp/>
        <stp>EM_S_VAL_PCF_NCFTTM</stp>
        <stp>2</stp>
        <stp>002139</stp>
        <stp>12/31/2018</stp>
        <tr r="P684" s="1"/>
      </tp>
      <tp>
        <v>73.017036040478004</v>
        <stp/>
        <stp>EM_S_VAL_PCF_NCFTTM</stp>
        <stp>2</stp>
        <stp>002144</stp>
        <stp>12/31/2018</stp>
        <tr r="P2202" s="1"/>
      </tp>
      <tp>
        <v>-29.3832549014266</v>
        <stp/>
        <stp>EM_S_VAL_PCF_NCFTTM</stp>
        <stp>2</stp>
        <stp>002145</stp>
        <stp>12/31/2018</stp>
        <tr r="P805" s="1"/>
      </tp>
      <tp>
        <v>4.4327346616236198</v>
        <stp/>
        <stp>EM_S_VAL_PCF_NCFTTM</stp>
        <stp>2</stp>
        <stp>002146</stp>
        <stp>12/31/2018</stp>
        <tr r="P1173" s="1"/>
      </tp>
      <tp>
        <v>-30.008339805055002</v>
        <stp/>
        <stp>EM_S_VAL_PCF_NCFTTM</stp>
        <stp>2</stp>
        <stp>002147</stp>
        <stp>12/31/2018</stp>
        <tr r="P3244" s="1"/>
      </tp>
      <tp>
        <v>-5.5554175183147603</v>
        <stp/>
        <stp>EM_S_VAL_PCF_NCFTTM</stp>
        <stp>2</stp>
        <stp>002140</stp>
        <stp>12/31/2018</stp>
        <tr r="P1194" s="1"/>
      </tp>
      <tp>
        <v>-92.372294096654102</v>
        <stp/>
        <stp>EM_S_VAL_PCF_NCFTTM</stp>
        <stp>2</stp>
        <stp>002141</stp>
        <stp>12/31/2018</stp>
        <tr r="P2946" s="1"/>
      </tp>
      <tp>
        <v>-32.694723601349402</v>
        <stp/>
        <stp>EM_S_VAL_PCF_NCFTTM</stp>
        <stp>2</stp>
        <stp>002142</stp>
        <stp>12/31/2018</stp>
        <tr r="P303" s="1"/>
      </tp>
      <tp>
        <v>-15.5126181348357</v>
        <stp/>
        <stp>EM_S_VAL_PCF_NCFTTM</stp>
        <stp>2</stp>
        <stp>002143</stp>
        <stp>12/31/2018</stp>
        <tr r="P3411" s="1"/>
      </tp>
      <tp>
        <v>-49.3367188017885</v>
        <stp/>
        <stp>EM_S_VAL_PCF_NCFTTM</stp>
        <stp>2</stp>
        <stp>002148</stp>
        <stp>12/31/2018</stp>
        <tr r="P2885" s="1"/>
      </tp>
      <tp>
        <v>-32.357415677165797</v>
        <stp/>
        <stp>EM_S_VAL_PCF_NCFTTM</stp>
        <stp>2</stp>
        <stp>002149</stp>
        <stp>12/31/2018</stp>
        <tr r="P618" s="1"/>
      </tp>
      <tp>
        <v>74.352678020368103</v>
        <stp/>
        <stp>EM_S_VAL_PCF_NCFTTM</stp>
        <stp>2</stp>
        <stp>002154</stp>
        <stp>12/31/2018</stp>
        <tr r="P1861" s="1"/>
      </tp>
      <tp>
        <v>-21.977054108111101</v>
        <stp/>
        <stp>EM_S_VAL_PCF_NCFTTM</stp>
        <stp>2</stp>
        <stp>002155</stp>
        <stp>12/31/2018</stp>
        <tr r="P2369" s="1"/>
      </tp>
      <tp>
        <v>13541.6622328911</v>
        <stp/>
        <stp>EM_S_VAL_PCF_NCFTTM</stp>
        <stp>2</stp>
        <stp>002156</stp>
        <stp>12/31/2018</stp>
        <tr r="P102" s="1"/>
      </tp>
      <tp>
        <v>-31.143107262521401</v>
        <stp/>
        <stp>EM_S_VAL_PCF_NCFTTM</stp>
        <stp>2</stp>
        <stp>002157</stp>
        <stp>12/31/2018</stp>
        <tr r="P45" s="1"/>
      </tp>
      <tp>
        <v>13.3969244206495</v>
        <stp/>
        <stp>EM_S_VAL_PCF_NCFTTM</stp>
        <stp>2</stp>
        <stp>002150</stp>
        <stp>12/31/2018</stp>
        <tr r="P1664" s="1"/>
      </tp>
      <tp>
        <v>19.1273543249483</v>
        <stp/>
        <stp>EM_S_VAL_PCF_NCFTTM</stp>
        <stp>2</stp>
        <stp>002151</stp>
        <stp>12/31/2018</stp>
        <tr r="P1237" s="1"/>
      </tp>
      <tp>
        <v>-31.3727513129509</v>
        <stp/>
        <stp>EM_S_VAL_PCF_NCFTTM</stp>
        <stp>2</stp>
        <stp>002152</stp>
        <stp>12/31/2018</stp>
        <tr r="P279" s="1"/>
      </tp>
      <tp>
        <v>8.3488348757003195</v>
        <stp/>
        <stp>EM_S_VAL_PCF_NCFTTM</stp>
        <stp>2</stp>
        <stp>002153</stp>
        <stp>12/31/2018</stp>
        <tr r="P541" s="1"/>
      </tp>
      <tp>
        <v>-86.859380841790099</v>
        <stp/>
        <stp>EM_S_VAL_PCF_NCFTTM</stp>
        <stp>2</stp>
        <stp>002158</stp>
        <stp>12/31/2018</stp>
        <tr r="P1124" s="1"/>
      </tp>
      <tp>
        <v>9.5681147700383509</v>
        <stp/>
        <stp>EM_S_VAL_PCF_NCFTTM</stp>
        <stp>2</stp>
        <stp>002159</stp>
        <stp>12/31/2018</stp>
        <tr r="P3212" s="1"/>
      </tp>
      <tp>
        <v>-4.4420382511019598</v>
        <stp/>
        <stp>EM_S_VAL_PCF_NCFTTM</stp>
        <stp>2</stp>
        <stp>002164</stp>
        <stp>12/31/2018</stp>
        <tr r="P733" s="1"/>
      </tp>
      <tp>
        <v>12.3522379641283</v>
        <stp/>
        <stp>EM_S_VAL_PCF_NCFTTM</stp>
        <stp>2</stp>
        <stp>002165</stp>
        <stp>12/31/2018</stp>
        <tr r="P1121" s="1"/>
      </tp>
      <tp>
        <v>-70.791754765457497</v>
        <stp/>
        <stp>EM_S_VAL_PCF_NCFTTM</stp>
        <stp>2</stp>
        <stp>002166</stp>
        <stp>12/31/2018</stp>
        <tr r="P1282" s="1"/>
      </tp>
      <tp>
        <v>-14.0112240127565</v>
        <stp/>
        <stp>EM_S_VAL_PCF_NCFTTM</stp>
        <stp>2</stp>
        <stp>002167</stp>
        <stp>12/31/2018</stp>
        <tr r="P860" s="1"/>
      </tp>
      <tp>
        <v>28.017375590589801</v>
        <stp/>
        <stp>EM_S_VAL_PCF_NCFTTM</stp>
        <stp>2</stp>
        <stp>002160</stp>
        <stp>12/31/2018</stp>
        <tr r="P3009" s="1"/>
      </tp>
      <tp>
        <v>-131.37136181119101</v>
        <stp/>
        <stp>EM_S_VAL_PCF_NCFTTM</stp>
        <stp>2</stp>
        <stp>002161</stp>
        <stp>12/31/2018</stp>
        <tr r="P278" s="1"/>
      </tp>
      <tp>
        <v>-30.881047889115202</v>
        <stp/>
        <stp>EM_S_VAL_PCF_NCFTTM</stp>
        <stp>2</stp>
        <stp>002162</stp>
        <stp>12/31/2018</stp>
        <tr r="P1080" s="1"/>
      </tp>
      <tp>
        <v>-44.818932184953297</v>
        <stp/>
        <stp>EM_S_VAL_PCF_NCFTTM</stp>
        <stp>2</stp>
        <stp>002163</stp>
        <stp>12/31/2018</stp>
        <tr r="P1572" s="1"/>
      </tp>
      <tp>
        <v>19.9383112776801</v>
        <stp/>
        <stp>EM_S_VAL_PCF_NCFTTM</stp>
        <stp>2</stp>
        <stp>002168</stp>
        <stp>12/31/2018</stp>
        <tr r="P3021" s="1"/>
      </tp>
      <tp>
        <v>19.316062898448301</v>
        <stp/>
        <stp>EM_S_VAL_PCF_NCFTTM</stp>
        <stp>2</stp>
        <stp>002169</stp>
        <stp>12/31/2018</stp>
        <tr r="P182" s="1"/>
      </tp>
      <tp>
        <v>-129.66725132228001</v>
        <stp/>
        <stp>EM_S_VAL_PCF_NCFTTM</stp>
        <stp>2</stp>
        <stp>002174</stp>
        <stp>12/31/2018</stp>
        <tr r="P1138" s="1"/>
      </tp>
      <tp>
        <v>-21.177320097319999</v>
        <stp/>
        <stp>EM_S_VAL_PCF_NCFTTM</stp>
        <stp>2</stp>
        <stp>002175</stp>
        <stp>12/31/2018</stp>
        <tr r="P3335" s="1"/>
      </tp>
      <tp>
        <v>839.72896389537402</v>
        <stp/>
        <stp>EM_S_VAL_PCF_NCFTTM</stp>
        <stp>2</stp>
        <stp>002176</stp>
        <stp>12/31/2018</stp>
        <tr r="P3286" s="1"/>
      </tp>
      <tp>
        <v>13.319372862466</v>
        <stp/>
        <stp>EM_S_VAL_PCF_NCFTTM</stp>
        <stp>2</stp>
        <stp>002177</stp>
        <stp>12/31/2018</stp>
        <tr r="P284" s="1"/>
      </tp>
      <tp>
        <v>-5.1212784801560298</v>
        <stp/>
        <stp>EM_S_VAL_PCF_NCFTTM</stp>
        <stp>2</stp>
        <stp>002170</stp>
        <stp>12/31/2018</stp>
        <tr r="P1698" s="1"/>
      </tp>
      <tp>
        <v>17.019319940857201</v>
        <stp/>
        <stp>EM_S_VAL_PCF_NCFTTM</stp>
        <stp>2</stp>
        <stp>002171</stp>
        <stp>12/31/2018</stp>
        <tr r="P435" s="1"/>
      </tp>
      <tp>
        <v>10.922105543272099</v>
        <stp/>
        <stp>EM_S_VAL_PCF_NCFTTM</stp>
        <stp>2</stp>
        <stp>002172</stp>
        <stp>12/31/2018</stp>
        <tr r="P2424" s="1"/>
      </tp>
      <tp>
        <v>-239.86182073886599</v>
        <stp/>
        <stp>EM_S_VAL_PCF_NCFTTM</stp>
        <stp>2</stp>
        <stp>002173</stp>
        <stp>12/31/2018</stp>
        <tr r="P2881" s="1"/>
      </tp>
      <tp>
        <v>359.17070523492799</v>
        <stp/>
        <stp>EM_S_VAL_PCF_NCFTTM</stp>
        <stp>2</stp>
        <stp>002178</stp>
        <stp>12/31/2018</stp>
        <tr r="P1588" s="1"/>
      </tp>
      <tp>
        <v>-693.28332168147199</v>
        <stp/>
        <stp>EM_S_VAL_PCF_NCFTTM</stp>
        <stp>2</stp>
        <stp>002179</stp>
        <stp>12/31/2018</stp>
        <tr r="P1453" s="1"/>
      </tp>
      <tp>
        <v>10.4530480705107</v>
        <stp/>
        <stp>EM_S_VAL_PCF_NCFTTM</stp>
        <stp>2</stp>
        <stp>002084</stp>
        <stp>12/31/2018</stp>
        <tr r="P346" s="1"/>
      </tp>
      <tp>
        <v>9376.9165136001702</v>
        <stp/>
        <stp>EM_S_VAL_PCF_NCFTTM</stp>
        <stp>2</stp>
        <stp>002085</stp>
        <stp>12/31/2018</stp>
        <tr r="P2749" s="1"/>
      </tp>
      <tp>
        <v>7.5698153380746103</v>
        <stp/>
        <stp>EM_S_VAL_PCF_NCFTTM</stp>
        <stp>2</stp>
        <stp>002086</stp>
        <stp>12/31/2018</stp>
        <tr r="P3629" s="1"/>
      </tp>
      <tp>
        <v>-3.28497631319898</v>
        <stp/>
        <stp>EM_S_VAL_PCF_NCFTTM</stp>
        <stp>2</stp>
        <stp>002087</stp>
        <stp>12/31/2018</stp>
        <tr r="P2227" s="1"/>
      </tp>
      <tp>
        <v>-185.03078359535499</v>
        <stp/>
        <stp>EM_S_VAL_PCF_NCFTTM</stp>
        <stp>2</stp>
        <stp>002080</stp>
        <stp>12/31/2018</stp>
        <tr r="P599" s="1"/>
      </tp>
      <tp>
        <v>-51.007003876237</v>
        <stp/>
        <stp>EM_S_VAL_PCF_NCFTTM</stp>
        <stp>2</stp>
        <stp>002081</stp>
        <stp>12/31/2018</stp>
        <tr r="P1856" s="1"/>
      </tp>
      <tp>
        <v>-12.5429329742555</v>
        <stp/>
        <stp>EM_S_VAL_PCF_NCFTTM</stp>
        <stp>2</stp>
        <stp>002082</stp>
        <stp>12/31/2018</stp>
        <tr r="P3628" s="1"/>
      </tp>
      <tp>
        <v>106.239267698706</v>
        <stp/>
        <stp>EM_S_VAL_PCF_NCFTTM</stp>
        <stp>2</stp>
        <stp>002083</stp>
        <stp>12/31/2018</stp>
        <tr r="P1111" s="1"/>
      </tp>
      <tp>
        <v>88.866608977633007</v>
        <stp/>
        <stp>EM_S_VAL_PCF_NCFTTM</stp>
        <stp>2</stp>
        <stp>002088</stp>
        <stp>12/31/2018</stp>
        <tr r="P1065" s="1"/>
      </tp>
      <tp>
        <v>-94.690953130190195</v>
        <stp/>
        <stp>EM_S_VAL_PCF_NCFTTM</stp>
        <stp>2</stp>
        <stp>002089</stp>
        <stp>12/31/2018</stp>
        <tr r="P3630" s="1"/>
      </tp>
      <tp>
        <v>12.363476628733</v>
        <stp/>
        <stp>EM_S_VAL_PCF_NCFTTM</stp>
        <stp>2</stp>
        <stp>002094</stp>
        <stp>12/31/2018</stp>
        <tr r="P2354" s="1"/>
      </tp>
      <tp>
        <v>-380.10899909757501</v>
        <stp/>
        <stp>EM_S_VAL_PCF_NCFTTM</stp>
        <stp>2</stp>
        <stp>002095</stp>
        <stp>12/31/2018</stp>
        <tr r="P1584" s="1"/>
      </tp>
      <tp>
        <v>-22.507106195313401</v>
        <stp/>
        <stp>EM_S_VAL_PCF_NCFTTM</stp>
        <stp>2</stp>
        <stp>002096</stp>
        <stp>12/31/2018</stp>
        <tr r="P3632" s="1"/>
      </tp>
      <tp>
        <v>-3.8000537417245899</v>
        <stp/>
        <stp>EM_S_VAL_PCF_NCFTTM</stp>
        <stp>2</stp>
        <stp>002097</stp>
        <stp>12/31/2018</stp>
        <tr r="P1946" s="1"/>
      </tp>
      <tp>
        <v>-15.102940416041999</v>
        <stp/>
        <stp>EM_S_VAL_PCF_NCFTTM</stp>
        <stp>2</stp>
        <stp>002090</stp>
        <stp>12/31/2018</stp>
        <tr r="P3281" s="1"/>
      </tp>
      <tp>
        <v>-38.733516777445899</v>
        <stp/>
        <stp>EM_S_VAL_PCF_NCFTTM</stp>
        <stp>2</stp>
        <stp>002091</stp>
        <stp>12/31/2018</stp>
        <tr r="P1200" s="1"/>
      </tp>
      <tp>
        <v>7.9143985366589398</v>
        <stp/>
        <stp>EM_S_VAL_PCF_NCFTTM</stp>
        <stp>2</stp>
        <stp>002092</stp>
        <stp>12/31/2018</stp>
        <tr r="P2499" s="1"/>
      </tp>
      <tp>
        <v>-4318.8472277934698</v>
        <stp/>
        <stp>EM_S_VAL_PCF_NCFTTM</stp>
        <stp>2</stp>
        <stp>002093</stp>
        <stp>12/31/2018</stp>
        <tr r="P3631" s="1"/>
      </tp>
      <tp>
        <v>-30.536824084132999</v>
        <stp/>
        <stp>EM_S_VAL_PCF_NCFTTM</stp>
        <stp>2</stp>
        <stp>002098</stp>
        <stp>12/31/2018</stp>
        <tr r="P3633" s="1"/>
      </tp>
      <tp>
        <v>-10.356671285403699</v>
        <stp/>
        <stp>EM_S_VAL_PCF_NCFTTM</stp>
        <stp>2</stp>
        <stp>002099</stp>
        <stp>12/31/2018</stp>
        <tr r="P498" s="1"/>
      </tp>
      <tp>
        <v>41.077281097751502</v>
        <stp/>
        <stp>EM_S_VAL_PCF_NCFTTM</stp>
        <stp>2</stp>
        <stp>002004</stp>
        <stp>12/31/2018</stp>
        <tr r="P1958" s="1"/>
      </tp>
      <tp>
        <v>-7.27224024529652</v>
        <stp/>
        <stp>EM_S_VAL_PCF_NCFTTM</stp>
        <stp>2</stp>
        <stp>002005</stp>
        <stp>12/31/2018</stp>
        <tr r="P3604" s="1"/>
      </tp>
      <tp>
        <v>35.971928757983498</v>
        <stp/>
        <stp>EM_S_VAL_PCF_NCFTTM</stp>
        <stp>2</stp>
        <stp>002006</stp>
        <stp>12/31/2018</stp>
        <tr r="P2930" s="1"/>
      </tp>
      <tp>
        <v>-1081.1922001436101</v>
        <stp/>
        <stp>EM_S_VAL_PCF_NCFTTM</stp>
        <stp>2</stp>
        <stp>002007</stp>
        <stp>12/31/2018</stp>
        <tr r="P2145" s="1"/>
      </tp>
      <tp>
        <v>2062.2093577388</v>
        <stp/>
        <stp>EM_S_VAL_PCF_NCFTTM</stp>
        <stp>2</stp>
        <stp>002001</stp>
        <stp>12/31/2018</stp>
        <tr r="P565" s="1"/>
      </tp>
      <tp>
        <v>-12.5427619323317</v>
        <stp/>
        <stp>EM_S_VAL_PCF_NCFTTM</stp>
        <stp>2</stp>
        <stp>002002</stp>
        <stp>12/31/2018</stp>
        <tr r="P3603" s="1"/>
      </tp>
      <tp>
        <v>77.410636048661402</v>
        <stp/>
        <stp>EM_S_VAL_PCF_NCFTTM</stp>
        <stp>2</stp>
        <stp>002003</stp>
        <stp>12/31/2018</stp>
        <tr r="P2851" s="1"/>
      </tp>
      <tp>
        <v>53.658175306504802</v>
        <stp/>
        <stp>EM_S_VAL_PCF_NCFTTM</stp>
        <stp>2</stp>
        <stp>002008</stp>
        <stp>12/31/2018</stp>
        <tr r="P3605" s="1"/>
      </tp>
      <tp>
        <v>17.112812911307099</v>
        <stp/>
        <stp>EM_S_VAL_PCF_NCFTTM</stp>
        <stp>2</stp>
        <stp>002009</stp>
        <stp>12/31/2018</stp>
        <tr r="P2192" s="1"/>
      </tp>
      <tp>
        <v>18.881893739073799</v>
        <stp/>
        <stp>EM_S_VAL_PCF_NCFTTM</stp>
        <stp>2</stp>
        <stp>002014</stp>
        <stp>12/31/2018</stp>
        <tr r="P643" s="1"/>
      </tp>
      <tp>
        <v>8.1602417361187491</v>
        <stp/>
        <stp>EM_S_VAL_PCF_NCFTTM</stp>
        <stp>2</stp>
        <stp>002015</stp>
        <stp>12/31/2018</stp>
        <tr r="P1673" s="1"/>
      </tp>
      <tp>
        <v>-13.444798362514099</v>
        <stp/>
        <stp>EM_S_VAL_PCF_NCFTTM</stp>
        <stp>2</stp>
        <stp>002016</stp>
        <stp>12/31/2018</stp>
        <tr r="P2526" s="1"/>
      </tp>
      <tp>
        <v>26.731216651873002</v>
        <stp/>
        <stp>EM_S_VAL_PCF_NCFTTM</stp>
        <stp>2</stp>
        <stp>002017</stp>
        <stp>12/31/2018</stp>
        <tr r="P3607" s="1"/>
      </tp>
      <tp>
        <v>34.332013389582499</v>
        <stp/>
        <stp>EM_S_VAL_PCF_NCFTTM</stp>
        <stp>2</stp>
        <stp>002010</stp>
        <stp>12/31/2018</stp>
        <tr r="P1950" s="1"/>
      </tp>
      <tp>
        <v>-83.126950561527295</v>
        <stp/>
        <stp>EM_S_VAL_PCF_NCFTTM</stp>
        <stp>2</stp>
        <stp>002011</stp>
        <stp>12/31/2018</stp>
        <tr r="P3606" s="1"/>
      </tp>
      <tp>
        <v>-83.044389048039804</v>
        <stp/>
        <stp>EM_S_VAL_PCF_NCFTTM</stp>
        <stp>2</stp>
        <stp>002012</stp>
        <stp>12/31/2018</stp>
        <tr r="P608" s="1"/>
      </tp>
      <tp>
        <v>10.955740193606999</v>
        <stp/>
        <stp>EM_S_VAL_PCF_NCFTTM</stp>
        <stp>2</stp>
        <stp>002013</stp>
        <stp>12/31/2018</stp>
        <tr r="P1925" s="1"/>
      </tp>
      <tp>
        <v>-27.246244851318199</v>
        <stp/>
        <stp>EM_S_VAL_PCF_NCFTTM</stp>
        <stp>2</stp>
        <stp>002018</stp>
        <stp>12/31/2018</stp>
        <tr r="P3608" s="1"/>
      </tp>
      <tp>
        <v>-146.39986650763399</v>
        <stp/>
        <stp>EM_S_VAL_PCF_NCFTTM</stp>
        <stp>2</stp>
        <stp>002019</stp>
        <stp>12/31/2018</stp>
        <tr r="P581" s="1"/>
      </tp>
      <tp>
        <v>62.079283865452801</v>
        <stp/>
        <stp>EM_S_VAL_PCF_NCFTTM</stp>
        <stp>2</stp>
        <stp>002024</stp>
        <stp>12/31/2018</stp>
        <tr r="P2136" s="1"/>
      </tp>
      <tp>
        <v>-44.651133218151898</v>
        <stp/>
        <stp>EM_S_VAL_PCF_NCFTTM</stp>
        <stp>2</stp>
        <stp>002025</stp>
        <stp>12/31/2018</stp>
        <tr r="P1156" s="1"/>
      </tp>
      <tp>
        <v>-57.326089545174497</v>
        <stp/>
        <stp>EM_S_VAL_PCF_NCFTTM</stp>
        <stp>2</stp>
        <stp>002026</stp>
        <stp>12/31/2018</stp>
        <tr r="P2623" s="1"/>
      </tp>
      <tp>
        <v>-114.11330132030299</v>
        <stp/>
        <stp>EM_S_VAL_PCF_NCFTTM</stp>
        <stp>2</stp>
        <stp>002027</stp>
        <stp>12/31/2018</stp>
        <tr r="P1266" s="1"/>
      </tp>
      <tp>
        <v>40.080726436946001</v>
        <stp/>
        <stp>EM_S_VAL_PCF_NCFTTM</stp>
        <stp>2</stp>
        <stp>002020</stp>
        <stp>12/31/2018</stp>
        <tr r="P1187" s="1"/>
      </tp>
      <tp>
        <v>-21.230226624455302</v>
        <stp/>
        <stp>EM_S_VAL_PCF_NCFTTM</stp>
        <stp>2</stp>
        <stp>002021</stp>
        <stp>12/31/2018</stp>
        <tr r="P3609" s="1"/>
      </tp>
      <tp>
        <v>-21.2275214759925</v>
        <stp/>
        <stp>EM_S_VAL_PCF_NCFTTM</stp>
        <stp>2</stp>
        <stp>002022</stp>
        <stp>12/31/2018</stp>
        <tr r="P1340" s="1"/>
      </tp>
      <tp>
        <v>-55.873909160908298</v>
        <stp/>
        <stp>EM_S_VAL_PCF_NCFTTM</stp>
        <stp>2</stp>
        <stp>002023</stp>
        <stp>12/31/2018</stp>
        <tr r="P1575" s="1"/>
      </tp>
      <tp>
        <v>-85.435495218381305</v>
        <stp/>
        <stp>EM_S_VAL_PCF_NCFTTM</stp>
        <stp>2</stp>
        <stp>002028</stp>
        <stp>12/31/2018</stp>
        <tr r="P743" s="1"/>
      </tp>
      <tp>
        <v>12.0671206849036</v>
        <stp/>
        <stp>EM_S_VAL_PCF_NCFTTM</stp>
        <stp>2</stp>
        <stp>002029</stp>
        <stp>12/31/2018</stp>
        <tr r="P2562" s="1"/>
      </tp>
      <tp>
        <v>14.1001685097332</v>
        <stp/>
        <stp>EM_S_VAL_PCF_NCFTTM</stp>
        <stp>2</stp>
        <stp>002034</stp>
        <stp>12/31/2018</stp>
        <tr r="P3612" s="1"/>
      </tp>
      <tp>
        <v>10.185693928744501</v>
        <stp/>
        <stp>EM_S_VAL_PCF_NCFTTM</stp>
        <stp>2</stp>
        <stp>002035</stp>
        <stp>12/31/2018</stp>
        <tr r="P527" s="1"/>
      </tp>
      <tp>
        <v>48.698253438740302</v>
        <stp/>
        <stp>EM_S_VAL_PCF_NCFTTM</stp>
        <stp>2</stp>
        <stp>002036</stp>
        <stp>12/31/2018</stp>
        <tr r="P3613" s="1"/>
      </tp>
      <tp>
        <v>-81.603813580166999</v>
        <stp/>
        <stp>EM_S_VAL_PCF_NCFTTM</stp>
        <stp>2</stp>
        <stp>002037</stp>
        <stp>12/31/2018</stp>
        <tr r="P2964" s="1"/>
      </tp>
      <tp>
        <v>783.97258605406398</v>
        <stp/>
        <stp>EM_S_VAL_PCF_NCFTTM</stp>
        <stp>2</stp>
        <stp>002030</stp>
        <stp>12/31/2018</stp>
        <tr r="P3610" s="1"/>
      </tp>
      <tp>
        <v>21.816827077402699</v>
        <stp/>
        <stp>EM_S_VAL_PCF_NCFTTM</stp>
        <stp>2</stp>
        <stp>002031</stp>
        <stp>12/31/2018</stp>
        <tr r="P1994" s="1"/>
      </tp>
      <tp>
        <v>-95.202524868279994</v>
        <stp/>
        <stp>EM_S_VAL_PCF_NCFTTM</stp>
        <stp>2</stp>
        <stp>002032</stp>
        <stp>12/31/2018</stp>
        <tr r="P638" s="1"/>
      </tp>
      <tp>
        <v>-69.383451714348396</v>
        <stp/>
        <stp>EM_S_VAL_PCF_NCFTTM</stp>
        <stp>2</stp>
        <stp>002033</stp>
        <stp>12/31/2018</stp>
        <tr r="P3611" s="1"/>
      </tp>
      <tp>
        <v>329.46334436258701</v>
        <stp/>
        <stp>EM_S_VAL_PCF_NCFTTM</stp>
        <stp>2</stp>
        <stp>002038</stp>
        <stp>12/31/2018</stp>
        <tr r="P3361" s="1"/>
      </tp>
      <tp>
        <v>-322.87136840792402</v>
        <stp/>
        <stp>EM_S_VAL_PCF_NCFTTM</stp>
        <stp>2</stp>
        <stp>002039</stp>
        <stp>12/31/2018</stp>
        <tr r="P3614" s="1"/>
      </tp>
      <tp>
        <v>350.07263788799401</v>
        <stp/>
        <stp>EM_S_VAL_PCF_NCFTTM</stp>
        <stp>2</stp>
        <stp>002044</stp>
        <stp>12/31/2018</stp>
        <tr r="P2450" s="1"/>
      </tp>
      <tp>
        <v>7.9939381047127398</v>
        <stp/>
        <stp>EM_S_VAL_PCF_NCFTTM</stp>
        <stp>2</stp>
        <stp>002045</stp>
        <stp>12/31/2018</stp>
        <tr r="P63" s="1"/>
      </tp>
      <tp>
        <v>8.8286429952069891</v>
        <stp/>
        <stp>EM_S_VAL_PCF_NCFTTM</stp>
        <stp>2</stp>
        <stp>002046</stp>
        <stp>12/31/2018</stp>
        <tr r="P1952" s="1"/>
      </tp>
      <tp>
        <v>-22.498614694330101</v>
        <stp/>
        <stp>EM_S_VAL_PCF_NCFTTM</stp>
        <stp>2</stp>
        <stp>002047</stp>
        <stp>12/31/2018</stp>
        <tr r="P3616" s="1"/>
      </tp>
      <tp>
        <v>-7.6736894846535</v>
        <stp/>
        <stp>EM_S_VAL_PCF_NCFTTM</stp>
        <stp>2</stp>
        <stp>002040</stp>
        <stp>12/31/2018</stp>
        <tr r="P2768" s="1"/>
      </tp>
      <tp>
        <v>-63.910771835555103</v>
        <stp/>
        <stp>EM_S_VAL_PCF_NCFTTM</stp>
        <stp>2</stp>
        <stp>002041</stp>
        <stp>12/31/2018</stp>
        <tr r="P3615" s="1"/>
      </tp>
      <tp>
        <v>-10.476338620852699</v>
        <stp/>
        <stp>EM_S_VAL_PCF_NCFTTM</stp>
        <stp>2</stp>
        <stp>002042</stp>
        <stp>12/31/2018</stp>
        <tr r="P872" s="1"/>
      </tp>
      <tp>
        <v>21.299236859562299</v>
        <stp/>
        <stp>EM_S_VAL_PCF_NCFTTM</stp>
        <stp>2</stp>
        <stp>002043</stp>
        <stp>12/31/2018</stp>
        <tr r="P656" s="1"/>
      </tp>
      <tp>
        <v>10.4928520198819</v>
        <stp/>
        <stp>EM_S_VAL_PCF_NCFTTM</stp>
        <stp>2</stp>
        <stp>002048</stp>
        <stp>12/31/2018</stp>
        <tr r="P510" s="1"/>
      </tp>
      <tp>
        <v>-167.21137521542801</v>
        <stp/>
        <stp>EM_S_VAL_PCF_NCFTTM</stp>
        <stp>2</stp>
        <stp>002049</stp>
        <stp>12/31/2018</stp>
        <tr r="P262" s="1"/>
      </tp>
      <tp>
        <v>190.77808853398099</v>
        <stp/>
        <stp>EM_S_VAL_PCF_NCFTTM</stp>
        <stp>2</stp>
        <stp>002054</stp>
        <stp>12/31/2018</stp>
        <tr r="P3620" s="1"/>
      </tp>
      <tp>
        <v>1438.24415605186</v>
        <stp/>
        <stp>EM_S_VAL_PCF_NCFTTM</stp>
        <stp>2</stp>
        <stp>002055</stp>
        <stp>12/31/2018</stp>
        <tr r="P1666" s="1"/>
      </tp>
      <tp>
        <v>118.85738434136201</v>
        <stp/>
        <stp>EM_S_VAL_PCF_NCFTTM</stp>
        <stp>2</stp>
        <stp>002056</stp>
        <stp>12/31/2018</stp>
        <tr r="P553" s="1"/>
      </tp>
      <tp>
        <v>-31.478817202726901</v>
        <stp/>
        <stp>EM_S_VAL_PCF_NCFTTM</stp>
        <stp>2</stp>
        <stp>002057</stp>
        <stp>12/31/2018</stp>
        <tr r="P460" s="1"/>
      </tp>
      <tp>
        <v>-21.150636249951098</v>
        <stp/>
        <stp>EM_S_VAL_PCF_NCFTTM</stp>
        <stp>2</stp>
        <stp>002050</stp>
        <stp>12/31/2018</stp>
        <tr r="P791" s="1"/>
      </tp>
      <tp>
        <v>13.6786169741134</v>
        <stp/>
        <stp>EM_S_VAL_PCF_NCFTTM</stp>
        <stp>2</stp>
        <stp>002051</stp>
        <stp>12/31/2018</stp>
        <tr r="P3617" s="1"/>
      </tp>
      <tp>
        <v>86.687465247716801</v>
        <stp/>
        <stp>EM_S_VAL_PCF_NCFTTM</stp>
        <stp>2</stp>
        <stp>002052</stp>
        <stp>12/31/2018</stp>
        <tr r="P3618" s="1"/>
      </tp>
      <tp>
        <v>-431.64459965628498</v>
        <stp/>
        <stp>EM_S_VAL_PCF_NCFTTM</stp>
        <stp>2</stp>
        <stp>002053</stp>
        <stp>12/31/2018</stp>
        <tr r="P3619" s="1"/>
      </tp>
      <tp>
        <v>-85.413218650874398</v>
        <stp/>
        <stp>EM_S_VAL_PCF_NCFTTM</stp>
        <stp>2</stp>
        <stp>002058</stp>
        <stp>12/31/2018</stp>
        <tr r="P306" s="1"/>
      </tp>
      <tp>
        <v>-8.9266138113123308</v>
        <stp/>
        <stp>EM_S_VAL_PCF_NCFTTM</stp>
        <stp>2</stp>
        <stp>002059</stp>
        <stp>12/31/2018</stp>
        <tr r="P2514" s="1"/>
      </tp>
      <tp>
        <v>28.519314328396401</v>
        <stp/>
        <stp>EM_S_VAL_PCF_NCFTTM</stp>
        <stp>2</stp>
        <stp>002064</stp>
        <stp>12/31/2018</stp>
        <tr r="P557" s="1"/>
      </tp>
      <tp>
        <v>-61.300665200275397</v>
        <stp/>
        <stp>EM_S_VAL_PCF_NCFTTM</stp>
        <stp>2</stp>
        <stp>002065</stp>
        <stp>12/31/2018</stp>
        <tr r="P619" s="1"/>
      </tp>
      <tp>
        <v>37.990469353467397</v>
        <stp/>
        <stp>EM_S_VAL_PCF_NCFTTM</stp>
        <stp>2</stp>
        <stp>002066</stp>
        <stp>12/31/2018</stp>
        <tr r="P1696" s="1"/>
      </tp>
      <tp>
        <v>-344.29022791478502</v>
        <stp/>
        <stp>EM_S_VAL_PCF_NCFTTM</stp>
        <stp>2</stp>
        <stp>002067</stp>
        <stp>12/31/2018</stp>
        <tr r="P2531" s="1"/>
      </tp>
      <tp>
        <v>27.657333947172798</v>
        <stp/>
        <stp>EM_S_VAL_PCF_NCFTTM</stp>
        <stp>2</stp>
        <stp>002060</stp>
        <stp>12/31/2018</stp>
        <tr r="P1677" s="1"/>
      </tp>
      <tp>
        <v>11.1994476048295</v>
        <stp/>
        <stp>EM_S_VAL_PCF_NCFTTM</stp>
        <stp>2</stp>
        <stp>002061</stp>
        <stp>12/31/2018</stp>
        <tr r="P3337" s="1"/>
      </tp>
      <tp>
        <v>-10.536282391356099</v>
        <stp/>
        <stp>EM_S_VAL_PCF_NCFTTM</stp>
        <stp>2</stp>
        <stp>002062</stp>
        <stp>12/31/2018</stp>
        <tr r="P2740" s="1"/>
      </tp>
      <tp>
        <v>-891.23754852835202</v>
        <stp/>
        <stp>EM_S_VAL_PCF_NCFTTM</stp>
        <stp>2</stp>
        <stp>002063</stp>
        <stp>12/31/2018</stp>
        <tr r="P118" s="1"/>
      </tp>
      <tp>
        <v>17.708239884136901</v>
        <stp/>
        <stp>EM_S_VAL_PCF_NCFTTM</stp>
        <stp>2</stp>
        <stp>002068</stp>
        <stp>12/31/2018</stp>
        <tr r="P3034" s="1"/>
      </tp>
      <tp>
        <v>-14.284586227621</v>
        <stp/>
        <stp>EM_S_VAL_PCF_NCFTTM</stp>
        <stp>2</stp>
        <stp>002069</stp>
        <stp>12/31/2018</stp>
        <tr r="P3621" s="1"/>
      </tp>
      <tp>
        <v>7.3269799229941102</v>
        <stp/>
        <stp>EM_S_VAL_PCF_NCFTTM</stp>
        <stp>2</stp>
        <stp>002074</stp>
        <stp>12/31/2018</stp>
        <tr r="P1128" s="1"/>
      </tp>
      <tp>
        <v>-89.413138434918096</v>
        <stp/>
        <stp>EM_S_VAL_PCF_NCFTTM</stp>
        <stp>2</stp>
        <stp>002075</stp>
        <stp>12/31/2018</stp>
        <tr r="P3139" s="1"/>
      </tp>
      <tp>
        <v>-43.895363366394797</v>
        <stp/>
        <stp>EM_S_VAL_PCF_NCFTTM</stp>
        <stp>2</stp>
        <stp>002076</stp>
        <stp>12/31/2018</stp>
        <tr r="P3626" s="1"/>
      </tp>
      <tp>
        <v>-171.64458346482701</v>
        <stp/>
        <stp>EM_S_VAL_PCF_NCFTTM</stp>
        <stp>2</stp>
        <stp>002077</stp>
        <stp>12/31/2018</stp>
        <tr r="P3627" s="1"/>
      </tp>
      <tp>
        <v>-2697.0663912268501</v>
        <stp/>
        <stp>EM_S_VAL_PCF_NCFTTM</stp>
        <stp>2</stp>
        <stp>002070</stp>
        <stp>12/31/2018</stp>
        <tr r="P3622" s="1"/>
      </tp>
      <tp>
        <v>-21.372603235649599</v>
        <stp/>
        <stp>EM_S_VAL_PCF_NCFTTM</stp>
        <stp>2</stp>
        <stp>002071</stp>
        <stp>12/31/2018</stp>
        <tr r="P3623" s="1"/>
      </tp>
      <tp>
        <v>-85.089887314747102</v>
        <stp/>
        <stp>EM_S_VAL_PCF_NCFTTM</stp>
        <stp>2</stp>
        <stp>002072</stp>
        <stp>12/31/2018</stp>
        <tr r="P3624" s="1"/>
      </tp>
      <tp>
        <v>-8.5774407414991796</v>
        <stp/>
        <stp>EM_S_VAL_PCF_NCFTTM</stp>
        <stp>2</stp>
        <stp>002073</stp>
        <stp>12/31/2018</stp>
        <tr r="P3625" s="1"/>
      </tp>
      <tp>
        <v>-47.5526267574933</v>
        <stp/>
        <stp>EM_S_VAL_PCF_NCFTTM</stp>
        <stp>2</stp>
        <stp>002078</stp>
        <stp>12/31/2018</stp>
        <tr r="P275" s="1"/>
      </tp>
      <tp>
        <v>-20.180303048921999</v>
        <stp/>
        <stp>EM_S_VAL_PCF_NCFTTM</stp>
        <stp>2</stp>
        <stp>002079</stp>
        <stp>12/31/2018</stp>
        <tr r="P84" s="1"/>
      </tp>
      <tp>
        <v>-24.902971427293402</v>
        <stp/>
        <stp>EM_S_VAL_PCF_NCFTTM</stp>
        <stp>2</stp>
        <stp>002384</stp>
        <stp>12/31/2018</stp>
        <tr r="P172" s="1"/>
      </tp>
      <tp>
        <v>17.419841812728599</v>
        <stp/>
        <stp>EM_S_VAL_PCF_NCFTTM</stp>
        <stp>2</stp>
        <stp>002385</stp>
        <stp>12/31/2018</stp>
        <tr r="P707" s="1"/>
      </tp>
      <tp>
        <v>3.4824118741607002</v>
        <stp/>
        <stp>EM_S_VAL_PCF_NCFTTM</stp>
        <stp>2</stp>
        <stp>002386</stp>
        <stp>12/31/2018</stp>
        <tr r="P1776" s="1"/>
      </tp>
      <tp>
        <v>1.5086470638322</v>
        <stp/>
        <stp>EM_S_VAL_PCF_NCFTTM</stp>
        <stp>2</stp>
        <stp>002387</stp>
        <stp>12/31/2018</stp>
        <tr r="P135" s="1"/>
      </tp>
      <tp>
        <v>19.0657902379577</v>
        <stp/>
        <stp>EM_S_VAL_PCF_NCFTTM</stp>
        <stp>2</stp>
        <stp>002380</stp>
        <stp>12/31/2018</stp>
        <tr r="P853" s="1"/>
      </tp>
      <tp>
        <v>24.613457601661299</v>
        <stp/>
        <stp>EM_S_VAL_PCF_NCFTTM</stp>
        <stp>2</stp>
        <stp>002381</stp>
        <stp>12/31/2018</stp>
        <tr r="P1089" s="1"/>
      </tp>
      <tp>
        <v>6.3896210376192899</v>
        <stp/>
        <stp>EM_S_VAL_PCF_NCFTTM</stp>
        <stp>2</stp>
        <stp>002382</stp>
        <stp>12/31/2018</stp>
        <tr r="P3033" s="1"/>
      </tp>
      <tp>
        <v>-27.134800877379998</v>
        <stp/>
        <stp>EM_S_VAL_PCF_NCFTTM</stp>
        <stp>2</stp>
        <stp>002383</stp>
        <stp>12/31/2018</stp>
        <tr r="P3075" s="1"/>
      </tp>
      <tp>
        <v>-13.4086422335305</v>
        <stp/>
        <stp>EM_S_VAL_PCF_NCFTTM</stp>
        <stp>2</stp>
        <stp>002388</stp>
        <stp>12/31/2018</stp>
        <tr r="P895" s="1"/>
      </tp>
      <tp>
        <v>-147.358348000197</v>
        <stp/>
        <stp>EM_S_VAL_PCF_NCFTTM</stp>
        <stp>2</stp>
        <stp>002389</stp>
        <stp>12/31/2018</stp>
        <tr r="P2708" s="1"/>
      </tp>
      <tp>
        <v>23.055488756100701</v>
        <stp/>
        <stp>EM_S_VAL_PCF_NCFTTM</stp>
        <stp>2</stp>
        <stp>002394</stp>
        <stp>12/31/2018</stp>
        <tr r="P2636" s="1"/>
      </tp>
      <tp>
        <v>-6235.9477532115598</v>
        <stp/>
        <stp>EM_S_VAL_PCF_NCFTTM</stp>
        <stp>2</stp>
        <stp>002395</stp>
        <stp>12/31/2018</stp>
        <tr r="P101" s="1"/>
      </tp>
      <tp>
        <v>64.028329601775695</v>
        <stp/>
        <stp>EM_S_VAL_PCF_NCFTTM</stp>
        <stp>2</stp>
        <stp>002396</stp>
        <stp>12/31/2018</stp>
        <tr r="P155" s="1"/>
      </tp>
      <tp>
        <v>15.826565144407899</v>
        <stp/>
        <stp>EM_S_VAL_PCF_NCFTTM</stp>
        <stp>2</stp>
        <stp>002397</stp>
        <stp>12/31/2018</stp>
        <tr r="P1300" s="1"/>
      </tp>
      <tp>
        <v>-23.745085838443401</v>
        <stp/>
        <stp>EM_S_VAL_PCF_NCFTTM</stp>
        <stp>2</stp>
        <stp>002390</stp>
        <stp>12/31/2018</stp>
        <tr r="P1014" s="1"/>
      </tp>
      <tp>
        <v>47.873152107715498</v>
        <stp/>
        <stp>EM_S_VAL_PCF_NCFTTM</stp>
        <stp>2</stp>
        <stp>002391</stp>
        <stp>12/31/2018</stp>
        <tr r="P3106" s="1"/>
      </tp>
      <tp>
        <v>416.84429743284898</v>
        <stp/>
        <stp>EM_S_VAL_PCF_NCFTTM</stp>
        <stp>2</stp>
        <stp>002392</stp>
        <stp>12/31/2018</stp>
        <tr r="P1412" s="1"/>
      </tp>
      <tp>
        <v>-51.095999120470402</v>
        <stp/>
        <stp>EM_S_VAL_PCF_NCFTTM</stp>
        <stp>2</stp>
        <stp>002393</stp>
        <stp>12/31/2018</stp>
        <tr r="P1123" s="1"/>
      </tp>
      <tp>
        <v>55.0626412151029</v>
        <stp/>
        <stp>EM_S_VAL_PCF_NCFTTM</stp>
        <stp>2</stp>
        <stp>002398</stp>
        <stp>12/31/2018</stp>
        <tr r="P850" s="1"/>
      </tp>
      <tp>
        <v>-16.032057319342499</v>
        <stp/>
        <stp>EM_S_VAL_PCF_NCFTTM</stp>
        <stp>2</stp>
        <stp>002399</stp>
        <stp>12/31/2018</stp>
        <tr r="P2973" s="1"/>
      </tp>
      <tp>
        <v>-314.18304340012702</v>
        <stp/>
        <stp>EM_S_VAL_PCF_NCFTTM</stp>
        <stp>2</stp>
        <stp>002304</stp>
        <stp>12/31/2018</stp>
        <tr r="P1400" s="1"/>
      </tp>
      <tp>
        <v>-111.858395387678</v>
        <stp/>
        <stp>EM_S_VAL_PCF_NCFTTM</stp>
        <stp>2</stp>
        <stp>002305</stp>
        <stp>12/31/2018</stp>
        <tr r="P3140" s="1"/>
      </tp>
      <tp>
        <v>-524.96661219479199</v>
        <stp/>
        <stp>EM_S_VAL_PCF_NCFTTM</stp>
        <stp>2</stp>
        <stp>002306</stp>
        <stp>12/31/2018</stp>
        <tr r="P3111" s="1"/>
      </tp>
      <tp>
        <v>33.509439869165</v>
        <stp/>
        <stp>EM_S_VAL_PCF_NCFTTM</stp>
        <stp>2</stp>
        <stp>002307</stp>
        <stp>12/31/2018</stp>
        <tr r="P1740" s="1"/>
      </tp>
      <tp>
        <v>75.548585637612007</v>
        <stp/>
        <stp>EM_S_VAL_PCF_NCFTTM</stp>
        <stp>2</stp>
        <stp>002300</stp>
        <stp>12/31/2018</stp>
        <tr r="P1241" s="1"/>
      </tp>
      <tp>
        <v>8.3722988875327999</v>
        <stp/>
        <stp>EM_S_VAL_PCF_NCFTTM</stp>
        <stp>2</stp>
        <stp>002301</stp>
        <stp>12/31/2018</stp>
        <tr r="P732" s="1"/>
      </tp>
      <tp>
        <v>5.2189351508824302</v>
        <stp/>
        <stp>EM_S_VAL_PCF_NCFTTM</stp>
        <stp>2</stp>
        <stp>002302</stp>
        <stp>12/31/2018</stp>
        <tr r="P1075" s="1"/>
      </tp>
      <tp>
        <v>-13.5644784929667</v>
        <stp/>
        <stp>EM_S_VAL_PCF_NCFTTM</stp>
        <stp>2</stp>
        <stp>002303</stp>
        <stp>12/31/2018</stp>
        <tr r="P1611" s="1"/>
      </tp>
      <tp>
        <v>10.085517598117301</v>
        <stp/>
        <stp>EM_S_VAL_PCF_NCFTTM</stp>
        <stp>2</stp>
        <stp>002308</stp>
        <stp>12/31/2018</stp>
        <tr r="P2098" s="1"/>
      </tp>
      <tp>
        <v>18.818883540558801</v>
        <stp/>
        <stp>EM_S_VAL_PCF_NCFTTM</stp>
        <stp>2</stp>
        <stp>002309</stp>
        <stp>12/31/2018</stp>
        <tr r="P3182" s="1"/>
      </tp>
      <tp>
        <v>-9.5890118246850093</v>
        <stp/>
        <stp>EM_S_VAL_PCF_NCFTTM</stp>
        <stp>2</stp>
        <stp>002314</stp>
        <stp>12/31/2018</stp>
        <tr r="P1918" s="1"/>
      </tp>
      <tp>
        <v>22.431895921175698</v>
        <stp/>
        <stp>EM_S_VAL_PCF_NCFTTM</stp>
        <stp>2</stp>
        <stp>002315</stp>
        <stp>12/31/2018</stp>
        <tr r="P403" s="1"/>
      </tp>
      <tp>
        <v>-11.5091126109466</v>
        <stp/>
        <stp>EM_S_VAL_PCF_NCFTTM</stp>
        <stp>2</stp>
        <stp>002316</stp>
        <stp>12/31/2018</stp>
        <tr r="P1910" s="1"/>
      </tp>
      <tp>
        <v>15.4551325810433</v>
        <stp/>
        <stp>EM_S_VAL_PCF_NCFTTM</stp>
        <stp>2</stp>
        <stp>002317</stp>
        <stp>12/31/2018</stp>
        <tr r="P653" s="1"/>
      </tp>
      <tp>
        <v>-23.698914367706301</v>
        <stp/>
        <stp>EM_S_VAL_PCF_NCFTTM</stp>
        <stp>2</stp>
        <stp>002310</stp>
        <stp>12/31/2018</stp>
        <tr r="P3198" s="1"/>
      </tp>
      <tp>
        <v>45.7374459967089</v>
        <stp/>
        <stp>EM_S_VAL_PCF_NCFTTM</stp>
        <stp>2</stp>
        <stp>002311</stp>
        <stp>12/31/2018</stp>
        <tr r="P476" s="1"/>
      </tp>
      <tp>
        <v>-9.3612146118382604</v>
        <stp/>
        <stp>EM_S_VAL_PCF_NCFTTM</stp>
        <stp>2</stp>
        <stp>002312</stp>
        <stp>12/31/2018</stp>
        <tr r="P876" s="1"/>
      </tp>
      <tp>
        <v>77.377625959013898</v>
        <stp/>
        <stp>EM_S_VAL_PCF_NCFTTM</stp>
        <stp>2</stp>
        <stp>002313</stp>
        <stp>12/31/2018</stp>
        <tr r="P2845" s="1"/>
      </tp>
      <tp>
        <v>11.9661055699295</v>
        <stp/>
        <stp>EM_S_VAL_PCF_NCFTTM</stp>
        <stp>2</stp>
        <stp>002318</stp>
        <stp>12/31/2018</stp>
        <tr r="P566" s="1"/>
      </tp>
      <tp>
        <v>-368.04940489161402</v>
        <stp/>
        <stp>EM_S_VAL_PCF_NCFTTM</stp>
        <stp>2</stp>
        <stp>002319</stp>
        <stp>12/31/2018</stp>
        <tr r="P3323" s="1"/>
      </tp>
      <tp>
        <v>59.935791504660997</v>
        <stp/>
        <stp>EM_S_VAL_PCF_NCFTTM</stp>
        <stp>2</stp>
        <stp>002324</stp>
        <stp>12/31/2018</stp>
        <tr r="P820" s="1"/>
      </tp>
      <tp>
        <v>-19.5753155885699</v>
        <stp/>
        <stp>EM_S_VAL_PCF_NCFTTM</stp>
        <stp>2</stp>
        <stp>002325</stp>
        <stp>12/31/2018</stp>
        <tr r="P1760" s="1"/>
      </tp>
      <tp>
        <v>-34.675697364022703</v>
        <stp/>
        <stp>EM_S_VAL_PCF_NCFTTM</stp>
        <stp>2</stp>
        <stp>002326</stp>
        <stp>12/31/2018</stp>
        <tr r="P623" s="1"/>
      </tp>
      <tp>
        <v>-67.889390534136993</v>
        <stp/>
        <stp>EM_S_VAL_PCF_NCFTTM</stp>
        <stp>2</stp>
        <stp>002327</stp>
        <stp>12/31/2018</stp>
        <tr r="P2672" s="1"/>
      </tp>
      <tp>
        <v>75.146600520463295</v>
        <stp/>
        <stp>EM_S_VAL_PCF_NCFTTM</stp>
        <stp>2</stp>
        <stp>002320</stp>
        <stp>12/31/2018</stp>
        <tr r="P2750" s="1"/>
      </tp>
      <tp>
        <v>-11.2124305553589</v>
        <stp/>
        <stp>EM_S_VAL_PCF_NCFTTM</stp>
        <stp>2</stp>
        <stp>002321</stp>
        <stp>12/31/2018</stp>
        <tr r="P1897" s="1"/>
      </tp>
      <tp>
        <v>-43.837260689116597</v>
        <stp/>
        <stp>EM_S_VAL_PCF_NCFTTM</stp>
        <stp>2</stp>
        <stp>002322</stp>
        <stp>12/31/2018</stp>
        <tr r="P932" s="1"/>
      </tp>
      <tp>
        <v>41.980794031939098</v>
        <stp/>
        <stp>EM_S_VAL_PCF_NCFTTM</stp>
        <stp>2</stp>
        <stp>002323</stp>
        <stp>12/31/2018</stp>
        <tr r="P80" s="1"/>
      </tp>
      <tp>
        <v>-347.34633956311302</v>
        <stp/>
        <stp>EM_S_VAL_PCF_NCFTTM</stp>
        <stp>2</stp>
        <stp>002328</stp>
        <stp>12/31/2018</stp>
        <tr r="P3199" s="1"/>
      </tp>
      <tp>
        <v>-42.933122530127697</v>
        <stp/>
        <stp>EM_S_VAL_PCF_NCFTTM</stp>
        <stp>2</stp>
        <stp>002329</stp>
        <stp>12/31/2018</stp>
        <tr r="P907" s="1"/>
      </tp>
      <tp>
        <v>37.170981273690799</v>
        <stp/>
        <stp>EM_S_VAL_PCF_NCFTTM</stp>
        <stp>2</stp>
        <stp>002334</stp>
        <stp>12/31/2018</stp>
        <tr r="P2234" s="1"/>
      </tp>
      <tp>
        <v>-8.4309099058786394</v>
        <stp/>
        <stp>EM_S_VAL_PCF_NCFTTM</stp>
        <stp>2</stp>
        <stp>002335</stp>
        <stp>12/31/2018</stp>
        <tr r="P1827" s="1"/>
      </tp>
      <tp>
        <v>-8.0219540650601804</v>
        <stp/>
        <stp>EM_S_VAL_PCF_NCFTTM</stp>
        <stp>2</stp>
        <stp>002336</stp>
        <stp>12/31/2018</stp>
        <tr r="P2961" s="1"/>
      </tp>
      <tp>
        <v>-504.40253750486602</v>
        <stp/>
        <stp>EM_S_VAL_PCF_NCFTTM</stp>
        <stp>2</stp>
        <stp>002337</stp>
        <stp>12/31/2018</stp>
        <tr r="P2558" s="1"/>
      </tp>
      <tp>
        <v>86.638925130321894</v>
        <stp/>
        <stp>EM_S_VAL_PCF_NCFTTM</stp>
        <stp>2</stp>
        <stp>002330</stp>
        <stp>12/31/2018</stp>
        <tr r="P253" s="1"/>
      </tp>
      <tp>
        <v>974.92792827767505</v>
        <stp/>
        <stp>EM_S_VAL_PCF_NCFTTM</stp>
        <stp>2</stp>
        <stp>002331</stp>
        <stp>12/31/2018</stp>
        <tr r="P1715" s="1"/>
      </tp>
      <tp>
        <v>59.945987995383497</v>
        <stp/>
        <stp>EM_S_VAL_PCF_NCFTTM</stp>
        <stp>2</stp>
        <stp>002332</stp>
        <stp>12/31/2018</stp>
        <tr r="P458" s="1"/>
      </tp>
      <tp>
        <v>-157.75879993726801</v>
        <stp/>
        <stp>EM_S_VAL_PCF_NCFTTM</stp>
        <stp>2</stp>
        <stp>002333</stp>
        <stp>12/31/2018</stp>
        <tr r="P3105" s="1"/>
      </tp>
      <tp>
        <v>-59.463924358953399</v>
        <stp/>
        <stp>EM_S_VAL_PCF_NCFTTM</stp>
        <stp>2</stp>
        <stp>002338</stp>
        <stp>12/31/2018</stp>
        <tr r="P1311" s="1"/>
      </tp>
      <tp>
        <v>461.24755552645098</v>
        <stp/>
        <stp>EM_S_VAL_PCF_NCFTTM</stp>
        <stp>2</stp>
        <stp>002339</stp>
        <stp>12/31/2018</stp>
        <tr r="P1989" s="1"/>
      </tp>
      <tp>
        <v>-10.186719079888199</v>
        <stp/>
        <stp>EM_S_VAL_PCF_NCFTTM</stp>
        <stp>2</stp>
        <stp>002344</stp>
        <stp>12/31/2018</stp>
        <tr r="P2491" s="1"/>
      </tp>
      <tp>
        <v>128.28795137123501</v>
        <stp/>
        <stp>EM_S_VAL_PCF_NCFTTM</stp>
        <stp>2</stp>
        <stp>002345</stp>
        <stp>12/31/2018</stp>
        <tr r="P2799" s="1"/>
      </tp>
      <tp>
        <v>-342.88052751060798</v>
        <stp/>
        <stp>EM_S_VAL_PCF_NCFTTM</stp>
        <stp>2</stp>
        <stp>002346</stp>
        <stp>12/31/2018</stp>
        <tr r="P2763" s="1"/>
      </tp>
      <tp>
        <v>546.65808243426204</v>
        <stp/>
        <stp>EM_S_VAL_PCF_NCFTTM</stp>
        <stp>2</stp>
        <stp>002347</stp>
        <stp>12/31/2018</stp>
        <tr r="P1192" s="1"/>
      </tp>
      <tp>
        <v>14.2738361739633</v>
        <stp/>
        <stp>EM_S_VAL_PCF_NCFTTM</stp>
        <stp>2</stp>
        <stp>002340</stp>
        <stp>12/31/2018</stp>
        <tr r="P1005" s="1"/>
      </tp>
      <tp>
        <v>-56.298651662697601</v>
        <stp/>
        <stp>EM_S_VAL_PCF_NCFTTM</stp>
        <stp>2</stp>
        <stp>002341</stp>
        <stp>12/31/2018</stp>
        <tr r="P3376" s="1"/>
      </tp>
      <tp>
        <v>-11.4006851550441</v>
        <stp/>
        <stp>EM_S_VAL_PCF_NCFTTM</stp>
        <stp>2</stp>
        <stp>002342</stp>
        <stp>12/31/2018</stp>
        <tr r="P2594" s="1"/>
      </tp>
      <tp>
        <v>-17.8148157815186</v>
        <stp/>
        <stp>EM_S_VAL_PCF_NCFTTM</stp>
        <stp>2</stp>
        <stp>002343</stp>
        <stp>12/31/2018</stp>
        <tr r="P1031" s="1"/>
      </tp>
      <tp>
        <v>-158.333118260693</v>
        <stp/>
        <stp>EM_S_VAL_PCF_NCFTTM</stp>
        <stp>2</stp>
        <stp>002348</stp>
        <stp>12/31/2018</stp>
        <tr r="P2047" s="1"/>
      </tp>
      <tp>
        <v>-25.514940970804101</v>
        <stp/>
        <stp>EM_S_VAL_PCF_NCFTTM</stp>
        <stp>2</stp>
        <stp>002349</stp>
        <stp>12/31/2018</stp>
        <tr r="P3126" s="1"/>
      </tp>
      <tp>
        <v>-11.193137710413501</v>
        <stp/>
        <stp>EM_S_VAL_PCF_NCFTTM</stp>
        <stp>2</stp>
        <stp>002354</stp>
        <stp>12/31/2018</stp>
        <tr r="P3345" s="1"/>
      </tp>
      <tp>
        <v>10.6894742815083</v>
        <stp/>
        <stp>EM_S_VAL_PCF_NCFTTM</stp>
        <stp>2</stp>
        <stp>002355</stp>
        <stp>12/31/2018</stp>
        <tr r="P2718" s="1"/>
      </tp>
      <tp>
        <v>-26.983946552784001</v>
        <stp/>
        <stp>EM_S_VAL_PCF_NCFTTM</stp>
        <stp>2</stp>
        <stp>002356</stp>
        <stp>12/31/2018</stp>
        <tr r="P3400" s="1"/>
      </tp>
      <tp>
        <v>84.323591620949301</v>
        <stp/>
        <stp>EM_S_VAL_PCF_NCFTTM</stp>
        <stp>2</stp>
        <stp>002357</stp>
        <stp>12/31/2018</stp>
        <tr r="P1607" s="1"/>
      </tp>
      <tp>
        <v>12.295866188532999</v>
        <stp/>
        <stp>EM_S_VAL_PCF_NCFTTM</stp>
        <stp>2</stp>
        <stp>002350</stp>
        <stp>12/31/2018</stp>
        <tr r="P2684" s="1"/>
      </tp>
      <tp>
        <v>-115.880599319323</v>
        <stp/>
        <stp>EM_S_VAL_PCF_NCFTTM</stp>
        <stp>2</stp>
        <stp>002351</stp>
        <stp>12/31/2018</stp>
        <tr r="P22" s="1"/>
      </tp>
      <tp>
        <v>-32.719127838614902</v>
        <stp/>
        <stp>EM_S_VAL_PCF_NCFTTM</stp>
        <stp>2</stp>
        <stp>002352</stp>
        <stp>12/31/2018</stp>
        <tr r="P1475" s="1"/>
      </tp>
      <tp>
        <v>49.215385799705601</v>
        <stp/>
        <stp>EM_S_VAL_PCF_NCFTTM</stp>
        <stp>2</stp>
        <stp>002353</stp>
        <stp>12/31/2018</stp>
        <tr r="P89" s="1"/>
      </tp>
      <tp>
        <v>-19.322079323374599</v>
        <stp/>
        <stp>EM_S_VAL_PCF_NCFTTM</stp>
        <stp>2</stp>
        <stp>002358</stp>
        <stp>12/31/2018</stp>
        <tr r="P3394" s="1"/>
      </tp>
      <tp>
        <v>-55.218847213678103</v>
        <stp/>
        <stp>EM_S_VAL_PCF_NCFTTM</stp>
        <stp>2</stp>
        <stp>002359</stp>
        <stp>12/31/2018</stp>
        <tr r="P3401" s="1"/>
      </tp>
      <tp>
        <v>23.038085239852499</v>
        <stp/>
        <stp>EM_S_VAL_PCF_NCFTTM</stp>
        <stp>2</stp>
        <stp>002364</stp>
        <stp>12/31/2018</stp>
        <tr r="P2413" s="1"/>
      </tp>
      <tp>
        <v>91.042943763494804</v>
        <stp/>
        <stp>EM_S_VAL_PCF_NCFTTM</stp>
        <stp>2</stp>
        <stp>002365</stp>
        <stp>12/31/2018</stp>
        <tr r="P2692" s="1"/>
      </tp>
      <tp>
        <v>-68.234187780117594</v>
        <stp/>
        <stp>EM_S_VAL_PCF_NCFTTM</stp>
        <stp>2</stp>
        <stp>002366</stp>
        <stp>12/31/2018</stp>
        <tr r="P3168" s="1"/>
      </tp>
      <tp>
        <v>-73.064262384262307</v>
        <stp/>
        <stp>EM_S_VAL_PCF_NCFTTM</stp>
        <stp>2</stp>
        <stp>002367</stp>
        <stp>12/31/2018</stp>
        <tr r="P773" s="1"/>
      </tp>
      <tp>
        <v>-23.342832982981299</v>
        <stp/>
        <stp>EM_S_VAL_PCF_NCFTTM</stp>
        <stp>2</stp>
        <stp>002360</stp>
        <stp>12/31/2018</stp>
        <tr r="P2452" s="1"/>
      </tp>
      <tp>
        <v>-49.141413044100098</v>
        <stp/>
        <stp>EM_S_VAL_PCF_NCFTTM</stp>
        <stp>2</stp>
        <stp>002361</stp>
        <stp>12/31/2018</stp>
        <tr r="P1315" s="1"/>
      </tp>
      <tp>
        <v>67.786499030143901</v>
        <stp/>
        <stp>EM_S_VAL_PCF_NCFTTM</stp>
        <stp>2</stp>
        <stp>002362</stp>
        <stp>12/31/2018</stp>
        <tr r="P1277" s="1"/>
      </tp>
      <tp>
        <v>13.240005954914</v>
        <stp/>
        <stp>EM_S_VAL_PCF_NCFTTM</stp>
        <stp>2</stp>
        <stp>002363</stp>
        <stp>12/31/2018</stp>
        <tr r="P1055" s="1"/>
      </tp>
      <tp>
        <v>100.42527810073599</v>
        <stp/>
        <stp>EM_S_VAL_PCF_NCFTTM</stp>
        <stp>2</stp>
        <stp>002368</stp>
        <stp>12/31/2018</stp>
        <tr r="P315" s="1"/>
      </tp>
      <tp>
        <v>-19.286814091946098</v>
        <stp/>
        <stp>EM_S_VAL_PCF_NCFTTM</stp>
        <stp>2</stp>
        <stp>002369</stp>
        <stp>12/31/2018</stp>
        <tr r="P1109" s="1"/>
      </tp>
      <tp>
        <v>-8.5746706199979794</v>
        <stp/>
        <stp>EM_S_VAL_PCF_NCFTTM</stp>
        <stp>2</stp>
        <stp>002374</stp>
        <stp>12/31/2018</stp>
        <tr r="P2545" s="1"/>
      </tp>
      <tp>
        <v>-80.025135005069799</v>
        <stp/>
        <stp>EM_S_VAL_PCF_NCFTTM</stp>
        <stp>2</stp>
        <stp>002375</stp>
        <stp>12/31/2018</stp>
        <tr r="P1491" s="1"/>
      </tp>
      <tp>
        <v>43.4187967192223</v>
        <stp/>
        <stp>EM_S_VAL_PCF_NCFTTM</stp>
        <stp>2</stp>
        <stp>002376</stp>
        <stp>12/31/2018</stp>
        <tr r="P3097" s="1"/>
      </tp>
      <tp>
        <v>6.2443936497520198</v>
        <stp/>
        <stp>EM_S_VAL_PCF_NCFTTM</stp>
        <stp>2</stp>
        <stp>002377</stp>
        <stp>12/31/2018</stp>
        <tr r="P2493" s="1"/>
      </tp>
      <tp>
        <v>-38.315455799182701</v>
        <stp/>
        <stp>EM_S_VAL_PCF_NCFTTM</stp>
        <stp>2</stp>
        <stp>002370</stp>
        <stp>12/31/2018</stp>
        <tr r="P3395" s="1"/>
      </tp>
      <tp>
        <v>40.735078456769799</v>
        <stp/>
        <stp>EM_S_VAL_PCF_NCFTTM</stp>
        <stp>2</stp>
        <stp>002371</stp>
        <stp>12/31/2018</stp>
        <tr r="P103" s="1"/>
      </tp>
      <tp>
        <v>-537.74359498300305</v>
        <stp/>
        <stp>EM_S_VAL_PCF_NCFTTM</stp>
        <stp>2</stp>
        <stp>002372</stp>
        <stp>12/31/2018</stp>
        <tr r="P2991" s="1"/>
      </tp>
      <tp>
        <v>-54.677955000494997</v>
        <stp/>
        <stp>EM_S_VAL_PCF_NCFTTM</stp>
        <stp>2</stp>
        <stp>002373</stp>
        <stp>12/31/2018</stp>
        <tr r="P379" s="1"/>
      </tp>
      <tp>
        <v>376.89314735300098</v>
        <stp/>
        <stp>EM_S_VAL_PCF_NCFTTM</stp>
        <stp>2</stp>
        <stp>002378</stp>
        <stp>12/31/2018</stp>
        <tr r="P1552" s="1"/>
      </tp>
      <tp>
        <v>-9.3232170449300007</v>
        <stp/>
        <stp>EM_S_VAL_PCF_NCFTTM</stp>
        <stp>2</stp>
        <stp>002379</stp>
        <stp>12/31/2018</stp>
        <tr r="P881" s="1"/>
      </tp>
      <tp>
        <v>-289.068866216228</v>
        <stp/>
        <stp>EM_S_VAL_PCF_NCFTTM</stp>
        <stp>2</stp>
        <stp>002284</stp>
        <stp>12/31/2018</stp>
        <tr r="P1226" s="1"/>
      </tp>
      <tp>
        <v>12.6827617771783</v>
        <stp/>
        <stp>EM_S_VAL_PCF_NCFTTM</stp>
        <stp>2</stp>
        <stp>002285</stp>
        <stp>12/31/2018</stp>
        <tr r="P3147" s="1"/>
      </tp>
      <tp>
        <v>47.734817669247803</v>
        <stp/>
        <stp>EM_S_VAL_PCF_NCFTTM</stp>
        <stp>2</stp>
        <stp>002286</stp>
        <stp>12/31/2018</stp>
        <tr r="P1755" s="1"/>
      </tp>
      <tp>
        <v>-380.96800838915101</v>
        <stp/>
        <stp>EM_S_VAL_PCF_NCFTTM</stp>
        <stp>2</stp>
        <stp>002287</stp>
        <stp>12/31/2018</stp>
        <tr r="P2908" s="1"/>
      </tp>
      <tp>
        <v>-19.979593963579902</v>
        <stp/>
        <stp>EM_S_VAL_PCF_NCFTTM</stp>
        <stp>2</stp>
        <stp>002280</stp>
        <stp>12/31/2018</stp>
        <tr r="P2214" s="1"/>
      </tp>
      <tp>
        <v>97.109644319886996</v>
        <stp/>
        <stp>EM_S_VAL_PCF_NCFTTM</stp>
        <stp>2</stp>
        <stp>002281</stp>
        <stp>12/31/2018</stp>
        <tr r="P1737" s="1"/>
      </tp>
      <tp>
        <v>-87.054772710236804</v>
        <stp/>
        <stp>EM_S_VAL_PCF_NCFTTM</stp>
        <stp>2</stp>
        <stp>002282</stp>
        <stp>12/31/2018</stp>
        <tr r="P2263" s="1"/>
      </tp>
      <tp>
        <v>-63.860622003199701</v>
        <stp/>
        <stp>EM_S_VAL_PCF_NCFTTM</stp>
        <stp>2</stp>
        <stp>002283</stp>
        <stp>12/31/2018</stp>
        <tr r="P1746" s="1"/>
      </tp>
      <tp>
        <v>-39.3464231576774</v>
        <stp/>
        <stp>EM_S_VAL_PCF_NCFTTM</stp>
        <stp>2</stp>
        <stp>002288</stp>
        <stp>12/31/2018</stp>
        <tr r="P1928" s="1"/>
      </tp>
      <tp>
        <v>62.4024347497745</v>
        <stp/>
        <stp>EM_S_VAL_PCF_NCFTTM</stp>
        <stp>2</stp>
        <stp>002289</stp>
        <stp>12/31/2018</stp>
        <tr r="P380" s="1"/>
      </tp>
      <tp>
        <v>-144.287283173666</v>
        <stp/>
        <stp>EM_S_VAL_PCF_NCFTTM</stp>
        <stp>2</stp>
        <stp>002294</stp>
        <stp>12/31/2018</stp>
        <tr r="P2519" s="1"/>
      </tp>
      <tp>
        <v>79.268483866352298</v>
        <stp/>
        <stp>EM_S_VAL_PCF_NCFTTM</stp>
        <stp>2</stp>
        <stp>002295</stp>
        <stp>12/31/2018</stp>
        <tr r="P2213" s="1"/>
      </tp>
      <tp>
        <v>-5.7948712223010697</v>
        <stp/>
        <stp>EM_S_VAL_PCF_NCFTTM</stp>
        <stp>2</stp>
        <stp>002296</stp>
        <stp>12/31/2018</stp>
        <tr r="P457" s="1"/>
      </tp>
      <tp>
        <v>-9.5685323021683804</v>
        <stp/>
        <stp>EM_S_VAL_PCF_NCFTTM</stp>
        <stp>2</stp>
        <stp>002297</stp>
        <stp>12/31/2018</stp>
        <tr r="P1894" s="1"/>
      </tp>
      <tp>
        <v>14.546297151482801</v>
        <stp/>
        <stp>EM_S_VAL_PCF_NCFTTM</stp>
        <stp>2</stp>
        <stp>002290</stp>
        <stp>12/31/2018</stp>
        <tr r="P3357" s="1"/>
      </tp>
      <tp>
        <v>37.136855670176502</v>
        <stp/>
        <stp>EM_S_VAL_PCF_NCFTTM</stp>
        <stp>2</stp>
        <stp>002291</stp>
        <stp>12/31/2018</stp>
        <tr r="P28" s="1"/>
      </tp>
      <tp>
        <v>-21068.722645403599</v>
        <stp/>
        <stp>EM_S_VAL_PCF_NCFTTM</stp>
        <stp>2</stp>
        <stp>002292</stp>
        <stp>12/31/2018</stp>
        <tr r="P282" s="1"/>
      </tp>
      <tp>
        <v>18.2478661519098</v>
        <stp/>
        <stp>EM_S_VAL_PCF_NCFTTM</stp>
        <stp>2</stp>
        <stp>002293</stp>
        <stp>12/31/2018</stp>
        <tr r="P1996" s="1"/>
      </tp>
      <tp>
        <v>-10.202950892429699</v>
        <stp/>
        <stp>EM_S_VAL_PCF_NCFTTM</stp>
        <stp>2</stp>
        <stp>002298</stp>
        <stp>12/31/2018</stp>
        <tr r="P1002" s="1"/>
      </tp>
      <tp>
        <v>338.265756339218</v>
        <stp/>
        <stp>EM_S_VAL_PCF_NCFTTM</stp>
        <stp>2</stp>
        <stp>002299</stp>
        <stp>12/31/2018</stp>
        <tr r="P644" s="1"/>
      </tp>
      <tp>
        <v>-29.794313020010399</v>
        <stp/>
        <stp>EM_S_VAL_PCF_NCFTTM</stp>
        <stp>2</stp>
        <stp>002204</stp>
        <stp>12/31/2018</stp>
        <tr r="P1806" s="1"/>
      </tp>
      <tp>
        <v>-41.171218809834201</v>
        <stp/>
        <stp>EM_S_VAL_PCF_NCFTTM</stp>
        <stp>2</stp>
        <stp>002205</stp>
        <stp>12/31/2018</stp>
        <tr r="P1137" s="1"/>
      </tp>
      <tp>
        <v>-15.4374013970254</v>
        <stp/>
        <stp>EM_S_VAL_PCF_NCFTTM</stp>
        <stp>2</stp>
        <stp>002206</stp>
        <stp>12/31/2018</stp>
        <tr r="P2495" s="1"/>
      </tp>
      <tp>
        <v>2022.8371547822101</v>
        <stp/>
        <stp>EM_S_VAL_PCF_NCFTTM</stp>
        <stp>2</stp>
        <stp>002207</stp>
        <stp>12/31/2018</stp>
        <tr r="P968" s="1"/>
      </tp>
      <tp>
        <v>-22.289907274612698</v>
        <stp/>
        <stp>EM_S_VAL_PCF_NCFTTM</stp>
        <stp>2</stp>
        <stp>002200</stp>
        <stp>12/31/2018</stp>
        <tr r="P1257" s="1"/>
      </tp>
      <tp>
        <v>-38.237844920184699</v>
        <stp/>
        <stp>EM_S_VAL_PCF_NCFTTM</stp>
        <stp>2</stp>
        <stp>002201</stp>
        <stp>12/31/2018</stp>
        <tr r="P33" s="1"/>
      </tp>
      <tp>
        <v>13.960268410154599</v>
        <stp/>
        <stp>EM_S_VAL_PCF_NCFTTM</stp>
        <stp>2</stp>
        <stp>002202</stp>
        <stp>12/31/2018</stp>
        <tr r="P1408" s="1"/>
      </tp>
      <tp>
        <v>7.6557537585597002</v>
        <stp/>
        <stp>EM_S_VAL_PCF_NCFTTM</stp>
        <stp>2</stp>
        <stp>002203</stp>
        <stp>12/31/2018</stp>
        <tr r="P951" s="1"/>
      </tp>
      <tp>
        <v>12.909134754532401</v>
        <stp/>
        <stp>EM_S_VAL_PCF_NCFTTM</stp>
        <stp>2</stp>
        <stp>002208</stp>
        <stp>12/31/2018</stp>
        <tr r="P3250" s="1"/>
      </tp>
      <tp>
        <v>-74.029205489069199</v>
        <stp/>
        <stp>EM_S_VAL_PCF_NCFTTM</stp>
        <stp>2</stp>
        <stp>002209</stp>
        <stp>12/31/2018</stp>
        <tr r="P2160" s="1"/>
      </tp>
      <tp>
        <v>52.2227769043268</v>
        <stp/>
        <stp>EM_S_VAL_PCF_NCFTTM</stp>
        <stp>2</stp>
        <stp>002214</stp>
        <stp>12/31/2018</stp>
        <tr r="P189" s="1"/>
      </tp>
      <tp>
        <v>35.655806602181599</v>
        <stp/>
        <stp>EM_S_VAL_PCF_NCFTTM</stp>
        <stp>2</stp>
        <stp>002215</stp>
        <stp>12/31/2018</stp>
        <tr r="P2430" s="1"/>
      </tp>
      <tp>
        <v>-39.116547410199601</v>
        <stp/>
        <stp>EM_S_VAL_PCF_NCFTTM</stp>
        <stp>2</stp>
        <stp>002216</stp>
        <stp>12/31/2018</stp>
        <tr r="P197" s="1"/>
      </tp>
      <tp>
        <v>-34.147790150593998</v>
        <stp/>
        <stp>EM_S_VAL_PCF_NCFTTM</stp>
        <stp>2</stp>
        <stp>002217</stp>
        <stp>12/31/2018</stp>
        <tr r="P1404" s="1"/>
      </tp>
      <tp>
        <v>-4.0703213316175004</v>
        <stp/>
        <stp>EM_S_VAL_PCF_NCFTTM</stp>
        <stp>2</stp>
        <stp>002210</stp>
        <stp>12/31/2018</stp>
        <tr r="P3397" s="1"/>
      </tp>
      <tp>
        <v>435.600302900337</v>
        <stp/>
        <stp>EM_S_VAL_PCF_NCFTTM</stp>
        <stp>2</stp>
        <stp>002211</stp>
        <stp>12/31/2018</stp>
        <tr r="P822" s="1"/>
      </tp>
      <tp>
        <v>66.207604625883206</v>
        <stp/>
        <stp>EM_S_VAL_PCF_NCFTTM</stp>
        <stp>2</stp>
        <stp>002212</stp>
        <stp>12/31/2018</stp>
        <tr r="P305" s="1"/>
      </tp>
      <tp>
        <v>-23.839714764073999</v>
        <stp/>
        <stp>EM_S_VAL_PCF_NCFTTM</stp>
        <stp>2</stp>
        <stp>002213</stp>
        <stp>12/31/2018</stp>
        <tr r="P924" s="1"/>
      </tp>
      <tp>
        <v>40.0715397637221</v>
        <stp/>
        <stp>EM_S_VAL_PCF_NCFTTM</stp>
        <stp>2</stp>
        <stp>002218</stp>
        <stp>12/31/2018</stp>
        <tr r="P1748" s="1"/>
      </tp>
      <tp>
        <v>-41.447426718483001</v>
        <stp/>
        <stp>EM_S_VAL_PCF_NCFTTM</stp>
        <stp>2</stp>
        <stp>002219</stp>
        <stp>12/31/2018</stp>
        <tr r="P3232" s="1"/>
      </tp>
      <tp>
        <v>31.822696760805201</v>
        <stp/>
        <stp>EM_S_VAL_PCF_NCFTTM</stp>
        <stp>2</stp>
        <stp>002224</stp>
        <stp>12/31/2018</stp>
        <tr r="P1500" s="1"/>
      </tp>
      <tp>
        <v>48.8266627849586</v>
        <stp/>
        <stp>EM_S_VAL_PCF_NCFTTM</stp>
        <stp>2</stp>
        <stp>002225</stp>
        <stp>12/31/2018</stp>
        <tr r="P2508" s="1"/>
      </tp>
      <tp>
        <v>-13.361067217800599</v>
        <stp/>
        <stp>EM_S_VAL_PCF_NCFTTM</stp>
        <stp>2</stp>
        <stp>002226</stp>
        <stp>12/31/2018</stp>
        <tr r="P1997" s="1"/>
      </tp>
      <tp>
        <v>-86.961688371833205</v>
        <stp/>
        <stp>EM_S_VAL_PCF_NCFTTM</stp>
        <stp>2</stp>
        <stp>002227</stp>
        <stp>12/31/2018</stp>
        <tr r="P1779" s="1"/>
      </tp>
      <tp>
        <v>-3.5361949316369699</v>
        <stp/>
        <stp>EM_S_VAL_PCF_NCFTTM</stp>
        <stp>2</stp>
        <stp>002220</stp>
        <stp>12/31/2018</stp>
        <tr r="P3336" s="1"/>
      </tp>
      <tp>
        <v>5.5385820158146899</v>
        <stp/>
        <stp>EM_S_VAL_PCF_NCFTTM</stp>
        <stp>2</stp>
        <stp>002221</stp>
        <stp>12/31/2018</stp>
        <tr r="P2543" s="1"/>
      </tp>
      <tp>
        <v>298.10887599758797</v>
        <stp/>
        <stp>EM_S_VAL_PCF_NCFTTM</stp>
        <stp>2</stp>
        <stp>002222</stp>
        <stp>12/31/2018</stp>
        <tr r="P1041" s="1"/>
      </tp>
      <tp>
        <v>-123.133801030724</v>
        <stp/>
        <stp>EM_S_VAL_PCF_NCFTTM</stp>
        <stp>2</stp>
        <stp>002223</stp>
        <stp>12/31/2018</stp>
        <tr r="P2176" s="1"/>
      </tp>
      <tp>
        <v>18.058112855627499</v>
        <stp/>
        <stp>EM_S_VAL_PCF_NCFTTM</stp>
        <stp>2</stp>
        <stp>002228</stp>
        <stp>12/31/2018</stp>
        <tr r="P2642" s="1"/>
      </tp>
      <tp>
        <v>-86.543159264535504</v>
        <stp/>
        <stp>EM_S_VAL_PCF_NCFTTM</stp>
        <stp>2</stp>
        <stp>002229</stp>
        <stp>12/31/2018</stp>
        <tr r="P2717" s="1"/>
      </tp>
      <tp>
        <v>-84.815984083796195</v>
        <stp/>
        <stp>EM_S_VAL_PCF_NCFTTM</stp>
        <stp>2</stp>
        <stp>002234</stp>
        <stp>12/31/2018</stp>
        <tr r="P58" s="1"/>
      </tp>
      <tp>
        <v>-10.6421467205622</v>
        <stp/>
        <stp>EM_S_VAL_PCF_NCFTTM</stp>
        <stp>2</stp>
        <stp>002235</stp>
        <stp>12/31/2018</stp>
        <tr r="P359" s="1"/>
      </tp>
      <tp>
        <v>-337.80500713887801</v>
        <stp/>
        <stp>EM_S_VAL_PCF_NCFTTM</stp>
        <stp>2</stp>
        <stp>002236</stp>
        <stp>12/31/2018</stp>
        <tr r="P283" s="1"/>
      </tp>
      <tp>
        <v>35.386165487709903</v>
        <stp/>
        <stp>EM_S_VAL_PCF_NCFTTM</stp>
        <stp>2</stp>
        <stp>002237</stp>
        <stp>12/31/2018</stp>
        <tr r="P382" s="1"/>
      </tp>
      <tp>
        <v>-65.993233368545603</v>
        <stp/>
        <stp>EM_S_VAL_PCF_NCFTTM</stp>
        <stp>2</stp>
        <stp>002230</stp>
        <stp>12/31/2018</stp>
        <tr r="P734" s="1"/>
      </tp>
      <tp>
        <v>36.191793619489196</v>
        <stp/>
        <stp>EM_S_VAL_PCF_NCFTTM</stp>
        <stp>2</stp>
        <stp>002231</stp>
        <stp>12/31/2018</stp>
        <tr r="P2167" s="1"/>
      </tp>
      <tp>
        <v>-128.77810098133699</v>
        <stp/>
        <stp>EM_S_VAL_PCF_NCFTTM</stp>
        <stp>2</stp>
        <stp>002232</stp>
        <stp>12/31/2018</stp>
        <tr r="P1004" s="1"/>
      </tp>
      <tp>
        <v>-5.0736496246308898</v>
        <stp/>
        <stp>EM_S_VAL_PCF_NCFTTM</stp>
        <stp>2</stp>
        <stp>002233</stp>
        <stp>12/31/2018</stp>
        <tr r="P1157" s="1"/>
      </tp>
      <tp>
        <v>-5.7480486575385896</v>
        <stp/>
        <stp>EM_S_VAL_PCF_NCFTTM</stp>
        <stp>2</stp>
        <stp>002238</stp>
        <stp>12/31/2018</stp>
        <tr r="P1196" s="1"/>
      </tp>
      <tp>
        <v>44.465190744776898</v>
        <stp/>
        <stp>EM_S_VAL_PCF_NCFTTM</stp>
        <stp>2</stp>
        <stp>002239</stp>
        <stp>12/31/2018</stp>
        <tr r="P2868" s="1"/>
      </tp>
      <tp>
        <v>-6.0765147924778402</v>
        <stp/>
        <stp>EM_S_VAL_PCF_NCFTTM</stp>
        <stp>2</stp>
        <stp>002244</stp>
        <stp>12/31/2018</stp>
        <tr r="P1120" s="1"/>
      </tp>
      <tp>
        <v>-18.998662399268799</v>
        <stp/>
        <stp>EM_S_VAL_PCF_NCFTTM</stp>
        <stp>2</stp>
        <stp>002245</stp>
        <stp>12/31/2018</stp>
        <tr r="P2022" s="1"/>
      </tp>
      <tp>
        <v>-24.890668128707201</v>
        <stp/>
        <stp>EM_S_VAL_PCF_NCFTTM</stp>
        <stp>2</stp>
        <stp>002246</stp>
        <stp>12/31/2018</stp>
        <tr r="P1557" s="1"/>
      </tp>
      <tp>
        <v>-146.449519129485</v>
        <stp/>
        <stp>EM_S_VAL_PCF_NCFTTM</stp>
        <stp>2</stp>
        <stp>002247</stp>
        <stp>12/31/2018</stp>
        <tr r="P3301" s="1"/>
      </tp>
      <tp>
        <v>80.698012209621197</v>
        <stp/>
        <stp>EM_S_VAL_PCF_NCFTTM</stp>
        <stp>2</stp>
        <stp>002240</stp>
        <stp>12/31/2018</stp>
        <tr r="P1935" s="1"/>
      </tp>
      <tp>
        <v>-71.076014338218101</v>
        <stp/>
        <stp>EM_S_VAL_PCF_NCFTTM</stp>
        <stp>2</stp>
        <stp>002241</stp>
        <stp>12/31/2018</stp>
        <tr r="P52" s="1"/>
      </tp>
      <tp>
        <v>-69.240969751512694</v>
        <stp/>
        <stp>EM_S_VAL_PCF_NCFTTM</stp>
        <stp>2</stp>
        <stp>002242</stp>
        <stp>12/31/2018</stp>
        <tr r="P504" s="1"/>
      </tp>
      <tp>
        <v>-396.09054348367198</v>
        <stp/>
        <stp>EM_S_VAL_PCF_NCFTTM</stp>
        <stp>2</stp>
        <stp>002243</stp>
        <stp>12/31/2018</stp>
        <tr r="P1825" s="1"/>
      </tp>
      <tp>
        <v>182.45363268692699</v>
        <stp/>
        <stp>EM_S_VAL_PCF_NCFTTM</stp>
        <stp>2</stp>
        <stp>002248</stp>
        <stp>12/31/2018</stp>
        <tr r="P2746" s="1"/>
      </tp>
      <tp>
        <v>-25.344934211975598</v>
        <stp/>
        <stp>EM_S_VAL_PCF_NCFTTM</stp>
        <stp>2</stp>
        <stp>002249</stp>
        <stp>12/31/2018</stp>
        <tr r="P1320" s="1"/>
      </tp>
      <tp>
        <v>55.089709010677801</v>
        <stp/>
        <stp>EM_S_VAL_PCF_NCFTTM</stp>
        <stp>2</stp>
        <stp>002254</stp>
        <stp>12/31/2018</stp>
        <tr r="P2504" s="1"/>
      </tp>
      <tp>
        <v>141.378549917664</v>
        <stp/>
        <stp>EM_S_VAL_PCF_NCFTTM</stp>
        <stp>2</stp>
        <stp>002255</stp>
        <stp>12/31/2018</stp>
        <tr r="P3028" s="1"/>
      </tp>
      <tp>
        <v>-12.5733806481123</v>
        <stp/>
        <stp>EM_S_VAL_PCF_NCFTTM</stp>
        <stp>2</stp>
        <stp>002256</stp>
        <stp>12/31/2018</stp>
        <tr r="P2915" s="1"/>
      </tp>
      <tp>
        <v>0</v>
        <stp/>
        <stp>EM_S_VAL_PCF_NCFTTM</stp>
        <stp>2</stp>
        <stp>002257</stp>
        <stp>12/31/2018</stp>
        <tr r="P5" s="1"/>
      </tp>
      <tp>
        <v>-13.0660067975593</v>
        <stp/>
        <stp>EM_S_VAL_PCF_NCFTTM</stp>
        <stp>2</stp>
        <stp>002250</stp>
        <stp>12/31/2018</stp>
        <tr r="P271" s="1"/>
      </tp>
      <tp>
        <v>-28.181764582795999</v>
        <stp/>
        <stp>EM_S_VAL_PCF_NCFTTM</stp>
        <stp>2</stp>
        <stp>002251</stp>
        <stp>12/31/2018</stp>
        <tr r="P1280" s="1"/>
      </tp>
      <tp>
        <v>-51.485885746009501</v>
        <stp/>
        <stp>EM_S_VAL_PCF_NCFTTM</stp>
        <stp>2</stp>
        <stp>002252</stp>
        <stp>12/31/2018</stp>
        <tr r="P2752" s="1"/>
      </tp>
      <tp>
        <v>-27.708247386096801</v>
        <stp/>
        <stp>EM_S_VAL_PCF_NCFTTM</stp>
        <stp>2</stp>
        <stp>002253</stp>
        <stp>12/31/2018</stp>
        <tr r="P1773" s="1"/>
      </tp>
      <tp>
        <v>24.320856603923598</v>
        <stp/>
        <stp>EM_S_VAL_PCF_NCFTTM</stp>
        <stp>2</stp>
        <stp>002258</stp>
        <stp>12/31/2018</stp>
        <tr r="P1840" s="1"/>
      </tp>
      <tp>
        <v>-1.7022473807790099</v>
        <stp/>
        <stp>EM_S_VAL_PCF_NCFTTM</stp>
        <stp>2</stp>
        <stp>002259</stp>
        <stp>12/31/2018</stp>
        <tr r="P2658" s="1"/>
      </tp>
      <tp>
        <v>22.449325827917701</v>
        <stp/>
        <stp>EM_S_VAL_PCF_NCFTTM</stp>
        <stp>2</stp>
        <stp>002264</stp>
        <stp>12/31/2018</stp>
        <tr r="P2960" s="1"/>
      </tp>
      <tp>
        <v>189.557414461072</v>
        <stp/>
        <stp>EM_S_VAL_PCF_NCFTTM</stp>
        <stp>2</stp>
        <stp>002265</stp>
        <stp>12/31/2018</stp>
        <tr r="P2427" s="1"/>
      </tp>
      <tp>
        <v>19.038132279297699</v>
        <stp/>
        <stp>EM_S_VAL_PCF_NCFTTM</stp>
        <stp>2</stp>
        <stp>002266</stp>
        <stp>12/31/2018</stp>
        <tr r="P2187" s="1"/>
      </tp>
      <tp>
        <v>14.2670299214414</v>
        <stp/>
        <stp>EM_S_VAL_PCF_NCFTTM</stp>
        <stp>2</stp>
        <stp>002267</stp>
        <stp>12/31/2018</stp>
        <tr r="P2497" s="1"/>
      </tp>
      <tp>
        <v>-10.657557032324799</v>
        <stp/>
        <stp>EM_S_VAL_PCF_NCFTTM</stp>
        <stp>2</stp>
        <stp>002260</stp>
        <stp>12/31/2018</stp>
        <tr r="P2467" s="1"/>
      </tp>
      <tp>
        <v>71.826027957608204</v>
        <stp/>
        <stp>EM_S_VAL_PCF_NCFTTM</stp>
        <stp>2</stp>
        <stp>002261</stp>
        <stp>12/31/2018</stp>
        <tr r="P164" s="1"/>
      </tp>
      <tp>
        <v>66.543741391475507</v>
        <stp/>
        <stp>EM_S_VAL_PCF_NCFTTM</stp>
        <stp>2</stp>
        <stp>002262</stp>
        <stp>12/31/2018</stp>
        <tr r="P1001" s="1"/>
      </tp>
      <tp>
        <v>28.490644312026401</v>
        <stp/>
        <stp>EM_S_VAL_PCF_NCFTTM</stp>
        <stp>2</stp>
        <stp>002263</stp>
        <stp>12/31/2018</stp>
        <tr r="P1203" s="1"/>
      </tp>
      <tp>
        <v>-11.614342663599899</v>
        <stp/>
        <stp>EM_S_VAL_PCF_NCFTTM</stp>
        <stp>2</stp>
        <stp>002268</stp>
        <stp>12/31/2018</stp>
        <tr r="P691" s="1"/>
      </tp>
      <tp>
        <v>-42.769787779317802</v>
        <stp/>
        <stp>EM_S_VAL_PCF_NCFTTM</stp>
        <stp>2</stp>
        <stp>002269</stp>
        <stp>12/31/2018</stp>
        <tr r="P1454" s="1"/>
      </tp>
      <tp>
        <v>34.507749363503798</v>
        <stp/>
        <stp>EM_S_VAL_PCF_NCFTTM</stp>
        <stp>2</stp>
        <stp>002274</stp>
        <stp>12/31/2018</stp>
        <tr r="P999" s="1"/>
      </tp>
      <tp>
        <v>31.671385072274902</v>
        <stp/>
        <stp>EM_S_VAL_PCF_NCFTTM</stp>
        <stp>2</stp>
        <stp>002275</stp>
        <stp>12/31/2018</stp>
        <tr r="P2210" s="1"/>
      </tp>
      <tp>
        <v>24.850452093783002</v>
        <stp/>
        <stp>EM_S_VAL_PCF_NCFTTM</stp>
        <stp>2</stp>
        <stp>002276</stp>
        <stp>12/31/2018</stp>
        <tr r="P361" s="1"/>
      </tp>
      <tp>
        <v>-8.7594919293716398</v>
        <stp/>
        <stp>EM_S_VAL_PCF_NCFTTM</stp>
        <stp>2</stp>
        <stp>002277</stp>
        <stp>12/31/2018</stp>
        <tr r="P2034" s="1"/>
      </tp>
      <tp>
        <v>8.1391469164602608</v>
        <stp/>
        <stp>EM_S_VAL_PCF_NCFTTM</stp>
        <stp>2</stp>
        <stp>002270</stp>
        <stp>12/31/2018</stp>
        <tr r="P2017" s="1"/>
      </tp>
      <tp>
        <v>-41.590685635142599</v>
        <stp/>
        <stp>EM_S_VAL_PCF_NCFTTM</stp>
        <stp>2</stp>
        <stp>002271</stp>
        <stp>12/31/2018</stp>
        <tr r="P152" s="1"/>
      </tp>
      <tp>
        <v>34.172678164481503</v>
        <stp/>
        <stp>EM_S_VAL_PCF_NCFTTM</stp>
        <stp>2</stp>
        <stp>002272</stp>
        <stp>12/31/2018</stp>
        <tr r="P1640" s="1"/>
      </tp>
      <tp>
        <v>22.898524988000499</v>
        <stp/>
        <stp>EM_S_VAL_PCF_NCFTTM</stp>
        <stp>2</stp>
        <stp>002273</stp>
        <stp>12/31/2018</stp>
        <tr r="P318" s="1"/>
      </tp>
      <tp>
        <v>-41.814828426207796</v>
        <stp/>
        <stp>EM_S_VAL_PCF_NCFTTM</stp>
        <stp>2</stp>
        <stp>002278</stp>
        <stp>12/31/2018</stp>
        <tr r="P2576" s="1"/>
      </tp>
      <tp>
        <v>-16.083246757236498</v>
        <stp/>
        <stp>EM_S_VAL_PCF_NCFTTM</stp>
        <stp>2</stp>
        <stp>002279</stp>
        <stp>12/31/2018</stp>
        <tr r="P2897" s="1"/>
      </tp>
      <tp>
        <v>-319.56042071287101</v>
        <stp/>
        <stp>EM_S_VAL_PCF_NCFTTM</stp>
        <stp>2</stp>
        <stp>603985</stp>
        <stp>12/31/2018</stp>
        <tr r="P3160" s="1"/>
      </tp>
      <tp>
        <v>-65.523219479606993</v>
        <stp/>
        <stp>EM_S_VAL_PCF_NCFTTM</stp>
        <stp>2</stp>
        <stp>603986</stp>
        <stp>12/31/2018</stp>
        <tr r="P35" s="1"/>
      </tp>
      <tp>
        <v>-49.694670325430202</v>
        <stp/>
        <stp>EM_S_VAL_PCF_NCFTTM</stp>
        <stp>2</stp>
        <stp>603987</stp>
        <stp>12/31/2018</stp>
        <tr r="P1117" s="1"/>
      </tp>
      <tp>
        <v>-13.3312402393633</v>
        <stp/>
        <stp>EM_S_VAL_PCF_NCFTTM</stp>
        <stp>2</stp>
        <stp>603980</stp>
        <stp>12/31/2018</stp>
        <tr r="P3238" s="1"/>
      </tp>
      <tp>
        <v>-29.526538217619599</v>
        <stp/>
        <stp>EM_S_VAL_PCF_NCFTTM</stp>
        <stp>2</stp>
        <stp>603988</stp>
        <stp>12/31/2018</stp>
        <tr r="P2544" s="1"/>
      </tp>
      <tp>
        <v>-20.313149033618998</v>
        <stp/>
        <stp>EM_S_VAL_PCF_NCFTTM</stp>
        <stp>2</stp>
        <stp>603989</stp>
        <stp>12/31/2018</stp>
        <tr r="P1726" s="1"/>
      </tp>
      <tp>
        <v>-24.920311365091901</v>
        <stp/>
        <stp>EM_S_VAL_PCF_NCFTTM</stp>
        <stp>2</stp>
        <stp>603996</stp>
        <stp>12/31/2018</stp>
        <tr r="P3243" s="1"/>
      </tp>
      <tp>
        <v>516.899895350826</v>
        <stp/>
        <stp>EM_S_VAL_PCF_NCFTTM</stp>
        <stp>2</stp>
        <stp>603997</stp>
        <stp>12/31/2018</stp>
        <tr r="P1914" s="1"/>
      </tp>
      <tp>
        <v>2916.5976835592501</v>
        <stp/>
        <stp>EM_S_VAL_PCF_NCFTTM</stp>
        <stp>2</stp>
        <stp>603990</stp>
        <stp>12/31/2018</stp>
        <tr r="P2011" s="1"/>
      </tp>
      <tp>
        <v>-271.64721403698798</v>
        <stp/>
        <stp>EM_S_VAL_PCF_NCFTTM</stp>
        <stp>2</stp>
        <stp>603991</stp>
        <stp>12/31/2018</stp>
        <tr r="P2590" s="1"/>
      </tp>
      <tp>
        <v>16.4939933841639</v>
        <stp/>
        <stp>EM_S_VAL_PCF_NCFTTM</stp>
        <stp>2</stp>
        <stp>603993</stp>
        <stp>12/31/2018</stp>
        <tr r="P1415" s="1"/>
      </tp>
      <tp>
        <v>-180.896088571425</v>
        <stp/>
        <stp>EM_S_VAL_PCF_NCFTTM</stp>
        <stp>2</stp>
        <stp>603998</stp>
        <stp>12/31/2018</stp>
        <tr r="P287" s="1"/>
      </tp>
      <tp>
        <v>-771.578769381803</v>
        <stp/>
        <stp>EM_S_VAL_PCF_NCFTTM</stp>
        <stp>2</stp>
        <stp>603999</stp>
        <stp>12/31/2018</stp>
        <tr r="P473" s="1"/>
      </tp>
      <tp>
        <v>-27.858498395350001</v>
        <stp/>
        <stp>EM_S_VAL_PCF_NCFTTM</stp>
        <stp>2</stp>
        <stp>603966</stp>
        <stp>12/31/2018</stp>
        <tr r="P1319" s="1"/>
      </tp>
      <tp>
        <v>-216.60924298494899</v>
        <stp/>
        <stp>EM_S_VAL_PCF_NCFTTM</stp>
        <stp>2</stp>
        <stp>603960</stp>
        <stp>12/31/2018</stp>
        <tr r="P1420" s="1"/>
      </tp>
      <tp>
        <v>-6.5217835414726402</v>
        <stp/>
        <stp>EM_S_VAL_PCF_NCFTTM</stp>
        <stp>2</stp>
        <stp>603963</stp>
        <stp>12/31/2018</stp>
        <tr r="P2617" s="1"/>
      </tp>
      <tp>
        <v>68.353271000781604</v>
        <stp/>
        <stp>EM_S_VAL_PCF_NCFTTM</stp>
        <stp>2</stp>
        <stp>603968</stp>
        <stp>12/31/2018</stp>
        <tr r="P1405" s="1"/>
      </tp>
      <tp>
        <v>23.2791930019341</v>
        <stp/>
        <stp>EM_S_VAL_PCF_NCFTTM</stp>
        <stp>2</stp>
        <stp>603969</stp>
        <stp>12/31/2018</stp>
        <tr r="P2760" s="1"/>
      </tp>
      <tp>
        <v>-40.805343306124598</v>
        <stp/>
        <stp>EM_S_VAL_PCF_NCFTTM</stp>
        <stp>2</stp>
        <stp>603976</stp>
        <stp>12/31/2018</stp>
        <tr r="P1880" s="1"/>
      </tp>
      <tp>
        <v>31.2772451761581</v>
        <stp/>
        <stp>EM_S_VAL_PCF_NCFTTM</stp>
        <stp>2</stp>
        <stp>603977</stp>
        <stp>12/31/2018</stp>
        <tr r="P1382" s="1"/>
      </tp>
      <tp>
        <v>31.47201496393</v>
        <stp/>
        <stp>EM_S_VAL_PCF_NCFTTM</stp>
        <stp>2</stp>
        <stp>603970</stp>
        <stp>12/31/2018</stp>
        <tr r="P3016" s="1"/>
      </tp>
      <tp>
        <v>-12.693434031734901</v>
        <stp/>
        <stp>EM_S_VAL_PCF_NCFTTM</stp>
        <stp>2</stp>
        <stp>603978</stp>
        <stp>12/31/2018</stp>
        <tr r="P780" s="1"/>
      </tp>
      <tp>
        <v>-50.790953770039202</v>
        <stp/>
        <stp>EM_S_VAL_PCF_NCFTTM</stp>
        <stp>2</stp>
        <stp>603979</stp>
        <stp>12/31/2018</stp>
        <tr r="P1297" s="1"/>
      </tp>
      <tp>
        <v>52.259296758661499</v>
        <stp/>
        <stp>EM_S_VAL_PCF_NCFTTM</stp>
        <stp>2</stp>
        <stp>603955</stp>
        <stp>12/31/2018</stp>
        <tr r="P1547" s="1"/>
      </tp>
      <tp>
        <v>-98.785550534629493</v>
        <stp/>
        <stp>EM_S_VAL_PCF_NCFTTM</stp>
        <stp>2</stp>
        <stp>603958</stp>
        <stp>12/31/2018</stp>
        <tr r="P2677" s="1"/>
      </tp>
      <tp>
        <v>121.316618807789</v>
        <stp/>
        <stp>EM_S_VAL_PCF_NCFTTM</stp>
        <stp>2</stp>
        <stp>603959</stp>
        <stp>12/31/2018</stp>
        <tr r="P3275" s="1"/>
      </tp>
      <tp>
        <v>55.192662691301599</v>
        <stp/>
        <stp>EM_S_VAL_PCF_NCFTTM</stp>
        <stp>2</stp>
        <stp>603926</stp>
        <stp>12/31/2018</stp>
        <tr r="P2907" s="1"/>
      </tp>
      <tp>
        <v>190.30422218350199</v>
        <stp/>
        <stp>EM_S_VAL_PCF_NCFTTM</stp>
        <stp>2</stp>
        <stp>603920</stp>
        <stp>12/31/2018</stp>
        <tr r="P354" s="1"/>
      </tp>
      <tp>
        <v>15.3864351617813</v>
        <stp/>
        <stp>EM_S_VAL_PCF_NCFTTM</stp>
        <stp>2</stp>
        <stp>603922</stp>
        <stp>12/31/2018</stp>
        <tr r="P2100" s="1"/>
      </tp>
      <tp>
        <v>-41.407930941757698</v>
        <stp/>
        <stp>EM_S_VAL_PCF_NCFTTM</stp>
        <stp>2</stp>
        <stp>603928</stp>
        <stp>12/31/2018</stp>
        <tr r="P2878" s="1"/>
      </tp>
      <tp>
        <v>-69.003628793978805</v>
        <stp/>
        <stp>EM_S_VAL_PCF_NCFTTM</stp>
        <stp>2</stp>
        <stp>603929</stp>
        <stp>12/31/2018</stp>
        <tr r="P2220" s="1"/>
      </tp>
      <tp>
        <v>42.363016828288103</v>
        <stp/>
        <stp>EM_S_VAL_PCF_NCFTTM</stp>
        <stp>2</stp>
        <stp>603936</stp>
        <stp>12/31/2018</stp>
        <tr r="P1179" s="1"/>
      </tp>
      <tp>
        <v>40.1833710902497</v>
        <stp/>
        <stp>EM_S_VAL_PCF_NCFTTM</stp>
        <stp>2</stp>
        <stp>603937</stp>
        <stp>12/31/2018</stp>
        <tr r="P2150" s="1"/>
      </tp>
      <tp>
        <v>-1240.1516250877701</v>
        <stp/>
        <stp>EM_S_VAL_PCF_NCFTTM</stp>
        <stp>2</stp>
        <stp>603933</stp>
        <stp>12/31/2018</stp>
        <tr r="P2900" s="1"/>
      </tp>
      <tp>
        <v>50.702287152548898</v>
        <stp/>
        <stp>EM_S_VAL_PCF_NCFTTM</stp>
        <stp>2</stp>
        <stp>603938</stp>
        <stp>12/31/2018</stp>
        <tr r="P1870" s="1"/>
      </tp>
      <tp>
        <v>87.929674219469206</v>
        <stp/>
        <stp>EM_S_VAL_PCF_NCFTTM</stp>
        <stp>2</stp>
        <stp>603939</stp>
        <stp>12/31/2018</stp>
        <tr r="P285" s="1"/>
      </tp>
      <tp>
        <v>86.150306886865096</v>
        <stp/>
        <stp>EM_S_VAL_PCF_NCFTTM</stp>
        <stp>2</stp>
        <stp>603906</stp>
        <stp>12/31/2018</stp>
        <tr r="P1119" s="1"/>
      </tp>
      <tp>
        <v>-38.300142439877597</v>
        <stp/>
        <stp>EM_S_VAL_PCF_NCFTTM</stp>
        <stp>2</stp>
        <stp>603900</stp>
        <stp>12/31/2018</stp>
        <tr r="P3083" s="1"/>
      </tp>
      <tp>
        <v>9.0538472055184602</v>
        <stp/>
        <stp>EM_S_VAL_PCF_NCFTTM</stp>
        <stp>2</stp>
        <stp>603901</stp>
        <stp>12/31/2018</stp>
        <tr r="P415" s="1"/>
      </tp>
      <tp>
        <v>22.583002057944</v>
        <stp/>
        <stp>EM_S_VAL_PCF_NCFTTM</stp>
        <stp>2</stp>
        <stp>603903</stp>
        <stp>12/31/2018</stp>
        <tr r="P3225" s="1"/>
      </tp>
      <tp>
        <v>-117.45454790018501</v>
        <stp/>
        <stp>EM_S_VAL_PCF_NCFTTM</stp>
        <stp>2</stp>
        <stp>603908</stp>
        <stp>12/31/2018</stp>
        <tr r="P2189" s="1"/>
      </tp>
      <tp>
        <v>-1295.73029654125</v>
        <stp/>
        <stp>EM_S_VAL_PCF_NCFTTM</stp>
        <stp>2</stp>
        <stp>603909</stp>
        <stp>12/31/2018</stp>
        <tr r="P3356" s="1"/>
      </tp>
      <tp>
        <v>43.6083152071581</v>
        <stp/>
        <stp>EM_S_VAL_PCF_NCFTTM</stp>
        <stp>2</stp>
        <stp>603916</stp>
        <stp>12/31/2018</stp>
        <tr r="P639" s="1"/>
      </tp>
      <tp>
        <v>-276.77746869577402</v>
        <stp/>
        <stp>EM_S_VAL_PCF_NCFTTM</stp>
        <stp>2</stp>
        <stp>603917</stp>
        <stp>12/31/2018</stp>
        <tr r="P2852" s="1"/>
      </tp>
      <tp>
        <v>-110.512366317339</v>
        <stp/>
        <stp>EM_S_VAL_PCF_NCFTTM</stp>
        <stp>2</stp>
        <stp>603912</stp>
        <stp>12/31/2018</stp>
        <tr r="P2116" s="1"/>
      </tp>
      <tp>
        <v>-72.849663309701995</v>
        <stp/>
        <stp>EM_S_VAL_PCF_NCFTTM</stp>
        <stp>2</stp>
        <stp>603918</stp>
        <stp>12/31/2018</stp>
        <tr r="P2585" s="1"/>
      </tp>
      <tp>
        <v>29.2611619983408</v>
        <stp/>
        <stp>EM_S_VAL_PCF_NCFTTM</stp>
        <stp>2</stp>
        <stp>603919</stp>
        <stp>12/31/2018</stp>
        <tr r="P540" s="1"/>
      </tp>
      <tp>
        <v>37.316483520674403</v>
        <stp/>
        <stp>EM_S_VAL_PCF_NCFTTM</stp>
        <stp>2</stp>
        <stp>603885</stp>
        <stp>12/31/2018</stp>
        <tr r="P1184" s="1"/>
      </tp>
      <tp>
        <v>-24.9103022186689</v>
        <stp/>
        <stp>EM_S_VAL_PCF_NCFTTM</stp>
        <stp>2</stp>
        <stp>603886</stp>
        <stp>12/31/2018</stp>
        <tr r="P2380" s="1"/>
      </tp>
      <tp>
        <v>-39.471915277774301</v>
        <stp/>
        <stp>EM_S_VAL_PCF_NCFTTM</stp>
        <stp>2</stp>
        <stp>603887</stp>
        <stp>12/31/2018</stp>
        <tr r="P293" s="1"/>
      </tp>
      <tp>
        <v>-60.113953320414701</v>
        <stp/>
        <stp>EM_S_VAL_PCF_NCFTTM</stp>
        <stp>2</stp>
        <stp>603880</stp>
        <stp>12/31/2018</stp>
        <tr r="P2774" s="1"/>
      </tp>
      <tp>
        <v>-81.683033719732705</v>
        <stp/>
        <stp>EM_S_VAL_PCF_NCFTTM</stp>
        <stp>2</stp>
        <stp>603881</stp>
        <stp>12/31/2018</stp>
        <tr r="P513" s="1"/>
      </tp>
      <tp>
        <v>-176.465427276946</v>
        <stp/>
        <stp>EM_S_VAL_PCF_NCFTTM</stp>
        <stp>2</stp>
        <stp>603882</stp>
        <stp>12/31/2018</stp>
        <tr r="P116" s="1"/>
      </tp>
      <tp>
        <v>-179.25049229097499</v>
        <stp/>
        <stp>EM_S_VAL_PCF_NCFTTM</stp>
        <stp>2</stp>
        <stp>603883</stp>
        <stp>12/31/2018</stp>
        <tr r="P819" s="1"/>
      </tp>
      <tp>
        <v>111.21218307297001</v>
        <stp/>
        <stp>EM_S_VAL_PCF_NCFTTM</stp>
        <stp>2</stp>
        <stp>603888</stp>
        <stp>12/31/2018</stp>
        <tr r="P402" s="1"/>
      </tp>
      <tp>
        <v>-8.9015544253286905</v>
        <stp/>
        <stp>EM_S_VAL_PCF_NCFTTM</stp>
        <stp>2</stp>
        <stp>603889</stp>
        <stp>12/31/2018</stp>
        <tr r="P3265" s="1"/>
      </tp>
      <tp>
        <v>32.544833515583797</v>
        <stp/>
        <stp>EM_S_VAL_PCF_NCFTTM</stp>
        <stp>2</stp>
        <stp>603895</stp>
        <stp>12/31/2018</stp>
        <tr r="P2804" s="1"/>
      </tp>
      <tp>
        <v>-107.310453603705</v>
        <stp/>
        <stp>EM_S_VAL_PCF_NCFTTM</stp>
        <stp>2</stp>
        <stp>603896</stp>
        <stp>12/31/2018</stp>
        <tr r="P1605" s="1"/>
      </tp>
      <tp>
        <v>50.178463679094698</v>
        <stp/>
        <stp>EM_S_VAL_PCF_NCFTTM</stp>
        <stp>2</stp>
        <stp>603897</stp>
        <stp>12/31/2018</stp>
        <tr r="P2927" s="1"/>
      </tp>
      <tp>
        <v>6.6196773260997599</v>
        <stp/>
        <stp>EM_S_VAL_PCF_NCFTTM</stp>
        <stp>2</stp>
        <stp>603890</stp>
        <stp>12/31/2018</stp>
        <tr r="P2755" s="1"/>
      </tp>
      <tp>
        <v>112.646191734821</v>
        <stp/>
        <stp>EM_S_VAL_PCF_NCFTTM</stp>
        <stp>2</stp>
        <stp>603898</stp>
        <stp>12/31/2018</stp>
        <tr r="P2001" s="1"/>
      </tp>
      <tp>
        <v>108.497401352873</v>
        <stp/>
        <stp>EM_S_VAL_PCF_NCFTTM</stp>
        <stp>2</stp>
        <stp>603899</stp>
        <stp>12/31/2018</stp>
        <tr r="P439" s="1"/>
      </tp>
      <tp>
        <v>25.213710433487702</v>
        <stp/>
        <stp>EM_S_VAL_PCF_NCFTTM</stp>
        <stp>2</stp>
        <stp>603866</stp>
        <stp>12/31/2018</stp>
        <tr r="P2655" s="1"/>
      </tp>
      <tp>
        <v>-9.8965354270685193</v>
        <stp/>
        <stp>EM_S_VAL_PCF_NCFTTM</stp>
        <stp>2</stp>
        <stp>603860</stp>
        <stp>12/31/2018</stp>
        <tr r="P1627" s="1"/>
      </tp>
      <tp>
        <v>13.7322744494329</v>
        <stp/>
        <stp>EM_S_VAL_PCF_NCFTTM</stp>
        <stp>2</stp>
        <stp>603861</stp>
        <stp>12/31/2018</stp>
        <tr r="P3153" s="1"/>
      </tp>
      <tp>
        <v>-41.558092615112898</v>
        <stp/>
        <stp>EM_S_VAL_PCF_NCFTTM</stp>
        <stp>2</stp>
        <stp>603868</stp>
        <stp>12/31/2018</stp>
        <tr r="P2443" s="1"/>
      </tp>
      <tp>
        <v>-18.2078343843142</v>
        <stp/>
        <stp>EM_S_VAL_PCF_NCFTTM</stp>
        <stp>2</stp>
        <stp>603869</stp>
        <stp>12/31/2018</stp>
        <tr r="P3074" s="1"/>
      </tp>
      <tp>
        <v>33.440388499284303</v>
        <stp/>
        <stp>EM_S_VAL_PCF_NCFTTM</stp>
        <stp>2</stp>
        <stp>603876</stp>
        <stp>12/31/2018</stp>
        <tr r="P2926" s="1"/>
      </tp>
      <tp>
        <v>-24.252399180287899</v>
        <stp/>
        <stp>EM_S_VAL_PCF_NCFTTM</stp>
        <stp>2</stp>
        <stp>603877</stp>
        <stp>12/31/2018</stp>
        <tr r="P2990" s="1"/>
      </tp>
      <tp>
        <v>8.8123586830846392</v>
        <stp/>
        <stp>EM_S_VAL_PCF_NCFTTM</stp>
        <stp>2</stp>
        <stp>603871</stp>
        <stp>12/31/2018</stp>
        <tr r="P2770" s="1"/>
      </tp>
      <tp>
        <v>12.1563087782362</v>
        <stp/>
        <stp>EM_S_VAL_PCF_NCFTTM</stp>
        <stp>2</stp>
        <stp>603878</stp>
        <stp>12/31/2018</stp>
        <tr r="P2363" s="1"/>
      </tp>
      <tp>
        <v>-323187.63436803099</v>
        <stp/>
        <stp>EM_S_VAL_PCF_NCFTTM</stp>
        <stp>2</stp>
        <stp>603879</stp>
        <stp>12/31/2018</stp>
        <tr r="P1251" s="1"/>
      </tp>
      <tp>
        <v>-7.5797497890239098</v>
        <stp/>
        <stp>EM_S_VAL_PCF_NCFTTM</stp>
        <stp>2</stp>
        <stp>603843</stp>
        <stp>12/31/2018</stp>
        <tr r="P3316" s="1"/>
      </tp>
      <tp>
        <v>-93.512300275939197</v>
        <stp/>
        <stp>EM_S_VAL_PCF_NCFTTM</stp>
        <stp>2</stp>
        <stp>603848</stp>
        <stp>12/31/2018</stp>
        <tr r="P2703" s="1"/>
      </tp>
      <tp>
        <v>-1630.5958478699799</v>
        <stp/>
        <stp>EM_S_VAL_PCF_NCFTTM</stp>
        <stp>2</stp>
        <stp>603855</stp>
        <stp>12/31/2018</stp>
        <tr r="P1126" s="1"/>
      </tp>
      <tp>
        <v>24.144348490306601</v>
        <stp/>
        <stp>EM_S_VAL_PCF_NCFTTM</stp>
        <stp>2</stp>
        <stp>603856</stp>
        <stp>12/31/2018</stp>
        <tr r="P2996" s="1"/>
      </tp>
      <tp>
        <v>19.4342979965494</v>
        <stp/>
        <stp>EM_S_VAL_PCF_NCFTTM</stp>
        <stp>2</stp>
        <stp>603858</stp>
        <stp>12/31/2018</stp>
        <tr r="P3059" s="1"/>
      </tp>
      <tp>
        <v>-60.248627709304898</v>
        <stp/>
        <stp>EM_S_VAL_PCF_NCFTTM</stp>
        <stp>2</stp>
        <stp>603859</stp>
        <stp>12/31/2018</stp>
        <tr r="P443" s="1"/>
      </tp>
      <tp>
        <v>20.1748696521949</v>
        <stp/>
        <stp>EM_S_VAL_PCF_NCFTTM</stp>
        <stp>2</stp>
        <stp>603825</stp>
        <stp>12/31/2018</stp>
        <tr r="P901" s="1"/>
      </tp>
      <tp>
        <v>-206.518343283582</v>
        <stp/>
        <stp>EM_S_VAL_PCF_NCFTTM</stp>
        <stp>2</stp>
        <stp>603826</stp>
        <stp>12/31/2018</stp>
        <tr r="P1431" s="1"/>
      </tp>
      <tp>
        <v>-82.695423658450693</v>
        <stp/>
        <stp>EM_S_VAL_PCF_NCFTTM</stp>
        <stp>2</stp>
        <stp>603822</stp>
        <stp>12/31/2018</stp>
        <tr r="P1362" s="1"/>
      </tp>
      <tp>
        <v>-291.36281481859999</v>
        <stp/>
        <stp>EM_S_VAL_PCF_NCFTTM</stp>
        <stp>2</stp>
        <stp>603823</stp>
        <stp>12/31/2018</stp>
        <tr r="P322" s="1"/>
      </tp>
      <tp>
        <v>17.7483305155456</v>
        <stp/>
        <stp>EM_S_VAL_PCF_NCFTTM</stp>
        <stp>2</stp>
        <stp>603828</stp>
        <stp>12/31/2018</stp>
        <tr r="P3237" s="1"/>
      </tp>
      <tp>
        <v>10.8014426981014</v>
        <stp/>
        <stp>EM_S_VAL_PCF_NCFTTM</stp>
        <stp>2</stp>
        <stp>603829</stp>
        <stp>12/31/2018</stp>
        <tr r="P1573" s="1"/>
      </tp>
      <tp>
        <v>-34.698873588649398</v>
        <stp/>
        <stp>EM_S_VAL_PCF_NCFTTM</stp>
        <stp>2</stp>
        <stp>603833</stp>
        <stp>12/31/2018</stp>
        <tr r="P634" s="1"/>
      </tp>
      <tp>
        <v>-30.9106051346279</v>
        <stp/>
        <stp>EM_S_VAL_PCF_NCFTTM</stp>
        <stp>2</stp>
        <stp>603838</stp>
        <stp>12/31/2018</stp>
        <tr r="P2880" s="1"/>
      </tp>
      <tp>
        <v>-52.712162930222703</v>
        <stp/>
        <stp>EM_S_VAL_PCF_NCFTTM</stp>
        <stp>2</stp>
        <stp>603839</stp>
        <stp>12/31/2018</stp>
        <tr r="P1152" s="1"/>
      </tp>
      <tp>
        <v>115.654563086927</v>
        <stp/>
        <stp>EM_S_VAL_PCF_NCFTTM</stp>
        <stp>2</stp>
        <stp>603806</stp>
        <stp>12/31/2018</stp>
        <tr r="P249" s="1"/>
      </tp>
      <tp>
        <v>96.531986123941493</v>
        <stp/>
        <stp>EM_S_VAL_PCF_NCFTTM</stp>
        <stp>2</stp>
        <stp>603800</stp>
        <stp>12/31/2018</stp>
        <tr r="P1378" s="1"/>
      </tp>
      <tp>
        <v>-113.55358066539399</v>
        <stp/>
        <stp>EM_S_VAL_PCF_NCFTTM</stp>
        <stp>2</stp>
        <stp>603801</stp>
        <stp>12/31/2018</stp>
        <tr r="P2581" s="1"/>
      </tp>
      <tp>
        <v>-33.351230244378399</v>
        <stp/>
        <stp>EM_S_VAL_PCF_NCFTTM</stp>
        <stp>2</stp>
        <stp>603803</stp>
        <stp>12/31/2018</stp>
        <tr r="P1040" s="1"/>
      </tp>
      <tp>
        <v>55.363986873433198</v>
        <stp/>
        <stp>EM_S_VAL_PCF_NCFTTM</stp>
        <stp>2</stp>
        <stp>603808</stp>
        <stp>12/31/2018</stp>
        <tr r="P2714" s="1"/>
      </tp>
      <tp>
        <v>-104.320096164438</v>
        <stp/>
        <stp>EM_S_VAL_PCF_NCFTTM</stp>
        <stp>2</stp>
        <stp>603809</stp>
        <stp>12/31/2018</stp>
        <tr r="P3285" s="1"/>
      </tp>
      <tp>
        <v>12.9155527002213</v>
        <stp/>
        <stp>EM_S_VAL_PCF_NCFTTM</stp>
        <stp>2</stp>
        <stp>603816</stp>
        <stp>12/31/2018</stp>
        <tr r="P2230" s="1"/>
      </tp>
      <tp>
        <v>-32.228967147683903</v>
        <stp/>
        <stp>EM_S_VAL_PCF_NCFTTM</stp>
        <stp>2</stp>
        <stp>603817</stp>
        <stp>12/31/2018</stp>
        <tr r="P1638" s="1"/>
      </tp>
      <tp>
        <v>-19.367903802687501</v>
        <stp/>
        <stp>EM_S_VAL_PCF_NCFTTM</stp>
        <stp>2</stp>
        <stp>603811</stp>
        <stp>12/31/2018</stp>
        <tr r="P503" s="1"/>
      </tp>
      <tp>
        <v>-9.5402613247236197</v>
        <stp/>
        <stp>EM_S_VAL_PCF_NCFTTM</stp>
        <stp>2</stp>
        <stp>603813</stp>
        <stp>12/31/2018</stp>
        <tr r="P2153" s="1"/>
      </tp>
      <tp>
        <v>-27.0296423805739</v>
        <stp/>
        <stp>EM_S_VAL_PCF_NCFTTM</stp>
        <stp>2</stp>
        <stp>603818</stp>
        <stp>12/31/2018</stp>
        <tr r="P1096" s="1"/>
      </tp>
      <tp>
        <v>13.144717150290999</v>
        <stp/>
        <stp>EM_S_VAL_PCF_NCFTTM</stp>
        <stp>2</stp>
        <stp>603819</stp>
        <stp>12/31/2018</stp>
        <tr r="P2892" s="1"/>
      </tp>
      <tp>
        <v>7.21862793405516</v>
        <stp/>
        <stp>EM_S_VAL_PCF_NCFTTM</stp>
        <stp>2</stp>
        <stp>603585</stp>
        <stp>12/31/2018</stp>
        <tr r="P2125" s="1"/>
      </tp>
      <tp>
        <v>-6.2339142995714703</v>
        <stp/>
        <stp>EM_S_VAL_PCF_NCFTTM</stp>
        <stp>2</stp>
        <stp>603586</stp>
        <stp>12/31/2018</stp>
        <tr r="P698" s="1"/>
      </tp>
      <tp>
        <v>15.334579271248201</v>
        <stp/>
        <stp>EM_S_VAL_PCF_NCFTTM</stp>
        <stp>2</stp>
        <stp>603587</stp>
        <stp>12/31/2018</stp>
        <tr r="P1574" s="1"/>
      </tp>
      <tp>
        <v>110.421440999586</v>
        <stp/>
        <stp>EM_S_VAL_PCF_NCFTTM</stp>
        <stp>2</stp>
        <stp>603580</stp>
        <stp>12/31/2018</stp>
        <tr r="P3094" s="1"/>
      </tp>
      <tp>
        <v>10.8359279807812</v>
        <stp/>
        <stp>EM_S_VAL_PCF_NCFTTM</stp>
        <stp>2</stp>
        <stp>603588</stp>
        <stp>12/31/2018</stp>
        <tr r="P1304" s="1"/>
      </tp>
      <tp>
        <v>-148.80779639305999</v>
        <stp/>
        <stp>EM_S_VAL_PCF_NCFTTM</stp>
        <stp>2</stp>
        <stp>603589</stp>
        <stp>12/31/2018</stp>
        <tr r="P454" s="1"/>
      </tp>
      <tp>
        <v>-1147.4326426233499</v>
        <stp/>
        <stp>EM_S_VAL_PCF_NCFTTM</stp>
        <stp>2</stp>
        <stp>603595</stp>
        <stp>12/31/2018</stp>
        <tr r="P3013" s="1"/>
      </tp>
      <tp>
        <v>46.7066832133075</v>
        <stp/>
        <stp>EM_S_VAL_PCF_NCFTTM</stp>
        <stp>2</stp>
        <stp>603596</stp>
        <stp>12/31/2018</stp>
        <tr r="P2425" s="1"/>
      </tp>
      <tp>
        <v>13.627542341522499</v>
        <stp/>
        <stp>EM_S_VAL_PCF_NCFTTM</stp>
        <stp>2</stp>
        <stp>603598</stp>
        <stp>12/31/2018</stp>
        <tr r="P273" s="1"/>
      </tp>
      <tp>
        <v>6.7250377025055998</v>
        <stp/>
        <stp>EM_S_VAL_PCF_NCFTTM</stp>
        <stp>2</stp>
        <stp>603599</stp>
        <stp>12/31/2018</stp>
        <tr r="P724" s="1"/>
      </tp>
      <tp>
        <v>419.558249384296</v>
        <stp/>
        <stp>EM_S_VAL_PCF_NCFTTM</stp>
        <stp>2</stp>
        <stp>603566</stp>
        <stp>12/31/2018</stp>
        <tr r="P482" s="1"/>
      </tp>
      <tp>
        <v>19.560974630145701</v>
        <stp/>
        <stp>EM_S_VAL_PCF_NCFTTM</stp>
        <stp>2</stp>
        <stp>603567</stp>
        <stp>12/31/2018</stp>
        <tr r="P2492" s="1"/>
      </tp>
      <tp>
        <v>96.156309693270998</v>
        <stp/>
        <stp>EM_S_VAL_PCF_NCFTTM</stp>
        <stp>2</stp>
        <stp>603568</stp>
        <stp>12/31/2018</stp>
        <tr r="P2253" s="1"/>
      </tp>
      <tp>
        <v>-44.928315600562698</v>
        <stp/>
        <stp>EM_S_VAL_PCF_NCFTTM</stp>
        <stp>2</stp>
        <stp>603569</stp>
        <stp>12/31/2018</stp>
        <tr r="P2510" s="1"/>
      </tp>
      <tp>
        <v>-16.599696167459602</v>
        <stp/>
        <stp>EM_S_VAL_PCF_NCFTTM</stp>
        <stp>2</stp>
        <stp>603577</stp>
        <stp>12/31/2018</stp>
        <tr r="P1423" s="1"/>
      </tp>
      <tp>
        <v>-17.928122836180499</v>
        <stp/>
        <stp>EM_S_VAL_PCF_NCFTTM</stp>
        <stp>2</stp>
        <stp>603578</stp>
        <stp>12/31/2018</stp>
        <tr r="P1869" s="1"/>
      </tp>
      <tp>
        <v>-6.3357462880411699</v>
        <stp/>
        <stp>EM_S_VAL_PCF_NCFTTM</stp>
        <stp>2</stp>
        <stp>603579</stp>
        <stp>12/31/2018</stp>
        <tr r="P1908" s="1"/>
      </tp>
      <tp>
        <v>-16.835199712615701</v>
        <stp/>
        <stp>EM_S_VAL_PCF_NCFTTM</stp>
        <stp>2</stp>
        <stp>603555</stp>
        <stp>12/31/2018</stp>
        <tr r="P2224" s="1"/>
      </tp>
      <tp>
        <v>-16.924412441293502</v>
        <stp/>
        <stp>EM_S_VAL_PCF_NCFTTM</stp>
        <stp>2</stp>
        <stp>603556</stp>
        <stp>12/31/2018</stp>
        <tr r="P1158" s="1"/>
      </tp>
      <tp>
        <v>-20.366959206982099</v>
        <stp/>
        <stp>EM_S_VAL_PCF_NCFTTM</stp>
        <stp>2</stp>
        <stp>603557</stp>
        <stp>12/31/2018</stp>
        <tr r="P1610" s="1"/>
      </tp>
      <tp>
        <v>-402.449423559629</v>
        <stp/>
        <stp>EM_S_VAL_PCF_NCFTTM</stp>
        <stp>2</stp>
        <stp>603558</stp>
        <stp>12/31/2018</stp>
        <tr r="P2587" s="1"/>
      </tp>
      <tp>
        <v>61.1491575103096</v>
        <stp/>
        <stp>EM_S_VAL_PCF_NCFTTM</stp>
        <stp>2</stp>
        <stp>603559</stp>
        <stp>12/31/2018</stp>
        <tr r="P3183" s="1"/>
      </tp>
      <tp>
        <v>-95.521096802783106</v>
        <stp/>
        <stp>EM_S_VAL_PCF_NCFTTM</stp>
        <stp>2</stp>
        <stp>603527</stp>
        <stp>12/31/2018</stp>
        <tr r="P1518" s="1"/>
      </tp>
      <tp>
        <v>46.028258967295798</v>
        <stp/>
        <stp>EM_S_VAL_PCF_NCFTTM</stp>
        <stp>2</stp>
        <stp>603520</stp>
        <stp>12/31/2018</stp>
        <tr r="P419" s="1"/>
      </tp>
      <tp>
        <v>-13.7621500410339</v>
        <stp/>
        <stp>EM_S_VAL_PCF_NCFTTM</stp>
        <stp>2</stp>
        <stp>603528</stp>
        <stp>12/31/2018</stp>
        <tr r="P1609" s="1"/>
      </tp>
      <tp>
        <v>68.440665027319298</v>
        <stp/>
        <stp>EM_S_VAL_PCF_NCFTTM</stp>
        <stp>2</stp>
        <stp>603535</stp>
        <stp>12/31/2018</stp>
        <tr r="P2420" s="1"/>
      </tp>
      <tp>
        <v>-67.496452042423996</v>
        <stp/>
        <stp>EM_S_VAL_PCF_NCFTTM</stp>
        <stp>2</stp>
        <stp>603536</stp>
        <stp>12/31/2018</stp>
        <tr r="P60" s="1"/>
      </tp>
      <tp>
        <v>-11.996074401865499</v>
        <stp/>
        <stp>EM_S_VAL_PCF_NCFTTM</stp>
        <stp>2</stp>
        <stp>603533</stp>
        <stp>12/31/2018</stp>
        <tr r="P2569" s="1"/>
      </tp>
      <tp>
        <v>-267.90231630036101</v>
        <stp/>
        <stp>EM_S_VAL_PCF_NCFTTM</stp>
        <stp>2</stp>
        <stp>603538</stp>
        <stp>12/31/2018</stp>
        <tr r="P1150" s="1"/>
      </tp>
      <tp>
        <v>73.463542265797699</v>
        <stp/>
        <stp>EM_S_VAL_PCF_NCFTTM</stp>
        <stp>2</stp>
        <stp>603505</stp>
        <stp>12/31/2018</stp>
        <tr r="P335" s="1"/>
      </tp>
      <tp>
        <v>-13.3929518385631</v>
        <stp/>
        <stp>EM_S_VAL_PCF_NCFTTM</stp>
        <stp>2</stp>
        <stp>603506</stp>
        <stp>12/31/2018</stp>
        <tr r="P2595" s="1"/>
      </tp>
      <tp>
        <v>31.787148525326</v>
        <stp/>
        <stp>EM_S_VAL_PCF_NCFTTM</stp>
        <stp>2</stp>
        <stp>603507</stp>
        <stp>12/31/2018</stp>
        <tr r="P2178" s="1"/>
      </tp>
      <tp>
        <v>-66.598335452746696</v>
        <stp/>
        <stp>EM_S_VAL_PCF_NCFTTM</stp>
        <stp>2</stp>
        <stp>603500</stp>
        <stp>12/31/2018</stp>
        <tr r="P1345" s="1"/>
      </tp>
      <tp>
        <v>275.93879305656799</v>
        <stp/>
        <stp>EM_S_VAL_PCF_NCFTTM</stp>
        <stp>2</stp>
        <stp>603501</stp>
        <stp>12/31/2018</stp>
        <tr r="P18" s="1"/>
      </tp>
      <tp>
        <v>-81.229992162373193</v>
        <stp/>
        <stp>EM_S_VAL_PCF_NCFTTM</stp>
        <stp>2</stp>
        <stp>603508</stp>
        <stp>12/31/2018</stp>
        <tr r="P586" s="1"/>
      </tp>
      <tp>
        <v>312.87575081821899</v>
        <stp/>
        <stp>EM_S_VAL_PCF_NCFTTM</stp>
        <stp>2</stp>
        <stp>603515</stp>
        <stp>12/31/2018</stp>
        <tr r="P2247" s="1"/>
      </tp>
      <tp>
        <v>75.326119841107101</v>
        <stp/>
        <stp>EM_S_VAL_PCF_NCFTTM</stp>
        <stp>2</stp>
        <stp>603516</stp>
        <stp>12/31/2018</stp>
        <tr r="P366" s="1"/>
      </tp>
      <tp>
        <v>-48.763423288115298</v>
        <stp/>
        <stp>EM_S_VAL_PCF_NCFTTM</stp>
        <stp>2</stp>
        <stp>603517</stp>
        <stp>12/31/2018</stp>
        <tr r="P793" s="1"/>
      </tp>
      <tp>
        <v>11.397962987743</v>
        <stp/>
        <stp>EM_S_VAL_PCF_NCFTTM</stp>
        <stp>2</stp>
        <stp>603518</stp>
        <stp>12/31/2018</stp>
        <tr r="P3366" s="1"/>
      </tp>
      <tp>
        <v>-141.978497191294</v>
        <stp/>
        <stp>EM_S_VAL_PCF_NCFTTM</stp>
        <stp>2</stp>
        <stp>603519</stp>
        <stp>12/31/2018</stp>
        <tr r="P531" s="1"/>
      </tp>
      <tp>
        <v>223.02011093277099</v>
        <stp/>
        <stp>EM_S_VAL_PCF_NCFTTM</stp>
        <stp>2</stp>
        <stp>603486</stp>
        <stp>12/31/2018</stp>
        <tr r="P3384" s="1"/>
      </tp>
      <tp>
        <v>239.287088659988</v>
        <stp/>
        <stp>EM_S_VAL_PCF_NCFTTM</stp>
        <stp>2</stp>
        <stp>603488</stp>
        <stp>12/31/2018</stp>
        <tr r="P1208" s="1"/>
      </tp>
      <tp>
        <v>29.323524875309499</v>
        <stp/>
        <stp>EM_S_VAL_PCF_NCFTTM</stp>
        <stp>2</stp>
        <stp>603496</stp>
        <stp>12/31/2018</stp>
        <tr r="P2724" s="1"/>
      </tp>
      <tp>
        <v>49.253204376682902</v>
        <stp/>
        <stp>EM_S_VAL_PCF_NCFTTM</stp>
        <stp>2</stp>
        <stp>603499</stp>
        <stp>12/31/2018</stp>
        <tr r="P3091" s="1"/>
      </tp>
      <tp>
        <v>5.4751340504449804</v>
        <stp/>
        <stp>EM_S_VAL_PCF_NCFTTM</stp>
        <stp>2</stp>
        <stp>603466</stp>
        <stp>12/31/2018</stp>
        <tr r="P2505" s="1"/>
      </tp>
      <tp>
        <v>7.8380819321289303</v>
        <stp/>
        <stp>EM_S_VAL_PCF_NCFTTM</stp>
        <stp>2</stp>
        <stp>603477</stp>
        <stp>12/31/2018</stp>
        <tr r="P496" s="1"/>
      </tp>
      <tp>
        <v>-88.016495155865201</v>
        <stp/>
        <stp>EM_S_VAL_PCF_NCFTTM</stp>
        <stp>2</stp>
        <stp>603444</stp>
        <stp>12/31/2018</stp>
        <tr r="P141" s="1"/>
      </tp>
      <tp>
        <v>-341.01861403676202</v>
        <stp/>
        <stp>EM_S_VAL_PCF_NCFTTM</stp>
        <stp>2</stp>
        <stp>603456</stp>
        <stp>12/31/2018</stp>
        <tr r="P126" s="1"/>
      </tp>
      <tp>
        <v>536.92256732606495</v>
        <stp/>
        <stp>EM_S_VAL_PCF_NCFTTM</stp>
        <stp>2</stp>
        <stp>603458</stp>
        <stp>12/31/2018</stp>
        <tr r="P3290" s="1"/>
      </tp>
      <tp>
        <v>-38.1948404204296</v>
        <stp/>
        <stp>EM_S_VAL_PCF_NCFTTM</stp>
        <stp>2</stp>
        <stp>603421</stp>
        <stp>12/31/2018</stp>
        <tr r="P3047" s="1"/>
      </tp>
      <tp>
        <v>75.834256193454706</v>
        <stp/>
        <stp>EM_S_VAL_PCF_NCFTTM</stp>
        <stp>2</stp>
        <stp>603429</stp>
        <stp>12/31/2018</stp>
        <tr r="P535" s="1"/>
      </tp>
      <tp>
        <v>57.595337332963098</v>
        <stp/>
        <stp>EM_S_VAL_PCF_NCFTTM</stp>
        <stp>2</stp>
        <stp>603416</stp>
        <stp>12/31/2018</stp>
        <tr r="P745" s="1"/>
      </tp>
      <tp>
        <v>-25.951987702830799</v>
        <stp/>
        <stp>EM_S_VAL_PCF_NCFTTM</stp>
        <stp>2</stp>
        <stp>603787</stp>
        <stp>12/31/2018</stp>
        <tr r="P662" s="1"/>
      </tp>
      <tp>
        <v>29.330543143878799</v>
        <stp/>
        <stp>EM_S_VAL_PCF_NCFTTM</stp>
        <stp>2</stp>
        <stp>603788</stp>
        <stp>12/31/2018</stp>
        <tr r="P1735" s="1"/>
      </tp>
      <tp>
        <v>-60.464249274054701</v>
        <stp/>
        <stp>EM_S_VAL_PCF_NCFTTM</stp>
        <stp>2</stp>
        <stp>603789</stp>
        <stp>12/31/2018</stp>
        <tr r="P1413" s="1"/>
      </tp>
      <tp>
        <v>33.764677628016301</v>
        <stp/>
        <stp>EM_S_VAL_PCF_NCFTTM</stp>
        <stp>2</stp>
        <stp>603797</stp>
        <stp>12/31/2018</stp>
        <tr r="P2635" s="1"/>
      </tp>
      <tp>
        <v>-44.203554939519599</v>
        <stp/>
        <stp>EM_S_VAL_PCF_NCFTTM</stp>
        <stp>2</stp>
        <stp>603798</stp>
        <stp>12/31/2018</stp>
        <tr r="P878" s="1"/>
      </tp>
      <tp>
        <v>45.208112944198803</v>
        <stp/>
        <stp>EM_S_VAL_PCF_NCFTTM</stp>
        <stp>2</stp>
        <stp>603799</stp>
        <stp>12/31/2018</stp>
        <tr r="P912" s="1"/>
      </tp>
      <tp>
        <v>82.980624564392599</v>
        <stp/>
        <stp>EM_S_VAL_PCF_NCFTTM</stp>
        <stp>2</stp>
        <stp>603766</stp>
        <stp>12/31/2018</stp>
        <tr r="P2719" s="1"/>
      </tp>
      <tp>
        <v>-23.466867642342201</v>
        <stp/>
        <stp>EM_S_VAL_PCF_NCFTTM</stp>
        <stp>2</stp>
        <stp>603767</stp>
        <stp>12/31/2018</stp>
        <tr r="P1821" s="1"/>
      </tp>
      <tp>
        <v>-15.7922317923982</v>
        <stp/>
        <stp>EM_S_VAL_PCF_NCFTTM</stp>
        <stp>2</stp>
        <stp>603768</stp>
        <stp>12/31/2018</stp>
        <tr r="P2158" s="1"/>
      </tp>
      <tp>
        <v>-9.9111952829171805</v>
        <stp/>
        <stp>EM_S_VAL_PCF_NCFTTM</stp>
        <stp>2</stp>
        <stp>603776</stp>
        <stp>12/31/2018</stp>
        <tr r="P2890" s="1"/>
      </tp>
      <tp>
        <v>-16.350517952130598</v>
        <stp/>
        <stp>EM_S_VAL_PCF_NCFTTM</stp>
        <stp>2</stp>
        <stp>603777</stp>
        <stp>12/31/2018</stp>
        <tr r="P1212" s="1"/>
      </tp>
      <tp>
        <v>5.6661256532632898</v>
        <stp/>
        <stp>EM_S_VAL_PCF_NCFTTM</stp>
        <stp>2</stp>
        <stp>603773</stp>
        <stp>12/31/2018</stp>
        <tr r="P3149" s="1"/>
      </tp>
      <tp>
        <v>-7.2845184272446302</v>
        <stp/>
        <stp>EM_S_VAL_PCF_NCFTTM</stp>
        <stp>2</stp>
        <stp>603778</stp>
        <stp>12/31/2018</stp>
        <tr r="P2264" s="1"/>
      </tp>
      <tp>
        <v>110.96376987644901</v>
        <stp/>
        <stp>EM_S_VAL_PCF_NCFTTM</stp>
        <stp>2</stp>
        <stp>603779</stp>
        <stp>12/31/2018</stp>
        <tr r="P3383" s="1"/>
      </tp>
      <tp>
        <v>-17.820860870346898</v>
        <stp/>
        <stp>EM_S_VAL_PCF_NCFTTM</stp>
        <stp>2</stp>
        <stp>603757</stp>
        <stp>12/31/2018</stp>
        <tr r="P3019" s="1"/>
      </tp>
      <tp>
        <v>-8.2812077858927697</v>
        <stp/>
        <stp>EM_S_VAL_PCF_NCFTTM</stp>
        <stp>2</stp>
        <stp>603758</stp>
        <stp>12/31/2018</stp>
        <tr r="P2185" s="1"/>
      </tp>
      <tp>
        <v>-6.1001240321973702</v>
        <stp/>
        <stp>EM_S_VAL_PCF_NCFTTM</stp>
        <stp>2</stp>
        <stp>603725</stp>
        <stp>12/31/2018</stp>
        <tr r="P3230" s="1"/>
      </tp>
      <tp>
        <v>508.03545359914102</v>
        <stp/>
        <stp>EM_S_VAL_PCF_NCFTTM</stp>
        <stp>2</stp>
        <stp>603726</stp>
        <stp>12/31/2018</stp>
        <tr r="P3291" s="1"/>
      </tp>
      <tp>
        <v>-4.3727241040128897</v>
        <stp/>
        <stp>EM_S_VAL_PCF_NCFTTM</stp>
        <stp>2</stp>
        <stp>603727</stp>
        <stp>12/31/2018</stp>
        <tr r="P592" s="1"/>
      </tp>
      <tp>
        <v>-17.4506733488873</v>
        <stp/>
        <stp>EM_S_VAL_PCF_NCFTTM</stp>
        <stp>2</stp>
        <stp>603721</stp>
        <stp>12/31/2018</stp>
        <tr r="P277" s="1"/>
      </tp>
      <tp>
        <v>-399.06962387842401</v>
        <stp/>
        <stp>EM_S_VAL_PCF_NCFTTM</stp>
        <stp>2</stp>
        <stp>603722</stp>
        <stp>12/31/2018</stp>
        <tr r="P673" s="1"/>
      </tp>
      <tp>
        <v>-23.381093658252599</v>
        <stp/>
        <stp>EM_S_VAL_PCF_NCFTTM</stp>
        <stp>2</stp>
        <stp>603728</stp>
        <stp>12/31/2018</stp>
        <tr r="P2855" s="1"/>
      </tp>
      <tp>
        <v>46.857081396156602</v>
        <stp/>
        <stp>EM_S_VAL_PCF_NCFTTM</stp>
        <stp>2</stp>
        <stp>603729</stp>
        <stp>12/31/2018</stp>
        <tr r="P2042" s="1"/>
      </tp>
      <tp>
        <v>-1535.8917387584099</v>
        <stp/>
        <stp>EM_S_VAL_PCF_NCFTTM</stp>
        <stp>2</stp>
        <stp>603737</stp>
        <stp>12/31/2018</stp>
        <tr r="P124" s="1"/>
      </tp>
      <tp>
        <v>115.78283278793</v>
        <stp/>
        <stp>EM_S_VAL_PCF_NCFTTM</stp>
        <stp>2</stp>
        <stp>603730</stp>
        <stp>12/31/2018</stp>
        <tr r="P677" s="1"/>
      </tp>
      <tp>
        <v>110.876812583571</v>
        <stp/>
        <stp>EM_S_VAL_PCF_NCFTTM</stp>
        <stp>2</stp>
        <stp>603733</stp>
        <stp>12/31/2018</stp>
        <tr r="P2668" s="1"/>
      </tp>
      <tp>
        <v>53.486967059680701</v>
        <stp/>
        <stp>EM_S_VAL_PCF_NCFTTM</stp>
        <stp>2</stp>
        <stp>603738</stp>
        <stp>12/31/2018</stp>
        <tr r="P418" s="1"/>
      </tp>
      <tp>
        <v>63.174007472543998</v>
        <stp/>
        <stp>EM_S_VAL_PCF_NCFTTM</stp>
        <stp>2</stp>
        <stp>603706</stp>
        <stp>12/31/2018</stp>
        <tr r="P3177" s="1"/>
      </tp>
      <tp>
        <v>127.964258648545</v>
        <stp/>
        <stp>EM_S_VAL_PCF_NCFTTM</stp>
        <stp>2</stp>
        <stp>603707</stp>
        <stp>12/31/2018</stp>
        <tr r="P131" s="1"/>
      </tp>
      <tp>
        <v>60.768628873599397</v>
        <stp/>
        <stp>EM_S_VAL_PCF_NCFTTM</stp>
        <stp>2</stp>
        <stp>603701</stp>
        <stp>12/31/2018</stp>
        <tr r="P1613" s="1"/>
      </tp>
      <tp>
        <v>46.551213932208498</v>
        <stp/>
        <stp>EM_S_VAL_PCF_NCFTTM</stp>
        <stp>2</stp>
        <stp>603703</stp>
        <stp>12/31/2018</stp>
        <tr r="P347" s="1"/>
      </tp>
      <tp>
        <v>-16.6285250540882</v>
        <stp/>
        <stp>EM_S_VAL_PCF_NCFTTM</stp>
        <stp>2</stp>
        <stp>603708</stp>
        <stp>12/31/2018</stp>
        <tr r="P1222" s="1"/>
      </tp>
      <tp>
        <v>213.980988163668</v>
        <stp/>
        <stp>EM_S_VAL_PCF_NCFTTM</stp>
        <stp>2</stp>
        <stp>603709</stp>
        <stp>12/31/2018</stp>
        <tr r="P2206" s="1"/>
      </tp>
      <tp>
        <v>7.8754515964201204</v>
        <stp/>
        <stp>EM_S_VAL_PCF_NCFTTM</stp>
        <stp>2</stp>
        <stp>603716</stp>
        <stp>12/31/2018</stp>
        <tr r="P2838" s="1"/>
      </tp>
      <tp>
        <v>-41.053878489096903</v>
        <stp/>
        <stp>EM_S_VAL_PCF_NCFTTM</stp>
        <stp>2</stp>
        <stp>603717</stp>
        <stp>12/31/2018</stp>
        <tr r="P2608" s="1"/>
      </tp>
      <tp>
        <v>118.50781217321899</v>
        <stp/>
        <stp>EM_S_VAL_PCF_NCFTTM</stp>
        <stp>2</stp>
        <stp>603711</stp>
        <stp>12/31/2018</stp>
        <tr r="P1298" s="1"/>
      </tp>
      <tp>
        <v>122.251015926889</v>
        <stp/>
        <stp>EM_S_VAL_PCF_NCFTTM</stp>
        <stp>2</stp>
        <stp>603712</stp>
        <stp>12/31/2018</stp>
        <tr r="P824" s="1"/>
      </tp>
      <tp>
        <v>-119.693827515964</v>
        <stp/>
        <stp>EM_S_VAL_PCF_NCFTTM</stp>
        <stp>2</stp>
        <stp>603718</stp>
        <stp>12/31/2018</stp>
        <tr r="P2359" s="1"/>
      </tp>
      <tp>
        <v>22.162695821302801</v>
        <stp/>
        <stp>EM_S_VAL_PCF_NCFTTM</stp>
        <stp>2</stp>
        <stp>603685</stp>
        <stp>12/31/2018</stp>
        <tr r="P2615" s="1"/>
      </tp>
      <tp>
        <v>168.82728585784099</v>
        <stp/>
        <stp>EM_S_VAL_PCF_NCFTTM</stp>
        <stp>2</stp>
        <stp>603686</stp>
        <stp>12/31/2018</stp>
        <tr r="P2229" s="1"/>
      </tp>
      <tp>
        <v>-86.574747372605998</v>
        <stp/>
        <stp>EM_S_VAL_PCF_NCFTTM</stp>
        <stp>2</stp>
        <stp>603680</stp>
        <stp>12/31/2018</stp>
        <tr r="P3264" s="1"/>
      </tp>
      <tp>
        <v>101.471882516655</v>
        <stp/>
        <stp>EM_S_VAL_PCF_NCFTTM</stp>
        <stp>2</stp>
        <stp>603683</stp>
        <stp>12/31/2018</stp>
        <tr r="P2437" s="1"/>
      </tp>
      <tp>
        <v>-46.836337507480103</v>
        <stp/>
        <stp>EM_S_VAL_PCF_NCFTTM</stp>
        <stp>2</stp>
        <stp>603688</stp>
        <stp>12/31/2018</stp>
        <tr r="P342" s="1"/>
      </tp>
      <tp>
        <v>17.951932851098199</v>
        <stp/>
        <stp>EM_S_VAL_PCF_NCFTTM</stp>
        <stp>2</stp>
        <stp>603689</stp>
        <stp>12/31/2018</stp>
        <tr r="P2038" s="1"/>
      </tp>
      <tp>
        <v>-11.0770776185537</v>
        <stp/>
        <stp>EM_S_VAL_PCF_NCFTTM</stp>
        <stp>2</stp>
        <stp>603696</stp>
        <stp>12/31/2018</stp>
        <tr r="P2853" s="1"/>
      </tp>
      <tp>
        <v>-69.013997869393407</v>
        <stp/>
        <stp>EM_S_VAL_PCF_NCFTTM</stp>
        <stp>2</stp>
        <stp>603690</stp>
        <stp>12/31/2018</stp>
        <tr r="P133" s="1"/>
      </tp>
      <tp>
        <v>7.4056965655987304</v>
        <stp/>
        <stp>EM_S_VAL_PCF_NCFTTM</stp>
        <stp>2</stp>
        <stp>603693</stp>
        <stp>12/31/2018</stp>
        <tr r="P3179" s="1"/>
      </tp>
      <tp>
        <v>32.0294798830651</v>
        <stp/>
        <stp>EM_S_VAL_PCF_NCFTTM</stp>
        <stp>2</stp>
        <stp>603698</stp>
        <stp>12/31/2018</stp>
        <tr r="P2873" s="1"/>
      </tp>
      <tp>
        <v>150.334067987954</v>
        <stp/>
        <stp>EM_S_VAL_PCF_NCFTTM</stp>
        <stp>2</stp>
        <stp>603699</stp>
        <stp>12/31/2018</stp>
        <tr r="P1395" s="1"/>
      </tp>
      <tp>
        <v>52.877838055001398</v>
        <stp/>
        <stp>EM_S_VAL_PCF_NCFTTM</stp>
        <stp>2</stp>
        <stp>603665</stp>
        <stp>12/31/2018</stp>
        <tr r="P3001" s="1"/>
      </tp>
      <tp>
        <v>7.9025637134531701</v>
        <stp/>
        <stp>EM_S_VAL_PCF_NCFTTM</stp>
        <stp>2</stp>
        <stp>603666</stp>
        <stp>12/31/2018</stp>
        <tr r="P575" s="1"/>
      </tp>
      <tp>
        <v>-51.6145396870578</v>
        <stp/>
        <stp>EM_S_VAL_PCF_NCFTTM</stp>
        <stp>2</stp>
        <stp>603667</stp>
        <stp>12/31/2018</stp>
        <tr r="P1247" s="1"/>
      </tp>
      <tp>
        <v>44.158189867223797</v>
        <stp/>
        <stp>EM_S_VAL_PCF_NCFTTM</stp>
        <stp>2</stp>
        <stp>603660</stp>
        <stp>12/31/2018</stp>
        <tr r="P3259" s="1"/>
      </tp>
      <tp>
        <v>59.665284432980499</v>
        <stp/>
        <stp>EM_S_VAL_PCF_NCFTTM</stp>
        <stp>2</stp>
        <stp>603661</stp>
        <stp>12/31/2018</stp>
        <tr r="P578" s="1"/>
      </tp>
      <tp>
        <v>-311.01581534630901</v>
        <stp/>
        <stp>EM_S_VAL_PCF_NCFTTM</stp>
        <stp>2</stp>
        <stp>603663</stp>
        <stp>12/31/2018</stp>
        <tr r="P3084" s="1"/>
      </tp>
      <tp>
        <v>15.436116586017301</v>
        <stp/>
        <stp>EM_S_VAL_PCF_NCFTTM</stp>
        <stp>2</stp>
        <stp>603668</stp>
        <stp>12/31/2018</stp>
        <tr r="P1555" s="1"/>
      </tp>
      <tp>
        <v>21.306698523177499</v>
        <stp/>
        <stp>EM_S_VAL_PCF_NCFTTM</stp>
        <stp>2</stp>
        <stp>603669</stp>
        <stp>12/31/2018</stp>
        <tr r="P3197" s="1"/>
      </tp>
      <tp>
        <v>1578.0067942464</v>
        <stp/>
        <stp>EM_S_VAL_PCF_NCFTTM</stp>
        <stp>2</stp>
        <stp>603676</stp>
        <stp>12/31/2018</stp>
        <tr r="P2673" s="1"/>
      </tp>
      <tp>
        <v>217.395388135167</v>
        <stp/>
        <stp>EM_S_VAL_PCF_NCFTTM</stp>
        <stp>2</stp>
        <stp>603677</stp>
        <stp>12/31/2018</stp>
        <tr r="P2785" s="1"/>
      </tp>
      <tp>
        <v>1076.2181613903001</v>
        <stp/>
        <stp>EM_S_VAL_PCF_NCFTTM</stp>
        <stp>2</stp>
        <stp>603678</stp>
        <stp>12/31/2018</stp>
        <tr r="P631" s="1"/>
      </tp>
      <tp>
        <v>25.5745934379316</v>
        <stp/>
        <stp>EM_S_VAL_PCF_NCFTTM</stp>
        <stp>2</stp>
        <stp>603679</stp>
        <stp>12/31/2018</stp>
        <tr r="P247" s="1"/>
      </tp>
      <tp>
        <v>-4.8404929961364198</v>
        <stp/>
        <stp>EM_S_VAL_PCF_NCFTTM</stp>
        <stp>2</stp>
        <stp>603648</stp>
        <stp>12/31/2018</stp>
        <tr r="P2597" s="1"/>
      </tp>
      <tp>
        <v>23.185189229444699</v>
        <stp/>
        <stp>EM_S_VAL_PCF_NCFTTM</stp>
        <stp>2</stp>
        <stp>603655</stp>
        <stp>12/31/2018</stp>
        <tr r="P604" s="1"/>
      </tp>
      <tp>
        <v>522.10418249830195</v>
        <stp/>
        <stp>EM_S_VAL_PCF_NCFTTM</stp>
        <stp>2</stp>
        <stp>603656</stp>
        <stp>12/31/2018</stp>
        <tr r="P1868" s="1"/>
      </tp>
      <tp>
        <v>106.104782879282</v>
        <stp/>
        <stp>EM_S_VAL_PCF_NCFTTM</stp>
        <stp>2</stp>
        <stp>603650</stp>
        <stp>12/31/2018</stp>
        <tr r="P2848" s="1"/>
      </tp>
      <tp>
        <v>1204.2816405119099</v>
        <stp/>
        <stp>EM_S_VAL_PCF_NCFTTM</stp>
        <stp>2</stp>
        <stp>603658</stp>
        <stp>12/31/2018</stp>
        <tr r="P188" s="1"/>
      </tp>
      <tp>
        <v>26.586250849508001</v>
        <stp/>
        <stp>EM_S_VAL_PCF_NCFTTM</stp>
        <stp>2</stp>
        <stp>603659</stp>
        <stp>12/31/2018</stp>
        <tr r="P241" s="1"/>
      </tp>
      <tp>
        <v>-141.234964044587</v>
        <stp/>
        <stp>EM_S_VAL_PCF_NCFTTM</stp>
        <stp>2</stp>
        <stp>603626</stp>
        <stp>12/31/2018</stp>
        <tr r="P770" s="1"/>
      </tp>
      <tp>
        <v>96.711887704215798</v>
        <stp/>
        <stp>EM_S_VAL_PCF_NCFTTM</stp>
        <stp>2</stp>
        <stp>603628</stp>
        <stp>12/31/2018</stp>
        <tr r="P1789" s="1"/>
      </tp>
      <tp>
        <v>15.5096326326914</v>
        <stp/>
        <stp>EM_S_VAL_PCF_NCFTTM</stp>
        <stp>2</stp>
        <stp>603636</stp>
        <stp>12/31/2018</stp>
        <tr r="P1377" s="1"/>
      </tp>
      <tp>
        <v>-21.920045728160201</v>
        <stp/>
        <stp>EM_S_VAL_PCF_NCFTTM</stp>
        <stp>2</stp>
        <stp>603637</stp>
        <stp>12/31/2018</stp>
        <tr r="P2119" s="1"/>
      </tp>
      <tp>
        <v>8.8054611106730807</v>
        <stp/>
        <stp>EM_S_VAL_PCF_NCFTTM</stp>
        <stp>2</stp>
        <stp>603630</stp>
        <stp>12/31/2018</stp>
        <tr r="P2235" s="1"/>
      </tp>
      <tp>
        <v>-24.3413163775306</v>
        <stp/>
        <stp>EM_S_VAL_PCF_NCFTTM</stp>
        <stp>2</stp>
        <stp>603633</stp>
        <stp>12/31/2018</stp>
        <tr r="P2051" s="1"/>
      </tp>
      <tp>
        <v>-524.20218161585103</v>
        <stp/>
        <stp>EM_S_VAL_PCF_NCFTTM</stp>
        <stp>2</stp>
        <stp>603638</stp>
        <stp>12/31/2018</stp>
        <tr r="P1019" s="1"/>
      </tp>
      <tp>
        <v>26.4953950016248</v>
        <stp/>
        <stp>EM_S_VAL_PCF_NCFTTM</stp>
        <stp>2</stp>
        <stp>603639</stp>
        <stp>12/31/2018</stp>
        <tr r="P2640" s="1"/>
      </tp>
      <tp>
        <v>29.309078986235299</v>
        <stp/>
        <stp>EM_S_VAL_PCF_NCFTTM</stp>
        <stp>2</stp>
        <stp>603605</stp>
        <stp>12/31/2018</stp>
        <tr r="P169" s="1"/>
      </tp>
      <tp>
        <v>16.685770655977802</v>
        <stp/>
        <stp>EM_S_VAL_PCF_NCFTTM</stp>
        <stp>2</stp>
        <stp>603606</stp>
        <stp>12/31/2018</stp>
        <tr r="P1264" s="1"/>
      </tp>
      <tp>
        <v>264.82473621945599</v>
        <stp/>
        <stp>EM_S_VAL_PCF_NCFTTM</stp>
        <stp>2</stp>
        <stp>603607</stp>
        <stp>12/31/2018</stp>
        <tr r="P1256" s="1"/>
      </tp>
      <tp>
        <v>-26.026209865469401</v>
        <stp/>
        <stp>EM_S_VAL_PCF_NCFTTM</stp>
        <stp>2</stp>
        <stp>603600</stp>
        <stp>12/31/2018</stp>
        <tr r="P311" s="1"/>
      </tp>
      <tp>
        <v>36.148669013902001</v>
        <stp/>
        <stp>EM_S_VAL_PCF_NCFTTM</stp>
        <stp>2</stp>
        <stp>603601</stp>
        <stp>12/31/2018</stp>
        <tr r="P2589" s="1"/>
      </tp>
      <tp>
        <v>41.867101445014903</v>
        <stp/>
        <stp>EM_S_VAL_PCF_NCFTTM</stp>
        <stp>2</stp>
        <stp>603602</stp>
        <stp>12/31/2018</stp>
        <tr r="P2921" s="1"/>
      </tp>
      <tp>
        <v>-25.942263622331001</v>
        <stp/>
        <stp>EM_S_VAL_PCF_NCFTTM</stp>
        <stp>2</stp>
        <stp>603603</stp>
        <stp>12/31/2018</stp>
        <tr r="P3314" s="1"/>
      </tp>
      <tp>
        <v>-152.451353376778</v>
        <stp/>
        <stp>EM_S_VAL_PCF_NCFTTM</stp>
        <stp>2</stp>
        <stp>603608</stp>
        <stp>12/31/2018</stp>
        <tr r="P2963" s="1"/>
      </tp>
      <tp>
        <v>-61.088446378175902</v>
        <stp/>
        <stp>EM_S_VAL_PCF_NCFTTM</stp>
        <stp>2</stp>
        <stp>603609</stp>
        <stp>12/31/2018</stp>
        <tr r="P548" s="1"/>
      </tp>
      <tp>
        <v>-4.6169738147024297</v>
        <stp/>
        <stp>EM_S_VAL_PCF_NCFTTM</stp>
        <stp>2</stp>
        <stp>603615</stp>
        <stp>12/31/2018</stp>
        <tr r="P1733" s="1"/>
      </tp>
      <tp>
        <v>-24.920973087523301</v>
        <stp/>
        <stp>EM_S_VAL_PCF_NCFTTM</stp>
        <stp>2</stp>
        <stp>603616</stp>
        <stp>12/31/2018</stp>
        <tr r="P3209" s="1"/>
      </tp>
      <tp>
        <v>17.246743085072598</v>
        <stp/>
        <stp>EM_S_VAL_PCF_NCFTTM</stp>
        <stp>2</stp>
        <stp>603617</stp>
        <stp>12/31/2018</stp>
        <tr r="P2807" s="1"/>
      </tp>
      <tp>
        <v>-157.03803856066301</v>
        <stp/>
        <stp>EM_S_VAL_PCF_NCFTTM</stp>
        <stp>2</stp>
        <stp>603611</stp>
        <stp>12/31/2018</stp>
        <tr r="P826" s="1"/>
      </tp>
      <tp>
        <v>-27.722567259722499</v>
        <stp/>
        <stp>EM_S_VAL_PCF_NCFTTM</stp>
        <stp>2</stp>
        <stp>603612</stp>
        <stp>12/31/2018</stp>
        <tr r="P2028" s="1"/>
      </tp>
      <tp>
        <v>-28.5804099872644</v>
        <stp/>
        <stp>EM_S_VAL_PCF_NCFTTM</stp>
        <stp>2</stp>
        <stp>603618</stp>
        <stp>12/31/2018</stp>
        <tr r="P2025" s="1"/>
      </tp>
      <tp>
        <v>-8.3330948511268694</v>
        <stp/>
        <stp>EM_S_VAL_PCF_NCFTTM</stp>
        <stp>2</stp>
        <stp>603619</stp>
        <stp>12/31/2018</stp>
        <tr r="P2734" s="1"/>
      </tp>
      <tp>
        <v>-37.808219088293399</v>
        <stp/>
        <stp>EM_S_VAL_PCF_NCFTTM</stp>
        <stp>2</stp>
        <stp>603186</stp>
        <stp>12/31/2018</stp>
        <tr r="P82" s="1"/>
      </tp>
      <tp>
        <v>-48.810131415564797</v>
        <stp/>
        <stp>EM_S_VAL_PCF_NCFTTM</stp>
        <stp>2</stp>
        <stp>603180</stp>
        <stp>12/31/2018</stp>
        <tr r="P1458" s="1"/>
      </tp>
      <tp>
        <v>343.57647893871598</v>
        <stp/>
        <stp>EM_S_VAL_PCF_NCFTTM</stp>
        <stp>2</stp>
        <stp>603181</stp>
        <stp>12/31/2018</stp>
        <tr r="P1219" s="1"/>
      </tp>
      <tp>
        <v>-15.5601443421182</v>
        <stp/>
        <stp>EM_S_VAL_PCF_NCFTTM</stp>
        <stp>2</stp>
        <stp>603183</stp>
        <stp>12/31/2018</stp>
        <tr r="P3318" s="1"/>
      </tp>
      <tp>
        <v>-22.6901925463435</v>
        <stp/>
        <stp>EM_S_VAL_PCF_NCFTTM</stp>
        <stp>2</stp>
        <stp>603188</stp>
        <stp>12/31/2018</stp>
        <tr r="P2816" s="1"/>
      </tp>
      <tp>
        <v>-23.6686551818533</v>
        <stp/>
        <stp>EM_S_VAL_PCF_NCFTTM</stp>
        <stp>2</stp>
        <stp>603189</stp>
        <stp>12/31/2018</stp>
        <tr r="P591" s="1"/>
      </tp>
      <tp>
        <v>1408.7464060888501</v>
        <stp/>
        <stp>EM_S_VAL_PCF_NCFTTM</stp>
        <stp>2</stp>
        <stp>603196</stp>
        <stp>12/31/2018</stp>
        <tr r="P3158" s="1"/>
      </tp>
      <tp>
        <v>18.4301932461332</v>
        <stp/>
        <stp>EM_S_VAL_PCF_NCFTTM</stp>
        <stp>2</stp>
        <stp>603197</stp>
        <stp>12/31/2018</stp>
        <tr r="P545" s="1"/>
      </tp>
      <tp>
        <v>-66.263412171769502</v>
        <stp/>
        <stp>EM_S_VAL_PCF_NCFTTM</stp>
        <stp>2</stp>
        <stp>603198</stp>
        <stp>12/31/2018</stp>
        <tr r="P704" s="1"/>
      </tp>
      <tp>
        <v>45.547783974360797</v>
        <stp/>
        <stp>EM_S_VAL_PCF_NCFTTM</stp>
        <stp>2</stp>
        <stp>603199</stp>
        <stp>12/31/2018</stp>
        <tr r="P1084" s="1"/>
      </tp>
      <tp>
        <v>17.812399188997301</v>
        <stp/>
        <stp>EM_S_VAL_PCF_NCFTTM</stp>
        <stp>2</stp>
        <stp>603165</stp>
        <stp>12/31/2018</stp>
        <tr r="P1558" s="1"/>
      </tp>
      <tp>
        <v>17.660402595528101</v>
        <stp/>
        <stp>EM_S_VAL_PCF_NCFTTM</stp>
        <stp>2</stp>
        <stp>603166</stp>
        <stp>12/31/2018</stp>
        <tr r="P1347" s="1"/>
      </tp>
      <tp>
        <v>-18.422886394101901</v>
        <stp/>
        <stp>EM_S_VAL_PCF_NCFTTM</stp>
        <stp>2</stp>
        <stp>603167</stp>
        <stp>12/31/2018</stp>
        <tr r="P1235" s="1"/>
      </tp>
      <tp>
        <v>-19.890084992199899</v>
        <stp/>
        <stp>EM_S_VAL_PCF_NCFTTM</stp>
        <stp>2</stp>
        <stp>603160</stp>
        <stp>12/31/2018</stp>
        <tr r="P70" s="1"/>
      </tp>
      <tp>
        <v>32.094698565280297</v>
        <stp/>
        <stp>EM_S_VAL_PCF_NCFTTM</stp>
        <stp>2</stp>
        <stp>603161</stp>
        <stp>12/31/2018</stp>
        <tr r="P2902" s="1"/>
      </tp>
      <tp>
        <v>-9.2955511085686293</v>
        <stp/>
        <stp>EM_S_VAL_PCF_NCFTTM</stp>
        <stp>2</stp>
        <stp>603168</stp>
        <stp>12/31/2018</stp>
        <tr r="P1079" s="1"/>
      </tp>
      <tp>
        <v>-251.16000991363299</v>
        <stp/>
        <stp>EM_S_VAL_PCF_NCFTTM</stp>
        <stp>2</stp>
        <stp>603169</stp>
        <stp>12/31/2018</stp>
        <tr r="P821" s="1"/>
      </tp>
      <tp>
        <v>193.62889568033</v>
        <stp/>
        <stp>EM_S_VAL_PCF_NCFTTM</stp>
        <stp>2</stp>
        <stp>603177</stp>
        <stp>12/31/2018</stp>
        <tr r="P1680" s="1"/>
      </tp>
      <tp>
        <v>63.872632434104901</v>
        <stp/>
        <stp>EM_S_VAL_PCF_NCFTTM</stp>
        <stp>2</stp>
        <stp>603178</stp>
        <stp>12/31/2018</stp>
        <tr r="P1243" s="1"/>
      </tp>
      <tp>
        <v>12.084545942313101</v>
        <stp/>
        <stp>EM_S_VAL_PCF_NCFTTM</stp>
        <stp>2</stp>
        <stp>603179</stp>
        <stp>12/31/2018</stp>
        <tr r="P1445" s="1"/>
      </tp>
      <tp>
        <v>9.4941816809364692</v>
        <stp/>
        <stp>EM_S_VAL_PCF_NCFTTM</stp>
        <stp>2</stp>
        <stp>603156</stp>
        <stp>12/31/2018</stp>
        <tr r="P3226" s="1"/>
      </tp>
      <tp>
        <v>-8.1922874379558692</v>
        <stp/>
        <stp>EM_S_VAL_PCF_NCFTTM</stp>
        <stp>2</stp>
        <stp>603157</stp>
        <stp>12/31/2018</stp>
        <tr r="P3240" s="1"/>
      </tp>
      <tp>
        <v>101.048685283463</v>
        <stp/>
        <stp>EM_S_VAL_PCF_NCFTTM</stp>
        <stp>2</stp>
        <stp>603158</stp>
        <stp>12/31/2018</stp>
        <tr r="P2653" s="1"/>
      </tp>
      <tp>
        <v>360.09786034075898</v>
        <stp/>
        <stp>EM_S_VAL_PCF_NCFTTM</stp>
        <stp>2</stp>
        <stp>603159</stp>
        <stp>12/31/2018</stp>
        <tr r="P3276" s="1"/>
      </tp>
      <tp>
        <v>74.274977232610695</v>
        <stp/>
        <stp>EM_S_VAL_PCF_NCFTTM</stp>
        <stp>2</stp>
        <stp>603126</stp>
        <stp>12/31/2018</stp>
        <tr r="P2549" s="1"/>
      </tp>
      <tp>
        <v>-21.7067189721608</v>
        <stp/>
        <stp>EM_S_VAL_PCF_NCFTTM</stp>
        <stp>2</stp>
        <stp>603127</stp>
        <stp>12/31/2018</stp>
        <tr r="P1307" s="1"/>
      </tp>
      <tp>
        <v>-159.52631362078299</v>
        <stp/>
        <stp>EM_S_VAL_PCF_NCFTTM</stp>
        <stp>2</stp>
        <stp>603123</stp>
        <stp>12/31/2018</stp>
        <tr r="P1396" s="1"/>
      </tp>
      <tp>
        <v>624.24585166632801</v>
        <stp/>
        <stp>EM_S_VAL_PCF_NCFTTM</stp>
        <stp>2</stp>
        <stp>603128</stp>
        <stp>12/31/2018</stp>
        <tr r="P1380" s="1"/>
      </tp>
      <tp>
        <v>-5.2012681491771602</v>
        <stp/>
        <stp>EM_S_VAL_PCF_NCFTTM</stp>
        <stp>2</stp>
        <stp>603129</stp>
        <stp>12/31/2018</stp>
        <tr r="P76" s="1"/>
      </tp>
      <tp>
        <v>-14.9763039613446</v>
        <stp/>
        <stp>EM_S_VAL_PCF_NCFTTM</stp>
        <stp>2</stp>
        <stp>603136</stp>
        <stp>12/31/2018</stp>
        <tr r="P2787" s="1"/>
      </tp>
      <tp>
        <v>-30.609627520757801</v>
        <stp/>
        <stp>EM_S_VAL_PCF_NCFTTM</stp>
        <stp>2</stp>
        <stp>603131</stp>
        <stp>12/31/2018</stp>
        <tr r="P2818" s="1"/>
      </tp>
      <tp>
        <v>-123.376459539904</v>
        <stp/>
        <stp>EM_S_VAL_PCF_NCFTTM</stp>
        <stp>2</stp>
        <stp>603133</stp>
        <stp>12/31/2018</stp>
        <tr r="P506" s="1"/>
      </tp>
      <tp>
        <v>99.0892396536495</v>
        <stp/>
        <stp>EM_S_VAL_PCF_NCFTTM</stp>
        <stp>2</stp>
        <stp>603138</stp>
        <stp>12/31/2018</stp>
        <tr r="P2938" s="1"/>
      </tp>
      <tp>
        <v>-12.0145927193897</v>
        <stp/>
        <stp>EM_S_VAL_PCF_NCFTTM</stp>
        <stp>2</stp>
        <stp>603139</stp>
        <stp>12/31/2018</stp>
        <tr r="P1742" s="1"/>
      </tp>
      <tp>
        <v>32.700677423963398</v>
        <stp/>
        <stp>EM_S_VAL_PCF_NCFTTM</stp>
        <stp>2</stp>
        <stp>603105</stp>
        <stp>12/31/2018</stp>
        <tr r="P3344" s="1"/>
      </tp>
      <tp>
        <v>-9.6743995389753508</v>
        <stp/>
        <stp>EM_S_VAL_PCF_NCFTTM</stp>
        <stp>2</stp>
        <stp>603106</stp>
        <stp>12/31/2018</stp>
        <tr r="P2923" s="1"/>
      </tp>
      <tp>
        <v>-45.953419110652099</v>
        <stp/>
        <stp>EM_S_VAL_PCF_NCFTTM</stp>
        <stp>2</stp>
        <stp>603100</stp>
        <stp>12/31/2018</stp>
        <tr r="P1357" s="1"/>
      </tp>
      <tp>
        <v>44.937621077650199</v>
        <stp/>
        <stp>EM_S_VAL_PCF_NCFTTM</stp>
        <stp>2</stp>
        <stp>603101</stp>
        <stp>12/31/2018</stp>
        <tr r="P3340" s="1"/>
      </tp>
      <tp>
        <v>-16.5311951520215</v>
        <stp/>
        <stp>EM_S_VAL_PCF_NCFTTM</stp>
        <stp>2</stp>
        <stp>603103</stp>
        <stp>12/31/2018</stp>
        <tr r="P2987" s="1"/>
      </tp>
      <tp>
        <v>-15.2225181530284</v>
        <stp/>
        <stp>EM_S_VAL_PCF_NCFTTM</stp>
        <stp>2</stp>
        <stp>603108</stp>
        <stp>12/31/2018</stp>
        <tr r="P803" s="1"/>
      </tp>
      <tp>
        <v>-422.63225496889999</v>
        <stp/>
        <stp>EM_S_VAL_PCF_NCFTTM</stp>
        <stp>2</stp>
        <stp>603116</stp>
        <stp>12/31/2018</stp>
        <tr r="P2418" s="1"/>
      </tp>
      <tp>
        <v>18.725223995667498</v>
        <stp/>
        <stp>EM_S_VAL_PCF_NCFTTM</stp>
        <stp>2</stp>
        <stp>603117</stp>
        <stp>12/31/2018</stp>
        <tr r="P1955" s="1"/>
      </tp>
      <tp>
        <v>27.0972035610258</v>
        <stp/>
        <stp>EM_S_VAL_PCF_NCFTTM</stp>
        <stp>2</stp>
        <stp>603110</stp>
        <stp>12/31/2018</stp>
        <tr r="P453" s="1"/>
      </tp>
      <tp>
        <v>30.422180208932801</v>
        <stp/>
        <stp>EM_S_VAL_PCF_NCFTTM</stp>
        <stp>2</stp>
        <stp>603111</stp>
        <stp>12/31/2018</stp>
        <tr r="P948" s="1"/>
      </tp>
      <tp>
        <v>-34.650853297386398</v>
        <stp/>
        <stp>EM_S_VAL_PCF_NCFTTM</stp>
        <stp>2</stp>
        <stp>603113</stp>
        <stp>12/31/2018</stp>
        <tr r="P2475" s="1"/>
      </tp>
      <tp>
        <v>-22.085307307623999</v>
        <stp/>
        <stp>EM_S_VAL_PCF_NCFTTM</stp>
        <stp>2</stp>
        <stp>603118</stp>
        <stp>12/31/2018</stp>
        <tr r="P261" s="1"/>
      </tp>
      <tp>
        <v>-9.9709382120985701</v>
        <stp/>
        <stp>EM_S_VAL_PCF_NCFTTM</stp>
        <stp>2</stp>
        <stp>603085</stp>
        <stp>12/31/2018</stp>
        <tr r="P1947" s="1"/>
      </tp>
      <tp>
        <v>-36.605887140302997</v>
        <stp/>
        <stp>EM_S_VAL_PCF_NCFTTM</stp>
        <stp>2</stp>
        <stp>603086</stp>
        <stp>12/31/2018</stp>
        <tr r="P1630" s="1"/>
      </tp>
      <tp>
        <v>7.7663390133894596</v>
        <stp/>
        <stp>EM_S_VAL_PCF_NCFTTM</stp>
        <stp>2</stp>
        <stp>603080</stp>
        <stp>12/31/2018</stp>
        <tr r="P3079" s="1"/>
      </tp>
      <tp>
        <v>10.802231189900301</v>
        <stp/>
        <stp>EM_S_VAL_PCF_NCFTTM</stp>
        <stp>2</stp>
        <stp>603081</stp>
        <stp>12/31/2018</stp>
        <tr r="P617" s="1"/>
      </tp>
      <tp>
        <v>117.879721219866</v>
        <stp/>
        <stp>EM_S_VAL_PCF_NCFTTM</stp>
        <stp>2</stp>
        <stp>603083</stp>
        <stp>12/31/2018</stp>
        <tr r="P1659" s="1"/>
      </tp>
      <tp>
        <v>39.116403284193503</v>
        <stp/>
        <stp>EM_S_VAL_PCF_NCFTTM</stp>
        <stp>2</stp>
        <stp>603088</stp>
        <stp>12/31/2018</stp>
        <tr r="P3087" s="1"/>
      </tp>
      <tp>
        <v>-65.706987775146601</v>
        <stp/>
        <stp>EM_S_VAL_PCF_NCFTTM</stp>
        <stp>2</stp>
        <stp>603089</stp>
        <stp>12/31/2018</stp>
        <tr r="P2683" s="1"/>
      </tp>
      <tp>
        <v>72.282807185009901</v>
        <stp/>
        <stp>EM_S_VAL_PCF_NCFTTM</stp>
        <stp>2</stp>
        <stp>603096</stp>
        <stp>12/31/2018</stp>
        <tr r="P2758" s="1"/>
      </tp>
      <tp>
        <v>-65.318851254975897</v>
        <stp/>
        <stp>EM_S_VAL_PCF_NCFTTM</stp>
        <stp>2</stp>
        <stp>603090</stp>
        <stp>12/31/2018</stp>
        <tr r="P1077" s="1"/>
      </tp>
      <tp>
        <v>91.122040405578801</v>
        <stp/>
        <stp>EM_S_VAL_PCF_NCFTTM</stp>
        <stp>2</stp>
        <stp>603098</stp>
        <stp>12/31/2018</stp>
        <tr r="P3054" s="1"/>
      </tp>
      <tp>
        <v>-442.14140093974498</v>
        <stp/>
        <stp>EM_S_VAL_PCF_NCFTTM</stp>
        <stp>2</stp>
        <stp>603099</stp>
        <stp>12/31/2018</stp>
        <tr r="P1625" s="1"/>
      </tp>
      <tp>
        <v>24.855985127321301</v>
        <stp/>
        <stp>EM_S_VAL_PCF_NCFTTM</stp>
        <stp>2</stp>
        <stp>603066</stp>
        <stp>12/31/2018</stp>
        <tr r="P1845" s="1"/>
      </tp>
      <tp>
        <v>176.273192183102</v>
        <stp/>
        <stp>EM_S_VAL_PCF_NCFTTM</stp>
        <stp>2</stp>
        <stp>603067</stp>
        <stp>12/31/2018</stp>
        <tr r="P3099" s="1"/>
      </tp>
      <tp>
        <v>-79.235973307419698</v>
        <stp/>
        <stp>EM_S_VAL_PCF_NCFTTM</stp>
        <stp>2</stp>
        <stp>603060</stp>
        <stp>12/31/2018</stp>
        <tr r="P1134" s="1"/>
      </tp>
      <tp>
        <v>-16.385271334672399</v>
        <stp/>
        <stp>EM_S_VAL_PCF_NCFTTM</stp>
        <stp>2</stp>
        <stp>603063</stp>
        <stp>12/31/2018</stp>
        <tr r="P636" s="1"/>
      </tp>
      <tp>
        <v>-23.7953258627679</v>
        <stp/>
        <stp>EM_S_VAL_PCF_NCFTTM</stp>
        <stp>2</stp>
        <stp>603069</stp>
        <stp>12/31/2018</stp>
        <tr r="P464" s="1"/>
      </tp>
      <tp>
        <v>7.60553441138756</v>
        <stp/>
        <stp>EM_S_VAL_PCF_NCFTTM</stp>
        <stp>2</stp>
        <stp>603076</stp>
        <stp>12/31/2018</stp>
        <tr r="P2382" s="1"/>
      </tp>
      <tp>
        <v>20.223457023635099</v>
        <stp/>
        <stp>EM_S_VAL_PCF_NCFTTM</stp>
        <stp>2</stp>
        <stp>603077</stp>
        <stp>12/31/2018</stp>
        <tr r="P2778" s="1"/>
      </tp>
      <tp>
        <v>22.915131378158499</v>
        <stp/>
        <stp>EM_S_VAL_PCF_NCFTTM</stp>
        <stp>2</stp>
        <stp>603078</stp>
        <stp>12/31/2018</stp>
        <tr r="P1260" s="1"/>
      </tp>
      <tp>
        <v>-28.100800068274101</v>
        <stp/>
        <stp>EM_S_VAL_PCF_NCFTTM</stp>
        <stp>2</stp>
        <stp>603079</stp>
        <stp>12/31/2018</stp>
        <tr r="P90" s="1"/>
      </tp>
      <tp>
        <v>1021.91373438497</v>
        <stp/>
        <stp>EM_S_VAL_PCF_NCFTTM</stp>
        <stp>2</stp>
        <stp>603045</stp>
        <stp>12/31/2018</stp>
        <tr r="P3358" s="1"/>
      </tp>
      <tp>
        <v>-21.7456727990612</v>
        <stp/>
        <stp>EM_S_VAL_PCF_NCFTTM</stp>
        <stp>2</stp>
        <stp>603040</stp>
        <stp>12/31/2018</stp>
        <tr r="P891" s="1"/>
      </tp>
      <tp>
        <v>-26.117826977231498</v>
        <stp/>
        <stp>EM_S_VAL_PCF_NCFTTM</stp>
        <stp>2</stp>
        <stp>603041</stp>
        <stp>12/31/2018</stp>
        <tr r="P1218" s="1"/>
      </tp>
      <tp>
        <v>37.557086637185897</v>
        <stp/>
        <stp>EM_S_VAL_PCF_NCFTTM</stp>
        <stp>2</stp>
        <stp>603042</stp>
        <stp>12/31/2018</stp>
        <tr r="P2387" s="1"/>
      </tp>
      <tp>
        <v>8352.9101712616393</v>
        <stp/>
        <stp>EM_S_VAL_PCF_NCFTTM</stp>
        <stp>2</stp>
        <stp>603043</stp>
        <stp>12/31/2018</stp>
        <tr r="P1672" s="1"/>
      </tp>
      <tp>
        <v>-19.970080567827999</v>
        <stp/>
        <stp>EM_S_VAL_PCF_NCFTTM</stp>
        <stp>2</stp>
        <stp>603055</stp>
        <stp>12/31/2018</stp>
        <tr r="P3266" s="1"/>
      </tp>
      <tp>
        <v>9.5433769166775804</v>
        <stp/>
        <stp>EM_S_VAL_PCF_NCFTTM</stp>
        <stp>2</stp>
        <stp>603056</stp>
        <stp>12/31/2018</stp>
        <tr r="P3254" s="1"/>
      </tp>
      <tp>
        <v>188.928748842955</v>
        <stp/>
        <stp>EM_S_VAL_PCF_NCFTTM</stp>
        <stp>2</stp>
        <stp>603050</stp>
        <stp>12/31/2018</stp>
        <tr r="P2950" s="1"/>
      </tp>
      <tp>
        <v>25.146405253771899</v>
        <stp/>
        <stp>EM_S_VAL_PCF_NCFTTM</stp>
        <stp>2</stp>
        <stp>603058</stp>
        <stp>12/31/2018</stp>
        <tr r="P3088" s="1"/>
      </tp>
      <tp>
        <v>37.519740774960397</v>
        <stp/>
        <stp>EM_S_VAL_PCF_NCFTTM</stp>
        <stp>2</stp>
        <stp>603059</stp>
        <stp>12/31/2018</stp>
        <tr r="P2986" s="1"/>
      </tp>
      <tp>
        <v>131.21743220158399</v>
        <stp/>
        <stp>EM_S_VAL_PCF_NCFTTM</stp>
        <stp>2</stp>
        <stp>603025</stp>
        <stp>12/31/2018</stp>
        <tr r="P2951" s="1"/>
      </tp>
      <tp>
        <v>258.06927761245998</v>
        <stp/>
        <stp>EM_S_VAL_PCF_NCFTTM</stp>
        <stp>2</stp>
        <stp>603026</stp>
        <stp>12/31/2018</stp>
        <tr r="P220" s="1"/>
      </tp>
      <tp>
        <v>25.6017426273241</v>
        <stp/>
        <stp>EM_S_VAL_PCF_NCFTTM</stp>
        <stp>2</stp>
        <stp>603027</stp>
        <stp>12/31/2018</stp>
        <tr r="P783" s="1"/>
      </tp>
      <tp>
        <v>-12.8570241261188</v>
        <stp/>
        <stp>EM_S_VAL_PCF_NCFTTM</stp>
        <stp>2</stp>
        <stp>603020</stp>
        <stp>12/31/2018</stp>
        <tr r="P1717" s="1"/>
      </tp>
      <tp>
        <v>-9.2726683385556203</v>
        <stp/>
        <stp>EM_S_VAL_PCF_NCFTTM</stp>
        <stp>2</stp>
        <stp>603021</stp>
        <stp>12/31/2018</stp>
        <tr r="P717" s="1"/>
      </tp>
      <tp>
        <v>31.867565886926499</v>
        <stp/>
        <stp>EM_S_VAL_PCF_NCFTTM</stp>
        <stp>2</stp>
        <stp>603022</stp>
        <stp>12/31/2018</stp>
        <tr r="P185" s="1"/>
      </tp>
      <tp>
        <v>17.630411715646201</v>
        <stp/>
        <stp>EM_S_VAL_PCF_NCFTTM</stp>
        <stp>2</stp>
        <stp>603023</stp>
        <stp>12/31/2018</stp>
        <tr r="P2040" s="1"/>
      </tp>
      <tp>
        <v>63.715321246817297</v>
        <stp/>
        <stp>EM_S_VAL_PCF_NCFTTM</stp>
        <stp>2</stp>
        <stp>603028</stp>
        <stp>12/31/2018</stp>
        <tr r="P383" s="1"/>
      </tp>
      <tp>
        <v>-37.256303434961197</v>
        <stp/>
        <stp>EM_S_VAL_PCF_NCFTTM</stp>
        <stp>2</stp>
        <stp>603029</stp>
        <stp>12/31/2018</stp>
        <tr r="P1695" s="1"/>
      </tp>
      <tp>
        <v>-37.2218391062015</v>
        <stp/>
        <stp>EM_S_VAL_PCF_NCFTTM</stp>
        <stp>2</stp>
        <stp>603035</stp>
        <stp>12/31/2018</stp>
        <tr r="P1913" s="1"/>
      </tp>
      <tp>
        <v>-6.4235615500022298</v>
        <stp/>
        <stp>EM_S_VAL_PCF_NCFTTM</stp>
        <stp>2</stp>
        <stp>603036</stp>
        <stp>12/31/2018</stp>
        <tr r="P2651" s="1"/>
      </tp>
      <tp>
        <v>50.374276669012403</v>
        <stp/>
        <stp>EM_S_VAL_PCF_NCFTTM</stp>
        <stp>2</stp>
        <stp>603037</stp>
        <stp>12/31/2018</stp>
        <tr r="P2448" s="1"/>
      </tp>
      <tp>
        <v>-7.0188522511772202</v>
        <stp/>
        <stp>EM_S_VAL_PCF_NCFTTM</stp>
        <stp>2</stp>
        <stp>603030</stp>
        <stp>12/31/2018</stp>
        <tr r="P1545" s="1"/>
      </tp>
      <tp>
        <v>26.9138435720273</v>
        <stp/>
        <stp>EM_S_VAL_PCF_NCFTTM</stp>
        <stp>2</stp>
        <stp>603031</stp>
        <stp>12/31/2018</stp>
        <tr r="P225" s="1"/>
      </tp>
      <tp>
        <v>-165.20236722295101</v>
        <stp/>
        <stp>EM_S_VAL_PCF_NCFTTM</stp>
        <stp>2</stp>
        <stp>603032</stp>
        <stp>12/31/2018</stp>
        <tr r="P3116" s="1"/>
      </tp>
      <tp>
        <v>37.043864533419303</v>
        <stp/>
        <stp>EM_S_VAL_PCF_NCFTTM</stp>
        <stp>2</stp>
        <stp>603033</stp>
        <stp>12/31/2018</stp>
        <tr r="P2572" s="1"/>
      </tp>
      <tp>
        <v>-16.209061173147798</v>
        <stp/>
        <stp>EM_S_VAL_PCF_NCFTTM</stp>
        <stp>2</stp>
        <stp>603038</stp>
        <stp>12/31/2018</stp>
        <tr r="P2833" s="1"/>
      </tp>
      <tp>
        <v>224.512910256194</v>
        <stp/>
        <stp>EM_S_VAL_PCF_NCFTTM</stp>
        <stp>2</stp>
        <stp>603039</stp>
        <stp>12/31/2018</stp>
        <tr r="P3129" s="1"/>
      </tp>
      <tp>
        <v>236.184077796672</v>
        <stp/>
        <stp>EM_S_VAL_PCF_NCFTTM</stp>
        <stp>2</stp>
        <stp>603005</stp>
        <stp>12/31/2018</stp>
        <tr r="P98" s="1"/>
      </tp>
      <tp>
        <v>8.8812426871577994</v>
        <stp/>
        <stp>EM_S_VAL_PCF_NCFTTM</stp>
        <stp>2</stp>
        <stp>603006</stp>
        <stp>12/31/2018</stp>
        <tr r="P1371" s="1"/>
      </tp>
      <tp>
        <v>-107.059237164335</v>
        <stp/>
        <stp>EM_S_VAL_PCF_NCFTTM</stp>
        <stp>2</stp>
        <stp>603007</stp>
        <stp>12/31/2018</stp>
        <tr r="P2914" s="1"/>
      </tp>
      <tp>
        <v>31.8296351198968</v>
        <stp/>
        <stp>EM_S_VAL_PCF_NCFTTM</stp>
        <stp>2</stp>
        <stp>603000</stp>
        <stp>12/31/2018</stp>
        <tr r="P61" s="1"/>
      </tp>
      <tp>
        <v>11.4929570633496</v>
        <stp/>
        <stp>EM_S_VAL_PCF_NCFTTM</stp>
        <stp>2</stp>
        <stp>603001</stp>
        <stp>12/31/2018</stp>
        <tr r="P2795" s="1"/>
      </tp>
      <tp>
        <v>65.701543918883601</v>
        <stp/>
        <stp>EM_S_VAL_PCF_NCFTTM</stp>
        <stp>2</stp>
        <stp>603002</stp>
        <stp>12/31/2018</stp>
        <tr r="P1090" s="1"/>
      </tp>
      <tp>
        <v>-1.4966433806452499</v>
        <stp/>
        <stp>EM_S_VAL_PCF_NCFTTM</stp>
        <stp>2</stp>
        <stp>603003</stp>
        <stp>12/31/2018</stp>
        <tr r="P1217" s="1"/>
      </tp>
      <tp>
        <v>-41.462689161865399</v>
        <stp/>
        <stp>EM_S_VAL_PCF_NCFTTM</stp>
        <stp>2</stp>
        <stp>603008</stp>
        <stp>12/31/2018</stp>
        <tr r="P376" s="1"/>
      </tp>
      <tp>
        <v>24.126002563802398</v>
        <stp/>
        <stp>EM_S_VAL_PCF_NCFTTM</stp>
        <stp>2</stp>
        <stp>603009</stp>
        <stp>12/31/2018</stp>
        <tr r="P1875" s="1"/>
      </tp>
      <tp>
        <v>163.731063757371</v>
        <stp/>
        <stp>EM_S_VAL_PCF_NCFTTM</stp>
        <stp>2</stp>
        <stp>603015</stp>
        <stp>12/31/2018</stp>
        <tr r="P1933" s="1"/>
      </tp>
      <tp>
        <v>1738.2322198163699</v>
        <stp/>
        <stp>EM_S_VAL_PCF_NCFTTM</stp>
        <stp>2</stp>
        <stp>603016</stp>
        <stp>12/31/2018</stp>
        <tr r="P2520" s="1"/>
      </tp>
      <tp>
        <v>-76.429647327205601</v>
        <stp/>
        <stp>EM_S_VAL_PCF_NCFTTM</stp>
        <stp>2</stp>
        <stp>603017</stp>
        <stp>12/31/2018</stp>
        <tr r="P1945" s="1"/>
      </tp>
      <tp>
        <v>-152.06577040604</v>
        <stp/>
        <stp>EM_S_VAL_PCF_NCFTTM</stp>
        <stp>2</stp>
        <stp>603010</stp>
        <stp>12/31/2018</stp>
        <tr r="P3049" s="1"/>
      </tp>
      <tp>
        <v>301.154275820875</v>
        <stp/>
        <stp>EM_S_VAL_PCF_NCFTTM</stp>
        <stp>2</stp>
        <stp>603011</stp>
        <stp>12/31/2018</stp>
        <tr r="P1463" s="1"/>
      </tp>
      <tp>
        <v>-31.389825666900201</v>
        <stp/>
        <stp>EM_S_VAL_PCF_NCFTTM</stp>
        <stp>2</stp>
        <stp>603012</stp>
        <stp>12/31/2018</stp>
        <tr r="P1606" s="1"/>
      </tp>
      <tp>
        <v>14.4088216505096</v>
        <stp/>
        <stp>EM_S_VAL_PCF_NCFTTM</stp>
        <stp>2</stp>
        <stp>603013</stp>
        <stp>12/31/2018</stp>
        <tr r="P2867" s="1"/>
      </tp>
      <tp>
        <v>27.331936919189499</v>
        <stp/>
        <stp>EM_S_VAL_PCF_NCFTTM</stp>
        <stp>2</stp>
        <stp>603018</stp>
        <stp>12/31/2018</stp>
        <tr r="P3325" s="1"/>
      </tp>
      <tp>
        <v>67.8987872940057</v>
        <stp/>
        <stp>EM_S_VAL_PCF_NCFTTM</stp>
        <stp>2</stp>
        <stp>603019</stp>
        <stp>12/31/2018</stp>
        <tr r="P2496" s="1"/>
      </tp>
      <tp>
        <v>-6.8669636915139298</v>
        <stp/>
        <stp>EM_S_VAL_PCF_NCFTTM</stp>
        <stp>2</stp>
        <stp>603385</stp>
        <stp>12/31/2018</stp>
        <tr r="P711" s="1"/>
      </tp>
      <tp>
        <v>-14.018952825429199</v>
        <stp/>
        <stp>EM_S_VAL_PCF_NCFTTM</stp>
        <stp>2</stp>
        <stp>603386</stp>
        <stp>12/31/2018</stp>
        <tr r="P2198" s="1"/>
      </tp>
      <tp>
        <v>-43.2949139815629</v>
        <stp/>
        <stp>EM_S_VAL_PCF_NCFTTM</stp>
        <stp>2</stp>
        <stp>603387</stp>
        <stp>12/31/2018</stp>
        <tr r="P2919" s="1"/>
      </tp>
      <tp>
        <v>-34.180666052049503</v>
        <stp/>
        <stp>EM_S_VAL_PCF_NCFTTM</stp>
        <stp>2</stp>
        <stp>603380</stp>
        <stp>12/31/2018</stp>
        <tr r="P1980" s="1"/>
      </tp>
      <tp>
        <v>21.056617114899399</v>
        <stp/>
        <stp>EM_S_VAL_PCF_NCFTTM</stp>
        <stp>2</stp>
        <stp>603383</stp>
        <stp>12/31/2018</stp>
        <tr r="P88" s="1"/>
      </tp>
      <tp>
        <v>340.54899086642303</v>
        <stp/>
        <stp>EM_S_VAL_PCF_NCFTTM</stp>
        <stp>2</stp>
        <stp>603388</stp>
        <stp>12/31/2018</stp>
        <tr r="P3051" s="1"/>
      </tp>
      <tp>
        <v>-708.45750928409996</v>
        <stp/>
        <stp>EM_S_VAL_PCF_NCFTTM</stp>
        <stp>2</stp>
        <stp>603389</stp>
        <stp>12/31/2018</stp>
        <tr r="P3343" s="1"/>
      </tp>
      <tp>
        <v>6.4428269597224901</v>
        <stp/>
        <stp>EM_S_VAL_PCF_NCFTTM</stp>
        <stp>2</stp>
        <stp>603396</stp>
        <stp>12/31/2018</stp>
        <tr r="P3014" s="1"/>
      </tp>
      <tp>
        <v>4.5788593781530098</v>
        <stp/>
        <stp>EM_S_VAL_PCF_NCFTTM</stp>
        <stp>2</stp>
        <stp>603393</stp>
        <stp>12/31/2018</stp>
        <tr r="P2735" s="1"/>
      </tp>
      <tp>
        <v>-39.3550659745544</v>
        <stp/>
        <stp>EM_S_VAL_PCF_NCFTTM</stp>
        <stp>2</stp>
        <stp>603398</stp>
        <stp>12/31/2018</stp>
        <tr r="P2667" s="1"/>
      </tp>
      <tp>
        <v>-31.162257382349999</v>
        <stp/>
        <stp>EM_S_VAL_PCF_NCFTTM</stp>
        <stp>2</stp>
        <stp>603399</stp>
        <stp>12/31/2018</stp>
        <tr r="P1095" s="1"/>
      </tp>
      <tp>
        <v>14.8553306411957</v>
        <stp/>
        <stp>EM_S_VAL_PCF_NCFTTM</stp>
        <stp>2</stp>
        <stp>603365</stp>
        <stp>12/31/2018</stp>
        <tr r="P2148" s="1"/>
      </tp>
      <tp>
        <v>-15.1112579952365</v>
        <stp/>
        <stp>EM_S_VAL_PCF_NCFTTM</stp>
        <stp>2</stp>
        <stp>603366</stp>
        <stp>12/31/2018</stp>
        <tr r="P1104" s="1"/>
      </tp>
      <tp>
        <v>-6.4638691694650001</v>
        <stp/>
        <stp>EM_S_VAL_PCF_NCFTTM</stp>
        <stp>2</stp>
        <stp>603367</stp>
        <stp>12/31/2018</stp>
        <tr r="P1963" s="1"/>
      </tp>
      <tp>
        <v>57.1152764096677</v>
        <stp/>
        <stp>EM_S_VAL_PCF_NCFTTM</stp>
        <stp>2</stp>
        <stp>603360</stp>
        <stp>12/31/2018</stp>
        <tr r="P51" s="1"/>
      </tp>
      <tp>
        <v>-20.458047350671301</v>
        <stp/>
        <stp>EM_S_VAL_PCF_NCFTTM</stp>
        <stp>2</stp>
        <stp>603363</stp>
        <stp>12/31/2018</stp>
        <tr r="P230" s="1"/>
      </tp>
      <tp>
        <v>-16.089107766985499</v>
        <stp/>
        <stp>EM_S_VAL_PCF_NCFTTM</stp>
        <stp>2</stp>
        <stp>603368</stp>
        <stp>12/31/2018</stp>
        <tr r="P1009" s="1"/>
      </tp>
      <tp>
        <v>-105.529499140025</v>
        <stp/>
        <stp>EM_S_VAL_PCF_NCFTTM</stp>
        <stp>2</stp>
        <stp>603369</stp>
        <stp>12/31/2018</stp>
        <tr r="P109" s="1"/>
      </tp>
      <tp>
        <v>-93.185472910227901</v>
        <stp/>
        <stp>EM_S_VAL_PCF_NCFTTM</stp>
        <stp>2</stp>
        <stp>603377</stp>
        <stp>12/31/2018</stp>
        <tr r="P1083" s="1"/>
      </tp>
      <tp>
        <v>-17.912490144824201</v>
        <stp/>
        <stp>EM_S_VAL_PCF_NCFTTM</stp>
        <stp>2</stp>
        <stp>603378</stp>
        <stp>12/31/2018</stp>
        <tr r="P357" s="1"/>
      </tp>
      <tp>
        <v>172.47740707335601</v>
        <stp/>
        <stp>EM_S_VAL_PCF_NCFTTM</stp>
        <stp>2</stp>
        <stp>603345</stp>
        <stp>12/31/2018</stp>
        <tr r="P351" s="1"/>
      </tp>
      <tp>
        <v>22.0942831368051</v>
        <stp/>
        <stp>EM_S_VAL_PCF_NCFTTM</stp>
        <stp>2</stp>
        <stp>603348</stp>
        <stp>12/31/2018</stp>
        <tr r="P2404" s="1"/>
      </tp>
      <tp>
        <v>68.756624483250306</v>
        <stp/>
        <stp>EM_S_VAL_PCF_NCFTTM</stp>
        <stp>2</stp>
        <stp>603355</stp>
        <stp>12/31/2018</stp>
        <tr r="P1769" s="1"/>
      </tp>
      <tp>
        <v>33.440989849773999</v>
        <stp/>
        <stp>EM_S_VAL_PCF_NCFTTM</stp>
        <stp>2</stp>
        <stp>603356</stp>
        <stp>12/31/2018</stp>
        <tr r="P3040" s="1"/>
      </tp>
      <tp>
        <v>-35.389066976044901</v>
        <stp/>
        <stp>EM_S_VAL_PCF_NCFTTM</stp>
        <stp>2</stp>
        <stp>603357</stp>
        <stp>12/31/2018</stp>
        <tr r="P3354" s="1"/>
      </tp>
      <tp>
        <v>15.0411523999995</v>
        <stp/>
        <stp>EM_S_VAL_PCF_NCFTTM</stp>
        <stp>2</stp>
        <stp>603358</stp>
        <stp>12/31/2018</stp>
        <tr r="P844" s="1"/>
      </tp>
      <tp>
        <v>-11.49594276362</v>
        <stp/>
        <stp>EM_S_VAL_PCF_NCFTTM</stp>
        <stp>2</stp>
        <stp>603359</stp>
        <stp>12/31/2018</stp>
        <tr r="P2716" s="1"/>
      </tp>
      <tp>
        <v>-32.6892580876561</v>
        <stp/>
        <stp>EM_S_VAL_PCF_NCFTTM</stp>
        <stp>2</stp>
        <stp>603326</stp>
        <stp>12/31/2018</stp>
        <tr r="P798" s="1"/>
      </tp>
      <tp>
        <v>-16.133479860645998</v>
        <stp/>
        <stp>EM_S_VAL_PCF_NCFTTM</stp>
        <stp>2</stp>
        <stp>603320</stp>
        <stp>12/31/2018</stp>
        <tr r="P2682" s="1"/>
      </tp>
      <tp>
        <v>-5.1420560220790703</v>
        <stp/>
        <stp>EM_S_VAL_PCF_NCFTTM</stp>
        <stp>2</stp>
        <stp>603321</stp>
        <stp>12/31/2018</stp>
        <tr r="P1483" s="1"/>
      </tp>
      <tp>
        <v>42.2282321411355</v>
        <stp/>
        <stp>EM_S_VAL_PCF_NCFTTM</stp>
        <stp>2</stp>
        <stp>603322</stp>
        <stp>12/31/2018</stp>
        <tr r="P3308" s="1"/>
      </tp>
      <tp>
        <v>3.5346333499495799</v>
        <stp/>
        <stp>EM_S_VAL_PCF_NCFTTM</stp>
        <stp>2</stp>
        <stp>603323</stp>
        <stp>12/31/2018</stp>
        <tr r="P2888" s="1"/>
      </tp>
      <tp>
        <v>-6.4133914394148199</v>
        <stp/>
        <stp>EM_S_VAL_PCF_NCFTTM</stp>
        <stp>2</stp>
        <stp>603328</stp>
        <stp>12/31/2018</stp>
        <tr r="P1464" s="1"/>
      </tp>
      <tp>
        <v>14.8345473404872</v>
        <stp/>
        <stp>EM_S_VAL_PCF_NCFTTM</stp>
        <stp>2</stp>
        <stp>603329</stp>
        <stp>12/31/2018</stp>
        <tr r="P2895" s="1"/>
      </tp>
      <tp>
        <v>-26.7581825345334</v>
        <stp/>
        <stp>EM_S_VAL_PCF_NCFTTM</stp>
        <stp>2</stp>
        <stp>603335</stp>
        <stp>12/31/2018</stp>
        <tr r="P3070" s="1"/>
      </tp>
      <tp>
        <v>275.92349610172801</v>
        <stp/>
        <stp>EM_S_VAL_PCF_NCFTTM</stp>
        <stp>2</stp>
        <stp>603336</stp>
        <stp>12/31/2018</stp>
        <tr r="P2819" s="1"/>
      </tp>
      <tp>
        <v>115.99177558070301</v>
        <stp/>
        <stp>EM_S_VAL_PCF_NCFTTM</stp>
        <stp>2</stp>
        <stp>603337</stp>
        <stp>12/31/2018</stp>
        <tr r="P3338" s="1"/>
      </tp>
      <tp>
        <v>93.888188461213502</v>
        <stp/>
        <stp>EM_S_VAL_PCF_NCFTTM</stp>
        <stp>2</stp>
        <stp>603330</stp>
        <stp>12/31/2018</stp>
        <tr r="P3151" s="1"/>
      </tp>
      <tp>
        <v>137.032620888781</v>
        <stp/>
        <stp>EM_S_VAL_PCF_NCFTTM</stp>
        <stp>2</stp>
        <stp>603331</stp>
        <stp>12/31/2018</stp>
        <tr r="P1621" s="1"/>
      </tp>
      <tp>
        <v>60.685289011035799</v>
        <stp/>
        <stp>EM_S_VAL_PCF_NCFTTM</stp>
        <stp>2</stp>
        <stp>603333</stp>
        <stp>12/31/2018</stp>
        <tr r="P196" s="1"/>
      </tp>
      <tp>
        <v>25.789487794917999</v>
        <stp/>
        <stp>EM_S_VAL_PCF_NCFTTM</stp>
        <stp>2</stp>
        <stp>603338</stp>
        <stp>12/31/2018</stp>
        <tr r="P1029" s="1"/>
      </tp>
      <tp>
        <v>-8.68198430765902</v>
        <stp/>
        <stp>EM_S_VAL_PCF_NCFTTM</stp>
        <stp>2</stp>
        <stp>603339</stp>
        <stp>12/31/2018</stp>
        <tr r="P2771" s="1"/>
      </tp>
      <tp>
        <v>74.9808614385976</v>
        <stp/>
        <stp>EM_S_VAL_PCF_NCFTTM</stp>
        <stp>2</stp>
        <stp>603305</stp>
        <stp>12/31/2018</stp>
        <tr r="P1751" s="1"/>
      </tp>
      <tp>
        <v>-5.7670146479567403</v>
        <stp/>
        <stp>EM_S_VAL_PCF_NCFTTM</stp>
        <stp>2</stp>
        <stp>603306</stp>
        <stp>12/31/2018</stp>
        <tr r="P2468" s="1"/>
      </tp>
      <tp>
        <v>-6.8203876106967298</v>
        <stp/>
        <stp>EM_S_VAL_PCF_NCFTTM</stp>
        <stp>2</stp>
        <stp>603300</stp>
        <stp>12/31/2018</stp>
        <tr r="P370" s="1"/>
      </tp>
      <tp>
        <v>17.441649134353501</v>
        <stp/>
        <stp>EM_S_VAL_PCF_NCFTTM</stp>
        <stp>2</stp>
        <stp>603301</stp>
        <stp>12/31/2018</stp>
        <tr r="P3245" s="1"/>
      </tp>
      <tp>
        <v>0</v>
        <stp/>
        <stp>EM_S_VAL_PCF_NCFTTM</stp>
        <stp>2</stp>
        <stp>603302</stp>
        <stp>12/31/2018</stp>
        <tr r="P14" s="1"/>
      </tp>
      <tp>
        <v>10.3580820460919</v>
        <stp/>
        <stp>EM_S_VAL_PCF_NCFTTM</stp>
        <stp>2</stp>
        <stp>603303</stp>
        <stp>12/31/2018</stp>
        <tr r="P2847" s="1"/>
      </tp>
      <tp>
        <v>36.528016603389702</v>
        <stp/>
        <stp>EM_S_VAL_PCF_NCFTTM</stp>
        <stp>2</stp>
        <stp>603308</stp>
        <stp>12/31/2018</stp>
        <tr r="P218" s="1"/>
      </tp>
      <tp>
        <v>-24.972160911455699</v>
        <stp/>
        <stp>EM_S_VAL_PCF_NCFTTM</stp>
        <stp>2</stp>
        <stp>603309</stp>
        <stp>12/31/2018</stp>
        <tr r="P620" s="1"/>
      </tp>
      <tp>
        <v>18.964514962103799</v>
        <stp/>
        <stp>EM_S_VAL_PCF_NCFTTM</stp>
        <stp>2</stp>
        <stp>603315</stp>
        <stp>12/31/2018</stp>
        <tr r="P2056" s="1"/>
      </tp>
      <tp>
        <v>13.905949536115299</v>
        <stp/>
        <stp>EM_S_VAL_PCF_NCFTTM</stp>
        <stp>2</stp>
        <stp>603316</stp>
        <stp>12/31/2018</stp>
        <tr r="P1325" s="1"/>
      </tp>
      <tp>
        <v>-17.403214544887099</v>
        <stp/>
        <stp>EM_S_VAL_PCF_NCFTTM</stp>
        <stp>2</stp>
        <stp>603311</stp>
        <stp>12/31/2018</stp>
        <tr r="P1757" s="1"/>
      </tp>
      <tp>
        <v>41.480993106472503</v>
        <stp/>
        <stp>EM_S_VAL_PCF_NCFTTM</stp>
        <stp>2</stp>
        <stp>603313</stp>
        <stp>12/31/2018</stp>
        <tr r="P2362" s="1"/>
      </tp>
      <tp>
        <v>116.389539719928</v>
        <stp/>
        <stp>EM_S_VAL_PCF_NCFTTM</stp>
        <stp>2</stp>
        <stp>603318</stp>
        <stp>12/31/2018</stp>
        <tr r="P2674" s="1"/>
      </tp>
      <tp>
        <v>32.305071004947003</v>
        <stp/>
        <stp>EM_S_VAL_PCF_NCFTTM</stp>
        <stp>2</stp>
        <stp>603319</stp>
        <stp>12/31/2018</stp>
        <tr r="P2802" s="1"/>
      </tp>
      <tp>
        <v>459.593094066395</v>
        <stp/>
        <stp>EM_S_VAL_PCF_NCFTTM</stp>
        <stp>2</stp>
        <stp>603286</stp>
        <stp>12/31/2018</stp>
        <tr r="P1812" s="1"/>
      </tp>
      <tp>
        <v>64.110153606074604</v>
        <stp/>
        <stp>EM_S_VAL_PCF_NCFTTM</stp>
        <stp>2</stp>
        <stp>603283</stp>
        <stp>12/31/2018</stp>
        <tr r="P288" s="1"/>
      </tp>
      <tp>
        <v>56.090448973344301</v>
        <stp/>
        <stp>EM_S_VAL_PCF_NCFTTM</stp>
        <stp>2</stp>
        <stp>603288</stp>
        <stp>12/31/2018</stp>
        <tr r="P469" s="1"/>
      </tp>
      <tp>
        <v>9.1818638060737694</v>
        <stp/>
        <stp>EM_S_VAL_PCF_NCFTTM</stp>
        <stp>2</stp>
        <stp>603289</stp>
        <stp>12/31/2018</stp>
        <tr r="P1451" s="1"/>
      </tp>
      <tp>
        <v>-35.528093165671301</v>
        <stp/>
        <stp>EM_S_VAL_PCF_NCFTTM</stp>
        <stp>2</stp>
        <stp>603298</stp>
        <stp>12/31/2018</stp>
        <tr r="P1939" s="1"/>
      </tp>
      <tp>
        <v>-26.1440957771919</v>
        <stp/>
        <stp>EM_S_VAL_PCF_NCFTTM</stp>
        <stp>2</stp>
        <stp>603299</stp>
        <stp>12/31/2018</stp>
        <tr r="P852" s="1"/>
      </tp>
      <tp>
        <v>-66.977846072085796</v>
        <stp/>
        <stp>EM_S_VAL_PCF_NCFTTM</stp>
        <stp>2</stp>
        <stp>603266</stp>
        <stp>12/31/2018</stp>
        <tr r="P2948" s="1"/>
      </tp>
      <tp>
        <v>45.4408283516564</v>
        <stp/>
        <stp>EM_S_VAL_PCF_NCFTTM</stp>
        <stp>2</stp>
        <stp>603260</stp>
        <stp>12/31/2018</stp>
        <tr r="P3246" s="1"/>
      </tp>
      <tp>
        <v>-38.465588587375301</v>
        <stp/>
        <stp>EM_S_VAL_PCF_NCFTTM</stp>
        <stp>2</stp>
        <stp>603268</stp>
        <stp>12/31/2018</stp>
        <tr r="P2529" s="1"/>
      </tp>
      <tp>
        <v>208.45597700435499</v>
        <stp/>
        <stp>EM_S_VAL_PCF_NCFTTM</stp>
        <stp>2</stp>
        <stp>603269</stp>
        <stp>12/31/2018</stp>
        <tr r="P2502" s="1"/>
      </tp>
      <tp>
        <v>-7.43435653140215</v>
        <stp/>
        <stp>EM_S_VAL_PCF_NCFTTM</stp>
        <stp>2</stp>
        <stp>603277</stp>
        <stp>12/31/2018</stp>
        <tr r="P1326" s="1"/>
      </tp>
      <tp>
        <v>20.614521772186801</v>
        <stp/>
        <stp>EM_S_VAL_PCF_NCFTTM</stp>
        <stp>2</stp>
        <stp>603278</stp>
        <stp>12/31/2018</stp>
        <tr r="P3255" s="1"/>
      </tp>
      <tp>
        <v>-13.6459239237067</v>
        <stp/>
        <stp>EM_S_VAL_PCF_NCFTTM</stp>
        <stp>2</stp>
        <stp>603258</stp>
        <stp>12/31/2018</stp>
        <tr r="P727" s="1"/>
      </tp>
      <tp>
        <v>-228.551532725523</v>
        <stp/>
        <stp>EM_S_VAL_PCF_NCFTTM</stp>
        <stp>2</stp>
        <stp>603259</stp>
        <stp>12/31/2018</stp>
        <tr r="P1205" s="1"/>
      </tp>
      <tp>
        <v>9.8921182423469602</v>
        <stp/>
        <stp>EM_S_VAL_PCF_NCFTTM</stp>
        <stp>2</stp>
        <stp>603225</stp>
        <stp>12/31/2018</stp>
        <tr r="P3262" s="1"/>
      </tp>
      <tp>
        <v>62.6342289496597</v>
        <stp/>
        <stp>EM_S_VAL_PCF_NCFTTM</stp>
        <stp>2</stp>
        <stp>603226</stp>
        <stp>12/31/2018</stp>
        <tr r="P1365" s="1"/>
      </tp>
      <tp>
        <v>-20.4336790057976</v>
        <stp/>
        <stp>EM_S_VAL_PCF_NCFTTM</stp>
        <stp>2</stp>
        <stp>603227</stp>
        <stp>12/31/2018</stp>
        <tr r="P1007" s="1"/>
      </tp>
      <tp>
        <v>-227.52353203727901</v>
        <stp/>
        <stp>EM_S_VAL_PCF_NCFTTM</stp>
        <stp>2</stp>
        <stp>603222</stp>
        <stp>12/31/2018</stp>
        <tr r="P29" s="1"/>
      </tp>
      <tp>
        <v>37.409230556737199</v>
        <stp/>
        <stp>EM_S_VAL_PCF_NCFTTM</stp>
        <stp>2</stp>
        <stp>603223</stp>
        <stp>12/31/2018</stp>
        <tr r="P3307" s="1"/>
      </tp>
      <tp>
        <v>13917.7050352399</v>
        <stp/>
        <stp>EM_S_VAL_PCF_NCFTTM</stp>
        <stp>2</stp>
        <stp>603228</stp>
        <stp>12/31/2018</stp>
        <tr r="P2805" s="1"/>
      </tp>
      <tp>
        <v>20.084799969871</v>
        <stp/>
        <stp>EM_S_VAL_PCF_NCFTTM</stp>
        <stp>2</stp>
        <stp>603229</stp>
        <stp>12/31/2018</stp>
        <tr r="P274" s="1"/>
      </tp>
      <tp>
        <v>-11.5863383177151</v>
        <stp/>
        <stp>EM_S_VAL_PCF_NCFTTM</stp>
        <stp>2</stp>
        <stp>603232</stp>
        <stp>12/31/2018</stp>
        <tr r="P680" s="1"/>
      </tp>
      <tp>
        <v>305.89831295210303</v>
        <stp/>
        <stp>EM_S_VAL_PCF_NCFTTM</stp>
        <stp>2</stp>
        <stp>603233</stp>
        <stp>12/31/2018</stp>
        <tr r="P958" s="1"/>
      </tp>
      <tp>
        <v>-58.252906279751798</v>
        <stp/>
        <stp>EM_S_VAL_PCF_NCFTTM</stp>
        <stp>2</stp>
        <stp>603238</stp>
        <stp>12/31/2018</stp>
        <tr r="P2678" s="1"/>
      </tp>
      <tp>
        <v>144.339789411156</v>
        <stp/>
        <stp>EM_S_VAL_PCF_NCFTTM</stp>
        <stp>2</stp>
        <stp>603239</stp>
        <stp>12/31/2018</stp>
        <tr r="P1957" s="1"/>
      </tp>
      <tp>
        <v>-15.373510134378</v>
        <stp/>
        <stp>EM_S_VAL_PCF_NCFTTM</stp>
        <stp>2</stp>
        <stp>603200</stp>
        <stp>12/31/2018</stp>
        <tr r="P3342" s="1"/>
      </tp>
      <tp>
        <v>32.012451051107803</v>
        <stp/>
        <stp>EM_S_VAL_PCF_NCFTTM</stp>
        <stp>2</stp>
        <stp>603203</stp>
        <stp>12/31/2018</stp>
        <tr r="P761" s="1"/>
      </tp>
      <tp>
        <v>-49.742912671999797</v>
        <stp/>
        <stp>EM_S_VAL_PCF_NCFTTM</stp>
        <stp>2</stp>
        <stp>603208</stp>
        <stp>12/31/2018</stp>
        <tr r="P181" s="1"/>
      </tp>
      <tp>
        <v>288.89782485431198</v>
        <stp/>
        <stp>EM_S_VAL_PCF_NCFTTM</stp>
        <stp>2</stp>
        <stp>603214</stp>
        <stp>12/31/2018</stp>
        <tr r="P1650" s="1"/>
      </tp>
      <tp>
        <v>61.967626841949901</v>
        <stp/>
        <stp>EM_S_VAL_PCF_NCFTTM</stp>
        <stp>2</stp>
        <stp>603218</stp>
        <stp>12/31/2018</stp>
        <tr r="P1213" s="1"/>
      </tp>
      <tp>
        <v>0.43920116882799998</v>
        <stp/>
        <stp>EM_S_FA_ASSETSTURN</stp>
        <stp>3</stp>
        <stp>300388</stp>
        <stp>12/31/2018</stp>
        <stp>1</stp>
        <tr r="K1290" s="1"/>
      </tp>
      <tp>
        <v>0.28186548495800001</v>
        <stp/>
        <stp>EM_S_FA_ASSETSTURN</stp>
        <stp>3</stp>
        <stp>300288</stp>
        <stp>12/31/2018</stp>
        <stp>1</stp>
        <tr r="K2609" s="1"/>
      </tp>
      <tp>
        <v>0.48827486783099999</v>
        <stp/>
        <stp>EM_S_FA_ASSETSTURN</stp>
        <stp>3</stp>
        <stp>300188</stp>
        <stp>12/31/2018</stp>
        <stp>1</stp>
        <tr r="K906" s="1"/>
      </tp>
      <tp>
        <v>1.14374865773</v>
        <stp/>
        <stp>EM_S_FA_ASSETSTURN</stp>
        <stp>3</stp>
        <stp>300088</stp>
        <stp>12/31/2018</stp>
        <stp>1</stp>
        <tr r="K96" s="1"/>
      </tp>
      <tp>
        <v>0.72102914090100001</v>
        <stp/>
        <stp>EM_S_FA_ASSETSTURN</stp>
        <stp>3</stp>
        <stp>300688</stp>
        <stp>12/31/2018</stp>
        <stp>1</stp>
        <tr r="K3329" s="1"/>
      </tp>
      <tp>
        <v>0.61880491351599998</v>
        <stp/>
        <stp>EM_S_FA_ASSETSTURN</stp>
        <stp>3</stp>
        <stp>300588</stp>
        <stp>12/31/2018</stp>
        <stp>1</stp>
        <tr r="K2696" s="1"/>
      </tp>
      <tp>
        <v>0.33533784821599999</v>
        <stp/>
        <stp>EM_S_FA_ASSETSTURN</stp>
        <stp>3</stp>
        <stp>300488</stp>
        <stp>12/31/2018</stp>
        <stp>1</stp>
        <tr r="K3270" s="1"/>
      </tp>
      <tp>
        <v>1.0150431028619999</v>
        <stp/>
        <stp>EM_S_FA_ASSETSTURN</stp>
        <stp>3</stp>
        <stp>300389</stp>
        <stp>12/31/2018</stp>
        <stp>1</stp>
        <tr r="K3203" s="1"/>
      </tp>
      <tp>
        <v>0.37598598739099998</v>
        <stp/>
        <stp>EM_S_FA_ASSETSTURN</stp>
        <stp>3</stp>
        <stp>300289</stp>
        <stp>12/31/2018</stp>
        <stp>1</stp>
        <tr r="K2864" s="1"/>
      </tp>
      <tp>
        <v>8.6186193665999999E-2</v>
        <stp/>
        <stp>EM_S_FA_ASSETSTURN</stp>
        <stp>3</stp>
        <stp>300189</stp>
        <stp>12/31/2018</stp>
        <stp>1</stp>
        <tr r="K624" s="1"/>
      </tp>
      <tp>
        <v>0.32864605417300002</v>
        <stp/>
        <stp>EM_S_FA_ASSETSTURN</stp>
        <stp>3</stp>
        <stp>300089</stp>
        <stp>12/31/2018</stp>
        <stp>1</stp>
        <tr r="K3253" s="1"/>
      </tp>
      <tp>
        <v>0.56384906424500003</v>
        <stp/>
        <stp>EM_S_FA_ASSETSTURN</stp>
        <stp>3</stp>
        <stp>300689</stp>
        <stp>12/31/2018</stp>
        <stp>1</stp>
        <tr r="K977" s="1"/>
      </tp>
      <tp>
        <v>0.58197384423700005</v>
        <stp/>
        <stp>EM_S_FA_ASSETSTURN</stp>
        <stp>3</stp>
        <stp>300589</stp>
        <stp>12/31/2018</stp>
        <stp>1</stp>
        <tr r="K1439" s="1"/>
      </tp>
      <tp>
        <v>0.22144501365300001</v>
        <stp/>
        <stp>EM_S_FA_ASSETSTURN</stp>
        <stp>3</stp>
        <stp>300489</stp>
        <stp>12/31/2018</stp>
        <stp>1</stp>
        <tr r="K317" s="1"/>
      </tp>
      <tp>
        <v>-1.4367418682644231</v>
        <stp/>
        <stp>EM_S_RATIO_EPS_TTM</stp>
        <stp>3</stp>
        <stp>603169</stp>
        <stp>12/31/2018</stp>
        <stp>1</stp>
        <tr r="U821" s="1"/>
      </tp>
      <tp>
        <v>0.18632697693037975</v>
        <stp/>
        <stp>EM_S_RATIO_EPS_TTM</stp>
        <stp>3</stp>
        <stp>603069</stp>
        <stp>12/31/2018</stp>
        <stp>1</stp>
        <tr r="U464" s="1"/>
      </tp>
      <tp>
        <v>0.91726638742128341</v>
        <stp/>
        <stp>EM_S_RATIO_EPS_TTM</stp>
        <stp>3</stp>
        <stp>603369</stp>
        <stp>12/31/2018</stp>
        <stp>1</stp>
        <tr r="U109" s="1"/>
      </tp>
      <tp>
        <v>0.36282630731387339</v>
        <stp/>
        <stp>EM_S_RATIO_EPS_TTM</stp>
        <stp>3</stp>
        <stp>603269</stp>
        <stp>12/31/2018</stp>
        <stp>1</stp>
        <tr r="U2502" s="1"/>
      </tp>
      <tp>
        <v>0.71984798801458538</v>
        <stp/>
        <stp>EM_S_RATIO_EPS_TTM</stp>
        <stp>3</stp>
        <stp>603569</stp>
        <stp>12/31/2018</stp>
        <stp>1</stp>
        <tr r="U2510" s="1"/>
      </tp>
      <tp>
        <v>0.50193331159340659</v>
        <stp/>
        <stp>EM_S_RATIO_EPS_TTM</stp>
        <stp>3</stp>
        <stp>603669</stp>
        <stp>12/31/2018</stp>
        <stp>1</stp>
        <tr r="U3197" s="1"/>
      </tp>
      <tp>
        <v>0.1788790903804994</v>
        <stp/>
        <stp>EM_S_RATIO_EPS_TTM</stp>
        <stp>3</stp>
        <stp>603969</stp>
        <stp>12/31/2018</stp>
        <stp>1</stp>
        <tr r="U2760" s="1"/>
      </tp>
      <tp>
        <v>1.0831134962861388</v>
        <stp/>
        <stp>EM_S_RATIO_EPS_TTM</stp>
        <stp>3</stp>
        <stp>603869</stp>
        <stp>12/31/2018</stp>
        <stp>1</stp>
        <tr r="U3074" s="1"/>
      </tp>
      <tp>
        <v>0.22606238697098485</v>
        <stp/>
        <stp>EM_S_RATIO_EPS_TTM</stp>
        <stp>3</stp>
        <stp>002109</stp>
        <stp>12/31/2018</stp>
        <stp>1</stp>
        <tr r="U2560" s="1"/>
      </tp>
      <tp>
        <v>0.37363202808184565</v>
        <stp/>
        <stp>EM_S_RATIO_EPS_TTM</stp>
        <stp>3</stp>
        <stp>002009</stp>
        <stp>12/31/2018</stp>
        <stp>1</stp>
        <tr r="U2192" s="1"/>
      </tp>
      <tp>
        <v>-0.33031037498711779</v>
        <stp/>
        <stp>EM_S_RATIO_EPS_TTM</stp>
        <stp>3</stp>
        <stp>002309</stp>
        <stp>12/31/2018</stp>
        <stp>1</stp>
        <tr r="U3182" s="1"/>
      </tp>
      <tp>
        <v>5.2989993856406889E-2</v>
        <stp/>
        <stp>EM_S_RATIO_EPS_TTM</stp>
        <stp>3</stp>
        <stp>002209</stp>
        <stp>12/31/2018</stp>
        <stp>1</stp>
        <tr r="U2160" s="1"/>
      </tp>
      <tp>
        <v>-0.18116187118808713</v>
        <stp/>
        <stp>EM_S_RATIO_EPS_TTM</stp>
        <stp>3</stp>
        <stp>002509</stp>
        <stp>12/31/2018</stp>
        <stp>1</stp>
        <tr r="U3313" s="1"/>
      </tp>
      <tp>
        <v>0.28712554518573019</v>
        <stp/>
        <stp>EM_S_RATIO_EPS_TTM</stp>
        <stp>3</stp>
        <stp>002409</stp>
        <stp>12/31/2018</stp>
        <stp>1</stp>
        <tr r="U294" s="1"/>
      </tp>
      <tp>
        <v>1.3441109270668563</v>
        <stp/>
        <stp>EM_S_RATIO_EPS_TTM</stp>
        <stp>3</stp>
        <stp>002709</stp>
        <stp>12/31/2018</stp>
        <stp>1</stp>
        <tr r="U2533" s="1"/>
      </tp>
      <tp>
        <v>0.14214801994427409</v>
        <stp/>
        <stp>EM_S_RATIO_EPS_TTM</stp>
        <stp>3</stp>
        <stp>002609</stp>
        <stp>12/31/2018</stp>
        <stp>1</stp>
        <tr r="U507" s="1"/>
      </tp>
      <tp>
        <v>0.11155969773809524</v>
        <stp/>
        <stp>EM_S_RATIO_EPS_TTM</stp>
        <stp>3</stp>
        <stp>002909</stp>
        <stp>12/31/2018</stp>
        <stp>1</stp>
        <tr r="U2046" s="1"/>
      </tp>
      <tp>
        <v>0.54050748608010979</v>
        <stp/>
        <stp>EM_S_RATIO_EPS_TTM</stp>
        <stp>3</stp>
        <stp>002809</stp>
        <stp>12/31/2018</stp>
        <stp>1</stp>
        <tr r="U961" s="1"/>
      </tp>
      <tp>
        <v>0.94603485216081706</v>
        <stp/>
        <stp>EM_S_RATIO_EPS_TTM</stp>
        <stp>3</stp>
        <stp>601169</stp>
        <stp>12/31/2018</stp>
        <stp>1</stp>
        <tr r="U2223" s="1"/>
      </tp>
      <tp>
        <v>1.5283548694968554E-2</v>
        <stp/>
        <stp>EM_S_RATIO_EPS_TTM</stp>
        <stp>3</stp>
        <stp>601069</stp>
        <stp>12/31/2018</stp>
        <stp>1</stp>
        <tr r="U2244" s="1"/>
      </tp>
      <tp>
        <v>0.21375055236922894</v>
        <stp/>
        <stp>EM_S_RATIO_EPS_TTM</stp>
        <stp>3</stp>
        <stp>601369</stp>
        <stp>12/31/2018</stp>
        <stp>1</stp>
        <tr r="U1777" s="1"/>
      </tp>
      <tp>
        <v>0.50298225525325135</v>
        <stp/>
        <stp>EM_S_RATIO_EPS_TTM</stp>
        <stp>3</stp>
        <stp>601669</stp>
        <stp>12/31/2018</stp>
        <stp>1</stp>
        <tr r="U2887" s="1"/>
      </tp>
      <tp>
        <v>-0.39191313867422162</v>
        <stp/>
        <stp>EM_S_RATIO_EPS_TTM</stp>
        <stp>3</stp>
        <stp>601969</stp>
        <stp>12/31/2018</stp>
        <stp>1</stp>
        <tr r="U915" s="1"/>
      </tp>
      <tp>
        <v>1.5758618321167882E-2</v>
        <stp/>
        <stp>EM_S_RATIO_EPS_TTM</stp>
        <stp>3</stp>
        <stp>300139</stp>
        <stp>12/31/2018</stp>
        <stp>1</stp>
        <tr r="U1318" s="1"/>
      </tp>
      <tp>
        <v>1.4799855773599772E-2</v>
        <stp/>
        <stp>EM_S_RATIO_EPS_TTM</stp>
        <stp>3</stp>
        <stp>600169</stp>
        <stp>12/31/2018</stp>
        <stp>1</stp>
        <tr r="U2058" s="1"/>
      </tp>
      <tp>
        <v>9.946313296117229E-2</v>
        <stp/>
        <stp>EM_S_RATIO_EPS_TTM</stp>
        <stp>3</stp>
        <stp>000009</stp>
        <stp>12/31/2018</stp>
        <stp>1</stp>
        <tr r="U295" s="1"/>
      </tp>
      <tp>
        <v>0.21167872099679905</v>
        <stp/>
        <stp>EM_S_RATIO_EPS_TTM</stp>
        <stp>3</stp>
        <stp>300039</stp>
        <stp>12/31/2018</stp>
        <stp>1</stp>
        <tr r="U1356" s="1"/>
      </tp>
      <tp>
        <v>-5.4611477040997058E-2</v>
        <stp/>
        <stp>EM_S_RATIO_EPS_TTM</stp>
        <stp>3</stp>
        <stp>600069</stp>
        <stp>12/31/2018</stp>
        <stp>1</stp>
        <tr r="U2650" s="1"/>
      </tp>
      <tp>
        <v>0.39474339385593571</v>
        <stp/>
        <stp>EM_S_RATIO_EPS_TTM</stp>
        <stp>3</stp>
        <stp>300339</stp>
        <stp>12/31/2018</stp>
        <stp>1</stp>
        <tr r="U650" s="1"/>
      </tp>
      <tp>
        <v>4.0183916180749457E-2</v>
        <stp/>
        <stp>EM_S_RATIO_EPS_TTM</stp>
        <stp>3</stp>
        <stp>600369</stp>
        <stp>12/31/2018</stp>
        <stp>1</stp>
        <tr r="U559" s="1"/>
      </tp>
      <tp>
        <v>7.3227563225867515E-2</v>
        <stp/>
        <stp>EM_S_RATIO_EPS_TTM</stp>
        <stp>3</stp>
        <stp>300239</stp>
        <stp>12/31/2018</stp>
        <stp>1</stp>
        <tr r="U984" s="1"/>
      </tp>
      <tp>
        <v>0.500323265861357</v>
        <stp/>
        <stp>EM_S_RATIO_EPS_TTM</stp>
        <stp>3</stp>
        <stp>600269</stp>
        <stp>12/31/2018</stp>
        <stp>1</stp>
        <tr r="U1972" s="1"/>
      </tp>
      <tp>
        <v>-6.5078129284138947E-2</v>
        <stp/>
        <stp>EM_S_RATIO_EPS_TTM</stp>
        <stp>3</stp>
        <stp>000509</stp>
        <stp>12/31/2018</stp>
        <stp>1</stp>
        <tr r="U3435" s="1"/>
      </tp>
      <tp>
        <v>4.8397434114832535E-2</v>
        <stp/>
        <stp>EM_S_RATIO_EPS_TTM</stp>
        <stp>3</stp>
        <stp>300539</stp>
        <stp>12/31/2018</stp>
        <stp>1</stp>
        <tr r="U2767" s="1"/>
      </tp>
      <tp>
        <v>0.77565322821457283</v>
        <stp/>
        <stp>EM_S_RATIO_EPS_TTM</stp>
        <stp>3</stp>
        <stp>600569</stp>
        <stp>12/31/2018</stp>
        <stp>1</stp>
        <tr r="U3012" s="1"/>
      </tp>
      <tp>
        <v>6.0637010358252613E-2</v>
        <stp/>
        <stp>EM_S_RATIO_EPS_TTM</stp>
        <stp>3</stp>
        <stp>000409</stp>
        <stp>12/31/2018</stp>
        <stp>1</stp>
        <tr r="U2918" s="1"/>
      </tp>
      <tp>
        <v>0.69622968374753502</v>
        <stp/>
        <stp>EM_S_RATIO_EPS_TTM</stp>
        <stp>3</stp>
        <stp>300439</stp>
        <stp>12/31/2018</stp>
        <stp>1</stp>
        <tr r="U2237" s="1"/>
      </tp>
      <tp>
        <v>3.2486573973184434E-2</v>
        <stp/>
        <stp>EM_S_RATIO_EPS_TTM</stp>
        <stp>3</stp>
        <stp>600469</stp>
        <stp>12/31/2018</stp>
        <stp>1</stp>
        <tr r="U749" s="1"/>
      </tp>
      <tp>
        <v>0.34150562815416419</v>
        <stp/>
        <stp>EM_S_RATIO_EPS_TTM</stp>
        <stp>3</stp>
        <stp>000709</stp>
        <stp>12/31/2018</stp>
        <stp>1</stp>
        <tr r="U2736" s="1"/>
      </tp>
      <tp>
        <v>0.65615664107142857</v>
        <stp/>
        <stp>EM_S_RATIO_EPS_TTM</stp>
        <stp>3</stp>
        <stp>300739</stp>
        <stp>12/31/2018</stp>
        <stp>1</stp>
        <tr r="U2754" s="1"/>
      </tp>
      <tp>
        <v>1.3580740189003491E-2</v>
        <stp/>
        <stp>EM_S_RATIO_EPS_TTM</stp>
        <stp>3</stp>
        <stp>600769</stp>
        <stp>12/31/2018</stp>
        <stp>1</stp>
        <tr r="U695" s="1"/>
      </tp>
      <tp>
        <v>-0.203150106409304</v>
        <stp/>
        <stp>EM_S_RATIO_EPS_TTM</stp>
        <stp>3</stp>
        <stp>000609</stp>
        <stp>12/31/2018</stp>
        <stp>1</stp>
        <tr r="U3482" s="1"/>
      </tp>
      <tp>
        <v>0.62678304898685777</v>
        <stp/>
        <stp>EM_S_RATIO_EPS_TTM</stp>
        <stp>3</stp>
        <stp>300639</stp>
        <stp>12/31/2018</stp>
        <stp>1</stp>
        <tr r="U429" s="1"/>
      </tp>
      <tp>
        <v>6.7185177990366113E-5</v>
        <stp/>
        <stp>EM_S_RATIO_EPS_TTM</stp>
        <stp>3</stp>
        <stp>600669</stp>
        <stp>12/31/2018</stp>
        <stp>1</stp>
        <tr r="U2313" s="1"/>
      </tp>
      <tp>
        <v>0.11819719574871033</v>
        <stp/>
        <stp>EM_S_RATIO_EPS_TTM</stp>
        <stp>3</stp>
        <stp>000909</stp>
        <stp>12/31/2018</stp>
        <stp>1</stp>
        <tr r="U3571" s="1"/>
      </tp>
      <tp>
        <v>0.10388540370075561</v>
        <stp/>
        <stp>EM_S_RATIO_EPS_TTM</stp>
        <stp>3</stp>
        <stp>600969</stp>
        <stp>12/31/2018</stp>
        <stp>1</stp>
        <tr r="U1681" s="1"/>
      </tp>
      <tp>
        <v>0.11719051749252644</v>
        <stp/>
        <stp>EM_S_RATIO_EPS_TTM</stp>
        <stp>3</stp>
        <stp>000809</stp>
        <stp>12/31/2018</stp>
        <stp>1</stp>
        <tr r="U2356" s="1"/>
      </tp>
      <tp>
        <v>6.8390718124265226E-2</v>
        <stp/>
        <stp>EM_S_RATIO_EPS_TTM</stp>
        <stp>3</stp>
        <stp>600869</stp>
        <stp>12/31/2018</stp>
        <stp>1</stp>
        <tr r="U2251" s="1"/>
      </tp>
      <tp>
        <v>-0.39205598952875836</v>
        <stp/>
        <stp>EM_S_RATIO_EPS_TTM</stp>
        <stp>3</stp>
        <stp>603168</stp>
        <stp>12/31/2018</stp>
        <stp>1</stp>
        <tr r="U1079" s="1"/>
      </tp>
      <tp>
        <v>2.0387472829760269</v>
        <stp/>
        <stp>EM_S_RATIO_EPS_TTM</stp>
        <stp>3</stp>
        <stp>603368</stp>
        <stp>12/31/2018</stp>
        <stp>1</stp>
        <tr r="U1009" s="1"/>
      </tp>
      <tp>
        <v>0.30067521096776667</v>
        <stp/>
        <stp>EM_S_RATIO_EPS_TTM</stp>
        <stp>3</stp>
        <stp>603268</stp>
        <stp>12/31/2018</stp>
        <stp>1</stp>
        <tr r="U2529" s="1"/>
      </tp>
      <tp>
        <v>1.0761017884775614</v>
        <stp/>
        <stp>EM_S_RATIO_EPS_TTM</stp>
        <stp>3</stp>
        <stp>603568</stp>
        <stp>12/31/2018</stp>
        <stp>1</stp>
        <tr r="U2253" s="1"/>
      </tp>
      <tp>
        <v>0.38367357313725492</v>
        <stp/>
        <stp>EM_S_RATIO_EPS_TTM</stp>
        <stp>3</stp>
        <stp>603768</stp>
        <stp>12/31/2018</stp>
        <stp>1</stp>
        <tr r="U2158" s="1"/>
      </tp>
      <tp>
        <v>0.24534432129555456</v>
        <stp/>
        <stp>EM_S_RATIO_EPS_TTM</stp>
        <stp>3</stp>
        <stp>603668</stp>
        <stp>12/31/2018</stp>
        <stp>1</stp>
        <tr r="U1555" s="1"/>
      </tp>
      <tp>
        <v>0.98237221591353685</v>
        <stp/>
        <stp>EM_S_RATIO_EPS_TTM</stp>
        <stp>3</stp>
        <stp>603968</stp>
        <stp>12/31/2018</stp>
        <stp>1</stp>
        <tr r="U1405" s="1"/>
      </tp>
      <tp>
        <v>1.9396164777318643</v>
        <stp/>
        <stp>EM_S_RATIO_EPS_TTM</stp>
        <stp>3</stp>
        <stp>603868</stp>
        <stp>12/31/2018</stp>
        <stp>1</stp>
        <tr r="U2443" s="1"/>
      </tp>
      <tp>
        <v>0.21008191949194599</v>
        <stp/>
        <stp>EM_S_RATIO_EPS_TTM</stp>
        <stp>3</stp>
        <stp>002108</stp>
        <stp>12/31/2018</stp>
        <stp>1</stp>
        <tr r="U3637" s="1"/>
      </tp>
      <tp>
        <v>1.6106101223741474</v>
        <stp/>
        <stp>EM_S_RATIO_EPS_TTM</stp>
        <stp>3</stp>
        <stp>002008</stp>
        <stp>12/31/2018</stp>
        <stp>1</stp>
        <tr r="U3605" s="1"/>
      </tp>
      <tp>
        <v>0.17404791368437617</v>
        <stp/>
        <stp>EM_S_RATIO_EPS_TTM</stp>
        <stp>3</stp>
        <stp>002308</stp>
        <stp>12/31/2018</stp>
        <stp>1</stp>
        <tr r="U2098" s="1"/>
      </tp>
      <tp>
        <v>0.77335098181818185</v>
        <stp/>
        <stp>EM_S_RATIO_EPS_TTM</stp>
        <stp>3</stp>
        <stp>002208</stp>
        <stp>12/31/2018</stp>
        <stp>1</stp>
        <tr r="U3250" s="1"/>
      </tp>
      <tp>
        <v>1.5527172788991781</v>
        <stp/>
        <stp>EM_S_RATIO_EPS_TTM</stp>
        <stp>3</stp>
        <stp>002508</stp>
        <stp>12/31/2018</stp>
        <stp>1</stp>
        <tr r="U332" s="1"/>
      </tp>
      <tp>
        <v>0.47482298237547549</v>
        <stp/>
        <stp>EM_S_RATIO_EPS_TTM</stp>
        <stp>3</stp>
        <stp>002408</stp>
        <stp>12/31/2018</stp>
        <stp>1</stp>
        <tr r="U2019" s="1"/>
      </tp>
      <tp>
        <v>-0.19281524372050882</v>
        <stp/>
        <stp>EM_S_RATIO_EPS_TTM</stp>
        <stp>3</stp>
        <stp>002708</stp>
        <stp>12/31/2018</stp>
        <stp>1</stp>
        <tr r="U1971" s="1"/>
      </tp>
      <tp>
        <v>0.67655934879927559</v>
        <stp/>
        <stp>EM_S_RATIO_EPS_TTM</stp>
        <stp>3</stp>
        <stp>002608</stp>
        <stp>12/31/2018</stp>
        <stp>1</stp>
        <tr r="U2248" s="1"/>
      </tp>
      <tp>
        <v>0.54130371523923804</v>
        <stp/>
        <stp>EM_S_RATIO_EPS_TTM</stp>
        <stp>3</stp>
        <stp>002908</stp>
        <stp>12/31/2018</stp>
        <stp>1</stp>
        <tr r="U3201" s="1"/>
      </tp>
      <tp>
        <v>0.18051951729166668</v>
        <stp/>
        <stp>EM_S_RATIO_EPS_TTM</stp>
        <stp>3</stp>
        <stp>002808</stp>
        <stp>12/31/2018</stp>
        <stp>1</stp>
        <tr r="U3161" s="1"/>
      </tp>
      <tp>
        <v>-0.86575469702056229</v>
        <stp/>
        <stp>EM_S_RATIO_EPS_TTM</stp>
        <stp>3</stp>
        <stp>601168</stp>
        <stp>12/31/2018</stp>
        <stp>1</stp>
        <tr r="U1406" s="1"/>
      </tp>
      <tp>
        <v>0.37953687319537366</v>
        <stp/>
        <stp>EM_S_RATIO_EPS_TTM</stp>
        <stp>3</stp>
        <stp>601368</stp>
        <stp>12/31/2018</stp>
        <stp>1</stp>
        <tr r="U2204" s="1"/>
      </tp>
      <tp>
        <v>6.6247231817538541E-2</v>
        <stp/>
        <stp>EM_S_RATIO_EPS_TTM</stp>
        <stp>3</stp>
        <stp>601268</stp>
        <stp>12/31/2018</stp>
        <stp>1</stp>
        <tr r="U2338" s="1"/>
      </tp>
      <tp>
        <v>0.91082922713557657</v>
        <stp/>
        <stp>EM_S_RATIO_EPS_TTM</stp>
        <stp>3</stp>
        <stp>601668</stp>
        <stp>12/31/2018</stp>
        <stp>1</stp>
        <tr r="U2444" s="1"/>
      </tp>
      <tp>
        <v>5.0269897758795909E-2</v>
        <stp/>
        <stp>EM_S_RATIO_EPS_TTM</stp>
        <stp>3</stp>
        <stp>601968</stp>
        <stp>12/31/2018</stp>
        <stp>1</stp>
        <tr r="U1000" s="1"/>
      </tp>
      <tp>
        <v>0.28281309478522221</v>
        <stp/>
        <stp>EM_S_RATIO_EPS_TTM</stp>
        <stp>3</stp>
        <stp>300138</stp>
        <stp>12/31/2018</stp>
        <stp>1</stp>
        <tr r="U941" s="1"/>
      </tp>
      <tp>
        <v>0.39450165757643441</v>
        <stp/>
        <stp>EM_S_RATIO_EPS_TTM</stp>
        <stp>3</stp>
        <stp>600168</stp>
        <stp>12/31/2018</stp>
        <stp>1</stp>
        <tr r="U1443" s="1"/>
      </tp>
      <tp>
        <v>0.11533481814015757</v>
        <stp/>
        <stp>EM_S_RATIO_EPS_TTM</stp>
        <stp>3</stp>
        <stp>000008</stp>
        <stp>12/31/2018</stp>
        <stp>1</stp>
        <tr r="U2627" s="1"/>
      </tp>
      <tp>
        <v>0.54081353117818221</v>
        <stp/>
        <stp>EM_S_RATIO_EPS_TTM</stp>
        <stp>3</stp>
        <stp>300038</stp>
        <stp>12/31/2018</stp>
        <stp>1</stp>
        <tr r="U2648" s="1"/>
      </tp>
      <tp>
        <v>1.0114943513777817</v>
        <stp/>
        <stp>EM_S_RATIO_EPS_TTM</stp>
        <stp>3</stp>
        <stp>600068</stp>
        <stp>12/31/2018</stp>
        <stp>1</stp>
        <tr r="U2190" s="1"/>
      </tp>
      <tp>
        <v>0.28564639661012625</v>
        <stp/>
        <stp>EM_S_RATIO_EPS_TTM</stp>
        <stp>3</stp>
        <stp>300338</stp>
        <stp>12/31/2018</stp>
        <stp>1</stp>
        <tr r="U520" s="1"/>
      </tp>
      <tp>
        <v>0.37679388955539245</v>
        <stp/>
        <stp>EM_S_RATIO_EPS_TTM</stp>
        <stp>3</stp>
        <stp>600368</stp>
        <stp>12/31/2018</stp>
        <stp>1</stp>
        <tr r="U637" s="1"/>
      </tp>
      <tp>
        <v>0.17252705986510167</v>
        <stp/>
        <stp>EM_S_RATIO_EPS_TTM</stp>
        <stp>3</stp>
        <stp>300238</stp>
        <stp>12/31/2018</stp>
        <stp>1</stp>
        <tr r="U179" s="1"/>
      </tp>
      <tp>
        <v>7.5090067245478523E-2</v>
        <stp/>
        <stp>EM_S_RATIO_EPS_TTM</stp>
        <stp>3</stp>
        <stp>600268</stp>
        <stp>12/31/2018</stp>
        <stp>1</stp>
        <tr r="U1195" s="1"/>
      </tp>
      <tp>
        <v>0.86726715182994196</v>
        <stp/>
        <stp>EM_S_RATIO_EPS_TTM</stp>
        <stp>3</stp>
        <stp>000508</stp>
        <stp>12/31/2018</stp>
        <stp>1</stp>
        <tr r="U3434" s="1"/>
      </tp>
      <tp>
        <v>0.36096827809633225</v>
        <stp/>
        <stp>EM_S_RATIO_EPS_TTM</stp>
        <stp>3</stp>
        <stp>300538</stp>
        <stp>12/31/2018</stp>
        <stp>1</stp>
        <tr r="U2971" s="1"/>
      </tp>
      <tp>
        <v>-0.95069680882460073</v>
        <stp/>
        <stp>EM_S_RATIO_EPS_TTM</stp>
        <stp>3</stp>
        <stp>600568</stp>
        <stp>12/31/2018</stp>
        <stp>1</stp>
        <tr r="U3135" s="1"/>
      </tp>
      <tp>
        <v>0.42641097981444709</v>
        <stp/>
        <stp>EM_S_RATIO_EPS_TTM</stp>
        <stp>3</stp>
        <stp>000408</stp>
        <stp>12/31/2018</stp>
        <stp>1</stp>
        <tr r="U3418" s="1"/>
      </tp>
      <tp>
        <v>0.94184189749288993</v>
        <stp/>
        <stp>EM_S_RATIO_EPS_TTM</stp>
        <stp>3</stp>
        <stp>300438</stp>
        <stp>12/31/2018</stp>
        <stp>1</stp>
        <tr r="U364" s="1"/>
      </tp>
      <tp>
        <v>5.8099705890982331E-2</v>
        <stp/>
        <stp>EM_S_RATIO_EPS_TTM</stp>
        <stp>3</stp>
        <stp>600468</stp>
        <stp>12/31/2018</stp>
        <stp>1</stp>
        <tr r="U3233" s="1"/>
      </tp>
      <tp>
        <v>1.1352222235770895</v>
        <stp/>
        <stp>EM_S_RATIO_EPS_TTM</stp>
        <stp>3</stp>
        <stp>000708</stp>
        <stp>12/31/2018</stp>
        <stp>1</stp>
        <tr r="U73" s="1"/>
      </tp>
      <tp>
        <v>0.88757181763858672</v>
        <stp/>
        <stp>EM_S_RATIO_EPS_TTM</stp>
        <stp>3</stp>
        <stp>300738</stp>
        <stp>12/31/2018</stp>
        <stp>1</stp>
        <tr r="U2898" s="1"/>
      </tp>
      <tp>
        <v>-0.23230178403734808</v>
        <stp/>
        <stp>EM_S_RATIO_EPS_TTM</stp>
        <stp>3</stp>
        <stp>600768</stp>
        <stp>12/31/2018</stp>
        <stp>1</stp>
        <tr r="U914" s="1"/>
      </tp>
      <tp>
        <v>1.5287100338687281E-2</v>
        <stp/>
        <stp>EM_S_RATIO_EPS_TTM</stp>
        <stp>3</stp>
        <stp>000608</stp>
        <stp>12/31/2018</stp>
        <stp>1</stp>
        <tr r="U3481" s="1"/>
      </tp>
      <tp>
        <v>0.71621346611810022</v>
        <stp/>
        <stp>EM_S_RATIO_EPS_TTM</stp>
        <stp>3</stp>
        <stp>300638</stp>
        <stp>12/31/2018</stp>
        <stp>1</stp>
        <tr r="U110" s="1"/>
      </tp>
      <tp>
        <v>1.7103451359823862</v>
        <stp/>
        <stp>EM_S_RATIO_EPS_TTM</stp>
        <stp>3</stp>
        <stp>600668</stp>
        <stp>12/31/2018</stp>
        <stp>1</stp>
        <tr r="U921" s="1"/>
      </tp>
      <tp>
        <v>0.21234156254687175</v>
        <stp/>
        <stp>EM_S_RATIO_EPS_TTM</stp>
        <stp>3</stp>
        <stp>000908</stp>
        <stp>12/31/2018</stp>
        <stp>1</stp>
        <tr r="U3008" s="1"/>
      </tp>
      <tp>
        <v>1.1533945871686904E-2</v>
        <stp/>
        <stp>EM_S_RATIO_EPS_TTM</stp>
        <stp>3</stp>
        <stp>600868</stp>
        <stp>12/31/2018</stp>
        <stp>1</stp>
        <tr r="U1248" s="1"/>
      </tp>
      <tp>
        <v>0.48925381121900002</v>
        <stp/>
        <stp>EM_S_FA_ASSETSTURN</stp>
        <stp>3</stp>
        <stp>300382</stp>
        <stp>12/31/2018</stp>
        <stp>1</stp>
        <tr r="K2351" s="1"/>
      </tp>
      <tp>
        <v>0.28724944166499999</v>
        <stp/>
        <stp>EM_S_FA_ASSETSTURN</stp>
        <stp>3</stp>
        <stp>300282</stp>
        <stp>12/31/2018</stp>
        <stp>1</stp>
        <tr r="K3268" s="1"/>
      </tp>
      <tp>
        <v>0.32306881422200001</v>
        <stp/>
        <stp>EM_S_FA_ASSETSTURN</stp>
        <stp>3</stp>
        <stp>300182</stp>
        <stp>12/31/2018</stp>
        <stp>1</stp>
        <tr r="K3029" s="1"/>
      </tp>
      <tp>
        <v>1.2513662579339999</v>
        <stp/>
        <stp>EM_S_FA_ASSETSTURN</stp>
        <stp>3</stp>
        <stp>300082</stp>
        <stp>12/31/2018</stp>
        <stp>1</stp>
        <tr r="K2238" s="1"/>
      </tp>
      <tp>
        <v>0.53821679299000003</v>
        <stp/>
        <stp>EM_S_FA_ASSETSTURN</stp>
        <stp>3</stp>
        <stp>300682</stp>
        <stp>12/31/2018</stp>
        <stp>1</stp>
        <tr r="K782" s="1"/>
      </tp>
      <tp>
        <v>0.63593034564200002</v>
        <stp/>
        <stp>EM_S_FA_ASSETSTURN</stp>
        <stp>3</stp>
        <stp>300582</stp>
        <stp>12/31/2018</stp>
        <stp>1</stp>
        <tr r="K1308" s="1"/>
      </tp>
      <tp>
        <v>0.75238151736400005</v>
        <stp/>
        <stp>EM_S_FA_ASSETSTURN</stp>
        <stp>3</stp>
        <stp>300482</stp>
        <stp>12/31/2018</stp>
        <stp>1</stp>
        <tr r="K183" s="1"/>
      </tp>
      <tp>
        <v>1.1726545303689837</v>
        <stp/>
        <stp>EM_S_RATIO_EPS_TTM</stp>
        <stp>3</stp>
        <stp>603165</stp>
        <stp>12/31/2018</stp>
        <stp>1</stp>
        <tr r="U1558" s="1"/>
      </tp>
      <tp>
        <v>1.0690067433157087</v>
        <stp/>
        <stp>EM_S_RATIO_EPS_TTM</stp>
        <stp>3</stp>
        <stp>603365</stp>
        <stp>12/31/2018</stp>
        <stp>1</stp>
        <tr r="U2148" s="1"/>
      </tp>
      <tp>
        <v>0.83566953860000004</v>
        <stp/>
        <stp>EM_S_RATIO_EPS_TTM</stp>
        <stp>3</stp>
        <stp>603665</stp>
        <stp>12/31/2018</stp>
        <stp>1</stp>
        <tr r="U3001" s="1"/>
      </tp>
      <tp>
        <v>2.9647552971506105E-2</v>
        <stp/>
        <stp>EM_S_RATIO_EPS_TTM</stp>
        <stp>3</stp>
        <stp>002105</stp>
        <stp>12/31/2018</stp>
        <stp>1</stp>
        <tr r="U3636" s="1"/>
      </tp>
      <tp>
        <v>-2.2481161803798906</v>
        <stp/>
        <stp>EM_S_RATIO_EPS_TTM</stp>
        <stp>3</stp>
        <stp>002005</stp>
        <stp>12/31/2018</stp>
        <stp>1</stp>
        <tr r="U3604" s="1"/>
      </tp>
      <tp>
        <v>4.8635333387609544E-2</v>
        <stp/>
        <stp>EM_S_RATIO_EPS_TTM</stp>
        <stp>3</stp>
        <stp>002305</stp>
        <stp>12/31/2018</stp>
        <stp>1</stp>
        <tr r="U3140" s="1"/>
      </tp>
      <tp>
        <v>2.8806107096649842E-2</v>
        <stp/>
        <stp>EM_S_RATIO_EPS_TTM</stp>
        <stp>3</stp>
        <stp>002205</stp>
        <stp>12/31/2018</stp>
        <stp>1</stp>
        <tr r="U1137" s="1"/>
      </tp>
      <tp>
        <v>-0.12491482157400367</v>
        <stp/>
        <stp>EM_S_RATIO_EPS_TTM</stp>
        <stp>3</stp>
        <stp>002505</stp>
        <stp>12/31/2018</stp>
        <stp>1</stp>
        <tr r="U1975" s="1"/>
      </tp>
      <tp>
        <v>0.36585057510652041</v>
        <stp/>
        <stp>EM_S_RATIO_EPS_TTM</stp>
        <stp>3</stp>
        <stp>002405</stp>
        <stp>12/31/2018</stp>
        <stp>1</stp>
        <tr r="U1559" s="1"/>
      </tp>
      <tp>
        <v>0.61800540772284385</v>
        <stp/>
        <stp>EM_S_RATIO_EPS_TTM</stp>
        <stp>3</stp>
        <stp>002705</stp>
        <stp>12/31/2018</stp>
        <stp>1</stp>
        <tr r="U240" s="1"/>
      </tp>
      <tp>
        <v>0.32609643285416173</v>
        <stp/>
        <stp>EM_S_RATIO_EPS_TTM</stp>
        <stp>3</stp>
        <stp>002605</stp>
        <stp>12/31/2018</stp>
        <stp>1</stp>
        <tr r="U74" s="1"/>
      </tp>
      <tp>
        <v>0.58792227983630951</v>
        <stp/>
        <stp>EM_S_RATIO_EPS_TTM</stp>
        <stp>3</stp>
        <stp>002905</stp>
        <stp>12/31/2018</stp>
        <stp>1</stp>
        <tr r="U980" s="1"/>
      </tp>
      <tp>
        <v>0.16828249145116589</v>
        <stp/>
        <stp>EM_S_RATIO_EPS_TTM</stp>
        <stp>3</stp>
        <stp>002805</stp>
        <stp>12/31/2018</stp>
        <stp>1</stp>
        <tr r="U3062" s="1"/>
      </tp>
      <tp>
        <v>0.4156603416263504</v>
        <stp/>
        <stp>EM_S_RATIO_EPS_TTM</stp>
        <stp>3</stp>
        <stp>601965</stp>
        <stp>12/31/2018</stp>
        <stp>1</stp>
        <tr r="U1351" s="1"/>
      </tp>
      <tp>
        <v>4.5006037565104164E-2</v>
        <stp/>
        <stp>EM_S_RATIO_EPS_TTM</stp>
        <stp>3</stp>
        <stp>300135</stp>
        <stp>12/31/2018</stp>
        <stp>1</stp>
        <tr r="U2372" s="1"/>
      </tp>
      <tp>
        <v>1.3725850418926919E-2</v>
        <stp/>
        <stp>EM_S_RATIO_EPS_TTM</stp>
        <stp>3</stp>
        <stp>600165</stp>
        <stp>12/31/2018</stp>
        <stp>1</stp>
        <tr r="U3077" s="1"/>
      </tp>
      <tp>
        <v>0.14057998533035471</v>
        <stp/>
        <stp>EM_S_RATIO_EPS_TTM</stp>
        <stp>3</stp>
        <stp>000005</stp>
        <stp>12/31/2018</stp>
        <stp>1</stp>
        <tr r="U1466" s="1"/>
      </tp>
      <tp>
        <v>0.25165158904377138</v>
        <stp/>
        <stp>EM_S_RATIO_EPS_TTM</stp>
        <stp>3</stp>
        <stp>300035</stp>
        <stp>12/31/2018</stp>
        <stp>1</stp>
        <tr r="U263" s="1"/>
      </tp>
      <tp>
        <v>-1.692469010599857E-2</v>
        <stp/>
        <stp>EM_S_RATIO_EPS_TTM</stp>
        <stp>3</stp>
        <stp>600065</stp>
        <stp>12/31/2018</stp>
        <stp>1</stp>
        <tr r="U2289" s="1"/>
      </tp>
      <tp>
        <v>0.44538411956828267</v>
        <stp/>
        <stp>EM_S_RATIO_EPS_TTM</stp>
        <stp>3</stp>
        <stp>300335</stp>
        <stp>12/31/2018</stp>
        <stp>1</stp>
        <tr r="U2659" s="1"/>
      </tp>
      <tp>
        <v>1.0494591225000001E-2</v>
        <stp/>
        <stp>EM_S_RATIO_EPS_TTM</stp>
        <stp>3</stp>
        <stp>600365</stp>
        <stp>12/31/2018</stp>
        <stp>1</stp>
        <tr r="U1502" s="1"/>
      </tp>
      <tp>
        <v>7.3383641552944689E-2</v>
        <stp/>
        <stp>EM_S_RATIO_EPS_TTM</stp>
        <stp>3</stp>
        <stp>300235</stp>
        <stp>12/31/2018</stp>
        <stp>1</stp>
        <tr r="U431" s="1"/>
      </tp>
      <tp>
        <v>4.6672299229583977E-2</v>
        <stp/>
        <stp>EM_S_RATIO_EPS_TTM</stp>
        <stp>3</stp>
        <stp>600265</stp>
        <stp>12/31/2018</stp>
        <stp>1</stp>
        <tr r="U2743" s="1"/>
      </tp>
      <tp>
        <v>0.2449095087460284</v>
        <stp/>
        <stp>EM_S_RATIO_EPS_TTM</stp>
        <stp>3</stp>
        <stp>000505</stp>
        <stp>12/31/2018</stp>
        <stp>1</stp>
        <tr r="U3432" s="1"/>
      </tp>
      <tp>
        <v>0.41547311497731626</v>
        <stp/>
        <stp>EM_S_RATIO_EPS_TTM</stp>
        <stp>3</stp>
        <stp>300535</stp>
        <stp>12/31/2018</stp>
        <stp>1</stp>
        <tr r="U1948" s="1"/>
      </tp>
      <tp>
        <v>0.4227883939675679</v>
        <stp/>
        <stp>EM_S_RATIO_EPS_TTM</stp>
        <stp>3</stp>
        <stp>600565</stp>
        <stp>12/31/2018</stp>
        <stp>1</stp>
        <tr r="U845" s="1"/>
      </tp>
      <tp>
        <v>1.2697147975321331E-3</v>
        <stp/>
        <stp>EM_S_RATIO_EPS_TTM</stp>
        <stp>3</stp>
        <stp>000405</stp>
        <stp>12/31/2018</stp>
        <stp>1</stp>
        <tr r="U3416" s="1"/>
      </tp>
      <tp>
        <v>0.27104975786672653</v>
        <stp/>
        <stp>EM_S_RATIO_EPS_TTM</stp>
        <stp>3</stp>
        <stp>300435</stp>
        <stp>12/31/2018</stp>
        <stp>1</stp>
        <tr r="U1794" s="1"/>
      </tp>
      <tp>
        <v>0.21214955290485199</v>
        <stp/>
        <stp>EM_S_RATIO_EPS_TTM</stp>
        <stp>3</stp>
        <stp>000705</stp>
        <stp>12/31/2018</stp>
        <stp>1</stp>
        <tr r="U1817" s="1"/>
      </tp>
      <tp>
        <v>0.7706052875267847</v>
        <stp/>
        <stp>EM_S_RATIO_EPS_TTM</stp>
        <stp>3</stp>
        <stp>300735</stp>
        <stp>12/31/2018</stp>
        <stp>1</stp>
        <tr r="U394" s="1"/>
      </tp>
      <tp>
        <v>0.42820517533861047</v>
        <stp/>
        <stp>EM_S_RATIO_EPS_TTM</stp>
        <stp>3</stp>
        <stp>600765</stp>
        <stp>12/31/2018</stp>
        <stp>1</stp>
        <tr r="U867" s="1"/>
      </tp>
      <tp>
        <v>0.16979702752180154</v>
        <stp/>
        <stp>EM_S_RATIO_EPS_TTM</stp>
        <stp>3</stp>
        <stp>000605</stp>
        <stp>12/31/2018</stp>
        <stp>1</stp>
        <tr r="U3479" s="1"/>
      </tp>
      <tp>
        <v>0.40293941848695114</v>
        <stp/>
        <stp>EM_S_RATIO_EPS_TTM</stp>
        <stp>3</stp>
        <stp>300635</stp>
        <stp>12/31/2018</stp>
        <stp>1</stp>
        <tr r="U3011" s="1"/>
      </tp>
      <tp>
        <v>0.48652221637908216</v>
        <stp/>
        <stp>EM_S_RATIO_EPS_TTM</stp>
        <stp>3</stp>
        <stp>600665</stp>
        <stp>12/31/2018</stp>
        <stp>1</stp>
        <tr r="U2096" s="1"/>
      </tp>
      <tp>
        <v>4.745606446327684E-2</v>
        <stp/>
        <stp>EM_S_RATIO_EPS_TTM</stp>
        <stp>3</stp>
        <stp>000905</stp>
        <stp>12/31/2018</stp>
        <stp>1</stp>
        <tr r="U3570" s="1"/>
      </tp>
      <tp>
        <v>0.19591140454941816</v>
        <stp/>
        <stp>EM_S_RATIO_EPS_TTM</stp>
        <stp>3</stp>
        <stp>600965</stp>
        <stp>12/31/2018</stp>
        <stp>1</stp>
        <tr r="U3222" s="1"/>
      </tp>
      <tp>
        <v>5.2997161838409475E-2</v>
        <stp/>
        <stp>EM_S_RATIO_EPS_TTM</stp>
        <stp>3</stp>
        <stp>000805</stp>
        <stp>12/31/2018</stp>
        <stp>1</stp>
        <tr r="U3544" s="1"/>
      </tp>
      <tp>
        <v>0.30947637139981565</v>
        <stp/>
        <stp>EM_S_RATIO_EPS_TTM</stp>
        <stp>3</stp>
        <stp>600865</stp>
        <stp>12/31/2018</stp>
        <stp>1</stp>
        <tr r="U1563" s="1"/>
      </tp>
      <tp>
        <v>0.54754897247000001</v>
        <stp/>
        <stp>EM_S_FA_ASSETSTURN</stp>
        <stp>3</stp>
        <stp>300383</stp>
        <stp>12/31/2018</stp>
        <stp>1</stp>
        <tr r="K447" s="1"/>
      </tp>
      <tp>
        <v>0.82253541390700002</v>
        <stp/>
        <stp>EM_S_FA_ASSETSTURN</stp>
        <stp>3</stp>
        <stp>300283</stp>
        <stp>12/31/2018</stp>
        <stp>1</stp>
        <tr r="K2236" s="1"/>
      </tp>
      <tp>
        <v>0.32295329493199998</v>
        <stp/>
        <stp>EM_S_FA_ASSETSTURN</stp>
        <stp>3</stp>
        <stp>300183</stp>
        <stp>12/31/2018</stp>
        <stp>1</stp>
        <tr r="K1047" s="1"/>
      </tp>
      <tp>
        <v>0.56182181933999997</v>
        <stp/>
        <stp>EM_S_FA_ASSETSTURN</stp>
        <stp>3</stp>
        <stp>300083</stp>
        <stp>12/31/2018</stp>
        <stp>1</stp>
        <tr r="K377" s="1"/>
      </tp>
      <tp>
        <v>0.290776435078</v>
        <stp/>
        <stp>EM_S_FA_ASSETSTURN</stp>
        <stp>3</stp>
        <stp>300683</stp>
        <stp>12/31/2018</stp>
        <stp>1</stp>
        <tr r="K1867" s="1"/>
      </tp>
      <tp>
        <v>0.45562462588399999</v>
        <stp/>
        <stp>EM_S_FA_ASSETSTURN</stp>
        <stp>3</stp>
        <stp>300583</stp>
        <stp>12/31/2018</stp>
        <stp>1</stp>
        <tr r="K2080" s="1"/>
      </tp>
      <tp>
        <v>9.6189615278999996E-2</v>
        <stp/>
        <stp>EM_S_FA_ASSETSTURN</stp>
        <stp>3</stp>
        <stp>300483</stp>
        <stp>12/31/2018</stp>
        <stp>1</stp>
        <tr r="K1094" s="1"/>
      </tp>
      <tp>
        <v>0.20433586550150781</v>
        <stp/>
        <stp>EM_S_RATIO_EPS_TTM</stp>
        <stp>3</stp>
        <stp>002104</stp>
        <stp>12/31/2018</stp>
        <stp>1</stp>
        <tr r="U962" s="1"/>
      </tp>
      <tp>
        <v>0.2512928488733433</v>
        <stp/>
        <stp>EM_S_RATIO_EPS_TTM</stp>
        <stp>3</stp>
        <stp>002004</stp>
        <stp>12/31/2018</stp>
        <stp>1</stp>
        <tr r="U1958" s="1"/>
      </tp>
      <tp>
        <v>5.3850394261201808</v>
        <stp/>
        <stp>EM_S_RATIO_EPS_TTM</stp>
        <stp>3</stp>
        <stp>002304</stp>
        <stp>12/31/2018</stp>
        <stp>1</stp>
        <tr r="U1400" s="1"/>
      </tp>
      <tp>
        <v>7.9698980697449281E-3</v>
        <stp/>
        <stp>EM_S_RATIO_EPS_TTM</stp>
        <stp>3</stp>
        <stp>002204</stp>
        <stp>12/31/2018</stp>
        <stp>1</stp>
        <tr r="U1806" s="1"/>
      </tp>
      <tp>
        <v>7.3802060929539998E-3</v>
        <stp/>
        <stp>EM_S_RATIO_EPS_TTM</stp>
        <stp>3</stp>
        <stp>002504</stp>
        <stp>12/31/2018</stp>
        <stp>1</stp>
        <tr r="U2893" s="1"/>
      </tp>
      <tp>
        <v>0.24841884142676332</v>
        <stp/>
        <stp>EM_S_RATIO_EPS_TTM</stp>
        <stp>3</stp>
        <stp>002404</stp>
        <stp>12/31/2018</stp>
        <stp>1</stp>
        <tr r="U1312" s="1"/>
      </tp>
      <tp>
        <v>-4.6792335344162126</v>
        <stp/>
        <stp>EM_S_RATIO_EPS_TTM</stp>
        <stp>3</stp>
        <stp>002604</stp>
        <stp>12/31/2018</stp>
        <stp>1</stp>
        <tr r="U1363" s="1"/>
      </tp>
      <tp>
        <v>3.2191122852246214E-2</v>
        <stp/>
        <stp>EM_S_RATIO_EPS_TTM</stp>
        <stp>3</stp>
        <stp>300134</stp>
        <stp>12/31/2018</stp>
        <stp>1</stp>
        <tr r="U367" s="1"/>
      </tp>
      <tp>
        <v>-0.24138585634079099</v>
        <stp/>
        <stp>EM_S_RATIO_EPS_TTM</stp>
        <stp>3</stp>
        <stp>000004</stp>
        <stp>12/31/2018</stp>
        <stp>1</stp>
        <tr r="U715" s="1"/>
      </tp>
      <tp>
        <v>0.23784436736564946</v>
        <stp/>
        <stp>EM_S_RATIO_EPS_TTM</stp>
        <stp>3</stp>
        <stp>300034</stp>
        <stp>12/31/2018</stp>
        <stp>1</stp>
        <tr r="U226" s="1"/>
      </tp>
      <tp>
        <v>0.77539869622863411</v>
        <stp/>
        <stp>EM_S_RATIO_EPS_TTM</stp>
        <stp>3</stp>
        <stp>600064</stp>
        <stp>12/31/2018</stp>
        <stp>1</stp>
        <tr r="U1144" s="1"/>
      </tp>
      <tp>
        <v>3.9014646663537753E-2</v>
        <stp/>
        <stp>EM_S_RATIO_EPS_TTM</stp>
        <stp>3</stp>
        <stp>300334</stp>
        <stp>12/31/2018</stp>
        <stp>1</stp>
        <tr r="U2828" s="1"/>
      </tp>
      <tp>
        <v>-0.24686994525849187</v>
        <stp/>
        <stp>EM_S_RATIO_EPS_TTM</stp>
        <stp>3</stp>
        <stp>300234</stp>
        <stp>12/31/2018</stp>
        <stp>1</stp>
        <tr r="U173" s="1"/>
      </tp>
      <tp>
        <v>-0.11293725237275248</v>
        <stp/>
        <stp>EM_S_RATIO_EPS_TTM</stp>
        <stp>3</stp>
        <stp>000504</stp>
        <stp>12/31/2018</stp>
        <stp>1</stp>
        <tr r="U3431" s="1"/>
      </tp>
      <tp>
        <v>4.0474845308147489E-2</v>
        <stp/>
        <stp>EM_S_RATIO_EPS_TTM</stp>
        <stp>3</stp>
        <stp>300534</stp>
        <stp>12/31/2018</stp>
        <stp>1</stp>
        <tr r="U2141" s="1"/>
      </tp>
      <tp>
        <v>0.10366035219579911</v>
        <stp/>
        <stp>EM_S_RATIO_EPS_TTM</stp>
        <stp>3</stp>
        <stp>000404</stp>
        <stp>12/31/2018</stp>
        <stp>1</stp>
        <tr r="U2194" s="1"/>
      </tp>
      <tp>
        <v>0.3712647238089048</v>
        <stp/>
        <stp>EM_S_RATIO_EPS_TTM</stp>
        <stp>3</stp>
        <stp>300434</stp>
        <stp>12/31/2018</stp>
        <stp>1</stp>
        <tr r="U2981" s="1"/>
      </tp>
      <tp>
        <v>0.1709526547431014</v>
        <stp/>
        <stp>EM_S_RATIO_EPS_TTM</stp>
        <stp>3</stp>
        <stp>600764</stp>
        <stp>12/31/2018</stp>
        <stp>1</stp>
        <tr r="U1185" s="1"/>
      </tp>
      <tp>
        <v>0.39636168173295666</v>
        <stp/>
        <stp>EM_S_RATIO_EPS_TTM</stp>
        <stp>3</stp>
        <stp>300634</stp>
        <stp>12/31/2018</stp>
        <stp>1</stp>
        <tr r="U3171" s="1"/>
      </tp>
      <tp>
        <v>0.13601034415611801</v>
        <stp/>
        <stp>EM_S_RATIO_EPS_TTM</stp>
        <stp>3</stp>
        <stp>600664</stp>
        <stp>12/31/2018</stp>
        <stp>1</stp>
        <tr r="U2644" s="1"/>
      </tp>
      <tp>
        <v>-6.7373966962042522E-2</v>
        <stp/>
        <stp>EM_S_RATIO_EPS_TTM</stp>
        <stp>3</stp>
        <stp>600864</stp>
        <stp>12/31/2018</stp>
        <stp>1</stp>
        <tr r="U222" s="1"/>
      </tp>
      <tp>
        <v>0.86563371062600003</v>
        <stp/>
        <stp>EM_S_FA_ASSETSTURN</stp>
        <stp>3</stp>
        <stp>300380</stp>
        <stp>12/31/2018</stp>
        <stp>1</stp>
        <tr r="K1006" s="1"/>
      </tp>
      <tp>
        <v>0.40967205579499999</v>
        <stp/>
        <stp>EM_S_FA_ASSETSTURN</stp>
        <stp>3</stp>
        <stp>300280</stp>
        <stp>12/31/2018</stp>
        <stp>1</stp>
        <tr r="K3363" s="1"/>
      </tp>
      <tp>
        <v>0.43290809578200001</v>
        <stp/>
        <stp>EM_S_FA_ASSETSTURN</stp>
        <stp>3</stp>
        <stp>300180</stp>
        <stp>12/31/2018</stp>
        <stp>1</stp>
        <tr r="K3053" s="1"/>
      </tp>
      <tp>
        <v>0.47608758468899998</v>
        <stp/>
        <stp>EM_S_FA_ASSETSTURN</stp>
        <stp>3</stp>
        <stp>300080</stp>
        <stp>12/31/2018</stp>
        <stp>1</stp>
        <tr r="K1199" s="1"/>
      </tp>
      <tp>
        <v>0.33766093078800002</v>
        <stp/>
        <stp>EM_S_FA_ASSETSTURN</stp>
        <stp>3</stp>
        <stp>300680</stp>
        <stp>12/31/2018</stp>
        <stp>1</stp>
        <tr r="K910" s="1"/>
      </tp>
      <tp>
        <v>0.46514644459600002</v>
        <stp/>
        <stp>EM_S_FA_ASSETSTURN</stp>
        <stp>3</stp>
        <stp>300580</stp>
        <stp>12/31/2018</stp>
        <stp>1</stp>
        <tr r="K1402" s="1"/>
      </tp>
      <tp>
        <v>0.32522568307499999</v>
        <stp/>
        <stp>EM_S_FA_ASSETSTURN</stp>
        <stp>3</stp>
        <stp>300480</stp>
        <stp>12/31/2018</stp>
        <stp>1</stp>
        <tr r="K213" s="1"/>
      </tp>
      <tp>
        <v>0.81248279987916439</v>
        <stp/>
        <stp>EM_S_RATIO_EPS_TTM</stp>
        <stp>3</stp>
        <stp>603167</stp>
        <stp>12/31/2018</stp>
        <stp>1</stp>
        <tr r="U1235" s="1"/>
      </tp>
      <tp>
        <v>0.47456173256493506</v>
        <stp/>
        <stp>EM_S_RATIO_EPS_TTM</stp>
        <stp>3</stp>
        <stp>603067</stp>
        <stp>12/31/2018</stp>
        <stp>1</stp>
        <tr r="U3099" s="1"/>
      </tp>
      <tp>
        <v>1.1107125411103489</v>
        <stp/>
        <stp>EM_S_RATIO_EPS_TTM</stp>
        <stp>3</stp>
        <stp>603367</stp>
        <stp>12/31/2018</stp>
        <stp>1</stp>
        <tr r="U1963" s="1"/>
      </tp>
      <tp>
        <v>0.54458111472514015</v>
        <stp/>
        <stp>EM_S_RATIO_EPS_TTM</stp>
        <stp>3</stp>
        <stp>603567</stp>
        <stp>12/31/2018</stp>
        <stp>1</stp>
        <tr r="U2492" s="1"/>
      </tp>
      <tp>
        <v>0.18767186306287001</v>
        <stp/>
        <stp>EM_S_RATIO_EPS_TTM</stp>
        <stp>3</stp>
        <stp>603767</stp>
        <stp>12/31/2018</stp>
        <stp>1</stp>
        <tr r="U1821" s="1"/>
      </tp>
      <tp>
        <v>0.38868678998175737</v>
        <stp/>
        <stp>EM_S_RATIO_EPS_TTM</stp>
        <stp>3</stp>
        <stp>603667</stp>
        <stp>12/31/2018</stp>
        <stp>1</stp>
        <tr r="U1247" s="1"/>
      </tp>
      <tp>
        <v>0.12654403084078991</v>
        <stp/>
        <stp>EM_S_RATIO_EPS_TTM</stp>
        <stp>3</stp>
        <stp>002107</stp>
        <stp>12/31/2018</stp>
        <stp>1</stp>
        <tr r="U1136" s="1"/>
      </tp>
      <tp>
        <v>1.225167219481931</v>
        <stp/>
        <stp>EM_S_RATIO_EPS_TTM</stp>
        <stp>3</stp>
        <stp>002007</stp>
        <stp>12/31/2018</stp>
        <stp>1</stp>
        <tr r="U2145" s="1"/>
      </tp>
      <tp>
        <v>5.9153085349301596E-2</v>
        <stp/>
        <stp>EM_S_RATIO_EPS_TTM</stp>
        <stp>3</stp>
        <stp>002307</stp>
        <stp>12/31/2018</stp>
        <stp>1</stp>
        <tr r="U1740" s="1"/>
      </tp>
      <tp>
        <v>-1.421993780281344</v>
        <stp/>
        <stp>EM_S_RATIO_EPS_TTM</stp>
        <stp>3</stp>
        <stp>002207</stp>
        <stp>12/31/2018</stp>
        <stp>1</stp>
        <tr r="U968" s="1"/>
      </tp>
      <tp>
        <v>0.83830185339365249</v>
        <stp/>
        <stp>EM_S_RATIO_EPS_TTM</stp>
        <stp>3</stp>
        <stp>002507</stp>
        <stp>12/31/2018</stp>
        <stp>1</stp>
        <tr r="U1166" s="1"/>
      </tp>
      <tp>
        <v>9.3806783603411492E-2</v>
        <stp/>
        <stp>EM_S_RATIO_EPS_TTM</stp>
        <stp>3</stp>
        <stp>002407</stp>
        <stp>12/31/2018</stp>
        <stp>1</stp>
        <tr r="U1316" s="1"/>
      </tp>
      <tp>
        <v>2.7660668481996647E-2</v>
        <stp/>
        <stp>EM_S_RATIO_EPS_TTM</stp>
        <stp>3</stp>
        <stp>002707</stp>
        <stp>12/31/2018</stp>
        <stp>1</stp>
        <tr r="U2368" s="1"/>
      </tp>
      <tp>
        <v>1.4053844673833389</v>
        <stp/>
        <stp>EM_S_RATIO_EPS_TTM</stp>
        <stp>3</stp>
        <stp>002607</stp>
        <stp>12/31/2018</stp>
        <stp>1</stp>
        <tr r="U95" s="1"/>
      </tp>
      <tp>
        <v>0.34337802092186176</v>
        <stp/>
        <stp>EM_S_RATIO_EPS_TTM</stp>
        <stp>3</stp>
        <stp>002907</stp>
        <stp>12/31/2018</stp>
        <stp>1</stp>
        <tr r="U2905" s="1"/>
      </tp>
      <tp>
        <v>0.48508417877982052</v>
        <stp/>
        <stp>EM_S_RATIO_EPS_TTM</stp>
        <stp>3</stp>
        <stp>002807</stp>
        <stp>12/31/2018</stp>
        <stp>1</stp>
        <tr r="U2715" s="1"/>
      </tp>
      <tp>
        <v>0.35830788065119273</v>
        <stp/>
        <stp>EM_S_RATIO_EPS_TTM</stp>
        <stp>3</stp>
        <stp>601567</stp>
        <stp>12/31/2018</stp>
        <stp>1</stp>
        <tr r="U931" s="1"/>
      </tp>
      <tp>
        <v>0.47081449005144976</v>
        <stp/>
        <stp>EM_S_RATIO_EPS_TTM</stp>
        <stp>3</stp>
        <stp>300137</stp>
        <stp>12/31/2018</stp>
        <stp>1</stp>
        <tr r="U2600" s="1"/>
      </tp>
      <tp>
        <v>0.74813941953112928</v>
        <stp/>
        <stp>EM_S_RATIO_EPS_TTM</stp>
        <stp>3</stp>
        <stp>600167</stp>
        <stp>12/31/2018</stp>
        <stp>1</stp>
        <tr r="U683" s="1"/>
      </tp>
      <tp>
        <v>-0.56635351914412879</v>
        <stp/>
        <stp>EM_S_RATIO_EPS_TTM</stp>
        <stp>3</stp>
        <stp>000007</stp>
        <stp>12/31/2018</stp>
        <stp>1</stp>
        <tr r="U1370" s="1"/>
      </tp>
      <tp>
        <v>0.84350314477200727</v>
        <stp/>
        <stp>EM_S_RATIO_EPS_TTM</stp>
        <stp>3</stp>
        <stp>300037</stp>
        <stp>12/31/2018</stp>
        <stp>1</stp>
        <tr r="U533" s="1"/>
      </tp>
      <tp>
        <v>0.50863654858455631</v>
        <stp/>
        <stp>EM_S_RATIO_EPS_TTM</stp>
        <stp>3</stp>
        <stp>600067</stp>
        <stp>12/31/2018</stp>
        <stp>1</stp>
        <tr r="U1911" s="1"/>
      </tp>
      <tp>
        <v>-8.9910246775841932E-2</v>
        <stp/>
        <stp>EM_S_RATIO_EPS_TTM</stp>
        <stp>3</stp>
        <stp>300337</stp>
        <stp>12/31/2018</stp>
        <stp>1</stp>
        <tr r="U2721" s="1"/>
      </tp>
      <tp>
        <v>0.38898479914106926</v>
        <stp/>
        <stp>EM_S_RATIO_EPS_TTM</stp>
        <stp>3</stp>
        <stp>600367</stp>
        <stp>12/31/2018</stp>
        <stp>1</stp>
        <tr r="U1964" s="1"/>
      </tp>
      <tp>
        <v>0.2560540635786992</v>
        <stp/>
        <stp>EM_S_RATIO_EPS_TTM</stp>
        <stp>3</stp>
        <stp>300237</stp>
        <stp>12/31/2018</stp>
        <stp>1</stp>
        <tr r="U3205" s="1"/>
      </tp>
      <tp>
        <v>-0.51005461348627379</v>
        <stp/>
        <stp>EM_S_RATIO_EPS_TTM</stp>
        <stp>3</stp>
        <stp>600267</stp>
        <stp>12/31/2018</stp>
        <stp>1</stp>
        <tr r="U1513" s="1"/>
      </tp>
      <tp>
        <v>0.2137784587830843</v>
        <stp/>
        <stp>EM_S_RATIO_EPS_TTM</stp>
        <stp>3</stp>
        <stp>000507</stp>
        <stp>12/31/2018</stp>
        <stp>1</stp>
        <tr r="U2637" s="1"/>
      </tp>
      <tp>
        <v>0.28508504370028276</v>
        <stp/>
        <stp>EM_S_RATIO_EPS_TTM</stp>
        <stp>3</stp>
        <stp>300537</stp>
        <stp>12/31/2018</stp>
        <stp>1</stp>
        <tr r="U142" s="1"/>
      </tp>
      <tp>
        <v>0.7009635910921902</v>
        <stp/>
        <stp>EM_S_RATIO_EPS_TTM</stp>
        <stp>3</stp>
        <stp>600567</stp>
        <stp>12/31/2018</stp>
        <stp>1</stp>
        <tr r="U1183" s="1"/>
      </tp>
      <tp>
        <v>0.11650089834085234</v>
        <stp/>
        <stp>EM_S_RATIO_EPS_TTM</stp>
        <stp>3</stp>
        <stp>000407</stp>
        <stp>12/31/2018</stp>
        <stp>1</stp>
        <tr r="U2601" s="1"/>
      </tp>
      <tp>
        <v>1.1314137915074189</v>
        <stp/>
        <stp>EM_S_RATIO_EPS_TTM</stp>
        <stp>3</stp>
        <stp>300437</stp>
        <stp>12/31/2018</stp>
        <stp>1</stp>
        <tr r="U2786" s="1"/>
      </tp>
      <tp>
        <v>4.2461823759444309E-2</v>
        <stp/>
        <stp>EM_S_RATIO_EPS_TTM</stp>
        <stp>3</stp>
        <stp>600467</stp>
        <stp>12/31/2018</stp>
        <stp>1</stp>
        <tr r="U2199" s="1"/>
      </tp>
      <tp>
        <v>0.29246163036734807</v>
        <stp/>
        <stp>EM_S_RATIO_EPS_TTM</stp>
        <stp>3</stp>
        <stp>000707</stp>
        <stp>12/31/2018</stp>
        <stp>1</stp>
        <tr r="U3517" s="1"/>
      </tp>
      <tp>
        <v>0.30338526343179734</v>
        <stp/>
        <stp>EM_S_RATIO_EPS_TTM</stp>
        <stp>3</stp>
        <stp>300737</stp>
        <stp>12/31/2018</stp>
        <stp>1</stp>
        <tr r="U983" s="1"/>
      </tp>
      <tp>
        <v>5.9846718359864104E-2</v>
        <stp/>
        <stp>EM_S_RATIO_EPS_TTM</stp>
        <stp>3</stp>
        <stp>600767</stp>
        <stp>12/31/2018</stp>
        <stp>1</stp>
        <tr r="U2211" s="1"/>
      </tp>
      <tp>
        <v>0.10335111969959744</v>
        <stp/>
        <stp>EM_S_RATIO_EPS_TTM</stp>
        <stp>3</stp>
        <stp>000607</stp>
        <stp>12/31/2018</stp>
        <stp>1</stp>
        <tr r="U3480" s="1"/>
      </tp>
      <tp>
        <v>1.1125322914272766</v>
        <stp/>
        <stp>EM_S_RATIO_EPS_TTM</stp>
        <stp>3</stp>
        <stp>300637</stp>
        <stp>12/31/2018</stp>
        <stp>1</stp>
        <tr r="U3365" s="1"/>
      </tp>
      <tp>
        <v>0.27201964903949905</v>
        <stp/>
        <stp>EM_S_RATIO_EPS_TTM</stp>
        <stp>3</stp>
        <stp>600667</stp>
        <stp>12/31/2018</stp>
        <stp>1</stp>
        <tr r="U398" s="1"/>
      </tp>
      <tp>
        <v>0.3159229535270997</v>
        <stp/>
        <stp>EM_S_RATIO_EPS_TTM</stp>
        <stp>3</stp>
        <stp>600967</stp>
        <stp>12/31/2018</stp>
        <stp>1</stp>
        <tr r="U2184" s="1"/>
      </tp>
      <tp>
        <v>-0.56237425379625416</v>
        <stp/>
        <stp>EM_S_RATIO_EPS_TTM</stp>
        <stp>3</stp>
        <stp>000807</stp>
        <stp>12/31/2018</stp>
        <stp>1</stp>
        <tr r="U3546" s="1"/>
      </tp>
      <tp>
        <v>0.41229607381308536</v>
        <stp/>
        <stp>EM_S_RATIO_EPS_TTM</stp>
        <stp>3</stp>
        <stp>600867</stp>
        <stp>12/31/2018</stp>
        <stp>1</stp>
        <tr r="U2809" s="1"/>
      </tp>
      <tp>
        <v>0.40899551198700002</v>
        <stp/>
        <stp>EM_S_FA_ASSETSTURN</stp>
        <stp>3</stp>
        <stp>300381</stp>
        <stp>12/31/2018</stp>
        <stp>1</stp>
        <tr r="K1162" s="1"/>
      </tp>
      <tp>
        <v>0.248946835629</v>
        <stp/>
        <stp>EM_S_FA_ASSETSTURN</stp>
        <stp>3</stp>
        <stp>300281</stp>
        <stp>12/31/2018</stp>
        <stp>1</stp>
        <tr r="K832" s="1"/>
      </tp>
      <tp>
        <v>0.34234531547399999</v>
        <stp/>
        <stp>EM_S_FA_ASSETSTURN</stp>
        <stp>3</stp>
        <stp>300181</stp>
        <stp>12/31/2018</stp>
        <stp>1</stp>
        <tr r="K2515" s="1"/>
      </tp>
      <tp>
        <v>0.25654754994399998</v>
        <stp/>
        <stp>EM_S_FA_ASSETSTURN</stp>
        <stp>3</stp>
        <stp>300081</stp>
        <stp>12/31/2018</stp>
        <stp>1</stp>
        <tr r="K1430" s="1"/>
      </tp>
      <tp>
        <v>0.61412687086499995</v>
        <stp/>
        <stp>EM_S_FA_ASSETSTURN</stp>
        <stp>3</stp>
        <stp>300681</stp>
        <stp>12/31/2018</stp>
        <stp>1</stp>
        <tr r="K2417" s="1"/>
      </tp>
      <tp>
        <v>0.23817205874</v>
        <stp/>
        <stp>EM_S_FA_ASSETSTURN</stp>
        <stp>3</stp>
        <stp>300581</stp>
        <stp>12/31/2018</stp>
        <stp>1</stp>
        <tr r="K989" s="1"/>
      </tp>
      <tp>
        <v>0.82241833045000001</v>
        <stp/>
        <stp>EM_S_FA_ASSETSTURN</stp>
        <stp>3</stp>
        <stp>300481</stp>
        <stp>12/31/2018</stp>
        <stp>1</stp>
        <tr r="K358" s="1"/>
      </tp>
      <tp>
        <v>0.18757950986677327</v>
        <stp/>
        <stp>EM_S_RATIO_EPS_TTM</stp>
        <stp>3</stp>
        <stp>603166</stp>
        <stp>12/31/2018</stp>
        <stp>1</stp>
        <tr r="U1347" s="1"/>
      </tp>
      <tp>
        <v>0.30627926959603391</v>
        <stp/>
        <stp>EM_S_RATIO_EPS_TTM</stp>
        <stp>3</stp>
        <stp>603066</stp>
        <stp>12/31/2018</stp>
        <stp>1</stp>
        <tr r="U1845" s="1"/>
      </tp>
      <tp>
        <v>-0.61460766415000001</v>
        <stp/>
        <stp>EM_S_RATIO_EPS_TTM</stp>
        <stp>3</stp>
        <stp>603366</stp>
        <stp>12/31/2018</stp>
        <stp>1</stp>
        <tr r="U1104" s="1"/>
      </tp>
      <tp>
        <v>0.4798129021428571</v>
        <stp/>
        <stp>EM_S_RATIO_EPS_TTM</stp>
        <stp>3</stp>
        <stp>603266</stp>
        <stp>12/31/2018</stp>
        <stp>1</stp>
        <tr r="U2948" s="1"/>
      </tp>
      <tp>
        <v>0.41890043303268054</v>
        <stp/>
        <stp>EM_S_RATIO_EPS_TTM</stp>
        <stp>3</stp>
        <stp>603566</stp>
        <stp>12/31/2018</stp>
        <stp>1</stp>
        <tr r="U482" s="1"/>
      </tp>
      <tp>
        <v>0.72257459494915244</v>
        <stp/>
        <stp>EM_S_RATIO_EPS_TTM</stp>
        <stp>3</stp>
        <stp>603466</stp>
        <stp>12/31/2018</stp>
        <stp>1</stp>
        <tr r="U2505" s="1"/>
      </tp>
      <tp>
        <v>0.44765791606341016</v>
        <stp/>
        <stp>EM_S_RATIO_EPS_TTM</stp>
        <stp>3</stp>
        <stp>603766</stp>
        <stp>12/31/2018</stp>
        <stp>1</stp>
        <tr r="U2719" s="1"/>
      </tp>
      <tp>
        <v>1.8731838167524331</v>
        <stp/>
        <stp>EM_S_RATIO_EPS_TTM</stp>
        <stp>3</stp>
        <stp>603666</stp>
        <stp>12/31/2018</stp>
        <stp>1</stp>
        <tr r="U575" s="1"/>
      </tp>
      <tp>
        <v>0.31247895929274683</v>
        <stp/>
        <stp>EM_S_RATIO_EPS_TTM</stp>
        <stp>3</stp>
        <stp>603966</stp>
        <stp>12/31/2018</stp>
        <stp>1</stp>
        <tr r="U1319" s="1"/>
      </tp>
      <tp>
        <v>1.3644600535032063</v>
        <stp/>
        <stp>EM_S_RATIO_EPS_TTM</stp>
        <stp>3</stp>
        <stp>603866</stp>
        <stp>12/31/2018</stp>
        <stp>1</stp>
        <tr r="U2655" s="1"/>
      </tp>
      <tp>
        <v>0.31870542751528957</v>
        <stp/>
        <stp>EM_S_RATIO_EPS_TTM</stp>
        <stp>3</stp>
        <stp>002106</stp>
        <stp>12/31/2018</stp>
        <stp>1</stp>
        <tr r="U474" s="1"/>
      </tp>
      <tp>
        <v>1.2593684352755076E-2</v>
        <stp/>
        <stp>EM_S_RATIO_EPS_TTM</stp>
        <stp>3</stp>
        <stp>002006</stp>
        <stp>12/31/2018</stp>
        <stp>1</stp>
        <tr r="U2930" s="1"/>
      </tp>
      <tp>
        <v>1.00377264375E-2</v>
        <stp/>
        <stp>EM_S_RATIO_EPS_TTM</stp>
        <stp>3</stp>
        <stp>002306</stp>
        <stp>12/31/2018</stp>
        <stp>1</stp>
        <tr r="U3111" s="1"/>
      </tp>
      <tp>
        <v>0.28717690958906367</v>
        <stp/>
        <stp>EM_S_RATIO_EPS_TTM</stp>
        <stp>3</stp>
        <stp>002206</stp>
        <stp>12/31/2018</stp>
        <stp>1</stp>
        <tr r="U2495" s="1"/>
      </tp>
      <tp>
        <v>8.9129134619943106E-3</v>
        <stp/>
        <stp>EM_S_RATIO_EPS_TTM</stp>
        <stp>3</stp>
        <stp>002506</stp>
        <stp>12/31/2018</stp>
        <stp>1</stp>
        <tr r="U1358" s="1"/>
      </tp>
      <tp>
        <v>0.48367058418894832</v>
        <stp/>
        <stp>EM_S_RATIO_EPS_TTM</stp>
        <stp>3</stp>
        <stp>002406</stp>
        <stp>12/31/2018</stp>
        <stp>1</stp>
        <tr r="U1384" s="1"/>
      </tp>
      <tp>
        <v>0.28266799121177499</v>
        <stp/>
        <stp>EM_S_RATIO_EPS_TTM</stp>
        <stp>3</stp>
        <stp>002706</stp>
        <stp>12/31/2018</stp>
        <stp>1</stp>
        <tr r="U778" s="1"/>
      </tp>
      <tp>
        <v>-4.6482394747433105E-2</v>
        <stp/>
        <stp>EM_S_RATIO_EPS_TTM</stp>
        <stp>3</stp>
        <stp>002606</stp>
        <stp>12/31/2018</stp>
        <stp>1</stp>
        <tr r="U2831" s="1"/>
      </tp>
      <tp>
        <v>3.5162387338828996E-2</v>
        <stp/>
        <stp>EM_S_RATIO_EPS_TTM</stp>
        <stp>3</stp>
        <stp>002906</stp>
        <stp>12/31/2018</stp>
        <stp>1</stp>
        <tr r="U1168" s="1"/>
      </tp>
      <tp>
        <v>0.44342787718705173</v>
        <stp/>
        <stp>EM_S_RATIO_EPS_TTM</stp>
        <stp>3</stp>
        <stp>002806</stp>
        <stp>12/31/2018</stp>
        <stp>1</stp>
        <tr r="U3132" s="1"/>
      </tp>
      <tp>
        <v>2.918043871195414</v>
        <stp/>
        <stp>EM_S_RATIO_EPS_TTM</stp>
        <stp>3</stp>
        <stp>601166</stp>
        <stp>12/31/2018</stp>
        <stp>1</stp>
        <tr r="U877" s="1"/>
      </tp>
      <tp>
        <v>0.40378032687607052</v>
        <stp/>
        <stp>EM_S_RATIO_EPS_TTM</stp>
        <stp>3</stp>
        <stp>601066</stp>
        <stp>12/31/2018</stp>
        <stp>1</stp>
        <tr r="U31" s="1"/>
      </tp>
      <tp>
        <v>0.23483552831569665</v>
        <stp/>
        <stp>EM_S_RATIO_EPS_TTM</stp>
        <stp>3</stp>
        <stp>601366</stp>
        <stp>12/31/2018</stp>
        <stp>1</stp>
        <tr r="U2886" s="1"/>
      </tp>
      <tp>
        <v>0.92857112675363929</v>
        <stp/>
        <stp>EM_S_RATIO_EPS_TTM</stp>
        <stp>3</stp>
        <stp>601566</stp>
        <stp>12/31/2018</stp>
        <stp>1</stp>
        <tr r="U2920" s="1"/>
      </tp>
      <tp>
        <v>0.39391956299507458</v>
        <stp/>
        <stp>EM_S_RATIO_EPS_TTM</stp>
        <stp>3</stp>
        <stp>601766</stp>
        <stp>12/31/2018</stp>
        <stp>1</stp>
        <tr r="U3076" s="1"/>
      </tp>
      <tp>
        <v>0.30288469712702187</v>
        <stp/>
        <stp>EM_S_RATIO_EPS_TTM</stp>
        <stp>3</stp>
        <stp>601666</stp>
        <stp>12/31/2018</stp>
        <stp>1</stp>
        <tr r="U1590" s="1"/>
      </tp>
      <tp>
        <v>0.98434435783452379</v>
        <stp/>
        <stp>EM_S_RATIO_EPS_TTM</stp>
        <stp>3</stp>
        <stp>601966</stp>
        <stp>12/31/2018</stp>
        <stp>1</stp>
        <tr r="U385" s="1"/>
      </tp>
      <tp>
        <v>0.11864731127587867</v>
        <stp/>
        <stp>EM_S_RATIO_EPS_TTM</stp>
        <stp>3</stp>
        <stp>601866</stp>
        <stp>12/31/2018</stp>
        <stp>1</stp>
        <tr r="U1597" s="1"/>
      </tp>
      <tp>
        <v>1.0125103734919167</v>
        <stp/>
        <stp>EM_S_RATIO_EPS_TTM</stp>
        <stp>3</stp>
        <stp>300136</stp>
        <stp>12/31/2018</stp>
        <stp>1</stp>
        <tr r="U145" s="1"/>
      </tp>
      <tp>
        <v>-0.53590922220063231</v>
        <stp/>
        <stp>EM_S_RATIO_EPS_TTM</stp>
        <stp>3</stp>
        <stp>600166</stp>
        <stp>12/31/2018</stp>
        <stp>1</stp>
        <tr r="U1515" s="1"/>
      </tp>
      <tp>
        <v>0.64759002028219292</v>
        <stp/>
        <stp>EM_S_RATIO_EPS_TTM</stp>
        <stp>3</stp>
        <stp>000006</stp>
        <stp>12/31/2018</stp>
        <stp>1</stp>
        <tr r="U1889" s="1"/>
      </tp>
      <tp>
        <v>0.37285541624396268</v>
        <stp/>
        <stp>EM_S_RATIO_EPS_TTM</stp>
        <stp>3</stp>
        <stp>300036</stp>
        <stp>12/31/2018</stp>
        <stp>1</stp>
        <tr r="U1798" s="1"/>
      </tp>
      <tp>
        <v>1.0395472151134113</v>
        <stp/>
        <stp>EM_S_RATIO_EPS_TTM</stp>
        <stp>3</stp>
        <stp>600066</stp>
        <stp>12/31/2018</stp>
        <stp>1</stp>
        <tr r="U1296" s="1"/>
      </tp>
      <tp>
        <v>3.9212708288581519E-2</v>
        <stp/>
        <stp>EM_S_RATIO_EPS_TTM</stp>
        <stp>3</stp>
        <stp>300336</stp>
        <stp>12/31/2018</stp>
        <stp>1</stp>
        <tr r="U2614" s="1"/>
      </tp>
      <tp>
        <v>8.9103732872381311E-2</v>
        <stp/>
        <stp>EM_S_RATIO_EPS_TTM</stp>
        <stp>3</stp>
        <stp>600366</stp>
        <stp>12/31/2018</stp>
        <stp>1</stp>
        <tr r="U846" s="1"/>
      </tp>
      <tp>
        <v>3.4350897854372182E-2</v>
        <stp/>
        <stp>EM_S_RATIO_EPS_TTM</stp>
        <stp>3</stp>
        <stp>300236</stp>
        <stp>12/31/2018</stp>
        <stp>1</stp>
        <tr r="U1622" s="1"/>
      </tp>
      <tp>
        <v>0.78497040309755972</v>
        <stp/>
        <stp>EM_S_RATIO_EPS_TTM</stp>
        <stp>3</stp>
        <stp>600266</stp>
        <stp>12/31/2018</stp>
        <stp>1</stp>
        <tr r="U2129" s="1"/>
      </tp>
      <tp>
        <v>4.541338466402043E-2</v>
        <stp/>
        <stp>EM_S_RATIO_EPS_TTM</stp>
        <stp>3</stp>
        <stp>000506</stp>
        <stp>12/31/2018</stp>
        <stp>1</stp>
        <tr r="U3433" s="1"/>
      </tp>
      <tp>
        <v>0.31174748132261842</v>
        <stp/>
        <stp>EM_S_RATIO_EPS_TTM</stp>
        <stp>3</stp>
        <stp>300536</stp>
        <stp>12/31/2018</stp>
        <stp>1</stp>
        <tr r="U2931" s="1"/>
      </tp>
      <tp>
        <v>2.0714620917732689</v>
        <stp/>
        <stp>EM_S_RATIO_EPS_TTM</stp>
        <stp>3</stp>
        <stp>600566</stp>
        <stp>12/31/2018</stp>
        <stp>1</stp>
        <tr r="U3221" s="1"/>
      </tp>
      <tp>
        <v>0.51108297178932649</v>
        <stp/>
        <stp>EM_S_RATIO_EPS_TTM</stp>
        <stp>3</stp>
        <stp>000406</stp>
        <stp>12/31/2018</stp>
        <stp>1</stp>
        <tr r="U3417" s="1"/>
      </tp>
      <tp>
        <v>0.1167356782475525</v>
        <stp/>
        <stp>EM_S_RATIO_EPS_TTM</stp>
        <stp>3</stp>
        <stp>300436</stp>
        <stp>12/31/2018</stp>
        <stp>1</stp>
        <tr r="U879" s="1"/>
      </tp>
      <tp>
        <v>0.74530609595037667</v>
        <stp/>
        <stp>EM_S_RATIO_EPS_TTM</stp>
        <stp>3</stp>
        <stp>600466</stp>
        <stp>12/31/2018</stp>
        <stp>1</stp>
        <tr r="U865" s="1"/>
      </tp>
      <tp>
        <v>0.33081813408434568</v>
        <stp/>
        <stp>EM_S_RATIO_EPS_TTM</stp>
        <stp>3</stp>
        <stp>300736</stp>
        <stp>12/31/2018</stp>
        <stp>1</stp>
        <tr r="U3372" s="1"/>
      </tp>
      <tp>
        <v>-1.0477563384455407E-2</v>
        <stp/>
        <stp>EM_S_RATIO_EPS_TTM</stp>
        <stp>3</stp>
        <stp>600766</stp>
        <stp>12/31/2018</stp>
        <stp>1</stp>
        <tr r="U2671" s="1"/>
      </tp>
      <tp>
        <v>0.12181061418316451</v>
        <stp/>
        <stp>EM_S_RATIO_EPS_TTM</stp>
        <stp>3</stp>
        <stp>000606</stp>
        <stp>12/31/2018</stp>
        <stp>1</stp>
        <tr r="U2652" s="1"/>
      </tp>
      <tp>
        <v>0.30137989741384608</v>
        <stp/>
        <stp>EM_S_RATIO_EPS_TTM</stp>
        <stp>3</stp>
        <stp>300636</stp>
        <stp>12/31/2018</stp>
        <stp>1</stp>
        <tr r="U456" s="1"/>
      </tp>
      <tp>
        <v>-1.4187995127033217</v>
        <stp/>
        <stp>EM_S_RATIO_EPS_TTM</stp>
        <stp>3</stp>
        <stp>600666</stp>
        <stp>12/31/2018</stp>
        <stp>1</stp>
        <tr r="U3218" s="1"/>
      </tp>
      <tp>
        <v>0.45285449563244201</v>
        <stp/>
        <stp>EM_S_RATIO_EPS_TTM</stp>
        <stp>3</stp>
        <stp>000906</stp>
        <stp>12/31/2018</stp>
        <stp>1</stp>
        <tr r="U1291" s="1"/>
      </tp>
      <tp>
        <v>0.19145204664254808</v>
        <stp/>
        <stp>EM_S_RATIO_EPS_TTM</stp>
        <stp>3</stp>
        <stp>600966</stp>
        <stp>12/31/2018</stp>
        <stp>1</stp>
        <tr r="U326" s="1"/>
      </tp>
      <tp>
        <v>-0.64183631784819484</v>
        <stp/>
        <stp>EM_S_RATIO_EPS_TTM</stp>
        <stp>3</stp>
        <stp>000806</stp>
        <stp>12/31/2018</stp>
        <stp>1</stp>
        <tr r="U3545" s="1"/>
      </tp>
      <tp>
        <v>6.5510941840726575E-2</v>
        <stp/>
        <stp>EM_S_RATIO_EPS_TTM</stp>
        <stp>3</stp>
        <stp>600866</stp>
        <stp>12/31/2018</stp>
        <stp>1</stp>
        <tr r="U736" s="1"/>
      </tp>
      <tp>
        <v>0.53829060490699998</v>
        <stp/>
        <stp>EM_S_FA_ASSETSTURN</stp>
        <stp>3</stp>
        <stp>300386</stp>
        <stp>12/31/2018</stp>
        <stp>1</stp>
        <tr r="K696" s="1"/>
      </tp>
      <tp>
        <v>0.50165181834100003</v>
        <stp/>
        <stp>EM_S_FA_ASSETSTURN</stp>
        <stp>3</stp>
        <stp>300286</stp>
        <stp>12/31/2018</stp>
        <stp>1</stp>
        <tr r="K747" s="1"/>
      </tp>
      <tp>
        <v>0</v>
        <stp/>
        <stp>EM_S_FA_ASSETSTURN</stp>
        <stp>3</stp>
        <stp>300186</stp>
        <stp>12/31/2018</stp>
        <stp>1</stp>
        <tr r="K2281" s="1"/>
      </tp>
      <tp>
        <v>0.39975427227400001</v>
        <stp/>
        <stp>EM_S_FA_ASSETSTURN</stp>
        <stp>3</stp>
        <stp>300086</stp>
        <stp>12/31/2018</stp>
        <stp>1</stp>
        <tr r="K3069" s="1"/>
      </tp>
      <tp>
        <v>0.67611742084000004</v>
        <stp/>
        <stp>EM_S_FA_ASSETSTURN</stp>
        <stp>3</stp>
        <stp>300686</stp>
        <stp>12/31/2018</stp>
        <stp>1</stp>
        <tr r="K205" s="1"/>
      </tp>
      <tp>
        <v>0.65657211209099997</v>
        <stp/>
        <stp>EM_S_FA_ASSETSTURN</stp>
        <stp>3</stp>
        <stp>300586</stp>
        <stp>12/31/2018</stp>
        <stp>1</stp>
        <tr r="K117" s="1"/>
      </tp>
      <tp>
        <v>0.44743029987799998</v>
        <stp/>
        <stp>EM_S_FA_ASSETSTURN</stp>
        <stp>3</stp>
        <stp>300486</stp>
        <stp>12/31/2018</stp>
        <stp>1</stp>
        <tr r="K459" s="1"/>
      </tp>
      <tp>
        <v>0.78399078898050978</v>
        <stp/>
        <stp>EM_S_RATIO_EPS_TTM</stp>
        <stp>3</stp>
        <stp>603161</stp>
        <stp>12/31/2018</stp>
        <stp>1</stp>
        <tr r="U2902" s="1"/>
      </tp>
      <tp>
        <v>1.7095047881999998</v>
        <stp/>
        <stp>EM_S_RATIO_EPS_TTM</stp>
        <stp>3</stp>
        <stp>603661</stp>
        <stp>12/31/2018</stp>
        <stp>1</stp>
        <tr r="U578" s="1"/>
      </tp>
      <tp>
        <v>0.383186215149597</v>
        <stp/>
        <stp>EM_S_RATIO_EPS_TTM</stp>
        <stp>3</stp>
        <stp>603861</stp>
        <stp>12/31/2018</stp>
        <stp>1</stp>
        <tr r="U3153" s="1"/>
      </tp>
      <tp>
        <v>0.63207327625222254</v>
        <stp/>
        <stp>EM_S_RATIO_EPS_TTM</stp>
        <stp>3</stp>
        <stp>002101</stp>
        <stp>12/31/2018</stp>
        <stp>1</stp>
        <tr r="U2834" s="1"/>
      </tp>
      <tp>
        <v>1.4329308764992992</v>
        <stp/>
        <stp>EM_S_RATIO_EPS_TTM</stp>
        <stp>3</stp>
        <stp>002001</stp>
        <stp>12/31/2018</stp>
        <stp>1</stp>
        <tr r="U565" s="1"/>
      </tp>
      <tp>
        <v>0.29880034660022592</v>
        <stp/>
        <stp>EM_S_RATIO_EPS_TTM</stp>
        <stp>3</stp>
        <stp>002301</stp>
        <stp>12/31/2018</stp>
        <stp>1</stp>
        <tr r="U732" s="1"/>
      </tp>
      <tp>
        <v>5.5956754175077637E-2</v>
        <stp/>
        <stp>EM_S_RATIO_EPS_TTM</stp>
        <stp>3</stp>
        <stp>002201</stp>
        <stp>12/31/2018</stp>
        <stp>1</stp>
        <tr r="U33" s="1"/>
      </tp>
      <tp>
        <v>-3.3253003378942849</v>
        <stp/>
        <stp>EM_S_RATIO_EPS_TTM</stp>
        <stp>3</stp>
        <stp>002501</stp>
        <stp>12/31/2018</stp>
        <stp>1</stp>
        <tr r="U3330" s="1"/>
      </tp>
      <tp>
        <v>0.27433733880754518</v>
        <stp/>
        <stp>EM_S_RATIO_EPS_TTM</stp>
        <stp>3</stp>
        <stp>002401</stp>
        <stp>12/31/2018</stp>
        <stp>1</stp>
        <tr r="U1098" s="1"/>
      </tp>
      <tp>
        <v>9.5695322775024183E-2</v>
        <stp/>
        <stp>EM_S_RATIO_EPS_TTM</stp>
        <stp>3</stp>
        <stp>002701</stp>
        <stp>12/31/2018</stp>
        <stp>1</stp>
        <tr r="U2874" s="1"/>
      </tp>
      <tp>
        <v>1.124854904781444</v>
        <stp/>
        <stp>EM_S_RATIO_EPS_TTM</stp>
        <stp>3</stp>
        <stp>002601</stp>
        <stp>12/31/2018</stp>
        <stp>1</stp>
        <tr r="U1076" s="1"/>
      </tp>
      <tp>
        <v>0.92417359497922513</v>
        <stp/>
        <stp>EM_S_RATIO_EPS_TTM</stp>
        <stp>3</stp>
        <stp>002901</stp>
        <stp>12/31/2018</stp>
        <stp>1</stp>
        <tr r="U184" s="1"/>
      </tp>
      <tp>
        <v>0.82606024949048917</v>
        <stp/>
        <stp>EM_S_RATIO_EPS_TTM</stp>
        <stp>3</stp>
        <stp>002801</stp>
        <stp>12/31/2018</stp>
        <stp>1</stp>
        <tr r="U345" s="1"/>
      </tp>
      <tp>
        <v>0.1314115606994829</v>
        <stp/>
        <stp>EM_S_RATIO_EPS_TTM</stp>
        <stp>3</stp>
        <stp>300131</stp>
        <stp>12/31/2018</stp>
        <stp>1</stp>
        <tr r="U1274" s="1"/>
      </tp>
      <tp>
        <v>0.58484244539728492</v>
        <stp/>
        <stp>EM_S_RATIO_EPS_TTM</stp>
        <stp>3</stp>
        <stp>600161</stp>
        <stp>12/31/2018</stp>
        <stp>1</stp>
        <tr r="U1011" s="1"/>
      </tp>
      <tp>
        <v>1.4453934428818274</v>
        <stp/>
        <stp>EM_S_RATIO_EPS_TTM</stp>
        <stp>3</stp>
        <stp>000001</stp>
        <stp>12/31/2018</stp>
        <stp>1</stp>
        <tr r="U265" s="1"/>
      </tp>
      <tp>
        <v>0.68490067696658297</v>
        <stp/>
        <stp>EM_S_RATIO_EPS_TTM</stp>
        <stp>3</stp>
        <stp>300031</stp>
        <stp>12/31/2018</stp>
        <stp>1</stp>
        <tr r="U1669" s="1"/>
      </tp>
      <tp>
        <v>0.39730490460294315</v>
        <stp/>
        <stp>EM_S_RATIO_EPS_TTM</stp>
        <stp>3</stp>
        <stp>600061</stp>
        <stp>12/31/2018</stp>
        <stp>1</stp>
        <tr r="U518" s="1"/>
      </tp>
      <tp>
        <v>0.21015685372596946</v>
        <stp/>
        <stp>EM_S_RATIO_EPS_TTM</stp>
        <stp>3</stp>
        <stp>000301</stp>
        <stp>12/31/2018</stp>
        <stp>1</stp>
        <tr r="U2580" s="1"/>
      </tp>
      <tp>
        <v>0.27439685921680967</v>
        <stp/>
        <stp>EM_S_RATIO_EPS_TTM</stp>
        <stp>3</stp>
        <stp>300331</stp>
        <stp>12/31/2018</stp>
        <stp>1</stp>
        <tr r="U208" s="1"/>
      </tp>
      <tp>
        <v>0.12525938734780864</v>
        <stp/>
        <stp>EM_S_RATIO_EPS_TTM</stp>
        <stp>3</stp>
        <stp>600361</stp>
        <stp>12/31/2018</stp>
        <stp>1</stp>
        <tr r="U1719" s="1"/>
      </tp>
      <tp>
        <v>0.25450035480642824</v>
        <stp/>
        <stp>EM_S_RATIO_EPS_TTM</stp>
        <stp>3</stp>
        <stp>300231</stp>
        <stp>12/31/2018</stp>
        <stp>1</stp>
        <tr r="U943" s="1"/>
      </tp>
      <tp>
        <v>0.26481518252290831</v>
        <stp/>
        <stp>EM_S_RATIO_EPS_TTM</stp>
        <stp>3</stp>
        <stp>600261</stp>
        <stp>12/31/2018</stp>
        <stp>1</stp>
        <tr r="U753" s="1"/>
      </tp>
      <tp>
        <v>1.3653526240549079</v>
        <stp/>
        <stp>EM_S_RATIO_EPS_TTM</stp>
        <stp>3</stp>
        <stp>000501</stp>
        <stp>12/31/2018</stp>
        <stp>1</stp>
        <tr r="U3428" s="1"/>
      </tp>
      <tp>
        <v>0.41875150028571428</v>
        <stp/>
        <stp>EM_S_RATIO_EPS_TTM</stp>
        <stp>3</stp>
        <stp>300531</stp>
        <stp>12/31/2018</stp>
        <stp>1</stp>
        <tr r="U2481" s="1"/>
      </tp>
      <tp>
        <v>0.1061067878716296</v>
        <stp/>
        <stp>EM_S_RATIO_EPS_TTM</stp>
        <stp>3</stp>
        <stp>600561</stp>
        <stp>12/31/2018</stp>
        <stp>1</stp>
        <tr r="U1927" s="1"/>
      </tp>
      <tp>
        <v>1.1007075779640509</v>
        <stp/>
        <stp>EM_S_RATIO_EPS_TTM</stp>
        <stp>3</stp>
        <stp>000401</stp>
        <stp>12/31/2018</stp>
        <stp>1</stp>
        <tr r="U849" s="1"/>
      </tp>
      <tp>
        <v>-3.3091900604068258</v>
        <stp/>
        <stp>EM_S_RATIO_EPS_TTM</stp>
        <stp>3</stp>
        <stp>300431</stp>
        <stp>12/31/2018</stp>
        <stp>1</stp>
        <tr r="U3388" s="1"/>
      </tp>
      <tp>
        <v>0.42554375183816867</v>
        <stp/>
        <stp>EM_S_RATIO_EPS_TTM</stp>
        <stp>3</stp>
        <stp>600461</stp>
        <stp>12/31/2018</stp>
        <stp>1</stp>
        <tr r="U1858" s="1"/>
      </tp>
      <tp>
        <v>5.5395850225724179E-2</v>
        <stp/>
        <stp>EM_S_RATIO_EPS_TTM</stp>
        <stp>3</stp>
        <stp>000701</stp>
        <stp>12/31/2018</stp>
        <stp>1</stp>
        <tr r="U2836" s="1"/>
      </tp>
      <tp>
        <v>0.50798699390125079</v>
        <stp/>
        <stp>EM_S_RATIO_EPS_TTM</stp>
        <stp>3</stp>
        <stp>300731</stp>
        <stp>12/31/2018</stp>
        <stp>1</stp>
        <tr r="U1668" s="1"/>
      </tp>
      <tp>
        <v>0.78716085676050807</v>
        <stp/>
        <stp>EM_S_RATIO_EPS_TTM</stp>
        <stp>3</stp>
        <stp>600761</stp>
        <stp>12/31/2018</stp>
        <stp>1</stp>
        <tr r="U1761" s="1"/>
      </tp>
      <tp>
        <v>0.28033376129096516</v>
        <stp/>
        <stp>EM_S_RATIO_EPS_TTM</stp>
        <stp>3</stp>
        <stp>000601</stp>
        <stp>12/31/2018</stp>
        <stp>1</stp>
        <tr r="U3477" s="1"/>
      </tp>
      <tp>
        <v>0.52113781978892315</v>
        <stp/>
        <stp>EM_S_RATIO_EPS_TTM</stp>
        <stp>3</stp>
        <stp>300631</stp>
        <stp>12/31/2018</stp>
        <stp>1</stp>
        <tr r="U1619" s="1"/>
      </tp>
      <tp>
        <v>-0.93096718702358694</v>
        <stp/>
        <stp>EM_S_RATIO_EPS_TTM</stp>
        <stp>3</stp>
        <stp>600661</stp>
        <stp>12/31/2018</stp>
        <stp>1</stp>
        <tr r="U2866" s="1"/>
      </tp>
      <tp>
        <v>0.25568063493593857</v>
        <stp/>
        <stp>EM_S_RATIO_EPS_TTM</stp>
        <stp>3</stp>
        <stp>000901</stp>
        <stp>12/31/2018</stp>
        <stp>1</stp>
        <tr r="U3569" s="1"/>
      </tp>
      <tp>
        <v>-3.0937419858866693</v>
        <stp/>
        <stp>EM_S_RATIO_EPS_TTM</stp>
        <stp>3</stp>
        <stp>600961</stp>
        <stp>12/31/2018</stp>
        <stp>1</stp>
        <tr r="U1803" s="1"/>
      </tp>
      <tp>
        <v>8.6800441243906429E-2</v>
        <stp/>
        <stp>EM_S_RATIO_EPS_TTM</stp>
        <stp>3</stp>
        <stp>000801</stp>
        <stp>12/31/2018</stp>
        <stp>1</stp>
        <tr r="U1131" s="1"/>
      </tp>
      <tp>
        <v>0.12765180742173318</v>
        <stp/>
        <stp>EM_S_RATIO_EPS_TTM</stp>
        <stp>3</stp>
        <stp>600861</stp>
        <stp>12/31/2018</stp>
        <stp>1</stp>
        <tr r="U1151" s="1"/>
      </tp>
      <tp>
        <v>0.43070064087999999</v>
        <stp/>
        <stp>EM_S_FA_ASSETSTURN</stp>
        <stp>3</stp>
        <stp>300387</stp>
        <stp>12/31/2018</stp>
        <stp>1</stp>
        <tr r="K304" s="1"/>
      </tp>
      <tp>
        <v>0.219573435851</v>
        <stp/>
        <stp>EM_S_FA_ASSETSTURN</stp>
        <stp>3</stp>
        <stp>300287</stp>
        <stp>12/31/2018</stp>
        <stp>1</stp>
        <tr r="K2172" s="1"/>
      </tp>
      <tp>
        <v>0.29160532493699998</v>
        <stp/>
        <stp>EM_S_FA_ASSETSTURN</stp>
        <stp>3</stp>
        <stp>300187</stp>
        <stp>12/31/2018</stp>
        <stp>1</stp>
        <tr r="K2789" s="1"/>
      </tp>
      <tp>
        <v>0.52111258335199995</v>
        <stp/>
        <stp>EM_S_FA_ASSETSTURN</stp>
        <stp>3</stp>
        <stp>300087</stp>
        <stp>12/31/2018</stp>
        <stp>1</stp>
        <tr r="K2662" s="1"/>
      </tp>
      <tp>
        <v>0.891959535212</v>
        <stp/>
        <stp>EM_S_FA_ASSETSTURN</stp>
        <stp>3</stp>
        <stp>300687</stp>
        <stp>12/31/2018</stp>
        <stp>1</stp>
        <tr r="K3104" s="1"/>
      </tp>
      <tp>
        <v>0.35522349389800001</v>
        <stp/>
        <stp>EM_S_FA_ASSETSTURN</stp>
        <stp>3</stp>
        <stp>300587</stp>
        <stp>12/31/2018</stp>
        <stp>1</stp>
        <tr r="K2762" s="1"/>
      </tp>
      <tp>
        <v>0.43325351058799999</v>
        <stp/>
        <stp>EM_S_FA_ASSETSTURN</stp>
        <stp>3</stp>
        <stp>300487</stp>
        <stp>12/31/2018</stp>
        <stp>1</stp>
        <tr r="K612" s="1"/>
      </tp>
      <tp>
        <v>1.6259628786764135</v>
        <stp/>
        <stp>EM_S_RATIO_EPS_TTM</stp>
        <stp>3</stp>
        <stp>603160</stp>
        <stp>12/31/2018</stp>
        <stp>1</stp>
        <tr r="U70" s="1"/>
      </tp>
      <tp>
        <v>0.86887094445454549</v>
        <stp/>
        <stp>EM_S_RATIO_EPS_TTM</stp>
        <stp>3</stp>
        <stp>603060</stp>
        <stp>12/31/2018</stp>
        <stp>1</stp>
        <tr r="U1134" s="1"/>
      </tp>
      <tp>
        <v>0.77775132957637827</v>
        <stp/>
        <stp>EM_S_RATIO_EPS_TTM</stp>
        <stp>3</stp>
        <stp>603360</stp>
        <stp>12/31/2018</stp>
        <stp>1</stp>
        <tr r="U51" s="1"/>
      </tp>
      <tp>
        <v>4.1868319396567166</v>
        <stp/>
        <stp>EM_S_RATIO_EPS_TTM</stp>
        <stp>3</stp>
        <stp>603260</stp>
        <stp>12/31/2018</stp>
        <stp>1</stp>
        <tr r="U3246" s="1"/>
      </tp>
      <tp>
        <v>0.89408530863926683</v>
        <stp/>
        <stp>EM_S_RATIO_EPS_TTM</stp>
        <stp>3</stp>
        <stp>603660</stp>
        <stp>12/31/2018</stp>
        <stp>1</stp>
        <tr r="U3259" s="1"/>
      </tp>
      <tp>
        <v>0.48186656797337279</v>
        <stp/>
        <stp>EM_S_RATIO_EPS_TTM</stp>
        <stp>3</stp>
        <stp>603960</stp>
        <stp>12/31/2018</stp>
        <stp>1</stp>
        <tr r="U1420" s="1"/>
      </tp>
      <tp>
        <v>0.71746990011997602</v>
        <stp/>
        <stp>EM_S_RATIO_EPS_TTM</stp>
        <stp>3</stp>
        <stp>603860</stp>
        <stp>12/31/2018</stp>
        <stp>1</stp>
        <tr r="U1627" s="1"/>
      </tp>
      <tp>
        <v>0.32564316129687054</v>
        <stp/>
        <stp>EM_S_RATIO_EPS_TTM</stp>
        <stp>3</stp>
        <stp>002100</stp>
        <stp>12/31/2018</stp>
        <stp>1</stp>
        <tr r="U54" s="1"/>
      </tp>
      <tp>
        <v>0.20793298374792704</v>
        <stp/>
        <stp>EM_S_RATIO_EPS_TTM</stp>
        <stp>3</stp>
        <stp>002300</stp>
        <stp>12/31/2018</stp>
        <stp>1</stp>
        <tr r="U1241" s="1"/>
      </tp>
      <tp>
        <v>-1.3870428191291626</v>
        <stp/>
        <stp>EM_S_RATIO_EPS_TTM</stp>
        <stp>3</stp>
        <stp>002200</stp>
        <stp>12/31/2018</stp>
        <stp>1</stp>
        <tr r="U1257" s="1"/>
      </tp>
      <tp>
        <v>7.8396819063460285E-2</v>
        <stp/>
        <stp>EM_S_RATIO_EPS_TTM</stp>
        <stp>3</stp>
        <stp>002500</stp>
        <stp>12/31/2018</stp>
        <stp>1</stp>
        <tr r="U731" s="1"/>
      </tp>
      <tp>
        <v>0.10665233326574343</v>
        <stp/>
        <stp>EM_S_RATIO_EPS_TTM</stp>
        <stp>3</stp>
        <stp>002400</stp>
        <stp>12/31/2018</stp>
        <stp>1</stp>
        <tr r="U1851" s="1"/>
      </tp>
      <tp>
        <v>0.16513555169595268</v>
        <stp/>
        <stp>EM_S_RATIO_EPS_TTM</stp>
        <stp>3</stp>
        <stp>002700</stp>
        <stp>12/31/2018</stp>
        <stp>1</stp>
        <tr r="U3204" s="1"/>
      </tp>
      <tp>
        <v>-9.9614737829107097E-2</v>
        <stp/>
        <stp>EM_S_RATIO_EPS_TTM</stp>
        <stp>3</stp>
        <stp>002600</stp>
        <stp>12/31/2018</stp>
        <stp>1</stp>
        <tr r="U23" s="1"/>
      </tp>
      <tp>
        <v>0.65007374294476583</v>
        <stp/>
        <stp>EM_S_RATIO_EPS_TTM</stp>
        <stp>3</stp>
        <stp>002900</stp>
        <stp>12/31/2018</stp>
        <stp>1</stp>
        <tr r="U2567" s="1"/>
      </tp>
      <tp>
        <v>7.779147254954473E-2</v>
        <stp/>
        <stp>EM_S_RATIO_EPS_TTM</stp>
        <stp>3</stp>
        <stp>002800</stp>
        <stp>12/31/2018</stp>
        <stp>1</stp>
        <tr r="U363" s="1"/>
      </tp>
      <tp>
        <v>0.52259109553770444</v>
        <stp/>
        <stp>EM_S_RATIO_EPS_TTM</stp>
        <stp>3</stp>
        <stp>601360</stp>
        <stp>12/31/2018</stp>
        <stp>1</stp>
        <tr r="U1479" s="1"/>
      </tp>
      <tp>
        <v>0.25596317116331524</v>
        <stp/>
        <stp>EM_S_RATIO_EPS_TTM</stp>
        <stp>3</stp>
        <stp>000100</stp>
        <stp>12/31/2018</stp>
        <stp>1</stp>
        <tr r="U212" s="1"/>
      </tp>
      <tp>
        <v>0.5186880791687335</v>
        <stp/>
        <stp>EM_S_RATIO_EPS_TTM</stp>
        <stp>3</stp>
        <stp>300130</stp>
        <stp>12/31/2018</stp>
        <stp>1</stp>
        <tr r="U478" s="1"/>
      </tp>
      <tp>
        <v>0.78412573034747257</v>
        <stp/>
        <stp>EM_S_RATIO_EPS_TTM</stp>
        <stp>3</stp>
        <stp>600160</stp>
        <stp>12/31/2018</stp>
        <stp>1</stp>
        <tr r="U1738" s="1"/>
      </tp>
      <tp>
        <v>-0.44301560395175688</v>
        <stp/>
        <stp>EM_S_RATIO_EPS_TTM</stp>
        <stp>3</stp>
        <stp>300030</stp>
        <stp>12/31/2018</stp>
        <stp>1</stp>
        <tr r="U663" s="1"/>
      </tp>
      <tp>
        <v>0.29989245185361935</v>
        <stp/>
        <stp>EM_S_RATIO_EPS_TTM</stp>
        <stp>3</stp>
        <stp>600060</stp>
        <stp>12/31/2018</stp>
        <stp>1</stp>
        <tr r="U1112" s="1"/>
      </tp>
      <tp>
        <v>-0.11491620791666667</v>
        <stp/>
        <stp>EM_S_RATIO_EPS_TTM</stp>
        <stp>3</stp>
        <stp>300330</stp>
        <stp>12/31/2018</stp>
        <stp>1</stp>
        <tr r="U758" s="1"/>
      </tp>
      <tp>
        <v>0.14104343359659813</v>
        <stp/>
        <stp>EM_S_RATIO_EPS_TTM</stp>
        <stp>3</stp>
        <stp>600360</stp>
        <stp>12/31/2018</stp>
        <stp>1</stp>
        <tr r="U920" s="1"/>
      </tp>
      <tp>
        <v>0.4751896082695129</v>
        <stp/>
        <stp>EM_S_RATIO_EPS_TTM</stp>
        <stp>3</stp>
        <stp>300230</stp>
        <stp>12/31/2018</stp>
        <stp>1</stp>
        <tr r="U2958" s="1"/>
      </tp>
      <tp>
        <v>1.2657190938423366</v>
        <stp/>
        <stp>EM_S_RATIO_EPS_TTM</stp>
        <stp>3</stp>
        <stp>600260</stp>
        <stp>12/31/2018</stp>
        <stp>1</stp>
        <tr r="U3108" s="1"/>
      </tp>
      <tp>
        <v>0.78364264324063282</v>
        <stp/>
        <stp>EM_S_RATIO_EPS_TTM</stp>
        <stp>3</stp>
        <stp>300530</stp>
        <stp>12/31/2018</stp>
        <stp>1</stp>
        <tr r="U1349" s="1"/>
      </tp>
      <tp>
        <v>9.3925444732847294E-2</v>
        <stp/>
        <stp>EM_S_RATIO_EPS_TTM</stp>
        <stp>3</stp>
        <stp>600560</stp>
        <stp>12/31/2018</stp>
        <stp>1</stp>
        <tr r="U1883" s="1"/>
      </tp>
      <tp>
        <v>0.19801184418778844</v>
        <stp/>
        <stp>EM_S_RATIO_EPS_TTM</stp>
        <stp>3</stp>
        <stp>000400</stp>
        <stp>12/31/2018</stp>
        <stp>1</stp>
        <tr r="U3414" s="1"/>
      </tp>
      <tp>
        <v>0.376108804213521</v>
        <stp/>
        <stp>EM_S_RATIO_EPS_TTM</stp>
        <stp>3</stp>
        <stp>300430</stp>
        <stp>12/31/2018</stp>
        <stp>1</stp>
        <tr r="U2455" s="1"/>
      </tp>
      <tp>
        <v>0.12991965242418865</v>
        <stp/>
        <stp>EM_S_RATIO_EPS_TTM</stp>
        <stp>3</stp>
        <stp>600460</stp>
        <stp>12/31/2018</stp>
        <stp>1</stp>
        <tr r="U200" s="1"/>
      </tp>
      <tp>
        <v>1.3296332824521482E-2</v>
        <stp/>
        <stp>EM_S_RATIO_EPS_TTM</stp>
        <stp>3</stp>
        <stp>000700</stp>
        <stp>12/31/2018</stp>
        <stp>1</stp>
        <tr r="U854" s="1"/>
      </tp>
      <tp>
        <v>0.22221331294468658</v>
        <stp/>
        <stp>EM_S_RATIO_EPS_TTM</stp>
        <stp>3</stp>
        <stp>300730</stp>
        <stp>12/31/2018</stp>
        <stp>1</stp>
        <tr r="U3065" s="1"/>
      </tp>
      <tp>
        <v>0.53073767860198962</v>
        <stp/>
        <stp>EM_S_RATIO_EPS_TTM</stp>
        <stp>3</stp>
        <stp>600760</stp>
        <stp>12/31/2018</stp>
        <stp>1</stp>
        <tr r="U1639" s="1"/>
      </tp>
      <tp>
        <v>0.24103338396598822</v>
        <stp/>
        <stp>EM_S_RATIO_EPS_TTM</stp>
        <stp>3</stp>
        <stp>000600</stp>
        <stp>12/31/2018</stp>
        <stp>1</stp>
        <tr r="U2456" s="1"/>
      </tp>
      <tp>
        <v>0.99045117054634157</v>
        <stp/>
        <stp>EM_S_RATIO_EPS_TTM</stp>
        <stp>3</stp>
        <stp>300630</stp>
        <stp>12/31/2018</stp>
        <stp>1</stp>
        <tr r="U1074" s="1"/>
      </tp>
      <tp>
        <v>1.6425331280830735</v>
        <stp/>
        <stp>EM_S_RATIO_EPS_TTM</stp>
        <stp>3</stp>
        <stp>600660</stp>
        <stp>12/31/2018</stp>
        <stp>1</stp>
        <tr r="U2159" s="1"/>
      </tp>
      <tp>
        <v>0.63489415243713587</v>
        <stp/>
        <stp>EM_S_RATIO_EPS_TTM</stp>
        <stp>3</stp>
        <stp>000900</stp>
        <stp>12/31/2018</stp>
        <stp>1</stp>
        <tr r="U1632" s="1"/>
      </tp>
      <tp>
        <v>0.14655979799584923</v>
        <stp/>
        <stp>EM_S_RATIO_EPS_TTM</stp>
        <stp>3</stp>
        <stp>600960</stp>
        <stp>12/31/2018</stp>
        <stp>1</stp>
        <tr r="U2720" s="1"/>
      </tp>
      <tp>
        <v>0.12495349922580645</v>
        <stp/>
        <stp>EM_S_RATIO_EPS_TTM</stp>
        <stp>3</stp>
        <stp>000800</stp>
        <stp>12/31/2018</stp>
        <stp>1</stp>
        <tr r="U3542" s="1"/>
      </tp>
      <tp>
        <v>-0.22259752440758293</v>
        <stp/>
        <stp>EM_S_RATIO_EPS_TTM</stp>
        <stp>3</stp>
        <stp>600860</stp>
        <stp>12/31/2018</stp>
        <stp>1</stp>
        <tr r="U816" s="1"/>
      </tp>
      <tp>
        <v>0.25847584518599998</v>
        <stp/>
        <stp>EM_S_FA_ASSETSTURN</stp>
        <stp>3</stp>
        <stp>300384</stp>
        <stp>12/31/2018</stp>
        <stp>1</stp>
        <tr r="K530" s="1"/>
      </tp>
      <tp>
        <v>0.606630301132</v>
        <stp/>
        <stp>EM_S_FA_ASSETSTURN</stp>
        <stp>3</stp>
        <stp>300284</stp>
        <stp>12/31/2018</stp>
        <stp>1</stp>
        <tr r="K3100" s="1"/>
      </tp>
      <tp>
        <v>1.7147647242690001</v>
        <stp/>
        <stp>EM_S_FA_ASSETSTURN</stp>
        <stp>3</stp>
        <stp>300184</stp>
        <stp>12/31/2018</stp>
        <stp>1</stp>
        <tr r="K2506" s="1"/>
      </tp>
      <tp>
        <v>0.22380722216599999</v>
        <stp/>
        <stp>EM_S_FA_ASSETSTURN</stp>
        <stp>3</stp>
        <stp>300084</stp>
        <stp>12/31/2018</stp>
        <stp>1</stp>
        <tr r="K2639" s="1"/>
      </tp>
      <tp>
        <v>0.87795406486500005</v>
        <stp/>
        <stp>EM_S_FA_ASSETSTURN</stp>
        <stp>3</stp>
        <stp>300684</stp>
        <stp>12/31/2018</stp>
        <stp>1</stp>
        <tr r="K2979" s="1"/>
      </tp>
      <tp>
        <v>0.99812693910100003</v>
        <stp/>
        <stp>EM_S_FA_ASSETSTURN</stp>
        <stp>3</stp>
        <stp>300584</stp>
        <stp>12/31/2018</stp>
        <stp>1</stp>
        <tr r="K1602" s="1"/>
      </tp>
      <tp>
        <v>0.36855463092099999</v>
        <stp/>
        <stp>EM_S_FA_ASSETSTURN</stp>
        <stp>3</stp>
        <stp>300484</stp>
        <stp>12/31/2018</stp>
        <stp>1</stp>
        <tr r="K3031" s="1"/>
      </tp>
      <tp>
        <v>0.12791045811904761</v>
        <stp/>
        <stp>EM_S_RATIO_EPS_TTM</stp>
        <stp>3</stp>
        <stp>603063</stp>
        <stp>12/31/2018</stp>
        <stp>1</stp>
        <tr r="U636" s="1"/>
      </tp>
      <tp>
        <v>7.0720818606507349E-2</v>
        <stp/>
        <stp>EM_S_RATIO_EPS_TTM</stp>
        <stp>3</stp>
        <stp>603363</stp>
        <stp>12/31/2018</stp>
        <stp>1</stp>
        <tr r="U230" s="1"/>
      </tp>
      <tp>
        <v>0.54662149378449476</v>
        <stp/>
        <stp>EM_S_RATIO_EPS_TTM</stp>
        <stp>3</stp>
        <stp>603663</stp>
        <stp>12/31/2018</stp>
        <stp>1</stp>
        <tr r="U3084" s="1"/>
      </tp>
      <tp>
        <v>8.231127015384615E-2</v>
        <stp/>
        <stp>EM_S_RATIO_EPS_TTM</stp>
        <stp>3</stp>
        <stp>603963</stp>
        <stp>12/31/2018</stp>
        <stp>1</stp>
        <tr r="U2617" s="1"/>
      </tp>
      <tp>
        <v>-1.2416347785474777</v>
        <stp/>
        <stp>EM_S_RATIO_EPS_TTM</stp>
        <stp>3</stp>
        <stp>002103</stp>
        <stp>12/31/2018</stp>
        <stp>1</stp>
        <tr r="U3635" s="1"/>
      </tp>
      <tp>
        <v>0.40933672506514557</v>
        <stp/>
        <stp>EM_S_RATIO_EPS_TTM</stp>
        <stp>3</stp>
        <stp>002003</stp>
        <stp>12/31/2018</stp>
        <stp>1</stp>
        <tr r="U2851" s="1"/>
      </tp>
      <tp>
        <v>0.26199919239151581</v>
        <stp/>
        <stp>EM_S_RATIO_EPS_TTM</stp>
        <stp>3</stp>
        <stp>002303</stp>
        <stp>12/31/2018</stp>
        <stp>1</stp>
        <tr r="U1611" s="1"/>
      </tp>
      <tp>
        <v>0.4654610238995347</v>
        <stp/>
        <stp>EM_S_RATIO_EPS_TTM</stp>
        <stp>3</stp>
        <stp>002203</stp>
        <stp>12/31/2018</stp>
        <stp>1</stp>
        <tr r="U951" s="1"/>
      </tp>
      <tp>
        <v>0.11945621112507188</v>
        <stp/>
        <stp>EM_S_RATIO_EPS_TTM</stp>
        <stp>3</stp>
        <stp>002503</stp>
        <stp>12/31/2018</stp>
        <stp>1</stp>
        <tr r="U2089" s="1"/>
      </tp>
      <tp>
        <v>0.42445947179139959</v>
        <stp/>
        <stp>EM_S_RATIO_EPS_TTM</stp>
        <stp>3</stp>
        <stp>002403</stp>
        <stp>12/31/2018</stp>
        <stp>1</stp>
        <tr r="U1774" s="1"/>
      </tp>
      <tp>
        <v>9.2172706543690482E-3</v>
        <stp/>
        <stp>EM_S_RATIO_EPS_TTM</stp>
        <stp>3</stp>
        <stp>002703</stp>
        <stp>12/31/2018</stp>
        <stp>1</stp>
        <tr r="U1670" s="1"/>
      </tp>
      <tp>
        <v>0.49674095201385471</v>
        <stp/>
        <stp>EM_S_RATIO_EPS_TTM</stp>
        <stp>3</stp>
        <stp>002603</stp>
        <stp>12/31/2018</stp>
        <stp>1</stp>
        <tr r="U1855" s="1"/>
      </tp>
      <tp>
        <v>0.22897515173333333</v>
        <stp/>
        <stp>EM_S_RATIO_EPS_TTM</stp>
        <stp>3</stp>
        <stp>002903</stp>
        <stp>12/31/2018</stp>
        <stp>1</stp>
        <tr r="U2947" s="1"/>
      </tp>
      <tp>
        <v>1.0809824821501013</v>
        <stp/>
        <stp>EM_S_RATIO_EPS_TTM</stp>
        <stp>3</stp>
        <stp>002803</stp>
        <stp>12/31/2018</stp>
        <stp>1</stp>
        <tr r="U257" s="1"/>
      </tp>
      <tp>
        <v>0.60380155023750004</v>
        <stp/>
        <stp>EM_S_RATIO_EPS_TTM</stp>
        <stp>3</stp>
        <stp>601163</stp>
        <stp>12/31/2018</stp>
        <stp>1</stp>
        <tr r="U828" s="1"/>
      </tp>
      <tp>
        <v>0.1191145997897077</v>
        <stp/>
        <stp>EM_S_RATIO_EPS_TTM</stp>
        <stp>3</stp>
        <stp>300133</stp>
        <stp>12/31/2018</stp>
        <stp>1</stp>
        <tr r="U3041" s="1"/>
      </tp>
      <tp>
        <v>0.13042207738432282</v>
        <stp/>
        <stp>EM_S_RATIO_EPS_TTM</stp>
        <stp>3</stp>
        <stp>600163</stp>
        <stp>12/31/2018</stp>
        <stp>1</stp>
        <tr r="U1968" s="1"/>
      </tp>
      <tp>
        <v>1.3040224466411279E-2</v>
        <stp/>
        <stp>EM_S_RATIO_EPS_TTM</stp>
        <stp>3</stp>
        <stp>000003</stp>
        <stp>12/31/2018</stp>
        <stp>1</stp>
        <tr r="U2271" s="1"/>
      </tp>
      <tp>
        <v>1.1791931150855655</v>
        <stp/>
        <stp>EM_S_RATIO_EPS_TTM</stp>
        <stp>3</stp>
        <stp>300033</stp>
        <stp>12/31/2018</stp>
        <stp>1</stp>
        <tr r="U49" s="1"/>
      </tp>
      <tp>
        <v>6.7554769256303659E-2</v>
        <stp/>
        <stp>EM_S_RATIO_EPS_TTM</stp>
        <stp>3</stp>
        <stp>600063</stp>
        <stp>12/31/2018</stp>
        <stp>1</stp>
        <tr r="U327" s="1"/>
      </tp>
      <tp>
        <v>3.6371047023809527E-2</v>
        <stp/>
        <stp>EM_S_RATIO_EPS_TTM</stp>
        <stp>3</stp>
        <stp>300333</stp>
        <stp>12/31/2018</stp>
        <stp>1</stp>
        <tr r="U455" s="1"/>
      </tp>
      <tp>
        <v>0.51222920439459341</v>
        <stp/>
        <stp>EM_S_RATIO_EPS_TTM</stp>
        <stp>3</stp>
        <stp>600363</stp>
        <stp>12/31/2018</stp>
        <stp>1</stp>
        <tr r="U202" s="1"/>
      </tp>
      <tp>
        <v>0.67114817990683806</v>
        <stp/>
        <stp>EM_S_RATIO_EPS_TTM</stp>
        <stp>3</stp>
        <stp>300233</stp>
        <stp>12/31/2018</stp>
        <stp>1</stp>
        <tr r="U694" s="1"/>
      </tp>
      <tp>
        <v>0.49130723334532533</v>
        <stp/>
        <stp>EM_S_RATIO_EPS_TTM</stp>
        <stp>3</stp>
        <stp>600263</stp>
        <stp>12/31/2018</stp>
        <stp>1</stp>
        <tr r="U2297" s="1"/>
      </tp>
      <tp>
        <v>-0.20889545050669442</v>
        <stp/>
        <stp>EM_S_RATIO_EPS_TTM</stp>
        <stp>3</stp>
        <stp>000503</stp>
        <stp>12/31/2018</stp>
        <stp>1</stp>
        <tr r="U3430" s="1"/>
      </tp>
      <tp>
        <v>0.9865896860122868</v>
        <stp/>
        <stp>EM_S_RATIO_EPS_TTM</stp>
        <stp>3</stp>
        <stp>300533</stp>
        <stp>12/31/2018</stp>
        <stp>1</stp>
        <tr r="U687" s="1"/>
      </tp>
      <tp>
        <v>2.0082495228444444</v>
        <stp/>
        <stp>EM_S_RATIO_EPS_TTM</stp>
        <stp>3</stp>
        <stp>600563</stp>
        <stp>12/31/2018</stp>
        <stp>1</stp>
        <tr r="U1335" s="1"/>
      </tp>
      <tp>
        <v>0.29343129165210674</v>
        <stp/>
        <stp>EM_S_RATIO_EPS_TTM</stp>
        <stp>3</stp>
        <stp>000403</stp>
        <stp>12/31/2018</stp>
        <stp>1</stp>
        <tr r="U1103" s="1"/>
      </tp>
      <tp>
        <v>0.16222058792326766</v>
        <stp/>
        <stp>EM_S_RATIO_EPS_TTM</stp>
        <stp>3</stp>
        <stp>300433</stp>
        <stp>12/31/2018</stp>
        <stp>1</stp>
        <tr r="U140" s="1"/>
      </tp>
      <tp>
        <v>5.102059056666667E-2</v>
        <stp/>
        <stp>EM_S_RATIO_EPS_TTM</stp>
        <stp>3</stp>
        <stp>600463</stp>
        <stp>12/31/2018</stp>
        <stp>1</stp>
        <tr r="U2180" s="1"/>
      </tp>
      <tp>
        <v>0.74660754172077115</v>
        <stp/>
        <stp>EM_S_RATIO_EPS_TTM</stp>
        <stp>3</stp>
        <stp>000703</stp>
        <stp>12/31/2018</stp>
        <stp>1</stp>
        <tr r="U1288" s="1"/>
      </tp>
      <tp>
        <v>0.41679751668750004</v>
        <stp/>
        <stp>EM_S_RATIO_EPS_TTM</stp>
        <stp>3</stp>
        <stp>300733</stp>
        <stp>12/31/2018</stp>
        <stp>1</stp>
        <tr r="U3184" s="1"/>
      </tp>
      <tp>
        <v>1.0357188698228543</v>
        <stp/>
        <stp>EM_S_RATIO_EPS_TTM</stp>
        <stp>3</stp>
        <stp>600763</stp>
        <stp>12/31/2018</stp>
        <stp>1</stp>
        <tr r="U136" s="1"/>
      </tp>
      <tp>
        <v>0.59677337263907948</v>
        <stp/>
        <stp>EM_S_RATIO_EPS_TTM</stp>
        <stp>3</stp>
        <stp>000603</stp>
        <stp>12/31/2018</stp>
        <stp>1</stp>
        <tr r="U625" s="1"/>
      </tp>
      <tp>
        <v>0.63154366095847603</v>
        <stp/>
        <stp>EM_S_RATIO_EPS_TTM</stp>
        <stp>3</stp>
        <stp>300633</stp>
        <stp>12/31/2018</stp>
        <stp>1</stp>
        <tr r="U2972" s="1"/>
      </tp>
      <tp>
        <v>0.99655439354896824</v>
        <stp/>
        <stp>EM_S_RATIO_EPS_TTM</stp>
        <stp>3</stp>
        <stp>600663</stp>
        <stp>12/31/2018</stp>
        <stp>1</stp>
        <tr r="U2066" s="1"/>
      </tp>
      <tp>
        <v>0.11783718792040286</v>
        <stp/>
        <stp>EM_S_RATIO_EPS_TTM</stp>
        <stp>3</stp>
        <stp>000903</stp>
        <stp>12/31/2018</stp>
        <stp>1</stp>
        <tr r="U1940" s="1"/>
      </tp>
      <tp>
        <v>0.26175859036720789</v>
        <stp/>
        <stp>EM_S_RATIO_EPS_TTM</stp>
        <stp>3</stp>
        <stp>600963</stp>
        <stp>12/31/2018</stp>
        <stp>1</stp>
        <tr r="U1727" s="1"/>
      </tp>
      <tp>
        <v>6.3725046766877291E-2</v>
        <stp/>
        <stp>EM_S_RATIO_EPS_TTM</stp>
        <stp>3</stp>
        <stp>000803</stp>
        <stp>12/31/2018</stp>
        <stp>1</stp>
        <tr r="U1520" s="1"/>
      </tp>
      <tp>
        <v>0.13475897967913097</v>
        <stp/>
        <stp>EM_S_RATIO_EPS_TTM</stp>
        <stp>3</stp>
        <stp>600863</stp>
        <stp>12/31/2018</stp>
        <stp>1</stp>
        <tr r="U1344" s="1"/>
      </tp>
      <tp>
        <v>0.39663383826900001</v>
        <stp/>
        <stp>EM_S_FA_ASSETSTURN</stp>
        <stp>3</stp>
        <stp>300385</stp>
        <stp>12/31/2018</stp>
        <stp>1</stp>
        <tr r="K2956" s="1"/>
      </tp>
      <tp>
        <v>0.46894829733400001</v>
        <stp/>
        <stp>EM_S_FA_ASSETSTURN</stp>
        <stp>3</stp>
        <stp>300285</stp>
        <stp>12/31/2018</stp>
        <stp>1</stp>
        <tr r="K750" s="1"/>
      </tp>
      <tp>
        <v>0.34564814519600001</v>
        <stp/>
        <stp>EM_S_FA_ASSETSTURN</stp>
        <stp>3</stp>
        <stp>300185</stp>
        <stp>12/31/2018</stp>
        <stp>1</stp>
        <tr r="K1705" s="1"/>
      </tp>
      <tp>
        <v>0.59420851497500005</v>
        <stp/>
        <stp>EM_S_FA_ASSETSTURN</stp>
        <stp>3</stp>
        <stp>300085</stp>
        <stp>12/31/2018</stp>
        <stp>1</stp>
        <tr r="K175" s="1"/>
      </tp>
      <tp>
        <v>0.58011745085199995</v>
        <stp/>
        <stp>EM_S_FA_ASSETSTURN</stp>
        <stp>3</stp>
        <stp>300685</stp>
        <stp>12/31/2018</stp>
        <stp>1</stp>
        <tr r="K436" s="1"/>
      </tp>
      <tp>
        <v>0.49455954677800001</v>
        <stp/>
        <stp>EM_S_FA_ASSETSTURN</stp>
        <stp>3</stp>
        <stp>300585</stp>
        <stp>12/31/2018</stp>
        <stp>1</stp>
        <tr r="K290" s="1"/>
      </tp>
      <tp>
        <v>0.54766442837200002</v>
        <stp/>
        <stp>EM_S_FA_ASSETSTURN</stp>
        <stp>3</stp>
        <stp>300485</stp>
        <stp>12/31/2018</stp>
        <stp>1</stp>
        <tr r="K2810" s="1"/>
      </tp>
      <tp>
        <v>-1.0298650230383151</v>
        <stp/>
        <stp>EM_S_RATIO_EPS_TTM</stp>
        <stp>3</stp>
        <stp>002102</stp>
        <stp>12/31/2018</stp>
        <stp>1</stp>
        <tr r="U3634" s="1"/>
      </tp>
      <tp>
        <v>0.23599081062027749</v>
        <stp/>
        <stp>EM_S_RATIO_EPS_TTM</stp>
        <stp>3</stp>
        <stp>002002</stp>
        <stp>12/31/2018</stp>
        <stp>1</stp>
        <tr r="U3603" s="1"/>
      </tp>
      <tp>
        <v>0.24034049752010037</v>
        <stp/>
        <stp>EM_S_RATIO_EPS_TTM</stp>
        <stp>3</stp>
        <stp>002302</stp>
        <stp>12/31/2018</stp>
        <stp>1</stp>
        <tr r="U1075" s="1"/>
      </tp>
      <tp>
        <v>0.90450505308850027</v>
        <stp/>
        <stp>EM_S_RATIO_EPS_TTM</stp>
        <stp>3</stp>
        <stp>002202</stp>
        <stp>12/31/2018</stp>
        <stp>1</stp>
        <tr r="U1408" s="1"/>
      </tp>
      <tp>
        <v>-1.4850638577647952</v>
        <stp/>
        <stp>EM_S_RATIO_EPS_TTM</stp>
        <stp>3</stp>
        <stp>002502</stp>
        <stp>12/31/2018</stp>
        <stp>1</stp>
        <tr r="U2997" s="1"/>
      </tp>
      <tp>
        <v>0.25934933403563371</v>
        <stp/>
        <stp>EM_S_RATIO_EPS_TTM</stp>
        <stp>3</stp>
        <stp>002402</stp>
        <stp>12/31/2018</stp>
        <stp>1</stp>
        <tr r="U144" s="1"/>
      </tp>
      <tp>
        <v>7.2581949455029549E-2</v>
        <stp/>
        <stp>EM_S_RATIO_EPS_TTM</stp>
        <stp>3</stp>
        <stp>002702</stp>
        <stp>12/31/2018</stp>
        <stp>1</stp>
        <tr r="U1877" s="1"/>
      </tp>
      <tp>
        <v>0.41214712678159993</v>
        <stp/>
        <stp>EM_S_RATIO_EPS_TTM</stp>
        <stp>3</stp>
        <stp>002602</stp>
        <stp>12/31/2018</stp>
        <stp>1</stp>
        <tr r="U3332" s="1"/>
      </tp>
      <tp>
        <v>0.18397170835714288</v>
        <stp/>
        <stp>EM_S_RATIO_EPS_TTM</stp>
        <stp>3</stp>
        <stp>002902</stp>
        <stp>12/31/2018</stp>
        <stp>1</stp>
        <tr r="U2409" s="1"/>
      </tp>
      <tp>
        <v>0.67743791398246422</v>
        <stp/>
        <stp>EM_S_RATIO_EPS_TTM</stp>
        <stp>3</stp>
        <stp>002802</stp>
        <stp>12/31/2018</stp>
        <stp>1</stp>
        <tr r="U2459" s="1"/>
      </tp>
      <tp>
        <v>1.0373982132566335</v>
        <stp/>
        <stp>EM_S_RATIO_EPS_TTM</stp>
        <stp>3</stp>
        <stp>300132</stp>
        <stp>12/31/2018</stp>
        <stp>1</stp>
        <tr r="U2143" s="1"/>
      </tp>
      <tp>
        <v>0.14969151154354937</v>
        <stp/>
        <stp>EM_S_RATIO_EPS_TTM</stp>
        <stp>3</stp>
        <stp>600162</stp>
        <stp>12/31/2018</stp>
        <stp>1</stp>
        <tr r="U2078" s="1"/>
      </tp>
      <tp>
        <v>3.0593519933008122</v>
        <stp/>
        <stp>EM_S_RATIO_EPS_TTM</stp>
        <stp>3</stp>
        <stp>000002</stp>
        <stp>12/31/2018</stp>
        <stp>1</stp>
        <tr r="U725" s="1"/>
      </tp>
      <tp>
        <v>-2.9882996954361847</v>
        <stp/>
        <stp>EM_S_RATIO_EPS_TTM</stp>
        <stp>3</stp>
        <stp>300032</stp>
        <stp>12/31/2018</stp>
        <stp>1</stp>
        <tr r="U987" s="1"/>
      </tp>
      <tp>
        <v>0.92844936324243876</v>
        <stp/>
        <stp>EM_S_RATIO_EPS_TTM</stp>
        <stp>3</stp>
        <stp>600062</stp>
        <stp>12/31/2018</stp>
        <stp>1</stp>
        <tr r="U1938" s="1"/>
      </tp>
      <tp>
        <v>9.5882124798062712E-2</v>
        <stp/>
        <stp>EM_S_RATIO_EPS_TTM</stp>
        <stp>3</stp>
        <stp>300332</stp>
        <stp>12/31/2018</stp>
        <stp>1</stp>
        <tr r="U1799" s="1"/>
      </tp>
      <tp>
        <v>0.70680537193174064</v>
        <stp/>
        <stp>EM_S_RATIO_EPS_TTM</stp>
        <stp>3</stp>
        <stp>600362</stp>
        <stp>12/31/2018</stp>
        <stp>1</stp>
        <tr r="U900" s="1"/>
      </tp>
      <tp>
        <v>0.54153705393693019</v>
        <stp/>
        <stp>EM_S_RATIO_EPS_TTM</stp>
        <stp>3</stp>
        <stp>300232</stp>
        <stp>12/31/2018</stp>
        <stp>1</stp>
        <tr r="U1976" s="1"/>
      </tp>
      <tp>
        <v>0.67210349605882347</v>
        <stp/>
        <stp>EM_S_RATIO_EPS_TTM</stp>
        <stp>3</stp>
        <stp>600262</stp>
        <stp>12/31/2018</stp>
        <stp>1</stp>
        <tr r="U2020" s="1"/>
      </tp>
      <tp>
        <v>0.41901133487422682</v>
        <stp/>
        <stp>EM_S_RATIO_EPS_TTM</stp>
        <stp>3</stp>
        <stp>000502</stp>
        <stp>12/31/2018</stp>
        <stp>1</stp>
        <tr r="U3429" s="1"/>
      </tp>
      <tp>
        <v>6.571553732385059E-2</v>
        <stp/>
        <stp>EM_S_RATIO_EPS_TTM</stp>
        <stp>3</stp>
        <stp>300532</stp>
        <stp>12/31/2018</stp>
        <stp>1</stp>
        <tr r="U1967" s="1"/>
      </tp>
      <tp>
        <v>6.0743553636032677E-2</v>
        <stp/>
        <stp>EM_S_RATIO_EPS_TTM</stp>
        <stp>3</stp>
        <stp>600562</stp>
        <stp>12/31/2018</stp>
        <stp>1</stp>
        <tr r="U1682" s="1"/>
      </tp>
      <tp>
        <v>1.0935588753537138</v>
        <stp/>
        <stp>EM_S_RATIO_EPS_TTM</stp>
        <stp>3</stp>
        <stp>000402</stp>
        <stp>12/31/2018</stp>
        <stp>1</stp>
        <tr r="U3415" s="1"/>
      </tp>
      <tp>
        <v>-4.67285657374764</v>
        <stp/>
        <stp>EM_S_RATIO_EPS_TTM</stp>
        <stp>3</stp>
        <stp>300432</stp>
        <stp>12/31/2018</stp>
        <stp>1</stp>
        <tr r="U180" s="1"/>
      </tp>
      <tp>
        <v>-0.51005765446438611</v>
        <stp/>
        <stp>EM_S_RATIO_EPS_TTM</stp>
        <stp>3</stp>
        <stp>600462</stp>
        <stp>12/31/2018</stp>
        <stp>1</stp>
        <tr r="U3369" s="1"/>
      </tp>
      <tp>
        <v>0.20913942361323762</v>
        <stp/>
        <stp>EM_S_RATIO_EPS_TTM</stp>
        <stp>3</stp>
        <stp>000702</stp>
        <stp>12/31/2018</stp>
        <stp>1</stp>
        <tr r="U3516" s="1"/>
      </tp>
      <tp>
        <v>2.3273976611111111</v>
        <stp/>
        <stp>EM_S_RATIO_EPS_TTM</stp>
        <stp>3</stp>
        <stp>300732</stp>
        <stp>12/31/2018</stp>
        <stp>1</stp>
        <tr r="U3364" s="1"/>
      </tp>
      <tp>
        <v>0.27280196452907329</v>
        <stp/>
        <stp>EM_S_RATIO_EPS_TTM</stp>
        <stp>3</stp>
        <stp>600762</stp>
        <stp>12/31/2018</stp>
        <stp>1</stp>
        <tr r="U2320" s="1"/>
      </tp>
      <tp>
        <v>0.42045621984490528</v>
        <stp/>
        <stp>EM_S_RATIO_EPS_TTM</stp>
        <stp>3</stp>
        <stp>000602</stp>
        <stp>12/31/2018</stp>
        <stp>1</stp>
        <tr r="U3478" s="1"/>
      </tp>
      <tp>
        <v>0.78750893855453696</v>
        <stp/>
        <stp>EM_S_RATIO_EPS_TTM</stp>
        <stp>3</stp>
        <stp>300632</stp>
        <stp>12/31/2018</stp>
        <stp>1</stp>
        <tr r="U320" s="1"/>
      </tp>
      <tp>
        <v>6.1460614870312923E-2</v>
        <stp/>
        <stp>EM_S_RATIO_EPS_TTM</stp>
        <stp>3</stp>
        <stp>600662</stp>
        <stp>12/31/2018</stp>
        <stp>1</stp>
        <tr r="U1782" s="1"/>
      </tp>
      <tp>
        <v>0.62769141195748857</v>
        <stp/>
        <stp>EM_S_RATIO_EPS_TTM</stp>
        <stp>3</stp>
        <stp>000902</stp>
        <stp>12/31/2018</stp>
        <stp>1</stp>
        <tr r="U2826" s="1"/>
      </tp>
      <tp>
        <v>2.0303439151824875E-2</v>
        <stp/>
        <stp>EM_S_RATIO_EPS_TTM</stp>
        <stp>3</stp>
        <stp>600962</stp>
        <stp>12/31/2018</stp>
        <stp>1</stp>
        <tr r="U1599" s="1"/>
      </tp>
      <tp>
        <v>0.45511641139169595</v>
        <stp/>
        <stp>EM_S_RATIO_EPS_TTM</stp>
        <stp>3</stp>
        <stp>000802</stp>
        <stp>12/31/2018</stp>
        <stp>1</stp>
        <tr r="U3543" s="1"/>
      </tp>
      <tp>
        <v>0.21826989197445429</v>
        <stp/>
        <stp>EM_S_RATIO_EPS_TTM</stp>
        <stp>3</stp>
        <stp>600862</stp>
        <stp>12/31/2018</stp>
        <stp>1</stp>
        <tr r="U174" s="1"/>
      </tp>
      <tp t="s">
        <v>2010-11-09</v>
        <stp/>
        <stp>EM_S_IPO_LISTEDDATE</stp>
        <stp>1</stp>
        <stp>002499</stp>
        <tr r="AT3287" s="1"/>
      </tp>
      <tp t="s">
        <v>1997-06-09</v>
        <stp/>
        <stp>EM_S_IPO_LISTEDDATE</stp>
        <stp>1</stp>
        <stp>000498</stp>
        <tr r="AT2686" s="1"/>
      </tp>
      <tp t="s">
        <v>2010-11-09</v>
        <stp/>
        <stp>EM_S_IPO_LISTEDDATE</stp>
        <stp>1</stp>
        <stp>002498</stp>
        <tr r="AT544" s="1"/>
      </tp>
      <tp t="s">
        <v>2010-11-02</v>
        <stp/>
        <stp>EM_S_IPO_LISTEDDATE</stp>
        <stp>1</stp>
        <stp>002495</stp>
        <tr r="AT2707" s="1"/>
      </tp>
      <tp t="s">
        <v>2010-11-02</v>
        <stp/>
        <stp>EM_S_IPO_LISTEDDATE</stp>
        <stp>1</stp>
        <stp>002494</stp>
        <tr r="AT2654" s="1"/>
      </tp>
      <tp t="s">
        <v>2010-11-09</v>
        <stp/>
        <stp>EM_S_IPO_LISTEDDATE</stp>
        <stp>1</stp>
        <stp>002497</stp>
        <tr r="AT1848" s="1"/>
      </tp>
      <tp t="s">
        <v>2010-11-09</v>
        <stp/>
        <stp>EM_S_IPO_LISTEDDATE</stp>
        <stp>1</stp>
        <stp>002496</stp>
        <tr r="AT600" s="1"/>
      </tp>
      <tp t="s">
        <v>2010-10-21</v>
        <stp/>
        <stp>EM_S_IPO_LISTEDDATE</stp>
        <stp>1</stp>
        <stp>002491</stp>
        <tr r="AT2970" s="1"/>
      </tp>
      <tp t="s">
        <v>2010-10-21</v>
        <stp/>
        <stp>EM_S_IPO_LISTEDDATE</stp>
        <stp>1</stp>
        <stp>002490</stp>
        <tr r="AT2775" s="1"/>
      </tp>
      <tp t="s">
        <v>2010-11-02</v>
        <stp/>
        <stp>EM_S_IPO_LISTEDDATE</stp>
        <stp>1</stp>
        <stp>002493</stp>
        <tr r="AT1189" s="1"/>
      </tp>
      <tp t="s">
        <v>2010-11-02</v>
        <stp/>
        <stp>EM_S_IPO_LISTEDDATE</stp>
        <stp>1</stp>
        <stp>002492</stp>
        <tr r="AT1745" s="1"/>
      </tp>
      <tp t="s">
        <v>2010-10-21</v>
        <stp/>
        <stp>EM_S_IPO_LISTEDDATE</stp>
        <stp>1</stp>
        <stp>002489</stp>
        <tr r="AT452" s="1"/>
      </tp>
      <tp t="s">
        <v>2000-11-20</v>
        <stp/>
        <stp>EM_S_IPO_LISTEDDATE</stp>
        <stp>1</stp>
        <stp>000488</stp>
        <tr r="AT3427" s="1"/>
      </tp>
      <tp t="s">
        <v>2010-10-21</v>
        <stp/>
        <stp>EM_S_IPO_LISTEDDATE</stp>
        <stp>1</stp>
        <stp>002488</stp>
        <tr r="AT1900" s="1"/>
      </tp>
      <tp t="s">
        <v>2010-10-15</v>
        <stp/>
        <stp>EM_S_IPO_LISTEDDATE</stp>
        <stp>1</stp>
        <stp>002485</stp>
        <tr r="AT2666" s="1"/>
      </tp>
      <tp t="s">
        <v>2010-09-29</v>
        <stp/>
        <stp>EM_S_IPO_LISTEDDATE</stp>
        <stp>1</stp>
        <stp>002484</stp>
        <tr r="AT965" s="1"/>
      </tp>
      <tp t="s">
        <v>2010-10-15</v>
        <stp/>
        <stp>EM_S_IPO_LISTEDDATE</stp>
        <stp>1</stp>
        <stp>002487</stp>
        <tr r="AT525" s="1"/>
      </tp>
      <tp t="s">
        <v>2010-10-15</v>
        <stp/>
        <stp>EM_S_IPO_LISTEDDATE</stp>
        <stp>1</stp>
        <stp>002486</stp>
        <tr r="AT2922" s="1"/>
      </tp>
      <tp t="s">
        <v>2010-09-21</v>
        <stp/>
        <stp>EM_S_IPO_LISTEDDATE</stp>
        <stp>1</stp>
        <stp>002481</stp>
        <tr r="AT57" s="1"/>
      </tp>
      <tp t="s">
        <v>2010-09-21</v>
        <stp/>
        <stp>EM_S_IPO_LISTEDDATE</stp>
        <stp>1</stp>
        <stp>002480</stp>
        <tr r="AT3063" s="1"/>
      </tp>
      <tp t="s">
        <v>2010-09-29</v>
        <stp/>
        <stp>EM_S_IPO_LISTEDDATE</stp>
        <stp>1</stp>
        <stp>002483</stp>
        <tr r="AT1478" s="1"/>
      </tp>
      <tp t="s">
        <v>2010-09-29</v>
        <stp/>
        <stp>EM_S_IPO_LISTEDDATE</stp>
        <stp>1</stp>
        <stp>002482</stp>
        <tr r="AT3133" s="1"/>
      </tp>
      <tp t="s">
        <v>2015-07-01</v>
        <stp/>
        <stp>EM_S_IPO_LISTEDDATE</stp>
        <stp>1</stp>
        <stp>300489</stp>
        <tr r="AT317" s="1"/>
      </tp>
      <tp t="s">
        <v>2015-07-01</v>
        <stp/>
        <stp>EM_S_IPO_LISTEDDATE</stp>
        <stp>1</stp>
        <stp>300488</stp>
        <tr r="AT3270" s="1"/>
      </tp>
      <tp t="s">
        <v>2015-06-26</v>
        <stp/>
        <stp>EM_S_IPO_LISTEDDATE</stp>
        <stp>1</stp>
        <stp>300485</stp>
        <tr r="AT2810" s="1"/>
      </tp>
      <tp t="s">
        <v>2016-03-22</v>
        <stp/>
        <stp>EM_S_IPO_LISTEDDATE</stp>
        <stp>1</stp>
        <stp>300484</stp>
        <tr r="AT3031" s="1"/>
      </tp>
      <tp t="s">
        <v>2015-07-02</v>
        <stp/>
        <stp>EM_S_IPO_LISTEDDATE</stp>
        <stp>1</stp>
        <stp>300487</stp>
        <tr r="AT612" s="1"/>
      </tp>
      <tp t="s">
        <v>2015-06-30</v>
        <stp/>
        <stp>EM_S_IPO_LISTEDDATE</stp>
        <stp>1</stp>
        <stp>300486</stp>
        <tr r="AT459" s="1"/>
      </tp>
      <tp t="s">
        <v>2015-06-30</v>
        <stp/>
        <stp>EM_S_IPO_LISTEDDATE</stp>
        <stp>1</stp>
        <stp>300481</stp>
        <tr r="AT358" s="1"/>
      </tp>
      <tp t="s">
        <v>2015-07-02</v>
        <stp/>
        <stp>EM_S_IPO_LISTEDDATE</stp>
        <stp>1</stp>
        <stp>300480</stp>
        <tr r="AT213" s="1"/>
      </tp>
      <tp t="s">
        <v>2015-06-30</v>
        <stp/>
        <stp>EM_S_IPO_LISTEDDATE</stp>
        <stp>1</stp>
        <stp>300483</stp>
        <tr r="AT1094" s="1"/>
      </tp>
      <tp t="s">
        <v>2015-06-30</v>
        <stp/>
        <stp>EM_S_IPO_LISTEDDATE</stp>
        <stp>1</stp>
        <stp>300482</stp>
        <tr r="AT183" s="1"/>
      </tp>
      <tp t="s">
        <v>2016-02-02</v>
        <stp/>
        <stp>EM_S_IPO_LISTEDDATE</stp>
        <stp>1</stp>
        <stp>300499</stp>
        <tr r="AT3080" s="1"/>
      </tp>
      <tp t="s">
        <v>2015-11-02</v>
        <stp/>
        <stp>EM_S_IPO_LISTEDDATE</stp>
        <stp>1</stp>
        <stp>300498</stp>
        <tr r="AT1017" s="1"/>
      </tp>
      <tp t="s">
        <v>2015-12-22</v>
        <stp/>
        <stp>EM_S_IPO_LISTEDDATE</stp>
        <stp>1</stp>
        <stp>300495</stp>
        <tr r="AT2945" s="1"/>
      </tp>
      <tp t="s">
        <v>2015-12-31</v>
        <stp/>
        <stp>EM_S_IPO_LISTEDDATE</stp>
        <stp>1</stp>
        <stp>300494</stp>
        <tr r="AT404" s="1"/>
      </tp>
      <tp t="s">
        <v>2015-12-22</v>
        <stp/>
        <stp>EM_S_IPO_LISTEDDATE</stp>
        <stp>1</stp>
        <stp>300497</stp>
        <tr r="AT2053" s="1"/>
      </tp>
      <tp t="s">
        <v>2015-12-10</v>
        <stp/>
        <stp>EM_S_IPO_LISTEDDATE</stp>
        <stp>1</stp>
        <stp>300496</stp>
        <tr r="AT156" s="1"/>
      </tp>
      <tp t="s">
        <v>2015-12-31</v>
        <stp/>
        <stp>EM_S_IPO_LISTEDDATE</stp>
        <stp>1</stp>
        <stp>300491</stp>
        <tr r="AT2962" s="1"/>
      </tp>
      <tp t="s">
        <v>2015-12-31</v>
        <stp/>
        <stp>EM_S_IPO_LISTEDDATE</stp>
        <stp>1</stp>
        <stp>300490</stp>
        <tr r="AT2910" s="1"/>
      </tp>
      <tp t="s">
        <v>2015-12-10</v>
        <stp/>
        <stp>EM_S_IPO_LISTEDDATE</stp>
        <stp>1</stp>
        <stp>300493</stp>
        <tr r="AT2536" s="1"/>
      </tp>
      <tp t="s">
        <v>2015-12-23</v>
        <stp/>
        <stp>EM_S_IPO_LISTEDDATE</stp>
        <stp>1</stp>
        <stp>300492</stp>
        <tr r="AT69" s="1"/>
      </tp>
      <tp t="s">
        <v>2002-10-10</v>
        <stp/>
        <stp>EM_S_IPO_LISTEDDATE</stp>
        <stp>1</stp>
        <stp>600499</stp>
        <tr r="AT1885" s="1"/>
      </tp>
      <tp t="s">
        <v>2017-10-16</v>
        <stp/>
        <stp>EM_S_IPO_LISTEDDATE</stp>
        <stp>1</stp>
        <stp>603499</stp>
        <tr r="AT3091" s="1"/>
      </tp>
      <tp t="s">
        <v>2001-08-23</v>
        <stp/>
        <stp>EM_S_IPO_LISTEDDATE</stp>
        <stp>1</stp>
        <stp>600498</stp>
        <tr r="AT2489" s="1"/>
      </tp>
      <tp t="s">
        <v>2004-05-26</v>
        <stp/>
        <stp>EM_S_IPO_LISTEDDATE</stp>
        <stp>1</stp>
        <stp>600495</stp>
        <tr r="AT2218" s="1"/>
      </tp>
      <tp t="s">
        <v>2004-04-20</v>
        <stp/>
        <stp>EM_S_IPO_LISTEDDATE</stp>
        <stp>1</stp>
        <stp>600497</stp>
        <tr r="AT1854" s="1"/>
      </tp>
      <tp t="s">
        <v>2002-06-05</v>
        <stp/>
        <stp>EM_S_IPO_LISTEDDATE</stp>
        <stp>1</stp>
        <stp>600496</stp>
        <tr r="AT1831" s="1"/>
      </tp>
      <tp t="s">
        <v>2017-06-07</v>
        <stp/>
        <stp>EM_S_IPO_LISTEDDATE</stp>
        <stp>1</stp>
        <stp>603496</stp>
        <tr r="AT2724" s="1"/>
      </tp>
      <tp t="s">
        <v>2004-05-24</v>
        <stp/>
        <stp>EM_S_IPO_LISTEDDATE</stp>
        <stp>1</stp>
        <stp>600491</stp>
        <tr r="AT1872" s="1"/>
      </tp>
      <tp t="s">
        <v>2003-06-26</v>
        <stp/>
        <stp>EM_S_IPO_LISTEDDATE</stp>
        <stp>1</stp>
        <stp>600490</stp>
        <tr r="AT2114" s="1"/>
      </tp>
      <tp t="s">
        <v>2004-04-21</v>
        <stp/>
        <stp>EM_S_IPO_LISTEDDATE</stp>
        <stp>1</stp>
        <stp>600493</stp>
        <tr r="AT2813" s="1"/>
      </tp>
      <tp t="s">
        <v>2003-08-14</v>
        <stp/>
        <stp>EM_S_IPO_LISTEDDATE</stp>
        <stp>1</stp>
        <stp>600489</stp>
        <tr r="AT2454" s="1"/>
      </tp>
      <tp t="s">
        <v>2001-06-18</v>
        <stp/>
        <stp>EM_S_IPO_LISTEDDATE</stp>
        <stp>1</stp>
        <stp>600488</stp>
        <tr r="AT1787" s="1"/>
      </tp>
      <tp t="s">
        <v>2017-05-16</v>
        <stp/>
        <stp>EM_S_IPO_LISTEDDATE</stp>
        <stp>1</stp>
        <stp>603488</stp>
        <tr r="AT1208" s="1"/>
      </tp>
      <tp t="s">
        <v>2003-08-07</v>
        <stp/>
        <stp>EM_S_IPO_LISTEDDATE</stp>
        <stp>1</stp>
        <stp>600485</stp>
        <tr r="AT3405" s="1"/>
      </tp>
      <tp t="s">
        <v>2003-08-22</v>
        <stp/>
        <stp>EM_S_IPO_LISTEDDATE</stp>
        <stp>1</stp>
        <stp>600487</stp>
        <tr r="AT2604" s="1"/>
      </tp>
      <tp t="s">
        <v>2002-04-25</v>
        <stp/>
        <stp>EM_S_IPO_LISTEDDATE</stp>
        <stp>1</stp>
        <stp>600486</stp>
        <tr r="AT235" s="1"/>
      </tp>
      <tp t="s">
        <v>2018-05-28</v>
        <stp/>
        <stp>EM_S_IPO_LISTEDDATE</stp>
        <stp>1</stp>
        <stp>603486</stp>
        <tr r="AT3384" s="1"/>
      </tp>
      <tp t="s">
        <v>2003-04-22</v>
        <stp/>
        <stp>EM_S_IPO_LISTEDDATE</stp>
        <stp>1</stp>
        <stp>600481</stp>
        <tr r="AT2397" s="1"/>
      </tp>
      <tp t="s">
        <v>2003-08-15</v>
        <stp/>
        <stp>EM_S_IPO_LISTEDDATE</stp>
        <stp>1</stp>
        <stp>600480</stp>
        <tr r="AT2408" s="1"/>
      </tp>
      <tp t="s">
        <v>2004-05-31</v>
        <stp/>
        <stp>EM_S_IPO_LISTEDDATE</stp>
        <stp>1</stp>
        <stp>600483</stp>
        <tr r="AT1892" s="1"/>
      </tp>
      <tp t="s">
        <v>2004-07-14</v>
        <stp/>
        <stp>EM_S_IPO_LISTEDDATE</stp>
        <stp>1</stp>
        <stp>600482</stp>
        <tr r="AT2777" s="1"/>
      </tp>
      <tp t="s">
        <v>1996-08-16</v>
        <stp/>
        <stp>EM_S_IPO_LISTEDDATE</stp>
        <stp>1</stp>
        <stp>000419</stp>
        <tr r="AT3422" s="1"/>
      </tp>
      <tp t="s">
        <v>2015-03-24</v>
        <stp/>
        <stp>EM_S_IPO_LISTEDDATE</stp>
        <stp>1</stp>
        <stp>300429</stp>
        <tr r="AT3351" s="1"/>
      </tp>
      <tp t="s">
        <v>2004-03-12</v>
        <stp/>
        <stp>EM_S_IPO_LISTEDDATE</stp>
        <stp>1</stp>
        <stp>600479</stp>
        <tr r="AT1683" s="1"/>
      </tp>
      <tp t="s">
        <v>2010-06-01</v>
        <stp/>
        <stp>EM_S_IPO_LISTEDDATE</stp>
        <stp>1</stp>
        <stp>002419</stp>
        <tr r="AT2535" s="1"/>
      </tp>
      <tp t="s">
        <v>1997-03-28</v>
        <stp/>
        <stp>EM_S_IPO_LISTEDDATE</stp>
        <stp>1</stp>
        <stp>000418</stp>
        <tr r="AT870" s="1"/>
      </tp>
      <tp t="s">
        <v>2015-03-19</v>
        <stp/>
        <stp>EM_S_IPO_LISTEDDATE</stp>
        <stp>1</stp>
        <stp>300428</stp>
        <tr r="AT1051" s="1"/>
      </tp>
      <tp t="s">
        <v>2003-09-18</v>
        <stp/>
        <stp>EM_S_IPO_LISTEDDATE</stp>
        <stp>1</stp>
        <stp>600478</stp>
        <tr r="AT1797" s="1"/>
      </tp>
      <tp t="s">
        <v>2010-06-01</v>
        <stp/>
        <stp>EM_S_IPO_LISTEDDATE</stp>
        <stp>1</stp>
        <stp>002418</stp>
        <tr r="AT2643" s="1"/>
      </tp>
      <tp t="s">
        <v>1996-07-16</v>
        <stp/>
        <stp>EM_S_IPO_LISTEDDATE</stp>
        <stp>1</stp>
        <stp>000415</stp>
        <tr r="AT2000" s="1"/>
      </tp>
      <tp t="s">
        <v>2015-02-16</v>
        <stp/>
        <stp>EM_S_IPO_LISTEDDATE</stp>
        <stp>1</stp>
        <stp>300425</stp>
        <tr r="AT2401" s="1"/>
      </tp>
      <tp t="s">
        <v>2003-07-21</v>
        <stp/>
        <stp>EM_S_IPO_LISTEDDATE</stp>
        <stp>1</stp>
        <stp>600475</stp>
        <tr r="AT1220" s="1"/>
      </tp>
      <tp t="s">
        <v>2010-05-28</v>
        <stp/>
        <stp>EM_S_IPO_LISTEDDATE</stp>
        <stp>1</stp>
        <stp>002415</stp>
        <tr r="AT1038" s="1"/>
      </tp>
      <tp t="s">
        <v>2015-04-22</v>
        <stp/>
        <stp>EM_S_IPO_LISTEDDATE</stp>
        <stp>1</stp>
        <stp>300424</stp>
        <tr r="AT1457" s="1"/>
      </tp>
      <tp t="s">
        <v>2010-07-16</v>
        <stp/>
        <stp>EM_S_IPO_LISTEDDATE</stp>
        <stp>1</stp>
        <stp>002414</stp>
        <tr r="AT2621" s="1"/>
      </tp>
      <tp t="s">
        <v>1996-08-12</v>
        <stp/>
        <stp>EM_S_IPO_LISTEDDATE</stp>
        <stp>1</stp>
        <stp>000417</stp>
        <tr r="AT1571" s="1"/>
      </tp>
      <tp t="s">
        <v>2015-02-17</v>
        <stp/>
        <stp>EM_S_IPO_LISTEDDATE</stp>
        <stp>1</stp>
        <stp>300427</stp>
        <tr r="AT971" s="1"/>
      </tp>
      <tp t="s">
        <v>2003-11-10</v>
        <stp/>
        <stp>EM_S_IPO_LISTEDDATE</stp>
        <stp>1</stp>
        <stp>600477</stp>
        <tr r="AT3098" s="1"/>
      </tp>
      <tp t="s">
        <v>2010-06-01</v>
        <stp/>
        <stp>EM_S_IPO_LISTEDDATE</stp>
        <stp>1</stp>
        <stp>002417</stp>
        <tr r="AT3078" s="1"/>
      </tp>
      <tp t="s">
        <v>2017-12-18</v>
        <stp/>
        <stp>EM_S_IPO_LISTEDDATE</stp>
        <stp>1</stp>
        <stp>603477</stp>
        <tr r="AT496" s="1"/>
      </tp>
      <tp t="s">
        <v>1996-07-19</v>
        <stp/>
        <stp>EM_S_IPO_LISTEDDATE</stp>
        <stp>1</stp>
        <stp>000416</stp>
        <tr r="AT3421" s="1"/>
      </tp>
      <tp t="s">
        <v>2015-02-17</v>
        <stp/>
        <stp>EM_S_IPO_LISTEDDATE</stp>
        <stp>1</stp>
        <stp>300426</stp>
        <tr r="AT2691" s="1"/>
      </tp>
      <tp t="s">
        <v>2003-12-10</v>
        <stp/>
        <stp>EM_S_IPO_LISTEDDATE</stp>
        <stp>1</stp>
        <stp>600476</stp>
        <tr r="AT1132" s="1"/>
      </tp>
      <tp t="s">
        <v>2010-05-28</v>
        <stp/>
        <stp>EM_S_IPO_LISTEDDATE</stp>
        <stp>1</stp>
        <stp>002416</stp>
        <tr r="AT976" s="1"/>
      </tp>
      <tp t="s">
        <v>1996-07-16</v>
        <stp/>
        <stp>EM_S_IPO_LISTEDDATE</stp>
        <stp>1</stp>
        <stp>000411</stp>
        <tr r="AT2518" s="1"/>
      </tp>
      <tp t="s">
        <v>2015-02-17</v>
        <stp/>
        <stp>EM_S_IPO_LISTEDDATE</stp>
        <stp>1</stp>
        <stp>300421</stp>
        <tr r="AT3348" s="1"/>
      </tp>
      <tp t="s">
        <v>2010-05-25</v>
        <stp/>
        <stp>EM_S_IPO_LISTEDDATE</stp>
        <stp>1</stp>
        <stp>002411</stp>
        <tr r="AT3164" s="1"/>
      </tp>
      <tp t="s">
        <v>1996-07-18</v>
        <stp/>
        <stp>EM_S_IPO_LISTEDDATE</stp>
        <stp>1</stp>
        <stp>000410</stp>
        <tr r="AT3419" s="1"/>
      </tp>
      <tp t="s">
        <v>2015-02-17</v>
        <stp/>
        <stp>EM_S_IPO_LISTEDDATE</stp>
        <stp>1</stp>
        <stp>300420</stp>
        <tr r="AT1747" s="1"/>
      </tp>
      <tp t="s">
        <v>2004-03-05</v>
        <stp/>
        <stp>EM_S_IPO_LISTEDDATE</stp>
        <stp>1</stp>
        <stp>600470</stp>
        <tr r="AT1540" s="1"/>
      </tp>
      <tp t="s">
        <v>2010-05-25</v>
        <stp/>
        <stp>EM_S_IPO_LISTEDDATE</stp>
        <stp>1</stp>
        <stp>002410</stp>
        <tr r="AT427" s="1"/>
      </tp>
      <tp t="s">
        <v>1996-09-25</v>
        <stp/>
        <stp>EM_S_IPO_LISTEDDATE</stp>
        <stp>1</stp>
        <stp>000413</stp>
        <tr r="AT3142" s="1"/>
      </tp>
      <tp t="s">
        <v>2015-02-17</v>
        <stp/>
        <stp>EM_S_IPO_LISTEDDATE</stp>
        <stp>1</stp>
        <stp>300423</stp>
        <tr r="AT3152" s="1"/>
      </tp>
      <tp t="s">
        <v>2010-05-28</v>
        <stp/>
        <stp>EM_S_IPO_LISTEDDATE</stp>
        <stp>1</stp>
        <stp>002413</stp>
        <tr r="AT2131" s="1"/>
      </tp>
      <tp t="s">
        <v>1996-07-15</v>
        <stp/>
        <stp>EM_S_IPO_LISTEDDATE</stp>
        <stp>1</stp>
        <stp>000412</stp>
        <tr r="AT3420" s="1"/>
      </tp>
      <tp t="s">
        <v>2015-02-17</v>
        <stp/>
        <stp>EM_S_IPO_LISTEDDATE</stp>
        <stp>1</stp>
        <stp>300422</stp>
        <tr r="AT2032" s="1"/>
      </tp>
      <tp t="s">
        <v>2005-05-09</v>
        <stp/>
        <stp>EM_S_IPO_LISTEDDATE</stp>
        <stp>1</stp>
        <stp>600472</stp>
        <tr r="AT2303" s="1"/>
      </tp>
      <tp t="s">
        <v>2010-05-25</v>
        <stp/>
        <stp>EM_S_IPO_LISTEDDATE</stp>
        <stp>1</stp>
        <stp>002412</stp>
        <tr r="AT3306" s="1"/>
      </tp>
      <tp t="s">
        <v>1996-06-27</v>
        <stp/>
        <stp>EM_S_IPO_LISTEDDATE</stp>
        <stp>1</stp>
        <stp>000409</stp>
        <tr r="AT2918" s="1"/>
      </tp>
      <tp t="s">
        <v>2015-04-22</v>
        <stp/>
        <stp>EM_S_IPO_LISTEDDATE</stp>
        <stp>1</stp>
        <stp>300439</stp>
        <tr r="AT2237" s="1"/>
      </tp>
      <tp t="s">
        <v>2003-10-21</v>
        <stp/>
        <stp>EM_S_IPO_LISTEDDATE</stp>
        <stp>1</stp>
        <stp>600469</stp>
        <tr r="AT749" s="1"/>
      </tp>
      <tp t="s">
        <v>2010-05-25</v>
        <stp/>
        <stp>EM_S_IPO_LISTEDDATE</stp>
        <stp>1</stp>
        <stp>002409</stp>
        <tr r="AT294" s="1"/>
      </tp>
      <tp t="s">
        <v>1996-06-28</v>
        <stp/>
        <stp>EM_S_IPO_LISTEDDATE</stp>
        <stp>1</stp>
        <stp>000408</stp>
        <tr r="AT3418" s="1"/>
      </tp>
      <tp t="s">
        <v>2015-04-24</v>
        <stp/>
        <stp>EM_S_IPO_LISTEDDATE</stp>
        <stp>1</stp>
        <stp>300438</stp>
        <tr r="AT364" s="1"/>
      </tp>
      <tp t="s">
        <v>2001-06-15</v>
        <stp/>
        <stp>EM_S_IPO_LISTEDDATE</stp>
        <stp>1</stp>
        <stp>600468</stp>
        <tr r="AT3233" s="1"/>
      </tp>
      <tp t="s">
        <v>2010-05-18</v>
        <stp/>
        <stp>EM_S_IPO_LISTEDDATE</stp>
        <stp>1</stp>
        <stp>002408</stp>
        <tr r="AT2019" s="1"/>
      </tp>
      <tp t="s">
        <v>1996-06-20</v>
        <stp/>
        <stp>EM_S_IPO_LISTEDDATE</stp>
        <stp>1</stp>
        <stp>000405</stp>
        <tr r="AT3416" s="1"/>
      </tp>
      <tp t="s">
        <v>2015-03-26</v>
        <stp/>
        <stp>EM_S_IPO_LISTEDDATE</stp>
        <stp>1</stp>
        <stp>300435</stp>
        <tr r="AT1794" s="1"/>
      </tp>
      <tp t="s">
        <v>2010-05-18</v>
        <stp/>
        <stp>EM_S_IPO_LISTEDDATE</stp>
        <stp>1</stp>
        <stp>002405</stp>
        <tr r="AT1559" s="1"/>
      </tp>
      <tp t="s">
        <v>1996-06-19</v>
        <stp/>
        <stp>EM_S_IPO_LISTEDDATE</stp>
        <stp>1</stp>
        <stp>000404</stp>
        <tr r="AT2194" s="1"/>
      </tp>
      <tp t="s">
        <v>2015-04-24</v>
        <stp/>
        <stp>EM_S_IPO_LISTEDDATE</stp>
        <stp>1</stp>
        <stp>300434</stp>
        <tr r="AT2981" s="1"/>
      </tp>
      <tp t="s">
        <v>2010-05-11</v>
        <stp/>
        <stp>EM_S_IPO_LISTEDDATE</stp>
        <stp>1</stp>
        <stp>002404</stp>
        <tr r="AT1312" s="1"/>
      </tp>
      <tp t="s">
        <v>1996-07-03</v>
        <stp/>
        <stp>EM_S_IPO_LISTEDDATE</stp>
        <stp>1</stp>
        <stp>000407</stp>
        <tr r="AT2601" s="1"/>
      </tp>
      <tp t="s">
        <v>2015-04-23</v>
        <stp/>
        <stp>EM_S_IPO_LISTEDDATE</stp>
        <stp>1</stp>
        <stp>300437</stp>
        <tr r="AT2786" s="1"/>
      </tp>
      <tp t="s">
        <v>2004-04-05</v>
        <stp/>
        <stp>EM_S_IPO_LISTEDDATE</stp>
        <stp>1</stp>
        <stp>600467</stp>
        <tr r="AT2199" s="1"/>
      </tp>
      <tp t="s">
        <v>2010-05-18</v>
        <stp/>
        <stp>EM_S_IPO_LISTEDDATE</stp>
        <stp>1</stp>
        <stp>002407</stp>
        <tr r="AT1316" s="1"/>
      </tp>
      <tp t="s">
        <v>1996-06-28</v>
        <stp/>
        <stp>EM_S_IPO_LISTEDDATE</stp>
        <stp>1</stp>
        <stp>000406</stp>
        <tr r="AT3417" s="1"/>
      </tp>
      <tp t="s">
        <v>2015-04-22</v>
        <stp/>
        <stp>EM_S_IPO_LISTEDDATE</stp>
        <stp>1</stp>
        <stp>300436</stp>
        <tr r="AT879" s="1"/>
      </tp>
      <tp t="s">
        <v>2001-02-12</v>
        <stp/>
        <stp>EM_S_IPO_LISTEDDATE</stp>
        <stp>1</stp>
        <stp>600466</stp>
        <tr r="AT865" s="1"/>
      </tp>
      <tp t="s">
        <v>2010-05-18</v>
        <stp/>
        <stp>EM_S_IPO_LISTEDDATE</stp>
        <stp>1</stp>
        <stp>002406</stp>
        <tr r="AT1384" s="1"/>
      </tp>
      <tp t="s">
        <v>2017-10-20</v>
        <stp/>
        <stp>EM_S_IPO_LISTEDDATE</stp>
        <stp>1</stp>
        <stp>603466</stp>
        <tr r="AT2505" s="1"/>
      </tp>
      <tp t="s">
        <v>1996-06-14</v>
        <stp/>
        <stp>EM_S_IPO_LISTEDDATE</stp>
        <stp>1</stp>
        <stp>000401</stp>
        <tr r="AT849" s="1"/>
      </tp>
      <tp t="s">
        <v>2015-03-24</v>
        <stp/>
        <stp>EM_S_IPO_LISTEDDATE</stp>
        <stp>1</stp>
        <stp>300431</stp>
        <tr r="AT3388" s="1"/>
      </tp>
      <tp t="s">
        <v>2004-06-01</v>
        <stp/>
        <stp>EM_S_IPO_LISTEDDATE</stp>
        <stp>1</stp>
        <stp>600461</stp>
        <tr r="AT1858" s="1"/>
      </tp>
      <tp t="s">
        <v>2010-05-06</v>
        <stp/>
        <stp>EM_S_IPO_LISTEDDATE</stp>
        <stp>1</stp>
        <stp>002401</stp>
        <tr r="AT1098" s="1"/>
      </tp>
      <tp t="s">
        <v>1997-04-18</v>
        <stp/>
        <stp>EM_S_IPO_LISTEDDATE</stp>
        <stp>1</stp>
        <stp>000400</stp>
        <tr r="AT3414" s="1"/>
      </tp>
      <tp t="s">
        <v>2015-03-19</v>
        <stp/>
        <stp>EM_S_IPO_LISTEDDATE</stp>
        <stp>1</stp>
        <stp>300430</stp>
        <tr r="AT2455" s="1"/>
      </tp>
      <tp t="s">
        <v>2003-03-11</v>
        <stp/>
        <stp>EM_S_IPO_LISTEDDATE</stp>
        <stp>1</stp>
        <stp>600460</stp>
        <tr r="AT200" s="1"/>
      </tp>
      <tp t="s">
        <v>2010-05-06</v>
        <stp/>
        <stp>EM_S_IPO_LISTEDDATE</stp>
        <stp>1</stp>
        <stp>002400</stp>
        <tr r="AT1851" s="1"/>
      </tp>
      <tp t="s">
        <v>1996-06-28</v>
        <stp/>
        <stp>EM_S_IPO_LISTEDDATE</stp>
        <stp>1</stp>
        <stp>000403</stp>
        <tr r="AT1103" s="1"/>
      </tp>
      <tp t="s">
        <v>2015-03-18</v>
        <stp/>
        <stp>EM_S_IPO_LISTEDDATE</stp>
        <stp>1</stp>
        <stp>300433</stp>
        <tr r="AT140" s="1"/>
      </tp>
      <tp t="s">
        <v>2004-03-18</v>
        <stp/>
        <stp>EM_S_IPO_LISTEDDATE</stp>
        <stp>1</stp>
        <stp>600463</stp>
        <tr r="AT2180" s="1"/>
      </tp>
      <tp t="s">
        <v>2010-05-11</v>
        <stp/>
        <stp>EM_S_IPO_LISTEDDATE</stp>
        <stp>1</stp>
        <stp>002403</stp>
        <tr r="AT1774" s="1"/>
      </tp>
      <tp t="s">
        <v>1996-06-26</v>
        <stp/>
        <stp>EM_S_IPO_LISTEDDATE</stp>
        <stp>1</stp>
        <stp>000402</stp>
        <tr r="AT3415" s="1"/>
      </tp>
      <tp t="s">
        <v>2015-03-19</v>
        <stp/>
        <stp>EM_S_IPO_LISTEDDATE</stp>
        <stp>1</stp>
        <stp>300432</stp>
        <tr r="AT180" s="1"/>
      </tp>
      <tp t="s">
        <v>2003-09-03</v>
        <stp/>
        <stp>EM_S_IPO_LISTEDDATE</stp>
        <stp>1</stp>
        <stp>600462</stp>
        <tr r="AT3369" s="1"/>
      </tp>
      <tp t="s">
        <v>2010-05-11</v>
        <stp/>
        <stp>EM_S_IPO_LISTEDDATE</stp>
        <stp>1</stp>
        <stp>002402</stp>
        <tr r="AT144" s="1"/>
      </tp>
      <tp t="s">
        <v>2014-12-03</v>
        <stp/>
        <stp>EM_S_IPO_LISTEDDATE</stp>
        <stp>1</stp>
        <stp>300409</stp>
        <tr r="AT2377" s="1"/>
      </tp>
      <tp t="s">
        <v>2003-05-16</v>
        <stp/>
        <stp>EM_S_IPO_LISTEDDATE</stp>
        <stp>1</stp>
        <stp>600459</stp>
        <tr r="AT755" s="1"/>
      </tp>
      <tp t="s">
        <v>2010-06-23</v>
        <stp/>
        <stp>EM_S_IPO_LISTEDDATE</stp>
        <stp>1</stp>
        <stp>002439</stp>
        <tr r="AT349" s="1"/>
      </tp>
      <tp t="s">
        <v>2014-12-03</v>
        <stp/>
        <stp>EM_S_IPO_LISTEDDATE</stp>
        <stp>1</stp>
        <stp>300408</stp>
        <tr r="AT858" s="1"/>
      </tp>
      <tp t="s">
        <v>2002-12-19</v>
        <stp/>
        <stp>EM_S_IPO_LISTEDDATE</stp>
        <stp>1</stp>
        <stp>600458</stp>
        <tr r="AT2074" s="1"/>
      </tp>
      <tp t="s">
        <v>2010-06-23</v>
        <stp/>
        <stp>EM_S_IPO_LISTEDDATE</stp>
        <stp>1</stp>
        <stp>002438</stp>
        <tr r="AT726" s="1"/>
      </tp>
      <tp t="s">
        <v>2017-08-09</v>
        <stp/>
        <stp>EM_S_IPO_LISTEDDATE</stp>
        <stp>1</stp>
        <stp>603458</stp>
        <tr r="AT3290" s="1"/>
      </tp>
      <tp t="s">
        <v>2014-10-30</v>
        <stp/>
        <stp>EM_S_IPO_LISTEDDATE</stp>
        <stp>1</stp>
        <stp>300405</stp>
        <tr r="AT2766" s="1"/>
      </tp>
      <tp t="s">
        <v>2004-03-29</v>
        <stp/>
        <stp>EM_S_IPO_LISTEDDATE</stp>
        <stp>1</stp>
        <stp>600455</stp>
        <tr r="AT440" s="1"/>
      </tp>
      <tp t="s">
        <v>2010-06-18</v>
        <stp/>
        <stp>EM_S_IPO_LISTEDDATE</stp>
        <stp>1</stp>
        <stp>002435</stp>
        <tr r="AT3162" s="1"/>
      </tp>
      <tp t="s">
        <v>2015-04-24</v>
        <stp/>
        <stp>EM_S_IPO_LISTEDDATE</stp>
        <stp>1</stp>
        <stp>300404</stp>
        <tr r="AT1027" s="1"/>
      </tp>
      <tp t="s">
        <v>2010-06-18</v>
        <stp/>
        <stp>EM_S_IPO_LISTEDDATE</stp>
        <stp>1</stp>
        <stp>002434</stp>
        <tr r="AT706" s="1"/>
      </tp>
      <tp t="s">
        <v>2014-12-03</v>
        <stp/>
        <stp>EM_S_IPO_LISTEDDATE</stp>
        <stp>1</stp>
        <stp>300407</stp>
        <tr r="AT2060" s="1"/>
      </tp>
      <tp t="s">
        <v>2010-06-23</v>
        <stp/>
        <stp>EM_S_IPO_LISTEDDATE</stp>
        <stp>1</stp>
        <stp>002437</stp>
        <tr r="AT1992" s="1"/>
      </tp>
      <tp t="s">
        <v>2014-10-30</v>
        <stp/>
        <stp>EM_S_IPO_LISTEDDATE</stp>
        <stp>1</stp>
        <stp>300406</stp>
        <tr r="AT400" s="1"/>
      </tp>
      <tp t="s">
        <v>2002-04-12</v>
        <stp/>
        <stp>EM_S_IPO_LISTEDDATE</stp>
        <stp>1</stp>
        <stp>600456</stp>
        <tr r="AT393" s="1"/>
      </tp>
      <tp t="s">
        <v>2010-06-18</v>
        <stp/>
        <stp>EM_S_IPO_LISTEDDATE</stp>
        <stp>1</stp>
        <stp>002436</stp>
        <tr r="AT221" s="1"/>
      </tp>
      <tp t="s">
        <v>2014-10-10</v>
        <stp/>
        <stp>EM_S_IPO_LISTEDDATE</stp>
        <stp>1</stp>
        <stp>603456</stp>
        <tr r="AT126" s="1"/>
      </tp>
      <tp t="s">
        <v>2014-10-09</v>
        <stp/>
        <stp>EM_S_IPO_LISTEDDATE</stp>
        <stp>1</stp>
        <stp>300401</stp>
        <tr r="AT2232" s="1"/>
      </tp>
      <tp t="s">
        <v>2010-06-10</v>
        <stp/>
        <stp>EM_S_IPO_LISTEDDATE</stp>
        <stp>1</stp>
        <stp>002431</stp>
        <tr r="AT2936" s="1"/>
      </tp>
      <tp t="s">
        <v>1996-08-29</v>
        <stp/>
        <stp>EM_S_IPO_LISTEDDATE</stp>
        <stp>1</stp>
        <stp>000430</stp>
        <tr r="AT3426" s="1"/>
      </tp>
      <tp t="s">
        <v>2014-10-10</v>
        <stp/>
        <stp>EM_S_IPO_LISTEDDATE</stp>
        <stp>1</stp>
        <stp>300400</stp>
        <tr r="AT2511" s="1"/>
      </tp>
      <tp t="s">
        <v>2010-06-10</v>
        <stp/>
        <stp>EM_S_IPO_LISTEDDATE</stp>
        <stp>1</stp>
        <stp>002430</stp>
        <tr r="AT751" s="1"/>
      </tp>
      <tp t="s">
        <v>2014-10-30</v>
        <stp/>
        <stp>EM_S_IPO_LISTEDDATE</stp>
        <stp>1</stp>
        <stp>300403</stp>
        <tr r="AT2252" s="1"/>
      </tp>
      <tp t="s">
        <v>2010-06-18</v>
        <stp/>
        <stp>EM_S_IPO_LISTEDDATE</stp>
        <stp>1</stp>
        <stp>002433</stp>
        <tr r="AT2500" s="1"/>
      </tp>
      <tp t="s">
        <v>2014-10-10</v>
        <stp/>
        <stp>EM_S_IPO_LISTEDDATE</stp>
        <stp>1</stp>
        <stp>300402</stp>
        <tr r="AT1278" s="1"/>
      </tp>
      <tp t="s">
        <v>2004-03-03</v>
        <stp/>
        <stp>EM_S_IPO_LISTEDDATE</stp>
        <stp>1</stp>
        <stp>600452</stp>
        <tr r="AT1428" s="1"/>
      </tp>
      <tp t="s">
        <v>2010-06-10</v>
        <stp/>
        <stp>EM_S_IPO_LISTEDDATE</stp>
        <stp>1</stp>
        <stp>002432</stp>
        <tr r="AT2464" s="1"/>
      </tp>
      <tp t="s">
        <v>1998-02-20</v>
        <stp/>
        <stp>EM_S_IPO_LISTEDDATE</stp>
        <stp>1</stp>
        <stp>000429</stp>
        <tr r="AT2465" s="1"/>
      </tp>
      <tp t="s">
        <v>2015-01-22</v>
        <stp/>
        <stp>EM_S_IPO_LISTEDDATE</stp>
        <stp>1</stp>
        <stp>300419</stp>
        <tr r="AT1348" s="1"/>
      </tp>
      <tp t="s">
        <v>2003-08-29</v>
        <stp/>
        <stp>EM_S_IPO_LISTEDDATE</stp>
        <stp>1</stp>
        <stp>600449</stp>
        <tr r="AT621" s="1"/>
      </tp>
      <tp t="s">
        <v>2010-06-10</v>
        <stp/>
        <stp>EM_S_IPO_LISTEDDATE</stp>
        <stp>1</stp>
        <stp>002429</stp>
        <tr r="AT242" s="1"/>
      </tp>
      <tp t="s">
        <v>1996-08-08</v>
        <stp/>
        <stp>EM_S_IPO_LISTEDDATE</stp>
        <stp>1</stp>
        <stp>000428</stp>
        <tr r="AT3425" s="1"/>
      </tp>
      <tp t="s">
        <v>2015-01-21</v>
        <stp/>
        <stp>EM_S_IPO_LISTEDDATE</stp>
        <stp>1</stp>
        <stp>300418</stp>
        <tr r="AT889" s="1"/>
      </tp>
      <tp t="s">
        <v>2001-09-03</v>
        <stp/>
        <stp>EM_S_IPO_LISTEDDATE</stp>
        <stp>1</stp>
        <stp>600448</stp>
        <tr r="AT1775" s="1"/>
      </tp>
      <tp t="s">
        <v>2010-06-08</v>
        <stp/>
        <stp>EM_S_IPO_LISTEDDATE</stp>
        <stp>1</stp>
        <stp>002428</stp>
        <tr r="AT268" s="1"/>
      </tp>
      <tp t="s">
        <v>1996-08-28</v>
        <stp/>
        <stp>EM_S_IPO_LISTEDDATE</stp>
        <stp>1</stp>
        <stp>000425</stp>
        <tr r="AT319" s="1"/>
      </tp>
      <tp t="s">
        <v>2015-01-23</v>
        <stp/>
        <stp>EM_S_IPO_LISTEDDATE</stp>
        <stp>1</stp>
        <stp>300415</stp>
        <tr r="AT374" s="1"/>
      </tp>
      <tp t="s">
        <v>2010-06-08</v>
        <stp/>
        <stp>EM_S_IPO_LISTEDDATE</stp>
        <stp>1</stp>
        <stp>002425</stp>
        <tr r="AT2629" s="1"/>
      </tp>
      <tp t="s">
        <v>2015-05-13</v>
        <stp/>
        <stp>EM_S_IPO_LISTEDDATE</stp>
        <stp>1</stp>
        <stp>300414</stp>
        <tr r="AT3089" s="1"/>
      </tp>
      <tp t="s">
        <v>2004-02-19</v>
        <stp/>
        <stp>EM_S_IPO_LISTEDDATE</stp>
        <stp>1</stp>
        <stp>600444</stp>
        <tr r="AT1702" s="1"/>
      </tp>
      <tp t="s">
        <v>2010-06-03</v>
        <stp/>
        <stp>EM_S_IPO_LISTEDDATE</stp>
        <stp>1</stp>
        <stp>002424</stp>
        <tr r="AT2474" s="1"/>
      </tp>
      <tp t="s">
        <v>2017-01-04</v>
        <stp/>
        <stp>EM_S_IPO_LISTEDDATE</stp>
        <stp>1</stp>
        <stp>603444</stp>
        <tr r="AT141" s="1"/>
      </tp>
      <tp t="s">
        <v>2015-01-23</v>
        <stp/>
        <stp>EM_S_IPO_LISTEDDATE</stp>
        <stp>1</stp>
        <stp>300417</stp>
        <tr r="AT56" s="1"/>
      </tp>
      <tp t="s">
        <v>2010-06-08</v>
        <stp/>
        <stp>EM_S_IPO_LISTEDDATE</stp>
        <stp>1</stp>
        <stp>002427</stp>
        <tr r="AT3260" s="1"/>
      </tp>
      <tp t="s">
        <v>1996-08-28</v>
        <stp/>
        <stp>EM_S_IPO_LISTEDDATE</stp>
        <stp>1</stp>
        <stp>000426</stp>
        <tr r="AT2266" s="1"/>
      </tp>
      <tp t="s">
        <v>2015-01-22</v>
        <stp/>
        <stp>EM_S_IPO_LISTEDDATE</stp>
        <stp>1</stp>
        <stp>300416</stp>
        <tr r="AT301" s="1"/>
      </tp>
      <tp t="s">
        <v>2003-12-24</v>
        <stp/>
        <stp>EM_S_IPO_LISTEDDATE</stp>
        <stp>1</stp>
        <stp>600446</stp>
        <tr r="AT127" s="1"/>
      </tp>
      <tp t="s">
        <v>2010-06-08</v>
        <stp/>
        <stp>EM_S_IPO_LISTEDDATE</stp>
        <stp>1</stp>
        <stp>002426</stp>
        <tr r="AT2106" s="1"/>
      </tp>
      <tp t="s">
        <v>1996-08-06</v>
        <stp/>
        <stp>EM_S_IPO_LISTEDDATE</stp>
        <stp>1</stp>
        <stp>000421</stp>
        <tr r="AT3423" s="1"/>
      </tp>
      <tp t="s">
        <v>2014-12-31</v>
        <stp/>
        <stp>EM_S_IPO_LISTEDDATE</stp>
        <stp>1</stp>
        <stp>300411</stp>
        <tr r="AT2490" s="1"/>
      </tp>
      <tp t="s">
        <v>2010-06-03</v>
        <stp/>
        <stp>EM_S_IPO_LISTEDDATE</stp>
        <stp>1</stp>
        <stp>002421</stp>
        <tr r="AT2669" s="1"/>
      </tp>
      <tp t="s">
        <v>1996-08-02</v>
        <stp/>
        <stp>EM_S_IPO_LISTEDDATE</stp>
        <stp>1</stp>
        <stp>000420</stp>
        <tr r="AT1603" s="1"/>
      </tp>
      <tp t="s">
        <v>2014-12-31</v>
        <stp/>
        <stp>EM_S_IPO_LISTEDDATE</stp>
        <stp>1</stp>
        <stp>300410</stp>
        <tr r="AT3396" s="1"/>
      </tp>
      <tp t="s">
        <v>2010-06-01</v>
        <stp/>
        <stp>EM_S_IPO_LISTEDDATE</stp>
        <stp>1</stp>
        <stp>002420</stp>
        <tr r="AT1302" s="1"/>
      </tp>
      <tp t="s">
        <v>1996-07-29</v>
        <stp/>
        <stp>EM_S_IPO_LISTEDDATE</stp>
        <stp>1</stp>
        <stp>000423</stp>
        <tr r="AT3424" s="1"/>
      </tp>
      <tp t="s">
        <v>2015-01-21</v>
        <stp/>
        <stp>EM_S_IPO_LISTEDDATE</stp>
        <stp>1</stp>
        <stp>300413</stp>
        <tr r="AT2612" s="1"/>
      </tp>
      <tp t="s">
        <v>2010-06-03</v>
        <stp/>
        <stp>EM_S_IPO_LISTEDDATE</stp>
        <stp>1</stp>
        <stp>002423</stp>
        <tr r="AT1697" s="1"/>
      </tp>
      <tp t="s">
        <v>1996-08-15</v>
        <stp/>
        <stp>EM_S_IPO_LISTEDDATE</stp>
        <stp>1</stp>
        <stp>000422</stp>
        <tr r="AT2350" s="1"/>
      </tp>
      <tp t="s">
        <v>2014-12-31</v>
        <stp/>
        <stp>EM_S_IPO_LISTEDDATE</stp>
        <stp>1</stp>
        <stp>300412</stp>
        <tr r="AT2243" s="1"/>
      </tp>
      <tp t="s">
        <v>2010-06-03</v>
        <stp/>
        <stp>EM_S_IPO_LISTEDDATE</stp>
        <stp>1</stp>
        <stp>002422</stp>
        <tr r="AT1614" s="1"/>
      </tp>
      <tp t="s">
        <v>2015-06-11</v>
        <stp/>
        <stp>EM_S_IPO_LISTEDDATE</stp>
        <stp>1</stp>
        <stp>300469</stp>
        <tr r="AT2968" s="1"/>
      </tp>
      <tp t="s">
        <v>2003-07-10</v>
        <stp/>
        <stp>EM_S_IPO_LISTEDDATE</stp>
        <stp>1</stp>
        <stp>600439</stp>
        <tr r="AT823" s="1"/>
      </tp>
      <tp t="s">
        <v>2010-08-10</v>
        <stp/>
        <stp>EM_S_IPO_LISTEDDATE</stp>
        <stp>1</stp>
        <stp>002459</stp>
        <tr r="AT871" s="1"/>
      </tp>
      <tp t="s">
        <v>2015-05-27</v>
        <stp/>
        <stp>EM_S_IPO_LISTEDDATE</stp>
        <stp>1</stp>
        <stp>300468</stp>
        <tr r="AT55" s="1"/>
      </tp>
      <tp t="s">
        <v>2004-03-02</v>
        <stp/>
        <stp>EM_S_IPO_LISTEDDATE</stp>
        <stp>1</stp>
        <stp>600438</stp>
        <tr r="AT448" s="1"/>
      </tp>
      <tp t="s">
        <v>2010-08-10</v>
        <stp/>
        <stp>EM_S_IPO_LISTEDDATE</stp>
        <stp>1</stp>
        <stp>002458</stp>
        <tr r="AT190" s="1"/>
      </tp>
      <tp t="s">
        <v>2015-05-28</v>
        <stp/>
        <stp>EM_S_IPO_LISTEDDATE</stp>
        <stp>1</stp>
        <stp>300465</stp>
        <tr r="AT477" s="1"/>
      </tp>
      <tp t="s">
        <v>2003-07-04</v>
        <stp/>
        <stp>EM_S_IPO_LISTEDDATE</stp>
        <stp>1</stp>
        <stp>600435</stp>
        <tr r="AT1564" s="1"/>
      </tp>
      <tp t="s">
        <v>2010-08-03</v>
        <stp/>
        <stp>EM_S_IPO_LISTEDDATE</stp>
        <stp>1</stp>
        <stp>002455</stp>
        <tr r="AT1250" s="1"/>
      </tp>
      <tp t="s">
        <v>2015-06-10</v>
        <stp/>
        <stp>EM_S_IPO_LISTEDDATE</stp>
        <stp>1</stp>
        <stp>300464</stp>
        <tr r="AT195" s="1"/>
      </tp>
      <tp t="s">
        <v>2010-07-20</v>
        <stp/>
        <stp>EM_S_IPO_LISTEDDATE</stp>
        <stp>1</stp>
        <stp>002454</stp>
        <tr r="AT1327" s="1"/>
      </tp>
      <tp t="s">
        <v>2015-05-27</v>
        <stp/>
        <stp>EM_S_IPO_LISTEDDATE</stp>
        <stp>1</stp>
        <stp>300467</stp>
        <tr r="AT2940" s="1"/>
      </tp>
      <tp t="s">
        <v>2010-08-03</v>
        <stp/>
        <stp>EM_S_IPO_LISTEDDATE</stp>
        <stp>1</stp>
        <stp>002457</stp>
        <tr r="AT2255" s="1"/>
      </tp>
      <tp t="s">
        <v>2015-05-28</v>
        <stp/>
        <stp>EM_S_IPO_LISTEDDATE</stp>
        <stp>1</stp>
        <stp>300466</stp>
        <tr r="AT1519" s="1"/>
      </tp>
      <tp t="s">
        <v>2003-06-16</v>
        <stp/>
        <stp>EM_S_IPO_LISTEDDATE</stp>
        <stp>1</stp>
        <stp>600436</stp>
        <tr r="AT1060" s="1"/>
      </tp>
      <tp t="s">
        <v>2010-08-03</v>
        <stp/>
        <stp>EM_S_IPO_LISTEDDATE</stp>
        <stp>1</stp>
        <stp>002456</stp>
        <tr r="AT316" s="1"/>
      </tp>
      <tp t="s">
        <v>2015-05-19</v>
        <stp/>
        <stp>EM_S_IPO_LISTEDDATE</stp>
        <stp>1</stp>
        <stp>300461</stp>
        <tr r="AT1686" s="1"/>
      </tp>
      <tp t="s">
        <v>2010-07-20</v>
        <stp/>
        <stp>EM_S_IPO_LISTEDDATE</stp>
        <stp>1</stp>
        <stp>002451</stp>
        <tr r="AT3095" s="1"/>
      </tp>
      <tp t="s">
        <v>2015-05-15</v>
        <stp/>
        <stp>EM_S_IPO_LISTEDDATE</stp>
        <stp>1</stp>
        <stp>300460</stp>
        <tr r="AT170" s="1"/>
      </tp>
      <tp t="s">
        <v>2010-07-16</v>
        <stp/>
        <stp>EM_S_IPO_LISTEDDATE</stp>
        <stp>1</stp>
        <stp>002450</stp>
        <tr r="AT3380" s="1"/>
      </tp>
      <tp t="s">
        <v>2015-05-28</v>
        <stp/>
        <stp>EM_S_IPO_LISTEDDATE</stp>
        <stp>1</stp>
        <stp>300463</stp>
        <tr r="AT238" s="1"/>
      </tp>
      <tp t="s">
        <v>2003-06-19</v>
        <stp/>
        <stp>EM_S_IPO_LISTEDDATE</stp>
        <stp>1</stp>
        <stp>600433</stp>
        <tr r="AT2625" s="1"/>
      </tp>
      <tp t="s">
        <v>2010-07-20</v>
        <stp/>
        <stp>EM_S_IPO_LISTEDDATE</stp>
        <stp>1</stp>
        <stp>002453</stp>
        <tr r="AT2057" s="1"/>
      </tp>
      <tp t="s">
        <v>2015-05-27</v>
        <stp/>
        <stp>EM_S_IPO_LISTEDDATE</stp>
        <stp>1</stp>
        <stp>300462</stp>
        <tr r="AT369" s="1"/>
      </tp>
      <tp t="s">
        <v>2003-09-05</v>
        <stp/>
        <stp>EM_S_IPO_LISTEDDATE</stp>
        <stp>1</stp>
        <stp>600432</stp>
        <tr r="AT2302" s="1"/>
      </tp>
      <tp t="s">
        <v>2010-07-20</v>
        <stp/>
        <stp>EM_S_IPO_LISTEDDATE</stp>
        <stp>1</stp>
        <stp>002452</stp>
        <tr r="AT763" s="1"/>
      </tp>
      <tp t="s">
        <v>2015-06-12</v>
        <stp/>
        <stp>EM_S_IPO_LISTEDDATE</stp>
        <stp>1</stp>
        <stp>300479</stp>
        <tr r="AT1154" s="1"/>
      </tp>
      <tp t="s">
        <v>2003-09-15</v>
        <stp/>
        <stp>EM_S_IPO_LISTEDDATE</stp>
        <stp>1</stp>
        <stp>600429</stp>
        <tr r="AT2394" s="1"/>
      </tp>
      <tp t="s">
        <v>2010-07-16</v>
        <stp/>
        <stp>EM_S_IPO_LISTEDDATE</stp>
        <stp>1</stp>
        <stp>002449</stp>
        <tr r="AT1099" s="1"/>
      </tp>
      <tp t="s">
        <v>2017-01-24</v>
        <stp/>
        <stp>EM_S_IPO_LISTEDDATE</stp>
        <stp>1</stp>
        <stp>603429</stp>
        <tr r="AT535" s="1"/>
      </tp>
      <tp t="s">
        <v>2015-06-10</v>
        <stp/>
        <stp>EM_S_IPO_LISTEDDATE</stp>
        <stp>1</stp>
        <stp>300478</stp>
        <tr r="AT3004" s="1"/>
      </tp>
      <tp t="s">
        <v>2002-04-18</v>
        <stp/>
        <stp>EM_S_IPO_LISTEDDATE</stp>
        <stp>1</stp>
        <stp>600428</stp>
        <tr r="AT1477" s="1"/>
      </tp>
      <tp t="s">
        <v>2010-07-16</v>
        <stp/>
        <stp>EM_S_IPO_LISTEDDATE</stp>
        <stp>1</stp>
        <stp>002448</stp>
        <tr r="AT2396" s="1"/>
      </tp>
      <tp t="s">
        <v>2015-06-10</v>
        <stp/>
        <stp>EM_S_IPO_LISTEDDATE</stp>
        <stp>1</stp>
        <stp>300475</stp>
        <tr r="AT864" s="1"/>
      </tp>
      <tp t="s">
        <v>2003-07-24</v>
        <stp/>
        <stp>EM_S_IPO_LISTEDDATE</stp>
        <stp>1</stp>
        <stp>600425</stp>
        <tr r="AT935" s="1"/>
      </tp>
      <tp t="s">
        <v>2010-07-13</v>
        <stp/>
        <stp>EM_S_IPO_LISTEDDATE</stp>
        <stp>1</stp>
        <stp>002445</stp>
        <tr r="AT3228" s="1"/>
      </tp>
      <tp t="s">
        <v>2016-03-31</v>
        <stp/>
        <stp>EM_S_IPO_LISTEDDATE</stp>
        <stp>1</stp>
        <stp>300474</stp>
        <tr r="AT392" s="1"/>
      </tp>
      <tp t="s">
        <v>2010-07-13</v>
        <stp/>
        <stp>EM_S_IPO_LISTEDDATE</stp>
        <stp>1</stp>
        <stp>002444</stp>
        <tr r="AT1624" s="1"/>
      </tp>
      <tp t="s">
        <v>2015-06-10</v>
        <stp/>
        <stp>EM_S_IPO_LISTEDDATE</stp>
        <stp>1</stp>
        <stp>300477</stp>
        <tr r="AT3020" s="1"/>
      </tp>
      <tp t="s">
        <v>2010-07-13</v>
        <stp/>
        <stp>EM_S_IPO_LISTEDDATE</stp>
        <stp>1</stp>
        <stp>002447</stp>
        <tr r="AT1388" s="1"/>
      </tp>
      <tp t="s">
        <v>2015-06-11</v>
        <stp/>
        <stp>EM_S_IPO_LISTEDDATE</stp>
        <stp>1</stp>
        <stp>300476</stp>
        <tr r="AT744" s="1"/>
      </tp>
      <tp t="s">
        <v>2002-06-20</v>
        <stp/>
        <stp>EM_S_IPO_LISTEDDATE</stp>
        <stp>1</stp>
        <stp>600426</stp>
        <tr r="AT417" s="1"/>
      </tp>
      <tp t="s">
        <v>2010-07-13</v>
        <stp/>
        <stp>EM_S_IPO_LISTEDDATE</stp>
        <stp>1</stp>
        <stp>002446</stp>
        <tr r="AT1496" s="1"/>
      </tp>
      <tp t="s">
        <v>2015-06-11</v>
        <stp/>
        <stp>EM_S_IPO_LISTEDDATE</stp>
        <stp>1</stp>
        <stp>300471</stp>
        <tr r="AT341" s="1"/>
      </tp>
      <tp t="s">
        <v>2004-06-07</v>
        <stp/>
        <stp>EM_S_IPO_LISTEDDATE</stp>
        <stp>1</stp>
        <stp>600421</stp>
        <tr r="AT1884" s="1"/>
      </tp>
      <tp t="s">
        <v>2010-07-06</v>
        <stp/>
        <stp>EM_S_IPO_LISTEDDATE</stp>
        <stp>1</stp>
        <stp>002441</stp>
        <tr r="AT1561" s="1"/>
      </tp>
      <tp t="s">
        <v>2016-10-11</v>
        <stp/>
        <stp>EM_S_IPO_LISTEDDATE</stp>
        <stp>1</stp>
        <stp>603421</stp>
        <tr r="AT3047" s="1"/>
      </tp>
      <tp t="s">
        <v>2015-06-12</v>
        <stp/>
        <stp>EM_S_IPO_LISTEDDATE</stp>
        <stp>1</stp>
        <stp>300470</stp>
        <tr r="AT1244" s="1"/>
      </tp>
      <tp t="s">
        <v>2004-06-16</v>
        <stp/>
        <stp>EM_S_IPO_LISTEDDATE</stp>
        <stp>1</stp>
        <stp>600420</stp>
        <tr r="AT2530" s="1"/>
      </tp>
      <tp t="s">
        <v>2010-07-06</v>
        <stp/>
        <stp>EM_S_IPO_LISTEDDATE</stp>
        <stp>1</stp>
        <stp>002440</stp>
        <tr r="AT1133" s="1"/>
      </tp>
      <tp t="s">
        <v>2015-06-12</v>
        <stp/>
        <stp>EM_S_IPO_LISTEDDATE</stp>
        <stp>1</stp>
        <stp>300473</stp>
        <tr r="AT898" s="1"/>
      </tp>
      <tp t="s">
        <v>2003-07-17</v>
        <stp/>
        <stp>EM_S_IPO_LISTEDDATE</stp>
        <stp>1</stp>
        <stp>600423</stp>
        <tr r="AT2841" s="1"/>
      </tp>
      <tp t="s">
        <v>2010-07-06</v>
        <stp/>
        <stp>EM_S_IPO_LISTEDDATE</stp>
        <stp>1</stp>
        <stp>002443</stp>
        <tr r="AT1085" s="1"/>
      </tp>
      <tp t="s">
        <v>2015-06-11</v>
        <stp/>
        <stp>EM_S_IPO_LISTEDDATE</stp>
        <stp>1</stp>
        <stp>300472</stp>
        <tr r="AT2439" s="1"/>
      </tp>
      <tp t="s">
        <v>2000-12-06</v>
        <stp/>
        <stp>EM_S_IPO_LISTEDDATE</stp>
        <stp>1</stp>
        <stp>600422</stp>
        <tr r="AT333" s="1"/>
      </tp>
      <tp t="s">
        <v>2010-07-06</v>
        <stp/>
        <stp>EM_S_IPO_LISTEDDATE</stp>
        <stp>1</stp>
        <stp>002442</stp>
        <tr r="AT3101" s="1"/>
      </tp>
      <tp t="s">
        <v>2015-04-22</v>
        <stp/>
        <stp>EM_S_IPO_LISTEDDATE</stp>
        <stp>1</stp>
        <stp>300449</stp>
        <tr r="AT3249" s="1"/>
      </tp>
      <tp t="s">
        <v>2001-06-28</v>
        <stp/>
        <stp>EM_S_IPO_LISTEDDATE</stp>
        <stp>1</stp>
        <stp>600419</stp>
        <tr r="AT2434" s="1"/>
      </tp>
      <tp t="s">
        <v>2010-09-21</v>
        <stp/>
        <stp>EM_S_IPO_LISTEDDATE</stp>
        <stp>1</stp>
        <stp>002479</stp>
        <tr r="AT445" s="1"/>
      </tp>
      <tp t="s">
        <v>2015-04-24</v>
        <stp/>
        <stp>EM_S_IPO_LISTEDDATE</stp>
        <stp>1</stp>
        <stp>300448</stp>
        <tr r="AT3181" s="1"/>
      </tp>
      <tp t="s">
        <v>2001-08-24</v>
        <stp/>
        <stp>EM_S_IPO_LISTEDDATE</stp>
        <stp>1</stp>
        <stp>600418</stp>
        <tr r="AT2111" s="1"/>
      </tp>
      <tp t="s">
        <v>2010-09-21</v>
        <stp/>
        <stp>EM_S_IPO_LISTEDDATE</stp>
        <stp>1</stp>
        <stp>002478</stp>
        <tr r="AT1021" s="1"/>
      </tp>
      <tp t="s">
        <v>2015-04-24</v>
        <stp/>
        <stp>EM_S_IPO_LISTEDDATE</stp>
        <stp>1</stp>
        <stp>300445</stp>
        <tr r="AT314" s="1"/>
      </tp>
      <tp t="s">
        <v>2002-05-09</v>
        <stp/>
        <stp>EM_S_IPO_LISTEDDATE</stp>
        <stp>1</stp>
        <stp>600415</stp>
        <tr r="AT1685" s="1"/>
      </tp>
      <tp t="s">
        <v>2010-09-15</v>
        <stp/>
        <stp>EM_S_IPO_LISTEDDATE</stp>
        <stp>1</stp>
        <stp>002475</stp>
        <tr r="AT81" s="1"/>
      </tp>
      <tp t="s">
        <v>2015-04-23</v>
        <stp/>
        <stp>EM_S_IPO_LISTEDDATE</stp>
        <stp>1</stp>
        <stp>300444</stp>
        <tr r="AT3128" s="1"/>
      </tp>
      <tp t="s">
        <v>2010-09-15</v>
        <stp/>
        <stp>EM_S_IPO_LISTEDDATE</stp>
        <stp>1</stp>
        <stp>002474</stp>
        <tr r="AT779" s="1"/>
      </tp>
      <tp t="s">
        <v>2015-04-22</v>
        <stp/>
        <stp>EM_S_IPO_LISTEDDATE</stp>
        <stp>1</stp>
        <stp>300447</stp>
        <tr r="AT1960" s="1"/>
      </tp>
      <tp t="s">
        <v>2010-09-15</v>
        <stp/>
        <stp>EM_S_IPO_LISTEDDATE</stp>
        <stp>1</stp>
        <stp>002477</stp>
        <tr r="AT3410" s="1"/>
      </tp>
      <tp t="s">
        <v>2015-04-23</v>
        <stp/>
        <stp>EM_S_IPO_LISTEDDATE</stp>
        <stp>1</stp>
        <stp>300446</stp>
        <tr r="AT1334" s="1"/>
      </tp>
      <tp t="s">
        <v>2002-07-18</v>
        <stp/>
        <stp>EM_S_IPO_LISTEDDATE</stp>
        <stp>1</stp>
        <stp>600416</stp>
        <tr r="AT795" s="1"/>
      </tp>
      <tp t="s">
        <v>2010-09-15</v>
        <stp/>
        <stp>EM_S_IPO_LISTEDDATE</stp>
        <stp>1</stp>
        <stp>002476</stp>
        <tr r="AT660" s="1"/>
      </tp>
      <tp t="s">
        <v>2016-12-21</v>
        <stp/>
        <stp>EM_S_IPO_LISTEDDATE</stp>
        <stp>1</stp>
        <stp>603416</stp>
        <tr r="AT745" s="1"/>
      </tp>
      <tp t="s">
        <v>2015-04-23</v>
        <stp/>
        <stp>EM_S_IPO_LISTEDDATE</stp>
        <stp>1</stp>
        <stp>300441</stp>
        <tr r="AT685" s="1"/>
      </tp>
      <tp t="s">
        <v>2010-09-10</v>
        <stp/>
        <stp>EM_S_IPO_LISTEDDATE</stp>
        <stp>1</stp>
        <stp>002471</stp>
        <tr r="AT2871" s="1"/>
      </tp>
      <tp t="s">
        <v>2015-04-23</v>
        <stp/>
        <stp>EM_S_IPO_LISTEDDATE</stp>
        <stp>1</stp>
        <stp>300440</stp>
        <tr r="AT675" s="1"/>
      </tp>
      <tp t="s">
        <v>2004-04-27</v>
        <stp/>
        <stp>EM_S_IPO_LISTEDDATE</stp>
        <stp>1</stp>
        <stp>600410</stp>
        <tr r="AT272" s="1"/>
      </tp>
      <tp t="s">
        <v>2010-09-08</v>
        <stp/>
        <stp>EM_S_IPO_LISTEDDATE</stp>
        <stp>1</stp>
        <stp>002470</stp>
        <tr r="AT3391" s="1"/>
      </tp>
      <tp t="s">
        <v>2015-04-22</v>
        <stp/>
        <stp>EM_S_IPO_LISTEDDATE</stp>
        <stp>1</stp>
        <stp>300443</stp>
        <tr r="AT981" s="1"/>
      </tp>
      <tp t="s">
        <v>2010-09-10</v>
        <stp/>
        <stp>EM_S_IPO_LISTEDDATE</stp>
        <stp>1</stp>
        <stp>002473</stp>
        <tr r="AT797" s="1"/>
      </tp>
      <tp t="s">
        <v>2015-04-24</v>
        <stp/>
        <stp>EM_S_IPO_LISTEDDATE</stp>
        <stp>1</stp>
        <stp>300442</stp>
        <tr r="AT1232" s="1"/>
      </tp>
      <tp t="s">
        <v>2010-09-10</v>
        <stp/>
        <stp>EM_S_IPO_LISTEDDATE</stp>
        <stp>1</stp>
        <stp>002472</stp>
        <tr r="AT2553" s="1"/>
      </tp>
      <tp t="s">
        <v>2015-05-15</v>
        <stp/>
        <stp>EM_S_IPO_LISTEDDATE</stp>
        <stp>1</stp>
        <stp>300459</stp>
        <tr r="AT3387" s="1"/>
      </tp>
      <tp t="s">
        <v>2003-06-18</v>
        <stp/>
        <stp>EM_S_IPO_LISTEDDATE</stp>
        <stp>1</stp>
        <stp>600409</stp>
        <tr r="AT1750" s="1"/>
      </tp>
      <tp t="s">
        <v>2010-09-08</v>
        <stp/>
        <stp>EM_S_IPO_LISTEDDATE</stp>
        <stp>1</stp>
        <stp>002469</stp>
        <tr r="AT1922" s="1"/>
      </tp>
      <tp t="s">
        <v>2015-05-15</v>
        <stp/>
        <stp>EM_S_IPO_LISTEDDATE</stp>
        <stp>1</stp>
        <stp>300458</stp>
        <tr r="AT425" s="1"/>
      </tp>
      <tp t="s">
        <v>2003-02-12</v>
        <stp/>
        <stp>EM_S_IPO_LISTEDDATE</stp>
        <stp>1</stp>
        <stp>600408</stp>
        <tr r="AT2702" s="1"/>
      </tp>
      <tp t="s">
        <v>2010-09-08</v>
        <stp/>
        <stp>EM_S_IPO_LISTEDDATE</stp>
        <stp>1</stp>
        <stp>002468</stp>
        <tr r="AT1355" s="1"/>
      </tp>
      <tp t="s">
        <v>2015-05-15</v>
        <stp/>
        <stp>EM_S_IPO_LISTEDDATE</stp>
        <stp>1</stp>
        <stp>300455</stp>
        <tr r="AT388" s="1"/>
      </tp>
      <tp t="s">
        <v>2004-04-01</v>
        <stp/>
        <stp>EM_S_IPO_LISTEDDATE</stp>
        <stp>1</stp>
        <stp>600405</stp>
        <tr r="AT1472" s="1"/>
      </tp>
      <tp t="s">
        <v>2010-08-31</v>
        <stp/>
        <stp>EM_S_IPO_LISTEDDATE</stp>
        <stp>1</stp>
        <stp>002465</stp>
        <tr r="AT738" s="1"/>
      </tp>
      <tp t="s">
        <v>2018-05-16</v>
        <stp/>
        <stp>EM_S_IPO_LISTEDDATE</stp>
        <stp>1</stp>
        <stp>300454</stp>
        <tr r="AT1028" s="1"/>
      </tp>
      <tp t="s">
        <v>2010-08-31</v>
        <stp/>
        <stp>EM_S_IPO_LISTEDDATE</stp>
        <stp>1</stp>
        <stp>002464</stp>
        <tr r="AT3165" s="1"/>
      </tp>
      <tp t="s">
        <v>2015-05-14</v>
        <stp/>
        <stp>EM_S_IPO_LISTEDDATE</stp>
        <stp>1</stp>
        <stp>300457</stp>
        <tr r="AT1422" s="1"/>
      </tp>
      <tp t="s">
        <v>2010-09-08</v>
        <stp/>
        <stp>EM_S_IPO_LISTEDDATE</stp>
        <stp>1</stp>
        <stp>002467</stp>
        <tr r="AT1888" s="1"/>
      </tp>
      <tp t="s">
        <v>2015-05-14</v>
        <stp/>
        <stp>EM_S_IPO_LISTEDDATE</stp>
        <stp>1</stp>
        <stp>300456</stp>
        <tr r="AT1723" s="1"/>
      </tp>
      <tp t="s">
        <v>2003-10-16</v>
        <stp/>
        <stp>EM_S_IPO_LISTEDDATE</stp>
        <stp>1</stp>
        <stp>600406</stp>
        <tr r="AT1471" s="1"/>
      </tp>
      <tp t="s">
        <v>2010-08-31</v>
        <stp/>
        <stp>EM_S_IPO_LISTEDDATE</stp>
        <stp>1</stp>
        <stp>002466</stp>
        <tr r="AT2482" s="1"/>
      </tp>
      <tp t="s">
        <v>2015-05-14</v>
        <stp/>
        <stp>EM_S_IPO_LISTEDDATE</stp>
        <stp>1</stp>
        <stp>300451</stp>
        <tr r="AT2693" s="1"/>
      </tp>
      <tp t="s">
        <v>2003-09-24</v>
        <stp/>
        <stp>EM_S_IPO_LISTEDDATE</stp>
        <stp>1</stp>
        <stp>600401</stp>
        <tr r="AT3407" s="1"/>
      </tp>
      <tp t="s">
        <v>2010-08-18</v>
        <stp/>
        <stp>EM_S_IPO_LISTEDDATE</stp>
        <stp>1</stp>
        <stp>002461</stp>
        <tr r="AT428" s="1"/>
      </tp>
      <tp t="s">
        <v>2015-05-18</v>
        <stp/>
        <stp>EM_S_IPO_LISTEDDATE</stp>
        <stp>1</stp>
        <stp>300450</stp>
        <tr r="AT468" s="1"/>
      </tp>
      <tp t="s">
        <v>2001-01-08</v>
        <stp/>
        <stp>EM_S_IPO_LISTEDDATE</stp>
        <stp>1</stp>
        <stp>600400</stp>
        <tr r="AT2812" s="1"/>
      </tp>
      <tp t="s">
        <v>2010-08-10</v>
        <stp/>
        <stp>EM_S_IPO_LISTEDDATE</stp>
        <stp>1</stp>
        <stp>002460</stp>
        <tr r="AT490" s="1"/>
      </tp>
      <tp t="s">
        <v>2015-05-15</v>
        <stp/>
        <stp>EM_S_IPO_LISTEDDATE</stp>
        <stp>1</stp>
        <stp>300453</stp>
        <tr r="AT3248" s="1"/>
      </tp>
      <tp t="s">
        <v>2003-10-09</v>
        <stp/>
        <stp>EM_S_IPO_LISTEDDATE</stp>
        <stp>1</stp>
        <stp>600403</stp>
        <tr r="AT1468" s="1"/>
      </tp>
      <tp t="s">
        <v>2010-08-18</v>
        <stp/>
        <stp>EM_S_IPO_LISTEDDATE</stp>
        <stp>1</stp>
        <stp>002463</stp>
        <tr r="AT42" s="1"/>
      </tp>
      <tp t="s">
        <v>2015-05-15</v>
        <stp/>
        <stp>EM_S_IPO_LISTEDDATE</stp>
        <stp>1</stp>
        <stp>300452</stp>
        <tr r="AT1739" s="1"/>
      </tp>
      <tp t="s">
        <v>2010-08-18</v>
        <stp/>
        <stp>EM_S_IPO_LISTEDDATE</stp>
        <stp>1</stp>
        <stp>002462</stp>
        <tr r="AT1795" s="1"/>
      </tp>
      <tp>
        <v>0.45051824117200001</v>
        <stp/>
        <stp>EM_S_FA_ASSETSTURN</stp>
        <stp>3</stp>
        <stp>300398</stp>
        <stp>12/31/2018</stp>
        <stp>1</stp>
        <tr r="K2573" s="1"/>
      </tp>
      <tp>
        <v>0.66505908755900001</v>
        <stp/>
        <stp>EM_S_FA_ASSETSTURN</stp>
        <stp>3</stp>
        <stp>300298</stp>
        <stp>12/31/2018</stp>
        <stp>1</stp>
        <tr r="K742" s="1"/>
      </tp>
      <tp>
        <v>0.36006022063499998</v>
        <stp/>
        <stp>EM_S_FA_ASSETSTURN</stp>
        <stp>3</stp>
        <stp>300198</stp>
        <stp>12/31/2018</stp>
        <stp>1</stp>
        <tr r="K522" s="1"/>
      </tp>
      <tp>
        <v>0.44866203740900001</v>
        <stp/>
        <stp>EM_S_FA_ASSETSTURN</stp>
        <stp>3</stp>
        <stp>300098</stp>
        <stp>12/31/2018</stp>
        <stp>1</stp>
        <tr r="K2821" s="1"/>
      </tp>
      <tp>
        <v>0.496520772158</v>
        <stp/>
        <stp>EM_S_FA_ASSETSTURN</stp>
        <stp>3</stp>
        <stp>300698</stp>
        <stp>12/31/2018</stp>
        <stp>1</stp>
        <tr r="K2793" s="1"/>
      </tp>
      <tp>
        <v>0.94121973434700001</v>
        <stp/>
        <stp>EM_S_FA_ASSETSTURN</stp>
        <stp>3</stp>
        <stp>300598</stp>
        <stp>12/31/2018</stp>
        <stp>1</stp>
        <tr r="K16" s="1"/>
      </tp>
      <tp>
        <v>1.111647503523</v>
        <stp/>
        <stp>EM_S_FA_ASSETSTURN</stp>
        <stp>3</stp>
        <stp>300498</stp>
        <stp>12/31/2018</stp>
        <stp>1</stp>
        <tr r="K1017" s="1"/>
      </tp>
      <tp>
        <v>0.66019943019600003</v>
        <stp/>
        <stp>EM_S_FA_ASSETSTURN</stp>
        <stp>3</stp>
        <stp>300399</stp>
        <stp>12/31/2018</stp>
        <stp>1</stp>
        <tr r="K472" s="1"/>
      </tp>
      <tp>
        <v>0.24157922565500001</v>
        <stp/>
        <stp>EM_S_FA_ASSETSTURN</stp>
        <stp>3</stp>
        <stp>300299</stp>
        <stp>12/31/2018</stp>
        <stp>1</stp>
        <tr r="K2152" s="1"/>
      </tp>
      <tp>
        <v>0.230773732738</v>
        <stp/>
        <stp>EM_S_FA_ASSETSTURN</stp>
        <stp>3</stp>
        <stp>300199</stp>
        <stp>12/31/2018</stp>
        <stp>1</stp>
        <tr r="K3302" s="1"/>
      </tp>
      <tp>
        <v>0.23171168258200001</v>
        <stp/>
        <stp>EM_S_FA_ASSETSTURN</stp>
        <stp>3</stp>
        <stp>300099</stp>
        <stp>12/31/2018</stp>
        <stp>1</stp>
        <tr r="K551" s="1"/>
      </tp>
      <tp>
        <v>0.40322478101800002</v>
        <stp/>
        <stp>EM_S_FA_ASSETSTURN</stp>
        <stp>3</stp>
        <stp>300699</stp>
        <stp>12/31/2018</stp>
        <stp>1</stp>
        <tr r="K995" s="1"/>
      </tp>
      <tp>
        <v>1.0825981043390001</v>
        <stp/>
        <stp>EM_S_FA_ASSETSTURN</stp>
        <stp>3</stp>
        <stp>300599</stp>
        <stp>12/31/2018</stp>
        <stp>1</stp>
        <tr r="K2093" s="1"/>
      </tp>
      <tp>
        <v>0.553023708758</v>
        <stp/>
        <stp>EM_S_FA_ASSETSTURN</stp>
        <stp>3</stp>
        <stp>300499</stp>
        <stp>12/31/2018</stp>
        <stp>1</stp>
        <tr r="K3080" s="1"/>
      </tp>
      <tp>
        <v>1.23853153309882</v>
        <stp/>
        <stp>EM_S_RATIO_EPS_TTM</stp>
        <stp>3</stp>
        <stp>603179</stp>
        <stp>12/31/2018</stp>
        <stp>1</stp>
        <tr r="U1445" s="1"/>
      </tp>
      <tp>
        <v>0.39771808544642856</v>
        <stp/>
        <stp>EM_S_RATIO_EPS_TTM</stp>
        <stp>3</stp>
        <stp>603079</stp>
        <stp>12/31/2018</stp>
        <stp>1</stp>
        <tr r="U90" s="1"/>
      </tp>
      <tp>
        <v>1.7800734205714286</v>
        <stp/>
        <stp>EM_S_RATIO_EPS_TTM</stp>
        <stp>3</stp>
        <stp>603579</stp>
        <stp>12/31/2018</stp>
        <stp>1</stp>
        <tr r="U1908" s="1"/>
      </tp>
      <tp>
        <v>0.22486862159407286</v>
        <stp/>
        <stp>EM_S_RATIO_EPS_TTM</stp>
        <stp>3</stp>
        <stp>603779</stp>
        <stp>12/31/2018</stp>
        <stp>1</stp>
        <tr r="U3383" s="1"/>
      </tp>
      <tp>
        <v>0.69854924725220324</v>
        <stp/>
        <stp>EM_S_RATIO_EPS_TTM</stp>
        <stp>3</stp>
        <stp>603679</stp>
        <stp>12/31/2018</stp>
        <stp>1</stp>
        <tr r="U247" s="1"/>
      </tp>
      <tp>
        <v>0.49816925451282051</v>
        <stp/>
        <stp>EM_S_RATIO_EPS_TTM</stp>
        <stp>3</stp>
        <stp>603979</stp>
        <stp>12/31/2018</stp>
        <stp>1</stp>
        <tr r="U1297" s="1"/>
      </tp>
      <tp>
        <v>0.25982811729166666</v>
        <stp/>
        <stp>EM_S_RATIO_EPS_TTM</stp>
        <stp>3</stp>
        <stp>603879</stp>
        <stp>12/31/2018</stp>
        <stp>1</stp>
        <tr r="U1251" s="1"/>
      </tp>
      <tp>
        <v>0.27794309740889567</v>
        <stp/>
        <stp>EM_S_RATIO_EPS_TTM</stp>
        <stp>3</stp>
        <stp>002119</stp>
        <stp>12/31/2018</stp>
        <stp>1</stp>
        <tr r="U493" s="1"/>
      </tp>
      <tp>
        <v>0.61097948749089526</v>
        <stp/>
        <stp>EM_S_RATIO_EPS_TTM</stp>
        <stp>3</stp>
        <stp>002019</stp>
        <stp>12/31/2018</stp>
        <stp>1</stp>
        <tr r="U581" s="1"/>
      </tp>
      <tp>
        <v>-0.16872987550000001</v>
        <stp/>
        <stp>EM_S_RATIO_EPS_TTM</stp>
        <stp>3</stp>
        <stp>002319</stp>
        <stp>12/31/2018</stp>
        <stp>1</stp>
        <tr r="U3323" s="1"/>
      </tp>
      <tp>
        <v>-0.76012761733374468</v>
        <stp/>
        <stp>EM_S_RATIO_EPS_TTM</stp>
        <stp>3</stp>
        <stp>002219</stp>
        <stp>12/31/2018</stp>
        <stp>1</stp>
        <tr r="U3232" s="1"/>
      </tp>
      <tp>
        <v>-1.0356874643277052</v>
        <stp/>
        <stp>EM_S_RATIO_EPS_TTM</stp>
        <stp>3</stp>
        <stp>002519</stp>
        <stp>12/31/2018</stp>
        <stp>1</stp>
        <tr r="U1671" s="1"/>
      </tp>
      <tp>
        <v>0.75346431772056977</v>
        <stp/>
        <stp>EM_S_RATIO_EPS_TTM</stp>
        <stp>3</stp>
        <stp>002419</stp>
        <stp>12/31/2018</stp>
        <stp>1</stp>
        <tr r="U2535" s="1"/>
      </tp>
      <tp>
        <v>-0.88508980529323689</v>
        <stp/>
        <stp>EM_S_RATIO_EPS_TTM</stp>
        <stp>3</stp>
        <stp>002719</stp>
        <stp>12/31/2018</stp>
        <stp>1</stp>
        <tr r="U2151" s="1"/>
      </tp>
      <tp>
        <v>0.36299913639424636</v>
        <stp/>
        <stp>EM_S_RATIO_EPS_TTM</stp>
        <stp>3</stp>
        <stp>002619</stp>
        <stp>12/31/2018</stp>
        <stp>1</stp>
        <tr r="U2620" s="1"/>
      </tp>
      <tp>
        <v>0.36427587292319707</v>
        <stp/>
        <stp>EM_S_RATIO_EPS_TTM</stp>
        <stp>3</stp>
        <stp>002919</stp>
        <stp>12/31/2018</stp>
        <stp>1</stp>
        <tr r="U3159" s="1"/>
      </tp>
      <tp>
        <v>0.41123287810958375</v>
        <stp/>
        <stp>EM_S_RATIO_EPS_TTM</stp>
        <stp>3</stp>
        <stp>002819</stp>
        <stp>12/31/2018</stp>
        <stp>1</stp>
        <tr r="U1242" s="1"/>
      </tp>
      <tp>
        <v>0.11104475838738484</v>
        <stp/>
        <stp>EM_S_RATIO_EPS_TTM</stp>
        <stp>3</stp>
        <stp>601179</stp>
        <stp>12/31/2018</stp>
        <stp>1</stp>
        <tr r="U1813" s="1"/>
      </tp>
      <tp>
        <v>0.35756992285266209</v>
        <stp/>
        <stp>EM_S_RATIO_EPS_TTM</stp>
        <stp>3</stp>
        <stp>601579</stp>
        <stp>12/31/2018</stp>
        <stp>1</stp>
        <tr r="U2532" s="1"/>
      </tp>
      <tp>
        <v>1.4643463228650112E-2</v>
        <stp/>
        <stp>EM_S_RATIO_EPS_TTM</stp>
        <stp>3</stp>
        <stp>300129</stp>
        <stp>12/31/2018</stp>
        <stp>1</stp>
        <tr r="U310" s="1"/>
      </tp>
      <tp>
        <v>0.33054492616330999</v>
        <stp/>
        <stp>EM_S_RATIO_EPS_TTM</stp>
        <stp>3</stp>
        <stp>600179</stp>
        <stp>12/31/2018</stp>
        <stp>1</stp>
        <tr r="U3223" s="1"/>
      </tp>
      <tp>
        <v>0.26752416585080874</v>
        <stp/>
        <stp>EM_S_RATIO_EPS_TTM</stp>
        <stp>3</stp>
        <stp>000019</stp>
        <stp>12/31/2018</stp>
        <stp>1</stp>
        <tr r="U2891" s="1"/>
      </tp>
      <tp>
        <v>-0.67940527025000008</v>
        <stp/>
        <stp>EM_S_RATIO_EPS_TTM</stp>
        <stp>3</stp>
        <stp>300029</stp>
        <stp>12/31/2018</stp>
        <stp>1</stp>
        <tr r="U944" s="1"/>
      </tp>
      <tp>
        <v>-1.7417003882802169</v>
        <stp/>
        <stp>EM_S_RATIO_EPS_TTM</stp>
        <stp>3</stp>
        <stp>600079</stp>
        <stp>12/31/2018</stp>
        <stp>1</stp>
        <tr r="U1010" s="1"/>
      </tp>
      <tp>
        <v>0.21492826501148043</v>
        <stp/>
        <stp>EM_S_RATIO_EPS_TTM</stp>
        <stp>3</stp>
        <stp>300329</stp>
        <stp>12/31/2018</stp>
        <stp>1</stp>
        <tr r="U1174" s="1"/>
      </tp>
      <tp>
        <v>0.16308739931346902</v>
        <stp/>
        <stp>EM_S_RATIO_EPS_TTM</stp>
        <stp>3</stp>
        <stp>600379</stp>
        <stp>12/31/2018</stp>
        <stp>1</stp>
        <tr r="U2976" s="1"/>
      </tp>
      <tp>
        <v>0.12838396763138951</v>
        <stp/>
        <stp>EM_S_RATIO_EPS_TTM</stp>
        <stp>3</stp>
        <stp>300229</stp>
        <stp>12/31/2018</stp>
        <stp>1</stp>
        <tr r="U529" s="1"/>
      </tp>
      <tp>
        <v>0.19608266991753151</v>
        <stp/>
        <stp>EM_S_RATIO_EPS_TTM</stp>
        <stp>3</stp>
        <stp>600279</stp>
        <stp>12/31/2018</stp>
        <stp>1</stp>
        <tr r="U1653" s="1"/>
      </tp>
      <tp>
        <v>0.24737432714620025</v>
        <stp/>
        <stp>EM_S_RATIO_EPS_TTM</stp>
        <stp>3</stp>
        <stp>000519</stp>
        <stp>12/31/2018</stp>
        <stp>1</stp>
        <tr r="U1223" s="1"/>
      </tp>
      <tp>
        <v>0.96334208806516852</v>
        <stp/>
        <stp>EM_S_RATIO_EPS_TTM</stp>
        <stp>3</stp>
        <stp>300529</stp>
        <stp>12/31/2018</stp>
        <stp>1</stp>
        <tr r="U323" s="1"/>
      </tp>
      <tp>
        <v>0.46443469633341283</v>
        <stp/>
        <stp>EM_S_RATIO_EPS_TTM</stp>
        <stp>3</stp>
        <stp>600579</stp>
        <stp>12/31/2018</stp>
        <stp>1</stp>
        <tr r="U3071" s="1"/>
      </tp>
      <tp>
        <v>0.26018182325924288</v>
        <stp/>
        <stp>EM_S_RATIO_EPS_TTM</stp>
        <stp>3</stp>
        <stp>000419</stp>
        <stp>12/31/2018</stp>
        <stp>1</stp>
        <tr r="U3422" s="1"/>
      </tp>
      <tp>
        <v>0.54042787644851609</v>
        <stp/>
        <stp>EM_S_RATIO_EPS_TTM</stp>
        <stp>3</stp>
        <stp>300429</stp>
        <stp>12/31/2018</stp>
        <stp>1</stp>
        <tr r="U3351" s="1"/>
      </tp>
      <tp>
        <v>0.61015761901607046</v>
        <stp/>
        <stp>EM_S_RATIO_EPS_TTM</stp>
        <stp>3</stp>
        <stp>600479</stp>
        <stp>12/31/2018</stp>
        <stp>1</stp>
        <tr r="U1683" s="1"/>
      </tp>
      <tp>
        <v>0.71757830329255368</v>
        <stp/>
        <stp>EM_S_RATIO_EPS_TTM</stp>
        <stp>3</stp>
        <stp>000719</stp>
        <stp>12/31/2018</stp>
        <stp>1</stp>
        <tr r="U2726" s="1"/>
      </tp>
      <tp>
        <v>0.6589665370647102</v>
        <stp/>
        <stp>EM_S_RATIO_EPS_TTM</stp>
        <stp>3</stp>
        <stp>300729</stp>
        <stp>12/31/2018</stp>
        <stp>1</stp>
        <tr r="U1886" s="1"/>
      </tp>
      <tp>
        <v>1.1860710335433147</v>
        <stp/>
        <stp>EM_S_RATIO_EPS_TTM</stp>
        <stp>3</stp>
        <stp>600779</stp>
        <stp>12/31/2018</stp>
        <stp>1</stp>
        <tr r="U355" s="1"/>
      </tp>
      <tp>
        <v>2.6952040194444447E-2</v>
        <stp/>
        <stp>EM_S_RATIO_EPS_TTM</stp>
        <stp>3</stp>
        <stp>000619</stp>
        <stp>12/31/2018</stp>
        <stp>1</stp>
        <tr r="U1623" s="1"/>
      </tp>
      <tp>
        <v>8.1891195554402232E-2</v>
        <stp/>
        <stp>EM_S_RATIO_EPS_TTM</stp>
        <stp>3</stp>
        <stp>300629</stp>
        <stp>12/31/2018</stp>
        <stp>1</stp>
        <tr r="U1628" s="1"/>
      </tp>
      <tp>
        <v>5.0174599238818993E-2</v>
        <stp/>
        <stp>EM_S_RATIO_EPS_TTM</stp>
        <stp>3</stp>
        <stp>600679</stp>
        <stp>12/31/2018</stp>
        <stp>1</stp>
        <tr r="U1214" s="1"/>
      </tp>
      <tp>
        <v>0.47973586672619051</v>
        <stp/>
        <stp>EM_S_RATIO_EPS_TTM</stp>
        <stp>3</stp>
        <stp>000919</stp>
        <stp>12/31/2018</stp>
        <stp>1</stp>
        <tr r="U3576" s="1"/>
      </tp>
      <tp>
        <v>0.26553447715769973</v>
        <stp/>
        <stp>EM_S_RATIO_EPS_TTM</stp>
        <stp>3</stp>
        <stp>600979</stp>
        <stp>12/31/2018</stp>
        <stp>1</stp>
        <tr r="U2045" s="1"/>
      </tp>
      <tp>
        <v>0.19191418698664139</v>
        <stp/>
        <stp>EM_S_RATIO_EPS_TTM</stp>
        <stp>3</stp>
        <stp>000819</stp>
        <stp>12/31/2018</stp>
        <stp>1</stp>
        <tr r="U2694" s="1"/>
      </tp>
      <tp>
        <v>0.16796775412496873</v>
        <stp/>
        <stp>EM_S_RATIO_EPS_TTM</stp>
        <stp>3</stp>
        <stp>600879</stp>
        <stp>12/31/2018</stp>
        <stp>1</stp>
        <tr r="U1674" s="1"/>
      </tp>
      <tp>
        <v>0.18763625436740317</v>
        <stp/>
        <stp>EM_S_RATIO_EPS_TTM</stp>
        <stp>3</stp>
        <stp>603178</stp>
        <stp>12/31/2018</stp>
        <stp>1</stp>
        <tr r="U1243" s="1"/>
      </tp>
      <tp>
        <v>0.47527503214285716</v>
        <stp/>
        <stp>EM_S_RATIO_EPS_TTM</stp>
        <stp>3</stp>
        <stp>603078</stp>
        <stp>12/31/2018</stp>
        <stp>1</stp>
        <tr r="U1260" s="1"/>
      </tp>
      <tp>
        <v>0.30149967926078031</v>
        <stp/>
        <stp>EM_S_RATIO_EPS_TTM</stp>
        <stp>3</stp>
        <stp>603378</stp>
        <stp>12/31/2018</stp>
        <stp>1</stp>
        <tr r="U357" s="1"/>
      </tp>
      <tp>
        <v>0.9873116055769231</v>
        <stp/>
        <stp>EM_S_RATIO_EPS_TTM</stp>
        <stp>3</stp>
        <stp>603278</stp>
        <stp>12/31/2018</stp>
        <stp>1</stp>
        <tr r="U3255" s="1"/>
      </tp>
      <tp>
        <v>0.6706015185929648</v>
        <stp/>
        <stp>EM_S_RATIO_EPS_TTM</stp>
        <stp>3</stp>
        <stp>603578</stp>
        <stp>12/31/2018</stp>
        <stp>1</stp>
        <tr r="U1869" s="1"/>
      </tp>
      <tp>
        <v>-1.2497659619999999E-2</v>
        <stp/>
        <stp>EM_S_RATIO_EPS_TTM</stp>
        <stp>3</stp>
        <stp>603778</stp>
        <stp>12/31/2018</stp>
        <stp>1</stp>
        <tr r="U2264" s="1"/>
      </tp>
      <tp>
        <v>0.7360308730974795</v>
        <stp/>
        <stp>EM_S_RATIO_EPS_TTM</stp>
        <stp>3</stp>
        <stp>603678</stp>
        <stp>12/31/2018</stp>
        <stp>1</stp>
        <tr r="U631" s="1"/>
      </tp>
      <tp>
        <v>0.78185797806250001</v>
        <stp/>
        <stp>EM_S_RATIO_EPS_TTM</stp>
        <stp>3</stp>
        <stp>603978</stp>
        <stp>12/31/2018</stp>
        <stp>1</stp>
        <tr r="U780" s="1"/>
      </tp>
      <tp>
        <v>0.97390258234997229</v>
        <stp/>
        <stp>EM_S_RATIO_EPS_TTM</stp>
        <stp>3</stp>
        <stp>603878</stp>
        <stp>12/31/2018</stp>
        <stp>1</stp>
        <tr r="U2363" s="1"/>
      </tp>
      <tp>
        <v>0.13591318441307823</v>
        <stp/>
        <stp>EM_S_RATIO_EPS_TTM</stp>
        <stp>3</stp>
        <stp>002118</stp>
        <stp>12/31/2018</stp>
        <stp>1</stp>
        <tr r="U754" s="1"/>
      </tp>
      <tp>
        <v>-0.53140538362962952</v>
        <stp/>
        <stp>EM_S_RATIO_EPS_TTM</stp>
        <stp>3</stp>
        <stp>002018</stp>
        <stp>12/31/2018</stp>
        <stp>1</stp>
        <tr r="U3608" s="1"/>
      </tp>
      <tp>
        <v>0.36081894977305634</v>
        <stp/>
        <stp>EM_S_RATIO_EPS_TTM</stp>
        <stp>3</stp>
        <stp>002318</stp>
        <stp>12/31/2018</stp>
        <stp>1</stp>
        <tr r="U566" s="1"/>
      </tp>
      <tp>
        <v>7.1915703851172894E-2</v>
        <stp/>
        <stp>EM_S_RATIO_EPS_TTM</stp>
        <stp>3</stp>
        <stp>002218</stp>
        <stp>12/31/2018</stp>
        <stp>1</stp>
        <tr r="U1748" s="1"/>
      </tp>
      <tp>
        <v>0.39504069540294107</v>
        <stp/>
        <stp>EM_S_RATIO_EPS_TTM</stp>
        <stp>3</stp>
        <stp>002518</stp>
        <stp>12/31/2018</stp>
        <stp>1</stp>
        <tr r="U588" s="1"/>
      </tp>
      <tp>
        <v>-1.0795993481256601</v>
        <stp/>
        <stp>EM_S_RATIO_EPS_TTM</stp>
        <stp>3</stp>
        <stp>002418</stp>
        <stp>12/31/2018</stp>
        <stp>1</stp>
        <tr r="U2643" s="1"/>
      </tp>
      <tp>
        <v>1.1914080312045321</v>
        <stp/>
        <stp>EM_S_RATIO_EPS_TTM</stp>
        <stp>3</stp>
        <stp>002718</stp>
        <stp>12/31/2018</stp>
        <stp>1</stp>
        <tr r="U3310" s="1"/>
      </tp>
      <tp>
        <v>4.6384898853847278E-2</v>
        <stp/>
        <stp>EM_S_RATIO_EPS_TTM</stp>
        <stp>3</stp>
        <stp>002618</stp>
        <stp>12/31/2018</stp>
        <stp>1</stp>
        <tr r="U2739" s="1"/>
      </tp>
      <tp>
        <v>1.5317611700481868</v>
        <stp/>
        <stp>EM_S_RATIO_EPS_TTM</stp>
        <stp>3</stp>
        <stp>002918</stp>
        <stp>12/31/2018</stp>
        <stp>1</stp>
        <tr r="U1272" s="1"/>
      </tp>
      <tp>
        <v>1.6518182786032538</v>
        <stp/>
        <stp>EM_S_RATIO_EPS_TTM</stp>
        <stp>3</stp>
        <stp>002818</stp>
        <stp>12/31/2018</stp>
        <stp>1</stp>
        <tr r="U3300" s="1"/>
      </tp>
      <tp>
        <v>0.45441330385910389</v>
        <stp/>
        <stp>EM_S_RATIO_EPS_TTM</stp>
        <stp>3</stp>
        <stp>601678</stp>
        <stp>12/31/2018</stp>
        <stp>1</stp>
        <tr r="U1202" s="1"/>
      </tp>
      <tp>
        <v>0.22108720294225595</v>
        <stp/>
        <stp>EM_S_RATIO_EPS_TTM</stp>
        <stp>3</stp>
        <stp>601878</stp>
        <stp>12/31/2018</stp>
        <stp>1</stp>
        <tr r="U466" s="1"/>
      </tp>
      <tp>
        <v>-0.75262760867680745</v>
        <stp/>
        <stp>EM_S_RATIO_EPS_TTM</stp>
        <stp>3</stp>
        <stp>300128</stp>
        <stp>12/31/2018</stp>
        <stp>1</stp>
        <tr r="U1612" s="1"/>
      </tp>
      <tp>
        <v>1.2053503700657895E-2</v>
        <stp/>
        <stp>EM_S_RATIO_EPS_TTM</stp>
        <stp>3</stp>
        <stp>600178</stp>
        <stp>12/31/2018</stp>
        <stp>1</stp>
        <tr r="U1550" s="1"/>
      </tp>
      <tp>
        <v>-1.0038243747856945</v>
        <stp/>
        <stp>EM_S_RATIO_EPS_TTM</stp>
        <stp>3</stp>
        <stp>000018</stp>
        <stp>12/31/2018</stp>
        <stp>1</stp>
        <tr r="U3409" s="1"/>
      </tp>
      <tp>
        <v>-6.7465480056980054E-2</v>
        <stp/>
        <stp>EM_S_RATIO_EPS_TTM</stp>
        <stp>3</stp>
        <stp>300028</stp>
        <stp>12/31/2018</stp>
        <stp>1</stp>
        <tr r="U2280" s="1"/>
      </tp>
      <tp>
        <v>2.9179568388630395E-2</v>
        <stp/>
        <stp>EM_S_RATIO_EPS_TTM</stp>
        <stp>3</stp>
        <stp>600078</stp>
        <stp>12/31/2018</stp>
        <stp>1</stp>
        <tr r="U391" s="1"/>
      </tp>
      <tp>
        <v>0.11776000889888469</v>
        <stp/>
        <stp>EM_S_RATIO_EPS_TTM</stp>
        <stp>3</stp>
        <stp>300328</stp>
        <stp>12/31/2018</stp>
        <stp>1</stp>
        <tr r="U97" s="1"/>
      </tp>
      <tp>
        <v>0.62688797576271937</v>
        <stp/>
        <stp>EM_S_RATIO_EPS_TTM</stp>
        <stp>3</stp>
        <stp>600378</stp>
        <stp>12/31/2018</stp>
        <stp>1</stp>
        <tr r="U132" s="1"/>
      </tp>
      <tp>
        <v>2.7029777109799435E-2</v>
        <stp/>
        <stp>EM_S_RATIO_EPS_TTM</stp>
        <stp>3</stp>
        <stp>300228</stp>
        <stp>12/31/2018</stp>
        <stp>1</stp>
        <tr r="U1991" s="1"/>
      </tp>
      <tp>
        <v>0.29041703621854709</v>
        <stp/>
        <stp>EM_S_RATIO_EPS_TTM</stp>
        <stp>3</stp>
        <stp>600278</stp>
        <stp>12/31/2018</stp>
        <stp>1</stp>
        <tr r="U923" s="1"/>
      </tp>
      <tp>
        <v>-2.8594446141864023E-2</v>
        <stp/>
        <stp>EM_S_RATIO_EPS_TTM</stp>
        <stp>3</stp>
        <stp>000518</stp>
        <stp>12/31/2018</stp>
        <stp>1</stp>
        <tr r="U3441" s="1"/>
      </tp>
      <tp>
        <v>-1.426983074821029</v>
        <stp/>
        <stp>EM_S_RATIO_EPS_TTM</stp>
        <stp>3</stp>
        <stp>300528</stp>
        <stp>12/31/2018</stp>
        <stp>1</stp>
        <tr r="U3044" s="1"/>
      </tp>
      <tp>
        <v>0.13216002066079241</v>
        <stp/>
        <stp>EM_S_RATIO_EPS_TTM</stp>
        <stp>3</stp>
        <stp>600578</stp>
        <stp>12/31/2018</stp>
        <stp>1</stp>
        <tr r="U1962" s="1"/>
      </tp>
      <tp>
        <v>2.9446556349349393</v>
        <stp/>
        <stp>EM_S_RATIO_EPS_TTM</stp>
        <stp>3</stp>
        <stp>000418</stp>
        <stp>12/31/2018</stp>
        <stp>1</stp>
        <tr r="U870" s="1"/>
      </tp>
      <tp>
        <v>1.341378893461221</v>
        <stp/>
        <stp>EM_S_RATIO_EPS_TTM</stp>
        <stp>3</stp>
        <stp>300428</stp>
        <stp>12/31/2018</stp>
        <stp>1</stp>
        <tr r="U1051" s="1"/>
      </tp>
      <tp>
        <v>1.4779139870819269E-2</v>
        <stp/>
        <stp>EM_S_RATIO_EPS_TTM</stp>
        <stp>3</stp>
        <stp>600478</stp>
        <stp>12/31/2018</stp>
        <stp>1</stp>
        <tr r="U1797" s="1"/>
      </tp>
      <tp>
        <v>0.33633394621884294</v>
        <stp/>
        <stp>EM_S_RATIO_EPS_TTM</stp>
        <stp>3</stp>
        <stp>000718</stp>
        <stp>12/31/2018</stp>
        <stp>1</stp>
        <tr r="U3519" s="1"/>
      </tp>
      <tp>
        <v>0.46156009677777776</v>
        <stp/>
        <stp>EM_S_RATIO_EPS_TTM</stp>
        <stp>3</stp>
        <stp>300728</stp>
        <stp>12/31/2018</stp>
        <stp>1</stp>
        <tr r="U11" s="1"/>
      </tp>
      <tp>
        <v>0.11608771385730156</v>
        <stp/>
        <stp>EM_S_RATIO_EPS_TTM</stp>
        <stp>3</stp>
        <stp>600778</stp>
        <stp>12/31/2018</stp>
        <stp>1</stp>
        <tr r="U1299" s="1"/>
      </tp>
      <tp>
        <v>0.72274745175477761</v>
        <stp/>
        <stp>EM_S_RATIO_EPS_TTM</stp>
        <stp>3</stp>
        <stp>000618</stp>
        <stp>12/31/2018</stp>
        <stp>1</stp>
        <tr r="U3485" s="1"/>
      </tp>
      <tp>
        <v>2.842558664879518</v>
        <stp/>
        <stp>EM_S_RATIO_EPS_TTM</stp>
        <stp>3</stp>
        <stp>300628</stp>
        <stp>12/31/2018</stp>
        <stp>1</stp>
        <tr r="U2626" s="1"/>
      </tp>
      <tp>
        <v>9.0786658328318864E-2</v>
        <stp/>
        <stp>EM_S_RATIO_EPS_TTM</stp>
        <stp>3</stp>
        <stp>600678</stp>
        <stp>12/31/2018</stp>
        <stp>1</stp>
        <tr r="U1034" s="1"/>
      </tp>
      <tp>
        <v>-0.86689634126421722</v>
        <stp/>
        <stp>EM_S_RATIO_EPS_TTM</stp>
        <stp>3</stp>
        <stp>000918</stp>
        <stp>12/31/2018</stp>
        <stp>1</stp>
        <tr r="U3575" s="1"/>
      </tp>
      <tp>
        <v>0.2608130692014457</v>
        <stp/>
        <stp>EM_S_RATIO_EPS_TTM</stp>
        <stp>3</stp>
        <stp>600978</stp>
        <stp>12/31/2018</stp>
        <stp>1</stp>
        <tr r="U3195" s="1"/>
      </tp>
      <tp>
        <v>0.72942813837681164</v>
        <stp/>
        <stp>EM_S_RATIO_EPS_TTM</stp>
        <stp>3</stp>
        <stp>000818</stp>
        <stp>12/31/2018</stp>
        <stp>1</stp>
        <tr r="U176" s="1"/>
      </tp>
      <tp>
        <v>0.11505293561710972</v>
        <stp/>
        <stp>EM_S_RATIO_EPS_TTM</stp>
        <stp>3</stp>
        <stp>600878</stp>
        <stp>12/31/2018</stp>
        <stp>1</stp>
        <tr r="U2332" s="1"/>
      </tp>
      <tp>
        <v>0.91635927499500003</v>
        <stp/>
        <stp>EM_S_FA_ASSETSTURN</stp>
        <stp>3</stp>
        <stp>300392</stp>
        <stp>12/31/2018</stp>
        <stp>1</stp>
        <tr r="K2449" s="1"/>
      </tp>
      <tp>
        <v>1.015947087275</v>
        <stp/>
        <stp>EM_S_FA_ASSETSTURN</stp>
        <stp>3</stp>
        <stp>300292</stp>
        <stp>12/31/2018</stp>
        <stp>1</stp>
        <tr r="K894" s="1"/>
      </tp>
      <tp>
        <v>0.57693585933799996</v>
        <stp/>
        <stp>EM_S_FA_ASSETSTURN</stp>
        <stp>3</stp>
        <stp>300192</stp>
        <stp>12/31/2018</stp>
        <stp>1</stp>
        <tr r="K413" s="1"/>
      </tp>
      <tp>
        <v>0.62594579660600003</v>
        <stp/>
        <stp>EM_S_FA_ASSETSTURN</stp>
        <stp>3</stp>
        <stp>300092</stp>
        <stp>12/31/2018</stp>
        <stp>1</stp>
        <tr r="K1306" s="1"/>
      </tp>
      <tp>
        <v>0.27722237382100001</v>
        <stp/>
        <stp>EM_S_FA_ASSETSTURN</stp>
        <stp>3</stp>
        <stp>300692</stp>
        <stp>12/31/2018</stp>
        <stp>1</stp>
        <tr r="K2598" s="1"/>
      </tp>
      <tp>
        <v>0.42162163744300002</v>
        <stp/>
        <stp>EM_S_FA_ASSETSTURN</stp>
        <stp>3</stp>
        <stp>300592</stp>
        <stp>12/31/2018</stp>
        <stp>1</stp>
        <tr r="K1026" s="1"/>
      </tp>
      <tp>
        <v>0.54558051753500003</v>
        <stp/>
        <stp>EM_S_FA_ASSETSTURN</stp>
        <stp>3</stp>
        <stp>300492</stp>
        <stp>12/31/2018</stp>
        <stp>1</stp>
        <tr r="K69" s="1"/>
      </tp>
      <tp>
        <v>0.38786519828898286</v>
        <stp/>
        <stp>EM_S_RATIO_EPS_TTM</stp>
        <stp>3</stp>
        <stp>002115</stp>
        <stp>12/31/2018</stp>
        <stp>1</stp>
        <tr r="U2756" s="1"/>
      </tp>
      <tp>
        <v>1.3423157166019066E-2</v>
        <stp/>
        <stp>EM_S_RATIO_EPS_TTM</stp>
        <stp>3</stp>
        <stp>002015</stp>
        <stp>12/31/2018</stp>
        <stp>1</stp>
        <tr r="U1673" s="1"/>
      </tp>
      <tp>
        <v>0.23959843531914893</v>
        <stp/>
        <stp>EM_S_RATIO_EPS_TTM</stp>
        <stp>3</stp>
        <stp>002315</stp>
        <stp>12/31/2018</stp>
        <stp>1</stp>
        <tr r="U403" s="1"/>
      </tp>
      <tp>
        <v>0.36010747282362787</v>
        <stp/>
        <stp>EM_S_RATIO_EPS_TTM</stp>
        <stp>3</stp>
        <stp>002215</stp>
        <stp>12/31/2018</stp>
        <stp>1</stp>
        <tr r="U2430" s="1"/>
      </tp>
      <tp>
        <v>-8.6168020534281211E-3</v>
        <stp/>
        <stp>EM_S_RATIO_EPS_TTM</stp>
        <stp>3</stp>
        <stp>002515</stp>
        <stp>12/31/2018</stp>
        <stp>1</stp>
        <tr r="U982" s="1"/>
      </tp>
      <tp>
        <v>1.2303605139287652</v>
        <stp/>
        <stp>EM_S_RATIO_EPS_TTM</stp>
        <stp>3</stp>
        <stp>002415</stp>
        <stp>12/31/2018</stp>
        <stp>1</stp>
        <tr r="U1038" s="1"/>
      </tp>
      <tp>
        <v>0.1115886547826087</v>
        <stp/>
        <stp>EM_S_RATIO_EPS_TTM</stp>
        <stp>3</stp>
        <stp>002715</stp>
        <stp>12/31/2018</stp>
        <stp>1</stp>
        <tr r="U1693" s="1"/>
      </tp>
      <tp>
        <v>0.24212384390838207</v>
        <stp/>
        <stp>EM_S_RATIO_EPS_TTM</stp>
        <stp>3</stp>
        <stp>002615</stp>
        <stp>12/31/2018</stp>
        <stp>1</stp>
        <tr r="U1586" s="1"/>
      </tp>
      <tp>
        <v>0.3228274057142857</v>
        <stp/>
        <stp>EM_S_RATIO_EPS_TTM</stp>
        <stp>3</stp>
        <stp>002915</stp>
        <stp>12/31/2018</stp>
        <stp>1</stp>
        <tr r="U1164" s="1"/>
      </tp>
      <tp>
        <v>0.67437680896575947</v>
        <stp/>
        <stp>EM_S_RATIO_EPS_TTM</stp>
        <stp>3</stp>
        <stp>002815</stp>
        <stp>12/31/2018</stp>
        <stp>1</stp>
        <tr r="U1314" s="1"/>
      </tp>
      <tp>
        <v>1.7003452177805901E-2</v>
        <stp/>
        <stp>EM_S_RATIO_EPS_TTM</stp>
        <stp>3</stp>
        <stp>601375</stp>
        <stp>12/31/2018</stp>
        <stp>1</stp>
        <tr r="U1087" s="1"/>
      </tp>
      <tp>
        <v>0.20727951966101693</v>
        <stp/>
        <stp>EM_S_RATIO_EPS_TTM</stp>
        <stp>3</stp>
        <stp>300125</stp>
        <stp>12/31/2018</stp>
        <stp>1</stp>
        <tr r="U841" s="1"/>
      </tp>
      <tp>
        <v>-0.30656293434700516</v>
        <stp/>
        <stp>EM_S_RATIO_EPS_TTM</stp>
        <stp>3</stp>
        <stp>600175</stp>
        <stp>12/31/2018</stp>
        <stp>1</stp>
        <tr r="U2982" s="1"/>
      </tp>
      <tp>
        <v>1.3187103898871714E-2</v>
        <stp/>
        <stp>EM_S_RATIO_EPS_TTM</stp>
        <stp>3</stp>
        <stp>000015</stp>
        <stp>12/31/2018</stp>
        <stp>1</stp>
        <tr r="U2273" s="1"/>
      </tp>
      <tp>
        <v>2.5516102956502782E-2</v>
        <stp/>
        <stp>EM_S_RATIO_EPS_TTM</stp>
        <stp>3</stp>
        <stp>300025</stp>
        <stp>12/31/2018</stp>
        <stp>1</stp>
        <tr r="U1834" s="1"/>
      </tp>
      <tp>
        <v>0.50754031985477699</v>
        <stp/>
        <stp>EM_S_RATIO_EPS_TTM</stp>
        <stp>3</stp>
        <stp>600075</stp>
        <stp>12/31/2018</stp>
        <stp>1</stp>
        <tr r="U1714" s="1"/>
      </tp>
      <tp>
        <v>-0.10014356135493589</v>
        <stp/>
        <stp>EM_S_RATIO_EPS_TTM</stp>
        <stp>3</stp>
        <stp>300325</stp>
        <stp>12/31/2018</stp>
        <stp>1</stp>
        <tr r="U1879" s="1"/>
      </tp>
      <tp>
        <v>0.10704279941240283</v>
        <stp/>
        <stp>EM_S_RATIO_EPS_TTM</stp>
        <stp>3</stp>
        <stp>600375</stp>
        <stp>12/31/2018</stp>
        <stp>1</stp>
        <tr r="U856" s="1"/>
      </tp>
      <tp>
        <v>2.354519517795637E-2</v>
        <stp/>
        <stp>EM_S_RATIO_EPS_TTM</stp>
        <stp>3</stp>
        <stp>300225</stp>
        <stp>12/31/2018</stp>
        <stp>1</stp>
        <tr r="U940" s="1"/>
      </tp>
      <tp>
        <v>8.4136305880977997E-3</v>
        <stp/>
        <stp>EM_S_RATIO_EPS_TTM</stp>
        <stp>3</stp>
        <stp>600275</stp>
        <stp>12/31/2018</stp>
        <stp>1</stp>
        <tr r="U3082" s="1"/>
      </tp>
      <tp>
        <v>-0.53325398570595639</v>
        <stp/>
        <stp>EM_S_RATIO_EPS_TTM</stp>
        <stp>3</stp>
        <stp>000515</stp>
        <stp>12/31/2018</stp>
        <stp>1</stp>
        <tr r="U3438" s="1"/>
      </tp>
      <tp>
        <v>0.65837596122990527</v>
        <stp/>
        <stp>EM_S_RATIO_EPS_TTM</stp>
        <stp>3</stp>
        <stp>300525</stp>
        <stp>12/31/2018</stp>
        <stp>1</stp>
        <tr r="U381" s="1"/>
      </tp>
      <tp>
        <v>0.10706391237769303</v>
        <stp/>
        <stp>EM_S_RATIO_EPS_TTM</stp>
        <stp>3</stp>
        <stp>600575</stp>
        <stp>12/31/2018</stp>
        <stp>1</stp>
        <tr r="U1229" s="1"/>
      </tp>
      <tp>
        <v>0.3685530206895648</v>
        <stp/>
        <stp>EM_S_RATIO_EPS_TTM</stp>
        <stp>3</stp>
        <stp>000415</stp>
        <stp>12/31/2018</stp>
        <stp>1</stp>
        <tr r="U2000" s="1"/>
      </tp>
      <tp>
        <v>0.20286945649075608</v>
        <stp/>
        <stp>EM_S_RATIO_EPS_TTM</stp>
        <stp>3</stp>
        <stp>300425</stp>
        <stp>12/31/2018</stp>
        <stp>1</stp>
        <tr r="U2401" s="1"/>
      </tp>
      <tp>
        <v>0.74962461002160785</v>
        <stp/>
        <stp>EM_S_RATIO_EPS_TTM</stp>
        <stp>3</stp>
        <stp>600475</stp>
        <stp>12/31/2018</stp>
        <stp>1</stp>
        <tr r="U1220" s="1"/>
      </tp>
      <tp>
        <v>0.32360276954617462</v>
        <stp/>
        <stp>EM_S_RATIO_EPS_TTM</stp>
        <stp>3</stp>
        <stp>000715</stp>
        <stp>12/31/2018</stp>
        <stp>1</stp>
        <tr r="U2071" s="1"/>
      </tp>
      <tp>
        <v>1.2123943057055064</v>
        <stp/>
        <stp>EM_S_RATIO_EPS_TTM</stp>
        <stp>3</stp>
        <stp>300725</stp>
        <stp>12/31/2018</stp>
        <stp>1</stp>
        <tr r="U1231" s="1"/>
      </tp>
      <tp>
        <v>0.17722996277824918</v>
        <stp/>
        <stp>EM_S_RATIO_EPS_TTM</stp>
        <stp>3</stp>
        <stp>600775</stp>
        <stp>12/31/2018</stp>
        <stp>1</stp>
        <tr r="U1097" s="1"/>
      </tp>
      <tp>
        <v>0.20081446991800944</v>
        <stp/>
        <stp>EM_S_RATIO_EPS_TTM</stp>
        <stp>3</stp>
        <stp>000615</stp>
        <stp>12/31/2018</stp>
        <stp>1</stp>
        <tr r="U3000" s="1"/>
      </tp>
      <tp>
        <v>0.64381212642857144</v>
        <stp/>
        <stp>EM_S_RATIO_EPS_TTM</stp>
        <stp>3</stp>
        <stp>300625</stp>
        <stp>12/31/2018</stp>
        <stp>1</stp>
        <tr r="U1465" s="1"/>
      </tp>
      <tp>
        <v>0.51030520503550003</v>
        <stp/>
        <stp>EM_S_RATIO_EPS_TTM</stp>
        <stp>3</stp>
        <stp>600675</stp>
        <stp>12/31/2018</stp>
        <stp>1</stp>
        <tr r="U2967" s="1"/>
      </tp>
      <tp>
        <v>0.55344871326189904</v>
        <stp/>
        <stp>EM_S_RATIO_EPS_TTM</stp>
        <stp>3</stp>
        <stp>000915</stp>
        <stp>12/31/2018</stp>
        <stp>1</stp>
        <tr r="U3573" s="1"/>
      </tp>
      <tp>
        <v>-5.490982769779848E-2</v>
        <stp/>
        <stp>EM_S_RATIO_EPS_TTM</stp>
        <stp>3</stp>
        <stp>600975</stp>
        <stp>12/31/2018</stp>
        <stp>1</stp>
        <tr r="U106" s="1"/>
      </tp>
      <tp>
        <v>6.3636806464189483E-2</v>
        <stp/>
        <stp>EM_S_RATIO_EPS_TTM</stp>
        <stp>3</stp>
        <stp>000815</stp>
        <stp>12/31/2018</stp>
        <stp>1</stp>
        <tr r="U2186" s="1"/>
      </tp>
      <tp>
        <v>0.36522356135238804</v>
        <stp/>
        <stp>EM_S_RATIO_EPS_TTM</stp>
        <stp>3</stp>
        <stp>600875</stp>
        <stp>12/31/2018</stp>
        <stp>1</stp>
        <tr r="U1425" s="1"/>
      </tp>
      <tp>
        <v>0.44146000508</v>
        <stp/>
        <stp>EM_S_FA_ASSETSTURN</stp>
        <stp>3</stp>
        <stp>300393</stp>
        <stp>12/31/2018</stp>
        <stp>1</stp>
        <tr r="K2477" s="1"/>
      </tp>
      <tp>
        <v>0.70767510524400001</v>
        <stp/>
        <stp>EM_S_FA_ASSETSTURN</stp>
        <stp>3</stp>
        <stp>300293</stp>
        <stp>12/31/2018</stp>
        <stp>1</stp>
        <tr r="K1253" s="1"/>
      </tp>
      <tp>
        <v>0.33076421897699998</v>
        <stp/>
        <stp>EM_S_FA_ASSETSTURN</stp>
        <stp>3</stp>
        <stp>300193</stp>
        <stp>12/31/2018</stp>
        <stp>1</stp>
        <tr r="K1114" s="1"/>
      </tp>
      <tp>
        <v>0.50067816380499996</v>
        <stp/>
        <stp>EM_S_FA_ASSETSTURN</stp>
        <stp>3</stp>
        <stp>300093</stp>
        <stp>12/31/2018</stp>
        <stp>1</stp>
        <tr r="K239" s="1"/>
      </tp>
      <tp>
        <v>0.62887831490000001</v>
        <stp/>
        <stp>EM_S_FA_ASSETSTURN</stp>
        <stp>3</stp>
        <stp>300693</stp>
        <stp>12/31/2018</stp>
        <stp>1</stp>
        <tr r="K2842" s="1"/>
      </tp>
      <tp>
        <v>0.45375800232800001</v>
        <stp/>
        <stp>EM_S_FA_ASSETSTURN</stp>
        <stp>3</stp>
        <stp>300593</stp>
        <stp>12/31/2018</stp>
        <stp>1</stp>
        <tr r="K1675" s="1"/>
      </tp>
      <tp>
        <v>1.472598000896</v>
        <stp/>
        <stp>EM_S_FA_ASSETSTURN</stp>
        <stp>3</stp>
        <stp>300493</stp>
        <stp>12/31/2018</stp>
        <stp>1</stp>
        <tr r="K2536" s="1"/>
      </tp>
      <tp>
        <v>-0.79708470309802026</v>
        <stp/>
        <stp>EM_S_RATIO_EPS_TTM</stp>
        <stp>3</stp>
        <stp>002114</stp>
        <stp>12/31/2018</stp>
        <stp>1</stp>
        <tr r="U3638" s="1"/>
      </tp>
      <tp>
        <v>0.44741242890099098</v>
        <stp/>
        <stp>EM_S_RATIO_EPS_TTM</stp>
        <stp>3</stp>
        <stp>002014</stp>
        <stp>12/31/2018</stp>
        <stp>1</stp>
        <tr r="U643" s="1"/>
      </tp>
      <tp>
        <v>0.18633930964085518</v>
        <stp/>
        <stp>EM_S_RATIO_EPS_TTM</stp>
        <stp>3</stp>
        <stp>002314</stp>
        <stp>12/31/2018</stp>
        <stp>1</stp>
        <tr r="U1918" s="1"/>
      </tp>
      <tp>
        <v>0.11964756706344123</v>
        <stp/>
        <stp>EM_S_RATIO_EPS_TTM</stp>
        <stp>3</stp>
        <stp>002214</stp>
        <stp>12/31/2018</stp>
        <stp>1</stp>
        <tr r="U189" s="1"/>
      </tp>
      <tp>
        <v>0.17022753338230359</v>
        <stp/>
        <stp>EM_S_RATIO_EPS_TTM</stp>
        <stp>3</stp>
        <stp>002514</stp>
        <stp>12/31/2018</stp>
        <stp>1</stp>
        <tr r="U1830" s="1"/>
      </tp>
      <tp>
        <v>0.211566094329011</v>
        <stp/>
        <stp>EM_S_RATIO_EPS_TTM</stp>
        <stp>3</stp>
        <stp>002414</stp>
        <stp>12/31/2018</stp>
        <stp>1</stp>
        <tr r="U2621" s="1"/>
      </tp>
      <tp>
        <v>0.24947261303867094</v>
        <stp/>
        <stp>EM_S_RATIO_EPS_TTM</stp>
        <stp>3</stp>
        <stp>002714</stp>
        <stp>12/31/2018</stp>
        <stp>1</stp>
        <tr r="U46" s="1"/>
      </tp>
      <tp>
        <v>0.78190932742404773</v>
        <stp/>
        <stp>EM_S_RATIO_EPS_TTM</stp>
        <stp>3</stp>
        <stp>002614</stp>
        <stp>12/31/2018</stp>
        <stp>1</stp>
        <tr r="U3257" s="1"/>
      </tp>
      <tp>
        <v>0.70119167501755275</v>
        <stp/>
        <stp>EM_S_RATIO_EPS_TTM</stp>
        <stp>3</stp>
        <stp>300124</stp>
        <stp>12/31/2018</stp>
        <stp>1</stp>
        <tr r="U514" s="1"/>
      </tp>
      <tp>
        <v>0.723830755081177</v>
        <stp/>
        <stp>EM_S_RATIO_EPS_TTM</stp>
        <stp>3</stp>
        <stp>000014</stp>
        <stp>12/31/2018</stp>
        <stp>1</stp>
        <tr r="U2219" s="1"/>
      </tp>
      <tp>
        <v>0.28800118066095742</v>
        <stp/>
        <stp>EM_S_RATIO_EPS_TTM</stp>
        <stp>3</stp>
        <stp>300024</stp>
        <stp>12/31/2018</stp>
        <stp>1</stp>
        <tr r="U1953" s="1"/>
      </tp>
      <tp>
        <v>-0.69285209604560971</v>
        <stp/>
        <stp>EM_S_RATIO_EPS_TTM</stp>
        <stp>3</stp>
        <stp>600074</stp>
        <stp>12/31/2018</stp>
        <stp>1</stp>
        <tr r="U2876" s="1"/>
      </tp>
      <tp>
        <v>2.4485982507244951E-2</v>
        <stp/>
        <stp>EM_S_RATIO_EPS_TTM</stp>
        <stp>3</stp>
        <stp>300324</stp>
        <stp>12/31/2018</stp>
        <stp>1</stp>
        <tr r="U2393" s="1"/>
      </tp>
      <tp>
        <v>-9.943806452499844E-2</v>
        <stp/>
        <stp>EM_S_RATIO_EPS_TTM</stp>
        <stp>3</stp>
        <stp>300224</stp>
        <stp>12/31/2018</stp>
        <stp>1</stp>
        <tr r="U372" s="1"/>
      </tp>
      <tp>
        <v>2.9843082488622965E-2</v>
        <stp/>
        <stp>EM_S_RATIO_EPS_TTM</stp>
        <stp>3</stp>
        <stp>000514</stp>
        <stp>12/31/2018</stp>
        <stp>1</stp>
        <tr r="U3437" s="1"/>
      </tp>
      <tp>
        <v>0.20963283618800879</v>
        <stp/>
        <stp>EM_S_RATIO_EPS_TTM</stp>
        <stp>3</stp>
        <stp>300424</stp>
        <stp>12/31/2018</stp>
        <stp>1</stp>
        <tr r="U1457" s="1"/>
      </tp>
      <tp>
        <v>8.6216084554910505E-2</v>
        <stp/>
        <stp>EM_S_RATIO_EPS_TTM</stp>
        <stp>3</stp>
        <stp>600774</stp>
        <stp>12/31/2018</stp>
        <stp>1</stp>
        <tr r="U3117" s="1"/>
      </tp>
      <tp>
        <v>1.0188020501096844</v>
        <stp/>
        <stp>EM_S_RATIO_EPS_TTM</stp>
        <stp>3</stp>
        <stp>300624</stp>
        <stp>12/31/2018</stp>
        <stp>1</stp>
        <tr r="U1409" s="1"/>
      </tp>
      <tp>
        <v>0.81097935903899188</v>
        <stp/>
        <stp>EM_S_RATIO_EPS_TTM</stp>
        <stp>3</stp>
        <stp>600674</stp>
        <stp>12/31/2018</stp>
        <stp>1</stp>
        <tr r="U1589" s="1"/>
      </tp>
      <tp>
        <v>0.35114771361442121</v>
        <stp/>
        <stp>EM_S_RATIO_EPS_TTM</stp>
        <stp>3</stp>
        <stp>600874</stp>
        <stp>12/31/2018</stp>
        <stp>1</stp>
        <tr r="U2879" s="1"/>
      </tp>
      <tp>
        <v>0.71948317533899997</v>
        <stp/>
        <stp>EM_S_FA_ASSETSTURN</stp>
        <stp>3</stp>
        <stp>300390</stp>
        <stp>12/31/2018</stp>
        <stp>1</stp>
        <tr r="K2862" s="1"/>
      </tp>
      <tp>
        <v>0.49663918125099998</v>
        <stp/>
        <stp>EM_S_FA_ASSETSTURN</stp>
        <stp>3</stp>
        <stp>300290</stp>
        <stp>12/31/2018</stp>
        <stp>1</stp>
        <tr r="K1839" s="1"/>
      </tp>
      <tp>
        <v>0.30928617414999998</v>
        <stp/>
        <stp>EM_S_FA_ASSETSTURN</stp>
        <stp>3</stp>
        <stp>300190</stp>
        <stp>12/31/2018</stp>
        <stp>1</stp>
        <tr r="K746" s="1"/>
      </tp>
      <tp>
        <v>4.4155601941000003E-2</v>
        <stp/>
        <stp>EM_S_FA_ASSETSTURN</stp>
        <stp>3</stp>
        <stp>300090</stp>
        <stp>12/31/2018</stp>
        <stp>1</stp>
        <tr r="K3294" s="1"/>
      </tp>
      <tp>
        <v>0.50399746752100005</v>
        <stp/>
        <stp>EM_S_FA_ASSETSTURN</stp>
        <stp>3</stp>
        <stp>300690</stp>
        <stp>12/31/2018</stp>
        <stp>1</stp>
        <tr r="K735" s="1"/>
      </tp>
      <tp>
        <v>0.49013209837499999</v>
        <stp/>
        <stp>EM_S_FA_ASSETSTURN</stp>
        <stp>3</stp>
        <stp>300590</stp>
        <stp>12/31/2018</stp>
        <stp>1</stp>
        <tr r="K609" s="1"/>
      </tp>
      <tp>
        <v>0.54464048102399998</v>
        <stp/>
        <stp>EM_S_FA_ASSETSTURN</stp>
        <stp>3</stp>
        <stp>300490</stp>
        <stp>12/31/2018</stp>
        <stp>1</stp>
        <tr r="K2910" s="1"/>
      </tp>
      <tp>
        <v>6.365262658415842E-2</v>
        <stp/>
        <stp>EM_S_RATIO_EPS_TTM</stp>
        <stp>3</stp>
        <stp>603177</stp>
        <stp>12/31/2018</stp>
        <stp>1</stp>
        <tr r="U1680" s="1"/>
      </tp>
      <tp>
        <v>4.1113919116322881E-2</v>
        <stp/>
        <stp>EM_S_RATIO_EPS_TTM</stp>
        <stp>3</stp>
        <stp>603077</stp>
        <stp>12/31/2018</stp>
        <stp>1</stp>
        <tr r="U2778" s="1"/>
      </tp>
      <tp>
        <v>0.37970962120748303</v>
        <stp/>
        <stp>EM_S_RATIO_EPS_TTM</stp>
        <stp>3</stp>
        <stp>603377</stp>
        <stp>12/31/2018</stp>
        <stp>1</stp>
        <tr r="U1083" s="1"/>
      </tp>
      <tp>
        <v>0.60578228729281769</v>
        <stp/>
        <stp>EM_S_RATIO_EPS_TTM</stp>
        <stp>3</stp>
        <stp>603277</stp>
        <stp>12/31/2018</stp>
        <stp>1</stp>
        <tr r="U1326" s="1"/>
      </tp>
      <tp>
        <v>0.18140665883898982</v>
        <stp/>
        <stp>EM_S_RATIO_EPS_TTM</stp>
        <stp>3</stp>
        <stp>603577</stp>
        <stp>12/31/2018</stp>
        <stp>1</stp>
        <tr r="U1423" s="1"/>
      </tp>
      <tp>
        <v>0.24573148608333331</v>
        <stp/>
        <stp>EM_S_RATIO_EPS_TTM</stp>
        <stp>3</stp>
        <stp>603477</stp>
        <stp>12/31/2018</stp>
        <stp>1</stp>
        <tr r="U496" s="1"/>
      </tp>
      <tp>
        <v>2.9666318979343478E-2</v>
        <stp/>
        <stp>EM_S_RATIO_EPS_TTM</stp>
        <stp>3</stp>
        <stp>603777</stp>
        <stp>12/31/2018</stp>
        <stp>1</stp>
        <tr r="U1212" s="1"/>
      </tp>
      <tp>
        <v>0.396087799787877</v>
        <stp/>
        <stp>EM_S_RATIO_EPS_TTM</stp>
        <stp>3</stp>
        <stp>603677</stp>
        <stp>12/31/2018</stp>
        <stp>1</stp>
        <tr r="U2785" s="1"/>
      </tp>
      <tp>
        <v>0.17978385686233081</v>
        <stp/>
        <stp>EM_S_RATIO_EPS_TTM</stp>
        <stp>3</stp>
        <stp>603977</stp>
        <stp>12/31/2018</stp>
        <stp>1</stp>
        <tr r="U1382" s="1"/>
      </tp>
      <tp>
        <v>1.1888262104342027</v>
        <stp/>
        <stp>EM_S_RATIO_EPS_TTM</stp>
        <stp>3</stp>
        <stp>603877</stp>
        <stp>12/31/2018</stp>
        <stp>1</stp>
        <tr r="U2990" s="1"/>
      </tp>
      <tp>
        <v>0.70583673856852558</v>
        <stp/>
        <stp>EM_S_RATIO_EPS_TTM</stp>
        <stp>3</stp>
        <stp>002117</stp>
        <stp>12/31/2018</stp>
        <stp>1</stp>
        <tr r="U2798" s="1"/>
      </tp>
      <tp>
        <v>0.11320822317775792</v>
        <stp/>
        <stp>EM_S_RATIO_EPS_TTM</stp>
        <stp>3</stp>
        <stp>002017</stp>
        <stp>12/31/2018</stp>
        <stp>1</stp>
        <tr r="U3607" s="1"/>
      </tp>
      <tp>
        <v>0.53489151040779759</v>
        <stp/>
        <stp>EM_S_RATIO_EPS_TTM</stp>
        <stp>3</stp>
        <stp>002317</stp>
        <stp>12/31/2018</stp>
        <stp>1</stp>
        <tr r="U653" s="1"/>
      </tp>
      <tp>
        <v>0.43587319097575483</v>
        <stp/>
        <stp>EM_S_RATIO_EPS_TTM</stp>
        <stp>3</stp>
        <stp>002217</stp>
        <stp>12/31/2018</stp>
        <stp>1</stp>
        <tr r="U1404" s="1"/>
      </tp>
      <tp>
        <v>8.1014583841499913E-2</v>
        <stp/>
        <stp>EM_S_RATIO_EPS_TTM</stp>
        <stp>3</stp>
        <stp>002517</stp>
        <stp>12/31/2018</stp>
        <stp>1</stp>
        <tr r="U3215" s="1"/>
      </tp>
      <tp>
        <v>-0.18173272429629631</v>
        <stp/>
        <stp>EM_S_RATIO_EPS_TTM</stp>
        <stp>3</stp>
        <stp>002417</stp>
        <stp>12/31/2018</stp>
        <stp>1</stp>
        <tr r="U3078" s="1"/>
      </tp>
      <tp>
        <v>0.76025391439626877</v>
        <stp/>
        <stp>EM_S_RATIO_EPS_TTM</stp>
        <stp>3</stp>
        <stp>002717</stp>
        <stp>12/31/2018</stp>
        <stp>1</stp>
        <tr r="U3355" s="1"/>
      </tp>
      <tp>
        <v>-0.88294935189763835</v>
        <stp/>
        <stp>EM_S_RATIO_EPS_TTM</stp>
        <stp>3</stp>
        <stp>002617</stp>
        <stp>12/31/2018</stp>
        <stp>1</stp>
        <tr r="U760" s="1"/>
      </tp>
      <tp>
        <v>0.57592651140987083</v>
        <stp/>
        <stp>EM_S_RATIO_EPS_TTM</stp>
        <stp>3</stp>
        <stp>002917</stp>
        <stp>12/31/2018</stp>
        <stp>1</stp>
        <tr r="U3192" s="1"/>
      </tp>
      <tp>
        <v>0.41497875031729548</v>
        <stp/>
        <stp>EM_S_RATIO_EPS_TTM</stp>
        <stp>3</stp>
        <stp>002817</stp>
        <stp>12/31/2018</stp>
        <stp>1</stp>
        <tr r="U851" s="1"/>
      </tp>
      <tp>
        <v>3.625898480227966E-2</v>
        <stp/>
        <stp>EM_S_RATIO_EPS_TTM</stp>
        <stp>3</stp>
        <stp>601177</stp>
        <stp>12/31/2018</stp>
        <stp>1</stp>
        <tr r="U2162" s="1"/>
      </tp>
      <tp>
        <v>2.0211244897296123E-2</v>
        <stp/>
        <stp>EM_S_RATIO_EPS_TTM</stp>
        <stp>3</stp>
        <stp>601377</stp>
        <stp>12/31/2018</stp>
        <stp>1</stp>
        <tr r="U499" s="1"/>
      </tp>
      <tp>
        <v>0.19255610751456603</v>
        <stp/>
        <stp>EM_S_RATIO_EPS_TTM</stp>
        <stp>3</stp>
        <stp>601777</stp>
        <stp>12/31/2018</stp>
        <stp>1</stp>
        <tr r="U3037" s="1"/>
      </tp>
      <tp>
        <v>0.84022859078032475</v>
        <stp/>
        <stp>EM_S_RATIO_EPS_TTM</stp>
        <stp>3</stp>
        <stp>601677</stp>
        <stp>12/31/2018</stp>
        <stp>1</stp>
        <tr r="U925" s="1"/>
      </tp>
      <tp>
        <v>1.6693991750797736</v>
        <stp/>
        <stp>EM_S_RATIO_EPS_TTM</stp>
        <stp>3</stp>
        <stp>601877</stp>
        <stp>12/31/2018</stp>
        <stp>1</stp>
        <tr r="U1679" s="1"/>
      </tp>
      <tp>
        <v>0.48398459964085622</v>
        <stp/>
        <stp>EM_S_RATIO_EPS_TTM</stp>
        <stp>3</stp>
        <stp>300127</stp>
        <stp>12/31/2018</stp>
        <stp>1</stp>
        <tr r="U251" s="1"/>
      </tp>
      <tp>
        <v>1.0266601254043339</v>
        <stp/>
        <stp>EM_S_RATIO_EPS_TTM</stp>
        <stp>3</stp>
        <stp>600177</stp>
        <stp>12/31/2018</stp>
        <stp>1</stp>
        <tr r="U2487" s="1"/>
      </tp>
      <tp>
        <v>-2.8874124201645028E-3</v>
        <stp/>
        <stp>EM_S_RATIO_EPS_TTM</stp>
        <stp>3</stp>
        <stp>000017</stp>
        <stp>12/31/2018</stp>
        <stp>1</stp>
        <tr r="U2076" s="1"/>
      </tp>
      <tp>
        <v>-0.39108052472293753</v>
        <stp/>
        <stp>EM_S_RATIO_EPS_TTM</stp>
        <stp>3</stp>
        <stp>300027</stp>
        <stp>12/31/2018</stp>
        <stp>1</stp>
        <tr r="U2241" s="1"/>
      </tp>
      <tp>
        <v>0.30689922132526282</v>
        <stp/>
        <stp>EM_S_RATIO_EPS_TTM</stp>
        <stp>3</stp>
        <stp>600077</stp>
        <stp>12/31/2018</stp>
        <stp>1</stp>
        <tr r="U1551" s="1"/>
      </tp>
      <tp>
        <v>0.72841632647298382</v>
        <stp/>
        <stp>EM_S_RATIO_EPS_TTM</stp>
        <stp>3</stp>
        <stp>300327</stp>
        <stp>12/31/2018</stp>
        <stp>1</stp>
        <tr r="U690" s="1"/>
      </tp>
      <tp>
        <v>0.86876206578436099</v>
        <stp/>
        <stp>EM_S_RATIO_EPS_TTM</stp>
        <stp>3</stp>
        <stp>600377</stp>
        <stp>12/31/2018</stp>
        <stp>1</stp>
        <tr r="U1600" s="1"/>
      </tp>
      <tp>
        <v>0.30669616137072686</v>
        <stp/>
        <stp>EM_S_RATIO_EPS_TTM</stp>
        <stp>3</stp>
        <stp>300227</stp>
        <stp>12/31/2018</stp>
        <stp>1</stp>
        <tr r="U659" s="1"/>
      </tp>
      <tp>
        <v>0.28139443655291063</v>
        <stp/>
        <stp>EM_S_RATIO_EPS_TTM</stp>
        <stp>3</stp>
        <stp>600277</stp>
        <stp>12/31/2018</stp>
        <stp>1</stp>
        <tr r="U3055" s="1"/>
      </tp>
      <tp>
        <v>0.19111115245319799</v>
        <stp/>
        <stp>EM_S_RATIO_EPS_TTM</stp>
        <stp>3</stp>
        <stp>000517</stp>
        <stp>12/31/2018</stp>
        <stp>1</stp>
        <tr r="U3440" s="1"/>
      </tp>
      <tp>
        <v>0.25563161154392838</v>
        <stp/>
        <stp>EM_S_RATIO_EPS_TTM</stp>
        <stp>3</stp>
        <stp>300527</stp>
        <stp>12/31/2018</stp>
        <stp>1</stp>
        <tr r="U365" s="1"/>
      </tp>
      <tp>
        <v>0.22369579490705094</v>
        <stp/>
        <stp>EM_S_RATIO_EPS_TTM</stp>
        <stp>3</stp>
        <stp>600577</stp>
        <stp>12/31/2018</stp>
        <stp>1</stp>
        <tr r="U2701" s="1"/>
      </tp>
      <tp>
        <v>0.28785791327738142</v>
        <stp/>
        <stp>EM_S_RATIO_EPS_TTM</stp>
        <stp>3</stp>
        <stp>000417</stp>
        <stp>12/31/2018</stp>
        <stp>1</stp>
        <tr r="U1571" s="1"/>
      </tp>
      <tp>
        <v>0.65061472371797846</v>
        <stp/>
        <stp>EM_S_RATIO_EPS_TTM</stp>
        <stp>3</stp>
        <stp>300427</stp>
        <stp>12/31/2018</stp>
        <stp>1</stp>
        <tr r="U971" s="1"/>
      </tp>
      <tp>
        <v>0.3171936577880497</v>
        <stp/>
        <stp>EM_S_RATIO_EPS_TTM</stp>
        <stp>3</stp>
        <stp>600477</stp>
        <stp>12/31/2018</stp>
        <stp>1</stp>
        <tr r="U3098" s="1"/>
      </tp>
      <tp>
        <v>1.3665664776864144</v>
        <stp/>
        <stp>EM_S_RATIO_EPS_TTM</stp>
        <stp>3</stp>
        <stp>000717</stp>
        <stp>12/31/2018</stp>
        <stp>1</stp>
        <tr r="U2113" s="1"/>
      </tp>
      <tp>
        <v>0.52144345523329128</v>
        <stp/>
        <stp>EM_S_RATIO_EPS_TTM</stp>
        <stp>3</stp>
        <stp>300727</stp>
        <stp>12/31/2018</stp>
        <stp>1</stp>
        <tr r="U3144" s="1"/>
      </tp>
      <tp>
        <v>8.8338567189694586E-2</v>
        <stp/>
        <stp>EM_S_RATIO_EPS_TTM</stp>
        <stp>3</stp>
        <stp>600777</stp>
        <stp>12/31/2018</stp>
        <stp>1</stp>
        <tr r="U1771" s="1"/>
      </tp>
      <tp>
        <v>0.80152665271174106</v>
        <stp/>
        <stp>EM_S_RATIO_EPS_TTM</stp>
        <stp>3</stp>
        <stp>000617</stp>
        <stp>12/31/2018</stp>
        <stp>1</stp>
        <tr r="U1592" s="1"/>
      </tp>
      <tp>
        <v>0.42647356218945831</v>
        <stp/>
        <stp>EM_S_RATIO_EPS_TTM</stp>
        <stp>3</stp>
        <stp>300627</stp>
        <stp>12/31/2018</stp>
        <stp>1</stp>
        <tr r="U908" s="1"/>
      </tp>
      <tp>
        <v>0.40212977239768283</v>
        <stp/>
        <stp>EM_S_RATIO_EPS_TTM</stp>
        <stp>3</stp>
        <stp>600677</stp>
        <stp>12/31/2018</stp>
        <stp>1</stp>
        <tr r="U2619" s="1"/>
      </tp>
      <tp>
        <v>6.1781868926326935E-2</v>
        <stp/>
        <stp>EM_S_RATIO_EPS_TTM</stp>
        <stp>3</stp>
        <stp>000917</stp>
        <stp>12/31/2018</stp>
        <stp>1</stp>
        <tr r="U2445" s="1"/>
      </tp>
      <tp>
        <v>0.80063682015532944</v>
        <stp/>
        <stp>EM_S_RATIO_EPS_TTM</stp>
        <stp>3</stp>
        <stp>600977</stp>
        <stp>12/31/2018</stp>
        <stp>1</stp>
        <tr r="U1944" s="1"/>
      </tp>
      <tp>
        <v>0.56233799119090899</v>
        <stp/>
        <stp>EM_S_RATIO_EPS_TTM</stp>
        <stp>3</stp>
        <stp>000817</stp>
        <stp>12/31/2018</stp>
        <stp>1</stp>
        <tr r="U3548" s="1"/>
      </tp>
      <tp>
        <v>-0.2843989746625708</v>
        <stp/>
        <stp>EM_S_RATIO_EPS_TTM</stp>
        <stp>3</stp>
        <stp>600877</stp>
        <stp>12/31/2018</stp>
        <stp>1</stp>
        <tr r="U1175" s="1"/>
      </tp>
      <tp>
        <v>0.43472861069300001</v>
        <stp/>
        <stp>EM_S_FA_ASSETSTURN</stp>
        <stp>3</stp>
        <stp>300391</stp>
        <stp>12/31/2018</stp>
        <stp>1</stp>
        <tr r="K3154" s="1"/>
      </tp>
      <tp>
        <v>0.118937857252</v>
        <stp/>
        <stp>EM_S_FA_ASSETSTURN</stp>
        <stp>3</stp>
        <stp>300291</stp>
        <stp>12/31/2018</stp>
        <stp>1</stp>
        <tr r="K808" s="1"/>
      </tp>
      <tp>
        <v>8.175801194E-2</v>
        <stp/>
        <stp>EM_S_FA_ASSETSTURN</stp>
        <stp>3</stp>
        <stp>300191</stp>
        <stp>12/31/2018</stp>
        <stp>1</stp>
        <tr r="K602" s="1"/>
      </tp>
      <tp>
        <v>0.412290712718</v>
        <stp/>
        <stp>EM_S_FA_ASSETSTURN</stp>
        <stp>3</stp>
        <stp>300091</stp>
        <stp>12/31/2018</stp>
        <stp>1</stp>
        <tr r="K1161" s="1"/>
      </tp>
      <tp>
        <v>0.89079332600100003</v>
        <stp/>
        <stp>EM_S_FA_ASSETSTURN</stp>
        <stp>3</stp>
        <stp>300691</stp>
        <stp>12/31/2018</stp>
        <stp>1</stp>
        <tr r="K2974" s="1"/>
      </tp>
      <tp>
        <v>0.65137053867299999</v>
        <stp/>
        <stp>EM_S_FA_ASSETSTURN</stp>
        <stp>3</stp>
        <stp>300591</stp>
        <stp>12/31/2018</stp>
        <stp>1</stp>
        <tr r="K2386" s="1"/>
      </tp>
      <tp>
        <v>0.289702280975</v>
        <stp/>
        <stp>EM_S_FA_ASSETSTURN</stp>
        <stp>3</stp>
        <stp>300491</stp>
        <stp>12/31/2018</stp>
        <stp>1</stp>
        <tr r="K2962" s="1"/>
      </tp>
      <tp>
        <v>0.52317827208053691</v>
        <stp/>
        <stp>EM_S_RATIO_EPS_TTM</stp>
        <stp>3</stp>
        <stp>603076</stp>
        <stp>12/31/2018</stp>
        <stp>1</stp>
        <tr r="U2382" s="1"/>
      </tp>
      <tp>
        <v>0.88803686964285711</v>
        <stp/>
        <stp>EM_S_RATIO_EPS_TTM</stp>
        <stp>3</stp>
        <stp>603776</stp>
        <stp>12/31/2018</stp>
        <stp>1</stp>
        <tr r="U2890" s="1"/>
      </tp>
      <tp>
        <v>0.17360740489361701</v>
        <stp/>
        <stp>EM_S_RATIO_EPS_TTM</stp>
        <stp>3</stp>
        <stp>603676</stp>
        <stp>12/31/2018</stp>
        <stp>1</stp>
        <tr r="U2673" s="1"/>
      </tp>
      <tp>
        <v>0.54739833597883603</v>
        <stp/>
        <stp>EM_S_RATIO_EPS_TTM</stp>
        <stp>3</stp>
        <stp>603976</stp>
        <stp>12/31/2018</stp>
        <stp>1</stp>
        <tr r="U1880" s="1"/>
      </tp>
      <tp>
        <v>0.64293525039534882</v>
        <stp/>
        <stp>EM_S_RATIO_EPS_TTM</stp>
        <stp>3</stp>
        <stp>603876</stp>
        <stp>12/31/2018</stp>
        <stp>1</stp>
        <tr r="U2926" s="1"/>
      </tp>
      <tp>
        <v>0.50810368535812522</v>
        <stp/>
        <stp>EM_S_RATIO_EPS_TTM</stp>
        <stp>3</stp>
        <stp>002116</stp>
        <stp>12/31/2018</stp>
        <stp>1</stp>
        <tr r="U1546" s="1"/>
      </tp>
      <tp>
        <v>0.98406909597554226</v>
        <stp/>
        <stp>EM_S_RATIO_EPS_TTM</stp>
        <stp>3</stp>
        <stp>002016</stp>
        <stp>12/31/2018</stp>
        <stp>1</stp>
        <tr r="U2526" s="1"/>
      </tp>
      <tp>
        <v>0.2544424975071225</v>
        <stp/>
        <stp>EM_S_RATIO_EPS_TTM</stp>
        <stp>3</stp>
        <stp>002316</stp>
        <stp>12/31/2018</stp>
        <stp>1</stp>
        <tr r="U1910" s="1"/>
      </tp>
      <tp>
        <v>0.12585724820462937</v>
        <stp/>
        <stp>EM_S_RATIO_EPS_TTM</stp>
        <stp>3</stp>
        <stp>002216</stp>
        <stp>12/31/2018</stp>
        <stp>1</stp>
        <tr r="U197" s="1"/>
      </tp>
      <tp>
        <v>0.15440362436575278</v>
        <stp/>
        <stp>EM_S_RATIO_EPS_TTM</stp>
        <stp>3</stp>
        <stp>002516</stp>
        <stp>12/31/2018</stp>
        <stp>1</stp>
        <tr r="U2588" s="1"/>
      </tp>
      <tp>
        <v>-7.4817593981525779E-2</v>
        <stp/>
        <stp>EM_S_RATIO_EPS_TTM</stp>
        <stp>3</stp>
        <stp>002416</stp>
        <stp>12/31/2018</stp>
        <stp>1</stp>
        <tr r="U976" s="1"/>
      </tp>
      <tp>
        <v>0.1233084111919118</v>
        <stp/>
        <stp>EM_S_RATIO_EPS_TTM</stp>
        <stp>3</stp>
        <stp>002716</stp>
        <stp>12/31/2018</stp>
        <stp>1</stp>
        <tr r="U3375" s="1"/>
      </tp>
      <tp>
        <v>0.22485042541955905</v>
        <stp/>
        <stp>EM_S_RATIO_EPS_TTM</stp>
        <stp>3</stp>
        <stp>002616</stp>
        <stp>12/31/2018</stp>
        <stp>1</stp>
        <tr r="U1661" s="1"/>
      </tp>
      <tp>
        <v>2.4901869929285714</v>
        <stp/>
        <stp>EM_S_RATIO_EPS_TTM</stp>
        <stp>3</stp>
        <stp>002916</stp>
        <stp>12/31/2018</stp>
        <stp>1</stp>
        <tr r="U264" s="1"/>
      </tp>
      <tp>
        <v>6.4333542800000004E-2</v>
        <stp/>
        <stp>EM_S_RATIO_EPS_TTM</stp>
        <stp>3</stp>
        <stp>002816</stp>
        <stp>12/31/2018</stp>
        <stp>1</stp>
        <tr r="U652" s="1"/>
      </tp>
      <tp>
        <v>-0.14734490224952426</v>
        <stp/>
        <stp>EM_S_RATIO_EPS_TTM</stp>
        <stp>3</stp>
        <stp>300126</stp>
        <stp>12/31/2018</stp>
        <stp>1</stp>
        <tr r="U1497" s="1"/>
      </tp>
      <tp>
        <v>0.67783276340216525</v>
        <stp/>
        <stp>EM_S_RATIO_EPS_TTM</stp>
        <stp>3</stp>
        <stp>600176</stp>
        <stp>12/31/2018</stp>
        <stp>1</stp>
        <tr r="U1596" s="1"/>
      </tp>
      <tp>
        <v>0.17080526132924689</v>
        <stp/>
        <stp>EM_S_RATIO_EPS_TTM</stp>
        <stp>3</stp>
        <stp>000016</stp>
        <stp>12/31/2018</stp>
        <stp>1</stp>
        <tr r="U767" s="1"/>
      </tp>
      <tp>
        <v>7.0007142490415647E-2</v>
        <stp/>
        <stp>EM_S_RATIO_EPS_TTM</stp>
        <stp>3</stp>
        <stp>300026</stp>
        <stp>12/31/2018</stp>
        <stp>1</stp>
        <tr r="U1577" s="1"/>
      </tp>
      <tp>
        <v>0.45209687389245229</v>
        <stp/>
        <stp>EM_S_RATIO_EPS_TTM</stp>
        <stp>3</stp>
        <stp>600076</stp>
        <stp>12/31/2018</stp>
        <stp>1</stp>
        <tr r="U2007" s="1"/>
      </tp>
      <tp>
        <v>0.64281688161481876</v>
        <stp/>
        <stp>EM_S_RATIO_EPS_TTM</stp>
        <stp>3</stp>
        <stp>300326</stp>
        <stp>12/31/2018</stp>
        <stp>1</stp>
        <tr r="U483" s="1"/>
      </tp>
      <tp>
        <v>1.2275559329156134</v>
        <stp/>
        <stp>EM_S_RATIO_EPS_TTM</stp>
        <stp>3</stp>
        <stp>600376</stp>
        <stp>12/31/2018</stp>
        <stp>1</stp>
        <tr r="U1649" s="1"/>
      </tp>
      <tp>
        <v>0.75989131080515115</v>
        <stp/>
        <stp>EM_S_RATIO_EPS_TTM</stp>
        <stp>3</stp>
        <stp>300226</stp>
        <stp>12/31/2018</stp>
        <stp>1</stp>
        <tr r="U350" s="1"/>
      </tp>
      <tp>
        <v>1.1041620127769898</v>
        <stp/>
        <stp>EM_S_RATIO_EPS_TTM</stp>
        <stp>3</stp>
        <stp>600276</stp>
        <stp>12/31/2018</stp>
        <stp>1</stp>
        <tr r="U401" s="1"/>
      </tp>
      <tp>
        <v>1.1081886625076411</v>
        <stp/>
        <stp>EM_S_RATIO_EPS_TTM</stp>
        <stp>3</stp>
        <stp>000516</stp>
        <stp>12/31/2018</stp>
        <stp>1</stp>
        <tr r="U3439" s="1"/>
      </tp>
      <tp>
        <v>0.13238144664034165</v>
        <stp/>
        <stp>EM_S_RATIO_EPS_TTM</stp>
        <stp>3</stp>
        <stp>300526</stp>
        <stp>12/31/2018</stp>
        <stp>1</stp>
        <tr r="U21" s="1"/>
      </tp>
      <tp>
        <v>2.2007904757629992E-2</v>
        <stp/>
        <stp>EM_S_RATIO_EPS_TTM</stp>
        <stp>3</stp>
        <stp>600576</stp>
        <stp>12/31/2018</stp>
        <stp>1</stp>
        <tr r="U1411" s="1"/>
      </tp>
      <tp>
        <v>3.7571887693608939E-2</v>
        <stp/>
        <stp>EM_S_RATIO_EPS_TTM</stp>
        <stp>3</stp>
        <stp>000416</stp>
        <stp>12/31/2018</stp>
        <stp>1</stp>
        <tr r="U3421" s="1"/>
      </tp>
      <tp>
        <v>-2.3186106687999999</v>
        <stp/>
        <stp>EM_S_RATIO_EPS_TTM</stp>
        <stp>3</stp>
        <stp>300426</stp>
        <stp>12/31/2018</stp>
        <stp>1</stp>
        <tr r="U2691" s="1"/>
      </tp>
      <tp>
        <v>1.0148636058856398E-2</v>
        <stp/>
        <stp>EM_S_RATIO_EPS_TTM</stp>
        <stp>3</stp>
        <stp>600476</stp>
        <stp>12/31/2018</stp>
        <stp>1</stp>
        <tr r="U1132" s="1"/>
      </tp>
      <tp>
        <v>8.0269672768368147E-2</v>
        <stp/>
        <stp>EM_S_RATIO_EPS_TTM</stp>
        <stp>3</stp>
        <stp>000716</stp>
        <stp>12/31/2018</stp>
        <stp>1</stp>
        <tr r="U812" s="1"/>
      </tp>
      <tp>
        <v>0.55733974511372164</v>
        <stp/>
        <stp>EM_S_RATIO_EPS_TTM</stp>
        <stp>3</stp>
        <stp>300726</stp>
        <stp>12/31/2018</stp>
        <stp>1</stp>
        <tr r="U613" s="1"/>
      </tp>
      <tp>
        <v>0.10143508596986824</v>
        <stp/>
        <stp>EM_S_RATIO_EPS_TTM</stp>
        <stp>3</stp>
        <stp>600776</stp>
        <stp>12/31/2018</stp>
        <stp>1</stp>
        <tr r="U255" s="1"/>
      </tp>
      <tp>
        <v>0.24390544096293865</v>
        <stp/>
        <stp>EM_S_RATIO_EPS_TTM</stp>
        <stp>3</stp>
        <stp>000616</stp>
        <stp>12/31/2018</stp>
        <stp>1</stp>
        <tr r="U2228" s="1"/>
      </tp>
      <tp>
        <v>0.24491182494444447</v>
        <stp/>
        <stp>EM_S_RATIO_EPS_TTM</stp>
        <stp>3</stp>
        <stp>300626</stp>
        <stp>12/31/2018</stp>
        <stp>1</stp>
        <tr r="U2555" s="1"/>
      </tp>
      <tp>
        <v>0.31706789968021404</v>
        <stp/>
        <stp>EM_S_RATIO_EPS_TTM</stp>
        <stp>3</stp>
        <stp>600676</stp>
        <stp>12/31/2018</stp>
        <stp>1</stp>
        <tr r="U2345" s="1"/>
      </tp>
      <tp>
        <v>0.36084206835779814</v>
        <stp/>
        <stp>EM_S_RATIO_EPS_TTM</stp>
        <stp>3</stp>
        <stp>000916</stp>
        <stp>12/31/2018</stp>
        <stp>1</stp>
        <tr r="U3574" s="1"/>
      </tp>
      <tp>
        <v>0.52945551797734791</v>
        <stp/>
        <stp>EM_S_RATIO_EPS_TTM</stp>
        <stp>3</stp>
        <stp>600976</stp>
        <stp>12/31/2018</stp>
        <stp>1</stp>
        <tr r="U1228" s="1"/>
      </tp>
      <tp>
        <v>2.9012993272405075E-2</v>
        <stp/>
        <stp>EM_S_RATIO_EPS_TTM</stp>
        <stp>3</stp>
        <stp>000816</stp>
        <stp>12/31/2018</stp>
        <stp>1</stp>
        <tr r="U3547" s="1"/>
      </tp>
      <tp>
        <v>2.7948166107119282E-2</v>
        <stp/>
        <stp>EM_S_RATIO_EPS_TTM</stp>
        <stp>3</stp>
        <stp>600876</stp>
        <stp>12/31/2018</stp>
        <stp>1</stp>
        <tr r="U598" s="1"/>
      </tp>
      <tp>
        <v>0.48616334137299999</v>
        <stp/>
        <stp>EM_S_FA_ASSETSTURN</stp>
        <stp>3</stp>
        <stp>300396</stp>
        <stp>12/31/2018</stp>
        <stp>1</stp>
        <tr r="K723" s="1"/>
      </tp>
      <tp>
        <v>0.56515273865799998</v>
        <stp/>
        <stp>EM_S_FA_ASSETSTURN</stp>
        <stp>3</stp>
        <stp>300296</stp>
        <stp>12/31/2018</stp>
        <stp>1</stp>
        <tr r="K2149" s="1"/>
      </tp>
      <tp>
        <v>0.70443575823399995</v>
        <stp/>
        <stp>EM_S_FA_ASSETSTURN</stp>
        <stp>3</stp>
        <stp>300196</stp>
        <stp>12/31/2018</stp>
        <stp>1</stp>
        <tr r="K904" s="1"/>
      </tp>
      <tp>
        <v>0.381578416305</v>
        <stp/>
        <stp>EM_S_FA_ASSETSTURN</stp>
        <stp>3</stp>
        <stp>300096</stp>
        <stp>12/31/2018</stp>
        <stp>1</stp>
        <tr r="K1359" s="1"/>
      </tp>
      <tp>
        <v>0.16089476446699999</v>
        <stp/>
        <stp>EM_S_FA_ASSETSTURN</stp>
        <stp>3</stp>
        <stp>300696</stp>
        <stp>12/31/2018</stp>
        <stp>1</stp>
        <tr r="K2215" s="1"/>
      </tp>
      <tp>
        <v>0.84816768238100004</v>
        <stp/>
        <stp>EM_S_FA_ASSETSTURN</stp>
        <stp>3</stp>
        <stp>300596</stp>
        <stp>12/31/2018</stp>
        <stp>1</stp>
        <tr r="K1350" s="1"/>
      </tp>
      <tp>
        <v>0.55673790891300001</v>
        <stp/>
        <stp>EM_S_FA_ASSETSTURN</stp>
        <stp>3</stp>
        <stp>300496</stp>
        <stp>12/31/2018</stp>
        <stp>1</stp>
        <tr r="K156" s="1"/>
      </tp>
      <tp>
        <v>2.4110227144642855</v>
        <stp/>
        <stp>EM_S_RATIO_EPS_TTM</stp>
        <stp>3</stp>
        <stp>603871</stp>
        <stp>12/31/2018</stp>
        <stp>1</stp>
        <tr r="U2770" s="1"/>
      </tp>
      <tp>
        <v>0.61498337008221382</v>
        <stp/>
        <stp>EM_S_RATIO_EPS_TTM</stp>
        <stp>3</stp>
        <stp>002111</stp>
        <stp>12/31/2018</stp>
        <stp>1</stp>
        <tr r="U421" s="1"/>
      </tp>
      <tp>
        <v>-2.3625769044737281</v>
        <stp/>
        <stp>EM_S_RATIO_EPS_TTM</stp>
        <stp>3</stp>
        <stp>002011</stp>
        <stp>12/31/2018</stp>
        <stp>1</stp>
        <tr r="U3606" s="1"/>
      </tp>
      <tp>
        <v>0.90897524487628745</v>
        <stp/>
        <stp>EM_S_RATIO_EPS_TTM</stp>
        <stp>3</stp>
        <stp>002311</stp>
        <stp>12/31/2018</stp>
        <stp>1</stp>
        <tr r="U476" s="1"/>
      </tp>
      <tp>
        <v>2.5741062506994178E-2</v>
        <stp/>
        <stp>EM_S_RATIO_EPS_TTM</stp>
        <stp>3</stp>
        <stp>002211</stp>
        <stp>12/31/2018</stp>
        <stp>1</stp>
        <tr r="U822" s="1"/>
      </tp>
      <tp>
        <v>0.31630953603087125</v>
        <stp/>
        <stp>EM_S_RATIO_EPS_TTM</stp>
        <stp>3</stp>
        <stp>002511</stp>
        <stp>12/31/2018</stp>
        <stp>1</stp>
        <tr r="U611" s="1"/>
      </tp>
      <tp>
        <v>0.26378518586923305</v>
        <stp/>
        <stp>EM_S_RATIO_EPS_TTM</stp>
        <stp>3</stp>
        <stp>002411</stp>
        <stp>12/31/2018</stp>
        <stp>1</stp>
        <tr r="U3164" s="1"/>
      </tp>
      <tp>
        <v>-3.9575055716645409</v>
        <stp/>
        <stp>EM_S_RATIO_EPS_TTM</stp>
        <stp>3</stp>
        <stp>002711</stp>
        <stp>12/31/2018</stp>
        <stp>1</stp>
        <tr r="U3398" s="1"/>
      </tp>
      <tp>
        <v>-2.1080691495079598</v>
        <stp/>
        <stp>EM_S_RATIO_EPS_TTM</stp>
        <stp>3</stp>
        <stp>002611</stp>
        <stp>12/31/2018</stp>
        <stp>1</stp>
        <tr r="U1539" s="1"/>
      </tp>
      <tp>
        <v>0.6511837622482014</v>
        <stp/>
        <stp>EM_S_RATIO_EPS_TTM</stp>
        <stp>3</stp>
        <stp>002911</stp>
        <stp>12/31/2018</stp>
        <stp>1</stp>
        <tr r="U2725" s="1"/>
      </tp>
      <tp>
        <v>0.63466818261111113</v>
        <stp/>
        <stp>EM_S_RATIO_EPS_TTM</stp>
        <stp>3</stp>
        <stp>002811</stp>
        <stp>12/31/2018</stp>
        <stp>1</stp>
        <tr r="U2796" s="1"/>
      </tp>
      <tp>
        <v>0.97898556935094139</v>
        <stp/>
        <stp>EM_S_RATIO_EPS_TTM</stp>
        <stp>3</stp>
        <stp>300121</stp>
        <stp>12/31/2018</stp>
        <stp>1</stp>
        <tr r="U3007" s="1"/>
      </tp>
      <tp>
        <v>0.14584868058269432</v>
        <stp/>
        <stp>EM_S_RATIO_EPS_TTM</stp>
        <stp>3</stp>
        <stp>600171</stp>
        <stp>12/31/2018</stp>
        <stp>1</stp>
        <tr r="U298" s="1"/>
      </tp>
      <tp>
        <v>0.994537997500758</v>
        <stp/>
        <stp>EM_S_RATIO_EPS_TTM</stp>
        <stp>3</stp>
        <stp>000011</stp>
        <stp>12/31/2018</stp>
        <stp>1</stp>
        <tr r="U1983" s="1"/>
      </tp>
      <tp>
        <v>0.12566555259577275</v>
        <stp/>
        <stp>EM_S_RATIO_EPS_TTM</stp>
        <stp>3</stp>
        <stp>300021</stp>
        <stp>12/31/2018</stp>
        <stp>1</stp>
        <tr r="U1058" s="1"/>
      </tp>
      <tp>
        <v>-3.1451108376122576E-2</v>
        <stp/>
        <stp>EM_S_RATIO_EPS_TTM</stp>
        <stp>3</stp>
        <stp>600071</stp>
        <stp>12/31/2018</stp>
        <stp>1</stp>
        <tr r="U523" s="1"/>
      </tp>
      <tp>
        <v>0.32430402319819823</v>
        <stp/>
        <stp>EM_S_RATIO_EPS_TTM</stp>
        <stp>3</stp>
        <stp>300321</stp>
        <stp>12/31/2018</stp>
        <stp>1</stp>
        <tr r="U1033" s="1"/>
      </tp>
      <tp>
        <v>0.23119292704167776</v>
        <stp/>
        <stp>EM_S_RATIO_EPS_TTM</stp>
        <stp>3</stp>
        <stp>600371</stp>
        <stp>12/31/2018</stp>
        <stp>1</stp>
        <tr r="U193" s="1"/>
      </tp>
      <tp>
        <v>-1.5957720285834183</v>
        <stp/>
        <stp>EM_S_RATIO_EPS_TTM</stp>
        <stp>3</stp>
        <stp>300221</stp>
        <stp>12/31/2018</stp>
        <stp>1</stp>
        <tr r="U1732" s="1"/>
      </tp>
      <tp>
        <v>0.86871776481124785</v>
        <stp/>
        <stp>EM_S_RATIO_EPS_TTM</stp>
        <stp>3</stp>
        <stp>600271</stp>
        <stp>12/31/2018</stp>
        <stp>1</stp>
        <tr r="U2348" s="1"/>
      </tp>
      <tp>
        <v>-0.19686554920930399</v>
        <stp/>
        <stp>EM_S_RATIO_EPS_TTM</stp>
        <stp>3</stp>
        <stp>000511</stp>
        <stp>12/31/2018</stp>
        <stp>1</stp>
        <tr r="U3436" s="1"/>
      </tp>
      <tp>
        <v>0.17668988249999998</v>
        <stp/>
        <stp>EM_S_RATIO_EPS_TTM</stp>
        <stp>3</stp>
        <stp>300521</stp>
        <stp>12/31/2018</stp>
        <stp>1</stp>
        <tr r="U1258" s="1"/>
      </tp>
      <tp>
        <v>6.2514916522618091E-2</v>
        <stp/>
        <stp>EM_S_RATIO_EPS_TTM</stp>
        <stp>3</stp>
        <stp>600571</stp>
        <stp>12/31/2018</stp>
        <stp>1</stp>
        <tr r="U555" s="1"/>
      </tp>
      <tp>
        <v>0.45240493299525852</v>
        <stp/>
        <stp>EM_S_RATIO_EPS_TTM</stp>
        <stp>3</stp>
        <stp>000411</stp>
        <stp>12/31/2018</stp>
        <stp>1</stp>
        <tr r="U2518" s="1"/>
      </tp>
      <tp>
        <v>0.5470786202359188</v>
        <stp/>
        <stp>EM_S_RATIO_EPS_TTM</stp>
        <stp>3</stp>
        <stp>300421</stp>
        <stp>12/31/2018</stp>
        <stp>1</stp>
        <tr r="U3348" s="1"/>
      </tp>
      <tp>
        <v>0.11696273719799725</v>
        <stp/>
        <stp>EM_S_RATIO_EPS_TTM</stp>
        <stp>3</stp>
        <stp>000711</stp>
        <stp>12/31/2018</stp>
        <stp>1</stp>
        <tr r="U2850" s="1"/>
      </tp>
      <tp>
        <v>0.44178903437190903</v>
        <stp/>
        <stp>EM_S_RATIO_EPS_TTM</stp>
        <stp>3</stp>
        <stp>300721</stp>
        <stp>12/31/2018</stp>
        <stp>1</stp>
        <tr r="U2599" s="1"/>
      </tp>
      <tp>
        <v>1.0601596161061309</v>
        <stp/>
        <stp>EM_S_RATIO_EPS_TTM</stp>
        <stp>3</stp>
        <stp>600771</stp>
        <stp>12/31/2018</stp>
        <stp>1</stp>
        <tr r="U3341" s="1"/>
      </tp>
      <tp>
        <v>-0.41280621107643478</v>
        <stp/>
        <stp>EM_S_RATIO_EPS_TTM</stp>
        <stp>3</stp>
        <stp>000611</stp>
        <stp>12/31/2018</stp>
        <stp>1</stp>
        <tr r="U3483" s="1"/>
      </tp>
      <tp>
        <v>0.32992935900787357</v>
        <stp/>
        <stp>EM_S_RATIO_EPS_TTM</stp>
        <stp>3</stp>
        <stp>300621</stp>
        <stp>12/31/2018</stp>
        <stp>1</stp>
        <tr r="U1811" s="1"/>
      </tp>
      <tp>
        <v>-7.2933379953347408E-2</v>
        <stp/>
        <stp>EM_S_RATIO_EPS_TTM</stp>
        <stp>3</stp>
        <stp>600671</stp>
        <stp>12/31/2018</stp>
        <stp>1</stp>
        <tr r="U3131" s="1"/>
      </tp>
      <tp>
        <v>-4.2058683997818731</v>
        <stp/>
        <stp>EM_S_RATIO_EPS_TTM</stp>
        <stp>3</stp>
        <stp>000911</stp>
        <stp>12/31/2018</stp>
        <stp>1</stp>
        <tr r="U3572" s="1"/>
      </tp>
      <tp>
        <v>1.2207550872567949</v>
        <stp/>
        <stp>EM_S_RATIO_EPS_TTM</stp>
        <stp>3</stp>
        <stp>600971</stp>
        <stp>12/31/2018</stp>
        <stp>1</stp>
        <tr r="U1930" s="1"/>
      </tp>
      <tp>
        <v>0.43237831210110472</v>
        <stp/>
        <stp>EM_S_RATIO_EPS_TTM</stp>
        <stp>3</stp>
        <stp>000811</stp>
        <stp>12/31/2018</stp>
        <stp>1</stp>
        <tr r="U843" s="1"/>
      </tp>
      <tp>
        <v>7.4827989676263503E-3</v>
        <stp/>
        <stp>EM_S_RATIO_EPS_TTM</stp>
        <stp>3</stp>
        <stp>600871</stp>
        <stp>12/31/2018</stp>
        <stp>1</stp>
        <tr r="U1178" s="1"/>
      </tp>
      <tp>
        <v>0.17585200366199999</v>
        <stp/>
        <stp>EM_S_FA_ASSETSTURN</stp>
        <stp>3</stp>
        <stp>300397</stp>
        <stp>12/31/2018</stp>
        <stp>1</stp>
        <tr r="K41" s="1"/>
      </tp>
      <tp>
        <v>0.25106353894299999</v>
        <stp/>
        <stp>EM_S_FA_ASSETSTURN</stp>
        <stp>3</stp>
        <stp>300297</stp>
        <stp>12/31/2018</stp>
        <stp>1</stp>
        <tr r="K1570" s="1"/>
      </tp>
      <tp>
        <v>0.344502639542</v>
        <stp/>
        <stp>EM_S_FA_ASSETSTURN</stp>
        <stp>3</stp>
        <stp>300197</stp>
        <stp>12/31/2018</stp>
        <stp>1</stp>
        <tr r="K3073" s="1"/>
      </tp>
      <tp>
        <v>0.37628096457400001</v>
        <stp/>
        <stp>EM_S_FA_ASSETSTURN</stp>
        <stp>3</stp>
        <stp>300097</stp>
        <stp>12/31/2018</stp>
        <stp>1</stp>
        <tr r="K2911" s="1"/>
      </tp>
      <tp>
        <v>1.244299645426</v>
        <stp/>
        <stp>EM_S_FA_ASSETSTURN</stp>
        <stp>3</stp>
        <stp>300697</stp>
        <stp>12/31/2018</stp>
        <stp>1</stp>
        <tr r="K772" s="1"/>
      </tp>
      <tp>
        <v>0.428226278026</v>
        <stp/>
        <stp>EM_S_FA_ASSETSTURN</stp>
        <stp>3</stp>
        <stp>300597</stp>
        <stp>12/31/2018</stp>
        <stp>1</stp>
        <tr r="K3046" s="1"/>
      </tp>
      <tp>
        <v>0.58377583507899999</v>
        <stp/>
        <stp>EM_S_FA_ASSETSTURN</stp>
        <stp>3</stp>
        <stp>300497</stp>
        <stp>12/31/2018</stp>
        <stp>1</stp>
        <tr r="K2053" s="1"/>
      </tp>
      <tp>
        <v>0.72162079056460471</v>
        <stp/>
        <stp>EM_S_RATIO_EPS_TTM</stp>
        <stp>3</stp>
        <stp>603970</stp>
        <stp>12/31/2018</stp>
        <stp>1</stp>
        <tr r="U3016" s="1"/>
      </tp>
      <tp>
        <v>3.9812465071560936</v>
        <stp/>
        <stp>EM_S_RATIO_EPS_TTM</stp>
        <stp>3</stp>
        <stp>002110</stp>
        <stp>12/31/2018</stp>
        <stp>1</stp>
        <tr r="U3202" s="1"/>
      </tp>
      <tp>
        <v>0.2513910103759438</v>
        <stp/>
        <stp>EM_S_RATIO_EPS_TTM</stp>
        <stp>3</stp>
        <stp>002010</stp>
        <stp>12/31/2018</stp>
        <stp>1</stp>
        <tr r="U1950" s="1"/>
      </tp>
      <tp>
        <v>0.59428178777166574</v>
        <stp/>
        <stp>EM_S_RATIO_EPS_TTM</stp>
        <stp>3</stp>
        <stp>002310</stp>
        <stp>12/31/2018</stp>
        <stp>1</stp>
        <tr r="U3198" s="1"/>
      </tp>
      <tp>
        <v>-1.3358841493325095</v>
        <stp/>
        <stp>EM_S_RATIO_EPS_TTM</stp>
        <stp>3</stp>
        <stp>002210</stp>
        <stp>12/31/2018</stp>
        <stp>1</stp>
        <tr r="U3397" s="1"/>
      </tp>
      <tp>
        <v>0.23038485674576983</v>
        <stp/>
        <stp>EM_S_RATIO_EPS_TTM</stp>
        <stp>3</stp>
        <stp>002510</stp>
        <stp>12/31/2018</stp>
        <stp>1</stp>
        <tr r="U994" s="1"/>
      </tp>
      <tp>
        <v>0.38975294770674573</v>
        <stp/>
        <stp>EM_S_RATIO_EPS_TTM</stp>
        <stp>3</stp>
        <stp>002410</stp>
        <stp>12/31/2018</stp>
        <stp>1</stp>
        <tr r="U427" s="1"/>
      </tp>
      <tp>
        <v>0.80265081000000005</v>
        <stp/>
        <stp>EM_S_RATIO_EPS_TTM</stp>
        <stp>3</stp>
        <stp>002710</stp>
        <stp>12/31/2018</stp>
        <stp>1</stp>
        <tr r="U7" s="1"/>
      </tp>
      <tp>
        <v>2.7916110715910658E-2</v>
        <stp/>
        <stp>EM_S_RATIO_EPS_TTM</stp>
        <stp>3</stp>
        <stp>002610</stp>
        <stp>12/31/2018</stp>
        <stp>1</stp>
        <tr r="U2135" s="1"/>
      </tp>
      <tp>
        <v>0.33913292505604781</v>
        <stp/>
        <stp>EM_S_RATIO_EPS_TTM</stp>
        <stp>3</stp>
        <stp>002910</stp>
        <stp>12/31/2018</stp>
        <stp>1</stp>
        <tr r="U2541" s="1"/>
      </tp>
      <tp>
        <v>0.61653210508634015</v>
        <stp/>
        <stp>EM_S_RATIO_EPS_TTM</stp>
        <stp>3</stp>
        <stp>002810</stp>
        <stp>12/31/2018</stp>
        <stp>1</stp>
        <tr r="U1778" s="1"/>
      </tp>
      <tp>
        <v>0.34521437919544873</v>
        <stp/>
        <stp>EM_S_RATIO_EPS_TTM</stp>
        <stp>3</stp>
        <stp>300120</stp>
        <stp>12/31/2018</stp>
        <stp>1</stp>
        <tr r="U2024" s="1"/>
      </tp>
      <tp>
        <v>0.31219032266367336</v>
        <stp/>
        <stp>EM_S_RATIO_EPS_TTM</stp>
        <stp>3</stp>
        <stp>600170</stp>
        <stp>12/31/2018</stp>
        <stp>1</stp>
        <tr r="U1414" s="1"/>
      </tp>
      <tp>
        <v>-0.89223183854527643</v>
        <stp/>
        <stp>EM_S_RATIO_EPS_TTM</stp>
        <stp>3</stp>
        <stp>000010</stp>
        <stp>12/31/2018</stp>
        <stp>1</stp>
        <tr r="U2039" s="1"/>
      </tp>
      <tp>
        <v>4.0324086302345082E-2</v>
        <stp/>
        <stp>EM_S_RATIO_EPS_TTM</stp>
        <stp>3</stp>
        <stp>300020</stp>
        <stp>12/31/2018</stp>
        <stp>1</stp>
        <tr r="U927" s="1"/>
      </tp>
      <tp>
        <v>0.41534847485923826</v>
        <stp/>
        <stp>EM_S_RATIO_EPS_TTM</stp>
        <stp>3</stp>
        <stp>600070</stp>
        <stp>12/31/2018</stp>
        <stp>1</stp>
        <tr r="U667" s="1"/>
      </tp>
      <tp>
        <v>0.27773655251086676</v>
        <stp/>
        <stp>EM_S_RATIO_EPS_TTM</stp>
        <stp>3</stp>
        <stp>300320</stp>
        <stp>12/31/2018</stp>
        <stp>1</stp>
        <tr r="U1658" s="1"/>
      </tp>
      <tp>
        <v>6.7263921533806517E-2</v>
        <stp/>
        <stp>EM_S_RATIO_EPS_TTM</stp>
        <stp>3</stp>
        <stp>600370</stp>
        <stp>12/31/2018</stp>
        <stp>1</stp>
        <tr r="U1676" s="1"/>
      </tp>
      <tp>
        <v>5.6682874603174602E-2</v>
        <stp/>
        <stp>EM_S_RATIO_EPS_TTM</stp>
        <stp>3</stp>
        <stp>300220</stp>
        <stp>12/31/2018</stp>
        <stp>1</stp>
        <tr r="U27" s="1"/>
      </tp>
      <tp>
        <v>1.4168266159586305</v>
        <stp/>
        <stp>EM_S_RATIO_EPS_TTM</stp>
        <stp>3</stp>
        <stp>600270</stp>
        <stp>12/31/2018</stp>
        <stp>1</stp>
        <tr r="U2298" s="1"/>
      </tp>
      <tp>
        <v>0.1643217981198776</v>
        <stp/>
        <stp>EM_S_RATIO_EPS_TTM</stp>
        <stp>3</stp>
        <stp>000510</stp>
        <stp>12/31/2018</stp>
        <stp>1</stp>
        <tr r="U1993" s="1"/>
      </tp>
      <tp>
        <v>0.20423855521950662</v>
        <stp/>
        <stp>EM_S_RATIO_EPS_TTM</stp>
        <stp>3</stp>
        <stp>300520</stp>
        <stp>12/31/2018</stp>
        <stp>1</stp>
        <tr r="U1078" s="1"/>
      </tp>
      <tp>
        <v>1.0446180449474378</v>
        <stp/>
        <stp>EM_S_RATIO_EPS_TTM</stp>
        <stp>3</stp>
        <stp>600570</stp>
        <stp>12/31/2018</stp>
        <stp>1</stp>
        <tr r="U583" s="1"/>
      </tp>
      <tp>
        <v>-1.0297744972100076</v>
        <stp/>
        <stp>EM_S_RATIO_EPS_TTM</stp>
        <stp>3</stp>
        <stp>000410</stp>
        <stp>12/31/2018</stp>
        <stp>1</stp>
        <tr r="U3419" s="1"/>
      </tp>
      <tp>
        <v>0.18304851663467905</v>
        <stp/>
        <stp>EM_S_RATIO_EPS_TTM</stp>
        <stp>3</stp>
        <stp>300420</stp>
        <stp>12/31/2018</stp>
        <stp>1</stp>
        <tr r="U1747" s="1"/>
      </tp>
      <tp>
        <v>-1.1579289852377301</v>
        <stp/>
        <stp>EM_S_RATIO_EPS_TTM</stp>
        <stp>3</stp>
        <stp>600470</stp>
        <stp>12/31/2018</stp>
        <stp>1</stp>
        <tr r="U1540" s="1"/>
      </tp>
      <tp>
        <v>0.75602796045124632</v>
        <stp/>
        <stp>EM_S_RATIO_EPS_TTM</stp>
        <stp>3</stp>
        <stp>000710</stp>
        <stp>12/31/2018</stp>
        <stp>1</stp>
        <tr r="U1684" s="1"/>
      </tp>
      <tp>
        <v>0.6477898488888888</v>
        <stp/>
        <stp>EM_S_RATIO_EPS_TTM</stp>
        <stp>3</stp>
        <stp>300720</stp>
        <stp>12/31/2018</stp>
        <stp>1</stp>
        <tr r="U3311" s="1"/>
      </tp>
      <tp>
        <v>4.1359344669230767E-2</v>
        <stp/>
        <stp>EM_S_RATIO_EPS_TTM</stp>
        <stp>3</stp>
        <stp>600770</stp>
        <stp>12/31/2018</stp>
        <stp>1</stp>
        <tr r="U1467" s="1"/>
      </tp>
      <tp>
        <v>0.40663935444986266</v>
        <stp/>
        <stp>EM_S_RATIO_EPS_TTM</stp>
        <stp>3</stp>
        <stp>000610</stp>
        <stp>12/31/2018</stp>
        <stp>1</stp>
        <tr r="U1211" s="1"/>
      </tp>
      <tp>
        <v>0.88772242910302701</v>
        <stp/>
        <stp>EM_S_RATIO_EPS_TTM</stp>
        <stp>3</stp>
        <stp>300620</stp>
        <stp>12/31/2018</stp>
        <stp>1</stp>
        <tr r="U2759" s="1"/>
      </tp>
      <tp>
        <v>8.3780154235814114E-2</v>
        <stp/>
        <stp>EM_S_RATIO_EPS_TTM</stp>
        <stp>3</stp>
        <stp>600670</stp>
        <stp>12/31/2018</stp>
        <stp>1</stp>
        <tr r="U2314" s="1"/>
      </tp>
      <tp>
        <v>1.3083563125744611</v>
        <stp/>
        <stp>EM_S_RATIO_EPS_TTM</stp>
        <stp>3</stp>
        <stp>000910</stp>
        <stp>12/31/2018</stp>
        <stp>1</stp>
        <tr r="U880" s="1"/>
      </tp>
      <tp>
        <v>0.78612409615241563</v>
        <stp/>
        <stp>EM_S_RATIO_EPS_TTM</stp>
        <stp>3</stp>
        <stp>600970</stp>
        <stp>12/31/2018</stp>
        <stp>1</stp>
        <tr r="U1048" s="1"/>
      </tp>
      <tp>
        <v>0.30532103403501387</v>
        <stp/>
        <stp>EM_S_RATIO_EPS_TTM</stp>
        <stp>3</stp>
        <stp>000810</stp>
        <stp>12/31/2018</stp>
        <stp>1</stp>
        <tr r="U139" s="1"/>
      </tp>
      <tp>
        <v>8.7038334208413542E-3</v>
        <stp/>
        <stp>EM_S_RATIO_EPS_TTM</stp>
        <stp>3</stp>
        <stp>600870</stp>
        <stp>12/31/2018</stp>
        <stp>1</stp>
        <tr r="U2830" s="1"/>
      </tp>
      <tp>
        <v>0.42495037048899997</v>
        <stp/>
        <stp>EM_S_FA_ASSETSTURN</stp>
        <stp>3</stp>
        <stp>300394</stp>
        <stp>12/31/2018</stp>
        <stp>1</stp>
        <tr r="K554" s="1"/>
      </tp>
      <tp>
        <v>0.56076062021100004</v>
        <stp/>
        <stp>EM_S_FA_ASSETSTURN</stp>
        <stp>3</stp>
        <stp>300294</stp>
        <stp>12/31/2018</stp>
        <stp>1</stp>
        <tr r="K1530" s="1"/>
      </tp>
      <tp>
        <v>0.59440408388099997</v>
        <stp/>
        <stp>EM_S_FA_ASSETSTURN</stp>
        <stp>3</stp>
        <stp>300194</stp>
        <stp>12/31/2018</stp>
        <stp>1</stp>
        <tr r="K334" s="1"/>
      </tp>
      <tp>
        <v>1.0702966453239999</v>
        <stp/>
        <stp>EM_S_FA_ASSETSTURN</stp>
        <stp>3</stp>
        <stp>300094</stp>
        <stp>12/31/2018</stp>
        <stp>1</stp>
        <tr r="K2998" s="1"/>
      </tp>
      <tp>
        <v>0.46716797977000002</v>
        <stp/>
        <stp>EM_S_FA_ASSETSTURN</stp>
        <stp>3</stp>
        <stp>300494</stp>
        <stp>12/31/2018</stp>
        <stp>1</stp>
        <tr r="K404" s="1"/>
      </tp>
      <tp>
        <v>1.6707646378229439</v>
        <stp/>
        <stp>EM_S_RATIO_EPS_TTM</stp>
        <stp>3</stp>
        <stp>603773</stp>
        <stp>12/31/2018</stp>
        <stp>1</stp>
        <tr r="U3149" s="1"/>
      </tp>
      <tp>
        <v>-0.2457799044717979</v>
        <stp/>
        <stp>EM_S_RATIO_EPS_TTM</stp>
        <stp>3</stp>
        <stp>002113</stp>
        <stp>12/31/2018</stp>
        <stp>1</stp>
        <tr r="U3352" s="1"/>
      </tp>
      <tp>
        <v>0.23186304189588716</v>
        <stp/>
        <stp>EM_S_RATIO_EPS_TTM</stp>
        <stp>3</stp>
        <stp>002013</stp>
        <stp>12/31/2018</stp>
        <stp>1</stp>
        <tr r="U1925" s="1"/>
      </tp>
      <tp>
        <v>0.22979822714743592</v>
        <stp/>
        <stp>EM_S_RATIO_EPS_TTM</stp>
        <stp>3</stp>
        <stp>002313</stp>
        <stp>12/31/2018</stp>
        <stp>1</stp>
        <tr r="U2845" s="1"/>
      </tp>
      <tp>
        <v>5.1351132038834953E-3</v>
        <stp/>
        <stp>EM_S_RATIO_EPS_TTM</stp>
        <stp>3</stp>
        <stp>002213</stp>
        <stp>12/31/2018</stp>
        <stp>1</stp>
        <tr r="U924" s="1"/>
      </tp>
      <tp>
        <v>-2.5727333867025353</v>
        <stp/>
        <stp>EM_S_RATIO_EPS_TTM</stp>
        <stp>3</stp>
        <stp>002513</stp>
        <stp>12/31/2018</stp>
        <stp>1</stp>
        <tr r="U1792" s="1"/>
      </tp>
      <tp>
        <v>0.11956832160901723</v>
        <stp/>
        <stp>EM_S_RATIO_EPS_TTM</stp>
        <stp>3</stp>
        <stp>002413</stp>
        <stp>12/31/2018</stp>
        <stp>1</stp>
        <tr r="U2131" s="1"/>
      </tp>
      <tp>
        <v>0.96185438595590211</v>
        <stp/>
        <stp>EM_S_RATIO_EPS_TTM</stp>
        <stp>3</stp>
        <stp>002713</stp>
        <stp>12/31/2018</stp>
        <stp>1</stp>
        <tr r="U3382" s="1"/>
      </tp>
      <tp>
        <v>3.9744098573364493E-2</v>
        <stp/>
        <stp>EM_S_RATIO_EPS_TTM</stp>
        <stp>3</stp>
        <stp>002613</stp>
        <stp>12/31/2018</stp>
        <stp>1</stp>
        <tr r="U2072" s="1"/>
      </tp>
      <tp>
        <v>1.6230346568489242</v>
        <stp/>
        <stp>EM_S_RATIO_EPS_TTM</stp>
        <stp>3</stp>
        <stp>002913</stp>
        <stp>12/31/2018</stp>
        <stp>1</stp>
        <tr r="U570" s="1"/>
      </tp>
      <tp>
        <v>0.14127862191666665</v>
        <stp/>
        <stp>EM_S_RATIO_EPS_TTM</stp>
        <stp>3</stp>
        <stp>002813</stp>
        <stp>12/31/2018</stp>
        <stp>1</stp>
        <tr r="U2566" s="1"/>
      </tp>
      <tp>
        <v>0.28481961350551921</v>
        <stp/>
        <stp>EM_S_RATIO_EPS_TTM</stp>
        <stp>3</stp>
        <stp>300123</stp>
        <stp>12/31/2018</stp>
        <stp>1</stp>
        <tr r="U2994" s="1"/>
      </tp>
      <tp>
        <v>0.79270367854520196</v>
        <stp/>
        <stp>EM_S_RATIO_EPS_TTM</stp>
        <stp>3</stp>
        <stp>600173</stp>
        <stp>12/31/2018</stp>
        <stp>1</stp>
        <tr r="U786" s="1"/>
      </tp>
      <tp>
        <v>-0.26587895480034301</v>
        <stp/>
        <stp>EM_S_RATIO_EPS_TTM</stp>
        <stp>3</stp>
        <stp>000013</stp>
        <stp>12/31/2018</stp>
        <stp>1</stp>
        <tr r="U2272" s="1"/>
      </tp>
      <tp>
        <v>-1.8209321699289742</v>
        <stp/>
        <stp>EM_S_RATIO_EPS_TTM</stp>
        <stp>3</stp>
        <stp>300023</stp>
        <stp>12/31/2018</stp>
        <stp>1</stp>
        <tr r="U1352" s="1"/>
      </tp>
      <tp>
        <v>0.32632247520956664</v>
        <stp/>
        <stp>EM_S_RATIO_EPS_TTM</stp>
        <stp>3</stp>
        <stp>600073</stp>
        <stp>12/31/2018</stp>
        <stp>1</stp>
        <tr r="U1973" s="1"/>
      </tp>
      <tp>
        <v>0.22193954708969449</v>
        <stp/>
        <stp>EM_S_RATIO_EPS_TTM</stp>
        <stp>3</stp>
        <stp>300323</stp>
        <stp>12/31/2018</stp>
        <stp>1</stp>
        <tr r="U2365" s="1"/>
      </tp>
      <tp>
        <v>1.1750216141446359</v>
        <stp/>
        <stp>EM_S_RATIO_EPS_TTM</stp>
        <stp>3</stp>
        <stp>600373</stp>
        <stp>12/31/2018</stp>
        <stp>1</stp>
        <tr r="U2059" s="1"/>
      </tp>
      <tp>
        <v>6.7353550592321662E-2</v>
        <stp/>
        <stp>EM_S_RATIO_EPS_TTM</stp>
        <stp>3</stp>
        <stp>300223</stp>
        <stp>12/31/2018</stp>
        <stp>1</stp>
        <tr r="U20" s="1"/>
      </tp>
      <tp>
        <v>0.76788920134719296</v>
        <stp/>
        <stp>EM_S_RATIO_EPS_TTM</stp>
        <stp>3</stp>
        <stp>600273</stp>
        <stp>12/31/2018</stp>
        <stp>1</stp>
        <tr r="U1116" s="1"/>
      </tp>
      <tp>
        <v>1.5050059728510765</v>
        <stp/>
        <stp>EM_S_RATIO_EPS_TTM</stp>
        <stp>3</stp>
        <stp>000513</stp>
        <stp>12/31/2018</stp>
        <stp>1</stp>
        <tr r="U913" s="1"/>
      </tp>
      <tp>
        <v>0.94144507472222216</v>
        <stp/>
        <stp>EM_S_RATIO_EPS_TTM</stp>
        <stp>3</stp>
        <stp>300523</stp>
        <stp>12/31/2018</stp>
        <stp>1</stp>
        <tr r="U3143" s="1"/>
      </tp>
      <tp>
        <v>7.3989314639999998E-2</v>
        <stp/>
        <stp>EM_S_RATIO_EPS_TTM</stp>
        <stp>3</stp>
        <stp>600573</stp>
        <stp>12/31/2018</stp>
        <stp>1</stp>
        <tr r="U2085" s="1"/>
      </tp>
      <tp>
        <v>0.37757645143509944</v>
        <stp/>
        <stp>EM_S_RATIO_EPS_TTM</stp>
        <stp>3</stp>
        <stp>000413</stp>
        <stp>12/31/2018</stp>
        <stp>1</stp>
        <tr r="U3142" s="1"/>
      </tp>
      <tp>
        <v>1.5461104707366866</v>
        <stp/>
        <stp>EM_S_RATIO_EPS_TTM</stp>
        <stp>3</stp>
        <stp>300423</stp>
        <stp>12/31/2018</stp>
        <stp>1</stp>
        <tr r="U3152" s="1"/>
      </tp>
      <tp>
        <v>0.17796534132848044</v>
        <stp/>
        <stp>EM_S_RATIO_EPS_TTM</stp>
        <stp>3</stp>
        <stp>000713</stp>
        <stp>12/31/2018</stp>
        <stp>1</stp>
        <tr r="U252" s="1"/>
      </tp>
      <tp>
        <v>1.2895465321946356</v>
        <stp/>
        <stp>EM_S_RATIO_EPS_TTM</stp>
        <stp>3</stp>
        <stp>300723</stp>
        <stp>12/31/2018</stp>
        <stp>1</stp>
        <tr r="U648" s="1"/>
      </tp>
      <tp>
        <v>0.12715063072485022</v>
        <stp/>
        <stp>EM_S_RATIO_EPS_TTM</stp>
        <stp>3</stp>
        <stp>600773</stp>
        <stp>12/31/2018</stp>
        <stp>1</stp>
        <tr r="U2483" s="1"/>
      </tp>
      <tp>
        <v>1.7942383685800602E-3</v>
        <stp/>
        <stp>EM_S_RATIO_EPS_TTM</stp>
        <stp>3</stp>
        <stp>000613</stp>
        <stp>12/31/2018</stp>
        <stp>1</stp>
        <tr r="U3064" s="1"/>
      </tp>
      <tp>
        <v>0.92169933915521218</v>
        <stp/>
        <stp>EM_S_RATIO_EPS_TTM</stp>
        <stp>3</stp>
        <stp>300623</stp>
        <stp>12/31/2018</stp>
        <stp>1</stp>
        <tr r="U1635" s="1"/>
      </tp>
      <tp>
        <v>0.36185449028937855</v>
        <stp/>
        <stp>EM_S_RATIO_EPS_TTM</stp>
        <stp>3</stp>
        <stp>600673</stp>
        <stp>12/31/2018</stp>
        <stp>1</stp>
        <tr r="U859" s="1"/>
      </tp>
      <tp>
        <v>0.13969758316870104</v>
        <stp/>
        <stp>EM_S_RATIO_EPS_TTM</stp>
        <stp>3</stp>
        <stp>000913</stp>
        <stp>12/31/2018</stp>
        <stp>1</stp>
        <tr r="U1323" s="1"/>
      </tp>
      <tp>
        <v>9.6303757356901373E-2</v>
        <stp/>
        <stp>EM_S_RATIO_EPS_TTM</stp>
        <stp>3</stp>
        <stp>600973</stp>
        <stp>12/31/2018</stp>
        <stp>1</stp>
        <tr r="U2049" s="1"/>
      </tp>
      <tp>
        <v>0.41513862436001042</v>
        <stp/>
        <stp>EM_S_RATIO_EPS_TTM</stp>
        <stp>3</stp>
        <stp>000813</stp>
        <stp>12/31/2018</stp>
        <stp>1</stp>
        <tr r="U3236" s="1"/>
      </tp>
      <tp>
        <v>0.32222969274100449</v>
        <stp/>
        <stp>EM_S_RATIO_EPS_TTM</stp>
        <stp>3</stp>
        <stp>600873</stp>
        <stp>12/31/2018</stp>
        <stp>1</stp>
        <tr r="U2002" s="1"/>
      </tp>
      <tp>
        <v>0.56373217867699998</v>
        <stp/>
        <stp>EM_S_FA_ASSETSTURN</stp>
        <stp>3</stp>
        <stp>300395</stp>
        <stp>12/31/2018</stp>
        <stp>1</stp>
        <tr r="K574" s="1"/>
      </tp>
      <tp>
        <v>0.28360638362200002</v>
        <stp/>
        <stp>EM_S_FA_ASSETSTURN</stp>
        <stp>3</stp>
        <stp>300295</stp>
        <stp>12/31/2018</stp>
        <stp>1</stp>
        <tr r="K1480" s="1"/>
      </tp>
      <tp>
        <v>0.23395107100500001</v>
        <stp/>
        <stp>EM_S_FA_ASSETSTURN</stp>
        <stp>3</stp>
        <stp>300195</stp>
        <stp>12/31/2018</stp>
        <stp>1</stp>
        <tr r="K2722" s="1"/>
      </tp>
      <tp>
        <v>0.36629418722899998</v>
        <stp/>
        <stp>EM_S_FA_ASSETSTURN</stp>
        <stp>3</stp>
        <stp>300095</stp>
        <stp>12/31/2018</stp>
        <stp>1</stp>
        <tr r="K950" s="1"/>
      </tp>
      <tp>
        <v>0.24937933812999999</v>
        <stp/>
        <stp>EM_S_FA_ASSETSTURN</stp>
        <stp>3</stp>
        <stp>300695</stp>
        <stp>12/31/2018</stp>
        <stp>1</stp>
        <tr r="K1890" s="1"/>
      </tp>
      <tp>
        <v>0.42638006151399999</v>
        <stp/>
        <stp>EM_S_FA_ASSETSTURN</stp>
        <stp>3</stp>
        <stp>300595</stp>
        <stp>12/31/2018</stp>
        <stp>1</stp>
        <tr r="K1286" s="1"/>
      </tp>
      <tp>
        <v>0.304094883426</v>
        <stp/>
        <stp>EM_S_FA_ASSETSTURN</stp>
        <stp>3</stp>
        <stp>300495</stp>
        <stp>12/31/2018</stp>
        <stp>1</stp>
        <tr r="K2945" s="1"/>
      </tp>
      <tp>
        <v>3.1180701587301591E-2</v>
        <stp/>
        <stp>EM_S_RATIO_EPS_TTM</stp>
        <stp>3</stp>
        <stp>002112</stp>
        <stp>12/31/2018</stp>
        <stp>1</stp>
        <tr r="U2156" s="1"/>
      </tp>
      <tp>
        <v>5.3050805658639594E-2</v>
        <stp/>
        <stp>EM_S_RATIO_EPS_TTM</stp>
        <stp>3</stp>
        <stp>002012</stp>
        <stp>12/31/2018</stp>
        <stp>1</stp>
        <tr r="U608" s="1"/>
      </tp>
      <tp>
        <v>-0.158766271766032</v>
        <stp/>
        <stp>EM_S_RATIO_EPS_TTM</stp>
        <stp>3</stp>
        <stp>002312</stp>
        <stp>12/31/2018</stp>
        <stp>1</stp>
        <tr r="U876" s="1"/>
      </tp>
      <tp>
        <v>0.42310326106150475</v>
        <stp/>
        <stp>EM_S_RATIO_EPS_TTM</stp>
        <stp>3</stp>
        <stp>002212</stp>
        <stp>12/31/2018</stp>
        <stp>1</stp>
        <tr r="U305" s="1"/>
      </tp>
      <tp>
        <v>-1.5902798482115528</v>
        <stp/>
        <stp>EM_S_RATIO_EPS_TTM</stp>
        <stp>3</stp>
        <stp>002512</stp>
        <stp>12/31/2018</stp>
        <stp>1</stp>
        <tr r="U1261" s="1"/>
      </tp>
      <tp>
        <v>0.49843525375000003</v>
        <stp/>
        <stp>EM_S_RATIO_EPS_TTM</stp>
        <stp>3</stp>
        <stp>002412</stp>
        <stp>12/31/2018</stp>
        <stp>1</stp>
        <tr r="U3306" s="1"/>
      </tp>
      <tp>
        <v>5.4235427601954794E-2</v>
        <stp/>
        <stp>EM_S_RATIO_EPS_TTM</stp>
        <stp>3</stp>
        <stp>002712</stp>
        <stp>12/31/2018</stp>
        <stp>1</stp>
        <tr r="U708" s="1"/>
      </tp>
      <tp>
        <v>0.52613272412500001</v>
        <stp/>
        <stp>EM_S_RATIO_EPS_TTM</stp>
        <stp>3</stp>
        <stp>002612</stp>
        <stp>12/31/2018</stp>
        <stp>1</stp>
        <tr r="U1881" s="1"/>
      </tp>
      <tp>
        <v>1.9186171649175412</v>
        <stp/>
        <stp>EM_S_RATIO_EPS_TTM</stp>
        <stp>3</stp>
        <stp>002912</stp>
        <stp>12/31/2018</stp>
        <stp>1</stp>
        <tr r="U494" s="1"/>
      </tp>
      <tp>
        <v>1.0940590031552928</v>
        <stp/>
        <stp>EM_S_RATIO_EPS_TTM</stp>
        <stp>3</stp>
        <stp>002812</stp>
        <stp>12/31/2018</stp>
        <stp>1</stp>
        <tr r="U2026" s="1"/>
      </tp>
      <tp>
        <v>0.19236334889511311</v>
        <stp/>
        <stp>EM_S_RATIO_EPS_TTM</stp>
        <stp>3</stp>
        <stp>601872</stp>
        <stp>12/31/2018</stp>
        <stp>1</stp>
        <tr r="U137" s="1"/>
      </tp>
      <tp>
        <v>0.9071040800875001</v>
        <stp/>
        <stp>EM_S_RATIO_EPS_TTM</stp>
        <stp>3</stp>
        <stp>300122</stp>
        <stp>12/31/2018</stp>
        <stp>1</stp>
        <tr r="U1101" s="1"/>
      </tp>
      <tp>
        <v>-0.16094390846841319</v>
        <stp/>
        <stp>EM_S_RATIO_EPS_TTM</stp>
        <stp>3</stp>
        <stp>600172</stp>
        <stp>12/31/2018</stp>
        <stp>1</stp>
        <tr r="U2575" s="1"/>
      </tp>
      <tp>
        <v>0.15819842201858819</v>
        <stp/>
        <stp>EM_S_RATIO_EPS_TTM</stp>
        <stp>3</stp>
        <stp>000012</stp>
        <stp>12/31/2018</stp>
        <stp>1</stp>
        <tr r="U741" s="1"/>
      </tp>
      <tp>
        <v>2.7523849886747959E-2</v>
        <stp/>
        <stp>EM_S_RATIO_EPS_TTM</stp>
        <stp>3</stp>
        <stp>300022</stp>
        <stp>12/31/2018</stp>
        <stp>1</stp>
        <tr r="U1917" s="1"/>
      </tp>
      <tp>
        <v>8.8865793857110867E-2</v>
        <stp/>
        <stp>EM_S_RATIO_EPS_TTM</stp>
        <stp>3</stp>
        <stp>600072</stp>
        <stp>12/31/2018</stp>
        <stp>1</stp>
        <tr r="U198" s="1"/>
      </tp>
      <tp>
        <v>0.15340551798517024</v>
        <stp/>
        <stp>EM_S_RATIO_EPS_TTM</stp>
        <stp>3</stp>
        <stp>300322</stp>
        <stp>12/31/2018</stp>
        <stp>1</stp>
        <tr r="U123" s="1"/>
      </tp>
      <tp>
        <v>0.272472454120816</v>
        <stp/>
        <stp>EM_S_RATIO_EPS_TTM</stp>
        <stp>3</stp>
        <stp>600372</stp>
        <stp>12/31/2018</stp>
        <stp>1</stp>
        <tr r="U1736" s="1"/>
      </tp>
      <tp>
        <v>0.53864397137453468</v>
        <stp/>
        <stp>EM_S_RATIO_EPS_TTM</stp>
        <stp>3</stp>
        <stp>300222</stp>
        <stp>12/31/2018</stp>
        <stp>1</stp>
        <tr r="U3309" s="1"/>
      </tp>
      <tp>
        <v>0.14499717781893004</v>
        <stp/>
        <stp>EM_S_RATIO_EPS_TTM</stp>
        <stp>3</stp>
        <stp>600272</stp>
        <stp>12/31/2018</stp>
        <stp>1</stp>
        <tr r="U1919" s="1"/>
      </tp>
      <tp>
        <v>0.55562625897794049</v>
        <stp/>
        <stp>EM_S_RATIO_EPS_TTM</stp>
        <stp>3</stp>
        <stp>300522</stp>
        <stp>12/31/2018</stp>
        <stp>1</stp>
        <tr r="U1837" s="1"/>
      </tp>
      <tp>
        <v>0.30134908684754086</v>
        <stp/>
        <stp>EM_S_RATIO_EPS_TTM</stp>
        <stp>3</stp>
        <stp>600572</stp>
        <stp>12/31/2018</stp>
        <stp>1</stp>
        <tr r="U2179" s="1"/>
      </tp>
      <tp>
        <v>-0.1252661179539947</v>
        <stp/>
        <stp>EM_S_RATIO_EPS_TTM</stp>
        <stp>3</stp>
        <stp>000412</stp>
        <stp>12/31/2018</stp>
        <stp>1</stp>
        <tr r="U3420" s="1"/>
      </tp>
      <tp>
        <v>0.66119432216408114</v>
        <stp/>
        <stp>EM_S_RATIO_EPS_TTM</stp>
        <stp>3</stp>
        <stp>300422</stp>
        <stp>12/31/2018</stp>
        <stp>1</stp>
        <tr r="U2032" s="1"/>
      </tp>
      <tp>
        <v>1.5505438603016239</v>
        <stp/>
        <stp>EM_S_RATIO_EPS_TTM</stp>
        <stp>3</stp>
        <stp>600472</stp>
        <stp>12/31/2018</stp>
        <stp>1</stp>
        <tr r="U2303" s="1"/>
      </tp>
      <tp>
        <v>-0.20219747014508929</v>
        <stp/>
        <stp>EM_S_RATIO_EPS_TTM</stp>
        <stp>3</stp>
        <stp>000712</stp>
        <stp>12/31/2018</stp>
        <stp>1</stp>
        <tr r="U3518" s="1"/>
      </tp>
      <tp>
        <v>0.92535432662499995</v>
        <stp/>
        <stp>EM_S_RATIO_EPS_TTM</stp>
        <stp>3</stp>
        <stp>300722</stp>
        <stp>12/31/2018</stp>
        <stp>1</stp>
        <tr r="U3251" s="1"/>
      </tp>
      <tp>
        <v>-0.5571397128461093</v>
        <stp/>
        <stp>EM_S_RATIO_EPS_TTM</stp>
        <stp>3</stp>
        <stp>600772</stp>
        <stp>12/31/2018</stp>
        <stp>1</stp>
        <tr r="U2321" s="1"/>
      </tp>
      <tp>
        <v>-0.37083188171793352</v>
        <stp/>
        <stp>EM_S_RATIO_EPS_TTM</stp>
        <stp>3</stp>
        <stp>000612</stp>
        <stp>12/31/2018</stp>
        <stp>1</stp>
        <tr r="U3484" s="1"/>
      </tp>
      <tp>
        <v>0.68170387162395119</v>
        <stp/>
        <stp>EM_S_RATIO_EPS_TTM</stp>
        <stp>3</stp>
        <stp>300622</stp>
        <stp>12/31/2018</stp>
        <stp>1</stp>
        <tr r="U1369" s="1"/>
      </tp>
      <tp>
        <v>2.2299698816900075E-2</v>
        <stp/>
        <stp>EM_S_RATIO_EPS_TTM</stp>
        <stp>3</stp>
        <stp>600672</stp>
        <stp>12/31/2018</stp>
        <stp>1</stp>
        <tr r="U2315" s="1"/>
      </tp>
      <tp>
        <v>0.22423354058035713</v>
        <stp/>
        <stp>EM_S_RATIO_EPS_TTM</stp>
        <stp>3</stp>
        <stp>000912</stp>
        <stp>12/31/2018</stp>
        <stp>1</stp>
        <tr r="U2196" s="1"/>
      </tp>
      <tp>
        <v>2.9066903223815808E-2</v>
        <stp/>
        <stp>EM_S_RATIO_EPS_TTM</stp>
        <stp>3</stp>
        <stp>000812</stp>
        <stp>12/31/2018</stp>
        <stp>1</stp>
        <tr r="U2624" s="1"/>
      </tp>
      <tp>
        <v>0.76248890509372824</v>
        <stp/>
        <stp>EM_S_RATIO_EPS_TTM</stp>
        <stp>3</stp>
        <stp>600872</stp>
        <stp>12/31/2018</stp>
        <stp>1</stp>
        <tr r="U909" s="1"/>
      </tp>
      <tp t="s">
        <v>1996-04-30</v>
        <stp/>
        <stp>EM_S_IPO_LISTEDDATE</stp>
        <stp>1</stp>
        <stp>000599</stp>
        <tr r="AT3476" s="1"/>
      </tp>
      <tp t="s">
        <v>2011-07-15</v>
        <stp/>
        <stp>EM_S_IPO_LISTEDDATE</stp>
        <stp>1</stp>
        <stp>002599</stp>
        <tr r="AT3370" s="1"/>
      </tp>
      <tp t="s">
        <v>1996-05-29</v>
        <stp/>
        <stp>EM_S_IPO_LISTEDDATE</stp>
        <stp>1</stp>
        <stp>000598</stp>
        <tr r="AT1507" s="1"/>
      </tp>
      <tp t="s">
        <v>2011-07-07</v>
        <stp/>
        <stp>EM_S_IPO_LISTEDDATE</stp>
        <stp>1</stp>
        <stp>002598</stp>
        <tr r="AT2728" s="1"/>
      </tp>
      <tp t="s">
        <v>1996-04-19</v>
        <stp/>
        <stp>EM_S_IPO_LISTEDDATE</stp>
        <stp>1</stp>
        <stp>000595</stp>
        <tr r="AT3475" s="1"/>
      </tp>
      <tp t="s">
        <v>2011-06-28</v>
        <stp/>
        <stp>EM_S_IPO_LISTEDDATE</stp>
        <stp>1</stp>
        <stp>002595</stp>
        <tr r="AT1354" s="1"/>
      </tp>
      <tp t="s">
        <v>1996-03-20</v>
        <stp/>
        <stp>EM_S_IPO_LISTEDDATE</stp>
        <stp>1</stp>
        <stp>000594</stp>
        <tr r="AT3474" s="1"/>
      </tp>
      <tp t="s">
        <v>2011-06-30</v>
        <stp/>
        <stp>EM_S_IPO_LISTEDDATE</stp>
        <stp>1</stp>
        <stp>002594</stp>
        <tr r="AT2634" s="1"/>
      </tp>
      <tp t="s">
        <v>1996-05-23</v>
        <stp/>
        <stp>EM_S_IPO_LISTEDDATE</stp>
        <stp>1</stp>
        <stp>000597</stp>
        <tr r="AT3256" s="1"/>
      </tp>
      <tp t="s">
        <v>2011-07-07</v>
        <stp/>
        <stp>EM_S_IPO_LISTEDDATE</stp>
        <stp>1</stp>
        <stp>002597</stp>
        <tr r="AT765" s="1"/>
      </tp>
      <tp t="s">
        <v>1996-09-27</v>
        <stp/>
        <stp>EM_S_IPO_LISTEDDATE</stp>
        <stp>1</stp>
        <stp>000596</stp>
        <tr r="AT77" s="1"/>
      </tp>
      <tp t="s">
        <v>2011-07-07</v>
        <stp/>
        <stp>EM_S_IPO_LISTEDDATE</stp>
        <stp>1</stp>
        <stp>002596</stp>
        <tr r="AT1810" s="1"/>
      </tp>
      <tp t="s">
        <v>1996-02-08</v>
        <stp/>
        <stp>EM_S_IPO_LISTEDDATE</stp>
        <stp>1</stp>
        <stp>000591</stp>
        <tr r="AT1170" s="1"/>
      </tp>
      <tp t="s">
        <v>2011-06-21</v>
        <stp/>
        <stp>EM_S_IPO_LISTEDDATE</stp>
        <stp>1</stp>
        <stp>002591</stp>
        <tr r="AT814" s="1"/>
      </tp>
      <tp t="s">
        <v>1996-01-19</v>
        <stp/>
        <stp>EM_S_IPO_LISTEDDATE</stp>
        <stp>1</stp>
        <stp>000590</stp>
        <tr r="AT3472" s="1"/>
      </tp>
      <tp t="s">
        <v>2011-06-10</v>
        <stp/>
        <stp>EM_S_IPO_LISTEDDATE</stp>
        <stp>1</stp>
        <stp>002590</stp>
        <tr r="AT1706" s="1"/>
      </tp>
      <tp t="s">
        <v>1996-03-12</v>
        <stp/>
        <stp>EM_S_IPO_LISTEDDATE</stp>
        <stp>1</stp>
        <stp>000593</stp>
        <tr r="AT3473" s="1"/>
      </tp>
      <tp t="s">
        <v>2011-06-28</v>
        <stp/>
        <stp>EM_S_IPO_LISTEDDATE</stp>
        <stp>1</stp>
        <stp>002593</stp>
        <tr r="AT1008" s="1"/>
      </tp>
      <tp t="s">
        <v>1996-03-27</v>
        <stp/>
        <stp>EM_S_IPO_LISTEDDATE</stp>
        <stp>1</stp>
        <stp>000592</stp>
        <tr r="AT1951" s="1"/>
      </tp>
      <tp t="s">
        <v>2011-11-11</v>
        <stp/>
        <stp>EM_S_IPO_LISTEDDATE</stp>
        <stp>1</stp>
        <stp>002592</stp>
        <tr r="AT3324" s="1"/>
      </tp>
      <tp t="s">
        <v>1996-03-08</v>
        <stp/>
        <stp>EM_S_IPO_LISTEDDATE</stp>
        <stp>1</stp>
        <stp>000589</stp>
        <tr r="AT3471" s="1"/>
      </tp>
      <tp t="s">
        <v>2011-06-10</v>
        <stp/>
        <stp>EM_S_IPO_LISTEDDATE</stp>
        <stp>1</stp>
        <stp>002589</stp>
        <tr r="AT1768" s="1"/>
      </tp>
      <tp t="s">
        <v>1996-01-23</v>
        <stp/>
        <stp>EM_S_IPO_LISTEDDATE</stp>
        <stp>1</stp>
        <stp>000588</stp>
        <tr r="AT3470" s="1"/>
      </tp>
      <tp t="s">
        <v>2011-06-10</v>
        <stp/>
        <stp>EM_S_IPO_LISTEDDATE</stp>
        <stp>1</stp>
        <stp>002588</stp>
        <tr r="AT2389" s="1"/>
      </tp>
      <tp t="s">
        <v>1995-12-13</v>
        <stp/>
        <stp>EM_S_IPO_LISTEDDATE</stp>
        <stp>1</stp>
        <stp>000585</stp>
        <tr r="AT3467" s="1"/>
      </tp>
      <tp t="s">
        <v>2011-06-02</v>
        <stp/>
        <stp>EM_S_IPO_LISTEDDATE</stp>
        <stp>1</stp>
        <stp>002585</stp>
        <tr r="AT2748" s="1"/>
      </tp>
      <tp t="s">
        <v>1995-11-28</v>
        <stp/>
        <stp>EM_S_IPO_LISTEDDATE</stp>
        <stp>1</stp>
        <stp>000584</stp>
        <tr r="AT2403" s="1"/>
      </tp>
      <tp t="s">
        <v>2011-06-02</v>
        <stp/>
        <stp>EM_S_IPO_LISTEDDATE</stp>
        <stp>1</stp>
        <stp>002584</stp>
        <tr r="AT2985" s="1"/>
      </tp>
      <tp t="s">
        <v>1996-04-25</v>
        <stp/>
        <stp>EM_S_IPO_LISTEDDATE</stp>
        <stp>1</stp>
        <stp>000587</stp>
        <tr r="AT3469" s="1"/>
      </tp>
      <tp t="s">
        <v>2011-06-10</v>
        <stp/>
        <stp>EM_S_IPO_LISTEDDATE</stp>
        <stp>1</stp>
        <stp>002587</stp>
        <tr r="AT422" s="1"/>
      </tp>
      <tp t="s">
        <v>1995-12-20</v>
        <stp/>
        <stp>EM_S_IPO_LISTEDDATE</stp>
        <stp>1</stp>
        <stp>000586</stp>
        <tr r="AT3468" s="1"/>
      </tp>
      <tp t="s">
        <v>2011-06-02</v>
        <stp/>
        <stp>EM_S_IPO_LISTEDDATE</stp>
        <stp>1</stp>
        <stp>002586</stp>
        <tr r="AT3213" s="1"/>
      </tp>
      <tp t="s">
        <v>1998-09-24</v>
        <stp/>
        <stp>EM_S_IPO_LISTEDDATE</stp>
        <stp>1</stp>
        <stp>000581</stp>
        <tr r="AT3465" s="1"/>
      </tp>
      <tp t="s">
        <v>2011-05-20</v>
        <stp/>
        <stp>EM_S_IPO_LISTEDDATE</stp>
        <stp>1</stp>
        <stp>002581</stp>
        <tr r="AT2170" s="1"/>
      </tp>
      <tp t="s">
        <v>2011-05-06</v>
        <stp/>
        <stp>EM_S_IPO_LISTEDDATE</stp>
        <stp>1</stp>
        <stp>002580</stp>
        <tr r="AT1977" s="1"/>
      </tp>
      <tp t="s">
        <v>1995-11-01</v>
        <stp/>
        <stp>EM_S_IPO_LISTEDDATE</stp>
        <stp>1</stp>
        <stp>000583</stp>
        <tr r="AT3466" s="1"/>
      </tp>
      <tp t="s">
        <v>2011-05-27</v>
        <stp/>
        <stp>EM_S_IPO_LISTEDDATE</stp>
        <stp>1</stp>
        <stp>002583</stp>
        <tr r="AT1954" s="1"/>
      </tp>
      <tp t="s">
        <v>1995-11-02</v>
        <stp/>
        <stp>EM_S_IPO_LISTEDDATE</stp>
        <stp>1</stp>
        <stp>000582</stp>
        <tr r="AT1167" s="1"/>
      </tp>
      <tp t="s">
        <v>2011-05-20</v>
        <stp/>
        <stp>EM_S_IPO_LISTEDDATE</stp>
        <stp>1</stp>
        <stp>002582</stp>
        <tr r="AT1633" s="1"/>
      </tp>
      <tp t="s">
        <v>2017-01-13</v>
        <stp/>
        <stp>EM_S_IPO_LISTEDDATE</stp>
        <stp>1</stp>
        <stp>300589</stp>
        <tr r="AT1439" s="1"/>
      </tp>
      <tp t="s">
        <v>2017-01-05</v>
        <stp/>
        <stp>EM_S_IPO_LISTEDDATE</stp>
        <stp>1</stp>
        <stp>300588</stp>
        <tr r="AT2696" s="1"/>
      </tp>
      <tp t="s">
        <v>2016-12-29</v>
        <stp/>
        <stp>EM_S_IPO_LISTEDDATE</stp>
        <stp>1</stp>
        <stp>300585</stp>
        <tr r="AT290" s="1"/>
      </tp>
      <tp t="s">
        <v>2017-01-12</v>
        <stp/>
        <stp>EM_S_IPO_LISTEDDATE</stp>
        <stp>1</stp>
        <stp>300584</stp>
        <tr r="AT1602" s="1"/>
      </tp>
      <tp t="s">
        <v>2017-01-05</v>
        <stp/>
        <stp>EM_S_IPO_LISTEDDATE</stp>
        <stp>1</stp>
        <stp>300587</stp>
        <tr r="AT2762" s="1"/>
      </tp>
      <tp t="s">
        <v>2017-01-04</v>
        <stp/>
        <stp>EM_S_IPO_LISTEDDATE</stp>
        <stp>1</stp>
        <stp>300586</stp>
        <tr r="AT117" s="1"/>
      </tp>
      <tp t="s">
        <v>2016-12-20</v>
        <stp/>
        <stp>EM_S_IPO_LISTEDDATE</stp>
        <stp>1</stp>
        <stp>300581</stp>
        <tr r="AT989" s="1"/>
      </tp>
      <tp t="s">
        <v>2017-01-11</v>
        <stp/>
        <stp>EM_S_IPO_LISTEDDATE</stp>
        <stp>1</stp>
        <stp>300580</stp>
        <tr r="AT1402" s="1"/>
      </tp>
      <tp t="s">
        <v>2017-01-06</v>
        <stp/>
        <stp>EM_S_IPO_LISTEDDATE</stp>
        <stp>1</stp>
        <stp>300583</stp>
        <tr r="AT2080" s="1"/>
      </tp>
      <tp t="s">
        <v>2016-12-28</v>
        <stp/>
        <stp>EM_S_IPO_LISTEDDATE</stp>
        <stp>1</stp>
        <stp>300582</stp>
        <tr r="AT1308" s="1"/>
      </tp>
      <tp t="s">
        <v>2017-01-23</v>
        <stp/>
        <stp>EM_S_IPO_LISTEDDATE</stp>
        <stp>1</stp>
        <stp>300599</stp>
        <tr r="AT2093" s="1"/>
      </tp>
      <tp t="s">
        <v>2017-01-20</v>
        <stp/>
        <stp>EM_S_IPO_LISTEDDATE</stp>
        <stp>1</stp>
        <stp>300598</stp>
        <tr r="AT16" s="1"/>
      </tp>
      <tp t="s">
        <v>2017-01-17</v>
        <stp/>
        <stp>EM_S_IPO_LISTEDDATE</stp>
        <stp>1</stp>
        <stp>300595</stp>
        <tr r="AT1286" s="1"/>
      </tp>
      <tp t="s">
        <v>2017-01-23</v>
        <stp/>
        <stp>EM_S_IPO_LISTEDDATE</stp>
        <stp>1</stp>
        <stp>300597</stp>
        <tr r="AT3046" s="1"/>
      </tp>
      <tp t="s">
        <v>2017-01-19</v>
        <stp/>
        <stp>EM_S_IPO_LISTEDDATE</stp>
        <stp>1</stp>
        <stp>300596</stp>
        <tr r="AT1350" s="1"/>
      </tp>
      <tp t="s">
        <v>2017-01-10</v>
        <stp/>
        <stp>EM_S_IPO_LISTEDDATE</stp>
        <stp>1</stp>
        <stp>300591</stp>
        <tr r="AT2386" s="1"/>
      </tp>
      <tp t="s">
        <v>2017-01-11</v>
        <stp/>
        <stp>EM_S_IPO_LISTEDDATE</stp>
        <stp>1</stp>
        <stp>300590</stp>
        <tr r="AT609" s="1"/>
      </tp>
      <tp t="s">
        <v>2017-01-13</v>
        <stp/>
        <stp>EM_S_IPO_LISTEDDATE</stp>
        <stp>1</stp>
        <stp>300593</stp>
        <tr r="AT1675" s="1"/>
      </tp>
      <tp t="s">
        <v>2017-01-20</v>
        <stp/>
        <stp>EM_S_IPO_LISTEDDATE</stp>
        <stp>1</stp>
        <stp>300592</stp>
        <tr r="AT1026" s="1"/>
      </tp>
      <tp t="s">
        <v>2001-08-28</v>
        <stp/>
        <stp>EM_S_IPO_LISTEDDATE</stp>
        <stp>1</stp>
        <stp>600599</stp>
        <tr r="AT2128" s="1"/>
      </tp>
      <tp t="s">
        <v>2011-05-27</v>
        <stp/>
        <stp>EM_S_IPO_LISTEDDATE</stp>
        <stp>1</stp>
        <stp>601599</stp>
        <tr r="AT1857" s="1"/>
      </tp>
      <tp t="s">
        <v>2015-05-13</v>
        <stp/>
        <stp>EM_S_IPO_LISTEDDATE</stp>
        <stp>1</stp>
        <stp>603599</stp>
        <tr r="AT724" s="1"/>
      </tp>
      <tp t="s">
        <v>2002-03-29</v>
        <stp/>
        <stp>EM_S_IPO_LISTEDDATE</stp>
        <stp>1</stp>
        <stp>600598</stp>
        <tr r="AT1569" s="1"/>
      </tp>
      <tp t="s">
        <v>2015-05-27</v>
        <stp/>
        <stp>EM_S_IPO_LISTEDDATE</stp>
        <stp>1</stp>
        <stp>603598</stp>
        <tr r="AT273" s="1"/>
      </tp>
      <tp t="s">
        <v>2002-06-26</v>
        <stp/>
        <stp>EM_S_IPO_LISTEDDATE</stp>
        <stp>1</stp>
        <stp>600595</stp>
        <tr r="AT1620" s="1"/>
      </tp>
      <tp t="s">
        <v>2016-08-17</v>
        <stp/>
        <stp>EM_S_IPO_LISTEDDATE</stp>
        <stp>1</stp>
        <stp>601595</stp>
        <tr r="AT1270" s="1"/>
      </tp>
      <tp t="s">
        <v>2017-07-12</v>
        <stp/>
        <stp>EM_S_IPO_LISTEDDATE</stp>
        <stp>1</stp>
        <stp>603595</stp>
        <tr r="AT3013" s="1"/>
      </tp>
      <tp t="s">
        <v>2004-03-23</v>
        <stp/>
        <stp>EM_S_IPO_LISTEDDATE</stp>
        <stp>1</stp>
        <stp>600594</stp>
        <tr r="AT2856" s="1"/>
      </tp>
      <tp t="s">
        <v>2002-08-28</v>
        <stp/>
        <stp>EM_S_IPO_LISTEDDATE</stp>
        <stp>1</stp>
        <stp>600597</stp>
        <tr r="AT587" s="1"/>
      </tp>
      <tp t="s">
        <v>2001-09-06</v>
        <stp/>
        <stp>EM_S_IPO_LISTEDDATE</stp>
        <stp>1</stp>
        <stp>600596</stp>
        <tr r="AT2764" s="1"/>
      </tp>
      <tp t="s">
        <v>2018-04-27</v>
        <stp/>
        <stp>EM_S_IPO_LISTEDDATE</stp>
        <stp>1</stp>
        <stp>603596</stp>
        <tr r="AT2425" s="1"/>
      </tp>
      <tp t="s">
        <v>2002-10-11</v>
        <stp/>
        <stp>EM_S_IPO_LISTEDDATE</stp>
        <stp>1</stp>
        <stp>600591</stp>
        <tr r="AT2305" s="1"/>
      </tp>
      <tp t="s">
        <v>2002-07-03</v>
        <stp/>
        <stp>EM_S_IPO_LISTEDDATE</stp>
        <stp>1</stp>
        <stp>600590</stp>
        <tr r="AT1835" s="1"/>
      </tp>
      <tp t="s">
        <v>2002-07-11</v>
        <stp/>
        <stp>EM_S_IPO_LISTEDDATE</stp>
        <stp>1</stp>
        <stp>600593</stp>
        <tr r="AT387" s="1"/>
      </tp>
      <tp t="s">
        <v>2002-08-05</v>
        <stp/>
        <stp>EM_S_IPO_LISTEDDATE</stp>
        <stp>1</stp>
        <stp>600592</stp>
        <tr r="AT53" s="1"/>
      </tp>
      <tp t="s">
        <v>2001-06-12</v>
        <stp/>
        <stp>EM_S_IPO_LISTEDDATE</stp>
        <stp>1</stp>
        <stp>600589</stp>
        <tr r="AT818" s="1"/>
      </tp>
      <tp t="s">
        <v>2015-06-29</v>
        <stp/>
        <stp>EM_S_IPO_LISTEDDATE</stp>
        <stp>1</stp>
        <stp>603589</stp>
        <tr r="AT454" s="1"/>
      </tp>
      <tp t="s">
        <v>2001-05-18</v>
        <stp/>
        <stp>EM_S_IPO_LISTEDDATE</stp>
        <stp>1</stp>
        <stp>600588</stp>
        <tr r="AT868" s="1"/>
      </tp>
      <tp t="s">
        <v>2006-10-16</v>
        <stp/>
        <stp>EM_S_IPO_LISTEDDATE</stp>
        <stp>1</stp>
        <stp>601588</stp>
        <tr r="AT1361" s="1"/>
      </tp>
      <tp t="s">
        <v>2014-12-29</v>
        <stp/>
        <stp>EM_S_IPO_LISTEDDATE</stp>
        <stp>1</stp>
        <stp>603588</stp>
        <tr r="AT1304" s="1"/>
      </tp>
      <tp t="s">
        <v>2002-02-07</v>
        <stp/>
        <stp>EM_S_IPO_LISTEDDATE</stp>
        <stp>1</stp>
        <stp>600585</stp>
        <tr r="AT248" s="1"/>
      </tp>
      <tp t="s">
        <v>2016-12-14</v>
        <stp/>
        <stp>EM_S_IPO_LISTEDDATE</stp>
        <stp>1</stp>
        <stp>603585</stp>
        <tr r="AT2125" s="1"/>
      </tp>
      <tp t="s">
        <v>2003-06-03</v>
        <stp/>
        <stp>EM_S_IPO_LISTEDDATE</stp>
        <stp>1</stp>
        <stp>600584</stp>
        <tr r="AT62" s="1"/>
      </tp>
      <tp t="s">
        <v>2002-09-27</v>
        <stp/>
        <stp>EM_S_IPO_LISTEDDATE</stp>
        <stp>1</stp>
        <stp>600587</stp>
        <tr r="AT1818" s="1"/>
      </tp>
      <tp t="s">
        <v>2018-06-22</v>
        <stp/>
        <stp>EM_S_IPO_LISTEDDATE</stp>
        <stp>1</stp>
        <stp>603587</stp>
        <tr r="AT1574" s="1"/>
      </tp>
      <tp t="s">
        <v>2002-08-15</v>
        <stp/>
        <stp>EM_S_IPO_LISTEDDATE</stp>
        <stp>1</stp>
        <stp>600586</stp>
        <tr r="AT2118" s="1"/>
      </tp>
      <tp t="s">
        <v>2017-04-06</v>
        <stp/>
        <stp>EM_S_IPO_LISTEDDATE</stp>
        <stp>1</stp>
        <stp>603586</stp>
        <tr r="AT698" s="1"/>
      </tp>
      <tp t="s">
        <v>2002-08-16</v>
        <stp/>
        <stp>EM_S_IPO_LISTEDDATE</stp>
        <stp>1</stp>
        <stp>600581</stp>
        <tr r="AT2480" s="1"/>
      </tp>
      <tp t="s">
        <v>2002-06-06</v>
        <stp/>
        <stp>EM_S_IPO_LISTEDDATE</stp>
        <stp>1</stp>
        <stp>600580</stp>
        <tr r="AT186" s="1"/>
      </tp>
      <tp t="s">
        <v>2017-05-25</v>
        <stp/>
        <stp>EM_S_IPO_LISTEDDATE</stp>
        <stp>1</stp>
        <stp>603580</stp>
        <tr r="AT3094" s="1"/>
      </tp>
      <tp t="s">
        <v>2002-02-05</v>
        <stp/>
        <stp>EM_S_IPO_LISTEDDATE</stp>
        <stp>1</stp>
        <stp>600583</stp>
        <tr r="AT616" s="1"/>
      </tp>
      <tp t="s">
        <v>2002-05-15</v>
        <stp/>
        <stp>EM_S_IPO_LISTEDDATE</stp>
        <stp>1</stp>
        <stp>600582</stp>
        <tr r="AT2641" s="1"/>
      </tp>
      <tp t="s">
        <v>1993-10-08</v>
        <stp/>
        <stp>EM_S_IPO_LISTEDDATE</stp>
        <stp>1</stp>
        <stp>000519</stp>
        <tr r="AT1223" s="1"/>
      </tp>
      <tp t="s">
        <v>2016-08-02</v>
        <stp/>
        <stp>EM_S_IPO_LISTEDDATE</stp>
        <stp>1</stp>
        <stp>300529</stp>
        <tr r="AT323" s="1"/>
      </tp>
      <tp t="s">
        <v>2002-08-09</v>
        <stp/>
        <stp>EM_S_IPO_LISTEDDATE</stp>
        <stp>1</stp>
        <stp>600579</stp>
        <tr r="AT3071" s="1"/>
      </tp>
      <tp t="s">
        <v>2014-08-25</v>
        <stp/>
        <stp>EM_S_IPO_LISTEDDATE</stp>
        <stp>1</stp>
        <stp>601579</stp>
        <tr r="AT2532" s="1"/>
      </tp>
      <tp t="s">
        <v>2010-12-07</v>
        <stp/>
        <stp>EM_S_IPO_LISTEDDATE</stp>
        <stp>1</stp>
        <stp>002519</stp>
        <tr r="AT1671" s="1"/>
      </tp>
      <tp t="s">
        <v>2017-01-11</v>
        <stp/>
        <stp>EM_S_IPO_LISTEDDATE</stp>
        <stp>1</stp>
        <stp>603579</stp>
        <tr r="AT1908" s="1"/>
      </tp>
      <tp t="s">
        <v>1993-09-08</v>
        <stp/>
        <stp>EM_S_IPO_LISTEDDATE</stp>
        <stp>1</stp>
        <stp>000518</stp>
        <tr r="AT3441" s="1"/>
      </tp>
      <tp t="s">
        <v>2016-08-08</v>
        <stp/>
        <stp>EM_S_IPO_LISTEDDATE</stp>
        <stp>1</stp>
        <stp>300528</stp>
        <tr r="AT3044" s="1"/>
      </tp>
      <tp t="s">
        <v>2002-05-10</v>
        <stp/>
        <stp>EM_S_IPO_LISTEDDATE</stp>
        <stp>1</stp>
        <stp>600578</stp>
        <tr r="AT1962" s="1"/>
      </tp>
      <tp t="s">
        <v>2010-12-07</v>
        <stp/>
        <stp>EM_S_IPO_LISTEDDATE</stp>
        <stp>1</stp>
        <stp>002518</stp>
        <tr r="AT588" s="1"/>
      </tp>
      <tp t="s">
        <v>2017-03-06</v>
        <stp/>
        <stp>EM_S_IPO_LISTEDDATE</stp>
        <stp>1</stp>
        <stp>603578</stp>
        <tr r="AT1869" s="1"/>
      </tp>
      <tp t="s">
        <v>1993-07-12</v>
        <stp/>
        <stp>EM_S_IPO_LISTEDDATE</stp>
        <stp>1</stp>
        <stp>000515</stp>
        <tr r="AT3438" s="1"/>
      </tp>
      <tp t="s">
        <v>2016-07-26</v>
        <stp/>
        <stp>EM_S_IPO_LISTEDDATE</stp>
        <stp>1</stp>
        <stp>300525</stp>
        <tr r="AT381" s="1"/>
      </tp>
      <tp t="s">
        <v>2003-03-28</v>
        <stp/>
        <stp>EM_S_IPO_LISTEDDATE</stp>
        <stp>1</stp>
        <stp>600575</stp>
        <tr r="AT1229" s="1"/>
      </tp>
      <tp t="s">
        <v>2010-12-03</v>
        <stp/>
        <stp>EM_S_IPO_LISTEDDATE</stp>
        <stp>1</stp>
        <stp>002515</stp>
        <tr r="AT982" s="1"/>
      </tp>
      <tp t="s">
        <v>1993-07-12</v>
        <stp/>
        <stp>EM_S_IPO_LISTEDDATE</stp>
        <stp>1</stp>
        <stp>000514</stp>
        <tr r="AT3437" s="1"/>
      </tp>
      <tp t="s">
        <v>2010-12-03</v>
        <stp/>
        <stp>EM_S_IPO_LISTEDDATE</stp>
        <stp>1</stp>
        <stp>002514</stp>
        <tr r="AT1830" s="1"/>
      </tp>
      <tp t="s">
        <v>1993-08-06</v>
        <stp/>
        <stp>EM_S_IPO_LISTEDDATE</stp>
        <stp>1</stp>
        <stp>000517</stp>
        <tr r="AT3440" s="1"/>
      </tp>
      <tp t="s">
        <v>2016-08-05</v>
        <stp/>
        <stp>EM_S_IPO_LISTEDDATE</stp>
        <stp>1</stp>
        <stp>300527</stp>
        <tr r="AT365" s="1"/>
      </tp>
      <tp t="s">
        <v>2002-09-11</v>
        <stp/>
        <stp>EM_S_IPO_LISTEDDATE</stp>
        <stp>1</stp>
        <stp>600577</stp>
        <tr r="AT2701" s="1"/>
      </tp>
      <tp t="s">
        <v>2010-12-07</v>
        <stp/>
        <stp>EM_S_IPO_LISTEDDATE</stp>
        <stp>1</stp>
        <stp>002517</stp>
        <tr r="AT3215" s="1"/>
      </tp>
      <tp t="s">
        <v>2016-12-22</v>
        <stp/>
        <stp>EM_S_IPO_LISTEDDATE</stp>
        <stp>1</stp>
        <stp>603577</stp>
        <tr r="AT1423" s="1"/>
      </tp>
      <tp t="s">
        <v>1993-08-09</v>
        <stp/>
        <stp>EM_S_IPO_LISTEDDATE</stp>
        <stp>1</stp>
        <stp>000516</stp>
        <tr r="AT3439" s="1"/>
      </tp>
      <tp t="s">
        <v>2016-08-02</v>
        <stp/>
        <stp>EM_S_IPO_LISTEDDATE</stp>
        <stp>1</stp>
        <stp>300526</stp>
        <tr r="AT21" s="1"/>
      </tp>
      <tp t="s">
        <v>2003-02-20</v>
        <stp/>
        <stp>EM_S_IPO_LISTEDDATE</stp>
        <stp>1</stp>
        <stp>600576</stp>
        <tr r="AT1411" s="1"/>
      </tp>
      <tp t="s">
        <v>2010-12-07</v>
        <stp/>
        <stp>EM_S_IPO_LISTEDDATE</stp>
        <stp>1</stp>
        <stp>002516</stp>
        <tr r="AT2588" s="1"/>
      </tp>
      <tp t="s">
        <v>1993-05-18</v>
        <stp/>
        <stp>EM_S_IPO_LISTEDDATE</stp>
        <stp>1</stp>
        <stp>000511</stp>
        <tr r="AT3436" s="1"/>
      </tp>
      <tp t="s">
        <v>2016-07-05</v>
        <stp/>
        <stp>EM_S_IPO_LISTEDDATE</stp>
        <stp>1</stp>
        <stp>300521</stp>
        <tr r="AT1258" s="1"/>
      </tp>
      <tp t="s">
        <v>2002-11-01</v>
        <stp/>
        <stp>EM_S_IPO_LISTEDDATE</stp>
        <stp>1</stp>
        <stp>600571</stp>
        <tr r="AT555" s="1"/>
      </tp>
      <tp t="s">
        <v>2010-11-25</v>
        <stp/>
        <stp>EM_S_IPO_LISTEDDATE</stp>
        <stp>1</stp>
        <stp>002511</stp>
        <tr r="AT611" s="1"/>
      </tp>
      <tp t="s">
        <v>1993-05-07</v>
        <stp/>
        <stp>EM_S_IPO_LISTEDDATE</stp>
        <stp>1</stp>
        <stp>000510</stp>
        <tr r="AT1993" s="1"/>
      </tp>
      <tp t="s">
        <v>2016-07-08</v>
        <stp/>
        <stp>EM_S_IPO_LISTEDDATE</stp>
        <stp>1</stp>
        <stp>300520</stp>
        <tr r="AT1078" s="1"/>
      </tp>
      <tp t="s">
        <v>2003-12-16</v>
        <stp/>
        <stp>EM_S_IPO_LISTEDDATE</stp>
        <stp>1</stp>
        <stp>600570</stp>
        <tr r="AT583" s="1"/>
      </tp>
      <tp t="s">
        <v>2010-11-25</v>
        <stp/>
        <stp>EM_S_IPO_LISTEDDATE</stp>
        <stp>1</stp>
        <stp>002510</stp>
        <tr r="AT994" s="1"/>
      </tp>
      <tp t="s">
        <v>1993-10-28</v>
        <stp/>
        <stp>EM_S_IPO_LISTEDDATE</stp>
        <stp>1</stp>
        <stp>000513</stp>
        <tr r="AT913" s="1"/>
      </tp>
      <tp t="s">
        <v>2016-07-26</v>
        <stp/>
        <stp>EM_S_IPO_LISTEDDATE</stp>
        <stp>1</stp>
        <stp>300523</stp>
        <tr r="AT3143" s="1"/>
      </tp>
      <tp t="s">
        <v>2003-02-26</v>
        <stp/>
        <stp>EM_S_IPO_LISTEDDATE</stp>
        <stp>1</stp>
        <stp>600573</stp>
        <tr r="AT2085" s="1"/>
      </tp>
      <tp t="s">
        <v>2010-12-03</v>
        <stp/>
        <stp>EM_S_IPO_LISTEDDATE</stp>
        <stp>1</stp>
        <stp>002513</stp>
        <tr r="AT1792" s="1"/>
      </tp>
      <tp t="s">
        <v>2016-07-05</v>
        <stp/>
        <stp>EM_S_IPO_LISTEDDATE</stp>
        <stp>1</stp>
        <stp>300522</stp>
        <tr r="AT1837" s="1"/>
      </tp>
      <tp t="s">
        <v>2004-04-12</v>
        <stp/>
        <stp>EM_S_IPO_LISTEDDATE</stp>
        <stp>1</stp>
        <stp>600572</stp>
        <tr r="AT2179" s="1"/>
      </tp>
      <tp t="s">
        <v>2010-12-03</v>
        <stp/>
        <stp>EM_S_IPO_LISTEDDATE</stp>
        <stp>1</stp>
        <stp>002512</stp>
        <tr r="AT1261" s="1"/>
      </tp>
      <tp t="s">
        <v>1993-05-07</v>
        <stp/>
        <stp>EM_S_IPO_LISTEDDATE</stp>
        <stp>1</stp>
        <stp>000509</stp>
        <tr r="AT3435" s="1"/>
      </tp>
      <tp t="s">
        <v>2016-08-30</v>
        <stp/>
        <stp>EM_S_IPO_LISTEDDATE</stp>
        <stp>1</stp>
        <stp>300539</stp>
        <tr r="AT2767" s="1"/>
      </tp>
      <tp t="s">
        <v>2001-08-20</v>
        <stp/>
        <stp>EM_S_IPO_LISTEDDATE</stp>
        <stp>1</stp>
        <stp>600569</stp>
        <tr r="AT3012" s="1"/>
      </tp>
      <tp t="s">
        <v>2010-11-23</v>
        <stp/>
        <stp>EM_S_IPO_LISTEDDATE</stp>
        <stp>1</stp>
        <stp>002509</stp>
        <tr r="AT3313" s="1"/>
      </tp>
      <tp t="s">
        <v>2016-08-10</v>
        <stp/>
        <stp>EM_S_IPO_LISTEDDATE</stp>
        <stp>1</stp>
        <stp>603569</stp>
        <tr r="AT2510" s="1"/>
      </tp>
      <tp t="s">
        <v>1993-04-30</v>
        <stp/>
        <stp>EM_S_IPO_LISTEDDATE</stp>
        <stp>1</stp>
        <stp>000508</stp>
        <tr r="AT3434" s="1"/>
      </tp>
      <tp t="s">
        <v>2016-08-26</v>
        <stp/>
        <stp>EM_S_IPO_LISTEDDATE</stp>
        <stp>1</stp>
        <stp>300538</stp>
        <tr r="AT2971" s="1"/>
      </tp>
      <tp t="s">
        <v>2001-05-18</v>
        <stp/>
        <stp>EM_S_IPO_LISTEDDATE</stp>
        <stp>1</stp>
        <stp>600568</stp>
        <tr r="AT3135" s="1"/>
      </tp>
      <tp t="s">
        <v>2010-11-23</v>
        <stp/>
        <stp>EM_S_IPO_LISTEDDATE</stp>
        <stp>1</stp>
        <stp>002508</stp>
        <tr r="AT332" s="1"/>
      </tp>
      <tp t="s">
        <v>2015-05-28</v>
        <stp/>
        <stp>EM_S_IPO_LISTEDDATE</stp>
        <stp>1</stp>
        <stp>603568</stp>
        <tr r="AT2253" s="1"/>
      </tp>
      <tp t="s">
        <v>1992-12-21</v>
        <stp/>
        <stp>EM_S_IPO_LISTEDDATE</stp>
        <stp>1</stp>
        <stp>000505</stp>
        <tr r="AT3432" s="1"/>
      </tp>
      <tp t="s">
        <v>2016-08-12</v>
        <stp/>
        <stp>EM_S_IPO_LISTEDDATE</stp>
        <stp>1</stp>
        <stp>300535</stp>
        <tr r="AT1948" s="1"/>
      </tp>
      <tp t="s">
        <v>2002-07-23</v>
        <stp/>
        <stp>EM_S_IPO_LISTEDDATE</stp>
        <stp>1</stp>
        <stp>600565</stp>
        <tr r="AT845" s="1"/>
      </tp>
      <tp t="s">
        <v>2010-11-18</v>
        <stp/>
        <stp>EM_S_IPO_LISTEDDATE</stp>
        <stp>1</stp>
        <stp>002505</stp>
        <tr r="AT1975" s="1"/>
      </tp>
      <tp t="s">
        <v>1992-12-08</v>
        <stp/>
        <stp>EM_S_IPO_LISTEDDATE</stp>
        <stp>1</stp>
        <stp>000504</stp>
        <tr r="AT3431" s="1"/>
      </tp>
      <tp t="s">
        <v>2016-09-13</v>
        <stp/>
        <stp>EM_S_IPO_LISTEDDATE</stp>
        <stp>1</stp>
        <stp>300534</stp>
        <tr r="AT2141" s="1"/>
      </tp>
      <tp t="s">
        <v>2010-11-18</v>
        <stp/>
        <stp>EM_S_IPO_LISTEDDATE</stp>
        <stp>1</stp>
        <stp>002504</stp>
        <tr r="AT2893" s="1"/>
      </tp>
      <tp t="s">
        <v>1993-03-26</v>
        <stp/>
        <stp>EM_S_IPO_LISTEDDATE</stp>
        <stp>1</stp>
        <stp>000507</stp>
        <tr r="AT2637" s="1"/>
      </tp>
      <tp t="s">
        <v>2016-08-30</v>
        <stp/>
        <stp>EM_S_IPO_LISTEDDATE</stp>
        <stp>1</stp>
        <stp>300537</stp>
        <tr r="AT142" s="1"/>
      </tp>
      <tp t="s">
        <v>2001-12-18</v>
        <stp/>
        <stp>EM_S_IPO_LISTEDDATE</stp>
        <stp>1</stp>
        <stp>600567</stp>
        <tr r="AT1183" s="1"/>
      </tp>
      <tp t="s">
        <v>2011-06-15</v>
        <stp/>
        <stp>EM_S_IPO_LISTEDDATE</stp>
        <stp>1</stp>
        <stp>601567</stp>
        <tr r="AT931" s="1"/>
      </tp>
      <tp t="s">
        <v>2010-11-23</v>
        <stp/>
        <stp>EM_S_IPO_LISTEDDATE</stp>
        <stp>1</stp>
        <stp>002507</stp>
        <tr r="AT1166" s="1"/>
      </tp>
      <tp t="s">
        <v>2015-04-24</v>
        <stp/>
        <stp>EM_S_IPO_LISTEDDATE</stp>
        <stp>1</stp>
        <stp>603567</stp>
        <tr r="AT2492" s="1"/>
      </tp>
      <tp t="s">
        <v>1993-03-12</v>
        <stp/>
        <stp>EM_S_IPO_LISTEDDATE</stp>
        <stp>1</stp>
        <stp>000506</stp>
        <tr r="AT3433" s="1"/>
      </tp>
      <tp t="s">
        <v>2016-09-20</v>
        <stp/>
        <stp>EM_S_IPO_LISTEDDATE</stp>
        <stp>1</stp>
        <stp>300536</stp>
        <tr r="AT2931" s="1"/>
      </tp>
      <tp t="s">
        <v>2001-08-22</v>
        <stp/>
        <stp>EM_S_IPO_LISTEDDATE</stp>
        <stp>1</stp>
        <stp>600566</stp>
        <tr r="AT3221" s="1"/>
      </tp>
      <tp t="s">
        <v>2011-05-30</v>
        <stp/>
        <stp>EM_S_IPO_LISTEDDATE</stp>
        <stp>1</stp>
        <stp>601566</stp>
        <tr r="AT2920" s="1"/>
      </tp>
      <tp t="s">
        <v>2010-11-18</v>
        <stp/>
        <stp>EM_S_IPO_LISTEDDATE</stp>
        <stp>1</stp>
        <stp>002506</stp>
        <tr r="AT1358" s="1"/>
      </tp>
      <tp t="s">
        <v>2015-05-18</v>
        <stp/>
        <stp>EM_S_IPO_LISTEDDATE</stp>
        <stp>1</stp>
        <stp>603566</stp>
        <tr r="AT482" s="1"/>
      </tp>
      <tp t="s">
        <v>1992-11-20</v>
        <stp/>
        <stp>EM_S_IPO_LISTEDDATE</stp>
        <stp>1</stp>
        <stp>000501</stp>
        <tr r="AT3428" s="1"/>
      </tp>
      <tp t="s">
        <v>2016-08-09</v>
        <stp/>
        <stp>EM_S_IPO_LISTEDDATE</stp>
        <stp>1</stp>
        <stp>300531</stp>
        <tr r="AT2481" s="1"/>
      </tp>
      <tp t="s">
        <v>2002-07-16</v>
        <stp/>
        <stp>EM_S_IPO_LISTEDDATE</stp>
        <stp>1</stp>
        <stp>600561</stp>
        <tr r="AT1927" s="1"/>
      </tp>
      <tp t="s">
        <v>2010-11-17</v>
        <stp/>
        <stp>EM_S_IPO_LISTEDDATE</stp>
        <stp>1</stp>
        <stp>002501</stp>
        <tr r="AT3330" s="1"/>
      </tp>
      <tp t="s">
        <v>2016-08-09</v>
        <stp/>
        <stp>EM_S_IPO_LISTEDDATE</stp>
        <stp>1</stp>
        <stp>300530</stp>
        <tr r="AT1349" s="1"/>
      </tp>
      <tp t="s">
        <v>2002-09-19</v>
        <stp/>
        <stp>EM_S_IPO_LISTEDDATE</stp>
        <stp>1</stp>
        <stp>600560</stp>
        <tr r="AT1883" s="1"/>
      </tp>
      <tp t="s">
        <v>2010-11-15</v>
        <stp/>
        <stp>EM_S_IPO_LISTEDDATE</stp>
        <stp>1</stp>
        <stp>002500</stp>
        <tr r="AT731" s="1"/>
      </tp>
      <tp t="s">
        <v>1992-11-30</v>
        <stp/>
        <stp>EM_S_IPO_LISTEDDATE</stp>
        <stp>1</stp>
        <stp>000503</stp>
        <tr r="AT3430" s="1"/>
      </tp>
      <tp t="s">
        <v>2016-08-18</v>
        <stp/>
        <stp>EM_S_IPO_LISTEDDATE</stp>
        <stp>1</stp>
        <stp>300533</stp>
        <tr r="AT687" s="1"/>
      </tp>
      <tp t="s">
        <v>2002-12-10</v>
        <stp/>
        <stp>EM_S_IPO_LISTEDDATE</stp>
        <stp>1</stp>
        <stp>600563</stp>
        <tr r="AT1335" s="1"/>
      </tp>
      <tp t="s">
        <v>2010-11-17</v>
        <stp/>
        <stp>EM_S_IPO_LISTEDDATE</stp>
        <stp>1</stp>
        <stp>002503</stp>
        <tr r="AT2089" s="1"/>
      </tp>
      <tp t="s">
        <v>1992-11-23</v>
        <stp/>
        <stp>EM_S_IPO_LISTEDDATE</stp>
        <stp>1</stp>
        <stp>000502</stp>
        <tr r="AT3429" s="1"/>
      </tp>
      <tp t="s">
        <v>2016-08-18</v>
        <stp/>
        <stp>EM_S_IPO_LISTEDDATE</stp>
        <stp>1</stp>
        <stp>300532</stp>
        <tr r="AT1967" s="1"/>
      </tp>
      <tp t="s">
        <v>2003-01-28</v>
        <stp/>
        <stp>EM_S_IPO_LISTEDDATE</stp>
        <stp>1</stp>
        <stp>600562</stp>
        <tr r="AT1682" s="1"/>
      </tp>
      <tp t="s">
        <v>2010-11-17</v>
        <stp/>
        <stp>EM_S_IPO_LISTEDDATE</stp>
        <stp>1</stp>
        <stp>002502</stp>
        <tr r="AT2997" s="1"/>
      </tp>
      <tp t="s">
        <v>1993-11-26</v>
        <stp/>
        <stp>EM_S_IPO_LISTEDDATE</stp>
        <stp>1</stp>
        <stp>000539</stp>
        <tr r="AT2832" s="1"/>
      </tp>
      <tp t="s">
        <v>2016-04-25</v>
        <stp/>
        <stp>EM_S_IPO_LISTEDDATE</stp>
        <stp>1</stp>
        <stp>300509</stp>
        <tr r="AT3148" s="1"/>
      </tp>
      <tp t="s">
        <v>2002-10-29</v>
        <stp/>
        <stp>EM_S_IPO_LISTEDDATE</stp>
        <stp>1</stp>
        <stp>600559</stp>
        <tr r="AT2704" s="1"/>
      </tp>
      <tp t="s">
        <v>2011-01-18</v>
        <stp/>
        <stp>EM_S_IPO_LISTEDDATE</stp>
        <stp>1</stp>
        <stp>002539</stp>
        <tr r="AT1332" s="1"/>
      </tp>
      <tp t="s">
        <v>2016-12-02</v>
        <stp/>
        <stp>EM_S_IPO_LISTEDDATE</stp>
        <stp>1</stp>
        <stp>603559</stp>
        <tr r="AT3183" s="1"/>
      </tp>
      <tp t="s">
        <v>1993-12-15</v>
        <stp/>
        <stp>EM_S_IPO_LISTEDDATE</stp>
        <stp>1</stp>
        <stp>000538</stp>
        <tr r="AT1317" s="1"/>
      </tp>
      <tp t="s">
        <v>2016-04-19</v>
        <stp/>
        <stp>EM_S_IPO_LISTEDDATE</stp>
        <stp>1</stp>
        <stp>300508</stp>
        <tr r="AT1385" s="1"/>
      </tp>
      <tp t="s">
        <v>2001-02-27</v>
        <stp/>
        <stp>EM_S_IPO_LISTEDDATE</stp>
        <stp>1</stp>
        <stp>600558</stp>
        <tr r="AT2115" s="1"/>
      </tp>
      <tp t="s">
        <v>2011-01-13</v>
        <stp/>
        <stp>EM_S_IPO_LISTEDDATE</stp>
        <stp>1</stp>
        <stp>601558</stp>
        <tr r="AT2379" s="1"/>
      </tp>
      <tp t="s">
        <v>2011-01-18</v>
        <stp/>
        <stp>EM_S_IPO_LISTEDDATE</stp>
        <stp>1</stp>
        <stp>002538</stp>
        <tr r="AT2472" s="1"/>
      </tp>
      <tp t="s">
        <v>2015-01-27</v>
        <stp/>
        <stp>EM_S_IPO_LISTEDDATE</stp>
        <stp>1</stp>
        <stp>603558</stp>
        <tr r="AT2587" s="1"/>
      </tp>
      <tp t="s">
        <v>1993-11-30</v>
        <stp/>
        <stp>EM_S_IPO_LISTEDDATE</stp>
        <stp>1</stp>
        <stp>000535</stp>
        <tr r="AT3446" s="1"/>
      </tp>
      <tp t="s">
        <v>2016-03-15</v>
        <stp/>
        <stp>EM_S_IPO_LISTEDDATE</stp>
        <stp>1</stp>
        <stp>300505</stp>
        <tr r="AT2103" s="1"/>
      </tp>
      <tp t="s">
        <v>2001-03-28</v>
        <stp/>
        <stp>EM_S_IPO_LISTEDDATE</stp>
        <stp>1</stp>
        <stp>600555</stp>
        <tr r="AT3045" s="1"/>
      </tp>
      <tp t="s">
        <v>2011-12-12</v>
        <stp/>
        <stp>EM_S_IPO_LISTEDDATE</stp>
        <stp>1</stp>
        <stp>601555</stp>
        <tr r="AT582" s="1"/>
      </tp>
      <tp t="s">
        <v>2011-01-11</v>
        <stp/>
        <stp>EM_S_IPO_LISTEDDATE</stp>
        <stp>1</stp>
        <stp>002535</stp>
        <tr r="AT2901" s="1"/>
      </tp>
      <tp t="s">
        <v>2014-01-24</v>
        <stp/>
        <stp>EM_S_IPO_LISTEDDATE</stp>
        <stp>1</stp>
        <stp>603555</stp>
        <tr r="AT2224" s="1"/>
      </tp>
      <tp t="s">
        <v>1994-01-10</v>
        <stp/>
        <stp>EM_S_IPO_LISTEDDATE</stp>
        <stp>1</stp>
        <stp>000534</stp>
        <tr r="AT2858" s="1"/>
      </tp>
      <tp t="s">
        <v>2018-03-30</v>
        <stp/>
        <stp>EM_S_IPO_LISTEDDATE</stp>
        <stp>1</stp>
        <stp>300504</stp>
        <tr r="AT2863" s="1"/>
      </tp>
      <tp t="s">
        <v>2011-01-10</v>
        <stp/>
        <stp>EM_S_IPO_LISTEDDATE</stp>
        <stp>1</stp>
        <stp>002534</stp>
        <tr r="AT721" s="1"/>
      </tp>
      <tp t="s">
        <v>1993-12-10</v>
        <stp/>
        <stp>EM_S_IPO_LISTEDDATE</stp>
        <stp>1</stp>
        <stp>000537</stp>
        <tr r="AT2013" s="1"/>
      </tp>
      <tp t="s">
        <v>2016-04-29</v>
        <stp/>
        <stp>EM_S_IPO_LISTEDDATE</stp>
        <stp>1</stp>
        <stp>300507</stp>
        <tr r="AT3002" s="1"/>
      </tp>
      <tp t="s">
        <v>2002-09-18</v>
        <stp/>
        <stp>EM_S_IPO_LISTEDDATE</stp>
        <stp>1</stp>
        <stp>600557</stp>
        <tr r="AT737" s="1"/>
      </tp>
      <tp t="s">
        <v>2011-01-10</v>
        <stp/>
        <stp>EM_S_IPO_LISTEDDATE</stp>
        <stp>1</stp>
        <stp>002537</stp>
        <tr r="AT3234" s="1"/>
      </tp>
      <tp t="s">
        <v>2017-08-18</v>
        <stp/>
        <stp>EM_S_IPO_LISTEDDATE</stp>
        <stp>1</stp>
        <stp>603557</stp>
        <tr r="AT1610" s="1"/>
      </tp>
      <tp t="s">
        <v>1993-11-26</v>
        <stp/>
        <stp>EM_S_IPO_LISTEDDATE</stp>
        <stp>1</stp>
        <stp>000536</stp>
        <tr r="AT3447" s="1"/>
      </tp>
      <tp t="s">
        <v>2016-03-24</v>
        <stp/>
        <stp>EM_S_IPO_LISTEDDATE</stp>
        <stp>1</stp>
        <stp>300506</stp>
        <tr r="AT3320" s="1"/>
      </tp>
      <tp t="s">
        <v>2001-08-07</v>
        <stp/>
        <stp>EM_S_IPO_LISTEDDATE</stp>
        <stp>1</stp>
        <stp>600556</stp>
        <tr r="AT210" s="1"/>
      </tp>
      <tp t="s">
        <v>2011-01-11</v>
        <stp/>
        <stp>EM_S_IPO_LISTEDDATE</stp>
        <stp>1</stp>
        <stp>002536</stp>
        <tr r="AT3350" s="1"/>
      </tp>
      <tp t="s">
        <v>2016-11-10</v>
        <stp/>
        <stp>EM_S_IPO_LISTEDDATE</stp>
        <stp>1</stp>
        <stp>603556</stp>
        <tr r="AT1158" s="1"/>
      </tp>
      <tp t="s">
        <v>1994-01-06</v>
        <stp/>
        <stp>EM_S_IPO_LISTEDDATE</stp>
        <stp>1</stp>
        <stp>000531</stp>
        <tr r="AT806" s="1"/>
      </tp>
      <tp t="s">
        <v>2016-02-04</v>
        <stp/>
        <stp>EM_S_IPO_LISTEDDATE</stp>
        <stp>1</stp>
        <stp>300501</stp>
        <tr r="AT3206" s="1"/>
      </tp>
      <tp t="s">
        <v>2002-09-05</v>
        <stp/>
        <stp>EM_S_IPO_LISTEDDATE</stp>
        <stp>1</stp>
        <stp>600551</stp>
        <tr r="AT2574" s="1"/>
      </tp>
      <tp t="s">
        <v>2010-12-31</v>
        <stp/>
        <stp>EM_S_IPO_LISTEDDATE</stp>
        <stp>1</stp>
        <stp>002531</stp>
        <tr r="AT787" s="1"/>
      </tp>
      <tp t="s">
        <v>1993-12-08</v>
        <stp/>
        <stp>EM_S_IPO_LISTEDDATE</stp>
        <stp>1</stp>
        <stp>000530</stp>
        <tr r="AT3444" s="1"/>
      </tp>
      <tp t="s">
        <v>2016-02-04</v>
        <stp/>
        <stp>EM_S_IPO_LISTEDDATE</stp>
        <stp>1</stp>
        <stp>300500</stp>
        <tr r="AT3235" s="1"/>
      </tp>
      <tp t="s">
        <v>2001-02-28</v>
        <stp/>
        <stp>EM_S_IPO_LISTEDDATE</stp>
        <stp>1</stp>
        <stp>600550</stp>
        <tr r="AT2983" s="1"/>
      </tp>
      <tp t="s">
        <v>2010-12-31</v>
        <stp/>
        <stp>EM_S_IPO_LISTEDDATE</stp>
        <stp>1</stp>
        <stp>002530</stp>
        <tr r="AT250" s="1"/>
      </tp>
      <tp t="s">
        <v>1994-01-03</v>
        <stp/>
        <stp>EM_S_IPO_LISTEDDATE</stp>
        <stp>1</stp>
        <stp>000533</stp>
        <tr r="AT3445" s="1"/>
      </tp>
      <tp t="s">
        <v>2016-03-09</v>
        <stp/>
        <stp>EM_S_IPO_LISTEDDATE</stp>
        <stp>1</stp>
        <stp>300503</stp>
        <tr r="AT978" s="1"/>
      </tp>
      <tp t="s">
        <v>2002-08-22</v>
        <stp/>
        <stp>EM_S_IPO_LISTEDDATE</stp>
        <stp>1</stp>
        <stp>600553</stp>
        <tr r="AT2304" s="1"/>
      </tp>
      <tp t="s">
        <v>2010-12-31</v>
        <stp/>
        <stp>EM_S_IPO_LISTEDDATE</stp>
        <stp>1</stp>
        <stp>002533</stp>
        <tr r="AT1582" s="1"/>
      </tp>
      <tp t="s">
        <v>1994-01-03</v>
        <stp/>
        <stp>EM_S_IPO_LISTEDDATE</stp>
        <stp>1</stp>
        <stp>000532</stp>
        <tr r="AT1180" s="1"/>
      </tp>
      <tp t="s">
        <v>2016-03-03</v>
        <stp/>
        <stp>EM_S_IPO_LISTEDDATE</stp>
        <stp>1</stp>
        <stp>300502</stp>
        <tr r="AT171" s="1"/>
      </tp>
      <tp t="s">
        <v>2002-11-08</v>
        <stp/>
        <stp>EM_S_IPO_LISTEDDATE</stp>
        <stp>1</stp>
        <stp>600552</stp>
        <tr r="AT420" s="1"/>
      </tp>
      <tp t="s">
        <v>2010-12-31</v>
        <stp/>
        <stp>EM_S_IPO_LISTEDDATE</stp>
        <stp>1</stp>
        <stp>002532</stp>
        <tr r="AT1275" s="1"/>
      </tp>
      <tp t="s">
        <v>1993-11-18</v>
        <stp/>
        <stp>EM_S_IPO_LISTEDDATE</stp>
        <stp>1</stp>
        <stp>000529</stp>
        <tr r="AT546" s="1"/>
      </tp>
      <tp t="s">
        <v>2016-06-24</v>
        <stp/>
        <stp>EM_S_IPO_LISTEDDATE</stp>
        <stp>1</stp>
        <stp>300519</stp>
        <tr r="AT2466" s="1"/>
      </tp>
      <tp t="s">
        <v>2002-11-07</v>
        <stp/>
        <stp>EM_S_IPO_LISTEDDATE</stp>
        <stp>1</stp>
        <stp>600549</stp>
        <tr r="AT1788" s="1"/>
      </tp>
      <tp t="s">
        <v>2010-12-24</v>
        <stp/>
        <stp>EM_S_IPO_LISTEDDATE</stp>
        <stp>1</stp>
        <stp>002529</stp>
        <tr r="AT2916" s="1"/>
      </tp>
      <tp t="s">
        <v>1993-11-18</v>
        <stp/>
        <stp>EM_S_IPO_LISTEDDATE</stp>
        <stp>1</stp>
        <stp>000528</stp>
        <tr r="AT1542" s="1"/>
      </tp>
      <tp t="s">
        <v>2016-06-24</v>
        <stp/>
        <stp>EM_S_IPO_LISTEDDATE</stp>
        <stp>1</stp>
        <stp>300518</stp>
        <tr r="AT1346" s="1"/>
      </tp>
      <tp t="s">
        <v>2001-12-25</v>
        <stp/>
        <stp>EM_S_IPO_LISTEDDATE</stp>
        <stp>1</stp>
        <stp>600548</stp>
        <tr r="AT1053" s="1"/>
      </tp>
      <tp t="s">
        <v>2010-12-24</v>
        <stp/>
        <stp>EM_S_IPO_LISTEDDATE</stp>
        <stp>1</stp>
        <stp>002528</stp>
        <tr r="AT665" s="1"/>
      </tp>
      <tp t="s">
        <v>1993-10-28</v>
        <stp/>
        <stp>EM_S_IPO_LISTEDDATE</stp>
        <stp>1</stp>
        <stp>000525</stp>
        <tr r="AT3231" s="1"/>
      </tp>
      <tp t="s">
        <v>2016-06-08</v>
        <stp/>
        <stp>EM_S_IPO_LISTEDDATE</stp>
        <stp>1</stp>
        <stp>300515</stp>
        <tr r="AT1615" s="1"/>
      </tp>
      <tp t="s">
        <v>2003-12-03</v>
        <stp/>
        <stp>EM_S_IPO_LISTEDDATE</stp>
        <stp>1</stp>
        <stp>600545</stp>
        <tr r="AT3035" s="1"/>
      </tp>
      <tp>
        <v>0</v>
        <stp/>
        <stp>EM_S_IPO_LISTEDDATE</stp>
        <stp>1</stp>
        <stp>002525</stp>
        <tr r="AT6" s="1"/>
      </tp>
      <tp t="s">
        <v>1993-11-18</v>
        <stp/>
        <stp>EM_S_IPO_LISTEDDATE</stp>
        <stp>1</stp>
        <stp>000524</stp>
        <tr r="AT1832" s="1"/>
      </tp>
      <tp t="s">
        <v>2017-04-26</v>
        <stp/>
        <stp>EM_S_IPO_LISTEDDATE</stp>
        <stp>1</stp>
        <stp>300514</stp>
        <tr r="AT2250" s="1"/>
      </tp>
      <tp t="s">
        <v>2010-12-17</v>
        <stp/>
        <stp>EM_S_IPO_LISTEDDATE</stp>
        <stp>1</stp>
        <stp>002524</stp>
        <tr r="AT120" s="1"/>
      </tp>
      <tp t="s">
        <v>1993-11-12</v>
        <stp/>
        <stp>EM_S_IPO_LISTEDDATE</stp>
        <stp>1</stp>
        <stp>000527</stp>
        <tr r="AT3443" s="1"/>
      </tp>
      <tp t="s">
        <v>2016-07-19</v>
        <stp/>
        <stp>EM_S_IPO_LISTEDDATE</stp>
        <stp>1</stp>
        <stp>300517</stp>
        <tr r="AT1512" s="1"/>
      </tp>
      <tp t="s">
        <v>2003-08-28</v>
        <stp/>
        <stp>EM_S_IPO_LISTEDDATE</stp>
        <stp>1</stp>
        <stp>600547</stp>
        <tr r="AT1942" s="1"/>
      </tp>
      <tp t="s">
        <v>2010-12-24</v>
        <stp/>
        <stp>EM_S_IPO_LISTEDDATE</stp>
        <stp>1</stp>
        <stp>002527</stp>
        <tr r="AT2484" s="1"/>
      </tp>
      <tp t="s">
        <v>1993-11-01</v>
        <stp/>
        <stp>EM_S_IPO_LISTEDDATE</stp>
        <stp>1</stp>
        <stp>000526</stp>
        <tr r="AT325" s="1"/>
      </tp>
      <tp t="s">
        <v>2016-06-02</v>
        <stp/>
        <stp>EM_S_IPO_LISTEDDATE</stp>
        <stp>1</stp>
        <stp>300516</stp>
        <tr r="AT1820" s="1"/>
      </tp>
      <tp t="s">
        <v>2003-07-31</v>
        <stp/>
        <stp>EM_S_IPO_LISTEDDATE</stp>
        <stp>1</stp>
        <stp>600546</stp>
        <tr r="AT191" s="1"/>
      </tp>
      <tp t="s">
        <v>2010-12-17</v>
        <stp/>
        <stp>EM_S_IPO_LISTEDDATE</stp>
        <stp>1</stp>
        <stp>002526</stp>
        <tr r="AT1267" s="1"/>
      </tp>
      <tp t="s">
        <v>1993-10-18</v>
        <stp/>
        <stp>EM_S_IPO_LISTEDDATE</stp>
        <stp>1</stp>
        <stp>000521</stp>
        <tr r="AT1492" s="1"/>
      </tp>
      <tp t="s">
        <v>2016-05-04</v>
        <stp/>
        <stp>EM_S_IPO_LISTEDDATE</stp>
        <stp>1</stp>
        <stp>300511</stp>
        <tr r="AT1595" s="1"/>
      </tp>
      <tp t="s">
        <v>2010-12-10</v>
        <stp/>
        <stp>EM_S_IPO_LISTEDDATE</stp>
        <stp>1</stp>
        <stp>002521</stp>
        <tr r="AT1904" s="1"/>
      </tp>
      <tp t="s">
        <v>1993-10-25</v>
        <stp/>
        <stp>EM_S_IPO_LISTEDDATE</stp>
        <stp>1</stp>
        <stp>000520</stp>
        <tr r="AT641" s="1"/>
      </tp>
      <tp t="s">
        <v>2016-05-06</v>
        <stp/>
        <stp>EM_S_IPO_LISTEDDATE</stp>
        <stp>1</stp>
        <stp>300510</stp>
        <tr r="AT3188" s="1"/>
      </tp>
      <tp t="s">
        <v>2004-01-07</v>
        <stp/>
        <stp>EM_S_IPO_LISTEDDATE</stp>
        <stp>1</stp>
        <stp>600540</stp>
        <tr r="AT1667" s="1"/>
      </tp>
      <tp t="s">
        <v>2010-12-10</v>
        <stp/>
        <stp>EM_S_IPO_LISTEDDATE</stp>
        <stp>1</stp>
        <stp>002520</stp>
        <tr r="AT2660" s="1"/>
      </tp>
      <tp t="s">
        <v>1993-11-08</v>
        <stp/>
        <stp>EM_S_IPO_LISTEDDATE</stp>
        <stp>1</stp>
        <stp>000523</stp>
        <tr r="AT204" s="1"/>
      </tp>
      <tp t="s">
        <v>2016-05-30</v>
        <stp/>
        <stp>EM_S_IPO_LISTEDDATE</stp>
        <stp>1</stp>
        <stp>300513</stp>
        <tr r="AT3312" s="1"/>
      </tp>
      <tp t="s">
        <v>2004-03-24</v>
        <stp/>
        <stp>EM_S_IPO_LISTEDDATE</stp>
        <stp>1</stp>
        <stp>600543</stp>
        <tr r="AT2825" s="1"/>
      </tp>
      <tp t="s">
        <v>2010-12-10</v>
        <stp/>
        <stp>EM_S_IPO_LISTEDDATE</stp>
        <stp>1</stp>
        <stp>002523</stp>
        <tr r="AT2054" s="1"/>
      </tp>
      <tp t="s">
        <v>1993-11-08</v>
        <stp/>
        <stp>EM_S_IPO_LISTEDDATE</stp>
        <stp>1</stp>
        <stp>000522</stp>
        <tr r="AT3442" s="1"/>
      </tp>
      <tp t="s">
        <v>2016-05-26</v>
        <stp/>
        <stp>EM_S_IPO_LISTEDDATE</stp>
        <stp>1</stp>
        <stp>300512</stp>
        <tr r="AT2554" s="1"/>
      </tp>
      <tp t="s">
        <v>2010-12-10</v>
        <stp/>
        <stp>EM_S_IPO_LISTEDDATE</stp>
        <stp>1</stp>
        <stp>002522</stp>
        <tr r="AT1044" s="1"/>
      </tp>
      <tp t="s">
        <v>1994-01-10</v>
        <stp/>
        <stp>EM_S_IPO_LISTEDDATE</stp>
        <stp>1</stp>
        <stp>000559</stp>
        <tr r="AT1985" s="1"/>
      </tp>
      <tp t="s">
        <v>2016-11-25</v>
        <stp/>
        <stp>EM_S_IPO_LISTEDDATE</stp>
        <stp>1</stp>
        <stp>300569</stp>
        <tr r="AT1506" s="1"/>
      </tp>
      <tp t="s">
        <v>2001-08-24</v>
        <stp/>
        <stp>EM_S_IPO_LISTEDDATE</stp>
        <stp>1</stp>
        <stp>600539</stp>
        <tr r="AT1929" s="1"/>
      </tp>
      <tp t="s">
        <v>2011-03-03</v>
        <stp/>
        <stp>EM_S_IPO_LISTEDDATE</stp>
        <stp>1</stp>
        <stp>002559</stp>
        <tr r="AT2941" s="1"/>
      </tp>
      <tp t="s">
        <v>1994-05-09</v>
        <stp/>
        <stp>EM_S_IPO_LISTEDDATE</stp>
        <stp>1</stp>
        <stp>000558</stp>
        <tr r="AT3454" s="1"/>
      </tp>
      <tp t="s">
        <v>2016-12-01</v>
        <stp/>
        <stp>EM_S_IPO_LISTEDDATE</stp>
        <stp>1</stp>
        <stp>300568</stp>
        <tr r="AT800" s="1"/>
      </tp>
      <tp t="s">
        <v>2003-01-14</v>
        <stp/>
        <stp>EM_S_IPO_LISTEDDATE</stp>
        <stp>1</stp>
        <stp>600538</stp>
        <tr r="AT1379" s="1"/>
      </tp>
      <tp t="s">
        <v>2011-03-02</v>
        <stp/>
        <stp>EM_S_IPO_LISTEDDATE</stp>
        <stp>1</stp>
        <stp>002558</stp>
        <tr r="AT2676" s="1"/>
      </tp>
      <tp t="s">
        <v>2017-04-07</v>
        <stp/>
        <stp>EM_S_IPO_LISTEDDATE</stp>
        <stp>1</stp>
        <stp>603538</stp>
        <tr r="AT1150" s="1"/>
      </tp>
      <tp t="s">
        <v>1994-04-08</v>
        <stp/>
        <stp>EM_S_IPO_LISTEDDATE</stp>
        <stp>1</stp>
        <stp>000555</stp>
        <tr r="AT519" s="1"/>
      </tp>
      <tp t="s">
        <v>2016-11-22</v>
        <stp/>
        <stp>EM_S_IPO_LISTEDDATE</stp>
        <stp>1</stp>
        <stp>300565</stp>
        <tr r="AT3141" s="1"/>
      </tp>
      <tp t="s">
        <v>2002-08-23</v>
        <stp/>
        <stp>EM_S_IPO_LISTEDDATE</stp>
        <stp>1</stp>
        <stp>600535</stp>
        <tr r="AT3081" s="1"/>
      </tp>
      <tp t="s">
        <v>2011-03-02</v>
        <stp/>
        <stp>EM_S_IPO_LISTEDDATE</stp>
        <stp>1</stp>
        <stp>002555</stp>
        <tr r="AT50" s="1"/>
      </tp>
      <tp t="s">
        <v>2017-08-08</v>
        <stp/>
        <stp>EM_S_IPO_LISTEDDATE</stp>
        <stp>1</stp>
        <stp>603535</stp>
        <tr r="AT2420" s="1"/>
      </tp>
      <tp t="s">
        <v>1993-12-15</v>
        <stp/>
        <stp>EM_S_IPO_LISTEDDATE</stp>
        <stp>1</stp>
        <stp>000554</stp>
        <tr r="AT2564" s="1"/>
      </tp>
      <tp t="s">
        <v>2011-02-25</v>
        <stp/>
        <stp>EM_S_IPO_LISTEDDATE</stp>
        <stp>1</stp>
        <stp>002554</stp>
        <tr r="AT1656" s="1"/>
      </tp>
      <tp t="s">
        <v>1994-06-17</v>
        <stp/>
        <stp>EM_S_IPO_LISTEDDATE</stp>
        <stp>1</stp>
        <stp>000557</stp>
        <tr r="AT2277" s="1"/>
      </tp>
      <tp t="s">
        <v>2016-11-22</v>
        <stp/>
        <stp>EM_S_IPO_LISTEDDATE</stp>
        <stp>1</stp>
        <stp>300567</stp>
        <tr r="AT1721" s="1"/>
      </tp>
      <tp t="s">
        <v>2003-01-23</v>
        <stp/>
        <stp>EM_S_IPO_LISTEDDATE</stp>
        <stp>1</stp>
        <stp>600537</stp>
        <tr r="AT1744" s="1"/>
      </tp>
      <tp t="s">
        <v>2011-03-02</v>
        <stp/>
        <stp>EM_S_IPO_LISTEDDATE</stp>
        <stp>1</stp>
        <stp>002557</stp>
        <tr r="AT276" s="1"/>
      </tp>
      <tp t="s">
        <v>1994-05-25</v>
        <stp/>
        <stp>EM_S_IPO_LISTEDDATE</stp>
        <stp>1</stp>
        <stp>000556</stp>
        <tr r="AT3453" s="1"/>
      </tp>
      <tp t="s">
        <v>2016-11-15</v>
        <stp/>
        <stp>EM_S_IPO_LISTEDDATE</stp>
        <stp>1</stp>
        <stp>300566</stp>
        <tr r="AT215" s="1"/>
      </tp>
      <tp t="s">
        <v>2002-05-17</v>
        <stp/>
        <stp>EM_S_IPO_LISTEDDATE</stp>
        <stp>1</stp>
        <stp>600536</stp>
        <tr r="AT32" s="1"/>
      </tp>
      <tp t="s">
        <v>2011-03-02</v>
        <stp/>
        <stp>EM_S_IPO_LISTEDDATE</stp>
        <stp>1</stp>
        <stp>002556</stp>
        <tr r="AT1846" s="1"/>
      </tp>
      <tp t="s">
        <v>2017-06-13</v>
        <stp/>
        <stp>EM_S_IPO_LISTEDDATE</stp>
        <stp>1</stp>
        <stp>603536</stp>
        <tr r="AT60" s="1"/>
      </tp>
      <tp t="s">
        <v>1994-01-06</v>
        <stp/>
        <stp>EM_S_IPO_LISTEDDATE</stp>
        <stp>1</stp>
        <stp>000551</stp>
        <tr r="AT1505" s="1"/>
      </tp>
      <tp t="s">
        <v>2016-11-17</v>
        <stp/>
        <stp>EM_S_IPO_LISTEDDATE</stp>
        <stp>1</stp>
        <stp>300561</stp>
        <tr r="AT1339" s="1"/>
      </tp>
      <tp t="s">
        <v>2002-07-30</v>
        <stp/>
        <stp>EM_S_IPO_LISTEDDATE</stp>
        <stp>1</stp>
        <stp>600531</stp>
        <tr r="AT855" s="1"/>
      </tp>
      <tp t="s">
        <v>2011-02-25</v>
        <stp/>
        <stp>EM_S_IPO_LISTEDDATE</stp>
        <stp>1</stp>
        <stp>002551</stp>
        <tr r="AT2390" s="1"/>
      </tp>
      <tp t="s">
        <v>1993-12-01</v>
        <stp/>
        <stp>EM_S_IPO_LISTEDDATE</stp>
        <stp>1</stp>
        <stp>000550</stp>
        <tr r="AT3452" s="1"/>
      </tp>
      <tp t="s">
        <v>2016-11-01</v>
        <stp/>
        <stp>EM_S_IPO_LISTEDDATE</stp>
        <stp>1</stp>
        <stp>300560</stp>
        <tr r="AT3115" s="1"/>
      </tp>
      <tp t="s">
        <v>2001-07-02</v>
        <stp/>
        <stp>EM_S_IPO_LISTEDDATE</stp>
        <stp>1</stp>
        <stp>600530</stp>
        <tr r="AT1765" s="1"/>
      </tp>
      <tp t="s">
        <v>2011-02-18</v>
        <stp/>
        <stp>EM_S_IPO_LISTEDDATE</stp>
        <stp>1</stp>
        <stp>002550</stp>
        <tr r="AT1338" s="1"/>
      </tp>
      <tp t="s">
        <v>1993-12-03</v>
        <stp/>
        <stp>EM_S_IPO_LISTEDDATE</stp>
        <stp>1</stp>
        <stp>000553</stp>
        <tr r="AT1907" s="1"/>
      </tp>
      <tp t="s">
        <v>2016-11-14</v>
        <stp/>
        <stp>EM_S_IPO_LISTEDDATE</stp>
        <stp>1</stp>
        <stp>300563</stp>
        <tr r="AT1534" s="1"/>
      </tp>
      <tp t="s">
        <v>2002-03-28</v>
        <stp/>
        <stp>EM_S_IPO_LISTEDDATE</stp>
        <stp>1</stp>
        <stp>600533</stp>
        <tr r="AT1535" s="1"/>
      </tp>
      <tp t="s">
        <v>2011-02-25</v>
        <stp/>
        <stp>EM_S_IPO_LISTEDDATE</stp>
        <stp>1</stp>
        <stp>002553</stp>
        <tr r="AT2055" s="1"/>
      </tp>
      <tp t="s">
        <v>2017-09-21</v>
        <stp/>
        <stp>EM_S_IPO_LISTEDDATE</stp>
        <stp>1</stp>
        <stp>603533</stp>
        <tr r="AT2569" s="1"/>
      </tp>
      <tp t="s">
        <v>1994-01-06</v>
        <stp/>
        <stp>EM_S_IPO_LISTEDDATE</stp>
        <stp>1</stp>
        <stp>000552</stp>
        <tr r="AT2352" s="1"/>
      </tp>
      <tp t="s">
        <v>2016-11-16</v>
        <stp/>
        <stp>EM_S_IPO_LISTEDDATE</stp>
        <stp>1</stp>
        <stp>300562</stp>
        <tr r="AT550" s="1"/>
      </tp>
      <tp t="s">
        <v>2002-10-31</v>
        <stp/>
        <stp>EM_S_IPO_LISTEDDATE</stp>
        <stp>1</stp>
        <stp>600532</stp>
        <tr r="AT2419" s="1"/>
      </tp>
      <tp t="s">
        <v>2011-02-25</v>
        <stp/>
        <stp>EM_S_IPO_LISTEDDATE</stp>
        <stp>1</stp>
        <stp>002552</stp>
        <tr r="AT17" s="1"/>
      </tp>
      <tp t="s">
        <v>1993-12-20</v>
        <stp/>
        <stp>EM_S_IPO_LISTEDDATE</stp>
        <stp>1</stp>
        <stp>000549</stp>
        <tr r="AT3451" s="1"/>
      </tp>
      <tp t="s">
        <v>2016-12-23</v>
        <stp/>
        <stp>EM_S_IPO_LISTEDDATE</stp>
        <stp>1</stp>
        <stp>300579</stp>
        <tr r="AT330" s="1"/>
      </tp>
      <tp t="s">
        <v>2002-06-03</v>
        <stp/>
        <stp>EM_S_IPO_LISTEDDATE</stp>
        <stp>1</stp>
        <stp>600529</stp>
        <tr r="AT589" s="1"/>
      </tp>
      <tp t="s">
        <v>2011-02-18</v>
        <stp/>
        <stp>EM_S_IPO_LISTEDDATE</stp>
        <stp>1</stp>
        <stp>002549</stp>
        <tr r="AT1576" s="1"/>
      </tp>
      <tp t="s">
        <v>1993-12-20</v>
        <stp/>
        <stp>EM_S_IPO_LISTEDDATE</stp>
        <stp>1</stp>
        <stp>000548</stp>
        <tr r="AT3450" s="1"/>
      </tp>
      <tp t="s">
        <v>2017-01-25</v>
        <stp/>
        <stp>EM_S_IPO_LISTEDDATE</stp>
        <stp>1</stp>
        <stp>300578</stp>
        <tr r="AT543" s="1"/>
      </tp>
      <tp t="s">
        <v>2001-05-28</v>
        <stp/>
        <stp>EM_S_IPO_LISTEDDATE</stp>
        <stp>1</stp>
        <stp>600528</stp>
        <tr r="AT2069" s="1"/>
      </tp>
      <tp t="s">
        <v>2011-02-18</v>
        <stp/>
        <stp>EM_S_IPO_LISTEDDATE</stp>
        <stp>1</stp>
        <stp>002548</stp>
        <tr r="AT938" s="1"/>
      </tp>
      <tp t="s">
        <v>2016-05-03</v>
        <stp/>
        <stp>EM_S_IPO_LISTEDDATE</stp>
        <stp>1</stp>
        <stp>603528</stp>
        <tr r="AT1609" s="1"/>
      </tp>
      <tp t="s">
        <v>1993-12-15</v>
        <stp/>
        <stp>EM_S_IPO_LISTEDDATE</stp>
        <stp>1</stp>
        <stp>000545</stp>
        <tr r="AT2486" s="1"/>
      </tp>
      <tp t="s">
        <v>2016-12-20</v>
        <stp/>
        <stp>EM_S_IPO_LISTEDDATE</stp>
        <stp>1</stp>
        <stp>300575</stp>
        <tr r="AT3269" s="1"/>
      </tp>
      <tp t="s">
        <v>2002-12-02</v>
        <stp/>
        <stp>EM_S_IPO_LISTEDDATE</stp>
        <stp>1</stp>
        <stp>600525</stp>
        <tr r="AT831" s="1"/>
      </tp>
      <tp t="s">
        <v>2011-02-11</v>
        <stp/>
        <stp>EM_S_IPO_LISTEDDATE</stp>
        <stp>1</stp>
        <stp>002545</stp>
        <tr r="AT996" s="1"/>
      </tp>
      <tp t="s">
        <v>1993-12-08</v>
        <stp/>
        <stp>EM_S_IPO_LISTEDDATE</stp>
        <stp>1</stp>
        <stp>000544</stp>
        <tr r="AT1160" s="1"/>
      </tp>
      <tp t="s">
        <v>2011-01-28</v>
        <stp/>
        <stp>EM_S_IPO_LISTEDDATE</stp>
        <stp>1</stp>
        <stp>002544</stp>
        <tr r="AT1046" s="1"/>
      </tp>
      <tp t="s">
        <v>1993-11-30</v>
        <stp/>
        <stp>EM_S_IPO_LISTEDDATE</stp>
        <stp>1</stp>
        <stp>000547</stp>
        <tr r="AT790" s="1"/>
      </tp>
      <tp t="s">
        <v>2016-12-21</v>
        <stp/>
        <stp>EM_S_IPO_LISTEDDATE</stp>
        <stp>1</stp>
        <stp>300577</stp>
        <tr r="AT1691" s="1"/>
      </tp>
      <tp t="s">
        <v>2003-11-27</v>
        <stp/>
        <stp>EM_S_IPO_LISTEDDATE</stp>
        <stp>1</stp>
        <stp>600527</stp>
        <tr r="AT2084" s="1"/>
      </tp>
      <tp t="s">
        <v>2011-02-18</v>
        <stp/>
        <stp>EM_S_IPO_LISTEDDATE</stp>
        <stp>1</stp>
        <stp>002547</stp>
        <tr r="AT524" s="1"/>
      </tp>
      <tp t="s">
        <v>2017-09-07</v>
        <stp/>
        <stp>EM_S_IPO_LISTEDDATE</stp>
        <stp>1</stp>
        <stp>603527</stp>
        <tr r="AT1518" s="1"/>
      </tp>
      <tp t="s">
        <v>1993-12-15</v>
        <stp/>
        <stp>EM_S_IPO_LISTEDDATE</stp>
        <stp>1</stp>
        <stp>000546</stp>
        <tr r="AT1381" s="1"/>
      </tp>
      <tp t="s">
        <v>2016-12-20</v>
        <stp/>
        <stp>EM_S_IPO_LISTEDDATE</stp>
        <stp>1</stp>
        <stp>300576</stp>
        <tr r="AT161" s="1"/>
      </tp>
      <tp t="s">
        <v>2002-07-22</v>
        <stp/>
        <stp>EM_S_IPO_LISTEDDATE</stp>
        <stp>1</stp>
        <stp>600526</stp>
        <tr r="AT1544" s="1"/>
      </tp>
      <tp t="s">
        <v>2011-02-11</v>
        <stp/>
        <stp>EM_S_IPO_LISTEDDATE</stp>
        <stp>1</stp>
        <stp>002546</stp>
        <tr r="AT1763" s="1"/>
      </tp>
      <tp t="s">
        <v>1993-11-23</v>
        <stp/>
        <stp>EM_S_IPO_LISTEDDATE</stp>
        <stp>1</stp>
        <stp>000541</stp>
        <tr r="AT2586" s="1"/>
      </tp>
      <tp t="s">
        <v>2016-12-13</v>
        <stp/>
        <stp>EM_S_IPO_LISTEDDATE</stp>
        <stp>1</stp>
        <stp>300571</stp>
        <tr r="AT939" s="1"/>
      </tp>
      <tp t="s">
        <v>2003-03-04</v>
        <stp/>
        <stp>EM_S_IPO_LISTEDDATE</stp>
        <stp>1</stp>
        <stp>600521</stp>
        <tr r="AT489" s="1"/>
      </tp>
      <tp t="s">
        <v>2011-01-18</v>
        <stp/>
        <stp>EM_S_IPO_LISTEDDATE</stp>
        <stp>1</stp>
        <stp>002541</stp>
        <tr r="AT538" s="1"/>
      </tp>
      <tp t="s">
        <v>1994-02-02</v>
        <stp/>
        <stp>EM_S_IPO_LISTEDDATE</stp>
        <stp>1</stp>
        <stp>000540</stp>
        <tr r="AT3448" s="1"/>
      </tp>
      <tp t="s">
        <v>2016-12-06</v>
        <stp/>
        <stp>EM_S_IPO_LISTEDDATE</stp>
        <stp>1</stp>
        <stp>300570</stp>
        <tr r="AT674" s="1"/>
      </tp>
      <tp t="s">
        <v>2002-01-08</v>
        <stp/>
        <stp>EM_S_IPO_LISTEDDATE</stp>
        <stp>1</stp>
        <stp>600520</stp>
        <tr r="AT3023" s="1"/>
      </tp>
      <tp t="s">
        <v>2011-01-18</v>
        <stp/>
        <stp>EM_S_IPO_LISTEDDATE</stp>
        <stp>1</stp>
        <stp>002540</stp>
        <tr r="AT2657" s="1"/>
      </tp>
      <tp t="s">
        <v>2016-03-09</v>
        <stp/>
        <stp>EM_S_IPO_LISTEDDATE</stp>
        <stp>1</stp>
        <stp>603520</stp>
        <tr r="AT419" s="1"/>
      </tp>
      <tp t="s">
        <v>1993-12-20</v>
        <stp/>
        <stp>EM_S_IPO_LISTEDDATE</stp>
        <stp>1</stp>
        <stp>000543</stp>
        <tr r="AT2463" s="1"/>
      </tp>
      <tp t="s">
        <v>2016-12-08</v>
        <stp/>
        <stp>EM_S_IPO_LISTEDDATE</stp>
        <stp>1</stp>
        <stp>300573</stp>
        <tr r="AT25" s="1"/>
      </tp>
      <tp t="s">
        <v>2001-12-27</v>
        <stp/>
        <stp>EM_S_IPO_LISTEDDATE</stp>
        <stp>1</stp>
        <stp>600523</stp>
        <tr r="AT688" s="1"/>
      </tp>
      <tp t="s">
        <v>2011-01-28</v>
        <stp/>
        <stp>EM_S_IPO_LISTEDDATE</stp>
        <stp>1</stp>
        <stp>002543</stp>
        <tr r="AT3167" s="1"/>
      </tp>
      <tp t="s">
        <v>1993-12-01</v>
        <stp/>
        <stp>EM_S_IPO_LISTEDDATE</stp>
        <stp>1</stp>
        <stp>000542</stp>
        <tr r="AT3449" s="1"/>
      </tp>
      <tp t="s">
        <v>2016-12-06</v>
        <stp/>
        <stp>EM_S_IPO_LISTEDDATE</stp>
        <stp>1</stp>
        <stp>300572</stp>
        <tr r="AT1863" s="1"/>
      </tp>
      <tp t="s">
        <v>2002-10-24</v>
        <stp/>
        <stp>EM_S_IPO_LISTEDDATE</stp>
        <stp>1</stp>
        <stp>600522</stp>
        <tr r="AT2201" s="1"/>
      </tp>
      <tp t="s">
        <v>2011-01-28</v>
        <stp/>
        <stp>EM_S_IPO_LISTEDDATE</stp>
        <stp>1</stp>
        <stp>002542</stp>
        <tr r="AT2894" s="1"/>
      </tp>
      <tp t="s">
        <v>2016-09-30</v>
        <stp/>
        <stp>EM_S_IPO_LISTEDDATE</stp>
        <stp>1</stp>
        <stp>300549</stp>
        <tr r="AT1330" s="1"/>
      </tp>
      <tp t="s">
        <v>2001-08-27</v>
        <stp/>
        <stp>EM_S_IPO_LISTEDDATE</stp>
        <stp>1</stp>
        <stp>600519</stp>
        <tr r="AT160" s="1"/>
      </tp>
      <tp t="s">
        <v>2011-01-28</v>
        <stp/>
        <stp>EM_S_IPO_LISTEDDATE</stp>
        <stp>1</stp>
        <stp>601519</stp>
        <tr r="AT99" s="1"/>
      </tp>
      <tp t="s">
        <v>2011-05-06</v>
        <stp/>
        <stp>EM_S_IPO_LISTEDDATE</stp>
        <stp>1</stp>
        <stp>002579</stp>
        <tr r="AT396" s="1"/>
      </tp>
      <tp t="s">
        <v>2015-03-19</v>
        <stp/>
        <stp>EM_S_IPO_LISTEDDATE</stp>
        <stp>1</stp>
        <stp>603519</stp>
        <tr r="AT531" s="1"/>
      </tp>
      <tp t="s">
        <v>1995-03-03</v>
        <stp/>
        <stp>EM_S_IPO_LISTEDDATE</stp>
        <stp>1</stp>
        <stp>000578</stp>
        <tr r="AT3464" s="1"/>
      </tp>
      <tp t="s">
        <v>2016-10-12</v>
        <stp/>
        <stp>EM_S_IPO_LISTEDDATE</stp>
        <stp>1</stp>
        <stp>300548</stp>
        <tr r="AT199" s="1"/>
      </tp>
      <tp t="s">
        <v>2001-03-19</v>
        <stp/>
        <stp>EM_S_IPO_LISTEDDATE</stp>
        <stp>1</stp>
        <stp>600518</stp>
        <tr r="AT3393" s="1"/>
      </tp>
      <tp t="s">
        <v>2010-03-19</v>
        <stp/>
        <stp>EM_S_IPO_LISTEDDATE</stp>
        <stp>1</stp>
        <stp>601518</stp>
        <tr r="AT2183" s="1"/>
      </tp>
      <tp t="s">
        <v>2011-04-28</v>
        <stp/>
        <stp>EM_S_IPO_LISTEDDATE</stp>
        <stp>1</stp>
        <stp>002578</stp>
        <tr r="AT1903" s="1"/>
      </tp>
      <tp t="s">
        <v>2014-12-03</v>
        <stp/>
        <stp>EM_S_IPO_LISTEDDATE</stp>
        <stp>1</stp>
        <stp>603518</stp>
        <tr r="AT3366" s="1"/>
      </tp>
      <tp t="s">
        <v>2016-09-28</v>
        <stp/>
        <stp>EM_S_IPO_LISTEDDATE</stp>
        <stp>1</stp>
        <stp>300545</stp>
        <tr r="AT1071" s="1"/>
      </tp>
      <tp t="s">
        <v>2002-08-06</v>
        <stp/>
        <stp>EM_S_IPO_LISTEDDATE</stp>
        <stp>1</stp>
        <stp>600515</stp>
        <tr r="AT2485" s="1"/>
      </tp>
      <tp t="s">
        <v>2012-02-16</v>
        <stp/>
        <stp>EM_S_IPO_LISTEDDATE</stp>
        <stp>1</stp>
        <stp>601515</stp>
        <tr r="AT2559" s="1"/>
      </tp>
      <tp t="s">
        <v>2011-04-22</v>
        <stp/>
        <stp>EM_S_IPO_LISTEDDATE</stp>
        <stp>1</stp>
        <stp>002575</stp>
        <tr r="AT2631" s="1"/>
      </tp>
      <tp t="s">
        <v>2016-08-19</v>
        <stp/>
        <stp>EM_S_IPO_LISTEDDATE</stp>
        <stp>1</stp>
        <stp>603515</stp>
        <tr r="AT2247" s="1"/>
      </tp>
      <tp t="s">
        <v>2011-04-22</v>
        <stp/>
        <stp>EM_S_IPO_LISTEDDATE</stp>
        <stp>1</stp>
        <stp>002574</stp>
        <tr r="AT2095" s="1"/>
      </tp>
      <tp t="s">
        <v>2016-09-30</v>
        <stp/>
        <stp>EM_S_IPO_LISTEDDATE</stp>
        <stp>1</stp>
        <stp>300547</stp>
        <tr r="AT3328" s="1"/>
      </tp>
      <tp t="s">
        <v>2003-10-10</v>
        <stp/>
        <stp>EM_S_IPO_LISTEDDATE</stp>
        <stp>1</stp>
        <stp>600517</stp>
        <tr r="AT72" s="1"/>
      </tp>
      <tp t="s">
        <v>2011-04-28</v>
        <stp/>
        <stp>EM_S_IPO_LISTEDDATE</stp>
        <stp>1</stp>
        <stp>002577</stp>
        <tr r="AT919" s="1"/>
      </tp>
      <tp t="s">
        <v>2017-03-17</v>
        <stp/>
        <stp>EM_S_IPO_LISTEDDATE</stp>
        <stp>1</stp>
        <stp>603517</stp>
        <tr r="AT793" s="1"/>
      </tp>
      <tp t="s">
        <v>1994-09-07</v>
        <stp/>
        <stp>EM_S_IPO_LISTEDDATE</stp>
        <stp>1</stp>
        <stp>000576</stp>
        <tr r="AT1024" s="1"/>
      </tp>
      <tp t="s">
        <v>2016-09-28</v>
        <stp/>
        <stp>EM_S_IPO_LISTEDDATE</stp>
        <stp>1</stp>
        <stp>300546</stp>
        <tr r="AT1654" s="1"/>
      </tp>
      <tp t="s">
        <v>2002-08-30</v>
        <stp/>
        <stp>EM_S_IPO_LISTEDDATE</stp>
        <stp>1</stp>
        <stp>600516</stp>
        <tr r="AT3163" s="1"/>
      </tp>
      <tp t="s">
        <v>2011-04-28</v>
        <stp/>
        <stp>EM_S_IPO_LISTEDDATE</stp>
        <stp>1</stp>
        <stp>002576</stp>
        <tr r="AT2458" s="1"/>
      </tp>
      <tp t="s">
        <v>2018-02-02</v>
        <stp/>
        <stp>EM_S_IPO_LISTEDDATE</stp>
        <stp>1</stp>
        <stp>603516</stp>
        <tr r="AT366" s="1"/>
      </tp>
      <tp t="s">
        <v>1994-05-25</v>
        <stp/>
        <stp>EM_S_IPO_LISTEDDATE</stp>
        <stp>1</stp>
        <stp>000571</stp>
        <tr r="AT3462" s="1"/>
      </tp>
      <tp t="s">
        <v>2016-09-13</v>
        <stp/>
        <stp>EM_S_IPO_LISTEDDATE</stp>
        <stp>1</stp>
        <stp>300541</stp>
        <tr r="AT463" s="1"/>
      </tp>
      <tp t="s">
        <v>2002-11-27</v>
        <stp/>
        <stp>EM_S_IPO_LISTEDDATE</stp>
        <stp>1</stp>
        <stp>600511</stp>
        <tr r="AT1450" s="1"/>
      </tp>
      <tp t="s">
        <v>2011-04-12</v>
        <stp/>
        <stp>EM_S_IPO_LISTEDDATE</stp>
        <stp>1</stp>
        <stp>002571</stp>
        <tr r="AT2579" s="1"/>
      </tp>
      <tp t="s">
        <v>1994-07-01</v>
        <stp/>
        <stp>EM_S_IPO_LISTEDDATE</stp>
        <stp>1</stp>
        <stp>000570</stp>
        <tr r="AT3461" s="1"/>
      </tp>
      <tp t="s">
        <v>2016-08-23</v>
        <stp/>
        <stp>EM_S_IPO_LISTEDDATE</stp>
        <stp>1</stp>
        <stp>300540</stp>
        <tr r="AT1366" s="1"/>
      </tp>
      <tp t="s">
        <v>2002-06-18</v>
        <stp/>
        <stp>EM_S_IPO_LISTEDDATE</stp>
        <stp>1</stp>
        <stp>600510</stp>
        <tr r="AT1618" s="1"/>
      </tp>
      <tp t="s">
        <v>2011-04-12</v>
        <stp/>
        <stp>EM_S_IPO_LISTEDDATE</stp>
        <stp>1</stp>
        <stp>002570</stp>
        <tr r="AT1926" s="1"/>
      </tp>
      <tp t="s">
        <v>1994-08-15</v>
        <stp/>
        <stp>EM_S_IPO_LISTEDDATE</stp>
        <stp>1</stp>
        <stp>000573</stp>
        <tr r="AT2239" s="1"/>
      </tp>
      <tp t="s">
        <v>2016-09-08</v>
        <stp/>
        <stp>EM_S_IPO_LISTEDDATE</stp>
        <stp>1</stp>
        <stp>300543</stp>
        <tr r="AT759" s="1"/>
      </tp>
      <tp t="s">
        <v>2003-03-19</v>
        <stp/>
        <stp>EM_S_IPO_LISTEDDATE</stp>
        <stp>1</stp>
        <stp>600513</stp>
        <tr r="AT1324" s="1"/>
      </tp>
      <tp t="s">
        <v>2011-04-22</v>
        <stp/>
        <stp>EM_S_IPO_LISTEDDATE</stp>
        <stp>1</stp>
        <stp>002573</stp>
        <tr r="AT2784" s="1"/>
      </tp>
      <tp t="s">
        <v>1994-08-08</v>
        <stp/>
        <stp>EM_S_IPO_LISTEDDATE</stp>
        <stp>1</stp>
        <stp>000572</stp>
        <tr r="AT3463" s="1"/>
      </tp>
      <tp t="s">
        <v>2016-09-20</v>
        <stp/>
        <stp>EM_S_IPO_LISTEDDATE</stp>
        <stp>1</stp>
        <stp>300542</stp>
        <tr r="AT1783" s="1"/>
      </tp>
      <tp t="s">
        <v>2002-12-26</v>
        <stp/>
        <stp>EM_S_IPO_LISTEDDATE</stp>
        <stp>1</stp>
        <stp>600512</stp>
        <tr r="AT947" s="1"/>
      </tp>
      <tp t="s">
        <v>2011-04-12</v>
        <stp/>
        <stp>EM_S_IPO_LISTEDDATE</stp>
        <stp>1</stp>
        <stp>002572</stp>
        <tr r="AT1070" s="1"/>
      </tp>
      <tp t="s">
        <v>1994-04-25</v>
        <stp/>
        <stp>EM_S_IPO_LISTEDDATE</stp>
        <stp>1</stp>
        <stp>000569</stp>
        <tr r="AT3460" s="1"/>
      </tp>
      <tp t="s">
        <v>2016-11-01</v>
        <stp/>
        <stp>EM_S_IPO_LISTEDDATE</stp>
        <stp>1</stp>
        <stp>300559</stp>
        <tr r="AT2942" s="1"/>
      </tp>
      <tp t="s">
        <v>2002-02-28</v>
        <stp/>
        <stp>EM_S_IPO_LISTEDDATE</stp>
        <stp>1</stp>
        <stp>600509</stp>
        <tr r="AT2207" s="1"/>
      </tp>
      <tp t="s">
        <v>2011-04-12</v>
        <stp/>
        <stp>EM_S_IPO_LISTEDDATE</stp>
        <stp>1</stp>
        <stp>002569</stp>
        <tr r="AT2052" s="1"/>
      </tp>
      <tp t="s">
        <v>1994-05-09</v>
        <stp/>
        <stp>EM_S_IPO_LISTEDDATE</stp>
        <stp>1</stp>
        <stp>000568</stp>
        <tr r="AT129" s="1"/>
      </tp>
      <tp t="s">
        <v>2016-11-07</v>
        <stp/>
        <stp>EM_S_IPO_LISTEDDATE</stp>
        <stp>1</stp>
        <stp>300558</stp>
        <tr r="AT157" s="1"/>
      </tp>
      <tp t="s">
        <v>2001-08-29</v>
        <stp/>
        <stp>EM_S_IPO_LISTEDDATE</stp>
        <stp>1</stp>
        <stp>600508</stp>
        <tr r="AT2440" s="1"/>
      </tp>
      <tp t="s">
        <v>2011-03-25</v>
        <stp/>
        <stp>EM_S_IPO_LISTEDDATE</stp>
        <stp>1</stp>
        <stp>002568</stp>
        <tr r="AT47" s="1"/>
      </tp>
      <tp t="s">
        <v>2015-12-24</v>
        <stp/>
        <stp>EM_S_IPO_LISTEDDATE</stp>
        <stp>1</stp>
        <stp>603508</stp>
        <tr r="AT586" s="1"/>
      </tp>
      <tp t="s">
        <v>1994-04-08</v>
        <stp/>
        <stp>EM_S_IPO_LISTEDDATE</stp>
        <stp>1</stp>
        <stp>000565</stp>
        <tr r="AT3458" s="1"/>
      </tp>
      <tp t="s">
        <v>2016-10-18</v>
        <stp/>
        <stp>EM_S_IPO_LISTEDDATE</stp>
        <stp>1</stp>
        <stp>300555</stp>
        <tr r="AT1438" s="1"/>
      </tp>
      <tp t="s">
        <v>2002-05-30</v>
        <stp/>
        <stp>EM_S_IPO_LISTEDDATE</stp>
        <stp>1</stp>
        <stp>600505</stp>
        <tr r="AT146" s="1"/>
      </tp>
      <tp t="s">
        <v>2011-03-18</v>
        <stp/>
        <stp>EM_S_IPO_LISTEDDATE</stp>
        <stp>1</stp>
        <stp>002565</stp>
        <tr r="AT336" s="1"/>
      </tp>
      <tp t="s">
        <v>2017-05-03</v>
        <stp/>
        <stp>EM_S_IPO_LISTEDDATE</stp>
        <stp>1</stp>
        <stp>603505</stp>
        <tr r="AT335" s="1"/>
      </tp>
      <tp t="s">
        <v>1994-01-10</v>
        <stp/>
        <stp>EM_S_IPO_LISTEDDATE</stp>
        <stp>1</stp>
        <stp>000564</stp>
        <tr r="AT3457" s="1"/>
      </tp>
      <tp t="s">
        <v>2017-04-21</v>
        <stp/>
        <stp>EM_S_IPO_LISTEDDATE</stp>
        <stp>1</stp>
        <stp>300554</stp>
        <tr r="AT2839" s="1"/>
      </tp>
      <tp t="s">
        <v>2011-03-10</v>
        <stp/>
        <stp>EM_S_IPO_LISTEDDATE</stp>
        <stp>1</stp>
        <stp>002564</stp>
        <tr r="AT2712" s="1"/>
      </tp>
      <tp t="s">
        <v>1994-05-25</v>
        <stp/>
        <stp>EM_S_IPO_LISTEDDATE</stp>
        <stp>1</stp>
        <stp>000567</stp>
        <tr r="AT3459" s="1"/>
      </tp>
      <tp t="s">
        <v>2016-11-01</v>
        <stp/>
        <stp>EM_S_IPO_LISTEDDATE</stp>
        <stp>1</stp>
        <stp>300557</stp>
        <tr r="AT1012" s="1"/>
      </tp>
      <tp t="s">
        <v>2003-09-30</v>
        <stp/>
        <stp>EM_S_IPO_LISTEDDATE</stp>
        <stp>1</stp>
        <stp>600507</stp>
        <tr r="AT2209" s="1"/>
      </tp>
      <tp t="s">
        <v>2011-03-25</v>
        <stp/>
        <stp>EM_S_IPO_LISTEDDATE</stp>
        <stp>1</stp>
        <stp>002567</stp>
        <tr r="AT485" s="1"/>
      </tp>
      <tp t="s">
        <v>2017-11-06</v>
        <stp/>
        <stp>EM_S_IPO_LISTEDDATE</stp>
        <stp>1</stp>
        <stp>603507</stp>
        <tr r="AT2178" s="1"/>
      </tp>
      <tp t="s">
        <v>1994-05-25</v>
        <stp/>
        <stp>EM_S_IPO_LISTEDDATE</stp>
        <stp>1</stp>
        <stp>000566</stp>
        <tr r="AT1499" s="1"/>
      </tp>
      <tp t="s">
        <v>2016-11-04</v>
        <stp/>
        <stp>EM_S_IPO_LISTEDDATE</stp>
        <stp>1</stp>
        <stp>300556</stp>
        <tr r="AT2073" s="1"/>
      </tp>
      <tp t="s">
        <v>2001-12-26</v>
        <stp/>
        <stp>EM_S_IPO_LISTEDDATE</stp>
        <stp>1</stp>
        <stp>600506</stp>
        <tr r="AT2132" s="1"/>
      </tp>
      <tp t="s">
        <v>2011-03-18</v>
        <stp/>
        <stp>EM_S_IPO_LISTEDDATE</stp>
        <stp>1</stp>
        <stp>002566</stp>
        <tr r="AT1514" s="1"/>
      </tp>
      <tp t="s">
        <v>2018-02-01</v>
        <stp/>
        <stp>EM_S_IPO_LISTEDDATE</stp>
        <stp>1</stp>
        <stp>603506</stp>
        <tr r="AT2595" s="1"/>
      </tp>
      <tp t="s">
        <v>1994-05-09</v>
        <stp/>
        <stp>EM_S_IPO_LISTEDDATE</stp>
        <stp>1</stp>
        <stp>000561</stp>
        <tr r="AT926" s="1"/>
      </tp>
      <tp t="s">
        <v>2016-10-18</v>
        <stp/>
        <stp>EM_S_IPO_LISTEDDATE</stp>
        <stp>1</stp>
        <stp>300551</stp>
        <tr r="AT113" s="1"/>
      </tp>
      <tp t="s">
        <v>2001-06-15</v>
        <stp/>
        <stp>EM_S_IPO_LISTEDDATE</stp>
        <stp>1</stp>
        <stp>600501</stp>
        <tr r="AT972" s="1"/>
      </tp>
      <tp t="s">
        <v>2011-03-03</v>
        <stp/>
        <stp>EM_S_IPO_LISTEDDATE</stp>
        <stp>1</stp>
        <stp>002561</stp>
        <tr r="AT1959" s="1"/>
      </tp>
      <tp t="s">
        <v>2017-05-04</v>
        <stp/>
        <stp>EM_S_IPO_LISTEDDATE</stp>
        <stp>1</stp>
        <stp>603501</stp>
        <tr r="AT18" s="1"/>
      </tp>
      <tp t="s">
        <v>1994-02-02</v>
        <stp/>
        <stp>EM_S_IPO_LISTEDDATE</stp>
        <stp>1</stp>
        <stp>000560</stp>
        <tr r="AT2688" s="1"/>
      </tp>
      <tp t="s">
        <v>2016-10-18</v>
        <stp/>
        <stp>EM_S_IPO_LISTEDDATE</stp>
        <stp>1</stp>
        <stp>300550</stp>
        <tr r="AT3349" s="1"/>
      </tp>
      <tp t="s">
        <v>2000-03-01</v>
        <stp/>
        <stp>EM_S_IPO_LISTEDDATE</stp>
        <stp>1</stp>
        <stp>600500</stp>
        <tr r="AT3109" s="1"/>
      </tp>
      <tp t="s">
        <v>2016-09-19</v>
        <stp/>
        <stp>EM_S_IPO_LISTEDDATE</stp>
        <stp>1</stp>
        <stp>601500</stp>
        <tr r="AT2436" s="1"/>
      </tp>
      <tp t="s">
        <v>2011-03-03</v>
        <stp/>
        <stp>EM_S_IPO_LISTEDDATE</stp>
        <stp>1</stp>
        <stp>002560</stp>
        <tr r="AT1921" s="1"/>
      </tp>
      <tp t="s">
        <v>2017-09-04</v>
        <stp/>
        <stp>EM_S_IPO_LISTEDDATE</stp>
        <stp>1</stp>
        <stp>603500</stp>
        <tr r="AT1345" s="1"/>
      </tp>
      <tp t="s">
        <v>1994-01-10</v>
        <stp/>
        <stp>EM_S_IPO_LISTEDDATE</stp>
        <stp>1</stp>
        <stp>000563</stp>
        <tr r="AT3456" s="1"/>
      </tp>
      <tp t="s">
        <v>2016-10-21</v>
        <stp/>
        <stp>EM_S_IPO_LISTEDDATE</stp>
        <stp>1</stp>
        <stp>300553</stp>
        <tr r="AT1587" s="1"/>
      </tp>
      <tp t="s">
        <v>2002-07-09</v>
        <stp/>
        <stp>EM_S_IPO_LISTEDDATE</stp>
        <stp>1</stp>
        <stp>600503</stp>
        <tr r="AT2014" s="1"/>
      </tp>
      <tp t="s">
        <v>2011-03-11</v>
        <stp/>
        <stp>EM_S_IPO_LISTEDDATE</stp>
        <stp>1</stp>
        <stp>002563</stp>
        <tr r="AT1758" s="1"/>
      </tp>
      <tp t="s">
        <v>1994-02-02</v>
        <stp/>
        <stp>EM_S_IPO_LISTEDDATE</stp>
        <stp>1</stp>
        <stp>000562</stp>
        <tr r="AT3455" s="1"/>
      </tp>
      <tp t="s">
        <v>2016-10-21</v>
        <stp/>
        <stp>EM_S_IPO_LISTEDDATE</stp>
        <stp>1</stp>
        <stp>300552</stp>
        <tr r="AT15" s="1"/>
      </tp>
      <tp t="s">
        <v>2003-04-15</v>
        <stp/>
        <stp>EM_S_IPO_LISTEDDATE</stp>
        <stp>1</stp>
        <stp>600502</stp>
        <tr r="AT1556" s="1"/>
      </tp>
      <tp t="s">
        <v>2011-03-10</v>
        <stp/>
        <stp>EM_S_IPO_LISTEDDATE</stp>
        <stp>1</stp>
        <stp>002562</stp>
        <tr r="AT1598" s="1"/>
      </tp>
      <tp>
        <v>0.25262327285500003</v>
        <stp/>
        <stp>EM_S_FA_ASSETSTURN</stp>
        <stp>3</stp>
        <stp>000998</stp>
        <stp>12/31/2018</stp>
        <stp>1</stp>
        <tr r="K2742" s="1"/>
      </tp>
      <tp>
        <v>1.173443881536</v>
        <stp/>
        <stp>EM_S_FA_ASSETSTURN</stp>
        <stp>3</stp>
        <stp>000898</stp>
        <stp>12/31/2018</stp>
        <stp>1</stp>
        <tr r="K3280" s="1"/>
      </tp>
      <tp>
        <v>0.60416146942100002</v>
        <stp/>
        <stp>EM_S_FA_ASSETSTURN</stp>
        <stp>3</stp>
        <stp>000798</stp>
        <stp>12/31/2018</stp>
        <stp>1</stp>
        <tr r="K3541" s="1"/>
      </tp>
      <tp>
        <v>1.1356593799750001</v>
        <stp/>
        <stp>EM_S_FA_ASSETSTURN</stp>
        <stp>3</stp>
        <stp>000698</stp>
        <stp>12/31/2018</stp>
        <stp>1</stp>
        <tr r="K3514" s="1"/>
      </tp>
      <tp>
        <v>0.20967882115600001</v>
        <stp/>
        <stp>EM_S_FA_ASSETSTURN</stp>
        <stp>3</stp>
        <stp>000598</stp>
        <stp>12/31/2018</stp>
        <stp>1</stp>
        <tr r="K1507" s="1"/>
      </tp>
      <tp>
        <v>0.71141578343099998</v>
        <stp/>
        <stp>EM_S_FA_ASSETSTURN</stp>
        <stp>3</stp>
        <stp>000498</stp>
        <stp>12/31/2018</stp>
        <stp>1</stp>
        <tr r="K2686" s="1"/>
      </tp>
      <tp>
        <v>0.59317447696500003</v>
        <stp/>
        <stp>EM_S_FA_ASSETSTURN</stp>
        <stp>3</stp>
        <stp>002898</stp>
        <stp>12/31/2018</stp>
        <stp>1</stp>
        <tr r="K2713" s="1"/>
      </tp>
      <tp>
        <v>0.79890713782599998</v>
        <stp/>
        <stp>EM_S_FA_ASSETSTURN</stp>
        <stp>3</stp>
        <stp>002398</stp>
        <stp>12/31/2018</stp>
        <stp>1</stp>
        <tr r="K850" s="1"/>
      </tp>
      <tp>
        <v>0.405891753721</v>
        <stp/>
        <stp>EM_S_FA_ASSETSTURN</stp>
        <stp>3</stp>
        <stp>002298</stp>
        <stp>12/31/2018</stp>
        <stp>1</stp>
        <tr r="K1002" s="1"/>
      </tp>
      <tp>
        <v>0.60807719087000001</v>
        <stp/>
        <stp>EM_S_FA_ASSETSTURN</stp>
        <stp>3</stp>
        <stp>002198</stp>
        <stp>12/31/2018</stp>
        <stp>1</stp>
        <tr r="K2082" s="1"/>
      </tp>
      <tp>
        <v>0.85413003827900003</v>
        <stp/>
        <stp>EM_S_FA_ASSETSTURN</stp>
        <stp>3</stp>
        <stp>002098</stp>
        <stp>12/31/2018</stp>
        <stp>1</stp>
        <tr r="K3633" s="1"/>
      </tp>
      <tp>
        <v>1.2168971564910001</v>
        <stp/>
        <stp>EM_S_FA_ASSETSTURN</stp>
        <stp>3</stp>
        <stp>002798</stp>
        <stp>12/31/2018</stp>
        <stp>1</stp>
        <tr r="K231" s="1"/>
      </tp>
      <tp>
        <v>0.30054227988299997</v>
        <stp/>
        <stp>EM_S_FA_ASSETSTURN</stp>
        <stp>3</stp>
        <stp>002698</stp>
        <stp>12/31/2018</stp>
        <stp>1</stp>
        <tr r="K1301" s="1"/>
      </tp>
      <tp>
        <v>0.75778235610400002</v>
        <stp/>
        <stp>EM_S_FA_ASSETSTURN</stp>
        <stp>3</stp>
        <stp>002598</stp>
        <stp>12/31/2018</stp>
        <stp>1</stp>
        <tr r="K2728" s="1"/>
      </tp>
      <tp>
        <v>0.865425465359</v>
        <stp/>
        <stp>EM_S_FA_ASSETSTURN</stp>
        <stp>3</stp>
        <stp>002498</stp>
        <stp>12/31/2018</stp>
        <stp>1</stp>
        <tr r="K544" s="1"/>
      </tp>
      <tp>
        <v>0.78466564483400003</v>
        <stp/>
        <stp>EM_S_FA_ASSETSTURN</stp>
        <stp>3</stp>
        <stp>000999</stp>
        <stp>12/31/2018</stp>
        <stp>1</stp>
        <tr r="K1163" s="1"/>
      </tp>
      <tp>
        <v>0.34466437903399999</v>
        <stp/>
        <stp>EM_S_FA_ASSETSTURN</stp>
        <stp>3</stp>
        <stp>000899</stp>
        <stp>12/31/2018</stp>
        <stp>1</stp>
        <tr r="K1690" s="1"/>
      </tp>
      <tp>
        <v>0.252703905821</v>
        <stp/>
        <stp>EM_S_FA_ASSETSTURN</stp>
        <stp>3</stp>
        <stp>000099</stp>
        <stp>12/31/2018</stp>
        <stp>1</stp>
        <tr r="K899" s="1"/>
      </tp>
      <tp>
        <v>0.438629104198</v>
        <stp/>
        <stp>EM_S_FA_ASSETSTURN</stp>
        <stp>3</stp>
        <stp>000799</stp>
        <stp>12/31/2018</stp>
        <stp>1</stp>
        <tr r="K114" s="1"/>
      </tp>
      <tp>
        <v>0</v>
        <stp/>
        <stp>EM_S_FA_ASSETSTURN</stp>
        <stp>3</stp>
        <stp>000699</stp>
        <stp>12/31/2018</stp>
        <stp>1</stp>
        <tr r="K3515" s="1"/>
      </tp>
      <tp>
        <v>0.43186642393500002</v>
        <stp/>
        <stp>EM_S_FA_ASSETSTURN</stp>
        <stp>3</stp>
        <stp>000599</stp>
        <stp>12/31/2018</stp>
        <stp>1</stp>
        <tr r="K3476" s="1"/>
      </tp>
      <tp>
        <v>0.72784175466199996</v>
        <stp/>
        <stp>EM_S_FA_ASSETSTURN</stp>
        <stp>3</stp>
        <stp>002899</stp>
        <stp>12/31/2018</stp>
        <stp>1</stp>
        <tr r="K2501" s="1"/>
      </tp>
      <tp>
        <v>0.35873019229999997</v>
        <stp/>
        <stp>EM_S_FA_ASSETSTURN</stp>
        <stp>3</stp>
        <stp>002399</stp>
        <stp>12/31/2018</stp>
        <stp>1</stp>
        <tr r="K2973" s="1"/>
      </tp>
      <tp>
        <v>0.82900860250499997</v>
        <stp/>
        <stp>EM_S_FA_ASSETSTURN</stp>
        <stp>3</stp>
        <stp>002299</stp>
        <stp>12/31/2018</stp>
        <stp>1</stp>
        <tr r="K644" s="1"/>
      </tp>
      <tp>
        <v>0.334047230059</v>
        <stp/>
        <stp>EM_S_FA_ASSETSTURN</stp>
        <stp>3</stp>
        <stp>002199</stp>
        <stp>12/31/2018</stp>
        <stp>1</stp>
        <tr r="K2124" s="1"/>
      </tp>
      <tp>
        <v>0.37492103317499997</v>
        <stp/>
        <stp>EM_S_FA_ASSETSTURN</stp>
        <stp>3</stp>
        <stp>002099</stp>
        <stp>12/31/2018</stp>
        <stp>1</stp>
        <tr r="K498" s="1"/>
      </tp>
      <tp>
        <v>0.63310467560899997</v>
        <stp/>
        <stp>EM_S_FA_ASSETSTURN</stp>
        <stp>3</stp>
        <stp>002799</stp>
        <stp>12/31/2018</stp>
        <stp>1</stp>
        <tr r="K657" s="1"/>
      </tp>
      <tp>
        <v>0.17856810990399999</v>
        <stp/>
        <stp>EM_S_FA_ASSETSTURN</stp>
        <stp>3</stp>
        <stp>002699</stp>
        <stp>12/31/2018</stp>
        <stp>1</stp>
        <tr r="K1025" s="1"/>
      </tp>
      <tp>
        <v>0.77255229109300005</v>
        <stp/>
        <stp>EM_S_FA_ASSETSTURN</stp>
        <stp>3</stp>
        <stp>002599</stp>
        <stp>12/31/2018</stp>
        <stp>1</stp>
        <tr r="K3370" s="1"/>
      </tp>
      <tp>
        <v>5.7715629689E-2</v>
        <stp/>
        <stp>EM_S_FA_ASSETSTURN</stp>
        <stp>3</stp>
        <stp>002499</stp>
        <stp>12/31/2018</stp>
        <stp>1</stp>
        <tr r="K3287" s="1"/>
      </tp>
      <tp>
        <v>0.22700944203647261</v>
        <stp/>
        <stp>EM_S_RATIO_EPS_TTM</stp>
        <stp>3</stp>
        <stp>002129</stp>
        <stp>12/31/2018</stp>
        <stp>1</stp>
        <tr r="U384" s="1"/>
      </tp>
      <tp>
        <v>0.45825099535511538</v>
        <stp/>
        <stp>EM_S_RATIO_EPS_TTM</stp>
        <stp>3</stp>
        <stp>002029</stp>
        <stp>12/31/2018</stp>
        <stp>1</stp>
        <tr r="U2562" s="1"/>
      </tp>
      <tp>
        <v>-0.73563749289991842</v>
        <stp/>
        <stp>EM_S_RATIO_EPS_TTM</stp>
        <stp>3</stp>
        <stp>002329</stp>
        <stp>12/31/2018</stp>
        <stp>1</stp>
        <tr r="U907" s="1"/>
      </tp>
      <tp>
        <v>1.025881723010502E-2</v>
        <stp/>
        <stp>EM_S_RATIO_EPS_TTM</stp>
        <stp>3</stp>
        <stp>002229</stp>
        <stp>12/31/2018</stp>
        <stp>1</stp>
        <tr r="U2717" s="1"/>
      </tp>
      <tp>
        <v>-0.67345800188461546</v>
        <stp/>
        <stp>EM_S_RATIO_EPS_TTM</stp>
        <stp>3</stp>
        <stp>002529</stp>
        <stp>12/31/2018</stp>
        <stp>1</stp>
        <tr r="U2916" s="1"/>
      </tp>
      <tp>
        <v>9.8385376607614941E-2</v>
        <stp/>
        <stp>EM_S_RATIO_EPS_TTM</stp>
        <stp>3</stp>
        <stp>002429</stp>
        <stp>12/31/2018</stp>
        <stp>1</stp>
        <tr r="U242" s="1"/>
      </tp>
      <tp>
        <v>0.30933566481703656</v>
        <stp/>
        <stp>EM_S_RATIO_EPS_TTM</stp>
        <stp>3</stp>
        <stp>002729</stp>
        <stp>12/31/2018</stp>
        <stp>1</stp>
        <tr r="U92" s="1"/>
      </tp>
      <tp>
        <v>-1.50167525731403</v>
        <stp/>
        <stp>EM_S_RATIO_EPS_TTM</stp>
        <stp>3</stp>
        <stp>002629</stp>
        <stp>12/31/2018</stp>
        <stp>1</stp>
        <tr r="U3220" s="1"/>
      </tp>
      <tp>
        <v>0.93264380787239021</v>
        <stp/>
        <stp>EM_S_RATIO_EPS_TTM</stp>
        <stp>3</stp>
        <stp>002929</stp>
        <stp>12/31/2018</stp>
        <stp>1</stp>
        <tr r="U2978" s="1"/>
      </tp>
      <tp>
        <v>0.11530758306561413</v>
        <stp/>
        <stp>EM_S_RATIO_EPS_TTM</stp>
        <stp>3</stp>
        <stp>002829</stp>
        <stp>12/31/2018</stp>
        <stp>1</stp>
        <tr r="U1147" s="1"/>
      </tp>
      <tp>
        <v>0.33003597114403288</v>
        <stp/>
        <stp>EM_S_RATIO_EPS_TTM</stp>
        <stp>3</stp>
        <stp>601949</stp>
        <stp>12/31/2018</stp>
        <stp>1</stp>
        <tr r="U681" s="1"/>
      </tp>
      <tp>
        <v>0.2941428343429125</v>
        <stp/>
        <stp>EM_S_RATIO_EPS_TTM</stp>
        <stp>3</stp>
        <stp>300119</stp>
        <stp>12/31/2018</stp>
        <stp>1</stp>
        <tr r="U217" s="1"/>
      </tp>
      <tp>
        <v>5.4100944076178447E-3</v>
        <stp/>
        <stp>EM_S_RATIO_EPS_TTM</stp>
        <stp>3</stp>
        <stp>600149</stp>
        <stp>12/31/2018</stp>
        <stp>1</stp>
        <tr r="U1642" s="1"/>
      </tp>
      <tp>
        <v>0.49769569974101974</v>
        <stp/>
        <stp>EM_S_RATIO_EPS_TTM</stp>
        <stp>3</stp>
        <stp>000029</stp>
        <stp>12/31/2018</stp>
        <stp>1</stp>
        <tr r="U2341" s="1"/>
      </tp>
      <tp>
        <v>0.19683011125552413</v>
        <stp/>
        <stp>EM_S_RATIO_EPS_TTM</stp>
        <stp>3</stp>
        <stp>300019</stp>
        <stp>12/31/2018</stp>
        <stp>1</stp>
        <tr r="U390" s="1"/>
      </tp>
      <tp>
        <v>0.18942495654966016</v>
        <stp/>
        <stp>EM_S_RATIO_EPS_TTM</stp>
        <stp>3</stp>
        <stp>300319</stp>
        <stp>12/31/2018</stp>
        <stp>1</stp>
        <tr r="U128" s="1"/>
      </tp>
      <tp>
        <v>0.24407552710428576</v>
        <stp/>
        <stp>EM_S_RATIO_EPS_TTM</stp>
        <stp>3</stp>
        <stp>600349</stp>
        <stp>12/31/2018</stp>
        <stp>1</stp>
        <tr r="U12" s="1"/>
      </tp>
      <tp>
        <v>0.29302957214469405</v>
        <stp/>
        <stp>EM_S_RATIO_EPS_TTM</stp>
        <stp>3</stp>
        <stp>300219</stp>
        <stp>12/31/2018</stp>
        <stp>1</stp>
        <tr r="U2822" s="1"/>
      </tp>
      <tp>
        <v>3.9490390436363633E-2</v>
        <stp/>
        <stp>EM_S_RATIO_EPS_TTM</stp>
        <stp>3</stp>
        <stp>600249</stp>
        <stp>12/31/2018</stp>
        <stp>1</stp>
        <tr r="U1050" s="1"/>
      </tp>
      <tp>
        <v>0.28634191897286138</v>
        <stp/>
        <stp>EM_S_RATIO_EPS_TTM</stp>
        <stp>3</stp>
        <stp>000529</stp>
        <stp>12/31/2018</stp>
        <stp>1</stp>
        <tr r="U546" s="1"/>
      </tp>
      <tp>
        <v>0.54997355037500006</v>
        <stp/>
        <stp>EM_S_RATIO_EPS_TTM</stp>
        <stp>3</stp>
        <stp>300519</stp>
        <stp>12/31/2018</stp>
        <stp>1</stp>
        <tr r="U2466" s="1"/>
      </tp>
      <tp>
        <v>0.35310923241402636</v>
        <stp/>
        <stp>EM_S_RATIO_EPS_TTM</stp>
        <stp>3</stp>
        <stp>600549</stp>
        <stp>12/31/2018</stp>
        <stp>1</stp>
        <tr r="U1788" s="1"/>
      </tp>
      <tp>
        <v>0.80209645376751693</v>
        <stp/>
        <stp>EM_S_RATIO_EPS_TTM</stp>
        <stp>3</stp>
        <stp>000429</stp>
        <stp>12/31/2018</stp>
        <stp>1</stp>
        <tr r="U2465" s="1"/>
      </tp>
      <tp>
        <v>-1.7374467087856096</v>
        <stp/>
        <stp>EM_S_RATIO_EPS_TTM</stp>
        <stp>3</stp>
        <stp>300419</stp>
        <stp>12/31/2018</stp>
        <stp>1</stp>
        <tr r="U1348" s="1"/>
      </tp>
      <tp>
        <v>0.8956312212185108</v>
        <stp/>
        <stp>EM_S_RATIO_EPS_TTM</stp>
        <stp>3</stp>
        <stp>600449</stp>
        <stp>12/31/2018</stp>
        <stp>1</stp>
        <tr r="U621" s="1"/>
      </tp>
      <tp>
        <v>6.3810044200479379E-2</v>
        <stp/>
        <stp>EM_S_RATIO_EPS_TTM</stp>
        <stp>3</stp>
        <stp>000729</stp>
        <stp>12/31/2018</stp>
        <stp>1</stp>
        <tr r="U1469" s="1"/>
      </tp>
      <tp>
        <v>0.21884992229426334</v>
        <stp/>
        <stp>EM_S_RATIO_EPS_TTM</stp>
        <stp>3</stp>
        <stp>300719</stp>
        <stp>12/31/2018</stp>
        <stp>1</stp>
        <tr r="U1490" s="1"/>
      </tp>
      <tp>
        <v>9.3694052696119468E-2</v>
        <stp/>
        <stp>EM_S_RATIO_EPS_TTM</stp>
        <stp>3</stp>
        <stp>600749</stp>
        <stp>12/31/2018</stp>
        <stp>1</stp>
        <tr r="U2258" s="1"/>
      </tp>
      <tp>
        <v>0.35975180536422557</v>
        <stp/>
        <stp>EM_S_RATIO_EPS_TTM</stp>
        <stp>3</stp>
        <stp>000629</stp>
        <stp>12/31/2018</stp>
        <stp>1</stp>
        <tr r="U2438" s="1"/>
      </tp>
      <tp>
        <v>0.62084674758971614</v>
        <stp/>
        <stp>EM_S_RATIO_EPS_TTM</stp>
        <stp>3</stp>
        <stp>300619</stp>
        <stp>12/31/2018</stp>
        <stp>1</stp>
        <tr r="U2952" s="1"/>
      </tp>
      <tp>
        <v>0.40651157966917706</v>
        <stp/>
        <stp>EM_S_RATIO_EPS_TTM</stp>
        <stp>3</stp>
        <stp>600649</stp>
        <stp>12/31/2018</stp>
        <stp>1</stp>
        <tr r="U2008" s="1"/>
      </tp>
      <tp>
        <v>-0.36363154565421008</v>
        <stp/>
        <stp>EM_S_RATIO_EPS_TTM</stp>
        <stp>3</stp>
        <stp>000929</stp>
        <stp>12/31/2018</stp>
        <stp>1</stp>
        <tr r="U3580" s="1"/>
      </tp>
      <tp>
        <v>-0.22231621952890504</v>
        <stp/>
        <stp>EM_S_RATIO_EPS_TTM</stp>
        <stp>3</stp>
        <stp>000829</stp>
        <stp>12/31/2018</stp>
        <stp>1</stp>
        <tr r="U3551" s="1"/>
      </tp>
      <tp>
        <v>1.3655668142544044</v>
        <stp/>
        <stp>EM_S_RATIO_EPS_TTM</stp>
        <stp>3</stp>
        <stp>600849</stp>
        <stp>12/31/2018</stp>
        <stp>1</stp>
        <tr r="U2335" s="1"/>
      </tp>
      <tp>
        <v>0.56925718749999998</v>
        <stp/>
        <stp>EM_S_RATIO_EPS_TTM</stp>
        <stp>3</stp>
        <stp>603348</stp>
        <stp>12/31/2018</stp>
        <stp>1</stp>
        <tr r="U2404" s="1"/>
      </tp>
      <tp>
        <v>0.38723233313450872</v>
        <stp/>
        <stp>EM_S_RATIO_EPS_TTM</stp>
        <stp>3</stp>
        <stp>603648</stp>
        <stp>12/31/2018</stp>
        <stp>1</stp>
        <tr r="U2597" s="1"/>
      </tp>
      <tp>
        <v>0.64982681259351616</v>
        <stp/>
        <stp>EM_S_RATIO_EPS_TTM</stp>
        <stp>3</stp>
        <stp>603848</stp>
        <stp>12/31/2018</stp>
        <stp>1</stp>
        <tr r="U2703" s="1"/>
      </tp>
      <tp>
        <v>1.2402425314800387</v>
        <stp/>
        <stp>EM_S_RATIO_EPS_TTM</stp>
        <stp>3</stp>
        <stp>002128</stp>
        <stp>12/31/2018</stp>
        <stp>1</stp>
        <tr r="U1209" s="1"/>
      </tp>
      <tp>
        <v>0.38755735363410099</v>
        <stp/>
        <stp>EM_S_RATIO_EPS_TTM</stp>
        <stp>3</stp>
        <stp>002028</stp>
        <stp>12/31/2018</stp>
        <stp>1</stp>
        <tr r="U743" s="1"/>
      </tp>
      <tp>
        <v>0.22370497072082124</v>
        <stp/>
        <stp>EM_S_RATIO_EPS_TTM</stp>
        <stp>3</stp>
        <stp>002328</stp>
        <stp>12/31/2018</stp>
        <stp>1</stp>
        <tr r="U3199" s="1"/>
      </tp>
      <tp>
        <v>0.19927473833410406</v>
        <stp/>
        <stp>EM_S_RATIO_EPS_TTM</stp>
        <stp>3</stp>
        <stp>002228</stp>
        <stp>12/31/2018</stp>
        <stp>1</stp>
        <tr r="U2642" s="1"/>
      </tp>
      <tp>
        <v>0.11579595388635935</v>
        <stp/>
        <stp>EM_S_RATIO_EPS_TTM</stp>
        <stp>3</stp>
        <stp>002528</stp>
        <stp>12/31/2018</stp>
        <stp>1</stp>
        <tr r="U665" s="1"/>
      </tp>
      <tp>
        <v>1.3199291508451739E-2</v>
        <stp/>
        <stp>EM_S_RATIO_EPS_TTM</stp>
        <stp>3</stp>
        <stp>002428</stp>
        <stp>12/31/2018</stp>
        <stp>1</stp>
        <tr r="U268" s="1"/>
      </tp>
      <tp>
        <v>0.77424403530965524</v>
        <stp/>
        <stp>EM_S_RATIO_EPS_TTM</stp>
        <stp>3</stp>
        <stp>002728</stp>
        <stp>12/31/2018</stp>
        <stp>1</stp>
        <tr r="U991" s="1"/>
      </tp>
      <tp>
        <v>2.8918862775481547E-2</v>
        <stp/>
        <stp>EM_S_RATIO_EPS_TTM</stp>
        <stp>3</stp>
        <stp>002628</stp>
        <stp>12/31/2018</stp>
        <stp>1</stp>
        <tr r="U2357" s="1"/>
      </tp>
      <tp>
        <v>0.61788035375780281</v>
        <stp/>
        <stp>EM_S_RATIO_EPS_TTM</stp>
        <stp>3</stp>
        <stp>002928</stp>
        <stp>12/31/2018</stp>
        <stp>1</stp>
        <tr r="U3274" s="1"/>
      </tp>
      <tp>
        <v>0.22203897459448896</v>
        <stp/>
        <stp>EM_S_RATIO_EPS_TTM</stp>
        <stp>3</stp>
        <stp>002828</stp>
        <stp>12/31/2018</stp>
        <stp>1</stp>
        <tr r="U2577" s="1"/>
      </tp>
      <tp>
        <v>0.25695949907288768</v>
        <stp/>
        <stp>EM_S_RATIO_EPS_TTM</stp>
        <stp>3</stp>
        <stp>300118</stp>
        <stp>12/31/2018</stp>
        <stp>1</stp>
        <tr r="U91" s="1"/>
      </tp>
      <tp>
        <v>0.25300396363814953</v>
        <stp/>
        <stp>EM_S_RATIO_EPS_TTM</stp>
        <stp>3</stp>
        <stp>600148</stp>
        <stp>12/31/2018</stp>
        <stp>1</stp>
        <tr r="U2591" s="1"/>
      </tp>
      <tp>
        <v>2.8279984300358847</v>
        <stp/>
        <stp>EM_S_RATIO_EPS_TTM</stp>
        <stp>3</stp>
        <stp>000028</stp>
        <stp>12/31/2018</stp>
        <stp>1</stp>
        <tr r="U1704" s="1"/>
      </tp>
      <tp>
        <v>-0.92165786844552577</v>
        <stp/>
        <stp>EM_S_RATIO_EPS_TTM</stp>
        <stp>3</stp>
        <stp>300018</stp>
        <stp>12/31/2018</stp>
        <stp>1</stp>
        <tr r="U1441" s="1"/>
      </tp>
      <tp>
        <v>1.5892113510885335</v>
        <stp/>
        <stp>EM_S_RATIO_EPS_TTM</stp>
        <stp>3</stp>
        <stp>600048</stp>
        <stp>12/31/2018</stp>
        <stp>1</stp>
        <tr r="U771" s="1"/>
      </tp>
      <tp>
        <v>8.4739697247633916E-2</v>
        <stp/>
        <stp>EM_S_RATIO_EPS_TTM</stp>
        <stp>3</stp>
        <stp>300318</stp>
        <stp>12/31/2018</stp>
        <stp>1</stp>
        <tr r="U2155" s="1"/>
      </tp>
      <tp>
        <v>0.81965662718918919</v>
        <stp/>
        <stp>EM_S_RATIO_EPS_TTM</stp>
        <stp>3</stp>
        <stp>600348</stp>
        <stp>12/31/2018</stp>
        <stp>1</stp>
        <tr r="U1741" s="1"/>
      </tp>
      <tp>
        <v>0.106188867720186</v>
        <stp/>
        <stp>EM_S_RATIO_EPS_TTM</stp>
        <stp>3</stp>
        <stp>300218</stp>
        <stp>12/31/2018</stp>
        <stp>1</stp>
        <tr r="U970" s="1"/>
      </tp>
      <tp>
        <v>0.30651007023813098</v>
        <stp/>
        <stp>EM_S_RATIO_EPS_TTM</stp>
        <stp>3</stp>
        <stp>600248</stp>
        <stp>12/31/2018</stp>
        <stp>1</stp>
        <tr r="U1689" s="1"/>
      </tp>
      <tp>
        <v>0.54015195681889938</v>
        <stp/>
        <stp>EM_S_RATIO_EPS_TTM</stp>
        <stp>3</stp>
        <stp>000528</stp>
        <stp>12/31/2018</stp>
        <stp>1</stp>
        <tr r="U1542" s="1"/>
      </tp>
      <tp>
        <v>0.10884285279622885</v>
        <stp/>
        <stp>EM_S_RATIO_EPS_TTM</stp>
        <stp>3</stp>
        <stp>300518</stp>
        <stp>12/31/2018</stp>
        <stp>1</stp>
        <tr r="U1346" s="1"/>
      </tp>
      <tp>
        <v>1.5774474580456117</v>
        <stp/>
        <stp>EM_S_RATIO_EPS_TTM</stp>
        <stp>3</stp>
        <stp>600548</stp>
        <stp>12/31/2018</stp>
        <stp>1</stp>
        <tr r="U1053" s="1"/>
      </tp>
      <tp>
        <v>-0.46874226739723984</v>
        <stp/>
        <stp>EM_S_RATIO_EPS_TTM</stp>
        <stp>3</stp>
        <stp>000428</stp>
        <stp>12/31/2018</stp>
        <stp>1</stp>
        <tr r="U3425" s="1"/>
      </tp>
      <tp>
        <v>0.87334878671974392</v>
        <stp/>
        <stp>EM_S_RATIO_EPS_TTM</stp>
        <stp>3</stp>
        <stp>300418</stp>
        <stp>12/31/2018</stp>
        <stp>1</stp>
        <tr r="U889" s="1"/>
      </tp>
      <tp>
        <v>4.0037477204093688E-2</v>
        <stp/>
        <stp>EM_S_RATIO_EPS_TTM</stp>
        <stp>3</stp>
        <stp>600448</stp>
        <stp>12/31/2018</stp>
        <stp>1</stp>
        <tr r="U1775" s="1"/>
      </tp>
      <tp>
        <v>0.19919220849354222</v>
        <stp/>
        <stp>EM_S_RATIO_EPS_TTM</stp>
        <stp>3</stp>
        <stp>000728</stp>
        <stp>12/31/2018</stp>
        <stp>1</stp>
        <tr r="U3521" s="1"/>
      </tp>
      <tp>
        <v>0.74408234398989903</v>
        <stp/>
        <stp>EM_S_RATIO_EPS_TTM</stp>
        <stp>3</stp>
        <stp>300718</stp>
        <stp>12/31/2018</stp>
        <stp>1</stp>
        <tr r="U730" s="1"/>
      </tp>
      <tp>
        <v>0.35651640012500041</v>
        <stp/>
        <stp>EM_S_RATIO_EPS_TTM</stp>
        <stp>3</stp>
        <stp>600748</stp>
        <stp>12/31/2018</stp>
        <stp>1</stp>
        <tr r="U1694" s="1"/>
      </tp>
      <tp>
        <v>0.17575662678181583</v>
        <stp/>
        <stp>EM_S_RATIO_EPS_TTM</stp>
        <stp>3</stp>
        <stp>000628</stp>
        <stp>12/31/2018</stp>
        <stp>1</stp>
        <tr r="U2503" s="1"/>
      </tp>
      <tp>
        <v>3.6855652652604163</v>
        <stp/>
        <stp>EM_S_RATIO_EPS_TTM</stp>
        <stp>3</stp>
        <stp>300618</stp>
        <stp>12/31/2018</stp>
        <stp>1</stp>
        <tr r="U1876" s="1"/>
      </tp>
      <tp>
        <v>0.7314143179274607</v>
        <stp/>
        <stp>EM_S_RATIO_EPS_TTM</stp>
        <stp>3</stp>
        <stp>600648</stp>
        <stp>12/31/2018</stp>
        <stp>1</stp>
        <tr r="U1052" s="1"/>
      </tp>
      <tp>
        <v>0.35089601105624069</v>
        <stp/>
        <stp>EM_S_RATIO_EPS_TTM</stp>
        <stp>3</stp>
        <stp>000928</stp>
        <stp>12/31/2018</stp>
        <stp>1</stp>
        <tr r="U1780" s="1"/>
      </tp>
      <tp>
        <v>1.0089877597402468</v>
        <stp/>
        <stp>EM_S_RATIO_EPS_TTM</stp>
        <stp>3</stp>
        <stp>000828</stp>
        <stp>12/31/2018</stp>
        <stp>1</stp>
        <tr r="U1711" s="1"/>
      </tp>
      <tp>
        <v>0.38869830921751336</v>
        <stp/>
        <stp>EM_S_RATIO_EPS_TTM</stp>
        <stp>3</stp>
        <stp>600848</stp>
        <stp>12/31/2018</stp>
        <stp>1</stp>
        <tr r="U1417" s="1"/>
      </tp>
      <tp>
        <v>0.29466018280299999</v>
        <stp/>
        <stp>EM_S_FA_ASSETSTURN</stp>
        <stp>3</stp>
        <stp>000892</stp>
        <stp>12/31/2018</stp>
        <stp>1</stp>
        <tr r="K3565" s="1"/>
      </tp>
      <tp>
        <v>0.22729263370300001</v>
        <stp/>
        <stp>EM_S_FA_ASSETSTURN</stp>
        <stp>3</stp>
        <stp>000792</stp>
        <stp>12/31/2018</stp>
        <stp>1</stp>
        <tr r="K3539" s="1"/>
      </tp>
      <tp>
        <v>0.32519294368500001</v>
        <stp/>
        <stp>EM_S_FA_ASSETSTURN</stp>
        <stp>3</stp>
        <stp>000692</stp>
        <stp>12/31/2018</stp>
        <stp>1</stp>
        <tr r="K1493" s="1"/>
      </tp>
      <tp>
        <v>0.21631932064699999</v>
        <stp/>
        <stp>EM_S_FA_ASSETSTURN</stp>
        <stp>3</stp>
        <stp>000592</stp>
        <stp>12/31/2018</stp>
        <stp>1</stp>
        <tr r="K1951" s="1"/>
      </tp>
      <tp>
        <v>1.013443765011</v>
        <stp/>
        <stp>EM_S_FA_ASSETSTURN</stp>
        <stp>3</stp>
        <stp>002892</stp>
        <stp>12/31/2018</stp>
        <stp>1</stp>
        <tr r="K1688" s="1"/>
      </tp>
      <tp>
        <v>0.61015883873300003</v>
        <stp/>
        <stp>EM_S_FA_ASSETSTURN</stp>
        <stp>3</stp>
        <stp>002392</stp>
        <stp>12/31/2018</stp>
        <stp>1</stp>
        <tr r="K1412" s="1"/>
      </tp>
      <tp>
        <v>0.37736190593500002</v>
        <stp/>
        <stp>EM_S_FA_ASSETSTURN</stp>
        <stp>3</stp>
        <stp>002292</stp>
        <stp>12/31/2018</stp>
        <stp>1</stp>
        <tr r="K282" s="1"/>
      </tp>
      <tp>
        <v>0.35521090581199999</v>
        <stp/>
        <stp>EM_S_FA_ASSETSTURN</stp>
        <stp>3</stp>
        <stp>002192</stp>
        <stp>12/31/2018</stp>
        <stp>1</stp>
        <tr r="K988" s="1"/>
      </tp>
      <tp>
        <v>1.229222121344</v>
        <stp/>
        <stp>EM_S_FA_ASSETSTURN</stp>
        <stp>3</stp>
        <stp>002092</stp>
        <stp>12/31/2018</stp>
        <stp>1</stp>
        <tr r="K2499" s="1"/>
      </tp>
      <tp>
        <v>0.43296799767799998</v>
        <stp/>
        <stp>EM_S_FA_ASSETSTURN</stp>
        <stp>3</stp>
        <stp>002792</stp>
        <stp>12/31/2018</stp>
        <stp>1</stp>
        <tr r="K2935" s="1"/>
      </tp>
      <tp>
        <v>0.99086557216100002</v>
        <stp/>
        <stp>EM_S_FA_ASSETSTURN</stp>
        <stp>3</stp>
        <stp>002692</stp>
        <stp>12/31/2018</stp>
        <stp>1</stp>
        <tr r="K2695" s="1"/>
      </tp>
      <tp>
        <v>0.28564388888300002</v>
        <stp/>
        <stp>EM_S_FA_ASSETSTURN</stp>
        <stp>3</stp>
        <stp>002592</stp>
        <stp>12/31/2018</stp>
        <stp>1</stp>
        <tr r="K3324" s="1"/>
      </tp>
      <tp>
        <v>0.162596819147</v>
        <stp/>
        <stp>EM_S_FA_ASSETSTURN</stp>
        <stp>3</stp>
        <stp>002492</stp>
        <stp>12/31/2018</stp>
        <stp>1</stp>
        <tr r="K1745" s="1"/>
      </tp>
      <tp>
        <v>0.58830976459816886</v>
        <stp/>
        <stp>EM_S_RATIO_EPS_TTM</stp>
        <stp>3</stp>
        <stp>603045</stp>
        <stp>12/31/2018</stp>
        <stp>1</stp>
        <tr r="U3358" s="1"/>
      </tp>
      <tp>
        <v>1.2509547851786706</v>
        <stp/>
        <stp>EM_S_RATIO_EPS_TTM</stp>
        <stp>3</stp>
        <stp>603345</stp>
        <stp>12/31/2018</stp>
        <stp>1</stp>
        <tr r="U351" s="1"/>
      </tp>
      <tp>
        <v>0.20467812031299712</v>
        <stp/>
        <stp>EM_S_RATIO_EPS_TTM</stp>
        <stp>3</stp>
        <stp>002125</stp>
        <stp>12/31/2018</stp>
        <stp>1</stp>
        <tr r="U3120" s="1"/>
      </tp>
      <tp>
        <v>0.83671353100233103</v>
        <stp/>
        <stp>EM_S_RATIO_EPS_TTM</stp>
        <stp>3</stp>
        <stp>002025</stp>
        <stp>12/31/2018</stp>
        <stp>1</stp>
        <tr r="U1156" s="1"/>
      </tp>
      <tp>
        <v>-0.33771748535006091</v>
        <stp/>
        <stp>EM_S_RATIO_EPS_TTM</stp>
        <stp>3</stp>
        <stp>002325</stp>
        <stp>12/31/2018</stp>
        <stp>1</stp>
        <tr r="U1760" s="1"/>
      </tp>
      <tp>
        <v>0.25376475814685762</v>
        <stp/>
        <stp>EM_S_RATIO_EPS_TTM</stp>
        <stp>3</stp>
        <stp>002225</stp>
        <stp>12/31/2018</stp>
        <stp>1</stp>
        <tr r="U2508" s="1"/>
      </tp>
      <tp>
        <v>0.77646045529411767</v>
        <stp/>
        <stp>EM_S_RATIO_EPS_TTM</stp>
        <stp>3</stp>
        <stp>002525</stp>
        <stp>12/31/2018</stp>
        <stp>1</stp>
        <tr r="U6" s="1"/>
      </tp>
      <tp>
        <v>0.34193273947956182</v>
        <stp/>
        <stp>EM_S_RATIO_EPS_TTM</stp>
        <stp>3</stp>
        <stp>002425</stp>
        <stp>12/31/2018</stp>
        <stp>1</stp>
        <tr r="U2629" s="1"/>
      </tp>
      <tp>
        <v>0.18240043210937498</v>
        <stp/>
        <stp>EM_S_RATIO_EPS_TTM</stp>
        <stp>3</stp>
        <stp>002725</stp>
        <stp>12/31/2018</stp>
        <stp>1</stp>
        <tr r="U1230" s="1"/>
      </tp>
      <tp>
        <v>3.2736148543289247E-2</v>
        <stp/>
        <stp>EM_S_RATIO_EPS_TTM</stp>
        <stp>3</stp>
        <stp>002625</stp>
        <stp>12/31/2018</stp>
        <stp>1</stp>
        <tr r="U2630" s="1"/>
      </tp>
      <tp>
        <v>1.7745311887021447</v>
        <stp/>
        <stp>EM_S_RATIO_EPS_TTM</stp>
        <stp>3</stp>
        <stp>002925</stp>
        <stp>12/31/2018</stp>
        <stp>1</stp>
        <tr r="U2367" s="1"/>
      </tp>
      <tp>
        <v>0.44186963869323043</v>
        <stp/>
        <stp>EM_S_RATIO_EPS_TTM</stp>
        <stp>3</stp>
        <stp>002825</stp>
        <stp>12/31/2018</stp>
        <stp>1</stp>
        <tr r="U2522" s="1"/>
      </tp>
      <tp>
        <v>4.2276491057480645E-2</v>
        <stp/>
        <stp>EM_S_RATIO_EPS_TTM</stp>
        <stp>3</stp>
        <stp>300115</stp>
        <stp>12/31/2018</stp>
        <stp>1</stp>
        <tr r="U125" s="1"/>
      </tp>
      <tp>
        <v>6.6101140018487558E-3</v>
        <stp/>
        <stp>EM_S_RATIO_EPS_TTM</stp>
        <stp>3</stp>
        <stp>600145</stp>
        <stp>12/31/2018</stp>
        <stp>1</stp>
        <tr r="U2293" s="1"/>
      </tp>
      <tp>
        <v>0.29239636331343749</v>
        <stp/>
        <stp>EM_S_RATIO_EPS_TTM</stp>
        <stp>3</stp>
        <stp>000025</stp>
        <stp>12/31/2018</stp>
        <stp>1</stp>
        <tr r="U1436" s="1"/>
      </tp>
      <tp>
        <v>0.42332204081948238</v>
        <stp/>
        <stp>EM_S_RATIO_EPS_TTM</stp>
        <stp>3</stp>
        <stp>300015</stp>
        <stp>12/31/2018</stp>
        <stp>1</stp>
        <tr r="U607" s="1"/>
      </tp>
      <tp>
        <v>-1.1423215550169143</v>
        <stp/>
        <stp>EM_S_RATIO_EPS_TTM</stp>
        <stp>3</stp>
        <stp>300315</stp>
        <stp>12/31/2018</stp>
        <stp>1</stp>
        <tr r="U254" s="1"/>
      </tp>
      <tp>
        <v>1.1733491629292929</v>
        <stp/>
        <stp>EM_S_RATIO_EPS_TTM</stp>
        <stp>3</stp>
        <stp>600345</stp>
        <stp>12/31/2018</stp>
        <stp>1</stp>
        <tr r="U2249" s="1"/>
      </tp>
      <tp>
        <v>0.16870931824285992</v>
        <stp/>
        <stp>EM_S_RATIO_EPS_TTM</stp>
        <stp>3</stp>
        <stp>300215</stp>
        <stp>12/31/2018</stp>
        <stp>1</stp>
        <tr r="U1169" s="1"/>
      </tp>
      <tp>
        <v>1.0962571960553673</v>
        <stp/>
        <stp>EM_S_RATIO_EPS_TTM</stp>
        <stp>3</stp>
        <stp>000525</stp>
        <stp>12/31/2018</stp>
        <stp>1</stp>
        <tr r="U3231" s="1"/>
      </tp>
      <tp>
        <v>0.17353266183311886</v>
        <stp/>
        <stp>EM_S_RATIO_EPS_TTM</stp>
        <stp>3</stp>
        <stp>300515</stp>
        <stp>12/31/2018</stp>
        <stp>1</stp>
        <tr r="U1615" s="1"/>
      </tp>
      <tp>
        <v>0.42750260873884111</v>
        <stp/>
        <stp>EM_S_RATIO_EPS_TTM</stp>
        <stp>3</stp>
        <stp>600545</stp>
        <stp>12/31/2018</stp>
        <stp>1</stp>
        <tr r="U3035" s="1"/>
      </tp>
      <tp>
        <v>0.26114631603574268</v>
        <stp/>
        <stp>EM_S_RATIO_EPS_TTM</stp>
        <stp>3</stp>
        <stp>000425</stp>
        <stp>12/31/2018</stp>
        <stp>1</stp>
        <tr r="U319" s="1"/>
      </tp>
      <tp>
        <v>0.40588849127314813</v>
        <stp/>
        <stp>EM_S_RATIO_EPS_TTM</stp>
        <stp>3</stp>
        <stp>300415</stp>
        <stp>12/31/2018</stp>
        <stp>1</stp>
        <tr r="U374" s="1"/>
      </tp>
      <tp>
        <v>9.8715116129207053E-2</v>
        <stp/>
        <stp>EM_S_RATIO_EPS_TTM</stp>
        <stp>3</stp>
        <stp>000725</stp>
        <stp>12/31/2018</stp>
        <stp>1</stp>
        <tr r="U291" s="1"/>
      </tp>
      <tp>
        <v>0.49487915668969923</v>
        <stp/>
        <stp>EM_S_RATIO_EPS_TTM</stp>
        <stp>3</stp>
        <stp>300715</stp>
        <stp>12/31/2018</stp>
        <stp>1</stp>
        <tr r="U1509" s="1"/>
      </tp>
      <tp>
        <v>9.5751584792122424E-2</v>
        <stp/>
        <stp>EM_S_RATIO_EPS_TTM</stp>
        <stp>3</stp>
        <stp>600745</stp>
        <stp>12/31/2018</stp>
        <stp>1</stp>
        <tr r="U24" s="1"/>
      </tp>
      <tp>
        <v>0.14174020656953298</v>
        <stp/>
        <stp>EM_S_RATIO_EPS_TTM</stp>
        <stp>3</stp>
        <stp>000625</stp>
        <stp>12/31/2018</stp>
        <stp>1</stp>
        <tr r="U3487" s="1"/>
      </tp>
      <tp>
        <v>0.10574408868667663</v>
        <stp/>
        <stp>EM_S_RATIO_EPS_TTM</stp>
        <stp>3</stp>
        <stp>300615</stp>
        <stp>12/31/2018</stp>
        <stp>1</stp>
        <tr r="U1398" s="1"/>
      </tp>
      <tp>
        <v>0.13461640699457647</v>
        <stp/>
        <stp>EM_S_RATIO_EPS_TTM</stp>
        <stp>3</stp>
        <stp>600645</stp>
        <stp>12/31/2018</stp>
        <stp>1</stp>
        <tr r="U2094" s="1"/>
      </tp>
      <tp>
        <v>4.9102246341259696E-2</v>
        <stp/>
        <stp>EM_S_RATIO_EPS_TTM</stp>
        <stp>3</stp>
        <stp>000925</stp>
        <stp>12/31/2018</stp>
        <stp>1</stp>
        <tr r="U1523" s="1"/>
      </tp>
      <tp>
        <v>0.87378029960268255</v>
        <stp/>
        <stp>EM_S_RATIO_EPS_TTM</stp>
        <stp>3</stp>
        <stp>000825</stp>
        <stp>12/31/2018</stp>
        <stp>1</stp>
        <tr r="U2407" s="1"/>
      </tp>
      <tp>
        <v>0.76270244273171839</v>
        <stp/>
        <stp>EM_S_RATIO_EPS_TTM</stp>
        <stp>3</stp>
        <stp>600845</stp>
        <stp>12/31/2018</stp>
        <stp>1</stp>
        <tr r="U442" s="1"/>
      </tp>
      <tp>
        <v>0.13463732308599999</v>
        <stp/>
        <stp>EM_S_FA_ASSETSTURN</stp>
        <stp>3</stp>
        <stp>000993</stp>
        <stp>12/31/2018</stp>
        <stp>1</stp>
        <tr r="K3600" s="1"/>
      </tp>
      <tp>
        <v>9.9542532786000004E-2</v>
        <stp/>
        <stp>EM_S_FA_ASSETSTURN</stp>
        <stp>3</stp>
        <stp>000893</stp>
        <stp>12/31/2018</stp>
        <stp>1</stp>
        <tr r="K3566" s="1"/>
      </tp>
      <tp>
        <v>0.26340499918299998</v>
        <stp/>
        <stp>EM_S_FA_ASSETSTURN</stp>
        <stp>3</stp>
        <stp>000793</stp>
        <stp>12/31/2018</stp>
        <stp>1</stp>
        <tr r="K3540" s="1"/>
      </tp>
      <tp>
        <v>0</v>
        <stp/>
        <stp>EM_S_FA_ASSETSTURN</stp>
        <stp>3</stp>
        <stp>000693</stp>
        <stp>12/31/2018</stp>
        <stp>1</stp>
        <tr r="K3513" s="1"/>
      </tp>
      <tp>
        <v>0.37566754704400002</v>
        <stp/>
        <stp>EM_S_FA_ASSETSTURN</stp>
        <stp>3</stp>
        <stp>000593</stp>
        <stp>12/31/2018</stp>
        <stp>1</stp>
        <tr r="K3473" s="1"/>
      </tp>
      <tp>
        <v>0.544717925499</v>
        <stp/>
        <stp>EM_S_FA_ASSETSTURN</stp>
        <stp>3</stp>
        <stp>002893</stp>
        <stp>12/31/2018</stp>
        <stp>1</stp>
        <tr r="K3136" s="1"/>
      </tp>
      <tp>
        <v>0.39572573607900002</v>
        <stp/>
        <stp>EM_S_FA_ASSETSTURN</stp>
        <stp>3</stp>
        <stp>002393</stp>
        <stp>12/31/2018</stp>
        <stp>1</stp>
        <tr r="K1123" s="1"/>
      </tp>
      <tp>
        <v>1.003142476446</v>
        <stp/>
        <stp>EM_S_FA_ASSETSTURN</stp>
        <stp>3</stp>
        <stp>002293</stp>
        <stp>12/31/2018</stp>
        <stp>1</stp>
        <tr r="K1996" s="1"/>
      </tp>
      <tp>
        <v>0.28309227847500001</v>
        <stp/>
        <stp>EM_S_FA_ASSETSTURN</stp>
        <stp>3</stp>
        <stp>002193</stp>
        <stp>12/31/2018</stp>
        <stp>1</stp>
        <tr r="K2773" s="1"/>
      </tp>
      <tp>
        <v>0.21383487641900001</v>
        <stp/>
        <stp>EM_S_FA_ASSETSTURN</stp>
        <stp>3</stp>
        <stp>002093</stp>
        <stp>12/31/2018</stp>
        <stp>1</stp>
        <tr r="K3631" s="1"/>
      </tp>
      <tp>
        <v>0.81319803584700001</v>
        <stp/>
        <stp>EM_S_FA_ASSETSTURN</stp>
        <stp>3</stp>
        <stp>002793</stp>
        <stp>12/31/2018</stp>
        <stp>1</stp>
        <tr r="K848" s="1"/>
      </tp>
      <tp>
        <v>0.27007945491899998</v>
        <stp/>
        <stp>EM_S_FA_ASSETSTURN</stp>
        <stp>3</stp>
        <stp>002693</stp>
        <stp>12/31/2018</stp>
        <stp>1</stp>
        <tr r="K1309" s="1"/>
      </tp>
      <tp>
        <v>0.75132227221100001</v>
        <stp/>
        <stp>EM_S_FA_ASSETSTURN</stp>
        <stp>3</stp>
        <stp>002593</stp>
        <stp>12/31/2018</stp>
        <stp>1</stp>
        <tr r="K1008" s="1"/>
      </tp>
      <tp>
        <v>0.99662323852699997</v>
        <stp/>
        <stp>EM_S_FA_ASSETSTURN</stp>
        <stp>3</stp>
        <stp>002493</stp>
        <stp>12/31/2018</stp>
        <stp>1</stp>
        <tr r="K1189" s="1"/>
      </tp>
      <tp>
        <v>10.057726439742231</v>
        <stp/>
        <stp>EM_S_RATIO_EPS_TTM</stp>
        <stp>3</stp>
        <stp>603444</stp>
        <stp>12/31/2018</stp>
        <stp>1</stp>
        <tr r="U141" s="1"/>
      </tp>
      <tp>
        <v>-0.49323078277980809</v>
        <stp/>
        <stp>EM_S_RATIO_EPS_TTM</stp>
        <stp>3</stp>
        <stp>002124</stp>
        <stp>12/31/2018</stp>
        <stp>1</stp>
        <tr r="U3641" s="1"/>
      </tp>
      <tp>
        <v>1.4315254815098852</v>
        <stp/>
        <stp>EM_S_RATIO_EPS_TTM</stp>
        <stp>3</stp>
        <stp>002024</stp>
        <stp>12/31/2018</stp>
        <stp>1</stp>
        <tr r="U2136" s="1"/>
      </tp>
      <tp>
        <v>0.17800613132533954</v>
        <stp/>
        <stp>EM_S_RATIO_EPS_TTM</stp>
        <stp>3</stp>
        <stp>002324</stp>
        <stp>12/31/2018</stp>
        <stp>1</stp>
        <tr r="U820" s="1"/>
      </tp>
      <tp>
        <v>0.1253198534657341</v>
        <stp/>
        <stp>EM_S_RATIO_EPS_TTM</stp>
        <stp>3</stp>
        <stp>002224</stp>
        <stp>12/31/2018</stp>
        <stp>1</stp>
        <tr r="U1500" s="1"/>
      </tp>
      <tp>
        <v>-0.14865141717368707</v>
        <stp/>
        <stp>EM_S_RATIO_EPS_TTM</stp>
        <stp>3</stp>
        <stp>002524</stp>
        <stp>12/31/2018</stp>
        <stp>1</stp>
        <tr r="U120" s="1"/>
      </tp>
      <tp>
        <v>0.3991205255102041</v>
        <stp/>
        <stp>EM_S_RATIO_EPS_TTM</stp>
        <stp>3</stp>
        <stp>002424</stp>
        <stp>12/31/2018</stp>
        <stp>1</stp>
        <tr r="U2474" s="1"/>
      </tp>
      <tp>
        <v>0.26382027583333334</v>
        <stp/>
        <stp>EM_S_RATIO_EPS_TTM</stp>
        <stp>3</stp>
        <stp>002724</stp>
        <stp>12/31/2018</stp>
        <stp>1</stp>
        <tr r="U757" s="1"/>
      </tp>
      <tp>
        <v>1.2976133138081081</v>
        <stp/>
        <stp>EM_S_RATIO_EPS_TTM</stp>
        <stp>3</stp>
        <stp>002624</stp>
        <stp>12/31/2018</stp>
        <stp>1</stp>
        <tr r="U449" s="1"/>
      </tp>
      <tp>
        <v>0.10202112517433809</v>
        <stp/>
        <stp>EM_S_RATIO_EPS_TTM</stp>
        <stp>3</stp>
        <stp>002824</stp>
        <stp>12/31/2018</stp>
        <stp>1</stp>
        <tr r="U1249" s="1"/>
      </tp>
      <tp>
        <v>0.2643940975308845</v>
        <stp/>
        <stp>EM_S_RATIO_EPS_TTM</stp>
        <stp>3</stp>
        <stp>300114</stp>
        <stp>12/31/2018</stp>
        <stp>1</stp>
        <tr r="U433" s="1"/>
      </tp>
      <tp>
        <v>1.6467610822268073</v>
        <stp/>
        <stp>EM_S_RATIO_EPS_TTM</stp>
        <stp>3</stp>
        <stp>000024</stp>
        <stp>12/31/2018</stp>
        <stp>1</stp>
        <tr r="U2274" s="1"/>
      </tp>
      <tp>
        <v>0.66711941145638143</v>
        <stp/>
        <stp>EM_S_RATIO_EPS_TTM</stp>
        <stp>3</stp>
        <stp>300014</stp>
        <stp>12/31/2018</stp>
        <stp>1</stp>
        <tr r="U40" s="1"/>
      </tp>
      <tp>
        <v>0.10004388503472222</v>
        <stp/>
        <stp>EM_S_RATIO_EPS_TTM</stp>
        <stp>3</stp>
        <stp>300314</stp>
        <stp>12/31/2018</stp>
        <stp>1</stp>
        <tr r="U1678" s="1"/>
      </tp>
      <tp>
        <v>0.24134506820880605</v>
        <stp/>
        <stp>EM_S_RATIO_EPS_TTM</stp>
        <stp>3</stp>
        <stp>300214</stp>
        <stp>12/31/2018</stp>
        <stp>1</stp>
        <tr r="U590" s="1"/>
      </tp>
      <tp>
        <v>0.30567998933024726</v>
        <stp/>
        <stp>EM_S_RATIO_EPS_TTM</stp>
        <stp>3</stp>
        <stp>000524</stp>
        <stp>12/31/2018</stp>
        <stp>1</stp>
        <tr r="U1832" s="1"/>
      </tp>
      <tp>
        <v>0.26244628934999997</v>
        <stp/>
        <stp>EM_S_RATIO_EPS_TTM</stp>
        <stp>3</stp>
        <stp>300514</stp>
        <stp>12/31/2018</stp>
        <stp>1</stp>
        <tr r="U2250" s="1"/>
      </tp>
      <tp>
        <v>0.3135211906364801</v>
        <stp/>
        <stp>EM_S_RATIO_EPS_TTM</stp>
        <stp>3</stp>
        <stp>300414</stp>
        <stp>12/31/2018</stp>
        <stp>1</stp>
        <tr r="U3089" s="1"/>
      </tp>
      <tp>
        <v>0.32233558030090737</v>
        <stp/>
        <stp>EM_S_RATIO_EPS_TTM</stp>
        <stp>3</stp>
        <stp>600444</stp>
        <stp>12/31/2018</stp>
        <stp>1</stp>
        <tr r="U1702" s="1"/>
      </tp>
      <tp>
        <v>3.299923194466553E-2</v>
        <stp/>
        <stp>EM_S_RATIO_EPS_TTM</stp>
        <stp>3</stp>
        <stp>600744</stp>
        <stp>12/31/2018</stp>
        <stp>1</stp>
        <tr r="U2416" s="1"/>
      </tp>
      <tp>
        <v>0.15024988366516839</v>
        <stp/>
        <stp>EM_S_RATIO_EPS_TTM</stp>
        <stp>3</stp>
        <stp>600644</stp>
        <stp>12/31/2018</stp>
        <stp>1</stp>
        <tr r="U1143" s="1"/>
      </tp>
      <tp>
        <v>2.0233314455934664E-3</v>
        <stp/>
        <stp>EM_S_RATIO_EPS_TTM</stp>
        <stp>3</stp>
        <stp>600844</stp>
        <stp>12/31/2018</stp>
        <stp>1</stp>
        <tr r="U467" s="1"/>
      </tp>
      <tp>
        <v>0.26432544179799999</v>
        <stp/>
        <stp>EM_S_FA_ASSETSTURN</stp>
        <stp>3</stp>
        <stp>000990</stp>
        <stp>12/31/2018</stp>
        <stp>1</stp>
        <tr r="K1153" s="1"/>
      </tp>
      <tp>
        <v>0.197409893073</v>
        <stp/>
        <stp>EM_S_FA_ASSETSTURN</stp>
        <stp>3</stp>
        <stp>000890</stp>
        <stp>12/31/2018</stp>
        <stp>1</stp>
        <tr r="K3564" s="1"/>
      </tp>
      <tp>
        <v>0.35490363096400002</v>
        <stp/>
        <stp>EM_S_FA_ASSETSTURN</stp>
        <stp>3</stp>
        <stp>000090</stp>
        <stp>12/31/2018</stp>
        <stp>1</stp>
        <tr r="K479" s="1"/>
      </tp>
      <tp>
        <v>0.52562239206200001</v>
        <stp/>
        <stp>EM_S_FA_ASSETSTURN</stp>
        <stp>3</stp>
        <stp>000790</stp>
        <stp>12/31/2018</stp>
        <stp>1</stp>
        <tr r="K1849" s="1"/>
      </tp>
      <tp>
        <v>0.19671973297000001</v>
        <stp/>
        <stp>EM_S_FA_ASSETSTURN</stp>
        <stp>3</stp>
        <stp>000690</stp>
        <stp>12/31/2018</stp>
        <stp>1</stp>
        <tr r="K2957" s="1"/>
      </tp>
      <tp>
        <v>0.21985114116099999</v>
        <stp/>
        <stp>EM_S_FA_ASSETSTURN</stp>
        <stp>3</stp>
        <stp>000590</stp>
        <stp>12/31/2018</stp>
        <stp>1</stp>
        <tr r="K3472" s="1"/>
      </tp>
      <tp>
        <v>0.38517227593699999</v>
        <stp/>
        <stp>EM_S_FA_ASSETSTURN</stp>
        <stp>3</stp>
        <stp>002890</stp>
        <stp>12/31/2018</stp>
        <stp>1</stp>
        <tr r="K756" s="1"/>
      </tp>
      <tp>
        <v>0.576982948404</v>
        <stp/>
        <stp>EM_S_FA_ASSETSTURN</stp>
        <stp>3</stp>
        <stp>002390</stp>
        <stp>12/31/2018</stp>
        <stp>1</stp>
        <tr r="K1014" s="1"/>
      </tp>
      <tp>
        <v>0.52417106940699998</v>
        <stp/>
        <stp>EM_S_FA_ASSETSTURN</stp>
        <stp>3</stp>
        <stp>002290</stp>
        <stp>12/31/2018</stp>
        <stp>1</stp>
        <tr r="K3357" s="1"/>
      </tp>
      <tp>
        <v>0.231888391114</v>
        <stp/>
        <stp>EM_S_FA_ASSETSTURN</stp>
        <stp>3</stp>
        <stp>002190</stp>
        <stp>12/31/2018</stp>
        <stp>1</stp>
        <tr r="K842" s="1"/>
      </tp>
      <tp>
        <v>0.42754651990499998</v>
        <stp/>
        <stp>EM_S_FA_ASSETSTURN</stp>
        <stp>3</stp>
        <stp>002090</stp>
        <stp>12/31/2018</stp>
        <stp>1</stp>
        <tr r="K3281" s="1"/>
      </tp>
      <tp>
        <v>0.59383549534199997</v>
        <stp/>
        <stp>EM_S_FA_ASSETSTURN</stp>
        <stp>3</stp>
        <stp>002790</stp>
        <stp>12/31/2018</stp>
        <stp>1</stp>
        <tr r="K3304" s="1"/>
      </tp>
      <tp>
        <v>0.454576614923</v>
        <stp/>
        <stp>EM_S_FA_ASSETSTURN</stp>
        <stp>3</stp>
        <stp>002690</stp>
        <stp>12/31/2018</stp>
        <stp>1</stp>
        <tr r="K233" s="1"/>
      </tp>
      <tp>
        <v>0.64743740957499996</v>
        <stp/>
        <stp>EM_S_FA_ASSETSTURN</stp>
        <stp>3</stp>
        <stp>002590</stp>
        <stp>12/31/2018</stp>
        <stp>1</stp>
        <tr r="K1706" s="1"/>
      </tp>
      <tp>
        <v>0.69398238277099999</v>
        <stp/>
        <stp>EM_S_FA_ASSETSTURN</stp>
        <stp>3</stp>
        <stp>002490</stp>
        <stp>12/31/2018</stp>
        <stp>1</stp>
        <tr r="K2775" s="1"/>
      </tp>
      <tp>
        <v>0.36110755007135098</v>
        <stp/>
        <stp>EM_S_RATIO_EPS_TTM</stp>
        <stp>3</stp>
        <stp>002127</stp>
        <stp>12/31/2018</stp>
        <stp>1</stp>
        <tr r="U645" s="1"/>
      </tp>
      <tp>
        <v>0.39671769055878958</v>
        <stp/>
        <stp>EM_S_RATIO_EPS_TTM</stp>
        <stp>3</stp>
        <stp>002027</stp>
        <stp>12/31/2018</stp>
        <stp>1</stp>
        <tr r="U1266" s="1"/>
      </tp>
      <tp>
        <v>0.62373773515268538</v>
        <stp/>
        <stp>EM_S_RATIO_EPS_TTM</stp>
        <stp>3</stp>
        <stp>002327</stp>
        <stp>12/31/2018</stp>
        <stp>1</stp>
        <tr r="U2672" s="1"/>
      </tp>
      <tp>
        <v>4.7153827379651805E-2</v>
        <stp/>
        <stp>EM_S_RATIO_EPS_TTM</stp>
        <stp>3</stp>
        <stp>002227</stp>
        <stp>12/31/2018</stp>
        <stp>1</stp>
        <tr r="U1779" s="1"/>
      </tp>
      <tp>
        <v>-0.42033941042377915</v>
        <stp/>
        <stp>EM_S_RATIO_EPS_TTM</stp>
        <stp>3</stp>
        <stp>002527</stp>
        <stp>12/31/2018</stp>
        <stp>1</stp>
        <tr r="U2484" s="1"/>
      </tp>
      <tp>
        <v>-2.6294886671651096</v>
        <stp/>
        <stp>EM_S_RATIO_EPS_TTM</stp>
        <stp>3</stp>
        <stp>002427</stp>
        <stp>12/31/2018</stp>
        <stp>1</stp>
        <tr r="U3260" s="1"/>
      </tp>
      <tp>
        <v>0.9177482392067513</v>
        <stp/>
        <stp>EM_S_RATIO_EPS_TTM</stp>
        <stp>3</stp>
        <stp>002727</stp>
        <stp>12/31/2018</stp>
        <stp>1</stp>
        <tr r="U946" s="1"/>
      </tp>
      <tp>
        <v>0.30181511499027186</v>
        <stp/>
        <stp>EM_S_RATIO_EPS_TTM</stp>
        <stp>3</stp>
        <stp>002627</stp>
        <stp>12/31/2018</stp>
        <stp>1</stp>
        <tr r="U389" s="1"/>
      </tp>
      <tp>
        <v>0.59983746170247665</v>
        <stp/>
        <stp>EM_S_RATIO_EPS_TTM</stp>
        <stp>3</stp>
        <stp>002927</stp>
        <stp>12/31/2018</stp>
        <stp>1</stp>
        <tr r="U3378" s="1"/>
      </tp>
      <tp>
        <v>0.32821106298913044</v>
        <stp/>
        <stp>EM_S_RATIO_EPS_TTM</stp>
        <stp>3</stp>
        <stp>002827</stp>
        <stp>12/31/2018</stp>
        <stp>1</stp>
        <tr r="U3229" s="1"/>
      </tp>
      <tp>
        <v>8.1934373514146994E-2</v>
        <stp/>
        <stp>EM_S_RATIO_EPS_TTM</stp>
        <stp>3</stp>
        <stp>300117</stp>
        <stp>12/31/2018</stp>
        <stp>1</stp>
        <tr r="U2769" s="1"/>
      </tp>
      <tp>
        <v>0.17421573508256322</v>
        <stp/>
        <stp>EM_S_RATIO_EPS_TTM</stp>
        <stp>3</stp>
        <stp>000027</stp>
        <stp>12/31/2018</stp>
        <stp>1</stp>
        <tr r="U1310" s="1"/>
      </tp>
      <tp>
        <v>0.33054314807144541</v>
        <stp/>
        <stp>EM_S_RATIO_EPS_TTM</stp>
        <stp>3</stp>
        <stp>300017</stp>
        <stp>12/31/2018</stp>
        <stp>1</stp>
        <tr r="U1215" s="1"/>
      </tp>
      <tp>
        <v>-2.369427035659772</v>
        <stp/>
        <stp>EM_S_RATIO_EPS_TTM</stp>
        <stp>3</stp>
        <stp>300317</stp>
        <stp>12/31/2018</stp>
        <stp>1</stp>
        <tr r="U1978" s="1"/>
      </tp>
      <tp>
        <v>0.11399583776977065</v>
        <stp/>
        <stp>EM_S_RATIO_EPS_TTM</stp>
        <stp>3</stp>
        <stp>300217</stp>
        <stp>12/31/2018</stp>
        <stp>1</stp>
        <tr r="U2065" s="1"/>
      </tp>
      <tp>
        <v>2.2046836776427173E-2</v>
        <stp/>
        <stp>EM_S_RATIO_EPS_TTM</stp>
        <stp>3</stp>
        <stp>600247</stp>
        <stp>12/31/2018</stp>
        <stp>1</stp>
        <tr r="U3103" s="1"/>
      </tp>
      <tp>
        <v>1.179856212466825</v>
        <stp/>
        <stp>EM_S_RATIO_EPS_TTM</stp>
        <stp>3</stp>
        <stp>000527</stp>
        <stp>12/31/2018</stp>
        <stp>1</stp>
        <tr r="U3443" s="1"/>
      </tp>
      <tp>
        <v>0.22687897093230014</v>
        <stp/>
        <stp>EM_S_RATIO_EPS_TTM</stp>
        <stp>3</stp>
        <stp>300517</stp>
        <stp>12/31/2018</stp>
        <stp>1</stp>
        <tr r="U1512" s="1"/>
      </tp>
      <tp>
        <v>0.3955409135820005</v>
        <stp/>
        <stp>EM_S_RATIO_EPS_TTM</stp>
        <stp>3</stp>
        <stp>600547</stp>
        <stp>12/31/2018</stp>
        <stp>1</stp>
        <tr r="U1942" s="1"/>
      </tp>
      <tp>
        <v>0.34170314840686272</v>
        <stp/>
        <stp>EM_S_RATIO_EPS_TTM</stp>
        <stp>3</stp>
        <stp>300417</stp>
        <stp>12/31/2018</stp>
        <stp>1</stp>
        <tr r="U56" s="1"/>
      </tp>
      <tp>
        <v>-0.21798056662140364</v>
        <stp/>
        <stp>EM_S_RATIO_EPS_TTM</stp>
        <stp>3</stp>
        <stp>000727</stp>
        <stp>12/31/2018</stp>
        <stp>1</stp>
        <tr r="U3520" s="1"/>
      </tp>
      <tp>
        <v>0.45589631259765623</v>
        <stp/>
        <stp>EM_S_RATIO_EPS_TTM</stp>
        <stp>3</stp>
        <stp>300717</stp>
        <stp>12/31/2018</stp>
        <stp>1</stp>
        <tr r="U1526" s="1"/>
      </tp>
      <tp>
        <v>-1.0688286762852026</v>
        <stp/>
        <stp>EM_S_RATIO_EPS_TTM</stp>
        <stp>3</stp>
        <stp>600747</stp>
        <stp>12/31/2018</stp>
        <stp>1</stp>
        <tr r="U3404" s="1"/>
      </tp>
      <tp>
        <v>0.2684921390553302</v>
        <stp/>
        <stp>EM_S_RATIO_EPS_TTM</stp>
        <stp>3</stp>
        <stp>000627</stp>
        <stp>12/31/2018</stp>
        <stp>1</stp>
        <tr r="U3489" s="1"/>
      </tp>
      <tp>
        <v>0.75271522513874312</v>
        <stp/>
        <stp>EM_S_RATIO_EPS_TTM</stp>
        <stp>3</stp>
        <stp>300617</stp>
        <stp>12/31/2018</stp>
        <stp>1</stp>
        <tr r="U1581" s="1"/>
      </tp>
      <tp>
        <v>-0.4046217913083287</v>
        <stp/>
        <stp>EM_S_RATIO_EPS_TTM</stp>
        <stp>3</stp>
        <stp>600647</stp>
        <stp>12/31/2018</stp>
        <stp>1</stp>
        <tr r="U1435" s="1"/>
      </tp>
      <tp>
        <v>2.338835512754903E-2</v>
        <stp/>
        <stp>EM_S_RATIO_EPS_TTM</stp>
        <stp>3</stp>
        <stp>000927</stp>
        <stp>12/31/2018</stp>
        <stp>1</stp>
        <tr r="U3579" s="1"/>
      </tp>
      <tp>
        <v>-0.31124726757288074</v>
        <stp/>
        <stp>EM_S_RATIO_EPS_TTM</stp>
        <stp>3</stp>
        <stp>000827</stp>
        <stp>12/31/2018</stp>
        <stp>1</stp>
        <tr r="U3550" s="1"/>
      </tp>
      <tp>
        <v>-1.0203059528049925</v>
        <stp/>
        <stp>EM_S_RATIO_EPS_TTM</stp>
        <stp>3</stp>
        <stp>600847</stp>
        <stp>12/31/2018</stp>
        <stp>1</stp>
        <tr r="U2395" s="1"/>
      </tp>
      <tp>
        <v>0</v>
        <stp/>
        <stp>EM_S_FA_ASSETSTURN</stp>
        <stp>3</stp>
        <stp>000991</stp>
        <stp>12/31/2018</stp>
        <stp>1</stp>
        <tr r="K3599" s="1"/>
      </tp>
      <tp>
        <v>0.12088102555999999</v>
        <stp/>
        <stp>EM_S_FA_ASSETSTURN</stp>
        <stp>3</stp>
        <stp>000791</stp>
        <stp>12/31/2018</stp>
        <stp>1</stp>
        <tr r="K3193" s="1"/>
      </tp>
      <tp>
        <v>0.16710815238000001</v>
        <stp/>
        <stp>EM_S_FA_ASSETSTURN</stp>
        <stp>3</stp>
        <stp>000691</stp>
        <stp>12/31/2018</stp>
        <stp>1</stp>
        <tr r="K3512" s="1"/>
      </tp>
      <tp>
        <v>0.15317479479000001</v>
        <stp/>
        <stp>EM_S_FA_ASSETSTURN</stp>
        <stp>3</stp>
        <stp>000591</stp>
        <stp>12/31/2018</stp>
        <stp>1</stp>
        <tr r="K1170" s="1"/>
      </tp>
      <tp>
        <v>1.170813511515</v>
        <stp/>
        <stp>EM_S_FA_ASSETSTURN</stp>
        <stp>3</stp>
        <stp>002891</stp>
        <stp>12/31/2018</stp>
        <stp>1</stp>
        <tr r="K3025" s="1"/>
      </tp>
      <tp>
        <v>0.75992938518499997</v>
        <stp/>
        <stp>EM_S_FA_ASSETSTURN</stp>
        <stp>3</stp>
        <stp>002391</stp>
        <stp>12/31/2018</stp>
        <stp>1</stp>
        <tr r="K3106" s="1"/>
      </tp>
      <tp>
        <v>0.48964725478900001</v>
        <stp/>
        <stp>EM_S_FA_ASSETSTURN</stp>
        <stp>3</stp>
        <stp>002291</stp>
        <stp>12/31/2018</stp>
        <stp>1</stp>
        <tr r="K28" s="1"/>
      </tp>
      <tp>
        <v>0.41329456708700002</v>
        <stp/>
        <stp>EM_S_FA_ASSETSTURN</stp>
        <stp>3</stp>
        <stp>002191</stp>
        <stp>12/31/2018</stp>
        <stp>1</stp>
        <tr r="K626" s="1"/>
      </tp>
      <tp>
        <v>1.8256499459</v>
        <stp/>
        <stp>EM_S_FA_ASSETSTURN</stp>
        <stp>3</stp>
        <stp>002091</stp>
        <stp>12/31/2018</stp>
        <stp>1</stp>
        <tr r="K1200" s="1"/>
      </tp>
      <tp>
        <v>1.028601112447</v>
        <stp/>
        <stp>EM_S_FA_ASSETSTURN</stp>
        <stp>3</stp>
        <stp>002791</stp>
        <stp>12/31/2018</stp>
        <stp>1</stp>
        <tr r="K43" s="1"/>
      </tp>
      <tp>
        <v>0.419671961471</v>
        <stp/>
        <stp>EM_S_FA_ASSETSTURN</stp>
        <stp>3</stp>
        <stp>002691</stp>
        <stp>12/31/2018</stp>
        <stp>1</stp>
        <tr r="K3060" s="1"/>
      </tp>
      <tp>
        <v>0.22607779505700001</v>
        <stp/>
        <stp>EM_S_FA_ASSETSTURN</stp>
        <stp>3</stp>
        <stp>002591</stp>
        <stp>12/31/2018</stp>
        <stp>1</stp>
        <tr r="K814" s="1"/>
      </tp>
      <tp>
        <v>0.46682750303199999</v>
        <stp/>
        <stp>EM_S_FA_ASSETSTURN</stp>
        <stp>3</stp>
        <stp>002491</stp>
        <stp>12/31/2018</stp>
        <stp>1</stp>
        <tr r="K2970" s="1"/>
      </tp>
      <tp>
        <v>0.43581400725956448</v>
        <stp/>
        <stp>EM_S_RATIO_EPS_TTM</stp>
        <stp>3</stp>
        <stp>002126</stp>
        <stp>12/31/2018</stp>
        <stp>1</stp>
        <tr r="U1836" s="1"/>
      </tp>
      <tp>
        <v>0.36969959127601482</v>
        <stp/>
        <stp>EM_S_RATIO_EPS_TTM</stp>
        <stp>3</stp>
        <stp>002026</stp>
        <stp>12/31/2018</stp>
        <stp>1</stp>
        <tr r="U2623" s="1"/>
      </tp>
      <tp>
        <v>0.538548185511461</v>
        <stp/>
        <stp>EM_S_RATIO_EPS_TTM</stp>
        <stp>3</stp>
        <stp>002326</stp>
        <stp>12/31/2018</stp>
        <stp>1</stp>
        <tr r="U623" s="1"/>
      </tp>
      <tp>
        <v>0.17568868403507179</v>
        <stp/>
        <stp>EM_S_RATIO_EPS_TTM</stp>
        <stp>3</stp>
        <stp>002226</stp>
        <stp>12/31/2018</stp>
        <stp>1</stp>
        <tr r="U1997" s="1"/>
      </tp>
      <tp>
        <v>8.5595691576084182E-2</v>
        <stp/>
        <stp>EM_S_RATIO_EPS_TTM</stp>
        <stp>3</stp>
        <stp>002526</stp>
        <stp>12/31/2018</stp>
        <stp>1</stp>
        <tr r="U1267" s="1"/>
      </tp>
      <tp>
        <v>-0.20999898820512219</v>
        <stp/>
        <stp>EM_S_RATIO_EPS_TTM</stp>
        <stp>3</stp>
        <stp>002426</stp>
        <stp>12/31/2018</stp>
        <stp>1</stp>
        <tr r="U2106" s="1"/>
      </tp>
      <tp>
        <v>0.23417265394951939</v>
        <stp/>
        <stp>EM_S_RATIO_EPS_TTM</stp>
        <stp>3</stp>
        <stp>002726</stp>
        <stp>12/31/2018</stp>
        <stp>1</stp>
        <tr r="U2844" s="1"/>
      </tp>
      <tp>
        <v>1.1147956039107048</v>
        <stp/>
        <stp>EM_S_RATIO_EPS_TTM</stp>
        <stp>3</stp>
        <stp>002626</stp>
        <stp>12/31/2018</stp>
        <stp>1</stp>
        <tr r="U414" s="1"/>
      </tp>
      <tp>
        <v>0.32195518021714287</v>
        <stp/>
        <stp>EM_S_RATIO_EPS_TTM</stp>
        <stp>3</stp>
        <stp>002926</stp>
        <stp>12/31/2018</stp>
        <stp>1</stp>
        <tr r="U890" s="1"/>
      </tp>
      <tp>
        <v>0.13311744228336495</v>
        <stp/>
        <stp>EM_S_RATIO_EPS_TTM</stp>
        <stp>3</stp>
        <stp>002826</stp>
        <stp>12/31/2018</stp>
        <stp>1</stp>
        <tr r="U2473" s="1"/>
      </tp>
      <tp>
        <v>-1.6135069177250043</v>
        <stp/>
        <stp>EM_S_RATIO_EPS_TTM</stp>
        <stp>3</stp>
        <stp>300116</stp>
        <stp>12/31/2018</stp>
        <stp>1</stp>
        <tr r="U911" s="1"/>
      </tp>
      <tp>
        <v>-3.890528282379726</v>
        <stp/>
        <stp>EM_S_RATIO_EPS_TTM</stp>
        <stp>3</stp>
        <stp>600146</stp>
        <stp>12/31/2018</stp>
        <stp>1</stp>
        <tr r="U192" s="1"/>
      </tp>
      <tp>
        <v>0.41900225678074632</v>
        <stp/>
        <stp>EM_S_RATIO_EPS_TTM</stp>
        <stp>3</stp>
        <stp>000026</stp>
        <stp>12/31/2018</stp>
        <stp>1</stp>
        <tr r="U462" s="1"/>
      </tp>
      <tp>
        <v>0.3021777471319263</v>
        <stp/>
        <stp>EM_S_RATIO_EPS_TTM</stp>
        <stp>3</stp>
        <stp>300016</stp>
        <stp>12/31/2018</stp>
        <stp>1</stp>
        <tr r="U993" s="1"/>
      </tp>
      <tp>
        <v>0.45316701155943906</v>
        <stp/>
        <stp>EM_S_RATIO_EPS_TTM</stp>
        <stp>3</stp>
        <stp>300316</stp>
        <stp>12/31/2018</stp>
        <stp>1</stp>
        <tr r="U480" s="1"/>
      </tp>
      <tp>
        <v>0.65757945795262807</v>
        <stp/>
        <stp>EM_S_RATIO_EPS_TTM</stp>
        <stp>3</stp>
        <stp>600346</stp>
        <stp>12/31/2018</stp>
        <stp>1</stp>
        <tr r="U1252" s="1"/>
      </tp>
      <tp>
        <v>-6.8226852677101597</v>
        <stp/>
        <stp>EM_S_RATIO_EPS_TTM</stp>
        <stp>3</stp>
        <stp>300216</stp>
        <stp>12/31/2018</stp>
        <stp>1</stp>
        <tr r="U2361" s="1"/>
      </tp>
      <tp>
        <v>0.15933437608648182</v>
        <stp/>
        <stp>EM_S_RATIO_EPS_TTM</stp>
        <stp>3</stp>
        <stp>600246</stp>
        <stp>12/31/2018</stp>
        <stp>1</stp>
        <tr r="U495" s="1"/>
      </tp>
      <tp>
        <v>0.13463062107722382</v>
        <stp/>
        <stp>EM_S_RATIO_EPS_TTM</stp>
        <stp>3</stp>
        <stp>000526</stp>
        <stp>12/31/2018</stp>
        <stp>1</stp>
        <tr r="U325" s="1"/>
      </tp>
      <tp>
        <v>0.38143318066666665</v>
        <stp/>
        <stp>EM_S_RATIO_EPS_TTM</stp>
        <stp>3</stp>
        <stp>300516</stp>
        <stp>12/31/2018</stp>
        <stp>1</stp>
        <tr r="U1820" s="1"/>
      </tp>
      <tp>
        <v>0.11102663194354453</v>
        <stp/>
        <stp>EM_S_RATIO_EPS_TTM</stp>
        <stp>3</stp>
        <stp>600546</stp>
        <stp>12/31/2018</stp>
        <stp>1</stp>
        <tr r="U191" s="1"/>
      </tp>
      <tp>
        <v>-9.1321969362409994E-2</v>
        <stp/>
        <stp>EM_S_RATIO_EPS_TTM</stp>
        <stp>3</stp>
        <stp>000426</stp>
        <stp>12/31/2018</stp>
        <stp>1</stp>
        <tr r="U2266" s="1"/>
      </tp>
      <tp>
        <v>0.53075079773360967</v>
        <stp/>
        <stp>EM_S_RATIO_EPS_TTM</stp>
        <stp>3</stp>
        <stp>300416</stp>
        <stp>12/31/2018</stp>
        <stp>1</stp>
        <tr r="U301" s="1"/>
      </tp>
      <tp>
        <v>-0.13638077128925669</v>
        <stp/>
        <stp>EM_S_RATIO_EPS_TTM</stp>
        <stp>3</stp>
        <stp>600446</stp>
        <stp>12/31/2018</stp>
        <stp>1</stp>
        <tr r="U127" s="1"/>
      </tp>
      <tp>
        <v>0.87960594522074642</v>
        <stp/>
        <stp>EM_S_RATIO_EPS_TTM</stp>
        <stp>3</stp>
        <stp>000726</stp>
        <stp>12/31/2018</stp>
        <stp>1</stp>
        <tr r="U2606" s="1"/>
      </tp>
      <tp>
        <v>0.34685561261092362</v>
        <stp/>
        <stp>EM_S_RATIO_EPS_TTM</stp>
        <stp>3</stp>
        <stp>300716</stp>
        <stp>12/31/2018</stp>
        <stp>1</stp>
        <tr r="U2689" s="1"/>
      </tp>
      <tp>
        <v>1.1693750149059406E-2</v>
        <stp/>
        <stp>EM_S_RATIO_EPS_TTM</stp>
        <stp>3</stp>
        <stp>600746</stp>
        <stp>12/31/2018</stp>
        <stp>1</stp>
        <tr r="U1254" s="1"/>
      </tp>
      <tp>
        <v>8.6661461759203778E-2</v>
        <stp/>
        <stp>EM_S_RATIO_EPS_TTM</stp>
        <stp>3</stp>
        <stp>000626</stp>
        <stp>12/31/2018</stp>
        <stp>1</stp>
        <tr r="U3488" s="1"/>
      </tp>
      <tp>
        <v>2.401241005372496</v>
        <stp/>
        <stp>EM_S_RATIO_EPS_TTM</stp>
        <stp>3</stp>
        <stp>300616</stp>
        <stp>12/31/2018</stp>
        <stp>1</stp>
        <tr r="U1091" s="1"/>
      </tp>
      <tp>
        <v>3.4063972112383144E-4</v>
        <stp/>
        <stp>EM_S_RATIO_EPS_TTM</stp>
        <stp>3</stp>
        <stp>600646</stp>
        <stp>12/31/2018</stp>
        <stp>1</stp>
        <tr r="U2311" s="1"/>
      </tp>
      <tp>
        <v>1.178758585033415</v>
        <stp/>
        <stp>EM_S_RATIO_EPS_TTM</stp>
        <stp>3</stp>
        <stp>000926</stp>
        <stp>12/31/2018</stp>
        <stp>1</stp>
        <tr r="U3578" s="1"/>
      </tp>
      <tp>
        <v>0.45010266934029969</v>
        <stp/>
        <stp>EM_S_RATIO_EPS_TTM</stp>
        <stp>3</stp>
        <stp>000826</stp>
        <stp>12/31/2018</stp>
        <stp>1</stp>
        <tr r="U2803" s="1"/>
      </tp>
      <tp>
        <v>0.48217276979333024</v>
        <stp/>
        <stp>EM_S_RATIO_EPS_TTM</stp>
        <stp>3</stp>
        <stp>600846</stp>
        <stp>12/31/2018</stp>
        <stp>1</stp>
        <tr r="U959" s="1"/>
      </tp>
      <tp>
        <v>0.382944759463</v>
        <stp/>
        <stp>EM_S_FA_ASSETSTURN</stp>
        <stp>3</stp>
        <stp>001896</stp>
        <stp>12/31/2018</stp>
        <stp>1</stp>
        <tr r="K3602" s="1"/>
      </tp>
      <tp>
        <v>0.79331809553699995</v>
        <stp/>
        <stp>EM_S_FA_ASSETSTURN</stp>
        <stp>3</stp>
        <stp>001696</stp>
        <stp>12/31/2018</stp>
        <stp>1</stp>
        <tr r="K863" s="1"/>
      </tp>
      <tp>
        <v>0.108551247411</v>
        <stp/>
        <stp>EM_S_FA_ASSETSTURN</stp>
        <stp>3</stp>
        <stp>000996</stp>
        <stp>12/31/2018</stp>
        <stp>1</stp>
        <tr r="K1113" s="1"/>
      </tp>
      <tp>
        <v>0.63621617278499998</v>
        <stp/>
        <stp>EM_S_FA_ASSETSTURN</stp>
        <stp>3</stp>
        <stp>000096</stp>
        <stp>12/31/2018</stp>
        <stp>1</stp>
        <tr r="K1146" s="1"/>
      </tp>
      <tp>
        <v>1.3433258679240001</v>
        <stp/>
        <stp>EM_S_FA_ASSETSTURN</stp>
        <stp>3</stp>
        <stp>000796</stp>
        <stp>12/31/2018</stp>
        <stp>1</stp>
        <tr r="K776" s="1"/>
      </tp>
      <tp>
        <v>0.76655523162799999</v>
        <stp/>
        <stp>EM_S_FA_ASSETSTURN</stp>
        <stp>3</stp>
        <stp>000596</stp>
        <stp>12/31/2018</stp>
        <stp>1</stp>
        <tr r="K77" s="1"/>
      </tp>
      <tp>
        <v>0.69744924288200005</v>
        <stp/>
        <stp>EM_S_FA_ASSETSTURN</stp>
        <stp>3</stp>
        <stp>002896</stp>
        <stp>12/31/2018</stp>
        <stp>1</stp>
        <tr r="K3187" s="1"/>
      </tp>
      <tp>
        <v>1.3589637983189999</v>
        <stp/>
        <stp>EM_S_FA_ASSETSTURN</stp>
        <stp>3</stp>
        <stp>002396</stp>
        <stp>12/31/2018</stp>
        <stp>1</stp>
        <tr r="K155" s="1"/>
      </tp>
      <tp>
        <v>0.24603148408200001</v>
        <stp/>
        <stp>EM_S_FA_ASSETSTURN</stp>
        <stp>3</stp>
        <stp>002296</stp>
        <stp>12/31/2018</stp>
        <stp>1</stp>
        <tr r="K457" s="1"/>
      </tp>
      <tp>
        <v>0.44262429940800002</v>
        <stp/>
        <stp>EM_S_FA_ASSETSTURN</stp>
        <stp>3</stp>
        <stp>002196</stp>
        <stp>12/31/2018</stp>
        <stp>1</stp>
        <tr r="K1966" s="1"/>
      </tp>
      <tp>
        <v>0.57053302526299998</v>
        <stp/>
        <stp>EM_S_FA_ASSETSTURN</stp>
        <stp>3</stp>
        <stp>002096</stp>
        <stp>12/31/2018</stp>
        <stp>1</stp>
        <tr r="K3632" s="1"/>
      </tp>
      <tp>
        <v>0.94382904369300002</v>
        <stp/>
        <stp>EM_S_FA_ASSETSTURN</stp>
        <stp>3</stp>
        <stp>002796</stp>
        <stp>12/31/2018</stp>
        <stp>1</stp>
        <tr r="K2130" s="1"/>
      </tp>
      <tp>
        <v>0.858737613866</v>
        <stp/>
        <stp>EM_S_FA_ASSETSTURN</stp>
        <stp>3</stp>
        <stp>002696</stp>
        <stp>12/31/2018</stp>
        <stp>1</stp>
        <tr r="K3242" s="1"/>
      </tp>
      <tp>
        <v>0.54050307372899997</v>
        <stp/>
        <stp>EM_S_FA_ASSETSTURN</stp>
        <stp>3</stp>
        <stp>002596</stp>
        <stp>12/31/2018</stp>
        <stp>1</stp>
        <tr r="K1810" s="1"/>
      </tp>
      <tp>
        <v>0.35781425950200002</v>
        <stp/>
        <stp>EM_S_FA_ASSETSTURN</stp>
        <stp>3</stp>
        <stp>002496</stp>
        <stp>12/31/2018</stp>
        <stp>1</stp>
        <tr r="K600" s="1"/>
      </tp>
      <tp>
        <v>0.40440188453461184</v>
        <stp/>
        <stp>EM_S_RATIO_EPS_TTM</stp>
        <stp>3</stp>
        <stp>603041</stp>
        <stp>12/31/2018</stp>
        <stp>1</stp>
        <tr r="U1218" s="1"/>
      </tp>
      <tp>
        <v>-0.86614251447407598</v>
        <stp/>
        <stp>EM_S_RATIO_EPS_TTM</stp>
        <stp>3</stp>
        <stp>002121</stp>
        <stp>12/31/2018</stp>
        <stp>1</stp>
        <tr r="U3639" s="1"/>
      </tp>
      <tp>
        <v>-0.34576921356648438</v>
        <stp/>
        <stp>EM_S_RATIO_EPS_TTM</stp>
        <stp>3</stp>
        <stp>002021</stp>
        <stp>12/31/2018</stp>
        <stp>1</stp>
        <tr r="U3609" s="1"/>
      </tp>
      <tp>
        <v>0.22251222893287947</v>
        <stp/>
        <stp>EM_S_RATIO_EPS_TTM</stp>
        <stp>3</stp>
        <stp>002321</stp>
        <stp>12/31/2018</stp>
        <stp>1</stp>
        <tr r="U1897" s="1"/>
      </tp>
      <tp>
        <v>0.65368699651948858</v>
        <stp/>
        <stp>EM_S_RATIO_EPS_TTM</stp>
        <stp>3</stp>
        <stp>002221</stp>
        <stp>12/31/2018</stp>
        <stp>1</stp>
        <tr r="U2543" s="1"/>
      </tp>
      <tp>
        <v>0.11796080115650132</v>
        <stp/>
        <stp>EM_S_RATIO_EPS_TTM</stp>
        <stp>3</stp>
        <stp>002521</stp>
        <stp>12/31/2018</stp>
        <stp>1</stp>
        <tr r="U1904" s="1"/>
      </tp>
      <tp>
        <v>0.11395985192257529</v>
        <stp/>
        <stp>EM_S_RATIO_EPS_TTM</stp>
        <stp>3</stp>
        <stp>002421</stp>
        <stp>12/31/2018</stp>
        <stp>1</stp>
        <tr r="U2669" s="1"/>
      </tp>
      <tp>
        <v>-6.5389596426580168E-2</v>
        <stp/>
        <stp>EM_S_RATIO_EPS_TTM</stp>
        <stp>3</stp>
        <stp>002721</stp>
        <stp>12/31/2018</stp>
        <stp>1</stp>
        <tr r="U2808" s="1"/>
      </tp>
      <tp>
        <v>9.0770993972870723E-2</v>
        <stp/>
        <stp>EM_S_RATIO_EPS_TTM</stp>
        <stp>3</stp>
        <stp>002621</stp>
        <stp>12/31/2018</stp>
        <stp>1</stp>
        <tr r="U3271" s="1"/>
      </tp>
      <tp>
        <v>0.56201929637500003</v>
        <stp/>
        <stp>EM_S_RATIO_EPS_TTM</stp>
        <stp>3</stp>
        <stp>002921</stp>
        <stp>12/31/2018</stp>
        <stp>1</stp>
        <tr r="U3207" s="1"/>
      </tp>
      <tp>
        <v>1.8552781171636497</v>
        <stp/>
        <stp>EM_S_RATIO_EPS_TTM</stp>
        <stp>3</stp>
        <stp>002821</stp>
        <stp>12/31/2018</stp>
        <stp>1</stp>
        <tr r="U209" s="1"/>
      </tp>
      <tp>
        <v>-1.0236807312466512</v>
        <stp/>
        <stp>EM_S_RATIO_EPS_TTM</stp>
        <stp>3</stp>
        <stp>300111</stp>
        <stp>12/31/2018</stp>
        <stp>1</stp>
        <tr r="U1403" s="1"/>
      </tp>
      <tp>
        <v>0.55317835094244261</v>
        <stp/>
        <stp>EM_S_RATIO_EPS_TTM</stp>
        <stp>3</stp>
        <stp>600141</stp>
        <stp>12/31/2018</stp>
        <stp>1</stp>
        <tr r="U2269" s="1"/>
      </tp>
      <tp>
        <v>0.36028536546346523</v>
        <stp/>
        <stp>EM_S_RATIO_EPS_TTM</stp>
        <stp>3</stp>
        <stp>000021</stp>
        <stp>12/31/2018</stp>
        <stp>1</stp>
        <tr r="U134" s="1"/>
      </tp>
      <tp>
        <v>-1.0322486978962746</v>
        <stp/>
        <stp>EM_S_RATIO_EPS_TTM</stp>
        <stp>3</stp>
        <stp>300011</stp>
        <stp>12/31/2018</stp>
        <stp>1</stp>
        <tr r="U2446" s="1"/>
      </tp>
      <tp>
        <v>0.20464418413869892</v>
        <stp/>
        <stp>EM_S_RATIO_EPS_TTM</stp>
        <stp>3</stp>
        <stp>300311</stp>
        <stp>12/31/2018</stp>
        <stp>1</stp>
        <tr r="U362" s="1"/>
      </tp>
      <tp>
        <v>1.6450055518612307E-2</v>
        <stp/>
        <stp>EM_S_RATIO_EPS_TTM</stp>
        <stp>3</stp>
        <stp>300211</stp>
        <stp>12/31/2018</stp>
        <stp>1</stp>
        <tr r="U339" s="1"/>
      </tp>
      <tp>
        <v>-0.59402978554877184</v>
        <stp/>
        <stp>EM_S_RATIO_EPS_TTM</stp>
        <stp>3</stp>
        <stp>600241</stp>
        <stp>12/31/2018</stp>
        <stp>1</stp>
        <tr r="U2745" s="1"/>
      </tp>
      <tp>
        <v>3.700778804279424E-2</v>
        <stp/>
        <stp>EM_S_RATIO_EPS_TTM</stp>
        <stp>3</stp>
        <stp>000521</stp>
        <stp>12/31/2018</stp>
        <stp>1</stp>
        <tr r="U1492" s="1"/>
      </tp>
      <tp>
        <v>0.34879625066494724</v>
        <stp/>
        <stp>EM_S_RATIO_EPS_TTM</stp>
        <stp>3</stp>
        <stp>300511</stp>
        <stp>12/31/2018</stp>
        <stp>1</stp>
        <tr r="U1595" s="1"/>
      </tp>
      <tp>
        <v>0.2500747072715489</v>
        <stp/>
        <stp>EM_S_RATIO_EPS_TTM</stp>
        <stp>3</stp>
        <stp>000421</stp>
        <stp>12/31/2018</stp>
        <stp>1</stp>
        <tr r="U3423" s="1"/>
      </tp>
      <tp>
        <v>-3.7049674400346326</v>
        <stp/>
        <stp>EM_S_RATIO_EPS_TTM</stp>
        <stp>3</stp>
        <stp>300411</stp>
        <stp>12/31/2018</stp>
        <stp>1</stp>
        <tr r="U2490" s="1"/>
      </tp>
      <tp>
        <v>1.897550198382578E-2</v>
        <stp/>
        <stp>EM_S_RATIO_EPS_TTM</stp>
        <stp>3</stp>
        <stp>000721</stp>
        <stp>12/31/2018</stp>
        <stp>1</stp>
        <tr r="U2092" s="1"/>
      </tp>
      <tp>
        <v>0.10832145741065662</v>
        <stp/>
        <stp>EM_S_RATIO_EPS_TTM</stp>
        <stp>3</stp>
        <stp>300711</stp>
        <stp>12/31/2018</stp>
        <stp>1</stp>
        <tr r="U3178" s="1"/>
      </tp>
      <tp>
        <v>2.5461083769012873</v>
        <stp/>
        <stp>EM_S_RATIO_EPS_TTM</stp>
        <stp>3</stp>
        <stp>600741</stp>
        <stp>12/31/2018</stp>
        <stp>1</stp>
        <tr r="U766" s="1"/>
      </tp>
      <tp>
        <v>-1.2615179595710931E-3</v>
        <stp/>
        <stp>EM_S_RATIO_EPS_TTM</stp>
        <stp>3</stp>
        <stp>000621</stp>
        <stp>12/31/2018</stp>
        <stp>1</stp>
        <tr r="U3486" s="1"/>
      </tp>
      <tp>
        <v>0.11132103187165392</v>
        <stp/>
        <stp>EM_S_RATIO_EPS_TTM</stp>
        <stp>3</stp>
        <stp>300611</stp>
        <stp>12/31/2018</stp>
        <stp>1</stp>
        <tr r="U1560" s="1"/>
      </tp>
      <tp>
        <v>1.2058533133724674</v>
        <stp/>
        <stp>EM_S_RATIO_EPS_TTM</stp>
        <stp>3</stp>
        <stp>600641</stp>
        <stp>12/31/2018</stp>
        <stp>1</stp>
        <tr r="U147" s="1"/>
      </tp>
      <tp>
        <v>1.0108105477628262</v>
        <stp/>
        <stp>EM_S_RATIO_EPS_TTM</stp>
        <stp>3</stp>
        <stp>000921</stp>
        <stp>12/31/2018</stp>
        <stp>1</stp>
        <tr r="U344" s="1"/>
      </tp>
      <tp>
        <v>0.26735808849245263</v>
        <stp/>
        <stp>EM_S_RATIO_EPS_TTM</stp>
        <stp>3</stp>
        <stp>000821</stp>
        <stp>12/31/2018</stp>
        <stp>1</stp>
        <tr r="U2937" s="1"/>
      </tp>
      <tp>
        <v>0.15399265820391594</v>
        <stp/>
        <stp>EM_S_RATIO_EPS_TTM</stp>
        <stp>3</stp>
        <stp>600841</stp>
        <stp>12/31/2018</stp>
        <stp>1</stp>
        <tr r="U1932" s="1"/>
      </tp>
      <tp>
        <v>0.60580451173500005</v>
        <stp/>
        <stp>EM_S_FA_ASSETSTURN</stp>
        <stp>3</stp>
        <stp>000997</stp>
        <stp>12/31/2018</stp>
        <stp>1</stp>
        <tr r="K1814" s="1"/>
      </tp>
      <tp>
        <v>2.3815711478999999E-2</v>
        <stp/>
        <stp>EM_S_FA_ASSETSTURN</stp>
        <stp>3</stp>
        <stp>000897</stp>
        <stp>12/31/2018</stp>
        <stp>1</stp>
        <tr r="K3568" s="1"/>
      </tp>
      <tp>
        <v>0.31310521967400001</v>
        <stp/>
        <stp>EM_S_FA_ASSETSTURN</stp>
        <stp>3</stp>
        <stp>000797</stp>
        <stp>12/31/2018</stp>
        <stp>1</stp>
        <tr r="K3127" s="1"/>
      </tp>
      <tp>
        <v>0.30734821527700001</v>
        <stp/>
        <stp>EM_S_FA_ASSETSTURN</stp>
        <stp>3</stp>
        <stp>000697</stp>
        <stp>12/31/2018</stp>
        <stp>1</stp>
        <tr r="K2913" s="1"/>
      </tp>
      <tp>
        <v>0.66929249952400005</v>
        <stp/>
        <stp>EM_S_FA_ASSETSTURN</stp>
        <stp>3</stp>
        <stp>000597</stp>
        <stp>12/31/2018</stp>
        <stp>1</stp>
        <tr r="K3256" s="1"/>
      </tp>
      <tp>
        <v>0.852966770757</v>
        <stp/>
        <stp>EM_S_FA_ASSETSTURN</stp>
        <stp>3</stp>
        <stp>002897</stp>
        <stp>12/31/2018</stp>
        <stp>1</stp>
        <tr r="K887" s="1"/>
      </tp>
      <tp>
        <v>0.68997318091199999</v>
        <stp/>
        <stp>EM_S_FA_ASSETSTURN</stp>
        <stp>3</stp>
        <stp>002397</stp>
        <stp>12/31/2018</stp>
        <stp>1</stp>
        <tr r="K1300" s="1"/>
      </tp>
      <tp>
        <v>0.229146030438</v>
        <stp/>
        <stp>EM_S_FA_ASSETSTURN</stp>
        <stp>3</stp>
        <stp>002297</stp>
        <stp>12/31/2018</stp>
        <stp>1</stp>
        <tr r="K1894" s="1"/>
      </tp>
      <tp>
        <v>0.252670395612</v>
        <stp/>
        <stp>EM_S_FA_ASSETSTURN</stp>
        <stp>3</stp>
        <stp>002197</stp>
        <stp>12/31/2018</stp>
        <stp>1</stp>
        <tr r="K1474" s="1"/>
      </tp>
      <tp>
        <v>0.43315063725699998</v>
        <stp/>
        <stp>EM_S_FA_ASSETSTURN</stp>
        <stp>3</stp>
        <stp>002097</stp>
        <stp>12/31/2018</stp>
        <stp>1</stp>
        <tr r="K1946" s="1"/>
      </tp>
      <tp>
        <v>0</v>
        <stp/>
        <stp>EM_S_FA_ASSETSTURN</stp>
        <stp>3</stp>
        <stp>002797</stp>
        <stp>12/31/2018</stp>
        <stp>1</stp>
        <tr r="K505" s="1"/>
      </tp>
      <tp>
        <v>1.5864077124560001</v>
        <stp/>
        <stp>EM_S_FA_ASSETSTURN</stp>
        <stp>3</stp>
        <stp>002697</stp>
        <stp>12/31/2018</stp>
        <stp>1</stp>
        <tr r="K629" s="1"/>
      </tp>
      <tp>
        <v>0.72708687589499998</v>
        <stp/>
        <stp>EM_S_FA_ASSETSTURN</stp>
        <stp>3</stp>
        <stp>002597</stp>
        <stp>12/31/2018</stp>
        <stp>1</stp>
        <tr r="K765" s="1"/>
      </tp>
      <tp>
        <v>0.67525048293900003</v>
        <stp/>
        <stp>EM_S_FA_ASSETSTURN</stp>
        <stp>3</stp>
        <stp>002497</stp>
        <stp>12/31/2018</stp>
        <stp>1</stp>
        <tr r="K1848" s="1"/>
      </tp>
      <tp>
        <v>1.2901510554593307</v>
        <stp/>
        <stp>EM_S_RATIO_EPS_TTM</stp>
        <stp>3</stp>
        <stp>603040</stp>
        <stp>12/31/2018</stp>
        <stp>1</stp>
        <tr r="U891" s="1"/>
      </tp>
      <tp>
        <v>1.5752274134375839</v>
        <stp/>
        <stp>EM_S_RATIO_EPS_TTM</stp>
        <stp>3</stp>
        <stp>002120</stp>
        <stp>12/31/2018</stp>
        <stp>1</stp>
        <tr r="U1786" s="1"/>
      </tp>
      <tp>
        <v>0.51048551058669667</v>
        <stp/>
        <stp>EM_S_RATIO_EPS_TTM</stp>
        <stp>3</stp>
        <stp>002020</stp>
        <stp>12/31/2018</stp>
        <stp>1</stp>
        <tr r="U1187" s="1"/>
      </tp>
      <tp>
        <v>0.31883793481614575</v>
        <stp/>
        <stp>EM_S_RATIO_EPS_TTM</stp>
        <stp>3</stp>
        <stp>002320</stp>
        <stp>12/31/2018</stp>
        <stp>1</stp>
        <tr r="U2750" s="1"/>
      </tp>
      <tp>
        <v>-0.21558033926026521</v>
        <stp/>
        <stp>EM_S_RATIO_EPS_TTM</stp>
        <stp>3</stp>
        <stp>002220</stp>
        <stp>12/31/2018</stp>
        <stp>1</stp>
        <tr r="U3336" s="1"/>
      </tp>
      <tp>
        <v>0.27235721922484257</v>
        <stp/>
        <stp>EM_S_RATIO_EPS_TTM</stp>
        <stp>3</stp>
        <stp>002520</stp>
        <stp>12/31/2018</stp>
        <stp>1</stp>
        <tr r="U2660" s="1"/>
      </tp>
      <tp>
        <v>-2.0291145993017459</v>
        <stp/>
        <stp>EM_S_RATIO_EPS_TTM</stp>
        <stp>3</stp>
        <stp>002420</stp>
        <stp>12/31/2018</stp>
        <stp>1</stp>
        <tr r="U1302" s="1"/>
      </tp>
      <tp>
        <v>0.41885434946081607</v>
        <stp/>
        <stp>EM_S_RATIO_EPS_TTM</stp>
        <stp>3</stp>
        <stp>002720</stp>
        <stp>12/31/2018</stp>
        <stp>1</stp>
        <tr r="U8" s="1"/>
      </tp>
      <tp>
        <v>0.40748486079999996</v>
        <stp/>
        <stp>EM_S_RATIO_EPS_TTM</stp>
        <stp>3</stp>
        <stp>002620</stp>
        <stp>12/31/2018</stp>
        <stp>1</stp>
        <tr r="U2023" s="1"/>
      </tp>
      <tp>
        <v>0.75658421316363633</v>
        <stp/>
        <stp>EM_S_RATIO_EPS_TTM</stp>
        <stp>3</stp>
        <stp>002920</stp>
        <stp>12/31/2018</stp>
        <stp>1</stp>
        <tr r="U269" s="1"/>
      </tp>
      <tp>
        <v>0.41079472734375</v>
        <stp/>
        <stp>EM_S_RATIO_EPS_TTM</stp>
        <stp>3</stp>
        <stp>002820</stp>
        <stp>12/31/2018</stp>
        <stp>1</stp>
        <tr r="U2429" s="1"/>
      </tp>
      <tp>
        <v>3.2815438656720826E-2</v>
        <stp/>
        <stp>EM_S_RATIO_EPS_TTM</stp>
        <stp>3</stp>
        <stp>300110</stp>
        <stp>12/31/2018</stp>
        <stp>1</stp>
        <tr r="U956" s="1"/>
      </tp>
      <tp>
        <v>1.1636560396738216E-2</v>
        <stp/>
        <stp>EM_S_RATIO_EPS_TTM</stp>
        <stp>3</stp>
        <stp>000020</stp>
        <stp>12/31/2018</stp>
        <stp>1</stp>
        <tr r="U2164" s="1"/>
      </tp>
      <tp>
        <v>-1.6040580893818623</v>
        <stp/>
        <stp>EM_S_RATIO_EPS_TTM</stp>
        <stp>3</stp>
        <stp>300010</stp>
        <stp>12/31/2018</stp>
        <stp>1</stp>
        <tr r="U280" s="1"/>
      </tp>
      <tp>
        <v>-2.2311283678961265</v>
        <stp/>
        <stp>EM_S_RATIO_EPS_TTM</stp>
        <stp>3</stp>
        <stp>300310</stp>
        <stp>12/31/2018</stp>
        <stp>1</stp>
        <tr r="U2231" s="1"/>
      </tp>
      <tp>
        <v>3.9110249850522933</v>
        <stp/>
        <stp>EM_S_RATIO_EPS_TTM</stp>
        <stp>3</stp>
        <stp>600340</stp>
        <stp>12/31/2018</stp>
        <stp>1</stp>
        <tr r="U1641" s="1"/>
      </tp>
      <tp>
        <v>-0.19965086323074341</v>
        <stp/>
        <stp>EM_S_RATIO_EPS_TTM</stp>
        <stp>3</stp>
        <stp>300210</stp>
        <stp>12/31/2018</stp>
        <stp>1</stp>
        <tr r="U3058" s="1"/>
      </tp>
      <tp>
        <v>-4.5204731320321043</v>
        <stp/>
        <stp>EM_S_RATIO_EPS_TTM</stp>
        <stp>3</stp>
        <stp>600240</stp>
        <stp>12/31/2018</stp>
        <stp>1</stp>
        <tr r="U3408" s="1"/>
      </tp>
      <tp>
        <v>6.0484039520238966E-2</v>
        <stp/>
        <stp>EM_S_RATIO_EPS_TTM</stp>
        <stp>3</stp>
        <stp>000520</stp>
        <stp>12/31/2018</stp>
        <stp>1</stp>
        <tr r="U641" s="1"/>
      </tp>
      <tp>
        <v>0.37397337513988493</v>
        <stp/>
        <stp>EM_S_RATIO_EPS_TTM</stp>
        <stp>3</stp>
        <stp>300510</stp>
        <stp>12/31/2018</stp>
        <stp>1</stp>
        <tr r="U3188" s="1"/>
      </tp>
      <tp>
        <v>4.3242671848781458E-2</v>
        <stp/>
        <stp>EM_S_RATIO_EPS_TTM</stp>
        <stp>3</stp>
        <stp>600540</stp>
        <stp>12/31/2018</stp>
        <stp>1</stp>
        <tr r="U1667" s="1"/>
      </tp>
      <tp>
        <v>6.7191049437446054E-2</v>
        <stp/>
        <stp>EM_S_RATIO_EPS_TTM</stp>
        <stp>3</stp>
        <stp>000420</stp>
        <stp>12/31/2018</stp>
        <stp>1</stp>
        <tr r="U1603" s="1"/>
      </tp>
      <tp>
        <v>8.6316797353785363E-2</v>
        <stp/>
        <stp>EM_S_RATIO_EPS_TTM</stp>
        <stp>3</stp>
        <stp>300410</stp>
        <stp>12/31/2018</stp>
        <stp>1</stp>
        <tr r="U3396" s="1"/>
      </tp>
      <tp>
        <v>0.83199811527764367</v>
        <stp/>
        <stp>EM_S_RATIO_EPS_TTM</stp>
        <stp>3</stp>
        <stp>000720</stp>
        <stp>12/31/2018</stp>
        <stp>1</stp>
        <tr r="U432" s="1"/>
      </tp>
      <tp>
        <v>0.21049669790421779</v>
        <stp/>
        <stp>EM_S_RATIO_EPS_TTM</stp>
        <stp>3</stp>
        <stp>300710</stp>
        <stp>12/31/2018</stp>
        <stp>1</stp>
        <tr r="U1068" s="1"/>
      </tp>
      <tp>
        <v>1.0701607234720827</v>
        <stp/>
        <stp>EM_S_RATIO_EPS_TTM</stp>
        <stp>3</stp>
        <stp>600740</stp>
        <stp>12/31/2018</stp>
        <stp>1</stp>
        <tr r="U2680" s="1"/>
      </tp>
      <tp>
        <v>0.62554147155970774</v>
        <stp/>
        <stp>EM_S_RATIO_EPS_TTM</stp>
        <stp>3</stp>
        <stp>000620</stp>
        <stp>12/31/2018</stp>
        <stp>1</stp>
        <tr r="U2102" s="1"/>
      </tp>
      <tp>
        <v>0.57205263621401359</v>
        <stp/>
        <stp>EM_S_RATIO_EPS_TTM</stp>
        <stp>3</stp>
        <stp>300610</stp>
        <stp>12/31/2018</stp>
        <stp>1</stp>
        <tr r="U2478" s="1"/>
      </tp>
      <tp>
        <v>0.32963700220714964</v>
        <stp/>
        <stp>EM_S_RATIO_EPS_TTM</stp>
        <stp>3</stp>
        <stp>600640</stp>
        <stp>12/31/2018</stp>
        <stp>1</stp>
        <tr r="U66" s="1"/>
      </tp>
      <tp>
        <v>0.20860350675355449</v>
        <stp/>
        <stp>EM_S_RATIO_EPS_TTM</stp>
        <stp>3</stp>
        <stp>000920</stp>
        <stp>12/31/2018</stp>
        <stp>1</stp>
        <tr r="U969" s="1"/>
      </tp>
      <tp>
        <v>-1.0993637560612419</v>
        <stp/>
        <stp>EM_S_RATIO_EPS_TTM</stp>
        <stp>3</stp>
        <stp>000820</stp>
        <stp>12/31/2018</stp>
        <stp>1</stp>
        <tr r="U3549" s="1"/>
      </tp>
      <tp>
        <v>0.2351494186130447</v>
        <stp/>
        <stp>EM_S_RATIO_EPS_TTM</stp>
        <stp>3</stp>
        <stp>600840</stp>
        <stp>12/31/2018</stp>
        <stp>1</stp>
        <tr r="U2329" s="1"/>
      </tp>
      <tp>
        <v>1.4913352589999999E-3</v>
        <stp/>
        <stp>EM_S_FA_ASSETSTURN</stp>
        <stp>3</stp>
        <stp>000594</stp>
        <stp>12/31/2018</stp>
        <stp>1</stp>
        <tr r="K3474" s="1"/>
      </tp>
      <tp>
        <v>0.98828420915000004</v>
        <stp/>
        <stp>EM_S_FA_ASSETSTURN</stp>
        <stp>3</stp>
        <stp>002394</stp>
        <stp>12/31/2018</stp>
        <stp>1</stp>
        <tr r="K2636" s="1"/>
      </tp>
      <tp>
        <v>0.62994347899199998</v>
        <stp/>
        <stp>EM_S_FA_ASSETSTURN</stp>
        <stp>3</stp>
        <stp>002294</stp>
        <stp>12/31/2018</stp>
        <stp>1</stp>
        <tr r="K2519" s="1"/>
      </tp>
      <tp>
        <v>0.58073042508700001</v>
        <stp/>
        <stp>EM_S_FA_ASSETSTURN</stp>
        <stp>3</stp>
        <stp>002194</stp>
        <stp>12/31/2018</stp>
        <stp>1</stp>
        <tr r="K48" s="1"/>
      </tp>
      <tp>
        <v>1.0317027158959999</v>
        <stp/>
        <stp>EM_S_FA_ASSETSTURN</stp>
        <stp>3</stp>
        <stp>002094</stp>
        <stp>12/31/2018</stp>
        <stp>1</stp>
        <tr r="K2354" s="1"/>
      </tp>
      <tp>
        <v>0.60616476673300002</v>
        <stp/>
        <stp>EM_S_FA_ASSETSTURN</stp>
        <stp>3</stp>
        <stp>002694</stp>
        <stp>12/31/2018</stp>
        <stp>1</stp>
        <tr r="K3113" s="1"/>
      </tp>
      <tp>
        <v>0.69796082360800005</v>
        <stp/>
        <stp>EM_S_FA_ASSETSTURN</stp>
        <stp>3</stp>
        <stp>002594</stp>
        <stp>12/31/2018</stp>
        <stp>1</stp>
        <tr r="K2634" s="1"/>
      </tp>
      <tp>
        <v>0.19175074778699999</v>
        <stp/>
        <stp>EM_S_FA_ASSETSTURN</stp>
        <stp>3</stp>
        <stp>002494</stp>
        <stp>12/31/2018</stp>
        <stp>1</stp>
        <tr r="K2654" s="1"/>
      </tp>
      <tp>
        <v>0.95027881119787994</v>
        <stp/>
        <stp>EM_S_RATIO_EPS_TTM</stp>
        <stp>3</stp>
        <stp>603043</stp>
        <stp>12/31/2018</stp>
        <stp>1</stp>
        <tr r="U1672" s="1"/>
      </tp>
      <tp>
        <v>0.17444093799296503</v>
        <stp/>
        <stp>EM_S_RATIO_EPS_TTM</stp>
        <stp>3</stp>
        <stp>603843</stp>
        <stp>12/31/2018</stp>
        <stp>1</stp>
        <tr r="U3316" s="1"/>
      </tp>
      <tp>
        <v>9.6928530918957492E-2</v>
        <stp/>
        <stp>EM_S_RATIO_EPS_TTM</stp>
        <stp>3</stp>
        <stp>002123</stp>
        <stp>12/31/2018</stp>
        <stp>1</stp>
        <tr r="U78" s="1"/>
      </tp>
      <tp>
        <v>8.4632280479158925E-2</v>
        <stp/>
        <stp>EM_S_RATIO_EPS_TTM</stp>
        <stp>3</stp>
        <stp>002023</stp>
        <stp>12/31/2018</stp>
        <stp>1</stp>
        <tr r="U1575" s="1"/>
      </tp>
      <tp>
        <v>-0.6167627978040342</v>
        <stp/>
        <stp>EM_S_RATIO_EPS_TTM</stp>
        <stp>3</stp>
        <stp>002323</stp>
        <stp>12/31/2018</stp>
        <stp>1</stp>
        <tr r="U80" s="1"/>
      </tp>
      <tp>
        <v>0.72535768297965497</v>
        <stp/>
        <stp>EM_S_RATIO_EPS_TTM</stp>
        <stp>3</stp>
        <stp>002223</stp>
        <stp>12/31/2018</stp>
        <stp>1</stp>
        <tr r="U2176" s="1"/>
      </tp>
      <tp>
        <v>7.5458533369926944E-2</v>
        <stp/>
        <stp>EM_S_RATIO_EPS_TTM</stp>
        <stp>3</stp>
        <stp>002523</stp>
        <stp>12/31/2018</stp>
        <stp>1</stp>
        <tr r="U2054" s="1"/>
      </tp>
      <tp>
        <v>-0.22407124940035925</v>
        <stp/>
        <stp>EM_S_RATIO_EPS_TTM</stp>
        <stp>3</stp>
        <stp>002423</stp>
        <stp>12/31/2018</stp>
        <stp>1</stp>
        <tr r="U1697" s="1"/>
      </tp>
      <tp>
        <v>-0.47290769288369899</v>
        <stp/>
        <stp>EM_S_RATIO_EPS_TTM</stp>
        <stp>3</stp>
        <stp>002723</stp>
        <stp>12/31/2018</stp>
        <stp>1</stp>
        <tr r="U2029" s="1"/>
      </tp>
      <tp>
        <v>0.49519925218749994</v>
        <stp/>
        <stp>EM_S_RATIO_EPS_TTM</stp>
        <stp>3</stp>
        <stp>002623</stp>
        <stp>12/31/2018</stp>
        <stp>1</stp>
        <tr r="U556" s="1"/>
      </tp>
      <tp>
        <v>0.89036969108333341</v>
        <stp/>
        <stp>EM_S_RATIO_EPS_TTM</stp>
        <stp>3</stp>
        <stp>002923</stp>
        <stp>12/31/2018</stp>
        <stp>1</stp>
        <tr r="U3191" s="1"/>
      </tp>
      <tp>
        <v>0.38942183670329911</v>
        <stp/>
        <stp>EM_S_RATIO_EPS_TTM</stp>
        <stp>3</stp>
        <stp>002823</stp>
        <stp>12/31/2018</stp>
        <stp>1</stp>
        <tr r="U2753" s="1"/>
      </tp>
      <tp>
        <v>0.46327378184280044</v>
        <stp/>
        <stp>EM_S_RATIO_EPS_TTM</stp>
        <stp>3</stp>
        <stp>300113</stp>
        <stp>12/31/2018</stp>
        <stp>1</stp>
        <tr r="U165" s="1"/>
      </tp>
      <tp>
        <v>0.22969950544695078</v>
        <stp/>
        <stp>EM_S_RATIO_EPS_TTM</stp>
        <stp>3</stp>
        <stp>600143</stp>
        <stp>12/31/2018</stp>
        <stp>1</stp>
        <tr r="U610" s="1"/>
      </tp>
      <tp>
        <v>0.18968865335353566</v>
        <stp/>
        <stp>EM_S_RATIO_EPS_TTM</stp>
        <stp>3</stp>
        <stp>000023</stp>
        <stp>12/31/2018</stp>
        <stp>1</stp>
        <tr r="U2109" s="1"/>
      </tp>
      <tp>
        <v>0.2168755337838657</v>
        <stp/>
        <stp>EM_S_RATIO_EPS_TTM</stp>
        <stp>3</stp>
        <stp>300013</stp>
        <stp>12/31/2018</stp>
        <stp>1</stp>
        <tr r="U2628" s="1"/>
      </tp>
      <tp>
        <v>-6.2168834832084805</v>
        <stp/>
        <stp>EM_S_RATIO_EPS_TTM</stp>
        <stp>3</stp>
        <stp>300313</stp>
        <stp>12/31/2018</stp>
        <stp>1</stp>
        <tr r="U2939" s="1"/>
      </tp>
      <tp>
        <v>3.6084005372506889E-2</v>
        <stp/>
        <stp>EM_S_RATIO_EPS_TTM</stp>
        <stp>3</stp>
        <stp>600343</stp>
        <stp>12/31/2018</stp>
        <stp>1</stp>
        <tr r="U1225" s="1"/>
      </tp>
      <tp>
        <v>0.21869229846194785</v>
        <stp/>
        <stp>EM_S_RATIO_EPS_TTM</stp>
        <stp>3</stp>
        <stp>300213</stp>
        <stp>12/31/2018</stp>
        <stp>1</stp>
        <tr r="U1437" s="1"/>
      </tp>
      <tp>
        <v>-0.47214295258060845</v>
        <stp/>
        <stp>EM_S_RATIO_EPS_TTM</stp>
        <stp>3</stp>
        <stp>600243</stp>
        <stp>12/31/2018</stp>
        <stp>1</stp>
        <tr r="U1495" s="1"/>
      </tp>
      <tp>
        <v>5.3052538620969217E-2</v>
        <stp/>
        <stp>EM_S_RATIO_EPS_TTM</stp>
        <stp>3</stp>
        <stp>000523</stp>
        <stp>12/31/2018</stp>
        <stp>1</stp>
        <tr r="U204" s="1"/>
      </tp>
      <tp>
        <v>0.67467876780469771</v>
        <stp/>
        <stp>EM_S_RATIO_EPS_TTM</stp>
        <stp>3</stp>
        <stp>300513</stp>
        <stp>12/31/2018</stp>
        <stp>1</stp>
        <tr r="U3312" s="1"/>
      </tp>
      <tp>
        <v>8.4847989287493777E-2</v>
        <stp/>
        <stp>EM_S_RATIO_EPS_TTM</stp>
        <stp>3</stp>
        <stp>600543</stp>
        <stp>12/31/2018</stp>
        <stp>1</stp>
        <tr r="U2825" s="1"/>
      </tp>
      <tp>
        <v>3.187763605237361</v>
        <stp/>
        <stp>EM_S_RATIO_EPS_TTM</stp>
        <stp>3</stp>
        <stp>000423</stp>
        <stp>12/31/2018</stp>
        <stp>1</stp>
        <tr r="U3424" s="1"/>
      </tp>
      <tp>
        <v>0.87429087967383023</v>
        <stp/>
        <stp>EM_S_RATIO_EPS_TTM</stp>
        <stp>3</stp>
        <stp>300413</stp>
        <stp>12/31/2018</stp>
        <stp>1</stp>
        <tr r="U2612" s="1"/>
      </tp>
      <tp>
        <v>0.43926663771665059</v>
        <stp/>
        <stp>EM_S_RATIO_EPS_TTM</stp>
        <stp>3</stp>
        <stp>000723</stp>
        <stp>12/31/2018</stp>
        <stp>1</stp>
        <tr r="U44" s="1"/>
      </tp>
      <tp>
        <v>0.12561044538562091</v>
        <stp/>
        <stp>EM_S_RATIO_EPS_TTM</stp>
        <stp>3</stp>
        <stp>300713</stp>
        <stp>12/31/2018</stp>
        <stp>1</stp>
        <tr r="U3292" s="1"/>
      </tp>
      <tp>
        <v>0.3196629913194432</v>
        <stp/>
        <stp>EM_S_RATIO_EPS_TTM</stp>
        <stp>3</stp>
        <stp>600743</stp>
        <stp>12/31/2018</stp>
        <stp>1</stp>
        <tr r="U2138" s="1"/>
      </tp>
      <tp>
        <v>0.80427024557317517</v>
        <stp/>
        <stp>EM_S_RATIO_EPS_TTM</stp>
        <stp>3</stp>
        <stp>000623</stp>
        <stp>12/31/2018</stp>
        <stp>1</stp>
        <tr r="U1489" s="1"/>
      </tp>
      <tp>
        <v>1.2026426364697602</v>
        <stp/>
        <stp>EM_S_RATIO_EPS_TTM</stp>
        <stp>3</stp>
        <stp>300613</stp>
        <stp>12/31/2018</stp>
        <stp>1</stp>
        <tr r="U258" s="1"/>
      </tp>
      <tp>
        <v>0.71401975709871979</v>
        <stp/>
        <stp>EM_S_RATIO_EPS_TTM</stp>
        <stp>3</stp>
        <stp>600643</stp>
        <stp>12/31/2018</stp>
        <stp>1</stp>
        <tr r="U1527" s="1"/>
      </tp>
      <tp>
        <v>0.20551840531862045</v>
        <stp/>
        <stp>EM_S_RATIO_EPS_TTM</stp>
        <stp>3</stp>
        <stp>000923</stp>
        <stp>12/31/2018</stp>
        <stp>1</stp>
        <tr r="U3577" s="1"/>
      </tp>
      <tp>
        <v>0.50253374777918902</v>
        <stp/>
        <stp>EM_S_RATIO_EPS_TTM</stp>
        <stp>3</stp>
        <stp>000823</stp>
        <stp>12/31/2018</stp>
        <stp>1</stp>
        <tr r="U267" s="1"/>
      </tp>
      <tp>
        <v>0.25670929087973959</v>
        <stp/>
        <stp>EM_S_RATIO_EPS_TTM</stp>
        <stp>3</stp>
        <stp>600843</stp>
        <stp>12/31/2018</stp>
        <stp>1</stp>
        <tr r="U1525" s="1"/>
      </tp>
      <tp>
        <v>0.106023309831</v>
        <stp/>
        <stp>EM_S_FA_ASSETSTURN</stp>
        <stp>3</stp>
        <stp>000995</stp>
        <stp>12/31/2018</stp>
        <stp>1</stp>
        <tr r="K3601" s="1"/>
      </tp>
      <tp>
        <v>2.1538351111699998</v>
        <stp/>
        <stp>EM_S_FA_ASSETSTURN</stp>
        <stp>3</stp>
        <stp>000895</stp>
        <stp>12/31/2018</stp>
        <stp>1</stp>
        <tr r="K3567" s="1"/>
      </tp>
      <tp>
        <v>0.77915881015400001</v>
        <stp/>
        <stp>EM_S_FA_ASSETSTURN</stp>
        <stp>3</stp>
        <stp>000795</stp>
        <stp>12/31/2018</stp>
        <stp>1</stp>
        <tr r="K292" s="1"/>
      </tp>
      <tp>
        <v>0.80989879010700006</v>
        <stp/>
        <stp>EM_S_FA_ASSETSTURN</stp>
        <stp>3</stp>
        <stp>000695</stp>
        <stp>12/31/2018</stp>
        <stp>1</stp>
        <tr r="K2992" s="1"/>
      </tp>
      <tp>
        <v>0.23318323626199999</v>
        <stp/>
        <stp>EM_S_FA_ASSETSTURN</stp>
        <stp>3</stp>
        <stp>000595</stp>
        <stp>12/31/2018</stp>
        <stp>1</stp>
        <tr r="K3475" s="1"/>
      </tp>
      <tp>
        <v>0.51310426343799997</v>
        <stp/>
        <stp>EM_S_FA_ASSETSTURN</stp>
        <stp>3</stp>
        <stp>002895</stp>
        <stp>12/31/2018</stp>
        <stp>1</stp>
        <tr r="K2097" s="1"/>
      </tp>
      <tp>
        <v>1.075109881315</v>
        <stp/>
        <stp>EM_S_FA_ASSETSTURN</stp>
        <stp>3</stp>
        <stp>002395</stp>
        <stp>12/31/2018</stp>
        <stp>1</stp>
        <tr r="K101" s="1"/>
      </tp>
      <tp>
        <v>3.007703147655</v>
        <stp/>
        <stp>EM_S_FA_ASSETSTURN</stp>
        <stp>3</stp>
        <stp>002295</stp>
        <stp>12/31/2018</stp>
        <stp>1</stp>
        <tr r="K2213" s="1"/>
      </tp>
      <tp>
        <v>0.360314134397</v>
        <stp/>
        <stp>EM_S_FA_ASSETSTURN</stp>
        <stp>3</stp>
        <stp>002195</stp>
        <stp>12/31/2018</stp>
        <stp>1</stp>
        <tr r="K2857" s="1"/>
      </tp>
      <tp>
        <v>0.30614883202499998</v>
        <stp/>
        <stp>EM_S_FA_ASSETSTURN</stp>
        <stp>3</stp>
        <stp>002095</stp>
        <stp>12/31/2018</stp>
        <stp>1</stp>
        <tr r="K1584" s="1"/>
      </tp>
      <tp>
        <v>0.84857274013799999</v>
        <stp/>
        <stp>EM_S_FA_ASSETSTURN</stp>
        <stp>3</stp>
        <stp>002795</stp>
        <stp>12/31/2018</stp>
        <stp>1</stp>
        <tr r="K2685" s="1"/>
      </tp>
      <tp>
        <v>0.82952417275599999</v>
        <stp/>
        <stp>EM_S_FA_ASSETSTURN</stp>
        <stp>3</stp>
        <stp>002695</stp>
        <stp>12/31/2018</stp>
        <stp>1</stp>
        <tr r="K430" s="1"/>
      </tp>
      <tp>
        <v>0.73231398975200002</v>
        <stp/>
        <stp>EM_S_FA_ASSETSTURN</stp>
        <stp>3</stp>
        <stp>002595</stp>
        <stp>12/31/2018</stp>
        <stp>1</stp>
        <tr r="K1354" s="1"/>
      </tp>
      <tp>
        <v>0.25386982933500002</v>
        <stp/>
        <stp>EM_S_FA_ASSETSTURN</stp>
        <stp>3</stp>
        <stp>002495</stp>
        <stp>12/31/2018</stp>
        <stp>1</stp>
        <tr r="K2707" s="1"/>
      </tp>
      <tp>
        <v>-0.79572799415879425</v>
        <stp/>
        <stp>EM_S_RATIO_EPS_TTM</stp>
        <stp>3</stp>
        <stp>603042</stp>
        <stp>12/31/2018</stp>
        <stp>1</stp>
        <tr r="U2387" s="1"/>
      </tp>
      <tp>
        <v>-0.53449113890572386</v>
        <stp/>
        <stp>EM_S_RATIO_EPS_TTM</stp>
        <stp>3</stp>
        <stp>002122</stp>
        <stp>12/31/2018</stp>
        <stp>1</stp>
        <tr r="U3640" s="1"/>
      </tp>
      <tp>
        <v>0.40327851959001465</v>
        <stp/>
        <stp>EM_S_RATIO_EPS_TTM</stp>
        <stp>3</stp>
        <stp>002022</stp>
        <stp>12/31/2018</stp>
        <stp>1</stp>
        <tr r="U1340" s="1"/>
      </tp>
      <tp>
        <v>0.64680603071321097</v>
        <stp/>
        <stp>EM_S_RATIO_EPS_TTM</stp>
        <stp>3</stp>
        <stp>002322</stp>
        <stp>12/31/2018</stp>
        <stp>1</stp>
        <tr r="U932" s="1"/>
      </tp>
      <tp>
        <v>0.35182854650292394</v>
        <stp/>
        <stp>EM_S_RATIO_EPS_TTM</stp>
        <stp>3</stp>
        <stp>002222</stp>
        <stp>12/31/2018</stp>
        <stp>1</stp>
        <tr r="U1041" s="1"/>
      </tp>
      <tp>
        <v>3.9652045029370933E-2</v>
        <stp/>
        <stp>EM_S_RATIO_EPS_TTM</stp>
        <stp>3</stp>
        <stp>002522</stp>
        <stp>12/31/2018</stp>
        <stp>1</stp>
        <tr r="U1044" s="1"/>
      </tp>
      <tp>
        <v>0.84241277900997014</v>
        <stp/>
        <stp>EM_S_RATIO_EPS_TTM</stp>
        <stp>3</stp>
        <stp>002422</stp>
        <stp>12/31/2018</stp>
        <stp>1</stp>
        <tr r="U1614" s="1"/>
      </tp>
      <tp>
        <v>0.69269807220569712</v>
        <stp/>
        <stp>EM_S_RATIO_EPS_TTM</stp>
        <stp>3</stp>
        <stp>002722</stp>
        <stp>12/31/2018</stp>
        <stp>1</stp>
        <tr r="U1754" s="1"/>
      </tp>
      <tp>
        <v>4.3860998571428569E-2</v>
        <stp/>
        <stp>EM_S_RATIO_EPS_TTM</stp>
        <stp>3</stp>
        <stp>002622</stp>
        <stp>12/31/2018</stp>
        <stp>1</stp>
        <tr r="U1510" s="1"/>
      </tp>
      <tp>
        <v>0.31506352498193557</v>
        <stp/>
        <stp>EM_S_RATIO_EPS_TTM</stp>
        <stp>3</stp>
        <stp>002922</stp>
        <stp>12/31/2018</stp>
        <stp>1</stp>
        <tr r="U2884" s="1"/>
      </tp>
      <tp>
        <v>0.2784845672166667</v>
        <stp/>
        <stp>EM_S_RATIO_EPS_TTM</stp>
        <stp>3</stp>
        <stp>002822</stp>
        <stp>12/31/2018</stp>
        <stp>1</stp>
        <tr r="U219" s="1"/>
      </tp>
      <tp>
        <v>0.19645867582754836</v>
        <stp/>
        <stp>EM_S_RATIO_EPS_TTM</stp>
        <stp>3</stp>
        <stp>300112</stp>
        <stp>12/31/2018</stp>
        <stp>1</stp>
        <tr r="U580" s="1"/>
      </tp>
      <tp>
        <v>0.60801348543497113</v>
        <stp/>
        <stp>EM_S_RATIO_EPS_TTM</stp>
        <stp>3</stp>
        <stp>000022</stp>
        <stp>12/31/2018</stp>
        <stp>1</stp>
        <tr r="U3" s="1"/>
      </tp>
      <tp>
        <v>0.16288306246734199</v>
        <stp/>
        <stp>EM_S_RATIO_EPS_TTM</stp>
        <stp>3</stp>
        <stp>300012</stp>
        <stp>12/31/2018</stp>
        <stp>1</stp>
        <tr r="U112" s="1"/>
      </tp>
      <tp>
        <v>-1.3809501600112486</v>
        <stp/>
        <stp>EM_S_RATIO_EPS_TTM</stp>
        <stp>3</stp>
        <stp>300312</stp>
        <stp>12/31/2018</stp>
        <stp>1</stp>
        <tr r="U3298" s="1"/>
      </tp>
      <tp>
        <v>0.66903826969368341</v>
        <stp/>
        <stp>EM_S_RATIO_EPS_TTM</stp>
        <stp>3</stp>
        <stp>300212</stp>
        <stp>12/31/2018</stp>
        <stp>1</stp>
        <tr r="U426" s="1"/>
      </tp>
      <tp>
        <v>0.26578299185283522</v>
        <stp/>
        <stp>EM_S_RATIO_EPS_TTM</stp>
        <stp>3</stp>
        <stp>600242</stp>
        <stp>12/31/2018</stp>
        <stp>1</stp>
        <tr r="U3360" s="1"/>
      </tp>
      <tp>
        <v>0.74395445225887558</v>
        <stp/>
        <stp>EM_S_RATIO_EPS_TTM</stp>
        <stp>3</stp>
        <stp>000522</stp>
        <stp>12/31/2018</stp>
        <stp>1</stp>
        <tr r="U3442" s="1"/>
      </tp>
      <tp>
        <v>0.69039587437037042</v>
        <stp/>
        <stp>EM_S_RATIO_EPS_TTM</stp>
        <stp>3</stp>
        <stp>300512</stp>
        <stp>12/31/2018</stp>
        <stp>1</stp>
        <tr r="U2554" s="1"/>
      </tp>
      <tp>
        <v>0.29935065919895693</v>
        <stp/>
        <stp>EM_S_RATIO_EPS_TTM</stp>
        <stp>3</stp>
        <stp>000422</stp>
        <stp>12/31/2018</stp>
        <stp>1</stp>
        <tr r="U2350" s="1"/>
      </tp>
      <tp>
        <v>0.12936639217013682</v>
        <stp/>
        <stp>EM_S_RATIO_EPS_TTM</stp>
        <stp>3</stp>
        <stp>300412</stp>
        <stp>12/31/2018</stp>
        <stp>1</stp>
        <tr r="U2243" s="1"/>
      </tp>
      <tp>
        <v>0.20384214085832042</v>
        <stp/>
        <stp>EM_S_RATIO_EPS_TTM</stp>
        <stp>3</stp>
        <stp>000722</stp>
        <stp>12/31/2018</stp>
        <stp>1</stp>
        <tr r="U1665" s="1"/>
      </tp>
      <tp>
        <v>0.52493813099657338</v>
        <stp/>
        <stp>EM_S_RATIO_EPS_TTM</stp>
        <stp>3</stp>
        <stp>300712</stp>
        <stp>12/31/2018</stp>
        <stp>1</stp>
        <tr r="U3068" s="1"/>
      </tp>
      <tp>
        <v>0.9744659242783541</v>
        <stp/>
        <stp>EM_S_RATIO_EPS_TTM</stp>
        <stp>3</stp>
        <stp>600742</stp>
        <stp>12/31/2018</stp>
        <stp>1</stp>
        <tr r="U1197" s="1"/>
      </tp>
      <tp>
        <v>7.4140093503219468E-3</v>
        <stp/>
        <stp>EM_S_RATIO_EPS_TTM</stp>
        <stp>3</stp>
        <stp>000622</stp>
        <stp>12/31/2018</stp>
        <stp>1</stp>
        <tr r="U3279" s="1"/>
      </tp>
      <tp>
        <v>0.13001285932098766</v>
        <stp/>
        <stp>EM_S_RATIO_EPS_TTM</stp>
        <stp>3</stp>
        <stp>300612</stp>
        <stp>12/31/2018</stp>
        <stp>1</stp>
        <tr r="U1593" s="1"/>
      </tp>
      <tp>
        <v>0.4011245212242629</v>
        <stp/>
        <stp>EM_S_RATIO_EPS_TTM</stp>
        <stp>3</stp>
        <stp>600642</stp>
        <stp>12/31/2018</stp>
        <stp>1</stp>
        <tr r="U1343" s="1"/>
      </tp>
      <tp>
        <v>0.56887698739214221</v>
        <stp/>
        <stp>EM_S_RATIO_EPS_TTM</stp>
        <stp>3</stp>
        <stp>000922</stp>
        <stp>12/31/2018</stp>
        <stp>1</stp>
        <tr r="U1487" s="1"/>
      </tp>
      <tp>
        <v>0.65529255137086329</v>
        <stp/>
        <stp>EM_S_RATIO_EPS_TTM</stp>
        <stp>3</stp>
        <stp>000822</stp>
        <stp>12/31/2018</stp>
        <stp>1</stp>
        <tr r="U2171" s="1"/>
      </tp>
      <tp>
        <v>0.15858740761388543</v>
        <stp/>
        <stp>EM_S_RATIO_EPS_TTM</stp>
        <stp>3</stp>
        <stp>600842</stp>
        <stp>12/31/2018</stp>
        <stp>1</stp>
        <tr r="U2330" s="1"/>
      </tp>
      <tp t="s">
        <v>1997-03-10</v>
        <stp/>
        <stp>EM_S_IPO_LISTEDDATE</stp>
        <stp>1</stp>
        <stp>000699</stp>
        <tr r="AT3515" s="1"/>
      </tp>
      <tp t="s">
        <v>2012-09-11</v>
        <stp/>
        <stp>EM_S_IPO_LISTEDDATE</stp>
        <stp>1</stp>
        <stp>002699</stp>
        <tr r="AT1025" s="1"/>
      </tp>
      <tp t="s">
        <v>1997-02-20</v>
        <stp/>
        <stp>EM_S_IPO_LISTEDDATE</stp>
        <stp>1</stp>
        <stp>000698</stp>
        <tr r="AT3514" s="1"/>
      </tp>
      <tp t="s">
        <v>2012-09-11</v>
        <stp/>
        <stp>EM_S_IPO_LISTEDDATE</stp>
        <stp>1</stp>
        <stp>002698</stp>
        <tr r="AT1301" s="1"/>
      </tp>
      <tp t="s">
        <v>1997-02-18</v>
        <stp/>
        <stp>EM_S_IPO_LISTEDDATE</stp>
        <stp>1</stp>
        <stp>000695</stp>
        <tr r="AT2992" s="1"/>
      </tp>
      <tp t="s">
        <v>2012-09-05</v>
        <stp/>
        <stp>EM_S_IPO_LISTEDDATE</stp>
        <stp>1</stp>
        <stp>002695</stp>
        <tr r="AT430" s="1"/>
      </tp>
      <tp t="s">
        <v>2012-08-16</v>
        <stp/>
        <stp>EM_S_IPO_LISTEDDATE</stp>
        <stp>1</stp>
        <stp>002694</stp>
        <tr r="AT3113" s="1"/>
      </tp>
      <tp t="s">
        <v>1997-03-25</v>
        <stp/>
        <stp>EM_S_IPO_LISTEDDATE</stp>
        <stp>1</stp>
        <stp>000697</stp>
        <tr r="AT2913" s="1"/>
      </tp>
      <tp t="s">
        <v>2012-09-05</v>
        <stp/>
        <stp>EM_S_IPO_LISTEDDATE</stp>
        <stp>1</stp>
        <stp>002697</stp>
        <tr r="AT629" s="1"/>
      </tp>
      <tp t="s">
        <v>1997-03-06</v>
        <stp/>
        <stp>EM_S_IPO_LISTEDDATE</stp>
        <stp>1</stp>
        <stp>001696</stp>
        <tr r="AT863" s="1"/>
      </tp>
      <tp t="s">
        <v>2012-09-05</v>
        <stp/>
        <stp>EM_S_IPO_LISTEDDATE</stp>
        <stp>1</stp>
        <stp>002696</stp>
        <tr r="AT3242" s="1"/>
      </tp>
      <tp t="s">
        <v>1997-02-28</v>
        <stp/>
        <stp>EM_S_IPO_LISTEDDATE</stp>
        <stp>1</stp>
        <stp>000691</stp>
        <tr r="AT3512" s="1"/>
      </tp>
      <tp t="s">
        <v>2012-07-31</v>
        <stp/>
        <stp>EM_S_IPO_LISTEDDATE</stp>
        <stp>1</stp>
        <stp>002691</stp>
        <tr r="AT3060" s="1"/>
      </tp>
      <tp t="s">
        <v>1997-01-28</v>
        <stp/>
        <stp>EM_S_IPO_LISTEDDATE</stp>
        <stp>1</stp>
        <stp>000690</stp>
        <tr r="AT2957" s="1"/>
      </tp>
      <tp t="s">
        <v>2012-07-31</v>
        <stp/>
        <stp>EM_S_IPO_LISTEDDATE</stp>
        <stp>1</stp>
        <stp>002690</stp>
        <tr r="AT233" s="1"/>
      </tp>
      <tp t="s">
        <v>1997-02-26</v>
        <stp/>
        <stp>EM_S_IPO_LISTEDDATE</stp>
        <stp>1</stp>
        <stp>000693</stp>
        <tr r="AT3513" s="1"/>
      </tp>
      <tp t="s">
        <v>2012-08-08</v>
        <stp/>
        <stp>EM_S_IPO_LISTEDDATE</stp>
        <stp>1</stp>
        <stp>002693</stp>
        <tr r="AT1309" s="1"/>
      </tp>
      <tp t="s">
        <v>1997-02-27</v>
        <stp/>
        <stp>EM_S_IPO_LISTEDDATE</stp>
        <stp>1</stp>
        <stp>000692</stp>
        <tr r="AT1493" s="1"/>
      </tp>
      <tp t="s">
        <v>2012-08-08</v>
        <stp/>
        <stp>EM_S_IPO_LISTEDDATE</stp>
        <stp>1</stp>
        <stp>002692</stp>
        <tr r="AT2695" s="1"/>
      </tp>
      <tp t="s">
        <v>1996-12-31</v>
        <stp/>
        <stp>EM_S_IPO_LISTEDDATE</stp>
        <stp>1</stp>
        <stp>000689</stp>
        <tr r="AT3511" s="1"/>
      </tp>
      <tp t="s">
        <v>2012-07-17</v>
        <stp/>
        <stp>EM_S_IPO_LISTEDDATE</stp>
        <stp>1</stp>
        <stp>002689</stp>
        <tr r="AT1692" s="1"/>
      </tp>
      <tp t="s">
        <v>1997-01-20</v>
        <stp/>
        <stp>EM_S_IPO_LISTEDDATE</stp>
        <stp>1</stp>
        <stp>000688</stp>
        <tr r="AT3510" s="1"/>
      </tp>
      <tp t="s">
        <v>2012-07-13</v>
        <stp/>
        <stp>EM_S_IPO_LISTEDDATE</stp>
        <stp>1</stp>
        <stp>002688</stp>
        <tr r="AT809" s="1"/>
      </tp>
      <tp t="s">
        <v>1997-01-23</v>
        <stp/>
        <stp>EM_S_IPO_LISTEDDATE</stp>
        <stp>1</stp>
        <stp>000685</stp>
        <tr r="AT1353" s="1"/>
      </tp>
      <tp t="s">
        <v>2012-06-12</v>
        <stp/>
        <stp>EM_S_IPO_LISTEDDATE</stp>
        <stp>1</stp>
        <stp>002685</stp>
        <tr r="AT775" s="1"/>
      </tp>
      <tp t="s">
        <v>2012-06-12</v>
        <stp/>
        <stp>EM_S_IPO_LISTEDDATE</stp>
        <stp>1</stp>
        <stp>002684</stp>
        <tr r="AT2556" s="1"/>
      </tp>
      <tp t="s">
        <v>1997-02-21</v>
        <stp/>
        <stp>EM_S_IPO_LISTEDDATE</stp>
        <stp>1</stp>
        <stp>000687</stp>
        <tr r="AT3509" s="1"/>
      </tp>
      <tp t="s">
        <v>2012-07-13</v>
        <stp/>
        <stp>EM_S_IPO_LISTEDDATE</stp>
        <stp>1</stp>
        <stp>002687</stp>
        <tr r="AT2607" s="1"/>
      </tp>
      <tp t="s">
        <v>1997-02-27</v>
        <stp/>
        <stp>EM_S_IPO_LISTEDDATE</stp>
        <stp>1</stp>
        <stp>000686</stp>
        <tr r="AT3508" s="1"/>
      </tp>
      <tp t="s">
        <v>2012-07-03</v>
        <stp/>
        <stp>EM_S_IPO_LISTEDDATE</stp>
        <stp>1</stp>
        <stp>002686</stp>
        <tr r="AT2783" s="1"/>
      </tp>
      <tp t="s">
        <v>1997-01-21</v>
        <stp/>
        <stp>EM_S_IPO_LISTEDDATE</stp>
        <stp>1</stp>
        <stp>000681</stp>
        <tr r="AT3208" s="1"/>
      </tp>
      <tp t="s">
        <v>2012-06-05</v>
        <stp/>
        <stp>EM_S_IPO_LISTEDDATE</stp>
        <stp>1</stp>
        <stp>002681</stp>
        <tr r="AT536" s="1"/>
      </tp>
      <tp t="s">
        <v>1997-01-22</v>
        <stp/>
        <stp>EM_S_IPO_LISTEDDATE</stp>
        <stp>1</stp>
        <stp>000680</stp>
        <tr r="AT1767" s="1"/>
      </tp>
      <tp t="s">
        <v>2012-06-05</v>
        <stp/>
        <stp>EM_S_IPO_LISTEDDATE</stp>
        <stp>1</stp>
        <stp>002680</stp>
        <tr r="AT3406" s="1"/>
      </tp>
      <tp t="s">
        <v>1997-01-31</v>
        <stp/>
        <stp>EM_S_IPO_LISTEDDATE</stp>
        <stp>1</stp>
        <stp>000683</stp>
        <tr r="AT3507" s="1"/>
      </tp>
      <tp t="s">
        <v>2012-06-12</v>
        <stp/>
        <stp>EM_S_IPO_LISTEDDATE</stp>
        <stp>1</stp>
        <stp>002683</stp>
        <tr r="AT111" s="1"/>
      </tp>
      <tp t="s">
        <v>1997-01-21</v>
        <stp/>
        <stp>EM_S_IPO_LISTEDDATE</stp>
        <stp>1</stp>
        <stp>000682</stp>
        <tr r="AT515" s="1"/>
      </tp>
      <tp t="s">
        <v>2012-06-12</v>
        <stp/>
        <stp>EM_S_IPO_LISTEDDATE</stp>
        <stp>1</stp>
        <stp>002682</stp>
        <tr r="AT2134" s="1"/>
      </tp>
      <tp t="s">
        <v>2017-08-09</v>
        <stp/>
        <stp>EM_S_IPO_LISTEDDATE</stp>
        <stp>1</stp>
        <stp>300689</stp>
        <tr r="AT977" s="1"/>
      </tp>
      <tp t="s">
        <v>2017-08-10</v>
        <stp/>
        <stp>EM_S_IPO_LISTEDDATE</stp>
        <stp>1</stp>
        <stp>300688</stp>
        <tr r="AT3329" s="1"/>
      </tp>
      <tp t="s">
        <v>2017-08-02</v>
        <stp/>
        <stp>EM_S_IPO_LISTEDDATE</stp>
        <stp>1</stp>
        <stp>300685</stp>
        <tr r="AT436" s="1"/>
      </tp>
      <tp t="s">
        <v>2017-12-27</v>
        <stp/>
        <stp>EM_S_IPO_LISTEDDATE</stp>
        <stp>1</stp>
        <stp>300684</stp>
        <tr r="AT2979" s="1"/>
      </tp>
      <tp t="s">
        <v>2017-08-03</v>
        <stp/>
        <stp>EM_S_IPO_LISTEDDATE</stp>
        <stp>1</stp>
        <stp>300687</stp>
        <tr r="AT3104" s="1"/>
      </tp>
      <tp t="s">
        <v>2017-08-04</v>
        <stp/>
        <stp>EM_S_IPO_LISTEDDATE</stp>
        <stp>1</stp>
        <stp>300686</stp>
        <tr r="AT205" s="1"/>
      </tp>
      <tp t="s">
        <v>2017-07-25</v>
        <stp/>
        <stp>EM_S_IPO_LISTEDDATE</stp>
        <stp>1</stp>
        <stp>300681</stp>
        <tr r="AT2417" s="1"/>
      </tp>
      <tp t="s">
        <v>2017-07-25</v>
        <stp/>
        <stp>EM_S_IPO_LISTEDDATE</stp>
        <stp>1</stp>
        <stp>300680</stp>
        <tr r="AT910" s="1"/>
      </tp>
      <tp t="s">
        <v>2017-08-08</v>
        <stp/>
        <stp>EM_S_IPO_LISTEDDATE</stp>
        <stp>1</stp>
        <stp>300683</stp>
        <tr r="AT1867" s="1"/>
      </tp>
      <tp t="s">
        <v>2017-08-01</v>
        <stp/>
        <stp>EM_S_IPO_LISTEDDATE</stp>
        <stp>1</stp>
        <stp>300682</stp>
        <tr r="AT782" s="1"/>
      </tp>
      <tp t="s">
        <v>2017-09-01</v>
        <stp/>
        <stp>EM_S_IPO_LISTEDDATE</stp>
        <stp>1</stp>
        <stp>300699</stp>
        <tr r="AT995" s="1"/>
      </tp>
      <tp t="s">
        <v>2017-08-31</v>
        <stp/>
        <stp>EM_S_IPO_LISTEDDATE</stp>
        <stp>1</stp>
        <stp>300698</stp>
        <tr r="AT2793" s="1"/>
      </tp>
      <tp t="s">
        <v>2017-09-08</v>
        <stp/>
        <stp>EM_S_IPO_LISTEDDATE</stp>
        <stp>1</stp>
        <stp>300695</stp>
        <tr r="AT1890" s="1"/>
      </tp>
      <tp t="s">
        <v>2017-09-07</v>
        <stp/>
        <stp>EM_S_IPO_LISTEDDATE</stp>
        <stp>1</stp>
        <stp>300697</stp>
        <tr r="AT772" s="1"/>
      </tp>
      <tp t="s">
        <v>2017-08-22</v>
        <stp/>
        <stp>EM_S_IPO_LISTEDDATE</stp>
        <stp>1</stp>
        <stp>300696</stp>
        <tr r="AT2215" s="1"/>
      </tp>
      <tp t="s">
        <v>2017-08-11</v>
        <stp/>
        <stp>EM_S_IPO_LISTEDDATE</stp>
        <stp>1</stp>
        <stp>300691</stp>
        <tr r="AT2974" s="1"/>
      </tp>
      <tp t="s">
        <v>2017-08-08</v>
        <stp/>
        <stp>EM_S_IPO_LISTEDDATE</stp>
        <stp>1</stp>
        <stp>300690</stp>
        <tr r="AT735" s="1"/>
      </tp>
      <tp t="s">
        <v>2017-08-22</v>
        <stp/>
        <stp>EM_S_IPO_LISTEDDATE</stp>
        <stp>1</stp>
        <stp>300693</stp>
        <tr r="AT2842" s="1"/>
      </tp>
      <tp t="s">
        <v>2017-08-21</v>
        <stp/>
        <stp>EM_S_IPO_LISTEDDATE</stp>
        <stp>1</stp>
        <stp>300692</stp>
        <tr r="AT2598" s="1"/>
      </tp>
      <tp t="s">
        <v>1993-12-06</v>
        <stp/>
        <stp>EM_S_IPO_LISTEDDATE</stp>
        <stp>1</stp>
        <stp>600699</stp>
        <tr r="AT3125" s="1"/>
      </tp>
      <tp t="s">
        <v>2006-09-22</v>
        <stp/>
        <stp>EM_S_IPO_LISTEDDATE</stp>
        <stp>1</stp>
        <stp>601699</stp>
        <tr r="AT1809" s="1"/>
      </tp>
      <tp t="s">
        <v>2014-01-17</v>
        <stp/>
        <stp>EM_S_IPO_LISTEDDATE</stp>
        <stp>1</stp>
        <stp>603699</stp>
        <tr r="AT1395" s="1"/>
      </tp>
      <tp t="s">
        <v>1993-12-06</v>
        <stp/>
        <stp>EM_S_IPO_LISTEDDATE</stp>
        <stp>1</stp>
        <stp>600698</stp>
        <tr r="AT3214" s="1"/>
      </tp>
      <tp t="s">
        <v>2015-01-28</v>
        <stp/>
        <stp>EM_S_IPO_LISTEDDATE</stp>
        <stp>1</stp>
        <stp>603698</stp>
        <tr r="AT2873" s="1"/>
      </tp>
      <tp t="s">
        <v>1993-11-22</v>
        <stp/>
        <stp>EM_S_IPO_LISTEDDATE</stp>
        <stp>1</stp>
        <stp>600695</stp>
        <tr r="AT307" s="1"/>
      </tp>
      <tp t="s">
        <v>1993-11-22</v>
        <stp/>
        <stp>EM_S_IPO_LISTEDDATE</stp>
        <stp>1</stp>
        <stp>600694</stp>
        <tr r="AT1594" s="1"/>
      </tp>
      <tp t="s">
        <v>1993-12-06</v>
        <stp/>
        <stp>EM_S_IPO_LISTEDDATE</stp>
        <stp>1</stp>
        <stp>600697</stp>
        <tr r="AT2616" s="1"/>
      </tp>
      <tp t="s">
        <v>1993-12-06</v>
        <stp/>
        <stp>EM_S_IPO_LISTEDDATE</stp>
        <stp>1</stp>
        <stp>600696</stp>
        <tr r="AT71" s="1"/>
      </tp>
      <tp t="s">
        <v>2015-12-09</v>
        <stp/>
        <stp>EM_S_IPO_LISTEDDATE</stp>
        <stp>1</stp>
        <stp>603696</stp>
        <tr r="AT2853" s="1"/>
      </tp>
      <tp t="s">
        <v>1993-11-19</v>
        <stp/>
        <stp>EM_S_IPO_LISTEDDATE</stp>
        <stp>1</stp>
        <stp>600691</stp>
        <tr r="AT2883" s="1"/>
      </tp>
      <tp t="s">
        <v>1993-11-19</v>
        <stp/>
        <stp>EM_S_IPO_LISTEDDATE</stp>
        <stp>1</stp>
        <stp>600690</stp>
        <tr r="AT748" s="1"/>
      </tp>
      <tp t="s">
        <v>2017-01-13</v>
        <stp/>
        <stp>EM_S_IPO_LISTEDDATE</stp>
        <stp>1</stp>
        <stp>603690</stp>
        <tr r="AT133" s="1"/>
      </tp>
      <tp t="s">
        <v>1993-11-22</v>
        <stp/>
        <stp>EM_S_IPO_LISTEDDATE</stp>
        <stp>1</stp>
        <stp>600693</stp>
        <tr r="AT2373" s="1"/>
      </tp>
      <tp t="s">
        <v>2018-07-03</v>
        <stp/>
        <stp>EM_S_IPO_LISTEDDATE</stp>
        <stp>1</stp>
        <stp>603693</stp>
        <tr r="AT3179" s="1"/>
      </tp>
      <tp t="s">
        <v>1993-11-19</v>
        <stp/>
        <stp>EM_S_IPO_LISTEDDATE</stp>
        <stp>1</stp>
        <stp>600692</stp>
        <tr r="AT2781" s="1"/>
      </tp>
      <tp t="s">
        <v>1993-11-08</v>
        <stp/>
        <stp>EM_S_IPO_LISTEDDATE</stp>
        <stp>1</stp>
        <stp>600689</stp>
        <tr r="AT2646" s="1"/>
      </tp>
      <tp t="s">
        <v>2015-03-19</v>
        <stp/>
        <stp>EM_S_IPO_LISTEDDATE</stp>
        <stp>1</stp>
        <stp>601689</stp>
        <tr r="AT1375" s="1"/>
      </tp>
      <tp t="s">
        <v>2017-01-10</v>
        <stp/>
        <stp>EM_S_IPO_LISTEDDATE</stp>
        <stp>1</stp>
        <stp>603689</stp>
        <tr r="AT2038" s="1"/>
      </tp>
      <tp t="s">
        <v>1993-11-08</v>
        <stp/>
        <stp>EM_S_IPO_LISTEDDATE</stp>
        <stp>1</stp>
        <stp>600688</stp>
        <tr r="AT3114" s="1"/>
      </tp>
      <tp t="s">
        <v>2010-02-26</v>
        <stp/>
        <stp>EM_S_IPO_LISTEDDATE</stp>
        <stp>1</stp>
        <stp>601688</stp>
        <tr r="AT1013" s="1"/>
      </tp>
      <tp t="s">
        <v>2014-10-31</v>
        <stp/>
        <stp>EM_S_IPO_LISTEDDATE</stp>
        <stp>1</stp>
        <stp>603688</stp>
        <tr r="AT342" s="1"/>
      </tp>
      <tp t="s">
        <v>1993-10-28</v>
        <stp/>
        <stp>EM_S_IPO_LISTEDDATE</stp>
        <stp>1</stp>
        <stp>600685</stp>
        <tr r="AT512" s="1"/>
      </tp>
      <tp t="s">
        <v>2017-11-27</v>
        <stp/>
        <stp>EM_S_IPO_LISTEDDATE</stp>
        <stp>1</stp>
        <stp>603685</stp>
        <tr r="AT2615" s="1"/>
      </tp>
      <tp t="s">
        <v>1993-10-28</v>
        <stp/>
        <stp>EM_S_IPO_LISTEDDATE</stp>
        <stp>1</stp>
        <stp>600684</stp>
        <tr r="AT2854" s="1"/>
      </tp>
      <tp t="s">
        <v>1993-11-08</v>
        <stp/>
        <stp>EM_S_IPO_LISTEDDATE</stp>
        <stp>1</stp>
        <stp>600687</stp>
        <tr r="AT3392" s="1"/>
      </tp>
      <tp t="s">
        <v>1993-11-08</v>
        <stp/>
        <stp>EM_S_IPO_LISTEDDATE</stp>
        <stp>1</stp>
        <stp>600686</stp>
        <tr r="AT2161" s="1"/>
      </tp>
      <tp t="s">
        <v>2015-01-26</v>
        <stp/>
        <stp>EM_S_IPO_LISTEDDATE</stp>
        <stp>1</stp>
        <stp>603686</stp>
        <tr r="AT2229" s="1"/>
      </tp>
      <tp t="s">
        <v>1993-10-18</v>
        <stp/>
        <stp>EM_S_IPO_LISTEDDATE</stp>
        <stp>1</stp>
        <stp>600681</stp>
        <tr r="AT3333" s="1"/>
      </tp>
      <tp t="s">
        <v>1993-10-18</v>
        <stp/>
        <stp>EM_S_IPO_LISTEDDATE</stp>
        <stp>1</stp>
        <stp>600680</stp>
        <tr r="AT2316" s="1"/>
      </tp>
      <tp t="s">
        <v>2018-02-27</v>
        <stp/>
        <stp>EM_S_IPO_LISTEDDATE</stp>
        <stp>1</stp>
        <stp>603680</stp>
        <tr r="AT3264" s="1"/>
      </tp>
      <tp t="s">
        <v>1993-10-25</v>
        <stp/>
        <stp>EM_S_IPO_LISTEDDATE</stp>
        <stp>1</stp>
        <stp>600683</stp>
        <tr r="AT2385" s="1"/>
      </tp>
      <tp t="s">
        <v>2017-10-20</v>
        <stp/>
        <stp>EM_S_IPO_LISTEDDATE</stp>
        <stp>1</stp>
        <stp>603683</stp>
        <tr r="AT2437" s="1"/>
      </tp>
      <tp t="s">
        <v>1993-10-18</v>
        <stp/>
        <stp>EM_S_IPO_LISTEDDATE</stp>
        <stp>1</stp>
        <stp>600682</stp>
        <tr r="AT1585" s="1"/>
      </tp>
      <tp t="s">
        <v>1996-10-23</v>
        <stp/>
        <stp>EM_S_IPO_LISTEDDATE</stp>
        <stp>1</stp>
        <stp>000619</stp>
        <tr r="AT1623" s="1"/>
      </tp>
      <tp t="s">
        <v>2017-03-24</v>
        <stp/>
        <stp>EM_S_IPO_LISTEDDATE</stp>
        <stp>1</stp>
        <stp>300629</stp>
        <tr r="AT1628" s="1"/>
      </tp>
      <tp t="s">
        <v>1993-10-08</v>
        <stp/>
        <stp>EM_S_IPO_LISTEDDATE</stp>
        <stp>1</stp>
        <stp>600679</stp>
        <tr r="AT1214" s="1"/>
      </tp>
      <tp t="s">
        <v>2011-09-29</v>
        <stp/>
        <stp>EM_S_IPO_LISTEDDATE</stp>
        <stp>1</stp>
        <stp>002619</stp>
        <tr r="AT2620" s="1"/>
      </tp>
      <tp t="s">
        <v>2017-06-21</v>
        <stp/>
        <stp>EM_S_IPO_LISTEDDATE</stp>
        <stp>1</stp>
        <stp>603679</stp>
        <tr r="AT247" s="1"/>
      </tp>
      <tp t="s">
        <v>1996-10-15</v>
        <stp/>
        <stp>EM_S_IPO_LISTEDDATE</stp>
        <stp>1</stp>
        <stp>000618</stp>
        <tr r="AT3485" s="1"/>
      </tp>
      <tp t="s">
        <v>2017-03-17</v>
        <stp/>
        <stp>EM_S_IPO_LISTEDDATE</stp>
        <stp>1</stp>
        <stp>300628</stp>
        <tr r="AT2626" s="1"/>
      </tp>
      <tp t="s">
        <v>1993-10-08</v>
        <stp/>
        <stp>EM_S_IPO_LISTEDDATE</stp>
        <stp>1</stp>
        <stp>600678</stp>
        <tr r="AT1034" s="1"/>
      </tp>
      <tp t="s">
        <v>2010-02-23</v>
        <stp/>
        <stp>EM_S_IPO_LISTEDDATE</stp>
        <stp>1</stp>
        <stp>601678</stp>
        <tr r="AT1202" s="1"/>
      </tp>
      <tp t="s">
        <v>2011-09-20</v>
        <stp/>
        <stp>EM_S_IPO_LISTEDDATE</stp>
        <stp>1</stp>
        <stp>002618</stp>
        <tr r="AT2739" s="1"/>
      </tp>
      <tp t="s">
        <v>2015-01-26</v>
        <stp/>
        <stp>EM_S_IPO_LISTEDDATE</stp>
        <stp>1</stp>
        <stp>603678</stp>
        <tr r="AT631" s="1"/>
      </tp>
      <tp t="s">
        <v>1996-10-16</v>
        <stp/>
        <stp>EM_S_IPO_LISTEDDATE</stp>
        <stp>1</stp>
        <stp>000615</stp>
        <tr r="AT3000" s="1"/>
      </tp>
      <tp t="s">
        <v>2017-03-17</v>
        <stp/>
        <stp>EM_S_IPO_LISTEDDATE</stp>
        <stp>1</stp>
        <stp>300625</stp>
        <tr r="AT1465" s="1"/>
      </tp>
      <tp t="s">
        <v>1993-09-24</v>
        <stp/>
        <stp>EM_S_IPO_LISTEDDATE</stp>
        <stp>1</stp>
        <stp>600675</stp>
        <tr r="AT2967" s="1"/>
      </tp>
      <tp t="s">
        <v>2011-09-09</v>
        <stp/>
        <stp>EM_S_IPO_LISTEDDATE</stp>
        <stp>1</stp>
        <stp>002615</stp>
        <tr r="AT1586" s="1"/>
      </tp>
      <tp t="s">
        <v>2018-01-18</v>
        <stp/>
        <stp>EM_S_IPO_LISTEDDATE</stp>
        <stp>1</stp>
        <stp>300624</stp>
        <tr r="AT1409" s="1"/>
      </tp>
      <tp t="s">
        <v>1993-09-24</v>
        <stp/>
        <stp>EM_S_IPO_LISTEDDATE</stp>
        <stp>1</stp>
        <stp>600674</stp>
        <tr r="AT1589" s="1"/>
      </tp>
      <tp t="s">
        <v>2011-09-09</v>
        <stp/>
        <stp>EM_S_IPO_LISTEDDATE</stp>
        <stp>1</stp>
        <stp>002614</stp>
        <tr r="AT3257" s="1"/>
      </tp>
      <tp t="s">
        <v>1996-10-22</v>
        <stp/>
        <stp>EM_S_IPO_LISTEDDATE</stp>
        <stp>1</stp>
        <stp>000617</stp>
        <tr r="AT1592" s="1"/>
      </tp>
      <tp t="s">
        <v>2017-03-21</v>
        <stp/>
        <stp>EM_S_IPO_LISTEDDATE</stp>
        <stp>1</stp>
        <stp>300627</stp>
        <tr r="AT908" s="1"/>
      </tp>
      <tp t="s">
        <v>1993-09-28</v>
        <stp/>
        <stp>EM_S_IPO_LISTEDDATE</stp>
        <stp>1</stp>
        <stp>600677</stp>
        <tr r="AT2619" s="1"/>
      </tp>
      <tp t="s">
        <v>2011-09-19</v>
        <stp/>
        <stp>EM_S_IPO_LISTEDDATE</stp>
        <stp>1</stp>
        <stp>601677</stp>
        <tr r="AT925" s="1"/>
      </tp>
      <tp t="s">
        <v>2011-09-20</v>
        <stp/>
        <stp>EM_S_IPO_LISTEDDATE</stp>
        <stp>1</stp>
        <stp>002617</stp>
        <tr r="AT760" s="1"/>
      </tp>
      <tp t="s">
        <v>2017-02-06</v>
        <stp/>
        <stp>EM_S_IPO_LISTEDDATE</stp>
        <stp>1</stp>
        <stp>603677</stp>
        <tr r="AT2785" s="1"/>
      </tp>
      <tp t="s">
        <v>1996-11-08</v>
        <stp/>
        <stp>EM_S_IPO_LISTEDDATE</stp>
        <stp>1</stp>
        <stp>000616</stp>
        <tr r="AT2228" s="1"/>
      </tp>
      <tp t="s">
        <v>2017-03-20</v>
        <stp/>
        <stp>EM_S_IPO_LISTEDDATE</stp>
        <stp>1</stp>
        <stp>300626</stp>
        <tr r="AT2555" s="1"/>
      </tp>
      <tp t="s">
        <v>1993-09-28</v>
        <stp/>
        <stp>EM_S_IPO_LISTEDDATE</stp>
        <stp>1</stp>
        <stp>600676</stp>
        <tr r="AT2345" s="1"/>
      </tp>
      <tp t="s">
        <v>2011-09-20</v>
        <stp/>
        <stp>EM_S_IPO_LISTEDDATE</stp>
        <stp>1</stp>
        <stp>002616</stp>
        <tr r="AT1661" s="1"/>
      </tp>
      <tp t="s">
        <v>2017-07-21</v>
        <stp/>
        <stp>EM_S_IPO_LISTEDDATE</stp>
        <stp>1</stp>
        <stp>603676</stp>
        <tr r="AT2673" s="1"/>
      </tp>
      <tp t="s">
        <v>1996-10-08</v>
        <stp/>
        <stp>EM_S_IPO_LISTEDDATE</stp>
        <stp>1</stp>
        <stp>000611</stp>
        <tr r="AT3483" s="1"/>
      </tp>
      <tp t="s">
        <v>2017-03-16</v>
        <stp/>
        <stp>EM_S_IPO_LISTEDDATE</stp>
        <stp>1</stp>
        <stp>300621</stp>
        <tr r="AT1811" s="1"/>
      </tp>
      <tp t="s">
        <v>1993-08-23</v>
        <stp/>
        <stp>EM_S_IPO_LISTEDDATE</stp>
        <stp>1</stp>
        <stp>600671</stp>
        <tr r="AT3131" s="1"/>
      </tp>
      <tp t="s">
        <v>2011-08-30</v>
        <stp/>
        <stp>EM_S_IPO_LISTEDDATE</stp>
        <stp>1</stp>
        <stp>002611</stp>
        <tr r="AT1539" s="1"/>
      </tp>
      <tp t="s">
        <v>1996-09-26</v>
        <stp/>
        <stp>EM_S_IPO_LISTEDDATE</stp>
        <stp>1</stp>
        <stp>000610</stp>
        <tr r="AT1211" s="1"/>
      </tp>
      <tp t="s">
        <v>2017-03-10</v>
        <stp/>
        <stp>EM_S_IPO_LISTEDDATE</stp>
        <stp>1</stp>
        <stp>300620</stp>
        <tr r="AT2759" s="1"/>
      </tp>
      <tp t="s">
        <v>1993-08-09</v>
        <stp/>
        <stp>EM_S_IPO_LISTEDDATE</stp>
        <stp>1</stp>
        <stp>600670</stp>
        <tr r="AT2314" s="1"/>
      </tp>
      <tp t="s">
        <v>2011-08-15</v>
        <stp/>
        <stp>EM_S_IPO_LISTEDDATE</stp>
        <stp>1</stp>
        <stp>002610</stp>
        <tr r="AT2135" s="1"/>
      </tp>
      <tp t="s">
        <v>1997-01-28</v>
        <stp/>
        <stp>EM_S_IPO_LISTEDDATE</stp>
        <stp>1</stp>
        <stp>000613</stp>
        <tr r="AT3064" s="1"/>
      </tp>
      <tp t="s">
        <v>2017-03-14</v>
        <stp/>
        <stp>EM_S_IPO_LISTEDDATE</stp>
        <stp>1</stp>
        <stp>300623</stp>
        <tr r="AT1635" s="1"/>
      </tp>
      <tp t="s">
        <v>1993-09-17</v>
        <stp/>
        <stp>EM_S_IPO_LISTEDDATE</stp>
        <stp>1</stp>
        <stp>600673</stp>
        <tr r="AT859" s="1"/>
      </tp>
      <tp t="s">
        <v>2011-08-30</v>
        <stp/>
        <stp>EM_S_IPO_LISTEDDATE</stp>
        <stp>1</stp>
        <stp>002613</stp>
        <tr r="AT2072" s="1"/>
      </tp>
      <tp t="s">
        <v>1996-09-26</v>
        <stp/>
        <stp>EM_S_IPO_LISTEDDATE</stp>
        <stp>1</stp>
        <stp>000612</stp>
        <tr r="AT3484" s="1"/>
      </tp>
      <tp t="s">
        <v>2017-03-15</v>
        <stp/>
        <stp>EM_S_IPO_LISTEDDATE</stp>
        <stp>1</stp>
        <stp>300622</stp>
        <tr r="AT1369" s="1"/>
      </tp>
      <tp t="s">
        <v>1993-09-17</v>
        <stp/>
        <stp>EM_S_IPO_LISTEDDATE</stp>
        <stp>1</stp>
        <stp>600672</stp>
        <tr r="AT2315" s="1"/>
      </tp>
      <tp t="s">
        <v>2011-08-30</v>
        <stp/>
        <stp>EM_S_IPO_LISTEDDATE</stp>
        <stp>1</stp>
        <stp>002612</stp>
        <tr r="AT1881" s="1"/>
      </tp>
      <tp t="s">
        <v>1996-10-10</v>
        <stp/>
        <stp>EM_S_IPO_LISTEDDATE</stp>
        <stp>1</stp>
        <stp>000609</stp>
        <tr r="AT3482" s="1"/>
      </tp>
      <tp t="s">
        <v>2017-04-12</v>
        <stp/>
        <stp>EM_S_IPO_LISTEDDATE</stp>
        <stp>1</stp>
        <stp>300639</stp>
        <tr r="AT429" s="1"/>
      </tp>
      <tp t="s">
        <v>1993-08-06</v>
        <stp/>
        <stp>EM_S_IPO_LISTEDDATE</stp>
        <stp>1</stp>
        <stp>600669</stp>
        <tr r="AT2313" s="1"/>
      </tp>
      <tp t="s">
        <v>2011-10-18</v>
        <stp/>
        <stp>EM_S_IPO_LISTEDDATE</stp>
        <stp>1</stp>
        <stp>601669</stp>
        <tr r="AT2887" s="1"/>
      </tp>
      <tp t="s">
        <v>2011-08-15</v>
        <stp/>
        <stp>EM_S_IPO_LISTEDDATE</stp>
        <stp>1</stp>
        <stp>002609</stp>
        <tr r="AT507" s="1"/>
      </tp>
      <tp t="s">
        <v>2015-05-28</v>
        <stp/>
        <stp>EM_S_IPO_LISTEDDATE</stp>
        <stp>1</stp>
        <stp>603669</stp>
        <tr r="AT3197" s="1"/>
      </tp>
      <tp t="s">
        <v>1996-09-19</v>
        <stp/>
        <stp>EM_S_IPO_LISTEDDATE</stp>
        <stp>1</stp>
        <stp>000608</stp>
        <tr r="AT3481" s="1"/>
      </tp>
      <tp t="s">
        <v>2017-04-13</v>
        <stp/>
        <stp>EM_S_IPO_LISTEDDATE</stp>
        <stp>1</stp>
        <stp>300638</stp>
        <tr r="AT110" s="1"/>
      </tp>
      <tp t="s">
        <v>1993-07-28</v>
        <stp/>
        <stp>EM_S_IPO_LISTEDDATE</stp>
        <stp>1</stp>
        <stp>600668</stp>
        <tr r="AT921" s="1"/>
      </tp>
      <tp t="s">
        <v>2009-07-29</v>
        <stp/>
        <stp>EM_S_IPO_LISTEDDATE</stp>
        <stp>1</stp>
        <stp>601668</stp>
        <tr r="AT2444" s="1"/>
      </tp>
      <tp t="s">
        <v>2011-08-10</v>
        <stp/>
        <stp>EM_S_IPO_LISTEDDATE</stp>
        <stp>1</stp>
        <stp>002608</stp>
        <tr r="AT2248" s="1"/>
      </tp>
      <tp t="s">
        <v>2017-01-17</v>
        <stp/>
        <stp>EM_S_IPO_LISTEDDATE</stp>
        <stp>1</stp>
        <stp>603668</stp>
        <tr r="AT1555" s="1"/>
      </tp>
      <tp t="s">
        <v>1996-09-13</v>
        <stp/>
        <stp>EM_S_IPO_LISTEDDATE</stp>
        <stp>1</stp>
        <stp>000605</stp>
        <tr r="AT3479" s="1"/>
      </tp>
      <tp t="s">
        <v>2017-03-31</v>
        <stp/>
        <stp>EM_S_IPO_LISTEDDATE</stp>
        <stp>1</stp>
        <stp>300635</stp>
        <tr r="AT3011" s="1"/>
      </tp>
      <tp t="s">
        <v>1993-07-09</v>
        <stp/>
        <stp>EM_S_IPO_LISTEDDATE</stp>
        <stp>1</stp>
        <stp>600665</stp>
        <tr r="AT2096" s="1"/>
      </tp>
      <tp t="s">
        <v>2011-08-05</v>
        <stp/>
        <stp>EM_S_IPO_LISTEDDATE</stp>
        <stp>1</stp>
        <stp>002605</stp>
        <tr r="AT74" s="1"/>
      </tp>
      <tp t="s">
        <v>2017-03-13</v>
        <stp/>
        <stp>EM_S_IPO_LISTEDDATE</stp>
        <stp>1</stp>
        <stp>603665</stp>
        <tr r="AT3001" s="1"/>
      </tp>
      <tp t="s">
        <v>2018-03-23</v>
        <stp/>
        <stp>EM_S_IPO_LISTEDDATE</stp>
        <stp>1</stp>
        <stp>300634</stp>
        <tr r="AT3171" s="1"/>
      </tp>
      <tp t="s">
        <v>1993-06-29</v>
        <stp/>
        <stp>EM_S_IPO_LISTEDDATE</stp>
        <stp>1</stp>
        <stp>600664</stp>
        <tr r="AT2644" s="1"/>
      </tp>
      <tp t="s">
        <v>2011-07-28</v>
        <stp/>
        <stp>EM_S_IPO_LISTEDDATE</stp>
        <stp>1</stp>
        <stp>002604</stp>
        <tr r="AT1363" s="1"/>
      </tp>
      <tp t="s">
        <v>1996-08-30</v>
        <stp/>
        <stp>EM_S_IPO_LISTEDDATE</stp>
        <stp>1</stp>
        <stp>000607</stp>
        <tr r="AT3480" s="1"/>
      </tp>
      <tp t="s">
        <v>2017-04-12</v>
        <stp/>
        <stp>EM_S_IPO_LISTEDDATE</stp>
        <stp>1</stp>
        <stp>300637</stp>
        <tr r="AT3365" s="1"/>
      </tp>
      <tp t="s">
        <v>1993-07-28</v>
        <stp/>
        <stp>EM_S_IPO_LISTEDDATE</stp>
        <stp>1</stp>
        <stp>600667</stp>
        <tr r="AT398" s="1"/>
      </tp>
      <tp t="s">
        <v>2011-08-10</v>
        <stp/>
        <stp>EM_S_IPO_LISTEDDATE</stp>
        <stp>1</stp>
        <stp>002607</stp>
        <tr r="AT95" s="1"/>
      </tp>
      <tp t="s">
        <v>2016-10-25</v>
        <stp/>
        <stp>EM_S_IPO_LISTEDDATE</stp>
        <stp>1</stp>
        <stp>603667</stp>
        <tr r="AT1247" s="1"/>
      </tp>
      <tp t="s">
        <v>1996-10-04</v>
        <stp/>
        <stp>EM_S_IPO_LISTEDDATE</stp>
        <stp>1</stp>
        <stp>000606</stp>
        <tr r="AT2652" s="1"/>
      </tp>
      <tp t="s">
        <v>2017-03-31</v>
        <stp/>
        <stp>EM_S_IPO_LISTEDDATE</stp>
        <stp>1</stp>
        <stp>300636</stp>
        <tr r="AT456" s="1"/>
      </tp>
      <tp t="s">
        <v>1993-07-12</v>
        <stp/>
        <stp>EM_S_IPO_LISTEDDATE</stp>
        <stp>1</stp>
        <stp>600666</stp>
        <tr r="AT3218" s="1"/>
      </tp>
      <tp t="s">
        <v>2006-11-23</v>
        <stp/>
        <stp>EM_S_IPO_LISTEDDATE</stp>
        <stp>1</stp>
        <stp>601666</stp>
        <tr r="AT1590" s="1"/>
      </tp>
      <tp t="s">
        <v>2011-08-05</v>
        <stp/>
        <stp>EM_S_IPO_LISTEDDATE</stp>
        <stp>1</stp>
        <stp>002606</stp>
        <tr r="AT2831" s="1"/>
      </tp>
      <tp t="s">
        <v>2018-06-12</v>
        <stp/>
        <stp>EM_S_IPO_LISTEDDATE</stp>
        <stp>1</stp>
        <stp>603666</stp>
        <tr r="AT575" s="1"/>
      </tp>
      <tp t="s">
        <v>1996-08-30</v>
        <stp/>
        <stp>EM_S_IPO_LISTEDDATE</stp>
        <stp>1</stp>
        <stp>000601</stp>
        <tr r="AT3477" s="1"/>
      </tp>
      <tp t="s">
        <v>2017-03-23</v>
        <stp/>
        <stp>EM_S_IPO_LISTEDDATE</stp>
        <stp>1</stp>
        <stp>300631</stp>
        <tr r="AT1619" s="1"/>
      </tp>
      <tp t="s">
        <v>1993-06-14</v>
        <stp/>
        <stp>EM_S_IPO_LISTEDDATE</stp>
        <stp>1</stp>
        <stp>600661</stp>
        <tr r="AT2866" s="1"/>
      </tp>
      <tp t="s">
        <v>2011-07-15</v>
        <stp/>
        <stp>EM_S_IPO_LISTEDDATE</stp>
        <stp>1</stp>
        <stp>002601</stp>
        <tr r="AT1076" s="1"/>
      </tp>
      <tp t="s">
        <v>2017-11-21</v>
        <stp/>
        <stp>EM_S_IPO_LISTEDDATE</stp>
        <stp>1</stp>
        <stp>603661</stp>
        <tr r="AT578" s="1"/>
      </tp>
      <tp t="s">
        <v>1996-06-06</v>
        <stp/>
        <stp>EM_S_IPO_LISTEDDATE</stp>
        <stp>1</stp>
        <stp>000600</stp>
        <tr r="AT2456" s="1"/>
      </tp>
      <tp t="s">
        <v>2017-03-28</v>
        <stp/>
        <stp>EM_S_IPO_LISTEDDATE</stp>
        <stp>1</stp>
        <stp>300630</stp>
        <tr r="AT1074" s="1"/>
      </tp>
      <tp t="s">
        <v>1993-06-10</v>
        <stp/>
        <stp>EM_S_IPO_LISTEDDATE</stp>
        <stp>1</stp>
        <stp>600660</stp>
        <tr r="AT2159" s="1"/>
      </tp>
      <tp t="s">
        <v>2011-07-15</v>
        <stp/>
        <stp>EM_S_IPO_LISTEDDATE</stp>
        <stp>1</stp>
        <stp>002600</stp>
        <tr r="AT23" s="1"/>
      </tp>
      <tp t="s">
        <v>2016-12-01</v>
        <stp/>
        <stp>EM_S_IPO_LISTEDDATE</stp>
        <stp>1</stp>
        <stp>603660</stp>
        <tr r="AT3259" s="1"/>
      </tp>
      <tp t="s">
        <v>1996-08-23</v>
        <stp/>
        <stp>EM_S_IPO_LISTEDDATE</stp>
        <stp>1</stp>
        <stp>000603</stp>
        <tr r="AT625" s="1"/>
      </tp>
      <tp t="s">
        <v>2017-04-06</v>
        <stp/>
        <stp>EM_S_IPO_LISTEDDATE</stp>
        <stp>1</stp>
        <stp>300633</stp>
        <tr r="AT2972" s="1"/>
      </tp>
      <tp t="s">
        <v>1993-06-28</v>
        <stp/>
        <stp>EM_S_IPO_LISTEDDATE</stp>
        <stp>1</stp>
        <stp>600663</stp>
        <tr r="AT2066" s="1"/>
      </tp>
      <tp t="s">
        <v>2011-07-28</v>
        <stp/>
        <stp>EM_S_IPO_LISTEDDATE</stp>
        <stp>1</stp>
        <stp>002603</stp>
        <tr r="AT1855" s="1"/>
      </tp>
      <tp t="s">
        <v>2016-08-01</v>
        <stp/>
        <stp>EM_S_IPO_LISTEDDATE</stp>
        <stp>1</stp>
        <stp>603663</stp>
        <tr r="AT3084" s="1"/>
      </tp>
      <tp t="s">
        <v>1996-08-19</v>
        <stp/>
        <stp>EM_S_IPO_LISTEDDATE</stp>
        <stp>1</stp>
        <stp>000602</stp>
        <tr r="AT3478" s="1"/>
      </tp>
      <tp t="s">
        <v>2017-04-06</v>
        <stp/>
        <stp>EM_S_IPO_LISTEDDATE</stp>
        <stp>1</stp>
        <stp>300632</stp>
        <tr r="AT320" s="1"/>
      </tp>
      <tp t="s">
        <v>1993-06-14</v>
        <stp/>
        <stp>EM_S_IPO_LISTEDDATE</stp>
        <stp>1</stp>
        <stp>600662</stp>
        <tr r="AT1782" s="1"/>
      </tp>
      <tp t="s">
        <v>2011-07-28</v>
        <stp/>
        <stp>EM_S_IPO_LISTEDDATE</stp>
        <stp>1</stp>
        <stp>002602</stp>
        <tr r="AT3332" s="1"/>
      </tp>
      <tp t="s">
        <v>1996-11-26</v>
        <stp/>
        <stp>EM_S_IPO_LISTEDDATE</stp>
        <stp>1</stp>
        <stp>000639</stp>
        <tr r="AT3211" s="1"/>
      </tp>
      <tp t="s">
        <v>2017-02-15</v>
        <stp/>
        <stp>EM_S_IPO_LISTEDDATE</stp>
        <stp>1</stp>
        <stp>300609</stp>
        <tr r="AT784" s="1"/>
      </tp>
      <tp t="s">
        <v>1993-05-28</v>
        <stp/>
        <stp>EM_S_IPO_LISTEDDATE</stp>
        <stp>1</stp>
        <stp>600659</stp>
        <tr r="AT2324" s="1"/>
      </tp>
      <tp t="s">
        <v>2011-12-05</v>
        <stp/>
        <stp>EM_S_IPO_LISTEDDATE</stp>
        <stp>1</stp>
        <stp>002639</stp>
        <tr r="AT434" s="1"/>
      </tp>
      <tp t="s">
        <v>2017-11-03</v>
        <stp/>
        <stp>EM_S_IPO_LISTEDDATE</stp>
        <stp>1</stp>
        <stp>603659</stp>
        <tr r="AT241" s="1"/>
      </tp>
      <tp t="s">
        <v>1996-11-26</v>
        <stp/>
        <stp>EM_S_IPO_LISTEDDATE</stp>
        <stp>1</stp>
        <stp>000638</stp>
        <tr r="AT3492" s="1"/>
      </tp>
      <tp t="s">
        <v>2017-02-13</v>
        <stp/>
        <stp>EM_S_IPO_LISTEDDATE</stp>
        <stp>1</stp>
        <stp>300608</stp>
        <tr r="AT2460" s="1"/>
      </tp>
      <tp t="s">
        <v>1993-05-24</v>
        <stp/>
        <stp>EM_S_IPO_LISTEDDATE</stp>
        <stp>1</stp>
        <stp>600658</stp>
        <tr r="AT2829" s="1"/>
      </tp>
      <tp t="s">
        <v>2011-11-25</v>
        <stp/>
        <stp>EM_S_IPO_LISTEDDATE</stp>
        <stp>1</stp>
        <stp>002638</stp>
        <tr r="AT689" s="1"/>
      </tp>
      <tp t="s">
        <v>2016-09-01</v>
        <stp/>
        <stp>EM_S_IPO_LISTEDDATE</stp>
        <stp>1</stp>
        <stp>603658</stp>
        <tr r="AT188" s="1"/>
      </tp>
      <tp t="s">
        <v>1996-11-20</v>
        <stp/>
        <stp>EM_S_IPO_LISTEDDATE</stp>
        <stp>1</stp>
        <stp>000635</stp>
        <tr r="AT2661" s="1"/>
      </tp>
      <tp t="s">
        <v>2017-02-08</v>
        <stp/>
        <stp>EM_S_IPO_LISTEDDATE</stp>
        <stp>1</stp>
        <stp>300605</stp>
        <tr r="AT2903" s="1"/>
      </tp>
      <tp t="s">
        <v>1992-09-02</v>
        <stp/>
        <stp>EM_S_IPO_LISTEDDATE</stp>
        <stp>1</stp>
        <stp>600655</stp>
        <tr r="AT2010" s="1"/>
      </tp>
      <tp t="s">
        <v>2011-11-25</v>
        <stp/>
        <stp>EM_S_IPO_LISTEDDATE</stp>
        <stp>1</stp>
        <stp>002635</stp>
        <tr r="AT547" s="1"/>
      </tp>
      <tp t="s">
        <v>2017-12-29</v>
        <stp/>
        <stp>EM_S_IPO_LISTEDDATE</stp>
        <stp>1</stp>
        <stp>603655</stp>
        <tr r="AT604" s="1"/>
      </tp>
      <tp t="s">
        <v>2017-04-17</v>
        <stp/>
        <stp>EM_S_IPO_LISTEDDATE</stp>
        <stp>1</stp>
        <stp>300604</stp>
        <tr r="AT3085" s="1"/>
      </tp>
      <tp t="s">
        <v>1990-12-19</v>
        <stp/>
        <stp>EM_S_IPO_LISTEDDATE</stp>
        <stp>1</stp>
        <stp>600654</stp>
        <tr r="AT2568" s="1"/>
      </tp>
      <tp t="s">
        <v>2011-12-05</v>
        <stp/>
        <stp>EM_S_IPO_LISTEDDATE</stp>
        <stp>1</stp>
        <stp>002634</stp>
        <tr r="AT713" s="1"/>
      </tp>
      <tp t="s">
        <v>1996-11-14</v>
        <stp/>
        <stp>EM_S_IPO_LISTEDDATE</stp>
        <stp>1</stp>
        <stp>000637</stp>
        <tr r="AT3491" s="1"/>
      </tp>
      <tp t="s">
        <v>2017-02-09</v>
        <stp/>
        <stp>EM_S_IPO_LISTEDDATE</stp>
        <stp>1</stp>
        <stp>300607</stp>
        <tr r="AT484" s="1"/>
      </tp>
      <tp t="s">
        <v>1993-05-24</v>
        <stp/>
        <stp>EM_S_IPO_LISTEDDATE</stp>
        <stp>1</stp>
        <stp>600657</stp>
        <tr r="AT2195" s="1"/>
      </tp>
      <tp t="s">
        <v>2011-11-25</v>
        <stp/>
        <stp>EM_S_IPO_LISTEDDATE</stp>
        <stp>1</stp>
        <stp>002637</stp>
        <tr r="AT640" s="1"/>
      </tp>
      <tp t="s">
        <v>1996-11-29</v>
        <stp/>
        <stp>EM_S_IPO_LISTEDDATE</stp>
        <stp>1</stp>
        <stp>000636</stp>
        <tr r="AT714" s="1"/>
      </tp>
      <tp t="s">
        <v>2017-02-08</v>
        <stp/>
        <stp>EM_S_IPO_LISTEDDATE</stp>
        <stp>1</stp>
        <stp>300606</stp>
        <tr r="AT1432" s="1"/>
      </tp>
      <tp t="s">
        <v>1990-12-19</v>
        <stp/>
        <stp>EM_S_IPO_LISTEDDATE</stp>
        <stp>1</stp>
        <stp>600656</stp>
        <tr r="AT2312" s="1"/>
      </tp>
      <tp t="s">
        <v>2011-11-25</v>
        <stp/>
        <stp>EM_S_IPO_LISTEDDATE</stp>
        <stp>1</stp>
        <stp>002636</stp>
        <tr r="AT1181" s="1"/>
      </tp>
      <tp t="s">
        <v>2017-03-21</v>
        <stp/>
        <stp>EM_S_IPO_LISTEDDATE</stp>
        <stp>1</stp>
        <stp>603656</stp>
        <tr r="AT1868" s="1"/>
      </tp>
      <tp t="s">
        <v>1996-11-22</v>
        <stp/>
        <stp>EM_S_IPO_LISTEDDATE</stp>
        <stp>1</stp>
        <stp>000631</stp>
        <tr r="AT3490" s="1"/>
      </tp>
      <tp t="s">
        <v>2017-02-07</v>
        <stp/>
        <stp>EM_S_IPO_LISTEDDATE</stp>
        <stp>1</stp>
        <stp>300601</stp>
        <tr r="AT93" s="1"/>
      </tp>
      <tp t="s">
        <v>1990-12-19</v>
        <stp/>
        <stp>EM_S_IPO_LISTEDDATE</stp>
        <stp>1</stp>
        <stp>600651</stp>
        <tr r="AT810" s="1"/>
      </tp>
      <tp t="s">
        <v>2011-11-11</v>
        <stp/>
        <stp>EM_S_IPO_LISTEDDATE</stp>
        <stp>1</stp>
        <stp>002631</stp>
        <tr r="AT1082" s="1"/>
      </tp>
      <tp t="s">
        <v>1996-11-20</v>
        <stp/>
        <stp>EM_S_IPO_LISTEDDATE</stp>
        <stp>1</stp>
        <stp>000630</stp>
        <tr r="AT1285" s="1"/>
      </tp>
      <tp t="s">
        <v>2017-01-25</v>
        <stp/>
        <stp>EM_S_IPO_LISTEDDATE</stp>
        <stp>1</stp>
        <stp>300600</stp>
        <tr r="AT3297" s="1"/>
      </tp>
      <tp t="s">
        <v>1993-06-07</v>
        <stp/>
        <stp>EM_S_IPO_LISTEDDATE</stp>
        <stp>1</stp>
        <stp>600650</stp>
        <tr r="AT1878" s="1"/>
      </tp>
      <tp t="s">
        <v>2011-11-11</v>
        <stp/>
        <stp>EM_S_IPO_LISTEDDATE</stp>
        <stp>1</stp>
        <stp>002630</stp>
        <tr r="AT2954" s="1"/>
      </tp>
      <tp t="s">
        <v>2018-06-27</v>
        <stp/>
        <stp>EM_S_IPO_LISTEDDATE</stp>
        <stp>1</stp>
        <stp>603650</stp>
        <tr r="AT2848" s="1"/>
      </tp>
      <tp t="s">
        <v>1996-11-12</v>
        <stp/>
        <stp>EM_S_IPO_LISTEDDATE</stp>
        <stp>1</stp>
        <stp>000633</stp>
        <tr r="AT2730" s="1"/>
      </tp>
      <tp t="s">
        <v>2017-01-26</v>
        <stp/>
        <stp>EM_S_IPO_LISTEDDATE</stp>
        <stp>1</stp>
        <stp>300603</stp>
        <tr r="AT3173" s="1"/>
      </tp>
      <tp t="s">
        <v>1990-12-19</v>
        <stp/>
        <stp>EM_S_IPO_LISTEDDATE</stp>
        <stp>1</stp>
        <stp>600653</stp>
        <tr r="AT1829" s="1"/>
      </tp>
      <tp t="s">
        <v>2011-11-22</v>
        <stp/>
        <stp>EM_S_IPO_LISTEDDATE</stp>
        <stp>1</stp>
        <stp>002633</stp>
        <tr r="AT2033" s="1"/>
      </tp>
      <tp t="s">
        <v>1996-11-21</v>
        <stp/>
        <stp>EM_S_IPO_LISTEDDATE</stp>
        <stp>1</stp>
        <stp>000632</stp>
        <tr r="AT438" s="1"/>
      </tp>
      <tp t="s">
        <v>2017-01-26</v>
        <stp/>
        <stp>EM_S_IPO_LISTEDDATE</stp>
        <stp>1</stp>
        <stp>300602</stp>
        <tr r="AT1016" s="1"/>
      </tp>
      <tp t="s">
        <v>1990-12-19</v>
        <stp/>
        <stp>EM_S_IPO_LISTEDDATE</stp>
        <stp>1</stp>
        <stp>600652</stp>
        <tr r="AT3367" s="1"/>
      </tp>
      <tp t="s">
        <v>2011-11-22</v>
        <stp/>
        <stp>EM_S_IPO_LISTEDDATE</stp>
        <stp>1</stp>
        <stp>002632</stp>
        <tr r="AT1891" s="1"/>
      </tp>
      <tp t="s">
        <v>1996-11-15</v>
        <stp/>
        <stp>EM_S_IPO_LISTEDDATE</stp>
        <stp>1</stp>
        <stp>000629</stp>
        <tr r="AT2438" s="1"/>
      </tp>
      <tp t="s">
        <v>2017-03-01</v>
        <stp/>
        <stp>EM_S_IPO_LISTEDDATE</stp>
        <stp>1</stp>
        <stp>300619</stp>
        <tr r="AT2952" s="1"/>
      </tp>
      <tp t="s">
        <v>1993-05-18</v>
        <stp/>
        <stp>EM_S_IPO_LISTEDDATE</stp>
        <stp>1</stp>
        <stp>600649</stp>
        <tr r="AT2008" s="1"/>
      </tp>
      <tp t="s">
        <v>2011-11-03</v>
        <stp/>
        <stp>EM_S_IPO_LISTEDDATE</stp>
        <stp>1</stp>
        <stp>002629</stp>
        <tr r="AT3220" s="1"/>
      </tp>
      <tp t="s">
        <v>1996-11-18</v>
        <stp/>
        <stp>EM_S_IPO_LISTEDDATE</stp>
        <stp>1</stp>
        <stp>000628</stp>
        <tr r="AT2503" s="1"/>
      </tp>
      <tp t="s">
        <v>2017-03-06</v>
        <stp/>
        <stp>EM_S_IPO_LISTEDDATE</stp>
        <stp>1</stp>
        <stp>300618</stp>
        <tr r="AT1876" s="1"/>
      </tp>
      <tp t="s">
        <v>1993-05-04</v>
        <stp/>
        <stp>EM_S_IPO_LISTEDDATE</stp>
        <stp>1</stp>
        <stp>600648</stp>
        <tr r="AT1052" s="1"/>
      </tp>
      <tp t="s">
        <v>2011-11-03</v>
        <stp/>
        <stp>EM_S_IPO_LISTEDDATE</stp>
        <stp>1</stp>
        <stp>002628</stp>
        <tr r="AT2357" s="1"/>
      </tp>
      <tp t="s">
        <v>2017-09-13</v>
        <stp/>
        <stp>EM_S_IPO_LISTEDDATE</stp>
        <stp>1</stp>
        <stp>603648</stp>
        <tr r="AT2597" s="1"/>
      </tp>
      <tp t="s">
        <v>1997-06-10</v>
        <stp/>
        <stp>EM_S_IPO_LISTEDDATE</stp>
        <stp>1</stp>
        <stp>000625</stp>
        <tr r="AT3487" s="1"/>
      </tp>
      <tp t="s">
        <v>2017-02-15</v>
        <stp/>
        <stp>EM_S_IPO_LISTEDDATE</stp>
        <stp>1</stp>
        <stp>300615</stp>
        <tr r="AT1398" s="1"/>
      </tp>
      <tp t="s">
        <v>1993-05-04</v>
        <stp/>
        <stp>EM_S_IPO_LISTEDDATE</stp>
        <stp>1</stp>
        <stp>600645</stp>
        <tr r="AT2094" s="1"/>
      </tp>
      <tp t="s">
        <v>2011-11-03</v>
        <stp/>
        <stp>EM_S_IPO_LISTEDDATE</stp>
        <stp>1</stp>
        <stp>002625</stp>
        <tr r="AT2630" s="1"/>
      </tp>
      <tp t="s">
        <v>1993-04-26</v>
        <stp/>
        <stp>EM_S_IPO_LISTEDDATE</stp>
        <stp>1</stp>
        <stp>600644</stp>
        <tr r="AT1143" s="1"/>
      </tp>
      <tp t="s">
        <v>2011-10-28</v>
        <stp/>
        <stp>EM_S_IPO_LISTEDDATE</stp>
        <stp>1</stp>
        <stp>002624</stp>
        <tr r="AT449" s="1"/>
      </tp>
      <tp t="s">
        <v>1996-11-12</v>
        <stp/>
        <stp>EM_S_IPO_LISTEDDATE</stp>
        <stp>1</stp>
        <stp>000627</stp>
        <tr r="AT3489" s="1"/>
      </tp>
      <tp t="s">
        <v>2017-02-28</v>
        <stp/>
        <stp>EM_S_IPO_LISTEDDATE</stp>
        <stp>1</stp>
        <stp>300617</stp>
        <tr r="AT1581" s="1"/>
      </tp>
      <tp t="s">
        <v>1993-05-04</v>
        <stp/>
        <stp>EM_S_IPO_LISTEDDATE</stp>
        <stp>1</stp>
        <stp>600647</stp>
        <tr r="AT1435" s="1"/>
      </tp>
      <tp t="s">
        <v>2011-11-03</v>
        <stp/>
        <stp>EM_S_IPO_LISTEDDATE</stp>
        <stp>1</stp>
        <stp>002627</stp>
        <tr r="AT389" s="1"/>
      </tp>
      <tp t="s">
        <v>1996-11-28</v>
        <stp/>
        <stp>EM_S_IPO_LISTEDDATE</stp>
        <stp>1</stp>
        <stp>000626</stp>
        <tr r="AT3488" s="1"/>
      </tp>
      <tp t="s">
        <v>2017-03-07</v>
        <stp/>
        <stp>EM_S_IPO_LISTEDDATE</stp>
        <stp>1</stp>
        <stp>300616</stp>
        <tr r="AT1091" s="1"/>
      </tp>
      <tp t="s">
        <v>1993-05-04</v>
        <stp/>
        <stp>EM_S_IPO_LISTEDDATE</stp>
        <stp>1</stp>
        <stp>600646</stp>
        <tr r="AT2311" s="1"/>
      </tp>
      <tp t="s">
        <v>2011-10-28</v>
        <stp/>
        <stp>EM_S_IPO_LISTEDDATE</stp>
        <stp>1</stp>
        <stp>002626</stp>
        <tr r="AT414" s="1"/>
      </tp>
      <tp t="s">
        <v>1996-11-05</v>
        <stp/>
        <stp>EM_S_IPO_LISTEDDATE</stp>
        <stp>1</stp>
        <stp>000621</stp>
        <tr r="AT3486" s="1"/>
      </tp>
      <tp t="s">
        <v>2017-02-20</v>
        <stp/>
        <stp>EM_S_IPO_LISTEDDATE</stp>
        <stp>1</stp>
        <stp>300611</stp>
        <tr r="AT1560" s="1"/>
      </tp>
      <tp t="s">
        <v>1993-04-07</v>
        <stp/>
        <stp>EM_S_IPO_LISTEDDATE</stp>
        <stp>1</stp>
        <stp>600641</stp>
        <tr r="AT147" s="1"/>
      </tp>
      <tp t="s">
        <v>2011-09-29</v>
        <stp/>
        <stp>EM_S_IPO_LISTEDDATE</stp>
        <stp>1</stp>
        <stp>002621</stp>
        <tr r="AT3271" s="1"/>
      </tp>
      <tp t="s">
        <v>1996-10-29</v>
        <stp/>
        <stp>EM_S_IPO_LISTEDDATE</stp>
        <stp>1</stp>
        <stp>000620</stp>
        <tr r="AT2102" s="1"/>
      </tp>
      <tp t="s">
        <v>2017-02-13</v>
        <stp/>
        <stp>EM_S_IPO_LISTEDDATE</stp>
        <stp>1</stp>
        <stp>300610</stp>
        <tr r="AT2478" s="1"/>
      </tp>
      <tp t="s">
        <v>1993-04-07</v>
        <stp/>
        <stp>EM_S_IPO_LISTEDDATE</stp>
        <stp>1</stp>
        <stp>600640</stp>
        <tr r="AT66" s="1"/>
      </tp>
      <tp t="s">
        <v>2011-09-29</v>
        <stp/>
        <stp>EM_S_IPO_LISTEDDATE</stp>
        <stp>1</stp>
        <stp>002620</stp>
        <tr r="AT2023" s="1"/>
      </tp>
      <tp t="s">
        <v>1996-10-28</v>
        <stp/>
        <stp>EM_S_IPO_LISTEDDATE</stp>
        <stp>1</stp>
        <stp>000623</stp>
        <tr r="AT1489" s="1"/>
      </tp>
      <tp t="s">
        <v>2017-02-20</v>
        <stp/>
        <stp>EM_S_IPO_LISTEDDATE</stp>
        <stp>1</stp>
        <stp>300613</stp>
        <tr r="AT258" s="1"/>
      </tp>
      <tp t="s">
        <v>1993-04-26</v>
        <stp/>
        <stp>EM_S_IPO_LISTEDDATE</stp>
        <stp>1</stp>
        <stp>600643</stp>
        <tr r="AT1527" s="1"/>
      </tp>
      <tp t="s">
        <v>2011-10-13</v>
        <stp/>
        <stp>EM_S_IPO_LISTEDDATE</stp>
        <stp>1</stp>
        <stp>002623</stp>
        <tr r="AT556" s="1"/>
      </tp>
      <tp t="s">
        <v>1996-11-07</v>
        <stp/>
        <stp>EM_S_IPO_LISTEDDATE</stp>
        <stp>1</stp>
        <stp>000622</stp>
        <tr r="AT3279" s="1"/>
      </tp>
      <tp t="s">
        <v>2017-02-15</v>
        <stp/>
        <stp>EM_S_IPO_LISTEDDATE</stp>
        <stp>1</stp>
        <stp>300612</stp>
        <tr r="AT1593" s="1"/>
      </tp>
      <tp t="s">
        <v>1993-04-16</v>
        <stp/>
        <stp>EM_S_IPO_LISTEDDATE</stp>
        <stp>1</stp>
        <stp>600642</stp>
        <tr r="AT1343" s="1"/>
      </tp>
      <tp t="s">
        <v>2011-10-18</v>
        <stp/>
        <stp>EM_S_IPO_LISTEDDATE</stp>
        <stp>1</stp>
        <stp>002622</stp>
        <tr r="AT1510" s="1"/>
      </tp>
      <tp t="s">
        <v>1996-12-03</v>
        <stp/>
        <stp>EM_S_IPO_LISTEDDATE</stp>
        <stp>1</stp>
        <stp>000659</stp>
        <tr r="AT3261" s="1"/>
      </tp>
      <tp t="s">
        <v>2017-06-29</v>
        <stp/>
        <stp>EM_S_IPO_LISTEDDATE</stp>
        <stp>1</stp>
        <stp>300669</stp>
        <tr r="AT488" s="1"/>
      </tp>
      <tp t="s">
        <v>1993-03-26</v>
        <stp/>
        <stp>EM_S_IPO_LISTEDDATE</stp>
        <stp>1</stp>
        <stp>600639</stp>
        <tr r="AT1287" s="1"/>
      </tp>
      <tp t="s">
        <v>2012-03-09</v>
        <stp/>
        <stp>EM_S_IPO_LISTEDDATE</stp>
        <stp>1</stp>
        <stp>002659</stp>
        <tr r="AT3175" s="1"/>
      </tp>
      <tp t="s">
        <v>2017-01-12</v>
        <stp/>
        <stp>EM_S_IPO_LISTEDDATE</stp>
        <stp>1</stp>
        <stp>603639</stp>
        <tr r="AT2640" s="1"/>
      </tp>
      <tp t="s">
        <v>1996-12-18</v>
        <stp/>
        <stp>EM_S_IPO_LISTEDDATE</stp>
        <stp>1</stp>
        <stp>000658</stp>
        <tr r="AT3495" s="1"/>
      </tp>
      <tp t="s">
        <v>2017-06-19</v>
        <stp/>
        <stp>EM_S_IPO_LISTEDDATE</stp>
        <stp>1</stp>
        <stp>300668</stp>
        <tr r="AT2582" s="1"/>
      </tp>
      <tp t="s">
        <v>1993-03-26</v>
        <stp/>
        <stp>EM_S_IPO_LISTEDDATE</stp>
        <stp>1</stp>
        <stp>600638</stp>
        <tr r="AT3026" s="1"/>
      </tp>
      <tp t="s">
        <v>2012-03-09</v>
        <stp/>
        <stp>EM_S_IPO_LISTEDDATE</stp>
        <stp>1</stp>
        <stp>002658</stp>
        <tr r="AT2191" s="1"/>
      </tp>
      <tp t="s">
        <v>2017-01-20</v>
        <stp/>
        <stp>EM_S_IPO_LISTEDDATE</stp>
        <stp>1</stp>
        <stp>603638</stp>
        <tr r="AT1019" s="1"/>
      </tp>
      <tp t="s">
        <v>1996-11-28</v>
        <stp/>
        <stp>EM_S_IPO_LISTEDDATE</stp>
        <stp>1</stp>
        <stp>000655</stp>
        <tr r="AT3494" s="1"/>
      </tp>
      <tp t="s">
        <v>2017-06-13</v>
        <stp/>
        <stp>EM_S_IPO_LISTEDDATE</stp>
        <stp>1</stp>
        <stp>300665</stp>
        <tr r="AT1720" s="1"/>
      </tp>
      <tp t="s">
        <v>1993-03-04</v>
        <stp/>
        <stp>EM_S_IPO_LISTEDDATE</stp>
        <stp>1</stp>
        <stp>600635</stp>
        <tr r="AT2147" s="1"/>
      </tp>
      <tp t="s">
        <v>2012-02-17</v>
        <stp/>
        <stp>EM_S_IPO_LISTEDDATE</stp>
        <stp>1</stp>
        <stp>002655</stp>
        <tr r="AT153" s="1"/>
      </tp>
      <tp t="s">
        <v>2018-01-05</v>
        <stp/>
        <stp>EM_S_IPO_LISTEDDATE</stp>
        <stp>1</stp>
        <stp>300664</stp>
        <tr r="AT1901" s="1"/>
      </tp>
      <tp t="s">
        <v>1993-03-04</v>
        <stp/>
        <stp>EM_S_IPO_LISTEDDATE</stp>
        <stp>1</stp>
        <stp>600634</stp>
        <tr r="AT3293" s="1"/>
      </tp>
      <tp t="s">
        <v>2012-02-17</v>
        <stp/>
        <stp>EM_S_IPO_LISTEDDATE</stp>
        <stp>1</stp>
        <stp>002654</stp>
        <tr r="AT606" s="1"/>
      </tp>
      <tp t="s">
        <v>1996-12-05</v>
        <stp/>
        <stp>EM_S_IPO_LISTEDDATE</stp>
        <stp>1</stp>
        <stp>000657</stp>
        <tr r="AT974" s="1"/>
      </tp>
      <tp t="s">
        <v>2017-06-19</v>
        <stp/>
        <stp>EM_S_IPO_LISTEDDATE</stp>
        <stp>1</stp>
        <stp>300667</stp>
        <tr r="AT1538" s="1"/>
      </tp>
      <tp t="s">
        <v>1993-03-16</v>
        <stp/>
        <stp>EM_S_IPO_LISTEDDATE</stp>
        <stp>1</stp>
        <stp>600637</stp>
        <tr r="AT2727" s="1"/>
      </tp>
      <tp t="s">
        <v>2012-02-28</v>
        <stp/>
        <stp>EM_S_IPO_LISTEDDATE</stp>
        <stp>1</stp>
        <stp>002657</stp>
        <tr r="AT628" s="1"/>
      </tp>
      <tp t="s">
        <v>2017-02-08</v>
        <stp/>
        <stp>EM_S_IPO_LISTEDDATE</stp>
        <stp>1</stp>
        <stp>603637</stp>
        <tr r="AT2119" s="1"/>
      </tp>
      <tp t="s">
        <v>1996-11-28</v>
        <stp/>
        <stp>EM_S_IPO_LISTEDDATE</stp>
        <stp>1</stp>
        <stp>000656</stp>
        <tr r="AT1182" s="1"/>
      </tp>
      <tp t="s">
        <v>2017-06-15</v>
        <stp/>
        <stp>EM_S_IPO_LISTEDDATE</stp>
        <stp>1</stp>
        <stp>300666</stp>
        <tr r="AT2037" s="1"/>
      </tp>
      <tp t="s">
        <v>1993-03-16</v>
        <stp/>
        <stp>EM_S_IPO_LISTEDDATE</stp>
        <stp>1</stp>
        <stp>600636</stp>
        <tr r="AT2618" s="1"/>
      </tp>
      <tp t="s">
        <v>2011-08-12</v>
        <stp/>
        <stp>EM_S_IPO_LISTEDDATE</stp>
        <stp>1</stp>
        <stp>601636</stp>
        <tr r="AT666" s="1"/>
      </tp>
      <tp t="s">
        <v>2012-02-28</v>
        <stp/>
        <stp>EM_S_IPO_LISTEDDATE</stp>
        <stp>1</stp>
        <stp>002656</stp>
        <tr r="AT3289" s="1"/>
      </tp>
      <tp t="s">
        <v>2014-12-30</v>
        <stp/>
        <stp>EM_S_IPO_LISTEDDATE</stp>
        <stp>1</stp>
        <stp>603636</stp>
        <tr r="AT1377" s="1"/>
      </tp>
      <tp t="s">
        <v>1996-11-18</v>
        <stp/>
        <stp>EM_S_IPO_LISTEDDATE</stp>
        <stp>1</stp>
        <stp>000651</stp>
        <tr r="AT229" s="1"/>
      </tp>
      <tp t="s">
        <v>2017-06-06</v>
        <stp/>
        <stp>EM_S_IPO_LISTEDDATE</stp>
        <stp>1</stp>
        <stp>300661</stp>
        <tr r="AT19" s="1"/>
      </tp>
      <tp t="s">
        <v>1993-02-19</v>
        <stp/>
        <stp>EM_S_IPO_LISTEDDATE</stp>
        <stp>1</stp>
        <stp>600631</stp>
        <tr r="AT2309" s="1"/>
      </tp>
      <tp t="s">
        <v>2012-01-06</v>
        <stp/>
        <stp>EM_S_IPO_LISTEDDATE</stp>
        <stp>1</stp>
        <stp>002651</stp>
        <tr r="AT1383" s="1"/>
      </tp>
      <tp t="s">
        <v>1996-12-10</v>
        <stp/>
        <stp>EM_S_IPO_LISTEDDATE</stp>
        <stp>1</stp>
        <stp>000650</stp>
        <tr r="AT1616" s="1"/>
      </tp>
      <tp t="s">
        <v>2017-06-02</v>
        <stp/>
        <stp>EM_S_IPO_LISTEDDATE</stp>
        <stp>1</stp>
        <stp>300660</stp>
        <tr r="AT2965" s="1"/>
      </tp>
      <tp t="s">
        <v>1993-02-09</v>
        <stp/>
        <stp>EM_S_IPO_LISTEDDATE</stp>
        <stp>1</stp>
        <stp>600630</stp>
        <tr r="AT2003" s="1"/>
      </tp>
      <tp t="s">
        <v>2012-01-06</v>
        <stp/>
        <stp>EM_S_IPO_LISTEDDATE</stp>
        <stp>1</stp>
        <stp>002650</stp>
        <tr r="AT2392" s="1"/>
      </tp>
      <tp t="s">
        <v>2017-03-13</v>
        <stp/>
        <stp>EM_S_IPO_LISTEDDATE</stp>
        <stp>1</stp>
        <stp>603630</stp>
        <tr r="AT2235" s="1"/>
      </tp>
      <tp t="s">
        <v>1996-11-26</v>
        <stp/>
        <stp>EM_S_IPO_LISTEDDATE</stp>
        <stp>1</stp>
        <stp>000653</stp>
        <tr r="AT3493" s="1"/>
      </tp>
      <tp t="s">
        <v>2017-06-08</v>
        <stp/>
        <stp>EM_S_IPO_LISTEDDATE</stp>
        <stp>1</stp>
        <stp>300663</stp>
        <tr r="AT224" s="1"/>
      </tp>
      <tp t="s">
        <v>1993-03-04</v>
        <stp/>
        <stp>EM_S_IPO_LISTEDDATE</stp>
        <stp>1</stp>
        <stp>600633</stp>
        <tr r="AT1476" s="1"/>
      </tp>
      <tp t="s">
        <v>2011-09-28</v>
        <stp/>
        <stp>EM_S_IPO_LISTEDDATE</stp>
        <stp>1</stp>
        <stp>601633</stp>
        <tr r="AT446" s="1"/>
      </tp>
      <tp t="s">
        <v>2012-01-17</v>
        <stp/>
        <stp>EM_S_IPO_LISTEDDATE</stp>
        <stp>1</stp>
        <stp>002653</stp>
        <tr r="AT337" s="1"/>
      </tp>
      <tp t="s">
        <v>2016-11-17</v>
        <stp/>
        <stp>EM_S_IPO_LISTEDDATE</stp>
        <stp>1</stp>
        <stp>603633</stp>
        <tr r="AT2051" s="1"/>
      </tp>
      <tp t="s">
        <v>1996-11-28</v>
        <stp/>
        <stp>EM_S_IPO_LISTEDDATE</stp>
        <stp>1</stp>
        <stp>000652</stp>
        <tr r="AT1224" s="1"/>
      </tp>
      <tp t="s">
        <v>2017-06-08</v>
        <stp/>
        <stp>EM_S_IPO_LISTEDDATE</stp>
        <stp>1</stp>
        <stp>300662</stp>
        <tr r="AT1399" s="1"/>
      </tp>
      <tp t="s">
        <v>1993-02-19</v>
        <stp/>
        <stp>EM_S_IPO_LISTEDDATE</stp>
        <stp>1</stp>
        <stp>600632</stp>
        <tr r="AT2310" s="1"/>
      </tp>
      <tp t="s">
        <v>2012-01-19</v>
        <stp/>
        <stp>EM_S_IPO_LISTEDDATE</stp>
        <stp>1</stp>
        <stp>002652</stp>
        <tr r="AT2182" s="1"/>
      </tp>
      <tp t="s">
        <v>2017-07-31</v>
        <stp/>
        <stp>EM_S_IPO_LISTEDDATE</stp>
        <stp>1</stp>
        <stp>300679</stp>
        <tr r="AT739" s="1"/>
      </tp>
      <tp t="s">
        <v>1993-02-09</v>
        <stp/>
        <stp>EM_S_IPO_LISTEDDATE</stp>
        <stp>1</stp>
        <stp>600629</stp>
        <tr r="AT3119" s="1"/>
      </tp>
      <tp t="s">
        <v>2012-01-06</v>
        <stp/>
        <stp>EM_S_IPO_LISTEDDATE</stp>
        <stp>1</stp>
        <stp>002649</stp>
        <tr r="AT807" s="1"/>
      </tp>
      <tp t="s">
        <v>2017-07-28</v>
        <stp/>
        <stp>EM_S_IPO_LISTEDDATE</stp>
        <stp>1</stp>
        <stp>300678</stp>
        <tr r="AT1418" s="1"/>
      </tp>
      <tp t="s">
        <v>1993-01-19</v>
        <stp/>
        <stp>EM_S_IPO_LISTEDDATE</stp>
        <stp>1</stp>
        <stp>600628</stp>
        <tr r="AT603" s="1"/>
      </tp>
      <tp t="s">
        <v>2007-01-09</v>
        <stp/>
        <stp>EM_S_IPO_LISTEDDATE</stp>
        <stp>1</stp>
        <stp>601628</stp>
        <tr r="AT308" s="1"/>
      </tp>
      <tp t="s">
        <v>2011-12-28</v>
        <stp/>
        <stp>EM_S_IPO_LISTEDDATE</stp>
        <stp>1</stp>
        <stp>002648</stp>
        <tr r="AT309" s="1"/>
      </tp>
      <tp t="s">
        <v>2017-01-12</v>
        <stp/>
        <stp>EM_S_IPO_LISTEDDATE</stp>
        <stp>1</stp>
        <stp>603628</stp>
        <tr r="AT1789" s="1"/>
      </tp>
      <tp t="s">
        <v>2017-07-19</v>
        <stp/>
        <stp>EM_S_IPO_LISTEDDATE</stp>
        <stp>1</stp>
        <stp>300675</stp>
        <tr r="AT3339" s="1"/>
      </tp>
      <tp t="s">
        <v>1993-01-06</v>
        <stp/>
        <stp>EM_S_IPO_LISTEDDATE</stp>
        <stp>1</stp>
        <stp>600625</stp>
        <tr r="AT2307" s="1"/>
      </tp>
      <tp t="s">
        <v>2011-12-20</v>
        <stp/>
        <stp>EM_S_IPO_LISTEDDATE</stp>
        <stp>1</stp>
        <stp>002645</stp>
        <tr r="AT1368" s="1"/>
      </tp>
      <tp t="s">
        <v>1993-01-05</v>
        <stp/>
        <stp>EM_S_IPO_LISTEDDATE</stp>
        <stp>1</stp>
        <stp>600624</stp>
        <tr r="AT437" s="1"/>
      </tp>
      <tp t="s">
        <v>2011-12-22</v>
        <stp/>
        <stp>EM_S_IPO_LISTEDDATE</stp>
        <stp>1</stp>
        <stp>002644</stp>
        <tr r="AT2710" s="1"/>
      </tp>
      <tp t="s">
        <v>2017-07-21</v>
        <stp/>
        <stp>EM_S_IPO_LISTEDDATE</stp>
        <stp>1</stp>
        <stp>300677</stp>
        <tr r="AT1528" s="1"/>
      </tp>
      <tp t="s">
        <v>1993-01-18</v>
        <stp/>
        <stp>EM_S_IPO_LISTEDDATE</stp>
        <stp>1</stp>
        <stp>600627</stp>
        <tr r="AT2308" s="1"/>
      </tp>
      <tp t="s">
        <v>2011-12-28</v>
        <stp/>
        <stp>EM_S_IPO_LISTEDDATE</stp>
        <stp>1</stp>
        <stp>002647</stp>
        <tr r="AT963" s="1"/>
      </tp>
      <tp t="s">
        <v>2017-07-14</v>
        <stp/>
        <stp>EM_S_IPO_LISTEDDATE</stp>
        <stp>1</stp>
        <stp>300676</stp>
        <tr r="AT1637" s="1"/>
      </tp>
      <tp t="s">
        <v>1993-01-07</v>
        <stp/>
        <stp>EM_S_IPO_LISTEDDATE</stp>
        <stp>1</stp>
        <stp>600626</stp>
        <tr r="AT1387" s="1"/>
      </tp>
      <tp t="s">
        <v>2011-12-22</v>
        <stp/>
        <stp>EM_S_IPO_LISTEDDATE</stp>
        <stp>1</stp>
        <stp>002646</stp>
        <tr r="AT2254" s="1"/>
      </tp>
      <tp t="s">
        <v>2017-02-09</v>
        <stp/>
        <stp>EM_S_IPO_LISTEDDATE</stp>
        <stp>1</stp>
        <stp>603626</stp>
        <tr r="AT770" s="1"/>
      </tp>
      <tp t="s">
        <v>2017-07-05</v>
        <stp/>
        <stp>EM_S_IPO_LISTEDDATE</stp>
        <stp>1</stp>
        <stp>300671</stp>
        <tr r="AT929" s="1"/>
      </tp>
      <tp t="s">
        <v>1992-12-02</v>
        <stp/>
        <stp>EM_S_IPO_LISTEDDATE</stp>
        <stp>1</stp>
        <stp>600621</stp>
        <tr r="AT302" s="1"/>
      </tp>
      <tp t="s">
        <v>2011-12-08</v>
        <stp/>
        <stp>EM_S_IPO_LISTEDDATE</stp>
        <stp>1</stp>
        <stp>002641</stp>
        <tr r="AT718" s="1"/>
      </tp>
      <tp t="s">
        <v>2017-07-03</v>
        <stp/>
        <stp>EM_S_IPO_LISTEDDATE</stp>
        <stp>1</stp>
        <stp>300670</stp>
        <tr r="AT3362" s="1"/>
      </tp>
      <tp t="s">
        <v>1992-11-17</v>
        <stp/>
        <stp>EM_S_IPO_LISTEDDATE</stp>
        <stp>1</stp>
        <stp>600620</stp>
        <tr r="AT1374" s="1"/>
      </tp>
      <tp t="s">
        <v>2011-12-08</v>
        <stp/>
        <stp>EM_S_IPO_LISTEDDATE</stp>
        <stp>1</stp>
        <stp>002640</stp>
        <tr r="AT3219" s="1"/>
      </tp>
      <tp t="s">
        <v>2017-07-11</v>
        <stp/>
        <stp>EM_S_IPO_LISTEDDATE</stp>
        <stp>1</stp>
        <stp>300673</stp>
        <tr r="AT3263" s="1"/>
      </tp>
      <tp t="s">
        <v>1992-12-04</v>
        <stp/>
        <stp>EM_S_IPO_LISTEDDATE</stp>
        <stp>1</stp>
        <stp>600623</stp>
        <tr r="AT3024" s="1"/>
      </tp>
      <tp t="s">
        <v>2011-12-20</v>
        <stp/>
        <stp>EM_S_IPO_LISTEDDATE</stp>
        <stp>1</stp>
        <stp>002643</stp>
        <tr r="AT561" s="1"/>
      </tp>
      <tp t="s">
        <v>2017-07-12</v>
        <stp/>
        <stp>EM_S_IPO_LISTEDDATE</stp>
        <stp>1</stp>
        <stp>300672</stp>
        <tr r="AT1657" s="1"/>
      </tp>
      <tp t="s">
        <v>1992-12-03</v>
        <stp/>
        <stp>EM_S_IPO_LISTEDDATE</stp>
        <stp>1</stp>
        <stp>600622</stp>
        <tr r="AT3247" s="1"/>
      </tp>
      <tp t="s">
        <v>2011-12-20</v>
        <stp/>
        <stp>EM_S_IPO_LISTEDDATE</stp>
        <stp>1</stp>
        <stp>002642</stp>
        <tr r="AT2603" s="1"/>
      </tp>
      <tp t="s">
        <v>1997-01-24</v>
        <stp/>
        <stp>EM_S_IPO_LISTEDDATE</stp>
        <stp>1</stp>
        <stp>000679</stp>
        <tr r="AT3506" s="1"/>
      </tp>
      <tp t="s">
        <v>2017-05-05</v>
        <stp/>
        <stp>EM_S_IPO_LISTEDDATE</stp>
        <stp>1</stp>
        <stp>300649</stp>
        <tr r="AT3039" s="1"/>
      </tp>
      <tp t="s">
        <v>1992-11-16</v>
        <stp/>
        <stp>EM_S_IPO_LISTEDDATE</stp>
        <stp>1</stp>
        <stp>600619</stp>
        <tr r="AT2513" s="1"/>
      </tp>
      <tp t="s">
        <v>2017-07-20</v>
        <stp/>
        <stp>EM_S_IPO_LISTEDDATE</stp>
        <stp>1</stp>
        <stp>601619</stp>
        <tr r="AT3015" s="1"/>
      </tp>
      <tp t="s">
        <v>2012-06-05</v>
        <stp/>
        <stp>EM_S_IPO_LISTEDDATE</stp>
        <stp>1</stp>
        <stp>002679</stp>
        <tr r="AT2584" s="1"/>
      </tp>
      <tp t="s">
        <v>2017-11-17</v>
        <stp/>
        <stp>EM_S_IPO_LISTEDDATE</stp>
        <stp>1</stp>
        <stp>603619</stp>
        <tr r="AT2734" s="1"/>
      </tp>
      <tp t="s">
        <v>1997-01-06</v>
        <stp/>
        <stp>EM_S_IPO_LISTEDDATE</stp>
        <stp>1</stp>
        <stp>000678</stp>
        <tr r="AT3505" s="1"/>
      </tp>
      <tp t="s">
        <v>2017-04-25</v>
        <stp/>
        <stp>EM_S_IPO_LISTEDDATE</stp>
        <stp>1</stp>
        <stp>300648</stp>
        <tr r="AT2494" s="1"/>
      </tp>
      <tp t="s">
        <v>1992-11-13</v>
        <stp/>
        <stp>EM_S_IPO_LISTEDDATE</stp>
        <stp>1</stp>
        <stp>600618</stp>
        <tr r="AT1601" s="1"/>
      </tp>
      <tp t="s">
        <v>2009-09-21</v>
        <stp/>
        <stp>EM_S_IPO_LISTEDDATE</stp>
        <stp>1</stp>
        <stp>601618</stp>
        <tr r="AT2782" s="1"/>
      </tp>
      <tp t="s">
        <v>2012-05-30</v>
        <stp/>
        <stp>EM_S_IPO_LISTEDDATE</stp>
        <stp>1</stp>
        <stp>002678</stp>
        <tr r="AT697" s="1"/>
      </tp>
      <tp t="s">
        <v>2015-02-17</v>
        <stp/>
        <stp>EM_S_IPO_LISTEDDATE</stp>
        <stp>1</stp>
        <stp>603618</stp>
        <tr r="AT2025" s="1"/>
      </tp>
      <tp t="s">
        <v>1996-12-26</v>
        <stp/>
        <stp>EM_S_IPO_LISTEDDATE</stp>
        <stp>1</stp>
        <stp>000675</stp>
        <tr r="AT3504" s="1"/>
      </tp>
      <tp t="s">
        <v>2017-04-21</v>
        <stp/>
        <stp>EM_S_IPO_LISTEDDATE</stp>
        <stp>1</stp>
        <stp>300645</stp>
        <tr r="AT3374" s="1"/>
      </tp>
      <tp t="s">
        <v>1992-09-10</v>
        <stp/>
        <stp>EM_S_IPO_LISTEDDATE</stp>
        <stp>1</stp>
        <stp>600615</stp>
        <tr r="AT1631" s="1"/>
      </tp>
      <tp t="s">
        <v>2012-05-25</v>
        <stp/>
        <stp>EM_S_IPO_LISTEDDATE</stp>
        <stp>1</stp>
        <stp>002675</stp>
        <tr r="AT177" s="1"/>
      </tp>
      <tp t="s">
        <v>2017-02-13</v>
        <stp/>
        <stp>EM_S_IPO_LISTEDDATE</stp>
        <stp>1</stp>
        <stp>603615</stp>
        <tr r="AT1733" s="1"/>
      </tp>
      <tp t="s">
        <v>2018-02-06</v>
        <stp/>
        <stp>EM_S_IPO_LISTEDDATE</stp>
        <stp>1</stp>
        <stp>300644</stp>
        <tr r="AT2969" s="1"/>
      </tp>
      <tp t="s">
        <v>1992-08-28</v>
        <stp/>
        <stp>EM_S_IPO_LISTEDDATE</stp>
        <stp>1</stp>
        <stp>600614</stp>
        <tr r="AT3373" s="1"/>
      </tp>
      <tp t="s">
        <v>2012-05-07</v>
        <stp/>
        <stp>EM_S_IPO_LISTEDDATE</stp>
        <stp>1</stp>
        <stp>002674</stp>
        <tr r="AT622" s="1"/>
      </tp>
      <tp t="s">
        <v>1996-12-26</v>
        <stp/>
        <stp>EM_S_IPO_LISTEDDATE</stp>
        <stp>1</stp>
        <stp>000677</stp>
        <tr r="AT699" s="1"/>
      </tp>
      <tp t="s">
        <v>2017-05-03</v>
        <stp/>
        <stp>EM_S_IPO_LISTEDDATE</stp>
        <stp>1</stp>
        <stp>300647</stp>
        <tr r="AT2744" s="1"/>
      </tp>
      <tp t="s">
        <v>1992-10-13</v>
        <stp/>
        <stp>EM_S_IPO_LISTEDDATE</stp>
        <stp>1</stp>
        <stp>600617</stp>
        <tr r="AT2412" s="1"/>
      </tp>
      <tp t="s">
        <v>2012-05-25</v>
        <stp/>
        <stp>EM_S_IPO_LISTEDDATE</stp>
        <stp>1</stp>
        <stp>002677</stp>
        <tr r="AT839" s="1"/>
      </tp>
      <tp t="s">
        <v>2017-07-03</v>
        <stp/>
        <stp>EM_S_IPO_LISTEDDATE</stp>
        <stp>1</stp>
        <stp>603617</stp>
        <tr r="AT2807" s="1"/>
      </tp>
      <tp t="s">
        <v>1996-12-24</v>
        <stp/>
        <stp>EM_S_IPO_LISTEDDATE</stp>
        <stp>1</stp>
        <stp>000676</stp>
        <tr r="AT2517" s="1"/>
      </tp>
      <tp>
        <v>0</v>
        <stp/>
        <stp>EM_S_IPO_LISTEDDATE</stp>
        <stp>1</stp>
        <stp>300646</stp>
        <tr r="AT10" s="1"/>
      </tp>
      <tp t="s">
        <v>1992-09-29</v>
        <stp/>
        <stp>EM_S_IPO_LISTEDDATE</stp>
        <stp>1</stp>
        <stp>600616</stp>
        <tr r="AT2035" s="1"/>
      </tp>
      <tp t="s">
        <v>2011-02-01</v>
        <stp/>
        <stp>EM_S_IPO_LISTEDDATE</stp>
        <stp>1</stp>
        <stp>601616</stp>
        <tr r="AT2516" s="1"/>
      </tp>
      <tp t="s">
        <v>2012-05-25</v>
        <stp/>
        <stp>EM_S_IPO_LISTEDDATE</stp>
        <stp>1</stp>
        <stp>002676</stp>
        <tr r="AT1749" s="1"/>
      </tp>
      <tp t="s">
        <v>2015-06-11</v>
        <stp/>
        <stp>EM_S_IPO_LISTEDDATE</stp>
        <stp>1</stp>
        <stp>603616</stp>
        <tr r="AT3209" s="1"/>
      </tp>
      <tp t="s">
        <v>1996-12-18</v>
        <stp/>
        <stp>EM_S_IPO_LISTEDDATE</stp>
        <stp>1</stp>
        <stp>000671</stp>
        <tr r="AT373" s="1"/>
      </tp>
      <tp t="s">
        <v>2017-04-18</v>
        <stp/>
        <stp>EM_S_IPO_LISTEDDATE</stp>
        <stp>1</stp>
        <stp>300641</stp>
        <tr r="AT2353" s="1"/>
      </tp>
      <tp t="s">
        <v>1992-08-07</v>
        <stp/>
        <stp>EM_S_IPO_LISTEDDATE</stp>
        <stp>1</stp>
        <stp>600611</stp>
        <tr r="AT2175" s="1"/>
      </tp>
      <tp t="s">
        <v>2016-06-06</v>
        <stp/>
        <stp>EM_S_IPO_LISTEDDATE</stp>
        <stp>1</stp>
        <stp>601611</stp>
        <tr r="AT1819" s="1"/>
      </tp>
      <tp t="s">
        <v>2012-04-26</v>
        <stp/>
        <stp>EM_S_IPO_LISTEDDATE</stp>
        <stp>1</stp>
        <stp>002671</stp>
        <tr r="AT1752" s="1"/>
      </tp>
      <tp t="s">
        <v>2015-01-28</v>
        <stp/>
        <stp>EM_S_IPO_LISTEDDATE</stp>
        <stp>1</stp>
        <stp>603611</stp>
        <tr r="AT826" s="1"/>
      </tp>
      <tp t="s">
        <v>1996-12-17</v>
        <stp/>
        <stp>EM_S_IPO_LISTEDDATE</stp>
        <stp>1</stp>
        <stp>000670</stp>
        <tr r="AT3502" s="1"/>
      </tp>
      <tp t="s">
        <v>2017-04-17</v>
        <stp/>
        <stp>EM_S_IPO_LISTEDDATE</stp>
        <stp>1</stp>
        <stp>300640</stp>
        <tr r="AT2861" s="1"/>
      </tp>
      <tp t="s">
        <v>1992-08-05</v>
        <stp/>
        <stp>EM_S_IPO_LISTEDDATE</stp>
        <stp>1</stp>
        <stp>600610</stp>
        <tr r="AT203" s="1"/>
      </tp>
      <tp t="s">
        <v>2012-04-16</v>
        <stp/>
        <stp>EM_S_IPO_LISTEDDATE</stp>
        <stp>1</stp>
        <stp>002670</stp>
        <tr r="AT1233" s="1"/>
      </tp>
      <tp t="s">
        <v>1997-01-24</v>
        <stp/>
        <stp>EM_S_IPO_LISTEDDATE</stp>
        <stp>1</stp>
        <stp>000673</stp>
        <tr r="AT3503" s="1"/>
      </tp>
      <tp t="s">
        <v>2017-05-05</v>
        <stp/>
        <stp>EM_S_IPO_LISTEDDATE</stp>
        <stp>1</stp>
        <stp>300643</stp>
        <tr r="AT149" s="1"/>
      </tp>
      <tp t="s">
        <v>1992-08-20</v>
        <stp/>
        <stp>EM_S_IPO_LISTEDDATE</stp>
        <stp>1</stp>
        <stp>600613</stp>
        <tr r="AT768" s="1"/>
      </tp>
      <tp t="s">
        <v>2012-05-03</v>
        <stp/>
        <stp>EM_S_IPO_LISTEDDATE</stp>
        <stp>1</stp>
        <stp>002673</stp>
        <tr r="AT998" s="1"/>
      </tp>
      <tp t="s">
        <v>1996-12-18</v>
        <stp/>
        <stp>EM_S_IPO_LISTEDDATE</stp>
        <stp>1</stp>
        <stp>000672</stp>
        <tr r="AT150" s="1"/>
      </tp>
      <tp t="s">
        <v>2017-04-21</v>
        <stp/>
        <stp>EM_S_IPO_LISTEDDATE</stp>
        <stp>1</stp>
        <stp>300642</stp>
        <tr r="AT1902" s="1"/>
      </tp>
      <tp t="s">
        <v>1992-08-14</v>
        <stp/>
        <stp>EM_S_IPO_LISTEDDATE</stp>
        <stp>1</stp>
        <stp>600612</stp>
        <tr r="AT2043" s="1"/>
      </tp>
      <tp t="s">
        <v>2012-04-26</v>
        <stp/>
        <stp>EM_S_IPO_LISTEDDATE</stp>
        <stp>1</stp>
        <stp>002672</stp>
        <tr r="AT3093" s="1"/>
      </tp>
      <tp t="s">
        <v>2017-07-18</v>
        <stp/>
        <stp>EM_S_IPO_LISTEDDATE</stp>
        <stp>1</stp>
        <stp>603612</stp>
        <tr r="AT2028" s="1"/>
      </tp>
      <tp t="s">
        <v>1996-12-10</v>
        <stp/>
        <stp>EM_S_IPO_LISTEDDATE</stp>
        <stp>1</stp>
        <stp>000669</stp>
        <tr r="AT3501" s="1"/>
      </tp>
      <tp t="s">
        <v>2017-05-26</v>
        <stp/>
        <stp>EM_S_IPO_LISTEDDATE</stp>
        <stp>1</stp>
        <stp>300659</stp>
        <tr r="AT39" s="1"/>
      </tp>
      <tp t="s">
        <v>1992-07-24</v>
        <stp/>
        <stp>EM_S_IPO_LISTEDDATE</stp>
        <stp>1</stp>
        <stp>600609</stp>
        <tr r="AT955" s="1"/>
      </tp>
      <tp t="s">
        <v>2012-04-16</v>
        <stp/>
        <stp>EM_S_IPO_LISTEDDATE</stp>
        <stp>1</stp>
        <stp>002669</stp>
        <tr r="AT830" s="1"/>
      </tp>
      <tp t="s">
        <v>2014-08-08</v>
        <stp/>
        <stp>EM_S_IPO_LISTEDDATE</stp>
        <stp>1</stp>
        <stp>603609</stp>
        <tr r="AT548" s="1"/>
      </tp>
      <tp t="s">
        <v>1996-12-10</v>
        <stp/>
        <stp>EM_S_IPO_LISTEDDATE</stp>
        <stp>1</stp>
        <stp>000668</stp>
        <tr r="AT3500" s="1"/>
      </tp>
      <tp t="s">
        <v>2017-06-02</v>
        <stp/>
        <stp>EM_S_IPO_LISTEDDATE</stp>
        <stp>1</stp>
        <stp>300658</stp>
        <tr r="AT886" s="1"/>
      </tp>
      <tp t="s">
        <v>1992-03-27</v>
        <stp/>
        <stp>EM_S_IPO_LISTEDDATE</stp>
        <stp>1</stp>
        <stp>600608</stp>
        <tr r="AT1802" s="1"/>
      </tp>
      <tp t="s">
        <v>2012-07-06</v>
        <stp/>
        <stp>EM_S_IPO_LISTEDDATE</stp>
        <stp>1</stp>
        <stp>601608</stp>
        <tr r="AT692" s="1"/>
      </tp>
      <tp t="s">
        <v>2012-04-16</v>
        <stp/>
        <stp>EM_S_IPO_LISTEDDATE</stp>
        <stp>1</stp>
        <stp>002668</stp>
        <tr r="AT1444" s="1"/>
      </tp>
      <tp t="s">
        <v>2016-02-18</v>
        <stp/>
        <stp>EM_S_IPO_LISTEDDATE</stp>
        <stp>1</stp>
        <stp>603608</stp>
        <tr r="AT2963" s="1"/>
      </tp>
      <tp t="s">
        <v>1996-12-10</v>
        <stp/>
        <stp>EM_S_IPO_LISTEDDATE</stp>
        <stp>1</stp>
        <stp>000665</stp>
        <tr r="AT3156" s="1"/>
      </tp>
      <tp t="s">
        <v>2017-05-23</v>
        <stp/>
        <stp>EM_S_IPO_LISTEDDATE</stp>
        <stp>1</stp>
        <stp>300655</stp>
        <tr r="AT94" s="1"/>
      </tp>
      <tp t="s">
        <v>1992-03-27</v>
        <stp/>
        <stp>EM_S_IPO_LISTEDDATE</stp>
        <stp>1</stp>
        <stp>600605</stp>
        <tr r="AT1488" s="1"/>
      </tp>
      <tp t="s">
        <v>2012-03-27</v>
        <stp/>
        <stp>EM_S_IPO_LISTEDDATE</stp>
        <stp>1</stp>
        <stp>002665</stp>
        <tr r="AT1281" s="1"/>
      </tp>
      <tp t="s">
        <v>2017-11-15</v>
        <stp/>
        <stp>EM_S_IPO_LISTEDDATE</stp>
        <stp>1</stp>
        <stp>603605</stp>
        <tr r="AT169" s="1"/>
      </tp>
      <tp t="s">
        <v>2017-09-26</v>
        <stp/>
        <stp>EM_S_IPO_LISTEDDATE</stp>
        <stp>1</stp>
        <stp>300654</stp>
        <tr r="AT3061" s="1"/>
      </tp>
      <tp t="s">
        <v>1992-03-27</v>
        <stp/>
        <stp>EM_S_IPO_LISTEDDATE</stp>
        <stp>1</stp>
        <stp>600604</stp>
        <tr r="AT1429" s="1"/>
      </tp>
      <tp t="s">
        <v>2012-03-16</v>
        <stp/>
        <stp>EM_S_IPO_LISTEDDATE</stp>
        <stp>1</stp>
        <stp>002664</stp>
        <tr r="AT985" s="1"/>
      </tp>
      <tp t="s">
        <v>1996-12-05</v>
        <stp/>
        <stp>EM_S_IPO_LISTEDDATE</stp>
        <stp>1</stp>
        <stp>000667</stp>
        <tr r="AT3499" s="1"/>
      </tp>
      <tp t="s">
        <v>2017-05-23</v>
        <stp/>
        <stp>EM_S_IPO_LISTEDDATE</stp>
        <stp>1</stp>
        <stp>300657</stp>
        <tr r="AT1186" s="1"/>
      </tp>
      <tp t="s">
        <v>1992-03-27</v>
        <stp/>
        <stp>EM_S_IPO_LISTEDDATE</stp>
        <stp>1</stp>
        <stp>600607</stp>
        <tr r="AT2306" s="1"/>
      </tp>
      <tp t="s">
        <v>1994-03-24</v>
        <stp/>
        <stp>EM_S_IPO_LISTEDDATE</stp>
        <stp>1</stp>
        <stp>601607</stp>
        <tr r="AT1979" s="1"/>
      </tp>
      <tp t="s">
        <v>2012-03-29</v>
        <stp/>
        <stp>EM_S_IPO_LISTEDDATE</stp>
        <stp>1</stp>
        <stp>002667</stp>
        <tr r="AT1882" s="1"/>
      </tp>
      <tp t="s">
        <v>2017-10-25</v>
        <stp/>
        <stp>EM_S_IPO_LISTEDDATE</stp>
        <stp>1</stp>
        <stp>603607</stp>
        <tr r="AT1256" s="1"/>
      </tp>
      <tp t="s">
        <v>1996-12-10</v>
        <stp/>
        <stp>EM_S_IPO_LISTEDDATE</stp>
        <stp>1</stp>
        <stp>000666</stp>
        <tr r="AT1969" s="1"/>
      </tp>
      <tp t="s">
        <v>2017-05-19</v>
        <stp/>
        <stp>EM_S_IPO_LISTEDDATE</stp>
        <stp>1</stp>
        <stp>300656</stp>
        <tr r="AT2217" s="1"/>
      </tp>
      <tp t="s">
        <v>1992-03-27</v>
        <stp/>
        <stp>EM_S_IPO_LISTEDDATE</stp>
        <stp>1</stp>
        <stp>600606</stp>
        <tr r="AT1591" s="1"/>
      </tp>
      <tp t="s">
        <v>2012-03-27</v>
        <stp/>
        <stp>EM_S_IPO_LISTEDDATE</stp>
        <stp>1</stp>
        <stp>002666</stp>
        <tr r="AT1190" s="1"/>
      </tp>
      <tp t="s">
        <v>2014-10-15</v>
        <stp/>
        <stp>EM_S_IPO_LISTEDDATE</stp>
        <stp>1</stp>
        <stp>603606</stp>
        <tr r="AT1264" s="1"/>
      </tp>
      <tp t="s">
        <v>1996-12-18</v>
        <stp/>
        <stp>EM_S_IPO_LISTEDDATE</stp>
        <stp>1</stp>
        <stp>000661</stp>
        <tr r="AT85" s="1"/>
      </tp>
      <tp t="s">
        <v>2017-05-09</v>
        <stp/>
        <stp>EM_S_IPO_LISTEDDATE</stp>
        <stp>1</stp>
        <stp>300651</stp>
        <tr r="AT3284" s="1"/>
      </tp>
      <tp t="s">
        <v>1990-12-19</v>
        <stp/>
        <stp>EM_S_IPO_LISTEDDATE</stp>
        <stp>1</stp>
        <stp>600601</stp>
        <tr r="AT651" s="1"/>
      </tp>
      <tp t="s">
        <v>2007-12-25</v>
        <stp/>
        <stp>EM_S_IPO_LISTEDDATE</stp>
        <stp>1</stp>
        <stp>601601</stp>
        <tr r="AT836" s="1"/>
      </tp>
      <tp t="s">
        <v>2012-03-16</v>
        <stp/>
        <stp>EM_S_IPO_LISTEDDATE</stp>
        <stp>1</stp>
        <stp>002661</stp>
        <tr r="AT2711" s="1"/>
      </tp>
      <tp t="s">
        <v>2015-01-22</v>
        <stp/>
        <stp>EM_S_IPO_LISTEDDATE</stp>
        <stp>1</stp>
        <stp>603601</stp>
        <tr r="AT2589" s="1"/>
      </tp>
      <tp t="s">
        <v>1996-12-09</v>
        <stp/>
        <stp>EM_S_IPO_LISTEDDATE</stp>
        <stp>1</stp>
        <stp>000660</stp>
        <tr r="AT3496" s="1"/>
      </tp>
      <tp t="s">
        <v>2017-05-03</v>
        <stp/>
        <stp>EM_S_IPO_LISTEDDATE</stp>
        <stp>1</stp>
        <stp>300650</stp>
        <tr r="AT1066" s="1"/>
      </tp>
      <tp t="s">
        <v>1993-08-27</v>
        <stp/>
        <stp>EM_S_IPO_LISTEDDATE</stp>
        <stp>1</stp>
        <stp>600600</stp>
        <tr r="AT615" s="1"/>
      </tp>
      <tp t="s">
        <v>2007-04-30</v>
        <stp/>
        <stp>EM_S_IPO_LISTEDDATE</stp>
        <stp>1</stp>
        <stp>601600</stp>
        <tr r="AT2346" s="1"/>
      </tp>
      <tp t="s">
        <v>2012-03-16</v>
        <stp/>
        <stp>EM_S_IPO_LISTEDDATE</stp>
        <stp>1</stp>
        <stp>002660</stp>
        <tr r="AT568" s="1"/>
      </tp>
      <tp t="s">
        <v>2015-01-23</v>
        <stp/>
        <stp>EM_S_IPO_LISTEDDATE</stp>
        <stp>1</stp>
        <stp>603600</stp>
        <tr r="AT311" s="1"/>
      </tp>
      <tp t="s">
        <v>1996-12-06</v>
        <stp/>
        <stp>EM_S_IPO_LISTEDDATE</stp>
        <stp>1</stp>
        <stp>000663</stp>
        <tr r="AT3498" s="1"/>
      </tp>
      <tp t="s">
        <v>2017-05-16</v>
        <stp/>
        <stp>EM_S_IPO_LISTEDDATE</stp>
        <stp>1</stp>
        <stp>300653</stp>
        <tr r="AT539" s="1"/>
      </tp>
      <tp t="s">
        <v>1992-01-13</v>
        <stp/>
        <stp>EM_S_IPO_LISTEDDATE</stp>
        <stp>1</stp>
        <stp>600603</stp>
        <tr r="AT1271" s="1"/>
      </tp>
      <tp t="s">
        <v>2012-03-16</v>
        <stp/>
        <stp>EM_S_IPO_LISTEDDATE</stp>
        <stp>1</stp>
        <stp>002663</stp>
        <tr r="AT1524" s="1"/>
      </tp>
      <tp t="s">
        <v>2017-02-17</v>
        <stp/>
        <stp>EM_S_IPO_LISTEDDATE</stp>
        <stp>1</stp>
        <stp>603603</stp>
        <tr r="AT3314" s="1"/>
      </tp>
      <tp t="s">
        <v>1996-12-16</v>
        <stp/>
        <stp>EM_S_IPO_LISTEDDATE</stp>
        <stp>1</stp>
        <stp>000662</stp>
        <tr r="AT3497" s="1"/>
      </tp>
      <tp t="s">
        <v>2017-05-16</v>
        <stp/>
        <stp>EM_S_IPO_LISTEDDATE</stp>
        <stp>1</stp>
        <stp>300652</stp>
        <tr r="AT2079" s="1"/>
      </tp>
      <tp t="s">
        <v>1990-12-19</v>
        <stp/>
        <stp>EM_S_IPO_LISTEDDATE</stp>
        <stp>1</stp>
        <stp>600602</stp>
        <tr r="AT353" s="1"/>
      </tp>
      <tp t="s">
        <v>2012-03-09</v>
        <stp/>
        <stp>EM_S_IPO_LISTEDDATE</stp>
        <stp>1</stp>
        <stp>002662</stp>
        <tr r="AT3217" s="1"/>
      </tp>
      <tp t="s">
        <v>2017-08-10</v>
        <stp/>
        <stp>EM_S_IPO_LISTEDDATE</stp>
        <stp>1</stp>
        <stp>603602</stp>
        <tr r="AT2921" s="1"/>
      </tp>
      <tp>
        <v>0.60322663593199999</v>
        <stp/>
        <stp>EM_S_FA_ASSETSTURN</stp>
        <stp>3</stp>
        <stp>000988</stp>
        <stp>12/31/2018</stp>
        <stp>1</stp>
        <tr r="K328" s="1"/>
      </tp>
      <tp>
        <v>0.38474968492200001</v>
        <stp/>
        <stp>EM_S_FA_ASSETSTURN</stp>
        <stp>3</stp>
        <stp>000888</stp>
        <stp>12/31/2018</stp>
        <stp>1</stp>
        <tr r="K3563" s="1"/>
      </tp>
      <tp>
        <v>4.1162907552E-2</v>
        <stp/>
        <stp>EM_S_FA_ASSETSTURN</stp>
        <stp>3</stp>
        <stp>000088</stp>
        <stp>12/31/2018</stp>
        <stp>1</stp>
        <tr r="K1566" s="1"/>
      </tp>
      <tp>
        <v>1.0979045542000001</v>
        <stp/>
        <stp>EM_S_FA_ASSETSTURN</stp>
        <stp>3</stp>
        <stp>000788</stp>
        <stp>12/31/2018</stp>
        <stp>1</stp>
        <tr r="K1145" s="1"/>
      </tp>
      <tp>
        <v>0.49026098777900001</v>
        <stp/>
        <stp>EM_S_FA_ASSETSTURN</stp>
        <stp>3</stp>
        <stp>000688</stp>
        <stp>12/31/2018</stp>
        <stp>1</stp>
        <tr r="K3510" s="1"/>
      </tp>
      <tp>
        <v>0.22243312727699999</v>
        <stp/>
        <stp>EM_S_FA_ASSETSTURN</stp>
        <stp>3</stp>
        <stp>000588</stp>
        <stp>12/31/2018</stp>
        <stp>1</stp>
        <tr r="K3470" s="1"/>
      </tp>
      <tp>
        <v>0.27377673041900003</v>
        <stp/>
        <stp>EM_S_FA_ASSETSTURN</stp>
        <stp>3</stp>
        <stp>000488</stp>
        <stp>12/31/2018</stp>
        <stp>1</stp>
        <tr r="K3427" s="1"/>
      </tp>
      <tp>
        <v>0.54761493639000003</v>
        <stp/>
        <stp>EM_S_FA_ASSETSTURN</stp>
        <stp>3</stp>
        <stp>002888</stp>
        <stp>12/31/2018</stp>
        <stp>1</stp>
        <tr r="K1442" s="1"/>
      </tp>
      <tp>
        <v>0.44558827247600002</v>
        <stp/>
        <stp>EM_S_FA_ASSETSTURN</stp>
        <stp>3</stp>
        <stp>002388</stp>
        <stp>12/31/2018</stp>
        <stp>1</stp>
        <tr r="K895" s="1"/>
      </tp>
      <tp>
        <v>0.50795369489800002</v>
        <stp/>
        <stp>EM_S_FA_ASSETSTURN</stp>
        <stp>3</stp>
        <stp>002288</stp>
        <stp>12/31/2018</stp>
        <stp>1</stp>
        <tr r="K1928" s="1"/>
      </tp>
      <tp>
        <v>0.32216395704900003</v>
        <stp/>
        <stp>EM_S_FA_ASSETSTURN</stp>
        <stp>3</stp>
        <stp>002188</stp>
        <stp>12/31/2018</stp>
        <stp>1</stp>
        <tr r="K2426" s="1"/>
      </tp>
      <tp>
        <v>0.70209378297400005</v>
        <stp/>
        <stp>EM_S_FA_ASSETSTURN</stp>
        <stp>3</stp>
        <stp>002088</stp>
        <stp>12/31/2018</stp>
        <stp>1</stp>
        <tr r="K1065" s="1"/>
      </tp>
      <tp>
        <v>2.053191684008</v>
        <stp/>
        <stp>EM_S_FA_ASSETSTURN</stp>
        <stp>3</stp>
        <stp>002788</stp>
        <stp>12/31/2018</stp>
        <stp>1</stp>
        <tr r="K3288" s="1"/>
      </tp>
      <tp>
        <v>0.51749683233099997</v>
        <stp/>
        <stp>EM_S_FA_ASSETSTURN</stp>
        <stp>3</stp>
        <stp>002688</stp>
        <stp>12/31/2018</stp>
        <stp>1</stp>
        <tr r="K809" s="1"/>
      </tp>
      <tp>
        <v>0.77398929182200005</v>
        <stp/>
        <stp>EM_S_FA_ASSETSTURN</stp>
        <stp>3</stp>
        <stp>002588</stp>
        <stp>12/31/2018</stp>
        <stp>1</stp>
        <tr r="K2389" s="1"/>
      </tp>
      <tp>
        <v>0.378339076592</v>
        <stp/>
        <stp>EM_S_FA_ASSETSTURN</stp>
        <stp>3</stp>
        <stp>002488</stp>
        <stp>12/31/2018</stp>
        <stp>1</stp>
        <tr r="K1900" s="1"/>
      </tp>
      <tp>
        <v>0.56141878760599995</v>
        <stp/>
        <stp>EM_S_FA_ASSETSTURN</stp>
        <stp>3</stp>
        <stp>000989</stp>
        <stp>12/31/2018</stp>
        <stp>1</stp>
        <tr r="K3598" s="1"/>
      </tp>
      <tp>
        <v>0.70905849246999997</v>
        <stp/>
        <stp>EM_S_FA_ASSETSTURN</stp>
        <stp>3</stp>
        <stp>000889</stp>
        <stp>12/31/2018</stp>
        <stp>1</stp>
        <tr r="K2649" s="1"/>
      </tp>
      <tp>
        <v>0.27092153000500002</v>
        <stp/>
        <stp>EM_S_FA_ASSETSTURN</stp>
        <stp>3</stp>
        <stp>000089</stp>
        <stp>12/31/2018</stp>
        <stp>1</stp>
        <tr r="K1035" s="1"/>
      </tp>
      <tp>
        <v>1.107849133784</v>
        <stp/>
        <stp>EM_S_FA_ASSETSTURN</stp>
        <stp>3</stp>
        <stp>000789</stp>
        <stp>12/31/2018</stp>
        <stp>1</stp>
        <tr r="K2031" s="1"/>
      </tp>
      <tp>
        <v>0</v>
        <stp/>
        <stp>EM_S_FA_ASSETSTURN</stp>
        <stp>3</stp>
        <stp>000689</stp>
        <stp>12/31/2018</stp>
        <stp>1</stp>
        <tr r="K3511" s="1"/>
      </tp>
      <tp>
        <v>0.67588384084300002</v>
        <stp/>
        <stp>EM_S_FA_ASSETSTURN</stp>
        <stp>3</stp>
        <stp>000589</stp>
        <stp>12/31/2018</stp>
        <stp>1</stp>
        <tr r="K3471" s="1"/>
      </tp>
      <tp>
        <v>1.77524868199</v>
        <stp/>
        <stp>EM_S_FA_ASSETSTURN</stp>
        <stp>3</stp>
        <stp>002889</stp>
        <stp>12/31/2018</stp>
        <stp>1</stp>
        <tr r="K1842" s="1"/>
      </tp>
      <tp>
        <v>0.35139665136699999</v>
        <stp/>
        <stp>EM_S_FA_ASSETSTURN</stp>
        <stp>3</stp>
        <stp>002389</stp>
        <stp>12/31/2018</stp>
        <stp>1</stp>
        <tr r="K2708" s="1"/>
      </tp>
      <tp>
        <v>0.48642363925600002</v>
        <stp/>
        <stp>EM_S_FA_ASSETSTURN</stp>
        <stp>3</stp>
        <stp>002289</stp>
        <stp>12/31/2018</stp>
        <stp>1</stp>
        <tr r="K380" s="1"/>
      </tp>
      <tp>
        <v>1.4692342264160001</v>
        <stp/>
        <stp>EM_S_FA_ASSETSTURN</stp>
        <stp>3</stp>
        <stp>002189</stp>
        <stp>12/31/2018</stp>
        <stp>1</stp>
        <tr r="K409" s="1"/>
      </tp>
      <tp>
        <v>0.16028684506999999</v>
        <stp/>
        <stp>EM_S_FA_ASSETSTURN</stp>
        <stp>3</stp>
        <stp>002089</stp>
        <stp>12/31/2018</stp>
        <stp>1</stp>
        <tr r="K3630" s="1"/>
      </tp>
      <tp>
        <v>0.77642073840900006</v>
        <stp/>
        <stp>EM_S_FA_ASSETSTURN</stp>
        <stp>3</stp>
        <stp>002789</stp>
        <stp>12/31/2018</stp>
        <stp>1</stp>
        <tr r="K2208" s="1"/>
      </tp>
      <tp>
        <v>0.50459004473699998</v>
        <stp/>
        <stp>EM_S_FA_ASSETSTURN</stp>
        <stp>3</stp>
        <stp>002689</stp>
        <stp>12/31/2018</stp>
        <stp>1</stp>
        <tr r="K1692" s="1"/>
      </tp>
      <tp>
        <v>1.097348779367</v>
        <stp/>
        <stp>EM_S_FA_ASSETSTURN</stp>
        <stp>3</stp>
        <stp>002589</stp>
        <stp>12/31/2018</stp>
        <stp>1</stp>
        <tr r="K1768" s="1"/>
      </tp>
      <tp>
        <v>0.57667852213500004</v>
        <stp/>
        <stp>EM_S_FA_ASSETSTURN</stp>
        <stp>3</stp>
        <stp>002489</stp>
        <stp>12/31/2018</stp>
        <stp>1</stp>
        <tr r="K452" s="1"/>
      </tp>
      <tp>
        <v>0.42925958139999998</v>
        <stp/>
        <stp>EM_S_RATIO_EPS_TTM</stp>
        <stp>3</stp>
        <stp>603159</stp>
        <stp>12/31/2018</stp>
        <stp>1</stp>
        <tr r="U3276" s="1"/>
      </tp>
      <tp>
        <v>1.180151626125</v>
        <stp/>
        <stp>EM_S_RATIO_EPS_TTM</stp>
        <stp>3</stp>
        <stp>603059</stp>
        <stp>12/31/2018</stp>
        <stp>1</stp>
        <tr r="U2986" s="1"/>
      </tp>
      <tp>
        <v>1.0224910891287973</v>
        <stp/>
        <stp>EM_S_RATIO_EPS_TTM</stp>
        <stp>3</stp>
        <stp>603359</stp>
        <stp>12/31/2018</stp>
        <stp>1</stp>
        <tr r="U2716" s="1"/>
      </tp>
      <tp>
        <v>1.9407945107982565</v>
        <stp/>
        <stp>EM_S_RATIO_EPS_TTM</stp>
        <stp>3</stp>
        <stp>603259</stp>
        <stp>12/31/2018</stp>
        <stp>1</stp>
        <tr r="U1205" s="1"/>
      </tp>
      <tp>
        <v>0.34383873895167244</v>
        <stp/>
        <stp>EM_S_RATIO_EPS_TTM</stp>
        <stp>3</stp>
        <stp>603559</stp>
        <stp>12/31/2018</stp>
        <stp>1</stp>
        <tr r="U3183" s="1"/>
      </tp>
      <tp>
        <v>1.3670667397983187</v>
        <stp/>
        <stp>EM_S_RATIO_EPS_TTM</stp>
        <stp>3</stp>
        <stp>603659</stp>
        <stp>12/31/2018</stp>
        <stp>1</stp>
        <tr r="U241" s="1"/>
      </tp>
      <tp>
        <v>0.47851086648596936</v>
        <stp/>
        <stp>EM_S_RATIO_EPS_TTM</stp>
        <stp>3</stp>
        <stp>603959</stp>
        <stp>12/31/2018</stp>
        <stp>1</stp>
        <tr r="U3275" s="1"/>
      </tp>
      <tp>
        <v>0.44655789917224376</v>
        <stp/>
        <stp>EM_S_RATIO_EPS_TTM</stp>
        <stp>3</stp>
        <stp>603859</stp>
        <stp>12/31/2018</stp>
        <stp>1</stp>
        <tr r="U443" s="1"/>
      </tp>
      <tp>
        <v>0.21803381598479726</v>
        <stp/>
        <stp>EM_S_RATIO_EPS_TTM</stp>
        <stp>3</stp>
        <stp>002139</stp>
        <stp>12/31/2018</stp>
        <stp>1</stp>
        <tr r="U684" s="1"/>
      </tp>
      <tp>
        <v>1.2043096416381811</v>
        <stp/>
        <stp>EM_S_RATIO_EPS_TTM</stp>
        <stp>3</stp>
        <stp>002039</stp>
        <stp>12/31/2018</stp>
        <stp>1</stp>
        <tr r="U3614" s="1"/>
      </tp>
      <tp>
        <v>0.18643542771580104</v>
        <stp/>
        <stp>EM_S_RATIO_EPS_TTM</stp>
        <stp>3</stp>
        <stp>002339</stp>
        <stp>12/31/2018</stp>
        <stp>1</stp>
        <tr r="U1989" s="1"/>
      </tp>
      <tp>
        <v>1.2710829489555205E-2</v>
        <stp/>
        <stp>EM_S_RATIO_EPS_TTM</stp>
        <stp>3</stp>
        <stp>002239</stp>
        <stp>12/31/2018</stp>
        <stp>1</stp>
        <tr r="U2868" s="1"/>
      </tp>
      <tp>
        <v>0.17396626568656567</v>
        <stp/>
        <stp>EM_S_RATIO_EPS_TTM</stp>
        <stp>3</stp>
        <stp>002539</stp>
        <stp>12/31/2018</stp>
        <stp>1</stp>
        <tr r="U1332" s="1"/>
      </tp>
      <tp>
        <v>0.63450320338156196</v>
        <stp/>
        <stp>EM_S_RATIO_EPS_TTM</stp>
        <stp>3</stp>
        <stp>002439</stp>
        <stp>12/31/2018</stp>
        <stp>1</stp>
        <tr r="U349" s="1"/>
      </tp>
      <tp>
        <v>0.73498369308357447</v>
        <stp/>
        <stp>EM_S_RATIO_EPS_TTM</stp>
        <stp>3</stp>
        <stp>002739</stp>
        <stp>12/31/2018</stp>
        <stp>1</stp>
        <tr r="U2975" s="1"/>
      </tp>
      <tp>
        <v>2.285469911292233E-2</v>
        <stp/>
        <stp>EM_S_RATIO_EPS_TTM</stp>
        <stp>3</stp>
        <stp>002639</stp>
        <stp>12/31/2018</stp>
        <stp>1</stp>
        <tr r="U434" s="1"/>
      </tp>
      <tp>
        <v>0.46202290391660694</v>
        <stp/>
        <stp>EM_S_RATIO_EPS_TTM</stp>
        <stp>3</stp>
        <stp>002839</stp>
        <stp>12/31/2018</stp>
        <stp>1</stp>
        <tr r="U1722" s="1"/>
      </tp>
      <tp>
        <v>0.41088282049743724</v>
        <stp/>
        <stp>EM_S_RATIO_EPS_TTM</stp>
        <stp>3</stp>
        <stp>300109</stp>
        <stp>12/31/2018</stp>
        <stp>1</stp>
        <tr r="U1364" s="1"/>
      </tp>
      <tp>
        <v>0.1097512880046231</v>
        <stp/>
        <stp>EM_S_RATIO_EPS_TTM</stp>
        <stp>3</stp>
        <stp>600159</stp>
        <stp>12/31/2018</stp>
        <stp>1</stp>
        <tr r="U1961" s="1"/>
      </tp>
      <tp>
        <v>1.1324785694281045</v>
        <stp/>
        <stp>EM_S_RATIO_EPS_TTM</stp>
        <stp>3</stp>
        <stp>000039</stp>
        <stp>12/31/2018</stp>
        <stp>1</stp>
        <tr r="U1426" s="1"/>
      </tp>
      <tp>
        <v>0.26386652105210978</v>
        <stp/>
        <stp>EM_S_RATIO_EPS_TTM</stp>
        <stp>3</stp>
        <stp>300009</stp>
        <stp>12/31/2018</stp>
        <stp>1</stp>
        <tr r="U1660" s="1"/>
      </tp>
      <tp>
        <v>0.21280020257650553</v>
        <stp/>
        <stp>EM_S_RATIO_EPS_TTM</stp>
        <stp>3</stp>
        <stp>600059</stp>
        <stp>12/31/2018</stp>
        <stp>1</stp>
        <tr r="U979" s="1"/>
      </tp>
      <tp>
        <v>0.22294699062568163</v>
        <stp/>
        <stp>EM_S_RATIO_EPS_TTM</stp>
        <stp>3</stp>
        <stp>300309</stp>
        <stp>12/31/2018</stp>
        <stp>1</stp>
        <tr r="U3321" s="1"/>
      </tp>
      <tp>
        <v>-0.57079345522386382</v>
        <stp/>
        <stp>EM_S_RATIO_EPS_TTM</stp>
        <stp>3</stp>
        <stp>600359</stp>
        <stp>12/31/2018</stp>
        <stp>1</stp>
        <tr r="U997" s="1"/>
      </tp>
      <tp>
        <v>8.3055729772131007E-2</v>
        <stp/>
        <stp>EM_S_RATIO_EPS_TTM</stp>
        <stp>3</stp>
        <stp>300209</stp>
        <stp>12/31/2018</stp>
        <stp>1</stp>
        <tr r="U866" s="1"/>
      </tp>
      <tp>
        <v>-0.88183566929914392</v>
        <stp/>
        <stp>EM_S_RATIO_EPS_TTM</stp>
        <stp>3</stp>
        <stp>600259</stp>
        <stp>12/31/2018</stp>
        <stp>1</stp>
        <tr r="U486" s="1"/>
      </tp>
      <tp>
        <v>9.0368825432141114E-2</v>
        <stp/>
        <stp>EM_S_RATIO_EPS_TTM</stp>
        <stp>3</stp>
        <stp>000539</stp>
        <stp>12/31/2018</stp>
        <stp>1</stp>
        <tr r="U2832" s="1"/>
      </tp>
      <tp>
        <v>0.28335891210526315</v>
        <stp/>
        <stp>EM_S_RATIO_EPS_TTM</stp>
        <stp>3</stp>
        <stp>300509</stp>
        <stp>12/31/2018</stp>
        <stp>1</stp>
        <tr r="U3148" s="1"/>
      </tp>
      <tp>
        <v>0.52607037614999808</v>
        <stp/>
        <stp>EM_S_RATIO_EPS_TTM</stp>
        <stp>3</stp>
        <stp>600559</stp>
        <stp>12/31/2018</stp>
        <stp>1</stp>
        <tr r="U2704" s="1"/>
      </tp>
      <tp>
        <v>0.49072021234309682</v>
        <stp/>
        <stp>EM_S_RATIO_EPS_TTM</stp>
        <stp>3</stp>
        <stp>300409</stp>
        <stp>12/31/2018</stp>
        <stp>1</stp>
        <tr r="U2377" s="1"/>
      </tp>
      <tp>
        <v>0.46318285212445098</v>
        <stp/>
        <stp>EM_S_RATIO_EPS_TTM</stp>
        <stp>3</stp>
        <stp>600459</stp>
        <stp>12/31/2018</stp>
        <stp>1</stp>
        <tr r="U755" s="1"/>
      </tp>
      <tp>
        <v>0.31443314016688267</v>
        <stp/>
        <stp>EM_S_RATIO_EPS_TTM</stp>
        <stp>3</stp>
        <stp>000739</stp>
        <stp>12/31/2018</stp>
        <stp>1</stp>
        <tr r="U340" s="1"/>
      </tp>
      <tp>
        <v>0.42256468670454544</v>
        <stp/>
        <stp>EM_S_RATIO_EPS_TTM</stp>
        <stp>3</stp>
        <stp>300709</stp>
        <stp>12/31/2018</stp>
        <stp>1</stp>
        <tr r="U30" s="1"/>
      </tp>
      <tp>
        <v>3.0759820701421674E-2</v>
        <stp/>
        <stp>EM_S_RATIO_EPS_TTM</stp>
        <stp>3</stp>
        <stp>600759</stp>
        <stp>12/31/2018</stp>
        <stp>1</stp>
        <tr r="U1390" s="1"/>
      </tp>
      <tp>
        <v>0.60758849689240513</v>
        <stp/>
        <stp>EM_S_RATIO_EPS_TTM</stp>
        <stp>3</stp>
        <stp>000639</stp>
        <stp>12/31/2018</stp>
        <stp>1</stp>
        <tr r="U3211" s="1"/>
      </tp>
      <tp>
        <v>0.64909869808480714</v>
        <stp/>
        <stp>EM_S_RATIO_EPS_TTM</stp>
        <stp>3</stp>
        <stp>300609</stp>
        <stp>12/31/2018</stp>
        <stp>1</stp>
        <tr r="U784" s="1"/>
      </tp>
      <tp>
        <v>3.2243589310993517E-4</v>
        <stp/>
        <stp>EM_S_RATIO_EPS_TTM</stp>
        <stp>3</stp>
        <stp>600659</stp>
        <stp>12/31/2018</stp>
        <stp>1</stp>
        <tr r="U2324" s="1"/>
      </tp>
      <tp>
        <v>-1.2239417291916306</v>
        <stp/>
        <stp>EM_S_RATIO_EPS_TTM</stp>
        <stp>3</stp>
        <stp>000939</stp>
        <stp>12/31/2018</stp>
        <stp>1</stp>
        <tr r="U3583" s="1"/>
      </tp>
      <tp>
        <v>0.12664103342120664</v>
        <stp/>
        <stp>EM_S_RATIO_EPS_TTM</stp>
        <stp>3</stp>
        <stp>600959</stp>
        <stp>12/31/2018</stp>
        <stp>1</stp>
        <tr r="U2509" s="1"/>
      </tp>
      <tp>
        <v>0.51179709934252726</v>
        <stp/>
        <stp>EM_S_RATIO_EPS_TTM</stp>
        <stp>3</stp>
        <stp>000839</stp>
        <stp>12/31/2018</stp>
        <stp>1</stp>
        <tr r="U3555" s="1"/>
      </tp>
      <tp>
        <v>1.5477318185814668</v>
        <stp/>
        <stp>EM_S_RATIO_EPS_TTM</stp>
        <stp>3</stp>
        <stp>600859</stp>
        <stp>12/31/2018</stp>
        <stp>1</stp>
        <tr r="U2086" s="1"/>
      </tp>
      <tp>
        <v>0.5349967508234218</v>
        <stp/>
        <stp>EM_S_RATIO_EPS_TTM</stp>
        <stp>3</stp>
        <stp>603158</stp>
        <stp>12/31/2018</stp>
        <stp>1</stp>
        <tr r="U2653" s="1"/>
      </tp>
      <tp>
        <v>0.26342482460862787</v>
        <stp/>
        <stp>EM_S_RATIO_EPS_TTM</stp>
        <stp>3</stp>
        <stp>603058</stp>
        <stp>12/31/2018</stp>
        <stp>1</stp>
        <tr r="U3088" s="1"/>
      </tp>
      <tp>
        <v>0.65633076973852034</v>
        <stp/>
        <stp>EM_S_RATIO_EPS_TTM</stp>
        <stp>3</stp>
        <stp>603358</stp>
        <stp>12/31/2018</stp>
        <stp>1</stp>
        <tr r="U844" s="1"/>
      </tp>
      <tp>
        <v>0.5334689513610914</v>
        <stp/>
        <stp>EM_S_RATIO_EPS_TTM</stp>
        <stp>3</stp>
        <stp>603258</stp>
        <stp>12/31/2018</stp>
        <stp>1</stp>
        <tr r="U727" s="1"/>
      </tp>
      <tp>
        <v>0.49583109409963627</v>
        <stp/>
        <stp>EM_S_RATIO_EPS_TTM</stp>
        <stp>3</stp>
        <stp>603558</stp>
        <stp>12/31/2018</stp>
        <stp>1</stp>
        <tr r="U2587" s="1"/>
      </tp>
      <tp>
        <v>2.7977656220394236</v>
        <stp/>
        <stp>EM_S_RATIO_EPS_TTM</stp>
        <stp>3</stp>
        <stp>603458</stp>
        <stp>12/31/2018</stp>
        <stp>1</stp>
        <tr r="U3290" s="1"/>
      </tp>
      <tp>
        <v>-0.14505594074767811</v>
        <stp/>
        <stp>EM_S_RATIO_EPS_TTM</stp>
        <stp>3</stp>
        <stp>603758</stp>
        <stp>12/31/2018</stp>
        <stp>1</stp>
        <tr r="U2185" s="1"/>
      </tp>
      <tp>
        <v>1.3394545078571427</v>
        <stp/>
        <stp>EM_S_RATIO_EPS_TTM</stp>
        <stp>3</stp>
        <stp>603658</stp>
        <stp>12/31/2018</stp>
        <stp>1</stp>
        <tr r="U188" s="1"/>
      </tp>
      <tp>
        <v>-0.28363853212260748</v>
        <stp/>
        <stp>EM_S_RATIO_EPS_TTM</stp>
        <stp>3</stp>
        <stp>603958</stp>
        <stp>12/31/2018</stp>
        <stp>1</stp>
        <tr r="U2677" s="1"/>
      </tp>
      <tp>
        <v>2.1305654405194394</v>
        <stp/>
        <stp>EM_S_RATIO_EPS_TTM</stp>
        <stp>3</stp>
        <stp>603858</stp>
        <stp>12/31/2018</stp>
        <stp>1</stp>
        <tr r="U3059" s="1"/>
      </tp>
      <tp>
        <v>0.58936250694940318</v>
        <stp/>
        <stp>EM_S_RATIO_EPS_TTM</stp>
        <stp>3</stp>
        <stp>002138</stp>
        <stp>12/31/2018</stp>
        <stp>1</stp>
        <tr r="U329" s="1"/>
      </tp>
      <tp>
        <v>0.83435467748576442</v>
        <stp/>
        <stp>EM_S_RATIO_EPS_TTM</stp>
        <stp>3</stp>
        <stp>002038</stp>
        <stp>12/31/2018</stp>
        <stp>1</stp>
        <tr r="U3361" s="1"/>
      </tp>
      <tp>
        <v>0.17000097791666668</v>
        <stp/>
        <stp>EM_S_RATIO_EPS_TTM</stp>
        <stp>3</stp>
        <stp>002338</stp>
        <stp>12/31/2018</stp>
        <stp>1</stp>
        <tr r="U1311" s="1"/>
      </tp>
      <tp>
        <v>0.31946601449542983</v>
        <stp/>
        <stp>EM_S_RATIO_EPS_TTM</stp>
        <stp>3</stp>
        <stp>002238</stp>
        <stp>12/31/2018</stp>
        <stp>1</stp>
        <tr r="U1196" s="1"/>
      </tp>
      <tp>
        <v>0.41794898610320969</v>
        <stp/>
        <stp>EM_S_RATIO_EPS_TTM</stp>
        <stp>3</stp>
        <stp>002538</stp>
        <stp>12/31/2018</stp>
        <stp>1</stp>
        <tr r="U2472" s="1"/>
      </tp>
      <tp>
        <v>0.21274203066920944</v>
        <stp/>
        <stp>EM_S_RATIO_EPS_TTM</stp>
        <stp>3</stp>
        <stp>002438</stp>
        <stp>12/31/2018</stp>
        <stp>1</stp>
        <tr r="U726" s="1"/>
      </tp>
      <tp>
        <v>0.44148841727674631</v>
        <stp/>
        <stp>EM_S_RATIO_EPS_TTM</stp>
        <stp>3</stp>
        <stp>002738</stp>
        <stp>12/31/2018</stp>
        <stp>1</stp>
        <tr r="U1459" s="1"/>
      </tp>
      <tp>
        <v>-0.82236489226702836</v>
        <stp/>
        <stp>EM_S_RATIO_EPS_TTM</stp>
        <stp>3</stp>
        <stp>002638</stp>
        <stp>12/31/2018</stp>
        <stp>1</stp>
        <tr r="U689" s="1"/>
      </tp>
      <tp>
        <v>0.48581168476190478</v>
        <stp/>
        <stp>EM_S_RATIO_EPS_TTM</stp>
        <stp>3</stp>
        <stp>002838</stp>
        <stp>12/31/2018</stp>
        <stp>1</stp>
        <tr r="U3303" s="1"/>
      </tp>
      <tp>
        <v>0.29615045899583337</v>
        <stp/>
        <stp>EM_S_RATIO_EPS_TTM</stp>
        <stp>3</stp>
        <stp>601158</stp>
        <stp>12/31/2018</stp>
        <stp>1</stp>
        <tr r="U2337" s="1"/>
      </tp>
      <tp>
        <v>0.24732331271062494</v>
        <stp/>
        <stp>EM_S_RATIO_EPS_TTM</stp>
        <stp>3</stp>
        <stp>601058</stp>
        <stp>12/31/2018</stp>
        <stp>1</stp>
        <tr r="U167" s="1"/>
      </tp>
      <tp>
        <v>-0.92220533205548449</v>
        <stp/>
        <stp>EM_S_RATIO_EPS_TTM</stp>
        <stp>3</stp>
        <stp>601258</stp>
        <stp>12/31/2018</stp>
        <stp>1</stp>
        <tr r="U2081" s="1"/>
      </tp>
      <tp>
        <v>3.0616649308526513E-2</v>
        <stp/>
        <stp>EM_S_RATIO_EPS_TTM</stp>
        <stp>3</stp>
        <stp>601558</stp>
        <stp>12/31/2018</stp>
        <stp>1</stp>
        <tr r="U2379" s="1"/>
      </tp>
      <tp>
        <v>0.11819308687175904</v>
        <stp/>
        <stp>EM_S_RATIO_EPS_TTM</stp>
        <stp>3</stp>
        <stp>601958</stp>
        <stp>12/31/2018</stp>
        <stp>1</stp>
        <tr r="U799" s="1"/>
      </tp>
      <tp>
        <v>0.53702606953826693</v>
        <stp/>
        <stp>EM_S_RATIO_EPS_TTM</stp>
        <stp>3</stp>
        <stp>601858</stp>
        <stp>12/31/2018</stp>
        <stp>1</stp>
        <tr r="U1108" s="1"/>
      </tp>
      <tp>
        <v>0.32530801986503982</v>
        <stp/>
        <stp>EM_S_RATIO_EPS_TTM</stp>
        <stp>3</stp>
        <stp>300108</stp>
        <stp>12/31/2018</stp>
        <stp>1</stp>
        <tr r="U3150" s="1"/>
      </tp>
      <tp>
        <v>9.9446476436872114E-2</v>
        <stp/>
        <stp>EM_S_RATIO_EPS_TTM</stp>
        <stp>3</stp>
        <stp>600158</stp>
        <stp>12/31/2018</stp>
        <stp>1</stp>
        <tr r="U1644" s="1"/>
      </tp>
      <tp>
        <v>-4.494574891211971</v>
        <stp/>
        <stp>EM_S_RATIO_EPS_TTM</stp>
        <stp>3</stp>
        <stp>000038</stp>
        <stp>12/31/2018</stp>
        <stp>1</stp>
        <tr r="U2663" s="1"/>
      </tp>
      <tp>
        <v>-1.9566456447190002</v>
        <stp/>
        <stp>EM_S_RATIO_EPS_TTM</stp>
        <stp>3</stp>
        <stp>300008</stp>
        <stp>12/31/2018</stp>
        <stp>1</stp>
        <tr r="U1648" s="1"/>
      </tp>
      <tp>
        <v>-0.74998415434249732</v>
        <stp/>
        <stp>EM_S_RATIO_EPS_TTM</stp>
        <stp>3</stp>
        <stp>600058</stp>
        <stp>12/31/2018</stp>
        <stp>1</stp>
        <tr r="U1269" s="1"/>
      </tp>
      <tp>
        <v>1.0825645937139903</v>
        <stp/>
        <stp>EM_S_RATIO_EPS_TTM</stp>
        <stp>3</stp>
        <stp>000338</stp>
        <stp>12/31/2018</stp>
        <stp>1</stp>
        <tr r="U162" s="1"/>
      </tp>
      <tp>
        <v>1.3105655082693426</v>
        <stp/>
        <stp>EM_S_RATIO_EPS_TTM</stp>
        <stp>3</stp>
        <stp>300308</stp>
        <stp>12/31/2018</stp>
        <stp>1</stp>
        <tr r="U975" s="1"/>
      </tp>
      <tp>
        <v>-0.16554661968889325</v>
        <stp/>
        <stp>EM_S_RATIO_EPS_TTM</stp>
        <stp>3</stp>
        <stp>600358</stp>
        <stp>12/31/2018</stp>
        <stp>1</stp>
        <tr r="U1391" s="1"/>
      </tp>
      <tp>
        <v>0.24561909809607785</v>
        <stp/>
        <stp>EM_S_RATIO_EPS_TTM</stp>
        <stp>3</stp>
        <stp>300208</stp>
        <stp>12/31/2018</stp>
        <stp>1</stp>
        <tr r="U1037" s="1"/>
      </tp>
      <tp>
        <v>0.87549362014864451</v>
        <stp/>
        <stp>EM_S_RATIO_EPS_TTM</stp>
        <stp>3</stp>
        <stp>600258</stp>
        <stp>12/31/2018</stp>
        <stp>1</stp>
        <tr r="U833" s="1"/>
      </tp>
      <tp>
        <v>3.1751154335246325</v>
        <stp/>
        <stp>EM_S_RATIO_EPS_TTM</stp>
        <stp>3</stp>
        <stp>000538</stp>
        <stp>12/31/2018</stp>
        <stp>1</stp>
        <tr r="U1317" s="1"/>
      </tp>
      <tp>
        <v>-0.30163652950105596</v>
        <stp/>
        <stp>EM_S_RATIO_EPS_TTM</stp>
        <stp>3</stp>
        <stp>300508</stp>
        <stp>12/31/2018</stp>
        <stp>1</stp>
        <tr r="U1385" s="1"/>
      </tp>
      <tp>
        <v>6.9200211501535464E-2</v>
        <stp/>
        <stp>EM_S_RATIO_EPS_TTM</stp>
        <stp>3</stp>
        <stp>600558</stp>
        <stp>12/31/2018</stp>
        <stp>1</stp>
        <tr r="U2115" s="1"/>
      </tp>
      <tp>
        <v>0.7564045097326636</v>
        <stp/>
        <stp>EM_S_RATIO_EPS_TTM</stp>
        <stp>3</stp>
        <stp>300408</stp>
        <stp>12/31/2018</stp>
        <stp>1</stp>
        <tr r="U858" s="1"/>
      </tp>
      <tp>
        <v>-0.53184324863767252</v>
        <stp/>
        <stp>EM_S_RATIO_EPS_TTM</stp>
        <stp>3</stp>
        <stp>600458</stp>
        <stp>12/31/2018</stp>
        <stp>1</stp>
        <tr r="U2074" s="1"/>
      </tp>
      <tp>
        <v>0.22635260885419661</v>
        <stp/>
        <stp>EM_S_RATIO_EPS_TTM</stp>
        <stp>3</stp>
        <stp>000738</stp>
        <stp>12/31/2018</stp>
        <stp>1</stp>
        <tr r="U1824" s="1"/>
      </tp>
      <tp>
        <v>7.8538052894346247E-2</v>
        <stp/>
        <stp>EM_S_RATIO_EPS_TTM</stp>
        <stp>3</stp>
        <stp>300708</stp>
        <stp>12/31/2018</stp>
        <stp>1</stp>
        <tr r="U1073" s="1"/>
      </tp>
      <tp>
        <v>8.4787808720842031E-2</v>
        <stp/>
        <stp>EM_S_RATIO_EPS_TTM</stp>
        <stp>3</stp>
        <stp>600758</stp>
        <stp>12/31/2018</stp>
        <stp>1</stp>
        <tr r="U884" s="1"/>
      </tp>
      <tp>
        <v>-0.4766445783451842</v>
        <stp/>
        <stp>EM_S_RATIO_EPS_TTM</stp>
        <stp>3</stp>
        <stp>000638</stp>
        <stp>12/31/2018</stp>
        <stp>1</stp>
        <tr r="U3492" s="1"/>
      </tp>
      <tp>
        <v>0.80397126438731303</v>
        <stp/>
        <stp>EM_S_RATIO_EPS_TTM</stp>
        <stp>3</stp>
        <stp>300608</stp>
        <stp>12/31/2018</stp>
        <stp>1</stp>
        <tr r="U2460" s="1"/>
      </tp>
      <tp>
        <v>0.36641631817096215</v>
        <stp/>
        <stp>EM_S_RATIO_EPS_TTM</stp>
        <stp>3</stp>
        <stp>600658</stp>
        <stp>12/31/2018</stp>
        <stp>1</stp>
        <tr r="U2829" s="1"/>
      </tp>
      <tp>
        <v>1.1675713296824979</v>
        <stp/>
        <stp>EM_S_RATIO_EPS_TTM</stp>
        <stp>3</stp>
        <stp>000938</stp>
        <stp>12/31/2018</stp>
        <stp>1</stp>
        <tr r="U2342" s="1"/>
      </tp>
      <tp>
        <v>0.17601855790242699</v>
        <stp/>
        <stp>EM_S_RATIO_EPS_TTM</stp>
        <stp>3</stp>
        <stp>600958</stp>
        <stp>12/31/2018</stp>
        <stp>1</stp>
        <tr r="U811" s="1"/>
      </tp>
      <tp>
        <v>0.10334127664742895</v>
        <stp/>
        <stp>EM_S_RATIO_EPS_TTM</stp>
        <stp>3</stp>
        <stp>000838</stp>
        <stp>12/31/2018</stp>
        <stp>1</stp>
        <tr r="U1804" s="1"/>
      </tp>
      <tp>
        <v>8.8965166574082682E-2</v>
        <stp/>
        <stp>EM_S_RATIO_EPS_TTM</stp>
        <stp>3</stp>
        <stp>600858</stp>
        <stp>12/31/2018</stp>
        <stp>1</stp>
        <tr r="U2088" s="1"/>
      </tp>
      <tp>
        <v>0.19673606008</v>
        <stp/>
        <stp>EM_S_FA_ASSETSTURN</stp>
        <stp>3</stp>
        <stp>000982</stp>
        <stp>12/31/2018</stp>
        <stp>1</stp>
        <tr r="K3595" s="1"/>
      </tp>
      <tp>
        <v>9.0598559339999996E-2</v>
        <stp/>
        <stp>EM_S_FA_ASSETSTURN</stp>
        <stp>3</stp>
        <stp>000882</stp>
        <stp>12/31/2018</stp>
        <stp>1</stp>
        <tr r="K2222" s="1"/>
      </tp>
      <tp>
        <v>1.3796408202449999</v>
        <stp/>
        <stp>EM_S_FA_ASSETSTURN</stp>
        <stp>3</stp>
        <stp>000782</stp>
        <stp>12/31/2018</stp>
        <stp>1</stp>
        <tr r="K3032" s="1"/>
      </tp>
      <tp>
        <v>0.611806033779</v>
        <stp/>
        <stp>EM_S_FA_ASSETSTURN</stp>
        <stp>3</stp>
        <stp>000682</stp>
        <stp>12/31/2018</stp>
        <stp>1</stp>
        <tr r="K515" s="1"/>
      </tp>
      <tp>
        <v>0.28111664152600002</v>
        <stp/>
        <stp>EM_S_FA_ASSETSTURN</stp>
        <stp>3</stp>
        <stp>000582</stp>
        <stp>12/31/2018</stp>
        <stp>1</stp>
        <tr r="K1167" s="1"/>
      </tp>
      <tp>
        <v>1.668568202056</v>
        <stp/>
        <stp>EM_S_FA_ASSETSTURN</stp>
        <stp>3</stp>
        <stp>002882</stp>
        <stp>12/31/2018</stp>
        <stp>1</stp>
        <tr r="K1759" s="1"/>
      </tp>
      <tp>
        <v>0.36505322138399998</v>
        <stp/>
        <stp>EM_S_FA_ASSETSTURN</stp>
        <stp>3</stp>
        <stp>002382</stp>
        <stp>12/31/2018</stp>
        <stp>1</stp>
        <tr r="K3033" s="1"/>
      </tp>
      <tp>
        <v>0.421847704075</v>
        <stp/>
        <stp>EM_S_FA_ASSETSTURN</stp>
        <stp>3</stp>
        <stp>002282</stp>
        <stp>12/31/2018</stp>
        <stp>1</stp>
        <tr r="K2263" s="1"/>
      </tp>
      <tp>
        <v>1.2367850471590001</v>
        <stp/>
        <stp>EM_S_FA_ASSETSTURN</stp>
        <stp>3</stp>
        <stp>002182</stp>
        <stp>12/31/2018</stp>
        <stp>1</stp>
        <tr r="K558" s="1"/>
      </tp>
      <tp>
        <v>5.79734196244</v>
        <stp/>
        <stp>EM_S_FA_ASSETSTURN</stp>
        <stp>3</stp>
        <stp>002082</stp>
        <stp>12/31/2018</stp>
        <stp>1</stp>
        <tr r="K3628" s="1"/>
      </tp>
      <tp>
        <v>0.97680371191100002</v>
        <stp/>
        <stp>EM_S_FA_ASSETSTURN</stp>
        <stp>3</stp>
        <stp>002782</stp>
        <stp>12/31/2018</stp>
        <stp>1</stp>
        <tr r="K2525" s="1"/>
      </tp>
      <tp>
        <v>0.802521458942</v>
        <stp/>
        <stp>EM_S_FA_ASSETSTURN</stp>
        <stp>3</stp>
        <stp>002682</stp>
        <stp>12/31/2018</stp>
        <stp>1</stp>
        <tr r="K2134" s="1"/>
      </tp>
      <tp>
        <v>0.92578767329</v>
        <stp/>
        <stp>EM_S_FA_ASSETSTURN</stp>
        <stp>3</stp>
        <stp>002582</stp>
        <stp>12/31/2018</stp>
        <stp>1</stp>
        <tr r="K1633" s="1"/>
      </tp>
      <tp>
        <v>0.78182016329399995</v>
        <stp/>
        <stp>EM_S_FA_ASSETSTURN</stp>
        <stp>3</stp>
        <stp>002482</stp>
        <stp>12/31/2018</stp>
        <stp>1</stp>
        <tr r="K3133" s="1"/>
      </tp>
      <tp>
        <v>0.62929847403214023</v>
        <stp/>
        <stp>EM_S_RATIO_EPS_TTM</stp>
        <stp>3</stp>
        <stp>603055</stp>
        <stp>12/31/2018</stp>
        <stp>1</stp>
        <tr r="U3266" s="1"/>
      </tp>
      <tp>
        <v>1.0549658867830425</v>
        <stp/>
        <stp>EM_S_RATIO_EPS_TTM</stp>
        <stp>3</stp>
        <stp>603355</stp>
        <stp>12/31/2018</stp>
        <stp>1</stp>
        <tr r="U1769" s="1"/>
      </tp>
      <tp>
        <v>-1.0911182070214482</v>
        <stp/>
        <stp>EM_S_RATIO_EPS_TTM</stp>
        <stp>3</stp>
        <stp>603555</stp>
        <stp>12/31/2018</stp>
        <stp>1</stp>
        <tr r="U2224" s="1"/>
      </tp>
      <tp>
        <v>0.28498192933962263</v>
        <stp/>
        <stp>EM_S_RATIO_EPS_TTM</stp>
        <stp>3</stp>
        <stp>603655</stp>
        <stp>12/31/2018</stp>
        <stp>1</stp>
        <tr r="U604" s="1"/>
      </tp>
      <tp>
        <v>0.79683632077807243</v>
        <stp/>
        <stp>EM_S_RATIO_EPS_TTM</stp>
        <stp>3</stp>
        <stp>603955</stp>
        <stp>12/31/2018</stp>
        <stp>1</stp>
        <tr r="U1547" s="1"/>
      </tp>
      <tp>
        <v>0.46020075763433721</v>
        <stp/>
        <stp>EM_S_RATIO_EPS_TTM</stp>
        <stp>3</stp>
        <stp>603855</stp>
        <stp>12/31/2018</stp>
        <stp>1</stp>
        <tr r="U1126" s="1"/>
      </tp>
      <tp>
        <v>0.16504054939171628</v>
        <stp/>
        <stp>EM_S_RATIO_EPS_TTM</stp>
        <stp>3</stp>
        <stp>002135</stp>
        <stp>12/31/2018</stp>
        <stp>1</stp>
        <tr r="U1756" s="1"/>
      </tp>
      <tp>
        <v>0.76783563093111429</v>
        <stp/>
        <stp>EM_S_RATIO_EPS_TTM</stp>
        <stp>3</stp>
        <stp>002035</stp>
        <stp>12/31/2018</stp>
        <stp>1</stp>
        <tr r="U527" s="1"/>
      </tp>
      <tp>
        <v>0.26759496507805591</v>
        <stp/>
        <stp>EM_S_RATIO_EPS_TTM</stp>
        <stp>3</stp>
        <stp>002335</stp>
        <stp>12/31/2018</stp>
        <stp>1</stp>
        <tr r="U1827" s="1"/>
      </tp>
      <tp>
        <v>0.12104081550688732</v>
        <stp/>
        <stp>EM_S_RATIO_EPS_TTM</stp>
        <stp>3</stp>
        <stp>002235</stp>
        <stp>12/31/2018</stp>
        <stp>1</stp>
        <tr r="U359" s="1"/>
      </tp>
      <tp>
        <v>-0.18175645480822511</v>
        <stp/>
        <stp>EM_S_RATIO_EPS_TTM</stp>
        <stp>3</stp>
        <stp>002535</stp>
        <stp>12/31/2018</stp>
        <stp>1</stp>
        <tr r="U2901" s="1"/>
      </tp>
      <tp>
        <v>0.44003416902528153</v>
        <stp/>
        <stp>EM_S_RATIO_EPS_TTM</stp>
        <stp>3</stp>
        <stp>002435</stp>
        <stp>12/31/2018</stp>
        <stp>1</stp>
        <tr r="U3162" s="1"/>
      </tp>
      <tp>
        <v>0.59082080549582716</v>
        <stp/>
        <stp>EM_S_RATIO_EPS_TTM</stp>
        <stp>3</stp>
        <stp>002735</stp>
        <stp>12/31/2018</stp>
        <stp>1</stp>
        <tr r="U2934" s="1"/>
      </tp>
      <tp>
        <v>0.74190950707187819</v>
        <stp/>
        <stp>EM_S_RATIO_EPS_TTM</stp>
        <stp>3</stp>
        <stp>002635</stp>
        <stp>12/31/2018</stp>
        <stp>1</stp>
        <tr r="U547" s="1"/>
      </tp>
      <tp>
        <v>1.8376220787037038E-2</v>
        <stp/>
        <stp>EM_S_RATIO_EPS_TTM</stp>
        <stp>3</stp>
        <stp>002835</stp>
        <stp>12/31/2018</stp>
        <stp>1</stp>
        <tr r="U321" s="1"/>
      </tp>
      <tp>
        <v>4.6489005311701836</v>
        <stp/>
        <stp>EM_S_RATIO_EPS_TTM</stp>
        <stp>3</stp>
        <stp>601155</stp>
        <stp>12/31/2018</stp>
        <stp>1</stp>
        <tr r="U397" s="1"/>
      </tp>
      <tp>
        <v>0.11947039176333334</v>
        <stp/>
        <stp>EM_S_RATIO_EPS_TTM</stp>
        <stp>3</stp>
        <stp>601555</stp>
        <stp>12/31/2018</stp>
        <stp>1</stp>
        <tr r="U582" s="1"/>
      </tp>
      <tp>
        <v>1.6251222019578501E-2</v>
        <stp/>
        <stp>EM_S_RATIO_EPS_TTM</stp>
        <stp>3</stp>
        <stp>300105</stp>
        <stp>12/31/2018</stp>
        <stp>1</stp>
        <tr r="U1424" s="1"/>
      </tp>
      <tp>
        <v>8.5919037067196447E-2</v>
        <stp/>
        <stp>EM_S_RATIO_EPS_TTM</stp>
        <stp>3</stp>
        <stp>600155</stp>
        <stp>12/31/2018</stp>
        <stp>1</stp>
        <tr r="U234" s="1"/>
      </tp>
      <tp>
        <v>0.16018429029370998</v>
        <stp/>
        <stp>EM_S_RATIO_EPS_TTM</stp>
        <stp>3</stp>
        <stp>000035</stp>
        <stp>12/31/2018</stp>
        <stp>1</stp>
        <tr r="U1341" s="1"/>
      </tp>
      <tp>
        <v>-0.2041107345664063</v>
        <stp/>
        <stp>EM_S_RATIO_EPS_TTM</stp>
        <stp>3</stp>
        <stp>300005</stp>
        <stp>12/31/2018</stp>
        <stp>1</stp>
        <tr r="U801" s="1"/>
      </tp>
      <tp>
        <v>0.28352172542819859</v>
        <stp/>
        <stp>EM_S_RATIO_EPS_TTM</stp>
        <stp>3</stp>
        <stp>600055</stp>
        <stp>12/31/2018</stp>
        <stp>1</stp>
        <tr r="U1416" s="1"/>
      </tp>
      <tp>
        <v>0.26393474287713031</v>
        <stp/>
        <stp>EM_S_RATIO_EPS_TTM</stp>
        <stp>3</stp>
        <stp>300305</stp>
        <stp>12/31/2018</stp>
        <stp>1</stp>
        <tr r="U1934" s="1"/>
      </tp>
      <tp>
        <v>2.2377287959174881E-2</v>
        <stp/>
        <stp>EM_S_RATIO_EPS_TTM</stp>
        <stp>3</stp>
        <stp>600355</stp>
        <stp>12/31/2018</stp>
        <stp>1</stp>
        <tr r="U2366" s="1"/>
      </tp>
      <tp>
        <v>0.23490595529419425</v>
        <stp/>
        <stp>EM_S_RATIO_EPS_TTM</stp>
        <stp>3</stp>
        <stp>300205</stp>
        <stp>12/31/2018</stp>
        <stp>1</stp>
        <tr r="U825" s="1"/>
      </tp>
      <tp>
        <v>-0.71376353522603109</v>
        <stp/>
        <stp>EM_S_RATIO_EPS_TTM</stp>
        <stp>3</stp>
        <stp>600255</stp>
        <stp>12/31/2018</stp>
        <stp>1</stp>
        <tr r="U2860" s="1"/>
      </tp>
      <tp>
        <v>-4.053531971736879E-2</v>
        <stp/>
        <stp>EM_S_RATIO_EPS_TTM</stp>
        <stp>3</stp>
        <stp>000535</stp>
        <stp>12/31/2018</stp>
        <stp>1</stp>
        <tr r="U3446" s="1"/>
      </tp>
      <tp>
        <v>0.68664662928449016</v>
        <stp/>
        <stp>EM_S_RATIO_EPS_TTM</stp>
        <stp>3</stp>
        <stp>300505</stp>
        <stp>12/31/2018</stp>
        <stp>1</stp>
        <tr r="U2103" s="1"/>
      </tp>
      <tp>
        <v>-0.14712830801687762</v>
        <stp/>
        <stp>EM_S_RATIO_EPS_TTM</stp>
        <stp>3</stp>
        <stp>600555</stp>
        <stp>12/31/2018</stp>
        <stp>1</stp>
        <tr r="U3045" s="1"/>
      </tp>
      <tp>
        <v>-0.66110856473015545</v>
        <stp/>
        <stp>EM_S_RATIO_EPS_TTM</stp>
        <stp>3</stp>
        <stp>300405</stp>
        <stp>12/31/2018</stp>
        <stp>1</stp>
        <tr r="U2766" s="1"/>
      </tp>
      <tp>
        <v>5.0679242530980814E-2</v>
        <stp/>
        <stp>EM_S_RATIO_EPS_TTM</stp>
        <stp>3</stp>
        <stp>600455</stp>
        <stp>12/31/2018</stp>
        <stp>1</stp>
        <tr r="U440" s="1"/>
      </tp>
      <tp>
        <v>0.33756068628832098</v>
        <stp/>
        <stp>EM_S_RATIO_EPS_TTM</stp>
        <stp>3</stp>
        <stp>000735</stp>
        <stp>12/31/2018</stp>
        <stp>1</stp>
        <tr r="U3523" s="1"/>
      </tp>
      <tp>
        <v>0.30673692053008356</v>
        <stp/>
        <stp>EM_S_RATIO_EPS_TTM</stp>
        <stp>3</stp>
        <stp>300705</stp>
        <stp>12/31/2018</stp>
        <stp>1</stp>
        <tr r="U2226" s="1"/>
      </tp>
      <tp>
        <v>1.2068598725908375</v>
        <stp/>
        <stp>EM_S_RATIO_EPS_TTM</stp>
        <stp>3</stp>
        <stp>600755</stp>
        <stp>12/31/2018</stp>
        <stp>1</stp>
        <tr r="U1998" s="1"/>
      </tp>
      <tp>
        <v>8.8576349982141478E-2</v>
        <stp/>
        <stp>EM_S_RATIO_EPS_TTM</stp>
        <stp>3</stp>
        <stp>000635</stp>
        <stp>12/31/2018</stp>
        <stp>1</stp>
        <tr r="U2661" s="1"/>
      </tp>
      <tp>
        <v>0.48674647350194422</v>
        <stp/>
        <stp>EM_S_RATIO_EPS_TTM</stp>
        <stp>3</stp>
        <stp>300605</stp>
        <stp>12/31/2018</stp>
        <stp>1</stp>
        <tr r="U2903" s="1"/>
      </tp>
      <tp>
        <v>0.77832703883328835</v>
        <stp/>
        <stp>EM_S_RATIO_EPS_TTM</stp>
        <stp>3</stp>
        <stp>600655</stp>
        <stp>12/31/2018</stp>
        <stp>1</stp>
        <tr r="U2010" s="1"/>
      </tp>
      <tp>
        <v>0.91121473631915129</v>
        <stp/>
        <stp>EM_S_RATIO_EPS_TTM</stp>
        <stp>3</stp>
        <stp>000935</stp>
        <stp>12/31/2018</stp>
        <stp>1</stp>
        <tr r="U3582" s="1"/>
      </tp>
      <tp>
        <v>-1.3730781929512665</v>
        <stp/>
        <stp>EM_S_RATIO_EPS_TTM</stp>
        <stp>3</stp>
        <stp>000835</stp>
        <stp>12/31/2018</stp>
        <stp>1</stp>
        <tr r="U3553" s="1"/>
      </tp>
      <tp>
        <v>0.2155384082752739</v>
        <stp/>
        <stp>EM_S_RATIO_EPS_TTM</stp>
        <stp>3</stp>
        <stp>600855</stp>
        <stp>12/31/2018</stp>
        <stp>1</stp>
        <tr r="U817" s="1"/>
      </tp>
      <tp>
        <v>0.52510431522900003</v>
        <stp/>
        <stp>EM_S_FA_ASSETSTURN</stp>
        <stp>3</stp>
        <stp>000983</stp>
        <stp>12/31/2018</stp>
        <stp>1</stp>
        <tr r="K1655" s="1"/>
      </tp>
      <tp>
        <v>0.26030241669800003</v>
        <stp/>
        <stp>EM_S_FA_ASSETSTURN</stp>
        <stp>3</stp>
        <stp>000883</stp>
        <stp>12/31/2018</stp>
        <stp>1</stp>
        <tr r="K1562" s="1"/>
      </tp>
      <tp>
        <v>0</v>
        <stp/>
        <stp>EM_S_FA_ASSETSTURN</stp>
        <stp>3</stp>
        <stp>000783</stp>
        <stp>12/31/2018</stp>
        <stp>1</stp>
        <tr r="K3537" s="1"/>
      </tp>
      <tp>
        <v>0.39093879596999997</v>
        <stp/>
        <stp>EM_S_FA_ASSETSTURN</stp>
        <stp>3</stp>
        <stp>000683</stp>
        <stp>12/31/2018</stp>
        <stp>1</stp>
        <tr r="K3507" s="1"/>
      </tp>
      <tp>
        <v>0</v>
        <stp/>
        <stp>EM_S_FA_ASSETSTURN</stp>
        <stp>3</stp>
        <stp>000583</stp>
        <stp>12/31/2018</stp>
        <stp>1</stp>
        <tr r="K3466" s="1"/>
      </tp>
      <tp>
        <v>0.55760437183300005</v>
        <stp/>
        <stp>EM_S_FA_ASSETSTURN</stp>
        <stp>3</stp>
        <stp>002883</stp>
        <stp>12/31/2018</stp>
        <stp>1</stp>
        <tr r="K2216" s="1"/>
      </tp>
      <tp>
        <v>0.25577656082700001</v>
        <stp/>
        <stp>EM_S_FA_ASSETSTURN</stp>
        <stp>3</stp>
        <stp>002383</stp>
        <stp>12/31/2018</stp>
        <stp>1</stp>
        <tr r="K3075" s="1"/>
      </tp>
      <tp>
        <v>0.53850091689000001</v>
        <stp/>
        <stp>EM_S_FA_ASSETSTURN</stp>
        <stp>3</stp>
        <stp>002283</stp>
        <stp>12/31/2018</stp>
        <stp>1</stp>
        <tr r="K1746" s="1"/>
      </tp>
      <tp>
        <v>1.545912882551</v>
        <stp/>
        <stp>EM_S_FA_ASSETSTURN</stp>
        <stp>3</stp>
        <stp>002183</stp>
        <stp>12/31/2018</stp>
        <stp>1</stp>
        <tr r="K2949" s="1"/>
      </tp>
      <tp>
        <v>0.66832650323999998</v>
        <stp/>
        <stp>EM_S_FA_ASSETSTURN</stp>
        <stp>3</stp>
        <stp>002083</stp>
        <stp>12/31/2018</stp>
        <stp>1</stp>
        <tr r="K1111" s="1"/>
      </tp>
      <tp>
        <v>0.60139748973899998</v>
        <stp/>
        <stp>EM_S_FA_ASSETSTURN</stp>
        <stp>3</stp>
        <stp>002783</stp>
        <stp>12/31/2018</stp>
        <stp>1</stp>
        <tr r="K244" s="1"/>
      </tp>
      <tp>
        <v>0.70612942498800002</v>
        <stp/>
        <stp>EM_S_FA_ASSETSTURN</stp>
        <stp>3</stp>
        <stp>002683</stp>
        <stp>12/31/2018</stp>
        <stp>1</stp>
        <tr r="K111" s="1"/>
      </tp>
      <tp>
        <v>0.479900775527</v>
        <stp/>
        <stp>EM_S_FA_ASSETSTURN</stp>
        <stp>3</stp>
        <stp>002583</stp>
        <stp>12/31/2018</stp>
        <stp>1</stp>
        <tr r="K1954" s="1"/>
      </tp>
      <tp>
        <v>0.44041947816400001</v>
        <stp/>
        <stp>EM_S_FA_ASSETSTURN</stp>
        <stp>3</stp>
        <stp>002483</stp>
        <stp>12/31/2018</stp>
        <stp>1</stp>
        <tr r="K1478" s="1"/>
      </tp>
      <tp>
        <v>-0.24103024848085275</v>
        <stp/>
        <stp>EM_S_RATIO_EPS_TTM</stp>
        <stp>3</stp>
        <stp>002134</stp>
        <stp>12/31/2018</stp>
        <stp>1</stp>
        <tr r="U424" s="1"/>
      </tp>
      <tp>
        <v>0.73527630408835665</v>
        <stp/>
        <stp>EM_S_RATIO_EPS_TTM</stp>
        <stp>3</stp>
        <stp>002034</stp>
        <stp>12/31/2018</stp>
        <stp>1</stp>
        <tr r="U3612" s="1"/>
      </tp>
      <tp>
        <v>0.29723207811359281</v>
        <stp/>
        <stp>EM_S_RATIO_EPS_TTM</stp>
        <stp>3</stp>
        <stp>002334</stp>
        <stp>12/31/2018</stp>
        <stp>1</stp>
        <tr r="U2234" s="1"/>
      </tp>
      <tp>
        <v>1.260244521283058</v>
        <stp/>
        <stp>EM_S_RATIO_EPS_TTM</stp>
        <stp>3</stp>
        <stp>002234</stp>
        <stp>12/31/2018</stp>
        <stp>1</stp>
        <tr r="U58" s="1"/>
      </tp>
      <tp>
        <v>0.33012665170707522</v>
        <stp/>
        <stp>EM_S_RATIO_EPS_TTM</stp>
        <stp>3</stp>
        <stp>002534</stp>
        <stp>12/31/2018</stp>
        <stp>1</stp>
        <tr r="U721" s="1"/>
      </tp>
      <tp>
        <v>0.26045137654074074</v>
        <stp/>
        <stp>EM_S_RATIO_EPS_TTM</stp>
        <stp>3</stp>
        <stp>002434</stp>
        <stp>12/31/2018</stp>
        <stp>1</stp>
        <tr r="U706" s="1"/>
      </tp>
      <tp>
        <v>0.7269596542100818</v>
        <stp/>
        <stp>EM_S_RATIO_EPS_TTM</stp>
        <stp>3</stp>
        <stp>002734</stp>
        <stp>12/31/2018</stp>
        <stp>1</stp>
        <tr r="U875" s="1"/>
      </tp>
      <tp>
        <v>3.9362893276680723E-2</v>
        <stp/>
        <stp>EM_S_RATIO_EPS_TTM</stp>
        <stp>3</stp>
        <stp>002634</stp>
        <stp>12/31/2018</stp>
        <stp>1</stp>
        <tr r="U713" s="1"/>
      </tp>
      <tp>
        <v>-1.0266150572009878</v>
        <stp/>
        <stp>EM_S_RATIO_EPS_TTM</stp>
        <stp>3</stp>
        <stp>300104</stp>
        <stp>12/31/2018</stp>
        <stp>1</stp>
        <tr r="U3241" s="1"/>
      </tp>
      <tp>
        <v>0.78341411172852371</v>
        <stp/>
        <stp>EM_S_RATIO_EPS_TTM</stp>
        <stp>3</stp>
        <stp>000034</stp>
        <stp>12/31/2018</stp>
        <stp>1</stp>
        <tr r="U564" s="1"/>
      </tp>
      <tp>
        <v>-2.0724948105041232</v>
        <stp/>
        <stp>EM_S_RATIO_EPS_TTM</stp>
        <stp>3</stp>
        <stp>300004</stp>
        <stp>12/31/2018</stp>
        <stp>1</stp>
        <tr r="U259" s="1"/>
      </tp>
      <tp>
        <v>0.77949066911548237</v>
        <stp/>
        <stp>EM_S_RATIO_EPS_TTM</stp>
        <stp>3</stp>
        <stp>600054</stp>
        <stp>12/31/2018</stp>
        <stp>1</stp>
        <tr r="U2451" s="1"/>
      </tp>
      <tp>
        <v>0.15434048589973901</v>
        <stp/>
        <stp>EM_S_RATIO_EPS_TTM</stp>
        <stp>3</stp>
        <stp>300304</stp>
        <stp>12/31/2018</stp>
        <stp>1</stp>
        <tr r="U949" s="1"/>
      </tp>
      <tp>
        <v>-0.41223249876165702</v>
        <stp/>
        <stp>EM_S_RATIO_EPS_TTM</stp>
        <stp>3</stp>
        <stp>600354</stp>
        <stp>12/31/2018</stp>
        <stp>1</stp>
        <tr r="U804" s="1"/>
      </tp>
      <tp>
        <v>0.28121865473695307</v>
        <stp/>
        <stp>EM_S_RATIO_EPS_TTM</stp>
        <stp>3</stp>
        <stp>300204</stp>
        <stp>12/31/2018</stp>
        <stp>1</stp>
        <tr r="U2375" s="1"/>
      </tp>
      <tp>
        <v>0.12450141073409024</v>
        <stp/>
        <stp>EM_S_RATIO_EPS_TTM</stp>
        <stp>3</stp>
        <stp>000534</stp>
        <stp>12/31/2018</stp>
        <stp>1</stp>
        <tr r="U2858" s="1"/>
      </tp>
      <tp>
        <v>0.56908814317447498</v>
        <stp/>
        <stp>EM_S_RATIO_EPS_TTM</stp>
        <stp>3</stp>
        <stp>300504</stp>
        <stp>12/31/2018</stp>
        <stp>1</stp>
        <tr r="U2863" s="1"/>
      </tp>
      <tp>
        <v>5.5257234267366104E-2</v>
        <stp/>
        <stp>EM_S_RATIO_EPS_TTM</stp>
        <stp>3</stp>
        <stp>300404</stp>
        <stp>12/31/2018</stp>
        <stp>1</stp>
        <tr r="U1027" s="1"/>
      </tp>
      <tp>
        <v>1.1299915418814215</v>
        <stp/>
        <stp>EM_S_RATIO_EPS_TTM</stp>
        <stp>3</stp>
        <stp>600754</stp>
        <stp>12/31/2018</stp>
        <stp>1</stp>
        <tr r="U789" s="1"/>
      </tp>
      <tp>
        <v>0.24459426584954302</v>
        <stp/>
        <stp>EM_S_RATIO_EPS_TTM</stp>
        <stp>3</stp>
        <stp>300604</stp>
        <stp>12/31/2018</stp>
        <stp>1</stp>
        <tr r="U3085" s="1"/>
      </tp>
      <tp>
        <v>-1.5437564840482361</v>
        <stp/>
        <stp>EM_S_RATIO_EPS_TTM</stp>
        <stp>3</stp>
        <stp>600654</stp>
        <stp>12/31/2018</stp>
        <stp>1</stp>
        <tr r="U2568" s="1"/>
      </tp>
      <tp>
        <v>7.8599650199608434E-2</v>
        <stp/>
        <stp>EM_S_RATIO_EPS_TTM</stp>
        <stp>3</stp>
        <stp>600854</stp>
        <stp>12/31/2018</stp>
        <stp>1</stp>
        <tr r="U1766" s="1"/>
      </tp>
      <tp>
        <v>0.44978623587700001</v>
        <stp/>
        <stp>EM_S_FA_ASSETSTURN</stp>
        <stp>3</stp>
        <stp>000980</stp>
        <stp>12/31/2018</stp>
        <stp>1</stp>
        <tr r="K3593" s="1"/>
      </tp>
      <tp>
        <v>0.63119431399500003</v>
        <stp/>
        <stp>EM_S_FA_ASSETSTURN</stp>
        <stp>3</stp>
        <stp>000880</stp>
        <stp>12/31/2018</stp>
        <stp>1</stp>
        <tr r="K1865" s="1"/>
      </tp>
      <tp>
        <v>0.40068864488900002</v>
        <stp/>
        <stp>EM_S_FA_ASSETSTURN</stp>
        <stp>3</stp>
        <stp>000780</stp>
        <stp>12/31/2018</stp>
        <stp>1</stp>
        <tr r="K3536" s="1"/>
      </tp>
      <tp>
        <v>0.84527292709599999</v>
        <stp/>
        <stp>EM_S_FA_ASSETSTURN</stp>
        <stp>3</stp>
        <stp>000680</stp>
        <stp>12/31/2018</stp>
        <stp>1</stp>
        <tr r="K1767" s="1"/>
      </tp>
      <tp>
        <v>0.485498326393</v>
        <stp/>
        <stp>EM_S_FA_ASSETSTURN</stp>
        <stp>3</stp>
        <stp>002880</stp>
        <stp>12/31/2018</stp>
        <stp>1</stp>
        <tr r="K1086" s="1"/>
      </tp>
      <tp>
        <v>0.25051754863600001</v>
        <stp/>
        <stp>EM_S_FA_ASSETSTURN</stp>
        <stp>3</stp>
        <stp>002380</stp>
        <stp>12/31/2018</stp>
        <stp>1</stp>
        <tr r="K853" s="1"/>
      </tp>
      <tp>
        <v>0.95899886152299996</v>
        <stp/>
        <stp>EM_S_FA_ASSETSTURN</stp>
        <stp>3</stp>
        <stp>002280</stp>
        <stp>12/31/2018</stp>
        <stp>1</stp>
        <tr r="K2214" s="1"/>
      </tp>
      <tp>
        <v>0.61212069604700003</v>
        <stp/>
        <stp>EM_S_FA_ASSETSTURN</stp>
        <stp>3</stp>
        <stp>002180</stp>
        <stp>12/31/2018</stp>
        <stp>1</stp>
        <tr r="K700" s="1"/>
      </tp>
      <tp>
        <v>0.49252687048600002</v>
        <stp/>
        <stp>EM_S_FA_ASSETSTURN</stp>
        <stp>3</stp>
        <stp>002080</stp>
        <stp>12/31/2018</stp>
        <stp>1</stp>
        <tr r="K599" s="1"/>
      </tp>
      <tp>
        <v>0.49662302430999999</v>
        <stp/>
        <stp>EM_S_FA_ASSETSTURN</stp>
        <stp>3</stp>
        <stp>002780</stp>
        <stp>12/31/2018</stp>
        <stp>1</stp>
        <tr r="K661" s="1"/>
      </tp>
      <tp>
        <v>0</v>
        <stp/>
        <stp>EM_S_FA_ASSETSTURN</stp>
        <stp>3</stp>
        <stp>002680</stp>
        <stp>12/31/2018</stp>
        <stp>1</stp>
        <tr r="K3406" s="1"/>
      </tp>
      <tp>
        <v>0.93068580469399997</v>
        <stp/>
        <stp>EM_S_FA_ASSETSTURN</stp>
        <stp>3</stp>
        <stp>002580</stp>
        <stp>12/31/2018</stp>
        <stp>1</stp>
        <tr r="K1977" s="1"/>
      </tp>
      <tp>
        <v>0.30973655684899998</v>
        <stp/>
        <stp>EM_S_FA_ASSETSTURN</stp>
        <stp>3</stp>
        <stp>002480</stp>
        <stp>12/31/2018</stp>
        <stp>1</stp>
        <tr r="K3063" s="1"/>
      </tp>
      <tp>
        <v>-0.29125663585115841</v>
        <stp/>
        <stp>EM_S_RATIO_EPS_TTM</stp>
        <stp>3</stp>
        <stp>603157</stp>
        <stp>12/31/2018</stp>
        <stp>1</stp>
        <tr r="U3240" s="1"/>
      </tp>
      <tp>
        <v>1.3453359720715734</v>
        <stp/>
        <stp>EM_S_RATIO_EPS_TTM</stp>
        <stp>3</stp>
        <stp>603357</stp>
        <stp>12/31/2018</stp>
        <stp>1</stp>
        <tr r="U3354" s="1"/>
      </tp>
      <tp>
        <v>0.38451339866288425</v>
        <stp/>
        <stp>EM_S_RATIO_EPS_TTM</stp>
        <stp>3</stp>
        <stp>603557</stp>
        <stp>12/31/2018</stp>
        <stp>1</stp>
        <tr r="U1610" s="1"/>
      </tp>
      <tp>
        <v>1.4278773265427889</v>
        <stp/>
        <stp>EM_S_RATIO_EPS_TTM</stp>
        <stp>3</stp>
        <stp>603757</stp>
        <stp>12/31/2018</stp>
        <stp>1</stp>
        <tr r="U3019" s="1"/>
      </tp>
      <tp>
        <v>-0.63812668005748319</v>
        <stp/>
        <stp>EM_S_RATIO_EPS_TTM</stp>
        <stp>3</stp>
        <stp>002137</stp>
        <stp>12/31/2018</stp>
        <stp>1</stp>
        <tr r="U1770" s="1"/>
      </tp>
      <tp>
        <v>0.36390232232593162</v>
        <stp/>
        <stp>EM_S_RATIO_EPS_TTM</stp>
        <stp>3</stp>
        <stp>002037</stp>
        <stp>12/31/2018</stp>
        <stp>1</stp>
        <tr r="U2964" s="1"/>
      </tp>
      <tp>
        <v>1.2587577328673247E-2</v>
        <stp/>
        <stp>EM_S_RATIO_EPS_TTM</stp>
        <stp>3</stp>
        <stp>002337</stp>
        <stp>12/31/2018</stp>
        <stp>1</stp>
        <tr r="U2558" s="1"/>
      </tp>
      <tp>
        <v>0.44570325608523725</v>
        <stp/>
        <stp>EM_S_RATIO_EPS_TTM</stp>
        <stp>3</stp>
        <stp>002237</stp>
        <stp>12/31/2018</stp>
        <stp>1</stp>
        <tr r="U382" s="1"/>
      </tp>
      <tp>
        <v>0.10681909584853796</v>
        <stp/>
        <stp>EM_S_RATIO_EPS_TTM</stp>
        <stp>3</stp>
        <stp>002537</stp>
        <stp>12/31/2018</stp>
        <stp>1</stp>
        <tr r="U3234" s="1"/>
      </tp>
      <tp>
        <v>5.7273245020256942E-2</v>
        <stp/>
        <stp>EM_S_RATIO_EPS_TTM</stp>
        <stp>3</stp>
        <stp>002437</stp>
        <stp>12/31/2018</stp>
        <stp>1</stp>
        <tr r="U1992" s="1"/>
      </tp>
      <tp>
        <v>0.96451567417808226</v>
        <stp/>
        <stp>EM_S_RATIO_EPS_TTM</stp>
        <stp>3</stp>
        <stp>002737</stp>
        <stp>12/31/2018</stp>
        <stp>1</stp>
        <tr r="U2433" s="1"/>
      </tp>
      <tp>
        <v>0.42053458306765851</v>
        <stp/>
        <stp>EM_S_RATIO_EPS_TTM</stp>
        <stp>3</stp>
        <stp>002637</stp>
        <stp>12/31/2018</stp>
        <stp>1</stp>
        <tr r="U640" s="1"/>
      </tp>
      <tp>
        <v>0.50134027756196331</v>
        <stp/>
        <stp>EM_S_RATIO_EPS_TTM</stp>
        <stp>3</stp>
        <stp>002837</stp>
        <stp>12/31/2018</stp>
        <stp>1</stp>
        <tr r="U1629" s="1"/>
      </tp>
      <tp>
        <v>0.28731679082324463</v>
        <stp/>
        <stp>EM_S_RATIO_EPS_TTM</stp>
        <stp>3</stp>
        <stp>601857</stp>
        <stp>12/31/2018</stp>
        <stp>1</stp>
        <tr r="U3048" s="1"/>
      </tp>
      <tp>
        <v>1.1974537347790677</v>
        <stp/>
        <stp>EM_S_RATIO_EPS_TTM</stp>
        <stp>3</stp>
        <stp>300107</stp>
        <stp>12/31/2018</stp>
        <stp>1</stp>
        <tr r="U3155" s="1"/>
      </tp>
      <tp>
        <v>5.3049727305640318E-3</v>
        <stp/>
        <stp>EM_S_RATIO_EPS_TTM</stp>
        <stp>3</stp>
        <stp>600157</stp>
        <stp>12/31/2018</stp>
        <stp>1</stp>
        <tr r="U1912" s="1"/>
      </tp>
      <tp>
        <v>3.1942536328183183E-2</v>
        <stp/>
        <stp>EM_S_RATIO_EPS_TTM</stp>
        <stp>3</stp>
        <stp>000037</stp>
        <stp>12/31/2018</stp>
        <stp>1</stp>
        <tr r="U68" s="1"/>
      </tp>
      <tp>
        <v>0.21041826740953398</v>
        <stp/>
        <stp>EM_S_RATIO_EPS_TTM</stp>
        <stp>3</stp>
        <stp>300007</stp>
        <stp>12/31/2018</stp>
        <stp>1</stp>
        <tr r="U352" s="1"/>
      </tp>
      <tp>
        <v>0.46247304266037254</v>
        <stp/>
        <stp>EM_S_RATIO_EPS_TTM</stp>
        <stp>3</stp>
        <stp>600057</stp>
        <stp>12/31/2018</stp>
        <stp>1</stp>
        <tr r="U2370" s="1"/>
      </tp>
      <tp>
        <v>0.1718671666957606</v>
        <stp/>
        <stp>EM_S_RATIO_EPS_TTM</stp>
        <stp>3</stp>
        <stp>300307</stp>
        <stp>12/31/2018</stp>
        <stp>1</stp>
        <tr r="U2197" s="1"/>
      </tp>
      <tp>
        <v>-0.22897428948973345</v>
        <stp/>
        <stp>EM_S_RATIO_EPS_TTM</stp>
        <stp>3</stp>
        <stp>600357</stp>
        <stp>12/31/2018</stp>
        <stp>1</stp>
        <tr r="U2301" s="1"/>
      </tp>
      <tp>
        <v>0.45317658410414013</v>
        <stp/>
        <stp>EM_S_RATIO_EPS_TTM</stp>
        <stp>3</stp>
        <stp>300207</stp>
        <stp>12/31/2018</stp>
        <stp>1</stp>
        <tr r="U108" s="1"/>
      </tp>
      <tp>
        <v>3.6696637521703747E-2</v>
        <stp/>
        <stp>EM_S_RATIO_EPS_TTM</stp>
        <stp>3</stp>
        <stp>600257</stp>
        <stp>12/31/2018</stp>
        <stp>1</stp>
        <tr r="U2166" s="1"/>
      </tp>
      <tp>
        <v>1.3435425651425774</v>
        <stp/>
        <stp>EM_S_RATIO_EPS_TTM</stp>
        <stp>3</stp>
        <stp>000537</stp>
        <stp>12/31/2018</stp>
        <stp>1</stp>
        <tr r="U2013" s="1"/>
      </tp>
      <tp>
        <v>0.71059384678316639</v>
        <stp/>
        <stp>EM_S_RATIO_EPS_TTM</stp>
        <stp>3</stp>
        <stp>300507</stp>
        <stp>12/31/2018</stp>
        <stp>1</stp>
        <tr r="U3002" s="1"/>
      </tp>
      <tp>
        <v>0.69979197678181138</v>
        <stp/>
        <stp>EM_S_RATIO_EPS_TTM</stp>
        <stp>3</stp>
        <stp>600557</stp>
        <stp>12/31/2018</stp>
        <stp>1</stp>
        <tr r="U737" s="1"/>
      </tp>
      <tp>
        <v>5.3635552463998842E-2</v>
        <stp/>
        <stp>EM_S_RATIO_EPS_TTM</stp>
        <stp>3</stp>
        <stp>300407</stp>
        <stp>12/31/2018</stp>
        <stp>1</stp>
        <tr r="U2060" s="1"/>
      </tp>
      <tp>
        <v>0.48668257724688391</v>
        <stp/>
        <stp>EM_S_RATIO_EPS_TTM</stp>
        <stp>3</stp>
        <stp>000737</stp>
        <stp>12/31/2018</stp>
        <stp>1</stp>
        <tr r="U3524" s="1"/>
      </tp>
      <tp>
        <v>0.52637020127226464</v>
        <stp/>
        <stp>EM_S_RATIO_EPS_TTM</stp>
        <stp>3</stp>
        <stp>300707</stp>
        <stp>12/31/2018</stp>
        <stp>1</stp>
        <tr r="U1481" s="1"/>
      </tp>
      <tp>
        <v>0.60370879760845242</v>
        <stp/>
        <stp>EM_S_RATIO_EPS_TTM</stp>
        <stp>3</stp>
        <stp>600757</stp>
        <stp>12/31/2018</stp>
        <stp>1</stp>
        <tr r="U2613" s="1"/>
      </tp>
      <tp>
        <v>7.1653698891624318E-2</v>
        <stp/>
        <stp>EM_S_RATIO_EPS_TTM</stp>
        <stp>3</stp>
        <stp>000637</stp>
        <stp>12/31/2018</stp>
        <stp>1</stp>
        <tr r="U3491" s="1"/>
      </tp>
      <tp>
        <v>1.3172618335425601</v>
        <stp/>
        <stp>EM_S_RATIO_EPS_TTM</stp>
        <stp>3</stp>
        <stp>300607</stp>
        <stp>12/31/2018</stp>
        <stp>1</stp>
        <tr r="U484" s="1"/>
      </tp>
      <tp>
        <v>0.7542291746644284</v>
        <stp/>
        <stp>EM_S_RATIO_EPS_TTM</stp>
        <stp>3</stp>
        <stp>600657</stp>
        <stp>12/31/2018</stp>
        <stp>1</stp>
        <tr r="U2195" s="1"/>
      </tp>
      <tp>
        <v>0.24678382151916281</v>
        <stp/>
        <stp>EM_S_RATIO_EPS_TTM</stp>
        <stp>3</stp>
        <stp>000937</stp>
        <stp>12/31/2018</stp>
        <stp>1</stp>
        <tr r="U2461" s="1"/>
      </tp>
      <tp>
        <v>-0.40350002275117075</v>
        <stp/>
        <stp>EM_S_RATIO_EPS_TTM</stp>
        <stp>3</stp>
        <stp>000837</stp>
        <stp>12/31/2018</stp>
        <stp>1</stp>
        <tr r="U3554" s="1"/>
      </tp>
      <tp>
        <v>0.1632835484841629</v>
        <stp/>
        <stp>EM_S_RATIO_EPS_TTM</stp>
        <stp>3</stp>
        <stp>600857</stp>
        <stp>12/31/2018</stp>
        <stp>1</stp>
        <tr r="U1701" s="1"/>
      </tp>
      <tp>
        <v>0.22224416347100001</v>
        <stp/>
        <stp>EM_S_FA_ASSETSTURN</stp>
        <stp>3</stp>
        <stp>000981</stp>
        <stp>12/31/2018</stp>
        <stp>1</stp>
        <tr r="K3594" s="1"/>
      </tp>
      <tp>
        <v>0.58069885292199996</v>
        <stp/>
        <stp>EM_S_FA_ASSETSTURN</stp>
        <stp>3</stp>
        <stp>000881</stp>
        <stp>12/31/2018</stp>
        <stp>1</stp>
        <tr r="K2108" s="1"/>
      </tp>
      <tp>
        <v>0.237190397177</v>
        <stp/>
        <stp>EM_S_FA_ASSETSTURN</stp>
        <stp>3</stp>
        <stp>000681</stp>
        <stp>12/31/2018</stp>
        <stp>1</stp>
        <tr r="K3208" s="1"/>
      </tp>
      <tp>
        <v>0.42417452801900002</v>
        <stp/>
        <stp>EM_S_FA_ASSETSTURN</stp>
        <stp>3</stp>
        <stp>000581</stp>
        <stp>12/31/2018</stp>
        <stp>1</stp>
        <tr r="K3465" s="1"/>
      </tp>
      <tp>
        <v>1.1556829719170001</v>
        <stp/>
        <stp>EM_S_FA_ASSETSTURN</stp>
        <stp>3</stp>
        <stp>002881</stp>
        <stp>12/31/2018</stp>
        <stp>1</stp>
        <tr r="K534" s="1"/>
      </tp>
      <tp>
        <v>0.64622094057099999</v>
        <stp/>
        <stp>EM_S_FA_ASSETSTURN</stp>
        <stp>3</stp>
        <stp>002381</stp>
        <stp>12/31/2018</stp>
        <stp>1</stp>
        <tr r="K1089" s="1"/>
      </tp>
      <tp>
        <v>0.876715629316</v>
        <stp/>
        <stp>EM_S_FA_ASSETSTURN</stp>
        <stp>3</stp>
        <stp>002281</stp>
        <stp>12/31/2018</stp>
        <stp>1</stp>
        <tr r="K1737" s="1"/>
      </tp>
      <tp>
        <v>0.18304007429300001</v>
        <stp/>
        <stp>EM_S_FA_ASSETSTURN</stp>
        <stp>3</stp>
        <stp>002181</stp>
        <stp>12/31/2018</stp>
        <stp>1</stp>
        <tr r="K406" s="1"/>
      </tp>
      <tp>
        <v>0.81605021070799999</v>
        <stp/>
        <stp>EM_S_FA_ASSETSTURN</stp>
        <stp>3</stp>
        <stp>002081</stp>
        <stp>12/31/2018</stp>
        <stp>1</stp>
        <tr r="K1856" s="1"/>
      </tp>
      <tp>
        <v>1.0773372144960001</v>
        <stp/>
        <stp>EM_S_FA_ASSETSTURN</stp>
        <stp>3</stp>
        <stp>002781</stp>
        <stp>12/31/2018</stp>
        <stp>1</stp>
        <tr r="K1532" s="1"/>
      </tp>
      <tp>
        <v>0.40621460772500001</v>
        <stp/>
        <stp>EM_S_FA_ASSETSTURN</stp>
        <stp>3</stp>
        <stp>002681</stp>
        <stp>12/31/2018</stp>
        <stp>1</stp>
        <tr r="K536" s="1"/>
      </tp>
      <tp>
        <v>0.16020304981700001</v>
        <stp/>
        <stp>EM_S_FA_ASSETSTURN</stp>
        <stp>3</stp>
        <stp>002581</stp>
        <stp>12/31/2018</stp>
        <stp>1</stp>
        <tr r="K2170" s="1"/>
      </tp>
      <tp>
        <v>0.58553976454699996</v>
        <stp/>
        <stp>EM_S_FA_ASSETSTURN</stp>
        <stp>3</stp>
        <stp>002481</stp>
        <stp>12/31/2018</stp>
        <stp>1</stp>
        <tr r="K57" s="1"/>
      </tp>
      <tp>
        <v>3.7662240672268905</v>
        <stp/>
        <stp>EM_S_RATIO_EPS_TTM</stp>
        <stp>3</stp>
        <stp>603156</stp>
        <stp>12/31/2018</stp>
        <stp>1</stp>
        <tr r="U3226" s="1"/>
      </tp>
      <tp>
        <v>0.72959082144791665</v>
        <stp/>
        <stp>EM_S_RATIO_EPS_TTM</stp>
        <stp>3</stp>
        <stp>603056</stp>
        <stp>12/31/2018</stp>
        <stp>1</stp>
        <tr r="U3254" s="1"/>
      </tp>
      <tp>
        <v>0.45807685075746213</v>
        <stp/>
        <stp>EM_S_RATIO_EPS_TTM</stp>
        <stp>3</stp>
        <stp>603356</stp>
        <stp>12/31/2018</stp>
        <stp>1</stp>
        <tr r="U3040" s="1"/>
      </tp>
      <tp>
        <v>0.66629861158094339</v>
        <stp/>
        <stp>EM_S_RATIO_EPS_TTM</stp>
        <stp>3</stp>
        <stp>603556</stp>
        <stp>12/31/2018</stp>
        <stp>1</stp>
        <tr r="U1158" s="1"/>
      </tp>
      <tp>
        <v>0.19499884391671518</v>
        <stp/>
        <stp>EM_S_RATIO_EPS_TTM</stp>
        <stp>3</stp>
        <stp>603456</stp>
        <stp>12/31/2018</stp>
        <stp>1</stp>
        <tr r="U126" s="1"/>
      </tp>
      <tp>
        <v>0.54226380210852121</v>
        <stp/>
        <stp>EM_S_RATIO_EPS_TTM</stp>
        <stp>3</stp>
        <stp>603656</stp>
        <stp>12/31/2018</stp>
        <stp>1</stp>
        <tr r="U1868" s="1"/>
      </tp>
      <tp>
        <v>0.6024891687134819</v>
        <stp/>
        <stp>EM_S_RATIO_EPS_TTM</stp>
        <stp>3</stp>
        <stp>603856</stp>
        <stp>12/31/2018</stp>
        <stp>1</stp>
        <tr r="U2996" s="1"/>
      </tp>
      <tp>
        <v>0.21439403353176451</v>
        <stp/>
        <stp>EM_S_RATIO_EPS_TTM</stp>
        <stp>3</stp>
        <stp>002136</stp>
        <stp>12/31/2018</stp>
        <stp>1</stp>
        <tr r="U2611" s="1"/>
      </tp>
      <tp>
        <v>0.44606323016950372</v>
        <stp/>
        <stp>EM_S_RATIO_EPS_TTM</stp>
        <stp>3</stp>
        <stp>002036</stp>
        <stp>12/31/2018</stp>
        <stp>1</stp>
        <tr r="U3613" s="1"/>
      </tp>
      <tp>
        <v>-0.88743553419999999</v>
        <stp/>
        <stp>EM_S_RATIO_EPS_TTM</stp>
        <stp>3</stp>
        <stp>002336</stp>
        <stp>12/31/2018</stp>
        <stp>1</stp>
        <tr r="U2961" s="1"/>
      </tp>
      <tp>
        <v>0.84381103677407376</v>
        <stp/>
        <stp>EM_S_RATIO_EPS_TTM</stp>
        <stp>3</stp>
        <stp>002236</stp>
        <stp>12/31/2018</stp>
        <stp>1</stp>
        <tr r="U283" s="1"/>
      </tp>
      <tp>
        <v>0.73512971078010159</v>
        <stp/>
        <stp>EM_S_RATIO_EPS_TTM</stp>
        <stp>3</stp>
        <stp>002536</stp>
        <stp>12/31/2018</stp>
        <stp>1</stp>
        <tr r="U3350" s="1"/>
      </tp>
      <tp>
        <v>0.14431059435667717</v>
        <stp/>
        <stp>EM_S_RATIO_EPS_TTM</stp>
        <stp>3</stp>
        <stp>002436</stp>
        <stp>12/31/2018</stp>
        <stp>1</stp>
        <tr r="U221" s="1"/>
      </tp>
      <tp>
        <v>0.41748739587560973</v>
        <stp/>
        <stp>EM_S_RATIO_EPS_TTM</stp>
        <stp>3</stp>
        <stp>002736</stp>
        <stp>12/31/2018</stp>
        <stp>1</stp>
        <tr r="U549" s="1"/>
      </tp>
      <tp>
        <v>0.40245264065934061</v>
        <stp/>
        <stp>EM_S_RATIO_EPS_TTM</stp>
        <stp>3</stp>
        <stp>002636</stp>
        <stp>12/31/2018</stp>
        <stp>1</stp>
        <tr r="U1181" s="1"/>
      </tp>
      <tp>
        <v>0.30957345743749998</v>
        <stp/>
        <stp>EM_S_RATIO_EPS_TTM</stp>
        <stp>3</stp>
        <stp>002836</stp>
        <stp>12/31/2018</stp>
        <stp>1</stp>
        <tr r="U2009" s="1"/>
      </tp>
      <tp>
        <v>9.3266039300852768E-2</v>
        <stp/>
        <stp>EM_S_RATIO_EPS_TTM</stp>
        <stp>3</stp>
        <stp>300106</stp>
        <stp>12/31/2018</stp>
        <stp>1</stp>
        <tr r="U1125" s="1"/>
      </tp>
      <tp>
        <v>6.8661847851042776E-2</v>
        <stp/>
        <stp>EM_S_RATIO_EPS_TTM</stp>
        <stp>3</stp>
        <stp>600156</stp>
        <stp>12/31/2018</stp>
        <stp>1</stp>
        <tr r="U1708" s="1"/>
      </tp>
      <tp>
        <v>0.84858038900203248</v>
        <stp/>
        <stp>EM_S_RATIO_EPS_TTM</stp>
        <stp>3</stp>
        <stp>000036</stp>
        <stp>12/31/2018</stp>
        <stp>1</stp>
        <tr r="U3122" s="1"/>
      </tp>
      <tp>
        <v>0.12065789859799098</v>
        <stp/>
        <stp>EM_S_RATIO_EPS_TTM</stp>
        <stp>3</stp>
        <stp>300006</stp>
        <stp>12/31/2018</stp>
        <stp>1</stp>
        <tr r="U461" s="1"/>
      </tp>
      <tp>
        <v>1.4455224496469412</v>
        <stp/>
        <stp>EM_S_RATIO_EPS_TTM</stp>
        <stp>3</stp>
        <stp>600056</stp>
        <stp>12/31/2018</stp>
        <stp>1</stp>
        <tr r="U2165" s="1"/>
      </tp>
      <tp>
        <v>-1.6874957867493865</v>
        <stp/>
        <stp>EM_S_RATIO_EPS_TTM</stp>
        <stp>3</stp>
        <stp>300306</stp>
        <stp>12/31/2018</stp>
        <stp>1</stp>
        <tr r="U300" s="1"/>
      </tp>
      <tp>
        <v>0.22359406252261854</v>
        <stp/>
        <stp>EM_S_RATIO_EPS_TTM</stp>
        <stp>3</stp>
        <stp>600356</stp>
        <stp>12/31/2018</stp>
        <stp>1</stp>
        <tr r="U712" s="1"/>
      </tp>
      <tp>
        <v>0.15838458788034188</v>
        <stp/>
        <stp>EM_S_RATIO_EPS_TTM</stp>
        <stp>3</stp>
        <stp>300206</stp>
        <stp>12/31/2018</stp>
        <stp>1</stp>
        <tr r="U1176" s="1"/>
      </tp>
      <tp>
        <v>0.25883624760141161</v>
        <stp/>
        <stp>EM_S_RATIO_EPS_TTM</stp>
        <stp>3</stp>
        <stp>600256</stp>
        <stp>12/31/2018</stp>
        <stp>1</stp>
        <tr r="U2837" s="1"/>
      </tp>
      <tp>
        <v>-1.7954870346380343</v>
        <stp/>
        <stp>EM_S_RATIO_EPS_TTM</stp>
        <stp>3</stp>
        <stp>000536</stp>
        <stp>12/31/2018</stp>
        <stp>1</stp>
        <tr r="U3447" s="1"/>
      </tp>
      <tp>
        <v>0.91587590885260828</v>
        <stp/>
        <stp>EM_S_RATIO_EPS_TTM</stp>
        <stp>3</stp>
        <stp>300506</stp>
        <stp>12/31/2018</stp>
        <stp>1</stp>
        <tr r="U3320" s="1"/>
      </tp>
      <tp>
        <v>-9.4093514428553154E-2</v>
        <stp/>
        <stp>EM_S_RATIO_EPS_TTM</stp>
        <stp>3</stp>
        <stp>600556</stp>
        <stp>12/31/2018</stp>
        <stp>1</stp>
        <tr r="U210" s="1"/>
      </tp>
      <tp>
        <v>0.59918793491217859</v>
        <stp/>
        <stp>EM_S_RATIO_EPS_TTM</stp>
        <stp>3</stp>
        <stp>300406</stp>
        <stp>12/31/2018</stp>
        <stp>1</stp>
        <tr r="U400" s="1"/>
      </tp>
      <tp>
        <v>0.32791882250897531</v>
        <stp/>
        <stp>EM_S_RATIO_EPS_TTM</stp>
        <stp>3</stp>
        <stp>600456</stp>
        <stp>12/31/2018</stp>
        <stp>1</stp>
        <tr r="U393" s="1"/>
      </tp>
      <tp>
        <v>1.8167026024292778</v>
        <stp/>
        <stp>EM_S_RATIO_EPS_TTM</stp>
        <stp>3</stp>
        <stp>000736</stp>
        <stp>12/31/2018</stp>
        <stp>1</stp>
        <tr r="U2610" s="1"/>
      </tp>
      <tp>
        <v>0.19651220436507938</v>
        <stp/>
        <stp>EM_S_RATIO_EPS_TTM</stp>
        <stp>3</stp>
        <stp>300706</stp>
        <stp>12/31/2018</stp>
        <stp>1</stp>
        <tr r="U1440" s="1"/>
      </tp>
      <tp>
        <v>0.96879626688967846</v>
        <stp/>
        <stp>EM_S_RATIO_EPS_TTM</stp>
        <stp>3</stp>
        <stp>600756</stp>
        <stp>12/31/2018</stp>
        <stp>1</stp>
        <tr r="U829" s="1"/>
      </tp>
      <tp>
        <v>1.1362093137660991</v>
        <stp/>
        <stp>EM_S_RATIO_EPS_TTM</stp>
        <stp>3</stp>
        <stp>000636</stp>
        <stp>12/31/2018</stp>
        <stp>1</stp>
        <tr r="U714" s="1"/>
      </tp>
      <tp>
        <v>0.60093621457399105</v>
        <stp/>
        <stp>EM_S_RATIO_EPS_TTM</stp>
        <stp>3</stp>
        <stp>300606</stp>
        <stp>12/31/2018</stp>
        <stp>1</stp>
        <tr r="U1432" s="1"/>
      </tp>
      <tp>
        <v>-0.24096079124834394</v>
        <stp/>
        <stp>EM_S_RATIO_EPS_TTM</stp>
        <stp>3</stp>
        <stp>600656</stp>
        <stp>12/31/2018</stp>
        <stp>1</stp>
        <tr r="U2312" s="1"/>
      </tp>
      <tp>
        <v>0.36227220453510173</v>
        <stp/>
        <stp>EM_S_RATIO_EPS_TTM</stp>
        <stp>3</stp>
        <stp>000936</stp>
        <stp>12/31/2018</stp>
        <stp>1</stp>
        <tr r="U953" s="1"/>
      </tp>
      <tp>
        <v>5.5168910842492251E-2</v>
        <stp/>
        <stp>EM_S_RATIO_EPS_TTM</stp>
        <stp>3</stp>
        <stp>000836</stp>
        <stp>12/31/2018</stp>
        <stp>1</stp>
        <tr r="U2534" s="1"/>
      </tp>
      <tp>
        <v>-0.58626078474666055</v>
        <stp/>
        <stp>EM_S_RATIO_EPS_TTM</stp>
        <stp>3</stp>
        <stp>600856</stp>
        <stp>12/31/2018</stp>
        <stp>1</stp>
        <tr r="U3278" s="1"/>
      </tp>
      <tp>
        <v>0.14300164968599999</v>
        <stp/>
        <stp>EM_S_FA_ASSETSTURN</stp>
        <stp>3</stp>
        <stp>000886</stp>
        <stp>12/31/2018</stp>
        <stp>1</stp>
        <tr r="K3562" s="1"/>
      </tp>
      <tp>
        <v>0.73870561913199995</v>
        <stp/>
        <stp>EM_S_FA_ASSETSTURN</stp>
        <stp>3</stp>
        <stp>000786</stp>
        <stp>12/31/2018</stp>
        <stp>1</stp>
        <tr r="K216" s="1"/>
      </tp>
      <tp>
        <v>0</v>
        <stp/>
        <stp>EM_S_FA_ASSETSTURN</stp>
        <stp>3</stp>
        <stp>000686</stp>
        <stp>12/31/2018</stp>
        <stp>1</stp>
        <tr r="K3508" s="1"/>
      </tp>
      <tp>
        <v>0.73565504287100003</v>
        <stp/>
        <stp>EM_S_FA_ASSETSTURN</stp>
        <stp>3</stp>
        <stp>000586</stp>
        <stp>12/31/2018</stp>
        <stp>1</stp>
        <tr r="K3468" s="1"/>
      </tp>
      <tp>
        <v>0.78964829647799994</v>
        <stp/>
        <stp>EM_S_FA_ASSETSTURN</stp>
        <stp>3</stp>
        <stp>002886</stp>
        <stp>12/31/2018</stp>
        <stp>1</stp>
        <tr r="K774" s="1"/>
      </tp>
      <tp>
        <v>1.323731328124</v>
        <stp/>
        <stp>EM_S_FA_ASSETSTURN</stp>
        <stp>3</stp>
        <stp>002386</stp>
        <stp>12/31/2018</stp>
        <stp>1</stp>
        <tr r="K1776" s="1"/>
      </tp>
      <tp>
        <v>0.73834769863799998</v>
        <stp/>
        <stp>EM_S_FA_ASSETSTURN</stp>
        <stp>3</stp>
        <stp>002286</stp>
        <stp>12/31/2018</stp>
        <stp>1</stp>
        <tr r="K1755" s="1"/>
      </tp>
      <tp>
        <v>0.86912140525199999</v>
        <stp/>
        <stp>EM_S_FA_ASSETSTURN</stp>
        <stp>3</stp>
        <stp>002186</stp>
        <stp>12/31/2018</stp>
        <stp>1</stp>
        <tr r="K2772" s="1"/>
      </tp>
      <tp>
        <v>0.17662226237500001</v>
        <stp/>
        <stp>EM_S_FA_ASSETSTURN</stp>
        <stp>3</stp>
        <stp>002086</stp>
        <stp>12/31/2018</stp>
        <stp>1</stp>
        <tr r="K3629" s="1"/>
      </tp>
      <tp>
        <v>0.75885683790799996</v>
        <stp/>
        <stp>EM_S_FA_ASSETSTURN</stp>
        <stp>3</stp>
        <stp>002786</stp>
        <stp>12/31/2018</stp>
        <stp>1</stp>
        <tr r="K785" s="1"/>
      </tp>
      <tp>
        <v>0.47933937342900002</v>
        <stp/>
        <stp>EM_S_FA_ASSETSTURN</stp>
        <stp>3</stp>
        <stp>002686</stp>
        <stp>12/31/2018</stp>
        <stp>1</stp>
        <tr r="K2783" s="1"/>
      </tp>
      <tp>
        <v>0.35719314404699998</v>
        <stp/>
        <stp>EM_S_FA_ASSETSTURN</stp>
        <stp>3</stp>
        <stp>002586</stp>
        <stp>12/31/2018</stp>
        <stp>1</stp>
        <tr r="K3213" s="1"/>
      </tp>
      <tp>
        <v>0.67881601451999996</v>
        <stp/>
        <stp>EM_S_FA_ASSETSTURN</stp>
        <stp>3</stp>
        <stp>002486</stp>
        <stp>12/31/2018</stp>
        <stp>1</stp>
        <tr r="K2922" s="1"/>
      </tp>
      <tp>
        <v>-0.30698615924190931</v>
        <stp/>
        <stp>EM_S_RATIO_EPS_TTM</stp>
        <stp>3</stp>
        <stp>002131</stp>
        <stp>12/31/2018</stp>
        <stp>1</stp>
        <tr r="U178" s="1"/>
      </tp>
      <tp>
        <v>2.4789077119534386E-2</v>
        <stp/>
        <stp>EM_S_RATIO_EPS_TTM</stp>
        <stp>3</stp>
        <stp>002031</stp>
        <stp>12/31/2018</stp>
        <stp>1</stp>
        <tr r="U1994" s="1"/>
      </tp>
      <tp>
        <v>0.25676223778254814</v>
        <stp/>
        <stp>EM_S_RATIO_EPS_TTM</stp>
        <stp>3</stp>
        <stp>002331</stp>
        <stp>12/31/2018</stp>
        <stp>1</stp>
        <tr r="U1715" s="1"/>
      </tp>
      <tp>
        <v>-0.37236924414237671</v>
        <stp/>
        <stp>EM_S_RATIO_EPS_TTM</stp>
        <stp>3</stp>
        <stp>002231</stp>
        <stp>12/31/2018</stp>
        <stp>1</stp>
        <tr r="U2167" s="1"/>
      </tp>
      <tp>
        <v>0.26398711208964365</v>
        <stp/>
        <stp>EM_S_RATIO_EPS_TTM</stp>
        <stp>3</stp>
        <stp>002531</stp>
        <stp>12/31/2018</stp>
        <stp>1</stp>
        <tr r="U787" s="1"/>
      </tp>
      <tp>
        <v>3.3759125423856708E-2</v>
        <stp/>
        <stp>EM_S_RATIO_EPS_TTM</stp>
        <stp>3</stp>
        <stp>002431</stp>
        <stp>12/31/2018</stp>
        <stp>1</stp>
        <tr r="U2936" s="1"/>
      </tp>
      <tp>
        <v>0.19652332260419431</v>
        <stp/>
        <stp>EM_S_RATIO_EPS_TTM</stp>
        <stp>3</stp>
        <stp>002731</stp>
        <stp>12/31/2018</stp>
        <stp>1</stp>
        <tr r="U3386" s="1"/>
      </tp>
      <tp>
        <v>0.15544688539317766</v>
        <stp/>
        <stp>EM_S_RATIO_EPS_TTM</stp>
        <stp>3</stp>
        <stp>002631</stp>
        <stp>12/31/2018</stp>
        <stp>1</stp>
        <tr r="U1082" s="1"/>
      </tp>
      <tp>
        <v>0.51482603600360033</v>
        <stp/>
        <stp>EM_S_RATIO_EPS_TTM</stp>
        <stp>3</stp>
        <stp>002931</stp>
        <stp>12/31/2018</stp>
        <stp>1</stp>
        <tr r="U2638" s="1"/>
      </tp>
      <tp>
        <v>2.3638868463788403</v>
        <stp/>
        <stp>EM_S_RATIO_EPS_TTM</stp>
        <stp>3</stp>
        <stp>002831</stp>
        <stp>12/31/2018</stp>
        <stp>1</stp>
        <tr r="U3252" s="1"/>
      </tp>
      <tp>
        <v>2.8908543738267629E-2</v>
        <stp/>
        <stp>EM_S_RATIO_EPS_TTM</stp>
        <stp>3</stp>
        <stp>300101</stp>
        <stp>12/31/2018</stp>
        <stp>1</stp>
        <tr r="U2605" s="1"/>
      </tp>
      <tp>
        <v>2.6865568337769014E-2</v>
        <stp/>
        <stp>EM_S_RATIO_EPS_TTM</stp>
        <stp>3</stp>
        <stp>600151</stp>
        <stp>12/31/2018</stp>
        <stp>1</stp>
        <tr r="U1268" s="1"/>
      </tp>
      <tp>
        <v>0.76569724274682593</v>
        <stp/>
        <stp>EM_S_RATIO_EPS_TTM</stp>
        <stp>3</stp>
        <stp>000031</stp>
        <stp>12/31/2018</stp>
        <stp>1</stp>
        <tr r="U569" s="1"/>
      </tp>
      <tp>
        <v>0.17943083696651588</v>
        <stp/>
        <stp>EM_S_RATIO_EPS_TTM</stp>
        <stp>3</stp>
        <stp>300001</stp>
        <stp>12/31/2018</stp>
        <stp>1</stp>
        <tr r="U2358" s="1"/>
      </tp>
      <tp>
        <v>0.7991941621847658</v>
        <stp/>
        <stp>EM_S_RATIO_EPS_TTM</stp>
        <stp>3</stp>
        <stp>600051</stp>
        <stp>12/31/2018</stp>
        <stp>1</stp>
        <tr r="U1703" s="1"/>
      </tp>
      <tp>
        <v>-0.19854004508586842</v>
        <stp/>
        <stp>EM_S_RATIO_EPS_TTM</stp>
        <stp>3</stp>
        <stp>300301</stp>
        <stp>12/31/2018</stp>
        <stp>1</stp>
        <tr r="U2067" s="1"/>
      </tp>
      <tp>
        <v>0.3472946233133708</v>
        <stp/>
        <stp>EM_S_RATIO_EPS_TTM</stp>
        <stp>3</stp>
        <stp>600351</stp>
        <stp>12/31/2018</stp>
        <stp>1</stp>
        <tr r="U2200" s="1"/>
      </tp>
      <tp>
        <v>9.5137029283700519E-2</v>
        <stp/>
        <stp>EM_S_RATIO_EPS_TTM</stp>
        <stp>3</stp>
        <stp>300201</stp>
        <stp>12/31/2018</stp>
        <stp>1</stp>
        <tr r="U2087" s="1"/>
      </tp>
      <tp>
        <v>0.11896358390388298</v>
        <stp/>
        <stp>EM_S_RATIO_EPS_TTM</stp>
        <stp>3</stp>
        <stp>600251</stp>
        <stp>12/31/2018</stp>
        <stp>1</stp>
        <tr r="U1731" s="1"/>
      </tp>
      <tp>
        <v>0.1196069925239112</v>
        <stp/>
        <stp>EM_S_RATIO_EPS_TTM</stp>
        <stp>3</stp>
        <stp>000531</stp>
        <stp>12/31/2018</stp>
        <stp>1</stp>
        <tr r="U806" s="1"/>
      </tp>
      <tp>
        <v>0.65582591601396401</v>
        <stp/>
        <stp>EM_S_RATIO_EPS_TTM</stp>
        <stp>3</stp>
        <stp>300501</stp>
        <stp>12/31/2018</stp>
        <stp>1</stp>
        <tr r="U3206" s="1"/>
      </tp>
      <tp>
        <v>0.65159433874971717</v>
        <stp/>
        <stp>EM_S_RATIO_EPS_TTM</stp>
        <stp>3</stp>
        <stp>600551</stp>
        <stp>12/31/2018</stp>
        <stp>1</stp>
        <tr r="U2574" s="1"/>
      </tp>
      <tp>
        <v>0.64138564903256612</v>
        <stp/>
        <stp>EM_S_RATIO_EPS_TTM</stp>
        <stp>3</stp>
        <stp>300401</stp>
        <stp>12/31/2018</stp>
        <stp>1</stp>
        <tr r="U2232" s="1"/>
      </tp>
      <tp>
        <v>0.37126422894785222</v>
        <stp/>
        <stp>EM_S_RATIO_EPS_TTM</stp>
        <stp>3</stp>
        <stp>000731</stp>
        <stp>12/31/2018</stp>
        <stp>1</stp>
        <tr r="U2107" s="1"/>
      </tp>
      <tp>
        <v>0.87900855437499992</v>
        <stp/>
        <stp>EM_S_RATIO_EPS_TTM</stp>
        <stp>3</stp>
        <stp>300701</stp>
        <stp>12/31/2018</stp>
        <stp>1</stp>
        <tr r="U2221" s="1"/>
      </tp>
      <tp>
        <v>2.0778192990561252E-2</v>
        <stp/>
        <stp>EM_S_RATIO_EPS_TTM</stp>
        <stp>3</stp>
        <stp>600751</stp>
        <stp>12/31/2018</stp>
        <stp>1</stp>
        <tr r="U1828" s="1"/>
      </tp>
      <tp>
        <v>0.42249717451763985</v>
        <stp/>
        <stp>EM_S_RATIO_EPS_TTM</stp>
        <stp>3</stp>
        <stp>000631</stp>
        <stp>12/31/2018</stp>
        <stp>1</stp>
        <tr r="U3490" s="1"/>
      </tp>
      <tp>
        <v>0.6823016137504373</v>
        <stp/>
        <stp>EM_S_RATIO_EPS_TTM</stp>
        <stp>3</stp>
        <stp>300601</stp>
        <stp>12/31/2018</stp>
        <stp>1</stp>
        <tr r="U93" s="1"/>
      </tp>
      <tp>
        <v>-3.3318629492928893</v>
        <stp/>
        <stp>EM_S_RATIO_EPS_TTM</stp>
        <stp>3</stp>
        <stp>600651</stp>
        <stp>12/31/2018</stp>
        <stp>1</stp>
        <tr r="U810" s="1"/>
      </tp>
      <tp>
        <v>0.12367130253739868</v>
        <stp/>
        <stp>EM_S_RATIO_EPS_TTM</stp>
        <stp>3</stp>
        <stp>000931</stp>
        <stp>12/31/2018</stp>
        <stp>1</stp>
        <tr r="U720" s="1"/>
      </tp>
      <tp>
        <v>0.10376658004276225</v>
        <stp/>
        <stp>EM_S_RATIO_EPS_TTM</stp>
        <stp>3</stp>
        <stp>000831</stp>
        <stp>12/31/2018</stp>
        <stp>1</stp>
        <tr r="U465" s="1"/>
      </tp>
      <tp>
        <v>0.11204971276527249</v>
        <stp/>
        <stp>EM_S_RATIO_EPS_TTM</stp>
        <stp>3</stp>
        <stp>600851</stp>
        <stp>12/31/2018</stp>
        <stp>1</stp>
        <tr r="U1652" s="1"/>
      </tp>
      <tp>
        <v>0</v>
        <stp/>
        <stp>EM_S_FA_ASSETSTURN</stp>
        <stp>3</stp>
        <stp>000987</stp>
        <stp>12/31/2018</stp>
        <stp>1</stp>
        <tr r="K3597" s="1"/>
      </tp>
      <tp>
        <v>0.78719236405699999</v>
        <stp/>
        <stp>EM_S_FA_ASSETSTURN</stp>
        <stp>3</stp>
        <stp>000887</stp>
        <stp>12/31/2018</stp>
        <stp>1</stp>
        <tr r="K2794" s="1"/>
      </tp>
      <tp>
        <v>0.78733307031099997</v>
        <stp/>
        <stp>EM_S_FA_ASSETSTURN</stp>
        <stp>3</stp>
        <stp>000787</stp>
        <stp>12/31/2018</stp>
        <stp>1</stp>
        <tr r="K3538" s="1"/>
      </tp>
      <tp>
        <v>0.35743340093600001</v>
        <stp/>
        <stp>EM_S_FA_ASSETSTURN</stp>
        <stp>3</stp>
        <stp>000687</stp>
        <stp>12/31/2018</stp>
        <stp>1</stp>
        <tr r="K3509" s="1"/>
      </tp>
      <tp>
        <v>0.31219765810400002</v>
        <stp/>
        <stp>EM_S_FA_ASSETSTURN</stp>
        <stp>3</stp>
        <stp>000587</stp>
        <stp>12/31/2018</stp>
        <stp>1</stp>
        <tr r="K3469" s="1"/>
      </tp>
      <tp>
        <v>0.23456070613400001</v>
        <stp/>
        <stp>EM_S_FA_ASSETSTURN</stp>
        <stp>3</stp>
        <stp>002887</stp>
        <stp>12/31/2018</stp>
        <stp>1</stp>
        <tr r="K2528" s="1"/>
      </tp>
      <tp>
        <v>7.7192080146E-2</v>
        <stp/>
        <stp>EM_S_FA_ASSETSTURN</stp>
        <stp>3</stp>
        <stp>002387</stp>
        <stp>12/31/2018</stp>
        <stp>1</stp>
        <tr r="K135" s="1"/>
      </tp>
      <tp>
        <v>0.526413170943</v>
        <stp/>
        <stp>EM_S_FA_ASSETSTURN</stp>
        <stp>3</stp>
        <stp>002287</stp>
        <stp>12/31/2018</stp>
        <stp>1</stp>
        <tr r="K2908" s="1"/>
      </tp>
      <tp>
        <v>1.7631023397059999</v>
        <stp/>
        <stp>EM_S_FA_ASSETSTURN</stp>
        <stp>3</stp>
        <stp>002187</stp>
        <stp>12/31/2018</stp>
        <stp>1</stp>
        <tr r="K1956" s="1"/>
      </tp>
      <tp>
        <v>0.641975010884</v>
        <stp/>
        <stp>EM_S_FA_ASSETSTURN</stp>
        <stp>3</stp>
        <stp>002087</stp>
        <stp>12/31/2018</stp>
        <stp>1</stp>
        <tr r="K2227" s="1"/>
      </tp>
      <tp>
        <v>0.75518204780099996</v>
        <stp/>
        <stp>EM_S_FA_ASSETSTURN</stp>
        <stp>3</stp>
        <stp>002787</stp>
        <stp>12/31/2018</stp>
        <stp>1</stp>
        <tr r="K1847" s="1"/>
      </tp>
      <tp>
        <v>0.66771055927199996</v>
        <stp/>
        <stp>EM_S_FA_ASSETSTURN</stp>
        <stp>3</stp>
        <stp>002687</stp>
        <stp>12/31/2018</stp>
        <stp>1</stp>
        <tr r="K2607" s="1"/>
      </tp>
      <tp>
        <v>0.774567221862</v>
        <stp/>
        <stp>EM_S_FA_ASSETSTURN</stp>
        <stp>3</stp>
        <stp>002587</stp>
        <stp>12/31/2018</stp>
        <stp>1</stp>
        <tr r="K422" s="1"/>
      </tp>
      <tp>
        <v>0.34002556379499999</v>
        <stp/>
        <stp>EM_S_FA_ASSETSTURN</stp>
        <stp>3</stp>
        <stp>002487</stp>
        <stp>12/31/2018</stp>
        <stp>1</stp>
        <tr r="K525" s="1"/>
      </tp>
      <tp>
        <v>0.53656733339291385</v>
        <stp/>
        <stp>EM_S_RATIO_EPS_TTM</stp>
        <stp>3</stp>
        <stp>603050</stp>
        <stp>12/31/2018</stp>
        <stp>1</stp>
        <tr r="U2950" s="1"/>
      </tp>
      <tp>
        <v>0.70354030270270274</v>
        <stp/>
        <stp>EM_S_RATIO_EPS_TTM</stp>
        <stp>3</stp>
        <stp>603650</stp>
        <stp>12/31/2018</stp>
        <stp>1</stp>
        <tr r="U2848" s="1"/>
      </tp>
      <tp>
        <v>1.6257221983020341E-2</v>
        <stp/>
        <stp>EM_S_RATIO_EPS_TTM</stp>
        <stp>3</stp>
        <stp>002130</stp>
        <stp>12/31/2018</stp>
        <stp>1</stp>
        <tr r="U517" s="1"/>
      </tp>
      <tp>
        <v>0.12739074974317027</v>
        <stp/>
        <stp>EM_S_RATIO_EPS_TTM</stp>
        <stp>3</stp>
        <stp>002030</stp>
        <stp>12/31/2018</stp>
        <stp>1</stp>
        <tr r="U3610" s="1"/>
      </tp>
      <tp>
        <v>1.5939403804780875E-2</v>
        <stp/>
        <stp>EM_S_RATIO_EPS_TTM</stp>
        <stp>3</stp>
        <stp>002330</stp>
        <stp>12/31/2018</stp>
        <stp>1</stp>
        <tr r="U253" s="1"/>
      </tp>
      <tp>
        <v>0.25904807890369325</v>
        <stp/>
        <stp>EM_S_RATIO_EPS_TTM</stp>
        <stp>3</stp>
        <stp>002230</stp>
        <stp>12/31/2018</stp>
        <stp>1</stp>
        <tr r="U734" s="1"/>
      </tp>
      <tp>
        <v>0.37066719104368623</v>
        <stp/>
        <stp>EM_S_RATIO_EPS_TTM</stp>
        <stp>3</stp>
        <stp>002530</stp>
        <stp>12/31/2018</stp>
        <stp>1</stp>
        <tr r="U250" s="1"/>
      </tp>
      <tp>
        <v>0.76804910802251602</v>
        <stp/>
        <stp>EM_S_RATIO_EPS_TTM</stp>
        <stp>3</stp>
        <stp>002430</stp>
        <stp>12/31/2018</stp>
        <stp>1</stp>
        <tr r="U751" s="1"/>
      </tp>
      <tp>
        <v>0.17717441433149247</v>
        <stp/>
        <stp>EM_S_RATIO_EPS_TTM</stp>
        <stp>3</stp>
        <stp>002730</stp>
        <stp>12/31/2018</stp>
        <stp>1</stp>
        <tr r="U1216" s="1"/>
      </tp>
      <tp>
        <v>-0.12044274800135502</v>
        <stp/>
        <stp>EM_S_RATIO_EPS_TTM</stp>
        <stp>3</stp>
        <stp>002630</stp>
        <stp>12/31/2018</stp>
        <stp>1</stp>
        <tr r="U2954" s="1"/>
      </tp>
      <tp>
        <v>0.42215711101380027</v>
        <stp/>
        <stp>EM_S_RATIO_EPS_TTM</stp>
        <stp>3</stp>
        <stp>002930</stp>
        <stp>12/31/2018</stp>
        <stp>1</stp>
        <tr r="U3331" s="1"/>
      </tp>
      <tp>
        <v>0.34451844667766612</v>
        <stp/>
        <stp>EM_S_RATIO_EPS_TTM</stp>
        <stp>3</stp>
        <stp>002830</stp>
        <stp>12/31/2018</stp>
        <stp>1</stp>
        <tr r="U2632" s="1"/>
      </tp>
      <tp>
        <v>-0.13274172383668836</v>
        <stp/>
        <stp>EM_S_RATIO_EPS_TTM</stp>
        <stp>3</stp>
        <stp>300100</stp>
        <stp>12/31/2018</stp>
        <stp>1</stp>
        <tr r="U3326" s="1"/>
      </tp>
      <tp>
        <v>0.3549866545278671</v>
        <stp/>
        <stp>EM_S_RATIO_EPS_TTM</stp>
        <stp>3</stp>
        <stp>600150</stp>
        <stp>12/31/2018</stp>
        <stp>1</stp>
        <tr r="U395" s="1"/>
      </tp>
      <tp>
        <v>0.48694414067046982</v>
        <stp/>
        <stp>EM_S_RATIO_EPS_TTM</stp>
        <stp>3</stp>
        <stp>000030</stp>
        <stp>12/31/2018</stp>
        <stp>1</stp>
        <tr r="U883" s="1"/>
      </tp>
      <tp>
        <v>0.13151980449558281</v>
        <stp/>
        <stp>EM_S_RATIO_EPS_TTM</stp>
        <stp>3</stp>
        <stp>600050</stp>
        <stp>12/31/2018</stp>
        <stp>1</stp>
        <tr r="U1536" s="1"/>
      </tp>
      <tp>
        <v>0.18225415774334325</v>
        <stp/>
        <stp>EM_S_RATIO_EPS_TTM</stp>
        <stp>3</stp>
        <stp>300300</stp>
        <stp>12/31/2018</stp>
        <stp>1</stp>
        <tr r="U2824" s="1"/>
      </tp>
      <tp>
        <v>0.61188718044645873</v>
        <stp/>
        <stp>EM_S_RATIO_EPS_TTM</stp>
        <stp>3</stp>
        <stp>600350</stp>
        <stp>12/31/2018</stp>
        <stp>1</stp>
        <tr r="U1896" s="1"/>
      </tp>
      <tp>
        <v>0.32104677527038616</v>
        <stp/>
        <stp>EM_S_RATIO_EPS_TTM</stp>
        <stp>3</stp>
        <stp>300200</stp>
        <stp>12/31/2018</stp>
        <stp>1</stp>
        <tr r="U246" s="1"/>
      </tp>
      <tp>
        <v>0.71685864674988986</v>
        <stp/>
        <stp>EM_S_RATIO_EPS_TTM</stp>
        <stp>3</stp>
        <stp>600250</stp>
        <stp>12/31/2018</stp>
        <stp>1</stp>
        <tr r="U3043" s="1"/>
      </tp>
      <tp>
        <v>0.12917789643797536</v>
        <stp/>
        <stp>EM_S_RATIO_EPS_TTM</stp>
        <stp>3</stp>
        <stp>000530</stp>
        <stp>12/31/2018</stp>
        <stp>1</stp>
        <tr r="U3444" s="1"/>
      </tp>
      <tp>
        <v>0.83206064610371444</v>
        <stp/>
        <stp>EM_S_RATIO_EPS_TTM</stp>
        <stp>3</stp>
        <stp>300500</stp>
        <stp>12/31/2018</stp>
        <stp>1</stp>
        <tr r="U3235" s="1"/>
      </tp>
      <tp>
        <v>-0.44338620649516103</v>
        <stp/>
        <stp>EM_S_RATIO_EPS_TTM</stp>
        <stp>3</stp>
        <stp>600550</stp>
        <stp>12/31/2018</stp>
        <stp>1</stp>
        <tr r="U2983" s="1"/>
      </tp>
      <tp>
        <v>6.522424215428177E-2</v>
        <stp/>
        <stp>EM_S_RATIO_EPS_TTM</stp>
        <stp>3</stp>
        <stp>000430</stp>
        <stp>12/31/2018</stp>
        <stp>1</stp>
        <tr r="U3426" s="1"/>
      </tp>
      <tp>
        <v>0.37383179679249856</v>
        <stp/>
        <stp>EM_S_RATIO_EPS_TTM</stp>
        <stp>3</stp>
        <stp>300400</stp>
        <stp>12/31/2018</stp>
        <stp>1</stp>
        <tr r="U2511" s="1"/>
      </tp>
      <tp>
        <v>8.1177133981229749E-2</v>
        <stp/>
        <stp>EM_S_RATIO_EPS_TTM</stp>
        <stp>3</stp>
        <stp>000730</stp>
        <stp>12/31/2018</stp>
        <stp>1</stp>
        <tr r="U2278" s="1"/>
      </tp>
      <tp>
        <v>0.41273581080097088</v>
        <stp/>
        <stp>EM_S_RATIO_EPS_TTM</stp>
        <stp>3</stp>
        <stp>300700</stp>
        <stp>12/31/2018</stp>
        <stp>1</stp>
        <tr r="U3042" s="1"/>
      </tp>
      <tp>
        <v>1.1196386306666666</v>
        <stp/>
        <stp>EM_S_RATIO_EPS_TTM</stp>
        <stp>3</stp>
        <stp>600750</stp>
        <stp>12/31/2018</stp>
        <stp>1</stp>
        <tr r="U3185" s="1"/>
      </tp>
      <tp>
        <v>6.7331542641996645E-2</v>
        <stp/>
        <stp>EM_S_RATIO_EPS_TTM</stp>
        <stp>3</stp>
        <stp>000630</stp>
        <stp>12/31/2018</stp>
        <stp>1</stp>
        <tr r="U1285" s="1"/>
      </tp>
      <tp>
        <v>0.64225387183607152</v>
        <stp/>
        <stp>EM_S_RATIO_EPS_TTM</stp>
        <stp>3</stp>
        <stp>300600</stp>
        <stp>12/31/2018</stp>
        <stp>1</stp>
        <tr r="U3297" s="1"/>
      </tp>
      <tp>
        <v>0.48420699401724343</v>
        <stp/>
        <stp>EM_S_RATIO_EPS_TTM</stp>
        <stp>3</stp>
        <stp>600650</stp>
        <stp>12/31/2018</stp>
        <stp>1</stp>
        <tr r="U1878" s="1"/>
      </tp>
      <tp>
        <v>0.26143696032799929</v>
        <stp/>
        <stp>EM_S_RATIO_EPS_TTM</stp>
        <stp>3</stp>
        <stp>000930</stp>
        <stp>12/31/2018</stp>
        <stp>1</stp>
        <tr r="U2797" s="1"/>
      </tp>
      <tp>
        <v>2.0937107896611318</v>
        <stp/>
        <stp>EM_S_RATIO_EPS_TTM</stp>
        <stp>3</stp>
        <stp>000830</stp>
        <stp>12/31/2018</stp>
        <stp>1</stp>
        <tr r="U2036" s="1"/>
      </tp>
      <tp>
        <v>0.71363876697021111</v>
        <stp/>
        <stp>EM_S_RATIO_EPS_TTM</stp>
        <stp>3</stp>
        <stp>600850</stp>
        <stp>12/31/2018</stp>
        <stp>1</stp>
        <tr r="U441" s="1"/>
      </tp>
      <tp>
        <v>0.58323672601999998</v>
        <stp/>
        <stp>EM_S_FA_ASSETSTURN</stp>
        <stp>3</stp>
        <stp>000584</stp>
        <stp>12/31/2018</stp>
        <stp>1</stp>
        <tr r="K2403" s="1"/>
      </tp>
      <tp>
        <v>0.80589142771400002</v>
        <stp/>
        <stp>EM_S_FA_ASSETSTURN</stp>
        <stp>3</stp>
        <stp>002884</stp>
        <stp>12/31/2018</stp>
        <stp>1</stp>
        <tr r="K3180" s="1"/>
      </tp>
      <tp>
        <v>0.74462877986999998</v>
        <stp/>
        <stp>EM_S_FA_ASSETSTURN</stp>
        <stp>3</stp>
        <stp>002384</stp>
        <stp>12/31/2018</stp>
        <stp>1</stp>
        <tr r="K172" s="1"/>
      </tp>
      <tp>
        <v>0.64491447758800002</v>
        <stp/>
        <stp>EM_S_FA_ASSETSTURN</stp>
        <stp>3</stp>
        <stp>002284</stp>
        <stp>12/31/2018</stp>
        <stp>1</stp>
        <tr r="K1226" s="1"/>
      </tp>
      <tp>
        <v>0.78988242804700004</v>
        <stp/>
        <stp>EM_S_FA_ASSETSTURN</stp>
        <stp>3</stp>
        <stp>002184</stp>
        <stp>12/31/2018</stp>
        <stp>1</stp>
        <tr r="K1608" s="1"/>
      </tp>
      <tp>
        <v>0.83727600800199997</v>
        <stp/>
        <stp>EM_S_FA_ASSETSTURN</stp>
        <stp>3</stp>
        <stp>002084</stp>
        <stp>12/31/2018</stp>
        <stp>1</stp>
        <tr r="K346" s="1"/>
      </tp>
      <tp>
        <v>0.117093690944</v>
        <stp/>
        <stp>EM_S_FA_ASSETSTURN</stp>
        <stp>3</stp>
        <stp>002684</stp>
        <stp>12/31/2018</stp>
        <stp>1</stp>
        <tr r="K2556" s="1"/>
      </tp>
      <tp>
        <v>1.1497802644499999</v>
        <stp/>
        <stp>EM_S_FA_ASSETSTURN</stp>
        <stp>3</stp>
        <stp>002584</stp>
        <stp>12/31/2018</stp>
        <stp>1</stp>
        <tr r="K2985" s="1"/>
      </tp>
      <tp>
        <v>0.496072840869</v>
        <stp/>
        <stp>EM_S_FA_ASSETSTURN</stp>
        <stp>3</stp>
        <stp>002484</stp>
        <stp>12/31/2018</stp>
        <stp>1</stp>
        <tr r="K965" s="1"/>
      </tp>
      <tp>
        <v>0.4341041883703381</v>
        <stp/>
        <stp>EM_S_RATIO_EPS_TTM</stp>
        <stp>3</stp>
        <stp>002133</stp>
        <stp>12/31/2018</stp>
        <stp>1</stp>
        <tr r="U2546" s="1"/>
      </tp>
      <tp>
        <v>0.34874364904414185</v>
        <stp/>
        <stp>EM_S_RATIO_EPS_TTM</stp>
        <stp>3</stp>
        <stp>002033</stp>
        <stp>12/31/2018</stp>
        <stp>1</stp>
        <tr r="U3611" s="1"/>
      </tp>
      <tp>
        <v>-0.30464504800602304</v>
        <stp/>
        <stp>EM_S_RATIO_EPS_TTM</stp>
        <stp>3</stp>
        <stp>002333</stp>
        <stp>12/31/2018</stp>
        <stp>1</stp>
        <tr r="U3105" s="1"/>
      </tp>
      <tp>
        <v>1.4452310991728439</v>
        <stp/>
        <stp>EM_S_RATIO_EPS_TTM</stp>
        <stp>3</stp>
        <stp>002233</stp>
        <stp>12/31/2018</stp>
        <stp>1</stp>
        <tr r="U1157" s="1"/>
      </tp>
      <tp>
        <v>0.23969839072183227</v>
        <stp/>
        <stp>EM_S_RATIO_EPS_TTM</stp>
        <stp>3</stp>
        <stp>002533</stp>
        <stp>12/31/2018</stp>
        <stp>1</stp>
        <tr r="U1582" s="1"/>
      </tp>
      <tp>
        <v>0.35328792790358349</v>
        <stp/>
        <stp>EM_S_RATIO_EPS_TTM</stp>
        <stp>3</stp>
        <stp>002433</stp>
        <stp>12/31/2018</stp>
        <stp>1</stp>
        <tr r="U2500" s="1"/>
      </tp>
      <tp>
        <v>0.26912552481917656</v>
        <stp/>
        <stp>EM_S_RATIO_EPS_TTM</stp>
        <stp>3</stp>
        <stp>002733</stp>
        <stp>12/31/2018</stp>
        <stp>1</stp>
        <tr r="U67" s="1"/>
      </tp>
      <tp>
        <v>2.70993624E-2</v>
        <stp/>
        <stp>EM_S_RATIO_EPS_TTM</stp>
        <stp>3</stp>
        <stp>002633</stp>
        <stp>12/31/2018</stp>
        <stp>1</stp>
        <tr r="U2033" s="1"/>
      </tp>
      <tp>
        <v>1.9986428043756741</v>
        <stp/>
        <stp>EM_S_RATIO_EPS_TTM</stp>
        <stp>3</stp>
        <stp>002833</stp>
        <stp>12/31/2018</stp>
        <stp>1</stp>
        <tr r="U1553" s="1"/>
      </tp>
      <tp>
        <v>6.0497103378137983E-2</v>
        <stp/>
        <stp>EM_S_RATIO_EPS_TTM</stp>
        <stp>3</stp>
        <stp>300103</stp>
        <stp>12/31/2018</stp>
        <stp>1</stp>
        <tr r="U1115" s="1"/>
      </tp>
      <tp>
        <v>1.647863541052597</v>
        <stp/>
        <stp>EM_S_RATIO_EPS_TTM</stp>
        <stp>3</stp>
        <stp>600153</stp>
        <stp>12/31/2018</stp>
        <stp>1</stp>
        <tr r="U1100" s="1"/>
      </tp>
      <tp>
        <v>-1.6185937851373396E-2</v>
        <stp/>
        <stp>EM_S_RATIO_EPS_TTM</stp>
        <stp>3</stp>
        <stp>000033</stp>
        <stp>12/31/2018</stp>
        <stp>1</stp>
        <tr r="U2275" s="1"/>
      </tp>
      <tp>
        <v>0.68402374269168897</v>
        <stp/>
        <stp>EM_S_RATIO_EPS_TTM</stp>
        <stp>3</stp>
        <stp>300003</stp>
        <stp>12/31/2018</stp>
        <stp>1</stp>
        <tr r="U508" s="1"/>
      </tp>
      <tp>
        <v>0.65554900230843316</v>
        <stp/>
        <stp>EM_S_RATIO_EPS_TTM</stp>
        <stp>3</stp>
        <stp>600053</stp>
        <stp>12/31/2018</stp>
        <stp>1</stp>
        <tr r="U2410" s="1"/>
      </tp>
      <tp>
        <v>3.036272906417337</v>
        <stp/>
        <stp>EM_S_RATIO_EPS_TTM</stp>
        <stp>3</stp>
        <stp>000333</stp>
        <stp>12/31/2018</stp>
        <stp>1</stp>
        <tr r="U444" s="1"/>
      </tp>
      <tp>
        <v>0.12556869588015757</v>
        <stp/>
        <stp>EM_S_RATIO_EPS_TTM</stp>
        <stp>3</stp>
        <stp>300303</stp>
        <stp>12/31/2018</stp>
        <stp>1</stp>
        <tr r="U104" s="1"/>
      </tp>
      <tp>
        <v>0.10370835238725815</v>
        <stp/>
        <stp>EM_S_RATIO_EPS_TTM</stp>
        <stp>3</stp>
        <stp>600353</stp>
        <stp>12/31/2018</stp>
        <stp>1</stp>
        <tr r="U716" s="1"/>
      </tp>
      <tp>
        <v>1.3285806165685561</v>
        <stp/>
        <stp>EM_S_RATIO_EPS_TTM</stp>
        <stp>3</stp>
        <stp>300203</stp>
        <stp>12/31/2018</stp>
        <stp>1</stp>
        <tr r="U3273" s="1"/>
      </tp>
      <tp>
        <v>0.10754554907142858</v>
        <stp/>
        <stp>EM_S_RATIO_EPS_TTM</stp>
        <stp>3</stp>
        <stp>600253</stp>
        <stp>12/31/2018</stp>
        <stp>1</stp>
        <tr r="U2296" s="1"/>
      </tp>
      <tp>
        <v>-1.4008862750717992</v>
        <stp/>
        <stp>EM_S_RATIO_EPS_TTM</stp>
        <stp>3</stp>
        <stp>000533</stp>
        <stp>12/31/2018</stp>
        <stp>1</stp>
        <tr r="U3445" s="1"/>
      </tp>
      <tp>
        <v>0.20206290824255702</v>
        <stp/>
        <stp>EM_S_RATIO_EPS_TTM</stp>
        <stp>3</stp>
        <stp>300503</stp>
        <stp>12/31/2018</stp>
        <stp>1</stp>
        <tr r="U978" s="1"/>
      </tp>
      <tp>
        <v>0.18270908481578949</v>
        <stp/>
        <stp>EM_S_RATIO_EPS_TTM</stp>
        <stp>3</stp>
        <stp>600553</stp>
        <stp>12/31/2018</stp>
        <stp>1</stp>
        <tr r="U2304" s="1"/>
      </tp>
      <tp>
        <v>0.26991363832504145</v>
        <stp/>
        <stp>EM_S_RATIO_EPS_TTM</stp>
        <stp>3</stp>
        <stp>300403</stp>
        <stp>12/31/2018</stp>
        <stp>1</stp>
        <tr r="U2252" s="1"/>
      </tp>
      <tp>
        <v>0.50301982901049069</v>
        <stp/>
        <stp>EM_S_RATIO_EPS_TTM</stp>
        <stp>3</stp>
        <stp>000733</stp>
        <stp>12/31/2018</stp>
        <stp>1</stp>
        <tr r="U3522" s="1"/>
      </tp>
      <tp>
        <v>0.69379931508333337</v>
        <stp/>
        <stp>EM_S_RATIO_EPS_TTM</stp>
        <stp>3</stp>
        <stp>300703</stp>
        <stp>12/31/2018</stp>
        <stp>1</stp>
        <tr r="U3050" s="1"/>
      </tp>
      <tp>
        <v>0.1635203290625</v>
        <stp/>
        <stp>EM_S_RATIO_EPS_TTM</stp>
        <stp>3</stp>
        <stp>600753</stp>
        <stp>12/31/2018</stp>
        <stp>1</stp>
        <tr r="U1909" s="1"/>
      </tp>
      <tp>
        <v>1.2705273771202952E-2</v>
        <stp/>
        <stp>EM_S_RATIO_EPS_TTM</stp>
        <stp>3</stp>
        <stp>000633</stp>
        <stp>12/31/2018</stp>
        <stp>1</stp>
        <tr r="U2730" s="1"/>
      </tp>
      <tp>
        <v>0.4034488660487805</v>
        <stp/>
        <stp>EM_S_RATIO_EPS_TTM</stp>
        <stp>3</stp>
        <stp>300603</stp>
        <stp>12/31/2018</stp>
        <stp>1</stp>
        <tr r="U3173" s="1"/>
      </tp>
      <tp>
        <v>0.17523479653026106</v>
        <stp/>
        <stp>EM_S_RATIO_EPS_TTM</stp>
        <stp>3</stp>
        <stp>600653</stp>
        <stp>12/31/2018</stp>
        <stp>1</stp>
        <tr r="U1829" s="1"/>
      </tp>
      <tp>
        <v>0.12568395478032096</v>
        <stp/>
        <stp>EM_S_RATIO_EPS_TTM</stp>
        <stp>3</stp>
        <stp>000933</stp>
        <stp>12/31/2018</stp>
        <stp>1</stp>
        <tr r="U3581" s="1"/>
      </tp>
      <tp>
        <v>0.13236948305518681</v>
        <stp/>
        <stp>EM_S_RATIO_EPS_TTM</stp>
        <stp>3</stp>
        <stp>000833</stp>
        <stp>12/31/2018</stp>
        <stp>1</stp>
        <tr r="U1707" s="1"/>
      </tp>
      <tp>
        <v>0.22709228815396379</v>
        <stp/>
        <stp>EM_S_RATIO_EPS_TTM</stp>
        <stp>3</stp>
        <stp>600853</stp>
        <stp>12/31/2018</stp>
        <stp>1</stp>
        <tr r="U2699" s="1"/>
      </tp>
      <tp>
        <v>2.4265445753370001</v>
        <stp/>
        <stp>EM_S_FA_ASSETSTURN</stp>
        <stp>3</stp>
        <stp>000985</stp>
        <stp>12/31/2018</stp>
        <stp>1</stp>
        <tr r="K3596" s="1"/>
      </tp>
      <tp>
        <v>0.24993029770299999</v>
        <stp/>
        <stp>EM_S_FA_ASSETSTURN</stp>
        <stp>3</stp>
        <stp>000885</stp>
        <stp>12/31/2018</stp>
        <stp>1</stp>
        <tr r="K3561" s="1"/>
      </tp>
      <tp>
        <v>1.455242736208</v>
        <stp/>
        <stp>EM_S_FA_ASSETSTURN</stp>
        <stp>3</stp>
        <stp>000785</stp>
        <stp>12/31/2018</stp>
        <stp>1</stp>
        <tr r="K560" s="1"/>
      </tp>
      <tp>
        <v>0.12349465938699999</v>
        <stp/>
        <stp>EM_S_FA_ASSETSTURN</stp>
        <stp>3</stp>
        <stp>000685</stp>
        <stp>12/31/2018</stp>
        <stp>1</stp>
        <tr r="K1353" s="1"/>
      </tp>
      <tp>
        <v>7.9648658425000005E-2</v>
        <stp/>
        <stp>EM_S_FA_ASSETSTURN</stp>
        <stp>3</stp>
        <stp>000585</stp>
        <stp>12/31/2018</stp>
        <stp>1</stp>
        <tr r="K3467" s="1"/>
      </tp>
      <tp>
        <v>0.84186101446299999</v>
        <stp/>
        <stp>EM_S_FA_ASSETSTURN</stp>
        <stp>3</stp>
        <stp>002885</stp>
        <stp>12/31/2018</stp>
        <stp>1</stp>
        <tr r="K3090" s="1"/>
      </tp>
      <tp>
        <v>1.0334798254790001</v>
        <stp/>
        <stp>EM_S_FA_ASSETSTURN</stp>
        <stp>3</stp>
        <stp>002385</stp>
        <stp>12/31/2018</stp>
        <stp>1</stp>
        <tr r="K707" s="1"/>
      </tp>
      <tp>
        <v>0.56108694558899996</v>
        <stp/>
        <stp>EM_S_FA_ASSETSTURN</stp>
        <stp>3</stp>
        <stp>002285</stp>
        <stp>12/31/2018</stp>
        <stp>1</stp>
        <tr r="K3147" s="1"/>
      </tp>
      <tp>
        <v>0.65309412761399999</v>
        <stp/>
        <stp>EM_S_FA_ASSETSTURN</stp>
        <stp>3</stp>
        <stp>002185</stp>
        <stp>12/31/2018</stp>
        <stp>1</stp>
        <tr r="K243" s="1"/>
      </tp>
      <tp>
        <v>0.93891766488600004</v>
        <stp/>
        <stp>EM_S_FA_ASSETSTURN</stp>
        <stp>3</stp>
        <stp>002085</stp>
        <stp>12/31/2018</stp>
        <stp>1</stp>
        <tr r="K2749" s="1"/>
      </tp>
      <tp>
        <v>0.86806033089900003</v>
        <stp/>
        <stp>EM_S_FA_ASSETSTURN</stp>
        <stp>3</stp>
        <stp>002785</stp>
        <stp>12/31/2018</stp>
        <stp>1</stp>
        <tr r="K500" s="1"/>
      </tp>
      <tp>
        <v>1.681098377376</v>
        <stp/>
        <stp>EM_S_FA_ASSETSTURN</stp>
        <stp>3</stp>
        <stp>002685</stp>
        <stp>12/31/2018</stp>
        <stp>1</stp>
        <tr r="K775" s="1"/>
      </tp>
      <tp>
        <v>0.42037647756000002</v>
        <stp/>
        <stp>EM_S_FA_ASSETSTURN</stp>
        <stp>3</stp>
        <stp>002585</stp>
        <stp>12/31/2018</stp>
        <stp>1</stp>
        <tr r="K2748" s="1"/>
      </tp>
      <tp>
        <v>0.60929866607799998</v>
        <stp/>
        <stp>EM_S_FA_ASSETSTURN</stp>
        <stp>3</stp>
        <stp>002485</stp>
        <stp>12/31/2018</stp>
        <stp>1</stp>
        <tr r="K2666" s="1"/>
      </tp>
      <tp>
        <v>-0.1104858175852373</v>
        <stp/>
        <stp>EM_S_RATIO_EPS_TTM</stp>
        <stp>3</stp>
        <stp>002132</stp>
        <stp>12/31/2018</stp>
        <stp>1</stp>
        <tr r="U1461" s="1"/>
      </tp>
      <tp>
        <v>2.0333463883253402</v>
        <stp/>
        <stp>EM_S_RATIO_EPS_TTM</stp>
        <stp>3</stp>
        <stp>002032</stp>
        <stp>12/31/2018</stp>
        <stp>1</stp>
        <tr r="U638" s="1"/>
      </tp>
      <tp>
        <v>0.32892268892879989</v>
        <stp/>
        <stp>EM_S_RATIO_EPS_TTM</stp>
        <stp>3</stp>
        <stp>002332</stp>
        <stp>12/31/2018</stp>
        <stp>1</stp>
        <tr r="U458" s="1"/>
      </tp>
      <tp>
        <v>0.17664343009203157</v>
        <stp/>
        <stp>EM_S_RATIO_EPS_TTM</stp>
        <stp>3</stp>
        <stp>002232</stp>
        <stp>12/31/2018</stp>
        <stp>1</stp>
        <tr r="U1004" s="1"/>
      </tp>
      <tp>
        <v>0.26007458994252292</v>
        <stp/>
        <stp>EM_S_RATIO_EPS_TTM</stp>
        <stp>3</stp>
        <stp>002532</stp>
        <stp>12/31/2018</stp>
        <stp>1</stp>
        <tr r="U1275" s="1"/>
      </tp>
      <tp>
        <v>2.9312804364337704E-2</v>
        <stp/>
        <stp>EM_S_RATIO_EPS_TTM</stp>
        <stp>3</stp>
        <stp>002432</stp>
        <stp>12/31/2018</stp>
        <stp>1</stp>
        <tr r="U2464" s="1"/>
      </tp>
      <tp>
        <v>0.26819747429297741</v>
        <stp/>
        <stp>EM_S_RATIO_EPS_TTM</stp>
        <stp>3</stp>
        <stp>002732</stp>
        <stp>12/31/2018</stp>
        <stp>1</stp>
        <tr r="U992" s="1"/>
      </tp>
      <tp>
        <v>0.32793322696861393</v>
        <stp/>
        <stp>EM_S_RATIO_EPS_TTM</stp>
        <stp>3</stp>
        <stp>002632</stp>
        <stp>12/31/2018</stp>
        <stp>1</stp>
        <tr r="U1891" s="1"/>
      </tp>
      <tp>
        <v>1.6116633349693117</v>
        <stp/>
        <stp>EM_S_RATIO_EPS_TTM</stp>
        <stp>3</stp>
        <stp>002832</stp>
        <stp>12/31/2018</stp>
        <stp>1</stp>
        <tr r="U3123" s="1"/>
      </tp>
      <tp>
        <v>0.43936180681422349</v>
        <stp/>
        <stp>EM_S_RATIO_EPS_TTM</stp>
        <stp>3</stp>
        <stp>601952</stp>
        <stp>12/31/2018</stp>
        <stp>1</stp>
        <tr r="U2012" s="1"/>
      </tp>
      <tp>
        <v>0.25011796554949428</v>
        <stp/>
        <stp>EM_S_RATIO_EPS_TTM</stp>
        <stp>3</stp>
        <stp>300102</stp>
        <stp>12/31/2018</stp>
        <stp>1</stp>
        <tr r="U3006" s="1"/>
      </tp>
      <tp>
        <v>0.12378242164703808</v>
        <stp/>
        <stp>EM_S_RATIO_EPS_TTM</stp>
        <stp>3</stp>
        <stp>600152</stp>
        <stp>12/31/2018</stp>
        <stp>1</stp>
        <tr r="U1376" s="1"/>
      </tp>
      <tp>
        <v>0.25898426815175185</v>
        <stp/>
        <stp>EM_S_RATIO_EPS_TTM</stp>
        <stp>3</stp>
        <stp>000032</stp>
        <stp>12/31/2018</stp>
        <stp>1</stp>
        <tr r="U158" s="1"/>
      </tp>
      <tp>
        <v>4.0919848214524136E-2</v>
        <stp/>
        <stp>EM_S_RATIO_EPS_TTM</stp>
        <stp>3</stp>
        <stp>300002</stp>
        <stp>12/31/2018</stp>
        <stp>1</stp>
        <tr r="U2398" s="1"/>
      </tp>
      <tp>
        <v>0.13514332286460864</v>
        <stp/>
        <stp>EM_S_RATIO_EPS_TTM</stp>
        <stp>3</stp>
        <stp>600052</stp>
        <stp>12/31/2018</stp>
        <stp>1</stp>
        <tr r="U481" s="1"/>
      </tp>
      <tp>
        <v>4.8020404220815383E-2</v>
        <stp/>
        <stp>EM_S_RATIO_EPS_TTM</stp>
        <stp>3</stp>
        <stp>300302</stp>
        <stp>12/31/2018</stp>
        <stp>1</stp>
        <tr r="U343" s="1"/>
      </tp>
      <tp>
        <v>1.2637397000655199</v>
        <stp/>
        <stp>EM_S_RATIO_EPS_TTM</stp>
        <stp>3</stp>
        <stp>600352</stp>
        <stp>12/31/2018</stp>
        <stp>1</stp>
        <tr r="U572" s="1"/>
      </tp>
      <tp>
        <v>-0.24123395762360239</v>
        <stp/>
        <stp>EM_S_RATIO_EPS_TTM</stp>
        <stp>3</stp>
        <stp>300202</stp>
        <stp>12/31/2018</stp>
        <stp>1</stp>
        <tr r="U299" s="1"/>
      </tp>
      <tp>
        <v>0.17649872248672857</v>
        <stp/>
        <stp>EM_S_RATIO_EPS_TTM</stp>
        <stp>3</stp>
        <stp>600252</stp>
        <stp>12/31/2018</stp>
        <stp>1</stp>
        <tr r="U1069" s="1"/>
      </tp>
      <tp>
        <v>0.15859568399186397</v>
        <stp/>
        <stp>EM_S_RATIO_EPS_TTM</stp>
        <stp>3</stp>
        <stp>000532</stp>
        <stp>12/31/2018</stp>
        <stp>1</stp>
        <tr r="U1180" s="1"/>
      </tp>
      <tp>
        <v>0.13354589580995332</v>
        <stp/>
        <stp>EM_S_RATIO_EPS_TTM</stp>
        <stp>3</stp>
        <stp>300502</stp>
        <stp>12/31/2018</stp>
        <stp>1</stp>
        <tr r="U171" s="1"/>
      </tp>
      <tp>
        <v>5.6392529207081724E-2</v>
        <stp/>
        <stp>EM_S_RATIO_EPS_TTM</stp>
        <stp>3</stp>
        <stp>600552</stp>
        <stp>12/31/2018</stp>
        <stp>1</stp>
        <tr r="U420" s="1"/>
      </tp>
      <tp>
        <v>7.2463790247524751E-2</v>
        <stp/>
        <stp>EM_S_RATIO_EPS_TTM</stp>
        <stp>3</stp>
        <stp>300402</stp>
        <stp>12/31/2018</stp>
        <stp>1</stp>
        <tr r="U1278" s="1"/>
      </tp>
      <tp>
        <v>1.5567862534374999</v>
        <stp/>
        <stp>EM_S_RATIO_EPS_TTM</stp>
        <stp>3</stp>
        <stp>600452</stp>
        <stp>12/31/2018</stp>
        <stp>1</stp>
        <tr r="U1428" s="1"/>
      </tp>
      <tp>
        <v>2.0528536562942405</v>
        <stp/>
        <stp>EM_S_RATIO_EPS_TTM</stp>
        <stp>3</stp>
        <stp>000732</stp>
        <stp>12/31/2018</stp>
        <stp>1</stp>
        <tr r="U3385" s="1"/>
      </tp>
      <tp>
        <v>0.89915755705928824</v>
        <stp/>
        <stp>EM_S_RATIO_EPS_TTM</stp>
        <stp>3</stp>
        <stp>300702</stp>
        <stp>12/31/2018</stp>
        <stp>1</stp>
        <tr r="U105" s="1"/>
      </tp>
      <tp>
        <v>-6.6868818370022362E-3</v>
        <stp/>
        <stp>EM_S_RATIO_EPS_TTM</stp>
        <stp>3</stp>
        <stp>600752</stp>
        <stp>12/31/2018</stp>
        <stp>1</stp>
        <tr r="U2319" s="1"/>
      </tp>
      <tp>
        <v>7.1156398688029379E-2</v>
        <stp/>
        <stp>EM_S_RATIO_EPS_TTM</stp>
        <stp>3</stp>
        <stp>000632</stp>
        <stp>12/31/2018</stp>
        <stp>1</stp>
        <tr r="U438" s="1"/>
      </tp>
      <tp>
        <v>0.79560309986483579</v>
        <stp/>
        <stp>EM_S_RATIO_EPS_TTM</stp>
        <stp>3</stp>
        <stp>300602</stp>
        <stp>12/31/2018</stp>
        <stp>1</stp>
        <tr r="U1016" s="1"/>
      </tp>
      <tp>
        <v>-1.0870812231534543</v>
        <stp/>
        <stp>EM_S_RATIO_EPS_TTM</stp>
        <stp>3</stp>
        <stp>600652</stp>
        <stp>12/31/2018</stp>
        <stp>1</stp>
        <tr r="U3367" s="1"/>
      </tp>
      <tp>
        <v>2.2482821781350442</v>
        <stp/>
        <stp>EM_S_RATIO_EPS_TTM</stp>
        <stp>3</stp>
        <stp>000932</stp>
        <stp>12/31/2018</stp>
        <stp>1</stp>
        <tr r="U3096" s="1"/>
      </tp>
      <tp>
        <v>-4.1104179085547339E-3</v>
        <stp/>
        <stp>EM_S_RATIO_EPS_TTM</stp>
        <stp>3</stp>
        <stp>000832</stp>
        <stp>12/31/2018</stp>
        <stp>1</stp>
        <tr r="U3552" s="1"/>
      </tp>
      <tp>
        <v>-0.36683985413009601</v>
        <stp/>
        <stp>EM_S_RATIO_EPS_TTM</stp>
        <stp>3</stp>
        <stp>600852</stp>
        <stp>12/31/2018</stp>
        <stp>1</stp>
        <tr r="U2331" s="1"/>
      </tp>
      <tp t="s">
        <v>1997-07-18</v>
        <stp/>
        <stp>EM_S_IPO_LISTEDDATE</stp>
        <stp>1</stp>
        <stp>000799</stp>
        <tr r="AT114" s="1"/>
      </tp>
      <tp t="s">
        <v>2016-06-08</v>
        <stp/>
        <stp>EM_S_IPO_LISTEDDATE</stp>
        <stp>1</stp>
        <stp>002799</stp>
        <tr r="AT657" s="1"/>
      </tp>
      <tp t="s">
        <v>1998-02-12</v>
        <stp/>
        <stp>EM_S_IPO_LISTEDDATE</stp>
        <stp>1</stp>
        <stp>000798</stp>
        <tr r="AT3541" s="1"/>
      </tp>
      <tp t="s">
        <v>2016-05-25</v>
        <stp/>
        <stp>EM_S_IPO_LISTEDDATE</stp>
        <stp>1</stp>
        <stp>002798</stp>
        <tr r="AT231" s="1"/>
      </tp>
      <tp t="s">
        <v>1997-08-08</v>
        <stp/>
        <stp>EM_S_IPO_LISTEDDATE</stp>
        <stp>1</stp>
        <stp>000795</stp>
        <tr r="AT292" s="1"/>
      </tp>
      <tp t="s">
        <v>2016-04-28</v>
        <stp/>
        <stp>EM_S_IPO_LISTEDDATE</stp>
        <stp>1</stp>
        <stp>002795</stp>
        <tr r="AT2685" s="1"/>
      </tp>
      <tp t="s">
        <v>1997-07-15</v>
        <stp/>
        <stp>EM_S_IPO_LISTEDDATE</stp>
        <stp>1</stp>
        <stp>000797</stp>
        <tr r="AT3127" s="1"/>
      </tp>
      <tp t="s">
        <v>2016-05-11</v>
        <stp/>
        <stp>EM_S_IPO_LISTEDDATE</stp>
        <stp>1</stp>
        <stp>002797</stp>
        <tr r="AT505" s="1"/>
      </tp>
      <tp t="s">
        <v>1997-07-03</v>
        <stp/>
        <stp>EM_S_IPO_LISTEDDATE</stp>
        <stp>1</stp>
        <stp>000796</stp>
        <tr r="AT776" s="1"/>
      </tp>
      <tp t="s">
        <v>2016-05-10</v>
        <stp/>
        <stp>EM_S_IPO_LISTEDDATE</stp>
        <stp>1</stp>
        <stp>002796</stp>
        <tr r="AT2130" s="1"/>
      </tp>
      <tp t="s">
        <v>1997-10-14</v>
        <stp/>
        <stp>EM_S_IPO_LISTEDDATE</stp>
        <stp>1</stp>
        <stp>000791</stp>
        <tr r="AT3193" s="1"/>
      </tp>
      <tp t="s">
        <v>2016-03-29</v>
        <stp/>
        <stp>EM_S_IPO_LISTEDDATE</stp>
        <stp>1</stp>
        <stp>002791</stp>
        <tr r="AT43" s="1"/>
      </tp>
      <tp t="s">
        <v>1998-03-27</v>
        <stp/>
        <stp>EM_S_IPO_LISTEDDATE</stp>
        <stp>1</stp>
        <stp>000790</stp>
        <tr r="AT1849" s="1"/>
      </tp>
      <tp t="s">
        <v>2016-03-08</v>
        <stp/>
        <stp>EM_S_IPO_LISTEDDATE</stp>
        <stp>1</stp>
        <stp>002790</stp>
        <tr r="AT3304" s="1"/>
      </tp>
      <tp t="s">
        <v>1997-07-29</v>
        <stp/>
        <stp>EM_S_IPO_LISTEDDATE</stp>
        <stp>1</stp>
        <stp>000793</stp>
        <tr r="AT3540" s="1"/>
      </tp>
      <tp t="s">
        <v>2016-04-15</v>
        <stp/>
        <stp>EM_S_IPO_LISTEDDATE</stp>
        <stp>1</stp>
        <stp>002793</stp>
        <tr r="AT848" s="1"/>
      </tp>
      <tp t="s">
        <v>1997-09-04</v>
        <stp/>
        <stp>EM_S_IPO_LISTEDDATE</stp>
        <stp>1</stp>
        <stp>000792</stp>
        <tr r="AT3539" s="1"/>
      </tp>
      <tp t="s">
        <v>2016-03-28</v>
        <stp/>
        <stp>EM_S_IPO_LISTEDDATE</stp>
        <stp>1</stp>
        <stp>002792</stp>
        <tr r="AT2935" s="1"/>
      </tp>
      <tp t="s">
        <v>1997-09-23</v>
        <stp/>
        <stp>EM_S_IPO_LISTEDDATE</stp>
        <stp>1</stp>
        <stp>000789</stp>
        <tr r="AT2031" s="1"/>
      </tp>
      <tp t="s">
        <v>2016-03-11</v>
        <stp/>
        <stp>EM_S_IPO_LISTEDDATE</stp>
        <stp>1</stp>
        <stp>002789</stp>
        <tr r="AT2208" s="1"/>
      </tp>
      <tp t="s">
        <v>1997-06-16</v>
        <stp/>
        <stp>EM_S_IPO_LISTEDDATE</stp>
        <stp>1</stp>
        <stp>000788</stp>
        <tr r="AT1145" s="1"/>
      </tp>
      <tp t="s">
        <v>2016-02-18</v>
        <stp/>
        <stp>EM_S_IPO_LISTEDDATE</stp>
        <stp>1</stp>
        <stp>002788</stp>
        <tr r="AT3288" s="1"/>
      </tp>
      <tp t="s">
        <v>1997-07-11</v>
        <stp/>
        <stp>EM_S_IPO_LISTEDDATE</stp>
        <stp>1</stp>
        <stp>000785</stp>
        <tr r="AT560" s="1"/>
      </tp>
      <tp t="s">
        <v>2015-12-23</v>
        <stp/>
        <stp>EM_S_IPO_LISTEDDATE</stp>
        <stp>1</stp>
        <stp>002785</stp>
        <tr r="AT500" s="1"/>
      </tp>
      <tp t="s">
        <v>1997-06-26</v>
        <stp/>
        <stp>EM_S_IPO_LISTEDDATE</stp>
        <stp>1</stp>
        <stp>000787</stp>
        <tr r="AT3538" s="1"/>
      </tp>
      <tp t="s">
        <v>2015-12-31</v>
        <stp/>
        <stp>EM_S_IPO_LISTEDDATE</stp>
        <stp>1</stp>
        <stp>002787</stp>
        <tr r="AT1847" s="1"/>
      </tp>
      <tp t="s">
        <v>1997-06-06</v>
        <stp/>
        <stp>EM_S_IPO_LISTEDDATE</stp>
        <stp>1</stp>
        <stp>000786</stp>
        <tr r="AT216" s="1"/>
      </tp>
      <tp t="s">
        <v>2015-12-23</v>
        <stp/>
        <stp>EM_S_IPO_LISTEDDATE</stp>
        <stp>1</stp>
        <stp>002786</stp>
        <tr r="AT785" s="1"/>
      </tp>
      <tp t="s">
        <v>2015-12-22</v>
        <stp/>
        <stp>EM_S_IPO_LISTEDDATE</stp>
        <stp>1</stp>
        <stp>002781</stp>
        <tr r="AT1532" s="1"/>
      </tp>
      <tp t="s">
        <v>1997-06-06</v>
        <stp/>
        <stp>EM_S_IPO_LISTEDDATE</stp>
        <stp>1</stp>
        <stp>000780</stp>
        <tr r="AT3536" s="1"/>
      </tp>
      <tp t="s">
        <v>2015-12-09</v>
        <stp/>
        <stp>EM_S_IPO_LISTEDDATE</stp>
        <stp>1</stp>
        <stp>002780</stp>
        <tr r="AT661" s="1"/>
      </tp>
      <tp t="s">
        <v>1997-07-31</v>
        <stp/>
        <stp>EM_S_IPO_LISTEDDATE</stp>
        <stp>1</stp>
        <stp>000783</stp>
        <tr r="AT3537" s="1"/>
      </tp>
      <tp t="s">
        <v>2015-12-09</v>
        <stp/>
        <stp>EM_S_IPO_LISTEDDATE</stp>
        <stp>1</stp>
        <stp>002783</stp>
        <tr r="AT244" s="1"/>
      </tp>
      <tp t="s">
        <v>1997-06-19</v>
        <stp/>
        <stp>EM_S_IPO_LISTEDDATE</stp>
        <stp>1</stp>
        <stp>000782</stp>
        <tr r="AT3032" s="1"/>
      </tp>
      <tp t="s">
        <v>2015-12-22</v>
        <stp/>
        <stp>EM_S_IPO_LISTEDDATE</stp>
        <stp>1</stp>
        <stp>002782</stp>
        <tr r="AT2525" s="1"/>
      </tp>
      <tp t="s">
        <v>1997-04-16</v>
        <stp/>
        <stp>EM_S_IPO_LISTEDDATE</stp>
        <stp>1</stp>
        <stp>600799</stp>
        <tr r="AT2325" s="1"/>
      </tp>
      <tp t="s">
        <v>2011-02-01</v>
        <stp/>
        <stp>EM_S_IPO_LISTEDDATE</stp>
        <stp>1</stp>
        <stp>601799</stp>
        <tr r="AT166" s="1"/>
      </tp>
      <tp t="s">
        <v>2015-01-29</v>
        <stp/>
        <stp>EM_S_IPO_LISTEDDATE</stp>
        <stp>1</stp>
        <stp>603799</stp>
        <tr r="AT912" s="1"/>
      </tp>
      <tp t="s">
        <v>1997-04-23</v>
        <stp/>
        <stp>EM_S_IPO_LISTEDDATE</stp>
        <stp>1</stp>
        <stp>600798</stp>
        <tr r="AT1796" s="1"/>
      </tp>
      <tp t="s">
        <v>2011-06-22</v>
        <stp/>
        <stp>EM_S_IPO_LISTEDDATE</stp>
        <stp>1</stp>
        <stp>601798</stp>
        <tr r="AT1042" s="1"/>
      </tp>
      <tp t="s">
        <v>2016-04-06</v>
        <stp/>
        <stp>EM_S_IPO_LISTEDDATE</stp>
        <stp>1</stp>
        <stp>603798</stp>
        <tr r="AT878" s="1"/>
      </tp>
      <tp t="s">
        <v>1997-03-18</v>
        <stp/>
        <stp>EM_S_IPO_LISTEDDATE</stp>
        <stp>1</stp>
        <stp>600795</stp>
        <tr r="AT2731" s="1"/>
      </tp>
      <tp t="s">
        <v>1997-03-06</v>
        <stp/>
        <stp>EM_S_IPO_LISTEDDATE</stp>
        <stp>1</stp>
        <stp>600794</stp>
        <tr r="AT627" s="1"/>
      </tp>
      <tp t="s">
        <v>1997-04-18</v>
        <stp/>
        <stp>EM_S_IPO_LISTEDDATE</stp>
        <stp>1</stp>
        <stp>600797</stp>
        <tr r="AT719" s="1"/>
      </tp>
      <tp t="s">
        <v>2017-04-13</v>
        <stp/>
        <stp>EM_S_IPO_LISTEDDATE</stp>
        <stp>1</stp>
        <stp>603797</stp>
        <tr r="AT2635" s="1"/>
      </tp>
      <tp t="s">
        <v>1997-04-08</v>
        <stp/>
        <stp>EM_S_IPO_LISTEDDATE</stp>
        <stp>1</stp>
        <stp>600796</stp>
        <tr r="AT1931" s="1"/>
      </tp>
      <tp t="s">
        <v>1997-01-30</v>
        <stp/>
        <stp>EM_S_IPO_LISTEDDATE</stp>
        <stp>1</stp>
        <stp>600791</stp>
        <tr r="AT1982" s="1"/>
      </tp>
      <tp t="s">
        <v>1997-02-28</v>
        <stp/>
        <stp>EM_S_IPO_LISTEDDATE</stp>
        <stp>1</stp>
        <stp>600790</stp>
        <tr r="AT2647" s="1"/>
      </tp>
      <tp t="s">
        <v>1997-02-20</v>
        <stp/>
        <stp>EM_S_IPO_LISTEDDATE</stp>
        <stp>1</stp>
        <stp>600793</stp>
        <tr r="AT1843" s="1"/>
      </tp>
      <tp t="s">
        <v>1997-01-23</v>
        <stp/>
        <stp>EM_S_IPO_LISTEDDATE</stp>
        <stp>1</stp>
        <stp>600792</stp>
        <tr r="AT952" s="1"/>
      </tp>
      <tp t="s">
        <v>1997-02-26</v>
        <stp/>
        <stp>EM_S_IPO_LISTEDDATE</stp>
        <stp>1</stp>
        <stp>600789</stp>
        <tr r="AT2875" s="1"/>
      </tp>
      <tp t="s">
        <v>2011-08-16</v>
        <stp/>
        <stp>EM_S_IPO_LISTEDDATE</stp>
        <stp>1</stp>
        <stp>601789</stp>
        <tr r="AT1262" s="1"/>
      </tp>
      <tp t="s">
        <v>2015-04-27</v>
        <stp/>
        <stp>EM_S_IPO_LISTEDDATE</stp>
        <stp>1</stp>
        <stp>603789</stp>
        <tr r="AT1413" s="1"/>
      </tp>
      <tp t="s">
        <v>1996-12-30</v>
        <stp/>
        <stp>EM_S_IPO_LISTEDDATE</stp>
        <stp>1</stp>
        <stp>600788</stp>
        <tr r="AT2323" s="1"/>
      </tp>
      <tp t="s">
        <v>2009-08-18</v>
        <stp/>
        <stp>EM_S_IPO_LISTEDDATE</stp>
        <stp>1</stp>
        <stp>601788</stp>
        <tr r="AT576" s="1"/>
      </tp>
      <tp t="s">
        <v>2015-01-20</v>
        <stp/>
        <stp>EM_S_IPO_LISTEDDATE</stp>
        <stp>1</stp>
        <stp>603788</stp>
        <tr r="AT1735" s="1"/>
      </tp>
      <tp t="s">
        <v>1997-01-08</v>
        <stp/>
        <stp>EM_S_IPO_LISTEDDATE</stp>
        <stp>1</stp>
        <stp>600785</stp>
        <tr r="AT2709" s="1"/>
      </tp>
      <tp t="s">
        <v>1996-12-25</v>
        <stp/>
        <stp>EM_S_IPO_LISTEDDATE</stp>
        <stp>1</stp>
        <stp>600784</stp>
        <tr r="AT2018" s="1"/>
      </tp>
      <tp t="s">
        <v>1997-01-21</v>
        <stp/>
        <stp>EM_S_IPO_LISTEDDATE</stp>
        <stp>1</stp>
        <stp>600787</stp>
        <tr r="AT2015" s="1"/>
      </tp>
      <tp t="s">
        <v>2017-04-27</v>
        <stp/>
        <stp>EM_S_IPO_LISTEDDATE</stp>
        <stp>1</stp>
        <stp>603787</stp>
        <tr r="AT662" s="1"/>
      </tp>
      <tp t="s">
        <v>1996-12-27</v>
        <stp/>
        <stp>EM_S_IPO_LISTEDDATE</stp>
        <stp>1</stp>
        <stp>600786</stp>
        <tr r="AT2322" s="1"/>
      </tp>
      <tp t="s">
        <v>1996-12-18</v>
        <stp/>
        <stp>EM_S_IPO_LISTEDDATE</stp>
        <stp>1</stp>
        <stp>600781</stp>
        <tr r="AT3379" s="1"/>
      </tp>
      <tp t="s">
        <v>1996-12-05</v>
        <stp/>
        <stp>EM_S_IPO_LISTEDDATE</stp>
        <stp>1</stp>
        <stp>600780</stp>
        <tr r="AT1853" s="1"/>
      </tp>
      <tp t="s">
        <v>1996-12-25</v>
        <stp/>
        <stp>EM_S_IPO_LISTEDDATE</stp>
        <stp>1</stp>
        <stp>600783</stp>
        <tr r="AT2462" s="1"/>
      </tp>
      <tp t="s">
        <v>1996-12-25</v>
        <stp/>
        <stp>EM_S_IPO_LISTEDDATE</stp>
        <stp>1</stp>
        <stp>600782</stp>
        <tr r="AT2374" s="1"/>
      </tp>
      <tp t="s">
        <v>1997-03-31</v>
        <stp/>
        <stp>EM_S_IPO_LISTEDDATE</stp>
        <stp>1</stp>
        <stp>000719</stp>
        <tr r="AT2726" s="1"/>
      </tp>
      <tp t="s">
        <v>2017-12-01</v>
        <stp/>
        <stp>EM_S_IPO_LISTEDDATE</stp>
        <stp>1</stp>
        <stp>300729</stp>
        <tr r="AT1886" s="1"/>
      </tp>
      <tp t="s">
        <v>1996-12-06</v>
        <stp/>
        <stp>EM_S_IPO_LISTEDDATE</stp>
        <stp>1</stp>
        <stp>600779</stp>
        <tr r="AT355" s="1"/>
      </tp>
      <tp t="s">
        <v>2014-01-28</v>
        <stp/>
        <stp>EM_S_IPO_LISTEDDATE</stp>
        <stp>1</stp>
        <stp>002719</stp>
        <tr r="AT2151" s="1"/>
      </tp>
      <tp t="s">
        <v>2016-05-16</v>
        <stp/>
        <stp>EM_S_IPO_LISTEDDATE</stp>
        <stp>1</stp>
        <stp>603779</stp>
        <tr r="AT3383" s="1"/>
      </tp>
      <tp t="s">
        <v>1997-04-08</v>
        <stp/>
        <stp>EM_S_IPO_LISTEDDATE</stp>
        <stp>1</stp>
        <stp>000718</stp>
        <tr r="AT3519" s="1"/>
      </tp>
      <tp>
        <v>0</v>
        <stp/>
        <stp>EM_S_IPO_LISTEDDATE</stp>
        <stp>1</stp>
        <stp>300728</stp>
        <tr r="AT11" s="1"/>
      </tp>
      <tp t="s">
        <v>1996-12-03</v>
        <stp/>
        <stp>EM_S_IPO_LISTEDDATE</stp>
        <stp>1</stp>
        <stp>600778</stp>
        <tr r="AT1299" s="1"/>
      </tp>
      <tp t="s">
        <v>2014-01-28</v>
        <stp/>
        <stp>EM_S_IPO_LISTEDDATE</stp>
        <stp>1</stp>
        <stp>002718</stp>
        <tr r="AT3310" s="1"/>
      </tp>
      <tp t="s">
        <v>2015-12-31</v>
        <stp/>
        <stp>EM_S_IPO_LISTEDDATE</stp>
        <stp>1</stp>
        <stp>603778</stp>
        <tr r="AT2264" s="1"/>
      </tp>
      <tp t="s">
        <v>1997-05-08</v>
        <stp/>
        <stp>EM_S_IPO_LISTEDDATE</stp>
        <stp>1</stp>
        <stp>000715</stp>
        <tr r="AT2071" s="1"/>
      </tp>
      <tp t="s">
        <v>2017-11-10</v>
        <stp/>
        <stp>EM_S_IPO_LISTEDDATE</stp>
        <stp>1</stp>
        <stp>300725</stp>
        <tr r="AT1231" s="1"/>
      </tp>
      <tp t="s">
        <v>1996-11-18</v>
        <stp/>
        <stp>EM_S_IPO_LISTEDDATE</stp>
        <stp>1</stp>
        <stp>600775</stp>
        <tr r="AT1097" s="1"/>
      </tp>
      <tp t="s">
        <v>2014-02-19</v>
        <stp/>
        <stp>EM_S_IPO_LISTEDDATE</stp>
        <stp>1</stp>
        <stp>002715</stp>
        <tr r="AT1693" s="1"/>
      </tp>
      <tp t="s">
        <v>1996-11-08</v>
        <stp/>
        <stp>EM_S_IPO_LISTEDDATE</stp>
        <stp>1</stp>
        <stp>600774</stp>
        <tr r="AT3117" s="1"/>
      </tp>
      <tp t="s">
        <v>2014-01-28</v>
        <stp/>
        <stp>EM_S_IPO_LISTEDDATE</stp>
        <stp>1</stp>
        <stp>002714</stp>
        <tr r="AT46" s="1"/>
      </tp>
      <tp t="s">
        <v>1997-05-08</v>
        <stp/>
        <stp>EM_S_IPO_LISTEDDATE</stp>
        <stp>1</stp>
        <stp>000717</stp>
        <tr r="AT2113" s="1"/>
      </tp>
      <tp t="s">
        <v>2017-11-27</v>
        <stp/>
        <stp>EM_S_IPO_LISTEDDATE</stp>
        <stp>1</stp>
        <stp>300727</stp>
        <tr r="AT3144" s="1"/>
      </tp>
      <tp t="s">
        <v>1996-11-21</v>
        <stp/>
        <stp>EM_S_IPO_LISTEDDATE</stp>
        <stp>1</stp>
        <stp>600777</stp>
        <tr r="AT1771" s="1"/>
      </tp>
      <tp t="s">
        <v>2010-11-25</v>
        <stp/>
        <stp>EM_S_IPO_LISTEDDATE</stp>
        <stp>1</stp>
        <stp>601777</stp>
        <tr r="AT3037" s="1"/>
      </tp>
      <tp t="s">
        <v>2014-02-19</v>
        <stp/>
        <stp>EM_S_IPO_LISTEDDATE</stp>
        <stp>1</stp>
        <stp>002717</stp>
        <tr r="AT3355" s="1"/>
      </tp>
      <tp t="s">
        <v>2016-10-12</v>
        <stp/>
        <stp>EM_S_IPO_LISTEDDATE</stp>
        <stp>1</stp>
        <stp>603777</stp>
        <tr r="AT1212" s="1"/>
      </tp>
      <tp t="s">
        <v>1997-04-18</v>
        <stp/>
        <stp>EM_S_IPO_LISTEDDATE</stp>
        <stp>1</stp>
        <stp>000716</stp>
        <tr r="AT812" s="1"/>
      </tp>
      <tp t="s">
        <v>2017-11-21</v>
        <stp/>
        <stp>EM_S_IPO_LISTEDDATE</stp>
        <stp>1</stp>
        <stp>300726</stp>
        <tr r="AT613" s="1"/>
      </tp>
      <tp t="s">
        <v>1996-11-26</v>
        <stp/>
        <stp>EM_S_IPO_LISTEDDATE</stp>
        <stp>1</stp>
        <stp>600776</stp>
        <tr r="AT255" s="1"/>
      </tp>
      <tp t="s">
        <v>2014-01-28</v>
        <stp/>
        <stp>EM_S_IPO_LISTEDDATE</stp>
        <stp>1</stp>
        <stp>002716</stp>
        <tr r="AT3375" s="1"/>
      </tp>
      <tp t="s">
        <v>2017-08-17</v>
        <stp/>
        <stp>EM_S_IPO_LISTEDDATE</stp>
        <stp>1</stp>
        <stp>603776</stp>
        <tr r="AT2890" s="1"/>
      </tp>
      <tp t="s">
        <v>1997-04-11</v>
        <stp/>
        <stp>EM_S_IPO_LISTEDDATE</stp>
        <stp>1</stp>
        <stp>000711</stp>
        <tr r="AT2850" s="1"/>
      </tp>
      <tp t="s">
        <v>2017-11-15</v>
        <stp/>
        <stp>EM_S_IPO_LISTEDDATE</stp>
        <stp>1</stp>
        <stp>300721</stp>
        <tr r="AT2599" s="1"/>
      </tp>
      <tp t="s">
        <v>1996-11-05</v>
        <stp/>
        <stp>EM_S_IPO_LISTEDDATE</stp>
        <stp>1</stp>
        <stp>600771</stp>
        <tr r="AT3341" s="1"/>
      </tp>
      <tp t="s">
        <v>2014-01-27</v>
        <stp/>
        <stp>EM_S_IPO_LISTEDDATE</stp>
        <stp>1</stp>
        <stp>002711</stp>
        <tr r="AT3398" s="1"/>
      </tp>
      <tp t="s">
        <v>1997-04-22</v>
        <stp/>
        <stp>EM_S_IPO_LISTEDDATE</stp>
        <stp>1</stp>
        <stp>000710</stp>
        <tr r="AT1684" s="1"/>
      </tp>
      <tp t="s">
        <v>2017-11-06</v>
        <stp/>
        <stp>EM_S_IPO_LISTEDDATE</stp>
        <stp>1</stp>
        <stp>300720</stp>
        <tr r="AT3311" s="1"/>
      </tp>
      <tp t="s">
        <v>1996-11-20</v>
        <stp/>
        <stp>EM_S_IPO_LISTEDDATE</stp>
        <stp>1</stp>
        <stp>600770</stp>
        <tr r="AT1467" s="1"/>
      </tp>
      <tp>
        <v>0</v>
        <stp/>
        <stp>EM_S_IPO_LISTEDDATE</stp>
        <stp>1</stp>
        <stp>002710</stp>
        <tr r="AT7" s="1"/>
      </tp>
      <tp t="s">
        <v>1997-04-22</v>
        <stp/>
        <stp>EM_S_IPO_LISTEDDATE</stp>
        <stp>1</stp>
        <stp>000713</stp>
        <tr r="AT252" s="1"/>
      </tp>
      <tp t="s">
        <v>2017-11-16</v>
        <stp/>
        <stp>EM_S_IPO_LISTEDDATE</stp>
        <stp>1</stp>
        <stp>300723</stp>
        <tr r="AT648" s="1"/>
      </tp>
      <tp t="s">
        <v>1996-11-08</v>
        <stp/>
        <stp>EM_S_IPO_LISTEDDATE</stp>
        <stp>1</stp>
        <stp>600773</stp>
        <tr r="AT2483" s="1"/>
      </tp>
      <tp t="s">
        <v>2014-02-19</v>
        <stp/>
        <stp>EM_S_IPO_LISTEDDATE</stp>
        <stp>1</stp>
        <stp>002713</stp>
        <tr r="AT3382" s="1"/>
      </tp>
      <tp t="s">
        <v>2018-04-17</v>
        <stp/>
        <stp>EM_S_IPO_LISTEDDATE</stp>
        <stp>1</stp>
        <stp>603773</stp>
        <tr r="AT3149" s="1"/>
      </tp>
      <tp t="s">
        <v>1997-04-15</v>
        <stp/>
        <stp>EM_S_IPO_LISTEDDATE</stp>
        <stp>1</stp>
        <stp>000712</stp>
        <tr r="AT3518" s="1"/>
      </tp>
      <tp t="s">
        <v>2017-11-10</v>
        <stp/>
        <stp>EM_S_IPO_LISTEDDATE</stp>
        <stp>1</stp>
        <stp>300722</stp>
        <tr r="AT3251" s="1"/>
      </tp>
      <tp t="s">
        <v>1996-11-04</v>
        <stp/>
        <stp>EM_S_IPO_LISTEDDATE</stp>
        <stp>1</stp>
        <stp>600772</stp>
        <tr r="AT2321" s="1"/>
      </tp>
      <tp t="s">
        <v>2014-01-23</v>
        <stp/>
        <stp>EM_S_IPO_LISTEDDATE</stp>
        <stp>1</stp>
        <stp>002712</stp>
        <tr r="AT708" s="1"/>
      </tp>
      <tp t="s">
        <v>1997-04-16</v>
        <stp/>
        <stp>EM_S_IPO_LISTEDDATE</stp>
        <stp>1</stp>
        <stp>000709</stp>
        <tr r="AT2736" s="1"/>
      </tp>
      <tp t="s">
        <v>2018-02-01</v>
        <stp/>
        <stp>EM_S_IPO_LISTEDDATE</stp>
        <stp>1</stp>
        <stp>300739</stp>
        <tr r="AT2754" s="1"/>
      </tp>
      <tp t="s">
        <v>1996-11-01</v>
        <stp/>
        <stp>EM_S_IPO_LISTEDDATE</stp>
        <stp>1</stp>
        <stp>600769</stp>
        <tr r="AT695" s="1"/>
      </tp>
      <tp t="s">
        <v>2014-01-23</v>
        <stp/>
        <stp>EM_S_IPO_LISTEDDATE</stp>
        <stp>1</stp>
        <stp>002709</stp>
        <tr r="AT2533" s="1"/>
      </tp>
      <tp t="s">
        <v>1997-03-26</v>
        <stp/>
        <stp>EM_S_IPO_LISTEDDATE</stp>
        <stp>1</stp>
        <stp>000708</stp>
        <tr r="AT73" s="1"/>
      </tp>
      <tp t="s">
        <v>2018-01-19</v>
        <stp/>
        <stp>EM_S_IPO_LISTEDDATE</stp>
        <stp>1</stp>
        <stp>300738</stp>
        <tr r="AT2898" s="1"/>
      </tp>
      <tp t="s">
        <v>1996-11-11</v>
        <stp/>
        <stp>EM_S_IPO_LISTEDDATE</stp>
        <stp>1</stp>
        <stp>600768</stp>
        <tr r="AT914" s="1"/>
      </tp>
      <tp t="s">
        <v>2014-01-21</v>
        <stp/>
        <stp>EM_S_IPO_LISTEDDATE</stp>
        <stp>1</stp>
        <stp>002708</stp>
        <tr r="AT1971" s="1"/>
      </tp>
      <tp t="s">
        <v>2017-03-24</v>
        <stp/>
        <stp>EM_S_IPO_LISTEDDATE</stp>
        <stp>1</stp>
        <stp>603768</stp>
        <tr r="AT2158" s="1"/>
      </tp>
      <tp t="s">
        <v>1997-04-10</v>
        <stp/>
        <stp>EM_S_IPO_LISTEDDATE</stp>
        <stp>1</stp>
        <stp>000705</stp>
        <tr r="AT1817" s="1"/>
      </tp>
      <tp t="s">
        <v>2017-12-29</v>
        <stp/>
        <stp>EM_S_IPO_LISTEDDATE</stp>
        <stp>1</stp>
        <stp>300735</stp>
        <tr r="AT394" s="1"/>
      </tp>
      <tp t="s">
        <v>1996-11-06</v>
        <stp/>
        <stp>EM_S_IPO_LISTEDDATE</stp>
        <stp>1</stp>
        <stp>600765</stp>
        <tr r="AT867" s="1"/>
      </tp>
      <tp t="s">
        <v>2014-01-21</v>
        <stp/>
        <stp>EM_S_IPO_LISTEDDATE</stp>
        <stp>1</stp>
        <stp>002705</stp>
        <tr r="AT240" s="1"/>
      </tp>
      <tp t="s">
        <v>1996-11-04</v>
        <stp/>
        <stp>EM_S_IPO_LISTEDDATE</stp>
        <stp>1</stp>
        <stp>600764</stp>
        <tr r="AT1185" s="1"/>
      </tp>
      <tp t="s">
        <v>1997-04-15</v>
        <stp/>
        <stp>EM_S_IPO_LISTEDDATE</stp>
        <stp>1</stp>
        <stp>000707</stp>
        <tr r="AT3517" s="1"/>
      </tp>
      <tp t="s">
        <v>2018-01-25</v>
        <stp/>
        <stp>EM_S_IPO_LISTEDDATE</stp>
        <stp>1</stp>
        <stp>300737</stp>
        <tr r="AT983" s="1"/>
      </tp>
      <tp t="s">
        <v>1996-11-15</v>
        <stp/>
        <stp>EM_S_IPO_LISTEDDATE</stp>
        <stp>1</stp>
        <stp>600767</stp>
        <tr r="AT2211" s="1"/>
      </tp>
      <tp t="s">
        <v>2014-01-23</v>
        <stp/>
        <stp>EM_S_IPO_LISTEDDATE</stp>
        <stp>1</stp>
        <stp>002707</stp>
        <tr r="AT2368" s="1"/>
      </tp>
      <tp t="s">
        <v>2017-06-13</v>
        <stp/>
        <stp>EM_S_IPO_LISTEDDATE</stp>
        <stp>1</stp>
        <stp>603767</stp>
        <tr r="AT1821" s="1"/>
      </tp>
      <tp t="s">
        <v>2018-01-09</v>
        <stp/>
        <stp>EM_S_IPO_LISTEDDATE</stp>
        <stp>1</stp>
        <stp>300736</stp>
        <tr r="AT3372" s="1"/>
      </tp>
      <tp t="s">
        <v>1996-10-28</v>
        <stp/>
        <stp>EM_S_IPO_LISTEDDATE</stp>
        <stp>1</stp>
        <stp>600766</stp>
        <tr r="AT2671" s="1"/>
      </tp>
      <tp t="s">
        <v>2008-08-18</v>
        <stp/>
        <stp>EM_S_IPO_LISTEDDATE</stp>
        <stp>1</stp>
        <stp>601766</stp>
        <tr r="AT3076" s="1"/>
      </tp>
      <tp t="s">
        <v>2014-01-21</v>
        <stp/>
        <stp>EM_S_IPO_LISTEDDATE</stp>
        <stp>1</stp>
        <stp>002706</stp>
        <tr r="AT778" s="1"/>
      </tp>
      <tp t="s">
        <v>2012-08-10</v>
        <stp/>
        <stp>EM_S_IPO_LISTEDDATE</stp>
        <stp>1</stp>
        <stp>603766</stp>
        <tr r="AT2719" s="1"/>
      </tp>
      <tp t="s">
        <v>1997-02-26</v>
        <stp/>
        <stp>EM_S_IPO_LISTEDDATE</stp>
        <stp>1</stp>
        <stp>000701</stp>
        <tr r="AT2836" s="1"/>
      </tp>
      <tp t="s">
        <v>2017-12-08</v>
        <stp/>
        <stp>EM_S_IPO_LISTEDDATE</stp>
        <stp>1</stp>
        <stp>300731</stp>
        <tr r="AT1668" s="1"/>
      </tp>
      <tp t="s">
        <v>1996-10-09</v>
        <stp/>
        <stp>EM_S_IPO_LISTEDDATE</stp>
        <stp>1</stp>
        <stp>600761</stp>
        <tr r="AT1761" s="1"/>
      </tp>
      <tp t="s">
        <v>2012-10-11</v>
        <stp/>
        <stp>EM_S_IPO_LISTEDDATE</stp>
        <stp>1</stp>
        <stp>002701</stp>
        <tr r="AT2874" s="1"/>
      </tp>
      <tp t="s">
        <v>1997-02-28</v>
        <stp/>
        <stp>EM_S_IPO_LISTEDDATE</stp>
        <stp>1</stp>
        <stp>000700</stp>
        <tr r="AT854" s="1"/>
      </tp>
      <tp t="s">
        <v>2017-12-05</v>
        <stp/>
        <stp>EM_S_IPO_LISTEDDATE</stp>
        <stp>1</stp>
        <stp>300730</stp>
        <tr r="AT3065" s="1"/>
      </tp>
      <tp t="s">
        <v>1996-10-11</v>
        <stp/>
        <stp>EM_S_IPO_LISTEDDATE</stp>
        <stp>1</stp>
        <stp>600760</stp>
        <tr r="AT1639" s="1"/>
      </tp>
      <tp t="s">
        <v>2012-09-21</v>
        <stp/>
        <stp>EM_S_IPO_LISTEDDATE</stp>
        <stp>1</stp>
        <stp>002700</stp>
        <tr r="AT3204" s="1"/>
      </tp>
      <tp t="s">
        <v>1997-03-28</v>
        <stp/>
        <stp>EM_S_IPO_LISTEDDATE</stp>
        <stp>1</stp>
        <stp>000703</stp>
        <tr r="AT1288" s="1"/>
      </tp>
      <tp t="s">
        <v>2018-01-16</v>
        <stp/>
        <stp>EM_S_IPO_LISTEDDATE</stp>
        <stp>1</stp>
        <stp>300733</stp>
        <tr r="AT3184" s="1"/>
      </tp>
      <tp t="s">
        <v>1996-10-30</v>
        <stp/>
        <stp>EM_S_IPO_LISTEDDATE</stp>
        <stp>1</stp>
        <stp>600763</stp>
        <tr r="AT136" s="1"/>
      </tp>
      <tp t="s">
        <v>2012-11-02</v>
        <stp/>
        <stp>EM_S_IPO_LISTEDDATE</stp>
        <stp>1</stp>
        <stp>002703</stp>
        <tr r="AT1670" s="1"/>
      </tp>
      <tp t="s">
        <v>1997-03-18</v>
        <stp/>
        <stp>EM_S_IPO_LISTEDDATE</stp>
        <stp>1</stp>
        <stp>000702</stp>
        <tr r="AT3516" s="1"/>
      </tp>
      <tp t="s">
        <v>2017-12-12</v>
        <stp/>
        <stp>EM_S_IPO_LISTEDDATE</stp>
        <stp>1</stp>
        <stp>300732</stp>
        <tr r="AT3364" s="1"/>
      </tp>
      <tp t="s">
        <v>1996-10-25</v>
        <stp/>
        <stp>EM_S_IPO_LISTEDDATE</stp>
        <stp>1</stp>
        <stp>600762</stp>
        <tr r="AT2320" s="1"/>
      </tp>
      <tp t="s">
        <v>2012-10-11</v>
        <stp/>
        <stp>EM_S_IPO_LISTEDDATE</stp>
        <stp>1</stp>
        <stp>002702</stp>
        <tr r="AT1877" s="1"/>
      </tp>
      <tp t="s">
        <v>1997-05-09</v>
        <stp/>
        <stp>EM_S_IPO_LISTEDDATE</stp>
        <stp>1</stp>
        <stp>000739</stp>
        <tr r="AT340" s="1"/>
      </tp>
      <tp t="s">
        <v>2017-10-19</v>
        <stp/>
        <stp>EM_S_IPO_LISTEDDATE</stp>
        <stp>1</stp>
        <stp>300709</stp>
        <tr r="AT30" s="1"/>
      </tp>
      <tp t="s">
        <v>1996-10-08</v>
        <stp/>
        <stp>EM_S_IPO_LISTEDDATE</stp>
        <stp>1</stp>
        <stp>600759</stp>
        <tr r="AT1390" s="1"/>
      </tp>
      <tp t="s">
        <v>2015-01-22</v>
        <stp/>
        <stp>EM_S_IPO_LISTEDDATE</stp>
        <stp>1</stp>
        <stp>002739</stp>
        <tr r="AT2975" s="1"/>
      </tp>
      <tp t="s">
        <v>1997-06-26</v>
        <stp/>
        <stp>EM_S_IPO_LISTEDDATE</stp>
        <stp>1</stp>
        <stp>000738</stp>
        <tr r="AT1824" s="1"/>
      </tp>
      <tp t="s">
        <v>2017-10-16</v>
        <stp/>
        <stp>EM_S_IPO_LISTEDDATE</stp>
        <stp>1</stp>
        <stp>300708</stp>
        <tr r="AT1073" s="1"/>
      </tp>
      <tp t="s">
        <v>1996-10-29</v>
        <stp/>
        <stp>EM_S_IPO_LISTEDDATE</stp>
        <stp>1</stp>
        <stp>600758</stp>
        <tr r="AT884" s="1"/>
      </tp>
      <tp t="s">
        <v>2014-12-30</v>
        <stp/>
        <stp>EM_S_IPO_LISTEDDATE</stp>
        <stp>1</stp>
        <stp>002738</stp>
        <tr r="AT1459" s="1"/>
      </tp>
      <tp t="s">
        <v>2017-05-17</v>
        <stp/>
        <stp>EM_S_IPO_LISTEDDATE</stp>
        <stp>1</stp>
        <stp>603758</stp>
        <tr r="AT2185" s="1"/>
      </tp>
      <tp t="s">
        <v>1997-06-11</v>
        <stp/>
        <stp>EM_S_IPO_LISTEDDATE</stp>
        <stp>1</stp>
        <stp>000735</stp>
        <tr r="AT3523" s="1"/>
      </tp>
      <tp t="s">
        <v>2017-10-10</v>
        <stp/>
        <stp>EM_S_IPO_LISTEDDATE</stp>
        <stp>1</stp>
        <stp>300705</stp>
        <tr r="AT2226" s="1"/>
      </tp>
      <tp t="s">
        <v>1996-10-03</v>
        <stp/>
        <stp>EM_S_IPO_LISTEDDATE</stp>
        <stp>1</stp>
        <stp>600755</stp>
        <tr r="AT1998" s="1"/>
      </tp>
      <tp t="s">
        <v>2014-12-03</v>
        <stp/>
        <stp>EM_S_IPO_LISTEDDATE</stp>
        <stp>1</stp>
        <stp>002735</stp>
        <tr r="AT2934" s="1"/>
      </tp>
      <tp t="s">
        <v>1996-10-11</v>
        <stp/>
        <stp>EM_S_IPO_LISTEDDATE</stp>
        <stp>1</stp>
        <stp>600754</stp>
        <tr r="AT789" s="1"/>
      </tp>
      <tp t="s">
        <v>2015-01-27</v>
        <stp/>
        <stp>EM_S_IPO_LISTEDDATE</stp>
        <stp>1</stp>
        <stp>002734</stp>
        <tr r="AT875" s="1"/>
      </tp>
      <tp t="s">
        <v>1997-04-28</v>
        <stp/>
        <stp>EM_S_IPO_LISTEDDATE</stp>
        <stp>1</stp>
        <stp>000737</stp>
        <tr r="AT3524" s="1"/>
      </tp>
      <tp t="s">
        <v>2017-10-10</v>
        <stp/>
        <stp>EM_S_IPO_LISTEDDATE</stp>
        <stp>1</stp>
        <stp>300707</stp>
        <tr r="AT1481" s="1"/>
      </tp>
      <tp t="s">
        <v>1996-10-03</v>
        <stp/>
        <stp>EM_S_IPO_LISTEDDATE</stp>
        <stp>1</stp>
        <stp>600757</stp>
        <tr r="AT2613" s="1"/>
      </tp>
      <tp t="s">
        <v>2014-12-30</v>
        <stp/>
        <stp>EM_S_IPO_LISTEDDATE</stp>
        <stp>1</stp>
        <stp>002737</stp>
        <tr r="AT2433" s="1"/>
      </tp>
      <tp t="s">
        <v>2017-07-11</v>
        <stp/>
        <stp>EM_S_IPO_LISTEDDATE</stp>
        <stp>1</stp>
        <stp>603757</stp>
        <tr r="AT3019" s="1"/>
      </tp>
      <tp t="s">
        <v>1997-04-25</v>
        <stp/>
        <stp>EM_S_IPO_LISTEDDATE</stp>
        <stp>1</stp>
        <stp>000736</stp>
        <tr r="AT2610" s="1"/>
      </tp>
      <tp t="s">
        <v>2017-09-26</v>
        <stp/>
        <stp>EM_S_IPO_LISTEDDATE</stp>
        <stp>1</stp>
        <stp>300706</stp>
        <tr r="AT1440" s="1"/>
      </tp>
      <tp t="s">
        <v>1996-09-23</v>
        <stp/>
        <stp>EM_S_IPO_LISTEDDATE</stp>
        <stp>1</stp>
        <stp>600756</stp>
        <tr r="AT829" s="1"/>
      </tp>
      <tp t="s">
        <v>2014-12-29</v>
        <stp/>
        <stp>EM_S_IPO_LISTEDDATE</stp>
        <stp>1</stp>
        <stp>002736</stp>
        <tr r="AT549" s="1"/>
      </tp>
      <tp t="s">
        <v>1997-06-17</v>
        <stp/>
        <stp>EM_S_IPO_LISTEDDATE</stp>
        <stp>1</stp>
        <stp>000731</stp>
        <tr r="AT2107" s="1"/>
      </tp>
      <tp t="s">
        <v>2017-09-15</v>
        <stp/>
        <stp>EM_S_IPO_LISTEDDATE</stp>
        <stp>1</stp>
        <stp>300701</stp>
        <tr r="AT2221" s="1"/>
      </tp>
      <tp t="s">
        <v>1996-09-09</v>
        <stp/>
        <stp>EM_S_IPO_LISTEDDATE</stp>
        <stp>1</stp>
        <stp>600751</stp>
        <tr r="AT1828" s="1"/>
      </tp>
      <tp t="s">
        <v>2014-11-04</v>
        <stp/>
        <stp>EM_S_IPO_LISTEDDATE</stp>
        <stp>1</stp>
        <stp>002731</stp>
        <tr r="AT3386" s="1"/>
      </tp>
      <tp t="s">
        <v>1997-05-22</v>
        <stp/>
        <stp>EM_S_IPO_LISTEDDATE</stp>
        <stp>1</stp>
        <stp>000730</stp>
        <tr r="AT2278" s="1"/>
      </tp>
      <tp t="s">
        <v>2017-09-12</v>
        <stp/>
        <stp>EM_S_IPO_LISTEDDATE</stp>
        <stp>1</stp>
        <stp>300700</stp>
        <tr r="AT3042" s="1"/>
      </tp>
      <tp t="s">
        <v>1996-09-23</v>
        <stp/>
        <stp>EM_S_IPO_LISTEDDATE</stp>
        <stp>1</stp>
        <stp>600750</stp>
        <tr r="AT3185" s="1"/>
      </tp>
      <tp t="s">
        <v>2014-10-09</v>
        <stp/>
        <stp>EM_S_IPO_LISTEDDATE</stp>
        <stp>1</stp>
        <stp>002730</stp>
        <tr r="AT1216" s="1"/>
      </tp>
      <tp t="s">
        <v>1997-07-03</v>
        <stp/>
        <stp>EM_S_IPO_LISTEDDATE</stp>
        <stp>1</stp>
        <stp>000733</stp>
        <tr r="AT3522" s="1"/>
      </tp>
      <tp t="s">
        <v>2017-09-19</v>
        <stp/>
        <stp>EM_S_IPO_LISTEDDATE</stp>
        <stp>1</stp>
        <stp>300703</stp>
        <tr r="AT3050" s="1"/>
      </tp>
      <tp t="s">
        <v>1996-09-27</v>
        <stp/>
        <stp>EM_S_IPO_LISTEDDATE</stp>
        <stp>1</stp>
        <stp>600753</stp>
        <tr r="AT1909" s="1"/>
      </tp>
      <tp t="s">
        <v>2014-12-03</v>
        <stp/>
        <stp>EM_S_IPO_LISTEDDATE</stp>
        <stp>1</stp>
        <stp>002733</stp>
        <tr r="AT67" s="1"/>
      </tp>
      <tp t="s">
        <v>1997-07-04</v>
        <stp/>
        <stp>EM_S_IPO_LISTEDDATE</stp>
        <stp>1</stp>
        <stp>000732</stp>
        <tr r="AT3385" s="1"/>
      </tp>
      <tp t="s">
        <v>2017-09-19</v>
        <stp/>
        <stp>EM_S_IPO_LISTEDDATE</stp>
        <stp>1</stp>
        <stp>300702</stp>
        <tr r="AT105" s="1"/>
      </tp>
      <tp t="s">
        <v>1996-09-25</v>
        <stp/>
        <stp>EM_S_IPO_LISTEDDATE</stp>
        <stp>1</stp>
        <stp>600752</stp>
        <tr r="AT2319" s="1"/>
      </tp>
      <tp t="s">
        <v>2014-12-05</v>
        <stp/>
        <stp>EM_S_IPO_LISTEDDATE</stp>
        <stp>1</stp>
        <stp>002732</stp>
        <tr r="AT992" s="1"/>
      </tp>
      <tp t="s">
        <v>1997-07-16</v>
        <stp/>
        <stp>EM_S_IPO_LISTEDDATE</stp>
        <stp>1</stp>
        <stp>000729</stp>
        <tr r="AT1469" s="1"/>
      </tp>
      <tp t="s">
        <v>2017-11-09</v>
        <stp/>
        <stp>EM_S_IPO_LISTEDDATE</stp>
        <stp>1</stp>
        <stp>300719</stp>
        <tr r="AT1490" s="1"/>
      </tp>
      <tp t="s">
        <v>1996-10-15</v>
        <stp/>
        <stp>EM_S_IPO_LISTEDDATE</stp>
        <stp>1</stp>
        <stp>600749</stp>
        <tr r="AT2258" s="1"/>
      </tp>
      <tp t="s">
        <v>2014-09-12</v>
        <stp/>
        <stp>EM_S_IPO_LISTEDDATE</stp>
        <stp>1</stp>
        <stp>002729</stp>
        <tr r="AT92" s="1"/>
      </tp>
      <tp t="s">
        <v>1997-06-16</v>
        <stp/>
        <stp>EM_S_IPO_LISTEDDATE</stp>
        <stp>1</stp>
        <stp>000728</stp>
        <tr r="AT3521" s="1"/>
      </tp>
      <tp t="s">
        <v>2017-11-06</v>
        <stp/>
        <stp>EM_S_IPO_LISTEDDATE</stp>
        <stp>1</stp>
        <stp>300718</stp>
        <tr r="AT730" s="1"/>
      </tp>
      <tp t="s">
        <v>1996-09-25</v>
        <stp/>
        <stp>EM_S_IPO_LISTEDDATE</stp>
        <stp>1</stp>
        <stp>600748</stp>
        <tr r="AT1694" s="1"/>
      </tp>
      <tp t="s">
        <v>2014-07-31</v>
        <stp/>
        <stp>EM_S_IPO_LISTEDDATE</stp>
        <stp>1</stp>
        <stp>002728</stp>
        <tr r="AT991" s="1"/>
      </tp>
      <tp t="s">
        <v>2001-01-12</v>
        <stp/>
        <stp>EM_S_IPO_LISTEDDATE</stp>
        <stp>1</stp>
        <stp>000725</stp>
        <tr r="AT291" s="1"/>
      </tp>
      <tp t="s">
        <v>2017-10-26</v>
        <stp/>
        <stp>EM_S_IPO_LISTEDDATE</stp>
        <stp>1</stp>
        <stp>300715</stp>
        <tr r="AT1509" s="1"/>
      </tp>
      <tp t="s">
        <v>1996-08-28</v>
        <stp/>
        <stp>EM_S_IPO_LISTEDDATE</stp>
        <stp>1</stp>
        <stp>600745</stp>
        <tr r="AT24" s="1"/>
      </tp>
      <tp t="s">
        <v>2014-01-29</v>
        <stp/>
        <stp>EM_S_IPO_LISTEDDATE</stp>
        <stp>1</stp>
        <stp>002725</stp>
        <tr r="AT1230" s="1"/>
      </tp>
      <tp t="s">
        <v>1996-09-05</v>
        <stp/>
        <stp>EM_S_IPO_LISTEDDATE</stp>
        <stp>1</stp>
        <stp>600744</stp>
        <tr r="AT2416" s="1"/>
      </tp>
      <tp t="s">
        <v>2014-11-04</v>
        <stp/>
        <stp>EM_S_IPO_LISTEDDATE</stp>
        <stp>1</stp>
        <stp>002724</stp>
        <tr r="AT757" s="1"/>
      </tp>
      <tp t="s">
        <v>1997-05-20</v>
        <stp/>
        <stp>EM_S_IPO_LISTEDDATE</stp>
        <stp>1</stp>
        <stp>000727</stp>
        <tr r="AT3520" s="1"/>
      </tp>
      <tp t="s">
        <v>2017-11-06</v>
        <stp/>
        <stp>EM_S_IPO_LISTEDDATE</stp>
        <stp>1</stp>
        <stp>300717</stp>
        <tr r="AT1526" s="1"/>
      </tp>
      <tp t="s">
        <v>1996-09-16</v>
        <stp/>
        <stp>EM_S_IPO_LISTEDDATE</stp>
        <stp>1</stp>
        <stp>600747</stp>
        <tr r="AT3404" s="1"/>
      </tp>
      <tp t="s">
        <v>2014-07-02</v>
        <stp/>
        <stp>EM_S_IPO_LISTEDDATE</stp>
        <stp>1</stp>
        <stp>002727</stp>
        <tr r="AT946" s="1"/>
      </tp>
      <tp t="s">
        <v>2000-12-25</v>
        <stp/>
        <stp>EM_S_IPO_LISTEDDATE</stp>
        <stp>1</stp>
        <stp>000726</stp>
        <tr r="AT2606" s="1"/>
      </tp>
      <tp t="s">
        <v>2017-11-09</v>
        <stp/>
        <stp>EM_S_IPO_LISTEDDATE</stp>
        <stp>1</stp>
        <stp>300716</stp>
        <tr r="AT2689" s="1"/>
      </tp>
      <tp t="s">
        <v>1996-09-18</v>
        <stp/>
        <stp>EM_S_IPO_LISTEDDATE</stp>
        <stp>1</stp>
        <stp>600746</stp>
        <tr r="AT1254" s="1"/>
      </tp>
      <tp t="s">
        <v>2014-06-26</v>
        <stp/>
        <stp>EM_S_IPO_LISTEDDATE</stp>
        <stp>1</stp>
        <stp>002726</stp>
        <tr r="AT2844" s="1"/>
      </tp>
      <tp t="s">
        <v>1997-04-30</v>
        <stp/>
        <stp>EM_S_IPO_LISTEDDATE</stp>
        <stp>1</stp>
        <stp>000721</stp>
        <tr r="AT2092" s="1"/>
      </tp>
      <tp t="s">
        <v>2017-11-01</v>
        <stp/>
        <stp>EM_S_IPO_LISTEDDATE</stp>
        <stp>1</stp>
        <stp>300711</stp>
        <tr r="AT3178" s="1"/>
      </tp>
      <tp t="s">
        <v>1996-08-26</v>
        <stp/>
        <stp>EM_S_IPO_LISTEDDATE</stp>
        <stp>1</stp>
        <stp>600741</stp>
        <tr r="AT766" s="1"/>
      </tp>
      <tp t="s">
        <v>2014-01-27</v>
        <stp/>
        <stp>EM_S_IPO_LISTEDDATE</stp>
        <stp>1</stp>
        <stp>002721</stp>
        <tr r="AT2808" s="1"/>
      </tp>
      <tp t="s">
        <v>1997-05-09</v>
        <stp/>
        <stp>EM_S_IPO_LISTEDDATE</stp>
        <stp>1</stp>
        <stp>000720</stp>
        <tr r="AT432" s="1"/>
      </tp>
      <tp t="s">
        <v>2017-10-19</v>
        <stp/>
        <stp>EM_S_IPO_LISTEDDATE</stp>
        <stp>1</stp>
        <stp>300710</stp>
        <tr r="AT1068" s="1"/>
      </tp>
      <tp t="s">
        <v>1996-08-08</v>
        <stp/>
        <stp>EM_S_IPO_LISTEDDATE</stp>
        <stp>1</stp>
        <stp>600740</stp>
        <tr r="AT2680" s="1"/>
      </tp>
      <tp>
        <v>0</v>
        <stp/>
        <stp>EM_S_IPO_LISTEDDATE</stp>
        <stp>1</stp>
        <stp>002720</stp>
        <tr r="AT8" s="1"/>
      </tp>
      <tp t="s">
        <v>1997-05-15</v>
        <stp/>
        <stp>EM_S_IPO_LISTEDDATE</stp>
        <stp>1</stp>
        <stp>000723</stp>
        <tr r="AT44" s="1"/>
      </tp>
      <tp t="s">
        <v>2017-11-01</v>
        <stp/>
        <stp>EM_S_IPO_LISTEDDATE</stp>
        <stp>1</stp>
        <stp>300713</stp>
        <tr r="AT3292" s="1"/>
      </tp>
      <tp t="s">
        <v>1996-09-09</v>
        <stp/>
        <stp>EM_S_IPO_LISTEDDATE</stp>
        <stp>1</stp>
        <stp>600743</stp>
        <tr r="AT2138" s="1"/>
      </tp>
      <tp t="s">
        <v>2014-01-29</v>
        <stp/>
        <stp>EM_S_IPO_LISTEDDATE</stp>
        <stp>1</stp>
        <stp>002723</stp>
        <tr r="AT2029" s="1"/>
      </tp>
      <tp t="s">
        <v>1997-05-22</v>
        <stp/>
        <stp>EM_S_IPO_LISTEDDATE</stp>
        <stp>1</stp>
        <stp>000722</stp>
        <tr r="AT1665" s="1"/>
      </tp>
      <tp t="s">
        <v>2017-10-31</v>
        <stp/>
        <stp>EM_S_IPO_LISTEDDATE</stp>
        <stp>1</stp>
        <stp>300712</stp>
        <tr r="AT3068" s="1"/>
      </tp>
      <tp t="s">
        <v>1996-08-26</v>
        <stp/>
        <stp>EM_S_IPO_LISTEDDATE</stp>
        <stp>1</stp>
        <stp>600742</stp>
        <tr r="AT1197" s="1"/>
      </tp>
      <tp t="s">
        <v>2014-01-28</v>
        <stp/>
        <stp>EM_S_IPO_LISTEDDATE</stp>
        <stp>1</stp>
        <stp>002722</stp>
        <tr r="AT1754" s="1"/>
      </tp>
      <tp t="s">
        <v>1997-05-19</v>
        <stp/>
        <stp>EM_S_IPO_LISTEDDATE</stp>
        <stp>1</stp>
        <stp>000759</stp>
        <tr r="AT752" s="1"/>
      </tp>
      <tp t="s">
        <v>1996-08-19</v>
        <stp/>
        <stp>EM_S_IPO_LISTEDDATE</stp>
        <stp>1</stp>
        <stp>600739</stp>
        <tr r="AT642" s="1"/>
      </tp>
      <tp t="s">
        <v>2015-05-28</v>
        <stp/>
        <stp>EM_S_IPO_LISTEDDATE</stp>
        <stp>1</stp>
        <stp>002759</stp>
        <tr r="AT1470" s="1"/>
      </tp>
      <tp t="s">
        <v>1997-04-16</v>
        <stp/>
        <stp>EM_S_IPO_LISTEDDATE</stp>
        <stp>1</stp>
        <stp>000758</stp>
        <tr r="AT3529" s="1"/>
      </tp>
      <tp t="s">
        <v>1996-08-02</v>
        <stp/>
        <stp>EM_S_IPO_LISTEDDATE</stp>
        <stp>1</stp>
        <stp>600738</stp>
        <tr r="AT2955" s="1"/>
      </tp>
      <tp t="s">
        <v>2015-05-27</v>
        <stp/>
        <stp>EM_S_IPO_LISTEDDATE</stp>
        <stp>1</stp>
        <stp>002758</stp>
        <tr r="AT633" s="1"/>
      </tp>
      <tp t="s">
        <v>2016-09-28</v>
        <stp/>
        <stp>EM_S_IPO_LISTEDDATE</stp>
        <stp>1</stp>
        <stp>603738</stp>
        <tr r="AT418" s="1"/>
      </tp>
      <tp t="s">
        <v>1997-06-27</v>
        <stp/>
        <stp>EM_S_IPO_LISTEDDATE</stp>
        <stp>1</stp>
        <stp>000755</stp>
        <tr r="AT3528" s="1"/>
      </tp>
      <tp t="s">
        <v>1996-07-26</v>
        <stp/>
        <stp>EM_S_IPO_LISTEDDATE</stp>
        <stp>1</stp>
        <stp>600735</stp>
        <tr r="AT990" s="1"/>
      </tp>
      <tp t="s">
        <v>2015-05-15</v>
        <stp/>
        <stp>EM_S_IPO_LISTEDDATE</stp>
        <stp>1</stp>
        <stp>002755</stp>
        <tr r="AT1289" s="1"/>
      </tp>
      <tp t="s">
        <v>1996-08-08</v>
        <stp/>
        <stp>EM_S_IPO_LISTEDDATE</stp>
        <stp>1</stp>
        <stp>600734</stp>
        <tr r="AT1850" s="1"/>
      </tp>
      <tp t="s">
        <v>1997-06-27</v>
        <stp/>
        <stp>EM_S_IPO_LISTEDDATE</stp>
        <stp>1</stp>
        <stp>000757</stp>
        <tr r="AT2835" s="1"/>
      </tp>
      <tp t="s">
        <v>1996-07-31</v>
        <stp/>
        <stp>EM_S_IPO_LISTEDDATE</stp>
        <stp>1</stp>
        <stp>600737</stp>
        <tr r="AT1484" s="1"/>
      </tp>
      <tp t="s">
        <v>2015-05-27</v>
        <stp/>
        <stp>EM_S_IPO_LISTEDDATE</stp>
        <stp>1</stp>
        <stp>002757</stp>
        <tr r="AT3322" s="1"/>
      </tp>
      <tp t="s">
        <v>2016-06-03</v>
        <stp/>
        <stp>EM_S_IPO_LISTEDDATE</stp>
        <stp>1</stp>
        <stp>603737</stp>
        <tr r="AT124" s="1"/>
      </tp>
      <tp t="s">
        <v>1997-08-06</v>
        <stp/>
        <stp>EM_S_IPO_LISTEDDATE</stp>
        <stp>1</stp>
        <stp>000756</stp>
        <tr r="AT945" s="1"/>
      </tp>
      <tp t="s">
        <v>1996-08-15</v>
        <stp/>
        <stp>EM_S_IPO_LISTEDDATE</stp>
        <stp>1</stp>
        <stp>600736</stp>
        <tr r="AT1764" s="1"/>
      </tp>
      <tp t="s">
        <v>2015-05-15</v>
        <stp/>
        <stp>EM_S_IPO_LISTEDDATE</stp>
        <stp>1</stp>
        <stp>002756</stp>
        <tr r="AT470" s="1"/>
      </tp>
      <tp t="s">
        <v>1997-06-26</v>
        <stp/>
        <stp>EM_S_IPO_LISTEDDATE</stp>
        <stp>1</stp>
        <stp>000751</stp>
        <tr r="AT1531" s="1"/>
      </tp>
      <tp t="s">
        <v>1996-08-02</v>
        <stp/>
        <stp>EM_S_IPO_LISTEDDATE</stp>
        <stp>1</stp>
        <stp>600731</stp>
        <tr r="AT296" s="1"/>
      </tp>
      <tp t="s">
        <v>2015-04-24</v>
        <stp/>
        <stp>EM_S_IPO_LISTEDDATE</stp>
        <stp>1</stp>
        <stp>002751</stp>
        <tr r="AT1394" s="1"/>
      </tp>
      <tp t="s">
        <v>1997-07-09</v>
        <stp/>
        <stp>EM_S_IPO_LISTEDDATE</stp>
        <stp>1</stp>
        <stp>000750</stp>
        <tr r="AT3526" s="1"/>
      </tp>
      <tp t="s">
        <v>1996-07-26</v>
        <stp/>
        <stp>EM_S_IPO_LISTEDDATE</stp>
        <stp>1</stp>
        <stp>600730</stp>
        <tr r="AT2242" s="1"/>
      </tp>
      <tp t="s">
        <v>2015-03-24</v>
        <stp/>
        <stp>EM_S_IPO_LISTEDDATE</stp>
        <stp>1</stp>
        <stp>002750</stp>
        <tr r="AT121" s="1"/>
      </tp>
      <tp t="s">
        <v>2017-07-28</v>
        <stp/>
        <stp>EM_S_IPO_LISTEDDATE</stp>
        <stp>1</stp>
        <stp>603730</stp>
        <tr r="AT677" s="1"/>
      </tp>
      <tp t="s">
        <v>1997-06-26</v>
        <stp/>
        <stp>EM_S_IPO_LISTEDDATE</stp>
        <stp>1</stp>
        <stp>000753</stp>
        <tr r="AT2257" s="1"/>
      </tp>
      <tp t="s">
        <v>1996-08-16</v>
        <stp/>
        <stp>EM_S_IPO_LISTEDDATE</stp>
        <stp>1</stp>
        <stp>600733</stp>
        <tr r="AT3186" s="1"/>
      </tp>
      <tp t="s">
        <v>2015-05-19</v>
        <stp/>
        <stp>EM_S_IPO_LISTEDDATE</stp>
        <stp>1</stp>
        <stp>002753</stp>
        <tr r="AT2896" s="1"/>
      </tp>
      <tp t="s">
        <v>2018-04-20</v>
        <stp/>
        <stp>EM_S_IPO_LISTEDDATE</stp>
        <stp>1</stp>
        <stp>603733</stp>
        <tr r="AT2668" s="1"/>
      </tp>
      <tp t="s">
        <v>1997-06-25</v>
        <stp/>
        <stp>EM_S_IPO_LISTEDDATE</stp>
        <stp>1</stp>
        <stp>000752</stp>
        <tr r="AT3527" s="1"/>
      </tp>
      <tp t="s">
        <v>1996-08-16</v>
        <stp/>
        <stp>EM_S_IPO_LISTEDDATE</stp>
        <stp>1</stp>
        <stp>600732</stp>
        <tr r="AT281" s="1"/>
      </tp>
      <tp t="s">
        <v>2015-04-22</v>
        <stp/>
        <stp>EM_S_IPO_LISTEDDATE</stp>
        <stp>1</stp>
        <stp>002752</stp>
        <tr r="AT2953" s="1"/>
      </tp>
      <tp t="s">
        <v>1996-07-02</v>
        <stp/>
        <stp>EM_S_IPO_LISTEDDATE</stp>
        <stp>1</stp>
        <stp>600729</stp>
        <tr r="AT2021" s="1"/>
      </tp>
      <tp t="s">
        <v>2015-03-20</v>
        <stp/>
        <stp>EM_S_IPO_LISTEDDATE</stp>
        <stp>1</stp>
        <stp>002749</stp>
        <tr r="AT3174" s="1"/>
      </tp>
      <tp t="s">
        <v>2015-03-24</v>
        <stp/>
        <stp>EM_S_IPO_LISTEDDATE</stp>
        <stp>1</stp>
        <stp>603729</stp>
        <tr r="AT2042" s="1"/>
      </tp>
      <tp t="s">
        <v>1997-07-04</v>
        <stp/>
        <stp>EM_S_IPO_LISTEDDATE</stp>
        <stp>1</stp>
        <stp>000748</stp>
        <tr r="AT3525" s="1"/>
      </tp>
      <tp t="s">
        <v>1996-07-16</v>
        <stp/>
        <stp>EM_S_IPO_LISTEDDATE</stp>
        <stp>1</stp>
        <stp>600728</stp>
        <tr r="AT794" s="1"/>
      </tp>
      <tp t="s">
        <v>2015-03-19</v>
        <stp/>
        <stp>EM_S_IPO_LISTEDDATE</stp>
        <stp>1</stp>
        <stp>002748</stp>
        <tr r="AT2044" s="1"/>
      </tp>
      <tp t="s">
        <v>2017-05-09</v>
        <stp/>
        <stp>EM_S_IPO_LISTEDDATE</stp>
        <stp>1</stp>
        <stp>603728</stp>
        <tr r="AT2855" s="1"/>
      </tp>
      <tp t="s">
        <v>1996-07-02</v>
        <stp/>
        <stp>EM_S_IPO_LISTEDDATE</stp>
        <stp>1</stp>
        <stp>600725</stp>
        <tr r="AT1728" s="1"/>
      </tp>
      <tp t="s">
        <v>2015-02-17</v>
        <stp/>
        <stp>EM_S_IPO_LISTEDDATE</stp>
        <stp>1</stp>
        <stp>002745</stp>
        <tr r="AT1165" s="1"/>
      </tp>
      <tp t="s">
        <v>2017-09-06</v>
        <stp/>
        <stp>EM_S_IPO_LISTEDDATE</stp>
        <stp>1</stp>
        <stp>603725</stp>
        <tr r="AT3230" s="1"/>
      </tp>
      <tp t="s">
        <v>1996-07-16</v>
        <stp/>
        <stp>EM_S_IPO_LISTEDDATE</stp>
        <stp>1</stp>
        <stp>600724</stp>
        <tr r="AT1617" s="1"/>
      </tp>
      <tp t="s">
        <v>1996-07-02</v>
        <stp/>
        <stp>EM_S_IPO_LISTEDDATE</stp>
        <stp>1</stp>
        <stp>600727</stp>
        <tr r="AT964" s="1"/>
      </tp>
      <tp t="s">
        <v>2008-12-05</v>
        <stp/>
        <stp>EM_S_IPO_LISTEDDATE</stp>
        <stp>1</stp>
        <stp>601727</stp>
        <tr r="AT2339" s="1"/>
      </tp>
      <tp t="s">
        <v>2015-03-20</v>
        <stp/>
        <stp>EM_S_IPO_LISTEDDATE</stp>
        <stp>1</stp>
        <stp>002747</stp>
        <tr r="AT862" s="1"/>
      </tp>
      <tp t="s">
        <v>2016-11-22</v>
        <stp/>
        <stp>EM_S_IPO_LISTEDDATE</stp>
        <stp>1</stp>
        <stp>603727</stp>
        <tr r="AT592" s="1"/>
      </tp>
      <tp t="s">
        <v>1996-07-01</v>
        <stp/>
        <stp>EM_S_IPO_LISTEDDATE</stp>
        <stp>1</stp>
        <stp>600726</stp>
        <tr r="AT3137" s="1"/>
      </tp>
      <tp t="s">
        <v>2015-02-16</v>
        <stp/>
        <stp>EM_S_IPO_LISTEDDATE</stp>
        <stp>1</stp>
        <stp>002746</stp>
        <tr r="AT1580" s="1"/>
      </tp>
      <tp t="s">
        <v>2016-04-21</v>
        <stp/>
        <stp>EM_S_IPO_LISTEDDATE</stp>
        <stp>1</stp>
        <stp>603726</stp>
        <tr r="AT3291" s="1"/>
      </tp>
      <tp t="s">
        <v>1996-06-26</v>
        <stp/>
        <stp>EM_S_IPO_LISTEDDATE</stp>
        <stp>1</stp>
        <stp>600721</stp>
        <tr r="AT1284" s="1"/>
      </tp>
      <tp t="s">
        <v>2015-02-16</v>
        <stp/>
        <stp>EM_S_IPO_LISTEDDATE</stp>
        <stp>1</stp>
        <stp>002741</stp>
        <tr r="AT3107" s="1"/>
      </tp>
      <tp t="s">
        <v>2017-08-11</v>
        <stp/>
        <stp>EM_S_IPO_LISTEDDATE</stp>
        <stp>1</stp>
        <stp>603721</stp>
        <tr r="AT277" s="1"/>
      </tp>
      <tp t="s">
        <v>1996-07-16</v>
        <stp/>
        <stp>EM_S_IPO_LISTEDDATE</stp>
        <stp>1</stp>
        <stp>600720</stp>
        <tr r="AT201" s="1"/>
      </tp>
      <tp t="s">
        <v>2015-01-22</v>
        <stp/>
        <stp>EM_S_IPO_LISTEDDATE</stp>
        <stp>1</stp>
        <stp>002740</stp>
        <tr r="AT1265" s="1"/>
      </tp>
      <tp t="s">
        <v>1996-07-16</v>
        <stp/>
        <stp>EM_S_IPO_LISTEDDATE</stp>
        <stp>1</stp>
        <stp>600723</stp>
        <tr r="AT2405" s="1"/>
      </tp>
      <tp t="s">
        <v>2015-02-17</v>
        <stp/>
        <stp>EM_S_IPO_LISTEDDATE</stp>
        <stp>1</stp>
        <stp>002743</stp>
        <tr r="AT1568" s="1"/>
      </tp>
      <tp t="s">
        <v>1996-06-26</v>
        <stp/>
        <stp>EM_S_IPO_LISTEDDATE</stp>
        <stp>1</stp>
        <stp>600722</stp>
        <tr r="AT2048" s="1"/>
      </tp>
      <tp t="s">
        <v>2015-02-17</v>
        <stp/>
        <stp>EM_S_IPO_LISTEDDATE</stp>
        <stp>1</stp>
        <stp>002742</stp>
        <tr r="AT3194" s="1"/>
      </tp>
      <tp t="s">
        <v>2017-10-25</v>
        <stp/>
        <stp>EM_S_IPO_LISTEDDATE</stp>
        <stp>1</stp>
        <stp>603722</stp>
        <tr r="AT673" s="1"/>
      </tp>
      <tp t="s">
        <v>1997-05-28</v>
        <stp/>
        <stp>EM_S_IPO_LISTEDDATE</stp>
        <stp>1</stp>
        <stp>000779</stp>
        <tr r="AT1367" s="1"/>
      </tp>
      <tp t="s">
        <v>1996-07-16</v>
        <stp/>
        <stp>EM_S_IPO_LISTEDDATE</stp>
        <stp>1</stp>
        <stp>600719</stp>
        <tr r="AT1059" s="1"/>
      </tp>
      <tp t="s">
        <v>2015-12-09</v>
        <stp/>
        <stp>EM_S_IPO_LISTEDDATE</stp>
        <stp>1</stp>
        <stp>002779</stp>
        <tr r="AT2173" s="1"/>
      </tp>
      <tp t="s">
        <v>1997-06-06</v>
        <stp/>
        <stp>EM_S_IPO_LISTEDDATE</stp>
        <stp>1</stp>
        <stp>000778</stp>
        <tr r="AT3535" s="1"/>
      </tp>
      <tp t="s">
        <v>1996-06-18</v>
        <stp/>
        <stp>EM_S_IPO_LISTEDDATE</stp>
        <stp>1</stp>
        <stp>600718</stp>
        <tr r="AT2488" s="1"/>
      </tp>
      <tp t="s">
        <v>2010-08-16</v>
        <stp/>
        <stp>EM_S_IPO_LISTEDDATE</stp>
        <stp>1</stp>
        <stp>601718</stp>
        <tr r="AT2524" s="1"/>
      </tp>
      <tp t="s">
        <v>2016-01-06</v>
        <stp/>
        <stp>EM_S_IPO_LISTEDDATE</stp>
        <stp>1</stp>
        <stp>002778</stp>
        <tr r="AT1331" s="1"/>
      </tp>
      <tp t="s">
        <v>2015-05-15</v>
        <stp/>
        <stp>EM_S_IPO_LISTEDDATE</stp>
        <stp>1</stp>
        <stp>603718</stp>
        <tr r="AT2359" s="1"/>
      </tp>
      <tp t="s">
        <v>2018-05-23</v>
        <stp/>
        <stp>EM_S_IPO_LISTEDDATE</stp>
        <stp>1</stp>
        <stp>300745</stp>
        <tr r="AT3282" s="1"/>
      </tp>
      <tp t="s">
        <v>1996-07-01</v>
        <stp/>
        <stp>EM_S_IPO_LISTEDDATE</stp>
        <stp>1</stp>
        <stp>600715</stp>
        <tr r="AT3118" s="1"/>
      </tp>
      <tp t="s">
        <v>2015-06-29</v>
        <stp/>
        <stp>EM_S_IPO_LISTEDDATE</stp>
        <stp>1</stp>
        <stp>002775</stp>
        <tr r="AT2512" s="1"/>
      </tp>
      <tp t="s">
        <v>1996-06-06</v>
        <stp/>
        <stp>EM_S_IPO_LISTEDDATE</stp>
        <stp>1</stp>
        <stp>600714</stp>
        <tr r="AT2212" s="1"/>
      </tp>
      <tp t="s">
        <v>2017-03-24</v>
        <stp/>
        <stp>EM_S_IPO_LISTEDDATE</stp>
        <stp>1</stp>
        <stp>002774</stp>
        <tr r="AT2622" s="1"/>
      </tp>
      <tp t="s">
        <v>1997-07-10</v>
        <stp/>
        <stp>EM_S_IPO_LISTEDDATE</stp>
        <stp>1</stp>
        <stp>000777</stp>
        <tr r="AT1259" s="1"/>
      </tp>
      <tp t="s">
        <v>2018-06-25</v>
        <stp/>
        <stp>EM_S_IPO_LISTEDDATE</stp>
        <stp>1</stp>
        <stp>300747</stp>
        <tr r="AT2959" s="1"/>
      </tp>
      <tp t="s">
        <v>1996-06-14</v>
        <stp/>
        <stp>EM_S_IPO_LISTEDDATE</stp>
        <stp>1</stp>
        <stp>600717</stp>
        <tr r="AT2806" s="1"/>
      </tp>
      <tp t="s">
        <v>2010-08-03</v>
        <stp/>
        <stp>EM_S_IPO_LISTEDDATE</stp>
        <stp>1</stp>
        <stp>601717</stp>
        <tr r="AT1407" s="1"/>
      </tp>
      <tp t="s">
        <v>2015-12-31</v>
        <stp/>
        <stp>EM_S_IPO_LISTEDDATE</stp>
        <stp>1</stp>
        <stp>002777</stp>
        <tr r="AT647" s="1"/>
      </tp>
      <tp t="s">
        <v>2017-03-27</v>
        <stp/>
        <stp>EM_S_IPO_LISTEDDATE</stp>
        <stp>1</stp>
        <stp>603717</stp>
        <tr r="AT2608" s="1"/>
      </tp>
      <tp t="s">
        <v>1997-06-11</v>
        <stp/>
        <stp>EM_S_IPO_LISTEDDATE</stp>
        <stp>1</stp>
        <stp>000776</stp>
        <tr r="AT3534" s="1"/>
      </tp>
      <tp t="s">
        <v>2018-05-25</v>
        <stp/>
        <stp>EM_S_IPO_LISTEDDATE</stp>
        <stp>1</stp>
        <stp>300746</stp>
        <tr r="AT3170" s="1"/>
      </tp>
      <tp t="s">
        <v>1996-07-02</v>
        <stp/>
        <stp>EM_S_IPO_LISTEDDATE</stp>
        <stp>1</stp>
        <stp>600716</stp>
        <tr r="AT954" s="1"/>
      </tp>
      <tp t="s">
        <v>2015-06-26</v>
        <stp/>
        <stp>EM_S_IPO_LISTEDDATE</stp>
        <stp>1</stp>
        <stp>002776</stp>
        <tr r="AT3377" s="1"/>
      </tp>
      <tp t="s">
        <v>2016-10-31</v>
        <stp/>
        <stp>EM_S_IPO_LISTEDDATE</stp>
        <stp>1</stp>
        <stp>603716</stp>
        <tr r="AT2838" s="1"/>
      </tp>
      <tp t="s">
        <v>2018-03-01</v>
        <stp/>
        <stp>EM_S_IPO_LISTEDDATE</stp>
        <stp>1</stp>
        <stp>300741</stp>
        <tr r="AT2360" s="1"/>
      </tp>
      <tp t="s">
        <v>1996-05-31</v>
        <stp/>
        <stp>EM_S_IPO_LISTEDDATE</stp>
        <stp>1</stp>
        <stp>600711</stp>
        <tr r="AT1456" s="1"/>
      </tp>
      <tp t="s">
        <v>2015-06-29</v>
        <stp/>
        <stp>EM_S_IPO_LISTEDDATE</stp>
        <stp>1</stp>
        <stp>002771</stp>
        <tr r="AT2174" s="1"/>
      </tp>
      <tp t="s">
        <v>2017-11-30</v>
        <stp/>
        <stp>EM_S_IPO_LISTEDDATE</stp>
        <stp>1</stp>
        <stp>603711</stp>
        <tr r="AT1298" s="1"/>
      </tp>
      <tp t="s">
        <v>2018-02-08</v>
        <stp/>
        <stp>EM_S_IPO_LISTEDDATE</stp>
        <stp>1</stp>
        <stp>300740</stp>
        <tr r="AT3353" s="1"/>
      </tp>
      <tp t="s">
        <v>1996-07-01</v>
        <stp/>
        <stp>EM_S_IPO_LISTEDDATE</stp>
        <stp>1</stp>
        <stp>600710</stp>
        <tr r="AT584" s="1"/>
      </tp>
      <tp t="s">
        <v>2015-06-30</v>
        <stp/>
        <stp>EM_S_IPO_LISTEDDATE</stp>
        <stp>1</stp>
        <stp>002770</stp>
        <tr r="AT2889" s="1"/>
      </tp>
      <tp t="s">
        <v>2018-04-27</v>
        <stp/>
        <stp>EM_S_IPO_LISTEDDATE</stp>
        <stp>1</stp>
        <stp>300743</stp>
        <tr r="AT3368" s="1"/>
      </tp>
      <tp t="s">
        <v>1996-07-01</v>
        <stp/>
        <stp>EM_S_IPO_LISTEDDATE</stp>
        <stp>1</stp>
        <stp>600713</stp>
        <tr r="AT1785" s="1"/>
      </tp>
      <tp t="s">
        <v>2015-06-26</v>
        <stp/>
        <stp>EM_S_IPO_LISTEDDATE</stp>
        <stp>1</stp>
        <stp>002773</stp>
        <tr r="AT1974" s="1"/>
      </tp>
      <tp t="s">
        <v>2018-05-08</v>
        <stp/>
        <stp>EM_S_IPO_LISTEDDATE</stp>
        <stp>1</stp>
        <stp>300742</stp>
        <tr r="AT3334" s="1"/>
      </tp>
      <tp t="s">
        <v>1996-06-26</v>
        <stp/>
        <stp>EM_S_IPO_LISTEDDATE</stp>
        <stp>1</stp>
        <stp>600712</stp>
        <tr r="AT59" s="1"/>
      </tp>
      <tp t="s">
        <v>2015-06-26</v>
        <stp/>
        <stp>EM_S_IPO_LISTEDDATE</stp>
        <stp>1</stp>
        <stp>002772</stp>
        <tr r="AT1906" s="1"/>
      </tp>
      <tp t="s">
        <v>2018-02-26</v>
        <stp/>
        <stp>EM_S_IPO_LISTEDDATE</stp>
        <stp>1</stp>
        <stp>603712</stp>
        <tr r="AT824" s="1"/>
      </tp>
      <tp t="s">
        <v>1997-05-30</v>
        <stp/>
        <stp>EM_S_IPO_LISTEDDATE</stp>
        <stp>1</stp>
        <stp>000769</stp>
        <tr r="AT2279" s="1"/>
      </tp>
      <tp t="s">
        <v>1996-06-18</v>
        <stp/>
        <stp>EM_S_IPO_LISTEDDATE</stp>
        <stp>1</stp>
        <stp>600709</stp>
        <tr r="AT2318" s="1"/>
      </tp>
      <tp t="s">
        <v>2015-06-29</v>
        <stp/>
        <stp>EM_S_IPO_LISTEDDATE</stp>
        <stp>1</stp>
        <stp>002769</stp>
        <tr r="AT2989" s="1"/>
      </tp>
      <tp t="s">
        <v>2018-02-08</v>
        <stp/>
        <stp>EM_S_IPO_LISTEDDATE</stp>
        <stp>1</stp>
        <stp>603709</stp>
        <tr r="AT2206" s="1"/>
      </tp>
      <tp t="s">
        <v>1997-06-26</v>
        <stp/>
        <stp>EM_S_IPO_LISTEDDATE</stp>
        <stp>1</stp>
        <stp>000768</stp>
        <tr r="AT1149" s="1"/>
      </tp>
      <tp t="s">
        <v>1996-06-06</v>
        <stp/>
        <stp>EM_S_IPO_LISTEDDATE</stp>
        <stp>1</stp>
        <stp>600708</stp>
        <tr r="AT2225" s="1"/>
      </tp>
      <tp t="s">
        <v>2015-06-30</v>
        <stp/>
        <stp>EM_S_IPO_LISTEDDATE</stp>
        <stp>1</stp>
        <stp>002768</stp>
        <tr r="AT2063" s="1"/>
      </tp>
      <tp t="s">
        <v>2016-12-13</v>
        <stp/>
        <stp>EM_S_IPO_LISTEDDATE</stp>
        <stp>1</stp>
        <stp>603708</stp>
        <tr r="AT1222" s="1"/>
      </tp>
      <tp t="s">
        <v>1997-11-03</v>
        <stp/>
        <stp>EM_S_IPO_LISTEDDATE</stp>
        <stp>1</stp>
        <stp>000765</stp>
        <tr r="AT3533" s="1"/>
      </tp>
      <tp t="s">
        <v>1996-05-16</v>
        <stp/>
        <stp>EM_S_IPO_LISTEDDATE</stp>
        <stp>1</stp>
        <stp>600705</stp>
        <tr r="AT1501" s="1"/>
      </tp>
      <tp t="s">
        <v>2015-06-12</v>
        <stp/>
        <stp>EM_S_IPO_LISTEDDATE</stp>
        <stp>1</stp>
        <stp>002765</stp>
        <tr r="AT3005" s="1"/>
      </tp>
      <tp t="s">
        <v>1996-06-06</v>
        <stp/>
        <stp>EM_S_IPO_LISTEDDATE</stp>
        <stp>1</stp>
        <stp>600704</stp>
        <tr r="AT1522" s="1"/>
      </tp>
      <tp t="s">
        <v>1997-06-09</v>
        <stp/>
        <stp>EM_S_IPO_LISTEDDATE</stp>
        <stp>1</stp>
        <stp>000767</stp>
        <tr r="AT2442" s="1"/>
      </tp>
      <tp t="s">
        <v>1996-05-20</v>
        <stp/>
        <stp>EM_S_IPO_LISTEDDATE</stp>
        <stp>1</stp>
        <stp>600707</stp>
        <tr r="AT2050" s="1"/>
      </tp>
      <tp t="s">
        <v>2015-06-12</v>
        <stp/>
        <stp>EM_S_IPO_LISTEDDATE</stp>
        <stp>1</stp>
        <stp>002767</stp>
        <tr r="AT1895" s="1"/>
      </tp>
      <tp t="s">
        <v>2017-07-19</v>
        <stp/>
        <stp>EM_S_IPO_LISTEDDATE</stp>
        <stp>1</stp>
        <stp>603707</stp>
        <tr r="AT131" s="1"/>
      </tp>
      <tp t="s">
        <v>1997-04-30</v>
        <stp/>
        <stp>EM_S_IPO_LISTEDDATE</stp>
        <stp>1</stp>
        <stp>000766</stp>
        <tr r="AT2592" s="1"/>
      </tp>
      <tp t="s">
        <v>1996-05-16</v>
        <stp/>
        <stp>EM_S_IPO_LISTEDDATE</stp>
        <stp>1</stp>
        <stp>600706</stp>
        <tr r="AT2912" s="1"/>
      </tp>
      <tp t="s">
        <v>2015-06-11</v>
        <stp/>
        <stp>EM_S_IPO_LISTEDDATE</stp>
        <stp>1</stp>
        <stp>002766</stp>
        <tr r="AT3305" s="1"/>
      </tp>
      <tp t="s">
        <v>2018-07-09</v>
        <stp/>
        <stp>EM_S_IPO_LISTEDDATE</stp>
        <stp>1</stp>
        <stp>603706</stp>
        <tr r="AT3177" s="1"/>
      </tp>
      <tp t="s">
        <v>1998-01-15</v>
        <stp/>
        <stp>EM_S_IPO_LISTEDDATE</stp>
        <stp>1</stp>
        <stp>000761</stp>
        <tr r="AT1372" s="1"/>
      </tp>
      <tp t="s">
        <v>1996-05-28</v>
        <stp/>
        <stp>EM_S_IPO_LISTEDDATE</stp>
        <stp>1</stp>
        <stp>600701</stp>
        <tr r="AT3066" s="1"/>
      </tp>
      <tp t="s">
        <v>2015-06-10</v>
        <stp/>
        <stp>EM_S_IPO_LISTEDDATE</stp>
        <stp>1</stp>
        <stp>002761</stp>
        <tr r="AT3296" s="1"/>
      </tp>
      <tp t="s">
        <v>2016-04-12</v>
        <stp/>
        <stp>EM_S_IPO_LISTEDDATE</stp>
        <stp>1</stp>
        <stp>603701</stp>
        <tr r="AT1613" s="1"/>
      </tp>
      <tp t="s">
        <v>1997-06-27</v>
        <stp/>
        <stp>EM_S_IPO_LISTEDDATE</stp>
        <stp>1</stp>
        <stp>000760</stp>
        <tr r="AT3530" s="1"/>
      </tp>
      <tp t="s">
        <v>2018-06-11</v>
        <stp/>
        <stp>EM_S_IPO_LISTEDDATE</stp>
        <stp>1</stp>
        <stp>300750</stp>
        <tr r="AT579" s="1"/>
      </tp>
      <tp t="s">
        <v>1996-04-30</v>
        <stp/>
        <stp>EM_S_IPO_LISTEDDATE</stp>
        <stp>1</stp>
        <stp>600700</stp>
        <tr r="AT2317" s="1"/>
      </tp>
      <tp t="s">
        <v>2011-01-18</v>
        <stp/>
        <stp>EM_S_IPO_LISTEDDATE</stp>
        <stp>1</stp>
        <stp>601700</stp>
        <tr r="AT297" s="1"/>
      </tp>
      <tp t="s">
        <v>2015-06-11</v>
        <stp/>
        <stp>EM_S_IPO_LISTEDDATE</stp>
        <stp>1</stp>
        <stp>002760</stp>
        <tr r="AT1204" s="1"/>
      </tp>
      <tp t="s">
        <v>1997-09-15</v>
        <stp/>
        <stp>EM_S_IPO_LISTEDDATE</stp>
        <stp>1</stp>
        <stp>000763</stp>
        <tr r="AT3532" s="1"/>
      </tp>
      <tp t="s">
        <v>1996-05-28</v>
        <stp/>
        <stp>EM_S_IPO_LISTEDDATE</stp>
        <stp>1</stp>
        <stp>600703</stp>
        <tr r="AT375" s="1"/>
      </tp>
      <tp t="s">
        <v>2015-06-10</v>
        <stp/>
        <stp>EM_S_IPO_LISTEDDATE</stp>
        <stp>1</stp>
        <stp>002763</stp>
        <tr r="AT2122" s="1"/>
      </tp>
      <tp t="s">
        <v>2015-04-23</v>
        <stp/>
        <stp>EM_S_IPO_LISTEDDATE</stp>
        <stp>1</stp>
        <stp>603703</stp>
        <tr r="AT347" s="1"/>
      </tp>
      <tp t="s">
        <v>1997-07-08</v>
        <stp/>
        <stp>EM_S_IPO_LISTEDDATE</stp>
        <stp>1</stp>
        <stp>000762</stp>
        <tr r="AT3531" s="1"/>
      </tp>
      <tp t="s">
        <v>1996-05-24</v>
        <stp/>
        <stp>EM_S_IPO_LISTEDDATE</stp>
        <stp>1</stp>
        <stp>600702</stp>
        <tr r="AT882" s="1"/>
      </tp>
      <tp t="s">
        <v>2015-06-10</v>
        <stp/>
        <stp>EM_S_IPO_LISTEDDATE</stp>
        <stp>1</stp>
        <stp>002762</stp>
        <tr r="AT2112" s="1"/>
      </tp>
      <tp>
        <v>0</v>
        <stp/>
        <stp>EM_S_FA_ASSETSTURN</stp>
        <stp>3</stp>
        <stp>601998</stp>
        <stp>12/31/2018</stp>
        <stp>1</stp>
        <tr r="K1567" s="1"/>
      </tp>
      <tp>
        <v>0.40561086758300002</v>
        <stp/>
        <stp>EM_S_FA_ASSETSTURN</stp>
        <stp>3</stp>
        <stp>601898</stp>
        <stp>12/31/2018</stp>
        <stp>1</stp>
        <tr r="K1860" s="1"/>
      </tp>
      <tp>
        <v>0</v>
        <stp/>
        <stp>EM_S_FA_ASSETSTURN</stp>
        <stp>3</stp>
        <stp>601398</stp>
        <stp>12/31/2018</stp>
        <stp>1</stp>
        <tr r="K1662" s="1"/>
      </tp>
      <tp>
        <v>0</v>
        <stp/>
        <stp>EM_S_FA_ASSETSTURN</stp>
        <stp>3</stp>
        <stp>601198</stp>
        <stp>12/31/2018</stp>
        <stp>1</stp>
        <tr r="K769" s="1"/>
      </tp>
      <tp>
        <v>0.47957191230000001</v>
        <stp/>
        <stp>EM_S_FA_ASSETSTURN</stp>
        <stp>3</stp>
        <stp>601098</stp>
        <stp>12/31/2018</stp>
        <stp>1</stp>
        <tr r="K2563" s="1"/>
      </tp>
      <tp>
        <v>0.25720513929400002</v>
        <stp/>
        <stp>EM_S_FA_ASSETSTURN</stp>
        <stp>3</stp>
        <stp>601798</stp>
        <stp>12/31/2018</stp>
        <stp>1</stp>
        <tr r="K1042" s="1"/>
      </tp>
      <tp>
        <v>1.4678983359519999</v>
        <stp/>
        <stp>EM_S_FA_ASSETSTURN</stp>
        <stp>3</stp>
        <stp>600998</stp>
        <stp>12/31/2018</stp>
        <stp>1</stp>
        <tr r="K2675" s="1"/>
      </tp>
      <tp>
        <v>0.90847505693599995</v>
        <stp/>
        <stp>EM_S_FA_ASSETSTURN</stp>
        <stp>3</stp>
        <stp>600898</stp>
        <stp>12/31/2018</stp>
        <stp>1</stp>
        <tr r="K2388" s="1"/>
      </tp>
      <tp>
        <v>0.69810993200399996</v>
        <stp/>
        <stp>EM_S_FA_ASSETSTURN</stp>
        <stp>3</stp>
        <stp>600398</stp>
        <stp>12/31/2018</stp>
        <stp>1</stp>
        <tr r="K2779" s="1"/>
      </tp>
      <tp>
        <v>0.78619312008800002</v>
        <stp/>
        <stp>EM_S_FA_ASSETSTURN</stp>
        <stp>3</stp>
        <stp>600298</stp>
        <stp>12/31/2018</stp>
        <stp>1</stp>
        <tr r="K1273" s="1"/>
      </tp>
      <tp>
        <v>0.29984199620000002</v>
        <stp/>
        <stp>EM_S_FA_ASSETSTURN</stp>
        <stp>3</stp>
        <stp>600198</stp>
        <stp>12/31/2018</stp>
        <stp>1</stp>
        <tr r="K416" s="1"/>
      </tp>
      <tp>
        <v>0.67951254832499997</v>
        <stp/>
        <stp>EM_S_FA_ASSETSTURN</stp>
        <stp>3</stp>
        <stp>600098</stp>
        <stp>12/31/2018</stp>
        <stp>1</stp>
        <tr r="K1455" s="1"/>
      </tp>
      <tp>
        <v>0.37395413065799998</v>
        <stp/>
        <stp>EM_S_FA_ASSETSTURN</stp>
        <stp>3</stp>
        <stp>600798</stp>
        <stp>12/31/2018</stp>
        <stp>1</stp>
        <tr r="K1796" s="1"/>
      </tp>
      <tp>
        <v>0.37630082693200001</v>
        <stp/>
        <stp>EM_S_FA_ASSETSTURN</stp>
        <stp>3</stp>
        <stp>600698</stp>
        <stp>12/31/2018</stp>
        <stp>1</stp>
        <tr r="K3214" s="1"/>
      </tp>
      <tp>
        <v>0.41801408893800002</v>
        <stp/>
        <stp>EM_S_FA_ASSETSTURN</stp>
        <stp>3</stp>
        <stp>600598</stp>
        <stp>12/31/2018</stp>
        <stp>1</stp>
        <tr r="K1569" s="1"/>
      </tp>
      <tp>
        <v>0.830823372206</v>
        <stp/>
        <stp>EM_S_FA_ASSETSTURN</stp>
        <stp>3</stp>
        <stp>600498</stp>
        <stp>12/31/2018</stp>
        <stp>1</stp>
        <tr r="K2489" s="1"/>
      </tp>
      <tp>
        <v>0.69709293049800003</v>
        <stp/>
        <stp>EM_S_FA_ASSETSTURN</stp>
        <stp>3</stp>
        <stp>603998</stp>
        <stp>12/31/2018</stp>
        <stp>1</stp>
        <tr r="K287" s="1"/>
      </tp>
      <tp>
        <v>0.79108011147799995</v>
        <stp/>
        <stp>EM_S_FA_ASSETSTURN</stp>
        <stp>3</stp>
        <stp>603898</stp>
        <stp>12/31/2018</stp>
        <stp>1</stp>
        <tr r="K2001" s="1"/>
      </tp>
      <tp>
        <v>0.45512135396600001</v>
        <stp/>
        <stp>EM_S_FA_ASSETSTURN</stp>
        <stp>3</stp>
        <stp>603398</stp>
        <stp>12/31/2018</stp>
        <stp>1</stp>
        <tr r="K2667" s="1"/>
      </tp>
      <tp>
        <v>1.5660386090109999</v>
        <stp/>
        <stp>EM_S_FA_ASSETSTURN</stp>
        <stp>3</stp>
        <stp>603298</stp>
        <stp>12/31/2018</stp>
        <stp>1</stp>
        <tr r="K1939" s="1"/>
      </tp>
      <tp>
        <v>0.56675100590500005</v>
        <stp/>
        <stp>EM_S_FA_ASSETSTURN</stp>
        <stp>3</stp>
        <stp>603198</stp>
        <stp>12/31/2018</stp>
        <stp>1</stp>
        <tr r="K704" s="1"/>
      </tp>
      <tp>
        <v>0.91767781722999997</v>
        <stp/>
        <stp>EM_S_FA_ASSETSTURN</stp>
        <stp>3</stp>
        <stp>603098</stp>
        <stp>12/31/2018</stp>
        <stp>1</stp>
        <tr r="K3054" s="1"/>
      </tp>
      <tp>
        <v>0.83489411147699999</v>
        <stp/>
        <stp>EM_S_FA_ASSETSTURN</stp>
        <stp>3</stp>
        <stp>603798</stp>
        <stp>12/31/2018</stp>
        <stp>1</stp>
        <tr r="K878" s="1"/>
      </tp>
      <tp>
        <v>0.43163531292599999</v>
        <stp/>
        <stp>EM_S_FA_ASSETSTURN</stp>
        <stp>3</stp>
        <stp>603698</stp>
        <stp>12/31/2018</stp>
        <stp>1</stp>
        <tr r="K2873" s="1"/>
      </tp>
      <tp>
        <v>1.656850449285</v>
        <stp/>
        <stp>EM_S_FA_ASSETSTURN</stp>
        <stp>3</stp>
        <stp>603598</stp>
        <stp>12/31/2018</stp>
        <stp>1</stp>
        <tr r="K273" s="1"/>
      </tp>
      <tp>
        <v>0.695018744681</v>
        <stp/>
        <stp>EM_S_FA_ASSETSTURN</stp>
        <stp>3</stp>
        <stp>601999</stp>
        <stp>12/31/2018</stp>
        <stp>1</stp>
        <tr r="K1305" s="1"/>
      </tp>
      <tp>
        <v>1.0484381206690001</v>
        <stp/>
        <stp>EM_S_FA_ASSETSTURN</stp>
        <stp>3</stp>
        <stp>601899</stp>
        <stp>12/31/2018</stp>
        <stp>1</stp>
        <tr r="K838" s="1"/>
      </tp>
      <tp>
        <v>0</v>
        <stp/>
        <stp>EM_S_FA_ASSETSTURN</stp>
        <stp>3</stp>
        <stp>601299</stp>
        <stp>12/31/2018</stp>
        <stp>1</stp>
        <tr r="K2336" s="1"/>
      </tp>
      <tp>
        <v>0.19492250303299999</v>
        <stp/>
        <stp>EM_S_FA_ASSETSTURN</stp>
        <stp>3</stp>
        <stp>601199</stp>
        <stp>12/31/2018</stp>
        <stp>1</stp>
        <tr r="K1924" s="1"/>
      </tp>
      <tp>
        <v>0</v>
        <stp/>
        <stp>EM_S_FA_ASSETSTURN</stp>
        <stp>3</stp>
        <stp>601099</stp>
        <stp>12/31/2018</stp>
        <stp>1</stp>
        <tr r="K526" s="1"/>
      </tp>
      <tp>
        <v>0.74037424801100005</v>
        <stp/>
        <stp>EM_S_FA_ASSETSTURN</stp>
        <stp>3</stp>
        <stp>601799</stp>
        <stp>12/31/2018</stp>
        <stp>1</stp>
        <tr r="K166" s="1"/>
      </tp>
      <tp>
        <v>0.38165601967099999</v>
        <stp/>
        <stp>EM_S_FA_ASSETSTURN</stp>
        <stp>3</stp>
        <stp>601699</stp>
        <stp>12/31/2018</stp>
        <stp>1</stp>
        <tr r="K1809" s="1"/>
      </tp>
      <tp>
        <v>0.72984210436399999</v>
        <stp/>
        <stp>EM_S_FA_ASSETSTURN</stp>
        <stp>3</stp>
        <stp>601599</stp>
        <stp>12/31/2018</stp>
        <stp>1</stp>
        <tr r="K1857" s="1"/>
      </tp>
      <tp>
        <v>0</v>
        <stp/>
        <stp>EM_S_FA_ASSETSTURN</stp>
        <stp>3</stp>
        <stp>600999</stp>
        <stp>12/31/2018</stp>
        <stp>1</stp>
        <tr r="K764" s="1"/>
      </tp>
      <tp>
        <v>0</v>
        <stp/>
        <stp>EM_S_FA_ASSETSTURN</stp>
        <stp>3</stp>
        <stp>600899</stp>
        <stp>12/31/2018</stp>
        <stp>1</stp>
        <tr r="K2333" s="1"/>
      </tp>
      <tp>
        <v>0.66813274573699999</v>
        <stp/>
        <stp>EM_S_FA_ASSETSTURN</stp>
        <stp>3</stp>
        <stp>600399</stp>
        <stp>12/31/2018</stp>
        <stp>1</stp>
        <tr r="K902" s="1"/>
      </tp>
      <tp>
        <v>0.53376948716700001</v>
        <stp/>
        <stp>EM_S_FA_ASSETSTURN</stp>
        <stp>3</stp>
        <stp>600299</stp>
        <stp>12/31/2018</stp>
        <stp>1</stp>
        <tr r="K2551" s="1"/>
      </tp>
      <tp>
        <v>0.41543138409399999</v>
        <stp/>
        <stp>EM_S_FA_ASSETSTURN</stp>
        <stp>3</stp>
        <stp>600199</stp>
        <stp>12/31/2018</stp>
        <stp>1</stp>
        <tr r="K781" s="1"/>
      </tp>
      <tp>
        <v>0.91754720692299996</v>
        <stp/>
        <stp>EM_S_FA_ASSETSTURN</stp>
        <stp>3</stp>
        <stp>600099</stp>
        <stp>12/31/2018</stp>
        <stp>1</stp>
        <tr r="K1401" s="1"/>
      </tp>
      <tp>
        <v>0</v>
        <stp/>
        <stp>EM_S_FA_ASSETSTURN</stp>
        <stp>3</stp>
        <stp>600799</stp>
        <stp>12/31/2018</stp>
        <stp>1</stp>
        <tr r="K2325" s="1"/>
      </tp>
      <tp>
        <v>1.1868137329020001</v>
        <stp/>
        <stp>EM_S_FA_ASSETSTURN</stp>
        <stp>3</stp>
        <stp>600699</stp>
        <stp>12/31/2018</stp>
        <stp>1</stp>
        <tr r="K3125" s="1"/>
      </tp>
      <tp>
        <v>0.25612242633400001</v>
        <stp/>
        <stp>EM_S_FA_ASSETSTURN</stp>
        <stp>3</stp>
        <stp>600599</stp>
        <stp>12/31/2018</stp>
        <stp>1</stp>
        <tr r="K2128" s="1"/>
      </tp>
      <tp>
        <v>0.49681805336099999</v>
        <stp/>
        <stp>EM_S_FA_ASSETSTURN</stp>
        <stp>3</stp>
        <stp>600499</stp>
        <stp>12/31/2018</stp>
        <stp>1</stp>
        <tr r="K1885" s="1"/>
      </tp>
      <tp>
        <v>0.38172400174799997</v>
        <stp/>
        <stp>EM_S_FA_ASSETSTURN</stp>
        <stp>3</stp>
        <stp>603999</stp>
        <stp>12/31/2018</stp>
        <stp>1</stp>
        <tr r="K473" s="1"/>
      </tp>
      <tp>
        <v>1.695842642073</v>
        <stp/>
        <stp>EM_S_FA_ASSETSTURN</stp>
        <stp>3</stp>
        <stp>603899</stp>
        <stp>12/31/2018</stp>
        <stp>1</stp>
        <tr r="K439" s="1"/>
      </tp>
      <tp>
        <v>0.87237509237400002</v>
        <stp/>
        <stp>EM_S_FA_ASSETSTURN</stp>
        <stp>3</stp>
        <stp>603399</stp>
        <stp>12/31/2018</stp>
        <stp>1</stp>
        <tr r="K1095" s="1"/>
      </tp>
      <tp>
        <v>0.59991112679900005</v>
        <stp/>
        <stp>EM_S_FA_ASSETSTURN</stp>
        <stp>3</stp>
        <stp>603299</stp>
        <stp>12/31/2018</stp>
        <stp>1</stp>
        <tr r="K852" s="1"/>
      </tp>
      <tp>
        <v>0.38782107349299999</v>
        <stp/>
        <stp>EM_S_FA_ASSETSTURN</stp>
        <stp>3</stp>
        <stp>603199</stp>
        <stp>12/31/2018</stp>
        <stp>1</stp>
        <tr r="K1084" s="1"/>
      </tp>
      <tp>
        <v>0.38834053461899998</v>
        <stp/>
        <stp>EM_S_FA_ASSETSTURN</stp>
        <stp>3</stp>
        <stp>603099</stp>
        <stp>12/31/2018</stp>
        <stp>1</stp>
        <tr r="K1625" s="1"/>
      </tp>
      <tp>
        <v>0.81006946221200005</v>
        <stp/>
        <stp>EM_S_FA_ASSETSTURN</stp>
        <stp>3</stp>
        <stp>603799</stp>
        <stp>12/31/2018</stp>
        <stp>1</stp>
        <tr r="K912" s="1"/>
      </tp>
      <tp>
        <v>0.60427978024100004</v>
        <stp/>
        <stp>EM_S_FA_ASSETSTURN</stp>
        <stp>3</stp>
        <stp>603699</stp>
        <stp>12/31/2018</stp>
        <stp>1</stp>
        <tr r="K1395" s="1"/>
      </tp>
      <tp>
        <v>0.49981411931000003</v>
        <stp/>
        <stp>EM_S_FA_ASSETSTURN</stp>
        <stp>3</stp>
        <stp>603599</stp>
        <stp>12/31/2018</stp>
        <stp>1</stp>
        <tr r="K724" s="1"/>
      </tp>
      <tp>
        <v>0.52315755430800004</v>
        <stp/>
        <stp>EM_S_FA_ASSETSTURN</stp>
        <stp>3</stp>
        <stp>603499</stp>
        <stp>12/31/2018</stp>
        <stp>1</stp>
        <tr r="K3091" s="1"/>
      </tp>
      <tp>
        <v>0.89341230196349974</v>
        <stp/>
        <stp>EM_S_RATIO_EPS_TTM</stp>
        <stp>3</stp>
        <stp>603129</stp>
        <stp>12/31/2018</stp>
        <stp>1</stp>
        <tr r="U76" s="1"/>
      </tp>
      <tp>
        <v>0.16176722134133276</v>
        <stp/>
        <stp>EM_S_RATIO_EPS_TTM</stp>
        <stp>3</stp>
        <stp>603029</stp>
        <stp>12/31/2018</stp>
        <stp>1</stp>
        <tr r="U1695" s="1"/>
      </tp>
      <tp>
        <v>0.34082413522727273</v>
        <stp/>
        <stp>EM_S_RATIO_EPS_TTM</stp>
        <stp>3</stp>
        <stp>603329</stp>
        <stp>12/31/2018</stp>
        <stp>1</stp>
        <tr r="U2895" s="1"/>
      </tp>
      <tp>
        <v>0.27415056712500002</v>
        <stp/>
        <stp>EM_S_RATIO_EPS_TTM</stp>
        <stp>3</stp>
        <stp>603229</stp>
        <stp>12/31/2018</stp>
        <stp>1</stp>
        <tr r="U274" s="1"/>
      </tp>
      <tp>
        <v>0.60614305672268909</v>
        <stp/>
        <stp>EM_S_RATIO_EPS_TTM</stp>
        <stp>3</stp>
        <stp>603429</stp>
        <stp>12/31/2018</stp>
        <stp>1</stp>
        <tr r="U535" s="1"/>
      </tp>
      <tp>
        <v>0.24512190897597977</v>
        <stp/>
        <stp>EM_S_RATIO_EPS_TTM</stp>
        <stp>3</stp>
        <stp>603729</stp>
        <stp>12/31/2018</stp>
        <stp>1</stp>
        <tr r="U2042" s="1"/>
      </tp>
      <tp>
        <v>0.75500392927446569</v>
        <stp/>
        <stp>EM_S_RATIO_EPS_TTM</stp>
        <stp>3</stp>
        <stp>603929</stp>
        <stp>12/31/2018</stp>
        <stp>1</stp>
        <tr r="U2220" s="1"/>
      </tp>
      <tp>
        <v>0.37611857237500002</v>
        <stp/>
        <stp>EM_S_RATIO_EPS_TTM</stp>
        <stp>3</stp>
        <stp>603829</stp>
        <stp>12/31/2018</stp>
        <stp>1</stp>
        <tr r="U1573" s="1"/>
      </tp>
      <tp>
        <v>0.14178302540925083</v>
        <stp/>
        <stp>EM_S_RATIO_EPS_TTM</stp>
        <stp>3</stp>
        <stp>002149</stp>
        <stp>12/31/2018</stp>
        <stp>1</stp>
        <tr r="U618" s="1"/>
      </tp>
      <tp>
        <v>0.57344011014848528</v>
        <stp/>
        <stp>EM_S_RATIO_EPS_TTM</stp>
        <stp>3</stp>
        <stp>002049</stp>
        <stp>12/31/2018</stp>
        <stp>1</stp>
        <tr r="U262" s="1"/>
      </tp>
      <tp>
        <v>0.27480983293661843</v>
        <stp/>
        <stp>EM_S_RATIO_EPS_TTM</stp>
        <stp>3</stp>
        <stp>002349</stp>
        <stp>12/31/2018</stp>
        <stp>1</stp>
        <tr r="U3126" s="1"/>
      </tp>
      <tp>
        <v>-1.0022022941639619</v>
        <stp/>
        <stp>EM_S_RATIO_EPS_TTM</stp>
        <stp>3</stp>
        <stp>002249</stp>
        <stp>12/31/2018</stp>
        <stp>1</stp>
        <tr r="U1320" s="1"/>
      </tp>
      <tp>
        <v>0.15047949565496233</v>
        <stp/>
        <stp>EM_S_RATIO_EPS_TTM</stp>
        <stp>3</stp>
        <stp>002549</stp>
        <stp>12/31/2018</stp>
        <stp>1</stp>
        <tr r="U1576" s="1"/>
      </tp>
      <tp>
        <v>0.72037361416327395</v>
        <stp/>
        <stp>EM_S_RATIO_EPS_TTM</stp>
        <stp>3</stp>
        <stp>002449</stp>
        <stp>12/31/2018</stp>
        <stp>1</stp>
        <tr r="U1099" s="1"/>
      </tp>
      <tp>
        <v>1.0696276110367875</v>
        <stp/>
        <stp>EM_S_RATIO_EPS_TTM</stp>
        <stp>3</stp>
        <stp>002749</stp>
        <stp>12/31/2018</stp>
        <stp>1</stp>
        <tr r="U3174" s="1"/>
      </tp>
      <tp>
        <v>0.42190857216638256</v>
        <stp/>
        <stp>EM_S_RATIO_EPS_TTM</stp>
        <stp>3</stp>
        <stp>002649</stp>
        <stp>12/31/2018</stp>
        <stp>1</stp>
        <tr r="U807" s="1"/>
      </tp>
      <tp>
        <v>0.47599511748052692</v>
        <stp/>
        <stp>EM_S_RATIO_EPS_TTM</stp>
        <stp>3</stp>
        <stp>002849</stp>
        <stp>12/31/2018</stp>
        <stp>1</stp>
        <tr r="U2282" s="1"/>
      </tp>
      <tp>
        <v>1.6502449328103634</v>
        <stp/>
        <stp>EM_S_RATIO_EPS_TTM</stp>
        <stp>3</stp>
        <stp>601229</stp>
        <stp>12/31/2018</stp>
        <stp>1</stp>
        <tr r="U2929" s="1"/>
      </tp>
      <tp>
        <v>9.7871024993652661E-2</v>
        <stp/>
        <stp>EM_S_RATIO_EPS_TTM</stp>
        <stp>3</stp>
        <stp>601929</stp>
        <stp>12/31/2018</stp>
        <stp>1</stp>
        <tr r="U2062" s="1"/>
      </tp>
      <tp>
        <v>0.12913007658705031</v>
        <stp/>
        <stp>EM_S_RATIO_EPS_TTM</stp>
        <stp>3</stp>
        <stp>300179</stp>
        <stp>12/31/2018</stp>
        <stp>1</stp>
        <tr r="U596" s="1"/>
      </tp>
      <tp>
        <v>0.12617105916560181</v>
        <stp/>
        <stp>EM_S_RATIO_EPS_TTM</stp>
        <stp>3</stp>
        <stp>600129</stp>
        <stp>12/31/2018</stp>
        <stp>1</stp>
        <tr r="U892" s="1"/>
      </tp>
      <tp>
        <v>1.9555771443316825</v>
        <stp/>
        <stp>EM_S_RATIO_EPS_TTM</stp>
        <stp>3</stp>
        <stp>000049</stp>
        <stp>12/31/2018</stp>
        <stp>1</stp>
        <tr r="U678" s="1"/>
      </tp>
      <tp>
        <v>5.8821277967476063E-2</v>
        <stp/>
        <stp>EM_S_RATIO_EPS_TTM</stp>
        <stp>3</stp>
        <stp>300079</stp>
        <stp>12/31/2018</stp>
        <stp>1</stp>
        <tr r="U236" s="1"/>
      </tp>
      <tp>
        <v>0.24316932463762414</v>
        <stp/>
        <stp>EM_S_RATIO_EPS_TTM</stp>
        <stp>3</stp>
        <stp>600029</stp>
        <stp>12/31/2018</stp>
        <stp>1</stp>
        <tr r="U1859" s="1"/>
      </tp>
      <tp>
        <v>0.44099127855068487</v>
        <stp/>
        <stp>EM_S_RATIO_EPS_TTM</stp>
        <stp>3</stp>
        <stp>300379</stp>
        <stp>12/31/2018</stp>
        <stp>1</stp>
        <tr r="U36" s="1"/>
      </tp>
      <tp>
        <v>0.73052331247192748</v>
        <stp/>
        <stp>EM_S_RATIO_EPS_TTM</stp>
        <stp>3</stp>
        <stp>600329</stp>
        <stp>12/31/2018</stp>
        <stp>1</stp>
        <tr r="U1791" s="1"/>
      </tp>
      <tp>
        <v>-1.5861362621502835</v>
        <stp/>
        <stp>EM_S_RATIO_EPS_TTM</stp>
        <stp>3</stp>
        <stp>300279</stp>
        <stp>12/31/2018</stp>
        <stp>1</stp>
        <tr r="U1022" s="1"/>
      </tp>
      <tp>
        <v>0.495666143922396</v>
        <stp/>
        <stp>EM_S_RATIO_EPS_TTM</stp>
        <stp>3</stp>
        <stp>600229</stp>
        <stp>12/31/2018</stp>
        <stp>1</stp>
        <tr r="U2004" s="1"/>
      </tp>
      <tp>
        <v>0.43033084164959068</v>
        <stp/>
        <stp>EM_S_RATIO_EPS_TTM</stp>
        <stp>3</stp>
        <stp>000549</stp>
        <stp>12/31/2018</stp>
        <stp>1</stp>
        <tr r="U3451" s="1"/>
      </tp>
      <tp>
        <v>0.7204616724166667</v>
        <stp/>
        <stp>EM_S_RATIO_EPS_TTM</stp>
        <stp>3</stp>
        <stp>300579</stp>
        <stp>12/31/2018</stp>
        <stp>1</stp>
        <tr r="U330" s="1"/>
      </tp>
      <tp>
        <v>0.84289267525047629</v>
        <stp/>
        <stp>EM_S_RATIO_EPS_TTM</stp>
        <stp>3</stp>
        <stp>600529</stp>
        <stp>12/31/2018</stp>
        <stp>1</stp>
        <tr r="U589" s="1"/>
      </tp>
      <tp>
        <v>6.2617653206072696E-2</v>
        <stp/>
        <stp>EM_S_RATIO_EPS_TTM</stp>
        <stp>3</stp>
        <stp>300479</stp>
        <stp>12/31/2018</stp>
        <stp>1</stp>
        <tr r="U1154" s="1"/>
      </tp>
      <tp>
        <v>0.12043180758799162</v>
        <stp/>
        <stp>EM_S_RATIO_EPS_TTM</stp>
        <stp>3</stp>
        <stp>600429</stp>
        <stp>12/31/2018</stp>
        <stp>1</stp>
        <tr r="U2394" s="1"/>
      </tp>
      <tp>
        <v>2.0444844462982439</v>
        <stp/>
        <stp>EM_S_RATIO_EPS_TTM</stp>
        <stp>3</stp>
        <stp>600729</stp>
        <stp>12/31/2018</stp>
        <stp>1</stp>
        <tr r="U2021" s="1"/>
      </tp>
      <tp>
        <v>1.110508635462963</v>
        <stp/>
        <stp>EM_S_RATIO_EPS_TTM</stp>
        <stp>3</stp>
        <stp>300679</stp>
        <stp>12/31/2018</stp>
        <stp>1</stp>
        <tr r="U739" s="1"/>
      </tp>
      <tp>
        <v>0.60975422068180796</v>
        <stp/>
        <stp>EM_S_RATIO_EPS_TTM</stp>
        <stp>3</stp>
        <stp>600629</stp>
        <stp>12/31/2018</stp>
        <stp>1</stp>
        <tr r="U3119" s="1"/>
      </tp>
      <tp>
        <v>8.9853814705422697E-2</v>
        <stp/>
        <stp>EM_S_RATIO_EPS_TTM</stp>
        <stp>3</stp>
        <stp>000949</stp>
        <stp>12/31/2018</stp>
        <stp>1</stp>
        <tr r="U670" s="1"/>
      </tp>
      <tp>
        <v>0.15513604840513914</v>
        <stp/>
        <stp>EM_S_RATIO_EPS_TTM</stp>
        <stp>3</stp>
        <stp>600929</stp>
        <stp>12/31/2018</stp>
        <stp>1</stp>
        <tr r="U3072" s="1"/>
      </tp>
      <tp>
        <v>0.44467064483421809</v>
        <stp/>
        <stp>EM_S_RATIO_EPS_TTM</stp>
        <stp>3</stp>
        <stp>600829</stp>
        <stp>12/31/2018</stp>
        <stp>1</stp>
        <tr r="U1485" s="1"/>
      </tp>
      <tp>
        <v>0.31915297480825811</v>
        <stp/>
        <stp>EM_S_RATIO_EPS_TTM</stp>
        <stp>3</stp>
        <stp>603128</stp>
        <stp>12/31/2018</stp>
        <stp>1</stp>
        <tr r="U1380" s="1"/>
      </tp>
      <tp>
        <v>7.6591061775362332E-2</v>
        <stp/>
        <stp>EM_S_RATIO_EPS_TTM</stp>
        <stp>3</stp>
        <stp>603028</stp>
        <stp>12/31/2018</stp>
        <stp>1</stp>
        <tr r="U383" s="1"/>
      </tp>
      <tp>
        <v>0.65546643872388677</v>
        <stp/>
        <stp>EM_S_RATIO_EPS_TTM</stp>
        <stp>3</stp>
        <stp>603328</stp>
        <stp>12/31/2018</stp>
        <stp>1</stp>
        <tr r="U1464" s="1"/>
      </tp>
      <tp>
        <v>1.9529409931386861</v>
        <stp/>
        <stp>EM_S_RATIO_EPS_TTM</stp>
        <stp>3</stp>
        <stp>603228</stp>
        <stp>12/31/2018</stp>
        <stp>1</stp>
        <tr r="U2805" s="1"/>
      </tp>
      <tp>
        <v>0.21526459873383405</v>
        <stp/>
        <stp>EM_S_RATIO_EPS_TTM</stp>
        <stp>3</stp>
        <stp>603528</stp>
        <stp>12/31/2018</stp>
        <stp>1</stp>
        <tr r="U1609" s="1"/>
      </tp>
      <tp>
        <v>0.40109967122596152</v>
        <stp/>
        <stp>EM_S_RATIO_EPS_TTM</stp>
        <stp>3</stp>
        <stp>603728</stp>
        <stp>12/31/2018</stp>
        <stp>1</stp>
        <tr r="U2855" s="1"/>
      </tp>
      <tp>
        <v>9.0827737874360839E-2</v>
        <stp/>
        <stp>EM_S_RATIO_EPS_TTM</stp>
        <stp>3</stp>
        <stp>603628</stp>
        <stp>12/31/2018</stp>
        <stp>1</stp>
        <tr r="U1789" s="1"/>
      </tp>
      <tp>
        <v>0.72497788501984128</v>
        <stp/>
        <stp>EM_S_RATIO_EPS_TTM</stp>
        <stp>3</stp>
        <stp>603928</stp>
        <stp>12/31/2018</stp>
        <stp>1</stp>
        <tr r="U2878" s="1"/>
      </tp>
      <tp>
        <v>0.13597585171153356</v>
        <stp/>
        <stp>EM_S_RATIO_EPS_TTM</stp>
        <stp>3</stp>
        <stp>603828</stp>
        <stp>12/31/2018</stp>
        <stp>1</stp>
        <tr r="U3237" s="1"/>
      </tp>
      <tp>
        <v>7.3558282891754284E-2</v>
        <stp/>
        <stp>EM_S_RATIO_EPS_TTM</stp>
        <stp>3</stp>
        <stp>002148</stp>
        <stp>12/31/2018</stp>
        <stp>1</stp>
        <tr r="U2885" s="1"/>
      </tp>
      <tp>
        <v>1.1685794394142315</v>
        <stp/>
        <stp>EM_S_RATIO_EPS_TTM</stp>
        <stp>3</stp>
        <stp>002048</stp>
        <stp>12/31/2018</stp>
        <stp>1</stp>
        <tr r="U510" s="1"/>
      </tp>
      <tp>
        <v>1.1911700496199325E-2</v>
        <stp/>
        <stp>EM_S_RATIO_EPS_TTM</stp>
        <stp>3</stp>
        <stp>002348</stp>
        <stp>12/31/2018</stp>
        <stp>1</stp>
        <tr r="U2047" s="1"/>
      </tp>
      <tp>
        <v>-1.8699316027936659</v>
        <stp/>
        <stp>EM_S_RATIO_EPS_TTM</stp>
        <stp>3</stp>
        <stp>002248</stp>
        <stp>12/31/2018</stp>
        <stp>1</stp>
        <tr r="U2746" s="1"/>
      </tp>
      <tp>
        <v>-0.75463637136008255</v>
        <stp/>
        <stp>EM_S_RATIO_EPS_TTM</stp>
        <stp>3</stp>
        <stp>002548</stp>
        <stp>12/31/2018</stp>
        <stp>1</stp>
        <tr r="U938" s="1"/>
      </tp>
      <tp>
        <v>0.4630934325954808</v>
        <stp/>
        <stp>EM_S_RATIO_EPS_TTM</stp>
        <stp>3</stp>
        <stp>002448</stp>
        <stp>12/31/2018</stp>
        <stp>1</stp>
        <tr r="U2396" s="1"/>
      </tp>
      <tp>
        <v>0.23711576441666668</v>
        <stp/>
        <stp>EM_S_RATIO_EPS_TTM</stp>
        <stp>3</stp>
        <stp>002748</stp>
        <stp>12/31/2018</stp>
        <stp>1</stp>
        <tr r="U2044" s="1"/>
      </tp>
      <tp>
        <v>0.88271233417841299</v>
        <stp/>
        <stp>EM_S_RATIO_EPS_TTM</stp>
        <stp>3</stp>
        <stp>002648</stp>
        <stp>12/31/2018</stp>
        <stp>1</stp>
        <tr r="U309" s="1"/>
      </tp>
      <tp>
        <v>-0.44498067532156743</v>
        <stp/>
        <stp>EM_S_RATIO_EPS_TTM</stp>
        <stp>3</stp>
        <stp>002848</stp>
        <stp>12/31/2018</stp>
        <stp>1</stp>
        <tr r="U1699" s="1"/>
      </tp>
      <tp>
        <v>0.65670706326562989</v>
        <stp/>
        <stp>EM_S_RATIO_EPS_TTM</stp>
        <stp>3</stp>
        <stp>601128</stp>
        <stp>12/31/2018</stp>
        <stp>1</stp>
        <tr r="U693" s="1"/>
      </tp>
      <tp>
        <v>2.7943108129673794E-2</v>
        <stp/>
        <stp>EM_S_RATIO_EPS_TTM</stp>
        <stp>3</stp>
        <stp>601028</stp>
        <stp>12/31/2018</stp>
        <stp>1</stp>
        <tr r="U1709" s="1"/>
      </tp>
      <tp>
        <v>0.9914798893929031</v>
        <stp/>
        <stp>EM_S_RATIO_EPS_TTM</stp>
        <stp>3</stp>
        <stp>601328</stp>
        <stp>12/31/2018</stp>
        <stp>1</stp>
        <tr r="U2457" s="1"/>
      </tp>
      <tp>
        <v>0.11604783008083085</v>
        <stp/>
        <stp>EM_S_RATIO_EPS_TTM</stp>
        <stp>3</stp>
        <stp>601228</stp>
        <stp>12/31/2018</stp>
        <stp>1</stp>
        <tr r="U2498" s="1"/>
      </tp>
      <tp>
        <v>0.40315297824619079</v>
        <stp/>
        <stp>EM_S_RATIO_EPS_TTM</stp>
        <stp>3</stp>
        <stp>601628</stp>
        <stp>12/31/2018</stp>
        <stp>1</stp>
        <tr r="U308" s="1"/>
      </tp>
      <tp>
        <v>0.52060813929427485</v>
        <stp/>
        <stp>EM_S_RATIO_EPS_TTM</stp>
        <stp>3</stp>
        <stp>601928</stp>
        <stp>12/31/2018</stp>
        <stp>1</stp>
        <tr r="U2548" s="1"/>
      </tp>
      <tp>
        <v>1.2612426035098592</v>
        <stp/>
        <stp>EM_S_RATIO_EPS_TTM</stp>
        <stp>3</stp>
        <stp>601828</stp>
        <stp>12/31/2018</stp>
        <stp>1</stp>
        <tr r="U2154" s="1"/>
      </tp>
      <tp>
        <v>0.27209581557080531</v>
        <stp/>
        <stp>EM_S_RATIO_EPS_TTM</stp>
        <stp>3</stp>
        <stp>300178</stp>
        <stp>12/31/2018</stp>
        <stp>1</stp>
        <tr r="U3346" s="1"/>
      </tp>
      <tp>
        <v>-0.28437228464040037</v>
        <stp/>
        <stp>EM_S_RATIO_EPS_TTM</stp>
        <stp>3</stp>
        <stp>600128</stp>
        <stp>12/31/2018</stp>
        <stp>1</stp>
        <tr r="U2583" s="1"/>
      </tp>
      <tp>
        <v>1.1193194725428743</v>
        <stp/>
        <stp>EM_S_RATIO_EPS_TTM</stp>
        <stp>3</stp>
        <stp>000048</stp>
        <stp>12/31/2018</stp>
        <stp>1</stp>
        <tr r="U1177" s="1"/>
      </tp>
      <tp>
        <v>0.17759030876280271</v>
        <stp/>
        <stp>EM_S_RATIO_EPS_TTM</stp>
        <stp>3</stp>
        <stp>300078</stp>
        <stp>12/31/2018</stp>
        <stp>1</stp>
        <tr r="U1234" s="1"/>
      </tp>
      <tp>
        <v>0.52109002779823432</v>
        <stp/>
        <stp>EM_S_RATIO_EPS_TTM</stp>
        <stp>3</stp>
        <stp>600028</stp>
        <stp>12/31/2018</stp>
        <stp>1</stp>
        <tr r="U2245" s="1"/>
      </tp>
      <tp>
        <v>0.29939023063232406</v>
        <stp/>
        <stp>EM_S_RATIO_EPS_TTM</stp>
        <stp>3</stp>
        <stp>300378</stp>
        <stp>12/31/2018</stp>
        <stp>1</stp>
        <tr r="U552" s="1"/>
      </tp>
      <tp>
        <v>0.61082909933195539</v>
        <stp/>
        <stp>EM_S_RATIO_EPS_TTM</stp>
        <stp>3</stp>
        <stp>600328</stp>
        <stp>12/31/2018</stp>
        <stp>1</stp>
        <tr r="U1295" s="1"/>
      </tp>
      <tp>
        <v>4.0507245779630052E-2</v>
        <stp/>
        <stp>EM_S_RATIO_EPS_TTM</stp>
        <stp>3</stp>
        <stp>300278</stp>
        <stp>12/31/2018</stp>
        <stp>1</stp>
        <tr r="U3145" s="1"/>
      </tp>
      <tp>
        <v>3.3209422882479696E-2</v>
        <stp/>
        <stp>EM_S_RATIO_EPS_TTM</stp>
        <stp>3</stp>
        <stp>600228</stp>
        <stp>12/31/2018</stp>
        <stp>1</stp>
        <tr r="U3169" s="1"/>
      </tp>
      <tp>
        <v>8.0611140499314032E-2</v>
        <stp/>
        <stp>EM_S_RATIO_EPS_TTM</stp>
        <stp>3</stp>
        <stp>000548</stp>
        <stp>12/31/2018</stp>
        <stp>1</stp>
        <tr r="U3450" s="1"/>
      </tp>
      <tp>
        <v>0.12182396136841835</v>
        <stp/>
        <stp>EM_S_RATIO_EPS_TTM</stp>
        <stp>3</stp>
        <stp>300578</stp>
        <stp>12/31/2018</stp>
        <stp>1</stp>
        <tr r="U543" s="1"/>
      </tp>
      <tp>
        <v>0.6665524791315357</v>
        <stp/>
        <stp>EM_S_RATIO_EPS_TTM</stp>
        <stp>3</stp>
        <stp>600528</stp>
        <stp>12/31/2018</stp>
        <stp>1</stp>
        <tr r="U2069" s="1"/>
      </tp>
      <tp>
        <v>0.16719859741223464</v>
        <stp/>
        <stp>EM_S_RATIO_EPS_TTM</stp>
        <stp>3</stp>
        <stp>300478</stp>
        <stp>12/31/2018</stp>
        <stp>1</stp>
        <tr r="U3004" s="1"/>
      </tp>
      <tp>
        <v>4.0093413727425531E-2</v>
        <stp/>
        <stp>EM_S_RATIO_EPS_TTM</stp>
        <stp>3</stp>
        <stp>600428</stp>
        <stp>12/31/2018</stp>
        <stp>1</stp>
        <tr r="U1477" s="1"/>
      </tp>
      <tp>
        <v>0.19588051456448946</v>
        <stp/>
        <stp>EM_S_RATIO_EPS_TTM</stp>
        <stp>3</stp>
        <stp>000748</stp>
        <stp>12/31/2018</stp>
        <stp>1</stp>
        <tr r="U3525" s="1"/>
      </tp>
      <tp>
        <v>0.16192988986630238</v>
        <stp/>
        <stp>EM_S_RATIO_EPS_TTM</stp>
        <stp>3</stp>
        <stp>600728</stp>
        <stp>12/31/2018</stp>
        <stp>1</stp>
        <tr r="U794" s="1"/>
      </tp>
      <tp>
        <v>0.2600399986111111</v>
        <stp/>
        <stp>EM_S_RATIO_EPS_TTM</stp>
        <stp>3</stp>
        <stp>300678</stp>
        <stp>12/31/2018</stp>
        <stp>1</stp>
        <tr r="U1418" s="1"/>
      </tp>
      <tp>
        <v>0.42180600421487052</v>
        <stp/>
        <stp>EM_S_RATIO_EPS_TTM</stp>
        <stp>3</stp>
        <stp>600628</stp>
        <stp>12/31/2018</stp>
        <stp>1</stp>
        <tr r="U603" s="1"/>
      </tp>
      <tp>
        <v>0.30320164328006782</v>
        <stp/>
        <stp>EM_S_RATIO_EPS_TTM</stp>
        <stp>3</stp>
        <stp>000948</stp>
        <stp>12/31/2018</stp>
        <stp>1</stp>
        <tr r="U1716" s="1"/>
      </tp>
      <tp>
        <v>0.42210611703371559</v>
        <stp/>
        <stp>EM_S_RATIO_EPS_TTM</stp>
        <stp>3</stp>
        <stp>000848</stp>
        <stp>12/31/2018</stp>
        <stp>1</stp>
        <tr r="U2428" s="1"/>
      </tp>
      <tp>
        <v>0.69546941571199872</v>
        <stp/>
        <stp>EM_S_RATIO_EPS_TTM</stp>
        <stp>3</stp>
        <stp>600828</stp>
        <stp>12/31/2018</stp>
        <stp>1</stp>
        <tr r="U2265" s="1"/>
      </tp>
      <tp>
        <v>0.33214569846000003</v>
        <stp/>
        <stp>EM_S_FA_ASSETSTURN</stp>
        <stp>3</stp>
        <stp>601992</stp>
        <stp>12/31/2018</stp>
        <stp>1</stp>
        <tr r="K2099" s="1"/>
      </tp>
      <tp>
        <v>0.88721783042799995</v>
        <stp/>
        <stp>EM_S_FA_ASSETSTURN</stp>
        <stp>3</stp>
        <stp>600992</stp>
        <stp>12/31/2018</stp>
        <stp>1</stp>
        <tr r="K2383" s="1"/>
      </tp>
      <tp>
        <v>9.6635096719999994E-2</v>
        <stp/>
        <stp>EM_S_FA_ASSETSTURN</stp>
        <stp>3</stp>
        <stp>600892</stp>
        <stp>12/31/2018</stp>
        <stp>1</stp>
        <tr r="K3227" s="1"/>
      </tp>
      <tp>
        <v>0.72649008330700005</v>
        <stp/>
        <stp>EM_S_FA_ASSETSTURN</stp>
        <stp>3</stp>
        <stp>600392</stp>
        <stp>12/31/2018</stp>
        <stp>1</stp>
        <tr r="K1949" s="1"/>
      </tp>
      <tp>
        <v>0.41053072087699999</v>
        <stp/>
        <stp>EM_S_FA_ASSETSTURN</stp>
        <stp>3</stp>
        <stp>600292</stp>
        <stp>12/31/2018</stp>
        <stp>1</stp>
        <tr r="K1533" s="1"/>
      </tp>
      <tp>
        <v>0.38156686980400001</v>
        <stp/>
        <stp>EM_S_FA_ASSETSTURN</stp>
        <stp>3</stp>
        <stp>600192</stp>
        <stp>12/31/2018</stp>
        <stp>1</stp>
        <tr r="K1193" s="1"/>
      </tp>
      <tp>
        <v>5.4568437779999998E-3</v>
        <stp/>
        <stp>EM_S_FA_ASSETSTURN</stp>
        <stp>3</stp>
        <stp>600092</stp>
        <stp>12/31/2018</stp>
        <stp>1</stp>
        <tr r="K2291" s="1"/>
      </tp>
      <tp>
        <v>1.0160616492050001</v>
        <stp/>
        <stp>EM_S_FA_ASSETSTURN</stp>
        <stp>3</stp>
        <stp>600792</stp>
        <stp>12/31/2018</stp>
        <stp>1</stp>
        <tr r="K952" s="1"/>
      </tp>
      <tp>
        <v>0.36446947960699999</v>
        <stp/>
        <stp>EM_S_FA_ASSETSTURN</stp>
        <stp>3</stp>
        <stp>600692</stp>
        <stp>12/31/2018</stp>
        <stp>1</stp>
        <tr r="K2781" s="1"/>
      </tp>
      <tp>
        <v>0.37492346101500001</v>
        <stp/>
        <stp>EM_S_FA_ASSETSTURN</stp>
        <stp>3</stp>
        <stp>600592</stp>
        <stp>12/31/2018</stp>
        <stp>1</stp>
        <tr r="K53" s="1"/>
      </tp>
      <tp>
        <v>0.40088452005239916</v>
        <stp/>
        <stp>EM_S_RATIO_EPS_TTM</stp>
        <stp>3</stp>
        <stp>603025</stp>
        <stp>12/31/2018</stp>
        <stp>1</stp>
        <tr r="U2951" s="1"/>
      </tp>
      <tp>
        <v>1.6884590550179515</v>
        <stp/>
        <stp>EM_S_RATIO_EPS_TTM</stp>
        <stp>3</stp>
        <stp>603225</stp>
        <stp>12/31/2018</stp>
        <stp>1</stp>
        <tr r="U3262" s="1"/>
      </tp>
      <tp>
        <v>0.33403317316607584</v>
        <stp/>
        <stp>EM_S_RATIO_EPS_TTM</stp>
        <stp>3</stp>
        <stp>603725</stp>
        <stp>12/31/2018</stp>
        <stp>1</stp>
        <tr r="U3230" s="1"/>
      </tp>
      <tp>
        <v>0.55783290172165323</v>
        <stp/>
        <stp>EM_S_RATIO_EPS_TTM</stp>
        <stp>3</stp>
        <stp>603825</stp>
        <stp>12/31/2018</stp>
        <stp>1</stp>
        <tr r="U901" s="1"/>
      </tp>
      <tp>
        <v>0.25328806421768801</v>
        <stp/>
        <stp>EM_S_RATIO_EPS_TTM</stp>
        <stp>3</stp>
        <stp>002145</stp>
        <stp>12/31/2018</stp>
        <stp>1</stp>
        <tr r="U805" s="1"/>
      </tp>
      <tp>
        <v>-0.46768775340070229</v>
        <stp/>
        <stp>EM_S_RATIO_EPS_TTM</stp>
        <stp>3</stp>
        <stp>002045</stp>
        <stp>12/31/2018</stp>
        <stp>1</stp>
        <tr r="U63" s="1"/>
      </tp>
      <tp>
        <v>7.8466845661356505E-2</v>
        <stp/>
        <stp>EM_S_RATIO_EPS_TTM</stp>
        <stp>3</stp>
        <stp>002345</stp>
        <stp>12/31/2018</stp>
        <stp>1</stp>
        <tr r="U2799" s="1"/>
      </tp>
      <tp>
        <v>0.22865081439130716</v>
        <stp/>
        <stp>EM_S_RATIO_EPS_TTM</stp>
        <stp>3</stp>
        <stp>002245</stp>
        <stp>12/31/2018</stp>
        <stp>1</stp>
        <tr r="U2022" s="1"/>
      </tp>
      <tp>
        <v>0.35371762275916208</v>
        <stp/>
        <stp>EM_S_RATIO_EPS_TTM</stp>
        <stp>3</stp>
        <stp>002545</stp>
        <stp>12/31/2018</stp>
        <stp>1</stp>
        <tr r="U996" s="1"/>
      </tp>
      <tp>
        <v>-1.4912535116945613</v>
        <stp/>
        <stp>EM_S_RATIO_EPS_TTM</stp>
        <stp>3</stp>
        <stp>002445</stp>
        <stp>12/31/2018</stp>
        <stp>1</stp>
        <tr r="U3228" s="1"/>
      </tp>
      <tp>
        <v>0.56403241262112525</v>
        <stp/>
        <stp>EM_S_RATIO_EPS_TTM</stp>
        <stp>3</stp>
        <stp>002745</stp>
        <stp>12/31/2018</stp>
        <stp>1</stp>
        <tr r="U1165" s="1"/>
      </tp>
      <tp>
        <v>0.44114420990316228</v>
        <stp/>
        <stp>EM_S_RATIO_EPS_TTM</stp>
        <stp>3</stp>
        <stp>002645</stp>
        <stp>12/31/2018</stp>
        <stp>1</stp>
        <tr r="U1368" s="1"/>
      </tp>
      <tp>
        <v>0.48368946223673387</v>
        <stp/>
        <stp>EM_S_RATIO_EPS_TTM</stp>
        <stp>3</stp>
        <stp>002845</stp>
        <stp>12/31/2018</stp>
        <stp>1</stp>
        <tr r="U1899" s="1"/>
      </tp>
      <tp>
        <v>1.099282977413</v>
        <stp/>
        <stp>EM_S_RATIO_EPS_TTM</stp>
        <stp>3</stp>
        <stp>601225</stp>
        <stp>12/31/2018</stp>
        <stp>1</stp>
        <tr r="U1210" s="1"/>
      </tp>
      <tp>
        <v>0.12421553088360238</v>
        <stp/>
        <stp>EM_S_RATIO_EPS_TTM</stp>
        <stp>3</stp>
        <stp>300175</stp>
        <stp>12/31/2018</stp>
        <stp>1</stp>
        <tr r="U630" s="1"/>
      </tp>
      <tp>
        <v>0.3890551084937241</v>
        <stp/>
        <stp>EM_S_RATIO_EPS_TTM</stp>
        <stp>3</stp>
        <stp>600125</stp>
        <stp>12/31/2018</stp>
        <stp>1</stp>
        <tr r="U2904" s="1"/>
      </tp>
      <tp>
        <v>-4.4947754497167036E-2</v>
        <stp/>
        <stp>EM_S_RATIO_EPS_TTM</stp>
        <stp>3</stp>
        <stp>000045</stp>
        <stp>12/31/2018</stp>
        <stp>1</stp>
        <tr r="U967" s="1"/>
      </tp>
      <tp>
        <v>0.27616138253275391</v>
        <stp/>
        <stp>EM_S_RATIO_EPS_TTM</stp>
        <stp>3</stp>
        <stp>300075</stp>
        <stp>12/31/2018</stp>
        <stp>1</stp>
        <tr r="U2077" s="1"/>
      </tp>
      <tp>
        <v>0.32237394198000002</v>
        <stp/>
        <stp>EM_S_RATIO_EPS_TTM</stp>
        <stp>3</stp>
        <stp>600025</stp>
        <stp>12/31/2018</stp>
        <stp>1</stp>
        <tr r="U835" s="1"/>
      </tp>
      <tp>
        <v>0.32889971736099666</v>
        <stp/>
        <stp>EM_S_RATIO_EPS_TTM</stp>
        <stp>3</stp>
        <stp>300375</stp>
        <stp>12/31/2018</stp>
        <stp>1</stp>
        <tr r="U3267" s="1"/>
      </tp>
      <tp>
        <v>1.0785714515693745</v>
        <stp/>
        <stp>EM_S_RATIO_EPS_TTM</stp>
        <stp>3</stp>
        <stp>600325</stp>
        <stp>12/31/2018</stp>
        <stp>1</stp>
        <tr r="U1081" s="1"/>
      </tp>
      <tp>
        <v>-0.36298956658306752</v>
        <stp/>
        <stp>EM_S_RATIO_EPS_TTM</stp>
        <stp>3</stp>
        <stp>300275</stp>
        <stp>12/31/2018</stp>
        <stp>1</stp>
        <tr r="U386" s="1"/>
      </tp>
      <tp>
        <v>-0.41362227527579148</v>
        <stp/>
        <stp>EM_S_RATIO_EPS_TTM</stp>
        <stp>3</stp>
        <stp>600225</stp>
        <stp>12/31/2018</stp>
        <stp>1</stp>
        <tr r="U2872" s="1"/>
      </tp>
      <tp>
        <v>0.1034064860548617</v>
        <stp/>
        <stp>EM_S_RATIO_EPS_TTM</stp>
        <stp>3</stp>
        <stp>000545</stp>
        <stp>12/31/2018</stp>
        <stp>1</stp>
        <tr r="U2486" s="1"/>
      </tp>
      <tp>
        <v>2.851513820722563</v>
        <stp/>
        <stp>EM_S_RATIO_EPS_TTM</stp>
        <stp>3</stp>
        <stp>300575</stp>
        <stp>12/31/2018</stp>
        <stp>1</stp>
        <tr r="U3269" s="1"/>
      </tp>
      <tp>
        <v>8.429736293209654E-2</v>
        <stp/>
        <stp>EM_S_RATIO_EPS_TTM</stp>
        <stp>3</stp>
        <stp>600525</stp>
        <stp>12/31/2018</stp>
        <stp>1</stp>
        <tr r="U831" s="1"/>
      </tp>
      <tp>
        <v>0.1670731909</v>
        <stp/>
        <stp>EM_S_RATIO_EPS_TTM</stp>
        <stp>3</stp>
        <stp>300475</stp>
        <stp>12/31/2018</stp>
        <stp>1</stp>
        <tr r="U864" s="1"/>
      </tp>
      <tp>
        <v>0.26488618675054787</v>
        <stp/>
        <stp>EM_S_RATIO_EPS_TTM</stp>
        <stp>3</stp>
        <stp>600425</stp>
        <stp>12/31/2018</stp>
        <stp>1</stp>
        <tr r="U935" s="1"/>
      </tp>
      <tp>
        <v>1.0554205408650919E-2</v>
        <stp/>
        <stp>EM_S_RATIO_EPS_TTM</stp>
        <stp>3</stp>
        <stp>600725</stp>
        <stp>12/31/2018</stp>
        <stp>1</stp>
        <tr r="U1728" s="1"/>
      </tp>
      <tp>
        <v>0.2361188509729884</v>
        <stp/>
        <stp>EM_S_RATIO_EPS_TTM</stp>
        <stp>3</stp>
        <stp>300675</stp>
        <stp>12/31/2018</stp>
        <stp>1</stp>
        <tr r="U3339" s="1"/>
      </tp>
      <tp>
        <v>3.9889807149715954E-3</v>
        <stp/>
        <stp>EM_S_RATIO_EPS_TTM</stp>
        <stp>3</stp>
        <stp>600625</stp>
        <stp>12/31/2018</stp>
        <stp>1</stp>
        <tr r="U2307" s="1"/>
      </tp>
      <tp>
        <v>3.0295863283317917E-2</v>
        <stp/>
        <stp>EM_S_RATIO_EPS_TTM</stp>
        <stp>3</stp>
        <stp>600825</stp>
        <stp>12/31/2018</stp>
        <stp>1</stp>
        <tr r="U1333" s="1"/>
      </tp>
      <tp>
        <v>0.77370310359100003</v>
        <stp/>
        <stp>EM_S_FA_ASSETSTURN</stp>
        <stp>3</stp>
        <stp>600993</stp>
        <stp>12/31/2018</stp>
        <stp>1</stp>
        <tr r="K973" s="1"/>
      </tp>
      <tp>
        <v>0.43924679168699998</v>
        <stp/>
        <stp>EM_S_FA_ASSETSTURN</stp>
        <stp>3</stp>
        <stp>600893</stp>
        <stp>12/31/2018</stp>
        <stp>1</stp>
        <tr r="K2384" s="1"/>
      </tp>
      <tp>
        <v>0.17005180466399999</v>
        <stp/>
        <stp>EM_S_FA_ASSETSTURN</stp>
        <stp>3</stp>
        <stp>600393</stp>
        <stp>12/31/2018</stp>
        <stp>1</stp>
        <tr r="K815" s="1"/>
      </tp>
      <tp>
        <v>1.3304895766610001</v>
        <stp/>
        <stp>EM_S_FA_ASSETSTURN</stp>
        <stp>3</stp>
        <stp>600293</stp>
        <stp>12/31/2018</stp>
        <stp>1</stp>
        <tr r="K3052" s="1"/>
      </tp>
      <tp>
        <v>0.72269424811399996</v>
        <stp/>
        <stp>EM_S_FA_ASSETSTURN</stp>
        <stp>3</stp>
        <stp>600193</stp>
        <stp>12/31/2018</stp>
        <stp>1</stp>
        <tr r="K1171" s="1"/>
      </tp>
      <tp>
        <v>0.96606097746999997</v>
        <stp/>
        <stp>EM_S_FA_ASSETSTURN</stp>
        <stp>3</stp>
        <stp>600093</stp>
        <stp>12/31/2018</stp>
        <stp>1</stp>
        <tr r="K227" s="1"/>
      </tp>
      <tp>
        <v>0.35987401779200001</v>
        <stp/>
        <stp>EM_S_FA_ASSETSTURN</stp>
        <stp>3</stp>
        <stp>600793</stp>
        <stp>12/31/2018</stp>
        <stp>1</stp>
        <tr r="K1843" s="1"/>
      </tp>
      <tp>
        <v>0.39372975275799998</v>
        <stp/>
        <stp>EM_S_FA_ASSETSTURN</stp>
        <stp>3</stp>
        <stp>600693</stp>
        <stp>12/31/2018</stp>
        <stp>1</stp>
        <tr r="K2373" s="1"/>
      </tp>
      <tp>
        <v>0.234971709631</v>
        <stp/>
        <stp>EM_S_FA_ASSETSTURN</stp>
        <stp>3</stp>
        <stp>600593</stp>
        <stp>12/31/2018</stp>
        <stp>1</stp>
        <tr r="K387" s="1"/>
      </tp>
      <tp>
        <v>0.81647454371499995</v>
        <stp/>
        <stp>EM_S_FA_ASSETSTURN</stp>
        <stp>3</stp>
        <stp>600493</stp>
        <stp>12/31/2018</stp>
        <stp>1</stp>
        <tr r="K2813" s="1"/>
      </tp>
      <tp>
        <v>0.26086334168699998</v>
        <stp/>
        <stp>EM_S_FA_ASSETSTURN</stp>
        <stp>3</stp>
        <stp>603993</stp>
        <stp>12/31/2018</stp>
        <stp>1</stp>
        <tr r="K1415" s="1"/>
      </tp>
      <tp>
        <v>0.31865308372599999</v>
        <stp/>
        <stp>EM_S_FA_ASSETSTURN</stp>
        <stp>3</stp>
        <stp>603393</stp>
        <stp>12/31/2018</stp>
        <stp>1</stp>
        <tr r="K2735" s="1"/>
      </tp>
      <tp>
        <v>0.19521208393799999</v>
        <stp/>
        <stp>EM_S_FA_ASSETSTURN</stp>
        <stp>3</stp>
        <stp>603693</stp>
        <stp>12/31/2018</stp>
        <stp>1</stp>
        <tr r="K3179" s="1"/>
      </tp>
      <tp>
        <v>0.51395750879960267</v>
        <stp/>
        <stp>EM_S_RATIO_EPS_TTM</stp>
        <stp>3</stp>
        <stp>002144</stp>
        <stp>12/31/2018</stp>
        <stp>1</stp>
        <tr r="U2202" s="1"/>
      </tp>
      <tp>
        <v>0.26289627584717423</v>
        <stp/>
        <stp>EM_S_RATIO_EPS_TTM</stp>
        <stp>3</stp>
        <stp>002044</stp>
        <stp>12/31/2018</stp>
        <stp>1</stp>
        <tr r="U2450" s="1"/>
      </tp>
      <tp>
        <v>0.28393979098633759</v>
        <stp/>
        <stp>EM_S_RATIO_EPS_TTM</stp>
        <stp>3</stp>
        <stp>002344</stp>
        <stp>12/31/2018</stp>
        <stp>1</stp>
        <tr r="U2491" s="1"/>
      </tp>
      <tp>
        <v>0.39114169981063035</v>
        <stp/>
        <stp>EM_S_RATIO_EPS_TTM</stp>
        <stp>3</stp>
        <stp>002244</stp>
        <stp>12/31/2018</stp>
        <stp>1</stp>
        <tr r="U1120" s="1"/>
      </tp>
      <tp>
        <v>2.4127613461666475E-2</v>
        <stp/>
        <stp>EM_S_RATIO_EPS_TTM</stp>
        <stp>3</stp>
        <stp>002544</stp>
        <stp>12/31/2018</stp>
        <stp>1</stp>
        <tr r="U1046" s="1"/>
      </tp>
      <tp>
        <v>0.66682261588655334</v>
        <stp/>
        <stp>EM_S_RATIO_EPS_TTM</stp>
        <stp>3</stp>
        <stp>002444</stp>
        <stp>12/31/2018</stp>
        <stp>1</stp>
        <tr r="U1624" s="1"/>
      </tp>
      <tp>
        <v>0.1454569357709774</v>
        <stp/>
        <stp>EM_S_RATIO_EPS_TTM</stp>
        <stp>3</stp>
        <stp>002644</stp>
        <stp>12/31/2018</stp>
        <stp>1</stp>
        <tr r="U2710" s="1"/>
      </tp>
      <tp>
        <v>0.33756401960784316</v>
        <stp/>
        <stp>EM_S_RATIO_EPS_TTM</stp>
        <stp>3</stp>
        <stp>300174</stp>
        <stp>12/31/2018</stp>
        <stp>1</stp>
        <tr r="U701" s="1"/>
      </tp>
      <tp>
        <v>2.7347305279473155E-2</v>
        <stp/>
        <stp>EM_S_RATIO_EPS_TTM</stp>
        <stp>3</stp>
        <stp>300074</stp>
        <stp>12/31/2018</stp>
        <stp>1</stp>
        <tr r="U1462" s="1"/>
      </tp>
      <tp>
        <v>0.28822825956877474</v>
        <stp/>
        <stp>EM_S_RATIO_EPS_TTM</stp>
        <stp>3</stp>
        <stp>300374</stp>
        <stp>12/31/2018</stp>
        <stp>1</stp>
        <tr r="U2349" s="1"/>
      </tp>
      <tp>
        <v>0.55778202968955992</v>
        <stp/>
        <stp>EM_S_RATIO_EPS_TTM</stp>
        <stp>3</stp>
        <stp>300274</stp>
        <stp>12/31/2018</stp>
        <stp>1</stp>
        <tr r="U1283" s="1"/>
      </tp>
      <tp>
        <v>0.42508366534094261</v>
        <stp/>
        <stp>EM_S_RATIO_EPS_TTM</stp>
        <stp>3</stp>
        <stp>000544</stp>
        <stp>12/31/2018</stp>
        <stp>1</stp>
        <tr r="U1160" s="1"/>
      </tp>
      <tp>
        <v>0.47207884076374851</v>
        <stp/>
        <stp>EM_S_RATIO_EPS_TTM</stp>
        <stp>3</stp>
        <stp>300474</stp>
        <stp>12/31/2018</stp>
        <stp>1</stp>
        <tr r="U392" s="1"/>
      </tp>
      <tp>
        <v>0.5170203345265989</v>
        <stp/>
        <stp>EM_S_RATIO_EPS_TTM</stp>
        <stp>3</stp>
        <stp>600724</stp>
        <stp>12/31/2018</stp>
        <stp>1</stp>
        <tr r="U1617" s="1"/>
      </tp>
      <tp>
        <v>6.2487070031092343E-2</v>
        <stp/>
        <stp>EM_S_RATIO_EPS_TTM</stp>
        <stp>3</stp>
        <stp>600624</stp>
        <stp>12/31/2018</stp>
        <stp>1</stp>
        <tr r="U437" s="1"/>
      </tp>
      <tp>
        <v>0.10389122375037894</v>
        <stp/>
        <stp>EM_S_RATIO_EPS_TTM</stp>
        <stp>3</stp>
        <stp>600824</stp>
        <stp>12/31/2018</stp>
        <stp>1</stp>
        <tr r="U2064" s="1"/>
      </tp>
      <tp>
        <v>0</v>
        <stp/>
        <stp>EM_S_FA_ASSETSTURN</stp>
        <stp>3</stp>
        <stp>601990</stp>
        <stp>12/31/2018</stp>
        <stp>1</stp>
        <tr r="K632" s="1"/>
      </tp>
      <tp>
        <v>0.273699590572</v>
        <stp/>
        <stp>EM_S_FA_ASSETSTURN</stp>
        <stp>3</stp>
        <stp>601890</stp>
        <stp>12/31/2018</stp>
        <stp>1</stp>
        <tr r="K410" s="1"/>
      </tp>
      <tp>
        <v>0.82880346362000001</v>
        <stp/>
        <stp>EM_S_FA_ASSETSTURN</stp>
        <stp>3</stp>
        <stp>601390</stp>
        <stp>12/31/2018</stp>
        <stp>1</stp>
        <tr r="K2944" s="1"/>
      </tp>
      <tp>
        <v>0.75492668717199995</v>
        <stp/>
        <stp>EM_S_FA_ASSETSTURN</stp>
        <stp>3</stp>
        <stp>600990</stp>
        <stp>12/31/2018</stp>
        <stp>1</stp>
        <tr r="K934" s="1"/>
      </tp>
      <tp>
        <v>4.0565007978999999E-2</v>
        <stp/>
        <stp>EM_S_FA_ASSETSTURN</stp>
        <stp>3</stp>
        <stp>600890</stp>
        <stp>12/31/2018</stp>
        <stp>1</stp>
        <tr r="K3134" s="1"/>
      </tp>
      <tp>
        <v>0.10826463448400001</v>
        <stp/>
        <stp>EM_S_FA_ASSETSTURN</stp>
        <stp>3</stp>
        <stp>600390</stp>
        <stp>12/31/2018</stp>
        <stp>1</stp>
        <tr r="K1389" s="1"/>
      </tp>
      <tp>
        <v>0.212451596209</v>
        <stp/>
        <stp>EM_S_FA_ASSETSTURN</stp>
        <stp>3</stp>
        <stp>600290</stp>
        <stp>12/31/2018</stp>
        <stp>1</stp>
        <tr r="K3277" s="1"/>
      </tp>
      <tp>
        <v>0.36920631997600001</v>
        <stp/>
        <stp>EM_S_FA_ASSETSTURN</stp>
        <stp>3</stp>
        <stp>600190</stp>
        <stp>12/31/2018</stp>
        <stp>1</stp>
        <tr r="K1541" s="1"/>
      </tp>
      <tp>
        <v>1.362293510692</v>
        <stp/>
        <stp>EM_S_FA_ASSETSTURN</stp>
        <stp>3</stp>
        <stp>600090</stp>
        <stp>12/31/2018</stp>
        <stp>1</stp>
        <tr r="K3138" s="1"/>
      </tp>
      <tp>
        <v>0.10281148088</v>
        <stp/>
        <stp>EM_S_FA_ASSETSTURN</stp>
        <stp>3</stp>
        <stp>600790</stp>
        <stp>12/31/2018</stp>
        <stp>1</stp>
        <tr r="K2647" s="1"/>
      </tp>
      <tp>
        <v>1.1523449241020001</v>
        <stp/>
        <stp>EM_S_FA_ASSETSTURN</stp>
        <stp>3</stp>
        <stp>600690</stp>
        <stp>12/31/2018</stp>
        <stp>1</stp>
        <tr r="K748" s="1"/>
      </tp>
      <tp>
        <v>0.51795556949699995</v>
        <stp/>
        <stp>EM_S_FA_ASSETSTURN</stp>
        <stp>3</stp>
        <stp>600590</stp>
        <stp>12/31/2018</stp>
        <stp>1</stp>
        <tr r="K1835" s="1"/>
      </tp>
      <tp>
        <v>1.759962180551</v>
        <stp/>
        <stp>EM_S_FA_ASSETSTURN</stp>
        <stp>3</stp>
        <stp>600490</stp>
        <stp>12/31/2018</stp>
        <stp>1</stp>
        <tr r="K2114" s="1"/>
      </tp>
      <tp>
        <v>0.42312068918200002</v>
        <stp/>
        <stp>EM_S_FA_ASSETSTURN</stp>
        <stp>3</stp>
        <stp>603990</stp>
        <stp>12/31/2018</stp>
        <stp>1</stp>
        <tr r="K2011" s="1"/>
      </tp>
      <tp>
        <v>0.74630794141199996</v>
        <stp/>
        <stp>EM_S_FA_ASSETSTURN</stp>
        <stp>3</stp>
        <stp>603890</stp>
        <stp>12/31/2018</stp>
        <stp>1</stp>
        <tr r="K2755" s="1"/>
      </tp>
      <tp>
        <v>0.65659533796299996</v>
        <stp/>
        <stp>EM_S_FA_ASSETSTURN</stp>
        <stp>3</stp>
        <stp>603090</stp>
        <stp>12/31/2018</stp>
        <stp>1</stp>
        <tr r="K1077" s="1"/>
      </tp>
      <tp>
        <v>0.549687741816</v>
        <stp/>
        <stp>EM_S_FA_ASSETSTURN</stp>
        <stp>3</stp>
        <stp>603690</stp>
        <stp>12/31/2018</stp>
        <stp>1</stp>
        <tr r="K133" s="1"/>
      </tp>
      <tp>
        <v>0.94211656912585462</v>
        <stp/>
        <stp>EM_S_RATIO_EPS_TTM</stp>
        <stp>3</stp>
        <stp>603127</stp>
        <stp>12/31/2018</stp>
        <stp>1</stp>
        <tr r="U1307" s="1"/>
      </tp>
      <tp>
        <v>0.73581117179178346</v>
        <stp/>
        <stp>EM_S_RATIO_EPS_TTM</stp>
        <stp>3</stp>
        <stp>603027</stp>
        <stp>12/31/2018</stp>
        <stp>1</stp>
        <tr r="U783" s="1"/>
      </tp>
      <tp>
        <v>7.8602386215272504E-2</v>
        <stp/>
        <stp>EM_S_RATIO_EPS_TTM</stp>
        <stp>3</stp>
        <stp>603227</stp>
        <stp>12/31/2018</stp>
        <stp>1</stp>
        <tr r="U1007" s="1"/>
      </tp>
      <tp>
        <v>0.5372295761368856</v>
        <stp/>
        <stp>EM_S_RATIO_EPS_TTM</stp>
        <stp>3</stp>
        <stp>603527</stp>
        <stp>12/31/2018</stp>
        <stp>1</stp>
        <tr r="U1518" s="1"/>
      </tp>
      <tp>
        <v>3.0548444809840057E-2</v>
        <stp/>
        <stp>EM_S_RATIO_EPS_TTM</stp>
        <stp>3</stp>
        <stp>603727</stp>
        <stp>12/31/2018</stp>
        <stp>1</stp>
        <tr r="U592" s="1"/>
      </tp>
      <tp>
        <v>-0.11620226233267168</v>
        <stp/>
        <stp>EM_S_RATIO_EPS_TTM</stp>
        <stp>3</stp>
        <stp>002147</stp>
        <stp>12/31/2018</stp>
        <stp>1</stp>
        <tr r="U3244" s="1"/>
      </tp>
      <tp>
        <v>0.21256266075481431</v>
        <stp/>
        <stp>EM_S_RATIO_EPS_TTM</stp>
        <stp>3</stp>
        <stp>002047</stp>
        <stp>12/31/2018</stp>
        <stp>1</stp>
        <tr r="U3616" s="1"/>
      </tp>
      <tp>
        <v>4.4642391033662486E-2</v>
        <stp/>
        <stp>EM_S_RATIO_EPS_TTM</stp>
        <stp>3</stp>
        <stp>002347</stp>
        <stp>12/31/2018</stp>
        <stp>1</stp>
        <tr r="U1192" s="1"/>
      </tp>
      <tp>
        <v>-3.4047791856638732</v>
        <stp/>
        <stp>EM_S_RATIO_EPS_TTM</stp>
        <stp>3</stp>
        <stp>002247</stp>
        <stp>12/31/2018</stp>
        <stp>1</stp>
        <tr r="U3301" s="1"/>
      </tp>
      <tp>
        <v>3.5456399059023577E-2</v>
        <stp/>
        <stp>EM_S_RATIO_EPS_TTM</stp>
        <stp>3</stp>
        <stp>002547</stp>
        <stp>12/31/2018</stp>
        <stp>1</stp>
        <tr r="U524" s="1"/>
      </tp>
      <tp>
        <v>-0.44542724770931474</v>
        <stp/>
        <stp>EM_S_RATIO_EPS_TTM</stp>
        <stp>3</stp>
        <stp>002447</stp>
        <stp>12/31/2018</stp>
        <stp>1</stp>
        <tr r="U1388" s="1"/>
      </tp>
      <tp>
        <v>0.12086414803866211</v>
        <stp/>
        <stp>EM_S_RATIO_EPS_TTM</stp>
        <stp>3</stp>
        <stp>002747</stp>
        <stp>12/31/2018</stp>
        <stp>1</stp>
        <tr r="U862" s="1"/>
      </tp>
      <tp>
        <v>9.463025813723748E-2</v>
        <stp/>
        <stp>EM_S_RATIO_EPS_TTM</stp>
        <stp>3</stp>
        <stp>002647</stp>
        <stp>12/31/2018</stp>
        <stp>1</stp>
        <tr r="U963" s="1"/>
      </tp>
      <tp>
        <v>0.56865589967741936</v>
        <stp/>
        <stp>EM_S_RATIO_EPS_TTM</stp>
        <stp>3</stp>
        <stp>002847</stp>
        <stp>12/31/2018</stp>
        <stp>1</stp>
        <tr r="U368" s="1"/>
      </tp>
      <tp>
        <v>0.1124915644419556</v>
        <stp/>
        <stp>EM_S_RATIO_EPS_TTM</stp>
        <stp>3</stp>
        <stp>601127</stp>
        <stp>12/31/2018</stp>
        <stp>1</stp>
        <tr r="U3258" s="1"/>
      </tp>
      <tp>
        <v>0.20485477746202185</v>
        <stp/>
        <stp>EM_S_RATIO_EPS_TTM</stp>
        <stp>3</stp>
        <stp>601727</stp>
        <stp>12/31/2018</stp>
        <stp>1</stp>
        <tr r="U2339" s="1"/>
      </tp>
      <tp>
        <v>0.21350611881852549</v>
        <stp/>
        <stp>EM_S_RATIO_EPS_TTM</stp>
        <stp>3</stp>
        <stp>300177</stp>
        <stp>12/31/2018</stp>
        <stp>1</stp>
        <tr r="U2865" s="1"/>
      </tp>
      <tp>
        <v>-8.2805248703153214E-2</v>
        <stp/>
        <stp>EM_S_RATIO_EPS_TTM</stp>
        <stp>3</stp>
        <stp>600127</stp>
        <stp>12/31/2018</stp>
        <stp>1</stp>
        <tr r="U762" s="1"/>
      </tp>
      <tp>
        <v>-2.8153489835545779E-2</v>
        <stp/>
        <stp>EM_S_RATIO_EPS_TTM</stp>
        <stp>3</stp>
        <stp>000047</stp>
        <stp>12/31/2018</stp>
        <stp>1</stp>
        <tr r="U2276" s="1"/>
      </tp>
      <tp>
        <v>-2.894935422612376</v>
        <stp/>
        <stp>EM_S_RATIO_EPS_TTM</stp>
        <stp>3</stp>
        <stp>300077</stp>
        <stp>12/31/2018</stp>
        <stp>1</stp>
        <tr r="U3056" s="1"/>
      </tp>
      <tp>
        <v>0.17189486091750156</v>
        <stp/>
        <stp>EM_S_RATIO_EPS_TTM</stp>
        <stp>3</stp>
        <stp>600027</stp>
        <stp>12/31/2018</stp>
        <stp>1</stp>
        <tr r="U3124" s="1"/>
      </tp>
      <tp>
        <v>0.23952691965442122</v>
        <stp/>
        <stp>EM_S_RATIO_EPS_TTM</stp>
        <stp>3</stp>
        <stp>300377</stp>
        <stp>12/31/2018</stp>
        <stp>1</stp>
        <tr r="U2142" s="1"/>
      </tp>
      <tp>
        <v>0.39946217238270199</v>
        <stp/>
        <stp>EM_S_RATIO_EPS_TTM</stp>
        <stp>3</stp>
        <stp>600327</stp>
        <stp>12/31/2018</stp>
        <stp>1</stp>
        <tr r="U2932" s="1"/>
      </tp>
      <tp>
        <v>2.3935095970149256E-2</v>
        <stp/>
        <stp>EM_S_RATIO_EPS_TTM</stp>
        <stp>3</stp>
        <stp>300277</stp>
        <stp>12/31/2018</stp>
        <stp>1</stp>
        <tr r="U492" s="1"/>
      </tp>
      <tp>
        <v>0.11755660889871777</v>
        <stp/>
        <stp>EM_S_RATIO_EPS_TTM</stp>
        <stp>3</stp>
        <stp>600227</stp>
        <stp>12/31/2018</stp>
        <stp>1</stp>
        <tr r="U2732" s="1"/>
      </tp>
      <tp>
        <v>0.2863807369097956</v>
        <stp/>
        <stp>EM_S_RATIO_EPS_TTM</stp>
        <stp>3</stp>
        <stp>000547</stp>
        <stp>12/31/2018</stp>
        <stp>1</stp>
        <tr r="U790" s="1"/>
      </tp>
      <tp>
        <v>0.79834948154228136</v>
        <stp/>
        <stp>EM_S_RATIO_EPS_TTM</stp>
        <stp>3</stp>
        <stp>300577</stp>
        <stp>12/31/2018</stp>
        <stp>1</stp>
        <tr r="U1691" s="1"/>
      </tp>
      <tp>
        <v>6.1267576047862524E-2</v>
        <stp/>
        <stp>EM_S_RATIO_EPS_TTM</stp>
        <stp>3</stp>
        <stp>600527</stp>
        <stp>12/31/2018</stp>
        <stp>1</stp>
        <tr r="U2084" s="1"/>
      </tp>
      <tp>
        <v>8.7674327961266257E-2</v>
        <stp/>
        <stp>EM_S_RATIO_EPS_TTM</stp>
        <stp>3</stp>
        <stp>300477</stp>
        <stp>12/31/2018</stp>
        <stp>1</stp>
        <tr r="U3020" s="1"/>
      </tp>
      <tp>
        <v>0.26802958114011455</v>
        <stp/>
        <stp>EM_S_RATIO_EPS_TTM</stp>
        <stp>3</stp>
        <stp>600727</stp>
        <stp>12/31/2018</stp>
        <stp>1</stp>
        <tr r="U964" s="1"/>
      </tp>
      <tp>
        <v>0.91281089334706667</v>
        <stp/>
        <stp>EM_S_RATIO_EPS_TTM</stp>
        <stp>3</stp>
        <stp>300677</stp>
        <stp>12/31/2018</stp>
        <stp>1</stp>
        <tr r="U1528" s="1"/>
      </tp>
      <tp>
        <v>0.95475876504983581</v>
        <stp/>
        <stp>EM_S_RATIO_EPS_TTM</stp>
        <stp>3</stp>
        <stp>600627</stp>
        <stp>12/31/2018</stp>
        <stp>1</stp>
        <tr r="U2308" s="1"/>
      </tp>
      <tp>
        <v>0.48879871924087298</v>
        <stp/>
        <stp>EM_S_RATIO_EPS_TTM</stp>
        <stp>3</stp>
        <stp>600827</stp>
        <stp>12/31/2018</stp>
        <stp>1</stp>
        <tr r="U1943" s="1"/>
      </tp>
      <tp>
        <v>0.356727951125</v>
        <stp/>
        <stp>EM_S_FA_ASSETSTURN</stp>
        <stp>3</stp>
        <stp>601991</stp>
        <stp>12/31/2018</stp>
        <stp>1</stp>
        <tr r="K3110" s="1"/>
      </tp>
      <tp>
        <v>0</v>
        <stp/>
        <stp>EM_S_FA_ASSETSTURN</stp>
        <stp>3</stp>
        <stp>600991</stp>
        <stp>12/31/2018</stp>
        <stp>1</stp>
        <tr r="K2334" s="1"/>
      </tp>
      <tp>
        <v>1.307424407414</v>
        <stp/>
        <stp>EM_S_FA_ASSETSTURN</stp>
        <stp>3</stp>
        <stp>600891</stp>
        <stp>12/31/2018</stp>
        <stp>1</stp>
        <tr r="K3403" s="1"/>
      </tp>
      <tp>
        <v>0.40437517719900001</v>
        <stp/>
        <stp>EM_S_FA_ASSETSTURN</stp>
        <stp>3</stp>
        <stp>600391</stp>
        <stp>12/31/2018</stp>
        <stp>1</stp>
        <tr r="K1045" s="1"/>
      </tp>
      <tp>
        <v>0</v>
        <stp/>
        <stp>EM_S_FA_ASSETSTURN</stp>
        <stp>3</stp>
        <stp>600291</stp>
        <stp>12/31/2018</stp>
        <stp>1</stp>
        <tr r="K2800" s="1"/>
      </tp>
      <tp>
        <v>2.8973531726E-2</v>
        <stp/>
        <stp>EM_S_FA_ASSETSTURN</stp>
        <stp>3</stp>
        <stp>600191</stp>
        <stp>12/31/2018</stp>
        <stp>1</stp>
        <tr r="K885" s="1"/>
      </tp>
      <tp>
        <v>4.7181253797999999E-2</v>
        <stp/>
        <stp>EM_S_FA_ASSETSTURN</stp>
        <stp>3</stp>
        <stp>600091</stp>
        <stp>12/31/2018</stp>
        <stp>1</stp>
        <tr r="K2402" s="1"/>
      </tp>
      <tp>
        <v>0.15545157735099999</v>
        <stp/>
        <stp>EM_S_FA_ASSETSTURN</stp>
        <stp>3</stp>
        <stp>600791</stp>
        <stp>12/31/2018</stp>
        <stp>1</stp>
        <tr r="K1982" s="1"/>
      </tp>
      <tp>
        <v>0.52211028246299995</v>
        <stp/>
        <stp>EM_S_FA_ASSETSTURN</stp>
        <stp>3</stp>
        <stp>600691</stp>
        <stp>12/31/2018</stp>
        <stp>1</stp>
        <tr r="K2883" s="1"/>
      </tp>
      <tp>
        <v>0</v>
        <stp/>
        <stp>EM_S_FA_ASSETSTURN</stp>
        <stp>3</stp>
        <stp>600591</stp>
        <stp>12/31/2018</stp>
        <stp>1</stp>
        <tr r="K2305" s="1"/>
      </tp>
      <tp>
        <v>0.45536505024899998</v>
        <stp/>
        <stp>EM_S_FA_ASSETSTURN</stp>
        <stp>3</stp>
        <stp>600491</stp>
        <stp>12/31/2018</stp>
        <stp>1</stp>
        <tr r="K1872" s="1"/>
      </tp>
      <tp>
        <v>0.788503863581</v>
        <stp/>
        <stp>EM_S_FA_ASSETSTURN</stp>
        <stp>3</stp>
        <stp>603991</stp>
        <stp>12/31/2018</stp>
        <stp>1</stp>
        <tr r="K2590" s="1"/>
      </tp>
      <tp>
        <v>0.21259073361179362</v>
        <stp/>
        <stp>EM_S_RATIO_EPS_TTM</stp>
        <stp>3</stp>
        <stp>603126</stp>
        <stp>12/31/2018</stp>
        <stp>1</stp>
        <tr r="U2549" s="1"/>
      </tp>
      <tp>
        <v>1.0133876612887309</v>
        <stp/>
        <stp>EM_S_RATIO_EPS_TTM</stp>
        <stp>3</stp>
        <stp>603026</stp>
        <stp>12/31/2018</stp>
        <stp>1</stp>
        <tr r="U220" s="1"/>
      </tp>
      <tp>
        <v>0.45060402196327648</v>
        <stp/>
        <stp>EM_S_RATIO_EPS_TTM</stp>
        <stp>3</stp>
        <stp>603326</stp>
        <stp>12/31/2018</stp>
        <stp>1</stp>
        <tr r="U798" s="1"/>
      </tp>
      <tp>
        <v>0.84828685762946987</v>
        <stp/>
        <stp>EM_S_RATIO_EPS_TTM</stp>
        <stp>3</stp>
        <stp>603226</stp>
        <stp>12/31/2018</stp>
        <stp>1</stp>
        <tr r="U1365" s="1"/>
      </tp>
      <tp>
        <v>0.84079287976592665</v>
        <stp/>
        <stp>EM_S_RATIO_EPS_TTM</stp>
        <stp>3</stp>
        <stp>603726</stp>
        <stp>12/31/2018</stp>
        <stp>1</stp>
        <tr r="U3291" s="1"/>
      </tp>
      <tp>
        <v>0.30002373943894656</v>
        <stp/>
        <stp>EM_S_RATIO_EPS_TTM</stp>
        <stp>3</stp>
        <stp>603626</stp>
        <stp>12/31/2018</stp>
        <stp>1</stp>
        <tr r="U770" s="1"/>
      </tp>
      <tp>
        <v>0.67452598576512457</v>
        <stp/>
        <stp>EM_S_RATIO_EPS_TTM</stp>
        <stp>3</stp>
        <stp>603926</stp>
        <stp>12/31/2018</stp>
        <stp>1</stp>
        <tr r="U2907" s="1"/>
      </tp>
      <tp>
        <v>0.38505693455128204</v>
        <stp/>
        <stp>EM_S_RATIO_EPS_TTM</stp>
        <stp>3</stp>
        <stp>603826</stp>
        <stp>12/31/2018</stp>
        <stp>1</stp>
        <tr r="U1431" s="1"/>
      </tp>
      <tp>
        <v>1.7397241168131867</v>
        <stp/>
        <stp>EM_S_RATIO_EPS_TTM</stp>
        <stp>3</stp>
        <stp>002146</stp>
        <stp>12/31/2018</stp>
        <stp>1</stp>
        <tr r="U1173" s="1"/>
      </tp>
      <tp>
        <v>4.3685886122603233E-2</v>
        <stp/>
        <stp>EM_S_RATIO_EPS_TTM</stp>
        <stp>3</stp>
        <stp>002046</stp>
        <stp>12/31/2018</stp>
        <stp>1</stp>
        <tr r="U1952" s="1"/>
      </tp>
      <tp>
        <v>0.13195404451592024</v>
        <stp/>
        <stp>EM_S_RATIO_EPS_TTM</stp>
        <stp>3</stp>
        <stp>002346</stp>
        <stp>12/31/2018</stp>
        <stp>1</stp>
        <tr r="U2763" s="1"/>
      </tp>
      <tp>
        <v>0.22526755222365744</v>
        <stp/>
        <stp>EM_S_RATIO_EPS_TTM</stp>
        <stp>3</stp>
        <stp>002246</stp>
        <stp>12/31/2018</stp>
        <stp>1</stp>
        <tr r="U1557" s="1"/>
      </tp>
      <tp>
        <v>0.18731420072182417</v>
        <stp/>
        <stp>EM_S_RATIO_EPS_TTM</stp>
        <stp>3</stp>
        <stp>002546</stp>
        <stp>12/31/2018</stp>
        <stp>1</stp>
        <tr r="U1763" s="1"/>
      </tp>
      <tp>
        <v>0.15894222007980841</v>
        <stp/>
        <stp>EM_S_RATIO_EPS_TTM</stp>
        <stp>3</stp>
        <stp>002446</stp>
        <stp>12/31/2018</stp>
        <stp>1</stp>
        <tr r="U1496" s="1"/>
      </tp>
      <tp>
        <v>1.3002970380189114</v>
        <stp/>
        <stp>EM_S_RATIO_EPS_TTM</stp>
        <stp>3</stp>
        <stp>002746</stp>
        <stp>12/31/2018</stp>
        <stp>1</stp>
        <tr r="U1580" s="1"/>
      </tp>
      <tp>
        <v>0.23905471862222222</v>
        <stp/>
        <stp>EM_S_RATIO_EPS_TTM</stp>
        <stp>3</stp>
        <stp>002646</stp>
        <stp>12/31/2018</stp>
        <stp>1</stp>
        <tr r="U2254" s="1"/>
      </tp>
      <tp>
        <v>0.21641211848140596</v>
        <stp/>
        <stp>EM_S_RATIO_EPS_TTM</stp>
        <stp>3</stp>
        <stp>002846</stp>
        <stp>12/31/2018</stp>
        <stp>1</stp>
        <tr r="U237" s="1"/>
      </tp>
      <tp>
        <v>0.26685270376992815</v>
        <stp/>
        <stp>EM_S_RATIO_EPS_TTM</stp>
        <stp>3</stp>
        <stp>601126</stp>
        <stp>12/31/2018</stp>
        <stp>1</stp>
        <tr r="U1793" s="1"/>
      </tp>
      <tp>
        <v>0.14501584420658437</v>
        <stp/>
        <stp>EM_S_RATIO_EPS_TTM</stp>
        <stp>3</stp>
        <stp>601326</stp>
        <stp>12/31/2018</stp>
        <stp>1</stp>
        <tr r="U2259" s="1"/>
      </tp>
      <tp>
        <v>4.9387634363636364E-2</v>
        <stp/>
        <stp>EM_S_RATIO_EPS_TTM</stp>
        <stp>3</stp>
        <stp>601226</stp>
        <stp>12/31/2018</stp>
        <stp>1</stp>
        <tr r="U1486" s="1"/>
      </tp>
      <tp>
        <v>0.95446321952960234</v>
        <stp/>
        <stp>EM_S_RATIO_EPS_TTM</stp>
        <stp>3</stp>
        <stp>300176</stp>
        <stp>12/31/2018</stp>
        <stp>1</stp>
        <tr r="U3402" s="1"/>
      </tp>
      <tp>
        <v>0.57375010338146348</v>
        <stp/>
        <stp>EM_S_RATIO_EPS_TTM</stp>
        <stp>3</stp>
        <stp>600126</stp>
        <stp>12/31/2018</stp>
        <stp>1</stp>
        <tr r="U1866" s="1"/>
      </tp>
      <tp>
        <v>0.17913844439112822</v>
        <stp/>
        <stp>EM_S_RATIO_EPS_TTM</stp>
        <stp>3</stp>
        <stp>000046</stp>
        <stp>12/31/2018</stp>
        <stp>1</stp>
        <tr r="U2270" s="1"/>
      </tp>
      <tp>
        <v>4.425851301886792E-2</v>
        <stp/>
        <stp>EM_S_RATIO_EPS_TTM</stp>
        <stp>3</stp>
        <stp>300076</stp>
        <stp>12/31/2018</stp>
        <stp>1</stp>
        <tr r="U594" s="1"/>
      </tp>
      <tp>
        <v>2.6074027755797105E-2</v>
        <stp/>
        <stp>EM_S_RATIO_EPS_TTM</stp>
        <stp>3</stp>
        <stp>600026</stp>
        <stp>12/31/2018</stp>
        <stp>1</stp>
        <tr r="U703" s="1"/>
      </tp>
      <tp>
        <v>0.24255061384534357</v>
        <stp/>
        <stp>EM_S_RATIO_EPS_TTM</stp>
        <stp>3</stp>
        <stp>300376</stp>
        <stp>12/31/2018</stp>
        <stp>1</stp>
        <tr r="U1822" s="1"/>
      </tp>
      <tp>
        <v>0.51949629678488241</v>
        <stp/>
        <stp>EM_S_RATIO_EPS_TTM</stp>
        <stp>3</stp>
        <stp>600326</stp>
        <stp>12/31/2018</stp>
        <stp>1</stp>
        <tr r="U1643" s="1"/>
      </tp>
      <tp>
        <v>0.4297089572856006</v>
        <stp/>
        <stp>EM_S_RATIO_EPS_TTM</stp>
        <stp>3</stp>
        <stp>300276</stp>
        <stp>12/31/2018</stp>
        <stp>1</stp>
        <tr r="U3092" s="1"/>
      </tp>
      <tp>
        <v>4.5153170125333798E-2</v>
        <stp/>
        <stp>EM_S_RATIO_EPS_TTM</stp>
        <stp>3</stp>
        <stp>600226</stp>
        <stp>12/31/2018</stp>
        <stp>1</stp>
        <tr r="U1718" s="1"/>
      </tp>
      <tp>
        <v>0.52420367005858393</v>
        <stp/>
        <stp>EM_S_RATIO_EPS_TTM</stp>
        <stp>3</stp>
        <stp>000546</stp>
        <stp>12/31/2018</stp>
        <stp>1</stp>
        <tr r="U1381" s="1"/>
      </tp>
      <tp>
        <v>0.35116441641666668</v>
        <stp/>
        <stp>EM_S_RATIO_EPS_TTM</stp>
        <stp>3</stp>
        <stp>300576</stp>
        <stp>12/31/2018</stp>
        <stp>1</stp>
        <tr r="U161" s="1"/>
      </tp>
      <tp>
        <v>-0.77031326522912835</v>
        <stp/>
        <stp>EM_S_RATIO_EPS_TTM</stp>
        <stp>3</stp>
        <stp>600526</stp>
        <stp>12/31/2018</stp>
        <stp>1</stp>
        <tr r="U1544" s="1"/>
      </tp>
      <tp>
        <v>0.49433262746173318</v>
        <stp/>
        <stp>EM_S_RATIO_EPS_TTM</stp>
        <stp>3</stp>
        <stp>300476</stp>
        <stp>12/31/2018</stp>
        <stp>1</stp>
        <tr r="U744" s="1"/>
      </tp>
      <tp>
        <v>1.8636039746477531</v>
        <stp/>
        <stp>EM_S_RATIO_EPS_TTM</stp>
        <stp>3</stp>
        <stp>600426</stp>
        <stp>12/31/2018</stp>
        <stp>1</stp>
        <tr r="U417" s="1"/>
      </tp>
      <tp>
        <v>-0.38739897277280544</v>
        <stp/>
        <stp>EM_S_RATIO_EPS_TTM</stp>
        <stp>3</stp>
        <stp>600726</stp>
        <stp>12/31/2018</stp>
        <stp>1</stp>
        <tr r="U3137" s="1"/>
      </tp>
      <tp>
        <v>0.96637219965008747</v>
        <stp/>
        <stp>EM_S_RATIO_EPS_TTM</stp>
        <stp>3</stp>
        <stp>300676</stp>
        <stp>12/31/2018</stp>
        <stp>1</stp>
        <tr r="U1637" s="1"/>
      </tp>
      <tp>
        <v>0.14690740874567354</v>
        <stp/>
        <stp>EM_S_RATIO_EPS_TTM</stp>
        <stp>3</stp>
        <stp>600626</stp>
        <stp>12/31/2018</stp>
        <stp>1</stp>
        <tr r="U1387" s="1"/>
      </tp>
      <tp>
        <v>1.0549455273212609</v>
        <stp/>
        <stp>EM_S_RATIO_EPS_TTM</stp>
        <stp>3</stp>
        <stp>600926</stp>
        <stp>12/31/2018</stp>
        <stp>1</stp>
        <tr r="U1142" s="1"/>
      </tp>
      <tp>
        <v>0.54426757651622504</v>
        <stp/>
        <stp>EM_S_RATIO_EPS_TTM</stp>
        <stp>3</stp>
        <stp>600826</stp>
        <stp>12/31/2018</stp>
        <stp>1</stp>
        <tr r="U1328" s="1"/>
      </tp>
      <tp>
        <v>0.52651098041199995</v>
        <stp/>
        <stp>EM_S_FA_ASSETSTURN</stp>
        <stp>3</stp>
        <stp>601996</stp>
        <stp>12/31/2018</stp>
        <stp>1</stp>
        <tr r="K2340" s="1"/>
      </tp>
      <tp>
        <v>0.30734464857400001</v>
        <stp/>
        <stp>EM_S_FA_ASSETSTURN</stp>
        <stp>3</stp>
        <stp>600996</stp>
        <stp>12/31/2018</stp>
        <stp>1</stp>
        <tr r="K1043" s="1"/>
      </tp>
      <tp>
        <v>1.6122085864000001E-2</v>
        <stp/>
        <stp>EM_S_FA_ASSETSTURN</stp>
        <stp>3</stp>
        <stp>600896</stp>
        <stp>12/31/2018</stp>
        <stp>1</stp>
        <tr r="K1511" s="1"/>
      </tp>
      <tp>
        <v>0.35303643025199999</v>
        <stp/>
        <stp>EM_S_FA_ASSETSTURN</stp>
        <stp>3</stp>
        <stp>600396</stp>
        <stp>12/31/2018</stp>
        <stp>1</stp>
        <tr r="K2422" s="1"/>
      </tp>
      <tp>
        <v>0</v>
        <stp/>
        <stp>EM_S_FA_ASSETSTURN</stp>
        <stp>3</stp>
        <stp>600296</stp>
        <stp>12/31/2018</stp>
        <stp>1</stp>
        <tr r="K2300" s="1"/>
      </tp>
      <tp>
        <v>0.37606139290500001</v>
        <stp/>
        <stp>EM_S_FA_ASSETSTURN</stp>
        <stp>3</stp>
        <stp>600196</stp>
        <stp>12/31/2018</stp>
        <stp>1</stp>
        <tr r="K1604" s="1"/>
      </tp>
      <tp>
        <v>0.80651513164300004</v>
        <stp/>
        <stp>EM_S_FA_ASSETSTURN</stp>
        <stp>3</stp>
        <stp>600096</stp>
        <stp>12/31/2018</stp>
        <stp>1</stp>
        <tr r="K2005" s="1"/>
      </tp>
      <tp>
        <v>0.44346811975099998</v>
        <stp/>
        <stp>EM_S_FA_ASSETSTURN</stp>
        <stp>3</stp>
        <stp>600796</stp>
        <stp>12/31/2018</stp>
        <stp>1</stp>
        <tr r="K1931" s="1"/>
      </tp>
      <tp>
        <v>1.793533443244</v>
        <stp/>
        <stp>EM_S_FA_ASSETSTURN</stp>
        <stp>3</stp>
        <stp>600696</stp>
        <stp>12/31/2018</stp>
        <stp>1</stp>
        <tr r="K71" s="1"/>
      </tp>
      <tp>
        <v>1.1479068059199999</v>
        <stp/>
        <stp>EM_S_FA_ASSETSTURN</stp>
        <stp>3</stp>
        <stp>600596</stp>
        <stp>12/31/2018</stp>
        <stp>1</stp>
        <tr r="K2764" s="1"/>
      </tp>
      <tp>
        <v>0.69411909209099998</v>
        <stp/>
        <stp>EM_S_FA_ASSETSTURN</stp>
        <stp>3</stp>
        <stp>600496</stp>
        <stp>12/31/2018</stp>
        <stp>1</stp>
        <tr r="K1831" s="1"/>
      </tp>
      <tp>
        <v>1.4590972255920001</v>
        <stp/>
        <stp>EM_S_FA_ASSETSTURN</stp>
        <stp>3</stp>
        <stp>603996</stp>
        <stp>12/31/2018</stp>
        <stp>1</stp>
        <tr r="K3243" s="1"/>
      </tp>
      <tp>
        <v>0.482986780896</v>
        <stp/>
        <stp>EM_S_FA_ASSETSTURN</stp>
        <stp>3</stp>
        <stp>603896</stp>
        <stp>12/31/2018</stp>
        <stp>1</stp>
        <tr r="K1605" s="1"/>
      </tp>
      <tp>
        <v>0.48021465374200001</v>
        <stp/>
        <stp>EM_S_FA_ASSETSTURN</stp>
        <stp>3</stp>
        <stp>603396</stp>
        <stp>12/31/2018</stp>
        <stp>1</stp>
        <tr r="K3014" s="1"/>
      </tp>
      <tp>
        <v>0.93647837583600002</v>
        <stp/>
        <stp>EM_S_FA_ASSETSTURN</stp>
        <stp>3</stp>
        <stp>603196</stp>
        <stp>12/31/2018</stp>
        <stp>1</stp>
        <tr r="K3158" s="1"/>
      </tp>
      <tp>
        <v>0.49155276989399999</v>
        <stp/>
        <stp>EM_S_FA_ASSETSTURN</stp>
        <stp>3</stp>
        <stp>603096</stp>
        <stp>12/31/2018</stp>
        <stp>1</stp>
        <tr r="K2758" s="1"/>
      </tp>
      <tp>
        <v>0.46422943439100001</v>
        <stp/>
        <stp>EM_S_FA_ASSETSTURN</stp>
        <stp>3</stp>
        <stp>603696</stp>
        <stp>12/31/2018</stp>
        <stp>1</stp>
        <tr r="K2853" s="1"/>
      </tp>
      <tp>
        <v>0.81917214487000001</v>
        <stp/>
        <stp>EM_S_FA_ASSETSTURN</stp>
        <stp>3</stp>
        <stp>603596</stp>
        <stp>12/31/2018</stp>
        <stp>1</stp>
        <tr r="K2425" s="1"/>
      </tp>
      <tp>
        <v>0.51253466658900004</v>
        <stp/>
        <stp>EM_S_FA_ASSETSTURN</stp>
        <stp>3</stp>
        <stp>603496</stp>
        <stp>12/31/2018</stp>
        <stp>1</stp>
        <tr r="K2724" s="1"/>
      </tp>
      <tp>
        <v>6.1721777474700812E-2</v>
        <stp/>
        <stp>EM_S_RATIO_EPS_TTM</stp>
        <stp>3</stp>
        <stp>603021</stp>
        <stp>12/31/2018</stp>
        <stp>1</stp>
        <tr r="U717" s="1"/>
      </tp>
      <tp>
        <v>0.16332892700325735</v>
        <stp/>
        <stp>EM_S_RATIO_EPS_TTM</stp>
        <stp>3</stp>
        <stp>603321</stp>
        <stp>12/31/2018</stp>
        <stp>1</stp>
        <tr r="U1483" s="1"/>
      </tp>
      <tp>
        <v>0.45027426382047808</v>
        <stp/>
        <stp>EM_S_RATIO_EPS_TTM</stp>
        <stp>3</stp>
        <stp>603421</stp>
        <stp>12/31/2018</stp>
        <stp>1</stp>
        <tr r="U3047" s="1"/>
      </tp>
      <tp>
        <v>0.2738368377</v>
        <stp/>
        <stp>EM_S_RATIO_EPS_TTM</stp>
        <stp>3</stp>
        <stp>603721</stp>
        <stp>12/31/2018</stp>
        <stp>1</stp>
        <tr r="U277" s="1"/>
      </tp>
      <tp>
        <v>6.20472605771897E-3</v>
        <stp/>
        <stp>EM_S_RATIO_EPS_TTM</stp>
        <stp>3</stp>
        <stp>002141</stp>
        <stp>12/31/2018</stp>
        <stp>1</stp>
        <tr r="U2946" s="1"/>
      </tp>
      <tp>
        <v>3.6966885329545451E-2</v>
        <stp/>
        <stp>EM_S_RATIO_EPS_TTM</stp>
        <stp>3</stp>
        <stp>002041</stp>
        <stp>12/31/2018</stp>
        <stp>1</stp>
        <tr r="U3615" s="1"/>
      </tp>
      <tp>
        <v>0.26138767447424743</v>
        <stp/>
        <stp>EM_S_RATIO_EPS_TTM</stp>
        <stp>3</stp>
        <stp>002341</stp>
        <stp>12/31/2018</stp>
        <stp>1</stp>
        <tr r="U3376" s="1"/>
      </tp>
      <tp>
        <v>0.26739441181993223</v>
        <stp/>
        <stp>EM_S_RATIO_EPS_TTM</stp>
        <stp>3</stp>
        <stp>002241</stp>
        <stp>12/31/2018</stp>
        <stp>1</stp>
        <tr r="U52" s="1"/>
      </tp>
      <tp>
        <v>0.79442459196709503</v>
        <stp/>
        <stp>EM_S_RATIO_EPS_TTM</stp>
        <stp>3</stp>
        <stp>002541</stp>
        <stp>12/31/2018</stp>
        <stp>1</stp>
        <tr r="U538" s="1"/>
      </tp>
      <tp>
        <v>0.37778304919032435</v>
        <stp/>
        <stp>EM_S_RATIO_EPS_TTM</stp>
        <stp>3</stp>
        <stp>002441</stp>
        <stp>12/31/2018</stp>
        <stp>1</stp>
        <tr r="U1561" s="1"/>
      </tp>
      <tp>
        <v>0.35963613465685229</v>
        <stp/>
        <stp>EM_S_RATIO_EPS_TTM</stp>
        <stp>3</stp>
        <stp>002741</stp>
        <stp>12/31/2018</stp>
        <stp>1</stp>
        <tr r="U3107" s="1"/>
      </tp>
      <tp>
        <v>0.21783334350961539</v>
        <stp/>
        <stp>EM_S_RATIO_EPS_TTM</stp>
        <stp>3</stp>
        <stp>002641</stp>
        <stp>12/31/2018</stp>
        <stp>1</stp>
        <tr r="U718" s="1"/>
      </tp>
      <tp>
        <v>1.5321192963163472</v>
        <stp/>
        <stp>EM_S_RATIO_EPS_TTM</stp>
        <stp>3</stp>
        <stp>002841</stp>
        <stp>12/31/2018</stp>
        <stp>1</stp>
        <tr r="U563" s="1"/>
      </tp>
      <tp>
        <v>1.6390487321457634</v>
        <stp/>
        <stp>EM_S_RATIO_EPS_TTM</stp>
        <stp>3</stp>
        <stp>601021</stp>
        <stp>12/31/2018</stp>
        <stp>1</stp>
        <tr r="U777" s="1"/>
      </tp>
      <tp>
        <v>0.11213366012928348</v>
        <stp/>
        <stp>EM_S_RATIO_EPS_TTM</stp>
        <stp>3</stp>
        <stp>300171</stp>
        <stp>12/31/2018</stp>
        <stp>1</stp>
        <tr r="U2262" s="1"/>
      </tp>
      <tp>
        <v>0.15016127613144939</v>
        <stp/>
        <stp>EM_S_RATIO_EPS_TTM</stp>
        <stp>3</stp>
        <stp>600121</stp>
        <stp>12/31/2018</stp>
        <stp>1</stp>
        <tr r="U3036" s="1"/>
      </tp>
      <tp>
        <v>-1.1334562216939708</v>
        <stp/>
        <stp>EM_S_RATIO_EPS_TTM</stp>
        <stp>3</stp>
        <stp>300071</stp>
        <stp>12/31/2018</stp>
        <stp>1</stp>
        <tr r="U3121" s="1"/>
      </tp>
      <tp>
        <v>1.0580427833164339</v>
        <stp/>
        <stp>EM_S_RATIO_EPS_TTM</stp>
        <stp>3</stp>
        <stp>600021</stp>
        <stp>12/31/2018</stp>
        <stp>1</stp>
        <tr r="U2411" s="1"/>
      </tp>
      <tp>
        <v>0.67972054783333324</v>
        <stp/>
        <stp>EM_S_RATIO_EPS_TTM</stp>
        <stp>3</stp>
        <stp>300371</stp>
        <stp>12/31/2018</stp>
        <stp>1</stp>
        <tr r="U1838" s="1"/>
      </tp>
      <tp>
        <v>2.4056355804177285E-2</v>
        <stp/>
        <stp>EM_S_RATIO_EPS_TTM</stp>
        <stp>3</stp>
        <stp>600321</stp>
        <stp>12/31/2018</stp>
        <stp>1</stp>
        <tr r="U1240" s="1"/>
      </tp>
      <tp>
        <v>0.65966053903380162</v>
        <stp/>
        <stp>EM_S_RATIO_EPS_TTM</stp>
        <stp>3</stp>
        <stp>300271</stp>
        <stp>12/31/2018</stp>
        <stp>1</stp>
        <tr r="U312" s="1"/>
      </tp>
      <tp>
        <v>-0.21369768450301224</v>
        <stp/>
        <stp>EM_S_RATIO_EPS_TTM</stp>
        <stp>3</stp>
        <stp>600221</stp>
        <stp>12/31/2018</stp>
        <stp>1</stp>
        <tr r="U2679" s="1"/>
      </tp>
      <tp>
        <v>0.26985112478466855</v>
        <stp/>
        <stp>EM_S_RATIO_EPS_TTM</stp>
        <stp>3</stp>
        <stp>000541</stp>
        <stp>12/31/2018</stp>
        <stp>1</stp>
        <tr r="U2586" s="1"/>
      </tp>
      <tp>
        <v>1.6179608285792377</v>
        <stp/>
        <stp>EM_S_RATIO_EPS_TTM</stp>
        <stp>3</stp>
        <stp>300571</stp>
        <stp>12/31/2018</stp>
        <stp>1</stp>
        <tr r="U939" s="1"/>
      </tp>
      <tp>
        <v>8.5953982027536319E-2</v>
        <stp/>
        <stp>EM_S_RATIO_EPS_TTM</stp>
        <stp>3</stp>
        <stp>600521</stp>
        <stp>12/31/2018</stp>
        <stp>1</stp>
        <tr r="U489" s="1"/>
      </tp>
      <tp>
        <v>-1.3140237410890547</v>
        <stp/>
        <stp>EM_S_RATIO_EPS_TTM</stp>
        <stp>3</stp>
        <stp>300471</stp>
        <stp>12/31/2018</stp>
        <stp>1</stp>
        <tr r="U341" s="1"/>
      </tp>
      <tp>
        <v>-4.5654463496932515E-2</v>
        <stp/>
        <stp>EM_S_RATIO_EPS_TTM</stp>
        <stp>3</stp>
        <stp>600421</stp>
        <stp>12/31/2018</stp>
        <stp>1</stp>
        <tr r="U1884" s="1"/>
      </tp>
      <tp>
        <v>-2.0177126244204993</v>
        <stp/>
        <stp>EM_S_RATIO_EPS_TTM</stp>
        <stp>3</stp>
        <stp>600721</stp>
        <stp>12/31/2018</stp>
        <stp>1</stp>
        <tr r="U1284" s="1"/>
      </tp>
      <tp>
        <v>0.38188095151173446</v>
        <stp/>
        <stp>EM_S_RATIO_EPS_TTM</stp>
        <stp>3</stp>
        <stp>300671</stp>
        <stp>12/31/2018</stp>
        <stp>1</stp>
        <tr r="U929" s="1"/>
      </tp>
      <tp>
        <v>2.0592281006065558E-2</v>
        <stp/>
        <stp>EM_S_RATIO_EPS_TTM</stp>
        <stp>3</stp>
        <stp>600621</stp>
        <stp>12/31/2018</stp>
        <stp>1</stp>
        <tr r="U302" s="1"/>
      </tp>
      <tp>
        <v>-0.65820879090639217</v>
        <stp/>
        <stp>EM_S_RATIO_EPS_TTM</stp>
        <stp>3</stp>
        <stp>600821</stp>
        <stp>12/31/2018</stp>
        <stp>1</stp>
        <tr r="U1516" s="1"/>
      </tp>
      <tp>
        <v>0</v>
        <stp/>
        <stp>EM_S_FA_ASSETSTURN</stp>
        <stp>3</stp>
        <stp>601997</stp>
        <stp>12/31/2018</stp>
        <stp>1</stp>
        <tr r="K2788" s="1"/>
      </tp>
      <tp>
        <v>0.86447008951000004</v>
        <stp/>
        <stp>EM_S_FA_ASSETSTURN</stp>
        <stp>3</stp>
        <stp>600997</stp>
        <stp>12/31/2018</stp>
        <stp>1</stp>
        <tr r="K2542" s="1"/>
      </tp>
      <tp>
        <v>0.392553155476</v>
        <stp/>
        <stp>EM_S_FA_ASSETSTURN</stp>
        <stp>3</stp>
        <stp>600897</stp>
        <stp>12/31/2018</stp>
        <stp>1</stp>
        <tr r="K2061" s="1"/>
      </tp>
      <tp>
        <v>0.73544095326500003</v>
        <stp/>
        <stp>EM_S_FA_ASSETSTURN</stp>
        <stp>3</stp>
        <stp>600397</stp>
        <stp>12/31/2018</stp>
        <stp>1</stp>
        <tr r="K1122" s="1"/>
      </tp>
      <tp>
        <v>1.200938302727</v>
        <stp/>
        <stp>EM_S_FA_ASSETSTURN</stp>
        <stp>3</stp>
        <stp>600297</stp>
        <stp>12/31/2018</stp>
        <stp>1</stp>
        <tr r="K3057" s="1"/>
      </tp>
      <tp>
        <v>0.663960106903</v>
        <stp/>
        <stp>EM_S_FA_ASSETSTURN</stp>
        <stp>3</stp>
        <stp>600197</stp>
        <stp>12/31/2018</stp>
        <stp>1</stp>
        <tr r="K1198" s="1"/>
      </tp>
      <tp>
        <v>0.92991212412599999</v>
        <stp/>
        <stp>EM_S_FA_ASSETSTURN</stp>
        <stp>3</stp>
        <stp>600097</stp>
        <stp>12/31/2018</stp>
        <stp>1</stp>
        <tr r="K2540" s="1"/>
      </tp>
      <tp>
        <v>0.53631022836300002</v>
        <stp/>
        <stp>EM_S_FA_ASSETSTURN</stp>
        <stp>3</stp>
        <stp>600797</stp>
        <stp>12/31/2018</stp>
        <stp>1</stp>
        <tr r="K719" s="1"/>
      </tp>
      <tp>
        <v>0.70609162460800001</v>
        <stp/>
        <stp>EM_S_FA_ASSETSTURN</stp>
        <stp>3</stp>
        <stp>600697</stp>
        <stp>12/31/2018</stp>
        <stp>1</stp>
        <tr r="K2616" s="1"/>
      </tp>
      <tp>
        <v>1.217506464315</v>
        <stp/>
        <stp>EM_S_FA_ASSETSTURN</stp>
        <stp>3</stp>
        <stp>600597</stp>
        <stp>12/31/2018</stp>
        <stp>1</stp>
        <tr r="K587" s="1"/>
      </tp>
      <tp>
        <v>0.58625855953999995</v>
        <stp/>
        <stp>EM_S_FA_ASSETSTURN</stp>
        <stp>3</stp>
        <stp>600497</stp>
        <stp>12/31/2018</stp>
        <stp>1</stp>
        <tr r="K1854" s="1"/>
      </tp>
      <tp>
        <v>0.91052914470299995</v>
        <stp/>
        <stp>EM_S_FA_ASSETSTURN</stp>
        <stp>3</stp>
        <stp>603997</stp>
        <stp>12/31/2018</stp>
        <stp>1</stp>
        <tr r="K1914" s="1"/>
      </tp>
      <tp>
        <v>3.1100402579919999</v>
        <stp/>
        <stp>EM_S_FA_ASSETSTURN</stp>
        <stp>3</stp>
        <stp>603897</stp>
        <stp>12/31/2018</stp>
        <stp>1</stp>
        <tr r="K2927" s="1"/>
      </tp>
      <tp>
        <v>0.83406427372600001</v>
        <stp/>
        <stp>EM_S_FA_ASSETSTURN</stp>
        <stp>3</stp>
        <stp>603197</stp>
        <stp>12/31/2018</stp>
        <stp>1</stp>
        <tr r="K545" s="1"/>
      </tp>
      <tp>
        <v>7.5969793221000004E-2</v>
        <stp/>
        <stp>EM_S_FA_ASSETSTURN</stp>
        <stp>3</stp>
        <stp>603797</stp>
        <stp>12/31/2018</stp>
        <stp>1</stp>
        <tr r="K2635" s="1"/>
      </tp>
      <tp>
        <v>0.34423507440625001</v>
        <stp/>
        <stp>EM_S_RATIO_EPS_TTM</stp>
        <stp>3</stp>
        <stp>603020</stp>
        <stp>12/31/2018</stp>
        <stp>1</stp>
        <tr r="U1717" s="1"/>
      </tp>
      <tp>
        <v>0.42832828659999994</v>
        <stp/>
        <stp>EM_S_RATIO_EPS_TTM</stp>
        <stp>3</stp>
        <stp>603320</stp>
        <stp>12/31/2018</stp>
        <stp>1</stp>
        <tr r="U2682" s="1"/>
      </tp>
      <tp>
        <v>0.78063646283333343</v>
        <stp/>
        <stp>EM_S_RATIO_EPS_TTM</stp>
        <stp>3</stp>
        <stp>603520</stp>
        <stp>12/31/2018</stp>
        <stp>1</stp>
        <tr r="U419" s="1"/>
      </tp>
      <tp>
        <v>0.55164151880518542</v>
        <stp/>
        <stp>EM_S_RATIO_EPS_TTM</stp>
        <stp>3</stp>
        <stp>603920</stp>
        <stp>12/31/2018</stp>
        <stp>1</stp>
        <tr r="U354" s="1"/>
      </tp>
      <tp>
        <v>0.33241789813969874</v>
        <stp/>
        <stp>EM_S_RATIO_EPS_TTM</stp>
        <stp>3</stp>
        <stp>002140</stp>
        <stp>12/31/2018</stp>
        <stp>1</stp>
        <tr r="U1194" s="1"/>
      </tp>
      <tp>
        <v>0.44055029581138611</v>
        <stp/>
        <stp>EM_S_RATIO_EPS_TTM</stp>
        <stp>3</stp>
        <stp>002040</stp>
        <stp>12/31/2018</stp>
        <stp>1</stp>
        <tr r="U2768" s="1"/>
      </tp>
      <tp>
        <v>0.17594022444061003</v>
        <stp/>
        <stp>EM_S_RATIO_EPS_TTM</stp>
        <stp>3</stp>
        <stp>002340</stp>
        <stp>12/31/2018</stp>
        <stp>1</stp>
        <tr r="U1005" s="1"/>
      </tp>
      <tp>
        <v>0.29889998407134732</v>
        <stp/>
        <stp>EM_S_RATIO_EPS_TTM</stp>
        <stp>3</stp>
        <stp>002240</stp>
        <stp>12/31/2018</stp>
        <stp>1</stp>
        <tr r="U1935" s="1"/>
      </tp>
      <tp>
        <v>0.29521546854283981</v>
        <stp/>
        <stp>EM_S_RATIO_EPS_TTM</stp>
        <stp>3</stp>
        <stp>002540</stp>
        <stp>12/31/2018</stp>
        <stp>1</stp>
        <tr r="U2657" s="1"/>
      </tp>
      <tp>
        <v>1.1412732353846153</v>
        <stp/>
        <stp>EM_S_RATIO_EPS_TTM</stp>
        <stp>3</stp>
        <stp>002440</stp>
        <stp>12/31/2018</stp>
        <stp>1</stp>
        <tr r="U1133" s="1"/>
      </tp>
      <tp>
        <v>8.5148613025517794E-2</v>
        <stp/>
        <stp>EM_S_RATIO_EPS_TTM</stp>
        <stp>3</stp>
        <stp>002740</stp>
        <stp>12/31/2018</stp>
        <stp>1</stp>
        <tr r="U1265" s="1"/>
      </tp>
      <tp>
        <v>0.39971063134762924</v>
        <stp/>
        <stp>EM_S_RATIO_EPS_TTM</stp>
        <stp>3</stp>
        <stp>002640</stp>
        <stp>12/31/2018</stp>
        <stp>1</stp>
        <tr r="U3219" s="1"/>
      </tp>
      <tp>
        <v>0.56048002297014499</v>
        <stp/>
        <stp>EM_S_RATIO_EPS_TTM</stp>
        <stp>3</stp>
        <stp>002840</stp>
        <stp>12/31/2018</stp>
        <stp>1</stp>
        <tr r="U1148" s="1"/>
      </tp>
      <tp>
        <v>0.42708298596183464</v>
        <stp/>
        <stp>EM_S_RATIO_EPS_TTM</stp>
        <stp>3</stp>
        <stp>601020</stp>
        <stp>12/31/2018</stp>
        <stp>1</stp>
        <tr r="U1826" s="1"/>
      </tp>
      <tp>
        <v>0.44315861947455898</v>
        <stp/>
        <stp>EM_S_RATIO_EPS_TTM</stp>
        <stp>3</stp>
        <stp>300170</stp>
        <stp>12/31/2018</stp>
        <stp>1</stp>
        <tr r="U2376" s="1"/>
      </tp>
      <tp>
        <v>0.80472142376257172</v>
        <stp/>
        <stp>EM_S_RATIO_EPS_TTM</stp>
        <stp>3</stp>
        <stp>600120</stp>
        <stp>12/31/2018</stp>
        <stp>1</stp>
        <tr r="U3210" s="1"/>
      </tp>
      <tp>
        <v>0.75173308750795387</v>
        <stp/>
        <stp>EM_S_RATIO_EPS_TTM</stp>
        <stp>3</stp>
        <stp>000040</stp>
        <stp>12/31/2018</stp>
        <stp>1</stp>
        <tr r="U3327" s="1"/>
      </tp>
      <tp>
        <v>0.3950215090744712</v>
        <stp/>
        <stp>EM_S_RATIO_EPS_TTM</stp>
        <stp>3</stp>
        <stp>300070</stp>
        <stp>12/31/2018</stp>
        <stp>1</stp>
        <tr r="U2453" s="1"/>
      </tp>
      <tp>
        <v>0.35543924778087194</v>
        <stp/>
        <stp>EM_S_RATIO_EPS_TTM</stp>
        <stp>3</stp>
        <stp>600020</stp>
        <stp>12/31/2018</stp>
        <stp>1</stp>
        <tr r="U1292" s="1"/>
      </tp>
      <tp>
        <v>-0.57482147627372504</v>
        <stp/>
        <stp>EM_S_RATIO_EPS_TTM</stp>
        <stp>3</stp>
        <stp>300370</stp>
        <stp>12/31/2018</stp>
        <stp>1</stp>
        <tr r="U888" s="1"/>
      </tp>
      <tp>
        <v>8.4087958774199958E-2</v>
        <stp/>
        <stp>EM_S_RATIO_EPS_TTM</stp>
        <stp>3</stp>
        <stp>600320</stp>
        <stp>12/31/2018</stp>
        <stp>1</stp>
        <tr r="U1504" s="1"/>
      </tp>
      <tp>
        <v>-0.10489482702768388</v>
        <stp/>
        <stp>EM_S_RATIO_EPS_TTM</stp>
        <stp>3</stp>
        <stp>300270</stp>
        <stp>12/31/2018</stp>
        <stp>1</stp>
        <tr r="U966" s="1"/>
      </tp>
      <tp>
        <v>7.6253723536334139E-2</v>
        <stp/>
        <stp>EM_S_RATIO_EPS_TTM</stp>
        <stp>3</stp>
        <stp>600220</stp>
        <stp>12/31/2018</stp>
        <stp>1</stp>
        <tr r="U1873" s="1"/>
      </tp>
      <tp>
        <v>0.20939299468829489</v>
        <stp/>
        <stp>EM_S_RATIO_EPS_TTM</stp>
        <stp>3</stp>
        <stp>000540</stp>
        <stp>12/31/2018</stp>
        <stp>1</stp>
        <tr r="U3448" s="1"/>
      </tp>
      <tp>
        <v>0.66407213461230763</v>
        <stp/>
        <stp>EM_S_RATIO_EPS_TTM</stp>
        <stp>3</stp>
        <stp>300570</stp>
        <stp>12/31/2018</stp>
        <stp>1</stp>
        <tr r="U674" s="1"/>
      </tp>
      <tp>
        <v>3.1836308274947926E-2</v>
        <stp/>
        <stp>EM_S_RATIO_EPS_TTM</stp>
        <stp>3</stp>
        <stp>600520</stp>
        <stp>12/31/2018</stp>
        <stp>1</stp>
        <tr r="U3023" s="1"/>
      </tp>
      <tp>
        <v>0.88765425889472149</v>
        <stp/>
        <stp>EM_S_RATIO_EPS_TTM</stp>
        <stp>3</stp>
        <stp>300470</stp>
        <stp>12/31/2018</stp>
        <stp>1</stp>
        <tr r="U1244" s="1"/>
      </tp>
      <tp>
        <v>0.66796416381643464</v>
        <stp/>
        <stp>EM_S_RATIO_EPS_TTM</stp>
        <stp>3</stp>
        <stp>600420</stp>
        <stp>12/31/2018</stp>
        <stp>1</stp>
        <tr r="U2530" s="1"/>
      </tp>
      <tp>
        <v>0.84346489030246541</v>
        <stp/>
        <stp>EM_S_RATIO_EPS_TTM</stp>
        <stp>3</stp>
        <stp>600720</stp>
        <stp>12/31/2018</stp>
        <stp>1</stp>
        <tr r="U201" s="1"/>
      </tp>
      <tp>
        <v>0.18413659290123455</v>
        <stp/>
        <stp>EM_S_RATIO_EPS_TTM</stp>
        <stp>3</stp>
        <stp>300670</stp>
        <stp>12/31/2018</stp>
        <stp>1</stp>
        <tr r="U3362" s="1"/>
      </tp>
      <tp>
        <v>9.853408982046559E-2</v>
        <stp/>
        <stp>EM_S_RATIO_EPS_TTM</stp>
        <stp>3</stp>
        <stp>600620</stp>
        <stp>12/31/2018</stp>
        <stp>1</stp>
        <tr r="U1374" s="1"/>
      </tp>
      <tp>
        <v>0.6293582333301293</v>
        <stp/>
        <stp>EM_S_RATIO_EPS_TTM</stp>
        <stp>3</stp>
        <stp>600820</stp>
        <stp>12/31/2018</stp>
        <stp>1</stp>
        <tr r="U2521" s="1"/>
      </tp>
      <tp>
        <v>0.57878799565799999</v>
        <stp/>
        <stp>EM_S_FA_ASSETSTURN</stp>
        <stp>3</stp>
        <stp>600894</stp>
        <stp>12/31/2018</stp>
        <stp>1</stp>
        <tr r="K802" s="1"/>
      </tp>
      <tp>
        <v>0.25536235131000001</v>
        <stp/>
        <stp>EM_S_FA_ASSETSTURN</stp>
        <stp>3</stp>
        <stp>600094</stp>
        <stp>12/31/2018</stp>
        <stp>1</stp>
        <tr r="K451" s="1"/>
      </tp>
      <tp>
        <v>0.42113545210300002</v>
        <stp/>
        <stp>EM_S_FA_ASSETSTURN</stp>
        <stp>3</stp>
        <stp>600794</stp>
        <stp>12/31/2018</stp>
        <stp>1</stp>
        <tr r="K627" s="1"/>
      </tp>
      <tp>
        <v>1.351866795636</v>
        <stp/>
        <stp>EM_S_FA_ASSETSTURN</stp>
        <stp>3</stp>
        <stp>600694</stp>
        <stp>12/31/2018</stp>
        <stp>1</stp>
        <tr r="K1594" s="1"/>
      </tp>
      <tp>
        <v>0.56808270418100004</v>
        <stp/>
        <stp>EM_S_FA_ASSETSTURN</stp>
        <stp>3</stp>
        <stp>600594</stp>
        <stp>12/31/2018</stp>
        <stp>1</stp>
        <tr r="K2856" s="1"/>
      </tp>
      <tp>
        <v>0.33317860800533639</v>
        <stp/>
        <stp>EM_S_RATIO_EPS_TTM</stp>
        <stp>3</stp>
        <stp>603123</stp>
        <stp>12/31/2018</stp>
        <stp>1</stp>
        <tr r="U1396" s="1"/>
      </tp>
      <tp>
        <v>0.18101602341666667</v>
        <stp/>
        <stp>EM_S_RATIO_EPS_TTM</stp>
        <stp>3</stp>
        <stp>603023</stp>
        <stp>12/31/2018</stp>
        <stp>1</stp>
        <tr r="U2040" s="1"/>
      </tp>
      <tp>
        <v>0.55395599938287021</v>
        <stp/>
        <stp>EM_S_RATIO_EPS_TTM</stp>
        <stp>3</stp>
        <stp>603323</stp>
        <stp>12/31/2018</stp>
        <stp>1</stp>
        <tr r="U2888" s="1"/>
      </tp>
      <tp>
        <v>0.23347971458333333</v>
        <stp/>
        <stp>EM_S_RATIO_EPS_TTM</stp>
        <stp>3</stp>
        <stp>603223</stp>
        <stp>12/31/2018</stp>
        <stp>1</stp>
        <tr r="U3307" s="1"/>
      </tp>
      <tp>
        <v>0.84242205466666675</v>
        <stp/>
        <stp>EM_S_RATIO_EPS_TTM</stp>
        <stp>3</stp>
        <stp>603823</stp>
        <stp>12/31/2018</stp>
        <stp>1</stp>
        <tr r="U322" s="1"/>
      </tp>
      <tp>
        <v>-1.0091880720052813</v>
        <stp/>
        <stp>EM_S_RATIO_EPS_TTM</stp>
        <stp>3</stp>
        <stp>002143</stp>
        <stp>12/31/2018</stp>
        <stp>1</stp>
        <tr r="U3411" s="1"/>
      </tp>
      <tp>
        <v>0.41064243107022236</v>
        <stp/>
        <stp>EM_S_RATIO_EPS_TTM</stp>
        <stp>3</stp>
        <stp>002043</stp>
        <stp>12/31/2018</stp>
        <stp>1</stp>
        <tr r="U656" s="1"/>
      </tp>
      <tp>
        <v>-2.3040378499165906</v>
        <stp/>
        <stp>EM_S_RATIO_EPS_TTM</stp>
        <stp>3</stp>
        <stp>002343</stp>
        <stp>12/31/2018</stp>
        <stp>1</stp>
        <tr r="U1031" s="1"/>
      </tp>
      <tp>
        <v>0.22496709885094177</v>
        <stp/>
        <stp>EM_S_RATIO_EPS_TTM</stp>
        <stp>3</stp>
        <stp>002243</stp>
        <stp>12/31/2018</stp>
        <stp>1</stp>
        <tr r="U1825" s="1"/>
      </tp>
      <tp>
        <v>0.85475873926573431</v>
        <stp/>
        <stp>EM_S_RATIO_EPS_TTM</stp>
        <stp>3</stp>
        <stp>002543</stp>
        <stp>12/31/2018</stp>
        <stp>1</stp>
        <tr r="U3167" s="1"/>
      </tp>
      <tp>
        <v>0.36694964286010684</v>
        <stp/>
        <stp>EM_S_RATIO_EPS_TTM</stp>
        <stp>3</stp>
        <stp>002443</stp>
        <stp>12/31/2018</stp>
        <stp>1</stp>
        <tr r="U1085" s="1"/>
      </tp>
      <tp>
        <v>0.24450179875572223</v>
        <stp/>
        <stp>EM_S_RATIO_EPS_TTM</stp>
        <stp>3</stp>
        <stp>002743</stp>
        <stp>12/31/2018</stp>
        <stp>1</stp>
        <tr r="U1568" s="1"/>
      </tp>
      <tp>
        <v>0.4889017494757355</v>
        <stp/>
        <stp>EM_S_RATIO_EPS_TTM</stp>
        <stp>3</stp>
        <stp>002643</stp>
        <stp>12/31/2018</stp>
        <stp>1</stp>
        <tr r="U561" s="1"/>
      </tp>
      <tp>
        <v>0.3979914132857143</v>
        <stp/>
        <stp>EM_S_RATIO_EPS_TTM</stp>
        <stp>3</stp>
        <stp>002843</stp>
        <stp>12/31/2018</stp>
        <stp>1</stp>
        <tr r="U3239" s="1"/>
      </tp>
      <tp>
        <v>-1.4227697516578779</v>
        <stp/>
        <stp>EM_S_RATIO_EPS_TTM</stp>
        <stp>3</stp>
        <stp>300173</stp>
        <stp>12/31/2018</stp>
        <stp>1</stp>
        <tr r="U450" s="1"/>
      </tp>
      <tp>
        <v>0.94598379523809528</v>
        <stp/>
        <stp>EM_S_RATIO_EPS_TTM</stp>
        <stp>3</stp>
        <stp>600123</stp>
        <stp>12/31/2018</stp>
        <stp>1</stp>
        <tr r="U2399" s="1"/>
      </tp>
      <tp>
        <v>1.2843522082542778</v>
        <stp/>
        <stp>EM_S_RATIO_EPS_TTM</stp>
        <stp>3</stp>
        <stp>000043</stp>
        <stp>12/31/2018</stp>
        <stp>1</stp>
        <tr r="U4" s="1"/>
      </tp>
      <tp>
        <v>0.72394092448666503</v>
        <stp/>
        <stp>EM_S_RATIO_EPS_TTM</stp>
        <stp>3</stp>
        <stp>300073</stp>
        <stp>12/31/2018</stp>
        <stp>1</stp>
        <tr r="U2284" s="1"/>
      </tp>
      <tp>
        <v>0.29672833026050444</v>
        <stp/>
        <stp>EM_S_RATIO_EPS_TTM</stp>
        <stp>3</stp>
        <stp>600023</stp>
        <stp>12/31/2018</stp>
        <stp>1</stp>
        <tr r="U2977" s="1"/>
      </tp>
      <tp>
        <v>0.39677619002003828</v>
        <stp/>
        <stp>EM_S_RATIO_EPS_TTM</stp>
        <stp>3</stp>
        <stp>300373</stp>
        <stp>12/31/2018</stp>
        <stp>1</stp>
        <tr r="U1293" s="1"/>
      </tp>
      <tp>
        <v>1.1425739050688402</v>
        <stp/>
        <stp>EM_S_RATIO_EPS_TTM</stp>
        <stp>3</stp>
        <stp>600323</stp>
        <stp>12/31/2018</stp>
        <stp>1</stp>
        <tr r="U1110" s="1"/>
      </tp>
      <tp>
        <v>0.12679660199833478</v>
        <stp/>
        <stp>EM_S_RATIO_EPS_TTM</stp>
        <stp>3</stp>
        <stp>300273</stp>
        <stp>12/31/2018</stp>
        <stp>1</stp>
        <tr r="U1936" s="1"/>
      </tp>
      <tp>
        <v>0.16190358515956554</v>
        <stp/>
        <stp>EM_S_RATIO_EPS_TTM</stp>
        <stp>3</stp>
        <stp>600223</stp>
        <stp>12/31/2018</stp>
        <stp>1</stp>
        <tr r="U86" s="1"/>
      </tp>
      <tp>
        <v>0.31069536372137674</v>
        <stp/>
        <stp>EM_S_RATIO_EPS_TTM</stp>
        <stp>3</stp>
        <stp>000543</stp>
        <stp>12/31/2018</stp>
        <stp>1</stp>
        <tr r="U2463" s="1"/>
      </tp>
      <tp>
        <v>0.16570015601116098</v>
        <stp/>
        <stp>EM_S_RATIO_EPS_TTM</stp>
        <stp>3</stp>
        <stp>300573</stp>
        <stp>12/31/2018</stp>
        <stp>1</stp>
        <tr r="U25" s="1"/>
      </tp>
      <tp>
        <v>0.29072202794124091</v>
        <stp/>
        <stp>EM_S_RATIO_EPS_TTM</stp>
        <stp>3</stp>
        <stp>600523</stp>
        <stp>12/31/2018</stp>
        <stp>1</stp>
        <tr r="U688" s="1"/>
      </tp>
      <tp>
        <v>1.2785114417651544</v>
        <stp/>
        <stp>EM_S_RATIO_EPS_TTM</stp>
        <stp>3</stp>
        <stp>300473</stp>
        <stp>12/31/2018</stp>
        <stp>1</stp>
        <tr r="U898" s="1"/>
      </tp>
      <tp>
        <v>0.4886759124752581</v>
        <stp/>
        <stp>EM_S_RATIO_EPS_TTM</stp>
        <stp>3</stp>
        <stp>600423</stp>
        <stp>12/31/2018</stp>
        <stp>1</stp>
        <tr r="U2841" s="1"/>
      </tp>
      <tp>
        <v>0.55283060297330666</v>
        <stp/>
        <stp>EM_S_RATIO_EPS_TTM</stp>
        <stp>3</stp>
        <stp>600723</stp>
        <stp>12/31/2018</stp>
        <stp>1</stp>
        <tr r="U2405" s="1"/>
      </tp>
      <tp>
        <v>1.1504326585765825</v>
        <stp/>
        <stp>EM_S_RATIO_EPS_TTM</stp>
        <stp>3</stp>
        <stp>300673</stp>
        <stp>12/31/2018</stp>
        <stp>1</stp>
        <tr r="U3263" s="1"/>
      </tp>
      <tp>
        <v>0.85343926194488307</v>
        <stp/>
        <stp>EM_S_RATIO_EPS_TTM</stp>
        <stp>3</stp>
        <stp>600623</stp>
        <stp>12/31/2018</stp>
        <stp>1</stp>
        <tr r="U3024" s="1"/>
      </tp>
      <tp>
        <v>0.64081881259818008</v>
        <stp/>
        <stp>EM_S_RATIO_EPS_TTM</stp>
        <stp>3</stp>
        <stp>600823</stp>
        <stp>12/31/2018</stp>
        <stp>1</stp>
        <tr r="U1206" s="1"/>
      </tp>
      <tp>
        <v>0.34326799649599998</v>
        <stp/>
        <stp>EM_S_FA_ASSETSTURN</stp>
        <stp>3</stp>
        <stp>601595</stp>
        <stp>12/31/2018</stp>
        <stp>1</stp>
        <tr r="K1270" s="1"/>
      </tp>
      <tp>
        <v>0.75129491505500001</v>
        <stp/>
        <stp>EM_S_FA_ASSETSTURN</stp>
        <stp>3</stp>
        <stp>600995</stp>
        <stp>12/31/2018</stp>
        <stp>1</stp>
        <tr r="K1373" s="1"/>
      </tp>
      <tp>
        <v>5.9430944535000002E-2</v>
        <stp/>
        <stp>EM_S_FA_ASSETSTURN</stp>
        <stp>3</stp>
        <stp>600895</stp>
        <stp>12/31/2018</stp>
        <stp>1</stp>
        <tr r="K2139" s="1"/>
      </tp>
      <tp>
        <v>0.48036133301200001</v>
        <stp/>
        <stp>EM_S_FA_ASSETSTURN</stp>
        <stp>3</stp>
        <stp>600395</stp>
        <stp>12/31/2018</stp>
        <stp>1</stp>
        <tr r="K1227" s="1"/>
      </tp>
      <tp>
        <v>0.50935131299600001</v>
        <stp/>
        <stp>EM_S_FA_ASSETSTURN</stp>
        <stp>3</stp>
        <stp>600295</stp>
        <stp>12/31/2018</stp>
        <stp>1</stp>
        <tr r="K1322" s="1"/>
      </tp>
      <tp>
        <v>0.67565672174699998</v>
        <stp/>
        <stp>EM_S_FA_ASSETSTURN</stp>
        <stp>3</stp>
        <stp>600195</stp>
        <stp>12/31/2018</stp>
        <stp>1</stp>
        <tr r="K1893" s="1"/>
      </tp>
      <tp>
        <v>0.28568122624699999</v>
        <stp/>
        <stp>EM_S_FA_ASSETSTURN</stp>
        <stp>3</stp>
        <stp>600095</stp>
        <stp>12/31/2018</stp>
        <stp>1</stp>
        <tr r="K100" s="1"/>
      </tp>
      <tp>
        <v>0.239607410848</v>
        <stp/>
        <stp>EM_S_FA_ASSETSTURN</stp>
        <stp>3</stp>
        <stp>600795</stp>
        <stp>12/31/2018</stp>
        <stp>1</stp>
        <tr r="K2731" s="1"/>
      </tp>
      <tp>
        <v>4.4254634674000003E-2</v>
        <stp/>
        <stp>EM_S_FA_ASSETSTURN</stp>
        <stp>3</stp>
        <stp>600695</stp>
        <stp>12/31/2018</stp>
        <stp>1</stp>
        <tr r="K307" s="1"/>
      </tp>
      <tp>
        <v>0.484842241003</v>
        <stp/>
        <stp>EM_S_FA_ASSETSTURN</stp>
        <stp>3</stp>
        <stp>600595</stp>
        <stp>12/31/2018</stp>
        <stp>1</stp>
        <tr r="K1620" s="1"/>
      </tp>
      <tp>
        <v>0.35549155700399998</v>
        <stp/>
        <stp>EM_S_FA_ASSETSTURN</stp>
        <stp>3</stp>
        <stp>600495</stp>
        <stp>12/31/2018</stp>
        <stp>1</stp>
        <tr r="K2218" s="1"/>
      </tp>
      <tp>
        <v>0.56469601438600003</v>
        <stp/>
        <stp>EM_S_FA_ASSETSTURN</stp>
        <stp>3</stp>
        <stp>603895</stp>
        <stp>12/31/2018</stp>
        <stp>1</stp>
        <tr r="K2804" s="1"/>
      </tp>
      <tp>
        <v>0.65077722952100003</v>
        <stp/>
        <stp>EM_S_FA_ASSETSTURN</stp>
        <stp>3</stp>
        <stp>603595</stp>
        <stp>12/31/2018</stp>
        <stp>1</stp>
        <tr r="K3013" s="1"/>
      </tp>
      <tp>
        <v>0.15656730425000001</v>
        <stp/>
        <stp>EM_S_RATIO_EPS_TTM</stp>
        <stp>3</stp>
        <stp>603022</stp>
        <stp>12/31/2018</stp>
        <stp>1</stp>
        <tr r="U185" s="1"/>
      </tp>
      <tp>
        <v>0.22181041276785715</v>
        <stp/>
        <stp>EM_S_RATIO_EPS_TTM</stp>
        <stp>3</stp>
        <stp>603322</stp>
        <stp>12/31/2018</stp>
        <stp>1</stp>
        <tr r="U3308" s="1"/>
      </tp>
      <tp>
        <v>0.10019630843749999</v>
        <stp/>
        <stp>EM_S_RATIO_EPS_TTM</stp>
        <stp>3</stp>
        <stp>603222</stp>
        <stp>12/31/2018</stp>
        <stp>1</stp>
        <tr r="U29" s="1"/>
      </tp>
      <tp>
        <v>0.38551949584775086</v>
        <stp/>
        <stp>EM_S_RATIO_EPS_TTM</stp>
        <stp>3</stp>
        <stp>603722</stp>
        <stp>12/31/2018</stp>
        <stp>1</stp>
        <tr r="U673" s="1"/>
      </tp>
      <tp>
        <v>0.43935433414062502</v>
        <stp/>
        <stp>EM_S_RATIO_EPS_TTM</stp>
        <stp>3</stp>
        <stp>603922</stp>
        <stp>12/31/2018</stp>
        <stp>1</stp>
        <tr r="U2100" s="1"/>
      </tp>
      <tp>
        <v>0.73273033259452824</v>
        <stp/>
        <stp>EM_S_RATIO_EPS_TTM</stp>
        <stp>3</stp>
        <stp>603822</stp>
        <stp>12/31/2018</stp>
        <stp>1</stp>
        <tr r="U1362" s="1"/>
      </tp>
      <tp>
        <v>2.1476887657540948</v>
        <stp/>
        <stp>EM_S_RATIO_EPS_TTM</stp>
        <stp>3</stp>
        <stp>002142</stp>
        <stp>12/31/2018</stp>
        <stp>1</stp>
        <tr r="U303" s="1"/>
      </tp>
      <tp>
        <v>0.49479632869307283</v>
        <stp/>
        <stp>EM_S_RATIO_EPS_TTM</stp>
        <stp>3</stp>
        <stp>002042</stp>
        <stp>12/31/2018</stp>
        <stp>1</stp>
        <tr r="U872" s="1"/>
      </tp>
      <tp>
        <v>1.8558962302083332E-2</v>
        <stp/>
        <stp>EM_S_RATIO_EPS_TTM</stp>
        <stp>3</stp>
        <stp>002342</stp>
        <stp>12/31/2018</stp>
        <stp>1</stp>
        <tr r="U2594" s="1"/>
      </tp>
      <tp>
        <v>0.98272879601725582</v>
        <stp/>
        <stp>EM_S_RATIO_EPS_TTM</stp>
        <stp>3</stp>
        <stp>002242</stp>
        <stp>12/31/2018</stp>
        <stp>1</stp>
        <tr r="U504" s="1"/>
      </tp>
      <tp>
        <v>0.12313432478680748</v>
        <stp/>
        <stp>EM_S_RATIO_EPS_TTM</stp>
        <stp>3</stp>
        <stp>002542</stp>
        <stp>12/31/2018</stp>
        <stp>1</stp>
        <tr r="U2894" s="1"/>
      </tp>
      <tp>
        <v>0.27650187666666665</v>
        <stp/>
        <stp>EM_S_RATIO_EPS_TTM</stp>
        <stp>3</stp>
        <stp>002442</stp>
        <stp>12/31/2018</stp>
        <stp>1</stp>
        <tr r="U3101" s="1"/>
      </tp>
      <tp>
        <v>0.25656944335648146</v>
        <stp/>
        <stp>EM_S_RATIO_EPS_TTM</stp>
        <stp>3</stp>
        <stp>002742</stp>
        <stp>12/31/2018</stp>
        <stp>1</stp>
        <tr r="U3194" s="1"/>
      </tp>
      <tp>
        <v>-2.05693257033179</v>
        <stp/>
        <stp>EM_S_RATIO_EPS_TTM</stp>
        <stp>3</stp>
        <stp>002642</stp>
        <stp>12/31/2018</stp>
        <stp>1</stp>
        <tr r="U2603" s="1"/>
      </tp>
      <tp>
        <v>0.6265478631176471</v>
        <stp/>
        <stp>EM_S_RATIO_EPS_TTM</stp>
        <stp>3</stp>
        <stp>002842</stp>
        <stp>12/31/2018</stp>
        <stp>1</stp>
        <tr r="U2843" s="1"/>
      </tp>
      <tp>
        <v>0.43078492337661484</v>
        <stp/>
        <stp>EM_S_RATIO_EPS_TTM</stp>
        <stp>3</stp>
        <stp>601222</stp>
        <stp>12/31/2018</stp>
        <stp>1</stp>
        <tr r="U2421" s="1"/>
      </tp>
      <tp>
        <v>0.23411205557257755</v>
        <stp/>
        <stp>EM_S_RATIO_EPS_TTM</stp>
        <stp>3</stp>
        <stp>300172</stp>
        <stp>12/31/2018</stp>
        <stp>1</stp>
        <tr r="U2415" s="1"/>
      </tp>
      <tp>
        <v>-1.7559813694414548</v>
        <stp/>
        <stp>EM_S_RATIO_EPS_TTM</stp>
        <stp>3</stp>
        <stp>600122</stp>
        <stp>12/31/2018</stp>
        <stp>1</stp>
        <tr r="U3190" s="1"/>
      </tp>
      <tp>
        <v>0.67188539387894108</v>
        <stp/>
        <stp>EM_S_RATIO_EPS_TTM</stp>
        <stp>3</stp>
        <stp>000042</stp>
        <stp>12/31/2018</stp>
        <stp>1</stp>
        <tr r="U2432" s="1"/>
      </tp>
      <tp>
        <v>0.21506560781781897</v>
        <stp/>
        <stp>EM_S_RATIO_EPS_TTM</stp>
        <stp>3</stp>
        <stp>300072</stp>
        <stp>12/31/2018</stp>
        <stp>1</stp>
        <tr r="U3283" s="1"/>
      </tp>
      <tp>
        <v>0.19244602519782705</v>
        <stp/>
        <stp>EM_S_RATIO_EPS_TTM</stp>
        <stp>3</stp>
        <stp>600022</stp>
        <stp>12/31/2018</stp>
        <stp>1</stp>
        <tr r="U2738" s="1"/>
      </tp>
      <tp>
        <v>-2.6631905437519978</v>
        <stp/>
        <stp>EM_S_RATIO_EPS_TTM</stp>
        <stp>3</stp>
        <stp>300372</stp>
        <stp>12/31/2018</stp>
        <stp>1</stp>
        <tr r="U2283" s="1"/>
      </tp>
      <tp>
        <v>0.12183878334991408</v>
        <stp/>
        <stp>EM_S_RATIO_EPS_TTM</stp>
        <stp>3</stp>
        <stp>600322</stp>
        <stp>12/31/2018</stp>
        <stp>1</stp>
        <tr r="U2723" s="1"/>
      </tp>
      <tp>
        <v>0.71850188874622867</v>
        <stp/>
        <stp>EM_S_RATIO_EPS_TTM</stp>
        <stp>3</stp>
        <stp>300272</stp>
        <stp>12/31/2018</stp>
        <stp>1</stp>
        <tr r="U3189" s="1"/>
      </tp>
      <tp>
        <v>-0.20094264648942653</v>
        <stp/>
        <stp>EM_S_RATIO_EPS_TTM</stp>
        <stp>3</stp>
        <stp>600222</stp>
        <stp>12/31/2018</stp>
        <stp>1</stp>
        <tr r="U1015" s="1"/>
      </tp>
      <tp>
        <v>1.4692973799737175</v>
        <stp/>
        <stp>EM_S_RATIO_EPS_TTM</stp>
        <stp>3</stp>
        <stp>000542</stp>
        <stp>12/31/2018</stp>
        <stp>1</stp>
        <tr r="U3449" s="1"/>
      </tp>
      <tp>
        <v>1.0350284638171046</v>
        <stp/>
        <stp>EM_S_RATIO_EPS_TTM</stp>
        <stp>3</stp>
        <stp>300572</stp>
        <stp>12/31/2018</stp>
        <stp>1</stp>
        <tr r="U1863" s="1"/>
      </tp>
      <tp>
        <v>0.69194850588793355</v>
        <stp/>
        <stp>EM_S_RATIO_EPS_TTM</stp>
        <stp>3</stp>
        <stp>600522</stp>
        <stp>12/31/2018</stp>
        <stp>1</stp>
        <tr r="U2201" s="1"/>
      </tp>
      <tp>
        <v>0.52838130890602641</v>
        <stp/>
        <stp>EM_S_RATIO_EPS_TTM</stp>
        <stp>3</stp>
        <stp>300472</stp>
        <stp>12/31/2018</stp>
        <stp>1</stp>
        <tr r="U2439" s="1"/>
      </tp>
      <tp>
        <v>0.44010934744970409</v>
        <stp/>
        <stp>EM_S_RATIO_EPS_TTM</stp>
        <stp>3</stp>
        <stp>600422</stp>
        <stp>12/31/2018</stp>
        <stp>1</stp>
        <tr r="U333" s="1"/>
      </tp>
      <tp>
        <v>8.5777923009829282E-2</v>
        <stp/>
        <stp>EM_S_RATIO_EPS_TTM</stp>
        <stp>3</stp>
        <stp>600722</stp>
        <stp>12/31/2018</stp>
        <stp>1</stp>
        <tr r="U2048" s="1"/>
      </tp>
      <tp>
        <v>0.502583145596603</v>
        <stp/>
        <stp>EM_S_RATIO_EPS_TTM</stp>
        <stp>3</stp>
        <stp>300672</stp>
        <stp>12/31/2018</stp>
        <stp>1</stp>
        <tr r="U1657" s="1"/>
      </tp>
      <tp>
        <v>0.76409379839300784</v>
        <stp/>
        <stp>EM_S_RATIO_EPS_TTM</stp>
        <stp>3</stp>
        <stp>600622</stp>
        <stp>12/31/2018</stp>
        <stp>1</stp>
        <tr r="U3247" s="1"/>
      </tp>
      <tp>
        <v>8.8881001312099875E-2</v>
        <stp/>
        <stp>EM_S_RATIO_EPS_TTM</stp>
        <stp>3</stp>
        <stp>600822</stp>
        <stp>12/31/2018</stp>
        <stp>1</stp>
        <tr r="U1393" s="1"/>
      </tp>
      <tp t="s">
        <v>2000-07-31</v>
        <stp/>
        <stp>EM_S_IPO_LISTEDDATE</stp>
        <stp>1</stp>
        <stp>000099</stp>
        <tr r="AT899" s="1"/>
      </tp>
      <tp t="s">
        <v>2006-12-26</v>
        <stp/>
        <stp>EM_S_IPO_LISTEDDATE</stp>
        <stp>1</stp>
        <stp>002099</stp>
        <tr r="AT498" s="1"/>
      </tp>
      <tp t="s">
        <v>2006-12-22</v>
        <stp/>
        <stp>EM_S_IPO_LISTEDDATE</stp>
        <stp>1</stp>
        <stp>002098</stp>
        <tr r="AT3633" s="1"/>
      </tp>
      <tp t="s">
        <v>2006-12-15</v>
        <stp/>
        <stp>EM_S_IPO_LISTEDDATE</stp>
        <stp>1</stp>
        <stp>002095</stp>
        <tr r="AT1584" s="1"/>
      </tp>
      <tp t="s">
        <v>2006-12-15</v>
        <stp/>
        <stp>EM_S_IPO_LISTEDDATE</stp>
        <stp>1</stp>
        <stp>002094</stp>
        <tr r="AT2354" s="1"/>
      </tp>
      <tp t="s">
        <v>2006-12-22</v>
        <stp/>
        <stp>EM_S_IPO_LISTEDDATE</stp>
        <stp>1</stp>
        <stp>002097</stp>
        <tr r="AT1946" s="1"/>
      </tp>
      <tp t="s">
        <v>2000-07-24</v>
        <stp/>
        <stp>EM_S_IPO_LISTEDDATE</stp>
        <stp>1</stp>
        <stp>000096</stp>
        <tr r="AT1146" s="1"/>
      </tp>
      <tp t="s">
        <v>2006-12-22</v>
        <stp/>
        <stp>EM_S_IPO_LISTEDDATE</stp>
        <stp>1</stp>
        <stp>002096</stp>
        <tr r="AT3632" s="1"/>
      </tp>
      <tp t="s">
        <v>2006-12-08</v>
        <stp/>
        <stp>EM_S_IPO_LISTEDDATE</stp>
        <stp>1</stp>
        <stp>002091</stp>
        <tr r="AT1200" s="1"/>
      </tp>
      <tp t="s">
        <v>1999-07-21</v>
        <stp/>
        <stp>EM_S_IPO_LISTEDDATE</stp>
        <stp>1</stp>
        <stp>000090</stp>
        <tr r="AT479" s="1"/>
      </tp>
      <tp t="s">
        <v>2006-12-08</v>
        <stp/>
        <stp>EM_S_IPO_LISTEDDATE</stp>
        <stp>1</stp>
        <stp>002090</stp>
        <tr r="AT3281" s="1"/>
      </tp>
      <tp t="s">
        <v>2006-12-15</v>
        <stp/>
        <stp>EM_S_IPO_LISTEDDATE</stp>
        <stp>1</stp>
        <stp>002093</stp>
        <tr r="AT3631" s="1"/>
      </tp>
      <tp t="s">
        <v>2006-12-08</v>
        <stp/>
        <stp>EM_S_IPO_LISTEDDATE</stp>
        <stp>1</stp>
        <stp>002092</stp>
        <tr r="AT2499" s="1"/>
      </tp>
      <tp t="s">
        <v>1998-04-20</v>
        <stp/>
        <stp>EM_S_IPO_LISTEDDATE</stp>
        <stp>1</stp>
        <stp>000089</stp>
        <tr r="AT1035" s="1"/>
      </tp>
      <tp t="s">
        <v>2006-11-30</v>
        <stp/>
        <stp>EM_S_IPO_LISTEDDATE</stp>
        <stp>1</stp>
        <stp>002089</stp>
        <tr r="AT3630" s="1"/>
      </tp>
      <tp t="s">
        <v>1997-07-28</v>
        <stp/>
        <stp>EM_S_IPO_LISTEDDATE</stp>
        <stp>1</stp>
        <stp>000088</stp>
        <tr r="AT1566" s="1"/>
      </tp>
      <tp t="s">
        <v>2006-11-30</v>
        <stp/>
        <stp>EM_S_IPO_LISTEDDATE</stp>
        <stp>1</stp>
        <stp>002088</stp>
        <tr r="AT1065" s="1"/>
      </tp>
      <tp t="s">
        <v>2006-11-28</v>
        <stp/>
        <stp>EM_S_IPO_LISTEDDATE</stp>
        <stp>1</stp>
        <stp>002085</stp>
        <tr r="AT2749" s="1"/>
      </tp>
      <tp t="s">
        <v>2006-11-24</v>
        <stp/>
        <stp>EM_S_IPO_LISTEDDATE</stp>
        <stp>1</stp>
        <stp>002084</stp>
        <tr r="AT346" s="1"/>
      </tp>
      <tp t="s">
        <v>2006-11-30</v>
        <stp/>
        <stp>EM_S_IPO_LISTEDDATE</stp>
        <stp>1</stp>
        <stp>002087</stp>
        <tr r="AT2227" s="1"/>
      </tp>
      <tp t="s">
        <v>2006-11-28</v>
        <stp/>
        <stp>EM_S_IPO_LISTEDDATE</stp>
        <stp>1</stp>
        <stp>002086</stp>
        <tr r="AT3629" s="1"/>
      </tp>
      <tp t="s">
        <v>2006-11-20</v>
        <stp/>
        <stp>EM_S_IPO_LISTEDDATE</stp>
        <stp>1</stp>
        <stp>002081</stp>
        <tr r="AT1856" s="1"/>
      </tp>
      <tp t="s">
        <v>2006-11-20</v>
        <stp/>
        <stp>EM_S_IPO_LISTEDDATE</stp>
        <stp>1</stp>
        <stp>002080</stp>
        <tr r="AT599" s="1"/>
      </tp>
      <tp t="s">
        <v>2006-11-24</v>
        <stp/>
        <stp>EM_S_IPO_LISTEDDATE</stp>
        <stp>1</stp>
        <stp>002083</stp>
        <tr r="AT1111" s="1"/>
      </tp>
      <tp t="s">
        <v>2006-11-20</v>
        <stp/>
        <stp>EM_S_IPO_LISTEDDATE</stp>
        <stp>1</stp>
        <stp>002082</stp>
        <tr r="AT3628" s="1"/>
      </tp>
      <tp t="s">
        <v>2010-06-25</v>
        <stp/>
        <stp>EM_S_IPO_LISTEDDATE</stp>
        <stp>1</stp>
        <stp>300089</stp>
        <tr r="AT3253" s="1"/>
      </tp>
      <tp t="s">
        <v>2010-05-26</v>
        <stp/>
        <stp>EM_S_IPO_LISTEDDATE</stp>
        <stp>1</stp>
        <stp>300088</stp>
        <tr r="AT96" s="1"/>
      </tp>
      <tp t="s">
        <v>2010-05-26</v>
        <stp/>
        <stp>EM_S_IPO_LISTEDDATE</stp>
        <stp>1</stp>
        <stp>300085</stp>
        <tr r="AT175" s="1"/>
      </tp>
      <tp t="s">
        <v>2010-05-20</v>
        <stp/>
        <stp>EM_S_IPO_LISTEDDATE</stp>
        <stp>1</stp>
        <stp>300084</stp>
        <tr r="AT2639" s="1"/>
      </tp>
      <tp t="s">
        <v>2010-05-26</v>
        <stp/>
        <stp>EM_S_IPO_LISTEDDATE</stp>
        <stp>1</stp>
        <stp>300087</stp>
        <tr r="AT2662" s="1"/>
      </tp>
      <tp t="s">
        <v>2010-05-26</v>
        <stp/>
        <stp>EM_S_IPO_LISTEDDATE</stp>
        <stp>1</stp>
        <stp>300086</stp>
        <tr r="AT3069" s="1"/>
      </tp>
      <tp t="s">
        <v>2010-05-20</v>
        <stp/>
        <stp>EM_S_IPO_LISTEDDATE</stp>
        <stp>1</stp>
        <stp>300081</stp>
        <tr r="AT1430" s="1"/>
      </tp>
      <tp t="s">
        <v>2010-06-25</v>
        <stp/>
        <stp>EM_S_IPO_LISTEDDATE</stp>
        <stp>1</stp>
        <stp>300080</stp>
        <tr r="AT1199" s="1"/>
      </tp>
      <tp t="s">
        <v>2010-05-20</v>
        <stp/>
        <stp>EM_S_IPO_LISTEDDATE</stp>
        <stp>1</stp>
        <stp>300083</stp>
        <tr r="AT377" s="1"/>
      </tp>
      <tp t="s">
        <v>2010-05-20</v>
        <stp/>
        <stp>EM_S_IPO_LISTEDDATE</stp>
        <stp>1</stp>
        <stp>300082</stp>
        <tr r="AT2238" s="1"/>
      </tp>
      <tp t="s">
        <v>2010-08-06</v>
        <stp/>
        <stp>EM_S_IPO_LISTEDDATE</stp>
        <stp>1</stp>
        <stp>300099</stp>
        <tr r="AT551" s="1"/>
      </tp>
      <tp t="s">
        <v>2010-07-28</v>
        <stp/>
        <stp>EM_S_IPO_LISTEDDATE</stp>
        <stp>1</stp>
        <stp>300098</stp>
        <tr r="AT2821" s="1"/>
      </tp>
      <tp t="s">
        <v>2010-07-28</v>
        <stp/>
        <stp>EM_S_IPO_LISTEDDATE</stp>
        <stp>1</stp>
        <stp>300095</stp>
        <tr r="AT950" s="1"/>
      </tp>
      <tp t="s">
        <v>2010-07-08</v>
        <stp/>
        <stp>EM_S_IPO_LISTEDDATE</stp>
        <stp>1</stp>
        <stp>300094</stp>
        <tr r="AT2998" s="1"/>
      </tp>
      <tp t="s">
        <v>2010-07-28</v>
        <stp/>
        <stp>EM_S_IPO_LISTEDDATE</stp>
        <stp>1</stp>
        <stp>300097</stp>
        <tr r="AT2911" s="1"/>
      </tp>
      <tp t="s">
        <v>2010-07-28</v>
        <stp/>
        <stp>EM_S_IPO_LISTEDDATE</stp>
        <stp>1</stp>
        <stp>300096</stp>
        <tr r="AT1359" s="1"/>
      </tp>
      <tp t="s">
        <v>2010-06-25</v>
        <stp/>
        <stp>EM_S_IPO_LISTEDDATE</stp>
        <stp>1</stp>
        <stp>300091</stp>
        <tr r="AT1161" s="1"/>
      </tp>
      <tp t="s">
        <v>2010-06-25</v>
        <stp/>
        <stp>EM_S_IPO_LISTEDDATE</stp>
        <stp>1</stp>
        <stp>300090</stp>
        <tr r="AT3294" s="1"/>
      </tp>
      <tp t="s">
        <v>2010-07-08</v>
        <stp/>
        <stp>EM_S_IPO_LISTEDDATE</stp>
        <stp>1</stp>
        <stp>300093</stp>
        <tr r="AT239" s="1"/>
      </tp>
      <tp t="s">
        <v>2010-07-08</v>
        <stp/>
        <stp>EM_S_IPO_LISTEDDATE</stp>
        <stp>1</stp>
        <stp>300092</stp>
        <tr r="AT1306" s="1"/>
      </tp>
      <tp t="s">
        <v>1997-07-04</v>
        <stp/>
        <stp>EM_S_IPO_LISTEDDATE</stp>
        <stp>1</stp>
        <stp>600099</stp>
        <tr r="AT1401" s="1"/>
      </tp>
      <tp t="s">
        <v>2007-12-28</v>
        <stp/>
        <stp>EM_S_IPO_LISTEDDATE</stp>
        <stp>1</stp>
        <stp>601099</stp>
        <tr r="AT526" s="1"/>
      </tp>
      <tp t="s">
        <v>2014-08-22</v>
        <stp/>
        <stp>EM_S_IPO_LISTEDDATE</stp>
        <stp>1</stp>
        <stp>603099</stp>
        <tr r="AT1625" s="1"/>
      </tp>
      <tp t="s">
        <v>1997-07-18</v>
        <stp/>
        <stp>EM_S_IPO_LISTEDDATE</stp>
        <stp>1</stp>
        <stp>600098</stp>
        <tr r="AT1455" s="1"/>
      </tp>
      <tp t="s">
        <v>2010-10-28</v>
        <stp/>
        <stp>EM_S_IPO_LISTEDDATE</stp>
        <stp>1</stp>
        <stp>601098</stp>
        <tr r="AT2563" s="1"/>
      </tp>
      <tp t="s">
        <v>2016-12-16</v>
        <stp/>
        <stp>EM_S_IPO_LISTEDDATE</stp>
        <stp>1</stp>
        <stp>603098</stp>
        <tr r="AT3054" s="1"/>
      </tp>
      <tp t="s">
        <v>1997-07-08</v>
        <stp/>
        <stp>EM_S_IPO_LISTEDDATE</stp>
        <stp>1</stp>
        <stp>600095</stp>
        <tr r="AT100" s="1"/>
      </tp>
      <tp t="s">
        <v>1997-07-03</v>
        <stp/>
        <stp>EM_S_IPO_LISTEDDATE</stp>
        <stp>1</stp>
        <stp>600094</stp>
        <tr r="AT451" s="1"/>
      </tp>
      <tp t="s">
        <v>1997-06-19</v>
        <stp/>
        <stp>EM_S_IPO_LISTEDDATE</stp>
        <stp>1</stp>
        <stp>600097</stp>
        <tr r="AT2540" s="1"/>
      </tp>
      <tp t="s">
        <v>1997-07-09</v>
        <stp/>
        <stp>EM_S_IPO_LISTEDDATE</stp>
        <stp>1</stp>
        <stp>600096</stp>
        <tr r="AT2005" s="1"/>
      </tp>
      <tp t="s">
        <v>2017-04-25</v>
        <stp/>
        <stp>EM_S_IPO_LISTEDDATE</stp>
        <stp>1</stp>
        <stp>603096</stp>
        <tr r="AT2758" s="1"/>
      </tp>
      <tp t="s">
        <v>1997-07-04</v>
        <stp/>
        <stp>EM_S_IPO_LISTEDDATE</stp>
        <stp>1</stp>
        <stp>600091</stp>
        <tr r="AT2402" s="1"/>
      </tp>
      <tp t="s">
        <v>1997-06-16</v>
        <stp/>
        <stp>EM_S_IPO_LISTEDDATE</stp>
        <stp>1</stp>
        <stp>600090</stp>
        <tr r="AT3138" s="1"/>
      </tp>
      <tp t="s">
        <v>2016-08-31</v>
        <stp/>
        <stp>EM_S_IPO_LISTEDDATE</stp>
        <stp>1</stp>
        <stp>603090</stp>
        <tr r="AT1077" s="1"/>
      </tp>
      <tp t="s">
        <v>1997-06-26</v>
        <stp/>
        <stp>EM_S_IPO_LISTEDDATE</stp>
        <stp>1</stp>
        <stp>600093</stp>
        <tr r="AT227" s="1"/>
      </tp>
      <tp t="s">
        <v>1997-06-26</v>
        <stp/>
        <stp>EM_S_IPO_LISTEDDATE</stp>
        <stp>1</stp>
        <stp>600092</stp>
        <tr r="AT2291" s="1"/>
      </tp>
      <tp t="s">
        <v>1997-06-18</v>
        <stp/>
        <stp>EM_S_IPO_LISTEDDATE</stp>
        <stp>1</stp>
        <stp>600089</stp>
        <tr r="AT2447" s="1"/>
      </tp>
      <tp t="s">
        <v>2017-01-26</v>
        <stp/>
        <stp>EM_S_IPO_LISTEDDATE</stp>
        <stp>1</stp>
        <stp>603089</stp>
        <tr r="AT2683" s="1"/>
      </tp>
      <tp t="s">
        <v>1997-06-16</v>
        <stp/>
        <stp>EM_S_IPO_LISTEDDATE</stp>
        <stp>1</stp>
        <stp>600088</stp>
        <tr r="AT412" s="1"/>
      </tp>
      <tp t="s">
        <v>2007-10-09</v>
        <stp/>
        <stp>EM_S_IPO_LISTEDDATE</stp>
        <stp>1</stp>
        <stp>601088</stp>
        <tr r="AT2181" s="1"/>
      </tp>
      <tp t="s">
        <v>2014-11-11</v>
        <stp/>
        <stp>EM_S_IPO_LISTEDDATE</stp>
        <stp>1</stp>
        <stp>603088</stp>
        <tr r="AT3087" s="1"/>
      </tp>
      <tp t="s">
        <v>1997-06-25</v>
        <stp/>
        <stp>EM_S_IPO_LISTEDDATE</stp>
        <stp>1</stp>
        <stp>600085</stp>
        <tr r="AT2188" s="1"/>
      </tp>
      <tp t="s">
        <v>2015-06-30</v>
        <stp/>
        <stp>EM_S_IPO_LISTEDDATE</stp>
        <stp>1</stp>
        <stp>603085</stp>
        <tr r="AT1947" s="1"/>
      </tp>
      <tp t="s">
        <v>1997-07-11</v>
        <stp/>
        <stp>EM_S_IPO_LISTEDDATE</stp>
        <stp>1</stp>
        <stp>600084</stp>
        <tr r="AT2817" s="1"/>
      </tp>
      <tp t="s">
        <v>1997-06-12</v>
        <stp/>
        <stp>EM_S_IPO_LISTEDDATE</stp>
        <stp>1</stp>
        <stp>600087</stp>
        <tr r="AT2290" s="1"/>
      </tp>
      <tp t="s">
        <v>1997-06-06</v>
        <stp/>
        <stp>EM_S_IPO_LISTEDDATE</stp>
        <stp>1</stp>
        <stp>600086</stp>
        <tr r="AT3319" s="1"/>
      </tp>
      <tp t="s">
        <v>2017-09-29</v>
        <stp/>
        <stp>EM_S_IPO_LISTEDDATE</stp>
        <stp>1</stp>
        <stp>601086</stp>
        <tr r="AT2246" s="1"/>
      </tp>
      <tp t="s">
        <v>2017-05-11</v>
        <stp/>
        <stp>EM_S_IPO_LISTEDDATE</stp>
        <stp>1</stp>
        <stp>603086</stp>
        <tr r="AT1630" s="1"/>
      </tp>
      <tp t="s">
        <v>1997-07-03</v>
        <stp/>
        <stp>EM_S_IPO_LISTEDDATE</stp>
        <stp>1</stp>
        <stp>600081</stp>
        <tr r="AT405" s="1"/>
      </tp>
      <tp t="s">
        <v>2017-04-20</v>
        <stp/>
        <stp>EM_S_IPO_LISTEDDATE</stp>
        <stp>1</stp>
        <stp>603081</stp>
        <tr r="AT617" s="1"/>
      </tp>
      <tp t="s">
        <v>1997-06-12</v>
        <stp/>
        <stp>EM_S_IPO_LISTEDDATE</stp>
        <stp>1</stp>
        <stp>600080</stp>
        <tr r="AT2993" s="1"/>
      </tp>
      <tp t="s">
        <v>2018-01-03</v>
        <stp/>
        <stp>EM_S_IPO_LISTEDDATE</stp>
        <stp>1</stp>
        <stp>603080</stp>
        <tr r="AT3079" s="1"/>
      </tp>
      <tp t="s">
        <v>1997-06-06</v>
        <stp/>
        <stp>EM_S_IPO_LISTEDDATE</stp>
        <stp>1</stp>
        <stp>600083</stp>
        <tr r="AT1494" s="1"/>
      </tp>
      <tp t="s">
        <v>2017-11-10</v>
        <stp/>
        <stp>EM_S_IPO_LISTEDDATE</stp>
        <stp>1</stp>
        <stp>603083</stp>
        <tr r="AT1659" s="1"/>
      </tp>
      <tp t="s">
        <v>1997-06-20</v>
        <stp/>
        <stp>EM_S_IPO_LISTEDDATE</stp>
        <stp>1</stp>
        <stp>600082</stp>
        <tr r="AT2681" s="1"/>
      </tp>
      <tp t="s">
        <v>1992-10-12</v>
        <stp/>
        <stp>EM_S_IPO_LISTEDDATE</stp>
        <stp>1</stp>
        <stp>000019</stp>
        <tr r="AT2891" s="1"/>
      </tp>
      <tp t="s">
        <v>2009-12-25</v>
        <stp/>
        <stp>EM_S_IPO_LISTEDDATE</stp>
        <stp>1</stp>
        <stp>300029</stp>
        <tr r="AT944" s="1"/>
      </tp>
      <tp t="s">
        <v>1997-06-06</v>
        <stp/>
        <stp>EM_S_IPO_LISTEDDATE</stp>
        <stp>1</stp>
        <stp>600079</stp>
        <tr r="AT1010" s="1"/>
      </tp>
      <tp t="s">
        <v>2004-07-13</v>
        <stp/>
        <stp>EM_S_IPO_LISTEDDATE</stp>
        <stp>1</stp>
        <stp>002019</stp>
        <tr r="AT581" s="1"/>
      </tp>
      <tp t="s">
        <v>2017-08-23</v>
        <stp/>
        <stp>EM_S_IPO_LISTEDDATE</stp>
        <stp>1</stp>
        <stp>603079</stp>
        <tr r="AT90" s="1"/>
      </tp>
      <tp t="s">
        <v>1992-06-16</v>
        <stp/>
        <stp>EM_S_IPO_LISTEDDATE</stp>
        <stp>1</stp>
        <stp>000018</stp>
        <tr r="AT3409" s="1"/>
      </tp>
      <tp t="s">
        <v>2009-10-30</v>
        <stp/>
        <stp>EM_S_IPO_LISTEDDATE</stp>
        <stp>1</stp>
        <stp>300028</stp>
        <tr r="AT2280" s="1"/>
      </tp>
      <tp t="s">
        <v>1997-06-27</v>
        <stp/>
        <stp>EM_S_IPO_LISTEDDATE</stp>
        <stp>1</stp>
        <stp>600078</stp>
        <tr r="AT391" s="1"/>
      </tp>
      <tp t="s">
        <v>2004-07-13</v>
        <stp/>
        <stp>EM_S_IPO_LISTEDDATE</stp>
        <stp>1</stp>
        <stp>002018</stp>
        <tr r="AT3608" s="1"/>
      </tp>
      <tp t="s">
        <v>2017-04-10</v>
        <stp/>
        <stp>EM_S_IPO_LISTEDDATE</stp>
        <stp>1</stp>
        <stp>603078</stp>
        <tr r="AT1260" s="1"/>
      </tp>
      <tp t="s">
        <v>1992-06-25</v>
        <stp/>
        <stp>EM_S_IPO_LISTEDDATE</stp>
        <stp>1</stp>
        <stp>000015</stp>
        <tr r="AT2273" s="1"/>
      </tp>
      <tp t="s">
        <v>2009-10-30</v>
        <stp/>
        <stp>EM_S_IPO_LISTEDDATE</stp>
        <stp>1</stp>
        <stp>300025</stp>
        <tr r="AT1834" s="1"/>
      </tp>
      <tp t="s">
        <v>1997-06-17</v>
        <stp/>
        <stp>EM_S_IPO_LISTEDDATE</stp>
        <stp>1</stp>
        <stp>600075</stp>
        <tr r="AT1714" s="1"/>
      </tp>
      <tp t="s">
        <v>2004-07-08</v>
        <stp/>
        <stp>EM_S_IPO_LISTEDDATE</stp>
        <stp>1</stp>
        <stp>002015</stp>
        <tr r="AT1673" s="1"/>
      </tp>
      <tp t="s">
        <v>1992-06-02</v>
        <stp/>
        <stp>EM_S_IPO_LISTEDDATE</stp>
        <stp>1</stp>
        <stp>000014</stp>
        <tr r="AT2219" s="1"/>
      </tp>
      <tp t="s">
        <v>2009-10-30</v>
        <stp/>
        <stp>EM_S_IPO_LISTEDDATE</stp>
        <stp>1</stp>
        <stp>300024</stp>
        <tr r="AT1953" s="1"/>
      </tp>
      <tp t="s">
        <v>1997-06-23</v>
        <stp/>
        <stp>EM_S_IPO_LISTEDDATE</stp>
        <stp>1</stp>
        <stp>600074</stp>
        <tr r="AT2876" s="1"/>
      </tp>
      <tp t="s">
        <v>2004-07-08</v>
        <stp/>
        <stp>EM_S_IPO_LISTEDDATE</stp>
        <stp>1</stp>
        <stp>002014</stp>
        <tr r="AT643" s="1"/>
      </tp>
      <tp t="s">
        <v>1992-03-31</v>
        <stp/>
        <stp>EM_S_IPO_LISTEDDATE</stp>
        <stp>1</stp>
        <stp>000017</stp>
        <tr r="AT2076" s="1"/>
      </tp>
      <tp t="s">
        <v>2009-10-30</v>
        <stp/>
        <stp>EM_S_IPO_LISTEDDATE</stp>
        <stp>1</stp>
        <stp>300027</stp>
        <tr r="AT2241" s="1"/>
      </tp>
      <tp t="s">
        <v>1997-05-20</v>
        <stp/>
        <stp>EM_S_IPO_LISTEDDATE</stp>
        <stp>1</stp>
        <stp>600077</stp>
        <tr r="AT1551" s="1"/>
      </tp>
      <tp t="s">
        <v>2004-07-13</v>
        <stp/>
        <stp>EM_S_IPO_LISTEDDATE</stp>
        <stp>1</stp>
        <stp>002017</stp>
        <tr r="AT3607" s="1"/>
      </tp>
      <tp t="s">
        <v>2012-07-31</v>
        <stp/>
        <stp>EM_S_IPO_LISTEDDATE</stp>
        <stp>1</stp>
        <stp>603077</stp>
        <tr r="AT2778" s="1"/>
      </tp>
      <tp t="s">
        <v>1992-03-27</v>
        <stp/>
        <stp>EM_S_IPO_LISTEDDATE</stp>
        <stp>1</stp>
        <stp>000016</stp>
        <tr r="AT767" s="1"/>
      </tp>
      <tp t="s">
        <v>2009-10-30</v>
        <stp/>
        <stp>EM_S_IPO_LISTEDDATE</stp>
        <stp>1</stp>
        <stp>300026</stp>
        <tr r="AT1577" s="1"/>
      </tp>
      <tp t="s">
        <v>1997-05-26</v>
        <stp/>
        <stp>EM_S_IPO_LISTEDDATE</stp>
        <stp>1</stp>
        <stp>600076</stp>
        <tr r="AT2007" s="1"/>
      </tp>
      <tp t="s">
        <v>2004-07-08</v>
        <stp/>
        <stp>EM_S_IPO_LISTEDDATE</stp>
        <stp>1</stp>
        <stp>002016</stp>
        <tr r="AT2526" s="1"/>
      </tp>
      <tp t="s">
        <v>2017-11-13</v>
        <stp/>
        <stp>EM_S_IPO_LISTEDDATE</stp>
        <stp>1</stp>
        <stp>603076</stp>
        <tr r="AT2382" s="1"/>
      </tp>
      <tp t="s">
        <v>1992-03-30</v>
        <stp/>
        <stp>EM_S_IPO_LISTEDDATE</stp>
        <stp>1</stp>
        <stp>000011</stp>
        <tr r="AT1983" s="1"/>
      </tp>
      <tp t="s">
        <v>2009-10-30</v>
        <stp/>
        <stp>EM_S_IPO_LISTEDDATE</stp>
        <stp>1</stp>
        <stp>300021</stp>
        <tr r="AT1058" s="1"/>
      </tp>
      <tp t="s">
        <v>1997-05-28</v>
        <stp/>
        <stp>EM_S_IPO_LISTEDDATE</stp>
        <stp>1</stp>
        <stp>600071</stp>
        <tr r="AT523" s="1"/>
      </tp>
      <tp t="s">
        <v>2004-07-05</v>
        <stp/>
        <stp>EM_S_IPO_LISTEDDATE</stp>
        <stp>1</stp>
        <stp>002011</stp>
        <tr r="AT3606" s="1"/>
      </tp>
      <tp t="s">
        <v>1995-10-27</v>
        <stp/>
        <stp>EM_S_IPO_LISTEDDATE</stp>
        <stp>1</stp>
        <stp>000010</stp>
        <tr r="AT2039" s="1"/>
      </tp>
      <tp t="s">
        <v>2009-10-30</v>
        <stp/>
        <stp>EM_S_IPO_LISTEDDATE</stp>
        <stp>1</stp>
        <stp>300020</stp>
        <tr r="AT927" s="1"/>
      </tp>
      <tp t="s">
        <v>1997-06-04</v>
        <stp/>
        <stp>EM_S_IPO_LISTEDDATE</stp>
        <stp>1</stp>
        <stp>600070</stp>
        <tr r="AT667" s="1"/>
      </tp>
      <tp t="s">
        <v>2004-06-29</v>
        <stp/>
        <stp>EM_S_IPO_LISTEDDATE</stp>
        <stp>1</stp>
        <stp>002010</stp>
        <tr r="AT1950" s="1"/>
      </tp>
      <tp t="s">
        <v>1992-05-06</v>
        <stp/>
        <stp>EM_S_IPO_LISTEDDATE</stp>
        <stp>1</stp>
        <stp>000013</stp>
        <tr r="AT2272" s="1"/>
      </tp>
      <tp t="s">
        <v>2009-10-30</v>
        <stp/>
        <stp>EM_S_IPO_LISTEDDATE</stp>
        <stp>1</stp>
        <stp>300023</stp>
        <tr r="AT1352" s="1"/>
      </tp>
      <tp t="s">
        <v>1997-07-04</v>
        <stp/>
        <stp>EM_S_IPO_LISTEDDATE</stp>
        <stp>1</stp>
        <stp>600073</stp>
        <tr r="AT1973" s="1"/>
      </tp>
      <tp t="s">
        <v>2004-07-05</v>
        <stp/>
        <stp>EM_S_IPO_LISTEDDATE</stp>
        <stp>1</stp>
        <stp>002013</stp>
        <tr r="AT1925" s="1"/>
      </tp>
      <tp t="s">
        <v>1992-02-28</v>
        <stp/>
        <stp>EM_S_IPO_LISTEDDATE</stp>
        <stp>1</stp>
        <stp>000012</stp>
        <tr r="AT741" s="1"/>
      </tp>
      <tp t="s">
        <v>2009-10-30</v>
        <stp/>
        <stp>EM_S_IPO_LISTEDDATE</stp>
        <stp>1</stp>
        <stp>300022</stp>
        <tr r="AT1917" s="1"/>
      </tp>
      <tp t="s">
        <v>1997-06-03</v>
        <stp/>
        <stp>EM_S_IPO_LISTEDDATE</stp>
        <stp>1</stp>
        <stp>600072</stp>
        <tr r="AT198" s="1"/>
      </tp>
      <tp t="s">
        <v>2004-07-05</v>
        <stp/>
        <stp>EM_S_IPO_LISTEDDATE</stp>
        <stp>1</stp>
        <stp>002012</stp>
        <tr r="AT608" s="1"/>
      </tp>
      <tp t="s">
        <v>1991-06-25</v>
        <stp/>
        <stp>EM_S_IPO_LISTEDDATE</stp>
        <stp>1</stp>
        <stp>000009</stp>
        <tr r="AT295" s="1"/>
      </tp>
      <tp t="s">
        <v>2010-01-08</v>
        <stp/>
        <stp>EM_S_IPO_LISTEDDATE</stp>
        <stp>1</stp>
        <stp>300039</stp>
        <tr r="AT1356" s="1"/>
      </tp>
      <tp t="s">
        <v>1997-04-30</v>
        <stp/>
        <stp>EM_S_IPO_LISTEDDATE</stp>
        <stp>1</stp>
        <stp>600069</stp>
        <tr r="AT2650" s="1"/>
      </tp>
      <tp t="s">
        <v>2015-01-22</v>
        <stp/>
        <stp>EM_S_IPO_LISTEDDATE</stp>
        <stp>1</stp>
        <stp>601069</stp>
        <tr r="AT2244" s="1"/>
      </tp>
      <tp t="s">
        <v>2004-06-29</v>
        <stp/>
        <stp>EM_S_IPO_LISTEDDATE</stp>
        <stp>1</stp>
        <stp>002009</stp>
        <tr r="AT2192" s="1"/>
      </tp>
      <tp t="s">
        <v>2016-07-12</v>
        <stp/>
        <stp>EM_S_IPO_LISTEDDATE</stp>
        <stp>1</stp>
        <stp>603069</stp>
        <tr r="AT464" s="1"/>
      </tp>
      <tp t="s">
        <v>1992-05-07</v>
        <stp/>
        <stp>EM_S_IPO_LISTEDDATE</stp>
        <stp>1</stp>
        <stp>000008</stp>
        <tr r="AT2627" s="1"/>
      </tp>
      <tp t="s">
        <v>2010-01-08</v>
        <stp/>
        <stp>EM_S_IPO_LISTEDDATE</stp>
        <stp>1</stp>
        <stp>300038</stp>
        <tr r="AT2648" s="1"/>
      </tp>
      <tp t="s">
        <v>1997-05-26</v>
        <stp/>
        <stp>EM_S_IPO_LISTEDDATE</stp>
        <stp>1</stp>
        <stp>600068</stp>
        <tr r="AT2190" s="1"/>
      </tp>
      <tp t="s">
        <v>2004-06-25</v>
        <stp/>
        <stp>EM_S_IPO_LISTEDDATE</stp>
        <stp>1</stp>
        <stp>002008</stp>
        <tr r="AT3605" s="1"/>
      </tp>
      <tp t="s">
        <v>1990-12-10</v>
        <stp/>
        <stp>EM_S_IPO_LISTEDDATE</stp>
        <stp>1</stp>
        <stp>000005</stp>
        <tr r="AT1466" s="1"/>
      </tp>
      <tp t="s">
        <v>2009-12-25</v>
        <stp/>
        <stp>EM_S_IPO_LISTEDDATE</stp>
        <stp>1</stp>
        <stp>300035</stp>
        <tr r="AT263" s="1"/>
      </tp>
      <tp t="s">
        <v>1997-05-23</v>
        <stp/>
        <stp>EM_S_IPO_LISTEDDATE</stp>
        <stp>1</stp>
        <stp>600065</stp>
        <tr r="AT2289" s="1"/>
      </tp>
      <tp t="s">
        <v>2004-06-25</v>
        <stp/>
        <stp>EM_S_IPO_LISTEDDATE</stp>
        <stp>1</stp>
        <stp>002005</stp>
        <tr r="AT3604" s="1"/>
      </tp>
      <tp t="s">
        <v>1991-01-14</v>
        <stp/>
        <stp>EM_S_IPO_LISTEDDATE</stp>
        <stp>1</stp>
        <stp>000004</stp>
        <tr r="AT715" s="1"/>
      </tp>
      <tp t="s">
        <v>2009-12-25</v>
        <stp/>
        <stp>EM_S_IPO_LISTEDDATE</stp>
        <stp>1</stp>
        <stp>300034</stp>
        <tr r="AT226" s="1"/>
      </tp>
      <tp t="s">
        <v>1997-05-06</v>
        <stp/>
        <stp>EM_S_IPO_LISTEDDATE</stp>
        <stp>1</stp>
        <stp>600064</stp>
        <tr r="AT1144" s="1"/>
      </tp>
      <tp t="s">
        <v>2004-06-25</v>
        <stp/>
        <stp>EM_S_IPO_LISTEDDATE</stp>
        <stp>1</stp>
        <stp>002004</stp>
        <tr r="AT1958" s="1"/>
      </tp>
      <tp t="s">
        <v>1992-04-13</v>
        <stp/>
        <stp>EM_S_IPO_LISTEDDATE</stp>
        <stp>1</stp>
        <stp>000007</stp>
        <tr r="AT1370" s="1"/>
      </tp>
      <tp t="s">
        <v>2010-01-08</v>
        <stp/>
        <stp>EM_S_IPO_LISTEDDATE</stp>
        <stp>1</stp>
        <stp>300037</stp>
        <tr r="AT533" s="1"/>
      </tp>
      <tp t="s">
        <v>1997-05-08</v>
        <stp/>
        <stp>EM_S_IPO_LISTEDDATE</stp>
        <stp>1</stp>
        <stp>600067</stp>
        <tr r="AT1911" s="1"/>
      </tp>
      <tp t="s">
        <v>2004-06-25</v>
        <stp/>
        <stp>EM_S_IPO_LISTEDDATE</stp>
        <stp>1</stp>
        <stp>002007</stp>
        <tr r="AT2145" s="1"/>
      </tp>
      <tp t="s">
        <v>2016-09-13</v>
        <stp/>
        <stp>EM_S_IPO_LISTEDDATE</stp>
        <stp>1</stp>
        <stp>603067</stp>
        <tr r="AT3099" s="1"/>
      </tp>
      <tp t="s">
        <v>1992-04-27</v>
        <stp/>
        <stp>EM_S_IPO_LISTEDDATE</stp>
        <stp>1</stp>
        <stp>000006</stp>
        <tr r="AT1889" s="1"/>
      </tp>
      <tp t="s">
        <v>2009-12-25</v>
        <stp/>
        <stp>EM_S_IPO_LISTEDDATE</stp>
        <stp>1</stp>
        <stp>300036</stp>
        <tr r="AT1798" s="1"/>
      </tp>
      <tp t="s">
        <v>1997-05-08</v>
        <stp/>
        <stp>EM_S_IPO_LISTEDDATE</stp>
        <stp>1</stp>
        <stp>600066</stp>
        <tr r="AT1296" s="1"/>
      </tp>
      <tp t="s">
        <v>2018-06-20</v>
        <stp/>
        <stp>EM_S_IPO_LISTEDDATE</stp>
        <stp>1</stp>
        <stp>601066</stp>
        <tr r="AT31" s="1"/>
      </tp>
      <tp t="s">
        <v>2004-06-25</v>
        <stp/>
        <stp>EM_S_IPO_LISTEDDATE</stp>
        <stp>1</stp>
        <stp>002006</stp>
        <tr r="AT2930" s="1"/>
      </tp>
      <tp t="s">
        <v>2015-06-11</v>
        <stp/>
        <stp>EM_S_IPO_LISTEDDATE</stp>
        <stp>1</stp>
        <stp>603066</stp>
        <tr r="AT1845" s="1"/>
      </tp>
      <tp t="s">
        <v>1991-04-03</v>
        <stp/>
        <stp>EM_S_IPO_LISTEDDATE</stp>
        <stp>1</stp>
        <stp>000001</stp>
        <tr r="AT265" s="1"/>
      </tp>
      <tp t="s">
        <v>2009-12-25</v>
        <stp/>
        <stp>EM_S_IPO_LISTEDDATE</stp>
        <stp>1</stp>
        <stp>300031</stp>
        <tr r="AT1669" s="1"/>
      </tp>
      <tp t="s">
        <v>1997-05-19</v>
        <stp/>
        <stp>EM_S_IPO_LISTEDDATE</stp>
        <stp>1</stp>
        <stp>600061</stp>
        <tr r="AT518" s="1"/>
      </tp>
      <tp t="s">
        <v>2004-06-25</v>
        <stp/>
        <stp>EM_S_IPO_LISTEDDATE</stp>
        <stp>1</stp>
        <stp>002001</stp>
        <tr r="AT565" s="1"/>
      </tp>
      <tp t="s">
        <v>2009-12-25</v>
        <stp/>
        <stp>EM_S_IPO_LISTEDDATE</stp>
        <stp>1</stp>
        <stp>300030</stp>
        <tr r="AT663" s="1"/>
      </tp>
      <tp t="s">
        <v>1997-04-22</v>
        <stp/>
        <stp>EM_S_IPO_LISTEDDATE</stp>
        <stp>1</stp>
        <stp>600060</stp>
        <tr r="AT1112" s="1"/>
      </tp>
      <tp t="s">
        <v>2016-11-09</v>
        <stp/>
        <stp>EM_S_IPO_LISTEDDATE</stp>
        <stp>1</stp>
        <stp>603060</stp>
        <tr r="AT1134" s="1"/>
      </tp>
      <tp t="s">
        <v>1991-07-03</v>
        <stp/>
        <stp>EM_S_IPO_LISTEDDATE</stp>
        <stp>1</stp>
        <stp>000003</stp>
        <tr r="AT2271" s="1"/>
      </tp>
      <tp t="s">
        <v>2009-12-25</v>
        <stp/>
        <stp>EM_S_IPO_LISTEDDATE</stp>
        <stp>1</stp>
        <stp>300033</stp>
        <tr r="AT49" s="1"/>
      </tp>
      <tp t="s">
        <v>1997-05-28</v>
        <stp/>
        <stp>EM_S_IPO_LISTEDDATE</stp>
        <stp>1</stp>
        <stp>600063</stp>
        <tr r="AT327" s="1"/>
      </tp>
      <tp t="s">
        <v>2004-06-25</v>
        <stp/>
        <stp>EM_S_IPO_LISTEDDATE</stp>
        <stp>1</stp>
        <stp>002003</stp>
        <tr r="AT2851" s="1"/>
      </tp>
      <tp t="s">
        <v>2017-07-28</v>
        <stp/>
        <stp>EM_S_IPO_LISTEDDATE</stp>
        <stp>1</stp>
        <stp>603063</stp>
        <tr r="AT636" s="1"/>
      </tp>
      <tp t="s">
        <v>1991-01-29</v>
        <stp/>
        <stp>EM_S_IPO_LISTEDDATE</stp>
        <stp>1</stp>
        <stp>000002</stp>
        <tr r="AT725" s="1"/>
      </tp>
      <tp t="s">
        <v>2009-12-25</v>
        <stp/>
        <stp>EM_S_IPO_LISTEDDATE</stp>
        <stp>1</stp>
        <stp>300032</stp>
        <tr r="AT987" s="1"/>
      </tp>
      <tp t="s">
        <v>1997-05-22</v>
        <stp/>
        <stp>EM_S_IPO_LISTEDDATE</stp>
        <stp>1</stp>
        <stp>600062</stp>
        <tr r="AT1938" s="1"/>
      </tp>
      <tp t="s">
        <v>2004-06-25</v>
        <stp/>
        <stp>EM_S_IPO_LISTEDDATE</stp>
        <stp>1</stp>
        <stp>002002</stp>
        <tr r="AT3603" s="1"/>
      </tp>
      <tp t="s">
        <v>1994-04-08</v>
        <stp/>
        <stp>EM_S_IPO_LISTEDDATE</stp>
        <stp>1</stp>
        <stp>000039</stp>
        <tr r="AT1426" s="1"/>
      </tp>
      <tp t="s">
        <v>2009-10-30</v>
        <stp/>
        <stp>EM_S_IPO_LISTEDDATE</stp>
        <stp>1</stp>
        <stp>300009</stp>
        <tr r="AT1660" s="1"/>
      </tp>
      <tp t="s">
        <v>1997-05-16</v>
        <stp/>
        <stp>EM_S_IPO_LISTEDDATE</stp>
        <stp>1</stp>
        <stp>600059</stp>
        <tr r="AT979" s="1"/>
      </tp>
      <tp t="s">
        <v>2005-03-03</v>
        <stp/>
        <stp>EM_S_IPO_LISTEDDATE</stp>
        <stp>1</stp>
        <stp>002039</stp>
        <tr r="AT3614" s="1"/>
      </tp>
      <tp t="s">
        <v>2018-03-02</v>
        <stp/>
        <stp>EM_S_IPO_LISTEDDATE</stp>
        <stp>1</stp>
        <stp>603059</stp>
        <tr r="AT2986" s="1"/>
      </tp>
      <tp t="s">
        <v>1994-08-08</v>
        <stp/>
        <stp>EM_S_IPO_LISTEDDATE</stp>
        <stp>1</stp>
        <stp>000038</stp>
        <tr r="AT2663" s="1"/>
      </tp>
      <tp t="s">
        <v>2009-10-30</v>
        <stp/>
        <stp>EM_S_IPO_LISTEDDATE</stp>
        <stp>1</stp>
        <stp>300008</stp>
        <tr r="AT1648" s="1"/>
      </tp>
      <tp t="s">
        <v>1997-05-28</v>
        <stp/>
        <stp>EM_S_IPO_LISTEDDATE</stp>
        <stp>1</stp>
        <stp>600058</stp>
        <tr r="AT1269" s="1"/>
      </tp>
      <tp t="s">
        <v>2011-06-30</v>
        <stp/>
        <stp>EM_S_IPO_LISTEDDATE</stp>
        <stp>1</stp>
        <stp>601058</stp>
        <tr r="AT167" s="1"/>
      </tp>
      <tp t="s">
        <v>2004-09-09</v>
        <stp/>
        <stp>EM_S_IPO_LISTEDDATE</stp>
        <stp>1</stp>
        <stp>002038</stp>
        <tr r="AT3361" s="1"/>
      </tp>
      <tp t="s">
        <v>2016-12-23</v>
        <stp/>
        <stp>EM_S_IPO_LISTEDDATE</stp>
        <stp>1</stp>
        <stp>603058</stp>
        <tr r="AT3088" s="1"/>
      </tp>
      <tp t="s">
        <v>1994-04-08</v>
        <stp/>
        <stp>EM_S_IPO_LISTEDDATE</stp>
        <stp>1</stp>
        <stp>000035</stp>
        <tr r="AT1341" s="1"/>
      </tp>
      <tp t="s">
        <v>2009-10-30</v>
        <stp/>
        <stp>EM_S_IPO_LISTEDDATE</stp>
        <stp>1</stp>
        <stp>300005</stp>
        <tr r="AT801" s="1"/>
      </tp>
      <tp t="s">
        <v>1997-05-19</v>
        <stp/>
        <stp>EM_S_IPO_LISTEDDATE</stp>
        <stp>1</stp>
        <stp>600055</stp>
        <tr r="AT1416" s="1"/>
      </tp>
      <tp t="s">
        <v>2004-09-01</v>
        <stp/>
        <stp>EM_S_IPO_LISTEDDATE</stp>
        <stp>1</stp>
        <stp>002035</stp>
        <tr r="AT527" s="1"/>
      </tp>
      <tp t="s">
        <v>2017-09-21</v>
        <stp/>
        <stp>EM_S_IPO_LISTEDDATE</stp>
        <stp>1</stp>
        <stp>603055</stp>
        <tr r="AT3266" s="1"/>
      </tp>
      <tp t="s">
        <v>1994-05-09</v>
        <stp/>
        <stp>EM_S_IPO_LISTEDDATE</stp>
        <stp>1</stp>
        <stp>000034</stp>
        <tr r="AT564" s="1"/>
      </tp>
      <tp t="s">
        <v>2009-10-30</v>
        <stp/>
        <stp>EM_S_IPO_LISTEDDATE</stp>
        <stp>1</stp>
        <stp>300004</stp>
        <tr r="AT259" s="1"/>
      </tp>
      <tp t="s">
        <v>1997-05-06</v>
        <stp/>
        <stp>EM_S_IPO_LISTEDDATE</stp>
        <stp>1</stp>
        <stp>600054</stp>
        <tr r="AT2451" s="1"/>
      </tp>
      <tp t="s">
        <v>2004-08-26</v>
        <stp/>
        <stp>EM_S_IPO_LISTEDDATE</stp>
        <stp>1</stp>
        <stp>002034</stp>
        <tr r="AT3612" s="1"/>
      </tp>
      <tp t="s">
        <v>1994-07-01</v>
        <stp/>
        <stp>EM_S_IPO_LISTEDDATE</stp>
        <stp>1</stp>
        <stp>000037</stp>
        <tr r="AT68" s="1"/>
      </tp>
      <tp t="s">
        <v>2009-10-30</v>
        <stp/>
        <stp>EM_S_IPO_LISTEDDATE</stp>
        <stp>1</stp>
        <stp>300007</stp>
        <tr r="AT352" s="1"/>
      </tp>
      <tp t="s">
        <v>1997-06-04</v>
        <stp/>
        <stp>EM_S_IPO_LISTEDDATE</stp>
        <stp>1</stp>
        <stp>600057</stp>
        <tr r="AT2370" s="1"/>
      </tp>
      <tp t="s">
        <v>2004-09-08</v>
        <stp/>
        <stp>EM_S_IPO_LISTEDDATE</stp>
        <stp>1</stp>
        <stp>002037</stp>
        <tr r="AT2964" s="1"/>
      </tp>
      <tp t="s">
        <v>1994-06-17</v>
        <stp/>
        <stp>EM_S_IPO_LISTEDDATE</stp>
        <stp>1</stp>
        <stp>000036</stp>
        <tr r="AT3122" s="1"/>
      </tp>
      <tp t="s">
        <v>2009-10-30</v>
        <stp/>
        <stp>EM_S_IPO_LISTEDDATE</stp>
        <stp>1</stp>
        <stp>300006</stp>
        <tr r="AT461" s="1"/>
      </tp>
      <tp t="s">
        <v>1997-05-15</v>
        <stp/>
        <stp>EM_S_IPO_LISTEDDATE</stp>
        <stp>1</stp>
        <stp>600056</stp>
        <tr r="AT2165" s="1"/>
      </tp>
      <tp t="s">
        <v>2004-09-03</v>
        <stp/>
        <stp>EM_S_IPO_LISTEDDATE</stp>
        <stp>1</stp>
        <stp>002036</stp>
        <tr r="AT3613" s="1"/>
      </tp>
      <tp t="s">
        <v>2018-01-16</v>
        <stp/>
        <stp>EM_S_IPO_LISTEDDATE</stp>
        <stp>1</stp>
        <stp>603056</stp>
        <tr r="AT3254" s="1"/>
      </tp>
      <tp t="s">
        <v>1993-10-08</v>
        <stp/>
        <stp>EM_S_IPO_LISTEDDATE</stp>
        <stp>1</stp>
        <stp>000031</stp>
        <tr r="AT569" s="1"/>
      </tp>
      <tp t="s">
        <v>2009-10-30</v>
        <stp/>
        <stp>EM_S_IPO_LISTEDDATE</stp>
        <stp>1</stp>
        <stp>300001</stp>
        <tr r="AT2358" s="1"/>
      </tp>
      <tp t="s">
        <v>1997-04-10</v>
        <stp/>
        <stp>EM_S_IPO_LISTEDDATE</stp>
        <stp>1</stp>
        <stp>600051</stp>
        <tr r="AT1703" s="1"/>
      </tp>
      <tp t="s">
        <v>2004-08-16</v>
        <stp/>
        <stp>EM_S_IPO_LISTEDDATE</stp>
        <stp>1</stp>
        <stp>002031</stp>
        <tr r="AT1994" s="1"/>
      </tp>
      <tp t="s">
        <v>1993-09-29</v>
        <stp/>
        <stp>EM_S_IPO_LISTEDDATE</stp>
        <stp>1</stp>
        <stp>000030</stp>
        <tr r="AT883" s="1"/>
      </tp>
      <tp t="s">
        <v>2002-10-09</v>
        <stp/>
        <stp>EM_S_IPO_LISTEDDATE</stp>
        <stp>1</stp>
        <stp>600050</stp>
        <tr r="AT1536" s="1"/>
      </tp>
      <tp t="s">
        <v>2004-08-09</v>
        <stp/>
        <stp>EM_S_IPO_LISTEDDATE</stp>
        <stp>1</stp>
        <stp>002030</stp>
        <tr r="AT3610" s="1"/>
      </tp>
      <tp t="s">
        <v>2017-04-14</v>
        <stp/>
        <stp>EM_S_IPO_LISTEDDATE</stp>
        <stp>1</stp>
        <stp>603050</stp>
        <tr r="AT2950" s="1"/>
      </tp>
      <tp t="s">
        <v>1994-01-03</v>
        <stp/>
        <stp>EM_S_IPO_LISTEDDATE</stp>
        <stp>1</stp>
        <stp>000033</stp>
        <tr r="AT2275" s="1"/>
      </tp>
      <tp t="s">
        <v>2009-10-30</v>
        <stp/>
        <stp>EM_S_IPO_LISTEDDATE</stp>
        <stp>1</stp>
        <stp>300003</stp>
        <tr r="AT508" s="1"/>
      </tp>
      <tp t="s">
        <v>1997-04-18</v>
        <stp/>
        <stp>EM_S_IPO_LISTEDDATE</stp>
        <stp>1</stp>
        <stp>600053</stp>
        <tr r="AT2410" s="1"/>
      </tp>
      <tp t="s">
        <v>2004-08-25</v>
        <stp/>
        <stp>EM_S_IPO_LISTEDDATE</stp>
        <stp>1</stp>
        <stp>002033</stp>
        <tr r="AT3611" s="1"/>
      </tp>
      <tp t="s">
        <v>1993-10-28</v>
        <stp/>
        <stp>EM_S_IPO_LISTEDDATE</stp>
        <stp>1</stp>
        <stp>000032</stp>
        <tr r="AT158" s="1"/>
      </tp>
      <tp t="s">
        <v>2009-10-30</v>
        <stp/>
        <stp>EM_S_IPO_LISTEDDATE</stp>
        <stp>1</stp>
        <stp>300002</stp>
        <tr r="AT2398" s="1"/>
      </tp>
      <tp t="s">
        <v>1997-04-15</v>
        <stp/>
        <stp>EM_S_IPO_LISTEDDATE</stp>
        <stp>1</stp>
        <stp>600052</stp>
        <tr r="AT481" s="1"/>
      </tp>
      <tp t="s">
        <v>2004-08-17</v>
        <stp/>
        <stp>EM_S_IPO_LISTEDDATE</stp>
        <stp>1</stp>
        <stp>002032</stp>
        <tr r="AT638" s="1"/>
      </tp>
      <tp t="s">
        <v>1993-09-15</v>
        <stp/>
        <stp>EM_S_IPO_LISTEDDATE</stp>
        <stp>1</stp>
        <stp>000029</stp>
        <tr r="AT2341" s="1"/>
      </tp>
      <tp t="s">
        <v>2009-10-30</v>
        <stp/>
        <stp>EM_S_IPO_LISTEDDATE</stp>
        <stp>1</stp>
        <stp>300019</stp>
        <tr r="AT390" s="1"/>
      </tp>
      <tp t="s">
        <v>2004-08-06</v>
        <stp/>
        <stp>EM_S_IPO_LISTEDDATE</stp>
        <stp>1</stp>
        <stp>002029</stp>
        <tr r="AT2562" s="1"/>
      </tp>
      <tp t="s">
        <v>1993-08-09</v>
        <stp/>
        <stp>EM_S_IPO_LISTEDDATE</stp>
        <stp>1</stp>
        <stp>000028</stp>
        <tr r="AT1704" s="1"/>
      </tp>
      <tp t="s">
        <v>2009-10-30</v>
        <stp/>
        <stp>EM_S_IPO_LISTEDDATE</stp>
        <stp>1</stp>
        <stp>300018</stp>
        <tr r="AT1441" s="1"/>
      </tp>
      <tp t="s">
        <v>2006-07-31</v>
        <stp/>
        <stp>EM_S_IPO_LISTEDDATE</stp>
        <stp>1</stp>
        <stp>600048</stp>
        <tr r="AT771" s="1"/>
      </tp>
      <tp t="s">
        <v>2004-08-05</v>
        <stp/>
        <stp>EM_S_IPO_LISTEDDATE</stp>
        <stp>1</stp>
        <stp>002028</stp>
        <tr r="AT743" s="1"/>
      </tp>
      <tp t="s">
        <v>1993-06-21</v>
        <stp/>
        <stp>EM_S_IPO_LISTEDDATE</stp>
        <stp>1</stp>
        <stp>000025</stp>
        <tr r="AT1436" s="1"/>
      </tp>
      <tp t="s">
        <v>2009-10-30</v>
        <stp/>
        <stp>EM_S_IPO_LISTEDDATE</stp>
        <stp>1</stp>
        <stp>300015</stp>
        <tr r="AT607" s="1"/>
      </tp>
      <tp t="s">
        <v>2004-07-26</v>
        <stp/>
        <stp>EM_S_IPO_LISTEDDATE</stp>
        <stp>1</stp>
        <stp>002025</stp>
        <tr r="AT1156" s="1"/>
      </tp>
      <tp t="s">
        <v>2018-05-17</v>
        <stp/>
        <stp>EM_S_IPO_LISTEDDATE</stp>
        <stp>1</stp>
        <stp>603045</stp>
        <tr r="AT3358" s="1"/>
      </tp>
      <tp t="s">
        <v>1993-06-07</v>
        <stp/>
        <stp>EM_S_IPO_LISTEDDATE</stp>
        <stp>1</stp>
        <stp>000024</stp>
        <tr r="AT2274" s="1"/>
      </tp>
      <tp t="s">
        <v>2009-10-30</v>
        <stp/>
        <stp>EM_S_IPO_LISTEDDATE</stp>
        <stp>1</stp>
        <stp>300014</stp>
        <tr r="AT40" s="1"/>
      </tp>
      <tp t="s">
        <v>2004-07-21</v>
        <stp/>
        <stp>EM_S_IPO_LISTEDDATE</stp>
        <stp>1</stp>
        <stp>002024</stp>
        <tr r="AT2136" s="1"/>
      </tp>
      <tp t="s">
        <v>1993-09-03</v>
        <stp/>
        <stp>EM_S_IPO_LISTEDDATE</stp>
        <stp>1</stp>
        <stp>000027</stp>
        <tr r="AT1310" s="1"/>
      </tp>
      <tp t="s">
        <v>2009-10-30</v>
        <stp/>
        <stp>EM_S_IPO_LISTEDDATE</stp>
        <stp>1</stp>
        <stp>300017</stp>
        <tr r="AT1215" s="1"/>
      </tp>
      <tp t="s">
        <v>2004-08-04</v>
        <stp/>
        <stp>EM_S_IPO_LISTEDDATE</stp>
        <stp>1</stp>
        <stp>002027</stp>
        <tr r="AT1266" s="1"/>
      </tp>
      <tp t="s">
        <v>1993-06-03</v>
        <stp/>
        <stp>EM_S_IPO_LISTEDDATE</stp>
        <stp>1</stp>
        <stp>000026</stp>
        <tr r="AT462" s="1"/>
      </tp>
      <tp t="s">
        <v>2009-10-30</v>
        <stp/>
        <stp>EM_S_IPO_LISTEDDATE</stp>
        <stp>1</stp>
        <stp>300016</stp>
        <tr r="AT993" s="1"/>
      </tp>
      <tp t="s">
        <v>2004-07-27</v>
        <stp/>
        <stp>EM_S_IPO_LISTEDDATE</stp>
        <stp>1</stp>
        <stp>002026</stp>
        <tr r="AT2623" s="1"/>
      </tp>
      <tp t="s">
        <v>1994-02-02</v>
        <stp/>
        <stp>EM_S_IPO_LISTEDDATE</stp>
        <stp>1</stp>
        <stp>000021</stp>
        <tr r="AT134" s="1"/>
      </tp>
      <tp t="s">
        <v>2009-10-30</v>
        <stp/>
        <stp>EM_S_IPO_LISTEDDATE</stp>
        <stp>1</stp>
        <stp>300011</stp>
        <tr r="AT2446" s="1"/>
      </tp>
      <tp t="s">
        <v>2004-07-15</v>
        <stp/>
        <stp>EM_S_IPO_LISTEDDATE</stp>
        <stp>1</stp>
        <stp>002021</stp>
        <tr r="AT3609" s="1"/>
      </tp>
      <tp t="s">
        <v>2017-03-30</v>
        <stp/>
        <stp>EM_S_IPO_LISTEDDATE</stp>
        <stp>1</stp>
        <stp>603041</stp>
        <tr r="AT1218" s="1"/>
      </tp>
      <tp t="s">
        <v>1992-04-28</v>
        <stp/>
        <stp>EM_S_IPO_LISTEDDATE</stp>
        <stp>1</stp>
        <stp>000020</stp>
        <tr r="AT2164" s="1"/>
      </tp>
      <tp t="s">
        <v>2009-10-30</v>
        <stp/>
        <stp>EM_S_IPO_LISTEDDATE</stp>
        <stp>1</stp>
        <stp>300010</stp>
        <tr r="AT280" s="1"/>
      </tp>
      <tp t="s">
        <v>2004-07-15</v>
        <stp/>
        <stp>EM_S_IPO_LISTEDDATE</stp>
        <stp>1</stp>
        <stp>002020</stp>
        <tr r="AT1187" s="1"/>
      </tp>
      <tp t="s">
        <v>2017-02-09</v>
        <stp/>
        <stp>EM_S_IPO_LISTEDDATE</stp>
        <stp>1</stp>
        <stp>603040</stp>
        <tr r="AT891" s="1"/>
      </tp>
      <tp t="s">
        <v>1993-04-29</v>
        <stp/>
        <stp>EM_S_IPO_LISTEDDATE</stp>
        <stp>1</stp>
        <stp>000023</stp>
        <tr r="AT2109" s="1"/>
      </tp>
      <tp t="s">
        <v>2009-10-30</v>
        <stp/>
        <stp>EM_S_IPO_LISTEDDATE</stp>
        <stp>1</stp>
        <stp>300013</stp>
        <tr r="AT2628" s="1"/>
      </tp>
      <tp t="s">
        <v>2004-07-21</v>
        <stp/>
        <stp>EM_S_IPO_LISTEDDATE</stp>
        <stp>1</stp>
        <stp>002023</stp>
        <tr r="AT1575" s="1"/>
      </tp>
      <tp t="s">
        <v>2017-06-27</v>
        <stp/>
        <stp>EM_S_IPO_LISTEDDATE</stp>
        <stp>1</stp>
        <stp>603043</stp>
        <tr r="AT1672" s="1"/>
      </tp>
      <tp t="s">
        <v>1993-05-05</v>
        <stp/>
        <stp>EM_S_IPO_LISTEDDATE</stp>
        <stp>1</stp>
        <stp>000022</stp>
        <tr r="AT3" s="1"/>
      </tp>
      <tp t="s">
        <v>2009-10-30</v>
        <stp/>
        <stp>EM_S_IPO_LISTEDDATE</stp>
        <stp>1</stp>
        <stp>300012</stp>
        <tr r="AT112" s="1"/>
      </tp>
      <tp t="s">
        <v>2004-07-21</v>
        <stp/>
        <stp>EM_S_IPO_LISTEDDATE</stp>
        <stp>1</stp>
        <stp>002022</stp>
        <tr r="AT1340" s="1"/>
      </tp>
      <tp t="s">
        <v>2017-06-02</v>
        <stp/>
        <stp>EM_S_IPO_LISTEDDATE</stp>
        <stp>1</stp>
        <stp>603042</stp>
        <tr r="AT2387" s="1"/>
      </tp>
      <tp t="s">
        <v>1997-01-30</v>
        <stp/>
        <stp>EM_S_IPO_LISTEDDATE</stp>
        <stp>1</stp>
        <stp>000059</stp>
        <tr r="AT1923" s="1"/>
      </tp>
      <tp t="s">
        <v>2010-04-21</v>
        <stp/>
        <stp>EM_S_IPO_LISTEDDATE</stp>
        <stp>1</stp>
        <stp>300069</stp>
        <tr r="AT270" s="1"/>
      </tp>
      <tp t="s">
        <v>2003-03-25</v>
        <stp/>
        <stp>EM_S_IPO_LISTEDDATE</stp>
        <stp>1</stp>
        <stp>600039</stp>
        <tr r="AT2260" s="1"/>
      </tp>
      <tp t="s">
        <v>2006-08-10</v>
        <stp/>
        <stp>EM_S_IPO_LISTEDDATE</stp>
        <stp>1</stp>
        <stp>002059</stp>
        <tr r="AT2514" s="1"/>
      </tp>
      <tp t="s">
        <v>2017-01-13</v>
        <stp/>
        <stp>EM_S_IPO_LISTEDDATE</stp>
        <stp>1</stp>
        <stp>603039</stp>
        <tr r="AT3129" s="1"/>
      </tp>
      <tp t="s">
        <v>1996-12-26</v>
        <stp/>
        <stp>EM_S_IPO_LISTEDDATE</stp>
        <stp>1</stp>
        <stp>000058</stp>
        <tr r="AT1127" s="1"/>
      </tp>
      <tp t="s">
        <v>2010-04-21</v>
        <stp/>
        <stp>EM_S_IPO_LISTEDDATE</stp>
        <stp>1</stp>
        <stp>300068</stp>
        <tr r="AT3130" s="1"/>
      </tp>
      <tp t="s">
        <v>2000-12-18</v>
        <stp/>
        <stp>EM_S_IPO_LISTEDDATE</stp>
        <stp>1</stp>
        <stp>600038</stp>
        <tr r="AT1039" s="1"/>
      </tp>
      <tp t="s">
        <v>2012-08-08</v>
        <stp/>
        <stp>EM_S_IPO_LISTEDDATE</stp>
        <stp>1</stp>
        <stp>601038</stp>
        <tr r="AT646" s="1"/>
      </tp>
      <tp t="s">
        <v>2006-08-02</v>
        <stp/>
        <stp>EM_S_IPO_LISTEDDATE</stp>
        <stp>1</stp>
        <stp>002058</stp>
        <tr r="AT306" s="1"/>
      </tp>
      <tp t="s">
        <v>2017-01-16</v>
        <stp/>
        <stp>EM_S_IPO_LISTEDDATE</stp>
        <stp>1</stp>
        <stp>603038</stp>
        <tr r="AT2833" s="1"/>
      </tp>
      <tp t="s">
        <v>1996-04-15</v>
        <stp/>
        <stp>EM_S_IPO_LISTEDDATE</stp>
        <stp>1</stp>
        <stp>000055</stp>
        <tr r="AT1107" s="1"/>
      </tp>
      <tp t="s">
        <v>2010-03-26</v>
        <stp/>
        <stp>EM_S_IPO_LISTEDDATE</stp>
        <stp>1</stp>
        <stp>300065</stp>
        <tr r="AT1337" s="1"/>
      </tp>
      <tp t="s">
        <v>2004-03-10</v>
        <stp/>
        <stp>EM_S_IPO_LISTEDDATE</stp>
        <stp>1</stp>
        <stp>600035</stp>
        <tr r="AT1452" s="1"/>
      </tp>
      <tp t="s">
        <v>2006-07-25</v>
        <stp/>
        <stp>EM_S_IPO_LISTEDDATE</stp>
        <stp>1</stp>
        <stp>002055</stp>
        <tr r="AT1666" s="1"/>
      </tp>
      <tp t="s">
        <v>2017-01-05</v>
        <stp/>
        <stp>EM_S_IPO_LISTEDDATE</stp>
        <stp>1</stp>
        <stp>603035</stp>
        <tr r="AT1913" s="1"/>
      </tp>
      <tp t="s">
        <v>2010-03-26</v>
        <stp/>
        <stp>EM_S_IPO_LISTEDDATE</stp>
        <stp>1</stp>
        <stp>300064</stp>
        <tr r="AT3172" s="1"/>
      </tp>
      <tp t="s">
        <v>2006-07-25</v>
        <stp/>
        <stp>EM_S_IPO_LISTEDDATE</stp>
        <stp>1</stp>
        <stp>002054</stp>
        <tr r="AT3620" s="1"/>
      </tp>
      <tp t="s">
        <v>2010-04-21</v>
        <stp/>
        <stp>EM_S_IPO_LISTEDDATE</stp>
        <stp>1</stp>
        <stp>300067</stp>
        <tr r="AT2899" s="1"/>
      </tp>
      <tp t="s">
        <v>2001-02-08</v>
        <stp/>
        <stp>EM_S_IPO_LISTEDDATE</stp>
        <stp>1</stp>
        <stp>600037</stp>
        <tr r="AT2030" s="1"/>
      </tp>
      <tp t="s">
        <v>2006-08-02</v>
        <stp/>
        <stp>EM_S_IPO_LISTEDDATE</stp>
        <stp>1</stp>
        <stp>002057</stp>
        <tr r="AT460" s="1"/>
      </tp>
      <tp t="s">
        <v>2017-01-20</v>
        <stp/>
        <stp>EM_S_IPO_LISTEDDATE</stp>
        <stp>1</stp>
        <stp>603037</stp>
        <tr r="AT2448" s="1"/>
      </tp>
      <tp t="s">
        <v>1996-07-08</v>
        <stp/>
        <stp>EM_S_IPO_LISTEDDATE</stp>
        <stp>1</stp>
        <stp>000056</stp>
        <tr r="AT2827" s="1"/>
      </tp>
      <tp t="s">
        <v>2010-03-26</v>
        <stp/>
        <stp>EM_S_IPO_LISTEDDATE</stp>
        <stp>1</stp>
        <stp>300066</stp>
        <tr r="AT710" s="1"/>
      </tp>
      <tp t="s">
        <v>2002-04-09</v>
        <stp/>
        <stp>EM_S_IPO_LISTEDDATE</stp>
        <stp>1</stp>
        <stp>600036</stp>
        <tr r="AT562" s="1"/>
      </tp>
      <tp t="s">
        <v>2006-08-02</v>
        <stp/>
        <stp>EM_S_IPO_LISTEDDATE</stp>
        <stp>1</stp>
        <stp>002056</stp>
        <tr r="AT553" s="1"/>
      </tp>
      <tp t="s">
        <v>2016-12-09</v>
        <stp/>
        <stp>EM_S_IPO_LISTEDDATE</stp>
        <stp>1</stp>
        <stp>603036</stp>
        <tr r="AT2651" s="1"/>
      </tp>
      <tp t="s">
        <v>2010-03-19</v>
        <stp/>
        <stp>EM_S_IPO_LISTEDDATE</stp>
        <stp>1</stp>
        <stp>300061</stp>
        <tr r="AT1862" s="1"/>
      </tp>
      <tp t="s">
        <v>2003-07-03</v>
        <stp/>
        <stp>EM_S_IPO_LISTEDDATE</stp>
        <stp>1</stp>
        <stp>600031</stp>
        <tr r="AT148" s="1"/>
      </tp>
      <tp t="s">
        <v>2006-06-19</v>
        <stp/>
        <stp>EM_S_IPO_LISTEDDATE</stp>
        <stp>1</stp>
        <stp>002051</stp>
        <tr r="AT3617" s="1"/>
      </tp>
      <tp t="s">
        <v>2016-08-22</v>
        <stp/>
        <stp>EM_S_IPO_LISTEDDATE</stp>
        <stp>1</stp>
        <stp>603031</stp>
        <tr r="AT225" s="1"/>
      </tp>
      <tp t="s">
        <v>1995-03-15</v>
        <stp/>
        <stp>EM_S_IPO_LISTEDDATE</stp>
        <stp>1</stp>
        <stp>000050</stp>
        <tr r="AT348" s="1"/>
      </tp>
      <tp t="s">
        <v>2003-01-06</v>
        <stp/>
        <stp>EM_S_IPO_LISTEDDATE</stp>
        <stp>1</stp>
        <stp>600030</stp>
        <tr r="AT423" s="1"/>
      </tp>
      <tp t="s">
        <v>2005-06-07</v>
        <stp/>
        <stp>EM_S_IPO_LISTEDDATE</stp>
        <stp>1</stp>
        <stp>002050</stp>
        <tr r="AT791" s="1"/>
      </tp>
      <tp t="s">
        <v>2015-03-20</v>
        <stp/>
        <stp>EM_S_IPO_LISTEDDATE</stp>
        <stp>1</stp>
        <stp>603030</stp>
        <tr r="AT1545" s="1"/>
      </tp>
      <tp t="s">
        <v>2010-03-26</v>
        <stp/>
        <stp>EM_S_IPO_LISTEDDATE</stp>
        <stp>1</stp>
        <stp>300063</stp>
        <tr r="AT2700" s="1"/>
      </tp>
      <tp t="s">
        <v>2001-02-09</v>
        <stp/>
        <stp>EM_S_IPO_LISTEDDATE</stp>
        <stp>1</stp>
        <stp>600033</stp>
        <tr r="AT2105" s="1"/>
      </tp>
      <tp t="s">
        <v>2006-06-27</v>
        <stp/>
        <stp>EM_S_IPO_LISTEDDATE</stp>
        <stp>1</stp>
        <stp>002053</stp>
        <tr r="AT3619" s="1"/>
      </tp>
      <tp t="s">
        <v>2016-12-07</v>
        <stp/>
        <stp>EM_S_IPO_LISTEDDATE</stp>
        <stp>1</stp>
        <stp>603033</stp>
        <tr r="AT2572" s="1"/>
      </tp>
      <tp t="s">
        <v>2010-03-19</v>
        <stp/>
        <stp>EM_S_IPO_LISTEDDATE</stp>
        <stp>1</stp>
        <stp>300062</stp>
        <tr r="AT1772" s="1"/>
      </tp>
      <tp t="s">
        <v>2006-06-27</v>
        <stp/>
        <stp>EM_S_IPO_LISTEDDATE</stp>
        <stp>1</stp>
        <stp>002052</stp>
        <tr r="AT3618" s="1"/>
      </tp>
      <tp t="s">
        <v>2017-01-05</v>
        <stp/>
        <stp>EM_S_IPO_LISTEDDATE</stp>
        <stp>1</stp>
        <stp>603032</stp>
        <tr r="AT3116" s="1"/>
      </tp>
      <tp t="s">
        <v>1995-03-20</v>
        <stp/>
        <stp>EM_S_IPO_LISTEDDATE</stp>
        <stp>1</stp>
        <stp>000049</stp>
        <tr r="AT678" s="1"/>
      </tp>
      <tp t="s">
        <v>2010-04-30</v>
        <stp/>
        <stp>EM_S_IPO_LISTEDDATE</stp>
        <stp>1</stp>
        <stp>300079</stp>
        <tr r="AT236" s="1"/>
      </tp>
      <tp t="s">
        <v>2003-07-25</v>
        <stp/>
        <stp>EM_S_IPO_LISTEDDATE</stp>
        <stp>1</stp>
        <stp>600029</stp>
        <tr r="AT1859" s="1"/>
      </tp>
      <tp t="s">
        <v>2005-06-06</v>
        <stp/>
        <stp>EM_S_IPO_LISTEDDATE</stp>
        <stp>1</stp>
        <stp>002049</stp>
        <tr r="AT262" s="1"/>
      </tp>
      <tp t="s">
        <v>2016-04-27</v>
        <stp/>
        <stp>EM_S_IPO_LISTEDDATE</stp>
        <stp>1</stp>
        <stp>603029</stp>
        <tr r="AT1695" s="1"/>
      </tp>
      <tp t="s">
        <v>1994-11-01</v>
        <stp/>
        <stp>EM_S_IPO_LISTEDDATE</stp>
        <stp>1</stp>
        <stp>000048</stp>
        <tr r="AT1177" s="1"/>
      </tp>
      <tp t="s">
        <v>2010-04-30</v>
        <stp/>
        <stp>EM_S_IPO_LISTEDDATE</stp>
        <stp>1</stp>
        <stp>300078</stp>
        <tr r="AT1234" s="1"/>
      </tp>
      <tp t="s">
        <v>2001-08-08</v>
        <stp/>
        <stp>EM_S_IPO_LISTEDDATE</stp>
        <stp>1</stp>
        <stp>600028</stp>
        <tr r="AT2245" s="1"/>
      </tp>
      <tp t="s">
        <v>2011-11-07</v>
        <stp/>
        <stp>EM_S_IPO_LISTEDDATE</stp>
        <stp>1</stp>
        <stp>601028</stp>
        <tr r="AT1709" s="1"/>
      </tp>
      <tp t="s">
        <v>2005-06-03</v>
        <stp/>
        <stp>EM_S_IPO_LISTEDDATE</stp>
        <stp>1</stp>
        <stp>002048</stp>
        <tr r="AT510" s="1"/>
      </tp>
      <tp t="s">
        <v>2016-03-31</v>
        <stp/>
        <stp>EM_S_IPO_LISTEDDATE</stp>
        <stp>1</stp>
        <stp>603028</stp>
        <tr r="AT383" s="1"/>
      </tp>
      <tp t="s">
        <v>1994-08-15</v>
        <stp/>
        <stp>EM_S_IPO_LISTEDDATE</stp>
        <stp>1</stp>
        <stp>000045</stp>
        <tr r="AT967" s="1"/>
      </tp>
      <tp t="s">
        <v>2010-04-27</v>
        <stp/>
        <stp>EM_S_IPO_LISTEDDATE</stp>
        <stp>1</stp>
        <stp>300075</stp>
        <tr r="AT2077" s="1"/>
      </tp>
      <tp t="s">
        <v>2017-12-15</v>
        <stp/>
        <stp>EM_S_IPO_LISTEDDATE</stp>
        <stp>1</stp>
        <stp>600025</stp>
        <tr r="AT835" s="1"/>
      </tp>
      <tp t="s">
        <v>2005-05-23</v>
        <stp/>
        <stp>EM_S_IPO_LISTEDDATE</stp>
        <stp>1</stp>
        <stp>002045</stp>
        <tr r="AT63" s="1"/>
      </tp>
      <tp t="s">
        <v>2015-04-22</v>
        <stp/>
        <stp>EM_S_IPO_LISTEDDATE</stp>
        <stp>1</stp>
        <stp>603025</stp>
        <tr r="AT2951" s="1"/>
      </tp>
      <tp t="s">
        <v>2010-04-27</v>
        <stp/>
        <stp>EM_S_IPO_LISTEDDATE</stp>
        <stp>1</stp>
        <stp>300074</stp>
        <tr r="AT1462" s="1"/>
      </tp>
      <tp t="s">
        <v>2005-05-18</v>
        <stp/>
        <stp>EM_S_IPO_LISTEDDATE</stp>
        <stp>1</stp>
        <stp>002044</stp>
        <tr r="AT2450" s="1"/>
      </tp>
      <tp t="s">
        <v>1994-10-21</v>
        <stp/>
        <stp>EM_S_IPO_LISTEDDATE</stp>
        <stp>1</stp>
        <stp>000047</stp>
        <tr r="AT2276" s="1"/>
      </tp>
      <tp t="s">
        <v>2010-04-30</v>
        <stp/>
        <stp>EM_S_IPO_LISTEDDATE</stp>
        <stp>1</stp>
        <stp>300077</stp>
        <tr r="AT3056" s="1"/>
      </tp>
      <tp t="s">
        <v>2005-02-03</v>
        <stp/>
        <stp>EM_S_IPO_LISTEDDATE</stp>
        <stp>1</stp>
        <stp>600027</stp>
        <tr r="AT3124" s="1"/>
      </tp>
      <tp t="s">
        <v>2005-05-31</v>
        <stp/>
        <stp>EM_S_IPO_LISTEDDATE</stp>
        <stp>1</stp>
        <stp>002047</stp>
        <tr r="AT3616" s="1"/>
      </tp>
      <tp t="s">
        <v>2016-03-07</v>
        <stp/>
        <stp>EM_S_IPO_LISTEDDATE</stp>
        <stp>1</stp>
        <stp>603027</stp>
        <tr r="AT783" s="1"/>
      </tp>
      <tp t="s">
        <v>1994-09-12</v>
        <stp/>
        <stp>EM_S_IPO_LISTEDDATE</stp>
        <stp>1</stp>
        <stp>000046</stp>
        <tr r="AT2270" s="1"/>
      </tp>
      <tp t="s">
        <v>2010-04-30</v>
        <stp/>
        <stp>EM_S_IPO_LISTEDDATE</stp>
        <stp>1</stp>
        <stp>300076</stp>
        <tr r="AT594" s="1"/>
      </tp>
      <tp t="s">
        <v>2002-05-23</v>
        <stp/>
        <stp>EM_S_IPO_LISTEDDATE</stp>
        <stp>1</stp>
        <stp>600026</stp>
        <tr r="AT703" s="1"/>
      </tp>
      <tp t="s">
        <v>2005-05-26</v>
        <stp/>
        <stp>EM_S_IPO_LISTEDDATE</stp>
        <stp>1</stp>
        <stp>002046</stp>
        <tr r="AT1952" s="1"/>
      </tp>
      <tp t="s">
        <v>2015-05-29</v>
        <stp/>
        <stp>EM_S_IPO_LISTEDDATE</stp>
        <stp>1</stp>
        <stp>603026</stp>
        <tr r="AT220" s="1"/>
      </tp>
      <tp t="s">
        <v>2010-04-21</v>
        <stp/>
        <stp>EM_S_IPO_LISTEDDATE</stp>
        <stp>1</stp>
        <stp>300071</stp>
        <tr r="AT3121" s="1"/>
      </tp>
      <tp t="s">
        <v>2003-10-29</v>
        <stp/>
        <stp>EM_S_IPO_LISTEDDATE</stp>
        <stp>1</stp>
        <stp>600021</stp>
        <tr r="AT2411" s="1"/>
      </tp>
      <tp t="s">
        <v>2015-01-21</v>
        <stp/>
        <stp>EM_S_IPO_LISTEDDATE</stp>
        <stp>1</stp>
        <stp>601021</stp>
        <tr r="AT777" s="1"/>
      </tp>
      <tp t="s">
        <v>2005-04-18</v>
        <stp/>
        <stp>EM_S_IPO_LISTEDDATE</stp>
        <stp>1</stp>
        <stp>002041</stp>
        <tr r="AT3615" s="1"/>
      </tp>
      <tp t="s">
        <v>2015-04-23</v>
        <stp/>
        <stp>EM_S_IPO_LISTEDDATE</stp>
        <stp>1</stp>
        <stp>603021</stp>
        <tr r="AT717" s="1"/>
      </tp>
      <tp t="s">
        <v>1994-08-08</v>
        <stp/>
        <stp>EM_S_IPO_LISTEDDATE</stp>
        <stp>1</stp>
        <stp>000040</stp>
        <tr r="AT3327" s="1"/>
      </tp>
      <tp t="s">
        <v>2010-04-21</v>
        <stp/>
        <stp>EM_S_IPO_LISTEDDATE</stp>
        <stp>1</stp>
        <stp>300070</stp>
        <tr r="AT2453" s="1"/>
      </tp>
      <tp t="s">
        <v>2003-08-08</v>
        <stp/>
        <stp>EM_S_IPO_LISTEDDATE</stp>
        <stp>1</stp>
        <stp>600020</stp>
        <tr r="AT1292" s="1"/>
      </tp>
      <tp t="s">
        <v>2016-03-16</v>
        <stp/>
        <stp>EM_S_IPO_LISTEDDATE</stp>
        <stp>1</stp>
        <stp>601020</stp>
        <tr r="AT1826" s="1"/>
      </tp>
      <tp t="s">
        <v>2005-03-25</v>
        <stp/>
        <stp>EM_S_IPO_LISTEDDATE</stp>
        <stp>1</stp>
        <stp>002040</stp>
        <tr r="AT2768" s="1"/>
      </tp>
      <tp t="s">
        <v>2015-03-25</v>
        <stp/>
        <stp>EM_S_IPO_LISTEDDATE</stp>
        <stp>1</stp>
        <stp>603020</stp>
        <tr r="AT1717" s="1"/>
      </tp>
      <tp t="s">
        <v>1994-09-28</v>
        <stp/>
        <stp>EM_S_IPO_LISTEDDATE</stp>
        <stp>1</stp>
        <stp>000043</stp>
        <tr r="AT4" s="1"/>
      </tp>
      <tp t="s">
        <v>2010-04-27</v>
        <stp/>
        <stp>EM_S_IPO_LISTEDDATE</stp>
        <stp>1</stp>
        <stp>300073</stp>
        <tr r="AT2284" s="1"/>
      </tp>
      <tp t="s">
        <v>2013-12-19</v>
        <stp/>
        <stp>EM_S_IPO_LISTEDDATE</stp>
        <stp>1</stp>
        <stp>600023</stp>
        <tr r="AT2977" s="1"/>
      </tp>
      <tp t="s">
        <v>2005-05-10</v>
        <stp/>
        <stp>EM_S_IPO_LISTEDDATE</stp>
        <stp>1</stp>
        <stp>002043</stp>
        <tr r="AT656" s="1"/>
      </tp>
      <tp t="s">
        <v>2015-05-27</v>
        <stp/>
        <stp>EM_S_IPO_LISTEDDATE</stp>
        <stp>1</stp>
        <stp>603023</stp>
        <tr r="AT2040" s="1"/>
      </tp>
      <tp t="s">
        <v>1994-09-21</v>
        <stp/>
        <stp>EM_S_IPO_LISTEDDATE</stp>
        <stp>1</stp>
        <stp>000042</stp>
        <tr r="AT2432" s="1"/>
      </tp>
      <tp t="s">
        <v>2010-04-27</v>
        <stp/>
        <stp>EM_S_IPO_LISTEDDATE</stp>
        <stp>1</stp>
        <stp>300072</stp>
        <tr r="AT3283" s="1"/>
      </tp>
      <tp t="s">
        <v>2004-06-29</v>
        <stp/>
        <stp>EM_S_IPO_LISTEDDATE</stp>
        <stp>1</stp>
        <stp>600022</stp>
        <tr r="AT2738" s="1"/>
      </tp>
      <tp t="s">
        <v>2005-04-27</v>
        <stp/>
        <stp>EM_S_IPO_LISTEDDATE</stp>
        <stp>1</stp>
        <stp>002042</stp>
        <tr r="AT872" s="1"/>
      </tp>
      <tp t="s">
        <v>2015-05-18</v>
        <stp/>
        <stp>EM_S_IPO_LISTEDDATE</stp>
        <stp>1</stp>
        <stp>603022</stp>
        <tr r="AT185" s="1"/>
      </tp>
      <tp t="s">
        <v>2010-01-20</v>
        <stp/>
        <stp>EM_S_IPO_LISTEDDATE</stp>
        <stp>1</stp>
        <stp>300049</stp>
        <tr r="AT3166" s="1"/>
      </tp>
      <tp t="s">
        <v>2000-12-12</v>
        <stp/>
        <stp>EM_S_IPO_LISTEDDATE</stp>
        <stp>1</stp>
        <stp>600019</stp>
        <tr r="AT2815" s="1"/>
      </tp>
      <tp t="s">
        <v>2017-11-22</v>
        <stp/>
        <stp>EM_S_IPO_LISTEDDATE</stp>
        <stp>1</stp>
        <stp>601019</stp>
        <tr r="AT2814" s="1"/>
      </tp>
      <tp t="s">
        <v>2006-11-16</v>
        <stp/>
        <stp>EM_S_IPO_LISTEDDATE</stp>
        <stp>1</stp>
        <stp>002079</stp>
        <tr r="AT84" s="1"/>
      </tp>
      <tp t="s">
        <v>2014-11-06</v>
        <stp/>
        <stp>EM_S_IPO_LISTEDDATE</stp>
        <stp>1</stp>
        <stp>603019</stp>
        <tr r="AT2496" s="1"/>
      </tp>
      <tp t="s">
        <v>1998-12-18</v>
        <stp/>
        <stp>EM_S_IPO_LISTEDDATE</stp>
        <stp>1</stp>
        <stp>000078</stp>
        <tr r="AT1064" s="1"/>
      </tp>
      <tp t="s">
        <v>2010-01-20</v>
        <stp/>
        <stp>EM_S_IPO_LISTEDDATE</stp>
        <stp>1</stp>
        <stp>300048</stp>
        <tr r="AT2355" s="1"/>
      </tp>
      <tp t="s">
        <v>2006-10-26</v>
        <stp/>
        <stp>EM_S_IPO_LISTEDDATE</stp>
        <stp>1</stp>
        <stp>600018</stp>
        <tr r="AT1725" s="1"/>
      </tp>
      <tp t="s">
        <v>2010-09-28</v>
        <stp/>
        <stp>EM_S_IPO_LISTEDDATE</stp>
        <stp>1</stp>
        <stp>601018</stp>
        <tr r="AT1529" s="1"/>
      </tp>
      <tp t="s">
        <v>2006-11-16</v>
        <stp/>
        <stp>EM_S_IPO_LISTEDDATE</stp>
        <stp>1</stp>
        <stp>002078</stp>
        <tr r="AT275" s="1"/>
      </tp>
      <tp t="s">
        <v>2014-10-13</v>
        <stp/>
        <stp>EM_S_IPO_LISTEDDATE</stp>
        <stp>1</stp>
        <stp>603018</stp>
        <tr r="AT3325" s="1"/>
      </tp>
      <tp t="s">
        <v>2010-01-20</v>
        <stp/>
        <stp>EM_S_IPO_LISTEDDATE</stp>
        <stp>1</stp>
        <stp>300045</stp>
        <tr r="AT1141" s="1"/>
      </tp>
      <tp t="s">
        <v>2003-09-12</v>
        <stp/>
        <stp>EM_S_IPO_LISTEDDATE</stp>
        <stp>1</stp>
        <stp>600015</stp>
        <tr r="AT2083" s="1"/>
      </tp>
      <tp t="s">
        <v>2014-11-05</v>
        <stp/>
        <stp>EM_S_IPO_LISTEDDATE</stp>
        <stp>1</stp>
        <stp>601015</stp>
        <tr r="AT3317" s="1"/>
      </tp>
      <tp t="s">
        <v>2006-10-25</v>
        <stp/>
        <stp>EM_S_IPO_LISTEDDATE</stp>
        <stp>1</stp>
        <stp>002075</stp>
        <tr r="AT3139" s="1"/>
      </tp>
      <tp t="s">
        <v>2015-03-03</v>
        <stp/>
        <stp>EM_S_IPO_LISTEDDATE</stp>
        <stp>1</stp>
        <stp>603015</stp>
        <tr r="AT1933" s="1"/>
      </tp>
      <tp t="s">
        <v>2010-01-20</v>
        <stp/>
        <stp>EM_S_IPO_LISTEDDATE</stp>
        <stp>1</stp>
        <stp>300044</stp>
        <tr r="AT1874" s="1"/>
      </tp>
      <tp t="s">
        <v>2006-10-18</v>
        <stp/>
        <stp>EM_S_IPO_LISTEDDATE</stp>
        <stp>1</stp>
        <stp>002074</stp>
        <tr r="AT1128" s="1"/>
      </tp>
      <tp t="s">
        <v>2010-01-20</v>
        <stp/>
        <stp>EM_S_IPO_LISTEDDATE</stp>
        <stp>1</stp>
        <stp>300047</stp>
        <tr r="AT3200" s="1"/>
      </tp>
      <tp t="s">
        <v>2006-10-17</v>
        <stp/>
        <stp>EM_S_IPO_LISTEDDATE</stp>
        <stp>1</stp>
        <stp>600017</stp>
        <tr r="AT1986" s="1"/>
      </tp>
      <tp t="s">
        <v>2006-11-16</v>
        <stp/>
        <stp>EM_S_IPO_LISTEDDATE</stp>
        <stp>1</stp>
        <stp>002077</stp>
        <tr r="AT3627" s="1"/>
      </tp>
      <tp t="s">
        <v>2014-12-31</v>
        <stp/>
        <stp>EM_S_IPO_LISTEDDATE</stp>
        <stp>1</stp>
        <stp>603017</stp>
        <tr r="AT1945" s="1"/>
      </tp>
      <tp t="s">
        <v>2010-01-20</v>
        <stp/>
        <stp>EM_S_IPO_LISTEDDATE</stp>
        <stp>1</stp>
        <stp>300046</stp>
        <tr r="AT595" s="1"/>
      </tp>
      <tp t="s">
        <v>2000-12-19</v>
        <stp/>
        <stp>EM_S_IPO_LISTEDDATE</stp>
        <stp>1</stp>
        <stp>600016</stp>
        <tr r="AT1730" s="1"/>
      </tp>
      <tp t="s">
        <v>2014-09-29</v>
        <stp/>
        <stp>EM_S_IPO_LISTEDDATE</stp>
        <stp>1</stp>
        <stp>601016</stp>
        <tr r="AT2133" s="1"/>
      </tp>
      <tp t="s">
        <v>2006-10-25</v>
        <stp/>
        <stp>EM_S_IPO_LISTEDDATE</stp>
        <stp>1</stp>
        <stp>002076</stp>
        <tr r="AT3626" s="1"/>
      </tp>
      <tp t="s">
        <v>2016-07-01</v>
        <stp/>
        <stp>EM_S_IPO_LISTEDDATE</stp>
        <stp>1</stp>
        <stp>603016</stp>
        <tr r="AT2520" s="1"/>
      </tp>
      <tp t="s">
        <v>2010-01-08</v>
        <stp/>
        <stp>EM_S_IPO_LISTEDDATE</stp>
        <stp>1</stp>
        <stp>300041</stp>
        <tr r="AT532" s="1"/>
      </tp>
      <tp t="s">
        <v>2001-12-06</v>
        <stp/>
        <stp>EM_S_IPO_LISTEDDATE</stp>
        <stp>1</stp>
        <stp>600011</stp>
        <tr r="AT3146" s="1"/>
      </tp>
      <tp t="s">
        <v>2011-03-09</v>
        <stp/>
        <stp>EM_S_IPO_LISTEDDATE</stp>
        <stp>1</stp>
        <stp>601011</stp>
        <tr r="AT3003" s="1"/>
      </tp>
      <tp t="s">
        <v>2006-10-12</v>
        <stp/>
        <stp>EM_S_IPO_LISTEDDATE</stp>
        <stp>1</stp>
        <stp>002071</stp>
        <tr r="AT3623" s="1"/>
      </tp>
      <tp t="s">
        <v>2014-11-07</v>
        <stp/>
        <stp>EM_S_IPO_LISTEDDATE</stp>
        <stp>1</stp>
        <stp>603011</stp>
        <tr r="AT1463" s="1"/>
      </tp>
      <tp t="s">
        <v>2000-05-11</v>
        <stp/>
        <stp>EM_S_IPO_LISTEDDATE</stp>
        <stp>1</stp>
        <stp>000070</stp>
        <tr r="AT228" s="1"/>
      </tp>
      <tp t="s">
        <v>2010-01-08</v>
        <stp/>
        <stp>EM_S_IPO_LISTEDDATE</stp>
        <stp>1</stp>
        <stp>300040</stp>
        <tr r="AT1626" s="1"/>
      </tp>
      <tp t="s">
        <v>2001-03-09</v>
        <stp/>
        <stp>EM_S_IPO_LISTEDDATE</stp>
        <stp>1</stp>
        <stp>600010</stp>
        <tr r="AT2792" s="1"/>
      </tp>
      <tp t="s">
        <v>2011-06-03</v>
        <stp/>
        <stp>EM_S_IPO_LISTEDDATE</stp>
        <stp>1</stp>
        <stp>601010</stp>
        <tr r="AT1981" s="1"/>
      </tp>
      <tp t="s">
        <v>2006-10-12</v>
        <stp/>
        <stp>EM_S_IPO_LISTEDDATE</stp>
        <stp>1</stp>
        <stp>002070</stp>
        <tr r="AT3622" s="1"/>
      </tp>
      <tp t="s">
        <v>2014-10-10</v>
        <stp/>
        <stp>EM_S_IPO_LISTEDDATE</stp>
        <stp>1</stp>
        <stp>603010</stp>
        <tr r="AT3049" s="1"/>
      </tp>
      <tp t="s">
        <v>2010-01-20</v>
        <stp/>
        <stp>EM_S_IPO_LISTEDDATE</stp>
        <stp>1</stp>
        <stp>300043</stp>
        <tr r="AT491" s="1"/>
      </tp>
      <tp t="s">
        <v>2006-10-18</v>
        <stp/>
        <stp>EM_S_IPO_LISTEDDATE</stp>
        <stp>1</stp>
        <stp>002073</stp>
        <tr r="AT3625" s="1"/>
      </tp>
      <tp t="s">
        <v>2018-05-09</v>
        <stp/>
        <stp>EM_S_IPO_LISTEDDATE</stp>
        <stp>1</stp>
        <stp>603013</stp>
        <tr r="AT2867" s="1"/>
      </tp>
      <tp t="s">
        <v>2010-01-08</v>
        <stp/>
        <stp>EM_S_IPO_LISTEDDATE</stp>
        <stp>1</stp>
        <stp>300042</stp>
        <tr r="AT1386" s="1"/>
      </tp>
      <tp t="s">
        <v>2003-01-07</v>
        <stp/>
        <stp>EM_S_IPO_LISTEDDATE</stp>
        <stp>1</stp>
        <stp>600012</stp>
        <tr r="AT2470" s="1"/>
      </tp>
      <tp t="s">
        <v>2012-04-11</v>
        <stp/>
        <stp>EM_S_IPO_LISTEDDATE</stp>
        <stp>1</stp>
        <stp>601012</stp>
        <tr r="AT682" s="1"/>
      </tp>
      <tp t="s">
        <v>2006-10-18</v>
        <stp/>
        <stp>EM_S_IPO_LISTEDDATE</stp>
        <stp>1</stp>
        <stp>002072</stp>
        <tr r="AT3624" s="1"/>
      </tp>
      <tp t="s">
        <v>2015-03-20</v>
        <stp/>
        <stp>EM_S_IPO_LISTEDDATE</stp>
        <stp>1</stp>
        <stp>603012</stp>
        <tr r="AT1606" s="1"/>
      </tp>
      <tp t="s">
        <v>1997-09-10</v>
        <stp/>
        <stp>EM_S_IPO_LISTEDDATE</stp>
        <stp>1</stp>
        <stp>000069</stp>
        <tr r="AT986" s="1"/>
      </tp>
      <tp t="s">
        <v>2010-03-19</v>
        <stp/>
        <stp>EM_S_IPO_LISTEDDATE</stp>
        <stp>1</stp>
        <stp>300059</stp>
        <tr r="AT916" s="1"/>
      </tp>
      <tp t="s">
        <v>1998-02-18</v>
        <stp/>
        <stp>EM_S_IPO_LISTEDDATE</stp>
        <stp>1</stp>
        <stp>600009</stp>
        <tr r="AT511" s="1"/>
      </tp>
      <tp t="s">
        <v>2007-07-19</v>
        <stp/>
        <stp>EM_S_IPO_LISTEDDATE</stp>
        <stp>1</stp>
        <stp>601009</stp>
        <tr r="AT813" s="1"/>
      </tp>
      <tp t="s">
        <v>2006-09-28</v>
        <stp/>
        <stp>EM_S_IPO_LISTEDDATE</stp>
        <stp>1</stp>
        <stp>002069</stp>
        <tr r="AT3621" s="1"/>
      </tp>
      <tp t="s">
        <v>2014-07-18</v>
        <stp/>
        <stp>EM_S_IPO_LISTEDDATE</stp>
        <stp>1</stp>
        <stp>603009</stp>
        <tr r="AT1875" s="1"/>
      </tp>
      <tp t="s">
        <v>1997-06-11</v>
        <stp/>
        <stp>EM_S_IPO_LISTEDDATE</stp>
        <stp>1</stp>
        <stp>000068</stp>
        <tr r="AT2414" s="1"/>
      </tp>
      <tp t="s">
        <v>2010-02-26</v>
        <stp/>
        <stp>EM_S_IPO_LISTEDDATE</stp>
        <stp>1</stp>
        <stp>300058</stp>
        <tr r="AT873" s="1"/>
      </tp>
      <tp t="s">
        <v>2000-04-27</v>
        <stp/>
        <stp>EM_S_IPO_LISTEDDATE</stp>
        <stp>1</stp>
        <stp>600008</stp>
        <tr r="AT2550" s="1"/>
      </tp>
      <tp t="s">
        <v>2007-04-26</v>
        <stp/>
        <stp>EM_S_IPO_LISTEDDATE</stp>
        <stp>1</stp>
        <stp>601008</stp>
        <tr r="AT1067" s="1"/>
      </tp>
      <tp t="s">
        <v>2006-09-15</v>
        <stp/>
        <stp>EM_S_IPO_LISTEDDATE</stp>
        <stp>1</stp>
        <stp>002068</stp>
        <tr r="AT3034" s="1"/>
      </tp>
      <tp t="s">
        <v>2012-07-17</v>
        <stp/>
        <stp>EM_S_IPO_LISTEDDATE</stp>
        <stp>1</stp>
        <stp>603008</stp>
        <tr r="AT376" s="1"/>
      </tp>
      <tp t="s">
        <v>1998-06-05</v>
        <stp/>
        <stp>EM_S_IPO_LISTEDDATE</stp>
        <stp>1</stp>
        <stp>000065</stp>
        <tr r="AT1549" s="1"/>
      </tp>
      <tp t="s">
        <v>2010-02-26</v>
        <stp/>
        <stp>EM_S_IPO_LISTEDDATE</stp>
        <stp>1</stp>
        <stp>300055</stp>
        <tr r="AT2859" s="1"/>
      </tp>
      <tp t="s">
        <v>1999-08-03</v>
        <stp/>
        <stp>EM_S_IPO_LISTEDDATE</stp>
        <stp>1</stp>
        <stp>600005</stp>
        <tr r="AT2288" s="1"/>
      </tp>
      <tp t="s">
        <v>2007-02-28</v>
        <stp/>
        <stp>EM_S_IPO_LISTEDDATE</stp>
        <stp>1</stp>
        <stp>601005</stp>
        <tr r="AT2547" s="1"/>
      </tp>
      <tp t="s">
        <v>2006-08-23</v>
        <stp/>
        <stp>EM_S_IPO_LISTEDDATE</stp>
        <stp>1</stp>
        <stp>002065</stp>
        <tr r="AT619" s="1"/>
      </tp>
      <tp t="s">
        <v>2014-02-10</v>
        <stp/>
        <stp>EM_S_IPO_LISTEDDATE</stp>
        <stp>1</stp>
        <stp>603005</stp>
        <tr r="AT98" s="1"/>
      </tp>
      <tp t="s">
        <v>2010-02-11</v>
        <stp/>
        <stp>EM_S_IPO_LISTEDDATE</stp>
        <stp>1</stp>
        <stp>300054</stp>
        <tr r="AT635" s="1"/>
      </tp>
      <tp t="s">
        <v>2003-04-28</v>
        <stp/>
        <stp>EM_S_IPO_LISTEDDATE</stp>
        <stp>1</stp>
        <stp>600004</stp>
        <tr r="AT266" s="1"/>
      </tp>
      <tp t="s">
        <v>2006-08-23</v>
        <stp/>
        <stp>EM_S_IPO_LISTEDDATE</stp>
        <stp>1</stp>
        <stp>002064</stp>
        <tr r="AT557" s="1"/>
      </tp>
      <tp t="s">
        <v>2010-02-26</v>
        <stp/>
        <stp>EM_S_IPO_LISTEDDATE</stp>
        <stp>1</stp>
        <stp>300057</stp>
        <tr r="AT2435" s="1"/>
      </tp>
      <tp t="s">
        <v>1999-03-12</v>
        <stp/>
        <stp>EM_S_IPO_LISTEDDATE</stp>
        <stp>1</stp>
        <stp>600007</stp>
        <tr r="AT722" s="1"/>
      </tp>
      <tp t="s">
        <v>2007-04-06</v>
        <stp/>
        <stp>EM_S_IPO_LISTEDDATE</stp>
        <stp>1</stp>
        <stp>601007</stp>
        <tr r="AT1482" s="1"/>
      </tp>
      <tp t="s">
        <v>2006-09-15</v>
        <stp/>
        <stp>EM_S_IPO_LISTEDDATE</stp>
        <stp>1</stp>
        <stp>002067</stp>
        <tr r="AT2531" s="1"/>
      </tp>
      <tp t="s">
        <v>2016-08-26</v>
        <stp/>
        <stp>EM_S_IPO_LISTEDDATE</stp>
        <stp>1</stp>
        <stp>603007</stp>
        <tr r="AT2914" s="1"/>
      </tp>
      <tp t="s">
        <v>1997-06-26</v>
        <stp/>
        <stp>EM_S_IPO_LISTEDDATE</stp>
        <stp>1</stp>
        <stp>000066</stp>
        <tr r="AT34" s="1"/>
      </tp>
      <tp t="s">
        <v>2010-02-26</v>
        <stp/>
        <stp>EM_S_IPO_LISTEDDATE</stp>
        <stp>1</stp>
        <stp>300056</stp>
        <tr r="AT1201" s="1"/>
      </tp>
      <tp t="s">
        <v>1999-07-27</v>
        <stp/>
        <stp>EM_S_IPO_LISTEDDATE</stp>
        <stp>1</stp>
        <stp>600006</stp>
        <tr r="AT1054" s="1"/>
      </tp>
      <tp t="s">
        <v>2006-08-01</v>
        <stp/>
        <stp>EM_S_IPO_LISTEDDATE</stp>
        <stp>1</stp>
        <stp>601006</stp>
        <tr r="AT2343" s="1"/>
      </tp>
      <tp t="s">
        <v>2006-08-23</v>
        <stp/>
        <stp>EM_S_IPO_LISTEDDATE</stp>
        <stp>1</stp>
        <stp>002066</stp>
        <tr r="AT1696" s="1"/>
      </tp>
      <tp t="s">
        <v>2014-06-30</v>
        <stp/>
        <stp>EM_S_IPO_LISTEDDATE</stp>
        <stp>1</stp>
        <stp>603006</stp>
        <tr r="AT1371" s="1"/>
      </tp>
      <tp t="s">
        <v>1997-01-10</v>
        <stp/>
        <stp>EM_S_IPO_LISTEDDATE</stp>
        <stp>1</stp>
        <stp>000061</stp>
        <tr r="AT1460" s="1"/>
      </tp>
      <tp t="s">
        <v>2010-02-11</v>
        <stp/>
        <stp>EM_S_IPO_LISTEDDATE</stp>
        <stp>1</stp>
        <stp>300051</stp>
        <tr r="AT2016" s="1"/>
      </tp>
      <tp t="s">
        <v>1998-01-22</v>
        <stp/>
        <stp>EM_S_IPO_LISTEDDATE</stp>
        <stp>1</stp>
        <stp>600001</stp>
        <tr r="AT2285" s="1"/>
      </tp>
      <tp t="s">
        <v>2006-06-23</v>
        <stp/>
        <stp>EM_S_IPO_LISTEDDATE</stp>
        <stp>1</stp>
        <stp>601001</stp>
        <tr r="AT2169" s="1"/>
      </tp>
      <tp t="s">
        <v>2006-08-16</v>
        <stp/>
        <stp>EM_S_IPO_LISTEDDATE</stp>
        <stp>1</stp>
        <stp>002061</stp>
        <tr r="AT3337" s="1"/>
      </tp>
      <tp t="s">
        <v>2012-04-26</v>
        <stp/>
        <stp>EM_S_IPO_LISTEDDATE</stp>
        <stp>1</stp>
        <stp>603001</stp>
        <tr r="AT2795" s="1"/>
      </tp>
      <tp t="s">
        <v>1997-01-23</v>
        <stp/>
        <stp>EM_S_IPO_LISTEDDATE</stp>
        <stp>1</stp>
        <stp>000060</stp>
        <tr r="AT1710" s="1"/>
      </tp>
      <tp t="s">
        <v>2010-01-20</v>
        <stp/>
        <stp>EM_S_IPO_LISTEDDATE</stp>
        <stp>1</stp>
        <stp>300050</stp>
        <tr r="AT2656" s="1"/>
      </tp>
      <tp t="s">
        <v>1999-11-10</v>
        <stp/>
        <stp>EM_S_IPO_LISTEDDATE</stp>
        <stp>1</stp>
        <stp>600000</stp>
        <tr r="AT1062" s="1"/>
      </tp>
      <tp t="s">
        <v>2010-07-05</v>
        <stp/>
        <stp>EM_S_IPO_LISTEDDATE</stp>
        <stp>1</stp>
        <stp>601000</stp>
        <tr r="AT1833" s="1"/>
      </tp>
      <tp t="s">
        <v>2006-08-10</v>
        <stp/>
        <stp>EM_S_IPO_LISTEDDATE</stp>
        <stp>1</stp>
        <stp>002060</stp>
        <tr r="AT1677" s="1"/>
      </tp>
      <tp t="s">
        <v>2012-04-27</v>
        <stp/>
        <stp>EM_S_IPO_LISTEDDATE</stp>
        <stp>1</stp>
        <stp>603000</stp>
        <tr r="AT61" s="1"/>
      </tp>
      <tp t="s">
        <v>1997-11-18</v>
        <stp/>
        <stp>EM_S_IPO_LISTEDDATE</stp>
        <stp>1</stp>
        <stp>000063</stp>
        <tr r="AT245" s="1"/>
      </tp>
      <tp t="s">
        <v>2010-02-11</v>
        <stp/>
        <stp>EM_S_IPO_LISTEDDATE</stp>
        <stp>1</stp>
        <stp>300053</stp>
        <tr r="AT528" s="1"/>
      </tp>
      <tp t="s">
        <v>1999-08-10</v>
        <stp/>
        <stp>EM_S_IPO_LISTEDDATE</stp>
        <stp>1</stp>
        <stp>600003</stp>
        <tr r="AT2287" s="1"/>
      </tp>
      <tp t="s">
        <v>2007-02-27</v>
        <stp/>
        <stp>EM_S_IPO_LISTEDDATE</stp>
        <stp>1</stp>
        <stp>601003</stp>
        <tr r="AT2925" s="1"/>
      </tp>
      <tp t="s">
        <v>2006-08-23</v>
        <stp/>
        <stp>EM_S_IPO_LISTEDDATE</stp>
        <stp>1</stp>
        <stp>002063</stp>
        <tr r="AT118" s="1"/>
      </tp>
      <tp t="s">
        <v>2012-08-17</v>
        <stp/>
        <stp>EM_S_IPO_LISTEDDATE</stp>
        <stp>1</stp>
        <stp>603003</stp>
        <tr r="AT1217" s="1"/>
      </tp>
      <tp t="s">
        <v>1997-01-30</v>
        <stp/>
        <stp>EM_S_IPO_LISTEDDATE</stp>
        <stp>1</stp>
        <stp>000062</stp>
        <tr r="AT1072" s="1"/>
      </tp>
      <tp t="s">
        <v>2010-02-11</v>
        <stp/>
        <stp>EM_S_IPO_LISTEDDATE</stp>
        <stp>1</stp>
        <stp>300052</stp>
        <tr r="AT509" s="1"/>
      </tp>
      <tp t="s">
        <v>1998-04-08</v>
        <stp/>
        <stp>EM_S_IPO_LISTEDDATE</stp>
        <stp>1</stp>
        <stp>600002</stp>
        <tr r="AT2286" s="1"/>
      </tp>
      <tp t="s">
        <v>2007-01-26</v>
        <stp/>
        <stp>EM_S_IPO_LISTEDDATE</stp>
        <stp>1</stp>
        <stp>601002</stp>
        <tr r="AT1815" s="1"/>
      </tp>
      <tp t="s">
        <v>2006-08-16</v>
        <stp/>
        <stp>EM_S_IPO_LISTEDDATE</stp>
        <stp>1</stp>
        <stp>002062</stp>
        <tr r="AT2740" s="1"/>
      </tp>
      <tp t="s">
        <v>2012-05-18</v>
        <stp/>
        <stp>EM_S_IPO_LISTEDDATE</stp>
        <stp>1</stp>
        <stp>603002</stp>
        <tr r="AT1090" s="1"/>
      </tp>
      <tp>
        <v>0</v>
        <stp/>
        <stp>EM_S_FA_ASSETSTURN</stp>
        <stp>3</stp>
        <stp>601988</stp>
        <stp>12/31/2018</stp>
        <stp>1</stp>
        <tr r="K2120" s="1"/>
      </tp>
      <tp>
        <v>1.967671895401</v>
        <stp/>
        <stp>EM_S_FA_ASSETSTURN</stp>
        <stp>3</stp>
        <stp>601888</stp>
        <stp>12/31/2018</stp>
        <stp>1</stp>
        <tr r="K601" s="1"/>
      </tp>
      <tp>
        <v>1.2645716589530001</v>
        <stp/>
        <stp>EM_S_FA_ASSETSTURN</stp>
        <stp>3</stp>
        <stp>601388</stp>
        <stp>12/31/2018</stp>
        <stp>1</stp>
        <tr r="K2423" s="1"/>
      </tp>
      <tp>
        <v>0</v>
        <stp/>
        <stp>EM_S_FA_ASSETSTURN</stp>
        <stp>3</stp>
        <stp>601288</stp>
        <stp>12/31/2018</stp>
        <stp>1</stp>
        <tr r="K2090" s="1"/>
      </tp>
      <tp>
        <v>0.13979188505599999</v>
        <stp/>
        <stp>EM_S_FA_ASSETSTURN</stp>
        <stp>3</stp>
        <stp>601188</stp>
        <stp>12/31/2018</stp>
        <stp>1</stp>
        <tr r="K2146" s="1"/>
      </tp>
      <tp>
        <v>0.45757010576399998</v>
        <stp/>
        <stp>EM_S_FA_ASSETSTURN</stp>
        <stp>3</stp>
        <stp>601088</stp>
        <stp>12/31/2018</stp>
        <stp>1</stp>
        <tr r="K2181" s="1"/>
      </tp>
      <tp>
        <v>0</v>
        <stp/>
        <stp>EM_S_FA_ASSETSTURN</stp>
        <stp>3</stp>
        <stp>601788</stp>
        <stp>12/31/2018</stp>
        <stp>1</stp>
        <tr r="K576" s="1"/>
      </tp>
      <tp>
        <v>0</v>
        <stp/>
        <stp>EM_S_FA_ASSETSTURN</stp>
        <stp>3</stp>
        <stp>601688</stp>
        <stp>12/31/2018</stp>
        <stp>1</stp>
        <tr r="K1013" s="1"/>
      </tp>
      <tp>
        <v>0.20787459431300001</v>
        <stp/>
        <stp>EM_S_FA_ASSETSTURN</stp>
        <stp>3</stp>
        <stp>601588</stp>
        <stp>12/31/2018</stp>
        <stp>1</stp>
        <tr r="K1361" s="1"/>
      </tp>
      <tp>
        <v>0.34357784884999998</v>
        <stp/>
        <stp>EM_S_FA_ASSETSTURN</stp>
        <stp>3</stp>
        <stp>600988</stp>
        <stp>12/31/2018</stp>
        <stp>1</stp>
        <tr r="K1255" s="1"/>
      </tp>
      <tp>
        <v>0.47382011607800001</v>
        <stp/>
        <stp>EM_S_FA_ASSETSTURN</stp>
        <stp>3</stp>
        <stp>600888</stp>
        <stp>12/31/2018</stp>
        <stp>1</stp>
        <tr r="K1734" s="1"/>
      </tp>
      <tp>
        <v>0.56221736269300004</v>
        <stp/>
        <stp>EM_S_FA_ASSETSTURN</stp>
        <stp>3</stp>
        <stp>600388</stp>
        <stp>12/31/2018</stp>
        <stp>1</stp>
        <tr r="K2538" s="1"/>
      </tp>
      <tp>
        <v>1.0581860831909999</v>
        <stp/>
        <stp>EM_S_FA_ASSETSTURN</stp>
        <stp>3</stp>
        <stp>600288</stp>
        <stp>12/31/2018</stp>
        <stp>1</stp>
        <tr r="K324" s="1"/>
      </tp>
      <tp>
        <v>0.81797235538099999</v>
        <stp/>
        <stp>EM_S_FA_ASSETSTURN</stp>
        <stp>3</stp>
        <stp>600188</stp>
        <stp>12/31/2018</stp>
        <stp>1</stp>
        <tr r="K1329" s="1"/>
      </tp>
      <tp>
        <v>0.54168227850600004</v>
        <stp/>
        <stp>EM_S_FA_ASSETSTURN</stp>
        <stp>3</stp>
        <stp>600088</stp>
        <stp>12/31/2018</stp>
        <stp>1</stp>
        <tr r="K412" s="1"/>
      </tp>
      <tp>
        <v>4.3952590489369996</v>
        <stp/>
        <stp>EM_S_FA_ASSETSTURN</stp>
        <stp>3</stp>
        <stp>600788</stp>
        <stp>12/31/2018</stp>
        <stp>1</stp>
        <tr r="K2323" s="1"/>
      </tp>
      <tp>
        <v>2.561272809049</v>
        <stp/>
        <stp>EM_S_FA_ASSETSTURN</stp>
        <stp>3</stp>
        <stp>600688</stp>
        <stp>12/31/2018</stp>
        <stp>1</stp>
        <tr r="K3114" s="1"/>
      </tp>
      <tp>
        <v>0.52664690846700002</v>
        <stp/>
        <stp>EM_S_FA_ASSETSTURN</stp>
        <stp>3</stp>
        <stp>600588</stp>
        <stp>12/31/2018</stp>
        <stp>1</stp>
        <tr r="K868" s="1"/>
      </tp>
      <tp>
        <v>0.53456557594099996</v>
        <stp/>
        <stp>EM_S_FA_ASSETSTURN</stp>
        <stp>3</stp>
        <stp>600488</stp>
        <stp>12/31/2018</stp>
        <stp>1</stp>
        <tr r="K1787" s="1"/>
      </tp>
      <tp>
        <v>0.45880203738800002</v>
        <stp/>
        <stp>EM_S_FA_ASSETSTURN</stp>
        <stp>3</stp>
        <stp>603988</stp>
        <stp>12/31/2018</stp>
        <stp>1</stp>
        <tr r="K2544" s="1"/>
      </tp>
      <tp>
        <v>0.40668859973499999</v>
        <stp/>
        <stp>EM_S_FA_ASSETSTURN</stp>
        <stp>3</stp>
        <stp>603888</stp>
        <stp>12/31/2018</stp>
        <stp>1</stp>
        <tr r="K402" s="1"/>
      </tp>
      <tp>
        <v>0.58618676190600005</v>
        <stp/>
        <stp>EM_S_FA_ASSETSTURN</stp>
        <stp>3</stp>
        <stp>603388</stp>
        <stp>12/31/2018</stp>
        <stp>1</stp>
        <tr r="K3051" s="1"/>
      </tp>
      <tp>
        <v>0.93391271933099995</v>
        <stp/>
        <stp>EM_S_FA_ASSETSTURN</stp>
        <stp>3</stp>
        <stp>603288</stp>
        <stp>12/31/2018</stp>
        <stp>1</stp>
        <tr r="K469" s="1"/>
      </tp>
      <tp>
        <v>0.44832312893999998</v>
        <stp/>
        <stp>EM_S_FA_ASSETSTURN</stp>
        <stp>3</stp>
        <stp>603188</stp>
        <stp>12/31/2018</stp>
        <stp>1</stp>
        <tr r="K2816" s="1"/>
      </tp>
      <tp>
        <v>0.452049198599</v>
        <stp/>
        <stp>EM_S_FA_ASSETSTURN</stp>
        <stp>3</stp>
        <stp>603088</stp>
        <stp>12/31/2018</stp>
        <stp>1</stp>
        <tr r="K3087" s="1"/>
      </tp>
      <tp>
        <v>0.569358183174</v>
        <stp/>
        <stp>EM_S_FA_ASSETSTURN</stp>
        <stp>3</stp>
        <stp>603788</stp>
        <stp>12/31/2018</stp>
        <stp>1</stp>
        <tr r="K1735" s="1"/>
      </tp>
      <tp>
        <v>0.43753048147500001</v>
        <stp/>
        <stp>EM_S_FA_ASSETSTURN</stp>
        <stp>3</stp>
        <stp>603688</stp>
        <stp>12/31/2018</stp>
        <stp>1</stp>
        <tr r="K342" s="1"/>
      </tp>
      <tp>
        <v>0.52082271740399999</v>
        <stp/>
        <stp>EM_S_FA_ASSETSTURN</stp>
        <stp>3</stp>
        <stp>603588</stp>
        <stp>12/31/2018</stp>
        <stp>1</stp>
        <tr r="K1304" s="1"/>
      </tp>
      <tp>
        <v>0.34550870092300001</v>
        <stp/>
        <stp>EM_S_FA_ASSETSTURN</stp>
        <stp>3</stp>
        <stp>603488</stp>
        <stp>12/31/2018</stp>
        <stp>1</stp>
        <tr r="K1208" s="1"/>
      </tp>
      <tp>
        <v>0.23311350733399999</v>
        <stp/>
        <stp>EM_S_FA_ASSETSTURN</stp>
        <stp>3</stp>
        <stp>601989</stp>
        <stp>12/31/2018</stp>
        <stp>1</stp>
        <tr r="K1155" s="1"/>
      </tp>
      <tp>
        <v>1.0904528584269999</v>
        <stp/>
        <stp>EM_S_FA_ASSETSTURN</stp>
        <stp>3</stp>
        <stp>601789</stp>
        <stp>12/31/2018</stp>
        <stp>1</stp>
        <tr r="K1262" s="1"/>
      </tp>
      <tp>
        <v>0.55316890358299997</v>
        <stp/>
        <stp>EM_S_FA_ASSETSTURN</stp>
        <stp>3</stp>
        <stp>601689</stp>
        <stp>12/31/2018</stp>
        <stp>1</stp>
        <tr r="K1375" s="1"/>
      </tp>
      <tp>
        <v>0.50201441370300004</v>
        <stp/>
        <stp>EM_S_FA_ASSETSTURN</stp>
        <stp>3</stp>
        <stp>600889</stp>
        <stp>12/31/2018</stp>
        <stp>1</stp>
        <tr r="K2344" s="1"/>
      </tp>
      <tp>
        <v>1.273265282164</v>
        <stp/>
        <stp>EM_S_FA_ASSETSTURN</stp>
        <stp>3</stp>
        <stp>600389</stp>
        <stp>12/31/2018</stp>
        <stp>1</stp>
        <tr r="K1130" s="1"/>
      </tp>
      <tp>
        <v>0.44048741426799998</v>
        <stp/>
        <stp>EM_S_FA_ASSETSTURN</stp>
        <stp>3</stp>
        <stp>600289</stp>
        <stp>12/31/2018</stp>
        <stp>1</stp>
        <tr r="K840" s="1"/>
      </tp>
      <tp>
        <v>0.24255356514400001</v>
        <stp/>
        <stp>EM_S_FA_ASSETSTURN</stp>
        <stp>3</stp>
        <stp>600189</stp>
        <stp>12/31/2018</stp>
        <stp>1</stp>
        <tr r="K2168" s="1"/>
      </tp>
      <tp>
        <v>0.45013903782600001</v>
        <stp/>
        <stp>EM_S_FA_ASSETSTURN</stp>
        <stp>3</stp>
        <stp>600089</stp>
        <stp>12/31/2018</stp>
        <stp>1</stp>
        <tr r="K2447" s="1"/>
      </tp>
      <tp>
        <v>0.56580875182099999</v>
        <stp/>
        <stp>EM_S_FA_ASSETSTURN</stp>
        <stp>3</stp>
        <stp>600789</stp>
        <stp>12/31/2018</stp>
        <stp>1</stp>
        <tr r="K2875" s="1"/>
      </tp>
      <tp>
        <v>1.852702519233</v>
        <stp/>
        <stp>EM_S_FA_ASSETSTURN</stp>
        <stp>3</stp>
        <stp>600689</stp>
        <stp>12/31/2018</stp>
        <stp>1</stp>
        <tr r="K2646" s="1"/>
      </tp>
      <tp>
        <v>0.30157386851599999</v>
        <stp/>
        <stp>EM_S_FA_ASSETSTURN</stp>
        <stp>3</stp>
        <stp>600589</stp>
        <stp>12/31/2018</stp>
        <stp>1</stp>
        <tr r="K818" s="1"/>
      </tp>
      <tp>
        <v>0.89991148059799997</v>
        <stp/>
        <stp>EM_S_FA_ASSETSTURN</stp>
        <stp>3</stp>
        <stp>600489</stp>
        <stp>12/31/2018</stp>
        <stp>1</stp>
        <tr r="K2454" s="1"/>
      </tp>
      <tp>
        <v>0.76726798013499997</v>
        <stp/>
        <stp>EM_S_FA_ASSETSTURN</stp>
        <stp>3</stp>
        <stp>603989</stp>
        <stp>12/31/2018</stp>
        <stp>1</stp>
        <tr r="K1726" s="1"/>
      </tp>
      <tp>
        <v>0.89638854332100004</v>
        <stp/>
        <stp>EM_S_FA_ASSETSTURN</stp>
        <stp>3</stp>
        <stp>603889</stp>
        <stp>12/31/2018</stp>
        <stp>1</stp>
        <tr r="K3265" s="1"/>
      </tp>
      <tp>
        <v>0.4121658473</v>
        <stp/>
        <stp>EM_S_FA_ASSETSTURN</stp>
        <stp>3</stp>
        <stp>603389</stp>
        <stp>12/31/2018</stp>
        <stp>1</stp>
        <tr r="K3343" s="1"/>
      </tp>
      <tp>
        <v>0.61220939418200004</v>
        <stp/>
        <stp>EM_S_FA_ASSETSTURN</stp>
        <stp>3</stp>
        <stp>603289</stp>
        <stp>12/31/2018</stp>
        <stp>1</stp>
        <tr r="K1451" s="1"/>
      </tp>
      <tp>
        <v>0.22977663280300001</v>
        <stp/>
        <stp>EM_S_FA_ASSETSTURN</stp>
        <stp>3</stp>
        <stp>603189</stp>
        <stp>12/31/2018</stp>
        <stp>1</stp>
        <tr r="K591" s="1"/>
      </tp>
      <tp>
        <v>0.81761558801400003</v>
        <stp/>
        <stp>EM_S_FA_ASSETSTURN</stp>
        <stp>3</stp>
        <stp>603089</stp>
        <stp>12/31/2018</stp>
        <stp>1</stp>
        <tr r="K2683" s="1"/>
      </tp>
      <tp>
        <v>0.386767198619</v>
        <stp/>
        <stp>EM_S_FA_ASSETSTURN</stp>
        <stp>3</stp>
        <stp>603789</stp>
        <stp>12/31/2018</stp>
        <stp>1</stp>
        <tr r="K1413" s="1"/>
      </tp>
      <tp>
        <v>1.0363530415819999</v>
        <stp/>
        <stp>EM_S_FA_ASSETSTURN</stp>
        <stp>3</stp>
        <stp>603689</stp>
        <stp>12/31/2018</stp>
        <stp>1</stp>
        <tr r="K2038" s="1"/>
      </tp>
      <tp>
        <v>0.51686722543600006</v>
        <stp/>
        <stp>EM_S_FA_ASSETSTURN</stp>
        <stp>3</stp>
        <stp>603589</stp>
        <stp>12/31/2018</stp>
        <stp>1</stp>
        <tr r="K454" s="1"/>
      </tp>
      <tp>
        <v>0.55696016539847815</v>
        <stp/>
        <stp>EM_S_RATIO_EPS_TTM</stp>
        <stp>3</stp>
        <stp>603139</stp>
        <stp>12/31/2018</stp>
        <stp>1</stp>
        <tr r="U1742" s="1"/>
      </tp>
      <tp>
        <v>1.1167352937079686</v>
        <stp/>
        <stp>EM_S_RATIO_EPS_TTM</stp>
        <stp>3</stp>
        <stp>603039</stp>
        <stp>12/31/2018</stp>
        <stp>1</stp>
        <tr r="U3129" s="1"/>
      </tp>
      <tp>
        <v>0.86466804889824722</v>
        <stp/>
        <stp>EM_S_RATIO_EPS_TTM</stp>
        <stp>3</stp>
        <stp>603339</stp>
        <stp>12/31/2018</stp>
        <stp>1</stp>
        <tr r="U2771" s="1"/>
      </tp>
      <tp>
        <v>0.45217990288859339</v>
        <stp/>
        <stp>EM_S_RATIO_EPS_TTM</stp>
        <stp>3</stp>
        <stp>603239</stp>
        <stp>12/31/2018</stp>
        <stp>1</stp>
        <tr r="U1957" s="1"/>
      </tp>
      <tp>
        <v>2.168841061202766</v>
        <stp/>
        <stp>EM_S_RATIO_EPS_TTM</stp>
        <stp>3</stp>
        <stp>603639</stp>
        <stp>12/31/2018</stp>
        <stp>1</stp>
        <tr r="U2640" s="1"/>
      </tp>
      <tp>
        <v>1.1051153550084336</v>
        <stp/>
        <stp>EM_S_RATIO_EPS_TTM</stp>
        <stp>3</stp>
        <stp>603939</stp>
        <stp>12/31/2018</stp>
        <stp>1</stp>
        <tr r="U285" s="1"/>
      </tp>
      <tp>
        <v>0.69542459959766212</v>
        <stp/>
        <stp>EM_S_RATIO_EPS_TTM</stp>
        <stp>3</stp>
        <stp>603839</stp>
        <stp>12/31/2018</stp>
        <stp>1</stp>
        <tr r="U1152" s="1"/>
      </tp>
      <tp>
        <v>0.97158694346916807</v>
        <stp/>
        <stp>EM_S_RATIO_EPS_TTM</stp>
        <stp>3</stp>
        <stp>002159</stp>
        <stp>12/31/2018</stp>
        <stp>1</stp>
        <tr r="U3212" s="1"/>
      </tp>
      <tp>
        <v>0.66676214470739237</v>
        <stp/>
        <stp>EM_S_RATIO_EPS_TTM</stp>
        <stp>3</stp>
        <stp>002059</stp>
        <stp>12/31/2018</stp>
        <stp>1</stp>
        <tr r="U2514" s="1"/>
      </tp>
      <tp>
        <v>-1.0184689208737197</v>
        <stp/>
        <stp>EM_S_RATIO_EPS_TTM</stp>
        <stp>3</stp>
        <stp>002359</stp>
        <stp>12/31/2018</stp>
        <stp>1</stp>
        <tr r="U3401" s="1"/>
      </tp>
      <tp>
        <v>-0.2367660764765602</v>
        <stp/>
        <stp>EM_S_RATIO_EPS_TTM</stp>
        <stp>3</stp>
        <stp>002259</stp>
        <stp>12/31/2018</stp>
        <stp>1</stp>
        <tr r="U2658" s="1"/>
      </tp>
      <tp>
        <v>0.29899755557509128</v>
        <stp/>
        <stp>EM_S_RATIO_EPS_TTM</stp>
        <stp>3</stp>
        <stp>002559</stp>
        <stp>12/31/2018</stp>
        <stp>1</stp>
        <tr r="U2941" s="1"/>
      </tp>
      <tp>
        <v>1.2666529009177821E-2</v>
        <stp/>
        <stp>EM_S_RATIO_EPS_TTM</stp>
        <stp>3</stp>
        <stp>002459</stp>
        <stp>12/31/2018</stp>
        <stp>1</stp>
        <tr r="U871" s="1"/>
      </tp>
      <tp>
        <v>0.18532730379619655</v>
        <stp/>
        <stp>EM_S_RATIO_EPS_TTM</stp>
        <stp>3</stp>
        <stp>002759</stp>
        <stp>12/31/2018</stp>
        <stp>1</stp>
        <tr r="U1470" s="1"/>
      </tp>
      <tp>
        <v>-0.19647145359425894</v>
        <stp/>
        <stp>EM_S_RATIO_EPS_TTM</stp>
        <stp>3</stp>
        <stp>002659</stp>
        <stp>12/31/2018</stp>
        <stp>1</stp>
        <tr r="U3175" s="1"/>
      </tp>
      <tp>
        <v>1.0651073362479204</v>
        <stp/>
        <stp>EM_S_RATIO_EPS_TTM</stp>
        <stp>3</stp>
        <stp>002859</stp>
        <stp>12/31/2018</stp>
        <stp>1</stp>
        <tr r="U1645" s="1"/>
      </tp>
      <tp>
        <v>0.35832407682149608</v>
        <stp/>
        <stp>EM_S_RATIO_EPS_TTM</stp>
        <stp>3</stp>
        <stp>601139</stp>
        <stp>12/31/2018</stp>
        <stp>1</stp>
        <tr r="U649" s="1"/>
      </tp>
      <tp>
        <v>0.29168386714666666</v>
        <stp/>
        <stp>EM_S_RATIO_EPS_TTM</stp>
        <stp>3</stp>
        <stp>601339</stp>
        <stp>12/31/2018</stp>
        <stp>1</stp>
        <tr r="U3196" s="1"/>
      </tp>
      <tp>
        <v>1.0185752744167407</v>
        <stp/>
        <stp>EM_S_RATIO_EPS_TTM</stp>
        <stp>3</stp>
        <stp>601939</stp>
        <stp>12/31/2018</stp>
        <stp>1</stp>
        <tr r="U1554" s="1"/>
      </tp>
      <tp>
        <v>0.1245380118756212</v>
        <stp/>
        <stp>EM_S_RATIO_EPS_TTM</stp>
        <stp>3</stp>
        <stp>000159</stp>
        <stp>12/31/2018</stp>
        <stp>1</stp>
        <tr r="U847" s="1"/>
      </tp>
      <tp>
        <v>4.9676581335164748E-2</v>
        <stp/>
        <stp>EM_S_RATIO_EPS_TTM</stp>
        <stp>3</stp>
        <stp>300169</stp>
        <stp>12/31/2018</stp>
        <stp>1</stp>
        <tr r="U1392" s="1"/>
      </tp>
      <tp>
        <v>4.4086906742587702E-3</v>
        <stp/>
        <stp>EM_S_RATIO_EPS_TTM</stp>
        <stp>3</stp>
        <stp>600139</stp>
        <stp>12/31/2018</stp>
        <stp>1</stp>
        <tr r="U1360" s="1"/>
      </tp>
      <tp>
        <v>0.65983551577883293</v>
        <stp/>
        <stp>EM_S_RATIO_EPS_TTM</stp>
        <stp>3</stp>
        <stp>000059</stp>
        <stp>12/31/2018</stp>
        <stp>1</stp>
        <tr r="U1923" s="1"/>
      </tp>
      <tp>
        <v>-1.525474951965812</v>
        <stp/>
        <stp>EM_S_RATIO_EPS_TTM</stp>
        <stp>3</stp>
        <stp>300069</stp>
        <stp>12/31/2018</stp>
        <stp>1</stp>
        <tr r="U270" s="1"/>
      </tp>
      <tp>
        <v>0.32453307591780456</v>
        <stp/>
        <stp>EM_S_RATIO_EPS_TTM</stp>
        <stp>3</stp>
        <stp>600039</stp>
        <stp>12/31/2018</stp>
        <stp>1</stp>
        <tr r="U2260" s="1"/>
      </tp>
      <tp>
        <v>0.21017329690044334</v>
        <stp/>
        <stp>EM_S_RATIO_EPS_TTM</stp>
        <stp>3</stp>
        <stp>300369</stp>
        <stp>12/31/2018</stp>
        <stp>1</stp>
        <tr r="U143" s="1"/>
      </tp>
      <tp>
        <v>0.17105354998780758</v>
        <stp/>
        <stp>EM_S_RATIO_EPS_TTM</stp>
        <stp>3</stp>
        <stp>600339</stp>
        <stp>12/31/2018</stp>
        <stp>1</stp>
        <tr r="U2706" s="1"/>
      </tp>
      <tp>
        <v>-4.808803966516634</v>
        <stp/>
        <stp>EM_S_RATIO_EPS_TTM</stp>
        <stp>3</stp>
        <stp>300269</stp>
        <stp>12/31/2018</stp>
        <stp>1</stp>
        <tr r="U2751" s="1"/>
      </tp>
      <tp>
        <v>0.30604340748224912</v>
        <stp/>
        <stp>EM_S_RATIO_EPS_TTM</stp>
        <stp>3</stp>
        <stp>600239</stp>
        <stp>12/31/2018</stp>
        <stp>1</stp>
        <tr r="U2256" s="1"/>
      </tp>
      <tp>
        <v>0.2624606563997437</v>
        <stp/>
        <stp>EM_S_RATIO_EPS_TTM</stp>
        <stp>3</stp>
        <stp>000559</stp>
        <stp>12/31/2018</stp>
        <stp>1</stp>
        <tr r="U1985" s="1"/>
      </tp>
      <tp>
        <v>0.68219264692157955</v>
        <stp/>
        <stp>EM_S_RATIO_EPS_TTM</stp>
        <stp>3</stp>
        <stp>300569</stp>
        <stp>12/31/2018</stp>
        <stp>1</stp>
        <tr r="U1506" s="1"/>
      </tp>
      <tp>
        <v>4.3688792130434778E-2</v>
        <stp/>
        <stp>EM_S_RATIO_EPS_TTM</stp>
        <stp>3</stp>
        <stp>600539</stp>
        <stp>12/31/2018</stp>
        <stp>1</stp>
        <tr r="U1929" s="1"/>
      </tp>
      <tp>
        <v>0.36725776276391481</v>
        <stp/>
        <stp>EM_S_RATIO_EPS_TTM</stp>
        <stp>3</stp>
        <stp>300469</stp>
        <stp>12/31/2018</stp>
        <stp>1</stp>
        <tr r="U2968" s="1"/>
      </tp>
      <tp>
        <v>0.20686122835643539</v>
        <stp/>
        <stp>EM_S_RATIO_EPS_TTM</stp>
        <stp>3</stp>
        <stp>600439</stp>
        <stp>12/31/2018</stp>
        <stp>1</stp>
        <tr r="U823" s="1"/>
      </tp>
      <tp>
        <v>0.63279476004795743</v>
        <stp/>
        <stp>EM_S_RATIO_EPS_TTM</stp>
        <stp>3</stp>
        <stp>000759</stp>
        <stp>12/31/2018</stp>
        <stp>1</stp>
        <tr r="U752" s="1"/>
      </tp>
      <tp>
        <v>0.49801915347060832</v>
        <stp/>
        <stp>EM_S_RATIO_EPS_TTM</stp>
        <stp>3</stp>
        <stp>600739</stp>
        <stp>12/31/2018</stp>
        <stp>1</stp>
        <tr r="U642" s="1"/>
      </tp>
      <tp>
        <v>1.7419979949949854E-2</v>
        <stp/>
        <stp>EM_S_RATIO_EPS_TTM</stp>
        <stp>3</stp>
        <stp>000659</stp>
        <stp>12/31/2018</stp>
        <stp>1</stp>
        <tr r="U3261" s="1"/>
      </tp>
      <tp>
        <v>0.45057700380047505</v>
        <stp/>
        <stp>EM_S_RATIO_EPS_TTM</stp>
        <stp>3</stp>
        <stp>300669</stp>
        <stp>12/31/2018</stp>
        <stp>1</stp>
        <tr r="U488" s="1"/>
      </tp>
      <tp>
        <v>0.87054618861189437</v>
        <stp/>
        <stp>EM_S_RATIO_EPS_TTM</stp>
        <stp>3</stp>
        <stp>600639</stp>
        <stp>12/31/2018</stp>
        <stp>1</stp>
        <tr r="U1287" s="1"/>
      </tp>
      <tp>
        <v>0.45444764971746454</v>
        <stp/>
        <stp>EM_S_RATIO_EPS_TTM</stp>
        <stp>3</stp>
        <stp>000959</stp>
        <stp>12/31/2018</stp>
        <stp>1</stp>
        <tr r="U2602" s="1"/>
      </tp>
      <tp>
        <v>0.21731349823091761</v>
        <stp/>
        <stp>EM_S_RATIO_EPS_TTM</stp>
        <stp>3</stp>
        <stp>600939</stp>
        <stp>12/31/2018</stp>
        <stp>1</stp>
        <tr r="U2104" s="1"/>
      </tp>
      <tp>
        <v>0.1380823324122385</v>
        <stp/>
        <stp>EM_S_RATIO_EPS_TTM</stp>
        <stp>3</stp>
        <stp>000859</stp>
        <stp>12/31/2018</stp>
        <stp>1</stp>
        <tr r="U151" s="1"/>
      </tp>
      <tp>
        <v>7.0017658337834798E-2</v>
        <stp/>
        <stp>EM_S_RATIO_EPS_TTM</stp>
        <stp>3</stp>
        <stp>600839</stp>
        <stp>12/31/2018</stp>
        <stp>1</stp>
        <tr r="U1139" s="1"/>
      </tp>
      <tp>
        <v>0.35994211256764785</v>
        <stp/>
        <stp>EM_S_RATIO_EPS_TTM</stp>
        <stp>3</stp>
        <stp>603138</stp>
        <stp>12/31/2018</stp>
        <stp>1</stp>
        <tr r="U2938" s="1"/>
      </tp>
      <tp>
        <v>0.88274115903607275</v>
        <stp/>
        <stp>EM_S_RATIO_EPS_TTM</stp>
        <stp>3</stp>
        <stp>603038</stp>
        <stp>12/31/2018</stp>
        <stp>1</stp>
        <tr r="U2833" s="1"/>
      </tp>
      <tp>
        <v>1.939744990042662</v>
        <stp/>
        <stp>EM_S_RATIO_EPS_TTM</stp>
        <stp>3</stp>
        <stp>603338</stp>
        <stp>12/31/2018</stp>
        <stp>1</stp>
        <tr r="U1029" s="1"/>
      </tp>
      <tp>
        <v>0.46044863116666668</v>
        <stp/>
        <stp>EM_S_RATIO_EPS_TTM</stp>
        <stp>3</stp>
        <stp>603238</stp>
        <stp>12/31/2018</stp>
        <stp>1</stp>
        <tr r="U2678" s="1"/>
      </tp>
      <tp>
        <v>0.64605821046843781</v>
        <stp/>
        <stp>EM_S_RATIO_EPS_TTM</stp>
        <stp>3</stp>
        <stp>603538</stp>
        <stp>12/31/2018</stp>
        <stp>1</stp>
        <tr r="U1150" s="1"/>
      </tp>
      <tp>
        <v>0.22906656466006908</v>
        <stp/>
        <stp>EM_S_RATIO_EPS_TTM</stp>
        <stp>3</stp>
        <stp>603738</stp>
        <stp>12/31/2018</stp>
        <stp>1</stp>
        <tr r="U418" s="1"/>
      </tp>
      <tp>
        <v>0.86445843546529488</v>
        <stp/>
        <stp>EM_S_RATIO_EPS_TTM</stp>
        <stp>3</stp>
        <stp>603638</stp>
        <stp>12/31/2018</stp>
        <stp>1</stp>
        <tr r="U1019" s="1"/>
      </tp>
      <tp>
        <v>0.75283167129042017</v>
        <stp/>
        <stp>EM_S_RATIO_EPS_TTM</stp>
        <stp>3</stp>
        <stp>603938</stp>
        <stp>12/31/2018</stp>
        <stp>1</stp>
        <tr r="U1870" s="1"/>
      </tp>
      <tp>
        <v>0.16041993872806359</v>
        <stp/>
        <stp>EM_S_RATIO_EPS_TTM</stp>
        <stp>3</stp>
        <stp>603838</stp>
        <stp>12/31/2018</stp>
        <stp>1</stp>
        <tr r="U2880" s="1"/>
      </tp>
      <tp>
        <v>0.3785641116777646</v>
        <stp/>
        <stp>EM_S_RATIO_EPS_TTM</stp>
        <stp>3</stp>
        <stp>002158</stp>
        <stp>12/31/2018</stp>
        <stp>1</stp>
        <tr r="U1124" s="1"/>
      </tp>
      <tp>
        <v>3.1833812051575476E-2</v>
        <stp/>
        <stp>EM_S_RATIO_EPS_TTM</stp>
        <stp>3</stp>
        <stp>002058</stp>
        <stp>12/31/2018</stp>
        <stp>1</stp>
        <tr r="U306" s="1"/>
      </tp>
      <tp>
        <v>0.30255762659364266</v>
        <stp/>
        <stp>EM_S_RATIO_EPS_TTM</stp>
        <stp>3</stp>
        <stp>002358</stp>
        <stp>12/31/2018</stp>
        <stp>1</stp>
        <tr r="U3394" s="1"/>
      </tp>
      <tp>
        <v>1.1019081547157374</v>
        <stp/>
        <stp>EM_S_RATIO_EPS_TTM</stp>
        <stp>3</stp>
        <stp>002258</stp>
        <stp>12/31/2018</stp>
        <stp>1</stp>
        <tr r="U1840" s="1"/>
      </tp>
      <tp>
        <v>0.53259092583219703</v>
        <stp/>
        <stp>EM_S_RATIO_EPS_TTM</stp>
        <stp>3</stp>
        <stp>002558</stp>
        <stp>12/31/2018</stp>
        <stp>1</stp>
        <tr r="U2676" s="1"/>
      </tp>
      <tp>
        <v>1.0754606046989315</v>
        <stp/>
        <stp>EM_S_RATIO_EPS_TTM</stp>
        <stp>3</stp>
        <stp>002458</stp>
        <stp>12/31/2018</stp>
        <stp>1</stp>
        <tr r="U190" s="1"/>
      </tp>
      <tp>
        <v>0.16458439945566178</v>
        <stp/>
        <stp>EM_S_RATIO_EPS_TTM</stp>
        <stp>3</stp>
        <stp>002758</stp>
        <stp>12/31/2018</stp>
        <stp>1</stp>
        <tr r="U633" s="1"/>
      </tp>
      <tp>
        <v>0.29634094468217187</v>
        <stp/>
        <stp>EM_S_RATIO_EPS_TTM</stp>
        <stp>3</stp>
        <stp>002658</stp>
        <stp>12/31/2018</stp>
        <stp>1</stp>
        <tr r="U2191" s="1"/>
      </tp>
      <tp>
        <v>0.3033756718651045</v>
        <stp/>
        <stp>EM_S_RATIO_EPS_TTM</stp>
        <stp>3</stp>
        <stp>002858</stp>
        <stp>12/31/2018</stp>
        <stp>1</stp>
        <tr r="U1816" s="1"/>
      </tp>
      <tp>
        <v>0.85818986303746836</v>
        <stp/>
        <stp>EM_S_RATIO_EPS_TTM</stp>
        <stp>3</stp>
        <stp>601138</stp>
        <stp>12/31/2018</stp>
        <stp>1</stp>
        <tr r="U537" s="1"/>
      </tp>
      <tp>
        <v>-1.3187693603692245</v>
        <stp/>
        <stp>EM_S_RATIO_EPS_TTM</stp>
        <stp>3</stp>
        <stp>601038</stp>
        <stp>12/31/2018</stp>
        <stp>1</stp>
        <tr r="U646" s="1"/>
      </tp>
      <tp>
        <v>1.0654921144944114</v>
        <stp/>
        <stp>EM_S_RATIO_EPS_TTM</stp>
        <stp>3</stp>
        <stp>601238</stp>
        <stp>12/31/2018</stp>
        <stp>1</stp>
        <tr r="U1583" s="1"/>
      </tp>
      <tp>
        <v>1.2870449949704412</v>
        <stp/>
        <stp>EM_S_RATIO_EPS_TTM</stp>
        <stp>3</stp>
        <stp>601838</stp>
        <stp>12/31/2018</stp>
        <stp>1</stp>
        <tr r="U1663" s="1"/>
      </tp>
      <tp>
        <v>0.11251461562312334</v>
        <stp/>
        <stp>EM_S_RATIO_EPS_TTM</stp>
        <stp>3</stp>
        <stp>000158</stp>
        <stp>12/31/2018</stp>
        <stp>1</stp>
        <tr r="U3412" s="1"/>
      </tp>
      <tp>
        <v>0.2110139835793923</v>
        <stp/>
        <stp>EM_S_RATIO_EPS_TTM</stp>
        <stp>3</stp>
        <stp>300168</stp>
        <stp>12/31/2018</stp>
        <stp>1</stp>
        <tr r="U960" s="1"/>
      </tp>
      <tp>
        <v>0.82535003775696292</v>
        <stp/>
        <stp>EM_S_RATIO_EPS_TTM</stp>
        <stp>3</stp>
        <stp>600138</stp>
        <stp>12/31/2018</stp>
        <stp>1</stp>
        <tr r="U2400" s="1"/>
      </tp>
      <tp>
        <v>2.254084843785709E-2</v>
        <stp/>
        <stp>EM_S_RATIO_EPS_TTM</stp>
        <stp>3</stp>
        <stp>000058</stp>
        <stp>12/31/2018</stp>
        <stp>1</stp>
        <tr r="U1127" s="1"/>
      </tp>
      <tp>
        <v>0.27580724214206787</v>
        <stp/>
        <stp>EM_S_RATIO_EPS_TTM</stp>
        <stp>3</stp>
        <stp>300068</stp>
        <stp>12/31/2018</stp>
        <stp>1</stp>
        <tr r="U3130" s="1"/>
      </tp>
      <tp>
        <v>0.86573501993927782</v>
        <stp/>
        <stp>EM_S_RATIO_EPS_TTM</stp>
        <stp>3</stp>
        <stp>600038</stp>
        <stp>12/31/2018</stp>
        <stp>1</stp>
        <tr r="U1039" s="1"/>
      </tp>
      <tp>
        <v>8.9329413561679685E-2</v>
        <stp/>
        <stp>EM_S_RATIO_EPS_TTM</stp>
        <stp>3</stp>
        <stp>300368</stp>
        <stp>12/31/2018</stp>
        <stp>1</stp>
        <tr r="U686" s="1"/>
      </tp>
      <tp>
        <v>1.3792572417682281</v>
        <stp/>
        <stp>EM_S_RATIO_EPS_TTM</stp>
        <stp>3</stp>
        <stp>600338</stp>
        <stp>12/31/2018</stp>
        <stp>1</stp>
        <tr r="U2747" s="1"/>
      </tp>
      <tp>
        <v>0.18307705485074627</v>
        <stp/>
        <stp>EM_S_RATIO_EPS_TTM</stp>
        <stp>3</stp>
        <stp>300268</stp>
        <stp>12/31/2018</stp>
        <stp>1</stp>
        <tr r="U1057" s="1"/>
      </tp>
      <tp>
        <v>9.0391030700580105E-2</v>
        <stp/>
        <stp>EM_S_RATIO_EPS_TTM</stp>
        <stp>3</stp>
        <stp>600238</stp>
        <stp>12/31/2018</stp>
        <stp>1</stp>
        <tr r="U1030" s="1"/>
      </tp>
      <tp>
        <v>-4.7410966766023049E-2</v>
        <stp/>
        <stp>EM_S_RATIO_EPS_TTM</stp>
        <stp>3</stp>
        <stp>000558</stp>
        <stp>12/31/2018</stp>
        <stp>1</stp>
        <tr r="U3454" s="1"/>
      </tp>
      <tp>
        <v>1.157029131717594</v>
        <stp/>
        <stp>EM_S_RATIO_EPS_TTM</stp>
        <stp>3</stp>
        <stp>300568</stp>
        <stp>12/31/2018</stp>
        <stp>1</stp>
        <tr r="U800" s="1"/>
      </tp>
      <tp>
        <v>-4.6535440924854662E-2</v>
        <stp/>
        <stp>EM_S_RATIO_EPS_TTM</stp>
        <stp>3</stp>
        <stp>600538</stp>
        <stp>12/31/2018</stp>
        <stp>1</stp>
        <tr r="U1379" s="1"/>
      </tp>
      <tp>
        <v>0.35352815813746097</v>
        <stp/>
        <stp>EM_S_RATIO_EPS_TTM</stp>
        <stp>3</stp>
        <stp>300468</stp>
        <stp>12/31/2018</stp>
        <stp>1</stp>
        <tr r="U55" s="1"/>
      </tp>
      <tp>
        <v>0.51997745044909682</v>
        <stp/>
        <stp>EM_S_RATIO_EPS_TTM</stp>
        <stp>3</stp>
        <stp>600438</stp>
        <stp>12/31/2018</stp>
        <stp>1</stp>
        <tr r="U448" s="1"/>
      </tp>
      <tp>
        <v>6.0793593202278319E-2</v>
        <stp/>
        <stp>EM_S_RATIO_EPS_TTM</stp>
        <stp>3</stp>
        <stp>000758</stp>
        <stp>12/31/2018</stp>
        <stp>1</stp>
        <tr r="U3529" s="1"/>
      </tp>
      <tp>
        <v>2.0230330910394936</v>
        <stp/>
        <stp>EM_S_RATIO_EPS_TTM</stp>
        <stp>3</stp>
        <stp>600738</stp>
        <stp>12/31/2018</stp>
        <stp>1</stp>
        <tr r="U2955" s="1"/>
      </tp>
      <tp>
        <v>-1.0167993955379465E-3</v>
        <stp/>
        <stp>EM_S_RATIO_EPS_TTM</stp>
        <stp>3</stp>
        <stp>000658</stp>
        <stp>12/31/2018</stp>
        <stp>1</stp>
        <tr r="U3495" s="1"/>
      </tp>
      <tp>
        <v>0.79323010872865274</v>
        <stp/>
        <stp>EM_S_RATIO_EPS_TTM</stp>
        <stp>3</stp>
        <stp>300668</stp>
        <stp>12/31/2018</stp>
        <stp>1</stp>
        <tr r="U2582" s="1"/>
      </tp>
      <tp>
        <v>0.84939909021187399</v>
        <stp/>
        <stp>EM_S_RATIO_EPS_TTM</stp>
        <stp>3</stp>
        <stp>600638</stp>
        <stp>12/31/2018</stp>
        <stp>1</stp>
        <tr r="U3026" s="1"/>
      </tp>
      <tp>
        <v>0.12611185054766086</v>
        <stp/>
        <stp>EM_S_RATIO_EPS_TTM</stp>
        <stp>3</stp>
        <stp>000958</stp>
        <stp>12/31/2018</stp>
        <stp>1</stp>
        <tr r="U289" s="1"/>
      </tp>
      <tp>
        <v>3.4481190955808532</v>
        <stp/>
        <stp>EM_S_RATIO_EPS_TTM</stp>
        <stp>3</stp>
        <stp>000858</stp>
        <stp>12/31/2018</stp>
        <stp>1</stp>
        <tr r="U65" s="1"/>
      </tp>
      <tp>
        <v>0.24593814871414738</v>
        <stp/>
        <stp>EM_S_RATIO_EPS_TTM</stp>
        <stp>3</stp>
        <stp>600838</stp>
        <stp>12/31/2018</stp>
        <stp>1</stp>
        <tr r="U1970" s="1"/>
      </tp>
      <tp>
        <v>0.59829933096999999</v>
        <stp/>
        <stp>EM_S_FA_ASSETSTURN</stp>
        <stp>3</stp>
        <stp>601882</stp>
        <stp>12/31/2018</stp>
        <stp>1</stp>
        <tr r="K2144" s="1"/>
      </tp>
      <tp>
        <v>0.38003861357000002</v>
        <stp/>
        <stp>EM_S_FA_ASSETSTURN</stp>
        <stp>3</stp>
        <stp>600982</stp>
        <stp>12/31/2018</stp>
        <stp>1</stp>
        <tr r="K2729" s="1"/>
      </tp>
      <tp>
        <v>0.45891467697799998</v>
        <stp/>
        <stp>EM_S_FA_ASSETSTURN</stp>
        <stp>3</stp>
        <stp>600882</stp>
        <stp>12/31/2018</stp>
        <stp>1</stp>
        <tr r="K211" s="1"/>
      </tp>
      <tp>
        <v>0.105414074929</v>
        <stp/>
        <stp>EM_S_FA_ASSETSTURN</stp>
        <stp>3</stp>
        <stp>600382</stp>
        <stp>12/31/2018</stp>
        <stp>1</stp>
        <tr r="K2733" s="1"/>
      </tp>
      <tp>
        <v>1.1059615388940001</v>
        <stp/>
        <stp>EM_S_FA_ASSETSTURN</stp>
        <stp>3</stp>
        <stp>600282</stp>
        <stp>12/31/2018</stp>
        <stp>1</stp>
        <tr r="K2261" s="1"/>
      </tp>
      <tp>
        <v>1.228070274649</v>
        <stp/>
        <stp>EM_S_FA_ASSETSTURN</stp>
        <stp>3</stp>
        <stp>600182</stp>
        <stp>12/31/2018</stp>
        <stp>1</stp>
        <tr r="K1800" s="1"/>
      </tp>
      <tp>
        <v>0.21930415980500001</v>
        <stp/>
        <stp>EM_S_FA_ASSETSTURN</stp>
        <stp>3</stp>
        <stp>600082</stp>
        <stp>12/31/2018</stp>
        <stp>1</stp>
        <tr r="K2681" s="1"/>
      </tp>
      <tp>
        <v>1.5218279336189999</v>
        <stp/>
        <stp>EM_S_FA_ASSETSTURN</stp>
        <stp>3</stp>
        <stp>600782</stp>
        <stp>12/31/2018</stp>
        <stp>1</stp>
        <tr r="K2374" s="1"/>
      </tp>
      <tp>
        <v>0.62483759732199995</v>
        <stp/>
        <stp>EM_S_FA_ASSETSTURN</stp>
        <stp>3</stp>
        <stp>600682</stp>
        <stp>12/31/2018</stp>
        <stp>1</stp>
        <tr r="K1585" s="1"/>
      </tp>
      <tp>
        <v>0.48605341909999999</v>
        <stp/>
        <stp>EM_S_FA_ASSETSTURN</stp>
        <stp>3</stp>
        <stp>600582</stp>
        <stp>12/31/2018</stp>
        <stp>1</stp>
        <tr r="K2641" s="1"/>
      </tp>
      <tp>
        <v>0.58504749093200004</v>
        <stp/>
        <stp>EM_S_FA_ASSETSTURN</stp>
        <stp>3</stp>
        <stp>600482</stp>
        <stp>12/31/2018</stp>
        <stp>1</stp>
        <tr r="K2777" s="1"/>
      </tp>
      <tp>
        <v>1.2434630347390001</v>
        <stp/>
        <stp>EM_S_FA_ASSETSTURN</stp>
        <stp>3</stp>
        <stp>603882</stp>
        <stp>12/31/2018</stp>
        <stp>1</stp>
        <tr r="K116" s="1"/>
      </tp>
      <tp>
        <v>1.2145853752857143</v>
        <stp/>
        <stp>EM_S_RATIO_EPS_TTM</stp>
        <stp>3</stp>
        <stp>603035</stp>
        <stp>12/31/2018</stp>
        <stp>1</stp>
        <tr r="U1913" s="1"/>
      </tp>
      <tp>
        <v>4.1014406513593775E-2</v>
        <stp/>
        <stp>EM_S_RATIO_EPS_TTM</stp>
        <stp>3</stp>
        <stp>603335</stp>
        <stp>12/31/2018</stp>
        <stp>1</stp>
        <tr r="U3070" s="1"/>
      </tp>
      <tp>
        <v>0.91439670292553199</v>
        <stp/>
        <stp>EM_S_RATIO_EPS_TTM</stp>
        <stp>3</stp>
        <stp>603535</stp>
        <stp>12/31/2018</stp>
        <stp>1</stp>
        <tr r="U2420" s="1"/>
      </tp>
      <tp>
        <v>0.22496052221992172</v>
        <stp/>
        <stp>EM_S_RATIO_EPS_TTM</stp>
        <stp>3</stp>
        <stp>002155</stp>
        <stp>12/31/2018</stp>
        <stp>1</stp>
        <tr r="U2369" s="1"/>
      </tp>
      <tp>
        <v>0.54414759668003088</v>
        <stp/>
        <stp>EM_S_RATIO_EPS_TTM</stp>
        <stp>3</stp>
        <stp>002055</stp>
        <stp>12/31/2018</stp>
        <stp>1</stp>
        <tr r="U1666" s="1"/>
      </tp>
      <tp>
        <v>-0.41638435034829357</v>
        <stp/>
        <stp>EM_S_RATIO_EPS_TTM</stp>
        <stp>3</stp>
        <stp>002355</stp>
        <stp>12/31/2018</stp>
        <stp>1</stp>
        <tr r="U2718" s="1"/>
      </tp>
      <tp>
        <v>-0.19379181929741132</v>
        <stp/>
        <stp>EM_S_RATIO_EPS_TTM</stp>
        <stp>3</stp>
        <stp>002255</stp>
        <stp>12/31/2018</stp>
        <stp>1</stp>
        <tr r="U3028" s="1"/>
      </tp>
      <tp>
        <v>0.4746187944304569</v>
        <stp/>
        <stp>EM_S_RATIO_EPS_TTM</stp>
        <stp>3</stp>
        <stp>002555</stp>
        <stp>12/31/2018</stp>
        <stp>1</stp>
        <tr r="U50" s="1"/>
      </tp>
      <tp>
        <v>0.2046808216135792</v>
        <stp/>
        <stp>EM_S_RATIO_EPS_TTM</stp>
        <stp>3</stp>
        <stp>002455</stp>
        <stp>12/31/2018</stp>
        <stp>1</stp>
        <tr r="U1250" s="1"/>
      </tp>
      <tp>
        <v>3.8894903809540398</v>
        <stp/>
        <stp>EM_S_RATIO_EPS_TTM</stp>
        <stp>3</stp>
        <stp>002755</stp>
        <stp>12/31/2018</stp>
        <stp>1</stp>
        <tr r="U1289" s="1"/>
      </tp>
      <tp>
        <v>5.9306941416666668E-2</v>
        <stp/>
        <stp>EM_S_RATIO_EPS_TTM</stp>
        <stp>3</stp>
        <stp>002655</stp>
        <stp>12/31/2018</stp>
        <stp>1</stp>
        <tr r="U153" s="1"/>
      </tp>
      <tp>
        <v>0.12219902341666668</v>
        <stp/>
        <stp>EM_S_RATIO_EPS_TTM</stp>
        <stp>3</stp>
        <stp>002855</stp>
        <stp>12/31/2018</stp>
        <stp>1</stp>
        <tr r="U475" s="1"/>
      </tp>
      <tp>
        <v>0.23696990388976377</v>
        <stp/>
        <stp>EM_S_RATIO_EPS_TTM</stp>
        <stp>3</stp>
        <stp>000155</stp>
        <stp>12/31/2018</stp>
        <stp>1</stp>
        <tr r="U1263" s="1"/>
      </tp>
      <tp>
        <v>7.8346442437629935E-2</v>
        <stp/>
        <stp>EM_S_RATIO_EPS_TTM</stp>
        <stp>3</stp>
        <stp>300165</stp>
        <stp>12/31/2018</stp>
        <stp>1</stp>
        <tr r="U1207" s="1"/>
      </tp>
      <tp>
        <v>3.9516895568744971E-2</v>
        <stp/>
        <stp>EM_S_RATIO_EPS_TTM</stp>
        <stp>3</stp>
        <stp>600135</stp>
        <stp>12/31/2018</stp>
        <stp>1</stp>
        <tr r="U1020" s="1"/>
      </tp>
      <tp>
        <v>1.9994625112887359</v>
        <stp/>
        <stp>EM_S_RATIO_EPS_TTM</stp>
        <stp>3</stp>
        <stp>000055</stp>
        <stp>12/31/2018</stp>
        <stp>1</stp>
        <tr r="U1107" s="1"/>
      </tp>
      <tp>
        <v>0.26538256807729815</v>
        <stp/>
        <stp>EM_S_RATIO_EPS_TTM</stp>
        <stp>3</stp>
        <stp>300065</stp>
        <stp>12/31/2018</stp>
        <stp>1</stp>
        <tr r="U1337" s="1"/>
      </tp>
      <tp>
        <v>0.2571630291468805</v>
        <stp/>
        <stp>EM_S_RATIO_EPS_TTM</stp>
        <stp>3</stp>
        <stp>600035</stp>
        <stp>12/31/2018</stp>
        <stp>1</stp>
        <tr r="U1452" s="1"/>
      </tp>
      <tp>
        <v>0.67542178293207267</v>
        <stp/>
        <stp>EM_S_RATIO_EPS_TTM</stp>
        <stp>3</stp>
        <stp>300365</stp>
        <stp>12/31/2018</stp>
        <stp>1</stp>
        <tr r="U3299" s="1"/>
      </tp>
      <tp>
        <v>0.57764030939489441</v>
        <stp/>
        <stp>EM_S_RATIO_EPS_TTM</stp>
        <stp>3</stp>
        <stp>600335</stp>
        <stp>12/31/2018</stp>
        <stp>1</stp>
        <tr r="U2633" s="1"/>
      </tp>
      <tp>
        <v>0.11057401084444443</v>
        <stp/>
        <stp>EM_S_RATIO_EPS_TTM</stp>
        <stp>3</stp>
        <stp>300265</stp>
        <stp>12/31/2018</stp>
        <stp>1</stp>
        <tr r="U2552" s="1"/>
      </tp>
      <tp>
        <v>2.853407634500427E-2</v>
        <stp/>
        <stp>EM_S_RATIO_EPS_TTM</stp>
        <stp>3</stp>
        <stp>600235</stp>
        <stp>12/31/2018</stp>
        <stp>1</stp>
        <tr r="U2924" s="1"/>
      </tp>
      <tp>
        <v>4.3694081352495188E-2</v>
        <stp/>
        <stp>EM_S_RATIO_EPS_TTM</stp>
        <stp>3</stp>
        <stp>000555</stp>
        <stp>12/31/2018</stp>
        <stp>1</stp>
        <tr r="U519" s="1"/>
      </tp>
      <tp>
        <v>8.0300620480769233E-2</v>
        <stp/>
        <stp>EM_S_RATIO_EPS_TTM</stp>
        <stp>3</stp>
        <stp>300565</stp>
        <stp>12/31/2018</stp>
        <stp>1</stp>
        <tr r="U3141" s="1"/>
      </tp>
      <tp>
        <v>1.0214864015054308</v>
        <stp/>
        <stp>EM_S_RATIO_EPS_TTM</stp>
        <stp>3</stp>
        <stp>600535</stp>
        <stp>12/31/2018</stp>
        <stp>1</stp>
        <tr r="U3081" s="1"/>
      </tp>
      <tp>
        <v>0.2338553746220135</v>
        <stp/>
        <stp>EM_S_RATIO_EPS_TTM</stp>
        <stp>3</stp>
        <stp>300465</stp>
        <stp>12/31/2018</stp>
        <stp>1</stp>
        <tr r="U477" s="1"/>
      </tp>
      <tp>
        <v>3.3257983932264389E-2</v>
        <stp/>
        <stp>EM_S_RATIO_EPS_TTM</stp>
        <stp>3</stp>
        <stp>600435</stp>
        <stp>12/31/2018</stp>
        <stp>1</stp>
        <tr r="U1564" s="1"/>
      </tp>
      <tp>
        <v>0.10337563489577452</v>
        <stp/>
        <stp>EM_S_RATIO_EPS_TTM</stp>
        <stp>3</stp>
        <stp>000755</stp>
        <stp>12/31/2018</stp>
        <stp>1</stp>
        <tr r="U3528" s="1"/>
      </tp>
      <tp>
        <v>0.20331061849735346</v>
        <stp/>
        <stp>EM_S_RATIO_EPS_TTM</stp>
        <stp>3</stp>
        <stp>600735</stp>
        <stp>12/31/2018</stp>
        <stp>1</stp>
        <tr r="U990" s="1"/>
      </tp>
      <tp>
        <v>0.16877036243628285</v>
        <stp/>
        <stp>EM_S_RATIO_EPS_TTM</stp>
        <stp>3</stp>
        <stp>000655</stp>
        <stp>12/31/2018</stp>
        <stp>1</stp>
        <tr r="U3494" s="1"/>
      </tp>
      <tp>
        <v>0.20784853133223685</v>
        <stp/>
        <stp>EM_S_RATIO_EPS_TTM</stp>
        <stp>3</stp>
        <stp>300665</stp>
        <stp>12/31/2018</stp>
        <stp>1</stp>
        <tr r="U1720" s="1"/>
      </tp>
      <tp>
        <v>0.16206582249614043</v>
        <stp/>
        <stp>EM_S_RATIO_EPS_TTM</stp>
        <stp>3</stp>
        <stp>600635</stp>
        <stp>12/31/2018</stp>
        <stp>1</stp>
        <tr r="U2147" s="1"/>
      </tp>
      <tp>
        <v>-0.20195651300625003</v>
        <stp/>
        <stp>EM_S_RATIO_EPS_TTM</stp>
        <stp>3</stp>
        <stp>000955</stp>
        <stp>12/31/2018</stp>
        <stp>1</stp>
        <tr r="U3585" s="1"/>
      </tp>
      <tp>
        <v>1.2402871073182609</v>
        <stp/>
        <stp>EM_S_RATIO_EPS_TTM</stp>
        <stp>3</stp>
        <stp>600835</stp>
        <stp>12/31/2018</stp>
        <stp>1</stp>
        <tr r="U1537" s="1"/>
      </tp>
      <tp>
        <v>0.74954226018100001</v>
        <stp/>
        <stp>EM_S_FA_ASSETSTURN</stp>
        <stp>3</stp>
        <stp>600983</stp>
        <stp>12/31/2018</stp>
        <stp>1</stp>
        <tr r="K2645" s="1"/>
      </tp>
      <tp>
        <v>4.3151458497999999E-2</v>
        <stp/>
        <stp>EM_S_FA_ASSETSTURN</stp>
        <stp>3</stp>
        <stp>600883</stp>
        <stp>12/31/2018</stp>
        <stp>1</stp>
        <tr r="K1056" s="1"/>
      </tp>
      <tp>
        <v>0.208511869505</v>
        <stp/>
        <stp>EM_S_FA_ASSETSTURN</stp>
        <stp>3</stp>
        <stp>600383</stp>
        <stp>12/31/2018</stp>
        <stp>1</stp>
        <tr r="K593" s="1"/>
      </tp>
      <tp>
        <v>0.216208115029</v>
        <stp/>
        <stp>EM_S_FA_ASSETSTURN</stp>
        <stp>3</stp>
        <stp>600283</stp>
        <stp>12/31/2018</stp>
        <stp>1</stp>
        <tr r="K2697" s="1"/>
      </tp>
      <tp>
        <v>0.93140543294900002</v>
        <stp/>
        <stp>EM_S_FA_ASSETSTURN</stp>
        <stp>3</stp>
        <stp>600183</stp>
        <stp>12/31/2018</stp>
        <stp>1</stp>
        <tr r="K138" s="1"/>
      </tp>
      <tp>
        <v>4.9559285876230001</v>
        <stp/>
        <stp>EM_S_FA_ASSETSTURN</stp>
        <stp>3</stp>
        <stp>600083</stp>
        <stp>12/31/2018</stp>
        <stp>1</stp>
        <tr r="K1494" s="1"/>
      </tp>
      <tp>
        <v>3.6472829908999999E-2</v>
        <stp/>
        <stp>EM_S_FA_ASSETSTURN</stp>
        <stp>3</stp>
        <stp>600783</stp>
        <stp>12/31/2018</stp>
        <stp>1</stp>
        <tr r="K2462" s="1"/>
      </tp>
      <tp>
        <v>0.26702721418000003</v>
        <stp/>
        <stp>EM_S_FA_ASSETSTURN</stp>
        <stp>3</stp>
        <stp>600683</stp>
        <stp>12/31/2018</stp>
        <stp>1</stp>
        <tr r="K2385" s="1"/>
      </tp>
      <tp>
        <v>0.377558854808</v>
        <stp/>
        <stp>EM_S_FA_ASSETSTURN</stp>
        <stp>3</stp>
        <stp>600583</stp>
        <stp>12/31/2018</stp>
        <stp>1</stp>
        <tr r="K616" s="1"/>
      </tp>
      <tp>
        <v>0.398277080329</v>
        <stp/>
        <stp>EM_S_FA_ASSETSTURN</stp>
        <stp>3</stp>
        <stp>600483</stp>
        <stp>12/31/2018</stp>
        <stp>1</stp>
        <tr r="K1892" s="1"/>
      </tp>
      <tp>
        <v>1.2475365984639999</v>
        <stp/>
        <stp>EM_S_FA_ASSETSTURN</stp>
        <stp>3</stp>
        <stp>603883</stp>
        <stp>12/31/2018</stp>
        <stp>1</stp>
        <tr r="K819" s="1"/>
      </tp>
      <tp>
        <v>0.246693019382</v>
        <stp/>
        <stp>EM_S_FA_ASSETSTURN</stp>
        <stp>3</stp>
        <stp>603383</stp>
        <stp>12/31/2018</stp>
        <stp>1</stp>
        <tr r="K88" s="1"/>
      </tp>
      <tp>
        <v>0.75857887704600002</v>
        <stp/>
        <stp>EM_S_FA_ASSETSTURN</stp>
        <stp>3</stp>
        <stp>603283</stp>
        <stp>12/31/2018</stp>
        <stp>1</stp>
        <tr r="K288" s="1"/>
      </tp>
      <tp>
        <v>0.54927932106099997</v>
        <stp/>
        <stp>EM_S_FA_ASSETSTURN</stp>
        <stp>3</stp>
        <stp>603183</stp>
        <stp>12/31/2018</stp>
        <stp>1</stp>
        <tr r="K3318" s="1"/>
      </tp>
      <tp>
        <v>1.238898399665</v>
        <stp/>
        <stp>EM_S_FA_ASSETSTURN</stp>
        <stp>3</stp>
        <stp>603083</stp>
        <stp>12/31/2018</stp>
        <stp>1</stp>
        <tr r="K1659" s="1"/>
      </tp>
      <tp>
        <v>0.70817846856599997</v>
        <stp/>
        <stp>EM_S_FA_ASSETSTURN</stp>
        <stp>3</stp>
        <stp>603683</stp>
        <stp>12/31/2018</stp>
        <stp>1</stp>
        <tr r="K2437" s="1"/>
      </tp>
      <tp>
        <v>4.1199574187356917E-2</v>
        <stp/>
        <stp>EM_S_RATIO_EPS_TTM</stp>
        <stp>3</stp>
        <stp>002154</stp>
        <stp>12/31/2018</stp>
        <stp>1</stp>
        <tr r="U1861" s="1"/>
      </tp>
      <tp>
        <v>0.12482964675966053</v>
        <stp/>
        <stp>EM_S_RATIO_EPS_TTM</stp>
        <stp>3</stp>
        <stp>002054</stp>
        <stp>12/31/2018</stp>
        <stp>1</stp>
        <tr r="U3620" s="1"/>
      </tp>
      <tp>
        <v>-7.671126266552049</v>
        <stp/>
        <stp>EM_S_RATIO_EPS_TTM</stp>
        <stp>3</stp>
        <stp>002354</stp>
        <stp>12/31/2018</stp>
        <stp>1</stp>
        <tr r="U3345" s="1"/>
      </tp>
      <tp>
        <v>0.25597764972326342</v>
        <stp/>
        <stp>EM_S_RATIO_EPS_TTM</stp>
        <stp>3</stp>
        <stp>002254</stp>
        <stp>12/31/2018</stp>
        <stp>1</stp>
        <tr r="U2504" s="1"/>
      </tp>
      <tp>
        <v>-0.46167821936664766</v>
        <stp/>
        <stp>EM_S_RATIO_EPS_TTM</stp>
        <stp>3</stp>
        <stp>002554</stp>
        <stp>12/31/2018</stp>
        <stp>1</stp>
        <tr r="U1656" s="1"/>
      </tp>
      <tp>
        <v>0.27992720976878738</v>
        <stp/>
        <stp>EM_S_RATIO_EPS_TTM</stp>
        <stp>3</stp>
        <stp>002454</stp>
        <stp>12/31/2018</stp>
        <stp>1</stp>
        <tr r="U1327" s="1"/>
      </tp>
      <tp>
        <v>-1.2564486744283503</v>
        <stp/>
        <stp>EM_S_RATIO_EPS_TTM</stp>
        <stp>3</stp>
        <stp>002654</stp>
        <stp>12/31/2018</stp>
        <stp>1</stp>
        <tr r="U606" s="1"/>
      </tp>
      <tp>
        <v>0.2296368815690884</v>
        <stp/>
        <stp>EM_S_RATIO_EPS_TTM</stp>
        <stp>3</stp>
        <stp>300164</stp>
        <stp>12/31/2018</stp>
        <stp>1</stp>
        <tr r="U2988" s="1"/>
      </tp>
      <tp>
        <v>7.9918613144040349E-2</v>
        <stp/>
        <stp>EM_S_RATIO_EPS_TTM</stp>
        <stp>3</stp>
        <stp>300064</stp>
        <stp>12/31/2018</stp>
        <stp>1</stp>
        <tr r="U3172" s="1"/>
      </tp>
      <tp>
        <v>-1.9539698818617788</v>
        <stp/>
        <stp>EM_S_RATIO_EPS_TTM</stp>
        <stp>3</stp>
        <stp>300364</stp>
        <stp>12/31/2018</stp>
        <stp>1</stp>
        <tr r="U2917" s="1"/>
      </tp>
      <tp>
        <v>2.5652020455095619E-2</v>
        <stp/>
        <stp>EM_S_RATIO_EPS_TTM</stp>
        <stp>3</stp>
        <stp>300264</stp>
        <stp>12/31/2018</stp>
        <stp>1</stp>
        <tr r="U2027" s="1"/>
      </tp>
      <tp>
        <v>-8.3769319434902803E-2</v>
        <stp/>
        <stp>EM_S_RATIO_EPS_TTM</stp>
        <stp>3</stp>
        <stp>600234</stp>
        <stp>12/31/2018</stp>
        <stp>1</stp>
        <tr r="U1543" s="1"/>
      </tp>
      <tp>
        <v>3.9038859358528524E-3</v>
        <stp/>
        <stp>EM_S_RATIO_EPS_TTM</stp>
        <stp>3</stp>
        <stp>000554</stp>
        <stp>12/31/2018</stp>
        <stp>1</stp>
        <tr r="U2564" s="1"/>
      </tp>
      <tp>
        <v>9.8900997701705587E-3</v>
        <stp/>
        <stp>EM_S_RATIO_EPS_TTM</stp>
        <stp>3</stp>
        <stp>300464</stp>
        <stp>12/31/2018</stp>
        <stp>1</stp>
        <tr r="U195" s="1"/>
      </tp>
      <tp>
        <v>-0.42846665213733709</v>
        <stp/>
        <stp>EM_S_RATIO_EPS_TTM</stp>
        <stp>3</stp>
        <stp>600734</stp>
        <stp>12/31/2018</stp>
        <stp>1</stp>
        <tr r="U1850" s="1"/>
      </tp>
      <tp>
        <v>0.35050658020833331</v>
        <stp/>
        <stp>EM_S_RATIO_EPS_TTM</stp>
        <stp>3</stp>
        <stp>300664</stp>
        <stp>12/31/2018</stp>
        <stp>1</stp>
        <tr r="U1901" s="1"/>
      </tp>
      <tp>
        <v>-9.5685822079280651</v>
        <stp/>
        <stp>EM_S_RATIO_EPS_TTM</stp>
        <stp>3</stp>
        <stp>600634</stp>
        <stp>12/31/2018</stp>
        <stp>1</stp>
        <tr r="U3293" s="1"/>
      </tp>
      <tp>
        <v>6.418938424153299E-2</v>
        <stp/>
        <stp>EM_S_RATIO_EPS_TTM</stp>
        <stp>3</stp>
        <stp>600834</stp>
        <stp>12/31/2018</stp>
        <stp>1</stp>
        <tr r="U1990" s="1"/>
      </tp>
      <tp>
        <v>0.18788217549299999</v>
        <stp/>
        <stp>EM_S_FA_ASSETSTURN</stp>
        <stp>3</stp>
        <stp>601880</stp>
        <stp>12/31/2018</stp>
        <stp>1</stp>
        <tr r="K1781" s="1"/>
      </tp>
      <tp>
        <v>0.61748410891100003</v>
        <stp/>
        <stp>EM_S_FA_ASSETSTURN</stp>
        <stp>3</stp>
        <stp>600980</stp>
        <stp>12/31/2018</stp>
        <stp>1</stp>
        <tr r="K669" s="1"/>
      </tp>
      <tp>
        <v>0.15680558838200001</v>
        <stp/>
        <stp>EM_S_FA_ASSETSTURN</stp>
        <stp>3</stp>
        <stp>600880</stp>
        <stp>12/31/2018</stp>
        <stp>1</stp>
        <tr r="K1852" s="1"/>
      </tp>
      <tp>
        <v>0.47477096848599998</v>
        <stp/>
        <stp>EM_S_FA_ASSETSTURN</stp>
        <stp>3</stp>
        <stp>600380</stp>
        <stp>12/31/2018</stp>
        <stp>1</stp>
        <tr r="K567" s="1"/>
      </tp>
      <tp>
        <v>0.49177713572300003</v>
        <stp/>
        <stp>EM_S_FA_ASSETSTURN</stp>
        <stp>3</stp>
        <stp>600280</stp>
        <stp>12/31/2018</stp>
        <stp>1</stp>
        <tr r="K2933" s="1"/>
      </tp>
      <tp>
        <v>1.8245504082440001</v>
        <stp/>
        <stp>EM_S_FA_ASSETSTURN</stp>
        <stp>3</stp>
        <stp>600180</stp>
        <stp>12/31/2018</stp>
        <stp>1</stp>
        <tr r="K2347" s="1"/>
      </tp>
      <tp>
        <v>0.43911156159199999</v>
        <stp/>
        <stp>EM_S_FA_ASSETSTURN</stp>
        <stp>3</stp>
        <stp>600080</stp>
        <stp>12/31/2018</stp>
        <stp>1</stp>
        <tr r="K2993" s="1"/>
      </tp>
      <tp>
        <v>0.50235725169000001</v>
        <stp/>
        <stp>EM_S_FA_ASSETSTURN</stp>
        <stp>3</stp>
        <stp>600780</stp>
        <stp>12/31/2018</stp>
        <stp>1</stp>
        <tr r="K1853" s="1"/>
      </tp>
      <tp>
        <v>0.130048841695</v>
        <stp/>
        <stp>EM_S_FA_ASSETSTURN</stp>
        <stp>3</stp>
        <stp>600680</stp>
        <stp>12/31/2018</stp>
        <stp>1</stp>
        <tr r="K2316" s="1"/>
      </tp>
      <tp>
        <v>0.62878190246300003</v>
        <stp/>
        <stp>EM_S_FA_ASSETSTURN</stp>
        <stp>3</stp>
        <stp>600580</stp>
        <stp>12/31/2018</stp>
        <stp>1</stp>
        <tr r="K186" s="1"/>
      </tp>
      <tp>
        <v>0.97526623316000005</v>
        <stp/>
        <stp>EM_S_FA_ASSETSTURN</stp>
        <stp>3</stp>
        <stp>600480</stp>
        <stp>12/31/2018</stp>
        <stp>1</stp>
        <tr r="K2408" s="1"/>
      </tp>
      <tp>
        <v>0.59330597028700005</v>
        <stp/>
        <stp>EM_S_FA_ASSETSTURN</stp>
        <stp>3</stp>
        <stp>603980</stp>
        <stp>12/31/2018</stp>
        <stp>1</stp>
        <tr r="K3238" s="1"/>
      </tp>
      <tp>
        <v>0.57505981629000003</v>
        <stp/>
        <stp>EM_S_FA_ASSETSTURN</stp>
        <stp>3</stp>
        <stp>603880</stp>
        <stp>12/31/2018</stp>
        <stp>1</stp>
        <tr r="K2774" s="1"/>
      </tp>
      <tp>
        <v>0.96534957852600001</v>
        <stp/>
        <stp>EM_S_FA_ASSETSTURN</stp>
        <stp>3</stp>
        <stp>603380</stp>
        <stp>12/31/2018</stp>
        <stp>1</stp>
        <tr r="K1980" s="1"/>
      </tp>
      <tp>
        <v>0.99115761953500003</v>
        <stp/>
        <stp>EM_S_FA_ASSETSTURN</stp>
        <stp>3</stp>
        <stp>603180</stp>
        <stp>12/31/2018</stp>
        <stp>1</stp>
        <tr r="K1458" s="1"/>
      </tp>
      <tp>
        <v>0.31667388724399997</v>
        <stp/>
        <stp>EM_S_FA_ASSETSTURN</stp>
        <stp>3</stp>
        <stp>603080</stp>
        <stp>12/31/2018</stp>
        <stp>1</stp>
        <tr r="K3079" s="1"/>
      </tp>
      <tp>
        <v>0.47523508041099999</v>
        <stp/>
        <stp>EM_S_FA_ASSETSTURN</stp>
        <stp>3</stp>
        <stp>603680</stp>
        <stp>12/31/2018</stp>
        <stp>1</stp>
        <tr r="K3264" s="1"/>
      </tp>
      <tp>
        <v>0.435740107451</v>
        <stp/>
        <stp>EM_S_FA_ASSETSTURN</stp>
        <stp>3</stp>
        <stp>603580</stp>
        <stp>12/31/2018</stp>
        <stp>1</stp>
        <tr r="K3094" s="1"/>
      </tp>
      <tp>
        <v>1.1987846843972065</v>
        <stp/>
        <stp>EM_S_RATIO_EPS_TTM</stp>
        <stp>3</stp>
        <stp>603037</stp>
        <stp>12/31/2018</stp>
        <stp>1</stp>
        <tr r="U2448" s="1"/>
      </tp>
      <tp>
        <v>1.4769835162945015</v>
        <stp/>
        <stp>EM_S_RATIO_EPS_TTM</stp>
        <stp>3</stp>
        <stp>603337</stp>
        <stp>12/31/2018</stp>
        <stp>1</stp>
        <tr r="U3338" s="1"/>
      </tp>
      <tp>
        <v>1.6712224291018973</v>
        <stp/>
        <stp>EM_S_RATIO_EPS_TTM</stp>
        <stp>3</stp>
        <stp>603737</stp>
        <stp>12/31/2018</stp>
        <stp>1</stp>
        <tr r="U124" s="1"/>
      </tp>
      <tp>
        <v>0.30842590489944693</v>
        <stp/>
        <stp>EM_S_RATIO_EPS_TTM</stp>
        <stp>3</stp>
        <stp>603637</stp>
        <stp>12/31/2018</stp>
        <stp>1</stp>
        <tr r="U2119" s="1"/>
      </tp>
      <tp>
        <v>0.54953988294714673</v>
        <stp/>
        <stp>EM_S_RATIO_EPS_TTM</stp>
        <stp>3</stp>
        <stp>603937</stp>
        <stp>12/31/2018</stp>
        <stp>1</stp>
        <tr r="U2150" s="1"/>
      </tp>
      <tp>
        <v>8.1716742906564374E-2</v>
        <stp/>
        <stp>EM_S_RATIO_EPS_TTM</stp>
        <stp>3</stp>
        <stp>002157</stp>
        <stp>12/31/2018</stp>
        <stp>1</stp>
        <tr r="U45" s="1"/>
      </tp>
      <tp>
        <v>0.31889893381812445</v>
        <stp/>
        <stp>EM_S_RATIO_EPS_TTM</stp>
        <stp>3</stp>
        <stp>002057</stp>
        <stp>12/31/2018</stp>
        <stp>1</stp>
        <tr r="U460" s="1"/>
      </tp>
      <tp>
        <v>0.11996483583559842</v>
        <stp/>
        <stp>EM_S_RATIO_EPS_TTM</stp>
        <stp>3</stp>
        <stp>002357</stp>
        <stp>12/31/2018</stp>
        <stp>1</stp>
        <tr r="U1607" s="1"/>
      </tp>
      <tp>
        <v>1.1544018035806953</v>
        <stp/>
        <stp>EM_S_RATIO_EPS_TTM</stp>
        <stp>3</stp>
        <stp>002257</stp>
        <stp>12/31/2018</stp>
        <stp>1</stp>
        <tr r="U5" s="1"/>
      </tp>
      <tp>
        <v>0.85366570629191318</v>
        <stp/>
        <stp>EM_S_RATIO_EPS_TTM</stp>
        <stp>3</stp>
        <stp>002557</stp>
        <stp>12/31/2018</stp>
        <stp>1</stp>
        <tr r="U276" s="1"/>
      </tp>
      <tp>
        <v>0.22029213703610831</v>
        <stp/>
        <stp>EM_S_RATIO_EPS_TTM</stp>
        <stp>3</stp>
        <stp>002457</stp>
        <stp>12/31/2018</stp>
        <stp>1</stp>
        <tr r="U2255" s="1"/>
      </tp>
      <tp>
        <v>1.2447741132751078</v>
        <stp/>
        <stp>EM_S_RATIO_EPS_TTM</stp>
        <stp>3</stp>
        <stp>002757</stp>
        <stp>12/31/2018</stp>
        <stp>1</stp>
        <tr r="U3322" s="1"/>
      </tp>
      <tp>
        <v>2.4318962388297161E-2</v>
        <stp/>
        <stp>EM_S_RATIO_EPS_TTM</stp>
        <stp>3</stp>
        <stp>002657</stp>
        <stp>12/31/2018</stp>
        <stp>1</stp>
        <tr r="U628" s="1"/>
      </tp>
      <tp>
        <v>0.28727906812499998</v>
        <stp/>
        <stp>EM_S_RATIO_EPS_TTM</stp>
        <stp>3</stp>
        <stp>002857</stp>
        <stp>12/31/2018</stp>
        <stp>1</stp>
        <tr r="U2140" s="1"/>
      </tp>
      <tp>
        <v>0.6322548985179528</v>
        <stp/>
        <stp>EM_S_RATIO_EPS_TTM</stp>
        <stp>3</stp>
        <stp>601137</stp>
        <stp>12/31/2018</stp>
        <stp>1</stp>
        <tr r="U356" s="1"/>
      </tp>
      <tp>
        <v>0.2586729238310535</v>
        <stp/>
        <stp>EM_S_RATIO_EPS_TTM</stp>
        <stp>3</stp>
        <stp>000157</stp>
        <stp>12/31/2018</stp>
        <stp>1</stp>
        <tr r="U223" s="1"/>
      </tp>
      <tp>
        <v>-0.53926694844124701</v>
        <stp/>
        <stp>EM_S_RATIO_EPS_TTM</stp>
        <stp>3</stp>
        <stp>300167</stp>
        <stp>12/31/2018</stp>
        <stp>1</stp>
        <tr r="U2101" s="1"/>
      </tp>
      <tp>
        <v>0.29996399509520849</v>
        <stp/>
        <stp>EM_S_RATIO_EPS_TTM</stp>
        <stp>3</stp>
        <stp>600137</stp>
        <stp>12/31/2018</stp>
        <stp>1</stp>
        <tr r="U896" s="1"/>
      </tp>
      <tp>
        <v>0.19214656622615467</v>
        <stp/>
        <stp>EM_S_RATIO_EPS_TTM</stp>
        <stp>3</stp>
        <stp>300067</stp>
        <stp>12/31/2018</stp>
        <stp>1</stp>
        <tr r="U2899" s="1"/>
      </tp>
      <tp>
        <v>0.49879841173708434</v>
        <stp/>
        <stp>EM_S_RATIO_EPS_TTM</stp>
        <stp>3</stp>
        <stp>600037</stp>
        <stp>12/31/2018</stp>
        <stp>1</stp>
        <tr r="U2030" s="1"/>
      </tp>
      <tp>
        <v>0.36816142361830906</v>
        <stp/>
        <stp>EM_S_RATIO_EPS_TTM</stp>
        <stp>3</stp>
        <stp>300367</stp>
        <stp>12/31/2018</stp>
        <stp>1</stp>
        <tr r="U3371" s="1"/>
      </tp>
      <tp>
        <v>0.25419432019624233</v>
        <stp/>
        <stp>EM_S_RATIO_EPS_TTM</stp>
        <stp>3</stp>
        <stp>600337</stp>
        <stp>12/31/2018</stp>
        <stp>1</stp>
        <tr r="U1687" s="1"/>
      </tp>
      <tp>
        <v>0.10500282550966729</v>
        <stp/>
        <stp>EM_S_RATIO_EPS_TTM</stp>
        <stp>3</stp>
        <stp>300267</stp>
        <stp>12/31/2018</stp>
        <stp>1</stp>
        <tr r="U928" s="1"/>
      </tp>
      <tp>
        <v>1.6886294586066136E-2</v>
        <stp/>
        <stp>EM_S_RATIO_EPS_TTM</stp>
        <stp>3</stp>
        <stp>600237</stp>
        <stp>12/31/2018</stp>
        <stp>1</stp>
        <tr r="U1805" s="1"/>
      </tp>
      <tp>
        <v>0.10104580322423098</v>
        <stp/>
        <stp>EM_S_RATIO_EPS_TTM</stp>
        <stp>3</stp>
        <stp>000557</stp>
        <stp>12/31/2018</stp>
        <stp>1</stp>
        <tr r="U2277" s="1"/>
      </tp>
      <tp>
        <v>1.7661070366227829</v>
        <stp/>
        <stp>EM_S_RATIO_EPS_TTM</stp>
        <stp>3</stp>
        <stp>300567</stp>
        <stp>12/31/2018</stp>
        <stp>1</stp>
        <tr r="U1721" s="1"/>
      </tp>
      <tp>
        <v>5.8316720389880082E-2</v>
        <stp/>
        <stp>EM_S_RATIO_EPS_TTM</stp>
        <stp>3</stp>
        <stp>600537</stp>
        <stp>12/31/2018</stp>
        <stp>1</stp>
        <tr r="U1744" s="1"/>
      </tp>
      <tp>
        <v>-3.5011573356586441</v>
        <stp/>
        <stp>EM_S_RATIO_EPS_TTM</stp>
        <stp>3</stp>
        <stp>300467</stp>
        <stp>12/31/2018</stp>
        <stp>1</stp>
        <tr r="U2940" s="1"/>
      </tp>
      <tp>
        <v>0.17529697503807817</v>
        <stp/>
        <stp>EM_S_RATIO_EPS_TTM</stp>
        <stp>3</stp>
        <stp>000757</stp>
        <stp>12/31/2018</stp>
        <stp>1</stp>
        <tr r="U2835" s="1"/>
      </tp>
      <tp>
        <v>0.24553266427524717</v>
        <stp/>
        <stp>EM_S_RATIO_EPS_TTM</stp>
        <stp>3</stp>
        <stp>600737</stp>
        <stp>12/31/2018</stp>
        <stp>1</stp>
        <tr r="U1484" s="1"/>
      </tp>
      <tp>
        <v>0.15435816939418032</v>
        <stp/>
        <stp>EM_S_RATIO_EPS_TTM</stp>
        <stp>3</stp>
        <stp>000657</stp>
        <stp>12/31/2018</stp>
        <stp>1</stp>
        <tr r="U974" s="1"/>
      </tp>
      <tp>
        <v>0.46406301470588235</v>
        <stp/>
        <stp>EM_S_RATIO_EPS_TTM</stp>
        <stp>3</stp>
        <stp>300667</stp>
        <stp>12/31/2018</stp>
        <stp>1</stp>
        <tr r="U1538" s="1"/>
      </tp>
      <tp>
        <v>0.58696632194674858</v>
        <stp/>
        <stp>EM_S_RATIO_EPS_TTM</stp>
        <stp>3</stp>
        <stp>600637</stp>
        <stp>12/31/2018</stp>
        <stp>1</stp>
        <tr r="U2727" s="1"/>
      </tp>
      <tp>
        <v>6.1681589039071588E-2</v>
        <stp/>
        <stp>EM_S_RATIO_EPS_TTM</stp>
        <stp>3</stp>
        <stp>000957</stp>
        <stp>12/31/2018</stp>
        <stp>1</stp>
        <tr r="U3587" s="1"/>
      </tp>
      <tp>
        <v>0.45307156323586945</v>
        <stp/>
        <stp>EM_S_RATIO_EPS_TTM</stp>
        <stp>3</stp>
        <stp>600837</stp>
        <stp>12/31/2018</stp>
        <stp>1</stp>
        <tr r="U260" s="1"/>
      </tp>
      <tp>
        <v>0</v>
        <stp/>
        <stp>EM_S_FA_ASSETSTURN</stp>
        <stp>3</stp>
        <stp>601881</stp>
        <stp>12/31/2018</stp>
        <stp>1</stp>
        <tr r="K338" s="1"/>
      </tp>
      <tp>
        <v>1.3465917552919999</v>
        <stp/>
        <stp>EM_S_FA_ASSETSTURN</stp>
        <stp>3</stp>
        <stp>600981</stp>
        <stp>12/31/2018</stp>
        <stp>1</stp>
        <tr r="K2364" s="1"/>
      </tp>
      <tp>
        <v>0.24161502394699999</v>
        <stp/>
        <stp>EM_S_FA_ASSETSTURN</stp>
        <stp>3</stp>
        <stp>600881</stp>
        <stp>12/31/2018</stp>
        <stp>1</stp>
        <tr r="K2561" s="1"/>
      </tp>
      <tp>
        <v>0.136900641958</v>
        <stp/>
        <stp>EM_S_FA_ASSETSTURN</stp>
        <stp>3</stp>
        <stp>600381</stp>
        <stp>12/31/2018</stp>
        <stp>1</stp>
        <tr r="K2664" s="1"/>
      </tp>
      <tp>
        <v>0.493319973696</v>
        <stp/>
        <stp>EM_S_FA_ASSETSTURN</stp>
        <stp>3</stp>
        <stp>600281</stp>
        <stp>12/31/2018</stp>
        <stp>1</stp>
        <tr r="K1503" s="1"/>
      </tp>
      <tp>
        <v>0</v>
        <stp/>
        <stp>EM_S_FA_ASSETSTURN</stp>
        <stp>3</stp>
        <stp>600181</stp>
        <stp>12/31/2018</stp>
        <stp>1</stp>
        <tr r="K2294" s="1"/>
      </tp>
      <tp>
        <v>1.1820648969600001</v>
        <stp/>
        <stp>EM_S_FA_ASSETSTURN</stp>
        <stp>3</stp>
        <stp>600081</stp>
        <stp>12/31/2018</stp>
        <stp>1</stp>
        <tr r="K405" s="1"/>
      </tp>
      <tp>
        <v>0.61340755905199995</v>
        <stp/>
        <stp>EM_S_FA_ASSETSTURN</stp>
        <stp>3</stp>
        <stp>600781</stp>
        <stp>12/31/2018</stp>
        <stp>1</stp>
        <tr r="K3379" s="1"/>
      </tp>
      <tp>
        <v>0.59601376909500003</v>
        <stp/>
        <stp>EM_S_FA_ASSETSTURN</stp>
        <stp>3</stp>
        <stp>600681</stp>
        <stp>12/31/2018</stp>
        <stp>1</stp>
        <tr r="K3333" s="1"/>
      </tp>
      <tp>
        <v>1.060309837713</v>
        <stp/>
        <stp>EM_S_FA_ASSETSTURN</stp>
        <stp>3</stp>
        <stp>600581</stp>
        <stp>12/31/2018</stp>
        <stp>1</stp>
        <tr r="K2480" s="1"/>
      </tp>
      <tp>
        <v>0.64711539520700001</v>
        <stp/>
        <stp>EM_S_FA_ASSETSTURN</stp>
        <stp>3</stp>
        <stp>600481</stp>
        <stp>12/31/2018</stp>
        <stp>1</stp>
        <tr r="K2397" s="1"/>
      </tp>
      <tp>
        <v>0.41844631658699999</v>
        <stp/>
        <stp>EM_S_FA_ASSETSTURN</stp>
        <stp>3</stp>
        <stp>603881</stp>
        <stp>12/31/2018</stp>
        <stp>1</stp>
        <tr r="K513" s="1"/>
      </tp>
      <tp>
        <v>1.006230169053</v>
        <stp/>
        <stp>EM_S_FA_ASSETSTURN</stp>
        <stp>3</stp>
        <stp>603181</stp>
        <stp>12/31/2018</stp>
        <stp>1</stp>
        <tr r="K1219" s="1"/>
      </tp>
      <tp>
        <v>0.59618756396700001</v>
        <stp/>
        <stp>EM_S_FA_ASSETSTURN</stp>
        <stp>3</stp>
        <stp>603081</stp>
        <stp>12/31/2018</stp>
        <stp>1</stp>
        <tr r="K617" s="1"/>
      </tp>
      <tp>
        <v>1.290126243125</v>
        <stp/>
        <stp>EM_S_RATIO_EPS_TTM</stp>
        <stp>3</stp>
        <stp>603136</stp>
        <stp>12/31/2018</stp>
        <stp>1</stp>
        <tr r="U2787" s="1"/>
      </tp>
      <tp>
        <v>0.1921637780782848</v>
        <stp/>
        <stp>EM_S_RATIO_EPS_TTM</stp>
        <stp>3</stp>
        <stp>603036</stp>
        <stp>12/31/2018</stp>
        <stp>1</stp>
        <tr r="U2651" s="1"/>
      </tp>
      <tp>
        <v>0.37016463401690175</v>
        <stp/>
        <stp>EM_S_RATIO_EPS_TTM</stp>
        <stp>3</stp>
        <stp>603336</stp>
        <stp>12/31/2018</stp>
        <stp>1</stp>
        <tr r="U2819" s="1"/>
      </tp>
      <tp>
        <v>0.27060007494047622</v>
        <stp/>
        <stp>EM_S_RATIO_EPS_TTM</stp>
        <stp>3</stp>
        <stp>603536</stp>
        <stp>12/31/2018</stp>
        <stp>1</stp>
        <tr r="U60" s="1"/>
      </tp>
      <tp>
        <v>0.32756484195341917</v>
        <stp/>
        <stp>EM_S_RATIO_EPS_TTM</stp>
        <stp>3</stp>
        <stp>603636</stp>
        <stp>12/31/2018</stp>
        <stp>1</stp>
        <tr r="U1377" s="1"/>
      </tp>
      <tp>
        <v>0.57894332696426931</v>
        <stp/>
        <stp>EM_S_RATIO_EPS_TTM</stp>
        <stp>3</stp>
        <stp>603936</stp>
        <stp>12/31/2018</stp>
        <stp>1</stp>
        <tr r="U1179" s="1"/>
      </tp>
      <tp>
        <v>0.11002778643751444</v>
        <stp/>
        <stp>EM_S_RATIO_EPS_TTM</stp>
        <stp>3</stp>
        <stp>002156</stp>
        <stp>12/31/2018</stp>
        <stp>1</stp>
        <tr r="U102" s="1"/>
      </tp>
      <tp>
        <v>0.4191749055062059</v>
        <stp/>
        <stp>EM_S_RATIO_EPS_TTM</stp>
        <stp>3</stp>
        <stp>002056</stp>
        <stp>12/31/2018</stp>
        <stp>1</stp>
        <tr r="U553" s="1"/>
      </tp>
      <tp>
        <v>-3.0594322357857524</v>
        <stp/>
        <stp>EM_S_RATIO_EPS_TTM</stp>
        <stp>3</stp>
        <stp>002356</stp>
        <stp>12/31/2018</stp>
        <stp>1</stp>
        <tr r="U3400" s="1"/>
      </tp>
      <tp>
        <v>-0.1081044714851862</v>
        <stp/>
        <stp>EM_S_RATIO_EPS_TTM</stp>
        <stp>3</stp>
        <stp>002256</stp>
        <stp>12/31/2018</stp>
        <stp>1</stp>
        <tr r="U2915" s="1"/>
      </tp>
      <tp>
        <v>0.19306369222408026</v>
        <stp/>
        <stp>EM_S_RATIO_EPS_TTM</stp>
        <stp>3</stp>
        <stp>002556</stp>
        <stp>12/31/2018</stp>
        <stp>1</stp>
        <tr r="U1846" s="1"/>
      </tp>
      <tp>
        <v>-0.19131357801020205</v>
        <stp/>
        <stp>EM_S_RATIO_EPS_TTM</stp>
        <stp>3</stp>
        <stp>002456</stp>
        <stp>12/31/2018</stp>
        <stp>1</stp>
        <tr r="U316" s="1"/>
      </tp>
      <tp>
        <v>1.0758225358611111</v>
        <stp/>
        <stp>EM_S_RATIO_EPS_TTM</stp>
        <stp>3</stp>
        <stp>002756</stp>
        <stp>12/31/2018</stp>
        <stp>1</stp>
        <tr r="U470" s="1"/>
      </tp>
      <tp>
        <v>3.9093234251030909E-2</v>
        <stp/>
        <stp>EM_S_RATIO_EPS_TTM</stp>
        <stp>3</stp>
        <stp>002656</stp>
        <stp>12/31/2018</stp>
        <stp>1</stp>
        <tr r="U3289" s="1"/>
      </tp>
      <tp>
        <v>0.21810004711861064</v>
        <stp/>
        <stp>EM_S_RATIO_EPS_TTM</stp>
        <stp>3</stp>
        <stp>002856</stp>
        <stp>12/31/2018</stp>
        <stp>1</stp>
        <tr r="U2870" s="1"/>
      </tp>
      <tp>
        <v>2.5394716014179752</v>
        <stp/>
        <stp>EM_S_RATIO_EPS_TTM</stp>
        <stp>3</stp>
        <stp>601336</stp>
        <stp>12/31/2018</stp>
        <stp>1</stp>
        <tr r="U1427" s="1"/>
      </tp>
      <tp>
        <v>0.44921973313960328</v>
        <stp/>
        <stp>EM_S_RATIO_EPS_TTM</stp>
        <stp>3</stp>
        <stp>601636</stp>
        <stp>12/31/2018</stp>
        <stp>1</stp>
        <tr r="U666" s="1"/>
      </tp>
      <tp>
        <v>0.44942781356144601</v>
        <stp/>
        <stp>EM_S_RATIO_EPS_TTM</stp>
        <stp>3</stp>
        <stp>000156</stp>
        <stp>12/31/2018</stp>
        <stp>1</stp>
        <tr r="U834" s="1"/>
      </tp>
      <tp>
        <v>0.49045980678803247</v>
        <stp/>
        <stp>EM_S_RATIO_EPS_TTM</stp>
        <stp>3</stp>
        <stp>300166</stp>
        <stp>12/31/2018</stp>
        <stp>1</stp>
        <tr r="U1061" s="1"/>
      </tp>
      <tp>
        <v>0.36533794844050393</v>
        <stp/>
        <stp>EM_S_RATIO_EPS_TTM</stp>
        <stp>3</stp>
        <stp>600136</stp>
        <stp>12/31/2018</stp>
        <stp>1</stp>
        <tr r="U571" s="1"/>
      </tp>
      <tp>
        <v>7.7128133566609677E-2</v>
        <stp/>
        <stp>EM_S_RATIO_EPS_TTM</stp>
        <stp>3</stp>
        <stp>000056</stp>
        <stp>12/31/2018</stp>
        <stp>1</stp>
        <tr r="U2827" s="1"/>
      </tp>
      <tp>
        <v>9.4037392950226631E-2</v>
        <stp/>
        <stp>EM_S_RATIO_EPS_TTM</stp>
        <stp>3</stp>
        <stp>300066</stp>
        <stp>12/31/2018</stp>
        <stp>1</stp>
        <tr r="U710" s="1"/>
      </tp>
      <tp>
        <v>3.1943098016748244</v>
        <stp/>
        <stp>EM_S_RATIO_EPS_TTM</stp>
        <stp>3</stp>
        <stp>600036</stp>
        <stp>12/31/2018</stp>
        <stp>1</stp>
        <tr r="U562" s="1"/>
      </tp>
      <tp>
        <v>-0.73496247744499066</v>
        <stp/>
        <stp>EM_S_RATIO_EPS_TTM</stp>
        <stp>3</stp>
        <stp>300366</stp>
        <stp>12/31/2018</stp>
        <stp>1</stp>
        <tr r="U702" s="1"/>
      </tp>
      <tp>
        <v>8.7465386252974731E-2</v>
        <stp/>
        <stp>EM_S_RATIO_EPS_TTM</stp>
        <stp>3</stp>
        <stp>600336</stp>
        <stp>12/31/2018</stp>
        <stp>1</stp>
        <tr r="U936" s="1"/>
      </tp>
      <tp>
        <v>-0.81077361067116682</v>
        <stp/>
        <stp>EM_S_RATIO_EPS_TTM</stp>
        <stp>3</stp>
        <stp>300266</stp>
        <stp>12/31/2018</stp>
        <stp>1</stp>
        <tr r="U2378" s="1"/>
      </tp>
      <tp>
        <v>0.39330063518300262</v>
        <stp/>
        <stp>EM_S_RATIO_EPS_TTM</stp>
        <stp>3</stp>
        <stp>600236</stp>
        <stp>12/31/2018</stp>
        <stp>1</stp>
        <tr r="U2882" s="1"/>
      </tp>
      <tp>
        <v>2.1361570878339838E-2</v>
        <stp/>
        <stp>EM_S_RATIO_EPS_TTM</stp>
        <stp>3</stp>
        <stp>000556</stp>
        <stp>12/31/2018</stp>
        <stp>1</stp>
        <tr r="U3453" s="1"/>
      </tp>
      <tp>
        <v>0.27468133208333734</v>
        <stp/>
        <stp>EM_S_RATIO_EPS_TTM</stp>
        <stp>3</stp>
        <stp>300566</stp>
        <stp>12/31/2018</stp>
        <stp>1</stp>
        <tr r="U215" s="1"/>
      </tp>
      <tp>
        <v>0.22405482907931396</v>
        <stp/>
        <stp>EM_S_RATIO_EPS_TTM</stp>
        <stp>3</stp>
        <stp>600536</stp>
        <stp>12/31/2018</stp>
        <stp>1</stp>
        <tr r="U32" s="1"/>
      </tp>
      <tp>
        <v>-0.38484893092386202</v>
        <stp/>
        <stp>EM_S_RATIO_EPS_TTM</stp>
        <stp>3</stp>
        <stp>300466</stp>
        <stp>12/31/2018</stp>
        <stp>1</stp>
        <tr r="U1519" s="1"/>
      </tp>
      <tp>
        <v>1.894414577631558</v>
        <stp/>
        <stp>EM_S_RATIO_EPS_TTM</stp>
        <stp>3</stp>
        <stp>600436</stp>
        <stp>12/31/2018</stp>
        <stp>1</stp>
        <tr r="U1060" s="1"/>
      </tp>
      <tp>
        <v>0.40336031937776451</v>
        <stp/>
        <stp>EM_S_RATIO_EPS_TTM</stp>
        <stp>3</stp>
        <stp>000756</stp>
        <stp>12/31/2018</stp>
        <stp>1</stp>
        <tr r="U945" s="1"/>
      </tp>
      <tp>
        <v>0.53099565390616965</v>
        <stp/>
        <stp>EM_S_RATIO_EPS_TTM</stp>
        <stp>3</stp>
        <stp>600736</stp>
        <stp>12/31/2018</stp>
        <stp>1</stp>
        <tr r="U1764" s="1"/>
      </tp>
      <tp>
        <v>0.72773881672057883</v>
        <stp/>
        <stp>EM_S_RATIO_EPS_TTM</stp>
        <stp>3</stp>
        <stp>000656</stp>
        <stp>12/31/2018</stp>
        <stp>1</stp>
        <tr r="U1182" s="1"/>
      </tp>
      <tp>
        <v>0.26882702111903456</v>
        <stp/>
        <stp>EM_S_RATIO_EPS_TTM</stp>
        <stp>3</stp>
        <stp>300666</stp>
        <stp>12/31/2018</stp>
        <stp>1</stp>
        <tr r="U2037" s="1"/>
      </tp>
      <tp>
        <v>1.2151456574428841</v>
        <stp/>
        <stp>EM_S_RATIO_EPS_TTM</stp>
        <stp>3</stp>
        <stp>600636</stp>
        <stp>12/31/2018</stp>
        <stp>1</stp>
        <tr r="U2618" s="1"/>
      </tp>
      <tp>
        <v>0.8458066328016921</v>
        <stp/>
        <stp>EM_S_RATIO_EPS_TTM</stp>
        <stp>3</stp>
        <stp>000956</stp>
        <stp>12/31/2018</stp>
        <stp>1</stp>
        <tr r="U3586" s="1"/>
      </tp>
      <tp>
        <v>7.4357572376815326E-2</v>
        <stp/>
        <stp>EM_S_RATIO_EPS_TTM</stp>
        <stp>3</stp>
        <stp>600936</stp>
        <stp>12/31/2018</stp>
        <stp>1</stp>
        <tr r="U2127" s="1"/>
      </tp>
      <tp>
        <v>0.10149005572687224</v>
        <stp/>
        <stp>EM_S_RATIO_EPS_TTM</stp>
        <stp>3</stp>
        <stp>000856</stp>
        <stp>12/31/2018</stp>
        <stp>1</stp>
        <tr r="U3157" s="1"/>
      </tp>
      <tp>
        <v>-1.7818616916195899E-2</v>
        <stp/>
        <stp>EM_S_RATIO_EPS_TTM</stp>
        <stp>3</stp>
        <stp>600836</stp>
        <stp>12/31/2018</stp>
        <stp>1</stp>
        <tr r="U857" s="1"/>
      </tp>
      <tp>
        <v>0.62408303135499998</v>
        <stp/>
        <stp>EM_S_FA_ASSETSTURN</stp>
        <stp>3</stp>
        <stp>601886</stp>
        <stp>12/31/2018</stp>
        <stp>1</stp>
        <tr r="K2479" s="1"/>
      </tp>
      <tp>
        <v>0.83943510683900002</v>
        <stp/>
        <stp>EM_S_FA_ASSETSTURN</stp>
        <stp>3</stp>
        <stp>601186</stp>
        <stp>12/31/2018</stp>
        <stp>1</stp>
        <tr r="K2665" s="1"/>
      </tp>
      <tp>
        <v>1.107196691952</v>
        <stp/>
        <stp>EM_S_FA_ASSETSTURN</stp>
        <stp>3</stp>
        <stp>601086</stp>
        <stp>12/31/2018</stp>
        <stp>1</stp>
        <tr r="K2246" s="1"/>
      </tp>
      <tp>
        <v>1.3557912427130001</v>
        <stp/>
        <stp>EM_S_FA_ASSETSTURN</stp>
        <stp>3</stp>
        <stp>600986</stp>
        <stp>12/31/2018</stp>
        <stp>1</stp>
        <tr r="K1246" s="1"/>
      </tp>
      <tp>
        <v>0.19119688372800001</v>
        <stp/>
        <stp>EM_S_FA_ASSETSTURN</stp>
        <stp>3</stp>
        <stp>600886</stp>
        <stp>12/31/2018</stp>
        <stp>1</stp>
        <tr r="K1548" s="1"/>
      </tp>
      <tp>
        <v>1.1176073066709999</v>
        <stp/>
        <stp>EM_S_FA_ASSETSTURN</stp>
        <stp>3</stp>
        <stp>600386</stp>
        <stp>12/31/2018</stp>
        <stp>1</stp>
        <tr r="K1578" s="1"/>
      </tp>
      <tp>
        <v>0.52672331553499996</v>
        <stp/>
        <stp>EM_S_FA_ASSETSTURN</stp>
        <stp>3</stp>
        <stp>600286</stp>
        <stp>12/31/2018</stp>
        <stp>1</stp>
        <tr r="K2299" s="1"/>
      </tp>
      <tp>
        <v>0.961048057856</v>
        <stp/>
        <stp>EM_S_FA_ASSETSTURN</stp>
        <stp>3</stp>
        <stp>600186</stp>
        <stp>12/31/2018</stp>
        <stp>1</stp>
        <tr r="K709" s="1"/>
      </tp>
      <tp>
        <v>0.24678125158899999</v>
        <stp/>
        <stp>EM_S_FA_ASSETSTURN</stp>
        <stp>3</stp>
        <stp>600086</stp>
        <stp>12/31/2018</stp>
        <stp>1</stp>
        <tr r="K3319" s="1"/>
      </tp>
      <tp>
        <v>0</v>
        <stp/>
        <stp>EM_S_FA_ASSETSTURN</stp>
        <stp>3</stp>
        <stp>600786</stp>
        <stp>12/31/2018</stp>
        <stp>1</stp>
        <tr r="K2322" s="1"/>
      </tp>
      <tp>
        <v>0.71834396432100001</v>
        <stp/>
        <stp>EM_S_FA_ASSETSTURN</stp>
        <stp>3</stp>
        <stp>600686</stp>
        <stp>12/31/2018</stp>
        <stp>1</stp>
        <tr r="K2161" s="1"/>
      </tp>
      <tp>
        <v>0.53226086945499995</v>
        <stp/>
        <stp>EM_S_FA_ASSETSTURN</stp>
        <stp>3</stp>
        <stp>600586</stp>
        <stp>12/31/2018</stp>
        <stp>1</stp>
        <tr r="K2118" s="1"/>
      </tp>
      <tp>
        <v>0.72863408067400004</v>
        <stp/>
        <stp>EM_S_FA_ASSETSTURN</stp>
        <stp>3</stp>
        <stp>600486</stp>
        <stp>12/31/2018</stp>
        <stp>1</stp>
        <tr r="K235" s="1"/>
      </tp>
      <tp>
        <v>0.82638529212900003</v>
        <stp/>
        <stp>EM_S_FA_ASSETSTURN</stp>
        <stp>3</stp>
        <stp>603986</stp>
        <stp>12/31/2018</stp>
        <stp>1</stp>
        <tr r="K35" s="1"/>
      </tp>
      <tp>
        <v>0.93818799454500001</v>
        <stp/>
        <stp>EM_S_FA_ASSETSTURN</stp>
        <stp>3</stp>
        <stp>603886</stp>
        <stp>12/31/2018</stp>
        <stp>1</stp>
        <tr r="K2380" s="1"/>
      </tp>
      <tp>
        <v>0.826995492241</v>
        <stp/>
        <stp>EM_S_FA_ASSETSTURN</stp>
        <stp>3</stp>
        <stp>603386</stp>
        <stp>12/31/2018</stp>
        <stp>1</stp>
        <tr r="K2198" s="1"/>
      </tp>
      <tp>
        <v>0.59247296737099997</v>
        <stp/>
        <stp>EM_S_FA_ASSETSTURN</stp>
        <stp>3</stp>
        <stp>603286</stp>
        <stp>12/31/2018</stp>
        <stp>1</stp>
        <tr r="K1812" s="1"/>
      </tp>
      <tp>
        <v>0.86028057469200003</v>
        <stp/>
        <stp>EM_S_FA_ASSETSTURN</stp>
        <stp>3</stp>
        <stp>603186</stp>
        <stp>12/31/2018</stp>
        <stp>1</stp>
        <tr r="K82" s="1"/>
      </tp>
      <tp>
        <v>1.0540972522159999</v>
        <stp/>
        <stp>EM_S_FA_ASSETSTURN</stp>
        <stp>3</stp>
        <stp>603086</stp>
        <stp>12/31/2018</stp>
        <stp>1</stp>
        <tr r="K1630" s="1"/>
      </tp>
      <tp>
        <v>0.861640058466</v>
        <stp/>
        <stp>EM_S_FA_ASSETSTURN</stp>
        <stp>3</stp>
        <stp>603686</stp>
        <stp>12/31/2018</stp>
        <stp>1</stp>
        <tr r="K2229" s="1"/>
      </tp>
      <tp>
        <v>0.49254445334399999</v>
        <stp/>
        <stp>EM_S_FA_ASSETSTURN</stp>
        <stp>3</stp>
        <stp>603586</stp>
        <stp>12/31/2018</stp>
        <stp>1</stp>
        <tr r="K698" s="1"/>
      </tp>
      <tp>
        <v>1.648094356346</v>
        <stp/>
        <stp>EM_S_FA_ASSETSTURN</stp>
        <stp>3</stp>
        <stp>603486</stp>
        <stp>12/31/2018</stp>
        <stp>1</stp>
        <tr r="K3384" s="1"/>
      </tp>
      <tp>
        <v>0.33582962624825208</v>
        <stp/>
        <stp>EM_S_RATIO_EPS_TTM</stp>
        <stp>3</stp>
        <stp>603131</stp>
        <stp>12/31/2018</stp>
        <stp>1</stp>
        <tr r="U2818" s="1"/>
      </tp>
      <tp>
        <v>5.230541392857143E-2</v>
        <stp/>
        <stp>EM_S_RATIO_EPS_TTM</stp>
        <stp>3</stp>
        <stp>603031</stp>
        <stp>12/31/2018</stp>
        <stp>1</stp>
        <tr r="U225" s="1"/>
      </tp>
      <tp>
        <v>0.54532714014112471</v>
        <stp/>
        <stp>EM_S_RATIO_EPS_TTM</stp>
        <stp>3</stp>
        <stp>603331</stp>
        <stp>12/31/2018</stp>
        <stp>1</stp>
        <tr r="U1621" s="1"/>
      </tp>
      <tp>
        <v>0.20791847338298103</v>
        <stp/>
        <stp>EM_S_RATIO_EPS_TTM</stp>
        <stp>3</stp>
        <stp>002151</stp>
        <stp>12/31/2018</stp>
        <stp>1</stp>
        <tr r="U1237" s="1"/>
      </tp>
      <tp>
        <v>1.0788015490884253</v>
        <stp/>
        <stp>EM_S_RATIO_EPS_TTM</stp>
        <stp>3</stp>
        <stp>002051</stp>
        <stp>12/31/2018</stp>
        <stp>1</stp>
        <tr r="U3617" s="1"/>
      </tp>
      <tp>
        <v>8.9669082234576827E-2</v>
        <stp/>
        <stp>EM_S_RATIO_EPS_TTM</stp>
        <stp>3</stp>
        <stp>002351</stp>
        <stp>12/31/2018</stp>
        <stp>1</stp>
        <tr r="U22" s="1"/>
      </tp>
      <tp>
        <v>0.1800660850780158</v>
        <stp/>
        <stp>EM_S_RATIO_EPS_TTM</stp>
        <stp>3</stp>
        <stp>002251</stp>
        <stp>12/31/2018</stp>
        <stp>1</stp>
        <tr r="U1280" s="1"/>
      </tp>
      <tp>
        <v>0.13841661907449482</v>
        <stp/>
        <stp>EM_S_RATIO_EPS_TTM</stp>
        <stp>3</stp>
        <stp>002551</stp>
        <stp>12/31/2018</stp>
        <stp>1</stp>
        <tr r="U2390" s="1"/>
      </tp>
      <tp>
        <v>1.908781839708561E-2</v>
        <stp/>
        <stp>EM_S_RATIO_EPS_TTM</stp>
        <stp>3</stp>
        <stp>002451</stp>
        <stp>12/31/2018</stp>
        <stp>1</stp>
        <tr r="U3095" s="1"/>
      </tp>
      <tp>
        <v>0.52134773469494589</v>
        <stp/>
        <stp>EM_S_RATIO_EPS_TTM</stp>
        <stp>3</stp>
        <stp>002751</stp>
        <stp>12/31/2018</stp>
        <stp>1</stp>
        <tr r="U1394" s="1"/>
      </tp>
      <tp>
        <v>0.11701423838820639</v>
        <stp/>
        <stp>EM_S_RATIO_EPS_TTM</stp>
        <stp>3</stp>
        <stp>002651</stp>
        <stp>12/31/2018</stp>
        <stp>1</stp>
        <tr r="U1383" s="1"/>
      </tp>
      <tp>
        <v>0.64574421438935758</v>
        <stp/>
        <stp>EM_S_RATIO_EPS_TTM</stp>
        <stp>3</stp>
        <stp>002851</stp>
        <stp>12/31/2018</stp>
        <stp>1</stp>
        <tr r="U2406" s="1"/>
      </tp>
      <tp>
        <v>0.54216754065416217</v>
        <stp/>
        <stp>EM_S_RATIO_EPS_TTM</stp>
        <stp>3</stp>
        <stp>601231</stp>
        <stp>12/31/2018</stp>
        <stp>1</stp>
        <tr r="U130" s="1"/>
      </tp>
      <tp>
        <v>0.2818472369078992</v>
        <stp/>
        <stp>EM_S_RATIO_EPS_TTM</stp>
        <stp>3</stp>
        <stp>000151</stp>
        <stp>12/31/2018</stp>
        <stp>1</stp>
        <tr r="U2041" s="1"/>
      </tp>
      <tp>
        <v>9.656563390927396E-2</v>
        <stp/>
        <stp>EM_S_RATIO_EPS_TTM</stp>
        <stp>3</stp>
        <stp>300161</stp>
        <stp>12/31/2018</stp>
        <stp>1</stp>
        <tr r="U705" s="1"/>
      </tp>
      <tp>
        <v>0.2040193700312376</v>
        <stp/>
        <stp>EM_S_RATIO_EPS_TTM</stp>
        <stp>3</stp>
        <stp>600131</stp>
        <stp>12/31/2018</stp>
        <stp>1</stp>
        <tr r="U38" s="1"/>
      </tp>
      <tp>
        <v>-1.1586088617713433</v>
        <stp/>
        <stp>EM_S_RATIO_EPS_TTM</stp>
        <stp>3</stp>
        <stp>300061</stp>
        <stp>12/31/2018</stp>
        <stp>1</stp>
        <tr r="U1862" s="1"/>
      </tp>
      <tp>
        <v>0.78406797394792793</v>
        <stp/>
        <stp>EM_S_RATIO_EPS_TTM</stp>
        <stp>3</stp>
        <stp>600031</stp>
        <stp>12/31/2018</stp>
        <stp>1</stp>
        <tr r="U148" s="1"/>
      </tp>
      <tp>
        <v>1.5095231101428572</v>
        <stp/>
        <stp>EM_S_RATIO_EPS_TTM</stp>
        <stp>3</stp>
        <stp>300361</stp>
        <stp>12/31/2018</stp>
        <stp>1</stp>
        <tr r="U9" s="1"/>
      </tp>
      <tp>
        <v>-1.3149670167864174</v>
        <stp/>
        <stp>EM_S_RATIO_EPS_TTM</stp>
        <stp>3</stp>
        <stp>600331</stp>
        <stp>12/31/2018</stp>
        <stp>1</stp>
        <tr r="U903" s="1"/>
      </tp>
      <tp>
        <v>0.1667420883169122</v>
        <stp/>
        <stp>EM_S_RATIO_EPS_TTM</stp>
        <stp>3</stp>
        <stp>300261</stp>
        <stp>12/31/2018</stp>
        <stp>1</stp>
        <tr r="U2999" s="1"/>
      </tp>
      <tp>
        <v>0.43209206654858806</v>
        <stp/>
        <stp>EM_S_RATIO_EPS_TTM</stp>
        <stp>3</stp>
        <stp>600231</stp>
        <stp>12/31/2018</stp>
        <stp>1</stp>
        <tr r="U2157" s="1"/>
      </tp>
      <tp>
        <v>0.21522283222043828</v>
        <stp/>
        <stp>EM_S_RATIO_EPS_TTM</stp>
        <stp>3</stp>
        <stp>000551</stp>
        <stp>12/31/2018</stp>
        <stp>1</stp>
        <tr r="U1505" s="1"/>
      </tp>
      <tp>
        <v>0.15279319599499805</v>
        <stp/>
        <stp>EM_S_RATIO_EPS_TTM</stp>
        <stp>3</stp>
        <stp>300561</stp>
        <stp>12/31/2018</stp>
        <stp>1</stp>
        <tr r="U1339" s="1"/>
      </tp>
      <tp>
        <v>0.12066409054041818</v>
        <stp/>
        <stp>EM_S_RATIO_EPS_TTM</stp>
        <stp>3</stp>
        <stp>600531</stp>
        <stp>12/31/2018</stp>
        <stp>1</stp>
        <tr r="U855" s="1"/>
      </tp>
      <tp>
        <v>-0.71259515243256732</v>
        <stp/>
        <stp>EM_S_RATIO_EPS_TTM</stp>
        <stp>3</stp>
        <stp>300461</stp>
        <stp>12/31/2018</stp>
        <stp>1</stp>
        <tr r="U1686" s="1"/>
      </tp>
      <tp>
        <v>3.7643857718244529E-2</v>
        <stp/>
        <stp>EM_S_RATIO_EPS_TTM</stp>
        <stp>3</stp>
        <stp>000751</stp>
        <stp>12/31/2018</stp>
        <stp>1</stp>
        <tr r="U1531" s="1"/>
      </tp>
      <tp>
        <v>0.14497503208536522</v>
        <stp/>
        <stp>EM_S_RATIO_EPS_TTM</stp>
        <stp>3</stp>
        <stp>600731</stp>
        <stp>12/31/2018</stp>
        <stp>1</stp>
        <tr r="U296" s="1"/>
      </tp>
      <tp>
        <v>4.3557114194130007</v>
        <stp/>
        <stp>EM_S_RATIO_EPS_TTM</stp>
        <stp>3</stp>
        <stp>000651</stp>
        <stp>12/31/2018</stp>
        <stp>1</stp>
        <tr r="U229" s="1"/>
      </tp>
      <tp>
        <v>1.3061374081762804</v>
        <stp/>
        <stp>EM_S_RATIO_EPS_TTM</stp>
        <stp>3</stp>
        <stp>300661</stp>
        <stp>12/31/2018</stp>
        <stp>1</stp>
        <tr r="U19" s="1"/>
      </tp>
      <tp>
        <v>0.8252239219282933</v>
        <stp/>
        <stp>EM_S_RATIO_EPS_TTM</stp>
        <stp>3</stp>
        <stp>600631</stp>
        <stp>12/31/2018</stp>
        <stp>1</stp>
        <tr r="U2309" s="1"/>
      </tp>
      <tp>
        <v>1.3487844001944325</v>
        <stp/>
        <stp>EM_S_RATIO_EPS_TTM</stp>
        <stp>3</stp>
        <stp>000951</stp>
        <stp>12/31/2018</stp>
        <stp>1</stp>
        <tr r="U163" s="1"/>
      </tp>
      <tp>
        <v>3.742154909717179E-2</v>
        <stp/>
        <stp>EM_S_RATIO_EPS_TTM</stp>
        <stp>3</stp>
        <stp>000851</stp>
        <stp>12/31/2018</stp>
        <stp>1</stp>
        <tr r="U1159" s="1"/>
      </tp>
      <tp>
        <v>0.17366837346911596</v>
        <stp/>
        <stp>EM_S_RATIO_EPS_TTM</stp>
        <stp>3</stp>
        <stp>600831</stp>
        <stp>12/31/2018</stp>
        <stp>1</stp>
        <tr r="U788" s="1"/>
      </tp>
      <tp>
        <v>1.322247299035</v>
        <stp/>
        <stp>EM_S_FA_ASSETSTURN</stp>
        <stp>3</stp>
        <stp>600987</stp>
        <stp>12/31/2018</stp>
        <stp>1</stp>
        <tr r="K3102" s="1"/>
      </tp>
      <tp>
        <v>1.64185536472</v>
        <stp/>
        <stp>EM_S_FA_ASSETSTURN</stp>
        <stp>3</stp>
        <stp>600887</stp>
        <stp>12/31/2018</stp>
        <stp>1</stp>
        <tr r="K827" s="1"/>
      </tp>
      <tp>
        <v>2.1883634887999999</v>
        <stp/>
        <stp>EM_S_FA_ASSETSTURN</stp>
        <stp>3</stp>
        <stp>600387</stp>
        <stp>12/31/2018</stp>
        <stp>1</stp>
        <tr r="K1984" s="1"/>
      </tp>
      <tp>
        <v>1.3568023701830001</v>
        <stp/>
        <stp>EM_S_FA_ASSETSTURN</stp>
        <stp>3</stp>
        <stp>600287</stp>
        <stp>12/31/2018</stp>
        <stp>1</stp>
        <tr r="K1135" s="1"/>
      </tp>
      <tp>
        <v>9.6781115683999996E-2</v>
        <stp/>
        <stp>EM_S_FA_ASSETSTURN</stp>
        <stp>3</stp>
        <stp>600187</stp>
        <stp>12/31/2018</stp>
        <stp>1</stp>
        <tr r="K2117" s="1"/>
      </tp>
      <tp>
        <v>0.44608334471299999</v>
        <stp/>
        <stp>EM_S_FA_ASSETSTURN</stp>
        <stp>3</stp>
        <stp>600087</stp>
        <stp>12/31/2018</stp>
        <stp>1</stp>
        <tr r="K2290" s="1"/>
      </tp>
      <tp>
        <v>1.8490062482680001</v>
        <stp/>
        <stp>EM_S_FA_ASSETSTURN</stp>
        <stp>3</stp>
        <stp>600787</stp>
        <stp>12/31/2018</stp>
        <stp>1</stp>
        <tr r="K2015" s="1"/>
      </tp>
      <tp>
        <v>0.91034554354800001</v>
        <stp/>
        <stp>EM_S_FA_ASSETSTURN</stp>
        <stp>3</stp>
        <stp>600687</stp>
        <stp>12/31/2018</stp>
        <stp>1</stp>
        <tr r="K3392" s="1"/>
      </tp>
      <tp>
        <v>0.82917041673400005</v>
        <stp/>
        <stp>EM_S_FA_ASSETSTURN</stp>
        <stp>3</stp>
        <stp>600587</stp>
        <stp>12/31/2018</stp>
        <stp>1</stp>
        <tr r="K1818" s="1"/>
      </tp>
      <tp>
        <v>1.0486237131060001</v>
        <stp/>
        <stp>EM_S_FA_ASSETSTURN</stp>
        <stp>3</stp>
        <stp>600487</stp>
        <stp>12/31/2018</stp>
        <stp>1</stp>
        <tr r="K2604" s="1"/>
      </tp>
      <tp>
        <v>0.76785742351899999</v>
        <stp/>
        <stp>EM_S_FA_ASSETSTURN</stp>
        <stp>3</stp>
        <stp>603987</stp>
        <stp>12/31/2018</stp>
        <stp>1</stp>
        <tr r="K1117" s="1"/>
      </tp>
      <tp>
        <v>0.86488945249500004</v>
        <stp/>
        <stp>EM_S_FA_ASSETSTURN</stp>
        <stp>3</stp>
        <stp>603887</stp>
        <stp>12/31/2018</stp>
        <stp>1</stp>
        <tr r="K293" s="1"/>
      </tp>
      <tp>
        <v>0.48377476611300002</v>
        <stp/>
        <stp>EM_S_FA_ASSETSTURN</stp>
        <stp>3</stp>
        <stp>603387</stp>
        <stp>12/31/2018</stp>
        <stp>1</stp>
        <tr r="K2919" s="1"/>
      </tp>
      <tp>
        <v>1.6007646638690001</v>
        <stp/>
        <stp>EM_S_FA_ASSETSTURN</stp>
        <stp>3</stp>
        <stp>603787</stp>
        <stp>12/31/2018</stp>
        <stp>1</stp>
        <tr r="K662" s="1"/>
      </tp>
      <tp>
        <v>0.78841201161899999</v>
        <stp/>
        <stp>EM_S_FA_ASSETSTURN</stp>
        <stp>3</stp>
        <stp>603587</stp>
        <stp>12/31/2018</stp>
        <stp>1</stp>
        <tr r="K1574" s="1"/>
      </tp>
      <tp>
        <v>0.48380341459844828</v>
        <stp/>
        <stp>EM_S_RATIO_EPS_TTM</stp>
        <stp>3</stp>
        <stp>603030</stp>
        <stp>12/31/2018</stp>
        <stp>1</stp>
        <tr r="U1545" s="1"/>
      </tp>
      <tp>
        <v>0.45096073320512819</v>
        <stp/>
        <stp>EM_S_RATIO_EPS_TTM</stp>
        <stp>3</stp>
        <stp>603330</stp>
        <stp>12/31/2018</stp>
        <stp>1</stp>
        <tr r="U3151" s="1"/>
      </tp>
      <tp>
        <v>1.3602697556939349</v>
        <stp/>
        <stp>EM_S_RATIO_EPS_TTM</stp>
        <stp>3</stp>
        <stp>603730</stp>
        <stp>12/31/2018</stp>
        <stp>1</stp>
        <tr r="U677" s="1"/>
      </tp>
      <tp>
        <v>0.56091345245236413</v>
        <stp/>
        <stp>EM_S_RATIO_EPS_TTM</stp>
        <stp>3</stp>
        <stp>603630</stp>
        <stp>12/31/2018</stp>
        <stp>1</stp>
        <tr r="U2235" s="1"/>
      </tp>
      <tp>
        <v>0.4418335574422485</v>
        <stp/>
        <stp>EM_S_RATIO_EPS_TTM</stp>
        <stp>3</stp>
        <stp>002150</stp>
        <stp>12/31/2018</stp>
        <stp>1</stp>
        <tr r="U1664" s="1"/>
      </tp>
      <tp>
        <v>0.6065527899512263</v>
        <stp/>
        <stp>EM_S_RATIO_EPS_TTM</stp>
        <stp>3</stp>
        <stp>002050</stp>
        <stp>12/31/2018</stp>
        <stp>1</stp>
        <tr r="U791" s="1"/>
      </tp>
      <tp>
        <v>0.20450364022489967</v>
        <stp/>
        <stp>EM_S_RATIO_EPS_TTM</stp>
        <stp>3</stp>
        <stp>002350</stp>
        <stp>12/31/2018</stp>
        <stp>1</stp>
        <tr r="U2684" s="1"/>
      </tp>
      <tp>
        <v>4.0534744908267056E-2</v>
        <stp/>
        <stp>EM_S_RATIO_EPS_TTM</stp>
        <stp>3</stp>
        <stp>002250</stp>
        <stp>12/31/2018</stp>
        <stp>1</stp>
        <tr r="U271" s="1"/>
      </tp>
      <tp>
        <v>0.17292894078124998</v>
        <stp/>
        <stp>EM_S_RATIO_EPS_TTM</stp>
        <stp>3</stp>
        <stp>002550</stp>
        <stp>12/31/2018</stp>
        <stp>1</stp>
        <tr r="U1338" s="1"/>
      </tp>
      <tp>
        <v>7.9272869966689447E-2</v>
        <stp/>
        <stp>EM_S_RATIO_EPS_TTM</stp>
        <stp>3</stp>
        <stp>002450</stp>
        <stp>12/31/2018</stp>
        <stp>1</stp>
        <tr r="U3380" s="1"/>
      </tp>
      <tp>
        <v>3.4631968489388265E-2</v>
        <stp/>
        <stp>EM_S_RATIO_EPS_TTM</stp>
        <stp>3</stp>
        <stp>002750</stp>
        <stp>12/31/2018</stp>
        <stp>1</stp>
        <tr r="U121" s="1"/>
      </tp>
      <tp>
        <v>0.10013665212673611</v>
        <stp/>
        <stp>EM_S_RATIO_EPS_TTM</stp>
        <stp>3</stp>
        <stp>002650</stp>
        <stp>12/31/2018</stp>
        <stp>1</stp>
        <tr r="U2392" s="1"/>
      </tp>
      <tp>
        <v>0.39184392233333332</v>
        <stp/>
        <stp>EM_S_RATIO_EPS_TTM</stp>
        <stp>3</stp>
        <stp>002850</stp>
        <stp>12/31/2018</stp>
        <stp>1</stp>
        <tr r="U87" s="1"/>
      </tp>
      <tp>
        <v>0.23490640946434724</v>
        <stp/>
        <stp>EM_S_RATIO_EPS_TTM</stp>
        <stp>3</stp>
        <stp>601330</stp>
        <stp>12/31/2018</stp>
        <stp>1</stp>
        <tr r="U2943" s="1"/>
      </tp>
      <tp>
        <v>0.28299199464629071</v>
        <stp/>
        <stp>EM_S_RATIO_EPS_TTM</stp>
        <stp>3</stp>
        <stp>000150</stp>
        <stp>12/31/2018</stp>
        <stp>1</stp>
        <tr r="U3399" s="1"/>
      </tp>
      <tp>
        <v>-0.39316419919579282</v>
        <stp/>
        <stp>EM_S_RATIO_EPS_TTM</stp>
        <stp>3</stp>
        <stp>300160</stp>
        <stp>12/31/2018</stp>
        <stp>1</stp>
        <tr r="U1712" s="1"/>
      </tp>
      <tp>
        <v>4.3102767864583329E-2</v>
        <stp/>
        <stp>EM_S_RATIO_EPS_TTM</stp>
        <stp>3</stp>
        <stp>600130</stp>
        <stp>12/31/2018</stp>
        <stp>1</stp>
        <tr r="U2075" s="1"/>
      </tp>
      <tp>
        <v>0.45189781376568278</v>
        <stp/>
        <stp>EM_S_RATIO_EPS_TTM</stp>
        <stp>3</stp>
        <stp>000050</stp>
        <stp>12/31/2018</stp>
        <stp>1</stp>
        <tr r="U348" s="1"/>
      </tp>
      <tp>
        <v>0.77494156759821675</v>
        <stp/>
        <stp>EM_S_RATIO_EPS_TTM</stp>
        <stp>3</stp>
        <stp>600030</stp>
        <stp>12/31/2018</stp>
        <stp>1</stp>
        <tr r="U423" s="1"/>
      </tp>
      <tp>
        <v>0.33158272387899829</v>
        <stp/>
        <stp>EM_S_RATIO_EPS_TTM</stp>
        <stp>3</stp>
        <stp>300360</stp>
        <stp>12/31/2018</stp>
        <stp>1</stp>
        <tr r="U187" s="1"/>
      </tp>
      <tp>
        <v>0.28452360024461204</v>
        <stp/>
        <stp>EM_S_RATIO_EPS_TTM</stp>
        <stp>3</stp>
        <stp>600330</stp>
        <stp>12/31/2018</stp>
        <stp>1</stp>
        <tr r="U654" s="1"/>
      </tp>
      <tp>
        <v>0.19127646479152222</v>
        <stp/>
        <stp>EM_S_RATIO_EPS_TTM</stp>
        <stp>3</stp>
        <stp>300260</stp>
        <stp>12/31/2018</stp>
        <stp>1</stp>
        <tr r="U893" s="1"/>
      </tp>
      <tp>
        <v>2.4060130446324424</v>
        <stp/>
        <stp>EM_S_RATIO_EPS_TTM</stp>
        <stp>3</stp>
        <stp>600230</stp>
        <stp>12/31/2018</stp>
        <stp>1</stp>
        <tr r="U3272" s="1"/>
      </tp>
      <tp>
        <v>0.10638537604811785</v>
        <stp/>
        <stp>EM_S_RATIO_EPS_TTM</stp>
        <stp>3</stp>
        <stp>000550</stp>
        <stp>12/31/2018</stp>
        <stp>1</stp>
        <tr r="U3452" s="1"/>
      </tp>
      <tp>
        <v>0.37083153026557647</v>
        <stp/>
        <stp>EM_S_RATIO_EPS_TTM</stp>
        <stp>3</stp>
        <stp>300560</stp>
        <stp>12/31/2018</stp>
        <stp>1</stp>
        <tr r="U3115" s="1"/>
      </tp>
      <tp>
        <v>-0.64876810708974353</v>
        <stp/>
        <stp>EM_S_RATIO_EPS_TTM</stp>
        <stp>3</stp>
        <stp>600530</stp>
        <stp>12/31/2018</stp>
        <stp>1</stp>
        <tr r="U1765" s="1"/>
      </tp>
      <tp>
        <v>-0.13248847012792217</v>
        <stp/>
        <stp>EM_S_RATIO_EPS_TTM</stp>
        <stp>3</stp>
        <stp>300460</stp>
        <stp>12/31/2018</stp>
        <stp>1</stp>
        <tr r="U170" s="1"/>
      </tp>
      <tp>
        <v>1.7350753249717611E-2</v>
        <stp/>
        <stp>EM_S_RATIO_EPS_TTM</stp>
        <stp>3</stp>
        <stp>000750</stp>
        <stp>12/31/2018</stp>
        <stp>1</stp>
        <tr r="U3526" s="1"/>
      </tp>
      <tp>
        <v>3.1252644202896945E-3</v>
        <stp/>
        <stp>EM_S_RATIO_EPS_TTM</stp>
        <stp>3</stp>
        <stp>600730</stp>
        <stp>12/31/2018</stp>
        <stp>1</stp>
        <tr r="U2242" s="1"/>
      </tp>
      <tp>
        <v>0.40898619888483689</v>
        <stp/>
        <stp>EM_S_RATIO_EPS_TTM</stp>
        <stp>3</stp>
        <stp>000650</stp>
        <stp>12/31/2018</stp>
        <stp>1</stp>
        <tr r="U1616" s="1"/>
      </tp>
      <tp>
        <v>1.0737936116149767</v>
        <stp/>
        <stp>EM_S_RATIO_EPS_TTM</stp>
        <stp>3</stp>
        <stp>300660</stp>
        <stp>12/31/2018</stp>
        <stp>1</stp>
        <tr r="U2965" s="1"/>
      </tp>
      <tp>
        <v>8.8671048727428287E-2</v>
        <stp/>
        <stp>EM_S_RATIO_EPS_TTM</stp>
        <stp>3</stp>
        <stp>600630</stp>
        <stp>12/31/2018</stp>
        <stp>1</stp>
        <tr r="U2003" s="1"/>
      </tp>
      <tp>
        <v>0.39964899594852105</v>
        <stp/>
        <stp>EM_S_RATIO_EPS_TTM</stp>
        <stp>3</stp>
        <stp>000950</stp>
        <stp>12/31/2018</stp>
        <stp>1</stp>
        <tr r="U1579" s="1"/>
      </tp>
      <tp>
        <v>0.12575564910026243</v>
        <stp/>
        <stp>EM_S_RATIO_EPS_TTM</stp>
        <stp>3</stp>
        <stp>000850</stp>
        <stp>12/31/2018</stp>
        <stp>1</stp>
        <tr r="U1049" s="1"/>
      </tp>
      <tp>
        <v>6.7689580794861676E-2</v>
        <stp/>
        <stp>EM_S_RATIO_EPS_TTM</stp>
        <stp>3</stp>
        <stp>600830</stp>
        <stp>12/31/2018</stp>
        <stp>1</stp>
        <tr r="U1448" s="1"/>
      </tp>
      <tp>
        <v>0.30829833746599999</v>
        <stp/>
        <stp>EM_S_FA_ASSETSTURN</stp>
        <stp>3</stp>
        <stp>600984</stp>
        <stp>12/31/2018</stp>
        <stp>1</stp>
        <tr r="K159" s="1"/>
      </tp>
      <tp>
        <v>0.38897326834500001</v>
        <stp/>
        <stp>EM_S_FA_ASSETSTURN</stp>
        <stp>3</stp>
        <stp>600884</stp>
        <stp>12/31/2018</stp>
        <stp>1</stp>
        <tr r="K1987" s="1"/>
      </tp>
      <tp>
        <v>0.31948776974600002</v>
        <stp/>
        <stp>EM_S_FA_ASSETSTURN</stp>
        <stp>3</stp>
        <stp>600284</stp>
        <stp>12/31/2018</stp>
        <stp>1</stp>
        <tr r="K1018" s="1"/>
      </tp>
      <tp>
        <v>0.65672921998099998</v>
        <stp/>
        <stp>EM_S_FA_ASSETSTURN</stp>
        <stp>3</stp>
        <stp>600184</stp>
        <stp>12/31/2018</stp>
        <stp>1</stp>
        <tr r="K1421" s="1"/>
      </tp>
      <tp>
        <v>0.119448505326</v>
        <stp/>
        <stp>EM_S_FA_ASSETSTURN</stp>
        <stp>3</stp>
        <stp>600084</stp>
        <stp>12/31/2018</stp>
        <stp>1</stp>
        <tr r="K2817" s="1"/>
      </tp>
      <tp>
        <v>0.47786041851</v>
        <stp/>
        <stp>EM_S_FA_ASSETSTURN</stp>
        <stp>3</stp>
        <stp>600784</stp>
        <stp>12/31/2018</stp>
        <stp>1</stp>
        <tr r="K2018" s="1"/>
      </tp>
      <tp>
        <v>0.224053215965</v>
        <stp/>
        <stp>EM_S_FA_ASSETSTURN</stp>
        <stp>3</stp>
        <stp>600684</stp>
        <stp>12/31/2018</stp>
        <stp>1</stp>
        <tr r="K2854" s="1"/>
      </tp>
      <tp>
        <v>0.73262440960099995</v>
        <stp/>
        <stp>EM_S_FA_ASSETSTURN</stp>
        <stp>3</stp>
        <stp>600584</stp>
        <stp>12/31/2018</stp>
        <stp>1</stp>
        <tr r="K62" s="1"/>
      </tp>
      <tp>
        <v>0.25548536865101035</v>
        <stp/>
        <stp>EM_S_RATIO_EPS_TTM</stp>
        <stp>3</stp>
        <stp>603133</stp>
        <stp>12/31/2018</stp>
        <stp>1</stp>
        <tr r="U506" s="1"/>
      </tp>
      <tp>
        <v>0.64514198046936533</v>
        <stp/>
        <stp>EM_S_RATIO_EPS_TTM</stp>
        <stp>3</stp>
        <stp>603033</stp>
        <stp>12/31/2018</stp>
        <stp>1</stp>
        <tr r="U2572" s="1"/>
      </tp>
      <tp>
        <v>0.11149270205094182</v>
        <stp/>
        <stp>EM_S_RATIO_EPS_TTM</stp>
        <stp>3</stp>
        <stp>603333</stp>
        <stp>12/31/2018</stp>
        <stp>1</stp>
        <tr r="U196" s="1"/>
      </tp>
      <tp>
        <v>1.3290515186370342</v>
        <stp/>
        <stp>EM_S_RATIO_EPS_TTM</stp>
        <stp>3</stp>
        <stp>603233</stp>
        <stp>12/31/2018</stp>
        <stp>1</stp>
        <tr r="U958" s="1"/>
      </tp>
      <tp>
        <v>0.34742038054862839</v>
        <stp/>
        <stp>EM_S_RATIO_EPS_TTM</stp>
        <stp>3</stp>
        <stp>603533</stp>
        <stp>12/31/2018</stp>
        <stp>1</stp>
        <tr r="U2569" s="1"/>
      </tp>
      <tp>
        <v>0.47778895014705886</v>
        <stp/>
        <stp>EM_S_RATIO_EPS_TTM</stp>
        <stp>3</stp>
        <stp>603733</stp>
        <stp>12/31/2018</stp>
        <stp>1</stp>
        <tr r="U2668" s="1"/>
      </tp>
      <tp>
        <v>0.27719210763478319</v>
        <stp/>
        <stp>EM_S_RATIO_EPS_TTM</stp>
        <stp>3</stp>
        <stp>603633</stp>
        <stp>12/31/2018</stp>
        <stp>1</stp>
        <tr r="U2051" s="1"/>
      </tp>
      <tp>
        <v>0.78980750497432828</v>
        <stp/>
        <stp>EM_S_RATIO_EPS_TTM</stp>
        <stp>3</stp>
        <stp>603933</stp>
        <stp>12/31/2018</stp>
        <stp>1</stp>
        <tr r="U2900" s="1"/>
      </tp>
      <tp>
        <v>3.7399957414930736</v>
        <stp/>
        <stp>EM_S_RATIO_EPS_TTM</stp>
        <stp>3</stp>
        <stp>603833</stp>
        <stp>12/31/2018</stp>
        <stp>1</stp>
        <tr r="U634" s="1"/>
      </tp>
      <tp>
        <v>0.434418411364764</v>
        <stp/>
        <stp>EM_S_RATIO_EPS_TTM</stp>
        <stp>3</stp>
        <stp>002153</stp>
        <stp>12/31/2018</stp>
        <stp>1</stp>
        <tr r="U541" s="1"/>
      </tp>
      <tp>
        <v>0.20568891409639273</v>
        <stp/>
        <stp>EM_S_RATIO_EPS_TTM</stp>
        <stp>3</stp>
        <stp>002053</stp>
        <stp>12/31/2018</stp>
        <stp>1</stp>
        <tr r="U3619" s="1"/>
      </tp>
      <tp>
        <v>0.64231233694122347</v>
        <stp/>
        <stp>EM_S_RATIO_EPS_TTM</stp>
        <stp>3</stp>
        <stp>002353</stp>
        <stp>12/31/2018</stp>
        <stp>1</stp>
        <tr r="U89" s="1"/>
      </tp>
      <tp>
        <v>0.2435031411149495</v>
        <stp/>
        <stp>EM_S_RATIO_EPS_TTM</stp>
        <stp>3</stp>
        <stp>002253</stp>
        <stp>12/31/2018</stp>
        <stp>1</stp>
        <tr r="U1773" s="1"/>
      </tp>
      <tp>
        <v>0.25908312775862069</v>
        <stp/>
        <stp>EM_S_RATIO_EPS_TTM</stp>
        <stp>3</stp>
        <stp>002553</stp>
        <stp>12/31/2018</stp>
        <stp>1</stp>
        <tr r="U2055" s="1"/>
      </tp>
      <tp>
        <v>4.2834477962541577E-2</v>
        <stp/>
        <stp>EM_S_RATIO_EPS_TTM</stp>
        <stp>3</stp>
        <stp>002453</stp>
        <stp>12/31/2018</stp>
        <stp>1</stp>
        <tr r="U2057" s="1"/>
      </tp>
      <tp>
        <v>0.83365964505575729</v>
        <stp/>
        <stp>EM_S_RATIO_EPS_TTM</stp>
        <stp>3</stp>
        <stp>002753</stp>
        <stp>12/31/2018</stp>
        <stp>1</stp>
        <tr r="U2896" s="1"/>
      </tp>
      <tp>
        <v>0.30846780635396709</v>
        <stp/>
        <stp>EM_S_RATIO_EPS_TTM</stp>
        <stp>3</stp>
        <stp>002653</stp>
        <stp>12/31/2018</stp>
        <stp>1</stp>
        <tr r="U337" s="1"/>
      </tp>
      <tp>
        <v>0.91454022769189169</v>
        <stp/>
        <stp>EM_S_RATIO_EPS_TTM</stp>
        <stp>3</stp>
        <stp>002853</stp>
        <stp>12/31/2018</stp>
        <stp>1</stp>
        <tr r="U2233" s="1"/>
      </tp>
      <tp>
        <v>0.11068757754777027</v>
        <stp/>
        <stp>EM_S_RATIO_EPS_TTM</stp>
        <stp>3</stp>
        <stp>601333</stp>
        <stp>12/31/2018</stp>
        <stp>1</stp>
        <tr r="U2471" s="1"/>
      </tp>
      <tp>
        <v>1.1637390535857788</v>
        <stp/>
        <stp>EM_S_RATIO_EPS_TTM</stp>
        <stp>3</stp>
        <stp>601233</stp>
        <stp>12/31/2018</stp>
        <stp>1</stp>
        <tr r="U521" s="1"/>
      </tp>
      <tp>
        <v>0.57052267964930148</v>
        <stp/>
        <stp>EM_S_RATIO_EPS_TTM</stp>
        <stp>3</stp>
        <stp>601633</stp>
        <stp>12/31/2018</stp>
        <stp>1</stp>
        <tr r="U446" s="1"/>
      </tp>
      <tp>
        <v>0.1546793964329648</v>
        <stp/>
        <stp>EM_S_RATIO_EPS_TTM</stp>
        <stp>3</stp>
        <stp>601933</stp>
        <stp>12/31/2018</stp>
        <stp>1</stp>
        <tr r="U2507" s="1"/>
      </tp>
      <tp>
        <v>0.19214971857207333</v>
        <stp/>
        <stp>EM_S_RATIO_EPS_TTM</stp>
        <stp>3</stp>
        <stp>000153</stp>
        <stp>12/31/2018</stp>
        <stp>1</stp>
        <tr r="U917" s="1"/>
      </tp>
      <tp>
        <v>-0.42517466229957807</v>
        <stp/>
        <stp>EM_S_RATIO_EPS_TTM</stp>
        <stp>3</stp>
        <stp>300163</stp>
        <stp>12/31/2018</stp>
        <stp>1</stp>
        <tr r="U1700" s="1"/>
      </tp>
      <tp>
        <v>0.46575381940268329</v>
        <stp/>
        <stp>EM_S_RATIO_EPS_TTM</stp>
        <stp>3</stp>
        <stp>600133</stp>
        <stp>12/31/2018</stp>
        <stp>1</stp>
        <tr r="U2928" s="1"/>
      </tp>
      <tp>
        <v>-1.2468481379166894</v>
        <stp/>
        <stp>EM_S_RATIO_EPS_TTM</stp>
        <stp>3</stp>
        <stp>300063</stp>
        <stp>12/31/2018</stp>
        <stp>1</stp>
        <tr r="U2700" s="1"/>
      </tp>
      <tp>
        <v>0.26727611546057423</v>
        <stp/>
        <stp>EM_S_RATIO_EPS_TTM</stp>
        <stp>3</stp>
        <stp>600033</stp>
        <stp>12/31/2018</stp>
        <stp>1</stp>
        <tr r="U2105" s="1"/>
      </tp>
      <tp>
        <v>0.22937755562308562</v>
        <stp/>
        <stp>EM_S_RATIO_EPS_TTM</stp>
        <stp>3</stp>
        <stp>300363</stp>
        <stp>12/31/2018</stp>
        <stp>1</stp>
        <tr r="U577" s="1"/>
      </tp>
      <tp>
        <v>-0.11493868088918817</v>
        <stp/>
        <stp>EM_S_RATIO_EPS_TTM</stp>
        <stp>3</stp>
        <stp>600333</stp>
        <stp>12/31/2018</stp>
        <stp>1</stp>
        <tr r="U2670" s="1"/>
      </tp>
      <tp>
        <v>0.14844515951199447</v>
        <stp/>
        <stp>EM_S_RATIO_EPS_TTM</stp>
        <stp>3</stp>
        <stp>300263</stp>
        <stp>12/31/2018</stp>
        <stp>1</stp>
        <tr r="U837" s="1"/>
      </tp>
      <tp>
        <v>0.67310722334391215</v>
        <stp/>
        <stp>EM_S_RATIO_EPS_TTM</stp>
        <stp>3</stp>
        <stp>600233</stp>
        <stp>12/31/2018</stp>
        <stp>1</stp>
        <tr r="U1032" s="1"/>
      </tp>
      <tp>
        <v>0.98197808446772039</v>
        <stp/>
        <stp>EM_S_RATIO_EPS_TTM</stp>
        <stp>3</stp>
        <stp>000553</stp>
        <stp>12/31/2018</stp>
        <stp>1</stp>
        <tr r="U1907" s="1"/>
      </tp>
      <tp>
        <v>0.55173102112499994</v>
        <stp/>
        <stp>EM_S_RATIO_EPS_TTM</stp>
        <stp>3</stp>
        <stp>300563</stp>
        <stp>12/31/2018</stp>
        <stp>1</stp>
        <tr r="U1534" s="1"/>
      </tp>
      <tp>
        <v>0.20725559913333333</v>
        <stp/>
        <stp>EM_S_RATIO_EPS_TTM</stp>
        <stp>3</stp>
        <stp>600533</stp>
        <stp>12/31/2018</stp>
        <stp>1</stp>
        <tr r="U1535" s="1"/>
      </tp>
      <tp>
        <v>0.79736291883512544</v>
        <stp/>
        <stp>EM_S_RATIO_EPS_TTM</stp>
        <stp>3</stp>
        <stp>300463</stp>
        <stp>12/31/2018</stp>
        <stp>1</stp>
        <tr r="U238" s="1"/>
      </tp>
      <tp>
        <v>8.5907591252315188E-2</v>
        <stp/>
        <stp>EM_S_RATIO_EPS_TTM</stp>
        <stp>3</stp>
        <stp>600433</stp>
        <stp>12/31/2018</stp>
        <stp>1</stp>
        <tr r="U2625" s="1"/>
      </tp>
      <tp>
        <v>9.2917313859640999E-2</v>
        <stp/>
        <stp>EM_S_RATIO_EPS_TTM</stp>
        <stp>3</stp>
        <stp>000753</stp>
        <stp>12/31/2018</stp>
        <stp>1</stp>
        <tr r="U2257" s="1"/>
      </tp>
      <tp>
        <v>4.6242707004472298E-2</v>
        <stp/>
        <stp>EM_S_RATIO_EPS_TTM</stp>
        <stp>3</stp>
        <stp>600733</stp>
        <stp>12/31/2018</stp>
        <stp>1</stp>
        <tr r="U3186" s="1"/>
      </tp>
      <tp>
        <v>-0.16355380416795581</v>
        <stp/>
        <stp>EM_S_RATIO_EPS_TTM</stp>
        <stp>3</stp>
        <stp>000653</stp>
        <stp>12/31/2018</stp>
        <stp>1</stp>
        <tr r="U3493" s="1"/>
      </tp>
      <tp>
        <v>0.21133318546900179</v>
        <stp/>
        <stp>EM_S_RATIO_EPS_TTM</stp>
        <stp>3</stp>
        <stp>300663</stp>
        <stp>12/31/2018</stp>
        <stp>1</stp>
        <tr r="U224" s="1"/>
      </tp>
      <tp>
        <v>0.36741762042072207</v>
        <stp/>
        <stp>EM_S_RATIO_EPS_TTM</stp>
        <stp>3</stp>
        <stp>600633</stp>
        <stp>12/31/2018</stp>
        <stp>1</stp>
        <tr r="U1476" s="1"/>
      </tp>
      <tp>
        <v>-0.93108280905128715</v>
        <stp/>
        <stp>EM_S_RATIO_EPS_TTM</stp>
        <stp>3</stp>
        <stp>000953</stp>
        <stp>12/31/2018</stp>
        <stp>1</stp>
        <tr r="U3584" s="1"/>
      </tp>
      <tp>
        <v>0.55056621443354736</v>
        <stp/>
        <stp>EM_S_RATIO_EPS_TTM</stp>
        <stp>3</stp>
        <stp>600933</stp>
        <stp>12/31/2018</stp>
        <stp>1</stp>
        <tr r="U256" s="1"/>
      </tp>
      <tp>
        <v>0.21151600321825165</v>
        <stp/>
        <stp>EM_S_RATIO_EPS_TTM</stp>
        <stp>3</stp>
        <stp>600833</stp>
        <stp>12/31/2018</stp>
        <stp>1</stp>
        <tr r="U2110" s="1"/>
      </tp>
      <tp>
        <v>0.125441389593</v>
        <stp/>
        <stp>EM_S_FA_ASSETSTURN</stp>
        <stp>3</stp>
        <stp>601985</stp>
        <stp>12/31/2018</stp>
        <stp>1</stp>
        <tr r="K2565" s="1"/>
      </tp>
      <tp>
        <v>1.782052787469</v>
        <stp/>
        <stp>EM_S_FA_ASSETSTURN</stp>
        <stp>3</stp>
        <stp>600985</stp>
        <stp>12/31/2018</stp>
        <stp>1</stp>
        <tr r="K1841" s="1"/>
      </tp>
      <tp>
        <v>0.83211472961699995</v>
        <stp/>
        <stp>EM_S_FA_ASSETSTURN</stp>
        <stp>3</stp>
        <stp>600885</stp>
        <stp>12/31/2018</stp>
        <stp>1</stp>
        <tr r="K497" s="1"/>
      </tp>
      <tp>
        <v>3.2677142659E-2</v>
        <stp/>
        <stp>EM_S_FA_ASSETSTURN</stp>
        <stp>3</stp>
        <stp>600385</stp>
        <stp>12/31/2018</stp>
        <stp>1</stp>
        <tr r="K3030" s="1"/>
      </tp>
      <tp>
        <v>0.63984543809200001</v>
        <stp/>
        <stp>EM_S_FA_ASSETSTURN</stp>
        <stp>3</stp>
        <stp>600285</stp>
        <stp>12/31/2018</stp>
        <stp>1</stp>
        <tr r="K1003" s="1"/>
      </tp>
      <tp>
        <v>0.108012751553</v>
        <stp/>
        <stp>EM_S_FA_ASSETSTURN</stp>
        <stp>3</stp>
        <stp>600185</stp>
        <stp>12/31/2018</stp>
        <stp>1</stp>
        <tr r="K1239" s="1"/>
      </tp>
      <tp>
        <v>0.72519469367699996</v>
        <stp/>
        <stp>EM_S_FA_ASSETSTURN</stp>
        <stp>3</stp>
        <stp>600085</stp>
        <stp>12/31/2018</stp>
        <stp>1</stp>
        <tr r="K2188" s="1"/>
      </tp>
      <tp>
        <v>1.606567236424</v>
        <stp/>
        <stp>EM_S_FA_ASSETSTURN</stp>
        <stp>3</stp>
        <stp>600785</stp>
        <stp>12/31/2018</stp>
        <stp>1</stp>
        <tr r="K2709" s="1"/>
      </tp>
      <tp>
        <v>0.419359730928</v>
        <stp/>
        <stp>EM_S_FA_ASSETSTURN</stp>
        <stp>3</stp>
        <stp>600685</stp>
        <stp>12/31/2018</stp>
        <stp>1</stp>
        <tr r="K512" s="1"/>
      </tp>
      <tp>
        <v>0.94521444030099999</v>
        <stp/>
        <stp>EM_S_FA_ASSETSTURN</stp>
        <stp>3</stp>
        <stp>600585</stp>
        <stp>12/31/2018</stp>
        <stp>1</stp>
        <tr r="K248" s="1"/>
      </tp>
      <tp>
        <v>2.4675947508E-2</v>
        <stp/>
        <stp>EM_S_FA_ASSETSTURN</stp>
        <stp>3</stp>
        <stp>600485</stp>
        <stp>12/31/2018</stp>
        <stp>1</stp>
        <tr r="K3405" s="1"/>
      </tp>
      <tp>
        <v>0.78578837431000004</v>
        <stp/>
        <stp>EM_S_FA_ASSETSTURN</stp>
        <stp>3</stp>
        <stp>603985</stp>
        <stp>12/31/2018</stp>
        <stp>1</stp>
        <tr r="K3160" s="1"/>
      </tp>
      <tp>
        <v>0.68915769767400004</v>
        <stp/>
        <stp>EM_S_FA_ASSETSTURN</stp>
        <stp>3</stp>
        <stp>603885</stp>
        <stp>12/31/2018</stp>
        <stp>1</stp>
        <tr r="K1184" s="1"/>
      </tp>
      <tp>
        <v>0.68355430371299997</v>
        <stp/>
        <stp>EM_S_FA_ASSETSTURN</stp>
        <stp>3</stp>
        <stp>603385</stp>
        <stp>12/31/2018</stp>
        <stp>1</stp>
        <tr r="K711" s="1"/>
      </tp>
      <tp>
        <v>0.49761332659800001</v>
        <stp/>
        <stp>EM_S_FA_ASSETSTURN</stp>
        <stp>3</stp>
        <stp>603085</stp>
        <stp>12/31/2018</stp>
        <stp>1</stp>
        <tr r="K1947" s="1"/>
      </tp>
      <tp>
        <v>0.74591415927500004</v>
        <stp/>
        <stp>EM_S_FA_ASSETSTURN</stp>
        <stp>3</stp>
        <stp>603685</stp>
        <stp>12/31/2018</stp>
        <stp>1</stp>
        <tr r="K2615" s="1"/>
      </tp>
      <tp>
        <v>0.73147847600500004</v>
        <stp/>
        <stp>EM_S_FA_ASSETSTURN</stp>
        <stp>3</stp>
        <stp>603585</stp>
        <stp>12/31/2018</stp>
        <stp>1</stp>
        <tr r="K2125" s="1"/>
      </tp>
      <tp>
        <v>1.6187925956827158</v>
        <stp/>
        <stp>EM_S_RATIO_EPS_TTM</stp>
        <stp>3</stp>
        <stp>603032</stp>
        <stp>12/31/2018</stp>
        <stp>1</stp>
        <tr r="U3116" s="1"/>
      </tp>
      <tp>
        <v>0.84074881451990635</v>
        <stp/>
        <stp>EM_S_RATIO_EPS_TTM</stp>
        <stp>3</stp>
        <stp>603232</stp>
        <stp>12/31/2018</stp>
        <stp>1</stp>
        <tr r="U680" s="1"/>
      </tp>
      <tp>
        <v>0.2759689501324728</v>
        <stp/>
        <stp>EM_S_RATIO_EPS_TTM</stp>
        <stp>3</stp>
        <stp>002152</stp>
        <stp>12/31/2018</stp>
        <stp>1</stp>
        <tr r="U279" s="1"/>
      </tp>
      <tp>
        <v>-0.44362417473992904</v>
        <stp/>
        <stp>EM_S_RATIO_EPS_TTM</stp>
        <stp>3</stp>
        <stp>002052</stp>
        <stp>12/31/2018</stp>
        <stp>1</stp>
        <tr r="U3618" s="1"/>
      </tp>
      <tp>
        <v>1.0310677194621325</v>
        <stp/>
        <stp>EM_S_RATIO_EPS_TTM</stp>
        <stp>3</stp>
        <stp>002352</stp>
        <stp>12/31/2018</stp>
        <stp>1</stp>
        <tr r="U1475" s="1"/>
      </tp>
      <tp>
        <v>-0.30522861672954588</v>
        <stp/>
        <stp>EM_S_RATIO_EPS_TTM</stp>
        <stp>3</stp>
        <stp>002252</stp>
        <stp>12/31/2018</stp>
        <stp>1</stp>
        <tr r="U2752" s="1"/>
      </tp>
      <tp>
        <v>9.3689235328242831E-2</v>
        <stp/>
        <stp>EM_S_RATIO_EPS_TTM</stp>
        <stp>3</stp>
        <stp>002552</stp>
        <stp>12/31/2018</stp>
        <stp>1</stp>
        <tr r="U17" s="1"/>
      </tp>
      <tp>
        <v>-0.464782510464677</v>
        <stp/>
        <stp>EM_S_RATIO_EPS_TTM</stp>
        <stp>3</stp>
        <stp>002452</stp>
        <stp>12/31/2018</stp>
        <stp>1</stp>
        <tr r="U763" s="1"/>
      </tp>
      <tp>
        <v>5.120749228655453E-2</v>
        <stp/>
        <stp>EM_S_RATIO_EPS_TTM</stp>
        <stp>3</stp>
        <stp>002752</stp>
        <stp>12/31/2018</stp>
        <stp>1</stp>
        <tr r="U2953" s="1"/>
      </tp>
      <tp>
        <v>7.7342672829958756E-2</v>
        <stp/>
        <stp>EM_S_RATIO_EPS_TTM</stp>
        <stp>3</stp>
        <stp>002652</stp>
        <stp>12/31/2018</stp>
        <stp>1</stp>
        <tr r="U2182" s="1"/>
      </tp>
      <tp>
        <v>0.75971176110726646</v>
        <stp/>
        <stp>EM_S_RATIO_EPS_TTM</stp>
        <stp>3</stp>
        <stp>002852</stp>
        <stp>12/31/2018</stp>
        <stp>1</stp>
        <tr r="U1784" s="1"/>
      </tp>
      <tp>
        <v>-0.10437119155064019</v>
        <stp/>
        <stp>EM_S_RATIO_EPS_TTM</stp>
        <stp>3</stp>
        <stp>300162</stp>
        <stp>12/31/2018</stp>
        <stp>1</stp>
        <tr r="U194" s="1"/>
      </tp>
      <tp>
        <v>0.83472494828090993</v>
        <stp/>
        <stp>EM_S_RATIO_EPS_TTM</stp>
        <stp>3</stp>
        <stp>600132</stp>
        <stp>12/31/2018</stp>
        <stp>1</stp>
        <tr r="U313" s="1"/>
      </tp>
      <tp>
        <v>5.4288476753246752E-2</v>
        <stp/>
        <stp>EM_S_RATIO_EPS_TTM</stp>
        <stp>3</stp>
        <stp>300062</stp>
        <stp>12/31/2018</stp>
        <stp>1</stp>
        <tr r="U1772" s="1"/>
      </tp>
      <tp>
        <v>-3.9913870585664015</v>
        <stp/>
        <stp>EM_S_RATIO_EPS_TTM</stp>
        <stp>3</stp>
        <stp>300362</stp>
        <stp>12/31/2018</stp>
        <stp>1</stp>
        <tr r="U3359" s="1"/>
      </tp>
      <tp>
        <v>2.1164960385567997</v>
        <stp/>
        <stp>EM_S_RATIO_EPS_TTM</stp>
        <stp>3</stp>
        <stp>600332</stp>
        <stp>12/31/2018</stp>
        <stp>1</stp>
        <tr r="U2596" s="1"/>
      </tp>
      <tp>
        <v>0.18341474145534051</v>
        <stp/>
        <stp>EM_S_RATIO_EPS_TTM</stp>
        <stp>3</stp>
        <stp>300262</stp>
        <stp>12/31/2018</stp>
        <stp>1</stp>
        <tr r="U2823" s="1"/>
      </tp>
      <tp>
        <v>6.9625958914773467E-2</v>
        <stp/>
        <stp>EM_S_RATIO_EPS_TTM</stp>
        <stp>3</stp>
        <stp>600232</stp>
        <stp>12/31/2018</stp>
        <stp>1</stp>
        <tr r="U942" s="1"/>
      </tp>
      <tp>
        <v>0.25045558316096744</v>
        <stp/>
        <stp>EM_S_RATIO_EPS_TTM</stp>
        <stp>3</stp>
        <stp>000552</stp>
        <stp>12/31/2018</stp>
        <stp>1</stp>
        <tr r="U2352" s="1"/>
      </tp>
      <tp>
        <v>0.12720270455508476</v>
        <stp/>
        <stp>EM_S_RATIO_EPS_TTM</stp>
        <stp>3</stp>
        <stp>300562</stp>
        <stp>12/31/2018</stp>
        <stp>1</stp>
        <tr r="U550" s="1"/>
      </tp>
      <tp>
        <v>2.1657835323764578E-2</v>
        <stp/>
        <stp>EM_S_RATIO_EPS_TTM</stp>
        <stp>3</stp>
        <stp>600532</stp>
        <stp>12/31/2018</stp>
        <stp>1</stp>
        <tr r="U2419" s="1"/>
      </tp>
      <tp>
        <v>0.38187838211382114</v>
        <stp/>
        <stp>EM_S_RATIO_EPS_TTM</stp>
        <stp>3</stp>
        <stp>300462</stp>
        <stp>12/31/2018</stp>
        <stp>1</stp>
        <tr r="U369" s="1"/>
      </tp>
      <tp>
        <v>-1.4082797209217401</v>
        <stp/>
        <stp>EM_S_RATIO_EPS_TTM</stp>
        <stp>3</stp>
        <stp>600432</stp>
        <stp>12/31/2018</stp>
        <stp>1</stp>
        <tr r="U2302" s="1"/>
      </tp>
      <tp>
        <v>-1.5619179861777417</v>
        <stp/>
        <stp>EM_S_RATIO_EPS_TTM</stp>
        <stp>3</stp>
        <stp>000752</stp>
        <stp>12/31/2018</stp>
        <stp>1</stp>
        <tr r="U3527" s="1"/>
      </tp>
      <tp>
        <v>3.5834981738107098E-2</v>
        <stp/>
        <stp>EM_S_RATIO_EPS_TTM</stp>
        <stp>3</stp>
        <stp>600732</stp>
        <stp>12/31/2018</stp>
        <stp>1</stp>
        <tr r="U281" s="1"/>
      </tp>
      <tp>
        <v>0.2097094399650557</v>
        <stp/>
        <stp>EM_S_RATIO_EPS_TTM</stp>
        <stp>3</stp>
        <stp>000652</stp>
        <stp>12/31/2018</stp>
        <stp>1</stp>
        <tr r="U1224" s="1"/>
      </tp>
      <tp>
        <v>0.65374975800000001</v>
        <stp/>
        <stp>EM_S_RATIO_EPS_TTM</stp>
        <stp>3</stp>
        <stp>300662</stp>
        <stp>12/31/2018</stp>
        <stp>1</stp>
        <tr r="U1399" s="1"/>
      </tp>
      <tp>
        <v>0.19797926258664811</v>
        <stp/>
        <stp>EM_S_RATIO_EPS_TTM</stp>
        <stp>3</stp>
        <stp>600632</stp>
        <stp>12/31/2018</stp>
        <stp>1</stp>
        <tr r="U2310" s="1"/>
      </tp>
      <tp>
        <v>0.68226121515264548</v>
        <stp/>
        <stp>EM_S_RATIO_EPS_TTM</stp>
        <stp>3</stp>
        <stp>000952</stp>
        <stp>12/31/2018</stp>
        <stp>1</stp>
        <tr r="U2593" s="1"/>
      </tp>
      <tp>
        <v>2.2628406816938191E-2</v>
        <stp/>
        <stp>EM_S_RATIO_EPS_TTM</stp>
        <stp>3</stp>
        <stp>000852</stp>
        <stp>12/31/2018</stp>
        <stp>1</stp>
        <tr r="U2811" s="1"/>
      </tp>
      <tp>
        <v>0.40177623638249138</v>
        <stp/>
        <stp>EM_S_RATIO_EPS_TTM</stp>
        <stp>3</stp>
        <stp>600832</stp>
        <stp>12/31/2018</stp>
        <stp>1</stp>
        <tr r="U2328" s="1"/>
      </tp>
      <tp t="s">
        <v>2007-12-21</v>
        <stp/>
        <stp>EM_S_IPO_LISTEDDATE</stp>
        <stp>1</stp>
        <stp>002199</stp>
        <tr r="AT2124" s="1"/>
      </tp>
      <tp t="s">
        <v>2007-12-18</v>
        <stp/>
        <stp>EM_S_IPO_LISTEDDATE</stp>
        <stp>1</stp>
        <stp>002198</stp>
        <tr r="AT2082" s="1"/>
      </tp>
      <tp t="s">
        <v>2007-12-12</v>
        <stp/>
        <stp>EM_S_IPO_LISTEDDATE</stp>
        <stp>1</stp>
        <stp>002195</stp>
        <tr r="AT2857" s="1"/>
      </tp>
      <tp t="s">
        <v>2007-12-07</v>
        <stp/>
        <stp>EM_S_IPO_LISTEDDATE</stp>
        <stp>1</stp>
        <stp>002194</stp>
        <tr r="AT48" s="1"/>
      </tp>
      <tp t="s">
        <v>2007-12-18</v>
        <stp/>
        <stp>EM_S_IPO_LISTEDDATE</stp>
        <stp>1</stp>
        <stp>002197</stp>
        <tr r="AT1474" s="1"/>
      </tp>
      <tp t="s">
        <v>2007-12-12</v>
        <stp/>
        <stp>EM_S_IPO_LISTEDDATE</stp>
        <stp>1</stp>
        <stp>002196</stp>
        <tr r="AT1966" s="1"/>
      </tp>
      <tp t="s">
        <v>2007-12-05</v>
        <stp/>
        <stp>EM_S_IPO_LISTEDDATE</stp>
        <stp>1</stp>
        <stp>002191</stp>
        <tr r="AT626" s="1"/>
      </tp>
      <tp t="s">
        <v>2007-12-03</v>
        <stp/>
        <stp>EM_S_IPO_LISTEDDATE</stp>
        <stp>1</stp>
        <stp>002190</stp>
        <tr r="AT842" s="1"/>
      </tp>
      <tp t="s">
        <v>2007-12-07</v>
        <stp/>
        <stp>EM_S_IPO_LISTEDDATE</stp>
        <stp>1</stp>
        <stp>002193</stp>
        <tr r="AT2773" s="1"/>
      </tp>
      <tp t="s">
        <v>2007-12-05</v>
        <stp/>
        <stp>EM_S_IPO_LISTEDDATE</stp>
        <stp>1</stp>
        <stp>002192</stp>
        <tr r="AT988" s="1"/>
      </tp>
      <tp t="s">
        <v>2007-12-03</v>
        <stp/>
        <stp>EM_S_IPO_LISTEDDATE</stp>
        <stp>1</stp>
        <stp>002189</stp>
        <tr r="AT409" s="1"/>
      </tp>
      <tp t="s">
        <v>2007-11-22</v>
        <stp/>
        <stp>EM_S_IPO_LISTEDDATE</stp>
        <stp>1</stp>
        <stp>002188</stp>
        <tr r="AT2426" s="1"/>
      </tp>
      <tp t="s">
        <v>2007-11-20</v>
        <stp/>
        <stp>EM_S_IPO_LISTEDDATE</stp>
        <stp>1</stp>
        <stp>002185</stp>
        <tr r="AT243" s="1"/>
      </tp>
      <tp t="s">
        <v>2007-11-16</v>
        <stp/>
        <stp>EM_S_IPO_LISTEDDATE</stp>
        <stp>1</stp>
        <stp>002184</stp>
        <tr r="AT1608" s="1"/>
      </tp>
      <tp t="s">
        <v>2007-11-22</v>
        <stp/>
        <stp>EM_S_IPO_LISTEDDATE</stp>
        <stp>1</stp>
        <stp>002187</stp>
        <tr r="AT1956" s="1"/>
      </tp>
      <tp t="s">
        <v>2007-11-20</v>
        <stp/>
        <stp>EM_S_IPO_LISTEDDATE</stp>
        <stp>1</stp>
        <stp>002186</stp>
        <tr r="AT2772" s="1"/>
      </tp>
      <tp t="s">
        <v>2007-11-16</v>
        <stp/>
        <stp>EM_S_IPO_LISTEDDATE</stp>
        <stp>1</stp>
        <stp>002181</stp>
        <tr r="AT406" s="1"/>
      </tp>
      <tp t="s">
        <v>2007-11-13</v>
        <stp/>
        <stp>EM_S_IPO_LISTEDDATE</stp>
        <stp>1</stp>
        <stp>002180</stp>
        <tr r="AT700" s="1"/>
      </tp>
      <tp t="s">
        <v>2007-11-13</v>
        <stp/>
        <stp>EM_S_IPO_LISTEDDATE</stp>
        <stp>1</stp>
        <stp>002183</stp>
        <tr r="AT2949" s="1"/>
      </tp>
      <tp t="s">
        <v>2007-11-13</v>
        <stp/>
        <stp>EM_S_IPO_LISTEDDATE</stp>
        <stp>1</stp>
        <stp>002182</stp>
        <tr r="AT558" s="1"/>
      </tp>
      <tp t="s">
        <v>2011-03-16</v>
        <stp/>
        <stp>EM_S_IPO_LISTEDDATE</stp>
        <stp>1</stp>
        <stp>300189</stp>
        <tr r="AT624" s="1"/>
      </tp>
      <tp t="s">
        <v>2011-03-16</v>
        <stp/>
        <stp>EM_S_IPO_LISTEDDATE</stp>
        <stp>1</stp>
        <stp>300188</stp>
        <tr r="AT906" s="1"/>
      </tp>
      <tp t="s">
        <v>2011-03-08</v>
        <stp/>
        <stp>EM_S_IPO_LISTEDDATE</stp>
        <stp>1</stp>
        <stp>300185</stp>
        <tr r="AT1705" s="1"/>
      </tp>
      <tp t="s">
        <v>2011-02-22</v>
        <stp/>
        <stp>EM_S_IPO_LISTEDDATE</stp>
        <stp>1</stp>
        <stp>300184</stp>
        <tr r="AT2506" s="1"/>
      </tp>
      <tp t="s">
        <v>2011-03-08</v>
        <stp/>
        <stp>EM_S_IPO_LISTEDDATE</stp>
        <stp>1</stp>
        <stp>300187</stp>
        <tr r="AT2789" s="1"/>
      </tp>
      <tp t="s">
        <v>2011-03-08</v>
        <stp/>
        <stp>EM_S_IPO_LISTEDDATE</stp>
        <stp>1</stp>
        <stp>300186</stp>
        <tr r="AT2281" s="1"/>
      </tp>
      <tp t="s">
        <v>2011-02-22</v>
        <stp/>
        <stp>EM_S_IPO_LISTEDDATE</stp>
        <stp>1</stp>
        <stp>300181</stp>
        <tr r="AT2515" s="1"/>
      </tp>
      <tp t="s">
        <v>2011-02-22</v>
        <stp/>
        <stp>EM_S_IPO_LISTEDDATE</stp>
        <stp>1</stp>
        <stp>300180</stp>
        <tr r="AT3053" s="1"/>
      </tp>
      <tp t="s">
        <v>2011-02-22</v>
        <stp/>
        <stp>EM_S_IPO_LISTEDDATE</stp>
        <stp>1</stp>
        <stp>300183</stp>
        <tr r="AT1047" s="1"/>
      </tp>
      <tp t="s">
        <v>2011-02-22</v>
        <stp/>
        <stp>EM_S_IPO_LISTEDDATE</stp>
        <stp>1</stp>
        <stp>300182</stp>
        <tr r="AT3029" s="1"/>
      </tp>
      <tp t="s">
        <v>2011-04-07</v>
        <stp/>
        <stp>EM_S_IPO_LISTEDDATE</stp>
        <stp>1</stp>
        <stp>300199</stp>
        <tr r="AT3302" s="1"/>
      </tp>
      <tp t="s">
        <v>2011-04-07</v>
        <stp/>
        <stp>EM_S_IPO_LISTEDDATE</stp>
        <stp>1</stp>
        <stp>300198</stp>
        <tr r="AT522" s="1"/>
      </tp>
      <tp t="s">
        <v>2011-03-29</v>
        <stp/>
        <stp>EM_S_IPO_LISTEDDATE</stp>
        <stp>1</stp>
        <stp>300195</stp>
        <tr r="AT2722" s="1"/>
      </tp>
      <tp t="s">
        <v>2011-03-22</v>
        <stp/>
        <stp>EM_S_IPO_LISTEDDATE</stp>
        <stp>1</stp>
        <stp>300194</stp>
        <tr r="AT334" s="1"/>
      </tp>
      <tp t="s">
        <v>2011-03-29</v>
        <stp/>
        <stp>EM_S_IPO_LISTEDDATE</stp>
        <stp>1</stp>
        <stp>300197</stp>
        <tr r="AT3073" s="1"/>
      </tp>
      <tp t="s">
        <v>2011-03-29</v>
        <stp/>
        <stp>EM_S_IPO_LISTEDDATE</stp>
        <stp>1</stp>
        <stp>300196</stp>
        <tr r="AT904" s="1"/>
      </tp>
      <tp t="s">
        <v>2011-03-16</v>
        <stp/>
        <stp>EM_S_IPO_LISTEDDATE</stp>
        <stp>1</stp>
        <stp>300191</stp>
        <tr r="AT602" s="1"/>
      </tp>
      <tp t="s">
        <v>2011-03-16</v>
        <stp/>
        <stp>EM_S_IPO_LISTEDDATE</stp>
        <stp>1</stp>
        <stp>300190</stp>
        <tr r="AT746" s="1"/>
      </tp>
      <tp t="s">
        <v>2011-03-22</v>
        <stp/>
        <stp>EM_S_IPO_LISTEDDATE</stp>
        <stp>1</stp>
        <stp>300193</stp>
        <tr r="AT1114" s="1"/>
      </tp>
      <tp t="s">
        <v>2011-03-22</v>
        <stp/>
        <stp>EM_S_IPO_LISTEDDATE</stp>
        <stp>1</stp>
        <stp>300192</stp>
        <tr r="AT413" s="1"/>
      </tp>
      <tp t="s">
        <v>1998-08-12</v>
        <stp/>
        <stp>EM_S_IPO_LISTEDDATE</stp>
        <stp>1</stp>
        <stp>600199</stp>
        <tr r="AT781" s="1"/>
      </tp>
      <tp t="s">
        <v>2011-03-17</v>
        <stp/>
        <stp>EM_S_IPO_LISTEDDATE</stp>
        <stp>1</stp>
        <stp>601199</stp>
        <tr r="AT1924" s="1"/>
      </tp>
      <tp t="s">
        <v>2015-03-26</v>
        <stp/>
        <stp>EM_S_IPO_LISTEDDATE</stp>
        <stp>1</stp>
        <stp>603199</stp>
        <tr r="AT1084" s="1"/>
      </tp>
      <tp t="s">
        <v>1998-10-21</v>
        <stp/>
        <stp>EM_S_IPO_LISTEDDATE</stp>
        <stp>1</stp>
        <stp>600198</stp>
        <tr r="AT416" s="1"/>
      </tp>
      <tp t="s">
        <v>2015-02-26</v>
        <stp/>
        <stp>EM_S_IPO_LISTEDDATE</stp>
        <stp>1</stp>
        <stp>601198</stp>
        <tr r="AT769" s="1"/>
      </tp>
      <tp t="s">
        <v>2015-05-28</v>
        <stp/>
        <stp>EM_S_IPO_LISTEDDATE</stp>
        <stp>1</stp>
        <stp>603198</stp>
        <tr r="AT704" s="1"/>
      </tp>
      <tp t="s">
        <v>1999-01-07</v>
        <stp/>
        <stp>EM_S_IPO_LISTEDDATE</stp>
        <stp>1</stp>
        <stp>600195</stp>
        <tr r="AT1893" s="1"/>
      </tp>
      <tp t="s">
        <v>1999-09-16</v>
        <stp/>
        <stp>EM_S_IPO_LISTEDDATE</stp>
        <stp>1</stp>
        <stp>600197</stp>
        <tr r="AT1198" s="1"/>
      </tp>
      <tp t="s">
        <v>2017-05-19</v>
        <stp/>
        <stp>EM_S_IPO_LISTEDDATE</stp>
        <stp>1</stp>
        <stp>603197</stp>
        <tr r="AT545" s="1"/>
      </tp>
      <tp t="s">
        <v>1998-08-07</v>
        <stp/>
        <stp>EM_S_IPO_LISTEDDATE</stp>
        <stp>1</stp>
        <stp>600196</stp>
        <tr r="AT1604" s="1"/>
      </tp>
      <tp t="s">
        <v>2017-05-31</v>
        <stp/>
        <stp>EM_S_IPO_LISTEDDATE</stp>
        <stp>1</stp>
        <stp>603196</stp>
        <tr r="AT3158" s="1"/>
      </tp>
      <tp t="s">
        <v>1998-12-10</v>
        <stp/>
        <stp>EM_S_IPO_LISTEDDATE</stp>
        <stp>1</stp>
        <stp>600191</stp>
        <tr r="AT885" s="1"/>
      </tp>
      <tp t="s">
        <v>1999-06-09</v>
        <stp/>
        <stp>EM_S_IPO_LISTEDDATE</stp>
        <stp>1</stp>
        <stp>600190</stp>
        <tr r="AT1541" s="1"/>
      </tp>
      <tp t="s">
        <v>1999-05-27</v>
        <stp/>
        <stp>EM_S_IPO_LISTEDDATE</stp>
        <stp>1</stp>
        <stp>600193</stp>
        <tr r="AT1171" s="1"/>
      </tp>
      <tp t="s">
        <v>1998-12-24</v>
        <stp/>
        <stp>EM_S_IPO_LISTEDDATE</stp>
        <stp>1</stp>
        <stp>600192</stp>
        <tr r="AT1193" s="1"/>
      </tp>
      <tp t="s">
        <v>1998-10-07</v>
        <stp/>
        <stp>EM_S_IPO_LISTEDDATE</stp>
        <stp>1</stp>
        <stp>600189</stp>
        <tr r="AT2168" s="1"/>
      </tp>
      <tp t="s">
        <v>2016-09-14</v>
        <stp/>
        <stp>EM_S_IPO_LISTEDDATE</stp>
        <stp>1</stp>
        <stp>603189</stp>
        <tr r="AT591" s="1"/>
      </tp>
      <tp t="s">
        <v>1998-07-01</v>
        <stp/>
        <stp>EM_S_IPO_LISTEDDATE</stp>
        <stp>1</stp>
        <stp>600188</stp>
        <tr r="AT1329" s="1"/>
      </tp>
      <tp t="s">
        <v>2010-03-19</v>
        <stp/>
        <stp>EM_S_IPO_LISTEDDATE</stp>
        <stp>1</stp>
        <stp>601188</stp>
        <tr r="AT2146" s="1"/>
      </tp>
      <tp t="s">
        <v>2014-09-09</v>
        <stp/>
        <stp>EM_S_IPO_LISTEDDATE</stp>
        <stp>1</stp>
        <stp>603188</stp>
        <tr r="AT2816" s="1"/>
      </tp>
      <tp t="s">
        <v>1999-06-11</v>
        <stp/>
        <stp>EM_S_IPO_LISTEDDATE</stp>
        <stp>1</stp>
        <stp>600185</stp>
        <tr r="AT1239" s="1"/>
      </tp>
      <tp t="s">
        <v>2003-11-06</v>
        <stp/>
        <stp>EM_S_IPO_LISTEDDATE</stp>
        <stp>1</stp>
        <stp>600184</stp>
        <tr r="AT1421" s="1"/>
      </tp>
      <tp t="s">
        <v>1998-11-11</v>
        <stp/>
        <stp>EM_S_IPO_LISTEDDATE</stp>
        <stp>1</stp>
        <stp>600187</stp>
        <tr r="AT2117" s="1"/>
      </tp>
      <tp t="s">
        <v>1998-08-25</v>
        <stp/>
        <stp>EM_S_IPO_LISTEDDATE</stp>
        <stp>1</stp>
        <stp>600186</stp>
        <tr r="AT709" s="1"/>
      </tp>
      <tp t="s">
        <v>2008-03-10</v>
        <stp/>
        <stp>EM_S_IPO_LISTEDDATE</stp>
        <stp>1</stp>
        <stp>601186</stp>
        <tr r="AT2665" s="1"/>
      </tp>
      <tp t="s">
        <v>2017-01-03</v>
        <stp/>
        <stp>EM_S_IPO_LISTEDDATE</stp>
        <stp>1</stp>
        <stp>603186</stp>
        <tr r="AT82" s="1"/>
      </tp>
      <tp t="s">
        <v>1998-09-28</v>
        <stp/>
        <stp>EM_S_IPO_LISTEDDATE</stp>
        <stp>1</stp>
        <stp>600181</stp>
        <tr r="AT2294" s="1"/>
      </tp>
      <tp t="s">
        <v>2017-08-24</v>
        <stp/>
        <stp>EM_S_IPO_LISTEDDATE</stp>
        <stp>1</stp>
        <stp>603181</stp>
        <tr r="AT1219" s="1"/>
      </tp>
      <tp t="s">
        <v>1998-07-03</v>
        <stp/>
        <stp>EM_S_IPO_LISTEDDATE</stp>
        <stp>1</stp>
        <stp>600180</stp>
        <tr r="AT2347" s="1"/>
      </tp>
      <tp t="s">
        <v>2017-05-12</v>
        <stp/>
        <stp>EM_S_IPO_LISTEDDATE</stp>
        <stp>1</stp>
        <stp>603180</stp>
        <tr r="AT1458" s="1"/>
      </tp>
      <tp t="s">
        <v>1998-10-28</v>
        <stp/>
        <stp>EM_S_IPO_LISTEDDATE</stp>
        <stp>1</stp>
        <stp>600183</stp>
        <tr r="AT138" s="1"/>
      </tp>
      <tp t="s">
        <v>2017-09-05</v>
        <stp/>
        <stp>EM_S_IPO_LISTEDDATE</stp>
        <stp>1</stp>
        <stp>603183</stp>
        <tr r="AT3318" s="1"/>
      </tp>
      <tp t="s">
        <v>1999-05-07</v>
        <stp/>
        <stp>EM_S_IPO_LISTEDDATE</stp>
        <stp>1</stp>
        <stp>600182</stp>
        <tr r="AT1800" s="1"/>
      </tp>
      <tp t="s">
        <v>2010-10-19</v>
        <stp/>
        <stp>EM_S_IPO_LISTEDDATE</stp>
        <stp>1</stp>
        <stp>300129</stp>
        <tr r="AT310" s="1"/>
      </tp>
      <tp t="s">
        <v>1998-11-04</v>
        <stp/>
        <stp>EM_S_IPO_LISTEDDATE</stp>
        <stp>1</stp>
        <stp>600179</stp>
        <tr r="AT3223" s="1"/>
      </tp>
      <tp t="s">
        <v>2010-01-28</v>
        <stp/>
        <stp>EM_S_IPO_LISTEDDATE</stp>
        <stp>1</stp>
        <stp>601179</stp>
        <tr r="AT1813" s="1"/>
      </tp>
      <tp t="s">
        <v>2007-03-02</v>
        <stp/>
        <stp>EM_S_IPO_LISTEDDATE</stp>
        <stp>1</stp>
        <stp>002119</stp>
        <tr r="AT493" s="1"/>
      </tp>
      <tp t="s">
        <v>2017-03-17</v>
        <stp/>
        <stp>EM_S_IPO_LISTEDDATE</stp>
        <stp>1</stp>
        <stp>603179</stp>
        <tr r="AT1445" s="1"/>
      </tp>
      <tp t="s">
        <v>2010-10-13</v>
        <stp/>
        <stp>EM_S_IPO_LISTEDDATE</stp>
        <stp>1</stp>
        <stp>300128</stp>
        <tr r="AT1612" s="1"/>
      </tp>
      <tp t="s">
        <v>1998-10-14</v>
        <stp/>
        <stp>EM_S_IPO_LISTEDDATE</stp>
        <stp>1</stp>
        <stp>600178</stp>
        <tr r="AT1550" s="1"/>
      </tp>
      <tp t="s">
        <v>2007-03-02</v>
        <stp/>
        <stp>EM_S_IPO_LISTEDDATE</stp>
        <stp>1</stp>
        <stp>002118</stp>
        <tr r="AT754" s="1"/>
      </tp>
      <tp t="s">
        <v>2017-03-28</v>
        <stp/>
        <stp>EM_S_IPO_LISTEDDATE</stp>
        <stp>1</stp>
        <stp>603178</stp>
        <tr r="AT1243" s="1"/>
      </tp>
      <tp t="s">
        <v>2010-10-13</v>
        <stp/>
        <stp>EM_S_IPO_LISTEDDATE</stp>
        <stp>1</stp>
        <stp>300125</stp>
        <tr r="AT841" s="1"/>
      </tp>
      <tp t="s">
        <v>1999-04-08</v>
        <stp/>
        <stp>EM_S_IPO_LISTEDDATE</stp>
        <stp>1</stp>
        <stp>600175</stp>
        <tr r="AT2982" s="1"/>
      </tp>
      <tp t="s">
        <v>2007-02-15</v>
        <stp/>
        <stp>EM_S_IPO_LISTEDDATE</stp>
        <stp>1</stp>
        <stp>002115</stp>
        <tr r="AT2756" s="1"/>
      </tp>
      <tp t="s">
        <v>2010-09-28</v>
        <stp/>
        <stp>EM_S_IPO_LISTEDDATE</stp>
        <stp>1</stp>
        <stp>300124</stp>
        <tr r="AT514" s="1"/>
      </tp>
      <tp t="s">
        <v>2007-02-15</v>
        <stp/>
        <stp>EM_S_IPO_LISTEDDATE</stp>
        <stp>1</stp>
        <stp>002114</stp>
        <tr r="AT3638" s="1"/>
      </tp>
      <tp t="s">
        <v>2010-10-13</v>
        <stp/>
        <stp>EM_S_IPO_LISTEDDATE</stp>
        <stp>1</stp>
        <stp>300127</stp>
        <tr r="AT251" s="1"/>
      </tp>
      <tp t="s">
        <v>1998-11-19</v>
        <stp/>
        <stp>EM_S_IPO_LISTEDDATE</stp>
        <stp>1</stp>
        <stp>600177</stp>
        <tr r="AT2487" s="1"/>
      </tp>
      <tp t="s">
        <v>2010-10-11</v>
        <stp/>
        <stp>EM_S_IPO_LISTEDDATE</stp>
        <stp>1</stp>
        <stp>601177</stp>
        <tr r="AT2162" s="1"/>
      </tp>
      <tp t="s">
        <v>2007-03-02</v>
        <stp/>
        <stp>EM_S_IPO_LISTEDDATE</stp>
        <stp>1</stp>
        <stp>002117</stp>
        <tr r="AT2798" s="1"/>
      </tp>
      <tp t="s">
        <v>2017-02-07</v>
        <stp/>
        <stp>EM_S_IPO_LISTEDDATE</stp>
        <stp>1</stp>
        <stp>603177</stp>
        <tr r="AT1680" s="1"/>
      </tp>
      <tp t="s">
        <v>2010-10-13</v>
        <stp/>
        <stp>EM_S_IPO_LISTEDDATE</stp>
        <stp>1</stp>
        <stp>300126</stp>
        <tr r="AT1497" s="1"/>
      </tp>
      <tp t="s">
        <v>1999-04-22</v>
        <stp/>
        <stp>EM_S_IPO_LISTEDDATE</stp>
        <stp>1</stp>
        <stp>600176</stp>
        <tr r="AT1596" s="1"/>
      </tp>
      <tp t="s">
        <v>2007-02-15</v>
        <stp/>
        <stp>EM_S_IPO_LISTEDDATE</stp>
        <stp>1</stp>
        <stp>002116</stp>
        <tr r="AT1546" s="1"/>
      </tp>
      <tp t="s">
        <v>2010-09-17</v>
        <stp/>
        <stp>EM_S_IPO_LISTEDDATE</stp>
        <stp>1</stp>
        <stp>300121</stp>
        <tr r="AT3007" s="1"/>
      </tp>
      <tp t="s">
        <v>1998-09-24</v>
        <stp/>
        <stp>EM_S_IPO_LISTEDDATE</stp>
        <stp>1</stp>
        <stp>600171</stp>
        <tr r="AT298" s="1"/>
      </tp>
      <tp t="s">
        <v>2007-01-26</v>
        <stp/>
        <stp>EM_S_IPO_LISTEDDATE</stp>
        <stp>1</stp>
        <stp>002111</stp>
        <tr r="AT421" s="1"/>
      </tp>
      <tp t="s">
        <v>2010-09-17</v>
        <stp/>
        <stp>EM_S_IPO_LISTEDDATE</stp>
        <stp>1</stp>
        <stp>300120</stp>
        <tr r="AT2024" s="1"/>
      </tp>
      <tp t="s">
        <v>1998-06-23</v>
        <stp/>
        <stp>EM_S_IPO_LISTEDDATE</stp>
        <stp>1</stp>
        <stp>600170</stp>
        <tr r="AT1414" s="1"/>
      </tp>
      <tp t="s">
        <v>2007-01-26</v>
        <stp/>
        <stp>EM_S_IPO_LISTEDDATE</stp>
        <stp>1</stp>
        <stp>002110</stp>
        <tr r="AT3202" s="1"/>
      </tp>
      <tp t="s">
        <v>2010-09-28</v>
        <stp/>
        <stp>EM_S_IPO_LISTEDDATE</stp>
        <stp>1</stp>
        <stp>300123</stp>
        <tr r="AT2994" s="1"/>
      </tp>
      <tp t="s">
        <v>1999-04-15</v>
        <stp/>
        <stp>EM_S_IPO_LISTEDDATE</stp>
        <stp>1</stp>
        <stp>600173</stp>
        <tr r="AT786" s="1"/>
      </tp>
      <tp t="s">
        <v>2007-02-08</v>
        <stp/>
        <stp>EM_S_IPO_LISTEDDATE</stp>
        <stp>1</stp>
        <stp>002113</stp>
        <tr r="AT3352" s="1"/>
      </tp>
      <tp t="s">
        <v>2010-09-28</v>
        <stp/>
        <stp>EM_S_IPO_LISTEDDATE</stp>
        <stp>1</stp>
        <stp>300122</stp>
        <tr r="AT1101" s="1"/>
      </tp>
      <tp t="s">
        <v>1998-11-26</v>
        <stp/>
        <stp>EM_S_IPO_LISTEDDATE</stp>
        <stp>1</stp>
        <stp>600172</stp>
        <tr r="AT2575" s="1"/>
      </tp>
      <tp t="s">
        <v>2007-02-08</v>
        <stp/>
        <stp>EM_S_IPO_LISTEDDATE</stp>
        <stp>1</stp>
        <stp>002112</stp>
        <tr r="AT2156" s="1"/>
      </tp>
      <tp t="s">
        <v>2010-11-12</v>
        <stp/>
        <stp>EM_S_IPO_LISTEDDATE</stp>
        <stp>1</stp>
        <stp>300139</stp>
        <tr r="AT1318" s="1"/>
      </tp>
      <tp t="s">
        <v>1998-09-04</v>
        <stp/>
        <stp>EM_S_IPO_LISTEDDATE</stp>
        <stp>1</stp>
        <stp>600169</stp>
        <tr r="AT2058" s="1"/>
      </tp>
      <tp t="s">
        <v>2007-09-19</v>
        <stp/>
        <stp>EM_S_IPO_LISTEDDATE</stp>
        <stp>1</stp>
        <stp>601169</stp>
        <tr r="AT2223" s="1"/>
      </tp>
      <tp t="s">
        <v>2007-01-26</v>
        <stp/>
        <stp>EM_S_IPO_LISTEDDATE</stp>
        <stp>1</stp>
        <stp>002109</stp>
        <tr r="AT2560" s="1"/>
      </tp>
      <tp t="s">
        <v>2014-10-09</v>
        <stp/>
        <stp>EM_S_IPO_LISTEDDATE</stp>
        <stp>1</stp>
        <stp>603169</stp>
        <tr r="AT821" s="1"/>
      </tp>
      <tp t="s">
        <v>2010-11-05</v>
        <stp/>
        <stp>EM_S_IPO_LISTEDDATE</stp>
        <stp>1</stp>
        <stp>300138</stp>
        <tr r="AT941" s="1"/>
      </tp>
      <tp t="s">
        <v>1998-04-27</v>
        <stp/>
        <stp>EM_S_IPO_LISTEDDATE</stp>
        <stp>1</stp>
        <stp>600168</stp>
        <tr r="AT1443" s="1"/>
      </tp>
      <tp t="s">
        <v>2007-07-12</v>
        <stp/>
        <stp>EM_S_IPO_LISTEDDATE</stp>
        <stp>1</stp>
        <stp>601168</stp>
        <tr r="AT1406" s="1"/>
      </tp>
      <tp t="s">
        <v>2007-01-24</v>
        <stp/>
        <stp>EM_S_IPO_LISTEDDATE</stp>
        <stp>1</stp>
        <stp>002108</stp>
        <tr r="AT3637" s="1"/>
      </tp>
      <tp t="s">
        <v>2014-07-02</v>
        <stp/>
        <stp>EM_S_IPO_LISTEDDATE</stp>
        <stp>1</stp>
        <stp>603168</stp>
        <tr r="AT1079" s="1"/>
      </tp>
      <tp t="s">
        <v>2010-10-26</v>
        <stp/>
        <stp>EM_S_IPO_LISTEDDATE</stp>
        <stp>1</stp>
        <stp>300135</stp>
        <tr r="AT2372" s="1"/>
      </tp>
      <tp t="s">
        <v>1998-05-29</v>
        <stp/>
        <stp>EM_S_IPO_LISTEDDATE</stp>
        <stp>1</stp>
        <stp>600165</stp>
        <tr r="AT3077" s="1"/>
      </tp>
      <tp t="s">
        <v>2007-01-12</v>
        <stp/>
        <stp>EM_S_IPO_LISTEDDATE</stp>
        <stp>1</stp>
        <stp>002105</stp>
        <tr r="AT3636" s="1"/>
      </tp>
      <tp t="s">
        <v>2017-01-17</v>
        <stp/>
        <stp>EM_S_IPO_LISTEDDATE</stp>
        <stp>1</stp>
        <stp>603165</stp>
        <tr r="AT1558" s="1"/>
      </tp>
      <tp t="s">
        <v>2010-10-26</v>
        <stp/>
        <stp>EM_S_IPO_LISTEDDATE</stp>
        <stp>1</stp>
        <stp>300134</stp>
        <tr r="AT367" s="1"/>
      </tp>
      <tp t="s">
        <v>2007-01-10</v>
        <stp/>
        <stp>EM_S_IPO_LISTEDDATE</stp>
        <stp>1</stp>
        <stp>002104</stp>
        <tr r="AT962" s="1"/>
      </tp>
      <tp t="s">
        <v>2010-11-05</v>
        <stp/>
        <stp>EM_S_IPO_LISTEDDATE</stp>
        <stp>1</stp>
        <stp>300137</stp>
        <tr r="AT2600" s="1"/>
      </tp>
      <tp t="s">
        <v>1999-01-28</v>
        <stp/>
        <stp>EM_S_IPO_LISTEDDATE</stp>
        <stp>1</stp>
        <stp>600167</stp>
        <tr r="AT683" s="1"/>
      </tp>
      <tp t="s">
        <v>2007-01-24</v>
        <stp/>
        <stp>EM_S_IPO_LISTEDDATE</stp>
        <stp>1</stp>
        <stp>002107</stp>
        <tr r="AT1136" s="1"/>
      </tp>
      <tp t="s">
        <v>2012-09-06</v>
        <stp/>
        <stp>EM_S_IPO_LISTEDDATE</stp>
        <stp>1</stp>
        <stp>603167</stp>
        <tr r="AT1235" s="1"/>
      </tp>
      <tp t="s">
        <v>2010-11-05</v>
        <stp/>
        <stp>EM_S_IPO_LISTEDDATE</stp>
        <stp>1</stp>
        <stp>300136</stp>
        <tr r="AT145" s="1"/>
      </tp>
      <tp t="s">
        <v>1998-06-02</v>
        <stp/>
        <stp>EM_S_IPO_LISTEDDATE</stp>
        <stp>1</stp>
        <stp>600166</stp>
        <tr r="AT1515" s="1"/>
      </tp>
      <tp t="s">
        <v>2007-02-05</v>
        <stp/>
        <stp>EM_S_IPO_LISTEDDATE</stp>
        <stp>1</stp>
        <stp>601166</stp>
        <tr r="AT877" s="1"/>
      </tp>
      <tp t="s">
        <v>2007-01-12</v>
        <stp/>
        <stp>EM_S_IPO_LISTEDDATE</stp>
        <stp>1</stp>
        <stp>002106</stp>
        <tr r="AT474" s="1"/>
      </tp>
      <tp t="s">
        <v>2014-11-27</v>
        <stp/>
        <stp>EM_S_IPO_LISTEDDATE</stp>
        <stp>1</stp>
        <stp>603166</stp>
        <tr r="AT1347" s="1"/>
      </tp>
      <tp t="s">
        <v>2010-10-19</v>
        <stp/>
        <stp>EM_S_IPO_LISTEDDATE</stp>
        <stp>1</stp>
        <stp>300131</stp>
        <tr r="AT1274" s="1"/>
      </tp>
      <tp t="s">
        <v>1998-06-16</v>
        <stp/>
        <stp>EM_S_IPO_LISTEDDATE</stp>
        <stp>1</stp>
        <stp>600161</stp>
        <tr r="AT1011" s="1"/>
      </tp>
      <tp t="s">
        <v>2006-12-29</v>
        <stp/>
        <stp>EM_S_IPO_LISTEDDATE</stp>
        <stp>1</stp>
        <stp>002101</stp>
        <tr r="AT2834" s="1"/>
      </tp>
      <tp t="s">
        <v>2018-01-05</v>
        <stp/>
        <stp>EM_S_IPO_LISTEDDATE</stp>
        <stp>1</stp>
        <stp>603161</stp>
        <tr r="AT2902" s="1"/>
      </tp>
      <tp t="s">
        <v>2004-01-30</v>
        <stp/>
        <stp>EM_S_IPO_LISTEDDATE</stp>
        <stp>1</stp>
        <stp>000100</stp>
        <tr r="AT212" s="1"/>
      </tp>
      <tp t="s">
        <v>2010-10-19</v>
        <stp/>
        <stp>EM_S_IPO_LISTEDDATE</stp>
        <stp>1</stp>
        <stp>300130</stp>
        <tr r="AT478" s="1"/>
      </tp>
      <tp t="s">
        <v>1998-06-26</v>
        <stp/>
        <stp>EM_S_IPO_LISTEDDATE</stp>
        <stp>1</stp>
        <stp>600160</stp>
        <tr r="AT1738" s="1"/>
      </tp>
      <tp t="s">
        <v>2006-12-26</v>
        <stp/>
        <stp>EM_S_IPO_LISTEDDATE</stp>
        <stp>1</stp>
        <stp>002100</stp>
        <tr r="AT54" s="1"/>
      </tp>
      <tp t="s">
        <v>2016-10-17</v>
        <stp/>
        <stp>EM_S_IPO_LISTEDDATE</stp>
        <stp>1</stp>
        <stp>603160</stp>
        <tr r="AT70" s="1"/>
      </tp>
      <tp t="s">
        <v>2010-10-26</v>
        <stp/>
        <stp>EM_S_IPO_LISTEDDATE</stp>
        <stp>1</stp>
        <stp>300133</stp>
        <tr r="AT3041" s="1"/>
      </tp>
      <tp t="s">
        <v>1998-06-02</v>
        <stp/>
        <stp>EM_S_IPO_LISTEDDATE</stp>
        <stp>1</stp>
        <stp>600163</stp>
        <tr r="AT1968" s="1"/>
      </tp>
      <tp t="s">
        <v>2016-09-09</v>
        <stp/>
        <stp>EM_S_IPO_LISTEDDATE</stp>
        <stp>1</stp>
        <stp>601163</stp>
        <tr r="AT828" s="1"/>
      </tp>
      <tp t="s">
        <v>2007-01-10</v>
        <stp/>
        <stp>EM_S_IPO_LISTEDDATE</stp>
        <stp>1</stp>
        <stp>002103</stp>
        <tr r="AT3635" s="1"/>
      </tp>
      <tp t="s">
        <v>2010-10-26</v>
        <stp/>
        <stp>EM_S_IPO_LISTEDDATE</stp>
        <stp>1</stp>
        <stp>300132</stp>
        <tr r="AT2143" s="1"/>
      </tp>
      <tp t="s">
        <v>1998-06-09</v>
        <stp/>
        <stp>EM_S_IPO_LISTEDDATE</stp>
        <stp>1</stp>
        <stp>600162</stp>
        <tr r="AT2078" s="1"/>
      </tp>
      <tp t="s">
        <v>2006-12-29</v>
        <stp/>
        <stp>EM_S_IPO_LISTEDDATE</stp>
        <stp>1</stp>
        <stp>002102</stp>
        <tr r="AT3634" s="1"/>
      </tp>
      <tp t="s">
        <v>2010-08-25</v>
        <stp/>
        <stp>EM_S_IPO_LISTEDDATE</stp>
        <stp>1</stp>
        <stp>300109</stp>
        <tr r="AT1364" s="1"/>
      </tp>
      <tp t="s">
        <v>1998-05-26</v>
        <stp/>
        <stp>EM_S_IPO_LISTEDDATE</stp>
        <stp>1</stp>
        <stp>600159</stp>
        <tr r="AT1961" s="1"/>
      </tp>
      <tp t="s">
        <v>2007-06-29</v>
        <stp/>
        <stp>EM_S_IPO_LISTEDDATE</stp>
        <stp>1</stp>
        <stp>002139</stp>
        <tr r="AT684" s="1"/>
      </tp>
      <tp t="s">
        <v>2016-08-12</v>
        <stp/>
        <stp>EM_S_IPO_LISTEDDATE</stp>
        <stp>1</stp>
        <stp>603159</stp>
        <tr r="AT3276" s="1"/>
      </tp>
      <tp t="s">
        <v>2010-08-25</v>
        <stp/>
        <stp>EM_S_IPO_LISTEDDATE</stp>
        <stp>1</stp>
        <stp>300108</stp>
        <tr r="AT3150" s="1"/>
      </tp>
      <tp t="s">
        <v>1998-03-27</v>
        <stp/>
        <stp>EM_S_IPO_LISTEDDATE</stp>
        <stp>1</stp>
        <stp>600158</stp>
        <tr r="AT1644" s="1"/>
      </tp>
      <tp t="s">
        <v>2010-03-29</v>
        <stp/>
        <stp>EM_S_IPO_LISTEDDATE</stp>
        <stp>1</stp>
        <stp>601158</stp>
        <tr r="AT2337" s="1"/>
      </tp>
      <tp t="s">
        <v>2007-06-13</v>
        <stp/>
        <stp>EM_S_IPO_LISTEDDATE</stp>
        <stp>1</stp>
        <stp>002138</stp>
        <tr r="AT329" s="1"/>
      </tp>
      <tp t="s">
        <v>2015-03-20</v>
        <stp/>
        <stp>EM_S_IPO_LISTEDDATE</stp>
        <stp>1</stp>
        <stp>603158</stp>
        <tr r="AT2653" s="1"/>
      </tp>
      <tp t="s">
        <v>2010-08-20</v>
        <stp/>
        <stp>EM_S_IPO_LISTEDDATE</stp>
        <stp>1</stp>
        <stp>300105</stp>
        <tr r="AT1424" s="1"/>
      </tp>
      <tp t="s">
        <v>1998-09-18</v>
        <stp/>
        <stp>EM_S_IPO_LISTEDDATE</stp>
        <stp>1</stp>
        <stp>600155</stp>
        <tr r="AT234" s="1"/>
      </tp>
      <tp t="s">
        <v>2015-12-04</v>
        <stp/>
        <stp>EM_S_IPO_LISTEDDATE</stp>
        <stp>1</stp>
        <stp>601155</stp>
        <tr r="AT397" s="1"/>
      </tp>
      <tp t="s">
        <v>2007-05-30</v>
        <stp/>
        <stp>EM_S_IPO_LISTEDDATE</stp>
        <stp>1</stp>
        <stp>002135</stp>
        <tr r="AT1756" s="1"/>
      </tp>
      <tp t="s">
        <v>2010-08-12</v>
        <stp/>
        <stp>EM_S_IPO_LISTEDDATE</stp>
        <stp>1</stp>
        <stp>300104</stp>
        <tr r="AT3241" s="1"/>
      </tp>
      <tp t="s">
        <v>2007-05-16</v>
        <stp/>
        <stp>EM_S_IPO_LISTEDDATE</stp>
        <stp>1</stp>
        <stp>002134</stp>
        <tr r="AT424" s="1"/>
      </tp>
      <tp t="s">
        <v>2010-08-20</v>
        <stp/>
        <stp>EM_S_IPO_LISTEDDATE</stp>
        <stp>1</stp>
        <stp>300107</stp>
        <tr r="AT3155" s="1"/>
      </tp>
      <tp t="s">
        <v>1998-05-13</v>
        <stp/>
        <stp>EM_S_IPO_LISTEDDATE</stp>
        <stp>1</stp>
        <stp>600157</stp>
        <tr r="AT1912" s="1"/>
      </tp>
      <tp t="s">
        <v>2007-06-13</v>
        <stp/>
        <stp>EM_S_IPO_LISTEDDATE</stp>
        <stp>1</stp>
        <stp>002137</stp>
        <tr r="AT1770" s="1"/>
      </tp>
      <tp t="s">
        <v>2017-09-25</v>
        <stp/>
        <stp>EM_S_IPO_LISTEDDATE</stp>
        <stp>1</stp>
        <stp>603157</stp>
        <tr r="AT3240" s="1"/>
      </tp>
      <tp t="s">
        <v>2010-08-20</v>
        <stp/>
        <stp>EM_S_IPO_LISTEDDATE</stp>
        <stp>1</stp>
        <stp>300106</stp>
        <tr r="AT1125" s="1"/>
      </tp>
      <tp t="s">
        <v>1998-05-27</v>
        <stp/>
        <stp>EM_S_IPO_LISTEDDATE</stp>
        <stp>1</stp>
        <stp>600156</stp>
        <tr r="AT1708" s="1"/>
      </tp>
      <tp t="s">
        <v>2007-05-30</v>
        <stp/>
        <stp>EM_S_IPO_LISTEDDATE</stp>
        <stp>1</stp>
        <stp>002136</stp>
        <tr r="AT2611" s="1"/>
      </tp>
      <tp t="s">
        <v>2018-02-12</v>
        <stp/>
        <stp>EM_S_IPO_LISTEDDATE</stp>
        <stp>1</stp>
        <stp>603156</stp>
        <tr r="AT3226" s="1"/>
      </tp>
      <tp t="s">
        <v>2010-08-06</v>
        <stp/>
        <stp>EM_S_IPO_LISTEDDATE</stp>
        <stp>1</stp>
        <stp>300101</stp>
        <tr r="AT2605" s="1"/>
      </tp>
      <tp t="s">
        <v>1998-06-05</v>
        <stp/>
        <stp>EM_S_IPO_LISTEDDATE</stp>
        <stp>1</stp>
        <stp>600151</stp>
        <tr r="AT1268" s="1"/>
      </tp>
      <tp t="s">
        <v>2007-04-27</v>
        <stp/>
        <stp>EM_S_IPO_LISTEDDATE</stp>
        <stp>1</stp>
        <stp>002131</stp>
        <tr r="AT178" s="1"/>
      </tp>
      <tp t="s">
        <v>2010-08-06</v>
        <stp/>
        <stp>EM_S_IPO_LISTEDDATE</stp>
        <stp>1</stp>
        <stp>300100</stp>
        <tr r="AT3326" s="1"/>
      </tp>
      <tp t="s">
        <v>1998-05-20</v>
        <stp/>
        <stp>EM_S_IPO_LISTEDDATE</stp>
        <stp>1</stp>
        <stp>600150</stp>
        <tr r="AT395" s="1"/>
      </tp>
      <tp t="s">
        <v>2007-04-20</v>
        <stp/>
        <stp>EM_S_IPO_LISTEDDATE</stp>
        <stp>1</stp>
        <stp>002130</stp>
        <tr r="AT517" s="1"/>
      </tp>
      <tp t="s">
        <v>2010-08-12</v>
        <stp/>
        <stp>EM_S_IPO_LISTEDDATE</stp>
        <stp>1</stp>
        <stp>300103</stp>
        <tr r="AT1115" s="1"/>
      </tp>
      <tp t="s">
        <v>1998-06-16</v>
        <stp/>
        <stp>EM_S_IPO_LISTEDDATE</stp>
        <stp>1</stp>
        <stp>600153</stp>
        <tr r="AT1100" s="1"/>
      </tp>
      <tp t="s">
        <v>2007-04-27</v>
        <stp/>
        <stp>EM_S_IPO_LISTEDDATE</stp>
        <stp>1</stp>
        <stp>002133</stp>
        <tr r="AT2546" s="1"/>
      </tp>
      <tp t="s">
        <v>2010-08-12</v>
        <stp/>
        <stp>EM_S_IPO_LISTEDDATE</stp>
        <stp>1</stp>
        <stp>300102</stp>
        <tr r="AT3006" s="1"/>
      </tp>
      <tp t="s">
        <v>1998-06-09</v>
        <stp/>
        <stp>EM_S_IPO_LISTEDDATE</stp>
        <stp>1</stp>
        <stp>600152</stp>
        <tr r="AT1376" s="1"/>
      </tp>
      <tp t="s">
        <v>2007-04-27</v>
        <stp/>
        <stp>EM_S_IPO_LISTEDDATE</stp>
        <stp>1</stp>
        <stp>002132</stp>
        <tr r="AT1461" s="1"/>
      </tp>
      <tp t="s">
        <v>2010-09-17</v>
        <stp/>
        <stp>EM_S_IPO_LISTEDDATE</stp>
        <stp>1</stp>
        <stp>300119</stp>
        <tr r="AT217" s="1"/>
      </tp>
      <tp t="s">
        <v>1999-10-14</v>
        <stp/>
        <stp>EM_S_IPO_LISTEDDATE</stp>
        <stp>1</stp>
        <stp>600149</stp>
        <tr r="AT1642" s="1"/>
      </tp>
      <tp t="s">
        <v>2007-04-20</v>
        <stp/>
        <stp>EM_S_IPO_LISTEDDATE</stp>
        <stp>1</stp>
        <stp>002129</stp>
        <tr r="AT384" s="1"/>
      </tp>
      <tp t="s">
        <v>2010-09-02</v>
        <stp/>
        <stp>EM_S_IPO_LISTEDDATE</stp>
        <stp>1</stp>
        <stp>300118</stp>
        <tr r="AT91" s="1"/>
      </tp>
      <tp t="s">
        <v>1998-05-20</v>
        <stp/>
        <stp>EM_S_IPO_LISTEDDATE</stp>
        <stp>1</stp>
        <stp>600148</stp>
        <tr r="AT2591" s="1"/>
      </tp>
      <tp t="s">
        <v>2007-04-18</v>
        <stp/>
        <stp>EM_S_IPO_LISTEDDATE</stp>
        <stp>1</stp>
        <stp>002128</stp>
        <tr r="AT1209" s="1"/>
      </tp>
      <tp t="s">
        <v>2010-09-02</v>
        <stp/>
        <stp>EM_S_IPO_LISTEDDATE</stp>
        <stp>1</stp>
        <stp>300115</stp>
        <tr r="AT125" s="1"/>
      </tp>
      <tp t="s">
        <v>1999-09-23</v>
        <stp/>
        <stp>EM_S_IPO_LISTEDDATE</stp>
        <stp>1</stp>
        <stp>600145</stp>
        <tr r="AT2293" s="1"/>
      </tp>
      <tp t="s">
        <v>2007-04-03</v>
        <stp/>
        <stp>EM_S_IPO_LISTEDDATE</stp>
        <stp>1</stp>
        <stp>002125</stp>
        <tr r="AT3120" s="1"/>
      </tp>
      <tp t="s">
        <v>2010-08-27</v>
        <stp/>
        <stp>EM_S_IPO_LISTEDDATE</stp>
        <stp>1</stp>
        <stp>300114</stp>
        <tr r="AT433" s="1"/>
      </tp>
      <tp t="s">
        <v>2007-04-03</v>
        <stp/>
        <stp>EM_S_IPO_LISTEDDATE</stp>
        <stp>1</stp>
        <stp>002124</stp>
        <tr r="AT3641" s="1"/>
      </tp>
      <tp t="s">
        <v>2010-09-02</v>
        <stp/>
        <stp>EM_S_IPO_LISTEDDATE</stp>
        <stp>1</stp>
        <stp>300117</stp>
        <tr r="AT2769" s="1"/>
      </tp>
      <tp t="s">
        <v>2007-04-18</v>
        <stp/>
        <stp>EM_S_IPO_LISTEDDATE</stp>
        <stp>1</stp>
        <stp>002127</stp>
        <tr r="AT645" s="1"/>
      </tp>
      <tp t="s">
        <v>2010-09-02</v>
        <stp/>
        <stp>EM_S_IPO_LISTEDDATE</stp>
        <stp>1</stp>
        <stp>300116</stp>
        <tr r="AT911" s="1"/>
      </tp>
      <tp t="s">
        <v>1999-07-07</v>
        <stp/>
        <stp>EM_S_IPO_LISTEDDATE</stp>
        <stp>1</stp>
        <stp>600146</stp>
        <tr r="AT192" s="1"/>
      </tp>
      <tp t="s">
        <v>2007-04-18</v>
        <stp/>
        <stp>EM_S_IPO_LISTEDDATE</stp>
        <stp>1</stp>
        <stp>002126</stp>
        <tr r="AT1836" s="1"/>
      </tp>
      <tp t="s">
        <v>2010-08-27</v>
        <stp/>
        <stp>EM_S_IPO_LISTEDDATE</stp>
        <stp>1</stp>
        <stp>300111</stp>
        <tr r="AT1403" s="1"/>
      </tp>
      <tp t="s">
        <v>1999-06-16</v>
        <stp/>
        <stp>EM_S_IPO_LISTEDDATE</stp>
        <stp>1</stp>
        <stp>600141</stp>
        <tr r="AT2269" s="1"/>
      </tp>
      <tp t="s">
        <v>2007-03-06</v>
        <stp/>
        <stp>EM_S_IPO_LISTEDDATE</stp>
        <stp>1</stp>
        <stp>002121</stp>
        <tr r="AT3639" s="1"/>
      </tp>
      <tp t="s">
        <v>2010-08-25</v>
        <stp/>
        <stp>EM_S_IPO_LISTEDDATE</stp>
        <stp>1</stp>
        <stp>300110</stp>
        <tr r="AT956" s="1"/>
      </tp>
      <tp t="s">
        <v>2007-03-06</v>
        <stp/>
        <stp>EM_S_IPO_LISTEDDATE</stp>
        <stp>1</stp>
        <stp>002120</stp>
        <tr r="AT1786" s="1"/>
      </tp>
      <tp t="s">
        <v>2010-08-27</v>
        <stp/>
        <stp>EM_S_IPO_LISTEDDATE</stp>
        <stp>1</stp>
        <stp>300113</stp>
        <tr r="AT165" s="1"/>
      </tp>
      <tp t="s">
        <v>2004-06-23</v>
        <stp/>
        <stp>EM_S_IPO_LISTEDDATE</stp>
        <stp>1</stp>
        <stp>600143</stp>
        <tr r="AT610" s="1"/>
      </tp>
      <tp t="s">
        <v>2007-03-28</v>
        <stp/>
        <stp>EM_S_IPO_LISTEDDATE</stp>
        <stp>1</stp>
        <stp>002123</stp>
        <tr r="AT78" s="1"/>
      </tp>
      <tp t="s">
        <v>2010-08-27</v>
        <stp/>
        <stp>EM_S_IPO_LISTEDDATE</stp>
        <stp>1</stp>
        <stp>300112</stp>
        <tr r="AT580" s="1"/>
      </tp>
      <tp t="s">
        <v>2007-03-28</v>
        <stp/>
        <stp>EM_S_IPO_LISTEDDATE</stp>
        <stp>1</stp>
        <stp>002122</stp>
        <tr r="AT3640" s="1"/>
      </tp>
      <tp t="s">
        <v>2000-09-26</v>
        <stp/>
        <stp>EM_S_IPO_LISTEDDATE</stp>
        <stp>1</stp>
        <stp>000159</stp>
        <tr r="AT847" s="1"/>
      </tp>
      <tp t="s">
        <v>2011-01-25</v>
        <stp/>
        <stp>EM_S_IPO_LISTEDDATE</stp>
        <stp>1</stp>
        <stp>300169</stp>
        <tr r="AT1392" s="1"/>
      </tp>
      <tp t="s">
        <v>1998-02-25</v>
        <stp/>
        <stp>EM_S_IPO_LISTEDDATE</stp>
        <stp>1</stp>
        <stp>600139</stp>
        <tr r="AT1360" s="1"/>
      </tp>
      <tp t="s">
        <v>2009-12-25</v>
        <stp/>
        <stp>EM_S_IPO_LISTEDDATE</stp>
        <stp>1</stp>
        <stp>601139</stp>
        <tr r="AT649" s="1"/>
      </tp>
      <tp t="s">
        <v>2007-08-17</v>
        <stp/>
        <stp>EM_S_IPO_LISTEDDATE</stp>
        <stp>1</stp>
        <stp>002159</stp>
        <tr r="AT3212" s="1"/>
      </tp>
      <tp t="s">
        <v>2017-04-21</v>
        <stp/>
        <stp>EM_S_IPO_LISTEDDATE</stp>
        <stp>1</stp>
        <stp>603139</stp>
        <tr r="AT1742" s="1"/>
      </tp>
      <tp t="s">
        <v>2000-07-24</v>
        <stp/>
        <stp>EM_S_IPO_LISTEDDATE</stp>
        <stp>1</stp>
        <stp>000158</stp>
        <tr r="AT3412" s="1"/>
      </tp>
      <tp t="s">
        <v>2011-01-25</v>
        <stp/>
        <stp>EM_S_IPO_LISTEDDATE</stp>
        <stp>1</stp>
        <stp>300168</stp>
        <tr r="AT960" s="1"/>
      </tp>
      <tp t="s">
        <v>1997-12-03</v>
        <stp/>
        <stp>EM_S_IPO_LISTEDDATE</stp>
        <stp>1</stp>
        <stp>600138</stp>
        <tr r="AT2400" s="1"/>
      </tp>
      <tp t="s">
        <v>2018-06-08</v>
        <stp/>
        <stp>EM_S_IPO_LISTEDDATE</stp>
        <stp>1</stp>
        <stp>601138</stp>
        <tr r="AT537" s="1"/>
      </tp>
      <tp t="s">
        <v>2007-08-17</v>
        <stp/>
        <stp>EM_S_IPO_LISTEDDATE</stp>
        <stp>1</stp>
        <stp>002158</stp>
        <tr r="AT1124" s="1"/>
      </tp>
      <tp t="s">
        <v>2017-03-06</v>
        <stp/>
        <stp>EM_S_IPO_LISTEDDATE</stp>
        <stp>1</stp>
        <stp>603138</stp>
        <tr r="AT2938" s="1"/>
      </tp>
      <tp t="s">
        <v>2000-09-26</v>
        <stp/>
        <stp>EM_S_IPO_LISTEDDATE</stp>
        <stp>1</stp>
        <stp>000155</stp>
        <tr r="AT1263" s="1"/>
      </tp>
      <tp t="s">
        <v>2011-01-25</v>
        <stp/>
        <stp>EM_S_IPO_LISTEDDATE</stp>
        <stp>1</stp>
        <stp>300165</stp>
        <tr r="AT1207" s="1"/>
      </tp>
      <tp t="s">
        <v>1998-01-22</v>
        <stp/>
        <stp>EM_S_IPO_LISTEDDATE</stp>
        <stp>1</stp>
        <stp>600135</stp>
        <tr r="AT1020" s="1"/>
      </tp>
      <tp t="s">
        <v>2007-08-16</v>
        <stp/>
        <stp>EM_S_IPO_LISTEDDATE</stp>
        <stp>1</stp>
        <stp>002155</stp>
        <tr r="AT2369" s="1"/>
      </tp>
      <tp t="s">
        <v>2011-01-13</v>
        <stp/>
        <stp>EM_S_IPO_LISTEDDATE</stp>
        <stp>1</stp>
        <stp>300164</stp>
        <tr r="AT2988" s="1"/>
      </tp>
      <tp t="s">
        <v>2007-08-16</v>
        <stp/>
        <stp>EM_S_IPO_LISTEDDATE</stp>
        <stp>1</stp>
        <stp>002154</stp>
        <tr r="AT1861" s="1"/>
      </tp>
      <tp t="s">
        <v>2000-10-12</v>
        <stp/>
        <stp>EM_S_IPO_LISTEDDATE</stp>
        <stp>1</stp>
        <stp>000157</stp>
        <tr r="AT223" s="1"/>
      </tp>
      <tp t="s">
        <v>2011-01-25</v>
        <stp/>
        <stp>EM_S_IPO_LISTEDDATE</stp>
        <stp>1</stp>
        <stp>300167</stp>
        <tr r="AT2101" s="1"/>
      </tp>
      <tp t="s">
        <v>1998-04-16</v>
        <stp/>
        <stp>EM_S_IPO_LISTEDDATE</stp>
        <stp>1</stp>
        <stp>600137</stp>
        <tr r="AT896" s="1"/>
      </tp>
      <tp t="s">
        <v>2011-01-27</v>
        <stp/>
        <stp>EM_S_IPO_LISTEDDATE</stp>
        <stp>1</stp>
        <stp>601137</stp>
        <tr r="AT356" s="1"/>
      </tp>
      <tp t="s">
        <v>2007-08-17</v>
        <stp/>
        <stp>EM_S_IPO_LISTEDDATE</stp>
        <stp>1</stp>
        <stp>002157</stp>
        <tr r="AT45" s="1"/>
      </tp>
      <tp t="s">
        <v>2000-09-06</v>
        <stp/>
        <stp>EM_S_IPO_LISTEDDATE</stp>
        <stp>1</stp>
        <stp>000156</stp>
        <tr r="AT834" s="1"/>
      </tp>
      <tp t="s">
        <v>2011-01-25</v>
        <stp/>
        <stp>EM_S_IPO_LISTEDDATE</stp>
        <stp>1</stp>
        <stp>300166</stp>
        <tr r="AT1061" s="1"/>
      </tp>
      <tp t="s">
        <v>1998-03-03</v>
        <stp/>
        <stp>EM_S_IPO_LISTEDDATE</stp>
        <stp>1</stp>
        <stp>600136</stp>
        <tr r="AT571" s="1"/>
      </tp>
      <tp t="s">
        <v>2007-08-16</v>
        <stp/>
        <stp>EM_S_IPO_LISTEDDATE</stp>
        <stp>1</stp>
        <stp>002156</stp>
        <tr r="AT102" s="1"/>
      </tp>
      <tp t="s">
        <v>2017-09-27</v>
        <stp/>
        <stp>EM_S_IPO_LISTEDDATE</stp>
        <stp>1</stp>
        <stp>603136</stp>
        <tr r="AT2787" s="1"/>
      </tp>
      <tp t="s">
        <v>2000-09-06</v>
        <stp/>
        <stp>EM_S_IPO_LISTEDDATE</stp>
        <stp>1</stp>
        <stp>000151</stp>
        <tr r="AT2041" s="1"/>
      </tp>
      <tp t="s">
        <v>2011-01-13</v>
        <stp/>
        <stp>EM_S_IPO_LISTEDDATE</stp>
        <stp>1</stp>
        <stp>300161</stp>
        <tr r="AT705" s="1"/>
      </tp>
      <tp t="s">
        <v>1998-04-02</v>
        <stp/>
        <stp>EM_S_IPO_LISTEDDATE</stp>
        <stp>1</stp>
        <stp>600131</stp>
        <tr r="AT38" s="1"/>
      </tp>
      <tp t="s">
        <v>2007-08-13</v>
        <stp/>
        <stp>EM_S_IPO_LISTEDDATE</stp>
        <stp>1</stp>
        <stp>002151</stp>
        <tr r="AT1237" s="1"/>
      </tp>
      <tp t="s">
        <v>2016-06-07</v>
        <stp/>
        <stp>EM_S_IPO_LISTEDDATE</stp>
        <stp>1</stp>
        <stp>603131</stp>
        <tr r="AT2818" s="1"/>
      </tp>
      <tp t="s">
        <v>2000-08-07</v>
        <stp/>
        <stp>EM_S_IPO_LISTEDDATE</stp>
        <stp>1</stp>
        <stp>000150</stp>
        <tr r="AT3399" s="1"/>
      </tp>
      <tp t="s">
        <v>2011-01-13</v>
        <stp/>
        <stp>EM_S_IPO_LISTEDDATE</stp>
        <stp>1</stp>
        <stp>300160</stp>
        <tr r="AT1712" s="1"/>
      </tp>
      <tp t="s">
        <v>2000-07-06</v>
        <stp/>
        <stp>EM_S_IPO_LISTEDDATE</stp>
        <stp>1</stp>
        <stp>600130</stp>
        <tr r="AT2075" s="1"/>
      </tp>
      <tp t="s">
        <v>2007-08-10</v>
        <stp/>
        <stp>EM_S_IPO_LISTEDDATE</stp>
        <stp>1</stp>
        <stp>002150</stp>
        <tr r="AT1664" s="1"/>
      </tp>
      <tp t="s">
        <v>2000-09-20</v>
        <stp/>
        <stp>EM_S_IPO_LISTEDDATE</stp>
        <stp>1</stp>
        <stp>000153</stp>
        <tr r="AT917" s="1"/>
      </tp>
      <tp t="s">
        <v>2011-01-13</v>
        <stp/>
        <stp>EM_S_IPO_LISTEDDATE</stp>
        <stp>1</stp>
        <stp>300163</stp>
        <tr r="AT1700" s="1"/>
      </tp>
      <tp t="s">
        <v>1998-02-12</v>
        <stp/>
        <stp>EM_S_IPO_LISTEDDATE</stp>
        <stp>1</stp>
        <stp>600133</stp>
        <tr r="AT2928" s="1"/>
      </tp>
      <tp t="s">
        <v>2007-08-13</v>
        <stp/>
        <stp>EM_S_IPO_LISTEDDATE</stp>
        <stp>1</stp>
        <stp>002153</stp>
        <tr r="AT541" s="1"/>
      </tp>
      <tp t="s">
        <v>2017-03-20</v>
        <stp/>
        <stp>EM_S_IPO_LISTEDDATE</stp>
        <stp>1</stp>
        <stp>603133</stp>
        <tr r="AT506" s="1"/>
      </tp>
      <tp t="s">
        <v>2011-01-13</v>
        <stp/>
        <stp>EM_S_IPO_LISTEDDATE</stp>
        <stp>1</stp>
        <stp>300162</stp>
        <tr r="AT194" s="1"/>
      </tp>
      <tp t="s">
        <v>1997-10-30</v>
        <stp/>
        <stp>EM_S_IPO_LISTEDDATE</stp>
        <stp>1</stp>
        <stp>600132</stp>
        <tr r="AT313" s="1"/>
      </tp>
      <tp t="s">
        <v>2007-08-13</v>
        <stp/>
        <stp>EM_S_IPO_LISTEDDATE</stp>
        <stp>1</stp>
        <stp>002152</stp>
        <tr r="AT279" s="1"/>
      </tp>
      <tp t="s">
        <v>2011-02-15</v>
        <stp/>
        <stp>EM_S_IPO_LISTEDDATE</stp>
        <stp>1</stp>
        <stp>300179</stp>
        <tr r="AT596" s="1"/>
      </tp>
      <tp t="s">
        <v>1997-11-18</v>
        <stp/>
        <stp>EM_S_IPO_LISTEDDATE</stp>
        <stp>1</stp>
        <stp>600129</stp>
        <tr r="AT892" s="1"/>
      </tp>
      <tp t="s">
        <v>2007-08-10</v>
        <stp/>
        <stp>EM_S_IPO_LISTEDDATE</stp>
        <stp>1</stp>
        <stp>002149</stp>
        <tr r="AT618" s="1"/>
      </tp>
      <tp t="s">
        <v>2017-08-18</v>
        <stp/>
        <stp>EM_S_IPO_LISTEDDATE</stp>
        <stp>1</stp>
        <stp>603129</stp>
        <tr r="AT76" s="1"/>
      </tp>
      <tp t="s">
        <v>2011-02-15</v>
        <stp/>
        <stp>EM_S_IPO_LISTEDDATE</stp>
        <stp>1</stp>
        <stp>300178</stp>
        <tr r="AT3346" s="1"/>
      </tp>
      <tp t="s">
        <v>1997-09-01</v>
        <stp/>
        <stp>EM_S_IPO_LISTEDDATE</stp>
        <stp>1</stp>
        <stp>600128</stp>
        <tr r="AT2583" s="1"/>
      </tp>
      <tp t="s">
        <v>2016-09-30</v>
        <stp/>
        <stp>EM_S_IPO_LISTEDDATE</stp>
        <stp>1</stp>
        <stp>601128</stp>
        <tr r="AT693" s="1"/>
      </tp>
      <tp t="s">
        <v>2007-08-10</v>
        <stp/>
        <stp>EM_S_IPO_LISTEDDATE</stp>
        <stp>1</stp>
        <stp>002148</stp>
        <tr r="AT2885" s="1"/>
      </tp>
      <tp t="s">
        <v>2012-05-29</v>
        <stp/>
        <stp>EM_S_IPO_LISTEDDATE</stp>
        <stp>1</stp>
        <stp>603128</stp>
        <tr r="AT1380" s="1"/>
      </tp>
      <tp t="s">
        <v>2011-02-15</v>
        <stp/>
        <stp>EM_S_IPO_LISTEDDATE</stp>
        <stp>1</stp>
        <stp>300175</stp>
        <tr r="AT630" s="1"/>
      </tp>
      <tp t="s">
        <v>1998-05-11</v>
        <stp/>
        <stp>EM_S_IPO_LISTEDDATE</stp>
        <stp>1</stp>
        <stp>600125</stp>
        <tr r="AT2904" s="1"/>
      </tp>
      <tp t="s">
        <v>2007-08-03</v>
        <stp/>
        <stp>EM_S_IPO_LISTEDDATE</stp>
        <stp>1</stp>
        <stp>002145</stp>
        <tr r="AT805" s="1"/>
      </tp>
      <tp t="s">
        <v>2011-02-01</v>
        <stp/>
        <stp>EM_S_IPO_LISTEDDATE</stp>
        <stp>1</stp>
        <stp>300174</stp>
        <tr r="AT701" s="1"/>
      </tp>
      <tp t="s">
        <v>2007-08-03</v>
        <stp/>
        <stp>EM_S_IPO_LISTEDDATE</stp>
        <stp>1</stp>
        <stp>002144</stp>
        <tr r="AT2202" s="1"/>
      </tp>
      <tp t="s">
        <v>2011-02-15</v>
        <stp/>
        <stp>EM_S_IPO_LISTEDDATE</stp>
        <stp>1</stp>
        <stp>300177</stp>
        <tr r="AT2865" s="1"/>
      </tp>
      <tp t="s">
        <v>1998-05-06</v>
        <stp/>
        <stp>EM_S_IPO_LISTEDDATE</stp>
        <stp>1</stp>
        <stp>600127</stp>
        <tr r="AT762" s="1"/>
      </tp>
      <tp t="s">
        <v>2016-06-15</v>
        <stp/>
        <stp>EM_S_IPO_LISTEDDATE</stp>
        <stp>1</stp>
        <stp>601127</stp>
        <tr r="AT3258" s="1"/>
      </tp>
      <tp t="s">
        <v>2007-08-08</v>
        <stp/>
        <stp>EM_S_IPO_LISTEDDATE</stp>
        <stp>1</stp>
        <stp>002147</stp>
        <tr r="AT3244" s="1"/>
      </tp>
      <tp t="s">
        <v>2017-08-25</v>
        <stp/>
        <stp>EM_S_IPO_LISTEDDATE</stp>
        <stp>1</stp>
        <stp>603127</stp>
        <tr r="AT1307" s="1"/>
      </tp>
      <tp t="s">
        <v>2011-02-15</v>
        <stp/>
        <stp>EM_S_IPO_LISTEDDATE</stp>
        <stp>1</stp>
        <stp>300176</stp>
        <tr r="AT3402" s="1"/>
      </tp>
      <tp t="s">
        <v>1998-03-11</v>
        <stp/>
        <stp>EM_S_IPO_LISTEDDATE</stp>
        <stp>1</stp>
        <stp>600126</stp>
        <tr r="AT1866" s="1"/>
      </tp>
      <tp t="s">
        <v>2010-12-31</v>
        <stp/>
        <stp>EM_S_IPO_LISTEDDATE</stp>
        <stp>1</stp>
        <stp>601126</stp>
        <tr r="AT1793" s="1"/>
      </tp>
      <tp t="s">
        <v>2007-08-08</v>
        <stp/>
        <stp>EM_S_IPO_LISTEDDATE</stp>
        <stp>1</stp>
        <stp>002146</stp>
        <tr r="AT1173" s="1"/>
      </tp>
      <tp t="s">
        <v>2014-07-31</v>
        <stp/>
        <stp>EM_S_IPO_LISTEDDATE</stp>
        <stp>1</stp>
        <stp>603126</stp>
        <tr r="AT2549" s="1"/>
      </tp>
      <tp t="s">
        <v>2011-02-01</v>
        <stp/>
        <stp>EM_S_IPO_LISTEDDATE</stp>
        <stp>1</stp>
        <stp>300171</stp>
        <tr r="AT2262" s="1"/>
      </tp>
      <tp t="s">
        <v>1998-01-07</v>
        <stp/>
        <stp>EM_S_IPO_LISTEDDATE</stp>
        <stp>1</stp>
        <stp>600121</stp>
        <tr r="AT3036" s="1"/>
      </tp>
      <tp t="s">
        <v>2007-07-20</v>
        <stp/>
        <stp>EM_S_IPO_LISTEDDATE</stp>
        <stp>1</stp>
        <stp>002141</stp>
        <tr r="AT2946" s="1"/>
      </tp>
      <tp t="s">
        <v>2011-02-01</v>
        <stp/>
        <stp>EM_S_IPO_LISTEDDATE</stp>
        <stp>1</stp>
        <stp>300170</stp>
        <tr r="AT2376" s="1"/>
      </tp>
      <tp t="s">
        <v>1997-12-01</v>
        <stp/>
        <stp>EM_S_IPO_LISTEDDATE</stp>
        <stp>1</stp>
        <stp>600120</stp>
        <tr r="AT3210" s="1"/>
      </tp>
      <tp t="s">
        <v>2007-07-12</v>
        <stp/>
        <stp>EM_S_IPO_LISTEDDATE</stp>
        <stp>1</stp>
        <stp>002140</stp>
        <tr r="AT1194" s="1"/>
      </tp>
      <tp t="s">
        <v>2011-02-01</v>
        <stp/>
        <stp>EM_S_IPO_LISTEDDATE</stp>
        <stp>1</stp>
        <stp>300173</stp>
        <tr r="AT450" s="1"/>
      </tp>
      <tp t="s">
        <v>1998-12-17</v>
        <stp/>
        <stp>EM_S_IPO_LISTEDDATE</stp>
        <stp>1</stp>
        <stp>600123</stp>
        <tr r="AT2399" s="1"/>
      </tp>
      <tp t="s">
        <v>2007-07-20</v>
        <stp/>
        <stp>EM_S_IPO_LISTEDDATE</stp>
        <stp>1</stp>
        <stp>002143</stp>
        <tr r="AT3411" s="1"/>
      </tp>
      <tp t="s">
        <v>2012-05-03</v>
        <stp/>
        <stp>EM_S_IPO_LISTEDDATE</stp>
        <stp>1</stp>
        <stp>603123</stp>
        <tr r="AT1396" s="1"/>
      </tp>
      <tp t="s">
        <v>2011-02-01</v>
        <stp/>
        <stp>EM_S_IPO_LISTEDDATE</stp>
        <stp>1</stp>
        <stp>300172</stp>
        <tr r="AT2415" s="1"/>
      </tp>
      <tp t="s">
        <v>1998-04-20</v>
        <stp/>
        <stp>EM_S_IPO_LISTEDDATE</stp>
        <stp>1</stp>
        <stp>600122</stp>
        <tr r="AT3190" s="1"/>
      </tp>
      <tp t="s">
        <v>2007-07-19</v>
        <stp/>
        <stp>EM_S_IPO_LISTEDDATE</stp>
        <stp>1</stp>
        <stp>002142</stp>
        <tr r="AT303" s="1"/>
      </tp>
      <tp t="s">
        <v>2010-12-22</v>
        <stp/>
        <stp>EM_S_IPO_LISTEDDATE</stp>
        <stp>1</stp>
        <stp>300149</stp>
        <tr r="AT2776" s="1"/>
      </tp>
      <tp t="s">
        <v>1998-01-15</v>
        <stp/>
        <stp>EM_S_IPO_LISTEDDATE</stp>
        <stp>1</stp>
        <stp>600119</stp>
        <tr r="AT3176" s="1"/>
      </tp>
      <tp t="s">
        <v>2007-11-01</v>
        <stp/>
        <stp>EM_S_IPO_LISTEDDATE</stp>
        <stp>1</stp>
        <stp>002179</stp>
        <tr r="AT1453" s="1"/>
      </tp>
      <tp t="s">
        <v>2010-12-15</v>
        <stp/>
        <stp>EM_S_IPO_LISTEDDATE</stp>
        <stp>1</stp>
        <stp>300148</stp>
        <tr r="AT2790" s="1"/>
      </tp>
      <tp t="s">
        <v>1997-09-08</v>
        <stp/>
        <stp>EM_S_IPO_LISTEDDATE</stp>
        <stp>1</stp>
        <stp>600118</stp>
        <tr r="AT1129" s="1"/>
      </tp>
      <tp t="s">
        <v>2011-01-07</v>
        <stp/>
        <stp>EM_S_IPO_LISTEDDATE</stp>
        <stp>1</stp>
        <stp>601118</stp>
        <tr r="AT1724" s="1"/>
      </tp>
      <tp t="s">
        <v>2007-11-01</v>
        <stp/>
        <stp>EM_S_IPO_LISTEDDATE</stp>
        <stp>1</stp>
        <stp>002178</stp>
        <tr r="AT1588" s="1"/>
      </tp>
      <tp t="s">
        <v>2015-02-25</v>
        <stp/>
        <stp>EM_S_IPO_LISTEDDATE</stp>
        <stp>1</stp>
        <stp>603118</stp>
        <tr r="AT261" s="1"/>
      </tp>
      <tp t="s">
        <v>2010-12-09</v>
        <stp/>
        <stp>EM_S_IPO_LISTEDDATE</stp>
        <stp>1</stp>
        <stp>300145</stp>
        <tr r="AT1801" s="1"/>
      </tp>
      <tp t="s">
        <v>1997-11-05</v>
        <stp/>
        <stp>EM_S_IPO_LISTEDDATE</stp>
        <stp>1</stp>
        <stp>600115</stp>
        <tr r="AT1172" s="1"/>
      </tp>
      <tp t="s">
        <v>2007-10-12</v>
        <stp/>
        <stp>EM_S_IPO_LISTEDDATE</stp>
        <stp>1</stp>
        <stp>002175</stp>
        <tr r="AT3335" s="1"/>
      </tp>
      <tp t="s">
        <v>2010-12-09</v>
        <stp/>
        <stp>EM_S_IPO_LISTEDDATE</stp>
        <stp>1</stp>
        <stp>300144</stp>
        <tr r="AT664" s="1"/>
      </tp>
      <tp t="s">
        <v>2004-05-11</v>
        <stp/>
        <stp>EM_S_IPO_LISTEDDATE</stp>
        <stp>1</stp>
        <stp>600114</stp>
        <tr r="AT729" s="1"/>
      </tp>
      <tp t="s">
        <v>2007-09-25</v>
        <stp/>
        <stp>EM_S_IPO_LISTEDDATE</stp>
        <stp>1</stp>
        <stp>002174</stp>
        <tr r="AT1138" s="1"/>
      </tp>
      <tp t="s">
        <v>2010-12-15</v>
        <stp/>
        <stp>EM_S_IPO_LISTEDDATE</stp>
        <stp>1</stp>
        <stp>300147</stp>
        <tr r="AT905" s="1"/>
      </tp>
      <tp t="s">
        <v>1997-10-15</v>
        <stp/>
        <stp>EM_S_IPO_LISTEDDATE</stp>
        <stp>1</stp>
        <stp>600117</stp>
        <tr r="AT2068" s="1"/>
      </tp>
      <tp t="s">
        <v>2010-01-07</v>
        <stp/>
        <stp>EM_S_IPO_LISTEDDATE</stp>
        <stp>1</stp>
        <stp>601117</stp>
        <tr r="AT1279" s="1"/>
      </tp>
      <tp t="s">
        <v>2007-11-01</v>
        <stp/>
        <stp>EM_S_IPO_LISTEDDATE</stp>
        <stp>1</stp>
        <stp>002177</stp>
        <tr r="AT284" s="1"/>
      </tp>
      <tp t="s">
        <v>2015-06-29</v>
        <stp/>
        <stp>EM_S_IPO_LISTEDDATE</stp>
        <stp>1</stp>
        <stp>603117</stp>
        <tr r="AT1955" s="1"/>
      </tp>
      <tp t="s">
        <v>2010-12-15</v>
        <stp/>
        <stp>EM_S_IPO_LISTEDDATE</stp>
        <stp>1</stp>
        <stp>300146</stp>
        <tr r="AT2523" s="1"/>
      </tp>
      <tp t="s">
        <v>1997-08-04</v>
        <stp/>
        <stp>EM_S_IPO_LISTEDDATE</stp>
        <stp>1</stp>
        <stp>600116</stp>
        <tr r="AT2123" s="1"/>
      </tp>
      <tp t="s">
        <v>2011-03-02</v>
        <stp/>
        <stp>EM_S_IPO_LISTEDDATE</stp>
        <stp>1</stp>
        <stp>601116</stp>
        <tr r="AT1294" s="1"/>
      </tp>
      <tp t="s">
        <v>2007-10-12</v>
        <stp/>
        <stp>EM_S_IPO_LISTEDDATE</stp>
        <stp>1</stp>
        <stp>002176</stp>
        <tr r="AT3286" s="1"/>
      </tp>
      <tp t="s">
        <v>2015-06-29</v>
        <stp/>
        <stp>EM_S_IPO_LISTEDDATE</stp>
        <stp>1</stp>
        <stp>603116</stp>
        <tr r="AT2418" s="1"/>
      </tp>
      <tp t="s">
        <v>2010-11-12</v>
        <stp/>
        <stp>EM_S_IPO_LISTEDDATE</stp>
        <stp>1</stp>
        <stp>300141</stp>
        <tr r="AT2371" s="1"/>
      </tp>
      <tp t="s">
        <v>1997-09-24</v>
        <stp/>
        <stp>EM_S_IPO_LISTEDDATE</stp>
        <stp>1</stp>
        <stp>600111</stp>
        <tr r="AT1118" s="1"/>
      </tp>
      <tp t="s">
        <v>2006-08-18</v>
        <stp/>
        <stp>EM_S_IPO_LISTEDDATE</stp>
        <stp>1</stp>
        <stp>601111</stp>
        <tr r="AT1102" s="1"/>
      </tp>
      <tp t="s">
        <v>2007-09-21</v>
        <stp/>
        <stp>EM_S_IPO_LISTEDDATE</stp>
        <stp>1</stp>
        <stp>002171</stp>
        <tr r="AT435" s="1"/>
      </tp>
      <tp t="s">
        <v>2014-08-01</v>
        <stp/>
        <stp>EM_S_IPO_LISTEDDATE</stp>
        <stp>1</stp>
        <stp>603111</stp>
        <tr r="AT948" s="1"/>
      </tp>
      <tp t="s">
        <v>2010-11-12</v>
        <stp/>
        <stp>EM_S_IPO_LISTEDDATE</stp>
        <stp>1</stp>
        <stp>300140</stp>
        <tr r="AT1419" s="1"/>
      </tp>
      <tp t="s">
        <v>1997-10-07</v>
        <stp/>
        <stp>EM_S_IPO_LISTEDDATE</stp>
        <stp>1</stp>
        <stp>600110</stp>
        <tr r="AT1434" s="1"/>
      </tp>
      <tp t="s">
        <v>2007-09-19</v>
        <stp/>
        <stp>EM_S_IPO_LISTEDDATE</stp>
        <stp>1</stp>
        <stp>002170</stp>
        <tr r="AT1698" s="1"/>
      </tp>
      <tp t="s">
        <v>2017-10-13</v>
        <stp/>
        <stp>EM_S_IPO_LISTEDDATE</stp>
        <stp>1</stp>
        <stp>603110</stp>
        <tr r="AT453" s="1"/>
      </tp>
      <tp t="s">
        <v>2010-12-09</v>
        <stp/>
        <stp>EM_S_IPO_LISTEDDATE</stp>
        <stp>1</stp>
        <stp>300143</stp>
        <tr r="AT2121" s="1"/>
      </tp>
      <tp t="s">
        <v>1997-10-21</v>
        <stp/>
        <stp>EM_S_IPO_LISTEDDATE</stp>
        <stp>1</stp>
        <stp>600113</stp>
        <tr r="AT2268" s="1"/>
      </tp>
      <tp t="s">
        <v>2011-05-09</v>
        <stp/>
        <stp>EM_S_IPO_LISTEDDATE</stp>
        <stp>1</stp>
        <stp>601113</stp>
        <tr r="AT3390" s="1"/>
      </tp>
      <tp t="s">
        <v>2007-09-25</v>
        <stp/>
        <stp>EM_S_IPO_LISTEDDATE</stp>
        <stp>1</stp>
        <stp>002173</stp>
        <tr r="AT2881" s="1"/>
      </tp>
      <tp t="s">
        <v>2017-05-11</v>
        <stp/>
        <stp>EM_S_IPO_LISTEDDATE</stp>
        <stp>1</stp>
        <stp>603113</stp>
        <tr r="AT2475" s="1"/>
      </tp>
      <tp t="s">
        <v>2010-11-12</v>
        <stp/>
        <stp>EM_S_IPO_LISTEDDATE</stp>
        <stp>1</stp>
        <stp>300142</stp>
        <tr r="AT360" s="1"/>
      </tp>
      <tp t="s">
        <v>1997-11-27</v>
        <stp/>
        <stp>EM_S_IPO_LISTEDDATE</stp>
        <stp>1</stp>
        <stp>600112</stp>
        <tr r="AT3347" s="1"/>
      </tp>
      <tp t="s">
        <v>2007-09-21</v>
        <stp/>
        <stp>EM_S_IPO_LISTEDDATE</stp>
        <stp>1</stp>
        <stp>002172</stp>
        <tr r="AT2424" s="1"/>
      </tp>
      <tp t="s">
        <v>2011-01-07</v>
        <stp/>
        <stp>EM_S_IPO_LISTEDDATE</stp>
        <stp>1</stp>
        <stp>300159</stp>
        <tr r="AT2909" s="1"/>
      </tp>
      <tp t="s">
        <v>1997-08-07</v>
        <stp/>
        <stp>EM_S_IPO_LISTEDDATE</stp>
        <stp>1</stp>
        <stp>600109</stp>
        <tr r="AT918" s="1"/>
      </tp>
      <tp t="s">
        <v>2007-09-19</v>
        <stp/>
        <stp>EM_S_IPO_LISTEDDATE</stp>
        <stp>1</stp>
        <stp>002169</stp>
        <tr r="AT182" s="1"/>
      </tp>
      <tp t="s">
        <v>2011-01-07</v>
        <stp/>
        <stp>EM_S_IPO_LISTEDDATE</stp>
        <stp>1</stp>
        <stp>300158</stp>
        <tr r="AT1236" s="1"/>
      </tp>
      <tp t="s">
        <v>1997-08-18</v>
        <stp/>
        <stp>EM_S_IPO_LISTEDDATE</stp>
        <stp>1</stp>
        <stp>600108</stp>
        <tr r="AT1790" s="1"/>
      </tp>
      <tp t="s">
        <v>2017-10-24</v>
        <stp/>
        <stp>EM_S_IPO_LISTEDDATE</stp>
        <stp>1</stp>
        <stp>601108</stp>
        <tr r="AT471" s="1"/>
      </tp>
      <tp t="s">
        <v>2007-09-19</v>
        <stp/>
        <stp>EM_S_IPO_LISTEDDATE</stp>
        <stp>1</stp>
        <stp>002168</stp>
        <tr r="AT3021" s="1"/>
      </tp>
      <tp t="s">
        <v>2015-05-27</v>
        <stp/>
        <stp>EM_S_IPO_LISTEDDATE</stp>
        <stp>1</stp>
        <stp>603108</stp>
        <tr r="AT803" s="1"/>
      </tp>
      <tp t="s">
        <v>2011-01-07</v>
        <stp/>
        <stp>EM_S_IPO_LISTEDDATE</stp>
        <stp>1</stp>
        <stp>300155</stp>
        <tr r="AT1092" s="1"/>
      </tp>
      <tp t="s">
        <v>1997-09-29</v>
        <stp/>
        <stp>EM_S_IPO_LISTEDDATE</stp>
        <stp>1</stp>
        <stp>600105</stp>
        <tr r="AT1397" s="1"/>
      </tp>
      <tp t="s">
        <v>2007-09-13</v>
        <stp/>
        <stp>EM_S_IPO_LISTEDDATE</stp>
        <stp>1</stp>
        <stp>002165</stp>
        <tr r="AT1121" s="1"/>
      </tp>
      <tp t="s">
        <v>2018-07-09</v>
        <stp/>
        <stp>EM_S_IPO_LISTEDDATE</stp>
        <stp>1</stp>
        <stp>603105</stp>
        <tr r="AT3344" s="1"/>
      </tp>
      <tp t="s">
        <v>2010-12-29</v>
        <stp/>
        <stp>EM_S_IPO_LISTEDDATE</stp>
        <stp>1</stp>
        <stp>300154</stp>
        <tr r="AT1433" s="1"/>
      </tp>
      <tp t="s">
        <v>1997-11-25</v>
        <stp/>
        <stp>EM_S_IPO_LISTEDDATE</stp>
        <stp>1</stp>
        <stp>600104</stp>
        <tr r="AT2780" s="1"/>
      </tp>
      <tp t="s">
        <v>2007-08-23</v>
        <stp/>
        <stp>EM_S_IPO_LISTEDDATE</stp>
        <stp>1</stp>
        <stp>002164</stp>
        <tr r="AT733" s="1"/>
      </tp>
      <tp t="s">
        <v>2011-01-07</v>
        <stp/>
        <stp>EM_S_IPO_LISTEDDATE</stp>
        <stp>1</stp>
        <stp>300157</stp>
        <tr r="AT2441" s="1"/>
      </tp>
      <tp t="s">
        <v>1997-11-06</v>
        <stp/>
        <stp>EM_S_IPO_LISTEDDATE</stp>
        <stp>1</stp>
        <stp>600107</stp>
        <tr r="AT1238" s="1"/>
      </tp>
      <tp t="s">
        <v>2009-07-27</v>
        <stp/>
        <stp>EM_S_IPO_LISTEDDATE</stp>
        <stp>1</stp>
        <stp>601107</stp>
        <tr r="AT1498" s="1"/>
      </tp>
      <tp t="s">
        <v>2007-09-13</v>
        <stp/>
        <stp>EM_S_IPO_LISTEDDATE</stp>
        <stp>1</stp>
        <stp>002167</stp>
        <tr r="AT860" s="1"/>
      </tp>
      <tp t="s">
        <v>2015-01-26</v>
        <stp/>
        <stp>EM_S_IPO_LISTEDDATE</stp>
        <stp>1</stp>
        <stp>000166</stp>
        <tr r="AT3413" s="1"/>
      </tp>
      <tp t="s">
        <v>2011-01-07</v>
        <stp/>
        <stp>EM_S_IPO_LISTEDDATE</stp>
        <stp>1</stp>
        <stp>300156</stp>
        <tr r="AT3381" s="1"/>
      </tp>
      <tp t="s">
        <v>1997-06-18</v>
        <stp/>
        <stp>EM_S_IPO_LISTEDDATE</stp>
        <stp>1</stp>
        <stp>600106</stp>
        <tr r="AT2193" s="1"/>
      </tp>
      <tp t="s">
        <v>2010-02-09</v>
        <stp/>
        <stp>EM_S_IPO_LISTEDDATE</stp>
        <stp>1</stp>
        <stp>601106</stp>
        <tr r="AT1844" s="1"/>
      </tp>
      <tp t="s">
        <v>2007-09-13</v>
        <stp/>
        <stp>EM_S_IPO_LISTEDDATE</stp>
        <stp>1</stp>
        <stp>002166</stp>
        <tr r="AT1282" s="1"/>
      </tp>
      <tp t="s">
        <v>2017-09-20</v>
        <stp/>
        <stp>EM_S_IPO_LISTEDDATE</stp>
        <stp>1</stp>
        <stp>603106</stp>
        <tr r="AT2923" s="1"/>
      </tp>
      <tp t="s">
        <v>2010-12-22</v>
        <stp/>
        <stp>EM_S_IPO_LISTEDDATE</stp>
        <stp>1</stp>
        <stp>300151</stp>
        <tr r="AT378" s="1"/>
      </tp>
      <tp t="s">
        <v>1997-06-27</v>
        <stp/>
        <stp>EM_S_IPO_LISTEDDATE</stp>
        <stp>1</stp>
        <stp>600101</stp>
        <tr r="AT1988" s="1"/>
      </tp>
      <tp t="s">
        <v>2010-03-31</v>
        <stp/>
        <stp>EM_S_IPO_LISTEDDATE</stp>
        <stp>1</stp>
        <stp>601101</stp>
        <tr r="AT3038" s="1"/>
      </tp>
      <tp t="s">
        <v>2007-08-21</v>
        <stp/>
        <stp>EM_S_IPO_LISTEDDATE</stp>
        <stp>1</stp>
        <stp>002161</stp>
        <tr r="AT278" s="1"/>
      </tp>
      <tp t="s">
        <v>2016-05-06</v>
        <stp/>
        <stp>EM_S_IPO_LISTEDDATE</stp>
        <stp>1</stp>
        <stp>603101</stp>
        <tr r="AT3340" s="1"/>
      </tp>
      <tp t="s">
        <v>2010-12-22</v>
        <stp/>
        <stp>EM_S_IPO_LISTEDDATE</stp>
        <stp>1</stp>
        <stp>300150</stp>
        <tr r="AT2203" s="1"/>
      </tp>
      <tp t="s">
        <v>1997-06-27</v>
        <stp/>
        <stp>EM_S_IPO_LISTEDDATE</stp>
        <stp>1</stp>
        <stp>600100</stp>
        <tr r="AT2791" s="1"/>
      </tp>
      <tp t="s">
        <v>2011-10-28</v>
        <stp/>
        <stp>EM_S_IPO_LISTEDDATE</stp>
        <stp>1</stp>
        <stp>601100</stp>
        <tr r="AT79" s="1"/>
      </tp>
      <tp t="s">
        <v>2007-08-21</v>
        <stp/>
        <stp>EM_S_IPO_LISTEDDATE</stp>
        <stp>1</stp>
        <stp>002160</stp>
        <tr r="AT3009" s="1"/>
      </tp>
      <tp t="s">
        <v>2014-08-05</v>
        <stp/>
        <stp>EM_S_IPO_LISTEDDATE</stp>
        <stp>1</stp>
        <stp>603100</stp>
        <tr r="AT1357" s="1"/>
      </tp>
      <tp t="s">
        <v>2010-12-29</v>
        <stp/>
        <stp>EM_S_IPO_LISTEDDATE</stp>
        <stp>1</stp>
        <stp>300153</stp>
        <tr r="AT2698" s="1"/>
      </tp>
      <tp t="s">
        <v>1997-07-03</v>
        <stp/>
        <stp>EM_S_IPO_LISTEDDATE</stp>
        <stp>1</stp>
        <stp>600103</stp>
        <tr r="AT3018" s="1"/>
      </tp>
      <tp t="s">
        <v>2007-08-23</v>
        <stp/>
        <stp>EM_S_IPO_LISTEDDATE</stp>
        <stp>1</stp>
        <stp>002163</stp>
        <tr r="AT1572" s="1"/>
      </tp>
      <tp t="s">
        <v>2017-10-12</v>
        <stp/>
        <stp>EM_S_IPO_LISTEDDATE</stp>
        <stp>1</stp>
        <stp>603103</stp>
        <tr r="AT2987" s="1"/>
      </tp>
      <tp t="s">
        <v>2010-12-29</v>
        <stp/>
        <stp>EM_S_IPO_LISTEDDATE</stp>
        <stp>1</stp>
        <stp>300152</stp>
        <tr r="AT897" s="1"/>
      </tp>
      <tp t="s">
        <v>1997-08-28</v>
        <stp/>
        <stp>EM_S_IPO_LISTEDDATE</stp>
        <stp>1</stp>
        <stp>600102</stp>
        <tr r="AT2292" s="1"/>
      </tp>
      <tp t="s">
        <v>2007-08-23</v>
        <stp/>
        <stp>EM_S_IPO_LISTEDDATE</stp>
        <stp>1</stp>
        <stp>002162</stp>
        <tr r="AT1080" s="1"/>
      </tp>
      <tp>
        <v>0.15635846212602189</v>
        <stp/>
        <stp>EM_S_RATIO_EPS_TTM</stp>
        <stp>3</stp>
        <stp>603009</stp>
        <stp>12/31/2018</stp>
        <stp>1</stp>
        <tr r="U1875" s="1"/>
      </tp>
      <tp>
        <v>0.32701504719999996</v>
        <stp/>
        <stp>EM_S_RATIO_EPS_TTM</stp>
        <stp>3</stp>
        <stp>603309</stp>
        <stp>12/31/2018</stp>
        <stp>1</stp>
        <tr r="U620" s="1"/>
      </tp>
      <tp>
        <v>1.04717523625</v>
        <stp/>
        <stp>EM_S_RATIO_EPS_TTM</stp>
        <stp>3</stp>
        <stp>603709</stp>
        <stp>12/31/2018</stp>
        <stp>1</stp>
        <tr r="U2206" s="1"/>
      </tp>
      <tp>
        <v>0.66403301697656703</v>
        <stp/>
        <stp>EM_S_RATIO_EPS_TTM</stp>
        <stp>3</stp>
        <stp>603609</stp>
        <stp>12/31/2018</stp>
        <stp>1</stp>
        <tr r="U548" s="1"/>
      </tp>
      <tp>
        <v>0.66239779873170734</v>
        <stp/>
        <stp>EM_S_RATIO_EPS_TTM</stp>
        <stp>3</stp>
        <stp>603909</stp>
        <stp>12/31/2018</stp>
        <stp>1</stp>
        <tr r="U3356" s="1"/>
      </tp>
      <tp>
        <v>1.0779534427941984</v>
        <stp/>
        <stp>EM_S_RATIO_EPS_TTM</stp>
        <stp>3</stp>
        <stp>603809</stp>
        <stp>12/31/2018</stp>
        <stp>1</stp>
        <tr r="U3285" s="1"/>
      </tp>
      <tp>
        <v>0.10018219338492033</v>
        <stp/>
        <stp>EM_S_RATIO_EPS_TTM</stp>
        <stp>3</stp>
        <stp>002169</stp>
        <stp>12/31/2018</stp>
        <stp>1</stp>
        <tr r="U182" s="1"/>
      </tp>
      <tp>
        <v>4.5153484261584748E-2</v>
        <stp/>
        <stp>EM_S_RATIO_EPS_TTM</stp>
        <stp>3</stp>
        <stp>002069</stp>
        <stp>12/31/2018</stp>
        <stp>1</stp>
        <tr r="U3621" s="1"/>
      </tp>
      <tp>
        <v>-0.17725806855915163</v>
        <stp/>
        <stp>EM_S_RATIO_EPS_TTM</stp>
        <stp>3</stp>
        <stp>002369</stp>
        <stp>12/31/2018</stp>
        <stp>1</stp>
        <tr r="U1109" s="1"/>
      </tp>
      <tp>
        <v>1.6064306865671642E-2</v>
        <stp/>
        <stp>EM_S_RATIO_EPS_TTM</stp>
        <stp>3</stp>
        <stp>002269</stp>
        <stp>12/31/2018</stp>
        <stp>1</stp>
        <tr r="U1454" s="1"/>
      </tp>
      <tp>
        <v>-1.3772028486536676</v>
        <stp/>
        <stp>EM_S_RATIO_EPS_TTM</stp>
        <stp>3</stp>
        <stp>002569</stp>
        <stp>12/31/2018</stp>
        <stp>1</stp>
        <tr r="U2052" s="1"/>
      </tp>
      <tp>
        <v>7.9463139072282279E-2</v>
        <stp/>
        <stp>EM_S_RATIO_EPS_TTM</stp>
        <stp>3</stp>
        <stp>002469</stp>
        <stp>12/31/2018</stp>
        <stp>1</stp>
        <tr r="U1922" s="1"/>
      </tp>
      <tp>
        <v>0.27352691458634892</v>
        <stp/>
        <stp>EM_S_RATIO_EPS_TTM</stp>
        <stp>3</stp>
        <stp>002769</stp>
        <stp>12/31/2018</stp>
        <stp>1</stp>
        <tr r="U2989" s="1"/>
      </tp>
      <tp>
        <v>0.33360859428241668</v>
        <stp/>
        <stp>EM_S_RATIO_EPS_TTM</stp>
        <stp>3</stp>
        <stp>002669</stp>
        <stp>12/31/2018</stp>
        <stp>1</stp>
        <tr r="U830" s="1"/>
      </tp>
      <tp>
        <v>0.18377861281833616</v>
        <stp/>
        <stp>EM_S_RATIO_EPS_TTM</stp>
        <stp>3</stp>
        <stp>002869</stp>
        <stp>12/31/2018</stp>
        <stp>1</stp>
        <tr r="U26" s="1"/>
      </tp>
      <tp>
        <v>1.3054279144313039</v>
        <stp/>
        <stp>EM_S_RATIO_EPS_TTM</stp>
        <stp>3</stp>
        <stp>601009</stp>
        <stp>12/31/2018</stp>
        <stp>1</stp>
        <tr r="U813" s="1"/>
      </tp>
      <tp>
        <v>0.19947289702251458</v>
        <stp/>
        <stp>EM_S_RATIO_EPS_TTM</stp>
        <stp>3</stp>
        <stp>300159</stp>
        <stp>12/31/2018</stp>
        <stp>1</stp>
        <tr r="U2909" s="1"/>
      </tp>
      <tp>
        <v>0.33411788212426391</v>
        <stp/>
        <stp>EM_S_RATIO_EPS_TTM</stp>
        <stp>3</stp>
        <stp>600109</stp>
        <stp>12/31/2018</stp>
        <stp>1</stp>
        <tr r="U918" s="1"/>
      </tp>
      <tp>
        <v>1.2906832621455648</v>
        <stp/>
        <stp>EM_S_RATIO_EPS_TTM</stp>
        <stp>3</stp>
        <stp>000069</stp>
        <stp>12/31/2018</stp>
        <stp>1</stp>
        <tr r="U986" s="1"/>
      </tp>
      <tp>
        <v>0.18549584785999765</v>
        <stp/>
        <stp>EM_S_RATIO_EPS_TTM</stp>
        <stp>3</stp>
        <stp>300059</stp>
        <stp>12/31/2018</stp>
        <stp>1</stp>
        <tr r="U916" s="1"/>
      </tp>
      <tp>
        <v>2.1959124439252049</v>
        <stp/>
        <stp>EM_S_RATIO_EPS_TTM</stp>
        <stp>3</stp>
        <stp>600009</stp>
        <stp>12/31/2018</stp>
        <stp>1</stp>
        <tr r="U511" s="1"/>
      </tp>
      <tp>
        <v>-1.038129810994924</v>
        <stp/>
        <stp>EM_S_RATIO_EPS_TTM</stp>
        <stp>3</stp>
        <stp>300359</stp>
        <stp>12/31/2018</stp>
        <stp>1</stp>
        <tr r="U2431" s="1"/>
      </tp>
      <tp>
        <v>3.8808815596254704</v>
        <stp/>
        <stp>EM_S_RATIO_EPS_TTM</stp>
        <stp>3</stp>
        <stp>600309</stp>
        <stp>12/31/2018</stp>
        <stp>1</stp>
        <tr r="U168" s="1"/>
      </tp>
      <tp>
        <v>0.12682157299699917</v>
        <stp/>
        <stp>EM_S_RATIO_EPS_TTM</stp>
        <stp>3</stp>
        <stp>300259</stp>
        <stp>12/31/2018</stp>
        <stp>1</stp>
        <tr r="U399" s="1"/>
      </tp>
      <tp>
        <v>1.8847804849356806E-2</v>
        <stp/>
        <stp>EM_S_RATIO_EPS_TTM</stp>
        <stp>3</stp>
        <stp>600209</stp>
        <stp>12/31/2018</stp>
        <stp>1</stp>
        <tr r="U3022" s="1"/>
      </tp>
      <tp>
        <v>-0.74876807402439249</v>
        <stp/>
        <stp>EM_S_RATIO_EPS_TTM</stp>
        <stp>3</stp>
        <stp>000569</stp>
        <stp>12/31/2018</stp>
        <stp>1</stp>
        <tr r="U3460" s="1"/>
      </tp>
      <tp>
        <v>0.88376148546202726</v>
        <stp/>
        <stp>EM_S_RATIO_EPS_TTM</stp>
        <stp>3</stp>
        <stp>300559</stp>
        <stp>12/31/2018</stp>
        <stp>1</stp>
        <tr r="U2942" s="1"/>
      </tp>
      <tp>
        <v>4.3028343202510103E-2</v>
        <stp/>
        <stp>EM_S_RATIO_EPS_TTM</stp>
        <stp>3</stp>
        <stp>600509</stp>
        <stp>12/31/2018</stp>
        <stp>1</stp>
        <tr r="U2207" s="1"/>
      </tp>
      <tp>
        <v>0.42717861419015052</v>
        <stp/>
        <stp>EM_S_RATIO_EPS_TTM</stp>
        <stp>3</stp>
        <stp>300459</stp>
        <stp>12/31/2018</stp>
        <stp>1</stp>
        <tr r="U3387" s="1"/>
      </tp>
      <tp>
        <v>0.76831912575975858</v>
        <stp/>
        <stp>EM_S_RATIO_EPS_TTM</stp>
        <stp>3</stp>
        <stp>600409</stp>
        <stp>12/31/2018</stp>
        <stp>1</stp>
        <tr r="U1750" s="1"/>
      </tp>
      <tp>
        <v>9.1388787756202808E-2</v>
        <stp/>
        <stp>EM_S_RATIO_EPS_TTM</stp>
        <stp>3</stp>
        <stp>000769</stp>
        <stp>12/31/2018</stp>
        <stp>1</stp>
        <tr r="U2279" s="1"/>
      </tp>
      <tp>
        <v>-2.3089808394382037E-2</v>
        <stp/>
        <stp>EM_S_RATIO_EPS_TTM</stp>
        <stp>3</stp>
        <stp>600709</stp>
        <stp>12/31/2018</stp>
        <stp>1</stp>
        <tr r="U2318" s="1"/>
      </tp>
      <tp>
        <v>-2.3312305572380776</v>
        <stp/>
        <stp>EM_S_RATIO_EPS_TTM</stp>
        <stp>3</stp>
        <stp>000669</stp>
        <stp>12/31/2018</stp>
        <stp>1</stp>
        <tr r="U3501" s="1"/>
      </tp>
      <tp>
        <v>0.31946256886466462</v>
        <stp/>
        <stp>EM_S_RATIO_EPS_TTM</stp>
        <stp>3</stp>
        <stp>300659</stp>
        <stp>12/31/2018</stp>
        <stp>1</stp>
        <tr r="U39" s="1"/>
      </tp>
      <tp>
        <v>7.3910286028444391E-2</v>
        <stp/>
        <stp>EM_S_RATIO_EPS_TTM</stp>
        <stp>3</stp>
        <stp>600609</stp>
        <stp>12/31/2018</stp>
        <stp>1</stp>
        <tr r="U955" s="1"/>
      </tp>
      <tp>
        <v>-0.21213883516749674</v>
        <stp/>
        <stp>EM_S_RATIO_EPS_TTM</stp>
        <stp>3</stp>
        <stp>000969</stp>
        <stp>12/31/2018</stp>
        <stp>1</stp>
        <tr r="U3588" s="1"/>
      </tp>
      <tp>
        <v>0.15292597523336096</v>
        <stp/>
        <stp>EM_S_RATIO_EPS_TTM</stp>
        <stp>3</stp>
        <stp>600909</stp>
        <stp>12/31/2018</stp>
        <stp>1</stp>
        <tr r="U502" s="1"/>
      </tp>
      <tp>
        <v>1.5210615422545897</v>
        <stp/>
        <stp>EM_S_RATIO_EPS_TTM</stp>
        <stp>3</stp>
        <stp>000869</stp>
        <stp>12/31/2018</stp>
        <stp>1</stp>
        <tr r="U1713" s="1"/>
      </tp>
      <tp>
        <v>1.693984705017588</v>
        <stp/>
        <stp>EM_S_RATIO_EPS_TTM</stp>
        <stp>3</stp>
        <stp>600809</stp>
        <stp>12/31/2018</stp>
        <stp>1</stp>
        <tr r="U75" s="1"/>
      </tp>
      <tp>
        <v>0.45200757941967379</v>
        <stp/>
        <stp>EM_S_RATIO_EPS_TTM</stp>
        <stp>3</stp>
        <stp>603108</stp>
        <stp>12/31/2018</stp>
        <stp>1</stp>
        <tr r="U803" s="1"/>
      </tp>
      <tp>
        <v>-1.1099370983406742</v>
        <stp/>
        <stp>EM_S_RATIO_EPS_TTM</stp>
        <stp>3</stp>
        <stp>603008</stp>
        <stp>12/31/2018</stp>
        <stp>1</stp>
        <tr r="U376" s="1"/>
      </tp>
      <tp>
        <v>0.16862254607383859</v>
        <stp/>
        <stp>EM_S_RATIO_EPS_TTM</stp>
        <stp>3</stp>
        <stp>603308</stp>
        <stp>12/31/2018</stp>
        <stp>1</stp>
        <tr r="U218" s="1"/>
      </tp>
      <tp>
        <v>1.8894946207536643</v>
        <stp/>
        <stp>EM_S_RATIO_EPS_TTM</stp>
        <stp>3</stp>
        <stp>603208</stp>
        <stp>12/31/2018</stp>
        <stp>1</stp>
        <tr r="U181" s="1"/>
      </tp>
      <tp>
        <v>1.1739427189375</v>
        <stp/>
        <stp>EM_S_RATIO_EPS_TTM</stp>
        <stp>3</stp>
        <stp>603508</stp>
        <stp>12/31/2018</stp>
        <stp>1</stp>
        <tr r="U586" s="1"/>
      </tp>
      <tp>
        <v>0.9186404847649573</v>
        <stp/>
        <stp>EM_S_RATIO_EPS_TTM</stp>
        <stp>3</stp>
        <stp>603708</stp>
        <stp>12/31/2018</stp>
        <stp>1</stp>
        <tr r="U1222" s="1"/>
      </tp>
      <tp>
        <v>0.56142596984219595</v>
        <stp/>
        <stp>EM_S_RATIO_EPS_TTM</stp>
        <stp>3</stp>
        <stp>603608</stp>
        <stp>12/31/2018</stp>
        <stp>1</stp>
        <tr r="U2963" s="1"/>
      </tp>
      <tp>
        <v>0.61766198110661275</v>
        <stp/>
        <stp>EM_S_RATIO_EPS_TTM</stp>
        <stp>3</stp>
        <stp>603908</stp>
        <stp>12/31/2018</stp>
        <stp>1</stp>
        <tr r="U2189" s="1"/>
      </tp>
      <tp>
        <v>1.0831097686336379</v>
        <stp/>
        <stp>EM_S_RATIO_EPS_TTM</stp>
        <stp>3</stp>
        <stp>603808</stp>
        <stp>12/31/2018</stp>
        <stp>1</stp>
        <tr r="U2714" s="1"/>
      </tp>
      <tp>
        <v>0.41318444373901253</v>
        <stp/>
        <stp>EM_S_RATIO_EPS_TTM</stp>
        <stp>3</stp>
        <stp>002168</stp>
        <stp>12/31/2018</stp>
        <stp>1</stp>
        <tr r="U3021" s="1"/>
      </tp>
      <tp>
        <v>0.5517553921101559</v>
        <stp/>
        <stp>EM_S_RATIO_EPS_TTM</stp>
        <stp>3</stp>
        <stp>002068</stp>
        <stp>12/31/2018</stp>
        <stp>1</stp>
        <tr r="U3034" s="1"/>
      </tp>
      <tp>
        <v>0.76134657073264056</v>
        <stp/>
        <stp>EM_S_RATIO_EPS_TTM</stp>
        <stp>3</stp>
        <stp>002368</stp>
        <stp>12/31/2018</stp>
        <stp>1</stp>
        <tr r="U315" s="1"/>
      </tp>
      <tp>
        <v>0.14338464495766606</v>
        <stp/>
        <stp>EM_S_RATIO_EPS_TTM</stp>
        <stp>3</stp>
        <stp>002268</stp>
        <stp>12/31/2018</stp>
        <stp>1</stp>
        <tr r="U691" s="1"/>
      </tp>
      <tp>
        <v>0.23274591402438755</v>
        <stp/>
        <stp>EM_S_RATIO_EPS_TTM</stp>
        <stp>3</stp>
        <stp>002568</stp>
        <stp>12/31/2018</stp>
        <stp>1</stp>
        <tr r="U47" s="1"/>
      </tp>
      <tp>
        <v>1.3386373620208216</v>
        <stp/>
        <stp>EM_S_RATIO_EPS_TTM</stp>
        <stp>3</stp>
        <stp>002468</stp>
        <stp>12/31/2018</stp>
        <stp>1</stp>
        <tr r="U1355" s="1"/>
      </tp>
      <tp>
        <v>1.137183446046083</v>
        <stp/>
        <stp>EM_S_RATIO_EPS_TTM</stp>
        <stp>3</stp>
        <stp>002768</stp>
        <stp>12/31/2018</stp>
        <stp>1</stp>
        <tr r="U2063" s="1"/>
      </tp>
      <tp>
        <v>-1.7549354858936144</v>
        <stp/>
        <stp>EM_S_RATIO_EPS_TTM</stp>
        <stp>3</stp>
        <stp>002668</stp>
        <stp>12/31/2018</stp>
        <stp>1</stp>
        <tr r="U1444" s="1"/>
      </tp>
      <tp>
        <v>0.62241205291666657</v>
        <stp/>
        <stp>EM_S_RATIO_EPS_TTM</stp>
        <stp>3</stp>
        <stp>002868</stp>
        <stp>12/31/2018</stp>
        <stp>1</stp>
        <tr r="U1313" s="1"/>
      </tp>
      <tp>
        <v>0.22815159278629144</v>
        <stp/>
        <stp>EM_S_RATIO_EPS_TTM</stp>
        <stp>3</stp>
        <stp>601108</stp>
        <stp>12/31/2018</stp>
        <stp>1</stp>
        <tr r="U471" s="1"/>
      </tp>
      <tp>
        <v>3.4615890726392966E-3</v>
        <stp/>
        <stp>EM_S_RATIO_EPS_TTM</stp>
        <stp>3</stp>
        <stp>601008</stp>
        <stp>12/31/2018</stp>
        <stp>1</stp>
        <tr r="U1067" s="1"/>
      </tp>
      <tp>
        <v>5.1315382851288144E-2</v>
        <stp/>
        <stp>EM_S_RATIO_EPS_TTM</stp>
        <stp>3</stp>
        <stp>601208</stp>
        <stp>12/31/2018</stp>
        <stp>1</stp>
        <tr r="U874" s="1"/>
      </tp>
      <tp>
        <v>2.4464034849374486E-2</v>
        <stp/>
        <stp>EM_S_RATIO_EPS_TTM</stp>
        <stp>3</stp>
        <stp>601608</stp>
        <stp>12/31/2018</stp>
        <stp>1</stp>
        <tr r="U692" s="1"/>
      </tp>
      <tp>
        <v>0.22655597705216823</v>
        <stp/>
        <stp>EM_S_RATIO_EPS_TTM</stp>
        <stp>3</stp>
        <stp>601908</stp>
        <stp>12/31/2018</stp>
        <stp>1</stp>
        <tr r="U2539" s="1"/>
      </tp>
      <tp>
        <v>1.4838302185098809E-2</v>
        <stp/>
        <stp>EM_S_RATIO_EPS_TTM</stp>
        <stp>3</stp>
        <stp>601808</stp>
        <stp>12/31/2018</stp>
        <stp>1</stp>
        <tr r="U119" s="1"/>
      </tp>
      <tp>
        <v>-0.14272692088722583</v>
        <stp/>
        <stp>EM_S_RATIO_EPS_TTM</stp>
        <stp>3</stp>
        <stp>300158</stp>
        <stp>12/31/2018</stp>
        <stp>1</stp>
        <tr r="U1236" s="1"/>
      </tp>
      <tp>
        <v>4.3521225813110319E-2</v>
        <stp/>
        <stp>EM_S_RATIO_EPS_TTM</stp>
        <stp>3</stp>
        <stp>600108</stp>
        <stp>12/31/2018</stp>
        <stp>1</stp>
        <tr r="U1790" s="1"/>
      </tp>
      <tp>
        <v>-0.13200492568049987</v>
        <stp/>
        <stp>EM_S_RATIO_EPS_TTM</stp>
        <stp>3</stp>
        <stp>000068</stp>
        <stp>12/31/2018</stp>
        <stp>1</stp>
        <tr r="U2414" s="1"/>
      </tp>
      <tp>
        <v>0.17824636823959117</v>
        <stp/>
        <stp>EM_S_RATIO_EPS_TTM</stp>
        <stp>3</stp>
        <stp>300058</stp>
        <stp>12/31/2018</stp>
        <stp>1</stp>
        <tr r="U873" s="1"/>
      </tp>
      <tp>
        <v>0.12653468578682278</v>
        <stp/>
        <stp>EM_S_RATIO_EPS_TTM</stp>
        <stp>3</stp>
        <stp>600008</stp>
        <stp>12/31/2018</stp>
        <stp>1</stp>
        <tr r="U2550" s="1"/>
      </tp>
      <tp>
        <v>8.7226947454095177E-2</v>
        <stp/>
        <stp>EM_S_RATIO_EPS_TTM</stp>
        <stp>3</stp>
        <stp>300358</stp>
        <stp>12/31/2018</stp>
        <stp>1</stp>
        <tr r="U2761" s="1"/>
      </tp>
      <tp>
        <v>0.61586971825933545</v>
        <stp/>
        <stp>EM_S_RATIO_EPS_TTM</stp>
        <stp>3</stp>
        <stp>600308</stp>
        <stp>12/31/2018</stp>
        <stp>1</stp>
        <tr r="U1999" s="1"/>
      </tp>
      <tp>
        <v>0.63872758639506177</v>
        <stp/>
        <stp>EM_S_RATIO_EPS_TTM</stp>
        <stp>3</stp>
        <stp>300258</stp>
        <stp>12/31/2018</stp>
        <stp>1</stp>
        <tr r="U2705" s="1"/>
      </tp>
      <tp>
        <v>0.29144104536795423</v>
        <stp/>
        <stp>EM_S_RATIO_EPS_TTM</stp>
        <stp>3</stp>
        <stp>600208</stp>
        <stp>12/31/2018</stp>
        <stp>1</stp>
        <tr r="U957" s="1"/>
      </tp>
      <tp>
        <v>2.3796805713540912</v>
        <stp/>
        <stp>EM_S_RATIO_EPS_TTM</stp>
        <stp>3</stp>
        <stp>000568</stp>
        <stp>12/31/2018</stp>
        <stp>1</stp>
        <tr r="U129" s="1"/>
      </tp>
      <tp>
        <v>0.41600589441396507</v>
        <stp/>
        <stp>EM_S_RATIO_EPS_TTM</stp>
        <stp>3</stp>
        <stp>300558</stp>
        <stp>12/31/2018</stp>
        <stp>1</stp>
        <tr r="U157" s="1"/>
      </tp>
      <tp>
        <v>0.91503652287614257</v>
        <stp/>
        <stp>EM_S_RATIO_EPS_TTM</stp>
        <stp>3</stp>
        <stp>600508</stp>
        <stp>12/31/2018</stp>
        <stp>1</stp>
        <tr r="U2440" s="1"/>
      </tp>
      <tp>
        <v>0.35644690905608628</v>
        <stp/>
        <stp>EM_S_RATIO_EPS_TTM</stp>
        <stp>3</stp>
        <stp>300458</stp>
        <stp>12/31/2018</stp>
        <stp>1</stp>
        <tr r="U425" s="1"/>
      </tp>
      <tp>
        <v>0.81470956869288835</v>
        <stp/>
        <stp>EM_S_RATIO_EPS_TTM</stp>
        <stp>3</stp>
        <stp>600408</stp>
        <stp>12/31/2018</stp>
        <stp>1</stp>
        <tr r="U2702" s="1"/>
      </tp>
      <tp>
        <v>0.2015564295962442</v>
        <stp/>
        <stp>EM_S_RATIO_EPS_TTM</stp>
        <stp>3</stp>
        <stp>000768</stp>
        <stp>12/31/2018</stp>
        <stp>1</stp>
        <tr r="U1149" s="1"/>
      </tp>
      <tp>
        <v>0.63623384096741509</v>
        <stp/>
        <stp>EM_S_RATIO_EPS_TTM</stp>
        <stp>3</stp>
        <stp>600708</stp>
        <stp>12/31/2018</stp>
        <stp>1</stp>
        <tr r="U2225" s="1"/>
      </tp>
      <tp>
        <v>6.0119542591014048E-2</v>
        <stp/>
        <stp>EM_S_RATIO_EPS_TTM</stp>
        <stp>3</stp>
        <stp>000668</stp>
        <stp>12/31/2018</stp>
        <stp>1</stp>
        <tr r="U3500" s="1"/>
      </tp>
      <tp>
        <v>0.32407598766666668</v>
        <stp/>
        <stp>EM_S_RATIO_EPS_TTM</stp>
        <stp>3</stp>
        <stp>300658</stp>
        <stp>12/31/2018</stp>
        <stp>1</stp>
        <tr r="U886" s="1"/>
      </tp>
      <tp>
        <v>-7.6820828319608316E-3</v>
        <stp/>
        <stp>EM_S_RATIO_EPS_TTM</stp>
        <stp>3</stp>
        <stp>600608</stp>
        <stp>12/31/2018</stp>
        <stp>1</stp>
        <tr r="U1802" s="1"/>
      </tp>
      <tp>
        <v>0.70138212923362919</v>
        <stp/>
        <stp>EM_S_RATIO_EPS_TTM</stp>
        <stp>3</stp>
        <stp>000968</stp>
        <stp>12/31/2018</stp>
        <stp>1</stp>
        <tr r="U2527" s="1"/>
      </tp>
      <tp>
        <v>0.59274915746275691</v>
        <stp/>
        <stp>EM_S_RATIO_EPS_TTM</stp>
        <stp>3</stp>
        <stp>600908</stp>
        <stp>12/31/2018</stp>
        <stp>1</stp>
        <tr r="U1965" s="1"/>
      </tp>
      <tp>
        <v>-1.2181968541444952</v>
        <stp/>
        <stp>EM_S_RATIO_EPS_TTM</stp>
        <stp>3</stp>
        <stp>000868</stp>
        <stp>12/31/2018</stp>
        <stp>1</stp>
        <tr r="U3559" s="1"/>
      </tp>
      <tp>
        <v>0.77178712395015392</v>
        <stp/>
        <stp>EM_S_RATIO_EPS_TTM</stp>
        <stp>3</stp>
        <stp>600808</stp>
        <stp>12/31/2018</stp>
        <stp>1</stp>
        <tr r="U2869" s="1"/>
      </tp>
      <tp>
        <v>0.13232543882</v>
        <stp/>
        <stp>EM_S_RATIO_EPS_TTM</stp>
        <stp>3</stp>
        <stp>603105</stp>
        <stp>12/31/2018</stp>
        <stp>1</stp>
        <tr r="U3344" s="1"/>
      </tp>
      <tp>
        <v>0.30370301891881807</v>
        <stp/>
        <stp>EM_S_RATIO_EPS_TTM</stp>
        <stp>3</stp>
        <stp>603005</stp>
        <stp>12/31/2018</stp>
        <stp>1</stp>
        <tr r="U98" s="1"/>
      </tp>
      <tp>
        <v>0.73319361273090367</v>
        <stp/>
        <stp>EM_S_RATIO_EPS_TTM</stp>
        <stp>3</stp>
        <stp>603305</stp>
        <stp>12/31/2018</stp>
        <stp>1</stp>
        <tr r="U1751" s="1"/>
      </tp>
      <tp>
        <v>0.57349449633333338</v>
        <stp/>
        <stp>EM_S_RATIO_EPS_TTM</stp>
        <stp>3</stp>
        <stp>603505</stp>
        <stp>12/31/2018</stp>
        <stp>1</stp>
        <tr r="U335" s="1"/>
      </tp>
      <tp>
        <v>1.4262288776002261</v>
        <stp/>
        <stp>EM_S_RATIO_EPS_TTM</stp>
        <stp>3</stp>
        <stp>603605</stp>
        <stp>12/31/2018</stp>
        <stp>1</stp>
        <tr r="U169" s="1"/>
      </tp>
      <tp>
        <v>4.8298332564609088E-2</v>
        <stp/>
        <stp>EM_S_RATIO_EPS_TTM</stp>
        <stp>3</stp>
        <stp>002165</stp>
        <stp>12/31/2018</stp>
        <stp>1</stp>
        <tr r="U1121" s="1"/>
      </tp>
      <tp>
        <v>0.2588393960598156</v>
        <stp/>
        <stp>EM_S_RATIO_EPS_TTM</stp>
        <stp>3</stp>
        <stp>002065</stp>
        <stp>12/31/2018</stp>
        <stp>1</stp>
        <tr r="U619" s="1"/>
      </tp>
      <tp>
        <v>0.60602270219643173</v>
        <stp/>
        <stp>EM_S_RATIO_EPS_TTM</stp>
        <stp>3</stp>
        <stp>002365</stp>
        <stp>12/31/2018</stp>
        <stp>1</stp>
        <tr r="U2692" s="1"/>
      </tp>
      <tp>
        <v>-0.2146721813890522</v>
        <stp/>
        <stp>EM_S_RATIO_EPS_TTM</stp>
        <stp>3</stp>
        <stp>002265</stp>
        <stp>12/31/2018</stp>
        <stp>1</stp>
        <tr r="U2427" s="1"/>
      </tp>
      <tp>
        <v>0.14296531965174139</v>
        <stp/>
        <stp>EM_S_RATIO_EPS_TTM</stp>
        <stp>3</stp>
        <stp>002565</stp>
        <stp>12/31/2018</stp>
        <stp>1</stp>
        <tr r="U336" s="1"/>
      </tp>
      <tp>
        <v>0.18647896347334028</v>
        <stp/>
        <stp>EM_S_RATIO_EPS_TTM</stp>
        <stp>3</stp>
        <stp>002465</stp>
        <stp>12/31/2018</stp>
        <stp>1</stp>
        <tr r="U738" s="1"/>
      </tp>
      <tp>
        <v>6.5625498455316707E-3</v>
        <stp/>
        <stp>EM_S_RATIO_EPS_TTM</stp>
        <stp>3</stp>
        <stp>002765</stp>
        <stp>12/31/2018</stp>
        <stp>1</stp>
        <tr r="U3005" s="1"/>
      </tp>
      <tp>
        <v>-0.25208353100949993</v>
        <stp/>
        <stp>EM_S_RATIO_EPS_TTM</stp>
        <stp>3</stp>
        <stp>002665</stp>
        <stp>12/31/2018</stp>
        <stp>1</stp>
        <tr r="U1281" s="1"/>
      </tp>
      <tp>
        <v>0.34378437754766605</v>
        <stp/>
        <stp>EM_S_RATIO_EPS_TTM</stp>
        <stp>3</stp>
        <stp>002865</stp>
        <stp>12/31/2018</stp>
        <stp>1</stp>
        <tr r="U3027" s="1"/>
      </tp>
      <tp>
        <v>0.20046930522011136</v>
        <stp/>
        <stp>EM_S_RATIO_EPS_TTM</stp>
        <stp>3</stp>
        <stp>601005</stp>
        <stp>12/31/2018</stp>
        <stp>1</stp>
        <tr r="U2547" s="1"/>
      </tp>
      <tp>
        <v>0.63287845992624814</v>
        <stp/>
        <stp>EM_S_RATIO_EPS_TTM</stp>
        <stp>3</stp>
        <stp>001965</stp>
        <stp>12/31/2018</stp>
        <stp>1</stp>
        <tr r="U1808" s="1"/>
      </tp>
      <tp>
        <v>5.0196499073757402E-2</v>
        <stp/>
        <stp>EM_S_RATIO_EPS_TTM</stp>
        <stp>3</stp>
        <stp>300155</stp>
        <stp>12/31/2018</stp>
        <stp>1</stp>
        <tr r="U1092" s="1"/>
      </tp>
      <tp>
        <v>0.15444635629514283</v>
        <stp/>
        <stp>EM_S_RATIO_EPS_TTM</stp>
        <stp>3</stp>
        <stp>600105</stp>
        <stp>12/31/2018</stp>
        <stp>1</stp>
        <tr r="U1397" s="1"/>
      </tp>
      <tp>
        <v>0.76565553741850889</v>
        <stp/>
        <stp>EM_S_RATIO_EPS_TTM</stp>
        <stp>3</stp>
        <stp>000065</stp>
        <stp>12/31/2018</stp>
        <stp>1</stp>
        <tr r="U1549" s="1"/>
      </tp>
      <tp>
        <v>-0.10443145304162556</v>
        <stp/>
        <stp>EM_S_RATIO_EPS_TTM</stp>
        <stp>3</stp>
        <stp>300055</stp>
        <stp>12/31/2018</stp>
        <stp>1</stp>
        <tr r="U2859" s="1"/>
      </tp>
      <tp>
        <v>-0.60860725738162358</v>
        <stp/>
        <stp>EM_S_RATIO_EPS_TTM</stp>
        <stp>3</stp>
        <stp>600005</stp>
        <stp>12/31/2018</stp>
        <stp>1</stp>
        <tr r="U2288" s="1"/>
      </tp>
      <tp>
        <v>0.12704023007734577</v>
        <stp/>
        <stp>EM_S_RATIO_EPS_TTM</stp>
        <stp>3</stp>
        <stp>300355</stp>
        <stp>12/31/2018</stp>
        <stp>1</stp>
        <tr r="U2877" s="1"/>
      </tp>
      <tp>
        <v>0.38873561255215622</v>
        <stp/>
        <stp>EM_S_RATIO_EPS_TTM</stp>
        <stp>3</stp>
        <stp>600305</stp>
        <stp>12/31/2018</stp>
        <stp>1</stp>
        <tr r="U676" s="1"/>
      </tp>
      <tp>
        <v>0.14972411928585988</v>
        <stp/>
        <stp>EM_S_RATIO_EPS_TTM</stp>
        <stp>3</stp>
        <stp>300255</stp>
        <stp>12/31/2018</stp>
        <stp>1</stp>
        <tr r="U922" s="1"/>
      </tp>
      <tp>
        <v>1.5475752867261905</v>
        <stp/>
        <stp>EM_S_RATIO_EPS_TTM</stp>
        <stp>3</stp>
        <stp>600205</stp>
        <stp>12/31/2018</stp>
        <stp>1</stp>
        <tr r="U2295" s="1"/>
      </tp>
      <tp>
        <v>0.10429517824374247</v>
        <stp/>
        <stp>EM_S_RATIO_EPS_TTM</stp>
        <stp>3</stp>
        <stp>000565</stp>
        <stp>12/31/2018</stp>
        <stp>1</stp>
        <tr r="U3458" s="1"/>
      </tp>
      <tp>
        <v>5.1282940450000002E-2</v>
        <stp/>
        <stp>EM_S_RATIO_EPS_TTM</stp>
        <stp>3</stp>
        <stp>300555</stp>
        <stp>12/31/2018</stp>
        <stp>1</stp>
        <tr r="U1438" s="1"/>
      </tp>
      <tp>
        <v>0.17288307139281478</v>
        <stp/>
        <stp>EM_S_RATIO_EPS_TTM</stp>
        <stp>3</stp>
        <stp>600505</stp>
        <stp>12/31/2018</stp>
        <stp>1</stp>
        <tr r="U146" s="1"/>
      </tp>
      <tp>
        <v>0.14846403938383046</v>
        <stp/>
        <stp>EM_S_RATIO_EPS_TTM</stp>
        <stp>3</stp>
        <stp>300455</stp>
        <stp>12/31/2018</stp>
        <stp>1</stp>
        <tr r="U388" s="1"/>
      </tp>
      <tp>
        <v>-0.49857815855986226</v>
        <stp/>
        <stp>EM_S_RATIO_EPS_TTM</stp>
        <stp>3</stp>
        <stp>600405</stp>
        <stp>12/31/2018</stp>
        <stp>1</stp>
        <tr r="U1472" s="1"/>
      </tp>
      <tp>
        <v>0.12845029335714284</v>
        <stp/>
        <stp>EM_S_RATIO_EPS_TTM</stp>
        <stp>3</stp>
        <stp>000765</stp>
        <stp>12/31/2018</stp>
        <stp>1</stp>
        <tr r="U3533" s="1"/>
      </tp>
      <tp>
        <v>0.35270163517147024</v>
        <stp/>
        <stp>EM_S_RATIO_EPS_TTM</stp>
        <stp>3</stp>
        <stp>600705</stp>
        <stp>12/31/2018</stp>
        <stp>1</stp>
        <tr r="U1501" s="1"/>
      </tp>
      <tp>
        <v>0.28820406098010692</v>
        <stp/>
        <stp>EM_S_RATIO_EPS_TTM</stp>
        <stp>3</stp>
        <stp>000665</stp>
        <stp>12/31/2018</stp>
        <stp>1</stp>
        <tr r="U3156" s="1"/>
      </tp>
      <tp>
        <v>0.33163493951668943</v>
        <stp/>
        <stp>EM_S_RATIO_EPS_TTM</stp>
        <stp>3</stp>
        <stp>300655</stp>
        <stp>12/31/2018</stp>
        <stp>1</stp>
        <tr r="U94" s="1"/>
      </tp>
      <tp>
        <v>0.12070505906317891</v>
        <stp/>
        <stp>EM_S_RATIO_EPS_TTM</stp>
        <stp>3</stp>
        <stp>600605</stp>
        <stp>12/31/2018</stp>
        <stp>1</stp>
        <tr r="U1488" s="1"/>
      </tp>
      <tp>
        <v>8.6591885622358714E-2</v>
        <stp/>
        <stp>EM_S_RATIO_EPS_TTM</stp>
        <stp>3</stp>
        <stp>000965</stp>
        <stp>12/31/2018</stp>
        <stp>1</stp>
        <tr r="U3017" s="1"/>
      </tp>
      <tp>
        <v>9.5510008541670036E-2</v>
        <stp/>
        <stp>EM_S_RATIO_EPS_TTM</stp>
        <stp>3</stp>
        <stp>600805</stp>
        <stp>12/31/2018</stp>
        <stp>1</stp>
        <tr r="U1762" s="1"/>
      </tp>
      <tp>
        <v>-4.0046512122284907</v>
        <stp/>
        <stp>EM_S_RATIO_EPS_TTM</stp>
        <stp>3</stp>
        <stp>002164</stp>
        <stp>12/31/2018</stp>
        <stp>1</stp>
        <tr r="U733" s="1"/>
      </tp>
      <tp>
        <v>0.26551849287333018</v>
        <stp/>
        <stp>EM_S_RATIO_EPS_TTM</stp>
        <stp>3</stp>
        <stp>002064</stp>
        <stp>12/31/2018</stp>
        <stp>1</stp>
        <tr r="U557" s="1"/>
      </tp>
      <tp>
        <v>0.1359633225954999</v>
        <stp/>
        <stp>EM_S_RATIO_EPS_TTM</stp>
        <stp>3</stp>
        <stp>002364</stp>
        <stp>12/31/2018</stp>
        <stp>1</stp>
        <tr r="U2413" s="1"/>
      </tp>
      <tp>
        <v>2.4730925833778058E-2</v>
        <stp/>
        <stp>EM_S_RATIO_EPS_TTM</stp>
        <stp>3</stp>
        <stp>002264</stp>
        <stp>12/31/2018</stp>
        <stp>1</stp>
        <tr r="U2960" s="1"/>
      </tp>
      <tp>
        <v>8.4496012897739572E-2</v>
        <stp/>
        <stp>EM_S_RATIO_EPS_TTM</stp>
        <stp>3</stp>
        <stp>002564</stp>
        <stp>12/31/2018</stp>
        <stp>1</stp>
        <tr r="U2712" s="1"/>
      </tp>
      <tp>
        <v>0.30794435808620563</v>
        <stp/>
        <stp>EM_S_RATIO_EPS_TTM</stp>
        <stp>3</stp>
        <stp>002464</stp>
        <stp>12/31/2018</stp>
        <stp>1</stp>
        <tr r="U3165" s="1"/>
      </tp>
      <tp>
        <v>0.6510112647117644</v>
        <stp/>
        <stp>EM_S_RATIO_EPS_TTM</stp>
        <stp>3</stp>
        <stp>002664</stp>
        <stp>12/31/2018</stp>
        <stp>1</stp>
        <tr r="U985" s="1"/>
      </tp>
      <tp>
        <v>0.74630073277950848</v>
        <stp/>
        <stp>EM_S_RATIO_EPS_TTM</stp>
        <stp>3</stp>
        <stp>002864</stp>
        <stp>12/31/2018</stp>
        <stp>1</stp>
        <tr r="U2995" s="1"/>
      </tp>
      <tp>
        <v>0.23496676562431471</v>
        <stp/>
        <stp>EM_S_RATIO_EPS_TTM</stp>
        <stp>3</stp>
        <stp>300154</stp>
        <stp>12/31/2018</stp>
        <stp>1</stp>
        <tr r="U1433" s="1"/>
      </tp>
      <tp>
        <v>3.0820669884442249</v>
        <stp/>
        <stp>EM_S_RATIO_EPS_TTM</stp>
        <stp>3</stp>
        <stp>600104</stp>
        <stp>12/31/2018</stp>
        <stp>1</stp>
        <tr r="U2780" s="1"/>
      </tp>
      <tp>
        <v>0.30530091199071624</v>
        <stp/>
        <stp>EM_S_RATIO_EPS_TTM</stp>
        <stp>3</stp>
        <stp>300054</stp>
        <stp>12/31/2018</stp>
        <stp>1</stp>
        <tr r="U635" s="1"/>
      </tp>
      <tp>
        <v>0.54567233798272785</v>
        <stp/>
        <stp>EM_S_RATIO_EPS_TTM</stp>
        <stp>3</stp>
        <stp>600004</stp>
        <stp>12/31/2018</stp>
        <stp>1</stp>
        <tr r="U266" s="1"/>
      </tp>
      <tp>
        <v>0.1274194256701521</v>
        <stp/>
        <stp>EM_S_RATIO_EPS_TTM</stp>
        <stp>3</stp>
        <stp>300354</stp>
        <stp>12/31/2018</stp>
        <stp>1</stp>
        <tr r="U542" s="1"/>
      </tp>
      <tp>
        <v>3.4761414155961366E-2</v>
        <stp/>
        <stp>EM_S_RATIO_EPS_TTM</stp>
        <stp>3</stp>
        <stp>300254</stp>
        <stp>12/31/2018</stp>
        <stp>1</stp>
        <tr r="U1140" s="1"/>
      </tp>
      <tp>
        <v>0.12690877096416109</v>
        <stp/>
        <stp>EM_S_RATIO_EPS_TTM</stp>
        <stp>3</stp>
        <stp>000564</stp>
        <stp>12/31/2018</stp>
        <stp>1</stp>
        <tr r="U3457" s="1"/>
      </tp>
      <tp>
        <v>0.39670511335470082</v>
        <stp/>
        <stp>EM_S_RATIO_EPS_TTM</stp>
        <stp>3</stp>
        <stp>300554</stp>
        <stp>12/31/2018</stp>
        <stp>1</stp>
        <tr r="U2839" s="1"/>
      </tp>
      <tp>
        <v>1.4964681135010034</v>
        <stp/>
        <stp>EM_S_RATIO_EPS_TTM</stp>
        <stp>3</stp>
        <stp>300454</stp>
        <stp>12/31/2018</stp>
        <stp>1</stp>
        <tr r="U1028" s="1"/>
      </tp>
      <tp>
        <v>0.55663148698340614</v>
        <stp/>
        <stp>EM_S_RATIO_EPS_TTM</stp>
        <stp>3</stp>
        <stp>600704</stp>
        <stp>12/31/2018</stp>
        <stp>1</stp>
        <tr r="U1522" s="1"/>
      </tp>
      <tp>
        <v>0.22715183110158899</v>
        <stp/>
        <stp>EM_S_RATIO_EPS_TTM</stp>
        <stp>3</stp>
        <stp>300654</stp>
        <stp>12/31/2018</stp>
        <stp>1</stp>
        <tr r="U3061" s="1"/>
      </tp>
      <tp>
        <v>0.12684975329300441</v>
        <stp/>
        <stp>EM_S_RATIO_EPS_TTM</stp>
        <stp>3</stp>
        <stp>600604</stp>
        <stp>12/31/2018</stp>
        <stp>1</stp>
        <tr r="U1429" s="1"/>
      </tp>
      <tp>
        <v>0.26574033811549624</v>
        <stp/>
        <stp>EM_S_RATIO_EPS_TTM</stp>
        <stp>3</stp>
        <stp>600804</stp>
        <stp>12/31/2018</stp>
        <stp>1</stp>
        <tr r="U2849" s="1"/>
      </tp>
      <tp>
        <v>0.29298587181193692</v>
        <stp/>
        <stp>EM_S_RATIO_EPS_TTM</stp>
        <stp>3</stp>
        <stp>603007</stp>
        <stp>12/31/2018</stp>
        <stp>1</stp>
        <tr r="U2914" s="1"/>
      </tp>
      <tp>
        <v>0.47429924750978675</v>
        <stp/>
        <stp>EM_S_RATIO_EPS_TTM</stp>
        <stp>3</stp>
        <stp>603507</stp>
        <stp>12/31/2018</stp>
        <stp>1</stp>
        <tr r="U2178" s="1"/>
      </tp>
      <tp>
        <v>0.76851779878532134</v>
        <stp/>
        <stp>EM_S_RATIO_EPS_TTM</stp>
        <stp>3</stp>
        <stp>603707</stp>
        <stp>12/31/2018</stp>
        <stp>1</stp>
        <tr r="U131" s="1"/>
      </tp>
      <tp>
        <v>0.75107294364451971</v>
        <stp/>
        <stp>EM_S_RATIO_EPS_TTM</stp>
        <stp>3</stp>
        <stp>603607</stp>
        <stp>12/31/2018</stp>
        <stp>1</stp>
        <tr r="U1256" s="1"/>
      </tp>
      <tp>
        <v>1.7115475435867208E-2</v>
        <stp/>
        <stp>EM_S_RATIO_EPS_TTM</stp>
        <stp>3</stp>
        <stp>002167</stp>
        <stp>12/31/2018</stp>
        <stp>1</stp>
        <tr r="U860" s="1"/>
      </tp>
      <tp>
        <v>0.30174571122596183</v>
        <stp/>
        <stp>EM_S_RATIO_EPS_TTM</stp>
        <stp>3</stp>
        <stp>002067</stp>
        <stp>12/31/2018</stp>
        <stp>1</stp>
        <tr r="U2531" s="1"/>
      </tp>
      <tp>
        <v>1.9491903498094779E-2</v>
        <stp/>
        <stp>EM_S_RATIO_EPS_TTM</stp>
        <stp>3</stp>
        <stp>002367</stp>
        <stp>12/31/2018</stp>
        <stp>1</stp>
        <tr r="U773" s="1"/>
      </tp>
      <tp>
        <v>0.36345333038982802</v>
        <stp/>
        <stp>EM_S_RATIO_EPS_TTM</stp>
        <stp>3</stp>
        <stp>002267</stp>
        <stp>12/31/2018</stp>
        <stp>1</stp>
        <tr r="U2497" s="1"/>
      </tp>
      <tp>
        <v>0.16368388273136461</v>
        <stp/>
        <stp>EM_S_RATIO_EPS_TTM</stp>
        <stp>3</stp>
        <stp>002567</stp>
        <stp>12/31/2018</stp>
        <stp>1</stp>
        <tr r="U485" s="1"/>
      </tp>
      <tp>
        <v>0.108231904210145</v>
        <stp/>
        <stp>EM_S_RATIO_EPS_TTM</stp>
        <stp>3</stp>
        <stp>002467</stp>
        <stp>12/31/2018</stp>
        <stp>1</stp>
        <tr r="U1888" s="1"/>
      </tp>
      <tp>
        <v>0.17213666193333332</v>
        <stp/>
        <stp>EM_S_RATIO_EPS_TTM</stp>
        <stp>3</stp>
        <stp>002767</stp>
        <stp>12/31/2018</stp>
        <stp>1</stp>
        <tr r="U1895" s="1"/>
      </tp>
      <tp>
        <v>5.4519098783379197E-2</v>
        <stp/>
        <stp>EM_S_RATIO_EPS_TTM</stp>
        <stp>3</stp>
        <stp>002667</stp>
        <stp>12/31/2018</stp>
        <stp>1</stp>
        <tr r="U1882" s="1"/>
      </tp>
      <tp>
        <v>1.6607962370269036</v>
        <stp/>
        <stp>EM_S_RATIO_EPS_TTM</stp>
        <stp>3</stp>
        <stp>002867</stp>
        <stp>12/31/2018</stp>
        <stp>1</stp>
        <tr r="U3224" s="1"/>
      </tp>
      <tp>
        <v>0.27769320355061705</v>
        <stp/>
        <stp>EM_S_RATIO_EPS_TTM</stp>
        <stp>3</stp>
        <stp>601107</stp>
        <stp>12/31/2018</stp>
        <stp>1</stp>
        <tr r="U1498" s="1"/>
      </tp>
      <tp>
        <v>0.25805197670000002</v>
        <stp/>
        <stp>EM_S_RATIO_EPS_TTM</stp>
        <stp>3</stp>
        <stp>601007</stp>
        <stp>12/31/2018</stp>
        <stp>1</stp>
        <tr r="U1482" s="1"/>
      </tp>
      <tp>
        <v>1.3655668142544044</v>
        <stp/>
        <stp>EM_S_RATIO_EPS_TTM</stp>
        <stp>3</stp>
        <stp>601607</stp>
        <stp>12/31/2018</stp>
        <stp>1</stp>
        <tr r="U1979" s="1"/>
      </tp>
      <tp>
        <v>4.2951165393063311E-2</v>
        <stp/>
        <stp>EM_S_RATIO_EPS_TTM</stp>
        <stp>3</stp>
        <stp>300157</stp>
        <stp>12/31/2018</stp>
        <stp>1</stp>
        <tr r="U2441" s="1"/>
      </tp>
      <tp>
        <v>2.3902594916666665E-2</v>
        <stp/>
        <stp>EM_S_RATIO_EPS_TTM</stp>
        <stp>3</stp>
        <stp>600107</stp>
        <stp>12/31/2018</stp>
        <stp>1</stp>
        <tr r="U1238" s="1"/>
      </tp>
      <tp>
        <v>0.27707058143918062</v>
        <stp/>
        <stp>EM_S_RATIO_EPS_TTM</stp>
        <stp>3</stp>
        <stp>300057</stp>
        <stp>12/31/2018</stp>
        <stp>1</stp>
        <tr r="U2435" s="1"/>
      </tp>
      <tp>
        <v>0.76905068126595755</v>
        <stp/>
        <stp>EM_S_RATIO_EPS_TTM</stp>
        <stp>3</stp>
        <stp>600007</stp>
        <stp>12/31/2018</stp>
        <stp>1</stp>
        <tr r="U722" s="1"/>
      </tp>
      <tp>
        <v>0.80061914710533555</v>
        <stp/>
        <stp>EM_S_RATIO_EPS_TTM</stp>
        <stp>3</stp>
        <stp>300357</stp>
        <stp>12/31/2018</stp>
        <stp>1</stp>
        <tr r="U1410" s="1"/>
      </tp>
      <tp>
        <v>0.17445389840808165</v>
        <stp/>
        <stp>EM_S_RATIO_EPS_TTM</stp>
        <stp>3</stp>
        <stp>600307</stp>
        <stp>12/31/2018</stp>
        <stp>1</stp>
        <tr r="U1905" s="1"/>
      </tp>
      <tp>
        <v>0.14074723638694639</v>
        <stp/>
        <stp>EM_S_RATIO_EPS_TTM</stp>
        <stp>3</stp>
        <stp>300257</stp>
        <stp>12/31/2018</stp>
        <stp>1</stp>
        <tr r="U1743" s="1"/>
      </tp>
      <tp>
        <v>-0.38539157072919228</v>
        <stp/>
        <stp>EM_S_RATIO_EPS_TTM</stp>
        <stp>3</stp>
        <stp>600207</stp>
        <stp>12/31/2018</stp>
        <stp>1</stp>
        <tr r="U1807" s="1"/>
      </tp>
      <tp>
        <v>0.27281205409086667</v>
        <stp/>
        <stp>EM_S_RATIO_EPS_TTM</stp>
        <stp>3</stp>
        <stp>000567</stp>
        <stp>12/31/2018</stp>
        <stp>1</stp>
        <tr r="U3459" s="1"/>
      </tp>
      <tp>
        <v>0.3223249307418517</v>
        <stp/>
        <stp>EM_S_RATIO_EPS_TTM</stp>
        <stp>3</stp>
        <stp>300557</stp>
        <stp>12/31/2018</stp>
        <stp>1</stp>
        <tr r="U1012" s="1"/>
      </tp>
      <tp>
        <v>2.0188185995395309</v>
        <stp/>
        <stp>EM_S_RATIO_EPS_TTM</stp>
        <stp>3</stp>
        <stp>600507</stp>
        <stp>12/31/2018</stp>
        <stp>1</stp>
        <tr r="U2209" s="1"/>
      </tp>
      <tp>
        <v>0.86259094660978108</v>
        <stp/>
        <stp>EM_S_RATIO_EPS_TTM</stp>
        <stp>3</stp>
        <stp>300457</stp>
        <stp>12/31/2018</stp>
        <stp>1</stp>
        <tr r="U1422" s="1"/>
      </tp>
      <tp>
        <v>0.10380047501307986</v>
        <stp/>
        <stp>EM_S_RATIO_EPS_TTM</stp>
        <stp>3</stp>
        <stp>000767</stp>
        <stp>12/31/2018</stp>
        <stp>1</stp>
        <tr r="U2442" s="1"/>
      </tp>
      <tp>
        <v>1.7005382382473053E-2</v>
        <stp/>
        <stp>EM_S_RATIO_EPS_TTM</stp>
        <stp>3</stp>
        <stp>600707</stp>
        <stp>12/31/2018</stp>
        <stp>1</stp>
        <tr r="U2050" s="1"/>
      </tp>
      <tp>
        <v>9.7208481272321609E-2</v>
        <stp/>
        <stp>EM_S_RATIO_EPS_TTM</stp>
        <stp>3</stp>
        <stp>000667</stp>
        <stp>12/31/2018</stp>
        <stp>1</stp>
        <tr r="U3499" s="1"/>
      </tp>
      <tp>
        <v>1.1340738088461539</v>
        <stp/>
        <stp>EM_S_RATIO_EPS_TTM</stp>
        <stp>3</stp>
        <stp>300657</stp>
        <stp>12/31/2018</stp>
        <stp>1</stp>
        <tr r="U1186" s="1"/>
      </tp>
      <tp>
        <v>1.4506047151373489</v>
        <stp/>
        <stp>EM_S_RATIO_EPS_TTM</stp>
        <stp>3</stp>
        <stp>600607</stp>
        <stp>12/31/2018</stp>
        <stp>1</stp>
        <tr r="U2306" s="1"/>
      </tp>
      <tp>
        <v>0.7957040581223993</v>
        <stp/>
        <stp>EM_S_RATIO_EPS_TTM</stp>
        <stp>3</stp>
        <stp>000967</stp>
        <stp>12/31/2018</stp>
        <stp>1</stp>
        <tr r="U1753" s="1"/>
      </tp>
      <tp>
        <v>4.0562481985573322E-2</v>
        <stp/>
        <stp>EM_S_RATIO_EPS_TTM</stp>
        <stp>3</stp>
        <stp>600807</stp>
        <stp>12/31/2018</stp>
        <stp>1</stp>
        <tr r="U2570" s="1"/>
      </tp>
      <tp>
        <v>0.26035289405844159</v>
        <stp/>
        <stp>EM_S_RATIO_EPS_TTM</stp>
        <stp>3</stp>
        <stp>603106</stp>
        <stp>12/31/2018</stp>
        <stp>1</stp>
        <tr r="U2923" s="1"/>
      </tp>
      <tp>
        <v>0.52554912942851728</v>
        <stp/>
        <stp>EM_S_RATIO_EPS_TTM</stp>
        <stp>3</stp>
        <stp>603006</stp>
        <stp>12/31/2018</stp>
        <stp>1</stp>
        <tr r="U1371" s="1"/>
      </tp>
      <tp>
        <v>0.88313208303249768</v>
        <stp/>
        <stp>EM_S_RATIO_EPS_TTM</stp>
        <stp>3</stp>
        <stp>603306</stp>
        <stp>12/31/2018</stp>
        <stp>1</stp>
        <tr r="U2468" s="1"/>
      </tp>
      <tp>
        <v>0.88986801432259433</v>
        <stp/>
        <stp>EM_S_RATIO_EPS_TTM</stp>
        <stp>3</stp>
        <stp>603506</stp>
        <stp>12/31/2018</stp>
        <stp>1</stp>
        <tr r="U2595" s="1"/>
      </tp>
      <tp>
        <v>0.58674961612499998</v>
        <stp/>
        <stp>EM_S_RATIO_EPS_TTM</stp>
        <stp>3</stp>
        <stp>603706</stp>
        <stp>12/31/2018</stp>
        <stp>1</stp>
        <tr r="U3177" s="1"/>
      </tp>
      <tp>
        <v>0.34071616858746151</v>
        <stp/>
        <stp>EM_S_RATIO_EPS_TTM</stp>
        <stp>3</stp>
        <stp>603606</stp>
        <stp>12/31/2018</stp>
        <stp>1</stp>
        <tr r="U1264" s="1"/>
      </tp>
      <tp>
        <v>0.32209528642389318</v>
        <stp/>
        <stp>EM_S_RATIO_EPS_TTM</stp>
        <stp>3</stp>
        <stp>603906</stp>
        <stp>12/31/2018</stp>
        <stp>1</stp>
        <tr r="U1119" s="1"/>
      </tp>
      <tp>
        <v>1.4375382534825871</v>
        <stp/>
        <stp>EM_S_RATIO_EPS_TTM</stp>
        <stp>3</stp>
        <stp>603806</stp>
        <stp>12/31/2018</stp>
        <stp>1</stp>
        <tr r="U249" s="1"/>
      </tp>
      <tp>
        <v>0.18675461784259628</v>
        <stp/>
        <stp>EM_S_RATIO_EPS_TTM</stp>
        <stp>3</stp>
        <stp>002166</stp>
        <stp>12/31/2018</stp>
        <stp>1</stp>
        <tr r="U1282" s="1"/>
      </tp>
      <tp>
        <v>7.4828245584415587E-2</v>
        <stp/>
        <stp>EM_S_RATIO_EPS_TTM</stp>
        <stp>3</stp>
        <stp>002066</stp>
        <stp>12/31/2018</stp>
        <stp>1</stp>
        <tr r="U1696" s="1"/>
      </tp>
      <tp>
        <v>0.38704186576585736</v>
        <stp/>
        <stp>EM_S_RATIO_EPS_TTM</stp>
        <stp>3</stp>
        <stp>002366</stp>
        <stp>12/31/2018</stp>
        <stp>1</stp>
        <tr r="U3168" s="1"/>
      </tp>
      <tp>
        <v>5.5513458353143558E-2</v>
        <stp/>
        <stp>EM_S_RATIO_EPS_TTM</stp>
        <stp>3</stp>
        <stp>002266</stp>
        <stp>12/31/2018</stp>
        <stp>1</stp>
        <tr r="U2187" s="1"/>
      </tp>
      <tp>
        <v>0.20872925844745877</v>
        <stp/>
        <stp>EM_S_RATIO_EPS_TTM</stp>
        <stp>3</stp>
        <stp>002566</stp>
        <stp>12/31/2018</stp>
        <stp>1</stp>
        <tr r="U1514" s="1"/>
      </tp>
      <tp>
        <v>1.9264539126044351</v>
        <stp/>
        <stp>EM_S_RATIO_EPS_TTM</stp>
        <stp>3</stp>
        <stp>002466</stp>
        <stp>12/31/2018</stp>
        <stp>1</stp>
        <tr r="U2482" s="1"/>
      </tp>
      <tp>
        <v>-1.7054311568211891</v>
        <stp/>
        <stp>EM_S_RATIO_EPS_TTM</stp>
        <stp>3</stp>
        <stp>002766</stp>
        <stp>12/31/2018</stp>
        <stp>1</stp>
        <tr r="U3305" s="1"/>
      </tp>
      <tp>
        <v>0.19199422487475326</v>
        <stp/>
        <stp>EM_S_RATIO_EPS_TTM</stp>
        <stp>3</stp>
        <stp>002666</stp>
        <stp>12/31/2018</stp>
        <stp>1</stp>
        <tr r="U1190" s="1"/>
      </tp>
      <tp>
        <v>0.39441061560772395</v>
        <stp/>
        <stp>EM_S_RATIO_EPS_TTM</stp>
        <stp>3</stp>
        <stp>002866</stp>
        <stp>12/31/2018</stp>
        <stp>1</stp>
        <tr r="U796" s="1"/>
      </tp>
      <tp>
        <v>1.8768535277377991E-2</v>
        <stp/>
        <stp>EM_S_RATIO_EPS_TTM</stp>
        <stp>3</stp>
        <stp>601106</stp>
        <stp>12/31/2018</stp>
        <stp>1</stp>
        <tr r="U1844" s="1"/>
      </tp>
      <tp>
        <v>0.97829820131698786</v>
        <stp/>
        <stp>EM_S_RATIO_EPS_TTM</stp>
        <stp>3</stp>
        <stp>601006</stp>
        <stp>12/31/2018</stp>
        <stp>1</stp>
        <tr r="U2343" s="1"/>
      </tp>
      <tp>
        <v>0.84504398579710149</v>
        <stp/>
        <stp>EM_S_RATIO_EPS_TTM</stp>
        <stp>3</stp>
        <stp>601206</stp>
        <stp>12/31/2018</stp>
        <stp>1</stp>
        <tr r="U13" s="1"/>
      </tp>
      <tp>
        <v>0.18460236614861464</v>
        <stp/>
        <stp>EM_S_RATIO_EPS_TTM</stp>
        <stp>3</stp>
        <stp>000166</stp>
        <stp>12/31/2018</stp>
        <stp>1</stp>
        <tr r="U3413" s="1"/>
      </tp>
      <tp>
        <v>-1.4789949403351801</v>
        <stp/>
        <stp>EM_S_RATIO_EPS_TTM</stp>
        <stp>3</stp>
        <stp>300156</stp>
        <stp>12/31/2018</stp>
        <stp>1</stp>
        <tr r="U3381" s="1"/>
      </tp>
      <tp>
        <v>0.20476462361215209</v>
        <stp/>
        <stp>EM_S_RATIO_EPS_TTM</stp>
        <stp>3</stp>
        <stp>600106</stp>
        <stp>12/31/2018</stp>
        <stp>1</stp>
        <tr r="U2193" s="1"/>
      </tp>
      <tp>
        <v>0.33618685812117488</v>
        <stp/>
        <stp>EM_S_RATIO_EPS_TTM</stp>
        <stp>3</stp>
        <stp>000066</stp>
        <stp>12/31/2018</stp>
        <stp>1</stp>
        <tr r="U34" s="1"/>
      </tp>
      <tp>
        <v>-1.1137995981653948</v>
        <stp/>
        <stp>EM_S_RATIO_EPS_TTM</stp>
        <stp>3</stp>
        <stp>300056</stp>
        <stp>12/31/2018</stp>
        <stp>1</stp>
        <tr r="U1201" s="1"/>
      </tp>
      <tp>
        <v>0.27692428862000001</v>
        <stp/>
        <stp>EM_S_RATIO_EPS_TTM</stp>
        <stp>3</stp>
        <stp>600006</stp>
        <stp>12/31/2018</stp>
        <stp>1</stp>
        <tr r="U1054" s="1"/>
      </tp>
      <tp>
        <v>5.6926400369801039E-2</v>
        <stp/>
        <stp>EM_S_RATIO_EPS_TTM</stp>
        <stp>3</stp>
        <stp>300356</stp>
        <stp>12/31/2018</stp>
        <stp>1</stp>
        <tr r="U792" s="1"/>
      </tp>
      <tp>
        <v>-0.71665752000357386</v>
        <stp/>
        <stp>EM_S_RATIO_EPS_TTM</stp>
        <stp>3</stp>
        <stp>600306</stp>
        <stp>12/31/2018</stp>
        <stp>1</stp>
        <tr r="U2801" s="1"/>
      </tp>
      <tp>
        <v>-1.7569913523472938</v>
        <stp/>
        <stp>EM_S_RATIO_EPS_TTM</stp>
        <stp>3</stp>
        <stp>300256</stp>
        <stp>12/31/2018</stp>
        <stp>1</stp>
        <tr r="U154" s="1"/>
      </tp>
      <tp>
        <v>9.3223706246330945E-2</v>
        <stp/>
        <stp>EM_S_RATIO_EPS_TTM</stp>
        <stp>3</stp>
        <stp>600206</stp>
        <stp>12/31/2018</stp>
        <stp>1</stp>
        <tr r="U232" s="1"/>
      </tp>
      <tp>
        <v>8.9499296030989897E-2</v>
        <stp/>
        <stp>EM_S_RATIO_EPS_TTM</stp>
        <stp>3</stp>
        <stp>000566</stp>
        <stp>12/31/2018</stp>
        <stp>1</stp>
        <tr r="U1499" s="1"/>
      </tp>
      <tp>
        <v>0.47152690593111135</v>
        <stp/>
        <stp>EM_S_RATIO_EPS_TTM</stp>
        <stp>3</stp>
        <stp>300556</stp>
        <stp>12/31/2018</stp>
        <stp>1</stp>
        <tr r="U2073" s="1"/>
      </tp>
      <tp>
        <v>3.0653876478720123E-2</v>
        <stp/>
        <stp>EM_S_RATIO_EPS_TTM</stp>
        <stp>3</stp>
        <stp>600506</stp>
        <stp>12/31/2018</stp>
        <stp>1</stp>
        <tr r="U2132" s="1"/>
      </tp>
      <tp>
        <v>0.33443809533388469</v>
        <stp/>
        <stp>EM_S_RATIO_EPS_TTM</stp>
        <stp>3</stp>
        <stp>300456</stp>
        <stp>12/31/2018</stp>
        <stp>1</stp>
        <tr r="U1723" s="1"/>
      </tp>
      <tp>
        <v>0.90802346078095331</v>
        <stp/>
        <stp>EM_S_RATIO_EPS_TTM</stp>
        <stp>3</stp>
        <stp>600406</stp>
        <stp>12/31/2018</stp>
        <stp>1</stp>
        <tr r="U1471" s="1"/>
      </tp>
      <tp>
        <v>0.34232791327640455</v>
        <stp/>
        <stp>EM_S_RATIO_EPS_TTM</stp>
        <stp>3</stp>
        <stp>000766</stp>
        <stp>12/31/2018</stp>
        <stp>1</stp>
        <tr r="U2592" s="1"/>
      </tp>
      <tp>
        <v>0.42391897818320934</v>
        <stp/>
        <stp>EM_S_RATIO_EPS_TTM</stp>
        <stp>3</stp>
        <stp>600706</stp>
        <stp>12/31/2018</stp>
        <stp>1</stp>
        <tr r="U2912" s="1"/>
      </tp>
      <tp>
        <v>1.0750968789570108</v>
        <stp/>
        <stp>EM_S_RATIO_EPS_TTM</stp>
        <stp>3</stp>
        <stp>000666</stp>
        <stp>12/31/2018</stp>
        <stp>1</stp>
        <tr r="U1969" s="1"/>
      </tp>
      <tp>
        <v>0.59376890988888886</v>
        <stp/>
        <stp>EM_S_RATIO_EPS_TTM</stp>
        <stp>3</stp>
        <stp>300656</stp>
        <stp>12/31/2018</stp>
        <stp>1</stp>
        <tr r="U2217" s="1"/>
      </tp>
      <tp>
        <v>0.93479950853121918</v>
        <stp/>
        <stp>EM_S_RATIO_EPS_TTM</stp>
        <stp>3</stp>
        <stp>600606</stp>
        <stp>12/31/2018</stp>
        <stp>1</stp>
        <tr r="U1591" s="1"/>
      </tp>
      <tp>
        <v>0.18829696420434011</v>
        <stp/>
        <stp>EM_S_RATIO_EPS_TTM</stp>
        <stp>3</stp>
        <stp>000966</stp>
        <stp>12/31/2018</stp>
        <stp>1</stp>
        <tr r="U869" s="1"/>
      </tp>
      <tp>
        <v>1.5109034797038627</v>
        <stp/>
        <stp>EM_S_RATIO_EPS_TTM</stp>
        <stp>3</stp>
        <stp>000866</stp>
        <stp>12/31/2018</stp>
        <stp>1</stp>
        <tr r="U3558" s="1"/>
      </tp>
      <tp>
        <v>-0.47226206743793708</v>
        <stp/>
        <stp>EM_S_RATIO_EPS_TTM</stp>
        <stp>3</stp>
        <stp>600806</stp>
        <stp>12/31/2018</stp>
        <stp>1</stp>
        <tr r="U2326" s="1"/>
      </tp>
      <tp>
        <v>0.29231792395833334</v>
        <stp/>
        <stp>EM_S_RATIO_EPS_TTM</stp>
        <stp>3</stp>
        <stp>603101</stp>
        <stp>12/31/2018</stp>
        <stp>1</stp>
        <tr r="U3340" s="1"/>
      </tp>
      <tp>
        <v>0.34152948700683322</v>
        <stp/>
        <stp>EM_S_RATIO_EPS_TTM</stp>
        <stp>3</stp>
        <stp>603001</stp>
        <stp>12/31/2018</stp>
        <stp>1</stp>
        <tr r="U2795" s="1"/>
      </tp>
      <tp>
        <v>1.3020357712000001</v>
        <stp/>
        <stp>EM_S_RATIO_EPS_TTM</stp>
        <stp>3</stp>
        <stp>603301</stp>
        <stp>12/31/2018</stp>
        <stp>1</stp>
        <tr r="U3245" s="1"/>
      </tp>
      <tp>
        <v>0.30451978774497329</v>
        <stp/>
        <stp>EM_S_RATIO_EPS_TTM</stp>
        <stp>3</stp>
        <stp>603501</stp>
        <stp>12/31/2018</stp>
        <stp>1</stp>
        <tr r="U18" s="1"/>
      </tp>
      <tp>
        <v>0.75884263314792455</v>
        <stp/>
        <stp>EM_S_RATIO_EPS_TTM</stp>
        <stp>3</stp>
        <stp>603701</stp>
        <stp>12/31/2018</stp>
        <stp>1</stp>
        <tr r="U1613" s="1"/>
      </tp>
      <tp>
        <v>0.29402754499575923</v>
        <stp/>
        <stp>EM_S_RATIO_EPS_TTM</stp>
        <stp>3</stp>
        <stp>603601</stp>
        <stp>12/31/2018</stp>
        <stp>1</stp>
        <tr r="U2589" s="1"/>
      </tp>
      <tp>
        <v>0.16883517969335901</v>
        <stp/>
        <stp>EM_S_RATIO_EPS_TTM</stp>
        <stp>3</stp>
        <stp>603901</stp>
        <stp>12/31/2018</stp>
        <stp>1</stp>
        <tr r="U415" s="1"/>
      </tp>
      <tp>
        <v>1.7056135857500001</v>
        <stp/>
        <stp>EM_S_RATIO_EPS_TTM</stp>
        <stp>3</stp>
        <stp>603801</stp>
        <stp>12/31/2018</stp>
        <stp>1</stp>
        <tr r="U2581" s="1"/>
      </tp>
      <tp>
        <v>-0.24201294059376763</v>
        <stp/>
        <stp>EM_S_RATIO_EPS_TTM</stp>
        <stp>3</stp>
        <stp>002161</stp>
        <stp>12/31/2018</stp>
        <stp>1</stp>
        <tr r="U278" s="1"/>
      </tp>
      <tp>
        <v>0.88168947272749532</v>
        <stp/>
        <stp>EM_S_RATIO_EPS_TTM</stp>
        <stp>3</stp>
        <stp>002061</stp>
        <stp>12/31/2018</stp>
        <stp>1</stp>
        <tr r="U3337" s="1"/>
      </tp>
      <tp>
        <v>9.232326749696261E-2</v>
        <stp/>
        <stp>EM_S_RATIO_EPS_TTM</stp>
        <stp>3</stp>
        <stp>002361</stp>
        <stp>12/31/2018</stp>
        <stp>1</stp>
        <tr r="U1315" s="1"/>
      </tp>
      <tp>
        <v>-1.2408295128437885</v>
        <stp/>
        <stp>EM_S_RATIO_EPS_TTM</stp>
        <stp>3</stp>
        <stp>002261</stp>
        <stp>12/31/2018</stp>
        <stp>1</stp>
        <tr r="U164" s="1"/>
      </tp>
      <tp>
        <v>0.55629615273605393</v>
        <stp/>
        <stp>EM_S_RATIO_EPS_TTM</stp>
        <stp>3</stp>
        <stp>002561</stp>
        <stp>12/31/2018</stp>
        <stp>1</stp>
        <tr r="U1959" s="1"/>
      </tp>
      <tp>
        <v>0.165555800402478</v>
        <stp/>
        <stp>EM_S_RATIO_EPS_TTM</stp>
        <stp>3</stp>
        <stp>002461</stp>
        <stp>12/31/2018</stp>
        <stp>1</stp>
        <tr r="U428" s="1"/>
      </tp>
      <tp>
        <v>0.13620013980392157</v>
        <stp/>
        <stp>EM_S_RATIO_EPS_TTM</stp>
        <stp>3</stp>
        <stp>002761</stp>
        <stp>12/31/2018</stp>
        <stp>1</stp>
        <tr r="U3296" s="1"/>
      </tp>
      <tp>
        <v>0.56008593756030067</v>
        <stp/>
        <stp>EM_S_RATIO_EPS_TTM</stp>
        <stp>3</stp>
        <stp>002661</stp>
        <stp>12/31/2018</stp>
        <stp>1</stp>
        <tr r="U2711" s="1"/>
      </tp>
      <tp>
        <v>0.52559886803739897</v>
        <stp/>
        <stp>EM_S_RATIO_EPS_TTM</stp>
        <stp>3</stp>
        <stp>002861</stp>
        <stp>12/31/2018</stp>
        <stp>1</stp>
        <tr r="U286" s="1"/>
      </tp>
      <tp>
        <v>0.60097934046025026</v>
        <stp/>
        <stp>EM_S_RATIO_EPS_TTM</stp>
        <stp>3</stp>
        <stp>601101</stp>
        <stp>12/31/2018</stp>
        <stp>1</stp>
        <tr r="U3038" s="1"/>
      </tp>
      <tp>
        <v>0.39416336206608116</v>
        <stp/>
        <stp>EM_S_RATIO_EPS_TTM</stp>
        <stp>3</stp>
        <stp>601001</stp>
        <stp>12/31/2018</stp>
        <stp>1</stp>
        <tr r="U2169" s="1"/>
      </tp>
      <tp>
        <v>1.9884131538291767</v>
        <stp/>
        <stp>EM_S_RATIO_EPS_TTM</stp>
        <stp>3</stp>
        <stp>601601</stp>
        <stp>12/31/2018</stp>
        <stp>1</stp>
        <tr r="U836" s="1"/>
      </tp>
      <tp>
        <v>8.0339862056570302E-2</v>
        <stp/>
        <stp>EM_S_RATIO_EPS_TTM</stp>
        <stp>3</stp>
        <stp>601901</stp>
        <stp>12/31/2018</stp>
        <stp>1</stp>
        <tr r="U408" s="1"/>
      </tp>
      <tp>
        <v>0.54638117614738013</v>
        <stp/>
        <stp>EM_S_RATIO_EPS_TTM</stp>
        <stp>3</stp>
        <stp>601801</stp>
        <stp>12/31/2018</stp>
        <stp>1</stp>
        <tr r="U3010" s="1"/>
      </tp>
      <tp>
        <v>0.11312447936318408</v>
        <stp/>
        <stp>EM_S_RATIO_EPS_TTM</stp>
        <stp>3</stp>
        <stp>300151</stp>
        <stp>12/31/2018</stp>
        <stp>1</stp>
        <tr r="U378" s="1"/>
      </tp>
      <tp>
        <v>0.31396549662750034</v>
        <stp/>
        <stp>EM_S_RATIO_EPS_TTM</stp>
        <stp>3</stp>
        <stp>600101</stp>
        <stp>12/31/2018</stp>
        <stp>1</stp>
        <tr r="U1988" s="1"/>
      </tp>
      <tp>
        <v>2.5202125041262877E-2</v>
        <stp/>
        <stp>EM_S_RATIO_EPS_TTM</stp>
        <stp>3</stp>
        <stp>000061</stp>
        <stp>12/31/2018</stp>
        <stp>1</stp>
        <tr r="U1460" s="1"/>
      </tp>
      <tp>
        <v>-0.94352297469857127</v>
        <stp/>
        <stp>EM_S_RATIO_EPS_TTM</stp>
        <stp>3</stp>
        <stp>300051</stp>
        <stp>12/31/2018</stp>
        <stp>1</stp>
        <tr r="U2016" s="1"/>
      </tp>
      <tp>
        <v>-7.8527129739666864E-3</v>
        <stp/>
        <stp>EM_S_RATIO_EPS_TTM</stp>
        <stp>3</stp>
        <stp>600001</stp>
        <stp>12/31/2018</stp>
        <stp>1</stp>
        <tr r="U2285" s="1"/>
      </tp>
      <tp>
        <v>-1.1926780524657503</v>
        <stp/>
        <stp>EM_S_RATIO_EPS_TTM</stp>
        <stp>3</stp>
        <stp>300351</stp>
        <stp>12/31/2018</stp>
        <stp>1</stp>
        <tr r="U1871" s="1"/>
      </tp>
      <tp>
        <v>0.23016135445511071</v>
        <stp/>
        <stp>EM_S_RATIO_EPS_TTM</stp>
        <stp>3</stp>
        <stp>600301</stp>
        <stp>12/31/2018</stp>
        <stp>1</stp>
        <tr r="U1636" s="1"/>
      </tp>
      <tp>
        <v>0.46812479565098275</v>
        <stp/>
        <stp>EM_S_RATIO_EPS_TTM</stp>
        <stp>3</stp>
        <stp>300251</stp>
        <stp>12/31/2018</stp>
        <stp>1</stp>
        <tr r="U501" s="1"/>
      </tp>
      <tp>
        <v>0.64454628012581983</v>
        <stp/>
        <stp>EM_S_RATIO_EPS_TTM</stp>
        <stp>3</stp>
        <stp>600201</stp>
        <stp>12/31/2018</stp>
        <stp>1</stp>
        <tr r="U1517" s="1"/>
      </tp>
      <tp>
        <v>0.14303839667351931</v>
        <stp/>
        <stp>EM_S_RATIO_EPS_TTM</stp>
        <stp>3</stp>
        <stp>000561</stp>
        <stp>12/31/2018</stp>
        <stp>1</stp>
        <tr r="U926" s="1"/>
      </tp>
      <tp>
        <v>0.11499760468920392</v>
        <stp/>
        <stp>EM_S_RATIO_EPS_TTM</stp>
        <stp>3</stp>
        <stp>300551</stp>
        <stp>12/31/2018</stp>
        <stp>1</stp>
        <tr r="U113" s="1"/>
      </tp>
      <tp>
        <v>-0.39115624275428718</v>
        <stp/>
        <stp>EM_S_RATIO_EPS_TTM</stp>
        <stp>3</stp>
        <stp>600501</stp>
        <stp>12/31/2018</stp>
        <stp>1</stp>
        <tr r="U972" s="1"/>
      </tp>
      <tp>
        <v>0.4381054964899237</v>
        <stp/>
        <stp>EM_S_RATIO_EPS_TTM</stp>
        <stp>3</stp>
        <stp>300451</stp>
        <stp>12/31/2018</stp>
        <stp>1</stp>
        <tr r="U2693" s="1"/>
      </tp>
      <tp>
        <v>-0.79094008681751315</v>
        <stp/>
        <stp>EM_S_RATIO_EPS_TTM</stp>
        <stp>3</stp>
        <stp>600401</stp>
        <stp>12/31/2018</stp>
        <stp>1</stp>
        <tr r="U3407" s="1"/>
      </tp>
      <tp>
        <v>0.26745648191699622</v>
        <stp/>
        <stp>EM_S_RATIO_EPS_TTM</stp>
        <stp>3</stp>
        <stp>000761</stp>
        <stp>12/31/2018</stp>
        <stp>1</stp>
        <tr r="U1372" s="1"/>
      </tp>
      <tp>
        <v>-3.5598400893125879</v>
        <stp/>
        <stp>EM_S_RATIO_EPS_TTM</stp>
        <stp>3</stp>
        <stp>600701</stp>
        <stp>12/31/2018</stp>
        <stp>1</stp>
        <tr r="U3066" s="1"/>
      </tp>
      <tp>
        <v>5.9166536843184119</v>
        <stp/>
        <stp>EM_S_RATIO_EPS_TTM</stp>
        <stp>3</stp>
        <stp>000661</stp>
        <stp>12/31/2018</stp>
        <stp>1</stp>
        <tr r="U85" s="1"/>
      </tp>
      <tp>
        <v>0.4674837512907119</v>
        <stp/>
        <stp>EM_S_RATIO_EPS_TTM</stp>
        <stp>3</stp>
        <stp>300651</stp>
        <stp>12/31/2018</stp>
        <stp>1</stp>
        <tr r="U3284" s="1"/>
      </tp>
      <tp>
        <v>2.5095891787081034E-2</v>
        <stp/>
        <stp>EM_S_RATIO_EPS_TTM</stp>
        <stp>3</stp>
        <stp>600601</stp>
        <stp>12/31/2018</stp>
        <stp>1</stp>
        <tr r="U651" s="1"/>
      </tp>
      <tp>
        <v>0.5911651549607071</v>
        <stp/>
        <stp>EM_S_RATIO_EPS_TTM</stp>
        <stp>3</stp>
        <stp>000961</stp>
        <stp>12/31/2018</stp>
        <stp>1</stp>
        <tr r="U207" s="1"/>
      </tp>
      <tp>
        <v>0.41887559259840257</v>
        <stp/>
        <stp>EM_S_RATIO_EPS_TTM</stp>
        <stp>3</stp>
        <stp>600901</stp>
        <stp>12/31/2018</stp>
        <stp>1</stp>
        <tr r="U1864" s="1"/>
      </tp>
      <tp>
        <v>6.1207498190644576E-2</v>
        <stp/>
        <stp>EM_S_RATIO_EPS_TTM</stp>
        <stp>3</stp>
        <stp>000861</stp>
        <stp>12/31/2018</stp>
        <stp>1</stp>
        <tr r="U3556" s="1"/>
      </tp>
      <tp>
        <v>3.4599010574671629</v>
        <stp/>
        <stp>EM_S_RATIO_EPS_TTM</stp>
        <stp>3</stp>
        <stp>600801</stp>
        <stp>12/31/2018</stp>
        <stp>1</stp>
        <tr r="U585" s="1"/>
      </tp>
      <tp>
        <v>0.97861745967088609</v>
        <stp/>
        <stp>EM_S_RATIO_EPS_TTM</stp>
        <stp>3</stp>
        <stp>603100</stp>
        <stp>12/31/2018</stp>
        <stp>1</stp>
        <tr r="U1357" s="1"/>
      </tp>
      <tp>
        <v>0.19344579855224947</v>
        <stp/>
        <stp>EM_S_RATIO_EPS_TTM</stp>
        <stp>3</stp>
        <stp>603000</stp>
        <stp>12/31/2018</stp>
        <stp>1</stp>
        <tr r="U61" s="1"/>
      </tp>
      <tp>
        <v>-5.9320787759152886E-2</v>
        <stp/>
        <stp>EM_S_RATIO_EPS_TTM</stp>
        <stp>3</stp>
        <stp>603300</stp>
        <stp>12/31/2018</stp>
        <stp>1</stp>
        <tr r="U370" s="1"/>
      </tp>
      <tp>
        <v>1.0670901210615036</v>
        <stp/>
        <stp>EM_S_RATIO_EPS_TTM</stp>
        <stp>3</stp>
        <stp>603200</stp>
        <stp>12/31/2018</stp>
        <stp>1</stp>
        <tr r="U3342" s="1"/>
      </tp>
      <tp>
        <v>0.4669765473356009</v>
        <stp/>
        <stp>EM_S_RATIO_EPS_TTM</stp>
        <stp>3</stp>
        <stp>603500</stp>
        <stp>12/31/2018</stp>
        <stp>1</stp>
        <tr r="U1345" s="1"/>
      </tp>
      <tp>
        <v>0.34330318222484169</v>
        <stp/>
        <stp>EM_S_RATIO_EPS_TTM</stp>
        <stp>3</stp>
        <stp>603600</stp>
        <stp>12/31/2018</stp>
        <stp>1</stp>
        <tr r="U311" s="1"/>
      </tp>
      <tp>
        <v>0.61563376234720413</v>
        <stp/>
        <stp>EM_S_RATIO_EPS_TTM</stp>
        <stp>3</stp>
        <stp>603900</stp>
        <stp>12/31/2018</stp>
        <stp>1</stp>
        <tr r="U3083" s="1"/>
      </tp>
      <tp>
        <v>0.42821214985576922</v>
        <stp/>
        <stp>EM_S_RATIO_EPS_TTM</stp>
        <stp>3</stp>
        <stp>603800</stp>
        <stp>12/31/2018</stp>
        <stp>1</stp>
        <tr r="U1378" s="1"/>
      </tp>
      <tp>
        <v>-0.56879658985350989</v>
        <stp/>
        <stp>EM_S_RATIO_EPS_TTM</stp>
        <stp>3</stp>
        <stp>002160</stp>
        <stp>12/31/2018</stp>
        <stp>1</stp>
        <tr r="U3009" s="1"/>
      </tp>
      <tp>
        <v>0.16697571406682452</v>
        <stp/>
        <stp>EM_S_RATIO_EPS_TTM</stp>
        <stp>3</stp>
        <stp>002060</stp>
        <stp>12/31/2018</stp>
        <stp>1</stp>
        <tr r="U1677" s="1"/>
      </tp>
      <tp>
        <v>0.36698026658656707</v>
        <stp/>
        <stp>EM_S_RATIO_EPS_TTM</stp>
        <stp>3</stp>
        <stp>002360</stp>
        <stp>12/31/2018</stp>
        <stp>1</stp>
        <tr r="U2452" s="1"/>
      </tp>
      <tp>
        <v>-0.65041093382352944</v>
        <stp/>
        <stp>EM_S_RATIO_EPS_TTM</stp>
        <stp>3</stp>
        <stp>002260</stp>
        <stp>12/31/2018</stp>
        <stp>1</stp>
        <tr r="U2467" s="1"/>
      </tp>
      <tp>
        <v>-2.6927765019782494E-2</v>
        <stp/>
        <stp>EM_S_RATIO_EPS_TTM</stp>
        <stp>3</stp>
        <stp>002560</stp>
        <stp>12/31/2018</stp>
        <stp>1</stp>
        <tr r="U1921" s="1"/>
      </tp>
      <tp>
        <v>0.93019823057716255</v>
        <stp/>
        <stp>EM_S_RATIO_EPS_TTM</stp>
        <stp>3</stp>
        <stp>002460</stp>
        <stp>12/31/2018</stp>
        <stp>1</stp>
        <tr r="U490" s="1"/>
      </tp>
      <tp>
        <v>0.34615863295454546</v>
        <stp/>
        <stp>EM_S_RATIO_EPS_TTM</stp>
        <stp>3</stp>
        <stp>002760</stp>
        <stp>12/31/2018</stp>
        <stp>1</stp>
        <tr r="U1204" s="1"/>
      </tp>
      <tp>
        <v>-0.93231923952180296</v>
        <stp/>
        <stp>EM_S_RATIO_EPS_TTM</stp>
        <stp>3</stp>
        <stp>002660</stp>
        <stp>12/31/2018</stp>
        <stp>1</stp>
        <tr r="U568" s="1"/>
      </tp>
      <tp>
        <v>0.81774085616125469</v>
        <stp/>
        <stp>EM_S_RATIO_EPS_TTM</stp>
        <stp>3</stp>
        <stp>002860</stp>
        <stp>12/31/2018</stp>
        <stp>1</stp>
        <tr r="U1191" s="1"/>
      </tp>
      <tp>
        <v>0.94857535267573689</v>
        <stp/>
        <stp>EM_S_RATIO_EPS_TTM</stp>
        <stp>3</stp>
        <stp>601100</stp>
        <stp>12/31/2018</stp>
        <stp>1</stp>
        <tr r="U79" s="1"/>
      </tp>
      <tp>
        <v>0.27168147191420083</v>
        <stp/>
        <stp>EM_S_RATIO_EPS_TTM</stp>
        <stp>3</stp>
        <stp>601000</stp>
        <stp>12/31/2018</stp>
        <stp>1</stp>
        <tr r="U1833" s="1"/>
      </tp>
      <tp>
        <v>0.82250847179818309</v>
        <stp/>
        <stp>EM_S_RATIO_EPS_TTM</stp>
        <stp>3</stp>
        <stp>601200</stp>
        <stp>12/31/2018</stp>
        <stp>1</stp>
        <tr r="U2980" s="1"/>
      </tp>
      <tp>
        <v>0.20383467774821182</v>
        <stp/>
        <stp>EM_S_RATIO_EPS_TTM</stp>
        <stp>3</stp>
        <stp>601500</stp>
        <stp>12/31/2018</stp>
        <stp>1</stp>
        <tr r="U2436" s="1"/>
      </tp>
      <tp>
        <v>2.755460106138902E-2</v>
        <stp/>
        <stp>EM_S_RATIO_EPS_TTM</stp>
        <stp>3</stp>
        <stp>601700</stp>
        <stp>12/31/2018</stp>
        <stp>1</stp>
        <tr r="U297" s="1"/>
      </tp>
      <tp>
        <v>5.838981353746233E-2</v>
        <stp/>
        <stp>EM_S_RATIO_EPS_TTM</stp>
        <stp>3</stp>
        <stp>601600</stp>
        <stp>12/31/2018</stp>
        <stp>1</stp>
        <tr r="U2346" s="1"/>
      </tp>
      <tp>
        <v>0.73145546241467374</v>
        <stp/>
        <stp>EM_S_RATIO_EPS_TTM</stp>
        <stp>3</stp>
        <stp>601900</stp>
        <stp>12/31/2018</stp>
        <stp>1</stp>
        <tr r="U1823" s="1"/>
      </tp>
      <tp>
        <v>1.2167380336609122</v>
        <stp/>
        <stp>EM_S_RATIO_EPS_TTM</stp>
        <stp>3</stp>
        <stp>601800</stp>
        <stp>12/31/2018</stp>
        <stp>1</stp>
        <tr r="U3086" s="1"/>
      </tp>
      <tp>
        <v>0.15080924220074679</v>
        <stp/>
        <stp>EM_S_RATIO_EPS_TTM</stp>
        <stp>3</stp>
        <stp>300150</stp>
        <stp>12/31/2018</stp>
        <stp>1</stp>
        <tr r="U2203" s="1"/>
      </tp>
      <tp>
        <v>-1.3090112032196608</v>
        <stp/>
        <stp>EM_S_RATIO_EPS_TTM</stp>
        <stp>3</stp>
        <stp>600100</stp>
        <stp>12/31/2018</stp>
        <stp>1</stp>
        <tr r="U2791" s="1"/>
      </tp>
      <tp>
        <v>0.25770893288880642</v>
        <stp/>
        <stp>EM_S_RATIO_EPS_TTM</stp>
        <stp>3</stp>
        <stp>000060</stp>
        <stp>12/31/2018</stp>
        <stp>1</stp>
        <tr r="U1710" s="1"/>
      </tp>
      <tp>
        <v>0.10405377400107602</v>
        <stp/>
        <stp>EM_S_RATIO_EPS_TTM</stp>
        <stp>3</stp>
        <stp>300050</stp>
        <stp>12/31/2018</stp>
        <stp>1</stp>
        <tr r="U2656" s="1"/>
      </tp>
      <tp>
        <v>1.9049416342466419</v>
        <stp/>
        <stp>EM_S_RATIO_EPS_TTM</stp>
        <stp>3</stp>
        <stp>600000</stp>
        <stp>12/31/2018</stp>
        <stp>1</stp>
        <tr r="U1062" s="1"/>
      </tp>
      <tp>
        <v>-1.2625321389810118</v>
        <stp/>
        <stp>EM_S_RATIO_EPS_TTM</stp>
        <stp>3</stp>
        <stp>300350</stp>
        <stp>12/31/2018</stp>
        <stp>1</stp>
        <tr r="U2687" s="1"/>
      </tp>
      <tp>
        <v>3.8706724407894737E-2</v>
        <stp/>
        <stp>EM_S_RATIO_EPS_TTM</stp>
        <stp>3</stp>
        <stp>600300</stp>
        <stp>12/31/2018</stp>
        <stp>1</stp>
        <tr r="U1995" s="1"/>
      </tp>
      <tp>
        <v>-1.3260395644494938</v>
        <stp/>
        <stp>EM_S_RATIO_EPS_TTM</stp>
        <stp>3</stp>
        <stp>300250</stp>
        <stp>12/31/2018</stp>
        <stp>1</stp>
        <tr r="U1446" s="1"/>
      </tp>
      <tp>
        <v>-0.39558319414052817</v>
        <stp/>
        <stp>EM_S_RATIO_EPS_TTM</stp>
        <stp>3</stp>
        <stp>600200</stp>
        <stp>12/31/2018</stp>
        <stp>1</stp>
        <tr r="U2906" s="1"/>
      </tp>
      <tp>
        <v>0.2678863635146273</v>
        <stp/>
        <stp>EM_S_RATIO_EPS_TTM</stp>
        <stp>3</stp>
        <stp>000560</stp>
        <stp>12/31/2018</stp>
        <stp>1</stp>
        <tr r="U2688" s="1"/>
      </tp>
      <tp>
        <v>0.48674963088217593</v>
        <stp/>
        <stp>EM_S_RATIO_EPS_TTM</stp>
        <stp>3</stp>
        <stp>300550</stp>
        <stp>12/31/2018</stp>
        <stp>1</stp>
        <tr r="U3349" s="1"/>
      </tp>
      <tp>
        <v>0.43739243735018069</v>
        <stp/>
        <stp>EM_S_RATIO_EPS_TTM</stp>
        <stp>3</stp>
        <stp>600500</stp>
        <stp>12/31/2018</stp>
        <stp>1</stp>
        <tr r="U3109" s="1"/>
      </tp>
      <tp>
        <v>0.8420955912758934</v>
        <stp/>
        <stp>EM_S_RATIO_EPS_TTM</stp>
        <stp>3</stp>
        <stp>300450</stp>
        <stp>12/31/2018</stp>
        <stp>1</stp>
        <tr r="U468" s="1"/>
      </tp>
      <tp>
        <v>8.1738325544140469E-2</v>
        <stp/>
        <stp>EM_S_RATIO_EPS_TTM</stp>
        <stp>3</stp>
        <stp>600400</stp>
        <stp>12/31/2018</stp>
        <stp>1</stp>
        <tr r="U2812" s="1"/>
      </tp>
      <tp>
        <v>-1.6951564514484125</v>
        <stp/>
        <stp>EM_S_RATIO_EPS_TTM</stp>
        <stp>3</stp>
        <stp>000760</stp>
        <stp>12/31/2018</stp>
        <stp>1</stp>
        <tr r="U3530" s="1"/>
      </tp>
      <tp>
        <v>1.5430561997549541</v>
        <stp/>
        <stp>EM_S_RATIO_EPS_TTM</stp>
        <stp>3</stp>
        <stp>300750</stp>
        <stp>12/31/2018</stp>
        <stp>1</stp>
        <tr r="U579" s="1"/>
      </tp>
      <tp>
        <v>-0.20303545594778277</v>
        <stp/>
        <stp>EM_S_RATIO_EPS_TTM</stp>
        <stp>3</stp>
        <stp>600700</stp>
        <stp>12/31/2018</stp>
        <stp>1</stp>
        <tr r="U2317" s="1"/>
      </tp>
      <tp>
        <v>0.10084743561781033</v>
        <stp/>
        <stp>EM_S_RATIO_EPS_TTM</stp>
        <stp>3</stp>
        <stp>000660</stp>
        <stp>12/31/2018</stp>
        <stp>1</stp>
        <tr r="U3496" s="1"/>
      </tp>
      <tp>
        <v>0.5342300281504887</v>
        <stp/>
        <stp>EM_S_RATIO_EPS_TTM</stp>
        <stp>3</stp>
        <stp>300650</stp>
        <stp>12/31/2018</stp>
        <stp>1</stp>
        <tr r="U1066" s="1"/>
      </tp>
      <tp>
        <v>1.0527148904216801</v>
        <stp/>
        <stp>EM_S_RATIO_EPS_TTM</stp>
        <stp>3</stp>
        <stp>600600</stp>
        <stp>12/31/2018</stp>
        <stp>1</stp>
        <tr r="U615" s="1"/>
      </tp>
      <tp>
        <v>0.52805860843264008</v>
        <stp/>
        <stp>EM_S_RATIO_EPS_TTM</stp>
        <stp>3</stp>
        <stp>000960</stp>
        <stp>12/31/2018</stp>
        <stp>1</stp>
        <tr r="U1651" s="1"/>
      </tp>
      <tp>
        <v>1.0277698372904545</v>
        <stp/>
        <stp>EM_S_RATIO_EPS_TTM</stp>
        <stp>3</stp>
        <stp>600900</stp>
        <stp>12/31/2018</stp>
        <stp>1</stp>
        <tr r="U1447" s="1"/>
      </tp>
      <tp>
        <v>1.3043620451373077</v>
        <stp/>
        <stp>EM_S_RATIO_EPS_TTM</stp>
        <stp>3</stp>
        <stp>000860</stp>
        <stp>12/31/2018</stp>
        <stp>1</stp>
        <tr r="U371" s="1"/>
      </tp>
      <tp>
        <v>0.11857740104939078</v>
        <stp/>
        <stp>EM_S_RATIO_EPS_TTM</stp>
        <stp>3</stp>
        <stp>600800</stp>
        <stp>12/31/2018</stp>
        <stp>1</stp>
        <tr r="U1729" s="1"/>
      </tp>
      <tp>
        <v>0.70791822403973514</v>
        <stp/>
        <stp>EM_S_RATIO_EPS_TTM</stp>
        <stp>3</stp>
        <stp>603103</stp>
        <stp>12/31/2018</stp>
        <stp>1</stp>
        <tr r="U2987" s="1"/>
      </tp>
      <tp>
        <v>0.15251806965067749</v>
        <stp/>
        <stp>EM_S_RATIO_EPS_TTM</stp>
        <stp>3</stp>
        <stp>603003</stp>
        <stp>12/31/2018</stp>
        <stp>1</stp>
        <tr r="U1217" s="1"/>
      </tp>
      <tp>
        <v>0.60644922306372551</v>
        <stp/>
        <stp>EM_S_RATIO_EPS_TTM</stp>
        <stp>3</stp>
        <stp>603303</stp>
        <stp>12/31/2018</stp>
        <stp>1</stp>
        <tr r="U2847" s="1"/>
      </tp>
      <tp>
        <v>0.99229657367291724</v>
        <stp/>
        <stp>EM_S_RATIO_EPS_TTM</stp>
        <stp>3</stp>
        <stp>603203</stp>
        <stp>12/31/2018</stp>
        <stp>1</stp>
        <tr r="U761" s="1"/>
      </tp>
      <tp>
        <v>-0.39142113064867218</v>
        <stp/>
        <stp>EM_S_RATIO_EPS_TTM</stp>
        <stp>3</stp>
        <stp>603703</stp>
        <stp>12/31/2018</stp>
        <stp>1</stp>
        <tr r="U347" s="1"/>
      </tp>
      <tp>
        <v>0.46043605241925439</v>
        <stp/>
        <stp>EM_S_RATIO_EPS_TTM</stp>
        <stp>3</stp>
        <stp>603603</stp>
        <stp>12/31/2018</stp>
        <stp>1</stp>
        <tr r="U3314" s="1"/>
      </tp>
      <tp>
        <v>0.89647151215452514</v>
        <stp/>
        <stp>EM_S_RATIO_EPS_TTM</stp>
        <stp>3</stp>
        <stp>603903</stp>
        <stp>12/31/2018</stp>
        <stp>1</stp>
        <tr r="U3225" s="1"/>
      </tp>
      <tp>
        <v>0.29722205352582487</v>
        <stp/>
        <stp>EM_S_RATIO_EPS_TTM</stp>
        <stp>3</stp>
        <stp>603803</stp>
        <stp>12/31/2018</stp>
        <stp>1</stp>
        <tr r="U1040" s="1"/>
      </tp>
      <tp>
        <v>4.0629703440980644E-2</v>
        <stp/>
        <stp>EM_S_RATIO_EPS_TTM</stp>
        <stp>3</stp>
        <stp>002163</stp>
        <stp>12/31/2018</stp>
        <stp>1</stp>
        <tr r="U1572" s="1"/>
      </tp>
      <tp>
        <v>0.22921462968358711</v>
        <stp/>
        <stp>EM_S_RATIO_EPS_TTM</stp>
        <stp>3</stp>
        <stp>002063</stp>
        <stp>12/31/2018</stp>
        <stp>1</stp>
        <tr r="U118" s="1"/>
      </tp>
      <tp>
        <v>0.19481131086708828</v>
        <stp/>
        <stp>EM_S_RATIO_EPS_TTM</stp>
        <stp>3</stp>
        <stp>002363</stp>
        <stp>12/31/2018</stp>
        <stp>1</stp>
        <tr r="U1055" s="1"/>
      </tp>
      <tp>
        <v>2.1341816853967459E-2</v>
        <stp/>
        <stp>EM_S_RATIO_EPS_TTM</stp>
        <stp>3</stp>
        <stp>002263</stp>
        <stp>12/31/2018</stp>
        <stp>1</stp>
        <tr r="U1203" s="1"/>
      </tp>
      <tp>
        <v>0.62730518158116844</v>
        <stp/>
        <stp>EM_S_RATIO_EPS_TTM</stp>
        <stp>3</stp>
        <stp>002563</stp>
        <stp>12/31/2018</stp>
        <stp>1</stp>
        <tr r="U1758" s="1"/>
      </tp>
      <tp>
        <v>0.33182546942605157</v>
        <stp/>
        <stp>EM_S_RATIO_EPS_TTM</stp>
        <stp>3</stp>
        <stp>002463</stp>
        <stp>12/31/2018</stp>
        <stp>1</stp>
        <tr r="U42" s="1"/>
      </tp>
      <tp>
        <v>0.42609766118827158</v>
        <stp/>
        <stp>EM_S_RATIO_EPS_TTM</stp>
        <stp>3</stp>
        <stp>002763</stp>
        <stp>12/31/2018</stp>
        <stp>1</stp>
        <tr r="U2122" s="1"/>
      </tp>
      <tp>
        <v>2.3816689488140339E-2</v>
        <stp/>
        <stp>EM_S_RATIO_EPS_TTM</stp>
        <stp>3</stp>
        <stp>002663</stp>
        <stp>12/31/2018</stp>
        <stp>1</stp>
        <tr r="U1524" s="1"/>
      </tp>
      <tp>
        <v>0.17175837373522773</v>
        <stp/>
        <stp>EM_S_RATIO_EPS_TTM</stp>
        <stp>3</stp>
        <stp>002863</stp>
        <stp>12/31/2018</stp>
        <stp>1</stp>
        <tr r="U2846" s="1"/>
      </tp>
      <tp>
        <v>1.7987010601518687</v>
        <stp/>
        <stp>EM_S_RATIO_EPS_TTM</stp>
        <stp>3</stp>
        <stp>601003</stp>
        <stp>12/31/2018</stp>
        <stp>1</stp>
        <tr r="U2925" s="1"/>
      </tp>
      <tp>
        <v>5.6395469093749998E-2</v>
        <stp/>
        <stp>EM_S_RATIO_EPS_TTM</stp>
        <stp>3</stp>
        <stp>300153</stp>
        <stp>12/31/2018</stp>
        <stp>1</stp>
        <tr r="U2698" s="1"/>
      </tp>
      <tp>
        <v>8.727103438430317E-2</v>
        <stp/>
        <stp>EM_S_RATIO_EPS_TTM</stp>
        <stp>3</stp>
        <stp>600103</stp>
        <stp>12/31/2018</stp>
        <stp>1</stp>
        <tr r="U3018" s="1"/>
      </tp>
      <tp>
        <v>-1.6656829490864591</v>
        <stp/>
        <stp>EM_S_RATIO_EPS_TTM</stp>
        <stp>3</stp>
        <stp>000063</stp>
        <stp>12/31/2018</stp>
        <stp>1</stp>
        <tr r="U245" s="1"/>
      </tp>
      <tp>
        <v>0.13519069690806379</v>
        <stp/>
        <stp>EM_S_RATIO_EPS_TTM</stp>
        <stp>3</stp>
        <stp>300053</stp>
        <stp>12/31/2018</stp>
        <stp>1</stp>
        <tr r="U528" s="1"/>
      </tp>
      <tp>
        <v>0.19478460444279591</v>
        <stp/>
        <stp>EM_S_RATIO_EPS_TTM</stp>
        <stp>3</stp>
        <stp>600003</stp>
        <stp>12/31/2018</stp>
        <stp>1</stp>
        <tr r="U2287" s="1"/>
      </tp>
      <tp>
        <v>0.18360251419628221</v>
        <stp/>
        <stp>EM_S_RATIO_EPS_TTM</stp>
        <stp>3</stp>
        <stp>300353</stp>
        <stp>12/31/2018</stp>
        <stp>1</stp>
        <tr r="U614" s="1"/>
      </tp>
      <tp>
        <v>-0.18966816413167678</v>
        <stp/>
        <stp>EM_S_RATIO_EPS_TTM</stp>
        <stp>3</stp>
        <stp>600303</stp>
        <stp>12/31/2018</stp>
        <stp>1</stp>
        <tr r="U2765" s="1"/>
      </tp>
      <tp>
        <v>0.18695782183093376</v>
        <stp/>
        <stp>EM_S_RATIO_EPS_TTM</stp>
        <stp>3</stp>
        <stp>300253</stp>
        <stp>12/31/2018</stp>
        <stp>1</stp>
        <tr r="U1336" s="1"/>
      </tp>
      <tp>
        <v>9.1260792246865313E-2</v>
        <stp/>
        <stp>EM_S_RATIO_EPS_TTM</stp>
        <stp>3</stp>
        <stp>600203</stp>
        <stp>12/31/2018</stp>
        <stp>1</stp>
        <tr r="U655" s="1"/>
      </tp>
      <tp>
        <v>8.0593639198817055E-2</v>
        <stp/>
        <stp>EM_S_RATIO_EPS_TTM</stp>
        <stp>3</stp>
        <stp>000563</stp>
        <stp>12/31/2018</stp>
        <stp>1</stp>
        <tr r="U3456" s="1"/>
      </tp>
      <tp>
        <v>0.34104490625</v>
        <stp/>
        <stp>EM_S_RATIO_EPS_TTM</stp>
        <stp>3</stp>
        <stp>300553</stp>
        <stp>12/31/2018</stp>
        <stp>1</stp>
        <tr r="U1587" s="1"/>
      </tp>
      <tp>
        <v>1.2373221302011498E-2</v>
        <stp/>
        <stp>EM_S_RATIO_EPS_TTM</stp>
        <stp>3</stp>
        <stp>600503</stp>
        <stp>12/31/2018</stp>
        <stp>1</stp>
        <tr r="U2014" s="1"/>
      </tp>
      <tp>
        <v>0.25194054440804581</v>
        <stp/>
        <stp>EM_S_RATIO_EPS_TTM</stp>
        <stp>3</stp>
        <stp>300453</stp>
        <stp>12/31/2018</stp>
        <stp>1</stp>
        <tr r="U3248" s="1"/>
      </tp>
      <tp>
        <v>0.27240833169728557</v>
        <stp/>
        <stp>EM_S_RATIO_EPS_TTM</stp>
        <stp>3</stp>
        <stp>600403</stp>
        <stp>12/31/2018</stp>
        <stp>1</stp>
        <tr r="U1468" s="1"/>
      </tp>
      <tp>
        <v>0.3398786907936508</v>
        <stp/>
        <stp>EM_S_RATIO_EPS_TTM</stp>
        <stp>3</stp>
        <stp>000763</stp>
        <stp>12/31/2018</stp>
        <stp>1</stp>
        <tr r="U3532" s="1"/>
      </tp>
      <tp>
        <v>0.69393408389592892</v>
        <stp/>
        <stp>EM_S_RATIO_EPS_TTM</stp>
        <stp>3</stp>
        <stp>600703</stp>
        <stp>12/31/2018</stp>
        <stp>1</stp>
        <tr r="U375" s="1"/>
      </tp>
      <tp>
        <v>-3.8989818388469653</v>
        <stp/>
        <stp>EM_S_RATIO_EPS_TTM</stp>
        <stp>3</stp>
        <stp>000663</stp>
        <stp>12/31/2018</stp>
        <stp>1</stp>
        <tr r="U3498" s="1"/>
      </tp>
      <tp>
        <v>1.0726883435000001</v>
        <stp/>
        <stp>EM_S_RATIO_EPS_TTM</stp>
        <stp>3</stp>
        <stp>300653</stp>
        <stp>12/31/2018</stp>
        <stp>1</stp>
        <tr r="U539" s="1"/>
      </tp>
      <tp>
        <v>0.43967262855884814</v>
        <stp/>
        <stp>EM_S_RATIO_EPS_TTM</stp>
        <stp>3</stp>
        <stp>600603</stp>
        <stp>12/31/2018</stp>
        <stp>1</stp>
        <tr r="U1271" s="1"/>
      </tp>
      <tp>
        <v>1.5548406458073158</v>
        <stp/>
        <stp>EM_S_RATIO_EPS_TTM</stp>
        <stp>3</stp>
        <stp>000963</stp>
        <stp>12/31/2018</stp>
        <stp>1</stp>
        <tr r="U2741" s="1"/>
      </tp>
      <tp>
        <v>0.21120794552149735</v>
        <stp/>
        <stp>EM_S_RATIO_EPS_TTM</stp>
        <stp>3</stp>
        <stp>600903</stp>
        <stp>12/31/2018</stp>
        <stp>1</stp>
        <tr r="U3216" s="1"/>
      </tp>
      <tp>
        <v>-0.33227459830120332</v>
        <stp/>
        <stp>EM_S_RATIO_EPS_TTM</stp>
        <stp>3</stp>
        <stp>000863</stp>
        <stp>12/31/2018</stp>
        <stp>1</stp>
        <tr r="U3557" s="1"/>
      </tp>
      <tp>
        <v>1.074733409530803</v>
        <stp/>
        <stp>EM_S_RATIO_EPS_TTM</stp>
        <stp>3</stp>
        <stp>600803</stp>
        <stp>12/31/2018</stp>
        <stp>1</stp>
        <tr r="U1898" s="1"/>
      </tp>
      <tp>
        <v>8.1390923594065662E-2</v>
        <stp/>
        <stp>EM_S_RATIO_EPS_TTM</stp>
        <stp>3</stp>
        <stp>603002</stp>
        <stp>12/31/2018</stp>
        <stp>1</stp>
        <tr r="U1090" s="1"/>
      </tp>
      <tp>
        <v>0.54570464193410873</v>
        <stp/>
        <stp>EM_S_RATIO_EPS_TTM</stp>
        <stp>3</stp>
        <stp>603302</stp>
        <stp>12/31/2018</stp>
        <stp>1</stp>
        <tr r="U14" s="1"/>
      </tp>
      <tp>
        <v>0.39752265544642856</v>
        <stp/>
        <stp>EM_S_RATIO_EPS_TTM</stp>
        <stp>3</stp>
        <stp>603602</stp>
        <stp>12/31/2018</stp>
        <stp>1</stp>
        <tr r="U2921" s="1"/>
      </tp>
      <tp>
        <v>2.8457777605049382E-2</v>
        <stp/>
        <stp>EM_S_RATIO_EPS_TTM</stp>
        <stp>3</stp>
        <stp>002162</stp>
        <stp>12/31/2018</stp>
        <stp>1</stp>
        <tr r="U1080" s="1"/>
      </tp>
      <tp>
        <v>0.27248872013605441</v>
        <stp/>
        <stp>EM_S_RATIO_EPS_TTM</stp>
        <stp>3</stp>
        <stp>002062</stp>
        <stp>12/31/2018</stp>
        <stp>1</stp>
        <tr r="U2740" s="1"/>
      </tp>
      <tp>
        <v>7.309803256389405E-2</v>
        <stp/>
        <stp>EM_S_RATIO_EPS_TTM</stp>
        <stp>3</stp>
        <stp>002362</stp>
        <stp>12/31/2018</stp>
        <stp>1</stp>
        <tr r="U1277" s="1"/>
      </tp>
      <tp>
        <v>0.51450957482359794</v>
        <stp/>
        <stp>EM_S_RATIO_EPS_TTM</stp>
        <stp>3</stp>
        <stp>002262</stp>
        <stp>12/31/2018</stp>
        <stp>1</stp>
        <tr r="U1001" s="1"/>
      </tp>
      <tp>
        <v>2.4859274644013385E-2</v>
        <stp/>
        <stp>EM_S_RATIO_EPS_TTM</stp>
        <stp>3</stp>
        <stp>002562</stp>
        <stp>12/31/2018</stp>
        <stp>1</stp>
        <tr r="U1598" s="1"/>
      </tp>
      <tp>
        <v>1.3077797253354404</v>
        <stp/>
        <stp>EM_S_RATIO_EPS_TTM</stp>
        <stp>3</stp>
        <stp>002462</stp>
        <stp>12/31/2018</stp>
        <stp>1</stp>
        <tr r="U1795" s="1"/>
      </tp>
      <tp>
        <v>0.11079957169496515</v>
        <stp/>
        <stp>EM_S_RATIO_EPS_TTM</stp>
        <stp>3</stp>
        <stp>002762</stp>
        <stp>12/31/2018</stp>
        <stp>1</stp>
        <tr r="U2112" s="1"/>
      </tp>
      <tp>
        <v>6.081787226666667E-2</v>
        <stp/>
        <stp>EM_S_RATIO_EPS_TTM</stp>
        <stp>3</stp>
        <stp>002662</stp>
        <stp>12/31/2018</stp>
        <stp>1</stp>
        <tr r="U3217" s="1"/>
      </tp>
      <tp>
        <v>0.39960455787499999</v>
        <stp/>
        <stp>EM_S_RATIO_EPS_TTM</stp>
        <stp>3</stp>
        <stp>002862</stp>
        <stp>12/31/2018</stp>
        <stp>1</stp>
        <tr r="U2070" s="1"/>
      </tp>
      <tp>
        <v>0.22429337284436537</v>
        <stp/>
        <stp>EM_S_RATIO_EPS_TTM</stp>
        <stp>3</stp>
        <stp>601002</stp>
        <stp>12/31/2018</stp>
        <stp>1</stp>
        <tr r="U1815" s="1"/>
      </tp>
      <tp>
        <v>-0.66736556621773291</v>
        <stp/>
        <stp>EM_S_RATIO_EPS_TTM</stp>
        <stp>3</stp>
        <stp>300152</stp>
        <stp>12/31/2018</stp>
        <stp>1</stp>
        <tr r="U897" s="1"/>
      </tp>
      <tp>
        <v>0.36233066421285115</v>
        <stp/>
        <stp>EM_S_RATIO_EPS_TTM</stp>
        <stp>3</stp>
        <stp>600102</stp>
        <stp>12/31/2018</stp>
        <stp>1</stp>
        <tr r="U2292" s="1"/>
      </tp>
      <tp>
        <v>0.95044222319721061</v>
        <stp/>
        <stp>EM_S_RATIO_EPS_TTM</stp>
        <stp>3</stp>
        <stp>000062</stp>
        <stp>12/31/2018</stp>
        <stp>1</stp>
        <tr r="U1072" s="1"/>
      </tp>
      <tp>
        <v>0.13736562858176876</v>
        <stp/>
        <stp>EM_S_RATIO_EPS_TTM</stp>
        <stp>3</stp>
        <stp>300052</stp>
        <stp>12/31/2018</stp>
        <stp>1</stp>
        <tr r="U509" s="1"/>
      </tp>
      <tp>
        <v>0.94263435897435899</v>
        <stp/>
        <stp>EM_S_RATIO_EPS_TTM</stp>
        <stp>3</stp>
        <stp>600002</stp>
        <stp>12/31/2018</stp>
        <stp>1</stp>
        <tr r="U2286" s="1"/>
      </tp>
      <tp>
        <v>6.4897579081261328E-2</v>
        <stp/>
        <stp>EM_S_RATIO_EPS_TTM</stp>
        <stp>3</stp>
        <stp>300352</stp>
        <stp>12/31/2018</stp>
        <stp>1</stp>
        <tr r="U122" s="1"/>
      </tp>
      <tp>
        <v>8.199679596361957E-2</v>
        <stp/>
        <stp>EM_S_RATIO_EPS_TTM</stp>
        <stp>3</stp>
        <stp>600302</stp>
        <stp>12/31/2018</stp>
        <stp>1</stp>
        <tr r="U1508" s="1"/>
      </tp>
      <tp>
        <v>0.22771863156242053</v>
        <stp/>
        <stp>EM_S_RATIO_EPS_TTM</stp>
        <stp>3</stp>
        <stp>300252</stp>
        <stp>12/31/2018</stp>
        <stp>1</stp>
        <tr r="U2966" s="1"/>
      </tp>
      <tp>
        <v>5.4363344518788756E-2</v>
        <stp/>
        <stp>EM_S_RATIO_EPS_TTM</stp>
        <stp>3</stp>
        <stp>600202</stp>
        <stp>12/31/2018</stp>
        <stp>1</stp>
        <tr r="U605" s="1"/>
      </tp>
      <tp>
        <v>0.48681551300300718</v>
        <stp/>
        <stp>EM_S_RATIO_EPS_TTM</stp>
        <stp>3</stp>
        <stp>000562</stp>
        <stp>12/31/2018</stp>
        <stp>1</stp>
        <tr r="U3455" s="1"/>
      </tp>
      <tp>
        <v>6.1098751333211937E-2</v>
        <stp/>
        <stp>EM_S_RATIO_EPS_TTM</stp>
        <stp>3</stp>
        <stp>300552</stp>
        <stp>12/31/2018</stp>
        <stp>1</stp>
        <tr r="U15" s="1"/>
      </tp>
      <tp>
        <v>0.46476593089176299</v>
        <stp/>
        <stp>EM_S_RATIO_EPS_TTM</stp>
        <stp>3</stp>
        <stp>600502</stp>
        <stp>12/31/2018</stp>
        <stp>1</stp>
        <tr r="U1556" s="1"/>
      </tp>
      <tp>
        <v>0.50365989985632187</v>
        <stp/>
        <stp>EM_S_RATIO_EPS_TTM</stp>
        <stp>3</stp>
        <stp>300452</stp>
        <stp>12/31/2018</stp>
        <stp>1</stp>
        <tr r="U1739" s="1"/>
      </tp>
      <tp>
        <v>-0.34746849597952639</v>
        <stp/>
        <stp>EM_S_RATIO_EPS_TTM</stp>
        <stp>3</stp>
        <stp>000762</stp>
        <stp>12/31/2018</stp>
        <stp>1</stp>
        <tr r="U3531" s="1"/>
      </tp>
      <tp>
        <v>1.0132746880818264</v>
        <stp/>
        <stp>EM_S_RATIO_EPS_TTM</stp>
        <stp>3</stp>
        <stp>600702</stp>
        <stp>12/31/2018</stp>
        <stp>1</stp>
        <tr r="U882" s="1"/>
      </tp>
      <tp>
        <v>0.13801830643077703</v>
        <stp/>
        <stp>EM_S_RATIO_EPS_TTM</stp>
        <stp>3</stp>
        <stp>000662</stp>
        <stp>12/31/2018</stp>
        <stp>1</stp>
        <tr r="U3497" s="1"/>
      </tp>
      <tp>
        <v>0.94200959943181817</v>
        <stp/>
        <stp>EM_S_RATIO_EPS_TTM</stp>
        <stp>3</stp>
        <stp>300652</stp>
        <stp>12/31/2018</stp>
        <stp>1</stp>
        <tr r="U2079" s="1"/>
      </tp>
      <tp>
        <v>0.19905229269072858</v>
        <stp/>
        <stp>EM_S_RATIO_EPS_TTM</stp>
        <stp>3</stp>
        <stp>600602</stp>
        <stp>12/31/2018</stp>
        <stp>1</stp>
        <tr r="U353" s="1"/>
      </tp>
      <tp>
        <v>6.7792843195160477E-2</v>
        <stp/>
        <stp>EM_S_RATIO_EPS_TTM</stp>
        <stp>3</stp>
        <stp>000962</stp>
        <stp>12/31/2018</stp>
        <stp>1</stp>
        <tr r="U1521" s="1"/>
      </tp>
      <tp>
        <v>7.5276525551400797E-2</v>
        <stp/>
        <stp>EM_S_RATIO_EPS_TTM</stp>
        <stp>3</stp>
        <stp>000862</stp>
        <stp>12/31/2018</stp>
        <stp>1</stp>
        <tr r="U331" s="1"/>
      </tp>
      <tp>
        <v>0.88379398769539663</v>
        <stp/>
        <stp>EM_S_RATIO_EPS_TTM</stp>
        <stp>3</stp>
        <stp>600802</stp>
        <stp>12/31/2018</stp>
        <stp>1</stp>
        <tr r="U1449" s="1"/>
      </tp>
      <tp t="s">
        <v>2009-10-21</v>
        <stp/>
        <stp>EM_S_IPO_LISTEDDATE</stp>
        <stp>1</stp>
        <stp>002299</stp>
        <tr r="AT644" s="1"/>
      </tp>
      <tp t="s">
        <v>2009-09-29</v>
        <stp/>
        <stp>EM_S_IPO_LISTEDDATE</stp>
        <stp>1</stp>
        <stp>002298</stp>
        <tr r="AT1002" s="1"/>
      </tp>
      <tp t="s">
        <v>2009-09-29</v>
        <stp/>
        <stp>EM_S_IPO_LISTEDDATE</stp>
        <stp>1</stp>
        <stp>002295</stp>
        <tr r="AT2213" s="1"/>
      </tp>
      <tp t="s">
        <v>2009-09-10</v>
        <stp/>
        <stp>EM_S_IPO_LISTEDDATE</stp>
        <stp>1</stp>
        <stp>002294</stp>
        <tr r="AT2519" s="1"/>
      </tp>
      <tp t="s">
        <v>2009-09-29</v>
        <stp/>
        <stp>EM_S_IPO_LISTEDDATE</stp>
        <stp>1</stp>
        <stp>002297</stp>
        <tr r="AT1894" s="1"/>
      </tp>
      <tp t="s">
        <v>2009-09-29</v>
        <stp/>
        <stp>EM_S_IPO_LISTEDDATE</stp>
        <stp>1</stp>
        <stp>002296</stp>
        <tr r="AT457" s="1"/>
      </tp>
      <tp t="s">
        <v>2009-09-03</v>
        <stp/>
        <stp>EM_S_IPO_LISTEDDATE</stp>
        <stp>1</stp>
        <stp>002291</stp>
        <tr r="AT28" s="1"/>
      </tp>
      <tp t="s">
        <v>2009-09-03</v>
        <stp/>
        <stp>EM_S_IPO_LISTEDDATE</stp>
        <stp>1</stp>
        <stp>002290</stp>
        <tr r="AT3357" s="1"/>
      </tp>
      <tp t="s">
        <v>2009-09-10</v>
        <stp/>
        <stp>EM_S_IPO_LISTEDDATE</stp>
        <stp>1</stp>
        <stp>002293</stp>
        <tr r="AT1996" s="1"/>
      </tp>
      <tp t="s">
        <v>2009-09-10</v>
        <stp/>
        <stp>EM_S_IPO_LISTEDDATE</stp>
        <stp>1</stp>
        <stp>002292</stp>
        <tr r="AT282" s="1"/>
      </tp>
      <tp t="s">
        <v>2009-09-03</v>
        <stp/>
        <stp>EM_S_IPO_LISTEDDATE</stp>
        <stp>1</stp>
        <stp>002289</stp>
        <tr r="AT380" s="1"/>
      </tp>
      <tp t="s">
        <v>2009-09-03</v>
        <stp/>
        <stp>EM_S_IPO_LISTEDDATE</stp>
        <stp>1</stp>
        <stp>002288</stp>
        <tr r="AT1928" s="1"/>
      </tp>
      <tp t="s">
        <v>2009-08-28</v>
        <stp/>
        <stp>EM_S_IPO_LISTEDDATE</stp>
        <stp>1</stp>
        <stp>002285</stp>
        <tr r="AT3147" s="1"/>
      </tp>
      <tp t="s">
        <v>2009-08-28</v>
        <stp/>
        <stp>EM_S_IPO_LISTEDDATE</stp>
        <stp>1</stp>
        <stp>002284</stp>
        <tr r="AT1226" s="1"/>
      </tp>
      <tp t="s">
        <v>2009-08-28</v>
        <stp/>
        <stp>EM_S_IPO_LISTEDDATE</stp>
        <stp>1</stp>
        <stp>002287</stp>
        <tr r="AT2908" s="1"/>
      </tp>
      <tp t="s">
        <v>2009-08-28</v>
        <stp/>
        <stp>EM_S_IPO_LISTEDDATE</stp>
        <stp>1</stp>
        <stp>002286</stp>
        <tr r="AT1755" s="1"/>
      </tp>
      <tp t="s">
        <v>2009-08-21</v>
        <stp/>
        <stp>EM_S_IPO_LISTEDDATE</stp>
        <stp>1</stp>
        <stp>002281</stp>
        <tr r="AT1737" s="1"/>
      </tp>
      <tp t="s">
        <v>2009-08-21</v>
        <stp/>
        <stp>EM_S_IPO_LISTEDDATE</stp>
        <stp>1</stp>
        <stp>002280</stp>
        <tr r="AT2214" s="1"/>
      </tp>
      <tp t="s">
        <v>2009-08-21</v>
        <stp/>
        <stp>EM_S_IPO_LISTEDDATE</stp>
        <stp>1</stp>
        <stp>002283</stp>
        <tr r="AT1746" s="1"/>
      </tp>
      <tp t="s">
        <v>2009-08-21</v>
        <stp/>
        <stp>EM_S_IPO_LISTEDDATE</stp>
        <stp>1</stp>
        <stp>002282</stp>
        <tr r="AT2263" s="1"/>
      </tp>
      <tp t="s">
        <v>2012-02-16</v>
        <stp/>
        <stp>EM_S_IPO_LISTEDDATE</stp>
        <stp>1</stp>
        <stp>300289</stp>
        <tr r="AT2864" s="1"/>
      </tp>
      <tp t="s">
        <v>2012-02-16</v>
        <stp/>
        <stp>EM_S_IPO_LISTEDDATE</stp>
        <stp>1</stp>
        <stp>300288</stp>
        <tr r="AT2609" s="1"/>
      </tp>
      <tp t="s">
        <v>2012-01-13</v>
        <stp/>
        <stp>EM_S_IPO_LISTEDDATE</stp>
        <stp>1</stp>
        <stp>300285</stp>
        <tr r="AT750" s="1"/>
      </tp>
      <tp t="s">
        <v>2012-01-10</v>
        <stp/>
        <stp>EM_S_IPO_LISTEDDATE</stp>
        <stp>1</stp>
        <stp>300284</stp>
        <tr r="AT3100" s="1"/>
      </tp>
      <tp t="s">
        <v>2012-02-01</v>
        <stp/>
        <stp>EM_S_IPO_LISTEDDATE</stp>
        <stp>1</stp>
        <stp>300287</stp>
        <tr r="AT2172" s="1"/>
      </tp>
      <tp t="s">
        <v>2012-01-13</v>
        <stp/>
        <stp>EM_S_IPO_LISTEDDATE</stp>
        <stp>1</stp>
        <stp>300286</stp>
        <tr r="AT747" s="1"/>
      </tp>
      <tp t="s">
        <v>2011-12-29</v>
        <stp/>
        <stp>EM_S_IPO_LISTEDDATE</stp>
        <stp>1</stp>
        <stp>300281</stp>
        <tr r="AT832" s="1"/>
      </tp>
      <tp t="s">
        <v>2011-12-29</v>
        <stp/>
        <stp>EM_S_IPO_LISTEDDATE</stp>
        <stp>1</stp>
        <stp>300280</stp>
        <tr r="AT3363" s="1"/>
      </tp>
      <tp t="s">
        <v>2012-01-10</v>
        <stp/>
        <stp>EM_S_IPO_LISTEDDATE</stp>
        <stp>1</stp>
        <stp>300283</stp>
        <tr r="AT2236" s="1"/>
      </tp>
      <tp t="s">
        <v>2011-12-29</v>
        <stp/>
        <stp>EM_S_IPO_LISTEDDATE</stp>
        <stp>1</stp>
        <stp>300282</stp>
        <tr r="AT3268" s="1"/>
      </tp>
      <tp t="s">
        <v>2012-03-19</v>
        <stp/>
        <stp>EM_S_IPO_LISTEDDATE</stp>
        <stp>1</stp>
        <stp>300299</stp>
        <tr r="AT2152" s="1"/>
      </tp>
      <tp t="s">
        <v>2012-03-19</v>
        <stp/>
        <stp>EM_S_IPO_LISTEDDATE</stp>
        <stp>1</stp>
        <stp>300298</stp>
        <tr r="AT742" s="1"/>
      </tp>
      <tp t="s">
        <v>2012-03-15</v>
        <stp/>
        <stp>EM_S_IPO_LISTEDDATE</stp>
        <stp>1</stp>
        <stp>300295</stp>
        <tr r="AT1480" s="1"/>
      </tp>
      <tp t="s">
        <v>2012-03-08</v>
        <stp/>
        <stp>EM_S_IPO_LISTEDDATE</stp>
        <stp>1</stp>
        <stp>300294</stp>
        <tr r="AT1530" s="1"/>
      </tp>
      <tp t="s">
        <v>2012-03-15</v>
        <stp/>
        <stp>EM_S_IPO_LISTEDDATE</stp>
        <stp>1</stp>
        <stp>300297</stp>
        <tr r="AT1570" s="1"/>
      </tp>
      <tp t="s">
        <v>2012-03-15</v>
        <stp/>
        <stp>EM_S_IPO_LISTEDDATE</stp>
        <stp>1</stp>
        <stp>300296</stp>
        <tr r="AT2149" s="1"/>
      </tp>
      <tp t="s">
        <v>2012-02-09</v>
        <stp/>
        <stp>EM_S_IPO_LISTEDDATE</stp>
        <stp>1</stp>
        <stp>300291</stp>
        <tr r="AT808" s="1"/>
      </tp>
      <tp t="s">
        <v>2012-02-16</v>
        <stp/>
        <stp>EM_S_IPO_LISTEDDATE</stp>
        <stp>1</stp>
        <stp>300290</stp>
        <tr r="AT1839" s="1"/>
      </tp>
      <tp t="s">
        <v>2012-03-08</v>
        <stp/>
        <stp>EM_S_IPO_LISTEDDATE</stp>
        <stp>1</stp>
        <stp>300293</stp>
        <tr r="AT1253" s="1"/>
      </tp>
      <tp t="s">
        <v>2012-02-29</v>
        <stp/>
        <stp>EM_S_IPO_LISTEDDATE</stp>
        <stp>1</stp>
        <stp>300292</stp>
        <tr r="AT894" s="1"/>
      </tp>
      <tp t="s">
        <v>2000-04-20</v>
        <stp/>
        <stp>EM_S_IPO_LISTEDDATE</stp>
        <stp>1</stp>
        <stp>600299</stp>
        <tr r="AT2551" s="1"/>
      </tp>
      <tp t="s">
        <v>2009-12-29</v>
        <stp/>
        <stp>EM_S_IPO_LISTEDDATE</stp>
        <stp>1</stp>
        <stp>601299</stp>
        <tr r="AT2336" s="1"/>
      </tp>
      <tp t="s">
        <v>2015-12-31</v>
        <stp/>
        <stp>EM_S_IPO_LISTEDDATE</stp>
        <stp>1</stp>
        <stp>603299</stp>
        <tr r="AT852" s="1"/>
      </tp>
      <tp t="s">
        <v>2000-08-18</v>
        <stp/>
        <stp>EM_S_IPO_LISTEDDATE</stp>
        <stp>1</stp>
        <stp>600298</stp>
        <tr r="AT1273" s="1"/>
      </tp>
      <tp t="s">
        <v>2016-12-27</v>
        <stp/>
        <stp>EM_S_IPO_LISTEDDATE</stp>
        <stp>1</stp>
        <stp>603298</stp>
        <tr r="AT1939" s="1"/>
      </tp>
      <tp t="s">
        <v>2001-04-26</v>
        <stp/>
        <stp>EM_S_IPO_LISTEDDATE</stp>
        <stp>1</stp>
        <stp>600295</stp>
        <tr r="AT1322" s="1"/>
      </tp>
      <tp t="s">
        <v>2000-11-16</v>
        <stp/>
        <stp>EM_S_IPO_LISTEDDATE</stp>
        <stp>1</stp>
        <stp>600297</stp>
        <tr r="AT3057" s="1"/>
      </tp>
      <tp t="s">
        <v>2000-07-19</v>
        <stp/>
        <stp>EM_S_IPO_LISTEDDATE</stp>
        <stp>1</stp>
        <stp>600296</stp>
        <tr r="AT2300" s="1"/>
      </tp>
      <tp t="s">
        <v>2000-07-31</v>
        <stp/>
        <stp>EM_S_IPO_LISTEDDATE</stp>
        <stp>1</stp>
        <stp>600291</stp>
        <tr r="AT2800" s="1"/>
      </tp>
      <tp t="s">
        <v>2000-11-06</v>
        <stp/>
        <stp>EM_S_IPO_LISTEDDATE</stp>
        <stp>1</stp>
        <stp>600290</stp>
        <tr r="AT3277" s="1"/>
      </tp>
      <tp t="s">
        <v>2000-09-19</v>
        <stp/>
        <stp>EM_S_IPO_LISTEDDATE</stp>
        <stp>1</stp>
        <stp>600293</stp>
        <tr r="AT3052" s="1"/>
      </tp>
      <tp t="s">
        <v>2000-11-01</v>
        <stp/>
        <stp>EM_S_IPO_LISTEDDATE</stp>
        <stp>1</stp>
        <stp>600292</stp>
        <tr r="AT1533" s="1"/>
      </tp>
      <tp t="s">
        <v>2000-07-20</v>
        <stp/>
        <stp>EM_S_IPO_LISTEDDATE</stp>
        <stp>1</stp>
        <stp>600289</stp>
        <tr r="AT840" s="1"/>
      </tp>
      <tp t="s">
        <v>2017-10-31</v>
        <stp/>
        <stp>EM_S_IPO_LISTEDDATE</stp>
        <stp>1</stp>
        <stp>603289</stp>
        <tr r="AT1451" s="1"/>
      </tp>
      <tp t="s">
        <v>2000-11-29</v>
        <stp/>
        <stp>EM_S_IPO_LISTEDDATE</stp>
        <stp>1</stp>
        <stp>600288</stp>
        <tr r="AT324" s="1"/>
      </tp>
      <tp t="s">
        <v>2010-07-15</v>
        <stp/>
        <stp>EM_S_IPO_LISTEDDATE</stp>
        <stp>1</stp>
        <stp>601288</stp>
        <tr r="AT2090" s="1"/>
      </tp>
      <tp t="s">
        <v>2014-02-11</v>
        <stp/>
        <stp>EM_S_IPO_LISTEDDATE</stp>
        <stp>1</stp>
        <stp>603288</stp>
        <tr r="AT469" s="1"/>
      </tp>
      <tp t="s">
        <v>2000-10-18</v>
        <stp/>
        <stp>EM_S_IPO_LISTEDDATE</stp>
        <stp>1</stp>
        <stp>600285</stp>
        <tr r="AT1003" s="1"/>
      </tp>
      <tp t="s">
        <v>2004-03-16</v>
        <stp/>
        <stp>EM_S_IPO_LISTEDDATE</stp>
        <stp>1</stp>
        <stp>600284</stp>
        <tr r="AT1018" s="1"/>
      </tp>
      <tp t="s">
        <v>2000-09-01</v>
        <stp/>
        <stp>EM_S_IPO_LISTEDDATE</stp>
        <stp>1</stp>
        <stp>600287</stp>
        <tr r="AT1135" s="1"/>
      </tp>
      <tp t="s">
        <v>1999-12-09</v>
        <stp/>
        <stp>EM_S_IPO_LISTEDDATE</stp>
        <stp>1</stp>
        <stp>600286</stp>
        <tr r="AT2299" s="1"/>
      </tp>
      <tp t="s">
        <v>2017-06-27</v>
        <stp/>
        <stp>EM_S_IPO_LISTEDDATE</stp>
        <stp>1</stp>
        <stp>603286</stp>
        <tr r="AT1812" s="1"/>
      </tp>
      <tp t="s">
        <v>2000-11-09</v>
        <stp/>
        <stp>EM_S_IPO_LISTEDDATE</stp>
        <stp>1</stp>
        <stp>600281</stp>
        <tr r="AT1503" s="1"/>
      </tp>
      <tp t="s">
        <v>2000-09-26</v>
        <stp/>
        <stp>EM_S_IPO_LISTEDDATE</stp>
        <stp>1</stp>
        <stp>600280</stp>
        <tr r="AT2933" s="1"/>
      </tp>
      <tp t="s">
        <v>2000-10-18</v>
        <stp/>
        <stp>EM_S_IPO_LISTEDDATE</stp>
        <stp>1</stp>
        <stp>600283</stp>
        <tr r="AT2697" s="1"/>
      </tp>
      <tp t="s">
        <v>2017-12-25</v>
        <stp/>
        <stp>EM_S_IPO_LISTEDDATE</stp>
        <stp>1</stp>
        <stp>603283</stp>
        <tr r="AT288" s="1"/>
      </tp>
      <tp t="s">
        <v>2000-09-19</v>
        <stp/>
        <stp>EM_S_IPO_LISTEDDATE</stp>
        <stp>1</stp>
        <stp>600282</stp>
        <tr r="AT2261" s="1"/>
      </tp>
      <tp t="s">
        <v>2011-06-15</v>
        <stp/>
        <stp>EM_S_IPO_LISTEDDATE</stp>
        <stp>1</stp>
        <stp>300229</stp>
        <tr r="AT529" s="1"/>
      </tp>
      <tp t="s">
        <v>2000-07-31</v>
        <stp/>
        <stp>EM_S_IPO_LISTEDDATE</stp>
        <stp>1</stp>
        <stp>600279</stp>
        <tr r="AT1653" s="1"/>
      </tp>
      <tp t="s">
        <v>2008-03-06</v>
        <stp/>
        <stp>EM_S_IPO_LISTEDDATE</stp>
        <stp>1</stp>
        <stp>002219</stp>
        <tr r="AT3232" s="1"/>
      </tp>
      <tp t="s">
        <v>2011-06-08</v>
        <stp/>
        <stp>EM_S_IPO_LISTEDDATE</stp>
        <stp>1</stp>
        <stp>300228</stp>
        <tr r="AT1991" s="1"/>
      </tp>
      <tp t="s">
        <v>2000-07-12</v>
        <stp/>
        <stp>EM_S_IPO_LISTEDDATE</stp>
        <stp>1</stp>
        <stp>600278</stp>
        <tr r="AT923" s="1"/>
      </tp>
      <tp t="s">
        <v>2008-02-28</v>
        <stp/>
        <stp>EM_S_IPO_LISTEDDATE</stp>
        <stp>1</stp>
        <stp>002218</stp>
        <tr r="AT1748" s="1"/>
      </tp>
      <tp t="s">
        <v>2017-11-13</v>
        <stp/>
        <stp>EM_S_IPO_LISTEDDATE</stp>
        <stp>1</stp>
        <stp>603278</stp>
        <tr r="AT3255" s="1"/>
      </tp>
      <tp t="s">
        <v>2011-05-31</v>
        <stp/>
        <stp>EM_S_IPO_LISTEDDATE</stp>
        <stp>1</stp>
        <stp>300225</stp>
        <tr r="AT940" s="1"/>
      </tp>
      <tp t="s">
        <v>2000-08-10</v>
        <stp/>
        <stp>EM_S_IPO_LISTEDDATE</stp>
        <stp>1</stp>
        <stp>600275</stp>
        <tr r="AT3082" s="1"/>
      </tp>
      <tp t="s">
        <v>2008-02-18</v>
        <stp/>
        <stp>EM_S_IPO_LISTEDDATE</stp>
        <stp>1</stp>
        <stp>002215</stp>
        <tr r="AT2430" s="1"/>
      </tp>
      <tp t="s">
        <v>2011-05-31</v>
        <stp/>
        <stp>EM_S_IPO_LISTEDDATE</stp>
        <stp>1</stp>
        <stp>300224</stp>
        <tr r="AT372" s="1"/>
      </tp>
      <tp t="s">
        <v>2008-02-18</v>
        <stp/>
        <stp>EM_S_IPO_LISTEDDATE</stp>
        <stp>1</stp>
        <stp>002214</stp>
        <tr r="AT189" s="1"/>
      </tp>
      <tp t="s">
        <v>2011-06-08</v>
        <stp/>
        <stp>EM_S_IPO_LISTEDDATE</stp>
        <stp>1</stp>
        <stp>300227</stp>
        <tr r="AT659" s="1"/>
      </tp>
      <tp t="s">
        <v>2000-07-25</v>
        <stp/>
        <stp>EM_S_IPO_LISTEDDATE</stp>
        <stp>1</stp>
        <stp>600277</stp>
        <tr r="AT3055" s="1"/>
      </tp>
      <tp t="s">
        <v>2008-02-20</v>
        <stp/>
        <stp>EM_S_IPO_LISTEDDATE</stp>
        <stp>1</stp>
        <stp>002217</stp>
        <tr r="AT1404" s="1"/>
      </tp>
      <tp t="s">
        <v>2017-09-11</v>
        <stp/>
        <stp>EM_S_IPO_LISTEDDATE</stp>
        <stp>1</stp>
        <stp>603277</stp>
        <tr r="AT1326" s="1"/>
      </tp>
      <tp t="s">
        <v>2011-06-08</v>
        <stp/>
        <stp>EM_S_IPO_LISTEDDATE</stp>
        <stp>1</stp>
        <stp>300226</stp>
        <tr r="AT350" s="1"/>
      </tp>
      <tp t="s">
        <v>2000-10-18</v>
        <stp/>
        <stp>EM_S_IPO_LISTEDDATE</stp>
        <stp>1</stp>
        <stp>600276</stp>
        <tr r="AT401" s="1"/>
      </tp>
      <tp t="s">
        <v>2008-02-20</v>
        <stp/>
        <stp>EM_S_IPO_LISTEDDATE</stp>
        <stp>1</stp>
        <stp>002216</stp>
        <tr r="AT197" s="1"/>
      </tp>
      <tp t="s">
        <v>2011-05-25</v>
        <stp/>
        <stp>EM_S_IPO_LISTEDDATE</stp>
        <stp>1</stp>
        <stp>300221</stp>
        <tr r="AT1732" s="1"/>
      </tp>
      <tp t="s">
        <v>2003-07-11</v>
        <stp/>
        <stp>EM_S_IPO_LISTEDDATE</stp>
        <stp>1</stp>
        <stp>600271</stp>
        <tr r="AT2348" s="1"/>
      </tp>
      <tp t="s">
        <v>2008-02-01</v>
        <stp/>
        <stp>EM_S_IPO_LISTEDDATE</stp>
        <stp>1</stp>
        <stp>002211</stp>
        <tr r="AT822" s="1"/>
      </tp>
      <tp t="s">
        <v>2011-05-25</v>
        <stp/>
        <stp>EM_S_IPO_LISTEDDATE</stp>
        <stp>1</stp>
        <stp>300220</stp>
        <tr r="AT27" s="1"/>
      </tp>
      <tp t="s">
        <v>2000-12-28</v>
        <stp/>
        <stp>EM_S_IPO_LISTEDDATE</stp>
        <stp>1</stp>
        <stp>600270</stp>
        <tr r="AT2298" s="1"/>
      </tp>
      <tp t="s">
        <v>2008-01-30</v>
        <stp/>
        <stp>EM_S_IPO_LISTEDDATE</stp>
        <stp>1</stp>
        <stp>002210</stp>
        <tr r="AT3397" s="1"/>
      </tp>
      <tp t="s">
        <v>2011-05-31</v>
        <stp/>
        <stp>EM_S_IPO_LISTEDDATE</stp>
        <stp>1</stp>
        <stp>300223</stp>
        <tr r="AT20" s="1"/>
      </tp>
      <tp t="s">
        <v>2003-06-27</v>
        <stp/>
        <stp>EM_S_IPO_LISTEDDATE</stp>
        <stp>1</stp>
        <stp>600273</stp>
        <tr r="AT1116" s="1"/>
      </tp>
      <tp t="s">
        <v>2008-02-01</v>
        <stp/>
        <stp>EM_S_IPO_LISTEDDATE</stp>
        <stp>1</stp>
        <stp>002213</stp>
        <tr r="AT924" s="1"/>
      </tp>
      <tp t="s">
        <v>2011-05-25</v>
        <stp/>
        <stp>EM_S_IPO_LISTEDDATE</stp>
        <stp>1</stp>
        <stp>300222</stp>
        <tr r="AT3309" s="1"/>
      </tp>
      <tp t="s">
        <v>2001-02-28</v>
        <stp/>
        <stp>EM_S_IPO_LISTEDDATE</stp>
        <stp>1</stp>
        <stp>600272</stp>
        <tr r="AT1919" s="1"/>
      </tp>
      <tp t="s">
        <v>2008-02-01</v>
        <stp/>
        <stp>EM_S_IPO_LISTEDDATE</stp>
        <stp>1</stp>
        <stp>002212</stp>
        <tr r="AT305" s="1"/>
      </tp>
      <tp t="s">
        <v>2011-07-06</v>
        <stp/>
        <stp>EM_S_IPO_LISTEDDATE</stp>
        <stp>1</stp>
        <stp>300239</stp>
        <tr r="AT984" s="1"/>
      </tp>
      <tp t="s">
        <v>2000-05-18</v>
        <stp/>
        <stp>EM_S_IPO_LISTEDDATE</stp>
        <stp>1</stp>
        <stp>600269</stp>
        <tr r="AT1972" s="1"/>
      </tp>
      <tp t="s">
        <v>2008-01-30</v>
        <stp/>
        <stp>EM_S_IPO_LISTEDDATE</stp>
        <stp>1</stp>
        <stp>002209</stp>
        <tr r="AT2160" s="1"/>
      </tp>
      <tp t="s">
        <v>2017-05-17</v>
        <stp/>
        <stp>EM_S_IPO_LISTEDDATE</stp>
        <stp>1</stp>
        <stp>603269</stp>
        <tr r="AT2502" s="1"/>
      </tp>
      <tp t="s">
        <v>2011-07-06</v>
        <stp/>
        <stp>EM_S_IPO_LISTEDDATE</stp>
        <stp>1</stp>
        <stp>300238</stp>
        <tr r="AT179" s="1"/>
      </tp>
      <tp t="s">
        <v>1999-11-18</v>
        <stp/>
        <stp>EM_S_IPO_LISTEDDATE</stp>
        <stp>1</stp>
        <stp>600268</stp>
        <tr r="AT1195" s="1"/>
      </tp>
      <tp t="s">
        <v>2010-02-02</v>
        <stp/>
        <stp>EM_S_IPO_LISTEDDATE</stp>
        <stp>1</stp>
        <stp>601268</stp>
        <tr r="AT2338" s="1"/>
      </tp>
      <tp t="s">
        <v>2008-01-28</v>
        <stp/>
        <stp>EM_S_IPO_LISTEDDATE</stp>
        <stp>1</stp>
        <stp>002208</stp>
        <tr r="AT3250" s="1"/>
      </tp>
      <tp t="s">
        <v>2015-03-19</v>
        <stp/>
        <stp>EM_S_IPO_LISTEDDATE</stp>
        <stp>1</stp>
        <stp>603268</stp>
        <tr r="AT2529" s="1"/>
      </tp>
      <tp t="s">
        <v>2011-06-29</v>
        <stp/>
        <stp>EM_S_IPO_LISTEDDATE</stp>
        <stp>1</stp>
        <stp>300235</stp>
        <tr r="AT431" s="1"/>
      </tp>
      <tp t="s">
        <v>2000-08-25</v>
        <stp/>
        <stp>EM_S_IPO_LISTEDDATE</stp>
        <stp>1</stp>
        <stp>600265</stp>
        <tr r="AT2743" s="1"/>
      </tp>
      <tp t="s">
        <v>2008-01-23</v>
        <stp/>
        <stp>EM_S_IPO_LISTEDDATE</stp>
        <stp>1</stp>
        <stp>002205</stp>
        <tr r="AT1137" s="1"/>
      </tp>
      <tp t="s">
        <v>2011-06-22</v>
        <stp/>
        <stp>EM_S_IPO_LISTEDDATE</stp>
        <stp>1</stp>
        <stp>300234</stp>
        <tr r="AT173" s="1"/>
      </tp>
      <tp t="s">
        <v>2008-01-16</v>
        <stp/>
        <stp>EM_S_IPO_LISTEDDATE</stp>
        <stp>1</stp>
        <stp>002204</stp>
        <tr r="AT1806" s="1"/>
      </tp>
      <tp t="s">
        <v>2011-06-29</v>
        <stp/>
        <stp>EM_S_IPO_LISTEDDATE</stp>
        <stp>1</stp>
        <stp>300237</stp>
        <tr r="AT3205" s="1"/>
      </tp>
      <tp t="s">
        <v>2000-07-25</v>
        <stp/>
        <stp>EM_S_IPO_LISTEDDATE</stp>
        <stp>1</stp>
        <stp>600267</stp>
        <tr r="AT1513" s="1"/>
      </tp>
      <tp t="s">
        <v>2008-01-28</v>
        <stp/>
        <stp>EM_S_IPO_LISTEDDATE</stp>
        <stp>1</stp>
        <stp>002207</stp>
        <tr r="AT968" s="1"/>
      </tp>
      <tp t="s">
        <v>2011-06-29</v>
        <stp/>
        <stp>EM_S_IPO_LISTEDDATE</stp>
        <stp>1</stp>
        <stp>300236</stp>
        <tr r="AT1622" s="1"/>
      </tp>
      <tp t="s">
        <v>1999-02-03</v>
        <stp/>
        <stp>EM_S_IPO_LISTEDDATE</stp>
        <stp>1</stp>
        <stp>600266</stp>
        <tr r="AT2129" s="1"/>
      </tp>
      <tp t="s">
        <v>2008-01-23</v>
        <stp/>
        <stp>EM_S_IPO_LISTEDDATE</stp>
        <stp>1</stp>
        <stp>002206</stp>
        <tr r="AT2495" s="1"/>
      </tp>
      <tp t="s">
        <v>2017-01-10</v>
        <stp/>
        <stp>EM_S_IPO_LISTEDDATE</stp>
        <stp>1</stp>
        <stp>603266</stp>
        <tr r="AT2948" s="1"/>
      </tp>
      <tp t="s">
        <v>2011-06-15</v>
        <stp/>
        <stp>EM_S_IPO_LISTEDDATE</stp>
        <stp>1</stp>
        <stp>300231</stp>
        <tr r="AT943" s="1"/>
      </tp>
      <tp t="s">
        <v>2000-07-20</v>
        <stp/>
        <stp>EM_S_IPO_LISTEDDATE</stp>
        <stp>1</stp>
        <stp>600261</stp>
        <tr r="AT753" s="1"/>
      </tp>
      <tp t="s">
        <v>2007-12-26</v>
        <stp/>
        <stp>EM_S_IPO_LISTEDDATE</stp>
        <stp>1</stp>
        <stp>002201</stp>
        <tr r="AT33" s="1"/>
      </tp>
      <tp t="s">
        <v>2011-06-15</v>
        <stp/>
        <stp>EM_S_IPO_LISTEDDATE</stp>
        <stp>1</stp>
        <stp>300230</stp>
        <tr r="AT2958" s="1"/>
      </tp>
      <tp t="s">
        <v>2000-07-06</v>
        <stp/>
        <stp>EM_S_IPO_LISTEDDATE</stp>
        <stp>1</stp>
        <stp>600260</stp>
        <tr r="AT3108" s="1"/>
      </tp>
      <tp t="s">
        <v>2007-12-21</v>
        <stp/>
        <stp>EM_S_IPO_LISTEDDATE</stp>
        <stp>1</stp>
        <stp>002200</stp>
        <tr r="AT1257" s="1"/>
      </tp>
      <tp t="s">
        <v>2017-10-30</v>
        <stp/>
        <stp>EM_S_IPO_LISTEDDATE</stp>
        <stp>1</stp>
        <stp>603260</stp>
        <tr r="AT3246" s="1"/>
      </tp>
      <tp t="s">
        <v>2011-06-22</v>
        <stp/>
        <stp>EM_S_IPO_LISTEDDATE</stp>
        <stp>1</stp>
        <stp>300233</stp>
        <tr r="AT694" s="1"/>
      </tp>
      <tp t="s">
        <v>2000-07-25</v>
        <stp/>
        <stp>EM_S_IPO_LISTEDDATE</stp>
        <stp>1</stp>
        <stp>600263</stp>
        <tr r="AT2297" s="1"/>
      </tp>
      <tp t="s">
        <v>2008-01-16</v>
        <stp/>
        <stp>EM_S_IPO_LISTEDDATE</stp>
        <stp>1</stp>
        <stp>002203</stp>
        <tr r="AT951" s="1"/>
      </tp>
      <tp t="s">
        <v>2011-06-22</v>
        <stp/>
        <stp>EM_S_IPO_LISTEDDATE</stp>
        <stp>1</stp>
        <stp>300232</stp>
        <tr r="AT1976" s="1"/>
      </tp>
      <tp t="s">
        <v>2000-06-30</v>
        <stp/>
        <stp>EM_S_IPO_LISTEDDATE</stp>
        <stp>1</stp>
        <stp>600262</stp>
        <tr r="AT2020" s="1"/>
      </tp>
      <tp t="s">
        <v>2007-12-26</v>
        <stp/>
        <stp>EM_S_IPO_LISTEDDATE</stp>
        <stp>1</stp>
        <stp>002202</stp>
        <tr r="AT1408" s="1"/>
      </tp>
      <tp t="s">
        <v>2011-04-26</v>
        <stp/>
        <stp>EM_S_IPO_LISTEDDATE</stp>
        <stp>1</stp>
        <stp>300209</stp>
        <tr r="AT866" s="1"/>
      </tp>
      <tp t="s">
        <v>2000-05-25</v>
        <stp/>
        <stp>EM_S_IPO_LISTEDDATE</stp>
        <stp>1</stp>
        <stp>600259</stp>
        <tr r="AT486" s="1"/>
      </tp>
      <tp t="s">
        <v>2008-05-22</v>
        <stp/>
        <stp>EM_S_IPO_LISTEDDATE</stp>
        <stp>1</stp>
        <stp>002239</stp>
        <tr r="AT2868" s="1"/>
      </tp>
      <tp t="s">
        <v>2018-05-08</v>
        <stp/>
        <stp>EM_S_IPO_LISTEDDATE</stp>
        <stp>1</stp>
        <stp>603259</stp>
        <tr r="AT1205" s="1"/>
      </tp>
      <tp t="s">
        <v>2011-04-26</v>
        <stp/>
        <stp>EM_S_IPO_LISTEDDATE</stp>
        <stp>1</stp>
        <stp>300208</stp>
        <tr r="AT1037" s="1"/>
      </tp>
      <tp t="s">
        <v>2000-06-01</v>
        <stp/>
        <stp>EM_S_IPO_LISTEDDATE</stp>
        <stp>1</stp>
        <stp>600258</stp>
        <tr r="AT833" s="1"/>
      </tp>
      <tp t="s">
        <v>2011-04-28</v>
        <stp/>
        <stp>EM_S_IPO_LISTEDDATE</stp>
        <stp>1</stp>
        <stp>601258</stp>
        <tr r="AT2081" s="1"/>
      </tp>
      <tp t="s">
        <v>2008-05-26</v>
        <stp/>
        <stp>EM_S_IPO_LISTEDDATE</stp>
        <stp>1</stp>
        <stp>002238</stp>
        <tr r="AT1196" s="1"/>
      </tp>
      <tp t="s">
        <v>2016-10-26</v>
        <stp/>
        <stp>EM_S_IPO_LISTEDDATE</stp>
        <stp>1</stp>
        <stp>603258</stp>
        <tr r="AT727" s="1"/>
      </tp>
      <tp t="s">
        <v>2011-04-21</v>
        <stp/>
        <stp>EM_S_IPO_LISTEDDATE</stp>
        <stp>1</stp>
        <stp>300205</stp>
        <tr r="AT825" s="1"/>
      </tp>
      <tp t="s">
        <v>2000-11-22</v>
        <stp/>
        <stp>EM_S_IPO_LISTEDDATE</stp>
        <stp>1</stp>
        <stp>600255</stp>
        <tr r="AT2860" s="1"/>
      </tp>
      <tp t="s">
        <v>2008-05-16</v>
        <stp/>
        <stp>EM_S_IPO_LISTEDDATE</stp>
        <stp>1</stp>
        <stp>002235</stp>
        <tr r="AT359" s="1"/>
      </tp>
      <tp t="s">
        <v>2011-04-15</v>
        <stp/>
        <stp>EM_S_IPO_LISTEDDATE</stp>
        <stp>1</stp>
        <stp>300204</stp>
        <tr r="AT2375" s="1"/>
      </tp>
      <tp t="s">
        <v>2008-05-16</v>
        <stp/>
        <stp>EM_S_IPO_LISTEDDATE</stp>
        <stp>1</stp>
        <stp>002234</stp>
        <tr r="AT58" s="1"/>
      </tp>
      <tp t="s">
        <v>2011-04-21</v>
        <stp/>
        <stp>EM_S_IPO_LISTEDDATE</stp>
        <stp>1</stp>
        <stp>300207</stp>
        <tr r="AT108" s="1"/>
      </tp>
      <tp t="s">
        <v>2000-06-12</v>
        <stp/>
        <stp>EM_S_IPO_LISTEDDATE</stp>
        <stp>1</stp>
        <stp>600257</stp>
        <tr r="AT2166" s="1"/>
      </tp>
      <tp t="s">
        <v>2008-05-20</v>
        <stp/>
        <stp>EM_S_IPO_LISTEDDATE</stp>
        <stp>1</stp>
        <stp>002237</stp>
        <tr r="AT382" s="1"/>
      </tp>
      <tp t="s">
        <v>2011-04-21</v>
        <stp/>
        <stp>EM_S_IPO_LISTEDDATE</stp>
        <stp>1</stp>
        <stp>300206</stp>
        <tr r="AT1176" s="1"/>
      </tp>
      <tp t="s">
        <v>2000-05-26</v>
        <stp/>
        <stp>EM_S_IPO_LISTEDDATE</stp>
        <stp>1</stp>
        <stp>600256</stp>
        <tr r="AT2837" s="1"/>
      </tp>
      <tp t="s">
        <v>2008-05-20</v>
        <stp/>
        <stp>EM_S_IPO_LISTEDDATE</stp>
        <stp>1</stp>
        <stp>002236</stp>
        <tr r="AT283" s="1"/>
      </tp>
      <tp t="s">
        <v>2011-04-07</v>
        <stp/>
        <stp>EM_S_IPO_LISTEDDATE</stp>
        <stp>1</stp>
        <stp>300201</stp>
        <tr r="AT2087" s="1"/>
      </tp>
      <tp t="s">
        <v>2003-06-09</v>
        <stp/>
        <stp>EM_S_IPO_LISTEDDATE</stp>
        <stp>1</stp>
        <stp>600251</stp>
        <tr r="AT1731" s="1"/>
      </tp>
      <tp t="s">
        <v>2008-05-12</v>
        <stp/>
        <stp>EM_S_IPO_LISTEDDATE</stp>
        <stp>1</stp>
        <stp>002231</stp>
        <tr r="AT2167" s="1"/>
      </tp>
      <tp t="s">
        <v>2011-04-07</v>
        <stp/>
        <stp>EM_S_IPO_LISTEDDATE</stp>
        <stp>1</stp>
        <stp>300200</stp>
        <tr r="AT246" s="1"/>
      </tp>
      <tp t="s">
        <v>2001-03-06</v>
        <stp/>
        <stp>EM_S_IPO_LISTEDDATE</stp>
        <stp>1</stp>
        <stp>600250</stp>
        <tr r="AT3043" s="1"/>
      </tp>
      <tp t="s">
        <v>2008-05-12</v>
        <stp/>
        <stp>EM_S_IPO_LISTEDDATE</stp>
        <stp>1</stp>
        <stp>002230</stp>
        <tr r="AT734" s="1"/>
      </tp>
      <tp t="s">
        <v>2011-04-15</v>
        <stp/>
        <stp>EM_S_IPO_LISTEDDATE</stp>
        <stp>1</stp>
        <stp>300203</stp>
        <tr r="AT3273" s="1"/>
      </tp>
      <tp t="s">
        <v>2000-12-27</v>
        <stp/>
        <stp>EM_S_IPO_LISTEDDATE</stp>
        <stp>1</stp>
        <stp>600253</stp>
        <tr r="AT2296" s="1"/>
      </tp>
      <tp t="s">
        <v>2008-05-16</v>
        <stp/>
        <stp>EM_S_IPO_LISTEDDATE</stp>
        <stp>1</stp>
        <stp>002233</stp>
        <tr r="AT1157" s="1"/>
      </tp>
      <tp t="s">
        <v>2011-04-15</v>
        <stp/>
        <stp>EM_S_IPO_LISTEDDATE</stp>
        <stp>1</stp>
        <stp>300202</stp>
        <tr r="AT299" s="1"/>
      </tp>
      <tp t="s">
        <v>2000-11-30</v>
        <stp/>
        <stp>EM_S_IPO_LISTEDDATE</stp>
        <stp>1</stp>
        <stp>600252</stp>
        <tr r="AT1069" s="1"/>
      </tp>
      <tp t="s">
        <v>2008-05-09</v>
        <stp/>
        <stp>EM_S_IPO_LISTEDDATE</stp>
        <stp>1</stp>
        <stp>002232</stp>
        <tr r="AT1004" s="1"/>
      </tp>
      <tp t="s">
        <v>2011-05-18</v>
        <stp/>
        <stp>EM_S_IPO_LISTEDDATE</stp>
        <stp>1</stp>
        <stp>300219</stp>
        <tr r="AT2822" s="1"/>
      </tp>
      <tp t="s">
        <v>2004-01-30</v>
        <stp/>
        <stp>EM_S_IPO_LISTEDDATE</stp>
        <stp>1</stp>
        <stp>600249</stp>
        <tr r="AT1050" s="1"/>
      </tp>
      <tp t="s">
        <v>2008-05-08</v>
        <stp/>
        <stp>EM_S_IPO_LISTEDDATE</stp>
        <stp>1</stp>
        <stp>002229</stp>
        <tr r="AT2717" s="1"/>
      </tp>
      <tp t="s">
        <v>2011-05-18</v>
        <stp/>
        <stp>EM_S_IPO_LISTEDDATE</stp>
        <stp>1</stp>
        <stp>300218</stp>
        <tr r="AT970" s="1"/>
      </tp>
      <tp t="s">
        <v>2000-06-22</v>
        <stp/>
        <stp>EM_S_IPO_LISTEDDATE</stp>
        <stp>1</stp>
        <stp>600248</stp>
        <tr r="AT1689" s="1"/>
      </tp>
      <tp t="s">
        <v>2008-05-08</v>
        <stp/>
        <stp>EM_S_IPO_LISTEDDATE</stp>
        <stp>1</stp>
        <stp>002228</stp>
        <tr r="AT2642" s="1"/>
      </tp>
      <tp t="s">
        <v>2011-05-11</v>
        <stp/>
        <stp>EM_S_IPO_LISTEDDATE</stp>
        <stp>1</stp>
        <stp>300215</stp>
        <tr r="AT1169" s="1"/>
      </tp>
      <tp t="s">
        <v>2008-04-25</v>
        <stp/>
        <stp>EM_S_IPO_LISTEDDATE</stp>
        <stp>1</stp>
        <stp>002225</stp>
        <tr r="AT2508" s="1"/>
      </tp>
      <tp t="s">
        <v>2011-05-11</v>
        <stp/>
        <stp>EM_S_IPO_LISTEDDATE</stp>
        <stp>1</stp>
        <stp>300214</stp>
        <tr r="AT590" s="1"/>
      </tp>
      <tp t="s">
        <v>2008-04-25</v>
        <stp/>
        <stp>EM_S_IPO_LISTEDDATE</stp>
        <stp>1</stp>
        <stp>002224</stp>
        <tr r="AT1500" s="1"/>
      </tp>
      <tp t="s">
        <v>2011-05-18</v>
        <stp/>
        <stp>EM_S_IPO_LISTEDDATE</stp>
        <stp>1</stp>
        <stp>300217</stp>
        <tr r="AT2065" s="1"/>
      </tp>
      <tp t="s">
        <v>2000-11-23</v>
        <stp/>
        <stp>EM_S_IPO_LISTEDDATE</stp>
        <stp>1</stp>
        <stp>600247</stp>
        <tr r="AT3103" s="1"/>
      </tp>
      <tp t="s">
        <v>2008-05-06</v>
        <stp/>
        <stp>EM_S_IPO_LISTEDDATE</stp>
        <stp>1</stp>
        <stp>002227</stp>
        <tr r="AT1779" s="1"/>
      </tp>
      <tp t="s">
        <v>2011-05-11</v>
        <stp/>
        <stp>EM_S_IPO_LISTEDDATE</stp>
        <stp>1</stp>
        <stp>300216</stp>
        <tr r="AT2361" s="1"/>
      </tp>
      <tp t="s">
        <v>2000-09-22</v>
        <stp/>
        <stp>EM_S_IPO_LISTEDDATE</stp>
        <stp>1</stp>
        <stp>600246</stp>
        <tr r="AT495" s="1"/>
      </tp>
      <tp t="s">
        <v>2008-05-06</v>
        <stp/>
        <stp>EM_S_IPO_LISTEDDATE</stp>
        <stp>1</stp>
        <stp>002226</stp>
        <tr r="AT1997" s="1"/>
      </tp>
      <tp t="s">
        <v>2011-05-05</v>
        <stp/>
        <stp>EM_S_IPO_LISTEDDATE</stp>
        <stp>1</stp>
        <stp>300211</stp>
        <tr r="AT339" s="1"/>
      </tp>
      <tp t="s">
        <v>2000-11-28</v>
        <stp/>
        <stp>EM_S_IPO_LISTEDDATE</stp>
        <stp>1</stp>
        <stp>600241</stp>
        <tr r="AT2745" s="1"/>
      </tp>
      <tp t="s">
        <v>2008-03-06</v>
        <stp/>
        <stp>EM_S_IPO_LISTEDDATE</stp>
        <stp>1</stp>
        <stp>002221</stp>
        <tr r="AT2543" s="1"/>
      </tp>
      <tp t="s">
        <v>2011-04-26</v>
        <stp/>
        <stp>EM_S_IPO_LISTEDDATE</stp>
        <stp>1</stp>
        <stp>300210</stp>
        <tr r="AT3058" s="1"/>
      </tp>
      <tp t="s">
        <v>2000-06-28</v>
        <stp/>
        <stp>EM_S_IPO_LISTEDDATE</stp>
        <stp>1</stp>
        <stp>600240</stp>
        <tr r="AT3408" s="1"/>
      </tp>
      <tp t="s">
        <v>2008-02-28</v>
        <stp/>
        <stp>EM_S_IPO_LISTEDDATE</stp>
        <stp>1</stp>
        <stp>002220</stp>
        <tr r="AT3336" s="1"/>
      </tp>
      <tp t="s">
        <v>2011-05-05</v>
        <stp/>
        <stp>EM_S_IPO_LISTEDDATE</stp>
        <stp>1</stp>
        <stp>300213</stp>
        <tr r="AT1437" s="1"/>
      </tp>
      <tp t="s">
        <v>2000-11-20</v>
        <stp/>
        <stp>EM_S_IPO_LISTEDDATE</stp>
        <stp>1</stp>
        <stp>600243</stp>
        <tr r="AT1495" s="1"/>
      </tp>
      <tp t="s">
        <v>2008-04-18</v>
        <stp/>
        <stp>EM_S_IPO_LISTEDDATE</stp>
        <stp>1</stp>
        <stp>002223</stp>
        <tr r="AT2176" s="1"/>
      </tp>
      <tp t="s">
        <v>2011-05-05</v>
        <stp/>
        <stp>EM_S_IPO_LISTEDDATE</stp>
        <stp>1</stp>
        <stp>300212</stp>
        <tr r="AT426" s="1"/>
      </tp>
      <tp t="s">
        <v>2000-12-07</v>
        <stp/>
        <stp>EM_S_IPO_LISTEDDATE</stp>
        <stp>1</stp>
        <stp>600242</stp>
        <tr r="AT3360" s="1"/>
      </tp>
      <tp t="s">
        <v>2008-03-19</v>
        <stp/>
        <stp>EM_S_IPO_LISTEDDATE</stp>
        <stp>1</stp>
        <stp>002222</stp>
        <tr r="AT1041" s="1"/>
      </tp>
      <tp t="s">
        <v>2011-10-12</v>
        <stp/>
        <stp>EM_S_IPO_LISTEDDATE</stp>
        <stp>1</stp>
        <stp>300269</stp>
        <tr r="AT2751" s="1"/>
      </tp>
      <tp t="s">
        <v>1999-12-02</v>
        <stp/>
        <stp>EM_S_IPO_LISTEDDATE</stp>
        <stp>1</stp>
        <stp>600239</stp>
        <tr r="AT2256" s="1"/>
      </tp>
      <tp t="s">
        <v>2008-07-16</v>
        <stp/>
        <stp>EM_S_IPO_LISTEDDATE</stp>
        <stp>1</stp>
        <stp>002259</stp>
        <tr r="AT2658" s="1"/>
      </tp>
      <tp t="s">
        <v>2016-12-30</v>
        <stp/>
        <stp>EM_S_IPO_LISTEDDATE</stp>
        <stp>1</stp>
        <stp>603239</stp>
        <tr r="AT1957" s="1"/>
      </tp>
      <tp t="s">
        <v>2011-09-27</v>
        <stp/>
        <stp>EM_S_IPO_LISTEDDATE</stp>
        <stp>1</stp>
        <stp>300268</stp>
        <tr r="AT1057" s="1"/>
      </tp>
      <tp t="s">
        <v>2000-01-20</v>
        <stp/>
        <stp>EM_S_IPO_LISTEDDATE</stp>
        <stp>1</stp>
        <stp>600238</stp>
        <tr r="AT1030" s="1"/>
      </tp>
      <tp t="s">
        <v>2012-03-29</v>
        <stp/>
        <stp>EM_S_IPO_LISTEDDATE</stp>
        <stp>1</stp>
        <stp>601238</stp>
        <tr r="AT1583" s="1"/>
      </tp>
      <tp t="s">
        <v>2008-07-08</v>
        <stp/>
        <stp>EM_S_IPO_LISTEDDATE</stp>
        <stp>1</stp>
        <stp>002258</stp>
        <tr r="AT1840" s="1"/>
      </tp>
      <tp t="s">
        <v>2017-02-22</v>
        <stp/>
        <stp>EM_S_IPO_LISTEDDATE</stp>
        <stp>1</stp>
        <stp>603238</stp>
        <tr r="AT2678" s="1"/>
      </tp>
      <tp t="s">
        <v>2011-09-16</v>
        <stp/>
        <stp>EM_S_IPO_LISTEDDATE</stp>
        <stp>1</stp>
        <stp>300265</stp>
        <tr r="AT2552" s="1"/>
      </tp>
      <tp t="s">
        <v>2000-06-15</v>
        <stp/>
        <stp>EM_S_IPO_LISTEDDATE</stp>
        <stp>1</stp>
        <stp>600235</stp>
        <tr r="AT2924" s="1"/>
      </tp>
      <tp t="s">
        <v>2008-06-25</v>
        <stp/>
        <stp>EM_S_IPO_LISTEDDATE</stp>
        <stp>1</stp>
        <stp>002255</stp>
        <tr r="AT3028" s="1"/>
      </tp>
      <tp t="s">
        <v>2011-09-16</v>
        <stp/>
        <stp>EM_S_IPO_LISTEDDATE</stp>
        <stp>1</stp>
        <stp>300264</stp>
        <tr r="AT2027" s="1"/>
      </tp>
      <tp t="s">
        <v>2000-06-15</v>
        <stp/>
        <stp>EM_S_IPO_LISTEDDATE</stp>
        <stp>1</stp>
        <stp>600234</stp>
        <tr r="AT1543" s="1"/>
      </tp>
      <tp t="s">
        <v>2008-06-25</v>
        <stp/>
        <stp>EM_S_IPO_LISTEDDATE</stp>
        <stp>1</stp>
        <stp>002254</stp>
        <tr r="AT2504" s="1"/>
      </tp>
      <tp t="s">
        <v>2011-09-27</v>
        <stp/>
        <stp>EM_S_IPO_LISTEDDATE</stp>
        <stp>1</stp>
        <stp>300267</stp>
        <tr r="AT928" s="1"/>
      </tp>
      <tp t="s">
        <v>2000-06-09</v>
        <stp/>
        <stp>EM_S_IPO_LISTEDDATE</stp>
        <stp>1</stp>
        <stp>600237</stp>
        <tr r="AT1805" s="1"/>
      </tp>
      <tp>
        <v>0</v>
        <stp/>
        <stp>EM_S_IPO_LISTEDDATE</stp>
        <stp>1</stp>
        <stp>002257</stp>
        <tr r="AT5" s="1"/>
      </tp>
      <tp t="s">
        <v>2011-09-27</v>
        <stp/>
        <stp>EM_S_IPO_LISTEDDATE</stp>
        <stp>1</stp>
        <stp>300266</stp>
        <tr r="AT2378" s="1"/>
      </tp>
      <tp t="s">
        <v>2000-03-23</v>
        <stp/>
        <stp>EM_S_IPO_LISTEDDATE</stp>
        <stp>1</stp>
        <stp>600236</stp>
        <tr r="AT2882" s="1"/>
      </tp>
      <tp t="s">
        <v>2008-06-25</v>
        <stp/>
        <stp>EM_S_IPO_LISTEDDATE</stp>
        <stp>1</stp>
        <stp>002256</stp>
        <tr r="AT2915" s="1"/>
      </tp>
      <tp t="s">
        <v>2011-09-06</v>
        <stp/>
        <stp>EM_S_IPO_LISTEDDATE</stp>
        <stp>1</stp>
        <stp>300261</stp>
        <tr r="AT2999" s="1"/>
      </tp>
      <tp t="s">
        <v>2000-05-11</v>
        <stp/>
        <stp>EM_S_IPO_LISTEDDATE</stp>
        <stp>1</stp>
        <stp>600231</stp>
        <tr r="AT2157" s="1"/>
      </tp>
      <tp t="s">
        <v>2012-02-20</v>
        <stp/>
        <stp>EM_S_IPO_LISTEDDATE</stp>
        <stp>1</stp>
        <stp>601231</stp>
        <tr r="AT130" s="1"/>
      </tp>
      <tp t="s">
        <v>2008-06-19</v>
        <stp/>
        <stp>EM_S_IPO_LISTEDDATE</stp>
        <stp>1</stp>
        <stp>002251</stp>
        <tr r="AT1280" s="1"/>
      </tp>
      <tp t="s">
        <v>2011-09-06</v>
        <stp/>
        <stp>EM_S_IPO_LISTEDDATE</stp>
        <stp>1</stp>
        <stp>300260</stp>
        <tr r="AT893" s="1"/>
      </tp>
      <tp t="s">
        <v>2000-04-06</v>
        <stp/>
        <stp>EM_S_IPO_LISTEDDATE</stp>
        <stp>1</stp>
        <stp>600230</stp>
        <tr r="AT3272" s="1"/>
      </tp>
      <tp t="s">
        <v>2008-06-19</v>
        <stp/>
        <stp>EM_S_IPO_LISTEDDATE</stp>
        <stp>1</stp>
        <stp>002250</stp>
        <tr r="AT271" s="1"/>
      </tp>
      <tp t="s">
        <v>2011-09-16</v>
        <stp/>
        <stp>EM_S_IPO_LISTEDDATE</stp>
        <stp>1</stp>
        <stp>300263</stp>
        <tr r="AT837" s="1"/>
      </tp>
      <tp t="s">
        <v>2000-06-08</v>
        <stp/>
        <stp>EM_S_IPO_LISTEDDATE</stp>
        <stp>1</stp>
        <stp>600233</stp>
        <tr r="AT1032" s="1"/>
      </tp>
      <tp t="s">
        <v>2011-05-18</v>
        <stp/>
        <stp>EM_S_IPO_LISTEDDATE</stp>
        <stp>1</stp>
        <stp>601233</stp>
        <tr r="AT521" s="1"/>
      </tp>
      <tp t="s">
        <v>2008-06-23</v>
        <stp/>
        <stp>EM_S_IPO_LISTEDDATE</stp>
        <stp>1</stp>
        <stp>002253</stp>
        <tr r="AT1773" s="1"/>
      </tp>
      <tp t="s">
        <v>2017-07-31</v>
        <stp/>
        <stp>EM_S_IPO_LISTEDDATE</stp>
        <stp>1</stp>
        <stp>603233</stp>
        <tr r="AT958" s="1"/>
      </tp>
      <tp t="s">
        <v>2011-09-16</v>
        <stp/>
        <stp>EM_S_IPO_LISTEDDATE</stp>
        <stp>1</stp>
        <stp>300262</stp>
        <tr r="AT2823" s="1"/>
      </tp>
      <tp t="s">
        <v>2000-06-02</v>
        <stp/>
        <stp>EM_S_IPO_LISTEDDATE</stp>
        <stp>1</stp>
        <stp>600232</stp>
        <tr r="AT942" s="1"/>
      </tp>
      <tp t="s">
        <v>2008-06-23</v>
        <stp/>
        <stp>EM_S_IPO_LISTEDDATE</stp>
        <stp>1</stp>
        <stp>002252</stp>
        <tr r="AT2752" s="1"/>
      </tp>
      <tp t="s">
        <v>2017-04-21</v>
        <stp/>
        <stp>EM_S_IPO_LISTEDDATE</stp>
        <stp>1</stp>
        <stp>603232</stp>
        <tr r="AT680" s="1"/>
      </tp>
      <tp t="s">
        <v>2011-12-29</v>
        <stp/>
        <stp>EM_S_IPO_LISTEDDATE</stp>
        <stp>1</stp>
        <stp>300279</stp>
        <tr r="AT1022" s="1"/>
      </tp>
      <tp t="s">
        <v>2000-03-09</v>
        <stp/>
        <stp>EM_S_IPO_LISTEDDATE</stp>
        <stp>1</stp>
        <stp>600229</stp>
        <tr r="AT2004" s="1"/>
      </tp>
      <tp t="s">
        <v>2016-11-16</v>
        <stp/>
        <stp>EM_S_IPO_LISTEDDATE</stp>
        <stp>1</stp>
        <stp>601229</stp>
        <tr r="AT2929" s="1"/>
      </tp>
      <tp t="s">
        <v>2008-06-19</v>
        <stp/>
        <stp>EM_S_IPO_LISTEDDATE</stp>
        <stp>1</stp>
        <stp>002249</stp>
        <tr r="AT1320" s="1"/>
      </tp>
      <tp t="s">
        <v>2017-05-09</v>
        <stp/>
        <stp>EM_S_IPO_LISTEDDATE</stp>
        <stp>1</stp>
        <stp>603229</stp>
        <tr r="AT274" s="1"/>
      </tp>
      <tp t="s">
        <v>2011-12-16</v>
        <stp/>
        <stp>EM_S_IPO_LISTEDDATE</stp>
        <stp>1</stp>
        <stp>300278</stp>
        <tr r="AT3145" s="1"/>
      </tp>
      <tp t="s">
        <v>1999-01-19</v>
        <stp/>
        <stp>EM_S_IPO_LISTEDDATE</stp>
        <stp>1</stp>
        <stp>600228</stp>
        <tr r="AT3169" s="1"/>
      </tp>
      <tp t="s">
        <v>2017-03-29</v>
        <stp/>
        <stp>EM_S_IPO_LISTEDDATE</stp>
        <stp>1</stp>
        <stp>601228</stp>
        <tr r="AT2498" s="1"/>
      </tp>
      <tp t="s">
        <v>2008-06-12</v>
        <stp/>
        <stp>EM_S_IPO_LISTEDDATE</stp>
        <stp>1</stp>
        <stp>002248</stp>
        <tr r="AT2746" s="1"/>
      </tp>
      <tp t="s">
        <v>2017-01-06</v>
        <stp/>
        <stp>EM_S_IPO_LISTEDDATE</stp>
        <stp>1</stp>
        <stp>603228</stp>
        <tr r="AT2805" s="1"/>
      </tp>
      <tp t="s">
        <v>2011-11-02</v>
        <stp/>
        <stp>EM_S_IPO_LISTEDDATE</stp>
        <stp>1</stp>
        <stp>300275</stp>
        <tr r="AT386" s="1"/>
      </tp>
      <tp t="s">
        <v>2000-01-27</v>
        <stp/>
        <stp>EM_S_IPO_LISTEDDATE</stp>
        <stp>1</stp>
        <stp>600225</stp>
        <tr r="AT2872" s="1"/>
      </tp>
      <tp t="s">
        <v>2014-01-28</v>
        <stp/>
        <stp>EM_S_IPO_LISTEDDATE</stp>
        <stp>1</stp>
        <stp>601225</stp>
        <tr r="AT1210" s="1"/>
      </tp>
      <tp t="s">
        <v>2008-06-05</v>
        <stp/>
        <stp>EM_S_IPO_LISTEDDATE</stp>
        <stp>1</stp>
        <stp>002245</stp>
        <tr r="AT2022" s="1"/>
      </tp>
      <tp t="s">
        <v>2017-04-18</v>
        <stp/>
        <stp>EM_S_IPO_LISTEDDATE</stp>
        <stp>1</stp>
        <stp>603225</stp>
        <tr r="AT3262" s="1"/>
      </tp>
      <tp t="s">
        <v>2011-11-02</v>
        <stp/>
        <stp>EM_S_IPO_LISTEDDATE</stp>
        <stp>1</stp>
        <stp>300274</stp>
        <tr r="AT1283" s="1"/>
      </tp>
      <tp t="s">
        <v>2008-05-29</v>
        <stp/>
        <stp>EM_S_IPO_LISTEDDATE</stp>
        <stp>1</stp>
        <stp>002244</stp>
        <tr r="AT1120" s="1"/>
      </tp>
      <tp t="s">
        <v>2011-11-23</v>
        <stp/>
        <stp>EM_S_IPO_LISTEDDATE</stp>
        <stp>1</stp>
        <stp>300277</stp>
        <tr r="AT492" s="1"/>
      </tp>
      <tp t="s">
        <v>2000-02-21</v>
        <stp/>
        <stp>EM_S_IPO_LISTEDDATE</stp>
        <stp>1</stp>
        <stp>600227</stp>
        <tr r="AT2732" s="1"/>
      </tp>
      <tp t="s">
        <v>2008-06-12</v>
        <stp/>
        <stp>EM_S_IPO_LISTEDDATE</stp>
        <stp>1</stp>
        <stp>002247</stp>
        <tr r="AT3301" s="1"/>
      </tp>
      <tp t="s">
        <v>2015-05-15</v>
        <stp/>
        <stp>EM_S_IPO_LISTEDDATE</stp>
        <stp>1</stp>
        <stp>603227</stp>
        <tr r="AT1007" s="1"/>
      </tp>
      <tp t="s">
        <v>2011-11-15</v>
        <stp/>
        <stp>EM_S_IPO_LISTEDDATE</stp>
        <stp>1</stp>
        <stp>300276</stp>
        <tr r="AT3092" s="1"/>
      </tp>
      <tp t="s">
        <v>1999-11-16</v>
        <stp/>
        <stp>EM_S_IPO_LISTEDDATE</stp>
        <stp>1</stp>
        <stp>600226</stp>
        <tr r="AT1718" s="1"/>
      </tp>
      <tp t="s">
        <v>2014-12-11</v>
        <stp/>
        <stp>EM_S_IPO_LISTEDDATE</stp>
        <stp>1</stp>
        <stp>601226</stp>
        <tr r="AT1486" s="1"/>
      </tp>
      <tp t="s">
        <v>2008-06-05</v>
        <stp/>
        <stp>EM_S_IPO_LISTEDDATE</stp>
        <stp>1</stp>
        <stp>002246</stp>
        <tr r="AT1557" s="1"/>
      </tp>
      <tp t="s">
        <v>2017-06-15</v>
        <stp/>
        <stp>EM_S_IPO_LISTEDDATE</stp>
        <stp>1</stp>
        <stp>603226</stp>
        <tr r="AT1365" s="1"/>
      </tp>
      <tp t="s">
        <v>2011-10-26</v>
        <stp/>
        <stp>EM_S_IPO_LISTEDDATE</stp>
        <stp>1</stp>
        <stp>300271</stp>
        <tr r="AT312" s="1"/>
      </tp>
      <tp t="s">
        <v>1999-11-25</v>
        <stp/>
        <stp>EM_S_IPO_LISTEDDATE</stp>
        <stp>1</stp>
        <stp>600221</stp>
        <tr r="AT2679" s="1"/>
      </tp>
      <tp t="s">
        <v>2008-05-22</v>
        <stp/>
        <stp>EM_S_IPO_LISTEDDATE</stp>
        <stp>1</stp>
        <stp>002241</stp>
        <tr r="AT52" s="1"/>
      </tp>
      <tp t="s">
        <v>2011-10-12</v>
        <stp/>
        <stp>EM_S_IPO_LISTEDDATE</stp>
        <stp>1</stp>
        <stp>300270</stp>
        <tr r="AT966" s="1"/>
      </tp>
      <tp t="s">
        <v>1999-09-27</v>
        <stp/>
        <stp>EM_S_IPO_LISTEDDATE</stp>
        <stp>1</stp>
        <stp>600220</stp>
        <tr r="AT1873" s="1"/>
      </tp>
      <tp t="s">
        <v>2008-05-23</v>
        <stp/>
        <stp>EM_S_IPO_LISTEDDATE</stp>
        <stp>1</stp>
        <stp>002240</stp>
        <tr r="AT1935" s="1"/>
      </tp>
      <tp t="s">
        <v>2011-10-26</v>
        <stp/>
        <stp>EM_S_IPO_LISTEDDATE</stp>
        <stp>1</stp>
        <stp>300273</stp>
        <tr r="AT1936" s="1"/>
      </tp>
      <tp t="s">
        <v>2000-01-13</v>
        <stp/>
        <stp>EM_S_IPO_LISTEDDATE</stp>
        <stp>1</stp>
        <stp>600223</stp>
        <tr r="AT86" s="1"/>
      </tp>
      <tp t="s">
        <v>2008-05-28</v>
        <stp/>
        <stp>EM_S_IPO_LISTEDDATE</stp>
        <stp>1</stp>
        <stp>002243</stp>
        <tr r="AT1825" s="1"/>
      </tp>
      <tp t="s">
        <v>2015-06-30</v>
        <stp/>
        <stp>EM_S_IPO_LISTEDDATE</stp>
        <stp>1</stp>
        <stp>603223</stp>
        <tr r="AT3307" s="1"/>
      </tp>
      <tp t="s">
        <v>2011-11-02</v>
        <stp/>
        <stp>EM_S_IPO_LISTEDDATE</stp>
        <stp>1</stp>
        <stp>300272</stp>
        <tr r="AT3189" s="1"/>
      </tp>
      <tp t="s">
        <v>1999-11-05</v>
        <stp/>
        <stp>EM_S_IPO_LISTEDDATE</stp>
        <stp>1</stp>
        <stp>600222</stp>
        <tr r="AT1015" s="1"/>
      </tp>
      <tp t="s">
        <v>2011-08-08</v>
        <stp/>
        <stp>EM_S_IPO_LISTEDDATE</stp>
        <stp>1</stp>
        <stp>601222</stp>
        <tr r="AT2421" s="1"/>
      </tp>
      <tp t="s">
        <v>2008-05-28</v>
        <stp/>
        <stp>EM_S_IPO_LISTEDDATE</stp>
        <stp>1</stp>
        <stp>002242</stp>
        <tr r="AT504" s="1"/>
      </tp>
      <tp t="s">
        <v>2015-02-17</v>
        <stp/>
        <stp>EM_S_IPO_LISTEDDATE</stp>
        <stp>1</stp>
        <stp>603222</stp>
        <tr r="AT29" s="1"/>
      </tp>
      <tp t="s">
        <v>2011-08-03</v>
        <stp/>
        <stp>EM_S_IPO_LISTEDDATE</stp>
        <stp>1</stp>
        <stp>300249</stp>
        <tr r="AT2557" s="1"/>
      </tp>
      <tp t="s">
        <v>1999-12-23</v>
        <stp/>
        <stp>EM_S_IPO_LISTEDDATE</stp>
        <stp>1</stp>
        <stp>600219</stp>
        <tr r="AT1916" s="1"/>
      </tp>
      <tp t="s">
        <v>2009-08-11</v>
        <stp/>
        <stp>EM_S_IPO_LISTEDDATE</stp>
        <stp>1</stp>
        <stp>002279</stp>
        <tr r="AT2897" s="1"/>
      </tp>
      <tp t="s">
        <v>2011-07-29</v>
        <stp/>
        <stp>EM_S_IPO_LISTEDDATE</stp>
        <stp>1</stp>
        <stp>300248</stp>
        <tr r="AT1276" s="1"/>
      </tp>
      <tp t="s">
        <v>1998-12-03</v>
        <stp/>
        <stp>EM_S_IPO_LISTEDDATE</stp>
        <stp>1</stp>
        <stp>600218</stp>
        <tr r="AT83" s="1"/>
      </tp>
      <tp t="s">
        <v>2011-05-06</v>
        <stp/>
        <stp>EM_S_IPO_LISTEDDATE</stp>
        <stp>1</stp>
        <stp>601218</stp>
        <tr r="AT1106" s="1"/>
      </tp>
      <tp t="s">
        <v>2009-08-11</v>
        <stp/>
        <stp>EM_S_IPO_LISTEDDATE</stp>
        <stp>1</stp>
        <stp>002278</stp>
        <tr r="AT2576" s="1"/>
      </tp>
      <tp t="s">
        <v>2016-12-28</v>
        <stp/>
        <stp>EM_S_IPO_LISTEDDATE</stp>
        <stp>1</stp>
        <stp>603218</stp>
        <tr r="AT1213" s="1"/>
      </tp>
      <tp t="s">
        <v>2011-07-19</v>
        <stp/>
        <stp>EM_S_IPO_LISTEDDATE</stp>
        <stp>1</stp>
        <stp>300245</stp>
        <tr r="AT1646" s="1"/>
      </tp>
      <tp t="s">
        <v>1999-09-09</v>
        <stp/>
        <stp>EM_S_IPO_LISTEDDATE</stp>
        <stp>1</stp>
        <stp>600215</stp>
        <tr r="AT2571" s="1"/>
      </tp>
      <tp t="s">
        <v>2009-07-10</v>
        <stp/>
        <stp>EM_S_IPO_LISTEDDATE</stp>
        <stp>1</stp>
        <stp>002275</stp>
        <tr r="AT2210" s="1"/>
      </tp>
      <tp t="s">
        <v>2011-07-19</v>
        <stp/>
        <stp>EM_S_IPO_LISTEDDATE</stp>
        <stp>1</stp>
        <stp>300244</stp>
        <tr r="AT671" s="1"/>
      </tp>
      <tp t="s">
        <v>2008-09-25</v>
        <stp/>
        <stp>EM_S_IPO_LISTEDDATE</stp>
        <stp>1</stp>
        <stp>002274</stp>
        <tr r="AT999" s="1"/>
      </tp>
      <tp t="s">
        <v>2018-03-30</v>
        <stp/>
        <stp>EM_S_IPO_LISTEDDATE</stp>
        <stp>1</stp>
        <stp>603214</stp>
        <tr r="AT1650" s="1"/>
      </tp>
      <tp t="s">
        <v>2011-07-29</v>
        <stp/>
        <stp>EM_S_IPO_LISTEDDATE</stp>
        <stp>1</stp>
        <stp>300247</stp>
        <tr r="AT2984" s="1"/>
      </tp>
      <tp t="s">
        <v>1999-12-16</v>
        <stp/>
        <stp>EM_S_IPO_LISTEDDATE</stp>
        <stp>1</stp>
        <stp>600217</stp>
        <tr r="AT1105" s="1"/>
      </tp>
      <tp t="s">
        <v>2009-07-17</v>
        <stp/>
        <stp>EM_S_IPO_LISTEDDATE</stp>
        <stp>1</stp>
        <stp>002277</stp>
        <tr r="AT2034" s="1"/>
      </tp>
      <tp t="s">
        <v>2011-07-19</v>
        <stp/>
        <stp>EM_S_IPO_LISTEDDATE</stp>
        <stp>1</stp>
        <stp>300246</stp>
        <tr r="AT740" s="1"/>
      </tp>
      <tp t="s">
        <v>1999-10-21</v>
        <stp/>
        <stp>EM_S_IPO_LISTEDDATE</stp>
        <stp>1</stp>
        <stp>600216</stp>
        <tr r="AT597" s="1"/>
      </tp>
      <tp t="s">
        <v>2011-02-22</v>
        <stp/>
        <stp>EM_S_IPO_LISTEDDATE</stp>
        <stp>1</stp>
        <stp>601216</stp>
        <tr r="AT1321" s="1"/>
      </tp>
      <tp t="s">
        <v>2009-07-10</v>
        <stp/>
        <stp>EM_S_IPO_LISTEDDATE</stp>
        <stp>1</stp>
        <stp>002276</stp>
        <tr r="AT361" s="1"/>
      </tp>
      <tp t="s">
        <v>2011-07-12</v>
        <stp/>
        <stp>EM_S_IPO_LISTEDDATE</stp>
        <stp>1</stp>
        <stp>300241</stp>
        <tr r="AT679" s="1"/>
      </tp>
      <tp t="s">
        <v>1999-07-21</v>
        <stp/>
        <stp>EM_S_IPO_LISTEDDATE</stp>
        <stp>1</stp>
        <stp>600211</stp>
        <tr r="AT1937" s="1"/>
      </tp>
      <tp t="s">
        <v>2015-06-26</v>
        <stp/>
        <stp>EM_S_IPO_LISTEDDATE</stp>
        <stp>1</stp>
        <stp>601211</stp>
        <tr r="AT1188" s="1"/>
      </tp>
      <tp t="s">
        <v>2008-09-10</v>
        <stp/>
        <stp>EM_S_IPO_LISTEDDATE</stp>
        <stp>1</stp>
        <stp>002271</stp>
        <tr r="AT152" s="1"/>
      </tp>
      <tp t="s">
        <v>2011-07-06</v>
        <stp/>
        <stp>EM_S_IPO_LISTEDDATE</stp>
        <stp>1</stp>
        <stp>300240</stp>
        <tr r="AT2840" s="1"/>
      </tp>
      <tp t="s">
        <v>1999-08-24</v>
        <stp/>
        <stp>EM_S_IPO_LISTEDDATE</stp>
        <stp>1</stp>
        <stp>600210</stp>
        <tr r="AT2091" s="1"/>
      </tp>
      <tp t="s">
        <v>2008-09-05</v>
        <stp/>
        <stp>EM_S_IPO_LISTEDDATE</stp>
        <stp>1</stp>
        <stp>002270</stp>
        <tr r="AT2017" s="1"/>
      </tp>
      <tp t="s">
        <v>2011-07-12</v>
        <stp/>
        <stp>EM_S_IPO_LISTEDDATE</stp>
        <stp>1</stp>
        <stp>300243</stp>
        <tr r="AT2469" s="1"/>
      </tp>
      <tp t="s">
        <v>1999-08-31</v>
        <stp/>
        <stp>EM_S_IPO_LISTEDDATE</stp>
        <stp>1</stp>
        <stp>600213</stp>
        <tr r="AT668" s="1"/>
      </tp>
      <tp t="s">
        <v>2008-09-19</v>
        <stp/>
        <stp>EM_S_IPO_LISTEDDATE</stp>
        <stp>1</stp>
        <stp>002273</stp>
        <tr r="AT318" s="1"/>
      </tp>
      <tp t="s">
        <v>2011-07-12</v>
        <stp/>
        <stp>EM_S_IPO_LISTEDDATE</stp>
        <stp>1</stp>
        <stp>300242</stp>
        <tr r="AT2537" s="1"/>
      </tp>
      <tp t="s">
        <v>1999-08-17</v>
        <stp/>
        <stp>EM_S_IPO_LISTEDDATE</stp>
        <stp>1</stp>
        <stp>600212</stp>
        <tr r="AT2006" s="1"/>
      </tp>
      <tp t="s">
        <v>2017-02-15</v>
        <stp/>
        <stp>EM_S_IPO_LISTEDDATE</stp>
        <stp>1</stp>
        <stp>601212</stp>
        <tr r="AT1088" s="1"/>
      </tp>
      <tp t="s">
        <v>2008-09-19</v>
        <stp/>
        <stp>EM_S_IPO_LISTEDDATE</stp>
        <stp>1</stp>
        <stp>002272</stp>
        <tr r="AT1640" s="1"/>
      </tp>
      <tp t="s">
        <v>2011-08-31</v>
        <stp/>
        <stp>EM_S_IPO_LISTEDDATE</stp>
        <stp>1</stp>
        <stp>300259</stp>
        <tr r="AT399" s="1"/>
      </tp>
      <tp t="s">
        <v>1999-03-25</v>
        <stp/>
        <stp>EM_S_IPO_LISTEDDATE</stp>
        <stp>1</stp>
        <stp>600209</stp>
        <tr r="AT3022" s="1"/>
      </tp>
      <tp t="s">
        <v>2008-08-28</v>
        <stp/>
        <stp>EM_S_IPO_LISTEDDATE</stp>
        <stp>1</stp>
        <stp>002269</stp>
        <tr r="AT1454" s="1"/>
      </tp>
      <tp t="s">
        <v>2011-08-26</v>
        <stp/>
        <stp>EM_S_IPO_LISTEDDATE</stp>
        <stp>1</stp>
        <stp>300258</stp>
        <tr r="AT2705" s="1"/>
      </tp>
      <tp t="s">
        <v>1999-06-23</v>
        <stp/>
        <stp>EM_S_IPO_LISTEDDATE</stp>
        <stp>1</stp>
        <stp>600208</stp>
        <tr r="AT957" s="1"/>
      </tp>
      <tp t="s">
        <v>2011-05-20</v>
        <stp/>
        <stp>EM_S_IPO_LISTEDDATE</stp>
        <stp>1</stp>
        <stp>601208</stp>
        <tr r="AT874" s="1"/>
      </tp>
      <tp t="s">
        <v>2008-08-11</v>
        <stp/>
        <stp>EM_S_IPO_LISTEDDATE</stp>
        <stp>1</stp>
        <stp>002268</stp>
        <tr r="AT691" s="1"/>
      </tp>
      <tp t="s">
        <v>2017-02-10</v>
        <stp/>
        <stp>EM_S_IPO_LISTEDDATE</stp>
        <stp>1</stp>
        <stp>603208</stp>
        <tr r="AT181" s="1"/>
      </tp>
      <tp t="s">
        <v>2011-08-19</v>
        <stp/>
        <stp>EM_S_IPO_LISTEDDATE</stp>
        <stp>1</stp>
        <stp>300255</stp>
        <tr r="AT922" s="1"/>
      </tp>
      <tp t="s">
        <v>1999-06-30</v>
        <stp/>
        <stp>EM_S_IPO_LISTEDDATE</stp>
        <stp>1</stp>
        <stp>600205</stp>
        <tr r="AT2295" s="1"/>
      </tp>
      <tp t="s">
        <v>2008-08-06</v>
        <stp/>
        <stp>EM_S_IPO_LISTEDDATE</stp>
        <stp>1</stp>
        <stp>002265</stp>
        <tr r="AT2427" s="1"/>
      </tp>
      <tp t="s">
        <v>2011-08-19</v>
        <stp/>
        <stp>EM_S_IPO_LISTEDDATE</stp>
        <stp>1</stp>
        <stp>300254</stp>
        <tr r="AT1140" s="1"/>
      </tp>
      <tp t="s">
        <v>2008-07-31</v>
        <stp/>
        <stp>EM_S_IPO_LISTEDDATE</stp>
        <stp>1</stp>
        <stp>002264</stp>
        <tr r="AT2960" s="1"/>
      </tp>
      <tp t="s">
        <v>2011-08-19</v>
        <stp/>
        <stp>EM_S_IPO_LISTEDDATE</stp>
        <stp>1</stp>
        <stp>300257</stp>
        <tr r="AT1743" s="1"/>
      </tp>
      <tp t="s">
        <v>1999-07-14</v>
        <stp/>
        <stp>EM_S_IPO_LISTEDDATE</stp>
        <stp>1</stp>
        <stp>600207</stp>
        <tr r="AT1807" s="1"/>
      </tp>
      <tp t="s">
        <v>2008-08-13</v>
        <stp/>
        <stp>EM_S_IPO_LISTEDDATE</stp>
        <stp>1</stp>
        <stp>002267</stp>
        <tr r="AT2497" s="1"/>
      </tp>
      <tp t="s">
        <v>2011-08-19</v>
        <stp/>
        <stp>EM_S_IPO_LISTEDDATE</stp>
        <stp>1</stp>
        <stp>300256</stp>
        <tr r="AT154" s="1"/>
      </tp>
      <tp t="s">
        <v>1999-03-19</v>
        <stp/>
        <stp>EM_S_IPO_LISTEDDATE</stp>
        <stp>1</stp>
        <stp>600206</stp>
        <tr r="AT232" s="1"/>
      </tp>
      <tp>
        <v>0</v>
        <stp/>
        <stp>EM_S_IPO_LISTEDDATE</stp>
        <stp>1</stp>
        <stp>601206</stp>
        <tr r="AT13" s="1"/>
      </tp>
      <tp t="s">
        <v>2008-08-06</v>
        <stp/>
        <stp>EM_S_IPO_LISTEDDATE</stp>
        <stp>1</stp>
        <stp>002266</stp>
        <tr r="AT2187" s="1"/>
      </tp>
      <tp t="s">
        <v>2011-08-03</v>
        <stp/>
        <stp>EM_S_IPO_LISTEDDATE</stp>
        <stp>1</stp>
        <stp>300251</stp>
        <tr r="AT501" s="1"/>
      </tp>
      <tp t="s">
        <v>1999-01-15</v>
        <stp/>
        <stp>EM_S_IPO_LISTEDDATE</stp>
        <stp>1</stp>
        <stp>600201</stp>
        <tr r="AT1517" s="1"/>
      </tp>
      <tp t="s">
        <v>2008-07-23</v>
        <stp/>
        <stp>EM_S_IPO_LISTEDDATE</stp>
        <stp>1</stp>
        <stp>002261</stp>
        <tr r="AT164" s="1"/>
      </tp>
      <tp t="s">
        <v>2011-08-03</v>
        <stp/>
        <stp>EM_S_IPO_LISTEDDATE</stp>
        <stp>1</stp>
        <stp>300250</stp>
        <tr r="AT1446" s="1"/>
      </tp>
      <tp t="s">
        <v>1999-04-01</v>
        <stp/>
        <stp>EM_S_IPO_LISTEDDATE</stp>
        <stp>1</stp>
        <stp>600200</stp>
        <tr r="AT2906" s="1"/>
      </tp>
      <tp t="s">
        <v>2017-03-31</v>
        <stp/>
        <stp>EM_S_IPO_LISTEDDATE</stp>
        <stp>1</stp>
        <stp>601200</stp>
        <tr r="AT2980" s="1"/>
      </tp>
      <tp t="s">
        <v>2008-07-16</v>
        <stp/>
        <stp>EM_S_IPO_LISTEDDATE</stp>
        <stp>1</stp>
        <stp>002260</stp>
        <tr r="AT2467" s="1"/>
      </tp>
      <tp t="s">
        <v>2017-06-01</v>
        <stp/>
        <stp>EM_S_IPO_LISTEDDATE</stp>
        <stp>1</stp>
        <stp>603200</stp>
        <tr r="AT3342" s="1"/>
      </tp>
      <tp t="s">
        <v>2011-08-18</v>
        <stp/>
        <stp>EM_S_IPO_LISTEDDATE</stp>
        <stp>1</stp>
        <stp>300253</stp>
        <tr r="AT1336" s="1"/>
      </tp>
      <tp t="s">
        <v>1999-05-14</v>
        <stp/>
        <stp>EM_S_IPO_LISTEDDATE</stp>
        <stp>1</stp>
        <stp>600203</stp>
        <tr r="AT655" s="1"/>
      </tp>
      <tp t="s">
        <v>2008-07-28</v>
        <stp/>
        <stp>EM_S_IPO_LISTEDDATE</stp>
        <stp>1</stp>
        <stp>002263</stp>
        <tr r="AT1203" s="1"/>
      </tp>
      <tp t="s">
        <v>2016-11-08</v>
        <stp/>
        <stp>EM_S_IPO_LISTEDDATE</stp>
        <stp>1</stp>
        <stp>603203</stp>
        <tr r="AT761" s="1"/>
      </tp>
      <tp t="s">
        <v>2011-08-18</v>
        <stp/>
        <stp>EM_S_IPO_LISTEDDATE</stp>
        <stp>1</stp>
        <stp>300252</stp>
        <tr r="AT2966" s="1"/>
      </tp>
      <tp t="s">
        <v>1999-06-03</v>
        <stp/>
        <stp>EM_S_IPO_LISTEDDATE</stp>
        <stp>1</stp>
        <stp>600202</stp>
        <tr r="AT605" s="1"/>
      </tp>
      <tp t="s">
        <v>2008-07-23</v>
        <stp/>
        <stp>EM_S_IPO_LISTEDDATE</stp>
        <stp>1</stp>
        <stp>002262</stp>
        <tr r="AT1001" s="1"/>
      </tp>
      <tp>
        <v>0.6696556402244227</v>
        <stp/>
        <stp>EM_S_RATIO_EPS_TTM</stp>
        <stp>3</stp>
        <stp>603019</stp>
        <stp>12/31/2018</stp>
        <stp>1</stp>
        <tr r="U2496" s="1"/>
      </tp>
      <tp>
        <v>1.2000337168808701</v>
        <stp/>
        <stp>EM_S_RATIO_EPS_TTM</stp>
        <stp>3</stp>
        <stp>603319</stp>
        <stp>12/31/2018</stp>
        <stp>1</stp>
        <tr r="U2802" s="1"/>
      </tp>
      <tp>
        <v>0.41209525304480449</v>
        <stp/>
        <stp>EM_S_RATIO_EPS_TTM</stp>
        <stp>3</stp>
        <stp>603519</stp>
        <stp>12/31/2018</stp>
        <stp>1</stp>
        <tr r="U531" s="1"/>
      </tp>
      <tp>
        <v>7.4921390619652348E-2</v>
        <stp/>
        <stp>EM_S_RATIO_EPS_TTM</stp>
        <stp>3</stp>
        <stp>603619</stp>
        <stp>12/31/2018</stp>
        <stp>1</stp>
        <tr r="U2734" s="1"/>
      </tp>
      <tp>
        <v>0.71048432788461535</v>
        <stp/>
        <stp>EM_S_RATIO_EPS_TTM</stp>
        <stp>3</stp>
        <stp>603919</stp>
        <stp>12/31/2018</stp>
        <stp>1</stp>
        <tr r="U540" s="1"/>
      </tp>
      <tp>
        <v>0.3988696997185896</v>
        <stp/>
        <stp>EM_S_RATIO_EPS_TTM</stp>
        <stp>3</stp>
        <stp>603819</stp>
        <stp>12/31/2018</stp>
        <stp>1</stp>
        <tr r="U2892" s="1"/>
      </tp>
      <tp>
        <v>1.2058558168724081</v>
        <stp/>
        <stp>EM_S_RATIO_EPS_TTM</stp>
        <stp>3</stp>
        <stp>002179</stp>
        <stp>12/31/2018</stp>
        <stp>1</stp>
        <tr r="U1453" s="1"/>
      </tp>
      <tp>
        <v>0.12988217978103309</v>
        <stp/>
        <stp>EM_S_RATIO_EPS_TTM</stp>
        <stp>3</stp>
        <stp>002079</stp>
        <stp>12/31/2018</stp>
        <stp>1</stp>
        <tr r="U84" s="1"/>
      </tp>
      <tp>
        <v>9.3378051705526773E-3</v>
        <stp/>
        <stp>EM_S_RATIO_EPS_TTM</stp>
        <stp>3</stp>
        <stp>002379</stp>
        <stp>12/31/2018</stp>
        <stp>1</stp>
        <tr r="U881" s="1"/>
      </tp>
      <tp>
        <v>-1.1831170875900536</v>
        <stp/>
        <stp>EM_S_RATIO_EPS_TTM</stp>
        <stp>3</stp>
        <stp>002279</stp>
        <stp>12/31/2018</stp>
        <stp>1</stp>
        <tr r="U2897" s="1"/>
      </tp>
      <tp>
        <v>0.21878734408733685</v>
        <stp/>
        <stp>EM_S_RATIO_EPS_TTM</stp>
        <stp>3</stp>
        <stp>002579</stp>
        <stp>12/31/2018</stp>
        <stp>1</stp>
        <tr r="U396" s="1"/>
      </tp>
      <tp>
        <v>0.14018719307683705</v>
        <stp/>
        <stp>EM_S_RATIO_EPS_TTM</stp>
        <stp>3</stp>
        <stp>002479</stp>
        <stp>12/31/2018</stp>
        <stp>1</stp>
        <tr r="U445" s="1"/>
      </tp>
      <tp>
        <v>8.9202044999999994E-2</v>
        <stp/>
        <stp>EM_S_RATIO_EPS_TTM</stp>
        <stp>3</stp>
        <stp>002779</stp>
        <stp>12/31/2018</stp>
        <stp>1</stp>
        <tr r="U2173" s="1"/>
      </tp>
      <tp>
        <v>0.20186071803050612</v>
        <stp/>
        <stp>EM_S_RATIO_EPS_TTM</stp>
        <stp>3</stp>
        <stp>002679</stp>
        <stp>12/31/2018</stp>
        <stp>1</stp>
        <tr r="U2584" s="1"/>
      </tp>
      <tp>
        <v>0.6644751397717874</v>
        <stp/>
        <stp>EM_S_RATIO_EPS_TTM</stp>
        <stp>3</stp>
        <stp>002879</stp>
        <stp>12/31/2018</stp>
        <stp>1</stp>
        <tr r="U1221" s="1"/>
      </tp>
      <tp>
        <v>0.71155221321577455</v>
        <stp/>
        <stp>EM_S_RATIO_EPS_TTM</stp>
        <stp>3</stp>
        <stp>601019</stp>
        <stp>12/31/2018</stp>
        <stp>1</stp>
        <tr r="U2814" s="1"/>
      </tp>
      <tp>
        <v>5.4491822790159482E-2</v>
        <stp/>
        <stp>EM_S_RATIO_EPS_TTM</stp>
        <stp>3</stp>
        <stp>601519</stp>
        <stp>12/31/2018</stp>
        <stp>1</stp>
        <tr r="U99" s="1"/>
      </tp>
      <tp>
        <v>0.1393235678375582</v>
        <stp/>
        <stp>EM_S_RATIO_EPS_TTM</stp>
        <stp>3</stp>
        <stp>601619</stp>
        <stp>12/31/2018</stp>
        <stp>1</stp>
        <tr r="U3015" s="1"/>
      </tp>
      <tp>
        <v>1.9281217684328678</v>
        <stp/>
        <stp>EM_S_RATIO_EPS_TTM</stp>
        <stp>3</stp>
        <stp>001979</stp>
        <stp>12/31/2018</stp>
        <stp>1</stp>
        <tr r="U1473" s="1"/>
      </tp>
      <tp>
        <v>0.12039872612046768</v>
        <stp/>
        <stp>EM_S_RATIO_EPS_TTM</stp>
        <stp>3</stp>
        <stp>601919</stp>
        <stp>12/31/2018</stp>
        <stp>1</stp>
        <tr r="U933" s="1"/>
      </tp>
      <tp>
        <v>0.32229831432462469</v>
        <stp/>
        <stp>EM_S_RATIO_EPS_TTM</stp>
        <stp>3</stp>
        <stp>300149</stp>
        <stp>12/31/2018</stp>
        <stp>1</stp>
        <tr r="U2776" s="1"/>
      </tp>
      <tp>
        <v>-2.1933979992192585</v>
        <stp/>
        <stp>EM_S_RATIO_EPS_TTM</stp>
        <stp>3</stp>
        <stp>600119</stp>
        <stp>12/31/2018</stp>
        <stp>1</stp>
        <tr r="U3176" s="1"/>
      </tp>
      <tp>
        <v>0.13463479825936284</v>
        <stp/>
        <stp>EM_S_RATIO_EPS_TTM</stp>
        <stp>3</stp>
        <stp>300049</stp>
        <stp>12/31/2018</stp>
        <stp>1</stp>
        <tr r="U3166" s="1"/>
      </tp>
      <tp>
        <v>0.96844107918208178</v>
        <stp/>
        <stp>EM_S_RATIO_EPS_TTM</stp>
        <stp>3</stp>
        <stp>600019</stp>
        <stp>12/31/2018</stp>
        <stp>1</stp>
        <tr r="U2815" s="1"/>
      </tp>
      <tp>
        <v>1.1601116137988468</v>
        <stp/>
        <stp>EM_S_RATIO_EPS_TTM</stp>
        <stp>3</stp>
        <stp>300349</stp>
        <stp>12/31/2018</stp>
        <stp>1</stp>
        <tr r="U2578" s="1"/>
      </tp>
      <tp>
        <v>9.8464380184667636E-3</v>
        <stp/>
        <stp>EM_S_RATIO_EPS_TTM</stp>
        <stp>3</stp>
        <stp>600319</stp>
        <stp>12/31/2018</stp>
        <stp>1</stp>
        <tr r="U2240" s="1"/>
      </tp>
      <tp>
        <v>8.5828833189472084E-2</v>
        <stp/>
        <stp>EM_S_RATIO_EPS_TTM</stp>
        <stp>3</stp>
        <stp>300249</stp>
        <stp>12/31/2018</stp>
        <stp>1</stp>
        <tr r="U2557" s="1"/>
      </tp>
      <tp>
        <v>0.1203279635446857</v>
        <stp/>
        <stp>EM_S_RATIO_EPS_TTM</stp>
        <stp>3</stp>
        <stp>600219</stp>
        <stp>12/31/2018</stp>
        <stp>1</stp>
        <tr r="U1916" s="1"/>
      </tp>
      <tp>
        <v>0.36758401222438875</v>
        <stp/>
        <stp>EM_S_RATIO_EPS_TTM</stp>
        <stp>3</stp>
        <stp>300549</stp>
        <stp>12/31/2018</stp>
        <stp>1</stp>
        <tr r="U1330" s="1"/>
      </tp>
      <tp>
        <v>28.023950737073413</v>
        <stp/>
        <stp>EM_S_RATIO_EPS_TTM</stp>
        <stp>3</stp>
        <stp>600519</stp>
        <stp>12/31/2018</stp>
        <stp>1</stp>
        <tr r="U160" s="1"/>
      </tp>
      <tp>
        <v>6.4914264894622792E-2</v>
        <stp/>
        <stp>EM_S_RATIO_EPS_TTM</stp>
        <stp>3</stp>
        <stp>300449</stp>
        <stp>12/31/2018</stp>
        <stp>1</stp>
        <tr r="U3249" s="1"/>
      </tp>
      <tp>
        <v>0.551304769134904</v>
        <stp/>
        <stp>EM_S_RATIO_EPS_TTM</stp>
        <stp>3</stp>
        <stp>600419</stp>
        <stp>12/31/2018</stp>
        <stp>1</stp>
        <tr r="U2434" s="1"/>
      </tp>
      <tp>
        <v>1.2730147792047051</v>
        <stp/>
        <stp>EM_S_RATIO_EPS_TTM</stp>
        <stp>3</stp>
        <stp>000779</stp>
        <stp>12/31/2018</stp>
        <stp>1</stp>
        <tr r="U1367" s="1"/>
      </tp>
      <tp>
        <v>6.6902443798758085E-3</v>
        <stp/>
        <stp>EM_S_RATIO_EPS_TTM</stp>
        <stp>3</stp>
        <stp>600719</stp>
        <stp>12/31/2018</stp>
        <stp>1</stp>
        <tr r="U1059" s="1"/>
      </tp>
      <tp>
        <v>-1.1642170734287318</v>
        <stp/>
        <stp>EM_S_RATIO_EPS_TTM</stp>
        <stp>3</stp>
        <stp>000679</stp>
        <stp>12/31/2018</stp>
        <stp>1</stp>
        <tr r="U3506" s="1"/>
      </tp>
      <tp>
        <v>0.40876097124999999</v>
        <stp/>
        <stp>EM_S_RATIO_EPS_TTM</stp>
        <stp>3</stp>
        <stp>300649</stp>
        <stp>12/31/2018</stp>
        <stp>1</stp>
        <tr r="U3039" s="1"/>
      </tp>
      <tp>
        <v>0.35886302682032695</v>
        <stp/>
        <stp>EM_S_RATIO_EPS_TTM</stp>
        <stp>3</stp>
        <stp>600619</stp>
        <stp>12/31/2018</stp>
        <stp>1</stp>
        <tr r="U2513" s="1"/>
      </tp>
      <tp>
        <v>-0.53378414705537236</v>
        <stp/>
        <stp>EM_S_RATIO_EPS_TTM</stp>
        <stp>3</stp>
        <stp>000979</stp>
        <stp>12/31/2018</stp>
        <stp>1</stp>
        <tr r="U3592" s="1"/>
      </tp>
      <tp>
        <v>1.1317070107280989</v>
        <stp/>
        <stp>EM_S_RATIO_EPS_TTM</stp>
        <stp>3</stp>
        <stp>600919</stp>
        <stp>12/31/2018</stp>
        <stp>1</stp>
        <tr r="U1245" s="1"/>
      </tp>
      <tp>
        <v>9.6994645013423128E-2</v>
        <stp/>
        <stp>EM_S_RATIO_EPS_TTM</stp>
        <stp>3</stp>
        <stp>600819</stp>
        <stp>12/31/2018</stp>
        <stp>1</stp>
        <tr r="U1023" s="1"/>
      </tp>
      <tp>
        <v>0.2461114017076774</v>
        <stp/>
        <stp>EM_S_RATIO_EPS_TTM</stp>
        <stp>3</stp>
        <stp>603118</stp>
        <stp>12/31/2018</stp>
        <stp>1</stp>
        <tr r="U261" s="1"/>
      </tp>
      <tp>
        <v>1.2624994595161461</v>
        <stp/>
        <stp>EM_S_RATIO_EPS_TTM</stp>
        <stp>3</stp>
        <stp>603018</stp>
        <stp>12/31/2018</stp>
        <stp>1</stp>
        <tr r="U3325" s="1"/>
      </tp>
      <tp>
        <v>1.0865305677408808E-2</v>
        <stp/>
        <stp>EM_S_RATIO_EPS_TTM</stp>
        <stp>3</stp>
        <stp>603318</stp>
        <stp>12/31/2018</stp>
        <stp>1</stp>
        <tr r="U2674" s="1"/>
      </tp>
      <tp>
        <v>0.68893368204700045</v>
        <stp/>
        <stp>EM_S_RATIO_EPS_TTM</stp>
        <stp>3</stp>
        <stp>603218</stp>
        <stp>12/31/2018</stp>
        <stp>1</stp>
        <tr r="U1213" s="1"/>
      </tp>
      <tp>
        <v>1.5111218158991364</v>
        <stp/>
        <stp>EM_S_RATIO_EPS_TTM</stp>
        <stp>3</stp>
        <stp>603518</stp>
        <stp>12/31/2018</stp>
        <stp>1</stp>
        <tr r="U3366" s="1"/>
      </tp>
      <tp>
        <v>3.3071776195652172E-2</v>
        <stp/>
        <stp>EM_S_RATIO_EPS_TTM</stp>
        <stp>3</stp>
        <stp>603718</stp>
        <stp>12/31/2018</stp>
        <stp>1</stp>
        <tr r="U2359" s="1"/>
      </tp>
      <tp>
        <v>0.14655958981468031</v>
        <stp/>
        <stp>EM_S_RATIO_EPS_TTM</stp>
        <stp>3</stp>
        <stp>603618</stp>
        <stp>12/31/2018</stp>
        <stp>1</stp>
        <tr r="U2025" s="1"/>
      </tp>
      <tp>
        <v>0.28537092020165444</v>
        <stp/>
        <stp>EM_S_RATIO_EPS_TTM</stp>
        <stp>3</stp>
        <stp>603918</stp>
        <stp>12/31/2018</stp>
        <stp>1</stp>
        <tr r="U2585" s="1"/>
      </tp>
      <tp>
        <v>-0.12020801184491706</v>
        <stp/>
        <stp>EM_S_RATIO_EPS_TTM</stp>
        <stp>3</stp>
        <stp>603818</stp>
        <stp>12/31/2018</stp>
        <stp>1</stp>
        <tr r="U1096" s="1"/>
      </tp>
      <tp>
        <v>-0.40118359702032624</v>
        <stp/>
        <stp>EM_S_RATIO_EPS_TTM</stp>
        <stp>3</stp>
        <stp>002178</stp>
        <stp>12/31/2018</stp>
        <stp>1</stp>
        <tr r="U1588" s="1"/>
      </tp>
      <tp>
        <v>0.86307645438268521</v>
        <stp/>
        <stp>EM_S_RATIO_EPS_TTM</stp>
        <stp>3</stp>
        <stp>002078</stp>
        <stp>12/31/2018</stp>
        <stp>1</stp>
        <tr r="U275" s="1"/>
      </tp>
      <tp>
        <v>5.0080593880609314E-2</v>
        <stp/>
        <stp>EM_S_RATIO_EPS_TTM</stp>
        <stp>3</stp>
        <stp>002378</stp>
        <stp>12/31/2018</stp>
        <stp>1</stp>
        <tr r="U1552" s="1"/>
      </tp>
      <tp>
        <v>8.178400103863144E-2</v>
        <stp/>
        <stp>EM_S_RATIO_EPS_TTM</stp>
        <stp>3</stp>
        <stp>002278</stp>
        <stp>12/31/2018</stp>
        <stp>1</stp>
        <tr r="U2576" s="1"/>
      </tp>
      <tp>
        <v>3.6237815259906388E-2</v>
        <stp/>
        <stp>EM_S_RATIO_EPS_TTM</stp>
        <stp>3</stp>
        <stp>002578</stp>
        <stp>12/31/2018</stp>
        <stp>1</stp>
        <tr r="U1903" s="1"/>
      </tp>
      <tp>
        <v>0.5002774152244519</v>
        <stp/>
        <stp>EM_S_RATIO_EPS_TTM</stp>
        <stp>3</stp>
        <stp>002478</stp>
        <stp>12/31/2018</stp>
        <stp>1</stp>
        <tr r="U1021" s="1"/>
      </tp>
      <tp>
        <v>0.20346662241399624</v>
        <stp/>
        <stp>EM_S_RATIO_EPS_TTM</stp>
        <stp>3</stp>
        <stp>002778</stp>
        <stp>12/31/2018</stp>
        <stp>1</stp>
        <tr r="U1331" s="1"/>
      </tp>
      <tp>
        <v>0.12975761433851418</v>
        <stp/>
        <stp>EM_S_RATIO_EPS_TTM</stp>
        <stp>3</stp>
        <stp>002678</stp>
        <stp>12/31/2018</stp>
        <stp>1</stp>
        <tr r="U697" s="1"/>
      </tp>
      <tp>
        <v>0.71733227377396547</v>
        <stp/>
        <stp>EM_S_RATIO_EPS_TTM</stp>
        <stp>3</stp>
        <stp>002878</stp>
        <stp>12/31/2018</stp>
        <stp>1</stp>
        <tr r="U1941" s="1"/>
      </tp>
      <tp>
        <v>5.3427386257172547E-2</v>
        <stp/>
        <stp>EM_S_RATIO_EPS_TTM</stp>
        <stp>3</stp>
        <stp>601118</stp>
        <stp>12/31/2018</stp>
        <stp>1</stp>
        <tr r="U1724" s="1"/>
      </tp>
      <tp>
        <v>0.21895052928717854</v>
        <stp/>
        <stp>EM_S_RATIO_EPS_TTM</stp>
        <stp>3</stp>
        <stp>601018</stp>
        <stp>12/31/2018</stp>
        <stp>1</stp>
        <tr r="U1529" s="1"/>
      </tp>
      <tp>
        <v>5.8754147492409947</v>
        <stp/>
        <stp>EM_S_RATIO_EPS_TTM</stp>
        <stp>3</stp>
        <stp>601318</stp>
        <stp>12/31/2018</stp>
        <stp>1</stp>
        <tr r="U516" s="1"/>
      </tp>
      <tp>
        <v>-5.975111264822134E-2</v>
        <stp/>
        <stp>EM_S_RATIO_EPS_TTM</stp>
        <stp>3</stp>
        <stp>601218</stp>
        <stp>12/31/2018</stp>
        <stp>1</stp>
        <tr r="U1106" s="1"/>
      </tp>
      <tp>
        <v>0.18045114523188505</v>
        <stp/>
        <stp>EM_S_RATIO_EPS_TTM</stp>
        <stp>3</stp>
        <stp>601518</stp>
        <stp>12/31/2018</stp>
        <stp>1</stp>
        <tr r="U2183" s="1"/>
      </tp>
      <tp>
        <v>-1.5476927747612832E-2</v>
        <stp/>
        <stp>EM_S_RATIO_EPS_TTM</stp>
        <stp>3</stp>
        <stp>601718</stp>
        <stp>12/31/2018</stp>
        <stp>1</stp>
        <tr r="U2524" s="1"/>
      </tp>
      <tp>
        <v>0.30745498398386173</v>
        <stp/>
        <stp>EM_S_RATIO_EPS_TTM</stp>
        <stp>3</stp>
        <stp>601618</stp>
        <stp>12/31/2018</stp>
        <stp>1</stp>
        <tr r="U2782" s="1"/>
      </tp>
      <tp>
        <v>0.10087844355570715</v>
        <stp/>
        <stp>EM_S_RATIO_EPS_TTM</stp>
        <stp>3</stp>
        <stp>601918</stp>
        <stp>12/31/2018</stp>
        <stp>1</stp>
        <tr r="U1915" s="1"/>
      </tp>
      <tp>
        <v>0.64125492656442717</v>
        <stp/>
        <stp>EM_S_RATIO_EPS_TTM</stp>
        <stp>3</stp>
        <stp>601818</stp>
        <stp>12/31/2018</stp>
        <stp>1</stp>
        <tr r="U1342" s="1"/>
      </tp>
      <tp>
        <v>-1.2849186825790744</v>
        <stp/>
        <stp>EM_S_RATIO_EPS_TTM</stp>
        <stp>3</stp>
        <stp>300148</stp>
        <stp>12/31/2018</stp>
        <stp>1</stp>
        <tr r="U2790" s="1"/>
      </tp>
      <tp>
        <v>0.35318722492109828</v>
        <stp/>
        <stp>EM_S_RATIO_EPS_TTM</stp>
        <stp>3</stp>
        <stp>600118</stp>
        <stp>12/31/2018</stp>
        <stp>1</stp>
        <tr r="U1129" s="1"/>
      </tp>
      <tp>
        <v>0.15668771630807257</v>
        <stp/>
        <stp>EM_S_RATIO_EPS_TTM</stp>
        <stp>3</stp>
        <stp>000078</stp>
        <stp>12/31/2018</stp>
        <stp>1</stp>
        <tr r="U1064" s="1"/>
      </tp>
      <tp>
        <v>-0.21009157429202407</v>
        <stp/>
        <stp>EM_S_RATIO_EPS_TTM</stp>
        <stp>3</stp>
        <stp>300048</stp>
        <stp>12/31/2018</stp>
        <stp>1</stp>
        <tr r="U2355" s="1"/>
      </tp>
      <tp>
        <v>0.44344898638119096</v>
        <stp/>
        <stp>EM_S_RATIO_EPS_TTM</stp>
        <stp>3</stp>
        <stp>600018</stp>
        <stp>12/31/2018</stp>
        <stp>1</stp>
        <tr r="U1725" s="1"/>
      </tp>
      <tp>
        <v>0.17558630471364403</v>
        <stp/>
        <stp>EM_S_RATIO_EPS_TTM</stp>
        <stp>3</stp>
        <stp>300348</stp>
        <stp>12/31/2018</stp>
        <stp>1</stp>
        <tr r="U1093" s="1"/>
      </tp>
      <tp>
        <v>0.1094448201446281</v>
        <stp/>
        <stp>EM_S_RATIO_EPS_TTM</stp>
        <stp>3</stp>
        <stp>600318</stp>
        <stp>12/31/2018</stp>
        <stp>1</stp>
        <tr r="U2381" s="1"/>
      </tp>
      <tp>
        <v>0.19977989561030257</v>
        <stp/>
        <stp>EM_S_RATIO_EPS_TTM</stp>
        <stp>3</stp>
        <stp>300248</stp>
        <stp>12/31/2018</stp>
        <stp>1</stp>
        <tr r="U1276" s="1"/>
      </tp>
      <tp>
        <v>0.10761376718959742</v>
        <stp/>
        <stp>EM_S_RATIO_EPS_TTM</stp>
        <stp>3</stp>
        <stp>600218</stp>
        <stp>12/31/2018</stp>
        <stp>1</stp>
        <tr r="U83" s="1"/>
      </tp>
      <tp>
        <v>0.48877312803809159</v>
        <stp/>
        <stp>EM_S_RATIO_EPS_TTM</stp>
        <stp>3</stp>
        <stp>000578</stp>
        <stp>12/31/2018</stp>
        <stp>1</stp>
        <tr r="U3464" s="1"/>
      </tp>
      <tp>
        <v>2.7966794721055788E-2</v>
        <stp/>
        <stp>EM_S_RATIO_EPS_TTM</stp>
        <stp>3</stp>
        <stp>300548</stp>
        <stp>12/31/2018</stp>
        <stp>1</stp>
        <tr r="U199" s="1"/>
      </tp>
      <tp>
        <v>0.22823081392588185</v>
        <stp/>
        <stp>EM_S_RATIO_EPS_TTM</stp>
        <stp>3</stp>
        <stp>600518</stp>
        <stp>12/31/2018</stp>
        <stp>1</stp>
        <tr r="U3393" s="1"/>
      </tp>
      <tp>
        <v>0.34327712012379946</v>
        <stp/>
        <stp>EM_S_RATIO_EPS_TTM</stp>
        <stp>3</stp>
        <stp>300448</stp>
        <stp>12/31/2018</stp>
        <stp>1</stp>
        <tr r="U3181" s="1"/>
      </tp>
      <tp>
        <v>-0.41522145083805007</v>
        <stp/>
        <stp>EM_S_RATIO_EPS_TTM</stp>
        <stp>3</stp>
        <stp>600418</stp>
        <stp>12/31/2018</stp>
        <stp>1</stp>
        <tr r="U2111" s="1"/>
      </tp>
      <tp>
        <v>0.5265341463386497</v>
        <stp/>
        <stp>EM_S_RATIO_EPS_TTM</stp>
        <stp>3</stp>
        <stp>000778</stp>
        <stp>12/31/2018</stp>
        <stp>1</stp>
        <tr r="U3535" s="1"/>
      </tp>
      <tp>
        <v>8.8634801913064096E-2</v>
        <stp/>
        <stp>EM_S_RATIO_EPS_TTM</stp>
        <stp>3</stp>
        <stp>600718</stp>
        <stp>12/31/2018</stp>
        <stp>1</stp>
        <tr r="U2488" s="1"/>
      </tp>
      <tp>
        <v>-0.12985781285331108</v>
        <stp/>
        <stp>EM_S_RATIO_EPS_TTM</stp>
        <stp>3</stp>
        <stp>000678</stp>
        <stp>12/31/2018</stp>
        <stp>1</stp>
        <tr r="U3505" s="1"/>
      </tp>
      <tp>
        <v>0.15151793774002953</v>
        <stp/>
        <stp>EM_S_RATIO_EPS_TTM</stp>
        <stp>3</stp>
        <stp>300648</stp>
        <stp>12/31/2018</stp>
        <stp>1</stp>
        <tr r="U2494" s="1"/>
      </tp>
      <tp>
        <v>0.91064055364525531</v>
        <stp/>
        <stp>EM_S_RATIO_EPS_TTM</stp>
        <stp>3</stp>
        <stp>600618</stp>
        <stp>12/31/2018</stp>
        <stp>1</stp>
        <tr r="U1601" s="1"/>
      </tp>
      <tp>
        <v>0.22327732024437655</v>
        <stp/>
        <stp>EM_S_RATIO_EPS_TTM</stp>
        <stp>3</stp>
        <stp>000978</stp>
        <stp>12/31/2018</stp>
        <stp>1</stp>
        <tr r="U2177" s="1"/>
      </tp>
      <tp>
        <v>7.3407975270335823E-2</v>
        <stp/>
        <stp>EM_S_RATIO_EPS_TTM</stp>
        <stp>3</stp>
        <stp>000878</stp>
        <stp>12/31/2018</stp>
        <stp>1</stp>
        <tr r="U3560" s="1"/>
      </tp>
      <tp>
        <v>1.576575395994953E-2</v>
        <stp/>
        <stp>EM_S_RATIO_EPS_TTM</stp>
        <stp>3</stp>
        <stp>600818</stp>
        <stp>12/31/2018</stp>
        <stp>1</stp>
        <tr r="U1647" s="1"/>
      </tp>
      <tp>
        <v>0.14443240952848721</v>
        <stp/>
        <stp>EM_S_RATIO_EPS_TTM</stp>
        <stp>3</stp>
        <stp>603015</stp>
        <stp>12/31/2018</stp>
        <stp>1</stp>
        <tr r="U1933" s="1"/>
      </tp>
      <tp>
        <v>4.2637526363213211E-2</v>
        <stp/>
        <stp>EM_S_RATIO_EPS_TTM</stp>
        <stp>3</stp>
        <stp>603315</stp>
        <stp>12/31/2018</stp>
        <stp>1</stp>
        <tr r="U2056" s="1"/>
      </tp>
      <tp>
        <v>1.1892444575688768</v>
        <stp/>
        <stp>EM_S_RATIO_EPS_TTM</stp>
        <stp>3</stp>
        <stp>603515</stp>
        <stp>12/31/2018</stp>
        <stp>1</stp>
        <tr r="U2247" s="1"/>
      </tp>
      <tp>
        <v>0.28492474133333334</v>
        <stp/>
        <stp>EM_S_RATIO_EPS_TTM</stp>
        <stp>3</stp>
        <stp>603615</stp>
        <stp>12/31/2018</stp>
        <stp>1</stp>
        <tr r="U1733" s="1"/>
      </tp>
      <tp>
        <v>-1.077579829078424</v>
        <stp/>
        <stp>EM_S_RATIO_EPS_TTM</stp>
        <stp>3</stp>
        <stp>002175</stp>
        <stp>12/31/2018</stp>
        <stp>1</stp>
        <tr r="U3335" s="1"/>
      </tp>
      <tp>
        <v>0.53337525106334382</v>
        <stp/>
        <stp>EM_S_RATIO_EPS_TTM</stp>
        <stp>3</stp>
        <stp>002075</stp>
        <stp>12/31/2018</stp>
        <stp>1</stp>
        <tr r="U3139" s="1"/>
      </tp>
      <tp>
        <v>0.27525451959800568</v>
        <stp/>
        <stp>EM_S_RATIO_EPS_TTM</stp>
        <stp>3</stp>
        <stp>002375</stp>
        <stp>12/31/2018</stp>
        <stp>1</stp>
        <tr r="U1491" s="1"/>
      </tp>
      <tp>
        <v>0.70034921162317854</v>
        <stp/>
        <stp>EM_S_RATIO_EPS_TTM</stp>
        <stp>3</stp>
        <stp>002275</stp>
        <stp>12/31/2018</stp>
        <stp>1</stp>
        <tr r="U2210" s="1"/>
      </tp>
      <tp>
        <v>1.1757393548715859E-2</v>
        <stp/>
        <stp>EM_S_RATIO_EPS_TTM</stp>
        <stp>3</stp>
        <stp>002575</stp>
        <stp>12/31/2018</stp>
        <stp>1</stp>
        <tr r="U2631" s="1"/>
      </tp>
      <tp>
        <v>0.66169738500129494</v>
        <stp/>
        <stp>EM_S_RATIO_EPS_TTM</stp>
        <stp>3</stp>
        <stp>002475</stp>
        <stp>12/31/2018</stp>
        <stp>1</stp>
        <tr r="U81" s="1"/>
      </tp>
      <tp>
        <v>0.48654985572565979</v>
        <stp/>
        <stp>EM_S_RATIO_EPS_TTM</stp>
        <stp>3</stp>
        <stp>002775</stp>
        <stp>12/31/2018</stp>
        <stp>1</stp>
        <tr r="U2512" s="1"/>
      </tp>
      <tp>
        <v>0.34956587039309495</v>
        <stp/>
        <stp>EM_S_RATIO_EPS_TTM</stp>
        <stp>3</stp>
        <stp>002675</stp>
        <stp>12/31/2018</stp>
        <stp>1</stp>
        <tr r="U177" s="1"/>
      </tp>
      <tp>
        <v>0.63154551469437148</v>
        <stp/>
        <stp>EM_S_RATIO_EPS_TTM</stp>
        <stp>3</stp>
        <stp>002875</stp>
        <stp>12/31/2018</stp>
        <stp>1</stp>
        <tr r="U1887" s="1"/>
      </tp>
      <tp>
        <v>0.25944822465300094</v>
        <stp/>
        <stp>EM_S_RATIO_EPS_TTM</stp>
        <stp>3</stp>
        <stp>601015</stp>
        <stp>12/31/2018</stp>
        <stp>1</stp>
        <tr r="U3317" s="1"/>
      </tp>
      <tp>
        <v>0.67256938522482013</v>
        <stp/>
        <stp>EM_S_RATIO_EPS_TTM</stp>
        <stp>3</stp>
        <stp>601515</stp>
        <stp>12/31/2018</stp>
        <stp>1</stp>
        <tr r="U2559" s="1"/>
      </tp>
      <tp>
        <v>0.22368091501327522</v>
        <stp/>
        <stp>EM_S_RATIO_EPS_TTM</stp>
        <stp>3</stp>
        <stp>300145</stp>
        <stp>12/31/2018</stp>
        <stp>1</stp>
        <tr r="U1801" s="1"/>
      </tp>
      <tp>
        <v>0.18724616944003525</v>
        <stp/>
        <stp>EM_S_RATIO_EPS_TTM</stp>
        <stp>3</stp>
        <stp>600115</stp>
        <stp>12/31/2018</stp>
        <stp>1</stp>
        <tr r="U1172" s="1"/>
      </tp>
      <tp>
        <v>0.19183796223483005</v>
        <stp/>
        <stp>EM_S_RATIO_EPS_TTM</stp>
        <stp>3</stp>
        <stp>300045</stp>
        <stp>12/31/2018</stp>
        <stp>1</stp>
        <tr r="U1141" s="1"/>
      </tp>
      <tp>
        <v>1.6263362401607928</v>
        <stp/>
        <stp>EM_S_RATIO_EPS_TTM</stp>
        <stp>3</stp>
        <stp>600015</stp>
        <stp>12/31/2018</stp>
        <stp>1</stp>
        <tr r="U2083" s="1"/>
      </tp>
      <tp>
        <v>-0.6462127299408591</v>
        <stp/>
        <stp>EM_S_RATIO_EPS_TTM</stp>
        <stp>3</stp>
        <stp>300345</stp>
        <stp>12/31/2018</stp>
        <stp>1</stp>
        <tr r="U115" s="1"/>
      </tp>
      <tp>
        <v>0.80503722361607022</v>
        <stp/>
        <stp>EM_S_RATIO_EPS_TTM</stp>
        <stp>3</stp>
        <stp>600315</stp>
        <stp>12/31/2018</stp>
        <stp>1</stp>
        <tr r="U1565" s="1"/>
      </tp>
      <tp>
        <v>0.18704366508794865</v>
        <stp/>
        <stp>EM_S_RATIO_EPS_TTM</stp>
        <stp>3</stp>
        <stp>300245</stp>
        <stp>12/31/2018</stp>
        <stp>1</stp>
        <tr r="U1646" s="1"/>
      </tp>
      <tp>
        <v>0.21011356416346302</v>
        <stp/>
        <stp>EM_S_RATIO_EPS_TTM</stp>
        <stp>3</stp>
        <stp>600215</stp>
        <stp>12/31/2018</stp>
        <stp>1</stp>
        <tr r="U2571" s="1"/>
      </tp>
      <tp>
        <v>0.59166926543498932</v>
        <stp/>
        <stp>EM_S_RATIO_EPS_TTM</stp>
        <stp>3</stp>
        <stp>300545</stp>
        <stp>12/31/2018</stp>
        <stp>1</stp>
        <tr r="U1071" s="1"/>
      </tp>
      <tp>
        <v>0.48251042201059013</v>
        <stp/>
        <stp>EM_S_RATIO_EPS_TTM</stp>
        <stp>3</stp>
        <stp>600515</stp>
        <stp>12/31/2018</stp>
        <stp>1</stp>
        <tr r="U2485" s="1"/>
      </tp>
      <tp>
        <v>0.45148977967393739</v>
        <stp/>
        <stp>EM_S_RATIO_EPS_TTM</stp>
        <stp>3</stp>
        <stp>300445</stp>
        <stp>12/31/2018</stp>
        <stp>1</stp>
        <tr r="U314" s="1"/>
      </tp>
      <tp>
        <v>0.19889560828113187</v>
        <stp/>
        <stp>EM_S_RATIO_EPS_TTM</stp>
        <stp>3</stp>
        <stp>600415</stp>
        <stp>12/31/2018</stp>
        <stp>1</stp>
        <tr r="U1685" s="1"/>
      </tp>
      <tp>
        <v>0.72007345408467383</v>
        <stp/>
        <stp>EM_S_RATIO_EPS_TTM</stp>
        <stp>3</stp>
        <stp>300745</stp>
        <stp>12/31/2018</stp>
        <stp>1</stp>
        <tr r="U3282" s="1"/>
      </tp>
      <tp>
        <v>-0.37016078502695765</v>
        <stp/>
        <stp>EM_S_RATIO_EPS_TTM</stp>
        <stp>3</stp>
        <stp>600715</stp>
        <stp>12/31/2018</stp>
        <stp>1</stp>
        <tr r="U3118" s="1"/>
      </tp>
      <tp>
        <v>0.15351179518941549</v>
        <stp/>
        <stp>EM_S_RATIO_EPS_TTM</stp>
        <stp>3</stp>
        <stp>000675</stp>
        <stp>12/31/2018</stp>
        <stp>1</stp>
        <tr r="U3504" s="1"/>
      </tp>
      <tp>
        <v>0.75530672862346626</v>
        <stp/>
        <stp>EM_S_RATIO_EPS_TTM</stp>
        <stp>3</stp>
        <stp>300645</stp>
        <stp>12/31/2018</stp>
        <stp>1</stp>
        <tr r="U3374" s="1"/>
      </tp>
      <tp>
        <v>4.9630638057844199E-2</v>
        <stp/>
        <stp>EM_S_RATIO_EPS_TTM</stp>
        <stp>3</stp>
        <stp>600615</stp>
        <stp>12/31/2018</stp>
        <stp>1</stp>
        <tr r="U1631" s="1"/>
      </tp>
      <tp>
        <v>0.33406362548497415</v>
        <stp/>
        <stp>EM_S_RATIO_EPS_TTM</stp>
        <stp>3</stp>
        <stp>000975</stp>
        <stp>12/31/2018</stp>
        <stp>1</stp>
        <tr r="U930" s="1"/>
      </tp>
      <tp>
        <v>5.3397819171824991E-2</v>
        <stp/>
        <stp>EM_S_RATIO_EPS_TTM</stp>
        <stp>3</stp>
        <stp>000875</stp>
        <stp>12/31/2018</stp>
        <stp>1</stp>
        <tr r="U1036" s="1"/>
      </tp>
      <tp>
        <v>-0.76247798462648242</v>
        <stp/>
        <stp>EM_S_RATIO_EPS_TTM</stp>
        <stp>3</stp>
        <stp>600815</stp>
        <stp>12/31/2018</stp>
        <stp>1</stp>
        <tr r="U2476" s="1"/>
      </tp>
      <tp>
        <v>1.1999311072000001</v>
        <stp/>
        <stp>EM_S_RATIO_EPS_TTM</stp>
        <stp>3</stp>
        <stp>603214</stp>
        <stp>12/31/2018</stp>
        <stp>1</stp>
        <tr r="U1650" s="1"/>
      </tp>
      <tp>
        <v>1.1357944536616913</v>
        <stp/>
        <stp>EM_S_RATIO_EPS_TTM</stp>
        <stp>3</stp>
        <stp>002174</stp>
        <stp>12/31/2018</stp>
        <stp>1</stp>
        <tr r="U1138" s="1"/>
      </tp>
      <tp>
        <v>0.51057499617215329</v>
        <stp/>
        <stp>EM_S_RATIO_EPS_TTM</stp>
        <stp>3</stp>
        <stp>002074</stp>
        <stp>12/31/2018</stp>
        <stp>1</stp>
        <tr r="U1128" s="1"/>
      </tp>
      <tp>
        <v>-0.90017760437834837</v>
        <stp/>
        <stp>EM_S_RATIO_EPS_TTM</stp>
        <stp>3</stp>
        <stp>002374</stp>
        <stp>12/31/2018</stp>
        <stp>1</stp>
        <tr r="U2545" s="1"/>
      </tp>
      <tp>
        <v>0.22369859034015421</v>
        <stp/>
        <stp>EM_S_RATIO_EPS_TTM</stp>
        <stp>3</stp>
        <stp>002274</stp>
        <stp>12/31/2018</stp>
        <stp>1</stp>
        <tr r="U999" s="1"/>
      </tp>
      <tp>
        <v>0.17316944214015151</v>
        <stp/>
        <stp>EM_S_RATIO_EPS_TTM</stp>
        <stp>3</stp>
        <stp>002574</stp>
        <stp>12/31/2018</stp>
        <stp>1</stp>
        <tr r="U2095" s="1"/>
      </tp>
      <tp>
        <v>5.6033650353584055E-2</v>
        <stp/>
        <stp>EM_S_RATIO_EPS_TTM</stp>
        <stp>3</stp>
        <stp>002474</stp>
        <stp>12/31/2018</stp>
        <stp>1</stp>
        <tr r="U779" s="1"/>
      </tp>
      <tp>
        <v>0.21034440195581247</v>
        <stp/>
        <stp>EM_S_RATIO_EPS_TTM</stp>
        <stp>3</stp>
        <stp>002774</stp>
        <stp>12/31/2018</stp>
        <stp>1</stp>
        <tr r="U2622" s="1"/>
      </tp>
      <tp>
        <v>0.38314151114953954</v>
        <stp/>
        <stp>EM_S_RATIO_EPS_TTM</stp>
        <stp>3</stp>
        <stp>002674</stp>
        <stp>12/31/2018</stp>
        <stp>1</stp>
        <tr r="U622" s="1"/>
      </tp>
      <tp>
        <v>0.88612118660659822</v>
        <stp/>
        <stp>EM_S_RATIO_EPS_TTM</stp>
        <stp>3</stp>
        <stp>300144</stp>
        <stp>12/31/2018</stp>
        <stp>1</stp>
        <tr r="U664" s="1"/>
      </tp>
      <tp>
        <v>0.50805006547629106</v>
        <stp/>
        <stp>EM_S_RATIO_EPS_TTM</stp>
        <stp>3</stp>
        <stp>600114</stp>
        <stp>12/31/2018</stp>
        <stp>1</stp>
        <tr r="U729" s="1"/>
      </tp>
      <tp>
        <v>9.6821048524077663E-2</v>
        <stp/>
        <stp>EM_S_RATIO_EPS_TTM</stp>
        <stp>3</stp>
        <stp>300044</stp>
        <stp>12/31/2018</stp>
        <stp>1</stp>
        <tr r="U1874" s="1"/>
      </tp>
      <tp>
        <v>9.7635168165410999E-2</v>
        <stp/>
        <stp>EM_S_RATIO_EPS_TTM</stp>
        <stp>3</stp>
        <stp>300344</stp>
        <stp>12/31/2018</stp>
        <stp>1</stp>
        <tr r="U2757" s="1"/>
      </tp>
      <tp>
        <v>0.70524076862729879</v>
        <stp/>
        <stp>EM_S_RATIO_EPS_TTM</stp>
        <stp>3</stp>
        <stp>300244</stp>
        <stp>12/31/2018</stp>
        <stp>1</stp>
        <tr r="U671" s="1"/>
      </tp>
      <tp>
        <v>0.32206449909425849</v>
        <stp/>
        <stp>EM_S_RATIO_EPS_TTM</stp>
        <stp>3</stp>
        <stp>300444</stp>
        <stp>12/31/2018</stp>
        <stp>1</stp>
        <tr r="U3128" s="1"/>
      </tp>
      <tp>
        <v>7.8903504800341431E-2</v>
        <stp/>
        <stp>EM_S_RATIO_EPS_TTM</stp>
        <stp>3</stp>
        <stp>600714</stp>
        <stp>12/31/2018</stp>
        <stp>1</stp>
        <tr r="U2212" s="1"/>
      </tp>
      <tp>
        <v>0.35977478281250003</v>
        <stp/>
        <stp>EM_S_RATIO_EPS_TTM</stp>
        <stp>3</stp>
        <stp>300644</stp>
        <stp>12/31/2018</stp>
        <stp>1</stp>
        <tr r="U2969" s="1"/>
      </tp>
      <tp>
        <v>-2.1756407858372331</v>
        <stp/>
        <stp>EM_S_RATIO_EPS_TTM</stp>
        <stp>3</stp>
        <stp>600614</stp>
        <stp>12/31/2018</stp>
        <stp>1</stp>
        <tr r="U3373" s="1"/>
      </tp>
      <tp>
        <v>0.20849557335027735</v>
        <stp/>
        <stp>EM_S_RATIO_EPS_TTM</stp>
        <stp>3</stp>
        <stp>600814</stp>
        <stp>12/31/2018</stp>
        <stp>1</stp>
        <tr r="U2267" s="1"/>
      </tp>
      <tp>
        <v>0.151862233705855</v>
        <stp/>
        <stp>EM_S_RATIO_EPS_TTM</stp>
        <stp>3</stp>
        <stp>603117</stp>
        <stp>12/31/2018</stp>
        <stp>1</stp>
        <tr r="U1955" s="1"/>
      </tp>
      <tp>
        <v>0.61124024270509747</v>
        <stp/>
        <stp>EM_S_RATIO_EPS_TTM</stp>
        <stp>3</stp>
        <stp>603017</stp>
        <stp>12/31/2018</stp>
        <stp>1</stp>
        <tr r="U1945" s="1"/>
      </tp>
      <tp>
        <v>1.5625107160487806</v>
        <stp/>
        <stp>EM_S_RATIO_EPS_TTM</stp>
        <stp>3</stp>
        <stp>603517</stp>
        <stp>12/31/2018</stp>
        <stp>1</stp>
        <tr r="U793" s="1"/>
      </tp>
      <tp>
        <v>0.37907793235329051</v>
        <stp/>
        <stp>EM_S_RATIO_EPS_TTM</stp>
        <stp>3</stp>
        <stp>603717</stp>
        <stp>12/31/2018</stp>
        <stp>1</stp>
        <tr r="U2608" s="1"/>
      </tp>
      <tp>
        <v>0.67554445617377301</v>
        <stp/>
        <stp>EM_S_RATIO_EPS_TTM</stp>
        <stp>3</stp>
        <stp>603617</stp>
        <stp>12/31/2018</stp>
        <stp>1</stp>
        <tr r="U2807" s="1"/>
      </tp>
      <tp>
        <v>0.62345480631377548</v>
        <stp/>
        <stp>EM_S_RATIO_EPS_TTM</stp>
        <stp>3</stp>
        <stp>603917</stp>
        <stp>12/31/2018</stp>
        <stp>1</stp>
        <tr r="U2852" s="1"/>
      </tp>
      <tp>
        <v>0.25919096926666668</v>
        <stp/>
        <stp>EM_S_RATIO_EPS_TTM</stp>
        <stp>3</stp>
        <stp>603817</stp>
        <stp>12/31/2018</stp>
        <stp>1</stp>
        <tr r="U1638" s="1"/>
      </tp>
      <tp>
        <v>-0.12456472299064419</v>
        <stp/>
        <stp>EM_S_RATIO_EPS_TTM</stp>
        <stp>3</stp>
        <stp>002177</stp>
        <stp>12/31/2018</stp>
        <stp>1</stp>
        <tr r="U284" s="1"/>
      </tp>
      <tp>
        <v>-0.98288407927737731</v>
        <stp/>
        <stp>EM_S_RATIO_EPS_TTM</stp>
        <stp>3</stp>
        <stp>002077</stp>
        <stp>12/31/2018</stp>
        <stp>1</stp>
        <tr r="U3627" s="1"/>
      </tp>
      <tp>
        <v>0.34060064705128634</v>
        <stp/>
        <stp>EM_S_RATIO_EPS_TTM</stp>
        <stp>3</stp>
        <stp>002377</stp>
        <stp>12/31/2018</stp>
        <stp>1</stp>
        <tr r="U2493" s="1"/>
      </tp>
      <tp>
        <v>0.32014256377147282</v>
        <stp/>
        <stp>EM_S_RATIO_EPS_TTM</stp>
        <stp>3</stp>
        <stp>002277</stp>
        <stp>12/31/2018</stp>
        <stp>1</stp>
        <tr r="U2034" s="1"/>
      </tp>
      <tp>
        <v>2.8521626307975115E-2</v>
        <stp/>
        <stp>EM_S_RATIO_EPS_TTM</stp>
        <stp>3</stp>
        <stp>002577</stp>
        <stp>12/31/2018</stp>
        <stp>1</stp>
        <tr r="U919" s="1"/>
      </tp>
      <tp>
        <v>-1.2324716011190791</v>
        <stp/>
        <stp>EM_S_RATIO_EPS_TTM</stp>
        <stp>3</stp>
        <stp>002477</stp>
        <stp>12/31/2018</stp>
        <stp>1</stp>
        <tr r="U3410" s="1"/>
      </tp>
      <tp>
        <v>0.68793549612951377</v>
        <stp/>
        <stp>EM_S_RATIO_EPS_TTM</stp>
        <stp>3</stp>
        <stp>002777</stp>
        <stp>12/31/2018</stp>
        <stp>1</stp>
        <tr r="U647" s="1"/>
      </tp>
      <tp>
        <v>0.58435745989205712</v>
        <stp/>
        <stp>EM_S_RATIO_EPS_TTM</stp>
        <stp>3</stp>
        <stp>002677</stp>
        <stp>12/31/2018</stp>
        <stp>1</stp>
        <tr r="U839" s="1"/>
      </tp>
      <tp>
        <v>0.30337515163035106</v>
        <stp/>
        <stp>EM_S_RATIO_EPS_TTM</stp>
        <stp>3</stp>
        <stp>002877</stp>
        <stp>12/31/2018</stp>
        <stp>1</stp>
        <tr r="U3315" s="1"/>
      </tp>
      <tp>
        <v>0.39160224083113726</v>
        <stp/>
        <stp>EM_S_RATIO_EPS_TTM</stp>
        <stp>3</stp>
        <stp>601117</stp>
        <stp>12/31/2018</stp>
        <stp>1</stp>
        <tr r="U1279" s="1"/>
      </tp>
      <tp>
        <v>0.48043716357055877</v>
        <stp/>
        <stp>EM_S_RATIO_EPS_TTM</stp>
        <stp>3</stp>
        <stp>601717</stp>
        <stp>12/31/2018</stp>
        <stp>1</stp>
        <tr r="U1407" s="1"/>
      </tp>
      <tp>
        <v>8.5323250301917453E-2</v>
        <stp/>
        <stp>EM_S_RATIO_EPS_TTM</stp>
        <stp>3</stp>
        <stp>300147</stp>
        <stp>12/31/2018</stp>
        <stp>1</stp>
        <tr r="U905" s="1"/>
      </tp>
      <tp>
        <v>-1.9578164182037461</v>
        <stp/>
        <stp>EM_S_RATIO_EPS_TTM</stp>
        <stp>3</stp>
        <stp>600117</stp>
        <stp>12/31/2018</stp>
        <stp>1</stp>
        <tr r="U2068" s="1"/>
      </tp>
      <tp>
        <v>0.54009374112498565</v>
        <stp/>
        <stp>EM_S_RATIO_EPS_TTM</stp>
        <stp>3</stp>
        <stp>300047</stp>
        <stp>12/31/2018</stp>
        <stp>1</stp>
        <tr r="U3200" s="1"/>
      </tp>
      <tp>
        <v>0.20950731553510876</v>
        <stp/>
        <stp>EM_S_RATIO_EPS_TTM</stp>
        <stp>3</stp>
        <stp>600017</stp>
        <stp>12/31/2018</stp>
        <stp>1</stp>
        <tr r="U1986" s="1"/>
      </tp>
      <tp>
        <v>0.94403454924555963</v>
        <stp/>
        <stp>EM_S_RATIO_EPS_TTM</stp>
        <stp>3</stp>
        <stp>300347</stp>
        <stp>12/31/2018</stp>
        <stp>1</stp>
        <tr r="U672" s="1"/>
      </tp>
      <tp>
        <v>0.15462816771125701</v>
        <stp/>
        <stp>EM_S_RATIO_EPS_TTM</stp>
        <stp>3</stp>
        <stp>600317</stp>
        <stp>12/31/2018</stp>
        <stp>1</stp>
        <tr r="U1634" s="1"/>
      </tp>
      <tp>
        <v>-0.97219266892678635</v>
        <stp/>
        <stp>EM_S_RATIO_EPS_TTM</stp>
        <stp>3</stp>
        <stp>300247</stp>
        <stp>12/31/2018</stp>
        <stp>1</stp>
        <tr r="U2984" s="1"/>
      </tp>
      <tp>
        <v>0.22765698244294658</v>
        <stp/>
        <stp>EM_S_RATIO_EPS_TTM</stp>
        <stp>3</stp>
        <stp>600217</stp>
        <stp>12/31/2018</stp>
        <stp>1</stp>
        <tr r="U1105" s="1"/>
      </tp>
      <tp>
        <v>1.1105346551089847</v>
        <stp/>
        <stp>EM_S_RATIO_EPS_TTM</stp>
        <stp>3</stp>
        <stp>300547</stp>
        <stp>12/31/2018</stp>
        <stp>1</stp>
        <tr r="U3328" s="1"/>
      </tp>
      <tp>
        <v>1.428657509152538E-2</v>
        <stp/>
        <stp>EM_S_RATIO_EPS_TTM</stp>
        <stp>3</stp>
        <stp>600517</stp>
        <stp>12/31/2018</stp>
        <stp>1</stp>
        <tr r="U72" s="1"/>
      </tp>
      <tp>
        <v>-0.80735238095432982</v>
        <stp/>
        <stp>EM_S_RATIO_EPS_TTM</stp>
        <stp>3</stp>
        <stp>300447</stp>
        <stp>12/31/2018</stp>
        <stp>1</stp>
        <tr r="U1960" s="1"/>
      </tp>
      <tp>
        <v>0.26860094241945748</v>
        <stp/>
        <stp>EM_S_RATIO_EPS_TTM</stp>
        <stp>3</stp>
        <stp>000777</stp>
        <stp>12/31/2018</stp>
        <stp>1</stp>
        <tr r="U1259" s="1"/>
      </tp>
      <tp>
        <v>3.3791012971875003</v>
        <stp/>
        <stp>EM_S_RATIO_EPS_TTM</stp>
        <stp>3</stp>
        <stp>300747</stp>
        <stp>12/31/2018</stp>
        <stp>1</stp>
        <tr r="U2959" s="1"/>
      </tp>
      <tp>
        <v>0.35854068516620369</v>
        <stp/>
        <stp>EM_S_RATIO_EPS_TTM</stp>
        <stp>3</stp>
        <stp>600717</stp>
        <stp>12/31/2018</stp>
        <stp>1</stp>
        <tr r="U2806" s="1"/>
      </tp>
      <tp>
        <v>1.5403331567439495E-3</v>
        <stp/>
        <stp>EM_S_RATIO_EPS_TTM</stp>
        <stp>3</stp>
        <stp>000677</stp>
        <stp>12/31/2018</stp>
        <stp>1</stp>
        <tr r="U699" s="1"/>
      </tp>
      <tp>
        <v>4.1864291357355442E-2</v>
        <stp/>
        <stp>EM_S_RATIO_EPS_TTM</stp>
        <stp>3</stp>
        <stp>300647</stp>
        <stp>12/31/2018</stp>
        <stp>1</stp>
        <tr r="U2744" s="1"/>
      </tp>
      <tp>
        <v>4.2170077404969503E-2</v>
        <stp/>
        <stp>EM_S_RATIO_EPS_TTM</stp>
        <stp>3</stp>
        <stp>600617</stp>
        <stp>12/31/2018</stp>
        <stp>1</stp>
        <tr r="U2412" s="1"/>
      </tp>
      <tp>
        <v>0.5108371748632875</v>
        <stp/>
        <stp>EM_S_RATIO_EPS_TTM</stp>
        <stp>3</stp>
        <stp>000977</stp>
        <stp>12/31/2018</stp>
        <stp>1</stp>
        <tr r="U206" s="1"/>
      </tp>
      <tp>
        <v>0.2234386630848329</v>
        <stp/>
        <stp>EM_S_RATIO_EPS_TTM</stp>
        <stp>3</stp>
        <stp>600917</stp>
        <stp>12/31/2018</stp>
        <stp>1</stp>
        <tr r="U2163" s="1"/>
      </tp>
      <tp>
        <v>1.1834537440121018</v>
        <stp/>
        <stp>EM_S_RATIO_EPS_TTM</stp>
        <stp>3</stp>
        <stp>000877</stp>
        <stp>12/31/2018</stp>
        <stp>1</stp>
        <tr r="U407" s="1"/>
      </tp>
      <tp>
        <v>3.104951851307863E-2</v>
        <stp/>
        <stp>EM_S_RATIO_EPS_TTM</stp>
        <stp>3</stp>
        <stp>600817</stp>
        <stp>12/31/2018</stp>
        <stp>1</stp>
        <tr r="U2126" s="1"/>
      </tp>
      <tp>
        <v>0.33494513622113831</v>
        <stp/>
        <stp>EM_S_RATIO_EPS_TTM</stp>
        <stp>3</stp>
        <stp>603116</stp>
        <stp>12/31/2018</stp>
        <stp>1</stp>
        <tr r="U2418" s="1"/>
      </tp>
      <tp>
        <v>0.41349424973002158</v>
        <stp/>
        <stp>EM_S_RATIO_EPS_TTM</stp>
        <stp>3</stp>
        <stp>603016</stp>
        <stp>12/31/2018</stp>
        <stp>1</stp>
        <tr r="U2520" s="1"/>
      </tp>
      <tp>
        <v>0.27599304269972452</v>
        <stp/>
        <stp>EM_S_RATIO_EPS_TTM</stp>
        <stp>3</stp>
        <stp>603316</stp>
        <stp>12/31/2018</stp>
        <stp>1</stp>
        <tr r="U1325" s="1"/>
      </tp>
      <tp>
        <v>0.64867261050210379</v>
        <stp/>
        <stp>EM_S_RATIO_EPS_TTM</stp>
        <stp>3</stp>
        <stp>603516</stp>
        <stp>12/31/2018</stp>
        <stp>1</stp>
        <tr r="U366" s="1"/>
      </tp>
      <tp>
        <v>1.0574132647268071</v>
        <stp/>
        <stp>EM_S_RATIO_EPS_TTM</stp>
        <stp>3</stp>
        <stp>603416</stp>
        <stp>12/31/2018</stp>
        <stp>1</stp>
        <tr r="U745" s="1"/>
      </tp>
      <tp>
        <v>0.45899089998416676</v>
        <stp/>
        <stp>EM_S_RATIO_EPS_TTM</stp>
        <stp>3</stp>
        <stp>603716</stp>
        <stp>12/31/2018</stp>
        <stp>1</stp>
        <tr r="U2838" s="1"/>
      </tp>
      <tp>
        <v>4.3983358433324238E-2</v>
        <stp/>
        <stp>EM_S_RATIO_EPS_TTM</stp>
        <stp>3</stp>
        <stp>603616</stp>
        <stp>12/31/2018</stp>
        <stp>1</stp>
        <tr r="U3209" s="1"/>
      </tp>
      <tp>
        <v>0.86772475846238395</v>
        <stp/>
        <stp>EM_S_RATIO_EPS_TTM</stp>
        <stp>3</stp>
        <stp>603916</stp>
        <stp>12/31/2018</stp>
        <stp>1</stp>
        <tr r="U639" s="1"/>
      </tp>
      <tp>
        <v>2.2996816871757444</v>
        <stp/>
        <stp>EM_S_RATIO_EPS_TTM</stp>
        <stp>3</stp>
        <stp>603816</stp>
        <stp>12/31/2018</stp>
        <stp>1</stp>
        <tr r="U2230" s="1"/>
      </tp>
      <tp>
        <v>-0.9731312480745139</v>
        <stp/>
        <stp>EM_S_RATIO_EPS_TTM</stp>
        <stp>3</stp>
        <stp>002176</stp>
        <stp>12/31/2018</stp>
        <stp>1</stp>
        <tr r="U3286" s="1"/>
      </tp>
      <tp>
        <v>-1.0720851559984481</v>
        <stp/>
        <stp>EM_S_RATIO_EPS_TTM</stp>
        <stp>3</stp>
        <stp>002076</stp>
        <stp>12/31/2018</stp>
        <stp>1</stp>
        <tr r="U3626" s="1"/>
      </tp>
      <tp>
        <v>0.5714925141803201</v>
        <stp/>
        <stp>EM_S_RATIO_EPS_TTM</stp>
        <stp>3</stp>
        <stp>002376</stp>
        <stp>12/31/2018</stp>
        <stp>1</stp>
        <tr r="U3097" s="1"/>
      </tp>
      <tp>
        <v>0.10788593664170089</v>
        <stp/>
        <stp>EM_S_RATIO_EPS_TTM</stp>
        <stp>3</stp>
        <stp>002276</stp>
        <stp>12/31/2018</stp>
        <stp>1</stp>
        <tr r="U361" s="1"/>
      </tp>
      <tp>
        <v>0.11730608837068444</v>
        <stp/>
        <stp>EM_S_RATIO_EPS_TTM</stp>
        <stp>3</stp>
        <stp>002576</stp>
        <stp>12/31/2018</stp>
        <stp>1</stp>
        <tr r="U2458" s="1"/>
      </tp>
      <tp>
        <v>-0.43151327254901961</v>
        <stp/>
        <stp>EM_S_RATIO_EPS_TTM</stp>
        <stp>3</stp>
        <stp>002476</stp>
        <stp>12/31/2018</stp>
        <stp>1</stp>
        <tr r="U660" s="1"/>
      </tp>
      <tp>
        <v>0.53363739140649102</v>
        <stp/>
        <stp>EM_S_RATIO_EPS_TTM</stp>
        <stp>3</stp>
        <stp>002776</stp>
        <stp>12/31/2018</stp>
        <stp>1</stp>
        <tr r="U3377" s="1"/>
      </tp>
      <tp>
        <v>7.9409458750000009E-3</v>
        <stp/>
        <stp>EM_S_RATIO_EPS_TTM</stp>
        <stp>3</stp>
        <stp>002676</stp>
        <stp>12/31/2018</stp>
        <stp>1</stp>
        <tr r="U1749" s="1"/>
      </tp>
      <tp>
        <v>0.34623089337499996</v>
        <stp/>
        <stp>EM_S_RATIO_EPS_TTM</stp>
        <stp>3</stp>
        <stp>002876</stp>
        <stp>12/31/2018</stp>
        <stp>1</stp>
        <tr r="U487" s="1"/>
      </tp>
      <tp>
        <v>0.20379287786408959</v>
        <stp/>
        <stp>EM_S_RATIO_EPS_TTM</stp>
        <stp>3</stp>
        <stp>601116</stp>
        <stp>12/31/2018</stp>
        <stp>1</stp>
        <tr r="U1294" s="1"/>
      </tp>
      <tp>
        <v>0.12397544225567673</v>
        <stp/>
        <stp>EM_S_RATIO_EPS_TTM</stp>
        <stp>3</stp>
        <stp>601016</stp>
        <stp>12/31/2018</stp>
        <stp>1</stp>
        <tr r="U2133" s="1"/>
      </tp>
      <tp>
        <v>0.27077654126640766</v>
        <stp/>
        <stp>EM_S_RATIO_EPS_TTM</stp>
        <stp>3</stp>
        <stp>601216</stp>
        <stp>12/31/2018</stp>
        <stp>1</stp>
        <tr r="U1321" s="1"/>
      </tp>
      <tp>
        <v>0.1331800182989071</v>
        <stp/>
        <stp>EM_S_RATIO_EPS_TTM</stp>
        <stp>3</stp>
        <stp>601616</stp>
        <stp>12/31/2018</stp>
        <stp>1</stp>
        <tr r="U2516" s="1"/>
      </tp>
      <tp>
        <v>0.68230718967691217</v>
        <stp/>
        <stp>EM_S_RATIO_EPS_TTM</stp>
        <stp>3</stp>
        <stp>300146</stp>
        <stp>12/31/2018</stp>
        <stp>1</stp>
        <tr r="U2523" s="1"/>
      </tp>
      <tp>
        <v>0.21508292164528209</v>
        <stp/>
        <stp>EM_S_RATIO_EPS_TTM</stp>
        <stp>3</stp>
        <stp>600116</stp>
        <stp>12/31/2018</stp>
        <stp>1</stp>
        <tr r="U2123" s="1"/>
      </tp>
      <tp>
        <v>0.40245745706644143</v>
        <stp/>
        <stp>EM_S_RATIO_EPS_TTM</stp>
        <stp>3</stp>
        <stp>300046</stp>
        <stp>12/31/2018</stp>
        <stp>1</stp>
        <tr r="U595" s="1"/>
      </tp>
      <tp>
        <v>1.1494796706513835</v>
        <stp/>
        <stp>EM_S_RATIO_EPS_TTM</stp>
        <stp>3</stp>
        <stp>600016</stp>
        <stp>12/31/2018</stp>
        <stp>1</stp>
        <tr r="U1730" s="1"/>
      </tp>
      <tp>
        <v>0.18737909523865245</v>
        <stp/>
        <stp>EM_S_RATIO_EPS_TTM</stp>
        <stp>3</stp>
        <stp>300346</stp>
        <stp>12/31/2018</stp>
        <stp>1</stp>
        <tr r="U214" s="1"/>
      </tp>
      <tp>
        <v>0.20689676426461717</v>
        <stp/>
        <stp>EM_S_RATIO_EPS_TTM</stp>
        <stp>3</stp>
        <stp>600316</stp>
        <stp>12/31/2018</stp>
        <stp>1</stp>
        <tr r="U937" s="1"/>
      </tp>
      <tp>
        <v>0.43941597899895951</v>
        <stp/>
        <stp>EM_S_RATIO_EPS_TTM</stp>
        <stp>3</stp>
        <stp>300246</stp>
        <stp>12/31/2018</stp>
        <stp>1</stp>
        <tr r="U740" s="1"/>
      </tp>
      <tp>
        <v>0.37767101234074202</v>
        <stp/>
        <stp>EM_S_RATIO_EPS_TTM</stp>
        <stp>3</stp>
        <stp>600216</stp>
        <stp>12/31/2018</stp>
        <stp>1</stp>
        <tr r="U597" s="1"/>
      </tp>
      <tp>
        <v>0.22144893022990644</v>
        <stp/>
        <stp>EM_S_RATIO_EPS_TTM</stp>
        <stp>3</stp>
        <stp>000576</stp>
        <stp>12/31/2018</stp>
        <stp>1</stp>
        <tr r="U1024" s="1"/>
      </tp>
      <tp>
        <v>0.79802053975054854</v>
        <stp/>
        <stp>EM_S_RATIO_EPS_TTM</stp>
        <stp>3</stp>
        <stp>300546</stp>
        <stp>12/31/2018</stp>
        <stp>1</stp>
        <tr r="U1654" s="1"/>
      </tp>
      <tp>
        <v>3.0944061015863698</v>
        <stp/>
        <stp>EM_S_RATIO_EPS_TTM</stp>
        <stp>3</stp>
        <stp>600516</stp>
        <stp>12/31/2018</stp>
        <stp>1</stp>
        <tr r="U3163" s="1"/>
      </tp>
      <tp>
        <v>0.8392734543973942</v>
        <stp/>
        <stp>EM_S_RATIO_EPS_TTM</stp>
        <stp>3</stp>
        <stp>300446</stp>
        <stp>12/31/2018</stp>
        <stp>1</stp>
        <tr r="U1334" s="1"/>
      </tp>
      <tp>
        <v>-2.0212803355915425</v>
        <stp/>
        <stp>EM_S_RATIO_EPS_TTM</stp>
        <stp>3</stp>
        <stp>600416</stp>
        <stp>12/31/2018</stp>
        <stp>1</stp>
        <tr r="U795" s="1"/>
      </tp>
      <tp>
        <v>0.56424050357046251</v>
        <stp/>
        <stp>EM_S_RATIO_EPS_TTM</stp>
        <stp>3</stp>
        <stp>000776</stp>
        <stp>12/31/2018</stp>
        <stp>1</stp>
        <tr r="U3534" s="1"/>
      </tp>
      <tp>
        <v>0.35957253350760454</v>
        <stp/>
        <stp>EM_S_RATIO_EPS_TTM</stp>
        <stp>3</stp>
        <stp>300746</stp>
        <stp>12/31/2018</stp>
        <stp>1</stp>
        <tr r="U3170" s="1"/>
      </tp>
      <tp>
        <v>0.60271239489956518</v>
        <stp/>
        <stp>EM_S_RATIO_EPS_TTM</stp>
        <stp>3</stp>
        <stp>600716</stp>
        <stp>12/31/2018</stp>
        <stp>1</stp>
        <tr r="U954" s="1"/>
      </tp>
      <tp>
        <v>0.73876156552014138</v>
        <stp/>
        <stp>EM_S_RATIO_EPS_TTM</stp>
        <stp>3</stp>
        <stp>000676</stp>
        <stp>12/31/2018</stp>
        <stp>1</stp>
        <tr r="U2517" s="1"/>
      </tp>
      <tp>
        <v>0.47919500377777779</v>
        <stp/>
        <stp>EM_S_RATIO_EPS_TTM</stp>
        <stp>3</stp>
        <stp>300646</stp>
        <stp>12/31/2018</stp>
        <stp>1</stp>
        <tr r="U10" s="1"/>
      </tp>
      <tp>
        <v>-0.13384694236199415</v>
        <stp/>
        <stp>EM_S_RATIO_EPS_TTM</stp>
        <stp>3</stp>
        <stp>600616</stp>
        <stp>12/31/2018</stp>
        <stp>1</stp>
        <tr r="U2035" s="1"/>
      </tp>
      <tp>
        <v>9.126213151108388E-2</v>
        <stp/>
        <stp>EM_S_RATIO_EPS_TTM</stp>
        <stp>3</stp>
        <stp>000976</stp>
        <stp>12/31/2018</stp>
        <stp>1</stp>
        <tr r="U3591" s="1"/>
      </tp>
      <tp>
        <v>0.40432654473503088</v>
        <stp/>
        <stp>EM_S_RATIO_EPS_TTM</stp>
        <stp>3</stp>
        <stp>000876</stp>
        <stp>12/31/2018</stp>
        <stp>1</stp>
        <tr r="U64" s="1"/>
      </tp>
      <tp>
        <v>-0.3351160964660983</v>
        <stp/>
        <stp>EM_S_RATIO_EPS_TTM</stp>
        <stp>3</stp>
        <stp>600816</stp>
        <stp>12/31/2018</stp>
        <stp>1</stp>
        <tr r="U2137" s="1"/>
      </tp>
      <tp>
        <v>-3.1720283037812296</v>
        <stp/>
        <stp>EM_S_RATIO_EPS_TTM</stp>
        <stp>3</stp>
        <stp>603111</stp>
        <stp>12/31/2018</stp>
        <stp>1</stp>
        <tr r="U948" s="1"/>
      </tp>
      <tp>
        <v>0.11354115162299681</v>
        <stp/>
        <stp>EM_S_RATIO_EPS_TTM</stp>
        <stp>3</stp>
        <stp>603011</stp>
        <stp>12/31/2018</stp>
        <stp>1</stp>
        <tr r="U1463" s="1"/>
      </tp>
      <tp>
        <v>0.30972840204761903</v>
        <stp/>
        <stp>EM_S_RATIO_EPS_TTM</stp>
        <stp>3</stp>
        <stp>603311</stp>
        <stp>12/31/2018</stp>
        <stp>1</stp>
        <tr r="U1757" s="1"/>
      </tp>
      <tp>
        <v>0.75044587988553724</v>
        <stp/>
        <stp>EM_S_RATIO_EPS_TTM</stp>
        <stp>3</stp>
        <stp>603711</stp>
        <stp>12/31/2018</stp>
        <stp>1</stp>
        <tr r="U1298" s="1"/>
      </tp>
      <tp>
        <v>0.70379460431272223</v>
        <stp/>
        <stp>EM_S_RATIO_EPS_TTM</stp>
        <stp>3</stp>
        <stp>603611</stp>
        <stp>12/31/2018</stp>
        <stp>1</stp>
        <tr r="U826" s="1"/>
      </tp>
      <tp>
        <v>0.81247124857478203</v>
        <stp/>
        <stp>EM_S_RATIO_EPS_TTM</stp>
        <stp>3</stp>
        <stp>603811</stp>
        <stp>12/31/2018</stp>
        <stp>1</stp>
        <tr r="U503" s="1"/>
      </tp>
      <tp>
        <v>0.38214509850269962</v>
        <stp/>
        <stp>EM_S_RATIO_EPS_TTM</stp>
        <stp>3</stp>
        <stp>002171</stp>
        <stp>12/31/2018</stp>
        <stp>1</stp>
        <tr r="U435" s="1"/>
      </tp>
      <tp>
        <v>-0.78841862317924749</v>
        <stp/>
        <stp>EM_S_RATIO_EPS_TTM</stp>
        <stp>3</stp>
        <stp>002071</stp>
        <stp>12/31/2018</stp>
        <stp>1</stp>
        <tr r="U3623" s="1"/>
      </tp>
      <tp>
        <v>0.51023907009778502</v>
        <stp/>
        <stp>EM_S_RATIO_EPS_TTM</stp>
        <stp>3</stp>
        <stp>002371</stp>
        <stp>12/31/2018</stp>
        <stp>1</stp>
        <tr r="U103" s="1"/>
      </tp>
      <tp>
        <v>1.0108161479325617</v>
        <stp/>
        <stp>EM_S_RATIO_EPS_TTM</stp>
        <stp>3</stp>
        <stp>002271</stp>
        <stp>12/31/2018</stp>
        <stp>1</stp>
        <tr r="U152" s="1"/>
      </tp>
      <tp>
        <v>-0.32630828287843344</v>
        <stp/>
        <stp>EM_S_RATIO_EPS_TTM</stp>
        <stp>3</stp>
        <stp>002571</stp>
        <stp>12/31/2018</stp>
        <stp>1</stp>
        <tr r="U2579" s="1"/>
      </tp>
      <tp>
        <v>6.7381827271293382E-2</v>
        <stp/>
        <stp>EM_S_RATIO_EPS_TTM</stp>
        <stp>3</stp>
        <stp>002471</stp>
        <stp>12/31/2018</stp>
        <stp>1</stp>
        <tr r="U2871" s="1"/>
      </tp>
      <tp>
        <v>0.26051804335903112</v>
        <stp/>
        <stp>EM_S_RATIO_EPS_TTM</stp>
        <stp>3</stp>
        <stp>002771</stp>
        <stp>12/31/2018</stp>
        <stp>1</stp>
        <tr r="U2174" s="1"/>
      </tp>
      <tp>
        <v>-0.20026870247985204</v>
        <stp/>
        <stp>EM_S_RATIO_EPS_TTM</stp>
        <stp>3</stp>
        <stp>002671</stp>
        <stp>12/31/2018</stp>
        <stp>1</stp>
        <tr r="U1752" s="1"/>
      </tp>
      <tp>
        <v>0.66540252831029101</v>
        <stp/>
        <stp>EM_S_RATIO_EPS_TTM</stp>
        <stp>3</stp>
        <stp>002871</stp>
        <stp>12/31/2018</stp>
        <stp>1</stp>
        <tr r="U2391" s="1"/>
      </tp>
      <tp>
        <v>0.505089180589116</v>
        <stp/>
        <stp>EM_S_RATIO_EPS_TTM</stp>
        <stp>3</stp>
        <stp>601111</stp>
        <stp>12/31/2018</stp>
        <stp>1</stp>
        <tr r="U1102" s="1"/>
      </tp>
      <tp>
        <v>0.21265559717079396</v>
        <stp/>
        <stp>EM_S_RATIO_EPS_TTM</stp>
        <stp>3</stp>
        <stp>601011</stp>
        <stp>12/31/2018</stp>
        <stp>1</stp>
        <tr r="U3003" s="1"/>
      </tp>
      <tp>
        <v>0.65943706240661837</v>
        <stp/>
        <stp>EM_S_RATIO_EPS_TTM</stp>
        <stp>3</stp>
        <stp>601311</stp>
        <stp>12/31/2018</stp>
        <stp>1</stp>
        <tr r="U1920" s="1"/>
      </tp>
      <tp>
        <v>0.76981435915174634</v>
        <stp/>
        <stp>EM_S_RATIO_EPS_TTM</stp>
        <stp>3</stp>
        <stp>601211</stp>
        <stp>12/31/2018</stp>
        <stp>1</stp>
        <tr r="U1188" s="1"/>
      </tp>
      <tp>
        <v>0.36602881985904762</v>
        <stp/>
        <stp>EM_S_RATIO_EPS_TTM</stp>
        <stp>3</stp>
        <stp>601611</stp>
        <stp>12/31/2018</stp>
        <stp>1</stp>
        <tr r="U1819" s="1"/>
      </tp>
      <tp>
        <v>0.75551453068912444</v>
        <stp/>
        <stp>EM_S_RATIO_EPS_TTM</stp>
        <stp>3</stp>
        <stp>601811</stp>
        <stp>12/31/2018</stp>
        <stp>1</stp>
        <tr r="U728" s="1"/>
      </tp>
      <tp>
        <v>3.2902390688674267E-2</v>
        <stp/>
        <stp>EM_S_RATIO_EPS_TTM</stp>
        <stp>3</stp>
        <stp>300141</stp>
        <stp>12/31/2018</stp>
        <stp>1</stp>
        <tr r="U2371" s="1"/>
      </tp>
      <tp>
        <v>0.16068829287989814</v>
        <stp/>
        <stp>EM_S_RATIO_EPS_TTM</stp>
        <stp>3</stp>
        <stp>600111</stp>
        <stp>12/31/2018</stp>
        <stp>1</stp>
        <tr r="U1118" s="1"/>
      </tp>
      <tp>
        <v>0.27897731727399105</v>
        <stp/>
        <stp>EM_S_RATIO_EPS_TTM</stp>
        <stp>3</stp>
        <stp>300041</stp>
        <stp>12/31/2018</stp>
        <stp>1</stp>
        <tr r="U532" s="1"/>
      </tp>
      <tp>
        <v>9.1659631147184076E-2</v>
        <stp/>
        <stp>EM_S_RATIO_EPS_TTM</stp>
        <stp>3</stp>
        <stp>600011</stp>
        <stp>12/31/2018</stp>
        <stp>1</stp>
        <tr r="U3146" s="1"/>
      </tp>
      <tp>
        <v>0.28965370488717362</v>
        <stp/>
        <stp>EM_S_RATIO_EPS_TTM</stp>
        <stp>3</stp>
        <stp>300341</stp>
        <stp>12/31/2018</stp>
        <stp>1</stp>
        <tr r="U37" s="1"/>
      </tp>
      <tp>
        <v>-0.16331090631009615</v>
        <stp/>
        <stp>EM_S_RATIO_EPS_TTM</stp>
        <stp>3</stp>
        <stp>600311</stp>
        <stp>12/31/2018</stp>
        <stp>1</stp>
        <tr r="U2820" s="1"/>
      </tp>
      <tp>
        <v>0.15604482641231998</v>
        <stp/>
        <stp>EM_S_RATIO_EPS_TTM</stp>
        <stp>3</stp>
        <stp>300241</stp>
        <stp>12/31/2018</stp>
        <stp>1</stp>
        <tr r="U679" s="1"/>
      </tp>
      <tp>
        <v>1.2003516606701381</v>
        <stp/>
        <stp>EM_S_RATIO_EPS_TTM</stp>
        <stp>3</stp>
        <stp>600211</stp>
        <stp>12/31/2018</stp>
        <stp>1</stp>
        <tr r="U1937" s="1"/>
      </tp>
      <tp>
        <v>-1.0788028351824919</v>
        <stp/>
        <stp>EM_S_RATIO_EPS_TTM</stp>
        <stp>3</stp>
        <stp>000571</stp>
        <stp>12/31/2018</stp>
        <stp>1</stp>
        <tr r="U3462" s="1"/>
      </tp>
      <tp>
        <v>0.28254658668624172</v>
        <stp/>
        <stp>EM_S_RATIO_EPS_TTM</stp>
        <stp>3</stp>
        <stp>300541</stp>
        <stp>12/31/2018</stp>
        <stp>1</stp>
        <tr r="U463" s="1"/>
      </tp>
      <tp>
        <v>1.8368489469862295</v>
        <stp/>
        <stp>EM_S_RATIO_EPS_TTM</stp>
        <stp>3</stp>
        <stp>600511</stp>
        <stp>12/31/2018</stp>
        <stp>1</stp>
        <tr r="U1450" s="1"/>
      </tp>
      <tp>
        <v>0.18309133591619556</v>
        <stp/>
        <stp>EM_S_RATIO_EPS_TTM</stp>
        <stp>3</stp>
        <stp>300441</stp>
        <stp>12/31/2018</stp>
        <stp>1</stp>
        <tr r="U685" s="1"/>
      </tp>
      <tp>
        <v>1.9089648584139767</v>
        <stp/>
        <stp>EM_S_RATIO_EPS_TTM</stp>
        <stp>3</stp>
        <stp>300741</stp>
        <stp>12/31/2018</stp>
        <stp>1</stp>
        <tr r="U2360" s="1"/>
      </tp>
      <tp>
        <v>0.2703292768698452</v>
        <stp/>
        <stp>EM_S_RATIO_EPS_TTM</stp>
        <stp>3</stp>
        <stp>600711</stp>
        <stp>12/31/2018</stp>
        <stp>1</stp>
        <tr r="U1456" s="1"/>
      </tp>
      <tp>
        <v>0.74513704101921918</v>
        <stp/>
        <stp>EM_S_RATIO_EPS_TTM</stp>
        <stp>3</stp>
        <stp>000671</stp>
        <stp>12/31/2018</stp>
        <stp>1</stp>
        <tr r="U373" s="1"/>
      </tp>
      <tp>
        <v>0.12323693143382354</v>
        <stp/>
        <stp>EM_S_RATIO_EPS_TTM</stp>
        <stp>3</stp>
        <stp>300641</stp>
        <stp>12/31/2018</stp>
        <stp>1</stp>
        <tr r="U2353" s="1"/>
      </tp>
      <tp>
        <v>0.37288774440362588</v>
        <stp/>
        <stp>EM_S_RATIO_EPS_TTM</stp>
        <stp>3</stp>
        <stp>600611</stp>
        <stp>12/31/2018</stp>
        <stp>1</stp>
        <tr r="U2175" s="1"/>
      </tp>
      <tp>
        <v>-2.0175012975384932</v>
        <stp/>
        <stp>EM_S_RATIO_EPS_TTM</stp>
        <stp>3</stp>
        <stp>000971</stp>
        <stp>12/31/2018</stp>
        <stp>1</stp>
        <tr r="U3589" s="1"/>
      </tp>
      <tp>
        <v>0.17651769995332045</v>
        <stp/>
        <stp>EM_S_RATIO_EPS_TTM</stp>
        <stp>3</stp>
        <stp>600811</stp>
        <stp>12/31/2018</stp>
        <stp>1</stp>
        <tr r="U2690" s="1"/>
      </tp>
      <tp>
        <v>0.22818837510117693</v>
        <stp/>
        <stp>EM_S_RATIO_EPS_TTM</stp>
        <stp>3</stp>
        <stp>603110</stp>
        <stp>12/31/2018</stp>
        <stp>1</stp>
        <tr r="U453" s="1"/>
      </tp>
      <tp>
        <v>0.42481237755094331</v>
        <stp/>
        <stp>EM_S_RATIO_EPS_TTM</stp>
        <stp>3</stp>
        <stp>603010</stp>
        <stp>12/31/2018</stp>
        <stp>1</stp>
        <tr r="U3049" s="1"/>
      </tp>
      <tp>
        <v>1.0416323327603701E-2</v>
        <stp/>
        <stp>EM_S_RATIO_EPS_TTM</stp>
        <stp>3</stp>
        <stp>002170</stp>
        <stp>12/31/2018</stp>
        <stp>1</stp>
        <tr r="U1698" s="1"/>
      </tp>
      <tp>
        <v>-0.90170283461893874</v>
        <stp/>
        <stp>EM_S_RATIO_EPS_TTM</stp>
        <stp>3</stp>
        <stp>002070</stp>
        <stp>12/31/2018</stp>
        <stp>1</stp>
        <tr r="U3622" s="1"/>
      </tp>
      <tp>
        <v>0.38730275682476023</v>
        <stp/>
        <stp>EM_S_RATIO_EPS_TTM</stp>
        <stp>3</stp>
        <stp>002370</stp>
        <stp>12/31/2018</stp>
        <stp>1</stp>
        <tr r="U3395" s="1"/>
      </tp>
      <tp>
        <v>0.21603134312900862</v>
        <stp/>
        <stp>EM_S_RATIO_EPS_TTM</stp>
        <stp>3</stp>
        <stp>002270</stp>
        <stp>12/31/2018</stp>
        <stp>1</stp>
        <tr r="U2017" s="1"/>
      </tp>
      <tp>
        <v>4.0208086873606386E-2</v>
        <stp/>
        <stp>EM_S_RATIO_EPS_TTM</stp>
        <stp>3</stp>
        <stp>002570</stp>
        <stp>12/31/2018</stp>
        <stp>1</stp>
        <tr r="U1926" s="1"/>
      </tp>
      <tp>
        <v>0.12807247344276154</v>
        <stp/>
        <stp>EM_S_RATIO_EPS_TTM</stp>
        <stp>3</stp>
        <stp>002470</stp>
        <stp>12/31/2018</stp>
        <stp>1</stp>
        <tr r="U3391" s="1"/>
      </tp>
      <tp>
        <v>0.11793682522566694</v>
        <stp/>
        <stp>EM_S_RATIO_EPS_TTM</stp>
        <stp>3</stp>
        <stp>002770</stp>
        <stp>12/31/2018</stp>
        <stp>1</stp>
        <tr r="U2889" s="1"/>
      </tp>
      <tp>
        <v>-0.28126563754521183</v>
        <stp/>
        <stp>EM_S_RATIO_EPS_TTM</stp>
        <stp>3</stp>
        <stp>002670</stp>
        <stp>12/31/2018</stp>
        <stp>1</stp>
        <tr r="U1233" s="1"/>
      </tp>
      <tp>
        <v>0.34664935352978682</v>
        <stp/>
        <stp>EM_S_RATIO_EPS_TTM</stp>
        <stp>3</stp>
        <stp>002870</stp>
        <stp>12/31/2018</stp>
        <stp>1</stp>
        <tr r="U411" s="1"/>
      </tp>
      <tp>
        <v>0.13110066814935065</v>
        <stp/>
        <stp>EM_S_RATIO_EPS_TTM</stp>
        <stp>3</stp>
        <stp>601010</stp>
        <stp>12/31/2018</stp>
        <stp>1</stp>
        <tr r="U1981" s="1"/>
      </tp>
      <tp>
        <v>7.9481983239489212E-2</v>
        <stp/>
        <stp>EM_S_RATIO_EPS_TTM</stp>
        <stp>3</stp>
        <stp>300140</stp>
        <stp>12/31/2018</stp>
        <stp>1</stp>
        <tr r="U1419" s="1"/>
      </tp>
      <tp>
        <v>8.451322058903811E-2</v>
        <stp/>
        <stp>EM_S_RATIO_EPS_TTM</stp>
        <stp>3</stp>
        <stp>600110</stp>
        <stp>12/31/2018</stp>
        <stp>1</stp>
        <tr r="U1434" s="1"/>
      </tp>
      <tp>
        <v>0.43963764603858413</v>
        <stp/>
        <stp>EM_S_RATIO_EPS_TTM</stp>
        <stp>3</stp>
        <stp>000070</stp>
        <stp>12/31/2018</stp>
        <stp>1</stp>
        <tr r="U228" s="1"/>
      </tp>
      <tp>
        <v>0.1315395968709672</v>
        <stp/>
        <stp>EM_S_RATIO_EPS_TTM</stp>
        <stp>3</stp>
        <stp>300040</stp>
        <stp>12/31/2018</stp>
        <stp>1</stp>
        <tr r="U1626" s="1"/>
      </tp>
      <tp>
        <v>7.2913446053127412E-2</v>
        <stp/>
        <stp>EM_S_RATIO_EPS_TTM</stp>
        <stp>3</stp>
        <stp>600010</stp>
        <stp>12/31/2018</stp>
        <stp>1</stp>
        <tr r="U2792" s="1"/>
      </tp>
      <tp>
        <v>0.25213556495773259</v>
        <stp/>
        <stp>EM_S_RATIO_EPS_TTM</stp>
        <stp>3</stp>
        <stp>300340</stp>
        <stp>12/31/2018</stp>
        <stp>1</stp>
        <tr r="U2737" s="1"/>
      </tp>
      <tp>
        <v>8.2749144127329283E-2</v>
        <stp/>
        <stp>EM_S_RATIO_EPS_TTM</stp>
        <stp>3</stp>
        <stp>600310</stp>
        <stp>12/31/2018</stp>
        <stp>1</stp>
        <tr r="U1303" s="1"/>
      </tp>
      <tp>
        <v>4.044213510924001E-2</v>
        <stp/>
        <stp>EM_S_RATIO_EPS_TTM</stp>
        <stp>3</stp>
        <stp>300240</stp>
        <stp>12/31/2018</stp>
        <stp>1</stp>
        <tr r="U2840" s="1"/>
      </tp>
      <tp>
        <v>0.28531149525084376</v>
        <stp/>
        <stp>EM_S_RATIO_EPS_TTM</stp>
        <stp>3</stp>
        <stp>600210</stp>
        <stp>12/31/2018</stp>
        <stp>1</stp>
        <tr r="U2091" s="1"/>
      </tp>
      <tp>
        <v>0.11048131552777851</v>
        <stp/>
        <stp>EM_S_RATIO_EPS_TTM</stp>
        <stp>3</stp>
        <stp>000570</stp>
        <stp>12/31/2018</stp>
        <stp>1</stp>
        <tr r="U3461" s="1"/>
      </tp>
      <tp>
        <v>-0.93617451872343838</v>
        <stp/>
        <stp>EM_S_RATIO_EPS_TTM</stp>
        <stp>3</stp>
        <stp>300540</stp>
        <stp>12/31/2018</stp>
        <stp>1</stp>
        <tr r="U1366" s="1"/>
      </tp>
      <tp>
        <v>0.63202829587505682</v>
        <stp/>
        <stp>EM_S_RATIO_EPS_TTM</stp>
        <stp>3</stp>
        <stp>600510</stp>
        <stp>12/31/2018</stp>
        <stp>1</stp>
        <tr r="U1618" s="1"/>
      </tp>
      <tp>
        <v>0.23509741763392855</v>
        <stp/>
        <stp>EM_S_RATIO_EPS_TTM</stp>
        <stp>3</stp>
        <stp>300440</stp>
        <stp>12/31/2018</stp>
        <stp>1</stp>
        <tr r="U675" s="1"/>
      </tp>
      <tp>
        <v>-0.2049060654012517</v>
        <stp/>
        <stp>EM_S_RATIO_EPS_TTM</stp>
        <stp>3</stp>
        <stp>600410</stp>
        <stp>12/31/2018</stp>
        <stp>1</stp>
        <tr r="U272" s="1"/>
      </tp>
      <tp>
        <v>0.48057403496323531</v>
        <stp/>
        <stp>EM_S_RATIO_EPS_TTM</stp>
        <stp>3</stp>
        <stp>300740</stp>
        <stp>12/31/2018</stp>
        <stp>1</stp>
        <tr r="U3353" s="1"/>
      </tp>
      <tp>
        <v>0.34855204715550692</v>
        <stp/>
        <stp>EM_S_RATIO_EPS_TTM</stp>
        <stp>3</stp>
        <stp>600710</stp>
        <stp>12/31/2018</stp>
        <stp>1</stp>
        <tr r="U584" s="1"/>
      </tp>
      <tp>
        <v>-0.2176892192786683</v>
        <stp/>
        <stp>EM_S_RATIO_EPS_TTM</stp>
        <stp>3</stp>
        <stp>000670</stp>
        <stp>12/31/2018</stp>
        <stp>1</stp>
        <tr r="U3502" s="1"/>
      </tp>
      <tp>
        <v>0.27344071865692954</v>
        <stp/>
        <stp>EM_S_RATIO_EPS_TTM</stp>
        <stp>3</stp>
        <stp>300640</stp>
        <stp>12/31/2018</stp>
        <stp>1</stp>
        <tr r="U2861" s="1"/>
      </tp>
      <tp>
        <v>-0.46464069564124505</v>
        <stp/>
        <stp>EM_S_RATIO_EPS_TTM</stp>
        <stp>3</stp>
        <stp>600610</stp>
        <stp>12/31/2018</stp>
        <stp>1</stp>
        <tr r="U203" s="1"/>
      </tp>
      <tp>
        <v>0.23309044996244838</v>
        <stp/>
        <stp>EM_S_RATIO_EPS_TTM</stp>
        <stp>3</stp>
        <stp>000970</stp>
        <stp>12/31/2018</stp>
        <stp>1</stp>
        <tr r="U573" s="1"/>
      </tp>
      <tp>
        <v>1.4685587091661392</v>
        <stp/>
        <stp>EM_S_RATIO_EPS_TTM</stp>
        <stp>3</stp>
        <stp>600810</stp>
        <stp>12/31/2018</stp>
        <stp>1</stp>
        <tr r="U3112" s="1"/>
      </tp>
      <tp>
        <v>1.8792540997773239</v>
        <stp/>
        <stp>EM_S_RATIO_EPS_TTM</stp>
        <stp>3</stp>
        <stp>603113</stp>
        <stp>12/31/2018</stp>
        <stp>1</stp>
        <tr r="U2475" s="1"/>
      </tp>
      <tp>
        <v>0.65396924899999997</v>
        <stp/>
        <stp>EM_S_RATIO_EPS_TTM</stp>
        <stp>3</stp>
        <stp>603013</stp>
        <stp>12/31/2018</stp>
        <stp>1</stp>
        <tr r="U2867" s="1"/>
      </tp>
      <tp>
        <v>0.77530607154166664</v>
        <stp/>
        <stp>EM_S_RATIO_EPS_TTM</stp>
        <stp>3</stp>
        <stp>603313</stp>
        <stp>12/31/2018</stp>
        <stp>1</stp>
        <tr r="U2362" s="1"/>
      </tp>
      <tp>
        <v>0.62114609313232827</v>
        <stp/>
        <stp>EM_S_RATIO_EPS_TTM</stp>
        <stp>3</stp>
        <stp>603813</stp>
        <stp>12/31/2018</stp>
        <stp>1</stp>
        <tr r="U2153" s="1"/>
      </tp>
      <tp>
        <v>6.5245119104796967E-2</v>
        <stp/>
        <stp>EM_S_RATIO_EPS_TTM</stp>
        <stp>3</stp>
        <stp>002173</stp>
        <stp>12/31/2018</stp>
        <stp>1</stp>
        <tr r="U2881" s="1"/>
      </tp>
      <tp>
        <v>-0.33497116154785739</v>
        <stp/>
        <stp>EM_S_RATIO_EPS_TTM</stp>
        <stp>3</stp>
        <stp>002073</stp>
        <stp>12/31/2018</stp>
        <stp>1</stp>
        <tr r="U3625" s="1"/>
      </tp>
      <tp>
        <v>0.51298342881886327</v>
        <stp/>
        <stp>EM_S_RATIO_EPS_TTM</stp>
        <stp>3</stp>
        <stp>002373</stp>
        <stp>12/31/2018</stp>
        <stp>1</stp>
        <tr r="U379" s="1"/>
      </tp>
      <tp>
        <v>0.5428973039331394</v>
        <stp/>
        <stp>EM_S_RATIO_EPS_TTM</stp>
        <stp>3</stp>
        <stp>002273</stp>
        <stp>12/31/2018</stp>
        <stp>1</stp>
        <tr r="U318" s="1"/>
      </tp>
      <tp>
        <v>0.48546298531146787</v>
        <stp/>
        <stp>EM_S_RATIO_EPS_TTM</stp>
        <stp>3</stp>
        <stp>002573</stp>
        <stp>12/31/2018</stp>
        <stp>1</stp>
        <tr r="U2784" s="1"/>
      </tp>
      <tp>
        <v>7.5505499125E-2</v>
        <stp/>
        <stp>EM_S_RATIO_EPS_TTM</stp>
        <stp>3</stp>
        <stp>002473</stp>
        <stp>12/31/2018</stp>
        <stp>1</stp>
        <tr r="U797" s="1"/>
      </tp>
      <tp>
        <v>1.0317831565461291</v>
        <stp/>
        <stp>EM_S_RATIO_EPS_TTM</stp>
        <stp>3</stp>
        <stp>002773</stp>
        <stp>12/31/2018</stp>
        <stp>1</stp>
        <tr r="U1974" s="1"/>
      </tp>
      <tp>
        <v>5.7236746828653443E-2</v>
        <stp/>
        <stp>EM_S_RATIO_EPS_TTM</stp>
        <stp>3</stp>
        <stp>002673</stp>
        <stp>12/31/2018</stp>
        <stp>1</stp>
        <tr r="U998" s="1"/>
      </tp>
      <tp>
        <v>0.6061308346997335</v>
        <stp/>
        <stp>EM_S_RATIO_EPS_TTM</stp>
        <stp>3</stp>
        <stp>002873</stp>
        <stp>12/31/2018</stp>
        <stp>1</stp>
        <tr r="U2205" s="1"/>
      </tp>
      <tp>
        <v>0.23432659218725638</v>
        <stp/>
        <stp>EM_S_RATIO_EPS_TTM</stp>
        <stp>3</stp>
        <stp>601113</stp>
        <stp>12/31/2018</stp>
        <stp>1</stp>
        <tr r="U3390" s="1"/>
      </tp>
      <tp>
        <v>9.175069729031482E-2</v>
        <stp/>
        <stp>EM_S_RATIO_EPS_TTM</stp>
        <stp>3</stp>
        <stp>300143</stp>
        <stp>12/31/2018</stp>
        <stp>1</stp>
        <tr r="U2121" s="1"/>
      </tp>
      <tp>
        <v>0.32852397567482738</v>
        <stp/>
        <stp>EM_S_RATIO_EPS_TTM</stp>
        <stp>3</stp>
        <stp>600113</stp>
        <stp>12/31/2018</stp>
        <stp>1</stp>
        <tr r="U2268" s="1"/>
      </tp>
      <tp>
        <v>0.19166029768109305</v>
        <stp/>
        <stp>EM_S_RATIO_EPS_TTM</stp>
        <stp>3</stp>
        <stp>300043</stp>
        <stp>12/31/2018</stp>
        <stp>1</stp>
        <tr r="U491" s="1"/>
      </tp>
      <tp>
        <v>-2.9753199251529563</v>
        <stp/>
        <stp>EM_S_RATIO_EPS_TTM</stp>
        <stp>3</stp>
        <stp>300343</stp>
        <stp>12/31/2018</stp>
        <stp>1</stp>
        <tr r="U3389" s="1"/>
      </tp>
      <tp>
        <v>2.9294752556906459E-2</v>
        <stp/>
        <stp>EM_S_RATIO_EPS_TTM</stp>
        <stp>3</stp>
        <stp>600313</stp>
        <stp>12/31/2018</stp>
        <stp>1</stp>
        <tr r="U1063" s="1"/>
      </tp>
      <tp>
        <v>0.42698620317284214</v>
        <stp/>
        <stp>EM_S_RATIO_EPS_TTM</stp>
        <stp>3</stp>
        <stp>300243</stp>
        <stp>12/31/2018</stp>
        <stp>1</stp>
        <tr r="U2469" s="1"/>
      </tp>
      <tp>
        <v>5.9418974363636363E-2</v>
        <stp/>
        <stp>EM_S_RATIO_EPS_TTM</stp>
        <stp>3</stp>
        <stp>600213</stp>
        <stp>12/31/2018</stp>
        <stp>1</stp>
        <tr r="U668" s="1"/>
      </tp>
      <tp>
        <v>8.0202418792888641E-2</v>
        <stp/>
        <stp>EM_S_RATIO_EPS_TTM</stp>
        <stp>3</stp>
        <stp>000573</stp>
        <stp>12/31/2018</stp>
        <stp>1</stp>
        <tr r="U2239" s="1"/>
      </tp>
      <tp>
        <v>0.37145486699999997</v>
        <stp/>
        <stp>EM_S_RATIO_EPS_TTM</stp>
        <stp>3</stp>
        <stp>300543</stp>
        <stp>12/31/2018</stp>
        <stp>1</stp>
        <tr r="U759" s="1"/>
      </tp>
      <tp>
        <v>0.25768156302890105</v>
        <stp/>
        <stp>EM_S_RATIO_EPS_TTM</stp>
        <stp>3</stp>
        <stp>600513</stp>
        <stp>12/31/2018</stp>
        <stp>1</stp>
        <tr r="U1324" s="1"/>
      </tp>
      <tp>
        <v>0.48872232350663941</v>
        <stp/>
        <stp>EM_S_RATIO_EPS_TTM</stp>
        <stp>3</stp>
        <stp>300443</stp>
        <stp>12/31/2018</stp>
        <stp>1</stp>
        <tr r="U981" s="1"/>
      </tp>
      <tp>
        <v>0.48653663651089585</v>
        <stp/>
        <stp>EM_S_RATIO_EPS_TTM</stp>
        <stp>3</stp>
        <stp>300743</stp>
        <stp>12/31/2018</stp>
        <stp>1</stp>
        <tr r="U3368" s="1"/>
      </tp>
      <tp>
        <v>0.25373553154539485</v>
        <stp/>
        <stp>EM_S_RATIO_EPS_TTM</stp>
        <stp>3</stp>
        <stp>600713</stp>
        <stp>12/31/2018</stp>
        <stp>1</stp>
        <tr r="U1785" s="1"/>
      </tp>
      <tp>
        <v>-2.0226171261742532</v>
        <stp/>
        <stp>EM_S_RATIO_EPS_TTM</stp>
        <stp>3</stp>
        <stp>000673</stp>
        <stp>12/31/2018</stp>
        <stp>1</stp>
        <tr r="U3503" s="1"/>
      </tp>
      <tp>
        <v>0.16236097224999999</v>
        <stp/>
        <stp>EM_S_RATIO_EPS_TTM</stp>
        <stp>3</stp>
        <stp>300643</stp>
        <stp>12/31/2018</stp>
        <stp>1</stp>
        <tr r="U149" s="1"/>
      </tp>
      <tp>
        <v>0.19864637136275662</v>
        <stp/>
        <stp>EM_S_RATIO_EPS_TTM</stp>
        <stp>3</stp>
        <stp>600613</stp>
        <stp>12/31/2018</stp>
        <stp>1</stp>
        <tr r="U768" s="1"/>
      </tp>
      <tp>
        <v>0.12004128810555438</v>
        <stp/>
        <stp>EM_S_RATIO_EPS_TTM</stp>
        <stp>3</stp>
        <stp>000973</stp>
        <stp>12/31/2018</stp>
        <stp>1</stp>
        <tr r="U658" s="1"/>
      </tp>
      <tp>
        <v>-0.10155631325497878</v>
        <stp/>
        <stp>EM_S_RATIO_EPS_TTM</stp>
        <stp>3</stp>
        <stp>600813</stp>
        <stp>12/31/2018</stp>
        <stp>1</stp>
        <tr r="U2327" s="1"/>
      </tp>
      <tp>
        <v>0.32595056263353023</v>
        <stp/>
        <stp>EM_S_RATIO_EPS_TTM</stp>
        <stp>3</stp>
        <stp>603012</stp>
        <stp>12/31/2018</stp>
        <stp>1</stp>
        <tr r="U1606" s="1"/>
      </tp>
      <tp>
        <v>0.29135566494818654</v>
        <stp/>
        <stp>EM_S_RATIO_EPS_TTM</stp>
        <stp>3</stp>
        <stp>603712</stp>
        <stp>12/31/2018</stp>
        <stp>1</stp>
        <tr r="U824" s="1"/>
      </tp>
      <tp>
        <v>0.59236714717587102</v>
        <stp/>
        <stp>EM_S_RATIO_EPS_TTM</stp>
        <stp>3</stp>
        <stp>603612</stp>
        <stp>12/31/2018</stp>
        <stp>1</stp>
        <tr r="U2028" s="1"/>
      </tp>
      <tp>
        <v>0.50630679238297749</v>
        <stp/>
        <stp>EM_S_RATIO_EPS_TTM</stp>
        <stp>3</stp>
        <stp>603912</stp>
        <stp>12/31/2018</stp>
        <stp>1</stp>
        <tr r="U2116" s="1"/>
      </tp>
      <tp>
        <v>1.3341962971675295E-2</v>
        <stp/>
        <stp>EM_S_RATIO_EPS_TTM</stp>
        <stp>3</stp>
        <stp>002172</stp>
        <stp>12/31/2018</stp>
        <stp>1</stp>
        <tr r="U2424" s="1"/>
      </tp>
      <tp>
        <v>-1.4217300547159091</v>
        <stp/>
        <stp>EM_S_RATIO_EPS_TTM</stp>
        <stp>3</stp>
        <stp>002072</stp>
        <stp>12/31/2018</stp>
        <stp>1</stp>
        <tr r="U3624" s="1"/>
      </tp>
      <tp>
        <v>0.74629167533133356</v>
        <stp/>
        <stp>EM_S_RATIO_EPS_TTM</stp>
        <stp>3</stp>
        <stp>002372</stp>
        <stp>12/31/2018</stp>
        <stp>1</stp>
        <tr r="U2991" s="1"/>
      </tp>
      <tp>
        <v>0.10452326122211897</v>
        <stp/>
        <stp>EM_S_RATIO_EPS_TTM</stp>
        <stp>3</stp>
        <stp>002272</stp>
        <stp>12/31/2018</stp>
        <stp>1</stp>
        <tr r="U1640" s="1"/>
      </tp>
      <tp>
        <v>1.0386029594716659</v>
        <stp/>
        <stp>EM_S_RATIO_EPS_TTM</stp>
        <stp>3</stp>
        <stp>002572</stp>
        <stp>12/31/2018</stp>
        <stp>1</stp>
        <tr r="U1070" s="1"/>
      </tp>
      <tp>
        <v>0.28432684234167321</v>
        <stp/>
        <stp>EM_S_RATIO_EPS_TTM</stp>
        <stp>3</stp>
        <stp>002472</stp>
        <stp>12/31/2018</stp>
        <stp>1</stp>
        <tr r="U2553" s="1"/>
      </tp>
      <tp>
        <v>0.29983671854722793</v>
        <stp/>
        <stp>EM_S_RATIO_EPS_TTM</stp>
        <stp>3</stp>
        <stp>002772</stp>
        <stp>12/31/2018</stp>
        <stp>1</stp>
        <tr r="U1906" s="1"/>
      </tp>
      <tp>
        <v>0.45983199102371425</v>
        <stp/>
        <stp>EM_S_RATIO_EPS_TTM</stp>
        <stp>3</stp>
        <stp>002672</stp>
        <stp>12/31/2018</stp>
        <stp>1</stp>
        <tr r="U3093" s="1"/>
      </tp>
      <tp>
        <v>0.34825856276729555</v>
        <stp/>
        <stp>EM_S_RATIO_EPS_TTM</stp>
        <stp>3</stp>
        <stp>002872</stp>
        <stp>12/31/2018</stp>
        <stp>1</stp>
        <tr r="U3295" s="1"/>
      </tp>
      <tp>
        <v>0.91657401315099296</v>
        <stp/>
        <stp>EM_S_RATIO_EPS_TTM</stp>
        <stp>3</stp>
        <stp>601012</stp>
        <stp>12/31/2018</stp>
        <stp>1</stp>
        <tr r="U682" s="1"/>
      </tp>
      <tp>
        <v>3.7144457586658652E-3</v>
        <stp/>
        <stp>EM_S_RATIO_EPS_TTM</stp>
        <stp>3</stp>
        <stp>601212</stp>
        <stp>12/31/2018</stp>
        <stp>1</stp>
        <tr r="U1088" s="1"/>
      </tp>
      <tp>
        <v>0.68048607957124574</v>
        <stp/>
        <stp>EM_S_RATIO_EPS_TTM</stp>
        <stp>3</stp>
        <stp>300142</stp>
        <stp>12/31/2018</stp>
        <stp>1</stp>
        <tr r="U360" s="1"/>
      </tp>
      <tp>
        <v>3.3710748718993926E-2</v>
        <stp/>
        <stp>EM_S_RATIO_EPS_TTM</stp>
        <stp>3</stp>
        <stp>600112</stp>
        <stp>12/31/2018</stp>
        <stp>1</stp>
        <tr r="U3347" s="1"/>
      </tp>
      <tp>
        <v>0.4827593145209581</v>
        <stp/>
        <stp>EM_S_RATIO_EPS_TTM</stp>
        <stp>3</stp>
        <stp>300042</stp>
        <stp>12/31/2018</stp>
        <stp>1</stp>
        <tr r="U1386" s="1"/>
      </tp>
      <tp>
        <v>0.6770984290399793</v>
        <stp/>
        <stp>EM_S_RATIO_EPS_TTM</stp>
        <stp>3</stp>
        <stp>600012</stp>
        <stp>12/31/2018</stp>
        <stp>1</stp>
        <tr r="U2470" s="1"/>
      </tp>
      <tp>
        <v>0.22528450475208295</v>
        <stp/>
        <stp>EM_S_RATIO_EPS_TTM</stp>
        <stp>3</stp>
        <stp>300342</stp>
        <stp>12/31/2018</stp>
        <stp>1</stp>
        <tr r="U861" s="1"/>
      </tp>
      <tp>
        <v>0.2110160228311368</v>
        <stp/>
        <stp>EM_S_RATIO_EPS_TTM</stp>
        <stp>3</stp>
        <stp>600312</stp>
        <stp>12/31/2018</stp>
        <stp>1</stp>
        <tr r="U3067" s="1"/>
      </tp>
      <tp>
        <v>-1.9719540843776902</v>
        <stp/>
        <stp>EM_S_RATIO_EPS_TTM</stp>
        <stp>3</stp>
        <stp>300242</stp>
        <stp>12/31/2018</stp>
        <stp>1</stp>
        <tr r="U2537" s="1"/>
      </tp>
      <tp>
        <v>-0.33608505991608756</v>
        <stp/>
        <stp>EM_S_RATIO_EPS_TTM</stp>
        <stp>3</stp>
        <stp>600212</stp>
        <stp>12/31/2018</stp>
        <stp>1</stp>
        <tr r="U2006" s="1"/>
      </tp>
      <tp>
        <v>-0.99546642420651332</v>
        <stp/>
        <stp>EM_S_RATIO_EPS_TTM</stp>
        <stp>3</stp>
        <stp>000572</stp>
        <stp>12/31/2018</stp>
        <stp>1</stp>
        <tr r="U3463" s="1"/>
      </tp>
      <tp>
        <v>0.24749810150649362</v>
        <stp/>
        <stp>EM_S_RATIO_EPS_TTM</stp>
        <stp>3</stp>
        <stp>300542</stp>
        <stp>12/31/2018</stp>
        <stp>1</stp>
        <tr r="U1783" s="1"/>
      </tp>
      <tp>
        <v>1.6017228350246614E-2</v>
        <stp/>
        <stp>EM_S_RATIO_EPS_TTM</stp>
        <stp>3</stp>
        <stp>600512</stp>
        <stp>12/31/2018</stp>
        <stp>1</stp>
        <tr r="U947" s="1"/>
      </tp>
      <tp>
        <v>-2.4139600950999998</v>
        <stp/>
        <stp>EM_S_RATIO_EPS_TTM</stp>
        <stp>3</stp>
        <stp>300442</stp>
        <stp>12/31/2018</stp>
        <stp>1</stp>
        <tr r="U1232" s="1"/>
      </tp>
      <tp>
        <v>0.2702194746987111</v>
        <stp/>
        <stp>EM_S_RATIO_EPS_TTM</stp>
        <stp>3</stp>
        <stp>300742</stp>
        <stp>12/31/2018</stp>
        <stp>1</stp>
        <tr r="U3334" s="1"/>
      </tp>
      <tp>
        <v>-8.2372982687621027E-2</v>
        <stp/>
        <stp>EM_S_RATIO_EPS_TTM</stp>
        <stp>3</stp>
        <stp>600712</stp>
        <stp>12/31/2018</stp>
        <stp>1</stp>
        <tr r="U59" s="1"/>
      </tp>
      <tp>
        <v>1.8096360249662586</v>
        <stp/>
        <stp>EM_S_RATIO_EPS_TTM</stp>
        <stp>3</stp>
        <stp>000672</stp>
        <stp>12/31/2018</stp>
        <stp>1</stp>
        <tr r="U150" s="1"/>
      </tp>
      <tp>
        <v>1.559730721909137</v>
        <stp/>
        <stp>EM_S_RATIO_EPS_TTM</stp>
        <stp>3</stp>
        <stp>300642</stp>
        <stp>12/31/2018</stp>
        <stp>1</stp>
        <tr r="U1902" s="1"/>
      </tp>
      <tp>
        <v>2.3026154204925833</v>
        <stp/>
        <stp>EM_S_RATIO_EPS_TTM</stp>
        <stp>3</stp>
        <stp>600612</stp>
        <stp>12/31/2018</stp>
        <stp>1</stp>
        <tr r="U2043" s="1"/>
      </tp>
      <tp>
        <v>-0.54954413735807017</v>
        <stp/>
        <stp>EM_S_RATIO_EPS_TTM</stp>
        <stp>3</stp>
        <stp>000972</stp>
        <stp>12/31/2018</stp>
        <stp>1</stp>
        <tr r="U3590" s="1"/>
      </tp>
      <tp>
        <v>9.237551078992487E-2</v>
        <stp/>
        <stp>EM_S_RATIO_EPS_TTM</stp>
        <stp>3</stp>
        <stp>600812</stp>
        <stp>12/31/2018</stp>
        <stp>1</stp>
        <tr r="U107" s="1"/>
      </tp>
      <tp t="s">
        <v>2010-05-06</v>
        <stp/>
        <stp>EM_S_IPO_LISTEDDATE</stp>
        <stp>1</stp>
        <stp>002399</stp>
        <tr r="AT2973" s="1"/>
      </tp>
      <tp t="s">
        <v>2010-05-06</v>
        <stp/>
        <stp>EM_S_IPO_LISTEDDATE</stp>
        <stp>1</stp>
        <stp>002398</stp>
        <tr r="AT850" s="1"/>
      </tp>
      <tp t="s">
        <v>2010-04-29</v>
        <stp/>
        <stp>EM_S_IPO_LISTEDDATE</stp>
        <stp>1</stp>
        <stp>002395</stp>
        <tr r="AT101" s="1"/>
      </tp>
      <tp t="s">
        <v>2010-04-23</v>
        <stp/>
        <stp>EM_S_IPO_LISTEDDATE</stp>
        <stp>1</stp>
        <stp>002394</stp>
        <tr r="AT2636" s="1"/>
      </tp>
      <tp t="s">
        <v>2010-04-29</v>
        <stp/>
        <stp>EM_S_IPO_LISTEDDATE</stp>
        <stp>1</stp>
        <stp>002397</stp>
        <tr r="AT1300" s="1"/>
      </tp>
      <tp t="s">
        <v>2010-06-23</v>
        <stp/>
        <stp>EM_S_IPO_LISTEDDATE</stp>
        <stp>1</stp>
        <stp>002396</stp>
        <tr r="AT155" s="1"/>
      </tp>
      <tp t="s">
        <v>2010-04-16</v>
        <stp/>
        <stp>EM_S_IPO_LISTEDDATE</stp>
        <stp>1</stp>
        <stp>002391</stp>
        <tr r="AT3106" s="1"/>
      </tp>
      <tp t="s">
        <v>2010-04-16</v>
        <stp/>
        <stp>EM_S_IPO_LISTEDDATE</stp>
        <stp>1</stp>
        <stp>002390</stp>
        <tr r="AT1014" s="1"/>
      </tp>
      <tp t="s">
        <v>2010-04-23</v>
        <stp/>
        <stp>EM_S_IPO_LISTEDDATE</stp>
        <stp>1</stp>
        <stp>002393</stp>
        <tr r="AT1123" s="1"/>
      </tp>
      <tp t="s">
        <v>2010-04-23</v>
        <stp/>
        <stp>EM_S_IPO_LISTEDDATE</stp>
        <stp>1</stp>
        <stp>002392</stp>
        <tr r="AT1412" s="1"/>
      </tp>
      <tp t="s">
        <v>2010-04-13</v>
        <stp/>
        <stp>EM_S_IPO_LISTEDDATE</stp>
        <stp>1</stp>
        <stp>002389</stp>
        <tr r="AT2708" s="1"/>
      </tp>
      <tp t="s">
        <v>2010-04-13</v>
        <stp/>
        <stp>EM_S_IPO_LISTEDDATE</stp>
        <stp>1</stp>
        <stp>002388</stp>
        <tr r="AT895" s="1"/>
      </tp>
      <tp t="s">
        <v>2010-04-09</v>
        <stp/>
        <stp>EM_S_IPO_LISTEDDATE</stp>
        <stp>1</stp>
        <stp>002385</stp>
        <tr r="AT707" s="1"/>
      </tp>
      <tp t="s">
        <v>2010-04-09</v>
        <stp/>
        <stp>EM_S_IPO_LISTEDDATE</stp>
        <stp>1</stp>
        <stp>002384</stp>
        <tr r="AT172" s="1"/>
      </tp>
      <tp t="s">
        <v>2010-04-13</v>
        <stp/>
        <stp>EM_S_IPO_LISTEDDATE</stp>
        <stp>1</stp>
        <stp>002387</stp>
        <tr r="AT135" s="1"/>
      </tp>
      <tp t="s">
        <v>2010-04-09</v>
        <stp/>
        <stp>EM_S_IPO_LISTEDDATE</stp>
        <stp>1</stp>
        <stp>002386</stp>
        <tr r="AT1776" s="1"/>
      </tp>
      <tp t="s">
        <v>2010-04-02</v>
        <stp/>
        <stp>EM_S_IPO_LISTEDDATE</stp>
        <stp>1</stp>
        <stp>002381</stp>
        <tr r="AT1089" s="1"/>
      </tp>
      <tp t="s">
        <v>2010-03-31</v>
        <stp/>
        <stp>EM_S_IPO_LISTEDDATE</stp>
        <stp>1</stp>
        <stp>002380</stp>
        <tr r="AT853" s="1"/>
      </tp>
      <tp t="s">
        <v>2010-04-02</v>
        <stp/>
        <stp>EM_S_IPO_LISTEDDATE</stp>
        <stp>1</stp>
        <stp>002383</stp>
        <tr r="AT3075" s="1"/>
      </tp>
      <tp t="s">
        <v>2010-04-02</v>
        <stp/>
        <stp>EM_S_IPO_LISTEDDATE</stp>
        <stp>1</stp>
        <stp>002382</stp>
        <tr r="AT3033" s="1"/>
      </tp>
      <tp t="s">
        <v>2014-08-01</v>
        <stp/>
        <stp>EM_S_IPO_LISTEDDATE</stp>
        <stp>1</stp>
        <stp>300389</stp>
        <tr r="AT3203" s="1"/>
      </tp>
      <tp t="s">
        <v>2014-08-01</v>
        <stp/>
        <stp>EM_S_IPO_LISTEDDATE</stp>
        <stp>1</stp>
        <stp>300388</stp>
        <tr r="AT1290" s="1"/>
      </tp>
      <tp t="s">
        <v>2014-06-26</v>
        <stp/>
        <stp>EM_S_IPO_LISTEDDATE</stp>
        <stp>1</stp>
        <stp>300385</stp>
        <tr r="AT2956" s="1"/>
      </tp>
      <tp t="s">
        <v>2014-08-01</v>
        <stp/>
        <stp>EM_S_IPO_LISTEDDATE</stp>
        <stp>1</stp>
        <stp>300384</stp>
        <tr r="AT530" s="1"/>
      </tp>
      <tp t="s">
        <v>2014-07-02</v>
        <stp/>
        <stp>EM_S_IPO_LISTEDDATE</stp>
        <stp>1</stp>
        <stp>300387</stp>
        <tr r="AT304" s="1"/>
      </tp>
      <tp t="s">
        <v>2014-06-26</v>
        <stp/>
        <stp>EM_S_IPO_LISTEDDATE</stp>
        <stp>1</stp>
        <stp>300386</stp>
        <tr r="AT696" s="1"/>
      </tp>
      <tp t="s">
        <v>2014-01-28</v>
        <stp/>
        <stp>EM_S_IPO_LISTEDDATE</stp>
        <stp>1</stp>
        <stp>300381</stp>
        <tr r="AT1162" s="1"/>
      </tp>
      <tp t="s">
        <v>2014-01-28</v>
        <stp/>
        <stp>EM_S_IPO_LISTEDDATE</stp>
        <stp>1</stp>
        <stp>300380</stp>
        <tr r="AT1006" s="1"/>
      </tp>
      <tp t="s">
        <v>2014-01-29</v>
        <stp/>
        <stp>EM_S_IPO_LISTEDDATE</stp>
        <stp>1</stp>
        <stp>300383</stp>
        <tr r="AT447" s="1"/>
      </tp>
      <tp t="s">
        <v>2014-01-29</v>
        <stp/>
        <stp>EM_S_IPO_LISTEDDATE</stp>
        <stp>1</stp>
        <stp>300382</stp>
        <tr r="AT2351" s="1"/>
      </tp>
      <tp t="s">
        <v>2014-10-09</v>
        <stp/>
        <stp>EM_S_IPO_LISTEDDATE</stp>
        <stp>1</stp>
        <stp>300399</stp>
        <tr r="AT472" s="1"/>
      </tp>
      <tp t="s">
        <v>2014-10-09</v>
        <stp/>
        <stp>EM_S_IPO_LISTEDDATE</stp>
        <stp>1</stp>
        <stp>300398</stp>
        <tr r="AT2573" s="1"/>
      </tp>
      <tp t="s">
        <v>2014-09-10</v>
        <stp/>
        <stp>EM_S_IPO_LISTEDDATE</stp>
        <stp>1</stp>
        <stp>300395</stp>
        <tr r="AT574" s="1"/>
      </tp>
      <tp t="s">
        <v>2015-02-17</v>
        <stp/>
        <stp>EM_S_IPO_LISTEDDATE</stp>
        <stp>1</stp>
        <stp>300394</stp>
        <tr r="AT554" s="1"/>
      </tp>
      <tp t="s">
        <v>2014-09-10</v>
        <stp/>
        <stp>EM_S_IPO_LISTEDDATE</stp>
        <stp>1</stp>
        <stp>300397</stp>
        <tr r="AT41" s="1"/>
      </tp>
      <tp t="s">
        <v>2014-09-10</v>
        <stp/>
        <stp>EM_S_IPO_LISTEDDATE</stp>
        <stp>1</stp>
        <stp>300396</stp>
        <tr r="AT723" s="1"/>
      </tp>
      <tp t="s">
        <v>2014-08-01</v>
        <stp/>
        <stp>EM_S_IPO_LISTEDDATE</stp>
        <stp>1</stp>
        <stp>300391</stp>
        <tr r="AT3154" s="1"/>
      </tp>
      <tp t="s">
        <v>2014-07-31</v>
        <stp/>
        <stp>EM_S_IPO_LISTEDDATE</stp>
        <stp>1</stp>
        <stp>300390</stp>
        <tr r="AT2862" s="1"/>
      </tp>
      <tp t="s">
        <v>2014-09-12</v>
        <stp/>
        <stp>EM_S_IPO_LISTEDDATE</stp>
        <stp>1</stp>
        <stp>300393</stp>
        <tr r="AT2477" s="1"/>
      </tp>
      <tp t="s">
        <v>2014-09-10</v>
        <stp/>
        <stp>EM_S_IPO_LISTEDDATE</stp>
        <stp>1</stp>
        <stp>300392</stp>
        <tr r="AT2449" s="1"/>
      </tp>
      <tp t="s">
        <v>2000-12-29</v>
        <stp/>
        <stp>EM_S_IPO_LISTEDDATE</stp>
        <stp>1</stp>
        <stp>600399</stp>
        <tr r="AT902" s="1"/>
      </tp>
      <tp t="s">
        <v>2012-08-24</v>
        <stp/>
        <stp>EM_S_IPO_LISTEDDATE</stp>
        <stp>1</stp>
        <stp>603399</stp>
        <tr r="AT1095" s="1"/>
      </tp>
      <tp t="s">
        <v>2000-12-28</v>
        <stp/>
        <stp>EM_S_IPO_LISTEDDATE</stp>
        <stp>1</stp>
        <stp>600398</stp>
        <tr r="AT2779" s="1"/>
      </tp>
      <tp t="s">
        <v>2006-10-27</v>
        <stp/>
        <stp>EM_S_IPO_LISTEDDATE</stp>
        <stp>1</stp>
        <stp>601398</stp>
        <tr r="AT1662" s="1"/>
      </tp>
      <tp t="s">
        <v>2015-12-09</v>
        <stp/>
        <stp>EM_S_IPO_LISTEDDATE</stp>
        <stp>1</stp>
        <stp>603398</stp>
        <tr r="AT2667" s="1"/>
      </tp>
      <tp t="s">
        <v>2001-05-31</v>
        <stp/>
        <stp>EM_S_IPO_LISTEDDATE</stp>
        <stp>1</stp>
        <stp>600395</stp>
        <tr r="AT1227" s="1"/>
      </tp>
      <tp t="s">
        <v>2002-07-02</v>
        <stp/>
        <stp>EM_S_IPO_LISTEDDATE</stp>
        <stp>1</stp>
        <stp>600397</stp>
        <tr r="AT1122" s="1"/>
      </tp>
      <tp t="s">
        <v>2001-03-28</v>
        <stp/>
        <stp>EM_S_IPO_LISTEDDATE</stp>
        <stp>1</stp>
        <stp>600396</stp>
        <tr r="AT2422" s="1"/>
      </tp>
      <tp t="s">
        <v>2017-10-18</v>
        <stp/>
        <stp>EM_S_IPO_LISTEDDATE</stp>
        <stp>1</stp>
        <stp>603396</stp>
        <tr r="AT3014" s="1"/>
      </tp>
      <tp t="s">
        <v>2001-12-12</v>
        <stp/>
        <stp>EM_S_IPO_LISTEDDATE</stp>
        <stp>1</stp>
        <stp>600391</stp>
        <tr r="AT1045" s="1"/>
      </tp>
      <tp t="s">
        <v>2001-01-15</v>
        <stp/>
        <stp>EM_S_IPO_LISTEDDATE</stp>
        <stp>1</stp>
        <stp>600390</stp>
        <tr r="AT1389" s="1"/>
      </tp>
      <tp t="s">
        <v>2007-12-03</v>
        <stp/>
        <stp>EM_S_IPO_LISTEDDATE</stp>
        <stp>1</stp>
        <stp>601390</stp>
        <tr r="AT2944" s="1"/>
      </tp>
      <tp t="s">
        <v>2001-03-19</v>
        <stp/>
        <stp>EM_S_IPO_LISTEDDATE</stp>
        <stp>1</stp>
        <stp>600393</stp>
        <tr r="AT815" s="1"/>
      </tp>
      <tp t="s">
        <v>2016-09-12</v>
        <stp/>
        <stp>EM_S_IPO_LISTEDDATE</stp>
        <stp>1</stp>
        <stp>603393</stp>
        <tr r="AT2735" s="1"/>
      </tp>
      <tp t="s">
        <v>2003-05-29</v>
        <stp/>
        <stp>EM_S_IPO_LISTEDDATE</stp>
        <stp>1</stp>
        <stp>600392</stp>
        <tr r="AT1949" s="1"/>
      </tp>
      <tp t="s">
        <v>2001-01-10</v>
        <stp/>
        <stp>EM_S_IPO_LISTEDDATE</stp>
        <stp>1</stp>
        <stp>600389</stp>
        <tr r="AT1130" s="1"/>
      </tp>
      <tp t="s">
        <v>2016-12-15</v>
        <stp/>
        <stp>EM_S_IPO_LISTEDDATE</stp>
        <stp>1</stp>
        <stp>603389</stp>
        <tr r="AT3343" s="1"/>
      </tp>
      <tp t="s">
        <v>2000-12-29</v>
        <stp/>
        <stp>EM_S_IPO_LISTEDDATE</stp>
        <stp>1</stp>
        <stp>600388</stp>
        <tr r="AT2538" s="1"/>
      </tp>
      <tp t="s">
        <v>2012-04-23</v>
        <stp/>
        <stp>EM_S_IPO_LISTEDDATE</stp>
        <stp>1</stp>
        <stp>601388</stp>
        <tr r="AT2423" s="1"/>
      </tp>
      <tp t="s">
        <v>2017-03-24</v>
        <stp/>
        <stp>EM_S_IPO_LISTEDDATE</stp>
        <stp>1</stp>
        <stp>603388</stp>
        <tr r="AT3051" s="1"/>
      </tp>
      <tp t="s">
        <v>2001-07-23</v>
        <stp/>
        <stp>EM_S_IPO_LISTEDDATE</stp>
        <stp>1</stp>
        <stp>600385</stp>
        <tr r="AT3030" s="1"/>
      </tp>
      <tp t="s">
        <v>2017-04-05</v>
        <stp/>
        <stp>EM_S_IPO_LISTEDDATE</stp>
        <stp>1</stp>
        <stp>603385</stp>
        <tr r="AT711" s="1"/>
      </tp>
      <tp t="s">
        <v>2004-02-18</v>
        <stp/>
        <stp>EM_S_IPO_LISTEDDATE</stp>
        <stp>1</stp>
        <stp>600387</stp>
        <tr r="AT1984" s="1"/>
      </tp>
      <tp t="s">
        <v>2017-07-17</v>
        <stp/>
        <stp>EM_S_IPO_LISTEDDATE</stp>
        <stp>1</stp>
        <stp>603387</stp>
        <tr r="AT2919" s="1"/>
      </tp>
      <tp t="s">
        <v>2001-02-16</v>
        <stp/>
        <stp>EM_S_IPO_LISTEDDATE</stp>
        <stp>1</stp>
        <stp>600386</stp>
        <tr r="AT1578" s="1"/>
      </tp>
      <tp t="s">
        <v>2017-09-12</v>
        <stp/>
        <stp>EM_S_IPO_LISTEDDATE</stp>
        <stp>1</stp>
        <stp>603386</stp>
        <tr r="AT2198" s="1"/>
      </tp>
      <tp t="s">
        <v>2001-05-08</v>
        <stp/>
        <stp>EM_S_IPO_LISTEDDATE</stp>
        <stp>1</stp>
        <stp>600381</stp>
        <tr r="AT2664" s="1"/>
      </tp>
      <tp t="s">
        <v>2001-06-08</v>
        <stp/>
        <stp>EM_S_IPO_LISTEDDATE</stp>
        <stp>1</stp>
        <stp>600380</stp>
        <tr r="AT567" s="1"/>
      </tp>
      <tp t="s">
        <v>2017-06-22</v>
        <stp/>
        <stp>EM_S_IPO_LISTEDDATE</stp>
        <stp>1</stp>
        <stp>603380</stp>
        <tr r="AT1980" s="1"/>
      </tp>
      <tp t="s">
        <v>2001-04-12</v>
        <stp/>
        <stp>EM_S_IPO_LISTEDDATE</stp>
        <stp>1</stp>
        <stp>600383</stp>
        <tr r="AT593" s="1"/>
      </tp>
      <tp t="s">
        <v>2017-05-22</v>
        <stp/>
        <stp>EM_S_IPO_LISTEDDATE</stp>
        <stp>1</stp>
        <stp>603383</stp>
        <tr r="AT88" s="1"/>
      </tp>
      <tp t="s">
        <v>2001-01-18</v>
        <stp/>
        <stp>EM_S_IPO_LISTEDDATE</stp>
        <stp>1</stp>
        <stp>600382</stp>
        <tr r="AT2733" s="1"/>
      </tp>
      <tp t="s">
        <v>2012-06-19</v>
        <stp/>
        <stp>EM_S_IPO_LISTEDDATE</stp>
        <stp>1</stp>
        <stp>300329</stp>
        <tr r="AT1174" s="1"/>
      </tp>
      <tp t="s">
        <v>2002-01-16</v>
        <stp/>
        <stp>EM_S_IPO_LISTEDDATE</stp>
        <stp>1</stp>
        <stp>600379</stp>
        <tr r="AT2976" s="1"/>
      </tp>
      <tp t="s">
        <v>2009-12-11</v>
        <stp/>
        <stp>EM_S_IPO_LISTEDDATE</stp>
        <stp>1</stp>
        <stp>002319</stp>
        <tr r="AT3323" s="1"/>
      </tp>
      <tp t="s">
        <v>2012-06-19</v>
        <stp/>
        <stp>EM_S_IPO_LISTEDDATE</stp>
        <stp>1</stp>
        <stp>300328</stp>
        <tr r="AT97" s="1"/>
      </tp>
      <tp t="s">
        <v>2001-01-11</v>
        <stp/>
        <stp>EM_S_IPO_LISTEDDATE</stp>
        <stp>1</stp>
        <stp>600378</stp>
        <tr r="AT132" s="1"/>
      </tp>
      <tp t="s">
        <v>2009-12-11</v>
        <stp/>
        <stp>EM_S_IPO_LISTEDDATE</stp>
        <stp>1</stp>
        <stp>002318</stp>
        <tr r="AT566" s="1"/>
      </tp>
      <tp t="s">
        <v>2017-09-28</v>
        <stp/>
        <stp>EM_S_IPO_LISTEDDATE</stp>
        <stp>1</stp>
        <stp>603378</stp>
        <tr r="AT357" s="1"/>
      </tp>
      <tp t="s">
        <v>2012-06-01</v>
        <stp/>
        <stp>EM_S_IPO_LISTEDDATE</stp>
        <stp>1</stp>
        <stp>300325</stp>
        <tr r="AT1879" s="1"/>
      </tp>
      <tp t="s">
        <v>2003-04-01</v>
        <stp/>
        <stp>EM_S_IPO_LISTEDDATE</stp>
        <stp>1</stp>
        <stp>600375</stp>
        <tr r="AT856" s="1"/>
      </tp>
      <tp t="s">
        <v>2017-01-03</v>
        <stp/>
        <stp>EM_S_IPO_LISTEDDATE</stp>
        <stp>1</stp>
        <stp>601375</stp>
        <tr r="AT1087" s="1"/>
      </tp>
      <tp t="s">
        <v>2009-12-09</v>
        <stp/>
        <stp>EM_S_IPO_LISTEDDATE</stp>
        <stp>1</stp>
        <stp>002315</stp>
        <tr r="AT403" s="1"/>
      </tp>
      <tp t="s">
        <v>2012-06-08</v>
        <stp/>
        <stp>EM_S_IPO_LISTEDDATE</stp>
        <stp>1</stp>
        <stp>300324</stp>
        <tr r="AT2393" s="1"/>
      </tp>
      <tp t="s">
        <v>2009-12-03</v>
        <stp/>
        <stp>EM_S_IPO_LISTEDDATE</stp>
        <stp>1</stp>
        <stp>002314</stp>
        <tr r="AT1918" s="1"/>
      </tp>
      <tp t="s">
        <v>2012-06-13</v>
        <stp/>
        <stp>EM_S_IPO_LISTEDDATE</stp>
        <stp>1</stp>
        <stp>300327</stp>
        <tr r="AT690" s="1"/>
      </tp>
      <tp t="s">
        <v>2001-01-16</v>
        <stp/>
        <stp>EM_S_IPO_LISTEDDATE</stp>
        <stp>1</stp>
        <stp>600377</stp>
        <tr r="AT1600" s="1"/>
      </tp>
      <tp t="s">
        <v>2010-10-13</v>
        <stp/>
        <stp>EM_S_IPO_LISTEDDATE</stp>
        <stp>1</stp>
        <stp>601377</stp>
        <tr r="AT499" s="1"/>
      </tp>
      <tp t="s">
        <v>2009-12-11</v>
        <stp/>
        <stp>EM_S_IPO_LISTEDDATE</stp>
        <stp>1</stp>
        <stp>002317</stp>
        <tr r="AT653" s="1"/>
      </tp>
      <tp t="s">
        <v>2016-02-05</v>
        <stp/>
        <stp>EM_S_IPO_LISTEDDATE</stp>
        <stp>1</stp>
        <stp>603377</stp>
        <tr r="AT1083" s="1"/>
      </tp>
      <tp t="s">
        <v>2012-06-13</v>
        <stp/>
        <stp>EM_S_IPO_LISTEDDATE</stp>
        <stp>1</stp>
        <stp>300326</stp>
        <tr r="AT483" s="1"/>
      </tp>
      <tp t="s">
        <v>2001-03-12</v>
        <stp/>
        <stp>EM_S_IPO_LISTEDDATE</stp>
        <stp>1</stp>
        <stp>600376</stp>
        <tr r="AT1649" s="1"/>
      </tp>
      <tp t="s">
        <v>2009-12-09</v>
        <stp/>
        <stp>EM_S_IPO_LISTEDDATE</stp>
        <stp>1</stp>
        <stp>002316</stp>
        <tr r="AT1910" s="1"/>
      </tp>
      <tp t="s">
        <v>2012-05-23</v>
        <stp/>
        <stp>EM_S_IPO_LISTEDDATE</stp>
        <stp>1</stp>
        <stp>300321</stp>
        <tr r="AT1033" s="1"/>
      </tp>
      <tp t="s">
        <v>2002-09-16</v>
        <stp/>
        <stp>EM_S_IPO_LISTEDDATE</stp>
        <stp>1</stp>
        <stp>600371</stp>
        <tr r="AT193" s="1"/>
      </tp>
      <tp t="s">
        <v>2009-11-27</v>
        <stp/>
        <stp>EM_S_IPO_LISTEDDATE</stp>
        <stp>1</stp>
        <stp>002311</stp>
        <tr r="AT476" s="1"/>
      </tp>
      <tp t="s">
        <v>2012-06-01</v>
        <stp/>
        <stp>EM_S_IPO_LISTEDDATE</stp>
        <stp>1</stp>
        <stp>300320</stp>
        <tr r="AT1658" s="1"/>
      </tp>
      <tp t="s">
        <v>2003-03-06</v>
        <stp/>
        <stp>EM_S_IPO_LISTEDDATE</stp>
        <stp>1</stp>
        <stp>600370</stp>
        <tr r="AT1676" s="1"/>
      </tp>
      <tp t="s">
        <v>2009-11-27</v>
        <stp/>
        <stp>EM_S_IPO_LISTEDDATE</stp>
        <stp>1</stp>
        <stp>002310</stp>
        <tr r="AT3198" s="1"/>
      </tp>
      <tp t="s">
        <v>2012-06-01</v>
        <stp/>
        <stp>EM_S_IPO_LISTEDDATE</stp>
        <stp>1</stp>
        <stp>300323</stp>
        <tr r="AT2365" s="1"/>
      </tp>
      <tp t="s">
        <v>2002-03-04</v>
        <stp/>
        <stp>EM_S_IPO_LISTEDDATE</stp>
        <stp>1</stp>
        <stp>600373</stp>
        <tr r="AT2059" s="1"/>
      </tp>
      <tp t="s">
        <v>2009-12-03</v>
        <stp/>
        <stp>EM_S_IPO_LISTEDDATE</stp>
        <stp>1</stp>
        <stp>002313</stp>
        <tr r="AT2845" s="1"/>
      </tp>
      <tp t="s">
        <v>2012-06-08</v>
        <stp/>
        <stp>EM_S_IPO_LISTEDDATE</stp>
        <stp>1</stp>
        <stp>300322</stp>
        <tr r="AT123" s="1"/>
      </tp>
      <tp t="s">
        <v>2001-07-06</v>
        <stp/>
        <stp>EM_S_IPO_LISTEDDATE</stp>
        <stp>1</stp>
        <stp>600372</stp>
        <tr r="AT1736" s="1"/>
      </tp>
      <tp t="s">
        <v>2009-12-03</v>
        <stp/>
        <stp>EM_S_IPO_LISTEDDATE</stp>
        <stp>1</stp>
        <stp>002312</stp>
        <tr r="AT876" s="1"/>
      </tp>
      <tp t="s">
        <v>2012-07-18</v>
        <stp/>
        <stp>EM_S_IPO_LISTEDDATE</stp>
        <stp>1</stp>
        <stp>300339</stp>
        <tr r="AT650" s="1"/>
      </tp>
      <tp t="s">
        <v>2001-01-09</v>
        <stp/>
        <stp>EM_S_IPO_LISTEDDATE</stp>
        <stp>1</stp>
        <stp>600369</stp>
        <tr r="AT559" s="1"/>
      </tp>
      <tp t="s">
        <v>2010-04-28</v>
        <stp/>
        <stp>EM_S_IPO_LISTEDDATE</stp>
        <stp>1</stp>
        <stp>601369</stp>
        <tr r="AT1777" s="1"/>
      </tp>
      <tp t="s">
        <v>2009-11-27</v>
        <stp/>
        <stp>EM_S_IPO_LISTEDDATE</stp>
        <stp>1</stp>
        <stp>002309</stp>
        <tr r="AT3182" s="1"/>
      </tp>
      <tp t="s">
        <v>2014-07-03</v>
        <stp/>
        <stp>EM_S_IPO_LISTEDDATE</stp>
        <stp>1</stp>
        <stp>603369</stp>
        <tr r="AT109" s="1"/>
      </tp>
      <tp t="s">
        <v>2012-07-26</v>
        <stp/>
        <stp>EM_S_IPO_LISTEDDATE</stp>
        <stp>1</stp>
        <stp>300338</stp>
        <tr r="AT520" s="1"/>
      </tp>
      <tp t="s">
        <v>2000-12-21</v>
        <stp/>
        <stp>EM_S_IPO_LISTEDDATE</stp>
        <stp>1</stp>
        <stp>600368</stp>
        <tr r="AT637" s="1"/>
      </tp>
      <tp t="s">
        <v>2015-06-12</v>
        <stp/>
        <stp>EM_S_IPO_LISTEDDATE</stp>
        <stp>1</stp>
        <stp>601368</stp>
        <tr r="AT2204" s="1"/>
      </tp>
      <tp t="s">
        <v>2009-11-27</v>
        <stp/>
        <stp>EM_S_IPO_LISTEDDATE</stp>
        <stp>1</stp>
        <stp>002308</stp>
        <tr r="AT2098" s="1"/>
      </tp>
      <tp t="s">
        <v>2014-12-04</v>
        <stp/>
        <stp>EM_S_IPO_LISTEDDATE</stp>
        <stp>1</stp>
        <stp>603368</stp>
        <tr r="AT1009" s="1"/>
      </tp>
      <tp t="s">
        <v>2012-07-10</v>
        <stp/>
        <stp>EM_S_IPO_LISTEDDATE</stp>
        <stp>1</stp>
        <stp>300335</stp>
        <tr r="AT2659" s="1"/>
      </tp>
      <tp t="s">
        <v>2001-01-15</v>
        <stp/>
        <stp>EM_S_IPO_LISTEDDATE</stp>
        <stp>1</stp>
        <stp>600365</stp>
        <tr r="AT1502" s="1"/>
      </tp>
      <tp t="s">
        <v>2009-11-06</v>
        <stp/>
        <stp>EM_S_IPO_LISTEDDATE</stp>
        <stp>1</stp>
        <stp>002305</stp>
        <tr r="AT3140" s="1"/>
      </tp>
      <tp t="s">
        <v>2017-11-20</v>
        <stp/>
        <stp>EM_S_IPO_LISTEDDATE</stp>
        <stp>1</stp>
        <stp>603365</stp>
        <tr r="AT2148" s="1"/>
      </tp>
      <tp t="s">
        <v>2012-07-05</v>
        <stp/>
        <stp>EM_S_IPO_LISTEDDATE</stp>
        <stp>1</stp>
        <stp>300334</stp>
        <tr r="AT2828" s="1"/>
      </tp>
      <tp t="s">
        <v>2009-11-06</v>
        <stp/>
        <stp>EM_S_IPO_LISTEDDATE</stp>
        <stp>1</stp>
        <stp>002304</stp>
        <tr r="AT1400" s="1"/>
      </tp>
      <tp t="s">
        <v>2012-07-18</v>
        <stp/>
        <stp>EM_S_IPO_LISTEDDATE</stp>
        <stp>1</stp>
        <stp>300337</stp>
        <tr r="AT2721" s="1"/>
      </tp>
      <tp t="s">
        <v>2001-03-20</v>
        <stp/>
        <stp>EM_S_IPO_LISTEDDATE</stp>
        <stp>1</stp>
        <stp>600367</stp>
        <tr r="AT1964" s="1"/>
      </tp>
      <tp t="s">
        <v>2009-11-11</v>
        <stp/>
        <stp>EM_S_IPO_LISTEDDATE</stp>
        <stp>1</stp>
        <stp>002307</stp>
        <tr r="AT1740" s="1"/>
      </tp>
      <tp t="s">
        <v>2017-09-29</v>
        <stp/>
        <stp>EM_S_IPO_LISTEDDATE</stp>
        <stp>1</stp>
        <stp>603367</stp>
        <tr r="AT1963" s="1"/>
      </tp>
      <tp t="s">
        <v>2012-07-10</v>
        <stp/>
        <stp>EM_S_IPO_LISTEDDATE</stp>
        <stp>1</stp>
        <stp>300336</stp>
        <tr r="AT2614" s="1"/>
      </tp>
      <tp t="s">
        <v>2000-10-30</v>
        <stp/>
        <stp>EM_S_IPO_LISTEDDATE</stp>
        <stp>1</stp>
        <stp>600366</stp>
        <tr r="AT846" s="1"/>
      </tp>
      <tp t="s">
        <v>2017-04-12</v>
        <stp/>
        <stp>EM_S_IPO_LISTEDDATE</stp>
        <stp>1</stp>
        <stp>601366</stp>
        <tr r="AT2886" s="1"/>
      </tp>
      <tp t="s">
        <v>2009-11-11</v>
        <stp/>
        <stp>EM_S_IPO_LISTEDDATE</stp>
        <stp>1</stp>
        <stp>002306</stp>
        <tr r="AT3111" s="1"/>
      </tp>
      <tp t="s">
        <v>2012-05-21</v>
        <stp/>
        <stp>EM_S_IPO_LISTEDDATE</stp>
        <stp>1</stp>
        <stp>603366</stp>
        <tr r="AT1104" s="1"/>
      </tp>
      <tp t="s">
        <v>2000-05-29</v>
        <stp/>
        <stp>EM_S_IPO_LISTEDDATE</stp>
        <stp>1</stp>
        <stp>000301</stp>
        <tr r="AT2580" s="1"/>
      </tp>
      <tp t="s">
        <v>2012-06-28</v>
        <stp/>
        <stp>EM_S_IPO_LISTEDDATE</stp>
        <stp>1</stp>
        <stp>300331</stp>
        <tr r="AT208" s="1"/>
      </tp>
      <tp t="s">
        <v>2001-11-29</v>
        <stp/>
        <stp>EM_S_IPO_LISTEDDATE</stp>
        <stp>1</stp>
        <stp>600361</stp>
        <tr r="AT1719" s="1"/>
      </tp>
      <tp t="s">
        <v>2009-10-21</v>
        <stp/>
        <stp>EM_S_IPO_LISTEDDATE</stp>
        <stp>1</stp>
        <stp>002301</stp>
        <tr r="AT732" s="1"/>
      </tp>
      <tp t="s">
        <v>2012-06-19</v>
        <stp/>
        <stp>EM_S_IPO_LISTEDDATE</stp>
        <stp>1</stp>
        <stp>300330</stp>
        <tr r="AT758" s="1"/>
      </tp>
      <tp t="s">
        <v>2001-03-16</v>
        <stp/>
        <stp>EM_S_IPO_LISTEDDATE</stp>
        <stp>1</stp>
        <stp>600360</stp>
        <tr r="AT920" s="1"/>
      </tp>
      <tp t="s">
        <v>2012-01-16</v>
        <stp/>
        <stp>EM_S_IPO_LISTEDDATE</stp>
        <stp>1</stp>
        <stp>601360</stp>
        <tr r="AT1479" s="1"/>
      </tp>
      <tp t="s">
        <v>2009-10-21</v>
        <stp/>
        <stp>EM_S_IPO_LISTEDDATE</stp>
        <stp>1</stp>
        <stp>002300</stp>
        <tr r="AT1241" s="1"/>
      </tp>
      <tp t="s">
        <v>2017-02-06</v>
        <stp/>
        <stp>EM_S_IPO_LISTEDDATE</stp>
        <stp>1</stp>
        <stp>603360</stp>
        <tr r="AT51" s="1"/>
      </tp>
      <tp t="s">
        <v>2012-06-28</v>
        <stp/>
        <stp>EM_S_IPO_LISTEDDATE</stp>
        <stp>1</stp>
        <stp>300333</stp>
        <tr r="AT455" s="1"/>
      </tp>
      <tp t="s">
        <v>2001-03-29</v>
        <stp/>
        <stp>EM_S_IPO_LISTEDDATE</stp>
        <stp>1</stp>
        <stp>600363</stp>
        <tr r="AT202" s="1"/>
      </tp>
      <tp t="s">
        <v>2009-11-03</v>
        <stp/>
        <stp>EM_S_IPO_LISTEDDATE</stp>
        <stp>1</stp>
        <stp>002303</stp>
        <tr r="AT1611" s="1"/>
      </tp>
      <tp t="s">
        <v>2017-09-26</v>
        <stp/>
        <stp>EM_S_IPO_LISTEDDATE</stp>
        <stp>1</stp>
        <stp>603363</stp>
        <tr r="AT230" s="1"/>
      </tp>
      <tp t="s">
        <v>2012-06-28</v>
        <stp/>
        <stp>EM_S_IPO_LISTEDDATE</stp>
        <stp>1</stp>
        <stp>300332</stp>
        <tr r="AT1799" s="1"/>
      </tp>
      <tp t="s">
        <v>2002-01-11</v>
        <stp/>
        <stp>EM_S_IPO_LISTEDDATE</stp>
        <stp>1</stp>
        <stp>600362</stp>
        <tr r="AT900" s="1"/>
      </tp>
      <tp t="s">
        <v>2009-11-03</v>
        <stp/>
        <stp>EM_S_IPO_LISTEDDATE</stp>
        <stp>1</stp>
        <stp>002302</stp>
        <tr r="AT1075" s="1"/>
      </tp>
      <tp t="s">
        <v>2012-04-10</v>
        <stp/>
        <stp>EM_S_IPO_LISTEDDATE</stp>
        <stp>1</stp>
        <stp>300309</stp>
        <tr r="AT3321" s="1"/>
      </tp>
      <tp t="s">
        <v>1999-04-29</v>
        <stp/>
        <stp>EM_S_IPO_LISTEDDATE</stp>
        <stp>1</stp>
        <stp>600359</stp>
        <tr r="AT997" s="1"/>
      </tp>
      <tp t="s">
        <v>2010-01-22</v>
        <stp/>
        <stp>EM_S_IPO_LISTEDDATE</stp>
        <stp>1</stp>
        <stp>002339</stp>
        <tr r="AT1989" s="1"/>
      </tp>
      <tp t="s">
        <v>2017-09-01</v>
        <stp/>
        <stp>EM_S_IPO_LISTEDDATE</stp>
        <stp>1</stp>
        <stp>603359</stp>
        <tr r="AT2716" s="1"/>
      </tp>
      <tp t="s">
        <v>2007-04-30</v>
        <stp/>
        <stp>EM_S_IPO_LISTEDDATE</stp>
        <stp>1</stp>
        <stp>000338</stp>
        <tr r="AT162" s="1"/>
      </tp>
      <tp t="s">
        <v>2012-04-10</v>
        <stp/>
        <stp>EM_S_IPO_LISTEDDATE</stp>
        <stp>1</stp>
        <stp>300308</stp>
        <tr r="AT975" s="1"/>
      </tp>
      <tp t="s">
        <v>2000-09-22</v>
        <stp/>
        <stp>EM_S_IPO_LISTEDDATE</stp>
        <stp>1</stp>
        <stp>600358</stp>
        <tr r="AT1391" s="1"/>
      </tp>
      <tp t="s">
        <v>2010-01-15</v>
        <stp/>
        <stp>EM_S_IPO_LISTEDDATE</stp>
        <stp>1</stp>
        <stp>002338</stp>
        <tr r="AT1311" s="1"/>
      </tp>
      <tp t="s">
        <v>2017-01-25</v>
        <stp/>
        <stp>EM_S_IPO_LISTEDDATE</stp>
        <stp>1</stp>
        <stp>603358</stp>
        <tr r="AT844" s="1"/>
      </tp>
      <tp t="s">
        <v>2012-03-29</v>
        <stp/>
        <stp>EM_S_IPO_LISTEDDATE</stp>
        <stp>1</stp>
        <stp>300305</stp>
        <tr r="AT1934" s="1"/>
      </tp>
      <tp t="s">
        <v>2002-06-13</v>
        <stp/>
        <stp>EM_S_IPO_LISTEDDATE</stp>
        <stp>1</stp>
        <stp>600355</stp>
        <tr r="AT2366" s="1"/>
      </tp>
      <tp t="s">
        <v>2010-01-13</v>
        <stp/>
        <stp>EM_S_IPO_LISTEDDATE</stp>
        <stp>1</stp>
        <stp>002335</stp>
        <tr r="AT1827" s="1"/>
      </tp>
      <tp t="s">
        <v>2015-05-13</v>
        <stp/>
        <stp>EM_S_IPO_LISTEDDATE</stp>
        <stp>1</stp>
        <stp>603355</stp>
        <tr r="AT1769" s="1"/>
      </tp>
      <tp t="s">
        <v>2012-03-21</v>
        <stp/>
        <stp>EM_S_IPO_LISTEDDATE</stp>
        <stp>1</stp>
        <stp>300304</stp>
        <tr r="AT949" s="1"/>
      </tp>
      <tp t="s">
        <v>2004-01-15</v>
        <stp/>
        <stp>EM_S_IPO_LISTEDDATE</stp>
        <stp>1</stp>
        <stp>600354</stp>
        <tr r="AT804" s="1"/>
      </tp>
      <tp t="s">
        <v>2010-01-13</v>
        <stp/>
        <stp>EM_S_IPO_LISTEDDATE</stp>
        <stp>1</stp>
        <stp>002334</stp>
        <tr r="AT2234" s="1"/>
      </tp>
      <tp t="s">
        <v>2012-03-29</v>
        <stp/>
        <stp>EM_S_IPO_LISTEDDATE</stp>
        <stp>1</stp>
        <stp>300307</stp>
        <tr r="AT2197" s="1"/>
      </tp>
      <tp t="s">
        <v>2002-09-06</v>
        <stp/>
        <stp>EM_S_IPO_LISTEDDATE</stp>
        <stp>1</stp>
        <stp>600357</stp>
        <tr r="AT2301" s="1"/>
      </tp>
      <tp t="s">
        <v>2010-01-15</v>
        <stp/>
        <stp>EM_S_IPO_LISTEDDATE</stp>
        <stp>1</stp>
        <stp>002337</stp>
        <tr r="AT2558" s="1"/>
      </tp>
      <tp t="s">
        <v>2017-08-01</v>
        <stp/>
        <stp>EM_S_IPO_LISTEDDATE</stp>
        <stp>1</stp>
        <stp>603357</stp>
        <tr r="AT3354" s="1"/>
      </tp>
      <tp t="s">
        <v>2012-03-29</v>
        <stp/>
        <stp>EM_S_IPO_LISTEDDATE</stp>
        <stp>1</stp>
        <stp>300306</stp>
        <tr r="AT300" s="1"/>
      </tp>
      <tp t="s">
        <v>2001-04-19</v>
        <stp/>
        <stp>EM_S_IPO_LISTEDDATE</stp>
        <stp>1</stp>
        <stp>600356</stp>
        <tr r="AT712" s="1"/>
      </tp>
      <tp t="s">
        <v>2010-01-13</v>
        <stp/>
        <stp>EM_S_IPO_LISTEDDATE</stp>
        <stp>1</stp>
        <stp>002336</stp>
        <tr r="AT2961" s="1"/>
      </tp>
      <tp t="s">
        <v>2018-01-24</v>
        <stp/>
        <stp>EM_S_IPO_LISTEDDATE</stp>
        <stp>1</stp>
        <stp>603356</stp>
        <tr r="AT3040" s="1"/>
      </tp>
      <tp t="s">
        <v>2012-03-21</v>
        <stp/>
        <stp>EM_S_IPO_LISTEDDATE</stp>
        <stp>1</stp>
        <stp>300301</stp>
        <tr r="AT2067" s="1"/>
      </tp>
      <tp t="s">
        <v>2002-09-26</v>
        <stp/>
        <stp>EM_S_IPO_LISTEDDATE</stp>
        <stp>1</stp>
        <stp>600351</stp>
        <tr r="AT2200" s="1"/>
      </tp>
      <tp t="s">
        <v>2010-01-06</v>
        <stp/>
        <stp>EM_S_IPO_LISTEDDATE</stp>
        <stp>1</stp>
        <stp>002331</stp>
        <tr r="AT1715" s="1"/>
      </tp>
      <tp t="s">
        <v>2012-03-19</v>
        <stp/>
        <stp>EM_S_IPO_LISTEDDATE</stp>
        <stp>1</stp>
        <stp>300300</stp>
        <tr r="AT2824" s="1"/>
      </tp>
      <tp t="s">
        <v>2002-03-18</v>
        <stp/>
        <stp>EM_S_IPO_LISTEDDATE</stp>
        <stp>1</stp>
        <stp>600350</stp>
        <tr r="AT1896" s="1"/>
      </tp>
      <tp t="s">
        <v>2010-01-06</v>
        <stp/>
        <stp>EM_S_IPO_LISTEDDATE</stp>
        <stp>1</stp>
        <stp>002330</stp>
        <tr r="AT253" s="1"/>
      </tp>
      <tp t="s">
        <v>2013-09-18</v>
        <stp/>
        <stp>EM_S_IPO_LISTEDDATE</stp>
        <stp>1</stp>
        <stp>000333</stp>
        <tr r="AT444" s="1"/>
      </tp>
      <tp t="s">
        <v>2012-03-19</v>
        <stp/>
        <stp>EM_S_IPO_LISTEDDATE</stp>
        <stp>1</stp>
        <stp>300303</stp>
        <tr r="AT104" s="1"/>
      </tp>
      <tp t="s">
        <v>2002-11-20</v>
        <stp/>
        <stp>EM_S_IPO_LISTEDDATE</stp>
        <stp>1</stp>
        <stp>600353</stp>
        <tr r="AT716" s="1"/>
      </tp>
      <tp t="s">
        <v>2010-01-12</v>
        <stp/>
        <stp>EM_S_IPO_LISTEDDATE</stp>
        <stp>1</stp>
        <stp>002333</stp>
        <tr r="AT3105" s="1"/>
      </tp>
      <tp t="s">
        <v>2012-03-21</v>
        <stp/>
        <stp>EM_S_IPO_LISTEDDATE</stp>
        <stp>1</stp>
        <stp>300302</stp>
        <tr r="AT343" s="1"/>
      </tp>
      <tp t="s">
        <v>2003-08-01</v>
        <stp/>
        <stp>EM_S_IPO_LISTEDDATE</stp>
        <stp>1</stp>
        <stp>600352</stp>
        <tr r="AT572" s="1"/>
      </tp>
      <tp t="s">
        <v>2010-01-12</v>
        <stp/>
        <stp>EM_S_IPO_LISTEDDATE</stp>
        <stp>1</stp>
        <stp>002332</stp>
        <tr r="AT458" s="1"/>
      </tp>
      <tp t="s">
        <v>2012-05-23</v>
        <stp/>
        <stp>EM_S_IPO_LISTEDDATE</stp>
        <stp>1</stp>
        <stp>300319</stp>
        <tr r="AT128" s="1"/>
      </tp>
      <tp>
        <v>0</v>
        <stp/>
        <stp>EM_S_IPO_LISTEDDATE</stp>
        <stp>1</stp>
        <stp>600349</stp>
        <tr r="AT12" s="1"/>
      </tp>
      <tp t="s">
        <v>2010-01-06</v>
        <stp/>
        <stp>EM_S_IPO_LISTEDDATE</stp>
        <stp>1</stp>
        <stp>002329</stp>
        <tr r="AT907" s="1"/>
      </tp>
      <tp t="s">
        <v>2012-05-23</v>
        <stp/>
        <stp>EM_S_IPO_LISTEDDATE</stp>
        <stp>1</stp>
        <stp>300318</stp>
        <tr r="AT2155" s="1"/>
      </tp>
      <tp t="s">
        <v>2003-08-21</v>
        <stp/>
        <stp>EM_S_IPO_LISTEDDATE</stp>
        <stp>1</stp>
        <stp>600348</stp>
        <tr r="AT1741" s="1"/>
      </tp>
      <tp t="s">
        <v>2009-12-30</v>
        <stp/>
        <stp>EM_S_IPO_LISTEDDATE</stp>
        <stp>1</stp>
        <stp>002328</stp>
        <tr r="AT3199" s="1"/>
      </tp>
      <tp t="s">
        <v>2018-04-26</v>
        <stp/>
        <stp>EM_S_IPO_LISTEDDATE</stp>
        <stp>1</stp>
        <stp>603348</stp>
        <tr r="AT2404" s="1"/>
      </tp>
      <tp t="s">
        <v>2012-05-11</v>
        <stp/>
        <stp>EM_S_IPO_LISTEDDATE</stp>
        <stp>1</stp>
        <stp>300315</stp>
        <tr r="AT254" s="1"/>
      </tp>
      <tp t="s">
        <v>2000-12-22</v>
        <stp/>
        <stp>EM_S_IPO_LISTEDDATE</stp>
        <stp>1</stp>
        <stp>600345</stp>
        <tr r="AT2249" s="1"/>
      </tp>
      <tp t="s">
        <v>2009-12-22</v>
        <stp/>
        <stp>EM_S_IPO_LISTEDDATE</stp>
        <stp>1</stp>
        <stp>002325</stp>
        <tr r="AT1760" s="1"/>
      </tp>
      <tp t="s">
        <v>2017-02-22</v>
        <stp/>
        <stp>EM_S_IPO_LISTEDDATE</stp>
        <stp>1</stp>
        <stp>603345</stp>
        <tr r="AT351" s="1"/>
      </tp>
      <tp t="s">
        <v>2012-05-08</v>
        <stp/>
        <stp>EM_S_IPO_LISTEDDATE</stp>
        <stp>1</stp>
        <stp>300314</stp>
        <tr r="AT1678" s="1"/>
      </tp>
      <tp t="s">
        <v>2009-12-18</v>
        <stp/>
        <stp>EM_S_IPO_LISTEDDATE</stp>
        <stp>1</stp>
        <stp>002324</stp>
        <tr r="AT820" s="1"/>
      </tp>
      <tp t="s">
        <v>2012-05-11</v>
        <stp/>
        <stp>EM_S_IPO_LISTEDDATE</stp>
        <stp>1</stp>
        <stp>300317</stp>
        <tr r="AT1978" s="1"/>
      </tp>
      <tp t="s">
        <v>2009-12-30</v>
        <stp/>
        <stp>EM_S_IPO_LISTEDDATE</stp>
        <stp>1</stp>
        <stp>002327</stp>
        <tr r="AT2672" s="1"/>
      </tp>
      <tp t="s">
        <v>2012-05-11</v>
        <stp/>
        <stp>EM_S_IPO_LISTEDDATE</stp>
        <stp>1</stp>
        <stp>300316</stp>
        <tr r="AT480" s="1"/>
      </tp>
      <tp t="s">
        <v>2001-08-20</v>
        <stp/>
        <stp>EM_S_IPO_LISTEDDATE</stp>
        <stp>1</stp>
        <stp>600346</stp>
        <tr r="AT1252" s="1"/>
      </tp>
      <tp t="s">
        <v>2009-12-22</v>
        <stp/>
        <stp>EM_S_IPO_LISTEDDATE</stp>
        <stp>1</stp>
        <stp>002326</stp>
        <tr r="AT623" s="1"/>
      </tp>
      <tp t="s">
        <v>2012-04-25</v>
        <stp/>
        <stp>EM_S_IPO_LISTEDDATE</stp>
        <stp>1</stp>
        <stp>300311</stp>
        <tr r="AT362" s="1"/>
      </tp>
      <tp t="s">
        <v>2009-12-16</v>
        <stp/>
        <stp>EM_S_IPO_LISTEDDATE</stp>
        <stp>1</stp>
        <stp>002321</stp>
        <tr r="AT1897" s="1"/>
      </tp>
      <tp t="s">
        <v>2012-04-25</v>
        <stp/>
        <stp>EM_S_IPO_LISTEDDATE</stp>
        <stp>1</stp>
        <stp>300310</stp>
        <tr r="AT2231" s="1"/>
      </tp>
      <tp t="s">
        <v>2003-12-30</v>
        <stp/>
        <stp>EM_S_IPO_LISTEDDATE</stp>
        <stp>1</stp>
        <stp>600340</stp>
        <tr r="AT1641" s="1"/>
      </tp>
      <tp t="s">
        <v>2009-12-16</v>
        <stp/>
        <stp>EM_S_IPO_LISTEDDATE</stp>
        <stp>1</stp>
        <stp>002320</stp>
        <tr r="AT2750" s="1"/>
      </tp>
      <tp t="s">
        <v>2012-04-25</v>
        <stp/>
        <stp>EM_S_IPO_LISTEDDATE</stp>
        <stp>1</stp>
        <stp>300313</stp>
        <tr r="AT2939" s="1"/>
      </tp>
      <tp t="s">
        <v>2003-04-08</v>
        <stp/>
        <stp>EM_S_IPO_LISTEDDATE</stp>
        <stp>1</stp>
        <stp>600343</stp>
        <tr r="AT1225" s="1"/>
      </tp>
      <tp t="s">
        <v>2009-12-18</v>
        <stp/>
        <stp>EM_S_IPO_LISTEDDATE</stp>
        <stp>1</stp>
        <stp>002323</stp>
        <tr r="AT80" s="1"/>
      </tp>
      <tp t="s">
        <v>2012-05-08</v>
        <stp/>
        <stp>EM_S_IPO_LISTEDDATE</stp>
        <stp>1</stp>
        <stp>300312</stp>
        <tr r="AT3298" s="1"/>
      </tp>
      <tp t="s">
        <v>2009-12-18</v>
        <stp/>
        <stp>EM_S_IPO_LISTEDDATE</stp>
        <stp>1</stp>
        <stp>002322</stp>
        <tr r="AT932" s="1"/>
      </tp>
      <tp t="s">
        <v>2014-01-29</v>
        <stp/>
        <stp>EM_S_IPO_LISTEDDATE</stp>
        <stp>1</stp>
        <stp>300369</stp>
        <tr r="AT143" s="1"/>
      </tp>
      <tp t="s">
        <v>2000-12-25</v>
        <stp/>
        <stp>EM_S_IPO_LISTEDDATE</stp>
        <stp>1</stp>
        <stp>600339</stp>
        <tr r="AT2706" s="1"/>
      </tp>
      <tp t="s">
        <v>2012-06-12</v>
        <stp/>
        <stp>EM_S_IPO_LISTEDDATE</stp>
        <stp>1</stp>
        <stp>601339</stp>
        <tr r="AT3196" s="1"/>
      </tp>
      <tp t="s">
        <v>2010-02-10</v>
        <stp/>
        <stp>EM_S_IPO_LISTEDDATE</stp>
        <stp>1</stp>
        <stp>002359</stp>
        <tr r="AT3401" s="1"/>
      </tp>
      <tp t="s">
        <v>2016-05-19</v>
        <stp/>
        <stp>EM_S_IPO_LISTEDDATE</stp>
        <stp>1</stp>
        <stp>603339</stp>
        <tr r="AT2771" s="1"/>
      </tp>
      <tp t="s">
        <v>2014-01-23</v>
        <stp/>
        <stp>EM_S_IPO_LISTEDDATE</stp>
        <stp>1</stp>
        <stp>300368</stp>
        <tr r="AT686" s="1"/>
      </tp>
      <tp t="s">
        <v>2000-12-27</v>
        <stp/>
        <stp>EM_S_IPO_LISTEDDATE</stp>
        <stp>1</stp>
        <stp>600338</stp>
        <tr r="AT2747" s="1"/>
      </tp>
      <tp t="s">
        <v>2010-02-10</v>
        <stp/>
        <stp>EM_S_IPO_LISTEDDATE</stp>
        <stp>1</stp>
        <stp>002358</stp>
        <tr r="AT3394" s="1"/>
      </tp>
      <tp t="s">
        <v>2015-03-25</v>
        <stp/>
        <stp>EM_S_IPO_LISTEDDATE</stp>
        <stp>1</stp>
        <stp>603338</stp>
        <tr r="AT1029" s="1"/>
      </tp>
      <tp t="s">
        <v>2014-01-23</v>
        <stp/>
        <stp>EM_S_IPO_LISTEDDATE</stp>
        <stp>1</stp>
        <stp>300365</stp>
        <tr r="AT3299" s="1"/>
      </tp>
      <tp t="s">
        <v>2001-03-05</v>
        <stp/>
        <stp>EM_S_IPO_LISTEDDATE</stp>
        <stp>1</stp>
        <stp>600335</stp>
        <tr r="AT2633" s="1"/>
      </tp>
      <tp t="s">
        <v>2010-02-09</v>
        <stp/>
        <stp>EM_S_IPO_LISTEDDATE</stp>
        <stp>1</stp>
        <stp>002355</stp>
        <tr r="AT2718" s="1"/>
      </tp>
      <tp t="s">
        <v>2017-06-20</v>
        <stp/>
        <stp>EM_S_IPO_LISTEDDATE</stp>
        <stp>1</stp>
        <stp>603335</stp>
        <tr r="AT3070" s="1"/>
      </tp>
      <tp t="s">
        <v>2015-01-21</v>
        <stp/>
        <stp>EM_S_IPO_LISTEDDATE</stp>
        <stp>1</stp>
        <stp>300364</stp>
        <tr r="AT2917" s="1"/>
      </tp>
      <tp t="s">
        <v>2010-02-09</v>
        <stp/>
        <stp>EM_S_IPO_LISTEDDATE</stp>
        <stp>1</stp>
        <stp>002354</stp>
        <tr r="AT3345" s="1"/>
      </tp>
      <tp t="s">
        <v>2014-01-29</v>
        <stp/>
        <stp>EM_S_IPO_LISTEDDATE</stp>
        <stp>1</stp>
        <stp>300367</stp>
        <tr r="AT3371" s="1"/>
      </tp>
      <tp t="s">
        <v>2000-11-27</v>
        <stp/>
        <stp>EM_S_IPO_LISTEDDATE</stp>
        <stp>1</stp>
        <stp>600337</stp>
        <tr r="AT1687" s="1"/>
      </tp>
      <tp t="s">
        <v>2010-02-10</v>
        <stp/>
        <stp>EM_S_IPO_LISTEDDATE</stp>
        <stp>1</stp>
        <stp>002357</stp>
        <tr r="AT1607" s="1"/>
      </tp>
      <tp t="s">
        <v>2017-01-19</v>
        <stp/>
        <stp>EM_S_IPO_LISTEDDATE</stp>
        <stp>1</stp>
        <stp>603337</stp>
        <tr r="AT3338" s="1"/>
      </tp>
      <tp t="s">
        <v>2014-01-27</v>
        <stp/>
        <stp>EM_S_IPO_LISTEDDATE</stp>
        <stp>1</stp>
        <stp>300366</stp>
        <tr r="AT702" s="1"/>
      </tp>
      <tp t="s">
        <v>2000-12-29</v>
        <stp/>
        <stp>EM_S_IPO_LISTEDDATE</stp>
        <stp>1</stp>
        <stp>600336</stp>
        <tr r="AT936" s="1"/>
      </tp>
      <tp t="s">
        <v>2011-12-16</v>
        <stp/>
        <stp>EM_S_IPO_LISTEDDATE</stp>
        <stp>1</stp>
        <stp>601336</stp>
        <tr r="AT1427" s="1"/>
      </tp>
      <tp t="s">
        <v>2010-02-09</v>
        <stp/>
        <stp>EM_S_IPO_LISTEDDATE</stp>
        <stp>1</stp>
        <stp>002356</stp>
        <tr r="AT3400" s="1"/>
      </tp>
      <tp t="s">
        <v>2016-11-24</v>
        <stp/>
        <stp>EM_S_IPO_LISTEDDATE</stp>
        <stp>1</stp>
        <stp>603336</stp>
        <tr r="AT2819" s="1"/>
      </tp>
      <tp>
        <v>0</v>
        <stp/>
        <stp>EM_S_IPO_LISTEDDATE</stp>
        <stp>1</stp>
        <stp>300361</stp>
        <tr r="AT9" s="1"/>
      </tp>
      <tp t="s">
        <v>2001-12-20</v>
        <stp/>
        <stp>EM_S_IPO_LISTEDDATE</stp>
        <stp>1</stp>
        <stp>600331</stp>
        <tr r="AT903" s="1"/>
      </tp>
      <tp t="s">
        <v>2010-02-05</v>
        <stp/>
        <stp>EM_S_IPO_LISTEDDATE</stp>
        <stp>1</stp>
        <stp>002351</stp>
        <tr r="AT22" s="1"/>
      </tp>
      <tp t="s">
        <v>2017-07-05</v>
        <stp/>
        <stp>EM_S_IPO_LISTEDDATE</stp>
        <stp>1</stp>
        <stp>603331</stp>
        <tr r="AT1621" s="1"/>
      </tp>
      <tp t="s">
        <v>2014-01-21</v>
        <stp/>
        <stp>EM_S_IPO_LISTEDDATE</stp>
        <stp>1</stp>
        <stp>300360</stp>
        <tr r="AT187" s="1"/>
      </tp>
      <tp t="s">
        <v>2001-01-18</v>
        <stp/>
        <stp>EM_S_IPO_LISTEDDATE</stp>
        <stp>1</stp>
        <stp>600330</stp>
        <tr r="AT654" s="1"/>
      </tp>
      <tp t="s">
        <v>2018-06-11</v>
        <stp/>
        <stp>EM_S_IPO_LISTEDDATE</stp>
        <stp>1</stp>
        <stp>601330</stp>
        <tr r="AT2943" s="1"/>
      </tp>
      <tp t="s">
        <v>2010-02-03</v>
        <stp/>
        <stp>EM_S_IPO_LISTEDDATE</stp>
        <stp>1</stp>
        <stp>002350</stp>
        <tr r="AT2684" s="1"/>
      </tp>
      <tp t="s">
        <v>2017-02-13</v>
        <stp/>
        <stp>EM_S_IPO_LISTEDDATE</stp>
        <stp>1</stp>
        <stp>603330</stp>
        <tr r="AT3151" s="1"/>
      </tp>
      <tp t="s">
        <v>2014-01-29</v>
        <stp/>
        <stp>EM_S_IPO_LISTEDDATE</stp>
        <stp>1</stp>
        <stp>300363</stp>
        <tr r="AT577" s="1"/>
      </tp>
      <tp t="s">
        <v>2000-12-11</v>
        <stp/>
        <stp>EM_S_IPO_LISTEDDATE</stp>
        <stp>1</stp>
        <stp>600333</stp>
        <tr r="AT2670" s="1"/>
      </tp>
      <tp t="s">
        <v>2006-12-22</v>
        <stp/>
        <stp>EM_S_IPO_LISTEDDATE</stp>
        <stp>1</stp>
        <stp>601333</stp>
        <tr r="AT2471" s="1"/>
      </tp>
      <tp t="s">
        <v>2010-02-05</v>
        <stp/>
        <stp>EM_S_IPO_LISTEDDATE</stp>
        <stp>1</stp>
        <stp>002353</stp>
        <tr r="AT89" s="1"/>
      </tp>
      <tp t="s">
        <v>2012-05-07</v>
        <stp/>
        <stp>EM_S_IPO_LISTEDDATE</stp>
        <stp>1</stp>
        <stp>603333</stp>
        <tr r="AT196" s="1"/>
      </tp>
      <tp t="s">
        <v>2014-01-21</v>
        <stp/>
        <stp>EM_S_IPO_LISTEDDATE</stp>
        <stp>1</stp>
        <stp>300362</stp>
        <tr r="AT3359" s="1"/>
      </tp>
      <tp t="s">
        <v>2001-02-06</v>
        <stp/>
        <stp>EM_S_IPO_LISTEDDATE</stp>
        <stp>1</stp>
        <stp>600332</stp>
        <tr r="AT2596" s="1"/>
      </tp>
      <tp t="s">
        <v>2010-02-05</v>
        <stp/>
        <stp>EM_S_IPO_LISTEDDATE</stp>
        <stp>1</stp>
        <stp>002352</stp>
        <tr r="AT1475" s="1"/>
      </tp>
      <tp t="s">
        <v>2014-01-28</v>
        <stp/>
        <stp>EM_S_IPO_LISTEDDATE</stp>
        <stp>1</stp>
        <stp>300379</stp>
        <tr r="AT36" s="1"/>
      </tp>
      <tp t="s">
        <v>2001-06-06</v>
        <stp/>
        <stp>EM_S_IPO_LISTEDDATE</stp>
        <stp>1</stp>
        <stp>600329</stp>
        <tr r="AT1791" s="1"/>
      </tp>
      <tp t="s">
        <v>2010-02-03</v>
        <stp/>
        <stp>EM_S_IPO_LISTEDDATE</stp>
        <stp>1</stp>
        <stp>002349</stp>
        <tr r="AT3126" s="1"/>
      </tp>
      <tp t="s">
        <v>2017-12-29</v>
        <stp/>
        <stp>EM_S_IPO_LISTEDDATE</stp>
        <stp>1</stp>
        <stp>603329</stp>
        <tr r="AT2895" s="1"/>
      </tp>
      <tp t="s">
        <v>2014-01-27</v>
        <stp/>
        <stp>EM_S_IPO_LISTEDDATE</stp>
        <stp>1</stp>
        <stp>300378</stp>
        <tr r="AT552" s="1"/>
      </tp>
      <tp t="s">
        <v>2000-12-22</v>
        <stp/>
        <stp>EM_S_IPO_LISTEDDATE</stp>
        <stp>1</stp>
        <stp>600328</stp>
        <tr r="AT1295" s="1"/>
      </tp>
      <tp t="s">
        <v>2007-05-15</v>
        <stp/>
        <stp>EM_S_IPO_LISTEDDATE</stp>
        <stp>1</stp>
        <stp>601328</stp>
        <tr r="AT2457" s="1"/>
      </tp>
      <tp t="s">
        <v>2010-02-03</v>
        <stp/>
        <stp>EM_S_IPO_LISTEDDATE</stp>
        <stp>1</stp>
        <stp>002348</stp>
        <tr r="AT2047" s="1"/>
      </tp>
      <tp t="s">
        <v>2014-07-01</v>
        <stp/>
        <stp>EM_S_IPO_LISTEDDATE</stp>
        <stp>1</stp>
        <stp>603328</stp>
        <tr r="AT1464" s="1"/>
      </tp>
      <tp t="s">
        <v>2014-01-27</v>
        <stp/>
        <stp>EM_S_IPO_LISTEDDATE</stp>
        <stp>1</stp>
        <stp>300375</stp>
        <tr r="AT3267" s="1"/>
      </tp>
      <tp t="s">
        <v>2004-02-25</v>
        <stp/>
        <stp>EM_S_IPO_LISTEDDATE</stp>
        <stp>1</stp>
        <stp>600325</stp>
        <tr r="AT1081" s="1"/>
      </tp>
      <tp t="s">
        <v>2010-01-28</v>
        <stp/>
        <stp>EM_S_IPO_LISTEDDATE</stp>
        <stp>1</stp>
        <stp>002345</stp>
        <tr r="AT2799" s="1"/>
      </tp>
      <tp t="s">
        <v>2015-03-19</v>
        <stp/>
        <stp>EM_S_IPO_LISTEDDATE</stp>
        <stp>1</stp>
        <stp>300374</stp>
        <tr r="AT2349" s="1"/>
      </tp>
      <tp t="s">
        <v>2010-01-26</v>
        <stp/>
        <stp>EM_S_IPO_LISTEDDATE</stp>
        <stp>1</stp>
        <stp>002344</stp>
        <tr r="AT2491" s="1"/>
      </tp>
      <tp t="s">
        <v>2014-01-27</v>
        <stp/>
        <stp>EM_S_IPO_LISTEDDATE</stp>
        <stp>1</stp>
        <stp>300377</stp>
        <tr r="AT2142" s="1"/>
      </tp>
      <tp t="s">
        <v>2002-06-25</v>
        <stp/>
        <stp>EM_S_IPO_LISTEDDATE</stp>
        <stp>1</stp>
        <stp>600327</stp>
        <tr r="AT2932" s="1"/>
      </tp>
      <tp t="s">
        <v>2010-01-28</v>
        <stp/>
        <stp>EM_S_IPO_LISTEDDATE</stp>
        <stp>1</stp>
        <stp>002347</stp>
        <tr r="AT1192" s="1"/>
      </tp>
      <tp t="s">
        <v>2014-01-27</v>
        <stp/>
        <stp>EM_S_IPO_LISTEDDATE</stp>
        <stp>1</stp>
        <stp>300376</stp>
        <tr r="AT1822" s="1"/>
      </tp>
      <tp t="s">
        <v>2001-01-16</v>
        <stp/>
        <stp>EM_S_IPO_LISTEDDATE</stp>
        <stp>1</stp>
        <stp>600326</stp>
        <tr r="AT1643" s="1"/>
      </tp>
      <tp t="s">
        <v>2017-08-16</v>
        <stp/>
        <stp>EM_S_IPO_LISTEDDATE</stp>
        <stp>1</stp>
        <stp>601326</stp>
        <tr r="AT2259" s="1"/>
      </tp>
      <tp t="s">
        <v>2010-01-28</v>
        <stp/>
        <stp>EM_S_IPO_LISTEDDATE</stp>
        <stp>1</stp>
        <stp>002346</stp>
        <tr r="AT2763" s="1"/>
      </tp>
      <tp t="s">
        <v>2017-06-16</v>
        <stp/>
        <stp>EM_S_IPO_LISTEDDATE</stp>
        <stp>1</stp>
        <stp>603326</stp>
        <tr r="AT798" s="1"/>
      </tp>
      <tp t="s">
        <v>2014-01-23</v>
        <stp/>
        <stp>EM_S_IPO_LISTEDDATE</stp>
        <stp>1</stp>
        <stp>300371</stp>
        <tr r="AT1838" s="1"/>
      </tp>
      <tp t="s">
        <v>2001-05-24</v>
        <stp/>
        <stp>EM_S_IPO_LISTEDDATE</stp>
        <stp>1</stp>
        <stp>600321</stp>
        <tr r="AT1240" s="1"/>
      </tp>
      <tp t="s">
        <v>2010-01-22</v>
        <stp/>
        <stp>EM_S_IPO_LISTEDDATE</stp>
        <stp>1</stp>
        <stp>002341</stp>
        <tr r="AT3376" s="1"/>
      </tp>
      <tp t="s">
        <v>2017-09-15</v>
        <stp/>
        <stp>EM_S_IPO_LISTEDDATE</stp>
        <stp>1</stp>
        <stp>603321</stp>
        <tr r="AT1483" s="1"/>
      </tp>
      <tp t="s">
        <v>2014-01-23</v>
        <stp/>
        <stp>EM_S_IPO_LISTEDDATE</stp>
        <stp>1</stp>
        <stp>300370</stp>
        <tr r="AT888" s="1"/>
      </tp>
      <tp t="s">
        <v>2000-12-21</v>
        <stp/>
        <stp>EM_S_IPO_LISTEDDATE</stp>
        <stp>1</stp>
        <stp>600320</stp>
        <tr r="AT1504" s="1"/>
      </tp>
      <tp t="s">
        <v>2010-01-22</v>
        <stp/>
        <stp>EM_S_IPO_LISTEDDATE</stp>
        <stp>1</stp>
        <stp>002340</stp>
        <tr r="AT1005" s="1"/>
      </tp>
      <tp t="s">
        <v>2017-05-02</v>
        <stp/>
        <stp>EM_S_IPO_LISTEDDATE</stp>
        <stp>1</stp>
        <stp>603320</stp>
        <tr r="AT2682" s="1"/>
      </tp>
      <tp t="s">
        <v>2014-01-23</v>
        <stp/>
        <stp>EM_S_IPO_LISTEDDATE</stp>
        <stp>1</stp>
        <stp>300373</stp>
        <tr r="AT1293" s="1"/>
      </tp>
      <tp t="s">
        <v>2000-12-25</v>
        <stp/>
        <stp>EM_S_IPO_LISTEDDATE</stp>
        <stp>1</stp>
        <stp>600323</stp>
        <tr r="AT1110" s="1"/>
      </tp>
      <tp t="s">
        <v>2010-01-26</v>
        <stp/>
        <stp>EM_S_IPO_LISTEDDATE</stp>
        <stp>1</stp>
        <stp>002343</stp>
        <tr r="AT1031" s="1"/>
      </tp>
      <tp t="s">
        <v>2016-11-29</v>
        <stp/>
        <stp>EM_S_IPO_LISTEDDATE</stp>
        <stp>1</stp>
        <stp>603323</stp>
        <tr r="AT2888" s="1"/>
      </tp>
      <tp t="s">
        <v>2014-01-27</v>
        <stp/>
        <stp>EM_S_IPO_LISTEDDATE</stp>
        <stp>1</stp>
        <stp>300372</stp>
        <tr r="AT2283" s="1"/>
      </tp>
      <tp t="s">
        <v>2001-09-10</v>
        <stp/>
        <stp>EM_S_IPO_LISTEDDATE</stp>
        <stp>1</stp>
        <stp>600322</stp>
        <tr r="AT2723" s="1"/>
      </tp>
      <tp t="s">
        <v>2010-01-26</v>
        <stp/>
        <stp>EM_S_IPO_LISTEDDATE</stp>
        <stp>1</stp>
        <stp>002342</stp>
        <tr r="AT2594" s="1"/>
      </tp>
      <tp t="s">
        <v>2016-07-28</v>
        <stp/>
        <stp>EM_S_IPO_LISTEDDATE</stp>
        <stp>1</stp>
        <stp>603322</stp>
        <tr r="AT3308" s="1"/>
      </tp>
      <tp t="s">
        <v>2012-08-17</v>
        <stp/>
        <stp>EM_S_IPO_LISTEDDATE</stp>
        <stp>1</stp>
        <stp>300349</stp>
        <tr r="AT2578" s="1"/>
      </tp>
      <tp t="s">
        <v>2001-03-26</v>
        <stp/>
        <stp>EM_S_IPO_LISTEDDATE</stp>
        <stp>1</stp>
        <stp>600319</stp>
        <tr r="AT2240" s="1"/>
      </tp>
      <tp t="s">
        <v>2010-03-31</v>
        <stp/>
        <stp>EM_S_IPO_LISTEDDATE</stp>
        <stp>1</stp>
        <stp>002379</stp>
        <tr r="AT881" s="1"/>
      </tp>
      <tp t="s">
        <v>2016-11-30</v>
        <stp/>
        <stp>EM_S_IPO_LISTEDDATE</stp>
        <stp>1</stp>
        <stp>603319</stp>
        <tr r="AT2802" s="1"/>
      </tp>
      <tp t="s">
        <v>2012-08-17</v>
        <stp/>
        <stp>EM_S_IPO_LISTEDDATE</stp>
        <stp>1</stp>
        <stp>300348</stp>
        <tr r="AT1093" s="1"/>
      </tp>
      <tp t="s">
        <v>2000-12-08</v>
        <stp/>
        <stp>EM_S_IPO_LISTEDDATE</stp>
        <stp>1</stp>
        <stp>600318</stp>
        <tr r="AT2381" s="1"/>
      </tp>
      <tp t="s">
        <v>2007-03-01</v>
        <stp/>
        <stp>EM_S_IPO_LISTEDDATE</stp>
        <stp>1</stp>
        <stp>601318</stp>
        <tr r="AT516" s="1"/>
      </tp>
      <tp t="s">
        <v>2010-03-31</v>
        <stp/>
        <stp>EM_S_IPO_LISTEDDATE</stp>
        <stp>1</stp>
        <stp>002378</stp>
        <tr r="AT1552" s="1"/>
      </tp>
      <tp t="s">
        <v>2015-04-24</v>
        <stp/>
        <stp>EM_S_IPO_LISTEDDATE</stp>
        <stp>1</stp>
        <stp>603318</stp>
        <tr r="AT2674" s="1"/>
      </tp>
      <tp t="s">
        <v>2012-08-01</v>
        <stp/>
        <stp>EM_S_IPO_LISTEDDATE</stp>
        <stp>1</stp>
        <stp>300345</stp>
        <tr r="AT115" s="1"/>
      </tp>
      <tp t="s">
        <v>2001-03-15</v>
        <stp/>
        <stp>EM_S_IPO_LISTEDDATE</stp>
        <stp>1</stp>
        <stp>600315</stp>
        <tr r="AT1565" s="1"/>
      </tp>
      <tp t="s">
        <v>2010-03-23</v>
        <stp/>
        <stp>EM_S_IPO_LISTEDDATE</stp>
        <stp>1</stp>
        <stp>002375</stp>
        <tr r="AT1491" s="1"/>
      </tp>
      <tp t="s">
        <v>2015-04-24</v>
        <stp/>
        <stp>EM_S_IPO_LISTEDDATE</stp>
        <stp>1</stp>
        <stp>603315</stp>
        <tr r="AT2056" s="1"/>
      </tp>
      <tp t="s">
        <v>2012-08-01</v>
        <stp/>
        <stp>EM_S_IPO_LISTEDDATE</stp>
        <stp>1</stp>
        <stp>300344</stp>
        <tr r="AT2757" s="1"/>
      </tp>
      <tp t="s">
        <v>2010-03-18</v>
        <stp/>
        <stp>EM_S_IPO_LISTEDDATE</stp>
        <stp>1</stp>
        <stp>002374</stp>
        <tr r="AT2545" s="1"/>
      </tp>
      <tp t="s">
        <v>2012-08-17</v>
        <stp/>
        <stp>EM_S_IPO_LISTEDDATE</stp>
        <stp>1</stp>
        <stp>300347</stp>
        <tr r="AT672" s="1"/>
      </tp>
      <tp t="s">
        <v>2002-01-31</v>
        <stp/>
        <stp>EM_S_IPO_LISTEDDATE</stp>
        <stp>1</stp>
        <stp>600317</stp>
        <tr r="AT1634" s="1"/>
      </tp>
      <tp t="s">
        <v>2010-03-23</v>
        <stp/>
        <stp>EM_S_IPO_LISTEDDATE</stp>
        <stp>1</stp>
        <stp>002377</stp>
        <tr r="AT2493" s="1"/>
      </tp>
      <tp t="s">
        <v>2012-08-07</v>
        <stp/>
        <stp>EM_S_IPO_LISTEDDATE</stp>
        <stp>1</stp>
        <stp>300346</stp>
        <tr r="AT214" s="1"/>
      </tp>
      <tp t="s">
        <v>2000-12-15</v>
        <stp/>
        <stp>EM_S_IPO_LISTEDDATE</stp>
        <stp>1</stp>
        <stp>600316</stp>
        <tr r="AT937" s="1"/>
      </tp>
      <tp t="s">
        <v>2010-03-23</v>
        <stp/>
        <stp>EM_S_IPO_LISTEDDATE</stp>
        <stp>1</stp>
        <stp>002376</stp>
        <tr r="AT3097" s="1"/>
      </tp>
      <tp t="s">
        <v>2017-06-19</v>
        <stp/>
        <stp>EM_S_IPO_LISTEDDATE</stp>
        <stp>1</stp>
        <stp>603316</stp>
        <tr r="AT1325" s="1"/>
      </tp>
      <tp t="s">
        <v>2012-07-26</v>
        <stp/>
        <stp>EM_S_IPO_LISTEDDATE</stp>
        <stp>1</stp>
        <stp>300341</stp>
        <tr r="AT37" s="1"/>
      </tp>
      <tp t="s">
        <v>2001-06-26</v>
        <stp/>
        <stp>EM_S_IPO_LISTEDDATE</stp>
        <stp>1</stp>
        <stp>600311</stp>
        <tr r="AT2820" s="1"/>
      </tp>
      <tp t="s">
        <v>2011-06-02</v>
        <stp/>
        <stp>EM_S_IPO_LISTEDDATE</stp>
        <stp>1</stp>
        <stp>601311</stp>
        <tr r="AT1920" s="1"/>
      </tp>
      <tp t="s">
        <v>2010-03-16</v>
        <stp/>
        <stp>EM_S_IPO_LISTEDDATE</stp>
        <stp>1</stp>
        <stp>002371</stp>
        <tr r="AT103" s="1"/>
      </tp>
      <tp t="s">
        <v>2015-05-18</v>
        <stp/>
        <stp>EM_S_IPO_LISTEDDATE</stp>
        <stp>1</stp>
        <stp>603311</stp>
        <tr r="AT1757" s="1"/>
      </tp>
      <tp t="s">
        <v>2012-07-26</v>
        <stp/>
        <stp>EM_S_IPO_LISTEDDATE</stp>
        <stp>1</stp>
        <stp>300340</stp>
        <tr r="AT2737" s="1"/>
      </tp>
      <tp t="s">
        <v>2001-02-28</v>
        <stp/>
        <stp>EM_S_IPO_LISTEDDATE</stp>
        <stp>1</stp>
        <stp>600310</stp>
        <tr r="AT1303" s="1"/>
      </tp>
      <tp t="s">
        <v>2010-03-16</v>
        <stp/>
        <stp>EM_S_IPO_LISTEDDATE</stp>
        <stp>1</stp>
        <stp>002370</stp>
        <tr r="AT3395" s="1"/>
      </tp>
      <tp t="s">
        <v>2012-08-01</v>
        <stp/>
        <stp>EM_S_IPO_LISTEDDATE</stp>
        <stp>1</stp>
        <stp>300343</stp>
        <tr r="AT3389" s="1"/>
      </tp>
      <tp t="s">
        <v>2001-01-19</v>
        <stp/>
        <stp>EM_S_IPO_LISTEDDATE</stp>
        <stp>1</stp>
        <stp>600313</stp>
        <tr r="AT1063" s="1"/>
      </tp>
      <tp t="s">
        <v>2010-03-18</v>
        <stp/>
        <stp>EM_S_IPO_LISTEDDATE</stp>
        <stp>1</stp>
        <stp>002373</stp>
        <tr r="AT379" s="1"/>
      </tp>
      <tp t="s">
        <v>2016-10-13</v>
        <stp/>
        <stp>EM_S_IPO_LISTEDDATE</stp>
        <stp>1</stp>
        <stp>603313</stp>
        <tr r="AT2362" s="1"/>
      </tp>
      <tp t="s">
        <v>2012-07-26</v>
        <stp/>
        <stp>EM_S_IPO_LISTEDDATE</stp>
        <stp>1</stp>
        <stp>300342</stp>
        <tr r="AT861" s="1"/>
      </tp>
      <tp t="s">
        <v>2001-02-21</v>
        <stp/>
        <stp>EM_S_IPO_LISTEDDATE</stp>
        <stp>1</stp>
        <stp>600312</stp>
        <tr r="AT3067" s="1"/>
      </tp>
      <tp t="s">
        <v>2010-03-18</v>
        <stp/>
        <stp>EM_S_IPO_LISTEDDATE</stp>
        <stp>1</stp>
        <stp>002372</stp>
        <tr r="AT2991" s="1"/>
      </tp>
      <tp t="s">
        <v>2014-01-21</v>
        <stp/>
        <stp>EM_S_IPO_LISTEDDATE</stp>
        <stp>1</stp>
        <stp>300359</stp>
        <tr r="AT2431" s="1"/>
      </tp>
      <tp t="s">
        <v>2001-01-05</v>
        <stp/>
        <stp>EM_S_IPO_LISTEDDATE</stp>
        <stp>1</stp>
        <stp>600309</stp>
        <tr r="AT168" s="1"/>
      </tp>
      <tp t="s">
        <v>2010-03-16</v>
        <stp/>
        <stp>EM_S_IPO_LISTEDDATE</stp>
        <stp>1</stp>
        <stp>002369</stp>
        <tr r="AT1109" s="1"/>
      </tp>
      <tp t="s">
        <v>2015-03-02</v>
        <stp/>
        <stp>EM_S_IPO_LISTEDDATE</stp>
        <stp>1</stp>
        <stp>603309</stp>
        <tr r="AT620" s="1"/>
      </tp>
      <tp t="s">
        <v>2014-01-21</v>
        <stp/>
        <stp>EM_S_IPO_LISTEDDATE</stp>
        <stp>1</stp>
        <stp>300358</stp>
        <tr r="AT2761" s="1"/>
      </tp>
      <tp t="s">
        <v>2000-09-28</v>
        <stp/>
        <stp>EM_S_IPO_LISTEDDATE</stp>
        <stp>1</stp>
        <stp>600308</stp>
        <tr r="AT1999" s="1"/>
      </tp>
      <tp t="s">
        <v>2010-03-12</v>
        <stp/>
        <stp>EM_S_IPO_LISTEDDATE</stp>
        <stp>1</stp>
        <stp>002368</stp>
        <tr r="AT315" s="1"/>
      </tp>
      <tp t="s">
        <v>2014-01-22</v>
        <stp/>
        <stp>EM_S_IPO_LISTEDDATE</stp>
        <stp>1</stp>
        <stp>603308</stp>
        <tr r="AT218" s="1"/>
      </tp>
      <tp t="s">
        <v>2012-09-27</v>
        <stp/>
        <stp>EM_S_IPO_LISTEDDATE</stp>
        <stp>1</stp>
        <stp>300355</stp>
        <tr r="AT2877" s="1"/>
      </tp>
      <tp t="s">
        <v>2001-02-06</v>
        <stp/>
        <stp>EM_S_IPO_LISTEDDATE</stp>
        <stp>1</stp>
        <stp>600305</stp>
        <tr r="AT676" s="1"/>
      </tp>
      <tp t="s">
        <v>2010-03-05</v>
        <stp/>
        <stp>EM_S_IPO_LISTEDDATE</stp>
        <stp>1</stp>
        <stp>002365</stp>
        <tr r="AT2692" s="1"/>
      </tp>
      <tp t="s">
        <v>2017-07-10</v>
        <stp/>
        <stp>EM_S_IPO_LISTEDDATE</stp>
        <stp>1</stp>
        <stp>603305</stp>
        <tr r="AT1751" s="1"/>
      </tp>
      <tp t="s">
        <v>2012-09-20</v>
        <stp/>
        <stp>EM_S_IPO_LISTEDDATE</stp>
        <stp>1</stp>
        <stp>300354</stp>
        <tr r="AT542" s="1"/>
      </tp>
      <tp t="s">
        <v>2010-03-05</v>
        <stp/>
        <stp>EM_S_IPO_LISTEDDATE</stp>
        <stp>1</stp>
        <stp>002364</stp>
        <tr r="AT2413" s="1"/>
      </tp>
      <tp t="s">
        <v>2014-01-21</v>
        <stp/>
        <stp>EM_S_IPO_LISTEDDATE</stp>
        <stp>1</stp>
        <stp>300357</stp>
        <tr r="AT1410" s="1"/>
      </tp>
      <tp t="s">
        <v>2000-12-20</v>
        <stp/>
        <stp>EM_S_IPO_LISTEDDATE</stp>
        <stp>1</stp>
        <stp>600307</stp>
        <tr r="AT1905" s="1"/>
      </tp>
      <tp t="s">
        <v>2010-03-12</v>
        <stp/>
        <stp>EM_S_IPO_LISTEDDATE</stp>
        <stp>1</stp>
        <stp>002367</stp>
        <tr r="AT773" s="1"/>
      </tp>
      <tp t="s">
        <v>2012-10-09</v>
        <stp/>
        <stp>EM_S_IPO_LISTEDDATE</stp>
        <stp>1</stp>
        <stp>300356</stp>
        <tr r="AT792" s="1"/>
      </tp>
      <tp t="s">
        <v>2000-12-26</v>
        <stp/>
        <stp>EM_S_IPO_LISTEDDATE</stp>
        <stp>1</stp>
        <stp>600306</stp>
        <tr r="AT2801" s="1"/>
      </tp>
      <tp t="s">
        <v>2010-03-12</v>
        <stp/>
        <stp>EM_S_IPO_LISTEDDATE</stp>
        <stp>1</stp>
        <stp>002366</stp>
        <tr r="AT3168" s="1"/>
      </tp>
      <tp t="s">
        <v>2014-09-26</v>
        <stp/>
        <stp>EM_S_IPO_LISTEDDATE</stp>
        <stp>1</stp>
        <stp>603306</stp>
        <tr r="AT2468" s="1"/>
      </tp>
      <tp t="s">
        <v>2012-09-20</v>
        <stp/>
        <stp>EM_S_IPO_LISTEDDATE</stp>
        <stp>1</stp>
        <stp>300351</stp>
        <tr r="AT1871" s="1"/>
      </tp>
      <tp t="s">
        <v>2000-07-12</v>
        <stp/>
        <stp>EM_S_IPO_LISTEDDATE</stp>
        <stp>1</stp>
        <stp>600301</stp>
        <tr r="AT1636" s="1"/>
      </tp>
      <tp t="s">
        <v>2010-03-03</v>
        <stp/>
        <stp>EM_S_IPO_LISTEDDATE</stp>
        <stp>1</stp>
        <stp>002361</stp>
        <tr r="AT1315" s="1"/>
      </tp>
      <tp t="s">
        <v>2018-04-12</v>
        <stp/>
        <stp>EM_S_IPO_LISTEDDATE</stp>
        <stp>1</stp>
        <stp>603301</stp>
        <tr r="AT3245" s="1"/>
      </tp>
      <tp t="s">
        <v>2012-08-21</v>
        <stp/>
        <stp>EM_S_IPO_LISTEDDATE</stp>
        <stp>1</stp>
        <stp>300350</stp>
        <tr r="AT2687" s="1"/>
      </tp>
      <tp t="s">
        <v>2000-06-30</v>
        <stp/>
        <stp>EM_S_IPO_LISTEDDATE</stp>
        <stp>1</stp>
        <stp>600300</stp>
        <tr r="AT1995" s="1"/>
      </tp>
      <tp t="s">
        <v>2010-03-03</v>
        <stp/>
        <stp>EM_S_IPO_LISTEDDATE</stp>
        <stp>1</stp>
        <stp>002360</stp>
        <tr r="AT2452" s="1"/>
      </tp>
      <tp t="s">
        <v>2015-05-29</v>
        <stp/>
        <stp>EM_S_IPO_LISTEDDATE</stp>
        <stp>1</stp>
        <stp>603300</stp>
        <tr r="AT370" s="1"/>
      </tp>
      <tp t="s">
        <v>2012-09-27</v>
        <stp/>
        <stp>EM_S_IPO_LISTEDDATE</stp>
        <stp>1</stp>
        <stp>300353</stp>
        <tr r="AT614" s="1"/>
      </tp>
      <tp t="s">
        <v>2000-12-26</v>
        <stp/>
        <stp>EM_S_IPO_LISTEDDATE</stp>
        <stp>1</stp>
        <stp>600303</stp>
        <tr r="AT2765" s="1"/>
      </tp>
      <tp t="s">
        <v>2010-03-05</v>
        <stp/>
        <stp>EM_S_IPO_LISTEDDATE</stp>
        <stp>1</stp>
        <stp>002363</stp>
        <tr r="AT1055" s="1"/>
      </tp>
      <tp t="s">
        <v>2017-03-30</v>
        <stp/>
        <stp>EM_S_IPO_LISTEDDATE</stp>
        <stp>1</stp>
        <stp>603303</stp>
        <tr r="AT2847" s="1"/>
      </tp>
      <tp t="s">
        <v>2012-09-12</v>
        <stp/>
        <stp>EM_S_IPO_LISTEDDATE</stp>
        <stp>1</stp>
        <stp>300352</stp>
        <tr r="AT122" s="1"/>
      </tp>
      <tp t="s">
        <v>2000-12-13</v>
        <stp/>
        <stp>EM_S_IPO_LISTEDDATE</stp>
        <stp>1</stp>
        <stp>600302</stp>
        <tr r="AT1508" s="1"/>
      </tp>
      <tp t="s">
        <v>2010-03-03</v>
        <stp/>
        <stp>EM_S_IPO_LISTEDDATE</stp>
        <stp>1</stp>
        <stp>002362</stp>
        <tr r="AT1277" s="1"/>
      </tp>
      <tp>
        <v>0</v>
        <stp/>
        <stp>EM_S_IPO_LISTEDDATE</stp>
        <stp>1</stp>
        <stp>603302</stp>
        <tr r="AT14" s="1"/>
      </tp>
      <tp>
        <v>0.55726461671299998</v>
        <stp/>
        <stp>EM_S_FA_ASSETSTURN</stp>
        <stp>3</stp>
        <stp>601958</stp>
        <stp>12/31/2018</stp>
        <stp>1</stp>
        <tr r="K799" s="1"/>
      </tp>
      <tp>
        <v>0.46878002093600002</v>
        <stp/>
        <stp>EM_S_FA_ASSETSTURN</stp>
        <stp>3</stp>
        <stp>601858</stp>
        <stp>12/31/2018</stp>
        <stp>1</stp>
        <tr r="K1108" s="1"/>
      </tp>
      <tp>
        <v>0.872052102499</v>
        <stp/>
        <stp>EM_S_FA_ASSETSTURN</stp>
        <stp>3</stp>
        <stp>601258</stp>
        <stp>12/31/2018</stp>
        <stp>1</stp>
        <tr r="K2081" s="1"/>
      </tp>
      <tp>
        <v>0.25799177566199999</v>
        <stp/>
        <stp>EM_S_FA_ASSETSTURN</stp>
        <stp>3</stp>
        <stp>601158</stp>
        <stp>12/31/2018</stp>
        <stp>1</stp>
        <tr r="K2337" s="1"/>
      </tp>
      <tp>
        <v>0.90199893770899997</v>
        <stp/>
        <stp>EM_S_FA_ASSETSTURN</stp>
        <stp>3</stp>
        <stp>601058</stp>
        <stp>12/31/2018</stp>
        <stp>1</stp>
        <tr r="K167" s="1"/>
      </tp>
      <tp>
        <v>8.7921367045999996E-2</v>
        <stp/>
        <stp>EM_S_FA_ASSETSTURN</stp>
        <stp>3</stp>
        <stp>601558</stp>
        <stp>12/31/2018</stp>
        <stp>1</stp>
        <tr r="K2379" s="1"/>
      </tp>
      <tp>
        <v>1.060089828485</v>
        <stp/>
        <stp>EM_S_FA_ASSETSTURN</stp>
        <stp>3</stp>
        <stp>000938</stp>
        <stp>12/31/2018</stp>
        <stp>1</stp>
        <tr r="K2342" s="1"/>
      </tp>
      <tp>
        <v>0</v>
        <stp/>
        <stp>EM_S_FA_ASSETSTURN</stp>
        <stp>3</stp>
        <stp>600958</stp>
        <stp>12/31/2018</stp>
        <stp>1</stp>
        <tr r="K811" s="1"/>
      </tp>
      <tp>
        <v>0.28902507104800002</v>
        <stp/>
        <stp>EM_S_FA_ASSETSTURN</stp>
        <stp>3</stp>
        <stp>000838</stp>
        <stp>12/31/2018</stp>
        <stp>1</stp>
        <tr r="K1804" s="1"/>
      </tp>
      <tp>
        <v>1.092627294698</v>
        <stp/>
        <stp>EM_S_FA_ASSETSTURN</stp>
        <stp>3</stp>
        <stp>600858</stp>
        <stp>12/31/2018</stp>
        <stp>1</stp>
        <tr r="K2088" s="1"/>
      </tp>
      <tp>
        <v>0.80653315824799998</v>
        <stp/>
        <stp>EM_S_FA_ASSETSTURN</stp>
        <stp>3</stp>
        <stp>000338</stp>
        <stp>12/31/2018</stp>
        <stp>1</stp>
        <tr r="K162" s="1"/>
      </tp>
      <tp>
        <v>0.64899202598700001</v>
        <stp/>
        <stp>EM_S_FA_ASSETSTURN</stp>
        <stp>3</stp>
        <stp>300308</stp>
        <stp>12/31/2018</stp>
        <stp>1</stp>
        <tr r="K975" s="1"/>
      </tp>
      <tp>
        <v>0.33762164129900002</v>
        <stp/>
        <stp>EM_S_FA_ASSETSTURN</stp>
        <stp>3</stp>
        <stp>600358</stp>
        <stp>12/31/2018</stp>
        <stp>1</stp>
        <tr r="K1391" s="1"/>
      </tp>
      <tp>
        <v>0.28945224285400001</v>
        <stp/>
        <stp>EM_S_FA_ASSETSTURN</stp>
        <stp>3</stp>
        <stp>300208</stp>
        <stp>12/31/2018</stp>
        <stp>1</stp>
        <tr r="K1037" s="1"/>
      </tp>
      <tp>
        <v>0.50718511962199997</v>
        <stp/>
        <stp>EM_S_FA_ASSETSTURN</stp>
        <stp>3</stp>
        <stp>600258</stp>
        <stp>12/31/2018</stp>
        <stp>1</stp>
        <tr r="K833" s="1"/>
      </tp>
      <tp>
        <v>0.235343356216</v>
        <stp/>
        <stp>EM_S_FA_ASSETSTURN</stp>
        <stp>3</stp>
        <stp>300108</stp>
        <stp>12/31/2018</stp>
        <stp>1</stp>
        <tr r="K3150" s="1"/>
      </tp>
      <tp>
        <v>0.35748055349399999</v>
        <stp/>
        <stp>EM_S_FA_ASSETSTURN</stp>
        <stp>3</stp>
        <stp>600158</stp>
        <stp>12/31/2018</stp>
        <stp>1</stp>
        <tr r="K1644" s="1"/>
      </tp>
      <tp>
        <v>0.57470570727799997</v>
        <stp/>
        <stp>EM_S_FA_ASSETSTURN</stp>
        <stp>3</stp>
        <stp>000038</stp>
        <stp>12/31/2018</stp>
        <stp>1</stp>
        <tr r="K2663" s="1"/>
      </tp>
      <tp>
        <v>0.30255560775399998</v>
        <stp/>
        <stp>EM_S_FA_ASSETSTURN</stp>
        <stp>3</stp>
        <stp>300008</stp>
        <stp>12/31/2018</stp>
        <stp>1</stp>
        <tr r="K1648" s="1"/>
      </tp>
      <tp>
        <v>2.6685936101880001</v>
        <stp/>
        <stp>EM_S_FA_ASSETSTURN</stp>
        <stp>3</stp>
        <stp>600058</stp>
        <stp>12/31/2018</stp>
        <stp>1</stp>
        <tr r="K1269" s="1"/>
      </tp>
      <tp>
        <v>0.38054258330700003</v>
        <stp/>
        <stp>EM_S_FA_ASSETSTURN</stp>
        <stp>3</stp>
        <stp>000738</stp>
        <stp>12/31/2018</stp>
        <stp>1</stp>
        <tr r="K1824" s="1"/>
      </tp>
      <tp>
        <v>0.26478259482099997</v>
        <stp/>
        <stp>EM_S_FA_ASSETSTURN</stp>
        <stp>3</stp>
        <stp>300708</stp>
        <stp>12/31/2018</stp>
        <stp>1</stp>
        <tr r="K1073" s="1"/>
      </tp>
      <tp>
        <v>0.45732011223899999</v>
        <stp/>
        <stp>EM_S_FA_ASSETSTURN</stp>
        <stp>3</stp>
        <stp>600758</stp>
        <stp>12/31/2018</stp>
        <stp>1</stp>
        <tr r="K884" s="1"/>
      </tp>
      <tp>
        <v>0.142276957127</v>
        <stp/>
        <stp>EM_S_FA_ASSETSTURN</stp>
        <stp>3</stp>
        <stp>000638</stp>
        <stp>12/31/2018</stp>
        <stp>1</stp>
        <tr r="K3492" s="1"/>
      </tp>
      <tp>
        <v>0.72923685957499995</v>
        <stp/>
        <stp>EM_S_FA_ASSETSTURN</stp>
        <stp>3</stp>
        <stp>300608</stp>
        <stp>12/31/2018</stp>
        <stp>1</stp>
        <tr r="K2460" s="1"/>
      </tp>
      <tp>
        <v>0.17661979919699999</v>
        <stp/>
        <stp>EM_S_FA_ASSETSTURN</stp>
        <stp>3</stp>
        <stp>600658</stp>
        <stp>12/31/2018</stp>
        <stp>1</stp>
        <tr r="K2829" s="1"/>
      </tp>
      <tp>
        <v>0.91970241109600004</v>
        <stp/>
        <stp>EM_S_FA_ASSETSTURN</stp>
        <stp>3</stp>
        <stp>000538</stp>
        <stp>12/31/2018</stp>
        <stp>1</stp>
        <tr r="K1317" s="1"/>
      </tp>
      <tp>
        <v>0.41751561050500002</v>
        <stp/>
        <stp>EM_S_FA_ASSETSTURN</stp>
        <stp>3</stp>
        <stp>300508</stp>
        <stp>12/31/2018</stp>
        <stp>1</stp>
        <tr r="K1385" s="1"/>
      </tp>
      <tp>
        <v>0.89044367218800002</v>
        <stp/>
        <stp>EM_S_FA_ASSETSTURN</stp>
        <stp>3</stp>
        <stp>600558</stp>
        <stp>12/31/2018</stp>
        <stp>1</stp>
        <tr r="K2115" s="1"/>
      </tp>
      <tp>
        <v>0.47107485491200002</v>
        <stp/>
        <stp>EM_S_FA_ASSETSTURN</stp>
        <stp>3</stp>
        <stp>300408</stp>
        <stp>12/31/2018</stp>
        <stp>1</stp>
        <tr r="K858" s="1"/>
      </tp>
      <tp>
        <v>0.83880003163500005</v>
        <stp/>
        <stp>EM_S_FA_ASSETSTURN</stp>
        <stp>3</stp>
        <stp>600458</stp>
        <stp>12/31/2018</stp>
        <stp>1</stp>
        <tr r="K2074" s="1"/>
      </tp>
      <tp>
        <v>0.97818481959600001</v>
        <stp/>
        <stp>EM_S_FA_ASSETSTURN</stp>
        <stp>3</stp>
        <stp>603958</stp>
        <stp>12/31/2018</stp>
        <stp>1</stp>
        <tr r="K2677" s="1"/>
      </tp>
      <tp>
        <v>0.69679546281500004</v>
        <stp/>
        <stp>EM_S_FA_ASSETSTURN</stp>
        <stp>3</stp>
        <stp>603858</stp>
        <stp>12/31/2018</stp>
        <stp>1</stp>
        <tr r="K3059" s="1"/>
      </tp>
      <tp>
        <v>0.94064093226500001</v>
        <stp/>
        <stp>EM_S_FA_ASSETSTURN</stp>
        <stp>3</stp>
        <stp>603358</stp>
        <stp>12/31/2018</stp>
        <stp>1</stp>
        <tr r="K844" s="1"/>
      </tp>
      <tp>
        <v>0.233142589751</v>
        <stp/>
        <stp>EM_S_FA_ASSETSTURN</stp>
        <stp>3</stp>
        <stp>603258</stp>
        <stp>12/31/2018</stp>
        <stp>1</stp>
        <tr r="K727" s="1"/>
      </tp>
      <tp>
        <v>0.64922488032299996</v>
        <stp/>
        <stp>EM_S_FA_ASSETSTURN</stp>
        <stp>3</stp>
        <stp>603158</stp>
        <stp>12/31/2018</stp>
        <stp>1</stp>
        <tr r="K2653" s="1"/>
      </tp>
      <tp>
        <v>0.44094356850900002</v>
        <stp/>
        <stp>EM_S_FA_ASSETSTURN</stp>
        <stp>3</stp>
        <stp>603058</stp>
        <stp>12/31/2018</stp>
        <stp>1</stp>
        <tr r="K3088" s="1"/>
      </tp>
      <tp>
        <v>0.26256013288399999</v>
        <stp/>
        <stp>EM_S_FA_ASSETSTURN</stp>
        <stp>3</stp>
        <stp>603758</stp>
        <stp>12/31/2018</stp>
        <stp>1</stp>
        <tr r="K2185" s="1"/>
      </tp>
      <tp>
        <v>0.79674652375800004</v>
        <stp/>
        <stp>EM_S_FA_ASSETSTURN</stp>
        <stp>3</stp>
        <stp>603658</stp>
        <stp>12/31/2018</stp>
        <stp>1</stp>
        <tr r="K188" s="1"/>
      </tp>
      <tp>
        <v>0.45700838259900001</v>
        <stp/>
        <stp>EM_S_FA_ASSETSTURN</stp>
        <stp>3</stp>
        <stp>603558</stp>
        <stp>12/31/2018</stp>
        <stp>1</stp>
        <tr r="K2587" s="1"/>
      </tp>
      <tp>
        <v>0.57866568401499996</v>
        <stp/>
        <stp>EM_S_FA_ASSETSTURN</stp>
        <stp>3</stp>
        <stp>603458</stp>
        <stp>12/31/2018</stp>
        <stp>1</stp>
        <tr r="K3290" s="1"/>
      </tp>
      <tp>
        <v>1.0008585642300001</v>
        <stp/>
        <stp>EM_S_FA_ASSETSTURN</stp>
        <stp>3</stp>
        <stp>002838</stp>
        <stp>12/31/2018</stp>
        <stp>1</stp>
        <tr r="K3303" s="1"/>
      </tp>
      <tp>
        <v>0.394923322854</v>
        <stp/>
        <stp>EM_S_FA_ASSETSTURN</stp>
        <stp>3</stp>
        <stp>002338</stp>
        <stp>12/31/2018</stp>
        <stp>1</stp>
        <tr r="K1311" s="1"/>
      </tp>
      <tp>
        <v>0.40080802034200003</v>
        <stp/>
        <stp>EM_S_FA_ASSETSTURN</stp>
        <stp>3</stp>
        <stp>002238</stp>
        <stp>12/31/2018</stp>
        <stp>1</stp>
        <tr r="K1196" s="1"/>
      </tp>
      <tp>
        <v>0.47214028196800001</v>
        <stp/>
        <stp>EM_S_FA_ASSETSTURN</stp>
        <stp>3</stp>
        <stp>002138</stp>
        <stp>12/31/2018</stp>
        <stp>1</stp>
        <tr r="K329" s="1"/>
      </tp>
      <tp>
        <v>0.45281429428499997</v>
        <stp/>
        <stp>EM_S_FA_ASSETSTURN</stp>
        <stp>3</stp>
        <stp>002038</stp>
        <stp>12/31/2018</stp>
        <stp>1</stp>
        <tr r="K3361" s="1"/>
      </tp>
      <tp>
        <v>0.40503237863699998</v>
        <stp/>
        <stp>EM_S_FA_ASSETSTURN</stp>
        <stp>3</stp>
        <stp>002738</stp>
        <stp>12/31/2018</stp>
        <stp>1</stp>
        <tr r="K1459" s="1"/>
      </tp>
      <tp>
        <v>0.209477056095</v>
        <stp/>
        <stp>EM_S_FA_ASSETSTURN</stp>
        <stp>3</stp>
        <stp>002638</stp>
        <stp>12/31/2018</stp>
        <stp>1</stp>
        <tr r="K689" s="1"/>
      </tp>
      <tp>
        <v>0.66663722638099998</v>
        <stp/>
        <stp>EM_S_FA_ASSETSTURN</stp>
        <stp>3</stp>
        <stp>002538</stp>
        <stp>12/31/2018</stp>
        <stp>1</stp>
        <tr r="K2472" s="1"/>
      </tp>
      <tp>
        <v>0.35066311107600001</v>
        <stp/>
        <stp>EM_S_FA_ASSETSTURN</stp>
        <stp>3</stp>
        <stp>002438</stp>
        <stp>12/31/2018</stp>
        <stp>1</stp>
        <tr r="K726" s="1"/>
      </tp>
      <tp>
        <v>6.7629096600999999E-2</v>
        <stp/>
        <stp>EM_S_FA_ASSETSTURN</stp>
        <stp>3</stp>
        <stp>000939</stp>
        <stp>12/31/2018</stp>
        <stp>1</stp>
        <tr r="K3583" s="1"/>
      </tp>
      <tp>
        <v>0.24474771125700001</v>
        <stp/>
        <stp>EM_S_FA_ASSETSTURN</stp>
        <stp>3</stp>
        <stp>600959</stp>
        <stp>12/31/2018</stp>
        <stp>1</stp>
        <tr r="K2509" s="1"/>
      </tp>
      <tp>
        <v>0.231125872398</v>
        <stp/>
        <stp>EM_S_FA_ASSETSTURN</stp>
        <stp>3</stp>
        <stp>000839</stp>
        <stp>12/31/2018</stp>
        <stp>1</stp>
        <tr r="K3555" s="1"/>
      </tp>
      <tp>
        <v>1.2751727436539999</v>
        <stp/>
        <stp>EM_S_FA_ASSETSTURN</stp>
        <stp>3</stp>
        <stp>600859</stp>
        <stp>12/31/2018</stp>
        <stp>1</stp>
        <tr r="K2086" s="1"/>
      </tp>
      <tp>
        <v>0.139491217626</v>
        <stp/>
        <stp>EM_S_FA_ASSETSTURN</stp>
        <stp>3</stp>
        <stp>300309</stp>
        <stp>12/31/2018</stp>
        <stp>1</stp>
        <tr r="K3321" s="1"/>
      </tp>
      <tp>
        <v>0.26690793546899999</v>
        <stp/>
        <stp>EM_S_FA_ASSETSTURN</stp>
        <stp>3</stp>
        <stp>600359</stp>
        <stp>12/31/2018</stp>
        <stp>1</stp>
        <tr r="K997" s="1"/>
      </tp>
      <tp>
        <v>0.33340349393500002</v>
        <stp/>
        <stp>EM_S_FA_ASSETSTURN</stp>
        <stp>3</stp>
        <stp>300209</stp>
        <stp>12/31/2018</stp>
        <stp>1</stp>
        <tr r="K866" s="1"/>
      </tp>
      <tp>
        <v>0.59500855590900004</v>
        <stp/>
        <stp>EM_S_FA_ASSETSTURN</stp>
        <stp>3</stp>
        <stp>600259</stp>
        <stp>12/31/2018</stp>
        <stp>1</stp>
        <tr r="K486" s="1"/>
      </tp>
      <tp>
        <v>0.32769869039499999</v>
        <stp/>
        <stp>EM_S_FA_ASSETSTURN</stp>
        <stp>3</stp>
        <stp>300109</stp>
        <stp>12/31/2018</stp>
        <stp>1</stp>
        <tr r="K1364" s="1"/>
      </tp>
      <tp>
        <v>0.23956135671600001</v>
        <stp/>
        <stp>EM_S_FA_ASSETSTURN</stp>
        <stp>3</stp>
        <stp>600159</stp>
        <stp>12/31/2018</stp>
        <stp>1</stp>
        <tr r="K1961" s="1"/>
      </tp>
      <tp>
        <v>0.64595086181399997</v>
        <stp/>
        <stp>EM_S_FA_ASSETSTURN</stp>
        <stp>3</stp>
        <stp>000039</stp>
        <stp>12/31/2018</stp>
        <stp>1</stp>
        <tr r="K1426" s="1"/>
      </tp>
      <tp>
        <v>0.61138540757600002</v>
        <stp/>
        <stp>EM_S_FA_ASSETSTURN</stp>
        <stp>3</stp>
        <stp>300009</stp>
        <stp>12/31/2018</stp>
        <stp>1</stp>
        <tr r="K1660" s="1"/>
      </tp>
      <tp>
        <v>0.36357598530500002</v>
        <stp/>
        <stp>EM_S_FA_ASSETSTURN</stp>
        <stp>3</stp>
        <stp>600059</stp>
        <stp>12/31/2018</stp>
        <stp>1</stp>
        <tr r="K979" s="1"/>
      </tp>
      <tp>
        <v>1.114571198103</v>
        <stp/>
        <stp>EM_S_FA_ASSETSTURN</stp>
        <stp>3</stp>
        <stp>000739</stp>
        <stp>12/31/2018</stp>
        <stp>1</stp>
        <tr r="K340" s="1"/>
      </tp>
      <tp>
        <v>0.54541112616700005</v>
        <stp/>
        <stp>EM_S_FA_ASSETSTURN</stp>
        <stp>3</stp>
        <stp>300709</stp>
        <stp>12/31/2018</stp>
        <stp>1</stp>
        <tr r="K30" s="1"/>
      </tp>
      <tp>
        <v>0.21391324370299999</v>
        <stp/>
        <stp>EM_S_FA_ASSETSTURN</stp>
        <stp>3</stp>
        <stp>600759</stp>
        <stp>12/31/2018</stp>
        <stp>1</stp>
        <tr r="K1390" s="1"/>
      </tp>
      <tp>
        <v>0.64993289454900005</v>
        <stp/>
        <stp>EM_S_FA_ASSETSTURN</stp>
        <stp>3</stp>
        <stp>000639</stp>
        <stp>12/31/2018</stp>
        <stp>1</stp>
        <tr r="K3211" s="1"/>
      </tp>
      <tp>
        <v>0.43041428677799998</v>
        <stp/>
        <stp>EM_S_FA_ASSETSTURN</stp>
        <stp>3</stp>
        <stp>300609</stp>
        <stp>12/31/2018</stp>
        <stp>1</stp>
        <tr r="K784" s="1"/>
      </tp>
      <tp>
        <v>0.104191629706</v>
        <stp/>
        <stp>EM_S_FA_ASSETSTURN</stp>
        <stp>3</stp>
        <stp>600659</stp>
        <stp>12/31/2018</stp>
        <stp>1</stp>
        <tr r="K2324" s="1"/>
      </tp>
      <tp>
        <v>0.379784801359</v>
        <stp/>
        <stp>EM_S_FA_ASSETSTURN</stp>
        <stp>3</stp>
        <stp>000539</stp>
        <stp>12/31/2018</stp>
        <stp>1</stp>
        <tr r="K2832" s="1"/>
      </tp>
      <tp>
        <v>0.42401942317000002</v>
        <stp/>
        <stp>EM_S_FA_ASSETSTURN</stp>
        <stp>3</stp>
        <stp>300509</stp>
        <stp>12/31/2018</stp>
        <stp>1</stp>
        <tr r="K3148" s="1"/>
      </tp>
      <tp>
        <v>0.85656061890900004</v>
        <stp/>
        <stp>EM_S_FA_ASSETSTURN</stp>
        <stp>3</stp>
        <stp>600559</stp>
        <stp>12/31/2018</stp>
        <stp>1</stp>
        <tr r="K2704" s="1"/>
      </tp>
      <tp>
        <v>0.79640727132300004</v>
        <stp/>
        <stp>EM_S_FA_ASSETSTURN</stp>
        <stp>3</stp>
        <stp>300409</stp>
        <stp>12/31/2018</stp>
        <stp>1</stp>
        <tr r="K2377" s="1"/>
      </tp>
      <tp>
        <v>3.0396898488850002</v>
        <stp/>
        <stp>EM_S_FA_ASSETSTURN</stp>
        <stp>3</stp>
        <stp>600459</stp>
        <stp>12/31/2018</stp>
        <stp>1</stp>
        <tr r="K755" s="1"/>
      </tp>
      <tp>
        <v>0.479876083023</v>
        <stp/>
        <stp>EM_S_FA_ASSETSTURN</stp>
        <stp>3</stp>
        <stp>603959</stp>
        <stp>12/31/2018</stp>
        <stp>1</stp>
        <tr r="K3275" s="1"/>
      </tp>
      <tp>
        <v>0.458432706829</v>
        <stp/>
        <stp>EM_S_FA_ASSETSTURN</stp>
        <stp>3</stp>
        <stp>603859</stp>
        <stp>12/31/2018</stp>
        <stp>1</stp>
        <tr r="K443" s="1"/>
      </tp>
      <tp>
        <v>0.37095736734399998</v>
        <stp/>
        <stp>EM_S_FA_ASSETSTURN</stp>
        <stp>3</stp>
        <stp>603359</stp>
        <stp>12/31/2018</stp>
        <stp>1</stp>
        <tr r="K2716" s="1"/>
      </tp>
      <tp>
        <v>0.54549360923500001</v>
        <stp/>
        <stp>EM_S_FA_ASSETSTURN</stp>
        <stp>3</stp>
        <stp>603259</stp>
        <stp>12/31/2018</stp>
        <stp>1</stp>
        <tr r="K1205" s="1"/>
      </tp>
      <tp>
        <v>1.1409571451280001</v>
        <stp/>
        <stp>EM_S_FA_ASSETSTURN</stp>
        <stp>3</stp>
        <stp>603159</stp>
        <stp>12/31/2018</stp>
        <stp>1</stp>
        <tr r="K3276" s="1"/>
      </tp>
      <tp>
        <v>0.91418360896499995</v>
        <stp/>
        <stp>EM_S_FA_ASSETSTURN</stp>
        <stp>3</stp>
        <stp>603059</stp>
        <stp>12/31/2018</stp>
        <stp>1</stp>
        <tr r="K2986" s="1"/>
      </tp>
      <tp>
        <v>0.60204083161400002</v>
        <stp/>
        <stp>EM_S_FA_ASSETSTURN</stp>
        <stp>3</stp>
        <stp>603659</stp>
        <stp>12/31/2018</stp>
        <stp>1</stp>
        <tr r="K241" s="1"/>
      </tp>
      <tp>
        <v>0.57975702862099998</v>
        <stp/>
        <stp>EM_S_FA_ASSETSTURN</stp>
        <stp>3</stp>
        <stp>603559</stp>
        <stp>12/31/2018</stp>
        <stp>1</stp>
        <tr r="K3183" s="1"/>
      </tp>
      <tp>
        <v>0</v>
        <stp/>
        <stp>EM_S_FA_ASSETSTURN</stp>
        <stp>3</stp>
        <stp>002839</stp>
        <stp>12/31/2018</stp>
        <stp>1</stp>
        <tr r="K1722" s="1"/>
      </tp>
      <tp>
        <v>0.53362282443499998</v>
        <stp/>
        <stp>EM_S_FA_ASSETSTURN</stp>
        <stp>3</stp>
        <stp>002339</stp>
        <stp>12/31/2018</stp>
        <stp>1</stp>
        <tr r="K1989" s="1"/>
      </tp>
      <tp>
        <v>0.48072797182799998</v>
        <stp/>
        <stp>EM_S_FA_ASSETSTURN</stp>
        <stp>3</stp>
        <stp>002239</stp>
        <stp>12/31/2018</stp>
        <stp>1</stp>
        <tr r="K2868" s="1"/>
      </tp>
      <tp>
        <v>0.95184809185899999</v>
        <stp/>
        <stp>EM_S_FA_ASSETSTURN</stp>
        <stp>3</stp>
        <stp>002139</stp>
        <stp>12/31/2018</stp>
        <stp>1</stp>
        <tr r="K684" s="1"/>
      </tp>
      <tp>
        <v>0.14115898903499999</v>
        <stp/>
        <stp>EM_S_FA_ASSETSTURN</stp>
        <stp>3</stp>
        <stp>002039</stp>
        <stp>12/31/2018</stp>
        <stp>1</stp>
        <tr r="K3614" s="1"/>
      </tp>
      <tp>
        <v>0.60920876474499996</v>
        <stp/>
        <stp>EM_S_FA_ASSETSTURN</stp>
        <stp>3</stp>
        <stp>002739</stp>
        <stp>12/31/2018</stp>
        <stp>1</stp>
        <tr r="K2975" s="1"/>
      </tp>
      <tp>
        <v>0.35142727881300001</v>
        <stp/>
        <stp>EM_S_FA_ASSETSTURN</stp>
        <stp>3</stp>
        <stp>002639</stp>
        <stp>12/31/2018</stp>
        <stp>1</stp>
        <tr r="K434" s="1"/>
      </tp>
      <tp>
        <v>0.79993400124000003</v>
        <stp/>
        <stp>EM_S_FA_ASSETSTURN</stp>
        <stp>3</stp>
        <stp>002539</stp>
        <stp>12/31/2018</stp>
        <stp>1</stp>
        <tr r="K1332" s="1"/>
      </tp>
      <tp>
        <v>0.54969841988500001</v>
        <stp/>
        <stp>EM_S_FA_ASSETSTURN</stp>
        <stp>3</stp>
        <stp>002439</stp>
        <stp>12/31/2018</stp>
        <stp>1</stp>
        <tr r="K349" s="1"/>
      </tp>
      <tp>
        <v>0.68218364210589855</v>
        <stp/>
        <stp>EM_S_RATIO_EPS_TTM</stp>
        <stp>3</stp>
        <stp>002189</stp>
        <stp>12/31/2018</stp>
        <stp>1</stp>
        <tr r="U409" s="1"/>
      </tp>
      <tp>
        <v>-0.32897950709488877</v>
        <stp/>
        <stp>EM_S_RATIO_EPS_TTM</stp>
        <stp>3</stp>
        <stp>002089</stp>
        <stp>12/31/2018</stp>
        <stp>1</stp>
        <tr r="U3630" s="1"/>
      </tp>
      <tp>
        <v>0.25558387679142003</v>
        <stp/>
        <stp>EM_S_RATIO_EPS_TTM</stp>
        <stp>3</stp>
        <stp>002389</stp>
        <stp>12/31/2018</stp>
        <stp>1</stp>
        <tr r="U2708" s="1"/>
      </tp>
      <tp>
        <v>-0.55064548292742987</v>
        <stp/>
        <stp>EM_S_RATIO_EPS_TTM</stp>
        <stp>3</stp>
        <stp>002289</stp>
        <stp>12/31/2018</stp>
        <stp>1</stp>
        <tr r="U380" s="1"/>
      </tp>
      <tp>
        <v>0.5174799387037694</v>
        <stp/>
        <stp>EM_S_RATIO_EPS_TTM</stp>
        <stp>3</stp>
        <stp>002589</stp>
        <stp>12/31/2018</stp>
        <stp>1</stp>
        <tr r="U1768" s="1"/>
      </tp>
      <tp>
        <v>-4.9536055520230424E-2</v>
        <stp/>
        <stp>EM_S_RATIO_EPS_TTM</stp>
        <stp>3</stp>
        <stp>002489</stp>
        <stp>12/31/2018</stp>
        <stp>1</stp>
        <tr r="U452" s="1"/>
      </tp>
      <tp>
        <v>0.66812402557229789</v>
        <stp/>
        <stp>EM_S_RATIO_EPS_TTM</stp>
        <stp>3</stp>
        <stp>002789</stp>
        <stp>12/31/2018</stp>
        <stp>1</stp>
        <tr r="U2208" s="1"/>
      </tp>
      <tp>
        <v>8.9657322845981477E-3</v>
        <stp/>
        <stp>EM_S_RATIO_EPS_TTM</stp>
        <stp>3</stp>
        <stp>002689</stp>
        <stp>12/31/2018</stp>
        <stp>1</stp>
        <tr r="U1692" s="1"/>
      </tp>
      <tp>
        <v>0.97561933859496841</v>
        <stp/>
        <stp>EM_S_RATIO_EPS_TTM</stp>
        <stp>3</stp>
        <stp>002889</stp>
        <stp>12/31/2018</stp>
        <stp>1</stp>
        <tr r="U1842" s="1"/>
      </tp>
      <tp>
        <v>0.32573515257486696</v>
        <stp/>
        <stp>EM_S_RATIO_EPS_TTM</stp>
        <stp>3</stp>
        <stp>000089</stp>
        <stp>12/31/2018</stp>
        <stp>1</stp>
        <tr r="U1035" s="1"/>
      </tp>
      <tp>
        <v>0.11370367860285158</v>
        <stp/>
        <stp>EM_S_RATIO_EPS_TTM</stp>
        <stp>3</stp>
        <stp>000589</stp>
        <stp>12/31/2018</stp>
        <stp>1</stp>
        <tr r="U3471" s="1"/>
      </tp>
      <tp>
        <v>1.8546530702937734</v>
        <stp/>
        <stp>EM_S_RATIO_EPS_TTM</stp>
        <stp>3</stp>
        <stp>000789</stp>
        <stp>12/31/2018</stp>
        <stp>1</stp>
        <tr r="U2031" s="1"/>
      </tp>
      <tp>
        <v>-0.59013348256649889</v>
        <stp/>
        <stp>EM_S_RATIO_EPS_TTM</stp>
        <stp>3</stp>
        <stp>000689</stp>
        <stp>12/31/2018</stp>
        <stp>1</stp>
        <tr r="U3511" s="1"/>
      </tp>
      <tp>
        <v>0.37650272245294492</v>
        <stp/>
        <stp>EM_S_RATIO_EPS_TTM</stp>
        <stp>3</stp>
        <stp>000989</stp>
        <stp>12/31/2018</stp>
        <stp>1</stp>
        <tr r="U3598" s="1"/>
      </tp>
      <tp>
        <v>0.3779447250636418</v>
        <stp/>
        <stp>EM_S_RATIO_EPS_TTM</stp>
        <stp>3</stp>
        <stp>000889</stp>
        <stp>12/31/2018</stp>
        <stp>1</stp>
        <tr r="U2649" s="1"/>
      </tp>
      <tp>
        <v>-2.167782277403913</v>
        <stp/>
        <stp>EM_S_RATIO_EPS_TTM</stp>
        <stp>3</stp>
        <stp>002188</stp>
        <stp>12/31/2018</stp>
        <stp>1</stp>
        <tr r="U2426" s="1"/>
      </tp>
      <tp>
        <v>0.84863942243271062</v>
        <stp/>
        <stp>EM_S_RATIO_EPS_TTM</stp>
        <stp>3</stp>
        <stp>002088</stp>
        <stp>12/31/2018</stp>
        <stp>1</stp>
        <tr r="U1065" s="1"/>
      </tp>
      <tp>
        <v>6.3847232448518823E-2</v>
        <stp/>
        <stp>EM_S_RATIO_EPS_TTM</stp>
        <stp>3</stp>
        <stp>002388</stp>
        <stp>12/31/2018</stp>
        <stp>1</stp>
        <tr r="U895" s="1"/>
      </tp>
      <tp>
        <v>3.7047100012512942E-2</v>
        <stp/>
        <stp>EM_S_RATIO_EPS_TTM</stp>
        <stp>3</stp>
        <stp>002288</stp>
        <stp>12/31/2018</stp>
        <stp>1</stp>
        <tr r="U1928" s="1"/>
      </tp>
      <tp>
        <v>0.1658470788168909</v>
        <stp/>
        <stp>EM_S_RATIO_EPS_TTM</stp>
        <stp>3</stp>
        <stp>002588</stp>
        <stp>12/31/2018</stp>
        <stp>1</stp>
        <tr r="U2389" s="1"/>
      </tp>
      <tp>
        <v>0.16239864809983121</v>
        <stp/>
        <stp>EM_S_RATIO_EPS_TTM</stp>
        <stp>3</stp>
        <stp>002488</stp>
        <stp>12/31/2018</stp>
        <stp>1</stp>
        <tr r="U1900" s="1"/>
      </tp>
      <tp>
        <v>0.93795394391354725</v>
        <stp/>
        <stp>EM_S_RATIO_EPS_TTM</stp>
        <stp>3</stp>
        <stp>002788</stp>
        <stp>12/31/2018</stp>
        <stp>1</stp>
        <tr r="U3288" s="1"/>
      </tp>
      <tp>
        <v>0.25756578927764845</v>
        <stp/>
        <stp>EM_S_RATIO_EPS_TTM</stp>
        <stp>3</stp>
        <stp>002688</stp>
        <stp>12/31/2018</stp>
        <stp>1</stp>
        <tr r="U809" s="1"/>
      </tp>
      <tp>
        <v>0.22639498317243681</v>
        <stp/>
        <stp>EM_S_RATIO_EPS_TTM</stp>
        <stp>3</stp>
        <stp>002888</stp>
        <stp>12/31/2018</stp>
        <stp>1</stp>
        <tr r="U1442" s="1"/>
      </tp>
      <tp>
        <v>0.23093751193491915</v>
        <stp/>
        <stp>EM_S_RATIO_EPS_TTM</stp>
        <stp>3</stp>
        <stp>000088</stp>
        <stp>12/31/2018</stp>
        <stp>1</stp>
        <tr r="U1566" s="1"/>
      </tp>
      <tp>
        <v>0.36216646497575583</v>
        <stp/>
        <stp>EM_S_RATIO_EPS_TTM</stp>
        <stp>3</stp>
        <stp>000588</stp>
        <stp>12/31/2018</stp>
        <stp>1</stp>
        <tr r="U3470" s="1"/>
      </tp>
      <tp>
        <v>0.86408516593391138</v>
        <stp/>
        <stp>EM_S_RATIO_EPS_TTM</stp>
        <stp>3</stp>
        <stp>000488</stp>
        <stp>12/31/2018</stp>
        <stp>1</stp>
        <tr r="U3427" s="1"/>
      </tp>
      <tp>
        <v>7.5804531010029277E-2</v>
        <stp/>
        <stp>EM_S_RATIO_EPS_TTM</stp>
        <stp>3</stp>
        <stp>000788</stp>
        <stp>12/31/2018</stp>
        <stp>1</stp>
        <tr r="U1145" s="1"/>
      </tp>
      <tp>
        <v>0.35613424440173364</v>
        <stp/>
        <stp>EM_S_RATIO_EPS_TTM</stp>
        <stp>3</stp>
        <stp>000688</stp>
        <stp>12/31/2018</stp>
        <stp>1</stp>
        <tr r="U3510" s="1"/>
      </tp>
      <tp>
        <v>0.28205740900108783</v>
        <stp/>
        <stp>EM_S_RATIO_EPS_TTM</stp>
        <stp>3</stp>
        <stp>000988</stp>
        <stp>12/31/2018</stp>
        <stp>1</stp>
        <tr r="U328" s="1"/>
      </tp>
      <tp>
        <v>0.39709975672611003</v>
        <stp/>
        <stp>EM_S_RATIO_EPS_TTM</stp>
        <stp>3</stp>
        <stp>000888</stp>
        <stp>12/31/2018</stp>
        <stp>1</stp>
        <tr r="U3563" s="1"/>
      </tp>
      <tp>
        <v>0.71839012695000004</v>
        <stp/>
        <stp>EM_S_FA_ASSETSTURN</stp>
        <stp>3</stp>
        <stp>601952</stp>
        <stp>12/31/2018</stp>
        <stp>1</stp>
        <tr r="K2012" s="1"/>
      </tp>
      <tp>
        <v>1.216909821415</v>
        <stp/>
        <stp>EM_S_FA_ASSETSTURN</stp>
        <stp>3</stp>
        <stp>000932</stp>
        <stp>12/31/2018</stp>
        <stp>1</stp>
        <tr r="K3096" s="1"/>
      </tp>
      <tp>
        <v>0</v>
        <stp/>
        <stp>EM_S_FA_ASSETSTURN</stp>
        <stp>3</stp>
        <stp>000832</stp>
        <stp>12/31/2018</stp>
        <stp>1</stp>
        <tr r="K3552" s="1"/>
      </tp>
      <tp>
        <v>1.235424627552</v>
        <stp/>
        <stp>EM_S_FA_ASSETSTURN</stp>
        <stp>3</stp>
        <stp>600852</stp>
        <stp>12/31/2018</stp>
        <stp>1</stp>
        <tr r="K2331" s="1"/>
      </tp>
      <tp>
        <v>0.41439046035100002</v>
        <stp/>
        <stp>EM_S_FA_ASSETSTURN</stp>
        <stp>3</stp>
        <stp>300302</stp>
        <stp>12/31/2018</stp>
        <stp>1</stp>
        <tr r="K343" s="1"/>
      </tp>
      <tp>
        <v>0.38705409613899999</v>
        <stp/>
        <stp>EM_S_FA_ASSETSTURN</stp>
        <stp>3</stp>
        <stp>600352</stp>
        <stp>12/31/2018</stp>
        <stp>1</stp>
        <tr r="K572" s="1"/>
      </tp>
      <tp>
        <v>0.249165224593</v>
        <stp/>
        <stp>EM_S_FA_ASSETSTURN</stp>
        <stp>3</stp>
        <stp>300202</stp>
        <stp>12/31/2018</stp>
        <stp>1</stp>
        <tr r="K299" s="1"/>
      </tp>
      <tp>
        <v>0.46779932242900002</v>
        <stp/>
        <stp>EM_S_FA_ASSETSTURN</stp>
        <stp>3</stp>
        <stp>600252</stp>
        <stp>12/31/2018</stp>
        <stp>1</stp>
        <tr r="K1069" s="1"/>
      </tp>
      <tp>
        <v>0.17646038027300001</v>
        <stp/>
        <stp>EM_S_FA_ASSETSTURN</stp>
        <stp>3</stp>
        <stp>300102</stp>
        <stp>12/31/2018</stp>
        <stp>1</stp>
        <tr r="K3006" s="1"/>
      </tp>
      <tp>
        <v>0.61765511954800001</v>
        <stp/>
        <stp>EM_S_FA_ASSETSTURN</stp>
        <stp>3</stp>
        <stp>600152</stp>
        <stp>12/31/2018</stp>
        <stp>1</stp>
        <tr r="K1376" s="1"/>
      </tp>
      <tp>
        <v>0.78450503982399999</v>
        <stp/>
        <stp>EM_S_FA_ASSETSTURN</stp>
        <stp>3</stp>
        <stp>000032</stp>
        <stp>12/31/2018</stp>
        <stp>1</stp>
        <tr r="K158" s="1"/>
      </tp>
      <tp>
        <v>0.29786348942800001</v>
        <stp/>
        <stp>EM_S_FA_ASSETSTURN</stp>
        <stp>3</stp>
        <stp>300002</stp>
        <stp>12/31/2018</stp>
        <stp>1</stp>
        <tr r="K2398" s="1"/>
      </tp>
      <tp>
        <v>0.13186549554300001</v>
        <stp/>
        <stp>EM_S_FA_ASSETSTURN</stp>
        <stp>3</stp>
        <stp>600052</stp>
        <stp>12/31/2018</stp>
        <stp>1</stp>
        <tr r="K481" s="1"/>
      </tp>
      <tp>
        <v>0.13784636783400001</v>
        <stp/>
        <stp>EM_S_FA_ASSETSTURN</stp>
        <stp>3</stp>
        <stp>000732</stp>
        <stp>12/31/2018</stp>
        <stp>1</stp>
        <tr r="K3385" s="1"/>
      </tp>
      <tp>
        <v>0.61949536093699997</v>
        <stp/>
        <stp>EM_S_FA_ASSETSTURN</stp>
        <stp>3</stp>
        <stp>300702</stp>
        <stp>12/31/2018</stp>
        <stp>1</stp>
        <tr r="K105" s="1"/>
      </tp>
      <tp>
        <v>0</v>
        <stp/>
        <stp>EM_S_FA_ASSETSTURN</stp>
        <stp>3</stp>
        <stp>600752</stp>
        <stp>12/31/2018</stp>
        <stp>1</stp>
        <tr r="K2319" s="1"/>
      </tp>
      <tp>
        <v>0.94636448637699999</v>
        <stp/>
        <stp>EM_S_FA_ASSETSTURN</stp>
        <stp>3</stp>
        <stp>000632</stp>
        <stp>12/31/2018</stp>
        <stp>1</stp>
        <tr r="K438" s="1"/>
      </tp>
      <tp>
        <v>0.79763761919700005</v>
        <stp/>
        <stp>EM_S_FA_ASSETSTURN</stp>
        <stp>3</stp>
        <stp>300602</stp>
        <stp>12/31/2018</stp>
        <stp>1</stp>
        <tr r="K1016" s="1"/>
      </tp>
      <tp>
        <v>5.6295038552999999E-2</v>
        <stp/>
        <stp>EM_S_FA_ASSETSTURN</stp>
        <stp>3</stp>
        <stp>600652</stp>
        <stp>12/31/2018</stp>
        <stp>1</stp>
        <tr r="K3367" s="1"/>
      </tp>
      <tp>
        <v>0.21572418751</v>
        <stp/>
        <stp>EM_S_FA_ASSETSTURN</stp>
        <stp>3</stp>
        <stp>000532</stp>
        <stp>12/31/2018</stp>
        <stp>1</stp>
        <tr r="K1180" s="1"/>
      </tp>
      <tp>
        <v>0.54635474806399997</v>
        <stp/>
        <stp>EM_S_FA_ASSETSTURN</stp>
        <stp>3</stp>
        <stp>300502</stp>
        <stp>12/31/2018</stp>
        <stp>1</stp>
        <tr r="K171" s="1"/>
      </tp>
      <tp>
        <v>0.54012165039100002</v>
        <stp/>
        <stp>EM_S_FA_ASSETSTURN</stp>
        <stp>3</stp>
        <stp>600552</stp>
        <stp>12/31/2018</stp>
        <stp>1</stp>
        <tr r="K420" s="1"/>
      </tp>
      <tp>
        <v>0.51238557590300005</v>
        <stp/>
        <stp>EM_S_FA_ASSETSTURN</stp>
        <stp>3</stp>
        <stp>300402</stp>
        <stp>12/31/2018</stp>
        <stp>1</stp>
        <tr r="K1278" s="1"/>
      </tp>
      <tp>
        <v>0.55318629534399999</v>
        <stp/>
        <stp>EM_S_FA_ASSETSTURN</stp>
        <stp>3</stp>
        <stp>600452</stp>
        <stp>12/31/2018</stp>
        <stp>1</stp>
        <tr r="K1428" s="1"/>
      </tp>
      <tp>
        <v>0.76639724857299996</v>
        <stp/>
        <stp>EM_S_FA_ASSETSTURN</stp>
        <stp>3</stp>
        <stp>002832</stp>
        <stp>12/31/2018</stp>
        <stp>1</stp>
        <tr r="K3123" s="1"/>
      </tp>
      <tp>
        <v>0.68477929549299998</v>
        <stp/>
        <stp>EM_S_FA_ASSETSTURN</stp>
        <stp>3</stp>
        <stp>002332</stp>
        <stp>12/31/2018</stp>
        <stp>1</stp>
        <tr r="K458" s="1"/>
      </tp>
      <tp>
        <v>0.83561851075600002</v>
        <stp/>
        <stp>EM_S_FA_ASSETSTURN</stp>
        <stp>3</stp>
        <stp>002232</stp>
        <stp>12/31/2018</stp>
        <stp>1</stp>
        <tr r="K1004" s="1"/>
      </tp>
      <tp>
        <v>0.50533940209399997</v>
        <stp/>
        <stp>EM_S_FA_ASSETSTURN</stp>
        <stp>3</stp>
        <stp>002132</stp>
        <stp>12/31/2018</stp>
        <stp>1</stp>
        <tr r="K1461" s="1"/>
      </tp>
      <tp>
        <v>1.802717444038</v>
        <stp/>
        <stp>EM_S_FA_ASSETSTURN</stp>
        <stp>3</stp>
        <stp>002032</stp>
        <stp>12/31/2018</stp>
        <stp>1</stp>
        <tr r="K638" s="1"/>
      </tp>
      <tp>
        <v>0.97711172302399996</v>
        <stp/>
        <stp>EM_S_FA_ASSETSTURN</stp>
        <stp>3</stp>
        <stp>002732</stp>
        <stp>12/31/2018</stp>
        <stp>1</stp>
        <tr r="K992" s="1"/>
      </tp>
      <tp>
        <v>0.52595590964799999</v>
        <stp/>
        <stp>EM_S_FA_ASSETSTURN</stp>
        <stp>3</stp>
        <stp>002632</stp>
        <stp>12/31/2018</stp>
        <stp>1</stp>
        <tr r="K1891" s="1"/>
      </tp>
      <tp>
        <v>0.75615814066599996</v>
        <stp/>
        <stp>EM_S_FA_ASSETSTURN</stp>
        <stp>3</stp>
        <stp>002532</stp>
        <stp>12/31/2018</stp>
        <stp>1</stp>
        <tr r="K1275" s="1"/>
      </tp>
      <tp>
        <v>0.28149417932999998</v>
        <stp/>
        <stp>EM_S_FA_ASSETSTURN</stp>
        <stp>3</stp>
        <stp>002432</stp>
        <stp>12/31/2018</stp>
        <stp>1</stp>
        <tr r="K2464" s="1"/>
      </tp>
      <tp>
        <v>0.18292138355103532</v>
        <stp/>
        <stp>EM_S_RATIO_EPS_TTM</stp>
        <stp>3</stp>
        <stp>002185</stp>
        <stp>12/31/2018</stp>
        <stp>1</stp>
        <tr r="U243" s="1"/>
      </tp>
      <tp>
        <v>0.43838715817542107</v>
        <stp/>
        <stp>EM_S_RATIO_EPS_TTM</stp>
        <stp>3</stp>
        <stp>002085</stp>
        <stp>12/31/2018</stp>
        <stp>1</stp>
        <tr r="U2749" s="1"/>
      </tp>
      <tp>
        <v>0.11947018489738023</v>
        <stp/>
        <stp>EM_S_RATIO_EPS_TTM</stp>
        <stp>3</stp>
        <stp>002385</stp>
        <stp>12/31/2018</stp>
        <stp>1</stp>
        <tr r="U707" s="1"/>
      </tp>
      <tp>
        <v>0.20349027965532934</v>
        <stp/>
        <stp>EM_S_RATIO_EPS_TTM</stp>
        <stp>3</stp>
        <stp>002285</stp>
        <stp>12/31/2018</stp>
        <stp>1</stp>
        <tr r="U3147" s="1"/>
      </tp>
      <tp>
        <v>0.27791621927176802</v>
        <stp/>
        <stp>EM_S_RATIO_EPS_TTM</stp>
        <stp>3</stp>
        <stp>002585</stp>
        <stp>12/31/2018</stp>
        <stp>1</stp>
        <tr r="U2748" s="1"/>
      </tp>
      <tp>
        <v>0.23693370700367647</v>
        <stp/>
        <stp>EM_S_RATIO_EPS_TTM</stp>
        <stp>3</stp>
        <stp>002485</stp>
        <stp>12/31/2018</stp>
        <stp>1</stp>
        <tr r="U2666" s="1"/>
      </tp>
      <tp>
        <v>5.1025747649999995E-2</v>
        <stp/>
        <stp>EM_S_RATIO_EPS_TTM</stp>
        <stp>3</stp>
        <stp>002785</stp>
        <stp>12/31/2018</stp>
        <stp>1</stp>
        <tr r="U500" s="1"/>
      </tp>
      <tp>
        <v>0.30549545022518476</v>
        <stp/>
        <stp>EM_S_RATIO_EPS_TTM</stp>
        <stp>3</stp>
        <stp>002685</stp>
        <stp>12/31/2018</stp>
        <stp>1</stp>
        <tr r="U775" s="1"/>
      </tp>
      <tp>
        <v>0.66446225383333324</v>
        <stp/>
        <stp>EM_S_RATIO_EPS_TTM</stp>
        <stp>3</stp>
        <stp>002885</stp>
        <stp>12/31/2018</stp>
        <stp>1</stp>
        <tr r="U3090" s="1"/>
      </tp>
      <tp>
        <v>1.6712362950410477E-2</v>
        <stp/>
        <stp>EM_S_RATIO_EPS_TTM</stp>
        <stp>3</stp>
        <stp>000585</stp>
        <stp>12/31/2018</stp>
        <stp>1</stp>
        <tr r="U3467" s="1"/>
      </tp>
      <tp>
        <v>0.26415863668750461</v>
        <stp/>
        <stp>EM_S_RATIO_EPS_TTM</stp>
        <stp>3</stp>
        <stp>000785</stp>
        <stp>12/31/2018</stp>
        <stp>1</stp>
        <tr r="U560" s="1"/>
      </tp>
      <tp>
        <v>0.46536369132719119</v>
        <stp/>
        <stp>EM_S_RATIO_EPS_TTM</stp>
        <stp>3</stp>
        <stp>000685</stp>
        <stp>12/31/2018</stp>
        <stp>1</stp>
        <tr r="U1353" s="1"/>
      </tp>
      <tp>
        <v>-2.2215645925817363E-2</v>
        <stp/>
        <stp>EM_S_RATIO_EPS_TTM</stp>
        <stp>3</stp>
        <stp>000985</stp>
        <stp>12/31/2018</stp>
        <stp>1</stp>
        <tr r="U3596" s="1"/>
      </tp>
      <tp>
        <v>1.1734794589432147</v>
        <stp/>
        <stp>EM_S_RATIO_EPS_TTM</stp>
        <stp>3</stp>
        <stp>000885</stp>
        <stp>12/31/2018</stp>
        <stp>1</stp>
        <tr r="U3561" s="1"/>
      </tp>
      <tp>
        <v>0.35073825656699997</v>
        <stp/>
        <stp>EM_S_FA_ASSETSTURN</stp>
        <stp>3</stp>
        <stp>000933</stp>
        <stp>12/31/2018</stp>
        <stp>1</stp>
        <tr r="K3581" s="1"/>
      </tp>
      <tp>
        <v>0.85918572803500004</v>
        <stp/>
        <stp>EM_S_FA_ASSETSTURN</stp>
        <stp>3</stp>
        <stp>000833</stp>
        <stp>12/31/2018</stp>
        <stp>1</stp>
        <tr r="K1707" s="1"/>
      </tp>
      <tp>
        <v>0.74636921935</v>
        <stp/>
        <stp>EM_S_FA_ASSETSTURN</stp>
        <stp>3</stp>
        <stp>600853</stp>
        <stp>12/31/2018</stp>
        <stp>1</stp>
        <tr r="K2699" s="1"/>
      </tp>
      <tp>
        <v>1.023116605956</v>
        <stp/>
        <stp>EM_S_FA_ASSETSTURN</stp>
        <stp>3</stp>
        <stp>000333</stp>
        <stp>12/31/2018</stp>
        <stp>1</stp>
        <tr r="K444" s="1"/>
      </tp>
      <tp>
        <v>0.71385403250000001</v>
        <stp/>
        <stp>EM_S_FA_ASSETSTURN</stp>
        <stp>3</stp>
        <stp>300303</stp>
        <stp>12/31/2018</stp>
        <stp>1</stp>
        <tr r="K104" s="1"/>
      </tp>
      <tp>
        <v>0.61736328300999999</v>
        <stp/>
        <stp>EM_S_FA_ASSETSTURN</stp>
        <stp>3</stp>
        <stp>600353</stp>
        <stp>12/31/2018</stp>
        <stp>1</stp>
        <tr r="K716" s="1"/>
      </tp>
      <tp>
        <v>0.53625586302299999</v>
        <stp/>
        <stp>EM_S_FA_ASSETSTURN</stp>
        <stp>3</stp>
        <stp>300203</stp>
        <stp>12/31/2018</stp>
        <stp>1</stp>
        <tr r="K3273" s="1"/>
      </tp>
      <tp>
        <v>0</v>
        <stp/>
        <stp>EM_S_FA_ASSETSTURN</stp>
        <stp>3</stp>
        <stp>600253</stp>
        <stp>12/31/2018</stp>
        <stp>1</stp>
        <tr r="K2296" s="1"/>
      </tp>
      <tp>
        <v>0.22663933566300001</v>
        <stp/>
        <stp>EM_S_FA_ASSETSTURN</stp>
        <stp>3</stp>
        <stp>300103</stp>
        <stp>12/31/2018</stp>
        <stp>1</stp>
        <tr r="K1115" s="1"/>
      </tp>
      <tp>
        <v>1.4277909203879999</v>
        <stp/>
        <stp>EM_S_FA_ASSETSTURN</stp>
        <stp>3</stp>
        <stp>600153</stp>
        <stp>12/31/2018</stp>
        <stp>1</stp>
        <tr r="K1100" s="1"/>
      </tp>
      <tp>
        <v>0</v>
        <stp/>
        <stp>EM_S_FA_ASSETSTURN</stp>
        <stp>3</stp>
        <stp>000033</stp>
        <stp>12/31/2018</stp>
        <stp>1</stp>
        <tr r="K2275" s="1"/>
      </tp>
      <tp>
        <v>0.45558354815300001</v>
        <stp/>
        <stp>EM_S_FA_ASSETSTURN</stp>
        <stp>3</stp>
        <stp>300003</stp>
        <stp>12/31/2018</stp>
        <stp>1</stp>
        <tr r="K508" s="1"/>
      </tp>
      <tp>
        <v>0.15262997090899999</v>
        <stp/>
        <stp>EM_S_FA_ASSETSTURN</stp>
        <stp>3</stp>
        <stp>600053</stp>
        <stp>12/31/2018</stp>
        <stp>1</stp>
        <tr r="K2410" s="1"/>
      </tp>
      <tp>
        <v>0.55792050923000003</v>
        <stp/>
        <stp>EM_S_FA_ASSETSTURN</stp>
        <stp>3</stp>
        <stp>000733</stp>
        <stp>12/31/2018</stp>
        <stp>1</stp>
        <tr r="K3522" s="1"/>
      </tp>
      <tp>
        <v>0.91208301445499995</v>
        <stp/>
        <stp>EM_S_FA_ASSETSTURN</stp>
        <stp>3</stp>
        <stp>300703</stp>
        <stp>12/31/2018</stp>
        <stp>1</stp>
        <tr r="K3050" s="1"/>
      </tp>
      <tp>
        <v>8.5143537927710007</v>
        <stp/>
        <stp>EM_S_FA_ASSETSTURN</stp>
        <stp>3</stp>
        <stp>600753</stp>
        <stp>12/31/2018</stp>
        <stp>1</stp>
        <tr r="K1909" s="1"/>
      </tp>
      <tp>
        <v>0.109144122988</v>
        <stp/>
        <stp>EM_S_FA_ASSETSTURN</stp>
        <stp>3</stp>
        <stp>000633</stp>
        <stp>12/31/2018</stp>
        <stp>1</stp>
        <tr r="K2730" s="1"/>
      </tp>
      <tp>
        <v>0.48226370718299999</v>
        <stp/>
        <stp>EM_S_FA_ASSETSTURN</stp>
        <stp>3</stp>
        <stp>300603</stp>
        <stp>12/31/2018</stp>
        <stp>1</stp>
        <tr r="K3173" s="1"/>
      </tp>
      <tp>
        <v>0.781491429934</v>
        <stp/>
        <stp>EM_S_FA_ASSETSTURN</stp>
        <stp>3</stp>
        <stp>600653</stp>
        <stp>12/31/2018</stp>
        <stp>1</stp>
        <tr r="K1829" s="1"/>
      </tp>
      <tp>
        <v>2.7885899854659999</v>
        <stp/>
        <stp>EM_S_FA_ASSETSTURN</stp>
        <stp>3</stp>
        <stp>000533</stp>
        <stp>12/31/2018</stp>
        <stp>1</stp>
        <tr r="K3445" s="1"/>
      </tp>
      <tp>
        <v>0.350459652738</v>
        <stp/>
        <stp>EM_S_FA_ASSETSTURN</stp>
        <stp>3</stp>
        <stp>300503</stp>
        <stp>12/31/2018</stp>
        <stp>1</stp>
        <tr r="K978" s="1"/>
      </tp>
      <tp>
        <v>0</v>
        <stp/>
        <stp>EM_S_FA_ASSETSTURN</stp>
        <stp>3</stp>
        <stp>600553</stp>
        <stp>12/31/2018</stp>
        <stp>1</stp>
        <tr r="K2304" s="1"/>
      </tp>
      <tp>
        <v>0.48173345876200002</v>
        <stp/>
        <stp>EM_S_FA_ASSETSTURN</stp>
        <stp>3</stp>
        <stp>300403</stp>
        <stp>12/31/2018</stp>
        <stp>1</stp>
        <tr r="K2252" s="1"/>
      </tp>
      <tp>
        <v>0.91031143419500005</v>
        <stp/>
        <stp>EM_S_FA_ASSETSTURN</stp>
        <stp>3</stp>
        <stp>002833</stp>
        <stp>12/31/2018</stp>
        <stp>1</stp>
        <tr r="K1553" s="1"/>
      </tp>
      <tp>
        <v>0.63946565620100004</v>
        <stp/>
        <stp>EM_S_FA_ASSETSTURN</stp>
        <stp>3</stp>
        <stp>002333</stp>
        <stp>12/31/2018</stp>
        <stp>1</stp>
        <tr r="K3105" s="1"/>
      </tp>
      <tp>
        <v>0.63952670723100002</v>
        <stp/>
        <stp>EM_S_FA_ASSETSTURN</stp>
        <stp>3</stp>
        <stp>002233</stp>
        <stp>12/31/2018</stp>
        <stp>1</stp>
        <tr r="K1157" s="1"/>
      </tp>
      <tp>
        <v>0.320762791155</v>
        <stp/>
        <stp>EM_S_FA_ASSETSTURN</stp>
        <stp>3</stp>
        <stp>002133</stp>
        <stp>12/31/2018</stp>
        <stp>1</stp>
        <tr r="K2546" s="1"/>
      </tp>
      <tp>
        <v>0.25100126707100001</v>
        <stp/>
        <stp>EM_S_FA_ASSETSTURN</stp>
        <stp>3</stp>
        <stp>002033</stp>
        <stp>12/31/2018</stp>
        <stp>1</stp>
        <tr r="K3611" s="1"/>
      </tp>
      <tp>
        <v>0.76589579818999998</v>
        <stp/>
        <stp>EM_S_FA_ASSETSTURN</stp>
        <stp>3</stp>
        <stp>002733</stp>
        <stp>12/31/2018</stp>
        <stp>1</stp>
        <tr r="K67" s="1"/>
      </tp>
      <tp>
        <v>0.26251174712600001</v>
        <stp/>
        <stp>EM_S_FA_ASSETSTURN</stp>
        <stp>3</stp>
        <stp>002633</stp>
        <stp>12/31/2018</stp>
        <stp>1</stp>
        <tr r="K2033" s="1"/>
      </tp>
      <tp>
        <v>1.2337499231139999</v>
        <stp/>
        <stp>EM_S_FA_ASSETSTURN</stp>
        <stp>3</stp>
        <stp>002533</stp>
        <stp>12/31/2018</stp>
        <stp>1</stp>
        <tr r="K1582" s="1"/>
      </tp>
      <tp>
        <v>0.39397279151699999</v>
        <stp/>
        <stp>EM_S_FA_ASSETSTURN</stp>
        <stp>3</stp>
        <stp>002433</stp>
        <stp>12/31/2018</stp>
        <stp>1</stp>
        <tr r="K2500" s="1"/>
      </tp>
      <tp>
        <v>-0.66095020825386008</v>
        <stp/>
        <stp>EM_S_RATIO_EPS_TTM</stp>
        <stp>3</stp>
        <stp>002184</stp>
        <stp>12/31/2018</stp>
        <stp>1</stp>
        <tr r="U1608" s="1"/>
      </tp>
      <tp>
        <v>8.2837729975800523E-2</v>
        <stp/>
        <stp>EM_S_RATIO_EPS_TTM</stp>
        <stp>3</stp>
        <stp>002084</stp>
        <stp>12/31/2018</stp>
        <stp>1</stp>
        <tr r="U346" s="1"/>
      </tp>
      <tp>
        <v>0.50484021129536627</v>
        <stp/>
        <stp>EM_S_RATIO_EPS_TTM</stp>
        <stp>3</stp>
        <stp>002384</stp>
        <stp>12/31/2018</stp>
        <stp>1</stp>
        <tr r="U172" s="1"/>
      </tp>
      <tp>
        <v>1.0800981249466884E-2</v>
        <stp/>
        <stp>EM_S_RATIO_EPS_TTM</stp>
        <stp>3</stp>
        <stp>002284</stp>
        <stp>12/31/2018</stp>
        <stp>1</stp>
        <tr r="U1226" s="1"/>
      </tp>
      <tp>
        <v>0.12473535505126343</v>
        <stp/>
        <stp>EM_S_RATIO_EPS_TTM</stp>
        <stp>3</stp>
        <stp>002584</stp>
        <stp>12/31/2018</stp>
        <stp>1</stp>
        <tr r="U2985" s="1"/>
      </tp>
      <tp>
        <v>0.29875076240827053</v>
        <stp/>
        <stp>EM_S_RATIO_EPS_TTM</stp>
        <stp>3</stp>
        <stp>002484</stp>
        <stp>12/31/2018</stp>
        <stp>1</stp>
        <tr r="U965" s="1"/>
      </tp>
      <tp>
        <v>-4.8795435077525147</v>
        <stp/>
        <stp>EM_S_RATIO_EPS_TTM</stp>
        <stp>3</stp>
        <stp>002684</stp>
        <stp>12/31/2018</stp>
        <stp>1</stp>
        <tr r="U2556" s="1"/>
      </tp>
      <tp>
        <v>1.8004667962598426</v>
        <stp/>
        <stp>EM_S_RATIO_EPS_TTM</stp>
        <stp>3</stp>
        <stp>002884</stp>
        <stp>12/31/2018</stp>
        <stp>1</stp>
        <tr r="U3180" s="1"/>
      </tp>
      <tp>
        <v>0.19622411206805213</v>
        <stp/>
        <stp>EM_S_RATIO_EPS_TTM</stp>
        <stp>3</stp>
        <stp>000584</stp>
        <stp>12/31/2018</stp>
        <stp>1</stp>
        <tr r="U2403" s="1"/>
      </tp>
      <tp>
        <v>1.3492064853750001</v>
        <stp/>
        <stp>EM_S_FA_ASSETSTURN</stp>
        <stp>3</stp>
        <stp>000930</stp>
        <stp>12/31/2018</stp>
        <stp>1</stp>
        <tr r="K2797" s="1"/>
      </tp>
      <tp>
        <v>0.76617575062800003</v>
        <stp/>
        <stp>EM_S_FA_ASSETSTURN</stp>
        <stp>3</stp>
        <stp>000830</stp>
        <stp>12/31/2018</stp>
        <stp>1</stp>
        <tr r="K2036" s="1"/>
      </tp>
      <tp>
        <v>1.2243945661269999</v>
        <stp/>
        <stp>EM_S_FA_ASSETSTURN</stp>
        <stp>3</stp>
        <stp>600850</stp>
        <stp>12/31/2018</stp>
        <stp>1</stp>
        <tr r="K441" s="1"/>
      </tp>
      <tp>
        <v>0.17578824416399999</v>
        <stp/>
        <stp>EM_S_FA_ASSETSTURN</stp>
        <stp>3</stp>
        <stp>300300</stp>
        <stp>12/31/2018</stp>
        <stp>1</stp>
        <tr r="K2824" s="1"/>
      </tp>
      <tp>
        <v>0.11435138220299999</v>
        <stp/>
        <stp>EM_S_FA_ASSETSTURN</stp>
        <stp>3</stp>
        <stp>600350</stp>
        <stp>12/31/2018</stp>
        <stp>1</stp>
        <tr r="K1896" s="1"/>
      </tp>
      <tp>
        <v>0.58098645795699999</v>
        <stp/>
        <stp>EM_S_FA_ASSETSTURN</stp>
        <stp>3</stp>
        <stp>300200</stp>
        <stp>12/31/2018</stp>
        <stp>1</stp>
        <tr r="K246" s="1"/>
      </tp>
      <tp>
        <v>0.56550665011599999</v>
        <stp/>
        <stp>EM_S_FA_ASSETSTURN</stp>
        <stp>3</stp>
        <stp>600250</stp>
        <stp>12/31/2018</stp>
        <stp>1</stp>
        <tr r="K3043" s="1"/>
      </tp>
      <tp>
        <v>0.70561925897199995</v>
        <stp/>
        <stp>EM_S_FA_ASSETSTURN</stp>
        <stp>3</stp>
        <stp>300100</stp>
        <stp>12/31/2018</stp>
        <stp>1</stp>
        <tr r="K3326" s="1"/>
      </tp>
      <tp>
        <v>0.34653400150699998</v>
        <stp/>
        <stp>EM_S_FA_ASSETSTURN</stp>
        <stp>3</stp>
        <stp>600150</stp>
        <stp>12/31/2018</stp>
        <stp>1</stp>
        <tr r="K395" s="1"/>
      </tp>
      <tp>
        <v>0.71236201155300005</v>
        <stp/>
        <stp>EM_S_FA_ASSETSTURN</stp>
        <stp>3</stp>
        <stp>000030</stp>
        <stp>12/31/2018</stp>
        <stp>1</stp>
        <tr r="K883" s="1"/>
      </tp>
      <tp>
        <v>0.52157448672200002</v>
        <stp/>
        <stp>EM_S_FA_ASSETSTURN</stp>
        <stp>3</stp>
        <stp>600050</stp>
        <stp>12/31/2018</stp>
        <stp>1</stp>
        <tr r="K1536" s="1"/>
      </tp>
      <tp>
        <v>1.1241401280400001</v>
        <stp/>
        <stp>EM_S_FA_ASSETSTURN</stp>
        <stp>3</stp>
        <stp>000730</stp>
        <stp>12/31/2018</stp>
        <stp>1</stp>
        <tr r="K2278" s="1"/>
      </tp>
      <tp>
        <v>0.329805045134</v>
        <stp/>
        <stp>EM_S_FA_ASSETSTURN</stp>
        <stp>3</stp>
        <stp>300700</stp>
        <stp>12/31/2018</stp>
        <stp>1</stp>
        <tr r="K3042" s="1"/>
      </tp>
      <tp>
        <v>0.48884860407800002</v>
        <stp/>
        <stp>EM_S_FA_ASSETSTURN</stp>
        <stp>3</stp>
        <stp>600750</stp>
        <stp>12/31/2018</stp>
        <stp>1</stp>
        <tr r="K3185" s="1"/>
      </tp>
      <tp>
        <v>1.784962291042</v>
        <stp/>
        <stp>EM_S_FA_ASSETSTURN</stp>
        <stp>3</stp>
        <stp>000630</stp>
        <stp>12/31/2018</stp>
        <stp>1</stp>
        <tr r="K1285" s="1"/>
      </tp>
      <tp>
        <v>0.41473961208900001</v>
        <stp/>
        <stp>EM_S_FA_ASSETSTURN</stp>
        <stp>3</stp>
        <stp>300600</stp>
        <stp>12/31/2018</stp>
        <stp>1</stp>
        <tr r="K3297" s="1"/>
      </tp>
      <tp>
        <v>0.53796365375999999</v>
        <stp/>
        <stp>EM_S_FA_ASSETSTURN</stp>
        <stp>3</stp>
        <stp>600650</stp>
        <stp>12/31/2018</stp>
        <stp>1</stp>
        <tr r="K1878" s="1"/>
      </tp>
      <tp>
        <v>0.351462641779</v>
        <stp/>
        <stp>EM_S_FA_ASSETSTURN</stp>
        <stp>3</stp>
        <stp>000530</stp>
        <stp>12/31/2018</stp>
        <stp>1</stp>
        <tr r="K3444" s="1"/>
      </tp>
      <tp>
        <v>0.665432640086</v>
        <stp/>
        <stp>EM_S_FA_ASSETSTURN</stp>
        <stp>3</stp>
        <stp>300500</stp>
        <stp>12/31/2018</stp>
        <stp>1</stp>
        <tr r="K3235" s="1"/>
      </tp>
      <tp>
        <v>0.389359295258</v>
        <stp/>
        <stp>EM_S_FA_ASSETSTURN</stp>
        <stp>3</stp>
        <stp>600550</stp>
        <stp>12/31/2018</stp>
        <stp>1</stp>
        <tr r="K2983" s="1"/>
      </tp>
      <tp>
        <v>0.193863993805</v>
        <stp/>
        <stp>EM_S_FA_ASSETSTURN</stp>
        <stp>3</stp>
        <stp>000430</stp>
        <stp>12/31/2018</stp>
        <stp>1</stp>
        <tr r="K3426" s="1"/>
      </tp>
      <tp>
        <v>0.71047780610099998</v>
        <stp/>
        <stp>EM_S_FA_ASSETSTURN</stp>
        <stp>3</stp>
        <stp>300400</stp>
        <stp>12/31/2018</stp>
        <stp>1</stp>
        <tr r="K2511" s="1"/>
      </tp>
      <tp>
        <v>0.666972713188</v>
        <stp/>
        <stp>EM_S_FA_ASSETSTURN</stp>
        <stp>3</stp>
        <stp>603050</stp>
        <stp>12/31/2018</stp>
        <stp>1</stp>
        <tr r="K2950" s="1"/>
      </tp>
      <tp>
        <v>0.86237530031099996</v>
        <stp/>
        <stp>EM_S_FA_ASSETSTURN</stp>
        <stp>3</stp>
        <stp>603650</stp>
        <stp>12/31/2018</stp>
        <stp>1</stp>
        <tr r="K2848" s="1"/>
      </tp>
      <tp>
        <v>0.16752374658499999</v>
        <stp/>
        <stp>EM_S_FA_ASSETSTURN</stp>
        <stp>3</stp>
        <stp>002930</stp>
        <stp>12/31/2018</stp>
        <stp>1</stp>
        <tr r="K3331" s="1"/>
      </tp>
      <tp>
        <v>0.66027531995300004</v>
        <stp/>
        <stp>EM_S_FA_ASSETSTURN</stp>
        <stp>3</stp>
        <stp>002830</stp>
        <stp>12/31/2018</stp>
        <stp>1</stp>
        <tr r="K2632" s="1"/>
      </tp>
      <tp>
        <v>1.166042292744</v>
        <stp/>
        <stp>EM_S_FA_ASSETSTURN</stp>
        <stp>3</stp>
        <stp>002330</stp>
        <stp>12/31/2018</stp>
        <stp>1</stp>
        <tr r="K253" s="1"/>
      </tp>
      <tp>
        <v>0.55282226054000005</v>
        <stp/>
        <stp>EM_S_FA_ASSETSTURN</stp>
        <stp>3</stp>
        <stp>002230</stp>
        <stp>12/31/2018</stp>
        <stp>1</stp>
        <tr r="K734" s="1"/>
      </tp>
      <tp>
        <v>0.55698044902499999</v>
        <stp/>
        <stp>EM_S_FA_ASSETSTURN</stp>
        <stp>3</stp>
        <stp>002130</stp>
        <stp>12/31/2018</stp>
        <stp>1</stp>
        <tr r="K517" s="1"/>
      </tp>
      <tp>
        <v>0.35608466469200001</v>
        <stp/>
        <stp>EM_S_FA_ASSETSTURN</stp>
        <stp>3</stp>
        <stp>002030</stp>
        <stp>12/31/2018</stp>
        <stp>1</stp>
        <tr r="K3610" s="1"/>
      </tp>
      <tp>
        <v>0.56889883062900004</v>
        <stp/>
        <stp>EM_S_FA_ASSETSTURN</stp>
        <stp>3</stp>
        <stp>002730</stp>
        <stp>12/31/2018</stp>
        <stp>1</stp>
        <tr r="K1216" s="1"/>
      </tp>
      <tp>
        <v>0.25190762513600001</v>
        <stp/>
        <stp>EM_S_FA_ASSETSTURN</stp>
        <stp>3</stp>
        <stp>002630</stp>
        <stp>12/31/2018</stp>
        <stp>1</stp>
        <tr r="K2954" s="1"/>
      </tp>
      <tp>
        <v>0.25328903617999998</v>
        <stp/>
        <stp>EM_S_FA_ASSETSTURN</stp>
        <stp>3</stp>
        <stp>002530</stp>
        <stp>12/31/2018</stp>
        <stp>1</stp>
        <tr r="K250" s="1"/>
      </tp>
      <tp>
        <v>0.70433306553899999</v>
        <stp/>
        <stp>EM_S_FA_ASSETSTURN</stp>
        <stp>3</stp>
        <stp>002430</stp>
        <stp>12/31/2018</stp>
        <stp>1</stp>
        <tr r="K751" s="1"/>
      </tp>
      <tp>
        <v>0.58725647536759318</v>
        <stp/>
        <stp>EM_S_RATIO_EPS_TTM</stp>
        <stp>3</stp>
        <stp>002187</stp>
        <stp>12/31/2018</stp>
        <stp>1</stp>
        <tr r="U1956" s="1"/>
      </tp>
      <tp>
        <v>0.47314775841338319</v>
        <stp/>
        <stp>EM_S_RATIO_EPS_TTM</stp>
        <stp>3</stp>
        <stp>002087</stp>
        <stp>12/31/2018</stp>
        <stp>1</stp>
        <tr r="U2227" s="1"/>
      </tp>
      <tp>
        <v>2.5327479309549174E-2</v>
        <stp/>
        <stp>EM_S_RATIO_EPS_TTM</stp>
        <stp>3</stp>
        <stp>002387</stp>
        <stp>12/31/2018</stp>
        <stp>1</stp>
        <tr r="U135" s="1"/>
      </tp>
      <tp>
        <v>0.78514039884236453</v>
        <stp/>
        <stp>EM_S_RATIO_EPS_TTM</stp>
        <stp>3</stp>
        <stp>002287</stp>
        <stp>12/31/2018</stp>
        <stp>1</stp>
        <tr r="U2908" s="1"/>
      </tp>
      <tp>
        <v>0.29014536198918001</v>
        <stp/>
        <stp>EM_S_RATIO_EPS_TTM</stp>
        <stp>3</stp>
        <stp>002587</stp>
        <stp>12/31/2018</stp>
        <stp>1</stp>
        <tr r="U422" s="1"/>
      </tp>
      <tp>
        <v>0.11362901923216226</v>
        <stp/>
        <stp>EM_S_RATIO_EPS_TTM</stp>
        <stp>3</stp>
        <stp>002487</stp>
        <stp>12/31/2018</stp>
        <stp>1</stp>
        <tr r="U525" s="1"/>
      </tp>
      <tp>
        <v>0.17460032525969521</v>
        <stp/>
        <stp>EM_S_RATIO_EPS_TTM</stp>
        <stp>3</stp>
        <stp>002787</stp>
        <stp>12/31/2018</stp>
        <stp>1</stp>
        <tr r="U1847" s="1"/>
      </tp>
      <tp>
        <v>0.31838164302300681</v>
        <stp/>
        <stp>EM_S_RATIO_EPS_TTM</stp>
        <stp>3</stp>
        <stp>002687</stp>
        <stp>12/31/2018</stp>
        <stp>1</stp>
        <tr r="U2607" s="1"/>
      </tp>
      <tp>
        <v>0.95406434562500009</v>
        <stp/>
        <stp>EM_S_RATIO_EPS_TTM</stp>
        <stp>3</stp>
        <stp>002887</stp>
        <stp>12/31/2018</stp>
        <stp>1</stp>
        <tr r="U2528" s="1"/>
      </tp>
      <tp>
        <v>-1.3405800896897753</v>
        <stp/>
        <stp>EM_S_RATIO_EPS_TTM</stp>
        <stp>3</stp>
        <stp>000587</stp>
        <stp>12/31/2018</stp>
        <stp>1</stp>
        <tr r="U3469" s="1"/>
      </tp>
      <tp>
        <v>9.9044457532084657E-2</v>
        <stp/>
        <stp>EM_S_RATIO_EPS_TTM</stp>
        <stp>3</stp>
        <stp>000787</stp>
        <stp>12/31/2018</stp>
        <stp>1</stp>
        <tr r="U3538" s="1"/>
      </tp>
      <tp>
        <v>-0.63734182304108988</v>
        <stp/>
        <stp>EM_S_RATIO_EPS_TTM</stp>
        <stp>3</stp>
        <stp>000687</stp>
        <stp>12/31/2018</stp>
        <stp>1</stp>
        <tr r="U3509" s="1"/>
      </tp>
      <tp>
        <v>0.16345936321749849</v>
        <stp/>
        <stp>EM_S_RATIO_EPS_TTM</stp>
        <stp>3</stp>
        <stp>000987</stp>
        <stp>12/31/2018</stp>
        <stp>1</stp>
        <tr r="U3597" s="1"/>
      </tp>
      <tp>
        <v>0.91450224155263438</v>
        <stp/>
        <stp>EM_S_RATIO_EPS_TTM</stp>
        <stp>3</stp>
        <stp>000887</stp>
        <stp>12/31/2018</stp>
        <stp>1</stp>
        <tr r="U2794" s="1"/>
      </tp>
      <tp>
        <v>0.49424677714699999</v>
        <stp/>
        <stp>EM_S_FA_ASSETSTURN</stp>
        <stp>3</stp>
        <stp>000931</stp>
        <stp>12/31/2018</stp>
        <stp>1</stp>
        <tr r="K720" s="1"/>
      </tp>
      <tp>
        <v>0.40582195881400002</v>
        <stp/>
        <stp>EM_S_FA_ASSETSTURN</stp>
        <stp>3</stp>
        <stp>000831</stp>
        <stp>12/31/2018</stp>
        <stp>1</stp>
        <tr r="K465" s="1"/>
      </tp>
      <tp>
        <v>0.23372138841500001</v>
        <stp/>
        <stp>EM_S_FA_ASSETSTURN</stp>
        <stp>3</stp>
        <stp>600851</stp>
        <stp>12/31/2018</stp>
        <stp>1</stp>
        <tr r="K1652" s="1"/>
      </tp>
      <tp>
        <v>0.431356509976</v>
        <stp/>
        <stp>EM_S_FA_ASSETSTURN</stp>
        <stp>3</stp>
        <stp>300301</stp>
        <stp>12/31/2018</stp>
        <stp>1</stp>
        <tr r="K2067" s="1"/>
      </tp>
      <tp>
        <v>0.63472634595599997</v>
        <stp/>
        <stp>EM_S_FA_ASSETSTURN</stp>
        <stp>3</stp>
        <stp>600351</stp>
        <stp>12/31/2018</stp>
        <stp>1</stp>
        <tr r="K2200" s="1"/>
      </tp>
      <tp>
        <v>0.60095754856700001</v>
        <stp/>
        <stp>EM_S_FA_ASSETSTURN</stp>
        <stp>3</stp>
        <stp>300201</stp>
        <stp>12/31/2018</stp>
        <stp>1</stp>
        <tr r="K2087" s="1"/>
      </tp>
      <tp>
        <v>0.386329003467</v>
        <stp/>
        <stp>EM_S_FA_ASSETSTURN</stp>
        <stp>3</stp>
        <stp>600251</stp>
        <stp>12/31/2018</stp>
        <stp>1</stp>
        <tr r="K1731" s="1"/>
      </tp>
      <tp>
        <v>0.31425700892399999</v>
        <stp/>
        <stp>EM_S_FA_ASSETSTURN</stp>
        <stp>3</stp>
        <stp>300101</stp>
        <stp>12/31/2018</stp>
        <stp>1</stp>
        <tr r="K2605" s="1"/>
      </tp>
      <tp>
        <v>0.54566498178699996</v>
        <stp/>
        <stp>EM_S_FA_ASSETSTURN</stp>
        <stp>3</stp>
        <stp>600151</stp>
        <stp>12/31/2018</stp>
        <stp>1</stp>
        <tr r="K1268" s="1"/>
      </tp>
      <tp>
        <v>0.16917429968799999</v>
        <stp/>
        <stp>EM_S_FA_ASSETSTURN</stp>
        <stp>3</stp>
        <stp>000031</stp>
        <stp>12/31/2018</stp>
        <stp>1</stp>
        <tr r="K569" s="1"/>
      </tp>
      <tp>
        <v>0.46053803989699998</v>
        <stp/>
        <stp>EM_S_FA_ASSETSTURN</stp>
        <stp>3</stp>
        <stp>300001</stp>
        <stp>12/31/2018</stp>
        <stp>1</stp>
        <tr r="K2358" s="1"/>
      </tp>
      <tp>
        <v>0.60310531021699998</v>
        <stp/>
        <stp>EM_S_FA_ASSETSTURN</stp>
        <stp>3</stp>
        <stp>600051</stp>
        <stp>12/31/2018</stp>
        <stp>1</stp>
        <tr r="K1703" s="1"/>
      </tp>
      <tp>
        <v>0.61950997218799997</v>
        <stp/>
        <stp>EM_S_FA_ASSETSTURN</stp>
        <stp>3</stp>
        <stp>000731</stp>
        <stp>12/31/2018</stp>
        <stp>1</stp>
        <tr r="K2107" s="1"/>
      </tp>
      <tp>
        <v>0.38128785112199998</v>
        <stp/>
        <stp>EM_S_FA_ASSETSTURN</stp>
        <stp>3</stp>
        <stp>300701</stp>
        <stp>12/31/2018</stp>
        <stp>1</stp>
        <tr r="K2221" s="1"/>
      </tp>
      <tp>
        <v>2.6725655347239998</v>
        <stp/>
        <stp>EM_S_FA_ASSETSTURN</stp>
        <stp>3</stp>
        <stp>600751</stp>
        <stp>12/31/2018</stp>
        <stp>1</stp>
        <tr r="K1828" s="1"/>
      </tp>
      <tp>
        <v>0.20634742278000001</v>
        <stp/>
        <stp>EM_S_FA_ASSETSTURN</stp>
        <stp>3</stp>
        <stp>000631</stp>
        <stp>12/31/2018</stp>
        <stp>1</stp>
        <tr r="K3490" s="1"/>
      </tp>
      <tp>
        <v>0.72718429901399995</v>
        <stp/>
        <stp>EM_S_FA_ASSETSTURN</stp>
        <stp>3</stp>
        <stp>300601</stp>
        <stp>12/31/2018</stp>
        <stp>1</stp>
        <tr r="K93" s="1"/>
      </tp>
      <tp>
        <v>0.23893874642999999</v>
        <stp/>
        <stp>EM_S_FA_ASSETSTURN</stp>
        <stp>3</stp>
        <stp>600651</stp>
        <stp>12/31/2018</stp>
        <stp>1</stp>
        <tr r="K810" s="1"/>
      </tp>
      <tp>
        <v>0.31984753080799999</v>
        <stp/>
        <stp>EM_S_FA_ASSETSTURN</stp>
        <stp>3</stp>
        <stp>000531</stp>
        <stp>12/31/2018</stp>
        <stp>1</stp>
        <tr r="K806" s="1"/>
      </tp>
      <tp>
        <v>0.61390659744200005</v>
        <stp/>
        <stp>EM_S_FA_ASSETSTURN</stp>
        <stp>3</stp>
        <stp>300501</stp>
        <stp>12/31/2018</stp>
        <stp>1</stp>
        <tr r="K3206" s="1"/>
      </tp>
      <tp>
        <v>0.951827305362</v>
        <stp/>
        <stp>EM_S_FA_ASSETSTURN</stp>
        <stp>3</stp>
        <stp>600551</stp>
        <stp>12/31/2018</stp>
        <stp>1</stp>
        <tr r="K2574" s="1"/>
      </tp>
      <tp>
        <v>0.43419169790000001</v>
        <stp/>
        <stp>EM_S_FA_ASSETSTURN</stp>
        <stp>3</stp>
        <stp>300401</stp>
        <stp>12/31/2018</stp>
        <stp>1</stp>
        <tr r="K2232" s="1"/>
      </tp>
      <tp>
        <v>0.66076403426399999</v>
        <stp/>
        <stp>EM_S_FA_ASSETSTURN</stp>
        <stp>3</stp>
        <stp>002931</stp>
        <stp>12/31/2018</stp>
        <stp>1</stp>
        <tr r="K2638" s="1"/>
      </tp>
      <tp>
        <v>0.85554338429599996</v>
        <stp/>
        <stp>EM_S_FA_ASSETSTURN</stp>
        <stp>3</stp>
        <stp>002831</stp>
        <stp>12/31/2018</stp>
        <stp>1</stp>
        <tr r="K3252" s="1"/>
      </tp>
      <tp>
        <v>0.512959736753</v>
        <stp/>
        <stp>EM_S_FA_ASSETSTURN</stp>
        <stp>3</stp>
        <stp>002331</stp>
        <stp>12/31/2018</stp>
        <stp>1</stp>
        <tr r="K1715" s="1"/>
      </tp>
      <tp>
        <v>0.27971537400399998</v>
        <stp/>
        <stp>EM_S_FA_ASSETSTURN</stp>
        <stp>3</stp>
        <stp>002231</stp>
        <stp>12/31/2018</stp>
        <stp>1</stp>
        <tr r="K2167" s="1"/>
      </tp>
      <tp>
        <v>0.89030359922299995</v>
        <stp/>
        <stp>EM_S_FA_ASSETSTURN</stp>
        <stp>3</stp>
        <stp>002131</stp>
        <stp>12/31/2018</stp>
        <stp>1</stp>
        <tr r="K178" s="1"/>
      </tp>
      <tp>
        <v>0.19859593363399999</v>
        <stp/>
        <stp>EM_S_FA_ASSETSTURN</stp>
        <stp>3</stp>
        <stp>002031</stp>
        <stp>12/31/2018</stp>
        <stp>1</stp>
        <tr r="K1994" s="1"/>
      </tp>
      <tp>
        <v>0.94850735851500001</v>
        <stp/>
        <stp>EM_S_FA_ASSETSTURN</stp>
        <stp>3</stp>
        <stp>002731</stp>
        <stp>12/31/2018</stp>
        <stp>1</stp>
        <tr r="K3386" s="1"/>
      </tp>
      <tp>
        <v>0.73545165830299997</v>
        <stp/>
        <stp>EM_S_FA_ASSETSTURN</stp>
        <stp>3</stp>
        <stp>002631</stp>
        <stp>12/31/2018</stp>
        <stp>1</stp>
        <tr r="K1082" s="1"/>
      </tp>
      <tp>
        <v>0.335884249862</v>
        <stp/>
        <stp>EM_S_FA_ASSETSTURN</stp>
        <stp>3</stp>
        <stp>002531</stp>
        <stp>12/31/2018</stp>
        <stp>1</stp>
        <tr r="K787" s="1"/>
      </tp>
      <tp>
        <v>0.31989208831400001</v>
        <stp/>
        <stp>EM_S_FA_ASSETSTURN</stp>
        <stp>3</stp>
        <stp>002431</stp>
        <stp>12/31/2018</stp>
        <stp>1</stp>
        <tr r="K2936" s="1"/>
      </tp>
      <tp>
        <v>0.23679329622159581</v>
        <stp/>
        <stp>EM_S_RATIO_EPS_TTM</stp>
        <stp>3</stp>
        <stp>002186</stp>
        <stp>12/31/2018</stp>
        <stp>1</stp>
        <tr r="U2772" s="1"/>
      </tp>
      <tp>
        <v>-1.0420454123091163</v>
        <stp/>
        <stp>EM_S_RATIO_EPS_TTM</stp>
        <stp>3</stp>
        <stp>002086</stp>
        <stp>12/31/2018</stp>
        <stp>1</stp>
        <tr r="U3629" s="1"/>
      </tp>
      <tp>
        <v>0.19873513667867826</v>
        <stp/>
        <stp>EM_S_RATIO_EPS_TTM</stp>
        <stp>3</stp>
        <stp>002386</stp>
        <stp>12/31/2018</stp>
        <stp>1</stp>
        <tr r="U1776" s="1"/>
      </tp>
      <tp>
        <v>0.11632307946248674</v>
        <stp/>
        <stp>EM_S_RATIO_EPS_TTM</stp>
        <stp>3</stp>
        <stp>002286</stp>
        <stp>12/31/2018</stp>
        <stp>1</stp>
        <tr r="U1755" s="1"/>
      </tp>
      <tp>
        <v>0.22103050273785882</v>
        <stp/>
        <stp>EM_S_RATIO_EPS_TTM</stp>
        <stp>3</stp>
        <stp>002586</stp>
        <stp>12/31/2018</stp>
        <stp>1</stp>
        <tr r="U3213" s="1"/>
      </tp>
      <tp>
        <v>2.112821111778846E-2</v>
        <stp/>
        <stp>EM_S_RATIO_EPS_TTM</stp>
        <stp>3</stp>
        <stp>002486</stp>
        <stp>12/31/2018</stp>
        <stp>1</stp>
        <tr r="U2922" s="1"/>
      </tp>
      <tp>
        <v>0.10928269837897388</v>
        <stp/>
        <stp>EM_S_RATIO_EPS_TTM</stp>
        <stp>3</stp>
        <stp>002786</stp>
        <stp>12/31/2018</stp>
        <stp>1</stp>
        <tr r="U785" s="1"/>
      </tp>
      <tp>
        <v>5.809617900412449E-2</v>
        <stp/>
        <stp>EM_S_RATIO_EPS_TTM</stp>
        <stp>3</stp>
        <stp>002686</stp>
        <stp>12/31/2018</stp>
        <stp>1</stp>
        <tr r="U2783" s="1"/>
      </tp>
      <tp>
        <v>0.29790469891986426</v>
        <stp/>
        <stp>EM_S_RATIO_EPS_TTM</stp>
        <stp>3</stp>
        <stp>002886</stp>
        <stp>12/31/2018</stp>
        <stp>1</stp>
        <tr r="U774" s="1"/>
      </tp>
      <tp>
        <v>-1.4976131048387097E-2</v>
        <stp/>
        <stp>EM_S_RATIO_EPS_TTM</stp>
        <stp>3</stp>
        <stp>000586</stp>
        <stp>12/31/2018</stp>
        <stp>1</stp>
        <tr r="U3468" s="1"/>
      </tp>
      <tp>
        <v>1.4595849436962838</v>
        <stp/>
        <stp>EM_S_RATIO_EPS_TTM</stp>
        <stp>3</stp>
        <stp>000786</stp>
        <stp>12/31/2018</stp>
        <stp>1</stp>
        <tr r="U216" s="1"/>
      </tp>
      <tp>
        <v>0.1287584016233029</v>
        <stp/>
        <stp>EM_S_RATIO_EPS_TTM</stp>
        <stp>3</stp>
        <stp>000686</stp>
        <stp>12/31/2018</stp>
        <stp>1</stp>
        <tr r="U3508" s="1"/>
      </tp>
      <tp>
        <v>0.16795983083210705</v>
        <stp/>
        <stp>EM_S_RATIO_EPS_TTM</stp>
        <stp>3</stp>
        <stp>000886</stp>
        <stp>12/31/2018</stp>
        <stp>1</stp>
        <tr r="U3562" s="1"/>
      </tp>
      <tp>
        <v>0.25310683219000002</v>
        <stp/>
        <stp>EM_S_FA_ASSETSTURN</stp>
        <stp>3</stp>
        <stp>000936</stp>
        <stp>12/31/2018</stp>
        <stp>1</stp>
        <tr r="K953" s="1"/>
      </tp>
      <tp>
        <v>0.93245254653499998</v>
        <stp/>
        <stp>EM_S_FA_ASSETSTURN</stp>
        <stp>3</stp>
        <stp>000836</stp>
        <stp>12/31/2018</stp>
        <stp>1</stp>
        <tr r="K2534" s="1"/>
      </tp>
      <tp>
        <v>0.217629346715</v>
        <stp/>
        <stp>EM_S_FA_ASSETSTURN</stp>
        <stp>3</stp>
        <stp>600856</stp>
        <stp>12/31/2018</stp>
        <stp>1</stp>
        <tr r="K3278" s="1"/>
      </tp>
      <tp>
        <v>0.21761576720299999</v>
        <stp/>
        <stp>EM_S_FA_ASSETSTURN</stp>
        <stp>3</stp>
        <stp>300306</stp>
        <stp>12/31/2018</stp>
        <stp>1</stp>
        <tr r="K300" s="1"/>
      </tp>
      <tp>
        <v>0.59129968030699998</v>
        <stp/>
        <stp>EM_S_FA_ASSETSTURN</stp>
        <stp>3</stp>
        <stp>600356</stp>
        <stp>12/31/2018</stp>
        <stp>1</stp>
        <tr r="K712" s="1"/>
      </tp>
      <tp>
        <v>0.69210768838900005</v>
        <stp/>
        <stp>EM_S_FA_ASSETSTURN</stp>
        <stp>3</stp>
        <stp>300206</stp>
        <stp>12/31/2018</stp>
        <stp>1</stp>
        <tr r="K1176" s="1"/>
      </tp>
      <tp>
        <v>0.27708612736499999</v>
        <stp/>
        <stp>EM_S_FA_ASSETSTURN</stp>
        <stp>3</stp>
        <stp>600256</stp>
        <stp>12/31/2018</stp>
        <stp>1</stp>
        <tr r="K2837" s="1"/>
      </tp>
      <tp>
        <v>0.38075376002599998</v>
        <stp/>
        <stp>EM_S_FA_ASSETSTURN</stp>
        <stp>3</stp>
        <stp>300106</stp>
        <stp>12/31/2018</stp>
        <stp>1</stp>
        <tr r="K1125" s="1"/>
      </tp>
      <tp>
        <v>0.97789820936500005</v>
        <stp/>
        <stp>EM_S_FA_ASSETSTURN</stp>
        <stp>3</stp>
        <stp>600156</stp>
        <stp>12/31/2018</stp>
        <stp>1</stp>
        <tr r="K1708" s="1"/>
      </tp>
      <tp>
        <v>0.34005944527999998</v>
        <stp/>
        <stp>EM_S_FA_ASSETSTURN</stp>
        <stp>3</stp>
        <stp>000036</stp>
        <stp>12/31/2018</stp>
        <stp>1</stp>
        <tr r="K3122" s="1"/>
      </tp>
      <tp>
        <v>0.53131581612599998</v>
        <stp/>
        <stp>EM_S_FA_ASSETSTURN</stp>
        <stp>3</stp>
        <stp>300006</stp>
        <stp>12/31/2018</stp>
        <stp>1</stp>
        <tr r="K461" s="1"/>
      </tp>
      <tp>
        <v>1.332726634101</v>
        <stp/>
        <stp>EM_S_FA_ASSETSTURN</stp>
        <stp>3</stp>
        <stp>600056</stp>
        <stp>12/31/2018</stp>
        <stp>1</stp>
        <tr r="K2165" s="1"/>
      </tp>
      <tp>
        <v>0.245298626559</v>
        <stp/>
        <stp>EM_S_FA_ASSETSTURN</stp>
        <stp>3</stp>
        <stp>000736</stp>
        <stp>12/31/2018</stp>
        <stp>1</stp>
        <tr r="K2610" s="1"/>
      </tp>
      <tp>
        <v>0.43955702593099999</v>
        <stp/>
        <stp>EM_S_FA_ASSETSTURN</stp>
        <stp>3</stp>
        <stp>300706</stp>
        <stp>12/31/2018</stp>
        <stp>1</stp>
        <tr r="K1440" s="1"/>
      </tp>
      <tp>
        <v>0.40119233262699999</v>
        <stp/>
        <stp>EM_S_FA_ASSETSTURN</stp>
        <stp>3</stp>
        <stp>600756</stp>
        <stp>12/31/2018</stp>
        <stp>1</stp>
        <tr r="K829" s="1"/>
      </tp>
      <tp>
        <v>0.68503313060799997</v>
        <stp/>
        <stp>EM_S_FA_ASSETSTURN</stp>
        <stp>3</stp>
        <stp>000636</stp>
        <stp>12/31/2018</stp>
        <stp>1</stp>
        <tr r="K714" s="1"/>
      </tp>
      <tp>
        <v>0.58785207407200002</v>
        <stp/>
        <stp>EM_S_FA_ASSETSTURN</stp>
        <stp>3</stp>
        <stp>300606</stp>
        <stp>12/31/2018</stp>
        <stp>1</stp>
        <tr r="K1432" s="1"/>
      </tp>
      <tp>
        <v>0</v>
        <stp/>
        <stp>EM_S_FA_ASSETSTURN</stp>
        <stp>3</stp>
        <stp>600656</stp>
        <stp>12/31/2018</stp>
        <stp>1</stp>
        <tr r="K2312" s="1"/>
      </tp>
      <tp>
        <v>0.22527943345500001</v>
        <stp/>
        <stp>EM_S_FA_ASSETSTURN</stp>
        <stp>3</stp>
        <stp>000536</stp>
        <stp>12/31/2018</stp>
        <stp>1</stp>
        <tr r="K3447" s="1"/>
      </tp>
      <tp>
        <v>0.51965786825000004</v>
        <stp/>
        <stp>EM_S_FA_ASSETSTURN</stp>
        <stp>3</stp>
        <stp>300506</stp>
        <stp>12/31/2018</stp>
        <stp>1</stp>
        <tr r="K3320" s="1"/>
      </tp>
      <tp>
        <v>0.57385718009599995</v>
        <stp/>
        <stp>EM_S_FA_ASSETSTURN</stp>
        <stp>3</stp>
        <stp>600556</stp>
        <stp>12/31/2018</stp>
        <stp>1</stp>
        <tr r="K210" s="1"/>
      </tp>
      <tp>
        <v>0.42497541494699997</v>
        <stp/>
        <stp>EM_S_FA_ASSETSTURN</stp>
        <stp>3</stp>
        <stp>300406</stp>
        <stp>12/31/2018</stp>
        <stp>1</stp>
        <tr r="K400" s="1"/>
      </tp>
      <tp>
        <v>0.48114963586699999</v>
        <stp/>
        <stp>EM_S_FA_ASSETSTURN</stp>
        <stp>3</stp>
        <stp>600456</stp>
        <stp>12/31/2018</stp>
        <stp>1</stp>
        <tr r="K393" s="1"/>
      </tp>
      <tp>
        <v>0.90655015801000005</v>
        <stp/>
        <stp>EM_S_FA_ASSETSTURN</stp>
        <stp>3</stp>
        <stp>603856</stp>
        <stp>12/31/2018</stp>
        <stp>1</stp>
        <tr r="K2996" s="1"/>
      </tp>
      <tp>
        <v>1.2588857573759999</v>
        <stp/>
        <stp>EM_S_FA_ASSETSTURN</stp>
        <stp>3</stp>
        <stp>603356</stp>
        <stp>12/31/2018</stp>
        <stp>1</stp>
        <tr r="K3040" s="1"/>
      </tp>
      <tp>
        <v>0.61507356180799999</v>
        <stp/>
        <stp>EM_S_FA_ASSETSTURN</stp>
        <stp>3</stp>
        <stp>603156</stp>
        <stp>12/31/2018</stp>
        <stp>1</stp>
        <tr r="K3226" s="1"/>
      </tp>
      <tp>
        <v>3.1237768808020001</v>
        <stp/>
        <stp>EM_S_FA_ASSETSTURN</stp>
        <stp>3</stp>
        <stp>603056</stp>
        <stp>12/31/2018</stp>
        <stp>1</stp>
        <tr r="K3254" s="1"/>
      </tp>
      <tp>
        <v>0.41750300159499998</v>
        <stp/>
        <stp>EM_S_FA_ASSETSTURN</stp>
        <stp>3</stp>
        <stp>603656</stp>
        <stp>12/31/2018</stp>
        <stp>1</stp>
        <tr r="K1868" s="1"/>
      </tp>
      <tp>
        <v>0.39694872594300001</v>
        <stp/>
        <stp>EM_S_FA_ASSETSTURN</stp>
        <stp>3</stp>
        <stp>603556</stp>
        <stp>12/31/2018</stp>
        <stp>1</stp>
        <tr r="K1158" s="1"/>
      </tp>
      <tp>
        <v>0.57766508319099996</v>
        <stp/>
        <stp>EM_S_FA_ASSETSTURN</stp>
        <stp>3</stp>
        <stp>603456</stp>
        <stp>12/31/2018</stp>
        <stp>1</stp>
        <tr r="K126" s="1"/>
      </tp>
      <tp>
        <v>0.53285480332799995</v>
        <stp/>
        <stp>EM_S_FA_ASSETSTURN</stp>
        <stp>3</stp>
        <stp>002836</stp>
        <stp>12/31/2018</stp>
        <stp>1</stp>
        <tr r="K2009" s="1"/>
      </tp>
      <tp>
        <v>1.6399804380780001</v>
        <stp/>
        <stp>EM_S_FA_ASSETSTURN</stp>
        <stp>3</stp>
        <stp>002336</stp>
        <stp>12/31/2018</stp>
        <stp>1</stp>
        <tr r="K2961" s="1"/>
      </tp>
      <tp>
        <v>0.99260335646700004</v>
        <stp/>
        <stp>EM_S_FA_ASSETSTURN</stp>
        <stp>3</stp>
        <stp>002236</stp>
        <stp>12/31/2018</stp>
        <stp>1</stp>
        <tr r="K283" s="1"/>
      </tp>
      <tp>
        <v>1.087766051657</v>
        <stp/>
        <stp>EM_S_FA_ASSETSTURN</stp>
        <stp>3</stp>
        <stp>002136</stp>
        <stp>12/31/2018</stp>
        <stp>1</stp>
        <tr r="K2611" s="1"/>
      </tp>
      <tp>
        <v>0.81716159299000002</v>
        <stp/>
        <stp>EM_S_FA_ASSETSTURN</stp>
        <stp>3</stp>
        <stp>002036</stp>
        <stp>12/31/2018</stp>
        <stp>1</stp>
        <tr r="K3613" s="1"/>
      </tp>
      <tp>
        <v>0</v>
        <stp/>
        <stp>EM_S_FA_ASSETSTURN</stp>
        <stp>3</stp>
        <stp>002736</stp>
        <stp>12/31/2018</stp>
        <stp>1</stp>
        <tr r="K549" s="1"/>
      </tp>
      <tp>
        <v>0.89155248836099998</v>
        <stp/>
        <stp>EM_S_FA_ASSETSTURN</stp>
        <stp>3</stp>
        <stp>002636</stp>
        <stp>12/31/2018</stp>
        <stp>1</stp>
        <tr r="K1181" s="1"/>
      </tp>
      <tp>
        <v>0.81760257277500004</v>
        <stp/>
        <stp>EM_S_FA_ASSETSTURN</stp>
        <stp>3</stp>
        <stp>002536</stp>
        <stp>12/31/2018</stp>
        <stp>1</stp>
        <tr r="K3350" s="1"/>
      </tp>
      <tp>
        <v>0.75790453248</v>
        <stp/>
        <stp>EM_S_FA_ASSETSTURN</stp>
        <stp>3</stp>
        <stp>002436</stp>
        <stp>12/31/2018</stp>
        <stp>1</stp>
        <tr r="K221" s="1"/>
      </tp>
      <tp>
        <v>4.6974978688707807E-2</v>
        <stp/>
        <stp>EM_S_RATIO_EPS_TTM</stp>
        <stp>3</stp>
        <stp>002181</stp>
        <stp>12/31/2018</stp>
        <stp>1</stp>
        <tr r="U406" s="1"/>
      </tp>
      <tp>
        <v>0.8033157849503062</v>
        <stp/>
        <stp>EM_S_RATIO_EPS_TTM</stp>
        <stp>3</stp>
        <stp>002081</stp>
        <stp>12/31/2018</stp>
        <stp>1</stp>
        <tr r="U1856" s="1"/>
      </tp>
      <tp>
        <v>0.3649255677712952</v>
        <stp/>
        <stp>EM_S_RATIO_EPS_TTM</stp>
        <stp>3</stp>
        <stp>002381</stp>
        <stp>12/31/2018</stp>
        <stp>1</stp>
        <tr r="U1089" s="1"/>
      </tp>
      <tp>
        <v>0.51462745771203156</v>
        <stp/>
        <stp>EM_S_RATIO_EPS_TTM</stp>
        <stp>3</stp>
        <stp>002281</stp>
        <stp>12/31/2018</stp>
        <stp>1</stp>
        <tr r="U1737" s="1"/>
      </tp>
      <tp>
        <v>-0.14519309880003958</v>
        <stp/>
        <stp>EM_S_RATIO_EPS_TTM</stp>
        <stp>3</stp>
        <stp>002581</stp>
        <stp>12/31/2018</stp>
        <stp>1</stp>
        <tr r="U2170" s="1"/>
      </tp>
      <tp>
        <v>7.3899437754847627E-2</v>
        <stp/>
        <stp>EM_S_RATIO_EPS_TTM</stp>
        <stp>3</stp>
        <stp>002481</stp>
        <stp>12/31/2018</stp>
        <stp>1</stp>
        <tr r="U57" s="1"/>
      </tp>
      <tp>
        <v>0.7490380523111112</v>
        <stp/>
        <stp>EM_S_RATIO_EPS_TTM</stp>
        <stp>3</stp>
        <stp>002781</stp>
        <stp>12/31/2018</stp>
        <stp>1</stp>
        <tr r="U1532" s="1"/>
      </tp>
      <tp>
        <v>-0.37770634172909939</v>
        <stp/>
        <stp>EM_S_RATIO_EPS_TTM</stp>
        <stp>3</stp>
        <stp>002681</stp>
        <stp>12/31/2018</stp>
        <stp>1</stp>
        <tr r="U536" s="1"/>
      </tp>
      <tp>
        <v>0.25728371640959752</v>
        <stp/>
        <stp>EM_S_RATIO_EPS_TTM</stp>
        <stp>3</stp>
        <stp>002881</stp>
        <stp>12/31/2018</stp>
        <stp>1</stp>
        <tr r="U534" s="1"/>
      </tp>
      <tp>
        <v>2.3748214099428084</v>
        <stp/>
        <stp>EM_S_RATIO_EPS_TTM</stp>
        <stp>3</stp>
        <stp>000581</stp>
        <stp>12/31/2018</stp>
        <stp>1</stp>
        <tr r="U3465" s="1"/>
      </tp>
      <tp>
        <v>0.45849516563647935</v>
        <stp/>
        <stp>EM_S_RATIO_EPS_TTM</stp>
        <stp>3</stp>
        <stp>000681</stp>
        <stp>12/31/2018</stp>
        <stp>1</stp>
        <tr r="U3208" s="1"/>
      </tp>
      <tp>
        <v>-0.14235867903056465</v>
        <stp/>
        <stp>EM_S_RATIO_EPS_TTM</stp>
        <stp>3</stp>
        <stp>000981</stp>
        <stp>12/31/2018</stp>
        <stp>1</stp>
        <tr r="U3594" s="1"/>
      </tp>
      <tp>
        <v>0.31190658211666383</v>
        <stp/>
        <stp>EM_S_RATIO_EPS_TTM</stp>
        <stp>3</stp>
        <stp>000881</stp>
        <stp>12/31/2018</stp>
        <stp>1</stp>
        <tr r="U2108" s="1"/>
      </tp>
      <tp>
        <v>0.97306607506200005</v>
        <stp/>
        <stp>EM_S_FA_ASSETSTURN</stp>
        <stp>3</stp>
        <stp>601857</stp>
        <stp>12/31/2018</stp>
        <stp>1</stp>
        <tr r="K3048" s="1"/>
      </tp>
      <tp>
        <v>0.46880640168799997</v>
        <stp/>
        <stp>EM_S_FA_ASSETSTURN</stp>
        <stp>3</stp>
        <stp>000937</stp>
        <stp>12/31/2018</stp>
        <stp>1</stp>
        <tr r="K2461" s="1"/>
      </tp>
      <tp>
        <v>0.35910537965</v>
        <stp/>
        <stp>EM_S_FA_ASSETSTURN</stp>
        <stp>3</stp>
        <stp>000837</stp>
        <stp>12/31/2018</stp>
        <stp>1</stp>
        <tr r="K3554" s="1"/>
      </tp>
      <tp>
        <v>1.211220440837</v>
        <stp/>
        <stp>EM_S_FA_ASSETSTURN</stp>
        <stp>3</stp>
        <stp>600857</stp>
        <stp>12/31/2018</stp>
        <stp>1</stp>
        <tr r="K1701" s="1"/>
      </tp>
      <tp>
        <v>0.315363663869</v>
        <stp/>
        <stp>EM_S_FA_ASSETSTURN</stp>
        <stp>3</stp>
        <stp>300307</stp>
        <stp>12/31/2018</stp>
        <stp>1</stp>
        <tr r="K2197" s="1"/>
      </tp>
      <tp>
        <v>0</v>
        <stp/>
        <stp>EM_S_FA_ASSETSTURN</stp>
        <stp>3</stp>
        <stp>600357</stp>
        <stp>12/31/2018</stp>
        <stp>1</stp>
        <tr r="K2301" s="1"/>
      </tp>
      <tp>
        <v>1.2817311646339999</v>
        <stp/>
        <stp>EM_S_FA_ASSETSTURN</stp>
        <stp>3</stp>
        <stp>300207</stp>
        <stp>12/31/2018</stp>
        <stp>1</stp>
        <tr r="K108" s="1"/>
      </tp>
      <tp>
        <v>0.614077828933</v>
        <stp/>
        <stp>EM_S_FA_ASSETSTURN</stp>
        <stp>3</stp>
        <stp>600257</stp>
        <stp>12/31/2018</stp>
        <stp>1</stp>
        <tr r="K2166" s="1"/>
      </tp>
      <tp>
        <v>1.007630767892</v>
        <stp/>
        <stp>EM_S_FA_ASSETSTURN</stp>
        <stp>3</stp>
        <stp>300107</stp>
        <stp>12/31/2018</stp>
        <stp>1</stp>
        <tr r="K3155" s="1"/>
      </tp>
      <tp>
        <v>0.20895719428599999</v>
        <stp/>
        <stp>EM_S_FA_ASSETSTURN</stp>
        <stp>3</stp>
        <stp>600157</stp>
        <stp>12/31/2018</stp>
        <stp>1</stp>
        <tr r="K1912" s="1"/>
      </tp>
      <tp>
        <v>0.60893281071000005</v>
        <stp/>
        <stp>EM_S_FA_ASSETSTURN</stp>
        <stp>3</stp>
        <stp>000037</stp>
        <stp>12/31/2018</stp>
        <stp>1</stp>
        <tr r="K68" s="1"/>
      </tp>
      <tp>
        <v>0.32358297564499999</v>
        <stp/>
        <stp>EM_S_FA_ASSETSTURN</stp>
        <stp>3</stp>
        <stp>300007</stp>
        <stp>12/31/2018</stp>
        <stp>1</stp>
        <tr r="K352" s="1"/>
      </tp>
      <tp>
        <v>4.6671629444439997</v>
        <stp/>
        <stp>EM_S_FA_ASSETSTURN</stp>
        <stp>3</stp>
        <stp>600057</stp>
        <stp>12/31/2018</stp>
        <stp>1</stp>
        <tr r="K2370" s="1"/>
      </tp>
      <tp>
        <v>0.87246289159699997</v>
        <stp/>
        <stp>EM_S_FA_ASSETSTURN</stp>
        <stp>3</stp>
        <stp>000737</stp>
        <stp>12/31/2018</stp>
        <stp>1</stp>
        <tr r="K3524" s="1"/>
      </tp>
      <tp>
        <v>0.62644221080700002</v>
        <stp/>
        <stp>EM_S_FA_ASSETSTURN</stp>
        <stp>3</stp>
        <stp>300707</stp>
        <stp>12/31/2018</stp>
        <stp>1</stp>
        <tr r="K1481" s="1"/>
      </tp>
      <tp>
        <v>1.0163090816560001</v>
        <stp/>
        <stp>EM_S_FA_ASSETSTURN</stp>
        <stp>3</stp>
        <stp>600757</stp>
        <stp>12/31/2018</stp>
        <stp>1</stp>
        <tr r="K2613" s="1"/>
      </tp>
      <tp>
        <v>3.5281223870649998</v>
        <stp/>
        <stp>EM_S_FA_ASSETSTURN</stp>
        <stp>3</stp>
        <stp>000637</stp>
        <stp>12/31/2018</stp>
        <stp>1</stp>
        <tr r="K3491" s="1"/>
      </tp>
      <tp>
        <v>0.83413782691799998</v>
        <stp/>
        <stp>EM_S_FA_ASSETSTURN</stp>
        <stp>3</stp>
        <stp>300607</stp>
        <stp>12/31/2018</stp>
        <stp>1</stp>
        <tr r="K484" s="1"/>
      </tp>
      <tp>
        <v>0.21626469861299999</v>
        <stp/>
        <stp>EM_S_FA_ASSETSTURN</stp>
        <stp>3</stp>
        <stp>600657</stp>
        <stp>12/31/2018</stp>
        <stp>1</stp>
        <tr r="K2195" s="1"/>
      </tp>
      <tp>
        <v>0.36426663586800001</v>
        <stp/>
        <stp>EM_S_FA_ASSETSTURN</stp>
        <stp>3</stp>
        <stp>000537</stp>
        <stp>12/31/2018</stp>
        <stp>1</stp>
        <tr r="K2013" s="1"/>
      </tp>
      <tp>
        <v>0.60072132503099995</v>
        <stp/>
        <stp>EM_S_FA_ASSETSTURN</stp>
        <stp>3</stp>
        <stp>300507</stp>
        <stp>12/31/2018</stp>
        <stp>1</stp>
        <tr r="K3002" s="1"/>
      </tp>
      <tp>
        <v>0.69544839346300003</v>
        <stp/>
        <stp>EM_S_FA_ASSETSTURN</stp>
        <stp>3</stp>
        <stp>600557</stp>
        <stp>12/31/2018</stp>
        <stp>1</stp>
        <tr r="K737" s="1"/>
      </tp>
      <tp>
        <v>0.73552580739600004</v>
        <stp/>
        <stp>EM_S_FA_ASSETSTURN</stp>
        <stp>3</stp>
        <stp>300407</stp>
        <stp>12/31/2018</stp>
        <stp>1</stp>
        <tr r="K2060" s="1"/>
      </tp>
      <tp>
        <v>0.57024957279300004</v>
        <stp/>
        <stp>EM_S_FA_ASSETSTURN</stp>
        <stp>3</stp>
        <stp>603357</stp>
        <stp>12/31/2018</stp>
        <stp>1</stp>
        <tr r="K3354" s="1"/>
      </tp>
      <tp>
        <v>1.228877962419</v>
        <stp/>
        <stp>EM_S_FA_ASSETSTURN</stp>
        <stp>3</stp>
        <stp>603157</stp>
        <stp>12/31/2018</stp>
        <stp>1</stp>
        <tr r="K3240" s="1"/>
      </tp>
      <tp>
        <v>0.90953124235399996</v>
        <stp/>
        <stp>EM_S_FA_ASSETSTURN</stp>
        <stp>3</stp>
        <stp>603757</stp>
        <stp>12/31/2018</stp>
        <stp>1</stp>
        <tr r="K3019" s="1"/>
      </tp>
      <tp>
        <v>0.68848986905099996</v>
        <stp/>
        <stp>EM_S_FA_ASSETSTURN</stp>
        <stp>3</stp>
        <stp>603557</stp>
        <stp>12/31/2018</stp>
        <stp>1</stp>
        <tr r="K1610" s="1"/>
      </tp>
      <tp>
        <v>0.62800838995599995</v>
        <stp/>
        <stp>EM_S_FA_ASSETSTURN</stp>
        <stp>3</stp>
        <stp>002837</stp>
        <stp>12/31/2018</stp>
        <stp>1</stp>
        <tr r="K1629" s="1"/>
      </tp>
      <tp>
        <v>0.28527137325599999</v>
        <stp/>
        <stp>EM_S_FA_ASSETSTURN</stp>
        <stp>3</stp>
        <stp>002337</stp>
        <stp>12/31/2018</stp>
        <stp>1</stp>
        <tr r="K2558" s="1"/>
      </tp>
      <tp>
        <v>1.522495661489</v>
        <stp/>
        <stp>EM_S_FA_ASSETSTURN</stp>
        <stp>3</stp>
        <stp>002237</stp>
        <stp>12/31/2018</stp>
        <stp>1</stp>
        <tr r="K382" s="1"/>
      </tp>
      <tp>
        <v>0.553091779058</v>
        <stp/>
        <stp>EM_S_FA_ASSETSTURN</stp>
        <stp>3</stp>
        <stp>002137</stp>
        <stp>12/31/2018</stp>
        <stp>1</stp>
        <tr r="K1770" s="1"/>
      </tp>
      <tp>
        <v>0.63933261239600003</v>
        <stp/>
        <stp>EM_S_FA_ASSETSTURN</stp>
        <stp>3</stp>
        <stp>002037</stp>
        <stp>12/31/2018</stp>
        <stp>1</stp>
        <tr r="K2964" s="1"/>
      </tp>
      <tp>
        <v>0.93852778176200002</v>
        <stp/>
        <stp>EM_S_FA_ASSETSTURN</stp>
        <stp>3</stp>
        <stp>002737</stp>
        <stp>12/31/2018</stp>
        <stp>1</stp>
        <tr r="K2433" s="1"/>
      </tp>
      <tp>
        <v>1.055887984573</v>
        <stp/>
        <stp>EM_S_FA_ASSETSTURN</stp>
        <stp>3</stp>
        <stp>002637</stp>
        <stp>12/31/2018</stp>
        <stp>1</stp>
        <tr r="K640" s="1"/>
      </tp>
      <tp>
        <v>0.35297390816899998</v>
        <stp/>
        <stp>EM_S_FA_ASSETSTURN</stp>
        <stp>3</stp>
        <stp>002537</stp>
        <stp>12/31/2018</stp>
        <stp>1</stp>
        <tr r="K3234" s="1"/>
      </tp>
      <tp>
        <v>0.59125677137699995</v>
        <stp/>
        <stp>EM_S_FA_ASSETSTURN</stp>
        <stp>3</stp>
        <stp>002437</stp>
        <stp>12/31/2018</stp>
        <stp>1</stp>
        <tr r="K1992" s="1"/>
      </tp>
      <tp>
        <v>0.89386168625391083</v>
        <stp/>
        <stp>EM_S_RATIO_EPS_TTM</stp>
        <stp>3</stp>
        <stp>002180</stp>
        <stp>12/31/2018</stp>
        <stp>1</stp>
        <tr r="U700" s="1"/>
      </tp>
      <tp>
        <v>0.72365577558742855</v>
        <stp/>
        <stp>EM_S_RATIO_EPS_TTM</stp>
        <stp>3</stp>
        <stp>002080</stp>
        <stp>12/31/2018</stp>
        <stp>1</stp>
        <tr r="U599" s="1"/>
      </tp>
      <tp>
        <v>0.46748544800406783</v>
        <stp/>
        <stp>EM_S_RATIO_EPS_TTM</stp>
        <stp>3</stp>
        <stp>002380</stp>
        <stp>12/31/2018</stp>
        <stp>1</stp>
        <tr r="U853" s="1"/>
      </tp>
      <tp>
        <v>-0.30715044478051329</v>
        <stp/>
        <stp>EM_S_RATIO_EPS_TTM</stp>
        <stp>3</stp>
        <stp>002280</stp>
        <stp>12/31/2018</stp>
        <stp>1</stp>
        <tr r="U2214" s="1"/>
      </tp>
      <tp>
        <v>4.5640617357035333E-2</v>
        <stp/>
        <stp>EM_S_RATIO_EPS_TTM</stp>
        <stp>3</stp>
        <stp>002580</stp>
        <stp>12/31/2018</stp>
        <stp>1</stp>
        <tr r="U1977" s="1"/>
      </tp>
      <tp>
        <v>2.0089051194757894E-2</v>
        <stp/>
        <stp>EM_S_RATIO_EPS_TTM</stp>
        <stp>3</stp>
        <stp>002480</stp>
        <stp>12/31/2018</stp>
        <stp>1</stp>
        <tr r="U3063" s="1"/>
      </tp>
      <tp>
        <v>4.4845192982280908E-2</v>
        <stp/>
        <stp>EM_S_RATIO_EPS_TTM</stp>
        <stp>3</stp>
        <stp>002780</stp>
        <stp>12/31/2018</stp>
        <stp>1</stp>
        <tr r="U661" s="1"/>
      </tp>
      <tp>
        <v>0.56907768439506956</v>
        <stp/>
        <stp>EM_S_RATIO_EPS_TTM</stp>
        <stp>3</stp>
        <stp>002680</stp>
        <stp>12/31/2018</stp>
        <stp>1</stp>
        <tr r="U3406" s="1"/>
      </tp>
      <tp>
        <v>1.4503411814814815</v>
        <stp/>
        <stp>EM_S_RATIO_EPS_TTM</stp>
        <stp>3</stp>
        <stp>002880</stp>
        <stp>12/31/2018</stp>
        <stp>1</stp>
        <tr r="U1086" s="1"/>
      </tp>
      <tp>
        <v>-0.24748182738334185</v>
        <stp/>
        <stp>EM_S_RATIO_EPS_TTM</stp>
        <stp>3</stp>
        <stp>000780</stp>
        <stp>12/31/2018</stp>
        <stp>1</stp>
        <tr r="U3536" s="1"/>
      </tp>
      <tp>
        <v>6.4856470177956996E-2</v>
        <stp/>
        <stp>EM_S_RATIO_EPS_TTM</stp>
        <stp>3</stp>
        <stp>000680</stp>
        <stp>12/31/2018</stp>
        <stp>1</stp>
        <tr r="U1767" s="1"/>
      </tp>
      <tp>
        <v>0.39448544314052547</v>
        <stp/>
        <stp>EM_S_RATIO_EPS_TTM</stp>
        <stp>3</stp>
        <stp>000980</stp>
        <stp>12/31/2018</stp>
        <stp>1</stp>
        <tr r="U3593" s="1"/>
      </tp>
      <tp>
        <v>0.1505446449752898</v>
        <stp/>
        <stp>EM_S_RATIO_EPS_TTM</stp>
        <stp>3</stp>
        <stp>000880</stp>
        <stp>12/31/2018</stp>
        <stp>1</stp>
        <tr r="U1865" s="1"/>
      </tp>
      <tp>
        <v>0.27795801328199998</v>
        <stp/>
        <stp>EM_S_FA_ASSETSTURN</stp>
        <stp>3</stp>
        <stp>600854</stp>
        <stp>12/31/2018</stp>
        <stp>1</stp>
        <tr r="K1766" s="1"/>
      </tp>
      <tp>
        <v>0.30675505434900002</v>
        <stp/>
        <stp>EM_S_FA_ASSETSTURN</stp>
        <stp>3</stp>
        <stp>300304</stp>
        <stp>12/31/2018</stp>
        <stp>1</stp>
        <tr r="K949" s="1"/>
      </tp>
      <tp>
        <v>0.31374465478199998</v>
        <stp/>
        <stp>EM_S_FA_ASSETSTURN</stp>
        <stp>3</stp>
        <stp>600354</stp>
        <stp>12/31/2018</stp>
        <stp>1</stp>
        <tr r="K804" s="1"/>
      </tp>
      <tp>
        <v>0.29851119662699999</v>
        <stp/>
        <stp>EM_S_FA_ASSETSTURN</stp>
        <stp>3</stp>
        <stp>300204</stp>
        <stp>12/31/2018</stp>
        <stp>1</stp>
        <tr r="K2375" s="1"/>
      </tp>
      <tp>
        <v>0.120028018184</v>
        <stp/>
        <stp>EM_S_FA_ASSETSTURN</stp>
        <stp>3</stp>
        <stp>300104</stp>
        <stp>12/31/2018</stp>
        <stp>1</stp>
        <tr r="K3241" s="1"/>
      </tp>
      <tp>
        <v>3.2574717774059998</v>
        <stp/>
        <stp>EM_S_FA_ASSETSTURN</stp>
        <stp>3</stp>
        <stp>000034</stp>
        <stp>12/31/2018</stp>
        <stp>1</stp>
        <tr r="K564" s="1"/>
      </tp>
      <tp>
        <v>0.28242031411599999</v>
        <stp/>
        <stp>EM_S_FA_ASSETSTURN</stp>
        <stp>3</stp>
        <stp>300004</stp>
        <stp>12/31/2018</stp>
        <stp>1</stp>
        <tr r="K259" s="1"/>
      </tp>
      <tp>
        <v>0.34191190445199998</v>
        <stp/>
        <stp>EM_S_FA_ASSETSTURN</stp>
        <stp>3</stp>
        <stp>600054</stp>
        <stp>12/31/2018</stp>
        <stp>1</stp>
        <tr r="K2451" s="1"/>
      </tp>
      <tp>
        <v>0.35122557426500001</v>
        <stp/>
        <stp>EM_S_FA_ASSETSTURN</stp>
        <stp>3</stp>
        <stp>600754</stp>
        <stp>12/31/2018</stp>
        <stp>1</stp>
        <tr r="K789" s="1"/>
      </tp>
      <tp>
        <v>0.35491055254100001</v>
        <stp/>
        <stp>EM_S_FA_ASSETSTURN</stp>
        <stp>3</stp>
        <stp>300604</stp>
        <stp>12/31/2018</stp>
        <stp>1</stp>
        <tr r="K3085" s="1"/>
      </tp>
      <tp>
        <v>0.48833785223699999</v>
        <stp/>
        <stp>EM_S_FA_ASSETSTURN</stp>
        <stp>3</stp>
        <stp>600654</stp>
        <stp>12/31/2018</stp>
        <stp>1</stp>
        <tr r="K2568" s="1"/>
      </tp>
      <tp>
        <v>0.103129092916</v>
        <stp/>
        <stp>EM_S_FA_ASSETSTURN</stp>
        <stp>3</stp>
        <stp>000534</stp>
        <stp>12/31/2018</stp>
        <stp>1</stp>
        <tr r="K2858" s="1"/>
      </tp>
      <tp>
        <v>1.128455224206</v>
        <stp/>
        <stp>EM_S_FA_ASSETSTURN</stp>
        <stp>3</stp>
        <stp>300504</stp>
        <stp>12/31/2018</stp>
        <stp>1</stp>
        <tr r="K2863" s="1"/>
      </tp>
      <tp>
        <v>0.291414201506</v>
        <stp/>
        <stp>EM_S_FA_ASSETSTURN</stp>
        <stp>3</stp>
        <stp>300404</stp>
        <stp>12/31/2018</stp>
        <stp>1</stp>
        <tr r="K1027" s="1"/>
      </tp>
      <tp>
        <v>0.67213410485900005</v>
        <stp/>
        <stp>EM_S_FA_ASSETSTURN</stp>
        <stp>3</stp>
        <stp>002334</stp>
        <stp>12/31/2018</stp>
        <stp>1</stp>
        <tr r="K2234" s="1"/>
      </tp>
      <tp>
        <v>0.74195553565899997</v>
        <stp/>
        <stp>EM_S_FA_ASSETSTURN</stp>
        <stp>3</stp>
        <stp>002234</stp>
        <stp>12/31/2018</stp>
        <stp>1</stp>
        <tr r="K58" s="1"/>
      </tp>
      <tp>
        <v>0.64338096154400004</v>
        <stp/>
        <stp>EM_S_FA_ASSETSTURN</stp>
        <stp>3</stp>
        <stp>002134</stp>
        <stp>12/31/2018</stp>
        <stp>1</stp>
        <tr r="K424" s="1"/>
      </tp>
      <tp>
        <v>0.15026494587700001</v>
        <stp/>
        <stp>EM_S_FA_ASSETSTURN</stp>
        <stp>3</stp>
        <stp>002034</stp>
        <stp>12/31/2018</stp>
        <stp>1</stp>
        <tr r="K3612" s="1"/>
      </tp>
      <tp>
        <v>0.593291964856</v>
        <stp/>
        <stp>EM_S_FA_ASSETSTURN</stp>
        <stp>3</stp>
        <stp>002734</stp>
        <stp>12/31/2018</stp>
        <stp>1</stp>
        <tr r="K875" s="1"/>
      </tp>
      <tp>
        <v>0.39926684696100001</v>
        <stp/>
        <stp>EM_S_FA_ASSETSTURN</stp>
        <stp>3</stp>
        <stp>002634</stp>
        <stp>12/31/2018</stp>
        <stp>1</stp>
        <tr r="K713" s="1"/>
      </tp>
      <tp>
        <v>0.43451542539600002</v>
        <stp/>
        <stp>EM_S_FA_ASSETSTURN</stp>
        <stp>3</stp>
        <stp>002534</stp>
        <stp>12/31/2018</stp>
        <stp>1</stp>
        <tr r="K721" s="1"/>
      </tp>
      <tp>
        <v>0.46103545033799997</v>
        <stp/>
        <stp>EM_S_FA_ASSETSTURN</stp>
        <stp>3</stp>
        <stp>002434</stp>
        <stp>12/31/2018</stp>
        <stp>1</stp>
        <tr r="K706" s="1"/>
      </tp>
      <tp>
        <v>9.4261716485986552E-2</v>
        <stp/>
        <stp>EM_S_RATIO_EPS_TTM</stp>
        <stp>3</stp>
        <stp>002183</stp>
        <stp>12/31/2018</stp>
        <stp>1</stp>
        <tr r="U2949" s="1"/>
      </tp>
      <tp>
        <v>0.47882006472015387</v>
        <stp/>
        <stp>EM_S_RATIO_EPS_TTM</stp>
        <stp>3</stp>
        <stp>002083</stp>
        <stp>12/31/2018</stp>
        <stp>1</stp>
        <tr r="U1111" s="1"/>
      </tp>
      <tp>
        <v>0.25693620365578645</v>
        <stp/>
        <stp>EM_S_RATIO_EPS_TTM</stp>
        <stp>3</stp>
        <stp>002383</stp>
        <stp>12/31/2018</stp>
        <stp>1</stp>
        <tr r="U3075" s="1"/>
      </tp>
      <tp>
        <v>0.30357779433065862</v>
        <stp/>
        <stp>EM_S_RATIO_EPS_TTM</stp>
        <stp>3</stp>
        <stp>002283</stp>
        <stp>12/31/2018</stp>
        <stp>1</stp>
        <tr r="U1746" s="1"/>
      </tp>
      <tp>
        <v>0.25952551679329161</v>
        <stp/>
        <stp>EM_S_RATIO_EPS_TTM</stp>
        <stp>3</stp>
        <stp>002583</stp>
        <stp>12/31/2018</stp>
        <stp>1</stp>
        <tr r="U1954" s="1"/>
      </tp>
      <tp>
        <v>9.7371512249516595E-2</v>
        <stp/>
        <stp>EM_S_RATIO_EPS_TTM</stp>
        <stp>3</stp>
        <stp>002483</stp>
        <stp>12/31/2018</stp>
        <stp>1</stp>
        <tr r="U1478" s="1"/>
      </tp>
      <tp>
        <v>0.24488994255421109</v>
        <stp/>
        <stp>EM_S_RATIO_EPS_TTM</stp>
        <stp>3</stp>
        <stp>002783</stp>
        <stp>12/31/2018</stp>
        <stp>1</stp>
        <tr r="U244" s="1"/>
      </tp>
      <tp>
        <v>0.30269829764890077</v>
        <stp/>
        <stp>EM_S_RATIO_EPS_TTM</stp>
        <stp>3</stp>
        <stp>002683</stp>
        <stp>12/31/2018</stp>
        <stp>1</stp>
        <tr r="U111" s="1"/>
      </tp>
      <tp>
        <v>0.65603419034875321</v>
        <stp/>
        <stp>EM_S_RATIO_EPS_TTM</stp>
        <stp>3</stp>
        <stp>002883</stp>
        <stp>12/31/2018</stp>
        <stp>1</stp>
        <tr r="U2216" s="1"/>
      </tp>
      <tp>
        <v>-8.5466291309266709E-2</v>
        <stp/>
        <stp>EM_S_RATIO_EPS_TTM</stp>
        <stp>3</stp>
        <stp>000583</stp>
        <stp>12/31/2018</stp>
        <stp>1</stp>
        <tr r="U3466" s="1"/>
      </tp>
      <tp>
        <v>4.6514676377784579E-2</v>
        <stp/>
        <stp>EM_S_RATIO_EPS_TTM</stp>
        <stp>3</stp>
        <stp>000783</stp>
        <stp>12/31/2018</stp>
        <stp>1</stp>
        <tr r="U3537" s="1"/>
      </tp>
      <tp>
        <v>0.32706128378978261</v>
        <stp/>
        <stp>EM_S_RATIO_EPS_TTM</stp>
        <stp>3</stp>
        <stp>000683</stp>
        <stp>12/31/2018</stp>
        <stp>1</stp>
        <tr r="U3507" s="1"/>
      </tp>
      <tp>
        <v>0.57197900735275453</v>
        <stp/>
        <stp>EM_S_RATIO_EPS_TTM</stp>
        <stp>3</stp>
        <stp>000983</stp>
        <stp>12/31/2018</stp>
        <stp>1</stp>
        <tr r="U1655" s="1"/>
      </tp>
      <tp>
        <v>0.27829072801042409</v>
        <stp/>
        <stp>EM_S_RATIO_EPS_TTM</stp>
        <stp>3</stp>
        <stp>000883</stp>
        <stp>12/31/2018</stp>
        <stp>1</stp>
        <tr r="U1562" s="1"/>
      </tp>
      <tp>
        <v>0.210698956677</v>
        <stp/>
        <stp>EM_S_FA_ASSETSTURN</stp>
        <stp>3</stp>
        <stp>601155</stp>
        <stp>12/31/2018</stp>
        <stp>1</stp>
        <tr r="K397" s="1"/>
      </tp>
      <tp>
        <v>0</v>
        <stp/>
        <stp>EM_S_FA_ASSETSTURN</stp>
        <stp>3</stp>
        <stp>601555</stp>
        <stp>12/31/2018</stp>
        <stp>1</stp>
        <tr r="K582" s="1"/>
      </tp>
      <tp>
        <v>0.37741857631100001</v>
        <stp/>
        <stp>EM_S_FA_ASSETSTURN</stp>
        <stp>3</stp>
        <stp>000935</stp>
        <stp>12/31/2018</stp>
        <stp>1</stp>
        <tr r="K3582" s="1"/>
      </tp>
      <tp>
        <v>6.2708552318999994E-2</v>
        <stp/>
        <stp>EM_S_FA_ASSETSTURN</stp>
        <stp>3</stp>
        <stp>000835</stp>
        <stp>12/31/2018</stp>
        <stp>1</stp>
        <tr r="K3553" s="1"/>
      </tp>
      <tp>
        <v>0.958517775668</v>
        <stp/>
        <stp>EM_S_FA_ASSETSTURN</stp>
        <stp>3</stp>
        <stp>600855</stp>
        <stp>12/31/2018</stp>
        <stp>1</stp>
        <tr r="K817" s="1"/>
      </tp>
      <tp>
        <v>0.45915673635100002</v>
        <stp/>
        <stp>EM_S_FA_ASSETSTURN</stp>
        <stp>3</stp>
        <stp>300305</stp>
        <stp>12/31/2018</stp>
        <stp>1</stp>
        <tr r="K1934" s="1"/>
      </tp>
      <tp>
        <v>0.74640431074199998</v>
        <stp/>
        <stp>EM_S_FA_ASSETSTURN</stp>
        <stp>3</stp>
        <stp>600355</stp>
        <stp>12/31/2018</stp>
        <stp>1</stp>
        <tr r="K2366" s="1"/>
      </tp>
      <tp>
        <v>1.2193388398280001</v>
        <stp/>
        <stp>EM_S_FA_ASSETSTURN</stp>
        <stp>3</stp>
        <stp>300205</stp>
        <stp>12/31/2018</stp>
        <stp>1</stp>
        <tr r="K825" s="1"/>
      </tp>
      <tp>
        <v>0.96993259536300003</v>
        <stp/>
        <stp>EM_S_FA_ASSETSTURN</stp>
        <stp>3</stp>
        <stp>600255</stp>
        <stp>12/31/2018</stp>
        <stp>1</stp>
        <tr r="K2860" s="1"/>
      </tp>
      <tp>
        <v>0.197372625834</v>
        <stp/>
        <stp>EM_S_FA_ASSETSTURN</stp>
        <stp>3</stp>
        <stp>300105</stp>
        <stp>12/31/2018</stp>
        <stp>1</stp>
        <tr r="K1424" s="1"/>
      </tp>
      <tp>
        <v>4.7190174408000003E-2</v>
        <stp/>
        <stp>EM_S_FA_ASSETSTURN</stp>
        <stp>3</stp>
        <stp>600155</stp>
        <stp>12/31/2018</stp>
        <stp>1</stp>
        <tr r="K234" s="1"/>
      </tp>
      <tp>
        <v>0.21806056226500001</v>
        <stp/>
        <stp>EM_S_FA_ASSETSTURN</stp>
        <stp>3</stp>
        <stp>000035</stp>
        <stp>12/31/2018</stp>
        <stp>1</stp>
        <tr r="K1341" s="1"/>
      </tp>
      <tp>
        <v>0.65505925768200002</v>
        <stp/>
        <stp>EM_S_FA_ASSETSTURN</stp>
        <stp>3</stp>
        <stp>300005</stp>
        <stp>12/31/2018</stp>
        <stp>1</stp>
        <tr r="K801" s="1"/>
      </tp>
      <tp>
        <v>0.40096736569800001</v>
        <stp/>
        <stp>EM_S_FA_ASSETSTURN</stp>
        <stp>3</stp>
        <stp>600055</stp>
        <stp>12/31/2018</stp>
        <stp>1</stp>
        <tr r="K1416" s="1"/>
      </tp>
      <tp>
        <v>0.18389399563100001</v>
        <stp/>
        <stp>EM_S_FA_ASSETSTURN</stp>
        <stp>3</stp>
        <stp>000735</stp>
        <stp>12/31/2018</stp>
        <stp>1</stp>
        <tr r="K3523" s="1"/>
      </tp>
      <tp>
        <v>0.93595994300800001</v>
        <stp/>
        <stp>EM_S_FA_ASSETSTURN</stp>
        <stp>3</stp>
        <stp>300705</stp>
        <stp>12/31/2018</stp>
        <stp>1</stp>
        <tr r="K2226" s="1"/>
      </tp>
      <tp>
        <v>2.8040710545700001</v>
        <stp/>
        <stp>EM_S_FA_ASSETSTURN</stp>
        <stp>3</stp>
        <stp>600755</stp>
        <stp>12/31/2018</stp>
        <stp>1</stp>
        <tr r="K1998" s="1"/>
      </tp>
      <tp>
        <v>0.60398644249400002</v>
        <stp/>
        <stp>EM_S_FA_ASSETSTURN</stp>
        <stp>3</stp>
        <stp>000635</stp>
        <stp>12/31/2018</stp>
        <stp>1</stp>
        <tr r="K2661" s="1"/>
      </tp>
      <tp>
        <v>0.70894197219099997</v>
        <stp/>
        <stp>EM_S_FA_ASSETSTURN</stp>
        <stp>3</stp>
        <stp>300605</stp>
        <stp>12/31/2018</stp>
        <stp>1</stp>
        <tr r="K2903" s="1"/>
      </tp>
      <tp>
        <v>0.61766942229800004</v>
        <stp/>
        <stp>EM_S_FA_ASSETSTURN</stp>
        <stp>3</stp>
        <stp>600655</stp>
        <stp>12/31/2018</stp>
        <stp>1</stp>
        <tr r="K2010" s="1"/>
      </tp>
      <tp>
        <v>0.141031060224</v>
        <stp/>
        <stp>EM_S_FA_ASSETSTURN</stp>
        <stp>3</stp>
        <stp>000535</stp>
        <stp>12/31/2018</stp>
        <stp>1</stp>
        <tr r="K3446" s="1"/>
      </tp>
      <tp>
        <v>0.99936524406899996</v>
        <stp/>
        <stp>EM_S_FA_ASSETSTURN</stp>
        <stp>3</stp>
        <stp>300505</stp>
        <stp>12/31/2018</stp>
        <stp>1</stp>
        <tr r="K2103" s="1"/>
      </tp>
      <tp>
        <v>4.5940143459999999E-3</v>
        <stp/>
        <stp>EM_S_FA_ASSETSTURN</stp>
        <stp>3</stp>
        <stp>600555</stp>
        <stp>12/31/2018</stp>
        <stp>1</stp>
        <tr r="K3045" s="1"/>
      </tp>
      <tp>
        <v>0.66777362274999996</v>
        <stp/>
        <stp>EM_S_FA_ASSETSTURN</stp>
        <stp>3</stp>
        <stp>300405</stp>
        <stp>12/31/2018</stp>
        <stp>1</stp>
        <tr r="K2766" s="1"/>
      </tp>
      <tp>
        <v>0.258668213265</v>
        <stp/>
        <stp>EM_S_FA_ASSETSTURN</stp>
        <stp>3</stp>
        <stp>600455</stp>
        <stp>12/31/2018</stp>
        <stp>1</stp>
        <tr r="K440" s="1"/>
      </tp>
      <tp>
        <v>0.31571262671799999</v>
        <stp/>
        <stp>EM_S_FA_ASSETSTURN</stp>
        <stp>3</stp>
        <stp>603955</stp>
        <stp>12/31/2018</stp>
        <stp>1</stp>
        <tr r="K1547" s="1"/>
      </tp>
      <tp>
        <v>0.66135388730099998</v>
        <stp/>
        <stp>EM_S_FA_ASSETSTURN</stp>
        <stp>3</stp>
        <stp>603855</stp>
        <stp>12/31/2018</stp>
        <stp>1</stp>
        <tr r="K1126" s="1"/>
      </tp>
      <tp>
        <v>1.2163904238309999</v>
        <stp/>
        <stp>EM_S_FA_ASSETSTURN</stp>
        <stp>3</stp>
        <stp>603355</stp>
        <stp>12/31/2018</stp>
        <stp>1</stp>
        <tr r="K1769" s="1"/>
      </tp>
      <tp>
        <v>0.77924094818300005</v>
        <stp/>
        <stp>EM_S_FA_ASSETSTURN</stp>
        <stp>3</stp>
        <stp>603055</stp>
        <stp>12/31/2018</stp>
        <stp>1</stp>
        <tr r="K3266" s="1"/>
      </tp>
      <tp>
        <v>0.34454150956500001</v>
        <stp/>
        <stp>EM_S_FA_ASSETSTURN</stp>
        <stp>3</stp>
        <stp>603655</stp>
        <stp>12/31/2018</stp>
        <stp>1</stp>
        <tr r="K604" s="1"/>
      </tp>
      <tp>
        <v>0.45599129427200003</v>
        <stp/>
        <stp>EM_S_FA_ASSETSTURN</stp>
        <stp>3</stp>
        <stp>603555</stp>
        <stp>12/31/2018</stp>
        <stp>1</stp>
        <tr r="K2224" s="1"/>
      </tp>
      <tp>
        <v>0.73932522675500001</v>
        <stp/>
        <stp>EM_S_FA_ASSETSTURN</stp>
        <stp>3</stp>
        <stp>002835</stp>
        <stp>12/31/2018</stp>
        <stp>1</stp>
        <tr r="K321" s="1"/>
      </tp>
      <tp>
        <v>0.49895789001000002</v>
        <stp/>
        <stp>EM_S_FA_ASSETSTURN</stp>
        <stp>3</stp>
        <stp>002335</stp>
        <stp>12/31/2018</stp>
        <stp>1</stp>
        <tr r="K1827" s="1"/>
      </tp>
      <tp>
        <v>0.28493917084600001</v>
        <stp/>
        <stp>EM_S_FA_ASSETSTURN</stp>
        <stp>3</stp>
        <stp>002235</stp>
        <stp>12/31/2018</stp>
        <stp>1</stp>
        <tr r="K359" s="1"/>
      </tp>
      <tp>
        <v>0.85194467377799998</v>
        <stp/>
        <stp>EM_S_FA_ASSETSTURN</stp>
        <stp>3</stp>
        <stp>002135</stp>
        <stp>12/31/2018</stp>
        <stp>1</stp>
        <tr r="K1756" s="1"/>
      </tp>
      <tp>
        <v>1.2825567094770001</v>
        <stp/>
        <stp>EM_S_FA_ASSETSTURN</stp>
        <stp>3</stp>
        <stp>002035</stp>
        <stp>12/31/2018</stp>
        <stp>1</stp>
        <tr r="K527" s="1"/>
      </tp>
      <tp>
        <v>0.994615307803</v>
        <stp/>
        <stp>EM_S_FA_ASSETSTURN</stp>
        <stp>3</stp>
        <stp>002735</stp>
        <stp>12/31/2018</stp>
        <stp>1</stp>
        <tr r="K2934" s="1"/>
      </tp>
      <tp>
        <v>0.40587346259599999</v>
        <stp/>
        <stp>EM_S_FA_ASSETSTURN</stp>
        <stp>3</stp>
        <stp>002635</stp>
        <stp>12/31/2018</stp>
        <stp>1</stp>
        <tr r="K547" s="1"/>
      </tp>
      <tp>
        <v>0.27078563081899998</v>
        <stp/>
        <stp>EM_S_FA_ASSETSTURN</stp>
        <stp>3</stp>
        <stp>002535</stp>
        <stp>12/31/2018</stp>
        <stp>1</stp>
        <tr r="K2901" s="1"/>
      </tp>
      <tp>
        <v>0.62064126374299999</v>
        <stp/>
        <stp>EM_S_FA_ASSETSTURN</stp>
        <stp>3</stp>
        <stp>002435</stp>
        <stp>12/31/2018</stp>
        <stp>1</stp>
        <tr r="K3162" s="1"/>
      </tp>
      <tp>
        <v>0.5097323526334101</v>
        <stp/>
        <stp>EM_S_RATIO_EPS_TTM</stp>
        <stp>3</stp>
        <stp>002182</stp>
        <stp>12/31/2018</stp>
        <stp>1</stp>
        <tr r="U558" s="1"/>
      </tp>
      <tp>
        <v>0.35327927294117645</v>
        <stp/>
        <stp>EM_S_RATIO_EPS_TTM</stp>
        <stp>3</stp>
        <stp>002082</stp>
        <stp>12/31/2018</stp>
        <stp>1</stp>
        <tr r="U3628" s="1"/>
      </tp>
      <tp>
        <v>0.35965026044813664</v>
        <stp/>
        <stp>EM_S_RATIO_EPS_TTM</stp>
        <stp>3</stp>
        <stp>002382</stp>
        <stp>12/31/2018</stp>
        <stp>1</stp>
        <tr r="U3033" s="1"/>
      </tp>
      <tp>
        <v>0.19685763380320906</v>
        <stp/>
        <stp>EM_S_RATIO_EPS_TTM</stp>
        <stp>3</stp>
        <stp>002282</stp>
        <stp>12/31/2018</stp>
        <stp>1</stp>
        <tr r="U2263" s="1"/>
      </tp>
      <tp>
        <v>0.25126143554612962</v>
        <stp/>
        <stp>EM_S_RATIO_EPS_TTM</stp>
        <stp>3</stp>
        <stp>002582</stp>
        <stp>12/31/2018</stp>
        <stp>1</stp>
        <tr r="U1633" s="1"/>
      </tp>
      <tp>
        <v>0.22662631678212597</v>
        <stp/>
        <stp>EM_S_RATIO_EPS_TTM</stp>
        <stp>3</stp>
        <stp>002482</stp>
        <stp>12/31/2018</stp>
        <stp>1</stp>
        <tr r="U3133" s="1"/>
      </tp>
      <tp>
        <v>0.19952860089201879</v>
        <stp/>
        <stp>EM_S_RATIO_EPS_TTM</stp>
        <stp>3</stp>
        <stp>002782</stp>
        <stp>12/31/2018</stp>
        <stp>1</stp>
        <tr r="U2525" s="1"/>
      </tp>
      <tp>
        <v>0.29756211489292378</v>
        <stp/>
        <stp>EM_S_RATIO_EPS_TTM</stp>
        <stp>3</stp>
        <stp>002682</stp>
        <stp>12/31/2018</stp>
        <stp>1</stp>
        <tr r="U2134" s="1"/>
      </tp>
      <tp>
        <v>0.56108019434049428</v>
        <stp/>
        <stp>EM_S_RATIO_EPS_TTM</stp>
        <stp>3</stp>
        <stp>002882</stp>
        <stp>12/31/2018</stp>
        <stp>1</stp>
        <tr r="U1759" s="1"/>
      </tp>
      <tp>
        <v>0.39505858263957433</v>
        <stp/>
        <stp>EM_S_RATIO_EPS_TTM</stp>
        <stp>3</stp>
        <stp>000582</stp>
        <stp>12/31/2018</stp>
        <stp>1</stp>
        <tr r="U1167" s="1"/>
      </tp>
      <tp>
        <v>7.0608047126204734E-2</v>
        <stp/>
        <stp>EM_S_RATIO_EPS_TTM</stp>
        <stp>3</stp>
        <stp>000782</stp>
        <stp>12/31/2018</stp>
        <stp>1</stp>
        <tr r="U3032" s="1"/>
      </tp>
      <tp>
        <v>0.12761808188891058</v>
        <stp/>
        <stp>EM_S_RATIO_EPS_TTM</stp>
        <stp>3</stp>
        <stp>000682</stp>
        <stp>12/31/2018</stp>
        <stp>1</stp>
        <tr r="U515" s="1"/>
      </tp>
      <tp>
        <v>-1.6526136221523804</v>
        <stp/>
        <stp>EM_S_RATIO_EPS_TTM</stp>
        <stp>3</stp>
        <stp>000982</stp>
        <stp>12/31/2018</stp>
        <stp>1</stp>
        <tr r="U3595" s="1"/>
      </tp>
      <tp>
        <v>1.1982079204665749E-2</v>
        <stp/>
        <stp>EM_S_RATIO_EPS_TTM</stp>
        <stp>3</stp>
        <stp>000882</stp>
        <stp>12/31/2018</stp>
        <stp>1</stp>
        <tr r="U2222" s="1"/>
      </tp>
      <tp>
        <v>0.57472711640999996</v>
        <stp/>
        <stp>EM_S_FA_ASSETSTURN</stp>
        <stp>3</stp>
        <stp>000928</stp>
        <stp>12/31/2018</stp>
        <stp>1</stp>
        <tr r="K1780" s="1"/>
      </tp>
      <tp>
        <v>0.15297459594000001</v>
        <stp/>
        <stp>EM_S_FA_ASSETSTURN</stp>
        <stp>3</stp>
        <stp>000828</stp>
        <stp>12/31/2018</stp>
        <stp>1</stp>
        <tr r="K1711" s="1"/>
      </tp>
      <tp>
        <v>0.134775295845</v>
        <stp/>
        <stp>EM_S_FA_ASSETSTURN</stp>
        <stp>3</stp>
        <stp>600848</stp>
        <stp>12/31/2018</stp>
        <stp>1</stp>
        <tr r="K1417" s="1"/>
      </tp>
      <tp>
        <v>0.228299271582</v>
        <stp/>
        <stp>EM_S_FA_ASSETSTURN</stp>
        <stp>3</stp>
        <stp>300318</stp>
        <stp>12/31/2018</stp>
        <stp>1</stp>
        <tr r="K2155" s="1"/>
      </tp>
      <tp>
        <v>0.74200462081899998</v>
        <stp/>
        <stp>EM_S_FA_ASSETSTURN</stp>
        <stp>3</stp>
        <stp>600348</stp>
        <stp>12/31/2018</stp>
        <stp>1</stp>
        <tr r="K1741" s="1"/>
      </tp>
      <tp>
        <v>0.83185402710400003</v>
        <stp/>
        <stp>EM_S_FA_ASSETSTURN</stp>
        <stp>3</stp>
        <stp>300218</stp>
        <stp>12/31/2018</stp>
        <stp>1</stp>
        <tr r="K970" s="1"/>
      </tp>
      <tp>
        <v>1.094327356905</v>
        <stp/>
        <stp>EM_S_FA_ASSETSTURN</stp>
        <stp>3</stp>
        <stp>600248</stp>
        <stp>12/31/2018</stp>
        <stp>1</stp>
        <tr r="K1689" s="1"/>
      </tp>
      <tp>
        <v>0.55264706263499996</v>
        <stp/>
        <stp>EM_S_FA_ASSETSTURN</stp>
        <stp>3</stp>
        <stp>300118</stp>
        <stp>12/31/2018</stp>
        <stp>1</stp>
        <tr r="K91" s="1"/>
      </tp>
      <tp>
        <v>0.84685962202099996</v>
        <stp/>
        <stp>EM_S_FA_ASSETSTURN</stp>
        <stp>3</stp>
        <stp>600148</stp>
        <stp>12/31/2018</stp>
        <stp>1</stp>
        <tr r="K2591" s="1"/>
      </tp>
      <tp>
        <v>1.6820389506640001</v>
        <stp/>
        <stp>EM_S_FA_ASSETSTURN</stp>
        <stp>3</stp>
        <stp>000028</stp>
        <stp>12/31/2018</stp>
        <stp>1</stp>
        <tr r="K1704" s="1"/>
      </tp>
      <tp>
        <v>0.25487498154900001</v>
        <stp/>
        <stp>EM_S_FA_ASSETSTURN</stp>
        <stp>3</stp>
        <stp>300018</stp>
        <stp>12/31/2018</stp>
        <stp>1</stp>
        <tr r="K1441" s="1"/>
      </tp>
      <tp>
        <v>0.25218709209200002</v>
        <stp/>
        <stp>EM_S_FA_ASSETSTURN</stp>
        <stp>3</stp>
        <stp>600048</stp>
        <stp>12/31/2018</stp>
        <stp>1</stp>
        <tr r="K771" s="1"/>
      </tp>
      <tp>
        <v>0</v>
        <stp/>
        <stp>EM_S_FA_ASSETSTURN</stp>
        <stp>3</stp>
        <stp>000728</stp>
        <stp>12/31/2018</stp>
        <stp>1</stp>
        <tr r="K3521" s="1"/>
      </tp>
      <tp>
        <v>0.56035581942099999</v>
        <stp/>
        <stp>EM_S_FA_ASSETSTURN</stp>
        <stp>3</stp>
        <stp>300718</stp>
        <stp>12/31/2018</stp>
        <stp>1</stp>
        <tr r="K730" s="1"/>
      </tp>
      <tp>
        <v>0.226555849674</v>
        <stp/>
        <stp>EM_S_FA_ASSETSTURN</stp>
        <stp>3</stp>
        <stp>600748</stp>
        <stp>12/31/2018</stp>
        <stp>1</stp>
        <tr r="K1694" s="1"/>
      </tp>
      <tp>
        <v>0.29290281079300001</v>
        <stp/>
        <stp>EM_S_FA_ASSETSTURN</stp>
        <stp>3</stp>
        <stp>000628</stp>
        <stp>12/31/2018</stp>
        <stp>1</stp>
        <tr r="K2503" s="1"/>
      </tp>
      <tp>
        <v>0.98942386177700004</v>
        <stp/>
        <stp>EM_S_FA_ASSETSTURN</stp>
        <stp>3</stp>
        <stp>300618</stp>
        <stp>12/31/2018</stp>
        <stp>1</stp>
        <tr r="K1876" s="1"/>
      </tp>
      <tp>
        <v>0.25231139044799999</v>
        <stp/>
        <stp>EM_S_FA_ASSETSTURN</stp>
        <stp>3</stp>
        <stp>600648</stp>
        <stp>12/31/2018</stp>
        <stp>1</stp>
        <tr r="K1052" s="1"/>
      </tp>
      <tp>
        <v>0.75558083700599998</v>
        <stp/>
        <stp>EM_S_FA_ASSETSTURN</stp>
        <stp>3</stp>
        <stp>000528</stp>
        <stp>12/31/2018</stp>
        <stp>1</stp>
        <tr r="K1542" s="1"/>
      </tp>
      <tp>
        <v>0.25269807801100003</v>
        <stp/>
        <stp>EM_S_FA_ASSETSTURN</stp>
        <stp>3</stp>
        <stp>300518</stp>
        <stp>12/31/2018</stp>
        <stp>1</stp>
        <tr r="K1346" s="1"/>
      </tp>
      <tp>
        <v>0.14781118454600001</v>
        <stp/>
        <stp>EM_S_FA_ASSETSTURN</stp>
        <stp>3</stp>
        <stp>600548</stp>
        <stp>12/31/2018</stp>
        <stp>1</stp>
        <tr r="K1053" s="1"/>
      </tp>
      <tp>
        <v>0.118112487228</v>
        <stp/>
        <stp>EM_S_FA_ASSETSTURN</stp>
        <stp>3</stp>
        <stp>000428</stp>
        <stp>12/31/2018</stp>
        <stp>1</stp>
        <tr r="K3425" s="1"/>
      </tp>
      <tp>
        <v>0.34246575867099999</v>
        <stp/>
        <stp>EM_S_FA_ASSETSTURN</stp>
        <stp>3</stp>
        <stp>300418</stp>
        <stp>12/31/2018</stp>
        <stp>1</stp>
        <tr r="K889" s="1"/>
      </tp>
      <tp>
        <v>0.92091837730000004</v>
        <stp/>
        <stp>EM_S_FA_ASSETSTURN</stp>
        <stp>3</stp>
        <stp>600448</stp>
        <stp>12/31/2018</stp>
        <stp>1</stp>
        <tr r="K1775" s="1"/>
      </tp>
      <tp>
        <v>0.87473215234699997</v>
        <stp/>
        <stp>EM_S_FA_ASSETSTURN</stp>
        <stp>3</stp>
        <stp>603848</stp>
        <stp>12/31/2018</stp>
        <stp>1</stp>
        <tr r="K2703" s="1"/>
      </tp>
      <tp>
        <v>0.62093160652299995</v>
        <stp/>
        <stp>EM_S_FA_ASSETSTURN</stp>
        <stp>3</stp>
        <stp>603348</stp>
        <stp>12/31/2018</stp>
        <stp>1</stp>
        <tr r="K2404" s="1"/>
      </tp>
      <tp>
        <v>0.64904425351999995</v>
        <stp/>
        <stp>EM_S_FA_ASSETSTURN</stp>
        <stp>3</stp>
        <stp>603648</stp>
        <stp>12/31/2018</stp>
        <stp>1</stp>
        <tr r="K2597" s="1"/>
      </tp>
      <tp>
        <v>0.642023025345</v>
        <stp/>
        <stp>EM_S_FA_ASSETSTURN</stp>
        <stp>3</stp>
        <stp>002928</stp>
        <stp>12/31/2018</stp>
        <stp>1</stp>
        <tr r="K3274" s="1"/>
      </tp>
      <tp>
        <v>0.54396740531599996</v>
        <stp/>
        <stp>EM_S_FA_ASSETSTURN</stp>
        <stp>3</stp>
        <stp>002828</stp>
        <stp>12/31/2018</stp>
        <stp>1</stp>
        <tr r="K2577" s="1"/>
      </tp>
      <tp>
        <v>1.0279569925930001</v>
        <stp/>
        <stp>EM_S_FA_ASSETSTURN</stp>
        <stp>3</stp>
        <stp>002328</stp>
        <stp>12/31/2018</stp>
        <stp>1</stp>
        <tr r="K3199" s="1"/>
      </tp>
      <tp>
        <v>1.8056709267540001</v>
        <stp/>
        <stp>EM_S_FA_ASSETSTURN</stp>
        <stp>3</stp>
        <stp>002228</stp>
        <stp>12/31/2018</stp>
        <stp>1</stp>
        <tr r="K2642" s="1"/>
      </tp>
      <tp>
        <v>0.507484353444</v>
        <stp/>
        <stp>EM_S_FA_ASSETSTURN</stp>
        <stp>3</stp>
        <stp>002128</stp>
        <stp>12/31/2018</stp>
        <stp>1</stp>
        <tr r="K1209" s="1"/>
      </tp>
      <tp>
        <v>0.66902625928600001</v>
        <stp/>
        <stp>EM_S_FA_ASSETSTURN</stp>
        <stp>3</stp>
        <stp>002028</stp>
        <stp>12/31/2018</stp>
        <stp>1</stp>
        <tr r="K743" s="1"/>
      </tp>
      <tp>
        <v>0.442866129153</v>
        <stp/>
        <stp>EM_S_FA_ASSETSTURN</stp>
        <stp>3</stp>
        <stp>002728</stp>
        <stp>12/31/2018</stp>
        <stp>1</stp>
        <tr r="K991" s="1"/>
      </tp>
      <tp>
        <v>0.47249080518499997</v>
        <stp/>
        <stp>EM_S_FA_ASSETSTURN</stp>
        <stp>3</stp>
        <stp>002628</stp>
        <stp>12/31/2018</stp>
        <stp>1</stp>
        <tr r="K2357" s="1"/>
      </tp>
      <tp>
        <v>0.86544321131000002</v>
        <stp/>
        <stp>EM_S_FA_ASSETSTURN</stp>
        <stp>3</stp>
        <stp>002528</stp>
        <stp>12/31/2018</stp>
        <stp>1</stp>
        <tr r="K665" s="1"/>
      </tp>
      <tp>
        <v>0.23967249902900001</v>
        <stp/>
        <stp>EM_S_FA_ASSETSTURN</stp>
        <stp>3</stp>
        <stp>002428</stp>
        <stp>12/31/2018</stp>
        <stp>1</stp>
        <tr r="K268" s="1"/>
      </tp>
      <tp>
        <v>0.47063848479499998</v>
        <stp/>
        <stp>EM_S_FA_ASSETSTURN</stp>
        <stp>3</stp>
        <stp>601949</stp>
        <stp>12/31/2018</stp>
        <stp>1</stp>
        <tr r="K681" s="1"/>
      </tp>
      <tp>
        <v>0.35775071490600002</v>
        <stp/>
        <stp>EM_S_FA_ASSETSTURN</stp>
        <stp>3</stp>
        <stp>000929</stp>
        <stp>12/31/2018</stp>
        <stp>1</stp>
        <tr r="K3580" s="1"/>
      </tp>
      <tp>
        <v>3.1612002255120002</v>
        <stp/>
        <stp>EM_S_FA_ASSETSTURN</stp>
        <stp>3</stp>
        <stp>000829</stp>
        <stp>12/31/2018</stp>
        <stp>1</stp>
        <tr r="K3551" s="1"/>
      </tp>
      <tp>
        <v>1.438221294339</v>
        <stp/>
        <stp>EM_S_FA_ASSETSTURN</stp>
        <stp>3</stp>
        <stp>600849</stp>
        <stp>12/31/2018</stp>
        <stp>1</stp>
        <tr r="K2335" s="1"/>
      </tp>
      <tp>
        <v>0.53371135363400002</v>
        <stp/>
        <stp>EM_S_FA_ASSETSTURN</stp>
        <stp>3</stp>
        <stp>300319</stp>
        <stp>12/31/2018</stp>
        <stp>1</stp>
        <tr r="K128" s="1"/>
      </tp>
      <tp>
        <v>0</v>
        <stp/>
        <stp>EM_S_FA_ASSETSTURN</stp>
        <stp>3</stp>
        <stp>600349</stp>
        <stp>12/31/2018</stp>
        <stp>1</stp>
        <tr r="K12" s="1"/>
      </tp>
      <tp>
        <v>0.82394250586399997</v>
        <stp/>
        <stp>EM_S_FA_ASSETSTURN</stp>
        <stp>3</stp>
        <stp>300219</stp>
        <stp>12/31/2018</stp>
        <stp>1</stp>
        <tr r="K2822" s="1"/>
      </tp>
      <tp>
        <v>0.47534460259099998</v>
        <stp/>
        <stp>EM_S_FA_ASSETSTURN</stp>
        <stp>3</stp>
        <stp>600249</stp>
        <stp>12/31/2018</stp>
        <stp>1</stp>
        <tr r="K1050" s="1"/>
      </tp>
      <tp>
        <v>0.40180121113400002</v>
        <stp/>
        <stp>EM_S_FA_ASSETSTURN</stp>
        <stp>3</stp>
        <stp>300119</stp>
        <stp>12/31/2018</stp>
        <stp>1</stp>
        <tr r="K217" s="1"/>
      </tp>
      <tp>
        <v>0.142444132424</v>
        <stp/>
        <stp>EM_S_FA_ASSETSTURN</stp>
        <stp>3</stp>
        <stp>600149</stp>
        <stp>12/31/2018</stp>
        <stp>1</stp>
        <tr r="K1642" s="1"/>
      </tp>
      <tp>
        <v>0.50263389110699996</v>
        <stp/>
        <stp>EM_S_FA_ASSETSTURN</stp>
        <stp>3</stp>
        <stp>000029</stp>
        <stp>12/31/2018</stp>
        <stp>1</stp>
        <tr r="K2341" s="1"/>
      </tp>
      <tp>
        <v>0.87276615515800005</v>
        <stp/>
        <stp>EM_S_FA_ASSETSTURN</stp>
        <stp>3</stp>
        <stp>300019</stp>
        <stp>12/31/2018</stp>
        <stp>1</stp>
        <tr r="K390" s="1"/>
      </tp>
      <tp>
        <v>0.63396892767799995</v>
        <stp/>
        <stp>EM_S_FA_ASSETSTURN</stp>
        <stp>3</stp>
        <stp>000729</stp>
        <stp>12/31/2018</stp>
        <stp>1</stp>
        <tr r="K1469" s="1"/>
      </tp>
      <tp>
        <v>0.438690035338</v>
        <stp/>
        <stp>EM_S_FA_ASSETSTURN</stp>
        <stp>3</stp>
        <stp>300719</stp>
        <stp>12/31/2018</stp>
        <stp>1</stp>
        <tr r="K1490" s="1"/>
      </tp>
      <tp>
        <v>0.13304610727300001</v>
        <stp/>
        <stp>EM_S_FA_ASSETSTURN</stp>
        <stp>3</stp>
        <stp>600749</stp>
        <stp>12/31/2018</stp>
        <stp>1</stp>
        <tr r="K2258" s="1"/>
      </tp>
      <tp>
        <v>1.3574056936350001</v>
        <stp/>
        <stp>EM_S_FA_ASSETSTURN</stp>
        <stp>3</stp>
        <stp>000629</stp>
        <stp>12/31/2018</stp>
        <stp>1</stp>
        <tr r="K2438" s="1"/>
      </tp>
      <tp>
        <v>0.70109603685800004</v>
        <stp/>
        <stp>EM_S_FA_ASSETSTURN</stp>
        <stp>3</stp>
        <stp>300619</stp>
        <stp>12/31/2018</stp>
        <stp>1</stp>
        <tr r="K2952" s="1"/>
      </tp>
      <tp>
        <v>0.18532526094099999</v>
        <stp/>
        <stp>EM_S_FA_ASSETSTURN</stp>
        <stp>3</stp>
        <stp>600649</stp>
        <stp>12/31/2018</stp>
        <stp>1</stp>
        <tr r="K2008" s="1"/>
      </tp>
      <tp>
        <v>1.2037927816909999</v>
        <stp/>
        <stp>EM_S_FA_ASSETSTURN</stp>
        <stp>3</stp>
        <stp>000529</stp>
        <stp>12/31/2018</stp>
        <stp>1</stp>
        <tr r="K546" s="1"/>
      </tp>
      <tp>
        <v>0.34585184758699999</v>
        <stp/>
        <stp>EM_S_FA_ASSETSTURN</stp>
        <stp>3</stp>
        <stp>300519</stp>
        <stp>12/31/2018</stp>
        <stp>1</stp>
        <tr r="K2466" s="1"/>
      </tp>
      <tp>
        <v>0.94578395955299999</v>
        <stp/>
        <stp>EM_S_FA_ASSETSTURN</stp>
        <stp>3</stp>
        <stp>600549</stp>
        <stp>12/31/2018</stp>
        <stp>1</stp>
        <tr r="K1788" s="1"/>
      </tp>
      <tp>
        <v>0.19614686201699999</v>
        <stp/>
        <stp>EM_S_FA_ASSETSTURN</stp>
        <stp>3</stp>
        <stp>000429</stp>
        <stp>12/31/2018</stp>
        <stp>1</stp>
        <tr r="K2465" s="1"/>
      </tp>
      <tp>
        <v>0.36187494423700001</v>
        <stp/>
        <stp>EM_S_FA_ASSETSTURN</stp>
        <stp>3</stp>
        <stp>300419</stp>
        <stp>12/31/2018</stp>
        <stp>1</stp>
        <tr r="K1348" s="1"/>
      </tp>
      <tp>
        <v>0.57748620228000003</v>
        <stp/>
        <stp>EM_S_FA_ASSETSTURN</stp>
        <stp>3</stp>
        <stp>600449</stp>
        <stp>12/31/2018</stp>
        <stp>1</stp>
        <tr r="K621" s="1"/>
      </tp>
      <tp>
        <v>1.0258471291040001</v>
        <stp/>
        <stp>EM_S_FA_ASSETSTURN</stp>
        <stp>3</stp>
        <stp>002929</stp>
        <stp>12/31/2018</stp>
        <stp>1</stp>
        <tr r="K2978" s="1"/>
      </tp>
      <tp>
        <v>0.24358000202300001</v>
        <stp/>
        <stp>EM_S_FA_ASSETSTURN</stp>
        <stp>3</stp>
        <stp>002829</stp>
        <stp>12/31/2018</stp>
        <stp>1</stp>
        <tr r="K1147" s="1"/>
      </tp>
      <tp>
        <v>0.44943974650399998</v>
        <stp/>
        <stp>EM_S_FA_ASSETSTURN</stp>
        <stp>3</stp>
        <stp>002329</stp>
        <stp>12/31/2018</stp>
        <stp>1</stp>
        <tr r="K907" s="1"/>
      </tp>
      <tp>
        <v>0.33785525799600002</v>
        <stp/>
        <stp>EM_S_FA_ASSETSTURN</stp>
        <stp>3</stp>
        <stp>002229</stp>
        <stp>12/31/2018</stp>
        <stp>1</stp>
        <tr r="K2717" s="1"/>
      </tp>
      <tp>
        <v>0.37326966775600001</v>
        <stp/>
        <stp>EM_S_FA_ASSETSTURN</stp>
        <stp>3</stp>
        <stp>002129</stp>
        <stp>12/31/2018</stp>
        <stp>1</stp>
        <tr r="K384" s="1"/>
      </tp>
      <tp>
        <v>0.40954664625600001</v>
        <stp/>
        <stp>EM_S_FA_ASSETSTURN</stp>
        <stp>3</stp>
        <stp>002029</stp>
        <stp>12/31/2018</stp>
        <stp>1</stp>
        <tr r="K2562" s="1"/>
      </tp>
      <tp>
        <v>0.377708237291</v>
        <stp/>
        <stp>EM_S_FA_ASSETSTURN</stp>
        <stp>3</stp>
        <stp>002729</stp>
        <stp>12/31/2018</stp>
        <stp>1</stp>
        <tr r="K92" s="1"/>
      </tp>
      <tp>
        <v>4.6497568744439999</v>
        <stp/>
        <stp>EM_S_FA_ASSETSTURN</stp>
        <stp>3</stp>
        <stp>002629</stp>
        <stp>12/31/2018</stp>
        <stp>1</stp>
        <tr r="K3220" s="1"/>
      </tp>
      <tp>
        <v>0.125940504604</v>
        <stp/>
        <stp>EM_S_FA_ASSETSTURN</stp>
        <stp>3</stp>
        <stp>002529</stp>
        <stp>12/31/2018</stp>
        <stp>1</stp>
        <tr r="K2916" s="1"/>
      </tp>
      <tp>
        <v>0.72933897261699998</v>
        <stp/>
        <stp>EM_S_FA_ASSETSTURN</stp>
        <stp>3</stp>
        <stp>002429</stp>
        <stp>12/31/2018</stp>
        <stp>1</stp>
        <tr r="K242" s="1"/>
      </tp>
      <tp>
        <v>-0.32298743103311073</v>
        <stp/>
        <stp>EM_S_RATIO_EPS_TTM</stp>
        <stp>3</stp>
        <stp>002199</stp>
        <stp>12/31/2018</stp>
        <stp>1</stp>
        <tr r="U2124" s="1"/>
      </tp>
      <tp>
        <v>0.37373131430670331</v>
        <stp/>
        <stp>EM_S_RATIO_EPS_TTM</stp>
        <stp>3</stp>
        <stp>002099</stp>
        <stp>12/31/2018</stp>
        <stp>1</stp>
        <tr r="U498" s="1"/>
      </tp>
      <tp>
        <v>0.49406104835629699</v>
        <stp/>
        <stp>EM_S_RATIO_EPS_TTM</stp>
        <stp>3</stp>
        <stp>002399</stp>
        <stp>12/31/2018</stp>
        <stp>1</stp>
        <tr r="U2973" s="1"/>
      </tp>
      <tp>
        <v>1.2146097933703948</v>
        <stp/>
        <stp>EM_S_RATIO_EPS_TTM</stp>
        <stp>3</stp>
        <stp>002299</stp>
        <stp>12/31/2018</stp>
        <stp>1</stp>
        <tr r="U644" s="1"/>
      </tp>
      <tp>
        <v>0.38238549304485797</v>
        <stp/>
        <stp>EM_S_RATIO_EPS_TTM</stp>
        <stp>3</stp>
        <stp>002599</stp>
        <stp>12/31/2018</stp>
        <stp>1</stp>
        <tr r="U3370" s="1"/>
      </tp>
      <tp>
        <v>-2.8492515705820107</v>
        <stp/>
        <stp>EM_S_RATIO_EPS_TTM</stp>
        <stp>3</stp>
        <stp>002499</stp>
        <stp>12/31/2018</stp>
        <stp>1</stp>
        <tr r="U3287" s="1"/>
      </tp>
      <tp>
        <v>0.18741513140000002</v>
        <stp/>
        <stp>EM_S_RATIO_EPS_TTM</stp>
        <stp>3</stp>
        <stp>002799</stp>
        <stp>12/31/2018</stp>
        <stp>1</stp>
        <tr r="U657" s="1"/>
      </tp>
      <tp>
        <v>-0.25233399504146298</v>
        <stp/>
        <stp>EM_S_RATIO_EPS_TTM</stp>
        <stp>3</stp>
        <stp>002699</stp>
        <stp>12/31/2018</stp>
        <stp>1</stp>
        <tr r="U1025" s="1"/>
      </tp>
      <tp>
        <v>0.52238862424999999</v>
        <stp/>
        <stp>EM_S_RATIO_EPS_TTM</stp>
        <stp>3</stp>
        <stp>002899</stp>
        <stp>12/31/2018</stp>
        <stp>1</stp>
        <tr r="U2501" s="1"/>
      </tp>
      <tp>
        <v>0.24825310741943157</v>
        <stp/>
        <stp>EM_S_RATIO_EPS_TTM</stp>
        <stp>3</stp>
        <stp>000099</stp>
        <stp>12/31/2018</stp>
        <stp>1</stp>
        <tr r="U899" s="1"/>
      </tp>
      <tp>
        <v>3.2921803117598854E-2</v>
        <stp/>
        <stp>EM_S_RATIO_EPS_TTM</stp>
        <stp>3</stp>
        <stp>000599</stp>
        <stp>12/31/2018</stp>
        <stp>1</stp>
        <tr r="U3476" s="1"/>
      </tp>
      <tp>
        <v>0.68531543572998621</v>
        <stp/>
        <stp>EM_S_RATIO_EPS_TTM</stp>
        <stp>3</stp>
        <stp>000799</stp>
        <stp>12/31/2018</stp>
        <stp>1</stp>
        <tr r="U114" s="1"/>
      </tp>
      <tp>
        <v>0.15048319364049675</v>
        <stp/>
        <stp>EM_S_RATIO_EPS_TTM</stp>
        <stp>3</stp>
        <stp>000699</stp>
        <stp>12/31/2018</stp>
        <stp>1</stp>
        <tr r="U3515" s="1"/>
      </tp>
      <tp>
        <v>1.4629463700377976</v>
        <stp/>
        <stp>EM_S_RATIO_EPS_TTM</stp>
        <stp>3</stp>
        <stp>000999</stp>
        <stp>12/31/2018</stp>
        <stp>1</stp>
        <tr r="U1163" s="1"/>
      </tp>
      <tp>
        <v>0.19320244728136471</v>
        <stp/>
        <stp>EM_S_RATIO_EPS_TTM</stp>
        <stp>3</stp>
        <stp>000899</stp>
        <stp>12/31/2018</stp>
        <stp>1</stp>
        <tr r="U1690" s="1"/>
      </tp>
      <tp>
        <v>7.0695391294160664E-2</v>
        <stp/>
        <stp>EM_S_RATIO_EPS_TTM</stp>
        <stp>3</stp>
        <stp>002198</stp>
        <stp>12/31/2018</stp>
        <stp>1</stp>
        <tr r="U2082" s="1"/>
      </tp>
      <tp>
        <v>-1.814885895810056</v>
        <stp/>
        <stp>EM_S_RATIO_EPS_TTM</stp>
        <stp>3</stp>
        <stp>002098</stp>
        <stp>12/31/2018</stp>
        <stp>1</stp>
        <tr r="U3633" s="1"/>
      </tp>
      <tp>
        <v>0.35968636377820234</v>
        <stp/>
        <stp>EM_S_RATIO_EPS_TTM</stp>
        <stp>3</stp>
        <stp>002398</stp>
        <stp>12/31/2018</stp>
        <stp>1</stp>
        <tr r="U850" s="1"/>
      </tp>
      <tp>
        <v>0.25272765598830776</v>
        <stp/>
        <stp>EM_S_RATIO_EPS_TTM</stp>
        <stp>3</stp>
        <stp>002298</stp>
        <stp>12/31/2018</stp>
        <stp>1</stp>
        <tr r="U1002" s="1"/>
      </tp>
      <tp>
        <v>0.26928666448717947</v>
        <stp/>
        <stp>EM_S_RATIO_EPS_TTM</stp>
        <stp>3</stp>
        <stp>002598</stp>
        <stp>12/31/2018</stp>
        <stp>1</stp>
        <tr r="U2728" s="1"/>
      </tp>
      <tp>
        <v>6.6542516598553092E-2</v>
        <stp/>
        <stp>EM_S_RATIO_EPS_TTM</stp>
        <stp>3</stp>
        <stp>002498</stp>
        <stp>12/31/2018</stp>
        <stp>1</stp>
        <tr r="U544" s="1"/>
      </tp>
      <tp>
        <v>0.98758449824655503</v>
        <stp/>
        <stp>EM_S_RATIO_EPS_TTM</stp>
        <stp>3</stp>
        <stp>002798</stp>
        <stp>12/31/2018</stp>
        <stp>1</stp>
        <tr r="U231" s="1"/>
      </tp>
      <tp>
        <v>0.26709086466187471</v>
        <stp/>
        <stp>EM_S_RATIO_EPS_TTM</stp>
        <stp>3</stp>
        <stp>002698</stp>
        <stp>12/31/2018</stp>
        <stp>1</stp>
        <tr r="U1301" s="1"/>
      </tp>
      <tp>
        <v>0.38065532087500004</v>
        <stp/>
        <stp>EM_S_RATIO_EPS_TTM</stp>
        <stp>3</stp>
        <stp>002898</stp>
        <stp>12/31/2018</stp>
        <stp>1</stp>
        <tr r="U2713" s="1"/>
      </tp>
      <tp>
        <v>0.33086320571718147</v>
        <stp/>
        <stp>EM_S_RATIO_EPS_TTM</stp>
        <stp>3</stp>
        <stp>000598</stp>
        <stp>12/31/2018</stp>
        <stp>1</stp>
        <tr r="U1507" s="1"/>
      </tp>
      <tp>
        <v>0.59244358280182574</v>
        <stp/>
        <stp>EM_S_RATIO_EPS_TTM</stp>
        <stp>3</stp>
        <stp>000498</stp>
        <stp>12/31/2018</stp>
        <stp>1</stp>
        <tr r="U2686" s="1"/>
      </tp>
      <tp>
        <v>0.17918190424316413</v>
        <stp/>
        <stp>EM_S_RATIO_EPS_TTM</stp>
        <stp>3</stp>
        <stp>000798</stp>
        <stp>12/31/2018</stp>
        <stp>1</stp>
        <tr r="U3541" s="1"/>
      </tp>
      <tp>
        <v>0.14388118072044359</v>
        <stp/>
        <stp>EM_S_RATIO_EPS_TTM</stp>
        <stp>3</stp>
        <stp>000698</stp>
        <stp>12/31/2018</stp>
        <stp>1</stp>
        <tr r="U3514" s="1"/>
      </tp>
      <tp>
        <v>0.60062288680408804</v>
        <stp/>
        <stp>EM_S_RATIO_EPS_TTM</stp>
        <stp>3</stp>
        <stp>000998</stp>
        <stp>12/31/2018</stp>
        <stp>1</stp>
        <tr r="U2742" s="1"/>
      </tp>
      <tp>
        <v>1.0991307811025544</v>
        <stp/>
        <stp>EM_S_RATIO_EPS_TTM</stp>
        <stp>3</stp>
        <stp>000898</stp>
        <stp>12/31/2018</stp>
        <stp>1</stp>
        <tr r="U3280" s="1"/>
      </tp>
      <tp>
        <v>0.65132301586499997</v>
        <stp/>
        <stp>EM_S_FA_ASSETSTURN</stp>
        <stp>3</stp>
        <stp>000922</stp>
        <stp>12/31/2018</stp>
        <stp>1</stp>
        <tr r="K1487" s="1"/>
      </tp>
      <tp>
        <v>1.1840461408030001</v>
        <stp/>
        <stp>EM_S_FA_ASSETSTURN</stp>
        <stp>3</stp>
        <stp>000822</stp>
        <stp>12/31/2018</stp>
        <stp>1</stp>
        <tr r="K2171" s="1"/>
      </tp>
      <tp>
        <v>0</v>
        <stp/>
        <stp>EM_S_FA_ASSETSTURN</stp>
        <stp>3</stp>
        <stp>600842</stp>
        <stp>12/31/2018</stp>
        <stp>1</stp>
        <tr r="K2330" s="1"/>
      </tp>
      <tp>
        <v>0.190266706369</v>
        <stp/>
        <stp>EM_S_FA_ASSETSTURN</stp>
        <stp>3</stp>
        <stp>300312</stp>
        <stp>12/31/2018</stp>
        <stp>1</stp>
        <tr r="K3298" s="1"/>
      </tp>
      <tp>
        <v>0.293319764935</v>
        <stp/>
        <stp>EM_S_FA_ASSETSTURN</stp>
        <stp>3</stp>
        <stp>300212</stp>
        <stp>12/31/2018</stp>
        <stp>1</stp>
        <tr r="K426" s="1"/>
      </tp>
      <tp>
        <v>0.88552502525200005</v>
        <stp/>
        <stp>EM_S_FA_ASSETSTURN</stp>
        <stp>3</stp>
        <stp>600242</stp>
        <stp>12/31/2018</stp>
        <stp>1</stp>
        <tr r="K3360" s="1"/>
      </tp>
      <tp>
        <v>0.492177021484</v>
        <stp/>
        <stp>EM_S_FA_ASSETSTURN</stp>
        <stp>3</stp>
        <stp>300112</stp>
        <stp>12/31/2018</stp>
        <stp>1</stp>
        <tr r="K580" s="1"/>
      </tp>
      <tp>
        <v>0.142703742454</v>
        <stp/>
        <stp>EM_S_FA_ASSETSTURN</stp>
        <stp>3</stp>
        <stp>000022</stp>
        <stp>12/31/2018</stp>
        <stp>1</stp>
        <tr r="K3" s="1"/>
      </tp>
      <tp>
        <v>0.70774529430499999</v>
        <stp/>
        <stp>EM_S_FA_ASSETSTURN</stp>
        <stp>3</stp>
        <stp>300012</stp>
        <stp>12/31/2018</stp>
        <stp>1</stp>
        <tr r="K112" s="1"/>
      </tp>
      <tp>
        <v>8.4141418740000001E-2</v>
        <stp/>
        <stp>EM_S_FA_ASSETSTURN</stp>
        <stp>3</stp>
        <stp>000722</stp>
        <stp>12/31/2018</stp>
        <stp>1</stp>
        <tr r="K1665" s="1"/>
      </tp>
      <tp>
        <v>0.52306972982599997</v>
        <stp/>
        <stp>EM_S_FA_ASSETSTURN</stp>
        <stp>3</stp>
        <stp>300712</stp>
        <stp>12/31/2018</stp>
        <stp>1</stp>
        <tr r="K3068" s="1"/>
      </tp>
      <tp>
        <v>1.4957326330309999</v>
        <stp/>
        <stp>EM_S_FA_ASSETSTURN</stp>
        <stp>3</stp>
        <stp>600742</stp>
        <stp>12/31/2018</stp>
        <stp>1</stp>
        <tr r="K1197" s="1"/>
      </tp>
      <tp>
        <v>0.529921662558</v>
        <stp/>
        <stp>EM_S_FA_ASSETSTURN</stp>
        <stp>3</stp>
        <stp>000622</stp>
        <stp>12/31/2018</stp>
        <stp>1</stp>
        <tr r="K3279" s="1"/>
      </tp>
      <tp>
        <v>0.65994431871299997</v>
        <stp/>
        <stp>EM_S_FA_ASSETSTURN</stp>
        <stp>3</stp>
        <stp>300612</stp>
        <stp>12/31/2018</stp>
        <stp>1</stp>
        <tr r="K1593" s="1"/>
      </tp>
      <tp>
        <v>0.63708412109900003</v>
        <stp/>
        <stp>EM_S_FA_ASSETSTURN</stp>
        <stp>3</stp>
        <stp>600642</stp>
        <stp>12/31/2018</stp>
        <stp>1</stp>
        <tr r="K1343" s="1"/>
      </tp>
      <tp>
        <v>0</v>
        <stp/>
        <stp>EM_S_FA_ASSETSTURN</stp>
        <stp>3</stp>
        <stp>000522</stp>
        <stp>12/31/2018</stp>
        <stp>1</stp>
        <tr r="K3442" s="1"/>
      </tp>
      <tp>
        <v>0.35020730810799999</v>
        <stp/>
        <stp>EM_S_FA_ASSETSTURN</stp>
        <stp>3</stp>
        <stp>300512</stp>
        <stp>12/31/2018</stp>
        <stp>1</stp>
        <tr r="K2554" s="1"/>
      </tp>
      <tp>
        <v>0.45370306161399998</v>
        <stp/>
        <stp>EM_S_FA_ASSETSTURN</stp>
        <stp>3</stp>
        <stp>000422</stp>
        <stp>12/31/2018</stp>
        <stp>1</stp>
        <tr r="K2350" s="1"/>
      </tp>
      <tp>
        <v>0.45078893649399998</v>
        <stp/>
        <stp>EM_S_FA_ASSETSTURN</stp>
        <stp>3</stp>
        <stp>300412</stp>
        <stp>12/31/2018</stp>
        <stp>1</stp>
        <tr r="K2243" s="1"/>
      </tp>
      <tp>
        <v>0.56673200016199998</v>
        <stp/>
        <stp>EM_S_FA_ASSETSTURN</stp>
        <stp>3</stp>
        <stp>603042</stp>
        <stp>12/31/2018</stp>
        <stp>1</stp>
        <tr r="K2387" s="1"/>
      </tp>
      <tp>
        <v>0.80701330414799999</v>
        <stp/>
        <stp>EM_S_FA_ASSETSTURN</stp>
        <stp>3</stp>
        <stp>002922</stp>
        <stp>12/31/2018</stp>
        <stp>1</stp>
        <tr r="K2884" s="1"/>
      </tp>
      <tp>
        <v>0.93453073045299995</v>
        <stp/>
        <stp>EM_S_FA_ASSETSTURN</stp>
        <stp>3</stp>
        <stp>002822</stp>
        <stp>12/31/2018</stp>
        <stp>1</stp>
        <tr r="K219" s="1"/>
      </tp>
      <tp>
        <v>0.28361004858</v>
        <stp/>
        <stp>EM_S_FA_ASSETSTURN</stp>
        <stp>3</stp>
        <stp>002322</stp>
        <stp>12/31/2018</stp>
        <stp>1</stp>
        <tr r="K932" s="1"/>
      </tp>
      <tp>
        <v>0.52119084841999996</v>
        <stp/>
        <stp>EM_S_FA_ASSETSTURN</stp>
        <stp>3</stp>
        <stp>002222</stp>
        <stp>12/31/2018</stp>
        <stp>1</stp>
        <tr r="K1041" s="1"/>
      </tp>
      <tp>
        <v>0.21525369503299999</v>
        <stp/>
        <stp>EM_S_FA_ASSETSTURN</stp>
        <stp>3</stp>
        <stp>002122</stp>
        <stp>12/31/2018</stp>
        <stp>1</stp>
        <tr r="K3640" s="1"/>
      </tp>
      <tp>
        <v>0.64000298225499996</v>
        <stp/>
        <stp>EM_S_FA_ASSETSTURN</stp>
        <stp>3</stp>
        <stp>002022</stp>
        <stp>12/31/2018</stp>
        <stp>1</stp>
        <tr r="K1340" s="1"/>
      </tp>
      <tp>
        <v>0.84918962166400003</v>
        <stp/>
        <stp>EM_S_FA_ASSETSTURN</stp>
        <stp>3</stp>
        <stp>002722</stp>
        <stp>12/31/2018</stp>
        <stp>1</stp>
        <tr r="K1754" s="1"/>
      </tp>
      <tp>
        <v>0.23487034690200001</v>
        <stp/>
        <stp>EM_S_FA_ASSETSTURN</stp>
        <stp>3</stp>
        <stp>002622</stp>
        <stp>12/31/2018</stp>
        <stp>1</stp>
        <tr r="K1510" s="1"/>
      </tp>
      <tp>
        <v>0.34711220379199997</v>
        <stp/>
        <stp>EM_S_FA_ASSETSTURN</stp>
        <stp>3</stp>
        <stp>002522</stp>
        <stp>12/31/2018</stp>
        <stp>1</stp>
        <tr r="K1044" s="1"/>
      </tp>
      <tp>
        <v>0.57025502978700005</v>
        <stp/>
        <stp>EM_S_FA_ASSETSTURN</stp>
        <stp>3</stp>
        <stp>002422</stp>
        <stp>12/31/2018</stp>
        <stp>1</stp>
        <tr r="K1614" s="1"/>
      </tp>
      <tp>
        <v>0.30775748403168429</v>
        <stp/>
        <stp>EM_S_RATIO_EPS_TTM</stp>
        <stp>3</stp>
        <stp>002195</stp>
        <stp>12/31/2018</stp>
        <stp>1</stp>
        <tr r="U2857" s="1"/>
      </tp>
      <tp>
        <v>0.13788582648781261</v>
        <stp/>
        <stp>EM_S_RATIO_EPS_TTM</stp>
        <stp>3</stp>
        <stp>002095</stp>
        <stp>12/31/2018</stp>
        <stp>1</stp>
        <tr r="U1584" s="1"/>
      </tp>
      <tp>
        <v>0.12437626830195855</v>
        <stp/>
        <stp>EM_S_RATIO_EPS_TTM</stp>
        <stp>3</stp>
        <stp>002395</stp>
        <stp>12/31/2018</stp>
        <stp>1</stp>
        <tr r="U101" s="1"/>
      </tp>
      <tp>
        <v>0.19070692956555049</v>
        <stp/>
        <stp>EM_S_RATIO_EPS_TTM</stp>
        <stp>3</stp>
        <stp>002295</stp>
        <stp>12/31/2018</stp>
        <stp>1</stp>
        <tr r="U2213" s="1"/>
      </tp>
      <tp>
        <v>0.9238778848625</v>
        <stp/>
        <stp>EM_S_RATIO_EPS_TTM</stp>
        <stp>3</stp>
        <stp>002595</stp>
        <stp>12/31/2018</stp>
        <stp>1</stp>
        <tr r="U1354" s="1"/>
      </tp>
      <tp>
        <v>3.7615441272662913E-2</v>
        <stp/>
        <stp>EM_S_RATIO_EPS_TTM</stp>
        <stp>3</stp>
        <stp>002495</stp>
        <stp>12/31/2018</stp>
        <stp>1</stp>
        <tr r="U2707" s="1"/>
      </tp>
      <tp>
        <v>0.40666313674999999</v>
        <stp/>
        <stp>EM_S_RATIO_EPS_TTM</stp>
        <stp>3</stp>
        <stp>002795</stp>
        <stp>12/31/2018</stp>
        <stp>1</stp>
        <tr r="U2685" s="1"/>
      </tp>
      <tp>
        <v>0.33648080261549279</v>
        <stp/>
        <stp>EM_S_RATIO_EPS_TTM</stp>
        <stp>3</stp>
        <stp>002695</stp>
        <stp>12/31/2018</stp>
        <stp>1</stp>
        <tr r="U430" s="1"/>
      </tp>
      <tp>
        <v>0.18967910202587679</v>
        <stp/>
        <stp>EM_S_RATIO_EPS_TTM</stp>
        <stp>3</stp>
        <stp>002895</stp>
        <stp>12/31/2018</stp>
        <stp>1</stp>
        <tr r="U2097" s="1"/>
      </tp>
      <tp>
        <v>-0.12847977236069147</v>
        <stp/>
        <stp>EM_S_RATIO_EPS_TTM</stp>
        <stp>3</stp>
        <stp>000595</stp>
        <stp>12/31/2018</stp>
        <stp>1</stp>
        <tr r="U3475" s="1"/>
      </tp>
      <tp>
        <v>9.8934171629643117E-2</v>
        <stp/>
        <stp>EM_S_RATIO_EPS_TTM</stp>
        <stp>3</stp>
        <stp>000795</stp>
        <stp>12/31/2018</stp>
        <stp>1</stp>
        <tr r="U292" s="1"/>
      </tp>
      <tp>
        <v>0.16436954748348576</v>
        <stp/>
        <stp>EM_S_RATIO_EPS_TTM</stp>
        <stp>3</stp>
        <stp>000695</stp>
        <stp>12/31/2018</stp>
        <stp>1</stp>
        <tr r="U2992" s="1"/>
      </tp>
      <tp>
        <v>-0.53820284834956711</v>
        <stp/>
        <stp>EM_S_RATIO_EPS_TTM</stp>
        <stp>3</stp>
        <stp>000995</stp>
        <stp>12/31/2018</stp>
        <stp>1</stp>
        <tr r="U3601" s="1"/>
      </tp>
      <tp>
        <v>1.4894421572672545</v>
        <stp/>
        <stp>EM_S_RATIO_EPS_TTM</stp>
        <stp>3</stp>
        <stp>000895</stp>
        <stp>12/31/2018</stp>
        <stp>1</stp>
        <tr r="U3567" s="1"/>
      </tp>
      <tp>
        <v>0.383021846926</v>
        <stp/>
        <stp>EM_S_FA_ASSETSTURN</stp>
        <stp>3</stp>
        <stp>000923</stp>
        <stp>12/31/2018</stp>
        <stp>1</stp>
        <tr r="K3577" s="1"/>
      </tp>
      <tp>
        <v>0.93885209053899998</v>
        <stp/>
        <stp>EM_S_FA_ASSETSTURN</stp>
        <stp>3</stp>
        <stp>000823</stp>
        <stp>12/31/2018</stp>
        <stp>1</stp>
        <tr r="K267" s="1"/>
      </tp>
      <tp>
        <v>0.81566606779499995</v>
        <stp/>
        <stp>EM_S_FA_ASSETSTURN</stp>
        <stp>3</stp>
        <stp>600843</stp>
        <stp>12/31/2018</stp>
        <stp>1</stp>
        <tr r="K1525" s="1"/>
      </tp>
      <tp>
        <v>0.100503283067</v>
        <stp/>
        <stp>EM_S_FA_ASSETSTURN</stp>
        <stp>3</stp>
        <stp>300313</stp>
        <stp>12/31/2018</stp>
        <stp>1</stp>
        <tr r="K2939" s="1"/>
      </tp>
      <tp>
        <v>0.42683090353000003</v>
        <stp/>
        <stp>EM_S_FA_ASSETSTURN</stp>
        <stp>3</stp>
        <stp>600343</stp>
        <stp>12/31/2018</stp>
        <stp>1</stp>
        <tr r="K1225" s="1"/>
      </tp>
      <tp>
        <v>0.40463312509900001</v>
        <stp/>
        <stp>EM_S_FA_ASSETSTURN</stp>
        <stp>3</stp>
        <stp>300213</stp>
        <stp>12/31/2018</stp>
        <stp>1</stp>
        <tr r="K1437" s="1"/>
      </tp>
      <tp>
        <v>0.28282979539800002</v>
        <stp/>
        <stp>EM_S_FA_ASSETSTURN</stp>
        <stp>3</stp>
        <stp>600243</stp>
        <stp>12/31/2018</stp>
        <stp>1</stp>
        <tr r="K1495" s="1"/>
      </tp>
      <tp>
        <v>0.50465042942299998</v>
        <stp/>
        <stp>EM_S_FA_ASSETSTURN</stp>
        <stp>3</stp>
        <stp>300113</stp>
        <stp>12/31/2018</stp>
        <stp>1</stp>
        <tr r="K165" s="1"/>
      </tp>
      <tp>
        <v>1.1717774292150001</v>
        <stp/>
        <stp>EM_S_FA_ASSETSTURN</stp>
        <stp>3</stp>
        <stp>600143</stp>
        <stp>12/31/2018</stp>
        <stp>1</stp>
        <tr r="K610" s="1"/>
      </tp>
      <tp>
        <v>0.75434651946300002</v>
        <stp/>
        <stp>EM_S_FA_ASSETSTURN</stp>
        <stp>3</stp>
        <stp>000023</stp>
        <stp>12/31/2018</stp>
        <stp>1</stp>
        <tr r="K2109" s="1"/>
      </tp>
      <tp>
        <v>0.43694463949700002</v>
        <stp/>
        <stp>EM_S_FA_ASSETSTURN</stp>
        <stp>3</stp>
        <stp>300013</stp>
        <stp>12/31/2018</stp>
        <stp>1</stp>
        <tr r="K2628" s="1"/>
      </tp>
      <tp>
        <v>0.93202049445400004</v>
        <stp/>
        <stp>EM_S_FA_ASSETSTURN</stp>
        <stp>3</stp>
        <stp>000723</stp>
        <stp>12/31/2018</stp>
        <stp>1</stp>
        <tr r="K44" s="1"/>
      </tp>
      <tp>
        <v>0.32446500108100002</v>
        <stp/>
        <stp>EM_S_FA_ASSETSTURN</stp>
        <stp>3</stp>
        <stp>300713</stp>
        <stp>12/31/2018</stp>
        <stp>1</stp>
        <tr r="K3292" s="1"/>
      </tp>
      <tp>
        <v>0.16261562974800001</v>
        <stp/>
        <stp>EM_S_FA_ASSETSTURN</stp>
        <stp>3</stp>
        <stp>600743</stp>
        <stp>12/31/2018</stp>
        <stp>1</stp>
        <tr r="K2138" s="1"/>
      </tp>
      <tp>
        <v>0.14293074389800001</v>
        <stp/>
        <stp>EM_S_FA_ASSETSTURN</stp>
        <stp>3</stp>
        <stp>000623</stp>
        <stp>12/31/2018</stp>
        <stp>1</stp>
        <tr r="K1489" s="1"/>
      </tp>
      <tp>
        <v>0.36327260271200001</v>
        <stp/>
        <stp>EM_S_FA_ASSETSTURN</stp>
        <stp>3</stp>
        <stp>300613</stp>
        <stp>12/31/2018</stp>
        <stp>1</stp>
        <tr r="K258" s="1"/>
      </tp>
      <tp>
        <v>0.12386192912299999</v>
        <stp/>
        <stp>EM_S_FA_ASSETSTURN</stp>
        <stp>3</stp>
        <stp>600643</stp>
        <stp>12/31/2018</stp>
        <stp>1</stp>
        <tr r="K1527" s="1"/>
      </tp>
      <tp>
        <v>2.016244683249</v>
        <stp/>
        <stp>EM_S_FA_ASSETSTURN</stp>
        <stp>3</stp>
        <stp>000523</stp>
        <stp>12/31/2018</stp>
        <stp>1</stp>
        <tr r="K204" s="1"/>
      </tp>
      <tp>
        <v>0.54213406961099997</v>
        <stp/>
        <stp>EM_S_FA_ASSETSTURN</stp>
        <stp>3</stp>
        <stp>300513</stp>
        <stp>12/31/2018</stp>
        <stp>1</stp>
        <tr r="K3312" s="1"/>
      </tp>
      <tp>
        <v>0.17806348493999999</v>
        <stp/>
        <stp>EM_S_FA_ASSETSTURN</stp>
        <stp>3</stp>
        <stp>600543</stp>
        <stp>12/31/2018</stp>
        <stp>1</stp>
        <tr r="K2825" s="1"/>
      </tp>
      <tp>
        <v>0.55919524784800001</v>
        <stp/>
        <stp>EM_S_FA_ASSETSTURN</stp>
        <stp>3</stp>
        <stp>000423</stp>
        <stp>12/31/2018</stp>
        <stp>1</stp>
        <tr r="K3424" s="1"/>
      </tp>
      <tp>
        <v>1.3430963601649999</v>
        <stp/>
        <stp>EM_S_FA_ASSETSTURN</stp>
        <stp>3</stp>
        <stp>300413</stp>
        <stp>12/31/2018</stp>
        <stp>1</stp>
        <tr r="K2612" s="1"/>
      </tp>
      <tp>
        <v>0.59869257588400004</v>
        <stp/>
        <stp>EM_S_FA_ASSETSTURN</stp>
        <stp>3</stp>
        <stp>603843</stp>
        <stp>12/31/2018</stp>
        <stp>1</stp>
        <tr r="K3316" s="1"/>
      </tp>
      <tp>
        <v>1.0967143234750001</v>
        <stp/>
        <stp>EM_S_FA_ASSETSTURN</stp>
        <stp>3</stp>
        <stp>603043</stp>
        <stp>12/31/2018</stp>
        <stp>1</stp>
        <tr r="K1672" s="1"/>
      </tp>
      <tp>
        <v>1.1319095400270001</v>
        <stp/>
        <stp>EM_S_FA_ASSETSTURN</stp>
        <stp>3</stp>
        <stp>002923</stp>
        <stp>12/31/2018</stp>
        <stp>1</stp>
        <tr r="K3191" s="1"/>
      </tp>
      <tp>
        <v>0.69507174249899994</v>
        <stp/>
        <stp>EM_S_FA_ASSETSTURN</stp>
        <stp>3</stp>
        <stp>002823</stp>
        <stp>12/31/2018</stp>
        <stp>1</stp>
        <tr r="K2753" s="1"/>
      </tp>
      <tp>
        <v>0.106659698575</v>
        <stp/>
        <stp>EM_S_FA_ASSETSTURN</stp>
        <stp>3</stp>
        <stp>002323</stp>
        <stp>12/31/2018</stp>
        <stp>1</stp>
        <tr r="K80" s="1"/>
      </tp>
      <tp>
        <v>0.617930227306</v>
        <stp/>
        <stp>EM_S_FA_ASSETSTURN</stp>
        <stp>3</stp>
        <stp>002223</stp>
        <stp>12/31/2018</stp>
        <stp>1</stp>
        <tr r="K2176" s="1"/>
      </tp>
      <tp>
        <v>0.41296943548300002</v>
        <stp/>
        <stp>EM_S_FA_ASSETSTURN</stp>
        <stp>3</stp>
        <stp>002123</stp>
        <stp>12/31/2018</stp>
        <stp>1</stp>
        <tr r="K78" s="1"/>
      </tp>
      <tp>
        <v>8.2900763781000003E-2</v>
        <stp/>
        <stp>EM_S_FA_ASSETSTURN</stp>
        <stp>3</stp>
        <stp>002023</stp>
        <stp>12/31/2018</stp>
        <stp>1</stp>
        <tr r="K1575" s="1"/>
      </tp>
      <tp>
        <v>0.81692917127499998</v>
        <stp/>
        <stp>EM_S_FA_ASSETSTURN</stp>
        <stp>3</stp>
        <stp>002723</stp>
        <stp>12/31/2018</stp>
        <stp>1</stp>
        <tr r="K2029" s="1"/>
      </tp>
      <tp>
        <v>0.34131229004899999</v>
        <stp/>
        <stp>EM_S_FA_ASSETSTURN</stp>
        <stp>3</stp>
        <stp>002623</stp>
        <stp>12/31/2018</stp>
        <stp>1</stp>
        <tr r="K556" s="1"/>
      </tp>
      <tp>
        <v>0.40337912764</v>
        <stp/>
        <stp>EM_S_FA_ASSETSTURN</stp>
        <stp>3</stp>
        <stp>002523</stp>
        <stp>12/31/2018</stp>
        <stp>1</stp>
        <tr r="K2054" s="1"/>
      </tp>
      <tp>
        <v>0.30796913458000003</v>
        <stp/>
        <stp>EM_S_FA_ASSETSTURN</stp>
        <stp>3</stp>
        <stp>002423</stp>
        <stp>12/31/2018</stp>
        <stp>1</stp>
        <tr r="K1697" s="1"/>
      </tp>
      <tp>
        <v>0.33437242684317331</v>
        <stp/>
        <stp>EM_S_RATIO_EPS_TTM</stp>
        <stp>3</stp>
        <stp>002194</stp>
        <stp>12/31/2018</stp>
        <stp>1</stp>
        <tr r="U48" s="1"/>
      </tp>
      <tp>
        <v>0.15079429183709842</v>
        <stp/>
        <stp>EM_S_RATIO_EPS_TTM</stp>
        <stp>3</stp>
        <stp>002094</stp>
        <stp>12/31/2018</stp>
        <stp>1</stp>
        <tr r="U2354" s="1"/>
      </tp>
      <tp>
        <v>1.2058756559159716</v>
        <stp/>
        <stp>EM_S_RATIO_EPS_TTM</stp>
        <stp>3</stp>
        <stp>002394</stp>
        <stp>12/31/2018</stp>
        <stp>1</stp>
        <tr r="U2636" s="1"/>
      </tp>
      <tp>
        <v>1.3940735809777289</v>
        <stp/>
        <stp>EM_S_RATIO_EPS_TTM</stp>
        <stp>3</stp>
        <stp>002294</stp>
        <stp>12/31/2018</stp>
        <stp>1</stp>
        <tr r="U2519" s="1"/>
      </tp>
      <tp>
        <v>1.0190793326326748</v>
        <stp/>
        <stp>EM_S_RATIO_EPS_TTM</stp>
        <stp>3</stp>
        <stp>002594</stp>
        <stp>12/31/2018</stp>
        <stp>1</stp>
        <tr r="U2634" s="1"/>
      </tp>
      <tp>
        <v>4.3742285685263796E-2</v>
        <stp/>
        <stp>EM_S_RATIO_EPS_TTM</stp>
        <stp>3</stp>
        <stp>002494</stp>
        <stp>12/31/2018</stp>
        <stp>1</stp>
        <tr r="U2654" s="1"/>
      </tp>
      <tp>
        <v>-0.19381943950469929</v>
        <stp/>
        <stp>EM_S_RATIO_EPS_TTM</stp>
        <stp>3</stp>
        <stp>002694</stp>
        <stp>12/31/2018</stp>
        <stp>1</stp>
        <tr r="U3113" s="1"/>
      </tp>
      <tp>
        <v>-1.1515556849894186</v>
        <stp/>
        <stp>EM_S_RATIO_EPS_TTM</stp>
        <stp>3</stp>
        <stp>000594</stp>
        <stp>12/31/2018</stp>
        <stp>1</stp>
        <tr r="U3474" s="1"/>
      </tp>
      <tp>
        <v>0.576378864213</v>
        <stp/>
        <stp>EM_S_FA_ASSETSTURN</stp>
        <stp>3</stp>
        <stp>000920</stp>
        <stp>12/31/2018</stp>
        <stp>1</stp>
        <tr r="K969" s="1"/>
      </tp>
      <tp>
        <v>5.4300301739999999E-3</v>
        <stp/>
        <stp>EM_S_FA_ASSETSTURN</stp>
        <stp>3</stp>
        <stp>000820</stp>
        <stp>12/31/2018</stp>
        <stp>1</stp>
        <tr r="K3549" s="1"/>
      </tp>
      <tp>
        <v>0</v>
        <stp/>
        <stp>EM_S_FA_ASSETSTURN</stp>
        <stp>3</stp>
        <stp>600840</stp>
        <stp>12/31/2018</stp>
        <stp>1</stp>
        <tr r="K2329" s="1"/>
      </tp>
      <tp>
        <v>0.73021623931299995</v>
        <stp/>
        <stp>EM_S_FA_ASSETSTURN</stp>
        <stp>3</stp>
        <stp>300310</stp>
        <stp>12/31/2018</stp>
        <stp>1</stp>
        <tr r="K2231" s="1"/>
      </tp>
      <tp>
        <v>0.21334290178900001</v>
        <stp/>
        <stp>EM_S_FA_ASSETSTURN</stp>
        <stp>3</stp>
        <stp>600340</stp>
        <stp>12/31/2018</stp>
        <stp>1</stp>
        <tr r="K1641" s="1"/>
      </tp>
      <tp>
        <v>0.16215025052099999</v>
        <stp/>
        <stp>EM_S_FA_ASSETSTURN</stp>
        <stp>3</stp>
        <stp>300210</stp>
        <stp>12/31/2018</stp>
        <stp>1</stp>
        <tr r="K3058" s="1"/>
      </tp>
      <tp>
        <v>0.29622928806499998</v>
        <stp/>
        <stp>EM_S_FA_ASSETSTURN</stp>
        <stp>3</stp>
        <stp>600240</stp>
        <stp>12/31/2018</stp>
        <stp>1</stp>
        <tr r="K3408" s="1"/>
      </tp>
      <tp>
        <v>0.45842340890900002</v>
        <stp/>
        <stp>EM_S_FA_ASSETSTURN</stp>
        <stp>3</stp>
        <stp>300110</stp>
        <stp>12/31/2018</stp>
        <stp>1</stp>
        <tr r="K956" s="1"/>
      </tp>
      <tp>
        <v>1.0218474284750001</v>
        <stp/>
        <stp>EM_S_FA_ASSETSTURN</stp>
        <stp>3</stp>
        <stp>000020</stp>
        <stp>12/31/2018</stp>
        <stp>1</stp>
        <tr r="K2164" s="1"/>
      </tp>
      <tp>
        <v>0.25017117750099999</v>
        <stp/>
        <stp>EM_S_FA_ASSETSTURN</stp>
        <stp>3</stp>
        <stp>300010</stp>
        <stp>12/31/2018</stp>
        <stp>1</stp>
        <tr r="K280" s="1"/>
      </tp>
      <tp>
        <v>0.36488645304099998</v>
        <stp/>
        <stp>EM_S_FA_ASSETSTURN</stp>
        <stp>3</stp>
        <stp>000720</stp>
        <stp>12/31/2018</stp>
        <stp>1</stp>
        <tr r="K432" s="1"/>
      </tp>
      <tp>
        <v>0.477717137982</v>
        <stp/>
        <stp>EM_S_FA_ASSETSTURN</stp>
        <stp>3</stp>
        <stp>300710</stp>
        <stp>12/31/2018</stp>
        <stp>1</stp>
        <tr r="K1068" s="1"/>
      </tp>
      <tp>
        <v>0.461613185802</v>
        <stp/>
        <stp>EM_S_FA_ASSETSTURN</stp>
        <stp>3</stp>
        <stp>600740</stp>
        <stp>12/31/2018</stp>
        <stp>1</stp>
        <tr r="K2680" s="1"/>
      </tp>
      <tp>
        <v>0.26694688737299999</v>
        <stp/>
        <stp>EM_S_FA_ASSETSTURN</stp>
        <stp>3</stp>
        <stp>000620</stp>
        <stp>12/31/2018</stp>
        <stp>1</stp>
        <tr r="K2102" s="1"/>
      </tp>
      <tp>
        <v>0.92153193023500002</v>
        <stp/>
        <stp>EM_S_FA_ASSETSTURN</stp>
        <stp>3</stp>
        <stp>300610</stp>
        <stp>12/31/2018</stp>
        <stp>1</stp>
        <tr r="K2478" s="1"/>
      </tp>
      <tp>
        <v>0.68885140866399996</v>
        <stp/>
        <stp>EM_S_FA_ASSETSTURN</stp>
        <stp>3</stp>
        <stp>600640</stp>
        <stp>12/31/2018</stp>
        <stp>1</stp>
        <tr r="K66" s="1"/>
      </tp>
      <tp>
        <v>1.4616023782909999</v>
        <stp/>
        <stp>EM_S_FA_ASSETSTURN</stp>
        <stp>3</stp>
        <stp>000520</stp>
        <stp>12/31/2018</stp>
        <stp>1</stp>
        <tr r="K641" s="1"/>
      </tp>
      <tp>
        <v>0.29584763716700002</v>
        <stp/>
        <stp>EM_S_FA_ASSETSTURN</stp>
        <stp>3</stp>
        <stp>300510</stp>
        <stp>12/31/2018</stp>
        <stp>1</stp>
        <tr r="K3188" s="1"/>
      </tp>
      <tp>
        <v>0.61669836582500004</v>
        <stp/>
        <stp>EM_S_FA_ASSETSTURN</stp>
        <stp>3</stp>
        <stp>600540</stp>
        <stp>12/31/2018</stp>
        <stp>1</stp>
        <tr r="K1667" s="1"/>
      </tp>
      <tp>
        <v>0.38473375912500002</v>
        <stp/>
        <stp>EM_S_FA_ASSETSTURN</stp>
        <stp>3</stp>
        <stp>000420</stp>
        <stp>12/31/2018</stp>
        <stp>1</stp>
        <tr r="K1603" s="1"/>
      </tp>
      <tp>
        <v>0.47150131388299998</v>
        <stp/>
        <stp>EM_S_FA_ASSETSTURN</stp>
        <stp>3</stp>
        <stp>300410</stp>
        <stp>12/31/2018</stp>
        <stp>1</stp>
        <tr r="K3396" s="1"/>
      </tp>
      <tp>
        <v>0.41559020292600002</v>
        <stp/>
        <stp>EM_S_FA_ASSETSTURN</stp>
        <stp>3</stp>
        <stp>603040</stp>
        <stp>12/31/2018</stp>
        <stp>1</stp>
        <tr r="K891" s="1"/>
      </tp>
      <tp>
        <v>0.90914776881600001</v>
        <stp/>
        <stp>EM_S_FA_ASSETSTURN</stp>
        <stp>3</stp>
        <stp>002920</stp>
        <stp>12/31/2018</stp>
        <stp>1</stp>
        <tr r="K269" s="1"/>
      </tp>
      <tp>
        <v>0.43289839412199999</v>
        <stp/>
        <stp>EM_S_FA_ASSETSTURN</stp>
        <stp>3</stp>
        <stp>002820</stp>
        <stp>12/31/2018</stp>
        <stp>1</stp>
        <tr r="K2429" s="1"/>
      </tp>
      <tp>
        <v>0.26960143215400001</v>
        <stp/>
        <stp>EM_S_FA_ASSETSTURN</stp>
        <stp>3</stp>
        <stp>002320</stp>
        <stp>12/31/2018</stp>
        <stp>1</stp>
        <tr r="K2750" s="1"/>
      </tp>
      <tp>
        <v>0.20578232354600001</v>
        <stp/>
        <stp>EM_S_FA_ASSETSTURN</stp>
        <stp>3</stp>
        <stp>002220</stp>
        <stp>12/31/2018</stp>
        <stp>1</stp>
        <tr r="K3336" s="1"/>
      </tp>
      <tp>
        <v>1.0084239061339999</v>
        <stp/>
        <stp>EM_S_FA_ASSETSTURN</stp>
        <stp>3</stp>
        <stp>002120</stp>
        <stp>12/31/2018</stp>
        <stp>1</stp>
        <tr r="K1786" s="1"/>
      </tp>
      <tp>
        <v>0.59496208714599996</v>
        <stp/>
        <stp>EM_S_FA_ASSETSTURN</stp>
        <stp>3</stp>
        <stp>002020</stp>
        <stp>12/31/2018</stp>
        <stp>1</stp>
        <tr r="K1187" s="1"/>
      </tp>
      <tp>
        <v>0</v>
        <stp/>
        <stp>EM_S_FA_ASSETSTURN</stp>
        <stp>3</stp>
        <stp>002720</stp>
        <stp>12/31/2018</stp>
        <stp>1</stp>
        <tr r="K8" s="1"/>
      </tp>
      <tp>
        <v>0.76651898039999999</v>
        <stp/>
        <stp>EM_S_FA_ASSETSTURN</stp>
        <stp>3</stp>
        <stp>002620</stp>
        <stp>12/31/2018</stp>
        <stp>1</stp>
        <tr r="K2023" s="1"/>
      </tp>
      <tp>
        <v>0.470303908406</v>
        <stp/>
        <stp>EM_S_FA_ASSETSTURN</stp>
        <stp>3</stp>
        <stp>002520</stp>
        <stp>12/31/2018</stp>
        <stp>1</stp>
        <tr r="K2660" s="1"/>
      </tp>
      <tp>
        <v>1.428949158552</v>
        <stp/>
        <stp>EM_S_FA_ASSETSTURN</stp>
        <stp>3</stp>
        <stp>002420</stp>
        <stp>12/31/2018</stp>
        <stp>1</stp>
        <tr r="K1302" s="1"/>
      </tp>
      <tp>
        <v>-0.46820875282070346</v>
        <stp/>
        <stp>EM_S_RATIO_EPS_TTM</stp>
        <stp>3</stp>
        <stp>002197</stp>
        <stp>12/31/2018</stp>
        <stp>1</stp>
        <tr r="U1474" s="1"/>
      </tp>
      <tp>
        <v>0.40648394709901692</v>
        <stp/>
        <stp>EM_S_RATIO_EPS_TTM</stp>
        <stp>3</stp>
        <stp>002097</stp>
        <stp>12/31/2018</stp>
        <stp>1</stp>
        <tr r="U1946" s="1"/>
      </tp>
      <tp>
        <v>0.1082155974450551</v>
        <stp/>
        <stp>EM_S_RATIO_EPS_TTM</stp>
        <stp>3</stp>
        <stp>002397</stp>
        <stp>12/31/2018</stp>
        <stp>1</stp>
        <tr r="U1300" s="1"/>
      </tp>
      <tp>
        <v>5.7430791626861814E-2</v>
        <stp/>
        <stp>EM_S_RATIO_EPS_TTM</stp>
        <stp>3</stp>
        <stp>002297</stp>
        <stp>12/31/2018</stp>
        <stp>1</stp>
        <tr r="U1894" s="1"/>
      </tp>
      <tp>
        <v>1.6314078543393009</v>
        <stp/>
        <stp>EM_S_RATIO_EPS_TTM</stp>
        <stp>3</stp>
        <stp>002597</stp>
        <stp>12/31/2018</stp>
        <stp>1</stp>
        <tr r="U765" s="1"/>
      </tp>
      <tp>
        <v>0.19102894344791668</v>
        <stp/>
        <stp>EM_S_RATIO_EPS_TTM</stp>
        <stp>3</stp>
        <stp>002497</stp>
        <stp>12/31/2018</stp>
        <stp>1</stp>
        <tr r="U1848" s="1"/>
      </tp>
      <tp>
        <v>3.5505600291228873E-2</v>
        <stp/>
        <stp>EM_S_RATIO_EPS_TTM</stp>
        <stp>3</stp>
        <stp>002797</stp>
        <stp>12/31/2018</stp>
        <stp>1</stp>
        <tr r="U505" s="1"/>
      </tp>
      <tp>
        <v>0.23728670444852942</v>
        <stp/>
        <stp>EM_S_RATIO_EPS_TTM</stp>
        <stp>3</stp>
        <stp>002697</stp>
        <stp>12/31/2018</stp>
        <stp>1</stp>
        <tr r="U629" s="1"/>
      </tp>
      <tp>
        <v>0.45547584325489832</v>
        <stp/>
        <stp>EM_S_RATIO_EPS_TTM</stp>
        <stp>3</stp>
        <stp>002897</stp>
        <stp>12/31/2018</stp>
        <stp>1</stp>
        <tr r="U887" s="1"/>
      </tp>
      <tp>
        <v>0.34270451073399738</v>
        <stp/>
        <stp>EM_S_RATIO_EPS_TTM</stp>
        <stp>3</stp>
        <stp>000597</stp>
        <stp>12/31/2018</stp>
        <stp>1</stp>
        <tr r="U3256" s="1"/>
      </tp>
      <tp>
        <v>0.23283240696043014</v>
        <stp/>
        <stp>EM_S_RATIO_EPS_TTM</stp>
        <stp>3</stp>
        <stp>000797</stp>
        <stp>12/31/2018</stp>
        <stp>1</stp>
        <tr r="U3127" s="1"/>
      </tp>
      <tp>
        <v>3.6556587057427703E-2</v>
        <stp/>
        <stp>EM_S_RATIO_EPS_TTM</stp>
        <stp>3</stp>
        <stp>000697</stp>
        <stp>12/31/2018</stp>
        <stp>1</stp>
        <tr r="U2913" s="1"/>
      </tp>
      <tp>
        <v>0.56107908606285783</v>
        <stp/>
        <stp>EM_S_RATIO_EPS_TTM</stp>
        <stp>3</stp>
        <stp>000997</stp>
        <stp>12/31/2018</stp>
        <stp>1</stp>
        <tr r="U1814" s="1"/>
      </tp>
      <tp>
        <v>-8.0060731717230479E-2</v>
        <stp/>
        <stp>EM_S_RATIO_EPS_TTM</stp>
        <stp>3</stp>
        <stp>000897</stp>
        <stp>12/31/2018</stp>
        <stp>1</stp>
        <tr r="U3568" s="1"/>
      </tp>
      <tp>
        <v>1.663662391763</v>
        <stp/>
        <stp>EM_S_FA_ASSETSTURN</stp>
        <stp>3</stp>
        <stp>000921</stp>
        <stp>12/31/2018</stp>
        <stp>1</stp>
        <tr r="K344" s="1"/>
      </tp>
      <tp>
        <v>0.54528816376900002</v>
        <stp/>
        <stp>EM_S_FA_ASSETSTURN</stp>
        <stp>3</stp>
        <stp>000821</stp>
        <stp>12/31/2018</stp>
        <stp>1</stp>
        <tr r="K2937" s="1"/>
      </tp>
      <tp>
        <v>0.60246341995899999</v>
        <stp/>
        <stp>EM_S_FA_ASSETSTURN</stp>
        <stp>3</stp>
        <stp>600841</stp>
        <stp>12/31/2018</stp>
        <stp>1</stp>
        <tr r="K1932" s="1"/>
      </tp>
      <tp>
        <v>0.51465125209399998</v>
        <stp/>
        <stp>EM_S_FA_ASSETSTURN</stp>
        <stp>3</stp>
        <stp>300311</stp>
        <stp>12/31/2018</stp>
        <stp>1</stp>
        <tr r="K362" s="1"/>
      </tp>
      <tp>
        <v>0.22923244920800001</v>
        <stp/>
        <stp>EM_S_FA_ASSETSTURN</stp>
        <stp>3</stp>
        <stp>300211</stp>
        <stp>12/31/2018</stp>
        <stp>1</stp>
        <tr r="K339" s="1"/>
      </tp>
      <tp>
        <v>0.34601191120899999</v>
        <stp/>
        <stp>EM_S_FA_ASSETSTURN</stp>
        <stp>3</stp>
        <stp>600241</stp>
        <stp>12/31/2018</stp>
        <stp>1</stp>
        <tr r="K2745" s="1"/>
      </tp>
      <tp>
        <v>0.31664879920599998</v>
        <stp/>
        <stp>EM_S_FA_ASSETSTURN</stp>
        <stp>3</stp>
        <stp>300111</stp>
        <stp>12/31/2018</stp>
        <stp>1</stp>
        <tr r="K1403" s="1"/>
      </tp>
      <tp>
        <v>0.75335431146099996</v>
        <stp/>
        <stp>EM_S_FA_ASSETSTURN</stp>
        <stp>3</stp>
        <stp>600141</stp>
        <stp>12/31/2018</stp>
        <stp>1</stp>
        <tr r="K2269" s="1"/>
      </tp>
      <tp>
        <v>0.99947568962</v>
        <stp/>
        <stp>EM_S_FA_ASSETSTURN</stp>
        <stp>3</stp>
        <stp>000021</stp>
        <stp>12/31/2018</stp>
        <stp>1</stp>
        <tr r="K134" s="1"/>
      </tp>
      <tp>
        <v>0.356717379409</v>
        <stp/>
        <stp>EM_S_FA_ASSETSTURN</stp>
        <stp>3</stp>
        <stp>300011</stp>
        <stp>12/31/2018</stp>
        <stp>1</stp>
        <tr r="K2446" s="1"/>
      </tp>
      <tp>
        <v>0.42228623019400002</v>
        <stp/>
        <stp>EM_S_FA_ASSETSTURN</stp>
        <stp>3</stp>
        <stp>000721</stp>
        <stp>12/31/2018</stp>
        <stp>1</stp>
        <tr r="K2092" s="1"/>
      </tp>
      <tp>
        <v>0.31451422346899999</v>
        <stp/>
        <stp>EM_S_FA_ASSETSTURN</stp>
        <stp>3</stp>
        <stp>300711</stp>
        <stp>12/31/2018</stp>
        <stp>1</stp>
        <tr r="K3178" s="1"/>
      </tp>
      <tp>
        <v>1.222831643221</v>
        <stp/>
        <stp>EM_S_FA_ASSETSTURN</stp>
        <stp>3</stp>
        <stp>600741</stp>
        <stp>12/31/2018</stp>
        <stp>1</stp>
        <tr r="K766" s="1"/>
      </tp>
      <tp>
        <v>0</v>
        <stp/>
        <stp>EM_S_FA_ASSETSTURN</stp>
        <stp>3</stp>
        <stp>000621</stp>
        <stp>12/31/2018</stp>
        <stp>1</stp>
        <tr r="K3486" s="1"/>
      </tp>
      <tp>
        <v>0.58198955583900003</v>
        <stp/>
        <stp>EM_S_FA_ASSETSTURN</stp>
        <stp>3</stp>
        <stp>300611</stp>
        <stp>12/31/2018</stp>
        <stp>1</stp>
        <tr r="K1560" s="1"/>
      </tp>
      <tp>
        <v>0.31847095975400003</v>
        <stp/>
        <stp>EM_S_FA_ASSETSTURN</stp>
        <stp>3</stp>
        <stp>600641</stp>
        <stp>12/31/2018</stp>
        <stp>1</stp>
        <tr r="K147" s="1"/>
      </tp>
      <tp>
        <v>1.1096657177210001</v>
        <stp/>
        <stp>EM_S_FA_ASSETSTURN</stp>
        <stp>3</stp>
        <stp>000521</stp>
        <stp>12/31/2018</stp>
        <stp>1</stp>
        <tr r="K1492" s="1"/>
      </tp>
      <tp>
        <v>0.47785082420199998</v>
        <stp/>
        <stp>EM_S_FA_ASSETSTURN</stp>
        <stp>3</stp>
        <stp>300511</stp>
        <stp>12/31/2018</stp>
        <stp>1</stp>
        <tr r="K1595" s="1"/>
      </tp>
      <tp>
        <v>0.31384641173</v>
        <stp/>
        <stp>EM_S_FA_ASSETSTURN</stp>
        <stp>3</stp>
        <stp>000421</stp>
        <stp>12/31/2018</stp>
        <stp>1</stp>
        <tr r="K3423" s="1"/>
      </tp>
      <tp>
        <v>0.18734655501799999</v>
        <stp/>
        <stp>EM_S_FA_ASSETSTURN</stp>
        <stp>3</stp>
        <stp>300411</stp>
        <stp>12/31/2018</stp>
        <stp>1</stp>
        <tr r="K2490" s="1"/>
      </tp>
      <tp>
        <v>0.37403194144000002</v>
        <stp/>
        <stp>EM_S_FA_ASSETSTURN</stp>
        <stp>3</stp>
        <stp>603041</stp>
        <stp>12/31/2018</stp>
        <stp>1</stp>
        <tr r="K1218" s="1"/>
      </tp>
      <tp>
        <v>0.56052384790499998</v>
        <stp/>
        <stp>EM_S_FA_ASSETSTURN</stp>
        <stp>3</stp>
        <stp>002921</stp>
        <stp>12/31/2018</stp>
        <stp>1</stp>
        <tr r="K3207" s="1"/>
      </tp>
      <tp>
        <v>0.63026659697599996</v>
        <stp/>
        <stp>EM_S_FA_ASSETSTURN</stp>
        <stp>3</stp>
        <stp>002821</stp>
        <stp>12/31/2018</stp>
        <stp>1</stp>
        <tr r="K209" s="1"/>
      </tp>
      <tp>
        <v>0.62461790573499998</v>
        <stp/>
        <stp>EM_S_FA_ASSETSTURN</stp>
        <stp>3</stp>
        <stp>002321</stp>
        <stp>12/31/2018</stp>
        <stp>1</stp>
        <tr r="K1897" s="1"/>
      </tp>
      <tp>
        <v>1.99030347314</v>
        <stp/>
        <stp>EM_S_FA_ASSETSTURN</stp>
        <stp>3</stp>
        <stp>002221</stp>
        <stp>12/31/2018</stp>
        <stp>1</stp>
        <tr r="K2543" s="1"/>
      </tp>
      <tp>
        <v>0.26260049332199997</v>
        <stp/>
        <stp>EM_S_FA_ASSETSTURN</stp>
        <stp>3</stp>
        <stp>002121</stp>
        <stp>12/31/2018</stp>
        <stp>1</stp>
        <tr r="K3639" s="1"/>
      </tp>
      <tp>
        <v>0.73521291612399997</v>
        <stp/>
        <stp>EM_S_FA_ASSETSTURN</stp>
        <stp>3</stp>
        <stp>002021</stp>
        <stp>12/31/2018</stp>
        <stp>1</stp>
        <tr r="K3609" s="1"/>
      </tp>
      <tp>
        <v>0.95539415733800004</v>
        <stp/>
        <stp>EM_S_FA_ASSETSTURN</stp>
        <stp>3</stp>
        <stp>002721</stp>
        <stp>12/31/2018</stp>
        <stp>1</stp>
        <tr r="K2808" s="1"/>
      </tp>
      <tp>
        <v>9.6881899620999995E-2</v>
        <stp/>
        <stp>EM_S_FA_ASSETSTURN</stp>
        <stp>3</stp>
        <stp>002621</stp>
        <stp>12/31/2018</stp>
        <stp>1</stp>
        <tr r="K3271" s="1"/>
      </tp>
      <tp>
        <v>0.83424573335300001</v>
        <stp/>
        <stp>EM_S_FA_ASSETSTURN</stp>
        <stp>3</stp>
        <stp>002521</stp>
        <stp>12/31/2018</stp>
        <stp>1</stp>
        <tr r="K1904" s="1"/>
      </tp>
      <tp>
        <v>0.413575893616</v>
        <stp/>
        <stp>EM_S_FA_ASSETSTURN</stp>
        <stp>3</stp>
        <stp>002421</stp>
        <stp>12/31/2018</stp>
        <stp>1</stp>
        <tr r="K2669" s="1"/>
      </tp>
      <tp>
        <v>-1.0019420742424621</v>
        <stp/>
        <stp>EM_S_RATIO_EPS_TTM</stp>
        <stp>3</stp>
        <stp>002196</stp>
        <stp>12/31/2018</stp>
        <stp>1</stp>
        <tr r="U1966" s="1"/>
      </tp>
      <tp>
        <v>6.1186580623614616E-2</v>
        <stp/>
        <stp>EM_S_RATIO_EPS_TTM</stp>
        <stp>3</stp>
        <stp>002096</stp>
        <stp>12/31/2018</stp>
        <stp>1</stp>
        <tr r="U3632" s="1"/>
      </tp>
      <tp>
        <v>0.99660895045726194</v>
        <stp/>
        <stp>EM_S_RATIO_EPS_TTM</stp>
        <stp>3</stp>
        <stp>002396</stp>
        <stp>12/31/2018</stp>
        <stp>1</stp>
        <tr r="U155" s="1"/>
      </tp>
      <tp>
        <v>7.3629431512145738E-2</v>
        <stp/>
        <stp>EM_S_RATIO_EPS_TTM</stp>
        <stp>3</stp>
        <stp>002296</stp>
        <stp>12/31/2018</stp>
        <stp>1</stp>
        <tr r="U457" s="1"/>
      </tp>
      <tp>
        <v>0.11407129995209445</v>
        <stp/>
        <stp>EM_S_RATIO_EPS_TTM</stp>
        <stp>3</stp>
        <stp>002596</stp>
        <stp>12/31/2018</stp>
        <stp>1</stp>
        <tr r="U1810" s="1"/>
      </tp>
      <tp>
        <v>-0.36273317441181474</v>
        <stp/>
        <stp>EM_S_RATIO_EPS_TTM</stp>
        <stp>3</stp>
        <stp>002496</stp>
        <stp>12/31/2018</stp>
        <stp>1</stp>
        <tr r="U600" s="1"/>
      </tp>
      <tp>
        <v>0.43316821601194938</v>
        <stp/>
        <stp>EM_S_RATIO_EPS_TTM</stp>
        <stp>3</stp>
        <stp>002796</stp>
        <stp>12/31/2018</stp>
        <stp>1</stp>
        <tr r="U2130" s="1"/>
      </tp>
      <tp>
        <v>0.1445461062675889</v>
        <stp/>
        <stp>EM_S_RATIO_EPS_TTM</stp>
        <stp>3</stp>
        <stp>002696</stp>
        <stp>12/31/2018</stp>
        <stp>1</stp>
        <tr r="U3242" s="1"/>
      </tp>
      <tp>
        <v>0.91095302150000002</v>
        <stp/>
        <stp>EM_S_RATIO_EPS_TTM</stp>
        <stp>3</stp>
        <stp>002896</stp>
        <stp>12/31/2018</stp>
        <stp>1</stp>
        <tr r="U3187" s="1"/>
      </tp>
      <tp>
        <v>0.32667186024761757</v>
        <stp/>
        <stp>EM_S_RATIO_EPS_TTM</stp>
        <stp>3</stp>
        <stp>001696</stp>
        <stp>12/31/2018</stp>
        <stp>1</stp>
        <tr r="U863" s="1"/>
      </tp>
      <tp>
        <v>-0.5739679491591223</v>
        <stp/>
        <stp>EM_S_RATIO_EPS_TTM</stp>
        <stp>3</stp>
        <stp>001896</stp>
        <stp>12/31/2018</stp>
        <stp>1</stp>
        <tr r="U3602" s="1"/>
      </tp>
      <tp>
        <v>0.20403518541666668</v>
        <stp/>
        <stp>EM_S_RATIO_EPS_TTM</stp>
        <stp>3</stp>
        <stp>000096</stp>
        <stp>12/31/2018</stp>
        <stp>1</stp>
        <tr r="U1146" s="1"/>
      </tp>
      <tp>
        <v>3.3662264556195391</v>
        <stp/>
        <stp>EM_S_RATIO_EPS_TTM</stp>
        <stp>3</stp>
        <stp>000596</stp>
        <stp>12/31/2018</stp>
        <stp>1</stp>
        <tr r="U77" s="1"/>
      </tp>
      <tp>
        <v>0.24177107534627965</v>
        <stp/>
        <stp>EM_S_RATIO_EPS_TTM</stp>
        <stp>3</stp>
        <stp>000796</stp>
        <stp>12/31/2018</stp>
        <stp>1</stp>
        <tr r="U776" s="1"/>
      </tp>
      <tp>
        <v>4.4013540057971014E-2</v>
        <stp/>
        <stp>EM_S_RATIO_EPS_TTM</stp>
        <stp>3</stp>
        <stp>000996</stp>
        <stp>12/31/2018</stp>
        <stp>1</stp>
        <tr r="U1113" s="1"/>
      </tp>
      <tp>
        <v>0.222534541802</v>
        <stp/>
        <stp>EM_S_FA_ASSETSTURN</stp>
        <stp>3</stp>
        <stp>000926</stp>
        <stp>12/31/2018</stp>
        <stp>1</stp>
        <tr r="K3578" s="1"/>
      </tp>
      <tp>
        <v>0.30009683838099999</v>
        <stp/>
        <stp>EM_S_FA_ASSETSTURN</stp>
        <stp>3</stp>
        <stp>000826</stp>
        <stp>12/31/2018</stp>
        <stp>1</stp>
        <tr r="K2803" s="1"/>
      </tp>
      <tp>
        <v>0.30522872174299998</v>
        <stp/>
        <stp>EM_S_FA_ASSETSTURN</stp>
        <stp>3</stp>
        <stp>600846</stp>
        <stp>12/31/2018</stp>
        <stp>1</stp>
        <tr r="K959" s="1"/>
      </tp>
      <tp>
        <v>0.41060035046999999</v>
        <stp/>
        <stp>EM_S_FA_ASSETSTURN</stp>
        <stp>3</stp>
        <stp>300316</stp>
        <stp>12/31/2018</stp>
        <stp>1</stp>
        <tr r="K480" s="1"/>
      </tp>
      <tp>
        <v>0.82893307622599999</v>
        <stp/>
        <stp>EM_S_FA_ASSETSTURN</stp>
        <stp>3</stp>
        <stp>600346</stp>
        <stp>12/31/2018</stp>
        <stp>1</stp>
        <tr r="K1252" s="1"/>
      </tp>
      <tp>
        <v>5.5551825947999997E-2</v>
        <stp/>
        <stp>EM_S_FA_ASSETSTURN</stp>
        <stp>3</stp>
        <stp>300216</stp>
        <stp>12/31/2018</stp>
        <stp>1</stp>
        <tr r="K2361" s="1"/>
      </tp>
      <tp>
        <v>0.27612448694500002</v>
        <stp/>
        <stp>EM_S_FA_ASSETSTURN</stp>
        <stp>3</stp>
        <stp>600246</stp>
        <stp>12/31/2018</stp>
        <stp>1</stp>
        <tr r="K495" s="1"/>
      </tp>
      <tp>
        <v>0.16964208539600001</v>
        <stp/>
        <stp>EM_S_FA_ASSETSTURN</stp>
        <stp>3</stp>
        <stp>300116</stp>
        <stp>12/31/2018</stp>
        <stp>1</stp>
        <tr r="K911" s="1"/>
      </tp>
      <tp>
        <v>0.66685928281200002</v>
        <stp/>
        <stp>EM_S_FA_ASSETSTURN</stp>
        <stp>3</stp>
        <stp>600146</stp>
        <stp>12/31/2018</stp>
        <stp>1</stp>
        <tr r="K192" s="1"/>
      </tp>
      <tp>
        <v>0.94726915145199997</v>
        <stp/>
        <stp>EM_S_FA_ASSETSTURN</stp>
        <stp>3</stp>
        <stp>000026</stp>
        <stp>12/31/2018</stp>
        <stp>1</stp>
        <tr r="K462" s="1"/>
      </tp>
      <tp>
        <v>0.50053707202499997</v>
        <stp/>
        <stp>EM_S_FA_ASSETSTURN</stp>
        <stp>3</stp>
        <stp>300016</stp>
        <stp>12/31/2018</stp>
        <stp>1</stp>
        <tr r="K993" s="1"/>
      </tp>
      <tp>
        <v>0.66437428118200004</v>
        <stp/>
        <stp>EM_S_FA_ASSETSTURN</stp>
        <stp>3</stp>
        <stp>000726</stp>
        <stp>12/31/2018</stp>
        <stp>1</stp>
        <tr r="K2606" s="1"/>
      </tp>
      <tp>
        <v>0.88954813754299999</v>
        <stp/>
        <stp>EM_S_FA_ASSETSTURN</stp>
        <stp>3</stp>
        <stp>300716</stp>
        <stp>12/31/2018</stp>
        <stp>1</stp>
        <tr r="K2689" s="1"/>
      </tp>
      <tp>
        <v>0.80401847843700003</v>
        <stp/>
        <stp>EM_S_FA_ASSETSTURN</stp>
        <stp>3</stp>
        <stp>600746</stp>
        <stp>12/31/2018</stp>
        <stp>1</stp>
        <tr r="K1254" s="1"/>
      </tp>
      <tp>
        <v>8.2733434854660004</v>
        <stp/>
        <stp>EM_S_FA_ASSETSTURN</stp>
        <stp>3</stp>
        <stp>000626</stp>
        <stp>12/31/2018</stp>
        <stp>1</stp>
        <tr r="K3488" s="1"/>
      </tp>
      <tp>
        <v>1.3441836219629999</v>
        <stp/>
        <stp>EM_S_FA_ASSETSTURN</stp>
        <stp>3</stp>
        <stp>300616</stp>
        <stp>12/31/2018</stp>
        <stp>1</stp>
        <tr r="K1091" s="1"/>
      </tp>
      <tp>
        <v>0</v>
        <stp/>
        <stp>EM_S_FA_ASSETSTURN</stp>
        <stp>3</stp>
        <stp>600646</stp>
        <stp>12/31/2018</stp>
        <stp>1</stp>
        <tr r="K2311" s="1"/>
      </tp>
      <tp>
        <v>0.79943657725200001</v>
        <stp/>
        <stp>EM_S_FA_ASSETSTURN</stp>
        <stp>3</stp>
        <stp>000526</stp>
        <stp>12/31/2018</stp>
        <stp>1</stp>
        <tr r="K325" s="1"/>
      </tp>
      <tp>
        <v>0.35146967029999998</v>
        <stp/>
        <stp>EM_S_FA_ASSETSTURN</stp>
        <stp>3</stp>
        <stp>300516</stp>
        <stp>12/31/2018</stp>
        <stp>1</stp>
        <tr r="K1820" s="1"/>
      </tp>
      <tp>
        <v>0.80954006235200004</v>
        <stp/>
        <stp>EM_S_FA_ASSETSTURN</stp>
        <stp>3</stp>
        <stp>600546</stp>
        <stp>12/31/2018</stp>
        <stp>1</stp>
        <tr r="K191" s="1"/>
      </tp>
      <tp>
        <v>0.26707026873400003</v>
        <stp/>
        <stp>EM_S_FA_ASSETSTURN</stp>
        <stp>3</stp>
        <stp>000426</stp>
        <stp>12/31/2018</stp>
        <stp>1</stp>
        <tr r="K2266" s="1"/>
      </tp>
      <tp>
        <v>0.49797013148199998</v>
        <stp/>
        <stp>EM_S_FA_ASSETSTURN</stp>
        <stp>3</stp>
        <stp>300416</stp>
        <stp>12/31/2018</stp>
        <stp>1</stp>
        <tr r="K301" s="1"/>
      </tp>
      <tp>
        <v>1.1658859356669999</v>
        <stp/>
        <stp>EM_S_FA_ASSETSTURN</stp>
        <stp>3</stp>
        <stp>600446</stp>
        <stp>12/31/2018</stp>
        <stp>1</stp>
        <tr r="K127" s="1"/>
      </tp>
      <tp>
        <v>0</v>
        <stp/>
        <stp>EM_S_FA_ASSETSTURN</stp>
        <stp>3</stp>
        <stp>002926</stp>
        <stp>12/31/2018</stp>
        <stp>1</stp>
        <tr r="K890" s="1"/>
      </tp>
      <tp>
        <v>0.65553382789100001</v>
        <stp/>
        <stp>EM_S_FA_ASSETSTURN</stp>
        <stp>3</stp>
        <stp>002826</stp>
        <stp>12/31/2018</stp>
        <stp>1</stp>
        <tr r="K2473" s="1"/>
      </tp>
      <tp>
        <v>0.52673288210199998</v>
        <stp/>
        <stp>EM_S_FA_ASSETSTURN</stp>
        <stp>3</stp>
        <stp>002326</stp>
        <stp>12/31/2018</stp>
        <stp>1</stp>
        <tr r="K623" s="1"/>
      </tp>
      <tp>
        <v>0.33611402711600002</v>
        <stp/>
        <stp>EM_S_FA_ASSETSTURN</stp>
        <stp>3</stp>
        <stp>002226</stp>
        <stp>12/31/2018</stp>
        <stp>1</stp>
        <tr r="K1997" s="1"/>
      </tp>
      <tp>
        <v>0.69055040423900005</v>
        <stp/>
        <stp>EM_S_FA_ASSETSTURN</stp>
        <stp>3</stp>
        <stp>002126</stp>
        <stp>12/31/2018</stp>
        <stp>1</stp>
        <tr r="K1836" s="1"/>
      </tp>
      <tp>
        <v>0.55193972238800004</v>
        <stp/>
        <stp>EM_S_FA_ASSETSTURN</stp>
        <stp>3</stp>
        <stp>002026</stp>
        <stp>12/31/2018</stp>
        <stp>1</stp>
        <tr r="K2623" s="1"/>
      </tp>
      <tp>
        <v>2.7875535795520001</v>
        <stp/>
        <stp>EM_S_FA_ASSETSTURN</stp>
        <stp>3</stp>
        <stp>002726</stp>
        <stp>12/31/2018</stp>
        <stp>1</stp>
        <tr r="K2844" s="1"/>
      </tp>
      <tp>
        <v>0.72619162359800005</v>
        <stp/>
        <stp>EM_S_FA_ASSETSTURN</stp>
        <stp>3</stp>
        <stp>002626</stp>
        <stp>12/31/2018</stp>
        <stp>1</stp>
        <tr r="K414" s="1"/>
      </tp>
      <tp>
        <v>0.60112039379100002</v>
        <stp/>
        <stp>EM_S_FA_ASSETSTURN</stp>
        <stp>3</stp>
        <stp>002526</stp>
        <stp>12/31/2018</stp>
        <stp>1</stp>
        <tr r="K1267" s="1"/>
      </tp>
      <tp>
        <v>0.94076161227599997</v>
        <stp/>
        <stp>EM_S_FA_ASSETSTURN</stp>
        <stp>3</stp>
        <stp>002426</stp>
        <stp>12/31/2018</stp>
        <stp>1</stp>
        <tr r="K2106" s="1"/>
      </tp>
      <tp>
        <v>0.48520967504746626</v>
        <stp/>
        <stp>EM_S_RATIO_EPS_TTM</stp>
        <stp>3</stp>
        <stp>002191</stp>
        <stp>12/31/2018</stp>
        <stp>1</stp>
        <tr r="U626" s="1"/>
      </tp>
      <tp>
        <v>0.64665279303109435</v>
        <stp/>
        <stp>EM_S_RATIO_EPS_TTM</stp>
        <stp>3</stp>
        <stp>002091</stp>
        <stp>12/31/2018</stp>
        <stp>1</stp>
        <tr r="U1200" s="1"/>
      </tp>
      <tp>
        <v>0.88858081740444106</v>
        <stp/>
        <stp>EM_S_RATIO_EPS_TTM</stp>
        <stp>3</stp>
        <stp>002391</stp>
        <stp>12/31/2018</stp>
        <stp>1</stp>
        <tr r="U3106" s="1"/>
      </tp>
      <tp>
        <v>2.2394242236315458E-2</v>
        <stp/>
        <stp>EM_S_RATIO_EPS_TTM</stp>
        <stp>3</stp>
        <stp>002291</stp>
        <stp>12/31/2018</stp>
        <stp>1</stp>
        <tr r="U28" s="1"/>
      </tp>
      <tp>
        <v>0.11377216449912646</v>
        <stp/>
        <stp>EM_S_RATIO_EPS_TTM</stp>
        <stp>3</stp>
        <stp>002591</stp>
        <stp>12/31/2018</stp>
        <stp>1</stp>
        <tr r="U814" s="1"/>
      </tp>
      <tp>
        <v>0.44748723174677452</v>
        <stp/>
        <stp>EM_S_RATIO_EPS_TTM</stp>
        <stp>3</stp>
        <stp>002491</stp>
        <stp>12/31/2018</stp>
        <stp>1</stp>
        <tr r="U2970" s="1"/>
      </tp>
      <tp>
        <v>0.53531740844062947</v>
        <stp/>
        <stp>EM_S_RATIO_EPS_TTM</stp>
        <stp>3</stp>
        <stp>002791</stp>
        <stp>12/31/2018</stp>
        <stp>1</stp>
        <tr r="U43" s="1"/>
      </tp>
      <tp>
        <v>4.4314340117647059E-2</v>
        <stp/>
        <stp>EM_S_RATIO_EPS_TTM</stp>
        <stp>3</stp>
        <stp>002691</stp>
        <stp>12/31/2018</stp>
        <stp>1</stp>
        <tr r="U3060" s="1"/>
      </tp>
      <tp>
        <v>0.56444665009999995</v>
        <stp/>
        <stp>EM_S_RATIO_EPS_TTM</stp>
        <stp>3</stp>
        <stp>002891</stp>
        <stp>12/31/2018</stp>
        <stp>1</stp>
        <tr r="U3025" s="1"/>
      </tp>
      <tp>
        <v>0.28669536804113077</v>
        <stp/>
        <stp>EM_S_RATIO_EPS_TTM</stp>
        <stp>3</stp>
        <stp>000591</stp>
        <stp>12/31/2018</stp>
        <stp>1</stp>
        <tr r="U1170" s="1"/>
      </tp>
      <tp>
        <v>0.49962531227146378</v>
        <stp/>
        <stp>EM_S_RATIO_EPS_TTM</stp>
        <stp>3</stp>
        <stp>000791</stp>
        <stp>12/31/2018</stp>
        <stp>1</stp>
        <tr r="U3193" s="1"/>
      </tp>
      <tp>
        <v>3.4035216320722615E-2</v>
        <stp/>
        <stp>EM_S_RATIO_EPS_TTM</stp>
        <stp>3</stp>
        <stp>000691</stp>
        <stp>12/31/2018</stp>
        <stp>1</stp>
        <tr r="U3512" s="1"/>
      </tp>
      <tp>
        <v>0.29234016974285715</v>
        <stp/>
        <stp>EM_S_RATIO_EPS_TTM</stp>
        <stp>3</stp>
        <stp>000991</stp>
        <stp>12/31/2018</stp>
        <stp>1</stp>
        <tr r="U3599" s="1"/>
      </tp>
      <tp>
        <v>0.23895031238799999</v>
        <stp/>
        <stp>EM_S_FA_ASSETSTURN</stp>
        <stp>3</stp>
        <stp>000927</stp>
        <stp>12/31/2018</stp>
        <stp>1</stp>
        <tr r="K3579" s="1"/>
      </tp>
      <tp>
        <v>0</v>
        <stp/>
        <stp>EM_S_FA_ASSETSTURN</stp>
        <stp>3</stp>
        <stp>000827</stp>
        <stp>12/31/2018</stp>
        <stp>1</stp>
        <tr r="K3550" s="1"/>
      </tp>
      <tp>
        <v>0.72336082561799997</v>
        <stp/>
        <stp>EM_S_FA_ASSETSTURN</stp>
        <stp>3</stp>
        <stp>600847</stp>
        <stp>12/31/2018</stp>
        <stp>1</stp>
        <tr r="K2395" s="1"/>
      </tp>
      <tp>
        <v>0.212607096882</v>
        <stp/>
        <stp>EM_S_FA_ASSETSTURN</stp>
        <stp>3</stp>
        <stp>300317</stp>
        <stp>12/31/2018</stp>
        <stp>1</stp>
        <tr r="K1978" s="1"/>
      </tp>
      <tp>
        <v>0.67109767448900004</v>
        <stp/>
        <stp>EM_S_FA_ASSETSTURN</stp>
        <stp>3</stp>
        <stp>300217</stp>
        <stp>12/31/2018</stp>
        <stp>1</stp>
        <tr r="K2065" s="1"/>
      </tp>
      <tp>
        <v>3.3999627822E-2</v>
        <stp/>
        <stp>EM_S_FA_ASSETSTURN</stp>
        <stp>3</stp>
        <stp>600247</stp>
        <stp>12/31/2018</stp>
        <stp>1</stp>
        <tr r="K3103" s="1"/>
      </tp>
      <tp>
        <v>0.69044455272000005</v>
        <stp/>
        <stp>EM_S_FA_ASSETSTURN</stp>
        <stp>3</stp>
        <stp>300117</stp>
        <stp>12/31/2018</stp>
        <stp>1</stp>
        <tr r="K2769" s="1"/>
      </tp>
      <tp>
        <v>0.228303693334</v>
        <stp/>
        <stp>EM_S_FA_ASSETSTURN</stp>
        <stp>3</stp>
        <stp>000027</stp>
        <stp>12/31/2018</stp>
        <stp>1</stp>
        <tr r="K1310" s="1"/>
      </tp>
      <tp>
        <v>0.57086928212999999</v>
        <stp/>
        <stp>EM_S_FA_ASSETSTURN</stp>
        <stp>3</stp>
        <stp>300017</stp>
        <stp>12/31/2018</stp>
        <stp>1</stp>
        <tr r="K1215" s="1"/>
      </tp>
      <tp>
        <v>0.172889890011</v>
        <stp/>
        <stp>EM_S_FA_ASSETSTURN</stp>
        <stp>3</stp>
        <stp>000727</stp>
        <stp>12/31/2018</stp>
        <stp>1</stp>
        <tr r="K3520" s="1"/>
      </tp>
      <tp>
        <v>0.52831825481600003</v>
        <stp/>
        <stp>EM_S_FA_ASSETSTURN</stp>
        <stp>3</stp>
        <stp>300717</stp>
        <stp>12/31/2018</stp>
        <stp>1</stp>
        <tr r="K1526" s="1"/>
      </tp>
      <tp>
        <v>4.6035796598000001E-2</v>
        <stp/>
        <stp>EM_S_FA_ASSETSTURN</stp>
        <stp>3</stp>
        <stp>600747</stp>
        <stp>12/31/2018</stp>
        <stp>1</stp>
        <tr r="K3404" s="1"/>
      </tp>
      <tp>
        <v>0</v>
        <stp/>
        <stp>EM_S_FA_ASSETSTURN</stp>
        <stp>3</stp>
        <stp>000627</stp>
        <stp>12/31/2018</stp>
        <stp>1</stp>
        <tr r="K3489" s="1"/>
      </tp>
      <tp>
        <v>0.30788994967900002</v>
        <stp/>
        <stp>EM_S_FA_ASSETSTURN</stp>
        <stp>3</stp>
        <stp>300617</stp>
        <stp>12/31/2018</stp>
        <stp>1</stp>
        <tr r="K1581" s="1"/>
      </tp>
      <tp>
        <v>3.9802153238000001E-2</v>
        <stp/>
        <stp>EM_S_FA_ASSETSTURN</stp>
        <stp>3</stp>
        <stp>600647</stp>
        <stp>12/31/2018</stp>
        <stp>1</stp>
        <tr r="K1435" s="1"/>
      </tp>
      <tp>
        <v>0</v>
        <stp/>
        <stp>EM_S_FA_ASSETSTURN</stp>
        <stp>3</stp>
        <stp>000527</stp>
        <stp>12/31/2018</stp>
        <stp>1</stp>
        <tr r="K3443" s="1"/>
      </tp>
      <tp>
        <v>0.43292011279100001</v>
        <stp/>
        <stp>EM_S_FA_ASSETSTURN</stp>
        <stp>3</stp>
        <stp>300517</stp>
        <stp>12/31/2018</stp>
        <stp>1</stp>
        <tr r="K1512" s="1"/>
      </tp>
      <tp>
        <v>1.2585907474760001</v>
        <stp/>
        <stp>EM_S_FA_ASSETSTURN</stp>
        <stp>3</stp>
        <stp>600547</stp>
        <stp>12/31/2018</stp>
        <stp>1</stp>
        <tr r="K1942" s="1"/>
      </tp>
      <tp>
        <v>0.33515126218699998</v>
        <stp/>
        <stp>EM_S_FA_ASSETSTURN</stp>
        <stp>3</stp>
        <stp>300417</stp>
        <stp>12/31/2018</stp>
        <stp>1</stp>
        <tr r="K56" s="1"/>
      </tp>
      <tp>
        <v>0.53894518146100001</v>
        <stp/>
        <stp>EM_S_FA_ASSETSTURN</stp>
        <stp>3</stp>
        <stp>002927</stp>
        <stp>12/31/2018</stp>
        <stp>1</stp>
        <tr r="K3378" s="1"/>
      </tp>
      <tp>
        <v>0.38114474487799999</v>
        <stp/>
        <stp>EM_S_FA_ASSETSTURN</stp>
        <stp>3</stp>
        <stp>002827</stp>
        <stp>12/31/2018</stp>
        <stp>1</stp>
        <tr r="K3229" s="1"/>
      </tp>
      <tp>
        <v>0.67993763753600001</v>
        <stp/>
        <stp>EM_S_FA_ASSETSTURN</stp>
        <stp>3</stp>
        <stp>002327</stp>
        <stp>12/31/2018</stp>
        <stp>1</stp>
        <tr r="K2672" s="1"/>
      </tp>
      <tp>
        <v>0.321046804937</v>
        <stp/>
        <stp>EM_S_FA_ASSETSTURN</stp>
        <stp>3</stp>
        <stp>002227</stp>
        <stp>12/31/2018</stp>
        <stp>1</stp>
        <tr r="K1779" s="1"/>
      </tp>
      <tp>
        <v>0.80118301302100003</v>
        <stp/>
        <stp>EM_S_FA_ASSETSTURN</stp>
        <stp>3</stp>
        <stp>002127</stp>
        <stp>12/31/2018</stp>
        <stp>1</stp>
        <tr r="K645" s="1"/>
      </tp>
      <tp>
        <v>0.84169582849699998</v>
        <stp/>
        <stp>EM_S_FA_ASSETSTURN</stp>
        <stp>3</stp>
        <stp>002027</stp>
        <stp>12/31/2018</stp>
        <stp>1</stp>
        <tr r="K1266" s="1"/>
      </tp>
      <tp>
        <v>1.2654758506949999</v>
        <stp/>
        <stp>EM_S_FA_ASSETSTURN</stp>
        <stp>3</stp>
        <stp>002727</stp>
        <stp>12/31/2018</stp>
        <stp>1</stp>
        <tr r="K946" s="1"/>
      </tp>
      <tp>
        <v>0.54686054796100003</v>
        <stp/>
        <stp>EM_S_FA_ASSETSTURN</stp>
        <stp>3</stp>
        <stp>002627</stp>
        <stp>12/31/2018</stp>
        <stp>1</stp>
        <tr r="K389" s="1"/>
      </tp>
      <tp>
        <v>0.54500857091300003</v>
        <stp/>
        <stp>EM_S_FA_ASSETSTURN</stp>
        <stp>3</stp>
        <stp>002527</stp>
        <stp>12/31/2018</stp>
        <stp>1</stp>
        <tr r="K2484" s="1"/>
      </tp>
      <tp>
        <v>0.54297836205299999</v>
        <stp/>
        <stp>EM_S_FA_ASSETSTURN</stp>
        <stp>3</stp>
        <stp>002427</stp>
        <stp>12/31/2018</stp>
        <stp>1</stp>
        <tr r="K3260" s="1"/>
      </tp>
      <tp>
        <v>-0.57050079965161926</v>
        <stp/>
        <stp>EM_S_RATIO_EPS_TTM</stp>
        <stp>3</stp>
        <stp>002190</stp>
        <stp>12/31/2018</stp>
        <stp>1</stp>
        <tr r="U842" s="1"/>
      </tp>
      <tp>
        <v>0.38706899950220958</v>
        <stp/>
        <stp>EM_S_RATIO_EPS_TTM</stp>
        <stp>3</stp>
        <stp>002090</stp>
        <stp>12/31/2018</stp>
        <stp>1</stp>
        <tr r="U3281" s="1"/>
      </tp>
      <tp>
        <v>-0.7777010553233602</v>
        <stp/>
        <stp>EM_S_RATIO_EPS_TTM</stp>
        <stp>3</stp>
        <stp>002390</stp>
        <stp>12/31/2018</stp>
        <stp>1</stp>
        <tr r="U1014" s="1"/>
      </tp>
      <tp>
        <v>0.2588904928727766</v>
        <stp/>
        <stp>EM_S_RATIO_EPS_TTM</stp>
        <stp>3</stp>
        <stp>002290</stp>
        <stp>12/31/2018</stp>
        <stp>1</stp>
        <tr r="U3357" s="1"/>
      </tp>
      <tp>
        <v>-6.7150675494999409E-2</v>
        <stp/>
        <stp>EM_S_RATIO_EPS_TTM</stp>
        <stp>3</stp>
        <stp>002590</stp>
        <stp>12/31/2018</stp>
        <stp>1</stp>
        <tr r="U1706" s="1"/>
      </tp>
      <tp>
        <v>0.11590720118007382</v>
        <stp/>
        <stp>EM_S_RATIO_EPS_TTM</stp>
        <stp>3</stp>
        <stp>002490</stp>
        <stp>12/31/2018</stp>
        <stp>1</stp>
        <tr r="U2775" s="1"/>
      </tp>
      <tp>
        <v>0.62908468492187497</v>
        <stp/>
        <stp>EM_S_RATIO_EPS_TTM</stp>
        <stp>3</stp>
        <stp>002790</stp>
        <stp>12/31/2018</stp>
        <stp>1</stp>
        <tr r="U3304" s="1"/>
      </tp>
      <tp>
        <v>0.66254861744082838</v>
        <stp/>
        <stp>EM_S_RATIO_EPS_TTM</stp>
        <stp>3</stp>
        <stp>002690</stp>
        <stp>12/31/2018</stp>
        <stp>1</stp>
        <tr r="U233" s="1"/>
      </tp>
      <tp>
        <v>0.42186320713964304</v>
        <stp/>
        <stp>EM_S_RATIO_EPS_TTM</stp>
        <stp>3</stp>
        <stp>002890</stp>
        <stp>12/31/2018</stp>
        <stp>1</stp>
        <tr r="U756" s="1"/>
      </tp>
      <tp>
        <v>0.54376575289832663</v>
        <stp/>
        <stp>EM_S_RATIO_EPS_TTM</stp>
        <stp>3</stp>
        <stp>000090</stp>
        <stp>12/31/2018</stp>
        <stp>1</stp>
        <tr r="U479" s="1"/>
      </tp>
      <tp>
        <v>-0.15943627374719654</v>
        <stp/>
        <stp>EM_S_RATIO_EPS_TTM</stp>
        <stp>3</stp>
        <stp>000590</stp>
        <stp>12/31/2018</stp>
        <stp>1</stp>
        <tr r="U3472" s="1"/>
      </tp>
      <tp>
        <v>5.5626998569012605E-2</v>
        <stp/>
        <stp>EM_S_RATIO_EPS_TTM</stp>
        <stp>3</stp>
        <stp>000790</stp>
        <stp>12/31/2018</stp>
        <stp>1</stp>
        <tr r="U1849" s="1"/>
      </tp>
      <tp>
        <v>0.21273670314725071</v>
        <stp/>
        <stp>EM_S_RATIO_EPS_TTM</stp>
        <stp>3</stp>
        <stp>000690</stp>
        <stp>12/31/2018</stp>
        <stp>1</stp>
        <tr r="U2957" s="1"/>
      </tp>
      <tp>
        <v>0.67782524292971225</v>
        <stp/>
        <stp>EM_S_RATIO_EPS_TTM</stp>
        <stp>3</stp>
        <stp>000990</stp>
        <stp>12/31/2018</stp>
        <stp>1</stp>
        <tr r="U1153" s="1"/>
      </tp>
      <tp>
        <v>-0.38254112829047182</v>
        <stp/>
        <stp>EM_S_RATIO_EPS_TTM</stp>
        <stp>3</stp>
        <stp>000890</stp>
        <stp>12/31/2018</stp>
        <stp>1</stp>
        <tr r="U3564" s="1"/>
      </tp>
      <tp>
        <v>0.39818905044199998</v>
        <stp/>
        <stp>EM_S_FA_ASSETSTURN</stp>
        <stp>3</stp>
        <stp>600844</stp>
        <stp>12/31/2018</stp>
        <stp>1</stp>
        <tr r="K467" s="1"/>
      </tp>
      <tp>
        <v>0.34257744371600002</v>
        <stp/>
        <stp>EM_S_FA_ASSETSTURN</stp>
        <stp>3</stp>
        <stp>300314</stp>
        <stp>12/31/2018</stp>
        <stp>1</stp>
        <tr r="K1678" s="1"/>
      </tp>
      <tp>
        <v>0.88446669548500001</v>
        <stp/>
        <stp>EM_S_FA_ASSETSTURN</stp>
        <stp>3</stp>
        <stp>300214</stp>
        <stp>12/31/2018</stp>
        <stp>1</stp>
        <tr r="K590" s="1"/>
      </tp>
      <tp>
        <v>0.64958344407699997</v>
        <stp/>
        <stp>EM_S_FA_ASSETSTURN</stp>
        <stp>3</stp>
        <stp>300114</stp>
        <stp>12/31/2018</stp>
        <stp>1</stp>
        <tr r="K433" s="1"/>
      </tp>
      <tp>
        <v>0</v>
        <stp/>
        <stp>EM_S_FA_ASSETSTURN</stp>
        <stp>3</stp>
        <stp>000024</stp>
        <stp>12/31/2018</stp>
        <stp>1</stp>
        <tr r="K2274" s="1"/>
      </tp>
      <tp>
        <v>0.49749906297599999</v>
        <stp/>
        <stp>EM_S_FA_ASSETSTURN</stp>
        <stp>3</stp>
        <stp>300014</stp>
        <stp>12/31/2018</stp>
        <stp>1</stp>
        <tr r="K40" s="1"/>
      </tp>
      <tp>
        <v>0.52544011321999995</v>
        <stp/>
        <stp>EM_S_FA_ASSETSTURN</stp>
        <stp>3</stp>
        <stp>600744</stp>
        <stp>12/31/2018</stp>
        <stp>1</stp>
        <tr r="K2416" s="1"/>
      </tp>
      <tp>
        <v>0.68515091748800006</v>
        <stp/>
        <stp>EM_S_FA_ASSETSTURN</stp>
        <stp>3</stp>
        <stp>600644</stp>
        <stp>12/31/2018</stp>
        <stp>1</stp>
        <tr r="K1143" s="1"/>
      </tp>
      <tp>
        <v>1.5691476199300001</v>
        <stp/>
        <stp>EM_S_FA_ASSETSTURN</stp>
        <stp>3</stp>
        <stp>000524</stp>
        <stp>12/31/2018</stp>
        <stp>1</stp>
        <tr r="K1832" s="1"/>
      </tp>
      <tp>
        <v>0.83634787863799998</v>
        <stp/>
        <stp>EM_S_FA_ASSETSTURN</stp>
        <stp>3</stp>
        <stp>300514</stp>
        <stp>12/31/2018</stp>
        <stp>1</stp>
        <tr r="K2250" s="1"/>
      </tp>
      <tp>
        <v>0.38847389126300003</v>
        <stp/>
        <stp>EM_S_FA_ASSETSTURN</stp>
        <stp>3</stp>
        <stp>300414</stp>
        <stp>12/31/2018</stp>
        <stp>1</stp>
        <tr r="K3089" s="1"/>
      </tp>
      <tp>
        <v>0.71508342422600002</v>
        <stp/>
        <stp>EM_S_FA_ASSETSTURN</stp>
        <stp>3</stp>
        <stp>600444</stp>
        <stp>12/31/2018</stp>
        <stp>1</stp>
        <tr r="K1702" s="1"/>
      </tp>
      <tp>
        <v>0.46273554830000002</v>
        <stp/>
        <stp>EM_S_FA_ASSETSTURN</stp>
        <stp>3</stp>
        <stp>603444</stp>
        <stp>12/31/2018</stp>
        <stp>1</stp>
        <tr r="K141" s="1"/>
      </tp>
      <tp>
        <v>1.059961627983</v>
        <stp/>
        <stp>EM_S_FA_ASSETSTURN</stp>
        <stp>3</stp>
        <stp>002824</stp>
        <stp>12/31/2018</stp>
        <stp>1</stp>
        <tr r="K1249" s="1"/>
      </tp>
      <tp>
        <v>0.94531761047200003</v>
        <stp/>
        <stp>EM_S_FA_ASSETSTURN</stp>
        <stp>3</stp>
        <stp>002324</stp>
        <stp>12/31/2018</stp>
        <stp>1</stp>
        <tr r="K820" s="1"/>
      </tp>
      <tp>
        <v>0.39808672893500002</v>
        <stp/>
        <stp>EM_S_FA_ASSETSTURN</stp>
        <stp>3</stp>
        <stp>002224</stp>
        <stp>12/31/2018</stp>
        <stp>1</stp>
        <tr r="K1500" s="1"/>
      </tp>
      <tp>
        <v>0.84688574172700004</v>
        <stp/>
        <stp>EM_S_FA_ASSETSTURN</stp>
        <stp>3</stp>
        <stp>002124</stp>
        <stp>12/31/2018</stp>
        <stp>1</stp>
        <tr r="K3641" s="1"/>
      </tp>
      <tp>
        <v>1.373290923076</v>
        <stp/>
        <stp>EM_S_FA_ASSETSTURN</stp>
        <stp>3</stp>
        <stp>002024</stp>
        <stp>12/31/2018</stp>
        <stp>1</stp>
        <tr r="K2136" s="1"/>
      </tp>
      <tp>
        <v>0.58931385375000001</v>
        <stp/>
        <stp>EM_S_FA_ASSETSTURN</stp>
        <stp>3</stp>
        <stp>002724</stp>
        <stp>12/31/2018</stp>
        <stp>1</stp>
        <tr r="K757" s="1"/>
      </tp>
      <tp>
        <v>0.49342630087099998</v>
        <stp/>
        <stp>EM_S_FA_ASSETSTURN</stp>
        <stp>3</stp>
        <stp>002624</stp>
        <stp>12/31/2018</stp>
        <stp>1</stp>
        <tr r="K449" s="1"/>
      </tp>
      <tp>
        <v>0.54084275351199995</v>
        <stp/>
        <stp>EM_S_FA_ASSETSTURN</stp>
        <stp>3</stp>
        <stp>002524</stp>
        <stp>12/31/2018</stp>
        <stp>1</stp>
        <tr r="K120" s="1"/>
      </tp>
      <tp>
        <v>0.58095220691299998</v>
        <stp/>
        <stp>EM_S_FA_ASSETSTURN</stp>
        <stp>3</stp>
        <stp>002424</stp>
        <stp>12/31/2018</stp>
        <stp>1</stp>
        <tr r="K2474" s="1"/>
      </tp>
      <tp>
        <v>0.3783185690342053</v>
        <stp/>
        <stp>EM_S_RATIO_EPS_TTM</stp>
        <stp>3</stp>
        <stp>002193</stp>
        <stp>12/31/2018</stp>
        <stp>1</stp>
        <tr r="U2773" s="1"/>
      </tp>
      <tp>
        <v>0.12927077889826302</v>
        <stp/>
        <stp>EM_S_RATIO_EPS_TTM</stp>
        <stp>3</stp>
        <stp>002093</stp>
        <stp>12/31/2018</stp>
        <stp>1</stp>
        <tr r="U3631" s="1"/>
      </tp>
      <tp>
        <v>1.0138256824455645</v>
        <stp/>
        <stp>EM_S_RATIO_EPS_TTM</stp>
        <stp>3</stp>
        <stp>002393</stp>
        <stp>12/31/2018</stp>
        <stp>1</stp>
        <tr r="U1123" s="1"/>
      </tp>
      <tp>
        <v>0.70853361555278171</v>
        <stp/>
        <stp>EM_S_RATIO_EPS_TTM</stp>
        <stp>3</stp>
        <stp>002293</stp>
        <stp>12/31/2018</stp>
        <stp>1</stp>
        <tr r="U1996" s="1"/>
      </tp>
      <tp>
        <v>0.1164007368803885</v>
        <stp/>
        <stp>EM_S_RATIO_EPS_TTM</stp>
        <stp>3</stp>
        <stp>002593</stp>
        <stp>12/31/2018</stp>
        <stp>1</stp>
        <tr r="U1008" s="1"/>
      </tp>
      <tp>
        <v>0.25552444047393719</v>
        <stp/>
        <stp>EM_S_RATIO_EPS_TTM</stp>
        <stp>3</stp>
        <stp>002493</stp>
        <stp>12/31/2018</stp>
        <stp>1</stp>
        <tr r="U1189" s="1"/>
      </tp>
      <tp>
        <v>0.55672821235000003</v>
        <stp/>
        <stp>EM_S_RATIO_EPS_TTM</stp>
        <stp>3</stp>
        <stp>002793</stp>
        <stp>12/31/2018</stp>
        <stp>1</stp>
        <tr r="U848" s="1"/>
      </tp>
      <tp>
        <v>-0.17149626372839508</v>
        <stp/>
        <stp>EM_S_RATIO_EPS_TTM</stp>
        <stp>3</stp>
        <stp>002693</stp>
        <stp>12/31/2018</stp>
        <stp>1</stp>
        <tr r="U1309" s="1"/>
      </tp>
      <tp>
        <v>0.34747506074158396</v>
        <stp/>
        <stp>EM_S_RATIO_EPS_TTM</stp>
        <stp>3</stp>
        <stp>002893</stp>
        <stp>12/31/2018</stp>
        <stp>1</stp>
        <tr r="U3136" s="1"/>
      </tp>
      <tp>
        <v>-0.51761596758633888</v>
        <stp/>
        <stp>EM_S_RATIO_EPS_TTM</stp>
        <stp>3</stp>
        <stp>000593</stp>
        <stp>12/31/2018</stp>
        <stp>1</stp>
        <tr r="U3473" s="1"/>
      </tp>
      <tp>
        <v>-2.4987465205384618</v>
        <stp/>
        <stp>EM_S_RATIO_EPS_TTM</stp>
        <stp>3</stp>
        <stp>000793</stp>
        <stp>12/31/2018</stp>
        <stp>1</stp>
        <tr r="U3540" s="1"/>
      </tp>
      <tp>
        <v>-4.2821066479952092</v>
        <stp/>
        <stp>EM_S_RATIO_EPS_TTM</stp>
        <stp>3</stp>
        <stp>000693</stp>
        <stp>12/31/2018</stp>
        <stp>1</stp>
        <tr r="U3513" s="1"/>
      </tp>
      <tp>
        <v>-0.85244229279716999</v>
        <stp/>
        <stp>EM_S_RATIO_EPS_TTM</stp>
        <stp>3</stp>
        <stp>000993</stp>
        <stp>12/31/2018</stp>
        <stp>1</stp>
        <tr r="U3600" s="1"/>
      </tp>
      <tp>
        <v>5.2885786309561627E-3</v>
        <stp/>
        <stp>EM_S_RATIO_EPS_TTM</stp>
        <stp>3</stp>
        <stp>000893</stp>
        <stp>12/31/2018</stp>
        <stp>1</stp>
        <tr r="U3566" s="1"/>
      </tp>
      <tp>
        <v>0.334764991658</v>
        <stp/>
        <stp>EM_S_FA_ASSETSTURN</stp>
        <stp>3</stp>
        <stp>000925</stp>
        <stp>12/31/2018</stp>
        <stp>1</stp>
        <tr r="K1523" s="1"/>
      </tp>
      <tp>
        <v>0.99708081250900005</v>
        <stp/>
        <stp>EM_S_FA_ASSETSTURN</stp>
        <stp>3</stp>
        <stp>000825</stp>
        <stp>12/31/2018</stp>
        <stp>1</stp>
        <tr r="K2407" s="1"/>
      </tp>
      <tp>
        <v>0.60561771919999996</v>
        <stp/>
        <stp>EM_S_FA_ASSETSTURN</stp>
        <stp>3</stp>
        <stp>600845</stp>
        <stp>12/31/2018</stp>
        <stp>1</stp>
        <tr r="K442" s="1"/>
      </tp>
      <tp>
        <v>0.25033825902399998</v>
        <stp/>
        <stp>EM_S_FA_ASSETSTURN</stp>
        <stp>3</stp>
        <stp>300315</stp>
        <stp>12/31/2018</stp>
        <stp>1</stp>
        <tr r="K254" s="1"/>
      </tp>
      <tp>
        <v>7.9146775951000004E-2</v>
        <stp/>
        <stp>EM_S_FA_ASSETSTURN</stp>
        <stp>3</stp>
        <stp>600345</stp>
        <stp>12/31/2018</stp>
        <stp>1</stp>
        <tr r="K2249" s="1"/>
      </tp>
      <tp>
        <v>0.18942513309199999</v>
        <stp/>
        <stp>EM_S_FA_ASSETSTURN</stp>
        <stp>3</stp>
        <stp>300215</stp>
        <stp>12/31/2018</stp>
        <stp>1</stp>
        <tr r="K1169" s="1"/>
      </tp>
      <tp>
        <v>0.86711066446600005</v>
        <stp/>
        <stp>EM_S_FA_ASSETSTURN</stp>
        <stp>3</stp>
        <stp>300115</stp>
        <stp>12/31/2018</stp>
        <stp>1</stp>
        <tr r="K125" s="1"/>
      </tp>
      <tp>
        <v>1.3226236535E-2</v>
        <stp/>
        <stp>EM_S_FA_ASSETSTURN</stp>
        <stp>3</stp>
        <stp>600145</stp>
        <stp>12/31/2018</stp>
        <stp>1</stp>
        <tr r="K2293" s="1"/>
      </tp>
      <tp>
        <v>0.27060191336599998</v>
        <stp/>
        <stp>EM_S_FA_ASSETSTURN</stp>
        <stp>3</stp>
        <stp>000025</stp>
        <stp>12/31/2018</stp>
        <stp>1</stp>
        <tr r="K1436" s="1"/>
      </tp>
      <tp>
        <v>0.84570466803800004</v>
        <stp/>
        <stp>EM_S_FA_ASSETSTURN</stp>
        <stp>3</stp>
        <stp>300015</stp>
        <stp>12/31/2018</stp>
        <stp>1</stp>
        <tr r="K607" s="1"/>
      </tp>
      <tp>
        <v>0.34673240475099998</v>
        <stp/>
        <stp>EM_S_FA_ASSETSTURN</stp>
        <stp>3</stp>
        <stp>000725</stp>
        <stp>12/31/2018</stp>
        <stp>1</stp>
        <tr r="K291" s="1"/>
      </tp>
      <tp>
        <v>0.78617076378200001</v>
        <stp/>
        <stp>EM_S_FA_ASSETSTURN</stp>
        <stp>3</stp>
        <stp>300715</stp>
        <stp>12/31/2018</stp>
        <stp>1</stp>
        <tr r="K1509" s="1"/>
      </tp>
      <tp>
        <v>1.2445539324599999</v>
        <stp/>
        <stp>EM_S_FA_ASSETSTURN</stp>
        <stp>3</stp>
        <stp>600745</stp>
        <stp>12/31/2018</stp>
        <stp>1</stp>
        <tr r="K24" s="1"/>
      </tp>
      <tp>
        <v>0.66426483892199994</v>
        <stp/>
        <stp>EM_S_FA_ASSETSTURN</stp>
        <stp>3</stp>
        <stp>000625</stp>
        <stp>12/31/2018</stp>
        <stp>1</stp>
        <tr r="K3487" s="1"/>
      </tp>
      <tp>
        <v>0.44314507967900002</v>
        <stp/>
        <stp>EM_S_FA_ASSETSTURN</stp>
        <stp>3</stp>
        <stp>300615</stp>
        <stp>12/31/2018</stp>
        <stp>1</stp>
        <tr r="K1398" s="1"/>
      </tp>
      <tp>
        <v>0.35481538000200002</v>
        <stp/>
        <stp>EM_S_FA_ASSETSTURN</stp>
        <stp>3</stp>
        <stp>600645</stp>
        <stp>12/31/2018</stp>
        <stp>1</stp>
        <tr r="K2094" s="1"/>
      </tp>
      <tp>
        <v>0.46209676364399999</v>
        <stp/>
        <stp>EM_S_FA_ASSETSTURN</stp>
        <stp>3</stp>
        <stp>000525</stp>
        <stp>12/31/2018</stp>
        <stp>1</stp>
        <tr r="K3231" s="1"/>
      </tp>
      <tp>
        <v>0.44072624495099999</v>
        <stp/>
        <stp>EM_S_FA_ASSETSTURN</stp>
        <stp>3</stp>
        <stp>300515</stp>
        <stp>12/31/2018</stp>
        <stp>1</stp>
        <tr r="K1615" s="1"/>
      </tp>
      <tp>
        <v>0.63706821022500004</v>
        <stp/>
        <stp>EM_S_FA_ASSETSTURN</stp>
        <stp>3</stp>
        <stp>600545</stp>
        <stp>12/31/2018</stp>
        <stp>1</stp>
        <tr r="K3035" s="1"/>
      </tp>
      <tp>
        <v>0.80003679702800001</v>
        <stp/>
        <stp>EM_S_FA_ASSETSTURN</stp>
        <stp>3</stp>
        <stp>000425</stp>
        <stp>12/31/2018</stp>
        <stp>1</stp>
        <tr r="K319" s="1"/>
      </tp>
      <tp>
        <v>0.80537050180400005</v>
        <stp/>
        <stp>EM_S_FA_ASSETSTURN</stp>
        <stp>3</stp>
        <stp>300415</stp>
        <stp>12/31/2018</stp>
        <stp>1</stp>
        <tr r="K374" s="1"/>
      </tp>
      <tp>
        <v>1.0900869455610001</v>
        <stp/>
        <stp>EM_S_FA_ASSETSTURN</stp>
        <stp>3</stp>
        <stp>603345</stp>
        <stp>12/31/2018</stp>
        <stp>1</stp>
        <tr r="K351" s="1"/>
      </tp>
      <tp>
        <v>1.0968245070330001</v>
        <stp/>
        <stp>EM_S_FA_ASSETSTURN</stp>
        <stp>3</stp>
        <stp>603045</stp>
        <stp>12/31/2018</stp>
        <stp>1</stp>
        <tr r="K3358" s="1"/>
      </tp>
      <tp>
        <v>0.76148897692700002</v>
        <stp/>
        <stp>EM_S_FA_ASSETSTURN</stp>
        <stp>3</stp>
        <stp>002925</stp>
        <stp>12/31/2018</stp>
        <stp>1</stp>
        <tr r="K2367" s="1"/>
      </tp>
      <tp>
        <v>0.99031546992700004</v>
        <stp/>
        <stp>EM_S_FA_ASSETSTURN</stp>
        <stp>3</stp>
        <stp>002825</stp>
        <stp>12/31/2018</stp>
        <stp>1</stp>
        <tr r="K2522" s="1"/>
      </tp>
      <tp>
        <v>0.34029087102599997</v>
        <stp/>
        <stp>EM_S_FA_ASSETSTURN</stp>
        <stp>3</stp>
        <stp>002325</stp>
        <stp>12/31/2018</stp>
        <stp>1</stp>
        <tr r="K1760" s="1"/>
      </tp>
      <tp>
        <v>0.77900518507700001</v>
        <stp/>
        <stp>EM_S_FA_ASSETSTURN</stp>
        <stp>3</stp>
        <stp>002225</stp>
        <stp>12/31/2018</stp>
        <stp>1</stp>
        <tr r="K2508" s="1"/>
      </tp>
      <tp>
        <v>0.37644874778100001</v>
        <stp/>
        <stp>EM_S_FA_ASSETSTURN</stp>
        <stp>3</stp>
        <stp>002125</stp>
        <stp>12/31/2018</stp>
        <stp>1</stp>
        <tr r="K3120" s="1"/>
      </tp>
      <tp>
        <v>0.62193730477700004</v>
        <stp/>
        <stp>EM_S_FA_ASSETSTURN</stp>
        <stp>3</stp>
        <stp>002025</stp>
        <stp>12/31/2018</stp>
        <stp>1</stp>
        <tr r="K1156" s="1"/>
      </tp>
      <tp>
        <v>0.83366196485499999</v>
        <stp/>
        <stp>EM_S_FA_ASSETSTURN</stp>
        <stp>3</stp>
        <stp>002725</stp>
        <stp>12/31/2018</stp>
        <stp>1</stp>
        <tr r="K1230" s="1"/>
      </tp>
      <tp>
        <v>5.6231585872000001E-2</v>
        <stp/>
        <stp>EM_S_FA_ASSETSTURN</stp>
        <stp>3</stp>
        <stp>002625</stp>
        <stp>12/31/2018</stp>
        <stp>1</stp>
        <tr r="K2630" s="1"/>
      </tp>
      <tp>
        <v>0</v>
        <stp/>
        <stp>EM_S_FA_ASSETSTURN</stp>
        <stp>3</stp>
        <stp>002525</stp>
        <stp>12/31/2018</stp>
        <stp>1</stp>
        <tr r="K6" s="1"/>
      </tp>
      <tp>
        <v>0.159635864874</v>
        <stp/>
        <stp>EM_S_FA_ASSETSTURN</stp>
        <stp>3</stp>
        <stp>002425</stp>
        <stp>12/31/2018</stp>
        <stp>1</stp>
        <tr r="K2629" s="1"/>
      </tp>
      <tp>
        <v>-2.7098755845073517E-2</v>
        <stp/>
        <stp>EM_S_RATIO_EPS_TTM</stp>
        <stp>3</stp>
        <stp>002192</stp>
        <stp>12/31/2018</stp>
        <stp>1</stp>
        <tr r="U988" s="1"/>
      </tp>
      <tp>
        <v>1.1311766905276293</v>
        <stp/>
        <stp>EM_S_RATIO_EPS_TTM</stp>
        <stp>3</stp>
        <stp>002092</stp>
        <stp>12/31/2018</stp>
        <stp>1</stp>
        <tr r="U2499" s="1"/>
      </tp>
      <tp>
        <v>0.27978333007567141</v>
        <stp/>
        <stp>EM_S_RATIO_EPS_TTM</stp>
        <stp>3</stp>
        <stp>002392</stp>
        <stp>12/31/2018</stp>
        <stp>1</stp>
        <tr r="U1412" s="1"/>
      </tp>
      <tp>
        <v>-1.2011779205395916</v>
        <stp/>
        <stp>EM_S_RATIO_EPS_TTM</stp>
        <stp>3</stp>
        <stp>002292</stp>
        <stp>12/31/2018</stp>
        <stp>1</stp>
        <tr r="U282" s="1"/>
      </tp>
      <tp>
        <v>2.5674413880292027E-2</v>
        <stp/>
        <stp>EM_S_RATIO_EPS_TTM</stp>
        <stp>3</stp>
        <stp>002592</stp>
        <stp>12/31/2018</stp>
        <stp>1</stp>
        <tr r="U3324" s="1"/>
      </tp>
      <tp>
        <v>0.14218116933333333</v>
        <stp/>
        <stp>EM_S_RATIO_EPS_TTM</stp>
        <stp>3</stp>
        <stp>002492</stp>
        <stp>12/31/2018</stp>
        <stp>1</stp>
        <tr r="U1745" s="1"/>
      </tp>
      <tp>
        <v>0.19724337099315004</v>
        <stp/>
        <stp>EM_S_RATIO_EPS_TTM</stp>
        <stp>3</stp>
        <stp>002792</stp>
        <stp>12/31/2018</stp>
        <stp>1</stp>
        <tr r="U2935" s="1"/>
      </tp>
      <tp>
        <v>-0.51037661486661479</v>
        <stp/>
        <stp>EM_S_RATIO_EPS_TTM</stp>
        <stp>3</stp>
        <stp>002692</stp>
        <stp>12/31/2018</stp>
        <stp>1</stp>
        <tr r="U2695" s="1"/>
      </tp>
      <tp>
        <v>0.83202315191387555</v>
        <stp/>
        <stp>EM_S_RATIO_EPS_TTM</stp>
        <stp>3</stp>
        <stp>002892</stp>
        <stp>12/31/2018</stp>
        <stp>1</stp>
        <tr r="U1688" s="1"/>
      </tp>
      <tp>
        <v>1.3639497558504684E-2</v>
        <stp/>
        <stp>EM_S_RATIO_EPS_TTM</stp>
        <stp>3</stp>
        <stp>000592</stp>
        <stp>12/31/2018</stp>
        <stp>1</stp>
        <tr r="U1951" s="1"/>
      </tp>
      <tp>
        <v>-1.2370784625284339</v>
        <stp/>
        <stp>EM_S_RATIO_EPS_TTM</stp>
        <stp>3</stp>
        <stp>000792</stp>
        <stp>12/31/2018</stp>
        <stp>1</stp>
        <tr r="U3539" s="1"/>
      </tp>
      <tp>
        <v>1.121944254441189E-2</v>
        <stp/>
        <stp>EM_S_RATIO_EPS_TTM</stp>
        <stp>3</stp>
        <stp>000692</stp>
        <stp>12/31/2018</stp>
        <stp>1</stp>
        <tr r="U1493" s="1"/>
      </tp>
      <tp>
        <v>0.33091031381824459</v>
        <stp/>
        <stp>EM_S_RATIO_EPS_TTM</stp>
        <stp>3</stp>
        <stp>000892</stp>
        <stp>12/31/2018</stp>
        <stp>1</stp>
        <tr r="U3565" s="1"/>
      </tp>
      <tp>
        <v>0</v>
        <stp/>
        <stp>EM_S_FA_ASSETSTURN</stp>
        <stp>3</stp>
        <stp>601878</stp>
        <stp>12/31/2018</stp>
        <stp>1</stp>
        <tr r="K466" s="1"/>
      </tp>
      <tp>
        <v>0.72698069285699995</v>
        <stp/>
        <stp>EM_S_FA_ASSETSTURN</stp>
        <stp>3</stp>
        <stp>601678</stp>
        <stp>12/31/2018</stp>
        <stp>1</stp>
        <tr r="K1202" s="1"/>
      </tp>
      <tp>
        <v>7.5342835679000006E-2</v>
        <stp/>
        <stp>EM_S_FA_ASSETSTURN</stp>
        <stp>3</stp>
        <stp>000918</stp>
        <stp>12/31/2018</stp>
        <stp>1</stp>
        <tr r="K3575" s="1"/>
      </tp>
      <tp>
        <v>0.42837145936400001</v>
        <stp/>
        <stp>EM_S_FA_ASSETSTURN</stp>
        <stp>3</stp>
        <stp>600978</stp>
        <stp>12/31/2018</stp>
        <stp>1</stp>
        <tr r="K3195" s="1"/>
      </tp>
      <tp>
        <v>0.95349320527799997</v>
        <stp/>
        <stp>EM_S_FA_ASSETSTURN</stp>
        <stp>3</stp>
        <stp>000818</stp>
        <stp>12/31/2018</stp>
        <stp>1</stp>
        <tr r="K176" s="1"/>
      </tp>
      <tp>
        <v>1.041041980381</v>
        <stp/>
        <stp>EM_S_FA_ASSETSTURN</stp>
        <stp>3</stp>
        <stp>600878</stp>
        <stp>12/31/2018</stp>
        <stp>1</stp>
        <tr r="K2332" s="1"/>
      </tp>
      <tp>
        <v>0.56588303417100005</v>
        <stp/>
        <stp>EM_S_FA_ASSETSTURN</stp>
        <stp>3</stp>
        <stp>300328</stp>
        <stp>12/31/2018</stp>
        <stp>1</stp>
        <tr r="K97" s="1"/>
      </tp>
      <tp>
        <v>0.89611784122399996</v>
        <stp/>
        <stp>EM_S_FA_ASSETSTURN</stp>
        <stp>3</stp>
        <stp>600378</stp>
        <stp>12/31/2018</stp>
        <stp>1</stp>
        <tr r="K132" s="1"/>
      </tp>
      <tp>
        <v>0.35587369135300001</v>
        <stp/>
        <stp>EM_S_FA_ASSETSTURN</stp>
        <stp>3</stp>
        <stp>300228</stp>
        <stp>12/31/2018</stp>
        <stp>1</stp>
        <tr r="K1991" s="1"/>
      </tp>
      <tp>
        <v>2.025677410713</v>
        <stp/>
        <stp>EM_S_FA_ASSETSTURN</stp>
        <stp>3</stp>
        <stp>600278</stp>
        <stp>12/31/2018</stp>
        <stp>1</stp>
        <tr r="K923" s="1"/>
      </tp>
      <tp>
        <v>0.73910620712499997</v>
        <stp/>
        <stp>EM_S_FA_ASSETSTURN</stp>
        <stp>3</stp>
        <stp>300128</stp>
        <stp>12/31/2018</stp>
        <stp>1</stp>
        <tr r="K1612" s="1"/>
      </tp>
      <tp>
        <v>0.35565692814200001</v>
        <stp/>
        <stp>EM_S_FA_ASSETSTURN</stp>
        <stp>3</stp>
        <stp>600178</stp>
        <stp>12/31/2018</stp>
        <stp>1</stp>
        <tr r="K1550" s="1"/>
      </tp>
      <tp>
        <v>0.228193627949</v>
        <stp/>
        <stp>EM_S_FA_ASSETSTURN</stp>
        <stp>3</stp>
        <stp>000018</stp>
        <stp>12/31/2018</stp>
        <stp>1</stp>
        <tr r="K3409" s="1"/>
      </tp>
      <tp>
        <v>4.9639765822999997E-2</v>
        <stp/>
        <stp>EM_S_FA_ASSETSTURN</stp>
        <stp>3</stp>
        <stp>300028</stp>
        <stp>12/31/2018</stp>
        <stp>1</stp>
        <tr r="K2280" s="1"/>
      </tp>
      <tp>
        <v>0.39145891155099999</v>
        <stp/>
        <stp>EM_S_FA_ASSETSTURN</stp>
        <stp>3</stp>
        <stp>600078</stp>
        <stp>12/31/2018</stp>
        <stp>1</stp>
        <tr r="K391" s="1"/>
      </tp>
      <tp>
        <v>0.16810756551</v>
        <stp/>
        <stp>EM_S_FA_ASSETSTURN</stp>
        <stp>3</stp>
        <stp>000718</stp>
        <stp>12/31/2018</stp>
        <stp>1</stp>
        <tr r="K3519" s="1"/>
      </tp>
      <tp>
        <v>0</v>
        <stp/>
        <stp>EM_S_FA_ASSETSTURN</stp>
        <stp>3</stp>
        <stp>300728</stp>
        <stp>12/31/2018</stp>
        <stp>1</stp>
        <tr r="K11" s="1"/>
      </tp>
      <tp>
        <v>1.100167152846</v>
        <stp/>
        <stp>EM_S_FA_ASSETSTURN</stp>
        <stp>3</stp>
        <stp>600778</stp>
        <stp>12/31/2018</stp>
        <stp>1</stp>
        <tr r="K1299" s="1"/>
      </tp>
      <tp>
        <v>0</v>
        <stp/>
        <stp>EM_S_FA_ASSETSTURN</stp>
        <stp>3</stp>
        <stp>000618</stp>
        <stp>12/31/2018</stp>
        <stp>1</stp>
        <tr r="K3485" s="1"/>
      </tp>
      <tp>
        <v>0.53606557980799996</v>
        <stp/>
        <stp>EM_S_FA_ASSETSTURN</stp>
        <stp>3</stp>
        <stp>300628</stp>
        <stp>12/31/2018</stp>
        <stp>1</stp>
        <tr r="K2626" s="1"/>
      </tp>
      <tp>
        <v>0.92867550475000005</v>
        <stp/>
        <stp>EM_S_FA_ASSETSTURN</stp>
        <stp>3</stp>
        <stp>600678</stp>
        <stp>12/31/2018</stp>
        <stp>1</stp>
        <tr r="K1034" s="1"/>
      </tp>
      <tp>
        <v>0.42585532228799999</v>
        <stp/>
        <stp>EM_S_FA_ASSETSTURN</stp>
        <stp>3</stp>
        <stp>000518</stp>
        <stp>12/31/2018</stp>
        <stp>1</stp>
        <tr r="K3441" s="1"/>
      </tp>
      <tp>
        <v>0.57812747851400004</v>
        <stp/>
        <stp>EM_S_FA_ASSETSTURN</stp>
        <stp>3</stp>
        <stp>300528</stp>
        <stp>12/31/2018</stp>
        <stp>1</stp>
        <tr r="K3044" s="1"/>
      </tp>
      <tp>
        <v>0.19604315483599999</v>
        <stp/>
        <stp>EM_S_FA_ASSETSTURN</stp>
        <stp>3</stp>
        <stp>600578</stp>
        <stp>12/31/2018</stp>
        <stp>1</stp>
        <tr r="K1962" s="1"/>
      </tp>
      <tp>
        <v>1.052862397587</v>
        <stp/>
        <stp>EM_S_FA_ASSETSTURN</stp>
        <stp>3</stp>
        <stp>000418</stp>
        <stp>12/31/2018</stp>
        <stp>1</stp>
        <tr r="K870" s="1"/>
      </tp>
      <tp>
        <v>1.80524382167</v>
        <stp/>
        <stp>EM_S_FA_ASSETSTURN</stp>
        <stp>3</stp>
        <stp>300428</stp>
        <stp>12/31/2018</stp>
        <stp>1</stp>
        <tr r="K1051" s="1"/>
      </tp>
      <tp>
        <v>0.28922888333300001</v>
        <stp/>
        <stp>EM_S_FA_ASSETSTURN</stp>
        <stp>3</stp>
        <stp>600478</stp>
        <stp>12/31/2018</stp>
        <stp>1</stp>
        <tr r="K1797" s="1"/>
      </tp>
      <tp>
        <v>0.62472644229300001</v>
        <stp/>
        <stp>EM_S_FA_ASSETSTURN</stp>
        <stp>3</stp>
        <stp>603978</stp>
        <stp>12/31/2018</stp>
        <stp>1</stp>
        <tr r="K780" s="1"/>
      </tp>
      <tp>
        <v>0.73432957195399995</v>
        <stp/>
        <stp>EM_S_FA_ASSETSTURN</stp>
        <stp>3</stp>
        <stp>603878</stp>
        <stp>12/31/2018</stp>
        <stp>1</stp>
        <tr r="K2363" s="1"/>
      </tp>
      <tp>
        <v>0.72156880576500004</v>
        <stp/>
        <stp>EM_S_FA_ASSETSTURN</stp>
        <stp>3</stp>
        <stp>603378</stp>
        <stp>12/31/2018</stp>
        <stp>1</stp>
        <tr r="K357" s="1"/>
      </tp>
      <tp>
        <v>0.81034824484099999</v>
        <stp/>
        <stp>EM_S_FA_ASSETSTURN</stp>
        <stp>3</stp>
        <stp>603278</stp>
        <stp>12/31/2018</stp>
        <stp>1</stp>
        <tr r="K3255" s="1"/>
      </tp>
      <tp>
        <v>0.62390438756699995</v>
        <stp/>
        <stp>EM_S_FA_ASSETSTURN</stp>
        <stp>3</stp>
        <stp>603178</stp>
        <stp>12/31/2018</stp>
        <stp>1</stp>
        <tr r="K1243" s="1"/>
      </tp>
      <tp>
        <v>0.40573695601600002</v>
        <stp/>
        <stp>EM_S_FA_ASSETSTURN</stp>
        <stp>3</stp>
        <stp>603078</stp>
        <stp>12/31/2018</stp>
        <stp>1</stp>
        <tr r="K1260" s="1"/>
      </tp>
      <tp>
        <v>0.19518836922300001</v>
        <stp/>
        <stp>EM_S_FA_ASSETSTURN</stp>
        <stp>3</stp>
        <stp>603778</stp>
        <stp>12/31/2018</stp>
        <stp>1</stp>
        <tr r="K2264" s="1"/>
      </tp>
      <tp>
        <v>0.57272005136699999</v>
        <stp/>
        <stp>EM_S_FA_ASSETSTURN</stp>
        <stp>3</stp>
        <stp>603678</stp>
        <stp>12/31/2018</stp>
        <stp>1</stp>
        <tr r="K631" s="1"/>
      </tp>
      <tp>
        <v>0.52810359091400005</v>
        <stp/>
        <stp>EM_S_FA_ASSETSTURN</stp>
        <stp>3</stp>
        <stp>603578</stp>
        <stp>12/31/2018</stp>
        <stp>1</stp>
        <tr r="K1869" s="1"/>
      </tp>
      <tp>
        <v>0.81211226757199995</v>
        <stp/>
        <stp>EM_S_FA_ASSETSTURN</stp>
        <stp>3</stp>
        <stp>002918</stp>
        <stp>12/31/2018</stp>
        <stp>1</stp>
        <tr r="K1272" s="1"/>
      </tp>
      <tp>
        <v>0.25615711249400003</v>
        <stp/>
        <stp>EM_S_FA_ASSETSTURN</stp>
        <stp>3</stp>
        <stp>002818</stp>
        <stp>12/31/2018</stp>
        <stp>1</stp>
        <tr r="K3300" s="1"/>
      </tp>
      <tp>
        <v>0.80193833245599999</v>
        <stp/>
        <stp>EM_S_FA_ASSETSTURN</stp>
        <stp>3</stp>
        <stp>002318</stp>
        <stp>12/31/2018</stp>
        <stp>1</stp>
        <tr r="K566" s="1"/>
      </tp>
      <tp>
        <v>0.185509784264</v>
        <stp/>
        <stp>EM_S_FA_ASSETSTURN</stp>
        <stp>3</stp>
        <stp>002218</stp>
        <stp>12/31/2018</stp>
        <stp>1</stp>
        <tr r="K1748" s="1"/>
      </tp>
      <tp>
        <v>0.14096308074</v>
        <stp/>
        <stp>EM_S_FA_ASSETSTURN</stp>
        <stp>3</stp>
        <stp>002118</stp>
        <stp>12/31/2018</stp>
        <stp>1</stp>
        <tr r="K754" s="1"/>
      </tp>
      <tp>
        <v>0.25349460970100002</v>
        <stp/>
        <stp>EM_S_FA_ASSETSTURN</stp>
        <stp>3</stp>
        <stp>002018</stp>
        <stp>12/31/2018</stp>
        <stp>1</stp>
        <tr r="K3608" s="1"/>
      </tp>
      <tp>
        <v>0.49244527369199997</v>
        <stp/>
        <stp>EM_S_FA_ASSETSTURN</stp>
        <stp>3</stp>
        <stp>002718</stp>
        <stp>12/31/2018</stp>
        <stp>1</stp>
        <tr r="K3310" s="1"/>
      </tp>
      <tp>
        <v>0.13716090504600001</v>
        <stp/>
        <stp>EM_S_FA_ASSETSTURN</stp>
        <stp>3</stp>
        <stp>002618</stp>
        <stp>12/31/2018</stp>
        <stp>1</stp>
        <tr r="K2739" s="1"/>
      </tp>
      <tp>
        <v>0.73787324513899999</v>
        <stp/>
        <stp>EM_S_FA_ASSETSTURN</stp>
        <stp>3</stp>
        <stp>002518</stp>
        <stp>12/31/2018</stp>
        <stp>1</stp>
        <tr r="K588" s="1"/>
      </tp>
      <tp>
        <v>0.40102124848300003</v>
        <stp/>
        <stp>EM_S_FA_ASSETSTURN</stp>
        <stp>3</stp>
        <stp>002418</stp>
        <stp>12/31/2018</stp>
        <stp>1</stp>
        <tr r="K2643" s="1"/>
      </tp>
      <tp>
        <v>0.40760820196500003</v>
        <stp/>
        <stp>EM_S_FA_ASSETSTURN</stp>
        <stp>3</stp>
        <stp>601179</stp>
        <stp>12/31/2018</stp>
        <stp>1</stp>
        <tr r="K1813" s="1"/>
      </tp>
      <tp>
        <v>0.285923664583</v>
        <stp/>
        <stp>EM_S_FA_ASSETSTURN</stp>
        <stp>3</stp>
        <stp>601579</stp>
        <stp>12/31/2018</stp>
        <stp>1</stp>
        <tr r="K2532" s="1"/>
      </tp>
      <tp>
        <v>0.74893159638700002</v>
        <stp/>
        <stp>EM_S_FA_ASSETSTURN</stp>
        <stp>3</stp>
        <stp>000919</stp>
        <stp>12/31/2018</stp>
        <stp>1</stp>
        <tr r="K3576" s="1"/>
      </tp>
      <tp>
        <v>0.279470227249</v>
        <stp/>
        <stp>EM_S_FA_ASSETSTURN</stp>
        <stp>3</stp>
        <stp>600979</stp>
        <stp>12/31/2018</stp>
        <stp>1</stp>
        <tr r="K2045" s="1"/>
      </tp>
      <tp>
        <v>2.3909570303669998</v>
        <stp/>
        <stp>EM_S_FA_ASSETSTURN</stp>
        <stp>3</stp>
        <stp>000819</stp>
        <stp>12/31/2018</stp>
        <stp>1</stp>
        <tr r="K2694" s="1"/>
      </tp>
      <tp>
        <v>0.56126071673199995</v>
        <stp/>
        <stp>EM_S_FA_ASSETSTURN</stp>
        <stp>3</stp>
        <stp>600879</stp>
        <stp>12/31/2018</stp>
        <stp>1</stp>
        <tr r="K1674" s="1"/>
      </tp>
      <tp>
        <v>0.49399791535100002</v>
        <stp/>
        <stp>EM_S_FA_ASSETSTURN</stp>
        <stp>3</stp>
        <stp>300329</stp>
        <stp>12/31/2018</stp>
        <stp>1</stp>
        <tr r="K1174" s="1"/>
      </tp>
      <tp>
        <v>1.1338258532800001</v>
        <stp/>
        <stp>EM_S_FA_ASSETSTURN</stp>
        <stp>3</stp>
        <stp>600379</stp>
        <stp>12/31/2018</stp>
        <stp>1</stp>
        <tr r="K2976" s="1"/>
      </tp>
      <tp>
        <v>0.34748357382599998</v>
        <stp/>
        <stp>EM_S_FA_ASSETSTURN</stp>
        <stp>3</stp>
        <stp>300229</stp>
        <stp>12/31/2018</stp>
        <stp>1</stp>
        <tr r="K529" s="1"/>
      </tp>
      <tp>
        <v>0.76523886247299999</v>
        <stp/>
        <stp>EM_S_FA_ASSETSTURN</stp>
        <stp>3</stp>
        <stp>600279</stp>
        <stp>12/31/2018</stp>
        <stp>1</stp>
        <tr r="K1653" s="1"/>
      </tp>
      <tp>
        <v>0.440939685774</v>
        <stp/>
        <stp>EM_S_FA_ASSETSTURN</stp>
        <stp>3</stp>
        <stp>300129</stp>
        <stp>12/31/2018</stp>
        <stp>1</stp>
        <tr r="K310" s="1"/>
      </tp>
      <tp>
        <v>1.0275686003919999</v>
        <stp/>
        <stp>EM_S_FA_ASSETSTURN</stp>
        <stp>3</stp>
        <stp>600179</stp>
        <stp>12/31/2018</stp>
        <stp>1</stp>
        <tr r="K3223" s="1"/>
      </tp>
      <tp>
        <v>2.8540391258660001</v>
        <stp/>
        <stp>EM_S_FA_ASSETSTURN</stp>
        <stp>3</stp>
        <stp>000019</stp>
        <stp>12/31/2018</stp>
        <stp>1</stp>
        <tr r="K2891" s="1"/>
      </tp>
      <tp>
        <v>2.7232511998E-2</v>
        <stp/>
        <stp>EM_S_FA_ASSETSTURN</stp>
        <stp>3</stp>
        <stp>300029</stp>
        <stp>12/31/2018</stp>
        <stp>1</stp>
        <tr r="K944" s="1"/>
      </tp>
      <tp>
        <v>0.52616021181399997</v>
        <stp/>
        <stp>EM_S_FA_ASSETSTURN</stp>
        <stp>3</stp>
        <stp>600079</stp>
        <stp>12/31/2018</stp>
        <stp>1</stp>
        <tr r="K1010" s="1"/>
      </tp>
      <tp>
        <v>0.80055760030900003</v>
        <stp/>
        <stp>EM_S_FA_ASSETSTURN</stp>
        <stp>3</stp>
        <stp>000719</stp>
        <stp>12/31/2018</stp>
        <stp>1</stp>
        <tr r="K2726" s="1"/>
      </tp>
      <tp>
        <v>0.83648815119999997</v>
        <stp/>
        <stp>EM_S_FA_ASSETSTURN</stp>
        <stp>3</stp>
        <stp>300729</stp>
        <stp>12/31/2018</stp>
        <stp>1</stp>
        <tr r="K1886" s="1"/>
      </tp>
      <tp>
        <v>0.94174852793099995</v>
        <stp/>
        <stp>EM_S_FA_ASSETSTURN</stp>
        <stp>3</stp>
        <stp>600779</stp>
        <stp>12/31/2018</stp>
        <stp>1</stp>
        <tr r="K355" s="1"/>
      </tp>
      <tp>
        <v>0.84578807327000005</v>
        <stp/>
        <stp>EM_S_FA_ASSETSTURN</stp>
        <stp>3</stp>
        <stp>000619</stp>
        <stp>12/31/2018</stp>
        <stp>1</stp>
        <tr r="K1623" s="1"/>
      </tp>
      <tp>
        <v>0.43823300651399999</v>
        <stp/>
        <stp>EM_S_FA_ASSETSTURN</stp>
        <stp>3</stp>
        <stp>300629</stp>
        <stp>12/31/2018</stp>
        <stp>1</stp>
        <tr r="K1628" s="1"/>
      </tp>
      <tp>
        <v>0.41527917208800003</v>
        <stp/>
        <stp>EM_S_FA_ASSETSTURN</stp>
        <stp>3</stp>
        <stp>600679</stp>
        <stp>12/31/2018</stp>
        <stp>1</stp>
        <tr r="K1214" s="1"/>
      </tp>
      <tp>
        <v>0.49164339239400001</v>
        <stp/>
        <stp>EM_S_FA_ASSETSTURN</stp>
        <stp>3</stp>
        <stp>000519</stp>
        <stp>12/31/2018</stp>
        <stp>1</stp>
        <tr r="K1223" s="1"/>
      </tp>
      <tp>
        <v>0.54150864225100004</v>
        <stp/>
        <stp>EM_S_FA_ASSETSTURN</stp>
        <stp>3</stp>
        <stp>300529</stp>
        <stp>12/31/2018</stp>
        <stp>1</stp>
        <tr r="K323" s="1"/>
      </tp>
      <tp>
        <v>1.304234282338</v>
        <stp/>
        <stp>EM_S_FA_ASSETSTURN</stp>
        <stp>3</stp>
        <stp>600579</stp>
        <stp>12/31/2018</stp>
        <stp>1</stp>
        <tr r="K3071" s="1"/>
      </tp>
      <tp>
        <v>0.86748977759000001</v>
        <stp/>
        <stp>EM_S_FA_ASSETSTURN</stp>
        <stp>3</stp>
        <stp>000419</stp>
        <stp>12/31/2018</stp>
        <stp>1</stp>
        <tr r="K3422" s="1"/>
      </tp>
      <tp>
        <v>0.46700387892299999</v>
        <stp/>
        <stp>EM_S_FA_ASSETSTURN</stp>
        <stp>3</stp>
        <stp>300429</stp>
        <stp>12/31/2018</stp>
        <stp>1</stp>
        <tr r="K3351" s="1"/>
      </tp>
      <tp>
        <v>0.98487100510199999</v>
        <stp/>
        <stp>EM_S_FA_ASSETSTURN</stp>
        <stp>3</stp>
        <stp>600479</stp>
        <stp>12/31/2018</stp>
        <stp>1</stp>
        <tr r="K1683" s="1"/>
      </tp>
      <tp>
        <v>0.52158453685999995</v>
        <stp/>
        <stp>EM_S_FA_ASSETSTURN</stp>
        <stp>3</stp>
        <stp>603979</stp>
        <stp>12/31/2018</stp>
        <stp>1</stp>
        <tr r="K1297" s="1"/>
      </tp>
      <tp>
        <v>1.035956875416</v>
        <stp/>
        <stp>EM_S_FA_ASSETSTURN</stp>
        <stp>3</stp>
        <stp>603879</stp>
        <stp>12/31/2018</stp>
        <stp>1</stp>
        <tr r="K1251" s="1"/>
      </tp>
      <tp>
        <v>0.96912124571900005</v>
        <stp/>
        <stp>EM_S_FA_ASSETSTURN</stp>
        <stp>3</stp>
        <stp>603179</stp>
        <stp>12/31/2018</stp>
        <stp>1</stp>
        <tr r="K1445" s="1"/>
      </tp>
      <tp>
        <v>0.440176847835</v>
        <stp/>
        <stp>EM_S_FA_ASSETSTURN</stp>
        <stp>3</stp>
        <stp>603079</stp>
        <stp>12/31/2018</stp>
        <stp>1</stp>
        <tr r="K90" s="1"/>
      </tp>
      <tp>
        <v>0.39487639209399999</v>
        <stp/>
        <stp>EM_S_FA_ASSETSTURN</stp>
        <stp>3</stp>
        <stp>603779</stp>
        <stp>12/31/2018</stp>
        <stp>1</stp>
        <tr r="K3383" s="1"/>
      </tp>
      <tp>
        <v>0.66241485983000004</v>
        <stp/>
        <stp>EM_S_FA_ASSETSTURN</stp>
        <stp>3</stp>
        <stp>603679</stp>
        <stp>12/31/2018</stp>
        <stp>1</stp>
        <tr r="K247" s="1"/>
      </tp>
      <tp>
        <v>1.054512023269</v>
        <stp/>
        <stp>EM_S_FA_ASSETSTURN</stp>
        <stp>3</stp>
        <stp>603579</stp>
        <stp>12/31/2018</stp>
        <stp>1</stp>
        <tr r="K1908" s="1"/>
      </tp>
      <tp>
        <v>0.78977038320899995</v>
        <stp/>
        <stp>EM_S_FA_ASSETSTURN</stp>
        <stp>3</stp>
        <stp>002919</stp>
        <stp>12/31/2018</stp>
        <stp>1</stp>
        <tr r="K3159" s="1"/>
      </tp>
      <tp>
        <v>1.2661330830690001</v>
        <stp/>
        <stp>EM_S_FA_ASSETSTURN</stp>
        <stp>3</stp>
        <stp>002819</stp>
        <stp>12/31/2018</stp>
        <stp>1</stp>
        <tr r="K1242" s="1"/>
      </tp>
      <tp>
        <v>0.47541345846900002</v>
        <stp/>
        <stp>EM_S_FA_ASSETSTURN</stp>
        <stp>3</stp>
        <stp>002319</stp>
        <stp>12/31/2018</stp>
        <stp>1</stp>
        <tr r="K3323" s="1"/>
      </tp>
      <tp>
        <v>0.403781516507</v>
        <stp/>
        <stp>EM_S_FA_ASSETSTURN</stp>
        <stp>3</stp>
        <stp>002219</stp>
        <stp>12/31/2018</stp>
        <stp>1</stp>
        <tr r="K3232" s="1"/>
      </tp>
      <tp>
        <v>0.88600549370500004</v>
        <stp/>
        <stp>EM_S_FA_ASSETSTURN</stp>
        <stp>3</stp>
        <stp>002119</stp>
        <stp>12/31/2018</stp>
        <stp>1</stp>
        <tr r="K493" s="1"/>
      </tp>
      <tp>
        <v>0.49958386404100003</v>
        <stp/>
        <stp>EM_S_FA_ASSETSTURN</stp>
        <stp>3</stp>
        <stp>002019</stp>
        <stp>12/31/2018</stp>
        <stp>1</stp>
        <tr r="K581" s="1"/>
      </tp>
      <tp>
        <v>0.437609935314</v>
        <stp/>
        <stp>EM_S_FA_ASSETSTURN</stp>
        <stp>3</stp>
        <stp>002719</stp>
        <stp>12/31/2018</stp>
        <stp>1</stp>
        <tr r="K2151" s="1"/>
      </tp>
      <tp>
        <v>0.117871286443</v>
        <stp/>
        <stp>EM_S_FA_ASSETSTURN</stp>
        <stp>3</stp>
        <stp>002619</stp>
        <stp>12/31/2018</stp>
        <stp>1</stp>
        <tr r="K2620" s="1"/>
      </tp>
      <tp>
        <v>0.34491158919600001</v>
        <stp/>
        <stp>EM_S_FA_ASSETSTURN</stp>
        <stp>3</stp>
        <stp>002519</stp>
        <stp>12/31/2018</stp>
        <stp>1</stp>
        <tr r="K1671" s="1"/>
      </tp>
      <tp>
        <v>1.2089117653170001</v>
        <stp/>
        <stp>EM_S_FA_ASSETSTURN</stp>
        <stp>3</stp>
        <stp>002419</stp>
        <stp>12/31/2018</stp>
        <stp>1</stp>
        <tr r="K2535" s="1"/>
      </tp>
      <tp>
        <v>-0.36705417040816057</v>
        <stp/>
        <stp>EM_S_RATIO_EPS_TTM</stp>
        <stp>3</stp>
        <stp>300199</stp>
        <stp>12/31/2018</stp>
        <stp>1</stp>
        <tr r="U3302" s="1"/>
      </tp>
      <tp>
        <v>0.14560918712473764</v>
        <stp/>
        <stp>EM_S_RATIO_EPS_TTM</stp>
        <stp>3</stp>
        <stp>300099</stp>
        <stp>12/31/2018</stp>
        <stp>1</stp>
        <tr r="U551" s="1"/>
      </tp>
      <tp>
        <v>0.1270438281882591</v>
        <stp/>
        <stp>EM_S_RATIO_EPS_TTM</stp>
        <stp>3</stp>
        <stp>300399</stp>
        <stp>12/31/2018</stp>
        <stp>1</stp>
        <tr r="U472" s="1"/>
      </tp>
      <tp>
        <v>7.9669466455134633E-2</v>
        <stp/>
        <stp>EM_S_RATIO_EPS_TTM</stp>
        <stp>3</stp>
        <stp>300299</stp>
        <stp>12/31/2018</stp>
        <stp>1</stp>
        <tr r="U2152" s="1"/>
      </tp>
      <tp>
        <v>0.67092235999999994</v>
        <stp/>
        <stp>EM_S_RATIO_EPS_TTM</stp>
        <stp>3</stp>
        <stp>300599</stp>
        <stp>12/31/2018</stp>
        <stp>1</stp>
        <tr r="U2093" s="1"/>
      </tp>
      <tp>
        <v>0.46369461129765871</v>
        <stp/>
        <stp>EM_S_RATIO_EPS_TTM</stp>
        <stp>3</stp>
        <stp>300499</stp>
        <stp>12/31/2018</stp>
        <stp>1</stp>
        <tr r="U3080" s="1"/>
      </tp>
      <tp>
        <v>1.0170980200945308</v>
        <stp/>
        <stp>EM_S_RATIO_EPS_TTM</stp>
        <stp>3</stp>
        <stp>300699</stp>
        <stp>12/31/2018</stp>
        <stp>1</stp>
        <tr r="U995" s="1"/>
      </tp>
      <tp>
        <v>-0.38499503988440525</v>
        <stp/>
        <stp>EM_S_RATIO_EPS_TTM</stp>
        <stp>3</stp>
        <stp>300198</stp>
        <stp>12/31/2018</stp>
        <stp>1</stp>
        <tr r="U522" s="1"/>
      </tp>
      <tp>
        <v>0.30579210128031037</v>
        <stp/>
        <stp>EM_S_RATIO_EPS_TTM</stp>
        <stp>3</stp>
        <stp>300098</stp>
        <stp>12/31/2018</stp>
        <stp>1</stp>
        <tr r="U2821" s="1"/>
      </tp>
      <tp>
        <v>0.66653322839276941</v>
        <stp/>
        <stp>EM_S_RATIO_EPS_TTM</stp>
        <stp>3</stp>
        <stp>300398</stp>
        <stp>12/31/2018</stp>
        <stp>1</stp>
        <tr r="U2573" s="1"/>
      </tp>
      <tp>
        <v>0.54916021884545474</v>
        <stp/>
        <stp>EM_S_RATIO_EPS_TTM</stp>
        <stp>3</stp>
        <stp>300298</stp>
        <stp>12/31/2018</stp>
        <stp>1</stp>
        <tr r="U742" s="1"/>
      </tp>
      <tp>
        <v>0.19897354075000001</v>
        <stp/>
        <stp>EM_S_RATIO_EPS_TTM</stp>
        <stp>3</stp>
        <stp>300598</stp>
        <stp>12/31/2018</stp>
        <stp>1</stp>
        <tr r="U16" s="1"/>
      </tp>
      <tp>
        <v>0.74474127846214111</v>
        <stp/>
        <stp>EM_S_RATIO_EPS_TTM</stp>
        <stp>3</stp>
        <stp>300498</stp>
        <stp>12/31/2018</stp>
        <stp>1</stp>
        <tr r="U1017" s="1"/>
      </tp>
      <tp>
        <v>3.1987510746268662E-2</v>
        <stp/>
        <stp>EM_S_RATIO_EPS_TTM</stp>
        <stp>3</stp>
        <stp>300698</stp>
        <stp>12/31/2018</stp>
        <stp>1</stp>
        <tr r="U2793" s="1"/>
      </tp>
      <tp>
        <v>0.24915191758399999</v>
        <stp/>
        <stp>EM_S_FA_ASSETSTURN</stp>
        <stp>3</stp>
        <stp>601872</stp>
        <stp>12/31/2018</stp>
        <stp>1</stp>
        <tr r="K137" s="1"/>
      </tp>
      <tp>
        <v>0.67775832099400002</v>
        <stp/>
        <stp>EM_S_FA_ASSETSTURN</stp>
        <stp>3</stp>
        <stp>000912</stp>
        <stp>12/31/2018</stp>
        <stp>1</stp>
        <tr r="K2196" s="1"/>
      </tp>
      <tp>
        <v>0.38747136043899999</v>
        <stp/>
        <stp>EM_S_FA_ASSETSTURN</stp>
        <stp>3</stp>
        <stp>000812</stp>
        <stp>12/31/2018</stp>
        <stp>1</stp>
        <tr r="K2624" s="1"/>
      </tp>
      <tp>
        <v>0.73818191601700001</v>
        <stp/>
        <stp>EM_S_FA_ASSETSTURN</stp>
        <stp>3</stp>
        <stp>600872</stp>
        <stp>12/31/2018</stp>
        <stp>1</stp>
        <tr r="K909" s="1"/>
      </tp>
      <tp>
        <v>0.89493199532199996</v>
        <stp/>
        <stp>EM_S_FA_ASSETSTURN</stp>
        <stp>3</stp>
        <stp>300322</stp>
        <stp>12/31/2018</stp>
        <stp>1</stp>
        <tr r="K123" s="1"/>
      </tp>
      <tp>
        <v>0.35682352832199998</v>
        <stp/>
        <stp>EM_S_FA_ASSETSTURN</stp>
        <stp>3</stp>
        <stp>600372</stp>
        <stp>12/31/2018</stp>
        <stp>1</stp>
        <tr r="K1736" s="1"/>
      </tp>
      <tp>
        <v>0.51862909840799998</v>
        <stp/>
        <stp>EM_S_FA_ASSETSTURN</stp>
        <stp>3</stp>
        <stp>300222</stp>
        <stp>12/31/2018</stp>
        <stp>1</stp>
        <tr r="K3309" s="1"/>
      </tp>
      <tp>
        <v>0.85233954148500002</v>
        <stp/>
        <stp>EM_S_FA_ASSETSTURN</stp>
        <stp>3</stp>
        <stp>600272</stp>
        <stp>12/31/2018</stp>
        <stp>1</stp>
        <tr r="K1919" s="1"/>
      </tp>
      <tp>
        <v>0.95790979705000001</v>
        <stp/>
        <stp>EM_S_FA_ASSETSTURN</stp>
        <stp>3</stp>
        <stp>300122</stp>
        <stp>12/31/2018</stp>
        <stp>1</stp>
        <tr r="K1101" s="1"/>
      </tp>
      <tp>
        <v>0.29362512895300003</v>
        <stp/>
        <stp>EM_S_FA_ASSETSTURN</stp>
        <stp>3</stp>
        <stp>600172</stp>
        <stp>12/31/2018</stp>
        <stp>1</stp>
        <tr r="K2575" s="1"/>
      </tp>
      <tp>
        <v>0.54903868523900001</v>
        <stp/>
        <stp>EM_S_FA_ASSETSTURN</stp>
        <stp>3</stp>
        <stp>000012</stp>
        <stp>12/31/2018</stp>
        <stp>1</stp>
        <tr r="K741" s="1"/>
      </tp>
      <tp>
        <v>1.5120843175550001</v>
        <stp/>
        <stp>EM_S_FA_ASSETSTURN</stp>
        <stp>3</stp>
        <stp>300022</stp>
        <stp>12/31/2018</stp>
        <stp>1</stp>
        <tr r="K1917" s="1"/>
      </tp>
      <tp>
        <v>0.304049062092</v>
        <stp/>
        <stp>EM_S_FA_ASSETSTURN</stp>
        <stp>3</stp>
        <stp>600072</stp>
        <stp>12/31/2018</stp>
        <stp>1</stp>
        <tr r="K198" s="1"/>
      </tp>
      <tp>
        <v>0</v>
        <stp/>
        <stp>EM_S_FA_ASSETSTURN</stp>
        <stp>3</stp>
        <stp>000712</stp>
        <stp>12/31/2018</stp>
        <stp>1</stp>
        <tr r="K3518" s="1"/>
      </tp>
      <tp>
        <v>0.39418080652199999</v>
        <stp/>
        <stp>EM_S_FA_ASSETSTURN</stp>
        <stp>3</stp>
        <stp>300722</stp>
        <stp>12/31/2018</stp>
        <stp>1</stp>
        <tr r="K3251" s="1"/>
      </tp>
      <tp>
        <v>0</v>
        <stp/>
        <stp>EM_S_FA_ASSETSTURN</stp>
        <stp>3</stp>
        <stp>600772</stp>
        <stp>12/31/2018</stp>
        <stp>1</stp>
        <tr r="K2321" s="1"/>
      </tp>
      <tp>
        <v>0.65850911712100002</v>
        <stp/>
        <stp>EM_S_FA_ASSETSTURN</stp>
        <stp>3</stp>
        <stp>000612</stp>
        <stp>12/31/2018</stp>
        <stp>1</stp>
        <tr r="K3484" s="1"/>
      </tp>
      <tp>
        <v>1.0166338029399999</v>
        <stp/>
        <stp>EM_S_FA_ASSETSTURN</stp>
        <stp>3</stp>
        <stp>300622</stp>
        <stp>12/31/2018</stp>
        <stp>1</stp>
        <tr r="K1369" s="1"/>
      </tp>
      <tp>
        <v>0.60801563135500003</v>
        <stp/>
        <stp>EM_S_FA_ASSETSTURN</stp>
        <stp>3</stp>
        <stp>600672</stp>
        <stp>12/31/2018</stp>
        <stp>1</stp>
        <tr r="K2315" s="1"/>
      </tp>
      <tp>
        <v>0.49445619365600002</v>
        <stp/>
        <stp>EM_S_FA_ASSETSTURN</stp>
        <stp>3</stp>
        <stp>300522</stp>
        <stp>12/31/2018</stp>
        <stp>1</stp>
        <tr r="K1837" s="1"/>
      </tp>
      <tp>
        <v>0.67416026342299995</v>
        <stp/>
        <stp>EM_S_FA_ASSETSTURN</stp>
        <stp>3</stp>
        <stp>600572</stp>
        <stp>12/31/2018</stp>
        <stp>1</stp>
        <tr r="K2179" s="1"/>
      </tp>
      <tp>
        <v>0</v>
        <stp/>
        <stp>EM_S_FA_ASSETSTURN</stp>
        <stp>3</stp>
        <stp>000412</stp>
        <stp>12/31/2018</stp>
        <stp>1</stp>
        <tr r="K3420" s="1"/>
      </tp>
      <tp>
        <v>0.52150001638400001</v>
        <stp/>
        <stp>EM_S_FA_ASSETSTURN</stp>
        <stp>3</stp>
        <stp>300422</stp>
        <stp>12/31/2018</stp>
        <stp>1</stp>
        <tr r="K2032" s="1"/>
      </tp>
      <tp>
        <v>0</v>
        <stp/>
        <stp>EM_S_FA_ASSETSTURN</stp>
        <stp>3</stp>
        <stp>600472</stp>
        <stp>12/31/2018</stp>
        <stp>1</stp>
        <tr r="K2303" s="1"/>
      </tp>
      <tp>
        <v>0.36641070905400003</v>
        <stp/>
        <stp>EM_S_FA_ASSETSTURN</stp>
        <stp>3</stp>
        <stp>002912</stp>
        <stp>12/31/2018</stp>
        <stp>1</stp>
        <tr r="K494" s="1"/>
      </tp>
      <tp>
        <v>0.50459499179199996</v>
        <stp/>
        <stp>EM_S_FA_ASSETSTURN</stp>
        <stp>3</stp>
        <stp>002812</stp>
        <stp>12/31/2018</stp>
        <stp>1</stp>
        <tr r="K2026" s="1"/>
      </tp>
      <tp>
        <v>0.195916445918</v>
        <stp/>
        <stp>EM_S_FA_ASSETSTURN</stp>
        <stp>3</stp>
        <stp>002312</stp>
        <stp>12/31/2018</stp>
        <stp>1</stp>
        <tr r="K876" s="1"/>
      </tp>
      <tp>
        <v>0.64380350313699997</v>
        <stp/>
        <stp>EM_S_FA_ASSETSTURN</stp>
        <stp>3</stp>
        <stp>002212</stp>
        <stp>12/31/2018</stp>
        <stp>1</stp>
        <tr r="K305" s="1"/>
      </tp>
      <tp>
        <v>0.52568087307</v>
        <stp/>
        <stp>EM_S_FA_ASSETSTURN</stp>
        <stp>3</stp>
        <stp>002112</stp>
        <stp>12/31/2018</stp>
        <stp>1</stp>
        <tr r="K2156" s="1"/>
      </tp>
      <tp>
        <v>0.61995463283600005</v>
        <stp/>
        <stp>EM_S_FA_ASSETSTURN</stp>
        <stp>3</stp>
        <stp>002012</stp>
        <stp>12/31/2018</stp>
        <stp>1</stp>
        <tr r="K608" s="1"/>
      </tp>
      <tp>
        <v>1.107989151175</v>
        <stp/>
        <stp>EM_S_FA_ASSETSTURN</stp>
        <stp>3</stp>
        <stp>002712</stp>
        <stp>12/31/2018</stp>
        <stp>1</stp>
        <tr r="K708" s="1"/>
      </tp>
      <tp>
        <v>0.37433872760499998</v>
        <stp/>
        <stp>EM_S_FA_ASSETSTURN</stp>
        <stp>3</stp>
        <stp>002612</stp>
        <stp>12/31/2018</stp>
        <stp>1</stp>
        <tr r="K1881" s="1"/>
      </tp>
      <tp>
        <v>0.42070181027600001</v>
        <stp/>
        <stp>EM_S_FA_ASSETSTURN</stp>
        <stp>3</stp>
        <stp>002512</stp>
        <stp>12/31/2018</stp>
        <stp>1</stp>
        <tr r="K1261" s="1"/>
      </tp>
      <tp>
        <v>0.52701365848299997</v>
        <stp/>
        <stp>EM_S_FA_ASSETSTURN</stp>
        <stp>3</stp>
        <stp>002412</stp>
        <stp>12/31/2018</stp>
        <stp>1</stp>
        <tr r="K3306" s="1"/>
      </tp>
      <tp>
        <v>0.19809179947579567</v>
        <stp/>
        <stp>EM_S_RATIO_EPS_TTM</stp>
        <stp>3</stp>
        <stp>300195</stp>
        <stp>12/31/2018</stp>
        <stp>1</stp>
        <tr r="U2722" s="1"/>
      </tp>
      <tp>
        <v>-0.26252509435602289</v>
        <stp/>
        <stp>EM_S_RATIO_EPS_TTM</stp>
        <stp>3</stp>
        <stp>300095</stp>
        <stp>12/31/2018</stp>
        <stp>1</stp>
        <tr r="U950" s="1"/>
      </tp>
      <tp>
        <v>0.53810360999202267</v>
        <stp/>
        <stp>EM_S_RATIO_EPS_TTM</stp>
        <stp>3</stp>
        <stp>300395</stp>
        <stp>12/31/2018</stp>
        <stp>1</stp>
        <tr r="U574" s="1"/>
      </tp>
      <tp>
        <v>0.50424991979108369</v>
        <stp/>
        <stp>EM_S_RATIO_EPS_TTM</stp>
        <stp>3</stp>
        <stp>300295</stp>
        <stp>12/31/2018</stp>
        <stp>1</stp>
        <tr r="U1480" s="1"/>
      </tp>
      <tp>
        <v>0.96376082689309372</v>
        <stp/>
        <stp>EM_S_RATIO_EPS_TTM</stp>
        <stp>3</stp>
        <stp>300595</stp>
        <stp>12/31/2018</stp>
        <stp>1</stp>
        <tr r="U1286" s="1"/>
      </tp>
      <tp>
        <v>0.64378192751792085</v>
        <stp/>
        <stp>EM_S_RATIO_EPS_TTM</stp>
        <stp>3</stp>
        <stp>300495</stp>
        <stp>12/31/2018</stp>
        <stp>1</stp>
        <tr r="U2945" s="1"/>
      </tp>
      <tp>
        <v>2.9386280111641523</v>
        <stp/>
        <stp>EM_S_RATIO_EPS_TTM</stp>
        <stp>3</stp>
        <stp>300695</stp>
        <stp>12/31/2018</stp>
        <stp>1</stp>
        <tr r="U1890" s="1"/>
      </tp>
      <tp>
        <v>0.74558797316299996</v>
        <stp/>
        <stp>EM_S_FA_ASSETSTURN</stp>
        <stp>3</stp>
        <stp>000913</stp>
        <stp>12/31/2018</stp>
        <stp>1</stp>
        <tr r="K1323" s="1"/>
      </tp>
      <tp>
        <v>2.0515372005780002</v>
        <stp/>
        <stp>EM_S_FA_ASSETSTURN</stp>
        <stp>3</stp>
        <stp>600973</stp>
        <stp>12/31/2018</stp>
        <stp>1</stp>
        <tr r="K2049" s="1"/>
      </tp>
      <tp>
        <v>0.595053245663</v>
        <stp/>
        <stp>EM_S_FA_ASSETSTURN</stp>
        <stp>3</stp>
        <stp>000813</stp>
        <stp>12/31/2018</stp>
        <stp>1</stp>
        <tr r="K3236" s="1"/>
      </tp>
      <tp>
        <v>0.69942573635299998</v>
        <stp/>
        <stp>EM_S_FA_ASSETSTURN</stp>
        <stp>3</stp>
        <stp>600873</stp>
        <stp>12/31/2018</stp>
        <stp>1</stp>
        <tr r="K2002" s="1"/>
      </tp>
      <tp>
        <v>0.23960356025999999</v>
        <stp/>
        <stp>EM_S_FA_ASSETSTURN</stp>
        <stp>3</stp>
        <stp>300323</stp>
        <stp>12/31/2018</stp>
        <stp>1</stp>
        <tr r="K2365" s="1"/>
      </tp>
      <tp>
        <v>0.52086253632900004</v>
        <stp/>
        <stp>EM_S_FA_ASSETSTURN</stp>
        <stp>3</stp>
        <stp>600373</stp>
        <stp>12/31/2018</stp>
        <stp>1</stp>
        <tr r="K2059" s="1"/>
      </tp>
      <tp>
        <v>0.220550967003</v>
        <stp/>
        <stp>EM_S_FA_ASSETSTURN</stp>
        <stp>3</stp>
        <stp>300223</stp>
        <stp>12/31/2018</stp>
        <stp>1</stp>
        <tr r="K20" s="1"/>
      </tp>
      <tp>
        <v>0.667448826843</v>
        <stp/>
        <stp>EM_S_FA_ASSETSTURN</stp>
        <stp>3</stp>
        <stp>600273</stp>
        <stp>12/31/2018</stp>
        <stp>1</stp>
        <tr r="K1116" s="1"/>
      </tp>
      <tp>
        <v>0.20435157351399999</v>
        <stp/>
        <stp>EM_S_FA_ASSETSTURN</stp>
        <stp>3</stp>
        <stp>300123</stp>
        <stp>12/31/2018</stp>
        <stp>1</stp>
        <tr r="K2994" s="1"/>
      </tp>
      <tp>
        <v>0.47661960360299999</v>
        <stp/>
        <stp>EM_S_FA_ASSETSTURN</stp>
        <stp>3</stp>
        <stp>600173</stp>
        <stp>12/31/2018</stp>
        <stp>1</stp>
        <tr r="K786" s="1"/>
      </tp>
      <tp>
        <v>0</v>
        <stp/>
        <stp>EM_S_FA_ASSETSTURN</stp>
        <stp>3</stp>
        <stp>000013</stp>
        <stp>12/31/2018</stp>
        <stp>1</stp>
        <tr r="K2272" s="1"/>
      </tp>
      <tp>
        <v>7.1673934401999997E-2</v>
        <stp/>
        <stp>EM_S_FA_ASSETSTURN</stp>
        <stp>3</stp>
        <stp>300023</stp>
        <stp>12/31/2018</stp>
        <stp>1</stp>
        <tr r="K1352" s="1"/>
      </tp>
      <tp>
        <v>1.9430034688510001</v>
        <stp/>
        <stp>EM_S_FA_ASSETSTURN</stp>
        <stp>3</stp>
        <stp>600073</stp>
        <stp>12/31/2018</stp>
        <stp>1</stp>
        <tr r="K1973" s="1"/>
      </tp>
      <tp>
        <v>0.83148850612500003</v>
        <stp/>
        <stp>EM_S_FA_ASSETSTURN</stp>
        <stp>3</stp>
        <stp>000713</stp>
        <stp>12/31/2018</stp>
        <stp>1</stp>
        <tr r="K252" s="1"/>
      </tp>
      <tp>
        <v>0.87626723311200005</v>
        <stp/>
        <stp>EM_S_FA_ASSETSTURN</stp>
        <stp>3</stp>
        <stp>300723</stp>
        <stp>12/31/2018</stp>
        <stp>1</stp>
        <tr r="K648" s="1"/>
      </tp>
      <tp>
        <v>0.10264410447699999</v>
        <stp/>
        <stp>EM_S_FA_ASSETSTURN</stp>
        <stp>3</stp>
        <stp>600773</stp>
        <stp>12/31/2018</stp>
        <stp>1</stp>
        <tr r="K2483" s="1"/>
      </tp>
      <tp>
        <v>0.33604642177100003</v>
        <stp/>
        <stp>EM_S_FA_ASSETSTURN</stp>
        <stp>3</stp>
        <stp>000613</stp>
        <stp>12/31/2018</stp>
        <stp>1</stp>
        <tr r="K3064" s="1"/>
      </tp>
      <tp>
        <v>0.36788962812699999</v>
        <stp/>
        <stp>EM_S_FA_ASSETSTURN</stp>
        <stp>3</stp>
        <stp>300623</stp>
        <stp>12/31/2018</stp>
        <stp>1</stp>
        <tr r="K1635" s="1"/>
      </tp>
      <tp>
        <v>0.70709009632200004</v>
        <stp/>
        <stp>EM_S_FA_ASSETSTURN</stp>
        <stp>3</stp>
        <stp>600673</stp>
        <stp>12/31/2018</stp>
        <stp>1</stp>
        <tr r="K859" s="1"/>
      </tp>
      <tp>
        <v>0.53161152242700005</v>
        <stp/>
        <stp>EM_S_FA_ASSETSTURN</stp>
        <stp>3</stp>
        <stp>000513</stp>
        <stp>12/31/2018</stp>
        <stp>1</stp>
        <tr r="K913" s="1"/>
      </tp>
      <tp>
        <v>0.595310988639</v>
        <stp/>
        <stp>EM_S_FA_ASSETSTURN</stp>
        <stp>3</stp>
        <stp>300523</stp>
        <stp>12/31/2018</stp>
        <stp>1</stp>
        <tr r="K3143" s="1"/>
      </tp>
      <tp>
        <v>0.45558292541899997</v>
        <stp/>
        <stp>EM_S_FA_ASSETSTURN</stp>
        <stp>3</stp>
        <stp>600573</stp>
        <stp>12/31/2018</stp>
        <stp>1</stp>
        <tr r="K2085" s="1"/>
      </tp>
      <tp>
        <v>0.402278771255</v>
        <stp/>
        <stp>EM_S_FA_ASSETSTURN</stp>
        <stp>3</stp>
        <stp>000413</stp>
        <stp>12/31/2018</stp>
        <stp>1</stp>
        <tr r="K3142" s="1"/>
      </tp>
      <tp>
        <v>0.80001228942299996</v>
        <stp/>
        <stp>EM_S_FA_ASSETSTURN</stp>
        <stp>3</stp>
        <stp>300423</stp>
        <stp>12/31/2018</stp>
        <stp>1</stp>
        <tr r="K3152" s="1"/>
      </tp>
      <tp>
        <v>0.497020623366</v>
        <stp/>
        <stp>EM_S_FA_ASSETSTURN</stp>
        <stp>3</stp>
        <stp>603773</stp>
        <stp>12/31/2018</stp>
        <stp>1</stp>
        <tr r="K3149" s="1"/>
      </tp>
      <tp>
        <v>0.73812795850400004</v>
        <stp/>
        <stp>EM_S_FA_ASSETSTURN</stp>
        <stp>3</stp>
        <stp>002913</stp>
        <stp>12/31/2018</stp>
        <stp>1</stp>
        <tr r="K570" s="1"/>
      </tp>
      <tp>
        <v>0.46568081975300002</v>
        <stp/>
        <stp>EM_S_FA_ASSETSTURN</stp>
        <stp>3</stp>
        <stp>002813</stp>
        <stp>12/31/2018</stp>
        <stp>1</stp>
        <tr r="K2566" s="1"/>
      </tp>
      <tp>
        <v>0.74566493603499995</v>
        <stp/>
        <stp>EM_S_FA_ASSETSTURN</stp>
        <stp>3</stp>
        <stp>002313</stp>
        <stp>12/31/2018</stp>
        <stp>1</stp>
        <tr r="K2845" s="1"/>
      </tp>
      <tp>
        <v>0.28822343043400001</v>
        <stp/>
        <stp>EM_S_FA_ASSETSTURN</stp>
        <stp>3</stp>
        <stp>002213</stp>
        <stp>12/31/2018</stp>
        <stp>1</stp>
        <tr r="K924" s="1"/>
      </tp>
      <tp>
        <v>0.17597881719</v>
        <stp/>
        <stp>EM_S_FA_ASSETSTURN</stp>
        <stp>3</stp>
        <stp>002113</stp>
        <stp>12/31/2018</stp>
        <stp>1</stp>
        <tr r="K3352" s="1"/>
      </tp>
      <tp>
        <v>0.47599618685299999</v>
        <stp/>
        <stp>EM_S_FA_ASSETSTURN</stp>
        <stp>3</stp>
        <stp>002013</stp>
        <stp>12/31/2018</stp>
        <stp>1</stp>
        <tr r="K1925" s="1"/>
      </tp>
      <tp>
        <v>1.2270005345749999</v>
        <stp/>
        <stp>EM_S_FA_ASSETSTURN</stp>
        <stp>3</stp>
        <stp>002713</stp>
        <stp>12/31/2018</stp>
        <stp>1</stp>
        <tr r="K3382" s="1"/>
      </tp>
      <tp>
        <v>0.49741383069599998</v>
        <stp/>
        <stp>EM_S_FA_ASSETSTURN</stp>
        <stp>3</stp>
        <stp>002613</stp>
        <stp>12/31/2018</stp>
        <stp>1</stp>
        <tr r="K2072" s="1"/>
      </tp>
      <tp>
        <v>0.39194034449999998</v>
        <stp/>
        <stp>EM_S_FA_ASSETSTURN</stp>
        <stp>3</stp>
        <stp>002513</stp>
        <stp>12/31/2018</stp>
        <stp>1</stp>
        <tr r="K1792" s="1"/>
      </tp>
      <tp>
        <v>0.230114899939</v>
        <stp/>
        <stp>EM_S_FA_ASSETSTURN</stp>
        <stp>3</stp>
        <stp>002413</stp>
        <stp>12/31/2018</stp>
        <stp>1</stp>
        <tr r="K2131" s="1"/>
      </tp>
      <tp>
        <v>-0.30257425451423098</v>
        <stp/>
        <stp>EM_S_RATIO_EPS_TTM</stp>
        <stp>3</stp>
        <stp>300194</stp>
        <stp>12/31/2018</stp>
        <stp>1</stp>
        <tr r="U334" s="1"/>
      </tp>
      <tp>
        <v>0.2948958810657985</v>
        <stp/>
        <stp>EM_S_RATIO_EPS_TTM</stp>
        <stp>3</stp>
        <stp>300094</stp>
        <stp>12/31/2018</stp>
        <stp>1</stp>
        <tr r="U2998" s="1"/>
      </tp>
      <tp>
        <v>0.68126421205064336</v>
        <stp/>
        <stp>EM_S_RATIO_EPS_TTM</stp>
        <stp>3</stp>
        <stp>300394</stp>
        <stp>12/31/2018</stp>
        <stp>1</stp>
        <tr r="U554" s="1"/>
      </tp>
      <tp>
        <v>1.0827322601611253</v>
        <stp/>
        <stp>EM_S_RATIO_EPS_TTM</stp>
        <stp>3</stp>
        <stp>300294</stp>
        <stp>12/31/2018</stp>
        <stp>1</stp>
        <tr r="U1530" s="1"/>
      </tp>
      <tp>
        <v>0.22267286387499999</v>
        <stp/>
        <stp>EM_S_RATIO_EPS_TTM</stp>
        <stp>3</stp>
        <stp>300494</stp>
        <stp>12/31/2018</stp>
        <stp>1</stp>
        <tr r="U404" s="1"/>
      </tp>
      <tp>
        <v>1.0936068733219999</v>
        <stp/>
        <stp>EM_S_FA_ASSETSTURN</stp>
        <stp>3</stp>
        <stp>000910</stp>
        <stp>12/31/2018</stp>
        <stp>1</stp>
        <tr r="K880" s="1"/>
      </tp>
      <tp>
        <v>0.70779501184500004</v>
        <stp/>
        <stp>EM_S_FA_ASSETSTURN</stp>
        <stp>3</stp>
        <stp>600970</stp>
        <stp>12/31/2018</stp>
        <stp>1</stp>
        <tr r="K1048" s="1"/>
      </tp>
      <tp>
        <v>0.97483527299100003</v>
        <stp/>
        <stp>EM_S_FA_ASSETSTURN</stp>
        <stp>3</stp>
        <stp>000810</stp>
        <stp>12/31/2018</stp>
        <stp>1</stp>
        <tr r="K139" s="1"/>
      </tp>
      <tp>
        <v>0.43232633424799999</v>
        <stp/>
        <stp>EM_S_FA_ASSETSTURN</stp>
        <stp>3</stp>
        <stp>600870</stp>
        <stp>12/31/2018</stp>
        <stp>1</stp>
        <tr r="K2830" s="1"/>
      </tp>
      <tp>
        <v>0.99296398932800001</v>
        <stp/>
        <stp>EM_S_FA_ASSETSTURN</stp>
        <stp>3</stp>
        <stp>300320</stp>
        <stp>12/31/2018</stp>
        <stp>1</stp>
        <tr r="K1658" s="1"/>
      </tp>
      <tp>
        <v>0.67221459304800002</v>
        <stp/>
        <stp>EM_S_FA_ASSETSTURN</stp>
        <stp>3</stp>
        <stp>600370</stp>
        <stp>12/31/2018</stp>
        <stp>1</stp>
        <tr r="K1676" s="1"/>
      </tp>
      <tp>
        <v>0.60233732787899996</v>
        <stp/>
        <stp>EM_S_FA_ASSETSTURN</stp>
        <stp>3</stp>
        <stp>300220</stp>
        <stp>12/31/2018</stp>
        <stp>1</stp>
        <tr r="K27" s="1"/>
      </tp>
      <tp>
        <v>0</v>
        <stp/>
        <stp>EM_S_FA_ASSETSTURN</stp>
        <stp>3</stp>
        <stp>600270</stp>
        <stp>12/31/2018</stp>
        <stp>1</stp>
        <tr r="K2298" s="1"/>
      </tp>
      <tp>
        <v>0.74415243223600003</v>
        <stp/>
        <stp>EM_S_FA_ASSETSTURN</stp>
        <stp>3</stp>
        <stp>300120</stp>
        <stp>12/31/2018</stp>
        <stp>1</stp>
        <tr r="K2024" s="1"/>
      </tp>
      <tp>
        <v>0.82869092781800002</v>
        <stp/>
        <stp>EM_S_FA_ASSETSTURN</stp>
        <stp>3</stp>
        <stp>600170</stp>
        <stp>12/31/2018</stp>
        <stp>1</stp>
        <tr r="K1414" s="1"/>
      </tp>
      <tp>
        <v>0.108305735825</v>
        <stp/>
        <stp>EM_S_FA_ASSETSTURN</stp>
        <stp>3</stp>
        <stp>000010</stp>
        <stp>12/31/2018</stp>
        <stp>1</stp>
        <tr r="K2039" s="1"/>
      </tp>
      <tp>
        <v>0.40566586746599997</v>
        <stp/>
        <stp>EM_S_FA_ASSETSTURN</stp>
        <stp>3</stp>
        <stp>300020</stp>
        <stp>12/31/2018</stp>
        <stp>1</stp>
        <tr r="K927" s="1"/>
      </tp>
      <tp>
        <v>0.71384119299299997</v>
        <stp/>
        <stp>EM_S_FA_ASSETSTURN</stp>
        <stp>3</stp>
        <stp>600070</stp>
        <stp>12/31/2018</stp>
        <stp>1</stp>
        <tr r="K667" s="1"/>
      </tp>
      <tp>
        <v>0.722714007617</v>
        <stp/>
        <stp>EM_S_FA_ASSETSTURN</stp>
        <stp>3</stp>
        <stp>000710</stp>
        <stp>12/31/2018</stp>
        <stp>1</stp>
        <tr r="K1684" s="1"/>
      </tp>
      <tp>
        <v>0.34041144563499998</v>
        <stp/>
        <stp>EM_S_FA_ASSETSTURN</stp>
        <stp>3</stp>
        <stp>300720</stp>
        <stp>12/31/2018</stp>
        <stp>1</stp>
        <tr r="K3311" s="1"/>
      </tp>
      <tp>
        <v>7.6512813127999998E-2</v>
        <stp/>
        <stp>EM_S_FA_ASSETSTURN</stp>
        <stp>3</stp>
        <stp>600770</stp>
        <stp>12/31/2018</stp>
        <stp>1</stp>
        <tr r="K1467" s="1"/>
      </tp>
      <tp>
        <v>0.67842503436799995</v>
        <stp/>
        <stp>EM_S_FA_ASSETSTURN</stp>
        <stp>3</stp>
        <stp>000610</stp>
        <stp>12/31/2018</stp>
        <stp>1</stp>
        <tr r="K1211" s="1"/>
      </tp>
      <tp>
        <v>0.417385860118</v>
        <stp/>
        <stp>EM_S_FA_ASSETSTURN</stp>
        <stp>3</stp>
        <stp>300620</stp>
        <stp>12/31/2018</stp>
        <stp>1</stp>
        <tr r="K2759" s="1"/>
      </tp>
      <tp>
        <v>0.30998217925900001</v>
        <stp/>
        <stp>EM_S_FA_ASSETSTURN</stp>
        <stp>3</stp>
        <stp>600670</stp>
        <stp>12/31/2018</stp>
        <stp>1</stp>
        <tr r="K2314" s="1"/>
      </tp>
      <tp>
        <v>1.3864123366400001</v>
        <stp/>
        <stp>EM_S_FA_ASSETSTURN</stp>
        <stp>3</stp>
        <stp>000510</stp>
        <stp>12/31/2018</stp>
        <stp>1</stp>
        <tr r="K1993" s="1"/>
      </tp>
      <tp>
        <v>0.57964643627099999</v>
        <stp/>
        <stp>EM_S_FA_ASSETSTURN</stp>
        <stp>3</stp>
        <stp>300520</stp>
        <stp>12/31/2018</stp>
        <stp>1</stp>
        <tr r="K1078" s="1"/>
      </tp>
      <tp>
        <v>0.54072680743599999</v>
        <stp/>
        <stp>EM_S_FA_ASSETSTURN</stp>
        <stp>3</stp>
        <stp>600570</stp>
        <stp>12/31/2018</stp>
        <stp>1</stp>
        <tr r="K583" s="1"/>
      </tp>
      <tp>
        <v>0.23992935924600001</v>
        <stp/>
        <stp>EM_S_FA_ASSETSTURN</stp>
        <stp>3</stp>
        <stp>000410</stp>
        <stp>12/31/2018</stp>
        <stp>1</stp>
        <tr r="K3419" s="1"/>
      </tp>
      <tp>
        <v>0.47843293641899998</v>
        <stp/>
        <stp>EM_S_FA_ASSETSTURN</stp>
        <stp>3</stp>
        <stp>300420</stp>
        <stp>12/31/2018</stp>
        <stp>1</stp>
        <tr r="K1747" s="1"/>
      </tp>
      <tp>
        <v>0.73892845797399997</v>
        <stp/>
        <stp>EM_S_FA_ASSETSTURN</stp>
        <stp>3</stp>
        <stp>600470</stp>
        <stp>12/31/2018</stp>
        <stp>1</stp>
        <tr r="K1540" s="1"/>
      </tp>
      <tp>
        <v>1.391499540896</v>
        <stp/>
        <stp>EM_S_FA_ASSETSTURN</stp>
        <stp>3</stp>
        <stp>603970</stp>
        <stp>12/31/2018</stp>
        <stp>1</stp>
        <tr r="K3016" s="1"/>
      </tp>
      <tp>
        <v>0.34151696900200001</v>
        <stp/>
        <stp>EM_S_FA_ASSETSTURN</stp>
        <stp>3</stp>
        <stp>002910</stp>
        <stp>12/31/2018</stp>
        <stp>1</stp>
        <tr r="K2541" s="1"/>
      </tp>
      <tp>
        <v>0.75138993128200005</v>
        <stp/>
        <stp>EM_S_FA_ASSETSTURN</stp>
        <stp>3</stp>
        <stp>002810</stp>
        <stp>12/31/2018</stp>
        <stp>1</stp>
        <tr r="K1778" s="1"/>
      </tp>
      <tp>
        <v>0.34435129209100002</v>
        <stp/>
        <stp>EM_S_FA_ASSETSTURN</stp>
        <stp>3</stp>
        <stp>002310</stp>
        <stp>12/31/2018</stp>
        <stp>1</stp>
        <tr r="K3198" s="1"/>
      </tp>
      <tp>
        <v>2.1524300328230002</v>
        <stp/>
        <stp>EM_S_FA_ASSETSTURN</stp>
        <stp>3</stp>
        <stp>002210</stp>
        <stp>12/31/2018</stp>
        <stp>1</stp>
        <tr r="K3397" s="1"/>
      </tp>
      <tp>
        <v>1.648802568919</v>
        <stp/>
        <stp>EM_S_FA_ASSETSTURN</stp>
        <stp>3</stp>
        <stp>002110</stp>
        <stp>12/31/2018</stp>
        <stp>1</stp>
        <tr r="K3202" s="1"/>
      </tp>
      <tp>
        <v>0.75038659844199995</v>
        <stp/>
        <stp>EM_S_FA_ASSETSTURN</stp>
        <stp>3</stp>
        <stp>002010</stp>
        <stp>12/31/2018</stp>
        <stp>1</stp>
        <tr r="K1950" s="1"/>
      </tp>
      <tp>
        <v>0</v>
        <stp/>
        <stp>EM_S_FA_ASSETSTURN</stp>
        <stp>3</stp>
        <stp>002710</stp>
        <stp>12/31/2018</stp>
        <stp>1</stp>
        <tr r="K7" s="1"/>
      </tp>
      <tp>
        <v>0.31103344472</v>
        <stp/>
        <stp>EM_S_FA_ASSETSTURN</stp>
        <stp>3</stp>
        <stp>002610</stp>
        <stp>12/31/2018</stp>
        <stp>1</stp>
        <tr r="K2135" s="1"/>
      </tp>
      <tp>
        <v>0.42304432293400002</v>
        <stp/>
        <stp>EM_S_FA_ASSETSTURN</stp>
        <stp>3</stp>
        <stp>002510</stp>
        <stp>12/31/2018</stp>
        <stp>1</stp>
        <tr r="K994" s="1"/>
      </tp>
      <tp>
        <v>0.55359277320199995</v>
        <stp/>
        <stp>EM_S_FA_ASSETSTURN</stp>
        <stp>3</stp>
        <stp>002410</stp>
        <stp>12/31/2018</stp>
        <stp>1</stp>
        <tr r="K427" s="1"/>
      </tp>
      <tp>
        <v>0.13349163802074671</v>
        <stp/>
        <stp>EM_S_RATIO_EPS_TTM</stp>
        <stp>3</stp>
        <stp>300197</stp>
        <stp>12/31/2018</stp>
        <stp>1</stp>
        <tr r="U3073" s="1"/>
      </tp>
      <tp>
        <v>0.42492709277722301</v>
        <stp/>
        <stp>EM_S_RATIO_EPS_TTM</stp>
        <stp>3</stp>
        <stp>300097</stp>
        <stp>12/31/2018</stp>
        <stp>1</stp>
        <tr r="U2911" s="1"/>
      </tp>
      <tp>
        <v>-0.7092323227916667</v>
        <stp/>
        <stp>EM_S_RATIO_EPS_TTM</stp>
        <stp>3</stp>
        <stp>300397</stp>
        <stp>12/31/2018</stp>
        <stp>1</stp>
        <tr r="U41" s="1"/>
      </tp>
      <tp>
        <v>0.33865714641532618</v>
        <stp/>
        <stp>EM_S_RATIO_EPS_TTM</stp>
        <stp>3</stp>
        <stp>300297</stp>
        <stp>12/31/2018</stp>
        <stp>1</stp>
        <tr r="U1570" s="1"/>
      </tp>
      <tp>
        <v>0.18284202379166667</v>
        <stp/>
        <stp>EM_S_RATIO_EPS_TTM</stp>
        <stp>3</stp>
        <stp>300597</stp>
        <stp>12/31/2018</stp>
        <stp>1</stp>
        <tr r="U3046" s="1"/>
      </tp>
      <tp>
        <v>0.86690572334225946</v>
        <stp/>
        <stp>EM_S_RATIO_EPS_TTM</stp>
        <stp>3</stp>
        <stp>300497</stp>
        <stp>12/31/2018</stp>
        <stp>1</stp>
        <tr r="U2053" s="1"/>
      </tp>
      <tp>
        <v>0.31894405076923077</v>
        <stp/>
        <stp>EM_S_RATIO_EPS_TTM</stp>
        <stp>3</stp>
        <stp>300697</stp>
        <stp>12/31/2018</stp>
        <stp>1</stp>
        <tr r="U772" s="1"/>
      </tp>
      <tp>
        <v>0.54498151021999997</v>
        <stp/>
        <stp>EM_S_FA_ASSETSTURN</stp>
        <stp>3</stp>
        <stp>000911</stp>
        <stp>12/31/2018</stp>
        <stp>1</stp>
        <tr r="K3572" s="1"/>
      </tp>
      <tp>
        <v>0.41121969407300002</v>
        <stp/>
        <stp>EM_S_FA_ASSETSTURN</stp>
        <stp>3</stp>
        <stp>600971</stp>
        <stp>12/31/2018</stp>
        <stp>1</stp>
        <tr r="K1930" s="1"/>
      </tp>
      <tp>
        <v>0.62127107763900002</v>
        <stp/>
        <stp>EM_S_FA_ASSETSTURN</stp>
        <stp>3</stp>
        <stp>000811</stp>
        <stp>12/31/2018</stp>
        <stp>1</stp>
        <tr r="K843" s="1"/>
      </tp>
      <tp>
        <v>0.95092129952799997</v>
        <stp/>
        <stp>EM_S_FA_ASSETSTURN</stp>
        <stp>3</stp>
        <stp>600871</stp>
        <stp>12/31/2018</stp>
        <stp>1</stp>
        <tr r="K1178" s="1"/>
      </tp>
      <tp>
        <v>0.64443103542299995</v>
        <stp/>
        <stp>EM_S_FA_ASSETSTURN</stp>
        <stp>3</stp>
        <stp>300321</stp>
        <stp>12/31/2018</stp>
        <stp>1</stp>
        <tr r="K1033" s="1"/>
      </tp>
      <tp>
        <v>0.339369863913</v>
        <stp/>
        <stp>EM_S_FA_ASSETSTURN</stp>
        <stp>3</stp>
        <stp>600371</stp>
        <stp>12/31/2018</stp>
        <stp>1</stp>
        <tr r="K193" s="1"/>
      </tp>
      <tp>
        <v>0.78755424184099998</v>
        <stp/>
        <stp>EM_S_FA_ASSETSTURN</stp>
        <stp>3</stp>
        <stp>300221</stp>
        <stp>12/31/2018</stp>
        <stp>1</stp>
        <tr r="K1732" s="1"/>
      </tp>
      <tp>
        <v>1.36412347781</v>
        <stp/>
        <stp>EM_S_FA_ASSETSTURN</stp>
        <stp>3</stp>
        <stp>600271</stp>
        <stp>12/31/2018</stp>
        <stp>1</stp>
        <tr r="K2348" s="1"/>
      </tp>
      <tp>
        <v>1.1179903163039999</v>
        <stp/>
        <stp>EM_S_FA_ASSETSTURN</stp>
        <stp>3</stp>
        <stp>300121</stp>
        <stp>12/31/2018</stp>
        <stp>1</stp>
        <tr r="K3007" s="1"/>
      </tp>
      <tp>
        <v>0.28753265847199999</v>
        <stp/>
        <stp>EM_S_FA_ASSETSTURN</stp>
        <stp>3</stp>
        <stp>600171</stp>
        <stp>12/31/2018</stp>
        <stp>1</stp>
        <tr r="K298" s="1"/>
      </tp>
      <tp>
        <v>0.49712083817199998</v>
        <stp/>
        <stp>EM_S_FA_ASSETSTURN</stp>
        <stp>3</stp>
        <stp>000011</stp>
        <stp>12/31/2018</stp>
        <stp>1</stp>
        <tr r="K1983" s="1"/>
      </tp>
      <tp>
        <v>0.52543904336199998</v>
        <stp/>
        <stp>EM_S_FA_ASSETSTURN</stp>
        <stp>3</stp>
        <stp>300021</stp>
        <stp>12/31/2018</stp>
        <stp>1</stp>
        <tr r="K1058" s="1"/>
      </tp>
      <tp>
        <v>0.80838185735000001</v>
        <stp/>
        <stp>EM_S_FA_ASSETSTURN</stp>
        <stp>3</stp>
        <stp>600071</stp>
        <stp>12/31/2018</stp>
        <stp>1</stp>
        <tr r="K523" s="1"/>
      </tp>
      <tp>
        <v>0.25278178396700002</v>
        <stp/>
        <stp>EM_S_FA_ASSETSTURN</stp>
        <stp>3</stp>
        <stp>000711</stp>
        <stp>12/31/2018</stp>
        <stp>1</stp>
        <tr r="K2850" s="1"/>
      </tp>
      <tp>
        <v>0.84863061290899999</v>
        <stp/>
        <stp>EM_S_FA_ASSETSTURN</stp>
        <stp>3</stp>
        <stp>300721</stp>
        <stp>12/31/2018</stp>
        <stp>1</stp>
        <tr r="K2599" s="1"/>
      </tp>
      <tp>
        <v>0.57849375327800001</v>
        <stp/>
        <stp>EM_S_FA_ASSETSTURN</stp>
        <stp>3</stp>
        <stp>600771</stp>
        <stp>12/31/2018</stp>
        <stp>1</stp>
        <tr r="K3341" s="1"/>
      </tp>
      <tp>
        <v>1.0371193656E-2</v>
        <stp/>
        <stp>EM_S_FA_ASSETSTURN</stp>
        <stp>3</stp>
        <stp>000611</stp>
        <stp>12/31/2018</stp>
        <stp>1</stp>
        <tr r="K3483" s="1"/>
      </tp>
      <tp>
        <v>1.0632112251920001</v>
        <stp/>
        <stp>EM_S_FA_ASSETSTURN</stp>
        <stp>3</stp>
        <stp>300621</stp>
        <stp>12/31/2018</stp>
        <stp>1</stp>
        <tr r="K1811" s="1"/>
      </tp>
      <tp>
        <v>0.80062404897600004</v>
        <stp/>
        <stp>EM_S_FA_ASSETSTURN</stp>
        <stp>3</stp>
        <stp>600671</stp>
        <stp>12/31/2018</stp>
        <stp>1</stp>
        <tr r="K3131" s="1"/>
      </tp>
      <tp>
        <v>0.44156592784799997</v>
        <stp/>
        <stp>EM_S_FA_ASSETSTURN</stp>
        <stp>3</stp>
        <stp>000511</stp>
        <stp>12/31/2018</stp>
        <stp>1</stp>
        <tr r="K3436" s="1"/>
      </tp>
      <tp>
        <v>0.30770752646600003</v>
        <stp/>
        <stp>EM_S_FA_ASSETSTURN</stp>
        <stp>3</stp>
        <stp>300521</stp>
        <stp>12/31/2018</stp>
        <stp>1</stp>
        <tr r="K1258" s="1"/>
      </tp>
      <tp>
        <v>0.64543012376700004</v>
        <stp/>
        <stp>EM_S_FA_ASSETSTURN</stp>
        <stp>3</stp>
        <stp>600571</stp>
        <stp>12/31/2018</stp>
        <stp>1</stp>
        <tr r="K555" s="1"/>
      </tp>
      <tp>
        <v>2.2673436989010001</v>
        <stp/>
        <stp>EM_S_FA_ASSETSTURN</stp>
        <stp>3</stp>
        <stp>000411</stp>
        <stp>12/31/2018</stp>
        <stp>1</stp>
        <tr r="K2518" s="1"/>
      </tp>
      <tp>
        <v>0.46835509955400001</v>
        <stp/>
        <stp>EM_S_FA_ASSETSTURN</stp>
        <stp>3</stp>
        <stp>300421</stp>
        <stp>12/31/2018</stp>
        <stp>1</stp>
        <tr r="K3348" s="1"/>
      </tp>
      <tp>
        <v>2.7026027511490001</v>
        <stp/>
        <stp>EM_S_FA_ASSETSTURN</stp>
        <stp>3</stp>
        <stp>603871</stp>
        <stp>12/31/2018</stp>
        <stp>1</stp>
        <tr r="K2770" s="1"/>
      </tp>
      <tp>
        <v>0.95398009507299997</v>
        <stp/>
        <stp>EM_S_FA_ASSETSTURN</stp>
        <stp>3</stp>
        <stp>002911</stp>
        <stp>12/31/2018</stp>
        <stp>1</stp>
        <tr r="K2725" s="1"/>
      </tp>
      <tp>
        <v>0.85701445796300002</v>
        <stp/>
        <stp>EM_S_FA_ASSETSTURN</stp>
        <stp>3</stp>
        <stp>002811</stp>
        <stp>12/31/2018</stp>
        <stp>1</stp>
        <tr r="K2796" s="1"/>
      </tp>
      <tp>
        <v>2.7620036887260002</v>
        <stp/>
        <stp>EM_S_FA_ASSETSTURN</stp>
        <stp>3</stp>
        <stp>002311</stp>
        <stp>12/31/2018</stp>
        <stp>1</stp>
        <tr r="K476" s="1"/>
      </tp>
      <tp>
        <v>0.90927563237599995</v>
        <stp/>
        <stp>EM_S_FA_ASSETSTURN</stp>
        <stp>3</stp>
        <stp>002211</stp>
        <stp>12/31/2018</stp>
        <stp>1</stp>
        <tr r="K822" s="1"/>
      </tp>
      <tp>
        <v>0.48255498084699999</v>
        <stp/>
        <stp>EM_S_FA_ASSETSTURN</stp>
        <stp>3</stp>
        <stp>002111</stp>
        <stp>12/31/2018</stp>
        <stp>1</stp>
        <tr r="K421" s="1"/>
      </tp>
      <tp>
        <v>0.77852203244899998</v>
        <stp/>
        <stp>EM_S_FA_ASSETSTURN</stp>
        <stp>3</stp>
        <stp>002011</stp>
        <stp>12/31/2018</stp>
        <stp>1</stp>
        <tr r="K3606" s="1"/>
      </tp>
      <tp>
        <v>2.1964213868079998</v>
        <stp/>
        <stp>EM_S_FA_ASSETSTURN</stp>
        <stp>3</stp>
        <stp>002711</stp>
        <stp>12/31/2018</stp>
        <stp>1</stp>
        <tr r="K3398" s="1"/>
      </tp>
      <tp>
        <v>0.61810219917700004</v>
        <stp/>
        <stp>EM_S_FA_ASSETSTURN</stp>
        <stp>3</stp>
        <stp>002611</stp>
        <stp>12/31/2018</stp>
        <stp>1</stp>
        <tr r="K1539" s="1"/>
      </tp>
      <tp>
        <v>1.038332976018</v>
        <stp/>
        <stp>EM_S_FA_ASSETSTURN</stp>
        <stp>3</stp>
        <stp>002511</stp>
        <stp>12/31/2018</stp>
        <stp>1</stp>
        <tr r="K611" s="1"/>
      </tp>
      <tp>
        <v>0.41691770473500001</v>
        <stp/>
        <stp>EM_S_FA_ASSETSTURN</stp>
        <stp>3</stp>
        <stp>002411</stp>
        <stp>12/31/2018</stp>
        <stp>1</stp>
        <tr r="K3164" s="1"/>
      </tp>
      <tp>
        <v>0.61974732633335339</v>
        <stp/>
        <stp>EM_S_RATIO_EPS_TTM</stp>
        <stp>3</stp>
        <stp>300196</stp>
        <stp>12/31/2018</stp>
        <stp>1</stp>
        <tr r="U904" s="1"/>
      </tp>
      <tp>
        <v>3.4104128790697678E-2</v>
        <stp/>
        <stp>EM_S_RATIO_EPS_TTM</stp>
        <stp>3</stp>
        <stp>300096</stp>
        <stp>12/31/2018</stp>
        <stp>1</stp>
        <tr r="U1359" s="1"/>
      </tp>
      <tp>
        <v>0.71632748523711187</v>
        <stp/>
        <stp>EM_S_RATIO_EPS_TTM</stp>
        <stp>3</stp>
        <stp>300396</stp>
        <stp>12/31/2018</stp>
        <stp>1</stp>
        <tr r="U723" s="1"/>
      </tp>
      <tp>
        <v>0.49728234576336749</v>
        <stp/>
        <stp>EM_S_RATIO_EPS_TTM</stp>
        <stp>3</stp>
        <stp>300296</stp>
        <stp>12/31/2018</stp>
        <stp>1</stp>
        <tr r="U2149" s="1"/>
      </tp>
      <tp>
        <v>1.0726306722777776</v>
        <stp/>
        <stp>EM_S_RATIO_EPS_TTM</stp>
        <stp>3</stp>
        <stp>300596</stp>
        <stp>12/31/2018</stp>
        <stp>1</stp>
        <tr r="U1350" s="1"/>
      </tp>
      <tp>
        <v>0.40761104357202138</v>
        <stp/>
        <stp>EM_S_RATIO_EPS_TTM</stp>
        <stp>3</stp>
        <stp>300496</stp>
        <stp>12/31/2018</stp>
        <stp>1</stp>
        <tr r="U156" s="1"/>
      </tp>
      <tp>
        <v>0.58422461126988867</v>
        <stp/>
        <stp>EM_S_RATIO_EPS_TTM</stp>
        <stp>3</stp>
        <stp>300696</stp>
        <stp>12/31/2018</stp>
        <stp>1</stp>
        <tr r="U2215" s="1"/>
      </tp>
      <tp>
        <v>0</v>
        <stp/>
        <stp>EM_S_FA_ASSETSTURN</stp>
        <stp>3</stp>
        <stp>000916</stp>
        <stp>12/31/2018</stp>
        <stp>1</stp>
        <tr r="K3574" s="1"/>
      </tp>
      <tp>
        <v>1.1855598398589999</v>
        <stp/>
        <stp>EM_S_FA_ASSETSTURN</stp>
        <stp>3</stp>
        <stp>600976</stp>
        <stp>12/31/2018</stp>
        <stp>1</stp>
        <tr r="K1228" s="1"/>
      </tp>
      <tp>
        <v>0.26029986701699998</v>
        <stp/>
        <stp>EM_S_FA_ASSETSTURN</stp>
        <stp>3</stp>
        <stp>000816</stp>
        <stp>12/31/2018</stp>
        <stp>1</stp>
        <tr r="K3547" s="1"/>
      </tp>
      <tp>
        <v>0.47734327213900002</v>
        <stp/>
        <stp>EM_S_FA_ASSETSTURN</stp>
        <stp>3</stp>
        <stp>600876</stp>
        <stp>12/31/2018</stp>
        <stp>1</stp>
        <tr r="K598" s="1"/>
      </tp>
      <tp>
        <v>0.29721069561800001</v>
        <stp/>
        <stp>EM_S_FA_ASSETSTURN</stp>
        <stp>3</stp>
        <stp>300326</stp>
        <stp>12/31/2018</stp>
        <stp>1</stp>
        <tr r="K483" s="1"/>
      </tp>
      <tp>
        <v>0.149418844193</v>
        <stp/>
        <stp>EM_S_FA_ASSETSTURN</stp>
        <stp>3</stp>
        <stp>600376</stp>
        <stp>12/31/2018</stp>
        <stp>1</stp>
        <tr r="K1649" s="1"/>
      </tp>
      <tp>
        <v>9.6634125792279999</v>
        <stp/>
        <stp>EM_S_FA_ASSETSTURN</stp>
        <stp>3</stp>
        <stp>300226</stp>
        <stp>12/31/2018</stp>
        <stp>1</stp>
        <tr r="K350" s="1"/>
      </tp>
      <tp>
        <v>0.862259216361</v>
        <stp/>
        <stp>EM_S_FA_ASSETSTURN</stp>
        <stp>3</stp>
        <stp>600276</stp>
        <stp>12/31/2018</stp>
        <stp>1</stp>
        <tr r="K401" s="1"/>
      </tp>
      <tp>
        <v>0.46768744133399998</v>
        <stp/>
        <stp>EM_S_FA_ASSETSTURN</stp>
        <stp>3</stp>
        <stp>300126</stp>
        <stp>12/31/2018</stp>
        <stp>1</stp>
        <tr r="K1497" s="1"/>
      </tp>
      <tp>
        <v>0.363742234798</v>
        <stp/>
        <stp>EM_S_FA_ASSETSTURN</stp>
        <stp>3</stp>
        <stp>600176</stp>
        <stp>12/31/2018</stp>
        <stp>1</stp>
        <tr r="K1596" s="1"/>
      </tp>
      <tp>
        <v>1.631542255594</v>
        <stp/>
        <stp>EM_S_FA_ASSETSTURN</stp>
        <stp>3</stp>
        <stp>000016</stp>
        <stp>12/31/2018</stp>
        <stp>1</stp>
        <tr r="K767" s="1"/>
      </tp>
      <tp>
        <v>0.56652445576499999</v>
        <stp/>
        <stp>EM_S_FA_ASSETSTURN</stp>
        <stp>3</stp>
        <stp>300026</stp>
        <stp>12/31/2018</stp>
        <stp>1</stp>
        <tr r="K1577" s="1"/>
      </tp>
      <tp>
        <v>0.42572857462899999</v>
        <stp/>
        <stp>EM_S_FA_ASSETSTURN</stp>
        <stp>3</stp>
        <stp>600076</stp>
        <stp>12/31/2018</stp>
        <stp>1</stp>
        <tr r="K2007" s="1"/>
      </tp>
      <tp>
        <v>0.75899268555400001</v>
        <stp/>
        <stp>EM_S_FA_ASSETSTURN</stp>
        <stp>3</stp>
        <stp>000716</stp>
        <stp>12/31/2018</stp>
        <stp>1</stp>
        <tr r="K812" s="1"/>
      </tp>
      <tp>
        <v>0.40318485779899998</v>
        <stp/>
        <stp>EM_S_FA_ASSETSTURN</stp>
        <stp>3</stp>
        <stp>300726</stp>
        <stp>12/31/2018</stp>
        <stp>1</stp>
        <tr r="K613" s="1"/>
      </tp>
      <tp>
        <v>0.63496297500700005</v>
        <stp/>
        <stp>EM_S_FA_ASSETSTURN</stp>
        <stp>3</stp>
        <stp>600776</stp>
        <stp>12/31/2018</stp>
        <stp>1</stp>
        <tr r="K255" s="1"/>
      </tp>
      <tp>
        <v>3.2151665204999999E-2</v>
        <stp/>
        <stp>EM_S_FA_ASSETSTURN</stp>
        <stp>3</stp>
        <stp>000616</stp>
        <stp>12/31/2018</stp>
        <stp>1</stp>
        <tr r="K2228" s="1"/>
      </tp>
      <tp>
        <v>0.86667616558600002</v>
        <stp/>
        <stp>EM_S_FA_ASSETSTURN</stp>
        <stp>3</stp>
        <stp>300626</stp>
        <stp>12/31/2018</stp>
        <stp>1</stp>
        <tr r="K2555" s="1"/>
      </tp>
      <tp>
        <v>1.072300338122</v>
        <stp/>
        <stp>EM_S_FA_ASSETSTURN</stp>
        <stp>3</stp>
        <stp>600676</stp>
        <stp>12/31/2018</stp>
        <stp>1</stp>
        <tr r="K2345" s="1"/>
      </tp>
      <tp>
        <v>0.31042761262700003</v>
        <stp/>
        <stp>EM_S_FA_ASSETSTURN</stp>
        <stp>3</stp>
        <stp>000516</stp>
        <stp>12/31/2018</stp>
        <stp>1</stp>
        <tr r="K3439" s="1"/>
      </tp>
      <tp>
        <v>0.42084472240300003</v>
        <stp/>
        <stp>EM_S_FA_ASSETSTURN</stp>
        <stp>3</stp>
        <stp>300526</stp>
        <stp>12/31/2018</stp>
        <stp>1</stp>
        <tr r="K21" s="1"/>
      </tp>
      <tp>
        <v>0.34742391338299999</v>
        <stp/>
        <stp>EM_S_FA_ASSETSTURN</stp>
        <stp>3</stp>
        <stp>600576</stp>
        <stp>12/31/2018</stp>
        <stp>1</stp>
        <tr r="K1411" s="1"/>
      </tp>
      <tp>
        <v>8.6560842240999997E-2</v>
        <stp/>
        <stp>EM_S_FA_ASSETSTURN</stp>
        <stp>3</stp>
        <stp>000416</stp>
        <stp>12/31/2018</stp>
        <stp>1</stp>
        <tr r="K3421" s="1"/>
      </tp>
      <tp>
        <v>0.12863500033399999</v>
        <stp/>
        <stp>EM_S_FA_ASSETSTURN</stp>
        <stp>3</stp>
        <stp>300426</stp>
        <stp>12/31/2018</stp>
        <stp>1</stp>
        <tr r="K2691" s="1"/>
      </tp>
      <tp>
        <v>0.65699476913900001</v>
        <stp/>
        <stp>EM_S_FA_ASSETSTURN</stp>
        <stp>3</stp>
        <stp>600476</stp>
        <stp>12/31/2018</stp>
        <stp>1</stp>
        <tr r="K1132" s="1"/>
      </tp>
      <tp>
        <v>0.54454528901099997</v>
        <stp/>
        <stp>EM_S_FA_ASSETSTURN</stp>
        <stp>3</stp>
        <stp>603976</stp>
        <stp>12/31/2018</stp>
        <stp>1</stp>
        <tr r="K1880" s="1"/>
      </tp>
      <tp>
        <v>1.2462913071020001</v>
        <stp/>
        <stp>EM_S_FA_ASSETSTURN</stp>
        <stp>3</stp>
        <stp>603876</stp>
        <stp>12/31/2018</stp>
        <stp>1</stp>
        <tr r="K2926" s="1"/>
      </tp>
      <tp>
        <v>0.55495661503100002</v>
        <stp/>
        <stp>EM_S_FA_ASSETSTURN</stp>
        <stp>3</stp>
        <stp>603076</stp>
        <stp>12/31/2018</stp>
        <stp>1</stp>
        <tr r="K2382" s="1"/>
      </tp>
      <tp>
        <v>0.333626629944</v>
        <stp/>
        <stp>EM_S_FA_ASSETSTURN</stp>
        <stp>3</stp>
        <stp>603776</stp>
        <stp>12/31/2018</stp>
        <stp>1</stp>
        <tr r="K2890" s="1"/>
      </tp>
      <tp>
        <v>0.66292790604899998</v>
        <stp/>
        <stp>EM_S_FA_ASSETSTURN</stp>
        <stp>3</stp>
        <stp>603676</stp>
        <stp>12/31/2018</stp>
        <stp>1</stp>
        <tr r="K2673" s="1"/>
      </tp>
      <tp>
        <v>0.95212437254500004</v>
        <stp/>
        <stp>EM_S_FA_ASSETSTURN</stp>
        <stp>3</stp>
        <stp>002916</stp>
        <stp>12/31/2018</stp>
        <stp>1</stp>
        <tr r="K264" s="1"/>
      </tp>
      <tp>
        <v>0.50313119931399997</v>
        <stp/>
        <stp>EM_S_FA_ASSETSTURN</stp>
        <stp>3</stp>
        <stp>002816</stp>
        <stp>12/31/2018</stp>
        <stp>1</stp>
        <tr r="K652" s="1"/>
      </tp>
      <tp>
        <v>1.2663662785580001</v>
        <stp/>
        <stp>EM_S_FA_ASSETSTURN</stp>
        <stp>3</stp>
        <stp>002316</stp>
        <stp>12/31/2018</stp>
        <stp>1</stp>
        <tr r="K1910" s="1"/>
      </tp>
      <tp>
        <v>1.2347799729140001</v>
        <stp/>
        <stp>EM_S_FA_ASSETSTURN</stp>
        <stp>3</stp>
        <stp>002216</stp>
        <stp>12/31/2018</stp>
        <stp>1</stp>
        <tr r="K197" s="1"/>
      </tp>
      <tp>
        <v>1.2691831705029999</v>
        <stp/>
        <stp>EM_S_FA_ASSETSTURN</stp>
        <stp>3</stp>
        <stp>002116</stp>
        <stp>12/31/2018</stp>
        <stp>1</stp>
        <tr r="K1546" s="1"/>
      </tp>
      <tp>
        <v>0.32605267686700001</v>
        <stp/>
        <stp>EM_S_FA_ASSETSTURN</stp>
        <stp>3</stp>
        <stp>002016</stp>
        <stp>12/31/2018</stp>
        <stp>1</stp>
        <tr r="K2526" s="1"/>
      </tp>
      <tp>
        <v>1.0008209022129999</v>
        <stp/>
        <stp>EM_S_FA_ASSETSTURN</stp>
        <stp>3</stp>
        <stp>002716</stp>
        <stp>12/31/2018</stp>
        <stp>1</stp>
        <tr r="K3375" s="1"/>
      </tp>
      <tp>
        <v>0.43964841472299998</v>
        <stp/>
        <stp>EM_S_FA_ASSETSTURN</stp>
        <stp>3</stp>
        <stp>002616</stp>
        <stp>12/31/2018</stp>
        <stp>1</stp>
        <tr r="K1661" s="1"/>
      </tp>
      <tp>
        <v>0.38146440382000002</v>
        <stp/>
        <stp>EM_S_FA_ASSETSTURN</stp>
        <stp>3</stp>
        <stp>002516</stp>
        <stp>12/31/2018</stp>
        <stp>1</stp>
        <tr r="K2588" s="1"/>
      </tp>
      <tp>
        <v>5.0143619473419996</v>
        <stp/>
        <stp>EM_S_FA_ASSETSTURN</stp>
        <stp>3</stp>
        <stp>002416</stp>
        <stp>12/31/2018</stp>
        <stp>1</stp>
        <tr r="K976" s="1"/>
      </tp>
      <tp>
        <v>9.0620167593749995E-2</v>
        <stp/>
        <stp>EM_S_RATIO_EPS_TTM</stp>
        <stp>3</stp>
        <stp>300191</stp>
        <stp>12/31/2018</stp>
        <stp>1</stp>
        <tr r="U602" s="1"/>
      </tp>
      <tp>
        <v>8.4103676480885001E-2</v>
        <stp/>
        <stp>EM_S_RATIO_EPS_TTM</stp>
        <stp>3</stp>
        <stp>300091</stp>
        <stp>12/31/2018</stp>
        <stp>1</stp>
        <tr r="U1161" s="1"/>
      </tp>
      <tp>
        <v>0.43667414475673577</v>
        <stp/>
        <stp>EM_S_RATIO_EPS_TTM</stp>
        <stp>3</stp>
        <stp>300391</stp>
        <stp>12/31/2018</stp>
        <stp>1</stp>
        <tr r="U3154" s="1"/>
      </tp>
      <tp>
        <v>-4.2063119096659456</v>
        <stp/>
        <stp>EM_S_RATIO_EPS_TTM</stp>
        <stp>3</stp>
        <stp>300291</stp>
        <stp>12/31/2018</stp>
        <stp>1</stp>
        <tr r="U808" s="1"/>
      </tp>
      <tp>
        <v>0.12114506766025641</v>
        <stp/>
        <stp>EM_S_RATIO_EPS_TTM</stp>
        <stp>3</stp>
        <stp>300591</stp>
        <stp>12/31/2018</stp>
        <stp>1</stp>
        <tr r="U2386" s="1"/>
      </tp>
      <tp>
        <v>-9.7587622576880528E-2</v>
        <stp/>
        <stp>EM_S_RATIO_EPS_TTM</stp>
        <stp>3</stp>
        <stp>300491</stp>
        <stp>12/31/2018</stp>
        <stp>1</stp>
        <tr r="U2962" s="1"/>
      </tp>
      <tp>
        <v>0.5163013311953486</v>
        <stp/>
        <stp>EM_S_RATIO_EPS_TTM</stp>
        <stp>3</stp>
        <stp>300691</stp>
        <stp>12/31/2018</stp>
        <stp>1</stp>
        <tr r="U2974" s="1"/>
      </tp>
      <tp>
        <v>0.59780784822199995</v>
        <stp/>
        <stp>EM_S_FA_ASSETSTURN</stp>
        <stp>3</stp>
        <stp>601877</stp>
        <stp>12/31/2018</stp>
        <stp>1</stp>
        <tr r="K1679" s="1"/>
      </tp>
      <tp>
        <v>0</v>
        <stp/>
        <stp>EM_S_FA_ASSETSTURN</stp>
        <stp>3</stp>
        <stp>601377</stp>
        <stp>12/31/2018</stp>
        <stp>1</stp>
        <tr r="K499" s="1"/>
      </tp>
      <tp>
        <v>0.42950369289700002</v>
        <stp/>
        <stp>EM_S_FA_ASSETSTURN</stp>
        <stp>3</stp>
        <stp>601177</stp>
        <stp>12/31/2018</stp>
        <stp>1</stp>
        <tr r="K2162" s="1"/>
      </tp>
      <tp>
        <v>0.38024847532900002</v>
        <stp/>
        <stp>EM_S_FA_ASSETSTURN</stp>
        <stp>3</stp>
        <stp>601777</stp>
        <stp>12/31/2018</stp>
        <stp>1</stp>
        <tr r="K3037" s="1"/>
      </tp>
      <tp>
        <v>1.482342130673</v>
        <stp/>
        <stp>EM_S_FA_ASSETSTURN</stp>
        <stp>3</stp>
        <stp>601677</stp>
        <stp>12/31/2018</stp>
        <stp>1</stp>
        <tr r="K925" s="1"/>
      </tp>
      <tp>
        <v>0.44710647576099999</v>
        <stp/>
        <stp>EM_S_FA_ASSETSTURN</stp>
        <stp>3</stp>
        <stp>000917</stp>
        <stp>12/31/2018</stp>
        <stp>1</stp>
        <tr r="K2445" s="1"/>
      </tp>
      <tp>
        <v>0.57125735888100004</v>
        <stp/>
        <stp>EM_S_FA_ASSETSTURN</stp>
        <stp>3</stp>
        <stp>600977</stp>
        <stp>12/31/2018</stp>
        <stp>1</stp>
        <tr r="K1944" s="1"/>
      </tp>
      <tp>
        <v>0</v>
        <stp/>
        <stp>EM_S_FA_ASSETSTURN</stp>
        <stp>3</stp>
        <stp>000817</stp>
        <stp>12/31/2018</stp>
        <stp>1</stp>
        <tr r="K3548" s="1"/>
      </tp>
      <tp>
        <v>0.27503257465300002</v>
        <stp/>
        <stp>EM_S_FA_ASSETSTURN</stp>
        <stp>3</stp>
        <stp>600877</stp>
        <stp>12/31/2018</stp>
        <stp>1</stp>
        <tr r="K1175" s="1"/>
      </tp>
      <tp>
        <v>0.75272641061099999</v>
        <stp/>
        <stp>EM_S_FA_ASSETSTURN</stp>
        <stp>3</stp>
        <stp>300327</stp>
        <stp>12/31/2018</stp>
        <stp>1</stp>
        <tr r="K690" s="1"/>
      </tp>
      <tp>
        <v>0.21983542588499999</v>
        <stp/>
        <stp>EM_S_FA_ASSETSTURN</stp>
        <stp>3</stp>
        <stp>600377</stp>
        <stp>12/31/2018</stp>
        <stp>1</stp>
        <tr r="K1600" s="1"/>
      </tp>
      <tp>
        <v>0.52377313863800001</v>
        <stp/>
        <stp>EM_S_FA_ASSETSTURN</stp>
        <stp>3</stp>
        <stp>300227</stp>
        <stp>12/31/2018</stp>
        <stp>1</stp>
        <tr r="K659" s="1"/>
      </tp>
      <tp>
        <v>0.52740937985699998</v>
        <stp/>
        <stp>EM_S_FA_ASSETSTURN</stp>
        <stp>3</stp>
        <stp>600277</stp>
        <stp>12/31/2018</stp>
        <stp>1</stp>
        <tr r="K3055" s="1"/>
      </tp>
      <tp>
        <v>0.46166700820500001</v>
        <stp/>
        <stp>EM_S_FA_ASSETSTURN</stp>
        <stp>3</stp>
        <stp>300127</stp>
        <stp>12/31/2018</stp>
        <stp>1</stp>
        <tr r="K251" s="1"/>
      </tp>
      <tp>
        <v>0.13520553577899999</v>
        <stp/>
        <stp>EM_S_FA_ASSETSTURN</stp>
        <stp>3</stp>
        <stp>600177</stp>
        <stp>12/31/2018</stp>
        <stp>1</stp>
        <tr r="K2487" s="1"/>
      </tp>
      <tp>
        <v>1.6335771680240001</v>
        <stp/>
        <stp>EM_S_FA_ASSETSTURN</stp>
        <stp>3</stp>
        <stp>000017</stp>
        <stp>12/31/2018</stp>
        <stp>1</stp>
        <tr r="K2076" s="1"/>
      </tp>
      <tp>
        <v>0.201627281243</v>
        <stp/>
        <stp>EM_S_FA_ASSETSTURN</stp>
        <stp>3</stp>
        <stp>300027</stp>
        <stp>12/31/2018</stp>
        <stp>1</stp>
        <tr r="K2241" s="1"/>
      </tp>
      <tp>
        <v>0.22019333554699999</v>
        <stp/>
        <stp>EM_S_FA_ASSETSTURN</stp>
        <stp>3</stp>
        <stp>600077</stp>
        <stp>12/31/2018</stp>
        <stp>1</stp>
        <tr r="K1551" s="1"/>
      </tp>
      <tp>
        <v>1.758143581468</v>
        <stp/>
        <stp>EM_S_FA_ASSETSTURN</stp>
        <stp>3</stp>
        <stp>000717</stp>
        <stp>12/31/2018</stp>
        <stp>1</stp>
        <tr r="K2113" s="1"/>
      </tp>
      <tp>
        <v>1.004252523761</v>
        <stp/>
        <stp>EM_S_FA_ASSETSTURN</stp>
        <stp>3</stp>
        <stp>300727</stp>
        <stp>12/31/2018</stp>
        <stp>1</stp>
        <tr r="K3144" s="1"/>
      </tp>
      <tp>
        <v>0.21410723195199999</v>
        <stp/>
        <stp>EM_S_FA_ASSETSTURN</stp>
        <stp>3</stp>
        <stp>600777</stp>
        <stp>12/31/2018</stp>
        <stp>1</stp>
        <tr r="K1771" s="1"/>
      </tp>
      <tp>
        <v>3.8569847566000001E-2</v>
        <stp/>
        <stp>EM_S_FA_ASSETSTURN</stp>
        <stp>3</stp>
        <stp>000617</stp>
        <stp>12/31/2018</stp>
        <stp>1</stp>
        <tr r="K1592" s="1"/>
      </tp>
      <tp>
        <v>0.75042518403699998</v>
        <stp/>
        <stp>EM_S_FA_ASSETSTURN</stp>
        <stp>3</stp>
        <stp>300627</stp>
        <stp>12/31/2018</stp>
        <stp>1</stp>
        <tr r="K908" s="1"/>
      </tp>
      <tp>
        <v>0.77720941590399995</v>
        <stp/>
        <stp>EM_S_FA_ASSETSTURN</stp>
        <stp>3</stp>
        <stp>600677</stp>
        <stp>12/31/2018</stp>
        <stp>1</stp>
        <tr r="K2619" s="1"/>
      </tp>
      <tp>
        <v>0.211551954934</v>
        <stp/>
        <stp>EM_S_FA_ASSETSTURN</stp>
        <stp>3</stp>
        <stp>000517</stp>
        <stp>12/31/2018</stp>
        <stp>1</stp>
        <tr r="K3440" s="1"/>
      </tp>
      <tp>
        <v>0.72353691036800005</v>
        <stp/>
        <stp>EM_S_FA_ASSETSTURN</stp>
        <stp>3</stp>
        <stp>300527</stp>
        <stp>12/31/2018</stp>
        <stp>1</stp>
        <tr r="K365" s="1"/>
      </tp>
      <tp>
        <v>2.087315697402</v>
        <stp/>
        <stp>EM_S_FA_ASSETSTURN</stp>
        <stp>3</stp>
        <stp>600577</stp>
        <stp>12/31/2018</stp>
        <stp>1</stp>
        <tr r="K2701" s="1"/>
      </tp>
      <tp>
        <v>1.0366788572850001</v>
        <stp/>
        <stp>EM_S_FA_ASSETSTURN</stp>
        <stp>3</stp>
        <stp>000417</stp>
        <stp>12/31/2018</stp>
        <stp>1</stp>
        <tr r="K1571" s="1"/>
      </tp>
      <tp>
        <v>0.38302464397899999</v>
        <stp/>
        <stp>EM_S_FA_ASSETSTURN</stp>
        <stp>3</stp>
        <stp>300427</stp>
        <stp>12/31/2018</stp>
        <stp>1</stp>
        <tr r="K971" s="1"/>
      </tp>
      <tp>
        <v>0.83272496163099996</v>
        <stp/>
        <stp>EM_S_FA_ASSETSTURN</stp>
        <stp>3</stp>
        <stp>600477</stp>
        <stp>12/31/2018</stp>
        <stp>1</stp>
        <tr r="K3098" s="1"/>
      </tp>
      <tp>
        <v>0.42744575543500002</v>
        <stp/>
        <stp>EM_S_FA_ASSETSTURN</stp>
        <stp>3</stp>
        <stp>603977</stp>
        <stp>12/31/2018</stp>
        <stp>1</stp>
        <tr r="K1382" s="1"/>
      </tp>
      <tp>
        <v>1.2037939895259999</v>
        <stp/>
        <stp>EM_S_FA_ASSETSTURN</stp>
        <stp>3</stp>
        <stp>603877</stp>
        <stp>12/31/2018</stp>
        <stp>1</stp>
        <tr r="K2990" s="1"/>
      </tp>
      <tp>
        <v>0.29312431199799999</v>
        <stp/>
        <stp>EM_S_FA_ASSETSTURN</stp>
        <stp>3</stp>
        <stp>603377</stp>
        <stp>12/31/2018</stp>
        <stp>1</stp>
        <tr r="K1083" s="1"/>
      </tp>
      <tp>
        <v>0.71142771197800003</v>
        <stp/>
        <stp>EM_S_FA_ASSETSTURN</stp>
        <stp>3</stp>
        <stp>603277</stp>
        <stp>12/31/2018</stp>
        <stp>1</stp>
        <tr r="K1326" s="1"/>
      </tp>
      <tp>
        <v>0.59350256136799995</v>
        <stp/>
        <stp>EM_S_FA_ASSETSTURN</stp>
        <stp>3</stp>
        <stp>603177</stp>
        <stp>12/31/2018</stp>
        <stp>1</stp>
        <tr r="K1680" s="1"/>
      </tp>
      <tp>
        <v>0.45529828491899998</v>
        <stp/>
        <stp>EM_S_FA_ASSETSTURN</stp>
        <stp>3</stp>
        <stp>603077</stp>
        <stp>12/31/2018</stp>
        <stp>1</stp>
        <tr r="K2778" s="1"/>
      </tp>
      <tp>
        <v>1.331988402106</v>
        <stp/>
        <stp>EM_S_FA_ASSETSTURN</stp>
        <stp>3</stp>
        <stp>603777</stp>
        <stp>12/31/2018</stp>
        <stp>1</stp>
        <tr r="K1212" s="1"/>
      </tp>
      <tp>
        <v>0.81326299217700004</v>
        <stp/>
        <stp>EM_S_FA_ASSETSTURN</stp>
        <stp>3</stp>
        <stp>603677</stp>
        <stp>12/31/2018</stp>
        <stp>1</stp>
        <tr r="K2785" s="1"/>
      </tp>
      <tp>
        <v>0.53475461562799997</v>
        <stp/>
        <stp>EM_S_FA_ASSETSTURN</stp>
        <stp>3</stp>
        <stp>603577</stp>
        <stp>12/31/2018</stp>
        <stp>1</stp>
        <tr r="K1423" s="1"/>
      </tp>
      <tp>
        <v>0.44728246944900002</v>
        <stp/>
        <stp>EM_S_FA_ASSETSTURN</stp>
        <stp>3</stp>
        <stp>603477</stp>
        <stp>12/31/2018</stp>
        <stp>1</stp>
        <tr r="K496" s="1"/>
      </tp>
      <tp>
        <v>0.53316744753900003</v>
        <stp/>
        <stp>EM_S_FA_ASSETSTURN</stp>
        <stp>3</stp>
        <stp>002917</stp>
        <stp>12/31/2018</stp>
        <stp>1</stp>
        <tr r="K3192" s="1"/>
      </tp>
      <tp>
        <v>0.38809043217400002</v>
        <stp/>
        <stp>EM_S_FA_ASSETSTURN</stp>
        <stp>3</stp>
        <stp>002817</stp>
        <stp>12/31/2018</stp>
        <stp>1</stp>
        <tr r="K851" s="1"/>
      </tp>
      <tp>
        <v>0.46760507697699999</v>
        <stp/>
        <stp>EM_S_FA_ASSETSTURN</stp>
        <stp>3</stp>
        <stp>002317</stp>
        <stp>12/31/2018</stp>
        <stp>1</stp>
        <tr r="K653" s="1"/>
      </tp>
      <tp>
        <v>0.69454049307499999</v>
        <stp/>
        <stp>EM_S_FA_ASSETSTURN</stp>
        <stp>3</stp>
        <stp>002217</stp>
        <stp>12/31/2018</stp>
        <stp>1</stp>
        <tr r="K1404" s="1"/>
      </tp>
      <tp>
        <v>0.679477325001</v>
        <stp/>
        <stp>EM_S_FA_ASSETSTURN</stp>
        <stp>3</stp>
        <stp>002117</stp>
        <stp>12/31/2018</stp>
        <stp>1</stp>
        <tr r="K2798" s="1"/>
      </tp>
      <tp>
        <v>0.72041767388300004</v>
        <stp/>
        <stp>EM_S_FA_ASSETSTURN</stp>
        <stp>3</stp>
        <stp>002017</stp>
        <stp>12/31/2018</stp>
        <stp>1</stp>
        <tr r="K3607" s="1"/>
      </tp>
      <tp>
        <v>0.64757102185500004</v>
        <stp/>
        <stp>EM_S_FA_ASSETSTURN</stp>
        <stp>3</stp>
        <stp>002717</stp>
        <stp>12/31/2018</stp>
        <stp>1</stp>
        <tr r="K3355" s="1"/>
      </tp>
      <tp>
        <v>0.52458734505799998</v>
        <stp/>
        <stp>EM_S_FA_ASSETSTURN</stp>
        <stp>3</stp>
        <stp>002617</stp>
        <stp>12/31/2018</stp>
        <stp>1</stp>
        <tr r="K760" s="1"/>
      </tp>
      <tp>
        <v>0.375278287333</v>
        <stp/>
        <stp>EM_S_FA_ASSETSTURN</stp>
        <stp>3</stp>
        <stp>002517</stp>
        <stp>12/31/2018</stp>
        <stp>1</stp>
        <tr r="K3215" s="1"/>
      </tp>
      <tp>
        <v>0.44119701374100001</v>
        <stp/>
        <stp>EM_S_FA_ASSETSTURN</stp>
        <stp>3</stp>
        <stp>002417</stp>
        <stp>12/31/2018</stp>
        <stp>1</stp>
        <tr r="K3078" s="1"/>
      </tp>
      <tp>
        <v>0.28542341026611756</v>
        <stp/>
        <stp>EM_S_RATIO_EPS_TTM</stp>
        <stp>3</stp>
        <stp>300190</stp>
        <stp>12/31/2018</stp>
        <stp>1</stp>
        <tr r="U746" s="1"/>
      </tp>
      <tp>
        <v>-2.358303636574699</v>
        <stp/>
        <stp>EM_S_RATIO_EPS_TTM</stp>
        <stp>3</stp>
        <stp>300090</stp>
        <stp>12/31/2018</stp>
        <stp>1</stp>
        <tr r="U3294" s="1"/>
      </tp>
      <tp>
        <v>0.14592139060652015</v>
        <stp/>
        <stp>EM_S_RATIO_EPS_TTM</stp>
        <stp>3</stp>
        <stp>300390</stp>
        <stp>12/31/2018</stp>
        <stp>1</stp>
        <tr r="U2862" s="1"/>
      </tp>
      <tp>
        <v>6.0321874658298816E-2</v>
        <stp/>
        <stp>EM_S_RATIO_EPS_TTM</stp>
        <stp>3</stp>
        <stp>300290</stp>
        <stp>12/31/2018</stp>
        <stp>1</stp>
        <tr r="U1839" s="1"/>
      </tp>
      <tp>
        <v>0.77156674660969715</v>
        <stp/>
        <stp>EM_S_RATIO_EPS_TTM</stp>
        <stp>3</stp>
        <stp>300590</stp>
        <stp>12/31/2018</stp>
        <stp>1</stp>
        <tr r="U609" s="1"/>
      </tp>
      <tp>
        <v>0.38566632650581684</v>
        <stp/>
        <stp>EM_S_RATIO_EPS_TTM</stp>
        <stp>3</stp>
        <stp>300490</stp>
        <stp>12/31/2018</stp>
        <stp>1</stp>
        <tr r="U2910" s="1"/>
      </tp>
      <tp>
        <v>0.79215891783241998</v>
        <stp/>
        <stp>EM_S_RATIO_EPS_TTM</stp>
        <stp>3</stp>
        <stp>300690</stp>
        <stp>12/31/2018</stp>
        <stp>1</stp>
        <tr r="U735" s="1"/>
      </tp>
      <tp>
        <v>0.173950646933</v>
        <stp/>
        <stp>EM_S_FA_ASSETSTURN</stp>
        <stp>3</stp>
        <stp>600874</stp>
        <stp>12/31/2018</stp>
        <stp>1</stp>
        <tr r="K2879" s="1"/>
      </tp>
      <tp>
        <v>0.48052358657100003</v>
        <stp/>
        <stp>EM_S_FA_ASSETSTURN</stp>
        <stp>3</stp>
        <stp>300324</stp>
        <stp>12/31/2018</stp>
        <stp>1</stp>
        <tr r="K2393" s="1"/>
      </tp>
      <tp>
        <v>0.44231711812500002</v>
        <stp/>
        <stp>EM_S_FA_ASSETSTURN</stp>
        <stp>3</stp>
        <stp>300224</stp>
        <stp>12/31/2018</stp>
        <stp>1</stp>
        <tr r="K372" s="1"/>
      </tp>
      <tp>
        <v>0.606339218392</v>
        <stp/>
        <stp>EM_S_FA_ASSETSTURN</stp>
        <stp>3</stp>
        <stp>300124</stp>
        <stp>12/31/2018</stp>
        <stp>1</stp>
        <tr r="K514" s="1"/>
      </tp>
      <tp>
        <v>0.20776469092399999</v>
        <stp/>
        <stp>EM_S_FA_ASSETSTURN</stp>
        <stp>3</stp>
        <stp>000014</stp>
        <stp>12/31/2018</stp>
        <stp>1</stp>
        <tr r="K2219" s="1"/>
      </tp>
      <tp>
        <v>0.34499946771899997</v>
        <stp/>
        <stp>EM_S_FA_ASSETSTURN</stp>
        <stp>3</stp>
        <stp>300024</stp>
        <stp>12/31/2018</stp>
        <stp>1</stp>
        <tr r="K1953" s="1"/>
      </tp>
      <tp>
        <v>0.107579919385</v>
        <stp/>
        <stp>EM_S_FA_ASSETSTURN</stp>
        <stp>3</stp>
        <stp>600074</stp>
        <stp>12/31/2018</stp>
        <stp>1</stp>
        <tr r="K2876" s="1"/>
      </tp>
      <tp>
        <v>0.63108954546700002</v>
        <stp/>
        <stp>EM_S_FA_ASSETSTURN</stp>
        <stp>3</stp>
        <stp>600774</stp>
        <stp>12/31/2018</stp>
        <stp>1</stp>
        <tr r="K3117" s="1"/>
      </tp>
      <tp>
        <v>1.079341729926</v>
        <stp/>
        <stp>EM_S_FA_ASSETSTURN</stp>
        <stp>3</stp>
        <stp>300624</stp>
        <stp>12/31/2018</stp>
        <stp>1</stp>
        <tr r="K1409" s="1"/>
      </tp>
      <tp>
        <v>2.8280961096999999E-2</v>
        <stp/>
        <stp>EM_S_FA_ASSETSTURN</stp>
        <stp>3</stp>
        <stp>600674</stp>
        <stp>12/31/2018</stp>
        <stp>1</stp>
        <tr r="K1589" s="1"/>
      </tp>
      <tp>
        <v>8.3870453117000004E-2</v>
        <stp/>
        <stp>EM_S_FA_ASSETSTURN</stp>
        <stp>3</stp>
        <stp>000514</stp>
        <stp>12/31/2018</stp>
        <stp>1</stp>
        <tr r="K3437" s="1"/>
      </tp>
      <tp>
        <v>0.445408850523</v>
        <stp/>
        <stp>EM_S_FA_ASSETSTURN</stp>
        <stp>3</stp>
        <stp>300424</stp>
        <stp>12/31/2018</stp>
        <stp>1</stp>
        <tr r="K1457" s="1"/>
      </tp>
      <tp>
        <v>0.29347270704200001</v>
        <stp/>
        <stp>EM_S_FA_ASSETSTURN</stp>
        <stp>3</stp>
        <stp>002314</stp>
        <stp>12/31/2018</stp>
        <stp>1</stp>
        <tr r="K1918" s="1"/>
      </tp>
      <tp>
        <v>0.29400396820699998</v>
        <stp/>
        <stp>EM_S_FA_ASSETSTURN</stp>
        <stp>3</stp>
        <stp>002214</stp>
        <stp>12/31/2018</stp>
        <stp>1</stp>
        <tr r="K189" s="1"/>
      </tp>
      <tp>
        <v>0.47211167575599999</v>
        <stp/>
        <stp>EM_S_FA_ASSETSTURN</stp>
        <stp>3</stp>
        <stp>002114</stp>
        <stp>12/31/2018</stp>
        <stp>1</stp>
        <tr r="K3638" s="1"/>
      </tp>
      <tp>
        <v>0.94458932288300002</v>
        <stp/>
        <stp>EM_S_FA_ASSETSTURN</stp>
        <stp>3</stp>
        <stp>002014</stp>
        <stp>12/31/2018</stp>
        <stp>1</stp>
        <tr r="K643" s="1"/>
      </tp>
      <tp>
        <v>0.49690212691199998</v>
        <stp/>
        <stp>EM_S_FA_ASSETSTURN</stp>
        <stp>3</stp>
        <stp>002714</stp>
        <stp>12/31/2018</stp>
        <stp>1</stp>
        <tr r="K46" s="1"/>
      </tp>
      <tp>
        <v>1.0078752414509999</v>
        <stp/>
        <stp>EM_S_FA_ASSETSTURN</stp>
        <stp>3</stp>
        <stp>002614</stp>
        <stp>12/31/2018</stp>
        <stp>1</stp>
        <tr r="K3257" s="1"/>
      </tp>
      <tp>
        <v>0.46523438694399999</v>
        <stp/>
        <stp>EM_S_FA_ASSETSTURN</stp>
        <stp>3</stp>
        <stp>002514</stp>
        <stp>12/31/2018</stp>
        <stp>1</stp>
        <tr r="K1830" s="1"/>
      </tp>
      <tp>
        <v>0.25410561802100001</v>
        <stp/>
        <stp>EM_S_FA_ASSETSTURN</stp>
        <stp>3</stp>
        <stp>002414</stp>
        <stp>12/31/2018</stp>
        <stp>1</stp>
        <tr r="K2621" s="1"/>
      </tp>
      <tp>
        <v>0.37636983605349134</v>
        <stp/>
        <stp>EM_S_RATIO_EPS_TTM</stp>
        <stp>3</stp>
        <stp>300193</stp>
        <stp>12/31/2018</stp>
        <stp>1</stp>
        <tr r="U1114" s="1"/>
      </tp>
      <tp>
        <v>5.858052009259259E-2</v>
        <stp/>
        <stp>EM_S_RATIO_EPS_TTM</stp>
        <stp>3</stp>
        <stp>300093</stp>
        <stp>12/31/2018</stp>
        <stp>1</stp>
        <tr r="U239" s="1"/>
      </tp>
      <tp>
        <v>0.52177000437615473</v>
        <stp/>
        <stp>EM_S_RATIO_EPS_TTM</stp>
        <stp>3</stp>
        <stp>300393</stp>
        <stp>12/31/2018</stp>
        <stp>1</stp>
        <tr r="U2477" s="1"/>
      </tp>
      <tp>
        <v>5.9856465592592598E-2</v>
        <stp/>
        <stp>EM_S_RATIO_EPS_TTM</stp>
        <stp>3</stp>
        <stp>300293</stp>
        <stp>12/31/2018</stp>
        <stp>1</stp>
        <tr r="U1253" s="1"/>
      </tp>
      <tp>
        <v>0.30342174041297937</v>
        <stp/>
        <stp>EM_S_RATIO_EPS_TTM</stp>
        <stp>3</stp>
        <stp>300593</stp>
        <stp>12/31/2018</stp>
        <stp>1</stp>
        <tr r="U1675" s="1"/>
      </tp>
      <tp>
        <v>4.9603071442737172E-2</v>
        <stp/>
        <stp>EM_S_RATIO_EPS_TTM</stp>
        <stp>3</stp>
        <stp>300493</stp>
        <stp>12/31/2018</stp>
        <stp>1</stp>
        <tr r="U2536" s="1"/>
      </tp>
      <tp>
        <v>0.35426738389499962</v>
        <stp/>
        <stp>EM_S_RATIO_EPS_TTM</stp>
        <stp>3</stp>
        <stp>300693</stp>
        <stp>12/31/2018</stp>
        <stp>1</stp>
        <tr r="U2842" s="1"/>
      </tp>
      <tp>
        <v>0</v>
        <stp/>
        <stp>EM_S_FA_ASSETSTURN</stp>
        <stp>3</stp>
        <stp>601375</stp>
        <stp>12/31/2018</stp>
        <stp>1</stp>
        <tr r="K1087" s="1"/>
      </tp>
      <tp>
        <v>0.53790545947900004</v>
        <stp/>
        <stp>EM_S_FA_ASSETSTURN</stp>
        <stp>3</stp>
        <stp>000915</stp>
        <stp>12/31/2018</stp>
        <stp>1</stp>
        <tr r="K3573" s="1"/>
      </tp>
      <tp>
        <v>1.2106248250780001</v>
        <stp/>
        <stp>EM_S_FA_ASSETSTURN</stp>
        <stp>3</stp>
        <stp>600975</stp>
        <stp>12/31/2018</stp>
        <stp>1</stp>
        <tr r="K106" s="1"/>
      </tp>
      <tp>
        <v>0.35559053972499999</v>
        <stp/>
        <stp>EM_S_FA_ASSETSTURN</stp>
        <stp>3</stp>
        <stp>000815</stp>
        <stp>12/31/2018</stp>
        <stp>1</stp>
        <tr r="K2186" s="1"/>
      </tp>
      <tp>
        <v>0.36073081223199999</v>
        <stp/>
        <stp>EM_S_FA_ASSETSTURN</stp>
        <stp>3</stp>
        <stp>600875</stp>
        <stp>12/31/2018</stp>
        <stp>1</stp>
        <tr r="K1425" s="1"/>
      </tp>
      <tp>
        <v>0.50095996588199998</v>
        <stp/>
        <stp>EM_S_FA_ASSETSTURN</stp>
        <stp>3</stp>
        <stp>300325</stp>
        <stp>12/31/2018</stp>
        <stp>1</stp>
        <tr r="K1879" s="1"/>
      </tp>
      <tp>
        <v>0.63069149883499998</v>
        <stp/>
        <stp>EM_S_FA_ASSETSTURN</stp>
        <stp>3</stp>
        <stp>600375</stp>
        <stp>12/31/2018</stp>
        <stp>1</stp>
        <tr r="K856" s="1"/>
      </tp>
      <tp>
        <v>0.68517500932499997</v>
        <stp/>
        <stp>EM_S_FA_ASSETSTURN</stp>
        <stp>3</stp>
        <stp>300225</stp>
        <stp>12/31/2018</stp>
        <stp>1</stp>
        <tr r="K940" s="1"/>
      </tp>
      <tp>
        <v>0.13314934323300001</v>
        <stp/>
        <stp>EM_S_FA_ASSETSTURN</stp>
        <stp>3</stp>
        <stp>600275</stp>
        <stp>12/31/2018</stp>
        <stp>1</stp>
        <tr r="K3082" s="1"/>
      </tp>
      <tp>
        <v>0.11482661605699999</v>
        <stp/>
        <stp>EM_S_FA_ASSETSTURN</stp>
        <stp>3</stp>
        <stp>300125</stp>
        <stp>12/31/2018</stp>
        <stp>1</stp>
        <tr r="K841" s="1"/>
      </tp>
      <tp>
        <v>0.30036284923599998</v>
        <stp/>
        <stp>EM_S_FA_ASSETSTURN</stp>
        <stp>3</stp>
        <stp>600175</stp>
        <stp>12/31/2018</stp>
        <stp>1</stp>
        <tr r="K2982" s="1"/>
      </tp>
      <tp>
        <v>0</v>
        <stp/>
        <stp>EM_S_FA_ASSETSTURN</stp>
        <stp>3</stp>
        <stp>000015</stp>
        <stp>12/31/2018</stp>
        <stp>1</stp>
        <tr r="K2273" s="1"/>
      </tp>
      <tp>
        <v>0.54575588948599996</v>
        <stp/>
        <stp>EM_S_FA_ASSETSTURN</stp>
        <stp>3</stp>
        <stp>300025</stp>
        <stp>12/31/2018</stp>
        <stp>1</stp>
        <tr r="K1834" s="1"/>
      </tp>
      <tp>
        <v>0.55005237847099997</v>
        <stp/>
        <stp>EM_S_FA_ASSETSTURN</stp>
        <stp>3</stp>
        <stp>600075</stp>
        <stp>12/31/2018</stp>
        <stp>1</stp>
        <tr r="K1714" s="1"/>
      </tp>
      <tp>
        <v>1.182535133492</v>
        <stp/>
        <stp>EM_S_FA_ASSETSTURN</stp>
        <stp>3</stp>
        <stp>000715</stp>
        <stp>12/31/2018</stp>
        <stp>1</stp>
        <tr r="K2071" s="1"/>
      </tp>
      <tp>
        <v>0.71996048944500002</v>
        <stp/>
        <stp>EM_S_FA_ASSETSTURN</stp>
        <stp>3</stp>
        <stp>300725</stp>
        <stp>12/31/2018</stp>
        <stp>1</stp>
        <tr r="K1231" s="1"/>
      </tp>
      <tp>
        <v>0.75957116040399997</v>
        <stp/>
        <stp>EM_S_FA_ASSETSTURN</stp>
        <stp>3</stp>
        <stp>600775</stp>
        <stp>12/31/2018</stp>
        <stp>1</stp>
        <tr r="K1097" s="1"/>
      </tp>
      <tp>
        <v>0.26945484628900002</v>
        <stp/>
        <stp>EM_S_FA_ASSETSTURN</stp>
        <stp>3</stp>
        <stp>000615</stp>
        <stp>12/31/2018</stp>
        <stp>1</stp>
        <tr r="K3000" s="1"/>
      </tp>
      <tp>
        <v>0.87219056879000001</v>
        <stp/>
        <stp>EM_S_FA_ASSETSTURN</stp>
        <stp>3</stp>
        <stp>300625</stp>
        <stp>12/31/2018</stp>
        <stp>1</stp>
        <tr r="K1465" s="1"/>
      </tp>
      <tp>
        <v>0.45652882531200001</v>
        <stp/>
        <stp>EM_S_FA_ASSETSTURN</stp>
        <stp>3</stp>
        <stp>600675</stp>
        <stp>12/31/2018</stp>
        <stp>1</stp>
        <tr r="K2967" s="1"/>
      </tp>
      <tp>
        <v>0</v>
        <stp/>
        <stp>EM_S_FA_ASSETSTURN</stp>
        <stp>3</stp>
        <stp>000515</stp>
        <stp>12/31/2018</stp>
        <stp>1</stp>
        <tr r="K3438" s="1"/>
      </tp>
      <tp>
        <v>0.59638819661300002</v>
        <stp/>
        <stp>EM_S_FA_ASSETSTURN</stp>
        <stp>3</stp>
        <stp>300525</stp>
        <stp>12/31/2018</stp>
        <stp>1</stp>
        <tr r="K381" s="1"/>
      </tp>
      <tp>
        <v>0.65145681145199996</v>
        <stp/>
        <stp>EM_S_FA_ASSETSTURN</stp>
        <stp>3</stp>
        <stp>600575</stp>
        <stp>12/31/2018</stp>
        <stp>1</stp>
        <tr r="K1229" s="1"/>
      </tp>
      <tp>
        <v>0.140872628449</v>
        <stp/>
        <stp>EM_S_FA_ASSETSTURN</stp>
        <stp>3</stp>
        <stp>000415</stp>
        <stp>12/31/2018</stp>
        <stp>1</stp>
        <tr r="K2000" s="1"/>
      </tp>
      <tp>
        <v>0.40391582103500001</v>
        <stp/>
        <stp>EM_S_FA_ASSETSTURN</stp>
        <stp>3</stp>
        <stp>300425</stp>
        <stp>12/31/2018</stp>
        <stp>1</stp>
        <tr r="K2401" s="1"/>
      </tp>
      <tp>
        <v>0.68702818741799998</v>
        <stp/>
        <stp>EM_S_FA_ASSETSTURN</stp>
        <stp>3</stp>
        <stp>600475</stp>
        <stp>12/31/2018</stp>
        <stp>1</stp>
        <tr r="K1220" s="1"/>
      </tp>
      <tp>
        <v>0.63018316811499997</v>
        <stp/>
        <stp>EM_S_FA_ASSETSTURN</stp>
        <stp>3</stp>
        <stp>002915</stp>
        <stp>12/31/2018</stp>
        <stp>1</stp>
        <tr r="K1164" s="1"/>
      </tp>
      <tp>
        <v>0.73840551660099996</v>
        <stp/>
        <stp>EM_S_FA_ASSETSTURN</stp>
        <stp>3</stp>
        <stp>002815</stp>
        <stp>12/31/2018</stp>
        <stp>1</stp>
        <tr r="K1314" s="1"/>
      </tp>
      <tp>
        <v>0.35306271943099998</v>
        <stp/>
        <stp>EM_S_FA_ASSETSTURN</stp>
        <stp>3</stp>
        <stp>002315</stp>
        <stp>12/31/2018</stp>
        <stp>1</stp>
        <tr r="K403" s="1"/>
      </tp>
      <tp>
        <v>0.79591266272700001</v>
        <stp/>
        <stp>EM_S_FA_ASSETSTURN</stp>
        <stp>3</stp>
        <stp>002215</stp>
        <stp>12/31/2018</stp>
        <stp>1</stp>
        <tr r="K2430" s="1"/>
      </tp>
      <tp>
        <v>0.79731473832499999</v>
        <stp/>
        <stp>EM_S_FA_ASSETSTURN</stp>
        <stp>3</stp>
        <stp>002115</stp>
        <stp>12/31/2018</stp>
        <stp>1</stp>
        <tr r="K2756" s="1"/>
      </tp>
      <tp>
        <v>0.96290406114100002</v>
        <stp/>
        <stp>EM_S_FA_ASSETSTURN</stp>
        <stp>3</stp>
        <stp>002015</stp>
        <stp>12/31/2018</stp>
        <stp>1</stp>
        <tr r="K1673" s="1"/>
      </tp>
      <tp>
        <v>0.47872932741300001</v>
        <stp/>
        <stp>EM_S_FA_ASSETSTURN</stp>
        <stp>3</stp>
        <stp>002715</stp>
        <stp>12/31/2018</stp>
        <stp>1</stp>
        <tr r="K1693" s="1"/>
      </tp>
      <tp>
        <v>1.0442431559759999</v>
        <stp/>
        <stp>EM_S_FA_ASSETSTURN</stp>
        <stp>3</stp>
        <stp>002615</stp>
        <stp>12/31/2018</stp>
        <stp>1</stp>
        <tr r="K1586" s="1"/>
      </tp>
      <tp>
        <v>0.22444062772100001</v>
        <stp/>
        <stp>EM_S_FA_ASSETSTURN</stp>
        <stp>3</stp>
        <stp>002515</stp>
        <stp>12/31/2018</stp>
        <stp>1</stp>
        <tr r="K982" s="1"/>
      </tp>
      <tp>
        <v>0.86631603552400005</v>
        <stp/>
        <stp>EM_S_FA_ASSETSTURN</stp>
        <stp>3</stp>
        <stp>002415</stp>
        <stp>12/31/2018</stp>
        <stp>1</stp>
        <tr r="K1038" s="1"/>
      </tp>
      <tp>
        <v>0.11544661900639044</v>
        <stp/>
        <stp>EM_S_RATIO_EPS_TTM</stp>
        <stp>3</stp>
        <stp>300192</stp>
        <stp>12/31/2018</stp>
        <stp>1</stp>
        <tr r="U413" s="1"/>
      </tp>
      <tp>
        <v>2.9176213658834212E-2</v>
        <stp/>
        <stp>EM_S_RATIO_EPS_TTM</stp>
        <stp>3</stp>
        <stp>300092</stp>
        <stp>12/31/2018</stp>
        <stp>1</stp>
        <tr r="U1306" s="1"/>
      </tp>
      <tp>
        <v>5.2802911796874998E-2</v>
        <stp/>
        <stp>EM_S_RATIO_EPS_TTM</stp>
        <stp>3</stp>
        <stp>300392</stp>
        <stp>12/31/2018</stp>
        <stp>1</stp>
        <tr r="U2449" s="1"/>
      </tp>
      <tp>
        <v>-0.90834788504248076</v>
        <stp/>
        <stp>EM_S_RATIO_EPS_TTM</stp>
        <stp>3</stp>
        <stp>300292</stp>
        <stp>12/31/2018</stp>
        <stp>1</stp>
        <tr r="U894" s="1"/>
      </tp>
      <tp>
        <v>0.12822092962066856</v>
        <stp/>
        <stp>EM_S_RATIO_EPS_TTM</stp>
        <stp>3</stp>
        <stp>300592</stp>
        <stp>12/31/2018</stp>
        <stp>1</stp>
        <tr r="U1026" s="1"/>
      </tp>
      <tp>
        <v>0.32145171838942305</v>
        <stp/>
        <stp>EM_S_RATIO_EPS_TTM</stp>
        <stp>3</stp>
        <stp>300492</stp>
        <stp>12/31/2018</stp>
        <stp>1</stp>
        <tr r="U69" s="1"/>
      </tp>
      <tp>
        <v>0.37776770825911687</v>
        <stp/>
        <stp>EM_S_RATIO_EPS_TTM</stp>
        <stp>3</stp>
        <stp>300692</stp>
        <stp>12/31/2018</stp>
        <stp>1</stp>
        <tr r="U2598" s="1"/>
      </tp>
      <tp>
        <v>0.88047790336200005</v>
        <stp/>
        <stp>EM_S_FA_ASSETSTURN</stp>
        <stp>3</stp>
        <stp>601968</stp>
        <stp>12/31/2018</stp>
        <stp>1</stp>
        <tr r="K1000" s="1"/>
      </tp>
      <tp>
        <v>0.15336261281800001</v>
        <stp/>
        <stp>EM_S_FA_ASSETSTURN</stp>
        <stp>3</stp>
        <stp>601368</stp>
        <stp>12/31/2018</stp>
        <stp>1</stp>
        <tr r="K2204" s="1"/>
      </tp>
      <tp>
        <v>0.45305747572999999</v>
        <stp/>
        <stp>EM_S_FA_ASSETSTURN</stp>
        <stp>3</stp>
        <stp>601268</stp>
        <stp>12/31/2018</stp>
        <stp>1</stp>
        <tr r="K2338" s="1"/>
      </tp>
      <tp>
        <v>0.799700862613</v>
        <stp/>
        <stp>EM_S_FA_ASSETSTURN</stp>
        <stp>3</stp>
        <stp>601168</stp>
        <stp>12/31/2018</stp>
        <stp>1</stp>
        <tr r="K1406" s="1"/>
      </tp>
      <tp>
        <v>0.70283417144299998</v>
        <stp/>
        <stp>EM_S_FA_ASSETSTURN</stp>
        <stp>3</stp>
        <stp>601668</stp>
        <stp>12/31/2018</stp>
        <stp>1</stp>
        <tr r="K2444" s="1"/>
      </tp>
      <tp>
        <v>0.51222825303899999</v>
        <stp/>
        <stp>EM_S_FA_ASSETSTURN</stp>
        <stp>3</stp>
        <stp>000908</stp>
        <stp>12/31/2018</stp>
        <stp>1</stp>
        <tr r="K3008" s="1"/>
      </tp>
      <tp>
        <v>9.3835265057000003E-2</v>
        <stp/>
        <stp>EM_S_FA_ASSETSTURN</stp>
        <stp>3</stp>
        <stp>600868</stp>
        <stp>12/31/2018</stp>
        <stp>1</stp>
        <tr r="K1248" s="1"/>
      </tp>
      <tp>
        <v>0.48272087563999999</v>
        <stp/>
        <stp>EM_S_FA_ASSETSTURN</stp>
        <stp>3</stp>
        <stp>300338</stp>
        <stp>12/31/2018</stp>
        <stp>1</stp>
        <tr r="K520" s="1"/>
      </tp>
      <tp>
        <v>0.17086502673100001</v>
        <stp/>
        <stp>EM_S_FA_ASSETSTURN</stp>
        <stp>3</stp>
        <stp>600368</stp>
        <stp>12/31/2018</stp>
        <stp>1</stp>
        <tr r="K637" s="1"/>
      </tp>
      <tp>
        <v>0.273119210896</v>
        <stp/>
        <stp>EM_S_FA_ASSETSTURN</stp>
        <stp>3</stp>
        <stp>300238</stp>
        <stp>12/31/2018</stp>
        <stp>1</stp>
        <tr r="K179" s="1"/>
      </tp>
      <tp>
        <v>0.52559167835800003</v>
        <stp/>
        <stp>EM_S_FA_ASSETSTURN</stp>
        <stp>3</stp>
        <stp>600268</stp>
        <stp>12/31/2018</stp>
        <stp>1</stp>
        <tr r="K1195" s="1"/>
      </tp>
      <tp>
        <v>0.98346164568100003</v>
        <stp/>
        <stp>EM_S_FA_ASSETSTURN</stp>
        <stp>3</stp>
        <stp>300138</stp>
        <stp>12/31/2018</stp>
        <stp>1</stp>
        <tr r="K941" s="1"/>
      </tp>
      <tp>
        <v>0.12423983833</v>
        <stp/>
        <stp>EM_S_FA_ASSETSTURN</stp>
        <stp>3</stp>
        <stp>600168</stp>
        <stp>12/31/2018</stp>
        <stp>1</stp>
        <tr r="K1443" s="1"/>
      </tp>
      <tp>
        <v>0.24260487861499999</v>
        <stp/>
        <stp>EM_S_FA_ASSETSTURN</stp>
        <stp>3</stp>
        <stp>000008</stp>
        <stp>12/31/2018</stp>
        <stp>1</stp>
        <tr r="K2627" s="1"/>
      </tp>
      <tp>
        <v>0.42823024356400002</v>
        <stp/>
        <stp>EM_S_FA_ASSETSTURN</stp>
        <stp>3</stp>
        <stp>300038</stp>
        <stp>12/31/2018</stp>
        <stp>1</stp>
        <tr r="K2648" s="1"/>
      </tp>
      <tp>
        <v>0.49675383025999997</v>
        <stp/>
        <stp>EM_S_FA_ASSETSTURN</stp>
        <stp>3</stp>
        <stp>600068</stp>
        <stp>12/31/2018</stp>
        <stp>1</stp>
        <tr r="K2190" s="1"/>
      </tp>
      <tp>
        <v>1.7638191455029999</v>
        <stp/>
        <stp>EM_S_FA_ASSETSTURN</stp>
        <stp>3</stp>
        <stp>000708</stp>
        <stp>12/31/2018</stp>
        <stp>1</stp>
        <tr r="K73" s="1"/>
      </tp>
      <tp>
        <v>0.56080259780200004</v>
        <stp/>
        <stp>EM_S_FA_ASSETSTURN</stp>
        <stp>3</stp>
        <stp>300738</stp>
        <stp>12/31/2018</stp>
        <stp>1</stp>
        <tr r="K2898" s="1"/>
      </tp>
      <tp>
        <v>1.2082969817889999</v>
        <stp/>
        <stp>EM_S_FA_ASSETSTURN</stp>
        <stp>3</stp>
        <stp>600768</stp>
        <stp>12/31/2018</stp>
        <stp>1</stp>
        <tr r="K914" s="1"/>
      </tp>
      <tp>
        <v>4.1866378753999997E-2</v>
        <stp/>
        <stp>EM_S_FA_ASSETSTURN</stp>
        <stp>3</stp>
        <stp>000608</stp>
        <stp>12/31/2018</stp>
        <stp>1</stp>
        <tr r="K3481" s="1"/>
      </tp>
      <tp>
        <v>1.5448116227899999</v>
        <stp/>
        <stp>EM_S_FA_ASSETSTURN</stp>
        <stp>3</stp>
        <stp>300638</stp>
        <stp>12/31/2018</stp>
        <stp>1</stp>
        <tr r="K110" s="1"/>
      </tp>
      <tp>
        <v>0.74081109381200005</v>
        <stp/>
        <stp>EM_S_FA_ASSETSTURN</stp>
        <stp>3</stp>
        <stp>600668</stp>
        <stp>12/31/2018</stp>
        <stp>1</stp>
        <tr r="K921" s="1"/>
      </tp>
      <tp>
        <v>0</v>
        <stp/>
        <stp>EM_S_FA_ASSETSTURN</stp>
        <stp>3</stp>
        <stp>000508</stp>
        <stp>12/31/2018</stp>
        <stp>1</stp>
        <tr r="K3434" s="1"/>
      </tp>
      <tp>
        <v>2.1784931351919998</v>
        <stp/>
        <stp>EM_S_FA_ASSETSTURN</stp>
        <stp>3</stp>
        <stp>300538</stp>
        <stp>12/31/2018</stp>
        <stp>1</stp>
        <tr r="K2971" s="1"/>
      </tp>
      <tp>
        <v>8.8875526282000003E-2</v>
        <stp/>
        <stp>EM_S_FA_ASSETSTURN</stp>
        <stp>3</stp>
        <stp>600568</stp>
        <stp>12/31/2018</stp>
        <stp>1</stp>
        <tr r="K3135" s="1"/>
      </tp>
      <tp>
        <v>0.31296616895399998</v>
        <stp/>
        <stp>EM_S_FA_ASSETSTURN</stp>
        <stp>3</stp>
        <stp>000408</stp>
        <stp>12/31/2018</stp>
        <stp>1</stp>
        <tr r="K3418" s="1"/>
      </tp>
      <tp>
        <v>0.58929666093800004</v>
        <stp/>
        <stp>EM_S_FA_ASSETSTURN</stp>
        <stp>3</stp>
        <stp>300438</stp>
        <stp>12/31/2018</stp>
        <stp>1</stp>
        <tr r="K364" s="1"/>
      </tp>
      <tp>
        <v>0.49234319322100001</v>
        <stp/>
        <stp>EM_S_FA_ASSETSTURN</stp>
        <stp>3</stp>
        <stp>600468</stp>
        <stp>12/31/2018</stp>
        <stp>1</stp>
        <tr r="K3233" s="1"/>
      </tp>
      <tp>
        <v>1.0740845675070001</v>
        <stp/>
        <stp>EM_S_FA_ASSETSTURN</stp>
        <stp>3</stp>
        <stp>603968</stp>
        <stp>12/31/2018</stp>
        <stp>1</stp>
        <tr r="K1405" s="1"/>
      </tp>
      <tp>
        <v>1.1438743672589999</v>
        <stp/>
        <stp>EM_S_FA_ASSETSTURN</stp>
        <stp>3</stp>
        <stp>603868</stp>
        <stp>12/31/2018</stp>
        <stp>1</stp>
        <tr r="K2443" s="1"/>
      </tp>
      <tp>
        <v>1.352195224388</v>
        <stp/>
        <stp>EM_S_FA_ASSETSTURN</stp>
        <stp>3</stp>
        <stp>603368</stp>
        <stp>12/31/2018</stp>
        <stp>1</stp>
        <tr r="K1009" s="1"/>
      </tp>
      <tp>
        <v>0.47604405751500001</v>
        <stp/>
        <stp>EM_S_FA_ASSETSTURN</stp>
        <stp>3</stp>
        <stp>603268</stp>
        <stp>12/31/2018</stp>
        <stp>1</stp>
        <tr r="K2529" s="1"/>
      </tp>
      <tp>
        <v>0.345331187574</v>
        <stp/>
        <stp>EM_S_FA_ASSETSTURN</stp>
        <stp>3</stp>
        <stp>603168</stp>
        <stp>12/31/2018</stp>
        <stp>1</stp>
        <tr r="K1079" s="1"/>
      </tp>
      <tp>
        <v>0.69136251660600001</v>
        <stp/>
        <stp>EM_S_FA_ASSETSTURN</stp>
        <stp>3</stp>
        <stp>603768</stp>
        <stp>12/31/2018</stp>
        <stp>1</stp>
        <tr r="K2158" s="1"/>
      </tp>
      <tp>
        <v>0.79426731794299998</v>
        <stp/>
        <stp>EM_S_FA_ASSETSTURN</stp>
        <stp>3</stp>
        <stp>603668</stp>
        <stp>12/31/2018</stp>
        <stp>1</stp>
        <tr r="K1555" s="1"/>
      </tp>
      <tp>
        <v>0.31995068818400002</v>
        <stp/>
        <stp>EM_S_FA_ASSETSTURN</stp>
        <stp>3</stp>
        <stp>603568</stp>
        <stp>12/31/2018</stp>
        <stp>1</stp>
        <tr r="K2253" s="1"/>
      </tp>
      <tp>
        <v>0.56643252868399996</v>
        <stp/>
        <stp>EM_S_FA_ASSETSTURN</stp>
        <stp>3</stp>
        <stp>002908</stp>
        <stp>12/31/2018</stp>
        <stp>1</stp>
        <tr r="K3201" s="1"/>
      </tp>
      <tp>
        <v>0.48665008621900002</v>
        <stp/>
        <stp>EM_S_FA_ASSETSTURN</stp>
        <stp>3</stp>
        <stp>002808</stp>
        <stp>12/31/2018</stp>
        <stp>1</stp>
        <tr r="K3161" s="1"/>
      </tp>
      <tp>
        <v>0.26677861530699998</v>
        <stp/>
        <stp>EM_S_FA_ASSETSTURN</stp>
        <stp>3</stp>
        <stp>002308</stp>
        <stp>12/31/2018</stp>
        <stp>1</stp>
        <tr r="K2098" s="1"/>
      </tp>
      <tp>
        <v>0.16171918824199999</v>
        <stp/>
        <stp>EM_S_FA_ASSETSTURN</stp>
        <stp>3</stp>
        <stp>002208</stp>
        <stp>12/31/2018</stp>
        <stp>1</stp>
        <tr r="K3250" s="1"/>
      </tp>
      <tp>
        <v>0.76656806662900001</v>
        <stp/>
        <stp>EM_S_FA_ASSETSTURN</stp>
        <stp>3</stp>
        <stp>002108</stp>
        <stp>12/31/2018</stp>
        <stp>1</stp>
        <tr r="K3637" s="1"/>
      </tp>
      <tp>
        <v>0.66748304146899995</v>
        <stp/>
        <stp>EM_S_FA_ASSETSTURN</stp>
        <stp>3</stp>
        <stp>002008</stp>
        <stp>12/31/2018</stp>
        <stp>1</stp>
        <tr r="K3605" s="1"/>
      </tp>
      <tp>
        <v>0.59888091884899997</v>
        <stp/>
        <stp>EM_S_FA_ASSETSTURN</stp>
        <stp>3</stp>
        <stp>002708</stp>
        <stp>12/31/2018</stp>
        <stp>1</stp>
        <tr r="K1971" s="1"/>
      </tp>
      <tp>
        <v>0.44512850495</v>
        <stp/>
        <stp>EM_S_FA_ASSETSTURN</stp>
        <stp>3</stp>
        <stp>002608</stp>
        <stp>12/31/2018</stp>
        <stp>1</stp>
        <tr r="K2248" s="1"/>
      </tp>
      <tp>
        <v>0.85432001425100002</v>
        <stp/>
        <stp>EM_S_FA_ASSETSTURN</stp>
        <stp>3</stp>
        <stp>002508</stp>
        <stp>12/31/2018</stp>
        <stp>1</stp>
        <tr r="K332" s="1"/>
      </tp>
      <tp>
        <v>2.639233301545</v>
        <stp/>
        <stp>EM_S_FA_ASSETSTURN</stp>
        <stp>3</stp>
        <stp>002408</stp>
        <stp>12/31/2018</stp>
        <stp>1</stp>
        <tr r="K2019" s="1"/>
      </tp>
      <tp>
        <v>0.187138743394</v>
        <stp/>
        <stp>EM_S_FA_ASSETSTURN</stp>
        <stp>3</stp>
        <stp>601969</stp>
        <stp>12/31/2018</stp>
        <stp>1</stp>
        <tr r="K915" s="1"/>
      </tp>
      <tp>
        <v>0.296320184918</v>
        <stp/>
        <stp>EM_S_FA_ASSETSTURN</stp>
        <stp>3</stp>
        <stp>601369</stp>
        <stp>12/31/2018</stp>
        <stp>1</stp>
        <tr r="K1777" s="1"/>
      </tp>
      <tp>
        <v>0</v>
        <stp/>
        <stp>EM_S_FA_ASSETSTURN</stp>
        <stp>3</stp>
        <stp>601169</stp>
        <stp>12/31/2018</stp>
        <stp>1</stp>
        <tr r="K2223" s="1"/>
      </tp>
      <tp>
        <v>0.38912694877699999</v>
        <stp/>
        <stp>EM_S_FA_ASSETSTURN</stp>
        <stp>3</stp>
        <stp>601069</stp>
        <stp>12/31/2018</stp>
        <stp>1</stp>
        <tr r="K2244" s="1"/>
      </tp>
      <tp>
        <v>0.458083705768</v>
        <stp/>
        <stp>EM_S_FA_ASSETSTURN</stp>
        <stp>3</stp>
        <stp>601669</stp>
        <stp>12/31/2018</stp>
        <stp>1</stp>
        <tr r="K2887" s="1"/>
      </tp>
      <tp>
        <v>0.42897076321900002</v>
        <stp/>
        <stp>EM_S_FA_ASSETSTURN</stp>
        <stp>3</stp>
        <stp>000909</stp>
        <stp>12/31/2018</stp>
        <stp>1</stp>
        <tr r="K3571" s="1"/>
      </tp>
      <tp>
        <v>0.21251997064100001</v>
        <stp/>
        <stp>EM_S_FA_ASSETSTURN</stp>
        <stp>3</stp>
        <stp>600969</stp>
        <stp>12/31/2018</stp>
        <stp>1</stp>
        <tr r="K1681" s="1"/>
      </tp>
      <tp>
        <v>0.264195537935</v>
        <stp/>
        <stp>EM_S_FA_ASSETSTURN</stp>
        <stp>3</stp>
        <stp>000809</stp>
        <stp>12/31/2018</stp>
        <stp>1</stp>
        <tr r="K2356" s="1"/>
      </tp>
      <tp>
        <v>0.94057849349300005</v>
        <stp/>
        <stp>EM_S_FA_ASSETSTURN</stp>
        <stp>3</stp>
        <stp>600869</stp>
        <stp>12/31/2018</stp>
        <stp>1</stp>
        <tr r="K2251" s="1"/>
      </tp>
      <tp>
        <v>0.34532449682400002</v>
        <stp/>
        <stp>EM_S_FA_ASSETSTURN</stp>
        <stp>3</stp>
        <stp>300339</stp>
        <stp>12/31/2018</stp>
        <stp>1</stp>
        <tr r="K650" s="1"/>
      </tp>
      <tp>
        <v>0</v>
        <stp/>
        <stp>EM_S_FA_ASSETSTURN</stp>
        <stp>3</stp>
        <stp>600369</stp>
        <stp>12/31/2018</stp>
        <stp>1</stp>
        <tr r="K559" s="1"/>
      </tp>
      <tp>
        <v>0.41722593575099998</v>
        <stp/>
        <stp>EM_S_FA_ASSETSTURN</stp>
        <stp>3</stp>
        <stp>300239</stp>
        <stp>12/31/2018</stp>
        <stp>1</stp>
        <tr r="K984" s="1"/>
      </tp>
      <tp>
        <v>0.13441361972400001</v>
        <stp/>
        <stp>EM_S_FA_ASSETSTURN</stp>
        <stp>3</stp>
        <stp>600269</stp>
        <stp>12/31/2018</stp>
        <stp>1</stp>
        <tr r="K1972" s="1"/>
      </tp>
      <tp>
        <v>0.11112841774399999</v>
        <stp/>
        <stp>EM_S_FA_ASSETSTURN</stp>
        <stp>3</stp>
        <stp>300139</stp>
        <stp>12/31/2018</stp>
        <stp>1</stp>
        <tr r="K1318" s="1"/>
      </tp>
      <tp>
        <v>0.20746397798899999</v>
        <stp/>
        <stp>EM_S_FA_ASSETSTURN</stp>
        <stp>3</stp>
        <stp>600169</stp>
        <stp>12/31/2018</stp>
        <stp>1</stp>
        <tr r="K2058" s="1"/>
      </tp>
      <tp>
        <v>0.41321022228299997</v>
        <stp/>
        <stp>EM_S_FA_ASSETSTURN</stp>
        <stp>3</stp>
        <stp>000009</stp>
        <stp>12/31/2018</stp>
        <stp>1</stp>
        <tr r="K295" s="1"/>
      </tp>
      <tp>
        <v>0.55302940686000002</v>
        <stp/>
        <stp>EM_S_FA_ASSETSTURN</stp>
        <stp>3</stp>
        <stp>300039</stp>
        <stp>12/31/2018</stp>
        <stp>1</stp>
        <tr r="K1356" s="1"/>
      </tp>
      <tp>
        <v>0.65869097503200003</v>
        <stp/>
        <stp>EM_S_FA_ASSETSTURN</stp>
        <stp>3</stp>
        <stp>600069</stp>
        <stp>12/31/2018</stp>
        <stp>1</stp>
        <tr r="K2650" s="1"/>
      </tp>
      <tp>
        <v>0.60646141420599997</v>
        <stp/>
        <stp>EM_S_FA_ASSETSTURN</stp>
        <stp>3</stp>
        <stp>000709</stp>
        <stp>12/31/2018</stp>
        <stp>1</stp>
        <tr r="K2736" s="1"/>
      </tp>
      <tp>
        <v>0.82424982351300002</v>
        <stp/>
        <stp>EM_S_FA_ASSETSTURN</stp>
        <stp>3</stp>
        <stp>300739</stp>
        <stp>12/31/2018</stp>
        <stp>1</stp>
        <tr r="K2754" s="1"/>
      </tp>
      <tp>
        <v>0.26290680917499998</v>
        <stp/>
        <stp>EM_S_FA_ASSETSTURN</stp>
        <stp>3</stp>
        <stp>600769</stp>
        <stp>12/31/2018</stp>
        <stp>1</stp>
        <tr r="K695" s="1"/>
      </tp>
      <tp>
        <v>1.2502466895E-2</v>
        <stp/>
        <stp>EM_S_FA_ASSETSTURN</stp>
        <stp>3</stp>
        <stp>000609</stp>
        <stp>12/31/2018</stp>
        <stp>1</stp>
        <tr r="K3482" s="1"/>
      </tp>
      <tp>
        <v>0.51406341465600003</v>
        <stp/>
        <stp>EM_S_FA_ASSETSTURN</stp>
        <stp>3</stp>
        <stp>300639</stp>
        <stp>12/31/2018</stp>
        <stp>1</stp>
        <tr r="K429" s="1"/>
      </tp>
      <tp>
        <v>0</v>
        <stp/>
        <stp>EM_S_FA_ASSETSTURN</stp>
        <stp>3</stp>
        <stp>600669</stp>
        <stp>12/31/2018</stp>
        <stp>1</stp>
        <tr r="K2313" s="1"/>
      </tp>
      <tp>
        <v>4.7259670187019998</v>
        <stp/>
        <stp>EM_S_FA_ASSETSTURN</stp>
        <stp>3</stp>
        <stp>000509</stp>
        <stp>12/31/2018</stp>
        <stp>1</stp>
        <tr r="K3435" s="1"/>
      </tp>
      <tp>
        <v>0.64761083133700004</v>
        <stp/>
        <stp>EM_S_FA_ASSETSTURN</stp>
        <stp>3</stp>
        <stp>300539</stp>
        <stp>12/31/2018</stp>
        <stp>1</stp>
        <tr r="K2767" s="1"/>
      </tp>
      <tp>
        <v>0.983941313737</v>
        <stp/>
        <stp>EM_S_FA_ASSETSTURN</stp>
        <stp>3</stp>
        <stp>600569</stp>
        <stp>12/31/2018</stp>
        <stp>1</stp>
        <tr r="K3012" s="1"/>
      </tp>
      <tp>
        <v>0.56938028011200004</v>
        <stp/>
        <stp>EM_S_FA_ASSETSTURN</stp>
        <stp>3</stp>
        <stp>000409</stp>
        <stp>12/31/2018</stp>
        <stp>1</stp>
        <tr r="K2918" s="1"/>
      </tp>
      <tp>
        <v>0.79892450779199997</v>
        <stp/>
        <stp>EM_S_FA_ASSETSTURN</stp>
        <stp>3</stp>
        <stp>300439</stp>
        <stp>12/31/2018</stp>
        <stp>1</stp>
        <tr r="K2237" s="1"/>
      </tp>
      <tp>
        <v>0.85406695193000004</v>
        <stp/>
        <stp>EM_S_FA_ASSETSTURN</stp>
        <stp>3</stp>
        <stp>600469</stp>
        <stp>12/31/2018</stp>
        <stp>1</stp>
        <tr r="K749" s="1"/>
      </tp>
      <tp>
        <v>0.96866059581899999</v>
        <stp/>
        <stp>EM_S_FA_ASSETSTURN</stp>
        <stp>3</stp>
        <stp>603969</stp>
        <stp>12/31/2018</stp>
        <stp>1</stp>
        <tr r="K2760" s="1"/>
      </tp>
      <tp>
        <v>0.46332119895899998</v>
        <stp/>
        <stp>EM_S_FA_ASSETSTURN</stp>
        <stp>3</stp>
        <stp>603869</stp>
        <stp>12/31/2018</stp>
        <stp>1</stp>
        <tr r="K3074" s="1"/>
      </tp>
      <tp>
        <v>0.47320827876100002</v>
        <stp/>
        <stp>EM_S_FA_ASSETSTURN</stp>
        <stp>3</stp>
        <stp>603369</stp>
        <stp>12/31/2018</stp>
        <stp>1</stp>
        <tr r="K109" s="1"/>
      </tp>
      <tp>
        <v>0.45368183220300001</v>
        <stp/>
        <stp>EM_S_FA_ASSETSTURN</stp>
        <stp>3</stp>
        <stp>603269</stp>
        <stp>12/31/2018</stp>
        <stp>1</stp>
        <tr r="K2502" s="1"/>
      </tp>
      <tp>
        <v>0.22890728783799999</v>
        <stp/>
        <stp>EM_S_FA_ASSETSTURN</stp>
        <stp>3</stp>
        <stp>603169</stp>
        <stp>12/31/2018</stp>
        <stp>1</stp>
        <tr r="K821" s="1"/>
      </tp>
      <tp>
        <v>0.586015250145</v>
        <stp/>
        <stp>EM_S_FA_ASSETSTURN</stp>
        <stp>3</stp>
        <stp>603069</stp>
        <stp>12/31/2018</stp>
        <stp>1</stp>
        <tr r="K464" s="1"/>
      </tp>
      <tp>
        <v>0.89764509852100005</v>
        <stp/>
        <stp>EM_S_FA_ASSETSTURN</stp>
        <stp>3</stp>
        <stp>603669</stp>
        <stp>12/31/2018</stp>
        <stp>1</stp>
        <tr r="K3197" s="1"/>
      </tp>
      <tp>
        <v>1.0200240792019999</v>
        <stp/>
        <stp>EM_S_FA_ASSETSTURN</stp>
        <stp>3</stp>
        <stp>603569</stp>
        <stp>12/31/2018</stp>
        <stp>1</stp>
        <tr r="K2510" s="1"/>
      </tp>
      <tp>
        <v>1.0958616235530001</v>
        <stp/>
        <stp>EM_S_FA_ASSETSTURN</stp>
        <stp>3</stp>
        <stp>002909</stp>
        <stp>12/31/2018</stp>
        <stp>1</stp>
        <tr r="K2046" s="1"/>
      </tp>
      <tp>
        <v>0.69802592941800001</v>
        <stp/>
        <stp>EM_S_FA_ASSETSTURN</stp>
        <stp>3</stp>
        <stp>002809</stp>
        <stp>12/31/2018</stp>
        <stp>1</stp>
        <tr r="K961" s="1"/>
      </tp>
      <tp>
        <v>0.58270165736299995</v>
        <stp/>
        <stp>EM_S_FA_ASSETSTURN</stp>
        <stp>3</stp>
        <stp>002309</stp>
        <stp>12/31/2018</stp>
        <stp>1</stp>
        <tr r="K3182" s="1"/>
      </tp>
      <tp>
        <v>0.63273726244999995</v>
        <stp/>
        <stp>EM_S_FA_ASSETSTURN</stp>
        <stp>3</stp>
        <stp>002209</stp>
        <stp>12/31/2018</stp>
        <stp>1</stp>
        <tr r="K2160" s="1"/>
      </tp>
      <tp>
        <v>0.48648377593999997</v>
        <stp/>
        <stp>EM_S_FA_ASSETSTURN</stp>
        <stp>3</stp>
        <stp>002109</stp>
        <stp>12/31/2018</stp>
        <stp>1</stp>
        <tr r="K2560" s="1"/>
      </tp>
      <tp>
        <v>0.61666267224600002</v>
        <stp/>
        <stp>EM_S_FA_ASSETSTURN</stp>
        <stp>3</stp>
        <stp>002009</stp>
        <stp>12/31/2018</stp>
        <stp>1</stp>
        <tr r="K2192" s="1"/>
      </tp>
      <tp>
        <v>0.482193137055</v>
        <stp/>
        <stp>EM_S_FA_ASSETSTURN</stp>
        <stp>3</stp>
        <stp>002709</stp>
        <stp>12/31/2018</stp>
        <stp>1</stp>
        <tr r="K2533" s="1"/>
      </tp>
      <tp>
        <v>0.34827102910199997</v>
        <stp/>
        <stp>EM_S_FA_ASSETSTURN</stp>
        <stp>3</stp>
        <stp>002609</stp>
        <stp>12/31/2018</stp>
        <stp>1</stp>
        <tr r="K507" s="1"/>
      </tp>
      <tp>
        <v>0.23940657071099999</v>
        <stp/>
        <stp>EM_S_FA_ASSETSTURN</stp>
        <stp>3</stp>
        <stp>002509</stp>
        <stp>12/31/2018</stp>
        <stp>1</stp>
        <tr r="K3313" s="1"/>
      </tp>
      <tp>
        <v>0.47394665073300002</v>
        <stp/>
        <stp>EM_S_FA_ASSETSTURN</stp>
        <stp>3</stp>
        <stp>002409</stp>
        <stp>12/31/2018</stp>
        <stp>1</stp>
        <tr r="K294" s="1"/>
      </tp>
      <tp>
        <v>1.9936797226562501E-2</v>
        <stp/>
        <stp>EM_S_RATIO_EPS_TTM</stp>
        <stp>3</stp>
        <stp>300189</stp>
        <stp>12/31/2018</stp>
        <stp>1</stp>
        <tr r="U624" s="1"/>
      </tp>
      <tp>
        <v>0.42583603277508542</v>
        <stp/>
        <stp>EM_S_RATIO_EPS_TTM</stp>
        <stp>3</stp>
        <stp>300089</stp>
        <stp>12/31/2018</stp>
        <stp>1</stp>
        <tr r="U3253" s="1"/>
      </tp>
      <tp>
        <v>0.75225366160198892</v>
        <stp/>
        <stp>EM_S_RATIO_EPS_TTM</stp>
        <stp>3</stp>
        <stp>300389</stp>
        <stp>12/31/2018</stp>
        <stp>1</stp>
        <tr r="U3203" s="1"/>
      </tp>
      <tp>
        <v>9.5496047754105723E-2</v>
        <stp/>
        <stp>EM_S_RATIO_EPS_TTM</stp>
        <stp>3</stp>
        <stp>300289</stp>
        <stp>12/31/2018</stp>
        <stp>1</stp>
        <tr r="U2864" s="1"/>
      </tp>
      <tp>
        <v>0.15349986598148593</v>
        <stp/>
        <stp>EM_S_RATIO_EPS_TTM</stp>
        <stp>3</stp>
        <stp>300589</stp>
        <stp>12/31/2018</stp>
        <stp>1</stp>
        <tr r="U1439" s="1"/>
      </tp>
      <tp>
        <v>1.5229391515151515E-2</v>
        <stp/>
        <stp>EM_S_RATIO_EPS_TTM</stp>
        <stp>3</stp>
        <stp>300489</stp>
        <stp>12/31/2018</stp>
        <stp>1</stp>
        <tr r="U317" s="1"/>
      </tp>
      <tp>
        <v>0.80614558867647057</v>
        <stp/>
        <stp>EM_S_RATIO_EPS_TTM</stp>
        <stp>3</stp>
        <stp>300689</stp>
        <stp>12/31/2018</stp>
        <stp>1</stp>
        <tr r="U977" s="1"/>
      </tp>
      <tp>
        <v>0.38148233992942782</v>
        <stp/>
        <stp>EM_S_RATIO_EPS_TTM</stp>
        <stp>3</stp>
        <stp>300188</stp>
        <stp>12/31/2018</stp>
        <stp>1</stp>
        <tr r="U906" s="1"/>
      </tp>
      <tp>
        <v>0.30972538412571404</v>
        <stp/>
        <stp>EM_S_RATIO_EPS_TTM</stp>
        <stp>3</stp>
        <stp>300088</stp>
        <stp>12/31/2018</stp>
        <stp>1</stp>
        <tr r="U96" s="1"/>
      </tp>
      <tp>
        <v>0.5114898292942387</v>
        <stp/>
        <stp>EM_S_RATIO_EPS_TTM</stp>
        <stp>3</stp>
        <stp>300388</stp>
        <stp>12/31/2018</stp>
        <stp>1</stp>
        <tr r="U1290" s="1"/>
      </tp>
      <tp>
        <v>0.30892357072010962</v>
        <stp/>
        <stp>EM_S_RATIO_EPS_TTM</stp>
        <stp>3</stp>
        <stp>300288</stp>
        <stp>12/31/2018</stp>
        <stp>1</stp>
        <tr r="U2609" s="1"/>
      </tp>
      <tp>
        <v>0.13754784164310893</v>
        <stp/>
        <stp>EM_S_RATIO_EPS_TTM</stp>
        <stp>3</stp>
        <stp>300588</stp>
        <stp>12/31/2018</stp>
        <stp>1</stp>
        <tr r="U2696" s="1"/>
      </tp>
      <tp>
        <v>0.66005483673875054</v>
        <stp/>
        <stp>EM_S_RATIO_EPS_TTM</stp>
        <stp>3</stp>
        <stp>300488</stp>
        <stp>12/31/2018</stp>
        <stp>1</stp>
        <tr r="U3270" s="1"/>
      </tp>
      <tp>
        <v>0.19771724455882353</v>
        <stp/>
        <stp>EM_S_RATIO_EPS_TTM</stp>
        <stp>3</stp>
        <stp>300688</stp>
        <stp>12/31/2018</stp>
        <stp>1</stp>
        <tr r="U3329" s="1"/>
      </tp>
      <tp>
        <v>1.1305883582680001</v>
        <stp/>
        <stp>EM_S_FA_ASSETSTURN</stp>
        <stp>3</stp>
        <stp>000902</stp>
        <stp>12/31/2018</stp>
        <stp>1</stp>
        <tr r="K2826" s="1"/>
      </tp>
      <tp>
        <v>0.50733983044200004</v>
        <stp/>
        <stp>EM_S_FA_ASSETSTURN</stp>
        <stp>3</stp>
        <stp>600962</stp>
        <stp>12/31/2018</stp>
        <stp>1</stp>
        <tr r="K1599" s="1"/>
      </tp>
      <tp>
        <v>0.19626409331799999</v>
        <stp/>
        <stp>EM_S_FA_ASSETSTURN</stp>
        <stp>3</stp>
        <stp>000802</stp>
        <stp>12/31/2018</stp>
        <stp>1</stp>
        <tr r="K3543" s="1"/>
      </tp>
      <tp>
        <v>0.35878754062899998</v>
        <stp/>
        <stp>EM_S_FA_ASSETSTURN</stp>
        <stp>3</stp>
        <stp>600862</stp>
        <stp>12/31/2018</stp>
        <stp>1</stp>
        <tr r="K174" s="1"/>
      </tp>
      <tp>
        <v>0.23952961479400001</v>
        <stp/>
        <stp>EM_S_FA_ASSETSTURN</stp>
        <stp>3</stp>
        <stp>300332</stp>
        <stp>12/31/2018</stp>
        <stp>1</stp>
        <tr r="K1799" s="1"/>
      </tp>
      <tp>
        <v>2.1493041479909998</v>
        <stp/>
        <stp>EM_S_FA_ASSETSTURN</stp>
        <stp>3</stp>
        <stp>600362</stp>
        <stp>12/31/2018</stp>
        <stp>1</stp>
        <tr r="K900" s="1"/>
      </tp>
      <tp>
        <v>0.80012240373400001</v>
        <stp/>
        <stp>EM_S_FA_ASSETSTURN</stp>
        <stp>3</stp>
        <stp>300232</stp>
        <stp>12/31/2018</stp>
        <stp>1</stp>
        <tr r="K1976" s="1"/>
      </tp>
      <tp>
        <v>0.58450620233100004</v>
        <stp/>
        <stp>EM_S_FA_ASSETSTURN</stp>
        <stp>3</stp>
        <stp>600262</stp>
        <stp>12/31/2018</stp>
        <stp>1</stp>
        <tr r="K2020" s="1"/>
      </tp>
      <tp>
        <v>1.176791517357</v>
        <stp/>
        <stp>EM_S_FA_ASSETSTURN</stp>
        <stp>3</stp>
        <stp>300132</stp>
        <stp>12/31/2018</stp>
        <stp>1</stp>
        <tr r="K2143" s="1"/>
      </tp>
      <tp>
        <v>0.205925324509</v>
        <stp/>
        <stp>EM_S_FA_ASSETSTURN</stp>
        <stp>3</stp>
        <stp>600162</stp>
        <stp>12/31/2018</stp>
        <stp>1</stp>
        <tr r="K2078" s="1"/>
      </tp>
      <tp>
        <v>0.22100035471999999</v>
        <stp/>
        <stp>EM_S_FA_ASSETSTURN</stp>
        <stp>3</stp>
        <stp>000002</stp>
        <stp>12/31/2018</stp>
        <stp>1</stp>
        <tr r="K725" s="1"/>
      </tp>
      <tp>
        <v>0.71175941891399996</v>
        <stp/>
        <stp>EM_S_FA_ASSETSTURN</stp>
        <stp>3</stp>
        <stp>300032</stp>
        <stp>12/31/2018</stp>
        <stp>1</stp>
        <tr r="K987" s="1"/>
      </tp>
      <tp>
        <v>0.83317010597600005</v>
        <stp/>
        <stp>EM_S_FA_ASSETSTURN</stp>
        <stp>3</stp>
        <stp>600062</stp>
        <stp>12/31/2018</stp>
        <stp>1</stp>
        <tr r="K1938" s="1"/>
      </tp>
      <tp>
        <v>1.88309662947</v>
        <stp/>
        <stp>EM_S_FA_ASSETSTURN</stp>
        <stp>3</stp>
        <stp>000702</stp>
        <stp>12/31/2018</stp>
        <stp>1</stp>
        <tr r="K3516" s="1"/>
      </tp>
      <tp>
        <v>0.35312962881299997</v>
        <stp/>
        <stp>EM_S_FA_ASSETSTURN</stp>
        <stp>3</stp>
        <stp>300732</stp>
        <stp>12/31/2018</stp>
        <stp>1</stp>
        <tr r="K3364" s="1"/>
      </tp>
      <tp>
        <v>0</v>
        <stp/>
        <stp>EM_S_FA_ASSETSTURN</stp>
        <stp>3</stp>
        <stp>600762</stp>
        <stp>12/31/2018</stp>
        <stp>1</stp>
        <tr r="K2320" s="1"/>
      </tp>
      <tp>
        <v>0</v>
        <stp/>
        <stp>EM_S_FA_ASSETSTURN</stp>
        <stp>3</stp>
        <stp>000602</stp>
        <stp>12/31/2018</stp>
        <stp>1</stp>
        <tr r="K3478" s="1"/>
      </tp>
      <tp>
        <v>0.81702764640199999</v>
        <stp/>
        <stp>EM_S_FA_ASSETSTURN</stp>
        <stp>3</stp>
        <stp>300632</stp>
        <stp>12/31/2018</stp>
        <stp>1</stp>
        <tr r="K320" s="1"/>
      </tp>
      <tp>
        <v>0.66508950533699995</v>
        <stp/>
        <stp>EM_S_FA_ASSETSTURN</stp>
        <stp>3</stp>
        <stp>600662</stp>
        <stp>12/31/2018</stp>
        <stp>1</stp>
        <tr r="K1782" s="1"/>
      </tp>
      <tp>
        <v>3.7266750085000001E-2</v>
        <stp/>
        <stp>EM_S_FA_ASSETSTURN</stp>
        <stp>3</stp>
        <stp>000502</stp>
        <stp>12/31/2018</stp>
        <stp>1</stp>
        <tr r="K3429" s="1"/>
      </tp>
      <tp>
        <v>0.295959722694</v>
        <stp/>
        <stp>EM_S_FA_ASSETSTURN</stp>
        <stp>3</stp>
        <stp>300532</stp>
        <stp>12/31/2018</stp>
        <stp>1</stp>
        <tr r="K1967" s="1"/>
      </tp>
      <tp>
        <v>0.37574338864599999</v>
        <stp/>
        <stp>EM_S_FA_ASSETSTURN</stp>
        <stp>3</stp>
        <stp>600562</stp>
        <stp>12/31/2018</stp>
        <stp>1</stp>
        <tr r="K1682" s="1"/>
      </tp>
      <tp>
        <v>0.16156322761700001</v>
        <stp/>
        <stp>EM_S_FA_ASSETSTURN</stp>
        <stp>3</stp>
        <stp>000402</stp>
        <stp>12/31/2018</stp>
        <stp>1</stp>
        <tr r="K3415" s="1"/>
      </tp>
      <tp>
        <v>0.33719754208699998</v>
        <stp/>
        <stp>EM_S_FA_ASSETSTURN</stp>
        <stp>3</stp>
        <stp>300432</stp>
        <stp>12/31/2018</stp>
        <stp>1</stp>
        <tr r="K180" s="1"/>
      </tp>
      <tp>
        <v>0.94130112325100002</v>
        <stp/>
        <stp>EM_S_FA_ASSETSTURN</stp>
        <stp>3</stp>
        <stp>600462</stp>
        <stp>12/31/2018</stp>
        <stp>1</stp>
        <tr r="K3369" s="1"/>
      </tp>
      <tp>
        <v>0.92290933201699998</v>
        <stp/>
        <stp>EM_S_FA_ASSETSTURN</stp>
        <stp>3</stp>
        <stp>002902</stp>
        <stp>12/31/2018</stp>
        <stp>1</stp>
        <tr r="K2409" s="1"/>
      </tp>
      <tp>
        <v>0.77820848263999998</v>
        <stp/>
        <stp>EM_S_FA_ASSETSTURN</stp>
        <stp>3</stp>
        <stp>002802</stp>
        <stp>12/31/2018</stp>
        <stp>1</stp>
        <tr r="K2459" s="1"/>
      </tp>
      <tp>
        <v>0.991245869266</v>
        <stp/>
        <stp>EM_S_FA_ASSETSTURN</stp>
        <stp>3</stp>
        <stp>002302</stp>
        <stp>12/31/2018</stp>
        <stp>1</stp>
        <tr r="K1075" s="1"/>
      </tp>
      <tp>
        <v>0.37275711505199999</v>
        <stp/>
        <stp>EM_S_FA_ASSETSTURN</stp>
        <stp>3</stp>
        <stp>002202</stp>
        <stp>12/31/2018</stp>
        <stp>1</stp>
        <tr r="K1408" s="1"/>
      </tp>
      <tp>
        <v>1.800200976076</v>
        <stp/>
        <stp>EM_S_FA_ASSETSTURN</stp>
        <stp>3</stp>
        <stp>002102</stp>
        <stp>12/31/2018</stp>
        <stp>1</stp>
        <tr r="K3634" s="1"/>
      </tp>
      <tp>
        <v>0.42449339559499999</v>
        <stp/>
        <stp>EM_S_FA_ASSETSTURN</stp>
        <stp>3</stp>
        <stp>002002</stp>
        <stp>12/31/2018</stp>
        <stp>1</stp>
        <tr r="K3603" s="1"/>
      </tp>
      <tp>
        <v>1.0274676978899999</v>
        <stp/>
        <stp>EM_S_FA_ASSETSTURN</stp>
        <stp>3</stp>
        <stp>002702</stp>
        <stp>12/31/2018</stp>
        <stp>1</stp>
        <tr r="K1877" s="1"/>
      </tp>
      <tp>
        <v>0.70156001780499999</v>
        <stp/>
        <stp>EM_S_FA_ASSETSTURN</stp>
        <stp>3</stp>
        <stp>002602</stp>
        <stp>12/31/2018</stp>
        <stp>1</stp>
        <tr r="K3332" s="1"/>
      </tp>
      <tp>
        <v>0.24159489743199999</v>
        <stp/>
        <stp>EM_S_FA_ASSETSTURN</stp>
        <stp>3</stp>
        <stp>002502</stp>
        <stp>12/31/2018</stp>
        <stp>1</stp>
        <tr r="K2997" s="1"/>
      </tp>
      <tp>
        <v>0.93362173852700003</v>
        <stp/>
        <stp>EM_S_FA_ASSETSTURN</stp>
        <stp>3</stp>
        <stp>002402</stp>
        <stp>12/31/2018</stp>
        <stp>1</stp>
        <tr r="K144" s="1"/>
      </tp>
      <tp>
        <v>6.6460806506010897E-2</v>
        <stp/>
        <stp>EM_S_RATIO_EPS_TTM</stp>
        <stp>3</stp>
        <stp>300185</stp>
        <stp>12/31/2018</stp>
        <stp>1</stp>
        <tr r="U1705" s="1"/>
      </tp>
      <tp>
        <v>5.0592537392438144E-2</v>
        <stp/>
        <stp>EM_S_RATIO_EPS_TTM</stp>
        <stp>3</stp>
        <stp>300085</stp>
        <stp>12/31/2018</stp>
        <stp>1</stp>
        <tr r="U175" s="1"/>
      </tp>
      <tp>
        <v>0.33288749271622503</v>
        <stp/>
        <stp>EM_S_RATIO_EPS_TTM</stp>
        <stp>3</stp>
        <stp>300385</stp>
        <stp>12/31/2018</stp>
        <stp>1</stp>
        <tr r="U2956" s="1"/>
      </tp>
      <tp>
        <v>0.84554746466715924</v>
        <stp/>
        <stp>EM_S_RATIO_EPS_TTM</stp>
        <stp>3</stp>
        <stp>300285</stp>
        <stp>12/31/2018</stp>
        <stp>1</stp>
        <tr r="U750" s="1"/>
      </tp>
      <tp>
        <v>0.27568157992668468</v>
        <stp/>
        <stp>EM_S_RATIO_EPS_TTM</stp>
        <stp>3</stp>
        <stp>300585</stp>
        <stp>12/31/2018</stp>
        <stp>1</stp>
        <tr r="U290" s="1"/>
      </tp>
      <tp>
        <v>0.58473136942701465</v>
        <stp/>
        <stp>EM_S_RATIO_EPS_TTM</stp>
        <stp>3</stp>
        <stp>300485</stp>
        <stp>12/31/2018</stp>
        <stp>1</stp>
        <tr r="U2810" s="1"/>
      </tp>
      <tp>
        <v>0.88012440631944444</v>
        <stp/>
        <stp>EM_S_RATIO_EPS_TTM</stp>
        <stp>3</stp>
        <stp>300685</stp>
        <stp>12/31/2018</stp>
        <stp>1</stp>
        <tr r="U436" s="1"/>
      </tp>
      <tp>
        <v>0.51600655014899999</v>
        <stp/>
        <stp>EM_S_FA_ASSETSTURN</stp>
        <stp>3</stp>
        <stp>601163</stp>
        <stp>12/31/2018</stp>
        <stp>1</stp>
        <tr r="K828" s="1"/>
      </tp>
      <tp>
        <v>0.56527999849800004</v>
        <stp/>
        <stp>EM_S_FA_ASSETSTURN</stp>
        <stp>3</stp>
        <stp>000903</stp>
        <stp>12/31/2018</stp>
        <stp>1</stp>
        <tr r="K1940" s="1"/>
      </tp>
      <tp>
        <v>0.46282397551900001</v>
        <stp/>
        <stp>EM_S_FA_ASSETSTURN</stp>
        <stp>3</stp>
        <stp>600963</stp>
        <stp>12/31/2018</stp>
        <stp>1</stp>
        <tr r="K1727" s="1"/>
      </tp>
      <tp>
        <v>0.375950993347</v>
        <stp/>
        <stp>EM_S_FA_ASSETSTURN</stp>
        <stp>3</stp>
        <stp>000803</stp>
        <stp>12/31/2018</stp>
        <stp>1</stp>
        <tr r="K1520" s="1"/>
      </tp>
      <tp>
        <v>0.31938811250400001</v>
        <stp/>
        <stp>EM_S_FA_ASSETSTURN</stp>
        <stp>3</stp>
        <stp>600863</stp>
        <stp>12/31/2018</stp>
        <stp>1</stp>
        <tr r="K1344" s="1"/>
      </tp>
      <tp>
        <v>0.242056790828</v>
        <stp/>
        <stp>EM_S_FA_ASSETSTURN</stp>
        <stp>3</stp>
        <stp>300333</stp>
        <stp>12/31/2018</stp>
        <stp>1</stp>
        <tr r="K455" s="1"/>
      </tp>
      <tp>
        <v>0.73289939713100005</v>
        <stp/>
        <stp>EM_S_FA_ASSETSTURN</stp>
        <stp>3</stp>
        <stp>600363</stp>
        <stp>12/31/2018</stp>
        <stp>1</stp>
        <tr r="K202" s="1"/>
      </tp>
      <tp>
        <v>0.59034766788600002</v>
        <stp/>
        <stp>EM_S_FA_ASSETSTURN</stp>
        <stp>3</stp>
        <stp>300233</stp>
        <stp>12/31/2018</stp>
        <stp>1</stp>
        <tr r="K694" s="1"/>
      </tp>
      <tp>
        <v>0</v>
        <stp/>
        <stp>EM_S_FA_ASSETSTURN</stp>
        <stp>3</stp>
        <stp>600263</stp>
        <stp>12/31/2018</stp>
        <stp>1</stp>
        <tr r="K2297" s="1"/>
      </tp>
      <tp>
        <v>0.45626304213199997</v>
        <stp/>
        <stp>EM_S_FA_ASSETSTURN</stp>
        <stp>3</stp>
        <stp>300133</stp>
        <stp>12/31/2018</stp>
        <stp>1</stp>
        <tr r="K3041" s="1"/>
      </tp>
      <tp>
        <v>0.13638112300999999</v>
        <stp/>
        <stp>EM_S_FA_ASSETSTURN</stp>
        <stp>3</stp>
        <stp>600163</stp>
        <stp>12/31/2018</stp>
        <stp>1</stp>
        <tr r="K1968" s="1"/>
      </tp>
      <tp>
        <v>0.33834935051600001</v>
        <stp/>
        <stp>EM_S_FA_ASSETSTURN</stp>
        <stp>3</stp>
        <stp>000003</stp>
        <stp>12/31/2018</stp>
        <stp>1</stp>
        <tr r="K2271" s="1"/>
      </tp>
      <tp>
        <v>0.33251034111700001</v>
        <stp/>
        <stp>EM_S_FA_ASSETSTURN</stp>
        <stp>3</stp>
        <stp>300033</stp>
        <stp>12/31/2018</stp>
        <stp>1</stp>
        <tr r="K49" s="1"/>
      </tp>
      <tp>
        <v>0.64962507764599997</v>
        <stp/>
        <stp>EM_S_FA_ASSETSTURN</stp>
        <stp>3</stp>
        <stp>600063</stp>
        <stp>12/31/2018</stp>
        <stp>1</stp>
        <tr r="K327" s="1"/>
      </tp>
      <tp>
        <v>1.8289438399619999</v>
        <stp/>
        <stp>EM_S_FA_ASSETSTURN</stp>
        <stp>3</stp>
        <stp>000703</stp>
        <stp>12/31/2018</stp>
        <stp>1</stp>
        <tr r="K1288" s="1"/>
      </tp>
      <tp>
        <v>0.41063110236900002</v>
        <stp/>
        <stp>EM_S_FA_ASSETSTURN</stp>
        <stp>3</stp>
        <stp>300733</stp>
        <stp>12/31/2018</stp>
        <stp>1</stp>
        <tr r="K3184" s="1"/>
      </tp>
      <tp>
        <v>0.78734672835599995</v>
        <stp/>
        <stp>EM_S_FA_ASSETSTURN</stp>
        <stp>3</stp>
        <stp>600763</stp>
        <stp>12/31/2018</stp>
        <stp>1</stp>
        <tr r="K136" s="1"/>
      </tp>
      <tp>
        <v>0.69834631747099996</v>
        <stp/>
        <stp>EM_S_FA_ASSETSTURN</stp>
        <stp>3</stp>
        <stp>000603</stp>
        <stp>12/31/2018</stp>
        <stp>1</stp>
        <tr r="K625" s="1"/>
      </tp>
      <tp>
        <v>0.77379992278099996</v>
        <stp/>
        <stp>EM_S_FA_ASSETSTURN</stp>
        <stp>3</stp>
        <stp>300633</stp>
        <stp>12/31/2018</stp>
        <stp>1</stp>
        <tr r="K2972" s="1"/>
      </tp>
      <tp>
        <v>0.15868604388900001</v>
        <stp/>
        <stp>EM_S_FA_ASSETSTURN</stp>
        <stp>3</stp>
        <stp>600663</stp>
        <stp>12/31/2018</stp>
        <stp>1</stp>
        <tr r="K2066" s="1"/>
      </tp>
      <tp>
        <v>6.9976687443999999E-2</v>
        <stp/>
        <stp>EM_S_FA_ASSETSTURN</stp>
        <stp>3</stp>
        <stp>000503</stp>
        <stp>12/31/2018</stp>
        <stp>1</stp>
        <tr r="K3430" s="1"/>
      </tp>
      <tp>
        <v>0.164301277287</v>
        <stp/>
        <stp>EM_S_FA_ASSETSTURN</stp>
        <stp>3</stp>
        <stp>300533</stp>
        <stp>12/31/2018</stp>
        <stp>1</stp>
        <tr r="K687" s="1"/>
      </tp>
      <tp>
        <v>0.60743849573300002</v>
        <stp/>
        <stp>EM_S_FA_ASSETSTURN</stp>
        <stp>3</stp>
        <stp>600563</stp>
        <stp>12/31/2018</stp>
        <stp>1</stp>
        <tr r="K1335" s="1"/>
      </tp>
      <tp>
        <v>0.65185655534800002</v>
        <stp/>
        <stp>EM_S_FA_ASSETSTURN</stp>
        <stp>3</stp>
        <stp>000403</stp>
        <stp>12/31/2018</stp>
        <stp>1</stp>
        <tr r="K1103" s="1"/>
      </tp>
      <tp>
        <v>0.70293425415599997</v>
        <stp/>
        <stp>EM_S_FA_ASSETSTURN</stp>
        <stp>3</stp>
        <stp>300433</stp>
        <stp>12/31/2018</stp>
        <stp>1</stp>
        <tr r="K140" s="1"/>
      </tp>
      <tp>
        <v>0.43529598992500002</v>
        <stp/>
        <stp>EM_S_FA_ASSETSTURN</stp>
        <stp>3</stp>
        <stp>600463</stp>
        <stp>12/31/2018</stp>
        <stp>1</stp>
        <tr r="K2180" s="1"/>
      </tp>
      <tp>
        <v>0.66510715255099995</v>
        <stp/>
        <stp>EM_S_FA_ASSETSTURN</stp>
        <stp>3</stp>
        <stp>603963</stp>
        <stp>12/31/2018</stp>
        <stp>1</stp>
        <tr r="K2617" s="1"/>
      </tp>
      <tp>
        <v>1.9721993452990001</v>
        <stp/>
        <stp>EM_S_FA_ASSETSTURN</stp>
        <stp>3</stp>
        <stp>603363</stp>
        <stp>12/31/2018</stp>
        <stp>1</stp>
        <tr r="K230" s="1"/>
      </tp>
      <tp>
        <v>0.36479663478500002</v>
        <stp/>
        <stp>EM_S_FA_ASSETSTURN</stp>
        <stp>3</stp>
        <stp>603063</stp>
        <stp>12/31/2018</stp>
        <stp>1</stp>
        <tr r="K636" s="1"/>
      </tp>
      <tp>
        <v>0.84086811739099998</v>
        <stp/>
        <stp>EM_S_FA_ASSETSTURN</stp>
        <stp>3</stp>
        <stp>603663</stp>
        <stp>12/31/2018</stp>
        <stp>1</stp>
        <tr r="K3084" s="1"/>
      </tp>
      <tp>
        <v>0.27046777467999999</v>
        <stp/>
        <stp>EM_S_FA_ASSETSTURN</stp>
        <stp>3</stp>
        <stp>002903</stp>
        <stp>12/31/2018</stp>
        <stp>1</stp>
        <tr r="K2947" s="1"/>
      </tp>
      <tp>
        <v>1.6582126773670001</v>
        <stp/>
        <stp>EM_S_FA_ASSETSTURN</stp>
        <stp>3</stp>
        <stp>002803</stp>
        <stp>12/31/2018</stp>
        <stp>1</stp>
        <tr r="K257" s="1"/>
      </tp>
      <tp>
        <v>0.528235332931</v>
        <stp/>
        <stp>EM_S_FA_ASSETSTURN</stp>
        <stp>3</stp>
        <stp>002303</stp>
        <stp>12/31/2018</stp>
        <stp>1</stp>
        <tr r="K1611" s="1"/>
      </tp>
      <tp>
        <v>2.3594519566300001</v>
        <stp/>
        <stp>EM_S_FA_ASSETSTURN</stp>
        <stp>3</stp>
        <stp>002203</stp>
        <stp>12/31/2018</stp>
        <stp>1</stp>
        <tr r="K951" s="1"/>
      </tp>
      <tp>
        <v>0.868976858904</v>
        <stp/>
        <stp>EM_S_FA_ASSETSTURN</stp>
        <stp>3</stp>
        <stp>002103</stp>
        <stp>12/31/2018</stp>
        <stp>1</stp>
        <tr r="K3635" s="1"/>
      </tp>
      <tp>
        <v>0.87390802306399995</v>
        <stp/>
        <stp>EM_S_FA_ASSETSTURN</stp>
        <stp>3</stp>
        <stp>002003</stp>
        <stp>12/31/2018</stp>
        <stp>1</stp>
        <tr r="K2851" s="1"/>
      </tp>
      <tp>
        <v>0.54613675852999999</v>
        <stp/>
        <stp>EM_S_FA_ASSETSTURN</stp>
        <stp>3</stp>
        <stp>002703</stp>
        <stp>12/31/2018</stp>
        <stp>1</stp>
        <tr r="K1670" s="1"/>
      </tp>
      <tp>
        <v>0.58554919454700005</v>
        <stp/>
        <stp>EM_S_FA_ASSETSTURN</stp>
        <stp>3</stp>
        <stp>002603</stp>
        <stp>12/31/2018</stp>
        <stp>1</stp>
        <tr r="K1855" s="1"/>
      </tp>
      <tp>
        <v>1.80705286785</v>
        <stp/>
        <stp>EM_S_FA_ASSETSTURN</stp>
        <stp>3</stp>
        <stp>002503</stp>
        <stp>12/31/2018</stp>
        <stp>1</stp>
        <tr r="K2089" s="1"/>
      </tp>
      <tp>
        <v>0.72398400574499999</v>
        <stp/>
        <stp>EM_S_FA_ASSETSTURN</stp>
        <stp>3</stp>
        <stp>002403</stp>
        <stp>12/31/2018</stp>
        <stp>1</stp>
        <tr r="K1774" s="1"/>
      </tp>
      <tp>
        <v>0.54212719089729566</v>
        <stp/>
        <stp>EM_S_RATIO_EPS_TTM</stp>
        <stp>3</stp>
        <stp>300184</stp>
        <stp>12/31/2018</stp>
        <stp>1</stp>
        <tr r="U2506" s="1"/>
      </tp>
      <tp>
        <v>0.17136580461329953</v>
        <stp/>
        <stp>EM_S_RATIO_EPS_TTM</stp>
        <stp>3</stp>
        <stp>300084</stp>
        <stp>12/31/2018</stp>
        <stp>1</stp>
        <tr r="U2639" s="1"/>
      </tp>
      <tp>
        <v>0.35578971382906605</v>
        <stp/>
        <stp>EM_S_RATIO_EPS_TTM</stp>
        <stp>3</stp>
        <stp>300384</stp>
        <stp>12/31/2018</stp>
        <stp>1</stp>
        <tr r="U530" s="1"/>
      </tp>
      <tp>
        <v>0.76995383336639212</v>
        <stp/>
        <stp>EM_S_RATIO_EPS_TTM</stp>
        <stp>3</stp>
        <stp>300284</stp>
        <stp>12/31/2018</stp>
        <stp>1</stp>
        <tr r="U3100" s="1"/>
      </tp>
      <tp>
        <v>0.69352676499999999</v>
        <stp/>
        <stp>EM_S_RATIO_EPS_TTM</stp>
        <stp>3</stp>
        <stp>300584</stp>
        <stp>12/31/2018</stp>
        <stp>1</stp>
        <tr r="U1602" s="1"/>
      </tp>
      <tp>
        <v>0.11788229038461538</v>
        <stp/>
        <stp>EM_S_RATIO_EPS_TTM</stp>
        <stp>3</stp>
        <stp>300484</stp>
        <stp>12/31/2018</stp>
        <stp>1</stp>
        <tr r="U3031" s="1"/>
      </tp>
      <tp>
        <v>0.89320364752446335</v>
        <stp/>
        <stp>EM_S_RATIO_EPS_TTM</stp>
        <stp>3</stp>
        <stp>300684</stp>
        <stp>12/31/2018</stp>
        <stp>1</stp>
        <tr r="U2979" s="1"/>
      </tp>
      <tp>
        <v>0.521024364415</v>
        <stp/>
        <stp>EM_S_FA_ASSETSTURN</stp>
        <stp>3</stp>
        <stp>601360</stp>
        <stp>12/31/2018</stp>
        <stp>1</stp>
        <tr r="K1479" s="1"/>
      </tp>
      <tp>
        <v>0.49726263111699998</v>
        <stp/>
        <stp>EM_S_FA_ASSETSTURN</stp>
        <stp>3</stp>
        <stp>000900</stp>
        <stp>12/31/2018</stp>
        <stp>1</stp>
        <tr r="K1632" s="1"/>
      </tp>
      <tp>
        <v>0.47689163844299998</v>
        <stp/>
        <stp>EM_S_FA_ASSETSTURN</stp>
        <stp>3</stp>
        <stp>600960</stp>
        <stp>12/31/2018</stp>
        <stp>1</stp>
        <tr r="K2720" s="1"/>
      </tp>
      <tp>
        <v>1.373532133418</v>
        <stp/>
        <stp>EM_S_FA_ASSETSTURN</stp>
        <stp>3</stp>
        <stp>000800</stp>
        <stp>12/31/2018</stp>
        <stp>1</stp>
        <tr r="K3542" s="1"/>
      </tp>
      <tp>
        <v>0.60616120292099995</v>
        <stp/>
        <stp>EM_S_FA_ASSETSTURN</stp>
        <stp>3</stp>
        <stp>600860</stp>
        <stp>12/31/2018</stp>
        <stp>1</stp>
        <tr r="K816" s="1"/>
      </tp>
      <tp>
        <v>0.39502937510000002</v>
        <stp/>
        <stp>EM_S_FA_ASSETSTURN</stp>
        <stp>3</stp>
        <stp>300330</stp>
        <stp>12/31/2018</stp>
        <stp>1</stp>
        <tr r="K758" s="1"/>
      </tp>
      <tp>
        <v>0.40388090069999999</v>
        <stp/>
        <stp>EM_S_FA_ASSETSTURN</stp>
        <stp>3</stp>
        <stp>600360</stp>
        <stp>12/31/2018</stp>
        <stp>1</stp>
        <tr r="K920" s="1"/>
      </tp>
      <tp>
        <v>0.78534649816500002</v>
        <stp/>
        <stp>EM_S_FA_ASSETSTURN</stp>
        <stp>3</stp>
        <stp>300230</stp>
        <stp>12/31/2018</stp>
        <stp>1</stp>
        <tr r="K2958" s="1"/>
      </tp>
      <tp>
        <v>0.84042271390400003</v>
        <stp/>
        <stp>EM_S_FA_ASSETSTURN</stp>
        <stp>3</stp>
        <stp>600260</stp>
        <stp>12/31/2018</stp>
        <stp>1</stp>
        <tr r="K3108" s="1"/>
      </tp>
      <tp>
        <v>0.64265622570400005</v>
        <stp/>
        <stp>EM_S_FA_ASSETSTURN</stp>
        <stp>3</stp>
        <stp>000100</stp>
        <stp>12/31/2018</stp>
        <stp>1</stp>
        <tr r="K212" s="1"/>
      </tp>
      <tp>
        <v>0.57589378612599995</v>
        <stp/>
        <stp>EM_S_FA_ASSETSTURN</stp>
        <stp>3</stp>
        <stp>300130</stp>
        <stp>12/31/2018</stp>
        <stp>1</stp>
        <tr r="K478" s="1"/>
      </tp>
      <tp>
        <v>1.109761030329</v>
        <stp/>
        <stp>EM_S_FA_ASSETSTURN</stp>
        <stp>3</stp>
        <stp>600160</stp>
        <stp>12/31/2018</stp>
        <stp>1</stp>
        <tr r="K1738" s="1"/>
      </tp>
      <tp>
        <v>0.33771003687099999</v>
        <stp/>
        <stp>EM_S_FA_ASSETSTURN</stp>
        <stp>3</stp>
        <stp>300030</stp>
        <stp>12/31/2018</stp>
        <stp>1</stp>
        <tr r="K663" s="1"/>
      </tp>
      <tp>
        <v>1.301837241111</v>
        <stp/>
        <stp>EM_S_FA_ASSETSTURN</stp>
        <stp>3</stp>
        <stp>600060</stp>
        <stp>12/31/2018</stp>
        <stp>1</stp>
        <tr r="K1112" s="1"/>
      </tp>
      <tp>
        <v>0.66518845813799998</v>
        <stp/>
        <stp>EM_S_FA_ASSETSTURN</stp>
        <stp>3</stp>
        <stp>000700</stp>
        <stp>12/31/2018</stp>
        <stp>1</stp>
        <tr r="K854" s="1"/>
      </tp>
      <tp>
        <v>0.54425725873899999</v>
        <stp/>
        <stp>EM_S_FA_ASSETSTURN</stp>
        <stp>3</stp>
        <stp>300730</stp>
        <stp>12/31/2018</stp>
        <stp>1</stp>
        <tr r="K3065" s="1"/>
      </tp>
      <tp>
        <v>0.73505176858800003</v>
        <stp/>
        <stp>EM_S_FA_ASSETSTURN</stp>
        <stp>3</stp>
        <stp>600760</stp>
        <stp>12/31/2018</stp>
        <stp>1</stp>
        <tr r="K1639" s="1"/>
      </tp>
      <tp>
        <v>0.44357333888799999</v>
        <stp/>
        <stp>EM_S_FA_ASSETSTURN</stp>
        <stp>3</stp>
        <stp>000600</stp>
        <stp>12/31/2018</stp>
        <stp>1</stp>
        <tr r="K2456" s="1"/>
      </tp>
      <tp>
        <v>0.62909559455899999</v>
        <stp/>
        <stp>EM_S_FA_ASSETSTURN</stp>
        <stp>3</stp>
        <stp>300630</stp>
        <stp>12/31/2018</stp>
        <stp>1</stp>
        <tr r="K1074" s="1"/>
      </tp>
      <tp>
        <v>0.61107800676599999</v>
        <stp/>
        <stp>EM_S_FA_ASSETSTURN</stp>
        <stp>3</stp>
        <stp>600660</stp>
        <stp>12/31/2018</stp>
        <stp>1</stp>
        <tr r="K2159" s="1"/>
      </tp>
      <tp>
        <v>0.33219117183899999</v>
        <stp/>
        <stp>EM_S_FA_ASSETSTURN</stp>
        <stp>3</stp>
        <stp>300530</stp>
        <stp>12/31/2018</stp>
        <stp>1</stp>
        <tr r="K1349" s="1"/>
      </tp>
      <tp>
        <v>0.339286699563</v>
        <stp/>
        <stp>EM_S_FA_ASSETSTURN</stp>
        <stp>3</stp>
        <stp>600560</stp>
        <stp>12/31/2018</stp>
        <stp>1</stp>
        <tr r="K1883" s="1"/>
      </tp>
      <tp>
        <v>0.54986686596000001</v>
        <stp/>
        <stp>EM_S_FA_ASSETSTURN</stp>
        <stp>3</stp>
        <stp>000400</stp>
        <stp>12/31/2018</stp>
        <stp>1</stp>
        <tr r="K3414" s="1"/>
      </tp>
      <tp>
        <v>0.34267644917500001</v>
        <stp/>
        <stp>EM_S_FA_ASSETSTURN</stp>
        <stp>3</stp>
        <stp>300430</stp>
        <stp>12/31/2018</stp>
        <stp>1</stp>
        <tr r="K2455" s="1"/>
      </tp>
      <tp>
        <v>0.420819759839</v>
        <stp/>
        <stp>EM_S_FA_ASSETSTURN</stp>
        <stp>3</stp>
        <stp>600460</stp>
        <stp>12/31/2018</stp>
        <stp>1</stp>
        <tr r="K200" s="1"/>
      </tp>
      <tp>
        <v>0.72457992830700002</v>
        <stp/>
        <stp>EM_S_FA_ASSETSTURN</stp>
        <stp>3</stp>
        <stp>603960</stp>
        <stp>12/31/2018</stp>
        <stp>1</stp>
        <tr r="K1420" s="1"/>
      </tp>
      <tp>
        <v>0.29914626746900003</v>
        <stp/>
        <stp>EM_S_FA_ASSETSTURN</stp>
        <stp>3</stp>
        <stp>603860</stp>
        <stp>12/31/2018</stp>
        <stp>1</stp>
        <tr r="K1627" s="1"/>
      </tp>
      <tp>
        <v>0.63000831038600003</v>
        <stp/>
        <stp>EM_S_FA_ASSETSTURN</stp>
        <stp>3</stp>
        <stp>603360</stp>
        <stp>12/31/2018</stp>
        <stp>1</stp>
        <tr r="K51" s="1"/>
      </tp>
      <tp>
        <v>0.73293058343799999</v>
        <stp/>
        <stp>EM_S_FA_ASSETSTURN</stp>
        <stp>3</stp>
        <stp>603260</stp>
        <stp>12/31/2018</stp>
        <stp>1</stp>
        <tr r="K3246" s="1"/>
      </tp>
      <tp>
        <v>0.76231284807400002</v>
        <stp/>
        <stp>EM_S_FA_ASSETSTURN</stp>
        <stp>3</stp>
        <stp>603160</stp>
        <stp>12/31/2018</stp>
        <stp>1</stp>
        <tr r="K70" s="1"/>
      </tp>
      <tp>
        <v>0.64515794806100002</v>
        <stp/>
        <stp>EM_S_FA_ASSETSTURN</stp>
        <stp>3</stp>
        <stp>603060</stp>
        <stp>12/31/2018</stp>
        <stp>1</stp>
        <tr r="K1134" s="1"/>
      </tp>
      <tp>
        <v>1.0834115481540001</v>
        <stp/>
        <stp>EM_S_FA_ASSETSTURN</stp>
        <stp>3</stp>
        <stp>603660</stp>
        <stp>12/31/2018</stp>
        <stp>1</stp>
        <tr r="K3259" s="1"/>
      </tp>
      <tp>
        <v>0.92500611769399999</v>
        <stp/>
        <stp>EM_S_FA_ASSETSTURN</stp>
        <stp>3</stp>
        <stp>002900</stp>
        <stp>12/31/2018</stp>
        <stp>1</stp>
        <tr r="K2567" s="1"/>
      </tp>
      <tp>
        <v>1.062586207362</v>
        <stp/>
        <stp>EM_S_FA_ASSETSTURN</stp>
        <stp>3</stp>
        <stp>002800</stp>
        <stp>12/31/2018</stp>
        <stp>1</stp>
        <tr r="K363" s="1"/>
      </tp>
      <tp>
        <v>1.4469045085459999</v>
        <stp/>
        <stp>EM_S_FA_ASSETSTURN</stp>
        <stp>3</stp>
        <stp>002300</stp>
        <stp>12/31/2018</stp>
        <stp>1</stp>
        <tr r="K1241" s="1"/>
      </tp>
      <tp>
        <v>0.220716292698</v>
        <stp/>
        <stp>EM_S_FA_ASSETSTURN</stp>
        <stp>3</stp>
        <stp>002200</stp>
        <stp>12/31/2018</stp>
        <stp>1</stp>
        <tr r="K1257" s="1"/>
      </tp>
      <tp>
        <v>0.73330295650699995</v>
        <stp/>
        <stp>EM_S_FA_ASSETSTURN</stp>
        <stp>3</stp>
        <stp>002100</stp>
        <stp>12/31/2018</stp>
        <stp>1</stp>
        <tr r="K54" s="1"/>
      </tp>
      <tp>
        <v>0.34751707474499999</v>
        <stp/>
        <stp>EM_S_FA_ASSETSTURN</stp>
        <stp>3</stp>
        <stp>002700</stp>
        <stp>12/31/2018</stp>
        <stp>1</stp>
        <tr r="K3204" s="1"/>
      </tp>
      <tp>
        <v>1.216849070346</v>
        <stp/>
        <stp>EM_S_FA_ASSETSTURN</stp>
        <stp>3</stp>
        <stp>002600</stp>
        <stp>12/31/2018</stp>
        <stp>1</stp>
        <tr r="K23" s="1"/>
      </tp>
      <tp>
        <v>0</v>
        <stp/>
        <stp>EM_S_FA_ASSETSTURN</stp>
        <stp>3</stp>
        <stp>002500</stp>
        <stp>12/31/2018</stp>
        <stp>1</stp>
        <tr r="K731" s="1"/>
      </tp>
      <tp>
        <v>1.258036145922</v>
        <stp/>
        <stp>EM_S_FA_ASSETSTURN</stp>
        <stp>3</stp>
        <stp>002400</stp>
        <stp>12/31/2018</stp>
        <stp>1</stp>
        <tr r="K1851" s="1"/>
      </tp>
      <tp>
        <v>-0.25708311411350288</v>
        <stp/>
        <stp>EM_S_RATIO_EPS_TTM</stp>
        <stp>3</stp>
        <stp>300187</stp>
        <stp>12/31/2018</stp>
        <stp>1</stp>
        <tr r="U2789" s="1"/>
      </tp>
      <tp>
        <v>0.15876849198856011</v>
        <stp/>
        <stp>EM_S_RATIO_EPS_TTM</stp>
        <stp>3</stp>
        <stp>300087</stp>
        <stp>12/31/2018</stp>
        <stp>1</stp>
        <tr r="U2662" s="1"/>
      </tp>
      <tp>
        <v>0.2262767909340295</v>
        <stp/>
        <stp>EM_S_RATIO_EPS_TTM</stp>
        <stp>3</stp>
        <stp>300387</stp>
        <stp>12/31/2018</stp>
        <stp>1</stp>
        <tr r="U304" s="1"/>
      </tp>
      <tp>
        <v>-1.3650518705766002</v>
        <stp/>
        <stp>EM_S_RATIO_EPS_TTM</stp>
        <stp>3</stp>
        <stp>300287</stp>
        <stp>12/31/2018</stp>
        <stp>1</stp>
        <tr r="U2172" s="1"/>
      </tp>
      <tp>
        <v>0.73221151093999437</v>
        <stp/>
        <stp>EM_S_RATIO_EPS_TTM</stp>
        <stp>3</stp>
        <stp>300587</stp>
        <stp>12/31/2018</stp>
        <stp>1</stp>
        <tr r="U2762" s="1"/>
      </tp>
      <tp>
        <v>0.7076988214804063</v>
        <stp/>
        <stp>EM_S_RATIO_EPS_TTM</stp>
        <stp>3</stp>
        <stp>300487</stp>
        <stp>12/31/2018</stp>
        <stp>1</stp>
        <tr r="U612" s="1"/>
      </tp>
      <tp>
        <v>0.78242540107909953</v>
        <stp/>
        <stp>EM_S_RATIO_EPS_TTM</stp>
        <stp>3</stp>
        <stp>300687</stp>
        <stp>12/31/2018</stp>
        <stp>1</stp>
        <tr r="U3104" s="1"/>
      </tp>
      <tp>
        <v>0.90890110360599996</v>
        <stp/>
        <stp>EM_S_FA_ASSETSTURN</stp>
        <stp>3</stp>
        <stp>000901</stp>
        <stp>12/31/2018</stp>
        <stp>1</stp>
        <tr r="K3569" s="1"/>
      </tp>
      <tp>
        <v>2.211823309023</v>
        <stp/>
        <stp>EM_S_FA_ASSETSTURN</stp>
        <stp>3</stp>
        <stp>600961</stp>
        <stp>12/31/2018</stp>
        <stp>1</stp>
        <tr r="K1803" s="1"/>
      </tp>
      <tp>
        <v>0.72924326366199999</v>
        <stp/>
        <stp>EM_S_FA_ASSETSTURN</stp>
        <stp>3</stp>
        <stp>000801</stp>
        <stp>12/31/2018</stp>
        <stp>1</stp>
        <tr r="K1131" s="1"/>
      </tp>
      <tp>
        <v>0.49627508274999999</v>
        <stp/>
        <stp>EM_S_FA_ASSETSTURN</stp>
        <stp>3</stp>
        <stp>600861</stp>
        <stp>12/31/2018</stp>
        <stp>1</stp>
        <tr r="K1151" s="1"/>
      </tp>
      <tp>
        <v>1.4031209108939999</v>
        <stp/>
        <stp>EM_S_FA_ASSETSTURN</stp>
        <stp>3</stp>
        <stp>000301</stp>
        <stp>12/31/2018</stp>
        <stp>1</stp>
        <tr r="K2580" s="1"/>
      </tp>
      <tp>
        <v>0.57850518261999995</v>
        <stp/>
        <stp>EM_S_FA_ASSETSTURN</stp>
        <stp>3</stp>
        <stp>300331</stp>
        <stp>12/31/2018</stp>
        <stp>1</stp>
        <tr r="K208" s="1"/>
      </tp>
      <tp>
        <v>1.169871861766</v>
        <stp/>
        <stp>EM_S_FA_ASSETSTURN</stp>
        <stp>3</stp>
        <stp>600361</stp>
        <stp>12/31/2018</stp>
        <stp>1</stp>
        <tr r="K1719" s="1"/>
      </tp>
      <tp>
        <v>0.75677969507599996</v>
        <stp/>
        <stp>EM_S_FA_ASSETSTURN</stp>
        <stp>3</stp>
        <stp>300231</stp>
        <stp>12/31/2018</stp>
        <stp>1</stp>
        <tr r="K943" s="1"/>
      </tp>
      <tp>
        <v>0.85745296144500005</v>
        <stp/>
        <stp>EM_S_FA_ASSETSTURN</stp>
        <stp>3</stp>
        <stp>600261</stp>
        <stp>12/31/2018</stp>
        <stp>1</stp>
        <tr r="K753" s="1"/>
      </tp>
      <tp>
        <v>2.2049608907340001</v>
        <stp/>
        <stp>EM_S_FA_ASSETSTURN</stp>
        <stp>3</stp>
        <stp>300131</stp>
        <stp>12/31/2018</stp>
        <stp>1</stp>
        <tr r="K1274" s="1"/>
      </tp>
      <tp>
        <v>0.67128227568599996</v>
        <stp/>
        <stp>EM_S_FA_ASSETSTURN</stp>
        <stp>3</stp>
        <stp>600161</stp>
        <stp>12/31/2018</stp>
        <stp>1</stp>
        <tr r="K1011" s="1"/>
      </tp>
      <tp>
        <v>0</v>
        <stp/>
        <stp>EM_S_FA_ASSETSTURN</stp>
        <stp>3</stp>
        <stp>000001</stp>
        <stp>12/31/2018</stp>
        <stp>1</stp>
        <tr r="K265" s="1"/>
      </tp>
      <tp>
        <v>0.67260568358700001</v>
        <stp/>
        <stp>EM_S_FA_ASSETSTURN</stp>
        <stp>3</stp>
        <stp>300031</stp>
        <stp>12/31/2018</stp>
        <stp>1</stp>
        <tr r="K1669" s="1"/>
      </tp>
      <tp>
        <v>7.0594815426000004E-2</v>
        <stp/>
        <stp>EM_S_FA_ASSETSTURN</stp>
        <stp>3</stp>
        <stp>600061</stp>
        <stp>12/31/2018</stp>
        <stp>1</stp>
        <tr r="K518" s="1"/>
      </tp>
      <tp>
        <v>4.0722056228039998</v>
        <stp/>
        <stp>EM_S_FA_ASSETSTURN</stp>
        <stp>3</stp>
        <stp>000701</stp>
        <stp>12/31/2018</stp>
        <stp>1</stp>
        <tr r="K2836" s="1"/>
      </tp>
      <tp>
        <v>0.50873093383300005</v>
        <stp/>
        <stp>EM_S_FA_ASSETSTURN</stp>
        <stp>3</stp>
        <stp>300731</stp>
        <stp>12/31/2018</stp>
        <stp>1</stp>
        <tr r="K1668" s="1"/>
      </tp>
      <tp>
        <v>1.33079840299</v>
        <stp/>
        <stp>EM_S_FA_ASSETSTURN</stp>
        <stp>3</stp>
        <stp>600761</stp>
        <stp>12/31/2018</stp>
        <stp>1</stp>
        <tr r="K1761" s="1"/>
      </tp>
      <tp>
        <v>0.35738436108999999</v>
        <stp/>
        <stp>EM_S_FA_ASSETSTURN</stp>
        <stp>3</stp>
        <stp>000601</stp>
        <stp>12/31/2018</stp>
        <stp>1</stp>
        <tr r="K3477" s="1"/>
      </tp>
      <tp>
        <v>0.55987045441200001</v>
        <stp/>
        <stp>EM_S_FA_ASSETSTURN</stp>
        <stp>3</stp>
        <stp>300631</stp>
        <stp>12/31/2018</stp>
        <stp>1</stp>
        <tr r="K1619" s="1"/>
      </tp>
      <tp>
        <v>0.66282150556999997</v>
        <stp/>
        <stp>EM_S_FA_ASSETSTURN</stp>
        <stp>3</stp>
        <stp>600661</stp>
        <stp>12/31/2018</stp>
        <stp>1</stp>
        <tr r="K2866" s="1"/>
      </tp>
      <tp>
        <v>0.86565822230699996</v>
        <stp/>
        <stp>EM_S_FA_ASSETSTURN</stp>
        <stp>3</stp>
        <stp>000501</stp>
        <stp>12/31/2018</stp>
        <stp>1</stp>
        <tr r="K3428" s="1"/>
      </tp>
      <tp>
        <v>0.93256799325700002</v>
        <stp/>
        <stp>EM_S_FA_ASSETSTURN</stp>
        <stp>3</stp>
        <stp>300531</stp>
        <stp>12/31/2018</stp>
        <stp>1</stp>
        <tr r="K2481" s="1"/>
      </tp>
      <tp>
        <v>0.40156272805799997</v>
        <stp/>
        <stp>EM_S_FA_ASSETSTURN</stp>
        <stp>3</stp>
        <stp>600561</stp>
        <stp>12/31/2018</stp>
        <stp>1</stp>
        <tr r="K1927" s="1"/>
      </tp>
      <tp>
        <v>0.59884099479700004</v>
        <stp/>
        <stp>EM_S_FA_ASSETSTURN</stp>
        <stp>3</stp>
        <stp>000401</stp>
        <stp>12/31/2018</stp>
        <stp>1</stp>
        <tr r="K849" s="1"/>
      </tp>
      <tp>
        <v>0.537420362496</v>
        <stp/>
        <stp>EM_S_FA_ASSETSTURN</stp>
        <stp>3</stp>
        <stp>300431</stp>
        <stp>12/31/2018</stp>
        <stp>1</stp>
        <tr r="K3388" s="1"/>
      </tp>
      <tp>
        <v>0.47503521129300003</v>
        <stp/>
        <stp>EM_S_FA_ASSETSTURN</stp>
        <stp>3</stp>
        <stp>600461</stp>
        <stp>12/31/2018</stp>
        <stp>1</stp>
        <tr r="K1858" s="1"/>
      </tp>
      <tp>
        <v>0.59638239199200005</v>
        <stp/>
        <stp>EM_S_FA_ASSETSTURN</stp>
        <stp>3</stp>
        <stp>603861</stp>
        <stp>12/31/2018</stp>
        <stp>1</stp>
        <tr r="K3153" s="1"/>
      </tp>
      <tp>
        <v>0.50930729838900002</v>
        <stp/>
        <stp>EM_S_FA_ASSETSTURN</stp>
        <stp>3</stp>
        <stp>603161</stp>
        <stp>12/31/2018</stp>
        <stp>1</stp>
        <tr r="K2902" s="1"/>
      </tp>
      <tp>
        <v>0.83804112203000003</v>
        <stp/>
        <stp>EM_S_FA_ASSETSTURN</stp>
        <stp>3</stp>
        <stp>603661</stp>
        <stp>12/31/2018</stp>
        <stp>1</stp>
        <tr r="K578" s="1"/>
      </tp>
      <tp>
        <v>0.50597260861000004</v>
        <stp/>
        <stp>EM_S_FA_ASSETSTURN</stp>
        <stp>3</stp>
        <stp>002901</stp>
        <stp>12/31/2018</stp>
        <stp>1</stp>
        <tr r="K184" s="1"/>
      </tp>
      <tp>
        <v>0.62230471466699999</v>
        <stp/>
        <stp>EM_S_FA_ASSETSTURN</stp>
        <stp>3</stp>
        <stp>002801</stp>
        <stp>12/31/2018</stp>
        <stp>1</stp>
        <tr r="K345" s="1"/>
      </tp>
      <tp>
        <v>0.72238217861599996</v>
        <stp/>
        <stp>EM_S_FA_ASSETSTURN</stp>
        <stp>3</stp>
        <stp>002301</stp>
        <stp>12/31/2018</stp>
        <stp>1</stp>
        <tr r="K732" s="1"/>
      </tp>
      <tp>
        <v>0.42327471902399999</v>
        <stp/>
        <stp>EM_S_FA_ASSETSTURN</stp>
        <stp>3</stp>
        <stp>002201</stp>
        <stp>12/31/2018</stp>
        <stp>1</stp>
        <tr r="K33" s="1"/>
      </tp>
      <tp>
        <v>0.73974480368100004</v>
        <stp/>
        <stp>EM_S_FA_ASSETSTURN</stp>
        <stp>3</stp>
        <stp>002101</stp>
        <stp>12/31/2018</stp>
        <stp>1</stp>
        <tr r="K2834" s="1"/>
      </tp>
      <tp>
        <v>0.43289525690000003</v>
        <stp/>
        <stp>EM_S_FA_ASSETSTURN</stp>
        <stp>3</stp>
        <stp>002001</stp>
        <stp>12/31/2018</stp>
        <stp>1</stp>
        <tr r="K565" s="1"/>
      </tp>
      <tp>
        <v>0.58833866850500005</v>
        <stp/>
        <stp>EM_S_FA_ASSETSTURN</stp>
        <stp>3</stp>
        <stp>002701</stp>
        <stp>12/31/2018</stp>
        <stp>1</stp>
        <tr r="K2874" s="1"/>
      </tp>
      <tp>
        <v>0.50533807003999998</v>
        <stp/>
        <stp>EM_S_FA_ASSETSTURN</stp>
        <stp>3</stp>
        <stp>002601</stp>
        <stp>12/31/2018</stp>
        <stp>1</stp>
        <tr r="K1076" s="1"/>
      </tp>
      <tp>
        <v>3.4730071373999999E-2</v>
        <stp/>
        <stp>EM_S_FA_ASSETSTURN</stp>
        <stp>3</stp>
        <stp>002501</stp>
        <stp>12/31/2018</stp>
        <stp>1</stp>
        <tr r="K3330" s="1"/>
      </tp>
      <tp>
        <v>0.47986720657900001</v>
        <stp/>
        <stp>EM_S_FA_ASSETSTURN</stp>
        <stp>3</stp>
        <stp>002401</stp>
        <stp>12/31/2018</stp>
        <stp>1</stp>
        <tr r="K1098" s="1"/>
      </tp>
      <tp>
        <v>0.31609098759595061</v>
        <stp/>
        <stp>EM_S_RATIO_EPS_TTM</stp>
        <stp>3</stp>
        <stp>300186</stp>
        <stp>12/31/2018</stp>
        <stp>1</stp>
        <tr r="U2281" s="1"/>
      </tp>
      <tp>
        <v>2.9702707822222223E-2</v>
        <stp/>
        <stp>EM_S_RATIO_EPS_TTM</stp>
        <stp>3</stp>
        <stp>300086</stp>
        <stp>12/31/2018</stp>
        <stp>1</stp>
        <tr r="U3069" s="1"/>
      </tp>
      <tp>
        <v>0.31880252427974087</v>
        <stp/>
        <stp>EM_S_RATIO_EPS_TTM</stp>
        <stp>3</stp>
        <stp>300386</stp>
        <stp>12/31/2018</stp>
        <stp>1</stp>
        <tr r="U696" s="1"/>
      </tp>
      <tp>
        <v>0.44836618564174846</v>
        <stp/>
        <stp>EM_S_RATIO_EPS_TTM</stp>
        <stp>3</stp>
        <stp>300286</stp>
        <stp>12/31/2018</stp>
        <stp>1</stp>
        <tr r="U747" s="1"/>
      </tp>
      <tp>
        <v>0.26373290870833332</v>
        <stp/>
        <stp>EM_S_RATIO_EPS_TTM</stp>
        <stp>3</stp>
        <stp>300586</stp>
        <stp>12/31/2018</stp>
        <stp>1</stp>
        <tr r="U117" s="1"/>
      </tp>
      <tp>
        <v>0.39452821055866605</v>
        <stp/>
        <stp>EM_S_RATIO_EPS_TTM</stp>
        <stp>3</stp>
        <stp>300486</stp>
        <stp>12/31/2018</stp>
        <stp>1</stp>
        <tr r="U459" s="1"/>
      </tp>
      <tp>
        <v>3.301354922455136E-2</v>
        <stp/>
        <stp>EM_S_RATIO_EPS_TTM</stp>
        <stp>3</stp>
        <stp>300686</stp>
        <stp>12/31/2018</stp>
        <stp>1</stp>
        <tr r="U205" s="1"/>
      </tp>
      <tp>
        <v>0.67736903294200002</v>
        <stp/>
        <stp>EM_S_FA_ASSETSTURN</stp>
        <stp>3</stp>
        <stp>601966</stp>
        <stp>12/31/2018</stp>
        <stp>1</stp>
        <tr r="K385" s="1"/>
      </tp>
      <tp>
        <v>0.120514546939</v>
        <stp/>
        <stp>EM_S_FA_ASSETSTURN</stp>
        <stp>3</stp>
        <stp>601866</stp>
        <stp>12/31/2018</stp>
        <stp>1</stp>
        <tr r="K1597" s="1"/>
      </tp>
      <tp>
        <v>1.103674175401</v>
        <stp/>
        <stp>EM_S_FA_ASSETSTURN</stp>
        <stp>3</stp>
        <stp>601366</stp>
        <stp>12/31/2018</stp>
        <stp>1</stp>
        <tr r="K2886" s="1"/>
      </tp>
      <tp>
        <v>0</v>
        <stp/>
        <stp>EM_S_FA_ASSETSTURN</stp>
        <stp>3</stp>
        <stp>601166</stp>
        <stp>12/31/2018</stp>
        <stp>1</stp>
        <tr r="K877" s="1"/>
      </tp>
      <tp>
        <v>0</v>
        <stp/>
        <stp>EM_S_FA_ASSETSTURN</stp>
        <stp>3</stp>
        <stp>601066</stp>
        <stp>12/31/2018</stp>
        <stp>1</stp>
        <tr r="K31" s="1"/>
      </tp>
      <tp>
        <v>0.59801952749099996</v>
        <stp/>
        <stp>EM_S_FA_ASSETSTURN</stp>
        <stp>3</stp>
        <stp>601766</stp>
        <stp>12/31/2018</stp>
        <stp>1</stp>
        <tr r="K3076" s="1"/>
      </tp>
      <tp>
        <v>0.438056933988</v>
        <stp/>
        <stp>EM_S_FA_ASSETSTURN</stp>
        <stp>3</stp>
        <stp>601666</stp>
        <stp>12/31/2018</stp>
        <stp>1</stp>
        <tr r="K1590" s="1"/>
      </tp>
      <tp>
        <v>0.437306254625</v>
        <stp/>
        <stp>EM_S_FA_ASSETSTURN</stp>
        <stp>3</stp>
        <stp>601566</stp>
        <stp>12/31/2018</stp>
        <stp>1</stp>
        <tr r="K2920" s="1"/>
      </tp>
      <tp>
        <v>5.6516321525700004</v>
        <stp/>
        <stp>EM_S_FA_ASSETSTURN</stp>
        <stp>3</stp>
        <stp>000906</stp>
        <stp>12/31/2018</stp>
        <stp>1</stp>
        <tr r="K1291" s="1"/>
      </tp>
      <tp>
        <v>0.52387610830099995</v>
        <stp/>
        <stp>EM_S_FA_ASSETSTURN</stp>
        <stp>3</stp>
        <stp>600966</stp>
        <stp>12/31/2018</stp>
        <stp>1</stp>
        <tr r="K326" s="1"/>
      </tp>
      <tp>
        <v>0.26178070279799998</v>
        <stp/>
        <stp>EM_S_FA_ASSETSTURN</stp>
        <stp>3</stp>
        <stp>000806</stp>
        <stp>12/31/2018</stp>
        <stp>1</stp>
        <tr r="K3545" s="1"/>
      </tp>
      <tp>
        <v>0.59370546512199995</v>
        <stp/>
        <stp>EM_S_FA_ASSETSTURN</stp>
        <stp>3</stp>
        <stp>600866</stp>
        <stp>12/31/2018</stp>
        <stp>1</stp>
        <tr r="K736" s="1"/>
      </tp>
      <tp>
        <v>0.162459691795</v>
        <stp/>
        <stp>EM_S_FA_ASSETSTURN</stp>
        <stp>3</stp>
        <stp>300336</stp>
        <stp>12/31/2018</stp>
        <stp>1</stp>
        <tr r="K2614" s="1"/>
      </tp>
      <tp>
        <v>0.34575745145699999</v>
        <stp/>
        <stp>EM_S_FA_ASSETSTURN</stp>
        <stp>3</stp>
        <stp>600366</stp>
        <stp>12/31/2018</stp>
        <stp>1</stp>
        <tr r="K846" s="1"/>
      </tp>
      <tp>
        <v>0.36733893196599998</v>
        <stp/>
        <stp>EM_S_FA_ASSETSTURN</stp>
        <stp>3</stp>
        <stp>300236</stp>
        <stp>12/31/2018</stp>
        <stp>1</stp>
        <tr r="K1622" s="1"/>
      </tp>
      <tp>
        <v>0.12856075199</v>
        <stp/>
        <stp>EM_S_FA_ASSETSTURN</stp>
        <stp>3</stp>
        <stp>600266</stp>
        <stp>12/31/2018</stp>
        <stp>1</stp>
        <tr r="K2129" s="1"/>
      </tp>
      <tp>
        <v>0.75010019730800004</v>
        <stp/>
        <stp>EM_S_FA_ASSETSTURN</stp>
        <stp>3</stp>
        <stp>300136</stp>
        <stp>12/31/2018</stp>
        <stp>1</stp>
        <tr r="K145" s="1"/>
      </tp>
      <tp>
        <v>0.67673360478</v>
        <stp/>
        <stp>EM_S_FA_ASSETSTURN</stp>
        <stp>3</stp>
        <stp>600166</stp>
        <stp>12/31/2018</stp>
        <stp>1</stp>
        <tr r="K1515" s="1"/>
      </tp>
      <tp>
        <v>0.18831776369299999</v>
        <stp/>
        <stp>EM_S_FA_ASSETSTURN</stp>
        <stp>3</stp>
        <stp>000006</stp>
        <stp>12/31/2018</stp>
        <stp>1</stp>
        <tr r="K1889" s="1"/>
      </tp>
      <tp>
        <v>0.55672892546300001</v>
        <stp/>
        <stp>EM_S_FA_ASSETSTURN</stp>
        <stp>3</stp>
        <stp>300036</stp>
        <stp>12/31/2018</stp>
        <stp>1</stp>
        <tr r="K1798" s="1"/>
      </tp>
      <tp>
        <v>0.87017323731600005</v>
        <stp/>
        <stp>EM_S_FA_ASSETSTURN</stp>
        <stp>3</stp>
        <stp>600066</stp>
        <stp>12/31/2018</stp>
        <stp>1</stp>
        <tr r="K1296" s="1"/>
      </tp>
      <tp>
        <v>1.690751628656</v>
        <stp/>
        <stp>EM_S_FA_ASSETSTURN</stp>
        <stp>3</stp>
        <stp>300736</stp>
        <stp>12/31/2018</stp>
        <stp>1</stp>
        <tr r="K3372" s="1"/>
      </tp>
      <tp>
        <v>7.5288691842999994E-2</v>
        <stp/>
        <stp>EM_S_FA_ASSETSTURN</stp>
        <stp>3</stp>
        <stp>600766</stp>
        <stp>12/31/2018</stp>
        <stp>1</stp>
        <tr r="K2671" s="1"/>
      </tp>
      <tp>
        <v>0.18368353797100001</v>
        <stp/>
        <stp>EM_S_FA_ASSETSTURN</stp>
        <stp>3</stp>
        <stp>000606</stp>
        <stp>12/31/2018</stp>
        <stp>1</stp>
        <tr r="K2652" s="1"/>
      </tp>
      <tp>
        <v>0.35012091374400001</v>
        <stp/>
        <stp>EM_S_FA_ASSETSTURN</stp>
        <stp>3</stp>
        <stp>300636</stp>
        <stp>12/31/2018</stp>
        <stp>1</stp>
        <tr r="K456" s="1"/>
      </tp>
      <tp>
        <v>0.203557320918</v>
        <stp/>
        <stp>EM_S_FA_ASSETSTURN</stp>
        <stp>3</stp>
        <stp>600666</stp>
        <stp>12/31/2018</stp>
        <stp>1</stp>
        <tr r="K3218" s="1"/>
      </tp>
      <tp>
        <v>0.195451474638</v>
        <stp/>
        <stp>EM_S_FA_ASSETSTURN</stp>
        <stp>3</stp>
        <stp>000506</stp>
        <stp>12/31/2018</stp>
        <stp>1</stp>
        <tr r="K3433" s="1"/>
      </tp>
      <tp>
        <v>0.41849124256800002</v>
        <stp/>
        <stp>EM_S_FA_ASSETSTURN</stp>
        <stp>3</stp>
        <stp>300536</stp>
        <stp>12/31/2018</stp>
        <stp>1</stp>
        <tr r="K2931" s="1"/>
      </tp>
      <tp>
        <v>0.99699474119499998</v>
        <stp/>
        <stp>EM_S_FA_ASSETSTURN</stp>
        <stp>3</stp>
        <stp>600566</stp>
        <stp>12/31/2018</stp>
        <stp>1</stp>
        <tr r="K3221" s="1"/>
      </tp>
      <tp>
        <v>0</v>
        <stp/>
        <stp>EM_S_FA_ASSETSTURN</stp>
        <stp>3</stp>
        <stp>000406</stp>
        <stp>12/31/2018</stp>
        <stp>1</stp>
        <tr r="K3417" s="1"/>
      </tp>
      <tp>
        <v>0.50584916311799999</v>
        <stp/>
        <stp>EM_S_FA_ASSETSTURN</stp>
        <stp>3</stp>
        <stp>300436</stp>
        <stp>12/31/2018</stp>
        <stp>1</stp>
        <tr r="K879" s="1"/>
      </tp>
      <tp>
        <v>0.250450758552</v>
        <stp/>
        <stp>EM_S_FA_ASSETSTURN</stp>
        <stp>3</stp>
        <stp>600466</stp>
        <stp>12/31/2018</stp>
        <stp>1</stp>
        <tr r="K865" s="1"/>
      </tp>
      <tp>
        <v>0.51192856504999995</v>
        <stp/>
        <stp>EM_S_FA_ASSETSTURN</stp>
        <stp>3</stp>
        <stp>603966</stp>
        <stp>12/31/2018</stp>
        <stp>1</stp>
        <tr r="K1319" s="1"/>
      </tp>
      <tp>
        <v>1.299782033751</v>
        <stp/>
        <stp>EM_S_FA_ASSETSTURN</stp>
        <stp>3</stp>
        <stp>603866</stp>
        <stp>12/31/2018</stp>
        <stp>1</stp>
        <tr r="K2655" s="1"/>
      </tp>
      <tp>
        <v>0.52380988029499997</v>
        <stp/>
        <stp>EM_S_FA_ASSETSTURN</stp>
        <stp>3</stp>
        <stp>603366</stp>
        <stp>12/31/2018</stp>
        <stp>1</stp>
        <tr r="K1104" s="1"/>
      </tp>
      <tp>
        <v>0.86924323437499995</v>
        <stp/>
        <stp>EM_S_FA_ASSETSTURN</stp>
        <stp>3</stp>
        <stp>603266</stp>
        <stp>12/31/2018</stp>
        <stp>1</stp>
        <tr r="K2948" s="1"/>
      </tp>
      <tp>
        <v>0.44137820587600002</v>
        <stp/>
        <stp>EM_S_FA_ASSETSTURN</stp>
        <stp>3</stp>
        <stp>603166</stp>
        <stp>12/31/2018</stp>
        <stp>1</stp>
        <tr r="K1347" s="1"/>
      </tp>
      <tp>
        <v>0.56212298811000005</v>
        <stp/>
        <stp>EM_S_FA_ASSETSTURN</stp>
        <stp>3</stp>
        <stp>603066</stp>
        <stp>12/31/2018</stp>
        <stp>1</stp>
        <tr r="K1845" s="1"/>
      </tp>
      <tp>
        <v>0.95911707432899995</v>
        <stp/>
        <stp>EM_S_FA_ASSETSTURN</stp>
        <stp>3</stp>
        <stp>603766</stp>
        <stp>12/31/2018</stp>
        <stp>1</stp>
        <tr r="K2719" s="1"/>
      </tp>
      <tp>
        <v>0.61434706830800001</v>
        <stp/>
        <stp>EM_S_FA_ASSETSTURN</stp>
        <stp>3</stp>
        <stp>603666</stp>
        <stp>12/31/2018</stp>
        <stp>1</stp>
        <tr r="K575" s="1"/>
      </tp>
      <tp>
        <v>0.327954675222</v>
        <stp/>
        <stp>EM_S_FA_ASSETSTURN</stp>
        <stp>3</stp>
        <stp>603566</stp>
        <stp>12/31/2018</stp>
        <stp>1</stp>
        <tr r="K482" s="1"/>
      </tp>
      <tp>
        <v>0.55170981843300004</v>
        <stp/>
        <stp>EM_S_FA_ASSETSTURN</stp>
        <stp>3</stp>
        <stp>603466</stp>
        <stp>12/31/2018</stp>
        <stp>1</stp>
        <tr r="K2505" s="1"/>
      </tp>
      <tp>
        <v>0.74534344185099999</v>
        <stp/>
        <stp>EM_S_FA_ASSETSTURN</stp>
        <stp>3</stp>
        <stp>002906</stp>
        <stp>12/31/2018</stp>
        <stp>1</stp>
        <tr r="K1168" s="1"/>
      </tp>
      <tp>
        <v>0.54016376748399997</v>
        <stp/>
        <stp>EM_S_FA_ASSETSTURN</stp>
        <stp>3</stp>
        <stp>002806</stp>
        <stp>12/31/2018</stp>
        <stp>1</stp>
        <tr r="K3132" s="1"/>
      </tp>
      <tp>
        <v>0.84748369563500003</v>
        <stp/>
        <stp>EM_S_FA_ASSETSTURN</stp>
        <stp>3</stp>
        <stp>002306</stp>
        <stp>12/31/2018</stp>
        <stp>1</stp>
        <tr r="K3111" s="1"/>
      </tp>
      <tp>
        <v>0.77651873688899997</v>
        <stp/>
        <stp>EM_S_FA_ASSETSTURN</stp>
        <stp>3</stp>
        <stp>002206</stp>
        <stp>12/31/2018</stp>
        <stp>1</stp>
        <tr r="K2495" s="1"/>
      </tp>
      <tp>
        <v>0.92805295812199995</v>
        <stp/>
        <stp>EM_S_FA_ASSETSTURN</stp>
        <stp>3</stp>
        <stp>002106</stp>
        <stp>12/31/2018</stp>
        <stp>1</stp>
        <tr r="K474" s="1"/>
      </tp>
      <tp>
        <v>0.54213288729300002</v>
        <stp/>
        <stp>EM_S_FA_ASSETSTURN</stp>
        <stp>3</stp>
        <stp>002006</stp>
        <stp>12/31/2018</stp>
        <stp>1</stp>
        <tr r="K2930" s="1"/>
      </tp>
      <tp>
        <v>0.74942515039500002</v>
        <stp/>
        <stp>EM_S_FA_ASSETSTURN</stp>
        <stp>3</stp>
        <stp>002706</stp>
        <stp>12/31/2018</stp>
        <stp>1</stp>
        <tr r="K778" s="1"/>
      </tp>
      <tp>
        <v>0.43183506170000002</v>
        <stp/>
        <stp>EM_S_FA_ASSETSTURN</stp>
        <stp>3</stp>
        <stp>002606</stp>
        <stp>12/31/2018</stp>
        <stp>1</stp>
        <tr r="K2831" s="1"/>
      </tp>
      <tp>
        <v>0.57182866073700001</v>
        <stp/>
        <stp>EM_S_FA_ASSETSTURN</stp>
        <stp>3</stp>
        <stp>002506</stp>
        <stp>12/31/2018</stp>
        <stp>1</stp>
        <tr r="K1358" s="1"/>
      </tp>
      <tp>
        <v>0.62173096054300003</v>
        <stp/>
        <stp>EM_S_FA_ASSETSTURN</stp>
        <stp>3</stp>
        <stp>002406</stp>
        <stp>12/31/2018</stp>
        <stp>1</stp>
        <tr r="K1384" s="1"/>
      </tp>
      <tp>
        <v>3.4096158443402892E-2</v>
        <stp/>
        <stp>EM_S_RATIO_EPS_TTM</stp>
        <stp>3</stp>
        <stp>300181</stp>
        <stp>12/31/2018</stp>
        <stp>1</stp>
        <tr r="U2515" s="1"/>
      </tp>
      <tp>
        <v>0.37442604665431239</v>
        <stp/>
        <stp>EM_S_RATIO_EPS_TTM</stp>
        <stp>3</stp>
        <stp>300081</stp>
        <stp>12/31/2018</stp>
        <stp>1</stp>
        <tr r="U1430" s="1"/>
      </tp>
      <tp>
        <v>0.27905836312925247</v>
        <stp/>
        <stp>EM_S_RATIO_EPS_TTM</stp>
        <stp>3</stp>
        <stp>300381</stp>
        <stp>12/31/2018</stp>
        <stp>1</stp>
        <tr r="U1162" s="1"/>
      </tp>
      <tp>
        <v>4.741646643523862E-2</v>
        <stp/>
        <stp>EM_S_RATIO_EPS_TTM</stp>
        <stp>3</stp>
        <stp>300281</stp>
        <stp>12/31/2018</stp>
        <stp>1</stp>
        <tr r="U832" s="1"/>
      </tp>
      <tp>
        <v>0.37604470813926411</v>
        <stp/>
        <stp>EM_S_RATIO_EPS_TTM</stp>
        <stp>3</stp>
        <stp>300581</stp>
        <stp>12/31/2018</stp>
        <stp>1</stp>
        <tr r="U989" s="1"/>
      </tp>
      <tp>
        <v>0.41086944340708925</v>
        <stp/>
        <stp>EM_S_RATIO_EPS_TTM</stp>
        <stp>3</stp>
        <stp>300481</stp>
        <stp>12/31/2018</stp>
        <stp>1</stp>
        <tr r="U358" s="1"/>
      </tp>
      <tp>
        <v>0.70206433597883589</v>
        <stp/>
        <stp>EM_S_RATIO_EPS_TTM</stp>
        <stp>3</stp>
        <stp>300681</stp>
        <stp>12/31/2018</stp>
        <stp>1</stp>
        <tr r="U2417" s="1"/>
      </tp>
      <tp>
        <v>0.43439524331700002</v>
        <stp/>
        <stp>EM_S_FA_ASSETSTURN</stp>
        <stp>3</stp>
        <stp>601567</stp>
        <stp>12/31/2018</stp>
        <stp>1</stp>
        <tr r="K931" s="1"/>
      </tp>
      <tp>
        <v>0.63717501112999997</v>
        <stp/>
        <stp>EM_S_FA_ASSETSTURN</stp>
        <stp>3</stp>
        <stp>600967</stp>
        <stp>12/31/2018</stp>
        <stp>1</stp>
        <tr r="K2184" s="1"/>
      </tp>
      <tp>
        <v>0.59100037224799995</v>
        <stp/>
        <stp>EM_S_FA_ASSETSTURN</stp>
        <stp>3</stp>
        <stp>000807</stp>
        <stp>12/31/2018</stp>
        <stp>1</stp>
        <tr r="K3546" s="1"/>
      </tp>
      <tp>
        <v>0.52719580947900002</v>
        <stp/>
        <stp>EM_S_FA_ASSETSTURN</stp>
        <stp>3</stp>
        <stp>600867</stp>
        <stp>12/31/2018</stp>
        <stp>1</stp>
        <tr r="K2809" s="1"/>
      </tp>
      <tp>
        <v>0.701762937122</v>
        <stp/>
        <stp>EM_S_FA_ASSETSTURN</stp>
        <stp>3</stp>
        <stp>300337</stp>
        <stp>12/31/2018</stp>
        <stp>1</stp>
        <tr r="K2721" s="1"/>
      </tp>
      <tp>
        <v>0.87468706802399998</v>
        <stp/>
        <stp>EM_S_FA_ASSETSTURN</stp>
        <stp>3</stp>
        <stp>600367</stp>
        <stp>12/31/2018</stp>
        <stp>1</stp>
        <tr r="K1964" s="1"/>
      </tp>
      <tp>
        <v>0.402408123916</v>
        <stp/>
        <stp>EM_S_FA_ASSETSTURN</stp>
        <stp>3</stp>
        <stp>300237</stp>
        <stp>12/31/2018</stp>
        <stp>1</stp>
        <tr r="K3205" s="1"/>
      </tp>
      <tp>
        <v>0.46849508860099998</v>
        <stp/>
        <stp>EM_S_FA_ASSETSTURN</stp>
        <stp>3</stp>
        <stp>600267</stp>
        <stp>12/31/2018</stp>
        <stp>1</stp>
        <tr r="K1513" s="1"/>
      </tp>
      <tp>
        <v>0.59853196069799997</v>
        <stp/>
        <stp>EM_S_FA_ASSETSTURN</stp>
        <stp>3</stp>
        <stp>300137</stp>
        <stp>12/31/2018</stp>
        <stp>1</stp>
        <tr r="K2600" s="1"/>
      </tp>
      <tp>
        <v>0.27437817945100001</v>
        <stp/>
        <stp>EM_S_FA_ASSETSTURN</stp>
        <stp>3</stp>
        <stp>600167</stp>
        <stp>12/31/2018</stp>
        <stp>1</stp>
        <tr r="K683" s="1"/>
      </tp>
      <tp>
        <v>0.102473637139</v>
        <stp/>
        <stp>EM_S_FA_ASSETSTURN</stp>
        <stp>3</stp>
        <stp>000007</stp>
        <stp>12/31/2018</stp>
        <stp>1</stp>
        <tr r="K1370" s="1"/>
      </tp>
      <tp>
        <v>0.53393552686500001</v>
        <stp/>
        <stp>EM_S_FA_ASSETSTURN</stp>
        <stp>3</stp>
        <stp>300037</stp>
        <stp>12/31/2018</stp>
        <stp>1</stp>
        <tr r="K533" s="1"/>
      </tp>
      <tp>
        <v>0.357851465333</v>
        <stp/>
        <stp>EM_S_FA_ASSETSTURN</stp>
        <stp>3</stp>
        <stp>600067</stp>
        <stp>12/31/2018</stp>
        <stp>1</stp>
        <tr r="K1911" s="1"/>
      </tp>
      <tp>
        <v>0.53984860540000001</v>
        <stp/>
        <stp>EM_S_FA_ASSETSTURN</stp>
        <stp>3</stp>
        <stp>000707</stp>
        <stp>12/31/2018</stp>
        <stp>1</stp>
        <tr r="K3517" s="1"/>
      </tp>
      <tp>
        <v>0.82921711747000004</v>
        <stp/>
        <stp>EM_S_FA_ASSETSTURN</stp>
        <stp>3</stp>
        <stp>300737</stp>
        <stp>12/31/2018</stp>
        <stp>1</stp>
        <tr r="K983" s="1"/>
      </tp>
      <tp>
        <v>0.40691249406399999</v>
        <stp/>
        <stp>EM_S_FA_ASSETSTURN</stp>
        <stp>3</stp>
        <stp>600767</stp>
        <stp>12/31/2018</stp>
        <stp>1</stp>
        <tr r="K2211" s="1"/>
      </tp>
      <tp>
        <v>0.54255310146500002</v>
        <stp/>
        <stp>EM_S_FA_ASSETSTURN</stp>
        <stp>3</stp>
        <stp>000607</stp>
        <stp>12/31/2018</stp>
        <stp>1</stp>
        <tr r="K3480" s="1"/>
      </tp>
      <tp>
        <v>0.72577775168699998</v>
        <stp/>
        <stp>EM_S_FA_ASSETSTURN</stp>
        <stp>3</stp>
        <stp>300637</stp>
        <stp>12/31/2018</stp>
        <stp>1</stp>
        <tr r="K3365" s="1"/>
      </tp>
      <tp>
        <v>0.90177181744000001</v>
        <stp/>
        <stp>EM_S_FA_ASSETSTURN</stp>
        <stp>3</stp>
        <stp>600667</stp>
        <stp>12/31/2018</stp>
        <stp>1</stp>
        <tr r="K398" s="1"/>
      </tp>
      <tp>
        <v>0.41006552049799999</v>
        <stp/>
        <stp>EM_S_FA_ASSETSTURN</stp>
        <stp>3</stp>
        <stp>000507</stp>
        <stp>12/31/2018</stp>
        <stp>1</stp>
        <tr r="K2637" s="1"/>
      </tp>
      <tp>
        <v>0.380315822631</v>
        <stp/>
        <stp>EM_S_FA_ASSETSTURN</stp>
        <stp>3</stp>
        <stp>300537</stp>
        <stp>12/31/2018</stp>
        <stp>1</stp>
        <tr r="K142" s="1"/>
      </tp>
      <tp>
        <v>0.77554816700100004</v>
        <stp/>
        <stp>EM_S_FA_ASSETSTURN</stp>
        <stp>3</stp>
        <stp>600567</stp>
        <stp>12/31/2018</stp>
        <stp>1</stp>
        <tr r="K1183" s="1"/>
      </tp>
      <tp>
        <v>0.81515800987999998</v>
        <stp/>
        <stp>EM_S_FA_ASSETSTURN</stp>
        <stp>3</stp>
        <stp>000407</stp>
        <stp>12/31/2018</stp>
        <stp>1</stp>
        <tr r="K2601" s="1"/>
      </tp>
      <tp>
        <v>0.48922328226799999</v>
        <stp/>
        <stp>EM_S_FA_ASSETSTURN</stp>
        <stp>3</stp>
        <stp>300437</stp>
        <stp>12/31/2018</stp>
        <stp>1</stp>
        <tr r="K2786" s="1"/>
      </tp>
      <tp>
        <v>0.19570815290599999</v>
        <stp/>
        <stp>EM_S_FA_ASSETSTURN</stp>
        <stp>3</stp>
        <stp>600467</stp>
        <stp>12/31/2018</stp>
        <stp>1</stp>
        <tr r="K2199" s="1"/>
      </tp>
      <tp>
        <v>0.76235679734100004</v>
        <stp/>
        <stp>EM_S_FA_ASSETSTURN</stp>
        <stp>3</stp>
        <stp>603367</stp>
        <stp>12/31/2018</stp>
        <stp>1</stp>
        <tr r="K1963" s="1"/>
      </tp>
      <tp>
        <v>0.355959692085</v>
        <stp/>
        <stp>EM_S_FA_ASSETSTURN</stp>
        <stp>3</stp>
        <stp>603167</stp>
        <stp>12/31/2018</stp>
        <stp>1</stp>
        <tr r="K1235" s="1"/>
      </tp>
      <tp>
        <v>1.089434611475</v>
        <stp/>
        <stp>EM_S_FA_ASSETSTURN</stp>
        <stp>3</stp>
        <stp>603067</stp>
        <stp>12/31/2018</stp>
        <stp>1</stp>
        <tr r="K3099" s="1"/>
      </tp>
      <tp>
        <v>0.488000495087</v>
        <stp/>
        <stp>EM_S_FA_ASSETSTURN</stp>
        <stp>3</stp>
        <stp>603767</stp>
        <stp>12/31/2018</stp>
        <stp>1</stp>
        <tr r="K1821" s="1"/>
      </tp>
      <tp>
        <v>0.58590883475900002</v>
        <stp/>
        <stp>EM_S_FA_ASSETSTURN</stp>
        <stp>3</stp>
        <stp>603667</stp>
        <stp>12/31/2018</stp>
        <stp>1</stp>
        <tr r="K1247" s="1"/>
      </tp>
      <tp>
        <v>0.369743189089</v>
        <stp/>
        <stp>EM_S_FA_ASSETSTURN</stp>
        <stp>3</stp>
        <stp>603567</stp>
        <stp>12/31/2018</stp>
        <stp>1</stp>
        <tr r="K2492" s="1"/>
      </tp>
      <tp>
        <v>0.710959384443</v>
        <stp/>
        <stp>EM_S_FA_ASSETSTURN</stp>
        <stp>3</stp>
        <stp>002907</stp>
        <stp>12/31/2018</stp>
        <stp>1</stp>
        <tr r="K2905" s="1"/>
      </tp>
      <tp>
        <v>0</v>
        <stp/>
        <stp>EM_S_FA_ASSETSTURN</stp>
        <stp>3</stp>
        <stp>002807</stp>
        <stp>12/31/2018</stp>
        <stp>1</stp>
        <tr r="K2715" s="1"/>
      </tp>
      <tp>
        <v>0.48386524311200002</v>
        <stp/>
        <stp>EM_S_FA_ASSETSTURN</stp>
        <stp>3</stp>
        <stp>002307</stp>
        <stp>12/31/2018</stp>
        <stp>1</stp>
        <tr r="K1740" s="1"/>
      </tp>
      <tp>
        <v>0.45168701149099999</v>
        <stp/>
        <stp>EM_S_FA_ASSETSTURN</stp>
        <stp>3</stp>
        <stp>002207</stp>
        <stp>12/31/2018</stp>
        <stp>1</stp>
        <tr r="K968" s="1"/>
      </tp>
      <tp>
        <v>0.87117222646100001</v>
        <stp/>
        <stp>EM_S_FA_ASSETSTURN</stp>
        <stp>3</stp>
        <stp>002107</stp>
        <stp>12/31/2018</stp>
        <stp>1</stp>
        <tr r="K1136" s="1"/>
      </tp>
      <tp>
        <v>0.54931666448799998</v>
        <stp/>
        <stp>EM_S_FA_ASSETSTURN</stp>
        <stp>3</stp>
        <stp>002007</stp>
        <stp>12/31/2018</stp>
        <stp>1</stp>
        <tr r="K2145" s="1"/>
      </tp>
      <tp>
        <v>2.3443215729069999</v>
        <stp/>
        <stp>EM_S_FA_ASSETSTURN</stp>
        <stp>3</stp>
        <stp>002707</stp>
        <stp>12/31/2018</stp>
        <stp>1</stp>
        <tr r="K2368" s="1"/>
      </tp>
      <tp>
        <v>1.054443762265</v>
        <stp/>
        <stp>EM_S_FA_ASSETSTURN</stp>
        <stp>3</stp>
        <stp>002607</stp>
        <stp>12/31/2018</stp>
        <stp>1</stp>
        <tr r="K95" s="1"/>
      </tp>
      <tp>
        <v>0.70088640697899995</v>
        <stp/>
        <stp>EM_S_FA_ASSETSTURN</stp>
        <stp>3</stp>
        <stp>002507</stp>
        <stp>12/31/2018</stp>
        <stp>1</stp>
        <tr r="K1166" s="1"/>
      </tp>
      <tp>
        <v>0.51930450666399997</v>
        <stp/>
        <stp>EM_S_FA_ASSETSTURN</stp>
        <stp>3</stp>
        <stp>002407</stp>
        <stp>12/31/2018</stp>
        <stp>1</stp>
        <tr r="K1316" s="1"/>
      </tp>
      <tp>
        <v>0.26009157952077416</v>
        <stp/>
        <stp>EM_S_RATIO_EPS_TTM</stp>
        <stp>3</stp>
        <stp>300180</stp>
        <stp>12/31/2018</stp>
        <stp>1</stp>
        <tr r="U3053" s="1"/>
      </tp>
      <tp>
        <v>-0.58571836329845106</v>
        <stp/>
        <stp>EM_S_RATIO_EPS_TTM</stp>
        <stp>3</stp>
        <stp>300080</stp>
        <stp>12/31/2018</stp>
        <stp>1</stp>
        <tr r="U1199" s="1"/>
      </tp>
      <tp>
        <v>0.21257919513969731</v>
        <stp/>
        <stp>EM_S_RATIO_EPS_TTM</stp>
        <stp>3</stp>
        <stp>300380</stp>
        <stp>12/31/2018</stp>
        <stp>1</stp>
        <tr r="U1006" s="1"/>
      </tp>
      <tp>
        <v>0.53698211686623332</v>
        <stp/>
        <stp>EM_S_RATIO_EPS_TTM</stp>
        <stp>3</stp>
        <stp>300280</stp>
        <stp>12/31/2018</stp>
        <stp>1</stp>
        <tr r="U3363" s="1"/>
      </tp>
      <tp>
        <v>0.79389277200000008</v>
        <stp/>
        <stp>EM_S_RATIO_EPS_TTM</stp>
        <stp>3</stp>
        <stp>300580</stp>
        <stp>12/31/2018</stp>
        <stp>1</stp>
        <tr r="U1402" s="1"/>
      </tp>
      <tp>
        <v>0.22021537758175261</v>
        <stp/>
        <stp>EM_S_RATIO_EPS_TTM</stp>
        <stp>3</stp>
        <stp>300480</stp>
        <stp>12/31/2018</stp>
        <stp>1</stp>
        <tr r="U213" s="1"/>
      </tp>
      <tp>
        <v>5.1500974644704503E-2</v>
        <stp/>
        <stp>EM_S_RATIO_EPS_TTM</stp>
        <stp>3</stp>
        <stp>300680</stp>
        <stp>12/31/2018</stp>
        <stp>1</stp>
        <tr r="U910" s="1"/>
      </tp>
      <tp>
        <v>6.4956685082000004E-2</v>
        <stp/>
        <stp>EM_S_FA_ASSETSTURN</stp>
        <stp>3</stp>
        <stp>600864</stp>
        <stp>12/31/2018</stp>
        <stp>1</stp>
        <tr r="K222" s="1"/>
      </tp>
      <tp>
        <v>0.233329233064</v>
        <stp/>
        <stp>EM_S_FA_ASSETSTURN</stp>
        <stp>3</stp>
        <stp>300334</stp>
        <stp>12/31/2018</stp>
        <stp>1</stp>
        <tr r="K2828" s="1"/>
      </tp>
      <tp>
        <v>0.241189512134</v>
        <stp/>
        <stp>EM_S_FA_ASSETSTURN</stp>
        <stp>3</stp>
        <stp>300234</stp>
        <stp>12/31/2018</stp>
        <stp>1</stp>
        <tr r="K173" s="1"/>
      </tp>
      <tp>
        <v>0.26523324071299997</v>
        <stp/>
        <stp>EM_S_FA_ASSETSTURN</stp>
        <stp>3</stp>
        <stp>300134</stp>
        <stp>12/31/2018</stp>
        <stp>1</stp>
        <tr r="K367" s="1"/>
      </tp>
      <tp>
        <v>1.1834062122669999</v>
        <stp/>
        <stp>EM_S_FA_ASSETSTURN</stp>
        <stp>3</stp>
        <stp>000004</stp>
        <stp>12/31/2018</stp>
        <stp>1</stp>
        <tr r="K715" s="1"/>
      </tp>
      <tp>
        <v>0.39821431566299997</v>
        <stp/>
        <stp>EM_S_FA_ASSETSTURN</stp>
        <stp>3</stp>
        <stp>300034</stp>
        <stp>12/31/2018</stp>
        <stp>1</stp>
        <tr r="K226" s="1"/>
      </tp>
      <tp>
        <v>0.13148793362</v>
        <stp/>
        <stp>EM_S_FA_ASSETSTURN</stp>
        <stp>3</stp>
        <stp>600064</stp>
        <stp>12/31/2018</stp>
        <stp>1</stp>
        <tr r="K1144" s="1"/>
      </tp>
      <tp>
        <v>0.22700843107400001</v>
        <stp/>
        <stp>EM_S_FA_ASSETSTURN</stp>
        <stp>3</stp>
        <stp>600764</stp>
        <stp>12/31/2018</stp>
        <stp>1</stp>
        <tr r="K1185" s="1"/>
      </tp>
      <tp>
        <v>0.56869259162300001</v>
        <stp/>
        <stp>EM_S_FA_ASSETSTURN</stp>
        <stp>3</stp>
        <stp>300634</stp>
        <stp>12/31/2018</stp>
        <stp>1</stp>
        <tr r="K3171" s="1"/>
      </tp>
      <tp>
        <v>0.84480580786500004</v>
        <stp/>
        <stp>EM_S_FA_ASSETSTURN</stp>
        <stp>3</stp>
        <stp>600664</stp>
        <stp>12/31/2018</stp>
        <stp>1</stp>
        <tr r="K2644" s="1"/>
      </tp>
      <tp>
        <v>0.25520815289900001</v>
        <stp/>
        <stp>EM_S_FA_ASSETSTURN</stp>
        <stp>3</stp>
        <stp>000504</stp>
        <stp>12/31/2018</stp>
        <stp>1</stp>
        <tr r="K3431" s="1"/>
      </tp>
      <tp>
        <v>0.26034474912900002</v>
        <stp/>
        <stp>EM_S_FA_ASSETSTURN</stp>
        <stp>3</stp>
        <stp>300534</stp>
        <stp>12/31/2018</stp>
        <stp>1</stp>
        <tr r="K2141" s="1"/>
      </tp>
      <tp>
        <v>0.88787907030799995</v>
        <stp/>
        <stp>EM_S_FA_ASSETSTURN</stp>
        <stp>3</stp>
        <stp>000404</stp>
        <stp>12/31/2018</stp>
        <stp>1</stp>
        <tr r="K2194" s="1"/>
      </tp>
      <tp>
        <v>0.307216890347</v>
        <stp/>
        <stp>EM_S_FA_ASSETSTURN</stp>
        <stp>3</stp>
        <stp>300434</stp>
        <stp>12/31/2018</stp>
        <stp>1</stp>
        <tr r="K2981" s="1"/>
      </tp>
      <tp>
        <v>0.520562491771</v>
        <stp/>
        <stp>EM_S_FA_ASSETSTURN</stp>
        <stp>3</stp>
        <stp>002304</stp>
        <stp>12/31/2018</stp>
        <stp>1</stp>
        <tr r="K1400" s="1"/>
      </tp>
      <tp>
        <v>0.427268886056</v>
        <stp/>
        <stp>EM_S_FA_ASSETSTURN</stp>
        <stp>3</stp>
        <stp>002204</stp>
        <stp>12/31/2018</stp>
        <stp>1</stp>
        <tr r="K1806" s="1"/>
      </tp>
      <tp>
        <v>0.76189858345499994</v>
        <stp/>
        <stp>EM_S_FA_ASSETSTURN</stp>
        <stp>3</stp>
        <stp>002104</stp>
        <stp>12/31/2018</stp>
        <stp>1</stp>
        <tr r="K962" s="1"/>
      </tp>
      <tp>
        <v>0.38006237030000001</v>
        <stp/>
        <stp>EM_S_FA_ASSETSTURN</stp>
        <stp>3</stp>
        <stp>002004</stp>
        <stp>12/31/2018</stp>
        <stp>1</stp>
        <tr r="K1958" s="1"/>
      </tp>
      <tp>
        <v>0.30857700670499999</v>
        <stp/>
        <stp>EM_S_FA_ASSETSTURN</stp>
        <stp>3</stp>
        <stp>002604</stp>
        <stp>12/31/2018</stp>
        <stp>1</stp>
        <tr r="K1363" s="1"/>
      </tp>
      <tp>
        <v>0.30325781699299997</v>
        <stp/>
        <stp>EM_S_FA_ASSETSTURN</stp>
        <stp>3</stp>
        <stp>002504</stp>
        <stp>12/31/2018</stp>
        <stp>1</stp>
        <tr r="K2893" s="1"/>
      </tp>
      <tp>
        <v>1.147332572092</v>
        <stp/>
        <stp>EM_S_FA_ASSETSTURN</stp>
        <stp>3</stp>
        <stp>002404</stp>
        <stp>12/31/2018</stp>
        <stp>1</stp>
        <tr r="K1312" s="1"/>
      </tp>
      <tp>
        <v>0.38008404772978016</v>
        <stp/>
        <stp>EM_S_RATIO_EPS_TTM</stp>
        <stp>3</stp>
        <stp>300183</stp>
        <stp>12/31/2018</stp>
        <stp>1</stp>
        <tr r="U1047" s="1"/>
      </tp>
      <tp>
        <v>-2.001578760099648</v>
        <stp/>
        <stp>EM_S_RATIO_EPS_TTM</stp>
        <stp>3</stp>
        <stp>300083</stp>
        <stp>12/31/2018</stp>
        <stp>1</stp>
        <tr r="U377" s="1"/>
      </tp>
      <tp>
        <v>0.43350189451341653</v>
        <stp/>
        <stp>EM_S_RATIO_EPS_TTM</stp>
        <stp>3</stp>
        <stp>300383</stp>
        <stp>12/31/2018</stp>
        <stp>1</stp>
        <tr r="U447" s="1"/>
      </tp>
      <tp>
        <v>5.0612043811518619E-2</v>
        <stp/>
        <stp>EM_S_RATIO_EPS_TTM</stp>
        <stp>3</stp>
        <stp>300283</stp>
        <stp>12/31/2018</stp>
        <stp>1</stp>
        <tr r="U2236" s="1"/>
      </tp>
      <tp>
        <v>1.1746468347460941</v>
        <stp/>
        <stp>EM_S_RATIO_EPS_TTM</stp>
        <stp>3</stp>
        <stp>300583</stp>
        <stp>12/31/2018</stp>
        <stp>1</stp>
        <tr r="U2080" s="1"/>
      </tp>
      <tp>
        <v>9.1265758536585376E-2</v>
        <stp/>
        <stp>EM_S_RATIO_EPS_TTM</stp>
        <stp>3</stp>
        <stp>300483</stp>
        <stp>12/31/2018</stp>
        <stp>1</stp>
        <tr r="U1094" s="1"/>
      </tp>
      <tp>
        <v>0.91081910809574451</v>
        <stp/>
        <stp>EM_S_RATIO_EPS_TTM</stp>
        <stp>3</stp>
        <stp>300683</stp>
        <stp>12/31/2018</stp>
        <stp>1</stp>
        <tr r="U1867" s="1"/>
      </tp>
      <tp>
        <v>0.50705872139800001</v>
        <stp/>
        <stp>EM_S_FA_ASSETSTURN</stp>
        <stp>3</stp>
        <stp>601965</stp>
        <stp>12/31/2018</stp>
        <stp>1</stp>
        <tr r="K1351" s="1"/>
      </tp>
      <tp>
        <v>1.6099029503769999</v>
        <stp/>
        <stp>EM_S_FA_ASSETSTURN</stp>
        <stp>3</stp>
        <stp>000905</stp>
        <stp>12/31/2018</stp>
        <stp>1</stp>
        <tr r="K3570" s="1"/>
      </tp>
      <tp>
        <v>0.55644215708800004</v>
        <stp/>
        <stp>EM_S_FA_ASSETSTURN</stp>
        <stp>3</stp>
        <stp>600965</stp>
        <stp>12/31/2018</stp>
        <stp>1</stp>
        <tr r="K3222" s="1"/>
      </tp>
      <tp>
        <v>0</v>
        <stp/>
        <stp>EM_S_FA_ASSETSTURN</stp>
        <stp>3</stp>
        <stp>000805</stp>
        <stp>12/31/2018</stp>
        <stp>1</stp>
        <tr r="K3544" s="1"/>
      </tp>
      <tp>
        <v>0.38368049964200002</v>
        <stp/>
        <stp>EM_S_FA_ASSETSTURN</stp>
        <stp>3</stp>
        <stp>600865</stp>
        <stp>12/31/2018</stp>
        <stp>1</stp>
        <tr r="K1563" s="1"/>
      </tp>
      <tp>
        <v>0.52098672966500004</v>
        <stp/>
        <stp>EM_S_FA_ASSETSTURN</stp>
        <stp>3</stp>
        <stp>300335</stp>
        <stp>12/31/2018</stp>
        <stp>1</stp>
        <tr r="K2659" s="1"/>
      </tp>
      <tp>
        <v>0.88634983112099996</v>
        <stp/>
        <stp>EM_S_FA_ASSETSTURN</stp>
        <stp>3</stp>
        <stp>600365</stp>
        <stp>12/31/2018</stp>
        <stp>1</stp>
        <tr r="K1502" s="1"/>
      </tp>
      <tp>
        <v>0.17394918133000001</v>
        <stp/>
        <stp>EM_S_FA_ASSETSTURN</stp>
        <stp>3</stp>
        <stp>300235</stp>
        <stp>12/31/2018</stp>
        <stp>1</stp>
        <tr r="K431" s="1"/>
      </tp>
      <tp>
        <v>0.343572109706</v>
        <stp/>
        <stp>EM_S_FA_ASSETSTURN</stp>
        <stp>3</stp>
        <stp>600265</stp>
        <stp>12/31/2018</stp>
        <stp>1</stp>
        <tr r="K2743" s="1"/>
      </tp>
      <tp>
        <v>0.68066314154100005</v>
        <stp/>
        <stp>EM_S_FA_ASSETSTURN</stp>
        <stp>3</stp>
        <stp>300135</stp>
        <stp>12/31/2018</stp>
        <stp>1</stp>
        <tr r="K2372" s="1"/>
      </tp>
      <tp>
        <v>0.24648162852700001</v>
        <stp/>
        <stp>EM_S_FA_ASSETSTURN</stp>
        <stp>3</stp>
        <stp>600165</stp>
        <stp>12/31/2018</stp>
        <stp>1</stp>
        <tr r="K3077" s="1"/>
      </tp>
      <tp>
        <v>0.16115988834100001</v>
        <stp/>
        <stp>EM_S_FA_ASSETSTURN</stp>
        <stp>3</stp>
        <stp>000005</stp>
        <stp>12/31/2018</stp>
        <stp>1</stp>
        <tr r="K1466" s="1"/>
      </tp>
      <tp>
        <v>0.36142557648399998</v>
        <stp/>
        <stp>EM_S_FA_ASSETSTURN</stp>
        <stp>3</stp>
        <stp>300035</stp>
        <stp>12/31/2018</stp>
        <stp>1</stp>
        <tr r="K263" s="1"/>
      </tp>
      <tp>
        <v>0.93565500436100002</v>
        <stp/>
        <stp>EM_S_FA_ASSETSTURN</stp>
        <stp>3</stp>
        <stp>600065</stp>
        <stp>12/31/2018</stp>
        <stp>1</stp>
        <tr r="K2289" s="1"/>
      </tp>
      <tp>
        <v>1.37030079568</v>
        <stp/>
        <stp>EM_S_FA_ASSETSTURN</stp>
        <stp>3</stp>
        <stp>000705</stp>
        <stp>12/31/2018</stp>
        <stp>1</stp>
        <tr r="K1817" s="1"/>
      </tp>
      <tp>
        <v>0.80063296320599997</v>
        <stp/>
        <stp>EM_S_FA_ASSETSTURN</stp>
        <stp>3</stp>
        <stp>300735</stp>
        <stp>12/31/2018</stp>
        <stp>1</stp>
        <tr r="K394" s="1"/>
      </tp>
      <tp>
        <v>0.44151255519600002</v>
        <stp/>
        <stp>EM_S_FA_ASSETSTURN</stp>
        <stp>3</stp>
        <stp>600765</stp>
        <stp>12/31/2018</stp>
        <stp>1</stp>
        <tr r="K867" s="1"/>
      </tp>
      <tp>
        <v>0.26118377510599999</v>
        <stp/>
        <stp>EM_S_FA_ASSETSTURN</stp>
        <stp>3</stp>
        <stp>000605</stp>
        <stp>12/31/2018</stp>
        <stp>1</stp>
        <tr r="K3479" s="1"/>
      </tp>
      <tp>
        <v>0.57829728028600003</v>
        <stp/>
        <stp>EM_S_FA_ASSETSTURN</stp>
        <stp>3</stp>
        <stp>300635</stp>
        <stp>12/31/2018</stp>
        <stp>1</stp>
        <tr r="K3011" s="1"/>
      </tp>
      <tp>
        <v>0.243272650078</v>
        <stp/>
        <stp>EM_S_FA_ASSETSTURN</stp>
        <stp>3</stp>
        <stp>600665</stp>
        <stp>12/31/2018</stp>
        <stp>1</stp>
        <tr r="K2096" s="1"/>
      </tp>
      <tp>
        <v>1.3471707219069999</v>
        <stp/>
        <stp>EM_S_FA_ASSETSTURN</stp>
        <stp>3</stp>
        <stp>000505</stp>
        <stp>12/31/2018</stp>
        <stp>1</stp>
        <tr r="K3432" s="1"/>
      </tp>
      <tp>
        <v>0.473344847565</v>
        <stp/>
        <stp>EM_S_FA_ASSETSTURN</stp>
        <stp>3</stp>
        <stp>300535</stp>
        <stp>12/31/2018</stp>
        <stp>1</stp>
        <tr r="K1948" s="1"/>
      </tp>
      <tp>
        <v>0.27474363341899999</v>
        <stp/>
        <stp>EM_S_FA_ASSETSTURN</stp>
        <stp>3</stp>
        <stp>600565</stp>
        <stp>12/31/2018</stp>
        <stp>1</stp>
        <tr r="K845" s="1"/>
      </tp>
      <tp>
        <v>0.19260906938200001</v>
        <stp/>
        <stp>EM_S_FA_ASSETSTURN</stp>
        <stp>3</stp>
        <stp>000405</stp>
        <stp>12/31/2018</stp>
        <stp>1</stp>
        <tr r="K3416" s="1"/>
      </tp>
      <tp>
        <v>0.43605300654700002</v>
        <stp/>
        <stp>EM_S_FA_ASSETSTURN</stp>
        <stp>3</stp>
        <stp>300435</stp>
        <stp>12/31/2018</stp>
        <stp>1</stp>
        <tr r="K1794" s="1"/>
      </tp>
      <tp>
        <v>1.0071929289429999</v>
        <stp/>
        <stp>EM_S_FA_ASSETSTURN</stp>
        <stp>3</stp>
        <stp>603365</stp>
        <stp>12/31/2018</stp>
        <stp>1</stp>
        <tr r="K2148" s="1"/>
      </tp>
      <tp>
        <v>1.4933135333159999</v>
        <stp/>
        <stp>EM_S_FA_ASSETSTURN</stp>
        <stp>3</stp>
        <stp>603165</stp>
        <stp>12/31/2018</stp>
        <stp>1</stp>
        <tr r="K1558" s="1"/>
      </tp>
      <tp>
        <v>0.72997759304400001</v>
        <stp/>
        <stp>EM_S_FA_ASSETSTURN</stp>
        <stp>3</stp>
        <stp>603665</stp>
        <stp>12/31/2018</stp>
        <stp>1</stp>
        <tr r="K3001" s="1"/>
      </tp>
      <tp>
        <v>0.67471033945400005</v>
        <stp/>
        <stp>EM_S_FA_ASSETSTURN</stp>
        <stp>3</stp>
        <stp>002905</stp>
        <stp>12/31/2018</stp>
        <stp>1</stp>
        <tr r="K980" s="1"/>
      </tp>
      <tp>
        <v>0.34523903969500003</v>
        <stp/>
        <stp>EM_S_FA_ASSETSTURN</stp>
        <stp>3</stp>
        <stp>002805</stp>
        <stp>12/31/2018</stp>
        <stp>1</stp>
        <tr r="K3062" s="1"/>
      </tp>
      <tp>
        <v>0.17149651797000001</v>
        <stp/>
        <stp>EM_S_FA_ASSETSTURN</stp>
        <stp>3</stp>
        <stp>002305</stp>
        <stp>12/31/2018</stp>
        <stp>1</stp>
        <tr r="K3140" s="1"/>
      </tp>
      <tp>
        <v>0.27195023333000001</v>
        <stp/>
        <stp>EM_S_FA_ASSETSTURN</stp>
        <stp>3</stp>
        <stp>002205</stp>
        <stp>12/31/2018</stp>
        <stp>1</stp>
        <tr r="K1137" s="1"/>
      </tp>
      <tp>
        <v>0.96659667929199999</v>
        <stp/>
        <stp>EM_S_FA_ASSETSTURN</stp>
        <stp>3</stp>
        <stp>002105</stp>
        <stp>12/31/2018</stp>
        <stp>1</stp>
        <tr r="K3636" s="1"/>
      </tp>
      <tp>
        <v>0.37022866447199998</v>
        <stp/>
        <stp>EM_S_FA_ASSETSTURN</stp>
        <stp>3</stp>
        <stp>002005</stp>
        <stp>12/31/2018</stp>
        <stp>1</stp>
        <tr r="K3604" s="1"/>
      </tp>
      <tp>
        <v>1.2252692348800001</v>
        <stp/>
        <stp>EM_S_FA_ASSETSTURN</stp>
        <stp>3</stp>
        <stp>002705</stp>
        <stp>12/31/2018</stp>
        <stp>1</stp>
        <tr r="K240" s="1"/>
      </tp>
      <tp>
        <v>0.40925770041699999</v>
        <stp/>
        <stp>EM_S_FA_ASSETSTURN</stp>
        <stp>3</stp>
        <stp>002605</stp>
        <stp>12/31/2018</stp>
        <stp>1</stp>
        <tr r="K74" s="1"/>
      </tp>
      <tp>
        <v>0.912416651814</v>
        <stp/>
        <stp>EM_S_FA_ASSETSTURN</stp>
        <stp>3</stp>
        <stp>002505</stp>
        <stp>12/31/2018</stp>
        <stp>1</stp>
        <tr r="K1975" s="1"/>
      </tp>
      <tp>
        <v>0.22443006188</v>
        <stp/>
        <stp>EM_S_FA_ASSETSTURN</stp>
        <stp>3</stp>
        <stp>002405</stp>
        <stp>12/31/2018</stp>
        <stp>1</stp>
        <tr r="K1559" s="1"/>
      </tp>
      <tp>
        <v>3.6367477681768075E-2</v>
        <stp/>
        <stp>EM_S_RATIO_EPS_TTM</stp>
        <stp>3</stp>
        <stp>300182</stp>
        <stp>12/31/2018</stp>
        <stp>1</stp>
        <tr r="U3029" s="1"/>
      </tp>
      <tp>
        <v>0.47845007572864029</v>
        <stp/>
        <stp>EM_S_RATIO_EPS_TTM</stp>
        <stp>3</stp>
        <stp>300082</stp>
        <stp>12/31/2018</stp>
        <stp>1</stp>
        <tr r="U2238" s="1"/>
      </tp>
      <tp>
        <v>0.24284808317149098</v>
        <stp/>
        <stp>EM_S_RATIO_EPS_TTM</stp>
        <stp>3</stp>
        <stp>300382</stp>
        <stp>12/31/2018</stp>
        <stp>1</stp>
        <tr r="U2351" s="1"/>
      </tp>
      <tp>
        <v>0.45605903192871861</v>
        <stp/>
        <stp>EM_S_RATIO_EPS_TTM</stp>
        <stp>3</stp>
        <stp>300282</stp>
        <stp>12/31/2018</stp>
        <stp>1</stp>
        <tr r="U3268" s="1"/>
      </tp>
      <tp>
        <v>0.34812685713812463</v>
        <stp/>
        <stp>EM_S_RATIO_EPS_TTM</stp>
        <stp>3</stp>
        <stp>300582</stp>
        <stp>12/31/2018</stp>
        <stp>1</stp>
        <tr r="U1308" s="1"/>
      </tp>
      <tp>
        <v>0.8973930771563976</v>
        <stp/>
        <stp>EM_S_RATIO_EPS_TTM</stp>
        <stp>3</stp>
        <stp>300482</stp>
        <stp>12/31/2018</stp>
        <stp>1</stp>
        <tr r="U183" s="1"/>
      </tp>
      <tp>
        <v>0.31145555501452288</v>
        <stp/>
        <stp>EM_S_RATIO_EPS_TTM</stp>
        <stp>3</stp>
        <stp>300682</stp>
        <stp>12/31/2018</stp>
        <stp>1</stp>
        <tr r="U782" s="1"/>
      </tp>
      <tp>
        <v>0.29244458459799999</v>
        <stp/>
        <stp>EM_S_FA_ASSETSTURN</stp>
        <stp>3</stp>
        <stp>601918</stp>
        <stp>12/31/2018</stp>
        <stp>1</stp>
        <tr r="K1915" s="1"/>
      </tp>
      <tp>
        <v>0</v>
        <stp/>
        <stp>EM_S_FA_ASSETSTURN</stp>
        <stp>3</stp>
        <stp>601818</stp>
        <stp>12/31/2018</stp>
        <stp>1</stp>
        <tr r="K1342" s="1"/>
      </tp>
      <tp>
        <v>0</v>
        <stp/>
        <stp>EM_S_FA_ASSETSTURN</stp>
        <stp>3</stp>
        <stp>601318</stp>
        <stp>12/31/2018</stp>
        <stp>1</stp>
        <tr r="K516" s="1"/>
      </tp>
      <tp>
        <v>0.29612525086199998</v>
        <stp/>
        <stp>EM_S_FA_ASSETSTURN</stp>
        <stp>3</stp>
        <stp>601218</stp>
        <stp>12/31/2018</stp>
        <stp>1</stp>
        <tr r="K1106" s="1"/>
      </tp>
      <tp>
        <v>0.47733606737399997</v>
        <stp/>
        <stp>EM_S_FA_ASSETSTURN</stp>
        <stp>3</stp>
        <stp>601118</stp>
        <stp>12/31/2018</stp>
        <stp>1</stp>
        <tr r="K1724" s="1"/>
      </tp>
      <tp>
        <v>0.32216598417699999</v>
        <stp/>
        <stp>EM_S_FA_ASSETSTURN</stp>
        <stp>3</stp>
        <stp>601018</stp>
        <stp>12/31/2018</stp>
        <stp>1</stp>
        <tr r="K1529" s="1"/>
      </tp>
      <tp>
        <v>0.718713366352</v>
        <stp/>
        <stp>EM_S_FA_ASSETSTURN</stp>
        <stp>3</stp>
        <stp>601718</stp>
        <stp>12/31/2018</stp>
        <stp>1</stp>
        <tr r="K2524" s="1"/>
      </tp>
      <tp>
        <v>0.67847911607400002</v>
        <stp/>
        <stp>EM_S_FA_ASSETSTURN</stp>
        <stp>3</stp>
        <stp>601618</stp>
        <stp>12/31/2018</stp>
        <stp>1</stp>
        <tr r="K2782" s="1"/>
      </tp>
      <tp>
        <v>0.13122549808699999</v>
        <stp/>
        <stp>EM_S_FA_ASSETSTURN</stp>
        <stp>3</stp>
        <stp>601518</stp>
        <stp>12/31/2018</stp>
        <stp>1</stp>
        <tr r="K2183" s="1"/>
      </tp>
      <tp>
        <v>0.20652282867800001</v>
        <stp/>
        <stp>EM_S_FA_ASSETSTURN</stp>
        <stp>3</stp>
        <stp>000978</stp>
        <stp>12/31/2018</stp>
        <stp>1</stp>
        <tr r="K2177" s="1"/>
      </tp>
      <tp>
        <v>1.479442662364</v>
        <stp/>
        <stp>EM_S_FA_ASSETSTURN</stp>
        <stp>3</stp>
        <stp>000878</stp>
        <stp>12/31/2018</stp>
        <stp>1</stp>
        <tr r="K3560" s="1"/>
      </tp>
      <tp>
        <v>0.50695181982600002</v>
        <stp/>
        <stp>EM_S_FA_ASSETSTURN</stp>
        <stp>3</stp>
        <stp>600818</stp>
        <stp>12/31/2018</stp>
        <stp>1</stp>
        <tr r="K1647" s="1"/>
      </tp>
      <tp>
        <v>0.66100144090500002</v>
        <stp/>
        <stp>EM_S_FA_ASSETSTURN</stp>
        <stp>3</stp>
        <stp>300348</stp>
        <stp>12/31/2018</stp>
        <stp>1</stp>
        <tr r="K1093" s="1"/>
      </tp>
      <tp>
        <v>8.8952012999999996E-2</v>
        <stp/>
        <stp>EM_S_FA_ASSETSTURN</stp>
        <stp>3</stp>
        <stp>600318</stp>
        <stp>12/31/2018</stp>
        <stp>1</stp>
        <tr r="K2381" s="1"/>
      </tp>
      <tp>
        <v>0.40393593052600002</v>
        <stp/>
        <stp>EM_S_FA_ASSETSTURN</stp>
        <stp>3</stp>
        <stp>300248</stp>
        <stp>12/31/2018</stp>
        <stp>1</stp>
        <tr r="K1276" s="1"/>
      </tp>
      <tp>
        <v>0.94717545522400004</v>
        <stp/>
        <stp>EM_S_FA_ASSETSTURN</stp>
        <stp>3</stp>
        <stp>600218</stp>
        <stp>12/31/2018</stp>
        <stp>1</stp>
        <tr r="K83" s="1"/>
      </tp>
      <tp>
        <v>0.26232059311799999</v>
        <stp/>
        <stp>EM_S_FA_ASSETSTURN</stp>
        <stp>3</stp>
        <stp>300148</stp>
        <stp>12/31/2018</stp>
        <stp>1</stp>
        <tr r="K2790" s="1"/>
      </tp>
      <tp>
        <v>0.75171610393699995</v>
        <stp/>
        <stp>EM_S_FA_ASSETSTURN</stp>
        <stp>3</stp>
        <stp>600118</stp>
        <stp>12/31/2018</stp>
        <stp>1</stp>
        <tr r="K1129" s="1"/>
      </tp>
      <tp>
        <v>1.066267731687</v>
        <stp/>
        <stp>EM_S_FA_ASSETSTURN</stp>
        <stp>3</stp>
        <stp>000078</stp>
        <stp>12/31/2018</stp>
        <stp>1</stp>
        <tr r="K1064" s="1"/>
      </tp>
      <tp>
        <v>0.272933613741</v>
        <stp/>
        <stp>EM_S_FA_ASSETSTURN</stp>
        <stp>3</stp>
        <stp>300048</stp>
        <stp>12/31/2018</stp>
        <stp>1</stp>
        <tr r="K2355" s="1"/>
      </tp>
      <tp>
        <v>0.26575577181299997</v>
        <stp/>
        <stp>EM_S_FA_ASSETSTURN</stp>
        <stp>3</stp>
        <stp>600018</stp>
        <stp>12/31/2018</stp>
        <stp>1</stp>
        <tr r="K1725" s="1"/>
      </tp>
      <tp>
        <v>0.80395744490400001</v>
        <stp/>
        <stp>EM_S_FA_ASSETSTURN</stp>
        <stp>3</stp>
        <stp>000778</stp>
        <stp>12/31/2018</stp>
        <stp>1</stp>
        <tr r="K3535" s="1"/>
      </tp>
      <tp>
        <v>0.54139397945199996</v>
        <stp/>
        <stp>EM_S_FA_ASSETSTURN</stp>
        <stp>3</stp>
        <stp>600718</stp>
        <stp>12/31/2018</stp>
        <stp>1</stp>
        <tr r="K2488" s="1"/>
      </tp>
      <tp>
        <v>0.53650669302599996</v>
        <stp/>
        <stp>EM_S_FA_ASSETSTURN</stp>
        <stp>3</stp>
        <stp>000678</stp>
        <stp>12/31/2018</stp>
        <stp>1</stp>
        <tr r="K3505" s="1"/>
      </tp>
      <tp>
        <v>0.447626799716</v>
        <stp/>
        <stp>EM_S_FA_ASSETSTURN</stp>
        <stp>3</stp>
        <stp>300648</stp>
        <stp>12/31/2018</stp>
        <stp>1</stp>
        <tr r="K2494" s="1"/>
      </tp>
      <tp>
        <v>1.492340529022</v>
        <stp/>
        <stp>EM_S_FA_ASSETSTURN</stp>
        <stp>3</stp>
        <stp>600618</stp>
        <stp>12/31/2018</stp>
        <stp>1</stp>
        <tr r="K1601" s="1"/>
      </tp>
      <tp>
        <v>0</v>
        <stp/>
        <stp>EM_S_FA_ASSETSTURN</stp>
        <stp>3</stp>
        <stp>000578</stp>
        <stp>12/31/2018</stp>
        <stp>1</stp>
        <tr r="K3464" s="1"/>
      </tp>
      <tp>
        <v>0.39154350327999998</v>
        <stp/>
        <stp>EM_S_FA_ASSETSTURN</stp>
        <stp>3</stp>
        <stp>300548</stp>
        <stp>12/31/2018</stp>
        <stp>1</stp>
        <tr r="K199" s="1"/>
      </tp>
      <tp>
        <v>0.27005565427900002</v>
        <stp/>
        <stp>EM_S_FA_ASSETSTURN</stp>
        <stp>3</stp>
        <stp>600518</stp>
        <stp>12/31/2018</stp>
        <stp>1</stp>
        <tr r="K3393" s="1"/>
      </tp>
      <tp>
        <v>0.51720680784899997</v>
        <stp/>
        <stp>EM_S_FA_ASSETSTURN</stp>
        <stp>3</stp>
        <stp>300448</stp>
        <stp>12/31/2018</stp>
        <stp>1</stp>
        <tr r="K3181" s="1"/>
      </tp>
      <tp>
        <v>1.0904273744770001</v>
        <stp/>
        <stp>EM_S_FA_ASSETSTURN</stp>
        <stp>3</stp>
        <stp>600418</stp>
        <stp>12/31/2018</stp>
        <stp>1</stp>
        <tr r="K2111" s="1"/>
      </tp>
      <tp>
        <v>0.78564486011400003</v>
        <stp/>
        <stp>EM_S_FA_ASSETSTURN</stp>
        <stp>3</stp>
        <stp>603918</stp>
        <stp>12/31/2018</stp>
        <stp>1</stp>
        <tr r="K2585" s="1"/>
      </tp>
      <tp>
        <v>0.61587018963399998</v>
        <stp/>
        <stp>EM_S_FA_ASSETSTURN</stp>
        <stp>3</stp>
        <stp>603818</stp>
        <stp>12/31/2018</stp>
        <stp>1</stp>
        <tr r="K1096" s="1"/>
      </tp>
      <tp>
        <v>0.21424431868800001</v>
        <stp/>
        <stp>EM_S_FA_ASSETSTURN</stp>
        <stp>3</stp>
        <stp>603318</stp>
        <stp>12/31/2018</stp>
        <stp>1</stp>
        <tr r="K2674" s="1"/>
      </tp>
      <tp>
        <v>0.60556639508900001</v>
        <stp/>
        <stp>EM_S_FA_ASSETSTURN</stp>
        <stp>3</stp>
        <stp>603218</stp>
        <stp>12/31/2018</stp>
        <stp>1</stp>
        <tr r="K1213" s="1"/>
      </tp>
      <tp>
        <v>1.087610190633</v>
        <stp/>
        <stp>EM_S_FA_ASSETSTURN</stp>
        <stp>3</stp>
        <stp>603118</stp>
        <stp>12/31/2018</stp>
        <stp>1</stp>
        <tr r="K261" s="1"/>
      </tp>
      <tp>
        <v>0.69812117183699995</v>
        <stp/>
        <stp>EM_S_FA_ASSETSTURN</stp>
        <stp>3</stp>
        <stp>603018</stp>
        <stp>12/31/2018</stp>
        <stp>1</stp>
        <tr r="K3325" s="1"/>
      </tp>
      <tp>
        <v>0.15196593196200001</v>
        <stp/>
        <stp>EM_S_FA_ASSETSTURN</stp>
        <stp>3</stp>
        <stp>603718</stp>
        <stp>12/31/2018</stp>
        <stp>1</stp>
        <tr r="K2359" s="1"/>
      </tp>
      <tp>
        <v>0.83269005341199998</v>
        <stp/>
        <stp>EM_S_FA_ASSETSTURN</stp>
        <stp>3</stp>
        <stp>603618</stp>
        <stp>12/31/2018</stp>
        <stp>1</stp>
        <tr r="K2025" s="1"/>
      </tp>
      <tp>
        <v>0.46553287504300001</v>
        <stp/>
        <stp>EM_S_FA_ASSETSTURN</stp>
        <stp>3</stp>
        <stp>603518</stp>
        <stp>12/31/2018</stp>
        <stp>1</stp>
        <tr r="K3366" s="1"/>
      </tp>
      <tp>
        <v>1.22266723721</v>
        <stp/>
        <stp>EM_S_FA_ASSETSTURN</stp>
        <stp>3</stp>
        <stp>002878</stp>
        <stp>12/31/2018</stp>
        <stp>1</stp>
        <tr r="K1941" s="1"/>
      </tp>
      <tp>
        <v>0.491749863008</v>
        <stp/>
        <stp>EM_S_FA_ASSETSTURN</stp>
        <stp>3</stp>
        <stp>002378</stp>
        <stp>12/31/2018</stp>
        <stp>1</stp>
        <tr r="K1552" s="1"/>
      </tp>
      <tp>
        <v>0.43693666411499998</v>
        <stp/>
        <stp>EM_S_FA_ASSETSTURN</stp>
        <stp>3</stp>
        <stp>002278</stp>
        <stp>12/31/2018</stp>
        <stp>1</stp>
        <tr r="K2576" s="1"/>
      </tp>
      <tp>
        <v>0.53638533249099996</v>
        <stp/>
        <stp>EM_S_FA_ASSETSTURN</stp>
        <stp>3</stp>
        <stp>002178</stp>
        <stp>12/31/2018</stp>
        <stp>1</stp>
        <tr r="K1588" s="1"/>
      </tp>
      <tp>
        <v>0.78332590035100003</v>
        <stp/>
        <stp>EM_S_FA_ASSETSTURN</stp>
        <stp>3</stp>
        <stp>002078</stp>
        <stp>12/31/2018</stp>
        <stp>1</stp>
        <tr r="K275" s="1"/>
      </tp>
      <tp>
        <v>0.91362967746900003</v>
        <stp/>
        <stp>EM_S_FA_ASSETSTURN</stp>
        <stp>3</stp>
        <stp>002778</stp>
        <stp>12/31/2018</stp>
        <stp>1</stp>
        <tr r="K1331" s="1"/>
      </tp>
      <tp>
        <v>0.46210301756200001</v>
        <stp/>
        <stp>EM_S_FA_ASSETSTURN</stp>
        <stp>3</stp>
        <stp>002678</stp>
        <stp>12/31/2018</stp>
        <stp>1</stp>
        <tr r="K697" s="1"/>
      </tp>
      <tp>
        <v>0.83681001502100005</v>
        <stp/>
        <stp>EM_S_FA_ASSETSTURN</stp>
        <stp>3</stp>
        <stp>002578</stp>
        <stp>12/31/2018</stp>
        <stp>1</stp>
        <tr r="K1903" s="1"/>
      </tp>
      <tp>
        <v>0.88847202618300003</v>
        <stp/>
        <stp>EM_S_FA_ASSETSTURN</stp>
        <stp>3</stp>
        <stp>002478</stp>
        <stp>12/31/2018</stp>
        <stp>1</stp>
        <tr r="K1021" s="1"/>
      </tp>
      <tp>
        <v>0.233588003012</v>
        <stp/>
        <stp>EM_S_FA_ASSETSTURN</stp>
        <stp>3</stp>
        <stp>001979</stp>
        <stp>12/31/2018</stp>
        <stp>1</stp>
        <tr r="K1473" s="1"/>
      </tp>
      <tp>
        <v>0.66879724803200002</v>
        <stp/>
        <stp>EM_S_FA_ASSETSTURN</stp>
        <stp>3</stp>
        <stp>601919</stp>
        <stp>12/31/2018</stp>
        <stp>1</stp>
        <tr r="K933" s="1"/>
      </tp>
      <tp>
        <v>0.66856780564100005</v>
        <stp/>
        <stp>EM_S_FA_ASSETSTURN</stp>
        <stp>3</stp>
        <stp>601019</stp>
        <stp>12/31/2018</stp>
        <stp>1</stp>
        <tr r="K2814" s="1"/>
      </tp>
      <tp>
        <v>0.12068620891200001</v>
        <stp/>
        <stp>EM_S_FA_ASSETSTURN</stp>
        <stp>3</stp>
        <stp>601619</stp>
        <stp>12/31/2018</stp>
        <stp>1</stp>
        <tr r="K3015" s="1"/>
      </tp>
      <tp>
        <v>0.29442164184500003</v>
        <stp/>
        <stp>EM_S_FA_ASSETSTURN</stp>
        <stp>3</stp>
        <stp>601519</stp>
        <stp>12/31/2018</stp>
        <stp>1</stp>
        <tr r="K99" s="1"/>
      </tp>
      <tp>
        <v>0</v>
        <stp/>
        <stp>EM_S_FA_ASSETSTURN</stp>
        <stp>3</stp>
        <stp>000979</stp>
        <stp>12/31/2018</stp>
        <stp>1</stp>
        <tr r="K3592" s="1"/>
      </tp>
      <tp>
        <v>0</v>
        <stp/>
        <stp>EM_S_FA_ASSETSTURN</stp>
        <stp>3</stp>
        <stp>600919</stp>
        <stp>12/31/2018</stp>
        <stp>1</stp>
        <tr r="K1245" s="1"/>
      </tp>
      <tp>
        <v>0.53914260172100004</v>
        <stp/>
        <stp>EM_S_FA_ASSETSTURN</stp>
        <stp>3</stp>
        <stp>600819</stp>
        <stp>12/31/2018</stp>
        <stp>1</stp>
        <tr r="K1023" s="1"/>
      </tp>
      <tp>
        <v>0.47479644860999998</v>
        <stp/>
        <stp>EM_S_FA_ASSETSTURN</stp>
        <stp>3</stp>
        <stp>300349</stp>
        <stp>12/31/2018</stp>
        <stp>1</stp>
        <tr r="K2578" s="1"/>
      </tp>
      <tp>
        <v>1.4366778827919999</v>
        <stp/>
        <stp>EM_S_FA_ASSETSTURN</stp>
        <stp>3</stp>
        <stp>600319</stp>
        <stp>12/31/2018</stp>
        <stp>1</stp>
        <tr r="K2240" s="1"/>
      </tp>
      <tp>
        <v>0.50316976288699999</v>
        <stp/>
        <stp>EM_S_FA_ASSETSTURN</stp>
        <stp>3</stp>
        <stp>300249</stp>
        <stp>12/31/2018</stp>
        <stp>1</stp>
        <tr r="K2557" s="1"/>
      </tp>
      <tp>
        <v>0.41127499493500003</v>
        <stp/>
        <stp>EM_S_FA_ASSETSTURN</stp>
        <stp>3</stp>
        <stp>600219</stp>
        <stp>12/31/2018</stp>
        <stp>1</stp>
        <tr r="K1916" s="1"/>
      </tp>
      <tp>
        <v>0.45408470590799999</v>
        <stp/>
        <stp>EM_S_FA_ASSETSTURN</stp>
        <stp>3</stp>
        <stp>300149</stp>
        <stp>12/31/2018</stp>
        <stp>1</stp>
        <tr r="K2776" s="1"/>
      </tp>
      <tp>
        <v>0.56085897246799998</v>
        <stp/>
        <stp>EM_S_FA_ASSETSTURN</stp>
        <stp>3</stp>
        <stp>600119</stp>
        <stp>12/31/2018</stp>
        <stp>1</stp>
        <tr r="K3176" s="1"/>
      </tp>
      <tp>
        <v>0.37397436320799998</v>
        <stp/>
        <stp>EM_S_FA_ASSETSTURN</stp>
        <stp>3</stp>
        <stp>300049</stp>
        <stp>12/31/2018</stp>
        <stp>1</stp>
        <tr r="K3166" s="1"/>
      </tp>
      <tp>
        <v>0.89062122381499997</v>
        <stp/>
        <stp>EM_S_FA_ASSETSTURN</stp>
        <stp>3</stp>
        <stp>600019</stp>
        <stp>12/31/2018</stp>
        <stp>1</stp>
        <tr r="K2815" s="1"/>
      </tp>
      <tp>
        <v>0.84999178530300001</v>
        <stp/>
        <stp>EM_S_FA_ASSETSTURN</stp>
        <stp>3</stp>
        <stp>000779</stp>
        <stp>12/31/2018</stp>
        <stp>1</stp>
        <tr r="K1367" s="1"/>
      </tp>
      <tp>
        <v>0.401422702114</v>
        <stp/>
        <stp>EM_S_FA_ASSETSTURN</stp>
        <stp>3</stp>
        <stp>600719</stp>
        <stp>12/31/2018</stp>
        <stp>1</stp>
        <tr r="K1059" s="1"/>
      </tp>
      <tp>
        <v>0.18701044845600001</v>
        <stp/>
        <stp>EM_S_FA_ASSETSTURN</stp>
        <stp>3</stp>
        <stp>000679</stp>
        <stp>12/31/2018</stp>
        <stp>1</stp>
        <tr r="K3506" s="1"/>
      </tp>
      <tp>
        <v>1.173520629407</v>
        <stp/>
        <stp>EM_S_FA_ASSETSTURN</stp>
        <stp>3</stp>
        <stp>300649</stp>
        <stp>12/31/2018</stp>
        <stp>1</stp>
        <tr r="K3039" s="1"/>
      </tp>
      <tp>
        <v>0.83704345074599995</v>
        <stp/>
        <stp>EM_S_FA_ASSETSTURN</stp>
        <stp>3</stp>
        <stp>600619</stp>
        <stp>12/31/2018</stp>
        <stp>1</stp>
        <tr r="K2513" s="1"/>
      </tp>
      <tp>
        <v>0.50332650051200001</v>
        <stp/>
        <stp>EM_S_FA_ASSETSTURN</stp>
        <stp>3</stp>
        <stp>300549</stp>
        <stp>12/31/2018</stp>
        <stp>1</stp>
        <tr r="K1330" s="1"/>
      </tp>
      <tp>
        <v>0.52435118706399997</v>
        <stp/>
        <stp>EM_S_FA_ASSETSTURN</stp>
        <stp>3</stp>
        <stp>600519</stp>
        <stp>12/31/2018</stp>
        <stp>1</stp>
        <tr r="K160" s="1"/>
      </tp>
      <tp>
        <v>0.258781737116</v>
        <stp/>
        <stp>EM_S_FA_ASSETSTURN</stp>
        <stp>3</stp>
        <stp>300449</stp>
        <stp>12/31/2018</stp>
        <stp>1</stp>
        <tr r="K3249" s="1"/>
      </tp>
      <tp>
        <v>0.90354369754300001</v>
        <stp/>
        <stp>EM_S_FA_ASSETSTURN</stp>
        <stp>3</stp>
        <stp>600419</stp>
        <stp>12/31/2018</stp>
        <stp>1</stp>
        <tr r="K2434" s="1"/>
      </tp>
      <tp>
        <v>0.58106964469300004</v>
        <stp/>
        <stp>EM_S_FA_ASSETSTURN</stp>
        <stp>3</stp>
        <stp>603919</stp>
        <stp>12/31/2018</stp>
        <stp>1</stp>
        <tr r="K540" s="1"/>
      </tp>
      <tp>
        <v>0.88861943649200004</v>
        <stp/>
        <stp>EM_S_FA_ASSETSTURN</stp>
        <stp>3</stp>
        <stp>603819</stp>
        <stp>12/31/2018</stp>
        <stp>1</stp>
        <tr r="K2892" s="1"/>
      </tp>
      <tp>
        <v>0.733682081672</v>
        <stp/>
        <stp>EM_S_FA_ASSETSTURN</stp>
        <stp>3</stp>
        <stp>603319</stp>
        <stp>12/31/2018</stp>
        <stp>1</stp>
        <tr r="K2802" s="1"/>
      </tp>
      <tp>
        <v>0.77892696954700003</v>
        <stp/>
        <stp>EM_S_FA_ASSETSTURN</stp>
        <stp>3</stp>
        <stp>603019</stp>
        <stp>12/31/2018</stp>
        <stp>1</stp>
        <tr r="K2496" s="1"/>
      </tp>
      <tp>
        <v>0.34631541500000002</v>
        <stp/>
        <stp>EM_S_FA_ASSETSTURN</stp>
        <stp>3</stp>
        <stp>603619</stp>
        <stp>12/31/2018</stp>
        <stp>1</stp>
        <tr r="K2734" s="1"/>
      </tp>
      <tp>
        <v>1.354711363007</v>
        <stp/>
        <stp>EM_S_FA_ASSETSTURN</stp>
        <stp>3</stp>
        <stp>603519</stp>
        <stp>12/31/2018</stp>
        <stp>1</stp>
        <tr r="K531" s="1"/>
      </tp>
      <tp>
        <v>0.396129163018</v>
        <stp/>
        <stp>EM_S_FA_ASSETSTURN</stp>
        <stp>3</stp>
        <stp>002879</stp>
        <stp>12/31/2018</stp>
        <stp>1</stp>
        <tr r="K1221" s="1"/>
      </tp>
      <tp>
        <v>1.1004626459119999</v>
        <stp/>
        <stp>EM_S_FA_ASSETSTURN</stp>
        <stp>3</stp>
        <stp>002379</stp>
        <stp>12/31/2018</stp>
        <stp>1</stp>
        <tr r="K881" s="1"/>
      </tp>
      <tp>
        <v>0.68135252924599998</v>
        <stp/>
        <stp>EM_S_FA_ASSETSTURN</stp>
        <stp>3</stp>
        <stp>002279</stp>
        <stp>12/31/2018</stp>
        <stp>1</stp>
        <tr r="K2897" s="1"/>
      </tp>
      <tp>
        <v>0.670437576526</v>
        <stp/>
        <stp>EM_S_FA_ASSETSTURN</stp>
        <stp>3</stp>
        <stp>002179</stp>
        <stp>12/31/2018</stp>
        <stp>1</stp>
        <tr r="K1453" s="1"/>
      </tp>
      <tp>
        <v>0.934397482364</v>
        <stp/>
        <stp>EM_S_FA_ASSETSTURN</stp>
        <stp>3</stp>
        <stp>002079</stp>
        <stp>12/31/2018</stp>
        <stp>1</stp>
        <tr r="K84" s="1"/>
      </tp>
      <tp>
        <v>0.50150934542799996</v>
        <stp/>
        <stp>EM_S_FA_ASSETSTURN</stp>
        <stp>3</stp>
        <stp>002779</stp>
        <stp>12/31/2018</stp>
        <stp>1</stp>
        <tr r="K2173" s="1"/>
      </tp>
      <tp>
        <v>9.9498571554999998E-2</v>
        <stp/>
        <stp>EM_S_FA_ASSETSTURN</stp>
        <stp>3</stp>
        <stp>002679</stp>
        <stp>12/31/2018</stp>
        <stp>1</stp>
        <tr r="K2584" s="1"/>
      </tp>
      <tp>
        <v>0.79144334096900004</v>
        <stp/>
        <stp>EM_S_FA_ASSETSTURN</stp>
        <stp>3</stp>
        <stp>002579</stp>
        <stp>12/31/2018</stp>
        <stp>1</stp>
        <tr r="K396" s="1"/>
      </tp>
      <tp>
        <v>0.55005563585299999</v>
        <stp/>
        <stp>EM_S_FA_ASSETSTURN</stp>
        <stp>3</stp>
        <stp>002479</stp>
        <stp>12/31/2018</stp>
        <stp>1</stp>
        <tr r="K445" s="1"/>
      </tp>
      <tp>
        <v>1.3367868680049999</v>
        <stp/>
        <stp>EM_S_FA_ASSETSTURN</stp>
        <stp>3</stp>
        <stp>601212</stp>
        <stp>12/31/2018</stp>
        <stp>1</stp>
        <tr r="K1088" s="1"/>
      </tp>
      <tp>
        <v>0.60619582329900001</v>
        <stp/>
        <stp>EM_S_FA_ASSETSTURN</stp>
        <stp>3</stp>
        <stp>601012</stp>
        <stp>12/31/2018</stp>
        <stp>1</stp>
        <tr r="K682" s="1"/>
      </tp>
      <tp>
        <v>0.35069250858099998</v>
        <stp/>
        <stp>EM_S_FA_ASSETSTURN</stp>
        <stp>3</stp>
        <stp>000972</stp>
        <stp>12/31/2018</stp>
        <stp>1</stp>
        <tr r="K3590" s="1"/>
      </tp>
      <tp>
        <v>0.52547575293600002</v>
        <stp/>
        <stp>EM_S_FA_ASSETSTURN</stp>
        <stp>3</stp>
        <stp>600812</stp>
        <stp>12/31/2018</stp>
        <stp>1</stp>
        <tr r="K107" s="1"/>
      </tp>
      <tp>
        <v>0.40533163903000002</v>
        <stp/>
        <stp>EM_S_FA_ASSETSTURN</stp>
        <stp>3</stp>
        <stp>300342</stp>
        <stp>12/31/2018</stp>
        <stp>1</stp>
        <tr r="K861" s="1"/>
      </tp>
      <tp>
        <v>0.51875609623899999</v>
        <stp/>
        <stp>EM_S_FA_ASSETSTURN</stp>
        <stp>3</stp>
        <stp>600312</stp>
        <stp>12/31/2018</stp>
        <stp>1</stp>
        <tr r="K3067" s="1"/>
      </tp>
      <tp>
        <v>2.2838170008560001</v>
        <stp/>
        <stp>EM_S_FA_ASSETSTURN</stp>
        <stp>3</stp>
        <stp>300242</stp>
        <stp>12/31/2018</stp>
        <stp>1</stp>
        <tr r="K2537" s="1"/>
      </tp>
      <tp>
        <v>0.34733342303300002</v>
        <stp/>
        <stp>EM_S_FA_ASSETSTURN</stp>
        <stp>3</stp>
        <stp>600212</stp>
        <stp>12/31/2018</stp>
        <stp>1</stp>
        <tr r="K2006" s="1"/>
      </tp>
      <tp>
        <v>0.13407233571300001</v>
        <stp/>
        <stp>EM_S_FA_ASSETSTURN</stp>
        <stp>3</stp>
        <stp>300142</stp>
        <stp>12/31/2018</stp>
        <stp>1</stp>
        <tr r="K360" s="1"/>
      </tp>
      <tp>
        <v>0.19413940272800001</v>
        <stp/>
        <stp>EM_S_FA_ASSETSTURN</stp>
        <stp>3</stp>
        <stp>600112</stp>
        <stp>12/31/2018</stp>
        <stp>1</stp>
        <tr r="K3347" s="1"/>
      </tp>
      <tp>
        <v>0.991469102991</v>
        <stp/>
        <stp>EM_S_FA_ASSETSTURN</stp>
        <stp>3</stp>
        <stp>300042</stp>
        <stp>12/31/2018</stp>
        <stp>1</stp>
        <tr r="K1386" s="1"/>
      </tp>
      <tp>
        <v>0.204926003572</v>
        <stp/>
        <stp>EM_S_FA_ASSETSTURN</stp>
        <stp>3</stp>
        <stp>600012</stp>
        <stp>12/31/2018</stp>
        <stp>1</stp>
        <tr r="K2470" s="1"/>
      </tp>
      <tp>
        <v>0.23101359409200001</v>
        <stp/>
        <stp>EM_S_FA_ASSETSTURN</stp>
        <stp>3</stp>
        <stp>300742</stp>
        <stp>12/31/2018</stp>
        <stp>1</stp>
        <tr r="K3334" s="1"/>
      </tp>
      <tp>
        <v>0.99366006786200001</v>
        <stp/>
        <stp>EM_S_FA_ASSETSTURN</stp>
        <stp>3</stp>
        <stp>600712</stp>
        <stp>12/31/2018</stp>
        <stp>1</stp>
        <tr r="K59" s="1"/>
      </tp>
      <tp>
        <v>0.81670513390499999</v>
        <stp/>
        <stp>EM_S_FA_ASSETSTURN</stp>
        <stp>3</stp>
        <stp>000672</stp>
        <stp>12/31/2018</stp>
        <stp>1</stp>
        <tr r="K150" s="1"/>
      </tp>
      <tp>
        <v>0.35804371672000002</v>
        <stp/>
        <stp>EM_S_FA_ASSETSTURN</stp>
        <stp>3</stp>
        <stp>300642</stp>
        <stp>12/31/2018</stp>
        <stp>1</stp>
        <tr r="K1902" s="1"/>
      </tp>
      <tp>
        <v>3.0289898053390001</v>
        <stp/>
        <stp>EM_S_FA_ASSETSTURN</stp>
        <stp>3</stp>
        <stp>600612</stp>
        <stp>12/31/2018</stp>
        <stp>1</stp>
        <tr r="K2043" s="1"/>
      </tp>
      <tp>
        <v>0.388836745215</v>
        <stp/>
        <stp>EM_S_FA_ASSETSTURN</stp>
        <stp>3</stp>
        <stp>000572</stp>
        <stp>12/31/2018</stp>
        <stp>1</stp>
        <tr r="K3463" s="1"/>
      </tp>
      <tp>
        <v>0.81550448364999994</v>
        <stp/>
        <stp>EM_S_FA_ASSETSTURN</stp>
        <stp>3</stp>
        <stp>300542</stp>
        <stp>12/31/2018</stp>
        <stp>1</stp>
        <tr r="K1783" s="1"/>
      </tp>
      <tp>
        <v>0.31588197454099998</v>
        <stp/>
        <stp>EM_S_FA_ASSETSTURN</stp>
        <stp>3</stp>
        <stp>600512</stp>
        <stp>12/31/2018</stp>
        <stp>1</stp>
        <tr r="K947" s="1"/>
      </tp>
      <tp>
        <v>0.36518481841900002</v>
        <stp/>
        <stp>EM_S_FA_ASSETSTURN</stp>
        <stp>3</stp>
        <stp>300442</stp>
        <stp>12/31/2018</stp>
        <stp>1</stp>
        <tr r="K1232" s="1"/>
      </tp>
      <tp>
        <v>0.53601243344000005</v>
        <stp/>
        <stp>EM_S_FA_ASSETSTURN</stp>
        <stp>3</stp>
        <stp>603912</stp>
        <stp>12/31/2018</stp>
        <stp>1</stp>
        <tr r="K2116" s="1"/>
      </tp>
      <tp>
        <v>0.37954821704300001</v>
        <stp/>
        <stp>EM_S_FA_ASSETSTURN</stp>
        <stp>3</stp>
        <stp>603012</stp>
        <stp>12/31/2018</stp>
        <stp>1</stp>
        <tr r="K1606" s="1"/>
      </tp>
      <tp>
        <v>0.38977073777600002</v>
        <stp/>
        <stp>EM_S_FA_ASSETSTURN</stp>
        <stp>3</stp>
        <stp>603712</stp>
        <stp>12/31/2018</stp>
        <stp>1</stp>
        <tr r="K824" s="1"/>
      </tp>
      <tp>
        <v>0.64847275559100004</v>
        <stp/>
        <stp>EM_S_FA_ASSETSTURN</stp>
        <stp>3</stp>
        <stp>603612</stp>
        <stp>12/31/2018</stp>
        <stp>1</stp>
        <tr r="K2028" s="1"/>
      </tp>
      <tp>
        <v>0.447890659656</v>
        <stp/>
        <stp>EM_S_FA_ASSETSTURN</stp>
        <stp>3</stp>
        <stp>002872</stp>
        <stp>12/31/2018</stp>
        <stp>1</stp>
        <tr r="K3295" s="1"/>
      </tp>
      <tp>
        <v>1.0371192091929999</v>
        <stp/>
        <stp>EM_S_FA_ASSETSTURN</stp>
        <stp>3</stp>
        <stp>002372</stp>
        <stp>12/31/2018</stp>
        <stp>1</stp>
        <tr r="K2991" s="1"/>
      </tp>
      <tp>
        <v>0.39284687929099998</v>
        <stp/>
        <stp>EM_S_FA_ASSETSTURN</stp>
        <stp>3</stp>
        <stp>002272</stp>
        <stp>12/31/2018</stp>
        <stp>1</stp>
        <tr r="K1640" s="1"/>
      </tp>
      <tp>
        <v>0.78360659829900003</v>
        <stp/>
        <stp>EM_S_FA_ASSETSTURN</stp>
        <stp>3</stp>
        <stp>002172</stp>
        <stp>12/31/2018</stp>
        <stp>1</stp>
        <tr r="K2424" s="1"/>
      </tp>
      <tp>
        <v>4.4906171473000002E-2</v>
        <stp/>
        <stp>EM_S_FA_ASSETSTURN</stp>
        <stp>3</stp>
        <stp>002072</stp>
        <stp>12/31/2018</stp>
        <stp>1</stp>
        <tr r="K3624" s="1"/>
      </tp>
      <tp>
        <v>0.22593298217999999</v>
        <stp/>
        <stp>EM_S_FA_ASSETSTURN</stp>
        <stp>3</stp>
        <stp>002772</stp>
        <stp>12/31/2018</stp>
        <stp>1</stp>
        <tr r="K1906" s="1"/>
      </tp>
      <tp>
        <v>0.34597302843599997</v>
        <stp/>
        <stp>EM_S_FA_ASSETSTURN</stp>
        <stp>3</stp>
        <stp>002672</stp>
        <stp>12/31/2018</stp>
        <stp>1</stp>
        <tr r="K3093" s="1"/>
      </tp>
      <tp>
        <v>0.98318096671900002</v>
        <stp/>
        <stp>EM_S_FA_ASSETSTURN</stp>
        <stp>3</stp>
        <stp>002572</stp>
        <stp>12/31/2018</stp>
        <stp>1</stp>
        <tr r="K1070" s="1"/>
      </tp>
      <tp>
        <v>0.40889188448000002</v>
        <stp/>
        <stp>EM_S_FA_ASSETSTURN</stp>
        <stp>3</stp>
        <stp>002472</stp>
        <stp>12/31/2018</stp>
        <stp>1</stp>
        <tr r="K2553" s="1"/>
      </tp>
      <tp>
        <v>0.91327996694799995</v>
        <stp/>
        <stp>EM_S_FA_ASSETSTURN</stp>
        <stp>3</stp>
        <stp>601113</stp>
        <stp>12/31/2018</stp>
        <stp>1</stp>
        <tr r="K3390" s="1"/>
      </tp>
      <tp>
        <v>0.49427621573399999</v>
        <stp/>
        <stp>EM_S_FA_ASSETSTURN</stp>
        <stp>3</stp>
        <stp>000973</stp>
        <stp>12/31/2018</stp>
        <stp>1</stp>
        <tr r="K658" s="1"/>
      </tp>
      <tp>
        <v>8.97067956E-3</v>
        <stp/>
        <stp>EM_S_FA_ASSETSTURN</stp>
        <stp>3</stp>
        <stp>600813</stp>
        <stp>12/31/2018</stp>
        <stp>1</stp>
        <tr r="K2327" s="1"/>
      </tp>
      <tp>
        <v>0.71130406584100003</v>
        <stp/>
        <stp>EM_S_FA_ASSETSTURN</stp>
        <stp>3</stp>
        <stp>300343</stp>
        <stp>12/31/2018</stp>
        <stp>1</stp>
        <tr r="K3389" s="1"/>
      </tp>
      <tp>
        <v>1.0352034040339999</v>
        <stp/>
        <stp>EM_S_FA_ASSETSTURN</stp>
        <stp>3</stp>
        <stp>600313</stp>
        <stp>12/31/2018</stp>
        <stp>1</stp>
        <tr r="K1063" s="1"/>
      </tp>
      <tp>
        <v>1.494332281675</v>
        <stp/>
        <stp>EM_S_FA_ASSETSTURN</stp>
        <stp>3</stp>
        <stp>300243</stp>
        <stp>12/31/2018</stp>
        <stp>1</stp>
        <tr r="K2469" s="1"/>
      </tp>
      <tp>
        <v>0.49423708753599999</v>
        <stp/>
        <stp>EM_S_FA_ASSETSTURN</stp>
        <stp>3</stp>
        <stp>600213</stp>
        <stp>12/31/2018</stp>
        <stp>1</stp>
        <tr r="K668" s="1"/>
      </tp>
      <tp>
        <v>0.192614080923</v>
        <stp/>
        <stp>EM_S_FA_ASSETSTURN</stp>
        <stp>3</stp>
        <stp>300143</stp>
        <stp>12/31/2018</stp>
        <stp>1</stp>
        <tr r="K2121" s="1"/>
      </tp>
      <tp>
        <v>0.40523855059899999</v>
        <stp/>
        <stp>EM_S_FA_ASSETSTURN</stp>
        <stp>3</stp>
        <stp>600113</stp>
        <stp>12/31/2018</stp>
        <stp>1</stp>
        <tr r="K2268" s="1"/>
      </tp>
      <tp>
        <v>0.472605509486</v>
        <stp/>
        <stp>EM_S_FA_ASSETSTURN</stp>
        <stp>3</stp>
        <stp>300043</stp>
        <stp>12/31/2018</stp>
        <stp>1</stp>
        <tr r="K491" s="1"/>
      </tp>
      <tp>
        <v>1.0144991188020001</v>
        <stp/>
        <stp>EM_S_FA_ASSETSTURN</stp>
        <stp>3</stp>
        <stp>300743</stp>
        <stp>12/31/2018</stp>
        <stp>1</stp>
        <tr r="K3368" s="1"/>
      </tp>
      <tp>
        <v>1.764544898994</v>
        <stp/>
        <stp>EM_S_FA_ASSETSTURN</stp>
        <stp>3</stp>
        <stp>600713</stp>
        <stp>12/31/2018</stp>
        <stp>1</stp>
        <tr r="K1785" s="1"/>
      </tp>
      <tp>
        <v>0.26751656214000002</v>
        <stp/>
        <stp>EM_S_FA_ASSETSTURN</stp>
        <stp>3</stp>
        <stp>000673</stp>
        <stp>12/31/2018</stp>
        <stp>1</stp>
        <tr r="K3503" s="1"/>
      </tp>
      <tp>
        <v>0.62926722058499995</v>
        <stp/>
        <stp>EM_S_FA_ASSETSTURN</stp>
        <stp>3</stp>
        <stp>300643</stp>
        <stp>12/31/2018</stp>
        <stp>1</stp>
        <tr r="K149" s="1"/>
      </tp>
      <tp>
        <v>0.59556338267300002</v>
        <stp/>
        <stp>EM_S_FA_ASSETSTURN</stp>
        <stp>3</stp>
        <stp>600613</stp>
        <stp>12/31/2018</stp>
        <stp>1</stp>
        <tr r="K768" s="1"/>
      </tp>
      <tp>
        <v>0.28454522300399998</v>
        <stp/>
        <stp>EM_S_FA_ASSETSTURN</stp>
        <stp>3</stp>
        <stp>000573</stp>
        <stp>12/31/2018</stp>
        <stp>1</stp>
        <tr r="K2239" s="1"/>
      </tp>
      <tp>
        <v>1.1188237284760001</v>
        <stp/>
        <stp>EM_S_FA_ASSETSTURN</stp>
        <stp>3</stp>
        <stp>300543</stp>
        <stp>12/31/2018</stp>
        <stp>1</stp>
        <tr r="K759" s="1"/>
      </tp>
      <tp>
        <v>0.78872817971200004</v>
        <stp/>
        <stp>EM_S_FA_ASSETSTURN</stp>
        <stp>3</stp>
        <stp>600513</stp>
        <stp>12/31/2018</stp>
        <stp>1</stp>
        <tr r="K1324" s="1"/>
      </tp>
      <tp>
        <v>0.441798240605</v>
        <stp/>
        <stp>EM_S_FA_ASSETSTURN</stp>
        <stp>3</stp>
        <stp>300443</stp>
        <stp>12/31/2018</stp>
        <stp>1</stp>
        <tr r="K981" s="1"/>
      </tp>
      <tp>
        <v>1.110372908615</v>
        <stp/>
        <stp>EM_S_FA_ASSETSTURN</stp>
        <stp>3</stp>
        <stp>603813</stp>
        <stp>12/31/2018</stp>
        <stp>1</stp>
        <tr r="K2153" s="1"/>
      </tp>
      <tp>
        <v>1.072902537012</v>
        <stp/>
        <stp>EM_S_FA_ASSETSTURN</stp>
        <stp>3</stp>
        <stp>603313</stp>
        <stp>12/31/2018</stp>
        <stp>1</stp>
        <tr r="K2362" s="1"/>
      </tp>
      <tp>
        <v>1.456873037289</v>
        <stp/>
        <stp>EM_S_FA_ASSETSTURN</stp>
        <stp>3</stp>
        <stp>603113</stp>
        <stp>12/31/2018</stp>
        <stp>1</stp>
        <tr r="K2475" s="1"/>
      </tp>
      <tp>
        <v>1.3516485073760001</v>
        <stp/>
        <stp>EM_S_FA_ASSETSTURN</stp>
        <stp>3</stp>
        <stp>603013</stp>
        <stp>12/31/2018</stp>
        <stp>1</stp>
        <tr r="K2867" s="1"/>
      </tp>
      <tp>
        <v>0.75433581955100004</v>
        <stp/>
        <stp>EM_S_FA_ASSETSTURN</stp>
        <stp>3</stp>
        <stp>002873</stp>
        <stp>12/31/2018</stp>
        <stp>1</stp>
        <tr r="K2205" s="1"/>
      </tp>
      <tp>
        <v>0.719927086291</v>
        <stp/>
        <stp>EM_S_FA_ASSETSTURN</stp>
        <stp>3</stp>
        <stp>002373</stp>
        <stp>12/31/2018</stp>
        <stp>1</stp>
        <tr r="K379" s="1"/>
      </tp>
      <tp>
        <v>0.42951787080999998</v>
        <stp/>
        <stp>EM_S_FA_ASSETSTURN</stp>
        <stp>3</stp>
        <stp>002273</stp>
        <stp>12/31/2018</stp>
        <stp>1</stp>
        <tr r="K318" s="1"/>
      </tp>
      <tp>
        <v>0.23754066834900001</v>
        <stp/>
        <stp>EM_S_FA_ASSETSTURN</stp>
        <stp>3</stp>
        <stp>002173</stp>
        <stp>12/31/2018</stp>
        <stp>1</stp>
        <tr r="K2881" s="1"/>
      </tp>
      <tp>
        <v>0.32143697440199998</v>
        <stp/>
        <stp>EM_S_FA_ASSETSTURN</stp>
        <stp>3</stp>
        <stp>002073</stp>
        <stp>12/31/2018</stp>
        <stp>1</stp>
        <tr r="K3625" s="1"/>
      </tp>
      <tp>
        <v>0.59655101777200004</v>
        <stp/>
        <stp>EM_S_FA_ASSETSTURN</stp>
        <stp>3</stp>
        <stp>002773</stp>
        <stp>12/31/2018</stp>
        <stp>1</stp>
        <tr r="K1974" s="1"/>
      </tp>
      <tp>
        <v>0</v>
        <stp/>
        <stp>EM_S_FA_ASSETSTURN</stp>
        <stp>3</stp>
        <stp>002673</stp>
        <stp>12/31/2018</stp>
        <stp>1</stp>
        <tr r="K998" s="1"/>
      </tp>
      <tp>
        <v>0.34959289014400002</v>
        <stp/>
        <stp>EM_S_FA_ASSETSTURN</stp>
        <stp>3</stp>
        <stp>002573</stp>
        <stp>12/31/2018</stp>
        <stp>1</stp>
        <tr r="K2784" s="1"/>
      </tp>
      <tp>
        <v>0.38971907781800003</v>
        <stp/>
        <stp>EM_S_FA_ASSETSTURN</stp>
        <stp>3</stp>
        <stp>002473</stp>
        <stp>12/31/2018</stp>
        <stp>1</stp>
        <tr r="K797" s="1"/>
      </tp>
      <tp>
        <v>0.99528420438200005</v>
        <stp/>
        <stp>EM_S_FA_ASSETSTURN</stp>
        <stp>3</stp>
        <stp>601010</stp>
        <stp>12/31/2018</stp>
        <stp>1</stp>
        <tr r="K1981" s="1"/>
      </tp>
      <tp>
        <v>0.67083785362399995</v>
        <stp/>
        <stp>EM_S_FA_ASSETSTURN</stp>
        <stp>3</stp>
        <stp>000970</stp>
        <stp>12/31/2018</stp>
        <stp>1</stp>
        <tr r="K573" s="1"/>
      </tp>
      <tp>
        <v>1.0674716517880001</v>
        <stp/>
        <stp>EM_S_FA_ASSETSTURN</stp>
        <stp>3</stp>
        <stp>600810</stp>
        <stp>12/31/2018</stp>
        <stp>1</stp>
        <tr r="K3112" s="1"/>
      </tp>
      <tp>
        <v>0.623933984261</v>
        <stp/>
        <stp>EM_S_FA_ASSETSTURN</stp>
        <stp>3</stp>
        <stp>300340</stp>
        <stp>12/31/2018</stp>
        <stp>1</stp>
        <tr r="K2737" s="1"/>
      </tp>
      <tp>
        <v>0.87877228360799997</v>
        <stp/>
        <stp>EM_S_FA_ASSETSTURN</stp>
        <stp>3</stp>
        <stp>600310</stp>
        <stp>12/31/2018</stp>
        <stp>1</stp>
        <tr r="K1303" s="1"/>
      </tp>
      <tp>
        <v>1.372332891496</v>
        <stp/>
        <stp>EM_S_FA_ASSETSTURN</stp>
        <stp>3</stp>
        <stp>300240</stp>
        <stp>12/31/2018</stp>
        <stp>1</stp>
        <tr r="K2840" s="1"/>
      </tp>
      <tp>
        <v>0.88278628654299995</v>
        <stp/>
        <stp>EM_S_FA_ASSETSTURN</stp>
        <stp>3</stp>
        <stp>600210</stp>
        <stp>12/31/2018</stp>
        <stp>1</stp>
        <tr r="K2091" s="1"/>
      </tp>
      <tp>
        <v>0.39458988307499998</v>
        <stp/>
        <stp>EM_S_FA_ASSETSTURN</stp>
        <stp>3</stp>
        <stp>300140</stp>
        <stp>12/31/2018</stp>
        <stp>1</stp>
        <tr r="K1419" s="1"/>
      </tp>
      <tp>
        <v>0.34392246497000001</v>
        <stp/>
        <stp>EM_S_FA_ASSETSTURN</stp>
        <stp>3</stp>
        <stp>600110</stp>
        <stp>12/31/2018</stp>
        <stp>1</stp>
        <tr r="K1434" s="1"/>
      </tp>
      <tp>
        <v>0.83664635907499996</v>
        <stp/>
        <stp>EM_S_FA_ASSETSTURN</stp>
        <stp>3</stp>
        <stp>000070</stp>
        <stp>12/31/2018</stp>
        <stp>1</stp>
        <tr r="K228" s="1"/>
      </tp>
      <tp>
        <v>0.27258039275899998</v>
        <stp/>
        <stp>EM_S_FA_ASSETSTURN</stp>
        <stp>3</stp>
        <stp>300040</stp>
        <stp>12/31/2018</stp>
        <stp>1</stp>
        <tr r="K1626" s="1"/>
      </tp>
      <tp>
        <v>0.45482564269100001</v>
        <stp/>
        <stp>EM_S_FA_ASSETSTURN</stp>
        <stp>3</stp>
        <stp>600010</stp>
        <stp>12/31/2018</stp>
        <stp>1</stp>
        <tr r="K2792" s="1"/>
      </tp>
      <tp>
        <v>1.626687252163</v>
        <stp/>
        <stp>EM_S_FA_ASSETSTURN</stp>
        <stp>3</stp>
        <stp>300740</stp>
        <stp>12/31/2018</stp>
        <stp>1</stp>
        <tr r="K3353" s="1"/>
      </tp>
      <tp>
        <v>1.950547089968</v>
        <stp/>
        <stp>EM_S_FA_ASSETSTURN</stp>
        <stp>3</stp>
        <stp>600710</stp>
        <stp>12/31/2018</stp>
        <stp>1</stp>
        <tr r="K584" s="1"/>
      </tp>
      <tp>
        <v>0.28964913054199998</v>
        <stp/>
        <stp>EM_S_FA_ASSETSTURN</stp>
        <stp>3</stp>
        <stp>000670</stp>
        <stp>12/31/2018</stp>
        <stp>1</stp>
        <tr r="K3502" s="1"/>
      </tp>
      <tp>
        <v>1.5130096647469999</v>
        <stp/>
        <stp>EM_S_FA_ASSETSTURN</stp>
        <stp>3</stp>
        <stp>300640</stp>
        <stp>12/31/2018</stp>
        <stp>1</stp>
        <tr r="K2861" s="1"/>
      </tp>
      <tp>
        <v>0</v>
        <stp/>
        <stp>EM_S_FA_ASSETSTURN</stp>
        <stp>3</stp>
        <stp>600610</stp>
        <stp>12/31/2018</stp>
        <stp>1</stp>
        <tr r="K203" s="1"/>
      </tp>
      <tp>
        <v>0.58717822167</v>
        <stp/>
        <stp>EM_S_FA_ASSETSTURN</stp>
        <stp>3</stp>
        <stp>000570</stp>
        <stp>12/31/2018</stp>
        <stp>1</stp>
        <tr r="K3461" s="1"/>
      </tp>
      <tp>
        <v>0.343119469944</v>
        <stp/>
        <stp>EM_S_FA_ASSETSTURN</stp>
        <stp>3</stp>
        <stp>300540</stp>
        <stp>12/31/2018</stp>
        <stp>1</stp>
        <tr r="K1366" s="1"/>
      </tp>
      <tp>
        <v>0.27428243436299998</v>
        <stp/>
        <stp>EM_S_FA_ASSETSTURN</stp>
        <stp>3</stp>
        <stp>600510</stp>
        <stp>12/31/2018</stp>
        <stp>1</stp>
        <tr r="K1618" s="1"/>
      </tp>
      <tp>
        <v>0.28121196787000002</v>
        <stp/>
        <stp>EM_S_FA_ASSETSTURN</stp>
        <stp>3</stp>
        <stp>300440</stp>
        <stp>12/31/2018</stp>
        <stp>1</stp>
        <tr r="K675" s="1"/>
      </tp>
      <tp>
        <v>0.47104256137799999</v>
        <stp/>
        <stp>EM_S_FA_ASSETSTURN</stp>
        <stp>3</stp>
        <stp>600410</stp>
        <stp>12/31/2018</stp>
        <stp>1</stp>
        <tr r="K272" s="1"/>
      </tp>
      <tp>
        <v>0.53364435539099997</v>
        <stp/>
        <stp>EM_S_FA_ASSETSTURN</stp>
        <stp>3</stp>
        <stp>603110</stp>
        <stp>12/31/2018</stp>
        <stp>1</stp>
        <tr r="K453" s="1"/>
      </tp>
      <tp>
        <v>0.891851941797</v>
        <stp/>
        <stp>EM_S_FA_ASSETSTURN</stp>
        <stp>3</stp>
        <stp>603010</stp>
        <stp>12/31/2018</stp>
        <stp>1</stp>
        <tr r="K3049" s="1"/>
      </tp>
      <tp>
        <v>0.904486722854</v>
        <stp/>
        <stp>EM_S_FA_ASSETSTURN</stp>
        <stp>3</stp>
        <stp>002870</stp>
        <stp>12/31/2018</stp>
        <stp>1</stp>
        <tr r="K411" s="1"/>
      </tp>
      <tp>
        <v>0.434016956452</v>
        <stp/>
        <stp>EM_S_FA_ASSETSTURN</stp>
        <stp>3</stp>
        <stp>002370</stp>
        <stp>12/31/2018</stp>
        <stp>1</stp>
        <tr r="K3395" s="1"/>
      </tp>
      <tp>
        <v>0.32107511226399998</v>
        <stp/>
        <stp>EM_S_FA_ASSETSTURN</stp>
        <stp>3</stp>
        <stp>002270</stp>
        <stp>12/31/2018</stp>
        <stp>1</stp>
        <tr r="K2017" s="1"/>
      </tp>
      <tp>
        <v>0.56308749386800006</v>
        <stp/>
        <stp>EM_S_FA_ASSETSTURN</stp>
        <stp>3</stp>
        <stp>002170</stp>
        <stp>12/31/2018</stp>
        <stp>1</stp>
        <tr r="K1698" s="1"/>
      </tp>
      <tp>
        <v>0.11319285885700001</v>
        <stp/>
        <stp>EM_S_FA_ASSETSTURN</stp>
        <stp>3</stp>
        <stp>002070</stp>
        <stp>12/31/2018</stp>
        <stp>1</stp>
        <tr r="K3622" s="1"/>
      </tp>
      <tp>
        <v>0.41367591955799998</v>
        <stp/>
        <stp>EM_S_FA_ASSETSTURN</stp>
        <stp>3</stp>
        <stp>002770</stp>
        <stp>12/31/2018</stp>
        <stp>1</stp>
        <tr r="K2889" s="1"/>
      </tp>
      <tp>
        <v>0</v>
        <stp/>
        <stp>EM_S_FA_ASSETSTURN</stp>
        <stp>3</stp>
        <stp>002670</stp>
        <stp>12/31/2018</stp>
        <stp>1</stp>
        <tr r="K1233" s="1"/>
      </tp>
      <tp>
        <v>0.49313638559900003</v>
        <stp/>
        <stp>EM_S_FA_ASSETSTURN</stp>
        <stp>3</stp>
        <stp>002570</stp>
        <stp>12/31/2018</stp>
        <stp>1</stp>
        <tr r="K1926" s="1"/>
      </tp>
      <tp>
        <v>0.73232485136799996</v>
        <stp/>
        <stp>EM_S_FA_ASSETSTURN</stp>
        <stp>3</stp>
        <stp>002470</stp>
        <stp>12/31/2018</stp>
        <stp>1</stp>
        <tr r="K3391" s="1"/>
      </tp>
      <tp>
        <v>0.64021655832799995</v>
        <stp/>
        <stp>EM_S_FA_ASSETSTURN</stp>
        <stp>3</stp>
        <stp>601811</stp>
        <stp>12/31/2018</stp>
        <stp>1</stp>
        <tr r="K728" s="1"/>
      </tp>
      <tp>
        <v>0.91416219737100002</v>
        <stp/>
        <stp>EM_S_FA_ASSETSTURN</stp>
        <stp>3</stp>
        <stp>601311</stp>
        <stp>12/31/2018</stp>
        <stp>1</stp>
        <tr r="K1920" s="1"/>
      </tp>
      <tp>
        <v>0</v>
        <stp/>
        <stp>EM_S_FA_ASSETSTURN</stp>
        <stp>3</stp>
        <stp>601211</stp>
        <stp>12/31/2018</stp>
        <stp>1</stp>
        <tr r="K1188" s="1"/>
      </tp>
      <tp>
        <v>0.57056635024000002</v>
        <stp/>
        <stp>EM_S_FA_ASSETSTURN</stp>
        <stp>3</stp>
        <stp>601111</stp>
        <stp>12/31/2018</stp>
        <stp>1</stp>
        <tr r="K1102" s="1"/>
      </tp>
      <tp>
        <v>0.33623228439000002</v>
        <stp/>
        <stp>EM_S_FA_ASSETSTURN</stp>
        <stp>3</stp>
        <stp>601011</stp>
        <stp>12/31/2018</stp>
        <stp>1</stp>
        <tr r="K3003" s="1"/>
      </tp>
      <tp>
        <v>0.59700200572600004</v>
        <stp/>
        <stp>EM_S_FA_ASSETSTURN</stp>
        <stp>3</stp>
        <stp>601611</stp>
        <stp>12/31/2018</stp>
        <stp>1</stp>
        <tr r="K1819" s="1"/>
      </tp>
      <tp>
        <v>0.24794317831599999</v>
        <stp/>
        <stp>EM_S_FA_ASSETSTURN</stp>
        <stp>3</stp>
        <stp>000971</stp>
        <stp>12/31/2018</stp>
        <stp>1</stp>
        <tr r="K3589" s="1"/>
      </tp>
      <tp>
        <v>0.29730892451399998</v>
        <stp/>
        <stp>EM_S_FA_ASSETSTURN</stp>
        <stp>3</stp>
        <stp>600811</stp>
        <stp>12/31/2018</stp>
        <stp>1</stp>
        <tr r="K2690" s="1"/>
      </tp>
      <tp>
        <v>0.71632947127299995</v>
        <stp/>
        <stp>EM_S_FA_ASSETSTURN</stp>
        <stp>3</stp>
        <stp>300341</stp>
        <stp>12/31/2018</stp>
        <stp>1</stp>
        <tr r="K37" s="1"/>
      </tp>
      <tp>
        <v>8.9767434238000002E-2</v>
        <stp/>
        <stp>EM_S_FA_ASSETSTURN</stp>
        <stp>3</stp>
        <stp>600311</stp>
        <stp>12/31/2018</stp>
        <stp>1</stp>
        <tr r="K2820" s="1"/>
      </tp>
      <tp>
        <v>0.64928304357699995</v>
        <stp/>
        <stp>EM_S_FA_ASSETSTURN</stp>
        <stp>3</stp>
        <stp>300241</stp>
        <stp>12/31/2018</stp>
        <stp>1</stp>
        <tr r="K679" s="1"/>
      </tp>
      <tp>
        <v>0.42281315733199998</v>
        <stp/>
        <stp>EM_S_FA_ASSETSTURN</stp>
        <stp>3</stp>
        <stp>600211</stp>
        <stp>12/31/2018</stp>
        <stp>1</stp>
        <tr r="K1937" s="1"/>
      </tp>
      <tp>
        <v>0.54260993135199997</v>
        <stp/>
        <stp>EM_S_FA_ASSETSTURN</stp>
        <stp>3</stp>
        <stp>300141</stp>
        <stp>12/31/2018</stp>
        <stp>1</stp>
        <tr r="K2371" s="1"/>
      </tp>
      <tp>
        <v>0.629534298273</v>
        <stp/>
        <stp>EM_S_FA_ASSETSTURN</stp>
        <stp>3</stp>
        <stp>600111</stp>
        <stp>12/31/2018</stp>
        <stp>1</stp>
        <tr r="K1118" s="1"/>
      </tp>
      <tp>
        <v>0.74790250420500004</v>
        <stp/>
        <stp>EM_S_FA_ASSETSTURN</stp>
        <stp>3</stp>
        <stp>300041</stp>
        <stp>12/31/2018</stp>
        <stp>1</stp>
        <tr r="K532" s="1"/>
      </tp>
      <tp>
        <v>0.43435244407899998</v>
        <stp/>
        <stp>EM_S_FA_ASSETSTURN</stp>
        <stp>3</stp>
        <stp>600011</stp>
        <stp>12/31/2018</stp>
        <stp>1</stp>
        <tr r="K3146" s="1"/>
      </tp>
      <tp>
        <v>0.27373697547300002</v>
        <stp/>
        <stp>EM_S_FA_ASSETSTURN</stp>
        <stp>3</stp>
        <stp>300741</stp>
        <stp>12/31/2018</stp>
        <stp>1</stp>
        <tr r="K2360" s="1"/>
      </tp>
      <tp>
        <v>2.322165934604</v>
        <stp/>
        <stp>EM_S_FA_ASSETSTURN</stp>
        <stp>3</stp>
        <stp>600711</stp>
        <stp>12/31/2018</stp>
        <stp>1</stp>
        <tr r="K1456" s="1"/>
      </tp>
      <tp>
        <v>0.23694737036399999</v>
        <stp/>
        <stp>EM_S_FA_ASSETSTURN</stp>
        <stp>3</stp>
        <stp>000671</stp>
        <stp>12/31/2018</stp>
        <stp>1</stp>
        <tr r="K373" s="1"/>
      </tp>
      <tp>
        <v>0.76778573461999999</v>
        <stp/>
        <stp>EM_S_FA_ASSETSTURN</stp>
        <stp>3</stp>
        <stp>300641</stp>
        <stp>12/31/2018</stp>
        <stp>1</stp>
        <tr r="K2353" s="1"/>
      </tp>
      <tp>
        <v>0.226920229172</v>
        <stp/>
        <stp>EM_S_FA_ASSETSTURN</stp>
        <stp>3</stp>
        <stp>600611</stp>
        <stp>12/31/2018</stp>
        <stp>1</stp>
        <tr r="K2175" s="1"/>
      </tp>
      <tp>
        <v>0.33772145349900001</v>
        <stp/>
        <stp>EM_S_FA_ASSETSTURN</stp>
        <stp>3</stp>
        <stp>000571</stp>
        <stp>12/31/2018</stp>
        <stp>1</stp>
        <tr r="K3462" s="1"/>
      </tp>
      <tp>
        <v>1.049810924845</v>
        <stp/>
        <stp>EM_S_FA_ASSETSTURN</stp>
        <stp>3</stp>
        <stp>300541</stp>
        <stp>12/31/2018</stp>
        <stp>1</stp>
        <tr r="K463" s="1"/>
      </tp>
      <tp>
        <v>1.8591076217419999</v>
        <stp/>
        <stp>EM_S_FA_ASSETSTURN</stp>
        <stp>3</stp>
        <stp>600511</stp>
        <stp>12/31/2018</stp>
        <stp>1</stp>
        <tr r="K1450" s="1"/>
      </tp>
      <tp>
        <v>0.55396605893200002</v>
        <stp/>
        <stp>EM_S_FA_ASSETSTURN</stp>
        <stp>3</stp>
        <stp>300441</stp>
        <stp>12/31/2018</stp>
        <stp>1</stp>
        <tr r="K685" s="1"/>
      </tp>
      <tp>
        <v>0.73307821322300004</v>
        <stp/>
        <stp>EM_S_FA_ASSETSTURN</stp>
        <stp>3</stp>
        <stp>603811</stp>
        <stp>12/31/2018</stp>
        <stp>1</stp>
        <tr r="K503" s="1"/>
      </tp>
      <tp>
        <v>0.59145961752499998</v>
        <stp/>
        <stp>EM_S_FA_ASSETSTURN</stp>
        <stp>3</stp>
        <stp>603311</stp>
        <stp>12/31/2018</stp>
        <stp>1</stp>
        <tr r="K1757" s="1"/>
      </tp>
      <tp>
        <v>0.56668210914299999</v>
        <stp/>
        <stp>EM_S_FA_ASSETSTURN</stp>
        <stp>3</stp>
        <stp>603111</stp>
        <stp>12/31/2018</stp>
        <stp>1</stp>
        <tr r="K948" s="1"/>
      </tp>
      <tp>
        <v>0.35892614093500003</v>
        <stp/>
        <stp>EM_S_FA_ASSETSTURN</stp>
        <stp>3</stp>
        <stp>603011</stp>
        <stp>12/31/2018</stp>
        <stp>1</stp>
        <tr r="K1463" s="1"/>
      </tp>
      <tp>
        <v>1.057697013084</v>
        <stp/>
        <stp>EM_S_FA_ASSETSTURN</stp>
        <stp>3</stp>
        <stp>603711</stp>
        <stp>12/31/2018</stp>
        <stp>1</stp>
        <tr r="K1298" s="1"/>
      </tp>
      <tp>
        <v>0.78538186476899996</v>
        <stp/>
        <stp>EM_S_FA_ASSETSTURN</stp>
        <stp>3</stp>
        <stp>603611</stp>
        <stp>12/31/2018</stp>
        <stp>1</stp>
        <tr r="K826" s="1"/>
      </tp>
      <tp>
        <v>0.478191286504</v>
        <stp/>
        <stp>EM_S_FA_ASSETSTURN</stp>
        <stp>3</stp>
        <stp>002871</stp>
        <stp>12/31/2018</stp>
        <stp>1</stp>
        <tr r="K2391" s="1"/>
      </tp>
      <tp>
        <v>0.36632752553800002</v>
        <stp/>
        <stp>EM_S_FA_ASSETSTURN</stp>
        <stp>3</stp>
        <stp>002371</stp>
        <stp>12/31/2018</stp>
        <stp>1</stp>
        <tr r="K103" s="1"/>
      </tp>
      <tp>
        <v>0.85206657838099997</v>
        <stp/>
        <stp>EM_S_FA_ASSETSTURN</stp>
        <stp>3</stp>
        <stp>002271</stp>
        <stp>12/31/2018</stp>
        <stp>1</stp>
        <tr r="K152" s="1"/>
      </tp>
      <tp>
        <v>2.3071733306029998</v>
        <stp/>
        <stp>EM_S_FA_ASSETSTURN</stp>
        <stp>3</stp>
        <stp>002171</stp>
        <stp>12/31/2018</stp>
        <stp>1</stp>
        <tr r="K435" s="1"/>
      </tp>
      <tp>
        <v>0.433200393736</v>
        <stp/>
        <stp>EM_S_FA_ASSETSTURN</stp>
        <stp>3</stp>
        <stp>002071</stp>
        <stp>12/31/2018</stp>
        <stp>1</stp>
        <tr r="K3623" s="1"/>
      </tp>
      <tp>
        <v>0.73658599130299995</v>
        <stp/>
        <stp>EM_S_FA_ASSETSTURN</stp>
        <stp>3</stp>
        <stp>002771</stp>
        <stp>12/31/2018</stp>
        <stp>1</stp>
        <tr r="K2174" s="1"/>
      </tp>
      <tp>
        <v>0.28629214983000001</v>
        <stp/>
        <stp>EM_S_FA_ASSETSTURN</stp>
        <stp>3</stp>
        <stp>002671</stp>
        <stp>12/31/2018</stp>
        <stp>1</stp>
        <tr r="K1752" s="1"/>
      </tp>
      <tp>
        <v>0.43568915508099998</v>
        <stp/>
        <stp>EM_S_FA_ASSETSTURN</stp>
        <stp>3</stp>
        <stp>002571</stp>
        <stp>12/31/2018</stp>
        <stp>1</stp>
        <tr r="K2579" s="1"/>
      </tp>
      <tp>
        <v>0.88145649968999995</v>
        <stp/>
        <stp>EM_S_FA_ASSETSTURN</stp>
        <stp>3</stp>
        <stp>002471</stp>
        <stp>12/31/2018</stp>
        <stp>1</stp>
        <tr r="K2871" s="1"/>
      </tp>
      <tp>
        <v>0.36104317978099998</v>
        <stp/>
        <stp>EM_S_FA_ASSETSTURN</stp>
        <stp>3</stp>
        <stp>601216</stp>
        <stp>12/31/2018</stp>
        <stp>1</stp>
        <tr r="K1321" s="1"/>
      </tp>
      <tp>
        <v>1.147601845234</v>
        <stp/>
        <stp>EM_S_FA_ASSETSTURN</stp>
        <stp>3</stp>
        <stp>601116</stp>
        <stp>12/31/2018</stp>
        <stp>1</stp>
        <tr r="K1294" s="1"/>
      </tp>
      <tp>
        <v>0.114684239333</v>
        <stp/>
        <stp>EM_S_FA_ASSETSTURN</stp>
        <stp>3</stp>
        <stp>601016</stp>
        <stp>12/31/2018</stp>
        <stp>1</stp>
        <tr r="K2133" s="1"/>
      </tp>
      <tp>
        <v>0.21310192992599999</v>
        <stp/>
        <stp>EM_S_FA_ASSETSTURN</stp>
        <stp>3</stp>
        <stp>601616</stp>
        <stp>12/31/2018</stp>
        <stp>1</stp>
        <tr r="K2516" s="1"/>
      </tp>
      <tp>
        <v>0.34477888594099998</v>
        <stp/>
        <stp>EM_S_FA_ASSETSTURN</stp>
        <stp>3</stp>
        <stp>000976</stp>
        <stp>12/31/2018</stp>
        <stp>1</stp>
        <tr r="K3591" s="1"/>
      </tp>
      <tp>
        <v>1.528024858108</v>
        <stp/>
        <stp>EM_S_FA_ASSETSTURN</stp>
        <stp>3</stp>
        <stp>000876</stp>
        <stp>12/31/2018</stp>
        <stp>1</stp>
        <tr r="K64" s="1"/>
      </tp>
      <tp>
        <v>0</v>
        <stp/>
        <stp>EM_S_FA_ASSETSTURN</stp>
        <stp>3</stp>
        <stp>600816</stp>
        <stp>12/31/2018</stp>
        <stp>1</stp>
        <tr r="K2137" s="1"/>
      </tp>
      <tp>
        <v>0.16187791549200001</v>
        <stp/>
        <stp>EM_S_FA_ASSETSTURN</stp>
        <stp>3</stp>
        <stp>300346</stp>
        <stp>12/31/2018</stp>
        <stp>1</stp>
        <tr r="K214" s="1"/>
      </tp>
      <tp>
        <v>0.25158640483099998</v>
        <stp/>
        <stp>EM_S_FA_ASSETSTURN</stp>
        <stp>3</stp>
        <stp>600316</stp>
        <stp>12/31/2018</stp>
        <stp>1</stp>
        <tr r="K937" s="1"/>
      </tp>
      <tp>
        <v>0.94668921668700001</v>
        <stp/>
        <stp>EM_S_FA_ASSETSTURN</stp>
        <stp>3</stp>
        <stp>300246</stp>
        <stp>12/31/2018</stp>
        <stp>1</stp>
        <tr r="K740" s="1"/>
      </tp>
      <tp>
        <v>0.69135910932300004</v>
        <stp/>
        <stp>EM_S_FA_ASSETSTURN</stp>
        <stp>3</stp>
        <stp>600216</stp>
        <stp>12/31/2018</stp>
        <stp>1</stp>
        <tr r="K597" s="1"/>
      </tp>
      <tp>
        <v>0.54712783511899998</v>
        <stp/>
        <stp>EM_S_FA_ASSETSTURN</stp>
        <stp>3</stp>
        <stp>300146</stp>
        <stp>12/31/2018</stp>
        <stp>1</stp>
        <tr r="K2523" s="1"/>
      </tp>
      <tp>
        <v>0.25683446830399997</v>
        <stp/>
        <stp>EM_S_FA_ASSETSTURN</stp>
        <stp>3</stp>
        <stp>600116</stp>
        <stp>12/31/2018</stp>
        <stp>1</stp>
        <tr r="K2123" s="1"/>
      </tp>
      <tp>
        <v>0.402781402467</v>
        <stp/>
        <stp>EM_S_FA_ASSETSTURN</stp>
        <stp>3</stp>
        <stp>300046</stp>
        <stp>12/31/2018</stp>
        <stp>1</stp>
        <tr r="K595" s="1"/>
      </tp>
      <tp>
        <v>0</v>
        <stp/>
        <stp>EM_S_FA_ASSETSTURN</stp>
        <stp>3</stp>
        <stp>600016</stp>
        <stp>12/31/2018</stp>
        <stp>1</stp>
        <tr r="K1730" s="1"/>
      </tp>
      <tp>
        <v>0</v>
        <stp/>
        <stp>EM_S_FA_ASSETSTURN</stp>
        <stp>3</stp>
        <stp>000776</stp>
        <stp>12/31/2018</stp>
        <stp>1</stp>
        <tr r="K3534" s="1"/>
      </tp>
      <tp>
        <v>0.93853978171200003</v>
        <stp/>
        <stp>EM_S_FA_ASSETSTURN</stp>
        <stp>3</stp>
        <stp>300746</stp>
        <stp>12/31/2018</stp>
        <stp>1</stp>
        <tr r="K3170" s="1"/>
      </tp>
      <tp>
        <v>0.11381023227299999</v>
        <stp/>
        <stp>EM_S_FA_ASSETSTURN</stp>
        <stp>3</stp>
        <stp>600716</stp>
        <stp>12/31/2018</stp>
        <stp>1</stp>
        <tr r="K954" s="1"/>
      </tp>
      <tp>
        <v>1.02886755359</v>
        <stp/>
        <stp>EM_S_FA_ASSETSTURN</stp>
        <stp>3</stp>
        <stp>000676</stp>
        <stp>12/31/2018</stp>
        <stp>1</stp>
        <tr r="K2517" s="1"/>
      </tp>
      <tp>
        <v>0</v>
        <stp/>
        <stp>EM_S_FA_ASSETSTURN</stp>
        <stp>3</stp>
        <stp>300646</stp>
        <stp>12/31/2018</stp>
        <stp>1</stp>
        <tr r="K10" s="1"/>
      </tp>
      <tp>
        <v>0.38556368768799998</v>
        <stp/>
        <stp>EM_S_FA_ASSETSTURN</stp>
        <stp>3</stp>
        <stp>600616</stp>
        <stp>12/31/2018</stp>
        <stp>1</stp>
        <tr r="K2035" s="1"/>
      </tp>
      <tp>
        <v>0.28462981844399998</v>
        <stp/>
        <stp>EM_S_FA_ASSETSTURN</stp>
        <stp>3</stp>
        <stp>000576</stp>
        <stp>12/31/2018</stp>
        <stp>1</stp>
        <tr r="K1024" s="1"/>
      </tp>
      <tp>
        <v>0.59028866011900005</v>
        <stp/>
        <stp>EM_S_FA_ASSETSTURN</stp>
        <stp>3</stp>
        <stp>300546</stp>
        <stp>12/31/2018</stp>
        <stp>1</stp>
        <tr r="K1654" s="1"/>
      </tp>
      <tp>
        <v>0.77558701683599995</v>
        <stp/>
        <stp>EM_S_FA_ASSETSTURN</stp>
        <stp>3</stp>
        <stp>600516</stp>
        <stp>12/31/2018</stp>
        <stp>1</stp>
        <tr r="K3163" s="1"/>
      </tp>
      <tp>
        <v>0.41462010717600001</v>
        <stp/>
        <stp>EM_S_FA_ASSETSTURN</stp>
        <stp>3</stp>
        <stp>300446</stp>
        <stp>12/31/2018</stp>
        <stp>1</stp>
        <tr r="K1334" s="1"/>
      </tp>
      <tp>
        <v>0.29221890407099999</v>
        <stp/>
        <stp>EM_S_FA_ASSETSTURN</stp>
        <stp>3</stp>
        <stp>600416</stp>
        <stp>12/31/2018</stp>
        <stp>1</stp>
        <tr r="K795" s="1"/>
      </tp>
      <tp>
        <v>0.73900948180600001</v>
        <stp/>
        <stp>EM_S_FA_ASSETSTURN</stp>
        <stp>3</stp>
        <stp>603916</stp>
        <stp>12/31/2018</stp>
        <stp>1</stp>
        <tr r="K639" s="1"/>
      </tp>
      <tp>
        <v>1.0752176504319999</v>
        <stp/>
        <stp>EM_S_FA_ASSETSTURN</stp>
        <stp>3</stp>
        <stp>603816</stp>
        <stp>12/31/2018</stp>
        <stp>1</stp>
        <tr r="K2230" s="1"/>
      </tp>
      <tp>
        <v>0.52397976159399995</v>
        <stp/>
        <stp>EM_S_FA_ASSETSTURN</stp>
        <stp>3</stp>
        <stp>603316</stp>
        <stp>12/31/2018</stp>
        <stp>1</stp>
        <tr r="K1325" s="1"/>
      </tp>
      <tp>
        <v>0.65430821307999998</v>
        <stp/>
        <stp>EM_S_FA_ASSETSTURN</stp>
        <stp>3</stp>
        <stp>603116</stp>
        <stp>12/31/2018</stp>
        <stp>1</stp>
        <tr r="K2418" s="1"/>
      </tp>
      <tp>
        <v>0.434731592966</v>
        <stp/>
        <stp>EM_S_FA_ASSETSTURN</stp>
        <stp>3</stp>
        <stp>603016</stp>
        <stp>12/31/2018</stp>
        <stp>1</stp>
        <tr r="K2520" s="1"/>
      </tp>
      <tp>
        <v>0.63457689413200002</v>
        <stp/>
        <stp>EM_S_FA_ASSETSTURN</stp>
        <stp>3</stp>
        <stp>603716</stp>
        <stp>12/31/2018</stp>
        <stp>1</stp>
        <tr r="K2838" s="1"/>
      </tp>
      <tp>
        <v>0.50489482143700004</v>
        <stp/>
        <stp>EM_S_FA_ASSETSTURN</stp>
        <stp>3</stp>
        <stp>603616</stp>
        <stp>12/31/2018</stp>
        <stp>1</stp>
        <tr r="K3209" s="1"/>
      </tp>
      <tp>
        <v>0.48340003103000001</v>
        <stp/>
        <stp>EM_S_FA_ASSETSTURN</stp>
        <stp>3</stp>
        <stp>603516</stp>
        <stp>12/31/2018</stp>
        <stp>1</stp>
        <tr r="K366" s="1"/>
      </tp>
      <tp>
        <v>0.50585576089399997</v>
        <stp/>
        <stp>EM_S_FA_ASSETSTURN</stp>
        <stp>3</stp>
        <stp>603416</stp>
        <stp>12/31/2018</stp>
        <stp>1</stp>
        <tr r="K745" s="1"/>
      </tp>
      <tp>
        <v>0.47824223185999998</v>
        <stp/>
        <stp>EM_S_FA_ASSETSTURN</stp>
        <stp>3</stp>
        <stp>002876</stp>
        <stp>12/31/2018</stp>
        <stp>1</stp>
        <tr r="K487" s="1"/>
      </tp>
      <tp>
        <v>0.60299237355500002</v>
        <stp/>
        <stp>EM_S_FA_ASSETSTURN</stp>
        <stp>3</stp>
        <stp>002376</stp>
        <stp>12/31/2018</stp>
        <stp>1</stp>
        <tr r="K3097" s="1"/>
      </tp>
      <tp>
        <v>1.214962625888</v>
        <stp/>
        <stp>EM_S_FA_ASSETSTURN</stp>
        <stp>3</stp>
        <stp>002276</stp>
        <stp>12/31/2018</stp>
        <stp>1</stp>
        <tr r="K361" s="1"/>
      </tp>
      <tp>
        <v>0.31624054720299999</v>
        <stp/>
        <stp>EM_S_FA_ASSETSTURN</stp>
        <stp>3</stp>
        <stp>002176</stp>
        <stp>12/31/2018</stp>
        <stp>1</stp>
        <tr r="K3286" s="1"/>
      </tp>
      <tp>
        <v>0.29780996754700001</v>
        <stp/>
        <stp>EM_S_FA_ASSETSTURN</stp>
        <stp>3</stp>
        <stp>002076</stp>
        <stp>12/31/2018</stp>
        <stp>1</stp>
        <tr r="K3626" s="1"/>
      </tp>
      <tp>
        <v>0.36982925001900002</v>
        <stp/>
        <stp>EM_S_FA_ASSETSTURN</stp>
        <stp>3</stp>
        <stp>002776</stp>
        <stp>12/31/2018</stp>
        <stp>1</stp>
        <tr r="K3377" s="1"/>
      </tp>
      <tp>
        <v>0.82013370110200001</v>
        <stp/>
        <stp>EM_S_FA_ASSETSTURN</stp>
        <stp>3</stp>
        <stp>002676</stp>
        <stp>12/31/2018</stp>
        <stp>1</stp>
        <tr r="K1749" s="1"/>
      </tp>
      <tp>
        <v>1.0618402324889999</v>
        <stp/>
        <stp>EM_S_FA_ASSETSTURN</stp>
        <stp>3</stp>
        <stp>002576</stp>
        <stp>12/31/2018</stp>
        <stp>1</stp>
        <tr r="K2458" s="1"/>
      </tp>
      <tp>
        <v>0.38643103961800002</v>
        <stp/>
        <stp>EM_S_FA_ASSETSTURN</stp>
        <stp>3</stp>
        <stp>002476</stp>
        <stp>12/31/2018</stp>
        <stp>1</stp>
        <tr r="K660" s="1"/>
      </tp>
      <tp>
        <v>0.88285866192100004</v>
        <stp/>
        <stp>EM_S_FA_ASSETSTURN</stp>
        <stp>3</stp>
        <stp>601117</stp>
        <stp>12/31/2018</stp>
        <stp>1</stp>
        <tr r="K1279" s="1"/>
      </tp>
      <tp>
        <v>1.1105340604509999</v>
        <stp/>
        <stp>EM_S_FA_ASSETSTURN</stp>
        <stp>3</stp>
        <stp>601717</stp>
        <stp>12/31/2018</stp>
        <stp>1</stp>
        <tr r="K1407" s="1"/>
      </tp>
      <tp>
        <v>2.159152968536</v>
        <stp/>
        <stp>EM_S_FA_ASSETSTURN</stp>
        <stp>3</stp>
        <stp>000977</stp>
        <stp>12/31/2018</stp>
        <stp>1</stp>
        <tr r="K206" s="1"/>
      </tp>
      <tp>
        <v>0.76789788113400004</v>
        <stp/>
        <stp>EM_S_FA_ASSETSTURN</stp>
        <stp>3</stp>
        <stp>600917</stp>
        <stp>12/31/2018</stp>
        <stp>1</stp>
        <tr r="K2163" s="1"/>
      </tp>
      <tp>
        <v>0.44686237832600001</v>
        <stp/>
        <stp>EM_S_FA_ASSETSTURN</stp>
        <stp>3</stp>
        <stp>000877</stp>
        <stp>12/31/2018</stp>
        <stp>1</stp>
        <tr r="K407" s="1"/>
      </tp>
      <tp>
        <v>0.27408689080999998</v>
        <stp/>
        <stp>EM_S_FA_ASSETSTURN</stp>
        <stp>3</stp>
        <stp>600817</stp>
        <stp>12/31/2018</stp>
        <stp>1</stp>
        <tr r="K2126" s="1"/>
      </tp>
      <tp>
        <v>0.58518948161999995</v>
        <stp/>
        <stp>EM_S_FA_ASSETSTURN</stp>
        <stp>3</stp>
        <stp>300347</stp>
        <stp>12/31/2018</stp>
        <stp>1</stp>
        <tr r="K672" s="1"/>
      </tp>
      <tp>
        <v>0.29622599445999998</v>
        <stp/>
        <stp>EM_S_FA_ASSETSTURN</stp>
        <stp>3</stp>
        <stp>600317</stp>
        <stp>12/31/2018</stp>
        <stp>1</stp>
        <tr r="K1634" s="1"/>
      </tp>
      <tp>
        <v>0.417971918725</v>
        <stp/>
        <stp>EM_S_FA_ASSETSTURN</stp>
        <stp>3</stp>
        <stp>300247</stp>
        <stp>12/31/2018</stp>
        <stp>1</stp>
        <tr r="K2984" s="1"/>
      </tp>
      <tp>
        <v>0.66207043084200001</v>
        <stp/>
        <stp>EM_S_FA_ASSETSTURN</stp>
        <stp>3</stp>
        <stp>600217</stp>
        <stp>12/31/2018</stp>
        <stp>1</stp>
        <tr r="K1105" s="1"/>
      </tp>
      <tp>
        <v>0.28033257179900001</v>
        <stp/>
        <stp>EM_S_FA_ASSETSTURN</stp>
        <stp>3</stp>
        <stp>300147</stp>
        <stp>12/31/2018</stp>
        <stp>1</stp>
        <tr r="K905" s="1"/>
      </tp>
      <tp>
        <v>0.28391196027499999</v>
        <stp/>
        <stp>EM_S_FA_ASSETSTURN</stp>
        <stp>3</stp>
        <stp>600117</stp>
        <stp>12/31/2018</stp>
        <stp>1</stp>
        <tr r="K2068" s="1"/>
      </tp>
      <tp>
        <v>0.85863911943299998</v>
        <stp/>
        <stp>EM_S_FA_ASSETSTURN</stp>
        <stp>3</stp>
        <stp>300047</stp>
        <stp>12/31/2018</stp>
        <stp>1</stp>
        <tr r="K3200" s="1"/>
      </tp>
      <tp>
        <v>0.24622089872</v>
        <stp/>
        <stp>EM_S_FA_ASSETSTURN</stp>
        <stp>3</stp>
        <stp>600017</stp>
        <stp>12/31/2018</stp>
        <stp>1</stp>
        <tr r="K1986" s="1"/>
      </tp>
      <tp>
        <v>0.56749549551099998</v>
        <stp/>
        <stp>EM_S_FA_ASSETSTURN</stp>
        <stp>3</stp>
        <stp>000777</stp>
        <stp>12/31/2018</stp>
        <stp>1</stp>
        <tr r="K1259" s="1"/>
      </tp>
      <tp>
        <v>0.92717400250100002</v>
        <stp/>
        <stp>EM_S_FA_ASSETSTURN</stp>
        <stp>3</stp>
        <stp>300747</stp>
        <stp>12/31/2018</stp>
        <stp>1</stp>
        <tr r="K2959" s="1"/>
      </tp>
      <tp>
        <v>0.37190961842999998</v>
        <stp/>
        <stp>EM_S_FA_ASSETSTURN</stp>
        <stp>3</stp>
        <stp>600717</stp>
        <stp>12/31/2018</stp>
        <stp>1</stp>
        <tr r="K2806" s="1"/>
      </tp>
      <tp>
        <v>0.82309755733400003</v>
        <stp/>
        <stp>EM_S_FA_ASSETSTURN</stp>
        <stp>3</stp>
        <stp>000677</stp>
        <stp>12/31/2018</stp>
        <stp>1</stp>
        <tr r="K699" s="1"/>
      </tp>
      <tp>
        <v>0.43414717107</v>
        <stp/>
        <stp>EM_S_FA_ASSETSTURN</stp>
        <stp>3</stp>
        <stp>300647</stp>
        <stp>12/31/2018</stp>
        <stp>1</stp>
        <tr r="K2744" s="1"/>
      </tp>
      <tp>
        <v>0.40845290949000002</v>
        <stp/>
        <stp>EM_S_FA_ASSETSTURN</stp>
        <stp>3</stp>
        <stp>600617</stp>
        <stp>12/31/2018</stp>
        <stp>1</stp>
        <tr r="K2412" s="1"/>
      </tp>
      <tp>
        <v>0.64573441920399999</v>
        <stp/>
        <stp>EM_S_FA_ASSETSTURN</stp>
        <stp>3</stp>
        <stp>300547</stp>
        <stp>12/31/2018</stp>
        <stp>1</stp>
        <tr r="K3328" s="1"/>
      </tp>
      <tp>
        <v>0.54801721523000002</v>
        <stp/>
        <stp>EM_S_FA_ASSETSTURN</stp>
        <stp>3</stp>
        <stp>600517</stp>
        <stp>12/31/2018</stp>
        <stp>1</stp>
        <tr r="K72" s="1"/>
      </tp>
      <tp>
        <v>0.390637953117</v>
        <stp/>
        <stp>EM_S_FA_ASSETSTURN</stp>
        <stp>3</stp>
        <stp>300447</stp>
        <stp>12/31/2018</stp>
        <stp>1</stp>
        <tr r="K1960" s="1"/>
      </tp>
      <tp>
        <v>0.51985620305400004</v>
        <stp/>
        <stp>EM_S_FA_ASSETSTURN</stp>
        <stp>3</stp>
        <stp>603917</stp>
        <stp>12/31/2018</stp>
        <stp>1</stp>
        <tr r="K2852" s="1"/>
      </tp>
      <tp>
        <v>0.184561283203</v>
        <stp/>
        <stp>EM_S_FA_ASSETSTURN</stp>
        <stp>3</stp>
        <stp>603817</stp>
        <stp>12/31/2018</stp>
        <stp>1</stp>
        <tr r="K1638" s="1"/>
      </tp>
      <tp>
        <v>0.16403978905300001</v>
        <stp/>
        <stp>EM_S_FA_ASSETSTURN</stp>
        <stp>3</stp>
        <stp>603117</stp>
        <stp>12/31/2018</stp>
        <stp>1</stp>
        <tr r="K1955" s="1"/>
      </tp>
      <tp>
        <v>0.62300005837500005</v>
        <stp/>
        <stp>EM_S_FA_ASSETSTURN</stp>
        <stp>3</stp>
        <stp>603017</stp>
        <stp>12/31/2018</stp>
        <stp>1</stp>
        <tr r="K1945" s="1"/>
      </tp>
      <tp>
        <v>0.38167362792600001</v>
        <stp/>
        <stp>EM_S_FA_ASSETSTURN</stp>
        <stp>3</stp>
        <stp>603717</stp>
        <stp>12/31/2018</stp>
        <stp>1</stp>
        <tr r="K2608" s="1"/>
      </tp>
      <tp>
        <v>0.80490391017600005</v>
        <stp/>
        <stp>EM_S_FA_ASSETSTURN</stp>
        <stp>3</stp>
        <stp>603617</stp>
        <stp>12/31/2018</stp>
        <stp>1</stp>
        <tr r="K2807" s="1"/>
      </tp>
      <tp>
        <v>1.2461437907740001</v>
        <stp/>
        <stp>EM_S_FA_ASSETSTURN</stp>
        <stp>3</stp>
        <stp>603517</stp>
        <stp>12/31/2018</stp>
        <stp>1</stp>
        <tr r="K793" s="1"/>
      </tp>
      <tp>
        <v>0.413518416941</v>
        <stp/>
        <stp>EM_S_FA_ASSETSTURN</stp>
        <stp>3</stp>
        <stp>002877</stp>
        <stp>12/31/2018</stp>
        <stp>1</stp>
        <tr r="K3315" s="1"/>
      </tp>
      <tp>
        <v>0.68441754551300005</v>
        <stp/>
        <stp>EM_S_FA_ASSETSTURN</stp>
        <stp>3</stp>
        <stp>002377</stp>
        <stp>12/31/2018</stp>
        <stp>1</stp>
        <tr r="K2493" s="1"/>
      </tp>
      <tp>
        <v>0.51254689000300002</v>
        <stp/>
        <stp>EM_S_FA_ASSETSTURN</stp>
        <stp>3</stp>
        <stp>002277</stp>
        <stp>12/31/2018</stp>
        <stp>1</stp>
        <tr r="K2034" s="1"/>
      </tp>
      <tp>
        <v>0.206587284461</v>
        <stp/>
        <stp>EM_S_FA_ASSETSTURN</stp>
        <stp>3</stp>
        <stp>002177</stp>
        <stp>12/31/2018</stp>
        <stp>1</stp>
        <tr r="K284" s="1"/>
      </tp>
      <tp>
        <v>0.23255932363199999</v>
        <stp/>
        <stp>EM_S_FA_ASSETSTURN</stp>
        <stp>3</stp>
        <stp>002077</stp>
        <stp>12/31/2018</stp>
        <stp>1</stp>
        <tr r="K3627" s="1"/>
      </tp>
      <tp>
        <v>0.531069841175</v>
        <stp/>
        <stp>EM_S_FA_ASSETSTURN</stp>
        <stp>3</stp>
        <stp>002777</stp>
        <stp>12/31/2018</stp>
        <stp>1</stp>
        <tr r="K647" s="1"/>
      </tp>
      <tp>
        <v>0.81064440372699997</v>
        <stp/>
        <stp>EM_S_FA_ASSETSTURN</stp>
        <stp>3</stp>
        <stp>002677</stp>
        <stp>12/31/2018</stp>
        <stp>1</stp>
        <tr r="K839" s="1"/>
      </tp>
      <tp>
        <v>0.36324900073900002</v>
        <stp/>
        <stp>EM_S_FA_ASSETSTURN</stp>
        <stp>3</stp>
        <stp>002577</stp>
        <stp>12/31/2018</stp>
        <stp>1</stp>
        <tr r="K919" s="1"/>
      </tp>
      <tp>
        <v>0.16189594968000001</v>
        <stp/>
        <stp>EM_S_FA_ASSETSTURN</stp>
        <stp>3</stp>
        <stp>002477</stp>
        <stp>12/31/2018</stp>
        <stp>1</stp>
        <tr r="K3410" s="1"/>
      </tp>
      <tp>
        <v>1.1080885161409999</v>
        <stp/>
        <stp>EM_S_FA_ASSETSTURN</stp>
        <stp>3</stp>
        <stp>600814</stp>
        <stp>12/31/2018</stp>
        <stp>1</stp>
        <tr r="K2267" s="1"/>
      </tp>
      <tp>
        <v>0.44698008994999999</v>
        <stp/>
        <stp>EM_S_FA_ASSETSTURN</stp>
        <stp>3</stp>
        <stp>300344</stp>
        <stp>12/31/2018</stp>
        <stp>1</stp>
        <tr r="K2757" s="1"/>
      </tp>
      <tp>
        <v>0.77173529577599997</v>
        <stp/>
        <stp>EM_S_FA_ASSETSTURN</stp>
        <stp>3</stp>
        <stp>300244</stp>
        <stp>12/31/2018</stp>
        <stp>1</stp>
        <tr r="K671" s="1"/>
      </tp>
      <tp>
        <v>0.32814417280500002</v>
        <stp/>
        <stp>EM_S_FA_ASSETSTURN</stp>
        <stp>3</stp>
        <stp>300144</stp>
        <stp>12/31/2018</stp>
        <stp>1</stp>
        <tr r="K664" s="1"/>
      </tp>
      <tp>
        <v>0.56929520037799997</v>
        <stp/>
        <stp>EM_S_FA_ASSETSTURN</stp>
        <stp>3</stp>
        <stp>600114</stp>
        <stp>12/31/2018</stp>
        <stp>1</stp>
        <tr r="K729" s="1"/>
      </tp>
      <tp>
        <v>0.27982219350900001</v>
        <stp/>
        <stp>EM_S_FA_ASSETSTURN</stp>
        <stp>3</stp>
        <stp>300044</stp>
        <stp>12/31/2018</stp>
        <stp>1</stp>
        <tr r="K1874" s="1"/>
      </tp>
      <tp>
        <v>0.236388511445</v>
        <stp/>
        <stp>EM_S_FA_ASSETSTURN</stp>
        <stp>3</stp>
        <stp>600714</stp>
        <stp>12/31/2018</stp>
        <stp>1</stp>
        <tr r="K2212" s="1"/>
      </tp>
      <tp>
        <v>1.124534067485</v>
        <stp/>
        <stp>EM_S_FA_ASSETSTURN</stp>
        <stp>3</stp>
        <stp>300644</stp>
        <stp>12/31/2018</stp>
        <stp>1</stp>
        <tr r="K2969" s="1"/>
      </tp>
      <tp>
        <v>0.31822870724500002</v>
        <stp/>
        <stp>EM_S_FA_ASSETSTURN</stp>
        <stp>3</stp>
        <stp>600614</stp>
        <stp>12/31/2018</stp>
        <stp>1</stp>
        <tr r="K3373" s="1"/>
      </tp>
      <tp>
        <v>0.58251220190499997</v>
        <stp/>
        <stp>EM_S_FA_ASSETSTURN</stp>
        <stp>3</stp>
        <stp>300444</stp>
        <stp>12/31/2018</stp>
        <stp>1</stp>
        <tr r="K3128" s="1"/>
      </tp>
      <tp>
        <v>1.979490705818</v>
        <stp/>
        <stp>EM_S_FA_ASSETSTURN</stp>
        <stp>3</stp>
        <stp>603214</stp>
        <stp>12/31/2018</stp>
        <stp>1</stp>
        <tr r="K1650" s="1"/>
      </tp>
      <tp>
        <v>0.20785793681100001</v>
        <stp/>
        <stp>EM_S_FA_ASSETSTURN</stp>
        <stp>3</stp>
        <stp>002374</stp>
        <stp>12/31/2018</stp>
        <stp>1</stp>
        <tr r="K2545" s="1"/>
      </tp>
      <tp>
        <v>0.90680742589100005</v>
        <stp/>
        <stp>EM_S_FA_ASSETSTURN</stp>
        <stp>3</stp>
        <stp>002274</stp>
        <stp>12/31/2018</stp>
        <stp>1</stp>
        <tr r="K999" s="1"/>
      </tp>
      <tp>
        <v>0.51276057017800003</v>
        <stp/>
        <stp>EM_S_FA_ASSETSTURN</stp>
        <stp>3</stp>
        <stp>002174</stp>
        <stp>12/31/2018</stp>
        <stp>1</stp>
        <tr r="K1138" s="1"/>
      </tp>
      <tp>
        <v>0.2721053229</v>
        <stp/>
        <stp>EM_S_FA_ASSETSTURN</stp>
        <stp>3</stp>
        <stp>002074</stp>
        <stp>12/31/2018</stp>
        <stp>1</stp>
        <tr r="K1128" s="1"/>
      </tp>
      <tp>
        <v>0.58895929930099999</v>
        <stp/>
        <stp>EM_S_FA_ASSETSTURN</stp>
        <stp>3</stp>
        <stp>002774</stp>
        <stp>12/31/2018</stp>
        <stp>1</stp>
        <tr r="K2622" s="1"/>
      </tp>
      <tp>
        <v>0.64385863200500004</v>
        <stp/>
        <stp>EM_S_FA_ASSETSTURN</stp>
        <stp>3</stp>
        <stp>002674</stp>
        <stp>12/31/2018</stp>
        <stp>1</stp>
        <tr r="K622" s="1"/>
      </tp>
      <tp>
        <v>1.0298636142669999</v>
        <stp/>
        <stp>EM_S_FA_ASSETSTURN</stp>
        <stp>3</stp>
        <stp>002574</stp>
        <stp>12/31/2018</stp>
        <stp>1</stp>
        <tr r="K2095" s="1"/>
      </tp>
      <tp>
        <v>0.31735636958899999</v>
        <stp/>
        <stp>EM_S_FA_ASSETSTURN</stp>
        <stp>3</stp>
        <stp>002474</stp>
        <stp>12/31/2018</stp>
        <stp>1</stp>
        <tr r="K779" s="1"/>
      </tp>
      <tp>
        <v>0.73381230548800003</v>
        <stp/>
        <stp>EM_S_FA_ASSETSTURN</stp>
        <stp>3</stp>
        <stp>601015</stp>
        <stp>12/31/2018</stp>
        <stp>1</stp>
        <tr r="K3317" s="1"/>
      </tp>
      <tp>
        <v>0.57409065410600002</v>
        <stp/>
        <stp>EM_S_FA_ASSETSTURN</stp>
        <stp>3</stp>
        <stp>601515</stp>
        <stp>12/31/2018</stp>
        <stp>1</stp>
        <tr r="K2559" s="1"/>
      </tp>
      <tp>
        <v>0.59977369943799996</v>
        <stp/>
        <stp>EM_S_FA_ASSETSTURN</stp>
        <stp>3</stp>
        <stp>000975</stp>
        <stp>12/31/2018</stp>
        <stp>1</stp>
        <tr r="K930" s="1"/>
      </tp>
      <tp>
        <v>0.194867615154</v>
        <stp/>
        <stp>EM_S_FA_ASSETSTURN</stp>
        <stp>3</stp>
        <stp>000875</stp>
        <stp>12/31/2018</stp>
        <stp>1</stp>
        <tr r="K1036" s="1"/>
      </tp>
      <tp>
        <v>0.49272015094600002</v>
        <stp/>
        <stp>EM_S_FA_ASSETSTURN</stp>
        <stp>3</stp>
        <stp>600815</stp>
        <stp>12/31/2018</stp>
        <stp>1</stp>
        <tr r="K2476" s="1"/>
      </tp>
      <tp>
        <v>0.12706333913599999</v>
        <stp/>
        <stp>EM_S_FA_ASSETSTURN</stp>
        <stp>3</stp>
        <stp>300345</stp>
        <stp>12/31/2018</stp>
        <stp>1</stp>
        <tr r="K115" s="1"/>
      </tp>
      <tp>
        <v>0.72231694499099997</v>
        <stp/>
        <stp>EM_S_FA_ASSETSTURN</stp>
        <stp>3</stp>
        <stp>600315</stp>
        <stp>12/31/2018</stp>
        <stp>1</stp>
        <tr r="K1565" s="1"/>
      </tp>
      <tp>
        <v>0.25216726901800002</v>
        <stp/>
        <stp>EM_S_FA_ASSETSTURN</stp>
        <stp>3</stp>
        <stp>300245</stp>
        <stp>12/31/2018</stp>
        <stp>1</stp>
        <tr r="K1646" s="1"/>
      </tp>
      <tp>
        <v>0.194791668571</v>
        <stp/>
        <stp>EM_S_FA_ASSETSTURN</stp>
        <stp>3</stp>
        <stp>600215</stp>
        <stp>12/31/2018</stp>
        <stp>1</stp>
        <tr r="K2571" s="1"/>
      </tp>
      <tp>
        <v>0.44183116056900001</v>
        <stp/>
        <stp>EM_S_FA_ASSETSTURN</stp>
        <stp>3</stp>
        <stp>300145</stp>
        <stp>12/31/2018</stp>
        <stp>1</stp>
        <tr r="K1801" s="1"/>
      </tp>
      <tp>
        <v>0.49514356061300002</v>
        <stp/>
        <stp>EM_S_FA_ASSETSTURN</stp>
        <stp>3</stp>
        <stp>600115</stp>
        <stp>12/31/2018</stp>
        <stp>1</stp>
        <tr r="K1172" s="1"/>
      </tp>
      <tp>
        <v>0.32205066236500002</v>
        <stp/>
        <stp>EM_S_FA_ASSETSTURN</stp>
        <stp>3</stp>
        <stp>300045</stp>
        <stp>12/31/2018</stp>
        <stp>1</stp>
        <tr r="K1141" s="1"/>
      </tp>
      <tp>
        <v>0</v>
        <stp/>
        <stp>EM_S_FA_ASSETSTURN</stp>
        <stp>3</stp>
        <stp>600015</stp>
        <stp>12/31/2018</stp>
        <stp>1</stp>
        <tr r="K2083" s="1"/>
      </tp>
      <tp>
        <v>0.50040849126800002</v>
        <stp/>
        <stp>EM_S_FA_ASSETSTURN</stp>
        <stp>3</stp>
        <stp>300745</stp>
        <stp>12/31/2018</stp>
        <stp>1</stp>
        <tr r="K3282" s="1"/>
      </tp>
      <tp>
        <v>0.20717433858600001</v>
        <stp/>
        <stp>EM_S_FA_ASSETSTURN</stp>
        <stp>3</stp>
        <stp>600715</stp>
        <stp>12/31/2018</stp>
        <stp>1</stp>
        <tr r="K3118" s="1"/>
      </tp>
      <tp>
        <v>1.4087215815E-2</v>
        <stp/>
        <stp>EM_S_FA_ASSETSTURN</stp>
        <stp>3</stp>
        <stp>000675</stp>
        <stp>12/31/2018</stp>
        <stp>1</stp>
        <tr r="K3504" s="1"/>
      </tp>
      <tp>
        <v>0.61887329373</v>
        <stp/>
        <stp>EM_S_FA_ASSETSTURN</stp>
        <stp>3</stp>
        <stp>300645</stp>
        <stp>12/31/2018</stp>
        <stp>1</stp>
        <tr r="K3374" s="1"/>
      </tp>
      <tp>
        <v>0.12852523620799999</v>
        <stp/>
        <stp>EM_S_FA_ASSETSTURN</stp>
        <stp>3</stp>
        <stp>600615</stp>
        <stp>12/31/2018</stp>
        <stp>1</stp>
        <tr r="K1631" s="1"/>
      </tp>
      <tp>
        <v>0.60239404867299995</v>
        <stp/>
        <stp>EM_S_FA_ASSETSTURN</stp>
        <stp>3</stp>
        <stp>300545</stp>
        <stp>12/31/2018</stp>
        <stp>1</stp>
        <tr r="K1071" s="1"/>
      </tp>
      <tp>
        <v>0.12514032992900001</v>
        <stp/>
        <stp>EM_S_FA_ASSETSTURN</stp>
        <stp>3</stp>
        <stp>600515</stp>
        <stp>12/31/2018</stp>
        <stp>1</stp>
        <tr r="K2485" s="1"/>
      </tp>
      <tp>
        <v>0.42248361717299998</v>
        <stp/>
        <stp>EM_S_FA_ASSETSTURN</stp>
        <stp>3</stp>
        <stp>300445</stp>
        <stp>12/31/2018</stp>
        <stp>1</stp>
        <tr r="K314" s="1"/>
      </tp>
      <tp>
        <v>0.141655742389</v>
        <stp/>
        <stp>EM_S_FA_ASSETSTURN</stp>
        <stp>3</stp>
        <stp>600415</stp>
        <stp>12/31/2018</stp>
        <stp>1</stp>
        <tr r="K1685" s="1"/>
      </tp>
      <tp>
        <v>0.24212979013399999</v>
        <stp/>
        <stp>EM_S_FA_ASSETSTURN</stp>
        <stp>3</stp>
        <stp>603315</stp>
        <stp>12/31/2018</stp>
        <stp>1</stp>
        <tr r="K2056" s="1"/>
      </tp>
      <tp>
        <v>0.433597487206</v>
        <stp/>
        <stp>EM_S_FA_ASSETSTURN</stp>
        <stp>3</stp>
        <stp>603015</stp>
        <stp>12/31/2018</stp>
        <stp>1</stp>
        <tr r="K1933" s="1"/>
      </tp>
      <tp>
        <v>0.52712938727799996</v>
        <stp/>
        <stp>EM_S_FA_ASSETSTURN</stp>
        <stp>3</stp>
        <stp>603615</stp>
        <stp>12/31/2018</stp>
        <stp>1</stp>
        <tr r="K1733" s="1"/>
      </tp>
      <tp>
        <v>1.1736219422259999</v>
        <stp/>
        <stp>EM_S_FA_ASSETSTURN</stp>
        <stp>3</stp>
        <stp>603515</stp>
        <stp>12/31/2018</stp>
        <stp>1</stp>
        <tr r="K2247" s="1"/>
      </tp>
      <tp>
        <v>1.0439025162069999</v>
        <stp/>
        <stp>EM_S_FA_ASSETSTURN</stp>
        <stp>3</stp>
        <stp>002875</stp>
        <stp>12/31/2018</stp>
        <stp>1</stp>
        <tr r="K1887" s="1"/>
      </tp>
      <tp>
        <v>0.450381697415</v>
        <stp/>
        <stp>EM_S_FA_ASSETSTURN</stp>
        <stp>3</stp>
        <stp>002375</stp>
        <stp>12/31/2018</stp>
        <stp>1</stp>
        <tr r="K1491" s="1"/>
      </tp>
      <tp>
        <v>0.47762094865799998</v>
        <stp/>
        <stp>EM_S_FA_ASSETSTURN</stp>
        <stp>3</stp>
        <stp>002275</stp>
        <stp>12/31/2018</stp>
        <stp>1</stp>
        <tr r="K2210" s="1"/>
      </tp>
      <tp>
        <v>0.14255521491699999</v>
        <stp/>
        <stp>EM_S_FA_ASSETSTURN</stp>
        <stp>3</stp>
        <stp>002175</stp>
        <stp>12/31/2018</stp>
        <stp>1</stp>
        <tr r="K3335" s="1"/>
      </tp>
      <tp>
        <v>1.389469665964</v>
        <stp/>
        <stp>EM_S_FA_ASSETSTURN</stp>
        <stp>3</stp>
        <stp>002075</stp>
        <stp>12/31/2018</stp>
        <stp>1</stp>
        <tr r="K3139" s="1"/>
      </tp>
      <tp>
        <v>0.87607346584800005</v>
        <stp/>
        <stp>EM_S_FA_ASSETSTURN</stp>
        <stp>3</stp>
        <stp>002775</stp>
        <stp>12/31/2018</stp>
        <stp>1</stp>
        <tr r="K2512" s="1"/>
      </tp>
      <tp>
        <v>0.381164603968</v>
        <stp/>
        <stp>EM_S_FA_ASSETSTURN</stp>
        <stp>3</stp>
        <stp>002675</stp>
        <stp>12/31/2018</stp>
        <stp>1</stp>
        <tr r="K177" s="1"/>
      </tp>
      <tp>
        <v>2.1048184776000001E-2</v>
        <stp/>
        <stp>EM_S_FA_ASSETSTURN</stp>
        <stp>3</stp>
        <stp>002575</stp>
        <stp>12/31/2018</stp>
        <stp>1</stp>
        <tr r="K2631" s="1"/>
      </tp>
      <tp>
        <v>1.132211533042</v>
        <stp/>
        <stp>EM_S_FA_ASSETSTURN</stp>
        <stp>3</stp>
        <stp>002475</stp>
        <stp>12/31/2018</stp>
        <stp>1</stp>
        <tr r="K81" s="1"/>
      </tp>
      <tp t="s">
        <v>1997-11-26</v>
        <stp/>
        <stp>EM_S_IPO_LISTEDDATE</stp>
        <stp>1</stp>
        <stp>000899</stp>
        <tr r="AT1690" s="1"/>
      </tp>
      <tp t="s">
        <v>2017-09-15</v>
        <stp/>
        <stp>EM_S_IPO_LISTEDDATE</stp>
        <stp>1</stp>
        <stp>002899</stp>
        <tr r="AT2501" s="1"/>
      </tp>
      <tp t="s">
        <v>1997-12-25</v>
        <stp/>
        <stp>EM_S_IPO_LISTEDDATE</stp>
        <stp>1</stp>
        <stp>000898</stp>
        <tr r="AT3280" s="1"/>
      </tp>
      <tp t="s">
        <v>2017-09-12</v>
        <stp/>
        <stp>EM_S_IPO_LISTEDDATE</stp>
        <stp>1</stp>
        <stp>002898</stp>
        <tr r="AT2713" s="1"/>
      </tp>
      <tp t="s">
        <v>1998-12-10</v>
        <stp/>
        <stp>EM_S_IPO_LISTEDDATE</stp>
        <stp>1</stp>
        <stp>000895</stp>
        <tr r="AT3567" s="1"/>
      </tp>
      <tp t="s">
        <v>2017-08-25</v>
        <stp/>
        <stp>EM_S_IPO_LISTEDDATE</stp>
        <stp>1</stp>
        <stp>002895</stp>
        <tr r="AT2097" s="1"/>
      </tp>
      <tp t="s">
        <v>1999-04-22</v>
        <stp/>
        <stp>EM_S_IPO_LISTEDDATE</stp>
        <stp>1</stp>
        <stp>000897</stp>
        <tr r="AT3568" s="1"/>
      </tp>
      <tp t="s">
        <v>2017-09-07</v>
        <stp/>
        <stp>EM_S_IPO_LISTEDDATE</stp>
        <stp>1</stp>
        <stp>002897</stp>
        <tr r="AT887" s="1"/>
      </tp>
      <tp t="s">
        <v>1998-01-22</v>
        <stp/>
        <stp>EM_S_IPO_LISTEDDATE</stp>
        <stp>1</stp>
        <stp>001896</stp>
        <tr r="AT3602" s="1"/>
      </tp>
      <tp t="s">
        <v>2017-08-29</v>
        <stp/>
        <stp>EM_S_IPO_LISTEDDATE</stp>
        <stp>1</stp>
        <stp>002896</stp>
        <tr r="AT3187" s="1"/>
      </tp>
      <tp t="s">
        <v>2017-08-21</v>
        <stp/>
        <stp>EM_S_IPO_LISTEDDATE</stp>
        <stp>1</stp>
        <stp>002891</stp>
        <tr r="AT3025" s="1"/>
      </tp>
      <tp t="s">
        <v>1999-01-19</v>
        <stp/>
        <stp>EM_S_IPO_LISTEDDATE</stp>
        <stp>1</stp>
        <stp>000890</stp>
        <tr r="AT3564" s="1"/>
      </tp>
      <tp t="s">
        <v>2017-08-02</v>
        <stp/>
        <stp>EM_S_IPO_LISTEDDATE</stp>
        <stp>1</stp>
        <stp>002890</stp>
        <tr r="AT756" s="1"/>
      </tp>
      <tp t="s">
        <v>1998-12-24</v>
        <stp/>
        <stp>EM_S_IPO_LISTEDDATE</stp>
        <stp>1</stp>
        <stp>000893</stp>
        <tr r="AT3566" s="1"/>
      </tp>
      <tp t="s">
        <v>2017-09-15</v>
        <stp/>
        <stp>EM_S_IPO_LISTEDDATE</stp>
        <stp>1</stp>
        <stp>002893</stp>
        <tr r="AT3136" s="1"/>
      </tp>
      <tp t="s">
        <v>1999-01-15</v>
        <stp/>
        <stp>EM_S_IPO_LISTEDDATE</stp>
        <stp>1</stp>
        <stp>000892</stp>
        <tr r="AT3565" s="1"/>
      </tp>
      <tp t="s">
        <v>2017-08-17</v>
        <stp/>
        <stp>EM_S_IPO_LISTEDDATE</stp>
        <stp>1</stp>
        <stp>002892</stp>
        <tr r="AT1688" s="1"/>
      </tp>
      <tp t="s">
        <v>1997-12-18</v>
        <stp/>
        <stp>EM_S_IPO_LISTEDDATE</stp>
        <stp>1</stp>
        <stp>000889</stp>
        <tr r="AT2649" s="1"/>
      </tp>
      <tp t="s">
        <v>2017-07-31</v>
        <stp/>
        <stp>EM_S_IPO_LISTEDDATE</stp>
        <stp>1</stp>
        <stp>002889</stp>
        <tr r="AT1842" s="1"/>
      </tp>
      <tp t="s">
        <v>1997-10-21</v>
        <stp/>
        <stp>EM_S_IPO_LISTEDDATE</stp>
        <stp>1</stp>
        <stp>000888</stp>
        <tr r="AT3563" s="1"/>
      </tp>
      <tp t="s">
        <v>2017-07-21</v>
        <stp/>
        <stp>EM_S_IPO_LISTEDDATE</stp>
        <stp>1</stp>
        <stp>002888</stp>
        <tr r="AT1442" s="1"/>
      </tp>
      <tp t="s">
        <v>1999-03-19</v>
        <stp/>
        <stp>EM_S_IPO_LISTEDDATE</stp>
        <stp>1</stp>
        <stp>000885</stp>
        <tr r="AT3561" s="1"/>
      </tp>
      <tp t="s">
        <v>2017-06-27</v>
        <stp/>
        <stp>EM_S_IPO_LISTEDDATE</stp>
        <stp>1</stp>
        <stp>002885</stp>
        <tr r="AT3090" s="1"/>
      </tp>
      <tp t="s">
        <v>2017-07-11</v>
        <stp/>
        <stp>EM_S_IPO_LISTEDDATE</stp>
        <stp>1</stp>
        <stp>002884</stp>
        <tr r="AT3180" s="1"/>
      </tp>
      <tp t="s">
        <v>1998-12-03</v>
        <stp/>
        <stp>EM_S_IPO_LISTEDDATE</stp>
        <stp>1</stp>
        <stp>000887</stp>
        <tr r="AT2794" s="1"/>
      </tp>
      <tp t="s">
        <v>2017-08-01</v>
        <stp/>
        <stp>EM_S_IPO_LISTEDDATE</stp>
        <stp>1</stp>
        <stp>002887</stp>
        <tr r="AT2528" s="1"/>
      </tp>
      <tp t="s">
        <v>1998-01-23</v>
        <stp/>
        <stp>EM_S_IPO_LISTEDDATE</stp>
        <stp>1</stp>
        <stp>000886</stp>
        <tr r="AT3562" s="1"/>
      </tp>
      <tp t="s">
        <v>2017-06-27</v>
        <stp/>
        <stp>EM_S_IPO_LISTEDDATE</stp>
        <stp>1</stp>
        <stp>002886</stp>
        <tr r="AT774" s="1"/>
      </tp>
      <tp t="s">
        <v>1998-09-02</v>
        <stp/>
        <stp>EM_S_IPO_LISTEDDATE</stp>
        <stp>1</stp>
        <stp>000881</stp>
        <tr r="AT2108" s="1"/>
      </tp>
      <tp t="s">
        <v>2017-06-22</v>
        <stp/>
        <stp>EM_S_IPO_LISTEDDATE</stp>
        <stp>1</stp>
        <stp>002881</stp>
        <tr r="AT534" s="1"/>
      </tp>
      <tp t="s">
        <v>1998-04-02</v>
        <stp/>
        <stp>EM_S_IPO_LISTEDDATE</stp>
        <stp>1</stp>
        <stp>000880</stp>
        <tr r="AT1865" s="1"/>
      </tp>
      <tp t="s">
        <v>2017-06-16</v>
        <stp/>
        <stp>EM_S_IPO_LISTEDDATE</stp>
        <stp>1</stp>
        <stp>002880</stp>
        <tr r="AT1086" s="1"/>
      </tp>
      <tp t="s">
        <v>1998-05-19</v>
        <stp/>
        <stp>EM_S_IPO_LISTEDDATE</stp>
        <stp>1</stp>
        <stp>000883</stp>
        <tr r="AT1562" s="1"/>
      </tp>
      <tp t="s">
        <v>2017-06-20</v>
        <stp/>
        <stp>EM_S_IPO_LISTEDDATE</stp>
        <stp>1</stp>
        <stp>002883</stp>
        <tr r="AT2216" s="1"/>
      </tp>
      <tp t="s">
        <v>1998-06-16</v>
        <stp/>
        <stp>EM_S_IPO_LISTEDDATE</stp>
        <stp>1</stp>
        <stp>000882</stp>
        <tr r="AT2222" s="1"/>
      </tp>
      <tp t="s">
        <v>2017-07-17</v>
        <stp/>
        <stp>EM_S_IPO_LISTEDDATE</stp>
        <stp>1</stp>
        <stp>002882</stp>
        <tr r="AT1759" s="1"/>
      </tp>
      <tp t="s">
        <v>1996-04-26</v>
        <stp/>
        <stp>EM_S_IPO_LISTEDDATE</stp>
        <stp>1</stp>
        <stp>600899</stp>
        <tr r="AT2333" s="1"/>
      </tp>
      <tp t="s">
        <v>2008-04-25</v>
        <stp/>
        <stp>EM_S_IPO_LISTEDDATE</stp>
        <stp>1</stp>
        <stp>601899</stp>
        <tr r="AT838" s="1"/>
      </tp>
      <tp t="s">
        <v>2015-01-27</v>
        <stp/>
        <stp>EM_S_IPO_LISTEDDATE</stp>
        <stp>1</stp>
        <stp>603899</stp>
        <tr r="AT439" s="1"/>
      </tp>
      <tp t="s">
        <v>1996-04-18</v>
        <stp/>
        <stp>EM_S_IPO_LISTEDDATE</stp>
        <stp>1</stp>
        <stp>600898</stp>
        <tr r="AT2388" s="1"/>
      </tp>
      <tp t="s">
        <v>2008-02-01</v>
        <stp/>
        <stp>EM_S_IPO_LISTEDDATE</stp>
        <stp>1</stp>
        <stp>601898</stp>
        <tr r="AT1860" s="1"/>
      </tp>
      <tp t="s">
        <v>2015-02-17</v>
        <stp/>
        <stp>EM_S_IPO_LISTEDDATE</stp>
        <stp>1</stp>
        <stp>603898</stp>
        <tr r="AT2001" s="1"/>
      </tp>
      <tp t="s">
        <v>1996-04-22</v>
        <stp/>
        <stp>EM_S_IPO_LISTEDDATE</stp>
        <stp>1</stp>
        <stp>600895</stp>
        <tr r="AT2139" s="1"/>
      </tp>
      <tp t="s">
        <v>2018-01-22</v>
        <stp/>
        <stp>EM_S_IPO_LISTEDDATE</stp>
        <stp>1</stp>
        <stp>603895</stp>
        <tr r="AT2804" s="1"/>
      </tp>
      <tp t="s">
        <v>1996-03-28</v>
        <stp/>
        <stp>EM_S_IPO_LISTEDDATE</stp>
        <stp>1</stp>
        <stp>600894</stp>
        <tr r="AT802" s="1"/>
      </tp>
      <tp t="s">
        <v>1996-05-31</v>
        <stp/>
        <stp>EM_S_IPO_LISTEDDATE</stp>
        <stp>1</stp>
        <stp>600897</stp>
        <tr r="AT2061" s="1"/>
      </tp>
      <tp t="s">
        <v>2018-04-10</v>
        <stp/>
        <stp>EM_S_IPO_LISTEDDATE</stp>
        <stp>1</stp>
        <stp>603897</stp>
        <tr r="AT2927" s="1"/>
      </tp>
      <tp t="s">
        <v>1996-05-03</v>
        <stp/>
        <stp>EM_S_IPO_LISTEDDATE</stp>
        <stp>1</stp>
        <stp>600896</stp>
        <tr r="AT1511" s="1"/>
      </tp>
      <tp t="s">
        <v>2017-05-10</v>
        <stp/>
        <stp>EM_S_IPO_LISTEDDATE</stp>
        <stp>1</stp>
        <stp>603896</stp>
        <tr r="AT1605" s="1"/>
      </tp>
      <tp t="s">
        <v>1996-03-25</v>
        <stp/>
        <stp>EM_S_IPO_LISTEDDATE</stp>
        <stp>1</stp>
        <stp>600891</stp>
        <tr r="AT3403" s="1"/>
      </tp>
      <tp t="s">
        <v>1996-03-18</v>
        <stp/>
        <stp>EM_S_IPO_LISTEDDATE</stp>
        <stp>1</stp>
        <stp>600890</stp>
        <tr r="AT3134" s="1"/>
      </tp>
      <tp t="s">
        <v>2010-12-28</v>
        <stp/>
        <stp>EM_S_IPO_LISTEDDATE</stp>
        <stp>1</stp>
        <stp>601890</stp>
        <tr r="AT410" s="1"/>
      </tp>
      <tp t="s">
        <v>2017-12-12</v>
        <stp/>
        <stp>EM_S_IPO_LISTEDDATE</stp>
        <stp>1</stp>
        <stp>603890</stp>
        <tr r="AT2755" s="1"/>
      </tp>
      <tp t="s">
        <v>1996-04-08</v>
        <stp/>
        <stp>EM_S_IPO_LISTEDDATE</stp>
        <stp>1</stp>
        <stp>600893</stp>
        <tr r="AT2384" s="1"/>
      </tp>
      <tp t="s">
        <v>1996-03-15</v>
        <stp/>
        <stp>EM_S_IPO_LISTEDDATE</stp>
        <stp>1</stp>
        <stp>600892</stp>
        <tr r="AT3227" s="1"/>
      </tp>
      <tp t="s">
        <v>1996-03-08</v>
        <stp/>
        <stp>EM_S_IPO_LISTEDDATE</stp>
        <stp>1</stp>
        <stp>600889</stp>
        <tr r="AT2344" s="1"/>
      </tp>
      <tp t="s">
        <v>2014-12-31</v>
        <stp/>
        <stp>EM_S_IPO_LISTEDDATE</stp>
        <stp>1</stp>
        <stp>603889</stp>
        <tr r="AT3265" s="1"/>
      </tp>
      <tp t="s">
        <v>1996-02-15</v>
        <stp/>
        <stp>EM_S_IPO_LISTEDDATE</stp>
        <stp>1</stp>
        <stp>600888</stp>
        <tr r="AT1734" s="1"/>
      </tp>
      <tp t="s">
        <v>2009-10-15</v>
        <stp/>
        <stp>EM_S_IPO_LISTEDDATE</stp>
        <stp>1</stp>
        <stp>601888</stp>
        <tr r="AT601" s="1"/>
      </tp>
      <tp t="s">
        <v>2016-10-28</v>
        <stp/>
        <stp>EM_S_IPO_LISTEDDATE</stp>
        <stp>1</stp>
        <stp>603888</stp>
        <tr r="AT402" s="1"/>
      </tp>
      <tp t="s">
        <v>1996-02-05</v>
        <stp/>
        <stp>EM_S_IPO_LISTEDDATE</stp>
        <stp>1</stp>
        <stp>600885</stp>
        <tr r="AT497" s="1"/>
      </tp>
      <tp t="s">
        <v>2015-05-27</v>
        <stp/>
        <stp>EM_S_IPO_LISTEDDATE</stp>
        <stp>1</stp>
        <stp>603885</stp>
        <tr r="AT1184" s="1"/>
      </tp>
      <tp t="s">
        <v>1996-01-30</v>
        <stp/>
        <stp>EM_S_IPO_LISTEDDATE</stp>
        <stp>1</stp>
        <stp>600884</stp>
        <tr r="AT1987" s="1"/>
      </tp>
      <tp t="s">
        <v>1996-03-12</v>
        <stp/>
        <stp>EM_S_IPO_LISTEDDATE</stp>
        <stp>1</stp>
        <stp>600887</stp>
        <tr r="AT827" s="1"/>
      </tp>
      <tp t="s">
        <v>2016-10-10</v>
        <stp/>
        <stp>EM_S_IPO_LISTEDDATE</stp>
        <stp>1</stp>
        <stp>603887</stp>
        <tr r="AT293" s="1"/>
      </tp>
      <tp t="s">
        <v>1996-01-18</v>
        <stp/>
        <stp>EM_S_IPO_LISTEDDATE</stp>
        <stp>1</stp>
        <stp>600886</stp>
        <tr r="AT1548" s="1"/>
      </tp>
      <tp t="s">
        <v>2011-08-18</v>
        <stp/>
        <stp>EM_S_IPO_LISTEDDATE</stp>
        <stp>1</stp>
        <stp>601886</stp>
        <tr r="AT2479" s="1"/>
      </tp>
      <tp t="s">
        <v>2016-12-28</v>
        <stp/>
        <stp>EM_S_IPO_LISTEDDATE</stp>
        <stp>1</stp>
        <stp>603886</stp>
        <tr r="AT2380" s="1"/>
      </tp>
      <tp t="s">
        <v>1995-11-15</v>
        <stp/>
        <stp>EM_S_IPO_LISTEDDATE</stp>
        <stp>1</stp>
        <stp>600881</stp>
        <tr r="AT2561" s="1"/>
      </tp>
      <tp t="s">
        <v>2017-01-23</v>
        <stp/>
        <stp>EM_S_IPO_LISTEDDATE</stp>
        <stp>1</stp>
        <stp>601881</stp>
        <tr r="AT338" s="1"/>
      </tp>
      <tp t="s">
        <v>2017-02-08</v>
        <stp/>
        <stp>EM_S_IPO_LISTEDDATE</stp>
        <stp>1</stp>
        <stp>603881</stp>
        <tr r="AT513" s="1"/>
      </tp>
      <tp t="s">
        <v>1995-11-15</v>
        <stp/>
        <stp>EM_S_IPO_LISTEDDATE</stp>
        <stp>1</stp>
        <stp>600880</stp>
        <tr r="AT1852" s="1"/>
      </tp>
      <tp t="s">
        <v>2010-12-06</v>
        <stp/>
        <stp>EM_S_IPO_LISTEDDATE</stp>
        <stp>1</stp>
        <stp>601880</stp>
        <tr r="AT1781" s="1"/>
      </tp>
      <tp t="s">
        <v>2017-08-07</v>
        <stp/>
        <stp>EM_S_IPO_LISTEDDATE</stp>
        <stp>1</stp>
        <stp>603880</stp>
        <tr r="AT2774" s="1"/>
      </tp>
      <tp t="s">
        <v>1995-12-08</v>
        <stp/>
        <stp>EM_S_IPO_LISTEDDATE</stp>
        <stp>1</stp>
        <stp>600883</stp>
        <tr r="AT1056" s="1"/>
      </tp>
      <tp t="s">
        <v>2015-04-23</v>
        <stp/>
        <stp>EM_S_IPO_LISTEDDATE</stp>
        <stp>1</stp>
        <stp>603883</stp>
        <tr r="AT819" s="1"/>
      </tp>
      <tp t="s">
        <v>1995-12-06</v>
        <stp/>
        <stp>EM_S_IPO_LISTEDDATE</stp>
        <stp>1</stp>
        <stp>600882</stp>
        <tr r="AT211" s="1"/>
      </tp>
      <tp t="s">
        <v>2016-11-07</v>
        <stp/>
        <stp>EM_S_IPO_LISTEDDATE</stp>
        <stp>1</stp>
        <stp>601882</stp>
        <tr r="AT2144" s="1"/>
      </tp>
      <tp t="s">
        <v>2017-09-08</v>
        <stp/>
        <stp>EM_S_IPO_LISTEDDATE</stp>
        <stp>1</stp>
        <stp>603882</stp>
        <tr r="AT116" s="1"/>
      </tp>
      <tp t="s">
        <v>1997-06-25</v>
        <stp/>
        <stp>EM_S_IPO_LISTEDDATE</stp>
        <stp>1</stp>
        <stp>000819</stp>
        <tr r="AT2694" s="1"/>
      </tp>
      <tp t="s">
        <v>1995-11-15</v>
        <stp/>
        <stp>EM_S_IPO_LISTEDDATE</stp>
        <stp>1</stp>
        <stp>600879</stp>
        <tr r="AT1674" s="1"/>
      </tp>
      <tp t="s">
        <v>2016-11-11</v>
        <stp/>
        <stp>EM_S_IPO_LISTEDDATE</stp>
        <stp>1</stp>
        <stp>002819</stp>
        <tr r="AT1242" s="1"/>
      </tp>
      <tp t="s">
        <v>2017-06-14</v>
        <stp/>
        <stp>EM_S_IPO_LISTEDDATE</stp>
        <stp>1</stp>
        <stp>603879</stp>
        <tr r="AT1251" s="1"/>
      </tp>
      <tp t="s">
        <v>1997-10-17</v>
        <stp/>
        <stp>EM_S_IPO_LISTEDDATE</stp>
        <stp>1</stp>
        <stp>000818</stp>
        <tr r="AT176" s="1"/>
      </tp>
      <tp t="s">
        <v>1995-10-13</v>
        <stp/>
        <stp>EM_S_IPO_LISTEDDATE</stp>
        <stp>1</stp>
        <stp>600878</stp>
        <tr r="AT2332" s="1"/>
      </tp>
      <tp t="s">
        <v>2017-06-26</v>
        <stp/>
        <stp>EM_S_IPO_LISTEDDATE</stp>
        <stp>1</stp>
        <stp>601878</stp>
        <tr r="AT466" s="1"/>
      </tp>
      <tp t="s">
        <v>2016-11-09</v>
        <stp/>
        <stp>EM_S_IPO_LISTEDDATE</stp>
        <stp>1</stp>
        <stp>002818</stp>
        <tr r="AT3300" s="1"/>
      </tp>
      <tp t="s">
        <v>2016-12-19</v>
        <stp/>
        <stp>EM_S_IPO_LISTEDDATE</stp>
        <stp>1</stp>
        <stp>603878</stp>
        <tr r="AT2363" s="1"/>
      </tp>
      <tp t="s">
        <v>1998-06-09</v>
        <stp/>
        <stp>EM_S_IPO_LISTEDDATE</stp>
        <stp>1</stp>
        <stp>000815</stp>
        <tr r="AT2186" s="1"/>
      </tp>
      <tp t="s">
        <v>1995-10-10</v>
        <stp/>
        <stp>EM_S_IPO_LISTEDDATE</stp>
        <stp>1</stp>
        <stp>600875</stp>
        <tr r="AT1425" s="1"/>
      </tp>
      <tp t="s">
        <v>2016-10-12</v>
        <stp/>
        <stp>EM_S_IPO_LISTEDDATE</stp>
        <stp>1</stp>
        <stp>002815</stp>
        <tr r="AT1314" s="1"/>
      </tp>
      <tp t="s">
        <v>1995-06-30</v>
        <stp/>
        <stp>EM_S_IPO_LISTEDDATE</stp>
        <stp>1</stp>
        <stp>600874</stp>
        <tr r="AT2879" s="1"/>
      </tp>
      <tp t="s">
        <v>1998-05-28</v>
        <stp/>
        <stp>EM_S_IPO_LISTEDDATE</stp>
        <stp>1</stp>
        <stp>000817</stp>
        <tr r="AT3548" s="1"/>
      </tp>
      <tp t="s">
        <v>1995-10-13</v>
        <stp/>
        <stp>EM_S_IPO_LISTEDDATE</stp>
        <stp>1</stp>
        <stp>600877</stp>
        <tr r="AT1175" s="1"/>
      </tp>
      <tp t="s">
        <v>2010-01-21</v>
        <stp/>
        <stp>EM_S_IPO_LISTEDDATE</stp>
        <stp>1</stp>
        <stp>601877</stp>
        <tr r="AT1679" s="1"/>
      </tp>
      <tp t="s">
        <v>2016-10-25</v>
        <stp/>
        <stp>EM_S_IPO_LISTEDDATE</stp>
        <stp>1</stp>
        <stp>002817</stp>
        <tr r="AT851" s="1"/>
      </tp>
      <tp t="s">
        <v>2017-01-09</v>
        <stp/>
        <stp>EM_S_IPO_LISTEDDATE</stp>
        <stp>1</stp>
        <stp>603877</stp>
        <tr r="AT2990" s="1"/>
      </tp>
      <tp t="s">
        <v>1997-08-18</v>
        <stp/>
        <stp>EM_S_IPO_LISTEDDATE</stp>
        <stp>1</stp>
        <stp>000816</stp>
        <tr r="AT3547" s="1"/>
      </tp>
      <tp t="s">
        <v>1995-10-31</v>
        <stp/>
        <stp>EM_S_IPO_LISTEDDATE</stp>
        <stp>1</stp>
        <stp>600876</stp>
        <tr r="AT598" s="1"/>
      </tp>
      <tp t="s">
        <v>2016-10-25</v>
        <stp/>
        <stp>EM_S_IPO_LISTEDDATE</stp>
        <stp>1</stp>
        <stp>002816</stp>
        <tr r="AT652" s="1"/>
      </tp>
      <tp t="s">
        <v>2018-04-18</v>
        <stp/>
        <stp>EM_S_IPO_LISTEDDATE</stp>
        <stp>1</stp>
        <stp>603876</stp>
        <tr r="AT2926" s="1"/>
      </tp>
      <tp t="s">
        <v>1998-05-28</v>
        <stp/>
        <stp>EM_S_IPO_LISTEDDATE</stp>
        <stp>1</stp>
        <stp>000811</stp>
        <tr r="AT843" s="1"/>
      </tp>
      <tp t="s">
        <v>1995-04-11</v>
        <stp/>
        <stp>EM_S_IPO_LISTEDDATE</stp>
        <stp>1</stp>
        <stp>600871</stp>
        <tr r="AT1178" s="1"/>
      </tp>
      <tp t="s">
        <v>2016-09-08</v>
        <stp/>
        <stp>EM_S_IPO_LISTEDDATE</stp>
        <stp>1</stp>
        <stp>002811</stp>
        <tr r="AT2796" s="1"/>
      </tp>
      <tp t="s">
        <v>2018-02-06</v>
        <stp/>
        <stp>EM_S_IPO_LISTEDDATE</stp>
        <stp>1</stp>
        <stp>603871</stp>
        <tr r="AT2770" s="1"/>
      </tp>
      <tp t="s">
        <v>1998-06-02</v>
        <stp/>
        <stp>EM_S_IPO_LISTEDDATE</stp>
        <stp>1</stp>
        <stp>000810</stp>
        <tr r="AT139" s="1"/>
      </tp>
      <tp t="s">
        <v>1995-02-28</v>
        <stp/>
        <stp>EM_S_IPO_LISTEDDATE</stp>
        <stp>1</stp>
        <stp>600870</stp>
        <tr r="AT2830" s="1"/>
      </tp>
      <tp t="s">
        <v>2016-08-26</v>
        <stp/>
        <stp>EM_S_IPO_LISTEDDATE</stp>
        <stp>1</stp>
        <stp>002810</stp>
        <tr r="AT1778" s="1"/>
      </tp>
      <tp t="s">
        <v>1998-05-19</v>
        <stp/>
        <stp>EM_S_IPO_LISTEDDATE</stp>
        <stp>1</stp>
        <stp>000813</stp>
        <tr r="AT3236" s="1"/>
      </tp>
      <tp t="s">
        <v>1995-02-17</v>
        <stp/>
        <stp>EM_S_IPO_LISTEDDATE</stp>
        <stp>1</stp>
        <stp>600873</stp>
        <tr r="AT2002" s="1"/>
      </tp>
      <tp t="s">
        <v>2016-10-12</v>
        <stp/>
        <stp>EM_S_IPO_LISTEDDATE</stp>
        <stp>1</stp>
        <stp>002813</stp>
        <tr r="AT2566" s="1"/>
      </tp>
      <tp t="s">
        <v>1998-06-23</v>
        <stp/>
        <stp>EM_S_IPO_LISTEDDATE</stp>
        <stp>1</stp>
        <stp>000812</stp>
        <tr r="AT2624" s="1"/>
      </tp>
      <tp t="s">
        <v>1995-01-24</v>
        <stp/>
        <stp>EM_S_IPO_LISTEDDATE</stp>
        <stp>1</stp>
        <stp>600872</stp>
        <tr r="AT909" s="1"/>
      </tp>
      <tp t="s">
        <v>2006-12-01</v>
        <stp/>
        <stp>EM_S_IPO_LISTEDDATE</stp>
        <stp>1</stp>
        <stp>601872</stp>
        <tr r="AT137" s="1"/>
      </tp>
      <tp t="s">
        <v>2016-09-14</v>
        <stp/>
        <stp>EM_S_IPO_LISTEDDATE</stp>
        <stp>1</stp>
        <stp>002812</stp>
        <tr r="AT2026" s="1"/>
      </tp>
      <tp t="s">
        <v>1998-06-16</v>
        <stp/>
        <stp>EM_S_IPO_LISTEDDATE</stp>
        <stp>1</stp>
        <stp>000809</stp>
        <tr r="AT2356" s="1"/>
      </tp>
      <tp t="s">
        <v>1995-02-06</v>
        <stp/>
        <stp>EM_S_IPO_LISTEDDATE</stp>
        <stp>1</stp>
        <stp>600869</stp>
        <tr r="AT2251" s="1"/>
      </tp>
      <tp t="s">
        <v>2016-08-23</v>
        <stp/>
        <stp>EM_S_IPO_LISTEDDATE</stp>
        <stp>1</stp>
        <stp>002809</stp>
        <tr r="AT961" s="1"/>
      </tp>
      <tp t="s">
        <v>2015-03-26</v>
        <stp/>
        <stp>EM_S_IPO_LISTEDDATE</stp>
        <stp>1</stp>
        <stp>603869</stp>
        <tr r="AT3074" s="1"/>
      </tp>
      <tp t="s">
        <v>1994-09-12</v>
        <stp/>
        <stp>EM_S_IPO_LISTEDDATE</stp>
        <stp>1</stp>
        <stp>600868</stp>
        <tr r="AT1248" s="1"/>
      </tp>
      <tp t="s">
        <v>2016-08-12</v>
        <stp/>
        <stp>EM_S_IPO_LISTEDDATE</stp>
        <stp>1</stp>
        <stp>002808</stp>
        <tr r="AT3161" s="1"/>
      </tp>
      <tp t="s">
        <v>2016-04-18</v>
        <stp/>
        <stp>EM_S_IPO_LISTEDDATE</stp>
        <stp>1</stp>
        <stp>603868</stp>
        <tr r="AT2443" s="1"/>
      </tp>
      <tp t="s">
        <v>1998-05-29</v>
        <stp/>
        <stp>EM_S_IPO_LISTEDDATE</stp>
        <stp>1</stp>
        <stp>000805</stp>
        <tr r="AT3544" s="1"/>
      </tp>
      <tp t="s">
        <v>1994-08-09</v>
        <stp/>
        <stp>EM_S_IPO_LISTEDDATE</stp>
        <stp>1</stp>
        <stp>600865</stp>
        <tr r="AT1563" s="1"/>
      </tp>
      <tp t="s">
        <v>2016-07-07</v>
        <stp/>
        <stp>EM_S_IPO_LISTEDDATE</stp>
        <stp>1</stp>
        <stp>002805</stp>
        <tr r="AT3062" s="1"/>
      </tp>
      <tp t="s">
        <v>1994-08-09</v>
        <stp/>
        <stp>EM_S_IPO_LISTEDDATE</stp>
        <stp>1</stp>
        <stp>600864</stp>
        <tr r="AT222" s="1"/>
      </tp>
      <tp t="s">
        <v>1998-04-08</v>
        <stp/>
        <stp>EM_S_IPO_LISTEDDATE</stp>
        <stp>1</stp>
        <stp>000807</stp>
        <tr r="AT3546" s="1"/>
      </tp>
      <tp t="s">
        <v>1994-08-24</v>
        <stp/>
        <stp>EM_S_IPO_LISTEDDATE</stp>
        <stp>1</stp>
        <stp>600867</stp>
        <tr r="AT2809" s="1"/>
      </tp>
      <tp t="s">
        <v>2016-09-02</v>
        <stp/>
        <stp>EM_S_IPO_LISTEDDATE</stp>
        <stp>1</stp>
        <stp>002807</stp>
        <tr r="AT2715" s="1"/>
      </tp>
      <tp t="s">
        <v>1998-04-16</v>
        <stp/>
        <stp>EM_S_IPO_LISTEDDATE</stp>
        <stp>1</stp>
        <stp>000806</stp>
        <tr r="AT3545" s="1"/>
      </tp>
      <tp t="s">
        <v>1994-08-18</v>
        <stp/>
        <stp>EM_S_IPO_LISTEDDATE</stp>
        <stp>1</stp>
        <stp>600866</stp>
        <tr r="AT736" s="1"/>
      </tp>
      <tp t="s">
        <v>2007-12-12</v>
        <stp/>
        <stp>EM_S_IPO_LISTEDDATE</stp>
        <stp>1</stp>
        <stp>601866</stp>
        <tr r="AT1597" s="1"/>
      </tp>
      <tp t="s">
        <v>2016-07-26</v>
        <stp/>
        <stp>EM_S_IPO_LISTEDDATE</stp>
        <stp>1</stp>
        <stp>002806</stp>
        <tr r="AT3132" s="1"/>
      </tp>
      <tp t="s">
        <v>2015-12-22</v>
        <stp/>
        <stp>EM_S_IPO_LISTEDDATE</stp>
        <stp>1</stp>
        <stp>603866</stp>
        <tr r="AT2655" s="1"/>
      </tp>
      <tp t="s">
        <v>1998-05-06</v>
        <stp/>
        <stp>EM_S_IPO_LISTEDDATE</stp>
        <stp>1</stp>
        <stp>000801</stp>
        <tr r="AT1131" s="1"/>
      </tp>
      <tp t="s">
        <v>1994-05-20</v>
        <stp/>
        <stp>EM_S_IPO_LISTEDDATE</stp>
        <stp>1</stp>
        <stp>600861</stp>
        <tr r="AT1151" s="1"/>
      </tp>
      <tp t="s">
        <v>2016-06-22</v>
        <stp/>
        <stp>EM_S_IPO_LISTEDDATE</stp>
        <stp>1</stp>
        <stp>002801</stp>
        <tr r="AT345" s="1"/>
      </tp>
      <tp t="s">
        <v>2016-03-22</v>
        <stp/>
        <stp>EM_S_IPO_LISTEDDATE</stp>
        <stp>1</stp>
        <stp>603861</stp>
        <tr r="AT3153" s="1"/>
      </tp>
      <tp t="s">
        <v>1997-06-18</v>
        <stp/>
        <stp>EM_S_IPO_LISTEDDATE</stp>
        <stp>1</stp>
        <stp>000800</stp>
        <tr r="AT3542" s="1"/>
      </tp>
      <tp t="s">
        <v>1994-05-06</v>
        <stp/>
        <stp>EM_S_IPO_LISTEDDATE</stp>
        <stp>1</stp>
        <stp>600860</stp>
        <tr r="AT816" s="1"/>
      </tp>
      <tp t="s">
        <v>2016-05-30</v>
        <stp/>
        <stp>EM_S_IPO_LISTEDDATE</stp>
        <stp>1</stp>
        <stp>002800</stp>
        <tr r="AT363" s="1"/>
      </tp>
      <tp t="s">
        <v>2017-08-02</v>
        <stp/>
        <stp>EM_S_IPO_LISTEDDATE</stp>
        <stp>1</stp>
        <stp>603860</stp>
        <tr r="AT1627" s="1"/>
      </tp>
      <tp t="s">
        <v>1998-03-03</v>
        <stp/>
        <stp>EM_S_IPO_LISTEDDATE</stp>
        <stp>1</stp>
        <stp>000803</stp>
        <tr r="AT1520" s="1"/>
      </tp>
      <tp t="s">
        <v>1994-05-20</v>
        <stp/>
        <stp>EM_S_IPO_LISTEDDATE</stp>
        <stp>1</stp>
        <stp>600863</stp>
        <tr r="AT1344" s="1"/>
      </tp>
      <tp t="s">
        <v>2016-07-12</v>
        <stp/>
        <stp>EM_S_IPO_LISTEDDATE</stp>
        <stp>1</stp>
        <stp>002803</stp>
        <tr r="AT257" s="1"/>
      </tp>
      <tp t="s">
        <v>1998-01-08</v>
        <stp/>
        <stp>EM_S_IPO_LISTEDDATE</stp>
        <stp>1</stp>
        <stp>000802</stp>
        <tr r="AT3543" s="1"/>
      </tp>
      <tp t="s">
        <v>1994-05-20</v>
        <stp/>
        <stp>EM_S_IPO_LISTEDDATE</stp>
        <stp>1</stp>
        <stp>600862</stp>
        <tr r="AT174" s="1"/>
      </tp>
      <tp t="s">
        <v>2016-06-29</v>
        <stp/>
        <stp>EM_S_IPO_LISTEDDATE</stp>
        <stp>1</stp>
        <stp>002802</stp>
        <tr r="AT2459" s="1"/>
      </tp>
      <tp t="s">
        <v>1997-10-31</v>
        <stp/>
        <stp>EM_S_IPO_LISTEDDATE</stp>
        <stp>1</stp>
        <stp>000839</stp>
        <tr r="AT3555" s="1"/>
      </tp>
      <tp t="s">
        <v>1994-05-06</v>
        <stp/>
        <stp>EM_S_IPO_LISTEDDATE</stp>
        <stp>1</stp>
        <stp>600859</stp>
        <tr r="AT2086" s="1"/>
      </tp>
      <tp t="s">
        <v>2017-01-24</v>
        <stp/>
        <stp>EM_S_IPO_LISTEDDATE</stp>
        <stp>1</stp>
        <stp>002839</stp>
        <tr r="AT1722" s="1"/>
      </tp>
      <tp t="s">
        <v>2016-10-21</v>
        <stp/>
        <stp>EM_S_IPO_LISTEDDATE</stp>
        <stp>1</stp>
        <stp>603859</stp>
        <tr r="AT443" s="1"/>
      </tp>
      <tp t="s">
        <v>1997-06-26</v>
        <stp/>
        <stp>EM_S_IPO_LISTEDDATE</stp>
        <stp>1</stp>
        <stp>000838</stp>
        <tr r="AT1804" s="1"/>
      </tp>
      <tp t="s">
        <v>1994-05-06</v>
        <stp/>
        <stp>EM_S_IPO_LISTEDDATE</stp>
        <stp>1</stp>
        <stp>600858</stp>
        <tr r="AT2088" s="1"/>
      </tp>
      <tp t="s">
        <v>2017-01-18</v>
        <stp/>
        <stp>EM_S_IPO_LISTEDDATE</stp>
        <stp>1</stp>
        <stp>601858</stp>
        <tr r="AT1108" s="1"/>
      </tp>
      <tp t="s">
        <v>2017-01-06</v>
        <stp/>
        <stp>EM_S_IPO_LISTEDDATE</stp>
        <stp>1</stp>
        <stp>002838</stp>
        <tr r="AT3303" s="1"/>
      </tp>
      <tp t="s">
        <v>2016-11-18</v>
        <stp/>
        <stp>EM_S_IPO_LISTEDDATE</stp>
        <stp>1</stp>
        <stp>603858</stp>
        <tr r="AT3059" s="1"/>
      </tp>
      <tp t="s">
        <v>1999-06-25</v>
        <stp/>
        <stp>EM_S_IPO_LISTEDDATE</stp>
        <stp>1</stp>
        <stp>000835</stp>
        <tr r="AT3553" s="1"/>
      </tp>
      <tp t="s">
        <v>1994-04-25</v>
        <stp/>
        <stp>EM_S_IPO_LISTEDDATE</stp>
        <stp>1</stp>
        <stp>600855</stp>
        <tr r="AT817" s="1"/>
      </tp>
      <tp t="s">
        <v>2016-12-28</v>
        <stp/>
        <stp>EM_S_IPO_LISTEDDATE</stp>
        <stp>1</stp>
        <stp>002835</stp>
        <tr r="AT321" s="1"/>
      </tp>
      <tp t="s">
        <v>2017-05-24</v>
        <stp/>
        <stp>EM_S_IPO_LISTEDDATE</stp>
        <stp>1</stp>
        <stp>603855</stp>
        <tr r="AT1126" s="1"/>
      </tp>
      <tp t="s">
        <v>1994-04-25</v>
        <stp/>
        <stp>EM_S_IPO_LISTEDDATE</stp>
        <stp>1</stp>
        <stp>600854</stp>
        <tr r="AT1766" s="1"/>
      </tp>
      <tp t="s">
        <v>1998-09-28</v>
        <stp/>
        <stp>EM_S_IPO_LISTEDDATE</stp>
        <stp>1</stp>
        <stp>000837</stp>
        <tr r="AT3554" s="1"/>
      </tp>
      <tp t="s">
        <v>1994-04-25</v>
        <stp/>
        <stp>EM_S_IPO_LISTEDDATE</stp>
        <stp>1</stp>
        <stp>600857</stp>
        <tr r="AT1701" s="1"/>
      </tp>
      <tp t="s">
        <v>2007-11-05</v>
        <stp/>
        <stp>EM_S_IPO_LISTEDDATE</stp>
        <stp>1</stp>
        <stp>601857</stp>
        <tr r="AT3048" s="1"/>
      </tp>
      <tp t="s">
        <v>2016-12-29</v>
        <stp/>
        <stp>EM_S_IPO_LISTEDDATE</stp>
        <stp>1</stp>
        <stp>002837</stp>
        <tr r="AT1629" s="1"/>
      </tp>
      <tp t="s">
        <v>1997-09-29</v>
        <stp/>
        <stp>EM_S_IPO_LISTEDDATE</stp>
        <stp>1</stp>
        <stp>000836</stp>
        <tr r="AT2534" s="1"/>
      </tp>
      <tp t="s">
        <v>1994-04-25</v>
        <stp/>
        <stp>EM_S_IPO_LISTEDDATE</stp>
        <stp>1</stp>
        <stp>600856</stp>
        <tr r="AT3278" s="1"/>
      </tp>
      <tp t="s">
        <v>2016-12-29</v>
        <stp/>
        <stp>EM_S_IPO_LISTEDDATE</stp>
        <stp>1</stp>
        <stp>002836</stp>
        <tr r="AT2009" s="1"/>
      </tp>
      <tp t="s">
        <v>2017-11-06</v>
        <stp/>
        <stp>EM_S_IPO_LISTEDDATE</stp>
        <stp>1</stp>
        <stp>603856</stp>
        <tr r="AT2996" s="1"/>
      </tp>
      <tp t="s">
        <v>1998-09-11</v>
        <stp/>
        <stp>EM_S_IPO_LISTEDDATE</stp>
        <stp>1</stp>
        <stp>000831</stp>
        <tr r="AT465" s="1"/>
      </tp>
      <tp t="s">
        <v>1994-04-04</v>
        <stp/>
        <stp>EM_S_IPO_LISTEDDATE</stp>
        <stp>1</stp>
        <stp>600851</stp>
        <tr r="AT1652" s="1"/>
      </tp>
      <tp t="s">
        <v>2016-12-16</v>
        <stp/>
        <stp>EM_S_IPO_LISTEDDATE</stp>
        <stp>1</stp>
        <stp>002831</stp>
        <tr r="AT3252" s="1"/>
      </tp>
      <tp t="s">
        <v>1998-08-07</v>
        <stp/>
        <stp>EM_S_IPO_LISTEDDATE</stp>
        <stp>1</stp>
        <stp>000830</stp>
        <tr r="AT2036" s="1"/>
      </tp>
      <tp t="s">
        <v>1994-03-24</v>
        <stp/>
        <stp>EM_S_IPO_LISTEDDATE</stp>
        <stp>1</stp>
        <stp>600850</stp>
        <tr r="AT441" s="1"/>
      </tp>
      <tp t="s">
        <v>2016-12-13</v>
        <stp/>
        <stp>EM_S_IPO_LISTEDDATE</stp>
        <stp>1</stp>
        <stp>002830</stp>
        <tr r="AT2632" s="1"/>
      </tp>
      <tp t="s">
        <v>1998-11-11</v>
        <stp/>
        <stp>EM_S_IPO_LISTEDDATE</stp>
        <stp>1</stp>
        <stp>000833</stp>
        <tr r="AT1707" s="1"/>
      </tp>
      <tp t="s">
        <v>1994-04-04</v>
        <stp/>
        <stp>EM_S_IPO_LISTEDDATE</stp>
        <stp>1</stp>
        <stp>600853</stp>
        <tr r="AT2699" s="1"/>
      </tp>
      <tp t="s">
        <v>2016-12-28</v>
        <stp/>
        <stp>EM_S_IPO_LISTEDDATE</stp>
        <stp>1</stp>
        <stp>002833</stp>
        <tr r="AT1553" s="1"/>
      </tp>
      <tp t="s">
        <v>1998-08-25</v>
        <stp/>
        <stp>EM_S_IPO_LISTEDDATE</stp>
        <stp>1</stp>
        <stp>000832</stp>
        <tr r="AT3552" s="1"/>
      </tp>
      <tp t="s">
        <v>1994-04-04</v>
        <stp/>
        <stp>EM_S_IPO_LISTEDDATE</stp>
        <stp>1</stp>
        <stp>600852</stp>
        <tr r="AT2331" s="1"/>
      </tp>
      <tp t="s">
        <v>2016-12-23</v>
        <stp/>
        <stp>EM_S_IPO_LISTEDDATE</stp>
        <stp>1</stp>
        <stp>002832</stp>
        <tr r="AT3123" s="1"/>
      </tp>
      <tp t="s">
        <v>1997-12-02</v>
        <stp/>
        <stp>EM_S_IPO_LISTEDDATE</stp>
        <stp>1</stp>
        <stp>000829</stp>
        <tr r="AT3551" s="1"/>
      </tp>
      <tp t="s">
        <v>1994-03-24</v>
        <stp/>
        <stp>EM_S_IPO_LISTEDDATE</stp>
        <stp>1</stp>
        <stp>600849</stp>
        <tr r="AT2335" s="1"/>
      </tp>
      <tp t="s">
        <v>2016-12-13</v>
        <stp/>
        <stp>EM_S_IPO_LISTEDDATE</stp>
        <stp>1</stp>
        <stp>002829</stp>
        <tr r="AT1147" s="1"/>
      </tp>
      <tp t="s">
        <v>1997-06-17</v>
        <stp/>
        <stp>EM_S_IPO_LISTEDDATE</stp>
        <stp>1</stp>
        <stp>000828</stp>
        <tr r="AT1711" s="1"/>
      </tp>
      <tp t="s">
        <v>1994-03-24</v>
        <stp/>
        <stp>EM_S_IPO_LISTEDDATE</stp>
        <stp>1</stp>
        <stp>600848</stp>
        <tr r="AT1417" s="1"/>
      </tp>
      <tp t="s">
        <v>2016-12-08</v>
        <stp/>
        <stp>EM_S_IPO_LISTEDDATE</stp>
        <stp>1</stp>
        <stp>002828</stp>
        <tr r="AT2577" s="1"/>
      </tp>
      <tp t="s">
        <v>2017-12-01</v>
        <stp/>
        <stp>EM_S_IPO_LISTEDDATE</stp>
        <stp>1</stp>
        <stp>603848</stp>
        <tr r="AT2703" s="1"/>
      </tp>
      <tp t="s">
        <v>1998-10-21</v>
        <stp/>
        <stp>EM_S_IPO_LISTEDDATE</stp>
        <stp>1</stp>
        <stp>000825</stp>
        <tr r="AT2407" s="1"/>
      </tp>
      <tp t="s">
        <v>1994-03-11</v>
        <stp/>
        <stp>EM_S_IPO_LISTEDDATE</stp>
        <stp>1</stp>
        <stp>600845</stp>
        <tr r="AT442" s="1"/>
      </tp>
      <tp t="s">
        <v>2016-11-29</v>
        <stp/>
        <stp>EM_S_IPO_LISTEDDATE</stp>
        <stp>1</stp>
        <stp>002825</stp>
        <tr r="AT2522" s="1"/>
      </tp>
      <tp t="s">
        <v>1994-03-11</v>
        <stp/>
        <stp>EM_S_IPO_LISTEDDATE</stp>
        <stp>1</stp>
        <stp>600844</stp>
        <tr r="AT467" s="1"/>
      </tp>
      <tp t="s">
        <v>2017-01-12</v>
        <stp/>
        <stp>EM_S_IPO_LISTEDDATE</stp>
        <stp>1</stp>
        <stp>002824</stp>
        <tr r="AT1249" s="1"/>
      </tp>
      <tp t="s">
        <v>1998-10-16</v>
        <stp/>
        <stp>EM_S_IPO_LISTEDDATE</stp>
        <stp>1</stp>
        <stp>000827</stp>
        <tr r="AT3550" s="1"/>
      </tp>
      <tp t="s">
        <v>1994-03-24</v>
        <stp/>
        <stp>EM_S_IPO_LISTEDDATE</stp>
        <stp>1</stp>
        <stp>600847</stp>
        <tr r="AT2395" s="1"/>
      </tp>
      <tp t="s">
        <v>2016-12-09</v>
        <stp/>
        <stp>EM_S_IPO_LISTEDDATE</stp>
        <stp>1</stp>
        <stp>002827</stp>
        <tr r="AT3229" s="1"/>
      </tp>
      <tp t="s">
        <v>1998-02-25</v>
        <stp/>
        <stp>EM_S_IPO_LISTEDDATE</stp>
        <stp>1</stp>
        <stp>000826</stp>
        <tr r="AT2803" s="1"/>
      </tp>
      <tp t="s">
        <v>1994-03-11</v>
        <stp/>
        <stp>EM_S_IPO_LISTEDDATE</stp>
        <stp>1</stp>
        <stp>600846</stp>
        <tr r="AT959" s="1"/>
      </tp>
      <tp t="s">
        <v>2016-12-09</v>
        <stp/>
        <stp>EM_S_IPO_LISTEDDATE</stp>
        <stp>1</stp>
        <stp>002826</stp>
        <tr r="AT2473" s="1"/>
      </tp>
      <tp t="s">
        <v>1998-06-26</v>
        <stp/>
        <stp>EM_S_IPO_LISTEDDATE</stp>
        <stp>1</stp>
        <stp>000821</stp>
        <tr r="AT2937" s="1"/>
      </tp>
      <tp t="s">
        <v>1994-03-11</v>
        <stp/>
        <stp>EM_S_IPO_LISTEDDATE</stp>
        <stp>1</stp>
        <stp>600841</stp>
        <tr r="AT1932" s="1"/>
      </tp>
      <tp t="s">
        <v>2016-11-18</v>
        <stp/>
        <stp>EM_S_IPO_LISTEDDATE</stp>
        <stp>1</stp>
        <stp>002821</stp>
        <tr r="AT209" s="1"/>
      </tp>
      <tp t="s">
        <v>1998-06-30</v>
        <stp/>
        <stp>EM_S_IPO_LISTEDDATE</stp>
        <stp>1</stp>
        <stp>000820</stp>
        <tr r="AT3549" s="1"/>
      </tp>
      <tp t="s">
        <v>1994-03-11</v>
        <stp/>
        <stp>EM_S_IPO_LISTEDDATE</stp>
        <stp>1</stp>
        <stp>600840</stp>
        <tr r="AT2329" s="1"/>
      </tp>
      <tp t="s">
        <v>2016-11-18</v>
        <stp/>
        <stp>EM_S_IPO_LISTEDDATE</stp>
        <stp>1</stp>
        <stp>002820</stp>
        <tr r="AT2429" s="1"/>
      </tp>
      <tp t="s">
        <v>1997-10-08</v>
        <stp/>
        <stp>EM_S_IPO_LISTEDDATE</stp>
        <stp>1</stp>
        <stp>000823</stp>
        <tr r="AT267" s="1"/>
      </tp>
      <tp t="s">
        <v>1994-03-11</v>
        <stp/>
        <stp>EM_S_IPO_LISTEDDATE</stp>
        <stp>1</stp>
        <stp>600843</stp>
        <tr r="AT1525" s="1"/>
      </tp>
      <tp t="s">
        <v>2016-11-24</v>
        <stp/>
        <stp>EM_S_IPO_LISTEDDATE</stp>
        <stp>1</stp>
        <stp>002823</stp>
        <tr r="AT2753" s="1"/>
      </tp>
      <tp t="s">
        <v>2016-09-05</v>
        <stp/>
        <stp>EM_S_IPO_LISTEDDATE</stp>
        <stp>1</stp>
        <stp>603843</stp>
        <tr r="AT3316" s="1"/>
      </tp>
      <tp t="s">
        <v>1998-07-03</v>
        <stp/>
        <stp>EM_S_IPO_LISTEDDATE</stp>
        <stp>1</stp>
        <stp>000822</stp>
        <tr r="AT2171" s="1"/>
      </tp>
      <tp t="s">
        <v>1994-03-11</v>
        <stp/>
        <stp>EM_S_IPO_LISTEDDATE</stp>
        <stp>1</stp>
        <stp>600842</stp>
        <tr r="AT2330" s="1"/>
      </tp>
      <tp t="s">
        <v>2016-11-29</v>
        <stp/>
        <stp>EM_S_IPO_LISTEDDATE</stp>
        <stp>1</stp>
        <stp>002822</stp>
        <tr r="AT219" s="1"/>
      </tp>
      <tp t="s">
        <v>1998-11-19</v>
        <stp/>
        <stp>EM_S_IPO_LISTEDDATE</stp>
        <stp>1</stp>
        <stp>000859</stp>
        <tr r="AT151" s="1"/>
      </tp>
      <tp t="s">
        <v>1994-03-11</v>
        <stp/>
        <stp>EM_S_IPO_LISTEDDATE</stp>
        <stp>1</stp>
        <stp>600839</stp>
        <tr r="AT1139" s="1"/>
      </tp>
      <tp t="s">
        <v>2017-04-07</v>
        <stp/>
        <stp>EM_S_IPO_LISTEDDATE</stp>
        <stp>1</stp>
        <stp>002859</stp>
        <tr r="AT1645" s="1"/>
      </tp>
      <tp t="s">
        <v>2017-02-14</v>
        <stp/>
        <stp>EM_S_IPO_LISTEDDATE</stp>
        <stp>1</stp>
        <stp>603839</stp>
        <tr r="AT1152" s="1"/>
      </tp>
      <tp t="s">
        <v>1998-04-27</v>
        <stp/>
        <stp>EM_S_IPO_LISTEDDATE</stp>
        <stp>1</stp>
        <stp>000858</stp>
        <tr r="AT65" s="1"/>
      </tp>
      <tp t="s">
        <v>1994-02-24</v>
        <stp/>
        <stp>EM_S_IPO_LISTEDDATE</stp>
        <stp>1</stp>
        <stp>600838</stp>
        <tr r="AT1970" s="1"/>
      </tp>
      <tp t="s">
        <v>2018-01-31</v>
        <stp/>
        <stp>EM_S_IPO_LISTEDDATE</stp>
        <stp>1</stp>
        <stp>601838</stp>
        <tr r="AT1663" s="1"/>
      </tp>
      <tp t="s">
        <v>2017-03-24</v>
        <stp/>
        <stp>EM_S_IPO_LISTEDDATE</stp>
        <stp>1</stp>
        <stp>002858</stp>
        <tr r="AT1816" s="1"/>
      </tp>
      <tp t="s">
        <v>2015-07-01</v>
        <stp/>
        <stp>EM_S_IPO_LISTEDDATE</stp>
        <stp>1</stp>
        <stp>603838</stp>
        <tr r="AT2880" s="1"/>
      </tp>
      <tp t="s">
        <v>1994-02-24</v>
        <stp/>
        <stp>EM_S_IPO_LISTEDDATE</stp>
        <stp>1</stp>
        <stp>600835</stp>
        <tr r="AT1537" s="1"/>
      </tp>
      <tp t="s">
        <v>2017-03-21</v>
        <stp/>
        <stp>EM_S_IPO_LISTEDDATE</stp>
        <stp>1</stp>
        <stp>002855</stp>
        <tr r="AT475" s="1"/>
      </tp>
      <tp t="s">
        <v>1994-02-24</v>
        <stp/>
        <stp>EM_S_IPO_LISTEDDATE</stp>
        <stp>1</stp>
        <stp>600834</stp>
        <tr r="AT1990" s="1"/>
      </tp>
      <tp t="s">
        <v>1994-02-24</v>
        <stp/>
        <stp>EM_S_IPO_LISTEDDATE</stp>
        <stp>1</stp>
        <stp>600837</stp>
        <tr r="AT260" s="1"/>
      </tp>
      <tp t="s">
        <v>2017-03-23</v>
        <stp/>
        <stp>EM_S_IPO_LISTEDDATE</stp>
        <stp>1</stp>
        <stp>002857</stp>
        <tr r="AT2140" s="1"/>
      </tp>
      <tp t="s">
        <v>1998-08-13</v>
        <stp/>
        <stp>EM_S_IPO_LISTEDDATE</stp>
        <stp>1</stp>
        <stp>000856</stp>
        <tr r="AT3157" s="1"/>
      </tp>
      <tp t="s">
        <v>1994-02-24</v>
        <stp/>
        <stp>EM_S_IPO_LISTEDDATE</stp>
        <stp>1</stp>
        <stp>600836</stp>
        <tr r="AT857" s="1"/>
      </tp>
      <tp t="s">
        <v>2017-03-20</v>
        <stp/>
        <stp>EM_S_IPO_LISTEDDATE</stp>
        <stp>1</stp>
        <stp>002856</stp>
        <tr r="AT2870" s="1"/>
      </tp>
      <tp t="s">
        <v>1998-06-09</v>
        <stp/>
        <stp>EM_S_IPO_LISTEDDATE</stp>
        <stp>1</stp>
        <stp>000851</stp>
        <tr r="AT1159" s="1"/>
      </tp>
      <tp t="s">
        <v>1994-02-24</v>
        <stp/>
        <stp>EM_S_IPO_LISTEDDATE</stp>
        <stp>1</stp>
        <stp>600831</stp>
        <tr r="AT788" s="1"/>
      </tp>
      <tp t="s">
        <v>2017-03-06</v>
        <stp/>
        <stp>EM_S_IPO_LISTEDDATE</stp>
        <stp>1</stp>
        <stp>002851</stp>
        <tr r="AT2406" s="1"/>
      </tp>
      <tp t="s">
        <v>1998-10-07</v>
        <stp/>
        <stp>EM_S_IPO_LISTEDDATE</stp>
        <stp>1</stp>
        <stp>000850</stp>
        <tr r="AT1049" s="1"/>
      </tp>
      <tp t="s">
        <v>1994-02-24</v>
        <stp/>
        <stp>EM_S_IPO_LISTEDDATE</stp>
        <stp>1</stp>
        <stp>600830</stp>
        <tr r="AT1448" s="1"/>
      </tp>
      <tp t="s">
        <v>2017-03-02</v>
        <stp/>
        <stp>EM_S_IPO_LISTEDDATE</stp>
        <stp>1</stp>
        <stp>002850</stp>
        <tr r="AT87" s="1"/>
      </tp>
      <tp t="s">
        <v>1994-02-24</v>
        <stp/>
        <stp>EM_S_IPO_LISTEDDATE</stp>
        <stp>1</stp>
        <stp>600833</stp>
        <tr r="AT2110" s="1"/>
      </tp>
      <tp t="s">
        <v>2017-03-10</v>
        <stp/>
        <stp>EM_S_IPO_LISTEDDATE</stp>
        <stp>1</stp>
        <stp>002853</stp>
        <tr r="AT2233" s="1"/>
      </tp>
      <tp t="s">
        <v>2017-03-28</v>
        <stp/>
        <stp>EM_S_IPO_LISTEDDATE</stp>
        <stp>1</stp>
        <stp>603833</stp>
        <tr r="AT634" s="1"/>
      </tp>
      <tp t="s">
        <v>1998-11-26</v>
        <stp/>
        <stp>EM_S_IPO_LISTEDDATE</stp>
        <stp>1</stp>
        <stp>000852</stp>
        <tr r="AT2811" s="1"/>
      </tp>
      <tp t="s">
        <v>1994-02-24</v>
        <stp/>
        <stp>EM_S_IPO_LISTEDDATE</stp>
        <stp>1</stp>
        <stp>600832</stp>
        <tr r="AT2328" s="1"/>
      </tp>
      <tp t="s">
        <v>2017-03-10</v>
        <stp/>
        <stp>EM_S_IPO_LISTEDDATE</stp>
        <stp>1</stp>
        <stp>002852</stp>
        <tr r="AT1784" s="1"/>
      </tp>
      <tp t="s">
        <v>1994-02-24</v>
        <stp/>
        <stp>EM_S_IPO_LISTEDDATE</stp>
        <stp>1</stp>
        <stp>600829</stp>
        <tr r="AT1485" s="1"/>
      </tp>
      <tp t="s">
        <v>2017-02-17</v>
        <stp/>
        <stp>EM_S_IPO_LISTEDDATE</stp>
        <stp>1</stp>
        <stp>002849</stp>
        <tr r="AT2282" s="1"/>
      </tp>
      <tp t="s">
        <v>2017-10-17</v>
        <stp/>
        <stp>EM_S_IPO_LISTEDDATE</stp>
        <stp>1</stp>
        <stp>603829</stp>
        <tr r="AT1573" s="1"/>
      </tp>
      <tp t="s">
        <v>1997-11-13</v>
        <stp/>
        <stp>EM_S_IPO_LISTEDDATE</stp>
        <stp>1</stp>
        <stp>000848</stp>
        <tr r="AT2428" s="1"/>
      </tp>
      <tp t="s">
        <v>1994-02-24</v>
        <stp/>
        <stp>EM_S_IPO_LISTEDDATE</stp>
        <stp>1</stp>
        <stp>600828</stp>
        <tr r="AT2265" s="1"/>
      </tp>
      <tp t="s">
        <v>2018-01-17</v>
        <stp/>
        <stp>EM_S_IPO_LISTEDDATE</stp>
        <stp>1</stp>
        <stp>601828</stp>
        <tr r="AT2154" s="1"/>
      </tp>
      <tp t="s">
        <v>2017-02-13</v>
        <stp/>
        <stp>EM_S_IPO_LISTEDDATE</stp>
        <stp>1</stp>
        <stp>002848</stp>
        <tr r="AT1699" s="1"/>
      </tp>
      <tp t="s">
        <v>2015-02-26</v>
        <stp/>
        <stp>EM_S_IPO_LISTEDDATE</stp>
        <stp>1</stp>
        <stp>603828</stp>
        <tr r="AT3237" s="1"/>
      </tp>
      <tp t="s">
        <v>1994-02-04</v>
        <stp/>
        <stp>EM_S_IPO_LISTEDDATE</stp>
        <stp>1</stp>
        <stp>600825</stp>
        <tr r="AT1333" s="1"/>
      </tp>
      <tp t="s">
        <v>2017-01-25</v>
        <stp/>
        <stp>EM_S_IPO_LISTEDDATE</stp>
        <stp>1</stp>
        <stp>002845</stp>
        <tr r="AT1899" s="1"/>
      </tp>
      <tp t="s">
        <v>2017-08-02</v>
        <stp/>
        <stp>EM_S_IPO_LISTEDDATE</stp>
        <stp>1</stp>
        <stp>603825</stp>
        <tr r="AT901" s="1"/>
      </tp>
      <tp t="s">
        <v>1994-02-04</v>
        <stp/>
        <stp>EM_S_IPO_LISTEDDATE</stp>
        <stp>1</stp>
        <stp>600824</stp>
        <tr r="AT2064" s="1"/>
      </tp>
      <tp t="s">
        <v>1994-02-04</v>
        <stp/>
        <stp>EM_S_IPO_LISTEDDATE</stp>
        <stp>1</stp>
        <stp>600827</stp>
        <tr r="AT1943" s="1"/>
      </tp>
      <tp t="s">
        <v>2017-02-08</v>
        <stp/>
        <stp>EM_S_IPO_LISTEDDATE</stp>
        <stp>1</stp>
        <stp>002847</stp>
        <tr r="AT368" s="1"/>
      </tp>
      <tp t="s">
        <v>1994-02-04</v>
        <stp/>
        <stp>EM_S_IPO_LISTEDDATE</stp>
        <stp>1</stp>
        <stp>600826</stp>
        <tr r="AT1328" s="1"/>
      </tp>
      <tp t="s">
        <v>2017-02-07</v>
        <stp/>
        <stp>EM_S_IPO_LISTEDDATE</stp>
        <stp>1</stp>
        <stp>002846</stp>
        <tr r="AT237" s="1"/>
      </tp>
      <tp t="s">
        <v>2017-04-14</v>
        <stp/>
        <stp>EM_S_IPO_LISTEDDATE</stp>
        <stp>1</stp>
        <stp>603826</stp>
        <tr r="AT1431" s="1"/>
      </tp>
      <tp t="s">
        <v>1994-01-28</v>
        <stp/>
        <stp>EM_S_IPO_LISTEDDATE</stp>
        <stp>1</stp>
        <stp>600821</stp>
        <tr r="AT1516" s="1"/>
      </tp>
      <tp t="s">
        <v>2017-01-19</v>
        <stp/>
        <stp>EM_S_IPO_LISTEDDATE</stp>
        <stp>1</stp>
        <stp>002841</stp>
        <tr r="AT563" s="1"/>
      </tp>
      <tp t="s">
        <v>1994-01-28</v>
        <stp/>
        <stp>EM_S_IPO_LISTEDDATE</stp>
        <stp>1</stp>
        <stp>600820</stp>
        <tr r="AT2521" s="1"/>
      </tp>
      <tp t="s">
        <v>2017-01-10</v>
        <stp/>
        <stp>EM_S_IPO_LISTEDDATE</stp>
        <stp>1</stp>
        <stp>002840</stp>
        <tr r="AT1148" s="1"/>
      </tp>
      <tp t="s">
        <v>1994-02-04</v>
        <stp/>
        <stp>EM_S_IPO_LISTEDDATE</stp>
        <stp>1</stp>
        <stp>600823</stp>
        <tr r="AT1206" s="1"/>
      </tp>
      <tp t="s">
        <v>2017-01-20</v>
        <stp/>
        <stp>EM_S_IPO_LISTEDDATE</stp>
        <stp>1</stp>
        <stp>002843</stp>
        <tr r="AT3239" s="1"/>
      </tp>
      <tp t="s">
        <v>2016-12-20</v>
        <stp/>
        <stp>EM_S_IPO_LISTEDDATE</stp>
        <stp>1</stp>
        <stp>603823</stp>
        <tr r="AT322" s="1"/>
      </tp>
      <tp t="s">
        <v>1994-02-04</v>
        <stp/>
        <stp>EM_S_IPO_LISTEDDATE</stp>
        <stp>1</stp>
        <stp>600822</stp>
        <tr r="AT1393" s="1"/>
      </tp>
      <tp t="s">
        <v>2017-01-19</v>
        <stp/>
        <stp>EM_S_IPO_LISTEDDATE</stp>
        <stp>1</stp>
        <stp>002842</stp>
        <tr r="AT2843" s="1"/>
      </tp>
      <tp t="s">
        <v>2016-04-28</v>
        <stp/>
        <stp>EM_S_IPO_LISTEDDATE</stp>
        <stp>1</stp>
        <stp>603822</stp>
        <tr r="AT1362" s="1"/>
      </tp>
      <tp t="s">
        <v>1994-01-28</v>
        <stp/>
        <stp>EM_S_IPO_LISTEDDATE</stp>
        <stp>1</stp>
        <stp>600819</stp>
        <tr r="AT1023" s="1"/>
      </tp>
      <tp t="s">
        <v>2017-07-07</v>
        <stp/>
        <stp>EM_S_IPO_LISTEDDATE</stp>
        <stp>1</stp>
        <stp>002879</stp>
        <tr r="AT1221" s="1"/>
      </tp>
      <tp t="s">
        <v>2016-11-25</v>
        <stp/>
        <stp>EM_S_IPO_LISTEDDATE</stp>
        <stp>1</stp>
        <stp>603819</stp>
        <tr r="AT2892" s="1"/>
      </tp>
      <tp t="s">
        <v>1998-06-02</v>
        <stp/>
        <stp>EM_S_IPO_LISTEDDATE</stp>
        <stp>1</stp>
        <stp>000878</stp>
        <tr r="AT3560" s="1"/>
      </tp>
      <tp t="s">
        <v>1994-01-28</v>
        <stp/>
        <stp>EM_S_IPO_LISTEDDATE</stp>
        <stp>1</stp>
        <stp>600818</stp>
        <tr r="AT1647" s="1"/>
      </tp>
      <tp t="s">
        <v>2010-08-18</v>
        <stp/>
        <stp>EM_S_IPO_LISTEDDATE</stp>
        <stp>1</stp>
        <stp>601818</stp>
        <tr r="AT1342" s="1"/>
      </tp>
      <tp t="s">
        <v>2017-06-06</v>
        <stp/>
        <stp>EM_S_IPO_LISTEDDATE</stp>
        <stp>1</stp>
        <stp>002878</stp>
        <tr r="AT1941" s="1"/>
      </tp>
      <tp t="s">
        <v>2015-04-22</v>
        <stp/>
        <stp>EM_S_IPO_LISTEDDATE</stp>
        <stp>1</stp>
        <stp>603818</stp>
        <tr r="AT1096" s="1"/>
      </tp>
      <tp t="s">
        <v>2002-09-26</v>
        <stp/>
        <stp>EM_S_IPO_LISTEDDATE</stp>
        <stp>1</stp>
        <stp>000875</stp>
        <tr r="AT1036" s="1"/>
      </tp>
      <tp t="s">
        <v>1994-01-28</v>
        <stp/>
        <stp>EM_S_IPO_LISTEDDATE</stp>
        <stp>1</stp>
        <stp>600815</stp>
        <tr r="AT2476" s="1"/>
      </tp>
      <tp t="s">
        <v>2017-06-01</v>
        <stp/>
        <stp>EM_S_IPO_LISTEDDATE</stp>
        <stp>1</stp>
        <stp>002875</stp>
        <tr r="AT1887" s="1"/>
      </tp>
      <tp t="s">
        <v>1994-01-14</v>
        <stp/>
        <stp>EM_S_IPO_LISTEDDATE</stp>
        <stp>1</stp>
        <stp>600814</stp>
        <tr r="AT2267" s="1"/>
      </tp>
      <tp t="s">
        <v>1999-01-07</v>
        <stp/>
        <stp>EM_S_IPO_LISTEDDATE</stp>
        <stp>1</stp>
        <stp>000877</stp>
        <tr r="AT407" s="1"/>
      </tp>
      <tp t="s">
        <v>1994-01-28</v>
        <stp/>
        <stp>EM_S_IPO_LISTEDDATE</stp>
        <stp>1</stp>
        <stp>600817</stp>
        <tr r="AT2126" s="1"/>
      </tp>
      <tp t="s">
        <v>2017-06-05</v>
        <stp/>
        <stp>EM_S_IPO_LISTEDDATE</stp>
        <stp>1</stp>
        <stp>002877</stp>
        <tr r="AT3315" s="1"/>
      </tp>
      <tp t="s">
        <v>2017-02-20</v>
        <stp/>
        <stp>EM_S_IPO_LISTEDDATE</stp>
        <stp>1</stp>
        <stp>603817</stp>
        <tr r="AT1638" s="1"/>
      </tp>
      <tp t="s">
        <v>1998-03-11</v>
        <stp/>
        <stp>EM_S_IPO_LISTEDDATE</stp>
        <stp>1</stp>
        <stp>000876</stp>
        <tr r="AT64" s="1"/>
      </tp>
      <tp t="s">
        <v>1994-01-28</v>
        <stp/>
        <stp>EM_S_IPO_LISTEDDATE</stp>
        <stp>1</stp>
        <stp>600816</stp>
        <tr r="AT2137" s="1"/>
      </tp>
      <tp t="s">
        <v>2017-05-25</v>
        <stp/>
        <stp>EM_S_IPO_LISTEDDATE</stp>
        <stp>1</stp>
        <stp>002876</stp>
        <tr r="AT487" s="1"/>
      </tp>
      <tp t="s">
        <v>2016-10-14</v>
        <stp/>
        <stp>EM_S_IPO_LISTEDDATE</stp>
        <stp>1</stp>
        <stp>603816</stp>
        <tr r="AT2230" s="1"/>
      </tp>
      <tp t="s">
        <v>1994-01-06</v>
        <stp/>
        <stp>EM_S_IPO_LISTEDDATE</stp>
        <stp>1</stp>
        <stp>600811</stp>
        <tr r="AT2690" s="1"/>
      </tp>
      <tp t="s">
        <v>2016-08-08</v>
        <stp/>
        <stp>EM_S_IPO_LISTEDDATE</stp>
        <stp>1</stp>
        <stp>601811</stp>
        <tr r="AT728" s="1"/>
      </tp>
      <tp t="s">
        <v>2017-05-11</v>
        <stp/>
        <stp>EM_S_IPO_LISTEDDATE</stp>
        <stp>1</stp>
        <stp>002871</stp>
        <tr r="AT2391" s="1"/>
      </tp>
      <tp t="s">
        <v>2017-03-15</v>
        <stp/>
        <stp>EM_S_IPO_LISTEDDATE</stp>
        <stp>1</stp>
        <stp>603811</stp>
        <tr r="AT503" s="1"/>
      </tp>
      <tp t="s">
        <v>1994-01-06</v>
        <stp/>
        <stp>EM_S_IPO_LISTEDDATE</stp>
        <stp>1</stp>
        <stp>600810</stp>
        <tr r="AT3112" s="1"/>
      </tp>
      <tp t="s">
        <v>2017-05-15</v>
        <stp/>
        <stp>EM_S_IPO_LISTEDDATE</stp>
        <stp>1</stp>
        <stp>002870</stp>
        <tr r="AT411" s="1"/>
      </tp>
      <tp t="s">
        <v>1994-01-14</v>
        <stp/>
        <stp>EM_S_IPO_LISTEDDATE</stp>
        <stp>1</stp>
        <stp>600813</stp>
        <tr r="AT2327" s="1"/>
      </tp>
      <tp t="s">
        <v>2017-05-19</v>
        <stp/>
        <stp>EM_S_IPO_LISTEDDATE</stp>
        <stp>1</stp>
        <stp>002873</stp>
        <tr r="AT2205" s="1"/>
      </tp>
      <tp t="s">
        <v>2017-09-18</v>
        <stp/>
        <stp>EM_S_IPO_LISTEDDATE</stp>
        <stp>1</stp>
        <stp>603813</stp>
        <tr r="AT2153" s="1"/>
      </tp>
      <tp t="s">
        <v>1994-01-14</v>
        <stp/>
        <stp>EM_S_IPO_LISTEDDATE</stp>
        <stp>1</stp>
        <stp>600812</stp>
        <tr r="AT107" s="1"/>
      </tp>
      <tp t="s">
        <v>2017-05-19</v>
        <stp/>
        <stp>EM_S_IPO_LISTEDDATE</stp>
        <stp>1</stp>
        <stp>002872</stp>
        <tr r="AT3295" s="1"/>
      </tp>
      <tp t="s">
        <v>2000-10-26</v>
        <stp/>
        <stp>EM_S_IPO_LISTEDDATE</stp>
        <stp>1</stp>
        <stp>000869</stp>
        <tr r="AT1713" s="1"/>
      </tp>
      <tp t="s">
        <v>1994-01-06</v>
        <stp/>
        <stp>EM_S_IPO_LISTEDDATE</stp>
        <stp>1</stp>
        <stp>600809</stp>
        <tr r="AT75" s="1"/>
      </tp>
      <tp t="s">
        <v>2017-05-15</v>
        <stp/>
        <stp>EM_S_IPO_LISTEDDATE</stp>
        <stp>1</stp>
        <stp>002869</stp>
        <tr r="AT26" s="1"/>
      </tp>
      <tp t="s">
        <v>2017-11-28</v>
        <stp/>
        <stp>EM_S_IPO_LISTEDDATE</stp>
        <stp>1</stp>
        <stp>603809</stp>
        <tr r="AT3285" s="1"/>
      </tp>
      <tp t="s">
        <v>1997-07-25</v>
        <stp/>
        <stp>EM_S_IPO_LISTEDDATE</stp>
        <stp>1</stp>
        <stp>000868</stp>
        <tr r="AT3559" s="1"/>
      </tp>
      <tp t="s">
        <v>1994-01-06</v>
        <stp/>
        <stp>EM_S_IPO_LISTEDDATE</stp>
        <stp>1</stp>
        <stp>600808</stp>
        <tr r="AT2869" s="1"/>
      </tp>
      <tp t="s">
        <v>2007-09-28</v>
        <stp/>
        <stp>EM_S_IPO_LISTEDDATE</stp>
        <stp>1</stp>
        <stp>601808</stp>
        <tr r="AT119" s="1"/>
      </tp>
      <tp t="s">
        <v>2017-05-03</v>
        <stp/>
        <stp>EM_S_IPO_LISTEDDATE</stp>
        <stp>1</stp>
        <stp>002868</stp>
        <tr r="AT1313" s="1"/>
      </tp>
      <tp t="s">
        <v>2015-04-22</v>
        <stp/>
        <stp>EM_S_IPO_LISTEDDATE</stp>
        <stp>1</stp>
        <stp>603808</stp>
        <tr r="AT2714" s="1"/>
      </tp>
      <tp t="s">
        <v>1994-01-03</v>
        <stp/>
        <stp>EM_S_IPO_LISTEDDATE</stp>
        <stp>1</stp>
        <stp>600805</stp>
        <tr r="AT1762" s="1"/>
      </tp>
      <tp t="s">
        <v>2017-04-25</v>
        <stp/>
        <stp>EM_S_IPO_LISTEDDATE</stp>
        <stp>1</stp>
        <stp>002865</stp>
        <tr r="AT3027" s="1"/>
      </tp>
      <tp t="s">
        <v>1994-01-03</v>
        <stp/>
        <stp>EM_S_IPO_LISTEDDATE</stp>
        <stp>1</stp>
        <stp>600804</stp>
        <tr r="AT2849" s="1"/>
      </tp>
      <tp t="s">
        <v>2017-11-16</v>
        <stp/>
        <stp>EM_S_IPO_LISTEDDATE</stp>
        <stp>1</stp>
        <stp>002864</stp>
        <tr r="AT2995" s="1"/>
      </tp>
      <tp t="s">
        <v>1994-01-03</v>
        <stp/>
        <stp>EM_S_IPO_LISTEDDATE</stp>
        <stp>1</stp>
        <stp>600807</stp>
        <tr r="AT2570" s="1"/>
      </tp>
      <tp t="s">
        <v>2017-04-27</v>
        <stp/>
        <stp>EM_S_IPO_LISTEDDATE</stp>
        <stp>1</stp>
        <stp>002867</stp>
        <tr r="AT3224" s="1"/>
      </tp>
      <tp t="s">
        <v>1998-05-12</v>
        <stp/>
        <stp>EM_S_IPO_LISTEDDATE</stp>
        <stp>1</stp>
        <stp>000866</stp>
        <tr r="AT3558" s="1"/>
      </tp>
      <tp t="s">
        <v>1994-01-03</v>
        <stp/>
        <stp>EM_S_IPO_LISTEDDATE</stp>
        <stp>1</stp>
        <stp>600806</stp>
        <tr r="AT2326" s="1"/>
      </tp>
      <tp t="s">
        <v>2017-04-26</v>
        <stp/>
        <stp>EM_S_IPO_LISTEDDATE</stp>
        <stp>1</stp>
        <stp>002866</stp>
        <tr r="AT796" s="1"/>
      </tp>
      <tp t="s">
        <v>2014-09-05</v>
        <stp/>
        <stp>EM_S_IPO_LISTEDDATE</stp>
        <stp>1</stp>
        <stp>603806</stp>
        <tr r="AT249" s="1"/>
      </tp>
      <tp t="s">
        <v>1998-10-28</v>
        <stp/>
        <stp>EM_S_IPO_LISTEDDATE</stp>
        <stp>1</stp>
        <stp>000861</stp>
        <tr r="AT3556" s="1"/>
      </tp>
      <tp t="s">
        <v>1994-01-03</v>
        <stp/>
        <stp>EM_S_IPO_LISTEDDATE</stp>
        <stp>1</stp>
        <stp>600801</stp>
        <tr r="AT585" s="1"/>
      </tp>
      <tp t="s">
        <v>2010-01-18</v>
        <stp/>
        <stp>EM_S_IPO_LISTEDDATE</stp>
        <stp>1</stp>
        <stp>601801</stp>
        <tr r="AT3010" s="1"/>
      </tp>
      <tp t="s">
        <v>2017-04-13</v>
        <stp/>
        <stp>EM_S_IPO_LISTEDDATE</stp>
        <stp>1</stp>
        <stp>002861</stp>
        <tr r="AT286" s="1"/>
      </tp>
      <tp t="s">
        <v>2017-06-30</v>
        <stp/>
        <stp>EM_S_IPO_LISTEDDATE</stp>
        <stp>1</stp>
        <stp>603801</stp>
        <tr r="AT2581" s="1"/>
      </tp>
      <tp t="s">
        <v>1998-11-04</v>
        <stp/>
        <stp>EM_S_IPO_LISTEDDATE</stp>
        <stp>1</stp>
        <stp>000860</stp>
        <tr r="AT371" s="1"/>
      </tp>
      <tp t="s">
        <v>1993-12-06</v>
        <stp/>
        <stp>EM_S_IPO_LISTEDDATE</stp>
        <stp>1</stp>
        <stp>600800</stp>
        <tr r="AT1729" s="1"/>
      </tp>
      <tp t="s">
        <v>2012-03-09</v>
        <stp/>
        <stp>EM_S_IPO_LISTEDDATE</stp>
        <stp>1</stp>
        <stp>601800</stp>
        <tr r="AT3086" s="1"/>
      </tp>
      <tp t="s">
        <v>2017-04-12</v>
        <stp/>
        <stp>EM_S_IPO_LISTEDDATE</stp>
        <stp>1</stp>
        <stp>002860</stp>
        <tr r="AT1191" s="1"/>
      </tp>
      <tp t="s">
        <v>2015-12-10</v>
        <stp/>
        <stp>EM_S_IPO_LISTEDDATE</stp>
        <stp>1</stp>
        <stp>603800</stp>
        <tr r="AT1378" s="1"/>
      </tp>
      <tp t="s">
        <v>1997-09-25</v>
        <stp/>
        <stp>EM_S_IPO_LISTEDDATE</stp>
        <stp>1</stp>
        <stp>000863</stp>
        <tr r="AT3557" s="1"/>
      </tp>
      <tp t="s">
        <v>1994-01-03</v>
        <stp/>
        <stp>EM_S_IPO_LISTEDDATE</stp>
        <stp>1</stp>
        <stp>600803</stp>
        <tr r="AT1898" s="1"/>
      </tp>
      <tp t="s">
        <v>2017-04-18</v>
        <stp/>
        <stp>EM_S_IPO_LISTEDDATE</stp>
        <stp>1</stp>
        <stp>002863</stp>
        <tr r="AT2846" s="1"/>
      </tp>
      <tp t="s">
        <v>2017-04-20</v>
        <stp/>
        <stp>EM_S_IPO_LISTEDDATE</stp>
        <stp>1</stp>
        <stp>603803</stp>
        <tr r="AT1040" s="1"/>
      </tp>
      <tp t="s">
        <v>1998-09-15</v>
        <stp/>
        <stp>EM_S_IPO_LISTEDDATE</stp>
        <stp>1</stp>
        <stp>000862</stp>
        <tr r="AT331" s="1"/>
      </tp>
      <tp t="s">
        <v>1994-01-03</v>
        <stp/>
        <stp>EM_S_IPO_LISTEDDATE</stp>
        <stp>1</stp>
        <stp>600802</stp>
        <tr r="AT1449" s="1"/>
      </tp>
      <tp t="s">
        <v>2017-04-11</v>
        <stp/>
        <stp>EM_S_IPO_LISTEDDATE</stp>
        <stp>1</stp>
        <stp>002862</stp>
        <tr r="AT2070" s="1"/>
      </tp>
      <tp>
        <v>0.14146612132200001</v>
        <stp/>
        <stp>EM_S_FA_ASSETSTURN</stp>
        <stp>3</stp>
        <stp>601908</stp>
        <stp>12/31/2018</stp>
        <stp>1</stp>
        <tr r="K2539" s="1"/>
      </tp>
      <tp>
        <v>0.295479274806</v>
        <stp/>
        <stp>EM_S_FA_ASSETSTURN</stp>
        <stp>3</stp>
        <stp>601808</stp>
        <stp>12/31/2018</stp>
        <stp>1</stp>
        <tr r="K119" s="1"/>
      </tp>
      <tp>
        <v>0.53115378256199997</v>
        <stp/>
        <stp>EM_S_FA_ASSETSTURN</stp>
        <stp>3</stp>
        <stp>601208</stp>
        <stp>12/31/2018</stp>
        <stp>1</stp>
        <tr r="K874" s="1"/>
      </tp>
      <tp>
        <v>0</v>
        <stp/>
        <stp>EM_S_FA_ASSETSTURN</stp>
        <stp>3</stp>
        <stp>601108</stp>
        <stp>12/31/2018</stp>
        <stp>1</stp>
        <tr r="K471" s="1"/>
      </tp>
      <tp>
        <v>0.160056610603</v>
        <stp/>
        <stp>EM_S_FA_ASSETSTURN</stp>
        <stp>3</stp>
        <stp>601008</stp>
        <stp>12/31/2018</stp>
        <stp>1</stp>
        <tr r="K1067" s="1"/>
      </tp>
      <tp>
        <v>0.26400382728999999</v>
        <stp/>
        <stp>EM_S_FA_ASSETSTURN</stp>
        <stp>3</stp>
        <stp>601608</stp>
        <stp>12/31/2018</stp>
        <stp>1</stp>
        <tr r="K692" s="1"/>
      </tp>
      <tp>
        <v>0.30438407962699998</v>
        <stp/>
        <stp>EM_S_FA_ASSETSTURN</stp>
        <stp>3</stp>
        <stp>000968</stp>
        <stp>12/31/2018</stp>
        <stp>1</stp>
        <tr r="K2527" s="1"/>
      </tp>
      <tp>
        <v>0</v>
        <stp/>
        <stp>EM_S_FA_ASSETSTURN</stp>
        <stp>3</stp>
        <stp>600908</stp>
        <stp>12/31/2018</stp>
        <stp>1</stp>
        <tr r="K1965" s="1"/>
      </tp>
      <tp>
        <v>0.41651085386600001</v>
        <stp/>
        <stp>EM_S_FA_ASSETSTURN</stp>
        <stp>3</stp>
        <stp>000868</stp>
        <stp>12/31/2018</stp>
        <stp>1</stp>
        <tr r="K3559" s="1"/>
      </tp>
      <tp>
        <v>1.099555080999</v>
        <stp/>
        <stp>EM_S_FA_ASSETSTURN</stp>
        <stp>3</stp>
        <stp>600808</stp>
        <stp>12/31/2018</stp>
        <stp>1</stp>
        <tr r="K2869" s="1"/>
      </tp>
      <tp>
        <v>0.40211801904700001</v>
        <stp/>
        <stp>EM_S_FA_ASSETSTURN</stp>
        <stp>3</stp>
        <stp>300358</stp>
        <stp>12/31/2018</stp>
        <stp>1</stp>
        <tr r="K2761" s="1"/>
      </tp>
      <tp>
        <v>1.0417031243749999</v>
        <stp/>
        <stp>EM_S_FA_ASSETSTURN</stp>
        <stp>3</stp>
        <stp>600308</stp>
        <stp>12/31/2018</stp>
        <stp>1</stp>
        <tr r="K1999" s="1"/>
      </tp>
      <tp>
        <v>0.48898220419900001</v>
        <stp/>
        <stp>EM_S_FA_ASSETSTURN</stp>
        <stp>3</stp>
        <stp>300258</stp>
        <stp>12/31/2018</stp>
        <stp>1</stp>
        <tr r="K2705" s="1"/>
      </tp>
      <tp>
        <v>0.13029118063100001</v>
        <stp/>
        <stp>EM_S_FA_ASSETSTURN</stp>
        <stp>3</stp>
        <stp>600208</stp>
        <stp>12/31/2018</stp>
        <stp>1</stp>
        <tr r="K957" s="1"/>
      </tp>
      <tp>
        <v>0.46131754537500003</v>
        <stp/>
        <stp>EM_S_FA_ASSETSTURN</stp>
        <stp>3</stp>
        <stp>300158</stp>
        <stp>12/31/2018</stp>
        <stp>1</stp>
        <tr r="K1236" s="1"/>
      </tp>
      <tp>
        <v>0.30210354670599998</v>
        <stp/>
        <stp>EM_S_FA_ASSETSTURN</stp>
        <stp>3</stp>
        <stp>600108</stp>
        <stp>12/31/2018</stp>
        <stp>1</stp>
        <tr r="K1790" s="1"/>
      </tp>
      <tp>
        <v>6.5915053336000007E-2</v>
        <stp/>
        <stp>EM_S_FA_ASSETSTURN</stp>
        <stp>3</stp>
        <stp>000068</stp>
        <stp>12/31/2018</stp>
        <stp>1</stp>
        <tr r="K2414" s="1"/>
      </tp>
      <tp>
        <v>1.3713865384670001</v>
        <stp/>
        <stp>EM_S_FA_ASSETSTURN</stp>
        <stp>3</stp>
        <stp>300058</stp>
        <stp>12/31/2018</stp>
        <stp>1</stp>
        <tr r="K873" s="1"/>
      </tp>
      <tp>
        <v>0.20762008448300001</v>
        <stp/>
        <stp>EM_S_FA_ASSETSTURN</stp>
        <stp>3</stp>
        <stp>600008</stp>
        <stp>12/31/2018</stp>
        <stp>1</stp>
        <tr r="K2550" s="1"/>
      </tp>
      <tp>
        <v>0.75518362383399995</v>
        <stp/>
        <stp>EM_S_FA_ASSETSTURN</stp>
        <stp>3</stp>
        <stp>000768</stp>
        <stp>12/31/2018</stp>
        <stp>1</stp>
        <tr r="K1149" s="1"/>
      </tp>
      <tp>
        <v>0.31877020285399998</v>
        <stp/>
        <stp>EM_S_FA_ASSETSTURN</stp>
        <stp>3</stp>
        <stp>600708</stp>
        <stp>12/31/2018</stp>
        <stp>1</stp>
        <tr r="K2225" s="1"/>
      </tp>
      <tp>
        <v>9.7821177083000005E-2</v>
        <stp/>
        <stp>EM_S_FA_ASSETSTURN</stp>
        <stp>3</stp>
        <stp>000668</stp>
        <stp>12/31/2018</stp>
        <stp>1</stp>
        <tr r="K3500" s="1"/>
      </tp>
      <tp>
        <v>0.67834150460300002</v>
        <stp/>
        <stp>EM_S_FA_ASSETSTURN</stp>
        <stp>3</stp>
        <stp>300658</stp>
        <stp>12/31/2018</stp>
        <stp>1</stp>
        <tr r="K886" s="1"/>
      </tp>
      <tp>
        <v>5.5425994151599998</v>
        <stp/>
        <stp>EM_S_FA_ASSETSTURN</stp>
        <stp>3</stp>
        <stp>600608</stp>
        <stp>12/31/2018</stp>
        <stp>1</stp>
        <tr r="K1802" s="1"/>
      </tp>
      <tp>
        <v>0.61639532098600003</v>
        <stp/>
        <stp>EM_S_FA_ASSETSTURN</stp>
        <stp>3</stp>
        <stp>000568</stp>
        <stp>12/31/2018</stp>
        <stp>1</stp>
        <tr r="K129" s="1"/>
      </tp>
      <tp>
        <v>0.39279713111600001</v>
        <stp/>
        <stp>EM_S_FA_ASSETSTURN</stp>
        <stp>3</stp>
        <stp>300558</stp>
        <stp>12/31/2018</stp>
        <stp>1</stp>
        <tr r="K157" s="1"/>
      </tp>
      <tp>
        <v>0.46993303645700002</v>
        <stp/>
        <stp>EM_S_FA_ASSETSTURN</stp>
        <stp>3</stp>
        <stp>600508</stp>
        <stp>12/31/2018</stp>
        <stp>1</stp>
        <tr r="K2440" s="1"/>
      </tp>
      <tp>
        <v>0.56400641248899996</v>
        <stp/>
        <stp>EM_S_FA_ASSETSTURN</stp>
        <stp>3</stp>
        <stp>300458</stp>
        <stp>12/31/2018</stp>
        <stp>1</stp>
        <tr r="K425" s="1"/>
      </tp>
      <tp>
        <v>1.648360673015</v>
        <stp/>
        <stp>EM_S_FA_ASSETSTURN</stp>
        <stp>3</stp>
        <stp>600408</stp>
        <stp>12/31/2018</stp>
        <stp>1</stp>
        <tr r="K2702" s="1"/>
      </tp>
      <tp>
        <v>0.873285415377</v>
        <stp/>
        <stp>EM_S_FA_ASSETSTURN</stp>
        <stp>3</stp>
        <stp>603908</stp>
        <stp>12/31/2018</stp>
        <stp>1</stp>
        <tr r="K2189" s="1"/>
      </tp>
      <tp>
        <v>0.67419236198400001</v>
        <stp/>
        <stp>EM_S_FA_ASSETSTURN</stp>
        <stp>3</stp>
        <stp>603808</stp>
        <stp>12/31/2018</stp>
        <stp>1</stp>
        <tr r="K2714" s="1"/>
      </tp>
      <tp>
        <v>0.226388845832</v>
        <stp/>
        <stp>EM_S_FA_ASSETSTURN</stp>
        <stp>3</stp>
        <stp>603308</stp>
        <stp>12/31/2018</stp>
        <stp>1</stp>
        <tr r="K218" s="1"/>
      </tp>
      <tp>
        <v>0.66476144208999999</v>
        <stp/>
        <stp>EM_S_FA_ASSETSTURN</stp>
        <stp>3</stp>
        <stp>603208</stp>
        <stp>12/31/2018</stp>
        <stp>1</stp>
        <tr r="K181" s="1"/>
      </tp>
      <tp>
        <v>0.813227499518</v>
        <stp/>
        <stp>EM_S_FA_ASSETSTURN</stp>
        <stp>3</stp>
        <stp>603108</stp>
        <stp>12/31/2018</stp>
        <stp>1</stp>
        <tr r="K803" s="1"/>
      </tp>
      <tp>
        <v>0.71491624533200004</v>
        <stp/>
        <stp>EM_S_FA_ASSETSTURN</stp>
        <stp>3</stp>
        <stp>603008</stp>
        <stp>12/31/2018</stp>
        <stp>1</stp>
        <tr r="K376" s="1"/>
      </tp>
      <tp>
        <v>1.8961690855269999</v>
        <stp/>
        <stp>EM_S_FA_ASSETSTURN</stp>
        <stp>3</stp>
        <stp>603708</stp>
        <stp>12/31/2018</stp>
        <stp>1</stp>
        <tr r="K1222" s="1"/>
      </tp>
      <tp>
        <v>0.74018441805199997</v>
        <stp/>
        <stp>EM_S_FA_ASSETSTURN</stp>
        <stp>3</stp>
        <stp>603608</stp>
        <stp>12/31/2018</stp>
        <stp>1</stp>
        <tr r="K2963" s="1"/>
      </tp>
      <tp>
        <v>0.19232984380000001</v>
        <stp/>
        <stp>EM_S_FA_ASSETSTURN</stp>
        <stp>3</stp>
        <stp>603508</stp>
        <stp>12/31/2018</stp>
        <stp>1</stp>
        <tr r="K586" s="1"/>
      </tp>
      <tp>
        <v>0.441778388129</v>
        <stp/>
        <stp>EM_S_FA_ASSETSTURN</stp>
        <stp>3</stp>
        <stp>002868</stp>
        <stp>12/31/2018</stp>
        <stp>1</stp>
        <tr r="K1313" s="1"/>
      </tp>
      <tp>
        <v>0.66981923267400001</v>
        <stp/>
        <stp>EM_S_FA_ASSETSTURN</stp>
        <stp>3</stp>
        <stp>002368</stp>
        <stp>12/31/2018</stp>
        <stp>1</stp>
        <tr r="K315" s="1"/>
      </tp>
      <tp>
        <v>0.32253574087600001</v>
        <stp/>
        <stp>EM_S_FA_ASSETSTURN</stp>
        <stp>3</stp>
        <stp>002268</stp>
        <stp>12/31/2018</stp>
        <stp>1</stp>
        <tr r="K691" s="1"/>
      </tp>
      <tp>
        <v>0.54736755409299997</v>
        <stp/>
        <stp>EM_S_FA_ASSETSTURN</stp>
        <stp>3</stp>
        <stp>002168</stp>
        <stp>12/31/2018</stp>
        <stp>1</stp>
        <tr r="K3021" s="1"/>
      </tp>
      <tp>
        <v>1.0804480701720001</v>
        <stp/>
        <stp>EM_S_FA_ASSETSTURN</stp>
        <stp>3</stp>
        <stp>002068</stp>
        <stp>12/31/2018</stp>
        <stp>1</stp>
        <tr r="K3034" s="1"/>
      </tp>
      <tp>
        <v>1.275228915849</v>
        <stp/>
        <stp>EM_S_FA_ASSETSTURN</stp>
        <stp>3</stp>
        <stp>002768</stp>
        <stp>12/31/2018</stp>
        <stp>1</stp>
        <tr r="K2063" s="1"/>
      </tp>
      <tp>
        <v>0.781662529577</v>
        <stp/>
        <stp>EM_S_FA_ASSETSTURN</stp>
        <stp>3</stp>
        <stp>002668</stp>
        <stp>12/31/2018</stp>
        <stp>1</stp>
        <tr r="K1444" s="1"/>
      </tp>
      <tp>
        <v>0.51845653302100003</v>
        <stp/>
        <stp>EM_S_FA_ASSETSTURN</stp>
        <stp>3</stp>
        <stp>002568</stp>
        <stp>12/31/2018</stp>
        <stp>1</stp>
        <tr r="K47" s="1"/>
      </tp>
      <tp>
        <v>1.6457773728030001</v>
        <stp/>
        <stp>EM_S_FA_ASSETSTURN</stp>
        <stp>3</stp>
        <stp>002468</stp>
        <stp>12/31/2018</stp>
        <stp>1</stp>
        <tr r="K1355" s="1"/>
      </tp>
      <tp>
        <v>0</v>
        <stp/>
        <stp>EM_S_FA_ASSETSTURN</stp>
        <stp>3</stp>
        <stp>601009</stp>
        <stp>12/31/2018</stp>
        <stp>1</stp>
        <tr r="K813" s="1"/>
      </tp>
      <tp>
        <v>0.51149666666799998</v>
        <stp/>
        <stp>EM_S_FA_ASSETSTURN</stp>
        <stp>3</stp>
        <stp>000969</stp>
        <stp>12/31/2018</stp>
        <stp>1</stp>
        <tr r="K3588" s="1"/>
      </tp>
      <tp>
        <v>0</v>
        <stp/>
        <stp>EM_S_FA_ASSETSTURN</stp>
        <stp>3</stp>
        <stp>600909</stp>
        <stp>12/31/2018</stp>
        <stp>1</stp>
        <tr r="K502" s="1"/>
      </tp>
      <tp>
        <v>0.40088467091199997</v>
        <stp/>
        <stp>EM_S_FA_ASSETSTURN</stp>
        <stp>3</stp>
        <stp>000869</stp>
        <stp>12/31/2018</stp>
        <stp>1</stp>
        <tr r="K1713" s="1"/>
      </tp>
      <tp>
        <v>0.90346682328100003</v>
        <stp/>
        <stp>EM_S_FA_ASSETSTURN</stp>
        <stp>3</stp>
        <stp>600809</stp>
        <stp>12/31/2018</stp>
        <stp>1</stp>
        <tr r="K75" s="1"/>
      </tp>
      <tp>
        <v>0.33477073402899998</v>
        <stp/>
        <stp>EM_S_FA_ASSETSTURN</stp>
        <stp>3</stp>
        <stp>300359</stp>
        <stp>12/31/2018</stp>
        <stp>1</stp>
        <tr r="K2431" s="1"/>
      </tp>
      <tp>
        <v>0.84939088118200001</v>
        <stp/>
        <stp>EM_S_FA_ASSETSTURN</stp>
        <stp>3</stp>
        <stp>600309</stp>
        <stp>12/31/2018</stp>
        <stp>1</stp>
        <tr r="K168" s="1"/>
      </tp>
      <tp>
        <v>0.358328908833</v>
        <stp/>
        <stp>EM_S_FA_ASSETSTURN</stp>
        <stp>3</stp>
        <stp>300259</stp>
        <stp>12/31/2018</stp>
        <stp>1</stp>
        <tr r="K399" s="1"/>
      </tp>
      <tp>
        <v>0.18946081109099999</v>
        <stp/>
        <stp>EM_S_FA_ASSETSTURN</stp>
        <stp>3</stp>
        <stp>600209</stp>
        <stp>12/31/2018</stp>
        <stp>1</stp>
        <tr r="K3022" s="1"/>
      </tp>
      <tp>
        <v>0.20065278642600001</v>
        <stp/>
        <stp>EM_S_FA_ASSETSTURN</stp>
        <stp>3</stp>
        <stp>300159</stp>
        <stp>12/31/2018</stp>
        <stp>1</stp>
        <tr r="K2909" s="1"/>
      </tp>
      <tp>
        <v>0</v>
        <stp/>
        <stp>EM_S_FA_ASSETSTURN</stp>
        <stp>3</stp>
        <stp>600109</stp>
        <stp>12/31/2018</stp>
        <stp>1</stp>
        <tr r="K918" s="1"/>
      </tp>
      <tp>
        <v>0.188191824285</v>
        <stp/>
        <stp>EM_S_FA_ASSETSTURN</stp>
        <stp>3</stp>
        <stp>000069</stp>
        <stp>12/31/2018</stp>
        <stp>1</stp>
        <tr r="K986" s="1"/>
      </tp>
      <tp>
        <v>7.6502812764999997E-2</v>
        <stp/>
        <stp>EM_S_FA_ASSETSTURN</stp>
        <stp>3</stp>
        <stp>300059</stp>
        <stp>12/31/2018</stp>
        <stp>1</stp>
        <tr r="K916" s="1"/>
      </tp>
      <tp>
        <v>0.318527060513</v>
        <stp/>
        <stp>EM_S_FA_ASSETSTURN</stp>
        <stp>3</stp>
        <stp>600009</stp>
        <stp>12/31/2018</stp>
        <stp>1</stp>
        <tr r="K511" s="1"/>
      </tp>
      <tp>
        <v>0.32935191698299998</v>
        <stp/>
        <stp>EM_S_FA_ASSETSTURN</stp>
        <stp>3</stp>
        <stp>000769</stp>
        <stp>12/31/2018</stp>
        <stp>1</stp>
        <tr r="K2279" s="1"/>
      </tp>
      <tp>
        <v>8.8638435000999993E-2</v>
        <stp/>
        <stp>EM_S_FA_ASSETSTURN</stp>
        <stp>3</stp>
        <stp>600709</stp>
        <stp>12/31/2018</stp>
        <stp>1</stp>
        <tr r="K2318" s="1"/>
      </tp>
      <tp>
        <v>0.35996809832600002</v>
        <stp/>
        <stp>EM_S_FA_ASSETSTURN</stp>
        <stp>3</stp>
        <stp>000669</stp>
        <stp>12/31/2018</stp>
        <stp>1</stp>
        <tr r="K3501" s="1"/>
      </tp>
      <tp>
        <v>0.62461367515699995</v>
        <stp/>
        <stp>EM_S_FA_ASSETSTURN</stp>
        <stp>3</stp>
        <stp>300659</stp>
        <stp>12/31/2018</stp>
        <stp>1</stp>
        <tr r="K39" s="1"/>
      </tp>
      <tp>
        <v>1.0556936947090001</v>
        <stp/>
        <stp>EM_S_FA_ASSETSTURN</stp>
        <stp>3</stp>
        <stp>600609</stp>
        <stp>12/31/2018</stp>
        <stp>1</stp>
        <tr r="K955" s="1"/>
      </tp>
      <tp>
        <v>0</v>
        <stp/>
        <stp>EM_S_FA_ASSETSTURN</stp>
        <stp>3</stp>
        <stp>000569</stp>
        <stp>12/31/2018</stp>
        <stp>1</stp>
        <tr r="K3460" s="1"/>
      </tp>
      <tp>
        <v>0.44498853380100001</v>
        <stp/>
        <stp>EM_S_FA_ASSETSTURN</stp>
        <stp>3</stp>
        <stp>300559</stp>
        <stp>12/31/2018</stp>
        <stp>1</stp>
        <tr r="K2942" s="1"/>
      </tp>
      <tp>
        <v>0.242392529843</v>
        <stp/>
        <stp>EM_S_FA_ASSETSTURN</stp>
        <stp>3</stp>
        <stp>600509</stp>
        <stp>12/31/2018</stp>
        <stp>1</stp>
        <tr r="K2207" s="1"/>
      </tp>
      <tp>
        <v>0.231254146045</v>
        <stp/>
        <stp>EM_S_FA_ASSETSTURN</stp>
        <stp>3</stp>
        <stp>300459</stp>
        <stp>12/31/2018</stp>
        <stp>1</stp>
        <tr r="K3387" s="1"/>
      </tp>
      <tp>
        <v>0.81630309028500003</v>
        <stp/>
        <stp>EM_S_FA_ASSETSTURN</stp>
        <stp>3</stp>
        <stp>600409</stp>
        <stp>12/31/2018</stp>
        <stp>1</stp>
        <tr r="K1750" s="1"/>
      </tp>
      <tp>
        <v>0.60700521918999994</v>
        <stp/>
        <stp>EM_S_FA_ASSETSTURN</stp>
        <stp>3</stp>
        <stp>603909</stp>
        <stp>12/31/2018</stp>
        <stp>1</stp>
        <tr r="K3356" s="1"/>
      </tp>
      <tp>
        <v>0.39812776166500002</v>
        <stp/>
        <stp>EM_S_FA_ASSETSTURN</stp>
        <stp>3</stp>
        <stp>603809</stp>
        <stp>12/31/2018</stp>
        <stp>1</stp>
        <tr r="K3285" s="1"/>
      </tp>
      <tp>
        <v>0.61507428550499998</v>
        <stp/>
        <stp>EM_S_FA_ASSETSTURN</stp>
        <stp>3</stp>
        <stp>603309</stp>
        <stp>12/31/2018</stp>
        <stp>1</stp>
        <tr r="K620" s="1"/>
      </tp>
      <tp>
        <v>0.499608820698</v>
        <stp/>
        <stp>EM_S_FA_ASSETSTURN</stp>
        <stp>3</stp>
        <stp>603009</stp>
        <stp>12/31/2018</stp>
        <stp>1</stp>
        <tr r="K1875" s="1"/>
      </tp>
      <tp>
        <v>1.28823806214</v>
        <stp/>
        <stp>EM_S_FA_ASSETSTURN</stp>
        <stp>3</stp>
        <stp>603709</stp>
        <stp>12/31/2018</stp>
        <stp>1</stp>
        <tr r="K2206" s="1"/>
      </tp>
      <tp>
        <v>2.4388540475129998</v>
        <stp/>
        <stp>EM_S_FA_ASSETSTURN</stp>
        <stp>3</stp>
        <stp>603609</stp>
        <stp>12/31/2018</stp>
        <stp>1</stp>
        <tr r="K548" s="1"/>
      </tp>
      <tp>
        <v>0.43741649551200001</v>
        <stp/>
        <stp>EM_S_FA_ASSETSTURN</stp>
        <stp>3</stp>
        <stp>002869</stp>
        <stp>12/31/2018</stp>
        <stp>1</stp>
        <tr r="K26" s="1"/>
      </tp>
      <tp>
        <v>0.83400837138299999</v>
        <stp/>
        <stp>EM_S_FA_ASSETSTURN</stp>
        <stp>3</stp>
        <stp>002369</stp>
        <stp>12/31/2018</stp>
        <stp>1</stp>
        <tr r="K1109" s="1"/>
      </tp>
      <tp>
        <v>1.1106847074820001</v>
        <stp/>
        <stp>EM_S_FA_ASSETSTURN</stp>
        <stp>3</stp>
        <stp>002269</stp>
        <stp>12/31/2018</stp>
        <stp>1</stp>
        <tr r="K1454" s="1"/>
      </tp>
      <tp>
        <v>0.57123557524199997</v>
        <stp/>
        <stp>EM_S_FA_ASSETSTURN</stp>
        <stp>3</stp>
        <stp>002169</stp>
        <stp>12/31/2018</stp>
        <stp>1</stp>
        <tr r="K182" s="1"/>
      </tp>
      <tp>
        <v>0.74629623541000001</v>
        <stp/>
        <stp>EM_S_FA_ASSETSTURN</stp>
        <stp>3</stp>
        <stp>002069</stp>
        <stp>12/31/2018</stp>
        <stp>1</stp>
        <tr r="K3621" s="1"/>
      </tp>
      <tp>
        <v>0.45208074356900002</v>
        <stp/>
        <stp>EM_S_FA_ASSETSTURN</stp>
        <stp>3</stp>
        <stp>002769</stp>
        <stp>12/31/2018</stp>
        <stp>1</stp>
        <tr r="K2989" s="1"/>
      </tp>
      <tp>
        <v>0.46109706132200001</v>
        <stp/>
        <stp>EM_S_FA_ASSETSTURN</stp>
        <stp>3</stp>
        <stp>002669</stp>
        <stp>12/31/2018</stp>
        <stp>1</stp>
        <tr r="K830" s="1"/>
      </tp>
      <tp>
        <v>0.466420767821</v>
        <stp/>
        <stp>EM_S_FA_ASSETSTURN</stp>
        <stp>3</stp>
        <stp>002569</stp>
        <stp>12/31/2018</stp>
        <stp>1</stp>
        <tr r="K2052" s="1"/>
      </tp>
      <tp>
        <v>0.31067059206100001</v>
        <stp/>
        <stp>EM_S_FA_ASSETSTURN</stp>
        <stp>3</stp>
        <stp>002469</stp>
        <stp>12/31/2018</stp>
        <stp>1</stp>
        <tr r="K1922" s="1"/>
      </tp>
      <tp>
        <v>0.755370253248</v>
        <stp/>
        <stp>EM_S_FA_ASSETSTURN</stp>
        <stp>3</stp>
        <stp>601002</stp>
        <stp>12/31/2018</stp>
        <stp>1</stp>
        <tr r="K1815" s="1"/>
      </tp>
      <tp>
        <v>0.56885271044999997</v>
        <stp/>
        <stp>EM_S_FA_ASSETSTURN</stp>
        <stp>3</stp>
        <stp>000962</stp>
        <stp>12/31/2018</stp>
        <stp>1</stp>
        <tr r="K1521" s="1"/>
      </tp>
      <tp>
        <v>0.12624880911899999</v>
        <stp/>
        <stp>EM_S_FA_ASSETSTURN</stp>
        <stp>3</stp>
        <stp>000862</stp>
        <stp>12/31/2018</stp>
        <stp>1</stp>
        <tr r="K331" s="1"/>
      </tp>
      <tp>
        <v>0.72992874552499998</v>
        <stp/>
        <stp>EM_S_FA_ASSETSTURN</stp>
        <stp>3</stp>
        <stp>600802</stp>
        <stp>12/31/2018</stp>
        <stp>1</stp>
        <tr r="K1449" s="1"/>
      </tp>
      <tp>
        <v>0.22560223283600001</v>
        <stp/>
        <stp>EM_S_FA_ASSETSTURN</stp>
        <stp>3</stp>
        <stp>300352</stp>
        <stp>12/31/2018</stp>
        <stp>1</stp>
        <tr r="K122" s="1"/>
      </tp>
      <tp>
        <v>0.44482353316700002</v>
        <stp/>
        <stp>EM_S_FA_ASSETSTURN</stp>
        <stp>3</stp>
        <stp>600302</stp>
        <stp>12/31/2018</stp>
        <stp>1</stp>
        <tr r="K1508" s="1"/>
      </tp>
      <tp>
        <v>0.47328804720000001</v>
        <stp/>
        <stp>EM_S_FA_ASSETSTURN</stp>
        <stp>3</stp>
        <stp>300252</stp>
        <stp>12/31/2018</stp>
        <stp>1</stp>
        <tr r="K2966" s="1"/>
      </tp>
      <tp>
        <v>0.46195844520399998</v>
        <stp/>
        <stp>EM_S_FA_ASSETSTURN</stp>
        <stp>3</stp>
        <stp>600202</stp>
        <stp>12/31/2018</stp>
        <stp>1</stp>
        <tr r="K605" s="1"/>
      </tp>
      <tp>
        <v>0.207117879699</v>
        <stp/>
        <stp>EM_S_FA_ASSETSTURN</stp>
        <stp>3</stp>
        <stp>300152</stp>
        <stp>12/31/2018</stp>
        <stp>1</stp>
        <tr r="K897" s="1"/>
      </tp>
      <tp>
        <v>0</v>
        <stp/>
        <stp>EM_S_FA_ASSETSTURN</stp>
        <stp>3</stp>
        <stp>600102</stp>
        <stp>12/31/2018</stp>
        <stp>1</stp>
        <tr r="K2292" s="1"/>
      </tp>
      <tp>
        <v>1.250805125591</v>
        <stp/>
        <stp>EM_S_FA_ASSETSTURN</stp>
        <stp>3</stp>
        <stp>000062</stp>
        <stp>12/31/2018</stp>
        <stp>1</stp>
        <tr r="K1072" s="1"/>
      </tp>
      <tp>
        <v>0.28213002166500001</v>
        <stp/>
        <stp>EM_S_FA_ASSETSTURN</stp>
        <stp>3</stp>
        <stp>300052</stp>
        <stp>12/31/2018</stp>
        <stp>1</stp>
        <tr r="K509" s="1"/>
      </tp>
      <tp>
        <v>0</v>
        <stp/>
        <stp>EM_S_FA_ASSETSTURN</stp>
        <stp>3</stp>
        <stp>600002</stp>
        <stp>12/31/2018</stp>
        <stp>1</stp>
        <tr r="K2286" s="1"/>
      </tp>
      <tp>
        <v>0.16914778324499999</v>
        <stp/>
        <stp>EM_S_FA_ASSETSTURN</stp>
        <stp>3</stp>
        <stp>000762</stp>
        <stp>12/31/2018</stp>
        <stp>1</stp>
        <tr r="K3531" s="1"/>
      </tp>
      <tp>
        <v>0.46373127284299998</v>
        <stp/>
        <stp>EM_S_FA_ASSETSTURN</stp>
        <stp>3</stp>
        <stp>600702</stp>
        <stp>12/31/2018</stp>
        <stp>1</stp>
        <tr r="K882" s="1"/>
      </tp>
      <tp>
        <v>0.15347794410900001</v>
        <stp/>
        <stp>EM_S_FA_ASSETSTURN</stp>
        <stp>3</stp>
        <stp>000662</stp>
        <stp>12/31/2018</stp>
        <stp>1</stp>
        <tr r="K3497" s="1"/>
      </tp>
      <tp>
        <v>0.39583684120399998</v>
        <stp/>
        <stp>EM_S_FA_ASSETSTURN</stp>
        <stp>3</stp>
        <stp>300652</stp>
        <stp>12/31/2018</stp>
        <stp>1</stp>
        <tr r="K2079" s="1"/>
      </tp>
      <tp>
        <v>0.81300925477899999</v>
        <stp/>
        <stp>EM_S_FA_ASSETSTURN</stp>
        <stp>3</stp>
        <stp>600602</stp>
        <stp>12/31/2018</stp>
        <stp>1</stp>
        <tr r="K353" s="1"/>
      </tp>
      <tp>
        <v>0</v>
        <stp/>
        <stp>EM_S_FA_ASSETSTURN</stp>
        <stp>3</stp>
        <stp>000562</stp>
        <stp>12/31/2018</stp>
        <stp>1</stp>
        <tr r="K3455" s="1"/>
      </tp>
      <tp>
        <v>0.584753308804</v>
        <stp/>
        <stp>EM_S_FA_ASSETSTURN</stp>
        <stp>3</stp>
        <stp>300552</stp>
        <stp>12/31/2018</stp>
        <stp>1</stp>
        <tr r="K15" s="1"/>
      </tp>
      <tp>
        <v>0.55846134036700001</v>
        <stp/>
        <stp>EM_S_FA_ASSETSTURN</stp>
        <stp>3</stp>
        <stp>600502</stp>
        <stp>12/31/2018</stp>
        <stp>1</stp>
        <tr r="K1556" s="1"/>
      </tp>
      <tp>
        <v>0.62283348180499998</v>
        <stp/>
        <stp>EM_S_FA_ASSETSTURN</stp>
        <stp>3</stp>
        <stp>300452</stp>
        <stp>12/31/2018</stp>
        <stp>1</stp>
        <tr r="K1739" s="1"/>
      </tp>
      <tp>
        <v>0</v>
        <stp/>
        <stp>EM_S_FA_ASSETSTURN</stp>
        <stp>3</stp>
        <stp>603302</stp>
        <stp>12/31/2018</stp>
        <stp>1</stp>
        <tr r="K14" s="1"/>
      </tp>
      <tp>
        <v>0.99913335707999995</v>
        <stp/>
        <stp>EM_S_FA_ASSETSTURN</stp>
        <stp>3</stp>
        <stp>603002</stp>
        <stp>12/31/2018</stp>
        <stp>1</stp>
        <tr r="K1090" s="1"/>
      </tp>
      <tp>
        <v>0.55296045203400002</v>
        <stp/>
        <stp>EM_S_FA_ASSETSTURN</stp>
        <stp>3</stp>
        <stp>603602</stp>
        <stp>12/31/2018</stp>
        <stp>1</stp>
        <tr r="K2921" s="1"/>
      </tp>
      <tp>
        <v>0.66526848710200004</v>
        <stp/>
        <stp>EM_S_FA_ASSETSTURN</stp>
        <stp>3</stp>
        <stp>002862</stp>
        <stp>12/31/2018</stp>
        <stp>1</stp>
        <tr r="K2070" s="1"/>
      </tp>
      <tp>
        <v>0.67085873868400003</v>
        <stp/>
        <stp>EM_S_FA_ASSETSTURN</stp>
        <stp>3</stp>
        <stp>002362</stp>
        <stp>12/31/2018</stp>
        <stp>1</stp>
        <tr r="K1277" s="1"/>
      </tp>
      <tp>
        <v>1.0524572134179999</v>
        <stp/>
        <stp>EM_S_FA_ASSETSTURN</stp>
        <stp>3</stp>
        <stp>002262</stp>
        <stp>12/31/2018</stp>
        <stp>1</stp>
        <tr r="K1001" s="1"/>
      </tp>
      <tp>
        <v>0.44537182557600002</v>
        <stp/>
        <stp>EM_S_FA_ASSETSTURN</stp>
        <stp>3</stp>
        <stp>002162</stp>
        <stp>12/31/2018</stp>
        <stp>1</stp>
        <tr r="K1080" s="1"/>
      </tp>
      <tp>
        <v>0.71796602406200005</v>
        <stp/>
        <stp>EM_S_FA_ASSETSTURN</stp>
        <stp>3</stp>
        <stp>002062</stp>
        <stp>12/31/2018</stp>
        <stp>1</stp>
        <tr r="K2740" s="1"/>
      </tp>
      <tp>
        <v>0.41952833931700001</v>
        <stp/>
        <stp>EM_S_FA_ASSETSTURN</stp>
        <stp>3</stp>
        <stp>002762</stp>
        <stp>12/31/2018</stp>
        <stp>1</stp>
        <tr r="K2112" s="1"/>
      </tp>
      <tp>
        <v>0.55755778295199998</v>
        <stp/>
        <stp>EM_S_FA_ASSETSTURN</stp>
        <stp>3</stp>
        <stp>002662</stp>
        <stp>12/31/2018</stp>
        <stp>1</stp>
        <tr r="K3217" s="1"/>
      </tp>
      <tp>
        <v>0.40159469646399998</v>
        <stp/>
        <stp>EM_S_FA_ASSETSTURN</stp>
        <stp>3</stp>
        <stp>002562</stp>
        <stp>12/31/2018</stp>
        <stp>1</stp>
        <tr r="K1598" s="1"/>
      </tp>
      <tp>
        <v>1.7910679228999999</v>
        <stp/>
        <stp>EM_S_FA_ASSETSTURN</stp>
        <stp>3</stp>
        <stp>002462</stp>
        <stp>12/31/2018</stp>
        <stp>1</stp>
        <tr r="K1795" s="1"/>
      </tp>
      <tp>
        <v>1.9719456510169999</v>
        <stp/>
        <stp>EM_S_FA_ASSETSTURN</stp>
        <stp>3</stp>
        <stp>601003</stp>
        <stp>12/31/2018</stp>
        <stp>1</stp>
        <tr r="K2925" s="1"/>
      </tp>
      <tp>
        <v>1.7420162672120001</v>
        <stp/>
        <stp>EM_S_FA_ASSETSTURN</stp>
        <stp>3</stp>
        <stp>000963</stp>
        <stp>12/31/2018</stp>
        <stp>1</stp>
        <tr r="K2741" s="1"/>
      </tp>
      <tp>
        <v>0.45449349113999998</v>
        <stp/>
        <stp>EM_S_FA_ASSETSTURN</stp>
        <stp>3</stp>
        <stp>600903</stp>
        <stp>12/31/2018</stp>
        <stp>1</stp>
        <tr r="K3216" s="1"/>
      </tp>
      <tp>
        <v>0.12507856969600001</v>
        <stp/>
        <stp>EM_S_FA_ASSETSTURN</stp>
        <stp>3</stp>
        <stp>000863</stp>
        <stp>12/31/2018</stp>
        <stp>1</stp>
        <tr r="K3557" s="1"/>
      </tp>
      <tp>
        <v>0.60495912260600004</v>
        <stp/>
        <stp>EM_S_FA_ASSETSTURN</stp>
        <stp>3</stp>
        <stp>600803</stp>
        <stp>12/31/2018</stp>
        <stp>1</stp>
        <tr r="K1898" s="1"/>
      </tp>
      <tp>
        <v>0.29760199618099997</v>
        <stp/>
        <stp>EM_S_FA_ASSETSTURN</stp>
        <stp>3</stp>
        <stp>300353</stp>
        <stp>12/31/2018</stp>
        <stp>1</stp>
        <tr r="K614" s="1"/>
      </tp>
      <tp>
        <v>0.41179457550499998</v>
        <stp/>
        <stp>EM_S_FA_ASSETSTURN</stp>
        <stp>3</stp>
        <stp>600303</stp>
        <stp>12/31/2018</stp>
        <stp>1</stp>
        <tr r="K2765" s="1"/>
      </tp>
      <tp>
        <v>0.36196980999700001</v>
        <stp/>
        <stp>EM_S_FA_ASSETSTURN</stp>
        <stp>3</stp>
        <stp>300253</stp>
        <stp>12/31/2018</stp>
        <stp>1</stp>
        <tr r="K1336" s="1"/>
      </tp>
      <tp>
        <v>1.693204746938</v>
        <stp/>
        <stp>EM_S_FA_ASSETSTURN</stp>
        <stp>3</stp>
        <stp>600203</stp>
        <stp>12/31/2018</stp>
        <stp>1</stp>
        <tr r="K655" s="1"/>
      </tp>
      <tp>
        <v>0.83949484459599999</v>
        <stp/>
        <stp>EM_S_FA_ASSETSTURN</stp>
        <stp>3</stp>
        <stp>300153</stp>
        <stp>12/31/2018</stp>
        <stp>1</stp>
        <tr r="K2698" s="1"/>
      </tp>
      <tp>
        <v>0.57795318126600004</v>
        <stp/>
        <stp>EM_S_FA_ASSETSTURN</stp>
        <stp>3</stp>
        <stp>600103</stp>
        <stp>12/31/2018</stp>
        <stp>1</stp>
        <tr r="K3018" s="1"/>
      </tp>
      <tp>
        <v>0.62575260791499998</v>
        <stp/>
        <stp>EM_S_FA_ASSETSTURN</stp>
        <stp>3</stp>
        <stp>000063</stp>
        <stp>12/31/2018</stp>
        <stp>1</stp>
        <tr r="K245" s="1"/>
      </tp>
      <tp>
        <v>0.26436288664000002</v>
        <stp/>
        <stp>EM_S_FA_ASSETSTURN</stp>
        <stp>3</stp>
        <stp>300053</stp>
        <stp>12/31/2018</stp>
        <stp>1</stp>
        <tr r="K528" s="1"/>
      </tp>
      <tp>
        <v>0</v>
        <stp/>
        <stp>EM_S_FA_ASSETSTURN</stp>
        <stp>3</stp>
        <stp>600003</stp>
        <stp>12/31/2018</stp>
        <stp>1</stp>
        <tr r="K2287" s="1"/>
      </tp>
      <tp>
        <v>0</v>
        <stp/>
        <stp>EM_S_FA_ASSETSTURN</stp>
        <stp>3</stp>
        <stp>000763</stp>
        <stp>12/31/2018</stp>
        <stp>1</stp>
        <tr r="K3532" s="1"/>
      </tp>
      <tp>
        <v>0.298589080871</v>
        <stp/>
        <stp>EM_S_FA_ASSETSTURN</stp>
        <stp>3</stp>
        <stp>600703</stp>
        <stp>12/31/2018</stp>
        <stp>1</stp>
        <tr r="K375" s="1"/>
      </tp>
      <tp>
        <v>0.217159796721</v>
        <stp/>
        <stp>EM_S_FA_ASSETSTURN</stp>
        <stp>3</stp>
        <stp>000663</stp>
        <stp>12/31/2018</stp>
        <stp>1</stp>
        <tr r="K3498" s="1"/>
      </tp>
      <tp>
        <v>0.38669445139300002</v>
        <stp/>
        <stp>EM_S_FA_ASSETSTURN</stp>
        <stp>3</stp>
        <stp>300653</stp>
        <stp>12/31/2018</stp>
        <stp>1</stp>
        <tr r="K539" s="1"/>
      </tp>
      <tp>
        <v>0.184209904891</v>
        <stp/>
        <stp>EM_S_FA_ASSETSTURN</stp>
        <stp>3</stp>
        <stp>600603</stp>
        <stp>12/31/2018</stp>
        <stp>1</stp>
        <tr r="K1271" s="1"/>
      </tp>
      <tp>
        <v>0</v>
        <stp/>
        <stp>EM_S_FA_ASSETSTURN</stp>
        <stp>3</stp>
        <stp>000563</stp>
        <stp>12/31/2018</stp>
        <stp>1</stp>
        <tr r="K3456" s="1"/>
      </tp>
      <tp>
        <v>0.389672124211</v>
        <stp/>
        <stp>EM_S_FA_ASSETSTURN</stp>
        <stp>3</stp>
        <stp>300553</stp>
        <stp>12/31/2018</stp>
        <stp>1</stp>
        <tr r="K1587" s="1"/>
      </tp>
      <tp>
        <v>5.7664819474999997E-2</v>
        <stp/>
        <stp>EM_S_FA_ASSETSTURN</stp>
        <stp>3</stp>
        <stp>600503</stp>
        <stp>12/31/2018</stp>
        <stp>1</stp>
        <tr r="K2014" s="1"/>
      </tp>
      <tp>
        <v>0.70936484209999995</v>
        <stp/>
        <stp>EM_S_FA_ASSETSTURN</stp>
        <stp>3</stp>
        <stp>300453</stp>
        <stp>12/31/2018</stp>
        <stp>1</stp>
        <tr r="K3248" s="1"/>
      </tp>
      <tp>
        <v>0.46498799865000001</v>
        <stp/>
        <stp>EM_S_FA_ASSETSTURN</stp>
        <stp>3</stp>
        <stp>600403</stp>
        <stp>12/31/2018</stp>
        <stp>1</stp>
        <tr r="K1468" s="1"/>
      </tp>
      <tp>
        <v>0.55192378055900004</v>
        <stp/>
        <stp>EM_S_FA_ASSETSTURN</stp>
        <stp>3</stp>
        <stp>603903</stp>
        <stp>12/31/2018</stp>
        <stp>1</stp>
        <tr r="K3225" s="1"/>
      </tp>
      <tp>
        <v>0.64729995714999999</v>
        <stp/>
        <stp>EM_S_FA_ASSETSTURN</stp>
        <stp>3</stp>
        <stp>603803</stp>
        <stp>12/31/2018</stp>
        <stp>1</stp>
        <tr r="K1040" s="1"/>
      </tp>
      <tp>
        <v>1.0909957721570001</v>
        <stp/>
        <stp>EM_S_FA_ASSETSTURN</stp>
        <stp>3</stp>
        <stp>603303</stp>
        <stp>12/31/2018</stp>
        <stp>1</stp>
        <tr r="K2847" s="1"/>
      </tp>
      <tp>
        <v>0.44816293599500001</v>
        <stp/>
        <stp>EM_S_FA_ASSETSTURN</stp>
        <stp>3</stp>
        <stp>603203</stp>
        <stp>12/31/2018</stp>
        <stp>1</stp>
        <tr r="K761" s="1"/>
      </tp>
      <tp>
        <v>0.86851194791200004</v>
        <stp/>
        <stp>EM_S_FA_ASSETSTURN</stp>
        <stp>3</stp>
        <stp>603103</stp>
        <stp>12/31/2018</stp>
        <stp>1</stp>
        <tr r="K2987" s="1"/>
      </tp>
      <tp>
        <v>2.685501542241</v>
        <stp/>
        <stp>EM_S_FA_ASSETSTURN</stp>
        <stp>3</stp>
        <stp>603003</stp>
        <stp>12/31/2018</stp>
        <stp>1</stp>
        <tr r="K1217" s="1"/>
      </tp>
      <tp>
        <v>0.50931696032899998</v>
        <stp/>
        <stp>EM_S_FA_ASSETSTURN</stp>
        <stp>3</stp>
        <stp>603703</stp>
        <stp>12/31/2018</stp>
        <stp>1</stp>
        <tr r="K347" s="1"/>
      </tp>
      <tp>
        <v>0.42064131009</v>
        <stp/>
        <stp>EM_S_FA_ASSETSTURN</stp>
        <stp>3</stp>
        <stp>603603</stp>
        <stp>12/31/2018</stp>
        <stp>1</stp>
        <tr r="K3314" s="1"/>
      </tp>
      <tp>
        <v>0.72909046231700003</v>
        <stp/>
        <stp>EM_S_FA_ASSETSTURN</stp>
        <stp>3</stp>
        <stp>002863</stp>
        <stp>12/31/2018</stp>
        <stp>1</stp>
        <tr r="K2846" s="1"/>
      </tp>
      <tp>
        <v>0.56389360850199999</v>
        <stp/>
        <stp>EM_S_FA_ASSETSTURN</stp>
        <stp>3</stp>
        <stp>002363</stp>
        <stp>12/31/2018</stp>
        <stp>1</stp>
        <tr r="K1055" s="1"/>
      </tp>
      <tp>
        <v>0.40926548820300002</v>
        <stp/>
        <stp>EM_S_FA_ASSETSTURN</stp>
        <stp>3</stp>
        <stp>002263</stp>
        <stp>12/31/2018</stp>
        <stp>1</stp>
        <tr r="K1203" s="1"/>
      </tp>
      <tp>
        <v>0.83754259799099995</v>
        <stp/>
        <stp>EM_S_FA_ASSETSTURN</stp>
        <stp>3</stp>
        <stp>002163</stp>
        <stp>12/31/2018</stp>
        <stp>1</stp>
        <tr r="K1572" s="1"/>
      </tp>
      <tp>
        <v>0.49277862335400002</v>
        <stp/>
        <stp>EM_S_FA_ASSETSTURN</stp>
        <stp>3</stp>
        <stp>002063</stp>
        <stp>12/31/2018</stp>
        <stp>1</stp>
        <tr r="K118" s="1"/>
      </tp>
      <tp>
        <v>1.0180737761980001</v>
        <stp/>
        <stp>EM_S_FA_ASSETSTURN</stp>
        <stp>3</stp>
        <stp>002763</stp>
        <stp>12/31/2018</stp>
        <stp>1</stp>
        <tr r="K2122" s="1"/>
      </tp>
      <tp>
        <v>0.40118847091100002</v>
        <stp/>
        <stp>EM_S_FA_ASSETSTURN</stp>
        <stp>3</stp>
        <stp>002663</stp>
        <stp>12/31/2018</stp>
        <stp>1</stp>
        <tr r="K1524" s="1"/>
      </tp>
      <tp>
        <v>1.0406256627120001</v>
        <stp/>
        <stp>EM_S_FA_ASSETSTURN</stp>
        <stp>3</stp>
        <stp>002563</stp>
        <stp>12/31/2018</stp>
        <stp>1</stp>
        <tr r="K1758" s="1"/>
      </tp>
      <tp>
        <v>0.87318996350400002</v>
        <stp/>
        <stp>EM_S_FA_ASSETSTURN</stp>
        <stp>3</stp>
        <stp>002463</stp>
        <stp>12/31/2018</stp>
        <stp>1</stp>
        <tr r="K42" s="1"/>
      </tp>
      <tp>
        <v>0.607744650356</v>
        <stp/>
        <stp>EM_S_FA_ASSETSTURN</stp>
        <stp>3</stp>
        <stp>601900</stp>
        <stp>12/31/2018</stp>
        <stp>1</stp>
        <tr r="K1823" s="1"/>
      </tp>
      <tp>
        <v>0.54218705086399999</v>
        <stp/>
        <stp>EM_S_FA_ASSETSTURN</stp>
        <stp>3</stp>
        <stp>601800</stp>
        <stp>12/31/2018</stp>
        <stp>1</stp>
        <tr r="K3086" s="1"/>
      </tp>
      <tp>
        <v>0.188444588469</v>
        <stp/>
        <stp>EM_S_FA_ASSETSTURN</stp>
        <stp>3</stp>
        <stp>601200</stp>
        <stp>12/31/2018</stp>
        <stp>1</stp>
        <tr r="K2980" s="1"/>
      </tp>
      <tp>
        <v>0.62721959233199998</v>
        <stp/>
        <stp>EM_S_FA_ASSETSTURN</stp>
        <stp>3</stp>
        <stp>601100</stp>
        <stp>12/31/2018</stp>
        <stp>1</stp>
        <tr r="K79" s="1"/>
      </tp>
      <tp>
        <v>0.44699438082600002</v>
        <stp/>
        <stp>EM_S_FA_ASSETSTURN</stp>
        <stp>3</stp>
        <stp>601000</stp>
        <stp>12/31/2018</stp>
        <stp>1</stp>
        <tr r="K1833" s="1"/>
      </tp>
      <tp>
        <v>0.43429255507100001</v>
        <stp/>
        <stp>EM_S_FA_ASSETSTURN</stp>
        <stp>3</stp>
        <stp>601700</stp>
        <stp>12/31/2018</stp>
        <stp>1</stp>
        <tr r="K297" s="1"/>
      </tp>
      <tp>
        <v>0.89890243378500001</v>
        <stp/>
        <stp>EM_S_FA_ASSETSTURN</stp>
        <stp>3</stp>
        <stp>601600</stp>
        <stp>12/31/2018</stp>
        <stp>1</stp>
        <tr r="K2346" s="1"/>
      </tp>
      <tp>
        <v>0.91217100561200004</v>
        <stp/>
        <stp>EM_S_FA_ASSETSTURN</stp>
        <stp>3</stp>
        <stp>601500</stp>
        <stp>12/31/2018</stp>
        <stp>1</stp>
        <tr r="K2436" s="1"/>
      </tp>
      <tp>
        <v>1.222159902025</v>
        <stp/>
        <stp>EM_S_FA_ASSETSTURN</stp>
        <stp>3</stp>
        <stp>000960</stp>
        <stp>12/31/2018</stp>
        <stp>1</stp>
        <tr r="K1651" s="1"/>
      </tp>
      <tp>
        <v>0.17217810798399999</v>
        <stp/>
        <stp>EM_S_FA_ASSETSTURN</stp>
        <stp>3</stp>
        <stp>600900</stp>
        <stp>12/31/2018</stp>
        <stp>1</stp>
        <tr r="K1447" s="1"/>
      </tp>
      <tp>
        <v>0.63112744480100003</v>
        <stp/>
        <stp>EM_S_FA_ASSETSTURN</stp>
        <stp>3</stp>
        <stp>000860</stp>
        <stp>12/31/2018</stp>
        <stp>1</stp>
        <tr r="K371" s="1"/>
      </tp>
      <tp>
        <v>0.25947019865600002</v>
        <stp/>
        <stp>EM_S_FA_ASSETSTURN</stp>
        <stp>3</stp>
        <stp>600800</stp>
        <stp>12/31/2018</stp>
        <stp>1</stp>
        <tr r="K1729" s="1"/>
      </tp>
      <tp>
        <v>0.37583436677999998</v>
        <stp/>
        <stp>EM_S_FA_ASSETSTURN</stp>
        <stp>3</stp>
        <stp>300350</stp>
        <stp>12/31/2018</stp>
        <stp>1</stp>
        <tr r="K2687" s="1"/>
      </tp>
      <tp>
        <v>0.60745837001900005</v>
        <stp/>
        <stp>EM_S_FA_ASSETSTURN</stp>
        <stp>3</stp>
        <stp>600300</stp>
        <stp>12/31/2018</stp>
        <stp>1</stp>
        <tr r="K1995" s="1"/>
      </tp>
      <tp>
        <v>0.246919151798</v>
        <stp/>
        <stp>EM_S_FA_ASSETSTURN</stp>
        <stp>3</stp>
        <stp>300250</stp>
        <stp>12/31/2018</stp>
        <stp>1</stp>
        <tr r="K1446" s="1"/>
      </tp>
      <tp>
        <v>0.36782037841300003</v>
        <stp/>
        <stp>EM_S_FA_ASSETSTURN</stp>
        <stp>3</stp>
        <stp>600200</stp>
        <stp>12/31/2018</stp>
        <stp>1</stp>
        <tr r="K2906" s="1"/>
      </tp>
      <tp>
        <v>0.27257234372900002</v>
        <stp/>
        <stp>EM_S_FA_ASSETSTURN</stp>
        <stp>3</stp>
        <stp>300150</stp>
        <stp>12/31/2018</stp>
        <stp>1</stp>
        <tr r="K2203" s="1"/>
      </tp>
      <tp>
        <v>0.39044121459199999</v>
        <stp/>
        <stp>EM_S_FA_ASSETSTURN</stp>
        <stp>3</stp>
        <stp>600100</stp>
        <stp>12/31/2018</stp>
        <stp>1</stp>
        <tr r="K2791" s="1"/>
      </tp>
      <tp>
        <v>1.0427660621579999</v>
        <stp/>
        <stp>EM_S_FA_ASSETSTURN</stp>
        <stp>3</stp>
        <stp>000060</stp>
        <stp>12/31/2018</stp>
        <stp>1</stp>
        <tr r="K1710" s="1"/>
      </tp>
      <tp>
        <v>0.27356951440600003</v>
        <stp/>
        <stp>EM_S_FA_ASSETSTURN</stp>
        <stp>3</stp>
        <stp>300050</stp>
        <stp>12/31/2018</stp>
        <stp>1</stp>
        <tr r="K2656" s="1"/>
      </tp>
      <tp>
        <v>0</v>
        <stp/>
        <stp>EM_S_FA_ASSETSTURN</stp>
        <stp>3</stp>
        <stp>600000</stp>
        <stp>12/31/2018</stp>
        <stp>1</stp>
        <tr r="K1062" s="1"/>
      </tp>
      <tp>
        <v>0.135771246988</v>
        <stp/>
        <stp>EM_S_FA_ASSETSTURN</stp>
        <stp>3</stp>
        <stp>000760</stp>
        <stp>12/31/2018</stp>
        <stp>1</stp>
        <tr r="K3530" s="1"/>
      </tp>
      <tp>
        <v>0.47935382899899998</v>
        <stp/>
        <stp>EM_S_FA_ASSETSTURN</stp>
        <stp>3</stp>
        <stp>300750</stp>
        <stp>12/31/2018</stp>
        <stp>1</stp>
        <tr r="K579" s="1"/>
      </tp>
      <tp>
        <v>1.1900868102999999E-2</v>
        <stp/>
        <stp>EM_S_FA_ASSETSTURN</stp>
        <stp>3</stp>
        <stp>600700</stp>
        <stp>12/31/2018</stp>
        <stp>1</stp>
        <tr r="K2317" s="1"/>
      </tp>
      <tp>
        <v>0.890296163664</v>
        <stp/>
        <stp>EM_S_FA_ASSETSTURN</stp>
        <stp>3</stp>
        <stp>000660</stp>
        <stp>12/31/2018</stp>
        <stp>1</stp>
        <tr r="K3496" s="1"/>
      </tp>
      <tp>
        <v>0.68517658136799997</v>
        <stp/>
        <stp>EM_S_FA_ASSETSTURN</stp>
        <stp>3</stp>
        <stp>300650</stp>
        <stp>12/31/2018</stp>
        <stp>1</stp>
        <tr r="K1066" s="1"/>
      </tp>
      <tp>
        <v>0.817071935114</v>
        <stp/>
        <stp>EM_S_FA_ASSETSTURN</stp>
        <stp>3</stp>
        <stp>600600</stp>
        <stp>12/31/2018</stp>
        <stp>1</stp>
        <tr r="K615" s="1"/>
      </tp>
      <tp>
        <v>0.60235624393599996</v>
        <stp/>
        <stp>EM_S_FA_ASSETSTURN</stp>
        <stp>3</stp>
        <stp>000560</stp>
        <stp>12/31/2018</stp>
        <stp>1</stp>
        <tr r="K2688" s="1"/>
      </tp>
      <tp>
        <v>0.47829316082000001</v>
        <stp/>
        <stp>EM_S_FA_ASSETSTURN</stp>
        <stp>3</stp>
        <stp>300550</stp>
        <stp>12/31/2018</stp>
        <stp>1</stp>
        <tr r="K3349" s="1"/>
      </tp>
      <tp>
        <v>1.130299037766</v>
        <stp/>
        <stp>EM_S_FA_ASSETSTURN</stp>
        <stp>3</stp>
        <stp>600500</stp>
        <stp>12/31/2018</stp>
        <stp>1</stp>
        <tr r="K3109" s="1"/>
      </tp>
      <tp>
        <v>0.51603210712100001</v>
        <stp/>
        <stp>EM_S_FA_ASSETSTURN</stp>
        <stp>3</stp>
        <stp>300450</stp>
        <stp>12/31/2018</stp>
        <stp>1</stp>
        <tr r="K468" s="1"/>
      </tp>
      <tp>
        <v>0.454155558874</v>
        <stp/>
        <stp>EM_S_FA_ASSETSTURN</stp>
        <stp>3</stp>
        <stp>600400</stp>
        <stp>12/31/2018</stp>
        <stp>1</stp>
        <tr r="K2812" s="1"/>
      </tp>
      <tp>
        <v>0.59273532609299995</v>
        <stp/>
        <stp>EM_S_FA_ASSETSTURN</stp>
        <stp>3</stp>
        <stp>603900</stp>
        <stp>12/31/2018</stp>
        <stp>1</stp>
        <tr r="K3083" s="1"/>
      </tp>
      <tp>
        <v>0.77560712850500002</v>
        <stp/>
        <stp>EM_S_FA_ASSETSTURN</stp>
        <stp>3</stp>
        <stp>603800</stp>
        <stp>12/31/2018</stp>
        <stp>1</stp>
        <tr r="K1378" s="1"/>
      </tp>
      <tp>
        <v>0.15129492690400001</v>
        <stp/>
        <stp>EM_S_FA_ASSETSTURN</stp>
        <stp>3</stp>
        <stp>603300</stp>
        <stp>12/31/2018</stp>
        <stp>1</stp>
        <tr r="K370" s="1"/>
      </tp>
      <tp>
        <v>0.482099583389</v>
        <stp/>
        <stp>EM_S_FA_ASSETSTURN</stp>
        <stp>3</stp>
        <stp>603200</stp>
        <stp>12/31/2018</stp>
        <stp>1</stp>
        <tr r="K3342" s="1"/>
      </tp>
      <tp>
        <v>0.73029109764599998</v>
        <stp/>
        <stp>EM_S_FA_ASSETSTURN</stp>
        <stp>3</stp>
        <stp>603100</stp>
        <stp>12/31/2018</stp>
        <stp>1</stp>
        <tr r="K1357" s="1"/>
      </tp>
      <tp>
        <v>0.43533841354399999</v>
        <stp/>
        <stp>EM_S_FA_ASSETSTURN</stp>
        <stp>3</stp>
        <stp>603000</stp>
        <stp>12/31/2018</stp>
        <stp>1</stp>
        <tr r="K61" s="1"/>
      </tp>
      <tp>
        <v>1.6848228153660001</v>
        <stp/>
        <stp>EM_S_FA_ASSETSTURN</stp>
        <stp>3</stp>
        <stp>603600</stp>
        <stp>12/31/2018</stp>
        <stp>1</stp>
        <tr r="K311" s="1"/>
      </tp>
      <tp>
        <v>0.38070731537800001</v>
        <stp/>
        <stp>EM_S_FA_ASSETSTURN</stp>
        <stp>3</stp>
        <stp>603500</stp>
        <stp>12/31/2018</stp>
        <stp>1</stp>
        <tr r="K1345" s="1"/>
      </tp>
      <tp>
        <v>0.47894655351400001</v>
        <stp/>
        <stp>EM_S_FA_ASSETSTURN</stp>
        <stp>3</stp>
        <stp>002860</stp>
        <stp>12/31/2018</stp>
        <stp>1</stp>
        <tr r="K1191" s="1"/>
      </tp>
      <tp>
        <v>0.63964935680599999</v>
        <stp/>
        <stp>EM_S_FA_ASSETSTURN</stp>
        <stp>3</stp>
        <stp>002360</stp>
        <stp>12/31/2018</stp>
        <stp>1</stp>
        <tr r="K2452" s="1"/>
      </tp>
      <tp>
        <v>1.4270353322210001</v>
        <stp/>
        <stp>EM_S_FA_ASSETSTURN</stp>
        <stp>3</stp>
        <stp>002260</stp>
        <stp>12/31/2018</stp>
        <stp>1</stp>
        <tr r="K2467" s="1"/>
      </tp>
      <tp>
        <v>0.64024693038500002</v>
        <stp/>
        <stp>EM_S_FA_ASSETSTURN</stp>
        <stp>3</stp>
        <stp>002160</stp>
        <stp>12/31/2018</stp>
        <stp>1</stp>
        <tr r="K3009" s="1"/>
      </tp>
      <tp>
        <v>0.43999408126</v>
        <stp/>
        <stp>EM_S_FA_ASSETSTURN</stp>
        <stp>3</stp>
        <stp>002060</stp>
        <stp>12/31/2018</stp>
        <stp>1</stp>
        <tr r="K1677" s="1"/>
      </tp>
      <tp>
        <v>0.515472725681</v>
        <stp/>
        <stp>EM_S_FA_ASSETSTURN</stp>
        <stp>3</stp>
        <stp>002760</stp>
        <stp>12/31/2018</stp>
        <stp>1</stp>
        <tr r="K1204" s="1"/>
      </tp>
      <tp>
        <v>0.71293563407399996</v>
        <stp/>
        <stp>EM_S_FA_ASSETSTURN</stp>
        <stp>3</stp>
        <stp>002660</stp>
        <stp>12/31/2018</stp>
        <stp>1</stp>
        <tr r="K568" s="1"/>
      </tp>
      <tp>
        <v>0.90311519651500005</v>
        <stp/>
        <stp>EM_S_FA_ASSETSTURN</stp>
        <stp>3</stp>
        <stp>002560</stp>
        <stp>12/31/2018</stp>
        <stp>1</stp>
        <tr r="K1921" s="1"/>
      </tp>
      <tp>
        <v>0.46504883687100002</v>
        <stp/>
        <stp>EM_S_FA_ASSETSTURN</stp>
        <stp>3</stp>
        <stp>002460</stp>
        <stp>12/31/2018</stp>
        <stp>1</stp>
        <tr r="K490" s="1"/>
      </tp>
      <tp>
        <v>0</v>
        <stp/>
        <stp>EM_S_FA_ASSETSTURN</stp>
        <stp>3</stp>
        <stp>601901</stp>
        <stp>12/31/2018</stp>
        <stp>1</stp>
        <tr r="K408" s="1"/>
      </tp>
      <tp>
        <v>0.77238033937799999</v>
        <stp/>
        <stp>EM_S_FA_ASSETSTURN</stp>
        <stp>3</stp>
        <stp>601801</stp>
        <stp>12/31/2018</stp>
        <stp>1</stp>
        <tr r="K3010" s="1"/>
      </tp>
      <tp>
        <v>0.28124466509200002</v>
        <stp/>
        <stp>EM_S_FA_ASSETSTURN</stp>
        <stp>3</stp>
        <stp>601101</stp>
        <stp>12/31/2018</stp>
        <stp>1</stp>
        <tr r="K3038" s="1"/>
      </tp>
      <tp>
        <v>0.43044318329699999</v>
        <stp/>
        <stp>EM_S_FA_ASSETSTURN</stp>
        <stp>3</stp>
        <stp>601001</stp>
        <stp>12/31/2018</stp>
        <stp>1</stp>
        <tr r="K2169" s="1"/>
      </tp>
      <tp>
        <v>0</v>
        <stp/>
        <stp>EM_S_FA_ASSETSTURN</stp>
        <stp>3</stp>
        <stp>601601</stp>
        <stp>12/31/2018</stp>
        <stp>1</stp>
        <tr r="K836" s="1"/>
      </tp>
      <tp>
        <v>0.19532653341100001</v>
        <stp/>
        <stp>EM_S_FA_ASSETSTURN</stp>
        <stp>3</stp>
        <stp>000961</stp>
        <stp>12/31/2018</stp>
        <stp>1</stp>
        <tr r="K207" s="1"/>
      </tp>
      <tp>
        <v>0</v>
        <stp/>
        <stp>EM_S_FA_ASSETSTURN</stp>
        <stp>3</stp>
        <stp>600901</stp>
        <stp>12/31/2018</stp>
        <stp>1</stp>
        <tr r="K1864" s="1"/>
      </tp>
      <tp>
        <v>0.213690219603</v>
        <stp/>
        <stp>EM_S_FA_ASSETSTURN</stp>
        <stp>3</stp>
        <stp>000861</stp>
        <stp>12/31/2018</stp>
        <stp>1</stp>
        <tr r="K3556" s="1"/>
      </tp>
      <tp>
        <v>0.86288680179499999</v>
        <stp/>
        <stp>EM_S_FA_ASSETSTURN</stp>
        <stp>3</stp>
        <stp>600801</stp>
        <stp>12/31/2018</stp>
        <stp>1</stp>
        <tr r="K585" s="1"/>
      </tp>
      <tp>
        <v>0.41905226845799998</v>
        <stp/>
        <stp>EM_S_FA_ASSETSTURN</stp>
        <stp>3</stp>
        <stp>300351</stp>
        <stp>12/31/2018</stp>
        <stp>1</stp>
        <tr r="K1871" s="1"/>
      </tp>
      <tp>
        <v>0.47879784457699998</v>
        <stp/>
        <stp>EM_S_FA_ASSETSTURN</stp>
        <stp>3</stp>
        <stp>600301</stp>
        <stp>12/31/2018</stp>
        <stp>1</stp>
        <tr r="K1636" s="1"/>
      </tp>
      <tp>
        <v>0.13123578220500001</v>
        <stp/>
        <stp>EM_S_FA_ASSETSTURN</stp>
        <stp>3</stp>
        <stp>300251</stp>
        <stp>12/31/2018</stp>
        <stp>1</stp>
        <tr r="K501" s="1"/>
      </tp>
      <tp>
        <v>0.31618608423299999</v>
        <stp/>
        <stp>EM_S_FA_ASSETSTURN</stp>
        <stp>3</stp>
        <stp>600201</stp>
        <stp>12/31/2018</stp>
        <stp>1</stp>
        <tr r="K1517" s="1"/>
      </tp>
      <tp>
        <v>0.68961160263800003</v>
        <stp/>
        <stp>EM_S_FA_ASSETSTURN</stp>
        <stp>3</stp>
        <stp>300151</stp>
        <stp>12/31/2018</stp>
        <stp>1</stp>
        <tr r="K378" s="1"/>
      </tp>
      <tp>
        <v>0.51856640185299996</v>
        <stp/>
        <stp>EM_S_FA_ASSETSTURN</stp>
        <stp>3</stp>
        <stp>600101</stp>
        <stp>12/31/2018</stp>
        <stp>1</stp>
        <tr r="K1988" s="1"/>
      </tp>
      <tp>
        <v>0.1216631006</v>
        <stp/>
        <stp>EM_S_FA_ASSETSTURN</stp>
        <stp>3</stp>
        <stp>000061</stp>
        <stp>12/31/2018</stp>
        <stp>1</stp>
        <tr r="K1460" s="1"/>
      </tp>
      <tp>
        <v>0.18006482152700001</v>
        <stp/>
        <stp>EM_S_FA_ASSETSTURN</stp>
        <stp>3</stp>
        <stp>300051</stp>
        <stp>12/31/2018</stp>
        <stp>1</stp>
        <tr r="K2016" s="1"/>
      </tp>
      <tp>
        <v>0</v>
        <stp/>
        <stp>EM_S_FA_ASSETSTURN</stp>
        <stp>3</stp>
        <stp>600001</stp>
        <stp>12/31/2018</stp>
        <stp>1</stp>
        <tr r="K2285" s="1"/>
      </tp>
      <tp>
        <v>0.81842296953399996</v>
        <stp/>
        <stp>EM_S_FA_ASSETSTURN</stp>
        <stp>3</stp>
        <stp>000761</stp>
        <stp>12/31/2018</stp>
        <stp>1</stp>
        <tr r="K1372" s="1"/>
      </tp>
      <tp>
        <v>4.0305056414E-2</v>
        <stp/>
        <stp>EM_S_FA_ASSETSTURN</stp>
        <stp>3</stp>
        <stp>600701</stp>
        <stp>12/31/2018</stp>
        <stp>1</stp>
        <tr r="K3066" s="1"/>
      </tp>
      <tp>
        <v>0.64123603885699998</v>
        <stp/>
        <stp>EM_S_FA_ASSETSTURN</stp>
        <stp>3</stp>
        <stp>000661</stp>
        <stp>12/31/2018</stp>
        <stp>1</stp>
        <tr r="K85" s="1"/>
      </tp>
      <tp>
        <v>0.51267146159499999</v>
        <stp/>
        <stp>EM_S_FA_ASSETSTURN</stp>
        <stp>3</stp>
        <stp>300651</stp>
        <stp>12/31/2018</stp>
        <stp>1</stp>
        <tr r="K3284" s="1"/>
      </tp>
      <tp>
        <v>0.51446131457499999</v>
        <stp/>
        <stp>EM_S_FA_ASSETSTURN</stp>
        <stp>3</stp>
        <stp>600601</stp>
        <stp>12/31/2018</stp>
        <stp>1</stp>
        <tr r="K651" s="1"/>
      </tp>
      <tp>
        <v>0.43056955924899998</v>
        <stp/>
        <stp>EM_S_FA_ASSETSTURN</stp>
        <stp>3</stp>
        <stp>000561</stp>
        <stp>12/31/2018</stp>
        <stp>1</stp>
        <tr r="K926" s="1"/>
      </tp>
      <tp>
        <v>0.36043921155600001</v>
        <stp/>
        <stp>EM_S_FA_ASSETSTURN</stp>
        <stp>3</stp>
        <stp>300551</stp>
        <stp>12/31/2018</stp>
        <stp>1</stp>
        <tr r="K113" s="1"/>
      </tp>
      <tp>
        <v>0.57023192093700004</v>
        <stp/>
        <stp>EM_S_FA_ASSETSTURN</stp>
        <stp>3</stp>
        <stp>600501</stp>
        <stp>12/31/2018</stp>
        <stp>1</stp>
        <tr r="K972" s="1"/>
      </tp>
      <tp>
        <v>0.44665674119799997</v>
        <stp/>
        <stp>EM_S_FA_ASSETSTURN</stp>
        <stp>3</stp>
        <stp>300451</stp>
        <stp>12/31/2018</stp>
        <stp>1</stp>
        <tr r="K2693" s="1"/>
      </tp>
      <tp>
        <v>8.4842426915999997E-2</v>
        <stp/>
        <stp>EM_S_FA_ASSETSTURN</stp>
        <stp>3</stp>
        <stp>600401</stp>
        <stp>12/31/2018</stp>
        <stp>1</stp>
        <tr r="K3407" s="1"/>
      </tp>
      <tp>
        <v>0.6292894966</v>
        <stp/>
        <stp>EM_S_FA_ASSETSTURN</stp>
        <stp>3</stp>
        <stp>603901</stp>
        <stp>12/31/2018</stp>
        <stp>1</stp>
        <tr r="K415" s="1"/>
      </tp>
      <tp>
        <v>0.90029111377100002</v>
        <stp/>
        <stp>EM_S_FA_ASSETSTURN</stp>
        <stp>3</stp>
        <stp>603801</stp>
        <stp>12/31/2018</stp>
        <stp>1</stp>
        <tr r="K2581" s="1"/>
      </tp>
      <tp>
        <v>0.90898930037100001</v>
        <stp/>
        <stp>EM_S_FA_ASSETSTURN</stp>
        <stp>3</stp>
        <stp>603301</stp>
        <stp>12/31/2018</stp>
        <stp>1</stp>
        <tr r="K3245" s="1"/>
      </tp>
      <tp>
        <v>1.1094860404369999</v>
        <stp/>
        <stp>EM_S_FA_ASSETSTURN</stp>
        <stp>3</stp>
        <stp>603101</stp>
        <stp>12/31/2018</stp>
        <stp>1</stp>
        <tr r="K3340" s="1"/>
      </tp>
      <tp>
        <v>0.59600940037299999</v>
        <stp/>
        <stp>EM_S_FA_ASSETSTURN</stp>
        <stp>3</stp>
        <stp>603001</stp>
        <stp>12/31/2018</stp>
        <stp>1</stp>
        <tr r="K2795" s="1"/>
      </tp>
      <tp>
        <v>0.52162486555999998</v>
        <stp/>
        <stp>EM_S_FA_ASSETSTURN</stp>
        <stp>3</stp>
        <stp>603701</stp>
        <stp>12/31/2018</stp>
        <stp>1</stp>
        <tr r="K1613" s="1"/>
      </tp>
      <tp>
        <v>0.49673624600600003</v>
        <stp/>
        <stp>EM_S_FA_ASSETSTURN</stp>
        <stp>3</stp>
        <stp>603601</stp>
        <stp>12/31/2018</stp>
        <stp>1</stp>
        <tr r="K2589" s="1"/>
      </tp>
      <tp>
        <v>1.0676435314399999</v>
        <stp/>
        <stp>EM_S_FA_ASSETSTURN</stp>
        <stp>3</stp>
        <stp>603501</stp>
        <stp>12/31/2018</stp>
        <stp>1</stp>
        <tr r="K18" s="1"/>
      </tp>
      <tp>
        <v>0.684346176749</v>
        <stp/>
        <stp>EM_S_FA_ASSETSTURN</stp>
        <stp>3</stp>
        <stp>002861</stp>
        <stp>12/31/2018</stp>
        <stp>1</stp>
        <tr r="K286" s="1"/>
      </tp>
      <tp>
        <v>0.59087310883199995</v>
        <stp/>
        <stp>EM_S_FA_ASSETSTURN</stp>
        <stp>3</stp>
        <stp>002361</stp>
        <stp>12/31/2018</stp>
        <stp>1</stp>
        <tr r="K1315" s="1"/>
      </tp>
      <tp>
        <v>0.314656886611</v>
        <stp/>
        <stp>EM_S_FA_ASSETSTURN</stp>
        <stp>3</stp>
        <stp>002261</stp>
        <stp>12/31/2018</stp>
        <stp>1</stp>
        <tr r="K164" s="1"/>
      </tp>
      <tp>
        <v>0.19805890392200001</v>
        <stp/>
        <stp>EM_S_FA_ASSETSTURN</stp>
        <stp>3</stp>
        <stp>002161</stp>
        <stp>12/31/2018</stp>
        <stp>1</stp>
        <tr r="K278" s="1"/>
      </tp>
      <tp>
        <v>0.94627269409699999</v>
        <stp/>
        <stp>EM_S_FA_ASSETSTURN</stp>
        <stp>3</stp>
        <stp>002061</stp>
        <stp>12/31/2018</stp>
        <stp>1</stp>
        <tr r="K3337" s="1"/>
      </tp>
      <tp>
        <v>0.92882387170799996</v>
        <stp/>
        <stp>EM_S_FA_ASSETSTURN</stp>
        <stp>3</stp>
        <stp>002761</stp>
        <stp>12/31/2018</stp>
        <stp>1</stp>
        <tr r="K3296" s="1"/>
      </tp>
      <tp>
        <v>0.82159470049600003</v>
        <stp/>
        <stp>EM_S_FA_ASSETSTURN</stp>
        <stp>3</stp>
        <stp>002661</stp>
        <stp>12/31/2018</stp>
        <stp>1</stp>
        <tr r="K2711" s="1"/>
      </tp>
      <tp>
        <v>0.76974630287699997</v>
        <stp/>
        <stp>EM_S_FA_ASSETSTURN</stp>
        <stp>3</stp>
        <stp>002561</stp>
        <stp>12/31/2018</stp>
        <stp>1</stp>
        <tr r="K1959" s="1"/>
      </tp>
      <tp>
        <v>0.34380615275300003</v>
        <stp/>
        <stp>EM_S_FA_ASSETSTURN</stp>
        <stp>3</stp>
        <stp>002461</stp>
        <stp>12/31/2018</stp>
        <stp>1</stp>
        <tr r="K428" s="1"/>
      </tp>
      <tp>
        <v>0</v>
        <stp/>
        <stp>EM_S_FA_ASSETSTURN</stp>
        <stp>3</stp>
        <stp>601206</stp>
        <stp>12/31/2018</stp>
        <stp>1</stp>
        <tr r="K13" s="1"/>
      </tp>
      <tp>
        <v>0.31178628259500002</v>
        <stp/>
        <stp>EM_S_FA_ASSETSTURN</stp>
        <stp>3</stp>
        <stp>601106</stp>
        <stp>12/31/2018</stp>
        <stp>1</stp>
        <tr r="K1844" s="1"/>
      </tp>
      <tp>
        <v>0.57261938004900004</v>
        <stp/>
        <stp>EM_S_FA_ASSETSTURN</stp>
        <stp>3</stp>
        <stp>601006</stp>
        <stp>12/31/2018</stp>
        <stp>1</stp>
        <tr r="K2343" s="1"/>
      </tp>
      <tp>
        <v>0.70114944083700004</v>
        <stp/>
        <stp>EM_S_FA_ASSETSTURN</stp>
        <stp>3</stp>
        <stp>000966</stp>
        <stp>12/31/2018</stp>
        <stp>1</stp>
        <tr r="K869" s="1"/>
      </tp>
      <tp>
        <v>0</v>
        <stp/>
        <stp>EM_S_FA_ASSETSTURN</stp>
        <stp>3</stp>
        <stp>000866</stp>
        <stp>12/31/2018</stp>
        <stp>1</stp>
        <tr r="K3558" s="1"/>
      </tp>
      <tp>
        <v>0.31831232311800001</v>
        <stp/>
        <stp>EM_S_FA_ASSETSTURN</stp>
        <stp>3</stp>
        <stp>600806</stp>
        <stp>12/31/2018</stp>
        <stp>1</stp>
        <tr r="K2326" s="1"/>
      </tp>
      <tp>
        <v>0.238356670163</v>
        <stp/>
        <stp>EM_S_FA_ASSETSTURN</stp>
        <stp>3</stp>
        <stp>300356</stp>
        <stp>12/31/2018</stp>
        <stp>1</stp>
        <tr r="K792" s="1"/>
      </tp>
      <tp>
        <v>0.627469068558</v>
        <stp/>
        <stp>EM_S_FA_ASSETSTURN</stp>
        <stp>3</stp>
        <stp>600306</stp>
        <stp>12/31/2018</stp>
        <stp>1</stp>
        <tr r="K2801" s="1"/>
      </tp>
      <tp>
        <v>0.44623297200399997</v>
        <stp/>
        <stp>EM_S_FA_ASSETSTURN</stp>
        <stp>3</stp>
        <stp>300256</stp>
        <stp>12/31/2018</stp>
        <stp>1</stp>
        <tr r="K154" s="1"/>
      </tp>
      <tp>
        <v>1.3937165998800001</v>
        <stp/>
        <stp>EM_S_FA_ASSETSTURN</stp>
        <stp>3</stp>
        <stp>600206</stp>
        <stp>12/31/2018</stp>
        <stp>1</stp>
        <tr r="K232" s="1"/>
      </tp>
      <tp>
        <v>0</v>
        <stp/>
        <stp>EM_S_FA_ASSETSTURN</stp>
        <stp>3</stp>
        <stp>000166</stp>
        <stp>12/31/2018</stp>
        <stp>1</stp>
        <tr r="K3413" s="1"/>
      </tp>
      <tp>
        <v>8.0262175099999993E-3</v>
        <stp/>
        <stp>EM_S_FA_ASSETSTURN</stp>
        <stp>3</stp>
        <stp>300156</stp>
        <stp>12/31/2018</stp>
        <stp>1</stp>
        <tr r="K3381" s="1"/>
      </tp>
      <tp>
        <v>3.6261390373000003E-2</v>
        <stp/>
        <stp>EM_S_FA_ASSETSTURN</stp>
        <stp>3</stp>
        <stp>600106</stp>
        <stp>12/31/2018</stp>
        <stp>1</stp>
        <tr r="K2193" s="1"/>
      </tp>
      <tp>
        <v>0.64155527250099997</v>
        <stp/>
        <stp>EM_S_FA_ASSETSTURN</stp>
        <stp>3</stp>
        <stp>000066</stp>
        <stp>12/31/2018</stp>
        <stp>1</stp>
        <tr r="K34" s="1"/>
      </tp>
      <tp>
        <v>0.29352353471600001</v>
        <stp/>
        <stp>EM_S_FA_ASSETSTURN</stp>
        <stp>3</stp>
        <stp>300056</stp>
        <stp>12/31/2018</stp>
        <stp>1</stp>
        <tr r="K1201" s="1"/>
      </tp>
      <tp>
        <v>0.77079351185300005</v>
        <stp/>
        <stp>EM_S_FA_ASSETSTURN</stp>
        <stp>3</stp>
        <stp>600006</stp>
        <stp>12/31/2018</stp>
        <stp>1</stp>
        <tr r="K1054" s="1"/>
      </tp>
      <tp>
        <v>0.357312507201</v>
        <stp/>
        <stp>EM_S_FA_ASSETSTURN</stp>
        <stp>3</stp>
        <stp>000766</stp>
        <stp>12/31/2018</stp>
        <stp>1</stp>
        <tr r="K2592" s="1"/>
      </tp>
      <tp>
        <v>0.66498384171000002</v>
        <stp/>
        <stp>EM_S_FA_ASSETSTURN</stp>
        <stp>3</stp>
        <stp>600706</stp>
        <stp>12/31/2018</stp>
        <stp>1</stp>
        <tr r="K2912" s="1"/>
      </tp>
      <tp>
        <v>0.26937863693800002</v>
        <stp/>
        <stp>EM_S_FA_ASSETSTURN</stp>
        <stp>3</stp>
        <stp>000666</stp>
        <stp>12/31/2018</stp>
        <stp>1</stp>
        <tr r="K1969" s="1"/>
      </tp>
      <tp>
        <v>0.51512569010499998</v>
        <stp/>
        <stp>EM_S_FA_ASSETSTURN</stp>
        <stp>3</stp>
        <stp>300656</stp>
        <stp>12/31/2018</stp>
        <stp>1</stp>
        <tr r="K2217" s="1"/>
      </tp>
      <tp>
        <v>0.36999249266799999</v>
        <stp/>
        <stp>EM_S_FA_ASSETSTURN</stp>
        <stp>3</stp>
        <stp>600606</stp>
        <stp>12/31/2018</stp>
        <stp>1</stp>
        <tr r="K1591" s="1"/>
      </tp>
      <tp>
        <v>0.23671686082400001</v>
        <stp/>
        <stp>EM_S_FA_ASSETSTURN</stp>
        <stp>3</stp>
        <stp>000566</stp>
        <stp>12/31/2018</stp>
        <stp>1</stp>
        <tr r="K1499" s="1"/>
      </tp>
      <tp>
        <v>1.0469242855430001</v>
        <stp/>
        <stp>EM_S_FA_ASSETSTURN</stp>
        <stp>3</stp>
        <stp>300556</stp>
        <stp>12/31/2018</stp>
        <stp>1</stp>
        <tr r="K2073" s="1"/>
      </tp>
      <tp>
        <v>0.14315196537899999</v>
        <stp/>
        <stp>EM_S_FA_ASSETSTURN</stp>
        <stp>3</stp>
        <stp>600506</stp>
        <stp>12/31/2018</stp>
        <stp>1</stp>
        <tr r="K2132" s="1"/>
      </tp>
      <tp>
        <v>0.22305671760199999</v>
        <stp/>
        <stp>EM_S_FA_ASSETSTURN</stp>
        <stp>3</stp>
        <stp>300456</stp>
        <stp>12/31/2018</stp>
        <stp>1</stp>
        <tr r="K1723" s="1"/>
      </tp>
      <tp>
        <v>0.580574436448</v>
        <stp/>
        <stp>EM_S_FA_ASSETSTURN</stp>
        <stp>3</stp>
        <stp>600406</stp>
        <stp>12/31/2018</stp>
        <stp>1</stp>
        <tr r="K1471" s="1"/>
      </tp>
      <tp>
        <v>0.80674437521700004</v>
        <stp/>
        <stp>EM_S_FA_ASSETSTURN</stp>
        <stp>3</stp>
        <stp>603906</stp>
        <stp>12/31/2018</stp>
        <stp>1</stp>
        <tr r="K1119" s="1"/>
      </tp>
      <tp>
        <v>0.79112168202400002</v>
        <stp/>
        <stp>EM_S_FA_ASSETSTURN</stp>
        <stp>3</stp>
        <stp>603806</stp>
        <stp>12/31/2018</stp>
        <stp>1</stp>
        <tr r="K249" s="1"/>
      </tp>
      <tp>
        <v>0.39364179407200001</v>
        <stp/>
        <stp>EM_S_FA_ASSETSTURN</stp>
        <stp>3</stp>
        <stp>603306</stp>
        <stp>12/31/2018</stp>
        <stp>1</stp>
        <tr r="K2468" s="1"/>
      </tp>
      <tp>
        <v>0.41895606184500001</v>
        <stp/>
        <stp>EM_S_FA_ASSETSTURN</stp>
        <stp>3</stp>
        <stp>603106</stp>
        <stp>12/31/2018</stp>
        <stp>1</stp>
        <tr r="K2923" s="1"/>
      </tp>
      <tp>
        <v>0.55454665133900005</v>
        <stp/>
        <stp>EM_S_FA_ASSETSTURN</stp>
        <stp>3</stp>
        <stp>603006</stp>
        <stp>12/31/2018</stp>
        <stp>1</stp>
        <tr r="K1371" s="1"/>
      </tp>
      <tp>
        <v>0.39320064856300002</v>
        <stp/>
        <stp>EM_S_FA_ASSETSTURN</stp>
        <stp>3</stp>
        <stp>603706</stp>
        <stp>12/31/2018</stp>
        <stp>1</stp>
        <tr r="K3177" s="1"/>
      </tp>
      <tp>
        <v>0.94967535481900001</v>
        <stp/>
        <stp>EM_S_FA_ASSETSTURN</stp>
        <stp>3</stp>
        <stp>603606</stp>
        <stp>12/31/2018</stp>
        <stp>1</stp>
        <tr r="K1264" s="1"/>
      </tp>
      <tp>
        <v>0.98335297428199997</v>
        <stp/>
        <stp>EM_S_FA_ASSETSTURN</stp>
        <stp>3</stp>
        <stp>603506</stp>
        <stp>12/31/2018</stp>
        <stp>1</stp>
        <tr r="K2595" s="1"/>
      </tp>
      <tp>
        <v>0.84947196291600002</v>
        <stp/>
        <stp>EM_S_FA_ASSETSTURN</stp>
        <stp>3</stp>
        <stp>002866</stp>
        <stp>12/31/2018</stp>
        <stp>1</stp>
        <tr r="K796" s="1"/>
      </tp>
      <tp>
        <v>0.193161945822</v>
        <stp/>
        <stp>EM_S_FA_ASSETSTURN</stp>
        <stp>3</stp>
        <stp>002366</stp>
        <stp>12/31/2018</stp>
        <stp>1</stp>
        <tr r="K3168" s="1"/>
      </tp>
      <tp>
        <v>0.13661862398800001</v>
        <stp/>
        <stp>EM_S_FA_ASSETSTURN</stp>
        <stp>3</stp>
        <stp>002266</stp>
        <stp>12/31/2018</stp>
        <stp>1</stp>
        <tr r="K2187" s="1"/>
      </tp>
      <tp>
        <v>0.24688528636900001</v>
        <stp/>
        <stp>EM_S_FA_ASSETSTURN</stp>
        <stp>3</stp>
        <stp>002166</stp>
        <stp>12/31/2018</stp>
        <stp>1</stp>
        <tr r="K1282" s="1"/>
      </tp>
      <tp>
        <v>1.0301272845609999</v>
        <stp/>
        <stp>EM_S_FA_ASSETSTURN</stp>
        <stp>3</stp>
        <stp>002066</stp>
        <stp>12/31/2018</stp>
        <stp>1</stp>
        <tr r="K1696" s="1"/>
      </tp>
      <tp>
        <v>0.30370111502500002</v>
        <stp/>
        <stp>EM_S_FA_ASSETSTURN</stp>
        <stp>3</stp>
        <stp>002766</stp>
        <stp>12/31/2018</stp>
        <stp>1</stp>
        <tr r="K3305" s="1"/>
      </tp>
      <tp>
        <v>1.021055082645</v>
        <stp/>
        <stp>EM_S_FA_ASSETSTURN</stp>
        <stp>3</stp>
        <stp>002666</stp>
        <stp>12/31/2018</stp>
        <stp>1</stp>
        <tr r="K1190" s="1"/>
      </tp>
      <tp>
        <v>0.37455944616499998</v>
        <stp/>
        <stp>EM_S_FA_ASSETSTURN</stp>
        <stp>3</stp>
        <stp>002566</stp>
        <stp>12/31/2018</stp>
        <stp>1</stp>
        <tr r="K1514" s="1"/>
      </tp>
      <tp>
        <v>0.19990529079399999</v>
        <stp/>
        <stp>EM_S_FA_ASSETSTURN</stp>
        <stp>3</stp>
        <stp>002466</stp>
        <stp>12/31/2018</stp>
        <stp>1</stp>
        <tr r="K2482" s="1"/>
      </tp>
      <tp>
        <v>0.16936137523600001</v>
        <stp/>
        <stp>EM_S_FA_ASSETSTURN</stp>
        <stp>3</stp>
        <stp>601107</stp>
        <stp>12/31/2018</stp>
        <stp>1</stp>
        <tr r="K1498" s="1"/>
      </tp>
      <tp>
        <v>0.34254633000899998</v>
        <stp/>
        <stp>EM_S_FA_ASSETSTURN</stp>
        <stp>3</stp>
        <stp>601007</stp>
        <stp>12/31/2018</stp>
        <stp>1</stp>
        <tr r="K1482" s="1"/>
      </tp>
      <tp>
        <v>1.438221294339</v>
        <stp/>
        <stp>EM_S_FA_ASSETSTURN</stp>
        <stp>3</stp>
        <stp>601607</stp>
        <stp>12/31/2018</stp>
        <stp>1</stp>
        <tr r="K1979" s="1"/>
      </tp>
      <tp>
        <v>0.80009714997100001</v>
        <stp/>
        <stp>EM_S_FA_ASSETSTURN</stp>
        <stp>3</stp>
        <stp>000967</stp>
        <stp>12/31/2018</stp>
        <stp>1</stp>
        <tr r="K1753" s="1"/>
      </tp>
      <tp>
        <v>0.17618398951200001</v>
        <stp/>
        <stp>EM_S_FA_ASSETSTURN</stp>
        <stp>3</stp>
        <stp>600807</stp>
        <stp>12/31/2018</stp>
        <stp>1</stp>
        <tr r="K2570" s="1"/>
      </tp>
      <tp>
        <v>0.52538423836699999</v>
        <stp/>
        <stp>EM_S_FA_ASSETSTURN</stp>
        <stp>3</stp>
        <stp>300357</stp>
        <stp>12/31/2018</stp>
        <stp>1</stp>
        <tr r="K1410" s="1"/>
      </tp>
      <tp>
        <v>1.140930786155</v>
        <stp/>
        <stp>EM_S_FA_ASSETSTURN</stp>
        <stp>3</stp>
        <stp>600307</stp>
        <stp>12/31/2018</stp>
        <stp>1</stp>
        <tr r="K1905" s="1"/>
      </tp>
      <tp>
        <v>0.383223378281</v>
        <stp/>
        <stp>EM_S_FA_ASSETSTURN</stp>
        <stp>3</stp>
        <stp>300257</stp>
        <stp>12/31/2018</stp>
        <stp>1</stp>
        <tr r="K1743" s="1"/>
      </tp>
      <tp>
        <v>0.99228597272200003</v>
        <stp/>
        <stp>EM_S_FA_ASSETSTURN</stp>
        <stp>3</stp>
        <stp>600207</stp>
        <stp>12/31/2018</stp>
        <stp>1</stp>
        <tr r="K1807" s="1"/>
      </tp>
      <tp>
        <v>0.25086606768399999</v>
        <stp/>
        <stp>EM_S_FA_ASSETSTURN</stp>
        <stp>3</stp>
        <stp>300157</stp>
        <stp>12/31/2018</stp>
        <stp>1</stp>
        <tr r="K2441" s="1"/>
      </tp>
      <tp>
        <v>0.33143532495099998</v>
        <stp/>
        <stp>EM_S_FA_ASSETSTURN</stp>
        <stp>3</stp>
        <stp>600107</stp>
        <stp>12/31/2018</stp>
        <stp>1</stp>
        <tr r="K1238" s="1"/>
      </tp>
      <tp>
        <v>0.70315769504400005</v>
        <stp/>
        <stp>EM_S_FA_ASSETSTURN</stp>
        <stp>3</stp>
        <stp>300057</stp>
        <stp>12/31/2018</stp>
        <stp>1</stp>
        <tr r="K2435" s="1"/>
      </tp>
      <tp>
        <v>0.27864171622700001</v>
        <stp/>
        <stp>EM_S_FA_ASSETSTURN</stp>
        <stp>3</stp>
        <stp>600007</stp>
        <stp>12/31/2018</stp>
        <stp>1</stp>
        <tr r="K722" s="1"/>
      </tp>
      <tp>
        <v>0.22733679874000001</v>
        <stp/>
        <stp>EM_S_FA_ASSETSTURN</stp>
        <stp>3</stp>
        <stp>000767</stp>
        <stp>12/31/2018</stp>
        <stp>1</stp>
        <tr r="K2442" s="1"/>
      </tp>
      <tp>
        <v>5.0409091646E-2</v>
        <stp/>
        <stp>EM_S_FA_ASSETSTURN</stp>
        <stp>3</stp>
        <stp>600707</stp>
        <stp>12/31/2018</stp>
        <stp>1</stp>
        <tr r="K2050" s="1"/>
      </tp>
      <tp>
        <v>0.124949443265</v>
        <stp/>
        <stp>EM_S_FA_ASSETSTURN</stp>
        <stp>3</stp>
        <stp>000667</stp>
        <stp>12/31/2018</stp>
        <stp>1</stp>
        <tr r="K3499" s="1"/>
      </tp>
      <tp>
        <v>1.1008994675599999</v>
        <stp/>
        <stp>EM_S_FA_ASSETSTURN</stp>
        <stp>3</stp>
        <stp>300657</stp>
        <stp>12/31/2018</stp>
        <stp>1</stp>
        <tr r="K1186" s="1"/>
      </tp>
      <tp>
        <v>0</v>
        <stp/>
        <stp>EM_S_FA_ASSETSTURN</stp>
        <stp>3</stp>
        <stp>600607</stp>
        <stp>12/31/2018</stp>
        <stp>1</stp>
        <tr r="K2306" s="1"/>
      </tp>
      <tp>
        <v>7.8467970575999996E-2</v>
        <stp/>
        <stp>EM_S_FA_ASSETSTURN</stp>
        <stp>3</stp>
        <stp>000567</stp>
        <stp>12/31/2018</stp>
        <stp>1</stp>
        <tr r="K3459" s="1"/>
      </tp>
      <tp>
        <v>0.33004445806900001</v>
        <stp/>
        <stp>EM_S_FA_ASSETSTURN</stp>
        <stp>3</stp>
        <stp>300557</stp>
        <stp>12/31/2018</stp>
        <stp>1</stp>
        <tr r="K1012" s="1"/>
      </tp>
      <tp>
        <v>1.8959750952100001</v>
        <stp/>
        <stp>EM_S_FA_ASSETSTURN</stp>
        <stp>3</stp>
        <stp>600507</stp>
        <stp>12/31/2018</stp>
        <stp>1</stp>
        <tr r="K2209" s="1"/>
      </tp>
      <tp>
        <v>0.50333027177199996</v>
        <stp/>
        <stp>EM_S_FA_ASSETSTURN</stp>
        <stp>3</stp>
        <stp>300457</stp>
        <stp>12/31/2018</stp>
        <stp>1</stp>
        <tr r="K1422" s="1"/>
      </tp>
      <tp>
        <v>0.41815493348600002</v>
        <stp/>
        <stp>EM_S_FA_ASSETSTURN</stp>
        <stp>3</stp>
        <stp>603007</stp>
        <stp>12/31/2018</stp>
        <stp>1</stp>
        <tr r="K2914" s="1"/>
      </tp>
      <tp>
        <v>0.55775210952800003</v>
        <stp/>
        <stp>EM_S_FA_ASSETSTURN</stp>
        <stp>3</stp>
        <stp>603707</stp>
        <stp>12/31/2018</stp>
        <stp>1</stp>
        <tr r="K131" s="1"/>
      </tp>
      <tp>
        <v>0.63382391572399999</v>
        <stp/>
        <stp>EM_S_FA_ASSETSTURN</stp>
        <stp>3</stp>
        <stp>603607</stp>
        <stp>12/31/2018</stp>
        <stp>1</stp>
        <tr r="K1256" s="1"/>
      </tp>
      <tp>
        <v>0.39841892020199998</v>
        <stp/>
        <stp>EM_S_FA_ASSETSTURN</stp>
        <stp>3</stp>
        <stp>603507</stp>
        <stp>12/31/2018</stp>
        <stp>1</stp>
        <tr r="K2178" s="1"/>
      </tp>
      <tp>
        <v>0.94854186090600001</v>
        <stp/>
        <stp>EM_S_FA_ASSETSTURN</stp>
        <stp>3</stp>
        <stp>002867</stp>
        <stp>12/31/2018</stp>
        <stp>1</stp>
        <tr r="K3224" s="1"/>
      </tp>
      <tp>
        <v>0.55621710007299996</v>
        <stp/>
        <stp>EM_S_FA_ASSETSTURN</stp>
        <stp>3</stp>
        <stp>002367</stp>
        <stp>12/31/2018</stp>
        <stp>1</stp>
        <tr r="K773" s="1"/>
      </tp>
      <tp>
        <v>0.79955784490100001</v>
        <stp/>
        <stp>EM_S_FA_ASSETSTURN</stp>
        <stp>3</stp>
        <stp>002267</stp>
        <stp>12/31/2018</stp>
        <stp>1</stp>
        <tr r="K2497" s="1"/>
      </tp>
      <tp>
        <v>0.18594492160000001</v>
        <stp/>
        <stp>EM_S_FA_ASSETSTURN</stp>
        <stp>3</stp>
        <stp>002167</stp>
        <stp>12/31/2018</stp>
        <stp>1</stp>
        <tr r="K860" s="1"/>
      </tp>
      <tp>
        <v>0.93679962516899995</v>
        <stp/>
        <stp>EM_S_FA_ASSETSTURN</stp>
        <stp>3</stp>
        <stp>002067</stp>
        <stp>12/31/2018</stp>
        <stp>1</stp>
        <tr r="K2531" s="1"/>
      </tp>
      <tp>
        <v>0.35011809972300001</v>
        <stp/>
        <stp>EM_S_FA_ASSETSTURN</stp>
        <stp>3</stp>
        <stp>002767</stp>
        <stp>12/31/2018</stp>
        <stp>1</stp>
        <tr r="K1895" s="1"/>
      </tp>
      <tp>
        <v>0.20409740725700001</v>
        <stp/>
        <stp>EM_S_FA_ASSETSTURN</stp>
        <stp>3</stp>
        <stp>002667</stp>
        <stp>12/31/2018</stp>
        <stp>1</stp>
        <tr r="K1882" s="1"/>
      </tp>
      <tp>
        <v>2.4506286639920001</v>
        <stp/>
        <stp>EM_S_FA_ASSETSTURN</stp>
        <stp>3</stp>
        <stp>002567</stp>
        <stp>12/31/2018</stp>
        <stp>1</stp>
        <tr r="K485" s="1"/>
      </tp>
      <tp>
        <v>0.377883920072</v>
        <stp/>
        <stp>EM_S_FA_ASSETSTURN</stp>
        <stp>3</stp>
        <stp>002467</stp>
        <stp>12/31/2018</stp>
        <stp>1</stp>
        <tr r="K1888" s="1"/>
      </tp>
      <tp>
        <v>0.29739912106700001</v>
        <stp/>
        <stp>EM_S_FA_ASSETSTURN</stp>
        <stp>3</stp>
        <stp>600804</stp>
        <stp>12/31/2018</stp>
        <stp>1</stp>
        <tr r="K2849" s="1"/>
      </tp>
      <tp>
        <v>0.34001652625700002</v>
        <stp/>
        <stp>EM_S_FA_ASSETSTURN</stp>
        <stp>3</stp>
        <stp>300354</stp>
        <stp>12/31/2018</stp>
        <stp>1</stp>
        <tr r="K542" s="1"/>
      </tp>
      <tp>
        <v>0.75406851373600003</v>
        <stp/>
        <stp>EM_S_FA_ASSETSTURN</stp>
        <stp>3</stp>
        <stp>300254</stp>
        <stp>12/31/2018</stp>
        <stp>1</stp>
        <tr r="K1140" s="1"/>
      </tp>
      <tp>
        <v>0.30606214604900001</v>
        <stp/>
        <stp>EM_S_FA_ASSETSTURN</stp>
        <stp>3</stp>
        <stp>300154</stp>
        <stp>12/31/2018</stp>
        <stp>1</stp>
        <tr r="K1433" s="1"/>
      </tp>
      <tp>
        <v>1.197891893</v>
        <stp/>
        <stp>EM_S_FA_ASSETSTURN</stp>
        <stp>3</stp>
        <stp>600104</stp>
        <stp>12/31/2018</stp>
        <stp>1</stp>
        <tr r="K2780" s="1"/>
      </tp>
      <tp>
        <v>0.33978505192899999</v>
        <stp/>
        <stp>EM_S_FA_ASSETSTURN</stp>
        <stp>3</stp>
        <stp>300054</stp>
        <stp>12/31/2018</stp>
        <stp>1</stp>
        <tr r="K635" s="1"/>
      </tp>
      <tp>
        <v>0.31246933143599998</v>
        <stp/>
        <stp>EM_S_FA_ASSETSTURN</stp>
        <stp>3</stp>
        <stp>600004</stp>
        <stp>12/31/2018</stp>
        <stp>1</stp>
        <tr r="K266" s="1"/>
      </tp>
      <tp>
        <v>3.4946998693559999</v>
        <stp/>
        <stp>EM_S_FA_ASSETSTURN</stp>
        <stp>3</stp>
        <stp>600704</stp>
        <stp>12/31/2018</stp>
        <stp>1</stp>
        <tr r="K1522" s="1"/>
      </tp>
      <tp>
        <v>0.59557991095100005</v>
        <stp/>
        <stp>EM_S_FA_ASSETSTURN</stp>
        <stp>3</stp>
        <stp>300654</stp>
        <stp>12/31/2018</stp>
        <stp>1</stp>
        <tr r="K3061" s="1"/>
      </tp>
      <tp>
        <v>3.4988569405000003E-2</v>
        <stp/>
        <stp>EM_S_FA_ASSETSTURN</stp>
        <stp>3</stp>
        <stp>600604</stp>
        <stp>12/31/2018</stp>
        <stp>1</stp>
        <tr r="K1429" s="1"/>
      </tp>
      <tp>
        <v>0.29321126616499998</v>
        <stp/>
        <stp>EM_S_FA_ASSETSTURN</stp>
        <stp>3</stp>
        <stp>000564</stp>
        <stp>12/31/2018</stp>
        <stp>1</stp>
        <tr r="K3457" s="1"/>
      </tp>
      <tp>
        <v>0.51925278878900005</v>
        <stp/>
        <stp>EM_S_FA_ASSETSTURN</stp>
        <stp>3</stp>
        <stp>300554</stp>
        <stp>12/31/2018</stp>
        <stp>1</stp>
        <tr r="K2839" s="1"/>
      </tp>
      <tp>
        <v>0.80174883075500003</v>
        <stp/>
        <stp>EM_S_FA_ASSETSTURN</stp>
        <stp>3</stp>
        <stp>300454</stp>
        <stp>12/31/2018</stp>
        <stp>1</stp>
        <tr r="K1028" s="1"/>
      </tp>
      <tp>
        <v>0.62319773935900002</v>
        <stp/>
        <stp>EM_S_FA_ASSETSTURN</stp>
        <stp>3</stp>
        <stp>002864</stp>
        <stp>12/31/2018</stp>
        <stp>1</stp>
        <tr r="K2995" s="1"/>
      </tp>
      <tp>
        <v>0.37702800708799999</v>
        <stp/>
        <stp>EM_S_FA_ASSETSTURN</stp>
        <stp>3</stp>
        <stp>002364</stp>
        <stp>12/31/2018</stp>
        <stp>1</stp>
        <tr r="K2413" s="1"/>
      </tp>
      <tp>
        <v>1.9179521791</v>
        <stp/>
        <stp>EM_S_FA_ASSETSTURN</stp>
        <stp>3</stp>
        <stp>002264</stp>
        <stp>12/31/2018</stp>
        <stp>1</stp>
        <tr r="K2960" s="1"/>
      </tp>
      <tp>
        <v>1.299925697033</v>
        <stp/>
        <stp>EM_S_FA_ASSETSTURN</stp>
        <stp>3</stp>
        <stp>002164</stp>
        <stp>12/31/2018</stp>
        <stp>1</stp>
        <tr r="K733" s="1"/>
      </tp>
      <tp>
        <v>0.77139193000499995</v>
        <stp/>
        <stp>EM_S_FA_ASSETSTURN</stp>
        <stp>3</stp>
        <stp>002064</stp>
        <stp>12/31/2018</stp>
        <stp>1</stp>
        <tr r="K557" s="1"/>
      </tp>
      <tp>
        <v>0.75884923742300003</v>
        <stp/>
        <stp>EM_S_FA_ASSETSTURN</stp>
        <stp>3</stp>
        <stp>002664</stp>
        <stp>12/31/2018</stp>
        <stp>1</stp>
        <tr r="K985" s="1"/>
      </tp>
      <tp>
        <v>0.31785056602299999</v>
        <stp/>
        <stp>EM_S_FA_ASSETSTURN</stp>
        <stp>3</stp>
        <stp>002564</stp>
        <stp>12/31/2018</stp>
        <stp>1</stp>
        <tr r="K2712" s="1"/>
      </tp>
      <tp>
        <v>0.25656623216500002</v>
        <stp/>
        <stp>EM_S_FA_ASSETSTURN</stp>
        <stp>3</stp>
        <stp>002464</stp>
        <stp>12/31/2018</stp>
        <stp>1</stp>
        <tr r="K3165" s="1"/>
      </tp>
      <tp>
        <v>9.0574546564999997E-2</v>
        <stp/>
        <stp>EM_S_FA_ASSETSTURN</stp>
        <stp>3</stp>
        <stp>001965</stp>
        <stp>12/31/2018</stp>
        <stp>1</stp>
        <tr r="K1808" s="1"/>
      </tp>
      <tp>
        <v>0.87163746219399996</v>
        <stp/>
        <stp>EM_S_FA_ASSETSTURN</stp>
        <stp>3</stp>
        <stp>601005</stp>
        <stp>12/31/2018</stp>
        <stp>1</stp>
        <tr r="K2547" s="1"/>
      </tp>
      <tp>
        <v>0.229213145575</v>
        <stp/>
        <stp>EM_S_FA_ASSETSTURN</stp>
        <stp>3</stp>
        <stp>000965</stp>
        <stp>12/31/2018</stp>
        <stp>1</stp>
        <tr r="K3017" s="1"/>
      </tp>
      <tp>
        <v>0.20490147774699999</v>
        <stp/>
        <stp>EM_S_FA_ASSETSTURN</stp>
        <stp>3</stp>
        <stp>600805</stp>
        <stp>12/31/2018</stp>
        <stp>1</stp>
        <tr r="K1762" s="1"/>
      </tp>
      <tp>
        <v>0.283031946448</v>
        <stp/>
        <stp>EM_S_FA_ASSETSTURN</stp>
        <stp>3</stp>
        <stp>300355</stp>
        <stp>12/31/2018</stp>
        <stp>1</stp>
        <tr r="K2877" s="1"/>
      </tp>
      <tp>
        <v>0.62505714100200005</v>
        <stp/>
        <stp>EM_S_FA_ASSETSTURN</stp>
        <stp>3</stp>
        <stp>600305</stp>
        <stp>12/31/2018</stp>
        <stp>1</stp>
        <tr r="K676" s="1"/>
      </tp>
      <tp>
        <v>0.44817894117200002</v>
        <stp/>
        <stp>EM_S_FA_ASSETSTURN</stp>
        <stp>3</stp>
        <stp>300255</stp>
        <stp>12/31/2018</stp>
        <stp>1</stp>
        <tr r="K922" s="1"/>
      </tp>
      <tp>
        <v>0</v>
        <stp/>
        <stp>EM_S_FA_ASSETSTURN</stp>
        <stp>3</stp>
        <stp>600205</stp>
        <stp>12/31/2018</stp>
        <stp>1</stp>
        <tr r="K2295" s="1"/>
      </tp>
      <tp>
        <v>0.594204305888</v>
        <stp/>
        <stp>EM_S_FA_ASSETSTURN</stp>
        <stp>3</stp>
        <stp>300155</stp>
        <stp>12/31/2018</stp>
        <stp>1</stp>
        <tr r="K1092" s="1"/>
      </tp>
      <tp>
        <v>0.633103414403</v>
        <stp/>
        <stp>EM_S_FA_ASSETSTURN</stp>
        <stp>3</stp>
        <stp>600105</stp>
        <stp>12/31/2018</stp>
        <stp>1</stp>
        <tr r="K1397" s="1"/>
      </tp>
      <tp>
        <v>0.87126060687100004</v>
        <stp/>
        <stp>EM_S_FA_ASSETSTURN</stp>
        <stp>3</stp>
        <stp>000065</stp>
        <stp>12/31/2018</stp>
        <stp>1</stp>
        <tr r="K1549" s="1"/>
      </tp>
      <tp>
        <v>0.17179873562299999</v>
        <stp/>
        <stp>EM_S_FA_ASSETSTURN</stp>
        <stp>3</stp>
        <stp>300055</stp>
        <stp>12/31/2018</stp>
        <stp>1</stp>
        <tr r="K2859" s="1"/>
      </tp>
      <tp>
        <v>0</v>
        <stp/>
        <stp>EM_S_FA_ASSETSTURN</stp>
        <stp>3</stp>
        <stp>600005</stp>
        <stp>12/31/2018</stp>
        <stp>1</stp>
        <tr r="K2288" s="1"/>
      </tp>
      <tp>
        <v>0.38981606510200001</v>
        <stp/>
        <stp>EM_S_FA_ASSETSTURN</stp>
        <stp>3</stp>
        <stp>000765</stp>
        <stp>12/31/2018</stp>
        <stp>1</stp>
        <tr r="K3533" s="1"/>
      </tp>
      <tp>
        <v>5.1863672919999999E-2</v>
        <stp/>
        <stp>EM_S_FA_ASSETSTURN</stp>
        <stp>3</stp>
        <stp>600705</stp>
        <stp>12/31/2018</stp>
        <stp>1</stp>
        <tr r="K1501" s="1"/>
      </tp>
      <tp>
        <v>0.26662172884099999</v>
        <stp/>
        <stp>EM_S_FA_ASSETSTURN</stp>
        <stp>3</stp>
        <stp>000665</stp>
        <stp>12/31/2018</stp>
        <stp>1</stp>
        <tr r="K3156" s="1"/>
      </tp>
      <tp>
        <v>0.77198092382200001</v>
        <stp/>
        <stp>EM_S_FA_ASSETSTURN</stp>
        <stp>3</stp>
        <stp>300655</stp>
        <stp>12/31/2018</stp>
        <stp>1</stp>
        <tr r="K94" s="1"/>
      </tp>
      <tp>
        <v>1.6529924475840001</v>
        <stp/>
        <stp>EM_S_FA_ASSETSTURN</stp>
        <stp>3</stp>
        <stp>600605</stp>
        <stp>12/31/2018</stp>
        <stp>1</stp>
        <tr r="K1488" s="1"/>
      </tp>
      <tp>
        <v>0.41532026221200002</v>
        <stp/>
        <stp>EM_S_FA_ASSETSTURN</stp>
        <stp>3</stp>
        <stp>000565</stp>
        <stp>12/31/2018</stp>
        <stp>1</stp>
        <tr r="K3458" s="1"/>
      </tp>
      <tp>
        <v>0.41331475285000002</v>
        <stp/>
        <stp>EM_S_FA_ASSETSTURN</stp>
        <stp>3</stp>
        <stp>300555</stp>
        <stp>12/31/2018</stp>
        <stp>1</stp>
        <tr r="K1438" s="1"/>
      </tp>
      <tp>
        <v>0.34456757847399999</v>
        <stp/>
        <stp>EM_S_FA_ASSETSTURN</stp>
        <stp>3</stp>
        <stp>600505</stp>
        <stp>12/31/2018</stp>
        <stp>1</stp>
        <tr r="K146" s="1"/>
      </tp>
      <tp>
        <v>0.37181718824100002</v>
        <stp/>
        <stp>EM_S_FA_ASSETSTURN</stp>
        <stp>3</stp>
        <stp>300455</stp>
        <stp>12/31/2018</stp>
        <stp>1</stp>
        <tr r="K388" s="1"/>
      </tp>
      <tp>
        <v>0.33208051344900003</v>
        <stp/>
        <stp>EM_S_FA_ASSETSTURN</stp>
        <stp>3</stp>
        <stp>600405</stp>
        <stp>12/31/2018</stp>
        <stp>1</stp>
        <tr r="K1472" s="1"/>
      </tp>
      <tp>
        <v>0.570568110244</v>
        <stp/>
        <stp>EM_S_FA_ASSETSTURN</stp>
        <stp>3</stp>
        <stp>603305</stp>
        <stp>12/31/2018</stp>
        <stp>1</stp>
        <tr r="K1751" s="1"/>
      </tp>
      <tp>
        <v>0.16152364400200001</v>
        <stp/>
        <stp>EM_S_FA_ASSETSTURN</stp>
        <stp>3</stp>
        <stp>603105</stp>
        <stp>12/31/2018</stp>
        <stp>1</stp>
        <tr r="K3344" s="1"/>
      </tp>
      <tp>
        <v>0.25811699196100002</v>
        <stp/>
        <stp>EM_S_FA_ASSETSTURN</stp>
        <stp>3</stp>
        <stp>603005</stp>
        <stp>12/31/2018</stp>
        <stp>1</stp>
        <tr r="K98" s="1"/>
      </tp>
      <tp>
        <v>0.91452679896199995</v>
        <stp/>
        <stp>EM_S_FA_ASSETSTURN</stp>
        <stp>3</stp>
        <stp>603605</stp>
        <stp>12/31/2018</stp>
        <stp>1</stp>
        <tr r="K169" s="1"/>
      </tp>
      <tp>
        <v>0.42855518960400002</v>
        <stp/>
        <stp>EM_S_FA_ASSETSTURN</stp>
        <stp>3</stp>
        <stp>603505</stp>
        <stp>12/31/2018</stp>
        <stp>1</stp>
        <tr r="K335" s="1"/>
      </tp>
      <tp>
        <v>0.49307439769099998</v>
        <stp/>
        <stp>EM_S_FA_ASSETSTURN</stp>
        <stp>3</stp>
        <stp>002865</stp>
        <stp>12/31/2018</stp>
        <stp>1</stp>
        <tr r="K3027" s="1"/>
      </tp>
      <tp>
        <v>0.57305057867999998</v>
        <stp/>
        <stp>EM_S_FA_ASSETSTURN</stp>
        <stp>3</stp>
        <stp>002365</stp>
        <stp>12/31/2018</stp>
        <stp>1</stp>
        <tr r="K2692" s="1"/>
      </tp>
      <tp>
        <v>0.53603895738600005</v>
        <stp/>
        <stp>EM_S_FA_ASSETSTURN</stp>
        <stp>3</stp>
        <stp>002265</stp>
        <stp>12/31/2018</stp>
        <stp>1</stp>
        <tr r="K2427" s="1"/>
      </tp>
      <tp>
        <v>0.751305029023</v>
        <stp/>
        <stp>EM_S_FA_ASSETSTURN</stp>
        <stp>3</stp>
        <stp>002165</stp>
        <stp>12/31/2018</stp>
        <stp>1</stp>
        <tr r="K1121" s="1"/>
      </tp>
      <tp>
        <v>0.56171587450299998</v>
        <stp/>
        <stp>EM_S_FA_ASSETSTURN</stp>
        <stp>3</stp>
        <stp>002065</stp>
        <stp>12/31/2018</stp>
        <stp>1</stp>
        <tr r="K619" s="1"/>
      </tp>
      <tp>
        <v>0.35078328725199998</v>
        <stp/>
        <stp>EM_S_FA_ASSETSTURN</stp>
        <stp>3</stp>
        <stp>002765</stp>
        <stp>12/31/2018</stp>
        <stp>1</stp>
        <tr r="K3005" s="1"/>
      </tp>
      <tp>
        <v>6.4628556076999993E-2</v>
        <stp/>
        <stp>EM_S_FA_ASSETSTURN</stp>
        <stp>3</stp>
        <stp>002665</stp>
        <stp>12/31/2018</stp>
        <stp>1</stp>
        <tr r="K1281" s="1"/>
      </tp>
      <tp>
        <v>0.54471474499100003</v>
        <stp/>
        <stp>EM_S_FA_ASSETSTURN</stp>
        <stp>3</stp>
        <stp>002565</stp>
        <stp>12/31/2018</stp>
        <stp>1</stp>
        <tr r="K336" s="1"/>
      </tp>
      <tp>
        <v>0.34848578336000002</v>
        <stp/>
        <stp>EM_S_FA_ASSETSTURN</stp>
        <stp>3</stp>
        <stp>002465</stp>
        <stp>12/31/2018</stp>
        <stp>1</stp>
        <tr r="K738" s="1"/>
      </tp>
      <tp t="s">
        <v>2000-03-09</v>
        <stp/>
        <stp>EM_S_IPO_LISTEDDATE</stp>
        <stp>1</stp>
        <stp>000999</stp>
        <tr r="AT1163" s="1"/>
      </tp>
      <tp t="s">
        <v>2000-12-11</v>
        <stp/>
        <stp>EM_S_IPO_LISTEDDATE</stp>
        <stp>1</stp>
        <stp>000998</stp>
        <tr r="AT2742" s="1"/>
      </tp>
      <tp t="s">
        <v>2000-08-07</v>
        <stp/>
        <stp>EM_S_IPO_LISTEDDATE</stp>
        <stp>1</stp>
        <stp>000995</stp>
        <tr r="AT3601" s="1"/>
      </tp>
      <tp t="s">
        <v>2000-08-07</v>
        <stp/>
        <stp>EM_S_IPO_LISTEDDATE</stp>
        <stp>1</stp>
        <stp>000997</stp>
        <tr r="AT1814" s="1"/>
      </tp>
      <tp t="s">
        <v>2000-07-18</v>
        <stp/>
        <stp>EM_S_IPO_LISTEDDATE</stp>
        <stp>1</stp>
        <stp>000996</stp>
        <tr r="AT1113" s="1"/>
      </tp>
      <tp>
        <v>0</v>
        <stp/>
        <stp>EM_S_IPO_LISTEDDATE</stp>
        <stp>1</stp>
        <stp>000991</stp>
        <tr r="AT3599" s="1"/>
      </tp>
      <tp t="s">
        <v>2000-07-06</v>
        <stp/>
        <stp>EM_S_IPO_LISTEDDATE</stp>
        <stp>1</stp>
        <stp>000990</stp>
        <tr r="AT1153" s="1"/>
      </tp>
      <tp t="s">
        <v>2000-07-31</v>
        <stp/>
        <stp>EM_S_IPO_LISTEDDATE</stp>
        <stp>1</stp>
        <stp>000993</stp>
        <tr r="AT3600" s="1"/>
      </tp>
      <tp t="s">
        <v>2000-06-28</v>
        <stp/>
        <stp>EM_S_IPO_LISTEDDATE</stp>
        <stp>1</stp>
        <stp>000989</stp>
        <tr r="AT3598" s="1"/>
      </tp>
      <tp t="s">
        <v>2000-06-08</v>
        <stp/>
        <stp>EM_S_IPO_LISTEDDATE</stp>
        <stp>1</stp>
        <stp>000988</stp>
        <tr r="AT328" s="1"/>
      </tp>
      <tp t="s">
        <v>2000-07-26</v>
        <stp/>
        <stp>EM_S_IPO_LISTEDDATE</stp>
        <stp>1</stp>
        <stp>000985</stp>
        <tr r="AT3596" s="1"/>
      </tp>
      <tp t="s">
        <v>2000-07-18</v>
        <stp/>
        <stp>EM_S_IPO_LISTEDDATE</stp>
        <stp>1</stp>
        <stp>000987</stp>
        <tr r="AT3597" s="1"/>
      </tp>
      <tp t="s">
        <v>2000-06-22</v>
        <stp/>
        <stp>EM_S_IPO_LISTEDDATE</stp>
        <stp>1</stp>
        <stp>000981</stp>
        <tr r="AT3594" s="1"/>
      </tp>
      <tp t="s">
        <v>2000-06-16</v>
        <stp/>
        <stp>EM_S_IPO_LISTEDDATE</stp>
        <stp>1</stp>
        <stp>000980</stp>
        <tr r="AT3593" s="1"/>
      </tp>
      <tp t="s">
        <v>2000-07-26</v>
        <stp/>
        <stp>EM_S_IPO_LISTEDDATE</stp>
        <stp>1</stp>
        <stp>000983</stp>
        <tr r="AT1655" s="1"/>
      </tp>
      <tp t="s">
        <v>2000-07-06</v>
        <stp/>
        <stp>EM_S_IPO_LISTEDDATE</stp>
        <stp>1</stp>
        <stp>000982</stp>
        <tr r="AT3595" s="1"/>
      </tp>
      <tp t="s">
        <v>2009-11-17</v>
        <stp/>
        <stp>EM_S_IPO_LISTEDDATE</stp>
        <stp>1</stp>
        <stp>600999</stp>
        <tr r="AT764" s="1"/>
      </tp>
      <tp t="s">
        <v>2007-12-21</v>
        <stp/>
        <stp>EM_S_IPO_LISTEDDATE</stp>
        <stp>1</stp>
        <stp>601999</stp>
        <tr r="AT1305" s="1"/>
      </tp>
      <tp t="s">
        <v>2015-12-10</v>
        <stp/>
        <stp>EM_S_IPO_LISTEDDATE</stp>
        <stp>1</stp>
        <stp>603999</stp>
        <tr r="AT473" s="1"/>
      </tp>
      <tp t="s">
        <v>2010-11-02</v>
        <stp/>
        <stp>EM_S_IPO_LISTEDDATE</stp>
        <stp>1</stp>
        <stp>600998</stp>
        <tr r="AT2675" s="1"/>
      </tp>
      <tp t="s">
        <v>2007-04-27</v>
        <stp/>
        <stp>EM_S_IPO_LISTEDDATE</stp>
        <stp>1</stp>
        <stp>601998</stp>
        <tr r="AT1567" s="1"/>
      </tp>
      <tp t="s">
        <v>2014-12-05</v>
        <stp/>
        <stp>EM_S_IPO_LISTEDDATE</stp>
        <stp>1</stp>
        <stp>603998</stp>
        <tr r="AT287" s="1"/>
      </tp>
      <tp t="s">
        <v>2004-06-15</v>
        <stp/>
        <stp>EM_S_IPO_LISTEDDATE</stp>
        <stp>1</stp>
        <stp>600995</stp>
        <tr r="AT1373" s="1"/>
      </tp>
      <tp t="s">
        <v>2004-06-02</v>
        <stp/>
        <stp>EM_S_IPO_LISTEDDATE</stp>
        <stp>1</stp>
        <stp>600997</stp>
        <tr r="AT2542" s="1"/>
      </tp>
      <tp t="s">
        <v>2016-08-16</v>
        <stp/>
        <stp>EM_S_IPO_LISTEDDATE</stp>
        <stp>1</stp>
        <stp>601997</stp>
        <tr r="AT2788" s="1"/>
      </tp>
      <tp t="s">
        <v>2015-03-02</v>
        <stp/>
        <stp>EM_S_IPO_LISTEDDATE</stp>
        <stp>1</stp>
        <stp>603997</stp>
        <tr r="AT1914" s="1"/>
      </tp>
      <tp t="s">
        <v>2016-12-26</v>
        <stp/>
        <stp>EM_S_IPO_LISTEDDATE</stp>
        <stp>1</stp>
        <stp>600996</stp>
        <tr r="AT1043" s="1"/>
      </tp>
      <tp t="s">
        <v>2011-09-29</v>
        <stp/>
        <stp>EM_S_IPO_LISTEDDATE</stp>
        <stp>1</stp>
        <stp>601996</stp>
        <tr r="AT2340" s="1"/>
      </tp>
      <tp t="s">
        <v>2015-12-22</v>
        <stp/>
        <stp>EM_S_IPO_LISTEDDATE</stp>
        <stp>1</stp>
        <stp>603996</stp>
        <tr r="AT3243" s="1"/>
      </tp>
      <tp t="s">
        <v>2004-06-14</v>
        <stp/>
        <stp>EM_S_IPO_LISTEDDATE</stp>
        <stp>1</stp>
        <stp>600991</stp>
        <tr r="AT2334" s="1"/>
      </tp>
      <tp t="s">
        <v>2006-12-20</v>
        <stp/>
        <stp>EM_S_IPO_LISTEDDATE</stp>
        <stp>1</stp>
        <stp>601991</stp>
        <tr r="AT3110" s="1"/>
      </tp>
      <tp t="s">
        <v>2017-03-08</v>
        <stp/>
        <stp>EM_S_IPO_LISTEDDATE</stp>
        <stp>1</stp>
        <stp>603991</stp>
        <tr r="AT2590" s="1"/>
      </tp>
      <tp t="s">
        <v>2004-05-10</v>
        <stp/>
        <stp>EM_S_IPO_LISTEDDATE</stp>
        <stp>1</stp>
        <stp>600990</stp>
        <tr r="AT934" s="1"/>
      </tp>
      <tp t="s">
        <v>2018-06-13</v>
        <stp/>
        <stp>EM_S_IPO_LISTEDDATE</stp>
        <stp>1</stp>
        <stp>601990</stp>
        <tr r="AT632" s="1"/>
      </tp>
      <tp t="s">
        <v>2016-12-08</v>
        <stp/>
        <stp>EM_S_IPO_LISTEDDATE</stp>
        <stp>1</stp>
        <stp>603990</stp>
        <tr r="AT2011" s="1"/>
      </tp>
      <tp t="s">
        <v>2004-05-17</v>
        <stp/>
        <stp>EM_S_IPO_LISTEDDATE</stp>
        <stp>1</stp>
        <stp>600993</stp>
        <tr r="AT973" s="1"/>
      </tp>
      <tp t="s">
        <v>2012-10-09</v>
        <stp/>
        <stp>EM_S_IPO_LISTEDDATE</stp>
        <stp>1</stp>
        <stp>603993</stp>
        <tr r="AT1415" s="1"/>
      </tp>
      <tp t="s">
        <v>2004-05-14</v>
        <stp/>
        <stp>EM_S_IPO_LISTEDDATE</stp>
        <stp>1</stp>
        <stp>600992</stp>
        <tr r="AT2383" s="1"/>
      </tp>
      <tp t="s">
        <v>2011-03-01</v>
        <stp/>
        <stp>EM_S_IPO_LISTEDDATE</stp>
        <stp>1</stp>
        <stp>601992</stp>
        <tr r="AT2099" s="1"/>
      </tp>
      <tp t="s">
        <v>2009-12-16</v>
        <stp/>
        <stp>EM_S_IPO_LISTEDDATE</stp>
        <stp>1</stp>
        <stp>601989</stp>
        <tr r="AT1155" s="1"/>
      </tp>
      <tp t="s">
        <v>2015-05-15</v>
        <stp/>
        <stp>EM_S_IPO_LISTEDDATE</stp>
        <stp>1</stp>
        <stp>603989</stp>
        <tr r="AT1726" s="1"/>
      </tp>
      <tp t="s">
        <v>2004-04-14</v>
        <stp/>
        <stp>EM_S_IPO_LISTEDDATE</stp>
        <stp>1</stp>
        <stp>600988</stp>
        <tr r="AT1255" s="1"/>
      </tp>
      <tp t="s">
        <v>2006-07-05</v>
        <stp/>
        <stp>EM_S_IPO_LISTEDDATE</stp>
        <stp>1</stp>
        <stp>601988</stp>
        <tr r="AT2120" s="1"/>
      </tp>
      <tp t="s">
        <v>2014-11-04</v>
        <stp/>
        <stp>EM_S_IPO_LISTEDDATE</stp>
        <stp>1</stp>
        <stp>603988</stp>
        <tr r="AT2544" s="1"/>
      </tp>
      <tp t="s">
        <v>2004-04-28</v>
        <stp/>
        <stp>EM_S_IPO_LISTEDDATE</stp>
        <stp>1</stp>
        <stp>600985</stp>
        <tr r="AT1841" s="1"/>
      </tp>
      <tp t="s">
        <v>2015-06-10</v>
        <stp/>
        <stp>EM_S_IPO_LISTEDDATE</stp>
        <stp>1</stp>
        <stp>601985</stp>
        <tr r="AT2565" s="1"/>
      </tp>
      <tp t="s">
        <v>2017-05-05</v>
        <stp/>
        <stp>EM_S_IPO_LISTEDDATE</stp>
        <stp>1</stp>
        <stp>603985</stp>
        <tr r="AT3160" s="1"/>
      </tp>
      <tp t="s">
        <v>2004-07-07</v>
        <stp/>
        <stp>EM_S_IPO_LISTEDDATE</stp>
        <stp>1</stp>
        <stp>600984</stp>
        <tr r="AT159" s="1"/>
      </tp>
      <tp t="s">
        <v>2004-08-09</v>
        <stp/>
        <stp>EM_S_IPO_LISTEDDATE</stp>
        <stp>1</stp>
        <stp>600987</stp>
        <tr r="AT3102" s="1"/>
      </tp>
      <tp t="s">
        <v>2016-11-21</v>
        <stp/>
        <stp>EM_S_IPO_LISTEDDATE</stp>
        <stp>1</stp>
        <stp>603987</stp>
        <tr r="AT1117" s="1"/>
      </tp>
      <tp t="s">
        <v>2004-04-26</v>
        <stp/>
        <stp>EM_S_IPO_LISTEDDATE</stp>
        <stp>1</stp>
        <stp>600986</stp>
        <tr r="AT1246" s="1"/>
      </tp>
      <tp t="s">
        <v>2016-08-18</v>
        <stp/>
        <stp>EM_S_IPO_LISTEDDATE</stp>
        <stp>1</stp>
        <stp>603986</stp>
        <tr r="AT35" s="1"/>
      </tp>
      <tp t="s">
        <v>2004-06-30</v>
        <stp/>
        <stp>EM_S_IPO_LISTEDDATE</stp>
        <stp>1</stp>
        <stp>600981</stp>
        <tr r="AT2364" s="1"/>
      </tp>
      <tp t="s">
        <v>2004-05-12</v>
        <stp/>
        <stp>EM_S_IPO_LISTEDDATE</stp>
        <stp>1</stp>
        <stp>600980</stp>
        <tr r="AT669" s="1"/>
      </tp>
      <tp t="s">
        <v>2017-06-15</v>
        <stp/>
        <stp>EM_S_IPO_LISTEDDATE</stp>
        <stp>1</stp>
        <stp>603980</stp>
        <tr r="AT3238" s="1"/>
      </tp>
      <tp t="s">
        <v>2004-07-27</v>
        <stp/>
        <stp>EM_S_IPO_LISTEDDATE</stp>
        <stp>1</stp>
        <stp>600983</stp>
        <tr r="AT2645" s="1"/>
      </tp>
      <tp t="s">
        <v>2004-07-06</v>
        <stp/>
        <stp>EM_S_IPO_LISTEDDATE</stp>
        <stp>1</stp>
        <stp>600982</stp>
        <tr r="AT2729" s="1"/>
      </tp>
      <tp t="s">
        <v>1999-11-18</v>
        <stp/>
        <stp>EM_S_IPO_LISTEDDATE</stp>
        <stp>1</stp>
        <stp>000919</stp>
        <tr r="AT3576" s="1"/>
      </tp>
      <tp t="s">
        <v>2004-09-06</v>
        <stp/>
        <stp>EM_S_IPO_LISTEDDATE</stp>
        <stp>1</stp>
        <stp>600979</stp>
        <tr r="AT2045" s="1"/>
      </tp>
      <tp t="s">
        <v>2017-12-18</v>
        <stp/>
        <stp>EM_S_IPO_LISTEDDATE</stp>
        <stp>1</stp>
        <stp>002919</stp>
        <tr r="AT3159" s="1"/>
      </tp>
      <tp t="s">
        <v>2015-06-30</v>
        <stp/>
        <stp>EM_S_IPO_LISTEDDATE</stp>
        <stp>1</stp>
        <stp>603979</stp>
        <tr r="AT1297" s="1"/>
      </tp>
      <tp t="s">
        <v>1999-07-20</v>
        <stp/>
        <stp>EM_S_IPO_LISTEDDATE</stp>
        <stp>1</stp>
        <stp>000918</stp>
        <tr r="AT3575" s="1"/>
      </tp>
      <tp t="s">
        <v>2004-08-24</v>
        <stp/>
        <stp>EM_S_IPO_LISTEDDATE</stp>
        <stp>1</stp>
        <stp>600978</stp>
        <tr r="AT3195" s="1"/>
      </tp>
      <tp t="s">
        <v>2017-12-19</v>
        <stp/>
        <stp>EM_S_IPO_LISTEDDATE</stp>
        <stp>1</stp>
        <stp>002918</stp>
        <tr r="AT1272" s="1"/>
      </tp>
      <tp t="s">
        <v>2017-08-07</v>
        <stp/>
        <stp>EM_S_IPO_LISTEDDATE</stp>
        <stp>1</stp>
        <stp>603978</stp>
        <tr r="AT780" s="1"/>
      </tp>
      <tp t="s">
        <v>1999-06-09</v>
        <stp/>
        <stp>EM_S_IPO_LISTEDDATE</stp>
        <stp>1</stp>
        <stp>000915</stp>
        <tr r="AT3573" s="1"/>
      </tp>
      <tp t="s">
        <v>2004-06-09</v>
        <stp/>
        <stp>EM_S_IPO_LISTEDDATE</stp>
        <stp>1</stp>
        <stp>600975</stp>
        <tr r="AT106" s="1"/>
      </tp>
      <tp t="s">
        <v>2017-12-05</v>
        <stp/>
        <stp>EM_S_IPO_LISTEDDATE</stp>
        <stp>1</stp>
        <stp>002915</stp>
        <tr r="AT1164" s="1"/>
      </tp>
      <tp t="s">
        <v>1999-03-25</v>
        <stp/>
        <stp>EM_S_IPO_LISTEDDATE</stp>
        <stp>1</stp>
        <stp>000917</stp>
        <tr r="AT2445" s="1"/>
      </tp>
      <tp t="s">
        <v>2016-08-09</v>
        <stp/>
        <stp>EM_S_IPO_LISTEDDATE</stp>
        <stp>1</stp>
        <stp>600977</stp>
        <tr r="AT1944" s="1"/>
      </tp>
      <tp t="s">
        <v>2017-12-08</v>
        <stp/>
        <stp>EM_S_IPO_LISTEDDATE</stp>
        <stp>1</stp>
        <stp>002917</stp>
        <tr r="AT3192" s="1"/>
      </tp>
      <tp t="s">
        <v>2016-11-11</v>
        <stp/>
        <stp>EM_S_IPO_LISTEDDATE</stp>
        <stp>1</stp>
        <stp>603977</stp>
        <tr r="AT1382" s="1"/>
      </tp>
      <tp t="s">
        <v>1999-09-27</v>
        <stp/>
        <stp>EM_S_IPO_LISTEDDATE</stp>
        <stp>1</stp>
        <stp>000916</stp>
        <tr r="AT3574" s="1"/>
      </tp>
      <tp t="s">
        <v>2004-04-19</v>
        <stp/>
        <stp>EM_S_IPO_LISTEDDATE</stp>
        <stp>1</stp>
        <stp>600976</stp>
        <tr r="AT1228" s="1"/>
      </tp>
      <tp t="s">
        <v>2017-12-13</v>
        <stp/>
        <stp>EM_S_IPO_LISTEDDATE</stp>
        <stp>1</stp>
        <stp>002916</stp>
        <tr r="AT264" s="1"/>
      </tp>
      <tp t="s">
        <v>2017-08-22</v>
        <stp/>
        <stp>EM_S_IPO_LISTEDDATE</stp>
        <stp>1</stp>
        <stp>603976</stp>
        <tr r="AT1880" s="1"/>
      </tp>
      <tp t="s">
        <v>1999-05-27</v>
        <stp/>
        <stp>EM_S_IPO_LISTEDDATE</stp>
        <stp>1</stp>
        <stp>000911</stp>
        <tr r="AT3572" s="1"/>
      </tp>
      <tp t="s">
        <v>2004-08-17</v>
        <stp/>
        <stp>EM_S_IPO_LISTEDDATE</stp>
        <stp>1</stp>
        <stp>600971</stp>
        <tr r="AT1930" s="1"/>
      </tp>
      <tp t="s">
        <v>2017-11-22</v>
        <stp/>
        <stp>EM_S_IPO_LISTEDDATE</stp>
        <stp>1</stp>
        <stp>002911</stp>
        <tr r="AT2725" s="1"/>
      </tp>
      <tp t="s">
        <v>1999-06-30</v>
        <stp/>
        <stp>EM_S_IPO_LISTEDDATE</stp>
        <stp>1</stp>
        <stp>000910</stp>
        <tr r="AT880" s="1"/>
      </tp>
      <tp t="s">
        <v>2005-04-12</v>
        <stp/>
        <stp>EM_S_IPO_LISTEDDATE</stp>
        <stp>1</stp>
        <stp>600970</stp>
        <tr r="AT1048" s="1"/>
      </tp>
      <tp t="s">
        <v>2017-10-31</v>
        <stp/>
        <stp>EM_S_IPO_LISTEDDATE</stp>
        <stp>1</stp>
        <stp>002910</stp>
        <tr r="AT2541" s="1"/>
      </tp>
      <tp t="s">
        <v>2017-11-16</v>
        <stp/>
        <stp>EM_S_IPO_LISTEDDATE</stp>
        <stp>1</stp>
        <stp>603970</stp>
        <tr r="AT3016" s="1"/>
      </tp>
      <tp t="s">
        <v>1999-05-14</v>
        <stp/>
        <stp>EM_S_IPO_LISTEDDATE</stp>
        <stp>1</stp>
        <stp>000913</stp>
        <tr r="AT1323" s="1"/>
      </tp>
      <tp t="s">
        <v>2004-08-02</v>
        <stp/>
        <stp>EM_S_IPO_LISTEDDATE</stp>
        <stp>1</stp>
        <stp>600973</stp>
        <tr r="AT2049" s="1"/>
      </tp>
      <tp t="s">
        <v>2017-12-01</v>
        <stp/>
        <stp>EM_S_IPO_LISTEDDATE</stp>
        <stp>1</stp>
        <stp>002913</stp>
        <tr r="AT570" s="1"/>
      </tp>
      <tp t="s">
        <v>1999-06-03</v>
        <stp/>
        <stp>EM_S_IPO_LISTEDDATE</stp>
        <stp>1</stp>
        <stp>000912</stp>
        <tr r="AT2196" s="1"/>
      </tp>
      <tp t="s">
        <v>2017-11-21</v>
        <stp/>
        <stp>EM_S_IPO_LISTEDDATE</stp>
        <stp>1</stp>
        <stp>002912</stp>
        <tr r="AT494" s="1"/>
      </tp>
      <tp t="s">
        <v>1999-05-07</v>
        <stp/>
        <stp>EM_S_IPO_LISTEDDATE</stp>
        <stp>1</stp>
        <stp>000909</stp>
        <tr r="AT3571" s="1"/>
      </tp>
      <tp t="s">
        <v>2004-04-08</v>
        <stp/>
        <stp>EM_S_IPO_LISTEDDATE</stp>
        <stp>1</stp>
        <stp>600969</stp>
        <tr r="AT1681" s="1"/>
      </tp>
      <tp t="s">
        <v>2014-12-09</v>
        <stp/>
        <stp>EM_S_IPO_LISTEDDATE</stp>
        <stp>1</stp>
        <stp>601969</stp>
        <tr r="AT915" s="1"/>
      </tp>
      <tp t="s">
        <v>2017-10-26</v>
        <stp/>
        <stp>EM_S_IPO_LISTEDDATE</stp>
        <stp>1</stp>
        <stp>002909</stp>
        <tr r="AT2046" s="1"/>
      </tp>
      <tp t="s">
        <v>2015-02-27</v>
        <stp/>
        <stp>EM_S_IPO_LISTEDDATE</stp>
        <stp>1</stp>
        <stp>603969</stp>
        <tr r="AT2760" s="1"/>
      </tp>
      <tp t="s">
        <v>1999-02-03</v>
        <stp/>
        <stp>EM_S_IPO_LISTEDDATE</stp>
        <stp>1</stp>
        <stp>000908</stp>
        <tr r="AT3008" s="1"/>
      </tp>
      <tp t="s">
        <v>2015-06-11</v>
        <stp/>
        <stp>EM_S_IPO_LISTEDDATE</stp>
        <stp>1</stp>
        <stp>601968</stp>
        <tr r="AT1000" s="1"/>
      </tp>
      <tp t="s">
        <v>2017-10-20</v>
        <stp/>
        <stp>EM_S_IPO_LISTEDDATE</stp>
        <stp>1</stp>
        <stp>002908</stp>
        <tr r="AT3201" s="1"/>
      </tp>
      <tp t="s">
        <v>2015-05-18</v>
        <stp/>
        <stp>EM_S_IPO_LISTEDDATE</stp>
        <stp>1</stp>
        <stp>603968</stp>
        <tr r="AT1405" s="1"/>
      </tp>
      <tp t="s">
        <v>1999-04-29</v>
        <stp/>
        <stp>EM_S_IPO_LISTEDDATE</stp>
        <stp>1</stp>
        <stp>000905</stp>
        <tr r="AT3570" s="1"/>
      </tp>
      <tp t="s">
        <v>2004-07-13</v>
        <stp/>
        <stp>EM_S_IPO_LISTEDDATE</stp>
        <stp>1</stp>
        <stp>600965</stp>
        <tr r="AT3222" s="1"/>
      </tp>
      <tp t="s">
        <v>2012-06-11</v>
        <stp/>
        <stp>EM_S_IPO_LISTEDDATE</stp>
        <stp>1</stp>
        <stp>601965</stp>
        <tr r="AT1351" s="1"/>
      </tp>
      <tp t="s">
        <v>2017-10-16</v>
        <stp/>
        <stp>EM_S_IPO_LISTEDDATE</stp>
        <stp>1</stp>
        <stp>002905</stp>
        <tr r="AT980" s="1"/>
      </tp>
      <tp t="s">
        <v>2004-05-18</v>
        <stp/>
        <stp>EM_S_IPO_LISTEDDATE</stp>
        <stp>1</stp>
        <stp>600967</stp>
        <tr r="AT2184" s="1"/>
      </tp>
      <tp t="s">
        <v>2017-10-20</v>
        <stp/>
        <stp>EM_S_IPO_LISTEDDATE</stp>
        <stp>1</stp>
        <stp>002907</stp>
        <tr r="AT2905" s="1"/>
      </tp>
      <tp t="s">
        <v>1999-07-07</v>
        <stp/>
        <stp>EM_S_IPO_LISTEDDATE</stp>
        <stp>1</stp>
        <stp>000906</stp>
        <tr r="AT1291" s="1"/>
      </tp>
      <tp t="s">
        <v>2004-06-08</v>
        <stp/>
        <stp>EM_S_IPO_LISTEDDATE</stp>
        <stp>1</stp>
        <stp>600966</stp>
        <tr r="AT326" s="1"/>
      </tp>
      <tp t="s">
        <v>2016-07-06</v>
        <stp/>
        <stp>EM_S_IPO_LISTEDDATE</stp>
        <stp>1</stp>
        <stp>601966</stp>
        <tr r="AT385" s="1"/>
      </tp>
      <tp t="s">
        <v>2017-10-13</v>
        <stp/>
        <stp>EM_S_IPO_LISTEDDATE</stp>
        <stp>1</stp>
        <stp>002906</stp>
        <tr r="AT1168" s="1"/>
      </tp>
      <tp t="s">
        <v>2017-01-25</v>
        <stp/>
        <stp>EM_S_IPO_LISTEDDATE</stp>
        <stp>1</stp>
        <stp>603966</stp>
        <tr r="AT1319" s="1"/>
      </tp>
      <tp t="s">
        <v>1999-04-01</v>
        <stp/>
        <stp>EM_S_IPO_LISTEDDATE</stp>
        <stp>1</stp>
        <stp>000901</stp>
        <tr r="AT3569" s="1"/>
      </tp>
      <tp t="s">
        <v>2004-08-30</v>
        <stp/>
        <stp>EM_S_IPO_LISTEDDATE</stp>
        <stp>1</stp>
        <stp>600961</stp>
        <tr r="AT1803" s="1"/>
      </tp>
      <tp t="s">
        <v>2017-09-22</v>
        <stp/>
        <stp>EM_S_IPO_LISTEDDATE</stp>
        <stp>1</stp>
        <stp>002901</stp>
        <tr r="AT184" s="1"/>
      </tp>
      <tp t="s">
        <v>1999-01-28</v>
        <stp/>
        <stp>EM_S_IPO_LISTEDDATE</stp>
        <stp>1</stp>
        <stp>000900</stp>
        <tr r="AT1632" s="1"/>
      </tp>
      <tp t="s">
        <v>2004-04-07</v>
        <stp/>
        <stp>EM_S_IPO_LISTEDDATE</stp>
        <stp>1</stp>
        <stp>600960</stp>
        <tr r="AT2720" s="1"/>
      </tp>
      <tp t="s">
        <v>2017-09-22</v>
        <stp/>
        <stp>EM_S_IPO_LISTEDDATE</stp>
        <stp>1</stp>
        <stp>002900</stp>
        <tr r="AT2567" s="1"/>
      </tp>
      <tp t="s">
        <v>2017-03-14</v>
        <stp/>
        <stp>EM_S_IPO_LISTEDDATE</stp>
        <stp>1</stp>
        <stp>603960</stp>
        <tr r="AT1420" s="1"/>
      </tp>
      <tp t="s">
        <v>1999-04-15</v>
        <stp/>
        <stp>EM_S_IPO_LISTEDDATE</stp>
        <stp>1</stp>
        <stp>000903</stp>
        <tr r="AT1940" s="1"/>
      </tp>
      <tp t="s">
        <v>2004-05-25</v>
        <stp/>
        <stp>EM_S_IPO_LISTEDDATE</stp>
        <stp>1</stp>
        <stp>600963</stp>
        <tr r="AT1727" s="1"/>
      </tp>
      <tp t="s">
        <v>2017-10-13</v>
        <stp/>
        <stp>EM_S_IPO_LISTEDDATE</stp>
        <stp>1</stp>
        <stp>002903</stp>
        <tr r="AT2947" s="1"/>
      </tp>
      <tp t="s">
        <v>2017-09-22</v>
        <stp/>
        <stp>EM_S_IPO_LISTEDDATE</stp>
        <stp>1</stp>
        <stp>603963</stp>
        <tr r="AT2617" s="1"/>
      </tp>
      <tp t="s">
        <v>1999-04-08</v>
        <stp/>
        <stp>EM_S_IPO_LISTEDDATE</stp>
        <stp>1</stp>
        <stp>000902</stp>
        <tr r="AT2826" s="1"/>
      </tp>
      <tp t="s">
        <v>2004-06-22</v>
        <stp/>
        <stp>EM_S_IPO_LISTEDDATE</stp>
        <stp>1</stp>
        <stp>600962</stp>
        <tr r="AT1599" s="1"/>
      </tp>
      <tp t="s">
        <v>2017-09-29</v>
        <stp/>
        <stp>EM_S_IPO_LISTEDDATE</stp>
        <stp>1</stp>
        <stp>002902</stp>
        <tr r="AT2409" s="1"/>
      </tp>
      <tp t="s">
        <v>1999-09-23</v>
        <stp/>
        <stp>EM_S_IPO_LISTEDDATE</stp>
        <stp>1</stp>
        <stp>000939</stp>
        <tr r="AT3583" s="1"/>
      </tp>
      <tp t="s">
        <v>2015-04-28</v>
        <stp/>
        <stp>EM_S_IPO_LISTEDDATE</stp>
        <stp>1</stp>
        <stp>600959</stp>
        <tr r="AT2509" s="1"/>
      </tp>
      <tp t="s">
        <v>2016-05-17</v>
        <stp/>
        <stp>EM_S_IPO_LISTEDDATE</stp>
        <stp>1</stp>
        <stp>603959</stp>
        <tr r="AT3275" s="1"/>
      </tp>
      <tp t="s">
        <v>1999-11-04</v>
        <stp/>
        <stp>EM_S_IPO_LISTEDDATE</stp>
        <stp>1</stp>
        <stp>000938</stp>
        <tr r="AT2342" s="1"/>
      </tp>
      <tp t="s">
        <v>2015-03-23</v>
        <stp/>
        <stp>EM_S_IPO_LISTEDDATE</stp>
        <stp>1</stp>
        <stp>600958</stp>
        <tr r="AT811" s="1"/>
      </tp>
      <tp t="s">
        <v>2008-04-17</v>
        <stp/>
        <stp>EM_S_IPO_LISTEDDATE</stp>
        <stp>1</stp>
        <stp>601958</stp>
        <tr r="AT799" s="1"/>
      </tp>
      <tp t="s">
        <v>2016-06-29</v>
        <stp/>
        <stp>EM_S_IPO_LISTEDDATE</stp>
        <stp>1</stp>
        <stp>603958</stp>
        <tr r="AT2677" s="1"/>
      </tp>
      <tp t="s">
        <v>1999-08-24</v>
        <stp/>
        <stp>EM_S_IPO_LISTEDDATE</stp>
        <stp>1</stp>
        <stp>000935</stp>
        <tr r="AT3582" s="1"/>
      </tp>
      <tp t="s">
        <v>2017-03-10</v>
        <stp/>
        <stp>EM_S_IPO_LISTEDDATE</stp>
        <stp>1</stp>
        <stp>603955</stp>
        <tr r="AT1547" s="1"/>
      </tp>
      <tp t="s">
        <v>1999-09-09</v>
        <stp/>
        <stp>EM_S_IPO_LISTEDDATE</stp>
        <stp>1</stp>
        <stp>000937</stp>
        <tr r="AT2461" s="1"/>
      </tp>
      <tp t="s">
        <v>1999-08-10</v>
        <stp/>
        <stp>EM_S_IPO_LISTEDDATE</stp>
        <stp>1</stp>
        <stp>000936</stp>
        <tr r="AT953" s="1"/>
      </tp>
      <tp t="s">
        <v>1999-07-12</v>
        <stp/>
        <stp>EM_S_IPO_LISTEDDATE</stp>
        <stp>1</stp>
        <stp>000931</stp>
        <tr r="AT720" s="1"/>
      </tp>
      <tp t="s">
        <v>2018-04-03</v>
        <stp/>
        <stp>EM_S_IPO_LISTEDDATE</stp>
        <stp>1</stp>
        <stp>002931</stp>
        <tr r="AT2638" s="1"/>
      </tp>
      <tp t="s">
        <v>1999-07-12</v>
        <stp/>
        <stp>EM_S_IPO_LISTEDDATE</stp>
        <stp>1</stp>
        <stp>000930</stp>
        <tr r="AT2797" s="1"/>
      </tp>
      <tp t="s">
        <v>2018-03-28</v>
        <stp/>
        <stp>EM_S_IPO_LISTEDDATE</stp>
        <stp>1</stp>
        <stp>002930</stp>
        <tr r="AT3331" s="1"/>
      </tp>
      <tp t="s">
        <v>1999-08-31</v>
        <stp/>
        <stp>EM_S_IPO_LISTEDDATE</stp>
        <stp>1</stp>
        <stp>000933</stp>
        <tr r="AT3581" s="1"/>
      </tp>
      <tp t="s">
        <v>1999-08-03</v>
        <stp/>
        <stp>EM_S_IPO_LISTEDDATE</stp>
        <stp>1</stp>
        <stp>000932</stp>
        <tr r="AT3096" s="1"/>
      </tp>
      <tp t="s">
        <v>2017-05-15</v>
        <stp/>
        <stp>EM_S_IPO_LISTEDDATE</stp>
        <stp>1</stp>
        <stp>601952</stp>
        <tr r="AT2012" s="1"/>
      </tp>
      <tp t="s">
        <v>1999-06-23</v>
        <stp/>
        <stp>EM_S_IPO_LISTEDDATE</stp>
        <stp>1</stp>
        <stp>000929</stp>
        <tr r="AT3580" s="1"/>
      </tp>
      <tp t="s">
        <v>2017-08-21</v>
        <stp/>
        <stp>EM_S_IPO_LISTEDDATE</stp>
        <stp>1</stp>
        <stp>601949</stp>
        <tr r="AT681" s="1"/>
      </tp>
      <tp t="s">
        <v>2018-03-01</v>
        <stp/>
        <stp>EM_S_IPO_LISTEDDATE</stp>
        <stp>1</stp>
        <stp>002929</stp>
        <tr r="AT2978" s="1"/>
      </tp>
      <tp t="s">
        <v>1999-03-12</v>
        <stp/>
        <stp>EM_S_IPO_LISTEDDATE</stp>
        <stp>1</stp>
        <stp>000928</stp>
        <tr r="AT1780" s="1"/>
      </tp>
      <tp t="s">
        <v>2018-03-02</v>
        <stp/>
        <stp>EM_S_IPO_LISTEDDATE</stp>
        <stp>1</stp>
        <stp>002928</stp>
        <tr r="AT3274" s="1"/>
      </tp>
      <tp t="s">
        <v>1999-06-11</v>
        <stp/>
        <stp>EM_S_IPO_LISTEDDATE</stp>
        <stp>1</stp>
        <stp>000925</stp>
        <tr r="AT1523" s="1"/>
      </tp>
      <tp t="s">
        <v>2018-01-15</v>
        <stp/>
        <stp>EM_S_IPO_LISTEDDATE</stp>
        <stp>1</stp>
        <stp>002925</stp>
        <tr r="AT2367" s="1"/>
      </tp>
      <tp t="s">
        <v>1999-07-27</v>
        <stp/>
        <stp>EM_S_IPO_LISTEDDATE</stp>
        <stp>1</stp>
        <stp>000927</stp>
        <tr r="AT3579" s="1"/>
      </tp>
      <tp t="s">
        <v>2018-02-23</v>
        <stp/>
        <stp>EM_S_IPO_LISTEDDATE</stp>
        <stp>1</stp>
        <stp>002927</stp>
        <tr r="AT3378" s="1"/>
      </tp>
      <tp t="s">
        <v>1999-06-18</v>
        <stp/>
        <stp>EM_S_IPO_LISTEDDATE</stp>
        <stp>1</stp>
        <stp>000926</stp>
        <tr r="AT3578" s="1"/>
      </tp>
      <tp t="s">
        <v>2018-02-05</v>
        <stp/>
        <stp>EM_S_IPO_LISTEDDATE</stp>
        <stp>1</stp>
        <stp>002926</stp>
        <tr r="AT890" s="1"/>
      </tp>
      <tp t="s">
        <v>1999-07-13</v>
        <stp/>
        <stp>EM_S_IPO_LISTEDDATE</stp>
        <stp>1</stp>
        <stp>000921</stp>
        <tr r="AT344" s="1"/>
      </tp>
      <tp t="s">
        <v>2017-12-27</v>
        <stp/>
        <stp>EM_S_IPO_LISTEDDATE</stp>
        <stp>1</stp>
        <stp>002921</stp>
        <tr r="AT3207" s="1"/>
      </tp>
      <tp t="s">
        <v>1999-06-16</v>
        <stp/>
        <stp>EM_S_IPO_LISTEDDATE</stp>
        <stp>1</stp>
        <stp>000920</stp>
        <tr r="AT969" s="1"/>
      </tp>
      <tp t="s">
        <v>2017-12-26</v>
        <stp/>
        <stp>EM_S_IPO_LISTEDDATE</stp>
        <stp>1</stp>
        <stp>002920</stp>
        <tr r="AT269" s="1"/>
      </tp>
      <tp t="s">
        <v>1999-07-14</v>
        <stp/>
        <stp>EM_S_IPO_LISTEDDATE</stp>
        <stp>1</stp>
        <stp>000923</stp>
        <tr r="AT3577" s="1"/>
      </tp>
      <tp t="s">
        <v>2018-01-05</v>
        <stp/>
        <stp>EM_S_IPO_LISTEDDATE</stp>
        <stp>1</stp>
        <stp>002923</stp>
        <tr r="AT3191" s="1"/>
      </tp>
      <tp t="s">
        <v>1999-06-18</v>
        <stp/>
        <stp>EM_S_IPO_LISTEDDATE</stp>
        <stp>1</stp>
        <stp>000922</stp>
        <tr r="AT1487" s="1"/>
      </tp>
      <tp t="s">
        <v>2017-12-29</v>
        <stp/>
        <stp>EM_S_IPO_LISTEDDATE</stp>
        <stp>1</stp>
        <stp>002922</stp>
        <tr r="AT2884" s="1"/>
      </tp>
      <tp t="s">
        <v>1999-12-16</v>
        <stp/>
        <stp>EM_S_IPO_LISTEDDATE</stp>
        <stp>1</stp>
        <stp>000959</stp>
        <tr r="AT2602" s="1"/>
      </tp>
      <tp t="s">
        <v>2017-02-21</v>
        <stp/>
        <stp>EM_S_IPO_LISTEDDATE</stp>
        <stp>1</stp>
        <stp>600939</stp>
        <tr r="AT2104" s="1"/>
      </tp>
      <tp t="s">
        <v>2007-09-25</v>
        <stp/>
        <stp>EM_S_IPO_LISTEDDATE</stp>
        <stp>1</stp>
        <stp>601939</stp>
        <tr r="AT1554" s="1"/>
      </tp>
      <tp t="s">
        <v>2015-02-17</v>
        <stp/>
        <stp>EM_S_IPO_LISTEDDATE</stp>
        <stp>1</stp>
        <stp>603939</stp>
        <tr r="AT285" s="1"/>
      </tp>
      <tp t="s">
        <v>1999-12-23</v>
        <stp/>
        <stp>EM_S_IPO_LISTEDDATE</stp>
        <stp>1</stp>
        <stp>000958</stp>
        <tr r="AT289" s="1"/>
      </tp>
      <tp t="s">
        <v>2017-06-28</v>
        <stp/>
        <stp>EM_S_IPO_LISTEDDATE</stp>
        <stp>1</stp>
        <stp>603938</stp>
        <tr r="AT1870" s="1"/>
      </tp>
      <tp t="s">
        <v>1999-12-09</v>
        <stp/>
        <stp>EM_S_IPO_LISTEDDATE</stp>
        <stp>1</stp>
        <stp>000955</stp>
        <tr r="AT3585" s="1"/>
      </tp>
      <tp t="s">
        <v>2000-01-13</v>
        <stp/>
        <stp>EM_S_IPO_LISTEDDATE</stp>
        <stp>1</stp>
        <stp>000957</stp>
        <tr r="AT3587" s="1"/>
      </tp>
      <tp t="s">
        <v>2017-11-02</v>
        <stp/>
        <stp>EM_S_IPO_LISTEDDATE</stp>
        <stp>1</stp>
        <stp>603937</stp>
        <tr r="AT2150" s="1"/>
      </tp>
      <tp t="s">
        <v>1999-11-10</v>
        <stp/>
        <stp>EM_S_IPO_LISTEDDATE</stp>
        <stp>1</stp>
        <stp>000956</stp>
        <tr r="AT3586" s="1"/>
      </tp>
      <tp t="s">
        <v>2016-08-15</v>
        <stp/>
        <stp>EM_S_IPO_LISTEDDATE</stp>
        <stp>1</stp>
        <stp>600936</stp>
        <tr r="AT2127" s="1"/>
      </tp>
      <tp t="s">
        <v>2015-12-09</v>
        <stp/>
        <stp>EM_S_IPO_LISTEDDATE</stp>
        <stp>1</stp>
        <stp>603936</stp>
        <tr r="AT1179" s="1"/>
      </tp>
      <tp t="s">
        <v>1999-11-25</v>
        <stp/>
        <stp>EM_S_IPO_LISTEDDATE</stp>
        <stp>1</stp>
        <stp>000951</stp>
        <tr r="AT163" s="1"/>
      </tp>
      <tp t="s">
        <v>1999-09-16</v>
        <stp/>
        <stp>EM_S_IPO_LISTEDDATE</stp>
        <stp>1</stp>
        <stp>000950</stp>
        <tr r="AT1579" s="1"/>
      </tp>
      <tp t="s">
        <v>1999-12-02</v>
        <stp/>
        <stp>EM_S_IPO_LISTEDDATE</stp>
        <stp>1</stp>
        <stp>000953</stp>
        <tr r="AT3584" s="1"/>
      </tp>
      <tp t="s">
        <v>2017-11-17</v>
        <stp/>
        <stp>EM_S_IPO_LISTEDDATE</stp>
        <stp>1</stp>
        <stp>600933</stp>
        <tr r="AT256" s="1"/>
      </tp>
      <tp t="s">
        <v>2010-12-15</v>
        <stp/>
        <stp>EM_S_IPO_LISTEDDATE</stp>
        <stp>1</stp>
        <stp>601933</stp>
        <tr r="AT2507" s="1"/>
      </tp>
      <tp t="s">
        <v>2017-07-06</v>
        <stp/>
        <stp>EM_S_IPO_LISTEDDATE</stp>
        <stp>1</stp>
        <stp>603933</stp>
        <tr r="AT2900" s="1"/>
      </tp>
      <tp t="s">
        <v>1999-11-12</v>
        <stp/>
        <stp>EM_S_IPO_LISTEDDATE</stp>
        <stp>1</stp>
        <stp>000952</stp>
        <tr r="AT2593" s="1"/>
      </tp>
      <tp t="s">
        <v>1999-10-21</v>
        <stp/>
        <stp>EM_S_IPO_LISTEDDATE</stp>
        <stp>1</stp>
        <stp>000949</stp>
        <tr r="AT670" s="1"/>
      </tp>
      <tp t="s">
        <v>2018-03-26</v>
        <stp/>
        <stp>EM_S_IPO_LISTEDDATE</stp>
        <stp>1</stp>
        <stp>600929</stp>
        <tr r="AT3072" s="1"/>
      </tp>
      <tp t="s">
        <v>2012-02-23</v>
        <stp/>
        <stp>EM_S_IPO_LISTEDDATE</stp>
        <stp>1</stp>
        <stp>601929</stp>
        <tr r="AT2062" s="1"/>
      </tp>
      <tp t="s">
        <v>2016-12-30</v>
        <stp/>
        <stp>EM_S_IPO_LISTEDDATE</stp>
        <stp>1</stp>
        <stp>603929</stp>
        <tr r="AT2220" s="1"/>
      </tp>
      <tp t="s">
        <v>1999-10-14</v>
        <stp/>
        <stp>EM_S_IPO_LISTEDDATE</stp>
        <stp>1</stp>
        <stp>000948</stp>
        <tr r="AT1716" s="1"/>
      </tp>
      <tp t="s">
        <v>2011-11-30</v>
        <stp/>
        <stp>EM_S_IPO_LISTEDDATE</stp>
        <stp>1</stp>
        <stp>601928</stp>
        <tr r="AT2548" s="1"/>
      </tp>
      <tp t="s">
        <v>2016-12-12</v>
        <stp/>
        <stp>EM_S_IPO_LISTEDDATE</stp>
        <stp>1</stp>
        <stp>603928</stp>
        <tr r="AT2878" s="1"/>
      </tp>
      <tp t="s">
        <v>2016-10-27</v>
        <stp/>
        <stp>EM_S_IPO_LISTEDDATE</stp>
        <stp>1</stp>
        <stp>600926</stp>
        <tr r="AT1142" s="1"/>
      </tp>
      <tp t="s">
        <v>2017-05-10</v>
        <stp/>
        <stp>EM_S_IPO_LISTEDDATE</stp>
        <stp>1</stp>
        <stp>603926</stp>
        <tr r="AT2907" s="1"/>
      </tp>
      <tp t="s">
        <v>2017-04-26</v>
        <stp/>
        <stp>EM_S_IPO_LISTEDDATE</stp>
        <stp>1</stp>
        <stp>603920</stp>
        <tr r="AT354" s="1"/>
      </tp>
      <tp t="s">
        <v>2017-10-23</v>
        <stp/>
        <stp>EM_S_IPO_LISTEDDATE</stp>
        <stp>1</stp>
        <stp>603922</stp>
        <tr r="AT2100" s="1"/>
      </tp>
      <tp t="s">
        <v>2000-06-16</v>
        <stp/>
        <stp>EM_S_IPO_LISTEDDATE</stp>
        <stp>1</stp>
        <stp>000979</stp>
        <tr r="AT3592" s="1"/>
      </tp>
      <tp t="s">
        <v>2016-08-02</v>
        <stp/>
        <stp>EM_S_IPO_LISTEDDATE</stp>
        <stp>1</stp>
        <stp>600919</stp>
        <tr r="AT1245" s="1"/>
      </tp>
      <tp t="s">
        <v>2015-12-30</v>
        <stp/>
        <stp>EM_S_IPO_LISTEDDATE</stp>
        <stp>1</stp>
        <stp>001979</stp>
        <tr r="AT1473" s="1"/>
      </tp>
      <tp t="s">
        <v>2007-06-26</v>
        <stp/>
        <stp>EM_S_IPO_LISTEDDATE</stp>
        <stp>1</stp>
        <stp>601919</stp>
        <tr r="AT933" s="1"/>
      </tp>
      <tp t="s">
        <v>2016-03-10</v>
        <stp/>
        <stp>EM_S_IPO_LISTEDDATE</stp>
        <stp>1</stp>
        <stp>603919</stp>
        <tr r="AT540" s="1"/>
      </tp>
      <tp t="s">
        <v>2000-05-18</v>
        <stp/>
        <stp>EM_S_IPO_LISTEDDATE</stp>
        <stp>1</stp>
        <stp>000978</stp>
        <tr r="AT2177" s="1"/>
      </tp>
      <tp t="s">
        <v>2007-12-19</v>
        <stp/>
        <stp>EM_S_IPO_LISTEDDATE</stp>
        <stp>1</stp>
        <stp>601918</stp>
        <tr r="AT1915" s="1"/>
      </tp>
      <tp t="s">
        <v>2015-05-28</v>
        <stp/>
        <stp>EM_S_IPO_LISTEDDATE</stp>
        <stp>1</stp>
        <stp>603918</stp>
        <tr r="AT2585" s="1"/>
      </tp>
      <tp t="s">
        <v>2000-06-08</v>
        <stp/>
        <stp>EM_S_IPO_LISTEDDATE</stp>
        <stp>1</stp>
        <stp>000975</stp>
        <tr r="AT930" s="1"/>
      </tp>
      <tp t="s">
        <v>2000-06-08</v>
        <stp/>
        <stp>EM_S_IPO_LISTEDDATE</stp>
        <stp>1</stp>
        <stp>000977</stp>
        <tr r="AT206" s="1"/>
      </tp>
      <tp t="s">
        <v>2014-09-30</v>
        <stp/>
        <stp>EM_S_IPO_LISTEDDATE</stp>
        <stp>1</stp>
        <stp>600917</stp>
        <tr r="AT2163" s="1"/>
      </tp>
      <tp t="s">
        <v>2017-12-04</v>
        <stp/>
        <stp>EM_S_IPO_LISTEDDATE</stp>
        <stp>1</stp>
        <stp>603917</stp>
        <tr r="AT2852" s="1"/>
      </tp>
      <tp t="s">
        <v>2000-06-01</v>
        <stp/>
        <stp>EM_S_IPO_LISTEDDATE</stp>
        <stp>1</stp>
        <stp>000976</stp>
        <tr r="AT3591" s="1"/>
      </tp>
      <tp t="s">
        <v>2017-11-10</v>
        <stp/>
        <stp>EM_S_IPO_LISTEDDATE</stp>
        <stp>1</stp>
        <stp>603916</stp>
        <tr r="AT639" s="1"/>
      </tp>
      <tp t="s">
        <v>2000-04-27</v>
        <stp/>
        <stp>EM_S_IPO_LISTEDDATE</stp>
        <stp>1</stp>
        <stp>000971</stp>
        <tr r="AT3589" s="1"/>
      </tp>
      <tp t="s">
        <v>2000-04-20</v>
        <stp/>
        <stp>EM_S_IPO_LISTEDDATE</stp>
        <stp>1</stp>
        <stp>000970</stp>
        <tr r="AT573" s="1"/>
      </tp>
      <tp t="s">
        <v>2000-05-25</v>
        <stp/>
        <stp>EM_S_IPO_LISTEDDATE</stp>
        <stp>1</stp>
        <stp>000973</stp>
        <tr r="AT658" s="1"/>
      </tp>
      <tp t="s">
        <v>2000-09-26</v>
        <stp/>
        <stp>EM_S_IPO_LISTEDDATE</stp>
        <stp>1</stp>
        <stp>000972</stp>
        <tr r="AT3590" s="1"/>
      </tp>
      <tp t="s">
        <v>2017-11-01</v>
        <stp/>
        <stp>EM_S_IPO_LISTEDDATE</stp>
        <stp>1</stp>
        <stp>603912</stp>
        <tr r="AT2116" s="1"/>
      </tp>
      <tp t="s">
        <v>2000-05-29</v>
        <stp/>
        <stp>EM_S_IPO_LISTEDDATE</stp>
        <stp>1</stp>
        <stp>000969</stp>
        <tr r="AT3588" s="1"/>
      </tp>
      <tp t="s">
        <v>2016-12-06</v>
        <stp/>
        <stp>EM_S_IPO_LISTEDDATE</stp>
        <stp>1</stp>
        <stp>600909</stp>
        <tr r="AT502" s="1"/>
      </tp>
      <tp t="s">
        <v>2016-06-28</v>
        <stp/>
        <stp>EM_S_IPO_LISTEDDATE</stp>
        <stp>1</stp>
        <stp>603909</stp>
        <tr r="AT3356" s="1"/>
      </tp>
      <tp t="s">
        <v>2000-06-22</v>
        <stp/>
        <stp>EM_S_IPO_LISTEDDATE</stp>
        <stp>1</stp>
        <stp>000968</stp>
        <tr r="AT2527" s="1"/>
      </tp>
      <tp t="s">
        <v>2016-09-23</v>
        <stp/>
        <stp>EM_S_IPO_LISTEDDATE</stp>
        <stp>1</stp>
        <stp>600908</stp>
        <tr r="AT1965" s="1"/>
      </tp>
      <tp t="s">
        <v>2011-09-08</v>
        <stp/>
        <stp>EM_S_IPO_LISTEDDATE</stp>
        <stp>1</stp>
        <stp>601908</stp>
        <tr r="AT2539" s="1"/>
      </tp>
      <tp t="s">
        <v>2017-03-07</v>
        <stp/>
        <stp>EM_S_IPO_LISTEDDATE</stp>
        <stp>1</stp>
        <stp>603908</stp>
        <tr r="AT2189" s="1"/>
      </tp>
      <tp t="s">
        <v>2000-04-06</v>
        <stp/>
        <stp>EM_S_IPO_LISTEDDATE</stp>
        <stp>1</stp>
        <stp>000965</stp>
        <tr r="AT3017" s="1"/>
      </tp>
      <tp t="s">
        <v>2017-12-25</v>
        <stp/>
        <stp>EM_S_IPO_LISTEDDATE</stp>
        <stp>1</stp>
        <stp>001965</stp>
        <tr r="AT1808" s="1"/>
      </tp>
      <tp t="s">
        <v>2000-03-30</v>
        <stp/>
        <stp>EM_S_IPO_LISTEDDATE</stp>
        <stp>1</stp>
        <stp>000967</stp>
        <tr r="AT1753" s="1"/>
      </tp>
      <tp t="s">
        <v>2000-03-16</v>
        <stp/>
        <stp>EM_S_IPO_LISTEDDATE</stp>
        <stp>1</stp>
        <stp>000966</stp>
        <tr r="AT869" s="1"/>
      </tp>
      <tp t="s">
        <v>2017-04-10</v>
        <stp/>
        <stp>EM_S_IPO_LISTEDDATE</stp>
        <stp>1</stp>
        <stp>603906</stp>
        <tr r="AT1119" s="1"/>
      </tp>
      <tp t="s">
        <v>2000-03-01</v>
        <stp/>
        <stp>EM_S_IPO_LISTEDDATE</stp>
        <stp>1</stp>
        <stp>000961</stp>
        <tr r="AT207" s="1"/>
      </tp>
      <tp t="s">
        <v>2018-03-01</v>
        <stp/>
        <stp>EM_S_IPO_LISTEDDATE</stp>
        <stp>1</stp>
        <stp>600901</stp>
        <tr r="AT1864" s="1"/>
      </tp>
      <tp t="s">
        <v>2011-08-10</v>
        <stp/>
        <stp>EM_S_IPO_LISTEDDATE</stp>
        <stp>1</stp>
        <stp>601901</stp>
        <tr r="AT408" s="1"/>
      </tp>
      <tp t="s">
        <v>2015-05-29</v>
        <stp/>
        <stp>EM_S_IPO_LISTEDDATE</stp>
        <stp>1</stp>
        <stp>603901</stp>
        <tr r="AT415" s="1"/>
      </tp>
      <tp t="s">
        <v>2000-02-21</v>
        <stp/>
        <stp>EM_S_IPO_LISTEDDATE</stp>
        <stp>1</stp>
        <stp>000960</stp>
        <tr r="AT1651" s="1"/>
      </tp>
      <tp t="s">
        <v>2003-11-18</v>
        <stp/>
        <stp>EM_S_IPO_LISTEDDATE</stp>
        <stp>1</stp>
        <stp>600900</stp>
        <tr r="AT1447" s="1"/>
      </tp>
      <tp t="s">
        <v>2016-02-15</v>
        <stp/>
        <stp>EM_S_IPO_LISTEDDATE</stp>
        <stp>1</stp>
        <stp>601900</stp>
        <tr r="AT1823" s="1"/>
      </tp>
      <tp t="s">
        <v>2016-11-23</v>
        <stp/>
        <stp>EM_S_IPO_LISTEDDATE</stp>
        <stp>1</stp>
        <stp>603900</stp>
        <tr r="AT3083" s="1"/>
      </tp>
      <tp t="s">
        <v>2000-01-27</v>
        <stp/>
        <stp>EM_S_IPO_LISTEDDATE</stp>
        <stp>1</stp>
        <stp>000963</stp>
        <tr r="AT2741" s="1"/>
      </tp>
      <tp t="s">
        <v>2017-11-07</v>
        <stp/>
        <stp>EM_S_IPO_LISTEDDATE</stp>
        <stp>1</stp>
        <stp>600903</stp>
        <tr r="AT3216" s="1"/>
      </tp>
      <tp t="s">
        <v>2017-03-14</v>
        <stp/>
        <stp>EM_S_IPO_LISTEDDATE</stp>
        <stp>1</stp>
        <stp>603903</stp>
        <tr r="AT3225" s="1"/>
      </tp>
      <tp t="s">
        <v>2000-01-20</v>
        <stp/>
        <stp>EM_S_IPO_LISTEDDATE</stp>
        <stp>1</stp>
        <stp>000962</stp>
        <tr r="AT1521" s="1"/>
      </tp>
      <tp>
        <v>0</v>
        <stp/>
        <stp>EM_S_FA_ASSETSTURN</stp>
        <stp>3</stp>
        <stp>601838</stp>
        <stp>12/31/2018</stp>
        <stp>1</stp>
        <tr r="K1663" s="1"/>
      </tp>
      <tp>
        <v>0.57507675624599996</v>
        <stp/>
        <stp>EM_S_FA_ASSETSTURN</stp>
        <stp>3</stp>
        <stp>601238</stp>
        <stp>12/31/2018</stp>
        <stp>1</stp>
        <tr r="K1583" s="1"/>
      </tp>
      <tp>
        <v>2.3790275741040001</v>
        <stp/>
        <stp>EM_S_FA_ASSETSTURN</stp>
        <stp>3</stp>
        <stp>601138</stp>
        <stp>12/31/2018</stp>
        <stp>1</stp>
        <tr r="K537" s="1"/>
      </tp>
      <tp>
        <v>0.41709357089400001</v>
        <stp/>
        <stp>EM_S_FA_ASSETSTURN</stp>
        <stp>3</stp>
        <stp>601038</stp>
        <stp>12/31/2018</stp>
        <stp>1</stp>
        <tr r="K646" s="1"/>
      </tp>
      <tp>
        <v>0.32369001557900001</v>
        <stp/>
        <stp>EM_S_FA_ASSETSTURN</stp>
        <stp>3</stp>
        <stp>000958</stp>
        <stp>12/31/2018</stp>
        <stp>1</stp>
        <tr r="K289" s="1"/>
      </tp>
      <tp>
        <v>0.50988386007200004</v>
        <stp/>
        <stp>EM_S_FA_ASSETSTURN</stp>
        <stp>3</stp>
        <stp>000858</stp>
        <stp>12/31/2018</stp>
        <stp>1</stp>
        <tr r="K65" s="1"/>
      </tp>
      <tp>
        <v>5.1840350425999999E-2</v>
        <stp/>
        <stp>EM_S_FA_ASSETSTURN</stp>
        <stp>3</stp>
        <stp>600838</stp>
        <stp>12/31/2018</stp>
        <stp>1</stp>
        <tr r="K1970" s="1"/>
      </tp>
      <tp>
        <v>0.51526446447200003</v>
        <stp/>
        <stp>EM_S_FA_ASSETSTURN</stp>
        <stp>3</stp>
        <stp>300368</stp>
        <stp>12/31/2018</stp>
        <stp>1</stp>
        <tr r="K686" s="1"/>
      </tp>
      <tp>
        <v>0.50992630959700003</v>
        <stp/>
        <stp>EM_S_FA_ASSETSTURN</stp>
        <stp>3</stp>
        <stp>600338</stp>
        <stp>12/31/2018</stp>
        <stp>1</stp>
        <tr r="K2747" s="1"/>
      </tp>
      <tp>
        <v>1.700109098674</v>
        <stp/>
        <stp>EM_S_FA_ASSETSTURN</stp>
        <stp>3</stp>
        <stp>300268</stp>
        <stp>12/31/2018</stp>
        <stp>1</stp>
        <tr r="K1057" s="1"/>
      </tp>
      <tp>
        <v>0.41615669493200003</v>
        <stp/>
        <stp>EM_S_FA_ASSETSTURN</stp>
        <stp>3</stp>
        <stp>600238</stp>
        <stp>12/31/2018</stp>
        <stp>1</stp>
        <tr r="K1030" s="1"/>
      </tp>
      <tp>
        <v>0.71707438483800001</v>
        <stp/>
        <stp>EM_S_FA_ASSETSTURN</stp>
        <stp>3</stp>
        <stp>000158</stp>
        <stp>12/31/2018</stp>
        <stp>1</stp>
        <tr r="K3412" s="1"/>
      </tp>
      <tp>
        <v>0.27864916588400002</v>
        <stp/>
        <stp>EM_S_FA_ASSETSTURN</stp>
        <stp>3</stp>
        <stp>300168</stp>
        <stp>12/31/2018</stp>
        <stp>1</stp>
        <tr r="K960" s="1"/>
      </tp>
      <tp>
        <v>0.888267926529</v>
        <stp/>
        <stp>EM_S_FA_ASSETSTURN</stp>
        <stp>3</stp>
        <stp>600138</stp>
        <stp>12/31/2018</stp>
        <stp>1</stp>
        <tr r="K2400" s="1"/>
      </tp>
      <tp>
        <v>0.228356913854</v>
        <stp/>
        <stp>EM_S_FA_ASSETSTURN</stp>
        <stp>3</stp>
        <stp>000058</stp>
        <stp>12/31/2018</stp>
        <stp>1</stp>
        <tr r="K1127" s="1"/>
      </tp>
      <tp>
        <v>0.68402751224799996</v>
        <stp/>
        <stp>EM_S_FA_ASSETSTURN</stp>
        <stp>3</stp>
        <stp>300068</stp>
        <stp>12/31/2018</stp>
        <stp>1</stp>
        <tr r="K3130" s="1"/>
      </tp>
      <tp>
        <v>0.56151688299500002</v>
        <stp/>
        <stp>EM_S_FA_ASSETSTURN</stp>
        <stp>3</stp>
        <stp>600038</stp>
        <stp>12/31/2018</stp>
        <stp>1</stp>
        <tr r="K1039" s="1"/>
      </tp>
      <tp>
        <v>0.61916866490900002</v>
        <stp/>
        <stp>EM_S_FA_ASSETSTURN</stp>
        <stp>3</stp>
        <stp>000758</stp>
        <stp>12/31/2018</stp>
        <stp>1</stp>
        <tr r="K3529" s="1"/>
      </tp>
      <tp>
        <v>0.257813068679</v>
        <stp/>
        <stp>EM_S_FA_ASSETSTURN</stp>
        <stp>3</stp>
        <stp>600738</stp>
        <stp>12/31/2018</stp>
        <stp>1</stp>
        <tr r="K2955" s="1"/>
      </tp>
      <tp>
        <v>1.866195707E-3</v>
        <stp/>
        <stp>EM_S_FA_ASSETSTURN</stp>
        <stp>3</stp>
        <stp>000658</stp>
        <stp>12/31/2018</stp>
        <stp>1</stp>
        <tr r="K3495" s="1"/>
      </tp>
      <tp>
        <v>0.751325561679</v>
        <stp/>
        <stp>EM_S_FA_ASSETSTURN</stp>
        <stp>3</stp>
        <stp>300668</stp>
        <stp>12/31/2018</stp>
        <stp>1</stp>
        <tr r="K2582" s="1"/>
      </tp>
      <tp>
        <v>9.4120019717E-2</v>
        <stp/>
        <stp>EM_S_FA_ASSETSTURN</stp>
        <stp>3</stp>
        <stp>600638</stp>
        <stp>12/31/2018</stp>
        <stp>1</stp>
        <tr r="K3026" s="1"/>
      </tp>
      <tp>
        <v>0.26482895526700001</v>
        <stp/>
        <stp>EM_S_FA_ASSETSTURN</stp>
        <stp>3</stp>
        <stp>000558</stp>
        <stp>12/31/2018</stp>
        <stp>1</stp>
        <tr r="K3454" s="1"/>
      </tp>
      <tp>
        <v>0.19638413669999999</v>
        <stp/>
        <stp>EM_S_FA_ASSETSTURN</stp>
        <stp>3</stp>
        <stp>300568</stp>
        <stp>12/31/2018</stp>
        <stp>1</stp>
        <tr r="K800" s="1"/>
      </tp>
      <tp>
        <v>0.29156456758299998</v>
        <stp/>
        <stp>EM_S_FA_ASSETSTURN</stp>
        <stp>3</stp>
        <stp>600538</stp>
        <stp>12/31/2018</stp>
        <stp>1</stp>
        <tr r="K1379" s="1"/>
      </tp>
      <tp>
        <v>0.40456447288300001</v>
        <stp/>
        <stp>EM_S_FA_ASSETSTURN</stp>
        <stp>3</stp>
        <stp>300468</stp>
        <stp>12/31/2018</stp>
        <stp>1</stp>
        <tr r="K55" s="1"/>
      </tp>
      <tp>
        <v>0.86004285659599999</v>
        <stp/>
        <stp>EM_S_FA_ASSETSTURN</stp>
        <stp>3</stp>
        <stp>600438</stp>
        <stp>12/31/2018</stp>
        <stp>1</stp>
        <tr r="K448" s="1"/>
      </tp>
      <tp>
        <v>1.0075386025299999</v>
        <stp/>
        <stp>EM_S_FA_ASSETSTURN</stp>
        <stp>3</stp>
        <stp>603938</stp>
        <stp>12/31/2018</stp>
        <stp>1</stp>
        <tr r="K1870" s="1"/>
      </tp>
      <tp>
        <v>0.54987798332799998</v>
        <stp/>
        <stp>EM_S_FA_ASSETSTURN</stp>
        <stp>3</stp>
        <stp>603838</stp>
        <stp>12/31/2018</stp>
        <stp>1</stp>
        <tr r="K2880" s="1"/>
      </tp>
      <tp>
        <v>0.53259510507399999</v>
        <stp/>
        <stp>EM_S_FA_ASSETSTURN</stp>
        <stp>3</stp>
        <stp>603338</stp>
        <stp>12/31/2018</stp>
        <stp>1</stp>
        <tr r="K1029" s="1"/>
      </tp>
      <tp>
        <v>0.65718409273400002</v>
        <stp/>
        <stp>EM_S_FA_ASSETSTURN</stp>
        <stp>3</stp>
        <stp>603238</stp>
        <stp>12/31/2018</stp>
        <stp>1</stp>
        <tr r="K2678" s="1"/>
      </tp>
      <tp>
        <v>0.84712496667399995</v>
        <stp/>
        <stp>EM_S_FA_ASSETSTURN</stp>
        <stp>3</stp>
        <stp>603138</stp>
        <stp>12/31/2018</stp>
        <stp>1</stp>
        <tr r="K2938" s="1"/>
      </tp>
      <tp>
        <v>0.62604184974300003</v>
        <stp/>
        <stp>EM_S_FA_ASSETSTURN</stp>
        <stp>3</stp>
        <stp>603038</stp>
        <stp>12/31/2018</stp>
        <stp>1</stp>
        <tr r="K2833" s="1"/>
      </tp>
      <tp>
        <v>0.49618272608500003</v>
        <stp/>
        <stp>EM_S_FA_ASSETSTURN</stp>
        <stp>3</stp>
        <stp>603738</stp>
        <stp>12/31/2018</stp>
        <stp>1</stp>
        <tr r="K418" s="1"/>
      </tp>
      <tp>
        <v>0.76545553985899994</v>
        <stp/>
        <stp>EM_S_FA_ASSETSTURN</stp>
        <stp>3</stp>
        <stp>603638</stp>
        <stp>12/31/2018</stp>
        <stp>1</stp>
        <tr r="K1019" s="1"/>
      </tp>
      <tp>
        <v>0.44861769377299998</v>
        <stp/>
        <stp>EM_S_FA_ASSETSTURN</stp>
        <stp>3</stp>
        <stp>603538</stp>
        <stp>12/31/2018</stp>
        <stp>1</stp>
        <tr r="K1150" s="1"/>
      </tp>
      <tp>
        <v>0.70412169553199999</v>
        <stp/>
        <stp>EM_S_FA_ASSETSTURN</stp>
        <stp>3</stp>
        <stp>002858</stp>
        <stp>12/31/2018</stp>
        <stp>1</stp>
        <tr r="K1816" s="1"/>
      </tp>
      <tp>
        <v>0.30272735033100001</v>
        <stp/>
        <stp>EM_S_FA_ASSETSTURN</stp>
        <stp>3</stp>
        <stp>002358</stp>
        <stp>12/31/2018</stp>
        <stp>1</stp>
        <tr r="K3394" s="1"/>
      </tp>
      <tp>
        <v>0.72642452850600003</v>
        <stp/>
        <stp>EM_S_FA_ASSETSTURN</stp>
        <stp>3</stp>
        <stp>002258</stp>
        <stp>12/31/2018</stp>
        <stp>1</stp>
        <tr r="K1840" s="1"/>
      </tp>
      <tp>
        <v>0.54417912434100002</v>
        <stp/>
        <stp>EM_S_FA_ASSETSTURN</stp>
        <stp>3</stp>
        <stp>002158</stp>
        <stp>12/31/2018</stp>
        <stp>1</stp>
        <tr r="K1124" s="1"/>
      </tp>
      <tp>
        <v>0.52915976071799997</v>
        <stp/>
        <stp>EM_S_FA_ASSETSTURN</stp>
        <stp>3</stp>
        <stp>002058</stp>
        <stp>12/31/2018</stp>
        <stp>1</stp>
        <tr r="K306" s="1"/>
      </tp>
      <tp>
        <v>1.1177374311129999</v>
        <stp/>
        <stp>EM_S_FA_ASSETSTURN</stp>
        <stp>3</stp>
        <stp>002758</stp>
        <stp>12/31/2018</stp>
        <stp>1</stp>
        <tr r="K633" s="1"/>
      </tp>
      <tp>
        <v>0.50515643391700005</v>
        <stp/>
        <stp>EM_S_FA_ASSETSTURN</stp>
        <stp>3</stp>
        <stp>002658</stp>
        <stp>12/31/2018</stp>
        <stp>1</stp>
        <tr r="K2191" s="1"/>
      </tp>
      <tp>
        <v>0.32139881934100001</v>
        <stp/>
        <stp>EM_S_FA_ASSETSTURN</stp>
        <stp>3</stp>
        <stp>002558</stp>
        <stp>12/31/2018</stp>
        <stp>1</stp>
        <tr r="K2676" s="1"/>
      </tp>
      <tp>
        <v>0.66133062694599998</v>
        <stp/>
        <stp>EM_S_FA_ASSETSTURN</stp>
        <stp>3</stp>
        <stp>002458</stp>
        <stp>12/31/2018</stp>
        <stp>1</stp>
        <tr r="K190" s="1"/>
      </tp>
      <tp>
        <v>0</v>
        <stp/>
        <stp>EM_S_FA_ASSETSTURN</stp>
        <stp>3</stp>
        <stp>601939</stp>
        <stp>12/31/2018</stp>
        <stp>1</stp>
        <tr r="K1554" s="1"/>
      </tp>
      <tp>
        <v>0.47637690680900002</v>
        <stp/>
        <stp>EM_S_FA_ASSETSTURN</stp>
        <stp>3</stp>
        <stp>601339</stp>
        <stp>12/31/2018</stp>
        <stp>1</stp>
        <tr r="K3196" s="1"/>
      </tp>
      <tp>
        <v>0.66199557470299997</v>
        <stp/>
        <stp>EM_S_FA_ASSETSTURN</stp>
        <stp>3</stp>
        <stp>601139</stp>
        <stp>12/31/2018</stp>
        <stp>1</stp>
        <tr r="K649" s="1"/>
      </tp>
      <tp>
        <v>0.48856487043899999</v>
        <stp/>
        <stp>EM_S_FA_ASSETSTURN</stp>
        <stp>3</stp>
        <stp>000959</stp>
        <stp>12/31/2018</stp>
        <stp>1</stp>
        <tr r="K2602" s="1"/>
      </tp>
      <tp>
        <v>0.68478823271699996</v>
        <stp/>
        <stp>EM_S_FA_ASSETSTURN</stp>
        <stp>3</stp>
        <stp>600939</stp>
        <stp>12/31/2018</stp>
        <stp>1</stp>
        <tr r="K2104" s="1"/>
      </tp>
      <tp>
        <v>0.57993503852600004</v>
        <stp/>
        <stp>EM_S_FA_ASSETSTURN</stp>
        <stp>3</stp>
        <stp>000859</stp>
        <stp>12/31/2018</stp>
        <stp>1</stp>
        <tr r="K151" s="1"/>
      </tp>
      <tp>
        <v>1.2179464673060001</v>
        <stp/>
        <stp>EM_S_FA_ASSETSTURN</stp>
        <stp>3</stp>
        <stp>600839</stp>
        <stp>12/31/2018</stp>
        <stp>1</stp>
        <tr r="K1139" s="1"/>
      </tp>
      <tp>
        <v>0.35426651993000002</v>
        <stp/>
        <stp>EM_S_FA_ASSETSTURN</stp>
        <stp>3</stp>
        <stp>300369</stp>
        <stp>12/31/2018</stp>
        <stp>1</stp>
        <tr r="K143" s="1"/>
      </tp>
      <tp>
        <v>0.63375459245300003</v>
        <stp/>
        <stp>EM_S_FA_ASSETSTURN</stp>
        <stp>3</stp>
        <stp>600339</stp>
        <stp>12/31/2018</stp>
        <stp>1</stp>
        <tr r="K2706" s="1"/>
      </tp>
      <tp>
        <v>0.62472494985600002</v>
        <stp/>
        <stp>EM_S_FA_ASSETSTURN</stp>
        <stp>3</stp>
        <stp>300269</stp>
        <stp>12/31/2018</stp>
        <stp>1</stp>
        <tr r="K2751" s="1"/>
      </tp>
      <tp>
        <v>0.116611687666</v>
        <stp/>
        <stp>EM_S_FA_ASSETSTURN</stp>
        <stp>3</stp>
        <stp>600239</stp>
        <stp>12/31/2018</stp>
        <stp>1</stp>
        <tr r="K2256" s="1"/>
      </tp>
      <tp>
        <v>0.19088123282800001</v>
        <stp/>
        <stp>EM_S_FA_ASSETSTURN</stp>
        <stp>3</stp>
        <stp>000159</stp>
        <stp>12/31/2018</stp>
        <stp>1</stp>
        <tr r="K847" s="1"/>
      </tp>
      <tp>
        <v>0.43768525828999999</v>
        <stp/>
        <stp>EM_S_FA_ASSETSTURN</stp>
        <stp>3</stp>
        <stp>300169</stp>
        <stp>12/31/2018</stp>
        <stp>1</stp>
        <tr r="K1392" s="1"/>
      </tp>
      <tp>
        <v>4.3371549271000003E-2</v>
        <stp/>
        <stp>EM_S_FA_ASSETSTURN</stp>
        <stp>3</stp>
        <stp>600139</stp>
        <stp>12/31/2018</stp>
        <stp>1</stp>
        <tr r="K1360" s="1"/>
      </tp>
      <tp>
        <v>1.156675682658</v>
        <stp/>
        <stp>EM_S_FA_ASSETSTURN</stp>
        <stp>3</stp>
        <stp>000059</stp>
        <stp>12/31/2018</stp>
        <stp>1</stp>
        <tr r="K1923" s="1"/>
      </tp>
      <tp>
        <v>0.24704689620699999</v>
        <stp/>
        <stp>EM_S_FA_ASSETSTURN</stp>
        <stp>3</stp>
        <stp>300069</stp>
        <stp>12/31/2018</stp>
        <stp>1</stp>
        <tr r="K270" s="1"/>
      </tp>
      <tp>
        <v>0.50302398904699996</v>
        <stp/>
        <stp>EM_S_FA_ASSETSTURN</stp>
        <stp>3</stp>
        <stp>600039</stp>
        <stp>12/31/2018</stp>
        <stp>1</stp>
        <tr r="K2260" s="1"/>
      </tp>
      <tp>
        <v>1.9301258083970001</v>
        <stp/>
        <stp>EM_S_FA_ASSETSTURN</stp>
        <stp>3</stp>
        <stp>000759</stp>
        <stp>12/31/2018</stp>
        <stp>1</stp>
        <tr r="K752" s="1"/>
      </tp>
      <tp>
        <v>0.54065863868999997</v>
        <stp/>
        <stp>EM_S_FA_ASSETSTURN</stp>
        <stp>3</stp>
        <stp>600739</stp>
        <stp>12/31/2018</stp>
        <stp>1</stp>
        <tr r="K642" s="1"/>
      </tp>
      <tp>
        <v>0.63105398782300004</v>
        <stp/>
        <stp>EM_S_FA_ASSETSTURN</stp>
        <stp>3</stp>
        <stp>000659</stp>
        <stp>12/31/2018</stp>
        <stp>1</stp>
        <tr r="K3261" s="1"/>
      </tp>
      <tp>
        <v>0.55366359627299999</v>
        <stp/>
        <stp>EM_S_FA_ASSETSTURN</stp>
        <stp>3</stp>
        <stp>300669</stp>
        <stp>12/31/2018</stp>
        <stp>1</stp>
        <tr r="K488" s="1"/>
      </tp>
      <tp>
        <v>0.135261059041</v>
        <stp/>
        <stp>EM_S_FA_ASSETSTURN</stp>
        <stp>3</stp>
        <stp>600639</stp>
        <stp>12/31/2018</stp>
        <stp>1</stp>
        <tr r="K1287" s="1"/>
      </tp>
      <tp>
        <v>0.96379662560199997</v>
        <stp/>
        <stp>EM_S_FA_ASSETSTURN</stp>
        <stp>3</stp>
        <stp>000559</stp>
        <stp>12/31/2018</stp>
        <stp>1</stp>
        <tr r="K1985" s="1"/>
      </tp>
      <tp>
        <v>0.48556735445299998</v>
        <stp/>
        <stp>EM_S_FA_ASSETSTURN</stp>
        <stp>3</stp>
        <stp>300569</stp>
        <stp>12/31/2018</stp>
        <stp>1</stp>
        <tr r="K1506" s="1"/>
      </tp>
      <tp>
        <v>0.18970574593100001</v>
        <stp/>
        <stp>EM_S_FA_ASSETSTURN</stp>
        <stp>3</stp>
        <stp>600539</stp>
        <stp>12/31/2018</stp>
        <stp>1</stp>
        <tr r="K1929" s="1"/>
      </tp>
      <tp>
        <v>0.54541113860099999</v>
        <stp/>
        <stp>EM_S_FA_ASSETSTURN</stp>
        <stp>3</stp>
        <stp>300469</stp>
        <stp>12/31/2018</stp>
        <stp>1</stp>
        <tr r="K2968" s="1"/>
      </tp>
      <tp>
        <v>0.40386977012800002</v>
        <stp/>
        <stp>EM_S_FA_ASSETSTURN</stp>
        <stp>3</stp>
        <stp>600439</stp>
        <stp>12/31/2018</stp>
        <stp>1</stp>
        <tr r="K823" s="1"/>
      </tp>
      <tp>
        <v>1.0928368178650001</v>
        <stp/>
        <stp>EM_S_FA_ASSETSTURN</stp>
        <stp>3</stp>
        <stp>603939</stp>
        <stp>12/31/2018</stp>
        <stp>1</stp>
        <tr r="K285" s="1"/>
      </tp>
      <tp>
        <v>0.48213090224600003</v>
        <stp/>
        <stp>EM_S_FA_ASSETSTURN</stp>
        <stp>3</stp>
        <stp>603839</stp>
        <stp>12/31/2018</stp>
        <stp>1</stp>
        <tr r="K1152" s="1"/>
      </tp>
      <tp>
        <v>0.63665353993600005</v>
        <stp/>
        <stp>EM_S_FA_ASSETSTURN</stp>
        <stp>3</stp>
        <stp>603339</stp>
        <stp>12/31/2018</stp>
        <stp>1</stp>
        <tr r="K2771" s="1"/>
      </tp>
      <tp>
        <v>0.59554792652999999</v>
        <stp/>
        <stp>EM_S_FA_ASSETSTURN</stp>
        <stp>3</stp>
        <stp>603239</stp>
        <stp>12/31/2018</stp>
        <stp>1</stp>
        <tr r="K1957" s="1"/>
      </tp>
      <tp>
        <v>0.35071798107300001</v>
        <stp/>
        <stp>EM_S_FA_ASSETSTURN</stp>
        <stp>3</stp>
        <stp>603139</stp>
        <stp>12/31/2018</stp>
        <stp>1</stp>
        <tr r="K1742" s="1"/>
      </tp>
      <tp>
        <v>0.68774320349899998</v>
        <stp/>
        <stp>EM_S_FA_ASSETSTURN</stp>
        <stp>3</stp>
        <stp>603039</stp>
        <stp>12/31/2018</stp>
        <stp>1</stp>
        <tr r="K3129" s="1"/>
      </tp>
      <tp>
        <v>0.79331994948999995</v>
        <stp/>
        <stp>EM_S_FA_ASSETSTURN</stp>
        <stp>3</stp>
        <stp>603639</stp>
        <stp>12/31/2018</stp>
        <stp>1</stp>
        <tr r="K2640" s="1"/>
      </tp>
      <tp>
        <v>0.71308649849399997</v>
        <stp/>
        <stp>EM_S_FA_ASSETSTURN</stp>
        <stp>3</stp>
        <stp>002859</stp>
        <stp>12/31/2018</stp>
        <stp>1</stp>
        <tr r="K1645" s="1"/>
      </tp>
      <tp>
        <v>0.18898982020300001</v>
        <stp/>
        <stp>EM_S_FA_ASSETSTURN</stp>
        <stp>3</stp>
        <stp>002359</stp>
        <stp>12/31/2018</stp>
        <stp>1</stp>
        <tr r="K3401" s="1"/>
      </tp>
      <tp>
        <v>0.31967926161999999</v>
        <stp/>
        <stp>EM_S_FA_ASSETSTURN</stp>
        <stp>3</stp>
        <stp>002259</stp>
        <stp>12/31/2018</stp>
        <stp>1</stp>
        <tr r="K2658" s="1"/>
      </tp>
      <tp>
        <v>0.23417598610900001</v>
        <stp/>
        <stp>EM_S_FA_ASSETSTURN</stp>
        <stp>3</stp>
        <stp>002159</stp>
        <stp>12/31/2018</stp>
        <stp>1</stp>
        <tr r="K3212" s="1"/>
      </tp>
      <tp>
        <v>0.50742213498800004</v>
        <stp/>
        <stp>EM_S_FA_ASSETSTURN</stp>
        <stp>3</stp>
        <stp>002059</stp>
        <stp>12/31/2018</stp>
        <stp>1</stp>
        <tr r="K2514" s="1"/>
      </tp>
      <tp>
        <v>0.22255358372799999</v>
        <stp/>
        <stp>EM_S_FA_ASSETSTURN</stp>
        <stp>3</stp>
        <stp>002759</stp>
        <stp>12/31/2018</stp>
        <stp>1</stp>
        <tr r="K1470" s="1"/>
      </tp>
      <tp>
        <v>6.9543035577999998E-2</v>
        <stp/>
        <stp>EM_S_FA_ASSETSTURN</stp>
        <stp>3</stp>
        <stp>002659</stp>
        <stp>12/31/2018</stp>
        <stp>1</stp>
        <tr r="K3175" s="1"/>
      </tp>
      <tp>
        <v>0.65209977180699996</v>
        <stp/>
        <stp>EM_S_FA_ASSETSTURN</stp>
        <stp>3</stp>
        <stp>002559</stp>
        <stp>12/31/2018</stp>
        <stp>1</stp>
        <tr r="K2941" s="1"/>
      </tp>
      <tp>
        <v>0.242424087845</v>
        <stp/>
        <stp>EM_S_FA_ASSETSTURN</stp>
        <stp>3</stp>
        <stp>002459</stp>
        <stp>12/31/2018</stp>
        <stp>1</stp>
        <tr r="K871" s="1"/>
      </tp>
      <tp>
        <v>3.6205022599637683E-2</v>
        <stp/>
        <stp>EM_S_RATIO_EPS_TTM</stp>
        <stp>3</stp>
        <stp>603189</stp>
        <stp>12/31/2018</stp>
        <stp>1</stp>
        <tr r="U591" s="1"/>
      </tp>
      <tp>
        <v>0.94458637367582265</v>
        <stp/>
        <stp>EM_S_RATIO_EPS_TTM</stp>
        <stp>3</stp>
        <stp>603089</stp>
        <stp>12/31/2018</stp>
        <stp>1</stp>
        <tr r="U2683" s="1"/>
      </tp>
      <tp>
        <v>-0.39326347506393861</v>
        <stp/>
        <stp>EM_S_RATIO_EPS_TTM</stp>
        <stp>3</stp>
        <stp>603389</stp>
        <stp>12/31/2018</stp>
        <stp>1</stp>
        <tr r="U3343" s="1"/>
      </tp>
      <tp>
        <v>0.37737850320634286</v>
        <stp/>
        <stp>EM_S_RATIO_EPS_TTM</stp>
        <stp>3</stp>
        <stp>603289</stp>
        <stp>12/31/2018</stp>
        <stp>1</stp>
        <tr r="U1451" s="1"/>
      </tp>
      <tp>
        <v>2.5544392245999998</v>
        <stp/>
        <stp>EM_S_RATIO_EPS_TTM</stp>
        <stp>3</stp>
        <stp>603589</stp>
        <stp>12/31/2018</stp>
        <stp>1</stp>
        <tr r="U454" s="1"/>
      </tp>
      <tp>
        <v>-0.22518812584615383</v>
        <stp/>
        <stp>EM_S_RATIO_EPS_TTM</stp>
        <stp>3</stp>
        <stp>603789</stp>
        <stp>12/31/2018</stp>
        <stp>1</stp>
        <tr r="U1413" s="1"/>
      </tp>
      <tp>
        <v>0.5249682295238095</v>
        <stp/>
        <stp>EM_S_RATIO_EPS_TTM</stp>
        <stp>3</stp>
        <stp>603689</stp>
        <stp>12/31/2018</stp>
        <stp>1</stp>
        <tr r="U2038" s="1"/>
      </tp>
      <tp>
        <v>0.76587298252354807</v>
        <stp/>
        <stp>EM_S_RATIO_EPS_TTM</stp>
        <stp>3</stp>
        <stp>603989</stp>
        <stp>12/31/2018</stp>
        <stp>1</stp>
        <tr r="U1726" s="1"/>
      </tp>
      <tp>
        <v>0.50641415130112133</v>
        <stp/>
        <stp>EM_S_RATIO_EPS_TTM</stp>
        <stp>3</stp>
        <stp>603889</stp>
        <stp>12/31/2018</stp>
        <stp>1</stp>
        <tr r="U3265" s="1"/>
      </tp>
      <tp>
        <v>0.22493021665232357</v>
        <stp/>
        <stp>EM_S_RATIO_EPS_TTM</stp>
        <stp>3</stp>
        <stp>601789</stp>
        <stp>12/31/2018</stp>
        <stp>1</stp>
        <tr r="U1262" s="1"/>
      </tp>
      <tp>
        <v>1.0353754006454936</v>
        <stp/>
        <stp>EM_S_RATIO_EPS_TTM</stp>
        <stp>3</stp>
        <stp>601689</stp>
        <stp>12/31/2018</stp>
        <stp>1</stp>
        <tr r="U1375" s="1"/>
      </tp>
      <tp>
        <v>2.9403815493648601E-2</v>
        <stp/>
        <stp>EM_S_RATIO_EPS_TTM</stp>
        <stp>3</stp>
        <stp>601989</stp>
        <stp>12/31/2018</stp>
        <stp>1</stp>
        <tr r="U1155" s="1"/>
      </tp>
      <tp>
        <v>5.8557315714106134E-2</v>
        <stp/>
        <stp>EM_S_RATIO_EPS_TTM</stp>
        <stp>3</stp>
        <stp>600189</stp>
        <stp>12/31/2018</stp>
        <stp>1</stp>
        <tr r="U2168" s="1"/>
      </tp>
      <tp>
        <v>0.55132795635383758</v>
        <stp/>
        <stp>EM_S_RATIO_EPS_TTM</stp>
        <stp>3</stp>
        <stp>600089</stp>
        <stp>12/31/2018</stp>
        <stp>1</stp>
        <tr r="U2447" s="1"/>
      </tp>
      <tp>
        <v>1.3201999262962965</v>
        <stp/>
        <stp>EM_S_RATIO_EPS_TTM</stp>
        <stp>3</stp>
        <stp>600389</stp>
        <stp>12/31/2018</stp>
        <stp>1</stp>
        <tr r="U1130" s="1"/>
      </tp>
      <tp>
        <v>-2.3365667444472003</v>
        <stp/>
        <stp>EM_S_RATIO_EPS_TTM</stp>
        <stp>3</stp>
        <stp>600289</stp>
        <stp>12/31/2018</stp>
        <stp>1</stp>
        <tr r="U840" s="1"/>
      </tp>
      <tp>
        <v>0.21789565885497408</v>
        <stp/>
        <stp>EM_S_RATIO_EPS_TTM</stp>
        <stp>3</stp>
        <stp>600589</stp>
        <stp>12/31/2018</stp>
        <stp>1</stp>
        <tr r="U818" s="1"/>
      </tp>
      <tp>
        <v>5.6777804488490305E-2</v>
        <stp/>
        <stp>EM_S_RATIO_EPS_TTM</stp>
        <stp>3</stp>
        <stp>600489</stp>
        <stp>12/31/2018</stp>
        <stp>1</stp>
        <tr r="U2454" s="1"/>
      </tp>
      <tp>
        <v>0.23834988764344572</v>
        <stp/>
        <stp>EM_S_RATIO_EPS_TTM</stp>
        <stp>3</stp>
        <stp>600789</stp>
        <stp>12/31/2018</stp>
        <stp>1</stp>
        <tr r="U2875" s="1"/>
      </tp>
      <tp>
        <v>5.3469749789173758E-2</v>
        <stp/>
        <stp>EM_S_RATIO_EPS_TTM</stp>
        <stp>3</stp>
        <stp>600689</stp>
        <stp>12/31/2018</stp>
        <stp>1</stp>
        <tr r="U2646" s="1"/>
      </tp>
      <tp>
        <v>1.6943426707445235E-2</v>
        <stp/>
        <stp>EM_S_RATIO_EPS_TTM</stp>
        <stp>3</stp>
        <stp>600889</stp>
        <stp>12/31/2018</stp>
        <stp>1</stp>
        <tr r="U2344" s="1"/>
      </tp>
      <tp>
        <v>0.28048468835069446</v>
        <stp/>
        <stp>EM_S_RATIO_EPS_TTM</stp>
        <stp>3</stp>
        <stp>603188</stp>
        <stp>12/31/2018</stp>
        <stp>1</stp>
        <tr r="U2816" s="1"/>
      </tp>
      <tp>
        <v>0.36091587544642856</v>
        <stp/>
        <stp>EM_S_RATIO_EPS_TTM</stp>
        <stp>3</stp>
        <stp>603088</stp>
        <stp>12/31/2018</stp>
        <stp>1</stp>
        <tr r="U3087" s="1"/>
      </tp>
      <tp>
        <v>0.65567222017726556</v>
        <stp/>
        <stp>EM_S_RATIO_EPS_TTM</stp>
        <stp>3</stp>
        <stp>603388</stp>
        <stp>12/31/2018</stp>
        <stp>1</stp>
        <tr r="U3051" s="1"/>
      </tp>
      <tp>
        <v>1.6163763094273615</v>
        <stp/>
        <stp>EM_S_RATIO_EPS_TTM</stp>
        <stp>3</stp>
        <stp>603288</stp>
        <stp>12/31/2018</stp>
        <stp>1</stp>
        <tr r="U469" s="1"/>
      </tp>
      <tp>
        <v>0.49146390891345315</v>
        <stp/>
        <stp>EM_S_RATIO_EPS_TTM</stp>
        <stp>3</stp>
        <stp>603588</stp>
        <stp>12/31/2018</stp>
        <stp>1</stp>
        <tr r="U1304" s="1"/>
      </tp>
      <tp>
        <v>0.35420611129457596</v>
        <stp/>
        <stp>EM_S_RATIO_EPS_TTM</stp>
        <stp>3</stp>
        <stp>603488</stp>
        <stp>12/31/2018</stp>
        <stp>1</stp>
        <tr r="U1208" s="1"/>
      </tp>
      <tp>
        <v>0.93483279250338691</v>
        <stp/>
        <stp>EM_S_RATIO_EPS_TTM</stp>
        <stp>3</stp>
        <stp>603788</stp>
        <stp>12/31/2018</stp>
        <stp>1</stp>
        <tr r="U1735" s="1"/>
      </tp>
      <tp>
        <v>0.42203600190455526</v>
        <stp/>
        <stp>EM_S_RATIO_EPS_TTM</stp>
        <stp>3</stp>
        <stp>603688</stp>
        <stp>12/31/2018</stp>
        <stp>1</stp>
        <tr r="U342" s="1"/>
      </tp>
      <tp>
        <v>0.20505556900510202</v>
        <stp/>
        <stp>EM_S_RATIO_EPS_TTM</stp>
        <stp>3</stp>
        <stp>603988</stp>
        <stp>12/31/2018</stp>
        <stp>1</stp>
        <tr r="U2544" s="1"/>
      </tp>
      <tp>
        <v>0.54928790411779405</v>
        <stp/>
        <stp>EM_S_RATIO_EPS_TTM</stp>
        <stp>3</stp>
        <stp>603888</stp>
        <stp>12/31/2018</stp>
        <stp>1</stp>
        <tr r="U402" s="1"/>
      </tp>
      <tp>
        <v>0.22943286395382756</v>
        <stp/>
        <stp>EM_S_RATIO_EPS_TTM</stp>
        <stp>3</stp>
        <stp>601188</stp>
        <stp>12/31/2018</stp>
        <stp>1</stp>
        <tr r="U2146" s="1"/>
      </tp>
      <tp>
        <v>2.2055222269951558</v>
        <stp/>
        <stp>EM_S_RATIO_EPS_TTM</stp>
        <stp>3</stp>
        <stp>601088</stp>
        <stp>12/31/2018</stp>
        <stp>1</stp>
        <tr r="U2181" s="1"/>
      </tp>
      <tp>
        <v>4.8149978838747901E-2</v>
        <stp/>
        <stp>EM_S_RATIO_EPS_TTM</stp>
        <stp>3</stp>
        <stp>601388</stp>
        <stp>12/31/2018</stp>
        <stp>1</stp>
        <tr r="U2423" s="1"/>
      </tp>
      <tp>
        <v>0.5794080866033775</v>
        <stp/>
        <stp>EM_S_RATIO_EPS_TTM</stp>
        <stp>3</stp>
        <stp>601288</stp>
        <stp>12/31/2018</stp>
        <stp>1</stp>
        <tr r="U2090" s="1"/>
      </tp>
      <tp>
        <v>0.35328321839490112</v>
        <stp/>
        <stp>EM_S_RATIO_EPS_TTM</stp>
        <stp>3</stp>
        <stp>601588</stp>
        <stp>12/31/2018</stp>
        <stp>1</stp>
        <tr r="U1361" s="1"/>
      </tp>
      <tp>
        <v>2.2408939189923077E-2</v>
        <stp/>
        <stp>EM_S_RATIO_EPS_TTM</stp>
        <stp>3</stp>
        <stp>601788</stp>
        <stp>12/31/2018</stp>
        <stp>1</stp>
        <tr r="U576" s="1"/>
      </tp>
      <tp>
        <v>0.60991791828152453</v>
        <stp/>
        <stp>EM_S_RATIO_EPS_TTM</stp>
        <stp>3</stp>
        <stp>601688</stp>
        <stp>12/31/2018</stp>
        <stp>1</stp>
        <tr r="U1013" s="1"/>
      </tp>
      <tp>
        <v>0.61173053148991818</v>
        <stp/>
        <stp>EM_S_RATIO_EPS_TTM</stp>
        <stp>3</stp>
        <stp>601988</stp>
        <stp>12/31/2018</stp>
        <stp>1</stp>
        <tr r="U2120" s="1"/>
      </tp>
      <tp>
        <v>1.5850381614050064</v>
        <stp/>
        <stp>EM_S_RATIO_EPS_TTM</stp>
        <stp>3</stp>
        <stp>601888</stp>
        <stp>12/31/2018</stp>
        <stp>1</stp>
        <tr r="U601" s="1"/>
      </tp>
      <tp>
        <v>1.6101136478382807</v>
        <stp/>
        <stp>EM_S_RATIO_EPS_TTM</stp>
        <stp>3</stp>
        <stp>600188</stp>
        <stp>12/31/2018</stp>
        <stp>1</stp>
        <tr r="U1329" s="1"/>
      </tp>
      <tp>
        <v>0.2879520654683958</v>
        <stp/>
        <stp>EM_S_RATIO_EPS_TTM</stp>
        <stp>3</stp>
        <stp>600088</stp>
        <stp>12/31/2018</stp>
        <stp>1</stp>
        <tr r="U412" s="1"/>
      </tp>
      <tp>
        <v>0.74946657031008845</v>
        <stp/>
        <stp>EM_S_RATIO_EPS_TTM</stp>
        <stp>3</stp>
        <stp>600388</stp>
        <stp>12/31/2018</stp>
        <stp>1</stp>
        <tr r="U2538" s="1"/>
      </tp>
      <tp>
        <v>0.11594486680402931</v>
        <stp/>
        <stp>EM_S_RATIO_EPS_TTM</stp>
        <stp>3</stp>
        <stp>600288</stp>
        <stp>12/31/2018</stp>
        <stp>1</stp>
        <tr r="U324" s="1"/>
      </tp>
      <tp>
        <v>0.31917818099337203</v>
        <stp/>
        <stp>EM_S_RATIO_EPS_TTM</stp>
        <stp>3</stp>
        <stp>600588</stp>
        <stp>12/31/2018</stp>
        <stp>1</stp>
        <tr r="U868" s="1"/>
      </tp>
      <tp>
        <v>0.14053688287506172</v>
        <stp/>
        <stp>EM_S_RATIO_EPS_TTM</stp>
        <stp>3</stp>
        <stp>600488</stp>
        <stp>12/31/2018</stp>
        <stp>1</stp>
        <tr r="U1787" s="1"/>
      </tp>
      <tp>
        <v>-2.8015554745770429E-3</v>
        <stp/>
        <stp>EM_S_RATIO_EPS_TTM</stp>
        <stp>3</stp>
        <stp>600788</stp>
        <stp>12/31/2018</stp>
        <stp>1</stp>
        <tr r="U2323" s="1"/>
      </tp>
      <tp>
        <v>0.48755330087681203</v>
        <stp/>
        <stp>EM_S_RATIO_EPS_TTM</stp>
        <stp>3</stp>
        <stp>600688</stp>
        <stp>12/31/2018</stp>
        <stp>1</stp>
        <tr r="U3114" s="1"/>
      </tp>
      <tp>
        <v>-9.3276101592108709E-2</v>
        <stp/>
        <stp>EM_S_RATIO_EPS_TTM</stp>
        <stp>3</stp>
        <stp>600988</stp>
        <stp>12/31/2018</stp>
        <stp>1</stp>
        <tr r="U1255" s="1"/>
      </tp>
      <tp>
        <v>0.21046895346501351</v>
        <stp/>
        <stp>EM_S_RATIO_EPS_TTM</stp>
        <stp>3</stp>
        <stp>600888</stp>
        <stp>12/31/2018</stp>
        <stp>1</stp>
        <tr r="U1734" s="1"/>
      </tp>
      <tp>
        <v>0.50601955619700001</v>
        <stp/>
        <stp>EM_S_FA_ASSETSTURN</stp>
        <stp>3</stp>
        <stp>000952</stp>
        <stp>12/31/2018</stp>
        <stp>1</stp>
        <tr r="K2593" s="1"/>
      </tp>
      <tp>
        <v>0.66320210317499995</v>
        <stp/>
        <stp>EM_S_FA_ASSETSTURN</stp>
        <stp>3</stp>
        <stp>000852</stp>
        <stp>12/31/2018</stp>
        <stp>1</stp>
        <tr r="K2811" s="1"/>
      </tp>
      <tp>
        <v>0</v>
        <stp/>
        <stp>EM_S_FA_ASSETSTURN</stp>
        <stp>3</stp>
        <stp>600832</stp>
        <stp>12/31/2018</stp>
        <stp>1</stp>
        <tr r="K2328" s="1"/>
      </tp>
      <tp>
        <v>6.7975708832000006E-2</v>
        <stp/>
        <stp>EM_S_FA_ASSETSTURN</stp>
        <stp>3</stp>
        <stp>300362</stp>
        <stp>12/31/2018</stp>
        <stp>1</stp>
        <tr r="K3359" s="1"/>
      </tp>
      <tp>
        <v>1.0585333382140001</v>
        <stp/>
        <stp>EM_S_FA_ASSETSTURN</stp>
        <stp>3</stp>
        <stp>600332</stp>
        <stp>12/31/2018</stp>
        <stp>1</stp>
        <tr r="K2596" s="1"/>
      </tp>
      <tp>
        <v>0.22525158525899999</v>
        <stp/>
        <stp>EM_S_FA_ASSETSTURN</stp>
        <stp>3</stp>
        <stp>300262</stp>
        <stp>12/31/2018</stp>
        <stp>1</stp>
        <tr r="K2823" s="1"/>
      </tp>
      <tp>
        <v>0.67876326314900004</v>
        <stp/>
        <stp>EM_S_FA_ASSETSTURN</stp>
        <stp>3</stp>
        <stp>600232</stp>
        <stp>12/31/2018</stp>
        <stp>1</stp>
        <tr r="K942" s="1"/>
      </tp>
      <tp>
        <v>0.53917534300100001</v>
        <stp/>
        <stp>EM_S_FA_ASSETSTURN</stp>
        <stp>3</stp>
        <stp>300162</stp>
        <stp>12/31/2018</stp>
        <stp>1</stp>
        <tr r="K194" s="1"/>
      </tp>
      <tp>
        <v>1.019232668785</v>
        <stp/>
        <stp>EM_S_FA_ASSETSTURN</stp>
        <stp>3</stp>
        <stp>600132</stp>
        <stp>12/31/2018</stp>
        <stp>1</stp>
        <tr r="K313" s="1"/>
      </tp>
      <tp>
        <v>0.468964126546</v>
        <stp/>
        <stp>EM_S_FA_ASSETSTURN</stp>
        <stp>3</stp>
        <stp>300062</stp>
        <stp>12/31/2018</stp>
        <stp>1</stp>
        <tr r="K1772" s="1"/>
      </tp>
      <tp>
        <v>0.24837496793700001</v>
        <stp/>
        <stp>EM_S_FA_ASSETSTURN</stp>
        <stp>3</stp>
        <stp>000752</stp>
        <stp>12/31/2018</stp>
        <stp>1</stp>
        <tr r="K3527" s="1"/>
      </tp>
      <tp>
        <v>0.28003991618599999</v>
        <stp/>
        <stp>EM_S_FA_ASSETSTURN</stp>
        <stp>3</stp>
        <stp>600732</stp>
        <stp>12/31/2018</stp>
        <stp>1</stp>
        <tr r="K281" s="1"/>
      </tp>
      <tp>
        <v>0.57045388048699996</v>
        <stp/>
        <stp>EM_S_FA_ASSETSTURN</stp>
        <stp>3</stp>
        <stp>000652</stp>
        <stp>12/31/2018</stp>
        <stp>1</stp>
        <tr r="K1224" s="1"/>
      </tp>
      <tp>
        <v>1.9094034403789999</v>
        <stp/>
        <stp>EM_S_FA_ASSETSTURN</stp>
        <stp>3</stp>
        <stp>300662</stp>
        <stp>12/31/2018</stp>
        <stp>1</stp>
        <tr r="K1399" s="1"/>
      </tp>
      <tp>
        <v>0</v>
        <stp/>
        <stp>EM_S_FA_ASSETSTURN</stp>
        <stp>3</stp>
        <stp>600632</stp>
        <stp>12/31/2018</stp>
        <stp>1</stp>
        <tr r="K2310" s="1"/>
      </tp>
      <tp>
        <v>0.41042034705699998</v>
        <stp/>
        <stp>EM_S_FA_ASSETSTURN</stp>
        <stp>3</stp>
        <stp>000552</stp>
        <stp>12/31/2018</stp>
        <stp>1</stp>
        <tr r="K2352" s="1"/>
      </tp>
      <tp>
        <v>0.94906254996799999</v>
        <stp/>
        <stp>EM_S_FA_ASSETSTURN</stp>
        <stp>3</stp>
        <stp>300562</stp>
        <stp>12/31/2018</stp>
        <stp>1</stp>
        <tr r="K550" s="1"/>
      </tp>
      <tp>
        <v>0.88894506285800001</v>
        <stp/>
        <stp>EM_S_FA_ASSETSTURN</stp>
        <stp>3</stp>
        <stp>600532</stp>
        <stp>12/31/2018</stp>
        <stp>1</stp>
        <tr r="K2419" s="1"/>
      </tp>
      <tp>
        <v>0.30808143008799999</v>
        <stp/>
        <stp>EM_S_FA_ASSETSTURN</stp>
        <stp>3</stp>
        <stp>300462</stp>
        <stp>12/31/2018</stp>
        <stp>1</stp>
        <tr r="K369" s="1"/>
      </tp>
      <tp>
        <v>0.29988809644999997</v>
        <stp/>
        <stp>EM_S_FA_ASSETSTURN</stp>
        <stp>3</stp>
        <stp>600432</stp>
        <stp>12/31/2018</stp>
        <stp>1</stp>
        <tr r="K2302" s="1"/>
      </tp>
      <tp>
        <v>0.445295759929</v>
        <stp/>
        <stp>EM_S_FA_ASSETSTURN</stp>
        <stp>3</stp>
        <stp>603232</stp>
        <stp>12/31/2018</stp>
        <stp>1</stp>
        <tr r="K680" s="1"/>
      </tp>
      <tp>
        <v>0.26392916648199999</v>
        <stp/>
        <stp>EM_S_FA_ASSETSTURN</stp>
        <stp>3</stp>
        <stp>603032</stp>
        <stp>12/31/2018</stp>
        <stp>1</stp>
        <tr r="K3116" s="1"/>
      </tp>
      <tp>
        <v>1.331907877595</v>
        <stp/>
        <stp>EM_S_FA_ASSETSTURN</stp>
        <stp>3</stp>
        <stp>002852</stp>
        <stp>12/31/2018</stp>
        <stp>1</stp>
        <tr r="K1784" s="1"/>
      </tp>
      <tp>
        <v>1.4069678120239999</v>
        <stp/>
        <stp>EM_S_FA_ASSETSTURN</stp>
        <stp>3</stp>
        <stp>002352</stp>
        <stp>12/31/2018</stp>
        <stp>1</stp>
        <tr r="K1475" s="1"/>
      </tp>
      <tp>
        <v>0.13963176454199999</v>
        <stp/>
        <stp>EM_S_FA_ASSETSTURN</stp>
        <stp>3</stp>
        <stp>002252</stp>
        <stp>12/31/2018</stp>
        <stp>1</stp>
        <tr r="K2752" s="1"/>
      </tp>
      <tp>
        <v>0.41780951042499997</v>
        <stp/>
        <stp>EM_S_FA_ASSETSTURN</stp>
        <stp>3</stp>
        <stp>002152</stp>
        <stp>12/31/2018</stp>
        <stp>1</stp>
        <tr r="K279" s="1"/>
      </tp>
      <tp>
        <v>0.47892943975800001</v>
        <stp/>
        <stp>EM_S_FA_ASSETSTURN</stp>
        <stp>3</stp>
        <stp>002052</stp>
        <stp>12/31/2018</stp>
        <stp>1</stp>
        <tr r="K3618" s="1"/>
      </tp>
      <tp>
        <v>0.60605184493399999</v>
        <stp/>
        <stp>EM_S_FA_ASSETSTURN</stp>
        <stp>3</stp>
        <stp>002752</stp>
        <stp>12/31/2018</stp>
        <stp>1</stp>
        <tr r="K2953" s="1"/>
      </tp>
      <tp>
        <v>0.98101741028900002</v>
        <stp/>
        <stp>EM_S_FA_ASSETSTURN</stp>
        <stp>3</stp>
        <stp>002652</stp>
        <stp>12/31/2018</stp>
        <stp>1</stp>
        <tr r="K2182" s="1"/>
      </tp>
      <tp>
        <v>0.37211606228499999</v>
        <stp/>
        <stp>EM_S_FA_ASSETSTURN</stp>
        <stp>3</stp>
        <stp>002552</stp>
        <stp>12/31/2018</stp>
        <stp>1</stp>
        <tr r="K17" s="1"/>
      </tp>
      <tp>
        <v>0.39559647258500003</v>
        <stp/>
        <stp>EM_S_FA_ASSETSTURN</stp>
        <stp>3</stp>
        <stp>002452</stp>
        <stp>12/31/2018</stp>
        <stp>1</stp>
        <tr r="K763" s="1"/>
      </tp>
      <tp>
        <v>0.12559347659908413</v>
        <stp/>
        <stp>EM_S_RATIO_EPS_TTM</stp>
        <stp>3</stp>
        <stp>603085</stp>
        <stp>12/31/2018</stp>
        <stp>1</stp>
        <tr r="U1947" s="1"/>
      </tp>
      <tp>
        <v>0.6465280460036047</v>
        <stp/>
        <stp>EM_S_RATIO_EPS_TTM</stp>
        <stp>3</stp>
        <stp>603385</stp>
        <stp>12/31/2018</stp>
        <stp>1</stp>
        <tr r="U711" s="1"/>
      </tp>
      <tp>
        <v>1.7339125415555556</v>
        <stp/>
        <stp>EM_S_RATIO_EPS_TTM</stp>
        <stp>3</stp>
        <stp>603585</stp>
        <stp>12/31/2018</stp>
        <stp>1</stp>
        <tr r="U2125" s="1"/>
      </tp>
      <tp>
        <v>0.80405060938461537</v>
        <stp/>
        <stp>EM_S_RATIO_EPS_TTM</stp>
        <stp>3</stp>
        <stp>603685</stp>
        <stp>12/31/2018</stp>
        <stp>1</stp>
        <tr r="U2615" s="1"/>
      </tp>
      <tp>
        <v>1.2001857917307692</v>
        <stp/>
        <stp>EM_S_RATIO_EPS_TTM</stp>
        <stp>3</stp>
        <stp>603985</stp>
        <stp>12/31/2018</stp>
        <stp>1</stp>
        <tr r="U3160" s="1"/>
      </tp>
      <tp>
        <v>0.68609787952080004</v>
        <stp/>
        <stp>EM_S_RATIO_EPS_TTM</stp>
        <stp>3</stp>
        <stp>603885</stp>
        <stp>12/31/2018</stp>
        <stp>1</stp>
        <tr r="U1184" s="1"/>
      </tp>
      <tp>
        <v>0.30431943266713479</v>
        <stp/>
        <stp>EM_S_RATIO_EPS_TTM</stp>
        <stp>3</stp>
        <stp>601985</stp>
        <stp>12/31/2018</stp>
        <stp>1</stp>
        <tr r="U2565" s="1"/>
      </tp>
      <tp>
        <v>0.24883437657031082</v>
        <stp/>
        <stp>EM_S_RATIO_EPS_TTM</stp>
        <stp>3</stp>
        <stp>600185</stp>
        <stp>12/31/2018</stp>
        <stp>1</stp>
        <tr r="U1239" s="1"/>
      </tp>
      <tp>
        <v>0.82705682984032491</v>
        <stp/>
        <stp>EM_S_RATIO_EPS_TTM</stp>
        <stp>3</stp>
        <stp>600085</stp>
        <stp>12/31/2018</stp>
        <stp>1</stp>
        <tr r="U2188" s="1"/>
      </tp>
      <tp>
        <v>-6.8597606983830384E-2</v>
        <stp/>
        <stp>EM_S_RATIO_EPS_TTM</stp>
        <stp>3</stp>
        <stp>600385</stp>
        <stp>12/31/2018</stp>
        <stp>1</stp>
        <tr r="U3030" s="1"/>
      </tp>
      <tp>
        <v>0.41480807537652142</v>
        <stp/>
        <stp>EM_S_RATIO_EPS_TTM</stp>
        <stp>3</stp>
        <stp>600285</stp>
        <stp>12/31/2018</stp>
        <stp>1</stp>
        <tr r="U1003" s="1"/>
      </tp>
      <tp>
        <v>5.6260770893037169</v>
        <stp/>
        <stp>EM_S_RATIO_EPS_TTM</stp>
        <stp>3</stp>
        <stp>600585</stp>
        <stp>12/31/2018</stp>
        <stp>1</stp>
        <tr r="U248" s="1"/>
      </tp>
      <tp>
        <v>-0.99129854823528729</v>
        <stp/>
        <stp>EM_S_RATIO_EPS_TTM</stp>
        <stp>3</stp>
        <stp>600485</stp>
        <stp>12/31/2018</stp>
        <stp>1</stp>
        <tr r="U3405" s="1"/>
      </tp>
      <tp>
        <v>0.60870432251237505</v>
        <stp/>
        <stp>EM_S_RATIO_EPS_TTM</stp>
        <stp>3</stp>
        <stp>600785</stp>
        <stp>12/31/2018</stp>
        <stp>1</stp>
        <tr r="U2709" s="1"/>
      </tp>
      <tp>
        <v>-1.3222537861657955</v>
        <stp/>
        <stp>EM_S_RATIO_EPS_TTM</stp>
        <stp>3</stp>
        <stp>600685</stp>
        <stp>12/31/2018</stp>
        <stp>1</stp>
        <tr r="U512" s="1"/>
      </tp>
      <tp>
        <v>1.6802410391626663</v>
        <stp/>
        <stp>EM_S_RATIO_EPS_TTM</stp>
        <stp>3</stp>
        <stp>600985</stp>
        <stp>12/31/2018</stp>
        <stp>1</stp>
        <tr r="U1841" s="1"/>
      </tp>
      <tp>
        <v>0.9383490878030718</v>
        <stp/>
        <stp>EM_S_RATIO_EPS_TTM</stp>
        <stp>3</stp>
        <stp>600885</stp>
        <stp>12/31/2018</stp>
        <stp>1</stp>
        <tr r="U497" s="1"/>
      </tp>
      <tp>
        <v>1.9453554110710001</v>
        <stp/>
        <stp>EM_S_FA_ASSETSTURN</stp>
        <stp>3</stp>
        <stp>601933</stp>
        <stp>12/31/2018</stp>
        <stp>1</stp>
        <tr r="K2507" s="1"/>
      </tp>
      <tp>
        <v>0.57144163607300003</v>
        <stp/>
        <stp>EM_S_FA_ASSETSTURN</stp>
        <stp>3</stp>
        <stp>601333</stp>
        <stp>12/31/2018</stp>
        <stp>1</stp>
        <tr r="K2471" s="1"/>
      </tp>
      <tp>
        <v>1.359092449851</v>
        <stp/>
        <stp>EM_S_FA_ASSETSTURN</stp>
        <stp>3</stp>
        <stp>601233</stp>
        <stp>12/31/2018</stp>
        <stp>1</stp>
        <tr r="K521" s="1"/>
      </tp>
      <tp>
        <v>0.89256676023799997</v>
        <stp/>
        <stp>EM_S_FA_ASSETSTURN</stp>
        <stp>3</stp>
        <stp>601633</stp>
        <stp>12/31/2018</stp>
        <stp>1</stp>
        <tr r="K446" s="1"/>
      </tp>
      <tp>
        <v>0.38356477402400002</v>
        <stp/>
        <stp>EM_S_FA_ASSETSTURN</stp>
        <stp>3</stp>
        <stp>000953</stp>
        <stp>12/31/2018</stp>
        <stp>1</stp>
        <tr r="K3584" s="1"/>
      </tp>
      <tp>
        <v>0.53744921883999996</v>
        <stp/>
        <stp>EM_S_FA_ASSETSTURN</stp>
        <stp>3</stp>
        <stp>600933</stp>
        <stp>12/31/2018</stp>
        <stp>1</stp>
        <tr r="K256" s="1"/>
      </tp>
      <tp>
        <v>1.062243766858</v>
        <stp/>
        <stp>EM_S_FA_ASSETSTURN</stp>
        <stp>3</stp>
        <stp>600833</stp>
        <stp>12/31/2018</stp>
        <stp>1</stp>
        <tr r="K2110" s="1"/>
      </tp>
      <tp>
        <v>0.32810305118900002</v>
        <stp/>
        <stp>EM_S_FA_ASSETSTURN</stp>
        <stp>3</stp>
        <stp>300363</stp>
        <stp>12/31/2018</stp>
        <stp>1</stp>
        <tr r="K577" s="1"/>
      </tp>
      <tp>
        <v>0.28436266705899998</v>
        <stp/>
        <stp>EM_S_FA_ASSETSTURN</stp>
        <stp>3</stp>
        <stp>600333</stp>
        <stp>12/31/2018</stp>
        <stp>1</stp>
        <tr r="K2670" s="1"/>
      </tp>
      <tp>
        <v>0.39797912566100002</v>
        <stp/>
        <stp>EM_S_FA_ASSETSTURN</stp>
        <stp>3</stp>
        <stp>300263</stp>
        <stp>12/31/2018</stp>
        <stp>1</stp>
        <tr r="K837" s="1"/>
      </tp>
      <tp>
        <v>1.610306456043</v>
        <stp/>
        <stp>EM_S_FA_ASSETSTURN</stp>
        <stp>3</stp>
        <stp>600233</stp>
        <stp>12/31/2018</stp>
        <stp>1</stp>
        <tr r="K1032" s="1"/>
      </tp>
      <tp>
        <v>1.04347134841</v>
        <stp/>
        <stp>EM_S_FA_ASSETSTURN</stp>
        <stp>3</stp>
        <stp>000153</stp>
        <stp>12/31/2018</stp>
        <stp>1</stp>
        <tr r="K917" s="1"/>
      </tp>
      <tp>
        <v>0.61837883840100005</v>
        <stp/>
        <stp>EM_S_FA_ASSETSTURN</stp>
        <stp>3</stp>
        <stp>300163</stp>
        <stp>12/31/2018</stp>
        <stp>1</stp>
        <tr r="K1700" s="1"/>
      </tp>
      <tp>
        <v>0.374120038514</v>
        <stp/>
        <stp>EM_S_FA_ASSETSTURN</stp>
        <stp>3</stp>
        <stp>600133</stp>
        <stp>12/31/2018</stp>
        <stp>1</stp>
        <tr r="K2928" s="1"/>
      </tp>
      <tp>
        <v>2.628236075117</v>
        <stp/>
        <stp>EM_S_FA_ASSETSTURN</stp>
        <stp>3</stp>
        <stp>300063</stp>
        <stp>12/31/2018</stp>
        <stp>1</stp>
        <tr r="K2700" s="1"/>
      </tp>
      <tp>
        <v>0.15243971776699999</v>
        <stp/>
        <stp>EM_S_FA_ASSETSTURN</stp>
        <stp>3</stp>
        <stp>600033</stp>
        <stp>12/31/2018</stp>
        <stp>1</stp>
        <tr r="K2105" s="1"/>
      </tp>
      <tp>
        <v>0.61182884384900005</v>
        <stp/>
        <stp>EM_S_FA_ASSETSTURN</stp>
        <stp>3</stp>
        <stp>000753</stp>
        <stp>12/31/2018</stp>
        <stp>1</stp>
        <tr r="K2257" s="1"/>
      </tp>
      <tp>
        <v>0.75259934246000004</v>
        <stp/>
        <stp>EM_S_FA_ASSETSTURN</stp>
        <stp>3</stp>
        <stp>600733</stp>
        <stp>12/31/2018</stp>
        <stp>1</stp>
        <tr r="K3186" s="1"/>
      </tp>
      <tp>
        <v>0</v>
        <stp/>
        <stp>EM_S_FA_ASSETSTURN</stp>
        <stp>3</stp>
        <stp>000653</stp>
        <stp>12/31/2018</stp>
        <stp>1</stp>
        <tr r="K3493" s="1"/>
      </tp>
      <tp>
        <v>0.59273288645300004</v>
        <stp/>
        <stp>EM_S_FA_ASSETSTURN</stp>
        <stp>3</stp>
        <stp>300663</stp>
        <stp>12/31/2018</stp>
        <stp>1</stp>
        <tr r="K224" s="1"/>
      </tp>
      <tp>
        <v>0.19188254807999999</v>
        <stp/>
        <stp>EM_S_FA_ASSETSTURN</stp>
        <stp>3</stp>
        <stp>600633</stp>
        <stp>12/31/2018</stp>
        <stp>1</stp>
        <tr r="K1476" s="1"/>
      </tp>
      <tp>
        <v>0.62152685570099997</v>
        <stp/>
        <stp>EM_S_FA_ASSETSTURN</stp>
        <stp>3</stp>
        <stp>000553</stp>
        <stp>12/31/2018</stp>
        <stp>1</stp>
        <tr r="K1907" s="1"/>
      </tp>
      <tp>
        <v>0.57980258739599999</v>
        <stp/>
        <stp>EM_S_FA_ASSETSTURN</stp>
        <stp>3</stp>
        <stp>300563</stp>
        <stp>12/31/2018</stp>
        <stp>1</stp>
        <tr r="K1534" s="1"/>
      </tp>
      <tp>
        <v>0.14791991227699999</v>
        <stp/>
        <stp>EM_S_FA_ASSETSTURN</stp>
        <stp>3</stp>
        <stp>600533</stp>
        <stp>12/31/2018</stp>
        <stp>1</stp>
        <tr r="K1535" s="1"/>
      </tp>
      <tp>
        <v>0.659807786708</v>
        <stp/>
        <stp>EM_S_FA_ASSETSTURN</stp>
        <stp>3</stp>
        <stp>300463</stp>
        <stp>12/31/2018</stp>
        <stp>1</stp>
        <tr r="K238" s="1"/>
      </tp>
      <tp>
        <v>0.65385912315799999</v>
        <stp/>
        <stp>EM_S_FA_ASSETSTURN</stp>
        <stp>3</stp>
        <stp>600433</stp>
        <stp>12/31/2018</stp>
        <stp>1</stp>
        <tr r="K2625" s="1"/>
      </tp>
      <tp>
        <v>1.280966582789</v>
        <stp/>
        <stp>EM_S_FA_ASSETSTURN</stp>
        <stp>3</stp>
        <stp>603933</stp>
        <stp>12/31/2018</stp>
        <stp>1</stp>
        <tr r="K2900" s="1"/>
      </tp>
      <tp>
        <v>1.1071580796789999</v>
        <stp/>
        <stp>EM_S_FA_ASSETSTURN</stp>
        <stp>3</stp>
        <stp>603833</stp>
        <stp>12/31/2018</stp>
        <stp>1</stp>
        <tr r="K634" s="1"/>
      </tp>
      <tp>
        <v>0.776648932495</v>
        <stp/>
        <stp>EM_S_FA_ASSETSTURN</stp>
        <stp>3</stp>
        <stp>603333</stp>
        <stp>12/31/2018</stp>
        <stp>1</stp>
        <tr r="K196" s="1"/>
      </tp>
      <tp>
        <v>1.4335641664609999</v>
        <stp/>
        <stp>EM_S_FA_ASSETSTURN</stp>
        <stp>3</stp>
        <stp>603233</stp>
        <stp>12/31/2018</stp>
        <stp>1</stp>
        <tr r="K958" s="1"/>
      </tp>
      <tp>
        <v>0.45678055400399997</v>
        <stp/>
        <stp>EM_S_FA_ASSETSTURN</stp>
        <stp>3</stp>
        <stp>603133</stp>
        <stp>12/31/2018</stp>
        <stp>1</stp>
        <tr r="K506" s="1"/>
      </tp>
      <tp>
        <v>0.67623449312999995</v>
        <stp/>
        <stp>EM_S_FA_ASSETSTURN</stp>
        <stp>3</stp>
        <stp>603033</stp>
        <stp>12/31/2018</stp>
        <stp>1</stp>
        <tr r="K2572" s="1"/>
      </tp>
      <tp>
        <v>0.78929007677399998</v>
        <stp/>
        <stp>EM_S_FA_ASSETSTURN</stp>
        <stp>3</stp>
        <stp>603733</stp>
        <stp>12/31/2018</stp>
        <stp>1</stp>
        <tr r="K2668" s="1"/>
      </tp>
      <tp>
        <v>0.369145942216</v>
        <stp/>
        <stp>EM_S_FA_ASSETSTURN</stp>
        <stp>3</stp>
        <stp>603633</stp>
        <stp>12/31/2018</stp>
        <stp>1</stp>
        <tr r="K2051" s="1"/>
      </tp>
      <tp>
        <v>1.2931647304239999</v>
        <stp/>
        <stp>EM_S_FA_ASSETSTURN</stp>
        <stp>3</stp>
        <stp>603533</stp>
        <stp>12/31/2018</stp>
        <stp>1</stp>
        <tr r="K2569" s="1"/>
      </tp>
      <tp>
        <v>0.75798682136499995</v>
        <stp/>
        <stp>EM_S_FA_ASSETSTURN</stp>
        <stp>3</stp>
        <stp>002853</stp>
        <stp>12/31/2018</stp>
        <stp>1</stp>
        <tr r="K2233" s="1"/>
      </tp>
      <tp>
        <v>0.41236543262000003</v>
        <stp/>
        <stp>EM_S_FA_ASSETSTURN</stp>
        <stp>3</stp>
        <stp>002353</stp>
        <stp>12/31/2018</stp>
        <stp>1</stp>
        <tr r="K89" s="1"/>
      </tp>
      <tp>
        <v>0.216974750863</v>
        <stp/>
        <stp>EM_S_FA_ASSETSTURN</stp>
        <stp>3</stp>
        <stp>002253</stp>
        <stp>12/31/2018</stp>
        <stp>1</stp>
        <tr r="K1773" s="1"/>
      </tp>
      <tp>
        <v>0.36407609668899998</v>
        <stp/>
        <stp>EM_S_FA_ASSETSTURN</stp>
        <stp>3</stp>
        <stp>002153</stp>
        <stp>12/31/2018</stp>
        <stp>1</stp>
        <tr r="K541" s="1"/>
      </tp>
      <tp>
        <v>0.36404642922199998</v>
        <stp/>
        <stp>EM_S_FA_ASSETSTURN</stp>
        <stp>3</stp>
        <stp>002053</stp>
        <stp>12/31/2018</stp>
        <stp>1</stp>
        <tr r="K3619" s="1"/>
      </tp>
      <tp>
        <v>1.3810429188860001</v>
        <stp/>
        <stp>EM_S_FA_ASSETSTURN</stp>
        <stp>3</stp>
        <stp>002753</stp>
        <stp>12/31/2018</stp>
        <stp>1</stp>
        <tr r="K2896" s="1"/>
      </tp>
      <tp>
        <v>0.80868236416899997</v>
        <stp/>
        <stp>EM_S_FA_ASSETSTURN</stp>
        <stp>3</stp>
        <stp>002653</stp>
        <stp>12/31/2018</stp>
        <stp>1</stp>
        <tr r="K337" s="1"/>
      </tp>
      <tp>
        <v>0.49591155746900001</v>
        <stp/>
        <stp>EM_S_FA_ASSETSTURN</stp>
        <stp>3</stp>
        <stp>002553</stp>
        <stp>12/31/2018</stp>
        <stp>1</stp>
        <tr r="K2055" s="1"/>
      </tp>
      <tp>
        <v>0.85035458588400004</v>
        <stp/>
        <stp>EM_S_FA_ASSETSTURN</stp>
        <stp>3</stp>
        <stp>002453</stp>
        <stp>12/31/2018</stp>
        <stp>1</stp>
        <tr r="K2057" s="1"/>
      </tp>
      <tp>
        <v>0.11390998828592985</v>
        <stp/>
        <stp>EM_S_RATIO_EPS_TTM</stp>
        <stp>3</stp>
        <stp>600184</stp>
        <stp>12/31/2018</stp>
        <stp>1</stp>
        <tr r="U1421" s="1"/>
      </tp>
      <tp>
        <v>-0.13993820343330238</v>
        <stp/>
        <stp>EM_S_RATIO_EPS_TTM</stp>
        <stp>3</stp>
        <stp>600084</stp>
        <stp>12/31/2018</stp>
        <stp>1</stp>
        <tr r="U2817" s="1"/>
      </tp>
      <tp>
        <v>0.46676885537425178</v>
        <stp/>
        <stp>EM_S_RATIO_EPS_TTM</stp>
        <stp>3</stp>
        <stp>600284</stp>
        <stp>12/31/2018</stp>
        <stp>1</stp>
        <tr r="U1018" s="1"/>
      </tp>
      <tp>
        <v>-0.58601922393733419</v>
        <stp/>
        <stp>EM_S_RATIO_EPS_TTM</stp>
        <stp>3</stp>
        <stp>600584</stp>
        <stp>12/31/2018</stp>
        <stp>1</stp>
        <tr r="U62" s="1"/>
      </tp>
      <tp>
        <v>0.11056768045827679</v>
        <stp/>
        <stp>EM_S_RATIO_EPS_TTM</stp>
        <stp>3</stp>
        <stp>600784</stp>
        <stp>12/31/2018</stp>
        <stp>1</stp>
        <tr r="U2018" s="1"/>
      </tp>
      <tp>
        <v>0.28759424524800303</v>
        <stp/>
        <stp>EM_S_RATIO_EPS_TTM</stp>
        <stp>3</stp>
        <stp>600684</stp>
        <stp>12/31/2018</stp>
        <stp>1</stp>
        <tr r="U2854" s="1"/>
      </tp>
      <tp>
        <v>0.18514663036769277</v>
        <stp/>
        <stp>EM_S_RATIO_EPS_TTM</stp>
        <stp>3</stp>
        <stp>600984</stp>
        <stp>12/31/2018</stp>
        <stp>1</stp>
        <tr r="U159" s="1"/>
      </tp>
      <tp>
        <v>0.99333138880054095</v>
        <stp/>
        <stp>EM_S_RATIO_EPS_TTM</stp>
        <stp>3</stp>
        <stp>600884</stp>
        <stp>12/31/2018</stp>
        <stp>1</stp>
        <tr r="U1987" s="1"/>
      </tp>
      <tp>
        <v>0.12160293552900001</v>
        <stp/>
        <stp>EM_S_FA_ASSETSTURN</stp>
        <stp>3</stp>
        <stp>601330</stp>
        <stp>12/31/2018</stp>
        <stp>1</stp>
        <tr r="K2943" s="1"/>
      </tp>
      <tp>
        <v>1.4610931845770001</v>
        <stp/>
        <stp>EM_S_FA_ASSETSTURN</stp>
        <stp>3</stp>
        <stp>000950</stp>
        <stp>12/31/2018</stp>
        <stp>1</stp>
        <tr r="K1579" s="1"/>
      </tp>
      <tp>
        <v>0.36005344392999999</v>
        <stp/>
        <stp>EM_S_FA_ASSETSTURN</stp>
        <stp>3</stp>
        <stp>000850</stp>
        <stp>12/31/2018</stp>
        <stp>1</stp>
        <tr r="K1049" s="1"/>
      </tp>
      <tp>
        <v>0.30329670697099997</v>
        <stp/>
        <stp>EM_S_FA_ASSETSTURN</stp>
        <stp>3</stp>
        <stp>600830</stp>
        <stp>12/31/2018</stp>
        <stp>1</stp>
        <tr r="K1448" s="1"/>
      </tp>
      <tp>
        <v>0.33700560112799999</v>
        <stp/>
        <stp>EM_S_FA_ASSETSTURN</stp>
        <stp>3</stp>
        <stp>300360</stp>
        <stp>12/31/2018</stp>
        <stp>1</stp>
        <tr r="K187" s="1"/>
      </tp>
      <tp>
        <v>0.458138770862</v>
        <stp/>
        <stp>EM_S_FA_ASSETSTURN</stp>
        <stp>3</stp>
        <stp>600330</stp>
        <stp>12/31/2018</stp>
        <stp>1</stp>
        <tr r="K654" s="1"/>
      </tp>
      <tp>
        <v>0.76203021516000002</v>
        <stp/>
        <stp>EM_S_FA_ASSETSTURN</stp>
        <stp>3</stp>
        <stp>300260</stp>
        <stp>12/31/2018</stp>
        <stp>1</stp>
        <tr r="K893" s="1"/>
      </tp>
      <tp>
        <v>0.98944475770100004</v>
        <stp/>
        <stp>EM_S_FA_ASSETSTURN</stp>
        <stp>3</stp>
        <stp>600230</stp>
        <stp>12/31/2018</stp>
        <stp>1</stp>
        <tr r="K3272" s="1"/>
      </tp>
      <tp>
        <v>0.27732949807500001</v>
        <stp/>
        <stp>EM_S_FA_ASSETSTURN</stp>
        <stp>3</stp>
        <stp>000150</stp>
        <stp>12/31/2018</stp>
        <stp>1</stp>
        <tr r="K3399" s="1"/>
      </tp>
      <tp>
        <v>0.72695787214200003</v>
        <stp/>
        <stp>EM_S_FA_ASSETSTURN</stp>
        <stp>3</stp>
        <stp>300160</stp>
        <stp>12/31/2018</stp>
        <stp>1</stp>
        <tr r="K1712" s="1"/>
      </tp>
      <tp>
        <v>0.576263599904</v>
        <stp/>
        <stp>EM_S_FA_ASSETSTURN</stp>
        <stp>3</stp>
        <stp>600130</stp>
        <stp>12/31/2018</stp>
        <stp>1</stp>
        <tr r="K2075" s="1"/>
      </tp>
      <tp>
        <v>0.64470477259600001</v>
        <stp/>
        <stp>EM_S_FA_ASSETSTURN</stp>
        <stp>3</stp>
        <stp>000050</stp>
        <stp>12/31/2018</stp>
        <stp>1</stp>
        <tr r="K348" s="1"/>
      </tp>
      <tp>
        <v>0</v>
        <stp/>
        <stp>EM_S_FA_ASSETSTURN</stp>
        <stp>3</stp>
        <stp>600030</stp>
        <stp>12/31/2018</stp>
        <stp>1</stp>
        <tr r="K423" s="1"/>
      </tp>
      <tp>
        <v>0</v>
        <stp/>
        <stp>EM_S_FA_ASSETSTURN</stp>
        <stp>3</stp>
        <stp>000750</stp>
        <stp>12/31/2018</stp>
        <stp>1</stp>
        <tr r="K3526" s="1"/>
      </tp>
      <tp>
        <v>3.1922175198000002E-2</v>
        <stp/>
        <stp>EM_S_FA_ASSETSTURN</stp>
        <stp>3</stp>
        <stp>600730</stp>
        <stp>12/31/2018</stp>
        <stp>1</stp>
        <tr r="K2242" s="1"/>
      </tp>
      <tp>
        <v>1.0025952726859999</v>
        <stp/>
        <stp>EM_S_FA_ASSETSTURN</stp>
        <stp>3</stp>
        <stp>000650</stp>
        <stp>12/31/2018</stp>
        <stp>1</stp>
        <tr r="K1616" s="1"/>
      </tp>
      <tp>
        <v>0.76506256719099996</v>
        <stp/>
        <stp>EM_S_FA_ASSETSTURN</stp>
        <stp>3</stp>
        <stp>300660</stp>
        <stp>12/31/2018</stp>
        <stp>1</stp>
        <tr r="K2965" s="1"/>
      </tp>
      <tp>
        <v>1.5391658273519999</v>
        <stp/>
        <stp>EM_S_FA_ASSETSTURN</stp>
        <stp>3</stp>
        <stp>600630</stp>
        <stp>12/31/2018</stp>
        <stp>1</stp>
        <tr r="K2003" s="1"/>
      </tp>
      <tp>
        <v>1.1349608265690001</v>
        <stp/>
        <stp>EM_S_FA_ASSETSTURN</stp>
        <stp>3</stp>
        <stp>000550</stp>
        <stp>12/31/2018</stp>
        <stp>1</stp>
        <tr r="K3452" s="1"/>
      </tp>
      <tp>
        <v>0.66852034169499996</v>
        <stp/>
        <stp>EM_S_FA_ASSETSTURN</stp>
        <stp>3</stp>
        <stp>300560</stp>
        <stp>12/31/2018</stp>
        <stp>1</stp>
        <tr r="K3115" s="1"/>
      </tp>
      <tp>
        <v>0.14078992877999999</v>
        <stp/>
        <stp>EM_S_FA_ASSETSTURN</stp>
        <stp>3</stp>
        <stp>600530</stp>
        <stp>12/31/2018</stp>
        <stp>1</stp>
        <tr r="K1765" s="1"/>
      </tp>
      <tp>
        <v>0.30292799634399997</v>
        <stp/>
        <stp>EM_S_FA_ASSETSTURN</stp>
        <stp>3</stp>
        <stp>300460</stp>
        <stp>12/31/2018</stp>
        <stp>1</stp>
        <tr r="K170" s="1"/>
      </tp>
      <tp>
        <v>0.622544964895</v>
        <stp/>
        <stp>EM_S_FA_ASSETSTURN</stp>
        <stp>3</stp>
        <stp>603330</stp>
        <stp>12/31/2018</stp>
        <stp>1</stp>
        <tr r="K3151" s="1"/>
      </tp>
      <tp>
        <v>0.97143627691400003</v>
        <stp/>
        <stp>EM_S_FA_ASSETSTURN</stp>
        <stp>3</stp>
        <stp>603030</stp>
        <stp>12/31/2018</stp>
        <stp>1</stp>
        <tr r="K1545" s="1"/>
      </tp>
      <tp>
        <v>0.95494470694699995</v>
        <stp/>
        <stp>EM_S_FA_ASSETSTURN</stp>
        <stp>3</stp>
        <stp>603730</stp>
        <stp>12/31/2018</stp>
        <stp>1</stp>
        <tr r="K677" s="1"/>
      </tp>
      <tp>
        <v>0.497471860017</v>
        <stp/>
        <stp>EM_S_FA_ASSETSTURN</stp>
        <stp>3</stp>
        <stp>603630</stp>
        <stp>12/31/2018</stp>
        <stp>1</stp>
        <tr r="K2235" s="1"/>
      </tp>
      <tp>
        <v>0.60916804476499997</v>
        <stp/>
        <stp>EM_S_FA_ASSETSTURN</stp>
        <stp>3</stp>
        <stp>002850</stp>
        <stp>12/31/2018</stp>
        <stp>1</stp>
        <tr r="K87" s="1"/>
      </tp>
      <tp>
        <v>0.78619992468800004</v>
        <stp/>
        <stp>EM_S_FA_ASSETSTURN</stp>
        <stp>3</stp>
        <stp>002350</stp>
        <stp>12/31/2018</stp>
        <stp>1</stp>
        <tr r="K2684" s="1"/>
      </tp>
      <tp>
        <v>0.47625611612899998</v>
        <stp/>
        <stp>EM_S_FA_ASSETSTURN</stp>
        <stp>3</stp>
        <stp>002250</stp>
        <stp>12/31/2018</stp>
        <stp>1</stp>
        <tr r="K271" s="1"/>
      </tp>
      <tp>
        <v>0.89208987595699996</v>
        <stp/>
        <stp>EM_S_FA_ASSETSTURN</stp>
        <stp>3</stp>
        <stp>002150</stp>
        <stp>12/31/2018</stp>
        <stp>1</stp>
        <tr r="K1664" s="1"/>
      </tp>
      <tp>
        <v>0.82465246077499998</v>
        <stp/>
        <stp>EM_S_FA_ASSETSTURN</stp>
        <stp>3</stp>
        <stp>002050</stp>
        <stp>12/31/2018</stp>
        <stp>1</stp>
        <tr r="K791" s="1"/>
      </tp>
      <tp>
        <v>0.42725000853200001</v>
        <stp/>
        <stp>EM_S_FA_ASSETSTURN</stp>
        <stp>3</stp>
        <stp>002750</stp>
        <stp>12/31/2018</stp>
        <stp>1</stp>
        <tr r="K121" s="1"/>
      </tp>
      <tp>
        <v>0.65061546370099999</v>
        <stp/>
        <stp>EM_S_FA_ASSETSTURN</stp>
        <stp>3</stp>
        <stp>002650</stp>
        <stp>12/31/2018</stp>
        <stp>1</stp>
        <tr r="K2392" s="1"/>
      </tp>
      <tp>
        <v>0.424797832918</v>
        <stp/>
        <stp>EM_S_FA_ASSETSTURN</stp>
        <stp>3</stp>
        <stp>002550</stp>
        <stp>12/31/2018</stp>
        <stp>1</stp>
        <tr r="K1338" s="1"/>
      </tp>
      <tp>
        <v>0.26709906844699999</v>
        <stp/>
        <stp>EM_S_FA_ASSETSTURN</stp>
        <stp>3</stp>
        <stp>002450</stp>
        <stp>12/31/2018</stp>
        <stp>1</stp>
        <tr r="K3380" s="1"/>
      </tp>
      <tp>
        <v>1.3419090269911489</v>
        <stp/>
        <stp>EM_S_RATIO_EPS_TTM</stp>
        <stp>3</stp>
        <stp>603387</stp>
        <stp>12/31/2018</stp>
        <stp>1</stp>
        <tr r="U2919" s="1"/>
      </tp>
      <tp>
        <v>1.4316909910972568</v>
        <stp/>
        <stp>EM_S_RATIO_EPS_TTM</stp>
        <stp>3</stp>
        <stp>603587</stp>
        <stp>12/31/2018</stp>
        <stp>1</stp>
        <tr r="U1574" s="1"/>
      </tp>
      <tp>
        <v>0.43458042838235295</v>
        <stp/>
        <stp>EM_S_RATIO_EPS_TTM</stp>
        <stp>3</stp>
        <stp>603787</stp>
        <stp>12/31/2018</stp>
        <stp>1</stp>
        <tr r="U662" s="1"/>
      </tp>
      <tp>
        <v>0.33308815889168925</v>
        <stp/>
        <stp>EM_S_RATIO_EPS_TTM</stp>
        <stp>3</stp>
        <stp>603987</stp>
        <stp>12/31/2018</stp>
        <stp>1</stp>
        <tr r="U1117" s="1"/>
      </tp>
      <tp>
        <v>0.50055399923717059</v>
        <stp/>
        <stp>EM_S_RATIO_EPS_TTM</stp>
        <stp>3</stp>
        <stp>603887</stp>
        <stp>12/31/2018</stp>
        <stp>1</stp>
        <tr r="U293" s="1"/>
      </tp>
      <tp>
        <v>6.2871597464492571E-3</v>
        <stp/>
        <stp>EM_S_RATIO_EPS_TTM</stp>
        <stp>3</stp>
        <stp>600187</stp>
        <stp>12/31/2018</stp>
        <stp>1</stp>
        <tr r="U2117" s="1"/>
      </tp>
      <tp>
        <v>7.1714971126894275E-2</v>
        <stp/>
        <stp>EM_S_RATIO_EPS_TTM</stp>
        <stp>3</stp>
        <stp>600087</stp>
        <stp>12/31/2018</stp>
        <stp>1</stp>
        <tr r="U2290" s="1"/>
      </tp>
      <tp>
        <v>0.65058867077511273</v>
        <stp/>
        <stp>EM_S_RATIO_EPS_TTM</stp>
        <stp>3</stp>
        <stp>600387</stp>
        <stp>12/31/2018</stp>
        <stp>1</stp>
        <tr r="U1984" s="1"/>
      </tp>
      <tp>
        <v>0.19559928652197547</v>
        <stp/>
        <stp>EM_S_RATIO_EPS_TTM</stp>
        <stp>3</stp>
        <stp>600287</stp>
        <stp>12/31/2018</stp>
        <stp>1</stp>
        <tr r="U1135" s="1"/>
      </tp>
      <tp>
        <v>5.6059461672397046E-2</v>
        <stp/>
        <stp>EM_S_RATIO_EPS_TTM</stp>
        <stp>3</stp>
        <stp>600587</stp>
        <stp>12/31/2018</stp>
        <stp>1</stp>
        <tr r="U1818" s="1"/>
      </tp>
      <tp>
        <v>1.3298344842114393</v>
        <stp/>
        <stp>EM_S_RATIO_EPS_TTM</stp>
        <stp>3</stp>
        <stp>600487</stp>
        <stp>12/31/2018</stp>
        <stp>1</stp>
        <tr r="U2604" s="1"/>
      </tp>
      <tp>
        <v>0.21718542114167649</v>
        <stp/>
        <stp>EM_S_RATIO_EPS_TTM</stp>
        <stp>3</stp>
        <stp>600787</stp>
        <stp>12/31/2018</stp>
        <stp>1</stp>
        <tr r="U2015" s="1"/>
      </tp>
      <tp>
        <v>-0.78251508723658558</v>
        <stp/>
        <stp>EM_S_RATIO_EPS_TTM</stp>
        <stp>3</stp>
        <stp>600687</stp>
        <stp>12/31/2018</stp>
        <stp>1</stp>
        <tr r="U3392" s="1"/>
      </tp>
      <tp>
        <v>0.88799685126612193</v>
        <stp/>
        <stp>EM_S_RATIO_EPS_TTM</stp>
        <stp>3</stp>
        <stp>600987</stp>
        <stp>12/31/2018</stp>
        <stp>1</stp>
        <tr r="U3102" s="1"/>
      </tp>
      <tp>
        <v>1.0594956253211985</v>
        <stp/>
        <stp>EM_S_RATIO_EPS_TTM</stp>
        <stp>3</stp>
        <stp>600887</stp>
        <stp>12/31/2018</stp>
        <stp>1</stp>
        <tr r="U827" s="1"/>
      </tp>
      <tp>
        <v>1.788642663072</v>
        <stp/>
        <stp>EM_S_FA_ASSETSTURN</stp>
        <stp>3</stp>
        <stp>601231</stp>
        <stp>12/31/2018</stp>
        <stp>1</stp>
        <tr r="K130" s="1"/>
      </tp>
      <tp>
        <v>1.6451868018169999</v>
        <stp/>
        <stp>EM_S_FA_ASSETSTURN</stp>
        <stp>3</stp>
        <stp>000951</stp>
        <stp>12/31/2018</stp>
        <stp>1</stp>
        <tr r="K163" s="1"/>
      </tp>
      <tp>
        <v>1.0958879177930001</v>
        <stp/>
        <stp>EM_S_FA_ASSETSTURN</stp>
        <stp>3</stp>
        <stp>000851</stp>
        <stp>12/31/2018</stp>
        <stp>1</stp>
        <tr r="K1159" s="1"/>
      </tp>
      <tp>
        <v>0.35507155104100002</v>
        <stp/>
        <stp>EM_S_FA_ASSETSTURN</stp>
        <stp>3</stp>
        <stp>600831</stp>
        <stp>12/31/2018</stp>
        <stp>1</stp>
        <tr r="K788" s="1"/>
      </tp>
      <tp>
        <v>0</v>
        <stp/>
        <stp>EM_S_FA_ASSETSTURN</stp>
        <stp>3</stp>
        <stp>300361</stp>
        <stp>12/31/2018</stp>
        <stp>1</stp>
        <tr r="K9" s="1"/>
      </tp>
      <tp>
        <v>0.37549265829299999</v>
        <stp/>
        <stp>EM_S_FA_ASSETSTURN</stp>
        <stp>3</stp>
        <stp>600331</stp>
        <stp>12/31/2018</stp>
        <stp>1</stp>
        <tr r="K903" s="1"/>
      </tp>
      <tp>
        <v>0.529617459437</v>
        <stp/>
        <stp>EM_S_FA_ASSETSTURN</stp>
        <stp>3</stp>
        <stp>300261</stp>
        <stp>12/31/2018</stp>
        <stp>1</stp>
        <tr r="K2999" s="1"/>
      </tp>
      <tp>
        <v>1.3506164960860001</v>
        <stp/>
        <stp>EM_S_FA_ASSETSTURN</stp>
        <stp>3</stp>
        <stp>600231</stp>
        <stp>12/31/2018</stp>
        <stp>1</stp>
        <tr r="K2157" s="1"/>
      </tp>
      <tp>
        <v>0.58906250450999997</v>
        <stp/>
        <stp>EM_S_FA_ASSETSTURN</stp>
        <stp>3</stp>
        <stp>000151</stp>
        <stp>12/31/2018</stp>
        <stp>1</stp>
        <tr r="K2041" s="1"/>
      </tp>
      <tp>
        <v>0.34147350910699997</v>
        <stp/>
        <stp>EM_S_FA_ASSETSTURN</stp>
        <stp>3</stp>
        <stp>300161</stp>
        <stp>12/31/2018</stp>
        <stp>1</stp>
        <tr r="K705" s="1"/>
      </tp>
      <tp>
        <v>0.46940002357100002</v>
        <stp/>
        <stp>EM_S_FA_ASSETSTURN</stp>
        <stp>3</stp>
        <stp>600131</stp>
        <stp>12/31/2018</stp>
        <stp>1</stp>
        <tr r="K38" s="1"/>
      </tp>
      <tp>
        <v>0.62390411907499999</v>
        <stp/>
        <stp>EM_S_FA_ASSETSTURN</stp>
        <stp>3</stp>
        <stp>300061</stp>
        <stp>12/31/2018</stp>
        <stp>1</stp>
        <tr r="K1862" s="1"/>
      </tp>
      <tp>
        <v>0.84570083572400001</v>
        <stp/>
        <stp>EM_S_FA_ASSETSTURN</stp>
        <stp>3</stp>
        <stp>600031</stp>
        <stp>12/31/2018</stp>
        <stp>1</stp>
        <tr r="K148" s="1"/>
      </tp>
      <tp>
        <v>1.8929670623099999</v>
        <stp/>
        <stp>EM_S_FA_ASSETSTURN</stp>
        <stp>3</stp>
        <stp>000751</stp>
        <stp>12/31/2018</stp>
        <stp>1</stp>
        <tr r="K1531" s="1"/>
      </tp>
      <tp>
        <v>0.78831345502700001</v>
        <stp/>
        <stp>EM_S_FA_ASSETSTURN</stp>
        <stp>3</stp>
        <stp>600731</stp>
        <stp>12/31/2018</stp>
        <stp>1</stp>
        <tr r="K296" s="1"/>
      </tp>
      <tp>
        <v>0.85809983892099995</v>
        <stp/>
        <stp>EM_S_FA_ASSETSTURN</stp>
        <stp>3</stp>
        <stp>000651</stp>
        <stp>12/31/2018</stp>
        <stp>1</stp>
        <tr r="K229" s="1"/>
      </tp>
      <tp>
        <v>0.571342027679</v>
        <stp/>
        <stp>EM_S_FA_ASSETSTURN</stp>
        <stp>3</stp>
        <stp>300661</stp>
        <stp>12/31/2018</stp>
        <stp>1</stp>
        <tr r="K19" s="1"/>
      </tp>
      <tp>
        <v>0</v>
        <stp/>
        <stp>EM_S_FA_ASSETSTURN</stp>
        <stp>3</stp>
        <stp>600631</stp>
        <stp>12/31/2018</stp>
        <stp>1</stp>
        <tr r="K2309" s="1"/>
      </tp>
      <tp>
        <v>0.69410977915799998</v>
        <stp/>
        <stp>EM_S_FA_ASSETSTURN</stp>
        <stp>3</stp>
        <stp>000551</stp>
        <stp>12/31/2018</stp>
        <stp>1</stp>
        <tr r="K1505" s="1"/>
      </tp>
      <tp>
        <v>0.31390720320799997</v>
        <stp/>
        <stp>EM_S_FA_ASSETSTURN</stp>
        <stp>3</stp>
        <stp>300561</stp>
        <stp>12/31/2018</stp>
        <stp>1</stp>
        <tr r="K1339" s="1"/>
      </tp>
      <tp>
        <v>1.7851300945749999</v>
        <stp/>
        <stp>EM_S_FA_ASSETSTURN</stp>
        <stp>3</stp>
        <stp>600531</stp>
        <stp>12/31/2018</stp>
        <stp>1</stp>
        <tr r="K855" s="1"/>
      </tp>
      <tp>
        <v>0.60498937885500004</v>
        <stp/>
        <stp>EM_S_FA_ASSETSTURN</stp>
        <stp>3</stp>
        <stp>300461</stp>
        <stp>12/31/2018</stp>
        <stp>1</stp>
        <tr r="K1686" s="1"/>
      </tp>
      <tp>
        <v>0.73168822532400002</v>
        <stp/>
        <stp>EM_S_FA_ASSETSTURN</stp>
        <stp>3</stp>
        <stp>603331</stp>
        <stp>12/31/2018</stp>
        <stp>1</stp>
        <tr r="K1621" s="1"/>
      </tp>
      <tp>
        <v>0.76411838983000002</v>
        <stp/>
        <stp>EM_S_FA_ASSETSTURN</stp>
        <stp>3</stp>
        <stp>603131</stp>
        <stp>12/31/2018</stp>
        <stp>1</stp>
        <tr r="K2818" s="1"/>
      </tp>
      <tp>
        <v>1.0853850052089999</v>
        <stp/>
        <stp>EM_S_FA_ASSETSTURN</stp>
        <stp>3</stp>
        <stp>603031</stp>
        <stp>12/31/2018</stp>
        <stp>1</stp>
        <tr r="K225" s="1"/>
      </tp>
      <tp>
        <v>0.87309361120499995</v>
        <stp/>
        <stp>EM_S_FA_ASSETSTURN</stp>
        <stp>3</stp>
        <stp>002851</stp>
        <stp>12/31/2018</stp>
        <stp>1</stp>
        <tr r="K2406" s="1"/>
      </tp>
      <tp>
        <v>0.44046125723700003</v>
        <stp/>
        <stp>EM_S_FA_ASSETSTURN</stp>
        <stp>3</stp>
        <stp>002351</stp>
        <stp>12/31/2018</stp>
        <stp>1</stp>
        <tr r="K22" s="1"/>
      </tp>
      <tp>
        <v>0.99950473817200003</v>
        <stp/>
        <stp>EM_S_FA_ASSETSTURN</stp>
        <stp>3</stp>
        <stp>002251</stp>
        <stp>12/31/2018</stp>
        <stp>1</stp>
        <tr r="K1280" s="1"/>
      </tp>
      <tp>
        <v>0.46105518603000001</v>
        <stp/>
        <stp>EM_S_FA_ASSETSTURN</stp>
        <stp>3</stp>
        <stp>002151</stp>
        <stp>12/31/2018</stp>
        <stp>1</stp>
        <tr r="K1237" s="1"/>
      </tp>
      <tp>
        <v>0.55345124891499997</v>
        <stp/>
        <stp>EM_S_FA_ASSETSTURN</stp>
        <stp>3</stp>
        <stp>002051</stp>
        <stp>12/31/2018</stp>
        <stp>1</stp>
        <tr r="K3617" s="1"/>
      </tp>
      <tp>
        <v>0.42843591661399999</v>
        <stp/>
        <stp>EM_S_FA_ASSETSTURN</stp>
        <stp>3</stp>
        <stp>002751</stp>
        <stp>12/31/2018</stp>
        <stp>1</stp>
        <tr r="K1394" s="1"/>
      </tp>
      <tp>
        <v>0.207751676917</v>
        <stp/>
        <stp>EM_S_FA_ASSETSTURN</stp>
        <stp>3</stp>
        <stp>002651</stp>
        <stp>12/31/2018</stp>
        <stp>1</stp>
        <tr r="K1383" s="1"/>
      </tp>
      <tp>
        <v>0.38750737698600002</v>
        <stp/>
        <stp>EM_S_FA_ASSETSTURN</stp>
        <stp>3</stp>
        <stp>002551</stp>
        <stp>12/31/2018</stp>
        <stp>1</stp>
        <tr r="K2390" s="1"/>
      </tp>
      <tp>
        <v>0.36281282155599998</v>
        <stp/>
        <stp>EM_S_FA_ASSETSTURN</stp>
        <stp>3</stp>
        <stp>002451</stp>
        <stp>12/31/2018</stp>
        <stp>1</stp>
        <tr r="K3095" s="1"/>
      </tp>
      <tp>
        <v>0.57457948718144947</v>
        <stp/>
        <stp>EM_S_RATIO_EPS_TTM</stp>
        <stp>3</stp>
        <stp>603186</stp>
        <stp>12/31/2018</stp>
        <stp>1</stp>
        <tr r="U82" s="1"/>
      </tp>
      <tp>
        <v>2.2414976566964286</v>
        <stp/>
        <stp>EM_S_RATIO_EPS_TTM</stp>
        <stp>3</stp>
        <stp>603086</stp>
        <stp>12/31/2018</stp>
        <stp>1</stp>
        <tr r="U1630" s="1"/>
      </tp>
      <tp>
        <v>0.34189419930624382</v>
        <stp/>
        <stp>EM_S_RATIO_EPS_TTM</stp>
        <stp>3</stp>
        <stp>603386</stp>
        <stp>12/31/2018</stp>
        <stp>1</stp>
        <tr r="U2198" s="1"/>
      </tp>
      <tp>
        <v>0.25077984740451426</v>
        <stp/>
        <stp>EM_S_RATIO_EPS_TTM</stp>
        <stp>3</stp>
        <stp>603286</stp>
        <stp>12/31/2018</stp>
        <stp>1</stp>
        <tr r="U1812" s="1"/>
      </tp>
      <tp>
        <v>0.40974276196792475</v>
        <stp/>
        <stp>EM_S_RATIO_EPS_TTM</stp>
        <stp>3</stp>
        <stp>603586</stp>
        <stp>12/31/2018</stp>
        <stp>1</stp>
        <tr r="U698" s="1"/>
      </tp>
      <tp>
        <v>1.2124097817545614</v>
        <stp/>
        <stp>EM_S_RATIO_EPS_TTM</stp>
        <stp>3</stp>
        <stp>603486</stp>
        <stp>12/31/2018</stp>
        <stp>1</stp>
        <tr r="U3384" s="1"/>
      </tp>
      <tp>
        <v>0.79039410654582631</v>
        <stp/>
        <stp>EM_S_RATIO_EPS_TTM</stp>
        <stp>3</stp>
        <stp>603686</stp>
        <stp>12/31/2018</stp>
        <stp>1</stp>
        <tr r="U2229" s="1"/>
      </tp>
      <tp>
        <v>1.4228500197762479</v>
        <stp/>
        <stp>EM_S_RATIO_EPS_TTM</stp>
        <stp>3</stp>
        <stp>603986</stp>
        <stp>12/31/2018</stp>
        <stp>1</stp>
        <tr r="U35" s="1"/>
      </tp>
      <tp>
        <v>1.0068610825416666</v>
        <stp/>
        <stp>EM_S_RATIO_EPS_TTM</stp>
        <stp>3</stp>
        <stp>603886</stp>
        <stp>12/31/2018</stp>
        <stp>1</stp>
        <tr r="U2380" s="1"/>
      </tp>
      <tp>
        <v>1.3207574791829311</v>
        <stp/>
        <stp>EM_S_RATIO_EPS_TTM</stp>
        <stp>3</stp>
        <stp>601186</stp>
        <stp>12/31/2018</stp>
        <stp>1</stp>
        <tr r="U2665" s="1"/>
      </tp>
      <tp>
        <v>0.19774282390390391</v>
        <stp/>
        <stp>EM_S_RATIO_EPS_TTM</stp>
        <stp>3</stp>
        <stp>601086</stp>
        <stp>12/31/2018</stp>
        <stp>1</stp>
        <tr r="U2246" s="1"/>
      </tp>
      <tp>
        <v>0.52736579786837656</v>
        <stp/>
        <stp>EM_S_RATIO_EPS_TTM</stp>
        <stp>3</stp>
        <stp>601886</stp>
        <stp>12/31/2018</stp>
        <stp>1</stp>
        <tr r="U2479" s="1"/>
      </tp>
      <tp>
        <v>-0.31310993757467764</v>
        <stp/>
        <stp>EM_S_RATIO_EPS_TTM</stp>
        <stp>3</stp>
        <stp>600186</stp>
        <stp>12/31/2018</stp>
        <stp>1</stp>
        <tr r="U709" s="1"/>
      </tp>
      <tp>
        <v>-1.2729259986740742</v>
        <stp/>
        <stp>EM_S_RATIO_EPS_TTM</stp>
        <stp>3</stp>
        <stp>600086</stp>
        <stp>12/31/2018</stp>
        <stp>1</stp>
        <tr r="U3319" s="1"/>
      </tp>
      <tp>
        <v>0.1274748956845238</v>
        <stp/>
        <stp>EM_S_RATIO_EPS_TTM</stp>
        <stp>3</stp>
        <stp>600386</stp>
        <stp>12/31/2018</stp>
        <stp>1</stp>
        <tr r="U1578" s="1"/>
      </tp>
      <tp>
        <v>3.7687195608636183E-2</v>
        <stp/>
        <stp>EM_S_RATIO_EPS_TTM</stp>
        <stp>3</stp>
        <stp>600286</stp>
        <stp>12/31/2018</stp>
        <stp>1</stp>
        <tr r="U2299" s="1"/>
      </tp>
      <tp>
        <v>5.3757202153106691E-2</v>
        <stp/>
        <stp>EM_S_RATIO_EPS_TTM</stp>
        <stp>3</stp>
        <stp>600586</stp>
        <stp>12/31/2018</stp>
        <stp>1</stp>
        <tr r="U2118" s="1"/>
      </tp>
      <tp>
        <v>2.8892550479050252</v>
        <stp/>
        <stp>EM_S_RATIO_EPS_TTM</stp>
        <stp>3</stp>
        <stp>600486</stp>
        <stp>12/31/2018</stp>
        <stp>1</stp>
        <tr r="U235" s="1"/>
      </tp>
      <tp>
        <v>1.0512877337563196</v>
        <stp/>
        <stp>EM_S_RATIO_EPS_TTM</stp>
        <stp>3</stp>
        <stp>600786</stp>
        <stp>12/31/2018</stp>
        <stp>1</stp>
        <tr r="U2322" s="1"/>
      </tp>
      <tp>
        <v>0.26183588547587677</v>
        <stp/>
        <stp>EM_S_RATIO_EPS_TTM</stp>
        <stp>3</stp>
        <stp>600686</stp>
        <stp>12/31/2018</stp>
        <stp>1</stp>
        <tr r="U2161" s="1"/>
      </tp>
      <tp>
        <v>0.19830969948546509</v>
        <stp/>
        <stp>EM_S_RATIO_EPS_TTM</stp>
        <stp>3</stp>
        <stp>600986</stp>
        <stp>12/31/2018</stp>
        <stp>1</stp>
        <tr r="U1246" s="1"/>
      </tp>
      <tp>
        <v>0.64310100371660273</v>
        <stp/>
        <stp>EM_S_RATIO_EPS_TTM</stp>
        <stp>3</stp>
        <stp>600886</stp>
        <stp>12/31/2018</stp>
        <stp>1</stp>
        <tr r="U1548" s="1"/>
      </tp>
      <tp>
        <v>0</v>
        <stp/>
        <stp>EM_S_FA_ASSETSTURN</stp>
        <stp>3</stp>
        <stp>601336</stp>
        <stp>12/31/2018</stp>
        <stp>1</stp>
        <tr r="K1427" s="1"/>
      </tp>
      <tp>
        <v>0.65574170673999999</v>
        <stp/>
        <stp>EM_S_FA_ASSETSTURN</stp>
        <stp>3</stp>
        <stp>601636</stp>
        <stp>12/31/2018</stp>
        <stp>1</stp>
        <tr r="K666" s="1"/>
      </tp>
      <tp>
        <v>0</v>
        <stp/>
        <stp>EM_S_FA_ASSETSTURN</stp>
        <stp>3</stp>
        <stp>000956</stp>
        <stp>12/31/2018</stp>
        <stp>1</stp>
        <tr r="K3586" s="1"/>
      </tp>
      <tp>
        <v>0.306979013292</v>
        <stp/>
        <stp>EM_S_FA_ASSETSTURN</stp>
        <stp>3</stp>
        <stp>600936</stp>
        <stp>12/31/2018</stp>
        <stp>1</stp>
        <tr r="K2127" s="1"/>
      </tp>
      <tp>
        <v>1.0386307196290001</v>
        <stp/>
        <stp>EM_S_FA_ASSETSTURN</stp>
        <stp>3</stp>
        <stp>000856</stp>
        <stp>12/31/2018</stp>
        <stp>1</stp>
        <tr r="K3157" s="1"/>
      </tp>
      <tp>
        <v>0.39432390778499998</v>
        <stp/>
        <stp>EM_S_FA_ASSETSTURN</stp>
        <stp>3</stp>
        <stp>600836</stp>
        <stp>12/31/2018</stp>
        <stp>1</stp>
        <tr r="K857" s="1"/>
      </tp>
      <tp>
        <v>0.440940198718</v>
        <stp/>
        <stp>EM_S_FA_ASSETSTURN</stp>
        <stp>3</stp>
        <stp>300366</stp>
        <stp>12/31/2018</stp>
        <stp>1</stp>
        <tr r="K702" s="1"/>
      </tp>
      <tp>
        <v>1.127558690016</v>
        <stp/>
        <stp>EM_S_FA_ASSETSTURN</stp>
        <stp>3</stp>
        <stp>600336</stp>
        <stp>12/31/2018</stp>
        <stp>1</stp>
        <tr r="K936" s="1"/>
      </tp>
      <tp>
        <v>0.24604161121400001</v>
        <stp/>
        <stp>EM_S_FA_ASSETSTURN</stp>
        <stp>3</stp>
        <stp>300266</stp>
        <stp>12/31/2018</stp>
        <stp>1</stp>
        <tr r="K2378" s="1"/>
      </tp>
      <tp>
        <v>0.21814647112800001</v>
        <stp/>
        <stp>EM_S_FA_ASSETSTURN</stp>
        <stp>3</stp>
        <stp>600236</stp>
        <stp>12/31/2018</stp>
        <stp>1</stp>
        <tr r="K2882" s="1"/>
      </tp>
      <tp>
        <v>0.23539473842</v>
        <stp/>
        <stp>EM_S_FA_ASSETSTURN</stp>
        <stp>3</stp>
        <stp>000156</stp>
        <stp>12/31/2018</stp>
        <stp>1</stp>
        <tr r="K834" s="1"/>
      </tp>
      <tp>
        <v>0.35478729948600002</v>
        <stp/>
        <stp>EM_S_FA_ASSETSTURN</stp>
        <stp>3</stp>
        <stp>300166</stp>
        <stp>12/31/2018</stp>
        <stp>1</stp>
        <tr r="K1061" s="1"/>
      </tp>
      <tp>
        <v>0.33861889936799999</v>
        <stp/>
        <stp>EM_S_FA_ASSETSTURN</stp>
        <stp>3</stp>
        <stp>600136</stp>
        <stp>12/31/2018</stp>
        <stp>1</stp>
        <tr r="K571" s="1"/>
      </tp>
      <tp>
        <v>6.9216235474999999E-2</v>
        <stp/>
        <stp>EM_S_FA_ASSETSTURN</stp>
        <stp>3</stp>
        <stp>000056</stp>
        <stp>12/31/2018</stp>
        <stp>1</stp>
        <tr r="K2827" s="1"/>
      </tp>
      <tp>
        <v>0.371636001193</v>
        <stp/>
        <stp>EM_S_FA_ASSETSTURN</stp>
        <stp>3</stp>
        <stp>300066</stp>
        <stp>12/31/2018</stp>
        <stp>1</stp>
        <tr r="K710" s="1"/>
      </tp>
      <tp>
        <v>0</v>
        <stp/>
        <stp>EM_S_FA_ASSETSTURN</stp>
        <stp>3</stp>
        <stp>600036</stp>
        <stp>12/31/2018</stp>
        <stp>1</stp>
        <tr r="K562" s="1"/>
      </tp>
      <tp>
        <v>0.93082400684199995</v>
        <stp/>
        <stp>EM_S_FA_ASSETSTURN</stp>
        <stp>3</stp>
        <stp>000756</stp>
        <stp>12/31/2018</stp>
        <stp>1</stp>
        <tr r="K945" s="1"/>
      </tp>
      <tp>
        <v>0.22953582249400001</v>
        <stp/>
        <stp>EM_S_FA_ASSETSTURN</stp>
        <stp>3</stp>
        <stp>600736</stp>
        <stp>12/31/2018</stp>
        <stp>1</stp>
        <tr r="K1764" s="1"/>
      </tp>
      <tp>
        <v>0.21251038905</v>
        <stp/>
        <stp>EM_S_FA_ASSETSTURN</stp>
        <stp>3</stp>
        <stp>000656</stp>
        <stp>12/31/2018</stp>
        <stp>1</stp>
        <tr r="K1182" s="1"/>
      </tp>
      <tp>
        <v>0.55892453510999995</v>
        <stp/>
        <stp>EM_S_FA_ASSETSTURN</stp>
        <stp>3</stp>
        <stp>300666</stp>
        <stp>12/31/2018</stp>
        <stp>1</stp>
        <tr r="K2037" s="1"/>
      </tp>
      <tp>
        <v>0.30718947263399998</v>
        <stp/>
        <stp>EM_S_FA_ASSETSTURN</stp>
        <stp>3</stp>
        <stp>600636</stp>
        <stp>12/31/2018</stp>
        <stp>1</stp>
        <tr r="K2618" s="1"/>
      </tp>
      <tp>
        <v>0.84098498078499995</v>
        <stp/>
        <stp>EM_S_FA_ASSETSTURN</stp>
        <stp>3</stp>
        <stp>000556</stp>
        <stp>12/31/2018</stp>
        <stp>1</stp>
        <tr r="K3453" s="1"/>
      </tp>
      <tp>
        <v>0.51844367286799997</v>
        <stp/>
        <stp>EM_S_FA_ASSETSTURN</stp>
        <stp>3</stp>
        <stp>300566</stp>
        <stp>12/31/2018</stp>
        <stp>1</stp>
        <tr r="K215" s="1"/>
      </tp>
      <tp>
        <v>0.84168772832100003</v>
        <stp/>
        <stp>EM_S_FA_ASSETSTURN</stp>
        <stp>3</stp>
        <stp>600536</stp>
        <stp>12/31/2018</stp>
        <stp>1</stp>
        <tr r="K32" s="1"/>
      </tp>
      <tp>
        <v>0.252073533056</v>
        <stp/>
        <stp>EM_S_FA_ASSETSTURN</stp>
        <stp>3</stp>
        <stp>300466</stp>
        <stp>12/31/2018</stp>
        <stp>1</stp>
        <tr r="K1519" s="1"/>
      </tp>
      <tp>
        <v>0.77460477990999999</v>
        <stp/>
        <stp>EM_S_FA_ASSETSTURN</stp>
        <stp>3</stp>
        <stp>600436</stp>
        <stp>12/31/2018</stp>
        <stp>1</stp>
        <tr r="K1060" s="1"/>
      </tp>
      <tp>
        <v>0.62943493612099999</v>
        <stp/>
        <stp>EM_S_FA_ASSETSTURN</stp>
        <stp>3</stp>
        <stp>603936</stp>
        <stp>12/31/2018</stp>
        <stp>1</stp>
        <tr r="K1179" s="1"/>
      </tp>
      <tp>
        <v>0.84824406886699999</v>
        <stp/>
        <stp>EM_S_FA_ASSETSTURN</stp>
        <stp>3</stp>
        <stp>603336</stp>
        <stp>12/31/2018</stp>
        <stp>1</stp>
        <tr r="K2819" s="1"/>
      </tp>
      <tp>
        <v>0.43847493223200001</v>
        <stp/>
        <stp>EM_S_FA_ASSETSTURN</stp>
        <stp>3</stp>
        <stp>603136</stp>
        <stp>12/31/2018</stp>
        <stp>1</stp>
        <tr r="K2787" s="1"/>
      </tp>
      <tp>
        <v>0.218403713119</v>
        <stp/>
        <stp>EM_S_FA_ASSETSTURN</stp>
        <stp>3</stp>
        <stp>603036</stp>
        <stp>12/31/2018</stp>
        <stp>1</stp>
        <tr r="K2651" s="1"/>
      </tp>
      <tp>
        <v>0.39463647405699998</v>
        <stp/>
        <stp>EM_S_FA_ASSETSTURN</stp>
        <stp>3</stp>
        <stp>603636</stp>
        <stp>12/31/2018</stp>
        <stp>1</stp>
        <tr r="K1377" s="1"/>
      </tp>
      <tp>
        <v>0.95953284031499997</v>
        <stp/>
        <stp>EM_S_FA_ASSETSTURN</stp>
        <stp>3</stp>
        <stp>603536</stp>
        <stp>12/31/2018</stp>
        <stp>1</stp>
        <tr r="K60" s="1"/>
      </tp>
      <tp>
        <v>0.67162686810299999</v>
        <stp/>
        <stp>EM_S_FA_ASSETSTURN</stp>
        <stp>3</stp>
        <stp>002856</stp>
        <stp>12/31/2018</stp>
        <stp>1</stp>
        <tr r="K2870" s="1"/>
      </tp>
      <tp>
        <v>0.33808297222900002</v>
        <stp/>
        <stp>EM_S_FA_ASSETSTURN</stp>
        <stp>3</stp>
        <stp>002356</stp>
        <stp>12/31/2018</stp>
        <stp>1</stp>
        <tr r="K3400" s="1"/>
      </tp>
      <tp>
        <v>0.173410447622</v>
        <stp/>
        <stp>EM_S_FA_ASSETSTURN</stp>
        <stp>3</stp>
        <stp>002256</stp>
        <stp>12/31/2018</stp>
        <stp>1</stp>
        <tr r="K2915" s="1"/>
      </tp>
      <tp>
        <v>0.55316279695799997</v>
        <stp/>
        <stp>EM_S_FA_ASSETSTURN</stp>
        <stp>3</stp>
        <stp>002156</stp>
        <stp>12/31/2018</stp>
        <stp>1</stp>
        <tr r="K102" s="1"/>
      </tp>
      <tp>
        <v>0.97237799030399996</v>
        <stp/>
        <stp>EM_S_FA_ASSETSTURN</stp>
        <stp>3</stp>
        <stp>002056</stp>
        <stp>12/31/2018</stp>
        <stp>1</stp>
        <tr r="K553" s="1"/>
      </tp>
      <tp>
        <v>1.154422813374</v>
        <stp/>
        <stp>EM_S_FA_ASSETSTURN</stp>
        <stp>3</stp>
        <stp>002756</stp>
        <stp>12/31/2018</stp>
        <stp>1</stp>
        <tr r="K470" s="1"/>
      </tp>
      <tp>
        <v>0.46487465713999998</v>
        <stp/>
        <stp>EM_S_FA_ASSETSTURN</stp>
        <stp>3</stp>
        <stp>002656</stp>
        <stp>12/31/2018</stp>
        <stp>1</stp>
        <tr r="K3289" s="1"/>
      </tp>
      <tp>
        <v>2.1152713580200002</v>
        <stp/>
        <stp>EM_S_FA_ASSETSTURN</stp>
        <stp>3</stp>
        <stp>002556</stp>
        <stp>12/31/2018</stp>
        <stp>1</stp>
        <tr r="K1846" s="1"/>
      </tp>
      <tp>
        <v>1.2512197106139999</v>
        <stp/>
        <stp>EM_S_FA_ASSETSTURN</stp>
        <stp>3</stp>
        <stp>002456</stp>
        <stp>12/31/2018</stp>
        <stp>1</stp>
        <tr r="K316" s="1"/>
      </tp>
      <tp>
        <v>0.98513356544999997</v>
        <stp/>
        <stp>EM_S_RATIO_EPS_TTM</stp>
        <stp>3</stp>
        <stp>603181</stp>
        <stp>12/31/2018</stp>
        <stp>1</stp>
        <tr r="U1219" s="1"/>
      </tp>
      <tp>
        <v>0.57238403357391732</v>
        <stp/>
        <stp>EM_S_RATIO_EPS_TTM</stp>
        <stp>3</stp>
        <stp>603081</stp>
        <stp>12/31/2018</stp>
        <stp>1</stp>
        <tr r="U617" s="1"/>
      </tp>
      <tp>
        <v>0.67836900828423441</v>
        <stp/>
        <stp>EM_S_RATIO_EPS_TTM</stp>
        <stp>3</stp>
        <stp>603881</stp>
        <stp>12/31/2018</stp>
        <stp>1</stp>
        <tr r="U513" s="1"/>
      </tp>
      <tp>
        <v>0.28480349834084834</v>
        <stp/>
        <stp>EM_S_RATIO_EPS_TTM</stp>
        <stp>3</stp>
        <stp>601881</stp>
        <stp>12/31/2018</stp>
        <stp>1</stp>
        <tr r="U338" s="1"/>
      </tp>
      <tp>
        <v>-0.27314089406565173</v>
        <stp/>
        <stp>EM_S_RATIO_EPS_TTM</stp>
        <stp>3</stp>
        <stp>600181</stp>
        <stp>12/31/2018</stp>
        <stp>1</stp>
        <tr r="U2294" s="1"/>
      </tp>
      <tp>
        <v>0.46851359251817831</v>
        <stp/>
        <stp>EM_S_RATIO_EPS_TTM</stp>
        <stp>3</stp>
        <stp>600081</stp>
        <stp>12/31/2018</stp>
        <stp>1</stp>
        <tr r="U405" s="1"/>
      </tp>
      <tp>
        <v>0.11639132503491485</v>
        <stp/>
        <stp>EM_S_RATIO_EPS_TTM</stp>
        <stp>3</stp>
        <stp>600381</stp>
        <stp>12/31/2018</stp>
        <stp>1</stp>
        <tr r="U2664" s="1"/>
      </tp>
      <tp>
        <v>-0.22352840181762504</v>
        <stp/>
        <stp>EM_S_RATIO_EPS_TTM</stp>
        <stp>3</stp>
        <stp>600281</stp>
        <stp>12/31/2018</stp>
        <stp>1</stp>
        <tr r="U1503" s="1"/>
      </tp>
      <tp>
        <v>0.45698838814356235</v>
        <stp/>
        <stp>EM_S_RATIO_EPS_TTM</stp>
        <stp>3</stp>
        <stp>600581</stp>
        <stp>12/31/2018</stp>
        <stp>1</stp>
        <tr r="U2480" s="1"/>
      </tp>
      <tp>
        <v>0.15379139869529362</v>
        <stp/>
        <stp>EM_S_RATIO_EPS_TTM</stp>
        <stp>3</stp>
        <stp>600481</stp>
        <stp>12/31/2018</stp>
        <stp>1</stp>
        <tr r="U2397" s="1"/>
      </tp>
      <tp>
        <v>1.4167991810963112</v>
        <stp/>
        <stp>EM_S_RATIO_EPS_TTM</stp>
        <stp>3</stp>
        <stp>600781</stp>
        <stp>12/31/2018</stp>
        <stp>1</stp>
        <tr r="U3379" s="1"/>
      </tp>
      <tp>
        <v>0.97567343922079763</v>
        <stp/>
        <stp>EM_S_RATIO_EPS_TTM</stp>
        <stp>3</stp>
        <stp>600681</stp>
        <stp>12/31/2018</stp>
        <stp>1</stp>
        <tr r="U3333" s="1"/>
      </tp>
      <tp>
        <v>0.53583222043655876</v>
        <stp/>
        <stp>EM_S_RATIO_EPS_TTM</stp>
        <stp>3</stp>
        <stp>600981</stp>
        <stp>12/31/2018</stp>
        <stp>1</stp>
        <tr r="U2364" s="1"/>
      </tp>
      <tp>
        <v>-6.0734440010597163E-2</v>
        <stp/>
        <stp>EM_S_RATIO_EPS_TTM</stp>
        <stp>3</stp>
        <stp>600881</stp>
        <stp>12/31/2018</stp>
        <stp>1</stp>
        <tr r="U2561" s="1"/>
      </tp>
      <tp>
        <v>1.1978566927980001</v>
        <stp/>
        <stp>EM_S_FA_ASSETSTURN</stp>
        <stp>3</stp>
        <stp>601137</stp>
        <stp>12/31/2018</stp>
        <stp>1</stp>
        <tr r="K356" s="1"/>
      </tp>
      <tp>
        <v>0.49272410581800002</v>
        <stp/>
        <stp>EM_S_FA_ASSETSTURN</stp>
        <stp>3</stp>
        <stp>000957</stp>
        <stp>12/31/2018</stp>
        <stp>1</stp>
        <tr r="K3587" s="1"/>
      </tp>
      <tp>
        <v>0</v>
        <stp/>
        <stp>EM_S_FA_ASSETSTURN</stp>
        <stp>3</stp>
        <stp>600837</stp>
        <stp>12/31/2018</stp>
        <stp>1</stp>
        <tr r="K260" s="1"/>
      </tp>
      <tp>
        <v>0.31097813359600002</v>
        <stp/>
        <stp>EM_S_FA_ASSETSTURN</stp>
        <stp>3</stp>
        <stp>300367</stp>
        <stp>12/31/2018</stp>
        <stp>1</stp>
        <tr r="K3371" s="1"/>
      </tp>
      <tp>
        <v>0.67073600814500001</v>
        <stp/>
        <stp>EM_S_FA_ASSETSTURN</stp>
        <stp>3</stp>
        <stp>600337</stp>
        <stp>12/31/2018</stp>
        <stp>1</stp>
        <tr r="K1687" s="1"/>
      </tp>
      <tp>
        <v>0.40012507660300001</v>
        <stp/>
        <stp>EM_S_FA_ASSETSTURN</stp>
        <stp>3</stp>
        <stp>300267</stp>
        <stp>12/31/2018</stp>
        <stp>1</stp>
        <tr r="K928" s="1"/>
      </tp>
      <tp>
        <v>0.45171416266100001</v>
        <stp/>
        <stp>EM_S_FA_ASSETSTURN</stp>
        <stp>3</stp>
        <stp>600237</stp>
        <stp>12/31/2018</stp>
        <stp>1</stp>
        <tr r="K1805" s="1"/>
      </tp>
      <tp>
        <v>0.32497863592699999</v>
        <stp/>
        <stp>EM_S_FA_ASSETSTURN</stp>
        <stp>3</stp>
        <stp>000157</stp>
        <stp>12/31/2018</stp>
        <stp>1</stp>
        <tr r="K223" s="1"/>
      </tp>
      <tp>
        <v>0.22297535994199999</v>
        <stp/>
        <stp>EM_S_FA_ASSETSTURN</stp>
        <stp>3</stp>
        <stp>300167</stp>
        <stp>12/31/2018</stp>
        <stp>1</stp>
        <tr r="K2101" s="1"/>
      </tp>
      <tp>
        <v>0.57482144267900004</v>
        <stp/>
        <stp>EM_S_FA_ASSETSTURN</stp>
        <stp>3</stp>
        <stp>600137</stp>
        <stp>12/31/2018</stp>
        <stp>1</stp>
        <tr r="K896" s="1"/>
      </tp>
      <tp>
        <v>0.62986599320900005</v>
        <stp/>
        <stp>EM_S_FA_ASSETSTURN</stp>
        <stp>3</stp>
        <stp>300067</stp>
        <stp>12/31/2018</stp>
        <stp>1</stp>
        <tr r="K2899" s="1"/>
      </tp>
      <tp>
        <v>0.17436015143</v>
        <stp/>
        <stp>EM_S_FA_ASSETSTURN</stp>
        <stp>3</stp>
        <stp>600037</stp>
        <stp>12/31/2018</stp>
        <stp>1</stp>
        <tr r="K2030" s="1"/>
      </tp>
      <tp>
        <v>0.53625235500000001</v>
        <stp/>
        <stp>EM_S_FA_ASSETSTURN</stp>
        <stp>3</stp>
        <stp>000757</stp>
        <stp>12/31/2018</stp>
        <stp>1</stp>
        <tr r="K2835" s="1"/>
      </tp>
      <tp>
        <v>1.072643464689</v>
        <stp/>
        <stp>EM_S_FA_ASSETSTURN</stp>
        <stp>3</stp>
        <stp>600737</stp>
        <stp>12/31/2018</stp>
        <stp>1</stp>
        <tr r="K1484" s="1"/>
      </tp>
      <tp>
        <v>1.117250810074</v>
        <stp/>
        <stp>EM_S_FA_ASSETSTURN</stp>
        <stp>3</stp>
        <stp>000657</stp>
        <stp>12/31/2018</stp>
        <stp>1</stp>
        <tr r="K974" s="1"/>
      </tp>
      <tp>
        <v>0.43560935068899997</v>
        <stp/>
        <stp>EM_S_FA_ASSETSTURN</stp>
        <stp>3</stp>
        <stp>300667</stp>
        <stp>12/31/2018</stp>
        <stp>1</stp>
        <tr r="K1538" s="1"/>
      </tp>
      <tp>
        <v>0.36215622029299999</v>
        <stp/>
        <stp>EM_S_FA_ASSETSTURN</stp>
        <stp>3</stp>
        <stp>600637</stp>
        <stp>12/31/2018</stp>
        <stp>1</stp>
        <tr r="K2727" s="1"/>
      </tp>
      <tp>
        <v>0.14068835414399999</v>
        <stp/>
        <stp>EM_S_FA_ASSETSTURN</stp>
        <stp>3</stp>
        <stp>000557</stp>
        <stp>12/31/2018</stp>
        <stp>1</stp>
        <tr r="K2277" s="1"/>
      </tp>
      <tp>
        <v>0.71331809367700005</v>
        <stp/>
        <stp>EM_S_FA_ASSETSTURN</stp>
        <stp>3</stp>
        <stp>300567</stp>
        <stp>12/31/2018</stp>
        <stp>1</stp>
        <tr r="K1721" s="1"/>
      </tp>
      <tp>
        <v>0.53476588953199999</v>
        <stp/>
        <stp>EM_S_FA_ASSETSTURN</stp>
        <stp>3</stp>
        <stp>600537</stp>
        <stp>12/31/2018</stp>
        <stp>1</stp>
        <tr r="K1744" s="1"/>
      </tp>
      <tp>
        <v>0.22948993253800001</v>
        <stp/>
        <stp>EM_S_FA_ASSETSTURN</stp>
        <stp>3</stp>
        <stp>300467</stp>
        <stp>12/31/2018</stp>
        <stp>1</stp>
        <tr r="K2940" s="1"/>
      </tp>
      <tp>
        <v>0.89950962824000003</v>
        <stp/>
        <stp>EM_S_FA_ASSETSTURN</stp>
        <stp>3</stp>
        <stp>603937</stp>
        <stp>12/31/2018</stp>
        <stp>1</stp>
        <tr r="K2150" s="1"/>
      </tp>
      <tp>
        <v>1.0965337396649999</v>
        <stp/>
        <stp>EM_S_FA_ASSETSTURN</stp>
        <stp>3</stp>
        <stp>603337</stp>
        <stp>12/31/2018</stp>
        <stp>1</stp>
        <tr r="K3338" s="1"/>
      </tp>
      <tp>
        <v>0.59394631612500004</v>
        <stp/>
        <stp>EM_S_FA_ASSETSTURN</stp>
        <stp>3</stp>
        <stp>603037</stp>
        <stp>12/31/2018</stp>
        <stp>1</stp>
        <tr r="K2448" s="1"/>
      </tp>
      <tp>
        <v>1.364102855287</v>
        <stp/>
        <stp>EM_S_FA_ASSETSTURN</stp>
        <stp>3</stp>
        <stp>603737</stp>
        <stp>12/31/2018</stp>
        <stp>1</stp>
        <tr r="K124" s="1"/>
      </tp>
      <tp>
        <v>0.65324791997300002</v>
        <stp/>
        <stp>EM_S_FA_ASSETSTURN</stp>
        <stp>3</stp>
        <stp>603637</stp>
        <stp>12/31/2018</stp>
        <stp>1</stp>
        <tr r="K2119" s="1"/>
      </tp>
      <tp>
        <v>0.39404848023299999</v>
        <stp/>
        <stp>EM_S_FA_ASSETSTURN</stp>
        <stp>3</stp>
        <stp>002857</stp>
        <stp>12/31/2018</stp>
        <stp>1</stp>
        <tr r="K2140" s="1"/>
      </tp>
      <tp>
        <v>0.36049813647399997</v>
        <stp/>
        <stp>EM_S_FA_ASSETSTURN</stp>
        <stp>3</stp>
        <stp>002357</stp>
        <stp>12/31/2018</stp>
        <stp>1</stp>
        <tr r="K1607" s="1"/>
      </tp>
      <tp>
        <v>0</v>
        <stp/>
        <stp>EM_S_FA_ASSETSTURN</stp>
        <stp>3</stp>
        <stp>002257</stp>
        <stp>12/31/2018</stp>
        <stp>1</stp>
        <tr r="K5" s="1"/>
      </tp>
      <tp>
        <v>1.165639791477</v>
        <stp/>
        <stp>EM_S_FA_ASSETSTURN</stp>
        <stp>3</stp>
        <stp>002157</stp>
        <stp>12/31/2018</stp>
        <stp>1</stp>
        <tr r="K45" s="1"/>
      </tp>
      <tp>
        <v>0.75054078286799997</v>
        <stp/>
        <stp>EM_S_FA_ASSETSTURN</stp>
        <stp>3</stp>
        <stp>002057</stp>
        <stp>12/31/2018</stp>
        <stp>1</stp>
        <tr r="K460" s="1"/>
      </tp>
      <tp>
        <v>0.74087862880900002</v>
        <stp/>
        <stp>EM_S_FA_ASSETSTURN</stp>
        <stp>3</stp>
        <stp>002757</stp>
        <stp>12/31/2018</stp>
        <stp>1</stp>
        <tr r="K3322" s="1"/>
      </tp>
      <tp>
        <v>0.35545129799399999</v>
        <stp/>
        <stp>EM_S_FA_ASSETSTURN</stp>
        <stp>3</stp>
        <stp>002657</stp>
        <stp>12/31/2018</stp>
        <stp>1</stp>
        <tr r="K628" s="1"/>
      </tp>
      <tp>
        <v>0.85636443262600004</v>
        <stp/>
        <stp>EM_S_FA_ASSETSTURN</stp>
        <stp>3</stp>
        <stp>002557</stp>
        <stp>12/31/2018</stp>
        <stp>1</stp>
        <tr r="K276" s="1"/>
      </tp>
      <tp>
        <v>0.50932661817699998</v>
        <stp/>
        <stp>EM_S_FA_ASSETSTURN</stp>
        <stp>3</stp>
        <stp>002457</stp>
        <stp>12/31/2018</stp>
        <stp>1</stp>
        <tr r="K2255" s="1"/>
      </tp>
      <tp>
        <v>3.1139339517037037</v>
        <stp/>
        <stp>EM_S_RATIO_EPS_TTM</stp>
        <stp>3</stp>
        <stp>603180</stp>
        <stp>12/31/2018</stp>
        <stp>1</stp>
        <tr r="U1458" s="1"/>
      </tp>
      <tp>
        <v>0.65054860607773857</v>
        <stp/>
        <stp>EM_S_RATIO_EPS_TTM</stp>
        <stp>3</stp>
        <stp>603080</stp>
        <stp>12/31/2018</stp>
        <stp>1</stp>
        <tr r="U3079" s="1"/>
      </tp>
      <tp>
        <v>0.63480687168749994</v>
        <stp/>
        <stp>EM_S_RATIO_EPS_TTM</stp>
        <stp>3</stp>
        <stp>603380</stp>
        <stp>12/31/2018</stp>
        <stp>1</stp>
        <tr r="U1980" s="1"/>
      </tp>
      <tp>
        <v>0.38354463605391159</v>
        <stp/>
        <stp>EM_S_RATIO_EPS_TTM</stp>
        <stp>3</stp>
        <stp>603580</stp>
        <stp>12/31/2018</stp>
        <stp>1</stp>
        <tr r="U3094" s="1"/>
      </tp>
      <tp>
        <v>0.72614406903973638</v>
        <stp/>
        <stp>EM_S_RATIO_EPS_TTM</stp>
        <stp>3</stp>
        <stp>603680</stp>
        <stp>12/31/2018</stp>
        <stp>1</stp>
        <tr r="U3264" s="1"/>
      </tp>
      <tp>
        <v>1.40574296838</v>
        <stp/>
        <stp>EM_S_RATIO_EPS_TTM</stp>
        <stp>3</stp>
        <stp>603980</stp>
        <stp>12/31/2018</stp>
        <stp>1</stp>
        <tr r="U3238" s="1"/>
      </tp>
      <tp>
        <v>0.30192399507692308</v>
        <stp/>
        <stp>EM_S_RATIO_EPS_TTM</stp>
        <stp>3</stp>
        <stp>603880</stp>
        <stp>12/31/2018</stp>
        <stp>1</stp>
        <tr r="U2774" s="1"/>
      </tp>
      <tp>
        <v>4.0584290906674286E-2</v>
        <stp/>
        <stp>EM_S_RATIO_EPS_TTM</stp>
        <stp>3</stp>
        <stp>601880</stp>
        <stp>12/31/2018</stp>
        <stp>1</stp>
        <tr r="U1781" s="1"/>
      </tp>
      <tp>
        <v>0.46776055372537018</v>
        <stp/>
        <stp>EM_S_RATIO_EPS_TTM</stp>
        <stp>3</stp>
        <stp>600180</stp>
        <stp>12/31/2018</stp>
        <stp>1</stp>
        <tr r="U2347" s="1"/>
      </tp>
      <tp>
        <v>0.10266558619848348</v>
        <stp/>
        <stp>EM_S_RATIO_EPS_TTM</stp>
        <stp>3</stp>
        <stp>600080</stp>
        <stp>12/31/2018</stp>
        <stp>1</stp>
        <tr r="U2993" s="1"/>
      </tp>
      <tp>
        <v>0.36088690623958708</v>
        <stp/>
        <stp>EM_S_RATIO_EPS_TTM</stp>
        <stp>3</stp>
        <stp>600380</stp>
        <stp>12/31/2018</stp>
        <stp>1</stp>
        <tr r="U567" s="1"/>
      </tp>
      <tp>
        <v>-0.29640324661324052</v>
        <stp/>
        <stp>EM_S_RATIO_EPS_TTM</stp>
        <stp>3</stp>
        <stp>600280</stp>
        <stp>12/31/2018</stp>
        <stp>1</stp>
        <tr r="U2933" s="1"/>
      </tp>
      <tp>
        <v>0.49235030653313866</v>
        <stp/>
        <stp>EM_S_RATIO_EPS_TTM</stp>
        <stp>3</stp>
        <stp>600580</stp>
        <stp>12/31/2018</stp>
        <stp>1</stp>
        <tr r="U186" s="1"/>
      </tp>
      <tp>
        <v>0.59779466980980722</v>
        <stp/>
        <stp>EM_S_RATIO_EPS_TTM</stp>
        <stp>3</stp>
        <stp>600480</stp>
        <stp>12/31/2018</stp>
        <stp>1</stp>
        <tr r="U2408" s="1"/>
      </tp>
      <tp>
        <v>0.19535104566010625</v>
        <stp/>
        <stp>EM_S_RATIO_EPS_TTM</stp>
        <stp>3</stp>
        <stp>600780</stp>
        <stp>12/31/2018</stp>
        <stp>1</stp>
        <tr r="U1853" s="1"/>
      </tp>
      <tp>
        <v>-0.51970581743512212</v>
        <stp/>
        <stp>EM_S_RATIO_EPS_TTM</stp>
        <stp>3</stp>
        <stp>600680</stp>
        <stp>12/31/2018</stp>
        <stp>1</stp>
        <tr r="U2316" s="1"/>
      </tp>
      <tp>
        <v>0.22255408761901657</v>
        <stp/>
        <stp>EM_S_RATIO_EPS_TTM</stp>
        <stp>3</stp>
        <stp>600980</stp>
        <stp>12/31/2018</stp>
        <stp>1</stp>
        <tr r="U669" s="1"/>
      </tp>
      <tp>
        <v>-0.76946487005706588</v>
        <stp/>
        <stp>EM_S_RATIO_EPS_TTM</stp>
        <stp>3</stp>
        <stp>600880</stp>
        <stp>12/31/2018</stp>
        <stp>1</stp>
        <tr r="U1852" s="1"/>
      </tp>
      <tp>
        <v>0.28320625682</v>
        <stp/>
        <stp>EM_S_FA_ASSETSTURN</stp>
        <stp>3</stp>
        <stp>600834</stp>
        <stp>12/31/2018</stp>
        <stp>1</stp>
        <tr r="K1990" s="1"/>
      </tp>
      <tp>
        <v>0.31887132396200002</v>
        <stp/>
        <stp>EM_S_FA_ASSETSTURN</stp>
        <stp>3</stp>
        <stp>300364</stp>
        <stp>12/31/2018</stp>
        <stp>1</stp>
        <tr r="K2917" s="1"/>
      </tp>
      <tp>
        <v>0.37367755377900003</v>
        <stp/>
        <stp>EM_S_FA_ASSETSTURN</stp>
        <stp>3</stp>
        <stp>300264</stp>
        <stp>12/31/2018</stp>
        <stp>1</stp>
        <tr r="K2027" s="1"/>
      </tp>
      <tp>
        <v>0.298176672393</v>
        <stp/>
        <stp>EM_S_FA_ASSETSTURN</stp>
        <stp>3</stp>
        <stp>600234</stp>
        <stp>12/31/2018</stp>
        <stp>1</stp>
        <tr r="K1543" s="1"/>
      </tp>
      <tp>
        <v>0.56541126639399997</v>
        <stp/>
        <stp>EM_S_FA_ASSETSTURN</stp>
        <stp>3</stp>
        <stp>300164</stp>
        <stp>12/31/2018</stp>
        <stp>1</stp>
        <tr r="K2988" s="1"/>
      </tp>
      <tp>
        <v>0.132737649253</v>
        <stp/>
        <stp>EM_S_FA_ASSETSTURN</stp>
        <stp>3</stp>
        <stp>300064</stp>
        <stp>12/31/2018</stp>
        <stp>1</stp>
        <tr r="K3172" s="1"/>
      </tp>
      <tp>
        <v>0.86874354446099999</v>
        <stp/>
        <stp>EM_S_FA_ASSETSTURN</stp>
        <stp>3</stp>
        <stp>600734</stp>
        <stp>12/31/2018</stp>
        <stp>1</stp>
        <tr r="K1850" s="1"/>
      </tp>
      <tp>
        <v>0.160527288489</v>
        <stp/>
        <stp>EM_S_FA_ASSETSTURN</stp>
        <stp>3</stp>
        <stp>300664</stp>
        <stp>12/31/2018</stp>
        <stp>1</stp>
        <tr r="K1901" s="1"/>
      </tp>
      <tp>
        <v>0.16126314464899999</v>
        <stp/>
        <stp>EM_S_FA_ASSETSTURN</stp>
        <stp>3</stp>
        <stp>600634</stp>
        <stp>12/31/2018</stp>
        <stp>1</stp>
        <tr r="K3293" s="1"/>
      </tp>
      <tp>
        <v>2.5282660966530002</v>
        <stp/>
        <stp>EM_S_FA_ASSETSTURN</stp>
        <stp>3</stp>
        <stp>000554</stp>
        <stp>12/31/2018</stp>
        <stp>1</stp>
        <tr r="K2564" s="1"/>
      </tp>
      <tp>
        <v>0.361639482949</v>
        <stp/>
        <stp>EM_S_FA_ASSETSTURN</stp>
        <stp>3</stp>
        <stp>300464</stp>
        <stp>12/31/2018</stp>
        <stp>1</stp>
        <tr r="K195" s="1"/>
      </tp>
      <tp>
        <v>0.226275212364</v>
        <stp/>
        <stp>EM_S_FA_ASSETSTURN</stp>
        <stp>3</stp>
        <stp>002354</stp>
        <stp>12/31/2018</stp>
        <stp>1</stp>
        <tr r="K3345" s="1"/>
      </tp>
      <tp>
        <v>0.67744190228699996</v>
        <stp/>
        <stp>EM_S_FA_ASSETSTURN</stp>
        <stp>3</stp>
        <stp>002254</stp>
        <stp>12/31/2018</stp>
        <stp>1</stp>
        <tr r="K2504" s="1"/>
      </tp>
      <tp>
        <v>0.73580986023399997</v>
        <stp/>
        <stp>EM_S_FA_ASSETSTURN</stp>
        <stp>3</stp>
        <stp>002154</stp>
        <stp>12/31/2018</stp>
        <stp>1</stp>
        <tr r="K1861" s="1"/>
      </tp>
      <tp>
        <v>0.55880831158400002</v>
        <stp/>
        <stp>EM_S_FA_ASSETSTURN</stp>
        <stp>3</stp>
        <stp>002054</stp>
        <stp>12/31/2018</stp>
        <stp>1</stp>
        <tr r="K3620" s="1"/>
      </tp>
      <tp>
        <v>1.0322541099260001</v>
        <stp/>
        <stp>EM_S_FA_ASSETSTURN</stp>
        <stp>3</stp>
        <stp>002654</stp>
        <stp>12/31/2018</stp>
        <stp>1</stp>
        <tr r="K606" s="1"/>
      </tp>
      <tp>
        <v>0.38662967800199999</v>
        <stp/>
        <stp>EM_S_FA_ASSETSTURN</stp>
        <stp>3</stp>
        <stp>002554</stp>
        <stp>12/31/2018</stp>
        <stp>1</stp>
        <tr r="K1656" s="1"/>
      </tp>
      <tp>
        <v>0.61178502500999998</v>
        <stp/>
        <stp>EM_S_FA_ASSETSTURN</stp>
        <stp>3</stp>
        <stp>002454</stp>
        <stp>12/31/2018</stp>
        <stp>1</stp>
        <tr r="K1327" s="1"/>
      </tp>
      <tp>
        <v>0.51633677380419496</v>
        <stp/>
        <stp>EM_S_RATIO_EPS_TTM</stp>
        <stp>3</stp>
        <stp>603183</stp>
        <stp>12/31/2018</stp>
        <stp>1</stp>
        <tr r="U3318" s="1"/>
      </tp>
      <tp>
        <v>0.59619119299420531</v>
        <stp/>
        <stp>EM_S_RATIO_EPS_TTM</stp>
        <stp>3</stp>
        <stp>603083</stp>
        <stp>12/31/2018</stp>
        <stp>1</stp>
        <tr r="U1659" s="1"/>
      </tp>
      <tp>
        <v>0.99636778423109496</v>
        <stp/>
        <stp>EM_S_RATIO_EPS_TTM</stp>
        <stp>3</stp>
        <stp>603383</stp>
        <stp>12/31/2018</stp>
        <stp>1</stp>
        <tr r="U88" s="1"/>
      </tp>
      <tp>
        <v>0.74364207910967972</v>
        <stp/>
        <stp>EM_S_RATIO_EPS_TTM</stp>
        <stp>3</stp>
        <stp>603283</stp>
        <stp>12/31/2018</stp>
        <stp>1</stp>
        <tr r="U288" s="1"/>
      </tp>
      <tp>
        <v>0.18129855695902741</v>
        <stp/>
        <stp>EM_S_RATIO_EPS_TTM</stp>
        <stp>3</stp>
        <stp>603683</stp>
        <stp>12/31/2018</stp>
        <stp>1</stp>
        <tr r="U2437" s="1"/>
      </tp>
      <tp>
        <v>1.5267378963930567</v>
        <stp/>
        <stp>EM_S_RATIO_EPS_TTM</stp>
        <stp>3</stp>
        <stp>603883</stp>
        <stp>12/31/2018</stp>
        <stp>1</stp>
        <tr r="U819" s="1"/>
      </tp>
      <tp>
        <v>0.47247835910662778</v>
        <stp/>
        <stp>EM_S_RATIO_EPS_TTM</stp>
        <stp>3</stp>
        <stp>600183</stp>
        <stp>12/31/2018</stp>
        <stp>1</stp>
        <tr r="U138" s="1"/>
      </tp>
      <tp>
        <v>-0.22803055591304347</v>
        <stp/>
        <stp>EM_S_RATIO_EPS_TTM</stp>
        <stp>3</stp>
        <stp>600083</stp>
        <stp>12/31/2018</stp>
        <stp>1</stp>
        <tr r="U1494" s="1"/>
      </tp>
      <tp>
        <v>1.793835899611518</v>
        <stp/>
        <stp>EM_S_RATIO_EPS_TTM</stp>
        <stp>3</stp>
        <stp>600383</stp>
        <stp>12/31/2018</stp>
        <stp>1</stp>
        <tr r="U593" s="1"/>
      </tp>
      <tp>
        <v>0.16424698063935375</v>
        <stp/>
        <stp>EM_S_RATIO_EPS_TTM</stp>
        <stp>3</stp>
        <stp>600283</stp>
        <stp>12/31/2018</stp>
        <stp>1</stp>
        <tr r="U2697" s="1"/>
      </tp>
      <tp>
        <v>1.804379256557289E-2</v>
        <stp/>
        <stp>EM_S_RATIO_EPS_TTM</stp>
        <stp>3</stp>
        <stp>600583</stp>
        <stp>12/31/2018</stp>
        <stp>1</stp>
        <tr r="U616" s="1"/>
      </tp>
      <tp>
        <v>0.67688292138559636</v>
        <stp/>
        <stp>EM_S_RATIO_EPS_TTM</stp>
        <stp>3</stp>
        <stp>600483</stp>
        <stp>12/31/2018</stp>
        <stp>1</stp>
        <tr r="U1892" s="1"/>
      </tp>
      <tp>
        <v>0.25111763465131132</v>
        <stp/>
        <stp>EM_S_RATIO_EPS_TTM</stp>
        <stp>3</stp>
        <stp>600783</stp>
        <stp>12/31/2018</stp>
        <stp>1</stp>
        <tr r="U2462" s="1"/>
      </tp>
      <tp>
        <v>0.483086657033447</v>
        <stp/>
        <stp>EM_S_RATIO_EPS_TTM</stp>
        <stp>3</stp>
        <stp>600683</stp>
        <stp>12/31/2018</stp>
        <stp>1</stp>
        <tr r="U2385" s="1"/>
      </tp>
      <tp>
        <v>0.34163120544492126</v>
        <stp/>
        <stp>EM_S_RATIO_EPS_TTM</stp>
        <stp>3</stp>
        <stp>600983</stp>
        <stp>12/31/2018</stp>
        <stp>1</stp>
        <tr r="U2645" s="1"/>
      </tp>
      <tp>
        <v>4.5536664802954825E-2</v>
        <stp/>
        <stp>EM_S_RATIO_EPS_TTM</stp>
        <stp>3</stp>
        <stp>600883</stp>
        <stp>12/31/2018</stp>
        <stp>1</stp>
        <tr r="U1056" s="1"/>
      </tp>
      <tp>
        <v>0.602549629004</v>
        <stp/>
        <stp>EM_S_FA_ASSETSTURN</stp>
        <stp>3</stp>
        <stp>000955</stp>
        <stp>12/31/2018</stp>
        <stp>1</stp>
        <tr r="K3585" s="1"/>
      </tp>
      <tp>
        <v>0.63212628897300005</v>
        <stp/>
        <stp>EM_S_FA_ASSETSTURN</stp>
        <stp>3</stp>
        <stp>600835</stp>
        <stp>12/31/2018</stp>
        <stp>1</stp>
        <tr r="K1537" s="1"/>
      </tp>
      <tp>
        <v>0.52587613834000002</v>
        <stp/>
        <stp>EM_S_FA_ASSETSTURN</stp>
        <stp>3</stp>
        <stp>300365</stp>
        <stp>12/31/2018</stp>
        <stp>1</stp>
        <tr r="K3299" s="1"/>
      </tp>
      <tp>
        <v>1.7430367330850001</v>
        <stp/>
        <stp>EM_S_FA_ASSETSTURN</stp>
        <stp>3</stp>
        <stp>600335</stp>
        <stp>12/31/2018</stp>
        <stp>1</stp>
        <tr r="K2633" s="1"/>
      </tp>
      <tp>
        <v>0.73107586013100001</v>
        <stp/>
        <stp>EM_S_FA_ASSETSTURN</stp>
        <stp>3</stp>
        <stp>300265</stp>
        <stp>12/31/2018</stp>
        <stp>1</stp>
        <tr r="K2552" s="1"/>
      </tp>
      <tp>
        <v>0.68753405970500003</v>
        <stp/>
        <stp>EM_S_FA_ASSETSTURN</stp>
        <stp>3</stp>
        <stp>600235</stp>
        <stp>12/31/2018</stp>
        <stp>1</stp>
        <tr r="K2924" s="1"/>
      </tp>
      <tp>
        <v>0.60967154881700003</v>
        <stp/>
        <stp>EM_S_FA_ASSETSTURN</stp>
        <stp>3</stp>
        <stp>000155</stp>
        <stp>12/31/2018</stp>
        <stp>1</stp>
        <tr r="K1263" s="1"/>
      </tp>
      <tp>
        <v>0.45712787053499998</v>
        <stp/>
        <stp>EM_S_FA_ASSETSTURN</stp>
        <stp>3</stp>
        <stp>300165</stp>
        <stp>12/31/2018</stp>
        <stp>1</stp>
        <tr r="K1207" s="1"/>
      </tp>
      <tp>
        <v>0.78943599445500001</v>
        <stp/>
        <stp>EM_S_FA_ASSETSTURN</stp>
        <stp>3</stp>
        <stp>600135</stp>
        <stp>12/31/2018</stp>
        <stp>1</stp>
        <tr r="K1020" s="1"/>
      </tp>
      <tp>
        <v>0.33347560657500003</v>
        <stp/>
        <stp>EM_S_FA_ASSETSTURN</stp>
        <stp>3</stp>
        <stp>000055</stp>
        <stp>12/31/2018</stp>
        <stp>1</stp>
        <tr r="K1107" s="1"/>
      </tp>
      <tp>
        <v>0.35135532918000001</v>
        <stp/>
        <stp>EM_S_FA_ASSETSTURN</stp>
        <stp>3</stp>
        <stp>300065</stp>
        <stp>12/31/2018</stp>
        <stp>1</stp>
        <tr r="K1337" s="1"/>
      </tp>
      <tp>
        <v>0.285190841152</v>
        <stp/>
        <stp>EM_S_FA_ASSETSTURN</stp>
        <stp>3</stp>
        <stp>600035</stp>
        <stp>12/31/2018</stp>
        <stp>1</stp>
        <tr r="K1452" s="1"/>
      </tp>
      <tp>
        <v>0.28732063765299998</v>
        <stp/>
        <stp>EM_S_FA_ASSETSTURN</stp>
        <stp>3</stp>
        <stp>000755</stp>
        <stp>12/31/2018</stp>
        <stp>1</stp>
        <tr r="K3528" s="1"/>
      </tp>
      <tp>
        <v>1.2065174837699999</v>
        <stp/>
        <stp>EM_S_FA_ASSETSTURN</stp>
        <stp>3</stp>
        <stp>600735</stp>
        <stp>12/31/2018</stp>
        <stp>1</stp>
        <tr r="K990" s="1"/>
      </tp>
      <tp>
        <v>0.38751337990700002</v>
        <stp/>
        <stp>EM_S_FA_ASSETSTURN</stp>
        <stp>3</stp>
        <stp>000655</stp>
        <stp>12/31/2018</stp>
        <stp>1</stp>
        <tr r="K3494" s="1"/>
      </tp>
      <tp>
        <v>0.529890632827</v>
        <stp/>
        <stp>EM_S_FA_ASSETSTURN</stp>
        <stp>3</stp>
        <stp>300665</stp>
        <stp>12/31/2018</stp>
        <stp>1</stp>
        <tr r="K1720" s="1"/>
      </tp>
      <tp>
        <v>0.23940446060699999</v>
        <stp/>
        <stp>EM_S_FA_ASSETSTURN</stp>
        <stp>3</stp>
        <stp>600635</stp>
        <stp>12/31/2018</stp>
        <stp>1</stp>
        <tr r="K2147" s="1"/>
      </tp>
      <tp>
        <v>0.84771222337600005</v>
        <stp/>
        <stp>EM_S_FA_ASSETSTURN</stp>
        <stp>3</stp>
        <stp>000555</stp>
        <stp>12/31/2018</stp>
        <stp>1</stp>
        <tr r="K519" s="1"/>
      </tp>
      <tp>
        <v>0.51003546911300002</v>
        <stp/>
        <stp>EM_S_FA_ASSETSTURN</stp>
        <stp>3</stp>
        <stp>300565</stp>
        <stp>12/31/2018</stp>
        <stp>1</stp>
        <tr r="K3141" s="1"/>
      </tp>
      <tp>
        <v>0.77036928729800003</v>
        <stp/>
        <stp>EM_S_FA_ASSETSTURN</stp>
        <stp>3</stp>
        <stp>600535</stp>
        <stp>12/31/2018</stp>
        <stp>1</stp>
        <tr r="K3081" s="1"/>
      </tp>
      <tp>
        <v>0.68826178477099997</v>
        <stp/>
        <stp>EM_S_FA_ASSETSTURN</stp>
        <stp>3</stp>
        <stp>300465</stp>
        <stp>12/31/2018</stp>
        <stp>1</stp>
        <tr r="K477" s="1"/>
      </tp>
      <tp>
        <v>0.40416136590200002</v>
        <stp/>
        <stp>EM_S_FA_ASSETSTURN</stp>
        <stp>3</stp>
        <stp>600435</stp>
        <stp>12/31/2018</stp>
        <stp>1</stp>
        <tr r="K1564" s="1"/>
      </tp>
      <tp>
        <v>0.94606666660399996</v>
        <stp/>
        <stp>EM_S_FA_ASSETSTURN</stp>
        <stp>3</stp>
        <stp>603335</stp>
        <stp>12/31/2018</stp>
        <stp>1</stp>
        <tr r="K3070" s="1"/>
      </tp>
      <tp>
        <v>0.37875471165000002</v>
        <stp/>
        <stp>EM_S_FA_ASSETSTURN</stp>
        <stp>3</stp>
        <stp>603035</stp>
        <stp>12/31/2018</stp>
        <stp>1</stp>
        <tr r="K1913" s="1"/>
      </tp>
      <tp>
        <v>0.62126436897799997</v>
        <stp/>
        <stp>EM_S_FA_ASSETSTURN</stp>
        <stp>3</stp>
        <stp>603535</stp>
        <stp>12/31/2018</stp>
        <stp>1</stp>
        <tr r="K2420" s="1"/>
      </tp>
      <tp>
        <v>0.98062813750300004</v>
        <stp/>
        <stp>EM_S_FA_ASSETSTURN</stp>
        <stp>3</stp>
        <stp>002855</stp>
        <stp>12/31/2018</stp>
        <stp>1</stp>
        <tr r="K475" s="1"/>
      </tp>
      <tp>
        <v>0.41134445833700001</v>
        <stp/>
        <stp>EM_S_FA_ASSETSTURN</stp>
        <stp>3</stp>
        <stp>002355</stp>
        <stp>12/31/2018</stp>
        <stp>1</stp>
        <tr r="K2718" s="1"/>
      </tp>
      <tp>
        <v>0.319171842165</v>
        <stp/>
        <stp>EM_S_FA_ASSETSTURN</stp>
        <stp>3</stp>
        <stp>002255</stp>
        <stp>12/31/2018</stp>
        <stp>1</stp>
        <tr r="K3028" s="1"/>
      </tp>
      <tp>
        <v>1.8093723988870001</v>
        <stp/>
        <stp>EM_S_FA_ASSETSTURN</stp>
        <stp>3</stp>
        <stp>002155</stp>
        <stp>12/31/2018</stp>
        <stp>1</stp>
        <tr r="K2369" s="1"/>
      </tp>
      <tp>
        <v>0.754834846354</v>
        <stp/>
        <stp>EM_S_FA_ASSETSTURN</stp>
        <stp>3</stp>
        <stp>002055</stp>
        <stp>12/31/2018</stp>
        <stp>1</stp>
        <tr r="K1666" s="1"/>
      </tp>
      <tp>
        <v>2.0559779313500002</v>
        <stp/>
        <stp>EM_S_FA_ASSETSTURN</stp>
        <stp>3</stp>
        <stp>002755</stp>
        <stp>12/31/2018</stp>
        <stp>1</stp>
        <tr r="K1289" s="1"/>
      </tp>
      <tp>
        <v>0.73122933811400004</v>
        <stp/>
        <stp>EM_S_FA_ASSETSTURN</stp>
        <stp>3</stp>
        <stp>002655</stp>
        <stp>12/31/2018</stp>
        <stp>1</stp>
        <tr r="K153" s="1"/>
      </tp>
      <tp>
        <v>0.86952875424200005</v>
        <stp/>
        <stp>EM_S_FA_ASSETSTURN</stp>
        <stp>3</stp>
        <stp>002555</stp>
        <stp>12/31/2018</stp>
        <stp>1</stp>
        <tr r="K50" s="1"/>
      </tp>
      <tp>
        <v>1.1117265634889999</v>
        <stp/>
        <stp>EM_S_FA_ASSETSTURN</stp>
        <stp>3</stp>
        <stp>002455</stp>
        <stp>12/31/2018</stp>
        <stp>1</stp>
        <tr r="K1250" s="1"/>
      </tp>
      <tp>
        <v>0.50956380221122843</v>
        <stp/>
        <stp>EM_S_RATIO_EPS_TTM</stp>
        <stp>3</stp>
        <stp>603882</stp>
        <stp>12/31/2018</stp>
        <stp>1</stp>
        <tr r="U116" s="1"/>
      </tp>
      <tp>
        <v>0.19445934773946361</v>
        <stp/>
        <stp>EM_S_RATIO_EPS_TTM</stp>
        <stp>3</stp>
        <stp>601882</stp>
        <stp>12/31/2018</stp>
        <stp>1</stp>
        <tr r="U2144" s="1"/>
      </tp>
      <tp>
        <v>0.26130277902941179</v>
        <stp/>
        <stp>EM_S_RATIO_EPS_TTM</stp>
        <stp>3</stp>
        <stp>600182</stp>
        <stp>12/31/2018</stp>
        <stp>1</stp>
        <tr r="U1800" s="1"/>
      </tp>
      <tp>
        <v>2.2687921933056007E-2</v>
        <stp/>
        <stp>EM_S_RATIO_EPS_TTM</stp>
        <stp>3</stp>
        <stp>600082</stp>
        <stp>12/31/2018</stp>
        <stp>1</stp>
        <tr r="U2681" s="1"/>
      </tp>
      <tp>
        <v>0.83145199934582725</v>
        <stp/>
        <stp>EM_S_RATIO_EPS_TTM</stp>
        <stp>3</stp>
        <stp>600382</stp>
        <stp>12/31/2018</stp>
        <stp>1</stp>
        <tr r="U2733" s="1"/>
      </tp>
      <tp>
        <v>0.90635576921329453</v>
        <stp/>
        <stp>EM_S_RATIO_EPS_TTM</stp>
        <stp>3</stp>
        <stp>600282</stp>
        <stp>12/31/2018</stp>
        <stp>1</stp>
        <tr r="U2261" s="1"/>
      </tp>
      <tp>
        <v>0.23235610986122562</v>
        <stp/>
        <stp>EM_S_RATIO_EPS_TTM</stp>
        <stp>3</stp>
        <stp>600582</stp>
        <stp>12/31/2018</stp>
        <stp>1</stp>
        <tr r="U2641" s="1"/>
      </tp>
      <tp>
        <v>0.78516103146527239</v>
        <stp/>
        <stp>EM_S_RATIO_EPS_TTM</stp>
        <stp>3</stp>
        <stp>600482</stp>
        <stp>12/31/2018</stp>
        <stp>1</stp>
        <tr r="U2777" s="1"/>
      </tp>
      <tp>
        <v>1.8518779951569675</v>
        <stp/>
        <stp>EM_S_RATIO_EPS_TTM</stp>
        <stp>3</stp>
        <stp>600782</stp>
        <stp>12/31/2018</stp>
        <stp>1</stp>
        <tr r="U2374" s="1"/>
      </tp>
      <tp>
        <v>-0.68529485220366149</v>
        <stp/>
        <stp>EM_S_RATIO_EPS_TTM</stp>
        <stp>3</stp>
        <stp>600682</stp>
        <stp>12/31/2018</stp>
        <stp>1</stp>
        <tr r="U1585" s="1"/>
      </tp>
      <tp>
        <v>0.20678889090008434</v>
        <stp/>
        <stp>EM_S_RATIO_EPS_TTM</stp>
        <stp>3</stp>
        <stp>600982</stp>
        <stp>12/31/2018</stp>
        <stp>1</stp>
        <tr r="U2729" s="1"/>
      </tp>
      <tp>
        <v>2.5967807901778703E-2</v>
        <stp/>
        <stp>EM_S_RATIO_EPS_TTM</stp>
        <stp>3</stp>
        <stp>600882</stp>
        <stp>12/31/2018</stp>
        <stp>1</stp>
        <tr r="U211" s="1"/>
      </tp>
      <tp>
        <v>0.55685641912399997</v>
        <stp/>
        <stp>EM_S_FA_ASSETSTURN</stp>
        <stp>3</stp>
        <stp>601928</stp>
        <stp>12/31/2018</stp>
        <stp>1</stp>
        <tr r="K2548" s="1"/>
      </tp>
      <tp>
        <v>0.13700319017699999</v>
        <stp/>
        <stp>EM_S_FA_ASSETSTURN</stp>
        <stp>3</stp>
        <stp>601828</stp>
        <stp>12/31/2018</stp>
        <stp>1</stp>
        <tr r="K2154" s="1"/>
      </tp>
      <tp>
        <v>0</v>
        <stp/>
        <stp>EM_S_FA_ASSETSTURN</stp>
        <stp>3</stp>
        <stp>601328</stp>
        <stp>12/31/2018</stp>
        <stp>1</stp>
        <tr r="K2457" s="1"/>
      </tp>
      <tp>
        <v>0.36534362163400003</v>
        <stp/>
        <stp>EM_S_FA_ASSETSTURN</stp>
        <stp>3</stp>
        <stp>601228</stp>
        <stp>12/31/2018</stp>
        <stp>1</stp>
        <tr r="K2498" s="1"/>
      </tp>
      <tp>
        <v>0</v>
        <stp/>
        <stp>EM_S_FA_ASSETSTURN</stp>
        <stp>3</stp>
        <stp>601128</stp>
        <stp>12/31/2018</stp>
        <stp>1</stp>
        <tr r="K693" s="1"/>
      </tp>
      <tp>
        <v>0.56453231706600004</v>
        <stp/>
        <stp>EM_S_FA_ASSETSTURN</stp>
        <stp>3</stp>
        <stp>601028</stp>
        <stp>12/31/2018</stp>
        <stp>1</stp>
        <tr r="K1709" s="1"/>
      </tp>
      <tp>
        <v>0</v>
        <stp/>
        <stp>EM_S_FA_ASSETSTURN</stp>
        <stp>3</stp>
        <stp>601628</stp>
        <stp>12/31/2018</stp>
        <stp>1</stp>
        <tr r="K308" s="1"/>
      </tp>
      <tp>
        <v>0.94679417999299997</v>
        <stp/>
        <stp>EM_S_FA_ASSETSTURN</stp>
        <stp>3</stp>
        <stp>000948</stp>
        <stp>12/31/2018</stp>
        <stp>1</stp>
        <tr r="K1716" s="1"/>
      </tp>
      <tp>
        <v>0.75054156782000003</v>
        <stp/>
        <stp>EM_S_FA_ASSETSTURN</stp>
        <stp>3</stp>
        <stp>000848</stp>
        <stp>12/31/2018</stp>
        <stp>1</stp>
        <tr r="K2428" s="1"/>
      </tp>
      <tp>
        <v>0.70396771631499999</v>
        <stp/>
        <stp>EM_S_FA_ASSETSTURN</stp>
        <stp>3</stp>
        <stp>600828</stp>
        <stp>12/31/2018</stp>
        <stp>1</stp>
        <tr r="K2265" s="1"/>
      </tp>
      <tp>
        <v>0.60863303927400003</v>
        <stp/>
        <stp>EM_S_FA_ASSETSTURN</stp>
        <stp>3</stp>
        <stp>300378</stp>
        <stp>12/31/2018</stp>
        <stp>1</stp>
        <tr r="K552" s="1"/>
      </tp>
      <tp>
        <v>0.56204699723100005</v>
        <stp/>
        <stp>EM_S_FA_ASSETSTURN</stp>
        <stp>3</stp>
        <stp>600328</stp>
        <stp>12/31/2018</stp>
        <stp>1</stp>
        <tr r="K1295" s="1"/>
      </tp>
      <tp>
        <v>0.59729964447600004</v>
        <stp/>
        <stp>EM_S_FA_ASSETSTURN</stp>
        <stp>3</stp>
        <stp>300278</stp>
        <stp>12/31/2018</stp>
        <stp>1</stp>
        <tr r="K3145" s="1"/>
      </tp>
      <tp>
        <v>1.748743804626</v>
        <stp/>
        <stp>EM_S_FA_ASSETSTURN</stp>
        <stp>3</stp>
        <stp>600228</stp>
        <stp>12/31/2018</stp>
        <stp>1</stp>
        <tr r="K3169" s="1"/>
      </tp>
      <tp>
        <v>0.59923309369900002</v>
        <stp/>
        <stp>EM_S_FA_ASSETSTURN</stp>
        <stp>3</stp>
        <stp>300178</stp>
        <stp>12/31/2018</stp>
        <stp>1</stp>
        <tr r="K3346" s="1"/>
      </tp>
      <tp>
        <v>1.455235015842</v>
        <stp/>
        <stp>EM_S_FA_ASSETSTURN</stp>
        <stp>3</stp>
        <stp>600128</stp>
        <stp>12/31/2018</stp>
        <stp>1</stp>
        <tr r="K2583" s="1"/>
      </tp>
      <tp>
        <v>0.75642887977200002</v>
        <stp/>
        <stp>EM_S_FA_ASSETSTURN</stp>
        <stp>3</stp>
        <stp>000048</stp>
        <stp>12/31/2018</stp>
        <stp>1</stp>
        <tr r="K1177" s="1"/>
      </tp>
      <tp>
        <v>0.409318478042</v>
        <stp/>
        <stp>EM_S_FA_ASSETSTURN</stp>
        <stp>3</stp>
        <stp>300078</stp>
        <stp>12/31/2018</stp>
        <stp>1</stp>
        <tr r="K1234" s="1"/>
      </tp>
      <tp>
        <v>1.813895549675</v>
        <stp/>
        <stp>EM_S_FA_ASSETSTURN</stp>
        <stp>3</stp>
        <stp>600028</stp>
        <stp>12/31/2018</stp>
        <stp>1</stp>
        <tr r="K2245" s="1"/>
      </tp>
      <tp>
        <v>0</v>
        <stp/>
        <stp>EM_S_FA_ASSETSTURN</stp>
        <stp>3</stp>
        <stp>000748</stp>
        <stp>12/31/2018</stp>
        <stp>1</stp>
        <tr r="K3525" s="1"/>
      </tp>
      <tp>
        <v>0.682508517609</v>
        <stp/>
        <stp>EM_S_FA_ASSETSTURN</stp>
        <stp>3</stp>
        <stp>600728</stp>
        <stp>12/31/2018</stp>
        <stp>1</stp>
        <tr r="K794" s="1"/>
      </tp>
      <tp>
        <v>0.48512526974800002</v>
        <stp/>
        <stp>EM_S_FA_ASSETSTURN</stp>
        <stp>3</stp>
        <stp>300678</stp>
        <stp>12/31/2018</stp>
        <stp>1</stp>
        <tr r="K1418" s="1"/>
      </tp>
      <tp>
        <v>0.476617327067</v>
        <stp/>
        <stp>EM_S_FA_ASSETSTURN</stp>
        <stp>3</stp>
        <stp>600628</stp>
        <stp>12/31/2018</stp>
        <stp>1</stp>
        <tr r="K603" s="1"/>
      </tp>
      <tp>
        <v>0.14176572477300001</v>
        <stp/>
        <stp>EM_S_FA_ASSETSTURN</stp>
        <stp>3</stp>
        <stp>000548</stp>
        <stp>12/31/2018</stp>
        <stp>1</stp>
        <tr r="K3450" s="1"/>
      </tp>
      <tp>
        <v>0.60960610987700004</v>
        <stp/>
        <stp>EM_S_FA_ASSETSTURN</stp>
        <stp>3</stp>
        <stp>300578</stp>
        <stp>12/31/2018</stp>
        <stp>1</stp>
        <tr r="K543" s="1"/>
      </tp>
      <tp>
        <v>0.546300752675</v>
        <stp/>
        <stp>EM_S_FA_ASSETSTURN</stp>
        <stp>3</stp>
        <stp>600528</stp>
        <stp>12/31/2018</stp>
        <stp>1</stp>
        <tr r="K2069" s="1"/>
      </tp>
      <tp>
        <v>0.688272594174</v>
        <stp/>
        <stp>EM_S_FA_ASSETSTURN</stp>
        <stp>3</stp>
        <stp>300478</stp>
        <stp>12/31/2018</stp>
        <stp>1</stp>
        <tr r="K3004" s="1"/>
      </tp>
      <tp>
        <v>0.35305739829900001</v>
        <stp/>
        <stp>EM_S_FA_ASSETSTURN</stp>
        <stp>3</stp>
        <stp>600428</stp>
        <stp>12/31/2018</stp>
        <stp>1</stp>
        <tr r="K1477" s="1"/>
      </tp>
      <tp>
        <v>0.99242244053399997</v>
        <stp/>
        <stp>EM_S_FA_ASSETSTURN</stp>
        <stp>3</stp>
        <stp>603928</stp>
        <stp>12/31/2018</stp>
        <stp>1</stp>
        <tr r="K2878" s="1"/>
      </tp>
      <tp>
        <v>0.63201359537199997</v>
        <stp/>
        <stp>EM_S_FA_ASSETSTURN</stp>
        <stp>3</stp>
        <stp>603828</stp>
        <stp>12/31/2018</stp>
        <stp>1</stp>
        <tr r="K3237" s="1"/>
      </tp>
      <tp>
        <v>0.60695684115100001</v>
        <stp/>
        <stp>EM_S_FA_ASSETSTURN</stp>
        <stp>3</stp>
        <stp>603328</stp>
        <stp>12/31/2018</stp>
        <stp>1</stp>
        <tr r="K1464" s="1"/>
      </tp>
      <tp>
        <v>0.80105348787999997</v>
        <stp/>
        <stp>EM_S_FA_ASSETSTURN</stp>
        <stp>3</stp>
        <stp>603228</stp>
        <stp>12/31/2018</stp>
        <stp>1</stp>
        <tr r="K2805" s="1"/>
      </tp>
      <tp>
        <v>1.723681446834</v>
        <stp/>
        <stp>EM_S_FA_ASSETSTURN</stp>
        <stp>3</stp>
        <stp>603128</stp>
        <stp>12/31/2018</stp>
        <stp>1</stp>
        <tr r="K1380" s="1"/>
      </tp>
      <tp>
        <v>0.56808470999500005</v>
        <stp/>
        <stp>EM_S_FA_ASSETSTURN</stp>
        <stp>3</stp>
        <stp>603028</stp>
        <stp>12/31/2018</stp>
        <stp>1</stp>
        <tr r="K383" s="1"/>
      </tp>
      <tp>
        <v>0.81749235964400002</v>
        <stp/>
        <stp>EM_S_FA_ASSETSTURN</stp>
        <stp>3</stp>
        <stp>603728</stp>
        <stp>12/31/2018</stp>
        <stp>1</stp>
        <tr r="K2855" s="1"/>
      </tp>
      <tp>
        <v>0.37881994639099997</v>
        <stp/>
        <stp>EM_S_FA_ASSETSTURN</stp>
        <stp>3</stp>
        <stp>603628</stp>
        <stp>12/31/2018</stp>
        <stp>1</stp>
        <tr r="K1789" s="1"/>
      </tp>
      <tp>
        <v>0.26587858187399999</v>
        <stp/>
        <stp>EM_S_FA_ASSETSTURN</stp>
        <stp>3</stp>
        <stp>603528</stp>
        <stp>12/31/2018</stp>
        <stp>1</stp>
        <tr r="K1609" s="1"/>
      </tp>
      <tp>
        <v>0.63520869848899997</v>
        <stp/>
        <stp>EM_S_FA_ASSETSTURN</stp>
        <stp>3</stp>
        <stp>002848</stp>
        <stp>12/31/2018</stp>
        <stp>1</stp>
        <tr r="K1699" s="1"/>
      </tp>
      <tp>
        <v>0.462408829726</v>
        <stp/>
        <stp>EM_S_FA_ASSETSTURN</stp>
        <stp>3</stp>
        <stp>002348</stp>
        <stp>12/31/2018</stp>
        <stp>1</stp>
        <tr r="K2047" s="1"/>
      </tp>
      <tp>
        <v>7.1765974083999998E-2</v>
        <stp/>
        <stp>EM_S_FA_ASSETSTURN</stp>
        <stp>3</stp>
        <stp>002248</stp>
        <stp>12/31/2018</stp>
        <stp>1</stp>
        <tr r="K2746" s="1"/>
      </tp>
      <tp>
        <v>0.17686021581899999</v>
        <stp/>
        <stp>EM_S_FA_ASSETSTURN</stp>
        <stp>3</stp>
        <stp>002148</stp>
        <stp>12/31/2018</stp>
        <stp>1</stp>
        <tr r="K2885" s="1"/>
      </tp>
      <tp>
        <v>0.91953135334500002</v>
        <stp/>
        <stp>EM_S_FA_ASSETSTURN</stp>
        <stp>3</stp>
        <stp>002048</stp>
        <stp>12/31/2018</stp>
        <stp>1</stp>
        <tr r="K510" s="1"/>
      </tp>
      <tp>
        <v>1.0283671011760001</v>
        <stp/>
        <stp>EM_S_FA_ASSETSTURN</stp>
        <stp>3</stp>
        <stp>002748</stp>
        <stp>12/31/2018</stp>
        <stp>1</stp>
        <tr r="K2044" s="1"/>
      </tp>
      <tp>
        <v>0.83848839549800003</v>
        <stp/>
        <stp>EM_S_FA_ASSETSTURN</stp>
        <stp>3</stp>
        <stp>002648</stp>
        <stp>12/31/2018</stp>
        <stp>1</stp>
        <tr r="K309" s="1"/>
      </tp>
      <tp>
        <v>0.74013177119899998</v>
        <stp/>
        <stp>EM_S_FA_ASSETSTURN</stp>
        <stp>3</stp>
        <stp>002548</stp>
        <stp>12/31/2018</stp>
        <stp>1</stp>
        <tr r="K938" s="1"/>
      </tp>
      <tp>
        <v>0.40075043860499998</v>
        <stp/>
        <stp>EM_S_FA_ASSETSTURN</stp>
        <stp>3</stp>
        <stp>002448</stp>
        <stp>12/31/2018</stp>
        <stp>1</stp>
        <tr r="K2396" s="1"/>
      </tp>
      <tp>
        <v>0.16115643555100001</v>
        <stp/>
        <stp>EM_S_FA_ASSETSTURN</stp>
        <stp>3</stp>
        <stp>601929</stp>
        <stp>12/31/2018</stp>
        <stp>1</stp>
        <tr r="K2062" s="1"/>
      </tp>
      <tp>
        <v>0</v>
        <stp/>
        <stp>EM_S_FA_ASSETSTURN</stp>
        <stp>3</stp>
        <stp>601229</stp>
        <stp>12/31/2018</stp>
        <stp>1</stp>
        <tr r="K2929" s="1"/>
      </tp>
      <tp>
        <v>0.62604858627100002</v>
        <stp/>
        <stp>EM_S_FA_ASSETSTURN</stp>
        <stp>3</stp>
        <stp>000949</stp>
        <stp>12/31/2018</stp>
        <stp>1</stp>
        <tr r="K670" s="1"/>
      </tp>
      <tp>
        <v>0.68959978092200003</v>
        <stp/>
        <stp>EM_S_FA_ASSETSTURN</stp>
        <stp>3</stp>
        <stp>600929</stp>
        <stp>12/31/2018</stp>
        <stp>1</stp>
        <tr r="K3072" s="1"/>
      </tp>
      <tp>
        <v>1.5248347354409999</v>
        <stp/>
        <stp>EM_S_FA_ASSETSTURN</stp>
        <stp>3</stp>
        <stp>600829</stp>
        <stp>12/31/2018</stp>
        <stp>1</stp>
        <tr r="K1485" s="1"/>
      </tp>
      <tp>
        <v>0.207008996088</v>
        <stp/>
        <stp>EM_S_FA_ASSETSTURN</stp>
        <stp>3</stp>
        <stp>300379</stp>
        <stp>12/31/2018</stp>
        <stp>1</stp>
        <tr r="K36" s="1"/>
      </tp>
      <tp>
        <v>0.92643271001399996</v>
        <stp/>
        <stp>EM_S_FA_ASSETSTURN</stp>
        <stp>3</stp>
        <stp>600329</stp>
        <stp>12/31/2018</stp>
        <stp>1</stp>
        <tr r="K1791" s="1"/>
      </tp>
      <tp>
        <v>0.44596934240300001</v>
        <stp/>
        <stp>EM_S_FA_ASSETSTURN</stp>
        <stp>3</stp>
        <stp>300279</stp>
        <stp>12/31/2018</stp>
        <stp>1</stp>
        <tr r="K1022" s="1"/>
      </tp>
      <tp>
        <v>0.59517239453500004</v>
        <stp/>
        <stp>EM_S_FA_ASSETSTURN</stp>
        <stp>3</stp>
        <stp>600229</stp>
        <stp>12/31/2018</stp>
        <stp>1</stp>
        <tr r="K2004" s="1"/>
      </tp>
      <tp>
        <v>0.36438881088000002</v>
        <stp/>
        <stp>EM_S_FA_ASSETSTURN</stp>
        <stp>3</stp>
        <stp>300179</stp>
        <stp>12/31/2018</stp>
        <stp>1</stp>
        <tr r="K596" s="1"/>
      </tp>
      <tp>
        <v>0.90770619859699997</v>
        <stp/>
        <stp>EM_S_FA_ASSETSTURN</stp>
        <stp>3</stp>
        <stp>600129</stp>
        <stp>12/31/2018</stp>
        <stp>1</stp>
        <tr r="K892" s="1"/>
      </tp>
      <tp>
        <v>2.0983074543910001</v>
        <stp/>
        <stp>EM_S_FA_ASSETSTURN</stp>
        <stp>3</stp>
        <stp>000049</stp>
        <stp>12/31/2018</stp>
        <stp>1</stp>
        <tr r="K678" s="1"/>
      </tp>
      <tp>
        <v>0.353648601397</v>
        <stp/>
        <stp>EM_S_FA_ASSETSTURN</stp>
        <stp>3</stp>
        <stp>300079</stp>
        <stp>12/31/2018</stp>
        <stp>1</stp>
        <tr r="K236" s="1"/>
      </tp>
      <tp>
        <v>0.61775458940500005</v>
        <stp/>
        <stp>EM_S_FA_ASSETSTURN</stp>
        <stp>3</stp>
        <stp>600029</stp>
        <stp>12/31/2018</stp>
        <stp>1</stp>
        <tr r="K1859" s="1"/>
      </tp>
      <tp>
        <v>2.491593216249</v>
        <stp/>
        <stp>EM_S_FA_ASSETSTURN</stp>
        <stp>3</stp>
        <stp>600729</stp>
        <stp>12/31/2018</stp>
        <stp>1</stp>
        <tr r="K2021" s="1"/>
      </tp>
      <tp>
        <v>0.37167825808999999</v>
        <stp/>
        <stp>EM_S_FA_ASSETSTURN</stp>
        <stp>3</stp>
        <stp>300679</stp>
        <stp>12/31/2018</stp>
        <stp>1</stp>
        <tr r="K739" s="1"/>
      </tp>
      <tp>
        <v>0.75009825738500002</v>
        <stp/>
        <stp>EM_S_FA_ASSETSTURN</stp>
        <stp>3</stp>
        <stp>600629</stp>
        <stp>12/31/2018</stp>
        <stp>1</stp>
        <tr r="K3119" s="1"/>
      </tp>
      <tp>
        <v>0</v>
        <stp/>
        <stp>EM_S_FA_ASSETSTURN</stp>
        <stp>3</stp>
        <stp>000549</stp>
        <stp>12/31/2018</stp>
        <stp>1</stp>
        <tr r="K3451" s="1"/>
      </tp>
      <tp>
        <v>0.649294997865</v>
        <stp/>
        <stp>EM_S_FA_ASSETSTURN</stp>
        <stp>3</stp>
        <stp>300579</stp>
        <stp>12/31/2018</stp>
        <stp>1</stp>
        <tr r="K330" s="1"/>
      </tp>
      <tp>
        <v>0.58715681276700005</v>
        <stp/>
        <stp>EM_S_FA_ASSETSTURN</stp>
        <stp>3</stp>
        <stp>600529</stp>
        <stp>12/31/2018</stp>
        <stp>1</stp>
        <tr r="K589" s="1"/>
      </tp>
      <tp>
        <v>0.57583238847399998</v>
        <stp/>
        <stp>EM_S_FA_ASSETSTURN</stp>
        <stp>3</stp>
        <stp>300479</stp>
        <stp>12/31/2018</stp>
        <stp>1</stp>
        <tr r="K1154" s="1"/>
      </tp>
      <tp>
        <v>0.70656739009400005</v>
        <stp/>
        <stp>EM_S_FA_ASSETSTURN</stp>
        <stp>3</stp>
        <stp>600429</stp>
        <stp>12/31/2018</stp>
        <stp>1</stp>
        <tr r="K2394" s="1"/>
      </tp>
      <tp>
        <v>1.2541317070169999</v>
        <stp/>
        <stp>EM_S_FA_ASSETSTURN</stp>
        <stp>3</stp>
        <stp>603929</stp>
        <stp>12/31/2018</stp>
        <stp>1</stp>
        <tr r="K2220" s="1"/>
      </tp>
      <tp>
        <v>0.62068136328599999</v>
        <stp/>
        <stp>EM_S_FA_ASSETSTURN</stp>
        <stp>3</stp>
        <stp>603829</stp>
        <stp>12/31/2018</stp>
        <stp>1</stp>
        <tr r="K1573" s="1"/>
      </tp>
      <tp>
        <v>1.394074324667</v>
        <stp/>
        <stp>EM_S_FA_ASSETSTURN</stp>
        <stp>3</stp>
        <stp>603329</stp>
        <stp>12/31/2018</stp>
        <stp>1</stp>
        <tr r="K2895" s="1"/>
      </tp>
      <tp>
        <v>0.31600284430499997</v>
        <stp/>
        <stp>EM_S_FA_ASSETSTURN</stp>
        <stp>3</stp>
        <stp>603229</stp>
        <stp>12/31/2018</stp>
        <stp>1</stp>
        <tr r="K274" s="1"/>
      </tp>
      <tp>
        <v>1.3522224067969999</v>
        <stp/>
        <stp>EM_S_FA_ASSETSTURN</stp>
        <stp>3</stp>
        <stp>603129</stp>
        <stp>12/31/2018</stp>
        <stp>1</stp>
        <tr r="K76" s="1"/>
      </tp>
      <tp>
        <v>0.31883599747300001</v>
        <stp/>
        <stp>EM_S_FA_ASSETSTURN</stp>
        <stp>3</stp>
        <stp>603029</stp>
        <stp>12/31/2018</stp>
        <stp>1</stp>
        <tr r="K1695" s="1"/>
      </tp>
      <tp>
        <v>0.98372438550399999</v>
        <stp/>
        <stp>EM_S_FA_ASSETSTURN</stp>
        <stp>3</stp>
        <stp>603729</stp>
        <stp>12/31/2018</stp>
        <stp>1</stp>
        <tr r="K2042" s="1"/>
      </tp>
      <tp>
        <v>0.51342126787599995</v>
        <stp/>
        <stp>EM_S_FA_ASSETSTURN</stp>
        <stp>3</stp>
        <stp>603429</stp>
        <stp>12/31/2018</stp>
        <stp>1</stp>
        <tr r="K535" s="1"/>
      </tp>
      <tp>
        <v>0.73019104571399995</v>
        <stp/>
        <stp>EM_S_FA_ASSETSTURN</stp>
        <stp>3</stp>
        <stp>002849</stp>
        <stp>12/31/2018</stp>
        <stp>1</stp>
        <tr r="K2282" s="1"/>
      </tp>
      <tp>
        <v>0.407964703915</v>
        <stp/>
        <stp>EM_S_FA_ASSETSTURN</stp>
        <stp>3</stp>
        <stp>002349</stp>
        <stp>12/31/2018</stp>
        <stp>1</stp>
        <tr r="K3126" s="1"/>
      </tp>
      <tp>
        <v>0.54615032082500004</v>
        <stp/>
        <stp>EM_S_FA_ASSETSTURN</stp>
        <stp>3</stp>
        <stp>002249</stp>
        <stp>12/31/2018</stp>
        <stp>1</stp>
        <tr r="K1320" s="1"/>
      </tp>
      <tp>
        <v>0.462342957517</v>
        <stp/>
        <stp>EM_S_FA_ASSETSTURN</stp>
        <stp>3</stp>
        <stp>002149</stp>
        <stp>12/31/2018</stp>
        <stp>1</stp>
        <tr r="K618" s="1"/>
      </tp>
      <tp>
        <v>0.449723362869</v>
        <stp/>
        <stp>EM_S_FA_ASSETSTURN</stp>
        <stp>3</stp>
        <stp>002049</stp>
        <stp>12/31/2018</stp>
        <stp>1</stp>
        <tr r="K262" s="1"/>
      </tp>
      <tp>
        <v>0.82002663232899997</v>
        <stp/>
        <stp>EM_S_FA_ASSETSTURN</stp>
        <stp>3</stp>
        <stp>002749</stp>
        <stp>12/31/2018</stp>
        <stp>1</stp>
        <tr r="K3174" s="1"/>
      </tp>
      <tp>
        <v>0.92648972199699997</v>
        <stp/>
        <stp>EM_S_FA_ASSETSTURN</stp>
        <stp>3</stp>
        <stp>002649</stp>
        <stp>12/31/2018</stp>
        <stp>1</stp>
        <tr r="K807" s="1"/>
      </tp>
      <tp>
        <v>0.385645826335</v>
        <stp/>
        <stp>EM_S_FA_ASSETSTURN</stp>
        <stp>3</stp>
        <stp>002549</stp>
        <stp>12/31/2018</stp>
        <stp>1</stp>
        <tr r="K1576" s="1"/>
      </tp>
      <tp>
        <v>0.58598348446799997</v>
        <stp/>
        <stp>EM_S_FA_ASSETSTURN</stp>
        <stp>3</stp>
        <stp>002449</stp>
        <stp>12/31/2018</stp>
        <stp>1</stp>
        <tr r="K1099" s="1"/>
      </tp>
      <tp>
        <v>0.8320029533791109</v>
        <stp/>
        <stp>EM_S_RATIO_EPS_TTM</stp>
        <stp>3</stp>
        <stp>603199</stp>
        <stp>12/31/2018</stp>
        <stp>1</stp>
        <tr r="U1084" s="1"/>
      </tp>
      <tp>
        <v>0.25360905992425098</v>
        <stp/>
        <stp>EM_S_RATIO_EPS_TTM</stp>
        <stp>3</stp>
        <stp>603099</stp>
        <stp>12/31/2018</stp>
        <stp>1</stp>
        <tr r="U1625" s="1"/>
      </tp>
      <tp>
        <v>0.34872446916839417</v>
        <stp/>
        <stp>EM_S_RATIO_EPS_TTM</stp>
        <stp>3</stp>
        <stp>603399</stp>
        <stp>12/31/2018</stp>
        <stp>1</stp>
        <tr r="U1095" s="1"/>
      </tp>
      <tp>
        <v>0.25894805376805374</v>
        <stp/>
        <stp>EM_S_RATIO_EPS_TTM</stp>
        <stp>3</stp>
        <stp>603299</stp>
        <stp>12/31/2018</stp>
        <stp>1</stp>
        <tr r="U852" s="1"/>
      </tp>
      <tp>
        <v>1.0094316018944987</v>
        <stp/>
        <stp>EM_S_RATIO_EPS_TTM</stp>
        <stp>3</stp>
        <stp>603599</stp>
        <stp>12/31/2018</stp>
        <stp>1</stp>
        <tr r="U724" s="1"/>
      </tp>
      <tp>
        <v>0.47440429962771563</v>
        <stp/>
        <stp>EM_S_RATIO_EPS_TTM</stp>
        <stp>3</stp>
        <stp>603499</stp>
        <stp>12/31/2018</stp>
        <stp>1</stp>
        <tr r="U3091" s="1"/>
      </tp>
      <tp>
        <v>1.8416432866544419</v>
        <stp/>
        <stp>EM_S_RATIO_EPS_TTM</stp>
        <stp>3</stp>
        <stp>603799</stp>
        <stp>12/31/2018</stp>
        <stp>1</stp>
        <tr r="U912" s="1"/>
      </tp>
      <tp>
        <v>0.36542239075999999</v>
        <stp/>
        <stp>EM_S_RATIO_EPS_TTM</stp>
        <stp>3</stp>
        <stp>603699</stp>
        <stp>12/31/2018</stp>
        <stp>1</stp>
        <tr r="U1395" s="1"/>
      </tp>
      <tp>
        <v>7.3737039010416658E-2</v>
        <stp/>
        <stp>EM_S_RATIO_EPS_TTM</stp>
        <stp>3</stp>
        <stp>603999</stp>
        <stp>12/31/2018</stp>
        <stp>1</stp>
        <tr r="U473" s="1"/>
      </tp>
      <tp>
        <v>0.87700794392391301</v>
        <stp/>
        <stp>EM_S_RATIO_EPS_TTM</stp>
        <stp>3</stp>
        <stp>603899</stp>
        <stp>12/31/2018</stp>
        <stp>1</stp>
        <tr r="U439" s="1"/>
      </tp>
      <tp>
        <v>0.20831663406135917</v>
        <stp/>
        <stp>EM_S_RATIO_EPS_TTM</stp>
        <stp>3</stp>
        <stp>601199</stp>
        <stp>12/31/2018</stp>
        <stp>1</stp>
        <tr r="U1924" s="1"/>
      </tp>
      <tp>
        <v>-0.1939840751141661</v>
        <stp/>
        <stp>EM_S_RATIO_EPS_TTM</stp>
        <stp>3</stp>
        <stp>601099</stp>
        <stp>12/31/2018</stp>
        <stp>1</stp>
        <tr r="U526" s="1"/>
      </tp>
      <tp>
        <v>0.45870691488850573</v>
        <stp/>
        <stp>EM_S_RATIO_EPS_TTM</stp>
        <stp>3</stp>
        <stp>601299</stp>
        <stp>12/31/2018</stp>
        <stp>1</stp>
        <tr r="U2336" s="1"/>
      </tp>
      <tp>
        <v>6.2834752406453365E-2</v>
        <stp/>
        <stp>EM_S_RATIO_EPS_TTM</stp>
        <stp>3</stp>
        <stp>601599</stp>
        <stp>12/31/2018</stp>
        <stp>1</stp>
        <tr r="U1857" s="1"/>
      </tp>
      <tp>
        <v>2.2108456871459889</v>
        <stp/>
        <stp>EM_S_RATIO_EPS_TTM</stp>
        <stp>3</stp>
        <stp>601799</stp>
        <stp>12/31/2018</stp>
        <stp>1</stp>
        <tr r="U166" s="1"/>
      </tp>
      <tp>
        <v>0.89020161619145921</v>
        <stp/>
        <stp>EM_S_RATIO_EPS_TTM</stp>
        <stp>3</stp>
        <stp>601699</stp>
        <stp>12/31/2018</stp>
        <stp>1</stp>
        <tr r="U1809" s="1"/>
      </tp>
      <tp>
        <v>0.32188039099337884</v>
        <stp/>
        <stp>EM_S_RATIO_EPS_TTM</stp>
        <stp>3</stp>
        <stp>601999</stp>
        <stp>12/31/2018</stp>
        <stp>1</stp>
        <tr r="U1305" s="1"/>
      </tp>
      <tp>
        <v>0.17774889159686377</v>
        <stp/>
        <stp>EM_S_RATIO_EPS_TTM</stp>
        <stp>3</stp>
        <stp>601899</stp>
        <stp>12/31/2018</stp>
        <stp>1</stp>
        <tr r="U838" s="1"/>
      </tp>
      <tp>
        <v>0.18332748326813014</v>
        <stp/>
        <stp>EM_S_RATIO_EPS_TTM</stp>
        <stp>3</stp>
        <stp>600199</stp>
        <stp>12/31/2018</stp>
        <stp>1</stp>
        <tr r="U781" s="1"/>
      </tp>
      <tp>
        <v>1.2083771038700257E-2</v>
        <stp/>
        <stp>EM_S_RATIO_EPS_TTM</stp>
        <stp>3</stp>
        <stp>600099</stp>
        <stp>12/31/2018</stp>
        <stp>1</stp>
        <tr r="U1401" s="1"/>
      </tp>
      <tp>
        <v>1.3220974005780639</v>
        <stp/>
        <stp>EM_S_RATIO_EPS_TTM</stp>
        <stp>3</stp>
        <stp>600399</stp>
        <stp>12/31/2018</stp>
        <stp>1</stp>
        <tr r="U902" s="1"/>
      </tp>
      <tp>
        <v>0.34532615697818791</v>
        <stp/>
        <stp>EM_S_RATIO_EPS_TTM</stp>
        <stp>3</stp>
        <stp>600299</stp>
        <stp>12/31/2018</stp>
        <stp>1</stp>
        <tr r="U2551" s="1"/>
      </tp>
      <tp>
        <v>-0.33155809608433739</v>
        <stp/>
        <stp>EM_S_RATIO_EPS_TTM</stp>
        <stp>3</stp>
        <stp>600599</stp>
        <stp>12/31/2018</stp>
        <stp>1</stp>
        <tr r="U2128" s="1"/>
      </tp>
      <tp>
        <v>-0.37317806671231524</v>
        <stp/>
        <stp>EM_S_RATIO_EPS_TTM</stp>
        <stp>3</stp>
        <stp>600499</stp>
        <stp>12/31/2018</stp>
        <stp>1</stp>
        <tr r="U1885" s="1"/>
      </tp>
      <tp>
        <v>-8.5910097372282244E-4</v>
        <stp/>
        <stp>EM_S_RATIO_EPS_TTM</stp>
        <stp>3</stp>
        <stp>600799</stp>
        <stp>12/31/2018</stp>
        <stp>1</stp>
        <tr r="U2325" s="1"/>
      </tp>
      <tp>
        <v>1.3883967783783442</v>
        <stp/>
        <stp>EM_S_RATIO_EPS_TTM</stp>
        <stp>3</stp>
        <stp>600699</stp>
        <stp>12/31/2018</stp>
        <stp>1</stp>
        <tr r="U3125" s="1"/>
      </tp>
      <tp>
        <v>0.66050389275594601</v>
        <stp/>
        <stp>EM_S_RATIO_EPS_TTM</stp>
        <stp>3</stp>
        <stp>600999</stp>
        <stp>12/31/2018</stp>
        <stp>1</stp>
        <tr r="U764" s="1"/>
      </tp>
      <tp>
        <v>-0.86802471882717736</v>
        <stp/>
        <stp>EM_S_RATIO_EPS_TTM</stp>
        <stp>3</stp>
        <stp>600899</stp>
        <stp>12/31/2018</stp>
        <stp>1</stp>
        <tr r="U2333" s="1"/>
      </tp>
      <tp>
        <v>0.97336587510000006</v>
        <stp/>
        <stp>EM_S_RATIO_EPS_TTM</stp>
        <stp>3</stp>
        <stp>603198</stp>
        <stp>12/31/2018</stp>
        <stp>1</stp>
        <tr r="U704" s="1"/>
      </tp>
      <tp>
        <v>0.45853364599218349</v>
        <stp/>
        <stp>EM_S_RATIO_EPS_TTM</stp>
        <stp>3</stp>
        <stp>603098</stp>
        <stp>12/31/2018</stp>
        <stp>1</stp>
        <tr r="U3054" s="1"/>
      </tp>
      <tp>
        <v>0.19800824067677122</v>
        <stp/>
        <stp>EM_S_RATIO_EPS_TTM</stp>
        <stp>3</stp>
        <stp>603398</stp>
        <stp>12/31/2018</stp>
        <stp>1</stp>
        <tr r="U2667" s="1"/>
      </tp>
      <tp>
        <v>0.88316205103438095</v>
        <stp/>
        <stp>EM_S_RATIO_EPS_TTM</stp>
        <stp>3</stp>
        <stp>603298</stp>
        <stp>12/31/2018</stp>
        <stp>1</stp>
        <tr r="U1939" s="1"/>
      </tp>
      <tp>
        <v>0.20925438817099803</v>
        <stp/>
        <stp>EM_S_RATIO_EPS_TTM</stp>
        <stp>3</stp>
        <stp>603598</stp>
        <stp>12/31/2018</stp>
        <stp>1</stp>
        <tr r="U273" s="1"/>
      </tp>
      <tp>
        <v>0.37927522560000004</v>
        <stp/>
        <stp>EM_S_RATIO_EPS_TTM</stp>
        <stp>3</stp>
        <stp>603798</stp>
        <stp>12/31/2018</stp>
        <stp>1</stp>
        <tr r="U878" s="1"/>
      </tp>
      <tp>
        <v>0.54992921491632307</v>
        <stp/>
        <stp>EM_S_RATIO_EPS_TTM</stp>
        <stp>3</stp>
        <stp>603698</stp>
        <stp>12/31/2018</stp>
        <stp>1</stp>
        <tr r="U2873" s="1"/>
      </tp>
      <tp>
        <v>0.17032263669597764</v>
        <stp/>
        <stp>EM_S_RATIO_EPS_TTM</stp>
        <stp>3</stp>
        <stp>603998</stp>
        <stp>12/31/2018</stp>
        <stp>1</stp>
        <tr r="U287" s="1"/>
      </tp>
      <tp>
        <v>1.194190607229735</v>
        <stp/>
        <stp>EM_S_RATIO_EPS_TTM</stp>
        <stp>3</stp>
        <stp>603898</stp>
        <stp>12/31/2018</stp>
        <stp>1</stp>
        <tr r="U2001" s="1"/>
      </tp>
      <tp>
        <v>0.36550450124858325</v>
        <stp/>
        <stp>EM_S_RATIO_EPS_TTM</stp>
        <stp>3</stp>
        <stp>601198</stp>
        <stp>12/31/2018</stp>
        <stp>1</stp>
        <tr r="U769" s="1"/>
      </tp>
      <tp>
        <v>0.68924313868040088</v>
        <stp/>
        <stp>EM_S_RATIO_EPS_TTM</stp>
        <stp>3</stp>
        <stp>601098</stp>
        <stp>12/31/2018</stp>
        <stp>1</stp>
        <tr r="U2563" s="1"/>
      </tp>
      <tp>
        <v>0.83521541521552423</v>
        <stp/>
        <stp>EM_S_RATIO_EPS_TTM</stp>
        <stp>3</stp>
        <stp>601398</stp>
        <stp>12/31/2018</stp>
        <stp>1</stp>
        <tr r="U1662" s="1"/>
      </tp>
      <tp>
        <v>0.1775342681204726</v>
        <stp/>
        <stp>EM_S_RATIO_EPS_TTM</stp>
        <stp>3</stp>
        <stp>601798</stp>
        <stp>12/31/2018</stp>
        <stp>1</stp>
        <tr r="U1042" s="1"/>
      </tp>
      <tp>
        <v>0.90963901185522156</v>
        <stp/>
        <stp>EM_S_RATIO_EPS_TTM</stp>
        <stp>3</stp>
        <stp>601998</stp>
        <stp>12/31/2018</stp>
        <stp>1</stp>
        <tr r="U1567" s="1"/>
      </tp>
      <tp>
        <v>0.25904406020293114</v>
        <stp/>
        <stp>EM_S_RATIO_EPS_TTM</stp>
        <stp>3</stp>
        <stp>601898</stp>
        <stp>12/31/2018</stp>
        <stp>1</stp>
        <tr r="U1860" s="1"/>
      </tp>
      <tp>
        <v>0.65705741130213291</v>
        <stp/>
        <stp>EM_S_RATIO_EPS_TTM</stp>
        <stp>3</stp>
        <stp>600198</stp>
        <stp>12/31/2018</stp>
        <stp>1</stp>
        <tr r="U416" s="1"/>
      </tp>
      <tp>
        <v>0.25713841828568546</v>
        <stp/>
        <stp>EM_S_RATIO_EPS_TTM</stp>
        <stp>3</stp>
        <stp>600098</stp>
        <stp>12/31/2018</stp>
        <stp>1</stp>
        <tr r="U1455" s="1"/>
      </tp>
      <tp>
        <v>0.76896513795787591</v>
        <stp/>
        <stp>EM_S_RATIO_EPS_TTM</stp>
        <stp>3</stp>
        <stp>600398</stp>
        <stp>12/31/2018</stp>
        <stp>1</stp>
        <tr r="U2779" s="1"/>
      </tp>
      <tp>
        <v>1.0395449284403606</v>
        <stp/>
        <stp>EM_S_RATIO_EPS_TTM</stp>
        <stp>3</stp>
        <stp>600298</stp>
        <stp>12/31/2018</stp>
        <stp>1</stp>
        <tr r="U1273" s="1"/>
      </tp>
      <tp>
        <v>0.54929774981779356</v>
        <stp/>
        <stp>EM_S_RATIO_EPS_TTM</stp>
        <stp>3</stp>
        <stp>600598</stp>
        <stp>12/31/2018</stp>
        <stp>1</stp>
        <tr r="U1569" s="1"/>
      </tp>
      <tp>
        <v>0.72204928755946918</v>
        <stp/>
        <stp>EM_S_RATIO_EPS_TTM</stp>
        <stp>3</stp>
        <stp>600498</stp>
        <stp>12/31/2018</stp>
        <stp>1</stp>
        <tr r="U2489" s="1"/>
      </tp>
      <tp>
        <v>0.19529286171474222</v>
        <stp/>
        <stp>EM_S_RATIO_EPS_TTM</stp>
        <stp>3</stp>
        <stp>600798</stp>
        <stp>12/31/2018</stp>
        <stp>1</stp>
        <tr r="U1796" s="1"/>
      </tp>
      <tp>
        <v>-9.1520057707546384E-2</v>
        <stp/>
        <stp>EM_S_RATIO_EPS_TTM</stp>
        <stp>3</stp>
        <stp>600698</stp>
        <stp>12/31/2018</stp>
        <stp>1</stp>
        <tr r="U3214" s="1"/>
      </tp>
      <tp>
        <v>0.7139611244892351</v>
        <stp/>
        <stp>EM_S_RATIO_EPS_TTM</stp>
        <stp>3</stp>
        <stp>600998</stp>
        <stp>12/31/2018</stp>
        <stp>1</stp>
        <tr r="U2675" s="1"/>
      </tp>
      <tp>
        <v>-1.5124298921978925</v>
        <stp/>
        <stp>EM_S_RATIO_EPS_TTM</stp>
        <stp>3</stp>
        <stp>600898</stp>
        <stp>12/31/2018</stp>
        <stp>1</stp>
        <tr r="U2388" s="1"/>
      </tp>
      <tp>
        <v>0.23460636893</v>
        <stp/>
        <stp>EM_S_FA_ASSETSTURN</stp>
        <stp>3</stp>
        <stp>601222</stp>
        <stp>12/31/2018</stp>
        <stp>1</stp>
        <tr r="K2421" s="1"/>
      </tp>
      <tp>
        <v>3.2984065386519998</v>
        <stp/>
        <stp>EM_S_FA_ASSETSTURN</stp>
        <stp>3</stp>
        <stp>600822</stp>
        <stp>12/31/2018</stp>
        <stp>1</stp>
        <tr r="K1393" s="1"/>
      </tp>
      <tp>
        <v>3.5547686396999997E-2</v>
        <stp/>
        <stp>EM_S_FA_ASSETSTURN</stp>
        <stp>3</stp>
        <stp>300372</stp>
        <stp>12/31/2018</stp>
        <stp>1</stp>
        <tr r="K2283" s="1"/>
      </tp>
      <tp>
        <v>0.10101898732300001</v>
        <stp/>
        <stp>EM_S_FA_ASSETSTURN</stp>
        <stp>3</stp>
        <stp>600322</stp>
        <stp>12/31/2018</stp>
        <stp>1</stp>
        <tr r="K2723" s="1"/>
      </tp>
      <tp>
        <v>0.424153575851</v>
        <stp/>
        <stp>EM_S_FA_ASSETSTURN</stp>
        <stp>3</stp>
        <stp>300272</stp>
        <stp>12/31/2018</stp>
        <stp>1</stp>
        <tr r="K3189" s="1"/>
      </tp>
      <tp>
        <v>0.42342174017200002</v>
        <stp/>
        <stp>EM_S_FA_ASSETSTURN</stp>
        <stp>3</stp>
        <stp>600222</stp>
        <stp>12/31/2018</stp>
        <stp>1</stp>
        <tr r="K1015" s="1"/>
      </tp>
      <tp>
        <v>0.36910007166199998</v>
        <stp/>
        <stp>EM_S_FA_ASSETSTURN</stp>
        <stp>3</stp>
        <stp>300172</stp>
        <stp>12/31/2018</stp>
        <stp>1</stp>
        <tr r="K2415" s="1"/>
      </tp>
      <tp>
        <v>0.77506462769100004</v>
        <stp/>
        <stp>EM_S_FA_ASSETSTURN</stp>
        <stp>3</stp>
        <stp>600122</stp>
        <stp>12/31/2018</stp>
        <stp>1</stp>
        <tr r="K3190" s="1"/>
      </tp>
      <tp>
        <v>0.17713976999799999</v>
        <stp/>
        <stp>EM_S_FA_ASSETSTURN</stp>
        <stp>3</stp>
        <stp>000042</stp>
        <stp>12/31/2018</stp>
        <stp>1</stp>
        <tr r="K2432" s="1"/>
      </tp>
      <tp>
        <v>0.60489849553200004</v>
        <stp/>
        <stp>EM_S_FA_ASSETSTURN</stp>
        <stp>3</stp>
        <stp>300072</stp>
        <stp>12/31/2018</stp>
        <stp>1</stp>
        <tr r="K3283" s="1"/>
      </tp>
      <tp>
        <v>0.86740091712900003</v>
        <stp/>
        <stp>EM_S_FA_ASSETSTURN</stp>
        <stp>3</stp>
        <stp>600022</stp>
        <stp>12/31/2018</stp>
        <stp>1</stp>
        <tr r="K2738" s="1"/>
      </tp>
      <tp>
        <v>0.77269953492800003</v>
        <stp/>
        <stp>EM_S_FA_ASSETSTURN</stp>
        <stp>3</stp>
        <stp>600722</stp>
        <stp>12/31/2018</stp>
        <stp>1</stp>
        <tr r="K2048" s="1"/>
      </tp>
      <tp>
        <v>0.29491293962999998</v>
        <stp/>
        <stp>EM_S_FA_ASSETSTURN</stp>
        <stp>3</stp>
        <stp>300672</stp>
        <stp>12/31/2018</stp>
        <stp>1</stp>
        <tr r="K1657" s="1"/>
      </tp>
      <tp>
        <v>0.246833161005</v>
        <stp/>
        <stp>EM_S_FA_ASSETSTURN</stp>
        <stp>3</stp>
        <stp>600622</stp>
        <stp>12/31/2018</stp>
        <stp>1</stp>
        <tr r="K3247" s="1"/>
      </tp>
      <tp>
        <v>0</v>
        <stp/>
        <stp>EM_S_FA_ASSETSTURN</stp>
        <stp>3</stp>
        <stp>000542</stp>
        <stp>12/31/2018</stp>
        <stp>1</stp>
        <tr r="K3449" s="1"/>
      </tp>
      <tp>
        <v>0.47582195129600002</v>
        <stp/>
        <stp>EM_S_FA_ASSETSTURN</stp>
        <stp>3</stp>
        <stp>300572</stp>
        <stp>12/31/2018</stp>
        <stp>1</stp>
        <tr r="K1863" s="1"/>
      </tp>
      <tp>
        <v>1.1535881948360001</v>
        <stp/>
        <stp>EM_S_FA_ASSETSTURN</stp>
        <stp>3</stp>
        <stp>600522</stp>
        <stp>12/31/2018</stp>
        <stp>1</stp>
        <tr r="K2201" s="1"/>
      </tp>
      <tp>
        <v>0.34052335537700001</v>
        <stp/>
        <stp>EM_S_FA_ASSETSTURN</stp>
        <stp>3</stp>
        <stp>300472</stp>
        <stp>12/31/2018</stp>
        <stp>1</stp>
        <tr r="K2439" s="1"/>
      </tp>
      <tp>
        <v>1.0736345081650001</v>
        <stp/>
        <stp>EM_S_FA_ASSETSTURN</stp>
        <stp>3</stp>
        <stp>600422</stp>
        <stp>12/31/2018</stp>
        <stp>1</stp>
        <tr r="K333" s="1"/>
      </tp>
      <tp>
        <v>0.63740557225200001</v>
        <stp/>
        <stp>EM_S_FA_ASSETSTURN</stp>
        <stp>3</stp>
        <stp>603922</stp>
        <stp>12/31/2018</stp>
        <stp>1</stp>
        <tr r="K2100" s="1"/>
      </tp>
      <tp>
        <v>0.74965016070799995</v>
        <stp/>
        <stp>EM_S_FA_ASSETSTURN</stp>
        <stp>3</stp>
        <stp>603822</stp>
        <stp>12/31/2018</stp>
        <stp>1</stp>
        <tr r="K1362" s="1"/>
      </tp>
      <tp>
        <v>0.79692901425899998</v>
        <stp/>
        <stp>EM_S_FA_ASSETSTURN</stp>
        <stp>3</stp>
        <stp>603322</stp>
        <stp>12/31/2018</stp>
        <stp>1</stp>
        <tr r="K3308" s="1"/>
      </tp>
      <tp>
        <v>0.37723190317299998</v>
        <stp/>
        <stp>EM_S_FA_ASSETSTURN</stp>
        <stp>3</stp>
        <stp>603222</stp>
        <stp>12/31/2018</stp>
        <stp>1</stp>
        <tr r="K29" s="1"/>
      </tp>
      <tp>
        <v>0.82876514141199997</v>
        <stp/>
        <stp>EM_S_FA_ASSETSTURN</stp>
        <stp>3</stp>
        <stp>603022</stp>
        <stp>12/31/2018</stp>
        <stp>1</stp>
        <tr r="K185" s="1"/>
      </tp>
      <tp>
        <v>0.63176230048699999</v>
        <stp/>
        <stp>EM_S_FA_ASSETSTURN</stp>
        <stp>3</stp>
        <stp>603722</stp>
        <stp>12/31/2018</stp>
        <stp>1</stp>
        <tr r="K673" s="1"/>
      </tp>
      <tp>
        <v>0.95138394738499998</v>
        <stp/>
        <stp>EM_S_FA_ASSETSTURN</stp>
        <stp>3</stp>
        <stp>002842</stp>
        <stp>12/31/2018</stp>
        <stp>1</stp>
        <tr r="K2843" s="1"/>
      </tp>
      <tp>
        <v>0.41587438565899998</v>
        <stp/>
        <stp>EM_S_FA_ASSETSTURN</stp>
        <stp>3</stp>
        <stp>002342</stp>
        <stp>12/31/2018</stp>
        <stp>1</stp>
        <tr r="K2594" s="1"/>
      </tp>
      <tp>
        <v>1.360223562871</v>
        <stp/>
        <stp>EM_S_FA_ASSETSTURN</stp>
        <stp>3</stp>
        <stp>002242</stp>
        <stp>12/31/2018</stp>
        <stp>1</stp>
        <tr r="K504" s="1"/>
      </tp>
      <tp>
        <v>0</v>
        <stp/>
        <stp>EM_S_FA_ASSETSTURN</stp>
        <stp>3</stp>
        <stp>002142</stp>
        <stp>12/31/2018</stp>
        <stp>1</stp>
        <tr r="K303" s="1"/>
      </tp>
      <tp>
        <v>0.829573358195</v>
        <stp/>
        <stp>EM_S_FA_ASSETSTURN</stp>
        <stp>3</stp>
        <stp>002042</stp>
        <stp>12/31/2018</stp>
        <stp>1</stp>
        <tr r="K872" s="1"/>
      </tp>
      <tp>
        <v>0.61786808647900004</v>
        <stp/>
        <stp>EM_S_FA_ASSETSTURN</stp>
        <stp>3</stp>
        <stp>002742</stp>
        <stp>12/31/2018</stp>
        <stp>1</stp>
        <tr r="K3194" s="1"/>
      </tp>
      <tp>
        <v>0.50107548610999997</v>
        <stp/>
        <stp>EM_S_FA_ASSETSTURN</stp>
        <stp>3</stp>
        <stp>002642</stp>
        <stp>12/31/2018</stp>
        <stp>1</stp>
        <tr r="K2603" s="1"/>
      </tp>
      <tp>
        <v>0.46430874675099998</v>
        <stp/>
        <stp>EM_S_FA_ASSETSTURN</stp>
        <stp>3</stp>
        <stp>002542</stp>
        <stp>12/31/2018</stp>
        <stp>1</stp>
        <tr r="K2894" s="1"/>
      </tp>
      <tp>
        <v>1.0487265322199999</v>
        <stp/>
        <stp>EM_S_FA_ASSETSTURN</stp>
        <stp>3</stp>
        <stp>002442</stp>
        <stp>12/31/2018</stp>
        <stp>1</stp>
        <tr r="K3101" s="1"/>
      </tp>
      <tp>
        <v>0.8078935525519807</v>
        <stp/>
        <stp>EM_S_RATIO_EPS_TTM</stp>
        <stp>3</stp>
        <stp>603595</stp>
        <stp>12/31/2018</stp>
        <stp>1</stp>
        <tr r="U3013" s="1"/>
      </tp>
      <tp>
        <v>0.33417913527017024</v>
        <stp/>
        <stp>EM_S_RATIO_EPS_TTM</stp>
        <stp>3</stp>
        <stp>603895</stp>
        <stp>12/31/2018</stp>
        <stp>1</stp>
        <tr r="U2804" s="1"/>
      </tp>
      <tp>
        <v>0.62902266634538151</v>
        <stp/>
        <stp>EM_S_RATIO_EPS_TTM</stp>
        <stp>3</stp>
        <stp>601595</stp>
        <stp>12/31/2018</stp>
        <stp>1</stp>
        <tr r="U1270" s="1"/>
      </tp>
      <tp>
        <v>0.69073480652130559</v>
        <stp/>
        <stp>EM_S_RATIO_EPS_TTM</stp>
        <stp>3</stp>
        <stp>600195</stp>
        <stp>12/31/2018</stp>
        <stp>1</stp>
        <tr r="U1893" s="1"/>
      </tp>
      <tp>
        <v>4.1899117421376274E-2</v>
        <stp/>
        <stp>EM_S_RATIO_EPS_TTM</stp>
        <stp>3</stp>
        <stp>600095</stp>
        <stp>12/31/2018</stp>
        <stp>1</stp>
        <tr r="U100" s="1"/>
      </tp>
      <tp>
        <v>0.57094560388521864</v>
        <stp/>
        <stp>EM_S_RATIO_EPS_TTM</stp>
        <stp>3</stp>
        <stp>600395</stp>
        <stp>12/31/2018</stp>
        <stp>1</stp>
        <tr r="U1227" s="1"/>
      </tp>
      <tp>
        <v>0.89473605403100775</v>
        <stp/>
        <stp>EM_S_RATIO_EPS_TTM</stp>
        <stp>3</stp>
        <stp>600295</stp>
        <stp>12/31/2018</stp>
        <stp>1</stp>
        <tr r="U1322" s="1"/>
      </tp>
      <tp>
        <v>-1.2972025891022405</v>
        <stp/>
        <stp>EM_S_RATIO_EPS_TTM</stp>
        <stp>3</stp>
        <stp>600595</stp>
        <stp>12/31/2018</stp>
        <stp>1</stp>
        <tr r="U1620" s="1"/>
      </tp>
      <tp>
        <v>2.9568790647209034E-2</v>
        <stp/>
        <stp>EM_S_RATIO_EPS_TTM</stp>
        <stp>3</stp>
        <stp>600495</stp>
        <stp>12/31/2018</stp>
        <stp>1</stp>
        <tr r="U2218" s="1"/>
      </tp>
      <tp>
        <v>6.968123195268569E-2</v>
        <stp/>
        <stp>EM_S_RATIO_EPS_TTM</stp>
        <stp>3</stp>
        <stp>600795</stp>
        <stp>12/31/2018</stp>
        <stp>1</stp>
        <tr r="U2731" s="1"/>
      </tp>
      <tp>
        <v>9.1431679346214295E-2</v>
        <stp/>
        <stp>EM_S_RATIO_EPS_TTM</stp>
        <stp>3</stp>
        <stp>600695</stp>
        <stp>12/31/2018</stp>
        <stp>1</stp>
        <tr r="U307" s="1"/>
      </tp>
      <tp>
        <v>0.61887151764249571</v>
        <stp/>
        <stp>EM_S_RATIO_EPS_TTM</stp>
        <stp>3</stp>
        <stp>600995</stp>
        <stp>12/31/2018</stp>
        <stp>1</stp>
        <tr r="U1373" s="1"/>
      </tp>
      <tp>
        <v>0.35145295803797472</v>
        <stp/>
        <stp>EM_S_RATIO_EPS_TTM</stp>
        <stp>3</stp>
        <stp>600895</stp>
        <stp>12/31/2018</stp>
        <stp>1</stp>
        <tr r="U2139" s="1"/>
      </tp>
      <tp>
        <v>0.20649644050999999</v>
        <stp/>
        <stp>EM_S_FA_ASSETSTURN</stp>
        <stp>3</stp>
        <stp>600823</stp>
        <stp>12/31/2018</stp>
        <stp>1</stp>
        <tr r="K1206" s="1"/>
      </tp>
      <tp>
        <v>0.548849146929</v>
        <stp/>
        <stp>EM_S_FA_ASSETSTURN</stp>
        <stp>3</stp>
        <stp>300373</stp>
        <stp>12/31/2018</stp>
        <stp>1</stp>
        <tr r="K1293" s="1"/>
      </tp>
      <tp>
        <v>0.31684459615400001</v>
        <stp/>
        <stp>EM_S_FA_ASSETSTURN</stp>
        <stp>3</stp>
        <stp>600323</stp>
        <stp>12/31/2018</stp>
        <stp>1</stp>
        <tr r="K1110" s="1"/>
      </tp>
      <tp>
        <v>0.20897640428299999</v>
        <stp/>
        <stp>EM_S_FA_ASSETSTURN</stp>
        <stp>3</stp>
        <stp>300273</stp>
        <stp>12/31/2018</stp>
        <stp>1</stp>
        <tr r="K1936" s="1"/>
      </tp>
      <tp>
        <v>0.191199802636</v>
        <stp/>
        <stp>EM_S_FA_ASSETSTURN</stp>
        <stp>3</stp>
        <stp>600223</stp>
        <stp>12/31/2018</stp>
        <stp>1</stp>
        <tr r="K86" s="1"/>
      </tp>
      <tp>
        <v>0.15465939501600001</v>
        <stp/>
        <stp>EM_S_FA_ASSETSTURN</stp>
        <stp>3</stp>
        <stp>300173</stp>
        <stp>12/31/2018</stp>
        <stp>1</stp>
        <tr r="K450" s="1"/>
      </tp>
      <tp>
        <v>0.36394703569999998</v>
        <stp/>
        <stp>EM_S_FA_ASSETSTURN</stp>
        <stp>3</stp>
        <stp>600123</stp>
        <stp>12/31/2018</stp>
        <stp>1</stp>
        <tr r="K2399" s="1"/>
      </tp>
      <tp>
        <v>0.41148062909299998</v>
        <stp/>
        <stp>EM_S_FA_ASSETSTURN</stp>
        <stp>3</stp>
        <stp>000043</stp>
        <stp>12/31/2018</stp>
        <stp>1</stp>
        <tr r="K4" s="1"/>
      </tp>
      <tp>
        <v>0.92131294406399999</v>
        <stp/>
        <stp>EM_S_FA_ASSETSTURN</stp>
        <stp>3</stp>
        <stp>300073</stp>
        <stp>12/31/2018</stp>
        <stp>1</stp>
        <tr r="K2284" s="1"/>
      </tp>
      <tp>
        <v>0.50888406203400005</v>
        <stp/>
        <stp>EM_S_FA_ASSETSTURN</stp>
        <stp>3</stp>
        <stp>600023</stp>
        <stp>12/31/2018</stp>
        <stp>1</stp>
        <tr r="K2977" s="1"/>
      </tp>
      <tp>
        <v>1.4754398140630001</v>
        <stp/>
        <stp>EM_S_FA_ASSETSTURN</stp>
        <stp>3</stp>
        <stp>600723</stp>
        <stp>12/31/2018</stp>
        <stp>1</stp>
        <tr r="K2405" s="1"/>
      </tp>
      <tp>
        <v>0.80288354352699998</v>
        <stp/>
        <stp>EM_S_FA_ASSETSTURN</stp>
        <stp>3</stp>
        <stp>300673</stp>
        <stp>12/31/2018</stp>
        <stp>1</stp>
        <tr r="K3263" s="1"/>
      </tp>
      <tp>
        <v>1.0491263620969999</v>
        <stp/>
        <stp>EM_S_FA_ASSETSTURN</stp>
        <stp>3</stp>
        <stp>600623</stp>
        <stp>12/31/2018</stp>
        <stp>1</stp>
        <tr r="K3024" s="1"/>
      </tp>
      <tp>
        <v>0.48393339870399998</v>
        <stp/>
        <stp>EM_S_FA_ASSETSTURN</stp>
        <stp>3</stp>
        <stp>000543</stp>
        <stp>12/31/2018</stp>
        <stp>1</stp>
        <tr r="K2463" s="1"/>
      </tp>
      <tp>
        <v>0.62270296551000004</v>
        <stp/>
        <stp>EM_S_FA_ASSETSTURN</stp>
        <stp>3</stp>
        <stp>300573</stp>
        <stp>12/31/2018</stp>
        <stp>1</stp>
        <tr r="K25" s="1"/>
      </tp>
      <tp>
        <v>0.818318455311</v>
        <stp/>
        <stp>EM_S_FA_ASSETSTURN</stp>
        <stp>3</stp>
        <stp>600523</stp>
        <stp>12/31/2018</stp>
        <stp>1</stp>
        <tr r="K688" s="1"/>
      </tp>
      <tp>
        <v>0.85015981285700004</v>
        <stp/>
        <stp>EM_S_FA_ASSETSTURN</stp>
        <stp>3</stp>
        <stp>300473</stp>
        <stp>12/31/2018</stp>
        <stp>1</stp>
        <tr r="K898" s="1"/>
      </tp>
      <tp>
        <v>0.67555848311599997</v>
        <stp/>
        <stp>EM_S_FA_ASSETSTURN</stp>
        <stp>3</stp>
        <stp>600423</stp>
        <stp>12/31/2018</stp>
        <stp>1</stp>
        <tr r="K2841" s="1"/>
      </tp>
      <tp>
        <v>0.832183178084</v>
        <stp/>
        <stp>EM_S_FA_ASSETSTURN</stp>
        <stp>3</stp>
        <stp>603823</stp>
        <stp>12/31/2018</stp>
        <stp>1</stp>
        <tr r="K322" s="1"/>
      </tp>
      <tp>
        <v>0</v>
        <stp/>
        <stp>EM_S_FA_ASSETSTURN</stp>
        <stp>3</stp>
        <stp>603323</stp>
        <stp>12/31/2018</stp>
        <stp>1</stp>
        <tr r="K2888" s="1"/>
      </tp>
      <tp>
        <v>4.1166818880970002</v>
        <stp/>
        <stp>EM_S_FA_ASSETSTURN</stp>
        <stp>3</stp>
        <stp>603223</stp>
        <stp>12/31/2018</stp>
        <stp>1</stp>
        <tr r="K3307" s="1"/>
      </tp>
      <tp>
        <v>0.93753302287700002</v>
        <stp/>
        <stp>EM_S_FA_ASSETSTURN</stp>
        <stp>3</stp>
        <stp>603123</stp>
        <stp>12/31/2018</stp>
        <stp>1</stp>
        <tr r="K1396" s="1"/>
      </tp>
      <tp>
        <v>0.27621566320199997</v>
        <stp/>
        <stp>EM_S_FA_ASSETSTURN</stp>
        <stp>3</stp>
        <stp>603023</stp>
        <stp>12/31/2018</stp>
        <stp>1</stp>
        <tr r="K2040" s="1"/>
      </tp>
      <tp>
        <v>0.47019835206999999</v>
        <stp/>
        <stp>EM_S_FA_ASSETSTURN</stp>
        <stp>3</stp>
        <stp>002843</stp>
        <stp>12/31/2018</stp>
        <stp>1</stp>
        <tr r="K3239" s="1"/>
      </tp>
      <tp>
        <v>0.33203355475099999</v>
        <stp/>
        <stp>EM_S_FA_ASSETSTURN</stp>
        <stp>3</stp>
        <stp>002343</stp>
        <stp>12/31/2018</stp>
        <stp>1</stp>
        <tr r="K1031" s="1"/>
      </tp>
      <tp>
        <v>0.70253867318300001</v>
        <stp/>
        <stp>EM_S_FA_ASSETSTURN</stp>
        <stp>3</stp>
        <stp>002243</stp>
        <stp>12/31/2018</stp>
        <stp>1</stp>
        <tr r="K1825" s="1"/>
      </tp>
      <tp>
        <v>9.7193384115000003E-2</v>
        <stp/>
        <stp>EM_S_FA_ASSETSTURN</stp>
        <stp>3</stp>
        <stp>002143</stp>
        <stp>12/31/2018</stp>
        <stp>1</stp>
        <tr r="K3411" s="1"/>
      </tp>
      <tp>
        <v>1.523743274109</v>
        <stp/>
        <stp>EM_S_FA_ASSETSTURN</stp>
        <stp>3</stp>
        <stp>002043</stp>
        <stp>12/31/2018</stp>
        <stp>1</stp>
        <tr r="K656" s="1"/>
      </tp>
      <tp>
        <v>0.54056707182999997</v>
        <stp/>
        <stp>EM_S_FA_ASSETSTURN</stp>
        <stp>3</stp>
        <stp>002743</stp>
        <stp>12/31/2018</stp>
        <stp>1</stp>
        <tr r="K1568" s="1"/>
      </tp>
      <tp>
        <v>0.54427536385700004</v>
        <stp/>
        <stp>EM_S_FA_ASSETSTURN</stp>
        <stp>3</stp>
        <stp>002643</stp>
        <stp>12/31/2018</stp>
        <stp>1</stp>
        <tr r="K561" s="1"/>
      </tp>
      <tp>
        <v>1.03895842888</v>
        <stp/>
        <stp>EM_S_FA_ASSETSTURN</stp>
        <stp>3</stp>
        <stp>002543</stp>
        <stp>12/31/2018</stp>
        <stp>1</stp>
        <tr r="K3167" s="1"/>
      </tp>
      <tp>
        <v>1.371177205153</v>
        <stp/>
        <stp>EM_S_FA_ASSETSTURN</stp>
        <stp>3</stp>
        <stp>002443</stp>
        <stp>12/31/2018</stp>
        <stp>1</stp>
        <tr r="K1085" s="1"/>
      </tp>
      <tp>
        <v>0.22246159939389329</v>
        <stp/>
        <stp>EM_S_RATIO_EPS_TTM</stp>
        <stp>3</stp>
        <stp>600094</stp>
        <stp>12/31/2018</stp>
        <stp>1</stp>
        <tr r="U451" s="1"/>
      </tp>
      <tp>
        <v>-0.91611353968810783</v>
        <stp/>
        <stp>EM_S_RATIO_EPS_TTM</stp>
        <stp>3</stp>
        <stp>600594</stp>
        <stp>12/31/2018</stp>
        <stp>1</stp>
        <tr r="U2856" s="1"/>
      </tp>
      <tp>
        <v>2.929122559817381E-2</v>
        <stp/>
        <stp>EM_S_RATIO_EPS_TTM</stp>
        <stp>3</stp>
        <stp>600794</stp>
        <stp>12/31/2018</stp>
        <stp>1</stp>
        <tr r="U627" s="1"/>
      </tp>
      <tp>
        <v>3.3630476521353243</v>
        <stp/>
        <stp>EM_S_RATIO_EPS_TTM</stp>
        <stp>3</stp>
        <stp>600694</stp>
        <stp>12/31/2018</stp>
        <stp>1</stp>
        <tr r="U1594" s="1"/>
      </tp>
      <tp>
        <v>0.15589742929416589</v>
        <stp/>
        <stp>EM_S_RATIO_EPS_TTM</stp>
        <stp>3</stp>
        <stp>600894</stp>
        <stp>12/31/2018</stp>
        <stp>1</stp>
        <tr r="U802" s="1"/>
      </tp>
      <tp>
        <v>0.33399246003100003</v>
        <stp/>
        <stp>EM_S_FA_ASSETSTURN</stp>
        <stp>3</stp>
        <stp>601020</stp>
        <stp>12/31/2018</stp>
        <stp>1</stp>
        <tr r="K1826" s="1"/>
      </tp>
      <tp>
        <v>0.51088239451200002</v>
        <stp/>
        <stp>EM_S_FA_ASSETSTURN</stp>
        <stp>3</stp>
        <stp>600820</stp>
        <stp>12/31/2018</stp>
        <stp>1</stp>
        <tr r="K2521" s="1"/>
      </tp>
      <tp>
        <v>0.321180787307</v>
        <stp/>
        <stp>EM_S_FA_ASSETSTURN</stp>
        <stp>3</stp>
        <stp>300370</stp>
        <stp>12/31/2018</stp>
        <stp>1</stp>
        <tr r="K888" s="1"/>
      </tp>
      <tp>
        <v>0.31585078486099999</v>
        <stp/>
        <stp>EM_S_FA_ASSETSTURN</stp>
        <stp>3</stp>
        <stp>600320</stp>
        <stp>12/31/2018</stp>
        <stp>1</stp>
        <tr r="K1504" s="1"/>
      </tp>
      <tp>
        <v>0.23615163355499999</v>
        <stp/>
        <stp>EM_S_FA_ASSETSTURN</stp>
        <stp>3</stp>
        <stp>300270</stp>
        <stp>12/31/2018</stp>
        <stp>1</stp>
        <tr r="K966" s="1"/>
      </tp>
      <tp>
        <v>0.50442312661900002</v>
        <stp/>
        <stp>EM_S_FA_ASSETSTURN</stp>
        <stp>3</stp>
        <stp>600220</stp>
        <stp>12/31/2018</stp>
        <stp>1</stp>
        <tr r="K1873" s="1"/>
      </tp>
      <tp>
        <v>0.82276880090899995</v>
        <stp/>
        <stp>EM_S_FA_ASSETSTURN</stp>
        <stp>3</stp>
        <stp>300170</stp>
        <stp>12/31/2018</stp>
        <stp>1</stp>
        <tr r="K2376" s="1"/>
      </tp>
      <tp>
        <v>0.57195652987699996</v>
        <stp/>
        <stp>EM_S_FA_ASSETSTURN</stp>
        <stp>3</stp>
        <stp>600120</stp>
        <stp>12/31/2018</stp>
        <stp>1</stp>
        <tr r="K3210" s="1"/>
      </tp>
      <tp>
        <v>0.27401732241600002</v>
        <stp/>
        <stp>EM_S_FA_ASSETSTURN</stp>
        <stp>3</stp>
        <stp>000040</stp>
        <stp>12/31/2018</stp>
        <stp>1</stp>
        <tr r="K3327" s="1"/>
      </tp>
      <tp>
        <v>0.22511746800499999</v>
        <stp/>
        <stp>EM_S_FA_ASSETSTURN</stp>
        <stp>3</stp>
        <stp>300070</stp>
        <stp>12/31/2018</stp>
        <stp>1</stp>
        <tr r="K2453" s="1"/>
      </tp>
      <tp>
        <v>0.115073235109</v>
        <stp/>
        <stp>EM_S_FA_ASSETSTURN</stp>
        <stp>3</stp>
        <stp>600020</stp>
        <stp>12/31/2018</stp>
        <stp>1</stp>
        <tr r="K1292" s="1"/>
      </tp>
      <tp>
        <v>0.58206369248900003</v>
        <stp/>
        <stp>EM_S_FA_ASSETSTURN</stp>
        <stp>3</stp>
        <stp>600720</stp>
        <stp>12/31/2018</stp>
        <stp>1</stp>
        <tr r="K201" s="1"/>
      </tp>
      <tp>
        <v>0.46407924799700001</v>
        <stp/>
        <stp>EM_S_FA_ASSETSTURN</stp>
        <stp>3</stp>
        <stp>300670</stp>
        <stp>12/31/2018</stp>
        <stp>1</stp>
        <tr r="K3362" s="1"/>
      </tp>
      <tp>
        <v>1.6757229027000001E-2</v>
        <stp/>
        <stp>EM_S_FA_ASSETSTURN</stp>
        <stp>3</stp>
        <stp>600620</stp>
        <stp>12/31/2018</stp>
        <stp>1</stp>
        <tr r="K1374" s="1"/>
      </tp>
      <tp>
        <v>0.172804384374</v>
        <stp/>
        <stp>EM_S_FA_ASSETSTURN</stp>
        <stp>3</stp>
        <stp>000540</stp>
        <stp>12/31/2018</stp>
        <stp>1</stp>
        <tr r="K3448" s="1"/>
      </tp>
      <tp>
        <v>0.57885757588999998</v>
        <stp/>
        <stp>EM_S_FA_ASSETSTURN</stp>
        <stp>3</stp>
        <stp>300570</stp>
        <stp>12/31/2018</stp>
        <stp>1</stp>
        <tr r="K674" s="1"/>
      </tp>
      <tp>
        <v>0.33487598632100002</v>
        <stp/>
        <stp>EM_S_FA_ASSETSTURN</stp>
        <stp>3</stp>
        <stp>600520</stp>
        <stp>12/31/2018</stp>
        <stp>1</stp>
        <tr r="K3023" s="1"/>
      </tp>
      <tp>
        <v>0.51467604384999999</v>
        <stp/>
        <stp>EM_S_FA_ASSETSTURN</stp>
        <stp>3</stp>
        <stp>300470</stp>
        <stp>12/31/2018</stp>
        <stp>1</stp>
        <tr r="K1244" s="1"/>
      </tp>
      <tp>
        <v>0.71572474786899998</v>
        <stp/>
        <stp>EM_S_FA_ASSETSTURN</stp>
        <stp>3</stp>
        <stp>600420</stp>
        <stp>12/31/2018</stp>
        <stp>1</stp>
        <tr r="K2530" s="1"/>
      </tp>
      <tp>
        <v>0.71735861533800005</v>
        <stp/>
        <stp>EM_S_FA_ASSETSTURN</stp>
        <stp>3</stp>
        <stp>603920</stp>
        <stp>12/31/2018</stp>
        <stp>1</stp>
        <tr r="K354" s="1"/>
      </tp>
      <tp>
        <v>0.88229353245099995</v>
        <stp/>
        <stp>EM_S_FA_ASSETSTURN</stp>
        <stp>3</stp>
        <stp>603320</stp>
        <stp>12/31/2018</stp>
        <stp>1</stp>
        <tr r="K2682" s="1"/>
      </tp>
      <tp>
        <v>1.0868504024779999</v>
        <stp/>
        <stp>EM_S_FA_ASSETSTURN</stp>
        <stp>3</stp>
        <stp>603020</stp>
        <stp>12/31/2018</stp>
        <stp>1</stp>
        <tr r="K1717" s="1"/>
      </tp>
      <tp>
        <v>0.35056913759199998</v>
        <stp/>
        <stp>EM_S_FA_ASSETSTURN</stp>
        <stp>3</stp>
        <stp>603520</stp>
        <stp>12/31/2018</stp>
        <stp>1</stp>
        <tr r="K419" s="1"/>
      </tp>
      <tp>
        <v>2.7264803656250001</v>
        <stp/>
        <stp>EM_S_FA_ASSETSTURN</stp>
        <stp>3</stp>
        <stp>002840</stp>
        <stp>12/31/2018</stp>
        <stp>1</stp>
        <tr r="K1148" s="1"/>
      </tp>
      <tp>
        <v>0.58793174400399995</v>
        <stp/>
        <stp>EM_S_FA_ASSETSTURN</stp>
        <stp>3</stp>
        <stp>002340</stp>
        <stp>12/31/2018</stp>
        <stp>1</stp>
        <tr r="K1005" s="1"/>
      </tp>
      <tp>
        <v>0.76241226786299998</v>
        <stp/>
        <stp>EM_S_FA_ASSETSTURN</stp>
        <stp>3</stp>
        <stp>002240</stp>
        <stp>12/31/2018</stp>
        <stp>1</stp>
        <tr r="K1935" s="1"/>
      </tp>
      <tp>
        <v>0.66716871317399995</v>
        <stp/>
        <stp>EM_S_FA_ASSETSTURN</stp>
        <stp>3</stp>
        <stp>002140</stp>
        <stp>12/31/2018</stp>
        <stp>1</stp>
        <tr r="K1194" s="1"/>
      </tp>
      <tp>
        <v>0.15299178567400001</v>
        <stp/>
        <stp>EM_S_FA_ASSETSTURN</stp>
        <stp>3</stp>
        <stp>002040</stp>
        <stp>12/31/2018</stp>
        <stp>1</stp>
        <tr r="K2768" s="1"/>
      </tp>
      <tp>
        <v>0.72103504371299998</v>
        <stp/>
        <stp>EM_S_FA_ASSETSTURN</stp>
        <stp>3</stp>
        <stp>002740</stp>
        <stp>12/31/2018</stp>
        <stp>1</stp>
        <tr r="K1265" s="1"/>
      </tp>
      <tp>
        <v>2.0610040934049998</v>
        <stp/>
        <stp>EM_S_FA_ASSETSTURN</stp>
        <stp>3</stp>
        <stp>002640</stp>
        <stp>12/31/2018</stp>
        <stp>1</stp>
        <tr r="K3219" s="1"/>
      </tp>
      <tp>
        <v>0.68589097034299995</v>
        <stp/>
        <stp>EM_S_FA_ASSETSTURN</stp>
        <stp>3</stp>
        <stp>002540</stp>
        <stp>12/31/2018</stp>
        <stp>1</stp>
        <tr r="K2657" s="1"/>
      </tp>
      <tp>
        <v>0.67865268595700001</v>
        <stp/>
        <stp>EM_S_FA_ASSETSTURN</stp>
        <stp>3</stp>
        <stp>002440</stp>
        <stp>12/31/2018</stp>
        <stp>1</stp>
        <tr r="K1133" s="1"/>
      </tp>
      <tp>
        <v>0.92723510549409804</v>
        <stp/>
        <stp>EM_S_RATIO_EPS_TTM</stp>
        <stp>3</stp>
        <stp>603197</stp>
        <stp>12/31/2018</stp>
        <stp>1</stp>
        <tr r="U545" s="1"/>
      </tp>
      <tp>
        <v>0.34465557312271489</v>
        <stp/>
        <stp>EM_S_RATIO_EPS_TTM</stp>
        <stp>3</stp>
        <stp>603797</stp>
        <stp>12/31/2018</stp>
        <stp>1</stp>
        <tr r="U2635" s="1"/>
      </tp>
      <tp>
        <v>0.47273677335538705</v>
        <stp/>
        <stp>EM_S_RATIO_EPS_TTM</stp>
        <stp>3</stp>
        <stp>603997</stp>
        <stp>12/31/2018</stp>
        <stp>1</stp>
        <tr r="U1914" s="1"/>
      </tp>
      <tp>
        <v>1.0134508950112107</v>
        <stp/>
        <stp>EM_S_RATIO_EPS_TTM</stp>
        <stp>3</stp>
        <stp>603897</stp>
        <stp>12/31/2018</stp>
        <stp>1</stp>
        <tr r="U2927" s="1"/>
      </tp>
      <tp>
        <v>2.2349669813071209</v>
        <stp/>
        <stp>EM_S_RATIO_EPS_TTM</stp>
        <stp>3</stp>
        <stp>601997</stp>
        <stp>12/31/2018</stp>
        <stp>1</stp>
        <tr r="U2788" s="1"/>
      </tp>
      <tp>
        <v>0.97026347650793643</v>
        <stp/>
        <stp>EM_S_RATIO_EPS_TTM</stp>
        <stp>3</stp>
        <stp>600197</stp>
        <stp>12/31/2018</stp>
        <stp>1</stp>
        <tr r="U1198" s="1"/>
      </tp>
      <tp>
        <v>0.58238918291349873</v>
        <stp/>
        <stp>EM_S_RATIO_EPS_TTM</stp>
        <stp>3</stp>
        <stp>600097</stp>
        <stp>12/31/2018</stp>
        <stp>1</stp>
        <tr r="U2540" s="1"/>
      </tp>
      <tp>
        <v>6.4921789083166093E-2</v>
        <stp/>
        <stp>EM_S_RATIO_EPS_TTM</stp>
        <stp>3</stp>
        <stp>600397</stp>
        <stp>12/31/2018</stp>
        <stp>1</stp>
        <tr r="U1122" s="1"/>
      </tp>
      <tp>
        <v>0.39639365957729966</v>
        <stp/>
        <stp>EM_S_RATIO_EPS_TTM</stp>
        <stp>3</stp>
        <stp>600297</stp>
        <stp>12/31/2018</stp>
        <stp>1</stp>
        <tr r="U3057" s="1"/>
      </tp>
      <tp>
        <v>0.27910183361453955</v>
        <stp/>
        <stp>EM_S_RATIO_EPS_TTM</stp>
        <stp>3</stp>
        <stp>600597</stp>
        <stp>12/31/2018</stp>
        <stp>1</stp>
        <tr r="U587" s="1"/>
      </tp>
      <tp>
        <v>0.12232504768621022</v>
        <stp/>
        <stp>EM_S_RATIO_EPS_TTM</stp>
        <stp>3</stp>
        <stp>600497</stp>
        <stp>12/31/2018</stp>
        <stp>1</stp>
        <tr r="U1854" s="1"/>
      </tp>
      <tp>
        <v>0.16735807313902876</v>
        <stp/>
        <stp>EM_S_RATIO_EPS_TTM</stp>
        <stp>3</stp>
        <stp>600797</stp>
        <stp>12/31/2018</stp>
        <stp>1</stp>
        <tr r="U719" s="1"/>
      </tp>
      <tp>
        <v>1.632925187258693</v>
        <stp/>
        <stp>EM_S_RATIO_EPS_TTM</stp>
        <stp>3</stp>
        <stp>600697</stp>
        <stp>12/31/2018</stp>
        <stp>1</stp>
        <tr r="U2616" s="1"/>
      </tp>
      <tp>
        <v>0.85855111990434363</v>
        <stp/>
        <stp>EM_S_RATIO_EPS_TTM</stp>
        <stp>3</stp>
        <stp>600997</stp>
        <stp>12/31/2018</stp>
        <stp>1</stp>
        <tr r="U2542" s="1"/>
      </tp>
      <tp>
        <v>1.6979115165709682</v>
        <stp/>
        <stp>EM_S_RATIO_EPS_TTM</stp>
        <stp>3</stp>
        <stp>600897</stp>
        <stp>12/31/2018</stp>
        <stp>1</stp>
        <tr r="U2061" s="1"/>
      </tp>
      <tp>
        <v>0.55594098975899997</v>
        <stp/>
        <stp>EM_S_FA_ASSETSTURN</stp>
        <stp>3</stp>
        <stp>601021</stp>
        <stp>12/31/2018</stp>
        <stp>1</stp>
        <tr r="K777" s="1"/>
      </tp>
      <tp>
        <v>0.114899956628</v>
        <stp/>
        <stp>EM_S_FA_ASSETSTURN</stp>
        <stp>3</stp>
        <stp>600821</stp>
        <stp>12/31/2018</stp>
        <stp>1</stp>
        <tr r="K1516" s="1"/>
      </tp>
      <tp>
        <v>0.410732208559</v>
        <stp/>
        <stp>EM_S_FA_ASSETSTURN</stp>
        <stp>3</stp>
        <stp>300371</stp>
        <stp>12/31/2018</stp>
        <stp>1</stp>
        <tr r="K1838" s="1"/>
      </tp>
      <tp>
        <v>0.57817154148000005</v>
        <stp/>
        <stp>EM_S_FA_ASSETSTURN</stp>
        <stp>3</stp>
        <stp>600321</stp>
        <stp>12/31/2018</stp>
        <stp>1</stp>
        <tr r="K1240" s="1"/>
      </tp>
      <tp>
        <v>0.49416875641399999</v>
        <stp/>
        <stp>EM_S_FA_ASSETSTURN</stp>
        <stp>3</stp>
        <stp>300271</stp>
        <stp>12/31/2018</stp>
        <stp>1</stp>
        <tr r="K312" s="1"/>
      </tp>
      <tp>
        <v>0.33706436350899999</v>
        <stp/>
        <stp>EM_S_FA_ASSETSTURN</stp>
        <stp>3</stp>
        <stp>600221</stp>
        <stp>12/31/2018</stp>
        <stp>1</stp>
        <tr r="K2679" s="1"/>
      </tp>
      <tp>
        <v>0.42340308658100001</v>
        <stp/>
        <stp>EM_S_FA_ASSETSTURN</stp>
        <stp>3</stp>
        <stp>300171</stp>
        <stp>12/31/2018</stp>
        <stp>1</stp>
        <tr r="K2262" s="1"/>
      </tp>
      <tp>
        <v>0.40091015340500002</v>
        <stp/>
        <stp>EM_S_FA_ASSETSTURN</stp>
        <stp>3</stp>
        <stp>600121</stp>
        <stp>12/31/2018</stp>
        <stp>1</stp>
        <tr r="K3036" s="1"/>
      </tp>
      <tp>
        <v>1.0540495198140001</v>
        <stp/>
        <stp>EM_S_FA_ASSETSTURN</stp>
        <stp>3</stp>
        <stp>300071</stp>
        <stp>12/31/2018</stp>
        <stp>1</stp>
        <tr r="K3121" s="1"/>
      </tp>
      <tp>
        <v>0.25145699815200001</v>
        <stp/>
        <stp>EM_S_FA_ASSETSTURN</stp>
        <stp>3</stp>
        <stp>600021</stp>
        <stp>12/31/2018</stp>
        <stp>1</stp>
        <tr r="K2411" s="1"/>
      </tp>
      <tp>
        <v>0.25551795787699999</v>
        <stp/>
        <stp>EM_S_FA_ASSETSTURN</stp>
        <stp>3</stp>
        <stp>600721</stp>
        <stp>12/31/2018</stp>
        <stp>1</stp>
        <tr r="K1284" s="1"/>
      </tp>
      <tp>
        <v>0.63278301616800003</v>
        <stp/>
        <stp>EM_S_FA_ASSETSTURN</stp>
        <stp>3</stp>
        <stp>300671</stp>
        <stp>12/31/2018</stp>
        <stp>1</stp>
        <tr r="K929" s="1"/>
      </tp>
      <tp>
        <v>6.3570356531999994E-2</v>
        <stp/>
        <stp>EM_S_FA_ASSETSTURN</stp>
        <stp>3</stp>
        <stp>600621</stp>
        <stp>12/31/2018</stp>
        <stp>1</stp>
        <tr r="K302" s="1"/>
      </tp>
      <tp>
        <v>0.67506448787999995</v>
        <stp/>
        <stp>EM_S_FA_ASSETSTURN</stp>
        <stp>3</stp>
        <stp>000541</stp>
        <stp>12/31/2018</stp>
        <stp>1</stp>
        <tr r="K2586" s="1"/>
      </tp>
      <tp>
        <v>1.17057225533</v>
        <stp/>
        <stp>EM_S_FA_ASSETSTURN</stp>
        <stp>3</stp>
        <stp>300571</stp>
        <stp>12/31/2018</stp>
        <stp>1</stp>
        <tr r="K939" s="1"/>
      </tp>
      <tp>
        <v>0.54679715957399999</v>
        <stp/>
        <stp>EM_S_FA_ASSETSTURN</stp>
        <stp>3</stp>
        <stp>600521</stp>
        <stp>12/31/2018</stp>
        <stp>1</stp>
        <tr r="K489" s="1"/>
      </tp>
      <tp>
        <v>0.15095536839099999</v>
        <stp/>
        <stp>EM_S_FA_ASSETSTURN</stp>
        <stp>3</stp>
        <stp>300471</stp>
        <stp>12/31/2018</stp>
        <stp>1</stp>
        <tr r="K341" s="1"/>
      </tp>
      <tp>
        <v>1.9971662074000002E-2</v>
        <stp/>
        <stp>EM_S_FA_ASSETSTURN</stp>
        <stp>3</stp>
        <stp>600421</stp>
        <stp>12/31/2018</stp>
        <stp>1</stp>
        <tr r="K1884" s="1"/>
      </tp>
      <tp>
        <v>0.48491765404100001</v>
        <stp/>
        <stp>EM_S_FA_ASSETSTURN</stp>
        <stp>3</stp>
        <stp>603321</stp>
        <stp>12/31/2018</stp>
        <stp>1</stp>
        <tr r="K1483" s="1"/>
      </tp>
      <tp>
        <v>0.26726143315500001</v>
        <stp/>
        <stp>EM_S_FA_ASSETSTURN</stp>
        <stp>3</stp>
        <stp>603021</stp>
        <stp>12/31/2018</stp>
        <stp>1</stp>
        <tr r="K717" s="1"/>
      </tp>
      <tp>
        <v>0.49185896943700003</v>
        <stp/>
        <stp>EM_S_FA_ASSETSTURN</stp>
        <stp>3</stp>
        <stp>603721</stp>
        <stp>12/31/2018</stp>
        <stp>1</stp>
        <tr r="K277" s="1"/>
      </tp>
      <tp>
        <v>0.56113170220499997</v>
        <stp/>
        <stp>EM_S_FA_ASSETSTURN</stp>
        <stp>3</stp>
        <stp>603421</stp>
        <stp>12/31/2018</stp>
        <stp>1</stp>
        <tr r="K3047" s="1"/>
      </tp>
      <tp>
        <v>2.8422359543129998</v>
        <stp/>
        <stp>EM_S_FA_ASSETSTURN</stp>
        <stp>3</stp>
        <stp>002841</stp>
        <stp>12/31/2018</stp>
        <stp>1</stp>
        <tr r="K563" s="1"/>
      </tp>
      <tp>
        <v>0.39580352561400001</v>
        <stp/>
        <stp>EM_S_FA_ASSETSTURN</stp>
        <stp>3</stp>
        <stp>002341</stp>
        <stp>12/31/2018</stp>
        <stp>1</stp>
        <tr r="K3376" s="1"/>
      </tp>
      <tp>
        <v>0.843519888286</v>
        <stp/>
        <stp>EM_S_FA_ASSETSTURN</stp>
        <stp>3</stp>
        <stp>002241</stp>
        <stp>12/31/2018</stp>
        <stp>1</stp>
        <tr r="K52" s="1"/>
      </tp>
      <tp>
        <v>0.58169921218999998</v>
        <stp/>
        <stp>EM_S_FA_ASSETSTURN</stp>
        <stp>3</stp>
        <stp>002141</stp>
        <stp>12/31/2018</stp>
        <stp>1</stp>
        <tr r="K2946" s="1"/>
      </tp>
      <tp>
        <v>0.18552473195499999</v>
        <stp/>
        <stp>EM_S_FA_ASSETSTURN</stp>
        <stp>3</stp>
        <stp>002041</stp>
        <stp>12/31/2018</stp>
        <stp>1</stp>
        <tr r="K3615" s="1"/>
      </tp>
      <tp>
        <v>0.75071952247600005</v>
        <stp/>
        <stp>EM_S_FA_ASSETSTURN</stp>
        <stp>3</stp>
        <stp>002741</stp>
        <stp>12/31/2018</stp>
        <stp>1</stp>
        <tr r="K3107" s="1"/>
      </tp>
      <tp>
        <v>1.064937411898</v>
        <stp/>
        <stp>EM_S_FA_ASSETSTURN</stp>
        <stp>3</stp>
        <stp>002641</stp>
        <stp>12/31/2018</stp>
        <stp>1</stp>
        <tr r="K718" s="1"/>
      </tp>
      <tp>
        <v>0.83119428983999999</v>
        <stp/>
        <stp>EM_S_FA_ASSETSTURN</stp>
        <stp>3</stp>
        <stp>002541</stp>
        <stp>12/31/2018</stp>
        <stp>1</stp>
        <tr r="K538" s="1"/>
      </tp>
      <tp>
        <v>1.624809363</v>
        <stp/>
        <stp>EM_S_FA_ASSETSTURN</stp>
        <stp>3</stp>
        <stp>002441</stp>
        <stp>12/31/2018</stp>
        <stp>1</stp>
        <tr r="K1561" s="1"/>
      </tp>
      <tp>
        <v>0.15985114229166666</v>
        <stp/>
        <stp>EM_S_RATIO_EPS_TTM</stp>
        <stp>3</stp>
        <stp>603196</stp>
        <stp>12/31/2018</stp>
        <stp>1</stp>
        <tr r="U3158" s="1"/>
      </tp>
      <tp>
        <v>1.7797482551659916</v>
        <stp/>
        <stp>EM_S_RATIO_EPS_TTM</stp>
        <stp>3</stp>
        <stp>603096</stp>
        <stp>12/31/2018</stp>
        <stp>1</stp>
        <tr r="U2758" s="1"/>
      </tp>
      <tp>
        <v>1.1223264426155803</v>
        <stp/>
        <stp>EM_S_RATIO_EPS_TTM</stp>
        <stp>3</stp>
        <stp>603396</stp>
        <stp>12/31/2018</stp>
        <stp>1</stp>
        <tr r="U3014" s="1"/>
      </tp>
      <tp>
        <v>0.5807736418796704</v>
        <stp/>
        <stp>EM_S_RATIO_EPS_TTM</stp>
        <stp>3</stp>
        <stp>603596</stp>
        <stp>12/31/2018</stp>
        <stp>1</stp>
        <tr r="U2425" s="1"/>
      </tp>
      <tp>
        <v>0.74029524968323246</v>
        <stp/>
        <stp>EM_S_RATIO_EPS_TTM</stp>
        <stp>3</stp>
        <stp>603496</stp>
        <stp>12/31/2018</stp>
        <stp>1</stp>
        <tr r="U2724" s="1"/>
      </tp>
      <tp>
        <v>0.23501392125000001</v>
        <stp/>
        <stp>EM_S_RATIO_EPS_TTM</stp>
        <stp>3</stp>
        <stp>603696</stp>
        <stp>12/31/2018</stp>
        <stp>1</stp>
        <tr r="U2853" s="1"/>
      </tp>
      <tp>
        <v>-0.26142620959520241</v>
        <stp/>
        <stp>EM_S_RATIO_EPS_TTM</stp>
        <stp>3</stp>
        <stp>603996</stp>
        <stp>12/31/2018</stp>
        <stp>1</stp>
        <tr r="U3243" s="1"/>
      </tp>
      <tp>
        <v>0.75106008912014266</v>
        <stp/>
        <stp>EM_S_RATIO_EPS_TTM</stp>
        <stp>3</stp>
        <stp>603896</stp>
        <stp>12/31/2018</stp>
        <stp>1</stp>
        <tr r="U1605" s="1"/>
      </tp>
      <tp>
        <v>0.12061116667629422</v>
        <stp/>
        <stp>EM_S_RATIO_EPS_TTM</stp>
        <stp>3</stp>
        <stp>601996</stp>
        <stp>12/31/2018</stp>
        <stp>1</stp>
        <tr r="U2340" s="1"/>
      </tp>
      <tp>
        <v>1.0565193451402566</v>
        <stp/>
        <stp>EM_S_RATIO_EPS_TTM</stp>
        <stp>3</stp>
        <stp>600196</stp>
        <stp>12/31/2018</stp>
        <stp>1</stp>
        <tr r="U1604" s="1"/>
      </tp>
      <tp>
        <v>9.2906841457943465E-2</v>
        <stp/>
        <stp>EM_S_RATIO_EPS_TTM</stp>
        <stp>3</stp>
        <stp>600096</stp>
        <stp>12/31/2018</stp>
        <stp>1</stp>
        <tr r="U2005" s="1"/>
      </tp>
      <tp>
        <v>-0.49476702676253043</v>
        <stp/>
        <stp>EM_S_RATIO_EPS_TTM</stp>
        <stp>3</stp>
        <stp>600396</stp>
        <stp>12/31/2018</stp>
        <stp>1</stp>
        <tr r="U2422" s="1"/>
      </tp>
      <tp>
        <v>0.51309826700029437</v>
        <stp/>
        <stp>EM_S_RATIO_EPS_TTM</stp>
        <stp>3</stp>
        <stp>600296</stp>
        <stp>12/31/2018</stp>
        <stp>1</stp>
        <tr r="U2300" s="1"/>
      </tp>
      <tp>
        <v>1.7472225918569393</v>
        <stp/>
        <stp>EM_S_RATIO_EPS_TTM</stp>
        <stp>3</stp>
        <stp>600596</stp>
        <stp>12/31/2018</stp>
        <stp>1</stp>
        <tr r="U2764" s="1"/>
      </tp>
      <tp>
        <v>0.10036885272197137</v>
        <stp/>
        <stp>EM_S_RATIO_EPS_TTM</stp>
        <stp>3</stp>
        <stp>600496</stp>
        <stp>12/31/2018</stp>
        <stp>1</stp>
        <tr r="U1831" s="1"/>
      </tp>
      <tp>
        <v>-0.1481253651599771</v>
        <stp/>
        <stp>EM_S_RATIO_EPS_TTM</stp>
        <stp>3</stp>
        <stp>600796</stp>
        <stp>12/31/2018</stp>
        <stp>1</stp>
        <tr r="U1931" s="1"/>
      </tp>
      <tp>
        <v>5.6436349184466841E-2</v>
        <stp/>
        <stp>EM_S_RATIO_EPS_TTM</stp>
        <stp>3</stp>
        <stp>600696</stp>
        <stp>12/31/2018</stp>
        <stp>1</stp>
        <tr r="U71" s="1"/>
      </tp>
      <tp>
        <v>0.29898253264890451</v>
        <stp/>
        <stp>EM_S_RATIO_EPS_TTM</stp>
        <stp>3</stp>
        <stp>600996</stp>
        <stp>12/31/2018</stp>
        <stp>1</stp>
        <tr r="U1043" s="1"/>
      </tp>
      <tp>
        <v>0.13166896489908242</v>
        <stp/>
        <stp>EM_S_RATIO_EPS_TTM</stp>
        <stp>3</stp>
        <stp>600896</stp>
        <stp>12/31/2018</stp>
        <stp>1</stp>
        <tr r="U1511" s="1"/>
      </tp>
      <tp>
        <v>0.265845631044</v>
        <stp/>
        <stp>EM_S_FA_ASSETSTURN</stp>
        <stp>3</stp>
        <stp>601326</stp>
        <stp>12/31/2018</stp>
        <stp>1</stp>
        <tr r="K2259" s="1"/>
      </tp>
      <tp>
        <v>0.73248216163099999</v>
        <stp/>
        <stp>EM_S_FA_ASSETSTURN</stp>
        <stp>3</stp>
        <stp>601226</stp>
        <stp>12/31/2018</stp>
        <stp>1</stp>
        <tr r="K1486" s="1"/>
      </tp>
      <tp>
        <v>0.63368209619299998</v>
        <stp/>
        <stp>EM_S_FA_ASSETSTURN</stp>
        <stp>3</stp>
        <stp>601126</stp>
        <stp>12/31/2018</stp>
        <stp>1</stp>
        <tr r="K1793" s="1"/>
      </tp>
      <tp>
        <v>0</v>
        <stp/>
        <stp>EM_S_FA_ASSETSTURN</stp>
        <stp>3</stp>
        <stp>600926</stp>
        <stp>12/31/2018</stp>
        <stp>1</stp>
        <tr r="K1142" s="1"/>
      </tp>
      <tp>
        <v>0.75122985243600005</v>
        <stp/>
        <stp>EM_S_FA_ASSETSTURN</stp>
        <stp>3</stp>
        <stp>600826</stp>
        <stp>12/31/2018</stp>
        <stp>1</stp>
        <tr r="K1328" s="1"/>
      </tp>
      <tp>
        <v>0.409794598826</v>
        <stp/>
        <stp>EM_S_FA_ASSETSTURN</stp>
        <stp>3</stp>
        <stp>300376</stp>
        <stp>12/31/2018</stp>
        <stp>1</stp>
        <tr r="K1822" s="1"/>
      </tp>
      <tp>
        <v>0.59030729181599995</v>
        <stp/>
        <stp>EM_S_FA_ASSETSTURN</stp>
        <stp>3</stp>
        <stp>600326</stp>
        <stp>12/31/2018</stp>
        <stp>1</stp>
        <tr r="K1643" s="1"/>
      </tp>
      <tp>
        <v>0.37603066174400002</v>
        <stp/>
        <stp>EM_S_FA_ASSETSTURN</stp>
        <stp>3</stp>
        <stp>300276</stp>
        <stp>12/31/2018</stp>
        <stp>1</stp>
        <tr r="K3092" s="1"/>
      </tp>
      <tp>
        <v>0.18665287992999999</v>
        <stp/>
        <stp>EM_S_FA_ASSETSTURN</stp>
        <stp>3</stp>
        <stp>600226</stp>
        <stp>12/31/2018</stp>
        <stp>1</stp>
        <tr r="K1718" s="1"/>
      </tp>
      <tp>
        <v>1.2498485153300001</v>
        <stp/>
        <stp>EM_S_FA_ASSETSTURN</stp>
        <stp>3</stp>
        <stp>300176</stp>
        <stp>12/31/2018</stp>
        <stp>1</stp>
        <tr r="K3402" s="1"/>
      </tp>
      <tp>
        <v>1.052413416259</v>
        <stp/>
        <stp>EM_S_FA_ASSETSTURN</stp>
        <stp>3</stp>
        <stp>600126</stp>
        <stp>12/31/2018</stp>
        <stp>1</stp>
        <tr r="K1866" s="1"/>
      </tp>
      <tp>
        <v>6.2040273990999997E-2</v>
        <stp/>
        <stp>EM_S_FA_ASSETSTURN</stp>
        <stp>3</stp>
        <stp>000046</stp>
        <stp>12/31/2018</stp>
        <stp>1</stp>
        <tr r="K2270" s="1"/>
      </tp>
      <tp>
        <v>0.18017945987299999</v>
        <stp/>
        <stp>EM_S_FA_ASSETSTURN</stp>
        <stp>3</stp>
        <stp>300076</stp>
        <stp>12/31/2018</stp>
        <stp>1</stp>
        <tr r="K594" s="1"/>
      </tp>
      <tp>
        <v>0.19847985582</v>
        <stp/>
        <stp>EM_S_FA_ASSETSTURN</stp>
        <stp>3</stp>
        <stp>600026</stp>
        <stp>12/31/2018</stp>
        <stp>1</stp>
        <tr r="K703" s="1"/>
      </tp>
      <tp>
        <v>0.38820739424400003</v>
        <stp/>
        <stp>EM_S_FA_ASSETSTURN</stp>
        <stp>3</stp>
        <stp>600726</stp>
        <stp>12/31/2018</stp>
        <stp>1</stp>
        <tr r="K3137" s="1"/>
      </tp>
      <tp>
        <v>0.489501855406</v>
        <stp/>
        <stp>EM_S_FA_ASSETSTURN</stp>
        <stp>3</stp>
        <stp>300676</stp>
        <stp>12/31/2018</stp>
        <stp>1</stp>
        <tr r="K1637" s="1"/>
      </tp>
      <tp>
        <v>1.4871293489820001</v>
        <stp/>
        <stp>EM_S_FA_ASSETSTURN</stp>
        <stp>3</stp>
        <stp>600626</stp>
        <stp>12/31/2018</stp>
        <stp>1</stp>
        <tr r="K1387" s="1"/>
      </tp>
      <tp>
        <v>0.97209075567100001</v>
        <stp/>
        <stp>EM_S_FA_ASSETSTURN</stp>
        <stp>3</stp>
        <stp>000546</stp>
        <stp>12/31/2018</stp>
        <stp>1</stp>
        <tr r="K1381" s="1"/>
      </tp>
      <tp>
        <v>0.81205596637699995</v>
        <stp/>
        <stp>EM_S_FA_ASSETSTURN</stp>
        <stp>3</stp>
        <stp>300576</stp>
        <stp>12/31/2018</stp>
        <stp>1</stp>
        <tr r="K161" s="1"/>
      </tp>
      <tp>
        <v>0.42876209571000001</v>
        <stp/>
        <stp>EM_S_FA_ASSETSTURN</stp>
        <stp>3</stp>
        <stp>600526</stp>
        <stp>12/31/2018</stp>
        <stp>1</stp>
        <tr r="K1544" s="1"/>
      </tp>
      <tp>
        <v>0.696333919696</v>
        <stp/>
        <stp>EM_S_FA_ASSETSTURN</stp>
        <stp>3</stp>
        <stp>300476</stp>
        <stp>12/31/2018</stp>
        <stp>1</stp>
        <tr r="K744" s="1"/>
      </tp>
      <tp>
        <v>0.82798817296399996</v>
        <stp/>
        <stp>EM_S_FA_ASSETSTURN</stp>
        <stp>3</stp>
        <stp>600426</stp>
        <stp>12/31/2018</stp>
        <stp>1</stp>
        <tr r="K417" s="1"/>
      </tp>
      <tp>
        <v>0.62848584731299995</v>
        <stp/>
        <stp>EM_S_FA_ASSETSTURN</stp>
        <stp>3</stp>
        <stp>603926</stp>
        <stp>12/31/2018</stp>
        <stp>1</stp>
        <tr r="K2907" s="1"/>
      </tp>
      <tp>
        <v>0.43476895155500001</v>
        <stp/>
        <stp>EM_S_FA_ASSETSTURN</stp>
        <stp>3</stp>
        <stp>603826</stp>
        <stp>12/31/2018</stp>
        <stp>1</stp>
        <tr r="K1431" s="1"/>
      </tp>
      <tp>
        <v>0.88602281738300004</v>
        <stp/>
        <stp>EM_S_FA_ASSETSTURN</stp>
        <stp>3</stp>
        <stp>603326</stp>
        <stp>12/31/2018</stp>
        <stp>1</stp>
        <tr r="K798" s="1"/>
      </tp>
      <tp>
        <v>0.81592916212400002</v>
        <stp/>
        <stp>EM_S_FA_ASSETSTURN</stp>
        <stp>3</stp>
        <stp>603226</stp>
        <stp>12/31/2018</stp>
        <stp>1</stp>
        <tr r="K1365" s="1"/>
      </tp>
      <tp>
        <v>0.56985389796800001</v>
        <stp/>
        <stp>EM_S_FA_ASSETSTURN</stp>
        <stp>3</stp>
        <stp>603126</stp>
        <stp>12/31/2018</stp>
        <stp>1</stp>
        <tr r="K2549" s="1"/>
      </tp>
      <tp>
        <v>1.969596988747</v>
        <stp/>
        <stp>EM_S_FA_ASSETSTURN</stp>
        <stp>3</stp>
        <stp>603026</stp>
        <stp>12/31/2018</stp>
        <stp>1</stp>
        <tr r="K220" s="1"/>
      </tp>
      <tp>
        <v>1.167321976805</v>
        <stp/>
        <stp>EM_S_FA_ASSETSTURN</stp>
        <stp>3</stp>
        <stp>603726</stp>
        <stp>12/31/2018</stp>
        <stp>1</stp>
        <tr r="K3291" s="1"/>
      </tp>
      <tp>
        <v>0.57329335181399999</v>
        <stp/>
        <stp>EM_S_FA_ASSETSTURN</stp>
        <stp>3</stp>
        <stp>603626</stp>
        <stp>12/31/2018</stp>
        <stp>1</stp>
        <tr r="K770" s="1"/>
      </tp>
      <tp>
        <v>0.89914995181199997</v>
        <stp/>
        <stp>EM_S_FA_ASSETSTURN</stp>
        <stp>3</stp>
        <stp>002846</stp>
        <stp>12/31/2018</stp>
        <stp>1</stp>
        <tr r="K237" s="1"/>
      </tp>
      <tp>
        <v>0.22429762665700001</v>
        <stp/>
        <stp>EM_S_FA_ASSETSTURN</stp>
        <stp>3</stp>
        <stp>002346</stp>
        <stp>12/31/2018</stp>
        <stp>1</stp>
        <tr r="K2763" s="1"/>
      </tp>
      <tp>
        <v>0.66564713370299999</v>
        <stp/>
        <stp>EM_S_FA_ASSETSTURN</stp>
        <stp>3</stp>
        <stp>002246</stp>
        <stp>12/31/2018</stp>
        <stp>1</stp>
        <tr r="K1557" s="1"/>
      </tp>
      <tp>
        <v>0.268740009833</v>
        <stp/>
        <stp>EM_S_FA_ASSETSTURN</stp>
        <stp>3</stp>
        <stp>002146</stp>
        <stp>12/31/2018</stp>
        <stp>1</stp>
        <tr r="K1173" s="1"/>
      </tp>
      <tp>
        <v>0.49664856503100002</v>
        <stp/>
        <stp>EM_S_FA_ASSETSTURN</stp>
        <stp>3</stp>
        <stp>002046</stp>
        <stp>12/31/2018</stp>
        <stp>1</stp>
        <tr r="K1952" s="1"/>
      </tp>
      <tp>
        <v>0.90793060730800002</v>
        <stp/>
        <stp>EM_S_FA_ASSETSTURN</stp>
        <stp>3</stp>
        <stp>002746</stp>
        <stp>12/31/2018</stp>
        <stp>1</stp>
        <tr r="K1580" s="1"/>
      </tp>
      <tp>
        <v>0.48138250938400001</v>
        <stp/>
        <stp>EM_S_FA_ASSETSTURN</stp>
        <stp>3</stp>
        <stp>002646</stp>
        <stp>12/31/2018</stp>
        <stp>1</stp>
        <tr r="K2254" s="1"/>
      </tp>
      <tp>
        <v>0.208766148964</v>
        <stp/>
        <stp>EM_S_FA_ASSETSTURN</stp>
        <stp>3</stp>
        <stp>002546</stp>
        <stp>12/31/2018</stp>
        <stp>1</stp>
        <tr r="K1763" s="1"/>
      </tp>
      <tp>
        <v>0.32225501146500002</v>
        <stp/>
        <stp>EM_S_FA_ASSETSTURN</stp>
        <stp>3</stp>
        <stp>002446</stp>
        <stp>12/31/2018</stp>
        <stp>1</stp>
        <tr r="K1496" s="1"/>
      </tp>
      <tp>
        <v>0.50989494827651305</v>
        <stp/>
        <stp>EM_S_RATIO_EPS_TTM</stp>
        <stp>3</stp>
        <stp>603991</stp>
        <stp>12/31/2018</stp>
        <stp>1</stp>
        <tr r="U2590" s="1"/>
      </tp>
      <tp>
        <v>6.6716826836035109E-2</v>
        <stp/>
        <stp>EM_S_RATIO_EPS_TTM</stp>
        <stp>3</stp>
        <stp>601991</stp>
        <stp>12/31/2018</stp>
        <stp>1</stp>
        <tr r="U3110" s="1"/>
      </tp>
      <tp>
        <v>-0.24041289221994014</v>
        <stp/>
        <stp>EM_S_RATIO_EPS_TTM</stp>
        <stp>3</stp>
        <stp>600191</stp>
        <stp>12/31/2018</stp>
        <stp>1</stp>
        <tr r="U885" s="1"/>
      </tp>
      <tp>
        <v>9.2956368117159804E-3</v>
        <stp/>
        <stp>EM_S_RATIO_EPS_TTM</stp>
        <stp>3</stp>
        <stp>600091</stp>
        <stp>12/31/2018</stp>
        <stp>1</stp>
        <tr r="U2402" s="1"/>
      </tp>
      <tp>
        <v>-0.91790264932716503</v>
        <stp/>
        <stp>EM_S_RATIO_EPS_TTM</stp>
        <stp>3</stp>
        <stp>600391</stp>
        <stp>12/31/2018</stp>
        <stp>1</stp>
        <tr r="U1045" s="1"/>
      </tp>
      <tp>
        <v>0.34546915370249126</v>
        <stp/>
        <stp>EM_S_RATIO_EPS_TTM</stp>
        <stp>3</stp>
        <stp>600291</stp>
        <stp>12/31/2018</stp>
        <stp>1</stp>
        <tr r="U2800" s="1"/>
      </tp>
      <tp>
        <v>-0.72940345000645079</v>
        <stp/>
        <stp>EM_S_RATIO_EPS_TTM</stp>
        <stp>3</stp>
        <stp>600591</stp>
        <stp>12/31/2018</stp>
        <stp>1</stp>
        <tr r="U2305" s="1"/>
      </tp>
      <tp>
        <v>0.60283043432187933</v>
        <stp/>
        <stp>EM_S_RATIO_EPS_TTM</stp>
        <stp>3</stp>
        <stp>600491</stp>
        <stp>12/31/2018</stp>
        <stp>1</stp>
        <tr r="U1872" s="1"/>
      </tp>
      <tp>
        <v>0.11116998745804628</v>
        <stp/>
        <stp>EM_S_RATIO_EPS_TTM</stp>
        <stp>3</stp>
        <stp>600791</stp>
        <stp>12/31/2018</stp>
        <stp>1</stp>
        <tr r="U1982" s="1"/>
      </tp>
      <tp>
        <v>5.418940183936212E-2</v>
        <stp/>
        <stp>EM_S_RATIO_EPS_TTM</stp>
        <stp>3</stp>
        <stp>600691</stp>
        <stp>12/31/2018</stp>
        <stp>1</stp>
        <tr r="U2883" s="1"/>
      </tp>
      <tp>
        <v>-0.21105102090556366</v>
        <stp/>
        <stp>EM_S_RATIO_EPS_TTM</stp>
        <stp>3</stp>
        <stp>600991</stp>
        <stp>12/31/2018</stp>
        <stp>1</stp>
        <tr r="U2334" s="1"/>
      </tp>
      <tp>
        <v>-6.6894947192139389</v>
        <stp/>
        <stp>EM_S_RATIO_EPS_TTM</stp>
        <stp>3</stp>
        <stp>600891</stp>
        <stp>12/31/2018</stp>
        <stp>1</stp>
        <tr r="U3403" s="1"/>
      </tp>
      <tp>
        <v>0.80511939840699998</v>
        <stp/>
        <stp>EM_S_FA_ASSETSTURN</stp>
        <stp>3</stp>
        <stp>601127</stp>
        <stp>12/31/2018</stp>
        <stp>1</stp>
        <tr r="K3258" s="1"/>
      </tp>
      <tp>
        <v>0.484160624993</v>
        <stp/>
        <stp>EM_S_FA_ASSETSTURN</stp>
        <stp>3</stp>
        <stp>601727</stp>
        <stp>12/31/2018</stp>
        <stp>1</stp>
        <tr r="K2339" s="1"/>
      </tp>
      <tp>
        <v>1.0748604395329999</v>
        <stp/>
        <stp>EM_S_FA_ASSETSTURN</stp>
        <stp>3</stp>
        <stp>600827</stp>
        <stp>12/31/2018</stp>
        <stp>1</stp>
        <tr r="K1943" s="1"/>
      </tp>
      <tp>
        <v>0.20788404180100001</v>
        <stp/>
        <stp>EM_S_FA_ASSETSTURN</stp>
        <stp>3</stp>
        <stp>300377</stp>
        <stp>12/31/2018</stp>
        <stp>1</stp>
        <tr r="K2142" s="1"/>
      </tp>
      <tp>
        <v>1.844676285157</v>
        <stp/>
        <stp>EM_S_FA_ASSETSTURN</stp>
        <stp>3</stp>
        <stp>600327</stp>
        <stp>12/31/2018</stp>
        <stp>1</stp>
        <tr r="K2932" s="1"/>
      </tp>
      <tp>
        <v>0.365942471469</v>
        <stp/>
        <stp>EM_S_FA_ASSETSTURN</stp>
        <stp>3</stp>
        <stp>300277</stp>
        <stp>12/31/2018</stp>
        <stp>1</stp>
        <tr r="K492" s="1"/>
      </tp>
      <tp>
        <v>0.35790905204899998</v>
        <stp/>
        <stp>EM_S_FA_ASSETSTURN</stp>
        <stp>3</stp>
        <stp>600227</stp>
        <stp>12/31/2018</stp>
        <stp>1</stp>
        <tr r="K2732" s="1"/>
      </tp>
      <tp>
        <v>0.48787924475</v>
        <stp/>
        <stp>EM_S_FA_ASSETSTURN</stp>
        <stp>3</stp>
        <stp>300177</stp>
        <stp>12/31/2018</stp>
        <stp>1</stp>
        <tr r="K2865" s="1"/>
      </tp>
      <tp>
        <v>1.423222574802</v>
        <stp/>
        <stp>EM_S_FA_ASSETSTURN</stp>
        <stp>3</stp>
        <stp>600127</stp>
        <stp>12/31/2018</stp>
        <stp>1</stp>
        <tr r="K762" s="1"/>
      </tp>
      <tp>
        <v>0</v>
        <stp/>
        <stp>EM_S_FA_ASSETSTURN</stp>
        <stp>3</stp>
        <stp>000047</stp>
        <stp>12/31/2018</stp>
        <stp>1</stp>
        <tr r="K2276" s="1"/>
      </tp>
      <tp>
        <v>0.206569760809</v>
        <stp/>
        <stp>EM_S_FA_ASSETSTURN</stp>
        <stp>3</stp>
        <stp>300077</stp>
        <stp>12/31/2018</stp>
        <stp>1</stp>
        <tr r="K3056" s="1"/>
      </tp>
      <tp>
        <v>0.40047216476600001</v>
        <stp/>
        <stp>EM_S_FA_ASSETSTURN</stp>
        <stp>3</stp>
        <stp>600027</stp>
        <stp>12/31/2018</stp>
        <stp>1</stp>
        <tr r="K3124" s="1"/>
      </tp>
      <tp>
        <v>0.39181869025900001</v>
        <stp/>
        <stp>EM_S_FA_ASSETSTURN</stp>
        <stp>3</stp>
        <stp>600727</stp>
        <stp>12/31/2018</stp>
        <stp>1</stp>
        <tr r="K964" s="1"/>
      </tp>
      <tp>
        <v>0.92707069633700001</v>
        <stp/>
        <stp>EM_S_FA_ASSETSTURN</stp>
        <stp>3</stp>
        <stp>300677</stp>
        <stp>12/31/2018</stp>
        <stp>1</stp>
        <tr r="K1528" s="1"/>
      </tp>
      <tp>
        <v>0</v>
        <stp/>
        <stp>EM_S_FA_ASSETSTURN</stp>
        <stp>3</stp>
        <stp>600627</stp>
        <stp>12/31/2018</stp>
        <stp>1</stp>
        <tr r="K2308" s="1"/>
      </tp>
      <tp>
        <v>0.41484599509999998</v>
        <stp/>
        <stp>EM_S_FA_ASSETSTURN</stp>
        <stp>3</stp>
        <stp>000547</stp>
        <stp>12/31/2018</stp>
        <stp>1</stp>
        <tr r="K790" s="1"/>
      </tp>
      <tp>
        <v>1.707044466118</v>
        <stp/>
        <stp>EM_S_FA_ASSETSTURN</stp>
        <stp>3</stp>
        <stp>300577</stp>
        <stp>12/31/2018</stp>
        <stp>1</stp>
        <tr r="K1691" s="1"/>
      </tp>
      <tp>
        <v>0.54114138083499996</v>
        <stp/>
        <stp>EM_S_FA_ASSETSTURN</stp>
        <stp>3</stp>
        <stp>600527</stp>
        <stp>12/31/2018</stp>
        <stp>1</stp>
        <tr r="K2084" s="1"/>
      </tp>
      <tp>
        <v>0.46517742767800002</v>
        <stp/>
        <stp>EM_S_FA_ASSETSTURN</stp>
        <stp>3</stp>
        <stp>300477</stp>
        <stp>12/31/2018</stp>
        <stp>1</stp>
        <tr r="K3020" s="1"/>
      </tp>
      <tp>
        <v>0.71521761899000003</v>
        <stp/>
        <stp>EM_S_FA_ASSETSTURN</stp>
        <stp>3</stp>
        <stp>603227</stp>
        <stp>12/31/2018</stp>
        <stp>1</stp>
        <tr r="K1007" s="1"/>
      </tp>
      <tp>
        <v>0.39264401737499999</v>
        <stp/>
        <stp>EM_S_FA_ASSETSTURN</stp>
        <stp>3</stp>
        <stp>603127</stp>
        <stp>12/31/2018</stp>
        <stp>1</stp>
        <tr r="K1307" s="1"/>
      </tp>
      <tp>
        <v>0.68139028761599996</v>
        <stp/>
        <stp>EM_S_FA_ASSETSTURN</stp>
        <stp>3</stp>
        <stp>603027</stp>
        <stp>12/31/2018</stp>
        <stp>1</stp>
        <tr r="K783" s="1"/>
      </tp>
      <tp>
        <v>0.14092359033999999</v>
        <stp/>
        <stp>EM_S_FA_ASSETSTURN</stp>
        <stp>3</stp>
        <stp>603727</stp>
        <stp>12/31/2018</stp>
        <stp>1</stp>
        <tr r="K592" s="1"/>
      </tp>
      <tp>
        <v>2.8974742391250001</v>
        <stp/>
        <stp>EM_S_FA_ASSETSTURN</stp>
        <stp>3</stp>
        <stp>603527</stp>
        <stp>12/31/2018</stp>
        <stp>1</stp>
        <tr r="K1518" s="1"/>
      </tp>
      <tp>
        <v>1.0425823314260001</v>
        <stp/>
        <stp>EM_S_FA_ASSETSTURN</stp>
        <stp>3</stp>
        <stp>002847</stp>
        <stp>12/31/2018</stp>
        <stp>1</stp>
        <tr r="K368" s="1"/>
      </tp>
      <tp>
        <v>0.35364975588199998</v>
        <stp/>
        <stp>EM_S_FA_ASSETSTURN</stp>
        <stp>3</stp>
        <stp>002347</stp>
        <stp>12/31/2018</stp>
        <stp>1</stp>
        <tr r="K1192" s="1"/>
      </tp>
      <tp>
        <v>0.76495666123399997</v>
        <stp/>
        <stp>EM_S_FA_ASSETSTURN</stp>
        <stp>3</stp>
        <stp>002247</stp>
        <stp>12/31/2018</stp>
        <stp>1</stp>
        <tr r="K3301" s="1"/>
      </tp>
      <tp>
        <v>0.138010514852</v>
        <stp/>
        <stp>EM_S_FA_ASSETSTURN</stp>
        <stp>3</stp>
        <stp>002147</stp>
        <stp>12/31/2018</stp>
        <stp>1</stp>
        <tr r="K3244" s="1"/>
      </tp>
      <tp>
        <v>0.77778550798199997</v>
        <stp/>
        <stp>EM_S_FA_ASSETSTURN</stp>
        <stp>3</stp>
        <stp>002047</stp>
        <stp>12/31/2018</stp>
        <stp>1</stp>
        <tr r="K3616" s="1"/>
      </tp>
      <tp>
        <v>0.42655830407400003</v>
        <stp/>
        <stp>EM_S_FA_ASSETSTURN</stp>
        <stp>3</stp>
        <stp>002747</stp>
        <stp>12/31/2018</stp>
        <stp>1</stp>
        <tr r="K862" s="1"/>
      </tp>
      <tp>
        <v>0.37792110571300003</v>
        <stp/>
        <stp>EM_S_FA_ASSETSTURN</stp>
        <stp>3</stp>
        <stp>002647</stp>
        <stp>12/31/2018</stp>
        <stp>1</stp>
        <tr r="K963" s="1"/>
      </tp>
      <tp>
        <v>0.57839942857100002</v>
        <stp/>
        <stp>EM_S_FA_ASSETSTURN</stp>
        <stp>3</stp>
        <stp>002547</stp>
        <stp>12/31/2018</stp>
        <stp>1</stp>
        <tr r="K524" s="1"/>
      </tp>
      <tp>
        <v>0.10328844276</v>
        <stp/>
        <stp>EM_S_FA_ASSETSTURN</stp>
        <stp>3</stp>
        <stp>002447</stp>
        <stp>12/31/2018</stp>
        <stp>1</stp>
        <tr r="K1388" s="1"/>
      </tp>
      <tp>
        <v>0.32623930440000004</v>
        <stp/>
        <stp>EM_S_RATIO_EPS_TTM</stp>
        <stp>3</stp>
        <stp>603090</stp>
        <stp>12/31/2018</stp>
        <stp>1</stp>
        <tr r="U1077" s="1"/>
      </tp>
      <tp>
        <v>0.1537835627666635</v>
        <stp/>
        <stp>EM_S_RATIO_EPS_TTM</stp>
        <stp>3</stp>
        <stp>603690</stp>
        <stp>12/31/2018</stp>
        <stp>1</stp>
        <tr r="U133" s="1"/>
      </tp>
      <tp>
        <v>0.68803533448262988</v>
        <stp/>
        <stp>EM_S_RATIO_EPS_TTM</stp>
        <stp>3</stp>
        <stp>603990</stp>
        <stp>12/31/2018</stp>
        <stp>1</stp>
        <tr r="U2011" s="1"/>
      </tp>
      <tp>
        <v>0.56631467888425446</v>
        <stp/>
        <stp>EM_S_RATIO_EPS_TTM</stp>
        <stp>3</stp>
        <stp>603890</stp>
        <stp>12/31/2018</stp>
        <stp>1</stp>
        <tr r="U2755" s="1"/>
      </tp>
      <tp>
        <v>0.75284148949040164</v>
        <stp/>
        <stp>EM_S_RATIO_EPS_TTM</stp>
        <stp>3</stp>
        <stp>601390</stp>
        <stp>12/31/2018</stp>
        <stp>1</stp>
        <tr r="U2944" s="1"/>
      </tp>
      <tp>
        <v>8.4313776761881343E-2</v>
        <stp/>
        <stp>EM_S_RATIO_EPS_TTM</stp>
        <stp>3</stp>
        <stp>601990</stp>
        <stp>12/31/2018</stp>
        <stp>1</stp>
        <tr r="U632" s="1"/>
      </tp>
      <tp>
        <v>-1.5304589899937462E-2</v>
        <stp/>
        <stp>EM_S_RATIO_EPS_TTM</stp>
        <stp>3</stp>
        <stp>601890</stp>
        <stp>12/31/2018</stp>
        <stp>1</stp>
        <tr r="U410" s="1"/>
      </tp>
      <tp>
        <v>0.12080253515035148</v>
        <stp/>
        <stp>EM_S_RATIO_EPS_TTM</stp>
        <stp>3</stp>
        <stp>600190</stp>
        <stp>12/31/2018</stp>
        <stp>1</stp>
        <tr r="U1541" s="1"/>
      </tp>
      <tp>
        <v>0.36736382171731174</v>
        <stp/>
        <stp>EM_S_RATIO_EPS_TTM</stp>
        <stp>3</stp>
        <stp>600090</stp>
        <stp>12/31/2018</stp>
        <stp>1</stp>
        <tr r="U3138" s="1"/>
      </tp>
      <tp>
        <v>0.60008746565198712</v>
        <stp/>
        <stp>EM_S_RATIO_EPS_TTM</stp>
        <stp>3</stp>
        <stp>600390</stp>
        <stp>12/31/2018</stp>
        <stp>1</stp>
        <tr r="U1389" s="1"/>
      </tp>
      <tp>
        <v>-0.10925679110331153</v>
        <stp/>
        <stp>EM_S_RATIO_EPS_TTM</stp>
        <stp>3</stp>
        <stp>600290</stp>
        <stp>12/31/2018</stp>
        <stp>1</stp>
        <tr r="U3277" s="1"/>
      </tp>
      <tp>
        <v>0.30264248205385913</v>
        <stp/>
        <stp>EM_S_RATIO_EPS_TTM</stp>
        <stp>3</stp>
        <stp>600590</stp>
        <stp>12/31/2018</stp>
        <stp>1</stp>
        <tr r="U1835" s="1"/>
      </tp>
      <tp>
        <v>9.3975435867048096E-2</v>
        <stp/>
        <stp>EM_S_RATIO_EPS_TTM</stp>
        <stp>3</stp>
        <stp>600490</stp>
        <stp>12/31/2018</stp>
        <stp>1</stp>
        <tr r="U2114" s="1"/>
      </tp>
      <tp>
        <v>0.35065438451124048</v>
        <stp/>
        <stp>EM_S_RATIO_EPS_TTM</stp>
        <stp>3</stp>
        <stp>600790</stp>
        <stp>12/31/2018</stp>
        <stp>1</stp>
        <tr r="U2647" s="1"/>
      </tp>
      <tp>
        <v>1.1683011973604052</v>
        <stp/>
        <stp>EM_S_RATIO_EPS_TTM</stp>
        <stp>3</stp>
        <stp>600690</stp>
        <stp>12/31/2018</stp>
        <stp>1</stp>
        <tr r="U748" s="1"/>
      </tp>
      <tp>
        <v>1.6163976266106779</v>
        <stp/>
        <stp>EM_S_RATIO_EPS_TTM</stp>
        <stp>3</stp>
        <stp>600990</stp>
        <stp>12/31/2018</stp>
        <stp>1</stp>
        <tr r="U934" s="1"/>
      </tp>
      <tp>
        <v>-7.255239541334034E-2</v>
        <stp/>
        <stp>EM_S_RATIO_EPS_TTM</stp>
        <stp>3</stp>
        <stp>600890</stp>
        <stp>12/31/2018</stp>
        <stp>1</stp>
        <tr r="U3134" s="1"/>
      </tp>
      <tp>
        <v>0.52229421813499999</v>
        <stp/>
        <stp>EM_S_FA_ASSETSTURN</stp>
        <stp>3</stp>
        <stp>600824</stp>
        <stp>12/31/2018</stp>
        <stp>1</stp>
        <tr r="K2064" s="1"/>
      </tp>
      <tp>
        <v>0.29939962461399999</v>
        <stp/>
        <stp>EM_S_FA_ASSETSTURN</stp>
        <stp>3</stp>
        <stp>300374</stp>
        <stp>12/31/2018</stp>
        <stp>1</stp>
        <tr r="K2349" s="1"/>
      </tp>
      <tp>
        <v>0.59693357448700002</v>
        <stp/>
        <stp>EM_S_FA_ASSETSTURN</stp>
        <stp>3</stp>
        <stp>300274</stp>
        <stp>12/31/2018</stp>
        <stp>1</stp>
        <tr r="K1283" s="1"/>
      </tp>
      <tp>
        <v>1.1510834623099999</v>
        <stp/>
        <stp>EM_S_FA_ASSETSTURN</stp>
        <stp>3</stp>
        <stp>300174</stp>
        <stp>12/31/2018</stp>
        <stp>1</stp>
        <tr r="K701" s="1"/>
      </tp>
      <tp>
        <v>0.28553508391400001</v>
        <stp/>
        <stp>EM_S_FA_ASSETSTURN</stp>
        <stp>3</stp>
        <stp>300074</stp>
        <stp>12/31/2018</stp>
        <stp>1</stp>
        <tr r="K1462" s="1"/>
      </tp>
      <tp>
        <v>0.46513059519400002</v>
        <stp/>
        <stp>EM_S_FA_ASSETSTURN</stp>
        <stp>3</stp>
        <stp>600724</stp>
        <stp>12/31/2018</stp>
        <stp>1</stp>
        <tr r="K1617" s="1"/>
      </tp>
      <tp>
        <v>0.40317338670300001</v>
        <stp/>
        <stp>EM_S_FA_ASSETSTURN</stp>
        <stp>3</stp>
        <stp>600624</stp>
        <stp>12/31/2018</stp>
        <stp>1</stp>
        <tr r="K437" s="1"/>
      </tp>
      <tp>
        <v>0.12961036256399999</v>
        <stp/>
        <stp>EM_S_FA_ASSETSTURN</stp>
        <stp>3</stp>
        <stp>000544</stp>
        <stp>12/31/2018</stp>
        <stp>1</stp>
        <tr r="K1160" s="1"/>
      </tp>
      <tp>
        <v>0.222567327038</v>
        <stp/>
        <stp>EM_S_FA_ASSETSTURN</stp>
        <stp>3</stp>
        <stp>300474</stp>
        <stp>12/31/2018</stp>
        <stp>1</stp>
        <tr r="K392" s="1"/>
      </tp>
      <tp>
        <v>0.15852459972999999</v>
        <stp/>
        <stp>EM_S_FA_ASSETSTURN</stp>
        <stp>3</stp>
        <stp>002344</stp>
        <stp>12/31/2018</stp>
        <stp>1</stp>
        <tr r="K2491" s="1"/>
      </tp>
      <tp>
        <v>0.285736973432</v>
        <stp/>
        <stp>EM_S_FA_ASSETSTURN</stp>
        <stp>3</stp>
        <stp>002244</stp>
        <stp>12/31/2018</stp>
        <stp>1</stp>
        <tr r="K1120" s="1"/>
      </tp>
      <tp>
        <v>0.32173753153200002</v>
        <stp/>
        <stp>EM_S_FA_ASSETSTURN</stp>
        <stp>3</stp>
        <stp>002144</stp>
        <stp>12/31/2018</stp>
        <stp>1</stp>
        <tr r="K2202" s="1"/>
      </tp>
      <tp>
        <v>0.58669887220100003</v>
        <stp/>
        <stp>EM_S_FA_ASSETSTURN</stp>
        <stp>3</stp>
        <stp>002044</stp>
        <stp>12/31/2018</stp>
        <stp>1</stp>
        <tr r="K2450" s="1"/>
      </tp>
      <tp>
        <v>0.22359137296100001</v>
        <stp/>
        <stp>EM_S_FA_ASSETSTURN</stp>
        <stp>3</stp>
        <stp>002644</stp>
        <stp>12/31/2018</stp>
        <stp>1</stp>
        <tr r="K2710" s="1"/>
      </tp>
      <tp>
        <v>0.93524828967600004</v>
        <stp/>
        <stp>EM_S_FA_ASSETSTURN</stp>
        <stp>3</stp>
        <stp>002544</stp>
        <stp>12/31/2018</stp>
        <stp>1</stp>
        <tr r="K1046" s="1"/>
      </tp>
      <tp>
        <v>0.68995005085500005</v>
        <stp/>
        <stp>EM_S_FA_ASSETSTURN</stp>
        <stp>3</stp>
        <stp>002444</stp>
        <stp>12/31/2018</stp>
        <stp>1</stp>
        <tr r="K1624" s="1"/>
      </tp>
      <tp>
        <v>2.0910545023125002</v>
        <stp/>
        <stp>EM_S_RATIO_EPS_TTM</stp>
        <stp>3</stp>
        <stp>603393</stp>
        <stp>12/31/2018</stp>
        <stp>1</stp>
        <tr r="U2735" s="1"/>
      </tp>
      <tp>
        <v>0.50912865634304205</v>
        <stp/>
        <stp>EM_S_RATIO_EPS_TTM</stp>
        <stp>3</stp>
        <stp>603693</stp>
        <stp>12/31/2018</stp>
        <stp>1</stp>
        <tr r="U3179" s="1"/>
      </tp>
      <tp>
        <v>0.21461791378019579</v>
        <stp/>
        <stp>EM_S_RATIO_EPS_TTM</stp>
        <stp>3</stp>
        <stp>603993</stp>
        <stp>12/31/2018</stp>
        <stp>1</stp>
        <tr r="U1415" s="1"/>
      </tp>
      <tp>
        <v>6.7452973837079461E-2</v>
        <stp/>
        <stp>EM_S_RATIO_EPS_TTM</stp>
        <stp>3</stp>
        <stp>600193</stp>
        <stp>12/31/2018</stp>
        <stp>1</stp>
        <tr r="U1171" s="1"/>
      </tp>
      <tp>
        <v>0.72516422907975653</v>
        <stp/>
        <stp>EM_S_RATIO_EPS_TTM</stp>
        <stp>3</stp>
        <stp>600093</stp>
        <stp>12/31/2018</stp>
        <stp>1</stp>
        <tr r="U227" s="1"/>
      </tp>
      <tp>
        <v>0.11432947816334688</v>
        <stp/>
        <stp>EM_S_RATIO_EPS_TTM</stp>
        <stp>3</stp>
        <stp>600393</stp>
        <stp>12/31/2018</stp>
        <stp>1</stp>
        <tr r="U815" s="1"/>
      </tp>
      <tp>
        <v>0.20685947519254622</v>
        <stp/>
        <stp>EM_S_RATIO_EPS_TTM</stp>
        <stp>3</stp>
        <stp>600293</stp>
        <stp>12/31/2018</stp>
        <stp>1</stp>
        <tr r="U3052" s="1"/>
      </tp>
      <tp>
        <v>0.44764026234472049</v>
        <stp/>
        <stp>EM_S_RATIO_EPS_TTM</stp>
        <stp>3</stp>
        <stp>600593</stp>
        <stp>12/31/2018</stp>
        <stp>1</stp>
        <tr r="U387" s="1"/>
      </tp>
      <tp>
        <v>0.11251212371323528</v>
        <stp/>
        <stp>EM_S_RATIO_EPS_TTM</stp>
        <stp>3</stp>
        <stp>600493</stp>
        <stp>12/31/2018</stp>
        <stp>1</stp>
        <tr r="U2813" s="1"/>
      </tp>
      <tp>
        <v>1.6568142629629627</v>
        <stp/>
        <stp>EM_S_RATIO_EPS_TTM</stp>
        <stp>3</stp>
        <stp>600793</stp>
        <stp>12/31/2018</stp>
        <stp>1</stp>
        <tr r="U1843" s="1"/>
      </tp>
      <tp>
        <v>0.29167740898116568</v>
        <stp/>
        <stp>EM_S_RATIO_EPS_TTM</stp>
        <stp>3</stp>
        <stp>600693</stp>
        <stp>12/31/2018</stp>
        <stp>1</stp>
        <tr r="U2373" s="1"/>
      </tp>
      <tp>
        <v>0.40878398348572148</v>
        <stp/>
        <stp>EM_S_RATIO_EPS_TTM</stp>
        <stp>3</stp>
        <stp>600993</stp>
        <stp>12/31/2018</stp>
        <stp>1</stp>
        <tr r="U973" s="1"/>
      </tp>
      <tp>
        <v>0.47288133069821781</v>
        <stp/>
        <stp>EM_S_RATIO_EPS_TTM</stp>
        <stp>3</stp>
        <stp>600893</stp>
        <stp>12/31/2018</stp>
        <stp>1</stp>
        <tr r="U2384" s="1"/>
      </tp>
      <tp>
        <v>0.50654621110599996</v>
        <stp/>
        <stp>EM_S_FA_ASSETSTURN</stp>
        <stp>3</stp>
        <stp>601225</stp>
        <stp>12/31/2018</stp>
        <stp>1</stp>
        <tr r="K1210" s="1"/>
      </tp>
      <tp>
        <v>0.35838396086699997</v>
        <stp/>
        <stp>EM_S_FA_ASSETSTURN</stp>
        <stp>3</stp>
        <stp>600825</stp>
        <stp>12/31/2018</stp>
        <stp>1</stp>
        <tr r="K1333" s="1"/>
      </tp>
      <tp>
        <v>0.63172080733400005</v>
        <stp/>
        <stp>EM_S_FA_ASSETSTURN</stp>
        <stp>3</stp>
        <stp>300375</stp>
        <stp>12/31/2018</stp>
        <stp>1</stp>
        <tr r="K3267" s="1"/>
      </tp>
      <tp>
        <v>0.147247812353</v>
        <stp/>
        <stp>EM_S_FA_ASSETSTURN</stp>
        <stp>3</stp>
        <stp>600325</stp>
        <stp>12/31/2018</stp>
        <stp>1</stp>
        <tr r="K1081" s="1"/>
      </tp>
      <tp>
        <v>0.23420911682199999</v>
        <stp/>
        <stp>EM_S_FA_ASSETSTURN</stp>
        <stp>3</stp>
        <stp>300275</stp>
        <stp>12/31/2018</stp>
        <stp>1</stp>
        <tr r="K386" s="1"/>
      </tp>
      <tp>
        <v>0.222179509734</v>
        <stp/>
        <stp>EM_S_FA_ASSETSTURN</stp>
        <stp>3</stp>
        <stp>600225</stp>
        <stp>12/31/2018</stp>
        <stp>1</stp>
        <tr r="K2872" s="1"/>
      </tp>
      <tp>
        <v>0.30233778616500001</v>
        <stp/>
        <stp>EM_S_FA_ASSETSTURN</stp>
        <stp>3</stp>
        <stp>300175</stp>
        <stp>12/31/2018</stp>
        <stp>1</stp>
        <tr r="K630" s="1"/>
      </tp>
      <tp>
        <v>1.698986261962</v>
        <stp/>
        <stp>EM_S_FA_ASSETSTURN</stp>
        <stp>3</stp>
        <stp>600125</stp>
        <stp>12/31/2018</stp>
        <stp>1</stp>
        <tr r="K2904" s="1"/>
      </tp>
      <tp>
        <v>0.28868156535400002</v>
        <stp/>
        <stp>EM_S_FA_ASSETSTURN</stp>
        <stp>3</stp>
        <stp>000045</stp>
        <stp>12/31/2018</stp>
        <stp>1</stp>
        <tr r="K967" s="1"/>
      </tp>
      <tp>
        <v>0.41904678641799997</v>
        <stp/>
        <stp>EM_S_FA_ASSETSTURN</stp>
        <stp>3</stp>
        <stp>300075</stp>
        <stp>12/31/2018</stp>
        <stp>1</stp>
        <tr r="K2077" s="1"/>
      </tp>
      <tp>
        <v>9.2265014421000005E-2</v>
        <stp/>
        <stp>EM_S_FA_ASSETSTURN</stp>
        <stp>3</stp>
        <stp>600025</stp>
        <stp>12/31/2018</stp>
        <stp>1</stp>
        <tr r="K835" s="1"/>
      </tp>
      <tp>
        <v>2.980060980388</v>
        <stp/>
        <stp>EM_S_FA_ASSETSTURN</stp>
        <stp>3</stp>
        <stp>600725</stp>
        <stp>12/31/2018</stp>
        <stp>1</stp>
        <tr r="K1728" s="1"/>
      </tp>
      <tp>
        <v>0.51592489585000001</v>
        <stp/>
        <stp>EM_S_FA_ASSETSTURN</stp>
        <stp>3</stp>
        <stp>300675</stp>
        <stp>12/31/2018</stp>
        <stp>1</stp>
        <tr r="K3339" s="1"/>
      </tp>
      <tp>
        <v>0.627121055388</v>
        <stp/>
        <stp>EM_S_FA_ASSETSTURN</stp>
        <stp>3</stp>
        <stp>600625</stp>
        <stp>12/31/2018</stp>
        <stp>1</stp>
        <tr r="K2307" s="1"/>
      </tp>
      <tp>
        <v>0.63094684409599999</v>
        <stp/>
        <stp>EM_S_FA_ASSETSTURN</stp>
        <stp>3</stp>
        <stp>000545</stp>
        <stp>12/31/2018</stp>
        <stp>1</stp>
        <tr r="K2486" s="1"/>
      </tp>
      <tp>
        <v>0.83334371133999996</v>
        <stp/>
        <stp>EM_S_FA_ASSETSTURN</stp>
        <stp>3</stp>
        <stp>300575</stp>
        <stp>12/31/2018</stp>
        <stp>1</stp>
        <tr r="K3269" s="1"/>
      </tp>
      <tp>
        <v>0.39690515812900001</v>
        <stp/>
        <stp>EM_S_FA_ASSETSTURN</stp>
        <stp>3</stp>
        <stp>600525</stp>
        <stp>12/31/2018</stp>
        <stp>1</stp>
        <tr r="K831" s="1"/>
      </tp>
      <tp>
        <v>0.20394740545699999</v>
        <stp/>
        <stp>EM_S_FA_ASSETSTURN</stp>
        <stp>3</stp>
        <stp>300475</stp>
        <stp>12/31/2018</stp>
        <stp>1</stp>
        <tr r="K864" s="1"/>
      </tp>
      <tp>
        <v>0.26635650377800002</v>
        <stp/>
        <stp>EM_S_FA_ASSETSTURN</stp>
        <stp>3</stp>
        <stp>600425</stp>
        <stp>12/31/2018</stp>
        <stp>1</stp>
        <tr r="K935" s="1"/>
      </tp>
      <tp>
        <v>1.958567711733</v>
        <stp/>
        <stp>EM_S_FA_ASSETSTURN</stp>
        <stp>3</stp>
        <stp>603825</stp>
        <stp>12/31/2018</stp>
        <stp>1</stp>
        <tr r="K901" s="1"/>
      </tp>
      <tp>
        <v>2.3145767243340001</v>
        <stp/>
        <stp>EM_S_FA_ASSETSTURN</stp>
        <stp>3</stp>
        <stp>603225</stp>
        <stp>12/31/2018</stp>
        <stp>1</stp>
        <tr r="K3262" s="1"/>
      </tp>
      <tp>
        <v>0.52412163035399995</v>
        <stp/>
        <stp>EM_S_FA_ASSETSTURN</stp>
        <stp>3</stp>
        <stp>603025</stp>
        <stp>12/31/2018</stp>
        <stp>1</stp>
        <tr r="K2951" s="1"/>
      </tp>
      <tp>
        <v>0.74013497550700003</v>
        <stp/>
        <stp>EM_S_FA_ASSETSTURN</stp>
        <stp>3</stp>
        <stp>603725</stp>
        <stp>12/31/2018</stp>
        <stp>1</stp>
        <tr r="K3230" s="1"/>
      </tp>
      <tp>
        <v>1.0687277411189999</v>
        <stp/>
        <stp>EM_S_FA_ASSETSTURN</stp>
        <stp>3</stp>
        <stp>002845</stp>
        <stp>12/31/2018</stp>
        <stp>1</stp>
        <tr r="K1899" s="1"/>
      </tp>
      <tp>
        <v>0.59785000402199995</v>
        <stp/>
        <stp>EM_S_FA_ASSETSTURN</stp>
        <stp>3</stp>
        <stp>002345</stp>
        <stp>12/31/2018</stp>
        <stp>1</stp>
        <tr r="K2799" s="1"/>
      </tp>
      <tp>
        <v>0.61832798148000001</v>
        <stp/>
        <stp>EM_S_FA_ASSETSTURN</stp>
        <stp>3</stp>
        <stp>002245</stp>
        <stp>12/31/2018</stp>
        <stp>1</stp>
        <tr r="K2022" s="1"/>
      </tp>
      <tp>
        <v>0.55310277911299999</v>
        <stp/>
        <stp>EM_S_FA_ASSETSTURN</stp>
        <stp>3</stp>
        <stp>002145</stp>
        <stp>12/31/2018</stp>
        <stp>1</stp>
        <tr r="K805" s="1"/>
      </tp>
      <tp>
        <v>0.90114098159099998</v>
        <stp/>
        <stp>EM_S_FA_ASSETSTURN</stp>
        <stp>3</stp>
        <stp>002045</stp>
        <stp>12/31/2018</stp>
        <stp>1</stp>
        <tr r="K63" s="1"/>
      </tp>
      <tp>
        <v>0.70486668305900002</v>
        <stp/>
        <stp>EM_S_FA_ASSETSTURN</stp>
        <stp>3</stp>
        <stp>002745</stp>
        <stp>12/31/2018</stp>
        <stp>1</stp>
        <tr r="K1165" s="1"/>
      </tp>
      <tp>
        <v>0.80036349380600003</v>
        <stp/>
        <stp>EM_S_FA_ASSETSTURN</stp>
        <stp>3</stp>
        <stp>002645</stp>
        <stp>12/31/2018</stp>
        <stp>1</stp>
        <tr r="K1368" s="1"/>
      </tp>
      <tp>
        <v>0.19673016220299999</v>
        <stp/>
        <stp>EM_S_FA_ASSETSTURN</stp>
        <stp>3</stp>
        <stp>002545</stp>
        <stp>12/31/2018</stp>
        <stp>1</stp>
        <tr r="K996" s="1"/>
      </tp>
      <tp>
        <v>0.15097117077200001</v>
        <stp/>
        <stp>EM_S_FA_ASSETSTURN</stp>
        <stp>3</stp>
        <stp>002445</stp>
        <stp>12/31/2018</stp>
        <stp>1</stp>
        <tr r="K3228" s="1"/>
      </tp>
      <tp>
        <v>0.30534923778129369</v>
        <stp/>
        <stp>EM_S_RATIO_EPS_TTM</stp>
        <stp>3</stp>
        <stp>601992</stp>
        <stp>12/31/2018</stp>
        <stp>1</stp>
        <tr r="U2099" s="1"/>
      </tp>
      <tp>
        <v>2.6202279738674537E-2</v>
        <stp/>
        <stp>EM_S_RATIO_EPS_TTM</stp>
        <stp>3</stp>
        <stp>600192</stp>
        <stp>12/31/2018</stp>
        <stp>1</stp>
        <tr r="U1193" s="1"/>
      </tp>
      <tp>
        <v>-5.4425246232525587E-3</v>
        <stp/>
        <stp>EM_S_RATIO_EPS_TTM</stp>
        <stp>3</stp>
        <stp>600092</stp>
        <stp>12/31/2018</stp>
        <stp>1</stp>
        <tr r="U2291" s="1"/>
      </tp>
      <tp>
        <v>0.16319722903620318</v>
        <stp/>
        <stp>EM_S_RATIO_EPS_TTM</stp>
        <stp>3</stp>
        <stp>600392</stp>
        <stp>12/31/2018</stp>
        <stp>1</stp>
        <tr r="U1949" s="1"/>
      </tp>
      <tp>
        <v>0.16090875837739627</v>
        <stp/>
        <stp>EM_S_RATIO_EPS_TTM</stp>
        <stp>3</stp>
        <stp>600292</stp>
        <stp>12/31/2018</stp>
        <stp>1</stp>
        <tr r="U1533" s="1"/>
      </tp>
      <tp>
        <v>0.21962552035356481</v>
        <stp/>
        <stp>EM_S_RATIO_EPS_TTM</stp>
        <stp>3</stp>
        <stp>600592</stp>
        <stp>12/31/2018</stp>
        <stp>1</stp>
        <tr r="U53" s="1"/>
      </tp>
      <tp>
        <v>0.19359375100260262</v>
        <stp/>
        <stp>EM_S_RATIO_EPS_TTM</stp>
        <stp>3</stp>
        <stp>600792</stp>
        <stp>12/31/2018</stp>
        <stp>1</stp>
        <tr r="U952" s="1"/>
      </tp>
      <tp>
        <v>0.1223281138234746</v>
        <stp/>
        <stp>EM_S_RATIO_EPS_TTM</stp>
        <stp>3</stp>
        <stp>600692</stp>
        <stp>12/31/2018</stp>
        <stp>1</stp>
        <tr r="U2781" s="1"/>
      </tp>
      <tp>
        <v>0.1044939629115835</v>
        <stp/>
        <stp>EM_S_RATIO_EPS_TTM</stp>
        <stp>3</stp>
        <stp>600992</stp>
        <stp>12/31/2018</stp>
        <stp>1</stp>
        <tr r="U2383" s="1"/>
      </tp>
      <tp>
        <v>-2.0176120612388511</v>
        <stp/>
        <stp>EM_S_RATIO_EPS_TTM</stp>
        <stp>3</stp>
        <stp>600892</stp>
        <stp>12/31/2018</stp>
        <stp>1</stp>
        <tr r="U3227" s="1"/>
      </tp>
      <tp>
        <v>26.004256849099999</v>
        <stp/>
        <stp>EM_S_FA_GROSSPROFITMARGIN</stp>
        <stp>3</stp>
        <stp>600854</stp>
        <stp>12/31/2018</stp>
        <stp>1</stp>
        <tr r="I1766" s="1"/>
      </tp>
      <tp>
        <v>55.604669120200001</v>
        <stp/>
        <stp>EM_S_FA_GROSSPROFITMARGIN</stp>
        <stp>3</stp>
        <stp>300604</stp>
        <stp>12/31/2018</stp>
        <stp>1</stp>
        <tr r="I3085" s="1"/>
      </tp>
      <tp>
        <v>14.1570543363</v>
        <stp/>
        <stp>EM_S_FA_GROSSPROFITMARGIN</stp>
        <stp>3</stp>
        <stp>600654</stp>
        <stp>12/31/2018</stp>
        <stp>1</stp>
        <tr r="I2568" s="1"/>
      </tp>
      <tp>
        <v>89.600430223100005</v>
        <stp/>
        <stp>EM_S_FA_GROSSPROFITMARGIN</stp>
        <stp>3</stp>
        <stp>600754</stp>
        <stp>12/31/2018</stp>
        <stp>1</stp>
        <tr r="I789" s="1"/>
      </tp>
      <tp>
        <v>45.6016960639</v>
        <stp/>
        <stp>EM_S_FA_GROSSPROFITMARGIN</stp>
        <stp>3</stp>
        <stp>300404</stp>
        <stp>12/31/2018</stp>
        <stp>1</stp>
        <tr r="I1027" s="1"/>
      </tp>
      <tp>
        <v>51.633470962899999</v>
        <stp/>
        <stp>EM_S_FA_GROSSPROFITMARGIN</stp>
        <stp>3</stp>
        <stp>000534</stp>
        <stp>12/31/2018</stp>
        <stp>1</stp>
        <tr r="I2858" s="1"/>
      </tp>
      <tp>
        <v>16.496904605000001</v>
        <stp/>
        <stp>EM_S_FA_GROSSPROFITMARGIN</stp>
        <stp>3</stp>
        <stp>300504</stp>
        <stp>12/31/2018</stp>
        <stp>1</stp>
        <tr r="I2863" s="1"/>
      </tp>
      <tp>
        <v>90.719872368899999</v>
        <stp/>
        <stp>EM_S_FA_GROSSPROFITMARGIN</stp>
        <stp>3</stp>
        <stp>300204</stp>
        <stp>12/31/2018</stp>
        <stp>1</stp>
        <tr r="I2375" s="1"/>
      </tp>
      <tp>
        <v>35.752538336199997</v>
        <stp/>
        <stp>EM_S_FA_GROSSPROFITMARGIN</stp>
        <stp>3</stp>
        <stp>300304</stp>
        <stp>12/31/2018</stp>
        <stp>1</stp>
        <tr r="I949" s="1"/>
      </tp>
      <tp>
        <v>11.2136982507</v>
        <stp/>
        <stp>EM_S_FA_GROSSPROFITMARGIN</stp>
        <stp>3</stp>
        <stp>600354</stp>
        <stp>12/31/2018</stp>
        <stp>1</stp>
        <tr r="I804" s="1"/>
      </tp>
      <tp>
        <v>4.027054648</v>
        <stp/>
        <stp>EM_S_FA_GROSSPROFITMARGIN</stp>
        <stp>3</stp>
        <stp>000034</stp>
        <stp>12/31/2018</stp>
        <stp>1</stp>
        <tr r="I564" s="1"/>
      </tp>
      <tp>
        <v>29.2846497548</v>
        <stp/>
        <stp>EM_S_FA_GROSSPROFITMARGIN</stp>
        <stp>3</stp>
        <stp>300004</stp>
        <stp>12/31/2018</stp>
        <stp>1</stp>
        <tr r="I259" s="1"/>
      </tp>
      <tp>
        <v>54.139137093099997</v>
        <stp/>
        <stp>EM_S_FA_GROSSPROFITMARGIN</stp>
        <stp>3</stp>
        <stp>600054</stp>
        <stp>12/31/2018</stp>
        <stp>1</stp>
        <tr r="I2451" s="1"/>
      </tp>
      <tp>
        <v>-40.761208972799999</v>
        <stp/>
        <stp>EM_S_FA_GROSSPROFITMARGIN</stp>
        <stp>3</stp>
        <stp>300104</stp>
        <stp>12/31/2018</stp>
        <stp>1</stp>
        <tr r="I3241" s="1"/>
      </tp>
      <tp>
        <v>26.387586999300002</v>
        <stp/>
        <stp>EM_S_FA_GROSSPROFITMARGIN</stp>
        <stp>3</stp>
        <stp>002634</stp>
        <stp>12/31/2018</stp>
        <stp>1</stp>
        <tr r="I713" s="1"/>
      </tp>
      <tp>
        <v>27.164973245799999</v>
        <stp/>
        <stp>EM_S_FA_GROSSPROFITMARGIN</stp>
        <stp>3</stp>
        <stp>002734</stp>
        <stp>12/31/2018</stp>
        <stp>1</stp>
        <tr r="I875" s="1"/>
      </tp>
      <tp>
        <v>24.136128057099999</v>
        <stp/>
        <stp>EM_S_FA_GROSSPROFITMARGIN</stp>
        <stp>3</stp>
        <stp>002434</stp>
        <stp>12/31/2018</stp>
        <stp>1</stp>
        <tr r="I706" s="1"/>
      </tp>
      <tp>
        <v>24.773565737399998</v>
        <stp/>
        <stp>EM_S_FA_GROSSPROFITMARGIN</stp>
        <stp>3</stp>
        <stp>002534</stp>
        <stp>12/31/2018</stp>
        <stp>1</stp>
        <tr r="I721" s="1"/>
      </tp>
      <tp>
        <v>34.310957236699998</v>
        <stp/>
        <stp>EM_S_FA_GROSSPROFITMARGIN</stp>
        <stp>3</stp>
        <stp>002234</stp>
        <stp>12/31/2018</stp>
        <stp>1</stp>
        <tr r="I58" s="1"/>
      </tp>
      <tp>
        <v>37.261526297000003</v>
        <stp/>
        <stp>EM_S_FA_GROSSPROFITMARGIN</stp>
        <stp>3</stp>
        <stp>002334</stp>
        <stp>12/31/2018</stp>
        <stp>1</stp>
        <tr r="I2234" s="1"/>
      </tp>
      <tp>
        <v>52.1334927845</v>
        <stp/>
        <stp>EM_S_FA_GROSSPROFITMARGIN</stp>
        <stp>3</stp>
        <stp>002034</stp>
        <stp>12/31/2018</stp>
        <stp>1</stp>
        <tr r="I3612" s="1"/>
      </tp>
      <tp>
        <v>7.6310124502000001</v>
        <stp/>
        <stp>EM_S_FA_GROSSPROFITMARGIN</stp>
        <stp>3</stp>
        <stp>002134</stp>
        <stp>12/31/2018</stp>
        <stp>1</stp>
        <tr r="I424" s="1"/>
      </tp>
      <tp>
        <v>0</v>
        <stp/>
        <stp>EM_S_FA_GROSSPROFITMARGIN</stp>
        <stp>3</stp>
        <stp>601555</stp>
        <stp>12/31/2018</stp>
        <stp>1</stp>
        <tr r="I582" s="1"/>
      </tp>
      <tp>
        <v>36.687325274300001</v>
        <stp/>
        <stp>EM_S_FA_GROSSPROFITMARGIN</stp>
        <stp>3</stp>
        <stp>601155</stp>
        <stp>12/31/2018</stp>
        <stp>1</stp>
        <tr r="I397" s="1"/>
      </tp>
      <tp>
        <v>37.1232862592</v>
        <stp/>
        <stp>EM_S_FA_GROSSPROFITMARGIN</stp>
        <stp>3</stp>
        <stp>000835</stp>
        <stp>12/31/2018</stp>
        <stp>1</stp>
        <tr r="I3553" s="1"/>
      </tp>
      <tp>
        <v>19.182461097800001</v>
        <stp/>
        <stp>EM_S_FA_GROSSPROFITMARGIN</stp>
        <stp>3</stp>
        <stp>600855</stp>
        <stp>12/31/2018</stp>
        <stp>1</stp>
        <tr r="I817" s="1"/>
      </tp>
      <tp>
        <v>46.592312589999999</v>
        <stp/>
        <stp>EM_S_FA_GROSSPROFITMARGIN</stp>
        <stp>3</stp>
        <stp>000935</stp>
        <stp>12/31/2018</stp>
        <stp>1</stp>
        <tr r="I3582" s="1"/>
      </tp>
      <tp>
        <v>14.9514038701</v>
        <stp/>
        <stp>EM_S_FA_GROSSPROFITMARGIN</stp>
        <stp>3</stp>
        <stp>000635</stp>
        <stp>12/31/2018</stp>
        <stp>1</stp>
        <tr r="I2661" s="1"/>
      </tp>
      <tp>
        <v>26.7792032053</v>
        <stp/>
        <stp>EM_S_FA_GROSSPROFITMARGIN</stp>
        <stp>3</stp>
        <stp>300605</stp>
        <stp>12/31/2018</stp>
        <stp>1</stp>
        <tr r="I2903" s="1"/>
      </tp>
      <tp>
        <v>25.720721765499999</v>
        <stp/>
        <stp>EM_S_FA_GROSSPROFITMARGIN</stp>
        <stp>3</stp>
        <stp>600655</stp>
        <stp>12/31/2018</stp>
        <stp>1</stp>
        <tr r="I2010" s="1"/>
      </tp>
      <tp>
        <v>24.735773889099999</v>
        <stp/>
        <stp>EM_S_FA_GROSSPROFITMARGIN</stp>
        <stp>3</stp>
        <stp>000735</stp>
        <stp>12/31/2018</stp>
        <stp>1</stp>
        <tr r="I3523" s="1"/>
      </tp>
      <tp>
        <v>59.609562961000002</v>
        <stp/>
        <stp>EM_S_FA_GROSSPROFITMARGIN</stp>
        <stp>3</stp>
        <stp>300705</stp>
        <stp>12/31/2018</stp>
        <stp>1</stp>
        <tr r="I2226" s="1"/>
      </tp>
      <tp>
        <v>3.4253565706</v>
        <stp/>
        <stp>EM_S_FA_GROSSPROFITMARGIN</stp>
        <stp>3</stp>
        <stp>600755</stp>
        <stp>12/31/2018</stp>
        <stp>1</stp>
        <tr r="I1998" s="1"/>
      </tp>
      <tp>
        <v>15.5498721834</v>
        <stp/>
        <stp>EM_S_FA_GROSSPROFITMARGIN</stp>
        <stp>3</stp>
        <stp>300405</stp>
        <stp>12/31/2018</stp>
        <stp>1</stp>
        <tr r="I2766" s="1"/>
      </tp>
      <tp>
        <v>55.474608771500002</v>
        <stp/>
        <stp>EM_S_FA_GROSSPROFITMARGIN</stp>
        <stp>3</stp>
        <stp>600455</stp>
        <stp>12/31/2018</stp>
        <stp>1</stp>
        <tr r="I440" s="1"/>
      </tp>
      <tp>
        <v>20.534551073599999</v>
        <stp/>
        <stp>EM_S_FA_GROSSPROFITMARGIN</stp>
        <stp>3</stp>
        <stp>000535</stp>
        <stp>12/31/2018</stp>
        <stp>1</stp>
        <tr r="I3446" s="1"/>
      </tp>
      <tp>
        <v>29.5695816904</v>
        <stp/>
        <stp>EM_S_FA_GROSSPROFITMARGIN</stp>
        <stp>3</stp>
        <stp>300505</stp>
        <stp>12/31/2018</stp>
        <stp>1</stp>
        <tr r="I2103" s="1"/>
      </tp>
      <tp>
        <v>7.1302974442</v>
        <stp/>
        <stp>EM_S_FA_GROSSPROFITMARGIN</stp>
        <stp>3</stp>
        <stp>600555</stp>
        <stp>12/31/2018</stp>
        <stp>1</stp>
        <tr r="I3045" s="1"/>
      </tp>
      <tp>
        <v>27.534675996600001</v>
        <stp/>
        <stp>EM_S_FA_GROSSPROFITMARGIN</stp>
        <stp>3</stp>
        <stp>300205</stp>
        <stp>12/31/2018</stp>
        <stp>1</stp>
        <tr r="I825" s="1"/>
      </tp>
      <tp>
        <v>7.9651570851000004</v>
        <stp/>
        <stp>EM_S_FA_GROSSPROFITMARGIN</stp>
        <stp>3</stp>
        <stp>600255</stp>
        <stp>12/31/2018</stp>
        <stp>1</stp>
        <tr r="I2860" s="1"/>
      </tp>
      <tp>
        <v>14.403551095699999</v>
        <stp/>
        <stp>EM_S_FA_GROSSPROFITMARGIN</stp>
        <stp>3</stp>
        <stp>300305</stp>
        <stp>12/31/2018</stp>
        <stp>1</stp>
        <tr r="I1934" s="1"/>
      </tp>
      <tp>
        <v>26.068755850300001</v>
        <stp/>
        <stp>EM_S_FA_GROSSPROFITMARGIN</stp>
        <stp>3</stp>
        <stp>600355</stp>
        <stp>12/31/2018</stp>
        <stp>1</stp>
        <tr r="I2366" s="1"/>
      </tp>
      <tp>
        <v>36.382687655799998</v>
        <stp/>
        <stp>EM_S_FA_GROSSPROFITMARGIN</stp>
        <stp>3</stp>
        <stp>000035</stp>
        <stp>12/31/2018</stp>
        <stp>1</stp>
        <tr r="I1341" s="1"/>
      </tp>
      <tp>
        <v>28.949365317000002</v>
        <stp/>
        <stp>EM_S_FA_GROSSPROFITMARGIN</stp>
        <stp>3</stp>
        <stp>300005</stp>
        <stp>12/31/2018</stp>
        <stp>1</stp>
        <tr r="I801" s="1"/>
      </tp>
      <tp>
        <v>43.602969495000004</v>
        <stp/>
        <stp>EM_S_FA_GROSSPROFITMARGIN</stp>
        <stp>3</stp>
        <stp>600055</stp>
        <stp>12/31/2018</stp>
        <stp>1</stp>
        <tr r="I1416" s="1"/>
      </tp>
      <tp>
        <v>22.674102725600001</v>
        <stp/>
        <stp>EM_S_FA_GROSSPROFITMARGIN</stp>
        <stp>3</stp>
        <stp>300105</stp>
        <stp>12/31/2018</stp>
        <stp>1</stp>
        <tr r="I1424" s="1"/>
      </tp>
      <tp>
        <v>79.360057950799998</v>
        <stp/>
        <stp>EM_S_FA_GROSSPROFITMARGIN</stp>
        <stp>3</stp>
        <stp>600155</stp>
        <stp>12/31/2018</stp>
        <stp>1</stp>
        <tr r="I234" s="1"/>
      </tp>
      <tp>
        <v>52.874853551199998</v>
        <stp/>
        <stp>EM_S_FA_GROSSPROFITMARGIN</stp>
        <stp>3</stp>
        <stp>603855</stp>
        <stp>12/31/2018</stp>
        <stp>1</stp>
        <tr r="I1126" s="1"/>
      </tp>
      <tp>
        <v>27.6020970822</v>
        <stp/>
        <stp>EM_S_FA_GROSSPROFITMARGIN</stp>
        <stp>3</stp>
        <stp>603955</stp>
        <stp>12/31/2018</stp>
        <stp>1</stp>
        <tr r="I1547" s="1"/>
      </tp>
      <tp>
        <v>42.459227833100002</v>
        <stp/>
        <stp>EM_S_FA_GROSSPROFITMARGIN</stp>
        <stp>3</stp>
        <stp>603655</stp>
        <stp>12/31/2018</stp>
        <stp>1</stp>
        <tr r="I604" s="1"/>
      </tp>
      <tp>
        <v>28.654671248</v>
        <stp/>
        <stp>EM_S_FA_GROSSPROFITMARGIN</stp>
        <stp>3</stp>
        <stp>603555</stp>
        <stp>12/31/2018</stp>
        <stp>1</stp>
        <tr r="I2224" s="1"/>
      </tp>
      <tp>
        <v>25.045760100300001</v>
        <stp/>
        <stp>EM_S_FA_GROSSPROFITMARGIN</stp>
        <stp>3</stp>
        <stp>603355</stp>
        <stp>12/31/2018</stp>
        <stp>1</stp>
        <tr r="I1769" s="1"/>
      </tp>
      <tp>
        <v>25.211849390099999</v>
        <stp/>
        <stp>EM_S_FA_GROSSPROFITMARGIN</stp>
        <stp>3</stp>
        <stp>603055</stp>
        <stp>12/31/2018</stp>
        <stp>1</stp>
        <tr r="I3266" s="1"/>
      </tp>
      <tp>
        <v>25.5483729404</v>
        <stp/>
        <stp>EM_S_FA_GROSSPROFITMARGIN</stp>
        <stp>3</stp>
        <stp>002835</stp>
        <stp>12/31/2018</stp>
        <stp>1</stp>
        <tr r="I321" s="1"/>
      </tp>
      <tp>
        <v>31.275403697200002</v>
        <stp/>
        <stp>EM_S_FA_GROSSPROFITMARGIN</stp>
        <stp>3</stp>
        <stp>002635</stp>
        <stp>12/31/2018</stp>
        <stp>1</stp>
        <tr r="I547" s="1"/>
      </tp>
      <tp>
        <v>24.360559610599999</v>
        <stp/>
        <stp>EM_S_FA_GROSSPROFITMARGIN</stp>
        <stp>3</stp>
        <stp>002735</stp>
        <stp>12/31/2018</stp>
        <stp>1</stp>
        <tr r="I2934" s="1"/>
      </tp>
      <tp>
        <v>61.731392857899998</v>
        <stp/>
        <stp>EM_S_FA_GROSSPROFITMARGIN</stp>
        <stp>3</stp>
        <stp>002435</stp>
        <stp>12/31/2018</stp>
        <stp>1</stp>
        <tr r="I3162" s="1"/>
      </tp>
      <tp>
        <v>17.597948072099999</v>
        <stp/>
        <stp>EM_S_FA_GROSSPROFITMARGIN</stp>
        <stp>3</stp>
        <stp>002535</stp>
        <stp>12/31/2018</stp>
        <stp>1</stp>
        <tr r="I2901" s="1"/>
      </tp>
      <tp>
        <v>25.8308602888</v>
        <stp/>
        <stp>EM_S_FA_GROSSPROFITMARGIN</stp>
        <stp>3</stp>
        <stp>002235</stp>
        <stp>12/31/2018</stp>
        <stp>1</stp>
        <tr r="I359" s="1"/>
      </tp>
      <tp>
        <v>29.9637200992</v>
        <stp/>
        <stp>EM_S_FA_GROSSPROFITMARGIN</stp>
        <stp>3</stp>
        <stp>002335</stp>
        <stp>12/31/2018</stp>
        <stp>1</stp>
        <tr r="I1827" s="1"/>
      </tp>
      <tp>
        <v>47.337562818400002</v>
        <stp/>
        <stp>EM_S_FA_GROSSPROFITMARGIN</stp>
        <stp>3</stp>
        <stp>002035</stp>
        <stp>12/31/2018</stp>
        <stp>1</stp>
        <tr r="I527" s="1"/>
      </tp>
      <tp>
        <v>10.760478471200001</v>
        <stp/>
        <stp>EM_S_FA_GROSSPROFITMARGIN</stp>
        <stp>3</stp>
        <stp>002135</stp>
        <stp>12/31/2018</stp>
        <stp>1</stp>
        <tr r="I1756" s="1"/>
      </tp>
      <tp>
        <v>14.318939367400001</v>
        <stp/>
        <stp>EM_S_FA_GROSSPROFITMARGIN</stp>
        <stp>3</stp>
        <stp>000836</stp>
        <stp>12/31/2018</stp>
        <stp>1</stp>
        <tr r="I2534" s="1"/>
      </tp>
      <tp>
        <v>12.24667904</v>
        <stp/>
        <stp>EM_S_FA_GROSSPROFITMARGIN</stp>
        <stp>3</stp>
        <stp>600856</stp>
        <stp>12/31/2018</stp>
        <stp>1</stp>
        <tr r="I3278" s="1"/>
      </tp>
      <tp>
        <v>9.9440552072999999</v>
        <stp/>
        <stp>EM_S_FA_GROSSPROFITMARGIN</stp>
        <stp>3</stp>
        <stp>000936</stp>
        <stp>12/31/2018</stp>
        <stp>1</stp>
        <tr r="I953" s="1"/>
      </tp>
      <tp>
        <v>41.669477221699999</v>
        <stp/>
        <stp>EM_S_FA_GROSSPROFITMARGIN</stp>
        <stp>3</stp>
        <stp>000636</stp>
        <stp>12/31/2018</stp>
        <stp>1</stp>
        <tr r="I714" s="1"/>
      </tp>
      <tp>
        <v>31.056890921699999</v>
        <stp/>
        <stp>EM_S_FA_GROSSPROFITMARGIN</stp>
        <stp>3</stp>
        <stp>300606</stp>
        <stp>12/31/2018</stp>
        <stp>1</stp>
        <tr r="I1432" s="1"/>
      </tp>
      <tp>
        <v>0</v>
        <stp/>
        <stp>EM_S_FA_GROSSPROFITMARGIN</stp>
        <stp>3</stp>
        <stp>600656</stp>
        <stp>12/31/2018</stp>
        <stp>1</stp>
        <tr r="I2312" s="1"/>
      </tp>
      <tp>
        <v>30.883616200999999</v>
        <stp/>
        <stp>EM_S_FA_GROSSPROFITMARGIN</stp>
        <stp>3</stp>
        <stp>000736</stp>
        <stp>12/31/2018</stp>
        <stp>1</stp>
        <tr r="I2610" s="1"/>
      </tp>
      <tp>
        <v>22.006894597900001</v>
        <stp/>
        <stp>EM_S_FA_GROSSPROFITMARGIN</stp>
        <stp>3</stp>
        <stp>300706</stp>
        <stp>12/31/2018</stp>
        <stp>1</stp>
        <tr r="I1440" s="1"/>
      </tp>
      <tp>
        <v>53.081241333400001</v>
        <stp/>
        <stp>EM_S_FA_GROSSPROFITMARGIN</stp>
        <stp>3</stp>
        <stp>600756</stp>
        <stp>12/31/2018</stp>
        <stp>1</stp>
        <tr r="I829" s="1"/>
      </tp>
      <tp>
        <v>68.709801793799997</v>
        <stp/>
        <stp>EM_S_FA_GROSSPROFITMARGIN</stp>
        <stp>3</stp>
        <stp>300406</stp>
        <stp>12/31/2018</stp>
        <stp>1</stp>
        <tr r="I400" s="1"/>
      </tp>
      <tp>
        <v>19.840044176199999</v>
        <stp/>
        <stp>EM_S_FA_GROSSPROFITMARGIN</stp>
        <stp>3</stp>
        <stp>600456</stp>
        <stp>12/31/2018</stp>
        <stp>1</stp>
        <tr r="I393" s="1"/>
      </tp>
      <tp>
        <v>8.6013046232000008</v>
        <stp/>
        <stp>EM_S_FA_GROSSPROFITMARGIN</stp>
        <stp>3</stp>
        <stp>000536</stp>
        <stp>12/31/2018</stp>
        <stp>1</stp>
        <tr r="I3447" s="1"/>
      </tp>
      <tp>
        <v>52.833136747799998</v>
        <stp/>
        <stp>EM_S_FA_GROSSPROFITMARGIN</stp>
        <stp>3</stp>
        <stp>300506</stp>
        <stp>12/31/2018</stp>
        <stp>1</stp>
        <tr r="I3320" s="1"/>
      </tp>
      <tp>
        <v>6.3693797378000001</v>
        <stp/>
        <stp>EM_S_FA_GROSSPROFITMARGIN</stp>
        <stp>3</stp>
        <stp>600556</stp>
        <stp>12/31/2018</stp>
        <stp>1</stp>
        <tr r="I210" s="1"/>
      </tp>
      <tp>
        <v>54.598754993199996</v>
        <stp/>
        <stp>EM_S_FA_GROSSPROFITMARGIN</stp>
        <stp>3</stp>
        <stp>300206</stp>
        <stp>12/31/2018</stp>
        <stp>1</stp>
        <tr r="I1176" s="1"/>
      </tp>
      <tp>
        <v>36.302509539600003</v>
        <stp/>
        <stp>EM_S_FA_GROSSPROFITMARGIN</stp>
        <stp>3</stp>
        <stp>600256</stp>
        <stp>12/31/2018</stp>
        <stp>1</stp>
        <tr r="I2837" s="1"/>
      </tp>
      <tp>
        <v>59.895678810900002</v>
        <stp/>
        <stp>EM_S_FA_GROSSPROFITMARGIN</stp>
        <stp>3</stp>
        <stp>300306</stp>
        <stp>12/31/2018</stp>
        <stp>1</stp>
        <tr r="I300" s="1"/>
      </tp>
      <tp>
        <v>23.210893176300001</v>
        <stp/>
        <stp>EM_S_FA_GROSSPROFITMARGIN</stp>
        <stp>3</stp>
        <stp>600356</stp>
        <stp>12/31/2018</stp>
        <stp>1</stp>
        <tr r="I712" s="1"/>
      </tp>
      <tp>
        <v>72.1156506329</v>
        <stp/>
        <stp>EM_S_FA_GROSSPROFITMARGIN</stp>
        <stp>3</stp>
        <stp>000036</stp>
        <stp>12/31/2018</stp>
        <stp>1</stp>
        <tr r="I3122" s="1"/>
      </tp>
      <tp>
        <v>60.796153596099998</v>
        <stp/>
        <stp>EM_S_FA_GROSSPROFITMARGIN</stp>
        <stp>3</stp>
        <stp>300006</stp>
        <stp>12/31/2018</stp>
        <stp>1</stp>
        <tr r="I461" s="1"/>
      </tp>
      <tp>
        <v>20.949074341799999</v>
        <stp/>
        <stp>EM_S_FA_GROSSPROFITMARGIN</stp>
        <stp>3</stp>
        <stp>600056</stp>
        <stp>12/31/2018</stp>
        <stp>1</stp>
        <tr r="I2165" s="1"/>
      </tp>
      <tp>
        <v>7.7000810055000004</v>
        <stp/>
        <stp>EM_S_FA_GROSSPROFITMARGIN</stp>
        <stp>3</stp>
        <stp>300106</stp>
        <stp>12/31/2018</stp>
        <stp>1</stp>
        <tr r="I1125" s="1"/>
      </tp>
      <tp>
        <v>5.1036895652999998</v>
        <stp/>
        <stp>EM_S_FA_GROSSPROFITMARGIN</stp>
        <stp>3</stp>
        <stp>600156</stp>
        <stp>12/31/2018</stp>
        <stp>1</stp>
        <tr r="I1708" s="1"/>
      </tp>
      <tp>
        <v>22.581760281800001</v>
        <stp/>
        <stp>EM_S_FA_GROSSPROFITMARGIN</stp>
        <stp>3</stp>
        <stp>603856</stp>
        <stp>12/31/2018</stp>
        <stp>1</stp>
        <tr r="I2996" s="1"/>
      </tp>
      <tp>
        <v>53.344225238500002</v>
        <stp/>
        <stp>EM_S_FA_GROSSPROFITMARGIN</stp>
        <stp>3</stp>
        <stp>603656</stp>
        <stp>12/31/2018</stp>
        <stp>1</stp>
        <tr r="I1868" s="1"/>
      </tp>
      <tp>
        <v>33.321124168499999</v>
        <stp/>
        <stp>EM_S_FA_GROSSPROFITMARGIN</stp>
        <stp>3</stp>
        <stp>603456</stp>
        <stp>12/31/2018</stp>
        <stp>1</stp>
        <tr r="I126" s="1"/>
      </tp>
      <tp>
        <v>41.213743888000003</v>
        <stp/>
        <stp>EM_S_FA_GROSSPROFITMARGIN</stp>
        <stp>3</stp>
        <stp>603556</stp>
        <stp>12/31/2018</stp>
        <stp>1</stp>
        <tr r="I1158" s="1"/>
      </tp>
      <tp>
        <v>18.0696921732</v>
        <stp/>
        <stp>EM_S_FA_GROSSPROFITMARGIN</stp>
        <stp>3</stp>
        <stp>603356</stp>
        <stp>12/31/2018</stp>
        <stp>1</stp>
        <tr r="I3040" s="1"/>
      </tp>
      <tp>
        <v>14.0987119311</v>
        <stp/>
        <stp>EM_S_FA_GROSSPROFITMARGIN</stp>
        <stp>3</stp>
        <stp>603056</stp>
        <stp>12/31/2018</stp>
        <stp>1</stp>
        <tr r="I3254" s="1"/>
      </tp>
      <tp>
        <v>49.964490801399997</v>
        <stp/>
        <stp>EM_S_FA_GROSSPROFITMARGIN</stp>
        <stp>3</stp>
        <stp>603156</stp>
        <stp>12/31/2018</stp>
        <stp>1</stp>
        <tr r="I3226" s="1"/>
      </tp>
      <tp>
        <v>36.225263565100001</v>
        <stp/>
        <stp>EM_S_FA_GROSSPROFITMARGIN</stp>
        <stp>3</stp>
        <stp>002836</stp>
        <stp>12/31/2018</stp>
        <stp>1</stp>
        <tr r="I2009" s="1"/>
      </tp>
      <tp>
        <v>18.299934183800001</v>
        <stp/>
        <stp>EM_S_FA_GROSSPROFITMARGIN</stp>
        <stp>3</stp>
        <stp>002636</stp>
        <stp>12/31/2018</stp>
        <stp>1</stp>
        <tr r="I1181" s="1"/>
      </tp>
      <tp>
        <v>0</v>
        <stp/>
        <stp>EM_S_FA_GROSSPROFITMARGIN</stp>
        <stp>3</stp>
        <stp>002736</stp>
        <stp>12/31/2018</stp>
        <stp>1</stp>
        <tr r="I549" s="1"/>
      </tp>
      <tp>
        <v>29.561209071</v>
        <stp/>
        <stp>EM_S_FA_GROSSPROFITMARGIN</stp>
        <stp>3</stp>
        <stp>002436</stp>
        <stp>12/31/2018</stp>
        <stp>1</stp>
        <tr r="I221" s="1"/>
      </tp>
      <tp>
        <v>27.901698340399999</v>
        <stp/>
        <stp>EM_S_FA_GROSSPROFITMARGIN</stp>
        <stp>3</stp>
        <stp>002536</stp>
        <stp>12/31/2018</stp>
        <stp>1</stp>
        <tr r="I3350" s="1"/>
      </tp>
      <tp>
        <v>37.161425436099996</v>
        <stp/>
        <stp>EM_S_FA_GROSSPROFITMARGIN</stp>
        <stp>3</stp>
        <stp>002236</stp>
        <stp>12/31/2018</stp>
        <stp>1</stp>
        <tr r="I283" s="1"/>
      </tp>
      <tp>
        <v>25.1807616569</v>
        <stp/>
        <stp>EM_S_FA_GROSSPROFITMARGIN</stp>
        <stp>3</stp>
        <stp>002336</stp>
        <stp>12/31/2018</stp>
        <stp>1</stp>
        <tr r="I2961" s="1"/>
      </tp>
      <tp>
        <v>13.1052807893</v>
        <stp/>
        <stp>EM_S_FA_GROSSPROFITMARGIN</stp>
        <stp>3</stp>
        <stp>002036</stp>
        <stp>12/31/2018</stp>
        <stp>1</stp>
        <tr r="I3613" s="1"/>
      </tp>
      <tp>
        <v>15.5936246629</v>
        <stp/>
        <stp>EM_S_FA_GROSSPROFITMARGIN</stp>
        <stp>3</stp>
        <stp>002136</stp>
        <stp>12/31/2018</stp>
        <stp>1</stp>
        <tr r="I2611" s="1"/>
      </tp>
      <tp>
        <v>22.485073853199999</v>
        <stp/>
        <stp>EM_S_FA_GROSSPROFITMARGIN</stp>
        <stp>3</stp>
        <stp>601857</stp>
        <stp>12/31/2018</stp>
        <stp>1</stp>
        <tr r="I3048" s="1"/>
      </tp>
      <tp>
        <v>15.7288026687</v>
        <stp/>
        <stp>EM_S_FA_GROSSPROFITMARGIN</stp>
        <stp>3</stp>
        <stp>000837</stp>
        <stp>12/31/2018</stp>
        <stp>1</stp>
        <tr r="I3554" s="1"/>
      </tp>
      <tp>
        <v>12.3137509959</v>
        <stp/>
        <stp>EM_S_FA_GROSSPROFITMARGIN</stp>
        <stp>3</stp>
        <stp>600857</stp>
        <stp>12/31/2018</stp>
        <stp>1</stp>
        <tr r="I1701" s="1"/>
      </tp>
      <tp>
        <v>26.842976777699999</v>
        <stp/>
        <stp>EM_S_FA_GROSSPROFITMARGIN</stp>
        <stp>3</stp>
        <stp>000937</stp>
        <stp>12/31/2018</stp>
        <stp>1</stp>
        <tr r="I2461" s="1"/>
      </tp>
      <tp>
        <v>4.7713245117999996</v>
        <stp/>
        <stp>EM_S_FA_GROSSPROFITMARGIN</stp>
        <stp>3</stp>
        <stp>000637</stp>
        <stp>12/31/2018</stp>
        <stp>1</stp>
        <tr r="I3491" s="1"/>
      </tp>
      <tp>
        <v>36.111437351799999</v>
        <stp/>
        <stp>EM_S_FA_GROSSPROFITMARGIN</stp>
        <stp>3</stp>
        <stp>300607</stp>
        <stp>12/31/2018</stp>
        <stp>1</stp>
        <tr r="I484" s="1"/>
      </tp>
      <tp>
        <v>34.874700693299999</v>
        <stp/>
        <stp>EM_S_FA_GROSSPROFITMARGIN</stp>
        <stp>3</stp>
        <stp>600657</stp>
        <stp>12/31/2018</stp>
        <stp>1</stp>
        <tr r="I2195" s="1"/>
      </tp>
      <tp>
        <v>24.753970586299999</v>
        <stp/>
        <stp>EM_S_FA_GROSSPROFITMARGIN</stp>
        <stp>3</stp>
        <stp>000737</stp>
        <stp>12/31/2018</stp>
        <stp>1</stp>
        <tr r="I3524" s="1"/>
      </tp>
      <tp>
        <v>42.055479204800001</v>
        <stp/>
        <stp>EM_S_FA_GROSSPROFITMARGIN</stp>
        <stp>3</stp>
        <stp>300707</stp>
        <stp>12/31/2018</stp>
        <stp>1</stp>
        <tr r="I1481" s="1"/>
      </tp>
      <tp>
        <v>18.174283065200001</v>
        <stp/>
        <stp>EM_S_FA_GROSSPROFITMARGIN</stp>
        <stp>3</stp>
        <stp>600757</stp>
        <stp>12/31/2018</stp>
        <stp>1</stp>
        <tr r="I2613" s="1"/>
      </tp>
      <tp>
        <v>20.395877048799999</v>
        <stp/>
        <stp>EM_S_FA_GROSSPROFITMARGIN</stp>
        <stp>3</stp>
        <stp>300407</stp>
        <stp>12/31/2018</stp>
        <stp>1</stp>
        <tr r="I2060" s="1"/>
      </tp>
      <tp>
        <v>32.811378638699999</v>
        <stp/>
        <stp>EM_S_FA_GROSSPROFITMARGIN</stp>
        <stp>3</stp>
        <stp>000537</stp>
        <stp>12/31/2018</stp>
        <stp>1</stp>
        <tr r="I2013" s="1"/>
      </tp>
      <tp>
        <v>27.8813818916</v>
        <stp/>
        <stp>EM_S_FA_GROSSPROFITMARGIN</stp>
        <stp>3</stp>
        <stp>300507</stp>
        <stp>12/31/2018</stp>
        <stp>1</stp>
        <tr r="I3002" s="1"/>
      </tp>
      <tp>
        <v>76.334012756299998</v>
        <stp/>
        <stp>EM_S_FA_GROSSPROFITMARGIN</stp>
        <stp>3</stp>
        <stp>600557</stp>
        <stp>12/31/2018</stp>
        <stp>1</stp>
        <tr r="I737" s="1"/>
      </tp>
      <tp>
        <v>14.8348914012</v>
        <stp/>
        <stp>EM_S_FA_GROSSPROFITMARGIN</stp>
        <stp>3</stp>
        <stp>300207</stp>
        <stp>12/31/2018</stp>
        <stp>1</stp>
        <tr r="I108" s="1"/>
      </tp>
      <tp>
        <v>21.247394681300001</v>
        <stp/>
        <stp>EM_S_FA_GROSSPROFITMARGIN</stp>
        <stp>3</stp>
        <stp>600257</stp>
        <stp>12/31/2018</stp>
        <stp>1</stp>
        <tr r="I2166" s="1"/>
      </tp>
      <tp>
        <v>37.5358863027</v>
        <stp/>
        <stp>EM_S_FA_GROSSPROFITMARGIN</stp>
        <stp>3</stp>
        <stp>300307</stp>
        <stp>12/31/2018</stp>
        <stp>1</stp>
        <tr r="I2197" s="1"/>
      </tp>
      <tp>
        <v>0</v>
        <stp/>
        <stp>EM_S_FA_GROSSPROFITMARGIN</stp>
        <stp>3</stp>
        <stp>600357</stp>
        <stp>12/31/2018</stp>
        <stp>1</stp>
        <tr r="I2301" s="1"/>
      </tp>
      <tp>
        <v>7.0444674873000004</v>
        <stp/>
        <stp>EM_S_FA_GROSSPROFITMARGIN</stp>
        <stp>3</stp>
        <stp>000037</stp>
        <stp>12/31/2018</stp>
        <stp>1</stp>
        <tr r="I68" s="1"/>
      </tp>
      <tp>
        <v>35.225177721999998</v>
        <stp/>
        <stp>EM_S_FA_GROSSPROFITMARGIN</stp>
        <stp>3</stp>
        <stp>300007</stp>
        <stp>12/31/2018</stp>
        <stp>1</stp>
        <tr r="I352" s="1"/>
      </tp>
      <tp>
        <v>2.7510077386999998</v>
        <stp/>
        <stp>EM_S_FA_GROSSPROFITMARGIN</stp>
        <stp>3</stp>
        <stp>600057</stp>
        <stp>12/31/2018</stp>
        <stp>1</stp>
        <tr r="I2370" s="1"/>
      </tp>
      <tp>
        <v>63.7849817086</v>
        <stp/>
        <stp>EM_S_FA_GROSSPROFITMARGIN</stp>
        <stp>3</stp>
        <stp>300107</stp>
        <stp>12/31/2018</stp>
        <stp>1</stp>
        <tr r="I3155" s="1"/>
      </tp>
      <tp>
        <v>26.531217666300002</v>
        <stp/>
        <stp>EM_S_FA_GROSSPROFITMARGIN</stp>
        <stp>3</stp>
        <stp>600157</stp>
        <stp>12/31/2018</stp>
        <stp>1</stp>
        <tr r="I1912" s="1"/>
      </tp>
      <tp>
        <v>30.645518600999999</v>
        <stp/>
        <stp>EM_S_FA_GROSSPROFITMARGIN</stp>
        <stp>3</stp>
        <stp>603757</stp>
        <stp>12/31/2018</stp>
        <stp>1</stp>
        <tr r="I3019" s="1"/>
      </tp>
      <tp>
        <v>35.603801447999999</v>
        <stp/>
        <stp>EM_S_FA_GROSSPROFITMARGIN</stp>
        <stp>3</stp>
        <stp>603557</stp>
        <stp>12/31/2018</stp>
        <stp>1</stp>
        <tr r="I1610" s="1"/>
      </tp>
      <tp>
        <v>47.509402950199998</v>
        <stp/>
        <stp>EM_S_FA_GROSSPROFITMARGIN</stp>
        <stp>3</stp>
        <stp>603357</stp>
        <stp>12/31/2018</stp>
        <stp>1</stp>
        <tr r="I3354" s="1"/>
      </tp>
      <tp>
        <v>65.326376078699994</v>
        <stp/>
        <stp>EM_S_FA_GROSSPROFITMARGIN</stp>
        <stp>3</stp>
        <stp>603157</stp>
        <stp>12/31/2018</stp>
        <stp>1</stp>
        <tr r="I3240" s="1"/>
      </tp>
      <tp>
        <v>35.8741984312</v>
        <stp/>
        <stp>EM_S_FA_GROSSPROFITMARGIN</stp>
        <stp>3</stp>
        <stp>002837</stp>
        <stp>12/31/2018</stp>
        <stp>1</stp>
        <tr r="I1629" s="1"/>
      </tp>
      <tp>
        <v>13.3539371658</v>
        <stp/>
        <stp>EM_S_FA_GROSSPROFITMARGIN</stp>
        <stp>3</stp>
        <stp>002637</stp>
        <stp>12/31/2018</stp>
        <stp>1</stp>
        <tr r="I640" s="1"/>
      </tp>
      <tp>
        <v>59.057612840300003</v>
        <stp/>
        <stp>EM_S_FA_GROSSPROFITMARGIN</stp>
        <stp>3</stp>
        <stp>002737</stp>
        <stp>12/31/2018</stp>
        <stp>1</stp>
        <tr r="I2433" s="1"/>
      </tp>
      <tp>
        <v>74.547546716499994</v>
        <stp/>
        <stp>EM_S_FA_GROSSPROFITMARGIN</stp>
        <stp>3</stp>
        <stp>002437</stp>
        <stp>12/31/2018</stp>
        <stp>1</stp>
        <tr r="I1992" s="1"/>
      </tp>
      <tp>
        <v>21.591603018299999</v>
        <stp/>
        <stp>EM_S_FA_GROSSPROFITMARGIN</stp>
        <stp>3</stp>
        <stp>002537</stp>
        <stp>12/31/2018</stp>
        <stp>1</stp>
        <tr r="I3234" s="1"/>
      </tp>
      <tp>
        <v>7.0184365622999998</v>
        <stp/>
        <stp>EM_S_FA_GROSSPROFITMARGIN</stp>
        <stp>3</stp>
        <stp>002237</stp>
        <stp>12/31/2018</stp>
        <stp>1</stp>
        <tr r="I382" s="1"/>
      </tp>
      <tp>
        <v>43.011298412000002</v>
        <stp/>
        <stp>EM_S_FA_GROSSPROFITMARGIN</stp>
        <stp>3</stp>
        <stp>002337</stp>
        <stp>12/31/2018</stp>
        <stp>1</stp>
        <tr r="I2558" s="1"/>
      </tp>
      <tp>
        <v>21.920020426800001</v>
        <stp/>
        <stp>EM_S_FA_GROSSPROFITMARGIN</stp>
        <stp>3</stp>
        <stp>002037</stp>
        <stp>12/31/2018</stp>
        <stp>1</stp>
        <tr r="I2964" s="1"/>
      </tp>
      <tp>
        <v>18.965912674399998</v>
        <stp/>
        <stp>EM_S_FA_GROSSPROFITMARGIN</stp>
        <stp>3</stp>
        <stp>002137</stp>
        <stp>12/31/2018</stp>
        <stp>1</stp>
        <tr r="I1770" s="1"/>
      </tp>
      <tp>
        <v>28.333143339399999</v>
        <stp/>
        <stp>EM_S_FA_GROSSPROFITMARGIN</stp>
        <stp>3</stp>
        <stp>000830</stp>
        <stp>12/31/2018</stp>
        <stp>1</stp>
        <tr r="I2036" s="1"/>
      </tp>
      <tp>
        <v>15.721425763599999</v>
        <stp/>
        <stp>EM_S_FA_GROSSPROFITMARGIN</stp>
        <stp>3</stp>
        <stp>600850</stp>
        <stp>12/31/2018</stp>
        <stp>1</stp>
        <tr r="I441" s="1"/>
      </tp>
      <tp>
        <v>16.383246645300002</v>
        <stp/>
        <stp>EM_S_FA_GROSSPROFITMARGIN</stp>
        <stp>3</stp>
        <stp>000930</stp>
        <stp>12/31/2018</stp>
        <stp>1</stp>
        <tr r="I2797" s="1"/>
      </tp>
      <tp>
        <v>5.3133416140999996</v>
        <stp/>
        <stp>EM_S_FA_GROSSPROFITMARGIN</stp>
        <stp>3</stp>
        <stp>000630</stp>
        <stp>12/31/2018</stp>
        <stp>1</stp>
        <tr r="I1285" s="1"/>
      </tp>
      <tp>
        <v>49.220118980300001</v>
        <stp/>
        <stp>EM_S_FA_GROSSPROFITMARGIN</stp>
        <stp>3</stp>
        <stp>300600</stp>
        <stp>12/31/2018</stp>
        <stp>1</stp>
        <tr r="I3297" s="1"/>
      </tp>
      <tp>
        <v>17.597963733899999</v>
        <stp/>
        <stp>EM_S_FA_GROSSPROFITMARGIN</stp>
        <stp>3</stp>
        <stp>600650</stp>
        <stp>12/31/2018</stp>
        <stp>1</stp>
        <tr r="I1878" s="1"/>
      </tp>
      <tp>
        <v>41.847895393599998</v>
        <stp/>
        <stp>EM_S_FA_GROSSPROFITMARGIN</stp>
        <stp>3</stp>
        <stp>000730</stp>
        <stp>12/31/2018</stp>
        <stp>1</stp>
        <tr r="I2278" s="1"/>
      </tp>
      <tp>
        <v>37.3054978873</v>
        <stp/>
        <stp>EM_S_FA_GROSSPROFITMARGIN</stp>
        <stp>3</stp>
        <stp>300700</stp>
        <stp>12/31/2018</stp>
        <stp>1</stp>
        <tr r="I3042" s="1"/>
      </tp>
      <tp>
        <v>67.447766624300002</v>
        <stp/>
        <stp>EM_S_FA_GROSSPROFITMARGIN</stp>
        <stp>3</stp>
        <stp>600750</stp>
        <stp>12/31/2018</stp>
        <stp>1</stp>
        <tr r="I3185" s="1"/>
      </tp>
      <tp>
        <v>31.518197385600001</v>
        <stp/>
        <stp>EM_S_FA_GROSSPROFITMARGIN</stp>
        <stp>3</stp>
        <stp>000430</stp>
        <stp>12/31/2018</stp>
        <stp>1</stp>
        <tr r="I3426" s="1"/>
      </tp>
      <tp>
        <v>38.378626386699999</v>
        <stp/>
        <stp>EM_S_FA_GROSSPROFITMARGIN</stp>
        <stp>3</stp>
        <stp>300400</stp>
        <stp>12/31/2018</stp>
        <stp>1</stp>
        <tr r="I2511" s="1"/>
      </tp>
      <tp>
        <v>16.010472619200002</v>
        <stp/>
        <stp>EM_S_FA_GROSSPROFITMARGIN</stp>
        <stp>3</stp>
        <stp>000530</stp>
        <stp>12/31/2018</stp>
        <stp>1</stp>
        <tr r="I3444" s="1"/>
      </tp>
      <tp>
        <v>32.211205383699998</v>
        <stp/>
        <stp>EM_S_FA_GROSSPROFITMARGIN</stp>
        <stp>3</stp>
        <stp>300500</stp>
        <stp>12/31/2018</stp>
        <stp>1</stp>
        <tr r="I3235" s="1"/>
      </tp>
      <tp>
        <v>12.085462698800001</v>
        <stp/>
        <stp>EM_S_FA_GROSSPROFITMARGIN</stp>
        <stp>3</stp>
        <stp>600550</stp>
        <stp>12/31/2018</stp>
        <stp>1</stp>
        <tr r="I2983" s="1"/>
      </tp>
      <tp>
        <v>31.519626388799999</v>
        <stp/>
        <stp>EM_S_FA_GROSSPROFITMARGIN</stp>
        <stp>3</stp>
        <stp>300200</stp>
        <stp>12/31/2018</stp>
        <stp>1</stp>
        <tr r="I246" s="1"/>
      </tp>
      <tp>
        <v>3.9449611989000002</v>
        <stp/>
        <stp>EM_S_FA_GROSSPROFITMARGIN</stp>
        <stp>3</stp>
        <stp>600250</stp>
        <stp>12/31/2018</stp>
        <stp>1</stp>
        <tr r="I3043" s="1"/>
      </tp>
      <tp>
        <v>18.9667952028</v>
        <stp/>
        <stp>EM_S_FA_GROSSPROFITMARGIN</stp>
        <stp>3</stp>
        <stp>300300</stp>
        <stp>12/31/2018</stp>
        <stp>1</stp>
        <tr r="I2824" s="1"/>
      </tp>
      <tp>
        <v>49.479723982300001</v>
        <stp/>
        <stp>EM_S_FA_GROSSPROFITMARGIN</stp>
        <stp>3</stp>
        <stp>600350</stp>
        <stp>12/31/2018</stp>
        <stp>1</stp>
        <tr r="I1896" s="1"/>
      </tp>
      <tp>
        <v>15.5321357011</v>
        <stp/>
        <stp>EM_S_FA_GROSSPROFITMARGIN</stp>
        <stp>3</stp>
        <stp>000030</stp>
        <stp>12/31/2018</stp>
        <stp>1</stp>
        <tr r="I883" s="1"/>
      </tp>
      <tp>
        <v>26.571780733299999</v>
        <stp/>
        <stp>EM_S_FA_GROSSPROFITMARGIN</stp>
        <stp>3</stp>
        <stp>600050</stp>
        <stp>12/31/2018</stp>
        <stp>1</stp>
        <tr r="I1536" s="1"/>
      </tp>
      <tp>
        <v>18.828641730600001</v>
        <stp/>
        <stp>EM_S_FA_GROSSPROFITMARGIN</stp>
        <stp>3</stp>
        <stp>300100</stp>
        <stp>12/31/2018</stp>
        <stp>1</stp>
        <tr r="I3326" s="1"/>
      </tp>
      <tp>
        <v>13.3224250548</v>
        <stp/>
        <stp>EM_S_FA_GROSSPROFITMARGIN</stp>
        <stp>3</stp>
        <stp>600150</stp>
        <stp>12/31/2018</stp>
        <stp>1</stp>
        <tr r="I395" s="1"/>
      </tp>
      <tp>
        <v>36.204142127700003</v>
        <stp/>
        <stp>EM_S_FA_GROSSPROFITMARGIN</stp>
        <stp>3</stp>
        <stp>603650</stp>
        <stp>12/31/2018</stp>
        <stp>1</stp>
        <tr r="I2848" s="1"/>
      </tp>
      <tp>
        <v>27.4845044166</v>
        <stp/>
        <stp>EM_S_FA_GROSSPROFITMARGIN</stp>
        <stp>3</stp>
        <stp>603050</stp>
        <stp>12/31/2018</stp>
        <stp>1</stp>
        <tr r="I2950" s="1"/>
      </tp>
      <tp>
        <v>32.174722928400001</v>
        <stp/>
        <stp>EM_S_FA_GROSSPROFITMARGIN</stp>
        <stp>3</stp>
        <stp>002830</stp>
        <stp>12/31/2018</stp>
        <stp>1</stp>
        <tr r="I2632" s="1"/>
      </tp>
      <tp>
        <v>58.054975640899997</v>
        <stp/>
        <stp>EM_S_FA_GROSSPROFITMARGIN</stp>
        <stp>3</stp>
        <stp>002930</stp>
        <stp>12/31/2018</stp>
        <stp>1</stp>
        <tr r="I3331" s="1"/>
      </tp>
      <tp>
        <v>20.424457720500001</v>
        <stp/>
        <stp>EM_S_FA_GROSSPROFITMARGIN</stp>
        <stp>3</stp>
        <stp>002630</stp>
        <stp>12/31/2018</stp>
        <stp>1</stp>
        <tr r="I2954" s="1"/>
      </tp>
      <tp>
        <v>34.6410252461</v>
        <stp/>
        <stp>EM_S_FA_GROSSPROFITMARGIN</stp>
        <stp>3</stp>
        <stp>002730</stp>
        <stp>12/31/2018</stp>
        <stp>1</stp>
        <tr r="I1216" s="1"/>
      </tp>
      <tp>
        <v>23.284295853500002</v>
        <stp/>
        <stp>EM_S_FA_GROSSPROFITMARGIN</stp>
        <stp>3</stp>
        <stp>002430</stp>
        <stp>12/31/2018</stp>
        <stp>1</stp>
        <tr r="I751" s="1"/>
      </tp>
      <tp>
        <v>48.144572375800003</v>
        <stp/>
        <stp>EM_S_FA_GROSSPROFITMARGIN</stp>
        <stp>3</stp>
        <stp>002530</stp>
        <stp>12/31/2018</stp>
        <stp>1</stp>
        <tr r="I250" s="1"/>
      </tp>
      <tp>
        <v>50.026079648600003</v>
        <stp/>
        <stp>EM_S_FA_GROSSPROFITMARGIN</stp>
        <stp>3</stp>
        <stp>002230</stp>
        <stp>12/31/2018</stp>
        <stp>1</stp>
        <tr r="I734" s="1"/>
      </tp>
      <tp>
        <v>10.6736801624</v>
        <stp/>
        <stp>EM_S_FA_GROSSPROFITMARGIN</stp>
        <stp>3</stp>
        <stp>002330</stp>
        <stp>12/31/2018</stp>
        <stp>1</stp>
        <tr r="I253" s="1"/>
      </tp>
      <tp>
        <v>41.611643518599998</v>
        <stp/>
        <stp>EM_S_FA_GROSSPROFITMARGIN</stp>
        <stp>3</stp>
        <stp>002030</stp>
        <stp>12/31/2018</stp>
        <stp>1</stp>
        <tr r="I3610" s="1"/>
      </tp>
      <tp>
        <v>32.200598408600001</v>
        <stp/>
        <stp>EM_S_FA_GROSSPROFITMARGIN</stp>
        <stp>3</stp>
        <stp>002130</stp>
        <stp>12/31/2018</stp>
        <stp>1</stp>
        <tr r="I517" s="1"/>
      </tp>
      <tp>
        <v>20.087708630600002</v>
        <stp/>
        <stp>EM_S_FA_GROSSPROFITMARGIN</stp>
        <stp>3</stp>
        <stp>000831</stp>
        <stp>12/31/2018</stp>
        <stp>1</stp>
        <tr r="I465" s="1"/>
      </tp>
      <tp>
        <v>40.477081735600002</v>
        <stp/>
        <stp>EM_S_FA_GROSSPROFITMARGIN</stp>
        <stp>3</stp>
        <stp>600851</stp>
        <stp>12/31/2018</stp>
        <stp>1</stp>
        <tr r="I1652" s="1"/>
      </tp>
      <tp>
        <v>53.437151685300002</v>
        <stp/>
        <stp>EM_S_FA_GROSSPROFITMARGIN</stp>
        <stp>3</stp>
        <stp>000931</stp>
        <stp>12/31/2018</stp>
        <stp>1</stp>
        <tr r="I720" s="1"/>
      </tp>
      <tp>
        <v>46.8013894722</v>
        <stp/>
        <stp>EM_S_FA_GROSSPROFITMARGIN</stp>
        <stp>3</stp>
        <stp>000631</stp>
        <stp>12/31/2018</stp>
        <stp>1</stp>
        <tr r="I3490" s="1"/>
      </tp>
      <tp>
        <v>91.104520956900004</v>
        <stp/>
        <stp>EM_S_FA_GROSSPROFITMARGIN</stp>
        <stp>3</stp>
        <stp>300601</stp>
        <stp>12/31/2018</stp>
        <stp>1</stp>
        <tr r="I93" s="1"/>
      </tp>
      <tp>
        <v>27.366304381500001</v>
        <stp/>
        <stp>EM_S_FA_GROSSPROFITMARGIN</stp>
        <stp>3</stp>
        <stp>600651</stp>
        <stp>12/31/2018</stp>
        <stp>1</stp>
        <tr r="I810" s="1"/>
      </tp>
      <tp>
        <v>26.514800077899999</v>
        <stp/>
        <stp>EM_S_FA_GROSSPROFITMARGIN</stp>
        <stp>3</stp>
        <stp>000731</stp>
        <stp>12/31/2018</stp>
        <stp>1</stp>
        <tr r="I2107" s="1"/>
      </tp>
      <tp>
        <v>51.930795138699999</v>
        <stp/>
        <stp>EM_S_FA_GROSSPROFITMARGIN</stp>
        <stp>3</stp>
        <stp>300701</stp>
        <stp>12/31/2018</stp>
        <stp>1</stp>
        <tr r="I2221" s="1"/>
      </tp>
      <tp>
        <v>6.4690633221000002</v>
        <stp/>
        <stp>EM_S_FA_GROSSPROFITMARGIN</stp>
        <stp>3</stp>
        <stp>600751</stp>
        <stp>12/31/2018</stp>
        <stp>1</stp>
        <tr r="I1828" s="1"/>
      </tp>
      <tp>
        <v>67.749621210000001</v>
        <stp/>
        <stp>EM_S_FA_GROSSPROFITMARGIN</stp>
        <stp>3</stp>
        <stp>300401</stp>
        <stp>12/31/2018</stp>
        <stp>1</stp>
        <tr r="I2232" s="1"/>
      </tp>
      <tp>
        <v>18.209031060800001</v>
        <stp/>
        <stp>EM_S_FA_GROSSPROFITMARGIN</stp>
        <stp>3</stp>
        <stp>000531</stp>
        <stp>12/31/2018</stp>
        <stp>1</stp>
        <tr r="I806" s="1"/>
      </tp>
      <tp>
        <v>32.670362745799999</v>
        <stp/>
        <stp>EM_S_FA_GROSSPROFITMARGIN</stp>
        <stp>3</stp>
        <stp>300501</stp>
        <stp>12/31/2018</stp>
        <stp>1</stp>
        <tr r="I3206" s="1"/>
      </tp>
      <tp>
        <v>11.3500396115</v>
        <stp/>
        <stp>EM_S_FA_GROSSPROFITMARGIN</stp>
        <stp>3</stp>
        <stp>600551</stp>
        <stp>12/31/2018</stp>
        <stp>1</stp>
        <tr r="I2574" s="1"/>
      </tp>
      <tp>
        <v>27.692202241499999</v>
        <stp/>
        <stp>EM_S_FA_GROSSPROFITMARGIN</stp>
        <stp>3</stp>
        <stp>300201</stp>
        <stp>12/31/2018</stp>
        <stp>1</stp>
        <tr r="I2087" s="1"/>
      </tp>
      <tp>
        <v>11.112626225</v>
        <stp/>
        <stp>EM_S_FA_GROSSPROFITMARGIN</stp>
        <stp>3</stp>
        <stp>600251</stp>
        <stp>12/31/2018</stp>
        <stp>1</stp>
        <tr r="I1731" s="1"/>
      </tp>
      <tp>
        <v>25.547822845999999</v>
        <stp/>
        <stp>EM_S_FA_GROSSPROFITMARGIN</stp>
        <stp>3</stp>
        <stp>300301</stp>
        <stp>12/31/2018</stp>
        <stp>1</stp>
        <tr r="I2067" s="1"/>
      </tp>
      <tp>
        <v>60.0900742165</v>
        <stp/>
        <stp>EM_S_FA_GROSSPROFITMARGIN</stp>
        <stp>3</stp>
        <stp>600351</stp>
        <stp>12/31/2018</stp>
        <stp>1</stp>
        <tr r="I2200" s="1"/>
      </tp>
      <tp>
        <v>42.506864201200003</v>
        <stp/>
        <stp>EM_S_FA_GROSSPROFITMARGIN</stp>
        <stp>3</stp>
        <stp>000031</stp>
        <stp>12/31/2018</stp>
        <stp>1</stp>
        <tr r="I569" s="1"/>
      </tp>
      <tp>
        <v>23.2116858206</v>
        <stp/>
        <stp>EM_S_FA_GROSSPROFITMARGIN</stp>
        <stp>3</stp>
        <stp>300001</stp>
        <stp>12/31/2018</stp>
        <stp>1</stp>
        <tr r="I2358" s="1"/>
      </tp>
      <tp>
        <v>11.181229740599999</v>
        <stp/>
        <stp>EM_S_FA_GROSSPROFITMARGIN</stp>
        <stp>3</stp>
        <stp>600051</stp>
        <stp>12/31/2018</stp>
        <stp>1</stp>
        <tr r="I1703" s="1"/>
      </tp>
      <tp>
        <v>47.4656956205</v>
        <stp/>
        <stp>EM_S_FA_GROSSPROFITMARGIN</stp>
        <stp>3</stp>
        <stp>300101</stp>
        <stp>12/31/2018</stp>
        <stp>1</stp>
        <tr r="I2605" s="1"/>
      </tp>
      <tp>
        <v>11.939985318</v>
        <stp/>
        <stp>EM_S_FA_GROSSPROFITMARGIN</stp>
        <stp>3</stp>
        <stp>600151</stp>
        <stp>12/31/2018</stp>
        <stp>1</stp>
        <tr r="I1268" s="1"/>
      </tp>
      <tp>
        <v>28.499882979799999</v>
        <stp/>
        <stp>EM_S_FA_GROSSPROFITMARGIN</stp>
        <stp>3</stp>
        <stp>002831</stp>
        <stp>12/31/2018</stp>
        <stp>1</stp>
        <tr r="I3252" s="1"/>
      </tp>
      <tp>
        <v>31.616689846500002</v>
        <stp/>
        <stp>EM_S_FA_GROSSPROFITMARGIN</stp>
        <stp>3</stp>
        <stp>002931</stp>
        <stp>12/31/2018</stp>
        <stp>1</stp>
        <tr r="I2638" s="1"/>
      </tp>
      <tp>
        <v>33.069401584300003</v>
        <stp/>
        <stp>EM_S_FA_GROSSPROFITMARGIN</stp>
        <stp>3</stp>
        <stp>002631</stp>
        <stp>12/31/2018</stp>
        <stp>1</stp>
        <tr r="I1082" s="1"/>
      </tp>
      <tp>
        <v>9.9087976674</v>
        <stp/>
        <stp>EM_S_FA_GROSSPROFITMARGIN</stp>
        <stp>3</stp>
        <stp>002731</stp>
        <stp>12/31/2018</stp>
        <stp>1</stp>
        <tr r="I3386" s="1"/>
      </tp>
      <tp>
        <v>15.8833414166</v>
        <stp/>
        <stp>EM_S_FA_GROSSPROFITMARGIN</stp>
        <stp>3</stp>
        <stp>002431</stp>
        <stp>12/31/2018</stp>
        <stp>1</stp>
        <tr r="I2936" s="1"/>
      </tp>
      <tp>
        <v>26.050797491600001</v>
        <stp/>
        <stp>EM_S_FA_GROSSPROFITMARGIN</stp>
        <stp>3</stp>
        <stp>002531</stp>
        <stp>12/31/2018</stp>
        <stp>1</stp>
        <tr r="I787" s="1"/>
      </tp>
      <tp>
        <v>12.2324227308</v>
        <stp/>
        <stp>EM_S_FA_GROSSPROFITMARGIN</stp>
        <stp>3</stp>
        <stp>002231</stp>
        <stp>12/31/2018</stp>
        <stp>1</stp>
        <tr r="I2167" s="1"/>
      </tp>
      <tp>
        <v>29.6933868134</v>
        <stp/>
        <stp>EM_S_FA_GROSSPROFITMARGIN</stp>
        <stp>3</stp>
        <stp>002331</stp>
        <stp>12/31/2018</stp>
        <stp>1</stp>
        <tr r="I1715" s="1"/>
      </tp>
      <tp>
        <v>34.298532529200003</v>
        <stp/>
        <stp>EM_S_FA_GROSSPROFITMARGIN</stp>
        <stp>3</stp>
        <stp>002031</stp>
        <stp>12/31/2018</stp>
        <stp>1</stp>
        <tr r="I1994" s="1"/>
      </tp>
      <tp>
        <v>11.5092090657</v>
        <stp/>
        <stp>EM_S_FA_GROSSPROFITMARGIN</stp>
        <stp>3</stp>
        <stp>002131</stp>
        <stp>12/31/2018</stp>
        <stp>1</stp>
        <tr r="I178" s="1"/>
      </tp>
      <tp>
        <v>17.294770958899999</v>
        <stp/>
        <stp>EM_S_FA_GROSSPROFITMARGIN</stp>
        <stp>3</stp>
        <stp>601952</stp>
        <stp>12/31/2018</stp>
        <stp>1</stp>
        <tr r="I2012" s="1"/>
      </tp>
      <tp>
        <v>0</v>
        <stp/>
        <stp>EM_S_FA_GROSSPROFITMARGIN</stp>
        <stp>3</stp>
        <stp>000832</stp>
        <stp>12/31/2018</stp>
        <stp>1</stp>
        <tr r="I3552" s="1"/>
      </tp>
      <tp>
        <v>5.6475285177999996</v>
        <stp/>
        <stp>EM_S_FA_GROSSPROFITMARGIN</stp>
        <stp>3</stp>
        <stp>600852</stp>
        <stp>12/31/2018</stp>
        <stp>1</stp>
        <tr r="I2331" s="1"/>
      </tp>
      <tp>
        <v>17.430929107600001</v>
        <stp/>
        <stp>EM_S_FA_GROSSPROFITMARGIN</stp>
        <stp>3</stp>
        <stp>000932</stp>
        <stp>12/31/2018</stp>
        <stp>1</stp>
        <tr r="I3096" s="1"/>
      </tp>
      <tp>
        <v>8.8878337570999992</v>
        <stp/>
        <stp>EM_S_FA_GROSSPROFITMARGIN</stp>
        <stp>3</stp>
        <stp>000632</stp>
        <stp>12/31/2018</stp>
        <stp>1</stp>
        <tr r="I438" s="1"/>
      </tp>
      <tp>
        <v>30.935355468299999</v>
        <stp/>
        <stp>EM_S_FA_GROSSPROFITMARGIN</stp>
        <stp>3</stp>
        <stp>300602</stp>
        <stp>12/31/2018</stp>
        <stp>1</stp>
        <tr r="I1016" s="1"/>
      </tp>
      <tp>
        <v>26.617769551799999</v>
        <stp/>
        <stp>EM_S_FA_GROSSPROFITMARGIN</stp>
        <stp>3</stp>
        <stp>600652</stp>
        <stp>12/31/2018</stp>
        <stp>1</stp>
        <tr r="I3367" s="1"/>
      </tp>
      <tp>
        <v>30.364788328500001</v>
        <stp/>
        <stp>EM_S_FA_GROSSPROFITMARGIN</stp>
        <stp>3</stp>
        <stp>000732</stp>
        <stp>12/31/2018</stp>
        <stp>1</stp>
        <tr r="I3385" s="1"/>
      </tp>
      <tp>
        <v>40.266254362300003</v>
        <stp/>
        <stp>EM_S_FA_GROSSPROFITMARGIN</stp>
        <stp>3</stp>
        <stp>300702</stp>
        <stp>12/31/2018</stp>
        <stp>1</stp>
        <tr r="I105" s="1"/>
      </tp>
      <tp>
        <v>0</v>
        <stp/>
        <stp>EM_S_FA_GROSSPROFITMARGIN</stp>
        <stp>3</stp>
        <stp>600752</stp>
        <stp>12/31/2018</stp>
        <stp>1</stp>
        <tr r="I2319" s="1"/>
      </tp>
      <tp>
        <v>18.999642918599999</v>
        <stp/>
        <stp>EM_S_FA_GROSSPROFITMARGIN</stp>
        <stp>3</stp>
        <stp>300402</stp>
        <stp>12/31/2018</stp>
        <stp>1</stp>
        <tr r="I1278" s="1"/>
      </tp>
      <tp>
        <v>19.349447919999999</v>
        <stp/>
        <stp>EM_S_FA_GROSSPROFITMARGIN</stp>
        <stp>3</stp>
        <stp>600452</stp>
        <stp>12/31/2018</stp>
        <stp>1</stp>
        <tr r="I1428" s="1"/>
      </tp>
      <tp>
        <v>45.508128790500002</v>
        <stp/>
        <stp>EM_S_FA_GROSSPROFITMARGIN</stp>
        <stp>3</stp>
        <stp>000532</stp>
        <stp>12/31/2018</stp>
        <stp>1</stp>
        <tr r="I1180" s="1"/>
      </tp>
      <tp>
        <v>19.508775288799999</v>
        <stp/>
        <stp>EM_S_FA_GROSSPROFITMARGIN</stp>
        <stp>3</stp>
        <stp>300502</stp>
        <stp>12/31/2018</stp>
        <stp>1</stp>
        <tr r="I171" s="1"/>
      </tp>
      <tp>
        <v>14.9267190806</v>
        <stp/>
        <stp>EM_S_FA_GROSSPROFITMARGIN</stp>
        <stp>3</stp>
        <stp>600552</stp>
        <stp>12/31/2018</stp>
        <stp>1</stp>
        <tr r="I420" s="1"/>
      </tp>
      <tp>
        <v>41.156270925900003</v>
        <stp/>
        <stp>EM_S_FA_GROSSPROFITMARGIN</stp>
        <stp>3</stp>
        <stp>300202</stp>
        <stp>12/31/2018</stp>
        <stp>1</stp>
        <tr r="I299" s="1"/>
      </tp>
      <tp>
        <v>89.589878933899996</v>
        <stp/>
        <stp>EM_S_FA_GROSSPROFITMARGIN</stp>
        <stp>3</stp>
        <stp>600252</stp>
        <stp>12/31/2018</stp>
        <stp>1</stp>
        <tr r="I1069" s="1"/>
      </tp>
      <tp>
        <v>32.042901394899999</v>
        <stp/>
        <stp>EM_S_FA_GROSSPROFITMARGIN</stp>
        <stp>3</stp>
        <stp>300302</stp>
        <stp>12/31/2018</stp>
        <stp>1</stp>
        <tr r="I343" s="1"/>
      </tp>
      <tp>
        <v>45.432555714899998</v>
        <stp/>
        <stp>EM_S_FA_GROSSPROFITMARGIN</stp>
        <stp>3</stp>
        <stp>600352</stp>
        <stp>12/31/2018</stp>
        <stp>1</stp>
        <tr r="I572" s="1"/>
      </tp>
      <tp>
        <v>22.154614788500002</v>
        <stp/>
        <stp>EM_S_FA_GROSSPROFITMARGIN</stp>
        <stp>3</stp>
        <stp>000032</stp>
        <stp>12/31/2018</stp>
        <stp>1</stp>
        <tr r="I158" s="1"/>
      </tp>
      <tp>
        <v>71.218917808300006</v>
        <stp/>
        <stp>EM_S_FA_GROSSPROFITMARGIN</stp>
        <stp>3</stp>
        <stp>300002</stp>
        <stp>12/31/2018</stp>
        <stp>1</stp>
        <tr r="I2398" s="1"/>
      </tp>
      <tp>
        <v>25.438016151799999</v>
        <stp/>
        <stp>EM_S_FA_GROSSPROFITMARGIN</stp>
        <stp>3</stp>
        <stp>600052</stp>
        <stp>12/31/2018</stp>
        <stp>1</stp>
        <tr r="I481" s="1"/>
      </tp>
      <tp>
        <v>29.1725913635</v>
        <stp/>
        <stp>EM_S_FA_GROSSPROFITMARGIN</stp>
        <stp>3</stp>
        <stp>300102</stp>
        <stp>12/31/2018</stp>
        <stp>1</stp>
        <tr r="I3006" s="1"/>
      </tp>
      <tp>
        <v>14.204081668500001</v>
        <stp/>
        <stp>EM_S_FA_GROSSPROFITMARGIN</stp>
        <stp>3</stp>
        <stp>600152</stp>
        <stp>12/31/2018</stp>
        <stp>1</stp>
        <tr r="I1376" s="1"/>
      </tp>
      <tp>
        <v>63.276323335100003</v>
        <stp/>
        <stp>EM_S_FA_GROSSPROFITMARGIN</stp>
        <stp>3</stp>
        <stp>002832</stp>
        <stp>12/31/2018</stp>
        <stp>1</stp>
        <tr r="I3123" s="1"/>
      </tp>
      <tp>
        <v>37.414809499599997</v>
        <stp/>
        <stp>EM_S_FA_GROSSPROFITMARGIN</stp>
        <stp>3</stp>
        <stp>002632</stp>
        <stp>12/31/2018</stp>
        <stp>1</stp>
        <tr r="I1891" s="1"/>
      </tp>
      <tp>
        <v>31.8506486864</v>
        <stp/>
        <stp>EM_S_FA_GROSSPROFITMARGIN</stp>
        <stp>3</stp>
        <stp>002732</stp>
        <stp>12/31/2018</stp>
        <stp>1</stp>
        <tr r="I992" s="1"/>
      </tp>
      <tp>
        <v>29.959955481400002</v>
        <stp/>
        <stp>EM_S_FA_GROSSPROFITMARGIN</stp>
        <stp>3</stp>
        <stp>002432</stp>
        <stp>12/31/2018</stp>
        <stp>1</stp>
        <tr r="I2464" s="1"/>
      </tp>
      <tp>
        <v>29.182089244299998</v>
        <stp/>
        <stp>EM_S_FA_GROSSPROFITMARGIN</stp>
        <stp>3</stp>
        <stp>002532</stp>
        <stp>12/31/2018</stp>
        <stp>1</stp>
        <tr r="I1275" s="1"/>
      </tp>
      <tp>
        <v>16.035335480200001</v>
        <stp/>
        <stp>EM_S_FA_GROSSPROFITMARGIN</stp>
        <stp>3</stp>
        <stp>002232</stp>
        <stp>12/31/2018</stp>
        <stp>1</stp>
        <tr r="I1004" s="1"/>
      </tp>
      <tp>
        <v>59.085790109500003</v>
        <stp/>
        <stp>EM_S_FA_GROSSPROFITMARGIN</stp>
        <stp>3</stp>
        <stp>002332</stp>
        <stp>12/31/2018</stp>
        <stp>1</stp>
        <tr r="I458" s="1"/>
      </tp>
      <tp>
        <v>30.862383685299999</v>
        <stp/>
        <stp>EM_S_FA_GROSSPROFITMARGIN</stp>
        <stp>3</stp>
        <stp>002032</stp>
        <stp>12/31/2018</stp>
        <stp>1</stp>
        <tr r="I638" s="1"/>
      </tp>
      <tp>
        <v>14.0047845873</v>
        <stp/>
        <stp>EM_S_FA_GROSSPROFITMARGIN</stp>
        <stp>3</stp>
        <stp>002132</stp>
        <stp>12/31/2018</stp>
        <stp>1</stp>
        <tr r="I1461" s="1"/>
      </tp>
      <tp>
        <v>13.8048779743</v>
        <stp/>
        <stp>EM_S_FA_GROSSPROFITMARGIN</stp>
        <stp>3</stp>
        <stp>000833</stp>
        <stp>12/31/2018</stp>
        <stp>1</stp>
        <tr r="I1707" s="1"/>
      </tp>
      <tp>
        <v>7.4462323767000003</v>
        <stp/>
        <stp>EM_S_FA_GROSSPROFITMARGIN</stp>
        <stp>3</stp>
        <stp>600853</stp>
        <stp>12/31/2018</stp>
        <stp>1</stp>
        <tr r="I2699" s="1"/>
      </tp>
      <tp>
        <v>12.6254532362</v>
        <stp/>
        <stp>EM_S_FA_GROSSPROFITMARGIN</stp>
        <stp>3</stp>
        <stp>000933</stp>
        <stp>12/31/2018</stp>
        <stp>1</stp>
        <tr r="I3581" s="1"/>
      </tp>
      <tp>
        <v>26.969519183199999</v>
        <stp/>
        <stp>EM_S_FA_GROSSPROFITMARGIN</stp>
        <stp>3</stp>
        <stp>000633</stp>
        <stp>12/31/2018</stp>
        <stp>1</stp>
        <tr r="I2730" s="1"/>
      </tp>
      <tp>
        <v>25.894751610499998</v>
        <stp/>
        <stp>EM_S_FA_GROSSPROFITMARGIN</stp>
        <stp>3</stp>
        <stp>300603</stp>
        <stp>12/31/2018</stp>
        <stp>1</stp>
        <tr r="I3173" s="1"/>
      </tp>
      <tp>
        <v>4.1721314450999998</v>
        <stp/>
        <stp>EM_S_FA_GROSSPROFITMARGIN</stp>
        <stp>3</stp>
        <stp>600653</stp>
        <stp>12/31/2018</stp>
        <stp>1</stp>
        <tr r="I1829" s="1"/>
      </tp>
      <tp>
        <v>25.1428416947</v>
        <stp/>
        <stp>EM_S_FA_GROSSPROFITMARGIN</stp>
        <stp>3</stp>
        <stp>000733</stp>
        <stp>12/31/2018</stp>
        <stp>1</stp>
        <tr r="I3522" s="1"/>
      </tp>
      <tp>
        <v>31.267491213700001</v>
        <stp/>
        <stp>EM_S_FA_GROSSPROFITMARGIN</stp>
        <stp>3</stp>
        <stp>300703</stp>
        <stp>12/31/2018</stp>
        <stp>1</stp>
        <tr r="I3050" s="1"/>
      </tp>
      <tp>
        <v>1.4985926708999999</v>
        <stp/>
        <stp>EM_S_FA_GROSSPROFITMARGIN</stp>
        <stp>3</stp>
        <stp>600753</stp>
        <stp>12/31/2018</stp>
        <stp>1</stp>
        <tr r="I1909" s="1"/>
      </tp>
      <tp>
        <v>38.215201424900002</v>
        <stp/>
        <stp>EM_S_FA_GROSSPROFITMARGIN</stp>
        <stp>3</stp>
        <stp>300403</stp>
        <stp>12/31/2018</stp>
        <stp>1</stp>
        <tr r="I2252" s="1"/>
      </tp>
      <tp>
        <v>3.4091253575999998</v>
        <stp/>
        <stp>EM_S_FA_GROSSPROFITMARGIN</stp>
        <stp>3</stp>
        <stp>000533</stp>
        <stp>12/31/2018</stp>
        <stp>1</stp>
        <tr r="I3445" s="1"/>
      </tp>
      <tp>
        <v>50.2170856933</v>
        <stp/>
        <stp>EM_S_FA_GROSSPROFITMARGIN</stp>
        <stp>3</stp>
        <stp>300503</stp>
        <stp>12/31/2018</stp>
        <stp>1</stp>
        <tr r="I978" s="1"/>
      </tp>
      <tp>
        <v>0</v>
        <stp/>
        <stp>EM_S_FA_GROSSPROFITMARGIN</stp>
        <stp>3</stp>
        <stp>600553</stp>
        <stp>12/31/2018</stp>
        <stp>1</stp>
        <tr r="I2304" s="1"/>
      </tp>
      <tp>
        <v>48.1273287299</v>
        <stp/>
        <stp>EM_S_FA_GROSSPROFITMARGIN</stp>
        <stp>3</stp>
        <stp>300203</stp>
        <stp>12/31/2018</stp>
        <stp>1</stp>
        <tr r="I3273" s="1"/>
      </tp>
      <tp>
        <v>0</v>
        <stp/>
        <stp>EM_S_FA_GROSSPROFITMARGIN</stp>
        <stp>3</stp>
        <stp>600253</stp>
        <stp>12/31/2018</stp>
        <stp>1</stp>
        <tr r="I2296" s="1"/>
      </tp>
      <tp>
        <v>27.535598776899999</v>
        <stp/>
        <stp>EM_S_FA_GROSSPROFITMARGIN</stp>
        <stp>3</stp>
        <stp>000333</stp>
        <stp>12/31/2018</stp>
        <stp>1</stp>
        <tr r="I444" s="1"/>
      </tp>
      <tp>
        <v>21.8626377555</v>
        <stp/>
        <stp>EM_S_FA_GROSSPROFITMARGIN</stp>
        <stp>3</stp>
        <stp>300303</stp>
        <stp>12/31/2018</stp>
        <stp>1</stp>
        <tr r="I104" s="1"/>
      </tp>
      <tp>
        <v>18.475917393100001</v>
        <stp/>
        <stp>EM_S_FA_GROSSPROFITMARGIN</stp>
        <stp>3</stp>
        <stp>600353</stp>
        <stp>12/31/2018</stp>
        <stp>1</stp>
        <tr r="I716" s="1"/>
      </tp>
      <tp>
        <v>0</v>
        <stp/>
        <stp>EM_S_FA_GROSSPROFITMARGIN</stp>
        <stp>3</stp>
        <stp>000033</stp>
        <stp>12/31/2018</stp>
        <stp>1</stp>
        <tr r="I2275" s="1"/>
      </tp>
      <tp>
        <v>72.748410402199994</v>
        <stp/>
        <stp>EM_S_FA_GROSSPROFITMARGIN</stp>
        <stp>3</stp>
        <stp>300003</stp>
        <stp>12/31/2018</stp>
        <stp>1</stp>
        <tr r="I508" s="1"/>
      </tp>
      <tp>
        <v>93.117639278599995</v>
        <stp/>
        <stp>EM_S_FA_GROSSPROFITMARGIN</stp>
        <stp>3</stp>
        <stp>600053</stp>
        <stp>12/31/2018</stp>
        <stp>1</stp>
        <tr r="I2410" s="1"/>
      </tp>
      <tp>
        <v>26.830458095800001</v>
        <stp/>
        <stp>EM_S_FA_GROSSPROFITMARGIN</stp>
        <stp>3</stp>
        <stp>300103</stp>
        <stp>12/31/2018</stp>
        <stp>1</stp>
        <tr r="I1115" s="1"/>
      </tp>
      <tp>
        <v>8.1052856004000002</v>
        <stp/>
        <stp>EM_S_FA_GROSSPROFITMARGIN</stp>
        <stp>3</stp>
        <stp>600153</stp>
        <stp>12/31/2018</stp>
        <stp>1</stp>
        <tr r="I1100" s="1"/>
      </tp>
      <tp>
        <v>37.556092328799998</v>
        <stp/>
        <stp>EM_S_FA_GROSSPROFITMARGIN</stp>
        <stp>3</stp>
        <stp>002833</stp>
        <stp>12/31/2018</stp>
        <stp>1</stp>
        <tr r="I1553" s="1"/>
      </tp>
      <tp>
        <v>25.134690347700001</v>
        <stp/>
        <stp>EM_S_FA_GROSSPROFITMARGIN</stp>
        <stp>3</stp>
        <stp>002633</stp>
        <stp>12/31/2018</stp>
        <stp>1</stp>
        <tr r="I2033" s="1"/>
      </tp>
      <tp>
        <v>12.7631755308</v>
        <stp/>
        <stp>EM_S_FA_GROSSPROFITMARGIN</stp>
        <stp>3</stp>
        <stp>002733</stp>
        <stp>12/31/2018</stp>
        <stp>1</stp>
        <tr r="I67" s="1"/>
      </tp>
      <tp>
        <v>27.769644694</v>
        <stp/>
        <stp>EM_S_FA_GROSSPROFITMARGIN</stp>
        <stp>3</stp>
        <stp>002433</stp>
        <stp>12/31/2018</stp>
        <stp>1</stp>
        <tr r="I2500" s="1"/>
      </tp>
      <tp>
        <v>15.3514898545</v>
        <stp/>
        <stp>EM_S_FA_GROSSPROFITMARGIN</stp>
        <stp>3</stp>
        <stp>002533</stp>
        <stp>12/31/2018</stp>
        <stp>1</stp>
        <tr r="I1582" s="1"/>
      </tp>
      <tp>
        <v>40.345692361200001</v>
        <stp/>
        <stp>EM_S_FA_GROSSPROFITMARGIN</stp>
        <stp>3</stp>
        <stp>002233</stp>
        <stp>12/31/2018</stp>
        <stp>1</stp>
        <tr r="I1157" s="1"/>
      </tp>
      <tp>
        <v>5.9726020695999997</v>
        <stp/>
        <stp>EM_S_FA_GROSSPROFITMARGIN</stp>
        <stp>3</stp>
        <stp>002333</stp>
        <stp>12/31/2018</stp>
        <stp>1</stp>
        <tr r="I3105" s="1"/>
      </tp>
      <tp>
        <v>67.158653478800005</v>
        <stp/>
        <stp>EM_S_FA_GROSSPROFITMARGIN</stp>
        <stp>3</stp>
        <stp>002033</stp>
        <stp>12/31/2018</stp>
        <stp>1</stp>
        <tr r="I3611" s="1"/>
      </tp>
      <tp>
        <v>39.6397148366</v>
        <stp/>
        <stp>EM_S_FA_GROSSPROFITMARGIN</stp>
        <stp>3</stp>
        <stp>002133</stp>
        <stp>12/31/2018</stp>
        <stp>1</stp>
        <tr r="I2546" s="1"/>
      </tp>
      <tp>
        <v>30.442723451100001</v>
        <stp/>
        <stp>EM_S_FA_GROSSPROFITMARGIN</stp>
        <stp>3</stp>
        <stp>601858</stp>
        <stp>12/31/2018</stp>
        <stp>1</stp>
        <tr r="I1108" s="1"/>
      </tp>
      <tp>
        <v>18.375092140100001</v>
        <stp/>
        <stp>EM_S_FA_GROSSPROFITMARGIN</stp>
        <stp>3</stp>
        <stp>601958</stp>
        <stp>12/31/2018</stp>
        <stp>1</stp>
        <tr r="I799" s="1"/>
      </tp>
      <tp>
        <v>20.761964729799999</v>
        <stp/>
        <stp>EM_S_FA_GROSSPROFITMARGIN</stp>
        <stp>3</stp>
        <stp>601558</stp>
        <stp>12/31/2018</stp>
        <stp>1</stp>
        <tr r="I2379" s="1"/>
      </tp>
      <tp>
        <v>0.64459507380000003</v>
        <stp/>
        <stp>EM_S_FA_GROSSPROFITMARGIN</stp>
        <stp>3</stp>
        <stp>601258</stp>
        <stp>12/31/2018</stp>
        <stp>1</stp>
        <tr r="I2081" s="1"/>
      </tp>
      <tp>
        <v>19.824311706100001</v>
        <stp/>
        <stp>EM_S_FA_GROSSPROFITMARGIN</stp>
        <stp>3</stp>
        <stp>601058</stp>
        <stp>12/31/2018</stp>
        <stp>1</stp>
        <tr r="I167" s="1"/>
      </tp>
      <tp>
        <v>41.768037696599997</v>
        <stp/>
        <stp>EM_S_FA_GROSSPROFITMARGIN</stp>
        <stp>3</stp>
        <stp>601158</stp>
        <stp>12/31/2018</stp>
        <stp>1</stp>
        <tr r="I2337" s="1"/>
      </tp>
      <tp>
        <v>30.199278393099998</v>
        <stp/>
        <stp>EM_S_FA_GROSSPROFITMARGIN</stp>
        <stp>3</stp>
        <stp>000838</stp>
        <stp>12/31/2018</stp>
        <stp>1</stp>
        <tr r="I1804" s="1"/>
      </tp>
      <tp>
        <v>19.370208422000001</v>
        <stp/>
        <stp>EM_S_FA_GROSSPROFITMARGIN</stp>
        <stp>3</stp>
        <stp>600858</stp>
        <stp>12/31/2018</stp>
        <stp>1</stp>
        <tr r="I2088" s="1"/>
      </tp>
      <tp>
        <v>21.2360546743</v>
        <stp/>
        <stp>EM_S_FA_GROSSPROFITMARGIN</stp>
        <stp>3</stp>
        <stp>000938</stp>
        <stp>12/31/2018</stp>
        <stp>1</stp>
        <tr r="I2342" s="1"/>
      </tp>
      <tp>
        <v>0</v>
        <stp/>
        <stp>EM_S_FA_GROSSPROFITMARGIN</stp>
        <stp>3</stp>
        <stp>600958</stp>
        <stp>12/31/2018</stp>
        <stp>1</stp>
        <tr r="I811" s="1"/>
      </tp>
      <tp>
        <v>45.333138749699998</v>
        <stp/>
        <stp>EM_S_FA_GROSSPROFITMARGIN</stp>
        <stp>3</stp>
        <stp>000638</stp>
        <stp>12/31/2018</stp>
        <stp>1</stp>
        <tr r="I3492" s="1"/>
      </tp>
      <tp>
        <v>50.634029750000003</v>
        <stp/>
        <stp>EM_S_FA_GROSSPROFITMARGIN</stp>
        <stp>3</stp>
        <stp>300608</stp>
        <stp>12/31/2018</stp>
        <stp>1</stp>
        <tr r="I2460" s="1"/>
      </tp>
      <tp>
        <v>64.547220355999997</v>
        <stp/>
        <stp>EM_S_FA_GROSSPROFITMARGIN</stp>
        <stp>3</stp>
        <stp>600658</stp>
        <stp>12/31/2018</stp>
        <stp>1</stp>
        <tr r="I2829" s="1"/>
      </tp>
      <tp>
        <v>27.296473867900001</v>
        <stp/>
        <stp>EM_S_FA_GROSSPROFITMARGIN</stp>
        <stp>3</stp>
        <stp>000738</stp>
        <stp>12/31/2018</stp>
        <stp>1</stp>
        <tr r="I1824" s="1"/>
      </tp>
      <tp>
        <v>7.4328492629999996</v>
        <stp/>
        <stp>EM_S_FA_GROSSPROFITMARGIN</stp>
        <stp>3</stp>
        <stp>300708</stp>
        <stp>12/31/2018</stp>
        <stp>1</stp>
        <tr r="I1073" s="1"/>
      </tp>
      <tp>
        <v>15.0597860526</v>
        <stp/>
        <stp>EM_S_FA_GROSSPROFITMARGIN</stp>
        <stp>3</stp>
        <stp>600758</stp>
        <stp>12/31/2018</stp>
        <stp>1</stp>
        <tr r="I884" s="1"/>
      </tp>
      <tp>
        <v>54.197832486899998</v>
        <stp/>
        <stp>EM_S_FA_GROSSPROFITMARGIN</stp>
        <stp>3</stp>
        <stp>300408</stp>
        <stp>12/31/2018</stp>
        <stp>1</stp>
        <tr r="I858" s="1"/>
      </tp>
      <tp>
        <v>14.826762936</v>
        <stp/>
        <stp>EM_S_FA_GROSSPROFITMARGIN</stp>
        <stp>3</stp>
        <stp>600458</stp>
        <stp>12/31/2018</stp>
        <stp>1</stp>
        <tr r="I2074" s="1"/>
      </tp>
      <tp>
        <v>30.547830935099999</v>
        <stp/>
        <stp>EM_S_FA_GROSSPROFITMARGIN</stp>
        <stp>3</stp>
        <stp>000538</stp>
        <stp>12/31/2018</stp>
        <stp>1</stp>
        <tr r="I1317" s="1"/>
      </tp>
      <tp>
        <v>62.944355355600003</v>
        <stp/>
        <stp>EM_S_FA_GROSSPROFITMARGIN</stp>
        <stp>3</stp>
        <stp>300508</stp>
        <stp>12/31/2018</stp>
        <stp>1</stp>
        <tr r="I1385" s="1"/>
      </tp>
      <tp>
        <v>14.519750182799999</v>
        <stp/>
        <stp>EM_S_FA_GROSSPROFITMARGIN</stp>
        <stp>3</stp>
        <stp>600558</stp>
        <stp>12/31/2018</stp>
        <stp>1</stp>
        <tr r="I2115" s="1"/>
      </tp>
      <tp>
        <v>35.133828280800003</v>
        <stp/>
        <stp>EM_S_FA_GROSSPROFITMARGIN</stp>
        <stp>3</stp>
        <stp>300208</stp>
        <stp>12/31/2018</stp>
        <stp>1</stp>
        <tr r="I1037" s="1"/>
      </tp>
      <tp>
        <v>94.474213756799998</v>
        <stp/>
        <stp>EM_S_FA_GROSSPROFITMARGIN</stp>
        <stp>3</stp>
        <stp>600258</stp>
        <stp>12/31/2018</stp>
        <stp>1</stp>
        <tr r="I833" s="1"/>
      </tp>
      <tp>
        <v>22.3347666857</v>
        <stp/>
        <stp>EM_S_FA_GROSSPROFITMARGIN</stp>
        <stp>3</stp>
        <stp>000338</stp>
        <stp>12/31/2018</stp>
        <stp>1</stp>
        <tr r="I162" s="1"/>
      </tp>
      <tp>
        <v>27.274231608600001</v>
        <stp/>
        <stp>EM_S_FA_GROSSPROFITMARGIN</stp>
        <stp>3</stp>
        <stp>300308</stp>
        <stp>12/31/2018</stp>
        <stp>1</stp>
        <tr r="I975" s="1"/>
      </tp>
      <tp>
        <v>26.076456526299999</v>
        <stp/>
        <stp>EM_S_FA_GROSSPROFITMARGIN</stp>
        <stp>3</stp>
        <stp>600358</stp>
        <stp>12/31/2018</stp>
        <stp>1</stp>
        <tr r="I1391" s="1"/>
      </tp>
      <tp>
        <v>7.4661183378000002</v>
        <stp/>
        <stp>EM_S_FA_GROSSPROFITMARGIN</stp>
        <stp>3</stp>
        <stp>000038</stp>
        <stp>12/31/2018</stp>
        <stp>1</stp>
        <tr r="I2663" s="1"/>
      </tp>
      <tp>
        <v>2.3497082845000001</v>
        <stp/>
        <stp>EM_S_FA_GROSSPROFITMARGIN</stp>
        <stp>3</stp>
        <stp>300008</stp>
        <stp>12/31/2018</stp>
        <stp>1</stp>
        <tr r="I1648" s="1"/>
      </tp>
      <tp>
        <v>3.6344290243000001</v>
        <stp/>
        <stp>EM_S_FA_GROSSPROFITMARGIN</stp>
        <stp>3</stp>
        <stp>600058</stp>
        <stp>12/31/2018</stp>
        <stp>1</stp>
        <tr r="I1269" s="1"/>
      </tp>
      <tp>
        <v>32.489592377100003</v>
        <stp/>
        <stp>EM_S_FA_GROSSPROFITMARGIN</stp>
        <stp>3</stp>
        <stp>300108</stp>
        <stp>12/31/2018</stp>
        <stp>1</stp>
        <tr r="I3150" s="1"/>
      </tp>
      <tp>
        <v>24.063156713400002</v>
        <stp/>
        <stp>EM_S_FA_GROSSPROFITMARGIN</stp>
        <stp>3</stp>
        <stp>600158</stp>
        <stp>12/31/2018</stp>
        <stp>1</stp>
        <tr r="I1644" s="1"/>
      </tp>
      <tp>
        <v>82.789513395300006</v>
        <stp/>
        <stp>EM_S_FA_GROSSPROFITMARGIN</stp>
        <stp>3</stp>
        <stp>603858</stp>
        <stp>12/31/2018</stp>
        <stp>1</stp>
        <tr r="I3059" s="1"/>
      </tp>
      <tp>
        <v>52.244557979200003</v>
        <stp/>
        <stp>EM_S_FA_GROSSPROFITMARGIN</stp>
        <stp>3</stp>
        <stp>603958</stp>
        <stp>12/31/2018</stp>
        <stp>1</stp>
        <tr r="I2677" s="1"/>
      </tp>
      <tp>
        <v>66.377043365399999</v>
        <stp/>
        <stp>EM_S_FA_GROSSPROFITMARGIN</stp>
        <stp>3</stp>
        <stp>603658</stp>
        <stp>12/31/2018</stp>
        <stp>1</stp>
        <tr r="I188" s="1"/>
      </tp>
      <tp>
        <v>4.4444409605999997</v>
        <stp/>
        <stp>EM_S_FA_GROSSPROFITMARGIN</stp>
        <stp>3</stp>
        <stp>603758</stp>
        <stp>12/31/2018</stp>
        <stp>1</stp>
        <tr r="I2185" s="1"/>
      </tp>
      <tp>
        <v>39.7042146609</v>
        <stp/>
        <stp>EM_S_FA_GROSSPROFITMARGIN</stp>
        <stp>3</stp>
        <stp>603458</stp>
        <stp>12/31/2018</stp>
        <stp>1</stp>
        <tr r="I3290" s="1"/>
      </tp>
      <tp>
        <v>27.9475017187</v>
        <stp/>
        <stp>EM_S_FA_GROSSPROFITMARGIN</stp>
        <stp>3</stp>
        <stp>603558</stp>
        <stp>12/31/2018</stp>
        <stp>1</stp>
        <tr r="I2587" s="1"/>
      </tp>
      <tp>
        <v>82.600074556500005</v>
        <stp/>
        <stp>EM_S_FA_GROSSPROFITMARGIN</stp>
        <stp>3</stp>
        <stp>603258</stp>
        <stp>12/31/2018</stp>
        <stp>1</stp>
        <tr r="I727" s="1"/>
      </tp>
      <tp>
        <v>17.281966760500001</v>
        <stp/>
        <stp>EM_S_FA_GROSSPROFITMARGIN</stp>
        <stp>3</stp>
        <stp>603358</stp>
        <stp>12/31/2018</stp>
        <stp>1</stp>
        <tr r="I844" s="1"/>
      </tp>
      <tp>
        <v>40.757299481499999</v>
        <stp/>
        <stp>EM_S_FA_GROSSPROFITMARGIN</stp>
        <stp>3</stp>
        <stp>603058</stp>
        <stp>12/31/2018</stp>
        <stp>1</stp>
        <tr r="I3088" s="1"/>
      </tp>
      <tp>
        <v>31.4398548944</v>
        <stp/>
        <stp>EM_S_FA_GROSSPROFITMARGIN</stp>
        <stp>3</stp>
        <stp>603158</stp>
        <stp>12/31/2018</stp>
        <stp>1</stp>
        <tr r="I2653" s="1"/>
      </tp>
      <tp>
        <v>17.455752544500001</v>
        <stp/>
        <stp>EM_S_FA_GROSSPROFITMARGIN</stp>
        <stp>3</stp>
        <stp>002838</stp>
        <stp>12/31/2018</stp>
        <stp>1</stp>
        <tr r="I3303" s="1"/>
      </tp>
      <tp>
        <v>23.001927531100002</v>
        <stp/>
        <stp>EM_S_FA_GROSSPROFITMARGIN</stp>
        <stp>3</stp>
        <stp>002638</stp>
        <stp>12/31/2018</stp>
        <stp>1</stp>
        <tr r="I689" s="1"/>
      </tp>
      <tp>
        <v>30.822589260299999</v>
        <stp/>
        <stp>EM_S_FA_GROSSPROFITMARGIN</stp>
        <stp>3</stp>
        <stp>002738</stp>
        <stp>12/31/2018</stp>
        <stp>1</stp>
        <tr r="I1459" s="1"/>
      </tp>
      <tp>
        <v>32.125711929399998</v>
        <stp/>
        <stp>EM_S_FA_GROSSPROFITMARGIN</stp>
        <stp>3</stp>
        <stp>002438</stp>
        <stp>12/31/2018</stp>
        <stp>1</stp>
        <tr r="I726" s="1"/>
      </tp>
      <tp>
        <v>24.5306032612</v>
        <stp/>
        <stp>EM_S_FA_GROSSPROFITMARGIN</stp>
        <stp>3</stp>
        <stp>002538</stp>
        <stp>12/31/2018</stp>
        <stp>1</stp>
        <tr r="I2472" s="1"/>
      </tp>
      <tp>
        <v>38.337487412800002</v>
        <stp/>
        <stp>EM_S_FA_GROSSPROFITMARGIN</stp>
        <stp>3</stp>
        <stp>002238</stp>
        <stp>12/31/2018</stp>
        <stp>1</stp>
        <tr r="I1196" s="1"/>
      </tp>
      <tp>
        <v>38.224227038099997</v>
        <stp/>
        <stp>EM_S_FA_GROSSPROFITMARGIN</stp>
        <stp>3</stp>
        <stp>002338</stp>
        <stp>12/31/2018</stp>
        <stp>1</stp>
        <tr r="I1311" s="1"/>
      </tp>
      <tp>
        <v>79.318088776099998</v>
        <stp/>
        <stp>EM_S_FA_GROSSPROFITMARGIN</stp>
        <stp>3</stp>
        <stp>002038</stp>
        <stp>12/31/2018</stp>
        <stp>1</stp>
        <tr r="I3361" s="1"/>
      </tp>
      <tp>
        <v>34.641562975299998</v>
        <stp/>
        <stp>EM_S_FA_GROSSPROFITMARGIN</stp>
        <stp>3</stp>
        <stp>002138</stp>
        <stp>12/31/2018</stp>
        <stp>1</stp>
        <tr r="I329" s="1"/>
      </tp>
      <tp>
        <v>12.5787599222</v>
        <stp/>
        <stp>EM_S_FA_GROSSPROFITMARGIN</stp>
        <stp>3</stp>
        <stp>000839</stp>
        <stp>12/31/2018</stp>
        <stp>1</stp>
        <tr r="I3555" s="1"/>
      </tp>
      <tp>
        <v>21.184968393399998</v>
        <stp/>
        <stp>EM_S_FA_GROSSPROFITMARGIN</stp>
        <stp>3</stp>
        <stp>600859</stp>
        <stp>12/31/2018</stp>
        <stp>1</stp>
        <tr r="I2086" s="1"/>
      </tp>
      <tp>
        <v>-60.651524984600002</v>
        <stp/>
        <stp>EM_S_FA_GROSSPROFITMARGIN</stp>
        <stp>3</stp>
        <stp>000939</stp>
        <stp>12/31/2018</stp>
        <stp>1</stp>
        <tr r="I3583" s="1"/>
      </tp>
      <tp>
        <v>27.561832703099999</v>
        <stp/>
        <stp>EM_S_FA_GROSSPROFITMARGIN</stp>
        <stp>3</stp>
        <stp>600959</stp>
        <stp>12/31/2018</stp>
        <stp>1</stp>
        <tr r="I2509" s="1"/>
      </tp>
      <tp>
        <v>36.302949278</v>
        <stp/>
        <stp>EM_S_FA_GROSSPROFITMARGIN</stp>
        <stp>3</stp>
        <stp>000639</stp>
        <stp>12/31/2018</stp>
        <stp>1</stp>
        <tr r="I3211" s="1"/>
      </tp>
      <tp>
        <v>69.988563473799999</v>
        <stp/>
        <stp>EM_S_FA_GROSSPROFITMARGIN</stp>
        <stp>3</stp>
        <stp>300609</stp>
        <stp>12/31/2018</stp>
        <stp>1</stp>
        <tr r="I784" s="1"/>
      </tp>
      <tp>
        <v>55.478586268999997</v>
        <stp/>
        <stp>EM_S_FA_GROSSPROFITMARGIN</stp>
        <stp>3</stp>
        <stp>600659</stp>
        <stp>12/31/2018</stp>
        <stp>1</stp>
        <tr r="I2324" s="1"/>
      </tp>
      <tp>
        <v>31.928212950900001</v>
        <stp/>
        <stp>EM_S_FA_GROSSPROFITMARGIN</stp>
        <stp>3</stp>
        <stp>000739</stp>
        <stp>12/31/2018</stp>
        <stp>1</stp>
        <tr r="I340" s="1"/>
      </tp>
      <tp>
        <v>30.195050033400001</v>
        <stp/>
        <stp>EM_S_FA_GROSSPROFITMARGIN</stp>
        <stp>3</stp>
        <stp>300709</stp>
        <stp>12/31/2018</stp>
        <stp>1</stp>
        <tr r="I30" s="1"/>
      </tp>
      <tp>
        <v>67.220746289000004</v>
        <stp/>
        <stp>EM_S_FA_GROSSPROFITMARGIN</stp>
        <stp>3</stp>
        <stp>600759</stp>
        <stp>12/31/2018</stp>
        <stp>1</stp>
        <tr r="I1390" s="1"/>
      </tp>
      <tp>
        <v>30.890352706400002</v>
        <stp/>
        <stp>EM_S_FA_GROSSPROFITMARGIN</stp>
        <stp>3</stp>
        <stp>300409</stp>
        <stp>12/31/2018</stp>
        <stp>1</stp>
        <tr r="I2377" s="1"/>
      </tp>
      <tp>
        <v>3.4765447943000001</v>
        <stp/>
        <stp>EM_S_FA_GROSSPROFITMARGIN</stp>
        <stp>3</stp>
        <stp>600459</stp>
        <stp>12/31/2018</stp>
        <stp>1</stp>
        <tr r="I755" s="1"/>
      </tp>
      <tp>
        <v>11.5358226917</v>
        <stp/>
        <stp>EM_S_FA_GROSSPROFITMARGIN</stp>
        <stp>3</stp>
        <stp>000539</stp>
        <stp>12/31/2018</stp>
        <stp>1</stp>
        <tr r="I2832" s="1"/>
      </tp>
      <tp>
        <v>35.6702120876</v>
        <stp/>
        <stp>EM_S_FA_GROSSPROFITMARGIN</stp>
        <stp>3</stp>
        <stp>300509</stp>
        <stp>12/31/2018</stp>
        <stp>1</stp>
        <tr r="I3148" s="1"/>
      </tp>
      <tp>
        <v>61.150241387900003</v>
        <stp/>
        <stp>EM_S_FA_GROSSPROFITMARGIN</stp>
        <stp>3</stp>
        <stp>600559</stp>
        <stp>12/31/2018</stp>
        <stp>1</stp>
        <tr r="I2704" s="1"/>
      </tp>
      <tp>
        <v>34.014994068</v>
        <stp/>
        <stp>EM_S_FA_GROSSPROFITMARGIN</stp>
        <stp>3</stp>
        <stp>300209</stp>
        <stp>12/31/2018</stp>
        <stp>1</stp>
        <tr r="I866" s="1"/>
      </tp>
      <tp>
        <v>2.1613793435000002</v>
        <stp/>
        <stp>EM_S_FA_GROSSPROFITMARGIN</stp>
        <stp>3</stp>
        <stp>600259</stp>
        <stp>12/31/2018</stp>
        <stp>1</stp>
        <tr r="I486" s="1"/>
      </tp>
      <tp>
        <v>57.002577579499999</v>
        <stp/>
        <stp>EM_S_FA_GROSSPROFITMARGIN</stp>
        <stp>3</stp>
        <stp>300309</stp>
        <stp>12/31/2018</stp>
        <stp>1</stp>
        <tr r="I3321" s="1"/>
      </tp>
      <tp>
        <v>16.1200572829</v>
        <stp/>
        <stp>EM_S_FA_GROSSPROFITMARGIN</stp>
        <stp>3</stp>
        <stp>600359</stp>
        <stp>12/31/2018</stp>
        <stp>1</stp>
        <tr r="I997" s="1"/>
      </tp>
      <tp>
        <v>14.8786821551</v>
        <stp/>
        <stp>EM_S_FA_GROSSPROFITMARGIN</stp>
        <stp>3</stp>
        <stp>000039</stp>
        <stp>12/31/2018</stp>
        <stp>1</stp>
        <tr r="I1426" s="1"/>
      </tp>
      <tp>
        <v>80.078175723599998</v>
        <stp/>
        <stp>EM_S_FA_GROSSPROFITMARGIN</stp>
        <stp>3</stp>
        <stp>300009</stp>
        <stp>12/31/2018</stp>
        <stp>1</stp>
        <tr r="I1660" s="1"/>
      </tp>
      <tp>
        <v>37.969692382700003</v>
        <stp/>
        <stp>EM_S_FA_GROSSPROFITMARGIN</stp>
        <stp>3</stp>
        <stp>600059</stp>
        <stp>12/31/2018</stp>
        <stp>1</stp>
        <tr r="I979" s="1"/>
      </tp>
      <tp>
        <v>45.330821089399997</v>
        <stp/>
        <stp>EM_S_FA_GROSSPROFITMARGIN</stp>
        <stp>3</stp>
        <stp>300109</stp>
        <stp>12/31/2018</stp>
        <stp>1</stp>
        <tr r="I1364" s="1"/>
      </tp>
      <tp>
        <v>26.854793978899998</v>
        <stp/>
        <stp>EM_S_FA_GROSSPROFITMARGIN</stp>
        <stp>3</stp>
        <stp>600159</stp>
        <stp>12/31/2018</stp>
        <stp>1</stp>
        <tr r="I1961" s="1"/>
      </tp>
      <tp>
        <v>48.2815784561</v>
        <stp/>
        <stp>EM_S_FA_GROSSPROFITMARGIN</stp>
        <stp>3</stp>
        <stp>603859</stp>
        <stp>12/31/2018</stp>
        <stp>1</stp>
        <tr r="I443" s="1"/>
      </tp>
      <tp>
        <v>31.651832839000001</v>
        <stp/>
        <stp>EM_S_FA_GROSSPROFITMARGIN</stp>
        <stp>3</stp>
        <stp>603959</stp>
        <stp>12/31/2018</stp>
        <stp>1</stp>
        <tr r="I3275" s="1"/>
      </tp>
      <tp>
        <v>31.911765956899998</v>
        <stp/>
        <stp>EM_S_FA_GROSSPROFITMARGIN</stp>
        <stp>3</stp>
        <stp>603659</stp>
        <stp>12/31/2018</stp>
        <stp>1</stp>
        <tr r="I241" s="1"/>
      </tp>
      <tp>
        <v>19.8384517601</v>
        <stp/>
        <stp>EM_S_FA_GROSSPROFITMARGIN</stp>
        <stp>3</stp>
        <stp>603559</stp>
        <stp>12/31/2018</stp>
        <stp>1</stp>
        <tr r="I3183" s="1"/>
      </tp>
      <tp>
        <v>39.451067381900003</v>
        <stp/>
        <stp>EM_S_FA_GROSSPROFITMARGIN</stp>
        <stp>3</stp>
        <stp>603259</stp>
        <stp>12/31/2018</stp>
        <stp>1</stp>
        <tr r="I1205" s="1"/>
      </tp>
      <tp>
        <v>28.160280343699998</v>
        <stp/>
        <stp>EM_S_FA_GROSSPROFITMARGIN</stp>
        <stp>3</stp>
        <stp>603359</stp>
        <stp>12/31/2018</stp>
        <stp>1</stp>
        <tr r="I2716" s="1"/>
      </tp>
      <tp>
        <v>24.8556118393</v>
        <stp/>
        <stp>EM_S_FA_GROSSPROFITMARGIN</stp>
        <stp>3</stp>
        <stp>603059</stp>
        <stp>12/31/2018</stp>
        <stp>1</stp>
        <tr r="I2986" s="1"/>
      </tp>
      <tp>
        <v>20.857444478400001</v>
        <stp/>
        <stp>EM_S_FA_GROSSPROFITMARGIN</stp>
        <stp>3</stp>
        <stp>603159</stp>
        <stp>12/31/2018</stp>
        <stp>1</stp>
        <tr r="I3276" s="1"/>
      </tp>
      <tp>
        <v>0</v>
        <stp/>
        <stp>EM_S_FA_GROSSPROFITMARGIN</stp>
        <stp>3</stp>
        <stp>002839</stp>
        <stp>12/31/2018</stp>
        <stp>1</stp>
        <tr r="I1722" s="1"/>
      </tp>
      <tp>
        <v>23.0750255317</v>
        <stp/>
        <stp>EM_S_FA_GROSSPROFITMARGIN</stp>
        <stp>3</stp>
        <stp>002639</stp>
        <stp>12/31/2018</stp>
        <stp>1</stp>
        <tr r="I434" s="1"/>
      </tp>
      <tp>
        <v>30.323257336699999</v>
        <stp/>
        <stp>EM_S_FA_GROSSPROFITMARGIN</stp>
        <stp>3</stp>
        <stp>002739</stp>
        <stp>12/31/2018</stp>
        <stp>1</stp>
        <tr r="I2975" s="1"/>
      </tp>
      <tp>
        <v>65.469093430800001</v>
        <stp/>
        <stp>EM_S_FA_GROSSPROFITMARGIN</stp>
        <stp>3</stp>
        <stp>002439</stp>
        <stp>12/31/2018</stp>
        <stp>1</stp>
        <tr r="I349" s="1"/>
      </tp>
      <tp>
        <v>14.511340089300001</v>
        <stp/>
        <stp>EM_S_FA_GROSSPROFITMARGIN</stp>
        <stp>3</stp>
        <stp>002539</stp>
        <stp>12/31/2018</stp>
        <stp>1</stp>
        <tr r="I1332" s="1"/>
      </tp>
      <tp>
        <v>19.041832433500002</v>
        <stp/>
        <stp>EM_S_FA_GROSSPROFITMARGIN</stp>
        <stp>3</stp>
        <stp>002239</stp>
        <stp>12/31/2018</stp>
        <stp>1</stp>
        <tr r="I2868" s="1"/>
      </tp>
      <tp>
        <v>31.590294036500001</v>
        <stp/>
        <stp>EM_S_FA_GROSSPROFITMARGIN</stp>
        <stp>3</stp>
        <stp>002339</stp>
        <stp>12/31/2018</stp>
        <stp>1</stp>
        <tr r="I1989" s="1"/>
      </tp>
      <tp>
        <v>50.617902826600002</v>
        <stp/>
        <stp>EM_S_FA_GROSSPROFITMARGIN</stp>
        <stp>3</stp>
        <stp>002039</stp>
        <stp>12/31/2018</stp>
        <stp>1</stp>
        <tr r="I3614" s="1"/>
      </tp>
      <tp>
        <v>19.951146688200001</v>
        <stp/>
        <stp>EM_S_FA_GROSSPROFITMARGIN</stp>
        <stp>3</stp>
        <stp>002139</stp>
        <stp>12/31/2018</stp>
        <stp>1</stp>
        <tr r="I684" s="1"/>
      </tp>
      <tp>
        <v>23.421009998199999</v>
        <stp/>
        <stp>EM_S_FA_GROSSPROFITMARGIN</stp>
        <stp>3</stp>
        <stp>600844</stp>
        <stp>12/31/2018</stp>
        <stp>1</stp>
        <tr r="I467" s="1"/>
      </tp>
      <tp>
        <v>23.412796136299999</v>
        <stp/>
        <stp>EM_S_FA_GROSSPROFITMARGIN</stp>
        <stp>3</stp>
        <stp>600644</stp>
        <stp>12/31/2018</stp>
        <stp>1</stp>
        <tr r="I1143" s="1"/>
      </tp>
      <tp>
        <v>7.0521879052000003</v>
        <stp/>
        <stp>EM_S_FA_GROSSPROFITMARGIN</stp>
        <stp>3</stp>
        <stp>600744</stp>
        <stp>12/31/2018</stp>
        <stp>1</stp>
        <tr r="I2416" s="1"/>
      </tp>
      <tp>
        <v>33.425862487300002</v>
        <stp/>
        <stp>EM_S_FA_GROSSPROFITMARGIN</stp>
        <stp>3</stp>
        <stp>300414</stp>
        <stp>12/31/2018</stp>
        <stp>1</stp>
        <tr r="I3089" s="1"/>
      </tp>
      <tp>
        <v>18.629538698800001</v>
        <stp/>
        <stp>EM_S_FA_GROSSPROFITMARGIN</stp>
        <stp>3</stp>
        <stp>600444</stp>
        <stp>12/31/2018</stp>
        <stp>1</stp>
        <tr r="I1702" s="1"/>
      </tp>
      <tp>
        <v>15.3841996745</v>
        <stp/>
        <stp>EM_S_FA_GROSSPROFITMARGIN</stp>
        <stp>3</stp>
        <stp>000524</stp>
        <stp>12/31/2018</stp>
        <stp>1</stp>
        <tr r="I1832" s="1"/>
      </tp>
      <tp>
        <v>36.709538693500001</v>
        <stp/>
        <stp>EM_S_FA_GROSSPROFITMARGIN</stp>
        <stp>3</stp>
        <stp>300514</stp>
        <stp>12/31/2018</stp>
        <stp>1</stp>
        <tr r="I2250" s="1"/>
      </tp>
      <tp>
        <v>13.0415122927</v>
        <stp/>
        <stp>EM_S_FA_GROSSPROFITMARGIN</stp>
        <stp>3</stp>
        <stp>300214</stp>
        <stp>12/31/2018</stp>
        <stp>1</stp>
        <tr r="I590" s="1"/>
      </tp>
      <tp>
        <v>50.697606830700003</v>
        <stp/>
        <stp>EM_S_FA_GROSSPROFITMARGIN</stp>
        <stp>3</stp>
        <stp>300314</stp>
        <stp>12/31/2018</stp>
        <stp>1</stp>
        <tr r="I1678" s="1"/>
      </tp>
      <tp>
        <v>0</v>
        <stp/>
        <stp>EM_S_FA_GROSSPROFITMARGIN</stp>
        <stp>3</stp>
        <stp>000024</stp>
        <stp>12/31/2018</stp>
        <stp>1</stp>
        <tr r="I2274" s="1"/>
      </tp>
      <tp>
        <v>23.737763136000002</v>
        <stp/>
        <stp>EM_S_FA_GROSSPROFITMARGIN</stp>
        <stp>3</stp>
        <stp>300014</stp>
        <stp>12/31/2018</stp>
        <stp>1</stp>
        <tr r="I40" s="1"/>
      </tp>
      <tp>
        <v>38.518972482899997</v>
        <stp/>
        <stp>EM_S_FA_GROSSPROFITMARGIN</stp>
        <stp>3</stp>
        <stp>300114</stp>
        <stp>12/31/2018</stp>
        <stp>1</stp>
        <tr r="I433" s="1"/>
      </tp>
      <tp>
        <v>92.239647581900002</v>
        <stp/>
        <stp>EM_S_FA_GROSSPROFITMARGIN</stp>
        <stp>3</stp>
        <stp>603444</stp>
        <stp>12/31/2018</stp>
        <stp>1</stp>
        <tr r="I141" s="1"/>
      </tp>
      <tp>
        <v>14.8894278814</v>
        <stp/>
        <stp>EM_S_FA_GROSSPROFITMARGIN</stp>
        <stp>3</stp>
        <stp>002824</stp>
        <stp>12/31/2018</stp>
        <stp>1</stp>
        <tr r="I1249" s="1"/>
      </tp>
      <tp>
        <v>55.812168336900001</v>
        <stp/>
        <stp>EM_S_FA_GROSSPROFITMARGIN</stp>
        <stp>3</stp>
        <stp>002624</stp>
        <stp>12/31/2018</stp>
        <stp>1</stp>
        <tr r="I449" s="1"/>
      </tp>
      <tp>
        <v>71.340105578099994</v>
        <stp/>
        <stp>EM_S_FA_GROSSPROFITMARGIN</stp>
        <stp>3</stp>
        <stp>002724</stp>
        <stp>12/31/2018</stp>
        <stp>1</stp>
        <tr r="I757" s="1"/>
      </tp>
      <tp>
        <v>59.747636831299999</v>
        <stp/>
        <stp>EM_S_FA_GROSSPROFITMARGIN</stp>
        <stp>3</stp>
        <stp>002424</stp>
        <stp>12/31/2018</stp>
        <stp>1</stp>
        <tr r="I2474" s="1"/>
      </tp>
      <tp>
        <v>29.258847402499999</v>
        <stp/>
        <stp>EM_S_FA_GROSSPROFITMARGIN</stp>
        <stp>3</stp>
        <stp>002524</stp>
        <stp>12/31/2018</stp>
        <stp>1</stp>
        <tr r="I120" s="1"/>
      </tp>
      <tp>
        <v>32.264943436199999</v>
        <stp/>
        <stp>EM_S_FA_GROSSPROFITMARGIN</stp>
        <stp>3</stp>
        <stp>002224</stp>
        <stp>12/31/2018</stp>
        <stp>1</stp>
        <tr r="I1500" s="1"/>
      </tp>
      <tp>
        <v>16.681488332200001</v>
        <stp/>
        <stp>EM_S_FA_GROSSPROFITMARGIN</stp>
        <stp>3</stp>
        <stp>002324</stp>
        <stp>12/31/2018</stp>
        <stp>1</stp>
        <tr r="I820" s="1"/>
      </tp>
      <tp>
        <v>14.9985634392</v>
        <stp/>
        <stp>EM_S_FA_GROSSPROFITMARGIN</stp>
        <stp>3</stp>
        <stp>002024</stp>
        <stp>12/31/2018</stp>
        <stp>1</stp>
        <tr r="I2136" s="1"/>
      </tp>
      <tp>
        <v>11.6926205876</v>
        <stp/>
        <stp>EM_S_FA_GROSSPROFITMARGIN</stp>
        <stp>3</stp>
        <stp>002124</stp>
        <stp>12/31/2018</stp>
        <stp>1</stp>
        <tr r="I3641" s="1"/>
      </tp>
      <tp>
        <v>16.052309357199999</v>
        <stp/>
        <stp>EM_S_FA_GROSSPROFITMARGIN</stp>
        <stp>3</stp>
        <stp>000825</stp>
        <stp>12/31/2018</stp>
        <stp>1</stp>
        <tr r="I2407" s="1"/>
      </tp>
      <tp>
        <v>27.941298633599999</v>
        <stp/>
        <stp>EM_S_FA_GROSSPROFITMARGIN</stp>
        <stp>3</stp>
        <stp>600845</stp>
        <stp>12/31/2018</stp>
        <stp>1</stp>
        <tr r="I442" s="1"/>
      </tp>
      <tp>
        <v>29.823942193400001</v>
        <stp/>
        <stp>EM_S_FA_GROSSPROFITMARGIN</stp>
        <stp>3</stp>
        <stp>000925</stp>
        <stp>12/31/2018</stp>
        <stp>1</stp>
        <tr r="I1523" s="1"/>
      </tp>
      <tp>
        <v>14.653175661300001</v>
        <stp/>
        <stp>EM_S_FA_GROSSPROFITMARGIN</stp>
        <stp>3</stp>
        <stp>000625</stp>
        <stp>12/31/2018</stp>
        <stp>1</stp>
        <tr r="I3487" s="1"/>
      </tp>
      <tp>
        <v>30.995497451999999</v>
        <stp/>
        <stp>EM_S_FA_GROSSPROFITMARGIN</stp>
        <stp>3</stp>
        <stp>300615</stp>
        <stp>12/31/2018</stp>
        <stp>1</stp>
        <tr r="I1398" s="1"/>
      </tp>
      <tp>
        <v>66.506086987499998</v>
        <stp/>
        <stp>EM_S_FA_GROSSPROFITMARGIN</stp>
        <stp>3</stp>
        <stp>600645</stp>
        <stp>12/31/2018</stp>
        <stp>1</stp>
        <tr r="I2094" s="1"/>
      </tp>
      <tp>
        <v>20.392206891000001</v>
        <stp/>
        <stp>EM_S_FA_GROSSPROFITMARGIN</stp>
        <stp>3</stp>
        <stp>000725</stp>
        <stp>12/31/2018</stp>
        <stp>1</stp>
        <tr r="I291" s="1"/>
      </tp>
      <tp>
        <v>36.759172468700001</v>
        <stp/>
        <stp>EM_S_FA_GROSSPROFITMARGIN</stp>
        <stp>3</stp>
        <stp>300715</stp>
        <stp>12/31/2018</stp>
        <stp>1</stp>
        <tr r="I1509" s="1"/>
      </tp>
      <tp>
        <v>9.0631336064999992</v>
        <stp/>
        <stp>EM_S_FA_GROSSPROFITMARGIN</stp>
        <stp>3</stp>
        <stp>600745</stp>
        <stp>12/31/2018</stp>
        <stp>1</stp>
        <tr r="I24" s="1"/>
      </tp>
      <tp>
        <v>16.6889394329</v>
        <stp/>
        <stp>EM_S_FA_GROSSPROFITMARGIN</stp>
        <stp>3</stp>
        <stp>000425</stp>
        <stp>12/31/2018</stp>
        <stp>1</stp>
        <tr r="I319" s="1"/>
      </tp>
      <tp>
        <v>34.819565199300001</v>
        <stp/>
        <stp>EM_S_FA_GROSSPROFITMARGIN</stp>
        <stp>3</stp>
        <stp>300415</stp>
        <stp>12/31/2018</stp>
        <stp>1</stp>
        <tr r="I374" s="1"/>
      </tp>
      <tp>
        <v>28.918945849</v>
        <stp/>
        <stp>EM_S_FA_GROSSPROFITMARGIN</stp>
        <stp>3</stp>
        <stp>000525</stp>
        <stp>12/31/2018</stp>
        <stp>1</stp>
        <tr r="I3231" s="1"/>
      </tp>
      <tp>
        <v>56.016513756800002</v>
        <stp/>
        <stp>EM_S_FA_GROSSPROFITMARGIN</stp>
        <stp>3</stp>
        <stp>300515</stp>
        <stp>12/31/2018</stp>
        <stp>1</stp>
        <tr r="I1615" s="1"/>
      </tp>
      <tp>
        <v>28.734641042</v>
        <stp/>
        <stp>EM_S_FA_GROSSPROFITMARGIN</stp>
        <stp>3</stp>
        <stp>600545</stp>
        <stp>12/31/2018</stp>
        <stp>1</stp>
        <tr r="I3035" s="1"/>
      </tp>
      <tp>
        <v>49.452794715899998</v>
        <stp/>
        <stp>EM_S_FA_GROSSPROFITMARGIN</stp>
        <stp>3</stp>
        <stp>300215</stp>
        <stp>12/31/2018</stp>
        <stp>1</stp>
        <tr r="I1169" s="1"/>
      </tp>
      <tp>
        <v>61.271213430800003</v>
        <stp/>
        <stp>EM_S_FA_GROSSPROFITMARGIN</stp>
        <stp>3</stp>
        <stp>300315</stp>
        <stp>12/31/2018</stp>
        <stp>1</stp>
        <tr r="I254" s="1"/>
      </tp>
      <tp>
        <v>6.8081665893999999</v>
        <stp/>
        <stp>EM_S_FA_GROSSPROFITMARGIN</stp>
        <stp>3</stp>
        <stp>600345</stp>
        <stp>12/31/2018</stp>
        <stp>1</stp>
        <tr r="I2249" s="1"/>
      </tp>
      <tp>
        <v>19.7691350978</v>
        <stp/>
        <stp>EM_S_FA_GROSSPROFITMARGIN</stp>
        <stp>3</stp>
        <stp>000025</stp>
        <stp>12/31/2018</stp>
        <stp>1</stp>
        <tr r="I1436" s="1"/>
      </tp>
      <tp>
        <v>46.996700459700001</v>
        <stp/>
        <stp>EM_S_FA_GROSSPROFITMARGIN</stp>
        <stp>3</stp>
        <stp>300015</stp>
        <stp>12/31/2018</stp>
        <stp>1</stp>
        <tr r="I607" s="1"/>
      </tp>
      <tp>
        <v>19.937857254699999</v>
        <stp/>
        <stp>EM_S_FA_GROSSPROFITMARGIN</stp>
        <stp>3</stp>
        <stp>300115</stp>
        <stp>12/31/2018</stp>
        <stp>1</stp>
        <tr r="I125" s="1"/>
      </tp>
      <tp>
        <v>9.6455472899999997</v>
        <stp/>
        <stp>EM_S_FA_GROSSPROFITMARGIN</stp>
        <stp>3</stp>
        <stp>600145</stp>
        <stp>12/31/2018</stp>
        <stp>1</stp>
        <tr r="I2293" s="1"/>
      </tp>
      <tp>
        <v>26.512072144499999</v>
        <stp/>
        <stp>EM_S_FA_GROSSPROFITMARGIN</stp>
        <stp>3</stp>
        <stp>603345</stp>
        <stp>12/31/2018</stp>
        <stp>1</stp>
        <tr r="I351" s="1"/>
      </tp>
      <tp>
        <v>14.7359476478</v>
        <stp/>
        <stp>EM_S_FA_GROSSPROFITMARGIN</stp>
        <stp>3</stp>
        <stp>603045</stp>
        <stp>12/31/2018</stp>
        <stp>1</stp>
        <tr r="I3358" s="1"/>
      </tp>
      <tp>
        <v>18.894702894400002</v>
        <stp/>
        <stp>EM_S_FA_GROSSPROFITMARGIN</stp>
        <stp>3</stp>
        <stp>002825</stp>
        <stp>12/31/2018</stp>
        <stp>1</stp>
        <tr r="I2522" s="1"/>
      </tp>
      <tp>
        <v>43.026688749199998</v>
        <stp/>
        <stp>EM_S_FA_GROSSPROFITMARGIN</stp>
        <stp>3</stp>
        <stp>002925</stp>
        <stp>12/31/2018</stp>
        <stp>1</stp>
        <tr r="I2367" s="1"/>
      </tp>
      <tp>
        <v>33.596798665999998</v>
        <stp/>
        <stp>EM_S_FA_GROSSPROFITMARGIN</stp>
        <stp>3</stp>
        <stp>002625</stp>
        <stp>12/31/2018</stp>
        <stp>1</stp>
        <tr r="I2630" s="1"/>
      </tp>
      <tp>
        <v>18.275174497599998</v>
        <stp/>
        <stp>EM_S_FA_GROSSPROFITMARGIN</stp>
        <stp>3</stp>
        <stp>002725</stp>
        <stp>12/31/2018</stp>
        <stp>1</stp>
        <tr r="I1230" s="1"/>
      </tp>
      <tp>
        <v>55.310709013199997</v>
        <stp/>
        <stp>EM_S_FA_GROSSPROFITMARGIN</stp>
        <stp>3</stp>
        <stp>002425</stp>
        <stp>12/31/2018</stp>
        <stp>1</stp>
        <tr r="I2629" s="1"/>
      </tp>
      <tp>
        <v>0</v>
        <stp/>
        <stp>EM_S_FA_GROSSPROFITMARGIN</stp>
        <stp>3</stp>
        <stp>002525</stp>
        <stp>12/31/2018</stp>
        <stp>1</stp>
        <tr r="I6" s="1"/>
      </tp>
      <tp>
        <v>29.217766587300002</v>
        <stp/>
        <stp>EM_S_FA_GROSSPROFITMARGIN</stp>
        <stp>3</stp>
        <stp>002225</stp>
        <stp>12/31/2018</stp>
        <stp>1</stp>
        <tr r="I2508" s="1"/>
      </tp>
      <tp>
        <v>20.207149184999999</v>
        <stp/>
        <stp>EM_S_FA_GROSSPROFITMARGIN</stp>
        <stp>3</stp>
        <stp>002325</stp>
        <stp>12/31/2018</stp>
        <stp>1</stp>
        <tr r="I1760" s="1"/>
      </tp>
      <tp>
        <v>36.788235453200002</v>
        <stp/>
        <stp>EM_S_FA_GROSSPROFITMARGIN</stp>
        <stp>3</stp>
        <stp>002025</stp>
        <stp>12/31/2018</stp>
        <stp>1</stp>
        <tr r="I1156" s="1"/>
      </tp>
      <tp>
        <v>25.958519082799999</v>
        <stp/>
        <stp>EM_S_FA_GROSSPROFITMARGIN</stp>
        <stp>3</stp>
        <stp>002125</stp>
        <stp>12/31/2018</stp>
        <stp>1</stp>
        <tr r="I3120" s="1"/>
      </tp>
      <tp>
        <v>27.689032027700001</v>
        <stp/>
        <stp>EM_S_FA_GROSSPROFITMARGIN</stp>
        <stp>3</stp>
        <stp>000826</stp>
        <stp>12/31/2018</stp>
        <stp>1</stp>
        <tr r="I2803" s="1"/>
      </tp>
      <tp>
        <v>18.011071682699999</v>
        <stp/>
        <stp>EM_S_FA_GROSSPROFITMARGIN</stp>
        <stp>3</stp>
        <stp>600846</stp>
        <stp>12/31/2018</stp>
        <stp>1</stp>
        <tr r="I959" s="1"/>
      </tp>
      <tp>
        <v>30.5040384305</v>
        <stp/>
        <stp>EM_S_FA_GROSSPROFITMARGIN</stp>
        <stp>3</stp>
        <stp>000926</stp>
        <stp>12/31/2018</stp>
        <stp>1</stp>
        <tr r="I3578" s="1"/>
      </tp>
      <tp>
        <v>0.72770033789999999</v>
        <stp/>
        <stp>EM_S_FA_GROSSPROFITMARGIN</stp>
        <stp>3</stp>
        <stp>000626</stp>
        <stp>12/31/2018</stp>
        <stp>1</stp>
        <tr r="I3488" s="1"/>
      </tp>
      <tp>
        <v>43.681705577099997</v>
        <stp/>
        <stp>EM_S_FA_GROSSPROFITMARGIN</stp>
        <stp>3</stp>
        <stp>300616</stp>
        <stp>12/31/2018</stp>
        <stp>1</stp>
        <tr r="I1091" s="1"/>
      </tp>
      <tp>
        <v>0</v>
        <stp/>
        <stp>EM_S_FA_GROSSPROFITMARGIN</stp>
        <stp>3</stp>
        <stp>600646</stp>
        <stp>12/31/2018</stp>
        <stp>1</stp>
        <tr r="I2311" s="1"/>
      </tp>
      <tp>
        <v>29.3298200459</v>
        <stp/>
        <stp>EM_S_FA_GROSSPROFITMARGIN</stp>
        <stp>3</stp>
        <stp>000726</stp>
        <stp>12/31/2018</stp>
        <stp>1</stp>
        <tr r="I2606" s="1"/>
      </tp>
      <tp>
        <v>17.069803148399998</v>
        <stp/>
        <stp>EM_S_FA_GROSSPROFITMARGIN</stp>
        <stp>3</stp>
        <stp>300716</stp>
        <stp>12/31/2018</stp>
        <stp>1</stp>
        <tr r="I2689" s="1"/>
      </tp>
      <tp>
        <v>6.9533517961999998</v>
        <stp/>
        <stp>EM_S_FA_GROSSPROFITMARGIN</stp>
        <stp>3</stp>
        <stp>600746</stp>
        <stp>12/31/2018</stp>
        <stp>1</stp>
        <tr r="I1254" s="1"/>
      </tp>
      <tp>
        <v>62.0898534536</v>
        <stp/>
        <stp>EM_S_FA_GROSSPROFITMARGIN</stp>
        <stp>3</stp>
        <stp>000426</stp>
        <stp>12/31/2018</stp>
        <stp>1</stp>
        <tr r="I2266" s="1"/>
      </tp>
      <tp>
        <v>46.056218576799999</v>
        <stp/>
        <stp>EM_S_FA_GROSSPROFITMARGIN</stp>
        <stp>3</stp>
        <stp>300416</stp>
        <stp>12/31/2018</stp>
        <stp>1</stp>
        <tr r="I301" s="1"/>
      </tp>
      <tp>
        <v>23.093669349799999</v>
        <stp/>
        <stp>EM_S_FA_GROSSPROFITMARGIN</stp>
        <stp>3</stp>
        <stp>600446</stp>
        <stp>12/31/2018</stp>
        <stp>1</stp>
        <tr r="I127" s="1"/>
      </tp>
      <tp>
        <v>27.271803002199999</v>
        <stp/>
        <stp>EM_S_FA_GROSSPROFITMARGIN</stp>
        <stp>3</stp>
        <stp>000526</stp>
        <stp>12/31/2018</stp>
        <stp>1</stp>
        <tr r="I325" s="1"/>
      </tp>
      <tp>
        <v>29.774359469099998</v>
        <stp/>
        <stp>EM_S_FA_GROSSPROFITMARGIN</stp>
        <stp>3</stp>
        <stp>300516</stp>
        <stp>12/31/2018</stp>
        <stp>1</stp>
        <tr r="I1820" s="1"/>
      </tp>
      <tp>
        <v>20.031739613300001</v>
        <stp/>
        <stp>EM_S_FA_GROSSPROFITMARGIN</stp>
        <stp>3</stp>
        <stp>600546</stp>
        <stp>12/31/2018</stp>
        <stp>1</stp>
        <tr r="I191" s="1"/>
      </tp>
      <tp>
        <v>19.5579804282</v>
        <stp/>
        <stp>EM_S_FA_GROSSPROFITMARGIN</stp>
        <stp>3</stp>
        <stp>300216</stp>
        <stp>12/31/2018</stp>
        <stp>1</stp>
        <tr r="I2361" s="1"/>
      </tp>
      <tp>
        <v>34.055443263100003</v>
        <stp/>
        <stp>EM_S_FA_GROSSPROFITMARGIN</stp>
        <stp>3</stp>
        <stp>600246</stp>
        <stp>12/31/2018</stp>
        <stp>1</stp>
        <tr r="I495" s="1"/>
      </tp>
      <tp>
        <v>39.507626158400001</v>
        <stp/>
        <stp>EM_S_FA_GROSSPROFITMARGIN</stp>
        <stp>3</stp>
        <stp>300316</stp>
        <stp>12/31/2018</stp>
        <stp>1</stp>
        <tr r="I480" s="1"/>
      </tp>
      <tp>
        <v>12.742401324199999</v>
        <stp/>
        <stp>EM_S_FA_GROSSPROFITMARGIN</stp>
        <stp>3</stp>
        <stp>600346</stp>
        <stp>12/31/2018</stp>
        <stp>1</stp>
        <tr r="I1252" s="1"/>
      </tp>
      <tp>
        <v>41.366306740100001</v>
        <stp/>
        <stp>EM_S_FA_GROSSPROFITMARGIN</stp>
        <stp>3</stp>
        <stp>000026</stp>
        <stp>12/31/2018</stp>
        <stp>1</stp>
        <tr r="I462" s="1"/>
      </tp>
      <tp>
        <v>67.038057343700004</v>
        <stp/>
        <stp>EM_S_FA_GROSSPROFITMARGIN</stp>
        <stp>3</stp>
        <stp>300016</stp>
        <stp>12/31/2018</stp>
        <stp>1</stp>
        <tr r="I993" s="1"/>
      </tp>
      <tp>
        <v>-2.9866061173</v>
        <stp/>
        <stp>EM_S_FA_GROSSPROFITMARGIN</stp>
        <stp>3</stp>
        <stp>300116</stp>
        <stp>12/31/2018</stp>
        <stp>1</stp>
        <tr r="I911" s="1"/>
      </tp>
      <tp>
        <v>34.548902420499999</v>
        <stp/>
        <stp>EM_S_FA_GROSSPROFITMARGIN</stp>
        <stp>3</stp>
        <stp>600146</stp>
        <stp>12/31/2018</stp>
        <stp>1</stp>
        <tr r="I192" s="1"/>
      </tp>
      <tp>
        <v>31.938976541300001</v>
        <stp/>
        <stp>EM_S_FA_GROSSPROFITMARGIN</stp>
        <stp>3</stp>
        <stp>002826</stp>
        <stp>12/31/2018</stp>
        <stp>1</stp>
        <tr r="I2473" s="1"/>
      </tp>
      <tp>
        <v>0</v>
        <stp/>
        <stp>EM_S_FA_GROSSPROFITMARGIN</stp>
        <stp>3</stp>
        <stp>002926</stp>
        <stp>12/31/2018</stp>
        <stp>1</stp>
        <tr r="I890" s="1"/>
      </tp>
      <tp>
        <v>52.062652553200003</v>
        <stp/>
        <stp>EM_S_FA_GROSSPROFITMARGIN</stp>
        <stp>3</stp>
        <stp>002626</stp>
        <stp>12/31/2018</stp>
        <stp>1</stp>
        <tr r="I414" s="1"/>
      </tp>
      <tp>
        <v>7.1301992086999997</v>
        <stp/>
        <stp>EM_S_FA_GROSSPROFITMARGIN</stp>
        <stp>3</stp>
        <stp>002726</stp>
        <stp>12/31/2018</stp>
        <stp>1</stp>
        <tr r="I2844" s="1"/>
      </tp>
      <tp>
        <v>10.019550196400001</v>
        <stp/>
        <stp>EM_S_FA_GROSSPROFITMARGIN</stp>
        <stp>3</stp>
        <stp>002426</stp>
        <stp>12/31/2018</stp>
        <stp>1</stp>
        <tr r="I2106" s="1"/>
      </tp>
      <tp>
        <v>25.7421315263</v>
        <stp/>
        <stp>EM_S_FA_GROSSPROFITMARGIN</stp>
        <stp>3</stp>
        <stp>002526</stp>
        <stp>12/31/2018</stp>
        <stp>1</stp>
        <tr r="I1267" s="1"/>
      </tp>
      <tp>
        <v>41.579670166500001</v>
        <stp/>
        <stp>EM_S_FA_GROSSPROFITMARGIN</stp>
        <stp>3</stp>
        <stp>002226</stp>
        <stp>12/31/2018</stp>
        <stp>1</stp>
        <tr r="I1997" s="1"/>
      </tp>
      <tp>
        <v>26.7320594802</v>
        <stp/>
        <stp>EM_S_FA_GROSSPROFITMARGIN</stp>
        <stp>3</stp>
        <stp>002326</stp>
        <stp>12/31/2018</stp>
        <stp>1</stp>
        <tr r="I623" s="1"/>
      </tp>
      <tp>
        <v>23.9351992026</v>
        <stp/>
        <stp>EM_S_FA_GROSSPROFITMARGIN</stp>
        <stp>3</stp>
        <stp>002026</stp>
        <stp>12/31/2018</stp>
        <stp>1</stp>
        <tr r="I2623" s="1"/>
      </tp>
      <tp>
        <v>25.533451778</v>
        <stp/>
        <stp>EM_S_FA_GROSSPROFITMARGIN</stp>
        <stp>3</stp>
        <stp>002126</stp>
        <stp>12/31/2018</stp>
        <stp>1</stp>
        <tr r="I1836" s="1"/>
      </tp>
      <tp>
        <v>0</v>
        <stp/>
        <stp>EM_S_FA_GROSSPROFITMARGIN</stp>
        <stp>3</stp>
        <stp>000827</stp>
        <stp>12/31/2018</stp>
        <stp>1</stp>
        <tr r="I3550" s="1"/>
      </tp>
      <tp>
        <v>11.0746233568</v>
        <stp/>
        <stp>EM_S_FA_GROSSPROFITMARGIN</stp>
        <stp>3</stp>
        <stp>600847</stp>
        <stp>12/31/2018</stp>
        <stp>1</stp>
        <tr r="I2395" s="1"/>
      </tp>
      <tp>
        <v>-31.1572312445</v>
        <stp/>
        <stp>EM_S_FA_GROSSPROFITMARGIN</stp>
        <stp>3</stp>
        <stp>000927</stp>
        <stp>12/31/2018</stp>
        <stp>1</stp>
        <tr r="I3579" s="1"/>
      </tp>
      <tp>
        <v>0</v>
        <stp/>
        <stp>EM_S_FA_GROSSPROFITMARGIN</stp>
        <stp>3</stp>
        <stp>000627</stp>
        <stp>12/31/2018</stp>
        <stp>1</stp>
        <tr r="I3489" s="1"/>
      </tp>
      <tp>
        <v>50.483760875900003</v>
        <stp/>
        <stp>EM_S_FA_GROSSPROFITMARGIN</stp>
        <stp>3</stp>
        <stp>300617</stp>
        <stp>12/31/2018</stp>
        <stp>1</stp>
        <tr r="I1581" s="1"/>
      </tp>
      <tp>
        <v>57.6045815823</v>
        <stp/>
        <stp>EM_S_FA_GROSSPROFITMARGIN</stp>
        <stp>3</stp>
        <stp>600647</stp>
        <stp>12/31/2018</stp>
        <stp>1</stp>
        <tr r="I1435" s="1"/>
      </tp>
      <tp>
        <v>-15.0837820245</v>
        <stp/>
        <stp>EM_S_FA_GROSSPROFITMARGIN</stp>
        <stp>3</stp>
        <stp>000727</stp>
        <stp>12/31/2018</stp>
        <stp>1</stp>
        <tr r="I3520" s="1"/>
      </tp>
      <tp>
        <v>26.9937526109</v>
        <stp/>
        <stp>EM_S_FA_GROSSPROFITMARGIN</stp>
        <stp>3</stp>
        <stp>300717</stp>
        <stp>12/31/2018</stp>
        <stp>1</stp>
        <tr r="I1526" s="1"/>
      </tp>
      <tp>
        <v>12.669573999500001</v>
        <stp/>
        <stp>EM_S_FA_GROSSPROFITMARGIN</stp>
        <stp>3</stp>
        <stp>600747</stp>
        <stp>12/31/2018</stp>
        <stp>1</stp>
        <tr r="I3404" s="1"/>
      </tp>
      <tp>
        <v>48.888578807000002</v>
        <stp/>
        <stp>EM_S_FA_GROSSPROFITMARGIN</stp>
        <stp>3</stp>
        <stp>300417</stp>
        <stp>12/31/2018</stp>
        <stp>1</stp>
        <tr r="I56" s="1"/>
      </tp>
      <tp>
        <v>0</v>
        <stp/>
        <stp>EM_S_FA_GROSSPROFITMARGIN</stp>
        <stp>3</stp>
        <stp>000527</stp>
        <stp>12/31/2018</stp>
        <stp>1</stp>
        <tr r="I3443" s="1"/>
      </tp>
      <tp>
        <v>21.029560781600001</v>
        <stp/>
        <stp>EM_S_FA_GROSSPROFITMARGIN</stp>
        <stp>3</stp>
        <stp>300517</stp>
        <stp>12/31/2018</stp>
        <stp>1</stp>
        <tr r="I1512" s="1"/>
      </tp>
      <tp>
        <v>8.7088160758999997</v>
        <stp/>
        <stp>EM_S_FA_GROSSPROFITMARGIN</stp>
        <stp>3</stp>
        <stp>600547</stp>
        <stp>12/31/2018</stp>
        <stp>1</stp>
        <tr r="I1942" s="1"/>
      </tp>
      <tp>
        <v>21.974151804600002</v>
        <stp/>
        <stp>EM_S_FA_GROSSPROFITMARGIN</stp>
        <stp>3</stp>
        <stp>300217</stp>
        <stp>12/31/2018</stp>
        <stp>1</stp>
        <tr r="I2065" s="1"/>
      </tp>
      <tp>
        <v>31.649994087300001</v>
        <stp/>
        <stp>EM_S_FA_GROSSPROFITMARGIN</stp>
        <stp>3</stp>
        <stp>600247</stp>
        <stp>12/31/2018</stp>
        <stp>1</stp>
        <tr r="I3103" s="1"/>
      </tp>
      <tp>
        <v>22.8169830177</v>
        <stp/>
        <stp>EM_S_FA_GROSSPROFITMARGIN</stp>
        <stp>3</stp>
        <stp>300317</stp>
        <stp>12/31/2018</stp>
        <stp>1</stp>
        <tr r="I1978" s="1"/>
      </tp>
      <tp>
        <v>26.6281665713</v>
        <stp/>
        <stp>EM_S_FA_GROSSPROFITMARGIN</stp>
        <stp>3</stp>
        <stp>000027</stp>
        <stp>12/31/2018</stp>
        <stp>1</stp>
        <tr r="I1310" s="1"/>
      </tp>
      <tp>
        <v>33.237860671900002</v>
        <stp/>
        <stp>EM_S_FA_GROSSPROFITMARGIN</stp>
        <stp>3</stp>
        <stp>300017</stp>
        <stp>12/31/2018</stp>
        <stp>1</stp>
        <tr r="I1215" s="1"/>
      </tp>
      <tp>
        <v>15.846863275700001</v>
        <stp/>
        <stp>EM_S_FA_GROSSPROFITMARGIN</stp>
        <stp>3</stp>
        <stp>300117</stp>
        <stp>12/31/2018</stp>
        <stp>1</stp>
        <tr r="I2769" s="1"/>
      </tp>
      <tp>
        <v>49.310170962400001</v>
        <stp/>
        <stp>EM_S_FA_GROSSPROFITMARGIN</stp>
        <stp>3</stp>
        <stp>002827</stp>
        <stp>12/31/2018</stp>
        <stp>1</stp>
        <tr r="I3229" s="1"/>
      </tp>
      <tp>
        <v>54.060885481</v>
        <stp/>
        <stp>EM_S_FA_GROSSPROFITMARGIN</stp>
        <stp>3</stp>
        <stp>002927</stp>
        <stp>12/31/2018</stp>
        <stp>1</stp>
        <tr r="I3378" s="1"/>
      </tp>
      <tp>
        <v>13.221468184200001</v>
        <stp/>
        <stp>EM_S_FA_GROSSPROFITMARGIN</stp>
        <stp>3</stp>
        <stp>002627</stp>
        <stp>12/31/2018</stp>
        <stp>1</stp>
        <tr r="I389" s="1"/>
      </tp>
      <tp>
        <v>40.531098339300001</v>
        <stp/>
        <stp>EM_S_FA_GROSSPROFITMARGIN</stp>
        <stp>3</stp>
        <stp>002727</stp>
        <stp>12/31/2018</stp>
        <stp>1</stp>
        <tr r="I946" s="1"/>
      </tp>
      <tp>
        <v>21.5337418497</v>
        <stp/>
        <stp>EM_S_FA_GROSSPROFITMARGIN</stp>
        <stp>3</stp>
        <stp>002427</stp>
        <stp>12/31/2018</stp>
        <stp>1</stp>
        <tr r="I3260" s="1"/>
      </tp>
      <tp>
        <v>20.075508608300002</v>
        <stp/>
        <stp>EM_S_FA_GROSSPROFITMARGIN</stp>
        <stp>3</stp>
        <stp>002527</stp>
        <stp>12/31/2018</stp>
        <stp>1</stp>
        <tr r="I2484" s="1"/>
      </tp>
      <tp>
        <v>31.785477040499998</v>
        <stp/>
        <stp>EM_S_FA_GROSSPROFITMARGIN</stp>
        <stp>3</stp>
        <stp>002227</stp>
        <stp>12/31/2018</stp>
        <stp>1</stp>
        <tr r="I1779" s="1"/>
      </tp>
      <tp>
        <v>49.818623675700003</v>
        <stp/>
        <stp>EM_S_FA_GROSSPROFITMARGIN</stp>
        <stp>3</stp>
        <stp>002327</stp>
        <stp>12/31/2018</stp>
        <stp>1</stp>
        <tr r="I2672" s="1"/>
      </tp>
      <tp>
        <v>66.212660976899997</v>
        <stp/>
        <stp>EM_S_FA_GROSSPROFITMARGIN</stp>
        <stp>3</stp>
        <stp>002027</stp>
        <stp>12/31/2018</stp>
        <stp>1</stp>
        <tr r="I1266" s="1"/>
      </tp>
      <tp>
        <v>34.469619790300001</v>
        <stp/>
        <stp>EM_S_FA_GROSSPROFITMARGIN</stp>
        <stp>3</stp>
        <stp>002127</stp>
        <stp>12/31/2018</stp>
        <stp>1</stp>
        <tr r="I645" s="1"/>
      </tp>
      <tp>
        <v>57.276827953599998</v>
        <stp/>
        <stp>EM_S_FA_GROSSPROFITMARGIN</stp>
        <stp>3</stp>
        <stp>000820</stp>
        <stp>12/31/2018</stp>
        <stp>1</stp>
        <tr r="I3549" s="1"/>
      </tp>
      <tp>
        <v>0</v>
        <stp/>
        <stp>EM_S_FA_GROSSPROFITMARGIN</stp>
        <stp>3</stp>
        <stp>600840</stp>
        <stp>12/31/2018</stp>
        <stp>1</stp>
        <tr r="I2329" s="1"/>
      </tp>
      <tp>
        <v>40.143359869900003</v>
        <stp/>
        <stp>EM_S_FA_GROSSPROFITMARGIN</stp>
        <stp>3</stp>
        <stp>000920</stp>
        <stp>12/31/2018</stp>
        <stp>1</stp>
        <tr r="I969" s="1"/>
      </tp>
      <tp>
        <v>33.499473693500001</v>
        <stp/>
        <stp>EM_S_FA_GROSSPROFITMARGIN</stp>
        <stp>3</stp>
        <stp>000620</stp>
        <stp>12/31/2018</stp>
        <stp>1</stp>
        <tr r="I2102" s="1"/>
      </tp>
      <tp>
        <v>22.2923182111</v>
        <stp/>
        <stp>EM_S_FA_GROSSPROFITMARGIN</stp>
        <stp>3</stp>
        <stp>300610</stp>
        <stp>12/31/2018</stp>
        <stp>1</stp>
        <tr r="I2478" s="1"/>
      </tp>
      <tp>
        <v>22.933639060400001</v>
        <stp/>
        <stp>EM_S_FA_GROSSPROFITMARGIN</stp>
        <stp>3</stp>
        <stp>600640</stp>
        <stp>12/31/2018</stp>
        <stp>1</stp>
        <tr r="I66" s="1"/>
      </tp>
      <tp>
        <v>34.667063595099997</v>
        <stp/>
        <stp>EM_S_FA_GROSSPROFITMARGIN</stp>
        <stp>3</stp>
        <stp>000720</stp>
        <stp>12/31/2018</stp>
        <stp>1</stp>
        <tr r="I432" s="1"/>
      </tp>
      <tp>
        <v>26.629431991899999</v>
        <stp/>
        <stp>EM_S_FA_GROSSPROFITMARGIN</stp>
        <stp>3</stp>
        <stp>300710</stp>
        <stp>12/31/2018</stp>
        <stp>1</stp>
        <tr r="I1068" s="1"/>
      </tp>
      <tp>
        <v>11.3712533713</v>
        <stp/>
        <stp>EM_S_FA_GROSSPROFITMARGIN</stp>
        <stp>3</stp>
        <stp>600740</stp>
        <stp>12/31/2018</stp>
        <stp>1</stp>
        <tr r="I2680" s="1"/>
      </tp>
      <tp>
        <v>17.719898421500002</v>
        <stp/>
        <stp>EM_S_FA_GROSSPROFITMARGIN</stp>
        <stp>3</stp>
        <stp>000420</stp>
        <stp>12/31/2018</stp>
        <stp>1</stp>
        <tr r="I1603" s="1"/>
      </tp>
      <tp>
        <v>38.622968358900003</v>
        <stp/>
        <stp>EM_S_FA_GROSSPROFITMARGIN</stp>
        <stp>3</stp>
        <stp>300410</stp>
        <stp>12/31/2018</stp>
        <stp>1</stp>
        <tr r="I3396" s="1"/>
      </tp>
      <tp>
        <v>19.267425820700002</v>
        <stp/>
        <stp>EM_S_FA_GROSSPROFITMARGIN</stp>
        <stp>3</stp>
        <stp>000520</stp>
        <stp>12/31/2018</stp>
        <stp>1</stp>
        <tr r="I641" s="1"/>
      </tp>
      <tp>
        <v>36.023379492099998</v>
        <stp/>
        <stp>EM_S_FA_GROSSPROFITMARGIN</stp>
        <stp>3</stp>
        <stp>300510</stp>
        <stp>12/31/2018</stp>
        <stp>1</stp>
        <tr r="I3188" s="1"/>
      </tp>
      <tp>
        <v>6.9570605532999998</v>
        <stp/>
        <stp>EM_S_FA_GROSSPROFITMARGIN</stp>
        <stp>3</stp>
        <stp>600540</stp>
        <stp>12/31/2018</stp>
        <stp>1</stp>
        <tr r="I1667" s="1"/>
      </tp>
      <tp>
        <v>35.550248378600003</v>
        <stp/>
        <stp>EM_S_FA_GROSSPROFITMARGIN</stp>
        <stp>3</stp>
        <stp>300210</stp>
        <stp>12/31/2018</stp>
        <stp>1</stp>
        <tr r="I3058" s="1"/>
      </tp>
      <tp>
        <v>58.349317852600002</v>
        <stp/>
        <stp>EM_S_FA_GROSSPROFITMARGIN</stp>
        <stp>3</stp>
        <stp>600240</stp>
        <stp>12/31/2018</stp>
        <stp>1</stp>
        <tr r="I3408" s="1"/>
      </tp>
      <tp>
        <v>12.140380710300001</v>
        <stp/>
        <stp>EM_S_FA_GROSSPROFITMARGIN</stp>
        <stp>3</stp>
        <stp>300310</stp>
        <stp>12/31/2018</stp>
        <stp>1</stp>
        <tr r="I2231" s="1"/>
      </tp>
      <tp>
        <v>41.623311638099999</v>
        <stp/>
        <stp>EM_S_FA_GROSSPROFITMARGIN</stp>
        <stp>3</stp>
        <stp>600340</stp>
        <stp>12/31/2018</stp>
        <stp>1</stp>
        <tr r="I1641" s="1"/>
      </tp>
      <tp>
        <v>11.0439673832</v>
        <stp/>
        <stp>EM_S_FA_GROSSPROFITMARGIN</stp>
        <stp>3</stp>
        <stp>000020</stp>
        <stp>12/31/2018</stp>
        <stp>1</stp>
        <tr r="I2164" s="1"/>
      </tp>
      <tp>
        <v>39.064146739199998</v>
        <stp/>
        <stp>EM_S_FA_GROSSPROFITMARGIN</stp>
        <stp>3</stp>
        <stp>300010</stp>
        <stp>12/31/2018</stp>
        <stp>1</stp>
        <tr r="I280" s="1"/>
      </tp>
      <tp>
        <v>57.618428828900001</v>
        <stp/>
        <stp>EM_S_FA_GROSSPROFITMARGIN</stp>
        <stp>3</stp>
        <stp>300110</stp>
        <stp>12/31/2018</stp>
        <stp>1</stp>
        <tr r="I956" s="1"/>
      </tp>
      <tp>
        <v>63.991669304399998</v>
        <stp/>
        <stp>EM_S_FA_GROSSPROFITMARGIN</stp>
        <stp>3</stp>
        <stp>603040</stp>
        <stp>12/31/2018</stp>
        <stp>1</stp>
        <tr r="I891" s="1"/>
      </tp>
      <tp>
        <v>48.4170169665</v>
        <stp/>
        <stp>EM_S_FA_GROSSPROFITMARGIN</stp>
        <stp>3</stp>
        <stp>002820</stp>
        <stp>12/31/2018</stp>
        <stp>1</stp>
        <tr r="I2429" s="1"/>
      </tp>
      <tp>
        <v>23.991651408700001</v>
        <stp/>
        <stp>EM_S_FA_GROSSPROFITMARGIN</stp>
        <stp>3</stp>
        <stp>002920</stp>
        <stp>12/31/2018</stp>
        <stp>1</stp>
        <tr r="I269" s="1"/>
      </tp>
      <tp>
        <v>15.590298149600001</v>
        <stp/>
        <stp>EM_S_FA_GROSSPROFITMARGIN</stp>
        <stp>3</stp>
        <stp>002620</stp>
        <stp>12/31/2018</stp>
        <stp>1</stp>
        <tr r="I2023" s="1"/>
      </tp>
      <tp>
        <v>0</v>
        <stp/>
        <stp>EM_S_FA_GROSSPROFITMARGIN</stp>
        <stp>3</stp>
        <stp>002720</stp>
        <stp>12/31/2018</stp>
        <stp>1</stp>
        <tr r="I8" s="1"/>
      </tp>
      <tp>
        <v>5.0199376426000004</v>
        <stp/>
        <stp>EM_S_FA_GROSSPROFITMARGIN</stp>
        <stp>3</stp>
        <stp>002420</stp>
        <stp>12/31/2018</stp>
        <stp>1</stp>
        <tr r="I1302" s="1"/>
      </tp>
      <tp>
        <v>36.970109922699997</v>
        <stp/>
        <stp>EM_S_FA_GROSSPROFITMARGIN</stp>
        <stp>3</stp>
        <stp>002520</stp>
        <stp>12/31/2018</stp>
        <stp>1</stp>
        <tr r="I2660" s="1"/>
      </tp>
      <tp>
        <v>15.764666006000001</v>
        <stp/>
        <stp>EM_S_FA_GROSSPROFITMARGIN</stp>
        <stp>3</stp>
        <stp>002220</stp>
        <stp>12/31/2018</stp>
        <stp>1</stp>
        <tr r="I3336" s="1"/>
      </tp>
      <tp>
        <v>39.002874754499999</v>
        <stp/>
        <stp>EM_S_FA_GROSSPROFITMARGIN</stp>
        <stp>3</stp>
        <stp>002320</stp>
        <stp>12/31/2018</stp>
        <stp>1</stp>
        <tr r="I2750" s="1"/>
      </tp>
      <tp>
        <v>64.852231730900002</v>
        <stp/>
        <stp>EM_S_FA_GROSSPROFITMARGIN</stp>
        <stp>3</stp>
        <stp>002020</stp>
        <stp>12/31/2018</stp>
        <stp>1</stp>
        <tr r="I1187" s="1"/>
      </tp>
      <tp>
        <v>28.017880608700001</v>
        <stp/>
        <stp>EM_S_FA_GROSSPROFITMARGIN</stp>
        <stp>3</stp>
        <stp>002120</stp>
        <stp>12/31/2018</stp>
        <stp>1</stp>
        <tr r="I1786" s="1"/>
      </tp>
      <tp>
        <v>22.901488964799999</v>
        <stp/>
        <stp>EM_S_FA_GROSSPROFITMARGIN</stp>
        <stp>3</stp>
        <stp>000821</stp>
        <stp>12/31/2018</stp>
        <stp>1</stp>
        <tr r="I2937" s="1"/>
      </tp>
      <tp>
        <v>15.522708167099999</v>
        <stp/>
        <stp>EM_S_FA_GROSSPROFITMARGIN</stp>
        <stp>3</stp>
        <stp>600841</stp>
        <stp>12/31/2018</stp>
        <stp>1</stp>
        <tr r="I1932" s="1"/>
      </tp>
      <tp>
        <v>19.012076389200001</v>
        <stp/>
        <stp>EM_S_FA_GROSSPROFITMARGIN</stp>
        <stp>3</stp>
        <stp>000921</stp>
        <stp>12/31/2018</stp>
        <stp>1</stp>
        <tr r="I344" s="1"/>
      </tp>
      <tp>
        <v>0</v>
        <stp/>
        <stp>EM_S_FA_GROSSPROFITMARGIN</stp>
        <stp>3</stp>
        <stp>000621</stp>
        <stp>12/31/2018</stp>
        <stp>1</stp>
        <tr r="I3486" s="1"/>
      </tp>
      <tp>
        <v>26.1575730261</v>
        <stp/>
        <stp>EM_S_FA_GROSSPROFITMARGIN</stp>
        <stp>3</stp>
        <stp>300611</stp>
        <stp>12/31/2018</stp>
        <stp>1</stp>
        <tr r="I1560" s="1"/>
      </tp>
      <tp>
        <v>55.034875020000001</v>
        <stp/>
        <stp>EM_S_FA_GROSSPROFITMARGIN</stp>
        <stp>3</stp>
        <stp>600641</stp>
        <stp>12/31/2018</stp>
        <stp>1</stp>
        <tr r="I147" s="1"/>
      </tp>
      <tp>
        <v>33.794318578499997</v>
        <stp/>
        <stp>EM_S_FA_GROSSPROFITMARGIN</stp>
        <stp>3</stp>
        <stp>000721</stp>
        <stp>12/31/2018</stp>
        <stp>1</stp>
        <tr r="I2092" s="1"/>
      </tp>
      <tp>
        <v>48.193310941699998</v>
        <stp/>
        <stp>EM_S_FA_GROSSPROFITMARGIN</stp>
        <stp>3</stp>
        <stp>300711</stp>
        <stp>12/31/2018</stp>
        <stp>1</stp>
        <tr r="I3178" s="1"/>
      </tp>
      <tp>
        <v>13.7980369853</v>
        <stp/>
        <stp>EM_S_FA_GROSSPROFITMARGIN</stp>
        <stp>3</stp>
        <stp>600741</stp>
        <stp>12/31/2018</stp>
        <stp>1</stp>
        <tr r="I766" s="1"/>
      </tp>
      <tp>
        <v>23.237901085200001</v>
        <stp/>
        <stp>EM_S_FA_GROSSPROFITMARGIN</stp>
        <stp>3</stp>
        <stp>000421</stp>
        <stp>12/31/2018</stp>
        <stp>1</stp>
        <tr r="I3423" s="1"/>
      </tp>
      <tp>
        <v>42.960723048299997</v>
        <stp/>
        <stp>EM_S_FA_GROSSPROFITMARGIN</stp>
        <stp>3</stp>
        <stp>300411</stp>
        <stp>12/31/2018</stp>
        <stp>1</stp>
        <tr r="I2490" s="1"/>
      </tp>
      <tp>
        <v>18.660607678000002</v>
        <stp/>
        <stp>EM_S_FA_GROSSPROFITMARGIN</stp>
        <stp>3</stp>
        <stp>000521</stp>
        <stp>12/31/2018</stp>
        <stp>1</stp>
        <tr r="I1492" s="1"/>
      </tp>
      <tp>
        <v>14.269498841900001</v>
        <stp/>
        <stp>EM_S_FA_GROSSPROFITMARGIN</stp>
        <stp>3</stp>
        <stp>300511</stp>
        <stp>12/31/2018</stp>
        <stp>1</stp>
        <tr r="I1595" s="1"/>
      </tp>
      <tp>
        <v>21.2143101128</v>
        <stp/>
        <stp>EM_S_FA_GROSSPROFITMARGIN</stp>
        <stp>3</stp>
        <stp>300211</stp>
        <stp>12/31/2018</stp>
        <stp>1</stp>
        <tr r="I339" s="1"/>
      </tp>
      <tp>
        <v>17.5057604673</v>
        <stp/>
        <stp>EM_S_FA_GROSSPROFITMARGIN</stp>
        <stp>3</stp>
        <stp>600241</stp>
        <stp>12/31/2018</stp>
        <stp>1</stp>
        <tr r="I2745" s="1"/>
      </tp>
      <tp>
        <v>51.154558256199998</v>
        <stp/>
        <stp>EM_S_FA_GROSSPROFITMARGIN</stp>
        <stp>3</stp>
        <stp>300311</stp>
        <stp>12/31/2018</stp>
        <stp>1</stp>
        <tr r="I362" s="1"/>
      </tp>
      <tp>
        <v>4.7006354738000002</v>
        <stp/>
        <stp>EM_S_FA_GROSSPROFITMARGIN</stp>
        <stp>3</stp>
        <stp>000021</stp>
        <stp>12/31/2018</stp>
        <stp>1</stp>
        <tr r="I134" s="1"/>
      </tp>
      <tp>
        <v>31.449356183999999</v>
        <stp/>
        <stp>EM_S_FA_GROSSPROFITMARGIN</stp>
        <stp>3</stp>
        <stp>300011</stp>
        <stp>12/31/2018</stp>
        <stp>1</stp>
        <tr r="I2446" s="1"/>
      </tp>
      <tp>
        <v>-1.6260977302999999</v>
        <stp/>
        <stp>EM_S_FA_GROSSPROFITMARGIN</stp>
        <stp>3</stp>
        <stp>300111</stp>
        <stp>12/31/2018</stp>
        <stp>1</stp>
        <tr r="I1403" s="1"/>
      </tp>
      <tp>
        <v>17.913850836999998</v>
        <stp/>
        <stp>EM_S_FA_GROSSPROFITMARGIN</stp>
        <stp>3</stp>
        <stp>600141</stp>
        <stp>12/31/2018</stp>
        <stp>1</stp>
        <tr r="I2269" s="1"/>
      </tp>
      <tp>
        <v>26.2676010508</v>
        <stp/>
        <stp>EM_S_FA_GROSSPROFITMARGIN</stp>
        <stp>3</stp>
        <stp>603041</stp>
        <stp>12/31/2018</stp>
        <stp>1</stp>
        <tr r="I1218" s="1"/>
      </tp>
      <tp>
        <v>46.499205802799999</v>
        <stp/>
        <stp>EM_S_FA_GROSSPROFITMARGIN</stp>
        <stp>3</stp>
        <stp>002821</stp>
        <stp>12/31/2018</stp>
        <stp>1</stp>
        <tr r="I209" s="1"/>
      </tp>
      <tp>
        <v>24.0574517198</v>
        <stp/>
        <stp>EM_S_FA_GROSSPROFITMARGIN</stp>
        <stp>3</stp>
        <stp>002921</stp>
        <stp>12/31/2018</stp>
        <stp>1</stp>
        <tr r="I3207" s="1"/>
      </tp>
      <tp>
        <v>52.583984321800003</v>
        <stp/>
        <stp>EM_S_FA_GROSSPROFITMARGIN</stp>
        <stp>3</stp>
        <stp>002621</stp>
        <stp>12/31/2018</stp>
        <stp>1</stp>
        <tr r="I3271" s="1"/>
      </tp>
      <tp>
        <v>7.3719104047000004</v>
        <stp/>
        <stp>EM_S_FA_GROSSPROFITMARGIN</stp>
        <stp>3</stp>
        <stp>002721</stp>
        <stp>12/31/2018</stp>
        <stp>1</stp>
        <tr r="I2808" s="1"/>
      </tp>
      <tp>
        <v>31.961163609300002</v>
        <stp/>
        <stp>EM_S_FA_GROSSPROFITMARGIN</stp>
        <stp>3</stp>
        <stp>002421</stp>
        <stp>12/31/2018</stp>
        <stp>1</stp>
        <tr r="I2669" s="1"/>
      </tp>
      <tp>
        <v>11.2925163766</v>
        <stp/>
        <stp>EM_S_FA_GROSSPROFITMARGIN</stp>
        <stp>3</stp>
        <stp>002521</stp>
        <stp>12/31/2018</stp>
        <stp>1</stp>
        <tr r="I1904" s="1"/>
      </tp>
      <tp>
        <v>4.9645554920999997</v>
        <stp/>
        <stp>EM_S_FA_GROSSPROFITMARGIN</stp>
        <stp>3</stp>
        <stp>002221</stp>
        <stp>12/31/2018</stp>
        <stp>1</stp>
        <tr r="I2543" s="1"/>
      </tp>
      <tp>
        <v>11.075175416800001</v>
        <stp/>
        <stp>EM_S_FA_GROSSPROFITMARGIN</stp>
        <stp>3</stp>
        <stp>002321</stp>
        <stp>12/31/2018</stp>
        <stp>1</stp>
        <tr r="I1897" s="1"/>
      </tp>
      <tp>
        <v>18.768988647299999</v>
        <stp/>
        <stp>EM_S_FA_GROSSPROFITMARGIN</stp>
        <stp>3</stp>
        <stp>002021</stp>
        <stp>12/31/2018</stp>
        <stp>1</stp>
        <tr r="I3609" s="1"/>
      </tp>
      <tp>
        <v>26.436436869800001</v>
        <stp/>
        <stp>EM_S_FA_GROSSPROFITMARGIN</stp>
        <stp>3</stp>
        <stp>002121</stp>
        <stp>12/31/2018</stp>
        <stp>1</stp>
        <tr r="I3639" s="1"/>
      </tp>
      <tp>
        <v>18.6834375193</v>
        <stp/>
        <stp>EM_S_FA_GROSSPROFITMARGIN</stp>
        <stp>3</stp>
        <stp>000822</stp>
        <stp>12/31/2018</stp>
        <stp>1</stp>
        <tr r="I2171" s="1"/>
      </tp>
      <tp>
        <v>0</v>
        <stp/>
        <stp>EM_S_FA_GROSSPROFITMARGIN</stp>
        <stp>3</stp>
        <stp>600842</stp>
        <stp>12/31/2018</stp>
        <stp>1</stp>
        <tr r="I2330" s="1"/>
      </tp>
      <tp>
        <v>38.034159929099999</v>
        <stp/>
        <stp>EM_S_FA_GROSSPROFITMARGIN</stp>
        <stp>3</stp>
        <stp>000922</stp>
        <stp>12/31/2018</stp>
        <stp>1</stp>
        <tr r="I1487" s="1"/>
      </tp>
      <tp>
        <v>9.5731170254000002</v>
        <stp/>
        <stp>EM_S_FA_GROSSPROFITMARGIN</stp>
        <stp>3</stp>
        <stp>000622</stp>
        <stp>12/31/2018</stp>
        <stp>1</stp>
        <tr r="I3279" s="1"/>
      </tp>
      <tp>
        <v>40.106081815400003</v>
        <stp/>
        <stp>EM_S_FA_GROSSPROFITMARGIN</stp>
        <stp>3</stp>
        <stp>300612</stp>
        <stp>12/31/2018</stp>
        <stp>1</stp>
        <tr r="I1593" s="1"/>
      </tp>
      <tp>
        <v>7.7232999147000001</v>
        <stp/>
        <stp>EM_S_FA_GROSSPROFITMARGIN</stp>
        <stp>3</stp>
        <stp>600642</stp>
        <stp>12/31/2018</stp>
        <stp>1</stp>
        <tr r="I1343" s="1"/>
      </tp>
      <tp>
        <v>43.465867241399998</v>
        <stp/>
        <stp>EM_S_FA_GROSSPROFITMARGIN</stp>
        <stp>3</stp>
        <stp>000722</stp>
        <stp>12/31/2018</stp>
        <stp>1</stp>
        <tr r="I1665" s="1"/>
      </tp>
      <tp>
        <v>28.511480171599999</v>
        <stp/>
        <stp>EM_S_FA_GROSSPROFITMARGIN</stp>
        <stp>3</stp>
        <stp>300712</stp>
        <stp>12/31/2018</stp>
        <stp>1</stp>
        <tr r="I3068" s="1"/>
      </tp>
      <tp>
        <v>7.289728459</v>
        <stp/>
        <stp>EM_S_FA_GROSSPROFITMARGIN</stp>
        <stp>3</stp>
        <stp>600742</stp>
        <stp>12/31/2018</stp>
        <stp>1</stp>
        <tr r="I1197" s="1"/>
      </tp>
      <tp>
        <v>18.395339949499999</v>
        <stp/>
        <stp>EM_S_FA_GROSSPROFITMARGIN</stp>
        <stp>3</stp>
        <stp>000422</stp>
        <stp>12/31/2018</stp>
        <stp>1</stp>
        <tr r="I2350" s="1"/>
      </tp>
      <tp>
        <v>37.731266667600003</v>
        <stp/>
        <stp>EM_S_FA_GROSSPROFITMARGIN</stp>
        <stp>3</stp>
        <stp>300412</stp>
        <stp>12/31/2018</stp>
        <stp>1</stp>
        <tr r="I2243" s="1"/>
      </tp>
      <tp>
        <v>0</v>
        <stp/>
        <stp>EM_S_FA_GROSSPROFITMARGIN</stp>
        <stp>3</stp>
        <stp>000522</stp>
        <stp>12/31/2018</stp>
        <stp>1</stp>
        <tr r="I3442" s="1"/>
      </tp>
      <tp>
        <v>44.616749217200002</v>
        <stp/>
        <stp>EM_S_FA_GROSSPROFITMARGIN</stp>
        <stp>3</stp>
        <stp>300512</stp>
        <stp>12/31/2018</stp>
        <stp>1</stp>
        <tr r="I2554" s="1"/>
      </tp>
      <tp>
        <v>38.800197893000004</v>
        <stp/>
        <stp>EM_S_FA_GROSSPROFITMARGIN</stp>
        <stp>3</stp>
        <stp>300212</stp>
        <stp>12/31/2018</stp>
        <stp>1</stp>
        <tr r="I426" s="1"/>
      </tp>
      <tp>
        <v>11.814143724599999</v>
        <stp/>
        <stp>EM_S_FA_GROSSPROFITMARGIN</stp>
        <stp>3</stp>
        <stp>600242</stp>
        <stp>12/31/2018</stp>
        <stp>1</stp>
        <tr r="I3360" s="1"/>
      </tp>
      <tp>
        <v>35.395737621499997</v>
        <stp/>
        <stp>EM_S_FA_GROSSPROFITMARGIN</stp>
        <stp>3</stp>
        <stp>300312</stp>
        <stp>12/31/2018</stp>
        <stp>1</stp>
        <tr r="I3298" s="1"/>
      </tp>
      <tp>
        <v>40.853261986100001</v>
        <stp/>
        <stp>EM_S_FA_GROSSPROFITMARGIN</stp>
        <stp>3</stp>
        <stp>000022</stp>
        <stp>12/31/2018</stp>
        <stp>1</stp>
        <tr r="I3" s="1"/>
      </tp>
      <tp>
        <v>44.7989263471</v>
        <stp/>
        <stp>EM_S_FA_GROSSPROFITMARGIN</stp>
        <stp>3</stp>
        <stp>300012</stp>
        <stp>12/31/2018</stp>
        <stp>1</stp>
        <tr r="I112" s="1"/>
      </tp>
      <tp>
        <v>54.208392122500001</v>
        <stp/>
        <stp>EM_S_FA_GROSSPROFITMARGIN</stp>
        <stp>3</stp>
        <stp>300112</stp>
        <stp>12/31/2018</stp>
        <stp>1</stp>
        <tr r="I580" s="1"/>
      </tp>
      <tp>
        <v>23.866079016800001</v>
        <stp/>
        <stp>EM_S_FA_GROSSPROFITMARGIN</stp>
        <stp>3</stp>
        <stp>603042</stp>
        <stp>12/31/2018</stp>
        <stp>1</stp>
        <tr r="I2387" s="1"/>
      </tp>
      <tp>
        <v>14.5778461182</v>
        <stp/>
        <stp>EM_S_FA_GROSSPROFITMARGIN</stp>
        <stp>3</stp>
        <stp>002822</stp>
        <stp>12/31/2018</stp>
        <stp>1</stp>
        <tr r="I219" s="1"/>
      </tp>
      <tp>
        <v>22.760145733600002</v>
        <stp/>
        <stp>EM_S_FA_GROSSPROFITMARGIN</stp>
        <stp>3</stp>
        <stp>002922</stp>
        <stp>12/31/2018</stp>
        <stp>1</stp>
        <tr r="I2884" s="1"/>
      </tp>
      <tp>
        <v>43.6492197938</v>
        <stp/>
        <stp>EM_S_FA_GROSSPROFITMARGIN</stp>
        <stp>3</stp>
        <stp>002622</stp>
        <stp>12/31/2018</stp>
        <stp>1</stp>
        <tr r="I1510" s="1"/>
      </tp>
      <tp>
        <v>18.333344592500001</v>
        <stp/>
        <stp>EM_S_FA_GROSSPROFITMARGIN</stp>
        <stp>3</stp>
        <stp>002722</stp>
        <stp>12/31/2018</stp>
        <stp>1</stp>
        <tr r="I1754" s="1"/>
      </tp>
      <tp>
        <v>59.563131171800002</v>
        <stp/>
        <stp>EM_S_FA_GROSSPROFITMARGIN</stp>
        <stp>3</stp>
        <stp>002422</stp>
        <stp>12/31/2018</stp>
        <stp>1</stp>
        <tr r="I1614" s="1"/>
      </tp>
      <tp>
        <v>17.616829944799999</v>
        <stp/>
        <stp>EM_S_FA_GROSSPROFITMARGIN</stp>
        <stp>3</stp>
        <stp>002522</stp>
        <stp>12/31/2018</stp>
        <stp>1</stp>
        <tr r="I1044" s="1"/>
      </tp>
      <tp>
        <v>60.326569353700002</v>
        <stp/>
        <stp>EM_S_FA_GROSSPROFITMARGIN</stp>
        <stp>3</stp>
        <stp>002222</stp>
        <stp>12/31/2018</stp>
        <stp>1</stp>
        <tr r="I1041" s="1"/>
      </tp>
      <tp>
        <v>57.949118563900001</v>
        <stp/>
        <stp>EM_S_FA_GROSSPROFITMARGIN</stp>
        <stp>3</stp>
        <stp>002322</stp>
        <stp>12/31/2018</stp>
        <stp>1</stp>
        <tr r="I932" s="1"/>
      </tp>
      <tp>
        <v>40.8597863002</v>
        <stp/>
        <stp>EM_S_FA_GROSSPROFITMARGIN</stp>
        <stp>3</stp>
        <stp>002022</stp>
        <stp>12/31/2018</stp>
        <stp>1</stp>
        <tr r="I1340" s="1"/>
      </tp>
      <tp>
        <v>11.333491766</v>
        <stp/>
        <stp>EM_S_FA_GROSSPROFITMARGIN</stp>
        <stp>3</stp>
        <stp>002122</stp>
        <stp>12/31/2018</stp>
        <stp>1</stp>
        <tr r="I3640" s="1"/>
      </tp>
      <tp>
        <v>20.020079695900002</v>
        <stp/>
        <stp>EM_S_FA_GROSSPROFITMARGIN</stp>
        <stp>3</stp>
        <stp>000823</stp>
        <stp>12/31/2018</stp>
        <stp>1</stp>
        <tr r="I267" s="1"/>
      </tp>
      <tp>
        <v>27.444692915000001</v>
        <stp/>
        <stp>EM_S_FA_GROSSPROFITMARGIN</stp>
        <stp>3</stp>
        <stp>600843</stp>
        <stp>12/31/2018</stp>
        <stp>1</stp>
        <tr r="I1525" s="1"/>
      </tp>
      <tp>
        <v>56.366488505500001</v>
        <stp/>
        <stp>EM_S_FA_GROSSPROFITMARGIN</stp>
        <stp>3</stp>
        <stp>000923</stp>
        <stp>12/31/2018</stp>
        <stp>1</stp>
        <tr r="I3577" s="1"/>
      </tp>
      <tp>
        <v>72.001277145900005</v>
        <stp/>
        <stp>EM_S_FA_GROSSPROFITMARGIN</stp>
        <stp>3</stp>
        <stp>000623</stp>
        <stp>12/31/2018</stp>
        <stp>1</stp>
        <tr r="I1489" s="1"/>
      </tp>
      <tp>
        <v>41.944412994499999</v>
        <stp/>
        <stp>EM_S_FA_GROSSPROFITMARGIN</stp>
        <stp>3</stp>
        <stp>300613</stp>
        <stp>12/31/2018</stp>
        <stp>1</stp>
        <tr r="I258" s="1"/>
      </tp>
      <tp>
        <v>41.978721439600001</v>
        <stp/>
        <stp>EM_S_FA_GROSSPROFITMARGIN</stp>
        <stp>3</stp>
        <stp>600643</stp>
        <stp>12/31/2018</stp>
        <stp>1</stp>
        <tr r="I1527" s="1"/>
      </tp>
      <tp>
        <v>29.967645085000001</v>
        <stp/>
        <stp>EM_S_FA_GROSSPROFITMARGIN</stp>
        <stp>3</stp>
        <stp>000723</stp>
        <stp>12/31/2018</stp>
        <stp>1</stp>
        <tr r="I44" s="1"/>
      </tp>
      <tp>
        <v>37.501500746300003</v>
        <stp/>
        <stp>EM_S_FA_GROSSPROFITMARGIN</stp>
        <stp>3</stp>
        <stp>300713</stp>
        <stp>12/31/2018</stp>
        <stp>1</stp>
        <tr r="I3292" s="1"/>
      </tp>
      <tp>
        <v>28.151610128600002</v>
        <stp/>
        <stp>EM_S_FA_GROSSPROFITMARGIN</stp>
        <stp>3</stp>
        <stp>600743</stp>
        <stp>12/31/2018</stp>
        <stp>1</stp>
        <tr r="I2138" s="1"/>
      </tp>
      <tp>
        <v>65.9902121163</v>
        <stp/>
        <stp>EM_S_FA_GROSSPROFITMARGIN</stp>
        <stp>3</stp>
        <stp>000423</stp>
        <stp>12/31/2018</stp>
        <stp>1</stp>
        <tr r="I3424" s="1"/>
      </tp>
      <tp>
        <v>37.035649104400001</v>
        <stp/>
        <stp>EM_S_FA_GROSSPROFITMARGIN</stp>
        <stp>3</stp>
        <stp>300413</stp>
        <stp>12/31/2018</stp>
        <stp>1</stp>
        <tr r="I2612" s="1"/>
      </tp>
      <tp>
        <v>3.3657666365000001</v>
        <stp/>
        <stp>EM_S_FA_GROSSPROFITMARGIN</stp>
        <stp>3</stp>
        <stp>000523</stp>
        <stp>12/31/2018</stp>
        <stp>1</stp>
        <tr r="I204" s="1"/>
      </tp>
      <tp>
        <v>30.993214817799998</v>
        <stp/>
        <stp>EM_S_FA_GROSSPROFITMARGIN</stp>
        <stp>3</stp>
        <stp>300513</stp>
        <stp>12/31/2018</stp>
        <stp>1</stp>
        <tr r="I3312" s="1"/>
      </tp>
      <tp>
        <v>61.221254523799999</v>
        <stp/>
        <stp>EM_S_FA_GROSSPROFITMARGIN</stp>
        <stp>3</stp>
        <stp>600543</stp>
        <stp>12/31/2018</stp>
        <stp>1</stp>
        <tr r="I2825" s="1"/>
      </tp>
      <tp>
        <v>37.280975587999997</v>
        <stp/>
        <stp>EM_S_FA_GROSSPROFITMARGIN</stp>
        <stp>3</stp>
        <stp>300213</stp>
        <stp>12/31/2018</stp>
        <stp>1</stp>
        <tr r="I1437" s="1"/>
      </tp>
      <tp>
        <v>4.1951033581999999</v>
        <stp/>
        <stp>EM_S_FA_GROSSPROFITMARGIN</stp>
        <stp>3</stp>
        <stp>600243</stp>
        <stp>12/31/2018</stp>
        <stp>1</stp>
        <tr r="I1495" s="1"/>
      </tp>
      <tp>
        <v>25.3286867962</v>
        <stp/>
        <stp>EM_S_FA_GROSSPROFITMARGIN</stp>
        <stp>3</stp>
        <stp>300313</stp>
        <stp>12/31/2018</stp>
        <stp>1</stp>
        <tr r="I2939" s="1"/>
      </tp>
      <tp>
        <v>12.961280671999999</v>
        <stp/>
        <stp>EM_S_FA_GROSSPROFITMARGIN</stp>
        <stp>3</stp>
        <stp>600343</stp>
        <stp>12/31/2018</stp>
        <stp>1</stp>
        <tr r="I1225" s="1"/>
      </tp>
      <tp>
        <v>13.0047475571</v>
        <stp/>
        <stp>EM_S_FA_GROSSPROFITMARGIN</stp>
        <stp>3</stp>
        <stp>000023</stp>
        <stp>12/31/2018</stp>
        <stp>1</stp>
        <tr r="I2109" s="1"/>
      </tp>
      <tp>
        <v>37.404569861500001</v>
        <stp/>
        <stp>EM_S_FA_GROSSPROFITMARGIN</stp>
        <stp>3</stp>
        <stp>300013</stp>
        <stp>12/31/2018</stp>
        <stp>1</stp>
        <tr r="I2628" s="1"/>
      </tp>
      <tp>
        <v>64.172746559299995</v>
        <stp/>
        <stp>EM_S_FA_GROSSPROFITMARGIN</stp>
        <stp>3</stp>
        <stp>300113</stp>
        <stp>12/31/2018</stp>
        <stp>1</stp>
        <tr r="I165" s="1"/>
      </tp>
      <tp>
        <v>13.483990932499999</v>
        <stp/>
        <stp>EM_S_FA_GROSSPROFITMARGIN</stp>
        <stp>3</stp>
        <stp>600143</stp>
        <stp>12/31/2018</stp>
        <stp>1</stp>
        <tr r="I610" s="1"/>
      </tp>
      <tp>
        <v>11.431413596600001</v>
        <stp/>
        <stp>EM_S_FA_GROSSPROFITMARGIN</stp>
        <stp>3</stp>
        <stp>603843</stp>
        <stp>12/31/2018</stp>
        <stp>1</stp>
        <tr r="I3316" s="1"/>
      </tp>
      <tp>
        <v>54.655921644300001</v>
        <stp/>
        <stp>EM_S_FA_GROSSPROFITMARGIN</stp>
        <stp>3</stp>
        <stp>603043</stp>
        <stp>12/31/2018</stp>
        <stp>1</stp>
        <tr r="I1672" s="1"/>
      </tp>
      <tp>
        <v>25.315420033599999</v>
        <stp/>
        <stp>EM_S_FA_GROSSPROFITMARGIN</stp>
        <stp>3</stp>
        <stp>002823</stp>
        <stp>12/31/2018</stp>
        <stp>1</stp>
        <tr r="I2753" s="1"/>
      </tp>
      <tp>
        <v>75.067244919299995</v>
        <stp/>
        <stp>EM_S_FA_GROSSPROFITMARGIN</stp>
        <stp>3</stp>
        <stp>002923</stp>
        <stp>12/31/2018</stp>
        <stp>1</stp>
        <tr r="I3191" s="1"/>
      </tp>
      <tp>
        <v>10.5975692532</v>
        <stp/>
        <stp>EM_S_FA_GROSSPROFITMARGIN</stp>
        <stp>3</stp>
        <stp>002623</stp>
        <stp>12/31/2018</stp>
        <stp>1</stp>
        <tr r="I556" s="1"/>
      </tp>
      <tp>
        <v>5.5140182038000001</v>
        <stp/>
        <stp>EM_S_FA_GROSSPROFITMARGIN</stp>
        <stp>3</stp>
        <stp>002723</stp>
        <stp>12/31/2018</stp>
        <stp>1</stp>
        <tr r="I2029" s="1"/>
      </tp>
      <tp>
        <v>8.7703090706999998</v>
        <stp/>
        <stp>EM_S_FA_GROSSPROFITMARGIN</stp>
        <stp>3</stp>
        <stp>002423</stp>
        <stp>12/31/2018</stp>
        <stp>1</stp>
        <tr r="I1697" s="1"/>
      </tp>
      <tp>
        <v>28.578311043799999</v>
        <stp/>
        <stp>EM_S_FA_GROSSPROFITMARGIN</stp>
        <stp>3</stp>
        <stp>002523</stp>
        <stp>12/31/2018</stp>
        <stp>1</stp>
        <tr r="I2054" s="1"/>
      </tp>
      <tp>
        <v>39.825180909099998</v>
        <stp/>
        <stp>EM_S_FA_GROSSPROFITMARGIN</stp>
        <stp>3</stp>
        <stp>002223</stp>
        <stp>12/31/2018</stp>
        <stp>1</stp>
        <tr r="I2176" s="1"/>
      </tp>
      <tp>
        <v>-34.148689017000002</v>
        <stp/>
        <stp>EM_S_FA_GROSSPROFITMARGIN</stp>
        <stp>3</stp>
        <stp>002323</stp>
        <stp>12/31/2018</stp>
        <stp>1</stp>
        <tr r="I80" s="1"/>
      </tp>
      <tp>
        <v>42.224828455999997</v>
        <stp/>
        <stp>EM_S_FA_GROSSPROFITMARGIN</stp>
        <stp>3</stp>
        <stp>002023</stp>
        <stp>12/31/2018</stp>
        <stp>1</stp>
        <tr r="I1575" s="1"/>
      </tp>
      <tp>
        <v>24.644005818299998</v>
        <stp/>
        <stp>EM_S_FA_GROSSPROFITMARGIN</stp>
        <stp>3</stp>
        <stp>002123</stp>
        <stp>12/31/2018</stp>
        <stp>1</stp>
        <tr r="I78" s="1"/>
      </tp>
      <tp>
        <v>65.240755538900004</v>
        <stp/>
        <stp>EM_S_FA_GROSSPROFITMARGIN</stp>
        <stp>3</stp>
        <stp>000828</stp>
        <stp>12/31/2018</stp>
        <stp>1</stp>
        <tr r="I1711" s="1"/>
      </tp>
      <tp>
        <v>56.588449907899999</v>
        <stp/>
        <stp>EM_S_FA_GROSSPROFITMARGIN</stp>
        <stp>3</stp>
        <stp>600848</stp>
        <stp>12/31/2018</stp>
        <stp>1</stp>
        <tr r="I1417" s="1"/>
      </tp>
      <tp>
        <v>11.635545466</v>
        <stp/>
        <stp>EM_S_FA_GROSSPROFITMARGIN</stp>
        <stp>3</stp>
        <stp>000928</stp>
        <stp>12/31/2018</stp>
        <stp>1</stp>
        <tr r="I1780" s="1"/>
      </tp>
      <tp>
        <v>16.8752936158</v>
        <stp/>
        <stp>EM_S_FA_GROSSPROFITMARGIN</stp>
        <stp>3</stp>
        <stp>000628</stp>
        <stp>12/31/2018</stp>
        <stp>1</stp>
        <tr r="I2503" s="1"/>
      </tp>
      <tp>
        <v>45.299460147600001</v>
        <stp/>
        <stp>EM_S_FA_GROSSPROFITMARGIN</stp>
        <stp>3</stp>
        <stp>300618</stp>
        <stp>12/31/2018</stp>
        <stp>1</stp>
        <tr r="I1876" s="1"/>
      </tp>
      <tp>
        <v>26.313768190800001</v>
        <stp/>
        <stp>EM_S_FA_GROSSPROFITMARGIN</stp>
        <stp>3</stp>
        <stp>600648</stp>
        <stp>12/31/2018</stp>
        <stp>1</stp>
        <tr r="I1052" s="1"/>
      </tp>
      <tp>
        <v>0</v>
        <stp/>
        <stp>EM_S_FA_GROSSPROFITMARGIN</stp>
        <stp>3</stp>
        <stp>000728</stp>
        <stp>12/31/2018</stp>
        <stp>1</stp>
        <tr r="I3521" s="1"/>
      </tp>
      <tp>
        <v>36.157615305999997</v>
        <stp/>
        <stp>EM_S_FA_GROSSPROFITMARGIN</stp>
        <stp>3</stp>
        <stp>300718</stp>
        <stp>12/31/2018</stp>
        <stp>1</stp>
        <tr r="I730" s="1"/>
      </tp>
      <tp>
        <v>30.0321628839</v>
        <stp/>
        <stp>EM_S_FA_GROSSPROFITMARGIN</stp>
        <stp>3</stp>
        <stp>600748</stp>
        <stp>12/31/2018</stp>
        <stp>1</stp>
        <tr r="I1694" s="1"/>
      </tp>
      <tp>
        <v>53.841389549699997</v>
        <stp/>
        <stp>EM_S_FA_GROSSPROFITMARGIN</stp>
        <stp>3</stp>
        <stp>000428</stp>
        <stp>12/31/2018</stp>
        <stp>1</stp>
        <tr r="I3425" s="1"/>
      </tp>
      <tp>
        <v>82.611365762299997</v>
        <stp/>
        <stp>EM_S_FA_GROSSPROFITMARGIN</stp>
        <stp>3</stp>
        <stp>300418</stp>
        <stp>12/31/2018</stp>
        <stp>1</stp>
        <tr r="I889" s="1"/>
      </tp>
      <tp>
        <v>8.6874658579999995</v>
        <stp/>
        <stp>EM_S_FA_GROSSPROFITMARGIN</stp>
        <stp>3</stp>
        <stp>600448</stp>
        <stp>12/31/2018</stp>
        <stp>1</stp>
        <tr r="I1775" s="1"/>
      </tp>
      <tp>
        <v>22.8120591916</v>
        <stp/>
        <stp>EM_S_FA_GROSSPROFITMARGIN</stp>
        <stp>3</stp>
        <stp>000528</stp>
        <stp>12/31/2018</stp>
        <stp>1</stp>
        <tr r="I1542" s="1"/>
      </tp>
      <tp>
        <v>29.131522761700001</v>
        <stp/>
        <stp>EM_S_FA_GROSSPROFITMARGIN</stp>
        <stp>3</stp>
        <stp>300518</stp>
        <stp>12/31/2018</stp>
        <stp>1</stp>
        <tr r="I1346" s="1"/>
      </tp>
      <tp>
        <v>50.780803179199999</v>
        <stp/>
        <stp>EM_S_FA_GROSSPROFITMARGIN</stp>
        <stp>3</stp>
        <stp>600548</stp>
        <stp>12/31/2018</stp>
        <stp>1</stp>
        <tr r="I1053" s="1"/>
      </tp>
      <tp>
        <v>18.027494495700001</v>
        <stp/>
        <stp>EM_S_FA_GROSSPROFITMARGIN</stp>
        <stp>3</stp>
        <stp>300218</stp>
        <stp>12/31/2018</stp>
        <stp>1</stp>
        <tr r="I970" s="1"/>
      </tp>
      <tp>
        <v>9.6718874066999998</v>
        <stp/>
        <stp>EM_S_FA_GROSSPROFITMARGIN</stp>
        <stp>3</stp>
        <stp>600248</stp>
        <stp>12/31/2018</stp>
        <stp>1</stp>
        <tr r="I1689" s="1"/>
      </tp>
      <tp>
        <v>50.2108050633</v>
        <stp/>
        <stp>EM_S_FA_GROSSPROFITMARGIN</stp>
        <stp>3</stp>
        <stp>300318</stp>
        <stp>12/31/2018</stp>
        <stp>1</stp>
        <tr r="I2155" s="1"/>
      </tp>
      <tp>
        <v>18.763717809999999</v>
        <stp/>
        <stp>EM_S_FA_GROSSPROFITMARGIN</stp>
        <stp>3</stp>
        <stp>600348</stp>
        <stp>12/31/2018</stp>
        <stp>1</stp>
        <tr r="I1741" s="1"/>
      </tp>
      <tp>
        <v>11.8228081041</v>
        <stp/>
        <stp>EM_S_FA_GROSSPROFITMARGIN</stp>
        <stp>3</stp>
        <stp>000028</stp>
        <stp>12/31/2018</stp>
        <stp>1</stp>
        <tr r="I1704" s="1"/>
      </tp>
      <tp>
        <v>50.300115271099997</v>
        <stp/>
        <stp>EM_S_FA_GROSSPROFITMARGIN</stp>
        <stp>3</stp>
        <stp>300018</stp>
        <stp>12/31/2018</stp>
        <stp>1</stp>
        <tr r="I1441" s="1"/>
      </tp>
      <tp>
        <v>32.478431051500003</v>
        <stp/>
        <stp>EM_S_FA_GROSSPROFITMARGIN</stp>
        <stp>3</stp>
        <stp>600048</stp>
        <stp>12/31/2018</stp>
        <stp>1</stp>
        <tr r="I771" s="1"/>
      </tp>
      <tp>
        <v>18.109740130500001</v>
        <stp/>
        <stp>EM_S_FA_GROSSPROFITMARGIN</stp>
        <stp>3</stp>
        <stp>300118</stp>
        <stp>12/31/2018</stp>
        <stp>1</stp>
        <tr r="I91" s="1"/>
      </tp>
      <tp>
        <v>28.7878408871</v>
        <stp/>
        <stp>EM_S_FA_GROSSPROFITMARGIN</stp>
        <stp>3</stp>
        <stp>600148</stp>
        <stp>12/31/2018</stp>
        <stp>1</stp>
        <tr r="I2591" s="1"/>
      </tp>
      <tp>
        <v>42.656155852300003</v>
        <stp/>
        <stp>EM_S_FA_GROSSPROFITMARGIN</stp>
        <stp>3</stp>
        <stp>603848</stp>
        <stp>12/31/2018</stp>
        <stp>1</stp>
        <tr r="I2703" s="1"/>
      </tp>
      <tp>
        <v>24.587828564599999</v>
        <stp/>
        <stp>EM_S_FA_GROSSPROFITMARGIN</stp>
        <stp>3</stp>
        <stp>603648</stp>
        <stp>12/31/2018</stp>
        <stp>1</stp>
        <tr r="I2597" s="1"/>
      </tp>
      <tp>
        <v>27.534703071300001</v>
        <stp/>
        <stp>EM_S_FA_GROSSPROFITMARGIN</stp>
        <stp>3</stp>
        <stp>603348</stp>
        <stp>12/31/2018</stp>
        <stp>1</stp>
        <tr r="I2404" s="1"/>
      </tp>
      <tp>
        <v>20.5046166118</v>
        <stp/>
        <stp>EM_S_FA_GROSSPROFITMARGIN</stp>
        <stp>3</stp>
        <stp>002828</stp>
        <stp>12/31/2018</stp>
        <stp>1</stp>
        <tr r="I2577" s="1"/>
      </tp>
      <tp>
        <v>14.1433311097</v>
        <stp/>
        <stp>EM_S_FA_GROSSPROFITMARGIN</stp>
        <stp>3</stp>
        <stp>002928</stp>
        <stp>12/31/2018</stp>
        <stp>1</stp>
        <tr r="I3274" s="1"/>
      </tp>
      <tp>
        <v>1.5215676070999999</v>
        <stp/>
        <stp>EM_S_FA_GROSSPROFITMARGIN</stp>
        <stp>3</stp>
        <stp>002628</stp>
        <stp>12/31/2018</stp>
        <stp>1</stp>
        <tr r="I2357" s="1"/>
      </tp>
      <tp>
        <v>58.886803597700002</v>
        <stp/>
        <stp>EM_S_FA_GROSSPROFITMARGIN</stp>
        <stp>3</stp>
        <stp>002728</stp>
        <stp>12/31/2018</stp>
        <stp>1</stp>
        <tr r="I991" s="1"/>
      </tp>
      <tp>
        <v>20.904579553400001</v>
        <stp/>
        <stp>EM_S_FA_GROSSPROFITMARGIN</stp>
        <stp>3</stp>
        <stp>002428</stp>
        <stp>12/31/2018</stp>
        <stp>1</stp>
        <tr r="I268" s="1"/>
      </tp>
      <tp>
        <v>22.527919985699999</v>
        <stp/>
        <stp>EM_S_FA_GROSSPROFITMARGIN</stp>
        <stp>3</stp>
        <stp>002528</stp>
        <stp>12/31/2018</stp>
        <stp>1</stp>
        <tr r="I665" s="1"/>
      </tp>
      <tp>
        <v>12.541431655</v>
        <stp/>
        <stp>EM_S_FA_GROSSPROFITMARGIN</stp>
        <stp>3</stp>
        <stp>002228</stp>
        <stp>12/31/2018</stp>
        <stp>1</stp>
        <tr r="I2642" s="1"/>
      </tp>
      <tp>
        <v>13.6642174887</v>
        <stp/>
        <stp>EM_S_FA_GROSSPROFITMARGIN</stp>
        <stp>3</stp>
        <stp>002328</stp>
        <stp>12/31/2018</stp>
        <stp>1</stp>
        <tr r="I3199" s="1"/>
      </tp>
      <tp>
        <v>30.593878879999998</v>
        <stp/>
        <stp>EM_S_FA_GROSSPROFITMARGIN</stp>
        <stp>3</stp>
        <stp>002028</stp>
        <stp>12/31/2018</stp>
        <stp>1</stp>
        <tr r="I743" s="1"/>
      </tp>
      <tp>
        <v>44.540127389299997</v>
        <stp/>
        <stp>EM_S_FA_GROSSPROFITMARGIN</stp>
        <stp>3</stp>
        <stp>002128</stp>
        <stp>12/31/2018</stp>
        <stp>1</stp>
        <tr r="I1209" s="1"/>
      </tp>
      <tp>
        <v>33.248523730899997</v>
        <stp/>
        <stp>EM_S_FA_GROSSPROFITMARGIN</stp>
        <stp>3</stp>
        <stp>601949</stp>
        <stp>12/31/2018</stp>
        <stp>1</stp>
        <tr r="I681" s="1"/>
      </tp>
      <tp>
        <v>3.3114646654</v>
        <stp/>
        <stp>EM_S_FA_GROSSPROFITMARGIN</stp>
        <stp>3</stp>
        <stp>000829</stp>
        <stp>12/31/2018</stp>
        <stp>1</stp>
        <tr r="I3551" s="1"/>
      </tp>
      <tp>
        <v>14.182992668500001</v>
        <stp/>
        <stp>EM_S_FA_GROSSPROFITMARGIN</stp>
        <stp>3</stp>
        <stp>600849</stp>
        <stp>12/31/2018</stp>
        <stp>1</stp>
        <tr r="I2335" s="1"/>
      </tp>
      <tp>
        <v>31.0862591689</v>
        <stp/>
        <stp>EM_S_FA_GROSSPROFITMARGIN</stp>
        <stp>3</stp>
        <stp>000929</stp>
        <stp>12/31/2018</stp>
        <stp>1</stp>
        <tr r="I3580" s="1"/>
      </tp>
      <tp>
        <v>27.5152169403</v>
        <stp/>
        <stp>EM_S_FA_GROSSPROFITMARGIN</stp>
        <stp>3</stp>
        <stp>000629</stp>
        <stp>12/31/2018</stp>
        <stp>1</stp>
        <tr r="I2438" s="1"/>
      </tp>
      <tp>
        <v>25.938918169000001</v>
        <stp/>
        <stp>EM_S_FA_GROSSPROFITMARGIN</stp>
        <stp>3</stp>
        <stp>300619</stp>
        <stp>12/31/2018</stp>
        <stp>1</stp>
        <tr r="I2952" s="1"/>
      </tp>
      <tp>
        <v>27.6298674405</v>
        <stp/>
        <stp>EM_S_FA_GROSSPROFITMARGIN</stp>
        <stp>3</stp>
        <stp>600649</stp>
        <stp>12/31/2018</stp>
        <stp>1</stp>
        <tr r="I2008" s="1"/>
      </tp>
      <tp>
        <v>38.529981624000001</v>
        <stp/>
        <stp>EM_S_FA_GROSSPROFITMARGIN</stp>
        <stp>3</stp>
        <stp>000729</stp>
        <stp>12/31/2018</stp>
        <stp>1</stp>
        <tr r="I1469" s="1"/>
      </tp>
      <tp>
        <v>50.221091428400001</v>
        <stp/>
        <stp>EM_S_FA_GROSSPROFITMARGIN</stp>
        <stp>3</stp>
        <stp>300719</stp>
        <stp>12/31/2018</stp>
        <stp>1</stp>
        <tr r="I1490" s="1"/>
      </tp>
      <tp>
        <v>56.192605708499997</v>
        <stp/>
        <stp>EM_S_FA_GROSSPROFITMARGIN</stp>
        <stp>3</stp>
        <stp>600749</stp>
        <stp>12/31/2018</stp>
        <stp>1</stp>
        <tr r="I2258" s="1"/>
      </tp>
      <tp>
        <v>60.260433642899997</v>
        <stp/>
        <stp>EM_S_FA_GROSSPROFITMARGIN</stp>
        <stp>3</stp>
        <stp>000429</stp>
        <stp>12/31/2018</stp>
        <stp>1</stp>
        <tr r="I2465" s="1"/>
      </tp>
      <tp>
        <v>18.4569596923</v>
        <stp/>
        <stp>EM_S_FA_GROSSPROFITMARGIN</stp>
        <stp>3</stp>
        <stp>300419</stp>
        <stp>12/31/2018</stp>
        <stp>1</stp>
        <tr r="I1348" s="1"/>
      </tp>
      <tp>
        <v>36.2411704521</v>
        <stp/>
        <stp>EM_S_FA_GROSSPROFITMARGIN</stp>
        <stp>3</stp>
        <stp>600449</stp>
        <stp>12/31/2018</stp>
        <stp>1</stp>
        <tr r="I621" s="1"/>
      </tp>
      <tp>
        <v>21.638923447500002</v>
        <stp/>
        <stp>EM_S_FA_GROSSPROFITMARGIN</stp>
        <stp>3</stp>
        <stp>000529</stp>
        <stp>12/31/2018</stp>
        <stp>1</stp>
        <tr r="I546" s="1"/>
      </tp>
      <tp>
        <v>54.940412510199998</v>
        <stp/>
        <stp>EM_S_FA_GROSSPROFITMARGIN</stp>
        <stp>3</stp>
        <stp>300519</stp>
        <stp>12/31/2018</stp>
        <stp>1</stp>
        <tr r="I2466" s="1"/>
      </tp>
      <tp>
        <v>16.899270925300002</v>
        <stp/>
        <stp>EM_S_FA_GROSSPROFITMARGIN</stp>
        <stp>3</stp>
        <stp>600549</stp>
        <stp>12/31/2018</stp>
        <stp>1</stp>
        <tr r="I1788" s="1"/>
      </tp>
      <tp>
        <v>23.086252448900002</v>
        <stp/>
        <stp>EM_S_FA_GROSSPROFITMARGIN</stp>
        <stp>3</stp>
        <stp>300219</stp>
        <stp>12/31/2018</stp>
        <stp>1</stp>
        <tr r="I2822" s="1"/>
      </tp>
      <tp>
        <v>20.510784726499999</v>
        <stp/>
        <stp>EM_S_FA_GROSSPROFITMARGIN</stp>
        <stp>3</stp>
        <stp>600249</stp>
        <stp>12/31/2018</stp>
        <stp>1</stp>
        <tr r="I1050" s="1"/>
      </tp>
      <tp>
        <v>18.652007453</v>
        <stp/>
        <stp>EM_S_FA_GROSSPROFITMARGIN</stp>
        <stp>3</stp>
        <stp>300319</stp>
        <stp>12/31/2018</stp>
        <stp>1</stp>
        <tr r="I128" s="1"/>
      </tp>
      <tp>
        <v>0</v>
        <stp/>
        <stp>EM_S_FA_GROSSPROFITMARGIN</stp>
        <stp>3</stp>
        <stp>600349</stp>
        <stp>12/31/2018</stp>
        <stp>1</stp>
        <tr r="I12" s="1"/>
      </tp>
      <tp>
        <v>56.859529390799999</v>
        <stp/>
        <stp>EM_S_FA_GROSSPROFITMARGIN</stp>
        <stp>3</stp>
        <stp>000029</stp>
        <stp>12/31/2018</stp>
        <stp>1</stp>
        <tr r="I2341" s="1"/>
      </tp>
      <tp>
        <v>24.466409460000001</v>
        <stp/>
        <stp>EM_S_FA_GROSSPROFITMARGIN</stp>
        <stp>3</stp>
        <stp>300019</stp>
        <stp>12/31/2018</stp>
        <stp>1</stp>
        <tr r="I390" s="1"/>
      </tp>
      <tp>
        <v>50.112568513299998</v>
        <stp/>
        <stp>EM_S_FA_GROSSPROFITMARGIN</stp>
        <stp>3</stp>
        <stp>300119</stp>
        <stp>12/31/2018</stp>
        <stp>1</stp>
        <tr r="I217" s="1"/>
      </tp>
      <tp>
        <v>8.2788078301999999</v>
        <stp/>
        <stp>EM_S_FA_GROSSPROFITMARGIN</stp>
        <stp>3</stp>
        <stp>600149</stp>
        <stp>12/31/2018</stp>
        <stp>1</stp>
        <tr r="I1642" s="1"/>
      </tp>
      <tp>
        <v>48.5013784255</v>
        <stp/>
        <stp>EM_S_FA_GROSSPROFITMARGIN</stp>
        <stp>3</stp>
        <stp>002829</stp>
        <stp>12/31/2018</stp>
        <stp>1</stp>
        <tr r="I1147" s="1"/>
      </tp>
      <tp>
        <v>20.001379606099999</v>
        <stp/>
        <stp>EM_S_FA_GROSSPROFITMARGIN</stp>
        <stp>3</stp>
        <stp>002929</stp>
        <stp>12/31/2018</stp>
        <stp>1</stp>
        <tr r="I2978" s="1"/>
      </tp>
      <tp>
        <v>0.51243350129999998</v>
        <stp/>
        <stp>EM_S_FA_GROSSPROFITMARGIN</stp>
        <stp>3</stp>
        <stp>002629</stp>
        <stp>12/31/2018</stp>
        <stp>1</stp>
        <tr r="I3220" s="1"/>
      </tp>
      <tp>
        <v>39.625705071799999</v>
        <stp/>
        <stp>EM_S_FA_GROSSPROFITMARGIN</stp>
        <stp>3</stp>
        <stp>002729</stp>
        <stp>12/31/2018</stp>
        <stp>1</stp>
        <tr r="I92" s="1"/>
      </tp>
      <tp>
        <v>10.0980544614</v>
        <stp/>
        <stp>EM_S_FA_GROSSPROFITMARGIN</stp>
        <stp>3</stp>
        <stp>002429</stp>
        <stp>12/31/2018</stp>
        <stp>1</stp>
        <tr r="I242" s="1"/>
      </tp>
      <tp>
        <v>13.586240896</v>
        <stp/>
        <stp>EM_S_FA_GROSSPROFITMARGIN</stp>
        <stp>3</stp>
        <stp>002529</stp>
        <stp>12/31/2018</stp>
        <stp>1</stp>
        <tr r="I2916" s="1"/>
      </tp>
      <tp>
        <v>21.524268609500002</v>
        <stp/>
        <stp>EM_S_FA_GROSSPROFITMARGIN</stp>
        <stp>3</stp>
        <stp>002229</stp>
        <stp>12/31/2018</stp>
        <stp>1</stp>
        <tr r="I2717" s="1"/>
      </tp>
      <tp>
        <v>27.925274093399999</v>
        <stp/>
        <stp>EM_S_FA_GROSSPROFITMARGIN</stp>
        <stp>3</stp>
        <stp>002329</stp>
        <stp>12/31/2018</stp>
        <stp>1</stp>
        <tr r="I907" s="1"/>
      </tp>
      <tp>
        <v>42.596147800600001</v>
        <stp/>
        <stp>EM_S_FA_GROSSPROFITMARGIN</stp>
        <stp>3</stp>
        <stp>002029</stp>
        <stp>12/31/2018</stp>
        <stp>1</stp>
        <tr r="I2562" s="1"/>
      </tp>
      <tp>
        <v>17.3521753978</v>
        <stp/>
        <stp>EM_S_FA_GROSSPROFITMARGIN</stp>
        <stp>3</stp>
        <stp>002129</stp>
        <stp>12/31/2018</stp>
        <stp>1</stp>
        <tr r="I384" s="1"/>
      </tp>
      <tp>
        <v>36.320880566600003</v>
        <stp/>
        <stp>EM_S_FA_GROSSPROFITMARGIN</stp>
        <stp>3</stp>
        <stp>600874</stp>
        <stp>12/31/2018</stp>
        <stp>1</stp>
        <tr r="I2879" s="1"/>
      </tp>
      <tp>
        <v>94.574608374600004</v>
        <stp/>
        <stp>EM_S_FA_GROSSPROFITMARGIN</stp>
        <stp>3</stp>
        <stp>300624</stp>
        <stp>12/31/2018</stp>
        <stp>1</stp>
        <tr r="I1409" s="1"/>
      </tp>
      <tp>
        <v>49.873473687100002</v>
        <stp/>
        <stp>EM_S_FA_GROSSPROFITMARGIN</stp>
        <stp>3</stp>
        <stp>600674</stp>
        <stp>12/31/2018</stp>
        <stp>1</stp>
        <tr r="I1589" s="1"/>
      </tp>
      <tp>
        <v>32.958818294300002</v>
        <stp/>
        <stp>EM_S_FA_GROSSPROFITMARGIN</stp>
        <stp>3</stp>
        <stp>600774</stp>
        <stp>12/31/2018</stp>
        <stp>1</stp>
        <tr r="I3117" s="1"/>
      </tp>
      <tp>
        <v>32.602952576500002</v>
        <stp/>
        <stp>EM_S_FA_GROSSPROFITMARGIN</stp>
        <stp>3</stp>
        <stp>300424</stp>
        <stp>12/31/2018</stp>
        <stp>1</stp>
        <tr r="I1457" s="1"/>
      </tp>
      <tp>
        <v>23.760308329499999</v>
        <stp/>
        <stp>EM_S_FA_GROSSPROFITMARGIN</stp>
        <stp>3</stp>
        <stp>000514</stp>
        <stp>12/31/2018</stp>
        <stp>1</stp>
        <tr r="I3437" s="1"/>
      </tp>
      <tp>
        <v>17.644978075600001</v>
        <stp/>
        <stp>EM_S_FA_GROSSPROFITMARGIN</stp>
        <stp>3</stp>
        <stp>300224</stp>
        <stp>12/31/2018</stp>
        <stp>1</stp>
        <tr r="I372" s="1"/>
      </tp>
      <tp>
        <v>34.201380254599997</v>
        <stp/>
        <stp>EM_S_FA_GROSSPROFITMARGIN</stp>
        <stp>3</stp>
        <stp>300324</stp>
        <stp>12/31/2018</stp>
        <stp>1</stp>
        <tr r="I2393" s="1"/>
      </tp>
      <tp>
        <v>29.507983369600002</v>
        <stp/>
        <stp>EM_S_FA_GROSSPROFITMARGIN</stp>
        <stp>3</stp>
        <stp>000014</stp>
        <stp>12/31/2018</stp>
        <stp>1</stp>
        <tr r="I2219" s="1"/>
      </tp>
      <tp>
        <v>31.467054971300001</v>
        <stp/>
        <stp>EM_S_FA_GROSSPROFITMARGIN</stp>
        <stp>3</stp>
        <stp>300024</stp>
        <stp>12/31/2018</stp>
        <stp>1</stp>
        <tr r="I1953" s="1"/>
      </tp>
      <tp>
        <v>14.225080691100001</v>
        <stp/>
        <stp>EM_S_FA_GROSSPROFITMARGIN</stp>
        <stp>3</stp>
        <stp>600074</stp>
        <stp>12/31/2018</stp>
        <stp>1</stp>
        <tr r="I2876" s="1"/>
      </tp>
      <tp>
        <v>41.811829040200003</v>
        <stp/>
        <stp>EM_S_FA_GROSSPROFITMARGIN</stp>
        <stp>3</stp>
        <stp>300124</stp>
        <stp>12/31/2018</stp>
        <stp>1</stp>
        <tr r="I514" s="1"/>
      </tp>
      <tp>
        <v>36.2549717781</v>
        <stp/>
        <stp>EM_S_FA_GROSSPROFITMARGIN</stp>
        <stp>3</stp>
        <stp>002614</stp>
        <stp>12/31/2018</stp>
        <stp>1</stp>
        <tr r="I3257" s="1"/>
      </tp>
      <tp>
        <v>9.8154856472999992</v>
        <stp/>
        <stp>EM_S_FA_GROSSPROFITMARGIN</stp>
        <stp>3</stp>
        <stp>002714</stp>
        <stp>12/31/2018</stp>
        <stp>1</stp>
        <tr r="I46" s="1"/>
      </tp>
      <tp>
        <v>42.1274962305</v>
        <stp/>
        <stp>EM_S_FA_GROSSPROFITMARGIN</stp>
        <stp>3</stp>
        <stp>002414</stp>
        <stp>12/31/2018</stp>
        <stp>1</stp>
        <tr r="I2621" s="1"/>
      </tp>
      <tp>
        <v>35.190592219499997</v>
        <stp/>
        <stp>EM_S_FA_GROSSPROFITMARGIN</stp>
        <stp>3</stp>
        <stp>002514</stp>
        <stp>12/31/2018</stp>
        <stp>1</stp>
        <tr r="I1830" s="1"/>
      </tp>
      <tp>
        <v>50.181445535599998</v>
        <stp/>
        <stp>EM_S_FA_GROSSPROFITMARGIN</stp>
        <stp>3</stp>
        <stp>002214</stp>
        <stp>12/31/2018</stp>
        <stp>1</stp>
        <tr r="I189" s="1"/>
      </tp>
      <tp>
        <v>42.885234966299997</v>
        <stp/>
        <stp>EM_S_FA_GROSSPROFITMARGIN</stp>
        <stp>3</stp>
        <stp>002314</stp>
        <stp>12/31/2018</stp>
        <stp>1</stp>
        <tr r="I1918" s="1"/>
      </tp>
      <tp>
        <v>21.951567105300001</v>
        <stp/>
        <stp>EM_S_FA_GROSSPROFITMARGIN</stp>
        <stp>3</stp>
        <stp>002014</stp>
        <stp>12/31/2018</stp>
        <stp>1</stp>
        <tr r="I643" s="1"/>
      </tp>
      <tp>
        <v>4.1221988006999997</v>
        <stp/>
        <stp>EM_S_FA_GROSSPROFITMARGIN</stp>
        <stp>3</stp>
        <stp>002114</stp>
        <stp>12/31/2018</stp>
        <stp>1</stp>
        <tr r="I3638" s="1"/>
      </tp>
      <tp>
        <v>0</v>
        <stp/>
        <stp>EM_S_FA_GROSSPROFITMARGIN</stp>
        <stp>3</stp>
        <stp>601375</stp>
        <stp>12/31/2018</stp>
        <stp>1</stp>
        <tr r="I1087" s="1"/>
      </tp>
      <tp>
        <v>13.1138290488</v>
        <stp/>
        <stp>EM_S_FA_GROSSPROFITMARGIN</stp>
        <stp>3</stp>
        <stp>000815</stp>
        <stp>12/31/2018</stp>
        <stp>1</stp>
        <tr r="I2186" s="1"/>
      </tp>
      <tp>
        <v>20.724656680900001</v>
        <stp/>
        <stp>EM_S_FA_GROSSPROFITMARGIN</stp>
        <stp>3</stp>
        <stp>600875</stp>
        <stp>12/31/2018</stp>
        <stp>1</stp>
        <tr r="I1425" s="1"/>
      </tp>
      <tp>
        <v>60.316788260700001</v>
        <stp/>
        <stp>EM_S_FA_GROSSPROFITMARGIN</stp>
        <stp>3</stp>
        <stp>000915</stp>
        <stp>12/31/2018</stp>
        <stp>1</stp>
        <tr r="I3573" s="1"/>
      </tp>
      <tp>
        <v>3.3904156451</v>
        <stp/>
        <stp>EM_S_FA_GROSSPROFITMARGIN</stp>
        <stp>3</stp>
        <stp>600975</stp>
        <stp>12/31/2018</stp>
        <stp>1</stp>
        <tr r="I106" s="1"/>
      </tp>
      <tp>
        <v>29.504290146399999</v>
        <stp/>
        <stp>EM_S_FA_GROSSPROFITMARGIN</stp>
        <stp>3</stp>
        <stp>000615</stp>
        <stp>12/31/2018</stp>
        <stp>1</stp>
        <tr r="I3000" s="1"/>
      </tp>
      <tp>
        <v>31.6339516876</v>
        <stp/>
        <stp>EM_S_FA_GROSSPROFITMARGIN</stp>
        <stp>3</stp>
        <stp>300625</stp>
        <stp>12/31/2018</stp>
        <stp>1</stp>
        <tr r="I1465" s="1"/>
      </tp>
      <tp>
        <v>43.046270518900002</v>
        <stp/>
        <stp>EM_S_FA_GROSSPROFITMARGIN</stp>
        <stp>3</stp>
        <stp>600675</stp>
        <stp>12/31/2018</stp>
        <stp>1</stp>
        <tr r="I2967" s="1"/>
      </tp>
      <tp>
        <v>19.0963211103</v>
        <stp/>
        <stp>EM_S_FA_GROSSPROFITMARGIN</stp>
        <stp>3</stp>
        <stp>000715</stp>
        <stp>12/31/2018</stp>
        <stp>1</stp>
        <tr r="I2071" s="1"/>
      </tp>
      <tp>
        <v>57.816558322399999</v>
        <stp/>
        <stp>EM_S_FA_GROSSPROFITMARGIN</stp>
        <stp>3</stp>
        <stp>300725</stp>
        <stp>12/31/2018</stp>
        <stp>1</stp>
        <tr r="I1231" s="1"/>
      </tp>
      <tp>
        <v>16.067018274399999</v>
        <stp/>
        <stp>EM_S_FA_GROSSPROFITMARGIN</stp>
        <stp>3</stp>
        <stp>600775</stp>
        <stp>12/31/2018</stp>
        <stp>1</stp>
        <tr r="I1097" s="1"/>
      </tp>
      <tp>
        <v>36.599651306299997</v>
        <stp/>
        <stp>EM_S_FA_GROSSPROFITMARGIN</stp>
        <stp>3</stp>
        <stp>000415</stp>
        <stp>12/31/2018</stp>
        <stp>1</stp>
        <tr r="I2000" s="1"/>
      </tp>
      <tp>
        <v>41.215613158399997</v>
        <stp/>
        <stp>EM_S_FA_GROSSPROFITMARGIN</stp>
        <stp>3</stp>
        <stp>300425</stp>
        <stp>12/31/2018</stp>
        <stp>1</stp>
        <tr r="I2401" s="1"/>
      </tp>
      <tp>
        <v>15.3441684272</v>
        <stp/>
        <stp>EM_S_FA_GROSSPROFITMARGIN</stp>
        <stp>3</stp>
        <stp>600475</stp>
        <stp>12/31/2018</stp>
        <stp>1</stp>
        <tr r="I1220" s="1"/>
      </tp>
      <tp>
        <v>0</v>
        <stp/>
        <stp>EM_S_FA_GROSSPROFITMARGIN</stp>
        <stp>3</stp>
        <stp>000515</stp>
        <stp>12/31/2018</stp>
        <stp>1</stp>
        <tr r="I3438" s="1"/>
      </tp>
      <tp>
        <v>64.539181892399995</v>
        <stp/>
        <stp>EM_S_FA_GROSSPROFITMARGIN</stp>
        <stp>3</stp>
        <stp>300525</stp>
        <stp>12/31/2018</stp>
        <stp>1</stp>
        <tr r="I381" s="1"/>
      </tp>
      <tp>
        <v>9.9105925449000001</v>
        <stp/>
        <stp>EM_S_FA_GROSSPROFITMARGIN</stp>
        <stp>3</stp>
        <stp>600575</stp>
        <stp>12/31/2018</stp>
        <stp>1</stp>
        <tr r="I1229" s="1"/>
      </tp>
      <tp>
        <v>19.098323685</v>
        <stp/>
        <stp>EM_S_FA_GROSSPROFITMARGIN</stp>
        <stp>3</stp>
        <stp>300225</stp>
        <stp>12/31/2018</stp>
        <stp>1</stp>
        <tr r="I940" s="1"/>
      </tp>
      <tp>
        <v>20.293382153700001</v>
        <stp/>
        <stp>EM_S_FA_GROSSPROFITMARGIN</stp>
        <stp>3</stp>
        <stp>600275</stp>
        <stp>12/31/2018</stp>
        <stp>1</stp>
        <tr r="I3082" s="1"/>
      </tp>
      <tp>
        <v>13.353974863199999</v>
        <stp/>
        <stp>EM_S_FA_GROSSPROFITMARGIN</stp>
        <stp>3</stp>
        <stp>300325</stp>
        <stp>12/31/2018</stp>
        <stp>1</stp>
        <tr r="I1879" s="1"/>
      </tp>
      <tp>
        <v>13.3448529073</v>
        <stp/>
        <stp>EM_S_FA_GROSSPROFITMARGIN</stp>
        <stp>3</stp>
        <stp>600375</stp>
        <stp>12/31/2018</stp>
        <stp>1</stp>
        <tr r="I856" s="1"/>
      </tp>
      <tp>
        <v>0</v>
        <stp/>
        <stp>EM_S_FA_GROSSPROFITMARGIN</stp>
        <stp>3</stp>
        <stp>000015</stp>
        <stp>12/31/2018</stp>
        <stp>1</stp>
        <tr r="I2273" s="1"/>
      </tp>
      <tp>
        <v>15.4546837765</v>
        <stp/>
        <stp>EM_S_FA_GROSSPROFITMARGIN</stp>
        <stp>3</stp>
        <stp>300025</stp>
        <stp>12/31/2018</stp>
        <stp>1</stp>
        <tr r="I1834" s="1"/>
      </tp>
      <tp>
        <v>27.093964757999998</v>
        <stp/>
        <stp>EM_S_FA_GROSSPROFITMARGIN</stp>
        <stp>3</stp>
        <stp>600075</stp>
        <stp>12/31/2018</stp>
        <stp>1</stp>
        <tr r="I1714" s="1"/>
      </tp>
      <tp>
        <v>28.938903699499999</v>
        <stp/>
        <stp>EM_S_FA_GROSSPROFITMARGIN</stp>
        <stp>3</stp>
        <stp>300125</stp>
        <stp>12/31/2018</stp>
        <stp>1</stp>
        <tr r="I841" s="1"/>
      </tp>
      <tp>
        <v>11.204767029899999</v>
        <stp/>
        <stp>EM_S_FA_GROSSPROFITMARGIN</stp>
        <stp>3</stp>
        <stp>600175</stp>
        <stp>12/31/2018</stp>
        <stp>1</stp>
        <tr r="I2982" s="1"/>
      </tp>
      <tp>
        <v>32.937085062000001</v>
        <stp/>
        <stp>EM_S_FA_GROSSPROFITMARGIN</stp>
        <stp>3</stp>
        <stp>002815</stp>
        <stp>12/31/2018</stp>
        <stp>1</stp>
        <tr r="I1314" s="1"/>
      </tp>
      <tp>
        <v>24.3727382555</v>
        <stp/>
        <stp>EM_S_FA_GROSSPROFITMARGIN</stp>
        <stp>3</stp>
        <stp>002915</stp>
        <stp>12/31/2018</stp>
        <stp>1</stp>
        <tr r="I1164" s="1"/>
      </tp>
      <tp>
        <v>31.6009812044</v>
        <stp/>
        <stp>EM_S_FA_GROSSPROFITMARGIN</stp>
        <stp>3</stp>
        <stp>002615</stp>
        <stp>12/31/2018</stp>
        <stp>1</stp>
        <tr r="I1586" s="1"/>
      </tp>
      <tp>
        <v>25.886234048399999</v>
        <stp/>
        <stp>EM_S_FA_GROSSPROFITMARGIN</stp>
        <stp>3</stp>
        <stp>002715</stp>
        <stp>12/31/2018</stp>
        <stp>1</stp>
        <tr r="I1693" s="1"/>
      </tp>
      <tp>
        <v>44.8534291868</v>
        <stp/>
        <stp>EM_S_FA_GROSSPROFITMARGIN</stp>
        <stp>3</stp>
        <stp>002415</stp>
        <stp>12/31/2018</stp>
        <stp>1</stp>
        <tr r="I1038" s="1"/>
      </tp>
      <tp>
        <v>42.0865701552</v>
        <stp/>
        <stp>EM_S_FA_GROSSPROFITMARGIN</stp>
        <stp>3</stp>
        <stp>002515</stp>
        <stp>12/31/2018</stp>
        <stp>1</stp>
        <tr r="I982" s="1"/>
      </tp>
      <tp>
        <v>29.214686366199999</v>
        <stp/>
        <stp>EM_S_FA_GROSSPROFITMARGIN</stp>
        <stp>3</stp>
        <stp>002215</stp>
        <stp>12/31/2018</stp>
        <stp>1</stp>
        <tr r="I2430" s="1"/>
      </tp>
      <tp>
        <v>69.558370756299993</v>
        <stp/>
        <stp>EM_S_FA_GROSSPROFITMARGIN</stp>
        <stp>3</stp>
        <stp>002315</stp>
        <stp>12/31/2018</stp>
        <stp>1</stp>
        <tr r="I403" s="1"/>
      </tp>
      <tp>
        <v>7.0674209822999998</v>
        <stp/>
        <stp>EM_S_FA_GROSSPROFITMARGIN</stp>
        <stp>3</stp>
        <stp>002015</stp>
        <stp>12/31/2018</stp>
        <stp>1</stp>
        <tr r="I1673" s="1"/>
      </tp>
      <tp>
        <v>13.8399432634</v>
        <stp/>
        <stp>EM_S_FA_GROSSPROFITMARGIN</stp>
        <stp>3</stp>
        <stp>002115</stp>
        <stp>12/31/2018</stp>
        <stp>1</stp>
        <tr r="I2756" s="1"/>
      </tp>
      <tp>
        <v>12.8898028158</v>
        <stp/>
        <stp>EM_S_FA_GROSSPROFITMARGIN</stp>
        <stp>3</stp>
        <stp>000816</stp>
        <stp>12/31/2018</stp>
        <stp>1</stp>
        <tr r="I3547" s="1"/>
      </tp>
      <tp>
        <v>21.7772748545</v>
        <stp/>
        <stp>EM_S_FA_GROSSPROFITMARGIN</stp>
        <stp>3</stp>
        <stp>600876</stp>
        <stp>12/31/2018</stp>
        <stp>1</stp>
        <tr r="I598" s="1"/>
      </tp>
      <tp>
        <v>0</v>
        <stp/>
        <stp>EM_S_FA_GROSSPROFITMARGIN</stp>
        <stp>3</stp>
        <stp>000916</stp>
        <stp>12/31/2018</stp>
        <stp>1</stp>
        <tr r="I3574" s="1"/>
      </tp>
      <tp>
        <v>34.854428394800003</v>
        <stp/>
        <stp>EM_S_FA_GROSSPROFITMARGIN</stp>
        <stp>3</stp>
        <stp>600976</stp>
        <stp>12/31/2018</stp>
        <stp>1</stp>
        <tr r="I1228" s="1"/>
      </tp>
      <tp>
        <v>25.619772145799999</v>
        <stp/>
        <stp>EM_S_FA_GROSSPROFITMARGIN</stp>
        <stp>3</stp>
        <stp>000616</stp>
        <stp>12/31/2018</stp>
        <stp>1</stp>
        <tr r="I2228" s="1"/>
      </tp>
      <tp>
        <v>18.408172862400001</v>
        <stp/>
        <stp>EM_S_FA_GROSSPROFITMARGIN</stp>
        <stp>3</stp>
        <stp>300626</stp>
        <stp>12/31/2018</stp>
        <stp>1</stp>
        <tr r="I2555" s="1"/>
      </tp>
      <tp>
        <v>8.7996246344000006</v>
        <stp/>
        <stp>EM_S_FA_GROSSPROFITMARGIN</stp>
        <stp>3</stp>
        <stp>600676</stp>
        <stp>12/31/2018</stp>
        <stp>1</stp>
        <tr r="I2345" s="1"/>
      </tp>
      <tp>
        <v>20.5695340049</v>
        <stp/>
        <stp>EM_S_FA_GROSSPROFITMARGIN</stp>
        <stp>3</stp>
        <stp>000716</stp>
        <stp>12/31/2018</stp>
        <stp>1</stp>
        <tr r="I812" s="1"/>
      </tp>
      <tp>
        <v>66.053468915699995</v>
        <stp/>
        <stp>EM_S_FA_GROSSPROFITMARGIN</stp>
        <stp>3</stp>
        <stp>300726</stp>
        <stp>12/31/2018</stp>
        <stp>1</stp>
        <tr r="I613" s="1"/>
      </tp>
      <tp>
        <v>16.424850578600001</v>
        <stp/>
        <stp>EM_S_FA_GROSSPROFITMARGIN</stp>
        <stp>3</stp>
        <stp>600776</stp>
        <stp>12/31/2018</stp>
        <stp>1</stp>
        <tr r="I255" s="1"/>
      </tp>
      <tp>
        <v>99.002074875100007</v>
        <stp/>
        <stp>EM_S_FA_GROSSPROFITMARGIN</stp>
        <stp>3</stp>
        <stp>000416</stp>
        <stp>12/31/2018</stp>
        <stp>1</stp>
        <tr r="I3421" s="1"/>
      </tp>
      <tp>
        <v>8.6879210303000001</v>
        <stp/>
        <stp>EM_S_FA_GROSSPROFITMARGIN</stp>
        <stp>3</stp>
        <stp>300426</stp>
        <stp>12/31/2018</stp>
        <stp>1</stp>
        <tr r="I2691" s="1"/>
      </tp>
      <tp>
        <v>19.456480673000002</v>
        <stp/>
        <stp>EM_S_FA_GROSSPROFITMARGIN</stp>
        <stp>3</stp>
        <stp>600476</stp>
        <stp>12/31/2018</stp>
        <stp>1</stp>
        <tr r="I1132" s="1"/>
      </tp>
      <tp>
        <v>22.1037511241</v>
        <stp/>
        <stp>EM_S_FA_GROSSPROFITMARGIN</stp>
        <stp>3</stp>
        <stp>000516</stp>
        <stp>12/31/2018</stp>
        <stp>1</stp>
        <tr r="I3439" s="1"/>
      </tp>
      <tp>
        <v>31.993938886199999</v>
        <stp/>
        <stp>EM_S_FA_GROSSPROFITMARGIN</stp>
        <stp>3</stp>
        <stp>300526</stp>
        <stp>12/31/2018</stp>
        <stp>1</stp>
        <tr r="I21" s="1"/>
      </tp>
      <tp>
        <v>36.017951032200003</v>
        <stp/>
        <stp>EM_S_FA_GROSSPROFITMARGIN</stp>
        <stp>3</stp>
        <stp>600576</stp>
        <stp>12/31/2018</stp>
        <stp>1</stp>
        <tr r="I1411" s="1"/>
      </tp>
      <tp>
        <v>0.730260295</v>
        <stp/>
        <stp>EM_S_FA_GROSSPROFITMARGIN</stp>
        <stp>3</stp>
        <stp>300226</stp>
        <stp>12/31/2018</stp>
        <stp>1</stp>
        <tr r="I350" s="1"/>
      </tp>
      <tp>
        <v>86.596731267099997</v>
        <stp/>
        <stp>EM_S_FA_GROSSPROFITMARGIN</stp>
        <stp>3</stp>
        <stp>600276</stp>
        <stp>12/31/2018</stp>
        <stp>1</stp>
        <tr r="I401" s="1"/>
      </tp>
      <tp>
        <v>60.392359143500002</v>
        <stp/>
        <stp>EM_S_FA_GROSSPROFITMARGIN</stp>
        <stp>3</stp>
        <stp>300326</stp>
        <stp>12/31/2018</stp>
        <stp>1</stp>
        <tr r="I483" s="1"/>
      </tp>
      <tp>
        <v>32.743882167800002</v>
        <stp/>
        <stp>EM_S_FA_GROSSPROFITMARGIN</stp>
        <stp>3</stp>
        <stp>600376</stp>
        <stp>12/31/2018</stp>
        <stp>1</stp>
        <tr r="I1649" s="1"/>
      </tp>
      <tp>
        <v>6.2852476086999998</v>
        <stp/>
        <stp>EM_S_FA_GROSSPROFITMARGIN</stp>
        <stp>3</stp>
        <stp>000016</stp>
        <stp>12/31/2018</stp>
        <stp>1</stp>
        <tr r="I767" s="1"/>
      </tp>
      <tp>
        <v>71.006034290000002</v>
        <stp/>
        <stp>EM_S_FA_GROSSPROFITMARGIN</stp>
        <stp>3</stp>
        <stp>300026</stp>
        <stp>12/31/2018</stp>
        <stp>1</stp>
        <tr r="I1577" s="1"/>
      </tp>
      <tp>
        <v>33.1879906128</v>
        <stp/>
        <stp>EM_S_FA_GROSSPROFITMARGIN</stp>
        <stp>3</stp>
        <stp>600076</stp>
        <stp>12/31/2018</stp>
        <stp>1</stp>
        <tr r="I2007" s="1"/>
      </tp>
      <tp>
        <v>11.026745765199999</v>
        <stp/>
        <stp>EM_S_FA_GROSSPROFITMARGIN</stp>
        <stp>3</stp>
        <stp>300126</stp>
        <stp>12/31/2018</stp>
        <stp>1</stp>
        <tr r="I1497" s="1"/>
      </tp>
      <tp>
        <v>45.109544477100002</v>
        <stp/>
        <stp>EM_S_FA_GROSSPROFITMARGIN</stp>
        <stp>3</stp>
        <stp>600176</stp>
        <stp>12/31/2018</stp>
        <stp>1</stp>
        <tr r="I1596" s="1"/>
      </tp>
      <tp>
        <v>9.1107159032999991</v>
        <stp/>
        <stp>EM_S_FA_GROSSPROFITMARGIN</stp>
        <stp>3</stp>
        <stp>603876</stp>
        <stp>12/31/2018</stp>
        <stp>1</stp>
        <tr r="I2926" s="1"/>
      </tp>
      <tp>
        <v>28.6680789485</v>
        <stp/>
        <stp>EM_S_FA_GROSSPROFITMARGIN</stp>
        <stp>3</stp>
        <stp>603976</stp>
        <stp>12/31/2018</stp>
        <stp>1</stp>
        <tr r="I1880" s="1"/>
      </tp>
      <tp>
        <v>46.384770197400002</v>
        <stp/>
        <stp>EM_S_FA_GROSSPROFITMARGIN</stp>
        <stp>3</stp>
        <stp>603676</stp>
        <stp>12/31/2018</stp>
        <stp>1</stp>
        <tr r="I2673" s="1"/>
      </tp>
      <tp>
        <v>29.751882360900002</v>
        <stp/>
        <stp>EM_S_FA_GROSSPROFITMARGIN</stp>
        <stp>3</stp>
        <stp>603776</stp>
        <stp>12/31/2018</stp>
        <stp>1</stp>
        <tr r="I2890" s="1"/>
      </tp>
      <tp>
        <v>25.732448463099999</v>
        <stp/>
        <stp>EM_S_FA_GROSSPROFITMARGIN</stp>
        <stp>3</stp>
        <stp>603076</stp>
        <stp>12/31/2018</stp>
        <stp>1</stp>
        <tr r="I2382" s="1"/>
      </tp>
      <tp>
        <v>29.419815241599999</v>
        <stp/>
        <stp>EM_S_FA_GROSSPROFITMARGIN</stp>
        <stp>3</stp>
        <stp>002816</stp>
        <stp>12/31/2018</stp>
        <stp>1</stp>
        <tr r="I652" s="1"/>
      </tp>
      <tp>
        <v>23.1295922555</v>
        <stp/>
        <stp>EM_S_FA_GROSSPROFITMARGIN</stp>
        <stp>3</stp>
        <stp>002916</stp>
        <stp>12/31/2018</stp>
        <stp>1</stp>
        <tr r="I264" s="1"/>
      </tp>
      <tp>
        <v>21.914302751400001</v>
        <stp/>
        <stp>EM_S_FA_GROSSPROFITMARGIN</stp>
        <stp>3</stp>
        <stp>002616</stp>
        <stp>12/31/2018</stp>
        <stp>1</stp>
        <tr r="I1661" s="1"/>
      </tp>
      <tp>
        <v>7.9730213358000004</v>
        <stp/>
        <stp>EM_S_FA_GROSSPROFITMARGIN</stp>
        <stp>3</stp>
        <stp>002716</stp>
        <stp>12/31/2018</stp>
        <stp>1</stp>
        <tr r="I3375" s="1"/>
      </tp>
      <tp>
        <v>2.6244947268000001</v>
        <stp/>
        <stp>EM_S_FA_GROSSPROFITMARGIN</stp>
        <stp>3</stp>
        <stp>002416</stp>
        <stp>12/31/2018</stp>
        <stp>1</stp>
        <tr r="I976" s="1"/>
      </tp>
      <tp>
        <v>28.3013775505</v>
        <stp/>
        <stp>EM_S_FA_GROSSPROFITMARGIN</stp>
        <stp>3</stp>
        <stp>002516</stp>
        <stp>12/31/2018</stp>
        <stp>1</stp>
        <tr r="I2588" s="1"/>
      </tp>
      <tp>
        <v>35.520541160999997</v>
        <stp/>
        <stp>EM_S_FA_GROSSPROFITMARGIN</stp>
        <stp>3</stp>
        <stp>002216</stp>
        <stp>12/31/2018</stp>
        <stp>1</stp>
        <tr r="I197" s="1"/>
      </tp>
      <tp>
        <v>34.853986054099998</v>
        <stp/>
        <stp>EM_S_FA_GROSSPROFITMARGIN</stp>
        <stp>3</stp>
        <stp>002316</stp>
        <stp>12/31/2018</stp>
        <stp>1</stp>
        <tr r="I1910" s="1"/>
      </tp>
      <tp>
        <v>61.809432394799998</v>
        <stp/>
        <stp>EM_S_FA_GROSSPROFITMARGIN</stp>
        <stp>3</stp>
        <stp>002016</stp>
        <stp>12/31/2018</stp>
        <stp>1</stp>
        <tr r="I2526" s="1"/>
      </tp>
      <tp>
        <v>11.4979435885</v>
        <stp/>
        <stp>EM_S_FA_GROSSPROFITMARGIN</stp>
        <stp>3</stp>
        <stp>002116</stp>
        <stp>12/31/2018</stp>
        <stp>1</stp>
        <tr r="I1546" s="1"/>
      </tp>
      <tp>
        <v>29.667981408700001</v>
        <stp/>
        <stp>EM_S_FA_GROSSPROFITMARGIN</stp>
        <stp>3</stp>
        <stp>601877</stp>
        <stp>12/31/2018</stp>
        <stp>1</stp>
        <tr r="I1679" s="1"/>
      </tp>
      <tp>
        <v>8.8138115321000008</v>
        <stp/>
        <stp>EM_S_FA_GROSSPROFITMARGIN</stp>
        <stp>3</stp>
        <stp>601677</stp>
        <stp>12/31/2018</stp>
        <stp>1</stp>
        <tr r="I925" s="1"/>
      </tp>
      <tp>
        <v>9.0763292570999994</v>
        <stp/>
        <stp>EM_S_FA_GROSSPROFITMARGIN</stp>
        <stp>3</stp>
        <stp>601777</stp>
        <stp>12/31/2018</stp>
        <stp>1</stp>
        <tr r="I3037" s="1"/>
      </tp>
      <tp>
        <v>0</v>
        <stp/>
        <stp>EM_S_FA_GROSSPROFITMARGIN</stp>
        <stp>3</stp>
        <stp>601377</stp>
        <stp>12/31/2018</stp>
        <stp>1</stp>
        <tr r="I499" s="1"/>
      </tp>
      <tp>
        <v>26.955139197400001</v>
        <stp/>
        <stp>EM_S_FA_GROSSPROFITMARGIN</stp>
        <stp>3</stp>
        <stp>601177</stp>
        <stp>12/31/2018</stp>
        <stp>1</stp>
        <tr r="I2162" s="1"/>
      </tp>
      <tp>
        <v>0</v>
        <stp/>
        <stp>EM_S_FA_GROSSPROFITMARGIN</stp>
        <stp>3</stp>
        <stp>000817</stp>
        <stp>12/31/2018</stp>
        <stp>1</stp>
        <tr r="I3548" s="1"/>
      </tp>
      <tp>
        <v>1.6595766798</v>
        <stp/>
        <stp>EM_S_FA_GROSSPROFITMARGIN</stp>
        <stp>3</stp>
        <stp>600877</stp>
        <stp>12/31/2018</stp>
        <stp>1</stp>
        <tr r="I1175" s="1"/>
      </tp>
      <tp>
        <v>19.7601315028</v>
        <stp/>
        <stp>EM_S_FA_GROSSPROFITMARGIN</stp>
        <stp>3</stp>
        <stp>000917</stp>
        <stp>12/31/2018</stp>
        <stp>1</stp>
        <tr r="I2445" s="1"/>
      </tp>
      <tp>
        <v>22.284997629399999</v>
        <stp/>
        <stp>EM_S_FA_GROSSPROFITMARGIN</stp>
        <stp>3</stp>
        <stp>600977</stp>
        <stp>12/31/2018</stp>
        <stp>1</stp>
        <tr r="I1944" s="1"/>
      </tp>
      <tp>
        <v>26.155024313599998</v>
        <stp/>
        <stp>EM_S_FA_GROSSPROFITMARGIN</stp>
        <stp>3</stp>
        <stp>000617</stp>
        <stp>12/31/2018</stp>
        <stp>1</stp>
        <tr r="I1592" s="1"/>
      </tp>
      <tp>
        <v>54.2709551401</v>
        <stp/>
        <stp>EM_S_FA_GROSSPROFITMARGIN</stp>
        <stp>3</stp>
        <stp>300627</stp>
        <stp>12/31/2018</stp>
        <stp>1</stp>
        <tr r="I908" s="1"/>
      </tp>
      <tp>
        <v>14.0245126436</v>
        <stp/>
        <stp>EM_S_FA_GROSSPROFITMARGIN</stp>
        <stp>3</stp>
        <stp>600677</stp>
        <stp>12/31/2018</stp>
        <stp>1</stp>
        <tr r="I2619" s="1"/>
      </tp>
      <tp>
        <v>17.6800493983</v>
        <stp/>
        <stp>EM_S_FA_GROSSPROFITMARGIN</stp>
        <stp>3</stp>
        <stp>000717</stp>
        <stp>12/31/2018</stp>
        <stp>1</stp>
        <tr r="I2113" s="1"/>
      </tp>
      <tp>
        <v>26.659642691199998</v>
        <stp/>
        <stp>EM_S_FA_GROSSPROFITMARGIN</stp>
        <stp>3</stp>
        <stp>300727</stp>
        <stp>12/31/2018</stp>
        <stp>1</stp>
        <tr r="I3144" s="1"/>
      </tp>
      <tp>
        <v>55.327168499800003</v>
        <stp/>
        <stp>EM_S_FA_GROSSPROFITMARGIN</stp>
        <stp>3</stp>
        <stp>600777</stp>
        <stp>12/31/2018</stp>
        <stp>1</stp>
        <tr r="I1771" s="1"/>
      </tp>
      <tp>
        <v>19.4867014951</v>
        <stp/>
        <stp>EM_S_FA_GROSSPROFITMARGIN</stp>
        <stp>3</stp>
        <stp>000417</stp>
        <stp>12/31/2018</stp>
        <stp>1</stp>
        <tr r="I1571" s="1"/>
      </tp>
      <tp>
        <v>44.543703214300002</v>
        <stp/>
        <stp>EM_S_FA_GROSSPROFITMARGIN</stp>
        <stp>3</stp>
        <stp>300427</stp>
        <stp>12/31/2018</stp>
        <stp>1</stp>
        <tr r="I971" s="1"/>
      </tp>
      <tp>
        <v>21.681736645600001</v>
        <stp/>
        <stp>EM_S_FA_GROSSPROFITMARGIN</stp>
        <stp>3</stp>
        <stp>600477</stp>
        <stp>12/31/2018</stp>
        <stp>1</stp>
        <tr r="I3098" s="1"/>
      </tp>
      <tp>
        <v>34.147141861999998</v>
        <stp/>
        <stp>EM_S_FA_GROSSPROFITMARGIN</stp>
        <stp>3</stp>
        <stp>000517</stp>
        <stp>12/31/2018</stp>
        <stp>1</stp>
        <tr r="I3440" s="1"/>
      </tp>
      <tp>
        <v>21.721939948199999</v>
        <stp/>
        <stp>EM_S_FA_GROSSPROFITMARGIN</stp>
        <stp>3</stp>
        <stp>300527</stp>
        <stp>12/31/2018</stp>
        <stp>1</stp>
        <tr r="I365" s="1"/>
      </tp>
      <tp>
        <v>9.8389505028999995</v>
        <stp/>
        <stp>EM_S_FA_GROSSPROFITMARGIN</stp>
        <stp>3</stp>
        <stp>600577</stp>
        <stp>12/31/2018</stp>
        <stp>1</stp>
        <tr r="I2701" s="1"/>
      </tp>
      <tp>
        <v>42.266277221499998</v>
        <stp/>
        <stp>EM_S_FA_GROSSPROFITMARGIN</stp>
        <stp>3</stp>
        <stp>300227</stp>
        <stp>12/31/2018</stp>
        <stp>1</stp>
        <tr r="I659" s="1"/>
      </tp>
      <tp>
        <v>16.808574671999999</v>
        <stp/>
        <stp>EM_S_FA_GROSSPROFITMARGIN</stp>
        <stp>3</stp>
        <stp>600277</stp>
        <stp>12/31/2018</stp>
        <stp>1</stp>
        <tr r="I3055" s="1"/>
      </tp>
      <tp>
        <v>43.843107424000003</v>
        <stp/>
        <stp>EM_S_FA_GROSSPROFITMARGIN</stp>
        <stp>3</stp>
        <stp>300327</stp>
        <stp>12/31/2018</stp>
        <stp>1</stp>
        <tr r="I690" s="1"/>
      </tp>
      <tp>
        <v>54.113856436799999</v>
        <stp/>
        <stp>EM_S_FA_GROSSPROFITMARGIN</stp>
        <stp>3</stp>
        <stp>600377</stp>
        <stp>12/31/2018</stp>
        <stp>1</stp>
        <tr r="I1600" s="1"/>
      </tp>
      <tp>
        <v>9.8705873650000004</v>
        <stp/>
        <stp>EM_S_FA_GROSSPROFITMARGIN</stp>
        <stp>3</stp>
        <stp>000017</stp>
        <stp>12/31/2018</stp>
        <stp>1</stp>
        <tr r="I2076" s="1"/>
      </tp>
      <tp>
        <v>44.8128400465</v>
        <stp/>
        <stp>EM_S_FA_GROSSPROFITMARGIN</stp>
        <stp>3</stp>
        <stp>300027</stp>
        <stp>12/31/2018</stp>
        <stp>1</stp>
        <tr r="I2241" s="1"/>
      </tp>
      <tp>
        <v>42.7379286173</v>
        <stp/>
        <stp>EM_S_FA_GROSSPROFITMARGIN</stp>
        <stp>3</stp>
        <stp>600077</stp>
        <stp>12/31/2018</stp>
        <stp>1</stp>
        <tr r="I1551" s="1"/>
      </tp>
      <tp>
        <v>35.805408831000001</v>
        <stp/>
        <stp>EM_S_FA_GROSSPROFITMARGIN</stp>
        <stp>3</stp>
        <stp>300127</stp>
        <stp>12/31/2018</stp>
        <stp>1</stp>
        <tr r="I251" s="1"/>
      </tp>
      <tp>
        <v>54.842519251200002</v>
        <stp/>
        <stp>EM_S_FA_GROSSPROFITMARGIN</stp>
        <stp>3</stp>
        <stp>600177</stp>
        <stp>12/31/2018</stp>
        <stp>1</stp>
        <tr r="I2487" s="1"/>
      </tp>
      <tp>
        <v>53.427919490400001</v>
        <stp/>
        <stp>EM_S_FA_GROSSPROFITMARGIN</stp>
        <stp>3</stp>
        <stp>603877</stp>
        <stp>12/31/2018</stp>
        <stp>1</stp>
        <tr r="I2990" s="1"/>
      </tp>
      <tp>
        <v>37.839767531100001</v>
        <stp/>
        <stp>EM_S_FA_GROSSPROFITMARGIN</stp>
        <stp>3</stp>
        <stp>603977</stp>
        <stp>12/31/2018</stp>
        <stp>1</stp>
        <tr r="I1382" s="1"/>
      </tp>
      <tp>
        <v>17.440541081500001</v>
        <stp/>
        <stp>EM_S_FA_GROSSPROFITMARGIN</stp>
        <stp>3</stp>
        <stp>603677</stp>
        <stp>12/31/2018</stp>
        <stp>1</stp>
        <tr r="I2785" s="1"/>
      </tp>
      <tp>
        <v>43.905379357000001</v>
        <stp/>
        <stp>EM_S_FA_GROSSPROFITMARGIN</stp>
        <stp>3</stp>
        <stp>603777</stp>
        <stp>12/31/2018</stp>
        <stp>1</stp>
        <tr r="I1212" s="1"/>
      </tp>
      <tp>
        <v>18.559701952200001</v>
        <stp/>
        <stp>EM_S_FA_GROSSPROFITMARGIN</stp>
        <stp>3</stp>
        <stp>603477</stp>
        <stp>12/31/2018</stp>
        <stp>1</stp>
        <tr r="I496" s="1"/>
      </tp>
      <tp>
        <v>18.737613225800001</v>
        <stp/>
        <stp>EM_S_FA_GROSSPROFITMARGIN</stp>
        <stp>3</stp>
        <stp>603577</stp>
        <stp>12/31/2018</stp>
        <stp>1</stp>
        <tr r="I1423" s="1"/>
      </tp>
      <tp>
        <v>42.835762150299999</v>
        <stp/>
        <stp>EM_S_FA_GROSSPROFITMARGIN</stp>
        <stp>3</stp>
        <stp>603277</stp>
        <stp>12/31/2018</stp>
        <stp>1</stp>
        <tr r="I1326" s="1"/>
      </tp>
      <tp>
        <v>48.984259633800001</v>
        <stp/>
        <stp>EM_S_FA_GROSSPROFITMARGIN</stp>
        <stp>3</stp>
        <stp>603377</stp>
        <stp>12/31/2018</stp>
        <stp>1</stp>
        <tr r="I1083" s="1"/>
      </tp>
      <tp>
        <v>22.103168333799999</v>
        <stp/>
        <stp>EM_S_FA_GROSSPROFITMARGIN</stp>
        <stp>3</stp>
        <stp>603077</stp>
        <stp>12/31/2018</stp>
        <stp>1</stp>
        <tr r="I2778" s="1"/>
      </tp>
      <tp>
        <v>23.409295493799998</v>
        <stp/>
        <stp>EM_S_FA_GROSSPROFITMARGIN</stp>
        <stp>3</stp>
        <stp>603177</stp>
        <stp>12/31/2018</stp>
        <stp>1</stp>
        <tr r="I1680" s="1"/>
      </tp>
      <tp>
        <v>33.281248515000001</v>
        <stp/>
        <stp>EM_S_FA_GROSSPROFITMARGIN</stp>
        <stp>3</stp>
        <stp>002817</stp>
        <stp>12/31/2018</stp>
        <stp>1</stp>
        <tr r="I851" s="1"/>
      </tp>
      <tp>
        <v>38.758799574599998</v>
        <stp/>
        <stp>EM_S_FA_GROSSPROFITMARGIN</stp>
        <stp>3</stp>
        <stp>002917</stp>
        <stp>12/31/2018</stp>
        <stp>1</stp>
        <tr r="I3192" s="1"/>
      </tp>
      <tp>
        <v>13.9467561824</v>
        <stp/>
        <stp>EM_S_FA_GROSSPROFITMARGIN</stp>
        <stp>3</stp>
        <stp>002617</stp>
        <stp>12/31/2018</stp>
        <stp>1</stp>
        <tr r="I760" s="1"/>
      </tp>
      <tp>
        <v>25.024397732200001</v>
        <stp/>
        <stp>EM_S_FA_GROSSPROFITMARGIN</stp>
        <stp>3</stp>
        <stp>002717</stp>
        <stp>12/31/2018</stp>
        <stp>1</stp>
        <tr r="I3355" s="1"/>
      </tp>
      <tp>
        <v>34.368025846599998</v>
        <stp/>
        <stp>EM_S_FA_GROSSPROFITMARGIN</stp>
        <stp>3</stp>
        <stp>002417</stp>
        <stp>12/31/2018</stp>
        <stp>1</stp>
        <tr r="I3078" s="1"/>
      </tp>
      <tp>
        <v>70.264901778500004</v>
        <stp/>
        <stp>EM_S_FA_GROSSPROFITMARGIN</stp>
        <stp>3</stp>
        <stp>002517</stp>
        <stp>12/31/2018</stp>
        <stp>1</stp>
        <tr r="I3215" s="1"/>
      </tp>
      <tp>
        <v>19.2492096838</v>
        <stp/>
        <stp>EM_S_FA_GROSSPROFITMARGIN</stp>
        <stp>3</stp>
        <stp>002217</stp>
        <stp>12/31/2018</stp>
        <stp>1</stp>
        <tr r="I1404" s="1"/>
      </tp>
      <tp>
        <v>61.721712755399999</v>
        <stp/>
        <stp>EM_S_FA_GROSSPROFITMARGIN</stp>
        <stp>3</stp>
        <stp>002317</stp>
        <stp>12/31/2018</stp>
        <stp>1</stp>
        <tr r="I653" s="1"/>
      </tp>
      <tp>
        <v>25.871016152700001</v>
        <stp/>
        <stp>EM_S_FA_GROSSPROFITMARGIN</stp>
        <stp>3</stp>
        <stp>002017</stp>
        <stp>12/31/2018</stp>
        <stp>1</stp>
        <tr r="I3607" s="1"/>
      </tp>
      <tp>
        <v>38.948035653600002</v>
        <stp/>
        <stp>EM_S_FA_GROSSPROFITMARGIN</stp>
        <stp>3</stp>
        <stp>002117</stp>
        <stp>12/31/2018</stp>
        <stp>1</stp>
        <tr r="I2798" s="1"/>
      </tp>
      <tp>
        <v>16.5901517703</v>
        <stp/>
        <stp>EM_S_FA_GROSSPROFITMARGIN</stp>
        <stp>3</stp>
        <stp>000810</stp>
        <stp>12/31/2018</stp>
        <stp>1</stp>
        <tr r="I139" s="1"/>
      </tp>
      <tp>
        <v>26.881392655599999</v>
        <stp/>
        <stp>EM_S_FA_GROSSPROFITMARGIN</stp>
        <stp>3</stp>
        <stp>600870</stp>
        <stp>12/31/2018</stp>
        <stp>1</stp>
        <tr r="I2830" s="1"/>
      </tp>
      <tp>
        <v>36.416714458000001</v>
        <stp/>
        <stp>EM_S_FA_GROSSPROFITMARGIN</stp>
        <stp>3</stp>
        <stp>000910</stp>
        <stp>12/31/2018</stp>
        <stp>1</stp>
        <tr r="I880" s="1"/>
      </tp>
      <tp>
        <v>18.5603685349</v>
        <stp/>
        <stp>EM_S_FA_GROSSPROFITMARGIN</stp>
        <stp>3</stp>
        <stp>600970</stp>
        <stp>12/31/2018</stp>
        <stp>1</stp>
        <tr r="I1048" s="1"/>
      </tp>
      <tp>
        <v>6.3633970444000001</v>
        <stp/>
        <stp>EM_S_FA_GROSSPROFITMARGIN</stp>
        <stp>3</stp>
        <stp>000610</stp>
        <stp>12/31/2018</stp>
        <stp>1</stp>
        <tr r="I1211" s="1"/>
      </tp>
      <tp>
        <v>46.651049599899999</v>
        <stp/>
        <stp>EM_S_FA_GROSSPROFITMARGIN</stp>
        <stp>3</stp>
        <stp>300620</stp>
        <stp>12/31/2018</stp>
        <stp>1</stp>
        <tr r="I2759" s="1"/>
      </tp>
      <tp>
        <v>64.569289674800004</v>
        <stp/>
        <stp>EM_S_FA_GROSSPROFITMARGIN</stp>
        <stp>3</stp>
        <stp>600670</stp>
        <stp>12/31/2018</stp>
        <stp>1</stp>
        <tr r="I2314" s="1"/>
      </tp>
      <tp>
        <v>58.238016359299998</v>
        <stp/>
        <stp>EM_S_FA_GROSSPROFITMARGIN</stp>
        <stp>3</stp>
        <stp>000710</stp>
        <stp>12/31/2018</stp>
        <stp>1</stp>
        <tr r="I1684" s="1"/>
      </tp>
      <tp>
        <v>60.489839507600003</v>
        <stp/>
        <stp>EM_S_FA_GROSSPROFITMARGIN</stp>
        <stp>3</stp>
        <stp>300720</stp>
        <stp>12/31/2018</stp>
        <stp>1</stp>
        <tr r="I3311" s="1"/>
      </tp>
      <tp>
        <v>23.753963596599998</v>
        <stp/>
        <stp>EM_S_FA_GROSSPROFITMARGIN</stp>
        <stp>3</stp>
        <stp>600770</stp>
        <stp>12/31/2018</stp>
        <stp>1</stp>
        <tr r="I1467" s="1"/>
      </tp>
      <tp>
        <v>25.639242864500002</v>
        <stp/>
        <stp>EM_S_FA_GROSSPROFITMARGIN</stp>
        <stp>3</stp>
        <stp>000410</stp>
        <stp>12/31/2018</stp>
        <stp>1</stp>
        <tr r="I3419" s="1"/>
      </tp>
      <tp>
        <v>34.998787125699998</v>
        <stp/>
        <stp>EM_S_FA_GROSSPROFITMARGIN</stp>
        <stp>3</stp>
        <stp>300420</stp>
        <stp>12/31/2018</stp>
        <stp>1</stp>
        <tr r="I1747" s="1"/>
      </tp>
      <tp>
        <v>13.5551589556</v>
        <stp/>
        <stp>EM_S_FA_GROSSPROFITMARGIN</stp>
        <stp>3</stp>
        <stp>600470</stp>
        <stp>12/31/2018</stp>
        <stp>1</stp>
        <tr r="I1540" s="1"/>
      </tp>
      <tp>
        <v>16.892070648200001</v>
        <stp/>
        <stp>EM_S_FA_GROSSPROFITMARGIN</stp>
        <stp>3</stp>
        <stp>000510</stp>
        <stp>12/31/2018</stp>
        <stp>1</stp>
        <tr r="I1993" s="1"/>
      </tp>
      <tp>
        <v>32.376274353100001</v>
        <stp/>
        <stp>EM_S_FA_GROSSPROFITMARGIN</stp>
        <stp>3</stp>
        <stp>300520</stp>
        <stp>12/31/2018</stp>
        <stp>1</stp>
        <tr r="I1078" s="1"/>
      </tp>
      <tp>
        <v>97.105051970900007</v>
        <stp/>
        <stp>EM_S_FA_GROSSPROFITMARGIN</stp>
        <stp>3</stp>
        <stp>600570</stp>
        <stp>12/31/2018</stp>
        <stp>1</stp>
        <tr r="I583" s="1"/>
      </tp>
      <tp>
        <v>33.420942792200002</v>
        <stp/>
        <stp>EM_S_FA_GROSSPROFITMARGIN</stp>
        <stp>3</stp>
        <stp>300220</stp>
        <stp>12/31/2018</stp>
        <stp>1</stp>
        <tr r="I27" s="1"/>
      </tp>
      <tp>
        <v>0</v>
        <stp/>
        <stp>EM_S_FA_GROSSPROFITMARGIN</stp>
        <stp>3</stp>
        <stp>600270</stp>
        <stp>12/31/2018</stp>
        <stp>1</stp>
        <tr r="I2298" s="1"/>
      </tp>
      <tp>
        <v>24.181476744499999</v>
        <stp/>
        <stp>EM_S_FA_GROSSPROFITMARGIN</stp>
        <stp>3</stp>
        <stp>300320</stp>
        <stp>12/31/2018</stp>
        <stp>1</stp>
        <tr r="I1658" s="1"/>
      </tp>
      <tp>
        <v>12.071588595</v>
        <stp/>
        <stp>EM_S_FA_GROSSPROFITMARGIN</stp>
        <stp>3</stp>
        <stp>600370</stp>
        <stp>12/31/2018</stp>
        <stp>1</stp>
        <tr r="I1676" s="1"/>
      </tp>
      <tp>
        <v>13.200566460699999</v>
        <stp/>
        <stp>EM_S_FA_GROSSPROFITMARGIN</stp>
        <stp>3</stp>
        <stp>000010</stp>
        <stp>12/31/2018</stp>
        <stp>1</stp>
        <tr r="I2039" s="1"/>
      </tp>
      <tp>
        <v>24.311625617600001</v>
        <stp/>
        <stp>EM_S_FA_GROSSPROFITMARGIN</stp>
        <stp>3</stp>
        <stp>300020</stp>
        <stp>12/31/2018</stp>
        <stp>1</stp>
        <tr r="I927" s="1"/>
      </tp>
      <tp>
        <v>19.2070549257</v>
        <stp/>
        <stp>EM_S_FA_GROSSPROFITMARGIN</stp>
        <stp>3</stp>
        <stp>600070</stp>
        <stp>12/31/2018</stp>
        <stp>1</stp>
        <tr r="I667" s="1"/>
      </tp>
      <tp>
        <v>22.523311465399999</v>
        <stp/>
        <stp>EM_S_FA_GROSSPROFITMARGIN</stp>
        <stp>3</stp>
        <stp>300120</stp>
        <stp>12/31/2018</stp>
        <stp>1</stp>
        <tr r="I2024" s="1"/>
      </tp>
      <tp>
        <v>11.247244374599999</v>
        <stp/>
        <stp>EM_S_FA_GROSSPROFITMARGIN</stp>
        <stp>3</stp>
        <stp>600170</stp>
        <stp>12/31/2018</stp>
        <stp>1</stp>
        <tr r="I1414" s="1"/>
      </tp>
      <tp>
        <v>11.1671056045</v>
        <stp/>
        <stp>EM_S_FA_GROSSPROFITMARGIN</stp>
        <stp>3</stp>
        <stp>603970</stp>
        <stp>12/31/2018</stp>
        <stp>1</stp>
        <tr r="I3016" s="1"/>
      </tp>
      <tp>
        <v>25.3468584821</v>
        <stp/>
        <stp>EM_S_FA_GROSSPROFITMARGIN</stp>
        <stp>3</stp>
        <stp>002810</stp>
        <stp>12/31/2018</stp>
        <stp>1</stp>
        <tr r="I1778" s="1"/>
      </tp>
      <tp>
        <v>32.2831741209</v>
        <stp/>
        <stp>EM_S_FA_GROSSPROFITMARGIN</stp>
        <stp>3</stp>
        <stp>002910</stp>
        <stp>12/31/2018</stp>
        <stp>1</stp>
        <tr r="I2541" s="1"/>
      </tp>
      <tp>
        <v>17.991688516699998</v>
        <stp/>
        <stp>EM_S_FA_GROSSPROFITMARGIN</stp>
        <stp>3</stp>
        <stp>002610</stp>
        <stp>12/31/2018</stp>
        <stp>1</stp>
        <tr r="I2135" s="1"/>
      </tp>
      <tp>
        <v>0</v>
        <stp/>
        <stp>EM_S_FA_GROSSPROFITMARGIN</stp>
        <stp>3</stp>
        <stp>002710</stp>
        <stp>12/31/2018</stp>
        <stp>1</stp>
        <tr r="I7" s="1"/>
      </tp>
      <tp>
        <v>93.421047440300001</v>
        <stp/>
        <stp>EM_S_FA_GROSSPROFITMARGIN</stp>
        <stp>3</stp>
        <stp>002410</stp>
        <stp>12/31/2018</stp>
        <stp>1</stp>
        <tr r="I427" s="1"/>
      </tp>
      <tp>
        <v>19.433081330499999</v>
        <stp/>
        <stp>EM_S_FA_GROSSPROFITMARGIN</stp>
        <stp>3</stp>
        <stp>002510</stp>
        <stp>12/31/2018</stp>
        <stp>1</stp>
        <tr r="I994" s="1"/>
      </tp>
      <tp>
        <v>0.29686355040000001</v>
        <stp/>
        <stp>EM_S_FA_GROSSPROFITMARGIN</stp>
        <stp>3</stp>
        <stp>002210</stp>
        <stp>12/31/2018</stp>
        <stp>1</stp>
        <tr r="I3397" s="1"/>
      </tp>
      <tp>
        <v>34.068619200800001</v>
        <stp/>
        <stp>EM_S_FA_GROSSPROFITMARGIN</stp>
        <stp>3</stp>
        <stp>002310</stp>
        <stp>12/31/2018</stp>
        <stp>1</stp>
        <tr r="I3198" s="1"/>
      </tp>
      <tp>
        <v>12.006801449999999</v>
        <stp/>
        <stp>EM_S_FA_GROSSPROFITMARGIN</stp>
        <stp>3</stp>
        <stp>002010</stp>
        <stp>12/31/2018</stp>
        <stp>1</stp>
        <tr r="I1950" s="1"/>
      </tp>
      <tp>
        <v>28.666953016000001</v>
        <stp/>
        <stp>EM_S_FA_GROSSPROFITMARGIN</stp>
        <stp>3</stp>
        <stp>002110</stp>
        <stp>12/31/2018</stp>
        <stp>1</stp>
        <tr r="I3202" s="1"/>
      </tp>
      <tp>
        <v>29.249043005400001</v>
        <stp/>
        <stp>EM_S_FA_GROSSPROFITMARGIN</stp>
        <stp>3</stp>
        <stp>000811</stp>
        <stp>12/31/2018</stp>
        <stp>1</stp>
        <tr r="I843" s="1"/>
      </tp>
      <tp>
        <v>8.7123135209000004</v>
        <stp/>
        <stp>EM_S_FA_GROSSPROFITMARGIN</stp>
        <stp>3</stp>
        <stp>600871</stp>
        <stp>12/31/2018</stp>
        <stp>1</stp>
        <tr r="I1178" s="1"/>
      </tp>
      <tp>
        <v>-5.9536138118000004</v>
        <stp/>
        <stp>EM_S_FA_GROSSPROFITMARGIN</stp>
        <stp>3</stp>
        <stp>000911</stp>
        <stp>12/31/2018</stp>
        <stp>1</stp>
        <tr r="I3572" s="1"/>
      </tp>
      <tp>
        <v>45.8213871942</v>
        <stp/>
        <stp>EM_S_FA_GROSSPROFITMARGIN</stp>
        <stp>3</stp>
        <stp>600971</stp>
        <stp>12/31/2018</stp>
        <stp>1</stp>
        <tr r="I1930" s="1"/>
      </tp>
      <tp>
        <v>-17.7016719475</v>
        <stp/>
        <stp>EM_S_FA_GROSSPROFITMARGIN</stp>
        <stp>3</stp>
        <stp>000611</stp>
        <stp>12/31/2018</stp>
        <stp>1</stp>
        <tr r="I3483" s="1"/>
      </tp>
      <tp>
        <v>12.6460572109</v>
        <stp/>
        <stp>EM_S_FA_GROSSPROFITMARGIN</stp>
        <stp>3</stp>
        <stp>300621</stp>
        <stp>12/31/2018</stp>
        <stp>1</stp>
        <tr r="I1811" s="1"/>
      </tp>
      <tp>
        <v>38.1540364751</v>
        <stp/>
        <stp>EM_S_FA_GROSSPROFITMARGIN</stp>
        <stp>3</stp>
        <stp>600671</stp>
        <stp>12/31/2018</stp>
        <stp>1</stp>
        <tr r="I3131" s="1"/>
      </tp>
      <tp>
        <v>29.337775587300001</v>
        <stp/>
        <stp>EM_S_FA_GROSSPROFITMARGIN</stp>
        <stp>3</stp>
        <stp>000711</stp>
        <stp>12/31/2018</stp>
        <stp>1</stp>
        <tr r="I2850" s="1"/>
      </tp>
      <tp>
        <v>13.030098779499999</v>
        <stp/>
        <stp>EM_S_FA_GROSSPROFITMARGIN</stp>
        <stp>3</stp>
        <stp>300721</stp>
        <stp>12/31/2018</stp>
        <stp>1</stp>
        <tr r="I2599" s="1"/>
      </tp>
      <tp>
        <v>81.115826034099996</v>
        <stp/>
        <stp>EM_S_FA_GROSSPROFITMARGIN</stp>
        <stp>3</stp>
        <stp>600771</stp>
        <stp>12/31/2018</stp>
        <stp>1</stp>
        <tr r="I3341" s="1"/>
      </tp>
      <tp>
        <v>6.6096131394000004</v>
        <stp/>
        <stp>EM_S_FA_GROSSPROFITMARGIN</stp>
        <stp>3</stp>
        <stp>000411</stp>
        <stp>12/31/2018</stp>
        <stp>1</stp>
        <tr r="I2518" s="1"/>
      </tp>
      <tp>
        <v>25.634092842600001</v>
        <stp/>
        <stp>EM_S_FA_GROSSPROFITMARGIN</stp>
        <stp>3</stp>
        <stp>300421</stp>
        <stp>12/31/2018</stp>
        <stp>1</stp>
        <tr r="I3348" s="1"/>
      </tp>
      <tp>
        <v>12.3182135132</v>
        <stp/>
        <stp>EM_S_FA_GROSSPROFITMARGIN</stp>
        <stp>3</stp>
        <stp>000511</stp>
        <stp>12/31/2018</stp>
        <stp>1</stp>
        <tr r="I3436" s="1"/>
      </tp>
      <tp>
        <v>49.849479261900001</v>
        <stp/>
        <stp>EM_S_FA_GROSSPROFITMARGIN</stp>
        <stp>3</stp>
        <stp>300521</stp>
        <stp>12/31/2018</stp>
        <stp>1</stp>
        <tr r="I1258" s="1"/>
      </tp>
      <tp>
        <v>49.372392955899997</v>
        <stp/>
        <stp>EM_S_FA_GROSSPROFITMARGIN</stp>
        <stp>3</stp>
        <stp>600571</stp>
        <stp>12/31/2018</stp>
        <stp>1</stp>
        <tr r="I555" s="1"/>
      </tp>
      <tp>
        <v>12.9537114863</v>
        <stp/>
        <stp>EM_S_FA_GROSSPROFITMARGIN</stp>
        <stp>3</stp>
        <stp>300221</stp>
        <stp>12/31/2018</stp>
        <stp>1</stp>
        <tr r="I1732" s="1"/>
      </tp>
      <tp>
        <v>20.4172042328</v>
        <stp/>
        <stp>EM_S_FA_GROSSPROFITMARGIN</stp>
        <stp>3</stp>
        <stp>600271</stp>
        <stp>12/31/2018</stp>
        <stp>1</stp>
        <tr r="I2348" s="1"/>
      </tp>
      <tp>
        <v>18.680926681300001</v>
        <stp/>
        <stp>EM_S_FA_GROSSPROFITMARGIN</stp>
        <stp>3</stp>
        <stp>300321</stp>
        <stp>12/31/2018</stp>
        <stp>1</stp>
        <tr r="I1033" s="1"/>
      </tp>
      <tp>
        <v>48.988784629599998</v>
        <stp/>
        <stp>EM_S_FA_GROSSPROFITMARGIN</stp>
        <stp>3</stp>
        <stp>600371</stp>
        <stp>12/31/2018</stp>
        <stp>1</stp>
        <tr r="I193" s="1"/>
      </tp>
      <tp>
        <v>52.813905750000004</v>
        <stp/>
        <stp>EM_S_FA_GROSSPROFITMARGIN</stp>
        <stp>3</stp>
        <stp>000011</stp>
        <stp>12/31/2018</stp>
        <stp>1</stp>
        <tr r="I1983" s="1"/>
      </tp>
      <tp>
        <v>28.457458759000001</v>
        <stp/>
        <stp>EM_S_FA_GROSSPROFITMARGIN</stp>
        <stp>3</stp>
        <stp>300021</stp>
        <stp>12/31/2018</stp>
        <stp>1</stp>
        <tr r="I1058" s="1"/>
      </tp>
      <tp>
        <v>13.4150213235</v>
        <stp/>
        <stp>EM_S_FA_GROSSPROFITMARGIN</stp>
        <stp>3</stp>
        <stp>600071</stp>
        <stp>12/31/2018</stp>
        <stp>1</stp>
        <tr r="I523" s="1"/>
      </tp>
      <tp>
        <v>32.5399138983</v>
        <stp/>
        <stp>EM_S_FA_GROSSPROFITMARGIN</stp>
        <stp>3</stp>
        <stp>300121</stp>
        <stp>12/31/2018</stp>
        <stp>1</stp>
        <tr r="I3007" s="1"/>
      </tp>
      <tp>
        <v>25.612053920600001</v>
        <stp/>
        <stp>EM_S_FA_GROSSPROFITMARGIN</stp>
        <stp>3</stp>
        <stp>600171</stp>
        <stp>12/31/2018</stp>
        <stp>1</stp>
        <tr r="I298" s="1"/>
      </tp>
      <tp>
        <v>8.7113294802999999</v>
        <stp/>
        <stp>EM_S_FA_GROSSPROFITMARGIN</stp>
        <stp>3</stp>
        <stp>603871</stp>
        <stp>12/31/2018</stp>
        <stp>1</stp>
        <tr r="I2770" s="1"/>
      </tp>
      <tp>
        <v>21.9676024135</v>
        <stp/>
        <stp>EM_S_FA_GROSSPROFITMARGIN</stp>
        <stp>3</stp>
        <stp>002811</stp>
        <stp>12/31/2018</stp>
        <stp>1</stp>
        <tr r="I2796" s="1"/>
      </tp>
      <tp>
        <v>18.488812830600001</v>
        <stp/>
        <stp>EM_S_FA_GROSSPROFITMARGIN</stp>
        <stp>3</stp>
        <stp>002911</stp>
        <stp>12/31/2018</stp>
        <stp>1</stp>
        <tr r="I2725" s="1"/>
      </tp>
      <tp>
        <v>17.308469212599999</v>
        <stp/>
        <stp>EM_S_FA_GROSSPROFITMARGIN</stp>
        <stp>3</stp>
        <stp>002611</stp>
        <stp>12/31/2018</stp>
        <stp>1</stp>
        <tr r="I1539" s="1"/>
      </tp>
      <tp>
        <v>4.2104150827</v>
        <stp/>
        <stp>EM_S_FA_GROSSPROFITMARGIN</stp>
        <stp>3</stp>
        <stp>002711</stp>
        <stp>12/31/2018</stp>
        <stp>1</stp>
        <tr r="I3398" s="1"/>
      </tp>
      <tp>
        <v>25.393787953699999</v>
        <stp/>
        <stp>EM_S_FA_GROSSPROFITMARGIN</stp>
        <stp>3</stp>
        <stp>002411</stp>
        <stp>12/31/2018</stp>
        <stp>1</stp>
        <tr r="I3164" s="1"/>
      </tp>
      <tp>
        <v>34.065448538600002</v>
        <stp/>
        <stp>EM_S_FA_GROSSPROFITMARGIN</stp>
        <stp>3</stp>
        <stp>002511</stp>
        <stp>12/31/2018</stp>
        <stp>1</stp>
        <tr r="I611" s="1"/>
      </tp>
      <tp>
        <v>9.2909551062000002</v>
        <stp/>
        <stp>EM_S_FA_GROSSPROFITMARGIN</stp>
        <stp>3</stp>
        <stp>002211</stp>
        <stp>12/31/2018</stp>
        <stp>1</stp>
        <tr r="I822" s="1"/>
      </tp>
      <tp>
        <v>10.7718352833</v>
        <stp/>
        <stp>EM_S_FA_GROSSPROFITMARGIN</stp>
        <stp>3</stp>
        <stp>002311</stp>
        <stp>12/31/2018</stp>
        <stp>1</stp>
        <tr r="I476" s="1"/>
      </tp>
      <tp>
        <v>11.9679185054</v>
        <stp/>
        <stp>EM_S_FA_GROSSPROFITMARGIN</stp>
        <stp>3</stp>
        <stp>002011</stp>
        <stp>12/31/2018</stp>
        <stp>1</stp>
        <tr r="I3606" s="1"/>
      </tp>
      <tp>
        <v>32.472756191999999</v>
        <stp/>
        <stp>EM_S_FA_GROSSPROFITMARGIN</stp>
        <stp>3</stp>
        <stp>002111</stp>
        <stp>12/31/2018</stp>
        <stp>1</stp>
        <tr r="I421" s="1"/>
      </tp>
      <tp>
        <v>17.720794433999998</v>
        <stp/>
        <stp>EM_S_FA_GROSSPROFITMARGIN</stp>
        <stp>3</stp>
        <stp>601872</stp>
        <stp>12/31/2018</stp>
        <stp>1</stp>
        <tr r="I137" s="1"/>
      </tp>
      <tp>
        <v>31.943618351600001</v>
        <stp/>
        <stp>EM_S_FA_GROSSPROFITMARGIN</stp>
        <stp>3</stp>
        <stp>000812</stp>
        <stp>12/31/2018</stp>
        <stp>1</stp>
        <tr r="I2624" s="1"/>
      </tp>
      <tp>
        <v>39.114980858700001</v>
        <stp/>
        <stp>EM_S_FA_GROSSPROFITMARGIN</stp>
        <stp>3</stp>
        <stp>600872</stp>
        <stp>12/31/2018</stp>
        <stp>1</stp>
        <tr r="I909" s="1"/>
      </tp>
      <tp>
        <v>21.752587549699999</v>
        <stp/>
        <stp>EM_S_FA_GROSSPROFITMARGIN</stp>
        <stp>3</stp>
        <stp>000912</stp>
        <stp>12/31/2018</stp>
        <stp>1</stp>
        <tr r="I2196" s="1"/>
      </tp>
      <tp>
        <v>-3.3221325813</v>
        <stp/>
        <stp>EM_S_FA_GROSSPROFITMARGIN</stp>
        <stp>3</stp>
        <stp>000612</stp>
        <stp>12/31/2018</stp>
        <stp>1</stp>
        <tr r="I3484" s="1"/>
      </tp>
      <tp>
        <v>74.120344380500001</v>
        <stp/>
        <stp>EM_S_FA_GROSSPROFITMARGIN</stp>
        <stp>3</stp>
        <stp>300622</stp>
        <stp>12/31/2018</stp>
        <stp>1</stp>
        <tr r="I1369" s="1"/>
      </tp>
      <tp>
        <v>20.748390395400001</v>
        <stp/>
        <stp>EM_S_FA_GROSSPROFITMARGIN</stp>
        <stp>3</stp>
        <stp>600672</stp>
        <stp>12/31/2018</stp>
        <stp>1</stp>
        <tr r="I2315" s="1"/>
      </tp>
      <tp>
        <v>0</v>
        <stp/>
        <stp>EM_S_FA_GROSSPROFITMARGIN</stp>
        <stp>3</stp>
        <stp>000712</stp>
        <stp>12/31/2018</stp>
        <stp>1</stp>
        <tr r="I3518" s="1"/>
      </tp>
      <tp>
        <v>46.864575566900001</v>
        <stp/>
        <stp>EM_S_FA_GROSSPROFITMARGIN</stp>
        <stp>3</stp>
        <stp>300722</stp>
        <stp>12/31/2018</stp>
        <stp>1</stp>
        <tr r="I3251" s="1"/>
      </tp>
      <tp>
        <v>0</v>
        <stp/>
        <stp>EM_S_FA_GROSSPROFITMARGIN</stp>
        <stp>3</stp>
        <stp>600772</stp>
        <stp>12/31/2018</stp>
        <stp>1</stp>
        <tr r="I2321" s="1"/>
      </tp>
      <tp>
        <v>0</v>
        <stp/>
        <stp>EM_S_FA_GROSSPROFITMARGIN</stp>
        <stp>3</stp>
        <stp>000412</stp>
        <stp>12/31/2018</stp>
        <stp>1</stp>
        <tr r="I3420" s="1"/>
      </tp>
      <tp>
        <v>28.520316741599999</v>
        <stp/>
        <stp>EM_S_FA_GROSSPROFITMARGIN</stp>
        <stp>3</stp>
        <stp>300422</stp>
        <stp>12/31/2018</stp>
        <stp>1</stp>
        <tr r="I2032" s="1"/>
      </tp>
      <tp>
        <v>0</v>
        <stp/>
        <stp>EM_S_FA_GROSSPROFITMARGIN</stp>
        <stp>3</stp>
        <stp>600472</stp>
        <stp>12/31/2018</stp>
        <stp>1</stp>
        <tr r="I2303" s="1"/>
      </tp>
      <tp>
        <v>41.661815958699997</v>
        <stp/>
        <stp>EM_S_FA_GROSSPROFITMARGIN</stp>
        <stp>3</stp>
        <stp>300522</stp>
        <stp>12/31/2018</stp>
        <stp>1</stp>
        <tr r="I1837" s="1"/>
      </tp>
      <tp>
        <v>77.112209722599999</v>
        <stp/>
        <stp>EM_S_FA_GROSSPROFITMARGIN</stp>
        <stp>3</stp>
        <stp>600572</stp>
        <stp>12/31/2018</stp>
        <stp>1</stp>
        <tr r="I2179" s="1"/>
      </tp>
      <tp>
        <v>33.426958256299997</v>
        <stp/>
        <stp>EM_S_FA_GROSSPROFITMARGIN</stp>
        <stp>3</stp>
        <stp>300222</stp>
        <stp>12/31/2018</stp>
        <stp>1</stp>
        <tr r="I3309" s="1"/>
      </tp>
      <tp>
        <v>24.133815565399999</v>
        <stp/>
        <stp>EM_S_FA_GROSSPROFITMARGIN</stp>
        <stp>3</stp>
        <stp>600272</stp>
        <stp>12/31/2018</stp>
        <stp>1</stp>
        <tr r="I1919" s="1"/>
      </tp>
      <tp>
        <v>21.7898038485</v>
        <stp/>
        <stp>EM_S_FA_GROSSPROFITMARGIN</stp>
        <stp>3</stp>
        <stp>300322</stp>
        <stp>12/31/2018</stp>
        <stp>1</stp>
        <tr r="I123" s="1"/>
      </tp>
      <tp>
        <v>29.679566483599999</v>
        <stp/>
        <stp>EM_S_FA_GROSSPROFITMARGIN</stp>
        <stp>3</stp>
        <stp>600372</stp>
        <stp>12/31/2018</stp>
        <stp>1</stp>
        <tr r="I1736" s="1"/>
      </tp>
      <tp>
        <v>23.463617304</v>
        <stp/>
        <stp>EM_S_FA_GROSSPROFITMARGIN</stp>
        <stp>3</stp>
        <stp>000012</stp>
        <stp>12/31/2018</stp>
        <stp>1</stp>
        <tr r="I741" s="1"/>
      </tp>
      <tp>
        <v>16.298363955500001</v>
        <stp/>
        <stp>EM_S_FA_GROSSPROFITMARGIN</stp>
        <stp>3</stp>
        <stp>300022</stp>
        <stp>12/31/2018</stp>
        <stp>1</stp>
        <tr r="I1917" s="1"/>
      </tp>
      <tp>
        <v>10.0744850105</v>
        <stp/>
        <stp>EM_S_FA_GROSSPROFITMARGIN</stp>
        <stp>3</stp>
        <stp>600072</stp>
        <stp>12/31/2018</stp>
        <stp>1</stp>
        <tr r="I198" s="1"/>
      </tp>
      <tp>
        <v>54.766818004699999</v>
        <stp/>
        <stp>EM_S_FA_GROSSPROFITMARGIN</stp>
        <stp>3</stp>
        <stp>300122</stp>
        <stp>12/31/2018</stp>
        <stp>1</stp>
        <tr r="I1101" s="1"/>
      </tp>
      <tp>
        <v>22.9257613439</v>
        <stp/>
        <stp>EM_S_FA_GROSSPROFITMARGIN</stp>
        <stp>3</stp>
        <stp>600172</stp>
        <stp>12/31/2018</stp>
        <stp>1</stp>
        <tr r="I2575" s="1"/>
      </tp>
      <tp>
        <v>42.048365235200002</v>
        <stp/>
        <stp>EM_S_FA_GROSSPROFITMARGIN</stp>
        <stp>3</stp>
        <stp>002812</stp>
        <stp>12/31/2018</stp>
        <stp>1</stp>
        <tr r="I2026" s="1"/>
      </tp>
      <tp>
        <v>78.665958429699998</v>
        <stp/>
        <stp>EM_S_FA_GROSSPROFITMARGIN</stp>
        <stp>3</stp>
        <stp>002912</stp>
        <stp>12/31/2018</stp>
        <stp>1</stp>
        <tr r="I494" s="1"/>
      </tp>
      <tp>
        <v>57.947746661399997</v>
        <stp/>
        <stp>EM_S_FA_GROSSPROFITMARGIN</stp>
        <stp>3</stp>
        <stp>002612</stp>
        <stp>12/31/2018</stp>
        <stp>1</stp>
        <tr r="I1881" s="1"/>
      </tp>
      <tp>
        <v>11.2902174876</v>
        <stp/>
        <stp>EM_S_FA_GROSSPROFITMARGIN</stp>
        <stp>3</stp>
        <stp>002712</stp>
        <stp>12/31/2018</stp>
        <stp>1</stp>
        <tr r="I708" s="1"/>
      </tp>
      <tp>
        <v>74.3222935119</v>
        <stp/>
        <stp>EM_S_FA_GROSSPROFITMARGIN</stp>
        <stp>3</stp>
        <stp>002412</stp>
        <stp>12/31/2018</stp>
        <stp>1</stp>
        <tr r="I3306" s="1"/>
      </tp>
      <tp>
        <v>9.1973429807000002</v>
        <stp/>
        <stp>EM_S_FA_GROSSPROFITMARGIN</stp>
        <stp>3</stp>
        <stp>002512</stp>
        <stp>12/31/2018</stp>
        <stp>1</stp>
        <tr r="I1261" s="1"/>
      </tp>
      <tp>
        <v>24.702740917</v>
        <stp/>
        <stp>EM_S_FA_GROSSPROFITMARGIN</stp>
        <stp>3</stp>
        <stp>002212</stp>
        <stp>12/31/2018</stp>
        <stp>1</stp>
        <tr r="I305" s="1"/>
      </tp>
      <tp>
        <v>9.4149251970000005</v>
        <stp/>
        <stp>EM_S_FA_GROSSPROFITMARGIN</stp>
        <stp>3</stp>
        <stp>002312</stp>
        <stp>12/31/2018</stp>
        <stp>1</stp>
        <tr r="I876" s="1"/>
      </tp>
      <tp>
        <v>22.969322737300001</v>
        <stp/>
        <stp>EM_S_FA_GROSSPROFITMARGIN</stp>
        <stp>3</stp>
        <stp>002012</stp>
        <stp>12/31/2018</stp>
        <stp>1</stp>
        <tr r="I608" s="1"/>
      </tp>
      <tp>
        <v>12.8348013741</v>
        <stp/>
        <stp>EM_S_FA_GROSSPROFITMARGIN</stp>
        <stp>3</stp>
        <stp>002112</stp>
        <stp>12/31/2018</stp>
        <stp>1</stp>
        <tr r="I2156" s="1"/>
      </tp>
      <tp>
        <v>92.626655570899999</v>
        <stp/>
        <stp>EM_S_FA_GROSSPROFITMARGIN</stp>
        <stp>3</stp>
        <stp>000813</stp>
        <stp>12/31/2018</stp>
        <stp>1</stp>
        <tr r="I3236" s="1"/>
      </tp>
      <tp>
        <v>24.9031893105</v>
        <stp/>
        <stp>EM_S_FA_GROSSPROFITMARGIN</stp>
        <stp>3</stp>
        <stp>600873</stp>
        <stp>12/31/2018</stp>
        <stp>1</stp>
        <tr r="I2002" s="1"/>
      </tp>
      <tp>
        <v>21.258903546700001</v>
        <stp/>
        <stp>EM_S_FA_GROSSPROFITMARGIN</stp>
        <stp>3</stp>
        <stp>000913</stp>
        <stp>12/31/2018</stp>
        <stp>1</stp>
        <tr r="I1323" s="1"/>
      </tp>
      <tp>
        <v>6.2180459162000004</v>
        <stp/>
        <stp>EM_S_FA_GROSSPROFITMARGIN</stp>
        <stp>3</stp>
        <stp>600973</stp>
        <stp>12/31/2018</stp>
        <stp>1</stp>
        <tr r="I2049" s="1"/>
      </tp>
      <tp>
        <v>60.1729215915</v>
        <stp/>
        <stp>EM_S_FA_GROSSPROFITMARGIN</stp>
        <stp>3</stp>
        <stp>000613</stp>
        <stp>12/31/2018</stp>
        <stp>1</stp>
        <tr r="I3064" s="1"/>
      </tp>
      <tp>
        <v>48.8631772723</v>
        <stp/>
        <stp>EM_S_FA_GROSSPROFITMARGIN</stp>
        <stp>3</stp>
        <stp>300623</stp>
        <stp>12/31/2018</stp>
        <stp>1</stp>
        <tr r="I1635" s="1"/>
      </tp>
      <tp>
        <v>35.1503480031</v>
        <stp/>
        <stp>EM_S_FA_GROSSPROFITMARGIN</stp>
        <stp>3</stp>
        <stp>600673</stp>
        <stp>12/31/2018</stp>
        <stp>1</stp>
        <tr r="I859" s="1"/>
      </tp>
      <tp>
        <v>16.272357251500001</v>
        <stp/>
        <stp>EM_S_FA_GROSSPROFITMARGIN</stp>
        <stp>3</stp>
        <stp>000713</stp>
        <stp>12/31/2018</stp>
        <stp>1</stp>
        <tr r="I252" s="1"/>
      </tp>
      <tp>
        <v>72.475855956700002</v>
        <stp/>
        <stp>EM_S_FA_GROSSPROFITMARGIN</stp>
        <stp>3</stp>
        <stp>300723</stp>
        <stp>12/31/2018</stp>
        <stp>1</stp>
        <tr r="I648" s="1"/>
      </tp>
      <tp>
        <v>43.547672287899999</v>
        <stp/>
        <stp>EM_S_FA_GROSSPROFITMARGIN</stp>
        <stp>3</stp>
        <stp>600773</stp>
        <stp>12/31/2018</stp>
        <stp>1</stp>
        <tr r="I2483" s="1"/>
      </tp>
      <tp>
        <v>17.7501576473</v>
        <stp/>
        <stp>EM_S_FA_GROSSPROFITMARGIN</stp>
        <stp>3</stp>
        <stp>000413</stp>
        <stp>12/31/2018</stp>
        <stp>1</stp>
        <tr r="I3142" s="1"/>
      </tp>
      <tp>
        <v>39.1698383624</v>
        <stp/>
        <stp>EM_S_FA_GROSSPROFITMARGIN</stp>
        <stp>3</stp>
        <stp>300423</stp>
        <stp>12/31/2018</stp>
        <stp>1</stp>
        <tr r="I3152" s="1"/>
      </tp>
      <tp>
        <v>62.083448573600002</v>
        <stp/>
        <stp>EM_S_FA_GROSSPROFITMARGIN</stp>
        <stp>3</stp>
        <stp>000513</stp>
        <stp>12/31/2018</stp>
        <stp>1</stp>
        <tr r="I913" s="1"/>
      </tp>
      <tp>
        <v>55.640189370000002</v>
        <stp/>
        <stp>EM_S_FA_GROSSPROFITMARGIN</stp>
        <stp>3</stp>
        <stp>300523</stp>
        <stp>12/31/2018</stp>
        <stp>1</stp>
        <tr r="I3143" s="1"/>
      </tp>
      <tp>
        <v>25.492833880999999</v>
        <stp/>
        <stp>EM_S_FA_GROSSPROFITMARGIN</stp>
        <stp>3</stp>
        <stp>600573</stp>
        <stp>12/31/2018</stp>
        <stp>1</stp>
        <tr r="I2085" s="1"/>
      </tp>
      <tp>
        <v>39.863106747899998</v>
        <stp/>
        <stp>EM_S_FA_GROSSPROFITMARGIN</stp>
        <stp>3</stp>
        <stp>300223</stp>
        <stp>12/31/2018</stp>
        <stp>1</stp>
        <tr r="I20" s="1"/>
      </tp>
      <tp>
        <v>30.623068137800001</v>
        <stp/>
        <stp>EM_S_FA_GROSSPROFITMARGIN</stp>
        <stp>3</stp>
        <stp>600273</stp>
        <stp>12/31/2018</stp>
        <stp>1</stp>
        <tr r="I1116" s="1"/>
      </tp>
      <tp>
        <v>28.963781962300001</v>
        <stp/>
        <stp>EM_S_FA_GROSSPROFITMARGIN</stp>
        <stp>3</stp>
        <stp>300323</stp>
        <stp>12/31/2018</stp>
        <stp>1</stp>
        <tr r="I2365" s="1"/>
      </tp>
      <tp>
        <v>37.664239213899997</v>
        <stp/>
        <stp>EM_S_FA_GROSSPROFITMARGIN</stp>
        <stp>3</stp>
        <stp>600373</stp>
        <stp>12/31/2018</stp>
        <stp>1</stp>
        <tr r="I2059" s="1"/>
      </tp>
      <tp>
        <v>0</v>
        <stp/>
        <stp>EM_S_FA_GROSSPROFITMARGIN</stp>
        <stp>3</stp>
        <stp>000013</stp>
        <stp>12/31/2018</stp>
        <stp>1</stp>
        <tr r="I2272" s="1"/>
      </tp>
      <tp>
        <v>-25.991430991600001</v>
        <stp/>
        <stp>EM_S_FA_GROSSPROFITMARGIN</stp>
        <stp>3</stp>
        <stp>300023</stp>
        <stp>12/31/2018</stp>
        <stp>1</stp>
        <tr r="I1352" s="1"/>
      </tp>
      <tp>
        <v>12.9271707323</v>
        <stp/>
        <stp>EM_S_FA_GROSSPROFITMARGIN</stp>
        <stp>3</stp>
        <stp>600073</stp>
        <stp>12/31/2018</stp>
        <stp>1</stp>
        <tr r="I1973" s="1"/>
      </tp>
      <tp>
        <v>34.1729756282</v>
        <stp/>
        <stp>EM_S_FA_GROSSPROFITMARGIN</stp>
        <stp>3</stp>
        <stp>300123</stp>
        <stp>12/31/2018</stp>
        <stp>1</stp>
        <tr r="I2994" s="1"/>
      </tp>
      <tp>
        <v>44.726113173599998</v>
        <stp/>
        <stp>EM_S_FA_GROSSPROFITMARGIN</stp>
        <stp>3</stp>
        <stp>600173</stp>
        <stp>12/31/2018</stp>
        <stp>1</stp>
        <tr r="I786" s="1"/>
      </tp>
      <tp>
        <v>48.979414419800001</v>
        <stp/>
        <stp>EM_S_FA_GROSSPROFITMARGIN</stp>
        <stp>3</stp>
        <stp>603773</stp>
        <stp>12/31/2018</stp>
        <stp>1</stp>
        <tr r="I3149" s="1"/>
      </tp>
      <tp>
        <v>14.6289900896</v>
        <stp/>
        <stp>EM_S_FA_GROSSPROFITMARGIN</stp>
        <stp>3</stp>
        <stp>002813</stp>
        <stp>12/31/2018</stp>
        <stp>1</stp>
        <tr r="I2566" s="1"/>
      </tp>
      <tp>
        <v>23.944159515599999</v>
        <stp/>
        <stp>EM_S_FA_GROSSPROFITMARGIN</stp>
        <stp>3</stp>
        <stp>002913</stp>
        <stp>12/31/2018</stp>
        <stp>1</stp>
        <tr r="I570" s="1"/>
      </tp>
      <tp>
        <v>20.541969295299999</v>
        <stp/>
        <stp>EM_S_FA_GROSSPROFITMARGIN</stp>
        <stp>3</stp>
        <stp>002613</stp>
        <stp>12/31/2018</stp>
        <stp>1</stp>
        <tr r="I2072" s="1"/>
      </tp>
      <tp>
        <v>37.1614025457</v>
        <stp/>
        <stp>EM_S_FA_GROSSPROFITMARGIN</stp>
        <stp>3</stp>
        <stp>002713</stp>
        <stp>12/31/2018</stp>
        <stp>1</stp>
        <tr r="I3382" s="1"/>
      </tp>
      <tp>
        <v>43.797300925800002</v>
        <stp/>
        <stp>EM_S_FA_GROSSPROFITMARGIN</stp>
        <stp>3</stp>
        <stp>002413</stp>
        <stp>12/31/2018</stp>
        <stp>1</stp>
        <tr r="I2131" s="1"/>
      </tp>
      <tp>
        <v>24.336018353699998</v>
        <stp/>
        <stp>EM_S_FA_GROSSPROFITMARGIN</stp>
        <stp>3</stp>
        <stp>002513</stp>
        <stp>12/31/2018</stp>
        <stp>1</stp>
        <tr r="I1792" s="1"/>
      </tp>
      <tp>
        <v>29.429347675199999</v>
        <stp/>
        <stp>EM_S_FA_GROSSPROFITMARGIN</stp>
        <stp>3</stp>
        <stp>002213</stp>
        <stp>12/31/2018</stp>
        <stp>1</stp>
        <tr r="I924" s="1"/>
      </tp>
      <tp>
        <v>17.652771640699999</v>
        <stp/>
        <stp>EM_S_FA_GROSSPROFITMARGIN</stp>
        <stp>3</stp>
        <stp>002313</stp>
        <stp>12/31/2018</stp>
        <stp>1</stp>
        <tr r="I2845" s="1"/>
      </tp>
      <tp>
        <v>26.2988775032</v>
        <stp/>
        <stp>EM_S_FA_GROSSPROFITMARGIN</stp>
        <stp>3</stp>
        <stp>002013</stp>
        <stp>12/31/2018</stp>
        <stp>1</stp>
        <tr r="I1925" s="1"/>
      </tp>
      <tp>
        <v>50.320380265700003</v>
        <stp/>
        <stp>EM_S_FA_GROSSPROFITMARGIN</stp>
        <stp>3</stp>
        <stp>002113</stp>
        <stp>12/31/2018</stp>
        <stp>1</stp>
        <tr r="I3352" s="1"/>
      </tp>
      <tp>
        <v>0</v>
        <stp/>
        <stp>EM_S_FA_GROSSPROFITMARGIN</stp>
        <stp>3</stp>
        <stp>601878</stp>
        <stp>12/31/2018</stp>
        <stp>1</stp>
        <tr r="I466" s="1"/>
      </tp>
      <tp>
        <v>27.981139107499999</v>
        <stp/>
        <stp>EM_S_FA_GROSSPROFITMARGIN</stp>
        <stp>3</stp>
        <stp>601678</stp>
        <stp>12/31/2018</stp>
        <stp>1</stp>
        <tr r="I1202" s="1"/>
      </tp>
      <tp>
        <v>25.7646152708</v>
        <stp/>
        <stp>EM_S_FA_GROSSPROFITMARGIN</stp>
        <stp>3</stp>
        <stp>000818</stp>
        <stp>12/31/2018</stp>
        <stp>1</stp>
        <tr r="I176" s="1"/>
      </tp>
      <tp>
        <v>22.910024507799999</v>
        <stp/>
        <stp>EM_S_FA_GROSSPROFITMARGIN</stp>
        <stp>3</stp>
        <stp>600878</stp>
        <stp>12/31/2018</stp>
        <stp>1</stp>
        <tr r="I2332" s="1"/>
      </tp>
      <tp>
        <v>13.1801041523</v>
        <stp/>
        <stp>EM_S_FA_GROSSPROFITMARGIN</stp>
        <stp>3</stp>
        <stp>000918</stp>
        <stp>12/31/2018</stp>
        <stp>1</stp>
        <tr r="I3575" s="1"/>
      </tp>
      <tp>
        <v>32.746008850499997</v>
        <stp/>
        <stp>EM_S_FA_GROSSPROFITMARGIN</stp>
        <stp>3</stp>
        <stp>600978</stp>
        <stp>12/31/2018</stp>
        <stp>1</stp>
        <tr r="I3195" s="1"/>
      </tp>
      <tp>
        <v>0</v>
        <stp/>
        <stp>EM_S_FA_GROSSPROFITMARGIN</stp>
        <stp>3</stp>
        <stp>000618</stp>
        <stp>12/31/2018</stp>
        <stp>1</stp>
        <tr r="I3485" s="1"/>
      </tp>
      <tp>
        <v>61.788219546100002</v>
        <stp/>
        <stp>EM_S_FA_GROSSPROFITMARGIN</stp>
        <stp>3</stp>
        <stp>300628</stp>
        <stp>12/31/2018</stp>
        <stp>1</stp>
        <tr r="I2626" s="1"/>
      </tp>
      <tp>
        <v>21.8256160838</v>
        <stp/>
        <stp>EM_S_FA_GROSSPROFITMARGIN</stp>
        <stp>3</stp>
        <stp>600678</stp>
        <stp>12/31/2018</stp>
        <stp>1</stp>
        <tr r="I1034" s="1"/>
      </tp>
      <tp>
        <v>60.950258673599997</v>
        <stp/>
        <stp>EM_S_FA_GROSSPROFITMARGIN</stp>
        <stp>3</stp>
        <stp>000718</stp>
        <stp>12/31/2018</stp>
        <stp>1</stp>
        <tr r="I3519" s="1"/>
      </tp>
      <tp>
        <v>0</v>
        <stp/>
        <stp>EM_S_FA_GROSSPROFITMARGIN</stp>
        <stp>3</stp>
        <stp>300728</stp>
        <stp>12/31/2018</stp>
        <stp>1</stp>
        <tr r="I11" s="1"/>
      </tp>
      <tp>
        <v>24.252015689099998</v>
        <stp/>
        <stp>EM_S_FA_GROSSPROFITMARGIN</stp>
        <stp>3</stp>
        <stp>600778</stp>
        <stp>12/31/2018</stp>
        <stp>1</stp>
        <tr r="I1299" s="1"/>
      </tp>
      <tp>
        <v>26.2000252622</v>
        <stp/>
        <stp>EM_S_FA_GROSSPROFITMARGIN</stp>
        <stp>3</stp>
        <stp>000418</stp>
        <stp>12/31/2018</stp>
        <stp>1</stp>
        <tr r="I870" s="1"/>
      </tp>
      <tp>
        <v>18.994330590400001</v>
        <stp/>
        <stp>EM_S_FA_GROSSPROFITMARGIN</stp>
        <stp>3</stp>
        <stp>300428</stp>
        <stp>12/31/2018</stp>
        <stp>1</stp>
        <tr r="I1051" s="1"/>
      </tp>
      <tp>
        <v>17.605808016299999</v>
        <stp/>
        <stp>EM_S_FA_GROSSPROFITMARGIN</stp>
        <stp>3</stp>
        <stp>600478</stp>
        <stp>12/31/2018</stp>
        <stp>1</stp>
        <tr r="I1797" s="1"/>
      </tp>
      <tp>
        <v>75.129772742300005</v>
        <stp/>
        <stp>EM_S_FA_GROSSPROFITMARGIN</stp>
        <stp>3</stp>
        <stp>000518</stp>
        <stp>12/31/2018</stp>
        <stp>1</stp>
        <tr r="I3441" s="1"/>
      </tp>
      <tp>
        <v>39.830245773100003</v>
        <stp/>
        <stp>EM_S_FA_GROSSPROFITMARGIN</stp>
        <stp>3</stp>
        <stp>300528</stp>
        <stp>12/31/2018</stp>
        <stp>1</stp>
        <tr r="I3044" s="1"/>
      </tp>
      <tp>
        <v>10.705157932400001</v>
        <stp/>
        <stp>EM_S_FA_GROSSPROFITMARGIN</stp>
        <stp>3</stp>
        <stp>600578</stp>
        <stp>12/31/2018</stp>
        <stp>1</stp>
        <tr r="I1962" s="1"/>
      </tp>
      <tp>
        <v>31.1009802148</v>
        <stp/>
        <stp>EM_S_FA_GROSSPROFITMARGIN</stp>
        <stp>3</stp>
        <stp>300228</stp>
        <stp>12/31/2018</stp>
        <stp>1</stp>
        <tr r="I1991" s="1"/>
      </tp>
      <tp>
        <v>5.5981807701999999</v>
        <stp/>
        <stp>EM_S_FA_GROSSPROFITMARGIN</stp>
        <stp>3</stp>
        <stp>600278</stp>
        <stp>12/31/2018</stp>
        <stp>1</stp>
        <tr r="I923" s="1"/>
      </tp>
      <tp>
        <v>23.315680132000001</v>
        <stp/>
        <stp>EM_S_FA_GROSSPROFITMARGIN</stp>
        <stp>3</stp>
        <stp>300328</stp>
        <stp>12/31/2018</stp>
        <stp>1</stp>
        <tr r="I97" s="1"/>
      </tp>
      <tp>
        <v>31.060547787499999</v>
        <stp/>
        <stp>EM_S_FA_GROSSPROFITMARGIN</stp>
        <stp>3</stp>
        <stp>600378</stp>
        <stp>12/31/2018</stp>
        <stp>1</stp>
        <tr r="I132" s="1"/>
      </tp>
      <tp>
        <v>-0.92760865540000004</v>
        <stp/>
        <stp>EM_S_FA_GROSSPROFITMARGIN</stp>
        <stp>3</stp>
        <stp>000018</stp>
        <stp>12/31/2018</stp>
        <stp>1</stp>
        <tr r="I3409" s="1"/>
      </tp>
      <tp>
        <v>-18.240828971700001</v>
        <stp/>
        <stp>EM_S_FA_GROSSPROFITMARGIN</stp>
        <stp>3</stp>
        <stp>300028</stp>
        <stp>12/31/2018</stp>
        <stp>1</stp>
        <tr r="I2280" s="1"/>
      </tp>
      <tp>
        <v>16.263734660600001</v>
        <stp/>
        <stp>EM_S_FA_GROSSPROFITMARGIN</stp>
        <stp>3</stp>
        <stp>600078</stp>
        <stp>12/31/2018</stp>
        <stp>1</stp>
        <tr r="I391" s="1"/>
      </tp>
      <tp>
        <v>8.7771174133999992</v>
        <stp/>
        <stp>EM_S_FA_GROSSPROFITMARGIN</stp>
        <stp>3</stp>
        <stp>300128</stp>
        <stp>12/31/2018</stp>
        <stp>1</stp>
        <tr r="I1612" s="1"/>
      </tp>
      <tp>
        <v>11.349779774</v>
        <stp/>
        <stp>EM_S_FA_GROSSPROFITMARGIN</stp>
        <stp>3</stp>
        <stp>600178</stp>
        <stp>12/31/2018</stp>
        <stp>1</stp>
        <tr r="I1550" s="1"/>
      </tp>
      <tp>
        <v>20.544729161300001</v>
        <stp/>
        <stp>EM_S_FA_GROSSPROFITMARGIN</stp>
        <stp>3</stp>
        <stp>603878</stp>
        <stp>12/31/2018</stp>
        <stp>1</stp>
        <tr r="I2363" s="1"/>
      </tp>
      <tp>
        <v>20.5859123191</v>
        <stp/>
        <stp>EM_S_FA_GROSSPROFITMARGIN</stp>
        <stp>3</stp>
        <stp>603978</stp>
        <stp>12/31/2018</stp>
        <stp>1</stp>
        <tr r="I780" s="1"/>
      </tp>
      <tp>
        <v>35.073570996100003</v>
        <stp/>
        <stp>EM_S_FA_GROSSPROFITMARGIN</stp>
        <stp>3</stp>
        <stp>603678</stp>
        <stp>12/31/2018</stp>
        <stp>1</stp>
        <tr r="I631" s="1"/>
      </tp>
      <tp>
        <v>23.206288324100001</v>
        <stp/>
        <stp>EM_S_FA_GROSSPROFITMARGIN</stp>
        <stp>3</stp>
        <stp>603778</stp>
        <stp>12/31/2018</stp>
        <stp>1</stp>
        <tr r="I2264" s="1"/>
      </tp>
      <tp>
        <v>29.418192575599999</v>
        <stp/>
        <stp>EM_S_FA_GROSSPROFITMARGIN</stp>
        <stp>3</stp>
        <stp>603578</stp>
        <stp>12/31/2018</stp>
        <stp>1</stp>
        <tr r="I1869" s="1"/>
      </tp>
      <tp>
        <v>16.050494981300002</v>
        <stp/>
        <stp>EM_S_FA_GROSSPROFITMARGIN</stp>
        <stp>3</stp>
        <stp>603278</stp>
        <stp>12/31/2018</stp>
        <stp>1</stp>
        <tr r="I3255" s="1"/>
      </tp>
      <tp>
        <v>29.4901248161</v>
        <stp/>
        <stp>EM_S_FA_GROSSPROFITMARGIN</stp>
        <stp>3</stp>
        <stp>603378</stp>
        <stp>12/31/2018</stp>
        <stp>1</stp>
        <tr r="I357" s="1"/>
      </tp>
      <tp>
        <v>30.5858555756</v>
        <stp/>
        <stp>EM_S_FA_GROSSPROFITMARGIN</stp>
        <stp>3</stp>
        <stp>603078</stp>
        <stp>12/31/2018</stp>
        <stp>1</stp>
        <tr r="I1260" s="1"/>
      </tp>
      <tp>
        <v>18.6033510394</v>
        <stp/>
        <stp>EM_S_FA_GROSSPROFITMARGIN</stp>
        <stp>3</stp>
        <stp>603178</stp>
        <stp>12/31/2018</stp>
        <stp>1</stp>
        <tr r="I1243" s="1"/>
      </tp>
      <tp>
        <v>70.083667691900004</v>
        <stp/>
        <stp>EM_S_FA_GROSSPROFITMARGIN</stp>
        <stp>3</stp>
        <stp>002818</stp>
        <stp>12/31/2018</stp>
        <stp>1</stp>
        <tr r="I3300" s="1"/>
      </tp>
      <tp>
        <v>36.773573155900003</v>
        <stp/>
        <stp>EM_S_FA_GROSSPROFITMARGIN</stp>
        <stp>3</stp>
        <stp>002918</stp>
        <stp>12/31/2018</stp>
        <stp>1</stp>
        <tr r="I1272" s="1"/>
      </tp>
      <tp>
        <v>41.160871949300002</v>
        <stp/>
        <stp>EM_S_FA_GROSSPROFITMARGIN</stp>
        <stp>3</stp>
        <stp>002618</stp>
        <stp>12/31/2018</stp>
        <stp>1</stp>
        <tr r="I2739" s="1"/>
      </tp>
      <tp>
        <v>36.435140355100003</v>
        <stp/>
        <stp>EM_S_FA_GROSSPROFITMARGIN</stp>
        <stp>3</stp>
        <stp>002718</stp>
        <stp>12/31/2018</stp>
        <stp>1</stp>
        <tr r="I3310" s="1"/>
      </tp>
      <tp>
        <v>7.2582549286000004</v>
        <stp/>
        <stp>EM_S_FA_GROSSPROFITMARGIN</stp>
        <stp>3</stp>
        <stp>002418</stp>
        <stp>12/31/2018</stp>
        <stp>1</stp>
        <tr r="I2643" s="1"/>
      </tp>
      <tp>
        <v>29.739692504299999</v>
        <stp/>
        <stp>EM_S_FA_GROSSPROFITMARGIN</stp>
        <stp>3</stp>
        <stp>002518</stp>
        <stp>12/31/2018</stp>
        <stp>1</stp>
        <tr r="I588" s="1"/>
      </tp>
      <tp>
        <v>27.827606129700001</v>
        <stp/>
        <stp>EM_S_FA_GROSSPROFITMARGIN</stp>
        <stp>3</stp>
        <stp>002218</stp>
        <stp>12/31/2018</stp>
        <stp>1</stp>
        <tr r="I1748" s="1"/>
      </tp>
      <tp>
        <v>25.061976916599999</v>
        <stp/>
        <stp>EM_S_FA_GROSSPROFITMARGIN</stp>
        <stp>3</stp>
        <stp>002318</stp>
        <stp>12/31/2018</stp>
        <stp>1</stp>
        <tr r="I566" s="1"/>
      </tp>
      <tp>
        <v>11.1147039155</v>
        <stp/>
        <stp>EM_S_FA_GROSSPROFITMARGIN</stp>
        <stp>3</stp>
        <stp>002018</stp>
        <stp>12/31/2018</stp>
        <stp>1</stp>
        <tr r="I3608" s="1"/>
      </tp>
      <tp>
        <v>64.8391838119</v>
        <stp/>
        <stp>EM_S_FA_GROSSPROFITMARGIN</stp>
        <stp>3</stp>
        <stp>002118</stp>
        <stp>12/31/2018</stp>
        <stp>1</stp>
        <tr r="I754" s="1"/>
      </tp>
      <tp>
        <v>44.565109273200001</v>
        <stp/>
        <stp>EM_S_FA_GROSSPROFITMARGIN</stp>
        <stp>3</stp>
        <stp>601579</stp>
        <stp>12/31/2018</stp>
        <stp>1</stp>
        <tr r="I2532" s="1"/>
      </tp>
      <tp>
        <v>24.547791362200002</v>
        <stp/>
        <stp>EM_S_FA_GROSSPROFITMARGIN</stp>
        <stp>3</stp>
        <stp>601179</stp>
        <stp>12/31/2018</stp>
        <stp>1</stp>
        <tr r="I1813" s="1"/>
      </tp>
      <tp>
        <v>8.4296323541000007</v>
        <stp/>
        <stp>EM_S_FA_GROSSPROFITMARGIN</stp>
        <stp>3</stp>
        <stp>000819</stp>
        <stp>12/31/2018</stp>
        <stp>1</stp>
        <tr r="I2694" s="1"/>
      </tp>
      <tp>
        <v>17.623643920300001</v>
        <stp/>
        <stp>EM_S_FA_GROSSPROFITMARGIN</stp>
        <stp>3</stp>
        <stp>600879</stp>
        <stp>12/31/2018</stp>
        <stp>1</stp>
        <tr r="I1674" s="1"/>
      </tp>
      <tp>
        <v>24.018693019400001</v>
        <stp/>
        <stp>EM_S_FA_GROSSPROFITMARGIN</stp>
        <stp>3</stp>
        <stp>000919</stp>
        <stp>12/31/2018</stp>
        <stp>1</stp>
        <tr r="I3576" s="1"/>
      </tp>
      <tp>
        <v>31.224856797000001</v>
        <stp/>
        <stp>EM_S_FA_GROSSPROFITMARGIN</stp>
        <stp>3</stp>
        <stp>600979</stp>
        <stp>12/31/2018</stp>
        <stp>1</stp>
        <tr r="I2045" s="1"/>
      </tp>
      <tp>
        <v>11.2556860149</v>
        <stp/>
        <stp>EM_S_FA_GROSSPROFITMARGIN</stp>
        <stp>3</stp>
        <stp>000619</stp>
        <stp>12/31/2018</stp>
        <stp>1</stp>
        <tr r="I1623" s="1"/>
      </tp>
      <tp>
        <v>29.637753062000002</v>
        <stp/>
        <stp>EM_S_FA_GROSSPROFITMARGIN</stp>
        <stp>3</stp>
        <stp>300629</stp>
        <stp>12/31/2018</stp>
        <stp>1</stp>
        <tr r="I1628" s="1"/>
      </tp>
      <tp>
        <v>18.320191714300002</v>
        <stp/>
        <stp>EM_S_FA_GROSSPROFITMARGIN</stp>
        <stp>3</stp>
        <stp>600679</stp>
        <stp>12/31/2018</stp>
        <stp>1</stp>
        <tr r="I1214" s="1"/>
      </tp>
      <tp>
        <v>28.963948738999999</v>
        <stp/>
        <stp>EM_S_FA_GROSSPROFITMARGIN</stp>
        <stp>3</stp>
        <stp>000719</stp>
        <stp>12/31/2018</stp>
        <stp>1</stp>
        <tr r="I2726" s="1"/>
      </tp>
      <tp>
        <v>44.198310981299997</v>
        <stp/>
        <stp>EM_S_FA_GROSSPROFITMARGIN</stp>
        <stp>3</stp>
        <stp>300729</stp>
        <stp>12/31/2018</stp>
        <stp>1</stp>
        <tr r="I1886" s="1"/>
      </tp>
      <tp>
        <v>81.865886694500006</v>
        <stp/>
        <stp>EM_S_FA_GROSSPROFITMARGIN</stp>
        <stp>3</stp>
        <stp>600779</stp>
        <stp>12/31/2018</stp>
        <stp>1</stp>
        <tr r="I355" s="1"/>
      </tp>
      <tp>
        <v>21.297683206599999</v>
        <stp/>
        <stp>EM_S_FA_GROSSPROFITMARGIN</stp>
        <stp>3</stp>
        <stp>000419</stp>
        <stp>12/31/2018</stp>
        <stp>1</stp>
        <tr r="I3422" s="1"/>
      </tp>
      <tp>
        <v>40.0363232371</v>
        <stp/>
        <stp>EM_S_FA_GROSSPROFITMARGIN</stp>
        <stp>3</stp>
        <stp>300429</stp>
        <stp>12/31/2018</stp>
        <stp>1</stp>
        <tr r="I3351" s="1"/>
      </tp>
      <tp>
        <v>46.635341735099999</v>
        <stp/>
        <stp>EM_S_FA_GROSSPROFITMARGIN</stp>
        <stp>3</stp>
        <stp>600479</stp>
        <stp>12/31/2018</stp>
        <stp>1</stp>
        <tr r="I1683" s="1"/>
      </tp>
      <tp>
        <v>23.130554908299999</v>
        <stp/>
        <stp>EM_S_FA_GROSSPROFITMARGIN</stp>
        <stp>3</stp>
        <stp>000519</stp>
        <stp>12/31/2018</stp>
        <stp>1</stp>
        <tr r="I1223" s="1"/>
      </tp>
      <tp>
        <v>84.806817154699999</v>
        <stp/>
        <stp>EM_S_FA_GROSSPROFITMARGIN</stp>
        <stp>3</stp>
        <stp>300529</stp>
        <stp>12/31/2018</stp>
        <stp>1</stp>
        <tr r="I323" s="1"/>
      </tp>
      <tp>
        <v>25.379555443600001</v>
        <stp/>
        <stp>EM_S_FA_GROSSPROFITMARGIN</stp>
        <stp>3</stp>
        <stp>600579</stp>
        <stp>12/31/2018</stp>
        <stp>1</stp>
        <tr r="I3071" s="1"/>
      </tp>
      <tp>
        <v>59.435312462200002</v>
        <stp/>
        <stp>EM_S_FA_GROSSPROFITMARGIN</stp>
        <stp>3</stp>
        <stp>300229</stp>
        <stp>12/31/2018</stp>
        <stp>1</stp>
        <tr r="I529" s="1"/>
      </tp>
      <tp>
        <v>7.2731901795000002</v>
        <stp/>
        <stp>EM_S_FA_GROSSPROFITMARGIN</stp>
        <stp>3</stp>
        <stp>600279</stp>
        <stp>12/31/2018</stp>
        <stp>1</stp>
        <tr r="I1653" s="1"/>
      </tp>
      <tp>
        <v>28.540200372400001</v>
        <stp/>
        <stp>EM_S_FA_GROSSPROFITMARGIN</stp>
        <stp>3</stp>
        <stp>300329</stp>
        <stp>12/31/2018</stp>
        <stp>1</stp>
        <tr r="I1174" s="1"/>
      </tp>
      <tp>
        <v>20.715368667</v>
        <stp/>
        <stp>EM_S_FA_GROSSPROFITMARGIN</stp>
        <stp>3</stp>
        <stp>600379</stp>
        <stp>12/31/2018</stp>
        <stp>1</stp>
        <tr r="I2976" s="1"/>
      </tp>
      <tp>
        <v>9.9002701323999993</v>
        <stp/>
        <stp>EM_S_FA_GROSSPROFITMARGIN</stp>
        <stp>3</stp>
        <stp>000019</stp>
        <stp>12/31/2018</stp>
        <stp>1</stp>
        <tr r="I2891" s="1"/>
      </tp>
      <tp>
        <v>14.0486026115</v>
        <stp/>
        <stp>EM_S_FA_GROSSPROFITMARGIN</stp>
        <stp>3</stp>
        <stp>300029</stp>
        <stp>12/31/2018</stp>
        <stp>1</stp>
        <tr r="I944" s="1"/>
      </tp>
      <tp>
        <v>39.926235234799996</v>
        <stp/>
        <stp>EM_S_FA_GROSSPROFITMARGIN</stp>
        <stp>3</stp>
        <stp>600079</stp>
        <stp>12/31/2018</stp>
        <stp>1</stp>
        <tr r="I1010" s="1"/>
      </tp>
      <tp>
        <v>16.937564688399998</v>
        <stp/>
        <stp>EM_S_FA_GROSSPROFITMARGIN</stp>
        <stp>3</stp>
        <stp>300129</stp>
        <stp>12/31/2018</stp>
        <stp>1</stp>
        <tr r="I310" s="1"/>
      </tp>
      <tp>
        <v>11.665240923800001</v>
        <stp/>
        <stp>EM_S_FA_GROSSPROFITMARGIN</stp>
        <stp>3</stp>
        <stp>600179</stp>
        <stp>12/31/2018</stp>
        <stp>1</stp>
        <tr r="I3223" s="1"/>
      </tp>
      <tp>
        <v>15.8917007968</v>
        <stp/>
        <stp>EM_S_FA_GROSSPROFITMARGIN</stp>
        <stp>3</stp>
        <stp>603879</stp>
        <stp>12/31/2018</stp>
        <stp>1</stp>
        <tr r="I1251" s="1"/>
      </tp>
      <tp>
        <v>25.577751687599999</v>
        <stp/>
        <stp>EM_S_FA_GROSSPROFITMARGIN</stp>
        <stp>3</stp>
        <stp>603979</stp>
        <stp>12/31/2018</stp>
        <stp>1</stp>
        <tr r="I1297" s="1"/>
      </tp>
      <tp>
        <v>35.492631902299998</v>
        <stp/>
        <stp>EM_S_FA_GROSSPROFITMARGIN</stp>
        <stp>3</stp>
        <stp>603679</stp>
        <stp>12/31/2018</stp>
        <stp>1</stp>
        <tr r="I247" s="1"/>
      </tp>
      <tp>
        <v>55.118448073000003</v>
        <stp/>
        <stp>EM_S_FA_GROSSPROFITMARGIN</stp>
        <stp>3</stp>
        <stp>603779</stp>
        <stp>12/31/2018</stp>
        <stp>1</stp>
        <tr r="I3383" s="1"/>
      </tp>
      <tp>
        <v>34.066346340700001</v>
        <stp/>
        <stp>EM_S_FA_GROSSPROFITMARGIN</stp>
        <stp>3</stp>
        <stp>603579</stp>
        <stp>12/31/2018</stp>
        <stp>1</stp>
        <tr r="I1908" s="1"/>
      </tp>
      <tp>
        <v>33.550109519599999</v>
        <stp/>
        <stp>EM_S_FA_GROSSPROFITMARGIN</stp>
        <stp>3</stp>
        <stp>603079</stp>
        <stp>12/31/2018</stp>
        <stp>1</stp>
        <tr r="I90" s="1"/>
      </tp>
      <tp>
        <v>22.4513798626</v>
        <stp/>
        <stp>EM_S_FA_GROSSPROFITMARGIN</stp>
        <stp>3</stp>
        <stp>603179</stp>
        <stp>12/31/2018</stp>
        <stp>1</stp>
        <tr r="I1445" s="1"/>
      </tp>
      <tp>
        <v>18.393024885399999</v>
        <stp/>
        <stp>EM_S_FA_GROSSPROFITMARGIN</stp>
        <stp>3</stp>
        <stp>002819</stp>
        <stp>12/31/2018</stp>
        <stp>1</stp>
        <tr r="I1242" s="1"/>
      </tp>
      <tp>
        <v>37.897391830300002</v>
        <stp/>
        <stp>EM_S_FA_GROSSPROFITMARGIN</stp>
        <stp>3</stp>
        <stp>002919</stp>
        <stp>12/31/2018</stp>
        <stp>1</stp>
        <tr r="I3159" s="1"/>
      </tp>
      <tp>
        <v>80.516586312599998</v>
        <stp/>
        <stp>EM_S_FA_GROSSPROFITMARGIN</stp>
        <stp>3</stp>
        <stp>002619</stp>
        <stp>12/31/2018</stp>
        <stp>1</stp>
        <tr r="I2620" s="1"/>
      </tp>
      <tp>
        <v>36.652859988000003</v>
        <stp/>
        <stp>EM_S_FA_GROSSPROFITMARGIN</stp>
        <stp>3</stp>
        <stp>002719</stp>
        <stp>12/31/2018</stp>
        <stp>1</stp>
        <tr r="I2151" s="1"/>
      </tp>
      <tp>
        <v>27.254919413</v>
        <stp/>
        <stp>EM_S_FA_GROSSPROFITMARGIN</stp>
        <stp>3</stp>
        <stp>002419</stp>
        <stp>12/31/2018</stp>
        <stp>1</stp>
        <tr r="I2535" s="1"/>
      </tp>
      <tp>
        <v>30.4709695811</v>
        <stp/>
        <stp>EM_S_FA_GROSSPROFITMARGIN</stp>
        <stp>3</stp>
        <stp>002519</stp>
        <stp>12/31/2018</stp>
        <stp>1</stp>
        <tr r="I1671" s="1"/>
      </tp>
      <tp>
        <v>21.5347193594</v>
        <stp/>
        <stp>EM_S_FA_GROSSPROFITMARGIN</stp>
        <stp>3</stp>
        <stp>002219</stp>
        <stp>12/31/2018</stp>
        <stp>1</stp>
        <tr r="I3232" s="1"/>
      </tp>
      <tp>
        <v>26.5844227031</v>
        <stp/>
        <stp>EM_S_FA_GROSSPROFITMARGIN</stp>
        <stp>3</stp>
        <stp>002319</stp>
        <stp>12/31/2018</stp>
        <stp>1</stp>
        <tr r="I3323" s="1"/>
      </tp>
      <tp>
        <v>44.0774765703</v>
        <stp/>
        <stp>EM_S_FA_GROSSPROFITMARGIN</stp>
        <stp>3</stp>
        <stp>002019</stp>
        <stp>12/31/2018</stp>
        <stp>1</stp>
        <tr r="I581" s="1"/>
      </tp>
      <tp>
        <v>20.253725379599999</v>
        <stp/>
        <stp>EM_S_FA_GROSSPROFITMARGIN</stp>
        <stp>3</stp>
        <stp>002119</stp>
        <stp>12/31/2018</stp>
        <stp>1</stp>
        <tr r="I493" s="1"/>
      </tp>
      <tp>
        <v>14.2381827096</v>
        <stp/>
        <stp>EM_S_FA_GROSSPROFITMARGIN</stp>
        <stp>3</stp>
        <stp>600864</stp>
        <stp>12/31/2018</stp>
        <stp>1</stp>
        <tr r="I222" s="1"/>
      </tp>
      <tp>
        <v>44.379710405200001</v>
        <stp/>
        <stp>EM_S_FA_GROSSPROFITMARGIN</stp>
        <stp>3</stp>
        <stp>300634</stp>
        <stp>12/31/2018</stp>
        <stp>1</stp>
        <tr r="I3171" s="1"/>
      </tp>
      <tp>
        <v>27.2378577287</v>
        <stp/>
        <stp>EM_S_FA_GROSSPROFITMARGIN</stp>
        <stp>3</stp>
        <stp>600664</stp>
        <stp>12/31/2018</stp>
        <stp>1</stp>
        <tr r="I2644" s="1"/>
      </tp>
      <tp>
        <v>49.713459737800001</v>
        <stp/>
        <stp>EM_S_FA_GROSSPROFITMARGIN</stp>
        <stp>3</stp>
        <stp>600764</stp>
        <stp>12/31/2018</stp>
        <stp>1</stp>
        <tr r="I1185" s="1"/>
      </tp>
      <tp>
        <v>12.0201905851</v>
        <stp/>
        <stp>EM_S_FA_GROSSPROFITMARGIN</stp>
        <stp>3</stp>
        <stp>000404</stp>
        <stp>12/31/2018</stp>
        <stp>1</stp>
        <tr r="I2194" s="1"/>
      </tp>
      <tp>
        <v>65.931037219399997</v>
        <stp/>
        <stp>EM_S_FA_GROSSPROFITMARGIN</stp>
        <stp>3</stp>
        <stp>300434</stp>
        <stp>12/31/2018</stp>
        <stp>1</stp>
        <tr r="I2981" s="1"/>
      </tp>
      <tp>
        <v>65.811140661699994</v>
        <stp/>
        <stp>EM_S_FA_GROSSPROFITMARGIN</stp>
        <stp>3</stp>
        <stp>000504</stp>
        <stp>12/31/2018</stp>
        <stp>1</stp>
        <tr r="I3431" s="1"/>
      </tp>
      <tp>
        <v>42.527181971399997</v>
        <stp/>
        <stp>EM_S_FA_GROSSPROFITMARGIN</stp>
        <stp>3</stp>
        <stp>300534</stp>
        <stp>12/31/2018</stp>
        <stp>1</stp>
        <tr r="I2141" s="1"/>
      </tp>
      <tp>
        <v>7.6752794200999999</v>
        <stp/>
        <stp>EM_S_FA_GROSSPROFITMARGIN</stp>
        <stp>3</stp>
        <stp>300234</stp>
        <stp>12/31/2018</stp>
        <stp>1</stp>
        <tr r="I173" s="1"/>
      </tp>
      <tp>
        <v>33.785135656900003</v>
        <stp/>
        <stp>EM_S_FA_GROSSPROFITMARGIN</stp>
        <stp>3</stp>
        <stp>300334</stp>
        <stp>12/31/2018</stp>
        <stp>1</stp>
        <tr r="I2828" s="1"/>
      </tp>
      <tp>
        <v>81.879185085200007</v>
        <stp/>
        <stp>EM_S_FA_GROSSPROFITMARGIN</stp>
        <stp>3</stp>
        <stp>000004</stp>
        <stp>12/31/2018</stp>
        <stp>1</stp>
        <tr r="I715" s="1"/>
      </tp>
      <tp>
        <v>29.359930010500001</v>
        <stp/>
        <stp>EM_S_FA_GROSSPROFITMARGIN</stp>
        <stp>3</stp>
        <stp>300034</stp>
        <stp>12/31/2018</stp>
        <stp>1</stp>
        <tr r="I226" s="1"/>
      </tp>
      <tp>
        <v>48.1096929721</v>
        <stp/>
        <stp>EM_S_FA_GROSSPROFITMARGIN</stp>
        <stp>3</stp>
        <stp>600064</stp>
        <stp>12/31/2018</stp>
        <stp>1</stp>
        <tr r="I1144" s="1"/>
      </tp>
      <tp>
        <v>13.921838567</v>
        <stp/>
        <stp>EM_S_FA_GROSSPROFITMARGIN</stp>
        <stp>3</stp>
        <stp>300134</stp>
        <stp>12/31/2018</stp>
        <stp>1</stp>
        <tr r="I367" s="1"/>
      </tp>
      <tp>
        <v>18.8101771943</v>
        <stp/>
        <stp>EM_S_FA_GROSSPROFITMARGIN</stp>
        <stp>3</stp>
        <stp>002604</stp>
        <stp>12/31/2018</stp>
        <stp>1</stp>
        <tr r="I1363" s="1"/>
      </tp>
      <tp>
        <v>15.160802432000001</v>
        <stp/>
        <stp>EM_S_FA_GROSSPROFITMARGIN</stp>
        <stp>3</stp>
        <stp>002404</stp>
        <stp>12/31/2018</stp>
        <stp>1</stp>
        <tr r="I1312" s="1"/>
      </tp>
      <tp>
        <v>15.139093066499999</v>
        <stp/>
        <stp>EM_S_FA_GROSSPROFITMARGIN</stp>
        <stp>3</stp>
        <stp>002504</stp>
        <stp>12/31/2018</stp>
        <stp>1</stp>
        <tr r="I2893" s="1"/>
      </tp>
      <tp>
        <v>19.844903947999999</v>
        <stp/>
        <stp>EM_S_FA_GROSSPROFITMARGIN</stp>
        <stp>3</stp>
        <stp>002204</stp>
        <stp>12/31/2018</stp>
        <stp>1</stp>
        <tr r="I1806" s="1"/>
      </tp>
      <tp>
        <v>73.703252205200002</v>
        <stp/>
        <stp>EM_S_FA_GROSSPROFITMARGIN</stp>
        <stp>3</stp>
        <stp>002304</stp>
        <stp>12/31/2018</stp>
        <stp>1</stp>
        <tr r="I1400" s="1"/>
      </tp>
      <tp>
        <v>40.5912170398</v>
        <stp/>
        <stp>EM_S_FA_GROSSPROFITMARGIN</stp>
        <stp>3</stp>
        <stp>002004</stp>
        <stp>12/31/2018</stp>
        <stp>1</stp>
        <tr r="I1958" s="1"/>
      </tp>
      <tp>
        <v>20.532001409700001</v>
        <stp/>
        <stp>EM_S_FA_GROSSPROFITMARGIN</stp>
        <stp>3</stp>
        <stp>002104</stp>
        <stp>12/31/2018</stp>
        <stp>1</stp>
        <tr r="I962" s="1"/>
      </tp>
      <tp>
        <v>25.924173096499999</v>
        <stp/>
        <stp>EM_S_FA_GROSSPROFITMARGIN</stp>
        <stp>3</stp>
        <stp>601965</stp>
        <stp>12/31/2018</stp>
        <stp>1</stp>
        <tr r="I1351" s="1"/>
      </tp>
      <tp>
        <v>0</v>
        <stp/>
        <stp>EM_S_FA_GROSSPROFITMARGIN</stp>
        <stp>3</stp>
        <stp>000805</stp>
        <stp>12/31/2018</stp>
        <stp>1</stp>
        <tr r="I3544" s="1"/>
      </tp>
      <tp>
        <v>29.669111222200002</v>
        <stp/>
        <stp>EM_S_FA_GROSSPROFITMARGIN</stp>
        <stp>3</stp>
        <stp>600865</stp>
        <stp>12/31/2018</stp>
        <stp>1</stp>
        <tr r="I1563" s="1"/>
      </tp>
      <tp>
        <v>3.7467713434999999</v>
        <stp/>
        <stp>EM_S_FA_GROSSPROFITMARGIN</stp>
        <stp>3</stp>
        <stp>000905</stp>
        <stp>12/31/2018</stp>
        <stp>1</stp>
        <tr r="I3570" s="1"/>
      </tp>
      <tp>
        <v>34.514375825400002</v>
        <stp/>
        <stp>EM_S_FA_GROSSPROFITMARGIN</stp>
        <stp>3</stp>
        <stp>600965</stp>
        <stp>12/31/2018</stp>
        <stp>1</stp>
        <tr r="I3222" s="1"/>
      </tp>
      <tp>
        <v>30.554751229299999</v>
        <stp/>
        <stp>EM_S_FA_GROSSPROFITMARGIN</stp>
        <stp>3</stp>
        <stp>000605</stp>
        <stp>12/31/2018</stp>
        <stp>1</stp>
        <tr r="I3479" s="1"/>
      </tp>
      <tp>
        <v>39.451510130999999</v>
        <stp/>
        <stp>EM_S_FA_GROSSPROFITMARGIN</stp>
        <stp>3</stp>
        <stp>300635</stp>
        <stp>12/31/2018</stp>
        <stp>1</stp>
        <tr r="I3011" s="1"/>
      </tp>
      <tp>
        <v>21.846479875699998</v>
        <stp/>
        <stp>EM_S_FA_GROSSPROFITMARGIN</stp>
        <stp>3</stp>
        <stp>600665</stp>
        <stp>12/31/2018</stp>
        <stp>1</stp>
        <tr r="I2096" s="1"/>
      </tp>
      <tp>
        <v>20.667333511599999</v>
        <stp/>
        <stp>EM_S_FA_GROSSPROFITMARGIN</stp>
        <stp>3</stp>
        <stp>000705</stp>
        <stp>12/31/2018</stp>
        <stp>1</stp>
        <tr r="I1817" s="1"/>
      </tp>
      <tp>
        <v>31.911540844200001</v>
        <stp/>
        <stp>EM_S_FA_GROSSPROFITMARGIN</stp>
        <stp>3</stp>
        <stp>300735</stp>
        <stp>12/31/2018</stp>
        <stp>1</stp>
        <tr r="I394" s="1"/>
      </tp>
      <tp>
        <v>25.988574561499998</v>
        <stp/>
        <stp>EM_S_FA_GROSSPROFITMARGIN</stp>
        <stp>3</stp>
        <stp>600765</stp>
        <stp>12/31/2018</stp>
        <stp>1</stp>
        <tr r="I867" s="1"/>
      </tp>
      <tp>
        <v>53.405545970600002</v>
        <stp/>
        <stp>EM_S_FA_GROSSPROFITMARGIN</stp>
        <stp>3</stp>
        <stp>000405</stp>
        <stp>12/31/2018</stp>
        <stp>1</stp>
        <tr r="I3416" s="1"/>
      </tp>
      <tp>
        <v>25.428235644600001</v>
        <stp/>
        <stp>EM_S_FA_GROSSPROFITMARGIN</stp>
        <stp>3</stp>
        <stp>300435</stp>
        <stp>12/31/2018</stp>
        <stp>1</stp>
        <tr r="I1794" s="1"/>
      </tp>
      <tp>
        <v>8.9593461806000008</v>
        <stp/>
        <stp>EM_S_FA_GROSSPROFITMARGIN</stp>
        <stp>3</stp>
        <stp>000505</stp>
        <stp>12/31/2018</stp>
        <stp>1</stp>
        <tr r="I3432" s="1"/>
      </tp>
      <tp>
        <v>47.826877910100002</v>
        <stp/>
        <stp>EM_S_FA_GROSSPROFITMARGIN</stp>
        <stp>3</stp>
        <stp>300535</stp>
        <stp>12/31/2018</stp>
        <stp>1</stp>
        <tr r="I1948" s="1"/>
      </tp>
      <tp>
        <v>29.924394613299999</v>
        <stp/>
        <stp>EM_S_FA_GROSSPROFITMARGIN</stp>
        <stp>3</stp>
        <stp>600565</stp>
        <stp>12/31/2018</stp>
        <stp>1</stp>
        <tr r="I845" s="1"/>
      </tp>
      <tp>
        <v>61.909271848000003</v>
        <stp/>
        <stp>EM_S_FA_GROSSPROFITMARGIN</stp>
        <stp>3</stp>
        <stp>300235</stp>
        <stp>12/31/2018</stp>
        <stp>1</stp>
        <tr r="I431" s="1"/>
      </tp>
      <tp>
        <v>24.348167748000002</v>
        <stp/>
        <stp>EM_S_FA_GROSSPROFITMARGIN</stp>
        <stp>3</stp>
        <stp>600265</stp>
        <stp>12/31/2018</stp>
        <stp>1</stp>
        <tr r="I2743" s="1"/>
      </tp>
      <tp>
        <v>31.374061744399999</v>
        <stp/>
        <stp>EM_S_FA_GROSSPROFITMARGIN</stp>
        <stp>3</stp>
        <stp>300335</stp>
        <stp>12/31/2018</stp>
        <stp>1</stp>
        <tr r="I2659" s="1"/>
      </tp>
      <tp>
        <v>18.604939210000001</v>
        <stp/>
        <stp>EM_S_FA_GROSSPROFITMARGIN</stp>
        <stp>3</stp>
        <stp>600365</stp>
        <stp>12/31/2018</stp>
        <stp>1</stp>
        <tr r="I1502" s="1"/>
      </tp>
      <tp>
        <v>29.7082103917</v>
        <stp/>
        <stp>EM_S_FA_GROSSPROFITMARGIN</stp>
        <stp>3</stp>
        <stp>000005</stp>
        <stp>12/31/2018</stp>
        <stp>1</stp>
        <tr r="I1466" s="1"/>
      </tp>
      <tp>
        <v>38.018381215799998</v>
        <stp/>
        <stp>EM_S_FA_GROSSPROFITMARGIN</stp>
        <stp>3</stp>
        <stp>300035</stp>
        <stp>12/31/2018</stp>
        <stp>1</stp>
        <tr r="I263" s="1"/>
      </tp>
      <tp>
        <v>3.9923546131999998</v>
        <stp/>
        <stp>EM_S_FA_GROSSPROFITMARGIN</stp>
        <stp>3</stp>
        <stp>600065</stp>
        <stp>12/31/2018</stp>
        <stp>1</stp>
        <tr r="I2289" s="1"/>
      </tp>
      <tp>
        <v>14.8884760093</v>
        <stp/>
        <stp>EM_S_FA_GROSSPROFITMARGIN</stp>
        <stp>3</stp>
        <stp>300135</stp>
        <stp>12/31/2018</stp>
        <stp>1</stp>
        <tr r="I2372" s="1"/>
      </tp>
      <tp>
        <v>8.4505666608999999</v>
        <stp/>
        <stp>EM_S_FA_GROSSPROFITMARGIN</stp>
        <stp>3</stp>
        <stp>600165</stp>
        <stp>12/31/2018</stp>
        <stp>1</stp>
        <tr r="I3077" s="1"/>
      </tp>
      <tp>
        <v>28.903002724499999</v>
        <stp/>
        <stp>EM_S_FA_GROSSPROFITMARGIN</stp>
        <stp>3</stp>
        <stp>603665</stp>
        <stp>12/31/2018</stp>
        <stp>1</stp>
        <tr r="I3001" s="1"/>
      </tp>
      <tp>
        <v>35.112560540200001</v>
        <stp/>
        <stp>EM_S_FA_GROSSPROFITMARGIN</stp>
        <stp>3</stp>
        <stp>603365</stp>
        <stp>12/31/2018</stp>
        <stp>1</stp>
        <tr r="I2148" s="1"/>
      </tp>
      <tp>
        <v>13.432927768700001</v>
        <stp/>
        <stp>EM_S_FA_GROSSPROFITMARGIN</stp>
        <stp>3</stp>
        <stp>603165</stp>
        <stp>12/31/2018</stp>
        <stp>1</stp>
        <tr r="I1558" s="1"/>
      </tp>
      <tp>
        <v>21.021942822700002</v>
        <stp/>
        <stp>EM_S_FA_GROSSPROFITMARGIN</stp>
        <stp>3</stp>
        <stp>002805</stp>
        <stp>12/31/2018</stp>
        <stp>1</stp>
        <tr r="I3062" s="1"/>
      </tp>
      <tp>
        <v>26.866058948799999</v>
        <stp/>
        <stp>EM_S_FA_GROSSPROFITMARGIN</stp>
        <stp>3</stp>
        <stp>002905</stp>
        <stp>12/31/2018</stp>
        <stp>1</stp>
        <tr r="I980" s="1"/>
      </tp>
      <tp>
        <v>47.305709503800003</v>
        <stp/>
        <stp>EM_S_FA_GROSSPROFITMARGIN</stp>
        <stp>3</stp>
        <stp>002605</stp>
        <stp>12/31/2018</stp>
        <stp>1</stp>
        <tr r="I74" s="1"/>
      </tp>
      <tp>
        <v>20.558019233300001</v>
        <stp/>
        <stp>EM_S_FA_GROSSPROFITMARGIN</stp>
        <stp>3</stp>
        <stp>002705</stp>
        <stp>12/31/2018</stp>
        <stp>1</stp>
        <tr r="I240" s="1"/>
      </tp>
      <tp>
        <v>70.6520681688</v>
        <stp/>
        <stp>EM_S_FA_GROSSPROFITMARGIN</stp>
        <stp>3</stp>
        <stp>002405</stp>
        <stp>12/31/2018</stp>
        <stp>1</stp>
        <tr r="I1559" s="1"/>
      </tp>
      <tp>
        <v>7.9804429925999996</v>
        <stp/>
        <stp>EM_S_FA_GROSSPROFITMARGIN</stp>
        <stp>3</stp>
        <stp>002505</stp>
        <stp>12/31/2018</stp>
        <stp>1</stp>
        <tr r="I1975" s="1"/>
      </tp>
      <tp>
        <v>21.636258202499999</v>
        <stp/>
        <stp>EM_S_FA_GROSSPROFITMARGIN</stp>
        <stp>3</stp>
        <stp>002205</stp>
        <stp>12/31/2018</stp>
        <stp>1</stp>
        <tr r="I1137" s="1"/>
      </tp>
      <tp>
        <v>12.667189030999999</v>
        <stp/>
        <stp>EM_S_FA_GROSSPROFITMARGIN</stp>
        <stp>3</stp>
        <stp>002305</stp>
        <stp>12/31/2018</stp>
        <stp>1</stp>
        <tr r="I3140" s="1"/>
      </tp>
      <tp>
        <v>13.0566646531</v>
        <stp/>
        <stp>EM_S_FA_GROSSPROFITMARGIN</stp>
        <stp>3</stp>
        <stp>002005</stp>
        <stp>12/31/2018</stp>
        <stp>1</stp>
        <tr r="I3604" s="1"/>
      </tp>
      <tp>
        <v>13.6438812571</v>
        <stp/>
        <stp>EM_S_FA_GROSSPROFITMARGIN</stp>
        <stp>3</stp>
        <stp>002105</stp>
        <stp>12/31/2018</stp>
        <stp>1</stp>
        <tr r="I3636" s="1"/>
      </tp>
      <tp>
        <v>24.1235667453</v>
        <stp/>
        <stp>EM_S_FA_GROSSPROFITMARGIN</stp>
        <stp>3</stp>
        <stp>601866</stp>
        <stp>12/31/2018</stp>
        <stp>1</stp>
        <tr r="I1597" s="1"/>
      </tp>
      <tp>
        <v>23.7034421802</v>
        <stp/>
        <stp>EM_S_FA_GROSSPROFITMARGIN</stp>
        <stp>3</stp>
        <stp>601966</stp>
        <stp>12/31/2018</stp>
        <stp>1</stp>
        <tr r="I385" s="1"/>
      </tp>
      <tp>
        <v>19.809927289200001</v>
        <stp/>
        <stp>EM_S_FA_GROSSPROFITMARGIN</stp>
        <stp>3</stp>
        <stp>601666</stp>
        <stp>12/31/2018</stp>
        <stp>1</stp>
        <tr r="I1590" s="1"/>
      </tp>
      <tp>
        <v>22.1636090282</v>
        <stp/>
        <stp>EM_S_FA_GROSSPROFITMARGIN</stp>
        <stp>3</stp>
        <stp>601766</stp>
        <stp>12/31/2018</stp>
        <stp>1</stp>
        <tr r="I3076" s="1"/>
      </tp>
      <tp>
        <v>56.608037426400003</v>
        <stp/>
        <stp>EM_S_FA_GROSSPROFITMARGIN</stp>
        <stp>3</stp>
        <stp>601566</stp>
        <stp>12/31/2018</stp>
        <stp>1</stp>
        <tr r="I2920" s="1"/>
      </tp>
      <tp>
        <v>22.446189093299999</v>
        <stp/>
        <stp>EM_S_FA_GROSSPROFITMARGIN</stp>
        <stp>3</stp>
        <stp>601366</stp>
        <stp>12/31/2018</stp>
        <stp>1</stp>
        <tr r="I2886" s="1"/>
      </tp>
      <tp>
        <v>0</v>
        <stp/>
        <stp>EM_S_FA_GROSSPROFITMARGIN</stp>
        <stp>3</stp>
        <stp>601066</stp>
        <stp>12/31/2018</stp>
        <stp>1</stp>
        <tr r="I31" s="1"/>
      </tp>
      <tp>
        <v>0</v>
        <stp/>
        <stp>EM_S_FA_GROSSPROFITMARGIN</stp>
        <stp>3</stp>
        <stp>601166</stp>
        <stp>12/31/2018</stp>
        <stp>1</stp>
        <tr r="I877" s="1"/>
      </tp>
      <tp>
        <v>20.665268650600002</v>
        <stp/>
        <stp>EM_S_FA_GROSSPROFITMARGIN</stp>
        <stp>3</stp>
        <stp>000806</stp>
        <stp>12/31/2018</stp>
        <stp>1</stp>
        <tr r="I3545" s="1"/>
      </tp>
      <tp>
        <v>25.841601173699999</v>
        <stp/>
        <stp>EM_S_FA_GROSSPROFITMARGIN</stp>
        <stp>3</stp>
        <stp>600866</stp>
        <stp>12/31/2018</stp>
        <stp>1</stp>
        <tr r="I736" s="1"/>
      </tp>
      <tp>
        <v>2.3188052816</v>
        <stp/>
        <stp>EM_S_FA_GROSSPROFITMARGIN</stp>
        <stp>3</stp>
        <stp>000906</stp>
        <stp>12/31/2018</stp>
        <stp>1</stp>
        <tr r="I1291" s="1"/>
      </tp>
      <tp>
        <v>16.039764434199999</v>
        <stp/>
        <stp>EM_S_FA_GROSSPROFITMARGIN</stp>
        <stp>3</stp>
        <stp>600966</stp>
        <stp>12/31/2018</stp>
        <stp>1</stp>
        <tr r="I326" s="1"/>
      </tp>
      <tp>
        <v>41.461925259600001</v>
        <stp/>
        <stp>EM_S_FA_GROSSPROFITMARGIN</stp>
        <stp>3</stp>
        <stp>000606</stp>
        <stp>12/31/2018</stp>
        <stp>1</stp>
        <tr r="I2652" s="1"/>
      </tp>
      <tp>
        <v>29.269433667000001</v>
        <stp/>
        <stp>EM_S_FA_GROSSPROFITMARGIN</stp>
        <stp>3</stp>
        <stp>300636</stp>
        <stp>12/31/2018</stp>
        <stp>1</stp>
        <tr r="I456" s="1"/>
      </tp>
      <tp>
        <v>17.789983510700001</v>
        <stp/>
        <stp>EM_S_FA_GROSSPROFITMARGIN</stp>
        <stp>3</stp>
        <stp>600666</stp>
        <stp>12/31/2018</stp>
        <stp>1</stp>
        <tr r="I3218" s="1"/>
      </tp>
      <tp>
        <v>23.284899575800001</v>
        <stp/>
        <stp>EM_S_FA_GROSSPROFITMARGIN</stp>
        <stp>3</stp>
        <stp>300736</stp>
        <stp>12/31/2018</stp>
        <stp>1</stp>
        <tr r="I3372" s="1"/>
      </tp>
      <tp>
        <v>60.432947820199999</v>
        <stp/>
        <stp>EM_S_FA_GROSSPROFITMARGIN</stp>
        <stp>3</stp>
        <stp>600766</stp>
        <stp>12/31/2018</stp>
        <stp>1</stp>
        <tr r="I2671" s="1"/>
      </tp>
      <tp>
        <v>0</v>
        <stp/>
        <stp>EM_S_FA_GROSSPROFITMARGIN</stp>
        <stp>3</stp>
        <stp>000406</stp>
        <stp>12/31/2018</stp>
        <stp>1</stp>
        <tr r="I3417" s="1"/>
      </tp>
      <tp>
        <v>83.606042090100004</v>
        <stp/>
        <stp>EM_S_FA_GROSSPROFITMARGIN</stp>
        <stp>3</stp>
        <stp>300436</stp>
        <stp>12/31/2018</stp>
        <stp>1</stp>
        <tr r="I879" s="1"/>
      </tp>
      <tp>
        <v>27.7501003679</v>
        <stp/>
        <stp>EM_S_FA_GROSSPROFITMARGIN</stp>
        <stp>3</stp>
        <stp>600466</stp>
        <stp>12/31/2018</stp>
        <stp>1</stp>
        <tr r="I865" s="1"/>
      </tp>
      <tp>
        <v>5.9650131456000004</v>
        <stp/>
        <stp>EM_S_FA_GROSSPROFITMARGIN</stp>
        <stp>3</stp>
        <stp>000506</stp>
        <stp>12/31/2018</stp>
        <stp>1</stp>
        <tr r="I3433" s="1"/>
      </tp>
      <tp>
        <v>28.3553886258</v>
        <stp/>
        <stp>EM_S_FA_GROSSPROFITMARGIN</stp>
        <stp>3</stp>
        <stp>300536</stp>
        <stp>12/31/2018</stp>
        <stp>1</stp>
        <tr r="I2931" s="1"/>
      </tp>
      <tp>
        <v>84.793632346600006</v>
        <stp/>
        <stp>EM_S_FA_GROSSPROFITMARGIN</stp>
        <stp>3</stp>
        <stp>600566</stp>
        <stp>12/31/2018</stp>
        <stp>1</stp>
        <tr r="I3221" s="1"/>
      </tp>
      <tp>
        <v>33.9480262549</v>
        <stp/>
        <stp>EM_S_FA_GROSSPROFITMARGIN</stp>
        <stp>3</stp>
        <stp>300236</stp>
        <stp>12/31/2018</stp>
        <stp>1</stp>
        <tr r="I1622" s="1"/>
      </tp>
      <tp>
        <v>32.9062589129</v>
        <stp/>
        <stp>EM_S_FA_GROSSPROFITMARGIN</stp>
        <stp>3</stp>
        <stp>600266</stp>
        <stp>12/31/2018</stp>
        <stp>1</stp>
        <tr r="I2129" s="1"/>
      </tp>
      <tp>
        <v>38.8620824797</v>
        <stp/>
        <stp>EM_S_FA_GROSSPROFITMARGIN</stp>
        <stp>3</stp>
        <stp>300336</stp>
        <stp>12/31/2018</stp>
        <stp>1</stp>
        <tr r="I2614" s="1"/>
      </tp>
      <tp>
        <v>19.592842467299999</v>
        <stp/>
        <stp>EM_S_FA_GROSSPROFITMARGIN</stp>
        <stp>3</stp>
        <stp>600366</stp>
        <stp>12/31/2018</stp>
        <stp>1</stp>
        <tr r="I846" s="1"/>
      </tp>
      <tp>
        <v>38.786578021799997</v>
        <stp/>
        <stp>EM_S_FA_GROSSPROFITMARGIN</stp>
        <stp>3</stp>
        <stp>000006</stp>
        <stp>12/31/2018</stp>
        <stp>1</stp>
        <tr r="I1889" s="1"/>
      </tp>
      <tp>
        <v>55.072030438699997</v>
        <stp/>
        <stp>EM_S_FA_GROSSPROFITMARGIN</stp>
        <stp>3</stp>
        <stp>300036</stp>
        <stp>12/31/2018</stp>
        <stp>1</stp>
        <tr r="I1798" s="1"/>
      </tp>
      <tp>
        <v>25.3253740647</v>
        <stp/>
        <stp>EM_S_FA_GROSSPROFITMARGIN</stp>
        <stp>3</stp>
        <stp>600066</stp>
        <stp>12/31/2018</stp>
        <stp>1</stp>
        <tr r="I1296" s="1"/>
      </tp>
      <tp>
        <v>36.511472802599997</v>
        <stp/>
        <stp>EM_S_FA_GROSSPROFITMARGIN</stp>
        <stp>3</stp>
        <stp>300136</stp>
        <stp>12/31/2018</stp>
        <stp>1</stp>
        <tr r="I145" s="1"/>
      </tp>
      <tp>
        <v>13.348379789199999</v>
        <stp/>
        <stp>EM_S_FA_GROSSPROFITMARGIN</stp>
        <stp>3</stp>
        <stp>600166</stp>
        <stp>12/31/2018</stp>
        <stp>1</stp>
        <tr r="I1515" s="1"/>
      </tp>
      <tp>
        <v>39.676021001899997</v>
        <stp/>
        <stp>EM_S_FA_GROSSPROFITMARGIN</stp>
        <stp>3</stp>
        <stp>603866</stp>
        <stp>12/31/2018</stp>
        <stp>1</stp>
        <tr r="I2655" s="1"/>
      </tp>
      <tp>
        <v>25.564247046399998</v>
        <stp/>
        <stp>EM_S_FA_GROSSPROFITMARGIN</stp>
        <stp>3</stp>
        <stp>603966</stp>
        <stp>12/31/2018</stp>
        <stp>1</stp>
        <tr r="I1319" s="1"/>
      </tp>
      <tp>
        <v>61.551774754500002</v>
        <stp/>
        <stp>EM_S_FA_GROSSPROFITMARGIN</stp>
        <stp>3</stp>
        <stp>603666</stp>
        <stp>12/31/2018</stp>
        <stp>1</stp>
        <tr r="I575" s="1"/>
      </tp>
      <tp>
        <v>18.515168381999999</v>
        <stp/>
        <stp>EM_S_FA_GROSSPROFITMARGIN</stp>
        <stp>3</stp>
        <stp>603766</stp>
        <stp>12/31/2018</stp>
        <stp>1</stp>
        <tr r="I2719" s="1"/>
      </tp>
      <tp>
        <v>30.1721006834</v>
        <stp/>
        <stp>EM_S_FA_GROSSPROFITMARGIN</stp>
        <stp>3</stp>
        <stp>603466</stp>
        <stp>12/31/2018</stp>
        <stp>1</stp>
        <tr r="I2505" s="1"/>
      </tp>
      <tp>
        <v>67.070598689299999</v>
        <stp/>
        <stp>EM_S_FA_GROSSPROFITMARGIN</stp>
        <stp>3</stp>
        <stp>603566</stp>
        <stp>12/31/2018</stp>
        <stp>1</stp>
        <tr r="I482" s="1"/>
      </tp>
      <tp>
        <v>25.5349291337</v>
        <stp/>
        <stp>EM_S_FA_GROSSPROFITMARGIN</stp>
        <stp>3</stp>
        <stp>603266</stp>
        <stp>12/31/2018</stp>
        <stp>1</stp>
        <tr r="I2948" s="1"/>
      </tp>
      <tp>
        <v>32.685510662699997</v>
        <stp/>
        <stp>EM_S_FA_GROSSPROFITMARGIN</stp>
        <stp>3</stp>
        <stp>603366</stp>
        <stp>12/31/2018</stp>
        <stp>1</stp>
        <tr r="I1104" s="1"/>
      </tp>
      <tp>
        <v>32.718800197199997</v>
        <stp/>
        <stp>EM_S_FA_GROSSPROFITMARGIN</stp>
        <stp>3</stp>
        <stp>603066</stp>
        <stp>12/31/2018</stp>
        <stp>1</stp>
        <tr r="I1845" s="1"/>
      </tp>
      <tp>
        <v>22.5612794203</v>
        <stp/>
        <stp>EM_S_FA_GROSSPROFITMARGIN</stp>
        <stp>3</stp>
        <stp>603166</stp>
        <stp>12/31/2018</stp>
        <stp>1</stp>
        <tr r="I1347" s="1"/>
      </tp>
      <tp>
        <v>26.179977750700001</v>
        <stp/>
        <stp>EM_S_FA_GROSSPROFITMARGIN</stp>
        <stp>3</stp>
        <stp>002806</stp>
        <stp>12/31/2018</stp>
        <stp>1</stp>
        <tr r="I3132" s="1"/>
      </tp>
      <tp>
        <v>20.474551276900002</v>
        <stp/>
        <stp>EM_S_FA_GROSSPROFITMARGIN</stp>
        <stp>3</stp>
        <stp>002906</stp>
        <stp>12/31/2018</stp>
        <stp>1</stp>
        <tr r="I1168" s="1"/>
      </tp>
      <tp>
        <v>24.878651007999999</v>
        <stp/>
        <stp>EM_S_FA_GROSSPROFITMARGIN</stp>
        <stp>3</stp>
        <stp>002606</stp>
        <stp>12/31/2018</stp>
        <stp>1</stp>
        <tr r="I2831" s="1"/>
      </tp>
      <tp>
        <v>40.836420781000001</v>
        <stp/>
        <stp>EM_S_FA_GROSSPROFITMARGIN</stp>
        <stp>3</stp>
        <stp>002706</stp>
        <stp>12/31/2018</stp>
        <stp>1</stp>
        <tr r="I778" s="1"/>
      </tp>
      <tp>
        <v>30.8176087483</v>
        <stp/>
        <stp>EM_S_FA_GROSSPROFITMARGIN</stp>
        <stp>3</stp>
        <stp>002406</stp>
        <stp>12/31/2018</stp>
        <stp>1</stp>
        <tr r="I1384" s="1"/>
      </tp>
      <tp>
        <v>13.116944913699999</v>
        <stp/>
        <stp>EM_S_FA_GROSSPROFITMARGIN</stp>
        <stp>3</stp>
        <stp>002506</stp>
        <stp>12/31/2018</stp>
        <stp>1</stp>
        <tr r="I1358" s="1"/>
      </tp>
      <tp>
        <v>21.457866768500001</v>
        <stp/>
        <stp>EM_S_FA_GROSSPROFITMARGIN</stp>
        <stp>3</stp>
        <stp>002206</stp>
        <stp>12/31/2018</stp>
        <stp>1</stp>
        <tr r="I2495" s="1"/>
      </tp>
      <tp>
        <v>44.015114545400003</v>
        <stp/>
        <stp>EM_S_FA_GROSSPROFITMARGIN</stp>
        <stp>3</stp>
        <stp>002306</stp>
        <stp>12/31/2018</stp>
        <stp>1</stp>
        <tr r="I3111" s="1"/>
      </tp>
      <tp>
        <v>20.1541437596</v>
        <stp/>
        <stp>EM_S_FA_GROSSPROFITMARGIN</stp>
        <stp>3</stp>
        <stp>002006</stp>
        <stp>12/31/2018</stp>
        <stp>1</stp>
        <tr r="I2930" s="1"/>
      </tp>
      <tp>
        <v>12.673622122199999</v>
        <stp/>
        <stp>EM_S_FA_GROSSPROFITMARGIN</stp>
        <stp>3</stp>
        <stp>002106</stp>
        <stp>12/31/2018</stp>
        <stp>1</stp>
        <tr r="I474" s="1"/>
      </tp>
      <tp>
        <v>29.228400148799999</v>
        <stp/>
        <stp>EM_S_FA_GROSSPROFITMARGIN</stp>
        <stp>3</stp>
        <stp>601567</stp>
        <stp>12/31/2018</stp>
        <stp>1</stp>
        <tr r="I931" s="1"/>
      </tp>
      <tp>
        <v>7.1220917120999996</v>
        <stp/>
        <stp>EM_S_FA_GROSSPROFITMARGIN</stp>
        <stp>3</stp>
        <stp>000807</stp>
        <stp>12/31/2018</stp>
        <stp>1</stp>
        <tr r="I3546" s="1"/>
      </tp>
      <tp>
        <v>72.333803686099998</v>
        <stp/>
        <stp>EM_S_FA_GROSSPROFITMARGIN</stp>
        <stp>3</stp>
        <stp>600867</stp>
        <stp>12/31/2018</stp>
        <stp>1</stp>
        <tr r="I2809" s="1"/>
      </tp>
      <tp>
        <v>11.4821811693</v>
        <stp/>
        <stp>EM_S_FA_GROSSPROFITMARGIN</stp>
        <stp>3</stp>
        <stp>600967</stp>
        <stp>12/31/2018</stp>
        <stp>1</stp>
        <tr r="I2184" s="1"/>
      </tp>
      <tp>
        <v>27.5843374162</v>
        <stp/>
        <stp>EM_S_FA_GROSSPROFITMARGIN</stp>
        <stp>3</stp>
        <stp>000607</stp>
        <stp>12/31/2018</stp>
        <stp>1</stp>
        <tr r="I3480" s="1"/>
      </tp>
      <tp>
        <v>44.084997606199998</v>
        <stp/>
        <stp>EM_S_FA_GROSSPROFITMARGIN</stp>
        <stp>3</stp>
        <stp>300637</stp>
        <stp>12/31/2018</stp>
        <stp>1</stp>
        <tr r="I3365" s="1"/>
      </tp>
      <tp>
        <v>13.252895107700001</v>
        <stp/>
        <stp>EM_S_FA_GROSSPROFITMARGIN</stp>
        <stp>3</stp>
        <stp>600667</stp>
        <stp>12/31/2018</stp>
        <stp>1</stp>
        <tr r="I398" s="1"/>
      </tp>
      <tp>
        <v>-2.5748050635999999</v>
        <stp/>
        <stp>EM_S_FA_GROSSPROFITMARGIN</stp>
        <stp>3</stp>
        <stp>000707</stp>
        <stp>12/31/2018</stp>
        <stp>1</stp>
        <tr r="I3517" s="1"/>
      </tp>
      <tp>
        <v>31.3961532993</v>
        <stp/>
        <stp>EM_S_FA_GROSSPROFITMARGIN</stp>
        <stp>3</stp>
        <stp>300737</stp>
        <stp>12/31/2018</stp>
        <stp>1</stp>
        <tr r="I983" s="1"/>
      </tp>
      <tp>
        <v>43.153674295599998</v>
        <stp/>
        <stp>EM_S_FA_GROSSPROFITMARGIN</stp>
        <stp>3</stp>
        <stp>600767</stp>
        <stp>12/31/2018</stp>
        <stp>1</stp>
        <tr r="I2211" s="1"/>
      </tp>
      <tp>
        <v>15.8059944013</v>
        <stp/>
        <stp>EM_S_FA_GROSSPROFITMARGIN</stp>
        <stp>3</stp>
        <stp>000407</stp>
        <stp>12/31/2018</stp>
        <stp>1</stp>
        <tr r="I2601" s="1"/>
      </tp>
      <tp>
        <v>37.175171837000001</v>
        <stp/>
        <stp>EM_S_FA_GROSSPROFITMARGIN</stp>
        <stp>3</stp>
        <stp>300437</stp>
        <stp>12/31/2018</stp>
        <stp>1</stp>
        <tr r="I2786" s="1"/>
      </tp>
      <tp>
        <v>26.641281713200001</v>
        <stp/>
        <stp>EM_S_FA_GROSSPROFITMARGIN</stp>
        <stp>3</stp>
        <stp>600467</stp>
        <stp>12/31/2018</stp>
        <stp>1</stp>
        <tr r="I2199" s="1"/>
      </tp>
      <tp>
        <v>19.169255274000001</v>
        <stp/>
        <stp>EM_S_FA_GROSSPROFITMARGIN</stp>
        <stp>3</stp>
        <stp>000507</stp>
        <stp>12/31/2018</stp>
        <stp>1</stp>
        <tr r="I2637" s="1"/>
      </tp>
      <tp>
        <v>37.285563732200004</v>
        <stp/>
        <stp>EM_S_FA_GROSSPROFITMARGIN</stp>
        <stp>3</stp>
        <stp>300537</stp>
        <stp>12/31/2018</stp>
        <stp>1</stp>
        <tr r="I142" s="1"/>
      </tp>
      <tp>
        <v>23.053146551600001</v>
        <stp/>
        <stp>EM_S_FA_GROSSPROFITMARGIN</stp>
        <stp>3</stp>
        <stp>600567</stp>
        <stp>12/31/2018</stp>
        <stp>1</stp>
        <tr r="I1183" s="1"/>
      </tp>
      <tp>
        <v>31.617870204500001</v>
        <stp/>
        <stp>EM_S_FA_GROSSPROFITMARGIN</stp>
        <stp>3</stp>
        <stp>300237</stp>
        <stp>12/31/2018</stp>
        <stp>1</stp>
        <tr r="I3205" s="1"/>
      </tp>
      <tp>
        <v>41.776353948699999</v>
        <stp/>
        <stp>EM_S_FA_GROSSPROFITMARGIN</stp>
        <stp>3</stp>
        <stp>600267</stp>
        <stp>12/31/2018</stp>
        <stp>1</stp>
        <tr r="I1513" s="1"/>
      </tp>
      <tp>
        <v>7.2237989564999996</v>
        <stp/>
        <stp>EM_S_FA_GROSSPROFITMARGIN</stp>
        <stp>3</stp>
        <stp>300337</stp>
        <stp>12/31/2018</stp>
        <stp>1</stp>
        <tr r="I2721" s="1"/>
      </tp>
      <tp>
        <v>27.569571180899999</v>
        <stp/>
        <stp>EM_S_FA_GROSSPROFITMARGIN</stp>
        <stp>3</stp>
        <stp>600367</stp>
        <stp>12/31/2018</stp>
        <stp>1</stp>
        <tr r="I1964" s="1"/>
      </tp>
      <tp>
        <v>69.373978657799995</v>
        <stp/>
        <stp>EM_S_FA_GROSSPROFITMARGIN</stp>
        <stp>3</stp>
        <stp>000007</stp>
        <stp>12/31/2018</stp>
        <stp>1</stp>
        <tr r="I1370" s="1"/>
      </tp>
      <tp>
        <v>34.194885708900003</v>
        <stp/>
        <stp>EM_S_FA_GROSSPROFITMARGIN</stp>
        <stp>3</stp>
        <stp>300037</stp>
        <stp>12/31/2018</stp>
        <stp>1</stp>
        <tr r="I533" s="1"/>
      </tp>
      <tp>
        <v>37.955510979099998</v>
        <stp/>
        <stp>EM_S_FA_GROSSPROFITMARGIN</stp>
        <stp>3</stp>
        <stp>600067</stp>
        <stp>12/31/2018</stp>
        <stp>1</stp>
        <tr r="I1911" s="1"/>
      </tp>
      <tp>
        <v>50.367694491899996</v>
        <stp/>
        <stp>EM_S_FA_GROSSPROFITMARGIN</stp>
        <stp>3</stp>
        <stp>300137</stp>
        <stp>12/31/2018</stp>
        <stp>1</stp>
        <tr r="I2600" s="1"/>
      </tp>
      <tp>
        <v>52.555859499</v>
        <stp/>
        <stp>EM_S_FA_GROSSPROFITMARGIN</stp>
        <stp>3</stp>
        <stp>600167</stp>
        <stp>12/31/2018</stp>
        <stp>1</stp>
        <tr r="I683" s="1"/>
      </tp>
      <tp>
        <v>22.9106203284</v>
        <stp/>
        <stp>EM_S_FA_GROSSPROFITMARGIN</stp>
        <stp>3</stp>
        <stp>603667</stp>
        <stp>12/31/2018</stp>
        <stp>1</stp>
        <tr r="I1247" s="1"/>
      </tp>
      <tp>
        <v>18.264409028399999</v>
        <stp/>
        <stp>EM_S_FA_GROSSPROFITMARGIN</stp>
        <stp>3</stp>
        <stp>603767</stp>
        <stp>12/31/2018</stp>
        <stp>1</stp>
        <tr r="I1821" s="1"/>
      </tp>
      <tp>
        <v>71.573671324200006</v>
        <stp/>
        <stp>EM_S_FA_GROSSPROFITMARGIN</stp>
        <stp>3</stp>
        <stp>603567</stp>
        <stp>12/31/2018</stp>
        <stp>1</stp>
        <tr r="I2492" s="1"/>
      </tp>
      <tp>
        <v>57.413096944599999</v>
        <stp/>
        <stp>EM_S_FA_GROSSPROFITMARGIN</stp>
        <stp>3</stp>
        <stp>603367</stp>
        <stp>12/31/2018</stp>
        <stp>1</stp>
        <tr r="I1963" s="1"/>
      </tp>
      <tp>
        <v>29.127860797</v>
        <stp/>
        <stp>EM_S_FA_GROSSPROFITMARGIN</stp>
        <stp>3</stp>
        <stp>603067</stp>
        <stp>12/31/2018</stp>
        <stp>1</stp>
        <tr r="I3099" s="1"/>
      </tp>
      <tp>
        <v>31.2758293871</v>
        <stp/>
        <stp>EM_S_FA_GROSSPROFITMARGIN</stp>
        <stp>3</stp>
        <stp>603167</stp>
        <stp>12/31/2018</stp>
        <stp>1</stp>
        <tr r="I1235" s="1"/>
      </tp>
      <tp>
        <v>0</v>
        <stp/>
        <stp>EM_S_FA_GROSSPROFITMARGIN</stp>
        <stp>3</stp>
        <stp>002807</stp>
        <stp>12/31/2018</stp>
        <stp>1</stp>
        <tr r="I2715" s="1"/>
      </tp>
      <tp>
        <v>67.192947902</v>
        <stp/>
        <stp>EM_S_FA_GROSSPROFITMARGIN</stp>
        <stp>3</stp>
        <stp>002907</stp>
        <stp>12/31/2018</stp>
        <stp>1</stp>
        <tr r="I2905" s="1"/>
      </tp>
      <tp>
        <v>59.077157599400003</v>
        <stp/>
        <stp>EM_S_FA_GROSSPROFITMARGIN</stp>
        <stp>3</stp>
        <stp>002607</stp>
        <stp>12/31/2018</stp>
        <stp>1</stp>
        <tr r="I95" s="1"/>
      </tp>
      <tp>
        <v>9.3680167341999994</v>
        <stp/>
        <stp>EM_S_FA_GROSSPROFITMARGIN</stp>
        <stp>3</stp>
        <stp>002707</stp>
        <stp>12/31/2018</stp>
        <stp>1</stp>
        <tr r="I2368" s="1"/>
      </tp>
      <tp>
        <v>25.259821799200001</v>
        <stp/>
        <stp>EM_S_FA_GROSSPROFITMARGIN</stp>
        <stp>3</stp>
        <stp>002407</stp>
        <stp>12/31/2018</stp>
        <stp>1</stp>
        <tr r="I1316" s="1"/>
      </tp>
      <tp>
        <v>55.762014436000001</v>
        <stp/>
        <stp>EM_S_FA_GROSSPROFITMARGIN</stp>
        <stp>3</stp>
        <stp>002507</stp>
        <stp>12/31/2018</stp>
        <stp>1</stp>
        <tr r="I1166" s="1"/>
      </tp>
      <tp>
        <v>6.4709202819999998</v>
        <stp/>
        <stp>EM_S_FA_GROSSPROFITMARGIN</stp>
        <stp>3</stp>
        <stp>002207</stp>
        <stp>12/31/2018</stp>
        <stp>1</stp>
        <tr r="I968" s="1"/>
      </tp>
      <tp>
        <v>10.2530475914</v>
        <stp/>
        <stp>EM_S_FA_GROSSPROFITMARGIN</stp>
        <stp>3</stp>
        <stp>002307</stp>
        <stp>12/31/2018</stp>
        <stp>1</stp>
        <tr r="I1740" s="1"/>
      </tp>
      <tp>
        <v>64.978787030199996</v>
        <stp/>
        <stp>EM_S_FA_GROSSPROFITMARGIN</stp>
        <stp>3</stp>
        <stp>002007</stp>
        <stp>12/31/2018</stp>
        <stp>1</stp>
        <tr r="I2145" s="1"/>
      </tp>
      <tp>
        <v>77.109889180400003</v>
        <stp/>
        <stp>EM_S_FA_GROSSPROFITMARGIN</stp>
        <stp>3</stp>
        <stp>002107</stp>
        <stp>12/31/2018</stp>
        <stp>1</stp>
        <tr r="I1136" s="1"/>
      </tp>
      <tp>
        <v>69.551527758999995</v>
        <stp/>
        <stp>EM_S_FA_GROSSPROFITMARGIN</stp>
        <stp>3</stp>
        <stp>601360</stp>
        <stp>12/31/2018</stp>
        <stp>1</stp>
        <tr r="I1479" s="1"/>
      </tp>
      <tp>
        <v>20.949763806899998</v>
        <stp/>
        <stp>EM_S_FA_GROSSPROFITMARGIN</stp>
        <stp>3</stp>
        <stp>000800</stp>
        <stp>12/31/2018</stp>
        <stp>1</stp>
        <tr r="I3542" s="1"/>
      </tp>
      <tp>
        <v>9.3437920786999999</v>
        <stp/>
        <stp>EM_S_FA_GROSSPROFITMARGIN</stp>
        <stp>3</stp>
        <stp>600860</stp>
        <stp>12/31/2018</stp>
        <stp>1</stp>
        <tr r="I816" s="1"/>
      </tp>
      <tp>
        <v>14.558289656099999</v>
        <stp/>
        <stp>EM_S_FA_GROSSPROFITMARGIN</stp>
        <stp>3</stp>
        <stp>000900</stp>
        <stp>12/31/2018</stp>
        <stp>1</stp>
        <tr r="I1632" s="1"/>
      </tp>
      <tp>
        <v>14.543328534600001</v>
        <stp/>
        <stp>EM_S_FA_GROSSPROFITMARGIN</stp>
        <stp>3</stp>
        <stp>600960</stp>
        <stp>12/31/2018</stp>
        <stp>1</stp>
        <tr r="I2720" s="1"/>
      </tp>
      <tp>
        <v>16.135247575099999</v>
        <stp/>
        <stp>EM_S_FA_GROSSPROFITMARGIN</stp>
        <stp>3</stp>
        <stp>000600</stp>
        <stp>12/31/2018</stp>
        <stp>1</stp>
        <tr r="I2456" s="1"/>
      </tp>
      <tp>
        <v>83.7552768579</v>
        <stp/>
        <stp>EM_S_FA_GROSSPROFITMARGIN</stp>
        <stp>3</stp>
        <stp>300630</stp>
        <stp>12/31/2018</stp>
        <stp>1</stp>
        <tr r="I1074" s="1"/>
      </tp>
      <tp>
        <v>42.630095726</v>
        <stp/>
        <stp>EM_S_FA_GROSSPROFITMARGIN</stp>
        <stp>3</stp>
        <stp>600660</stp>
        <stp>12/31/2018</stp>
        <stp>1</stp>
        <tr r="I2159" s="1"/>
      </tp>
      <tp>
        <v>19.1261573924</v>
        <stp/>
        <stp>EM_S_FA_GROSSPROFITMARGIN</stp>
        <stp>3</stp>
        <stp>000700</stp>
        <stp>12/31/2018</stp>
        <stp>1</stp>
        <tr r="I854" s="1"/>
      </tp>
      <tp>
        <v>36.448457417599997</v>
        <stp/>
        <stp>EM_S_FA_GROSSPROFITMARGIN</stp>
        <stp>3</stp>
        <stp>300730</stp>
        <stp>12/31/2018</stp>
        <stp>1</stp>
        <tr r="I3065" s="1"/>
      </tp>
      <tp>
        <v>9.0906335048999996</v>
        <stp/>
        <stp>EM_S_FA_GROSSPROFITMARGIN</stp>
        <stp>3</stp>
        <stp>600760</stp>
        <stp>12/31/2018</stp>
        <stp>1</stp>
        <tr r="I1639" s="1"/>
      </tp>
      <tp>
        <v>17.4144973776</v>
        <stp/>
        <stp>EM_S_FA_GROSSPROFITMARGIN</stp>
        <stp>3</stp>
        <stp>000400</stp>
        <stp>12/31/2018</stp>
        <stp>1</stp>
        <tr r="I3414" s="1"/>
      </tp>
      <tp>
        <v>41.871140882500001</v>
        <stp/>
        <stp>EM_S_FA_GROSSPROFITMARGIN</stp>
        <stp>3</stp>
        <stp>300430</stp>
        <stp>12/31/2018</stp>
        <stp>1</stp>
        <tr r="I2455" s="1"/>
      </tp>
      <tp>
        <v>25.455429212399999</v>
        <stp/>
        <stp>EM_S_FA_GROSSPROFITMARGIN</stp>
        <stp>3</stp>
        <stp>600460</stp>
        <stp>12/31/2018</stp>
        <stp>1</stp>
        <tr r="I200" s="1"/>
      </tp>
      <tp>
        <v>40.809311235700001</v>
        <stp/>
        <stp>EM_S_FA_GROSSPROFITMARGIN</stp>
        <stp>3</stp>
        <stp>300530</stp>
        <stp>12/31/2018</stp>
        <stp>1</stp>
        <tr r="I1349" s="1"/>
      </tp>
      <tp>
        <v>26.177821698100001</v>
        <stp/>
        <stp>EM_S_FA_GROSSPROFITMARGIN</stp>
        <stp>3</stp>
        <stp>600560</stp>
        <stp>12/31/2018</stp>
        <stp>1</stp>
        <tr r="I1883" s="1"/>
      </tp>
      <tp>
        <v>28.8748044146</v>
        <stp/>
        <stp>EM_S_FA_GROSSPROFITMARGIN</stp>
        <stp>3</stp>
        <stp>300230</stp>
        <stp>12/31/2018</stp>
        <stp>1</stp>
        <tr r="I2958" s="1"/>
      </tp>
      <tp>
        <v>15.113704548799999</v>
        <stp/>
        <stp>EM_S_FA_GROSSPROFITMARGIN</stp>
        <stp>3</stp>
        <stp>600260</stp>
        <stp>12/31/2018</stp>
        <stp>1</stp>
        <tr r="I3108" s="1"/>
      </tp>
      <tp>
        <v>17.0820278315</v>
        <stp/>
        <stp>EM_S_FA_GROSSPROFITMARGIN</stp>
        <stp>3</stp>
        <stp>300330</stp>
        <stp>12/31/2018</stp>
        <stp>1</stp>
        <tr r="I758" s="1"/>
      </tp>
      <tp>
        <v>22.716723360700001</v>
        <stp/>
        <stp>EM_S_FA_GROSSPROFITMARGIN</stp>
        <stp>3</stp>
        <stp>600360</stp>
        <stp>12/31/2018</stp>
        <stp>1</stp>
        <tr r="I920" s="1"/>
      </tp>
      <tp>
        <v>40.651671428199997</v>
        <stp/>
        <stp>EM_S_FA_GROSSPROFITMARGIN</stp>
        <stp>3</stp>
        <stp>300030</stp>
        <stp>12/31/2018</stp>
        <stp>1</stp>
        <tr r="I663" s="1"/>
      </tp>
      <tp>
        <v>14.690013842400001</v>
        <stp/>
        <stp>EM_S_FA_GROSSPROFITMARGIN</stp>
        <stp>3</stp>
        <stp>600060</stp>
        <stp>12/31/2018</stp>
        <stp>1</stp>
        <tr r="I1112" s="1"/>
      </tp>
      <tp>
        <v>18.308462496099999</v>
        <stp/>
        <stp>EM_S_FA_GROSSPROFITMARGIN</stp>
        <stp>3</stp>
        <stp>000100</stp>
        <stp>12/31/2018</stp>
        <stp>1</stp>
        <tr r="I212" s="1"/>
      </tp>
      <tp>
        <v>31.986516508499999</v>
        <stp/>
        <stp>EM_S_FA_GROSSPROFITMARGIN</stp>
        <stp>3</stp>
        <stp>300130</stp>
        <stp>12/31/2018</stp>
        <stp>1</stp>
        <tr r="I478" s="1"/>
      </tp>
      <tp>
        <v>24.620362443400001</v>
        <stp/>
        <stp>EM_S_FA_GROSSPROFITMARGIN</stp>
        <stp>3</stp>
        <stp>600160</stp>
        <stp>12/31/2018</stp>
        <stp>1</stp>
        <tr r="I1738" s="1"/>
      </tp>
      <tp>
        <v>51.536729258900003</v>
        <stp/>
        <stp>EM_S_FA_GROSSPROFITMARGIN</stp>
        <stp>3</stp>
        <stp>603860</stp>
        <stp>12/31/2018</stp>
        <stp>1</stp>
        <tr r="I1627" s="1"/>
      </tp>
      <tp>
        <v>28.010770244300002</v>
        <stp/>
        <stp>EM_S_FA_GROSSPROFITMARGIN</stp>
        <stp>3</stp>
        <stp>603960</stp>
        <stp>12/31/2018</stp>
        <stp>1</stp>
        <tr r="I1420" s="1"/>
      </tp>
      <tp>
        <v>60.383476716899999</v>
        <stp/>
        <stp>EM_S_FA_GROSSPROFITMARGIN</stp>
        <stp>3</stp>
        <stp>603660</stp>
        <stp>12/31/2018</stp>
        <stp>1</stp>
        <tr r="I3259" s="1"/>
      </tp>
      <tp>
        <v>40.840735851700003</v>
        <stp/>
        <stp>EM_S_FA_GROSSPROFITMARGIN</stp>
        <stp>3</stp>
        <stp>603260</stp>
        <stp>12/31/2018</stp>
        <stp>1</stp>
        <tr r="I3246" s="1"/>
      </tp>
      <tp>
        <v>48.266106445299997</v>
        <stp/>
        <stp>EM_S_FA_GROSSPROFITMARGIN</stp>
        <stp>3</stp>
        <stp>603360</stp>
        <stp>12/31/2018</stp>
        <stp>1</stp>
        <tr r="I51" s="1"/>
      </tp>
      <tp>
        <v>45.659531656799999</v>
        <stp/>
        <stp>EM_S_FA_GROSSPROFITMARGIN</stp>
        <stp>3</stp>
        <stp>603060</stp>
        <stp>12/31/2018</stp>
        <stp>1</stp>
        <tr r="I1134" s="1"/>
      </tp>
      <tp>
        <v>52.183545109599997</v>
        <stp/>
        <stp>EM_S_FA_GROSSPROFITMARGIN</stp>
        <stp>3</stp>
        <stp>603160</stp>
        <stp>12/31/2018</stp>
        <stp>1</stp>
        <tr r="I70" s="1"/>
      </tp>
      <tp>
        <v>9.2738720895999993</v>
        <stp/>
        <stp>EM_S_FA_GROSSPROFITMARGIN</stp>
        <stp>3</stp>
        <stp>002800</stp>
        <stp>12/31/2018</stp>
        <stp>1</stp>
        <tr r="I363" s="1"/>
      </tp>
      <tp>
        <v>83.799095810799997</v>
        <stp/>
        <stp>EM_S_FA_GROSSPROFITMARGIN</stp>
        <stp>3</stp>
        <stp>002900</stp>
        <stp>12/31/2018</stp>
        <stp>1</stp>
        <tr r="I2567" s="1"/>
      </tp>
      <tp>
        <v>20.179311592099999</v>
        <stp/>
        <stp>EM_S_FA_GROSSPROFITMARGIN</stp>
        <stp>3</stp>
        <stp>002600</stp>
        <stp>12/31/2018</stp>
        <stp>1</stp>
        <tr r="I23" s="1"/>
      </tp>
      <tp>
        <v>32.003110536900003</v>
        <stp/>
        <stp>EM_S_FA_GROSSPROFITMARGIN</stp>
        <stp>3</stp>
        <stp>002700</stp>
        <stp>12/31/2018</stp>
        <stp>1</stp>
        <tr r="I3204" s="1"/>
      </tp>
      <tp>
        <v>14.3350517685</v>
        <stp/>
        <stp>EM_S_FA_GROSSPROFITMARGIN</stp>
        <stp>3</stp>
        <stp>002400</stp>
        <stp>12/31/2018</stp>
        <stp>1</stp>
        <tr r="I1851" s="1"/>
      </tp>
      <tp>
        <v>0</v>
        <stp/>
        <stp>EM_S_FA_GROSSPROFITMARGIN</stp>
        <stp>3</stp>
        <stp>002500</stp>
        <stp>12/31/2018</stp>
        <stp>1</stp>
        <tr r="I731" s="1"/>
      </tp>
      <tp>
        <v>13.8023581761</v>
        <stp/>
        <stp>EM_S_FA_GROSSPROFITMARGIN</stp>
        <stp>3</stp>
        <stp>002200</stp>
        <stp>12/31/2018</stp>
        <stp>1</stp>
        <tr r="I1257" s="1"/>
      </tp>
      <tp>
        <v>9.2367551477000003</v>
        <stp/>
        <stp>EM_S_FA_GROSSPROFITMARGIN</stp>
        <stp>3</stp>
        <stp>002300</stp>
        <stp>12/31/2018</stp>
        <stp>1</stp>
        <tr r="I1241" s="1"/>
      </tp>
      <tp>
        <v>21.042896939599999</v>
        <stp/>
        <stp>EM_S_FA_GROSSPROFITMARGIN</stp>
        <stp>3</stp>
        <stp>002100</stp>
        <stp>12/31/2018</stp>
        <stp>1</stp>
        <tr r="I54" s="1"/>
      </tp>
      <tp>
        <v>19.2737246453</v>
        <stp/>
        <stp>EM_S_FA_GROSSPROFITMARGIN</stp>
        <stp>3</stp>
        <stp>000801</stp>
        <stp>12/31/2018</stp>
        <stp>1</stp>
        <tr r="I1131" s="1"/>
      </tp>
      <tp>
        <v>30.4799956158</v>
        <stp/>
        <stp>EM_S_FA_GROSSPROFITMARGIN</stp>
        <stp>3</stp>
        <stp>600861</stp>
        <stp>12/31/2018</stp>
        <stp>1</stp>
        <tr r="I1151" s="1"/>
      </tp>
      <tp>
        <v>20.771362225899999</v>
        <stp/>
        <stp>EM_S_FA_GROSSPROFITMARGIN</stp>
        <stp>3</stp>
        <stp>000901</stp>
        <stp>12/31/2018</stp>
        <stp>1</stp>
        <tr r="I3569" s="1"/>
      </tp>
      <tp>
        <v>-2.5348003066999998</v>
        <stp/>
        <stp>EM_S_FA_GROSSPROFITMARGIN</stp>
        <stp>3</stp>
        <stp>600961</stp>
        <stp>12/31/2018</stp>
        <stp>1</stp>
        <tr r="I1803" s="1"/>
      </tp>
      <tp>
        <v>22.253745328200001</v>
        <stp/>
        <stp>EM_S_FA_GROSSPROFITMARGIN</stp>
        <stp>3</stp>
        <stp>000601</stp>
        <stp>12/31/2018</stp>
        <stp>1</stp>
        <tr r="I3477" s="1"/>
      </tp>
      <tp>
        <v>33.2571760254</v>
        <stp/>
        <stp>EM_S_FA_GROSSPROFITMARGIN</stp>
        <stp>3</stp>
        <stp>300631</stp>
        <stp>12/31/2018</stp>
        <stp>1</stp>
        <tr r="I1619" s="1"/>
      </tp>
      <tp>
        <v>41.1371369843</v>
        <stp/>
        <stp>EM_S_FA_GROSSPROFITMARGIN</stp>
        <stp>3</stp>
        <stp>600661</stp>
        <stp>12/31/2018</stp>
        <stp>1</stp>
        <tr r="I2866" s="1"/>
      </tp>
      <tp>
        <v>2.5806099255000001</v>
        <stp/>
        <stp>EM_S_FA_GROSSPROFITMARGIN</stp>
        <stp>3</stp>
        <stp>000701</stp>
        <stp>12/31/2018</stp>
        <stp>1</stp>
        <tr r="I2836" s="1"/>
      </tp>
      <tp>
        <v>40.3635949942</v>
        <stp/>
        <stp>EM_S_FA_GROSSPROFITMARGIN</stp>
        <stp>3</stp>
        <stp>300731</stp>
        <stp>12/31/2018</stp>
        <stp>1</stp>
        <tr r="I1668" s="1"/>
      </tp>
      <tp>
        <v>20.3107819813</v>
        <stp/>
        <stp>EM_S_FA_GROSSPROFITMARGIN</stp>
        <stp>3</stp>
        <stp>600761</stp>
        <stp>12/31/2018</stp>
        <stp>1</stp>
        <tr r="I1761" s="1"/>
      </tp>
      <tp>
        <v>30.635780480800001</v>
        <stp/>
        <stp>EM_S_FA_GROSSPROFITMARGIN</stp>
        <stp>3</stp>
        <stp>000401</stp>
        <stp>12/31/2018</stp>
        <stp>1</stp>
        <tr r="I849" s="1"/>
      </tp>
      <tp>
        <v>-17.077447020800001</v>
        <stp/>
        <stp>EM_S_FA_GROSSPROFITMARGIN</stp>
        <stp>3</stp>
        <stp>300431</stp>
        <stp>12/31/2018</stp>
        <stp>1</stp>
        <tr r="I3388" s="1"/>
      </tp>
      <tp>
        <v>24.752548778400001</v>
        <stp/>
        <stp>EM_S_FA_GROSSPROFITMARGIN</stp>
        <stp>3</stp>
        <stp>600461</stp>
        <stp>12/31/2018</stp>
        <stp>1</stp>
        <tr r="I1858" s="1"/>
      </tp>
      <tp>
        <v>22.3236176622</v>
        <stp/>
        <stp>EM_S_FA_GROSSPROFITMARGIN</stp>
        <stp>3</stp>
        <stp>000501</stp>
        <stp>12/31/2018</stp>
        <stp>1</stp>
        <tr r="I3428" s="1"/>
      </tp>
      <tp>
        <v>33.3015521592</v>
        <stp/>
        <stp>EM_S_FA_GROSSPROFITMARGIN</stp>
        <stp>3</stp>
        <stp>300531</stp>
        <stp>12/31/2018</stp>
        <stp>1</stp>
        <tr r="I2481" s="1"/>
      </tp>
      <tp>
        <v>8.4753874587000002</v>
        <stp/>
        <stp>EM_S_FA_GROSSPROFITMARGIN</stp>
        <stp>3</stp>
        <stp>600561</stp>
        <stp>12/31/2018</stp>
        <stp>1</stp>
        <tr r="I1927" s="1"/>
      </tp>
      <tp>
        <v>28.910995121399999</v>
        <stp/>
        <stp>EM_S_FA_GROSSPROFITMARGIN</stp>
        <stp>3</stp>
        <stp>300231</stp>
        <stp>12/31/2018</stp>
        <stp>1</stp>
        <tr r="I943" s="1"/>
      </tp>
      <tp>
        <v>24.279989115700001</v>
        <stp/>
        <stp>EM_S_FA_GROSSPROFITMARGIN</stp>
        <stp>3</stp>
        <stp>600261</stp>
        <stp>12/31/2018</stp>
        <stp>1</stp>
        <tr r="I753" s="1"/>
      </tp>
      <tp>
        <v>13.8039060516</v>
        <stp/>
        <stp>EM_S_FA_GROSSPROFITMARGIN</stp>
        <stp>3</stp>
        <stp>000301</stp>
        <stp>12/31/2018</stp>
        <stp>1</stp>
        <tr r="I2580" s="1"/>
      </tp>
      <tp>
        <v>27.885966098099999</v>
        <stp/>
        <stp>EM_S_FA_GROSSPROFITMARGIN</stp>
        <stp>3</stp>
        <stp>300331</stp>
        <stp>12/31/2018</stp>
        <stp>1</stp>
        <tr r="I208" s="1"/>
      </tp>
      <tp>
        <v>22.185706209300001</v>
        <stp/>
        <stp>EM_S_FA_GROSSPROFITMARGIN</stp>
        <stp>3</stp>
        <stp>600361</stp>
        <stp>12/31/2018</stp>
        <stp>1</stp>
        <tr r="I1719" s="1"/>
      </tp>
      <tp>
        <v>0</v>
        <stp/>
        <stp>EM_S_FA_GROSSPROFITMARGIN</stp>
        <stp>3</stp>
        <stp>000001</stp>
        <stp>12/31/2018</stp>
        <stp>1</stp>
        <tr r="I265" s="1"/>
      </tp>
      <tp>
        <v>54.605907178800003</v>
        <stp/>
        <stp>EM_S_FA_GROSSPROFITMARGIN</stp>
        <stp>3</stp>
        <stp>300031</stp>
        <stp>12/31/2018</stp>
        <stp>1</stp>
        <tr r="I1669" s="1"/>
      </tp>
      <tp>
        <v>0.9585240572</v>
        <stp/>
        <stp>EM_S_FA_GROSSPROFITMARGIN</stp>
        <stp>3</stp>
        <stp>600061</stp>
        <stp>12/31/2018</stp>
        <stp>1</stp>
        <tr r="I518" s="1"/>
      </tp>
      <tp>
        <v>7.6586981209999996</v>
        <stp/>
        <stp>EM_S_FA_GROSSPROFITMARGIN</stp>
        <stp>3</stp>
        <stp>300131</stp>
        <stp>12/31/2018</stp>
        <stp>1</stp>
        <tr r="I1274" s="1"/>
      </tp>
      <tp>
        <v>47.178343795000004</v>
        <stp/>
        <stp>EM_S_FA_GROSSPROFITMARGIN</stp>
        <stp>3</stp>
        <stp>600161</stp>
        <stp>12/31/2018</stp>
        <stp>1</stp>
        <tr r="I1011" s="1"/>
      </tp>
      <tp>
        <v>27.745135443700001</v>
        <stp/>
        <stp>EM_S_FA_GROSSPROFITMARGIN</stp>
        <stp>3</stp>
        <stp>603861</stp>
        <stp>12/31/2018</stp>
        <stp>1</stp>
        <tr r="I3153" s="1"/>
      </tp>
      <tp>
        <v>19.597670665599999</v>
        <stp/>
        <stp>EM_S_FA_GROSSPROFITMARGIN</stp>
        <stp>3</stp>
        <stp>603661</stp>
        <stp>12/31/2018</stp>
        <stp>1</stp>
        <tr r="I578" s="1"/>
      </tp>
      <tp>
        <v>23.6421080004</v>
        <stp/>
        <stp>EM_S_FA_GROSSPROFITMARGIN</stp>
        <stp>3</stp>
        <stp>603161</stp>
        <stp>12/31/2018</stp>
        <stp>1</stp>
        <tr r="I2902" s="1"/>
      </tp>
      <tp>
        <v>29.711270284200001</v>
        <stp/>
        <stp>EM_S_FA_GROSSPROFITMARGIN</stp>
        <stp>3</stp>
        <stp>002801</stp>
        <stp>12/31/2018</stp>
        <stp>1</stp>
        <tr r="I345" s="1"/>
      </tp>
      <tp>
        <v>80.396320061400004</v>
        <stp/>
        <stp>EM_S_FA_GROSSPROFITMARGIN</stp>
        <stp>3</stp>
        <stp>002901</stp>
        <stp>12/31/2018</stp>
        <stp>1</stp>
        <tr r="I184" s="1"/>
      </tp>
      <tp>
        <v>41.200082035900003</v>
        <stp/>
        <stp>EM_S_FA_GROSSPROFITMARGIN</stp>
        <stp>3</stp>
        <stp>002601</stp>
        <stp>12/31/2018</stp>
        <stp>1</stp>
        <tr r="I1076" s="1"/>
      </tp>
      <tp>
        <v>25.786948052</v>
        <stp/>
        <stp>EM_S_FA_GROSSPROFITMARGIN</stp>
        <stp>3</stp>
        <stp>002701</stp>
        <stp>12/31/2018</stp>
        <stp>1</stp>
        <tr r="I2874" s="1"/>
      </tp>
      <tp>
        <v>21.616930550100001</v>
        <stp/>
        <stp>EM_S_FA_GROSSPROFITMARGIN</stp>
        <stp>3</stp>
        <stp>002401</stp>
        <stp>12/31/2018</stp>
        <stp>1</stp>
        <tr r="I1098" s="1"/>
      </tp>
      <tp>
        <v>-59.9757953911</v>
        <stp/>
        <stp>EM_S_FA_GROSSPROFITMARGIN</stp>
        <stp>3</stp>
        <stp>002501</stp>
        <stp>12/31/2018</stp>
        <stp>1</stp>
        <tr r="I3330" s="1"/>
      </tp>
      <tp>
        <v>25.1645299626</v>
        <stp/>
        <stp>EM_S_FA_GROSSPROFITMARGIN</stp>
        <stp>3</stp>
        <stp>002201</stp>
        <stp>12/31/2018</stp>
        <stp>1</stp>
        <tr r="I33" s="1"/>
      </tp>
      <tp>
        <v>18.208344247599999</v>
        <stp/>
        <stp>EM_S_FA_GROSSPROFITMARGIN</stp>
        <stp>3</stp>
        <stp>002301</stp>
        <stp>12/31/2018</stp>
        <stp>1</stp>
        <tr r="I732" s="1"/>
      </tp>
      <tp>
        <v>53.374189685600001</v>
        <stp/>
        <stp>EM_S_FA_GROSSPROFITMARGIN</stp>
        <stp>3</stp>
        <stp>002001</stp>
        <stp>12/31/2018</stp>
        <stp>1</stp>
        <tr r="I565" s="1"/>
      </tp>
      <tp>
        <v>25.311810763800001</v>
        <stp/>
        <stp>EM_S_FA_GROSSPROFITMARGIN</stp>
        <stp>3</stp>
        <stp>002101</stp>
        <stp>12/31/2018</stp>
        <stp>1</stp>
        <tr r="I2834" s="1"/>
      </tp>
      <tp>
        <v>51.0874705871</v>
        <stp/>
        <stp>EM_S_FA_GROSSPROFITMARGIN</stp>
        <stp>3</stp>
        <stp>000802</stp>
        <stp>12/31/2018</stp>
        <stp>1</stp>
        <tr r="I3543" s="1"/>
      </tp>
      <tp>
        <v>35.763799428699997</v>
        <stp/>
        <stp>EM_S_FA_GROSSPROFITMARGIN</stp>
        <stp>3</stp>
        <stp>600862</stp>
        <stp>12/31/2018</stp>
        <stp>1</stp>
        <tr r="I174" s="1"/>
      </tp>
      <tp>
        <v>19.356707720799999</v>
        <stp/>
        <stp>EM_S_FA_GROSSPROFITMARGIN</stp>
        <stp>3</stp>
        <stp>000902</stp>
        <stp>12/31/2018</stp>
        <stp>1</stp>
        <tr r="I2826" s="1"/>
      </tp>
      <tp>
        <v>26.026999262</v>
        <stp/>
        <stp>EM_S_FA_GROSSPROFITMARGIN</stp>
        <stp>3</stp>
        <stp>600962</stp>
        <stp>12/31/2018</stp>
        <stp>1</stp>
        <tr r="I1599" s="1"/>
      </tp>
      <tp>
        <v>0</v>
        <stp/>
        <stp>EM_S_FA_GROSSPROFITMARGIN</stp>
        <stp>3</stp>
        <stp>000602</stp>
        <stp>12/31/2018</stp>
        <stp>1</stp>
        <tr r="I3478" s="1"/>
      </tp>
      <tp>
        <v>32.812927866999999</v>
        <stp/>
        <stp>EM_S_FA_GROSSPROFITMARGIN</stp>
        <stp>3</stp>
        <stp>300632</stp>
        <stp>12/31/2018</stp>
        <stp>1</stp>
        <tr r="I320" s="1"/>
      </tp>
      <tp>
        <v>12.8767349084</v>
        <stp/>
        <stp>EM_S_FA_GROSSPROFITMARGIN</stp>
        <stp>3</stp>
        <stp>600662</stp>
        <stp>12/31/2018</stp>
        <stp>1</stp>
        <tr r="I1782" s="1"/>
      </tp>
      <tp>
        <v>8.3462897383999994</v>
        <stp/>
        <stp>EM_S_FA_GROSSPROFITMARGIN</stp>
        <stp>3</stp>
        <stp>000702</stp>
        <stp>12/31/2018</stp>
        <stp>1</stp>
        <tr r="I3516" s="1"/>
      </tp>
      <tp>
        <v>47.651033314700001</v>
        <stp/>
        <stp>EM_S_FA_GROSSPROFITMARGIN</stp>
        <stp>3</stp>
        <stp>300732</stp>
        <stp>12/31/2018</stp>
        <stp>1</stp>
        <tr r="I3364" s="1"/>
      </tp>
      <tp>
        <v>0</v>
        <stp/>
        <stp>EM_S_FA_GROSSPROFITMARGIN</stp>
        <stp>3</stp>
        <stp>600762</stp>
        <stp>12/31/2018</stp>
        <stp>1</stp>
        <tr r="I2320" s="1"/>
      </tp>
      <tp>
        <v>48.599076431500002</v>
        <stp/>
        <stp>EM_S_FA_GROSSPROFITMARGIN</stp>
        <stp>3</stp>
        <stp>000402</stp>
        <stp>12/31/2018</stp>
        <stp>1</stp>
        <tr r="I3415" s="1"/>
      </tp>
      <tp>
        <v>32.278082748899998</v>
        <stp/>
        <stp>EM_S_FA_GROSSPROFITMARGIN</stp>
        <stp>3</stp>
        <stp>300432</stp>
        <stp>12/31/2018</stp>
        <stp>1</stp>
        <tr r="I180" s="1"/>
      </tp>
      <tp>
        <v>2.2481582266000002</v>
        <stp/>
        <stp>EM_S_FA_GROSSPROFITMARGIN</stp>
        <stp>3</stp>
        <stp>600462</stp>
        <stp>12/31/2018</stp>
        <stp>1</stp>
        <tr r="I3369" s="1"/>
      </tp>
      <tp>
        <v>14.805873761300001</v>
        <stp/>
        <stp>EM_S_FA_GROSSPROFITMARGIN</stp>
        <stp>3</stp>
        <stp>000502</stp>
        <stp>12/31/2018</stp>
        <stp>1</stp>
        <tr r="I3429" s="1"/>
      </tp>
      <tp>
        <v>34.535037645700001</v>
        <stp/>
        <stp>EM_S_FA_GROSSPROFITMARGIN</stp>
        <stp>3</stp>
        <stp>300532</stp>
        <stp>12/31/2018</stp>
        <stp>1</stp>
        <tr r="I1967" s="1"/>
      </tp>
      <tp>
        <v>18.381027222</v>
        <stp/>
        <stp>EM_S_FA_GROSSPROFITMARGIN</stp>
        <stp>3</stp>
        <stp>600562</stp>
        <stp>12/31/2018</stp>
        <stp>1</stp>
        <tr r="I1682" s="1"/>
      </tp>
      <tp>
        <v>31.476378928900001</v>
        <stp/>
        <stp>EM_S_FA_GROSSPROFITMARGIN</stp>
        <stp>3</stp>
        <stp>300232</stp>
        <stp>12/31/2018</stp>
        <stp>1</stp>
        <tr r="I1976" s="1"/>
      </tp>
      <tp>
        <v>19.712864347699998</v>
        <stp/>
        <stp>EM_S_FA_GROSSPROFITMARGIN</stp>
        <stp>3</stp>
        <stp>600262</stp>
        <stp>12/31/2018</stp>
        <stp>1</stp>
        <tr r="I2020" s="1"/>
      </tp>
      <tp>
        <v>23.359169717</v>
        <stp/>
        <stp>EM_S_FA_GROSSPROFITMARGIN</stp>
        <stp>3</stp>
        <stp>300332</stp>
        <stp>12/31/2018</stp>
        <stp>1</stp>
        <tr r="I1799" s="1"/>
      </tp>
      <tp>
        <v>3.6313816244999999</v>
        <stp/>
        <stp>EM_S_FA_GROSSPROFITMARGIN</stp>
        <stp>3</stp>
        <stp>600362</stp>
        <stp>12/31/2018</stp>
        <stp>1</stp>
        <tr r="I900" s="1"/>
      </tp>
      <tp>
        <v>37.481643904499997</v>
        <stp/>
        <stp>EM_S_FA_GROSSPROFITMARGIN</stp>
        <stp>3</stp>
        <stp>000002</stp>
        <stp>12/31/2018</stp>
        <stp>1</stp>
        <tr r="I725" s="1"/>
      </tp>
      <tp>
        <v>3.3702996687</v>
        <stp/>
        <stp>EM_S_FA_GROSSPROFITMARGIN</stp>
        <stp>3</stp>
        <stp>300032</stp>
        <stp>12/31/2018</stp>
        <stp>1</stp>
        <tr r="I987" s="1"/>
      </tp>
      <tp>
        <v>63.350813649499997</v>
        <stp/>
        <stp>EM_S_FA_GROSSPROFITMARGIN</stp>
        <stp>3</stp>
        <stp>600062</stp>
        <stp>12/31/2018</stp>
        <stp>1</stp>
        <tr r="I1938" s="1"/>
      </tp>
      <tp>
        <v>40.893079142700003</v>
        <stp/>
        <stp>EM_S_FA_GROSSPROFITMARGIN</stp>
        <stp>3</stp>
        <stp>300132</stp>
        <stp>12/31/2018</stp>
        <stp>1</stp>
        <tr r="I2143" s="1"/>
      </tp>
      <tp>
        <v>51.731808954599998</v>
        <stp/>
        <stp>EM_S_FA_GROSSPROFITMARGIN</stp>
        <stp>3</stp>
        <stp>600162</stp>
        <stp>12/31/2018</stp>
        <stp>1</stp>
        <tr r="I2078" s="1"/>
      </tp>
      <tp>
        <v>26.711789611</v>
        <stp/>
        <stp>EM_S_FA_GROSSPROFITMARGIN</stp>
        <stp>3</stp>
        <stp>002802</stp>
        <stp>12/31/2018</stp>
        <stp>1</stp>
        <tr r="I2459" s="1"/>
      </tp>
      <tp>
        <v>13.7585603255</v>
        <stp/>
        <stp>EM_S_FA_GROSSPROFITMARGIN</stp>
        <stp>3</stp>
        <stp>002902</stp>
        <stp>12/31/2018</stp>
        <stp>1</stp>
        <tr r="I2409" s="1"/>
      </tp>
      <tp>
        <v>38.236664249299999</v>
        <stp/>
        <stp>EM_S_FA_GROSSPROFITMARGIN</stp>
        <stp>3</stp>
        <stp>002602</stp>
        <stp>12/31/2018</stp>
        <stp>1</stp>
        <tr r="I3332" s="1"/>
      </tp>
      <tp>
        <v>33.276844425999997</v>
        <stp/>
        <stp>EM_S_FA_GROSSPROFITMARGIN</stp>
        <stp>3</stp>
        <stp>002702</stp>
        <stp>12/31/2018</stp>
        <stp>1</stp>
        <tr r="I1877" s="1"/>
      </tp>
      <tp>
        <v>20.622807654599999</v>
        <stp/>
        <stp>EM_S_FA_GROSSPROFITMARGIN</stp>
        <stp>3</stp>
        <stp>002402</stp>
        <stp>12/31/2018</stp>
        <stp>1</stp>
        <tr r="I144" s="1"/>
      </tp>
      <tp>
        <v>33.245507058500003</v>
        <stp/>
        <stp>EM_S_FA_GROSSPROFITMARGIN</stp>
        <stp>3</stp>
        <stp>002502</stp>
        <stp>12/31/2018</stp>
        <stp>1</stp>
        <tr r="I2997" s="1"/>
      </tp>
      <tp>
        <v>25.963175199399998</v>
        <stp/>
        <stp>EM_S_FA_GROSSPROFITMARGIN</stp>
        <stp>3</stp>
        <stp>002202</stp>
        <stp>12/31/2018</stp>
        <stp>1</stp>
        <tr r="I1408" s="1"/>
      </tp>
      <tp>
        <v>9.0855704000999999</v>
        <stp/>
        <stp>EM_S_FA_GROSSPROFITMARGIN</stp>
        <stp>3</stp>
        <stp>002302</stp>
        <stp>12/31/2018</stp>
        <stp>1</stp>
        <tr r="I1075" s="1"/>
      </tp>
      <tp>
        <v>32.3973333956</v>
        <stp/>
        <stp>EM_S_FA_GROSSPROFITMARGIN</stp>
        <stp>3</stp>
        <stp>002002</stp>
        <stp>12/31/2018</stp>
        <stp>1</stp>
        <tr r="I3603" s="1"/>
      </tp>
      <tp>
        <v>5.2344527487999999</v>
        <stp/>
        <stp>EM_S_FA_GROSSPROFITMARGIN</stp>
        <stp>3</stp>
        <stp>002102</stp>
        <stp>12/31/2018</stp>
        <stp>1</stp>
        <tr r="I3634" s="1"/>
      </tp>
      <tp>
        <v>21.337387352099999</v>
        <stp/>
        <stp>EM_S_FA_GROSSPROFITMARGIN</stp>
        <stp>3</stp>
        <stp>601163</stp>
        <stp>12/31/2018</stp>
        <stp>1</stp>
        <tr r="I828" s="1"/>
      </tp>
      <tp>
        <v>18.500946147200001</v>
        <stp/>
        <stp>EM_S_FA_GROSSPROFITMARGIN</stp>
        <stp>3</stp>
        <stp>000803</stp>
        <stp>12/31/2018</stp>
        <stp>1</stp>
        <tr r="I1520" s="1"/>
      </tp>
      <tp>
        <v>21.429559909599998</v>
        <stp/>
        <stp>EM_S_FA_GROSSPROFITMARGIN</stp>
        <stp>3</stp>
        <stp>600863</stp>
        <stp>12/31/2018</stp>
        <stp>1</stp>
        <tr r="I1344" s="1"/>
      </tp>
      <tp>
        <v>12.2190373857</v>
        <stp/>
        <stp>EM_S_FA_GROSSPROFITMARGIN</stp>
        <stp>3</stp>
        <stp>000903</stp>
        <stp>12/31/2018</stp>
        <stp>1</stp>
        <tr r="I1940" s="1"/>
      </tp>
      <tp>
        <v>20.789366943099999</v>
        <stp/>
        <stp>EM_S_FA_GROSSPROFITMARGIN</stp>
        <stp>3</stp>
        <stp>600963</stp>
        <stp>12/31/2018</stp>
        <stp>1</stp>
        <tr r="I1727" s="1"/>
      </tp>
      <tp>
        <v>34.6229267545</v>
        <stp/>
        <stp>EM_S_FA_GROSSPROFITMARGIN</stp>
        <stp>3</stp>
        <stp>000603</stp>
        <stp>12/31/2018</stp>
        <stp>1</stp>
        <tr r="I625" s="1"/>
      </tp>
      <tp>
        <v>69.874384417000002</v>
        <stp/>
        <stp>EM_S_FA_GROSSPROFITMARGIN</stp>
        <stp>3</stp>
        <stp>300633</stp>
        <stp>12/31/2018</stp>
        <stp>1</stp>
        <tr r="I2972" s="1"/>
      </tp>
      <tp>
        <v>53.974644010799999</v>
        <stp/>
        <stp>EM_S_FA_GROSSPROFITMARGIN</stp>
        <stp>3</stp>
        <stp>600663</stp>
        <stp>12/31/2018</stp>
        <stp>1</stp>
        <tr r="I2066" s="1"/>
      </tp>
      <tp>
        <v>3.9113457235000002</v>
        <stp/>
        <stp>EM_S_FA_GROSSPROFITMARGIN</stp>
        <stp>3</stp>
        <stp>000703</stp>
        <stp>12/31/2018</stp>
        <stp>1</stp>
        <tr r="I1288" s="1"/>
      </tp>
      <tp>
        <v>28.3311312644</v>
        <stp/>
        <stp>EM_S_FA_GROSSPROFITMARGIN</stp>
        <stp>3</stp>
        <stp>300733</stp>
        <stp>12/31/2018</stp>
        <stp>1</stp>
        <tr r="I3184" s="1"/>
      </tp>
      <tp>
        <v>43.289339135600002</v>
        <stp/>
        <stp>EM_S_FA_GROSSPROFITMARGIN</stp>
        <stp>3</stp>
        <stp>600763</stp>
        <stp>12/31/2018</stp>
        <stp>1</stp>
        <tr r="I136" s="1"/>
      </tp>
      <tp>
        <v>53.325480173599999</v>
        <stp/>
        <stp>EM_S_FA_GROSSPROFITMARGIN</stp>
        <stp>3</stp>
        <stp>000403</stp>
        <stp>12/31/2018</stp>
        <stp>1</stp>
        <tr r="I1103" s="1"/>
      </tp>
      <tp>
        <v>22.630778678799999</v>
        <stp/>
        <stp>EM_S_FA_GROSSPROFITMARGIN</stp>
        <stp>3</stp>
        <stp>300433</stp>
        <stp>12/31/2018</stp>
        <stp>1</stp>
        <tr r="I140" s="1"/>
      </tp>
      <tp>
        <v>13.2037423415</v>
        <stp/>
        <stp>EM_S_FA_GROSSPROFITMARGIN</stp>
        <stp>3</stp>
        <stp>600463</stp>
        <stp>12/31/2018</stp>
        <stp>1</stp>
        <tr r="I2180" s="1"/>
      </tp>
      <tp>
        <v>-62.920792820400003</v>
        <stp/>
        <stp>EM_S_FA_GROSSPROFITMARGIN</stp>
        <stp>3</stp>
        <stp>000503</stp>
        <stp>12/31/2018</stp>
        <stp>1</stp>
        <tr r="I3430" s="1"/>
      </tp>
      <tp>
        <v>90.1157453191</v>
        <stp/>
        <stp>EM_S_FA_GROSSPROFITMARGIN</stp>
        <stp>3</stp>
        <stp>300533</stp>
        <stp>12/31/2018</stp>
        <stp>1</stp>
        <tr r="I687" s="1"/>
      </tp>
      <tp>
        <v>43.236615837400002</v>
        <stp/>
        <stp>EM_S_FA_GROSSPROFITMARGIN</stp>
        <stp>3</stp>
        <stp>600563</stp>
        <stp>12/31/2018</stp>
        <stp>1</stp>
        <tr r="I1335" s="1"/>
      </tp>
      <tp>
        <v>50.065944017900001</v>
        <stp/>
        <stp>EM_S_FA_GROSSPROFITMARGIN</stp>
        <stp>3</stp>
        <stp>300233</stp>
        <stp>12/31/2018</stp>
        <stp>1</stp>
        <tr r="I694" s="1"/>
      </tp>
      <tp>
        <v>0</v>
        <stp/>
        <stp>EM_S_FA_GROSSPROFITMARGIN</stp>
        <stp>3</stp>
        <stp>600263</stp>
        <stp>12/31/2018</stp>
        <stp>1</stp>
        <tr r="I2297" s="1"/>
      </tp>
      <tp>
        <v>62.076607235600001</v>
        <stp/>
        <stp>EM_S_FA_GROSSPROFITMARGIN</stp>
        <stp>3</stp>
        <stp>300333</stp>
        <stp>12/31/2018</stp>
        <stp>1</stp>
        <tr r="I455" s="1"/>
      </tp>
      <tp>
        <v>12.4821646577</v>
        <stp/>
        <stp>EM_S_FA_GROSSPROFITMARGIN</stp>
        <stp>3</stp>
        <stp>600363</stp>
        <stp>12/31/2018</stp>
        <stp>1</stp>
        <tr r="I202" s="1"/>
      </tp>
      <tp>
        <v>41.803887297999999</v>
        <stp/>
        <stp>EM_S_FA_GROSSPROFITMARGIN</stp>
        <stp>3</stp>
        <stp>000003</stp>
        <stp>12/31/2018</stp>
        <stp>1</stp>
        <tr r="I2271" s="1"/>
      </tp>
      <tp>
        <v>89.467036423899998</v>
        <stp/>
        <stp>EM_S_FA_GROSSPROFITMARGIN</stp>
        <stp>3</stp>
        <stp>300033</stp>
        <stp>12/31/2018</stp>
        <stp>1</stp>
        <tr r="I49" s="1"/>
      </tp>
      <tp>
        <v>16.536118826100001</v>
        <stp/>
        <stp>EM_S_FA_GROSSPROFITMARGIN</stp>
        <stp>3</stp>
        <stp>600063</stp>
        <stp>12/31/2018</stp>
        <stp>1</stp>
        <tr r="I327" s="1"/>
      </tp>
      <tp>
        <v>25.916892928100001</v>
        <stp/>
        <stp>EM_S_FA_GROSSPROFITMARGIN</stp>
        <stp>3</stp>
        <stp>300133</stp>
        <stp>12/31/2018</stp>
        <stp>1</stp>
        <tr r="I3041" s="1"/>
      </tp>
      <tp>
        <v>52.414011151300002</v>
        <stp/>
        <stp>EM_S_FA_GROSSPROFITMARGIN</stp>
        <stp>3</stp>
        <stp>600163</stp>
        <stp>12/31/2018</stp>
        <stp>1</stp>
        <tr r="I1968" s="1"/>
      </tp>
      <tp>
        <v>80.215437938199997</v>
        <stp/>
        <stp>EM_S_FA_GROSSPROFITMARGIN</stp>
        <stp>3</stp>
        <stp>603963</stp>
        <stp>12/31/2018</stp>
        <stp>1</stp>
        <tr r="I2617" s="1"/>
      </tp>
      <tp>
        <v>26.776445343199999</v>
        <stp/>
        <stp>EM_S_FA_GROSSPROFITMARGIN</stp>
        <stp>3</stp>
        <stp>603663</stp>
        <stp>12/31/2018</stp>
        <stp>1</stp>
        <tr r="I3084" s="1"/>
      </tp>
      <tp>
        <v>13.6961876693</v>
        <stp/>
        <stp>EM_S_FA_GROSSPROFITMARGIN</stp>
        <stp>3</stp>
        <stp>603363</stp>
        <stp>12/31/2018</stp>
        <stp>1</stp>
        <tr r="I230" s="1"/>
      </tp>
      <tp>
        <v>44.951731470799999</v>
        <stp/>
        <stp>EM_S_FA_GROSSPROFITMARGIN</stp>
        <stp>3</stp>
        <stp>603063</stp>
        <stp>12/31/2018</stp>
        <stp>1</stp>
        <tr r="I636" s="1"/>
      </tp>
      <tp>
        <v>43.057990677500001</v>
        <stp/>
        <stp>EM_S_FA_GROSSPROFITMARGIN</stp>
        <stp>3</stp>
        <stp>002803</stp>
        <stp>12/31/2018</stp>
        <stp>1</stp>
        <tr r="I257" s="1"/>
      </tp>
      <tp>
        <v>38.446037607900003</v>
        <stp/>
        <stp>EM_S_FA_GROSSPROFITMARGIN</stp>
        <stp>3</stp>
        <stp>002903</stp>
        <stp>12/31/2018</stp>
        <stp>1</stp>
        <tr r="I2947" s="1"/>
      </tp>
      <tp>
        <v>66.127213401600002</v>
        <stp/>
        <stp>EM_S_FA_GROSSPROFITMARGIN</stp>
        <stp>3</stp>
        <stp>002603</stp>
        <stp>12/31/2018</stp>
        <stp>1</stp>
        <tr r="I1855" s="1"/>
      </tp>
      <tp>
        <v>17.141965115000001</v>
        <stp/>
        <stp>EM_S_FA_GROSSPROFITMARGIN</stp>
        <stp>3</stp>
        <stp>002703</stp>
        <stp>12/31/2018</stp>
        <stp>1</stp>
        <tr r="I1670" s="1"/>
      </tp>
      <tp>
        <v>37.123291134200002</v>
        <stp/>
        <stp>EM_S_FA_GROSSPROFITMARGIN</stp>
        <stp>3</stp>
        <stp>002403</stp>
        <stp>12/31/2018</stp>
        <stp>1</stp>
        <tr r="I1774" s="1"/>
      </tp>
      <tp>
        <v>7.8496260551999999</v>
        <stp/>
        <stp>EM_S_FA_GROSSPROFITMARGIN</stp>
        <stp>3</stp>
        <stp>002503</stp>
        <stp>12/31/2018</stp>
        <stp>1</stp>
        <tr r="I2089" s="1"/>
      </tp>
      <tp>
        <v>5.8329678825000002</v>
        <stp/>
        <stp>EM_S_FA_GROSSPROFITMARGIN</stp>
        <stp>3</stp>
        <stp>002203</stp>
        <stp>12/31/2018</stp>
        <stp>1</stp>
        <tr r="I951" s="1"/>
      </tp>
      <tp>
        <v>32.402374047800002</v>
        <stp/>
        <stp>EM_S_FA_GROSSPROFITMARGIN</stp>
        <stp>3</stp>
        <stp>002303</stp>
        <stp>12/31/2018</stp>
        <stp>1</stp>
        <tr r="I1611" s="1"/>
      </tp>
      <tp>
        <v>40.5700493155</v>
        <stp/>
        <stp>EM_S_FA_GROSSPROFITMARGIN</stp>
        <stp>3</stp>
        <stp>002003</stp>
        <stp>12/31/2018</stp>
        <stp>1</stp>
        <tr r="I2851" s="1"/>
      </tp>
      <tp>
        <v>19.223240569600001</v>
        <stp/>
        <stp>EM_S_FA_GROSSPROFITMARGIN</stp>
        <stp>3</stp>
        <stp>002103</stp>
        <stp>12/31/2018</stp>
        <stp>1</stp>
        <tr r="I3635" s="1"/>
      </tp>
      <tp>
        <v>11.229900966000001</v>
        <stp/>
        <stp>EM_S_FA_GROSSPROFITMARGIN</stp>
        <stp>3</stp>
        <stp>601968</stp>
        <stp>12/31/2018</stp>
        <stp>1</stp>
        <tr r="I1000" s="1"/>
      </tp>
      <tp>
        <v>11.891271463800001</v>
        <stp/>
        <stp>EM_S_FA_GROSSPROFITMARGIN</stp>
        <stp>3</stp>
        <stp>601668</stp>
        <stp>12/31/2018</stp>
        <stp>1</stp>
        <tr r="I2444" s="1"/>
      </tp>
      <tp>
        <v>17.5530385</v>
        <stp/>
        <stp>EM_S_FA_GROSSPROFITMARGIN</stp>
        <stp>3</stp>
        <stp>601268</stp>
        <stp>12/31/2018</stp>
        <stp>1</stp>
        <tr r="I2338" s="1"/>
      </tp>
      <tp>
        <v>43.452679767100001</v>
        <stp/>
        <stp>EM_S_FA_GROSSPROFITMARGIN</stp>
        <stp>3</stp>
        <stp>601368</stp>
        <stp>12/31/2018</stp>
        <stp>1</stp>
        <tr r="I2204" s="1"/>
      </tp>
      <tp>
        <v>11.944921903299999</v>
        <stp/>
        <stp>EM_S_FA_GROSSPROFITMARGIN</stp>
        <stp>3</stp>
        <stp>601168</stp>
        <stp>12/31/2018</stp>
        <stp>1</stp>
        <tr r="I1406" s="1"/>
      </tp>
      <tp>
        <v>32.9021662595</v>
        <stp/>
        <stp>EM_S_FA_GROSSPROFITMARGIN</stp>
        <stp>3</stp>
        <stp>600868</stp>
        <stp>12/31/2018</stp>
        <stp>1</stp>
        <tr r="I1248" s="1"/>
      </tp>
      <tp>
        <v>75.658852080800003</v>
        <stp/>
        <stp>EM_S_FA_GROSSPROFITMARGIN</stp>
        <stp>3</stp>
        <stp>000908</stp>
        <stp>12/31/2018</stp>
        <stp>1</stp>
        <tr r="I3008" s="1"/>
      </tp>
      <tp>
        <v>79.320336923400006</v>
        <stp/>
        <stp>EM_S_FA_GROSSPROFITMARGIN</stp>
        <stp>3</stp>
        <stp>000608</stp>
        <stp>12/31/2018</stp>
        <stp>1</stp>
        <tr r="I3481" s="1"/>
      </tp>
      <tp>
        <v>23.194428974099999</v>
        <stp/>
        <stp>EM_S_FA_GROSSPROFITMARGIN</stp>
        <stp>3</stp>
        <stp>300638</stp>
        <stp>12/31/2018</stp>
        <stp>1</stp>
        <tr r="I110" s="1"/>
      </tp>
      <tp>
        <v>41.845985305600003</v>
        <stp/>
        <stp>EM_S_FA_GROSSPROFITMARGIN</stp>
        <stp>3</stp>
        <stp>600668</stp>
        <stp>12/31/2018</stp>
        <stp>1</stp>
        <tr r="I921" s="1"/>
      </tp>
      <tp>
        <v>12.5986510606</v>
        <stp/>
        <stp>EM_S_FA_GROSSPROFITMARGIN</stp>
        <stp>3</stp>
        <stp>000708</stp>
        <stp>12/31/2018</stp>
        <stp>1</stp>
        <tr r="I73" s="1"/>
      </tp>
      <tp>
        <v>26.552352055</v>
        <stp/>
        <stp>EM_S_FA_GROSSPROFITMARGIN</stp>
        <stp>3</stp>
        <stp>300738</stp>
        <stp>12/31/2018</stp>
        <stp>1</stp>
        <tr r="I2898" s="1"/>
      </tp>
      <tp>
        <v>3.5583476912999998</v>
        <stp/>
        <stp>EM_S_FA_GROSSPROFITMARGIN</stp>
        <stp>3</stp>
        <stp>600768</stp>
        <stp>12/31/2018</stp>
        <stp>1</stp>
        <tr r="I914" s="1"/>
      </tp>
      <tp>
        <v>68.347969344399999</v>
        <stp/>
        <stp>EM_S_FA_GROSSPROFITMARGIN</stp>
        <stp>3</stp>
        <stp>000408</stp>
        <stp>12/31/2018</stp>
        <stp>1</stp>
        <tr r="I3418" s="1"/>
      </tp>
      <tp>
        <v>23.239325909800002</v>
        <stp/>
        <stp>EM_S_FA_GROSSPROFITMARGIN</stp>
        <stp>3</stp>
        <stp>300438</stp>
        <stp>12/31/2018</stp>
        <stp>1</stp>
        <tr r="I364" s="1"/>
      </tp>
      <tp>
        <v>20.147021968099999</v>
        <stp/>
        <stp>EM_S_FA_GROSSPROFITMARGIN</stp>
        <stp>3</stp>
        <stp>600468</stp>
        <stp>12/31/2018</stp>
        <stp>1</stp>
        <tr r="I3233" s="1"/>
      </tp>
      <tp>
        <v>0</v>
        <stp/>
        <stp>EM_S_FA_GROSSPROFITMARGIN</stp>
        <stp>3</stp>
        <stp>000508</stp>
        <stp>12/31/2018</stp>
        <stp>1</stp>
        <tr r="I3434" s="1"/>
      </tp>
      <tp>
        <v>10.294616549000001</v>
        <stp/>
        <stp>EM_S_FA_GROSSPROFITMARGIN</stp>
        <stp>3</stp>
        <stp>300538</stp>
        <stp>12/31/2018</stp>
        <stp>1</stp>
        <tr r="I2971" s="1"/>
      </tp>
      <tp>
        <v>26.884773599799999</v>
        <stp/>
        <stp>EM_S_FA_GROSSPROFITMARGIN</stp>
        <stp>3</stp>
        <stp>600568</stp>
        <stp>12/31/2018</stp>
        <stp>1</stp>
        <tr r="I3135" s="1"/>
      </tp>
      <tp>
        <v>72.524906365500001</v>
        <stp/>
        <stp>EM_S_FA_GROSSPROFITMARGIN</stp>
        <stp>3</stp>
        <stp>300238</stp>
        <stp>12/31/2018</stp>
        <stp>1</stp>
        <tr r="I179" s="1"/>
      </tp>
      <tp>
        <v>25.832285633600002</v>
        <stp/>
        <stp>EM_S_FA_GROSSPROFITMARGIN</stp>
        <stp>3</stp>
        <stp>600268</stp>
        <stp>12/31/2018</stp>
        <stp>1</stp>
        <tr r="I1195" s="1"/>
      </tp>
      <tp>
        <v>70.1255668055</v>
        <stp/>
        <stp>EM_S_FA_GROSSPROFITMARGIN</stp>
        <stp>3</stp>
        <stp>300338</stp>
        <stp>12/31/2018</stp>
        <stp>1</stp>
        <tr r="I520" s="1"/>
      </tp>
      <tp>
        <v>50.698546749800002</v>
        <stp/>
        <stp>EM_S_FA_GROSSPROFITMARGIN</stp>
        <stp>3</stp>
        <stp>600368</stp>
        <stp>12/31/2018</stp>
        <stp>1</stp>
        <tr r="I637" s="1"/>
      </tp>
      <tp>
        <v>48.918371695300003</v>
        <stp/>
        <stp>EM_S_FA_GROSSPROFITMARGIN</stp>
        <stp>3</stp>
        <stp>000008</stp>
        <stp>12/31/2018</stp>
        <stp>1</stp>
        <tr r="I2627" s="1"/>
      </tp>
      <tp>
        <v>24.9635740951</v>
        <stp/>
        <stp>EM_S_FA_GROSSPROFITMARGIN</stp>
        <stp>3</stp>
        <stp>300038</stp>
        <stp>12/31/2018</stp>
        <stp>1</stp>
        <tr r="I2648" s="1"/>
      </tp>
      <tp>
        <v>16.331266557199999</v>
        <stp/>
        <stp>EM_S_FA_GROSSPROFITMARGIN</stp>
        <stp>3</stp>
        <stp>600068</stp>
        <stp>12/31/2018</stp>
        <stp>1</stp>
        <tr r="I2190" s="1"/>
      </tp>
      <tp>
        <v>14.2904387293</v>
        <stp/>
        <stp>EM_S_FA_GROSSPROFITMARGIN</stp>
        <stp>3</stp>
        <stp>300138</stp>
        <stp>12/31/2018</stp>
        <stp>1</stp>
        <tr r="I941" s="1"/>
      </tp>
      <tp>
        <v>28.9286737985</v>
        <stp/>
        <stp>EM_S_FA_GROSSPROFITMARGIN</stp>
        <stp>3</stp>
        <stp>600168</stp>
        <stp>12/31/2018</stp>
        <stp>1</stp>
        <tr r="I1443" s="1"/>
      </tp>
      <tp>
        <v>39.090602603599997</v>
        <stp/>
        <stp>EM_S_FA_GROSSPROFITMARGIN</stp>
        <stp>3</stp>
        <stp>603868</stp>
        <stp>12/31/2018</stp>
        <stp>1</stp>
        <tr r="I2443" s="1"/>
      </tp>
      <tp>
        <v>19.143858287499999</v>
        <stp/>
        <stp>EM_S_FA_GROSSPROFITMARGIN</stp>
        <stp>3</stp>
        <stp>603968</stp>
        <stp>12/31/2018</stp>
        <stp>1</stp>
        <tr r="I1405" s="1"/>
      </tp>
      <tp>
        <v>17.438752852299999</v>
        <stp/>
        <stp>EM_S_FA_GROSSPROFITMARGIN</stp>
        <stp>3</stp>
        <stp>603668</stp>
        <stp>12/31/2018</stp>
        <stp>1</stp>
        <tr r="I1555" s="1"/>
      </tp>
      <tp>
        <v>18.029534674400001</v>
        <stp/>
        <stp>EM_S_FA_GROSSPROFITMARGIN</stp>
        <stp>3</stp>
        <stp>603768</stp>
        <stp>12/31/2018</stp>
        <stp>1</stp>
        <tr r="I2158" s="1"/>
      </tp>
      <tp>
        <v>60.302501765000002</v>
        <stp/>
        <stp>EM_S_FA_GROSSPROFITMARGIN</stp>
        <stp>3</stp>
        <stp>603568</stp>
        <stp>12/31/2018</stp>
        <stp>1</stp>
        <tr r="I2253" s="1"/>
      </tp>
      <tp>
        <v>37.598603242300001</v>
        <stp/>
        <stp>EM_S_FA_GROSSPROFITMARGIN</stp>
        <stp>3</stp>
        <stp>603268</stp>
        <stp>12/31/2018</stp>
        <stp>1</stp>
        <tr r="I2529" s="1"/>
      </tp>
      <tp>
        <v>10.7605724561</v>
        <stp/>
        <stp>EM_S_FA_GROSSPROFITMARGIN</stp>
        <stp>3</stp>
        <stp>603368</stp>
        <stp>12/31/2018</stp>
        <stp>1</stp>
        <tr r="I1009" s="1"/>
      </tp>
      <tp>
        <v>72.119045907499995</v>
        <stp/>
        <stp>EM_S_FA_GROSSPROFITMARGIN</stp>
        <stp>3</stp>
        <stp>603168</stp>
        <stp>12/31/2018</stp>
        <stp>1</stp>
        <tr r="I1079" s="1"/>
      </tp>
      <tp>
        <v>20.0108754856</v>
        <stp/>
        <stp>EM_S_FA_GROSSPROFITMARGIN</stp>
        <stp>3</stp>
        <stp>002808</stp>
        <stp>12/31/2018</stp>
        <stp>1</stp>
        <tr r="I3161" s="1"/>
      </tp>
      <tp>
        <v>45.376979392599999</v>
        <stp/>
        <stp>EM_S_FA_GROSSPROFITMARGIN</stp>
        <stp>3</stp>
        <stp>002908</stp>
        <stp>12/31/2018</stp>
        <stp>1</stp>
        <tr r="I3201" s="1"/>
      </tp>
      <tp>
        <v>14.866629553799999</v>
        <stp/>
        <stp>EM_S_FA_GROSSPROFITMARGIN</stp>
        <stp>3</stp>
        <stp>002608</stp>
        <stp>12/31/2018</stp>
        <stp>1</stp>
        <tr r="I2248" s="1"/>
      </tp>
      <tp>
        <v>20.306520994100001</v>
        <stp/>
        <stp>EM_S_FA_GROSSPROFITMARGIN</stp>
        <stp>3</stp>
        <stp>002708</stp>
        <stp>12/31/2018</stp>
        <stp>1</stp>
        <tr r="I1971" s="1"/>
      </tp>
      <tp>
        <v>6.7839802288</v>
        <stp/>
        <stp>EM_S_FA_GROSSPROFITMARGIN</stp>
        <stp>3</stp>
        <stp>002408</stp>
        <stp>12/31/2018</stp>
        <stp>1</stp>
        <tr r="I2019" s="1"/>
      </tp>
      <tp>
        <v>53.524329132600002</v>
        <stp/>
        <stp>EM_S_FA_GROSSPROFITMARGIN</stp>
        <stp>3</stp>
        <stp>002508</stp>
        <stp>12/31/2018</stp>
        <stp>1</stp>
        <tr r="I332" s="1"/>
      </tp>
      <tp>
        <v>46.354126516599997</v>
        <stp/>
        <stp>EM_S_FA_GROSSPROFITMARGIN</stp>
        <stp>3</stp>
        <stp>002208</stp>
        <stp>12/31/2018</stp>
        <stp>1</stp>
        <tr r="I3250" s="1"/>
      </tp>
      <tp>
        <v>54.149106613100003</v>
        <stp/>
        <stp>EM_S_FA_GROSSPROFITMARGIN</stp>
        <stp>3</stp>
        <stp>002308</stp>
        <stp>12/31/2018</stp>
        <stp>1</stp>
        <tr r="I2098" s="1"/>
      </tp>
      <tp>
        <v>37.479229572599998</v>
        <stp/>
        <stp>EM_S_FA_GROSSPROFITMARGIN</stp>
        <stp>3</stp>
        <stp>002008</stp>
        <stp>12/31/2018</stp>
        <stp>1</stp>
        <tr r="I3605" s="1"/>
      </tp>
      <tp>
        <v>16.555522943700002</v>
        <stp/>
        <stp>EM_S_FA_GROSSPROFITMARGIN</stp>
        <stp>3</stp>
        <stp>002108</stp>
        <stp>12/31/2018</stp>
        <stp>1</stp>
        <tr r="I3637" s="1"/>
      </tp>
      <tp>
        <v>6.5718809682000003</v>
        <stp/>
        <stp>EM_S_FA_GROSSPROFITMARGIN</stp>
        <stp>3</stp>
        <stp>601969</stp>
        <stp>12/31/2018</stp>
        <stp>1</stp>
        <tr r="I915" s="1"/>
      </tp>
      <tp>
        <v>14.773664911599999</v>
        <stp/>
        <stp>EM_S_FA_GROSSPROFITMARGIN</stp>
        <stp>3</stp>
        <stp>601669</stp>
        <stp>12/31/2018</stp>
        <stp>1</stp>
        <tr r="I2887" s="1"/>
      </tp>
      <tp>
        <v>22.038377860699999</v>
        <stp/>
        <stp>EM_S_FA_GROSSPROFITMARGIN</stp>
        <stp>3</stp>
        <stp>601369</stp>
        <stp>12/31/2018</stp>
        <stp>1</stp>
        <tr r="I1777" s="1"/>
      </tp>
      <tp>
        <v>24.862327590300001</v>
        <stp/>
        <stp>EM_S_FA_GROSSPROFITMARGIN</stp>
        <stp>3</stp>
        <stp>601069</stp>
        <stp>12/31/2018</stp>
        <stp>1</stp>
        <tr r="I2244" s="1"/>
      </tp>
      <tp>
        <v>0</v>
        <stp/>
        <stp>EM_S_FA_GROSSPROFITMARGIN</stp>
        <stp>3</stp>
        <stp>601169</stp>
        <stp>12/31/2018</stp>
        <stp>1</stp>
        <tr r="I2223" s="1"/>
      </tp>
      <tp>
        <v>11.7833387059</v>
        <stp/>
        <stp>EM_S_FA_GROSSPROFITMARGIN</stp>
        <stp>3</stp>
        <stp>000809</stp>
        <stp>12/31/2018</stp>
        <stp>1</stp>
        <tr r="I2356" s="1"/>
      </tp>
      <tp>
        <v>15.451500770599999</v>
        <stp/>
        <stp>EM_S_FA_GROSSPROFITMARGIN</stp>
        <stp>3</stp>
        <stp>600869</stp>
        <stp>12/31/2018</stp>
        <stp>1</stp>
        <tr r="I2251" s="1"/>
      </tp>
      <tp>
        <v>20.565546305600002</v>
        <stp/>
        <stp>EM_S_FA_GROSSPROFITMARGIN</stp>
        <stp>3</stp>
        <stp>000909</stp>
        <stp>12/31/2018</stp>
        <stp>1</stp>
        <tr r="I3571" s="1"/>
      </tp>
      <tp>
        <v>15.5317106124</v>
        <stp/>
        <stp>EM_S_FA_GROSSPROFITMARGIN</stp>
        <stp>3</stp>
        <stp>600969</stp>
        <stp>12/31/2018</stp>
        <stp>1</stp>
        <tr r="I1681" s="1"/>
      </tp>
      <tp>
        <v>25.056584403700001</v>
        <stp/>
        <stp>EM_S_FA_GROSSPROFITMARGIN</stp>
        <stp>3</stp>
        <stp>000609</stp>
        <stp>12/31/2018</stp>
        <stp>1</stp>
        <tr r="I3482" s="1"/>
      </tp>
      <tp>
        <v>83.496454422300005</v>
        <stp/>
        <stp>EM_S_FA_GROSSPROFITMARGIN</stp>
        <stp>3</stp>
        <stp>300639</stp>
        <stp>12/31/2018</stp>
        <stp>1</stp>
        <tr r="I429" s="1"/>
      </tp>
      <tp>
        <v>0</v>
        <stp/>
        <stp>EM_S_FA_GROSSPROFITMARGIN</stp>
        <stp>3</stp>
        <stp>600669</stp>
        <stp>12/31/2018</stp>
        <stp>1</stp>
        <tr r="I2313" s="1"/>
      </tp>
      <tp>
        <v>14.297378875</v>
        <stp/>
        <stp>EM_S_FA_GROSSPROFITMARGIN</stp>
        <stp>3</stp>
        <stp>000709</stp>
        <stp>12/31/2018</stp>
        <stp>1</stp>
        <tr r="I2736" s="1"/>
      </tp>
      <tp>
        <v>28.748850887900002</v>
        <stp/>
        <stp>EM_S_FA_GROSSPROFITMARGIN</stp>
        <stp>3</stp>
        <stp>300739</stp>
        <stp>12/31/2018</stp>
        <stp>1</stp>
        <tr r="I2754" s="1"/>
      </tp>
      <tp>
        <v>14.978560376600001</v>
        <stp/>
        <stp>EM_S_FA_GROSSPROFITMARGIN</stp>
        <stp>3</stp>
        <stp>600769</stp>
        <stp>12/31/2018</stp>
        <stp>1</stp>
        <tr r="I695" s="1"/>
      </tp>
      <tp>
        <v>4.1975491774</v>
        <stp/>
        <stp>EM_S_FA_GROSSPROFITMARGIN</stp>
        <stp>3</stp>
        <stp>000409</stp>
        <stp>12/31/2018</stp>
        <stp>1</stp>
        <tr r="I2918" s="1"/>
      </tp>
      <tp>
        <v>34.938262330500002</v>
        <stp/>
        <stp>EM_S_FA_GROSSPROFITMARGIN</stp>
        <stp>3</stp>
        <stp>300439</stp>
        <stp>12/31/2018</stp>
        <stp>1</stp>
        <tr r="I2237" s="1"/>
      </tp>
      <tp>
        <v>18.139383159200001</v>
        <stp/>
        <stp>EM_S_FA_GROSSPROFITMARGIN</stp>
        <stp>3</stp>
        <stp>600469</stp>
        <stp>12/31/2018</stp>
        <stp>1</stp>
        <tr r="I749" s="1"/>
      </tp>
      <tp>
        <v>2.2270012502999998</v>
        <stp/>
        <stp>EM_S_FA_GROSSPROFITMARGIN</stp>
        <stp>3</stp>
        <stp>000509</stp>
        <stp>12/31/2018</stp>
        <stp>1</stp>
        <tr r="I3435" s="1"/>
      </tp>
      <tp>
        <v>19.552786219800002</v>
        <stp/>
        <stp>EM_S_FA_GROSSPROFITMARGIN</stp>
        <stp>3</stp>
        <stp>300539</stp>
        <stp>12/31/2018</stp>
        <stp>1</stp>
        <tr r="I2767" s="1"/>
      </tp>
      <tp>
        <v>12.6405669243</v>
        <stp/>
        <stp>EM_S_FA_GROSSPROFITMARGIN</stp>
        <stp>3</stp>
        <stp>600569</stp>
        <stp>12/31/2018</stp>
        <stp>1</stp>
        <tr r="I3012" s="1"/>
      </tp>
      <tp>
        <v>21.945190775899999</v>
        <stp/>
        <stp>EM_S_FA_GROSSPROFITMARGIN</stp>
        <stp>3</stp>
        <stp>300239</stp>
        <stp>12/31/2018</stp>
        <stp>1</stp>
        <tr r="I984" s="1"/>
      </tp>
      <tp>
        <v>37.093864992500002</v>
        <stp/>
        <stp>EM_S_FA_GROSSPROFITMARGIN</stp>
        <stp>3</stp>
        <stp>600269</stp>
        <stp>12/31/2018</stp>
        <stp>1</stp>
        <tr r="I1972" s="1"/>
      </tp>
      <tp>
        <v>40.972765322199997</v>
        <stp/>
        <stp>EM_S_FA_GROSSPROFITMARGIN</stp>
        <stp>3</stp>
        <stp>300339</stp>
        <stp>12/31/2018</stp>
        <stp>1</stp>
        <tr r="I650" s="1"/>
      </tp>
      <tp>
        <v>0</v>
        <stp/>
        <stp>EM_S_FA_GROSSPROFITMARGIN</stp>
        <stp>3</stp>
        <stp>600369</stp>
        <stp>12/31/2018</stp>
        <stp>1</stp>
        <tr r="I559" s="1"/>
      </tp>
      <tp>
        <v>36.996826920899998</v>
        <stp/>
        <stp>EM_S_FA_GROSSPROFITMARGIN</stp>
        <stp>3</stp>
        <stp>000009</stp>
        <stp>12/31/2018</stp>
        <stp>1</stp>
        <tr r="I295" s="1"/>
      </tp>
      <tp>
        <v>82.431184124200001</v>
        <stp/>
        <stp>EM_S_FA_GROSSPROFITMARGIN</stp>
        <stp>3</stp>
        <stp>300039</stp>
        <stp>12/31/2018</stp>
        <stp>1</stp>
        <tr r="I1356" s="1"/>
      </tp>
      <tp>
        <v>5.5550477843000001</v>
        <stp/>
        <stp>EM_S_FA_GROSSPROFITMARGIN</stp>
        <stp>3</stp>
        <stp>600069</stp>
        <stp>12/31/2018</stp>
        <stp>1</stp>
        <tr r="I2650" s="1"/>
      </tp>
      <tp>
        <v>60.516526132999999</v>
        <stp/>
        <stp>EM_S_FA_GROSSPROFITMARGIN</stp>
        <stp>3</stp>
        <stp>300139</stp>
        <stp>12/31/2018</stp>
        <stp>1</stp>
        <tr r="I1318" s="1"/>
      </tp>
      <tp>
        <v>29.9435541195</v>
        <stp/>
        <stp>EM_S_FA_GROSSPROFITMARGIN</stp>
        <stp>3</stp>
        <stp>600169</stp>
        <stp>12/31/2018</stp>
        <stp>1</stp>
        <tr r="I2058" s="1"/>
      </tp>
      <tp>
        <v>40.39505217</v>
        <stp/>
        <stp>EM_S_FA_GROSSPROFITMARGIN</stp>
        <stp>3</stp>
        <stp>603869</stp>
        <stp>12/31/2018</stp>
        <stp>1</stp>
        <tr r="I3074" s="1"/>
      </tp>
      <tp>
        <v>17.278547507199999</v>
        <stp/>
        <stp>EM_S_FA_GROSSPROFITMARGIN</stp>
        <stp>3</stp>
        <stp>603969</stp>
        <stp>12/31/2018</stp>
        <stp>1</stp>
        <tr r="I2760" s="1"/>
      </tp>
      <tp>
        <v>87.900409021900003</v>
        <stp/>
        <stp>EM_S_FA_GROSSPROFITMARGIN</stp>
        <stp>3</stp>
        <stp>603669</stp>
        <stp>12/31/2018</stp>
        <stp>1</stp>
        <tr r="I3197" s="1"/>
      </tp>
      <tp>
        <v>13.5483896396</v>
        <stp/>
        <stp>EM_S_FA_GROSSPROFITMARGIN</stp>
        <stp>3</stp>
        <stp>603569</stp>
        <stp>12/31/2018</stp>
        <stp>1</stp>
        <tr r="I2510" s="1"/>
      </tp>
      <tp>
        <v>29.426382811900002</v>
        <stp/>
        <stp>EM_S_FA_GROSSPROFITMARGIN</stp>
        <stp>3</stp>
        <stp>603269</stp>
        <stp>12/31/2018</stp>
        <stp>1</stp>
        <tr r="I2502" s="1"/>
      </tp>
      <tp>
        <v>72.871148356500001</v>
        <stp/>
        <stp>EM_S_FA_GROSSPROFITMARGIN</stp>
        <stp>3</stp>
        <stp>603369</stp>
        <stp>12/31/2018</stp>
        <stp>1</stp>
        <tr r="I109" s="1"/>
      </tp>
      <tp>
        <v>23.766887375900001</v>
        <stp/>
        <stp>EM_S_FA_GROSSPROFITMARGIN</stp>
        <stp>3</stp>
        <stp>603069</stp>
        <stp>12/31/2018</stp>
        <stp>1</stp>
        <tr r="I464" s="1"/>
      </tp>
      <tp>
        <v>-14.846208364300001</v>
        <stp/>
        <stp>EM_S_FA_GROSSPROFITMARGIN</stp>
        <stp>3</stp>
        <stp>603169</stp>
        <stp>12/31/2018</stp>
        <stp>1</stp>
        <tr r="I821" s="1"/>
      </tp>
      <tp>
        <v>27.208003453300002</v>
        <stp/>
        <stp>EM_S_FA_GROSSPROFITMARGIN</stp>
        <stp>3</stp>
        <stp>002809</stp>
        <stp>12/31/2018</stp>
        <stp>1</stp>
        <tr r="I961" s="1"/>
      </tp>
      <tp>
        <v>24.616239587500001</v>
        <stp/>
        <stp>EM_S_FA_GROSSPROFITMARGIN</stp>
        <stp>3</stp>
        <stp>002909</stp>
        <stp>12/31/2018</stp>
        <stp>1</stp>
        <tr r="I2046" s="1"/>
      </tp>
      <tp>
        <v>42.687988192100001</v>
        <stp/>
        <stp>EM_S_FA_GROSSPROFITMARGIN</stp>
        <stp>3</stp>
        <stp>002609</stp>
        <stp>12/31/2018</stp>
        <stp>1</stp>
        <tr r="I507" s="1"/>
      </tp>
      <tp>
        <v>24.320431831200001</v>
        <stp/>
        <stp>EM_S_FA_GROSSPROFITMARGIN</stp>
        <stp>3</stp>
        <stp>002709</stp>
        <stp>12/31/2018</stp>
        <stp>1</stp>
        <tr r="I2533" s="1"/>
      </tp>
      <tp>
        <v>28.008687012799999</v>
        <stp/>
        <stp>EM_S_FA_GROSSPROFITMARGIN</stp>
        <stp>3</stp>
        <stp>002409</stp>
        <stp>12/31/2018</stp>
        <stp>1</stp>
        <tr r="I294" s="1"/>
      </tp>
      <tp>
        <v>27.617651476300001</v>
        <stp/>
        <stp>EM_S_FA_GROSSPROFITMARGIN</stp>
        <stp>3</stp>
        <stp>002509</stp>
        <stp>12/31/2018</stp>
        <stp>1</stp>
        <tr r="I3313" s="1"/>
      </tp>
      <tp>
        <v>26.3865337497</v>
        <stp/>
        <stp>EM_S_FA_GROSSPROFITMARGIN</stp>
        <stp>3</stp>
        <stp>002209</stp>
        <stp>12/31/2018</stp>
        <stp>1</stp>
        <tr r="I2160" s="1"/>
      </tp>
      <tp>
        <v>18.797695496599999</v>
        <stp/>
        <stp>EM_S_FA_GROSSPROFITMARGIN</stp>
        <stp>3</stp>
        <stp>002309</stp>
        <stp>12/31/2018</stp>
        <stp>1</stp>
        <tr r="I3182" s="1"/>
      </tp>
      <tp>
        <v>20.288451025899999</v>
        <stp/>
        <stp>EM_S_FA_GROSSPROFITMARGIN</stp>
        <stp>3</stp>
        <stp>002009</stp>
        <stp>12/31/2018</stp>
        <stp>1</stp>
        <tr r="I2192" s="1"/>
      </tp>
      <tp>
        <v>22.6994326724</v>
        <stp/>
        <stp>EM_S_FA_GROSSPROFITMARGIN</stp>
        <stp>3</stp>
        <stp>002109</stp>
        <stp>12/31/2018</stp>
        <stp>1</stp>
        <tr r="I2560" s="1"/>
      </tp>
      <tp>
        <v>21.5192861566</v>
        <stp/>
        <stp>EM_S_FA_GROSSPROFITMARGIN</stp>
        <stp>3</stp>
        <stp>600814</stp>
        <stp>12/31/2018</stp>
        <stp>1</stp>
        <tr r="I2267" s="1"/>
      </tp>
      <tp>
        <v>13.044749358000001</v>
        <stp/>
        <stp>EM_S_FA_GROSSPROFITMARGIN</stp>
        <stp>3</stp>
        <stp>300644</stp>
        <stp>12/31/2018</stp>
        <stp>1</stp>
        <tr r="I2969" s="1"/>
      </tp>
      <tp>
        <v>24.963006786899999</v>
        <stp/>
        <stp>EM_S_FA_GROSSPROFITMARGIN</stp>
        <stp>3</stp>
        <stp>600614</stp>
        <stp>12/31/2018</stp>
        <stp>1</stp>
        <tr r="I3373" s="1"/>
      </tp>
      <tp>
        <v>24.943971161099999</v>
        <stp/>
        <stp>EM_S_FA_GROSSPROFITMARGIN</stp>
        <stp>3</stp>
        <stp>600714</stp>
        <stp>12/31/2018</stp>
        <stp>1</stp>
        <tr r="I2212" s="1"/>
      </tp>
      <tp>
        <v>26.6945828556</v>
        <stp/>
        <stp>EM_S_FA_GROSSPROFITMARGIN</stp>
        <stp>3</stp>
        <stp>300444</stp>
        <stp>12/31/2018</stp>
        <stp>1</stp>
        <tr r="I3128" s="1"/>
      </tp>
      <tp>
        <v>34.043430979199997</v>
        <stp/>
        <stp>EM_S_FA_GROSSPROFITMARGIN</stp>
        <stp>3</stp>
        <stp>300244</stp>
        <stp>12/31/2018</stp>
        <stp>1</stp>
        <tr r="I671" s="1"/>
      </tp>
      <tp>
        <v>36.223358850399997</v>
        <stp/>
        <stp>EM_S_FA_GROSSPROFITMARGIN</stp>
        <stp>3</stp>
        <stp>300344</stp>
        <stp>12/31/2018</stp>
        <stp>1</stp>
        <tr r="I2757" s="1"/>
      </tp>
      <tp>
        <v>34.621885361300002</v>
        <stp/>
        <stp>EM_S_FA_GROSSPROFITMARGIN</stp>
        <stp>3</stp>
        <stp>300044</stp>
        <stp>12/31/2018</stp>
        <stp>1</stp>
        <tr r="I1874" s="1"/>
      </tp>
      <tp>
        <v>66.427017169500004</v>
        <stp/>
        <stp>EM_S_FA_GROSSPROFITMARGIN</stp>
        <stp>3</stp>
        <stp>300144</stp>
        <stp>12/31/2018</stp>
        <stp>1</stp>
        <tr r="I664" s="1"/>
      </tp>
      <tp>
        <v>31.629589082799999</v>
        <stp/>
        <stp>EM_S_FA_GROSSPROFITMARGIN</stp>
        <stp>3</stp>
        <stp>600114</stp>
        <stp>12/31/2018</stp>
        <stp>1</stp>
        <tr r="I729" s="1"/>
      </tp>
      <tp>
        <v>28.770423762299998</v>
        <stp/>
        <stp>EM_S_FA_GROSSPROFITMARGIN</stp>
        <stp>3</stp>
        <stp>603214</stp>
        <stp>12/31/2018</stp>
        <stp>1</stp>
        <tr r="I1650" s="1"/>
      </tp>
      <tp>
        <v>13.805088015200001</v>
        <stp/>
        <stp>EM_S_FA_GROSSPROFITMARGIN</stp>
        <stp>3</stp>
        <stp>002674</stp>
        <stp>12/31/2018</stp>
        <stp>1</stp>
        <tr r="I622" s="1"/>
      </tp>
      <tp>
        <v>30.972948232299998</v>
        <stp/>
        <stp>EM_S_FA_GROSSPROFITMARGIN</stp>
        <stp>3</stp>
        <stp>002774</stp>
        <stp>12/31/2018</stp>
        <stp>1</stp>
        <tr r="I2622" s="1"/>
      </tp>
      <tp>
        <v>32.904630011599998</v>
        <stp/>
        <stp>EM_S_FA_GROSSPROFITMARGIN</stp>
        <stp>3</stp>
        <stp>002474</stp>
        <stp>12/31/2018</stp>
        <stp>1</stp>
        <tr r="I779" s="1"/>
      </tp>
      <tp>
        <v>8.6815785998999999</v>
        <stp/>
        <stp>EM_S_FA_GROSSPROFITMARGIN</stp>
        <stp>3</stp>
        <stp>002574</stp>
        <stp>12/31/2018</stp>
        <stp>1</stp>
        <tr r="I2095" s="1"/>
      </tp>
      <tp>
        <v>11.286422417400001</v>
        <stp/>
        <stp>EM_S_FA_GROSSPROFITMARGIN</stp>
        <stp>3</stp>
        <stp>002274</stp>
        <stp>12/31/2018</stp>
        <stp>1</stp>
        <tr r="I999" s="1"/>
      </tp>
      <tp>
        <v>10.617205752</v>
        <stp/>
        <stp>EM_S_FA_GROSSPROFITMARGIN</stp>
        <stp>3</stp>
        <stp>002374</stp>
        <stp>12/31/2018</stp>
        <stp>1</stp>
        <tr r="I2545" s="1"/>
      </tp>
      <tp>
        <v>29.1854873586</v>
        <stp/>
        <stp>EM_S_FA_GROSSPROFITMARGIN</stp>
        <stp>3</stp>
        <stp>002074</stp>
        <stp>12/31/2018</stp>
        <stp>1</stp>
        <tr r="I1128" s="1"/>
      </tp>
      <tp>
        <v>56.078504514199999</v>
        <stp/>
        <stp>EM_S_FA_GROSSPROFITMARGIN</stp>
        <stp>3</stp>
        <stp>002174</stp>
        <stp>12/31/2018</stp>
        <stp>1</stp>
        <tr r="I1138" s="1"/>
      </tp>
      <tp>
        <v>38.629763035700002</v>
        <stp/>
        <stp>EM_S_FA_GROSSPROFITMARGIN</stp>
        <stp>3</stp>
        <stp>601515</stp>
        <stp>12/31/2018</stp>
        <stp>1</stp>
        <tr r="I2559" s="1"/>
      </tp>
      <tp>
        <v>13.333616145800001</v>
        <stp/>
        <stp>EM_S_FA_GROSSPROFITMARGIN</stp>
        <stp>3</stp>
        <stp>601015</stp>
        <stp>12/31/2018</stp>
        <stp>1</stp>
        <tr r="I3317" s="1"/>
      </tp>
      <tp>
        <v>18.9897652768</v>
        <stp/>
        <stp>EM_S_FA_GROSSPROFITMARGIN</stp>
        <stp>3</stp>
        <stp>000875</stp>
        <stp>12/31/2018</stp>
        <stp>1</stp>
        <tr r="I1036" s="1"/>
      </tp>
      <tp>
        <v>11.767225654200001</v>
        <stp/>
        <stp>EM_S_FA_GROSSPROFITMARGIN</stp>
        <stp>3</stp>
        <stp>600815</stp>
        <stp>12/31/2018</stp>
        <stp>1</stp>
        <tr r="I2476" s="1"/>
      </tp>
      <tp>
        <v>29.673224590899999</v>
        <stp/>
        <stp>EM_S_FA_GROSSPROFITMARGIN</stp>
        <stp>3</stp>
        <stp>000975</stp>
        <stp>12/31/2018</stp>
        <stp>1</stp>
        <tr r="I930" s="1"/>
      </tp>
      <tp>
        <v>0</v>
        <stp/>
        <stp>EM_S_FA_GROSSPROFITMARGIN</stp>
        <stp>3</stp>
        <stp>000675</stp>
        <stp>12/31/2018</stp>
        <stp>1</stp>
        <tr r="I3504" s="1"/>
      </tp>
      <tp>
        <v>39.780796394900001</v>
        <stp/>
        <stp>EM_S_FA_GROSSPROFITMARGIN</stp>
        <stp>3</stp>
        <stp>300645</stp>
        <stp>12/31/2018</stp>
        <stp>1</stp>
        <tr r="I3374" s="1"/>
      </tp>
      <tp>
        <v>15.596041082599999</v>
        <stp/>
        <stp>EM_S_FA_GROSSPROFITMARGIN</stp>
        <stp>3</stp>
        <stp>600615</stp>
        <stp>12/31/2018</stp>
        <stp>1</stp>
        <tr r="I1631" s="1"/>
      </tp>
      <tp>
        <v>26.744052869299999</v>
        <stp/>
        <stp>EM_S_FA_GROSSPROFITMARGIN</stp>
        <stp>3</stp>
        <stp>300745</stp>
        <stp>12/31/2018</stp>
        <stp>1</stp>
        <tr r="I3282" s="1"/>
      </tp>
      <tp>
        <v>4.8222436795999997</v>
        <stp/>
        <stp>EM_S_FA_GROSSPROFITMARGIN</stp>
        <stp>3</stp>
        <stp>600715</stp>
        <stp>12/31/2018</stp>
        <stp>1</stp>
        <tr r="I3118" s="1"/>
      </tp>
      <tp>
        <v>72.041041701899999</v>
        <stp/>
        <stp>EM_S_FA_GROSSPROFITMARGIN</stp>
        <stp>3</stp>
        <stp>300445</stp>
        <stp>12/31/2018</stp>
        <stp>1</stp>
        <tr r="I314" s="1"/>
      </tp>
      <tp>
        <v>49.3565848788</v>
        <stp/>
        <stp>EM_S_FA_GROSSPROFITMARGIN</stp>
        <stp>3</stp>
        <stp>600415</stp>
        <stp>12/31/2018</stp>
        <stp>1</stp>
        <tr r="I1685" s="1"/>
      </tp>
      <tp>
        <v>34.238672649100003</v>
        <stp/>
        <stp>EM_S_FA_GROSSPROFITMARGIN</stp>
        <stp>3</stp>
        <stp>300545</stp>
        <stp>12/31/2018</stp>
        <stp>1</stp>
        <tr r="I1071" s="1"/>
      </tp>
      <tp>
        <v>49.620142833300001</v>
        <stp/>
        <stp>EM_S_FA_GROSSPROFITMARGIN</stp>
        <stp>3</stp>
        <stp>600515</stp>
        <stp>12/31/2018</stp>
        <stp>1</stp>
        <tr r="I2485" s="1"/>
      </tp>
      <tp>
        <v>31.5252392015</v>
        <stp/>
        <stp>EM_S_FA_GROSSPROFITMARGIN</stp>
        <stp>3</stp>
        <stp>300245</stp>
        <stp>12/31/2018</stp>
        <stp>1</stp>
        <tr r="I1646" s="1"/>
      </tp>
      <tp>
        <v>15.994584999900001</v>
        <stp/>
        <stp>EM_S_FA_GROSSPROFITMARGIN</stp>
        <stp>3</stp>
        <stp>600215</stp>
        <stp>12/31/2018</stp>
        <stp>1</stp>
        <tr r="I2571" s="1"/>
      </tp>
      <tp>
        <v>5.8647590442000004</v>
        <stp/>
        <stp>EM_S_FA_GROSSPROFITMARGIN</stp>
        <stp>3</stp>
        <stp>300345</stp>
        <stp>12/31/2018</stp>
        <stp>1</stp>
        <tr r="I115" s="1"/>
      </tp>
      <tp>
        <v>62.791649999900002</v>
        <stp/>
        <stp>EM_S_FA_GROSSPROFITMARGIN</stp>
        <stp>3</stp>
        <stp>600315</stp>
        <stp>12/31/2018</stp>
        <stp>1</stp>
        <tr r="I1565" s="1"/>
      </tp>
      <tp>
        <v>44.075311856500001</v>
        <stp/>
        <stp>EM_S_FA_GROSSPROFITMARGIN</stp>
        <stp>3</stp>
        <stp>300045</stp>
        <stp>12/31/2018</stp>
        <stp>1</stp>
        <tr r="I1141" s="1"/>
      </tp>
      <tp>
        <v>0</v>
        <stp/>
        <stp>EM_S_FA_GROSSPROFITMARGIN</stp>
        <stp>3</stp>
        <stp>600015</stp>
        <stp>12/31/2018</stp>
        <stp>1</stp>
        <tr r="I2083" s="1"/>
      </tp>
      <tp>
        <v>38.564075021800001</v>
        <stp/>
        <stp>EM_S_FA_GROSSPROFITMARGIN</stp>
        <stp>3</stp>
        <stp>300145</stp>
        <stp>12/31/2018</stp>
        <stp>1</stp>
        <tr r="I1801" s="1"/>
      </tp>
      <tp>
        <v>10.896197685500001</v>
        <stp/>
        <stp>EM_S_FA_GROSSPROFITMARGIN</stp>
        <stp>3</stp>
        <stp>600115</stp>
        <stp>12/31/2018</stp>
        <stp>1</stp>
        <tr r="I1172" s="1"/>
      </tp>
      <tp>
        <v>25.796866539300002</v>
        <stp/>
        <stp>EM_S_FA_GROSSPROFITMARGIN</stp>
        <stp>3</stp>
        <stp>603615</stp>
        <stp>12/31/2018</stp>
        <stp>1</stp>
        <tr r="I1733" s="1"/>
      </tp>
      <tp>
        <v>36.460152639</v>
        <stp/>
        <stp>EM_S_FA_GROSSPROFITMARGIN</stp>
        <stp>3</stp>
        <stp>603515</stp>
        <stp>12/31/2018</stp>
        <stp>1</stp>
        <tr r="I2247" s="1"/>
      </tp>
      <tp>
        <v>18.173290053799999</v>
        <stp/>
        <stp>EM_S_FA_GROSSPROFITMARGIN</stp>
        <stp>3</stp>
        <stp>603315</stp>
        <stp>12/31/2018</stp>
        <stp>1</stp>
        <tr r="I2056" s="1"/>
      </tp>
      <tp>
        <v>36.300305149000003</v>
        <stp/>
        <stp>EM_S_FA_GROSSPROFITMARGIN</stp>
        <stp>3</stp>
        <stp>603015</stp>
        <stp>12/31/2018</stp>
        <stp>1</stp>
        <tr r="I1933" s="1"/>
      </tp>
      <tp>
        <v>55.252773819399998</v>
        <stp/>
        <stp>EM_S_FA_GROSSPROFITMARGIN</stp>
        <stp>3</stp>
        <stp>002875</stp>
        <stp>12/31/2018</stp>
        <stp>1</stp>
        <tr r="I1887" s="1"/>
      </tp>
      <tp>
        <v>57.312247350100002</v>
        <stp/>
        <stp>EM_S_FA_GROSSPROFITMARGIN</stp>
        <stp>3</stp>
        <stp>002675</stp>
        <stp>12/31/2018</stp>
        <stp>1</stp>
        <tr r="I177" s="1"/>
      </tp>
      <tp>
        <v>19.2965129928</v>
        <stp/>
        <stp>EM_S_FA_GROSSPROFITMARGIN</stp>
        <stp>3</stp>
        <stp>002775</stp>
        <stp>12/31/2018</stp>
        <stp>1</stp>
        <tr r="I2512" s="1"/>
      </tp>
      <tp>
        <v>21.047533654399999</v>
        <stp/>
        <stp>EM_S_FA_GROSSPROFITMARGIN</stp>
        <stp>3</stp>
        <stp>002475</stp>
        <stp>12/31/2018</stp>
        <stp>1</stp>
        <tr r="I81" s="1"/>
      </tp>
      <tp>
        <v>18.272261123300002</v>
        <stp/>
        <stp>EM_S_FA_GROSSPROFITMARGIN</stp>
        <stp>3</stp>
        <stp>002575</stp>
        <stp>12/31/2018</stp>
        <stp>1</stp>
        <tr r="I2631" s="1"/>
      </tp>
      <tp>
        <v>72.711985523300001</v>
        <stp/>
        <stp>EM_S_FA_GROSSPROFITMARGIN</stp>
        <stp>3</stp>
        <stp>002275</stp>
        <stp>12/31/2018</stp>
        <stp>1</stp>
        <tr r="I2210" s="1"/>
      </tp>
      <tp>
        <v>13.5332302221</v>
        <stp/>
        <stp>EM_S_FA_GROSSPROFITMARGIN</stp>
        <stp>3</stp>
        <stp>002375</stp>
        <stp>12/31/2018</stp>
        <stp>1</stp>
        <tr r="I1491" s="1"/>
      </tp>
      <tp>
        <v>22.4147655312</v>
        <stp/>
        <stp>EM_S_FA_GROSSPROFITMARGIN</stp>
        <stp>3</stp>
        <stp>002075</stp>
        <stp>12/31/2018</stp>
        <stp>1</stp>
        <tr r="I3139" s="1"/>
      </tp>
      <tp>
        <v>10.342861900700001</v>
        <stp/>
        <stp>EM_S_FA_GROSSPROFITMARGIN</stp>
        <stp>3</stp>
        <stp>002175</stp>
        <stp>12/31/2018</stp>
        <stp>1</stp>
        <tr r="I3335" s="1"/>
      </tp>
      <tp>
        <v>22.324366420299999</v>
        <stp/>
        <stp>EM_S_FA_GROSSPROFITMARGIN</stp>
        <stp>3</stp>
        <stp>601616</stp>
        <stp>12/31/2018</stp>
        <stp>1</stp>
        <tr r="I2516" s="1"/>
      </tp>
      <tp>
        <v>44.675499779299997</v>
        <stp/>
        <stp>EM_S_FA_GROSSPROFITMARGIN</stp>
        <stp>3</stp>
        <stp>601216</stp>
        <stp>12/31/2018</stp>
        <stp>1</stp>
        <tr r="I1321" s="1"/>
      </tp>
      <tp>
        <v>53.342037181000002</v>
        <stp/>
        <stp>EM_S_FA_GROSSPROFITMARGIN</stp>
        <stp>3</stp>
        <stp>601016</stp>
        <stp>12/31/2018</stp>
        <stp>1</stp>
        <tr r="I2133" s="1"/>
      </tp>
      <tp>
        <v>24.027302719200001</v>
        <stp/>
        <stp>EM_S_FA_GROSSPROFITMARGIN</stp>
        <stp>3</stp>
        <stp>601116</stp>
        <stp>12/31/2018</stp>
        <stp>1</stp>
        <tr r="I1294" s="1"/>
      </tp>
      <tp>
        <v>8.7309801592999996</v>
        <stp/>
        <stp>EM_S_FA_GROSSPROFITMARGIN</stp>
        <stp>3</stp>
        <stp>000876</stp>
        <stp>12/31/2018</stp>
        <stp>1</stp>
        <tr r="I64" s="1"/>
      </tp>
      <tp>
        <v>0</v>
        <stp/>
        <stp>EM_S_FA_GROSSPROFITMARGIN</stp>
        <stp>3</stp>
        <stp>600816</stp>
        <stp>12/31/2018</stp>
        <stp>1</stp>
        <tr r="I2137" s="1"/>
      </tp>
      <tp>
        <v>30.659416796599999</v>
        <stp/>
        <stp>EM_S_FA_GROSSPROFITMARGIN</stp>
        <stp>3</stp>
        <stp>000976</stp>
        <stp>12/31/2018</stp>
        <stp>1</stp>
        <tr r="I3591" s="1"/>
      </tp>
      <tp>
        <v>18.7438489669</v>
        <stp/>
        <stp>EM_S_FA_GROSSPROFITMARGIN</stp>
        <stp>3</stp>
        <stp>000676</stp>
        <stp>12/31/2018</stp>
        <stp>1</stp>
        <tr r="I2517" s="1"/>
      </tp>
      <tp>
        <v>0</v>
        <stp/>
        <stp>EM_S_FA_GROSSPROFITMARGIN</stp>
        <stp>3</stp>
        <stp>300646</stp>
        <stp>12/31/2018</stp>
        <stp>1</stp>
        <tr r="I10" s="1"/>
      </tp>
      <tp>
        <v>46.2126816225</v>
        <stp/>
        <stp>EM_S_FA_GROSSPROFITMARGIN</stp>
        <stp>3</stp>
        <stp>600616</stp>
        <stp>12/31/2018</stp>
        <stp>1</stp>
        <tr r="I2035" s="1"/>
      </tp>
      <tp>
        <v>0</v>
        <stp/>
        <stp>EM_S_FA_GROSSPROFITMARGIN</stp>
        <stp>3</stp>
        <stp>000776</stp>
        <stp>12/31/2018</stp>
        <stp>1</stp>
        <tr r="I3534" s="1"/>
      </tp>
      <tp>
        <v>20.184434964899999</v>
        <stp/>
        <stp>EM_S_FA_GROSSPROFITMARGIN</stp>
        <stp>3</stp>
        <stp>300746</stp>
        <stp>12/31/2018</stp>
        <stp>1</stp>
        <tr r="I3170" s="1"/>
      </tp>
      <tp>
        <v>18.8816666345</v>
        <stp/>
        <stp>EM_S_FA_GROSSPROFITMARGIN</stp>
        <stp>3</stp>
        <stp>600716</stp>
        <stp>12/31/2018</stp>
        <stp>1</stp>
        <tr r="I954" s="1"/>
      </tp>
      <tp>
        <v>59.733233955199999</v>
        <stp/>
        <stp>EM_S_FA_GROSSPROFITMARGIN</stp>
        <stp>3</stp>
        <stp>300446</stp>
        <stp>12/31/2018</stp>
        <stp>1</stp>
        <tr r="I1334" s="1"/>
      </tp>
      <tp>
        <v>7.8391348813999997</v>
        <stp/>
        <stp>EM_S_FA_GROSSPROFITMARGIN</stp>
        <stp>3</stp>
        <stp>600416</stp>
        <stp>12/31/2018</stp>
        <stp>1</stp>
        <tr r="I795" s="1"/>
      </tp>
      <tp>
        <v>8.3162333020000005</v>
        <stp/>
        <stp>EM_S_FA_GROSSPROFITMARGIN</stp>
        <stp>3</stp>
        <stp>000576</stp>
        <stp>12/31/2018</stp>
        <stp>1</stp>
        <tr r="I1024" s="1"/>
      </tp>
      <tp>
        <v>47.522433552899997</v>
        <stp/>
        <stp>EM_S_FA_GROSSPROFITMARGIN</stp>
        <stp>3</stp>
        <stp>300546</stp>
        <stp>12/31/2018</stp>
        <stp>1</stp>
        <tr r="I1654" s="1"/>
      </tp>
      <tp>
        <v>75.097798272800006</v>
        <stp/>
        <stp>EM_S_FA_GROSSPROFITMARGIN</stp>
        <stp>3</stp>
        <stp>600516</stp>
        <stp>12/31/2018</stp>
        <stp>1</stp>
        <tr r="I3163" s="1"/>
      </tp>
      <tp>
        <v>37.223961083699997</v>
        <stp/>
        <stp>EM_S_FA_GROSSPROFITMARGIN</stp>
        <stp>3</stp>
        <stp>300246</stp>
        <stp>12/31/2018</stp>
        <stp>1</stp>
        <tr r="I740" s="1"/>
      </tp>
      <tp>
        <v>41.9338810713</v>
        <stp/>
        <stp>EM_S_FA_GROSSPROFITMARGIN</stp>
        <stp>3</stp>
        <stp>600216</stp>
        <stp>12/31/2018</stp>
        <stp>1</stp>
        <tr r="I597" s="1"/>
      </tp>
      <tp>
        <v>52.225124140600002</v>
        <stp/>
        <stp>EM_S_FA_GROSSPROFITMARGIN</stp>
        <stp>3</stp>
        <stp>300346</stp>
        <stp>12/31/2018</stp>
        <stp>1</stp>
        <tr r="I214" s="1"/>
      </tp>
      <tp>
        <v>4.9984690674000003</v>
        <stp/>
        <stp>EM_S_FA_GROSSPROFITMARGIN</stp>
        <stp>3</stp>
        <stp>600316</stp>
        <stp>12/31/2018</stp>
        <stp>1</stp>
        <tr r="I937" s="1"/>
      </tp>
      <tp>
        <v>35.727558371199997</v>
        <stp/>
        <stp>EM_S_FA_GROSSPROFITMARGIN</stp>
        <stp>3</stp>
        <stp>300046</stp>
        <stp>12/31/2018</stp>
        <stp>1</stp>
        <tr r="I595" s="1"/>
      </tp>
      <tp>
        <v>0</v>
        <stp/>
        <stp>EM_S_FA_GROSSPROFITMARGIN</stp>
        <stp>3</stp>
        <stp>600016</stp>
        <stp>12/31/2018</stp>
        <stp>1</stp>
        <tr r="I1730" s="1"/>
      </tp>
      <tp>
        <v>67.662737587699993</v>
        <stp/>
        <stp>EM_S_FA_GROSSPROFITMARGIN</stp>
        <stp>3</stp>
        <stp>300146</stp>
        <stp>12/31/2018</stp>
        <stp>1</stp>
        <tr r="I2523" s="1"/>
      </tp>
      <tp>
        <v>20.541767437299999</v>
        <stp/>
        <stp>EM_S_FA_GROSSPROFITMARGIN</stp>
        <stp>3</stp>
        <stp>600116</stp>
        <stp>12/31/2018</stp>
        <stp>1</stp>
        <tr r="I2123" s="1"/>
      </tp>
      <tp>
        <v>36.373779884100003</v>
        <stp/>
        <stp>EM_S_FA_GROSSPROFITMARGIN</stp>
        <stp>3</stp>
        <stp>603816</stp>
        <stp>12/31/2018</stp>
        <stp>1</stp>
        <tr r="I2230" s="1"/>
      </tp>
      <tp>
        <v>37.382700660099999</v>
        <stp/>
        <stp>EM_S_FA_GROSSPROFITMARGIN</stp>
        <stp>3</stp>
        <stp>603916</stp>
        <stp>12/31/2018</stp>
        <stp>1</stp>
        <tr r="I639" s="1"/>
      </tp>
      <tp>
        <v>22.980451802800001</v>
        <stp/>
        <stp>EM_S_FA_GROSSPROFITMARGIN</stp>
        <stp>3</stp>
        <stp>603616</stp>
        <stp>12/31/2018</stp>
        <stp>1</stp>
        <tr r="I3209" s="1"/>
      </tp>
      <tp>
        <v>31.7276419421</v>
        <stp/>
        <stp>EM_S_FA_GROSSPROFITMARGIN</stp>
        <stp>3</stp>
        <stp>603716</stp>
        <stp>12/31/2018</stp>
        <stp>1</stp>
        <tr r="I2838" s="1"/>
      </tp>
      <tp>
        <v>39.719266665100001</v>
        <stp/>
        <stp>EM_S_FA_GROSSPROFITMARGIN</stp>
        <stp>3</stp>
        <stp>603416</stp>
        <stp>12/31/2018</stp>
        <stp>1</stp>
        <tr r="I745" s="1"/>
      </tp>
      <tp>
        <v>72.412133179999998</v>
        <stp/>
        <stp>EM_S_FA_GROSSPROFITMARGIN</stp>
        <stp>3</stp>
        <stp>603516</stp>
        <stp>12/31/2018</stp>
        <stp>1</stp>
        <tr r="I366" s="1"/>
      </tp>
      <tp>
        <v>23.704657958599999</v>
        <stp/>
        <stp>EM_S_FA_GROSSPROFITMARGIN</stp>
        <stp>3</stp>
        <stp>603316</stp>
        <stp>12/31/2018</stp>
        <stp>1</stp>
        <tr r="I1325" s="1"/>
      </tp>
      <tp>
        <v>38.538293551099997</v>
        <stp/>
        <stp>EM_S_FA_GROSSPROFITMARGIN</stp>
        <stp>3</stp>
        <stp>603016</stp>
        <stp>12/31/2018</stp>
        <stp>1</stp>
        <tr r="I2520" s="1"/>
      </tp>
      <tp>
        <v>34.365123316499997</v>
        <stp/>
        <stp>EM_S_FA_GROSSPROFITMARGIN</stp>
        <stp>3</stp>
        <stp>603116</stp>
        <stp>12/31/2018</stp>
        <stp>1</stp>
        <tr r="I2418" s="1"/>
      </tp>
      <tp>
        <v>18.0621519482</v>
        <stp/>
        <stp>EM_S_FA_GROSSPROFITMARGIN</stp>
        <stp>3</stp>
        <stp>002876</stp>
        <stp>12/31/2018</stp>
        <stp>1</stp>
        <tr r="I487" s="1"/>
      </tp>
      <tp>
        <v>18.125715770900001</v>
        <stp/>
        <stp>EM_S_FA_GROSSPROFITMARGIN</stp>
        <stp>3</stp>
        <stp>002676</stp>
        <stp>12/31/2018</stp>
        <stp>1</stp>
        <tr r="I1749" s="1"/>
      </tp>
      <tp>
        <v>34.504616040599998</v>
        <stp/>
        <stp>EM_S_FA_GROSSPROFITMARGIN</stp>
        <stp>3</stp>
        <stp>002776</stp>
        <stp>12/31/2018</stp>
        <stp>1</stp>
        <tr r="I3377" s="1"/>
      </tp>
      <tp>
        <v>11.327202875999999</v>
        <stp/>
        <stp>EM_S_FA_GROSSPROFITMARGIN</stp>
        <stp>3</stp>
        <stp>002476</stp>
        <stp>12/31/2018</stp>
        <stp>1</stp>
        <tr r="I660" s="1"/>
      </tp>
      <tp>
        <v>10.9069031318</v>
        <stp/>
        <stp>EM_S_FA_GROSSPROFITMARGIN</stp>
        <stp>3</stp>
        <stp>002576</stp>
        <stp>12/31/2018</stp>
        <stp>1</stp>
        <tr r="I2458" s="1"/>
      </tp>
      <tp>
        <v>14.8136183819</v>
        <stp/>
        <stp>EM_S_FA_GROSSPROFITMARGIN</stp>
        <stp>3</stp>
        <stp>002276</stp>
        <stp>12/31/2018</stp>
        <stp>1</stp>
        <tr r="I361" s="1"/>
      </tp>
      <tp>
        <v>43.075100644800003</v>
        <stp/>
        <stp>EM_S_FA_GROSSPROFITMARGIN</stp>
        <stp>3</stp>
        <stp>002376</stp>
        <stp>12/31/2018</stp>
        <stp>1</stp>
        <tr r="I3097" s="1"/>
      </tp>
      <tp>
        <v>23.112482066999998</v>
        <stp/>
        <stp>EM_S_FA_GROSSPROFITMARGIN</stp>
        <stp>3</stp>
        <stp>002076</stp>
        <stp>12/31/2018</stp>
        <stp>1</stp>
        <tr r="I3626" s="1"/>
      </tp>
      <tp>
        <v>18.747460307600001</v>
        <stp/>
        <stp>EM_S_FA_GROSSPROFITMARGIN</stp>
        <stp>3</stp>
        <stp>002176</stp>
        <stp>12/31/2018</stp>
        <stp>1</stp>
        <tr r="I3286" s="1"/>
      </tp>
      <tp>
        <v>18.878755688199998</v>
        <stp/>
        <stp>EM_S_FA_GROSSPROFITMARGIN</stp>
        <stp>3</stp>
        <stp>601717</stp>
        <stp>12/31/2018</stp>
        <stp>1</stp>
        <tr r="I1407" s="1"/>
      </tp>
      <tp>
        <v>11.636012896</v>
        <stp/>
        <stp>EM_S_FA_GROSSPROFITMARGIN</stp>
        <stp>3</stp>
        <stp>601117</stp>
        <stp>12/31/2018</stp>
        <stp>1</stp>
        <tr r="I1279" s="1"/>
      </tp>
      <tp>
        <v>36.176123981400004</v>
        <stp/>
        <stp>EM_S_FA_GROSSPROFITMARGIN</stp>
        <stp>3</stp>
        <stp>000877</stp>
        <stp>12/31/2018</stp>
        <stp>1</stp>
        <tr r="I407" s="1"/>
      </tp>
      <tp>
        <v>35.186189439099998</v>
        <stp/>
        <stp>EM_S_FA_GROSSPROFITMARGIN</stp>
        <stp>3</stp>
        <stp>600817</stp>
        <stp>12/31/2018</stp>
        <stp>1</stp>
        <tr r="I2126" s="1"/>
      </tp>
      <tp>
        <v>11.0218852484</v>
        <stp/>
        <stp>EM_S_FA_GROSSPROFITMARGIN</stp>
        <stp>3</stp>
        <stp>000977</stp>
        <stp>12/31/2018</stp>
        <stp>1</stp>
        <tr r="I206" s="1"/>
      </tp>
      <tp>
        <v>12.370573309399999</v>
        <stp/>
        <stp>EM_S_FA_GROSSPROFITMARGIN</stp>
        <stp>3</stp>
        <stp>600917</stp>
        <stp>12/31/2018</stp>
        <stp>1</stp>
        <tr r="I2163" s="1"/>
      </tp>
      <tp>
        <v>11.8347496592</v>
        <stp/>
        <stp>EM_S_FA_GROSSPROFITMARGIN</stp>
        <stp>3</stp>
        <stp>000677</stp>
        <stp>12/31/2018</stp>
        <stp>1</stp>
        <tr r="I699" s="1"/>
      </tp>
      <tp>
        <v>31.2791777602</v>
        <stp/>
        <stp>EM_S_FA_GROSSPROFITMARGIN</stp>
        <stp>3</stp>
        <stp>300647</stp>
        <stp>12/31/2018</stp>
        <stp>1</stp>
        <tr r="I2744" s="1"/>
      </tp>
      <tp>
        <v>17.316769023999999</v>
        <stp/>
        <stp>EM_S_FA_GROSSPROFITMARGIN</stp>
        <stp>3</stp>
        <stp>600617</stp>
        <stp>12/31/2018</stp>
        <stp>1</stp>
        <tr r="I2412" s="1"/>
      </tp>
      <tp>
        <v>20.408962216900001</v>
        <stp/>
        <stp>EM_S_FA_GROSSPROFITMARGIN</stp>
        <stp>3</stp>
        <stp>000777</stp>
        <stp>12/31/2018</stp>
        <stp>1</stp>
        <tr r="I1259" s="1"/>
      </tp>
      <tp>
        <v>45.3225616589</v>
        <stp/>
        <stp>EM_S_FA_GROSSPROFITMARGIN</stp>
        <stp>3</stp>
        <stp>300747</stp>
        <stp>12/31/2018</stp>
        <stp>1</stp>
        <tr r="I2959" s="1"/>
      </tp>
      <tp>
        <v>19.214292204300001</v>
        <stp/>
        <stp>EM_S_FA_GROSSPROFITMARGIN</stp>
        <stp>3</stp>
        <stp>600717</stp>
        <stp>12/31/2018</stp>
        <stp>1</stp>
        <tr r="I2806" s="1"/>
      </tp>
      <tp>
        <v>50.1677744363</v>
        <stp/>
        <stp>EM_S_FA_GROSSPROFITMARGIN</stp>
        <stp>3</stp>
        <stp>300447</stp>
        <stp>12/31/2018</stp>
        <stp>1</stp>
        <tr r="I1960" s="1"/>
      </tp>
      <tp>
        <v>32.360992803199998</v>
        <stp/>
        <stp>EM_S_FA_GROSSPROFITMARGIN</stp>
        <stp>3</stp>
        <stp>300547</stp>
        <stp>12/31/2018</stp>
        <stp>1</stp>
        <tr r="I3328" s="1"/>
      </tp>
      <tp>
        <v>15.38550354</v>
        <stp/>
        <stp>EM_S_FA_GROSSPROFITMARGIN</stp>
        <stp>3</stp>
        <stp>600517</stp>
        <stp>12/31/2018</stp>
        <stp>1</stp>
        <tr r="I72" s="1"/>
      </tp>
      <tp>
        <v>24.399878273399999</v>
        <stp/>
        <stp>EM_S_FA_GROSSPROFITMARGIN</stp>
        <stp>3</stp>
        <stp>300247</stp>
        <stp>12/31/2018</stp>
        <stp>1</stp>
        <tr r="I2984" s="1"/>
      </tp>
      <tp>
        <v>32.090670371999998</v>
        <stp/>
        <stp>EM_S_FA_GROSSPROFITMARGIN</stp>
        <stp>3</stp>
        <stp>600217</stp>
        <stp>12/31/2018</stp>
        <stp>1</stp>
        <tr r="I1105" s="1"/>
      </tp>
      <tp>
        <v>43.107042276900003</v>
        <stp/>
        <stp>EM_S_FA_GROSSPROFITMARGIN</stp>
        <stp>3</stp>
        <stp>300347</stp>
        <stp>12/31/2018</stp>
        <stp>1</stp>
        <tr r="I672" s="1"/>
      </tp>
      <tp>
        <v>36.829364640100003</v>
        <stp/>
        <stp>EM_S_FA_GROSSPROFITMARGIN</stp>
        <stp>3</stp>
        <stp>600317</stp>
        <stp>12/31/2018</stp>
        <stp>1</stp>
        <tr r="I1634" s="1"/>
      </tp>
      <tp>
        <v>20.549259530899999</v>
        <stp/>
        <stp>EM_S_FA_GROSSPROFITMARGIN</stp>
        <stp>3</stp>
        <stp>300047</stp>
        <stp>12/31/2018</stp>
        <stp>1</stp>
        <tr r="I3200" s="1"/>
      </tp>
      <tp>
        <v>27.457391757300002</v>
        <stp/>
        <stp>EM_S_FA_GROSSPROFITMARGIN</stp>
        <stp>3</stp>
        <stp>600017</stp>
        <stp>12/31/2018</stp>
        <stp>1</stp>
        <tr r="I1986" s="1"/>
      </tp>
      <tp>
        <v>36.463581908999998</v>
        <stp/>
        <stp>EM_S_FA_GROSSPROFITMARGIN</stp>
        <stp>3</stp>
        <stp>300147</stp>
        <stp>12/31/2018</stp>
        <stp>1</stp>
        <tr r="I905" s="1"/>
      </tp>
      <tp>
        <v>0.2118711244</v>
        <stp/>
        <stp>EM_S_FA_GROSSPROFITMARGIN</stp>
        <stp>3</stp>
        <stp>600117</stp>
        <stp>12/31/2018</stp>
        <stp>1</stp>
        <tr r="I2068" s="1"/>
      </tp>
      <tp>
        <v>43.558673993799999</v>
        <stp/>
        <stp>EM_S_FA_GROSSPROFITMARGIN</stp>
        <stp>3</stp>
        <stp>603817</stp>
        <stp>12/31/2018</stp>
        <stp>1</stp>
        <tr r="I1638" s="1"/>
      </tp>
      <tp>
        <v>33.758495211000003</v>
        <stp/>
        <stp>EM_S_FA_GROSSPROFITMARGIN</stp>
        <stp>3</stp>
        <stp>603917</stp>
        <stp>12/31/2018</stp>
        <stp>1</stp>
        <tr r="I2852" s="1"/>
      </tp>
      <tp>
        <v>24.815596010299998</v>
        <stp/>
        <stp>EM_S_FA_GROSSPROFITMARGIN</stp>
        <stp>3</stp>
        <stp>603617</stp>
        <stp>12/31/2018</stp>
        <stp>1</stp>
        <tr r="I2807" s="1"/>
      </tp>
      <tp>
        <v>30.749209840999999</v>
        <stp/>
        <stp>EM_S_FA_GROSSPROFITMARGIN</stp>
        <stp>3</stp>
        <stp>603717</stp>
        <stp>12/31/2018</stp>
        <stp>1</stp>
        <tr r="I2608" s="1"/>
      </tp>
      <tp>
        <v>34.2966840948</v>
        <stp/>
        <stp>EM_S_FA_GROSSPROFITMARGIN</stp>
        <stp>3</stp>
        <stp>603517</stp>
        <stp>12/31/2018</stp>
        <stp>1</stp>
        <tr r="I793" s="1"/>
      </tp>
      <tp>
        <v>25.105418309000001</v>
        <stp/>
        <stp>EM_S_FA_GROSSPROFITMARGIN</stp>
        <stp>3</stp>
        <stp>603017</stp>
        <stp>12/31/2018</stp>
        <stp>1</stp>
        <tr r="I1945" s="1"/>
      </tp>
      <tp>
        <v>48.525764420999998</v>
        <stp/>
        <stp>EM_S_FA_GROSSPROFITMARGIN</stp>
        <stp>3</stp>
        <stp>603117</stp>
        <stp>12/31/2018</stp>
        <stp>1</stp>
        <tr r="I1955" s="1"/>
      </tp>
      <tp>
        <v>38.181601044200001</v>
        <stp/>
        <stp>EM_S_FA_GROSSPROFITMARGIN</stp>
        <stp>3</stp>
        <stp>002877</stp>
        <stp>12/31/2018</stp>
        <stp>1</stp>
        <tr r="I3315" s="1"/>
      </tp>
      <tp>
        <v>51.541425070300001</v>
        <stp/>
        <stp>EM_S_FA_GROSSPROFITMARGIN</stp>
        <stp>3</stp>
        <stp>002677</stp>
        <stp>12/31/2018</stp>
        <stp>1</stp>
        <tr r="I839" s="1"/>
      </tp>
      <tp>
        <v>42.6955294491</v>
        <stp/>
        <stp>EM_S_FA_GROSSPROFITMARGIN</stp>
        <stp>3</stp>
        <stp>002777</stp>
        <stp>12/31/2018</stp>
        <stp>1</stp>
        <tr r="I647" s="1"/>
      </tp>
      <tp>
        <v>-16.168915965299998</v>
        <stp/>
        <stp>EM_S_FA_GROSSPROFITMARGIN</stp>
        <stp>3</stp>
        <stp>002477</stp>
        <stp>12/31/2018</stp>
        <stp>1</stp>
        <tr r="I3410" s="1"/>
      </tp>
      <tp>
        <v>19.452743443999999</v>
        <stp/>
        <stp>EM_S_FA_GROSSPROFITMARGIN</stp>
        <stp>3</stp>
        <stp>002577</stp>
        <stp>12/31/2018</stp>
        <stp>1</stp>
        <tr r="I919" s="1"/>
      </tp>
      <tp>
        <v>19.848266535</v>
        <stp/>
        <stp>EM_S_FA_GROSSPROFITMARGIN</stp>
        <stp>3</stp>
        <stp>002277</stp>
        <stp>12/31/2018</stp>
        <stp>1</stp>
        <tr r="I2034" s="1"/>
      </tp>
      <tp>
        <v>16.309160869999999</v>
        <stp/>
        <stp>EM_S_FA_GROSSPROFITMARGIN</stp>
        <stp>3</stp>
        <stp>002377</stp>
        <stp>12/31/2018</stp>
        <stp>1</stp>
        <tr r="I2493" s="1"/>
      </tp>
      <tp>
        <v>2.8870608945999998</v>
        <stp/>
        <stp>EM_S_FA_GROSSPROFITMARGIN</stp>
        <stp>3</stp>
        <stp>002077</stp>
        <stp>12/31/2018</stp>
        <stp>1</stp>
        <tr r="I3627" s="1"/>
      </tp>
      <tp>
        <v>31.465189429599999</v>
        <stp/>
        <stp>EM_S_FA_GROSSPROFITMARGIN</stp>
        <stp>3</stp>
        <stp>002177</stp>
        <stp>12/31/2018</stp>
        <stp>1</stp>
        <tr r="I284" s="1"/>
      </tp>
      <tp>
        <v>19.869798779500002</v>
        <stp/>
        <stp>EM_S_FA_GROSSPROFITMARGIN</stp>
        <stp>3</stp>
        <stp>601010</stp>
        <stp>12/31/2018</stp>
        <stp>1</stp>
        <tr r="I1981" s="1"/>
      </tp>
      <tp>
        <v>14.1709217526</v>
        <stp/>
        <stp>EM_S_FA_GROSSPROFITMARGIN</stp>
        <stp>3</stp>
        <stp>600810</stp>
        <stp>12/31/2018</stp>
        <stp>1</stp>
        <tr r="I3112" s="1"/>
      </tp>
      <tp>
        <v>19.5580952344</v>
        <stp/>
        <stp>EM_S_FA_GROSSPROFITMARGIN</stp>
        <stp>3</stp>
        <stp>000970</stp>
        <stp>12/31/2018</stp>
        <stp>1</stp>
        <tr r="I573" s="1"/>
      </tp>
      <tp>
        <v>5.6716024941000001</v>
        <stp/>
        <stp>EM_S_FA_GROSSPROFITMARGIN</stp>
        <stp>3</stp>
        <stp>000670</stp>
        <stp>12/31/2018</stp>
        <stp>1</stp>
        <tr r="I3502" s="1"/>
      </tp>
      <tp>
        <v>17.894464454800001</v>
        <stp/>
        <stp>EM_S_FA_GROSSPROFITMARGIN</stp>
        <stp>3</stp>
        <stp>300640</stp>
        <stp>12/31/2018</stp>
        <stp>1</stp>
        <tr r="I2861" s="1"/>
      </tp>
      <tp>
        <v>0</v>
        <stp/>
        <stp>EM_S_FA_GROSSPROFITMARGIN</stp>
        <stp>3</stp>
        <stp>600610</stp>
        <stp>12/31/2018</stp>
        <stp>1</stp>
        <tr r="I203" s="1"/>
      </tp>
      <tp>
        <v>51.669494974199999</v>
        <stp/>
        <stp>EM_S_FA_GROSSPROFITMARGIN</stp>
        <stp>3</stp>
        <stp>300740</stp>
        <stp>12/31/2018</stp>
        <stp>1</stp>
        <tr r="I3353" s="1"/>
      </tp>
      <tp>
        <v>6.1353566449999999</v>
        <stp/>
        <stp>EM_S_FA_GROSSPROFITMARGIN</stp>
        <stp>3</stp>
        <stp>600710</stp>
        <stp>12/31/2018</stp>
        <stp>1</stp>
        <tr r="I584" s="1"/>
      </tp>
      <tp>
        <v>58.525495903600003</v>
        <stp/>
        <stp>EM_S_FA_GROSSPROFITMARGIN</stp>
        <stp>3</stp>
        <stp>300440</stp>
        <stp>12/31/2018</stp>
        <stp>1</stp>
        <tr r="I675" s="1"/>
      </tp>
      <tp>
        <v>15.696861995800001</v>
        <stp/>
        <stp>EM_S_FA_GROSSPROFITMARGIN</stp>
        <stp>3</stp>
        <stp>600410</stp>
        <stp>12/31/2018</stp>
        <stp>1</stp>
        <tr r="I272" s="1"/>
      </tp>
      <tp>
        <v>14.9776232246</v>
        <stp/>
        <stp>EM_S_FA_GROSSPROFITMARGIN</stp>
        <stp>3</stp>
        <stp>000570</stp>
        <stp>12/31/2018</stp>
        <stp>1</stp>
        <tr r="I3461" s="1"/>
      </tp>
      <tp>
        <v>26.7891691347</v>
        <stp/>
        <stp>EM_S_FA_GROSSPROFITMARGIN</stp>
        <stp>3</stp>
        <stp>300540</stp>
        <stp>12/31/2018</stp>
        <stp>1</stp>
        <tr r="I1366" s="1"/>
      </tp>
      <tp>
        <v>32.847159066700002</v>
        <stp/>
        <stp>EM_S_FA_GROSSPROFITMARGIN</stp>
        <stp>3</stp>
        <stp>600510</stp>
        <stp>12/31/2018</stp>
        <stp>1</stp>
        <tr r="I1618" s="1"/>
      </tp>
      <tp>
        <v>10.782982781599999</v>
        <stp/>
        <stp>EM_S_FA_GROSSPROFITMARGIN</stp>
        <stp>3</stp>
        <stp>300240</stp>
        <stp>12/31/2018</stp>
        <stp>1</stp>
        <tr r="I2840" s="1"/>
      </tp>
      <tp>
        <v>18.860567429900001</v>
        <stp/>
        <stp>EM_S_FA_GROSSPROFITMARGIN</stp>
        <stp>3</stp>
        <stp>600210</stp>
        <stp>12/31/2018</stp>
        <stp>1</stp>
        <tr r="I2091" s="1"/>
      </tp>
      <tp>
        <v>15.6627028382</v>
        <stp/>
        <stp>EM_S_FA_GROSSPROFITMARGIN</stp>
        <stp>3</stp>
        <stp>300340</stp>
        <stp>12/31/2018</stp>
        <stp>1</stp>
        <tr r="I2737" s="1"/>
      </tp>
      <tp>
        <v>6.3948174402999998</v>
        <stp/>
        <stp>EM_S_FA_GROSSPROFITMARGIN</stp>
        <stp>3</stp>
        <stp>600310</stp>
        <stp>12/31/2018</stp>
        <stp>1</stp>
        <tr r="I1303" s="1"/>
      </tp>
      <tp>
        <v>16.296074769600001</v>
        <stp/>
        <stp>EM_S_FA_GROSSPROFITMARGIN</stp>
        <stp>3</stp>
        <stp>000070</stp>
        <stp>12/31/2018</stp>
        <stp>1</stp>
        <tr r="I228" s="1"/>
      </tp>
      <tp>
        <v>27.5798052695</v>
        <stp/>
        <stp>EM_S_FA_GROSSPROFITMARGIN</stp>
        <stp>3</stp>
        <stp>300040</stp>
        <stp>12/31/2018</stp>
        <stp>1</stp>
        <tr r="I1626" s="1"/>
      </tp>
      <tp>
        <v>15.7212633575</v>
        <stp/>
        <stp>EM_S_FA_GROSSPROFITMARGIN</stp>
        <stp>3</stp>
        <stp>600010</stp>
        <stp>12/31/2018</stp>
        <stp>1</stp>
        <tr r="I2792" s="1"/>
      </tp>
      <tp>
        <v>24.748577669100001</v>
        <stp/>
        <stp>EM_S_FA_GROSSPROFITMARGIN</stp>
        <stp>3</stp>
        <stp>300140</stp>
        <stp>12/31/2018</stp>
        <stp>1</stp>
        <tr r="I1419" s="1"/>
      </tp>
      <tp>
        <v>26.436305056999998</v>
        <stp/>
        <stp>EM_S_FA_GROSSPROFITMARGIN</stp>
        <stp>3</stp>
        <stp>600110</stp>
        <stp>12/31/2018</stp>
        <stp>1</stp>
        <tr r="I1434" s="1"/>
      </tp>
      <tp>
        <v>22.6417089125</v>
        <stp/>
        <stp>EM_S_FA_GROSSPROFITMARGIN</stp>
        <stp>3</stp>
        <stp>603010</stp>
        <stp>12/31/2018</stp>
        <stp>1</stp>
        <tr r="I3049" s="1"/>
      </tp>
      <tp>
        <v>28.816714735000001</v>
        <stp/>
        <stp>EM_S_FA_GROSSPROFITMARGIN</stp>
        <stp>3</stp>
        <stp>603110</stp>
        <stp>12/31/2018</stp>
        <stp>1</stp>
        <tr r="I453" s="1"/>
      </tp>
      <tp>
        <v>28.9645941044</v>
        <stp/>
        <stp>EM_S_FA_GROSSPROFITMARGIN</stp>
        <stp>3</stp>
        <stp>002870</stp>
        <stp>12/31/2018</stp>
        <stp>1</stp>
        <tr r="I411" s="1"/>
      </tp>
      <tp>
        <v>0</v>
        <stp/>
        <stp>EM_S_FA_GROSSPROFITMARGIN</stp>
        <stp>3</stp>
        <stp>002670</stp>
        <stp>12/31/2018</stp>
        <stp>1</stp>
        <tr r="I1233" s="1"/>
      </tp>
      <tp>
        <v>24.766865934599998</v>
        <stp/>
        <stp>EM_S_FA_GROSSPROFITMARGIN</stp>
        <stp>3</stp>
        <stp>002770</stp>
        <stp>12/31/2018</stp>
        <stp>1</stp>
        <tr r="I2889" s="1"/>
      </tp>
      <tp>
        <v>22.204834548699999</v>
        <stp/>
        <stp>EM_S_FA_GROSSPROFITMARGIN</stp>
        <stp>3</stp>
        <stp>002470</stp>
        <stp>12/31/2018</stp>
        <stp>1</stp>
        <tr r="I3391" s="1"/>
      </tp>
      <tp>
        <v>52.513444124499998</v>
        <stp/>
        <stp>EM_S_FA_GROSSPROFITMARGIN</stp>
        <stp>3</stp>
        <stp>002570</stp>
        <stp>12/31/2018</stp>
        <stp>1</stp>
        <tr r="I1926" s="1"/>
      </tp>
      <tp>
        <v>43.517385428399997</v>
        <stp/>
        <stp>EM_S_FA_GROSSPROFITMARGIN</stp>
        <stp>3</stp>
        <stp>002270</stp>
        <stp>12/31/2018</stp>
        <stp>1</stp>
        <tr r="I2017" s="1"/>
      </tp>
      <tp>
        <v>43.920914204200002</v>
        <stp/>
        <stp>EM_S_FA_GROSSPROFITMARGIN</stp>
        <stp>3</stp>
        <stp>002370</stp>
        <stp>12/31/2018</stp>
        <stp>1</stp>
        <tr r="I3395" s="1"/>
      </tp>
      <tp>
        <v>8.5182830647000003</v>
        <stp/>
        <stp>EM_S_FA_GROSSPROFITMARGIN</stp>
        <stp>3</stp>
        <stp>002070</stp>
        <stp>12/31/2018</stp>
        <stp>1</stp>
        <tr r="I3622" s="1"/>
      </tp>
      <tp>
        <v>15.8066974555</v>
        <stp/>
        <stp>EM_S_FA_GROSSPROFITMARGIN</stp>
        <stp>3</stp>
        <stp>002170</stp>
        <stp>12/31/2018</stp>
        <stp>1</stp>
        <tr r="I1698" s="1"/>
      </tp>
      <tp>
        <v>37.5193772342</v>
        <stp/>
        <stp>EM_S_FA_GROSSPROFITMARGIN</stp>
        <stp>3</stp>
        <stp>601811</stp>
        <stp>12/31/2018</stp>
        <stp>1</stp>
        <tr r="I728" s="1"/>
      </tp>
      <tp>
        <v>10.289408954800001</v>
        <stp/>
        <stp>EM_S_FA_GROSSPROFITMARGIN</stp>
        <stp>3</stp>
        <stp>601611</stp>
        <stp>12/31/2018</stp>
        <stp>1</stp>
        <tr r="I1819" s="1"/>
      </tp>
      <tp>
        <v>0</v>
        <stp/>
        <stp>EM_S_FA_GROSSPROFITMARGIN</stp>
        <stp>3</stp>
        <stp>601211</stp>
        <stp>12/31/2018</stp>
        <stp>1</stp>
        <tr r="I1188" s="1"/>
      </tp>
      <tp>
        <v>18.566389883599999</v>
        <stp/>
        <stp>EM_S_FA_GROSSPROFITMARGIN</stp>
        <stp>3</stp>
        <stp>601311</stp>
        <stp>12/31/2018</stp>
        <stp>1</stp>
        <tr r="I1920" s="1"/>
      </tp>
      <tp>
        <v>27.074779233299999</v>
        <stp/>
        <stp>EM_S_FA_GROSSPROFITMARGIN</stp>
        <stp>3</stp>
        <stp>601011</stp>
        <stp>12/31/2018</stp>
        <stp>1</stp>
        <tr r="I3003" s="1"/>
      </tp>
      <tp>
        <v>15.8235660513</v>
        <stp/>
        <stp>EM_S_FA_GROSSPROFITMARGIN</stp>
        <stp>3</stp>
        <stp>601111</stp>
        <stp>12/31/2018</stp>
        <stp>1</stp>
        <tr r="I1102" s="1"/>
      </tp>
      <tp>
        <v>6.8242182965999998</v>
        <stp/>
        <stp>EM_S_FA_GROSSPROFITMARGIN</stp>
        <stp>3</stp>
        <stp>600811</stp>
        <stp>12/31/2018</stp>
        <stp>1</stp>
        <tr r="I2690" s="1"/>
      </tp>
      <tp>
        <v>21.166591538500001</v>
        <stp/>
        <stp>EM_S_FA_GROSSPROFITMARGIN</stp>
        <stp>3</stp>
        <stp>000971</stp>
        <stp>12/31/2018</stp>
        <stp>1</stp>
        <tr r="I3589" s="1"/>
      </tp>
      <tp>
        <v>26.058651881399999</v>
        <stp/>
        <stp>EM_S_FA_GROSSPROFITMARGIN</stp>
        <stp>3</stp>
        <stp>000671</stp>
        <stp>12/31/2018</stp>
        <stp>1</stp>
        <tr r="I373" s="1"/>
      </tp>
      <tp>
        <v>13.0275346897</v>
        <stp/>
        <stp>EM_S_FA_GROSSPROFITMARGIN</stp>
        <stp>3</stp>
        <stp>300641</stp>
        <stp>12/31/2018</stp>
        <stp>1</stp>
        <tr r="I2353" s="1"/>
      </tp>
      <tp>
        <v>33.179075457800003</v>
        <stp/>
        <stp>EM_S_FA_GROSSPROFITMARGIN</stp>
        <stp>3</stp>
        <stp>600611</stp>
        <stp>12/31/2018</stp>
        <stp>1</stp>
        <tr r="I2175" s="1"/>
      </tp>
      <tp>
        <v>77.638810808599999</v>
        <stp/>
        <stp>EM_S_FA_GROSSPROFITMARGIN</stp>
        <stp>3</stp>
        <stp>300741</stp>
        <stp>12/31/2018</stp>
        <stp>1</stp>
        <tr r="I2360" s="1"/>
      </tp>
      <tp>
        <v>4.3519149625000004</v>
        <stp/>
        <stp>EM_S_FA_GROSSPROFITMARGIN</stp>
        <stp>3</stp>
        <stp>600711</stp>
        <stp>12/31/2018</stp>
        <stp>1</stp>
        <tr r="I1456" s="1"/>
      </tp>
      <tp>
        <v>35.968335906500002</v>
        <stp/>
        <stp>EM_S_FA_GROSSPROFITMARGIN</stp>
        <stp>3</stp>
        <stp>300441</stp>
        <stp>12/31/2018</stp>
        <stp>1</stp>
        <tr r="I685" s="1"/>
      </tp>
      <tp>
        <v>27.7832090681</v>
        <stp/>
        <stp>EM_S_FA_GROSSPROFITMARGIN</stp>
        <stp>3</stp>
        <stp>000571</stp>
        <stp>12/31/2018</stp>
        <stp>1</stp>
        <tr r="I3462" s="1"/>
      </tp>
      <tp>
        <v>15.8688614842</v>
        <stp/>
        <stp>EM_S_FA_GROSSPROFITMARGIN</stp>
        <stp>3</stp>
        <stp>300541</stp>
        <stp>12/31/2018</stp>
        <stp>1</stp>
        <tr r="I463" s="1"/>
      </tp>
      <tp>
        <v>8.8257903755000005</v>
        <stp/>
        <stp>EM_S_FA_GROSSPROFITMARGIN</stp>
        <stp>3</stp>
        <stp>600511</stp>
        <stp>12/31/2018</stp>
        <stp>1</stp>
        <tr r="I1450" s="1"/>
      </tp>
      <tp>
        <v>19.702655740299999</v>
        <stp/>
        <stp>EM_S_FA_GROSSPROFITMARGIN</stp>
        <stp>3</stp>
        <stp>300241</stp>
        <stp>12/31/2018</stp>
        <stp>1</stp>
        <tr r="I679" s="1"/>
      </tp>
      <tp>
        <v>79.922407012799994</v>
        <stp/>
        <stp>EM_S_FA_GROSSPROFITMARGIN</stp>
        <stp>3</stp>
        <stp>600211</stp>
        <stp>12/31/2018</stp>
        <stp>1</stp>
        <tr r="I1937" s="1"/>
      </tp>
      <tp>
        <v>44.410835394099998</v>
        <stp/>
        <stp>EM_S_FA_GROSSPROFITMARGIN</stp>
        <stp>3</stp>
        <stp>300341</stp>
        <stp>12/31/2018</stp>
        <stp>1</stp>
        <tr r="I37" s="1"/>
      </tp>
      <tp>
        <v>-36.635085249100001</v>
        <stp/>
        <stp>EM_S_FA_GROSSPROFITMARGIN</stp>
        <stp>3</stp>
        <stp>600311</stp>
        <stp>12/31/2018</stp>
        <stp>1</stp>
        <tr r="I2820" s="1"/>
      </tp>
      <tp>
        <v>25.3396613514</v>
        <stp/>
        <stp>EM_S_FA_GROSSPROFITMARGIN</stp>
        <stp>3</stp>
        <stp>300041</stp>
        <stp>12/31/2018</stp>
        <stp>1</stp>
        <tr r="I532" s="1"/>
      </tp>
      <tp>
        <v>11.304366566400001</v>
        <stp/>
        <stp>EM_S_FA_GROSSPROFITMARGIN</stp>
        <stp>3</stp>
        <stp>600011</stp>
        <stp>12/31/2018</stp>
        <stp>1</stp>
        <tr r="I3146" s="1"/>
      </tp>
      <tp>
        <v>18.3349665788</v>
        <stp/>
        <stp>EM_S_FA_GROSSPROFITMARGIN</stp>
        <stp>3</stp>
        <stp>300141</stp>
        <stp>12/31/2018</stp>
        <stp>1</stp>
        <tr r="I2371" s="1"/>
      </tp>
      <tp>
        <v>14.4956445534</v>
        <stp/>
        <stp>EM_S_FA_GROSSPROFITMARGIN</stp>
        <stp>3</stp>
        <stp>600111</stp>
        <stp>12/31/2018</stp>
        <stp>1</stp>
        <tr r="I1118" s="1"/>
      </tp>
      <tp>
        <v>64.303194383999994</v>
        <stp/>
        <stp>EM_S_FA_GROSSPROFITMARGIN</stp>
        <stp>3</stp>
        <stp>603811</stp>
        <stp>12/31/2018</stp>
        <stp>1</stp>
        <tr r="I503" s="1"/>
      </tp>
      <tp>
        <v>24.029595126299998</v>
        <stp/>
        <stp>EM_S_FA_GROSSPROFITMARGIN</stp>
        <stp>3</stp>
        <stp>603611</stp>
        <stp>12/31/2018</stp>
        <stp>1</stp>
        <tr r="I826" s="1"/>
      </tp>
      <tp>
        <v>40.388247939700001</v>
        <stp/>
        <stp>EM_S_FA_GROSSPROFITMARGIN</stp>
        <stp>3</stp>
        <stp>603711</stp>
        <stp>12/31/2018</stp>
        <stp>1</stp>
        <tr r="I1298" s="1"/>
      </tp>
      <tp>
        <v>31.1592714644</v>
        <stp/>
        <stp>EM_S_FA_GROSSPROFITMARGIN</stp>
        <stp>3</stp>
        <stp>603311</stp>
        <stp>12/31/2018</stp>
        <stp>1</stp>
        <tr r="I1757" s="1"/>
      </tp>
      <tp>
        <v>33.6989188059</v>
        <stp/>
        <stp>EM_S_FA_GROSSPROFITMARGIN</stp>
        <stp>3</stp>
        <stp>603011</stp>
        <stp>12/31/2018</stp>
        <stp>1</stp>
        <tr r="I1463" s="1"/>
      </tp>
      <tp>
        <v>29.463853519000001</v>
        <stp/>
        <stp>EM_S_FA_GROSSPROFITMARGIN</stp>
        <stp>3</stp>
        <stp>603111</stp>
        <stp>12/31/2018</stp>
        <stp>1</stp>
        <tr r="I948" s="1"/>
      </tp>
      <tp>
        <v>38.009027895400003</v>
        <stp/>
        <stp>EM_S_FA_GROSSPROFITMARGIN</stp>
        <stp>3</stp>
        <stp>002871</stp>
        <stp>12/31/2018</stp>
        <stp>1</stp>
        <tr r="I2391" s="1"/>
      </tp>
      <tp>
        <v>40.315139374899999</v>
        <stp/>
        <stp>EM_S_FA_GROSSPROFITMARGIN</stp>
        <stp>3</stp>
        <stp>002671</stp>
        <stp>12/31/2018</stp>
        <stp>1</stp>
        <tr r="I1752" s="1"/>
      </tp>
      <tp>
        <v>22.399439234100001</v>
        <stp/>
        <stp>EM_S_FA_GROSSPROFITMARGIN</stp>
        <stp>3</stp>
        <stp>002771</stp>
        <stp>12/31/2018</stp>
        <stp>1</stp>
        <tr r="I2174" s="1"/>
      </tp>
      <tp>
        <v>13.253673300499999</v>
        <stp/>
        <stp>EM_S_FA_GROSSPROFITMARGIN</stp>
        <stp>3</stp>
        <stp>002471</stp>
        <stp>12/31/2018</stp>
        <stp>1</stp>
        <tr r="I2871" s="1"/>
      </tp>
      <tp>
        <v>18.6837655068</v>
        <stp/>
        <stp>EM_S_FA_GROSSPROFITMARGIN</stp>
        <stp>3</stp>
        <stp>002571</stp>
        <stp>12/31/2018</stp>
        <stp>1</stp>
        <tr r="I2579" s="1"/>
      </tp>
      <tp>
        <v>34.5914794296</v>
        <stp/>
        <stp>EM_S_FA_GROSSPROFITMARGIN</stp>
        <stp>3</stp>
        <stp>002271</stp>
        <stp>12/31/2018</stp>
        <stp>1</stp>
        <tr r="I152" s="1"/>
      </tp>
      <tp>
        <v>38.375533269899996</v>
        <stp/>
        <stp>EM_S_FA_GROSSPROFITMARGIN</stp>
        <stp>3</stp>
        <stp>002371</stp>
        <stp>12/31/2018</stp>
        <stp>1</stp>
        <tr r="I103" s="1"/>
      </tp>
      <tp>
        <v>29.247739572699999</v>
        <stp/>
        <stp>EM_S_FA_GROSSPROFITMARGIN</stp>
        <stp>3</stp>
        <stp>002071</stp>
        <stp>12/31/2018</stp>
        <stp>1</stp>
        <tr r="I3623" s="1"/>
      </tp>
      <tp>
        <v>7.9586025860999996</v>
        <stp/>
        <stp>EM_S_FA_GROSSPROFITMARGIN</stp>
        <stp>3</stp>
        <stp>002171</stp>
        <stp>12/31/2018</stp>
        <stp>1</stp>
        <tr r="I435" s="1"/>
      </tp>
      <tp>
        <v>5.2326518353999996</v>
        <stp/>
        <stp>EM_S_FA_GROSSPROFITMARGIN</stp>
        <stp>3</stp>
        <stp>601212</stp>
        <stp>12/31/2018</stp>
        <stp>1</stp>
        <tr r="I1088" s="1"/>
      </tp>
      <tp>
        <v>22.248527321000001</v>
        <stp/>
        <stp>EM_S_FA_GROSSPROFITMARGIN</stp>
        <stp>3</stp>
        <stp>601012</stp>
        <stp>12/31/2018</stp>
        <stp>1</stp>
        <tr r="I682" s="1"/>
      </tp>
      <tp>
        <v>42.188075532299997</v>
        <stp/>
        <stp>EM_S_FA_GROSSPROFITMARGIN</stp>
        <stp>3</stp>
        <stp>600812</stp>
        <stp>12/31/2018</stp>
        <stp>1</stp>
        <tr r="I107" s="1"/>
      </tp>
      <tp>
        <v>-17.857952953200002</v>
        <stp/>
        <stp>EM_S_FA_GROSSPROFITMARGIN</stp>
        <stp>3</stp>
        <stp>000972</stp>
        <stp>12/31/2018</stp>
        <stp>1</stp>
        <tr r="I3590" s="1"/>
      </tp>
      <tp>
        <v>46.703542539200001</v>
        <stp/>
        <stp>EM_S_FA_GROSSPROFITMARGIN</stp>
        <stp>3</stp>
        <stp>000672</stp>
        <stp>12/31/2018</stp>
        <stp>1</stp>
        <tr r="I150" s="1"/>
      </tp>
      <tp>
        <v>78.430844247300001</v>
        <stp/>
        <stp>EM_S_FA_GROSSPROFITMARGIN</stp>
        <stp>3</stp>
        <stp>300642</stp>
        <stp>12/31/2018</stp>
        <stp>1</stp>
        <tr r="I1902" s="1"/>
      </tp>
      <tp>
        <v>8.2434148792999995</v>
        <stp/>
        <stp>EM_S_FA_GROSSPROFITMARGIN</stp>
        <stp>3</stp>
        <stp>600612</stp>
        <stp>12/31/2018</stp>
        <stp>1</stp>
        <tr r="I2043" s="1"/>
      </tp>
      <tp>
        <v>35.376638309999997</v>
        <stp/>
        <stp>EM_S_FA_GROSSPROFITMARGIN</stp>
        <stp>3</stp>
        <stp>300742</stp>
        <stp>12/31/2018</stp>
        <stp>1</stp>
        <tr r="I3334" s="1"/>
      </tp>
      <tp>
        <v>16.796120888600001</v>
        <stp/>
        <stp>EM_S_FA_GROSSPROFITMARGIN</stp>
        <stp>3</stp>
        <stp>600712</stp>
        <stp>12/31/2018</stp>
        <stp>1</stp>
        <tr r="I59" s="1"/>
      </tp>
      <tp>
        <v>17.724556722799999</v>
        <stp/>
        <stp>EM_S_FA_GROSSPROFITMARGIN</stp>
        <stp>3</stp>
        <stp>300442</stp>
        <stp>12/31/2018</stp>
        <stp>1</stp>
        <tr r="I1232" s="1"/>
      </tp>
      <tp>
        <v>7.0066136959999996</v>
        <stp/>
        <stp>EM_S_FA_GROSSPROFITMARGIN</stp>
        <stp>3</stp>
        <stp>000572</stp>
        <stp>12/31/2018</stp>
        <stp>1</stp>
        <tr r="I3463" s="1"/>
      </tp>
      <tp>
        <v>22.533483862499999</v>
        <stp/>
        <stp>EM_S_FA_GROSSPROFITMARGIN</stp>
        <stp>3</stp>
        <stp>300542</stp>
        <stp>12/31/2018</stp>
        <stp>1</stp>
        <tr r="I1783" s="1"/>
      </tp>
      <tp>
        <v>10.8261911794</v>
        <stp/>
        <stp>EM_S_FA_GROSSPROFITMARGIN</stp>
        <stp>3</stp>
        <stp>600512</stp>
        <stp>12/31/2018</stp>
        <stp>1</stp>
        <tr r="I947" s="1"/>
      </tp>
      <tp>
        <v>4.4203018054000003</v>
        <stp/>
        <stp>EM_S_FA_GROSSPROFITMARGIN</stp>
        <stp>3</stp>
        <stp>300242</stp>
        <stp>12/31/2018</stp>
        <stp>1</stp>
        <tr r="I2537" s="1"/>
      </tp>
      <tp>
        <v>15.507066155</v>
        <stp/>
        <stp>EM_S_FA_GROSSPROFITMARGIN</stp>
        <stp>3</stp>
        <stp>600212</stp>
        <stp>12/31/2018</stp>
        <stp>1</stp>
        <tr r="I2006" s="1"/>
      </tp>
      <tp>
        <v>31.625396934899999</v>
        <stp/>
        <stp>EM_S_FA_GROSSPROFITMARGIN</stp>
        <stp>3</stp>
        <stp>300342</stp>
        <stp>12/31/2018</stp>
        <stp>1</stp>
        <tr r="I861" s="1"/>
      </tp>
      <tp>
        <v>14.142296651900001</v>
        <stp/>
        <stp>EM_S_FA_GROSSPROFITMARGIN</stp>
        <stp>3</stp>
        <stp>600312</stp>
        <stp>12/31/2018</stp>
        <stp>1</stp>
        <tr r="I3067" s="1"/>
      </tp>
      <tp>
        <v>12.3611681969</v>
        <stp/>
        <stp>EM_S_FA_GROSSPROFITMARGIN</stp>
        <stp>3</stp>
        <stp>300042</stp>
        <stp>12/31/2018</stp>
        <stp>1</stp>
        <tr r="I1386" s="1"/>
      </tp>
      <tp>
        <v>56.763531758399999</v>
        <stp/>
        <stp>EM_S_FA_GROSSPROFITMARGIN</stp>
        <stp>3</stp>
        <stp>600012</stp>
        <stp>12/31/2018</stp>
        <stp>1</stp>
        <tr r="I2470" s="1"/>
      </tp>
      <tp>
        <v>80.394614548099995</v>
        <stp/>
        <stp>EM_S_FA_GROSSPROFITMARGIN</stp>
        <stp>3</stp>
        <stp>300142</stp>
        <stp>12/31/2018</stp>
        <stp>1</stp>
        <tr r="I360" s="1"/>
      </tp>
      <tp>
        <v>21.5895765034</v>
        <stp/>
        <stp>EM_S_FA_GROSSPROFITMARGIN</stp>
        <stp>3</stp>
        <stp>600112</stp>
        <stp>12/31/2018</stp>
        <stp>1</stp>
        <tr r="I3347" s="1"/>
      </tp>
      <tp>
        <v>41.668901676399997</v>
        <stp/>
        <stp>EM_S_FA_GROSSPROFITMARGIN</stp>
        <stp>3</stp>
        <stp>603912</stp>
        <stp>12/31/2018</stp>
        <stp>1</stp>
        <tr r="I2116" s="1"/>
      </tp>
      <tp>
        <v>18.145108837199999</v>
        <stp/>
        <stp>EM_S_FA_GROSSPROFITMARGIN</stp>
        <stp>3</stp>
        <stp>603612</stp>
        <stp>12/31/2018</stp>
        <stp>1</stp>
        <tr r="I2028" s="1"/>
      </tp>
      <tp>
        <v>46.037595886699997</v>
        <stp/>
        <stp>EM_S_FA_GROSSPROFITMARGIN</stp>
        <stp>3</stp>
        <stp>603712</stp>
        <stp>12/31/2018</stp>
        <stp>1</stp>
        <tr r="I824" s="1"/>
      </tp>
      <tp>
        <v>37.157986456899998</v>
        <stp/>
        <stp>EM_S_FA_GROSSPROFITMARGIN</stp>
        <stp>3</stp>
        <stp>603012</stp>
        <stp>12/31/2018</stp>
        <stp>1</stp>
        <tr r="I1606" s="1"/>
      </tp>
      <tp>
        <v>28.684018492100002</v>
        <stp/>
        <stp>EM_S_FA_GROSSPROFITMARGIN</stp>
        <stp>3</stp>
        <stp>002872</stp>
        <stp>12/31/2018</stp>
        <stp>1</stp>
        <tr r="I3295" s="1"/>
      </tp>
      <tp>
        <v>35.286595084600002</v>
        <stp/>
        <stp>EM_S_FA_GROSSPROFITMARGIN</stp>
        <stp>3</stp>
        <stp>002672</stp>
        <stp>12/31/2018</stp>
        <stp>1</stp>
        <tr r="I3093" s="1"/>
      </tp>
      <tp>
        <v>27.8455162966</v>
        <stp/>
        <stp>EM_S_FA_GROSSPROFITMARGIN</stp>
        <stp>3</stp>
        <stp>002772</stp>
        <stp>12/31/2018</stp>
        <stp>1</stp>
        <tr r="I1906" s="1"/>
      </tp>
      <tp>
        <v>20.311167958599999</v>
        <stp/>
        <stp>EM_S_FA_GROSSPROFITMARGIN</stp>
        <stp>3</stp>
        <stp>002472</stp>
        <stp>12/31/2018</stp>
        <stp>1</stp>
        <tr r="I2553" s="1"/>
      </tp>
      <tp>
        <v>37.572368941199997</v>
        <stp/>
        <stp>EM_S_FA_GROSSPROFITMARGIN</stp>
        <stp>3</stp>
        <stp>002572</stp>
        <stp>12/31/2018</stp>
        <stp>1</stp>
        <tr r="I1070" s="1"/>
      </tp>
      <tp>
        <v>18.240865570699999</v>
        <stp/>
        <stp>EM_S_FA_GROSSPROFITMARGIN</stp>
        <stp>3</stp>
        <stp>002272</stp>
        <stp>12/31/2018</stp>
        <stp>1</stp>
        <tr r="I1640" s="1"/>
      </tp>
      <tp>
        <v>46.772322911700002</v>
        <stp/>
        <stp>EM_S_FA_GROSSPROFITMARGIN</stp>
        <stp>3</stp>
        <stp>002372</stp>
        <stp>12/31/2018</stp>
        <stp>1</stp>
        <tr r="I2991" s="1"/>
      </tp>
      <tp>
        <v>34.508769751999999</v>
        <stp/>
        <stp>EM_S_FA_GROSSPROFITMARGIN</stp>
        <stp>3</stp>
        <stp>002072</stp>
        <stp>12/31/2018</stp>
        <stp>1</stp>
        <tr r="I3624" s="1"/>
      </tp>
      <tp>
        <v>8.1832102672999998</v>
        <stp/>
        <stp>EM_S_FA_GROSSPROFITMARGIN</stp>
        <stp>3</stp>
        <stp>002172</stp>
        <stp>12/31/2018</stp>
        <stp>1</stp>
        <tr r="I2424" s="1"/>
      </tp>
      <tp>
        <v>26.016955814300001</v>
        <stp/>
        <stp>EM_S_FA_GROSSPROFITMARGIN</stp>
        <stp>3</stp>
        <stp>601113</stp>
        <stp>12/31/2018</stp>
        <stp>1</stp>
        <tr r="I3390" s="1"/>
      </tp>
      <tp>
        <v>49.379754984800002</v>
        <stp/>
        <stp>EM_S_FA_GROSSPROFITMARGIN</stp>
        <stp>3</stp>
        <stp>600813</stp>
        <stp>12/31/2018</stp>
        <stp>1</stp>
        <tr r="I2327" s="1"/>
      </tp>
      <tp>
        <v>24.120295803000001</v>
        <stp/>
        <stp>EM_S_FA_GROSSPROFITMARGIN</stp>
        <stp>3</stp>
        <stp>000973</stp>
        <stp>12/31/2018</stp>
        <stp>1</stp>
        <tr r="I658" s="1"/>
      </tp>
      <tp>
        <v>28.481290103500001</v>
        <stp/>
        <stp>EM_S_FA_GROSSPROFITMARGIN</stp>
        <stp>3</stp>
        <stp>000673</stp>
        <stp>12/31/2018</stp>
        <stp>1</stp>
        <tr r="I3503" s="1"/>
      </tp>
      <tp>
        <v>27.6604528282</v>
        <stp/>
        <stp>EM_S_FA_GROSSPROFITMARGIN</stp>
        <stp>3</stp>
        <stp>300643</stp>
        <stp>12/31/2018</stp>
        <stp>1</stp>
        <tr r="I149" s="1"/>
      </tp>
      <tp>
        <v>60.9421513733</v>
        <stp/>
        <stp>EM_S_FA_GROSSPROFITMARGIN</stp>
        <stp>3</stp>
        <stp>600613</stp>
        <stp>12/31/2018</stp>
        <stp>1</stp>
        <tr r="I768" s="1"/>
      </tp>
      <tp>
        <v>30.457551336800002</v>
        <stp/>
        <stp>EM_S_FA_GROSSPROFITMARGIN</stp>
        <stp>3</stp>
        <stp>300743</stp>
        <stp>12/31/2018</stp>
        <stp>1</stp>
        <tr r="I3368" s="1"/>
      </tp>
      <tp>
        <v>6.6061588139999996</v>
        <stp/>
        <stp>EM_S_FA_GROSSPROFITMARGIN</stp>
        <stp>3</stp>
        <stp>600713</stp>
        <stp>12/31/2018</stp>
        <stp>1</stp>
        <tr r="I1785" s="1"/>
      </tp>
      <tp>
        <v>27.2695238654</v>
        <stp/>
        <stp>EM_S_FA_GROSSPROFITMARGIN</stp>
        <stp>3</stp>
        <stp>300443</stp>
        <stp>12/31/2018</stp>
        <stp>1</stp>
        <tr r="I981" s="1"/>
      </tp>
      <tp>
        <v>18.328129370900001</v>
        <stp/>
        <stp>EM_S_FA_GROSSPROFITMARGIN</stp>
        <stp>3</stp>
        <stp>000573</stp>
        <stp>12/31/2018</stp>
        <stp>1</stp>
        <tr r="I2239" s="1"/>
      </tp>
      <tp>
        <v>14.789775133799999</v>
        <stp/>
        <stp>EM_S_FA_GROSSPROFITMARGIN</stp>
        <stp>3</stp>
        <stp>300543</stp>
        <stp>12/31/2018</stp>
        <stp>1</stp>
        <tr r="I759" s="1"/>
      </tp>
      <tp>
        <v>68.596765106299998</v>
        <stp/>
        <stp>EM_S_FA_GROSSPROFITMARGIN</stp>
        <stp>3</stp>
        <stp>600513</stp>
        <stp>12/31/2018</stp>
        <stp>1</stp>
        <tr r="I1324" s="1"/>
      </tp>
      <tp>
        <v>23.522121453499999</v>
        <stp/>
        <stp>EM_S_FA_GROSSPROFITMARGIN</stp>
        <stp>3</stp>
        <stp>300243</stp>
        <stp>12/31/2018</stp>
        <stp>1</stp>
        <tr r="I2469" s="1"/>
      </tp>
      <tp>
        <v>18.9188638575</v>
        <stp/>
        <stp>EM_S_FA_GROSSPROFITMARGIN</stp>
        <stp>3</stp>
        <stp>600213</stp>
        <stp>12/31/2018</stp>
        <stp>1</stp>
        <tr r="I668" s="1"/>
      </tp>
      <tp>
        <v>16.3191501684</v>
        <stp/>
        <stp>EM_S_FA_GROSSPROFITMARGIN</stp>
        <stp>3</stp>
        <stp>300343</stp>
        <stp>12/31/2018</stp>
        <stp>1</stp>
        <tr r="I3389" s="1"/>
      </tp>
      <tp>
        <v>7.6578514051999997</v>
        <stp/>
        <stp>EM_S_FA_GROSSPROFITMARGIN</stp>
        <stp>3</stp>
        <stp>600313</stp>
        <stp>12/31/2018</stp>
        <stp>1</stp>
        <tr r="I1063" s="1"/>
      </tp>
      <tp>
        <v>45.090119191600003</v>
        <stp/>
        <stp>EM_S_FA_GROSSPROFITMARGIN</stp>
        <stp>3</stp>
        <stp>300043</stp>
        <stp>12/31/2018</stp>
        <stp>1</stp>
        <tr r="I491" s="1"/>
      </tp>
      <tp>
        <v>45.450003005200003</v>
        <stp/>
        <stp>EM_S_FA_GROSSPROFITMARGIN</stp>
        <stp>3</stp>
        <stp>300143</stp>
        <stp>12/31/2018</stp>
        <stp>1</stp>
        <tr r="I2121" s="1"/>
      </tp>
      <tp>
        <v>46.826775482800002</v>
        <stp/>
        <stp>EM_S_FA_GROSSPROFITMARGIN</stp>
        <stp>3</stp>
        <stp>600113</stp>
        <stp>12/31/2018</stp>
        <stp>1</stp>
        <tr r="I2268" s="1"/>
      </tp>
      <tp>
        <v>15.169564493599999</v>
        <stp/>
        <stp>EM_S_FA_GROSSPROFITMARGIN</stp>
        <stp>3</stp>
        <stp>603813</stp>
        <stp>12/31/2018</stp>
        <stp>1</stp>
        <tr r="I2153" s="1"/>
      </tp>
      <tp>
        <v>32.082726717299998</v>
        <stp/>
        <stp>EM_S_FA_GROSSPROFITMARGIN</stp>
        <stp>3</stp>
        <stp>603313</stp>
        <stp>12/31/2018</stp>
        <stp>1</stp>
        <tr r="I2362" s="1"/>
      </tp>
      <tp>
        <v>14.2504481258</v>
        <stp/>
        <stp>EM_S_FA_GROSSPROFITMARGIN</stp>
        <stp>3</stp>
        <stp>603013</stp>
        <stp>12/31/2018</stp>
        <stp>1</stp>
        <tr r="I2867" s="1"/>
      </tp>
      <tp>
        <v>21.1468726899</v>
        <stp/>
        <stp>EM_S_FA_GROSSPROFITMARGIN</stp>
        <stp>3</stp>
        <stp>603113</stp>
        <stp>12/31/2018</stp>
        <stp>1</stp>
        <tr r="I2475" s="1"/>
      </tp>
      <tp>
        <v>79.011704162200004</v>
        <stp/>
        <stp>EM_S_FA_GROSSPROFITMARGIN</stp>
        <stp>3</stp>
        <stp>002873</stp>
        <stp>12/31/2018</stp>
        <stp>1</stp>
        <tr r="I2205" s="1"/>
      </tp>
      <tp>
        <v>0</v>
        <stp/>
        <stp>EM_S_FA_GROSSPROFITMARGIN</stp>
        <stp>3</stp>
        <stp>002673</stp>
        <stp>12/31/2018</stp>
        <stp>1</stp>
        <tr r="I998" s="1"/>
      </tp>
      <tp>
        <v>92.167617340899994</v>
        <stp/>
        <stp>EM_S_FA_GROSSPROFITMARGIN</stp>
        <stp>3</stp>
        <stp>002773</stp>
        <stp>12/31/2018</stp>
        <stp>1</stp>
        <tr r="I1974" s="1"/>
      </tp>
      <tp>
        <v>21.900214356100001</v>
        <stp/>
        <stp>EM_S_FA_GROSSPROFITMARGIN</stp>
        <stp>3</stp>
        <stp>002473</stp>
        <stp>12/31/2018</stp>
        <stp>1</stp>
        <tr r="I797" s="1"/>
      </tp>
      <tp>
        <v>28.673348517000001</v>
        <stp/>
        <stp>EM_S_FA_GROSSPROFITMARGIN</stp>
        <stp>3</stp>
        <stp>002573</stp>
        <stp>12/31/2018</stp>
        <stp>1</stp>
        <tr r="I2784" s="1"/>
      </tp>
      <tp>
        <v>27.835015870300001</v>
        <stp/>
        <stp>EM_S_FA_GROSSPROFITMARGIN</stp>
        <stp>3</stp>
        <stp>002273</stp>
        <stp>12/31/2018</stp>
        <stp>1</stp>
        <tr r="I318" s="1"/>
      </tp>
      <tp>
        <v>32.8728750561</v>
        <stp/>
        <stp>EM_S_FA_GROSSPROFITMARGIN</stp>
        <stp>3</stp>
        <stp>002373</stp>
        <stp>12/31/2018</stp>
        <stp>1</stp>
        <tr r="I379" s="1"/>
      </tp>
      <tp>
        <v>21.675849863100002</v>
        <stp/>
        <stp>EM_S_FA_GROSSPROFITMARGIN</stp>
        <stp>3</stp>
        <stp>002073</stp>
        <stp>12/31/2018</stp>
        <stp>1</stp>
        <tr r="I3625" s="1"/>
      </tp>
      <tp>
        <v>36.969713609599999</v>
        <stp/>
        <stp>EM_S_FA_GROSSPROFITMARGIN</stp>
        <stp>3</stp>
        <stp>002173</stp>
        <stp>12/31/2018</stp>
        <stp>1</stp>
        <tr r="I2881" s="1"/>
      </tp>
      <tp>
        <v>0</v>
        <stp/>
        <stp>EM_S_FA_GROSSPROFITMARGIN</stp>
        <stp>3</stp>
        <stp>601818</stp>
        <stp>12/31/2018</stp>
        <stp>1</stp>
        <tr r="I1342" s="1"/>
      </tp>
      <tp>
        <v>41.659808311500001</v>
        <stp/>
        <stp>EM_S_FA_GROSSPROFITMARGIN</stp>
        <stp>3</stp>
        <stp>601918</stp>
        <stp>12/31/2018</stp>
        <stp>1</stp>
        <tr r="I1915" s="1"/>
      </tp>
      <tp>
        <v>12.576240174300001</v>
        <stp/>
        <stp>EM_S_FA_GROSSPROFITMARGIN</stp>
        <stp>3</stp>
        <stp>601618</stp>
        <stp>12/31/2018</stp>
        <stp>1</stp>
        <tr r="I2782" s="1"/>
      </tp>
      <tp>
        <v>8.8050522664000006</v>
        <stp/>
        <stp>EM_S_FA_GROSSPROFITMARGIN</stp>
        <stp>3</stp>
        <stp>601718</stp>
        <stp>12/31/2018</stp>
        <stp>1</stp>
        <tr r="I2524" s="1"/>
      </tp>
      <tp>
        <v>63.5059940127</v>
        <stp/>
        <stp>EM_S_FA_GROSSPROFITMARGIN</stp>
        <stp>3</stp>
        <stp>601518</stp>
        <stp>12/31/2018</stp>
        <stp>1</stp>
        <tr r="I2183" s="1"/>
      </tp>
      <tp>
        <v>3.3294944586000002</v>
        <stp/>
        <stp>EM_S_FA_GROSSPROFITMARGIN</stp>
        <stp>3</stp>
        <stp>601218</stp>
        <stp>12/31/2018</stp>
        <stp>1</stp>
        <tr r="I1106" s="1"/>
      </tp>
      <tp>
        <v>0</v>
        <stp/>
        <stp>EM_S_FA_GROSSPROFITMARGIN</stp>
        <stp>3</stp>
        <stp>601318</stp>
        <stp>12/31/2018</stp>
        <stp>1</stp>
        <tr r="I516" s="1"/>
      </tp>
      <tp>
        <v>24.5019872156</v>
        <stp/>
        <stp>EM_S_FA_GROSSPROFITMARGIN</stp>
        <stp>3</stp>
        <stp>601018</stp>
        <stp>12/31/2018</stp>
        <stp>1</stp>
        <tr r="I1529" s="1"/>
      </tp>
      <tp>
        <v>3.6045623077000002</v>
        <stp/>
        <stp>EM_S_FA_GROSSPROFITMARGIN</stp>
        <stp>3</stp>
        <stp>601118</stp>
        <stp>12/31/2018</stp>
        <stp>1</stp>
        <tr r="I1724" s="1"/>
      </tp>
      <tp>
        <v>7.6334197607999998</v>
        <stp/>
        <stp>EM_S_FA_GROSSPROFITMARGIN</stp>
        <stp>3</stp>
        <stp>000878</stp>
        <stp>12/31/2018</stp>
        <stp>1</stp>
        <tr r="I3560" s="1"/>
      </tp>
      <tp>
        <v>13.189287199300001</v>
        <stp/>
        <stp>EM_S_FA_GROSSPROFITMARGIN</stp>
        <stp>3</stp>
        <stp>600818</stp>
        <stp>12/31/2018</stp>
        <stp>1</stp>
        <tr r="I1647" s="1"/>
      </tp>
      <tp>
        <v>45.971569713800001</v>
        <stp/>
        <stp>EM_S_FA_GROSSPROFITMARGIN</stp>
        <stp>3</stp>
        <stp>000978</stp>
        <stp>12/31/2018</stp>
        <stp>1</stp>
        <tr r="I2177" s="1"/>
      </tp>
      <tp>
        <v>9.0038736498999992</v>
        <stp/>
        <stp>EM_S_FA_GROSSPROFITMARGIN</stp>
        <stp>3</stp>
        <stp>000678</stp>
        <stp>12/31/2018</stp>
        <stp>1</stp>
        <tr r="I3505" s="1"/>
      </tp>
      <tp>
        <v>45.289334289599999</v>
        <stp/>
        <stp>EM_S_FA_GROSSPROFITMARGIN</stp>
        <stp>3</stp>
        <stp>300648</stp>
        <stp>12/31/2018</stp>
        <stp>1</stp>
        <tr r="I2494" s="1"/>
      </tp>
      <tp>
        <v>17.827238566799998</v>
        <stp/>
        <stp>EM_S_FA_GROSSPROFITMARGIN</stp>
        <stp>3</stp>
        <stp>600618</stp>
        <stp>12/31/2018</stp>
        <stp>1</stp>
        <tr r="I1601" s="1"/>
      </tp>
      <tp>
        <v>17.9022633865</v>
        <stp/>
        <stp>EM_S_FA_GROSSPROFITMARGIN</stp>
        <stp>3</stp>
        <stp>000778</stp>
        <stp>12/31/2018</stp>
        <stp>1</stp>
        <tr r="I3535" s="1"/>
      </tp>
      <tp>
        <v>29.9964697958</v>
        <stp/>
        <stp>EM_S_FA_GROSSPROFITMARGIN</stp>
        <stp>3</stp>
        <stp>600718</stp>
        <stp>12/31/2018</stp>
        <stp>1</stp>
        <tr r="I2488" s="1"/>
      </tp>
      <tp>
        <v>46.460784155399999</v>
        <stp/>
        <stp>EM_S_FA_GROSSPROFITMARGIN</stp>
        <stp>3</stp>
        <stp>300448</stp>
        <stp>12/31/2018</stp>
        <stp>1</stp>
        <tr r="I3181" s="1"/>
      </tp>
      <tp>
        <v>8.6531904239999999</v>
        <stp/>
        <stp>EM_S_FA_GROSSPROFITMARGIN</stp>
        <stp>3</stp>
        <stp>600418</stp>
        <stp>12/31/2018</stp>
        <stp>1</stp>
        <tr r="I2111" s="1"/>
      </tp>
      <tp>
        <v>0</v>
        <stp/>
        <stp>EM_S_FA_GROSSPROFITMARGIN</stp>
        <stp>3</stp>
        <stp>000578</stp>
        <stp>12/31/2018</stp>
        <stp>1</stp>
        <tr r="I3464" s="1"/>
      </tp>
      <tp>
        <v>29.459340184399998</v>
        <stp/>
        <stp>EM_S_FA_GROSSPROFITMARGIN</stp>
        <stp>3</stp>
        <stp>300548</stp>
        <stp>12/31/2018</stp>
        <stp>1</stp>
        <tr r="I199" s="1"/>
      </tp>
      <tp>
        <v>30.035918589000001</v>
        <stp/>
        <stp>EM_S_FA_GROSSPROFITMARGIN</stp>
        <stp>3</stp>
        <stp>600518</stp>
        <stp>12/31/2018</stp>
        <stp>1</stp>
        <tr r="I3393" s="1"/>
      </tp>
      <tp>
        <v>55.112145774699997</v>
        <stp/>
        <stp>EM_S_FA_GROSSPROFITMARGIN</stp>
        <stp>3</stp>
        <stp>300248</stp>
        <stp>12/31/2018</stp>
        <stp>1</stp>
        <tr r="I1276" s="1"/>
      </tp>
      <tp>
        <v>11.214197366100001</v>
        <stp/>
        <stp>EM_S_FA_GROSSPROFITMARGIN</stp>
        <stp>3</stp>
        <stp>600218</stp>
        <stp>12/31/2018</stp>
        <stp>1</stp>
        <tr r="I83" s="1"/>
      </tp>
      <tp>
        <v>50.7480287558</v>
        <stp/>
        <stp>EM_S_FA_GROSSPROFITMARGIN</stp>
        <stp>3</stp>
        <stp>300348</stp>
        <stp>12/31/2018</stp>
        <stp>1</stp>
        <tr r="I1093" s="1"/>
      </tp>
      <tp>
        <v>84.579623102900001</v>
        <stp/>
        <stp>EM_S_FA_GROSSPROFITMARGIN</stp>
        <stp>3</stp>
        <stp>600318</stp>
        <stp>12/31/2018</stp>
        <stp>1</stp>
        <tr r="I2381" s="1"/>
      </tp>
      <tp>
        <v>13.1335904719</v>
        <stp/>
        <stp>EM_S_FA_GROSSPROFITMARGIN</stp>
        <stp>3</stp>
        <stp>000078</stp>
        <stp>12/31/2018</stp>
        <stp>1</stp>
        <tr r="I1064" s="1"/>
      </tp>
      <tp>
        <v>27.8710794753</v>
        <stp/>
        <stp>EM_S_FA_GROSSPROFITMARGIN</stp>
        <stp>3</stp>
        <stp>300048</stp>
        <stp>12/31/2018</stp>
        <stp>1</stp>
        <tr r="I2355" s="1"/>
      </tp>
      <tp>
        <v>31.743317365199999</v>
        <stp/>
        <stp>EM_S_FA_GROSSPROFITMARGIN</stp>
        <stp>3</stp>
        <stp>600018</stp>
        <stp>12/31/2018</stp>
        <stp>1</stp>
        <tr r="I1725" s="1"/>
      </tp>
      <tp>
        <v>38.641373961100001</v>
        <stp/>
        <stp>EM_S_FA_GROSSPROFITMARGIN</stp>
        <stp>3</stp>
        <stp>300148</stp>
        <stp>12/31/2018</stp>
        <stp>1</stp>
        <tr r="I2790" s="1"/>
      </tp>
      <tp>
        <v>13.6282964386</v>
        <stp/>
        <stp>EM_S_FA_GROSSPROFITMARGIN</stp>
        <stp>3</stp>
        <stp>600118</stp>
        <stp>12/31/2018</stp>
        <stp>1</stp>
        <tr r="I1129" s="1"/>
      </tp>
      <tp>
        <v>42.4094856846</v>
        <stp/>
        <stp>EM_S_FA_GROSSPROFITMARGIN</stp>
        <stp>3</stp>
        <stp>603818</stp>
        <stp>12/31/2018</stp>
        <stp>1</stp>
        <tr r="I1096" s="1"/>
      </tp>
      <tp>
        <v>31.0104148651</v>
        <stp/>
        <stp>EM_S_FA_GROSSPROFITMARGIN</stp>
        <stp>3</stp>
        <stp>603918</stp>
        <stp>12/31/2018</stp>
        <stp>1</stp>
        <tr r="I2585" s="1"/>
      </tp>
      <tp>
        <v>16.6231510382</v>
        <stp/>
        <stp>EM_S_FA_GROSSPROFITMARGIN</stp>
        <stp>3</stp>
        <stp>603618</stp>
        <stp>12/31/2018</stp>
        <stp>1</stp>
        <tr r="I2025" s="1"/>
      </tp>
      <tp>
        <v>55.839549507599997</v>
        <stp/>
        <stp>EM_S_FA_GROSSPROFITMARGIN</stp>
        <stp>3</stp>
        <stp>603718</stp>
        <stp>12/31/2018</stp>
        <stp>1</stp>
        <tr r="I2359" s="1"/>
      </tp>
      <tp>
        <v>69.045563878799996</v>
        <stp/>
        <stp>EM_S_FA_GROSSPROFITMARGIN</stp>
        <stp>3</stp>
        <stp>603518</stp>
        <stp>12/31/2018</stp>
        <stp>1</stp>
        <tr r="I3366" s="1"/>
      </tp>
      <tp>
        <v>21.392545757400001</v>
        <stp/>
        <stp>EM_S_FA_GROSSPROFITMARGIN</stp>
        <stp>3</stp>
        <stp>603218</stp>
        <stp>12/31/2018</stp>
        <stp>1</stp>
        <tr r="I1213" s="1"/>
      </tp>
      <tp>
        <v>28.339835214000001</v>
        <stp/>
        <stp>EM_S_FA_GROSSPROFITMARGIN</stp>
        <stp>3</stp>
        <stp>603318</stp>
        <stp>12/31/2018</stp>
        <stp>1</stp>
        <tr r="I2674" s="1"/>
      </tp>
      <tp>
        <v>26.2242615091</v>
        <stp/>
        <stp>EM_S_FA_GROSSPROFITMARGIN</stp>
        <stp>3</stp>
        <stp>603018</stp>
        <stp>12/31/2018</stp>
        <stp>1</stp>
        <tr r="I3325" s="1"/>
      </tp>
      <tp>
        <v>12.6656581179</v>
        <stp/>
        <stp>EM_S_FA_GROSSPROFITMARGIN</stp>
        <stp>3</stp>
        <stp>603118</stp>
        <stp>12/31/2018</stp>
        <stp>1</stp>
        <tr r="I261" s="1"/>
      </tp>
      <tp>
        <v>24.3416110995</v>
        <stp/>
        <stp>EM_S_FA_GROSSPROFITMARGIN</stp>
        <stp>3</stp>
        <stp>002878</stp>
        <stp>12/31/2018</stp>
        <stp>1</stp>
        <tr r="I1941" s="1"/>
      </tp>
      <tp>
        <v>31.3225945312</v>
        <stp/>
        <stp>EM_S_FA_GROSSPROFITMARGIN</stp>
        <stp>3</stp>
        <stp>002678</stp>
        <stp>12/31/2018</stp>
        <stp>1</stp>
        <tr r="I697" s="1"/>
      </tp>
      <tp>
        <v>11.9557611401</v>
        <stp/>
        <stp>EM_S_FA_GROSSPROFITMARGIN</stp>
        <stp>3</stp>
        <stp>002778</stp>
        <stp>12/31/2018</stp>
        <stp>1</stp>
        <tr r="I1331" s="1"/>
      </tp>
      <tp>
        <v>21.970668998800001</v>
        <stp/>
        <stp>EM_S_FA_GROSSPROFITMARGIN</stp>
        <stp>3</stp>
        <stp>002478</stp>
        <stp>12/31/2018</stp>
        <stp>1</stp>
        <tr r="I1021" s="1"/>
      </tp>
      <tp>
        <v>9.5740733858000002</v>
        <stp/>
        <stp>EM_S_FA_GROSSPROFITMARGIN</stp>
        <stp>3</stp>
        <stp>002578</stp>
        <stp>12/31/2018</stp>
        <stp>1</stp>
        <tr r="I1903" s="1"/>
      </tp>
      <tp>
        <v>32.615574332900003</v>
        <stp/>
        <stp>EM_S_FA_GROSSPROFITMARGIN</stp>
        <stp>3</stp>
        <stp>002278</stp>
        <stp>12/31/2018</stp>
        <stp>1</stp>
        <tr r="I2576" s="1"/>
      </tp>
      <tp>
        <v>18.257853297899999</v>
        <stp/>
        <stp>EM_S_FA_GROSSPROFITMARGIN</stp>
        <stp>3</stp>
        <stp>002378</stp>
        <stp>12/31/2018</stp>
        <stp>1</stp>
        <tr r="I1552" s="1"/>
      </tp>
      <tp>
        <v>23.451817896200001</v>
        <stp/>
        <stp>EM_S_FA_GROSSPROFITMARGIN</stp>
        <stp>3</stp>
        <stp>002078</stp>
        <stp>12/31/2018</stp>
        <stp>1</stp>
        <tr r="I275" s="1"/>
      </tp>
      <tp>
        <v>11.929654672</v>
        <stp/>
        <stp>EM_S_FA_GROSSPROFITMARGIN</stp>
        <stp>3</stp>
        <stp>002178</stp>
        <stp>12/31/2018</stp>
        <stp>1</stp>
        <tr r="I1588" s="1"/>
      </tp>
      <tp>
        <v>39.492493804799999</v>
        <stp/>
        <stp>EM_S_FA_GROSSPROFITMARGIN</stp>
        <stp>3</stp>
        <stp>001979</stp>
        <stp>12/31/2018</stp>
        <stp>1</stp>
        <tr r="I1473" s="1"/>
      </tp>
      <tp>
        <v>8.4620423602999999</v>
        <stp/>
        <stp>EM_S_FA_GROSSPROFITMARGIN</stp>
        <stp>3</stp>
        <stp>601919</stp>
        <stp>12/31/2018</stp>
        <stp>1</stp>
        <tr r="I933" s="1"/>
      </tp>
      <tp>
        <v>58.039389307900002</v>
        <stp/>
        <stp>EM_S_FA_GROSSPROFITMARGIN</stp>
        <stp>3</stp>
        <stp>601619</stp>
        <stp>12/31/2018</stp>
        <stp>1</stp>
        <tr r="I3015" s="1"/>
      </tp>
      <tp>
        <v>58.067953404800001</v>
        <stp/>
        <stp>EM_S_FA_GROSSPROFITMARGIN</stp>
        <stp>3</stp>
        <stp>601519</stp>
        <stp>12/31/2018</stp>
        <stp>1</stp>
        <tr r="I99" s="1"/>
      </tp>
      <tp>
        <v>35.8700587513</v>
        <stp/>
        <stp>EM_S_FA_GROSSPROFITMARGIN</stp>
        <stp>3</stp>
        <stp>601019</stp>
        <stp>12/31/2018</stp>
        <stp>1</stp>
        <tr r="I2814" s="1"/>
      </tp>
      <tp>
        <v>18.439434371400001</v>
        <stp/>
        <stp>EM_S_FA_GROSSPROFITMARGIN</stp>
        <stp>3</stp>
        <stp>600819</stp>
        <stp>12/31/2018</stp>
        <stp>1</stp>
        <tr r="I1023" s="1"/>
      </tp>
      <tp>
        <v>0</v>
        <stp/>
        <stp>EM_S_FA_GROSSPROFITMARGIN</stp>
        <stp>3</stp>
        <stp>000979</stp>
        <stp>12/31/2018</stp>
        <stp>1</stp>
        <tr r="I3592" s="1"/>
      </tp>
      <tp>
        <v>0</v>
        <stp/>
        <stp>EM_S_FA_GROSSPROFITMARGIN</stp>
        <stp>3</stp>
        <stp>600919</stp>
        <stp>12/31/2018</stp>
        <stp>1</stp>
        <tr r="I1245" s="1"/>
      </tp>
      <tp>
        <v>13.0114268079</v>
        <stp/>
        <stp>EM_S_FA_GROSSPROFITMARGIN</stp>
        <stp>3</stp>
        <stp>000679</stp>
        <stp>12/31/2018</stp>
        <stp>1</stp>
        <tr r="I3506" s="1"/>
      </tp>
      <tp>
        <v>25.494988517900001</v>
        <stp/>
        <stp>EM_S_FA_GROSSPROFITMARGIN</stp>
        <stp>3</stp>
        <stp>300649</stp>
        <stp>12/31/2018</stp>
        <stp>1</stp>
        <tr r="I3039" s="1"/>
      </tp>
      <tp>
        <v>15.8185097629</v>
        <stp/>
        <stp>EM_S_FA_GROSSPROFITMARGIN</stp>
        <stp>3</stp>
        <stp>600619</stp>
        <stp>12/31/2018</stp>
        <stp>1</stp>
        <tr r="I2513" s="1"/>
      </tp>
      <tp>
        <v>29.956945141999999</v>
        <stp/>
        <stp>EM_S_FA_GROSSPROFITMARGIN</stp>
        <stp>3</stp>
        <stp>000779</stp>
        <stp>12/31/2018</stp>
        <stp>1</stp>
        <tr r="I1367" s="1"/>
      </tp>
      <tp>
        <v>12.0537723197</v>
        <stp/>
        <stp>EM_S_FA_GROSSPROFITMARGIN</stp>
        <stp>3</stp>
        <stp>600719</stp>
        <stp>12/31/2018</stp>
        <stp>1</stp>
        <tr r="I1059" s="1"/>
      </tp>
      <tp>
        <v>39.967211643699997</v>
        <stp/>
        <stp>EM_S_FA_GROSSPROFITMARGIN</stp>
        <stp>3</stp>
        <stp>300449</stp>
        <stp>12/31/2018</stp>
        <stp>1</stp>
        <tr r="I3249" s="1"/>
      </tp>
      <tp>
        <v>27.2598351368</v>
        <stp/>
        <stp>EM_S_FA_GROSSPROFITMARGIN</stp>
        <stp>3</stp>
        <stp>600419</stp>
        <stp>12/31/2018</stp>
        <stp>1</stp>
        <tr r="I2434" s="1"/>
      </tp>
      <tp>
        <v>34.9984595564</v>
        <stp/>
        <stp>EM_S_FA_GROSSPROFITMARGIN</stp>
        <stp>3</stp>
        <stp>300549</stp>
        <stp>12/31/2018</stp>
        <stp>1</stp>
        <tr r="I1330" s="1"/>
      </tp>
      <tp>
        <v>91.142012876799996</v>
        <stp/>
        <stp>EM_S_FA_GROSSPROFITMARGIN</stp>
        <stp>3</stp>
        <stp>600519</stp>
        <stp>12/31/2018</stp>
        <stp>1</stp>
        <tr r="I160" s="1"/>
      </tp>
      <tp>
        <v>25.3346758317</v>
        <stp/>
        <stp>EM_S_FA_GROSSPROFITMARGIN</stp>
        <stp>3</stp>
        <stp>300249</stp>
        <stp>12/31/2018</stp>
        <stp>1</stp>
        <tr r="I2557" s="1"/>
      </tp>
      <tp>
        <v>17.381724089999999</v>
        <stp/>
        <stp>EM_S_FA_GROSSPROFITMARGIN</stp>
        <stp>3</stp>
        <stp>600219</stp>
        <stp>12/31/2018</stp>
        <stp>1</stp>
        <tr r="I1916" s="1"/>
      </tp>
      <tp>
        <v>48.6817734296</v>
        <stp/>
        <stp>EM_S_FA_GROSSPROFITMARGIN</stp>
        <stp>3</stp>
        <stp>300349</stp>
        <stp>12/31/2018</stp>
        <stp>1</stp>
        <tr r="I2578" s="1"/>
      </tp>
      <tp>
        <v>10.9374913105</v>
        <stp/>
        <stp>EM_S_FA_GROSSPROFITMARGIN</stp>
        <stp>3</stp>
        <stp>600319</stp>
        <stp>12/31/2018</stp>
        <stp>1</stp>
        <tr r="I2240" s="1"/>
      </tp>
      <tp>
        <v>69.991397396400004</v>
        <stp/>
        <stp>EM_S_FA_GROSSPROFITMARGIN</stp>
        <stp>3</stp>
        <stp>300049</stp>
        <stp>12/31/2018</stp>
        <stp>1</stp>
        <tr r="I3166" s="1"/>
      </tp>
      <tp>
        <v>14.9926331108</v>
        <stp/>
        <stp>EM_S_FA_GROSSPROFITMARGIN</stp>
        <stp>3</stp>
        <stp>600019</stp>
        <stp>12/31/2018</stp>
        <stp>1</stp>
        <tr r="I2815" s="1"/>
      </tp>
      <tp>
        <v>42.8325533732</v>
        <stp/>
        <stp>EM_S_FA_GROSSPROFITMARGIN</stp>
        <stp>3</stp>
        <stp>300149</stp>
        <stp>12/31/2018</stp>
        <stp>1</stp>
        <tr r="I2776" s="1"/>
      </tp>
      <tp>
        <v>13.425459339</v>
        <stp/>
        <stp>EM_S_FA_GROSSPROFITMARGIN</stp>
        <stp>3</stp>
        <stp>600119</stp>
        <stp>12/31/2018</stp>
        <stp>1</stp>
        <tr r="I3176" s="1"/>
      </tp>
      <tp>
        <v>12.836654708599999</v>
        <stp/>
        <stp>EM_S_FA_GROSSPROFITMARGIN</stp>
        <stp>3</stp>
        <stp>603819</stp>
        <stp>12/31/2018</stp>
        <stp>1</stp>
        <tr r="I2892" s="1"/>
      </tp>
      <tp>
        <v>62.298510261399997</v>
        <stp/>
        <stp>EM_S_FA_GROSSPROFITMARGIN</stp>
        <stp>3</stp>
        <stp>603919</stp>
        <stp>12/31/2018</stp>
        <stp>1</stp>
        <tr r="I540" s="1"/>
      </tp>
      <tp>
        <v>23.735943024299999</v>
        <stp/>
        <stp>EM_S_FA_GROSSPROFITMARGIN</stp>
        <stp>3</stp>
        <stp>603619</stp>
        <stp>12/31/2018</stp>
        <stp>1</stp>
        <tr r="I2734" s="1"/>
      </tp>
      <tp>
        <v>14.966160394199999</v>
        <stp/>
        <stp>EM_S_FA_GROSSPROFITMARGIN</stp>
        <stp>3</stp>
        <stp>603519</stp>
        <stp>12/31/2018</stp>
        <stp>1</stp>
        <tr r="I531" s="1"/>
      </tp>
      <tp>
        <v>31.341610039799999</v>
        <stp/>
        <stp>EM_S_FA_GROSSPROFITMARGIN</stp>
        <stp>3</stp>
        <stp>603319</stp>
        <stp>12/31/2018</stp>
        <stp>1</stp>
        <tr r="I2802" s="1"/>
      </tp>
      <tp>
        <v>18.3048688658</v>
        <stp/>
        <stp>EM_S_FA_GROSSPROFITMARGIN</stp>
        <stp>3</stp>
        <stp>603019</stp>
        <stp>12/31/2018</stp>
        <stp>1</stp>
        <tr r="I2496" s="1"/>
      </tp>
      <tp>
        <v>53.544467522399998</v>
        <stp/>
        <stp>EM_S_FA_GROSSPROFITMARGIN</stp>
        <stp>3</stp>
        <stp>002879</stp>
        <stp>12/31/2018</stp>
        <stp>1</stp>
        <tr r="I1221" s="1"/>
      </tp>
      <tp>
        <v>66.687106130399997</v>
        <stp/>
        <stp>EM_S_FA_GROSSPROFITMARGIN</stp>
        <stp>3</stp>
        <stp>002679</stp>
        <stp>12/31/2018</stp>
        <stp>1</stp>
        <tr r="I2584" s="1"/>
      </tp>
      <tp>
        <v>18.715958587900001</v>
        <stp/>
        <stp>EM_S_FA_GROSSPROFITMARGIN</stp>
        <stp>3</stp>
        <stp>002779</stp>
        <stp>12/31/2018</stp>
        <stp>1</stp>
        <tr r="I2173" s="1"/>
      </tp>
      <tp>
        <v>19.373731790699999</v>
        <stp/>
        <stp>EM_S_FA_GROSSPROFITMARGIN</stp>
        <stp>3</stp>
        <stp>002479</stp>
        <stp>12/31/2018</stp>
        <stp>1</stp>
        <tr r="I445" s="1"/>
      </tp>
      <tp>
        <v>20.479437711100001</v>
        <stp/>
        <stp>EM_S_FA_GROSSPROFITMARGIN</stp>
        <stp>3</stp>
        <stp>002579</stp>
        <stp>12/31/2018</stp>
        <stp>1</stp>
        <tr r="I396" s="1"/>
      </tp>
      <tp>
        <v>42.6364613955</v>
        <stp/>
        <stp>EM_S_FA_GROSSPROFITMARGIN</stp>
        <stp>3</stp>
        <stp>002279</stp>
        <stp>12/31/2018</stp>
        <stp>1</stp>
        <tr r="I2897" s="1"/>
      </tp>
      <tp>
        <v>2.9789668056999998</v>
        <stp/>
        <stp>EM_S_FA_GROSSPROFITMARGIN</stp>
        <stp>3</stp>
        <stp>002379</stp>
        <stp>12/31/2018</stp>
        <stp>1</stp>
        <tr r="I881" s="1"/>
      </tp>
      <tp>
        <v>18.189853131500001</v>
        <stp/>
        <stp>EM_S_FA_GROSSPROFITMARGIN</stp>
        <stp>3</stp>
        <stp>002079</stp>
        <stp>12/31/2018</stp>
        <stp>1</stp>
        <tr r="I84" s="1"/>
      </tp>
      <tp>
        <v>32.561807094499997</v>
        <stp/>
        <stp>EM_S_FA_GROSSPROFITMARGIN</stp>
        <stp>3</stp>
        <stp>002179</stp>
        <stp>12/31/2018</stp>
        <stp>1</stp>
        <tr r="I1453" s="1"/>
      </tp>
      <tp>
        <v>50.959404855599999</v>
        <stp/>
        <stp>EM_S_FA_GROSSPROFITMARGIN</stp>
        <stp>3</stp>
        <stp>600804</stp>
        <stp>12/31/2018</stp>
        <stp>1</stp>
        <tr r="I2849" s="1"/>
      </tp>
      <tp>
        <v>29.905816225399999</v>
        <stp/>
        <stp>EM_S_FA_GROSSPROFITMARGIN</stp>
        <stp>3</stp>
        <stp>300654</stp>
        <stp>12/31/2018</stp>
        <stp>1</stp>
        <tr r="I3061" s="1"/>
      </tp>
      <tp>
        <v>42.517312037000003</v>
        <stp/>
        <stp>EM_S_FA_GROSSPROFITMARGIN</stp>
        <stp>3</stp>
        <stp>600604</stp>
        <stp>12/31/2018</stp>
        <stp>1</stp>
        <tr r="I1429" s="1"/>
      </tp>
      <tp>
        <v>2.7508733076</v>
        <stp/>
        <stp>EM_S_FA_GROSSPROFITMARGIN</stp>
        <stp>3</stp>
        <stp>600704</stp>
        <stp>12/31/2018</stp>
        <stp>1</stp>
        <tr r="I1522" s="1"/>
      </tp>
      <tp>
        <v>73.323374409899998</v>
        <stp/>
        <stp>EM_S_FA_GROSSPROFITMARGIN</stp>
        <stp>3</stp>
        <stp>300454</stp>
        <stp>12/31/2018</stp>
        <stp>1</stp>
        <tr r="I1028" s="1"/>
      </tp>
      <tp>
        <v>17.597124405700001</v>
        <stp/>
        <stp>EM_S_FA_GROSSPROFITMARGIN</stp>
        <stp>3</stp>
        <stp>000564</stp>
        <stp>12/31/2018</stp>
        <stp>1</stp>
        <tr r="I3457" s="1"/>
      </tp>
      <tp>
        <v>40.681453946200001</v>
        <stp/>
        <stp>EM_S_FA_GROSSPROFITMARGIN</stp>
        <stp>3</stp>
        <stp>300554</stp>
        <stp>12/31/2018</stp>
        <stp>1</stp>
        <tr r="I2839" s="1"/>
      </tp>
      <tp>
        <v>76.438503348599994</v>
        <stp/>
        <stp>EM_S_FA_GROSSPROFITMARGIN</stp>
        <stp>3</stp>
        <stp>300254</stp>
        <stp>12/31/2018</stp>
        <stp>1</stp>
        <tr r="I1140" s="1"/>
      </tp>
      <tp>
        <v>60.714967332199997</v>
        <stp/>
        <stp>EM_S_FA_GROSSPROFITMARGIN</stp>
        <stp>3</stp>
        <stp>300354</stp>
        <stp>12/31/2018</stp>
        <stp>1</stp>
        <tr r="I542" s="1"/>
      </tp>
      <tp>
        <v>38.872689853300002</v>
        <stp/>
        <stp>EM_S_FA_GROSSPROFITMARGIN</stp>
        <stp>3</stp>
        <stp>300054</stp>
        <stp>12/31/2018</stp>
        <stp>1</stp>
        <tr r="I635" s="1"/>
      </tp>
      <tp>
        <v>29.748148832799998</v>
        <stp/>
        <stp>EM_S_FA_GROSSPROFITMARGIN</stp>
        <stp>3</stp>
        <stp>600004</stp>
        <stp>12/31/2018</stp>
        <stp>1</stp>
        <tr r="I266" s="1"/>
      </tp>
      <tp>
        <v>32.672823959900001</v>
        <stp/>
        <stp>EM_S_FA_GROSSPROFITMARGIN</stp>
        <stp>3</stp>
        <stp>300154</stp>
        <stp>12/31/2018</stp>
        <stp>1</stp>
        <tr r="I1433" s="1"/>
      </tp>
      <tp>
        <v>13.253369923399999</v>
        <stp/>
        <stp>EM_S_FA_GROSSPROFITMARGIN</stp>
        <stp>3</stp>
        <stp>600104</stp>
        <stp>12/31/2018</stp>
        <stp>1</stp>
        <tr r="I2780" s="1"/>
      </tp>
      <tp>
        <v>71.148506323000007</v>
        <stp/>
        <stp>EM_S_FA_GROSSPROFITMARGIN</stp>
        <stp>3</stp>
        <stp>002864</stp>
        <stp>12/31/2018</stp>
        <stp>1</stp>
        <tr r="I2995" s="1"/>
      </tp>
      <tp>
        <v>23.758774621899999</v>
        <stp/>
        <stp>EM_S_FA_GROSSPROFITMARGIN</stp>
        <stp>3</stp>
        <stp>002664</stp>
        <stp>12/31/2018</stp>
        <stp>1</stp>
        <tr r="I985" s="1"/>
      </tp>
      <tp>
        <v>62.181175729899998</v>
        <stp/>
        <stp>EM_S_FA_GROSSPROFITMARGIN</stp>
        <stp>3</stp>
        <stp>002464</stp>
        <stp>12/31/2018</stp>
        <stp>1</stp>
        <tr r="I3165" s="1"/>
      </tp>
      <tp>
        <v>14.8302526013</v>
        <stp/>
        <stp>EM_S_FA_GROSSPROFITMARGIN</stp>
        <stp>3</stp>
        <stp>002564</stp>
        <stp>12/31/2018</stp>
        <stp>1</stp>
        <tr r="I2712" s="1"/>
      </tp>
      <tp>
        <v>22.376387935299999</v>
        <stp/>
        <stp>EM_S_FA_GROSSPROFITMARGIN</stp>
        <stp>3</stp>
        <stp>002264</stp>
        <stp>12/31/2018</stp>
        <stp>1</stp>
        <tr r="I2960" s="1"/>
      </tp>
      <tp>
        <v>33.198784508400003</v>
        <stp/>
        <stp>EM_S_FA_GROSSPROFITMARGIN</stp>
        <stp>3</stp>
        <stp>002364</stp>
        <stp>12/31/2018</stp>
        <stp>1</stp>
        <tr r="I2413" s="1"/>
      </tp>
      <tp>
        <v>22.848761570000001</v>
        <stp/>
        <stp>EM_S_FA_GROSSPROFITMARGIN</stp>
        <stp>3</stp>
        <stp>002064</stp>
        <stp>12/31/2018</stp>
        <stp>1</stp>
        <tr r="I557" s="1"/>
      </tp>
      <tp>
        <v>2.7394231902000001</v>
        <stp/>
        <stp>EM_S_FA_GROSSPROFITMARGIN</stp>
        <stp>3</stp>
        <stp>002164</stp>
        <stp>12/31/2018</stp>
        <stp>1</stp>
        <tr r="I733" s="1"/>
      </tp>
      <tp>
        <v>44.931799731700004</v>
        <stp/>
        <stp>EM_S_FA_GROSSPROFITMARGIN</stp>
        <stp>3</stp>
        <stp>001965</stp>
        <stp>12/31/2018</stp>
        <stp>1</stp>
        <tr r="I1808" s="1"/>
      </tp>
      <tp>
        <v>13.0620461004</v>
        <stp/>
        <stp>EM_S_FA_GROSSPROFITMARGIN</stp>
        <stp>3</stp>
        <stp>601005</stp>
        <stp>12/31/2018</stp>
        <stp>1</stp>
        <tr r="I2547" s="1"/>
      </tp>
      <tp>
        <v>14.8487562606</v>
        <stp/>
        <stp>EM_S_FA_GROSSPROFITMARGIN</stp>
        <stp>3</stp>
        <stp>600805</stp>
        <stp>12/31/2018</stp>
        <stp>1</stp>
        <tr r="I1762" s="1"/>
      </tp>
      <tp>
        <v>57.646940911599998</v>
        <stp/>
        <stp>EM_S_FA_GROSSPROFITMARGIN</stp>
        <stp>3</stp>
        <stp>000965</stp>
        <stp>12/31/2018</stp>
        <stp>1</stp>
        <tr r="I3017" s="1"/>
      </tp>
      <tp>
        <v>39.3503120624</v>
        <stp/>
        <stp>EM_S_FA_GROSSPROFITMARGIN</stp>
        <stp>3</stp>
        <stp>000665</stp>
        <stp>12/31/2018</stp>
        <stp>1</stp>
        <tr r="I3156" s="1"/>
      </tp>
      <tp>
        <v>28.597851508200002</v>
        <stp/>
        <stp>EM_S_FA_GROSSPROFITMARGIN</stp>
        <stp>3</stp>
        <stp>300655</stp>
        <stp>12/31/2018</stp>
        <stp>1</stp>
        <tr r="I94" s="1"/>
      </tp>
      <tp>
        <v>4.4885565560999998</v>
        <stp/>
        <stp>EM_S_FA_GROSSPROFITMARGIN</stp>
        <stp>3</stp>
        <stp>600605</stp>
        <stp>12/31/2018</stp>
        <stp>1</stp>
        <tr r="I1488" s="1"/>
      </tp>
      <tp>
        <v>20.038388835500001</v>
        <stp/>
        <stp>EM_S_FA_GROSSPROFITMARGIN</stp>
        <stp>3</stp>
        <stp>000765</stp>
        <stp>12/31/2018</stp>
        <stp>1</stp>
        <tr r="I3533" s="1"/>
      </tp>
      <tp>
        <v>45.097111255800002</v>
        <stp/>
        <stp>EM_S_FA_GROSSPROFITMARGIN</stp>
        <stp>3</stp>
        <stp>600705</stp>
        <stp>12/31/2018</stp>
        <stp>1</stp>
        <tr r="I1501" s="1"/>
      </tp>
      <tp>
        <v>40.717994517400001</v>
        <stp/>
        <stp>EM_S_FA_GROSSPROFITMARGIN</stp>
        <stp>3</stp>
        <stp>300455</stp>
        <stp>12/31/2018</stp>
        <stp>1</stp>
        <tr r="I388" s="1"/>
      </tp>
      <tp>
        <v>30.818520654699999</v>
        <stp/>
        <stp>EM_S_FA_GROSSPROFITMARGIN</stp>
        <stp>3</stp>
        <stp>600405</stp>
        <stp>12/31/2018</stp>
        <stp>1</stp>
        <tr r="I1472" s="1"/>
      </tp>
      <tp>
        <v>23.434837265700001</v>
        <stp/>
        <stp>EM_S_FA_GROSSPROFITMARGIN</stp>
        <stp>3</stp>
        <stp>000565</stp>
        <stp>12/31/2018</stp>
        <stp>1</stp>
        <tr r="I3458" s="1"/>
      </tp>
      <tp>
        <v>22.958405647700001</v>
        <stp/>
        <stp>EM_S_FA_GROSSPROFITMARGIN</stp>
        <stp>3</stp>
        <stp>300555</stp>
        <stp>12/31/2018</stp>
        <stp>1</stp>
        <tr r="I1438" s="1"/>
      </tp>
      <tp>
        <v>24.145712487099999</v>
        <stp/>
        <stp>EM_S_FA_GROSSPROFITMARGIN</stp>
        <stp>3</stp>
        <stp>600505</stp>
        <stp>12/31/2018</stp>
        <stp>1</stp>
        <tr r="I146" s="1"/>
      </tp>
      <tp>
        <v>71.424469766000001</v>
        <stp/>
        <stp>EM_S_FA_GROSSPROFITMARGIN</stp>
        <stp>3</stp>
        <stp>300255</stp>
        <stp>12/31/2018</stp>
        <stp>1</stp>
        <tr r="I922" s="1"/>
      </tp>
      <tp>
        <v>0</v>
        <stp/>
        <stp>EM_S_FA_GROSSPROFITMARGIN</stp>
        <stp>3</stp>
        <stp>600205</stp>
        <stp>12/31/2018</stp>
        <stp>1</stp>
        <tr r="I2295" s="1"/>
      </tp>
      <tp>
        <v>29.759271208600001</v>
        <stp/>
        <stp>EM_S_FA_GROSSPROFITMARGIN</stp>
        <stp>3</stp>
        <stp>300355</stp>
        <stp>12/31/2018</stp>
        <stp>1</stp>
        <tr r="I2877" s="1"/>
      </tp>
      <tp>
        <v>42.193568467200002</v>
        <stp/>
        <stp>EM_S_FA_GROSSPROFITMARGIN</stp>
        <stp>3</stp>
        <stp>600305</stp>
        <stp>12/31/2018</stp>
        <stp>1</stp>
        <tr r="I676" s="1"/>
      </tp>
      <tp>
        <v>14.8075470445</v>
        <stp/>
        <stp>EM_S_FA_GROSSPROFITMARGIN</stp>
        <stp>3</stp>
        <stp>000065</stp>
        <stp>12/31/2018</stp>
        <stp>1</stp>
        <tr r="I1549" s="1"/>
      </tp>
      <tp>
        <v>26.406770362</v>
        <stp/>
        <stp>EM_S_FA_GROSSPROFITMARGIN</stp>
        <stp>3</stp>
        <stp>300055</stp>
        <stp>12/31/2018</stp>
        <stp>1</stp>
        <tr r="I2859" s="1"/>
      </tp>
      <tp>
        <v>0</v>
        <stp/>
        <stp>EM_S_FA_GROSSPROFITMARGIN</stp>
        <stp>3</stp>
        <stp>600005</stp>
        <stp>12/31/2018</stp>
        <stp>1</stp>
        <tr r="I2288" s="1"/>
      </tp>
      <tp>
        <v>35.060377493200001</v>
        <stp/>
        <stp>EM_S_FA_GROSSPROFITMARGIN</stp>
        <stp>3</stp>
        <stp>300155</stp>
        <stp>12/31/2018</stp>
        <stp>1</stp>
        <tr r="I1092" s="1"/>
      </tp>
      <tp>
        <v>14.1348902977</v>
        <stp/>
        <stp>EM_S_FA_GROSSPROFITMARGIN</stp>
        <stp>3</stp>
        <stp>600105</stp>
        <stp>12/31/2018</stp>
        <stp>1</stp>
        <tr r="I1397" s="1"/>
      </tp>
      <tp>
        <v>64.025963030100002</v>
        <stp/>
        <stp>EM_S_FA_GROSSPROFITMARGIN</stp>
        <stp>3</stp>
        <stp>603605</stp>
        <stp>12/31/2018</stp>
        <stp>1</stp>
        <tr r="I169" s="1"/>
      </tp>
      <tp>
        <v>53.984082528099997</v>
        <stp/>
        <stp>EM_S_FA_GROSSPROFITMARGIN</stp>
        <stp>3</stp>
        <stp>603505</stp>
        <stp>12/31/2018</stp>
        <stp>1</stp>
        <tr r="I335" s="1"/>
      </tp>
      <tp>
        <v>39.647797688399997</v>
        <stp/>
        <stp>EM_S_FA_GROSSPROFITMARGIN</stp>
        <stp>3</stp>
        <stp>603305</stp>
        <stp>12/31/2018</stp>
        <stp>1</stp>
        <tr r="I1751" s="1"/>
      </tp>
      <tp>
        <v>27.935101901100001</v>
        <stp/>
        <stp>EM_S_FA_GROSSPROFITMARGIN</stp>
        <stp>3</stp>
        <stp>603005</stp>
        <stp>12/31/2018</stp>
        <stp>1</stp>
        <tr r="I98" s="1"/>
      </tp>
      <tp>
        <v>45.953678066499997</v>
        <stp/>
        <stp>EM_S_FA_GROSSPROFITMARGIN</stp>
        <stp>3</stp>
        <stp>603105</stp>
        <stp>12/31/2018</stp>
        <stp>1</stp>
        <tr r="I3344" s="1"/>
      </tp>
      <tp>
        <v>26.347427825800001</v>
        <stp/>
        <stp>EM_S_FA_GROSSPROFITMARGIN</stp>
        <stp>3</stp>
        <stp>002865</stp>
        <stp>12/31/2018</stp>
        <stp>1</stp>
        <tr r="I3027" s="1"/>
      </tp>
      <tp>
        <v>13.4558949422</v>
        <stp/>
        <stp>EM_S_FA_GROSSPROFITMARGIN</stp>
        <stp>3</stp>
        <stp>002665</stp>
        <stp>12/31/2018</stp>
        <stp>1</stp>
        <tr r="I1281" s="1"/>
      </tp>
      <tp>
        <v>17.3760314978</v>
        <stp/>
        <stp>EM_S_FA_GROSSPROFITMARGIN</stp>
        <stp>3</stp>
        <stp>002765</stp>
        <stp>12/31/2018</stp>
        <stp>1</stp>
        <tr r="I3005" s="1"/>
      </tp>
      <tp>
        <v>37.6029045979</v>
        <stp/>
        <stp>EM_S_FA_GROSSPROFITMARGIN</stp>
        <stp>3</stp>
        <stp>002465</stp>
        <stp>12/31/2018</stp>
        <stp>1</stp>
        <tr r="I738" s="1"/>
      </tp>
      <tp>
        <v>25.6035543512</v>
        <stp/>
        <stp>EM_S_FA_GROSSPROFITMARGIN</stp>
        <stp>3</stp>
        <stp>002565</stp>
        <stp>12/31/2018</stp>
        <stp>1</stp>
        <tr r="I336" s="1"/>
      </tp>
      <tp>
        <v>15.260063796600001</v>
        <stp/>
        <stp>EM_S_FA_GROSSPROFITMARGIN</stp>
        <stp>3</stp>
        <stp>002265</stp>
        <stp>12/31/2018</stp>
        <stp>1</stp>
        <tr r="I2427" s="1"/>
      </tp>
      <tp>
        <v>34.815299279800001</v>
        <stp/>
        <stp>EM_S_FA_GROSSPROFITMARGIN</stp>
        <stp>3</stp>
        <stp>002365</stp>
        <stp>12/31/2018</stp>
        <stp>1</stp>
        <tr r="I2692" s="1"/>
      </tp>
      <tp>
        <v>26.7650206221</v>
        <stp/>
        <stp>EM_S_FA_GROSSPROFITMARGIN</stp>
        <stp>3</stp>
        <stp>002065</stp>
        <stp>12/31/2018</stp>
        <stp>1</stp>
        <tr r="I619" s="1"/>
      </tp>
      <tp>
        <v>13.3581556261</v>
        <stp/>
        <stp>EM_S_FA_GROSSPROFITMARGIN</stp>
        <stp>3</stp>
        <stp>002165</stp>
        <stp>12/31/2018</stp>
        <stp>1</stp>
        <tr r="I1121" s="1"/>
      </tp>
      <tp>
        <v>0</v>
        <stp/>
        <stp>EM_S_FA_GROSSPROFITMARGIN</stp>
        <stp>3</stp>
        <stp>601206</stp>
        <stp>12/31/2018</stp>
        <stp>1</stp>
        <tr r="I13" s="1"/>
      </tp>
      <tp>
        <v>24.816445428000002</v>
        <stp/>
        <stp>EM_S_FA_GROSSPROFITMARGIN</stp>
        <stp>3</stp>
        <stp>601006</stp>
        <stp>12/31/2018</stp>
        <stp>1</stp>
        <tr r="I2343" s="1"/>
      </tp>
      <tp>
        <v>15.762667350999999</v>
        <stp/>
        <stp>EM_S_FA_GROSSPROFITMARGIN</stp>
        <stp>3</stp>
        <stp>601106</stp>
        <stp>12/31/2018</stp>
        <stp>1</stp>
        <tr r="I1844" s="1"/>
      </tp>
      <tp>
        <v>0</v>
        <stp/>
        <stp>EM_S_FA_GROSSPROFITMARGIN</stp>
        <stp>3</stp>
        <stp>000866</stp>
        <stp>12/31/2018</stp>
        <stp>1</stp>
        <tr r="I3558" s="1"/>
      </tp>
      <tp>
        <v>2.3373754652000001</v>
        <stp/>
        <stp>EM_S_FA_GROSSPROFITMARGIN</stp>
        <stp>3</stp>
        <stp>600806</stp>
        <stp>12/31/2018</stp>
        <stp>1</stp>
        <tr r="I2326" s="1"/>
      </tp>
      <tp>
        <v>9.9642070967999992</v>
        <stp/>
        <stp>EM_S_FA_GROSSPROFITMARGIN</stp>
        <stp>3</stp>
        <stp>000966</stp>
        <stp>12/31/2018</stp>
        <stp>1</stp>
        <tr r="I869" s="1"/>
      </tp>
      <tp>
        <v>50.631906267600002</v>
        <stp/>
        <stp>EM_S_FA_GROSSPROFITMARGIN</stp>
        <stp>3</stp>
        <stp>000666</stp>
        <stp>12/31/2018</stp>
        <stp>1</stp>
        <tr r="I1969" s="1"/>
      </tp>
      <tp>
        <v>37.016575524799997</v>
        <stp/>
        <stp>EM_S_FA_GROSSPROFITMARGIN</stp>
        <stp>3</stp>
        <stp>300656</stp>
        <stp>12/31/2018</stp>
        <stp>1</stp>
        <tr r="I2217" s="1"/>
      </tp>
      <tp>
        <v>15.3527201517</v>
        <stp/>
        <stp>EM_S_FA_GROSSPROFITMARGIN</stp>
        <stp>3</stp>
        <stp>600606</stp>
        <stp>12/31/2018</stp>
        <stp>1</stp>
        <tr r="I1591" s="1"/>
      </tp>
      <tp>
        <v>83.702340203099993</v>
        <stp/>
        <stp>EM_S_FA_GROSSPROFITMARGIN</stp>
        <stp>3</stp>
        <stp>000766</stp>
        <stp>12/31/2018</stp>
        <stp>1</stp>
        <tr r="I2592" s="1"/>
      </tp>
      <tp>
        <v>27.1208421923</v>
        <stp/>
        <stp>EM_S_FA_GROSSPROFITMARGIN</stp>
        <stp>3</stp>
        <stp>600706</stp>
        <stp>12/31/2018</stp>
        <stp>1</stp>
        <tr r="I2912" s="1"/>
      </tp>
      <tp>
        <v>40.728113593099998</v>
        <stp/>
        <stp>EM_S_FA_GROSSPROFITMARGIN</stp>
        <stp>3</stp>
        <stp>300456</stp>
        <stp>12/31/2018</stp>
        <stp>1</stp>
        <tr r="I1723" s="1"/>
      </tp>
      <tp>
        <v>28.742496399699998</v>
        <stp/>
        <stp>EM_S_FA_GROSSPROFITMARGIN</stp>
        <stp>3</stp>
        <stp>600406</stp>
        <stp>12/31/2018</stp>
        <stp>1</stp>
        <tr r="I1471" s="1"/>
      </tp>
      <tp>
        <v>53.395718615100002</v>
        <stp/>
        <stp>EM_S_FA_GROSSPROFITMARGIN</stp>
        <stp>3</stp>
        <stp>000566</stp>
        <stp>12/31/2018</stp>
        <stp>1</stp>
        <tr r="I1499" s="1"/>
      </tp>
      <tp>
        <v>36.286562238400002</v>
        <stp/>
        <stp>EM_S_FA_GROSSPROFITMARGIN</stp>
        <stp>3</stp>
        <stp>300556</stp>
        <stp>12/31/2018</stp>
        <stp>1</stp>
        <tr r="I2073" s="1"/>
      </tp>
      <tp>
        <v>3.6964291514999998</v>
        <stp/>
        <stp>EM_S_FA_GROSSPROFITMARGIN</stp>
        <stp>3</stp>
        <stp>600506</stp>
        <stp>12/31/2018</stp>
        <stp>1</stp>
        <tr r="I2132" s="1"/>
      </tp>
      <tp>
        <v>7.3172010329999999</v>
        <stp/>
        <stp>EM_S_FA_GROSSPROFITMARGIN</stp>
        <stp>3</stp>
        <stp>300256</stp>
        <stp>12/31/2018</stp>
        <stp>1</stp>
        <tr r="I154" s="1"/>
      </tp>
      <tp>
        <v>6.5162973653999998</v>
        <stp/>
        <stp>EM_S_FA_GROSSPROFITMARGIN</stp>
        <stp>3</stp>
        <stp>600206</stp>
        <stp>12/31/2018</stp>
        <stp>1</stp>
        <tr r="I232" s="1"/>
      </tp>
      <tp>
        <v>34.497239747199998</v>
        <stp/>
        <stp>EM_S_FA_GROSSPROFITMARGIN</stp>
        <stp>3</stp>
        <stp>300356</stp>
        <stp>12/31/2018</stp>
        <stp>1</stp>
        <tr r="I792" s="1"/>
      </tp>
      <tp>
        <v>15.9258197816</v>
        <stp/>
        <stp>EM_S_FA_GROSSPROFITMARGIN</stp>
        <stp>3</stp>
        <stp>600306</stp>
        <stp>12/31/2018</stp>
        <stp>1</stp>
        <tr r="I2801" s="1"/>
      </tp>
      <tp>
        <v>21.927186724199998</v>
        <stp/>
        <stp>EM_S_FA_GROSSPROFITMARGIN</stp>
        <stp>3</stp>
        <stp>000066</stp>
        <stp>12/31/2018</stp>
        <stp>1</stp>
        <tr r="I34" s="1"/>
      </tp>
      <tp>
        <v>18.4304056225</v>
        <stp/>
        <stp>EM_S_FA_GROSSPROFITMARGIN</stp>
        <stp>3</stp>
        <stp>300056</stp>
        <stp>12/31/2018</stp>
        <stp>1</stp>
        <tr r="I1201" s="1"/>
      </tp>
      <tp>
        <v>11.4463804546</v>
        <stp/>
        <stp>EM_S_FA_GROSSPROFITMARGIN</stp>
        <stp>3</stp>
        <stp>600006</stp>
        <stp>12/31/2018</stp>
        <stp>1</stp>
        <tr r="I1054" s="1"/>
      </tp>
      <tp>
        <v>0</v>
        <stp/>
        <stp>EM_S_FA_GROSSPROFITMARGIN</stp>
        <stp>3</stp>
        <stp>000166</stp>
        <stp>12/31/2018</stp>
        <stp>1</stp>
        <tr r="I3413" s="1"/>
      </tp>
      <tp>
        <v>65.123784005299996</v>
        <stp/>
        <stp>EM_S_FA_GROSSPROFITMARGIN</stp>
        <stp>3</stp>
        <stp>300156</stp>
        <stp>12/31/2018</stp>
        <stp>1</stp>
        <tr r="I3381" s="1"/>
      </tp>
      <tp>
        <v>84.998456733400005</v>
        <stp/>
        <stp>EM_S_FA_GROSSPROFITMARGIN</stp>
        <stp>3</stp>
        <stp>600106</stp>
        <stp>12/31/2018</stp>
        <stp>1</stp>
        <tr r="I2193" s="1"/>
      </tp>
      <tp>
        <v>19.6673754527</v>
        <stp/>
        <stp>EM_S_FA_GROSSPROFITMARGIN</stp>
        <stp>3</stp>
        <stp>603806</stp>
        <stp>12/31/2018</stp>
        <stp>1</stp>
        <tr r="I249" s="1"/>
      </tp>
      <tp>
        <v>30.137287604400001</v>
        <stp/>
        <stp>EM_S_FA_GROSSPROFITMARGIN</stp>
        <stp>3</stp>
        <stp>603906</stp>
        <stp>12/31/2018</stp>
        <stp>1</stp>
        <tr r="I1119" s="1"/>
      </tp>
      <tp>
        <v>16.547223877499999</v>
        <stp/>
        <stp>EM_S_FA_GROSSPROFITMARGIN</stp>
        <stp>3</stp>
        <stp>603606</stp>
        <stp>12/31/2018</stp>
        <stp>1</stp>
        <tr r="I1264" s="1"/>
      </tp>
      <tp>
        <v>37.394618004199998</v>
        <stp/>
        <stp>EM_S_FA_GROSSPROFITMARGIN</stp>
        <stp>3</stp>
        <stp>603706</stp>
        <stp>12/31/2018</stp>
        <stp>1</stp>
        <tr r="I3177" s="1"/>
      </tp>
      <tp>
        <v>22.0959898682</v>
        <stp/>
        <stp>EM_S_FA_GROSSPROFITMARGIN</stp>
        <stp>3</stp>
        <stp>603506</stp>
        <stp>12/31/2018</stp>
        <stp>1</stp>
        <tr r="I2595" s="1"/>
      </tp>
      <tp>
        <v>40.238320450099998</v>
        <stp/>
        <stp>EM_S_FA_GROSSPROFITMARGIN</stp>
        <stp>3</stp>
        <stp>603306</stp>
        <stp>12/31/2018</stp>
        <stp>1</stp>
        <tr r="I2468" s="1"/>
      </tp>
      <tp>
        <v>20.800730672899999</v>
        <stp/>
        <stp>EM_S_FA_GROSSPROFITMARGIN</stp>
        <stp>3</stp>
        <stp>603006</stp>
        <stp>12/31/2018</stp>
        <stp>1</stp>
        <tr r="I1371" s="1"/>
      </tp>
      <tp>
        <v>31.952856531599998</v>
        <stp/>
        <stp>EM_S_FA_GROSSPROFITMARGIN</stp>
        <stp>3</stp>
        <stp>603106</stp>
        <stp>12/31/2018</stp>
        <stp>1</stp>
        <tr r="I2923" s="1"/>
      </tp>
      <tp>
        <v>23.075591575000001</v>
        <stp/>
        <stp>EM_S_FA_GROSSPROFITMARGIN</stp>
        <stp>3</stp>
        <stp>002866</stp>
        <stp>12/31/2018</stp>
        <stp>1</stp>
        <tr r="I796" s="1"/>
      </tp>
      <tp>
        <v>14.986188805199999</v>
        <stp/>
        <stp>EM_S_FA_GROSSPROFITMARGIN</stp>
        <stp>3</stp>
        <stp>002666</stp>
        <stp>12/31/2018</stp>
        <stp>1</stp>
        <tr r="I1190" s="1"/>
      </tp>
      <tp>
        <v>4.7793975630999999</v>
        <stp/>
        <stp>EM_S_FA_GROSSPROFITMARGIN</stp>
        <stp>3</stp>
        <stp>002766</stp>
        <stp>12/31/2018</stp>
        <stp>1</stp>
        <tr r="I3305" s="1"/>
      </tp>
      <tp>
        <v>67.596854368699994</v>
        <stp/>
        <stp>EM_S_FA_GROSSPROFITMARGIN</stp>
        <stp>3</stp>
        <stp>002466</stp>
        <stp>12/31/2018</stp>
        <stp>1</stp>
        <tr r="I2482" s="1"/>
      </tp>
      <tp>
        <v>77.147113669800007</v>
        <stp/>
        <stp>EM_S_FA_GROSSPROFITMARGIN</stp>
        <stp>3</stp>
        <stp>002566</stp>
        <stp>12/31/2018</stp>
        <stp>1</stp>
        <tr r="I1514" s="1"/>
      </tp>
      <tp>
        <v>14.0167863073</v>
        <stp/>
        <stp>EM_S_FA_GROSSPROFITMARGIN</stp>
        <stp>3</stp>
        <stp>002266</stp>
        <stp>12/31/2018</stp>
        <stp>1</stp>
        <tr r="I2187" s="1"/>
      </tp>
      <tp>
        <v>61.277127234300004</v>
        <stp/>
        <stp>EM_S_FA_GROSSPROFITMARGIN</stp>
        <stp>3</stp>
        <stp>002366</stp>
        <stp>12/31/2018</stp>
        <stp>1</stp>
        <tr r="I3168" s="1"/>
      </tp>
      <tp>
        <v>18.165139126100001</v>
        <stp/>
        <stp>EM_S_FA_GROSSPROFITMARGIN</stp>
        <stp>3</stp>
        <stp>002066</stp>
        <stp>12/31/2018</stp>
        <stp>1</stp>
        <tr r="I1696" s="1"/>
      </tp>
      <tp>
        <v>32.843257190700001</v>
        <stp/>
        <stp>EM_S_FA_GROSSPROFITMARGIN</stp>
        <stp>3</stp>
        <stp>002166</stp>
        <stp>12/31/2018</stp>
        <stp>1</stp>
        <tr r="I1282" s="1"/>
      </tp>
      <tp>
        <v>14.182992668500001</v>
        <stp/>
        <stp>EM_S_FA_GROSSPROFITMARGIN</stp>
        <stp>3</stp>
        <stp>601607</stp>
        <stp>12/31/2018</stp>
        <stp>1</stp>
        <tr r="I1979" s="1"/>
      </tp>
      <tp>
        <v>59.890856951899998</v>
        <stp/>
        <stp>EM_S_FA_GROSSPROFITMARGIN</stp>
        <stp>3</stp>
        <stp>601007</stp>
        <stp>12/31/2018</stp>
        <stp>1</stp>
        <tr r="I1482" s="1"/>
      </tp>
      <tp>
        <v>37.660160191199999</v>
        <stp/>
        <stp>EM_S_FA_GROSSPROFITMARGIN</stp>
        <stp>3</stp>
        <stp>601107</stp>
        <stp>12/31/2018</stp>
        <stp>1</stp>
        <tr r="I1498" s="1"/>
      </tp>
      <tp>
        <v>13.648028780100001</v>
        <stp/>
        <stp>EM_S_FA_GROSSPROFITMARGIN</stp>
        <stp>3</stp>
        <stp>600807</stp>
        <stp>12/31/2018</stp>
        <stp>1</stp>
        <tr r="I2570" s="1"/>
      </tp>
      <tp>
        <v>25.077220822099999</v>
        <stp/>
        <stp>EM_S_FA_GROSSPROFITMARGIN</stp>
        <stp>3</stp>
        <stp>000967</stp>
        <stp>12/31/2018</stp>
        <stp>1</stp>
        <tr r="I1753" s="1"/>
      </tp>
      <tp>
        <v>24.8802781236</v>
        <stp/>
        <stp>EM_S_FA_GROSSPROFITMARGIN</stp>
        <stp>3</stp>
        <stp>000667</stp>
        <stp>12/31/2018</stp>
        <stp>1</stp>
        <tr r="I3499" s="1"/>
      </tp>
      <tp>
        <v>11.6355213182</v>
        <stp/>
        <stp>EM_S_FA_GROSSPROFITMARGIN</stp>
        <stp>3</stp>
        <stp>300657</stp>
        <stp>12/31/2018</stp>
        <stp>1</stp>
        <tr r="I1186" s="1"/>
      </tp>
      <tp>
        <v>0</v>
        <stp/>
        <stp>EM_S_FA_GROSSPROFITMARGIN</stp>
        <stp>3</stp>
        <stp>600607</stp>
        <stp>12/31/2018</stp>
        <stp>1</stp>
        <tr r="I2306" s="1"/>
      </tp>
      <tp>
        <v>5.5468257464999997</v>
        <stp/>
        <stp>EM_S_FA_GROSSPROFITMARGIN</stp>
        <stp>3</stp>
        <stp>000767</stp>
        <stp>12/31/2018</stp>
        <stp>1</stp>
        <tr r="I2442" s="1"/>
      </tp>
      <tp>
        <v>-3.1105002665999999</v>
        <stp/>
        <stp>EM_S_FA_GROSSPROFITMARGIN</stp>
        <stp>3</stp>
        <stp>600707</stp>
        <stp>12/31/2018</stp>
        <stp>1</stp>
        <tr r="I2050" s="1"/>
      </tp>
      <tp>
        <v>32.800756923400002</v>
        <stp/>
        <stp>EM_S_FA_GROSSPROFITMARGIN</stp>
        <stp>3</stp>
        <stp>300457</stp>
        <stp>12/31/2018</stp>
        <stp>1</stp>
        <tr r="I1422" s="1"/>
      </tp>
      <tp>
        <v>0</v>
        <stp/>
        <stp>EM_S_FA_GROSSPROFITMARGIN</stp>
        <stp>3</stp>
        <stp>000567</stp>
        <stp>12/31/2018</stp>
        <stp>1</stp>
        <tr r="I3459" s="1"/>
      </tp>
      <tp>
        <v>40.873434230100003</v>
        <stp/>
        <stp>EM_S_FA_GROSSPROFITMARGIN</stp>
        <stp>3</stp>
        <stp>300557</stp>
        <stp>12/31/2018</stp>
        <stp>1</stp>
        <tr r="I1012" s="1"/>
      </tp>
      <tp>
        <v>32.867228947900003</v>
        <stp/>
        <stp>EM_S_FA_GROSSPROFITMARGIN</stp>
        <stp>3</stp>
        <stp>600507</stp>
        <stp>12/31/2018</stp>
        <stp>1</stp>
        <tr r="I2209" s="1"/>
      </tp>
      <tp>
        <v>25.858034109199998</v>
        <stp/>
        <stp>EM_S_FA_GROSSPROFITMARGIN</stp>
        <stp>3</stp>
        <stp>300257</stp>
        <stp>12/31/2018</stp>
        <stp>1</stp>
        <tr r="I1743" s="1"/>
      </tp>
      <tp>
        <v>6.3184658774000004</v>
        <stp/>
        <stp>EM_S_FA_GROSSPROFITMARGIN</stp>
        <stp>3</stp>
        <stp>600207</stp>
        <stp>12/31/2018</stp>
        <stp>1</stp>
        <tr r="I1807" s="1"/>
      </tp>
      <tp>
        <v>94.304845181299996</v>
        <stp/>
        <stp>EM_S_FA_GROSSPROFITMARGIN</stp>
        <stp>3</stp>
        <stp>300357</stp>
        <stp>12/31/2018</stp>
        <stp>1</stp>
        <tr r="I1410" s="1"/>
      </tp>
      <tp>
        <v>11.039541531499999</v>
        <stp/>
        <stp>EM_S_FA_GROSSPROFITMARGIN</stp>
        <stp>3</stp>
        <stp>600307</stp>
        <stp>12/31/2018</stp>
        <stp>1</stp>
        <tr r="I1905" s="1"/>
      </tp>
      <tp>
        <v>13.554042605199999</v>
        <stp/>
        <stp>EM_S_FA_GROSSPROFITMARGIN</stp>
        <stp>3</stp>
        <stp>300057</stp>
        <stp>12/31/2018</stp>
        <stp>1</stp>
        <tr r="I2435" s="1"/>
      </tp>
      <tp>
        <v>51.557552043400001</v>
        <stp/>
        <stp>EM_S_FA_GROSSPROFITMARGIN</stp>
        <stp>3</stp>
        <stp>600007</stp>
        <stp>12/31/2018</stp>
        <stp>1</stp>
        <tr r="I722" s="1"/>
      </tp>
      <tp>
        <v>25.171501712600001</v>
        <stp/>
        <stp>EM_S_FA_GROSSPROFITMARGIN</stp>
        <stp>3</stp>
        <stp>300157</stp>
        <stp>12/31/2018</stp>
        <stp>1</stp>
        <tr r="I2441" s="1"/>
      </tp>
      <tp>
        <v>42.628170244499998</v>
        <stp/>
        <stp>EM_S_FA_GROSSPROFITMARGIN</stp>
        <stp>3</stp>
        <stp>600107</stp>
        <stp>12/31/2018</stp>
        <stp>1</stp>
        <tr r="I1238" s="1"/>
      </tp>
      <tp>
        <v>30.6960448118</v>
        <stp/>
        <stp>EM_S_FA_GROSSPROFITMARGIN</stp>
        <stp>3</stp>
        <stp>603607</stp>
        <stp>12/31/2018</stp>
        <stp>1</stp>
        <tr r="I1256" s="1"/>
      </tp>
      <tp>
        <v>49.466324545299997</v>
        <stp/>
        <stp>EM_S_FA_GROSSPROFITMARGIN</stp>
        <stp>3</stp>
        <stp>603707</stp>
        <stp>12/31/2018</stp>
        <stp>1</stp>
        <tr r="I131" s="1"/>
      </tp>
      <tp>
        <v>25.338747313700001</v>
        <stp/>
        <stp>EM_S_FA_GROSSPROFITMARGIN</stp>
        <stp>3</stp>
        <stp>603507</stp>
        <stp>12/31/2018</stp>
        <stp>1</stp>
        <tr r="I2178" s="1"/>
      </tp>
      <tp>
        <v>28.979272065499998</v>
        <stp/>
        <stp>EM_S_FA_GROSSPROFITMARGIN</stp>
        <stp>3</stp>
        <stp>603007</stp>
        <stp>12/31/2018</stp>
        <stp>1</stp>
        <tr r="I2914" s="1"/>
      </tp>
      <tp>
        <v>33.999727164799999</v>
        <stp/>
        <stp>EM_S_FA_GROSSPROFITMARGIN</stp>
        <stp>3</stp>
        <stp>002867</stp>
        <stp>12/31/2018</stp>
        <stp>1</stp>
        <tr r="I3224" s="1"/>
      </tp>
      <tp>
        <v>41.054527359300003</v>
        <stp/>
        <stp>EM_S_FA_GROSSPROFITMARGIN</stp>
        <stp>3</stp>
        <stp>002667</stp>
        <stp>12/31/2018</stp>
        <stp>1</stp>
        <tr r="I1882" s="1"/>
      </tp>
      <tp>
        <v>33.538034602400003</v>
        <stp/>
        <stp>EM_S_FA_GROSSPROFITMARGIN</stp>
        <stp>3</stp>
        <stp>002767</stp>
        <stp>12/31/2018</stp>
        <stp>1</stp>
        <tr r="I1895" s="1"/>
      </tp>
      <tp>
        <v>58.801592832300003</v>
        <stp/>
        <stp>EM_S_FA_GROSSPROFITMARGIN</stp>
        <stp>3</stp>
        <stp>002467</stp>
        <stp>12/31/2018</stp>
        <stp>1</stp>
        <tr r="I1888" s="1"/>
      </tp>
      <tp>
        <v>8.3437156795000007</v>
        <stp/>
        <stp>EM_S_FA_GROSSPROFITMARGIN</stp>
        <stp>3</stp>
        <stp>002567</stp>
        <stp>12/31/2018</stp>
        <stp>1</stp>
        <tr r="I485" s="1"/>
      </tp>
      <tp>
        <v>10.663258987100001</v>
        <stp/>
        <stp>EM_S_FA_GROSSPROFITMARGIN</stp>
        <stp>3</stp>
        <stp>002267</stp>
        <stp>12/31/2018</stp>
        <stp>1</stp>
        <tr r="I2497" s="1"/>
      </tp>
      <tp>
        <v>26.0288049097</v>
        <stp/>
        <stp>EM_S_FA_GROSSPROFITMARGIN</stp>
        <stp>3</stp>
        <stp>002367</stp>
        <stp>12/31/2018</stp>
        <stp>1</stp>
        <tr r="I773" s="1"/>
      </tp>
      <tp>
        <v>12.607149761700001</v>
        <stp/>
        <stp>EM_S_FA_GROSSPROFITMARGIN</stp>
        <stp>3</stp>
        <stp>002067</stp>
        <stp>12/31/2018</stp>
        <stp>1</stp>
        <tr r="I2531" s="1"/>
      </tp>
      <tp>
        <v>29.877525713400001</v>
        <stp/>
        <stp>EM_S_FA_GROSSPROFITMARGIN</stp>
        <stp>3</stp>
        <stp>002167</stp>
        <stp>12/31/2018</stp>
        <stp>1</stp>
        <tr r="I860" s="1"/>
      </tp>
      <tp>
        <v>13.4865321682</v>
        <stp/>
        <stp>EM_S_FA_GROSSPROFITMARGIN</stp>
        <stp>3</stp>
        <stp>601800</stp>
        <stp>12/31/2018</stp>
        <stp>1</stp>
        <tr r="I3086" s="1"/>
      </tp>
      <tp>
        <v>31.507704498599999</v>
        <stp/>
        <stp>EM_S_FA_GROSSPROFITMARGIN</stp>
        <stp>3</stp>
        <stp>601900</stp>
        <stp>12/31/2018</stp>
        <stp>1</stp>
        <tr r="I1823" s="1"/>
      </tp>
      <tp>
        <v>8.8384500603999996</v>
        <stp/>
        <stp>EM_S_FA_GROSSPROFITMARGIN</stp>
        <stp>3</stp>
        <stp>601600</stp>
        <stp>12/31/2018</stp>
        <stp>1</stp>
        <tr r="I2346" s="1"/>
      </tp>
      <tp>
        <v>12.533161011300001</v>
        <stp/>
        <stp>EM_S_FA_GROSSPROFITMARGIN</stp>
        <stp>3</stp>
        <stp>601700</stp>
        <stp>12/31/2018</stp>
        <stp>1</stp>
        <tr r="I297" s="1"/>
      </tp>
      <tp>
        <v>15.0276066002</v>
        <stp/>
        <stp>EM_S_FA_GROSSPROFITMARGIN</stp>
        <stp>3</stp>
        <stp>601500</stp>
        <stp>12/31/2018</stp>
        <stp>1</stp>
        <tr r="I2436" s="1"/>
      </tp>
      <tp>
        <v>36.7520831259</v>
        <stp/>
        <stp>EM_S_FA_GROSSPROFITMARGIN</stp>
        <stp>3</stp>
        <stp>601200</stp>
        <stp>12/31/2018</stp>
        <stp>1</stp>
        <tr r="I2980" s="1"/>
      </tp>
      <tp>
        <v>20.722167250599998</v>
        <stp/>
        <stp>EM_S_FA_GROSSPROFITMARGIN</stp>
        <stp>3</stp>
        <stp>601000</stp>
        <stp>12/31/2018</stp>
        <stp>1</stp>
        <tr r="I1833" s="1"/>
      </tp>
      <tp>
        <v>36.5773837829</v>
        <stp/>
        <stp>EM_S_FA_GROSSPROFITMARGIN</stp>
        <stp>3</stp>
        <stp>601100</stp>
        <stp>12/31/2018</stp>
        <stp>1</stp>
        <tr r="I79" s="1"/>
      </tp>
      <tp>
        <v>39.958820276099999</v>
        <stp/>
        <stp>EM_S_FA_GROSSPROFITMARGIN</stp>
        <stp>3</stp>
        <stp>000860</stp>
        <stp>12/31/2018</stp>
        <stp>1</stp>
        <tr r="I371" s="1"/>
      </tp>
      <tp>
        <v>19.312638867</v>
        <stp/>
        <stp>EM_S_FA_GROSSPROFITMARGIN</stp>
        <stp>3</stp>
        <stp>600800</stp>
        <stp>12/31/2018</stp>
        <stp>1</stp>
        <tr r="I1729" s="1"/>
      </tp>
      <tp>
        <v>8.8436921067000007</v>
        <stp/>
        <stp>EM_S_FA_GROSSPROFITMARGIN</stp>
        <stp>3</stp>
        <stp>000960</stp>
        <stp>12/31/2018</stp>
        <stp>1</stp>
        <tr r="I1651" s="1"/>
      </tp>
      <tp>
        <v>62.890677812900002</v>
        <stp/>
        <stp>EM_S_FA_GROSSPROFITMARGIN</stp>
        <stp>3</stp>
        <stp>600900</stp>
        <stp>12/31/2018</stp>
        <stp>1</stp>
        <tr r="I1447" s="1"/>
      </tp>
      <tp>
        <v>13.1538436901</v>
        <stp/>
        <stp>EM_S_FA_GROSSPROFITMARGIN</stp>
        <stp>3</stp>
        <stp>000660</stp>
        <stp>12/31/2018</stp>
        <stp>1</stp>
        <tr r="I3496" s="1"/>
      </tp>
      <tp>
        <v>33.318015894600002</v>
        <stp/>
        <stp>EM_S_FA_GROSSPROFITMARGIN</stp>
        <stp>3</stp>
        <stp>300650</stp>
        <stp>12/31/2018</stp>
        <stp>1</stp>
        <tr r="I1066" s="1"/>
      </tp>
      <tp>
        <v>37.702291657099998</v>
        <stp/>
        <stp>EM_S_FA_GROSSPROFITMARGIN</stp>
        <stp>3</stp>
        <stp>600600</stp>
        <stp>12/31/2018</stp>
        <stp>1</stp>
        <tr r="I615" s="1"/>
      </tp>
      <tp>
        <v>2.7151881172999999</v>
        <stp/>
        <stp>EM_S_FA_GROSSPROFITMARGIN</stp>
        <stp>3</stp>
        <stp>000760</stp>
        <stp>12/31/2018</stp>
        <stp>1</stp>
        <tr r="I3530" s="1"/>
      </tp>
      <tp>
        <v>32.788133633299999</v>
        <stp/>
        <stp>EM_S_FA_GROSSPROFITMARGIN</stp>
        <stp>3</stp>
        <stp>300750</stp>
        <stp>12/31/2018</stp>
        <stp>1</stp>
        <tr r="I579" s="1"/>
      </tp>
      <tp>
        <v>48.952203583100001</v>
        <stp/>
        <stp>EM_S_FA_GROSSPROFITMARGIN</stp>
        <stp>3</stp>
        <stp>600700</stp>
        <stp>12/31/2018</stp>
        <stp>1</stp>
        <tr r="I2317" s="1"/>
      </tp>
      <tp>
        <v>39.0824581639</v>
        <stp/>
        <stp>EM_S_FA_GROSSPROFITMARGIN</stp>
        <stp>3</stp>
        <stp>300450</stp>
        <stp>12/31/2018</stp>
        <stp>1</stp>
        <tr r="I468" s="1"/>
      </tp>
      <tp>
        <v>27.907324355</v>
        <stp/>
        <stp>EM_S_FA_GROSSPROFITMARGIN</stp>
        <stp>3</stp>
        <stp>600400</stp>
        <stp>12/31/2018</stp>
        <stp>1</stp>
        <tr r="I2812" s="1"/>
      </tp>
      <tp>
        <v>30.195760539999998</v>
        <stp/>
        <stp>EM_S_FA_GROSSPROFITMARGIN</stp>
        <stp>3</stp>
        <stp>000560</stp>
        <stp>12/31/2018</stp>
        <stp>1</stp>
        <tr r="I2688" s="1"/>
      </tp>
      <tp>
        <v>46.113961082499998</v>
        <stp/>
        <stp>EM_S_FA_GROSSPROFITMARGIN</stp>
        <stp>3</stp>
        <stp>300550</stp>
        <stp>12/31/2018</stp>
        <stp>1</stp>
        <tr r="I3349" s="1"/>
      </tp>
      <tp>
        <v>12.029650713300001</v>
        <stp/>
        <stp>EM_S_FA_GROSSPROFITMARGIN</stp>
        <stp>3</stp>
        <stp>600500</stp>
        <stp>12/31/2018</stp>
        <stp>1</stp>
        <tr r="I3109" s="1"/>
      </tp>
      <tp>
        <v>53.780997243500003</v>
        <stp/>
        <stp>EM_S_FA_GROSSPROFITMARGIN</stp>
        <stp>3</stp>
        <stp>300250</stp>
        <stp>12/31/2018</stp>
        <stp>1</stp>
        <tr r="I1446" s="1"/>
      </tp>
      <tp>
        <v>35.4635813115</v>
        <stp/>
        <stp>EM_S_FA_GROSSPROFITMARGIN</stp>
        <stp>3</stp>
        <stp>600200</stp>
        <stp>12/31/2018</stp>
        <stp>1</stp>
        <tr r="I2906" s="1"/>
      </tp>
      <tp>
        <v>28.892484571099999</v>
        <stp/>
        <stp>EM_S_FA_GROSSPROFITMARGIN</stp>
        <stp>3</stp>
        <stp>300350</stp>
        <stp>12/31/2018</stp>
        <stp>1</stp>
        <tr r="I2687" s="1"/>
      </tp>
      <tp>
        <v>23.0551862879</v>
        <stp/>
        <stp>EM_S_FA_GROSSPROFITMARGIN</stp>
        <stp>3</stp>
        <stp>600300</stp>
        <stp>12/31/2018</stp>
        <stp>1</stp>
        <tr r="I1995" s="1"/>
      </tp>
      <tp>
        <v>13.496376381699999</v>
        <stp/>
        <stp>EM_S_FA_GROSSPROFITMARGIN</stp>
        <stp>3</stp>
        <stp>000060</stp>
        <stp>12/31/2018</stp>
        <stp>1</stp>
        <tr r="I1710" s="1"/>
      </tp>
      <tp>
        <v>40.437017408599999</v>
        <stp/>
        <stp>EM_S_FA_GROSSPROFITMARGIN</stp>
        <stp>3</stp>
        <stp>300050</stp>
        <stp>12/31/2018</stp>
        <stp>1</stp>
        <tr r="I2656" s="1"/>
      </tp>
      <tp>
        <v>0</v>
        <stp/>
        <stp>EM_S_FA_GROSSPROFITMARGIN</stp>
        <stp>3</stp>
        <stp>600000</stp>
        <stp>12/31/2018</stp>
        <stp>1</stp>
        <tr r="I1062" s="1"/>
      </tp>
      <tp>
        <v>44.670711490400002</v>
        <stp/>
        <stp>EM_S_FA_GROSSPROFITMARGIN</stp>
        <stp>3</stp>
        <stp>300150</stp>
        <stp>12/31/2018</stp>
        <stp>1</stp>
        <tr r="I2203" s="1"/>
      </tp>
      <tp>
        <v>20.562147489899999</v>
        <stp/>
        <stp>EM_S_FA_GROSSPROFITMARGIN</stp>
        <stp>3</stp>
        <stp>600100</stp>
        <stp>12/31/2018</stp>
        <stp>1</stp>
        <tr r="I2791" s="1"/>
      </tp>
      <tp>
        <v>21.9183821612</v>
        <stp/>
        <stp>EM_S_FA_GROSSPROFITMARGIN</stp>
        <stp>3</stp>
        <stp>603800</stp>
        <stp>12/31/2018</stp>
        <stp>1</stp>
        <tr r="I1378" s="1"/>
      </tp>
      <tp>
        <v>55.494937890099997</v>
        <stp/>
        <stp>EM_S_FA_GROSSPROFITMARGIN</stp>
        <stp>3</stp>
        <stp>603900</stp>
        <stp>12/31/2018</stp>
        <stp>1</stp>
        <tr r="I3083" s="1"/>
      </tp>
      <tp>
        <v>15.6403634005</v>
        <stp/>
        <stp>EM_S_FA_GROSSPROFITMARGIN</stp>
        <stp>3</stp>
        <stp>603600</stp>
        <stp>12/31/2018</stp>
        <stp>1</stp>
        <tr r="I311" s="1"/>
      </tp>
      <tp>
        <v>39.875909801600002</v>
        <stp/>
        <stp>EM_S_FA_GROSSPROFITMARGIN</stp>
        <stp>3</stp>
        <stp>603500</stp>
        <stp>12/31/2018</stp>
        <stp>1</stp>
        <tr r="I1345" s="1"/>
      </tp>
      <tp>
        <v>38.196319254099997</v>
        <stp/>
        <stp>EM_S_FA_GROSSPROFITMARGIN</stp>
        <stp>3</stp>
        <stp>603200</stp>
        <stp>12/31/2018</stp>
        <stp>1</stp>
        <tr r="I3342" s="1"/>
      </tp>
      <tp>
        <v>70.127964693199999</v>
        <stp/>
        <stp>EM_S_FA_GROSSPROFITMARGIN</stp>
        <stp>3</stp>
        <stp>603300</stp>
        <stp>12/31/2018</stp>
        <stp>1</stp>
        <tr r="I370" s="1"/>
      </tp>
      <tp>
        <v>44.685904225500003</v>
        <stp/>
        <stp>EM_S_FA_GROSSPROFITMARGIN</stp>
        <stp>3</stp>
        <stp>603000</stp>
        <stp>12/31/2018</stp>
        <stp>1</stp>
        <tr r="I61" s="1"/>
      </tp>
      <tp>
        <v>31.264286572300001</v>
        <stp/>
        <stp>EM_S_FA_GROSSPROFITMARGIN</stp>
        <stp>3</stp>
        <stp>603100</stp>
        <stp>12/31/2018</stp>
        <stp>1</stp>
        <tr r="I1357" s="1"/>
      </tp>
      <tp>
        <v>39.680949188600003</v>
        <stp/>
        <stp>EM_S_FA_GROSSPROFITMARGIN</stp>
        <stp>3</stp>
        <stp>002860</stp>
        <stp>12/31/2018</stp>
        <stp>1</stp>
        <tr r="I1191" s="1"/>
      </tp>
      <tp>
        <v>18.962749327899999</v>
        <stp/>
        <stp>EM_S_FA_GROSSPROFITMARGIN</stp>
        <stp>3</stp>
        <stp>002660</stp>
        <stp>12/31/2018</stp>
        <stp>1</stp>
        <tr r="I568" s="1"/>
      </tp>
      <tp>
        <v>22.864804264100002</v>
        <stp/>
        <stp>EM_S_FA_GROSSPROFITMARGIN</stp>
        <stp>3</stp>
        <stp>002760</stp>
        <stp>12/31/2018</stp>
        <stp>1</stp>
        <tr r="I1204" s="1"/>
      </tp>
      <tp>
        <v>36.1039925137</v>
        <stp/>
        <stp>EM_S_FA_GROSSPROFITMARGIN</stp>
        <stp>3</stp>
        <stp>002460</stp>
        <stp>12/31/2018</stp>
        <stp>1</stp>
        <tr r="I490" s="1"/>
      </tp>
      <tp>
        <v>8.8731300828999995</v>
        <stp/>
        <stp>EM_S_FA_GROSSPROFITMARGIN</stp>
        <stp>3</stp>
        <stp>002560</stp>
        <stp>12/31/2018</stp>
        <stp>1</stp>
        <tr r="I1921" s="1"/>
      </tp>
      <tp>
        <v>18.739099649100002</v>
        <stp/>
        <stp>EM_S_FA_GROSSPROFITMARGIN</stp>
        <stp>3</stp>
        <stp>002260</stp>
        <stp>12/31/2018</stp>
        <stp>1</stp>
        <tr r="I2467" s="1"/>
      </tp>
      <tp>
        <v>45.193697214399997</v>
        <stp/>
        <stp>EM_S_FA_GROSSPROFITMARGIN</stp>
        <stp>3</stp>
        <stp>002360</stp>
        <stp>12/31/2018</stp>
        <stp>1</stp>
        <tr r="I2452" s="1"/>
      </tp>
      <tp>
        <v>11.8480216474</v>
        <stp/>
        <stp>EM_S_FA_GROSSPROFITMARGIN</stp>
        <stp>3</stp>
        <stp>002060</stp>
        <stp>12/31/2018</stp>
        <stp>1</stp>
        <tr r="I1677" s="1"/>
      </tp>
      <tp>
        <v>15.3214799239</v>
        <stp/>
        <stp>EM_S_FA_GROSSPROFITMARGIN</stp>
        <stp>3</stp>
        <stp>002160</stp>
        <stp>12/31/2018</stp>
        <stp>1</stp>
        <tr r="I3009" s="1"/>
      </tp>
      <tp>
        <v>18.049995817700001</v>
        <stp/>
        <stp>EM_S_FA_GROSSPROFITMARGIN</stp>
        <stp>3</stp>
        <stp>601801</stp>
        <stp>12/31/2018</stp>
        <stp>1</stp>
        <tr r="I3010" s="1"/>
      </tp>
      <tp>
        <v>0</v>
        <stp/>
        <stp>EM_S_FA_GROSSPROFITMARGIN</stp>
        <stp>3</stp>
        <stp>601901</stp>
        <stp>12/31/2018</stp>
        <stp>1</stp>
        <tr r="I408" s="1"/>
      </tp>
      <tp>
        <v>0</v>
        <stp/>
        <stp>EM_S_FA_GROSSPROFITMARGIN</stp>
        <stp>3</stp>
        <stp>601601</stp>
        <stp>12/31/2018</stp>
        <stp>1</stp>
        <tr r="I836" s="1"/>
      </tp>
      <tp>
        <v>51.573568569899997</v>
        <stp/>
        <stp>EM_S_FA_GROSSPROFITMARGIN</stp>
        <stp>3</stp>
        <stp>601001</stp>
        <stp>12/31/2018</stp>
        <stp>1</stp>
        <tr r="I2169" s="1"/>
      </tp>
      <tp>
        <v>54.416675633099999</v>
        <stp/>
        <stp>EM_S_FA_GROSSPROFITMARGIN</stp>
        <stp>3</stp>
        <stp>601101</stp>
        <stp>12/31/2018</stp>
        <stp>1</stp>
        <tr r="I3038" s="1"/>
      </tp>
      <tp>
        <v>38.552407741099998</v>
        <stp/>
        <stp>EM_S_FA_GROSSPROFITMARGIN</stp>
        <stp>3</stp>
        <stp>000861</stp>
        <stp>12/31/2018</stp>
        <stp>1</stp>
        <tr r="I3556" s="1"/>
      </tp>
      <tp>
        <v>39.651978105300003</v>
        <stp/>
        <stp>EM_S_FA_GROSSPROFITMARGIN</stp>
        <stp>3</stp>
        <stp>600801</stp>
        <stp>12/31/2018</stp>
        <stp>1</stp>
        <tr r="I585" s="1"/>
      </tp>
      <tp>
        <v>19.559270843</v>
        <stp/>
        <stp>EM_S_FA_GROSSPROFITMARGIN</stp>
        <stp>3</stp>
        <stp>000961</stp>
        <stp>12/31/2018</stp>
        <stp>1</stp>
        <tr r="I207" s="1"/>
      </tp>
      <tp>
        <v>0</v>
        <stp/>
        <stp>EM_S_FA_GROSSPROFITMARGIN</stp>
        <stp>3</stp>
        <stp>600901</stp>
        <stp>12/31/2018</stp>
        <stp>1</stp>
        <tr r="I1864" s="1"/>
      </tp>
      <tp>
        <v>85.102406238599997</v>
        <stp/>
        <stp>EM_S_FA_GROSSPROFITMARGIN</stp>
        <stp>3</stp>
        <stp>000661</stp>
        <stp>12/31/2018</stp>
        <stp>1</stp>
        <tr r="I85" s="1"/>
      </tp>
      <tp>
        <v>35.2002142877</v>
        <stp/>
        <stp>EM_S_FA_GROSSPROFITMARGIN</stp>
        <stp>3</stp>
        <stp>300651</stp>
        <stp>12/31/2018</stp>
        <stp>1</stp>
        <tr r="I3284" s="1"/>
      </tp>
      <tp>
        <v>16.723321248000001</v>
        <stp/>
        <stp>EM_S_FA_GROSSPROFITMARGIN</stp>
        <stp>3</stp>
        <stp>600601</stp>
        <stp>12/31/2018</stp>
        <stp>1</stp>
        <tr r="I651" s="1"/>
      </tp>
      <tp>
        <v>9.8404753441999997</v>
        <stp/>
        <stp>EM_S_FA_GROSSPROFITMARGIN</stp>
        <stp>3</stp>
        <stp>000761</stp>
        <stp>12/31/2018</stp>
        <stp>1</stp>
        <tr r="I1372" s="1"/>
      </tp>
      <tp>
        <v>34.268468254600002</v>
        <stp/>
        <stp>EM_S_FA_GROSSPROFITMARGIN</stp>
        <stp>3</stp>
        <stp>600701</stp>
        <stp>12/31/2018</stp>
        <stp>1</stp>
        <tr r="I3066" s="1"/>
      </tp>
      <tp>
        <v>49.754355564199997</v>
        <stp/>
        <stp>EM_S_FA_GROSSPROFITMARGIN</stp>
        <stp>3</stp>
        <stp>300451</stp>
        <stp>12/31/2018</stp>
        <stp>1</stp>
        <tr r="I2693" s="1"/>
      </tp>
      <tp>
        <v>15.263451716900001</v>
        <stp/>
        <stp>EM_S_FA_GROSSPROFITMARGIN</stp>
        <stp>3</stp>
        <stp>600401</stp>
        <stp>12/31/2018</stp>
        <stp>1</stp>
        <tr r="I3407" s="1"/>
      </tp>
      <tp>
        <v>44.000696377899999</v>
        <stp/>
        <stp>EM_S_FA_GROSSPROFITMARGIN</stp>
        <stp>3</stp>
        <stp>000561</stp>
        <stp>12/31/2018</stp>
        <stp>1</stp>
        <tr r="I926" s="1"/>
      </tp>
      <tp>
        <v>47.725894700700003</v>
        <stp/>
        <stp>EM_S_FA_GROSSPROFITMARGIN</stp>
        <stp>3</stp>
        <stp>300551</stp>
        <stp>12/31/2018</stp>
        <stp>1</stp>
        <tr r="I113" s="1"/>
      </tp>
      <tp>
        <v>21.440014797</v>
        <stp/>
        <stp>EM_S_FA_GROSSPROFITMARGIN</stp>
        <stp>3</stp>
        <stp>600501</stp>
        <stp>12/31/2018</stp>
        <stp>1</stp>
        <tr r="I972" s="1"/>
      </tp>
      <tp>
        <v>32.263190360599999</v>
        <stp/>
        <stp>EM_S_FA_GROSSPROFITMARGIN</stp>
        <stp>3</stp>
        <stp>300251</stp>
        <stp>12/31/2018</stp>
        <stp>1</stp>
        <tr r="I501" s="1"/>
      </tp>
      <tp>
        <v>72.5011529776</v>
        <stp/>
        <stp>EM_S_FA_GROSSPROFITMARGIN</stp>
        <stp>3</stp>
        <stp>600201</stp>
        <stp>12/31/2018</stp>
        <stp>1</stp>
        <tr r="I1517" s="1"/>
      </tp>
      <tp>
        <v>35.531358596700002</v>
        <stp/>
        <stp>EM_S_FA_GROSSPROFITMARGIN</stp>
        <stp>3</stp>
        <stp>300351</stp>
        <stp>12/31/2018</stp>
        <stp>1</stp>
        <tr r="I1871" s="1"/>
      </tp>
      <tp>
        <v>2.9521276075</v>
        <stp/>
        <stp>EM_S_FA_GROSSPROFITMARGIN</stp>
        <stp>3</stp>
        <stp>600301</stp>
        <stp>12/31/2018</stp>
        <stp>1</stp>
        <tr r="I1636" s="1"/>
      </tp>
      <tp>
        <v>37.0658283653</v>
        <stp/>
        <stp>EM_S_FA_GROSSPROFITMARGIN</stp>
        <stp>3</stp>
        <stp>000061</stp>
        <stp>12/31/2018</stp>
        <stp>1</stp>
        <tr r="I1460" s="1"/>
      </tp>
      <tp>
        <v>65.781460589299996</v>
        <stp/>
        <stp>EM_S_FA_GROSSPROFITMARGIN</stp>
        <stp>3</stp>
        <stp>300051</stp>
        <stp>12/31/2018</stp>
        <stp>1</stp>
        <tr r="I2016" s="1"/>
      </tp>
      <tp>
        <v>0</v>
        <stp/>
        <stp>EM_S_FA_GROSSPROFITMARGIN</stp>
        <stp>3</stp>
        <stp>600001</stp>
        <stp>12/31/2018</stp>
        <stp>1</stp>
        <tr r="I2285" s="1"/>
      </tp>
      <tp>
        <v>25.082366816699999</v>
        <stp/>
        <stp>EM_S_FA_GROSSPROFITMARGIN</stp>
        <stp>3</stp>
        <stp>300151</stp>
        <stp>12/31/2018</stp>
        <stp>1</stp>
        <tr r="I378" s="1"/>
      </tp>
      <tp>
        <v>14.1048213725</v>
        <stp/>
        <stp>EM_S_FA_GROSSPROFITMARGIN</stp>
        <stp>3</stp>
        <stp>600101</stp>
        <stp>12/31/2018</stp>
        <stp>1</stp>
        <tr r="I1988" s="1"/>
      </tp>
      <tp>
        <v>35.9559588467</v>
        <stp/>
        <stp>EM_S_FA_GROSSPROFITMARGIN</stp>
        <stp>3</stp>
        <stp>603801</stp>
        <stp>12/31/2018</stp>
        <stp>1</stp>
        <tr r="I2581" s="1"/>
      </tp>
      <tp>
        <v>29.774755460400002</v>
        <stp/>
        <stp>EM_S_FA_GROSSPROFITMARGIN</stp>
        <stp>3</stp>
        <stp>603901</stp>
        <stp>12/31/2018</stp>
        <stp>1</stp>
        <tr r="I415" s="1"/>
      </tp>
      <tp>
        <v>33.005593791199999</v>
        <stp/>
        <stp>EM_S_FA_GROSSPROFITMARGIN</stp>
        <stp>3</stp>
        <stp>603601</stp>
        <stp>12/31/2018</stp>
        <stp>1</stp>
        <tr r="I2589" s="1"/>
      </tp>
      <tp>
        <v>31.3571973775</v>
        <stp/>
        <stp>EM_S_FA_GROSSPROFITMARGIN</stp>
        <stp>3</stp>
        <stp>603701</stp>
        <stp>12/31/2018</stp>
        <stp>1</stp>
        <tr r="I1613" s="1"/>
      </tp>
      <tp>
        <v>23.4108109543</v>
        <stp/>
        <stp>EM_S_FA_GROSSPROFITMARGIN</stp>
        <stp>3</stp>
        <stp>603501</stp>
        <stp>12/31/2018</stp>
        <stp>1</stp>
        <tr r="I18" s="1"/>
      </tp>
      <tp>
        <v>31.362613014800001</v>
        <stp/>
        <stp>EM_S_FA_GROSSPROFITMARGIN</stp>
        <stp>3</stp>
        <stp>603301</stp>
        <stp>12/31/2018</stp>
        <stp>1</stp>
        <tr r="I3245" s="1"/>
      </tp>
      <tp>
        <v>35.737016305099999</v>
        <stp/>
        <stp>EM_S_FA_GROSSPROFITMARGIN</stp>
        <stp>3</stp>
        <stp>603001</stp>
        <stp>12/31/2018</stp>
        <stp>1</stp>
        <tr r="I2795" s="1"/>
      </tp>
      <tp>
        <v>17.194589526400001</v>
        <stp/>
        <stp>EM_S_FA_GROSSPROFITMARGIN</stp>
        <stp>3</stp>
        <stp>603101</stp>
        <stp>12/31/2018</stp>
        <stp>1</stp>
        <tr r="I3340" s="1"/>
      </tp>
      <tp>
        <v>25.238100015899999</v>
        <stp/>
        <stp>EM_S_FA_GROSSPROFITMARGIN</stp>
        <stp>3</stp>
        <stp>002861</stp>
        <stp>12/31/2018</stp>
        <stp>1</stp>
        <tr r="I286" s="1"/>
      </tp>
      <tp>
        <v>23.6339797555</v>
        <stp/>
        <stp>EM_S_FA_GROSSPROFITMARGIN</stp>
        <stp>3</stp>
        <stp>002661</stp>
        <stp>12/31/2018</stp>
        <stp>1</stp>
        <tr r="I2711" s="1"/>
      </tp>
      <tp>
        <v>38.964845790699997</v>
        <stp/>
        <stp>EM_S_FA_GROSSPROFITMARGIN</stp>
        <stp>3</stp>
        <stp>002761</stp>
        <stp>12/31/2018</stp>
        <stp>1</stp>
        <tr r="I3296" s="1"/>
      </tp>
      <tp>
        <v>40.551436440800003</v>
        <stp/>
        <stp>EM_S_FA_GROSSPROFITMARGIN</stp>
        <stp>3</stp>
        <stp>002461</stp>
        <stp>12/31/2018</stp>
        <stp>1</stp>
        <tr r="I428" s="1"/>
      </tp>
      <tp>
        <v>28.833905818400002</v>
        <stp/>
        <stp>EM_S_FA_GROSSPROFITMARGIN</stp>
        <stp>3</stp>
        <stp>002561</stp>
        <stp>12/31/2018</stp>
        <stp>1</stp>
        <tr r="I1959" s="1"/>
      </tp>
      <tp>
        <v>49.634835032600002</v>
        <stp/>
        <stp>EM_S_FA_GROSSPROFITMARGIN</stp>
        <stp>3</stp>
        <stp>002261</stp>
        <stp>12/31/2018</stp>
        <stp>1</stp>
        <tr r="I164" s="1"/>
      </tp>
      <tp>
        <v>16.7898960307</v>
        <stp/>
        <stp>EM_S_FA_GROSSPROFITMARGIN</stp>
        <stp>3</stp>
        <stp>002361</stp>
        <stp>12/31/2018</stp>
        <stp>1</stp>
        <tr r="I1315" s="1"/>
      </tp>
      <tp>
        <v>9.6667530619999997</v>
        <stp/>
        <stp>EM_S_FA_GROSSPROFITMARGIN</stp>
        <stp>3</stp>
        <stp>002061</stp>
        <stp>12/31/2018</stp>
        <stp>1</stp>
        <tr r="I3337" s="1"/>
      </tp>
      <tp>
        <v>35.384113410399998</v>
        <stp/>
        <stp>EM_S_FA_GROSSPROFITMARGIN</stp>
        <stp>3</stp>
        <stp>002161</stp>
        <stp>12/31/2018</stp>
        <stp>1</stp>
        <tr r="I278" s="1"/>
      </tp>
      <tp>
        <v>20.893694666799998</v>
        <stp/>
        <stp>EM_S_FA_GROSSPROFITMARGIN</stp>
        <stp>3</stp>
        <stp>601002</stp>
        <stp>12/31/2018</stp>
        <stp>1</stp>
        <tr r="I1815" s="1"/>
      </tp>
      <tp>
        <v>38.131914284499999</v>
        <stp/>
        <stp>EM_S_FA_GROSSPROFITMARGIN</stp>
        <stp>3</stp>
        <stp>000862</stp>
        <stp>12/31/2018</stp>
        <stp>1</stp>
        <tr r="I331" s="1"/>
      </tp>
      <tp>
        <v>32.982210056299998</v>
        <stp/>
        <stp>EM_S_FA_GROSSPROFITMARGIN</stp>
        <stp>3</stp>
        <stp>600802</stp>
        <stp>12/31/2018</stp>
        <stp>1</stp>
        <tr r="I1449" s="1"/>
      </tp>
      <tp>
        <v>15.1905182045</v>
        <stp/>
        <stp>EM_S_FA_GROSSPROFITMARGIN</stp>
        <stp>3</stp>
        <stp>000962</stp>
        <stp>12/31/2018</stp>
        <stp>1</stp>
        <tr r="I1521" s="1"/>
      </tp>
      <tp>
        <v>45.153054658199999</v>
        <stp/>
        <stp>EM_S_FA_GROSSPROFITMARGIN</stp>
        <stp>3</stp>
        <stp>000662</stp>
        <stp>12/31/2018</stp>
        <stp>1</stp>
        <tr r="I3497" s="1"/>
      </tp>
      <tp>
        <v>29.764831382499999</v>
        <stp/>
        <stp>EM_S_FA_GROSSPROFITMARGIN</stp>
        <stp>3</stp>
        <stp>300652</stp>
        <stp>12/31/2018</stp>
        <stp>1</stp>
        <tr r="I2079" s="1"/>
      </tp>
      <tp>
        <v>18.538665443799999</v>
        <stp/>
        <stp>EM_S_FA_GROSSPROFITMARGIN</stp>
        <stp>3</stp>
        <stp>600602</stp>
        <stp>12/31/2018</stp>
        <stp>1</stp>
        <tr r="I353" s="1"/>
      </tp>
      <tp>
        <v>10.8554433105</v>
        <stp/>
        <stp>EM_S_FA_GROSSPROFITMARGIN</stp>
        <stp>3</stp>
        <stp>000762</stp>
        <stp>12/31/2018</stp>
        <stp>1</stp>
        <tr r="I3531" s="1"/>
      </tp>
      <tp>
        <v>72.6253301566</v>
        <stp/>
        <stp>EM_S_FA_GROSSPROFITMARGIN</stp>
        <stp>3</stp>
        <stp>600702</stp>
        <stp>12/31/2018</stp>
        <stp>1</stp>
        <tr r="I882" s="1"/>
      </tp>
      <tp>
        <v>33.916242958200002</v>
        <stp/>
        <stp>EM_S_FA_GROSSPROFITMARGIN</stp>
        <stp>3</stp>
        <stp>300452</stp>
        <stp>12/31/2018</stp>
        <stp>1</stp>
        <tr r="I1739" s="1"/>
      </tp>
      <tp>
        <v>0</v>
        <stp/>
        <stp>EM_S_FA_GROSSPROFITMARGIN</stp>
        <stp>3</stp>
        <stp>000562</stp>
        <stp>12/31/2018</stp>
        <stp>1</stp>
        <tr r="I3455" s="1"/>
      </tp>
      <tp>
        <v>34.685706325200002</v>
        <stp/>
        <stp>EM_S_FA_GROSSPROFITMARGIN</stp>
        <stp>3</stp>
        <stp>300552</stp>
        <stp>12/31/2018</stp>
        <stp>1</stp>
        <tr r="I15" s="1"/>
      </tp>
      <tp>
        <v>10.7190601049</v>
        <stp/>
        <stp>EM_S_FA_GROSSPROFITMARGIN</stp>
        <stp>3</stp>
        <stp>600502</stp>
        <stp>12/31/2018</stp>
        <stp>1</stp>
        <tr r="I1556" s="1"/>
      </tp>
      <tp>
        <v>23.8857986979</v>
        <stp/>
        <stp>EM_S_FA_GROSSPROFITMARGIN</stp>
        <stp>3</stp>
        <stp>300252</stp>
        <stp>12/31/2018</stp>
        <stp>1</stp>
        <tr r="I2966" s="1"/>
      </tp>
      <tp>
        <v>21.8390580085</v>
        <stp/>
        <stp>EM_S_FA_GROSSPROFITMARGIN</stp>
        <stp>3</stp>
        <stp>600202</stp>
        <stp>12/31/2018</stp>
        <stp>1</stp>
        <tr r="I605" s="1"/>
      </tp>
      <tp>
        <v>72.951243044500004</v>
        <stp/>
        <stp>EM_S_FA_GROSSPROFITMARGIN</stp>
        <stp>3</stp>
        <stp>300352</stp>
        <stp>12/31/2018</stp>
        <stp>1</stp>
        <tr r="I122" s="1"/>
      </tp>
      <tp>
        <v>29.590252739899999</v>
        <stp/>
        <stp>EM_S_FA_GROSSPROFITMARGIN</stp>
        <stp>3</stp>
        <stp>600302</stp>
        <stp>12/31/2018</stp>
        <stp>1</stp>
        <tr r="I1508" s="1"/>
      </tp>
      <tp>
        <v>15.7425927659</v>
        <stp/>
        <stp>EM_S_FA_GROSSPROFITMARGIN</stp>
        <stp>3</stp>
        <stp>000062</stp>
        <stp>12/31/2018</stp>
        <stp>1</stp>
        <tr r="I1072" s="1"/>
      </tp>
      <tp>
        <v>58.911458295899997</v>
        <stp/>
        <stp>EM_S_FA_GROSSPROFITMARGIN</stp>
        <stp>3</stp>
        <stp>300052</stp>
        <stp>12/31/2018</stp>
        <stp>1</stp>
        <tr r="I509" s="1"/>
      </tp>
      <tp>
        <v>0</v>
        <stp/>
        <stp>EM_S_FA_GROSSPROFITMARGIN</stp>
        <stp>3</stp>
        <stp>600002</stp>
        <stp>12/31/2018</stp>
        <stp>1</stp>
        <tr r="I2286" s="1"/>
      </tp>
      <tp>
        <v>14.074467827799999</v>
        <stp/>
        <stp>EM_S_FA_GROSSPROFITMARGIN</stp>
        <stp>3</stp>
        <stp>300152</stp>
        <stp>12/31/2018</stp>
        <stp>1</stp>
        <tr r="I897" s="1"/>
      </tp>
      <tp>
        <v>0</v>
        <stp/>
        <stp>EM_S_FA_GROSSPROFITMARGIN</stp>
        <stp>3</stp>
        <stp>600102</stp>
        <stp>12/31/2018</stp>
        <stp>1</stp>
        <tr r="I2292" s="1"/>
      </tp>
      <tp>
        <v>17.216678251099999</v>
        <stp/>
        <stp>EM_S_FA_GROSSPROFITMARGIN</stp>
        <stp>3</stp>
        <stp>603602</stp>
        <stp>12/31/2018</stp>
        <stp>1</stp>
        <tr r="I2921" s="1"/>
      </tp>
      <tp>
        <v>0</v>
        <stp/>
        <stp>EM_S_FA_GROSSPROFITMARGIN</stp>
        <stp>3</stp>
        <stp>603302</stp>
        <stp>12/31/2018</stp>
        <stp>1</stp>
        <tr r="I14" s="1"/>
      </tp>
      <tp>
        <v>8.8630974076999998</v>
        <stp/>
        <stp>EM_S_FA_GROSSPROFITMARGIN</stp>
        <stp>3</stp>
        <stp>603002</stp>
        <stp>12/31/2018</stp>
        <stp>1</stp>
        <tr r="I1090" s="1"/>
      </tp>
      <tp>
        <v>23.090463868800001</v>
        <stp/>
        <stp>EM_S_FA_GROSSPROFITMARGIN</stp>
        <stp>3</stp>
        <stp>002862</stp>
        <stp>12/31/2018</stp>
        <stp>1</stp>
        <tr r="I2070" s="1"/>
      </tp>
      <tp>
        <v>15.291930213800001</v>
        <stp/>
        <stp>EM_S_FA_GROSSPROFITMARGIN</stp>
        <stp>3</stp>
        <stp>002662</stp>
        <stp>12/31/2018</stp>
        <stp>1</stp>
        <tr r="I3217" s="1"/>
      </tp>
      <tp>
        <v>51.463264165600002</v>
        <stp/>
        <stp>EM_S_FA_GROSSPROFITMARGIN</stp>
        <stp>3</stp>
        <stp>002762</stp>
        <stp>12/31/2018</stp>
        <stp>1</stp>
        <tr r="I2112" s="1"/>
      </tp>
      <tp>
        <v>10.2316696269</v>
        <stp/>
        <stp>EM_S_FA_GROSSPROFITMARGIN</stp>
        <stp>3</stp>
        <stp>002462</stp>
        <stp>12/31/2018</stp>
        <stp>1</stp>
        <tr r="I1795" s="1"/>
      </tp>
      <tp>
        <v>23.2419976881</v>
        <stp/>
        <stp>EM_S_FA_GROSSPROFITMARGIN</stp>
        <stp>3</stp>
        <stp>002562</stp>
        <stp>12/31/2018</stp>
        <stp>1</stp>
        <tr r="I1598" s="1"/>
      </tp>
      <tp>
        <v>56.1450939964</v>
        <stp/>
        <stp>EM_S_FA_GROSSPROFITMARGIN</stp>
        <stp>3</stp>
        <stp>002262</stp>
        <stp>12/31/2018</stp>
        <stp>1</stp>
        <tr r="I1001" s="1"/>
      </tp>
      <tp>
        <v>38.3351793362</v>
        <stp/>
        <stp>EM_S_FA_GROSSPROFITMARGIN</stp>
        <stp>3</stp>
        <stp>002362</stp>
        <stp>12/31/2018</stp>
        <stp>1</stp>
        <tr r="I1277" s="1"/>
      </tp>
      <tp>
        <v>12.378813615</v>
        <stp/>
        <stp>EM_S_FA_GROSSPROFITMARGIN</stp>
        <stp>3</stp>
        <stp>002062</stp>
        <stp>12/31/2018</stp>
        <stp>1</stp>
        <tr r="I2740" s="1"/>
      </tp>
      <tp>
        <v>34.659209992800001</v>
        <stp/>
        <stp>EM_S_FA_GROSSPROFITMARGIN</stp>
        <stp>3</stp>
        <stp>002162</stp>
        <stp>12/31/2018</stp>
        <stp>1</stp>
        <tr r="I1080" s="1"/>
      </tp>
      <tp>
        <v>14.394534563600001</v>
        <stp/>
        <stp>EM_S_FA_GROSSPROFITMARGIN</stp>
        <stp>3</stp>
        <stp>601003</stp>
        <stp>12/31/2018</stp>
        <stp>1</stp>
        <tr r="I2925" s="1"/>
      </tp>
      <tp>
        <v>40.396939132599996</v>
        <stp/>
        <stp>EM_S_FA_GROSSPROFITMARGIN</stp>
        <stp>3</stp>
        <stp>000863</stp>
        <stp>12/31/2018</stp>
        <stp>1</stp>
        <tr r="I3557" s="1"/>
      </tp>
      <tp>
        <v>21.533903048799999</v>
        <stp/>
        <stp>EM_S_FA_GROSSPROFITMARGIN</stp>
        <stp>3</stp>
        <stp>600803</stp>
        <stp>12/31/2018</stp>
        <stp>1</stp>
        <tr r="I1898" s="1"/>
      </tp>
      <tp>
        <v>28.987902158400001</v>
        <stp/>
        <stp>EM_S_FA_GROSSPROFITMARGIN</stp>
        <stp>3</stp>
        <stp>000963</stp>
        <stp>12/31/2018</stp>
        <stp>1</stp>
        <tr r="I2741" s="1"/>
      </tp>
      <tp>
        <v>19.312289115399999</v>
        <stp/>
        <stp>EM_S_FA_GROSSPROFITMARGIN</stp>
        <stp>3</stp>
        <stp>600903</stp>
        <stp>12/31/2018</stp>
        <stp>1</stp>
        <tr r="I3216" s="1"/>
      </tp>
      <tp>
        <v>7.5143914643</v>
        <stp/>
        <stp>EM_S_FA_GROSSPROFITMARGIN</stp>
        <stp>3</stp>
        <stp>000663</stp>
        <stp>12/31/2018</stp>
        <stp>1</stp>
        <tr r="I3498" s="1"/>
      </tp>
      <tp>
        <v>93.077693144600005</v>
        <stp/>
        <stp>EM_S_FA_GROSSPROFITMARGIN</stp>
        <stp>3</stp>
        <stp>300653</stp>
        <stp>12/31/2018</stp>
        <stp>1</stp>
        <tr r="I539" s="1"/>
      </tp>
      <tp>
        <v>58.6867007102</v>
        <stp/>
        <stp>EM_S_FA_GROSSPROFITMARGIN</stp>
        <stp>3</stp>
        <stp>600603</stp>
        <stp>12/31/2018</stp>
        <stp>1</stp>
        <tr r="I1271" s="1"/>
      </tp>
      <tp>
        <v>0</v>
        <stp/>
        <stp>EM_S_FA_GROSSPROFITMARGIN</stp>
        <stp>3</stp>
        <stp>000763</stp>
        <stp>12/31/2018</stp>
        <stp>1</stp>
        <tr r="I3532" s="1"/>
      </tp>
      <tp>
        <v>44.708266400699998</v>
        <stp/>
        <stp>EM_S_FA_GROSSPROFITMARGIN</stp>
        <stp>3</stp>
        <stp>600703</stp>
        <stp>12/31/2018</stp>
        <stp>1</stp>
        <tr r="I375" s="1"/>
      </tp>
      <tp>
        <v>29.959041406000001</v>
        <stp/>
        <stp>EM_S_FA_GROSSPROFITMARGIN</stp>
        <stp>3</stp>
        <stp>300453</stp>
        <stp>12/31/2018</stp>
        <stp>1</stp>
        <tr r="I3248" s="1"/>
      </tp>
      <tp>
        <v>33.580336303599999</v>
        <stp/>
        <stp>EM_S_FA_GROSSPROFITMARGIN</stp>
        <stp>3</stp>
        <stp>600403</stp>
        <stp>12/31/2018</stp>
        <stp>1</stp>
        <tr r="I1468" s="1"/>
      </tp>
      <tp>
        <v>0</v>
        <stp/>
        <stp>EM_S_FA_GROSSPROFITMARGIN</stp>
        <stp>3</stp>
        <stp>000563</stp>
        <stp>12/31/2018</stp>
        <stp>1</stp>
        <tr r="I3456" s="1"/>
      </tp>
      <tp>
        <v>48.110967562500001</v>
        <stp/>
        <stp>EM_S_FA_GROSSPROFITMARGIN</stp>
        <stp>3</stp>
        <stp>300553</stp>
        <stp>12/31/2018</stp>
        <stp>1</stp>
        <tr r="I1587" s="1"/>
      </tp>
      <tp>
        <v>41.025749824400002</v>
        <stp/>
        <stp>EM_S_FA_GROSSPROFITMARGIN</stp>
        <stp>3</stp>
        <stp>600503</stp>
        <stp>12/31/2018</stp>
        <stp>1</stp>
        <tr r="I2014" s="1"/>
      </tp>
      <tp>
        <v>51.9995977532</v>
        <stp/>
        <stp>EM_S_FA_GROSSPROFITMARGIN</stp>
        <stp>3</stp>
        <stp>300253</stp>
        <stp>12/31/2018</stp>
        <stp>1</stp>
        <tr r="I1336" s="1"/>
      </tp>
      <tp>
        <v>6.8234863739999998</v>
        <stp/>
        <stp>EM_S_FA_GROSSPROFITMARGIN</stp>
        <stp>3</stp>
        <stp>600203</stp>
        <stp>12/31/2018</stp>
        <stp>1</stp>
        <tr r="I655" s="1"/>
      </tp>
      <tp>
        <v>49.791200337799999</v>
        <stp/>
        <stp>EM_S_FA_GROSSPROFITMARGIN</stp>
        <stp>3</stp>
        <stp>300353</stp>
        <stp>12/31/2018</stp>
        <stp>1</stp>
        <tr r="I614" s="1"/>
      </tp>
      <tp>
        <v>14.0475369823</v>
        <stp/>
        <stp>EM_S_FA_GROSSPROFITMARGIN</stp>
        <stp>3</stp>
        <stp>600303</stp>
        <stp>12/31/2018</stp>
        <stp>1</stp>
        <tr r="I2765" s="1"/>
      </tp>
      <tp>
        <v>32.913735489799997</v>
        <stp/>
        <stp>EM_S_FA_GROSSPROFITMARGIN</stp>
        <stp>3</stp>
        <stp>000063</stp>
        <stp>12/31/2018</stp>
        <stp>1</stp>
        <tr r="I245" s="1"/>
      </tp>
      <tp>
        <v>36.022457017699999</v>
        <stp/>
        <stp>EM_S_FA_GROSSPROFITMARGIN</stp>
        <stp>3</stp>
        <stp>300053</stp>
        <stp>12/31/2018</stp>
        <stp>1</stp>
        <tr r="I528" s="1"/>
      </tp>
      <tp>
        <v>0</v>
        <stp/>
        <stp>EM_S_FA_GROSSPROFITMARGIN</stp>
        <stp>3</stp>
        <stp>600003</stp>
        <stp>12/31/2018</stp>
        <stp>1</stp>
        <tr r="I2287" s="1"/>
      </tp>
      <tp>
        <v>17.762007041</v>
        <stp/>
        <stp>EM_S_FA_GROSSPROFITMARGIN</stp>
        <stp>3</stp>
        <stp>300153</stp>
        <stp>12/31/2018</stp>
        <stp>1</stp>
        <tr r="I2698" s="1"/>
      </tp>
      <tp>
        <v>20.0383923415</v>
        <stp/>
        <stp>EM_S_FA_GROSSPROFITMARGIN</stp>
        <stp>3</stp>
        <stp>600103</stp>
        <stp>12/31/2018</stp>
        <stp>1</stp>
        <tr r="I3018" s="1"/>
      </tp>
      <tp>
        <v>39.583074557700002</v>
        <stp/>
        <stp>EM_S_FA_GROSSPROFITMARGIN</stp>
        <stp>3</stp>
        <stp>603803</stp>
        <stp>12/31/2018</stp>
        <stp>1</stp>
        <tr r="I1040" s="1"/>
      </tp>
      <tp>
        <v>28.435585607899998</v>
        <stp/>
        <stp>EM_S_FA_GROSSPROFITMARGIN</stp>
        <stp>3</stp>
        <stp>603903</stp>
        <stp>12/31/2018</stp>
        <stp>1</stp>
        <tr r="I3225" s="1"/>
      </tp>
      <tp>
        <v>21.354041632600001</v>
        <stp/>
        <stp>EM_S_FA_GROSSPROFITMARGIN</stp>
        <stp>3</stp>
        <stp>603603</stp>
        <stp>12/31/2018</stp>
        <stp>1</stp>
        <tr r="I3314" s="1"/>
      </tp>
      <tp>
        <v>17.2380274247</v>
        <stp/>
        <stp>EM_S_FA_GROSSPROFITMARGIN</stp>
        <stp>3</stp>
        <stp>603703</stp>
        <stp>12/31/2018</stp>
        <stp>1</stp>
        <tr r="I347" s="1"/>
      </tp>
      <tp>
        <v>55.025682790799998</v>
        <stp/>
        <stp>EM_S_FA_GROSSPROFITMARGIN</stp>
        <stp>3</stp>
        <stp>603203</stp>
        <stp>12/31/2018</stp>
        <stp>1</stp>
        <tr r="I761" s="1"/>
      </tp>
      <tp>
        <v>15.627712470700001</v>
        <stp/>
        <stp>EM_S_FA_GROSSPROFITMARGIN</stp>
        <stp>3</stp>
        <stp>603303</stp>
        <stp>12/31/2018</stp>
        <stp>1</stp>
        <tr r="I2847" s="1"/>
      </tp>
      <tp>
        <v>0.89813686820000005</v>
        <stp/>
        <stp>EM_S_FA_GROSSPROFITMARGIN</stp>
        <stp>3</stp>
        <stp>603003</stp>
        <stp>12/31/2018</stp>
        <stp>1</stp>
        <tr r="I1217" s="1"/>
      </tp>
      <tp>
        <v>21.0588047647</v>
        <stp/>
        <stp>EM_S_FA_GROSSPROFITMARGIN</stp>
        <stp>3</stp>
        <stp>603103</stp>
        <stp>12/31/2018</stp>
        <stp>1</stp>
        <tr r="I2987" s="1"/>
      </tp>
      <tp>
        <v>16.2320459245</v>
        <stp/>
        <stp>EM_S_FA_GROSSPROFITMARGIN</stp>
        <stp>3</stp>
        <stp>002863</stp>
        <stp>12/31/2018</stp>
        <stp>1</stp>
        <tr r="I2846" s="1"/>
      </tp>
      <tp>
        <v>11.2297457554</v>
        <stp/>
        <stp>EM_S_FA_GROSSPROFITMARGIN</stp>
        <stp>3</stp>
        <stp>002663</stp>
        <stp>12/31/2018</stp>
        <stp>1</stp>
        <tr r="I1524" s="1"/>
      </tp>
      <tp>
        <v>67.707370421999997</v>
        <stp/>
        <stp>EM_S_FA_GROSSPROFITMARGIN</stp>
        <stp>3</stp>
        <stp>002763</stp>
        <stp>12/31/2018</stp>
        <stp>1</stp>
        <tr r="I2122" s="1"/>
      </tp>
      <tp>
        <v>23.406997474000001</v>
        <stp/>
        <stp>EM_S_FA_GROSSPROFITMARGIN</stp>
        <stp>3</stp>
        <stp>002463</stp>
        <stp>12/31/2018</stp>
        <stp>1</stp>
        <tr r="I42" s="1"/>
      </tp>
      <tp>
        <v>39.781301692</v>
        <stp/>
        <stp>EM_S_FA_GROSSPROFITMARGIN</stp>
        <stp>3</stp>
        <stp>002563</stp>
        <stp>12/31/2018</stp>
        <stp>1</stp>
        <tr r="I1758" s="1"/>
      </tp>
      <tp>
        <v>9.0755676556000004</v>
        <stp/>
        <stp>EM_S_FA_GROSSPROFITMARGIN</stp>
        <stp>3</stp>
        <stp>002263</stp>
        <stp>12/31/2018</stp>
        <stp>1</stp>
        <tr r="I1203" s="1"/>
      </tp>
      <tp>
        <v>16.821846470600001</v>
        <stp/>
        <stp>EM_S_FA_GROSSPROFITMARGIN</stp>
        <stp>3</stp>
        <stp>002363</stp>
        <stp>12/31/2018</stp>
        <stp>1</stp>
        <tr r="I1055" s="1"/>
      </tp>
      <tp>
        <v>65.986909868200001</v>
        <stp/>
        <stp>EM_S_FA_GROSSPROFITMARGIN</stp>
        <stp>3</stp>
        <stp>002063</stp>
        <stp>12/31/2018</stp>
        <stp>1</stp>
        <tr r="I118" s="1"/>
      </tp>
      <tp>
        <v>9.9395605745999998</v>
        <stp/>
        <stp>EM_S_FA_GROSSPROFITMARGIN</stp>
        <stp>3</stp>
        <stp>002163</stp>
        <stp>12/31/2018</stp>
        <stp>1</stp>
        <tr r="I1572" s="1"/>
      </tp>
      <tp>
        <v>10.9460137205</v>
        <stp/>
        <stp>EM_S_FA_GROSSPROFITMARGIN</stp>
        <stp>3</stp>
        <stp>601808</stp>
        <stp>12/31/2018</stp>
        <stp>1</stp>
        <tr r="I119" s="1"/>
      </tp>
      <tp>
        <v>45.132953536800002</v>
        <stp/>
        <stp>EM_S_FA_GROSSPROFITMARGIN</stp>
        <stp>3</stp>
        <stp>601908</stp>
        <stp>12/31/2018</stp>
        <stp>1</stp>
        <tr r="I2539" s="1"/>
      </tp>
      <tp>
        <v>24.455045393599999</v>
        <stp/>
        <stp>EM_S_FA_GROSSPROFITMARGIN</stp>
        <stp>3</stp>
        <stp>601608</stp>
        <stp>12/31/2018</stp>
        <stp>1</stp>
        <tr r="I692" s="1"/>
      </tp>
      <tp>
        <v>16.917631053600001</v>
        <stp/>
        <stp>EM_S_FA_GROSSPROFITMARGIN</stp>
        <stp>3</stp>
        <stp>601208</stp>
        <stp>12/31/2018</stp>
        <stp>1</stp>
        <tr r="I874" s="1"/>
      </tp>
      <tp>
        <v>26.5823403343</v>
        <stp/>
        <stp>EM_S_FA_GROSSPROFITMARGIN</stp>
        <stp>3</stp>
        <stp>601008</stp>
        <stp>12/31/2018</stp>
        <stp>1</stp>
        <tr r="I1067" s="1"/>
      </tp>
      <tp>
        <v>0</v>
        <stp/>
        <stp>EM_S_FA_GROSSPROFITMARGIN</stp>
        <stp>3</stp>
        <stp>601108</stp>
        <stp>12/31/2018</stp>
        <stp>1</stp>
        <tr r="I471" s="1"/>
      </tp>
      <tp>
        <v>4.7191288455000002</v>
        <stp/>
        <stp>EM_S_FA_GROSSPROFITMARGIN</stp>
        <stp>3</stp>
        <stp>000868</stp>
        <stp>12/31/2018</stp>
        <stp>1</stp>
        <tr r="I3559" s="1"/>
      </tp>
      <tp>
        <v>14.8341212373</v>
        <stp/>
        <stp>EM_S_FA_GROSSPROFITMARGIN</stp>
        <stp>3</stp>
        <stp>600808</stp>
        <stp>12/31/2018</stp>
        <stp>1</stp>
        <tr r="I2869" s="1"/>
      </tp>
      <tp>
        <v>38.308784486</v>
        <stp/>
        <stp>EM_S_FA_GROSSPROFITMARGIN</stp>
        <stp>3</stp>
        <stp>000968</stp>
        <stp>12/31/2018</stp>
        <stp>1</stp>
        <tr r="I2527" s="1"/>
      </tp>
      <tp>
        <v>0</v>
        <stp/>
        <stp>EM_S_FA_GROSSPROFITMARGIN</stp>
        <stp>3</stp>
        <stp>600908</stp>
        <stp>12/31/2018</stp>
        <stp>1</stp>
        <tr r="I1965" s="1"/>
      </tp>
      <tp>
        <v>49.639047328300002</v>
        <stp/>
        <stp>EM_S_FA_GROSSPROFITMARGIN</stp>
        <stp>3</stp>
        <stp>000668</stp>
        <stp>12/31/2018</stp>
        <stp>1</stp>
        <tr r="I3500" s="1"/>
      </tp>
      <tp>
        <v>27.591669430900001</v>
        <stp/>
        <stp>EM_S_FA_GROSSPROFITMARGIN</stp>
        <stp>3</stp>
        <stp>300658</stp>
        <stp>12/31/2018</stp>
        <stp>1</stp>
        <tr r="I886" s="1"/>
      </tp>
      <tp>
        <v>0.98483144300000003</v>
        <stp/>
        <stp>EM_S_FA_GROSSPROFITMARGIN</stp>
        <stp>3</stp>
        <stp>600608</stp>
        <stp>12/31/2018</stp>
        <stp>1</stp>
        <tr r="I1802" s="1"/>
      </tp>
      <tp>
        <v>6.1029696121999999</v>
        <stp/>
        <stp>EM_S_FA_GROSSPROFITMARGIN</stp>
        <stp>3</stp>
        <stp>000768</stp>
        <stp>12/31/2018</stp>
        <stp>1</stp>
        <tr r="I1149" s="1"/>
      </tp>
      <tp>
        <v>31.3023355035</v>
        <stp/>
        <stp>EM_S_FA_GROSSPROFITMARGIN</stp>
        <stp>3</stp>
        <stp>600708</stp>
        <stp>12/31/2018</stp>
        <stp>1</stp>
        <tr r="I2225" s="1"/>
      </tp>
      <tp>
        <v>34.195747213200001</v>
        <stp/>
        <stp>EM_S_FA_GROSSPROFITMARGIN</stp>
        <stp>3</stp>
        <stp>300458</stp>
        <stp>12/31/2018</stp>
        <stp>1</stp>
        <tr r="I425" s="1"/>
      </tp>
      <tp>
        <v>15.3505689765</v>
        <stp/>
        <stp>EM_S_FA_GROSSPROFITMARGIN</stp>
        <stp>3</stp>
        <stp>600408</stp>
        <stp>12/31/2018</stp>
        <stp>1</stp>
        <tr r="I2702" s="1"/>
      </tp>
      <tp>
        <v>77.526639704000004</v>
        <stp/>
        <stp>EM_S_FA_GROSSPROFITMARGIN</stp>
        <stp>3</stp>
        <stp>000568</stp>
        <stp>12/31/2018</stp>
        <stp>1</stp>
        <tr r="I129" s="1"/>
      </tp>
      <tp>
        <v>94.364415493500005</v>
        <stp/>
        <stp>EM_S_FA_GROSSPROFITMARGIN</stp>
        <stp>3</stp>
        <stp>300558</stp>
        <stp>12/31/2018</stp>
        <stp>1</stp>
        <tr r="I157" s="1"/>
      </tp>
      <tp>
        <v>31.0192068572</v>
        <stp/>
        <stp>EM_S_FA_GROSSPROFITMARGIN</stp>
        <stp>3</stp>
        <stp>600508</stp>
        <stp>12/31/2018</stp>
        <stp>1</stp>
        <tr r="I2440" s="1"/>
      </tp>
      <tp>
        <v>38.170064467300001</v>
        <stp/>
        <stp>EM_S_FA_GROSSPROFITMARGIN</stp>
        <stp>3</stp>
        <stp>300258</stp>
        <stp>12/31/2018</stp>
        <stp>1</stp>
        <tr r="I2705" s="1"/>
      </tp>
      <tp>
        <v>28.533180183799999</v>
        <stp/>
        <stp>EM_S_FA_GROSSPROFITMARGIN</stp>
        <stp>3</stp>
        <stp>600208</stp>
        <stp>12/31/2018</stp>
        <stp>1</stp>
        <tr r="I957" s="1"/>
      </tp>
      <tp>
        <v>32.831445131499997</v>
        <stp/>
        <stp>EM_S_FA_GROSSPROFITMARGIN</stp>
        <stp>3</stp>
        <stp>300358</stp>
        <stp>12/31/2018</stp>
        <stp>1</stp>
        <tr r="I2761" s="1"/>
      </tp>
      <tp>
        <v>14.741477375000001</v>
        <stp/>
        <stp>EM_S_FA_GROSSPROFITMARGIN</stp>
        <stp>3</stp>
        <stp>600308</stp>
        <stp>12/31/2018</stp>
        <stp>1</stp>
        <tr r="I1999" s="1"/>
      </tp>
      <tp>
        <v>27.281813225400001</v>
        <stp/>
        <stp>EM_S_FA_GROSSPROFITMARGIN</stp>
        <stp>3</stp>
        <stp>000068</stp>
        <stp>12/31/2018</stp>
        <stp>1</stp>
        <tr r="I2414" s="1"/>
      </tp>
      <tp>
        <v>11.720666912800001</v>
        <stp/>
        <stp>EM_S_FA_GROSSPROFITMARGIN</stp>
        <stp>3</stp>
        <stp>300058</stp>
        <stp>12/31/2018</stp>
        <stp>1</stp>
        <tr r="I873" s="1"/>
      </tp>
      <tp>
        <v>30.797238201999999</v>
        <stp/>
        <stp>EM_S_FA_GROSSPROFITMARGIN</stp>
        <stp>3</stp>
        <stp>600008</stp>
        <stp>12/31/2018</stp>
        <stp>1</stp>
        <tr r="I2550" s="1"/>
      </tp>
      <tp>
        <v>65.5571988242</v>
        <stp/>
        <stp>EM_S_FA_GROSSPROFITMARGIN</stp>
        <stp>3</stp>
        <stp>300158</stp>
        <stp>12/31/2018</stp>
        <stp>1</stp>
        <tr r="I1236" s="1"/>
      </tp>
      <tp>
        <v>20.660442076500001</v>
        <stp/>
        <stp>EM_S_FA_GROSSPROFITMARGIN</stp>
        <stp>3</stp>
        <stp>600108</stp>
        <stp>12/31/2018</stp>
        <stp>1</stp>
        <tr r="I1790" s="1"/>
      </tp>
      <tp>
        <v>68.208796572699995</v>
        <stp/>
        <stp>EM_S_FA_GROSSPROFITMARGIN</stp>
        <stp>3</stp>
        <stp>603808</stp>
        <stp>12/31/2018</stp>
        <stp>1</stp>
        <tr r="I2714" s="1"/>
      </tp>
      <tp>
        <v>27.295406182499999</v>
        <stp/>
        <stp>EM_S_FA_GROSSPROFITMARGIN</stp>
        <stp>3</stp>
        <stp>603908</stp>
        <stp>12/31/2018</stp>
        <stp>1</stp>
        <tr r="I2189" s="1"/>
      </tp>
      <tp>
        <v>56.013332942799998</v>
        <stp/>
        <stp>EM_S_FA_GROSSPROFITMARGIN</stp>
        <stp>3</stp>
        <stp>603608</stp>
        <stp>12/31/2018</stp>
        <stp>1</stp>
        <tr r="I2963" s="1"/>
      </tp>
      <tp>
        <v>21.774821872299999</v>
        <stp/>
        <stp>EM_S_FA_GROSSPROFITMARGIN</stp>
        <stp>3</stp>
        <stp>603708</stp>
        <stp>12/31/2018</stp>
        <stp>1</stp>
        <tr r="I1222" s="1"/>
      </tp>
      <tp>
        <v>60.938399607999997</v>
        <stp/>
        <stp>EM_S_FA_GROSSPROFITMARGIN</stp>
        <stp>3</stp>
        <stp>603508</stp>
        <stp>12/31/2018</stp>
        <stp>1</stp>
        <tr r="I586" s="1"/>
      </tp>
      <tp>
        <v>32.731500149399999</v>
        <stp/>
        <stp>EM_S_FA_GROSSPROFITMARGIN</stp>
        <stp>3</stp>
        <stp>603208</stp>
        <stp>12/31/2018</stp>
        <stp>1</stp>
        <tr r="I181" s="1"/>
      </tp>
      <tp>
        <v>35.643808640499998</v>
        <stp/>
        <stp>EM_S_FA_GROSSPROFITMARGIN</stp>
        <stp>3</stp>
        <stp>603308</stp>
        <stp>12/31/2018</stp>
        <stp>1</stp>
        <tr r="I218" s="1"/>
      </tp>
      <tp>
        <v>28.8395788815</v>
        <stp/>
        <stp>EM_S_FA_GROSSPROFITMARGIN</stp>
        <stp>3</stp>
        <stp>603008</stp>
        <stp>12/31/2018</stp>
        <stp>1</stp>
        <tr r="I376" s="1"/>
      </tp>
      <tp>
        <v>27.511181775699999</v>
        <stp/>
        <stp>EM_S_FA_GROSSPROFITMARGIN</stp>
        <stp>3</stp>
        <stp>603108</stp>
        <stp>12/31/2018</stp>
        <stp>1</stp>
        <tr r="I803" s="1"/>
      </tp>
      <tp>
        <v>34.537561219799997</v>
        <stp/>
        <stp>EM_S_FA_GROSSPROFITMARGIN</stp>
        <stp>3</stp>
        <stp>002868</stp>
        <stp>12/31/2018</stp>
        <stp>1</stp>
        <tr r="I1313" s="1"/>
      </tp>
      <tp>
        <v>30.583623355899999</v>
        <stp/>
        <stp>EM_S_FA_GROSSPROFITMARGIN</stp>
        <stp>3</stp>
        <stp>002668</stp>
        <stp>12/31/2018</stp>
        <stp>1</stp>
        <tr r="I1444" s="1"/>
      </tp>
      <tp>
        <v>17.5797898577</v>
        <stp/>
        <stp>EM_S_FA_GROSSPROFITMARGIN</stp>
        <stp>3</stp>
        <stp>002768</stp>
        <stp>12/31/2018</stp>
        <stp>1</stp>
        <tr r="I2063" s="1"/>
      </tp>
      <tp>
        <v>16.240098593500001</v>
        <stp/>
        <stp>EM_S_FA_GROSSPROFITMARGIN</stp>
        <stp>3</stp>
        <stp>002468</stp>
        <stp>12/31/2018</stp>
        <stp>1</stp>
        <tr r="I1355" s="1"/>
      </tp>
      <tp>
        <v>68.681990731699997</v>
        <stp/>
        <stp>EM_S_FA_GROSSPROFITMARGIN</stp>
        <stp>3</stp>
        <stp>002568</stp>
        <stp>12/31/2018</stp>
        <stp>1</stp>
        <tr r="I47" s="1"/>
      </tp>
      <tp>
        <v>35.010650632199997</v>
        <stp/>
        <stp>EM_S_FA_GROSSPROFITMARGIN</stp>
        <stp>3</stp>
        <stp>002268</stp>
        <stp>12/31/2018</stp>
        <stp>1</stp>
        <tr r="I691" s="1"/>
      </tp>
      <tp>
        <v>22.215260884100001</v>
        <stp/>
        <stp>EM_S_FA_GROSSPROFITMARGIN</stp>
        <stp>3</stp>
        <stp>002368</stp>
        <stp>12/31/2018</stp>
        <stp>1</stp>
        <tr r="I315" s="1"/>
      </tp>
      <tp>
        <v>15.691955550799999</v>
        <stp/>
        <stp>EM_S_FA_GROSSPROFITMARGIN</stp>
        <stp>3</stp>
        <stp>002068</stp>
        <stp>12/31/2018</stp>
        <stp>1</stp>
        <tr r="I3034" s="1"/>
      </tp>
      <tp>
        <v>71.359147168999996</v>
        <stp/>
        <stp>EM_S_FA_GROSSPROFITMARGIN</stp>
        <stp>3</stp>
        <stp>002168</stp>
        <stp>12/31/2018</stp>
        <stp>1</stp>
        <tr r="I3021" s="1"/>
      </tp>
      <tp>
        <v>0</v>
        <stp/>
        <stp>EM_S_FA_GROSSPROFITMARGIN</stp>
        <stp>3</stp>
        <stp>601009</stp>
        <stp>12/31/2018</stp>
        <stp>1</stp>
        <tr r="I813" s="1"/>
      </tp>
      <tp>
        <v>63.0198171587</v>
        <stp/>
        <stp>EM_S_FA_GROSSPROFITMARGIN</stp>
        <stp>3</stp>
        <stp>000869</stp>
        <stp>12/31/2018</stp>
        <stp>1</stp>
        <tr r="I1713" s="1"/>
      </tp>
      <tp>
        <v>66.213453314399999</v>
        <stp/>
        <stp>EM_S_FA_GROSSPROFITMARGIN</stp>
        <stp>3</stp>
        <stp>600809</stp>
        <stp>12/31/2018</stp>
        <stp>1</stp>
        <tr r="I75" s="1"/>
      </tp>
      <tp>
        <v>17.619121204100001</v>
        <stp/>
        <stp>EM_S_FA_GROSSPROFITMARGIN</stp>
        <stp>3</stp>
        <stp>000969</stp>
        <stp>12/31/2018</stp>
        <stp>1</stp>
        <tr r="I3588" s="1"/>
      </tp>
      <tp>
        <v>0</v>
        <stp/>
        <stp>EM_S_FA_GROSSPROFITMARGIN</stp>
        <stp>3</stp>
        <stp>600909</stp>
        <stp>12/31/2018</stp>
        <stp>1</stp>
        <tr r="I502" s="1"/>
      </tp>
      <tp>
        <v>15.005859253400001</v>
        <stp/>
        <stp>EM_S_FA_GROSSPROFITMARGIN</stp>
        <stp>3</stp>
        <stp>000669</stp>
        <stp>12/31/2018</stp>
        <stp>1</stp>
        <tr r="I3501" s="1"/>
      </tp>
      <tp>
        <v>66.537829119899996</v>
        <stp/>
        <stp>EM_S_FA_GROSSPROFITMARGIN</stp>
        <stp>3</stp>
        <stp>300659</stp>
        <stp>12/31/2018</stp>
        <stp>1</stp>
        <tr r="I39" s="1"/>
      </tp>
      <tp>
        <v>11.838174562800001</v>
        <stp/>
        <stp>EM_S_FA_GROSSPROFITMARGIN</stp>
        <stp>3</stp>
        <stp>600609</stp>
        <stp>12/31/2018</stp>
        <stp>1</stp>
        <tr r="I955" s="1"/>
      </tp>
      <tp>
        <v>37.204244134500001</v>
        <stp/>
        <stp>EM_S_FA_GROSSPROFITMARGIN</stp>
        <stp>3</stp>
        <stp>000769</stp>
        <stp>12/31/2018</stp>
        <stp>1</stp>
        <tr r="I2279" s="1"/>
      </tp>
      <tp>
        <v>-3.6243105595</v>
        <stp/>
        <stp>EM_S_FA_GROSSPROFITMARGIN</stp>
        <stp>3</stp>
        <stp>600709</stp>
        <stp>12/31/2018</stp>
        <stp>1</stp>
        <tr r="I2318" s="1"/>
      </tp>
      <tp>
        <v>70.873818149200005</v>
        <stp/>
        <stp>EM_S_FA_GROSSPROFITMARGIN</stp>
        <stp>3</stp>
        <stp>300459</stp>
        <stp>12/31/2018</stp>
        <stp>1</stp>
        <tr r="I3387" s="1"/>
      </tp>
      <tp>
        <v>26.689252657699999</v>
        <stp/>
        <stp>EM_S_FA_GROSSPROFITMARGIN</stp>
        <stp>3</stp>
        <stp>600409</stp>
        <stp>12/31/2018</stp>
        <stp>1</stp>
        <tr r="I1750" s="1"/>
      </tp>
      <tp>
        <v>0</v>
        <stp/>
        <stp>EM_S_FA_GROSSPROFITMARGIN</stp>
        <stp>3</stp>
        <stp>000569</stp>
        <stp>12/31/2018</stp>
        <stp>1</stp>
        <tr r="I3460" s="1"/>
      </tp>
      <tp>
        <v>58.186547135799998</v>
        <stp/>
        <stp>EM_S_FA_GROSSPROFITMARGIN</stp>
        <stp>3</stp>
        <stp>300559</stp>
        <stp>12/31/2018</stp>
        <stp>1</stp>
        <tr r="I2942" s="1"/>
      </tp>
      <tp>
        <v>21.920624012699999</v>
        <stp/>
        <stp>EM_S_FA_GROSSPROFITMARGIN</stp>
        <stp>3</stp>
        <stp>600509</stp>
        <stp>12/31/2018</stp>
        <stp>1</stp>
        <tr r="I2207" s="1"/>
      </tp>
      <tp>
        <v>49.8670048683</v>
        <stp/>
        <stp>EM_S_FA_GROSSPROFITMARGIN</stp>
        <stp>3</stp>
        <stp>300259</stp>
        <stp>12/31/2018</stp>
        <stp>1</stp>
        <tr r="I399" s="1"/>
      </tp>
      <tp>
        <v>7.3227315653999998</v>
        <stp/>
        <stp>EM_S_FA_GROSSPROFITMARGIN</stp>
        <stp>3</stp>
        <stp>600209</stp>
        <stp>12/31/2018</stp>
        <stp>1</stp>
        <tr r="I3022" s="1"/>
      </tp>
      <tp>
        <v>31.147856453399999</v>
        <stp/>
        <stp>EM_S_FA_GROSSPROFITMARGIN</stp>
        <stp>3</stp>
        <stp>300359</stp>
        <stp>12/31/2018</stp>
        <stp>1</stp>
        <tr r="I2431" s="1"/>
      </tp>
      <tp>
        <v>33.827833787300001</v>
        <stp/>
        <stp>EM_S_FA_GROSSPROFITMARGIN</stp>
        <stp>3</stp>
        <stp>600309</stp>
        <stp>12/31/2018</stp>
        <stp>1</stp>
        <tr r="I168" s="1"/>
      </tp>
      <tp>
        <v>60.349218647699999</v>
        <stp/>
        <stp>EM_S_FA_GROSSPROFITMARGIN</stp>
        <stp>3</stp>
        <stp>000069</stp>
        <stp>12/31/2018</stp>
        <stp>1</stp>
        <tr r="I986" s="1"/>
      </tp>
      <tp>
        <v>71.644685911300002</v>
        <stp/>
        <stp>EM_S_FA_GROSSPROFITMARGIN</stp>
        <stp>3</stp>
        <stp>300059</stp>
        <stp>12/31/2018</stp>
        <stp>1</stp>
        <tr r="I916" s="1"/>
      </tp>
      <tp>
        <v>51.688065594299999</v>
        <stp/>
        <stp>EM_S_FA_GROSSPROFITMARGIN</stp>
        <stp>3</stp>
        <stp>600009</stp>
        <stp>12/31/2018</stp>
        <stp>1</stp>
        <tr r="I511" s="1"/>
      </tp>
      <tp>
        <v>32.752768000700001</v>
        <stp/>
        <stp>EM_S_FA_GROSSPROFITMARGIN</stp>
        <stp>3</stp>
        <stp>300159</stp>
        <stp>12/31/2018</stp>
        <stp>1</stp>
        <tr r="I2909" s="1"/>
      </tp>
      <tp>
        <v>0</v>
        <stp/>
        <stp>EM_S_FA_GROSSPROFITMARGIN</stp>
        <stp>3</stp>
        <stp>600109</stp>
        <stp>12/31/2018</stp>
        <stp>1</stp>
        <tr r="I918" s="1"/>
      </tp>
      <tp>
        <v>33.967749398599999</v>
        <stp/>
        <stp>EM_S_FA_GROSSPROFITMARGIN</stp>
        <stp>3</stp>
        <stp>603809</stp>
        <stp>12/31/2018</stp>
        <stp>1</stp>
        <tr r="I3285" s="1"/>
      </tp>
      <tp>
        <v>41.261114575599997</v>
        <stp/>
        <stp>EM_S_FA_GROSSPROFITMARGIN</stp>
        <stp>3</stp>
        <stp>603909</stp>
        <stp>12/31/2018</stp>
        <stp>1</stp>
        <tr r="I3356" s="1"/>
      </tp>
      <tp>
        <v>8.4408449215000001</v>
        <stp/>
        <stp>EM_S_FA_GROSSPROFITMARGIN</stp>
        <stp>3</stp>
        <stp>603609</stp>
        <stp>12/31/2018</stp>
        <stp>1</stp>
        <tr r="I548" s="1"/>
      </tp>
      <tp>
        <v>27.2240671058</v>
        <stp/>
        <stp>EM_S_FA_GROSSPROFITMARGIN</stp>
        <stp>3</stp>
        <stp>603709</stp>
        <stp>12/31/2018</stp>
        <stp>1</stp>
        <tr r="I2206" s="1"/>
      </tp>
      <tp>
        <v>35.168588481299999</v>
        <stp/>
        <stp>EM_S_FA_GROSSPROFITMARGIN</stp>
        <stp>3</stp>
        <stp>603309</stp>
        <stp>12/31/2018</stp>
        <stp>1</stp>
        <tr r="I620" s="1"/>
      </tp>
      <tp>
        <v>24.9398566614</v>
        <stp/>
        <stp>EM_S_FA_GROSSPROFITMARGIN</stp>
        <stp>3</stp>
        <stp>603009</stp>
        <stp>12/31/2018</stp>
        <stp>1</stp>
        <tr r="I1875" s="1"/>
      </tp>
      <tp>
        <v>38.390646288200003</v>
        <stp/>
        <stp>EM_S_FA_GROSSPROFITMARGIN</stp>
        <stp>3</stp>
        <stp>002869</stp>
        <stp>12/31/2018</stp>
        <stp>1</stp>
        <tr r="I26" s="1"/>
      </tp>
      <tp>
        <v>28.829405686899999</v>
        <stp/>
        <stp>EM_S_FA_GROSSPROFITMARGIN</stp>
        <stp>3</stp>
        <stp>002669</stp>
        <stp>12/31/2018</stp>
        <stp>1</stp>
        <tr r="I830" s="1"/>
      </tp>
      <tp>
        <v>8.7998255274999995</v>
        <stp/>
        <stp>EM_S_FA_GROSSPROFITMARGIN</stp>
        <stp>3</stp>
        <stp>002769</stp>
        <stp>12/31/2018</stp>
        <stp>1</stp>
        <tr r="I2989" s="1"/>
      </tp>
      <tp>
        <v>31.919232167000001</v>
        <stp/>
        <stp>EM_S_FA_GROSSPROFITMARGIN</stp>
        <stp>3</stp>
        <stp>002469</stp>
        <stp>12/31/2018</stp>
        <stp>1</stp>
        <tr r="I1922" s="1"/>
      </tp>
      <tp>
        <v>35.559824241299999</v>
        <stp/>
        <stp>EM_S_FA_GROSSPROFITMARGIN</stp>
        <stp>3</stp>
        <stp>002569</stp>
        <stp>12/31/2018</stp>
        <stp>1</stp>
        <tr r="I2052" s="1"/>
      </tp>
      <tp>
        <v>44.661162211600001</v>
        <stp/>
        <stp>EM_S_FA_GROSSPROFITMARGIN</stp>
        <stp>3</stp>
        <stp>002269</stp>
        <stp>12/31/2018</stp>
        <stp>1</stp>
        <tr r="I1454" s="1"/>
      </tp>
      <tp>
        <v>7.4595286871999997</v>
        <stp/>
        <stp>EM_S_FA_GROSSPROFITMARGIN</stp>
        <stp>3</stp>
        <stp>002369</stp>
        <stp>12/31/2018</stp>
        <stp>1</stp>
        <tr r="I1109" s="1"/>
      </tp>
      <tp>
        <v>16.713349253600001</v>
        <stp/>
        <stp>EM_S_FA_GROSSPROFITMARGIN</stp>
        <stp>3</stp>
        <stp>002069</stp>
        <stp>12/31/2018</stp>
        <stp>1</stp>
        <tr r="I3621" s="1"/>
      </tp>
      <tp>
        <v>18.703051899999998</v>
        <stp/>
        <stp>EM_S_FA_GROSSPROFITMARGIN</stp>
        <stp>3</stp>
        <stp>002169</stp>
        <stp>12/31/2018</stp>
        <stp>1</stp>
        <tr r="I182" s="1"/>
      </tp>
      <tp>
        <v>5.9481038907999997</v>
        <stp/>
        <stp>EM_S_FA_GROSSPROFITMARGIN</stp>
        <stp>3</stp>
        <stp>600834</stp>
        <stp>12/31/2018</stp>
        <stp>1</stp>
        <tr r="I1990" s="1"/>
      </tp>
      <tp>
        <v>50.189212691599998</v>
        <stp/>
        <stp>EM_S_FA_GROSSPROFITMARGIN</stp>
        <stp>3</stp>
        <stp>300664</stp>
        <stp>12/31/2018</stp>
        <stp>1</stp>
        <tr r="I1901" s="1"/>
      </tp>
      <tp>
        <v>78.075433665399999</v>
        <stp/>
        <stp>EM_S_FA_GROSSPROFITMARGIN</stp>
        <stp>3</stp>
        <stp>600634</stp>
        <stp>12/31/2018</stp>
        <stp>1</stp>
        <tr r="I3293" s="1"/>
      </tp>
      <tp>
        <v>9.5116861044000007</v>
        <stp/>
        <stp>EM_S_FA_GROSSPROFITMARGIN</stp>
        <stp>3</stp>
        <stp>600734</stp>
        <stp>12/31/2018</stp>
        <stp>1</stp>
        <tr r="I1850" s="1"/>
      </tp>
      <tp>
        <v>12.866670752199999</v>
        <stp/>
        <stp>EM_S_FA_GROSSPROFITMARGIN</stp>
        <stp>3</stp>
        <stp>300464</stp>
        <stp>12/31/2018</stp>
        <stp>1</stp>
        <tr r="I195" s="1"/>
      </tp>
      <tp>
        <v>8.7364542668999992</v>
        <stp/>
        <stp>EM_S_FA_GROSSPROFITMARGIN</stp>
        <stp>3</stp>
        <stp>000554</stp>
        <stp>12/31/2018</stp>
        <stp>1</stp>
        <tr r="I2564" s="1"/>
      </tp>
      <tp>
        <v>31.6383048169</v>
        <stp/>
        <stp>EM_S_FA_GROSSPROFITMARGIN</stp>
        <stp>3</stp>
        <stp>300264</stp>
        <stp>12/31/2018</stp>
        <stp>1</stp>
        <tr r="I2027" s="1"/>
      </tp>
      <tp>
        <v>34.767601714999998</v>
        <stp/>
        <stp>EM_S_FA_GROSSPROFITMARGIN</stp>
        <stp>3</stp>
        <stp>600234</stp>
        <stp>12/31/2018</stp>
        <stp>1</stp>
        <tr r="I1543" s="1"/>
      </tp>
      <tp>
        <v>39.763850171999998</v>
        <stp/>
        <stp>EM_S_FA_GROSSPROFITMARGIN</stp>
        <stp>3</stp>
        <stp>300364</stp>
        <stp>12/31/2018</stp>
        <stp>1</stp>
        <tr r="I2917" s="1"/>
      </tp>
      <tp>
        <v>33.284821686900003</v>
        <stp/>
        <stp>EM_S_FA_GROSSPROFITMARGIN</stp>
        <stp>3</stp>
        <stp>300064</stp>
        <stp>12/31/2018</stp>
        <stp>1</stp>
        <tr r="I3172" s="1"/>
      </tp>
      <tp>
        <v>36.359404647799998</v>
        <stp/>
        <stp>EM_S_FA_GROSSPROFITMARGIN</stp>
        <stp>3</stp>
        <stp>300164</stp>
        <stp>12/31/2018</stp>
        <stp>1</stp>
        <tr r="I2988" s="1"/>
      </tp>
      <tp>
        <v>14.1245967264</v>
        <stp/>
        <stp>EM_S_FA_GROSSPROFITMARGIN</stp>
        <stp>3</stp>
        <stp>002654</stp>
        <stp>12/31/2018</stp>
        <stp>1</stp>
        <tr r="I606" s="1"/>
      </tp>
      <tp>
        <v>24.916664871199998</v>
        <stp/>
        <stp>EM_S_FA_GROSSPROFITMARGIN</stp>
        <stp>3</stp>
        <stp>002454</stp>
        <stp>12/31/2018</stp>
        <stp>1</stp>
        <tr r="I1327" s="1"/>
      </tp>
      <tp>
        <v>17.497258691199999</v>
        <stp/>
        <stp>EM_S_FA_GROSSPROFITMARGIN</stp>
        <stp>3</stp>
        <stp>002554</stp>
        <stp>12/31/2018</stp>
        <stp>1</stp>
        <tr r="I1656" s="1"/>
      </tp>
      <tp>
        <v>17.323554873700001</v>
        <stp/>
        <stp>EM_S_FA_GROSSPROFITMARGIN</stp>
        <stp>3</stp>
        <stp>002254</stp>
        <stp>12/31/2018</stp>
        <stp>1</stp>
        <tr r="I2504" s="1"/>
      </tp>
      <tp>
        <v>65.093574086199993</v>
        <stp/>
        <stp>EM_S_FA_GROSSPROFITMARGIN</stp>
        <stp>3</stp>
        <stp>002354</stp>
        <stp>12/31/2018</stp>
        <stp>1</stp>
        <tr r="I3345" s="1"/>
      </tp>
      <tp>
        <v>30.347473836399999</v>
        <stp/>
        <stp>EM_S_FA_GROSSPROFITMARGIN</stp>
        <stp>3</stp>
        <stp>002054</stp>
        <stp>12/31/2018</stp>
        <stp>1</stp>
        <tr r="I3620" s="1"/>
      </tp>
      <tp>
        <v>61.055625619200001</v>
        <stp/>
        <stp>EM_S_FA_GROSSPROFITMARGIN</stp>
        <stp>3</stp>
        <stp>002154</stp>
        <stp>12/31/2018</stp>
        <stp>1</stp>
        <tr r="I1861" s="1"/>
      </tp>
      <tp>
        <v>19.098078541</v>
        <stp/>
        <stp>EM_S_FA_GROSSPROFITMARGIN</stp>
        <stp>3</stp>
        <stp>600835</stp>
        <stp>12/31/2018</stp>
        <stp>1</stp>
        <tr r="I1537" s="1"/>
      </tp>
      <tp>
        <v>11.8817642109</v>
        <stp/>
        <stp>EM_S_FA_GROSSPROFITMARGIN</stp>
        <stp>3</stp>
        <stp>000955</stp>
        <stp>12/31/2018</stp>
        <stp>1</stp>
        <tr r="I3585" s="1"/>
      </tp>
      <tp>
        <v>24.115174515900001</v>
        <stp/>
        <stp>EM_S_FA_GROSSPROFITMARGIN</stp>
        <stp>3</stp>
        <stp>000655</stp>
        <stp>12/31/2018</stp>
        <stp>1</stp>
        <tr r="I3494" s="1"/>
      </tp>
      <tp>
        <v>26.363238731399999</v>
        <stp/>
        <stp>EM_S_FA_GROSSPROFITMARGIN</stp>
        <stp>3</stp>
        <stp>300665</stp>
        <stp>12/31/2018</stp>
        <stp>1</stp>
        <tr r="I1720" s="1"/>
      </tp>
      <tp>
        <v>8.9366493532</v>
        <stp/>
        <stp>EM_S_FA_GROSSPROFITMARGIN</stp>
        <stp>3</stp>
        <stp>600635</stp>
        <stp>12/31/2018</stp>
        <stp>1</stp>
        <tr r="I2147" s="1"/>
      </tp>
      <tp>
        <v>31.889637522600001</v>
        <stp/>
        <stp>EM_S_FA_GROSSPROFITMARGIN</stp>
        <stp>3</stp>
        <stp>000755</stp>
        <stp>12/31/2018</stp>
        <stp>1</stp>
        <tr r="I3528" s="1"/>
      </tp>
      <tp>
        <v>25.4000329544</v>
        <stp/>
        <stp>EM_S_FA_GROSSPROFITMARGIN</stp>
        <stp>3</stp>
        <stp>600735</stp>
        <stp>12/31/2018</stp>
        <stp>1</stp>
        <tr r="I990" s="1"/>
      </tp>
      <tp>
        <v>22.8812193196</v>
        <stp/>
        <stp>EM_S_FA_GROSSPROFITMARGIN</stp>
        <stp>3</stp>
        <stp>300465</stp>
        <stp>12/31/2018</stp>
        <stp>1</stp>
        <tr r="I477" s="1"/>
      </tp>
      <tp>
        <v>26.706345019099999</v>
        <stp/>
        <stp>EM_S_FA_GROSSPROFITMARGIN</stp>
        <stp>3</stp>
        <stp>600435</stp>
        <stp>12/31/2018</stp>
        <stp>1</stp>
        <tr r="I1564" s="1"/>
      </tp>
      <tp>
        <v>18.627764384599999</v>
        <stp/>
        <stp>EM_S_FA_GROSSPROFITMARGIN</stp>
        <stp>3</stp>
        <stp>000555</stp>
        <stp>12/31/2018</stp>
        <stp>1</stp>
        <tr r="I519" s="1"/>
      </tp>
      <tp>
        <v>33.019030555599997</v>
        <stp/>
        <stp>EM_S_FA_GROSSPROFITMARGIN</stp>
        <stp>3</stp>
        <stp>300565</stp>
        <stp>12/31/2018</stp>
        <stp>1</stp>
        <tr r="I3141" s="1"/>
      </tp>
      <tp>
        <v>36.198964850899998</v>
        <stp/>
        <stp>EM_S_FA_GROSSPROFITMARGIN</stp>
        <stp>3</stp>
        <stp>600535</stp>
        <stp>12/31/2018</stp>
        <stp>1</stp>
        <tr r="I3081" s="1"/>
      </tp>
      <tp>
        <v>20.649954661399999</v>
        <stp/>
        <stp>EM_S_FA_GROSSPROFITMARGIN</stp>
        <stp>3</stp>
        <stp>300265</stp>
        <stp>12/31/2018</stp>
        <stp>1</stp>
        <tr r="I2552" s="1"/>
      </tp>
      <tp>
        <v>14.484108067699999</v>
        <stp/>
        <stp>EM_S_FA_GROSSPROFITMARGIN</stp>
        <stp>3</stp>
        <stp>600235</stp>
        <stp>12/31/2018</stp>
        <stp>1</stp>
        <tr r="I2924" s="1"/>
      </tp>
      <tp>
        <v>43.251237505100001</v>
        <stp/>
        <stp>EM_S_FA_GROSSPROFITMARGIN</stp>
        <stp>3</stp>
        <stp>300365</stp>
        <stp>12/31/2018</stp>
        <stp>1</stp>
        <tr r="I3299" s="1"/>
      </tp>
      <tp>
        <v>6.1803312671999997</v>
        <stp/>
        <stp>EM_S_FA_GROSSPROFITMARGIN</stp>
        <stp>3</stp>
        <stp>600335</stp>
        <stp>12/31/2018</stp>
        <stp>1</stp>
        <tr r="I2633" s="1"/>
      </tp>
      <tp>
        <v>23.312781472299999</v>
        <stp/>
        <stp>EM_S_FA_GROSSPROFITMARGIN</stp>
        <stp>3</stp>
        <stp>000055</stp>
        <stp>12/31/2018</stp>
        <stp>1</stp>
        <tr r="I1107" s="1"/>
      </tp>
      <tp>
        <v>39.738754081099998</v>
        <stp/>
        <stp>EM_S_FA_GROSSPROFITMARGIN</stp>
        <stp>3</stp>
        <stp>300065</stp>
        <stp>12/31/2018</stp>
        <stp>1</stp>
        <tr r="I1337" s="1"/>
      </tp>
      <tp>
        <v>35.384218621599999</v>
        <stp/>
        <stp>EM_S_FA_GROSSPROFITMARGIN</stp>
        <stp>3</stp>
        <stp>600035</stp>
        <stp>12/31/2018</stp>
        <stp>1</stp>
        <tr r="I1452" s="1"/>
      </tp>
      <tp>
        <v>11.9166438518</v>
        <stp/>
        <stp>EM_S_FA_GROSSPROFITMARGIN</stp>
        <stp>3</stp>
        <stp>000155</stp>
        <stp>12/31/2018</stp>
        <stp>1</stp>
        <tr r="I1263" s="1"/>
      </tp>
      <tp>
        <v>44.274463321100001</v>
        <stp/>
        <stp>EM_S_FA_GROSSPROFITMARGIN</stp>
        <stp>3</stp>
        <stp>300165</stp>
        <stp>12/31/2018</stp>
        <stp>1</stp>
        <tr r="I1207" s="1"/>
      </tp>
      <tp>
        <v>13.639846374899999</v>
        <stp/>
        <stp>EM_S_FA_GROSSPROFITMARGIN</stp>
        <stp>3</stp>
        <stp>600135</stp>
        <stp>12/31/2018</stp>
        <stp>1</stp>
        <tr r="I1020" s="1"/>
      </tp>
      <tp>
        <v>23.729275234399999</v>
        <stp/>
        <stp>EM_S_FA_GROSSPROFITMARGIN</stp>
        <stp>3</stp>
        <stp>603535</stp>
        <stp>12/31/2018</stp>
        <stp>1</stp>
        <tr r="I2420" s="1"/>
      </tp>
      <tp>
        <v>24.8997316795</v>
        <stp/>
        <stp>EM_S_FA_GROSSPROFITMARGIN</stp>
        <stp>3</stp>
        <stp>603335</stp>
        <stp>12/31/2018</stp>
        <stp>1</stp>
        <tr r="I3070" s="1"/>
      </tp>
      <tp>
        <v>20.935047682499999</v>
        <stp/>
        <stp>EM_S_FA_GROSSPROFITMARGIN</stp>
        <stp>3</stp>
        <stp>603035</stp>
        <stp>12/31/2018</stp>
        <stp>1</stp>
        <tr r="I1913" s="1"/>
      </tp>
      <tp>
        <v>15.730302438400001</v>
        <stp/>
        <stp>EM_S_FA_GROSSPROFITMARGIN</stp>
        <stp>3</stp>
        <stp>002855</stp>
        <stp>12/31/2018</stp>
        <stp>1</stp>
        <tr r="I475" s="1"/>
      </tp>
      <tp>
        <v>25.333646655500001</v>
        <stp/>
        <stp>EM_S_FA_GROSSPROFITMARGIN</stp>
        <stp>3</stp>
        <stp>002655</stp>
        <stp>12/31/2018</stp>
        <stp>1</stp>
        <tr r="I153" s="1"/>
      </tp>
      <tp>
        <v>92.935378149000002</v>
        <stp/>
        <stp>EM_S_FA_GROSSPROFITMARGIN</stp>
        <stp>3</stp>
        <stp>002755</stp>
        <stp>12/31/2018</stp>
        <stp>1</stp>
        <tr r="I1289" s="1"/>
      </tp>
      <tp>
        <v>10.923622376599999</v>
        <stp/>
        <stp>EM_S_FA_GROSSPROFITMARGIN</stp>
        <stp>3</stp>
        <stp>002455</stp>
        <stp>12/31/2018</stp>
        <stp>1</stp>
        <tr r="I1250" s="1"/>
      </tp>
      <tp>
        <v>76.267562392499997</v>
        <stp/>
        <stp>EM_S_FA_GROSSPROFITMARGIN</stp>
        <stp>3</stp>
        <stp>002555</stp>
        <stp>12/31/2018</stp>
        <stp>1</stp>
        <tr r="I50" s="1"/>
      </tp>
      <tp>
        <v>21.8240076911</v>
        <stp/>
        <stp>EM_S_FA_GROSSPROFITMARGIN</stp>
        <stp>3</stp>
        <stp>002255</stp>
        <stp>12/31/2018</stp>
        <stp>1</stp>
        <tr r="I3028" s="1"/>
      </tp>
      <tp>
        <v>13.774326633899999</v>
        <stp/>
        <stp>EM_S_FA_GROSSPROFITMARGIN</stp>
        <stp>3</stp>
        <stp>002355</stp>
        <stp>12/31/2018</stp>
        <stp>1</stp>
        <tr r="I2718" s="1"/>
      </tp>
      <tp>
        <v>14.023933574599999</v>
        <stp/>
        <stp>EM_S_FA_GROSSPROFITMARGIN</stp>
        <stp>3</stp>
        <stp>002055</stp>
        <stp>12/31/2018</stp>
        <stp>1</stp>
        <tr r="I1666" s="1"/>
      </tp>
      <tp>
        <v>9.8739466975999992</v>
        <stp/>
        <stp>EM_S_FA_GROSSPROFITMARGIN</stp>
        <stp>3</stp>
        <stp>002155</stp>
        <stp>12/31/2018</stp>
        <stp>1</stp>
        <tr r="I2369" s="1"/>
      </tp>
      <tp>
        <v>28.791035174299999</v>
        <stp/>
        <stp>EM_S_FA_GROSSPROFITMARGIN</stp>
        <stp>3</stp>
        <stp>601636</stp>
        <stp>12/31/2018</stp>
        <stp>1</stp>
        <tr r="I666" s="1"/>
      </tp>
      <tp>
        <v>0</v>
        <stp/>
        <stp>EM_S_FA_GROSSPROFITMARGIN</stp>
        <stp>3</stp>
        <stp>601336</stp>
        <stp>12/31/2018</stp>
        <stp>1</stp>
        <tr r="I1427" s="1"/>
      </tp>
      <tp>
        <v>5.0234360755000003</v>
        <stp/>
        <stp>EM_S_FA_GROSSPROFITMARGIN</stp>
        <stp>3</stp>
        <stp>000856</stp>
        <stp>12/31/2018</stp>
        <stp>1</stp>
        <tr r="I3157" s="1"/>
      </tp>
      <tp>
        <v>20.1924758603</v>
        <stp/>
        <stp>EM_S_FA_GROSSPROFITMARGIN</stp>
        <stp>3</stp>
        <stp>600836</stp>
        <stp>12/31/2018</stp>
        <stp>1</stp>
        <tr r="I857" s="1"/>
      </tp>
      <tp>
        <v>0</v>
        <stp/>
        <stp>EM_S_FA_GROSSPROFITMARGIN</stp>
        <stp>3</stp>
        <stp>000956</stp>
        <stp>12/31/2018</stp>
        <stp>1</stp>
        <tr r="I3586" s="1"/>
      </tp>
      <tp>
        <v>20.2910566483</v>
        <stp/>
        <stp>EM_S_FA_GROSSPROFITMARGIN</stp>
        <stp>3</stp>
        <stp>600936</stp>
        <stp>12/31/2018</stp>
        <stp>1</stp>
        <tr r="I2127" s="1"/>
      </tp>
      <tp>
        <v>28.571566520600001</v>
        <stp/>
        <stp>EM_S_FA_GROSSPROFITMARGIN</stp>
        <stp>3</stp>
        <stp>000656</stp>
        <stp>12/31/2018</stp>
        <stp>1</stp>
        <tr r="I1182" s="1"/>
      </tp>
      <tp>
        <v>29.5966252361</v>
        <stp/>
        <stp>EM_S_FA_GROSSPROFITMARGIN</stp>
        <stp>3</stp>
        <stp>300666</stp>
        <stp>12/31/2018</stp>
        <stp>1</stp>
        <tr r="I2037" s="1"/>
      </tp>
      <tp>
        <v>22.601812112800001</v>
        <stp/>
        <stp>EM_S_FA_GROSSPROFITMARGIN</stp>
        <stp>3</stp>
        <stp>600636</stp>
        <stp>12/31/2018</stp>
        <stp>1</stp>
        <tr r="I2618" s="1"/>
      </tp>
      <tp>
        <v>29.920116516899999</v>
        <stp/>
        <stp>EM_S_FA_GROSSPROFITMARGIN</stp>
        <stp>3</stp>
        <stp>000756</stp>
        <stp>12/31/2018</stp>
        <stp>1</stp>
        <tr r="I945" s="1"/>
      </tp>
      <tp>
        <v>34.098127593100003</v>
        <stp/>
        <stp>EM_S_FA_GROSSPROFITMARGIN</stp>
        <stp>3</stp>
        <stp>600736</stp>
        <stp>12/31/2018</stp>
        <stp>1</stp>
        <tr r="I1764" s="1"/>
      </tp>
      <tp>
        <v>42.845760164200001</v>
        <stp/>
        <stp>EM_S_FA_GROSSPROFITMARGIN</stp>
        <stp>3</stp>
        <stp>300466</stp>
        <stp>12/31/2018</stp>
        <stp>1</stp>
        <tr r="I1519" s="1"/>
      </tp>
      <tp>
        <v>42.419897710599997</v>
        <stp/>
        <stp>EM_S_FA_GROSSPROFITMARGIN</stp>
        <stp>3</stp>
        <stp>600436</stp>
        <stp>12/31/2018</stp>
        <stp>1</stp>
        <tr r="I1060" s="1"/>
      </tp>
      <tp>
        <v>15.627141442999999</v>
        <stp/>
        <stp>EM_S_FA_GROSSPROFITMARGIN</stp>
        <stp>3</stp>
        <stp>000556</stp>
        <stp>12/31/2018</stp>
        <stp>1</stp>
        <tr r="I3453" s="1"/>
      </tp>
      <tp>
        <v>25.092538571999999</v>
        <stp/>
        <stp>EM_S_FA_GROSSPROFITMARGIN</stp>
        <stp>3</stp>
        <stp>300566</stp>
        <stp>12/31/2018</stp>
        <stp>1</stp>
        <tr r="I215" s="1"/>
      </tp>
      <tp>
        <v>39.0970933149</v>
        <stp/>
        <stp>EM_S_FA_GROSSPROFITMARGIN</stp>
        <stp>3</stp>
        <stp>600536</stp>
        <stp>12/31/2018</stp>
        <stp>1</stp>
        <tr r="I32" s="1"/>
      </tp>
      <tp>
        <v>16.487539192100002</v>
        <stp/>
        <stp>EM_S_FA_GROSSPROFITMARGIN</stp>
        <stp>3</stp>
        <stp>300266</stp>
        <stp>12/31/2018</stp>
        <stp>1</stp>
        <tr r="I2378" s="1"/>
      </tp>
      <tp>
        <v>51.310835405200002</v>
        <stp/>
        <stp>EM_S_FA_GROSSPROFITMARGIN</stp>
        <stp>3</stp>
        <stp>600236</stp>
        <stp>12/31/2018</stp>
        <stp>1</stp>
        <tr r="I2882" s="1"/>
      </tp>
      <tp>
        <v>27.645807250499999</v>
        <stp/>
        <stp>EM_S_FA_GROSSPROFITMARGIN</stp>
        <stp>3</stp>
        <stp>300366</stp>
        <stp>12/31/2018</stp>
        <stp>1</stp>
        <tr r="I702" s="1"/>
      </tp>
      <tp>
        <v>19.942618669200002</v>
        <stp/>
        <stp>EM_S_FA_GROSSPROFITMARGIN</stp>
        <stp>3</stp>
        <stp>600336</stp>
        <stp>12/31/2018</stp>
        <stp>1</stp>
        <tr r="I936" s="1"/>
      </tp>
      <tp>
        <v>63.218309964299998</v>
        <stp/>
        <stp>EM_S_FA_GROSSPROFITMARGIN</stp>
        <stp>3</stp>
        <stp>000056</stp>
        <stp>12/31/2018</stp>
        <stp>1</stp>
        <tr r="I2827" s="1"/>
      </tp>
      <tp>
        <v>33.913390724599999</v>
        <stp/>
        <stp>EM_S_FA_GROSSPROFITMARGIN</stp>
        <stp>3</stp>
        <stp>300066</stp>
        <stp>12/31/2018</stp>
        <stp>1</stp>
        <tr r="I710" s="1"/>
      </tp>
      <tp>
        <v>0</v>
        <stp/>
        <stp>EM_S_FA_GROSSPROFITMARGIN</stp>
        <stp>3</stp>
        <stp>600036</stp>
        <stp>12/31/2018</stp>
        <stp>1</stp>
        <tr r="I562" s="1"/>
      </tp>
      <tp>
        <v>40.694748390900003</v>
        <stp/>
        <stp>EM_S_FA_GROSSPROFITMARGIN</stp>
        <stp>3</stp>
        <stp>000156</stp>
        <stp>12/31/2018</stp>
        <stp>1</stp>
        <tr r="I834" s="1"/>
      </tp>
      <tp>
        <v>49.352317174699998</v>
        <stp/>
        <stp>EM_S_FA_GROSSPROFITMARGIN</stp>
        <stp>3</stp>
        <stp>300166</stp>
        <stp>12/31/2018</stp>
        <stp>1</stp>
        <tr r="I1061" s="1"/>
      </tp>
      <tp>
        <v>34.971280476700002</v>
        <stp/>
        <stp>EM_S_FA_GROSSPROFITMARGIN</stp>
        <stp>3</stp>
        <stp>600136</stp>
        <stp>12/31/2018</stp>
        <stp>1</stp>
        <tr r="I571" s="1"/>
      </tp>
      <tp>
        <v>18.7768834333</v>
        <stp/>
        <stp>EM_S_FA_GROSSPROFITMARGIN</stp>
        <stp>3</stp>
        <stp>603936</stp>
        <stp>12/31/2018</stp>
        <stp>1</stp>
        <tr r="I1179" s="1"/>
      </tp>
      <tp>
        <v>45.286599471499997</v>
        <stp/>
        <stp>EM_S_FA_GROSSPROFITMARGIN</stp>
        <stp>3</stp>
        <stp>603636</stp>
        <stp>12/31/2018</stp>
        <stp>1</stp>
        <tr r="I1377" s="1"/>
      </tp>
      <tp>
        <v>22.622958584599999</v>
        <stp/>
        <stp>EM_S_FA_GROSSPROFITMARGIN</stp>
        <stp>3</stp>
        <stp>603536</stp>
        <stp>12/31/2018</stp>
        <stp>1</stp>
        <tr r="I60" s="1"/>
      </tp>
      <tp>
        <v>14.5501081546</v>
        <stp/>
        <stp>EM_S_FA_GROSSPROFITMARGIN</stp>
        <stp>3</stp>
        <stp>603336</stp>
        <stp>12/31/2018</stp>
        <stp>1</stp>
        <tr r="I2819" s="1"/>
      </tp>
      <tp>
        <v>35.137347749500002</v>
        <stp/>
        <stp>EM_S_FA_GROSSPROFITMARGIN</stp>
        <stp>3</stp>
        <stp>603036</stp>
        <stp>12/31/2018</stp>
        <stp>1</stp>
        <tr r="I2651" s="1"/>
      </tp>
      <tp>
        <v>62.103559582000003</v>
        <stp/>
        <stp>EM_S_FA_GROSSPROFITMARGIN</stp>
        <stp>3</stp>
        <stp>603136</stp>
        <stp>12/31/2018</stp>
        <stp>1</stp>
        <tr r="I2787" s="1"/>
      </tp>
      <tp>
        <v>12.7912103891</v>
        <stp/>
        <stp>EM_S_FA_GROSSPROFITMARGIN</stp>
        <stp>3</stp>
        <stp>002856</stp>
        <stp>12/31/2018</stp>
        <stp>1</stp>
        <tr r="I2870" s="1"/>
      </tp>
      <tp>
        <v>41.458748881299996</v>
        <stp/>
        <stp>EM_S_FA_GROSSPROFITMARGIN</stp>
        <stp>3</stp>
        <stp>002656</stp>
        <stp>12/31/2018</stp>
        <stp>1</stp>
        <tr r="I3289" s="1"/>
      </tp>
      <tp>
        <v>14.9533185895</v>
        <stp/>
        <stp>EM_S_FA_GROSSPROFITMARGIN</stp>
        <stp>3</stp>
        <stp>002756</stp>
        <stp>12/31/2018</stp>
        <stp>1</stp>
        <tr r="I470" s="1"/>
      </tp>
      <tp>
        <v>12.315380682400001</v>
        <stp/>
        <stp>EM_S_FA_GROSSPROFITMARGIN</stp>
        <stp>3</stp>
        <stp>002456</stp>
        <stp>12/31/2018</stp>
        <stp>1</stp>
        <tr r="I316" s="1"/>
      </tp>
      <tp>
        <v>4.8809813266999997</v>
        <stp/>
        <stp>EM_S_FA_GROSSPROFITMARGIN</stp>
        <stp>3</stp>
        <stp>002556</stp>
        <stp>12/31/2018</stp>
        <stp>1</stp>
        <tr r="I1846" s="1"/>
      </tp>
      <tp>
        <v>37.1963825391</v>
        <stp/>
        <stp>EM_S_FA_GROSSPROFITMARGIN</stp>
        <stp>3</stp>
        <stp>002256</stp>
        <stp>12/31/2018</stp>
        <stp>1</stp>
        <tr r="I2915" s="1"/>
      </tp>
      <tp>
        <v>48.4615400912</v>
        <stp/>
        <stp>EM_S_FA_GROSSPROFITMARGIN</stp>
        <stp>3</stp>
        <stp>002356</stp>
        <stp>12/31/2018</stp>
        <stp>1</stp>
        <tr r="I3400" s="1"/>
      </tp>
      <tp>
        <v>24.3728547085</v>
        <stp/>
        <stp>EM_S_FA_GROSSPROFITMARGIN</stp>
        <stp>3</stp>
        <stp>002056</stp>
        <stp>12/31/2018</stp>
        <stp>1</stp>
        <tr r="I553" s="1"/>
      </tp>
      <tp>
        <v>15.9043382919</v>
        <stp/>
        <stp>EM_S_FA_GROSSPROFITMARGIN</stp>
        <stp>3</stp>
        <stp>002156</stp>
        <stp>12/31/2018</stp>
        <stp>1</stp>
        <tr r="I102" s="1"/>
      </tp>
      <tp>
        <v>15.1172930849</v>
        <stp/>
        <stp>EM_S_FA_GROSSPROFITMARGIN</stp>
        <stp>3</stp>
        <stp>601137</stp>
        <stp>12/31/2018</stp>
        <stp>1</stp>
        <tr r="I356" s="1"/>
      </tp>
      <tp>
        <v>0</v>
        <stp/>
        <stp>EM_S_FA_GROSSPROFITMARGIN</stp>
        <stp>3</stp>
        <stp>600837</stp>
        <stp>12/31/2018</stp>
        <stp>1</stp>
        <tr r="I260" s="1"/>
      </tp>
      <tp>
        <v>16.331427438599999</v>
        <stp/>
        <stp>EM_S_FA_GROSSPROFITMARGIN</stp>
        <stp>3</stp>
        <stp>000957</stp>
        <stp>12/31/2018</stp>
        <stp>1</stp>
        <tr r="I3587" s="1"/>
      </tp>
      <tp>
        <v>19.199816797299999</v>
        <stp/>
        <stp>EM_S_FA_GROSSPROFITMARGIN</stp>
        <stp>3</stp>
        <stp>000657</stp>
        <stp>12/31/2018</stp>
        <stp>1</stp>
        <tr r="I974" s="1"/>
      </tp>
      <tp>
        <v>50.146099318399997</v>
        <stp/>
        <stp>EM_S_FA_GROSSPROFITMARGIN</stp>
        <stp>3</stp>
        <stp>300667</stp>
        <stp>12/31/2018</stp>
        <stp>1</stp>
        <tr r="I1538" s="1"/>
      </tp>
      <tp>
        <v>23.884749439299998</v>
        <stp/>
        <stp>EM_S_FA_GROSSPROFITMARGIN</stp>
        <stp>3</stp>
        <stp>600637</stp>
        <stp>12/31/2018</stp>
        <stp>1</stp>
        <tr r="I2727" s="1"/>
      </tp>
      <tp>
        <v>31.809237372199998</v>
        <stp/>
        <stp>EM_S_FA_GROSSPROFITMARGIN</stp>
        <stp>3</stp>
        <stp>000757</stp>
        <stp>12/31/2018</stp>
        <stp>1</stp>
        <tr r="I2835" s="1"/>
      </tp>
      <tp>
        <v>14.5705224398</v>
        <stp/>
        <stp>EM_S_FA_GROSSPROFITMARGIN</stp>
        <stp>3</stp>
        <stp>600737</stp>
        <stp>12/31/2018</stp>
        <stp>1</stp>
        <tr r="I1484" s="1"/>
      </tp>
      <tp>
        <v>85.604039052700003</v>
        <stp/>
        <stp>EM_S_FA_GROSSPROFITMARGIN</stp>
        <stp>3</stp>
        <stp>300467</stp>
        <stp>12/31/2018</stp>
        <stp>1</stp>
        <tr r="I2940" s="1"/>
      </tp>
      <tp>
        <v>34.678579444699999</v>
        <stp/>
        <stp>EM_S_FA_GROSSPROFITMARGIN</stp>
        <stp>3</stp>
        <stp>000557</stp>
        <stp>12/31/2018</stp>
        <stp>1</stp>
        <tr r="I2277" s="1"/>
      </tp>
      <tp>
        <v>51.213470309599998</v>
        <stp/>
        <stp>EM_S_FA_GROSSPROFITMARGIN</stp>
        <stp>3</stp>
        <stp>300567</stp>
        <stp>12/31/2018</stp>
        <stp>1</stp>
        <tr r="I1721" s="1"/>
      </tp>
      <tp>
        <v>14.0692819586</v>
        <stp/>
        <stp>EM_S_FA_GROSSPROFITMARGIN</stp>
        <stp>3</stp>
        <stp>600537</stp>
        <stp>12/31/2018</stp>
        <stp>1</stp>
        <tr r="I1744" s="1"/>
      </tp>
      <tp>
        <v>35.681722337499998</v>
        <stp/>
        <stp>EM_S_FA_GROSSPROFITMARGIN</stp>
        <stp>3</stp>
        <stp>300267</stp>
        <stp>12/31/2018</stp>
        <stp>1</stp>
        <tr r="I928" s="1"/>
      </tp>
      <tp>
        <v>18.324845930999999</v>
        <stp/>
        <stp>EM_S_FA_GROSSPROFITMARGIN</stp>
        <stp>3</stp>
        <stp>600237</stp>
        <stp>12/31/2018</stp>
        <stp>1</stp>
        <tr r="I1805" s="1"/>
      </tp>
      <tp>
        <v>57.370787478799997</v>
        <stp/>
        <stp>EM_S_FA_GROSSPROFITMARGIN</stp>
        <stp>3</stp>
        <stp>300367</stp>
        <stp>12/31/2018</stp>
        <stp>1</stp>
        <tr r="I3371" s="1"/>
      </tp>
      <tp>
        <v>52.159068190799999</v>
        <stp/>
        <stp>EM_S_FA_GROSSPROFITMARGIN</stp>
        <stp>3</stp>
        <stp>600337</stp>
        <stp>12/31/2018</stp>
        <stp>1</stp>
        <tr r="I1687" s="1"/>
      </tp>
      <tp>
        <v>30.5712396387</v>
        <stp/>
        <stp>EM_S_FA_GROSSPROFITMARGIN</stp>
        <stp>3</stp>
        <stp>300067</stp>
        <stp>12/31/2018</stp>
        <stp>1</stp>
        <tr r="I2899" s="1"/>
      </tp>
      <tp>
        <v>26.2269954476</v>
        <stp/>
        <stp>EM_S_FA_GROSSPROFITMARGIN</stp>
        <stp>3</stp>
        <stp>600037</stp>
        <stp>12/31/2018</stp>
        <stp>1</stp>
        <tr r="I2030" s="1"/>
      </tp>
      <tp>
        <v>27.088487923700001</v>
        <stp/>
        <stp>EM_S_FA_GROSSPROFITMARGIN</stp>
        <stp>3</stp>
        <stp>000157</stp>
        <stp>12/31/2018</stp>
        <stp>1</stp>
        <tr r="I223" s="1"/>
      </tp>
      <tp>
        <v>21.618041246200001</v>
        <stp/>
        <stp>EM_S_FA_GROSSPROFITMARGIN</stp>
        <stp>3</stp>
        <stp>300167</stp>
        <stp>12/31/2018</stp>
        <stp>1</stp>
        <tr r="I2101" s="1"/>
      </tp>
      <tp>
        <v>19.869158429199999</v>
        <stp/>
        <stp>EM_S_FA_GROSSPROFITMARGIN</stp>
        <stp>3</stp>
        <stp>600137</stp>
        <stp>12/31/2018</stp>
        <stp>1</stp>
        <tr r="I896" s="1"/>
      </tp>
      <tp>
        <v>15.1151687607</v>
        <stp/>
        <stp>EM_S_FA_GROSSPROFITMARGIN</stp>
        <stp>3</stp>
        <stp>603937</stp>
        <stp>12/31/2018</stp>
        <stp>1</stp>
        <tr r="I2150" s="1"/>
      </tp>
      <tp>
        <v>14.8764721928</v>
        <stp/>
        <stp>EM_S_FA_GROSSPROFITMARGIN</stp>
        <stp>3</stp>
        <stp>603637</stp>
        <stp>12/31/2018</stp>
        <stp>1</stp>
        <tr r="I2119" s="1"/>
      </tp>
      <tp>
        <v>39.965427738000002</v>
        <stp/>
        <stp>EM_S_FA_GROSSPROFITMARGIN</stp>
        <stp>3</stp>
        <stp>603737</stp>
        <stp>12/31/2018</stp>
        <stp>1</stp>
        <tr r="I124" s="1"/>
      </tp>
      <tp>
        <v>28.080531843300001</v>
        <stp/>
        <stp>EM_S_FA_GROSSPROFITMARGIN</stp>
        <stp>3</stp>
        <stp>603337</stp>
        <stp>12/31/2018</stp>
        <stp>1</stp>
        <tr r="I3338" s="1"/>
      </tp>
      <tp>
        <v>42.474711191300003</v>
        <stp/>
        <stp>EM_S_FA_GROSSPROFITMARGIN</stp>
        <stp>3</stp>
        <stp>603037</stp>
        <stp>12/31/2018</stp>
        <stp>1</stp>
        <tr r="I2448" s="1"/>
      </tp>
      <tp>
        <v>38.936110143400001</v>
        <stp/>
        <stp>EM_S_FA_GROSSPROFITMARGIN</stp>
        <stp>3</stp>
        <stp>002857</stp>
        <stp>12/31/2018</stp>
        <stp>1</stp>
        <tr r="I2140" s="1"/>
      </tp>
      <tp>
        <v>19.649658257500001</v>
        <stp/>
        <stp>EM_S_FA_GROSSPROFITMARGIN</stp>
        <stp>3</stp>
        <stp>002657</stp>
        <stp>12/31/2018</stp>
        <stp>1</stp>
        <tr r="I628" s="1"/>
      </tp>
      <tp>
        <v>29.845498955699998</v>
        <stp/>
        <stp>EM_S_FA_GROSSPROFITMARGIN</stp>
        <stp>3</stp>
        <stp>002757</stp>
        <stp>12/31/2018</stp>
        <stp>1</stp>
        <tr r="I3322" s="1"/>
      </tp>
      <tp>
        <v>27.360738420699999</v>
        <stp/>
        <stp>EM_S_FA_GROSSPROFITMARGIN</stp>
        <stp>3</stp>
        <stp>002457</stp>
        <stp>12/31/2018</stp>
        <stp>1</stp>
        <tr r="I2255" s="1"/>
      </tp>
      <tp>
        <v>31.1621685464</v>
        <stp/>
        <stp>EM_S_FA_GROSSPROFITMARGIN</stp>
        <stp>3</stp>
        <stp>002557</stp>
        <stp>12/31/2018</stp>
        <stp>1</stp>
        <tr r="I276" s="1"/>
      </tp>
      <tp>
        <v>0</v>
        <stp/>
        <stp>EM_S_FA_GROSSPROFITMARGIN</stp>
        <stp>3</stp>
        <stp>002257</stp>
        <stp>12/31/2018</stp>
        <stp>1</stp>
        <tr r="I5" s="1"/>
      </tp>
      <tp>
        <v>24.386522210100001</v>
        <stp/>
        <stp>EM_S_FA_GROSSPROFITMARGIN</stp>
        <stp>3</stp>
        <stp>002357</stp>
        <stp>12/31/2018</stp>
        <stp>1</stp>
        <tr r="I1607" s="1"/>
      </tp>
      <tp>
        <v>25.172187770099999</v>
        <stp/>
        <stp>EM_S_FA_GROSSPROFITMARGIN</stp>
        <stp>3</stp>
        <stp>002057</stp>
        <stp>12/31/2018</stp>
        <stp>1</stp>
        <tr r="I460" s="1"/>
      </tp>
      <tp>
        <v>10.229288798600001</v>
        <stp/>
        <stp>EM_S_FA_GROSSPROFITMARGIN</stp>
        <stp>3</stp>
        <stp>002157</stp>
        <stp>12/31/2018</stp>
        <stp>1</stp>
        <tr r="I45" s="1"/>
      </tp>
      <tp>
        <v>55.584381417099998</v>
        <stp/>
        <stp>EM_S_FA_GROSSPROFITMARGIN</stp>
        <stp>3</stp>
        <stp>601330</stp>
        <stp>12/31/2018</stp>
        <stp>1</stp>
        <tr r="I2943" s="1"/>
      </tp>
      <tp>
        <v>13.718666428700001</v>
        <stp/>
        <stp>EM_S_FA_GROSSPROFITMARGIN</stp>
        <stp>3</stp>
        <stp>000850</stp>
        <stp>12/31/2018</stp>
        <stp>1</stp>
        <tr r="I1049" s="1"/>
      </tp>
      <tp>
        <v>20.421605191499999</v>
        <stp/>
        <stp>EM_S_FA_GROSSPROFITMARGIN</stp>
        <stp>3</stp>
        <stp>600830</stp>
        <stp>12/31/2018</stp>
        <stp>1</stp>
        <tr r="I1448" s="1"/>
      </tp>
      <tp>
        <v>8.9604699509000003</v>
        <stp/>
        <stp>EM_S_FA_GROSSPROFITMARGIN</stp>
        <stp>3</stp>
        <stp>000950</stp>
        <stp>12/31/2018</stp>
        <stp>1</stp>
        <tr r="I1579" s="1"/>
      </tp>
      <tp>
        <v>42.984946408500001</v>
        <stp/>
        <stp>EM_S_FA_GROSSPROFITMARGIN</stp>
        <stp>3</stp>
        <stp>000650</stp>
        <stp>12/31/2018</stp>
        <stp>1</stp>
        <tr r="I1616" s="1"/>
      </tp>
      <tp>
        <v>23.235843041999999</v>
        <stp/>
        <stp>EM_S_FA_GROSSPROFITMARGIN</stp>
        <stp>3</stp>
        <stp>300660</stp>
        <stp>12/31/2018</stp>
        <stp>1</stp>
        <tr r="I2965" s="1"/>
      </tp>
      <tp>
        <v>25.845676674500002</v>
        <stp/>
        <stp>EM_S_FA_GROSSPROFITMARGIN</stp>
        <stp>3</stp>
        <stp>600630</stp>
        <stp>12/31/2018</stp>
        <stp>1</stp>
        <tr r="I2003" s="1"/>
      </tp>
      <tp>
        <v>0</v>
        <stp/>
        <stp>EM_S_FA_GROSSPROFITMARGIN</stp>
        <stp>3</stp>
        <stp>000750</stp>
        <stp>12/31/2018</stp>
        <stp>1</stp>
        <tr r="I3526" s="1"/>
      </tp>
      <tp>
        <v>74.719880269900003</v>
        <stp/>
        <stp>EM_S_FA_GROSSPROFITMARGIN</stp>
        <stp>3</stp>
        <stp>600730</stp>
        <stp>12/31/2018</stp>
        <stp>1</stp>
        <tr r="I2242" s="1"/>
      </tp>
      <tp>
        <v>25.3162681845</v>
        <stp/>
        <stp>EM_S_FA_GROSSPROFITMARGIN</stp>
        <stp>3</stp>
        <stp>300460</stp>
        <stp>12/31/2018</stp>
        <stp>1</stp>
        <tr r="I170" s="1"/>
      </tp>
      <tp>
        <v>13.592505037600001</v>
        <stp/>
        <stp>EM_S_FA_GROSSPROFITMARGIN</stp>
        <stp>3</stp>
        <stp>000550</stp>
        <stp>12/31/2018</stp>
        <stp>1</stp>
        <tr r="I3452" s="1"/>
      </tp>
      <tp>
        <v>29.951221138000001</v>
        <stp/>
        <stp>EM_S_FA_GROSSPROFITMARGIN</stp>
        <stp>3</stp>
        <stp>300560</stp>
        <stp>12/31/2018</stp>
        <stp>1</stp>
        <tr r="I3115" s="1"/>
      </tp>
      <tp>
        <v>56.928170964700001</v>
        <stp/>
        <stp>EM_S_FA_GROSSPROFITMARGIN</stp>
        <stp>3</stp>
        <stp>600530</stp>
        <stp>12/31/2018</stp>
        <stp>1</stp>
        <tr r="I1765" s="1"/>
      </tp>
      <tp>
        <v>23.8875162979</v>
        <stp/>
        <stp>EM_S_FA_GROSSPROFITMARGIN</stp>
        <stp>3</stp>
        <stp>300260</stp>
        <stp>12/31/2018</stp>
        <stp>1</stp>
        <tr r="I893" s="1"/>
      </tp>
      <tp>
        <v>46.437344377300001</v>
        <stp/>
        <stp>EM_S_FA_GROSSPROFITMARGIN</stp>
        <stp>3</stp>
        <stp>600230</stp>
        <stp>12/31/2018</stp>
        <stp>1</stp>
        <tr r="I3272" s="1"/>
      </tp>
      <tp>
        <v>35.7642163565</v>
        <stp/>
        <stp>EM_S_FA_GROSSPROFITMARGIN</stp>
        <stp>3</stp>
        <stp>300360</stp>
        <stp>12/31/2018</stp>
        <stp>1</stp>
        <tr r="I187" s="1"/>
      </tp>
      <tp>
        <v>29.075908994900001</v>
        <stp/>
        <stp>EM_S_FA_GROSSPROFITMARGIN</stp>
        <stp>3</stp>
        <stp>600330</stp>
        <stp>12/31/2018</stp>
        <stp>1</stp>
        <tr r="I654" s="1"/>
      </tp>
      <tp>
        <v>15.190683780900001</v>
        <stp/>
        <stp>EM_S_FA_GROSSPROFITMARGIN</stp>
        <stp>3</stp>
        <stp>000050</stp>
        <stp>12/31/2018</stp>
        <stp>1</stp>
        <tr r="I348" s="1"/>
      </tp>
      <tp>
        <v>0</v>
        <stp/>
        <stp>EM_S_FA_GROSSPROFITMARGIN</stp>
        <stp>3</stp>
        <stp>600030</stp>
        <stp>12/31/2018</stp>
        <stp>1</stp>
        <tr r="I423" s="1"/>
      </tp>
      <tp>
        <v>31.108062360600002</v>
        <stp/>
        <stp>EM_S_FA_GROSSPROFITMARGIN</stp>
        <stp>3</stp>
        <stp>000150</stp>
        <stp>12/31/2018</stp>
        <stp>1</stp>
        <tr r="I3399" s="1"/>
      </tp>
      <tp>
        <v>29.189883478799999</v>
        <stp/>
        <stp>EM_S_FA_GROSSPROFITMARGIN</stp>
        <stp>3</stp>
        <stp>300160</stp>
        <stp>12/31/2018</stp>
        <stp>1</stp>
        <tr r="I1712" s="1"/>
      </tp>
      <tp>
        <v>7.3974234228000002</v>
        <stp/>
        <stp>EM_S_FA_GROSSPROFITMARGIN</stp>
        <stp>3</stp>
        <stp>600130</stp>
        <stp>12/31/2018</stp>
        <stp>1</stp>
        <tr r="I2075" s="1"/>
      </tp>
      <tp>
        <v>60.439682683999997</v>
        <stp/>
        <stp>EM_S_FA_GROSSPROFITMARGIN</stp>
        <stp>3</stp>
        <stp>603630</stp>
        <stp>12/31/2018</stp>
        <stp>1</stp>
        <tr r="I2235" s="1"/>
      </tp>
      <tp>
        <v>28.718400234800001</v>
        <stp/>
        <stp>EM_S_FA_GROSSPROFITMARGIN</stp>
        <stp>3</stp>
        <stp>603730</stp>
        <stp>12/31/2018</stp>
        <stp>1</stp>
        <tr r="I677" s="1"/>
      </tp>
      <tp>
        <v>27.1899687481</v>
        <stp/>
        <stp>EM_S_FA_GROSSPROFITMARGIN</stp>
        <stp>3</stp>
        <stp>603330</stp>
        <stp>12/31/2018</stp>
        <stp>1</stp>
        <tr r="I3151" s="1"/>
      </tp>
      <tp>
        <v>14.492646325999999</v>
        <stp/>
        <stp>EM_S_FA_GROSSPROFITMARGIN</stp>
        <stp>3</stp>
        <stp>603030</stp>
        <stp>12/31/2018</stp>
        <stp>1</stp>
        <tr r="I1545" s="1"/>
      </tp>
      <tp>
        <v>20.179348837700001</v>
        <stp/>
        <stp>EM_S_FA_GROSSPROFITMARGIN</stp>
        <stp>3</stp>
        <stp>002850</stp>
        <stp>12/31/2018</stp>
        <stp>1</stp>
        <tr r="I87" s="1"/>
      </tp>
      <tp>
        <v>26.228900145000001</v>
        <stp/>
        <stp>EM_S_FA_GROSSPROFITMARGIN</stp>
        <stp>3</stp>
        <stp>002650</stp>
        <stp>12/31/2018</stp>
        <stp>1</stp>
        <tr r="I2392" s="1"/>
      </tp>
      <tp>
        <v>90.134796277099994</v>
        <stp/>
        <stp>EM_S_FA_GROSSPROFITMARGIN</stp>
        <stp>3</stp>
        <stp>002750</stp>
        <stp>12/31/2018</stp>
        <stp>1</stp>
        <tr r="I121" s="1"/>
      </tp>
      <tp>
        <v>40.0235259361</v>
        <stp/>
        <stp>EM_S_FA_GROSSPROFITMARGIN</stp>
        <stp>3</stp>
        <stp>002450</stp>
        <stp>12/31/2018</stp>
        <stp>1</stp>
        <tr r="I3380" s="1"/>
      </tp>
      <tp>
        <v>48.892363204500001</v>
        <stp/>
        <stp>EM_S_FA_GROSSPROFITMARGIN</stp>
        <stp>3</stp>
        <stp>002550</stp>
        <stp>12/31/2018</stp>
        <stp>1</stp>
        <tr r="I1338" s="1"/>
      </tp>
      <tp>
        <v>27.636000885200001</v>
        <stp/>
        <stp>EM_S_FA_GROSSPROFITMARGIN</stp>
        <stp>3</stp>
        <stp>002250</stp>
        <stp>12/31/2018</stp>
        <stp>1</stp>
        <tr r="I271" s="1"/>
      </tp>
      <tp>
        <v>24.555671419199999</v>
        <stp/>
        <stp>EM_S_FA_GROSSPROFITMARGIN</stp>
        <stp>3</stp>
        <stp>002350</stp>
        <stp>12/31/2018</stp>
        <stp>1</stp>
        <tr r="I2684" s="1"/>
      </tp>
      <tp>
        <v>28.586050269600001</v>
        <stp/>
        <stp>EM_S_FA_GROSSPROFITMARGIN</stp>
        <stp>3</stp>
        <stp>002050</stp>
        <stp>12/31/2018</stp>
        <stp>1</stp>
        <tr r="I791" s="1"/>
      </tp>
      <tp>
        <v>24.9674986952</v>
        <stp/>
        <stp>EM_S_FA_GROSSPROFITMARGIN</stp>
        <stp>3</stp>
        <stp>002150</stp>
        <stp>12/31/2018</stp>
        <stp>1</stp>
        <tr r="I1664" s="1"/>
      </tp>
      <tp>
        <v>10.8575928319</v>
        <stp/>
        <stp>EM_S_FA_GROSSPROFITMARGIN</stp>
        <stp>3</stp>
        <stp>601231</stp>
        <stp>12/31/2018</stp>
        <stp>1</stp>
        <tr r="I130" s="1"/>
      </tp>
      <tp>
        <v>6.5991538964999998</v>
        <stp/>
        <stp>EM_S_FA_GROSSPROFITMARGIN</stp>
        <stp>3</stp>
        <stp>000851</stp>
        <stp>12/31/2018</stp>
        <stp>1</stp>
        <tr r="I1159" s="1"/>
      </tp>
      <tp>
        <v>32.256577608199997</v>
        <stp/>
        <stp>EM_S_FA_GROSSPROFITMARGIN</stp>
        <stp>3</stp>
        <stp>600831</stp>
        <stp>12/31/2018</stp>
        <stp>1</stp>
        <tr r="I788" s="1"/>
      </tp>
      <tp>
        <v>8.8576648645000002</v>
        <stp/>
        <stp>EM_S_FA_GROSSPROFITMARGIN</stp>
        <stp>3</stp>
        <stp>000951</stp>
        <stp>12/31/2018</stp>
        <stp>1</stp>
        <tr r="I163" s="1"/>
      </tp>
      <tp>
        <v>30.228169281500001</v>
        <stp/>
        <stp>EM_S_FA_GROSSPROFITMARGIN</stp>
        <stp>3</stp>
        <stp>000651</stp>
        <stp>12/31/2018</stp>
        <stp>1</stp>
        <tr r="I229" s="1"/>
      </tp>
      <tp>
        <v>45.937184818399999</v>
        <stp/>
        <stp>EM_S_FA_GROSSPROFITMARGIN</stp>
        <stp>3</stp>
        <stp>300661</stp>
        <stp>12/31/2018</stp>
        <stp>1</stp>
        <tr r="I19" s="1"/>
      </tp>
      <tp>
        <v>0</v>
        <stp/>
        <stp>EM_S_FA_GROSSPROFITMARGIN</stp>
        <stp>3</stp>
        <stp>600631</stp>
        <stp>12/31/2018</stp>
        <stp>1</stp>
        <tr r="I2309" s="1"/>
      </tp>
      <tp>
        <v>5.6763049763</v>
        <stp/>
        <stp>EM_S_FA_GROSSPROFITMARGIN</stp>
        <stp>3</stp>
        <stp>000751</stp>
        <stp>12/31/2018</stp>
        <stp>1</stp>
        <tr r="I1531" s="1"/>
      </tp>
      <tp>
        <v>24.246116990400001</v>
        <stp/>
        <stp>EM_S_FA_GROSSPROFITMARGIN</stp>
        <stp>3</stp>
        <stp>600731</stp>
        <stp>12/31/2018</stp>
        <stp>1</stp>
        <tr r="I296" s="1"/>
      </tp>
      <tp>
        <v>39.0322557195</v>
        <stp/>
        <stp>EM_S_FA_GROSSPROFITMARGIN</stp>
        <stp>3</stp>
        <stp>300461</stp>
        <stp>12/31/2018</stp>
        <stp>1</stp>
        <tr r="I1686" s="1"/>
      </tp>
      <tp>
        <v>23.1911573366</v>
        <stp/>
        <stp>EM_S_FA_GROSSPROFITMARGIN</stp>
        <stp>3</stp>
        <stp>000551</stp>
        <stp>12/31/2018</stp>
        <stp>1</stp>
        <tr r="I1505" s="1"/>
      </tp>
      <tp>
        <v>50.877293878099998</v>
        <stp/>
        <stp>EM_S_FA_GROSSPROFITMARGIN</stp>
        <stp>3</stp>
        <stp>300561</stp>
        <stp>12/31/2018</stp>
        <stp>1</stp>
        <tr r="I1339" s="1"/>
      </tp>
      <tp>
        <v>4.1308451572999996</v>
        <stp/>
        <stp>EM_S_FA_GROSSPROFITMARGIN</stp>
        <stp>3</stp>
        <stp>600531</stp>
        <stp>12/31/2018</stp>
        <stp>1</stp>
        <tr r="I855" s="1"/>
      </tp>
      <tp>
        <v>28.515860797199998</v>
        <stp/>
        <stp>EM_S_FA_GROSSPROFITMARGIN</stp>
        <stp>3</stp>
        <stp>300261</stp>
        <stp>12/31/2018</stp>
        <stp>1</stp>
        <tr r="I2999" s="1"/>
      </tp>
      <tp>
        <v>12.6995926152</v>
        <stp/>
        <stp>EM_S_FA_GROSSPROFITMARGIN</stp>
        <stp>3</stp>
        <stp>600231</stp>
        <stp>12/31/2018</stp>
        <stp>1</stp>
        <tr r="I2157" s="1"/>
      </tp>
      <tp>
        <v>0</v>
        <stp/>
        <stp>EM_S_FA_GROSSPROFITMARGIN</stp>
        <stp>3</stp>
        <stp>300361</stp>
        <stp>12/31/2018</stp>
        <stp>1</stp>
        <tr r="I9" s="1"/>
      </tp>
      <tp>
        <v>-0.74027598000000006</v>
        <stp/>
        <stp>EM_S_FA_GROSSPROFITMARGIN</stp>
        <stp>3</stp>
        <stp>600331</stp>
        <stp>12/31/2018</stp>
        <stp>1</stp>
        <tr r="I903" s="1"/>
      </tp>
      <tp>
        <v>50.924089408299999</v>
        <stp/>
        <stp>EM_S_FA_GROSSPROFITMARGIN</stp>
        <stp>3</stp>
        <stp>300061</stp>
        <stp>12/31/2018</stp>
        <stp>1</stp>
        <tr r="I1862" s="1"/>
      </tp>
      <tp>
        <v>30.621794067</v>
        <stp/>
        <stp>EM_S_FA_GROSSPROFITMARGIN</stp>
        <stp>3</stp>
        <stp>600031</stp>
        <stp>12/31/2018</stp>
        <stp>1</stp>
        <tr r="I148" s="1"/>
      </tp>
      <tp>
        <v>16.4179085944</v>
        <stp/>
        <stp>EM_S_FA_GROSSPROFITMARGIN</stp>
        <stp>3</stp>
        <stp>000151</stp>
        <stp>12/31/2018</stp>
        <stp>1</stp>
        <tr r="I2041" s="1"/>
      </tp>
      <tp>
        <v>34.2098202118</v>
        <stp/>
        <stp>EM_S_FA_GROSSPROFITMARGIN</stp>
        <stp>3</stp>
        <stp>300161</stp>
        <stp>12/31/2018</stp>
        <stp>1</stp>
        <tr r="I705" s="1"/>
      </tp>
      <tp>
        <v>16.174482652999998</v>
        <stp/>
        <stp>EM_S_FA_GROSSPROFITMARGIN</stp>
        <stp>3</stp>
        <stp>600131</stp>
        <stp>12/31/2018</stp>
        <stp>1</stp>
        <tr r="I38" s="1"/>
      </tp>
      <tp>
        <v>26.276954065599998</v>
        <stp/>
        <stp>EM_S_FA_GROSSPROFITMARGIN</stp>
        <stp>3</stp>
        <stp>603331</stp>
        <stp>12/31/2018</stp>
        <stp>1</stp>
        <tr r="I1621" s="1"/>
      </tp>
      <tp>
        <v>19.7048539223</v>
        <stp/>
        <stp>EM_S_FA_GROSSPROFITMARGIN</stp>
        <stp>3</stp>
        <stp>603031</stp>
        <stp>12/31/2018</stp>
        <stp>1</stp>
        <tr r="I225" s="1"/>
      </tp>
      <tp>
        <v>24.7058182747</v>
        <stp/>
        <stp>EM_S_FA_GROSSPROFITMARGIN</stp>
        <stp>3</stp>
        <stp>603131</stp>
        <stp>12/31/2018</stp>
        <stp>1</stp>
        <tr r="I2818" s="1"/>
      </tp>
      <tp>
        <v>29.485539466500001</v>
        <stp/>
        <stp>EM_S_FA_GROSSPROFITMARGIN</stp>
        <stp>3</stp>
        <stp>002851</stp>
        <stp>12/31/2018</stp>
        <stp>1</stp>
        <tr r="I2406" s="1"/>
      </tp>
      <tp>
        <v>42.769136233300003</v>
        <stp/>
        <stp>EM_S_FA_GROSSPROFITMARGIN</stp>
        <stp>3</stp>
        <stp>002651</stp>
        <stp>12/31/2018</stp>
        <stp>1</stp>
        <tr r="I1383" s="1"/>
      </tp>
      <tp>
        <v>33.481804594700002</v>
        <stp/>
        <stp>EM_S_FA_GROSSPROFITMARGIN</stp>
        <stp>3</stp>
        <stp>002751</stp>
        <stp>12/31/2018</stp>
        <stp>1</stp>
        <tr r="I1394" s="1"/>
      </tp>
      <tp>
        <v>22.368070794699999</v>
        <stp/>
        <stp>EM_S_FA_GROSSPROFITMARGIN</stp>
        <stp>3</stp>
        <stp>002451</stp>
        <stp>12/31/2018</stp>
        <stp>1</stp>
        <tr r="I3095" s="1"/>
      </tp>
      <tp>
        <v>24.654577781099999</v>
        <stp/>
        <stp>EM_S_FA_GROSSPROFITMARGIN</stp>
        <stp>3</stp>
        <stp>002551</stp>
        <stp>12/31/2018</stp>
        <stp>1</stp>
        <tr r="I2390" s="1"/>
      </tp>
      <tp>
        <v>23.028877729800001</v>
        <stp/>
        <stp>EM_S_FA_GROSSPROFITMARGIN</stp>
        <stp>3</stp>
        <stp>002251</stp>
        <stp>12/31/2018</stp>
        <stp>1</stp>
        <tr r="I1280" s="1"/>
      </tp>
      <tp>
        <v>31.3491923126</v>
        <stp/>
        <stp>EM_S_FA_GROSSPROFITMARGIN</stp>
        <stp>3</stp>
        <stp>002351</stp>
        <stp>12/31/2018</stp>
        <stp>1</stp>
        <tr r="I22" s="1"/>
      </tp>
      <tp>
        <v>19.2790746324</v>
        <stp/>
        <stp>EM_S_FA_GROSSPROFITMARGIN</stp>
        <stp>3</stp>
        <stp>002051</stp>
        <stp>12/31/2018</stp>
        <stp>1</stp>
        <tr r="I3617" s="1"/>
      </tp>
      <tp>
        <v>29.941851592100001</v>
        <stp/>
        <stp>EM_S_FA_GROSSPROFITMARGIN</stp>
        <stp>3</stp>
        <stp>002151</stp>
        <stp>12/31/2018</stp>
        <stp>1</stp>
        <tr r="I1237" s="1"/>
      </tp>
      <tp>
        <v>19.9588379934</v>
        <stp/>
        <stp>EM_S_FA_GROSSPROFITMARGIN</stp>
        <stp>3</stp>
        <stp>000852</stp>
        <stp>12/31/2018</stp>
        <stp>1</stp>
        <tr r="I2811" s="1"/>
      </tp>
      <tp>
        <v>0</v>
        <stp/>
        <stp>EM_S_FA_GROSSPROFITMARGIN</stp>
        <stp>3</stp>
        <stp>600832</stp>
        <stp>12/31/2018</stp>
        <stp>1</stp>
        <tr r="I2328" s="1"/>
      </tp>
      <tp>
        <v>56.821757475299997</v>
        <stp/>
        <stp>EM_S_FA_GROSSPROFITMARGIN</stp>
        <stp>3</stp>
        <stp>000952</stp>
        <stp>12/31/2018</stp>
        <stp>1</stp>
        <tr r="I2593" s="1"/>
      </tp>
      <tp>
        <v>5.3973234437000004</v>
        <stp/>
        <stp>EM_S_FA_GROSSPROFITMARGIN</stp>
        <stp>3</stp>
        <stp>000652</stp>
        <stp>12/31/2018</stp>
        <stp>1</stp>
        <tr r="I1224" s="1"/>
      </tp>
      <tp>
        <v>18.118829760899999</v>
        <stp/>
        <stp>EM_S_FA_GROSSPROFITMARGIN</stp>
        <stp>3</stp>
        <stp>300662</stp>
        <stp>12/31/2018</stp>
        <stp>1</stp>
        <tr r="I1399" s="1"/>
      </tp>
      <tp>
        <v>0</v>
        <stp/>
        <stp>EM_S_FA_GROSSPROFITMARGIN</stp>
        <stp>3</stp>
        <stp>600632</stp>
        <stp>12/31/2018</stp>
        <stp>1</stp>
        <tr r="I2310" s="1"/>
      </tp>
      <tp>
        <v>26.3525272581</v>
        <stp/>
        <stp>EM_S_FA_GROSSPROFITMARGIN</stp>
        <stp>3</stp>
        <stp>000752</stp>
        <stp>12/31/2018</stp>
        <stp>1</stp>
        <tr r="I3527" s="1"/>
      </tp>
      <tp>
        <v>51.920632020600003</v>
        <stp/>
        <stp>EM_S_FA_GROSSPROFITMARGIN</stp>
        <stp>3</stp>
        <stp>600732</stp>
        <stp>12/31/2018</stp>
        <stp>1</stp>
        <tr r="I281" s="1"/>
      </tp>
      <tp>
        <v>36.668696085500002</v>
        <stp/>
        <stp>EM_S_FA_GROSSPROFITMARGIN</stp>
        <stp>3</stp>
        <stp>300462</stp>
        <stp>12/31/2018</stp>
        <stp>1</stp>
        <tr r="I369" s="1"/>
      </tp>
      <tp>
        <v>20.735332579800001</v>
        <stp/>
        <stp>EM_S_FA_GROSSPROFITMARGIN</stp>
        <stp>3</stp>
        <stp>600432</stp>
        <stp>12/31/2018</stp>
        <stp>1</stp>
        <tr r="I2302" s="1"/>
      </tp>
      <tp>
        <v>28.700212965599999</v>
        <stp/>
        <stp>EM_S_FA_GROSSPROFITMARGIN</stp>
        <stp>3</stp>
        <stp>000552</stp>
        <stp>12/31/2018</stp>
        <stp>1</stp>
        <tr r="I2352" s="1"/>
      </tp>
      <tp>
        <v>25.9145174672</v>
        <stp/>
        <stp>EM_S_FA_GROSSPROFITMARGIN</stp>
        <stp>3</stp>
        <stp>300562</stp>
        <stp>12/31/2018</stp>
        <stp>1</stp>
        <tr r="I550" s="1"/>
      </tp>
      <tp>
        <v>4.5225279629999999</v>
        <stp/>
        <stp>EM_S_FA_GROSSPROFITMARGIN</stp>
        <stp>3</stp>
        <stp>600532</stp>
        <stp>12/31/2018</stp>
        <stp>1</stp>
        <tr r="I2419" s="1"/>
      </tp>
      <tp>
        <v>33.223172183700001</v>
        <stp/>
        <stp>EM_S_FA_GROSSPROFITMARGIN</stp>
        <stp>3</stp>
        <stp>300262</stp>
        <stp>12/31/2018</stp>
        <stp>1</stp>
        <tr r="I2823" s="1"/>
      </tp>
      <tp>
        <v>16.725600970599999</v>
        <stp/>
        <stp>EM_S_FA_GROSSPROFITMARGIN</stp>
        <stp>3</stp>
        <stp>600232</stp>
        <stp>12/31/2018</stp>
        <stp>1</stp>
        <tr r="I942" s="1"/>
      </tp>
      <tp>
        <v>-21.318866036500001</v>
        <stp/>
        <stp>EM_S_FA_GROSSPROFITMARGIN</stp>
        <stp>3</stp>
        <stp>300362</stp>
        <stp>12/31/2018</stp>
        <stp>1</stp>
        <tr r="I3359" s="1"/>
      </tp>
      <tp>
        <v>23.842129443200001</v>
        <stp/>
        <stp>EM_S_FA_GROSSPROFITMARGIN</stp>
        <stp>3</stp>
        <stp>600332</stp>
        <stp>12/31/2018</stp>
        <stp>1</stp>
        <tr r="I2596" s="1"/>
      </tp>
      <tp>
        <v>29.5960340285</v>
        <stp/>
        <stp>EM_S_FA_GROSSPROFITMARGIN</stp>
        <stp>3</stp>
        <stp>300062</stp>
        <stp>12/31/2018</stp>
        <stp>1</stp>
        <tr r="I1772" s="1"/>
      </tp>
      <tp>
        <v>23.415719459799998</v>
        <stp/>
        <stp>EM_S_FA_GROSSPROFITMARGIN</stp>
        <stp>3</stp>
        <stp>300162</stp>
        <stp>12/31/2018</stp>
        <stp>1</stp>
        <tr r="I194" s="1"/>
      </tp>
      <tp>
        <v>39.9329187023</v>
        <stp/>
        <stp>EM_S_FA_GROSSPROFITMARGIN</stp>
        <stp>3</stp>
        <stp>600132</stp>
        <stp>12/31/2018</stp>
        <stp>1</stp>
        <tr r="I313" s="1"/>
      </tp>
      <tp>
        <v>59.552758815399997</v>
        <stp/>
        <stp>EM_S_FA_GROSSPROFITMARGIN</stp>
        <stp>3</stp>
        <stp>603232</stp>
        <stp>12/31/2018</stp>
        <stp>1</stp>
        <tr r="I680" s="1"/>
      </tp>
      <tp>
        <v>43.479236247700001</v>
        <stp/>
        <stp>EM_S_FA_GROSSPROFITMARGIN</stp>
        <stp>3</stp>
        <stp>603032</stp>
        <stp>12/31/2018</stp>
        <stp>1</stp>
        <tr r="I3116" s="1"/>
      </tp>
      <tp>
        <v>12.482798019100001</v>
        <stp/>
        <stp>EM_S_FA_GROSSPROFITMARGIN</stp>
        <stp>3</stp>
        <stp>002852</stp>
        <stp>12/31/2018</stp>
        <stp>1</stp>
        <tr r="I1784" s="1"/>
      </tp>
      <tp>
        <v>12.140993376100001</v>
        <stp/>
        <stp>EM_S_FA_GROSSPROFITMARGIN</stp>
        <stp>3</stp>
        <stp>002652</stp>
        <stp>12/31/2018</stp>
        <stp>1</stp>
        <tr r="I2182" s="1"/>
      </tp>
      <tp>
        <v>13.756364119000001</v>
        <stp/>
        <stp>EM_S_FA_GROSSPROFITMARGIN</stp>
        <stp>3</stp>
        <stp>002752</stp>
        <stp>12/31/2018</stp>
        <stp>1</stp>
        <tr r="I2953" s="1"/>
      </tp>
      <tp>
        <v>26.2339189341</v>
        <stp/>
        <stp>EM_S_FA_GROSSPROFITMARGIN</stp>
        <stp>3</stp>
        <stp>002452</stp>
        <stp>12/31/2018</stp>
        <stp>1</stp>
        <tr r="I763" s="1"/>
      </tp>
      <tp>
        <v>21.893630484900001</v>
        <stp/>
        <stp>EM_S_FA_GROSSPROFITMARGIN</stp>
        <stp>3</stp>
        <stp>002552</stp>
        <stp>12/31/2018</stp>
        <stp>1</stp>
        <tr r="I17" s="1"/>
      </tp>
      <tp>
        <v>66.739032051500004</v>
        <stp/>
        <stp>EM_S_FA_GROSSPROFITMARGIN</stp>
        <stp>3</stp>
        <stp>002252</stp>
        <stp>12/31/2018</stp>
        <stp>1</stp>
        <tr r="I2752" s="1"/>
      </tp>
      <tp>
        <v>17.923937169799999</v>
        <stp/>
        <stp>EM_S_FA_GROSSPROFITMARGIN</stp>
        <stp>3</stp>
        <stp>002352</stp>
        <stp>12/31/2018</stp>
        <stp>1</stp>
        <tr r="I1475" s="1"/>
      </tp>
      <tp>
        <v>11.8433679427</v>
        <stp/>
        <stp>EM_S_FA_GROSSPROFITMARGIN</stp>
        <stp>3</stp>
        <stp>002052</stp>
        <stp>12/31/2018</stp>
        <stp>1</stp>
        <tr r="I3618" s="1"/>
      </tp>
      <tp>
        <v>41.3825623914</v>
        <stp/>
        <stp>EM_S_FA_GROSSPROFITMARGIN</stp>
        <stp>3</stp>
        <stp>002152</stp>
        <stp>12/31/2018</stp>
        <stp>1</stp>
        <tr r="I279" s="1"/>
      </tp>
      <tp>
        <v>22.146420473399999</v>
        <stp/>
        <stp>EM_S_FA_GROSSPROFITMARGIN</stp>
        <stp>3</stp>
        <stp>601933</stp>
        <stp>12/31/2018</stp>
        <stp>1</stp>
        <tr r="I2507" s="1"/>
      </tp>
      <tp>
        <v>16.686032870399998</v>
        <stp/>
        <stp>EM_S_FA_GROSSPROFITMARGIN</stp>
        <stp>3</stp>
        <stp>601633</stp>
        <stp>12/31/2018</stp>
        <stp>1</stp>
        <tr r="I446" s="1"/>
      </tp>
      <tp>
        <v>11.678344557100001</v>
        <stp/>
        <stp>EM_S_FA_GROSSPROFITMARGIN</stp>
        <stp>3</stp>
        <stp>601233</stp>
        <stp>12/31/2018</stp>
        <stp>1</stp>
        <tr r="I521" s="1"/>
      </tp>
      <tp>
        <v>7.5937010740000002</v>
        <stp/>
        <stp>EM_S_FA_GROSSPROFITMARGIN</stp>
        <stp>3</stp>
        <stp>601333</stp>
        <stp>12/31/2018</stp>
        <stp>1</stp>
        <tr r="I2471" s="1"/>
      </tp>
      <tp>
        <v>19.3703594393</v>
        <stp/>
        <stp>EM_S_FA_GROSSPROFITMARGIN</stp>
        <stp>3</stp>
        <stp>600833</stp>
        <stp>12/31/2018</stp>
        <stp>1</stp>
        <tr r="I2110" s="1"/>
      </tp>
      <tp>
        <v>-15.458019524499999</v>
        <stp/>
        <stp>EM_S_FA_GROSSPROFITMARGIN</stp>
        <stp>3</stp>
        <stp>000953</stp>
        <stp>12/31/2018</stp>
        <stp>1</stp>
        <tr r="I3584" s="1"/>
      </tp>
      <tp>
        <v>34.2274976482</v>
        <stp/>
        <stp>EM_S_FA_GROSSPROFITMARGIN</stp>
        <stp>3</stp>
        <stp>600933</stp>
        <stp>12/31/2018</stp>
        <stp>1</stp>
        <tr r="I256" s="1"/>
      </tp>
      <tp>
        <v>0</v>
        <stp/>
        <stp>EM_S_FA_GROSSPROFITMARGIN</stp>
        <stp>3</stp>
        <stp>000653</stp>
        <stp>12/31/2018</stp>
        <stp>1</stp>
        <tr r="I3493" s="1"/>
      </tp>
      <tp>
        <v>41.172659130200003</v>
        <stp/>
        <stp>EM_S_FA_GROSSPROFITMARGIN</stp>
        <stp>3</stp>
        <stp>300663</stp>
        <stp>12/31/2018</stp>
        <stp>1</stp>
        <tr r="I224" s="1"/>
      </tp>
      <tp>
        <v>66.647803362000005</v>
        <stp/>
        <stp>EM_S_FA_GROSSPROFITMARGIN</stp>
        <stp>3</stp>
        <stp>600633</stp>
        <stp>12/31/2018</stp>
        <stp>1</stp>
        <tr r="I1476" s="1"/>
      </tp>
      <tp>
        <v>14.958016922200001</v>
        <stp/>
        <stp>EM_S_FA_GROSSPROFITMARGIN</stp>
        <stp>3</stp>
        <stp>000753</stp>
        <stp>12/31/2018</stp>
        <stp>1</stp>
        <tr r="I2257" s="1"/>
      </tp>
      <tp>
        <v>11.796027546299999</v>
        <stp/>
        <stp>EM_S_FA_GROSSPROFITMARGIN</stp>
        <stp>3</stp>
        <stp>600733</stp>
        <stp>12/31/2018</stp>
        <stp>1</stp>
        <tr r="I3186" s="1"/>
      </tp>
      <tp>
        <v>51.801328351499997</v>
        <stp/>
        <stp>EM_S_FA_GROSSPROFITMARGIN</stp>
        <stp>3</stp>
        <stp>300463</stp>
        <stp>12/31/2018</stp>
        <stp>1</stp>
        <tr r="I238" s="1"/>
      </tp>
      <tp>
        <v>20.288519019900001</v>
        <stp/>
        <stp>EM_S_FA_GROSSPROFITMARGIN</stp>
        <stp>3</stp>
        <stp>600433</stp>
        <stp>12/31/2018</stp>
        <stp>1</stp>
        <tr r="I2625" s="1"/>
      </tp>
      <tp>
        <v>33.301332701200003</v>
        <stp/>
        <stp>EM_S_FA_GROSSPROFITMARGIN</stp>
        <stp>3</stp>
        <stp>000553</stp>
        <stp>12/31/2018</stp>
        <stp>1</stp>
        <tr r="I1907" s="1"/>
      </tp>
      <tp>
        <v>24.372237866100001</v>
        <stp/>
        <stp>EM_S_FA_GROSSPROFITMARGIN</stp>
        <stp>3</stp>
        <stp>300563</stp>
        <stp>12/31/2018</stp>
        <stp>1</stp>
        <tr r="I1534" s="1"/>
      </tp>
      <tp>
        <v>41.492357648400002</v>
        <stp/>
        <stp>EM_S_FA_GROSSPROFITMARGIN</stp>
        <stp>3</stp>
        <stp>600533</stp>
        <stp>12/31/2018</stp>
        <stp>1</stp>
        <tr r="I1535" s="1"/>
      </tp>
      <tp>
        <v>28.014053832199998</v>
        <stp/>
        <stp>EM_S_FA_GROSSPROFITMARGIN</stp>
        <stp>3</stp>
        <stp>300263</stp>
        <stp>12/31/2018</stp>
        <stp>1</stp>
        <tr r="I837" s="1"/>
      </tp>
      <tp>
        <v>13.220308359700001</v>
        <stp/>
        <stp>EM_S_FA_GROSSPROFITMARGIN</stp>
        <stp>3</stp>
        <stp>600233</stp>
        <stp>12/31/2018</stp>
        <stp>1</stp>
        <tr r="I1032" s="1"/>
      </tp>
      <tp>
        <v>33.4629913988</v>
        <stp/>
        <stp>EM_S_FA_GROSSPROFITMARGIN</stp>
        <stp>3</stp>
        <stp>300363</stp>
        <stp>12/31/2018</stp>
        <stp>1</stp>
        <tr r="I577" s="1"/>
      </tp>
      <tp>
        <v>30.607869064100001</v>
        <stp/>
        <stp>EM_S_FA_GROSSPROFITMARGIN</stp>
        <stp>3</stp>
        <stp>600333</stp>
        <stp>12/31/2018</stp>
        <stp>1</stp>
        <tr r="I2670" s="1"/>
      </tp>
      <tp>
        <v>7.7086934218999996</v>
        <stp/>
        <stp>EM_S_FA_GROSSPROFITMARGIN</stp>
        <stp>3</stp>
        <stp>300063</stp>
        <stp>12/31/2018</stp>
        <stp>1</stp>
        <tr r="I2700" s="1"/>
      </tp>
      <tp>
        <v>61.165867307299997</v>
        <stp/>
        <stp>EM_S_FA_GROSSPROFITMARGIN</stp>
        <stp>3</stp>
        <stp>600033</stp>
        <stp>12/31/2018</stp>
        <stp>1</stp>
        <tr r="I2105" s="1"/>
      </tp>
      <tp>
        <v>38.949885565599999</v>
        <stp/>
        <stp>EM_S_FA_GROSSPROFITMARGIN</stp>
        <stp>3</stp>
        <stp>000153</stp>
        <stp>12/31/2018</stp>
        <stp>1</stp>
        <tr r="I917" s="1"/>
      </tp>
      <tp>
        <v>41.071182976199999</v>
        <stp/>
        <stp>EM_S_FA_GROSSPROFITMARGIN</stp>
        <stp>3</stp>
        <stp>300163</stp>
        <stp>12/31/2018</stp>
        <stp>1</stp>
        <tr r="I1700" s="1"/>
      </tp>
      <tp>
        <v>15.3942583593</v>
        <stp/>
        <stp>EM_S_FA_GROSSPROFITMARGIN</stp>
        <stp>3</stp>
        <stp>600133</stp>
        <stp>12/31/2018</stp>
        <stp>1</stp>
        <tr r="I2928" s="1"/>
      </tp>
      <tp>
        <v>38.375203882199997</v>
        <stp/>
        <stp>EM_S_FA_GROSSPROFITMARGIN</stp>
        <stp>3</stp>
        <stp>603833</stp>
        <stp>12/31/2018</stp>
        <stp>1</stp>
        <tr r="I634" s="1"/>
      </tp>
      <tp>
        <v>18.098726121799999</v>
        <stp/>
        <stp>EM_S_FA_GROSSPROFITMARGIN</stp>
        <stp>3</stp>
        <stp>603933</stp>
        <stp>12/31/2018</stp>
        <stp>1</stp>
        <tr r="I2900" s="1"/>
      </tp>
      <tp>
        <v>32.2165279942</v>
        <stp/>
        <stp>EM_S_FA_GROSSPROFITMARGIN</stp>
        <stp>3</stp>
        <stp>603633</stp>
        <stp>12/31/2018</stp>
        <stp>1</stp>
        <tr r="I2051" s="1"/>
      </tp>
      <tp>
        <v>17.230815717199999</v>
        <stp/>
        <stp>EM_S_FA_GROSSPROFITMARGIN</stp>
        <stp>3</stp>
        <stp>603733</stp>
        <stp>12/31/2018</stp>
        <stp>1</stp>
        <tr r="I2668" s="1"/>
      </tp>
      <tp>
        <v>29.4613686824</v>
        <stp/>
        <stp>EM_S_FA_GROSSPROFITMARGIN</stp>
        <stp>3</stp>
        <stp>603533</stp>
        <stp>12/31/2018</stp>
        <stp>1</stp>
        <tr r="I2569" s="1"/>
      </tp>
      <tp>
        <v>41.645368211499999</v>
        <stp/>
        <stp>EM_S_FA_GROSSPROFITMARGIN</stp>
        <stp>3</stp>
        <stp>603233</stp>
        <stp>12/31/2018</stp>
        <stp>1</stp>
        <tr r="I958" s="1"/>
      </tp>
      <tp>
        <v>19.249336035900001</v>
        <stp/>
        <stp>EM_S_FA_GROSSPROFITMARGIN</stp>
        <stp>3</stp>
        <stp>603333</stp>
        <stp>12/31/2018</stp>
        <stp>1</stp>
        <tr r="I196" s="1"/>
      </tp>
      <tp>
        <v>22.940881230999999</v>
        <stp/>
        <stp>EM_S_FA_GROSSPROFITMARGIN</stp>
        <stp>3</stp>
        <stp>603033</stp>
        <stp>12/31/2018</stp>
        <stp>1</stp>
        <tr r="I2572" s="1"/>
      </tp>
      <tp>
        <v>22.947103230500002</v>
        <stp/>
        <stp>EM_S_FA_GROSSPROFITMARGIN</stp>
        <stp>3</stp>
        <stp>603133</stp>
        <stp>12/31/2018</stp>
        <stp>1</stp>
        <tr r="I506" s="1"/>
      </tp>
      <tp>
        <v>35.945546681800003</v>
        <stp/>
        <stp>EM_S_FA_GROSSPROFITMARGIN</stp>
        <stp>3</stp>
        <stp>002853</stp>
        <stp>12/31/2018</stp>
        <stp>1</stp>
        <tr r="I2233" s="1"/>
      </tp>
      <tp>
        <v>56.542095100499999</v>
        <stp/>
        <stp>EM_S_FA_GROSSPROFITMARGIN</stp>
        <stp>3</stp>
        <stp>002653</stp>
        <stp>12/31/2018</stp>
        <stp>1</stp>
        <tr r="I337" s="1"/>
      </tp>
      <tp>
        <v>21.349563406400001</v>
        <stp/>
        <stp>EM_S_FA_GROSSPROFITMARGIN</stp>
        <stp>3</stp>
        <stp>002753</stp>
        <stp>12/31/2018</stp>
        <stp>1</stp>
        <tr r="I2896" s="1"/>
      </tp>
      <tp>
        <v>15.402966814099999</v>
        <stp/>
        <stp>EM_S_FA_GROSSPROFITMARGIN</stp>
        <stp>3</stp>
        <stp>002453</stp>
        <stp>12/31/2018</stp>
        <stp>1</stp>
        <tr r="I2057" s="1"/>
      </tp>
      <tp>
        <v>34.586736183100001</v>
        <stp/>
        <stp>EM_S_FA_GROSSPROFITMARGIN</stp>
        <stp>3</stp>
        <stp>002553</stp>
        <stp>12/31/2018</stp>
        <stp>1</stp>
        <tr r="I2055" s="1"/>
      </tp>
      <tp>
        <v>25.554846256699999</v>
        <stp/>
        <stp>EM_S_FA_GROSSPROFITMARGIN</stp>
        <stp>3</stp>
        <stp>002253</stp>
        <stp>12/31/2018</stp>
        <stp>1</stp>
        <tr r="I1773" s="1"/>
      </tp>
      <tp>
        <v>31.651877991199999</v>
        <stp/>
        <stp>EM_S_FA_GROSSPROFITMARGIN</stp>
        <stp>3</stp>
        <stp>002353</stp>
        <stp>12/31/2018</stp>
        <stp>1</stp>
        <tr r="I89" s="1"/>
      </tp>
      <tp>
        <v>50.7384166748</v>
        <stp/>
        <stp>EM_S_FA_GROSSPROFITMARGIN</stp>
        <stp>3</stp>
        <stp>002053</stp>
        <stp>12/31/2018</stp>
        <stp>1</stp>
        <tr r="I3619" s="1"/>
      </tp>
      <tp>
        <v>44.906339122200002</v>
        <stp/>
        <stp>EM_S_FA_GROSSPROFITMARGIN</stp>
        <stp>3</stp>
        <stp>002153</stp>
        <stp>12/31/2018</stp>
        <stp>1</stp>
        <tr r="I541" s="1"/>
      </tp>
      <tp>
        <v>0</v>
        <stp/>
        <stp>EM_S_FA_GROSSPROFITMARGIN</stp>
        <stp>3</stp>
        <stp>601838</stp>
        <stp>12/31/2018</stp>
        <stp>1</stp>
        <tr r="I1663" s="1"/>
      </tp>
      <tp>
        <v>18.560990731099999</v>
        <stp/>
        <stp>EM_S_FA_GROSSPROFITMARGIN</stp>
        <stp>3</stp>
        <stp>601238</stp>
        <stp>12/31/2018</stp>
        <stp>1</stp>
        <tr r="I1583" s="1"/>
      </tp>
      <tp>
        <v>7.9872390143000001</v>
        <stp/>
        <stp>EM_S_FA_GROSSPROFITMARGIN</stp>
        <stp>3</stp>
        <stp>601038</stp>
        <stp>12/31/2018</stp>
        <stp>1</stp>
        <tr r="I646" s="1"/>
      </tp>
      <tp>
        <v>8.6407426924999999</v>
        <stp/>
        <stp>EM_S_FA_GROSSPROFITMARGIN</stp>
        <stp>3</stp>
        <stp>601138</stp>
        <stp>12/31/2018</stp>
        <stp>1</stp>
        <tr r="I537" s="1"/>
      </tp>
      <tp>
        <v>73.8028147279</v>
        <stp/>
        <stp>EM_S_FA_GROSSPROFITMARGIN</stp>
        <stp>3</stp>
        <stp>000858</stp>
        <stp>12/31/2018</stp>
        <stp>1</stp>
        <tr r="I65" s="1"/>
      </tp>
      <tp>
        <v>60.582346164599997</v>
        <stp/>
        <stp>EM_S_FA_GROSSPROFITMARGIN</stp>
        <stp>3</stp>
        <stp>600838</stp>
        <stp>12/31/2018</stp>
        <stp>1</stp>
        <tr r="I1970" s="1"/>
      </tp>
      <tp>
        <v>13.482374113100001</v>
        <stp/>
        <stp>EM_S_FA_GROSSPROFITMARGIN</stp>
        <stp>3</stp>
        <stp>000958</stp>
        <stp>12/31/2018</stp>
        <stp>1</stp>
        <tr r="I289" s="1"/>
      </tp>
      <tp>
        <v>64.887684645999997</v>
        <stp/>
        <stp>EM_S_FA_GROSSPROFITMARGIN</stp>
        <stp>3</stp>
        <stp>000658</stp>
        <stp>12/31/2018</stp>
        <stp>1</stp>
        <tr r="I3495" s="1"/>
      </tp>
      <tp>
        <v>52.155726800300002</v>
        <stp/>
        <stp>EM_S_FA_GROSSPROFITMARGIN</stp>
        <stp>3</stp>
        <stp>300668</stp>
        <stp>12/31/2018</stp>
        <stp>1</stp>
        <tr r="I2582" s="1"/>
      </tp>
      <tp>
        <v>34.5898868998</v>
        <stp/>
        <stp>EM_S_FA_GROSSPROFITMARGIN</stp>
        <stp>3</stp>
        <stp>600638</stp>
        <stp>12/31/2018</stp>
        <stp>1</stp>
        <tr r="I3026" s="1"/>
      </tp>
      <tp>
        <v>13.1011898371</v>
        <stp/>
        <stp>EM_S_FA_GROSSPROFITMARGIN</stp>
        <stp>3</stp>
        <stp>000758</stp>
        <stp>12/31/2018</stp>
        <stp>1</stp>
        <tr r="I3529" s="1"/>
      </tp>
      <tp>
        <v>34.920850870000002</v>
        <stp/>
        <stp>EM_S_FA_GROSSPROFITMARGIN</stp>
        <stp>3</stp>
        <stp>600738</stp>
        <stp>12/31/2018</stp>
        <stp>1</stp>
        <tr r="I2955" s="1"/>
      </tp>
      <tp>
        <v>39.184455214099998</v>
        <stp/>
        <stp>EM_S_FA_GROSSPROFITMARGIN</stp>
        <stp>3</stp>
        <stp>300468</stp>
        <stp>12/31/2018</stp>
        <stp>1</stp>
        <tr r="I55" s="1"/>
      </tp>
      <tp>
        <v>18.914979719000002</v>
        <stp/>
        <stp>EM_S_FA_GROSSPROFITMARGIN</stp>
        <stp>3</stp>
        <stp>600438</stp>
        <stp>12/31/2018</stp>
        <stp>1</stp>
        <tr r="I448" s="1"/>
      </tp>
      <tp>
        <v>34.010524824299999</v>
        <stp/>
        <stp>EM_S_FA_GROSSPROFITMARGIN</stp>
        <stp>3</stp>
        <stp>000558</stp>
        <stp>12/31/2018</stp>
        <stp>1</stp>
        <tr r="I3454" s="1"/>
      </tp>
      <tp>
        <v>48.253509552300002</v>
        <stp/>
        <stp>EM_S_FA_GROSSPROFITMARGIN</stp>
        <stp>3</stp>
        <stp>300568</stp>
        <stp>12/31/2018</stp>
        <stp>1</stp>
        <tr r="I800" s="1"/>
      </tp>
      <tp>
        <v>19.766713729599999</v>
        <stp/>
        <stp>EM_S_FA_GROSSPROFITMARGIN</stp>
        <stp>3</stp>
        <stp>600538</stp>
        <stp>12/31/2018</stp>
        <stp>1</stp>
        <tr r="I1379" s="1"/>
      </tp>
      <tp>
        <v>11.2813965463</v>
        <stp/>
        <stp>EM_S_FA_GROSSPROFITMARGIN</stp>
        <stp>3</stp>
        <stp>300268</stp>
        <stp>12/31/2018</stp>
        <stp>1</stp>
        <tr r="I1057" s="1"/>
      </tp>
      <tp>
        <v>31.962185069</v>
        <stp/>
        <stp>EM_S_FA_GROSSPROFITMARGIN</stp>
        <stp>3</stp>
        <stp>600238</stp>
        <stp>12/31/2018</stp>
        <stp>1</stp>
        <tr r="I1030" s="1"/>
      </tp>
      <tp>
        <v>32.743517898999997</v>
        <stp/>
        <stp>EM_S_FA_GROSSPROFITMARGIN</stp>
        <stp>3</stp>
        <stp>300368</stp>
        <stp>12/31/2018</stp>
        <stp>1</stp>
        <tr r="I686" s="1"/>
      </tp>
      <tp>
        <v>69.545907512200003</v>
        <stp/>
        <stp>EM_S_FA_GROSSPROFITMARGIN</stp>
        <stp>3</stp>
        <stp>600338</stp>
        <stp>12/31/2018</stp>
        <stp>1</stp>
        <tr r="I2747" s="1"/>
      </tp>
      <tp>
        <v>33.839896785699999</v>
        <stp/>
        <stp>EM_S_FA_GROSSPROFITMARGIN</stp>
        <stp>3</stp>
        <stp>000058</stp>
        <stp>12/31/2018</stp>
        <stp>1</stp>
        <tr r="I1127" s="1"/>
      </tp>
      <tp>
        <v>14.1454147647</v>
        <stp/>
        <stp>EM_S_FA_GROSSPROFITMARGIN</stp>
        <stp>3</stp>
        <stp>300068</stp>
        <stp>12/31/2018</stp>
        <stp>1</stp>
        <tr r="I3130" s="1"/>
      </tp>
      <tp>
        <v>13.931845724</v>
        <stp/>
        <stp>EM_S_FA_GROSSPROFITMARGIN</stp>
        <stp>3</stp>
        <stp>600038</stp>
        <stp>12/31/2018</stp>
        <stp>1</stp>
        <tr r="I1039" s="1"/>
      </tp>
      <tp>
        <v>9.2372310785000007</v>
        <stp/>
        <stp>EM_S_FA_GROSSPROFITMARGIN</stp>
        <stp>3</stp>
        <stp>000158</stp>
        <stp>12/31/2018</stp>
        <stp>1</stp>
        <tr r="I3412" s="1"/>
      </tp>
      <tp>
        <v>44.495608674499998</v>
        <stp/>
        <stp>EM_S_FA_GROSSPROFITMARGIN</stp>
        <stp>3</stp>
        <stp>300168</stp>
        <stp>12/31/2018</stp>
        <stp>1</stp>
        <tr r="I960" s="1"/>
      </tp>
      <tp>
        <v>25.299123358599999</v>
        <stp/>
        <stp>EM_S_FA_GROSSPROFITMARGIN</stp>
        <stp>3</stp>
        <stp>600138</stp>
        <stp>12/31/2018</stp>
        <stp>1</stp>
        <tr r="I2400" s="1"/>
      </tp>
      <tp>
        <v>27.683785762500001</v>
        <stp/>
        <stp>EM_S_FA_GROSSPROFITMARGIN</stp>
        <stp>3</stp>
        <stp>603838</stp>
        <stp>12/31/2018</stp>
        <stp>1</stp>
        <tr r="I2880" s="1"/>
      </tp>
      <tp>
        <v>26.940815708100001</v>
        <stp/>
        <stp>EM_S_FA_GROSSPROFITMARGIN</stp>
        <stp>3</stp>
        <stp>603938</stp>
        <stp>12/31/2018</stp>
        <stp>1</stp>
        <tr r="I1870" s="1"/>
      </tp>
      <tp>
        <v>42.847591261300003</v>
        <stp/>
        <stp>EM_S_FA_GROSSPROFITMARGIN</stp>
        <stp>3</stp>
        <stp>603638</stp>
        <stp>12/31/2018</stp>
        <stp>1</stp>
        <tr r="I1019" s="1"/>
      </tp>
      <tp>
        <v>24.227462998699998</v>
        <stp/>
        <stp>EM_S_FA_GROSSPROFITMARGIN</stp>
        <stp>3</stp>
        <stp>603738</stp>
        <stp>12/31/2018</stp>
        <stp>1</stp>
        <tr r="I418" s="1"/>
      </tp>
      <tp>
        <v>32.5648258003</v>
        <stp/>
        <stp>EM_S_FA_GROSSPROFITMARGIN</stp>
        <stp>3</stp>
        <stp>603538</stp>
        <stp>12/31/2018</stp>
        <stp>1</stp>
        <tr r="I1150" s="1"/>
      </tp>
      <tp>
        <v>23.644420462900001</v>
        <stp/>
        <stp>EM_S_FA_GROSSPROFITMARGIN</stp>
        <stp>3</stp>
        <stp>603238</stp>
        <stp>12/31/2018</stp>
        <stp>1</stp>
        <tr r="I2678" s="1"/>
      </tp>
      <tp>
        <v>41.520879367200003</v>
        <stp/>
        <stp>EM_S_FA_GROSSPROFITMARGIN</stp>
        <stp>3</stp>
        <stp>603338</stp>
        <stp>12/31/2018</stp>
        <stp>1</stp>
        <tr r="I1029" s="1"/>
      </tp>
      <tp>
        <v>26.577912362399999</v>
        <stp/>
        <stp>EM_S_FA_GROSSPROFITMARGIN</stp>
        <stp>3</stp>
        <stp>603038</stp>
        <stp>12/31/2018</stp>
        <stp>1</stp>
        <tr r="I2833" s="1"/>
      </tp>
      <tp>
        <v>26.5250515177</v>
        <stp/>
        <stp>EM_S_FA_GROSSPROFITMARGIN</stp>
        <stp>3</stp>
        <stp>603138</stp>
        <stp>12/31/2018</stp>
        <stp>1</stp>
        <tr r="I2938" s="1"/>
      </tp>
      <tp>
        <v>28.6932028063</v>
        <stp/>
        <stp>EM_S_FA_GROSSPROFITMARGIN</stp>
        <stp>3</stp>
        <stp>002858</stp>
        <stp>12/31/2018</stp>
        <stp>1</stp>
        <tr r="I1816" s="1"/>
      </tp>
      <tp>
        <v>43.483465942400002</v>
        <stp/>
        <stp>EM_S_FA_GROSSPROFITMARGIN</stp>
        <stp>3</stp>
        <stp>002658</stp>
        <stp>12/31/2018</stp>
        <stp>1</stp>
        <tr r="I2191" s="1"/>
      </tp>
      <tp>
        <v>14.6719394985</v>
        <stp/>
        <stp>EM_S_FA_GROSSPROFITMARGIN</stp>
        <stp>3</stp>
        <stp>002758</stp>
        <stp>12/31/2018</stp>
        <stp>1</stp>
        <tr r="I633" s="1"/>
      </tp>
      <tp>
        <v>37.0537906554</v>
        <stp/>
        <stp>EM_S_FA_GROSSPROFITMARGIN</stp>
        <stp>3</stp>
        <stp>002458</stp>
        <stp>12/31/2018</stp>
        <stp>1</stp>
        <tr r="I190" s="1"/>
      </tp>
      <tp>
        <v>74.9902661104</v>
        <stp/>
        <stp>EM_S_FA_GROSSPROFITMARGIN</stp>
        <stp>3</stp>
        <stp>002558</stp>
        <stp>12/31/2018</stp>
        <stp>1</stp>
        <tr r="I2676" s="1"/>
      </tp>
      <tp>
        <v>33.066686005500003</v>
        <stp/>
        <stp>EM_S_FA_GROSSPROFITMARGIN</stp>
        <stp>3</stp>
        <stp>002258</stp>
        <stp>12/31/2018</stp>
        <stp>1</stp>
        <tr r="I1840" s="1"/>
      </tp>
      <tp>
        <v>32.648286184</v>
        <stp/>
        <stp>EM_S_FA_GROSSPROFITMARGIN</stp>
        <stp>3</stp>
        <stp>002358</stp>
        <stp>12/31/2018</stp>
        <stp>1</stp>
        <tr r="I3394" s="1"/>
      </tp>
      <tp>
        <v>37.208555983799997</v>
        <stp/>
        <stp>EM_S_FA_GROSSPROFITMARGIN</stp>
        <stp>3</stp>
        <stp>002058</stp>
        <stp>12/31/2018</stp>
        <stp>1</stp>
        <tr r="I306" s="1"/>
      </tp>
      <tp>
        <v>32.627501135999999</v>
        <stp/>
        <stp>EM_S_FA_GROSSPROFITMARGIN</stp>
        <stp>3</stp>
        <stp>002158</stp>
        <stp>12/31/2018</stp>
        <stp>1</stp>
        <tr r="I1124" s="1"/>
      </tp>
      <tp>
        <v>0</v>
        <stp/>
        <stp>EM_S_FA_GROSSPROFITMARGIN</stp>
        <stp>3</stp>
        <stp>601939</stp>
        <stp>12/31/2018</stp>
        <stp>1</stp>
        <tr r="I1554" s="1"/>
      </tp>
      <tp>
        <v>19.470836677200001</v>
        <stp/>
        <stp>EM_S_FA_GROSSPROFITMARGIN</stp>
        <stp>3</stp>
        <stp>601339</stp>
        <stp>12/31/2018</stp>
        <stp>1</stp>
        <tr r="I3196" s="1"/>
      </tp>
      <tp>
        <v>20.9549028526</v>
        <stp/>
        <stp>EM_S_FA_GROSSPROFITMARGIN</stp>
        <stp>3</stp>
        <stp>601139</stp>
        <stp>12/31/2018</stp>
        <stp>1</stp>
        <tr r="I649" s="1"/>
      </tp>
      <tp>
        <v>10.045321166600001</v>
        <stp/>
        <stp>EM_S_FA_GROSSPROFITMARGIN</stp>
        <stp>3</stp>
        <stp>000859</stp>
        <stp>12/31/2018</stp>
        <stp>1</stp>
        <tr r="I151" s="1"/>
      </tp>
      <tp>
        <v>12.471599684699999</v>
        <stp/>
        <stp>EM_S_FA_GROSSPROFITMARGIN</stp>
        <stp>3</stp>
        <stp>600839</stp>
        <stp>12/31/2018</stp>
        <stp>1</stp>
        <tr r="I1139" s="1"/>
      </tp>
      <tp>
        <v>12.9718682022</v>
        <stp/>
        <stp>EM_S_FA_GROSSPROFITMARGIN</stp>
        <stp>3</stp>
        <stp>000959</stp>
        <stp>12/31/2018</stp>
        <stp>1</stp>
        <tr r="I2602" s="1"/>
      </tp>
      <tp>
        <v>4.9477671989000003</v>
        <stp/>
        <stp>EM_S_FA_GROSSPROFITMARGIN</stp>
        <stp>3</stp>
        <stp>600939</stp>
        <stp>12/31/2018</stp>
        <stp>1</stp>
        <tr r="I2104" s="1"/>
      </tp>
      <tp>
        <v>19.756235455799999</v>
        <stp/>
        <stp>EM_S_FA_GROSSPROFITMARGIN</stp>
        <stp>3</stp>
        <stp>000659</stp>
        <stp>12/31/2018</stp>
        <stp>1</stp>
        <tr r="I3261" s="1"/>
      </tp>
      <tp>
        <v>30.795168269800001</v>
        <stp/>
        <stp>EM_S_FA_GROSSPROFITMARGIN</stp>
        <stp>3</stp>
        <stp>300669</stp>
        <stp>12/31/2018</stp>
        <stp>1</stp>
        <tr r="I488" s="1"/>
      </tp>
      <tp>
        <v>51.933924852499999</v>
        <stp/>
        <stp>EM_S_FA_GROSSPROFITMARGIN</stp>
        <stp>3</stp>
        <stp>600639</stp>
        <stp>12/31/2018</stp>
        <stp>1</stp>
        <tr r="I1287" s="1"/>
      </tp>
      <tp>
        <v>22.490585258399999</v>
        <stp/>
        <stp>EM_S_FA_GROSSPROFITMARGIN</stp>
        <stp>3</stp>
        <stp>000759</stp>
        <stp>12/31/2018</stp>
        <stp>1</stp>
        <tr r="I752" s="1"/>
      </tp>
      <tp>
        <v>11.9982620592</v>
        <stp/>
        <stp>EM_S_FA_GROSSPROFITMARGIN</stp>
        <stp>3</stp>
        <stp>600739</stp>
        <stp>12/31/2018</stp>
        <stp>1</stp>
        <tr r="I642" s="1"/>
      </tp>
      <tp>
        <v>36.284582269799998</v>
        <stp/>
        <stp>EM_S_FA_GROSSPROFITMARGIN</stp>
        <stp>3</stp>
        <stp>300469</stp>
        <stp>12/31/2018</stp>
        <stp>1</stp>
        <tr r="I2968" s="1"/>
      </tp>
      <tp>
        <v>34.853128839</v>
        <stp/>
        <stp>EM_S_FA_GROSSPROFITMARGIN</stp>
        <stp>3</stp>
        <stp>600439</stp>
        <stp>12/31/2018</stp>
        <stp>1</stp>
        <tr r="I823" s="1"/>
      </tp>
      <tp>
        <v>18.597205188</v>
        <stp/>
        <stp>EM_S_FA_GROSSPROFITMARGIN</stp>
        <stp>3</stp>
        <stp>000559</stp>
        <stp>12/31/2018</stp>
        <stp>1</stp>
        <tr r="I1985" s="1"/>
      </tp>
      <tp>
        <v>23.408209895100001</v>
        <stp/>
        <stp>EM_S_FA_GROSSPROFITMARGIN</stp>
        <stp>3</stp>
        <stp>300569</stp>
        <stp>12/31/2018</stp>
        <stp>1</stp>
        <tr r="I1506" s="1"/>
      </tp>
      <tp>
        <v>30.421215402400001</v>
        <stp/>
        <stp>EM_S_FA_GROSSPROFITMARGIN</stp>
        <stp>3</stp>
        <stp>600539</stp>
        <stp>12/31/2018</stp>
        <stp>1</stp>
        <tr r="I1929" s="1"/>
      </tp>
      <tp>
        <v>27.1530285439</v>
        <stp/>
        <stp>EM_S_FA_GROSSPROFITMARGIN</stp>
        <stp>3</stp>
        <stp>300269</stp>
        <stp>12/31/2018</stp>
        <stp>1</stp>
        <tr r="I2751" s="1"/>
      </tp>
      <tp>
        <v>34.768085365799998</v>
        <stp/>
        <stp>EM_S_FA_GROSSPROFITMARGIN</stp>
        <stp>3</stp>
        <stp>600239</stp>
        <stp>12/31/2018</stp>
        <stp>1</stp>
        <tr r="I2256" s="1"/>
      </tp>
      <tp>
        <v>76.926842909200005</v>
        <stp/>
        <stp>EM_S_FA_GROSSPROFITMARGIN</stp>
        <stp>3</stp>
        <stp>300369</stp>
        <stp>12/31/2018</stp>
        <stp>1</stp>
        <tr r="I143" s="1"/>
      </tp>
      <tp>
        <v>7.4938756422999999</v>
        <stp/>
        <stp>EM_S_FA_GROSSPROFITMARGIN</stp>
        <stp>3</stp>
        <stp>600339</stp>
        <stp>12/31/2018</stp>
        <stp>1</stp>
        <tr r="I2706" s="1"/>
      </tp>
      <tp>
        <v>17.213537097</v>
        <stp/>
        <stp>EM_S_FA_GROSSPROFITMARGIN</stp>
        <stp>3</stp>
        <stp>000059</stp>
        <stp>12/31/2018</stp>
        <stp>1</stp>
        <tr r="I1923" s="1"/>
      </tp>
      <tp>
        <v>31.367125728600001</v>
        <stp/>
        <stp>EM_S_FA_GROSSPROFITMARGIN</stp>
        <stp>3</stp>
        <stp>300069</stp>
        <stp>12/31/2018</stp>
        <stp>1</stp>
        <tr r="I270" s="1"/>
      </tp>
      <tp>
        <v>10.693505351400001</v>
        <stp/>
        <stp>EM_S_FA_GROSSPROFITMARGIN</stp>
        <stp>3</stp>
        <stp>600039</stp>
        <stp>12/31/2018</stp>
        <stp>1</stp>
        <tr r="I2260" s="1"/>
      </tp>
      <tp>
        <v>20.660573092500002</v>
        <stp/>
        <stp>EM_S_FA_GROSSPROFITMARGIN</stp>
        <stp>3</stp>
        <stp>000159</stp>
        <stp>12/31/2018</stp>
        <stp>1</stp>
        <tr r="I847" s="1"/>
      </tp>
      <tp>
        <v>25.770052370799998</v>
        <stp/>
        <stp>EM_S_FA_GROSSPROFITMARGIN</stp>
        <stp>3</stp>
        <stp>300169</stp>
        <stp>12/31/2018</stp>
        <stp>1</stp>
        <tr r="I1392" s="1"/>
      </tp>
      <tp>
        <v>35.468282410599997</v>
        <stp/>
        <stp>EM_S_FA_GROSSPROFITMARGIN</stp>
        <stp>3</stp>
        <stp>600139</stp>
        <stp>12/31/2018</stp>
        <stp>1</stp>
        <tr r="I1360" s="1"/>
      </tp>
      <tp>
        <v>63.266955032699997</v>
        <stp/>
        <stp>EM_S_FA_GROSSPROFITMARGIN</stp>
        <stp>3</stp>
        <stp>603839</stp>
        <stp>12/31/2018</stp>
        <stp>1</stp>
        <tr r="I1152" s="1"/>
      </tp>
      <tp>
        <v>39.731851028900003</v>
        <stp/>
        <stp>EM_S_FA_GROSSPROFITMARGIN</stp>
        <stp>3</stp>
        <stp>603939</stp>
        <stp>12/31/2018</stp>
        <stp>1</stp>
        <tr r="I285" s="1"/>
      </tp>
      <tp>
        <v>34.756728751600001</v>
        <stp/>
        <stp>EM_S_FA_GROSSPROFITMARGIN</stp>
        <stp>3</stp>
        <stp>603639</stp>
        <stp>12/31/2018</stp>
        <stp>1</stp>
        <tr r="I2640" s="1"/>
      </tp>
      <tp>
        <v>39.472866616399997</v>
        <stp/>
        <stp>EM_S_FA_GROSSPROFITMARGIN</stp>
        <stp>3</stp>
        <stp>603239</stp>
        <stp>12/31/2018</stp>
        <stp>1</stp>
        <tr r="I1957" s="1"/>
      </tp>
      <tp>
        <v>26.740220668399999</v>
        <stp/>
        <stp>EM_S_FA_GROSSPROFITMARGIN</stp>
        <stp>3</stp>
        <stp>603339</stp>
        <stp>12/31/2018</stp>
        <stp>1</stp>
        <tr r="I2771" s="1"/>
      </tp>
      <tp>
        <v>95.796244572700004</v>
        <stp/>
        <stp>EM_S_FA_GROSSPROFITMARGIN</stp>
        <stp>3</stp>
        <stp>603039</stp>
        <stp>12/31/2018</stp>
        <stp>1</stp>
        <tr r="I3129" s="1"/>
      </tp>
      <tp>
        <v>51.2831023074</v>
        <stp/>
        <stp>EM_S_FA_GROSSPROFITMARGIN</stp>
        <stp>3</stp>
        <stp>603139</stp>
        <stp>12/31/2018</stp>
        <stp>1</stp>
        <tr r="I1742" s="1"/>
      </tp>
      <tp>
        <v>37.054471417199998</v>
        <stp/>
        <stp>EM_S_FA_GROSSPROFITMARGIN</stp>
        <stp>3</stp>
        <stp>002859</stp>
        <stp>12/31/2018</stp>
        <stp>1</stp>
        <tr r="I1645" s="1"/>
      </tp>
      <tp>
        <v>-6.7543884008999999</v>
        <stp/>
        <stp>EM_S_FA_GROSSPROFITMARGIN</stp>
        <stp>3</stp>
        <stp>002659</stp>
        <stp>12/31/2018</stp>
        <stp>1</stp>
        <tr r="I3175" s="1"/>
      </tp>
      <tp>
        <v>26.1993316107</v>
        <stp/>
        <stp>EM_S_FA_GROSSPROFITMARGIN</stp>
        <stp>3</stp>
        <stp>002759</stp>
        <stp>12/31/2018</stp>
        <stp>1</stp>
        <tr r="I1470" s="1"/>
      </tp>
      <tp>
        <v>19.1225480383</v>
        <stp/>
        <stp>EM_S_FA_GROSSPROFITMARGIN</stp>
        <stp>3</stp>
        <stp>002459</stp>
        <stp>12/31/2018</stp>
        <stp>1</stp>
        <tr r="I871" s="1"/>
      </tp>
      <tp>
        <v>27.9859170842</v>
        <stp/>
        <stp>EM_S_FA_GROSSPROFITMARGIN</stp>
        <stp>3</stp>
        <stp>002559</stp>
        <stp>12/31/2018</stp>
        <stp>1</stp>
        <tr r="I2941" s="1"/>
      </tp>
      <tp>
        <v>13.0003867593</v>
        <stp/>
        <stp>EM_S_FA_GROSSPROFITMARGIN</stp>
        <stp>3</stp>
        <stp>002259</stp>
        <stp>12/31/2018</stp>
        <stp>1</stp>
        <tr r="I2658" s="1"/>
      </tp>
      <tp>
        <v>24.955442289400001</v>
        <stp/>
        <stp>EM_S_FA_GROSSPROFITMARGIN</stp>
        <stp>3</stp>
        <stp>002359</stp>
        <stp>12/31/2018</stp>
        <stp>1</stp>
        <tr r="I3401" s="1"/>
      </tp>
      <tp>
        <v>18.026432329599999</v>
        <stp/>
        <stp>EM_S_FA_GROSSPROFITMARGIN</stp>
        <stp>3</stp>
        <stp>002059</stp>
        <stp>12/31/2018</stp>
        <stp>1</stp>
        <tr r="I2514" s="1"/>
      </tp>
      <tp>
        <v>55.613923991999997</v>
        <stp/>
        <stp>EM_S_FA_GROSSPROFITMARGIN</stp>
        <stp>3</stp>
        <stp>002159</stp>
        <stp>12/31/2018</stp>
        <stp>1</stp>
        <tr r="I3212" s="1"/>
      </tp>
      <tp>
        <v>41.106940275900001</v>
        <stp/>
        <stp>EM_S_FA_GROSSPROFITMARGIN</stp>
        <stp>3</stp>
        <stp>600824</stp>
        <stp>12/31/2018</stp>
        <stp>1</stp>
        <tr r="I2064" s="1"/>
      </tp>
      <tp>
        <v>54.601725700899998</v>
        <stp/>
        <stp>EM_S_FA_GROSSPROFITMARGIN</stp>
        <stp>3</stp>
        <stp>600624</stp>
        <stp>12/31/2018</stp>
        <stp>1</stp>
        <tr r="I437" s="1"/>
      </tp>
      <tp>
        <v>28.106681412499999</v>
        <stp/>
        <stp>EM_S_FA_GROSSPROFITMARGIN</stp>
        <stp>3</stp>
        <stp>600724</stp>
        <stp>12/31/2018</stp>
        <stp>1</stp>
        <tr r="I1617" s="1"/>
      </tp>
      <tp>
        <v>76.517716242199995</v>
        <stp/>
        <stp>EM_S_FA_GROSSPROFITMARGIN</stp>
        <stp>3</stp>
        <stp>300474</stp>
        <stp>12/31/2018</stp>
        <stp>1</stp>
        <tr r="I392" s="1"/>
      </tp>
      <tp>
        <v>43.408687382700002</v>
        <stp/>
        <stp>EM_S_FA_GROSSPROFITMARGIN</stp>
        <stp>3</stp>
        <stp>000544</stp>
        <stp>12/31/2018</stp>
        <stp>1</stp>
        <tr r="I1160" s="1"/>
      </tp>
      <tp>
        <v>24.860632365000001</v>
        <stp/>
        <stp>EM_S_FA_GROSSPROFITMARGIN</stp>
        <stp>3</stp>
        <stp>300274</stp>
        <stp>12/31/2018</stp>
        <stp>1</stp>
        <tr r="I1283" s="1"/>
      </tp>
      <tp>
        <v>29.302217926899999</v>
        <stp/>
        <stp>EM_S_FA_GROSSPROFITMARGIN</stp>
        <stp>3</stp>
        <stp>300374</stp>
        <stp>12/31/2018</stp>
        <stp>1</stp>
        <tr r="I2349" s="1"/>
      </tp>
      <tp>
        <v>36.723965843800002</v>
        <stp/>
        <stp>EM_S_FA_GROSSPROFITMARGIN</stp>
        <stp>3</stp>
        <stp>300074</stp>
        <stp>12/31/2018</stp>
        <stp>1</stp>
        <tr r="I1462" s="1"/>
      </tp>
      <tp>
        <v>25.9457435122</v>
        <stp/>
        <stp>EM_S_FA_GROSSPROFITMARGIN</stp>
        <stp>3</stp>
        <stp>300174</stp>
        <stp>12/31/2018</stp>
        <stp>1</stp>
        <tr r="I701" s="1"/>
      </tp>
      <tp>
        <v>32.367625415399999</v>
        <stp/>
        <stp>EM_S_FA_GROSSPROFITMARGIN</stp>
        <stp>3</stp>
        <stp>002644</stp>
        <stp>12/31/2018</stp>
        <stp>1</stp>
        <tr r="I2710" s="1"/>
      </tp>
      <tp>
        <v>29.439291584599999</v>
        <stp/>
        <stp>EM_S_FA_GROSSPROFITMARGIN</stp>
        <stp>3</stp>
        <stp>002444</stp>
        <stp>12/31/2018</stp>
        <stp>1</stp>
        <tr r="I1624" s="1"/>
      </tp>
      <tp>
        <v>15.166226414400001</v>
        <stp/>
        <stp>EM_S_FA_GROSSPROFITMARGIN</stp>
        <stp>3</stp>
        <stp>002544</stp>
        <stp>12/31/2018</stp>
        <stp>1</stp>
        <tr r="I1046" s="1"/>
      </tp>
      <tp>
        <v>35.744499212199997</v>
        <stp/>
        <stp>EM_S_FA_GROSSPROFITMARGIN</stp>
        <stp>3</stp>
        <stp>002244</stp>
        <stp>12/31/2018</stp>
        <stp>1</stp>
        <tr r="I1120" s="1"/>
      </tp>
      <tp>
        <v>47.664246131500001</v>
        <stp/>
        <stp>EM_S_FA_GROSSPROFITMARGIN</stp>
        <stp>3</stp>
        <stp>002344</stp>
        <stp>12/31/2018</stp>
        <stp>1</stp>
        <tr r="I2491" s="1"/>
      </tp>
      <tp>
        <v>47.560805554300003</v>
        <stp/>
        <stp>EM_S_FA_GROSSPROFITMARGIN</stp>
        <stp>3</stp>
        <stp>002044</stp>
        <stp>12/31/2018</stp>
        <stp>1</stp>
        <tr r="I2450" s="1"/>
      </tp>
      <tp>
        <v>29.23758406</v>
        <stp/>
        <stp>EM_S_FA_GROSSPROFITMARGIN</stp>
        <stp>3</stp>
        <stp>002144</stp>
        <stp>12/31/2018</stp>
        <stp>1</stp>
        <tr r="I2202" s="1"/>
      </tp>
      <tp>
        <v>48.690780641099998</v>
        <stp/>
        <stp>EM_S_FA_GROSSPROFITMARGIN</stp>
        <stp>3</stp>
        <stp>601225</stp>
        <stp>12/31/2018</stp>
        <stp>1</stp>
        <tr r="I1210" s="1"/>
      </tp>
      <tp>
        <v>35.763608870100001</v>
        <stp/>
        <stp>EM_S_FA_GROSSPROFITMARGIN</stp>
        <stp>3</stp>
        <stp>600825</stp>
        <stp>12/31/2018</stp>
        <stp>1</stp>
        <tr r="I1333" s="1"/>
      </tp>
      <tp>
        <v>38.235355951599999</v>
        <stp/>
        <stp>EM_S_FA_GROSSPROFITMARGIN</stp>
        <stp>3</stp>
        <stp>300675</stp>
        <stp>12/31/2018</stp>
        <stp>1</stp>
        <tr r="I3339" s="1"/>
      </tp>
      <tp>
        <v>25.939167519200002</v>
        <stp/>
        <stp>EM_S_FA_GROSSPROFITMARGIN</stp>
        <stp>3</stp>
        <stp>600625</stp>
        <stp>12/31/2018</stp>
        <stp>1</stp>
        <tr r="I2307" s="1"/>
      </tp>
      <tp>
        <v>4.5107977570999997</v>
        <stp/>
        <stp>EM_S_FA_GROSSPROFITMARGIN</stp>
        <stp>3</stp>
        <stp>600725</stp>
        <stp>12/31/2018</stp>
        <stp>1</stp>
        <tr r="I1728" s="1"/>
      </tp>
      <tp>
        <v>29.881884523099998</v>
        <stp/>
        <stp>EM_S_FA_GROSSPROFITMARGIN</stp>
        <stp>3</stp>
        <stp>300475</stp>
        <stp>12/31/2018</stp>
        <stp>1</stp>
        <tr r="I864" s="1"/>
      </tp>
      <tp>
        <v>29.693235348000002</v>
        <stp/>
        <stp>EM_S_FA_GROSSPROFITMARGIN</stp>
        <stp>3</stp>
        <stp>600425</stp>
        <stp>12/31/2018</stp>
        <stp>1</stp>
        <tr r="I935" s="1"/>
      </tp>
      <tp>
        <v>19.314972655399998</v>
        <stp/>
        <stp>EM_S_FA_GROSSPROFITMARGIN</stp>
        <stp>3</stp>
        <stp>000545</stp>
        <stp>12/31/2018</stp>
        <stp>1</stp>
        <tr r="I2486" s="1"/>
      </tp>
      <tp>
        <v>24.054969379199999</v>
        <stp/>
        <stp>EM_S_FA_GROSSPROFITMARGIN</stp>
        <stp>3</stp>
        <stp>300575</stp>
        <stp>12/31/2018</stp>
        <stp>1</stp>
        <tr r="I3269" s="1"/>
      </tp>
      <tp>
        <v>41.110704433800002</v>
        <stp/>
        <stp>EM_S_FA_GROSSPROFITMARGIN</stp>
        <stp>3</stp>
        <stp>600525</stp>
        <stp>12/31/2018</stp>
        <stp>1</stp>
        <tr r="I831" s="1"/>
      </tp>
      <tp>
        <v>42.442244127000002</v>
        <stp/>
        <stp>EM_S_FA_GROSSPROFITMARGIN</stp>
        <stp>3</stp>
        <stp>300275</stp>
        <stp>12/31/2018</stp>
        <stp>1</stp>
        <tr r="I386" s="1"/>
      </tp>
      <tp>
        <v>20.9473559722</v>
        <stp/>
        <stp>EM_S_FA_GROSSPROFITMARGIN</stp>
        <stp>3</stp>
        <stp>600225</stp>
        <stp>12/31/2018</stp>
        <stp>1</stp>
        <tr r="I2872" s="1"/>
      </tp>
      <tp>
        <v>21.673488302399999</v>
        <stp/>
        <stp>EM_S_FA_GROSSPROFITMARGIN</stp>
        <stp>3</stp>
        <stp>300375</stp>
        <stp>12/31/2018</stp>
        <stp>1</stp>
        <tr r="I3267" s="1"/>
      </tp>
      <tp>
        <v>27.276532921299999</v>
        <stp/>
        <stp>EM_S_FA_GROSSPROFITMARGIN</stp>
        <stp>3</stp>
        <stp>600325</stp>
        <stp>12/31/2018</stp>
        <stp>1</stp>
        <tr r="I1081" s="1"/>
      </tp>
      <tp>
        <v>10.2256292889</v>
        <stp/>
        <stp>EM_S_FA_GROSSPROFITMARGIN</stp>
        <stp>3</stp>
        <stp>000045</stp>
        <stp>12/31/2018</stp>
        <stp>1</stp>
        <tr r="I967" s="1"/>
      </tp>
      <tp>
        <v>28.752343243999999</v>
        <stp/>
        <stp>EM_S_FA_GROSSPROFITMARGIN</stp>
        <stp>3</stp>
        <stp>300075</stp>
        <stp>12/31/2018</stp>
        <stp>1</stp>
        <tr r="I2077" s="1"/>
      </tp>
      <tp>
        <v>50.917927165400002</v>
        <stp/>
        <stp>EM_S_FA_GROSSPROFITMARGIN</stp>
        <stp>3</stp>
        <stp>600025</stp>
        <stp>12/31/2018</stp>
        <stp>1</stp>
        <tr r="I835" s="1"/>
      </tp>
      <tp>
        <v>13.832487431400001</v>
        <stp/>
        <stp>EM_S_FA_GROSSPROFITMARGIN</stp>
        <stp>3</stp>
        <stp>300175</stp>
        <stp>12/31/2018</stp>
        <stp>1</stp>
        <tr r="I630" s="1"/>
      </tp>
      <tp>
        <v>6.3605696528999998</v>
        <stp/>
        <stp>EM_S_FA_GROSSPROFITMARGIN</stp>
        <stp>3</stp>
        <stp>600125</stp>
        <stp>12/31/2018</stp>
        <stp>1</stp>
        <tr r="I2904" s="1"/>
      </tp>
      <tp>
        <v>11.543583464699999</v>
        <stp/>
        <stp>EM_S_FA_GROSSPROFITMARGIN</stp>
        <stp>3</stp>
        <stp>603825</stp>
        <stp>12/31/2018</stp>
        <stp>1</stp>
        <tr r="I901" s="1"/>
      </tp>
      <tp>
        <v>20.5913831499</v>
        <stp/>
        <stp>EM_S_FA_GROSSPROFITMARGIN</stp>
        <stp>3</stp>
        <stp>603725</stp>
        <stp>12/31/2018</stp>
        <stp>1</stp>
        <tr r="I3230" s="1"/>
      </tp>
      <tp>
        <v>9.0800916637999993</v>
        <stp/>
        <stp>EM_S_FA_GROSSPROFITMARGIN</stp>
        <stp>3</stp>
        <stp>603225</stp>
        <stp>12/31/2018</stp>
        <stp>1</stp>
        <tr r="I3262" s="1"/>
      </tp>
      <tp>
        <v>48.934064257700001</v>
        <stp/>
        <stp>EM_S_FA_GROSSPROFITMARGIN</stp>
        <stp>3</stp>
        <stp>603025</stp>
        <stp>12/31/2018</stp>
        <stp>1</stp>
        <tr r="I2951" s="1"/>
      </tp>
      <tp>
        <v>8.3777522868999998</v>
        <stp/>
        <stp>EM_S_FA_GROSSPROFITMARGIN</stp>
        <stp>3</stp>
        <stp>002845</stp>
        <stp>12/31/2018</stp>
        <stp>1</stp>
        <tr r="I1899" s="1"/>
      </tp>
      <tp>
        <v>20.574925187600002</v>
        <stp/>
        <stp>EM_S_FA_GROSSPROFITMARGIN</stp>
        <stp>3</stp>
        <stp>002645</stp>
        <stp>12/31/2018</stp>
        <stp>1</stp>
        <tr r="I1368" s="1"/>
      </tp>
      <tp>
        <v>26.005022074300001</v>
        <stp/>
        <stp>EM_S_FA_GROSSPROFITMARGIN</stp>
        <stp>3</stp>
        <stp>002745</stp>
        <stp>12/31/2018</stp>
        <stp>1</stp>
        <tr r="I1165" s="1"/>
      </tp>
      <tp>
        <v>16.1177564553</v>
        <stp/>
        <stp>EM_S_FA_GROSSPROFITMARGIN</stp>
        <stp>3</stp>
        <stp>002445</stp>
        <stp>12/31/2018</stp>
        <stp>1</stp>
        <tr r="I3228" s="1"/>
      </tp>
      <tp>
        <v>37.919690659399997</v>
        <stp/>
        <stp>EM_S_FA_GROSSPROFITMARGIN</stp>
        <stp>3</stp>
        <stp>002545</stp>
        <stp>12/31/2018</stp>
        <stp>1</stp>
        <tr r="I996" s="1"/>
      </tp>
      <tp>
        <v>18.805649038399999</v>
        <stp/>
        <stp>EM_S_FA_GROSSPROFITMARGIN</stp>
        <stp>3</stp>
        <stp>002245</stp>
        <stp>12/31/2018</stp>
        <stp>1</stp>
        <tr r="I2022" s="1"/>
      </tp>
      <tp>
        <v>39.335690342299998</v>
        <stp/>
        <stp>EM_S_FA_GROSSPROFITMARGIN</stp>
        <stp>3</stp>
        <stp>002345</stp>
        <stp>12/31/2018</stp>
        <stp>1</stp>
        <tr r="I2799" s="1"/>
      </tp>
      <tp>
        <v>12.222737047800001</v>
        <stp/>
        <stp>EM_S_FA_GROSSPROFITMARGIN</stp>
        <stp>3</stp>
        <stp>002045</stp>
        <stp>12/31/2018</stp>
        <stp>1</stp>
        <tr r="I63" s="1"/>
      </tp>
      <tp>
        <v>29.7276430607</v>
        <stp/>
        <stp>EM_S_FA_GROSSPROFITMARGIN</stp>
        <stp>3</stp>
        <stp>002145</stp>
        <stp>12/31/2018</stp>
        <stp>1</stp>
        <tr r="I805" s="1"/>
      </tp>
      <tp>
        <v>10.342770678400001</v>
        <stp/>
        <stp>EM_S_FA_GROSSPROFITMARGIN</stp>
        <stp>3</stp>
        <stp>601226</stp>
        <stp>12/31/2018</stp>
        <stp>1</stp>
        <tr r="I1486" s="1"/>
      </tp>
      <tp>
        <v>41.555005856400001</v>
        <stp/>
        <stp>EM_S_FA_GROSSPROFITMARGIN</stp>
        <stp>3</stp>
        <stp>601326</stp>
        <stp>12/31/2018</stp>
        <stp>1</stp>
        <tr r="I2259" s="1"/>
      </tp>
      <tp>
        <v>42.570480729800003</v>
        <stp/>
        <stp>EM_S_FA_GROSSPROFITMARGIN</stp>
        <stp>3</stp>
        <stp>601126</stp>
        <stp>12/31/2018</stp>
        <stp>1</stp>
        <tr r="I1793" s="1"/>
      </tp>
      <tp>
        <v>5.0908434481000002</v>
        <stp/>
        <stp>EM_S_FA_GROSSPROFITMARGIN</stp>
        <stp>3</stp>
        <stp>600826</stp>
        <stp>12/31/2018</stp>
        <stp>1</stp>
        <tr r="I1328" s="1"/>
      </tp>
      <tp>
        <v>0</v>
        <stp/>
        <stp>EM_S_FA_GROSSPROFITMARGIN</stp>
        <stp>3</stp>
        <stp>600926</stp>
        <stp>12/31/2018</stp>
        <stp>1</stp>
        <tr r="I1142" s="1"/>
      </tp>
      <tp>
        <v>55.347904538999998</v>
        <stp/>
        <stp>EM_S_FA_GROSSPROFITMARGIN</stp>
        <stp>3</stp>
        <stp>300676</stp>
        <stp>12/31/2018</stp>
        <stp>1</stp>
        <tr r="I1637" s="1"/>
      </tp>
      <tp>
        <v>10.7844003516</v>
        <stp/>
        <stp>EM_S_FA_GROSSPROFITMARGIN</stp>
        <stp>3</stp>
        <stp>600626</stp>
        <stp>12/31/2018</stp>
        <stp>1</stp>
        <tr r="I1387" s="1"/>
      </tp>
      <tp>
        <v>1.728684399</v>
        <stp/>
        <stp>EM_S_FA_GROSSPROFITMARGIN</stp>
        <stp>3</stp>
        <stp>600726</stp>
        <stp>12/31/2018</stp>
        <stp>1</stp>
        <tr r="I3137" s="1"/>
      </tp>
      <tp>
        <v>27.561488751300001</v>
        <stp/>
        <stp>EM_S_FA_GROSSPROFITMARGIN</stp>
        <stp>3</stp>
        <stp>300476</stp>
        <stp>12/31/2018</stp>
        <stp>1</stp>
        <tr r="I744" s="1"/>
      </tp>
      <tp>
        <v>30.482795279699999</v>
        <stp/>
        <stp>EM_S_FA_GROSSPROFITMARGIN</stp>
        <stp>3</stp>
        <stp>600426</stp>
        <stp>12/31/2018</stp>
        <stp>1</stp>
        <tr r="I417" s="1"/>
      </tp>
      <tp>
        <v>14.9445176735</v>
        <stp/>
        <stp>EM_S_FA_GROSSPROFITMARGIN</stp>
        <stp>3</stp>
        <stp>000546</stp>
        <stp>12/31/2018</stp>
        <stp>1</stp>
        <tr r="I1381" s="1"/>
      </tp>
      <tp>
        <v>29.4583479944</v>
        <stp/>
        <stp>EM_S_FA_GROSSPROFITMARGIN</stp>
        <stp>3</stp>
        <stp>300576</stp>
        <stp>12/31/2018</stp>
        <stp>1</stp>
        <tr r="I161" s="1"/>
      </tp>
      <tp>
        <v>7.3171836484000004</v>
        <stp/>
        <stp>EM_S_FA_GROSSPROFITMARGIN</stp>
        <stp>3</stp>
        <stp>600526</stp>
        <stp>12/31/2018</stp>
        <stp>1</stp>
        <tr r="I1544" s="1"/>
      </tp>
      <tp>
        <v>25.683077942200001</v>
        <stp/>
        <stp>EM_S_FA_GROSSPROFITMARGIN</stp>
        <stp>3</stp>
        <stp>300276</stp>
        <stp>12/31/2018</stp>
        <stp>1</stp>
        <tr r="I3092" s="1"/>
      </tp>
      <tp>
        <v>40.472054936399999</v>
        <stp/>
        <stp>EM_S_FA_GROSSPROFITMARGIN</stp>
        <stp>3</stp>
        <stp>600226</stp>
        <stp>12/31/2018</stp>
        <stp>1</stp>
        <tr r="I1718" s="1"/>
      </tp>
      <tp>
        <v>25.518230193299999</v>
        <stp/>
        <stp>EM_S_FA_GROSSPROFITMARGIN</stp>
        <stp>3</stp>
        <stp>300376</stp>
        <stp>12/31/2018</stp>
        <stp>1</stp>
        <tr r="I1822" s="1"/>
      </tp>
      <tp>
        <v>32.5893849522</v>
        <stp/>
        <stp>EM_S_FA_GROSSPROFITMARGIN</stp>
        <stp>3</stp>
        <stp>600326</stp>
        <stp>12/31/2018</stp>
        <stp>1</stp>
        <tr r="I1643" s="1"/>
      </tp>
      <tp>
        <v>50.430304342900001</v>
        <stp/>
        <stp>EM_S_FA_GROSSPROFITMARGIN</stp>
        <stp>3</stp>
        <stp>000046</stp>
        <stp>12/31/2018</stp>
        <stp>1</stp>
        <tr r="I2270" s="1"/>
      </tp>
      <tp>
        <v>46.588632287899998</v>
        <stp/>
        <stp>EM_S_FA_GROSSPROFITMARGIN</stp>
        <stp>3</stp>
        <stp>300076</stp>
        <stp>12/31/2018</stp>
        <stp>1</stp>
        <tr r="I594" s="1"/>
      </tp>
      <tp>
        <v>15.609077128599999</v>
        <stp/>
        <stp>EM_S_FA_GROSSPROFITMARGIN</stp>
        <stp>3</stp>
        <stp>600026</stp>
        <stp>12/31/2018</stp>
        <stp>1</stp>
        <tr r="I703" s="1"/>
      </tp>
      <tp>
        <v>58.356584204999997</v>
        <stp/>
        <stp>EM_S_FA_GROSSPROFITMARGIN</stp>
        <stp>3</stp>
        <stp>300176</stp>
        <stp>12/31/2018</stp>
        <stp>1</stp>
        <tr r="I3402" s="1"/>
      </tp>
      <tp>
        <v>12.672452100599999</v>
        <stp/>
        <stp>EM_S_FA_GROSSPROFITMARGIN</stp>
        <stp>3</stp>
        <stp>600126</stp>
        <stp>12/31/2018</stp>
        <stp>1</stp>
        <tr r="I1866" s="1"/>
      </tp>
      <tp>
        <v>46.133679791500001</v>
        <stp/>
        <stp>EM_S_FA_GROSSPROFITMARGIN</stp>
        <stp>3</stp>
        <stp>603826</stp>
        <stp>12/31/2018</stp>
        <stp>1</stp>
        <tr r="I1431" s="1"/>
      </tp>
      <tp>
        <v>26.9357478636</v>
        <stp/>
        <stp>EM_S_FA_GROSSPROFITMARGIN</stp>
        <stp>3</stp>
        <stp>603926</stp>
        <stp>12/31/2018</stp>
        <stp>1</stp>
        <tr r="I2907" s="1"/>
      </tp>
      <tp>
        <v>24.073194260899999</v>
        <stp/>
        <stp>EM_S_FA_GROSSPROFITMARGIN</stp>
        <stp>3</stp>
        <stp>603626</stp>
        <stp>12/31/2018</stp>
        <stp>1</stp>
        <tr r="I770" s="1"/>
      </tp>
      <tp>
        <v>23.843006242800001</v>
        <stp/>
        <stp>EM_S_FA_GROSSPROFITMARGIN</stp>
        <stp>3</stp>
        <stp>603726</stp>
        <stp>12/31/2018</stp>
        <stp>1</stp>
        <tr r="I3291" s="1"/>
      </tp>
      <tp>
        <v>30.3472299998</v>
        <stp/>
        <stp>EM_S_FA_GROSSPROFITMARGIN</stp>
        <stp>3</stp>
        <stp>603226</stp>
        <stp>12/31/2018</stp>
        <stp>1</stp>
        <tr r="I1365" s="1"/>
      </tp>
      <tp>
        <v>37.3961164997</v>
        <stp/>
        <stp>EM_S_FA_GROSSPROFITMARGIN</stp>
        <stp>3</stp>
        <stp>603326</stp>
        <stp>12/31/2018</stp>
        <stp>1</stp>
        <tr r="I798" s="1"/>
      </tp>
      <tp>
        <v>11.499942321600001</v>
        <stp/>
        <stp>EM_S_FA_GROSSPROFITMARGIN</stp>
        <stp>3</stp>
        <stp>603026</stp>
        <stp>12/31/2018</stp>
        <stp>1</stp>
        <tr r="I220" s="1"/>
      </tp>
      <tp>
        <v>20.174806484200001</v>
        <stp/>
        <stp>EM_S_FA_GROSSPROFITMARGIN</stp>
        <stp>3</stp>
        <stp>603126</stp>
        <stp>12/31/2018</stp>
        <stp>1</stp>
        <tr r="I2549" s="1"/>
      </tp>
      <tp>
        <v>18.304555503100001</v>
        <stp/>
        <stp>EM_S_FA_GROSSPROFITMARGIN</stp>
        <stp>3</stp>
        <stp>002846</stp>
        <stp>12/31/2018</stp>
        <stp>1</stp>
        <tr r="I237" s="1"/>
      </tp>
      <tp>
        <v>66.601390211799995</v>
        <stp/>
        <stp>EM_S_FA_GROSSPROFITMARGIN</stp>
        <stp>3</stp>
        <stp>002646</stp>
        <stp>12/31/2018</stp>
        <stp>1</stp>
        <tr r="I2254" s="1"/>
      </tp>
      <tp>
        <v>17.0851824352</v>
        <stp/>
        <stp>EM_S_FA_GROSSPROFITMARGIN</stp>
        <stp>3</stp>
        <stp>002746</stp>
        <stp>12/31/2018</stp>
        <stp>1</stp>
        <tr r="I1580" s="1"/>
      </tp>
      <tp>
        <v>31.9681139592</v>
        <stp/>
        <stp>EM_S_FA_GROSSPROFITMARGIN</stp>
        <stp>3</stp>
        <stp>002446</stp>
        <stp>12/31/2018</stp>
        <stp>1</stp>
        <tr r="I1496" s="1"/>
      </tp>
      <tp>
        <v>30.710761959500001</v>
        <stp/>
        <stp>EM_S_FA_GROSSPROFITMARGIN</stp>
        <stp>3</stp>
        <stp>002546</stp>
        <stp>12/31/2018</stp>
        <stp>1</stp>
        <tr r="I1763" s="1"/>
      </tp>
      <tp>
        <v>24.0869422345</v>
        <stp/>
        <stp>EM_S_FA_GROSSPROFITMARGIN</stp>
        <stp>3</stp>
        <stp>002246</stp>
        <stp>12/31/2018</stp>
        <stp>1</stp>
        <tr r="I1557" s="1"/>
      </tp>
      <tp>
        <v>22.993507550699999</v>
        <stp/>
        <stp>EM_S_FA_GROSSPROFITMARGIN</stp>
        <stp>3</stp>
        <stp>002346</stp>
        <stp>12/31/2018</stp>
        <stp>1</stp>
        <tr r="I2763" s="1"/>
      </tp>
      <tp>
        <v>24.3330697717</v>
        <stp/>
        <stp>EM_S_FA_GROSSPROFITMARGIN</stp>
        <stp>3</stp>
        <stp>002046</stp>
        <stp>12/31/2018</stp>
        <stp>1</stp>
        <tr r="I1952" s="1"/>
      </tp>
      <tp>
        <v>31.464170502000002</v>
        <stp/>
        <stp>EM_S_FA_GROSSPROFITMARGIN</stp>
        <stp>3</stp>
        <stp>002146</stp>
        <stp>12/31/2018</stp>
        <stp>1</stp>
        <tr r="I1173" s="1"/>
      </tp>
      <tp>
        <v>20.761502419100001</v>
        <stp/>
        <stp>EM_S_FA_GROSSPROFITMARGIN</stp>
        <stp>3</stp>
        <stp>601727</stp>
        <stp>12/31/2018</stp>
        <stp>1</stp>
        <tr r="I2339" s="1"/>
      </tp>
      <tp>
        <v>23.863828321700002</v>
        <stp/>
        <stp>EM_S_FA_GROSSPROFITMARGIN</stp>
        <stp>3</stp>
        <stp>601127</stp>
        <stp>12/31/2018</stp>
        <stp>1</stp>
        <tr r="I3258" s="1"/>
      </tp>
      <tp>
        <v>20.928316892000002</v>
        <stp/>
        <stp>EM_S_FA_GROSSPROFITMARGIN</stp>
        <stp>3</stp>
        <stp>600827</stp>
        <stp>12/31/2018</stp>
        <stp>1</stp>
        <tr r="I1943" s="1"/>
      </tp>
      <tp>
        <v>24.942066439000001</v>
        <stp/>
        <stp>EM_S_FA_GROSSPROFITMARGIN</stp>
        <stp>3</stp>
        <stp>300677</stp>
        <stp>12/31/2018</stp>
        <stp>1</stp>
        <tr r="I1528" s="1"/>
      </tp>
      <tp>
        <v>0</v>
        <stp/>
        <stp>EM_S_FA_GROSSPROFITMARGIN</stp>
        <stp>3</stp>
        <stp>600627</stp>
        <stp>12/31/2018</stp>
        <stp>1</stp>
        <tr r="I2308" s="1"/>
      </tp>
      <tp>
        <v>28.396670352299999</v>
        <stp/>
        <stp>EM_S_FA_GROSSPROFITMARGIN</stp>
        <stp>3</stp>
        <stp>600727</stp>
        <stp>12/31/2018</stp>
        <stp>1</stp>
        <tr r="I964" s="1"/>
      </tp>
      <tp>
        <v>21.247692608400001</v>
        <stp/>
        <stp>EM_S_FA_GROSSPROFITMARGIN</stp>
        <stp>3</stp>
        <stp>300477</stp>
        <stp>12/31/2018</stp>
        <stp>1</stp>
        <tr r="I3020" s="1"/>
      </tp>
      <tp>
        <v>32.594419221700001</v>
        <stp/>
        <stp>EM_S_FA_GROSSPROFITMARGIN</stp>
        <stp>3</stp>
        <stp>000547</stp>
        <stp>12/31/2018</stp>
        <stp>1</stp>
        <tr r="I790" s="1"/>
      </tp>
      <tp>
        <v>25.984719550099999</v>
        <stp/>
        <stp>EM_S_FA_GROSSPROFITMARGIN</stp>
        <stp>3</stp>
        <stp>300577</stp>
        <stp>12/31/2018</stp>
        <stp>1</stp>
        <tr r="I1691" s="1"/>
      </tp>
      <tp>
        <v>11.4511471902</v>
        <stp/>
        <stp>EM_S_FA_GROSSPROFITMARGIN</stp>
        <stp>3</stp>
        <stp>600527</stp>
        <stp>12/31/2018</stp>
        <stp>1</stp>
        <tr r="I2084" s="1"/>
      </tp>
      <tp>
        <v>22.6136685683</v>
        <stp/>
        <stp>EM_S_FA_GROSSPROFITMARGIN</stp>
        <stp>3</stp>
        <stp>300277</stp>
        <stp>12/31/2018</stp>
        <stp>1</stp>
        <tr r="I492" s="1"/>
      </tp>
      <tp>
        <v>34.805229807499998</v>
        <stp/>
        <stp>EM_S_FA_GROSSPROFITMARGIN</stp>
        <stp>3</stp>
        <stp>600227</stp>
        <stp>12/31/2018</stp>
        <stp>1</stp>
        <tr r="I2732" s="1"/>
      </tp>
      <tp>
        <v>79.941432932400005</v>
        <stp/>
        <stp>EM_S_FA_GROSSPROFITMARGIN</stp>
        <stp>3</stp>
        <stp>300377</stp>
        <stp>12/31/2018</stp>
        <stp>1</stp>
        <tr r="I2142" s="1"/>
      </tp>
      <tp>
        <v>12.379305517600001</v>
        <stp/>
        <stp>EM_S_FA_GROSSPROFITMARGIN</stp>
        <stp>3</stp>
        <stp>600327</stp>
        <stp>12/31/2018</stp>
        <stp>1</stp>
        <tr r="I2932" s="1"/>
      </tp>
      <tp>
        <v>0</v>
        <stp/>
        <stp>EM_S_FA_GROSSPROFITMARGIN</stp>
        <stp>3</stp>
        <stp>000047</stp>
        <stp>12/31/2018</stp>
        <stp>1</stp>
        <tr r="I2276" s="1"/>
      </tp>
      <tp>
        <v>35.055874896900001</v>
        <stp/>
        <stp>EM_S_FA_GROSSPROFITMARGIN</stp>
        <stp>3</stp>
        <stp>300077</stp>
        <stp>12/31/2018</stp>
        <stp>1</stp>
        <tr r="I3056" s="1"/>
      </tp>
      <tp>
        <v>12.352437590499999</v>
        <stp/>
        <stp>EM_S_FA_GROSSPROFITMARGIN</stp>
        <stp>3</stp>
        <stp>600027</stp>
        <stp>12/31/2018</stp>
        <stp>1</stp>
        <tr r="I3124" s="1"/>
      </tp>
      <tp>
        <v>52.352067474199998</v>
        <stp/>
        <stp>EM_S_FA_GROSSPROFITMARGIN</stp>
        <stp>3</stp>
        <stp>300177</stp>
        <stp>12/31/2018</stp>
        <stp>1</stp>
        <tr r="I2865" s="1"/>
      </tp>
      <tp>
        <v>11.5054796136</v>
        <stp/>
        <stp>EM_S_FA_GROSSPROFITMARGIN</stp>
        <stp>3</stp>
        <stp>600127</stp>
        <stp>12/31/2018</stp>
        <stp>1</stp>
        <tr r="I762" s="1"/>
      </tp>
      <tp>
        <v>13.452685473200001</v>
        <stp/>
        <stp>EM_S_FA_GROSSPROFITMARGIN</stp>
        <stp>3</stp>
        <stp>603727</stp>
        <stp>12/31/2018</stp>
        <stp>1</stp>
        <tr r="I592" s="1"/>
      </tp>
      <tp>
        <v>6.5634460343000001</v>
        <stp/>
        <stp>EM_S_FA_GROSSPROFITMARGIN</stp>
        <stp>3</stp>
        <stp>603527</stp>
        <stp>12/31/2018</stp>
        <stp>1</stp>
        <tr r="I1518" s="1"/>
      </tp>
      <tp>
        <v>17.627527434499999</v>
        <stp/>
        <stp>EM_S_FA_GROSSPROFITMARGIN</stp>
        <stp>3</stp>
        <stp>603227</stp>
        <stp>12/31/2018</stp>
        <stp>1</stp>
        <tr r="I1007" s="1"/>
      </tp>
      <tp>
        <v>45.7449253622</v>
        <stp/>
        <stp>EM_S_FA_GROSSPROFITMARGIN</stp>
        <stp>3</stp>
        <stp>603027</stp>
        <stp>12/31/2018</stp>
        <stp>1</stp>
        <tr r="I783" s="1"/>
      </tp>
      <tp>
        <v>53.020701406000001</v>
        <stp/>
        <stp>EM_S_FA_GROSSPROFITMARGIN</stp>
        <stp>3</stp>
        <stp>603127</stp>
        <stp>12/31/2018</stp>
        <stp>1</stp>
        <tr r="I1307" s="1"/>
      </tp>
      <tp>
        <v>39.130326432799997</v>
        <stp/>
        <stp>EM_S_FA_GROSSPROFITMARGIN</stp>
        <stp>3</stp>
        <stp>002847</stp>
        <stp>12/31/2018</stp>
        <stp>1</stp>
        <tr r="I368" s="1"/>
      </tp>
      <tp>
        <v>18.778461501300001</v>
        <stp/>
        <stp>EM_S_FA_GROSSPROFITMARGIN</stp>
        <stp>3</stp>
        <stp>002647</stp>
        <stp>12/31/2018</stp>
        <stp>1</stp>
        <tr r="I963" s="1"/>
      </tp>
      <tp>
        <v>35.9855449808</v>
        <stp/>
        <stp>EM_S_FA_GROSSPROFITMARGIN</stp>
        <stp>3</stp>
        <stp>002747</stp>
        <stp>12/31/2018</stp>
        <stp>1</stp>
        <tr r="I862" s="1"/>
      </tp>
      <tp>
        <v>69.442754480000005</v>
        <stp/>
        <stp>EM_S_FA_GROSSPROFITMARGIN</stp>
        <stp>3</stp>
        <stp>002447</stp>
        <stp>12/31/2018</stp>
        <stp>1</stp>
        <tr r="I1388" s="1"/>
      </tp>
      <tp>
        <v>17.772515787500001</v>
        <stp/>
        <stp>EM_S_FA_GROSSPROFITMARGIN</stp>
        <stp>3</stp>
        <stp>002547</stp>
        <stp>12/31/2018</stp>
        <stp>1</stp>
        <tr r="I524" s="1"/>
      </tp>
      <tp>
        <v>13.3794352654</v>
        <stp/>
        <stp>EM_S_FA_GROSSPROFITMARGIN</stp>
        <stp>3</stp>
        <stp>002247</stp>
        <stp>12/31/2018</stp>
        <stp>1</stp>
        <tr r="I3301" s="1"/>
      </tp>
      <tp>
        <v>27.473407630899999</v>
        <stp/>
        <stp>EM_S_FA_GROSSPROFITMARGIN</stp>
        <stp>3</stp>
        <stp>002347</stp>
        <stp>12/31/2018</stp>
        <stp>1</stp>
        <tr r="I1192" s="1"/>
      </tp>
      <tp>
        <v>17.182777720299999</v>
        <stp/>
        <stp>EM_S_FA_GROSSPROFITMARGIN</stp>
        <stp>3</stp>
        <stp>002047</stp>
        <stp>12/31/2018</stp>
        <stp>1</stp>
        <tr r="I3616" s="1"/>
      </tp>
      <tp>
        <v>25.021777812700002</v>
        <stp/>
        <stp>EM_S_FA_GROSSPROFITMARGIN</stp>
        <stp>3</stp>
        <stp>002147</stp>
        <stp>12/31/2018</stp>
        <stp>1</stp>
        <tr r="I3244" s="1"/>
      </tp>
      <tp>
        <v>43.666386776400003</v>
        <stp/>
        <stp>EM_S_FA_GROSSPROFITMARGIN</stp>
        <stp>3</stp>
        <stp>601020</stp>
        <stp>12/31/2018</stp>
        <stp>1</stp>
        <tr r="I1826" s="1"/>
      </tp>
      <tp>
        <v>12.581836706000001</v>
        <stp/>
        <stp>EM_S_FA_GROSSPROFITMARGIN</stp>
        <stp>3</stp>
        <stp>600820</stp>
        <stp>12/31/2018</stp>
        <stp>1</stp>
        <tr r="I2521" s="1"/>
      </tp>
      <tp>
        <v>26.282260357599998</v>
        <stp/>
        <stp>EM_S_FA_GROSSPROFITMARGIN</stp>
        <stp>3</stp>
        <stp>300670</stp>
        <stp>12/31/2018</stp>
        <stp>1</stp>
        <tr r="I3362" s="1"/>
      </tp>
      <tp>
        <v>42.204751253200001</v>
        <stp/>
        <stp>EM_S_FA_GROSSPROFITMARGIN</stp>
        <stp>3</stp>
        <stp>600620</stp>
        <stp>12/31/2018</stp>
        <stp>1</stp>
        <tr r="I1374" s="1"/>
      </tp>
      <tp>
        <v>33.101127099700001</v>
        <stp/>
        <stp>EM_S_FA_GROSSPROFITMARGIN</stp>
        <stp>3</stp>
        <stp>600720</stp>
        <stp>12/31/2018</stp>
        <stp>1</stp>
        <tr r="I201" s="1"/>
      </tp>
      <tp>
        <v>53.334126066400003</v>
        <stp/>
        <stp>EM_S_FA_GROSSPROFITMARGIN</stp>
        <stp>3</stp>
        <stp>300470</stp>
        <stp>12/31/2018</stp>
        <stp>1</stp>
        <tr r="I1244" s="1"/>
      </tp>
      <tp>
        <v>48.776206424500003</v>
        <stp/>
        <stp>EM_S_FA_GROSSPROFITMARGIN</stp>
        <stp>3</stp>
        <stp>600420</stp>
        <stp>12/31/2018</stp>
        <stp>1</stp>
        <tr r="I2530" s="1"/>
      </tp>
      <tp>
        <v>29.6157664634</v>
        <stp/>
        <stp>EM_S_FA_GROSSPROFITMARGIN</stp>
        <stp>3</stp>
        <stp>000540</stp>
        <stp>12/31/2018</stp>
        <stp>1</stp>
        <tr r="I3448" s="1"/>
      </tp>
      <tp>
        <v>34.412420228800002</v>
        <stp/>
        <stp>EM_S_FA_GROSSPROFITMARGIN</stp>
        <stp>3</stp>
        <stp>300570</stp>
        <stp>12/31/2018</stp>
        <stp>1</stp>
        <tr r="I674" s="1"/>
      </tp>
      <tp>
        <v>22.719378671600001</v>
        <stp/>
        <stp>EM_S_FA_GROSSPROFITMARGIN</stp>
        <stp>3</stp>
        <stp>600520</stp>
        <stp>12/31/2018</stp>
        <stp>1</stp>
        <tr r="I3023" s="1"/>
      </tp>
      <tp>
        <v>32.674792475099999</v>
        <stp/>
        <stp>EM_S_FA_GROSSPROFITMARGIN</stp>
        <stp>3</stp>
        <stp>300270</stp>
        <stp>12/31/2018</stp>
        <stp>1</stp>
        <tr r="I966" s="1"/>
      </tp>
      <tp>
        <v>21.476820286199999</v>
        <stp/>
        <stp>EM_S_FA_GROSSPROFITMARGIN</stp>
        <stp>3</stp>
        <stp>600220</stp>
        <stp>12/31/2018</stp>
        <stp>1</stp>
        <tr r="I1873" s="1"/>
      </tp>
      <tp>
        <v>23.9534690811</v>
        <stp/>
        <stp>EM_S_FA_GROSSPROFITMARGIN</stp>
        <stp>3</stp>
        <stp>300370</stp>
        <stp>12/31/2018</stp>
        <stp>1</stp>
        <tr r="I888" s="1"/>
      </tp>
      <tp>
        <v>17.100849347</v>
        <stp/>
        <stp>EM_S_FA_GROSSPROFITMARGIN</stp>
        <stp>3</stp>
        <stp>600320</stp>
        <stp>12/31/2018</stp>
        <stp>1</stp>
        <tr r="I1504" s="1"/>
      </tp>
      <tp>
        <v>14.114201941099999</v>
        <stp/>
        <stp>EM_S_FA_GROSSPROFITMARGIN</stp>
        <stp>3</stp>
        <stp>000040</stp>
        <stp>12/31/2018</stp>
        <stp>1</stp>
        <tr r="I3327" s="1"/>
      </tp>
      <tp>
        <v>29.813878291000002</v>
        <stp/>
        <stp>EM_S_FA_GROSSPROFITMARGIN</stp>
        <stp>3</stp>
        <stp>300070</stp>
        <stp>12/31/2018</stp>
        <stp>1</stp>
        <tr r="I2453" s="1"/>
      </tp>
      <tp>
        <v>51.722059300399998</v>
        <stp/>
        <stp>EM_S_FA_GROSSPROFITMARGIN</stp>
        <stp>3</stp>
        <stp>600020</stp>
        <stp>12/31/2018</stp>
        <stp>1</stp>
        <tr r="I1292" s="1"/>
      </tp>
      <tp>
        <v>35.755564158799999</v>
        <stp/>
        <stp>EM_S_FA_GROSSPROFITMARGIN</stp>
        <stp>3</stp>
        <stp>300170</stp>
        <stp>12/31/2018</stp>
        <stp>1</stp>
        <tr r="I2376" s="1"/>
      </tp>
      <tp>
        <v>3.6108357115</v>
        <stp/>
        <stp>EM_S_FA_GROSSPROFITMARGIN</stp>
        <stp>3</stp>
        <stp>600120</stp>
        <stp>12/31/2018</stp>
        <stp>1</stp>
        <tr r="I3210" s="1"/>
      </tp>
      <tp>
        <v>22.730177596299999</v>
        <stp/>
        <stp>EM_S_FA_GROSSPROFITMARGIN</stp>
        <stp>3</stp>
        <stp>603920</stp>
        <stp>12/31/2018</stp>
        <stp>1</stp>
        <tr r="I354" s="1"/>
      </tp>
      <tp>
        <v>40.473682384200004</v>
        <stp/>
        <stp>EM_S_FA_GROSSPROFITMARGIN</stp>
        <stp>3</stp>
        <stp>603520</stp>
        <stp>12/31/2018</stp>
        <stp>1</stp>
        <tr r="I419" s="1"/>
      </tp>
      <tp>
        <v>14.586774737400001</v>
        <stp/>
        <stp>EM_S_FA_GROSSPROFITMARGIN</stp>
        <stp>3</stp>
        <stp>603320</stp>
        <stp>12/31/2018</stp>
        <stp>1</stp>
        <tr r="I2682" s="1"/>
      </tp>
      <tp>
        <v>17.591642928300001</v>
        <stp/>
        <stp>EM_S_FA_GROSSPROFITMARGIN</stp>
        <stp>3</stp>
        <stp>603020</stp>
        <stp>12/31/2018</stp>
        <stp>1</stp>
        <tr r="I1717" s="1"/>
      </tp>
      <tp>
        <v>6.3347002883999997</v>
        <stp/>
        <stp>EM_S_FA_GROSSPROFITMARGIN</stp>
        <stp>3</stp>
        <stp>002840</stp>
        <stp>12/31/2018</stp>
        <stp>1</stp>
        <tr r="I1148" s="1"/>
      </tp>
      <tp>
        <v>40.584120810800002</v>
        <stp/>
        <stp>EM_S_FA_GROSSPROFITMARGIN</stp>
        <stp>3</stp>
        <stp>002640</stp>
        <stp>12/31/2018</stp>
        <stp>1</stp>
        <tr r="I3219" s="1"/>
      </tp>
      <tp>
        <v>14.182661168499999</v>
        <stp/>
        <stp>EM_S_FA_GROSSPROFITMARGIN</stp>
        <stp>3</stp>
        <stp>002740</stp>
        <stp>12/31/2018</stp>
        <stp>1</stp>
        <tr r="I1265" s="1"/>
      </tp>
      <tp>
        <v>38.715779850899999</v>
        <stp/>
        <stp>EM_S_FA_GROSSPROFITMARGIN</stp>
        <stp>3</stp>
        <stp>002440</stp>
        <stp>12/31/2018</stp>
        <stp>1</stp>
        <tr r="I1133" s="1"/>
      </tp>
      <tp>
        <v>20.720100332800001</v>
        <stp/>
        <stp>EM_S_FA_GROSSPROFITMARGIN</stp>
        <stp>3</stp>
        <stp>002540</stp>
        <stp>12/31/2018</stp>
        <stp>1</stp>
        <tr r="I2657" s="1"/>
      </tp>
      <tp>
        <v>13.8657493124</v>
        <stp/>
        <stp>EM_S_FA_GROSSPROFITMARGIN</stp>
        <stp>3</stp>
        <stp>002240</stp>
        <stp>12/31/2018</stp>
        <stp>1</stp>
        <tr r="I1935" s="1"/>
      </tp>
      <tp>
        <v>19.155771660500001</v>
        <stp/>
        <stp>EM_S_FA_GROSSPROFITMARGIN</stp>
        <stp>3</stp>
        <stp>002340</stp>
        <stp>12/31/2018</stp>
        <stp>1</stp>
        <tr r="I1005" s="1"/>
      </tp>
      <tp>
        <v>48.316814335099998</v>
        <stp/>
        <stp>EM_S_FA_GROSSPROFITMARGIN</stp>
        <stp>3</stp>
        <stp>002040</stp>
        <stp>12/31/2018</stp>
        <stp>1</stp>
        <tr r="I2768" s="1"/>
      </tp>
      <tp>
        <v>11.363869302199999</v>
        <stp/>
        <stp>EM_S_FA_GROSSPROFITMARGIN</stp>
        <stp>3</stp>
        <stp>002140</stp>
        <stp>12/31/2018</stp>
        <stp>1</stp>
        <tr r="I1194" s="1"/>
      </tp>
      <tp>
        <v>9.6815419392000006</v>
        <stp/>
        <stp>EM_S_FA_GROSSPROFITMARGIN</stp>
        <stp>3</stp>
        <stp>601021</stp>
        <stp>12/31/2018</stp>
        <stp>1</stp>
        <tr r="I777" s="1"/>
      </tp>
      <tp>
        <v>21.032462687399999</v>
        <stp/>
        <stp>EM_S_FA_GROSSPROFITMARGIN</stp>
        <stp>3</stp>
        <stp>600821</stp>
        <stp>12/31/2018</stp>
        <stp>1</stp>
        <tr r="I1516" s="1"/>
      </tp>
      <tp>
        <v>28.769523446699999</v>
        <stp/>
        <stp>EM_S_FA_GROSSPROFITMARGIN</stp>
        <stp>3</stp>
        <stp>300671</stp>
        <stp>12/31/2018</stp>
        <stp>1</stp>
        <tr r="I929" s="1"/>
      </tp>
      <tp>
        <v>37.817003479299999</v>
        <stp/>
        <stp>EM_S_FA_GROSSPROFITMARGIN</stp>
        <stp>3</stp>
        <stp>600621</stp>
        <stp>12/31/2018</stp>
        <stp>1</stp>
        <tr r="I302" s="1"/>
      </tp>
      <tp>
        <v>44.902206365200001</v>
        <stp/>
        <stp>EM_S_FA_GROSSPROFITMARGIN</stp>
        <stp>3</stp>
        <stp>600721</stp>
        <stp>12/31/2018</stp>
        <stp>1</stp>
        <tr r="I1284" s="1"/>
      </tp>
      <tp>
        <v>6.4710045862000003</v>
        <stp/>
        <stp>EM_S_FA_GROSSPROFITMARGIN</stp>
        <stp>3</stp>
        <stp>300471</stp>
        <stp>12/31/2018</stp>
        <stp>1</stp>
        <tr r="I341" s="1"/>
      </tp>
      <tp>
        <v>68.307596864299995</v>
        <stp/>
        <stp>EM_S_FA_GROSSPROFITMARGIN</stp>
        <stp>3</stp>
        <stp>600421</stp>
        <stp>12/31/2018</stp>
        <stp>1</stp>
        <tr r="I1884" s="1"/>
      </tp>
      <tp>
        <v>23.122899072799999</v>
        <stp/>
        <stp>EM_S_FA_GROSSPROFITMARGIN</stp>
        <stp>3</stp>
        <stp>000541</stp>
        <stp>12/31/2018</stp>
        <stp>1</stp>
        <tr r="I2586" s="1"/>
      </tp>
      <tp>
        <v>34.817582553199998</v>
        <stp/>
        <stp>EM_S_FA_GROSSPROFITMARGIN</stp>
        <stp>3</stp>
        <stp>300571</stp>
        <stp>12/31/2018</stp>
        <stp>1</stp>
        <tr r="I939" s="1"/>
      </tp>
      <tp>
        <v>59.751944712700002</v>
        <stp/>
        <stp>EM_S_FA_GROSSPROFITMARGIN</stp>
        <stp>3</stp>
        <stp>600521</stp>
        <stp>12/31/2018</stp>
        <stp>1</stp>
        <tr r="I489" s="1"/>
      </tp>
      <tp>
        <v>43.424420700799999</v>
        <stp/>
        <stp>EM_S_FA_GROSSPROFITMARGIN</stp>
        <stp>3</stp>
        <stp>300271</stp>
        <stp>12/31/2018</stp>
        <stp>1</stp>
        <tr r="I312" s="1"/>
      </tp>
      <tp>
        <v>7.3013086872999997</v>
        <stp/>
        <stp>EM_S_FA_GROSSPROFITMARGIN</stp>
        <stp>3</stp>
        <stp>600221</stp>
        <stp>12/31/2018</stp>
        <stp>1</stp>
        <tr r="I2679" s="1"/>
      </tp>
      <tp>
        <v>62.658090338699999</v>
        <stp/>
        <stp>EM_S_FA_GROSSPROFITMARGIN</stp>
        <stp>3</stp>
        <stp>300371</stp>
        <stp>12/31/2018</stp>
        <stp>1</stp>
        <tr r="I1838" s="1"/>
      </tp>
      <tp>
        <v>8.0253382469000005</v>
        <stp/>
        <stp>EM_S_FA_GROSSPROFITMARGIN</stp>
        <stp>3</stp>
        <stp>600321</stp>
        <stp>12/31/2018</stp>
        <stp>1</stp>
        <tr r="I1240" s="1"/>
      </tp>
      <tp>
        <v>16.265909043600001</v>
        <stp/>
        <stp>EM_S_FA_GROSSPROFITMARGIN</stp>
        <stp>3</stp>
        <stp>300071</stp>
        <stp>12/31/2018</stp>
        <stp>1</stp>
        <tr r="I3121" s="1"/>
      </tp>
      <tp>
        <v>21.4445150158</v>
        <stp/>
        <stp>EM_S_FA_GROSSPROFITMARGIN</stp>
        <stp>3</stp>
        <stp>600021</stp>
        <stp>12/31/2018</stp>
        <stp>1</stp>
        <tr r="I2411" s="1"/>
      </tp>
      <tp>
        <v>30.748710662000001</v>
        <stp/>
        <stp>EM_S_FA_GROSSPROFITMARGIN</stp>
        <stp>3</stp>
        <stp>300171</stp>
        <stp>12/31/2018</stp>
        <stp>1</stp>
        <tr r="I2262" s="1"/>
      </tp>
      <tp>
        <v>34.327366490999999</v>
        <stp/>
        <stp>EM_S_FA_GROSSPROFITMARGIN</stp>
        <stp>3</stp>
        <stp>600121</stp>
        <stp>12/31/2018</stp>
        <stp>1</stp>
        <tr r="I3036" s="1"/>
      </tp>
      <tp>
        <v>27.478779836899999</v>
        <stp/>
        <stp>EM_S_FA_GROSSPROFITMARGIN</stp>
        <stp>3</stp>
        <stp>603721</stp>
        <stp>12/31/2018</stp>
        <stp>1</stp>
        <tr r="I277" s="1"/>
      </tp>
      <tp>
        <v>50.884614480899998</v>
        <stp/>
        <stp>EM_S_FA_GROSSPROFITMARGIN</stp>
        <stp>3</stp>
        <stp>603421</stp>
        <stp>12/31/2018</stp>
        <stp>1</stp>
        <tr r="I3047" s="1"/>
      </tp>
      <tp>
        <v>23.422788495900001</v>
        <stp/>
        <stp>EM_S_FA_GROSSPROFITMARGIN</stp>
        <stp>3</stp>
        <stp>603321</stp>
        <stp>12/31/2018</stp>
        <stp>1</stp>
        <tr r="I1483" s="1"/>
      </tp>
      <tp>
        <v>22.8836172468</v>
        <stp/>
        <stp>EM_S_FA_GROSSPROFITMARGIN</stp>
        <stp>3</stp>
        <stp>603021</stp>
        <stp>12/31/2018</stp>
        <stp>1</stp>
        <tr r="I717" s="1"/>
      </tp>
      <tp>
        <v>20.0706718687</v>
        <stp/>
        <stp>EM_S_FA_GROSSPROFITMARGIN</stp>
        <stp>3</stp>
        <stp>002841</stp>
        <stp>12/31/2018</stp>
        <stp>1</stp>
        <tr r="I563" s="1"/>
      </tp>
      <tp>
        <v>23.592996146499999</v>
        <stp/>
        <stp>EM_S_FA_GROSSPROFITMARGIN</stp>
        <stp>3</stp>
        <stp>002641</stp>
        <stp>12/31/2018</stp>
        <stp>1</stp>
        <tr r="I718" s="1"/>
      </tp>
      <tp>
        <v>24.8950326537</v>
        <stp/>
        <stp>EM_S_FA_GROSSPROFITMARGIN</stp>
        <stp>3</stp>
        <stp>002741</stp>
        <stp>12/31/2018</stp>
        <stp>1</stp>
        <tr r="I3107" s="1"/>
      </tp>
      <tp>
        <v>11.068301337299999</v>
        <stp/>
        <stp>EM_S_FA_GROSSPROFITMARGIN</stp>
        <stp>3</stp>
        <stp>002441</stp>
        <stp>12/31/2018</stp>
        <stp>1</stp>
        <tr r="I1561" s="1"/>
      </tp>
      <tp>
        <v>15.6179902668</v>
        <stp/>
        <stp>EM_S_FA_GROSSPROFITMARGIN</stp>
        <stp>3</stp>
        <stp>002541</stp>
        <stp>12/31/2018</stp>
        <stp>1</stp>
        <tr r="I538" s="1"/>
      </tp>
      <tp>
        <v>18.814980170599998</v>
        <stp/>
        <stp>EM_S_FA_GROSSPROFITMARGIN</stp>
        <stp>3</stp>
        <stp>002241</stp>
        <stp>12/31/2018</stp>
        <stp>1</stp>
        <tr r="I52" s="1"/>
      </tp>
      <tp>
        <v>26.298481579299999</v>
        <stp/>
        <stp>EM_S_FA_GROSSPROFITMARGIN</stp>
        <stp>3</stp>
        <stp>002341</stp>
        <stp>12/31/2018</stp>
        <stp>1</stp>
        <tr r="I3376" s="1"/>
      </tp>
      <tp>
        <v>33.591053777799999</v>
        <stp/>
        <stp>EM_S_FA_GROSSPROFITMARGIN</stp>
        <stp>3</stp>
        <stp>002041</stp>
        <stp>12/31/2018</stp>
        <stp>1</stp>
        <tr r="I3615" s="1"/>
      </tp>
      <tp>
        <v>13.0373554143</v>
        <stp/>
        <stp>EM_S_FA_GROSSPROFITMARGIN</stp>
        <stp>3</stp>
        <stp>002141</stp>
        <stp>12/31/2018</stp>
        <stp>1</stp>
        <tr r="I2946" s="1"/>
      </tp>
      <tp>
        <v>37.8220598399</v>
        <stp/>
        <stp>EM_S_FA_GROSSPROFITMARGIN</stp>
        <stp>3</stp>
        <stp>601222</stp>
        <stp>12/31/2018</stp>
        <stp>1</stp>
        <tr r="I2421" s="1"/>
      </tp>
      <tp>
        <v>5.9967264297999998</v>
        <stp/>
        <stp>EM_S_FA_GROSSPROFITMARGIN</stp>
        <stp>3</stp>
        <stp>600822</stp>
        <stp>12/31/2018</stp>
        <stp>1</stp>
        <tr r="I1393" s="1"/>
      </tp>
      <tp>
        <v>41.6602825111</v>
        <stp/>
        <stp>EM_S_FA_GROSSPROFITMARGIN</stp>
        <stp>3</stp>
        <stp>300672</stp>
        <stp>12/31/2018</stp>
        <stp>1</stp>
        <tr r="I1657" s="1"/>
      </tp>
      <tp>
        <v>56.967951022299999</v>
        <stp/>
        <stp>EM_S_FA_GROSSPROFITMARGIN</stp>
        <stp>3</stp>
        <stp>600622</stp>
        <stp>12/31/2018</stp>
        <stp>1</stp>
        <tr r="I3247" s="1"/>
      </tp>
      <tp>
        <v>13.2448783868</v>
        <stp/>
        <stp>EM_S_FA_GROSSPROFITMARGIN</stp>
        <stp>3</stp>
        <stp>600722</stp>
        <stp>12/31/2018</stp>
        <stp>1</stp>
        <tr r="I2048" s="1"/>
      </tp>
      <tp>
        <v>35.431660573400002</v>
        <stp/>
        <stp>EM_S_FA_GROSSPROFITMARGIN</stp>
        <stp>3</stp>
        <stp>300472</stp>
        <stp>12/31/2018</stp>
        <stp>1</stp>
        <tr r="I2439" s="1"/>
      </tp>
      <tp>
        <v>49.885840438499997</v>
        <stp/>
        <stp>EM_S_FA_GROSSPROFITMARGIN</stp>
        <stp>3</stp>
        <stp>600422</stp>
        <stp>12/31/2018</stp>
        <stp>1</stp>
        <tr r="I333" s="1"/>
      </tp>
      <tp>
        <v>0</v>
        <stp/>
        <stp>EM_S_FA_GROSSPROFITMARGIN</stp>
        <stp>3</stp>
        <stp>000542</stp>
        <stp>12/31/2018</stp>
        <stp>1</stp>
        <tr r="I3449" s="1"/>
      </tp>
      <tp>
        <v>49.036192267499999</v>
        <stp/>
        <stp>EM_S_FA_GROSSPROFITMARGIN</stp>
        <stp>3</stp>
        <stp>300572</stp>
        <stp>12/31/2018</stp>
        <stp>1</stp>
        <tr r="I1863" s="1"/>
      </tp>
      <tp>
        <v>14.6753139354</v>
        <stp/>
        <stp>EM_S_FA_GROSSPROFITMARGIN</stp>
        <stp>3</stp>
        <stp>600522</stp>
        <stp>12/31/2018</stp>
        <stp>1</stp>
        <tr r="I2201" s="1"/>
      </tp>
      <tp>
        <v>38.9301193055</v>
        <stp/>
        <stp>EM_S_FA_GROSSPROFITMARGIN</stp>
        <stp>3</stp>
        <stp>300272</stp>
        <stp>12/31/2018</stp>
        <stp>1</stp>
        <tr r="I3189" s="1"/>
      </tp>
      <tp>
        <v>33.658547844200001</v>
        <stp/>
        <stp>EM_S_FA_GROSSPROFITMARGIN</stp>
        <stp>3</stp>
        <stp>600222</stp>
        <stp>12/31/2018</stp>
        <stp>1</stp>
        <tr r="I1015" s="1"/>
      </tp>
      <tp>
        <v>26.6139921121</v>
        <stp/>
        <stp>EM_S_FA_GROSSPROFITMARGIN</stp>
        <stp>3</stp>
        <stp>300372</stp>
        <stp>12/31/2018</stp>
        <stp>1</stp>
        <tr r="I2283" s="1"/>
      </tp>
      <tp>
        <v>22.027757967100001</v>
        <stp/>
        <stp>EM_S_FA_GROSSPROFITMARGIN</stp>
        <stp>3</stp>
        <stp>600322</stp>
        <stp>12/31/2018</stp>
        <stp>1</stp>
        <tr r="I2723" s="1"/>
      </tp>
      <tp>
        <v>47.081153009499999</v>
        <stp/>
        <stp>EM_S_FA_GROSSPROFITMARGIN</stp>
        <stp>3</stp>
        <stp>000042</stp>
        <stp>12/31/2018</stp>
        <stp>1</stp>
        <tr r="I2432" s="1"/>
      </tp>
      <tp>
        <v>20.6218420553</v>
        <stp/>
        <stp>EM_S_FA_GROSSPROFITMARGIN</stp>
        <stp>3</stp>
        <stp>300072</stp>
        <stp>12/31/2018</stp>
        <stp>1</stp>
        <tr r="I3283" s="1"/>
      </tp>
      <tp>
        <v>10.5065671694</v>
        <stp/>
        <stp>EM_S_FA_GROSSPROFITMARGIN</stp>
        <stp>3</stp>
        <stp>600022</stp>
        <stp>12/31/2018</stp>
        <stp>1</stp>
        <tr r="I2738" s="1"/>
      </tp>
      <tp>
        <v>33.461537980499998</v>
        <stp/>
        <stp>EM_S_FA_GROSSPROFITMARGIN</stp>
        <stp>3</stp>
        <stp>300172</stp>
        <stp>12/31/2018</stp>
        <stp>1</stp>
        <tr r="I2415" s="1"/>
      </tp>
      <tp>
        <v>0.5533952311</v>
        <stp/>
        <stp>EM_S_FA_GROSSPROFITMARGIN</stp>
        <stp>3</stp>
        <stp>600122</stp>
        <stp>12/31/2018</stp>
        <stp>1</stp>
        <tr r="I3190" s="1"/>
      </tp>
      <tp>
        <v>14.017822755799999</v>
        <stp/>
        <stp>EM_S_FA_GROSSPROFITMARGIN</stp>
        <stp>3</stp>
        <stp>603822</stp>
        <stp>12/31/2018</stp>
        <stp>1</stp>
        <tr r="I1362" s="1"/>
      </tp>
      <tp>
        <v>17.5729743855</v>
        <stp/>
        <stp>EM_S_FA_GROSSPROFITMARGIN</stp>
        <stp>3</stp>
        <stp>603922</stp>
        <stp>12/31/2018</stp>
        <stp>1</stp>
        <tr r="I2100" s="1"/>
      </tp>
      <tp>
        <v>18.292036392299998</v>
        <stp/>
        <stp>EM_S_FA_GROSSPROFITMARGIN</stp>
        <stp>3</stp>
        <stp>603722</stp>
        <stp>12/31/2018</stp>
        <stp>1</stp>
        <tr r="I673" s="1"/>
      </tp>
      <tp>
        <v>41.523157231200003</v>
        <stp/>
        <stp>EM_S_FA_GROSSPROFITMARGIN</stp>
        <stp>3</stp>
        <stp>603222</stp>
        <stp>12/31/2018</stp>
        <stp>1</stp>
        <tr r="I29" s="1"/>
      </tp>
      <tp>
        <v>21.301068390600001</v>
        <stp/>
        <stp>EM_S_FA_GROSSPROFITMARGIN</stp>
        <stp>3</stp>
        <stp>603322</stp>
        <stp>12/31/2018</stp>
        <stp>1</stp>
        <tr r="I3308" s="1"/>
      </tp>
      <tp>
        <v>18.896728076399999</v>
        <stp/>
        <stp>EM_S_FA_GROSSPROFITMARGIN</stp>
        <stp>3</stp>
        <stp>603022</stp>
        <stp>12/31/2018</stp>
        <stp>1</stp>
        <tr r="I185" s="1"/>
      </tp>
      <tp>
        <v>15.5017467685</v>
        <stp/>
        <stp>EM_S_FA_GROSSPROFITMARGIN</stp>
        <stp>3</stp>
        <stp>002842</stp>
        <stp>12/31/2018</stp>
        <stp>1</stp>
        <tr r="I2843" s="1"/>
      </tp>
      <tp>
        <v>12.866853197899999</v>
        <stp/>
        <stp>EM_S_FA_GROSSPROFITMARGIN</stp>
        <stp>3</stp>
        <stp>002642</stp>
        <stp>12/31/2018</stp>
        <stp>1</stp>
        <tr r="I2603" s="1"/>
      </tp>
      <tp>
        <v>22.566607723800001</v>
        <stp/>
        <stp>EM_S_FA_GROSSPROFITMARGIN</stp>
        <stp>3</stp>
        <stp>002742</stp>
        <stp>12/31/2018</stp>
        <stp>1</stp>
        <tr r="I3194" s="1"/>
      </tp>
      <tp>
        <v>16.5667755861</v>
        <stp/>
        <stp>EM_S_FA_GROSSPROFITMARGIN</stp>
        <stp>3</stp>
        <stp>002442</stp>
        <stp>12/31/2018</stp>
        <stp>1</stp>
        <tr r="I3101" s="1"/>
      </tp>
      <tp>
        <v>22.6265790476</v>
        <stp/>
        <stp>EM_S_FA_GROSSPROFITMARGIN</stp>
        <stp>3</stp>
        <stp>002542</stp>
        <stp>12/31/2018</stp>
        <stp>1</stp>
        <tr r="I2894" s="1"/>
      </tp>
      <tp>
        <v>32.128622546300001</v>
        <stp/>
        <stp>EM_S_FA_GROSSPROFITMARGIN</stp>
        <stp>3</stp>
        <stp>002242</stp>
        <stp>12/31/2018</stp>
        <stp>1</stp>
        <tr r="I504" s="1"/>
      </tp>
      <tp>
        <v>19.9129313627</v>
        <stp/>
        <stp>EM_S_FA_GROSSPROFITMARGIN</stp>
        <stp>3</stp>
        <stp>002342</stp>
        <stp>12/31/2018</stp>
        <stp>1</stp>
        <tr r="I2594" s="1"/>
      </tp>
      <tp>
        <v>10.5187098205</v>
        <stp/>
        <stp>EM_S_FA_GROSSPROFITMARGIN</stp>
        <stp>3</stp>
        <stp>002042</stp>
        <stp>12/31/2018</stp>
        <stp>1</stp>
        <tr r="I872" s="1"/>
      </tp>
      <tp>
        <v>0</v>
        <stp/>
        <stp>EM_S_FA_GROSSPROFITMARGIN</stp>
        <stp>3</stp>
        <stp>002142</stp>
        <stp>12/31/2018</stp>
        <stp>1</stp>
        <tr r="I303" s="1"/>
      </tp>
      <tp>
        <v>44.560422203800002</v>
        <stp/>
        <stp>EM_S_FA_GROSSPROFITMARGIN</stp>
        <stp>3</stp>
        <stp>600823</stp>
        <stp>12/31/2018</stp>
        <stp>1</stp>
        <tr r="I1206" s="1"/>
      </tp>
      <tp>
        <v>34.761424729300003</v>
        <stp/>
        <stp>EM_S_FA_GROSSPROFITMARGIN</stp>
        <stp>3</stp>
        <stp>300673</stp>
        <stp>12/31/2018</stp>
        <stp>1</stp>
        <tr r="I3263" s="1"/>
      </tp>
      <tp>
        <v>10.872020774599999</v>
        <stp/>
        <stp>EM_S_FA_GROSSPROFITMARGIN</stp>
        <stp>3</stp>
        <stp>600623</stp>
        <stp>12/31/2018</stp>
        <stp>1</stp>
        <tr r="I3024" s="1"/>
      </tp>
      <tp>
        <v>23.850625002099999</v>
        <stp/>
        <stp>EM_S_FA_GROSSPROFITMARGIN</stp>
        <stp>3</stp>
        <stp>600723</stp>
        <stp>12/31/2018</stp>
        <stp>1</stp>
        <tr r="I2405" s="1"/>
      </tp>
      <tp>
        <v>25.878873893400002</v>
        <stp/>
        <stp>EM_S_FA_GROSSPROFITMARGIN</stp>
        <stp>3</stp>
        <stp>300473</stp>
        <stp>12/31/2018</stp>
        <stp>1</stp>
        <tr r="I898" s="1"/>
      </tp>
      <tp>
        <v>14.0401882734</v>
        <stp/>
        <stp>EM_S_FA_GROSSPROFITMARGIN</stp>
        <stp>3</stp>
        <stp>600423</stp>
        <stp>12/31/2018</stp>
        <stp>1</stp>
        <tr r="I2841" s="1"/>
      </tp>
      <tp>
        <v>6.0084261334000004</v>
        <stp/>
        <stp>EM_S_FA_GROSSPROFITMARGIN</stp>
        <stp>3</stp>
        <stp>000543</stp>
        <stp>12/31/2018</stp>
        <stp>1</stp>
        <tr r="I2463" s="1"/>
      </tp>
      <tp>
        <v>72.319679255599993</v>
        <stp/>
        <stp>EM_S_FA_GROSSPROFITMARGIN</stp>
        <stp>3</stp>
        <stp>300573</stp>
        <stp>12/31/2018</stp>
        <stp>1</stp>
        <tr r="I25" s="1"/>
      </tp>
      <tp>
        <v>22.450374311400001</v>
        <stp/>
        <stp>EM_S_FA_GROSSPROFITMARGIN</stp>
        <stp>3</stp>
        <stp>600523</stp>
        <stp>12/31/2018</stp>
        <stp>1</stp>
        <tr r="I688" s="1"/>
      </tp>
      <tp>
        <v>51.465093020899999</v>
        <stp/>
        <stp>EM_S_FA_GROSSPROFITMARGIN</stp>
        <stp>3</stp>
        <stp>300273</stp>
        <stp>12/31/2018</stp>
        <stp>1</stp>
        <tr r="I1936" s="1"/>
      </tp>
      <tp>
        <v>20.265710064</v>
        <stp/>
        <stp>EM_S_FA_GROSSPROFITMARGIN</stp>
        <stp>3</stp>
        <stp>600223</stp>
        <stp>12/31/2018</stp>
        <stp>1</stp>
        <tr r="I86" s="1"/>
      </tp>
      <tp>
        <v>31.3629404289</v>
        <stp/>
        <stp>EM_S_FA_GROSSPROFITMARGIN</stp>
        <stp>3</stp>
        <stp>300373</stp>
        <stp>12/31/2018</stp>
        <stp>1</stp>
        <tr r="I1293" s="1"/>
      </tp>
      <tp>
        <v>29.9542038035</v>
        <stp/>
        <stp>EM_S_FA_GROSSPROFITMARGIN</stp>
        <stp>3</stp>
        <stp>600323</stp>
        <stp>12/31/2018</stp>
        <stp>1</stp>
        <tr r="I1110" s="1"/>
      </tp>
      <tp>
        <v>19.640528675999999</v>
        <stp/>
        <stp>EM_S_FA_GROSSPROFITMARGIN</stp>
        <stp>3</stp>
        <stp>000043</stp>
        <stp>12/31/2018</stp>
        <stp>1</stp>
        <tr r="I4" s="1"/>
      </tp>
      <tp>
        <v>18.268988449199998</v>
        <stp/>
        <stp>EM_S_FA_GROSSPROFITMARGIN</stp>
        <stp>3</stp>
        <stp>300073</stp>
        <stp>12/31/2018</stp>
        <stp>1</stp>
        <tr r="I2284" s="1"/>
      </tp>
      <tp>
        <v>9.4867045223000002</v>
        <stp/>
        <stp>EM_S_FA_GROSSPROFITMARGIN</stp>
        <stp>3</stp>
        <stp>600023</stp>
        <stp>12/31/2018</stp>
        <stp>1</stp>
        <tr r="I2977" s="1"/>
      </tp>
      <tp>
        <v>38.347525442600002</v>
        <stp/>
        <stp>EM_S_FA_GROSSPROFITMARGIN</stp>
        <stp>3</stp>
        <stp>300173</stp>
        <stp>12/31/2018</stp>
        <stp>1</stp>
        <tr r="I450" s="1"/>
      </tp>
      <tp>
        <v>42.4593064695</v>
        <stp/>
        <stp>EM_S_FA_GROSSPROFITMARGIN</stp>
        <stp>3</stp>
        <stp>600123</stp>
        <stp>12/31/2018</stp>
        <stp>1</stp>
        <tr r="I2399" s="1"/>
      </tp>
      <tp>
        <v>22.924509368399999</v>
        <stp/>
        <stp>EM_S_FA_GROSSPROFITMARGIN</stp>
        <stp>3</stp>
        <stp>603823</stp>
        <stp>12/31/2018</stp>
        <stp>1</stp>
        <tr r="I322" s="1"/>
      </tp>
      <tp>
        <v>3.1891982736000002</v>
        <stp/>
        <stp>EM_S_FA_GROSSPROFITMARGIN</stp>
        <stp>3</stp>
        <stp>603223</stp>
        <stp>12/31/2018</stp>
        <stp>1</stp>
        <tr r="I3307" s="1"/>
      </tp>
      <tp>
        <v>0</v>
        <stp/>
        <stp>EM_S_FA_GROSSPROFITMARGIN</stp>
        <stp>3</stp>
        <stp>603323</stp>
        <stp>12/31/2018</stp>
        <stp>1</stp>
        <tr r="I2888" s="1"/>
      </tp>
      <tp>
        <v>54.405415647799998</v>
        <stp/>
        <stp>EM_S_FA_GROSSPROFITMARGIN</stp>
        <stp>3</stp>
        <stp>603023</stp>
        <stp>12/31/2018</stp>
        <stp>1</stp>
        <tr r="I2040" s="1"/>
      </tp>
      <tp>
        <v>20.1492690016</v>
        <stp/>
        <stp>EM_S_FA_GROSSPROFITMARGIN</stp>
        <stp>3</stp>
        <stp>603123</stp>
        <stp>12/31/2018</stp>
        <stp>1</stp>
        <tr r="I1396" s="1"/>
      </tp>
      <tp>
        <v>42.1608016502</v>
        <stp/>
        <stp>EM_S_FA_GROSSPROFITMARGIN</stp>
        <stp>3</stp>
        <stp>002843</stp>
        <stp>12/31/2018</stp>
        <stp>1</stp>
        <tr r="I3239" s="1"/>
      </tp>
      <tp>
        <v>40.602234977800002</v>
        <stp/>
        <stp>EM_S_FA_GROSSPROFITMARGIN</stp>
        <stp>3</stp>
        <stp>002643</stp>
        <stp>12/31/2018</stp>
        <stp>1</stp>
        <tr r="I561" s="1"/>
      </tp>
      <tp>
        <v>15.1374487624</v>
        <stp/>
        <stp>EM_S_FA_GROSSPROFITMARGIN</stp>
        <stp>3</stp>
        <stp>002743</stp>
        <stp>12/31/2018</stp>
        <stp>1</stp>
        <tr r="I1568" s="1"/>
      </tp>
      <tp>
        <v>13.0153641882</v>
        <stp/>
        <stp>EM_S_FA_GROSSPROFITMARGIN</stp>
        <stp>3</stp>
        <stp>002443</stp>
        <stp>12/31/2018</stp>
        <stp>1</stp>
        <tr r="I1085" s="1"/>
      </tp>
      <tp>
        <v>29.291087260299999</v>
        <stp/>
        <stp>EM_S_FA_GROSSPROFITMARGIN</stp>
        <stp>3</stp>
        <stp>002543</stp>
        <stp>12/31/2018</stp>
        <stp>1</stp>
        <tr r="I3167" s="1"/>
      </tp>
      <tp>
        <v>22.756473172100002</v>
        <stp/>
        <stp>EM_S_FA_GROSSPROFITMARGIN</stp>
        <stp>3</stp>
        <stp>002243</stp>
        <stp>12/31/2018</stp>
        <stp>1</stp>
        <tr r="I1825" s="1"/>
      </tp>
      <tp>
        <v>10.1426142532</v>
        <stp/>
        <stp>EM_S_FA_GROSSPROFITMARGIN</stp>
        <stp>3</stp>
        <stp>002343</stp>
        <stp>12/31/2018</stp>
        <stp>1</stp>
        <tr r="I1031" s="1"/>
      </tp>
      <tp>
        <v>16.682784529999999</v>
        <stp/>
        <stp>EM_S_FA_GROSSPROFITMARGIN</stp>
        <stp>3</stp>
        <stp>002043</stp>
        <stp>12/31/2018</stp>
        <stp>1</stp>
        <tr r="I656" s="1"/>
      </tp>
      <tp>
        <v>28.697689093000001</v>
        <stp/>
        <stp>EM_S_FA_GROSSPROFITMARGIN</stp>
        <stp>3</stp>
        <stp>002143</stp>
        <stp>12/31/2018</stp>
        <stp>1</stp>
        <tr r="I3411" s="1"/>
      </tp>
      <tp>
        <v>66.195435636300004</v>
        <stp/>
        <stp>EM_S_FA_GROSSPROFITMARGIN</stp>
        <stp>3</stp>
        <stp>601828</stp>
        <stp>12/31/2018</stp>
        <stp>1</stp>
        <tr r="I2154" s="1"/>
      </tp>
      <tp>
        <v>36.298227242300001</v>
        <stp/>
        <stp>EM_S_FA_GROSSPROFITMARGIN</stp>
        <stp>3</stp>
        <stp>601928</stp>
        <stp>12/31/2018</stp>
        <stp>1</stp>
        <tr r="I2548" s="1"/>
      </tp>
      <tp>
        <v>0</v>
        <stp/>
        <stp>EM_S_FA_GROSSPROFITMARGIN</stp>
        <stp>3</stp>
        <stp>601628</stp>
        <stp>12/31/2018</stp>
        <stp>1</stp>
        <tr r="I308" s="1"/>
      </tp>
      <tp>
        <v>25.2253654718</v>
        <stp/>
        <stp>EM_S_FA_GROSSPROFITMARGIN</stp>
        <stp>3</stp>
        <stp>601228</stp>
        <stp>12/31/2018</stp>
        <stp>1</stp>
        <tr r="I2498" s="1"/>
      </tp>
      <tp>
        <v>0</v>
        <stp/>
        <stp>EM_S_FA_GROSSPROFITMARGIN</stp>
        <stp>3</stp>
        <stp>601328</stp>
        <stp>12/31/2018</stp>
        <stp>1</stp>
        <tr r="I2457" s="1"/>
      </tp>
      <tp>
        <v>5.1023286452000001</v>
        <stp/>
        <stp>EM_S_FA_GROSSPROFITMARGIN</stp>
        <stp>3</stp>
        <stp>601028</stp>
        <stp>12/31/2018</stp>
        <stp>1</stp>
        <tr r="I1709" s="1"/>
      </tp>
      <tp>
        <v>0</v>
        <stp/>
        <stp>EM_S_FA_GROSSPROFITMARGIN</stp>
        <stp>3</stp>
        <stp>601128</stp>
        <stp>12/31/2018</stp>
        <stp>1</stp>
        <tr r="I693" s="1"/>
      </tp>
      <tp>
        <v>50.757559769300002</v>
        <stp/>
        <stp>EM_S_FA_GROSSPROFITMARGIN</stp>
        <stp>3</stp>
        <stp>000848</stp>
        <stp>12/31/2018</stp>
        <stp>1</stp>
        <tr r="I2428" s="1"/>
      </tp>
      <tp>
        <v>29.262461652399999</v>
        <stp/>
        <stp>EM_S_FA_GROSSPROFITMARGIN</stp>
        <stp>3</stp>
        <stp>600828</stp>
        <stp>12/31/2018</stp>
        <stp>1</stp>
        <tr r="I2265" s="1"/>
      </tp>
      <tp>
        <v>23.287050089299999</v>
        <stp/>
        <stp>EM_S_FA_GROSSPROFITMARGIN</stp>
        <stp>3</stp>
        <stp>000948</stp>
        <stp>12/31/2018</stp>
        <stp>1</stp>
        <tr r="I1716" s="1"/>
      </tp>
      <tp>
        <v>30.2443126617</v>
        <stp/>
        <stp>EM_S_FA_GROSSPROFITMARGIN</stp>
        <stp>3</stp>
        <stp>300678</stp>
        <stp>12/31/2018</stp>
        <stp>1</stp>
        <tr r="I1418" s="1"/>
      </tp>
      <tp>
        <v>31.662089567799999</v>
        <stp/>
        <stp>EM_S_FA_GROSSPROFITMARGIN</stp>
        <stp>3</stp>
        <stp>600628</stp>
        <stp>12/31/2018</stp>
        <stp>1</stp>
        <tr r="I603" s="1"/>
      </tp>
      <tp>
        <v>0</v>
        <stp/>
        <stp>EM_S_FA_GROSSPROFITMARGIN</stp>
        <stp>3</stp>
        <stp>000748</stp>
        <stp>12/31/2018</stp>
        <stp>1</stp>
        <tr r="I3525" s="1"/>
      </tp>
      <tp>
        <v>14.821961786599999</v>
        <stp/>
        <stp>EM_S_FA_GROSSPROFITMARGIN</stp>
        <stp>3</stp>
        <stp>600728</stp>
        <stp>12/31/2018</stp>
        <stp>1</stp>
        <tr r="I794" s="1"/>
      </tp>
      <tp>
        <v>18.189609821200001</v>
        <stp/>
        <stp>EM_S_FA_GROSSPROFITMARGIN</stp>
        <stp>3</stp>
        <stp>300478</stp>
        <stp>12/31/2018</stp>
        <stp>1</stp>
        <tr r="I3004" s="1"/>
      </tp>
      <tp>
        <v>14.710743731499999</v>
        <stp/>
        <stp>EM_S_FA_GROSSPROFITMARGIN</stp>
        <stp>3</stp>
        <stp>600428</stp>
        <stp>12/31/2018</stp>
        <stp>1</stp>
        <tr r="I1477" s="1"/>
      </tp>
      <tp>
        <v>59.3749781004</v>
        <stp/>
        <stp>EM_S_FA_GROSSPROFITMARGIN</stp>
        <stp>3</stp>
        <stp>000548</stp>
        <stp>12/31/2018</stp>
        <stp>1</stp>
        <tr r="I3450" s="1"/>
      </tp>
      <tp>
        <v>47.0885880947</v>
        <stp/>
        <stp>EM_S_FA_GROSSPROFITMARGIN</stp>
        <stp>3</stp>
        <stp>300578</stp>
        <stp>12/31/2018</stp>
        <stp>1</stp>
        <tr r="I543" s="1"/>
      </tp>
      <tp>
        <v>20.371252570500001</v>
        <stp/>
        <stp>EM_S_FA_GROSSPROFITMARGIN</stp>
        <stp>3</stp>
        <stp>600528</stp>
        <stp>12/31/2018</stp>
        <stp>1</stp>
        <tr r="I2069" s="1"/>
      </tp>
      <tp>
        <v>19.3368317238</v>
        <stp/>
        <stp>EM_S_FA_GROSSPROFITMARGIN</stp>
        <stp>3</stp>
        <stp>300278</stp>
        <stp>12/31/2018</stp>
        <stp>1</stp>
        <tr r="I3145" s="1"/>
      </tp>
      <tp>
        <v>16.541261425599998</v>
        <stp/>
        <stp>EM_S_FA_GROSSPROFITMARGIN</stp>
        <stp>3</stp>
        <stp>600228</stp>
        <stp>12/31/2018</stp>
        <stp>1</stp>
        <tr r="I3169" s="1"/>
      </tp>
      <tp>
        <v>83.5202526092</v>
        <stp/>
        <stp>EM_S_FA_GROSSPROFITMARGIN</stp>
        <stp>3</stp>
        <stp>300378</stp>
        <stp>12/31/2018</stp>
        <stp>1</stp>
        <tr r="I552" s="1"/>
      </tp>
      <tp>
        <v>37.864442102300004</v>
        <stp/>
        <stp>EM_S_FA_GROSSPROFITMARGIN</stp>
        <stp>3</stp>
        <stp>600328</stp>
        <stp>12/31/2018</stp>
        <stp>1</stp>
        <tr r="I1295" s="1"/>
      </tp>
      <tp>
        <v>42.856461360200001</v>
        <stp/>
        <stp>EM_S_FA_GROSSPROFITMARGIN</stp>
        <stp>3</stp>
        <stp>000048</stp>
        <stp>12/31/2018</stp>
        <stp>1</stp>
        <tr r="I1177" s="1"/>
      </tp>
      <tp>
        <v>42.709978025799998</v>
        <stp/>
        <stp>EM_S_FA_GROSSPROFITMARGIN</stp>
        <stp>3</stp>
        <stp>300078</stp>
        <stp>12/31/2018</stp>
        <stp>1</stp>
        <tr r="I1234" s="1"/>
      </tp>
      <tp>
        <v>16.953879368900001</v>
        <stp/>
        <stp>EM_S_FA_GROSSPROFITMARGIN</stp>
        <stp>3</stp>
        <stp>600028</stp>
        <stp>12/31/2018</stp>
        <stp>1</stp>
        <tr r="I2245" s="1"/>
      </tp>
      <tp>
        <v>15.553985297600001</v>
        <stp/>
        <stp>EM_S_FA_GROSSPROFITMARGIN</stp>
        <stp>3</stp>
        <stp>300178</stp>
        <stp>12/31/2018</stp>
        <stp>1</stp>
        <tr r="I3346" s="1"/>
      </tp>
      <tp>
        <v>6.5907620659999999</v>
        <stp/>
        <stp>EM_S_FA_GROSSPROFITMARGIN</stp>
        <stp>3</stp>
        <stp>600128</stp>
        <stp>12/31/2018</stp>
        <stp>1</stp>
        <tr r="I2583" s="1"/>
      </tp>
      <tp>
        <v>16.846580234299999</v>
        <stp/>
        <stp>EM_S_FA_GROSSPROFITMARGIN</stp>
        <stp>3</stp>
        <stp>603828</stp>
        <stp>12/31/2018</stp>
        <stp>1</stp>
        <tr r="I3237" s="1"/>
      </tp>
      <tp>
        <v>21.955238025100002</v>
        <stp/>
        <stp>EM_S_FA_GROSSPROFITMARGIN</stp>
        <stp>3</stp>
        <stp>603928</stp>
        <stp>12/31/2018</stp>
        <stp>1</stp>
        <tr r="I2878" s="1"/>
      </tp>
      <tp>
        <v>25.7500068748</v>
        <stp/>
        <stp>EM_S_FA_GROSSPROFITMARGIN</stp>
        <stp>3</stp>
        <stp>603628</stp>
        <stp>12/31/2018</stp>
        <stp>1</stp>
        <tr r="I1789" s="1"/>
      </tp>
      <tp>
        <v>34.989144305400004</v>
        <stp/>
        <stp>EM_S_FA_GROSSPROFITMARGIN</stp>
        <stp>3</stp>
        <stp>603728</stp>
        <stp>12/31/2018</stp>
        <stp>1</stp>
        <tr r="I2855" s="1"/>
      </tp>
      <tp>
        <v>59.873736391100003</v>
        <stp/>
        <stp>EM_S_FA_GROSSPROFITMARGIN</stp>
        <stp>3</stp>
        <stp>603528</stp>
        <stp>12/31/2018</stp>
        <stp>1</stp>
        <tr r="I1609" s="1"/>
      </tp>
      <tp>
        <v>31.777888843700001</v>
        <stp/>
        <stp>EM_S_FA_GROSSPROFITMARGIN</stp>
        <stp>3</stp>
        <stp>603228</stp>
        <stp>12/31/2018</stp>
        <stp>1</stp>
        <tr r="I2805" s="1"/>
      </tp>
      <tp>
        <v>30.5467847446</v>
        <stp/>
        <stp>EM_S_FA_GROSSPROFITMARGIN</stp>
        <stp>3</stp>
        <stp>603328</stp>
        <stp>12/31/2018</stp>
        <stp>1</stp>
        <tr r="I1464" s="1"/>
      </tp>
      <tp>
        <v>19.368644098800001</v>
        <stp/>
        <stp>EM_S_FA_GROSSPROFITMARGIN</stp>
        <stp>3</stp>
        <stp>603028</stp>
        <stp>12/31/2018</stp>
        <stp>1</stp>
        <tr r="I383" s="1"/>
      </tp>
      <tp>
        <v>11.3988218591</v>
        <stp/>
        <stp>EM_S_FA_GROSSPROFITMARGIN</stp>
        <stp>3</stp>
        <stp>603128</stp>
        <stp>12/31/2018</stp>
        <stp>1</stp>
        <tr r="I1380" s="1"/>
      </tp>
      <tp>
        <v>13.787869815900001</v>
        <stp/>
        <stp>EM_S_FA_GROSSPROFITMARGIN</stp>
        <stp>3</stp>
        <stp>002848</stp>
        <stp>12/31/2018</stp>
        <stp>1</stp>
        <tr r="I1699" s="1"/>
      </tp>
      <tp>
        <v>20.6855583416</v>
        <stp/>
        <stp>EM_S_FA_GROSSPROFITMARGIN</stp>
        <stp>3</stp>
        <stp>002648</stp>
        <stp>12/31/2018</stp>
        <stp>1</stp>
        <tr r="I309" s="1"/>
      </tp>
      <tp>
        <v>14.7395215797</v>
        <stp/>
        <stp>EM_S_FA_GROSSPROFITMARGIN</stp>
        <stp>3</stp>
        <stp>002748</stp>
        <stp>12/31/2018</stp>
        <stp>1</stp>
        <tr r="I2044" s="1"/>
      </tp>
      <tp>
        <v>39.957421023499997</v>
        <stp/>
        <stp>EM_S_FA_GROSSPROFITMARGIN</stp>
        <stp>3</stp>
        <stp>002448</stp>
        <stp>12/31/2018</stp>
        <stp>1</stp>
        <tr r="I2396" s="1"/>
      </tp>
      <tp>
        <v>14.745425213000001</v>
        <stp/>
        <stp>EM_S_FA_GROSSPROFITMARGIN</stp>
        <stp>3</stp>
        <stp>002548</stp>
        <stp>12/31/2018</stp>
        <stp>1</stp>
        <tr r="I938" s="1"/>
      </tp>
      <tp>
        <v>-23.5928181839</v>
        <stp/>
        <stp>EM_S_FA_GROSSPROFITMARGIN</stp>
        <stp>3</stp>
        <stp>002248</stp>
        <stp>12/31/2018</stp>
        <stp>1</stp>
        <tr r="I2746" s="1"/>
      </tp>
      <tp>
        <v>28.308334913100001</v>
        <stp/>
        <stp>EM_S_FA_GROSSPROFITMARGIN</stp>
        <stp>3</stp>
        <stp>002348</stp>
        <stp>12/31/2018</stp>
        <stp>1</stp>
        <tr r="I2047" s="1"/>
      </tp>
      <tp>
        <v>19.796439597799999</v>
        <stp/>
        <stp>EM_S_FA_GROSSPROFITMARGIN</stp>
        <stp>3</stp>
        <stp>002048</stp>
        <stp>12/31/2018</stp>
        <stp>1</stp>
        <tr r="I510" s="1"/>
      </tp>
      <tp>
        <v>56.335994578799998</v>
        <stp/>
        <stp>EM_S_FA_GROSSPROFITMARGIN</stp>
        <stp>3</stp>
        <stp>002148</stp>
        <stp>12/31/2018</stp>
        <stp>1</stp>
        <tr r="I2885" s="1"/>
      </tp>
      <tp>
        <v>46.195103514000003</v>
        <stp/>
        <stp>EM_S_FA_GROSSPROFITMARGIN</stp>
        <stp>3</stp>
        <stp>601929</stp>
        <stp>12/31/2018</stp>
        <stp>1</stp>
        <tr r="I2062" s="1"/>
      </tp>
      <tp>
        <v>0</v>
        <stp/>
        <stp>EM_S_FA_GROSSPROFITMARGIN</stp>
        <stp>3</stp>
        <stp>601229</stp>
        <stp>12/31/2018</stp>
        <stp>1</stp>
        <tr r="I2929" s="1"/>
      </tp>
      <tp>
        <v>12.8151087257</v>
        <stp/>
        <stp>EM_S_FA_GROSSPROFITMARGIN</stp>
        <stp>3</stp>
        <stp>600829</stp>
        <stp>12/31/2018</stp>
        <stp>1</stp>
        <tr r="I1485" s="1"/>
      </tp>
      <tp>
        <v>12.644543991600001</v>
        <stp/>
        <stp>EM_S_FA_GROSSPROFITMARGIN</stp>
        <stp>3</stp>
        <stp>000949</stp>
        <stp>12/31/2018</stp>
        <stp>1</stp>
        <tr r="I670" s="1"/>
      </tp>
      <tp>
        <v>48.646764841299998</v>
        <stp/>
        <stp>EM_S_FA_GROSSPROFITMARGIN</stp>
        <stp>3</stp>
        <stp>600929</stp>
        <stp>12/31/2018</stp>
        <stp>1</stp>
        <tr r="I3072" s="1"/>
      </tp>
      <tp>
        <v>37.861919258299999</v>
        <stp/>
        <stp>EM_S_FA_GROSSPROFITMARGIN</stp>
        <stp>3</stp>
        <stp>300679</stp>
        <stp>12/31/2018</stp>
        <stp>1</stp>
        <tr r="I739" s="1"/>
      </tp>
      <tp>
        <v>25.445898797000002</v>
        <stp/>
        <stp>EM_S_FA_GROSSPROFITMARGIN</stp>
        <stp>3</stp>
        <stp>600629</stp>
        <stp>12/31/2018</stp>
        <stp>1</stp>
        <tr r="I3119" s="1"/>
      </tp>
      <tp>
        <v>18.423899394900001</v>
        <stp/>
        <stp>EM_S_FA_GROSSPROFITMARGIN</stp>
        <stp>3</stp>
        <stp>600729</stp>
        <stp>12/31/2018</stp>
        <stp>1</stp>
        <tr r="I2021" s="1"/>
      </tp>
      <tp>
        <v>39.431515203700002</v>
        <stp/>
        <stp>EM_S_FA_GROSSPROFITMARGIN</stp>
        <stp>3</stp>
        <stp>300479</stp>
        <stp>12/31/2018</stp>
        <stp>1</stp>
        <tr r="I1154" s="1"/>
      </tp>
      <tp>
        <v>33.056979671100002</v>
        <stp/>
        <stp>EM_S_FA_GROSSPROFITMARGIN</stp>
        <stp>3</stp>
        <stp>600429</stp>
        <stp>12/31/2018</stp>
        <stp>1</stp>
        <tr r="I2394" s="1"/>
      </tp>
      <tp>
        <v>0</v>
        <stp/>
        <stp>EM_S_FA_GROSSPROFITMARGIN</stp>
        <stp>3</stp>
        <stp>000549</stp>
        <stp>12/31/2018</stp>
        <stp>1</stp>
        <tr r="I3451" s="1"/>
      </tp>
      <tp>
        <v>58.615769812899998</v>
        <stp/>
        <stp>EM_S_FA_GROSSPROFITMARGIN</stp>
        <stp>3</stp>
        <stp>300579</stp>
        <stp>12/31/2018</stp>
        <stp>1</stp>
        <tr r="I330" s="1"/>
      </tp>
      <tp>
        <v>35.987945258700002</v>
        <stp/>
        <stp>EM_S_FA_GROSSPROFITMARGIN</stp>
        <stp>3</stp>
        <stp>600529</stp>
        <stp>12/31/2018</stp>
        <stp>1</stp>
        <tr r="I589" s="1"/>
      </tp>
      <tp>
        <v>17.243908965399999</v>
        <stp/>
        <stp>EM_S_FA_GROSSPROFITMARGIN</stp>
        <stp>3</stp>
        <stp>300279</stp>
        <stp>12/31/2018</stp>
        <stp>1</stp>
        <tr r="I1022" s="1"/>
      </tp>
      <tp>
        <v>39.086611477799998</v>
        <stp/>
        <stp>EM_S_FA_GROSSPROFITMARGIN</stp>
        <stp>3</stp>
        <stp>600229</stp>
        <stp>12/31/2018</stp>
        <stp>1</stp>
        <tr r="I2004" s="1"/>
      </tp>
      <tp>
        <v>75.408600407199998</v>
        <stp/>
        <stp>EM_S_FA_GROSSPROFITMARGIN</stp>
        <stp>3</stp>
        <stp>300379</stp>
        <stp>12/31/2018</stp>
        <stp>1</stp>
        <tr r="I36" s="1"/>
      </tp>
      <tp>
        <v>41.452195688899998</v>
        <stp/>
        <stp>EM_S_FA_GROSSPROFITMARGIN</stp>
        <stp>3</stp>
        <stp>600329</stp>
        <stp>12/31/2018</stp>
        <stp>1</stp>
        <tr r="I1791" s="1"/>
      </tp>
      <tp>
        <v>8.1982690234</v>
        <stp/>
        <stp>EM_S_FA_GROSSPROFITMARGIN</stp>
        <stp>3</stp>
        <stp>000049</stp>
        <stp>12/31/2018</stp>
        <stp>1</stp>
        <tr r="I678" s="1"/>
      </tp>
      <tp>
        <v>35.928089593499998</v>
        <stp/>
        <stp>EM_S_FA_GROSSPROFITMARGIN</stp>
        <stp>3</stp>
        <stp>300079</stp>
        <stp>12/31/2018</stp>
        <stp>1</stp>
        <tr r="I236" s="1"/>
      </tp>
      <tp>
        <v>10.4509723373</v>
        <stp/>
        <stp>EM_S_FA_GROSSPROFITMARGIN</stp>
        <stp>3</stp>
        <stp>600029</stp>
        <stp>12/31/2018</stp>
        <stp>1</stp>
        <tr r="I1859" s="1"/>
      </tp>
      <tp>
        <v>50.677023580899998</v>
        <stp/>
        <stp>EM_S_FA_GROSSPROFITMARGIN</stp>
        <stp>3</stp>
        <stp>300179</stp>
        <stp>12/31/2018</stp>
        <stp>1</stp>
        <tr r="I596" s="1"/>
      </tp>
      <tp>
        <v>40.248228957199998</v>
        <stp/>
        <stp>EM_S_FA_GROSSPROFITMARGIN</stp>
        <stp>3</stp>
        <stp>600129</stp>
        <stp>12/31/2018</stp>
        <stp>1</stp>
        <tr r="I892" s="1"/>
      </tp>
      <tp>
        <v>22.574396055200001</v>
        <stp/>
        <stp>EM_S_FA_GROSSPROFITMARGIN</stp>
        <stp>3</stp>
        <stp>603829</stp>
        <stp>12/31/2018</stp>
        <stp>1</stp>
        <tr r="I1573" s="1"/>
      </tp>
      <tp>
        <v>11.572316261199999</v>
        <stp/>
        <stp>EM_S_FA_GROSSPROFITMARGIN</stp>
        <stp>3</stp>
        <stp>603929</stp>
        <stp>12/31/2018</stp>
        <stp>1</stp>
        <tr r="I2220" s="1"/>
      </tp>
      <tp>
        <v>8.4292716468000002</v>
        <stp/>
        <stp>EM_S_FA_GROSSPROFITMARGIN</stp>
        <stp>3</stp>
        <stp>603729</stp>
        <stp>12/31/2018</stp>
        <stp>1</stp>
        <tr r="I2042" s="1"/>
      </tp>
      <tp>
        <v>47.262331908299998</v>
        <stp/>
        <stp>EM_S_FA_GROSSPROFITMARGIN</stp>
        <stp>3</stp>
        <stp>603429</stp>
        <stp>12/31/2018</stp>
        <stp>1</stp>
        <tr r="I535" s="1"/>
      </tp>
      <tp>
        <v>44.6523824979</v>
        <stp/>
        <stp>EM_S_FA_GROSSPROFITMARGIN</stp>
        <stp>3</stp>
        <stp>603229</stp>
        <stp>12/31/2018</stp>
        <stp>1</stp>
        <tr r="I274" s="1"/>
      </tp>
      <tp>
        <v>8.7296699234999995</v>
        <stp/>
        <stp>EM_S_FA_GROSSPROFITMARGIN</stp>
        <stp>3</stp>
        <stp>603329</stp>
        <stp>12/31/2018</stp>
        <stp>1</stp>
        <tr r="I2895" s="1"/>
      </tp>
      <tp>
        <v>37.003757925599999</v>
        <stp/>
        <stp>EM_S_FA_GROSSPROFITMARGIN</stp>
        <stp>3</stp>
        <stp>603029</stp>
        <stp>12/31/2018</stp>
        <stp>1</stp>
        <tr r="I1695" s="1"/>
      </tp>
      <tp>
        <v>30.540759070499998</v>
        <stp/>
        <stp>EM_S_FA_GROSSPROFITMARGIN</stp>
        <stp>3</stp>
        <stp>603129</stp>
        <stp>12/31/2018</stp>
        <stp>1</stp>
        <tr r="I76" s="1"/>
      </tp>
      <tp>
        <v>30.884830051600002</v>
        <stp/>
        <stp>EM_S_FA_GROSSPROFITMARGIN</stp>
        <stp>3</stp>
        <stp>002849</stp>
        <stp>12/31/2018</stp>
        <stp>1</stp>
        <tr r="I2282" s="1"/>
      </tp>
      <tp>
        <v>23.9896122211</v>
        <stp/>
        <stp>EM_S_FA_GROSSPROFITMARGIN</stp>
        <stp>3</stp>
        <stp>002649</stp>
        <stp>12/31/2018</stp>
        <stp>1</stp>
        <tr r="I807" s="1"/>
      </tp>
      <tp>
        <v>48.812587196400003</v>
        <stp/>
        <stp>EM_S_FA_GROSSPROFITMARGIN</stp>
        <stp>3</stp>
        <stp>002749</stp>
        <stp>12/31/2018</stp>
        <stp>1</stp>
        <tr r="I3174" s="1"/>
      </tp>
      <tp>
        <v>24.442512691699999</v>
        <stp/>
        <stp>EM_S_FA_GROSSPROFITMARGIN</stp>
        <stp>3</stp>
        <stp>002449</stp>
        <stp>12/31/2018</stp>
        <stp>1</stp>
        <tr r="I1099" s="1"/>
      </tp>
      <tp>
        <v>46.872350852300002</v>
        <stp/>
        <stp>EM_S_FA_GROSSPROFITMARGIN</stp>
        <stp>3</stp>
        <stp>002549</stp>
        <stp>12/31/2018</stp>
        <stp>1</stp>
        <tr r="I1576" s="1"/>
      </tp>
      <tp>
        <v>17.950926699899998</v>
        <stp/>
        <stp>EM_S_FA_GROSSPROFITMARGIN</stp>
        <stp>3</stp>
        <stp>002249</stp>
        <stp>12/31/2018</stp>
        <stp>1</stp>
        <tr r="I1320" s="1"/>
      </tp>
      <tp>
        <v>48.0395808436</v>
        <stp/>
        <stp>EM_S_FA_GROSSPROFITMARGIN</stp>
        <stp>3</stp>
        <stp>002349</stp>
        <stp>12/31/2018</stp>
        <stp>1</stp>
        <tr r="I3126" s="1"/>
      </tp>
      <tp>
        <v>30.147519450099999</v>
        <stp/>
        <stp>EM_S_FA_GROSSPROFITMARGIN</stp>
        <stp>3</stp>
        <stp>002049</stp>
        <stp>12/31/2018</stp>
        <stp>1</stp>
        <tr r="I262" s="1"/>
      </tp>
      <tp>
        <v>21.2641075447</v>
        <stp/>
        <stp>EM_S_FA_GROSSPROFITMARGIN</stp>
        <stp>3</stp>
        <stp>002149</stp>
        <stp>12/31/2018</stp>
        <stp>1</stp>
        <tr r="I618" s="1"/>
      </tp>
      <tp>
        <v>36.634743736899999</v>
        <stp/>
        <stp>EM_S_FA_GROSSPROFITMARGIN</stp>
        <stp>3</stp>
        <stp>300684</stp>
        <stp>12/31/2018</stp>
        <stp>1</stp>
        <tr r="I2979" s="1"/>
      </tp>
      <tp>
        <v>37.4482188542</v>
        <stp/>
        <stp>EM_S_FA_GROSSPROFITMARGIN</stp>
        <stp>3</stp>
        <stp>300484</stp>
        <stp>12/31/2018</stp>
        <stp>1</stp>
        <tr r="I3031" s="1"/>
      </tp>
      <tp>
        <v>86.227179374200006</v>
        <stp/>
        <stp>EM_S_FA_GROSSPROFITMARGIN</stp>
        <stp>3</stp>
        <stp>300584</stp>
        <stp>12/31/2018</stp>
        <stp>1</stp>
        <tr r="I1602" s="1"/>
      </tp>
      <tp>
        <v>31.233190726899998</v>
        <stp/>
        <stp>EM_S_FA_GROSSPROFITMARGIN</stp>
        <stp>3</stp>
        <stp>300284</stp>
        <stp>12/31/2018</stp>
        <stp>1</stp>
        <tr r="I3100" s="1"/>
      </tp>
      <tp>
        <v>40.148307875100002</v>
        <stp/>
        <stp>EM_S_FA_GROSSPROFITMARGIN</stp>
        <stp>3</stp>
        <stp>300384</stp>
        <stp>12/31/2018</stp>
        <stp>1</stp>
        <tr r="I530" s="1"/>
      </tp>
      <tp>
        <v>42.965725474700001</v>
        <stp/>
        <stp>EM_S_FA_GROSSPROFITMARGIN</stp>
        <stp>3</stp>
        <stp>300084</stp>
        <stp>12/31/2018</stp>
        <stp>1</stp>
        <tr r="I2639" s="1"/>
      </tp>
      <tp>
        <v>7.6153157148000004</v>
        <stp/>
        <stp>EM_S_FA_GROSSPROFITMARGIN</stp>
        <stp>3</stp>
        <stp>300184</stp>
        <stp>12/31/2018</stp>
        <stp>1</stp>
        <tr r="I2506" s="1"/>
      </tp>
      <tp>
        <v>91.035209442400003</v>
        <stp/>
        <stp>EM_S_FA_GROSSPROFITMARGIN</stp>
        <stp>3</stp>
        <stp>300685</stp>
        <stp>12/31/2018</stp>
        <stp>1</stp>
        <tr r="I436" s="1"/>
      </tp>
      <tp>
        <v>86.275015302100002</v>
        <stp/>
        <stp>EM_S_FA_GROSSPROFITMARGIN</stp>
        <stp>3</stp>
        <stp>300485</stp>
        <stp>12/31/2018</stp>
        <stp>1</stp>
        <tr r="I2810" s="1"/>
      </tp>
      <tp>
        <v>36.374933740499998</v>
        <stp/>
        <stp>EM_S_FA_GROSSPROFITMARGIN</stp>
        <stp>3</stp>
        <stp>300585</stp>
        <stp>12/31/2018</stp>
        <stp>1</stp>
        <tr r="I290" s="1"/>
      </tp>
      <tp>
        <v>44.818068645399997</v>
        <stp/>
        <stp>EM_S_FA_GROSSPROFITMARGIN</stp>
        <stp>3</stp>
        <stp>300285</stp>
        <stp>12/31/2018</stp>
        <stp>1</stp>
        <tr r="I750" s="1"/>
      </tp>
      <tp>
        <v>24.662474811799999</v>
        <stp/>
        <stp>EM_S_FA_GROSSPROFITMARGIN</stp>
        <stp>3</stp>
        <stp>300385</stp>
        <stp>12/31/2018</stp>
        <stp>1</stp>
        <tr r="I2956" s="1"/>
      </tp>
      <tp>
        <v>31.9622351507</v>
        <stp/>
        <stp>EM_S_FA_GROSSPROFITMARGIN</stp>
        <stp>3</stp>
        <stp>300085</stp>
        <stp>12/31/2018</stp>
        <stp>1</stp>
        <tr r="I175" s="1"/>
      </tp>
      <tp>
        <v>23.214169276900002</v>
        <stp/>
        <stp>EM_S_FA_GROSSPROFITMARGIN</stp>
        <stp>3</stp>
        <stp>300185</stp>
        <stp>12/31/2018</stp>
        <stp>1</stp>
        <tr r="I1705" s="1"/>
      </tp>
      <tp>
        <v>19.2246104032</v>
        <stp/>
        <stp>EM_S_FA_GROSSPROFITMARGIN</stp>
        <stp>3</stp>
        <stp>300686</stp>
        <stp>12/31/2018</stp>
        <stp>1</stp>
        <tr r="I205" s="1"/>
      </tp>
      <tp>
        <v>26.356202224499999</v>
        <stp/>
        <stp>EM_S_FA_GROSSPROFITMARGIN</stp>
        <stp>3</stp>
        <stp>300486</stp>
        <stp>12/31/2018</stp>
        <stp>1</stp>
        <tr r="I459" s="1"/>
      </tp>
      <tp>
        <v>20.838930185500001</v>
        <stp/>
        <stp>EM_S_FA_GROSSPROFITMARGIN</stp>
        <stp>3</stp>
        <stp>300586</stp>
        <stp>12/31/2018</stp>
        <stp>1</stp>
        <tr r="I117" s="1"/>
      </tp>
      <tp>
        <v>49.885987561699999</v>
        <stp/>
        <stp>EM_S_FA_GROSSPROFITMARGIN</stp>
        <stp>3</stp>
        <stp>300286</stp>
        <stp>12/31/2018</stp>
        <stp>1</stp>
        <tr r="I747" s="1"/>
      </tp>
      <tp>
        <v>37.612576669900001</v>
        <stp/>
        <stp>EM_S_FA_GROSSPROFITMARGIN</stp>
        <stp>3</stp>
        <stp>300386</stp>
        <stp>12/31/2018</stp>
        <stp>1</stp>
        <tr r="I696" s="1"/>
      </tp>
      <tp>
        <v>44.661305521499997</v>
        <stp/>
        <stp>EM_S_FA_GROSSPROFITMARGIN</stp>
        <stp>3</stp>
        <stp>300086</stp>
        <stp>12/31/2018</stp>
        <stp>1</stp>
        <tr r="I3069" s="1"/>
      </tp>
      <tp>
        <v>0</v>
        <stp/>
        <stp>EM_S_FA_GROSSPROFITMARGIN</stp>
        <stp>3</stp>
        <stp>300186</stp>
        <stp>12/31/2018</stp>
        <stp>1</stp>
        <tr r="I2281" s="1"/>
      </tp>
      <tp>
        <v>32.274022932100003</v>
        <stp/>
        <stp>EM_S_FA_GROSSPROFITMARGIN</stp>
        <stp>3</stp>
        <stp>300687</stp>
        <stp>12/31/2018</stp>
        <stp>1</stp>
        <tr r="I3104" s="1"/>
      </tp>
      <tp>
        <v>41.224313817499997</v>
        <stp/>
        <stp>EM_S_FA_GROSSPROFITMARGIN</stp>
        <stp>3</stp>
        <stp>300487</stp>
        <stp>12/31/2018</stp>
        <stp>1</stp>
        <tr r="I612" s="1"/>
      </tp>
      <tp>
        <v>55.828330393400002</v>
        <stp/>
        <stp>EM_S_FA_GROSSPROFITMARGIN</stp>
        <stp>3</stp>
        <stp>300587</stp>
        <stp>12/31/2018</stp>
        <stp>1</stp>
        <tr r="I2762" s="1"/>
      </tp>
      <tp>
        <v>13.646950156799999</v>
        <stp/>
        <stp>EM_S_FA_GROSSPROFITMARGIN</stp>
        <stp>3</stp>
        <stp>300287</stp>
        <stp>12/31/2018</stp>
        <stp>1</stp>
        <tr r="I2172" s="1"/>
      </tp>
      <tp>
        <v>34.934912363800002</v>
        <stp/>
        <stp>EM_S_FA_GROSSPROFITMARGIN</stp>
        <stp>3</stp>
        <stp>300387</stp>
        <stp>12/31/2018</stp>
        <stp>1</stp>
        <tr r="I304" s="1"/>
      </tp>
      <tp>
        <v>43.108390678100001</v>
        <stp/>
        <stp>EM_S_FA_GROSSPROFITMARGIN</stp>
        <stp>3</stp>
        <stp>300087</stp>
        <stp>12/31/2018</stp>
        <stp>1</stp>
        <tr r="I2662" s="1"/>
      </tp>
      <tp>
        <v>20.6231198923</v>
        <stp/>
        <stp>EM_S_FA_GROSSPROFITMARGIN</stp>
        <stp>3</stp>
        <stp>300187</stp>
        <stp>12/31/2018</stp>
        <stp>1</stp>
        <tr r="I2789" s="1"/>
      </tp>
      <tp>
        <v>29.174394039300001</v>
        <stp/>
        <stp>EM_S_FA_GROSSPROFITMARGIN</stp>
        <stp>3</stp>
        <stp>300680</stp>
        <stp>12/31/2018</stp>
        <stp>1</stp>
        <tr r="I910" s="1"/>
      </tp>
      <tp>
        <v>53.266992420699999</v>
        <stp/>
        <stp>EM_S_FA_GROSSPROFITMARGIN</stp>
        <stp>3</stp>
        <stp>300480</stp>
        <stp>12/31/2018</stp>
        <stp>1</stp>
        <tr r="I213" s="1"/>
      </tp>
      <tp>
        <v>39.667241762499998</v>
        <stp/>
        <stp>EM_S_FA_GROSSPROFITMARGIN</stp>
        <stp>3</stp>
        <stp>300580</stp>
        <stp>12/31/2018</stp>
        <stp>1</stp>
        <tr r="I1402" s="1"/>
      </tp>
      <tp>
        <v>38.098358124199997</v>
        <stp/>
        <stp>EM_S_FA_GROSSPROFITMARGIN</stp>
        <stp>3</stp>
        <stp>300280</stp>
        <stp>12/31/2018</stp>
        <stp>1</stp>
        <tr r="I3363" s="1"/>
      </tp>
      <tp>
        <v>36.860624742799999</v>
        <stp/>
        <stp>EM_S_FA_GROSSPROFITMARGIN</stp>
        <stp>3</stp>
        <stp>300380</stp>
        <stp>12/31/2018</stp>
        <stp>1</stp>
        <tr r="I1006" s="1"/>
      </tp>
      <tp>
        <v>14.1280489754</v>
        <stp/>
        <stp>EM_S_FA_GROSSPROFITMARGIN</stp>
        <stp>3</stp>
        <stp>300080</stp>
        <stp>12/31/2018</stp>
        <stp>1</stp>
        <tr r="I1199" s="1"/>
      </tp>
      <tp>
        <v>26.585900024000001</v>
        <stp/>
        <stp>EM_S_FA_GROSSPROFITMARGIN</stp>
        <stp>3</stp>
        <stp>300180</stp>
        <stp>12/31/2018</stp>
        <stp>1</stp>
        <tr r="I3053" s="1"/>
      </tp>
      <tp>
        <v>23.975936619199999</v>
        <stp/>
        <stp>EM_S_FA_GROSSPROFITMARGIN</stp>
        <stp>3</stp>
        <stp>300681</stp>
        <stp>12/31/2018</stp>
        <stp>1</stp>
        <tr r="I2417" s="1"/>
      </tp>
      <tp>
        <v>32.7709423254</v>
        <stp/>
        <stp>EM_S_FA_GROSSPROFITMARGIN</stp>
        <stp>3</stp>
        <stp>300481</stp>
        <stp>12/31/2018</stp>
        <stp>1</stp>
        <tr r="I358" s="1"/>
      </tp>
      <tp>
        <v>43.883746455400001</v>
        <stp/>
        <stp>EM_S_FA_GROSSPROFITMARGIN</stp>
        <stp>3</stp>
        <stp>300581</stp>
        <stp>12/31/2018</stp>
        <stp>1</stp>
        <tr r="I989" s="1"/>
      </tp>
      <tp>
        <v>24.945932902300001</v>
        <stp/>
        <stp>EM_S_FA_GROSSPROFITMARGIN</stp>
        <stp>3</stp>
        <stp>300281</stp>
        <stp>12/31/2018</stp>
        <stp>1</stp>
        <tr r="I832" s="1"/>
      </tp>
      <tp>
        <v>37.4183328648</v>
        <stp/>
        <stp>EM_S_FA_GROSSPROFITMARGIN</stp>
        <stp>3</stp>
        <stp>300381</stp>
        <stp>12/31/2018</stp>
        <stp>1</stp>
        <tr r="I1162" s="1"/>
      </tp>
      <tp>
        <v>45.7751862175</v>
        <stp/>
        <stp>EM_S_FA_GROSSPROFITMARGIN</stp>
        <stp>3</stp>
        <stp>300081</stp>
        <stp>12/31/2018</stp>
        <stp>1</stp>
        <tr r="I1430" s="1"/>
      </tp>
      <tp>
        <v>62.380731708500001</v>
        <stp/>
        <stp>EM_S_FA_GROSSPROFITMARGIN</stp>
        <stp>3</stp>
        <stp>300181</stp>
        <stp>12/31/2018</stp>
        <stp>1</stp>
        <tr r="I2515" s="1"/>
      </tp>
      <tp>
        <v>49.781521741900001</v>
        <stp/>
        <stp>EM_S_FA_GROSSPROFITMARGIN</stp>
        <stp>3</stp>
        <stp>300682</stp>
        <stp>12/31/2018</stp>
        <stp>1</stp>
        <tr r="I782" s="1"/>
      </tp>
      <tp>
        <v>60.985424813500003</v>
        <stp/>
        <stp>EM_S_FA_GROSSPROFITMARGIN</stp>
        <stp>3</stp>
        <stp>300482</stp>
        <stp>12/31/2018</stp>
        <stp>1</stp>
        <tr r="I183" s="1"/>
      </tp>
      <tp>
        <v>33.529787203799998</v>
        <stp/>
        <stp>EM_S_FA_GROSSPROFITMARGIN</stp>
        <stp>3</stp>
        <stp>300582</stp>
        <stp>12/31/2018</stp>
        <stp>1</stp>
        <tr r="I1308" s="1"/>
      </tp>
      <tp>
        <v>30.6108495613</v>
        <stp/>
        <stp>EM_S_FA_GROSSPROFITMARGIN</stp>
        <stp>3</stp>
        <stp>300282</stp>
        <stp>12/31/2018</stp>
        <stp>1</stp>
        <tr r="I3268" s="1"/>
      </tp>
      <tp>
        <v>45.350446879400003</v>
        <stp/>
        <stp>EM_S_FA_GROSSPROFITMARGIN</stp>
        <stp>3</stp>
        <stp>300382</stp>
        <stp>12/31/2018</stp>
        <stp>1</stp>
        <tr r="I2351" s="1"/>
      </tp>
      <tp>
        <v>10.8259902449</v>
        <stp/>
        <stp>EM_S_FA_GROSSPROFITMARGIN</stp>
        <stp>3</stp>
        <stp>300082</stp>
        <stp>12/31/2018</stp>
        <stp>1</stp>
        <tr r="I2238" s="1"/>
      </tp>
      <tp>
        <v>33.615114874</v>
        <stp/>
        <stp>EM_S_FA_GROSSPROFITMARGIN</stp>
        <stp>3</stp>
        <stp>300182</stp>
        <stp>12/31/2018</stp>
        <stp>1</stp>
        <tr r="I3029" s="1"/>
      </tp>
      <tp>
        <v>92.517627993199994</v>
        <stp/>
        <stp>EM_S_FA_GROSSPROFITMARGIN</stp>
        <stp>3</stp>
        <stp>300683</stp>
        <stp>12/31/2018</stp>
        <stp>1</stp>
        <tr r="I1867" s="1"/>
      </tp>
      <tp>
        <v>20.777297430899999</v>
        <stp/>
        <stp>EM_S_FA_GROSSPROFITMARGIN</stp>
        <stp>3</stp>
        <stp>300483</stp>
        <stp>12/31/2018</stp>
        <stp>1</stp>
        <tr r="I1094" s="1"/>
      </tp>
      <tp>
        <v>25.422942190299999</v>
        <stp/>
        <stp>EM_S_FA_GROSSPROFITMARGIN</stp>
        <stp>3</stp>
        <stp>300583</stp>
        <stp>12/31/2018</stp>
        <stp>1</stp>
        <tr r="I2080" s="1"/>
      </tp>
      <tp>
        <v>11.766504959500001</v>
        <stp/>
        <stp>EM_S_FA_GROSSPROFITMARGIN</stp>
        <stp>3</stp>
        <stp>300283</stp>
        <stp>12/31/2018</stp>
        <stp>1</stp>
        <tr r="I2236" s="1"/>
      </tp>
      <tp>
        <v>21.279280383</v>
        <stp/>
        <stp>EM_S_FA_GROSSPROFITMARGIN</stp>
        <stp>3</stp>
        <stp>300383</stp>
        <stp>12/31/2018</stp>
        <stp>1</stp>
        <tr r="I447" s="1"/>
      </tp>
      <tp>
        <v>12.5411865646</v>
        <stp/>
        <stp>EM_S_FA_GROSSPROFITMARGIN</stp>
        <stp>3</stp>
        <stp>300083</stp>
        <stp>12/31/2018</stp>
        <stp>1</stp>
        <tr r="I377" s="1"/>
      </tp>
      <tp>
        <v>50.225323979899997</v>
        <stp/>
        <stp>EM_S_FA_GROSSPROFITMARGIN</stp>
        <stp>3</stp>
        <stp>300183</stp>
        <stp>12/31/2018</stp>
        <stp>1</stp>
        <tr r="I1047" s="1"/>
      </tp>
      <tp>
        <v>25.147655405399998</v>
        <stp/>
        <stp>EM_S_FA_GROSSPROFITMARGIN</stp>
        <stp>3</stp>
        <stp>300688</stp>
        <stp>12/31/2018</stp>
        <stp>1</stp>
        <tr r="I3329" s="1"/>
      </tp>
      <tp>
        <v>54.794220035400002</v>
        <stp/>
        <stp>EM_S_FA_GROSSPROFITMARGIN</stp>
        <stp>3</stp>
        <stp>300488</stp>
        <stp>12/31/2018</stp>
        <stp>1</stp>
        <tr r="I3270" s="1"/>
      </tp>
      <tp>
        <v>22.484255484399998</v>
        <stp/>
        <stp>EM_S_FA_GROSSPROFITMARGIN</stp>
        <stp>3</stp>
        <stp>300588</stp>
        <stp>12/31/2018</stp>
        <stp>1</stp>
        <tr r="I2696" s="1"/>
      </tp>
      <tp>
        <v>49.3448879651</v>
        <stp/>
        <stp>EM_S_FA_GROSSPROFITMARGIN</stp>
        <stp>3</stp>
        <stp>300288</stp>
        <stp>12/31/2018</stp>
        <stp>1</stp>
        <tr r="I2609" s="1"/>
      </tp>
      <tp>
        <v>22.031516250100001</v>
        <stp/>
        <stp>EM_S_FA_GROSSPROFITMARGIN</stp>
        <stp>3</stp>
        <stp>300388</stp>
        <stp>12/31/2018</stp>
        <stp>1</stp>
        <tr r="I1290" s="1"/>
      </tp>
      <tp>
        <v>15.065020518700001</v>
        <stp/>
        <stp>EM_S_FA_GROSSPROFITMARGIN</stp>
        <stp>3</stp>
        <stp>300088</stp>
        <stp>12/31/2018</stp>
        <stp>1</stp>
        <tr r="I96" s="1"/>
      </tp>
      <tp>
        <v>59.495017287099998</v>
        <stp/>
        <stp>EM_S_FA_GROSSPROFITMARGIN</stp>
        <stp>3</stp>
        <stp>300188</stp>
        <stp>12/31/2018</stp>
        <stp>1</stp>
        <tr r="I906" s="1"/>
      </tp>
      <tp>
        <v>29.799214824700002</v>
        <stp/>
        <stp>EM_S_FA_GROSSPROFITMARGIN</stp>
        <stp>3</stp>
        <stp>300689</stp>
        <stp>12/31/2018</stp>
        <stp>1</stp>
        <tr r="I977" s="1"/>
      </tp>
      <tp>
        <v>18.804249864599999</v>
        <stp/>
        <stp>EM_S_FA_GROSSPROFITMARGIN</stp>
        <stp>3</stp>
        <stp>300489</stp>
        <stp>12/31/2018</stp>
        <stp>1</stp>
        <tr r="I317" s="1"/>
      </tp>
      <tp>
        <v>20.0663829951</v>
        <stp/>
        <stp>EM_S_FA_GROSSPROFITMARGIN</stp>
        <stp>3</stp>
        <stp>300589</stp>
        <stp>12/31/2018</stp>
        <stp>1</stp>
        <tr r="I1439" s="1"/>
      </tp>
      <tp>
        <v>49.291774543099997</v>
        <stp/>
        <stp>EM_S_FA_GROSSPROFITMARGIN</stp>
        <stp>3</stp>
        <stp>300289</stp>
        <stp>12/31/2018</stp>
        <stp>1</stp>
        <tr r="I2864" s="1"/>
      </tp>
      <tp>
        <v>38.150153654100002</v>
        <stp/>
        <stp>EM_S_FA_GROSSPROFITMARGIN</stp>
        <stp>3</stp>
        <stp>300389</stp>
        <stp>12/31/2018</stp>
        <stp>1</stp>
        <tr r="I3203" s="1"/>
      </tp>
      <tp>
        <v>51.2426920272</v>
        <stp/>
        <stp>EM_S_FA_GROSSPROFITMARGIN</stp>
        <stp>3</stp>
        <stp>300089</stp>
        <stp>12/31/2018</stp>
        <stp>1</stp>
        <tr r="I3253" s="1"/>
      </tp>
      <tp>
        <v>7.8515723733999998</v>
        <stp/>
        <stp>EM_S_FA_GROSSPROFITMARGIN</stp>
        <stp>3</stp>
        <stp>300189</stp>
        <stp>12/31/2018</stp>
        <stp>1</stp>
        <tr r="I624" s="1"/>
      </tp>
      <tp>
        <v>36.430264555199997</v>
        <stp/>
        <stp>EM_S_FA_GROSSPROFITMARGIN</stp>
        <stp>3</stp>
        <stp>300494</stp>
        <stp>12/31/2018</stp>
        <stp>1</stp>
        <tr r="I404" s="1"/>
      </tp>
      <tp>
        <v>62.180068676600001</v>
        <stp/>
        <stp>EM_S_FA_GROSSPROFITMARGIN</stp>
        <stp>3</stp>
        <stp>300294</stp>
        <stp>12/31/2018</stp>
        <stp>1</stp>
        <tr r="I1530" s="1"/>
      </tp>
      <tp>
        <v>51.274176633000003</v>
        <stp/>
        <stp>EM_S_FA_GROSSPROFITMARGIN</stp>
        <stp>3</stp>
        <stp>300394</stp>
        <stp>12/31/2018</stp>
        <stp>1</stp>
        <tr r="I554" s="1"/>
      </tp>
      <tp>
        <v>13.804256410600001</v>
        <stp/>
        <stp>EM_S_FA_GROSSPROFITMARGIN</stp>
        <stp>3</stp>
        <stp>300094</stp>
        <stp>12/31/2018</stp>
        <stp>1</stp>
        <tr r="I2998" s="1"/>
      </tp>
      <tp>
        <v>61.674400101499998</v>
        <stp/>
        <stp>EM_S_FA_GROSSPROFITMARGIN</stp>
        <stp>3</stp>
        <stp>300194</stp>
        <stp>12/31/2018</stp>
        <stp>1</stp>
        <tr r="I334" s="1"/>
      </tp>
      <tp>
        <v>44.151090542299997</v>
        <stp/>
        <stp>EM_S_FA_GROSSPROFITMARGIN</stp>
        <stp>3</stp>
        <stp>300695</stp>
        <stp>12/31/2018</stp>
        <stp>1</stp>
        <tr r="I1890" s="1"/>
      </tp>
      <tp>
        <v>34.260642487200002</v>
        <stp/>
        <stp>EM_S_FA_GROSSPROFITMARGIN</stp>
        <stp>3</stp>
        <stp>300495</stp>
        <stp>12/31/2018</stp>
        <stp>1</stp>
        <tr r="I2945" s="1"/>
      </tp>
      <tp>
        <v>77.983571290900002</v>
        <stp/>
        <stp>EM_S_FA_GROSSPROFITMARGIN</stp>
        <stp>3</stp>
        <stp>300595</stp>
        <stp>12/31/2018</stp>
        <stp>1</stp>
        <tr r="I1286" s="1"/>
      </tp>
      <tp>
        <v>93.896901591599999</v>
        <stp/>
        <stp>EM_S_FA_GROSSPROFITMARGIN</stp>
        <stp>3</stp>
        <stp>300295</stp>
        <stp>12/31/2018</stp>
        <stp>1</stp>
        <tr r="I1480" s="1"/>
      </tp>
      <tp>
        <v>45.424352148700002</v>
        <stp/>
        <stp>EM_S_FA_GROSSPROFITMARGIN</stp>
        <stp>3</stp>
        <stp>300395</stp>
        <stp>12/31/2018</stp>
        <stp>1</stp>
        <tr r="I574" s="1"/>
      </tp>
      <tp>
        <v>34.879161142699999</v>
        <stp/>
        <stp>EM_S_FA_GROSSPROFITMARGIN</stp>
        <stp>3</stp>
        <stp>300095</stp>
        <stp>12/31/2018</stp>
        <stp>1</stp>
        <tr r="I950" s="1"/>
      </tp>
      <tp>
        <v>38.856692693399999</v>
        <stp/>
        <stp>EM_S_FA_GROSSPROFITMARGIN</stp>
        <stp>3</stp>
        <stp>300195</stp>
        <stp>12/31/2018</stp>
        <stp>1</stp>
        <tr r="I2722" s="1"/>
      </tp>
      <tp>
        <v>63.176578658300002</v>
        <stp/>
        <stp>EM_S_FA_GROSSPROFITMARGIN</stp>
        <stp>3</stp>
        <stp>300696</stp>
        <stp>12/31/2018</stp>
        <stp>1</stp>
        <tr r="I2215" s="1"/>
      </tp>
      <tp>
        <v>41.708201602199999</v>
        <stp/>
        <stp>EM_S_FA_GROSSPROFITMARGIN</stp>
        <stp>3</stp>
        <stp>300496</stp>
        <stp>12/31/2018</stp>
        <stp>1</stp>
        <tr r="I156" s="1"/>
      </tp>
      <tp>
        <v>31.124588026600001</v>
        <stp/>
        <stp>EM_S_FA_GROSSPROFITMARGIN</stp>
        <stp>3</stp>
        <stp>300596</stp>
        <stp>12/31/2018</stp>
        <stp>1</stp>
        <tr r="I1350" s="1"/>
      </tp>
      <tp>
        <v>38.7509865699</v>
        <stp/>
        <stp>EM_S_FA_GROSSPROFITMARGIN</stp>
        <stp>3</stp>
        <stp>300296</stp>
        <stp>12/31/2018</stp>
        <stp>1</stp>
        <tr r="I2149" s="1"/>
      </tp>
      <tp>
        <v>65.108811649100005</v>
        <stp/>
        <stp>EM_S_FA_GROSSPROFITMARGIN</stp>
        <stp>3</stp>
        <stp>300396</stp>
        <stp>12/31/2018</stp>
        <stp>1</stp>
        <tr r="I723" s="1"/>
      </tp>
      <tp>
        <v>52.869615999200001</v>
        <stp/>
        <stp>EM_S_FA_GROSSPROFITMARGIN</stp>
        <stp>3</stp>
        <stp>300096</stp>
        <stp>12/31/2018</stp>
        <stp>1</stp>
        <tr r="I1359" s="1"/>
      </tp>
      <tp>
        <v>25.7569359568</v>
        <stp/>
        <stp>EM_S_FA_GROSSPROFITMARGIN</stp>
        <stp>3</stp>
        <stp>300196</stp>
        <stp>12/31/2018</stp>
        <stp>1</stp>
        <tr r="I904" s="1"/>
      </tp>
      <tp>
        <v>10.985415426199999</v>
        <stp/>
        <stp>EM_S_FA_GROSSPROFITMARGIN</stp>
        <stp>3</stp>
        <stp>300697</stp>
        <stp>12/31/2018</stp>
        <stp>1</stp>
        <tr r="I772" s="1"/>
      </tp>
      <tp>
        <v>37.253164480300001</v>
        <stp/>
        <stp>EM_S_FA_GROSSPROFITMARGIN</stp>
        <stp>3</stp>
        <stp>300497</stp>
        <stp>12/31/2018</stp>
        <stp>1</stp>
        <tr r="I2053" s="1"/>
      </tp>
      <tp>
        <v>25.951927782799999</v>
        <stp/>
        <stp>EM_S_FA_GROSSPROFITMARGIN</stp>
        <stp>3</stp>
        <stp>300597</stp>
        <stp>12/31/2018</stp>
        <stp>1</stp>
        <tr r="I3046" s="1"/>
      </tp>
      <tp>
        <v>59.366165753499999</v>
        <stp/>
        <stp>EM_S_FA_GROSSPROFITMARGIN</stp>
        <stp>3</stp>
        <stp>300297</stp>
        <stp>12/31/2018</stp>
        <stp>1</stp>
        <tr r="I1570" s="1"/>
      </tp>
      <tp>
        <v>33.797002990700001</v>
        <stp/>
        <stp>EM_S_FA_GROSSPROFITMARGIN</stp>
        <stp>3</stp>
        <stp>300397</stp>
        <stp>12/31/2018</stp>
        <stp>1</stp>
        <tr r="I41" s="1"/>
      </tp>
      <tp>
        <v>38.024468992400003</v>
        <stp/>
        <stp>EM_S_FA_GROSSPROFITMARGIN</stp>
        <stp>3</stp>
        <stp>300097</stp>
        <stp>12/31/2018</stp>
        <stp>1</stp>
        <tr r="I2911" s="1"/>
      </tp>
      <tp>
        <v>25.786782763400002</v>
        <stp/>
        <stp>EM_S_FA_GROSSPROFITMARGIN</stp>
        <stp>3</stp>
        <stp>300197</stp>
        <stp>12/31/2018</stp>
        <stp>1</stp>
        <tr r="I3073" s="1"/>
      </tp>
      <tp>
        <v>36.974453998500003</v>
        <stp/>
        <stp>EM_S_FA_GROSSPROFITMARGIN</stp>
        <stp>3</stp>
        <stp>300690</stp>
        <stp>12/31/2018</stp>
        <stp>1</stp>
        <tr r="I735" s="1"/>
      </tp>
      <tp>
        <v>34.4469629707</v>
        <stp/>
        <stp>EM_S_FA_GROSSPROFITMARGIN</stp>
        <stp>3</stp>
        <stp>300490</stp>
        <stp>12/31/2018</stp>
        <stp>1</stp>
        <tr r="I2910" s="1"/>
      </tp>
      <tp>
        <v>46.460571221599999</v>
        <stp/>
        <stp>EM_S_FA_GROSSPROFITMARGIN</stp>
        <stp>3</stp>
        <stp>300590</stp>
        <stp>12/31/2018</stp>
        <stp>1</stp>
        <tr r="I609" s="1"/>
      </tp>
      <tp>
        <v>35.5778560308</v>
        <stp/>
        <stp>EM_S_FA_GROSSPROFITMARGIN</stp>
        <stp>3</stp>
        <stp>300290</stp>
        <stp>12/31/2018</stp>
        <stp>1</stp>
        <tr r="I1839" s="1"/>
      </tp>
      <tp>
        <v>25.6851685028</v>
        <stp/>
        <stp>EM_S_FA_GROSSPROFITMARGIN</stp>
        <stp>3</stp>
        <stp>300390</stp>
        <stp>12/31/2018</stp>
        <stp>1</stp>
        <tr r="I2862" s="1"/>
      </tp>
      <tp>
        <v>1.5817124364999999</v>
        <stp/>
        <stp>EM_S_FA_GROSSPROFITMARGIN</stp>
        <stp>3</stp>
        <stp>300090</stp>
        <stp>12/31/2018</stp>
        <stp>1</stp>
        <tr r="I3294" s="1"/>
      </tp>
      <tp>
        <v>32.554707841899997</v>
        <stp/>
        <stp>EM_S_FA_GROSSPROFITMARGIN</stp>
        <stp>3</stp>
        <stp>300190</stp>
        <stp>12/31/2018</stp>
        <stp>1</stp>
        <tr r="I746" s="1"/>
      </tp>
      <tp>
        <v>22.3437452774</v>
        <stp/>
        <stp>EM_S_FA_GROSSPROFITMARGIN</stp>
        <stp>3</stp>
        <stp>300691</stp>
        <stp>12/31/2018</stp>
        <stp>1</stp>
        <tr r="I2974" s="1"/>
      </tp>
      <tp>
        <v>36.200220176800002</v>
        <stp/>
        <stp>EM_S_FA_GROSSPROFITMARGIN</stp>
        <stp>3</stp>
        <stp>300491</stp>
        <stp>12/31/2018</stp>
        <stp>1</stp>
        <tr r="I2962" s="1"/>
      </tp>
      <tp>
        <v>33.543481877700003</v>
        <stp/>
        <stp>EM_S_FA_GROSSPROFITMARGIN</stp>
        <stp>3</stp>
        <stp>300591</stp>
        <stp>12/31/2018</stp>
        <stp>1</stp>
        <tr r="I2386" s="1"/>
      </tp>
      <tp>
        <v>-19.683366991700002</v>
        <stp/>
        <stp>EM_S_FA_GROSSPROFITMARGIN</stp>
        <stp>3</stp>
        <stp>300291</stp>
        <stp>12/31/2018</stp>
        <stp>1</stp>
        <tr r="I808" s="1"/>
      </tp>
      <tp>
        <v>31.771084728600002</v>
        <stp/>
        <stp>EM_S_FA_GROSSPROFITMARGIN</stp>
        <stp>3</stp>
        <stp>300391</stp>
        <stp>12/31/2018</stp>
        <stp>1</stp>
        <tr r="I3154" s="1"/>
      </tp>
      <tp>
        <v>21.977959227700001</v>
        <stp/>
        <stp>EM_S_FA_GROSSPROFITMARGIN</stp>
        <stp>3</stp>
        <stp>300091</stp>
        <stp>12/31/2018</stp>
        <stp>1</stp>
        <tr r="I1161" s="1"/>
      </tp>
      <tp>
        <v>38.896454583299999</v>
        <stp/>
        <stp>EM_S_FA_GROSSPROFITMARGIN</stp>
        <stp>3</stp>
        <stp>300191</stp>
        <stp>12/31/2018</stp>
        <stp>1</stp>
        <tr r="I602" s="1"/>
      </tp>
      <tp>
        <v>31.178713074899999</v>
        <stp/>
        <stp>EM_S_FA_GROSSPROFITMARGIN</stp>
        <stp>3</stp>
        <stp>300692</stp>
        <stp>12/31/2018</stp>
        <stp>1</stp>
        <tr r="I2598" s="1"/>
      </tp>
      <tp>
        <v>37.947228360799997</v>
        <stp/>
        <stp>EM_S_FA_GROSSPROFITMARGIN</stp>
        <stp>3</stp>
        <stp>300492</stp>
        <stp>12/31/2018</stp>
        <stp>1</stp>
        <tr r="I69" s="1"/>
      </tp>
      <tp>
        <v>27.431505904800002</v>
        <stp/>
        <stp>EM_S_FA_GROSSPROFITMARGIN</stp>
        <stp>3</stp>
        <stp>300592</stp>
        <stp>12/31/2018</stp>
        <stp>1</stp>
        <tr r="I1026" s="1"/>
      </tp>
      <tp>
        <v>19.950658563499999</v>
        <stp/>
        <stp>EM_S_FA_GROSSPROFITMARGIN</stp>
        <stp>3</stp>
        <stp>300292</stp>
        <stp>12/31/2018</stp>
        <stp>1</stp>
        <tr r="I894" s="1"/>
      </tp>
      <tp>
        <v>4.9179973694000001</v>
        <stp/>
        <stp>EM_S_FA_GROSSPROFITMARGIN</stp>
        <stp>3</stp>
        <stp>300392</stp>
        <stp>12/31/2018</stp>
        <stp>1</stp>
        <tr r="I2449" s="1"/>
      </tp>
      <tp>
        <v>20.217779800999999</v>
        <stp/>
        <stp>EM_S_FA_GROSSPROFITMARGIN</stp>
        <stp>3</stp>
        <stp>300092</stp>
        <stp>12/31/2018</stp>
        <stp>1</stp>
        <tr r="I1306" s="1"/>
      </tp>
      <tp>
        <v>37.347383635</v>
        <stp/>
        <stp>EM_S_FA_GROSSPROFITMARGIN</stp>
        <stp>3</stp>
        <stp>300192</stp>
        <stp>12/31/2018</stp>
        <stp>1</stp>
        <tr r="I413" s="1"/>
      </tp>
      <tp>
        <v>46.002417399099997</v>
        <stp/>
        <stp>EM_S_FA_GROSSPROFITMARGIN</stp>
        <stp>3</stp>
        <stp>300693</stp>
        <stp>12/31/2018</stp>
        <stp>1</stp>
        <tr r="I2842" s="1"/>
      </tp>
      <tp>
        <v>9.9803839606999993</v>
        <stp/>
        <stp>EM_S_FA_GROSSPROFITMARGIN</stp>
        <stp>3</stp>
        <stp>300493</stp>
        <stp>12/31/2018</stp>
        <stp>1</stp>
        <tr r="I2536" s="1"/>
      </tp>
      <tp>
        <v>42.714647101099999</v>
        <stp/>
        <stp>EM_S_FA_GROSSPROFITMARGIN</stp>
        <stp>3</stp>
        <stp>300593</stp>
        <stp>12/31/2018</stp>
        <stp>1</stp>
        <tr r="I1675" s="1"/>
      </tp>
      <tp>
        <v>25.598220794500001</v>
        <stp/>
        <stp>EM_S_FA_GROSSPROFITMARGIN</stp>
        <stp>3</stp>
        <stp>300293</stp>
        <stp>12/31/2018</stp>
        <stp>1</stp>
        <tr r="I1253" s="1"/>
      </tp>
      <tp>
        <v>21.007382865899999</v>
        <stp/>
        <stp>EM_S_FA_GROSSPROFITMARGIN</stp>
        <stp>3</stp>
        <stp>300393</stp>
        <stp>12/31/2018</stp>
        <stp>1</stp>
        <tr r="I2477" s="1"/>
      </tp>
      <tp>
        <v>30.0767084019</v>
        <stp/>
        <stp>EM_S_FA_GROSSPROFITMARGIN</stp>
        <stp>3</stp>
        <stp>300093</stp>
        <stp>12/31/2018</stp>
        <stp>1</stp>
        <tr r="I239" s="1"/>
      </tp>
      <tp>
        <v>32.061618699</v>
        <stp/>
        <stp>EM_S_FA_GROSSPROFITMARGIN</stp>
        <stp>3</stp>
        <stp>300193</stp>
        <stp>12/31/2018</stp>
        <stp>1</stp>
        <tr r="I1114" s="1"/>
      </tp>
      <tp>
        <v>31.783867793799999</v>
        <stp/>
        <stp>EM_S_FA_GROSSPROFITMARGIN</stp>
        <stp>3</stp>
        <stp>300698</stp>
        <stp>12/31/2018</stp>
        <stp>1</stp>
        <tr r="I2793" s="1"/>
      </tp>
      <tp>
        <v>16.853125388999999</v>
        <stp/>
        <stp>EM_S_FA_GROSSPROFITMARGIN</stp>
        <stp>3</stp>
        <stp>300498</stp>
        <stp>12/31/2018</stp>
        <stp>1</stp>
        <tr r="I1017" s="1"/>
      </tp>
      <tp>
        <v>27.738515146899999</v>
        <stp/>
        <stp>EM_S_FA_GROSSPROFITMARGIN</stp>
        <stp>3</stp>
        <stp>300598</stp>
        <stp>12/31/2018</stp>
        <stp>1</stp>
        <tr r="I16" s="1"/>
      </tp>
      <tp>
        <v>63.8196866953</v>
        <stp/>
        <stp>EM_S_FA_GROSSPROFITMARGIN</stp>
        <stp>3</stp>
        <stp>300298</stp>
        <stp>12/31/2018</stp>
        <stp>1</stp>
        <tr r="I742" s="1"/>
      </tp>
      <tp>
        <v>46.408682803600001</v>
        <stp/>
        <stp>EM_S_FA_GROSSPROFITMARGIN</stp>
        <stp>3</stp>
        <stp>300398</stp>
        <stp>12/31/2018</stp>
        <stp>1</stp>
        <tr r="I2573" s="1"/>
      </tp>
      <tp>
        <v>35.2122780957</v>
        <stp/>
        <stp>EM_S_FA_GROSSPROFITMARGIN</stp>
        <stp>3</stp>
        <stp>300098</stp>
        <stp>12/31/2018</stp>
        <stp>1</stp>
        <tr r="I2821" s="1"/>
      </tp>
      <tp>
        <v>16.675072904499999</v>
        <stp/>
        <stp>EM_S_FA_GROSSPROFITMARGIN</stp>
        <stp>3</stp>
        <stp>300198</stp>
        <stp>12/31/2018</stp>
        <stp>1</stp>
        <tr r="I522" s="1"/>
      </tp>
      <tp>
        <v>46.711292143800001</v>
        <stp/>
        <stp>EM_S_FA_GROSSPROFITMARGIN</stp>
        <stp>3</stp>
        <stp>300699</stp>
        <stp>12/31/2018</stp>
        <stp>1</stp>
        <tr r="I995" s="1"/>
      </tp>
      <tp>
        <v>35.8044136189</v>
        <stp/>
        <stp>EM_S_FA_GROSSPROFITMARGIN</stp>
        <stp>3</stp>
        <stp>300499</stp>
        <stp>12/31/2018</stp>
        <stp>1</stp>
        <tr r="I3080" s="1"/>
      </tp>
      <tp>
        <v>24.0637644171</v>
        <stp/>
        <stp>EM_S_FA_GROSSPROFITMARGIN</stp>
        <stp>3</stp>
        <stp>300599</stp>
        <stp>12/31/2018</stp>
        <stp>1</stp>
        <tr r="I2093" s="1"/>
      </tp>
      <tp>
        <v>57.946239825799999</v>
        <stp/>
        <stp>EM_S_FA_GROSSPROFITMARGIN</stp>
        <stp>3</stp>
        <stp>300299</stp>
        <stp>12/31/2018</stp>
        <stp>1</stp>
        <tr r="I2152" s="1"/>
      </tp>
      <tp>
        <v>21.188407701199999</v>
        <stp/>
        <stp>EM_S_FA_GROSSPROFITMARGIN</stp>
        <stp>3</stp>
        <stp>300399</stp>
        <stp>12/31/2018</stp>
        <stp>1</stp>
        <tr r="I472" s="1"/>
      </tp>
      <tp>
        <v>50.914583206300001</v>
        <stp/>
        <stp>EM_S_FA_GROSSPROFITMARGIN</stp>
        <stp>3</stp>
        <stp>300099</stp>
        <stp>12/31/2018</stp>
        <stp>1</stp>
        <tr r="I551" s="1"/>
      </tp>
      <tp>
        <v>85.564649649900005</v>
        <stp/>
        <stp>EM_S_FA_GROSSPROFITMARGIN</stp>
        <stp>3</stp>
        <stp>300199</stp>
        <stp>12/31/2018</stp>
        <stp>1</stp>
        <tr r="I3302" s="1"/>
      </tp>
      <tp>
        <v>-270.14440745360002</v>
        <stp/>
        <stp>EM_S_FA_GROSSPROFITMARGIN</stp>
        <stp>3</stp>
        <stp>000594</stp>
        <stp>12/31/2018</stp>
        <stp>1</stp>
        <tr r="I3474" s="1"/>
      </tp>
      <tp>
        <v>16.647766262400001</v>
        <stp/>
        <stp>EM_S_FA_GROSSPROFITMARGIN</stp>
        <stp>3</stp>
        <stp>002694</stp>
        <stp>12/31/2018</stp>
        <stp>1</stp>
        <tr r="I3113" s="1"/>
      </tp>
      <tp>
        <v>25.778362668500002</v>
        <stp/>
        <stp>EM_S_FA_GROSSPROFITMARGIN</stp>
        <stp>3</stp>
        <stp>002494</stp>
        <stp>12/31/2018</stp>
        <stp>1</stp>
        <tr r="I2654" s="1"/>
      </tp>
      <tp>
        <v>16.400301451600001</v>
        <stp/>
        <stp>EM_S_FA_GROSSPROFITMARGIN</stp>
        <stp>3</stp>
        <stp>002594</stp>
        <stp>12/31/2018</stp>
        <stp>1</stp>
        <tr r="I2634" s="1"/>
      </tp>
      <tp>
        <v>79.714134158099995</v>
        <stp/>
        <stp>EM_S_FA_GROSSPROFITMARGIN</stp>
        <stp>3</stp>
        <stp>002294</stp>
        <stp>12/31/2018</stp>
        <stp>1</stp>
        <tr r="I2519" s="1"/>
      </tp>
      <tp>
        <v>20.340906213499999</v>
        <stp/>
        <stp>EM_S_FA_GROSSPROFITMARGIN</stp>
        <stp>3</stp>
        <stp>002394</stp>
        <stp>12/31/2018</stp>
        <stp>1</stp>
        <tr r="I2636" s="1"/>
      </tp>
      <tp>
        <v>23.9773227668</v>
        <stp/>
        <stp>EM_S_FA_GROSSPROFITMARGIN</stp>
        <stp>3</stp>
        <stp>002094</stp>
        <stp>12/31/2018</stp>
        <stp>1</stp>
        <tr r="I2354" s="1"/>
      </tp>
      <tp>
        <v>14.1760334283</v>
        <stp/>
        <stp>EM_S_FA_GROSSPROFITMARGIN</stp>
        <stp>3</stp>
        <stp>002194</stp>
        <stp>12/31/2018</stp>
        <stp>1</stp>
        <tr r="I48" s="1"/>
      </tp>
      <tp>
        <v>21.415449044799999</v>
        <stp/>
        <stp>EM_S_FA_GROSSPROFITMARGIN</stp>
        <stp>3</stp>
        <stp>000895</stp>
        <stp>12/31/2018</stp>
        <stp>1</stp>
        <tr r="I3567" s="1"/>
      </tp>
      <tp>
        <v>24.073094411700001</v>
        <stp/>
        <stp>EM_S_FA_GROSSPROFITMARGIN</stp>
        <stp>3</stp>
        <stp>000995</stp>
        <stp>12/31/2018</stp>
        <stp>1</stp>
        <tr r="I3601" s="1"/>
      </tp>
      <tp>
        <v>9.1865365098999998</v>
        <stp/>
        <stp>EM_S_FA_GROSSPROFITMARGIN</stp>
        <stp>3</stp>
        <stp>000695</stp>
        <stp>12/31/2018</stp>
        <stp>1</stp>
        <tr r="I2992" s="1"/>
      </tp>
      <tp>
        <v>22.337269853199999</v>
        <stp/>
        <stp>EM_S_FA_GROSSPROFITMARGIN</stp>
        <stp>3</stp>
        <stp>000795</stp>
        <stp>12/31/2018</stp>
        <stp>1</stp>
        <tr r="I292" s="1"/>
      </tp>
      <tp>
        <v>22.9967940963</v>
        <stp/>
        <stp>EM_S_FA_GROSSPROFITMARGIN</stp>
        <stp>3</stp>
        <stp>000595</stp>
        <stp>12/31/2018</stp>
        <stp>1</stp>
        <tr r="I3475" s="1"/>
      </tp>
      <tp>
        <v>21.121924282599998</v>
        <stp/>
        <stp>EM_S_FA_GROSSPROFITMARGIN</stp>
        <stp>3</stp>
        <stp>002895</stp>
        <stp>12/31/2018</stp>
        <stp>1</stp>
        <tr r="I2097" s="1"/>
      </tp>
      <tp>
        <v>34.472118849099999</v>
        <stp/>
        <stp>EM_S_FA_GROSSPROFITMARGIN</stp>
        <stp>3</stp>
        <stp>002695</stp>
        <stp>12/31/2018</stp>
        <stp>1</stp>
        <tr r="I430" s="1"/>
      </tp>
      <tp>
        <v>28.9228521022</v>
        <stp/>
        <stp>EM_S_FA_GROSSPROFITMARGIN</stp>
        <stp>3</stp>
        <stp>002795</stp>
        <stp>12/31/2018</stp>
        <stp>1</stp>
        <tr r="I2685" s="1"/>
      </tp>
      <tp>
        <v>45.282268188300002</v>
        <stp/>
        <stp>EM_S_FA_GROSSPROFITMARGIN</stp>
        <stp>3</stp>
        <stp>002495</stp>
        <stp>12/31/2018</stp>
        <stp>1</stp>
        <tr r="I2707" s="1"/>
      </tp>
      <tp>
        <v>34.237476442099997</v>
        <stp/>
        <stp>EM_S_FA_GROSSPROFITMARGIN</stp>
        <stp>3</stp>
        <stp>002595</stp>
        <stp>12/31/2018</stp>
        <stp>1</stp>
        <tr r="I1354" s="1"/>
      </tp>
      <tp>
        <v>3.8123568217999999</v>
        <stp/>
        <stp>EM_S_FA_GROSSPROFITMARGIN</stp>
        <stp>3</stp>
        <stp>002295</stp>
        <stp>12/31/2018</stp>
        <stp>1</stp>
        <tr r="I2213" s="1"/>
      </tp>
      <tp>
        <v>10.8086601579</v>
        <stp/>
        <stp>EM_S_FA_GROSSPROFITMARGIN</stp>
        <stp>3</stp>
        <stp>002395</stp>
        <stp>12/31/2018</stp>
        <stp>1</stp>
        <tr r="I101" s="1"/>
      </tp>
      <tp>
        <v>34.308919269800001</v>
        <stp/>
        <stp>EM_S_FA_GROSSPROFITMARGIN</stp>
        <stp>3</stp>
        <stp>002095</stp>
        <stp>12/31/2018</stp>
        <stp>1</stp>
        <tr r="I1584" s="1"/>
      </tp>
      <tp>
        <v>89.428096375899997</v>
        <stp/>
        <stp>EM_S_FA_GROSSPROFITMARGIN</stp>
        <stp>3</stp>
        <stp>002195</stp>
        <stp>12/31/2018</stp>
        <stp>1</stp>
        <tr r="I2857" s="1"/>
      </tp>
      <tp>
        <v>-3.2894495697999999</v>
        <stp/>
        <stp>EM_S_FA_GROSSPROFITMARGIN</stp>
        <stp>3</stp>
        <stp>001896</stp>
        <stp>12/31/2018</stp>
        <stp>1</stp>
        <tr r="I3602" s="1"/>
      </tp>
      <tp>
        <v>16.604460081900001</v>
        <stp/>
        <stp>EM_S_FA_GROSSPROFITMARGIN</stp>
        <stp>3</stp>
        <stp>001696</stp>
        <stp>12/31/2018</stp>
        <stp>1</stp>
        <tr r="I863" s="1"/>
      </tp>
      <tp>
        <v>9.3648571682000004</v>
        <stp/>
        <stp>EM_S_FA_GROSSPROFITMARGIN</stp>
        <stp>3</stp>
        <stp>000996</stp>
        <stp>12/31/2018</stp>
        <stp>1</stp>
        <tr r="I1113" s="1"/>
      </tp>
      <tp>
        <v>18.098673419600001</v>
        <stp/>
        <stp>EM_S_FA_GROSSPROFITMARGIN</stp>
        <stp>3</stp>
        <stp>000796</stp>
        <stp>12/31/2018</stp>
        <stp>1</stp>
        <tr r="I776" s="1"/>
      </tp>
      <tp>
        <v>77.756923527400005</v>
        <stp/>
        <stp>EM_S_FA_GROSSPROFITMARGIN</stp>
        <stp>3</stp>
        <stp>000596</stp>
        <stp>12/31/2018</stp>
        <stp>1</stp>
        <tr r="I77" s="1"/>
      </tp>
      <tp>
        <v>9.1704324281999998</v>
        <stp/>
        <stp>EM_S_FA_GROSSPROFITMARGIN</stp>
        <stp>3</stp>
        <stp>000096</stp>
        <stp>12/31/2018</stp>
        <stp>1</stp>
        <tr r="I1146" s="1"/>
      </tp>
      <tp>
        <v>30.058689381899999</v>
        <stp/>
        <stp>EM_S_FA_GROSSPROFITMARGIN</stp>
        <stp>3</stp>
        <stp>002896</stp>
        <stp>12/31/2018</stp>
        <stp>1</stp>
        <tr r="I3187" s="1"/>
      </tp>
      <tp>
        <v>20.848475670399999</v>
        <stp/>
        <stp>EM_S_FA_GROSSPROFITMARGIN</stp>
        <stp>3</stp>
        <stp>002696</stp>
        <stp>12/31/2018</stp>
        <stp>1</stp>
        <tr r="I3242" s="1"/>
      </tp>
      <tp>
        <v>14.9919612407</v>
        <stp/>
        <stp>EM_S_FA_GROSSPROFITMARGIN</stp>
        <stp>3</stp>
        <stp>002796</stp>
        <stp>12/31/2018</stp>
        <stp>1</stp>
        <tr r="I2130" s="1"/>
      </tp>
      <tp>
        <v>34.864701514799997</v>
        <stp/>
        <stp>EM_S_FA_GROSSPROFITMARGIN</stp>
        <stp>3</stp>
        <stp>002496</stp>
        <stp>12/31/2018</stp>
        <stp>1</stp>
        <tr r="I600" s="1"/>
      </tp>
      <tp>
        <v>22.798367404299999</v>
        <stp/>
        <stp>EM_S_FA_GROSSPROFITMARGIN</stp>
        <stp>3</stp>
        <stp>002596</stp>
        <stp>12/31/2018</stp>
        <stp>1</stp>
        <tr r="I1810" s="1"/>
      </tp>
      <tp>
        <v>47.335528423600003</v>
        <stp/>
        <stp>EM_S_FA_GROSSPROFITMARGIN</stp>
        <stp>3</stp>
        <stp>002296</stp>
        <stp>12/31/2018</stp>
        <stp>1</stp>
        <tr r="I457" s="1"/>
      </tp>
      <tp>
        <v>32.572140501600003</v>
        <stp/>
        <stp>EM_S_FA_GROSSPROFITMARGIN</stp>
        <stp>3</stp>
        <stp>002396</stp>
        <stp>12/31/2018</stp>
        <stp>1</stp>
        <tr r="I155" s="1"/>
      </tp>
      <tp>
        <v>27.944303242699998</v>
        <stp/>
        <stp>EM_S_FA_GROSSPROFITMARGIN</stp>
        <stp>3</stp>
        <stp>002096</stp>
        <stp>12/31/2018</stp>
        <stp>1</stp>
        <tr r="I3632" s="1"/>
      </tp>
      <tp>
        <v>18.623089420399999</v>
        <stp/>
        <stp>EM_S_FA_GROSSPROFITMARGIN</stp>
        <stp>3</stp>
        <stp>002196</stp>
        <stp>12/31/2018</stp>
        <stp>1</stp>
        <tr r="I1966" s="1"/>
      </tp>
      <tp>
        <v>25.272652620599999</v>
        <stp/>
        <stp>EM_S_FA_GROSSPROFITMARGIN</stp>
        <stp>3</stp>
        <stp>000897</stp>
        <stp>12/31/2018</stp>
        <stp>1</stp>
        <tr r="I3568" s="1"/>
      </tp>
      <tp>
        <v>29.194749285099999</v>
        <stp/>
        <stp>EM_S_FA_GROSSPROFITMARGIN</stp>
        <stp>3</stp>
        <stp>000997</stp>
        <stp>12/31/2018</stp>
        <stp>1</stp>
        <tr r="I1814" s="1"/>
      </tp>
      <tp>
        <v>22.184878996599998</v>
        <stp/>
        <stp>EM_S_FA_GROSSPROFITMARGIN</stp>
        <stp>3</stp>
        <stp>000697</stp>
        <stp>12/31/2018</stp>
        <stp>1</stp>
        <tr r="I2913" s="1"/>
      </tp>
      <tp>
        <v>24.286645239199999</v>
        <stp/>
        <stp>EM_S_FA_GROSSPROFITMARGIN</stp>
        <stp>3</stp>
        <stp>000797</stp>
        <stp>12/31/2018</stp>
        <stp>1</stp>
        <tr r="I3127" s="1"/>
      </tp>
      <tp>
        <v>41.376030005700002</v>
        <stp/>
        <stp>EM_S_FA_GROSSPROFITMARGIN</stp>
        <stp>3</stp>
        <stp>000597</stp>
        <stp>12/31/2018</stp>
        <stp>1</stp>
        <tr r="I3256" s="1"/>
      </tp>
      <tp>
        <v>24.738937017600001</v>
        <stp/>
        <stp>EM_S_FA_GROSSPROFITMARGIN</stp>
        <stp>3</stp>
        <stp>002897</stp>
        <stp>12/31/2018</stp>
        <stp>1</stp>
        <tr r="I887" s="1"/>
      </tp>
      <tp>
        <v>29.363616667900001</v>
        <stp/>
        <stp>EM_S_FA_GROSSPROFITMARGIN</stp>
        <stp>3</stp>
        <stp>002697</stp>
        <stp>12/31/2018</stp>
        <stp>1</stp>
        <tr r="I629" s="1"/>
      </tp>
      <tp>
        <v>0</v>
        <stp/>
        <stp>EM_S_FA_GROSSPROFITMARGIN</stp>
        <stp>3</stp>
        <stp>002797</stp>
        <stp>12/31/2018</stp>
        <stp>1</stp>
        <tr r="I505" s="1"/>
      </tp>
      <tp>
        <v>31.9823771133</v>
        <stp/>
        <stp>EM_S_FA_GROSSPROFITMARGIN</stp>
        <stp>3</stp>
        <stp>002497</stp>
        <stp>12/31/2018</stp>
        <stp>1</stp>
        <tr r="I1848" s="1"/>
      </tp>
      <tp>
        <v>33.0440530598</v>
        <stp/>
        <stp>EM_S_FA_GROSSPROFITMARGIN</stp>
        <stp>3</stp>
        <stp>002597</stp>
        <stp>12/31/2018</stp>
        <stp>1</stp>
        <tr r="I765" s="1"/>
      </tp>
      <tp>
        <v>26.874982948500001</v>
        <stp/>
        <stp>EM_S_FA_GROSSPROFITMARGIN</stp>
        <stp>3</stp>
        <stp>002297</stp>
        <stp>12/31/2018</stp>
        <stp>1</stp>
        <tr r="I1894" s="1"/>
      </tp>
      <tp>
        <v>42.754539957299997</v>
        <stp/>
        <stp>EM_S_FA_GROSSPROFITMARGIN</stp>
        <stp>3</stp>
        <stp>002397</stp>
        <stp>12/31/2018</stp>
        <stp>1</stp>
        <tr r="I1300" s="1"/>
      </tp>
      <tp>
        <v>30.821147751000002</v>
        <stp/>
        <stp>EM_S_FA_GROSSPROFITMARGIN</stp>
        <stp>3</stp>
        <stp>002097</stp>
        <stp>12/31/2018</stp>
        <stp>1</stp>
        <tr r="I1946" s="1"/>
      </tp>
      <tp>
        <v>22.508237175000001</v>
        <stp/>
        <stp>EM_S_FA_GROSSPROFITMARGIN</stp>
        <stp>3</stp>
        <stp>002197</stp>
        <stp>12/31/2018</stp>
        <stp>1</stp>
        <tr r="I1474" s="1"/>
      </tp>
      <tp>
        <v>12.7791684738</v>
        <stp/>
        <stp>EM_S_FA_GROSSPROFITMARGIN</stp>
        <stp>3</stp>
        <stp>000890</stp>
        <stp>12/31/2018</stp>
        <stp>1</stp>
        <tr r="I3564" s="1"/>
      </tp>
      <tp>
        <v>33.917715264500004</v>
        <stp/>
        <stp>EM_S_FA_GROSSPROFITMARGIN</stp>
        <stp>3</stp>
        <stp>000990</stp>
        <stp>12/31/2018</stp>
        <stp>1</stp>
        <tr r="I1153" s="1"/>
      </tp>
      <tp>
        <v>31.580872532899999</v>
        <stp/>
        <stp>EM_S_FA_GROSSPROFITMARGIN</stp>
        <stp>3</stp>
        <stp>000690</stp>
        <stp>12/31/2018</stp>
        <stp>1</stp>
        <tr r="I2957" s="1"/>
      </tp>
      <tp>
        <v>65.363937985600003</v>
        <stp/>
        <stp>EM_S_FA_GROSSPROFITMARGIN</stp>
        <stp>3</stp>
        <stp>000790</stp>
        <stp>12/31/2018</stp>
        <stp>1</stp>
        <tr r="I1849" s="1"/>
      </tp>
      <tp>
        <v>47.228962995300002</v>
        <stp/>
        <stp>EM_S_FA_GROSSPROFITMARGIN</stp>
        <stp>3</stp>
        <stp>000590</stp>
        <stp>12/31/2018</stp>
        <stp>1</stp>
        <tr r="I3472" s="1"/>
      </tp>
      <tp>
        <v>21.648869750799999</v>
        <stp/>
        <stp>EM_S_FA_GROSSPROFITMARGIN</stp>
        <stp>3</stp>
        <stp>000090</stp>
        <stp>12/31/2018</stp>
        <stp>1</stp>
        <tr r="I479" s="1"/>
      </tp>
      <tp>
        <v>16.328722319400001</v>
        <stp/>
        <stp>EM_S_FA_GROSSPROFITMARGIN</stp>
        <stp>3</stp>
        <stp>002890</stp>
        <stp>12/31/2018</stp>
        <stp>1</stp>
        <tr r="I756" s="1"/>
      </tp>
      <tp>
        <v>54.935752362400002</v>
        <stp/>
        <stp>EM_S_FA_GROSSPROFITMARGIN</stp>
        <stp>3</stp>
        <stp>002690</stp>
        <stp>12/31/2018</stp>
        <stp>1</stp>
        <tr r="I233" s="1"/>
      </tp>
      <tp>
        <v>28.811406247099999</v>
        <stp/>
        <stp>EM_S_FA_GROSSPROFITMARGIN</stp>
        <stp>3</stp>
        <stp>002790</stp>
        <stp>12/31/2018</stp>
        <stp>1</stp>
        <tr r="I3304" s="1"/>
      </tp>
      <tp>
        <v>15.5330138713</v>
        <stp/>
        <stp>EM_S_FA_GROSSPROFITMARGIN</stp>
        <stp>3</stp>
        <stp>002490</stp>
        <stp>12/31/2018</stp>
        <stp>1</stp>
        <tr r="I2775" s="1"/>
      </tp>
      <tp>
        <v>23.7422467514</v>
        <stp/>
        <stp>EM_S_FA_GROSSPROFITMARGIN</stp>
        <stp>3</stp>
        <stp>002590</stp>
        <stp>12/31/2018</stp>
        <stp>1</stp>
        <tr r="I1706" s="1"/>
      </tp>
      <tp>
        <v>14.806140367099999</v>
        <stp/>
        <stp>EM_S_FA_GROSSPROFITMARGIN</stp>
        <stp>3</stp>
        <stp>002290</stp>
        <stp>12/31/2018</stp>
        <stp>1</stp>
        <tr r="I3357" s="1"/>
      </tp>
      <tp>
        <v>21.785264889</v>
        <stp/>
        <stp>EM_S_FA_GROSSPROFITMARGIN</stp>
        <stp>3</stp>
        <stp>002390</stp>
        <stp>12/31/2018</stp>
        <stp>1</stp>
        <tr r="I1014" s="1"/>
      </tp>
      <tp>
        <v>27.899578022099998</v>
        <stp/>
        <stp>EM_S_FA_GROSSPROFITMARGIN</stp>
        <stp>3</stp>
        <stp>002090</stp>
        <stp>12/31/2018</stp>
        <stp>1</stp>
        <tr r="I3281" s="1"/>
      </tp>
      <tp>
        <v>1.4632223487</v>
        <stp/>
        <stp>EM_S_FA_GROSSPROFITMARGIN</stp>
        <stp>3</stp>
        <stp>002190</stp>
        <stp>12/31/2018</stp>
        <stp>1</stp>
        <tr r="I842" s="1"/>
      </tp>
      <tp>
        <v>0</v>
        <stp/>
        <stp>EM_S_FA_GROSSPROFITMARGIN</stp>
        <stp>3</stp>
        <stp>000991</stp>
        <stp>12/31/2018</stp>
        <stp>1</stp>
        <tr r="I3599" s="1"/>
      </tp>
      <tp>
        <v>9.2847985712999996</v>
        <stp/>
        <stp>EM_S_FA_GROSSPROFITMARGIN</stp>
        <stp>3</stp>
        <stp>000691</stp>
        <stp>12/31/2018</stp>
        <stp>1</stp>
        <tr r="I3512" s="1"/>
      </tp>
      <tp>
        <v>48.585930709099998</v>
        <stp/>
        <stp>EM_S_FA_GROSSPROFITMARGIN</stp>
        <stp>3</stp>
        <stp>000791</stp>
        <stp>12/31/2018</stp>
        <stp>1</stp>
        <tr r="I3193" s="1"/>
      </tp>
      <tp>
        <v>39.114331129599996</v>
        <stp/>
        <stp>EM_S_FA_GROSSPROFITMARGIN</stp>
        <stp>3</stp>
        <stp>000591</stp>
        <stp>12/31/2018</stp>
        <stp>1</stp>
        <tr r="I1170" s="1"/>
      </tp>
      <tp>
        <v>23.3101404069</v>
        <stp/>
        <stp>EM_S_FA_GROSSPROFITMARGIN</stp>
        <stp>3</stp>
        <stp>002891</stp>
        <stp>12/31/2018</stp>
        <stp>1</stp>
        <tr r="I3025" s="1"/>
      </tp>
      <tp>
        <v>33.331776312700001</v>
        <stp/>
        <stp>EM_S_FA_GROSSPROFITMARGIN</stp>
        <stp>3</stp>
        <stp>002691</stp>
        <stp>12/31/2018</stp>
        <stp>1</stp>
        <tr r="I3060" s="1"/>
      </tp>
      <tp>
        <v>38.005003896200002</v>
        <stp/>
        <stp>EM_S_FA_GROSSPROFITMARGIN</stp>
        <stp>3</stp>
        <stp>002791</stp>
        <stp>12/31/2018</stp>
        <stp>1</stp>
        <tr r="I43" s="1"/>
      </tp>
      <tp>
        <v>29.5082064546</v>
        <stp/>
        <stp>EM_S_FA_GROSSPROFITMARGIN</stp>
        <stp>3</stp>
        <stp>002491</stp>
        <stp>12/31/2018</stp>
        <stp>1</stp>
        <tr r="I2970" s="1"/>
      </tp>
      <tp>
        <v>49.651356723100001</v>
        <stp/>
        <stp>EM_S_FA_GROSSPROFITMARGIN</stp>
        <stp>3</stp>
        <stp>002591</stp>
        <stp>12/31/2018</stp>
        <stp>1</stp>
        <tr r="I814" s="1"/>
      </tp>
      <tp>
        <v>54.219187511000001</v>
        <stp/>
        <stp>EM_S_FA_GROSSPROFITMARGIN</stp>
        <stp>3</stp>
        <stp>002291</stp>
        <stp>12/31/2018</stp>
        <stp>1</stp>
        <tr r="I28" s="1"/>
      </tp>
      <tp>
        <v>25.332217811700001</v>
        <stp/>
        <stp>EM_S_FA_GROSSPROFITMARGIN</stp>
        <stp>3</stp>
        <stp>002391</stp>
        <stp>12/31/2018</stp>
        <stp>1</stp>
        <tr r="I3106" s="1"/>
      </tp>
      <tp>
        <v>12.5325836364</v>
        <stp/>
        <stp>EM_S_FA_GROSSPROFITMARGIN</stp>
        <stp>3</stp>
        <stp>002091</stp>
        <stp>12/31/2018</stp>
        <stp>1</stp>
        <tr r="I1200" s="1"/>
      </tp>
      <tp>
        <v>43.656329633399999</v>
        <stp/>
        <stp>EM_S_FA_GROSSPROFITMARGIN</stp>
        <stp>3</stp>
        <stp>002191</stp>
        <stp>12/31/2018</stp>
        <stp>1</stp>
        <tr r="I626" s="1"/>
      </tp>
      <tp>
        <v>58.657547769300002</v>
        <stp/>
        <stp>EM_S_FA_GROSSPROFITMARGIN</stp>
        <stp>3</stp>
        <stp>000892</stp>
        <stp>12/31/2018</stp>
        <stp>1</stp>
        <tr r="I3565" s="1"/>
      </tp>
      <tp>
        <v>3.7621341126000001</v>
        <stp/>
        <stp>EM_S_FA_GROSSPROFITMARGIN</stp>
        <stp>3</stp>
        <stp>000692</stp>
        <stp>12/31/2018</stp>
        <stp>1</stp>
        <tr r="I1493" s="1"/>
      </tp>
      <tp>
        <v>26.184862023099999</v>
        <stp/>
        <stp>EM_S_FA_GROSSPROFITMARGIN</stp>
        <stp>3</stp>
        <stp>000792</stp>
        <stp>12/31/2018</stp>
        <stp>1</stp>
        <tr r="I3539" s="1"/>
      </tp>
      <tp>
        <v>14.488166464400001</v>
        <stp/>
        <stp>EM_S_FA_GROSSPROFITMARGIN</stp>
        <stp>3</stp>
        <stp>000592</stp>
        <stp>12/31/2018</stp>
        <stp>1</stp>
        <tr r="I1951" s="1"/>
      </tp>
      <tp>
        <v>22.0382410241</v>
        <stp/>
        <stp>EM_S_FA_GROSSPROFITMARGIN</stp>
        <stp>3</stp>
        <stp>002892</stp>
        <stp>12/31/2018</stp>
        <stp>1</stp>
        <tr r="I1688" s="1"/>
      </tp>
      <tp>
        <v>17.431914736900001</v>
        <stp/>
        <stp>EM_S_FA_GROSSPROFITMARGIN</stp>
        <stp>3</stp>
        <stp>002692</stp>
        <stp>12/31/2018</stp>
        <stp>1</stp>
        <tr r="I2695" s="1"/>
      </tp>
      <tp>
        <v>27.829002334999998</v>
        <stp/>
        <stp>EM_S_FA_GROSSPROFITMARGIN</stp>
        <stp>3</stp>
        <stp>002792</stp>
        <stp>12/31/2018</stp>
        <stp>1</stp>
        <tr r="I2935" s="1"/>
      </tp>
      <tp>
        <v>45.2100835683</v>
        <stp/>
        <stp>EM_S_FA_GROSSPROFITMARGIN</stp>
        <stp>3</stp>
        <stp>002492</stp>
        <stp>12/31/2018</stp>
        <stp>1</stp>
        <tr r="I1745" s="1"/>
      </tp>
      <tp>
        <v>11.8754293783</v>
        <stp/>
        <stp>EM_S_FA_GROSSPROFITMARGIN</stp>
        <stp>3</stp>
        <stp>002592</stp>
        <stp>12/31/2018</stp>
        <stp>1</stp>
        <tr r="I3324" s="1"/>
      </tp>
      <tp>
        <v>38.530967414999999</v>
        <stp/>
        <stp>EM_S_FA_GROSSPROFITMARGIN</stp>
        <stp>3</stp>
        <stp>002292</stp>
        <stp>12/31/2018</stp>
        <stp>1</stp>
        <tr r="I282" s="1"/>
      </tp>
      <tp>
        <v>35.115357215400003</v>
        <stp/>
        <stp>EM_S_FA_GROSSPROFITMARGIN</stp>
        <stp>3</stp>
        <stp>002392</stp>
        <stp>12/31/2018</stp>
        <stp>1</stp>
        <tr r="I1412" s="1"/>
      </tp>
      <tp>
        <v>11.103157620699999</v>
        <stp/>
        <stp>EM_S_FA_GROSSPROFITMARGIN</stp>
        <stp>3</stp>
        <stp>002092</stp>
        <stp>12/31/2018</stp>
        <stp>1</stp>
        <tr r="I2499" s="1"/>
      </tp>
      <tp>
        <v>20.674531753899998</v>
        <stp/>
        <stp>EM_S_FA_GROSSPROFITMARGIN</stp>
        <stp>3</stp>
        <stp>002192</stp>
        <stp>12/31/2018</stp>
        <stp>1</stp>
        <tr r="I988" s="1"/>
      </tp>
      <tp>
        <v>35.611751937299999</v>
        <stp/>
        <stp>EM_S_FA_GROSSPROFITMARGIN</stp>
        <stp>3</stp>
        <stp>000893</stp>
        <stp>12/31/2018</stp>
        <stp>1</stp>
        <tr r="I3566" s="1"/>
      </tp>
      <tp>
        <v>41.925545819299998</v>
        <stp/>
        <stp>EM_S_FA_GROSSPROFITMARGIN</stp>
        <stp>3</stp>
        <stp>000993</stp>
        <stp>12/31/2018</stp>
        <stp>1</stp>
        <tr r="I3600" s="1"/>
      </tp>
      <tp>
        <v>0</v>
        <stp/>
        <stp>EM_S_FA_GROSSPROFITMARGIN</stp>
        <stp>3</stp>
        <stp>000693</stp>
        <stp>12/31/2018</stp>
        <stp>1</stp>
        <tr r="I3513" s="1"/>
      </tp>
      <tp>
        <v>24.744254205699999</v>
        <stp/>
        <stp>EM_S_FA_GROSSPROFITMARGIN</stp>
        <stp>3</stp>
        <stp>000793</stp>
        <stp>12/31/2018</stp>
        <stp>1</stp>
        <tr r="I3540" s="1"/>
      </tp>
      <tp>
        <v>22.5265232253</v>
        <stp/>
        <stp>EM_S_FA_GROSSPROFITMARGIN</stp>
        <stp>3</stp>
        <stp>000593</stp>
        <stp>12/31/2018</stp>
        <stp>1</stp>
        <tr r="I3473" s="1"/>
      </tp>
      <tp>
        <v>13.781516078399999</v>
        <stp/>
        <stp>EM_S_FA_GROSSPROFITMARGIN</stp>
        <stp>3</stp>
        <stp>002893</stp>
        <stp>12/31/2018</stp>
        <stp>1</stp>
        <tr r="I3136" s="1"/>
      </tp>
      <tp>
        <v>64.163570335800003</v>
        <stp/>
        <stp>EM_S_FA_GROSSPROFITMARGIN</stp>
        <stp>3</stp>
        <stp>002693</stp>
        <stp>12/31/2018</stp>
        <stp>1</stp>
        <tr r="I1309" s="1"/>
      </tp>
      <tp>
        <v>25.958054960999998</v>
        <stp/>
        <stp>EM_S_FA_GROSSPROFITMARGIN</stp>
        <stp>3</stp>
        <stp>002793</stp>
        <stp>12/31/2018</stp>
        <stp>1</stp>
        <tr r="I848" s="1"/>
      </tp>
      <tp>
        <v>5.8268730057000004</v>
        <stp/>
        <stp>EM_S_FA_GROSSPROFITMARGIN</stp>
        <stp>3</stp>
        <stp>002493</stp>
        <stp>12/31/2018</stp>
        <stp>1</stp>
        <tr r="I1189" s="1"/>
      </tp>
      <tp>
        <v>12.030777152000001</v>
        <stp/>
        <stp>EM_S_FA_GROSSPROFITMARGIN</stp>
        <stp>3</stp>
        <stp>002593</stp>
        <stp>12/31/2018</stp>
        <stp>1</stp>
        <tr r="I1008" s="1"/>
      </tp>
      <tp>
        <v>45.501199792199998</v>
        <stp/>
        <stp>EM_S_FA_GROSSPROFITMARGIN</stp>
        <stp>3</stp>
        <stp>002293</stp>
        <stp>12/31/2018</stp>
        <stp>1</stp>
        <tr r="I1996" s="1"/>
      </tp>
      <tp>
        <v>71.5935886842</v>
        <stp/>
        <stp>EM_S_FA_GROSSPROFITMARGIN</stp>
        <stp>3</stp>
        <stp>002393</stp>
        <stp>12/31/2018</stp>
        <stp>1</stp>
        <tr r="I1123" s="1"/>
      </tp>
      <tp>
        <v>37.4765875274</v>
        <stp/>
        <stp>EM_S_FA_GROSSPROFITMARGIN</stp>
        <stp>3</stp>
        <stp>002093</stp>
        <stp>12/31/2018</stp>
        <stp>1</stp>
        <tr r="I3631" s="1"/>
      </tp>
      <tp>
        <v>24.702205660800001</v>
        <stp/>
        <stp>EM_S_FA_GROSSPROFITMARGIN</stp>
        <stp>3</stp>
        <stp>002193</stp>
        <stp>12/31/2018</stp>
        <stp>1</stp>
        <tr r="I2773" s="1"/>
      </tp>
      <tp>
        <v>16.1957834476</v>
        <stp/>
        <stp>EM_S_FA_GROSSPROFITMARGIN</stp>
        <stp>3</stp>
        <stp>000898</stp>
        <stp>12/31/2018</stp>
        <stp>1</stp>
        <tr r="I3280" s="1"/>
      </tp>
      <tp>
        <v>43.589083357900002</v>
        <stp/>
        <stp>EM_S_FA_GROSSPROFITMARGIN</stp>
        <stp>3</stp>
        <stp>000998</stp>
        <stp>12/31/2018</stp>
        <stp>1</stp>
        <tr r="I2742" s="1"/>
      </tp>
      <tp>
        <v>7.6015300444999996</v>
        <stp/>
        <stp>EM_S_FA_GROSSPROFITMARGIN</stp>
        <stp>3</stp>
        <stp>000698</stp>
        <stp>12/31/2018</stp>
        <stp>1</stp>
        <tr r="I3514" s="1"/>
      </tp>
      <tp>
        <v>5.8494326765000002</v>
        <stp/>
        <stp>EM_S_FA_GROSSPROFITMARGIN</stp>
        <stp>3</stp>
        <stp>000798</stp>
        <stp>12/31/2018</stp>
        <stp>1</stp>
        <tr r="I3541" s="1"/>
      </tp>
      <tp>
        <v>10.7308402087</v>
        <stp/>
        <stp>EM_S_FA_GROSSPROFITMARGIN</stp>
        <stp>3</stp>
        <stp>000498</stp>
        <stp>12/31/2018</stp>
        <stp>1</stp>
        <tr r="I2686" s="1"/>
      </tp>
      <tp>
        <v>40.794392256000002</v>
        <stp/>
        <stp>EM_S_FA_GROSSPROFITMARGIN</stp>
        <stp>3</stp>
        <stp>000598</stp>
        <stp>12/31/2018</stp>
        <stp>1</stp>
        <tr r="I1507" s="1"/>
      </tp>
      <tp>
        <v>56.722624624399998</v>
        <stp/>
        <stp>EM_S_FA_GROSSPROFITMARGIN</stp>
        <stp>3</stp>
        <stp>002898</stp>
        <stp>12/31/2018</stp>
        <stp>1</stp>
        <tr r="I2713" s="1"/>
      </tp>
      <tp>
        <v>38.706256497200002</v>
        <stp/>
        <stp>EM_S_FA_GROSSPROFITMARGIN</stp>
        <stp>3</stp>
        <stp>002698</stp>
        <stp>12/31/2018</stp>
        <stp>1</stp>
        <tr r="I1301" s="1"/>
      </tp>
      <tp>
        <v>35.002883877400002</v>
        <stp/>
        <stp>EM_S_FA_GROSSPROFITMARGIN</stp>
        <stp>3</stp>
        <stp>002798</stp>
        <stp>12/31/2018</stp>
        <stp>1</stp>
        <tr r="I231" s="1"/>
      </tp>
      <tp>
        <v>18.342205612099999</v>
        <stp/>
        <stp>EM_S_FA_GROSSPROFITMARGIN</stp>
        <stp>3</stp>
        <stp>002498</stp>
        <stp>12/31/2018</stp>
        <stp>1</stp>
        <tr r="I544" s="1"/>
      </tp>
      <tp>
        <v>32.935378966899997</v>
        <stp/>
        <stp>EM_S_FA_GROSSPROFITMARGIN</stp>
        <stp>3</stp>
        <stp>002598</stp>
        <stp>12/31/2018</stp>
        <stp>1</stp>
        <tr r="I2728" s="1"/>
      </tp>
      <tp>
        <v>30.217403288</v>
        <stp/>
        <stp>EM_S_FA_GROSSPROFITMARGIN</stp>
        <stp>3</stp>
        <stp>002298</stp>
        <stp>12/31/2018</stp>
        <stp>1</stp>
        <tr r="I1002" s="1"/>
      </tp>
      <tp>
        <v>26.347581784399999</v>
        <stp/>
        <stp>EM_S_FA_GROSSPROFITMARGIN</stp>
        <stp>3</stp>
        <stp>002398</stp>
        <stp>12/31/2018</stp>
        <stp>1</stp>
        <tr r="I850" s="1"/>
      </tp>
      <tp>
        <v>35.607098613700003</v>
        <stp/>
        <stp>EM_S_FA_GROSSPROFITMARGIN</stp>
        <stp>3</stp>
        <stp>002098</stp>
        <stp>12/31/2018</stp>
        <stp>1</stp>
        <tr r="I3633" s="1"/>
      </tp>
      <tp>
        <v>73.182723164500004</v>
        <stp/>
        <stp>EM_S_FA_GROSSPROFITMARGIN</stp>
        <stp>3</stp>
        <stp>002198</stp>
        <stp>12/31/2018</stp>
        <stp>1</stp>
        <tr r="I2082" s="1"/>
      </tp>
      <tp>
        <v>11.7657107439</v>
        <stp/>
        <stp>EM_S_FA_GROSSPROFITMARGIN</stp>
        <stp>3</stp>
        <stp>000899</stp>
        <stp>12/31/2018</stp>
        <stp>1</stp>
        <tr r="I1690" s="1"/>
      </tp>
      <tp>
        <v>69.016673816500003</v>
        <stp/>
        <stp>EM_S_FA_GROSSPROFITMARGIN</stp>
        <stp>3</stp>
        <stp>000999</stp>
        <stp>12/31/2018</stp>
        <stp>1</stp>
        <tr r="I1163" s="1"/>
      </tp>
      <tp>
        <v>0</v>
        <stp/>
        <stp>EM_S_FA_GROSSPROFITMARGIN</stp>
        <stp>3</stp>
        <stp>000699</stp>
        <stp>12/31/2018</stp>
        <stp>1</stp>
        <tr r="I3515" s="1"/>
      </tp>
      <tp>
        <v>78.834250674800003</v>
        <stp/>
        <stp>EM_S_FA_GROSSPROFITMARGIN</stp>
        <stp>3</stp>
        <stp>000799</stp>
        <stp>12/31/2018</stp>
        <stp>1</stp>
        <tr r="I114" s="1"/>
      </tp>
      <tp>
        <v>9.7680070656000009</v>
        <stp/>
        <stp>EM_S_FA_GROSSPROFITMARGIN</stp>
        <stp>3</stp>
        <stp>000599</stp>
        <stp>12/31/2018</stp>
        <stp>1</stp>
        <tr r="I3476" s="1"/>
      </tp>
      <tp>
        <v>23.859569282100001</v>
        <stp/>
        <stp>EM_S_FA_GROSSPROFITMARGIN</stp>
        <stp>3</stp>
        <stp>000099</stp>
        <stp>12/31/2018</stp>
        <stp>1</stp>
        <tr r="I899" s="1"/>
      </tp>
      <tp>
        <v>31.923351371500001</v>
        <stp/>
        <stp>EM_S_FA_GROSSPROFITMARGIN</stp>
        <stp>3</stp>
        <stp>002899</stp>
        <stp>12/31/2018</stp>
        <stp>1</stp>
        <tr r="I2501" s="1"/>
      </tp>
      <tp>
        <v>32.567097268700003</v>
        <stp/>
        <stp>EM_S_FA_GROSSPROFITMARGIN</stp>
        <stp>3</stp>
        <stp>002699</stp>
        <stp>12/31/2018</stp>
        <stp>1</stp>
        <tr r="I1025" s="1"/>
      </tp>
      <tp>
        <v>20.720139403299999</v>
        <stp/>
        <stp>EM_S_FA_GROSSPROFITMARGIN</stp>
        <stp>3</stp>
        <stp>002799</stp>
        <stp>12/31/2018</stp>
        <stp>1</stp>
        <tr r="I657" s="1"/>
      </tp>
      <tp>
        <v>-72.848988202100003</v>
        <stp/>
        <stp>EM_S_FA_GROSSPROFITMARGIN</stp>
        <stp>3</stp>
        <stp>002499</stp>
        <stp>12/31/2018</stp>
        <stp>1</stp>
        <tr r="I3287" s="1"/>
      </tp>
      <tp>
        <v>19.819673237300002</v>
        <stp/>
        <stp>EM_S_FA_GROSSPROFITMARGIN</stp>
        <stp>3</stp>
        <stp>002599</stp>
        <stp>12/31/2018</stp>
        <stp>1</stp>
        <tr r="I3370" s="1"/>
      </tp>
      <tp>
        <v>20.526086102600001</v>
        <stp/>
        <stp>EM_S_FA_GROSSPROFITMARGIN</stp>
        <stp>3</stp>
        <stp>002299</stp>
        <stp>12/31/2018</stp>
        <stp>1</stp>
        <tr r="I644" s="1"/>
      </tp>
      <tp>
        <v>40.088488379399998</v>
        <stp/>
        <stp>EM_S_FA_GROSSPROFITMARGIN</stp>
        <stp>3</stp>
        <stp>002399</stp>
        <stp>12/31/2018</stp>
        <stp>1</stp>
        <tr r="I2973" s="1"/>
      </tp>
      <tp>
        <v>44.385353342499997</v>
        <stp/>
        <stp>EM_S_FA_GROSSPROFITMARGIN</stp>
        <stp>3</stp>
        <stp>002099</stp>
        <stp>12/31/2018</stp>
        <stp>1</stp>
        <tr r="I498" s="1"/>
      </tp>
      <tp>
        <v>9.2278400516999994</v>
        <stp/>
        <stp>EM_S_FA_GROSSPROFITMARGIN</stp>
        <stp>3</stp>
        <stp>002199</stp>
        <stp>12/31/2018</stp>
        <stp>1</stp>
        <tr r="I2124" s="1"/>
      </tp>
      <tp>
        <v>32.193856272799998</v>
        <stp/>
        <stp>EM_S_FA_GROSSPROFITMARGIN</stp>
        <stp>3</stp>
        <stp>000584</stp>
        <stp>12/31/2018</stp>
        <stp>1</stp>
        <tr r="I2403" s="1"/>
      </tp>
      <tp>
        <v>29.553260568700001</v>
        <stp/>
        <stp>EM_S_FA_GROSSPROFITMARGIN</stp>
        <stp>3</stp>
        <stp>002884</stp>
        <stp>12/31/2018</stp>
        <stp>1</stp>
        <tr r="I3180" s="1"/>
      </tp>
      <tp>
        <v>-9.7267115051000008</v>
        <stp/>
        <stp>EM_S_FA_GROSSPROFITMARGIN</stp>
        <stp>3</stp>
        <stp>002684</stp>
        <stp>12/31/2018</stp>
        <stp>1</stp>
        <tr r="I2556" s="1"/>
      </tp>
      <tp>
        <v>26.4266726269</v>
        <stp/>
        <stp>EM_S_FA_GROSSPROFITMARGIN</stp>
        <stp>3</stp>
        <stp>002484</stp>
        <stp>12/31/2018</stp>
        <stp>1</stp>
        <tr r="I965" s="1"/>
      </tp>
      <tp>
        <v>15.6723646188</v>
        <stp/>
        <stp>EM_S_FA_GROSSPROFITMARGIN</stp>
        <stp>3</stp>
        <stp>002584</stp>
        <stp>12/31/2018</stp>
        <stp>1</stp>
        <tr r="I2985" s="1"/>
      </tp>
      <tp>
        <v>12.982569977000001</v>
        <stp/>
        <stp>EM_S_FA_GROSSPROFITMARGIN</stp>
        <stp>3</stp>
        <stp>002284</stp>
        <stp>12/31/2018</stp>
        <stp>1</stp>
        <tr r="I1226" s="1"/>
      </tp>
      <tp>
        <v>15.956862646799999</v>
        <stp/>
        <stp>EM_S_FA_GROSSPROFITMARGIN</stp>
        <stp>3</stp>
        <stp>002384</stp>
        <stp>12/31/2018</stp>
        <stp>1</stp>
        <tr r="I172" s="1"/>
      </tp>
      <tp>
        <v>19.6998266286</v>
        <stp/>
        <stp>EM_S_FA_GROSSPROFITMARGIN</stp>
        <stp>3</stp>
        <stp>002084</stp>
        <stp>12/31/2018</stp>
        <stp>1</stp>
        <tr r="I346" s="1"/>
      </tp>
      <tp>
        <v>19.235272245899999</v>
        <stp/>
        <stp>EM_S_FA_GROSSPROFITMARGIN</stp>
        <stp>3</stp>
        <stp>002184</stp>
        <stp>12/31/2018</stp>
        <stp>1</stp>
        <tr r="I1608" s="1"/>
      </tp>
      <tp>
        <v>59.5904308052</v>
        <stp/>
        <stp>EM_S_FA_GROSSPROFITMARGIN</stp>
        <stp>3</stp>
        <stp>000885</stp>
        <stp>12/31/2018</stp>
        <stp>1</stp>
        <tr r="I3561" s="1"/>
      </tp>
      <tp>
        <v>5.9097968306000004</v>
        <stp/>
        <stp>EM_S_FA_GROSSPROFITMARGIN</stp>
        <stp>3</stp>
        <stp>000985</stp>
        <stp>12/31/2018</stp>
        <stp>1</stp>
        <tr r="I3596" s="1"/>
      </tp>
      <tp>
        <v>29.966033595500001</v>
        <stp/>
        <stp>EM_S_FA_GROSSPROFITMARGIN</stp>
        <stp>3</stp>
        <stp>000685</stp>
        <stp>12/31/2018</stp>
        <stp>1</stp>
        <tr r="I1353" s="1"/>
      </tp>
      <tp>
        <v>22.1019346858</v>
        <stp/>
        <stp>EM_S_FA_GROSSPROFITMARGIN</stp>
        <stp>3</stp>
        <stp>000785</stp>
        <stp>12/31/2018</stp>
        <stp>1</stp>
        <tr r="I560" s="1"/>
      </tp>
      <tp>
        <v>17.071293327799999</v>
        <stp/>
        <stp>EM_S_FA_GROSSPROFITMARGIN</stp>
        <stp>3</stp>
        <stp>000585</stp>
        <stp>12/31/2018</stp>
        <stp>1</stp>
        <tr r="I3467" s="1"/>
      </tp>
      <tp>
        <v>17.319091768900002</v>
        <stp/>
        <stp>EM_S_FA_GROSSPROFITMARGIN</stp>
        <stp>3</stp>
        <stp>002885</stp>
        <stp>12/31/2018</stp>
        <stp>1</stp>
        <tr r="I3090" s="1"/>
      </tp>
      <tp>
        <v>6.7624094119000002</v>
        <stp/>
        <stp>EM_S_FA_GROSSPROFITMARGIN</stp>
        <stp>3</stp>
        <stp>002685</stp>
        <stp>12/31/2018</stp>
        <stp>1</stp>
        <tr r="I775" s="1"/>
      </tp>
      <tp>
        <v>15.7944240064</v>
        <stp/>
        <stp>EM_S_FA_GROSSPROFITMARGIN</stp>
        <stp>3</stp>
        <stp>002785</stp>
        <stp>12/31/2018</stp>
        <stp>1</stp>
        <tr r="I500" s="1"/>
      </tp>
      <tp>
        <v>16.6055823847</v>
        <stp/>
        <stp>EM_S_FA_GROSSPROFITMARGIN</stp>
        <stp>3</stp>
        <stp>002485</stp>
        <stp>12/31/2018</stp>
        <stp>1</stp>
        <tr r="I2666" s="1"/>
      </tp>
      <tp>
        <v>17.277851453499999</v>
        <stp/>
        <stp>EM_S_FA_GROSSPROFITMARGIN</stp>
        <stp>3</stp>
        <stp>002585</stp>
        <stp>12/31/2018</stp>
        <stp>1</stp>
        <tr r="I2748" s="1"/>
      </tp>
      <tp>
        <v>21.661708201900002</v>
        <stp/>
        <stp>EM_S_FA_GROSSPROFITMARGIN</stp>
        <stp>3</stp>
        <stp>002285</stp>
        <stp>12/31/2018</stp>
        <stp>1</stp>
        <tr r="I3147" s="1"/>
      </tp>
      <tp>
        <v>18.697739568300001</v>
        <stp/>
        <stp>EM_S_FA_GROSSPROFITMARGIN</stp>
        <stp>3</stp>
        <stp>002385</stp>
        <stp>12/31/2018</stp>
        <stp>1</stp>
        <tr r="I707" s="1"/>
      </tp>
      <tp>
        <v>20.750889624300001</v>
        <stp/>
        <stp>EM_S_FA_GROSSPROFITMARGIN</stp>
        <stp>3</stp>
        <stp>002085</stp>
        <stp>12/31/2018</stp>
        <stp>1</stp>
        <tr r="I2749" s="1"/>
      </tp>
      <tp>
        <v>16.321873801500001</v>
        <stp/>
        <stp>EM_S_FA_GROSSPROFITMARGIN</stp>
        <stp>3</stp>
        <stp>002185</stp>
        <stp>12/31/2018</stp>
        <stp>1</stp>
        <tr r="I243" s="1"/>
      </tp>
      <tp>
        <v>59.191286854399998</v>
        <stp/>
        <stp>EM_S_FA_GROSSPROFITMARGIN</stp>
        <stp>3</stp>
        <stp>000886</stp>
        <stp>12/31/2018</stp>
        <stp>1</stp>
        <tr r="I3562" s="1"/>
      </tp>
      <tp>
        <v>0</v>
        <stp/>
        <stp>EM_S_FA_GROSSPROFITMARGIN</stp>
        <stp>3</stp>
        <stp>000686</stp>
        <stp>12/31/2018</stp>
        <stp>1</stp>
        <tr r="I3508" s="1"/>
      </tp>
      <tp>
        <v>35.315386871999998</v>
        <stp/>
        <stp>EM_S_FA_GROSSPROFITMARGIN</stp>
        <stp>3</stp>
        <stp>000786</stp>
        <stp>12/31/2018</stp>
        <stp>1</stp>
        <tr r="I216" s="1"/>
      </tp>
      <tp>
        <v>21.637089162399999</v>
        <stp/>
        <stp>EM_S_FA_GROSSPROFITMARGIN</stp>
        <stp>3</stp>
        <stp>000586</stp>
        <stp>12/31/2018</stp>
        <stp>1</stp>
        <tr r="I3468" s="1"/>
      </tp>
      <tp>
        <v>16.236708522200001</v>
        <stp/>
        <stp>EM_S_FA_GROSSPROFITMARGIN</stp>
        <stp>3</stp>
        <stp>002886</stp>
        <stp>12/31/2018</stp>
        <stp>1</stp>
        <tr r="I774" s="1"/>
      </tp>
      <tp>
        <v>27.365718765299999</v>
        <stp/>
        <stp>EM_S_FA_GROSSPROFITMARGIN</stp>
        <stp>3</stp>
        <stp>002686</stp>
        <stp>12/31/2018</stp>
        <stp>1</stp>
        <tr r="I2783" s="1"/>
      </tp>
      <tp>
        <v>17.104680761899999</v>
        <stp/>
        <stp>EM_S_FA_GROSSPROFITMARGIN</stp>
        <stp>3</stp>
        <stp>002786</stp>
        <stp>12/31/2018</stp>
        <stp>1</stp>
        <tr r="I785" s="1"/>
      </tp>
      <tp>
        <v>20.287491975399998</v>
        <stp/>
        <stp>EM_S_FA_GROSSPROFITMARGIN</stp>
        <stp>3</stp>
        <stp>002486</stp>
        <stp>12/31/2018</stp>
        <stp>1</stp>
        <tr r="I2922" s="1"/>
      </tp>
      <tp>
        <v>15.6220972748</v>
        <stp/>
        <stp>EM_S_FA_GROSSPROFITMARGIN</stp>
        <stp>3</stp>
        <stp>002586</stp>
        <stp>12/31/2018</stp>
        <stp>1</stp>
        <tr r="I3213" s="1"/>
      </tp>
      <tp>
        <v>13.998915887600001</v>
        <stp/>
        <stp>EM_S_FA_GROSSPROFITMARGIN</stp>
        <stp>3</stp>
        <stp>002286</stp>
        <stp>12/31/2018</stp>
        <stp>1</stp>
        <tr r="I1755" s="1"/>
      </tp>
      <tp>
        <v>8.1707542959000001</v>
        <stp/>
        <stp>EM_S_FA_GROSSPROFITMARGIN</stp>
        <stp>3</stp>
        <stp>002386</stp>
        <stp>12/31/2018</stp>
        <stp>1</stp>
        <tr r="I1776" s="1"/>
      </tp>
      <tp>
        <v>23.685326980300001</v>
        <stp/>
        <stp>EM_S_FA_GROSSPROFITMARGIN</stp>
        <stp>3</stp>
        <stp>002086</stp>
        <stp>12/31/2018</stp>
        <stp>1</stp>
        <tr r="I3629" s="1"/>
      </tp>
      <tp>
        <v>60.028562254699999</v>
        <stp/>
        <stp>EM_S_FA_GROSSPROFITMARGIN</stp>
        <stp>3</stp>
        <stp>002186</stp>
        <stp>12/31/2018</stp>
        <stp>1</stp>
        <tr r="I2772" s="1"/>
      </tp>
      <tp>
        <v>27.351311222700001</v>
        <stp/>
        <stp>EM_S_FA_GROSSPROFITMARGIN</stp>
        <stp>3</stp>
        <stp>000887</stp>
        <stp>12/31/2018</stp>
        <stp>1</stp>
        <tr r="I2794" s="1"/>
      </tp>
      <tp>
        <v>0</v>
        <stp/>
        <stp>EM_S_FA_GROSSPROFITMARGIN</stp>
        <stp>3</stp>
        <stp>000987</stp>
        <stp>12/31/2018</stp>
        <stp>1</stp>
        <tr r="I3597" s="1"/>
      </tp>
      <tp>
        <v>31.635233371999998</v>
        <stp/>
        <stp>EM_S_FA_GROSSPROFITMARGIN</stp>
        <stp>3</stp>
        <stp>000687</stp>
        <stp>12/31/2018</stp>
        <stp>1</stp>
        <tr r="I3509" s="1"/>
      </tp>
      <tp>
        <v>21.601342695</v>
        <stp/>
        <stp>EM_S_FA_GROSSPROFITMARGIN</stp>
        <stp>3</stp>
        <stp>000787</stp>
        <stp>12/31/2018</stp>
        <stp>1</stp>
        <tr r="I3538" s="1"/>
      </tp>
      <tp>
        <v>2.1704286659999998</v>
        <stp/>
        <stp>EM_S_FA_GROSSPROFITMARGIN</stp>
        <stp>3</stp>
        <stp>000587</stp>
        <stp>12/31/2018</stp>
        <stp>1</stp>
        <tr r="I3469" s="1"/>
      </tp>
      <tp>
        <v>39.132856804799999</v>
        <stp/>
        <stp>EM_S_FA_GROSSPROFITMARGIN</stp>
        <stp>3</stp>
        <stp>002887</stp>
        <stp>12/31/2018</stp>
        <stp>1</stp>
        <tr r="I2528" s="1"/>
      </tp>
      <tp>
        <v>47.179374005699998</v>
        <stp/>
        <stp>EM_S_FA_GROSSPROFITMARGIN</stp>
        <stp>3</stp>
        <stp>002687</stp>
        <stp>12/31/2018</stp>
        <stp>1</stp>
        <tr r="I2607" s="1"/>
      </tp>
      <tp>
        <v>18.9286846348</v>
        <stp/>
        <stp>EM_S_FA_GROSSPROFITMARGIN</stp>
        <stp>3</stp>
        <stp>002787</stp>
        <stp>12/31/2018</stp>
        <stp>1</stp>
        <tr r="I1847" s="1"/>
      </tp>
      <tp>
        <v>20.359424205900002</v>
        <stp/>
        <stp>EM_S_FA_GROSSPROFITMARGIN</stp>
        <stp>3</stp>
        <stp>002487</stp>
        <stp>12/31/2018</stp>
        <stp>1</stp>
        <tr r="I525" s="1"/>
      </tp>
      <tp>
        <v>33.518656330500001</v>
        <stp/>
        <stp>EM_S_FA_GROSSPROFITMARGIN</stp>
        <stp>3</stp>
        <stp>002587</stp>
        <stp>12/31/2018</stp>
        <stp>1</stp>
        <tr r="I422" s="1"/>
      </tp>
      <tp>
        <v>87.804529929699996</v>
        <stp/>
        <stp>EM_S_FA_GROSSPROFITMARGIN</stp>
        <stp>3</stp>
        <stp>002287</stp>
        <stp>12/31/2018</stp>
        <stp>1</stp>
        <tr r="I2908" s="1"/>
      </tp>
      <tp>
        <v>-2.4001543798</v>
        <stp/>
        <stp>EM_S_FA_GROSSPROFITMARGIN</stp>
        <stp>3</stp>
        <stp>002387</stp>
        <stp>12/31/2018</stp>
        <stp>1</stp>
        <tr r="I135" s="1"/>
      </tp>
      <tp>
        <v>17.457697903500002</v>
        <stp/>
        <stp>EM_S_FA_GROSSPROFITMARGIN</stp>
        <stp>3</stp>
        <stp>002087</stp>
        <stp>12/31/2018</stp>
        <stp>1</stp>
        <tr r="I2227" s="1"/>
      </tp>
      <tp>
        <v>16.639145919800001</v>
        <stp/>
        <stp>EM_S_FA_GROSSPROFITMARGIN</stp>
        <stp>3</stp>
        <stp>002187</stp>
        <stp>12/31/2018</stp>
        <stp>1</stp>
        <tr r="I1956" s="1"/>
      </tp>
      <tp>
        <v>15.397456826399999</v>
        <stp/>
        <stp>EM_S_FA_GROSSPROFITMARGIN</stp>
        <stp>3</stp>
        <stp>000880</stp>
        <stp>12/31/2018</stp>
        <stp>1</stp>
        <tr r="I1865" s="1"/>
      </tp>
      <tp>
        <v>13.5407207691</v>
        <stp/>
        <stp>EM_S_FA_GROSSPROFITMARGIN</stp>
        <stp>3</stp>
        <stp>000980</stp>
        <stp>12/31/2018</stp>
        <stp>1</stp>
        <tr r="I3593" s="1"/>
      </tp>
      <tp>
        <v>15.961306695499999</v>
        <stp/>
        <stp>EM_S_FA_GROSSPROFITMARGIN</stp>
        <stp>3</stp>
        <stp>000680</stp>
        <stp>12/31/2018</stp>
        <stp>1</stp>
        <tr r="I1767" s="1"/>
      </tp>
      <tp>
        <v>29.5727751278</v>
        <stp/>
        <stp>EM_S_FA_GROSSPROFITMARGIN</stp>
        <stp>3</stp>
        <stp>000780</stp>
        <stp>12/31/2018</stp>
        <stp>1</stp>
        <tr r="I3536" s="1"/>
      </tp>
      <tp>
        <v>39.773526722900002</v>
        <stp/>
        <stp>EM_S_FA_GROSSPROFITMARGIN</stp>
        <stp>3</stp>
        <stp>002880</stp>
        <stp>12/31/2018</stp>
        <stp>1</stp>
        <tr r="I1086" s="1"/>
      </tp>
      <tp>
        <v>0</v>
        <stp/>
        <stp>EM_S_FA_GROSSPROFITMARGIN</stp>
        <stp>3</stp>
        <stp>002680</stp>
        <stp>12/31/2018</stp>
        <stp>1</stp>
        <tr r="I3406" s="1"/>
      </tp>
      <tp>
        <v>42.860279914000003</v>
        <stp/>
        <stp>EM_S_FA_GROSSPROFITMARGIN</stp>
        <stp>3</stp>
        <stp>002780</stp>
        <stp>12/31/2018</stp>
        <stp>1</stp>
        <tr r="I661" s="1"/>
      </tp>
      <tp>
        <v>21.803801671999999</v>
        <stp/>
        <stp>EM_S_FA_GROSSPROFITMARGIN</stp>
        <stp>3</stp>
        <stp>002480</stp>
        <stp>12/31/2018</stp>
        <stp>1</stp>
        <tr r="I3063" s="1"/>
      </tp>
      <tp>
        <v>16.059744413800001</v>
        <stp/>
        <stp>EM_S_FA_GROSSPROFITMARGIN</stp>
        <stp>3</stp>
        <stp>002580</stp>
        <stp>12/31/2018</stp>
        <stp>1</stp>
        <tr r="I1977" s="1"/>
      </tp>
      <tp>
        <v>14.703649359</v>
        <stp/>
        <stp>EM_S_FA_GROSSPROFITMARGIN</stp>
        <stp>3</stp>
        <stp>002280</stp>
        <stp>12/31/2018</stp>
        <stp>1</stp>
        <tr r="I2214" s="1"/>
      </tp>
      <tp>
        <v>43.440688890300002</v>
        <stp/>
        <stp>EM_S_FA_GROSSPROFITMARGIN</stp>
        <stp>3</stp>
        <stp>002380</stp>
        <stp>12/31/2018</stp>
        <stp>1</stp>
        <tr r="I853" s="1"/>
      </tp>
      <tp>
        <v>26.9298653261</v>
        <stp/>
        <stp>EM_S_FA_GROSSPROFITMARGIN</stp>
        <stp>3</stp>
        <stp>002080</stp>
        <stp>12/31/2018</stp>
        <stp>1</stp>
        <tr r="I599" s="1"/>
      </tp>
      <tp>
        <v>35.6829545688</v>
        <stp/>
        <stp>EM_S_FA_GROSSPROFITMARGIN</stp>
        <stp>3</stp>
        <stp>002180</stp>
        <stp>12/31/2018</stp>
        <stp>1</stp>
        <tr r="I700" s="1"/>
      </tp>
      <tp>
        <v>18.483104331</v>
        <stp/>
        <stp>EM_S_FA_GROSSPROFITMARGIN</stp>
        <stp>3</stp>
        <stp>000881</stp>
        <stp>12/31/2018</stp>
        <stp>1</stp>
        <tr r="I2108" s="1"/>
      </tp>
      <tp>
        <v>28.451729657800001</v>
        <stp/>
        <stp>EM_S_FA_GROSSPROFITMARGIN</stp>
        <stp>3</stp>
        <stp>000981</stp>
        <stp>12/31/2018</stp>
        <stp>1</stp>
        <tr r="I3594" s="1"/>
      </tp>
      <tp>
        <v>64.653460162299993</v>
        <stp/>
        <stp>EM_S_FA_GROSSPROFITMARGIN</stp>
        <stp>3</stp>
        <stp>000681</stp>
        <stp>12/31/2018</stp>
        <stp>1</stp>
        <tr r="I3208" s="1"/>
      </tp>
      <tp>
        <v>23.2732578058</v>
        <stp/>
        <stp>EM_S_FA_GROSSPROFITMARGIN</stp>
        <stp>3</stp>
        <stp>000581</stp>
        <stp>12/31/2018</stp>
        <stp>1</stp>
        <tr r="I3465" s="1"/>
      </tp>
      <tp>
        <v>16.459417281699999</v>
        <stp/>
        <stp>EM_S_FA_GROSSPROFITMARGIN</stp>
        <stp>3</stp>
        <stp>002881</stp>
        <stp>12/31/2018</stp>
        <stp>1</stp>
        <tr r="I534" s="1"/>
      </tp>
      <tp>
        <v>17.950252096</v>
        <stp/>
        <stp>EM_S_FA_GROSSPROFITMARGIN</stp>
        <stp>3</stp>
        <stp>002681</stp>
        <stp>12/31/2018</stp>
        <stp>1</stp>
        <tr r="I536" s="1"/>
      </tp>
      <tp>
        <v>14.529744725400001</v>
        <stp/>
        <stp>EM_S_FA_GROSSPROFITMARGIN</stp>
        <stp>3</stp>
        <stp>002781</stp>
        <stp>12/31/2018</stp>
        <stp>1</stp>
        <tr r="I1532" s="1"/>
      </tp>
      <tp>
        <v>14.751230681199999</v>
        <stp/>
        <stp>EM_S_FA_GROSSPROFITMARGIN</stp>
        <stp>3</stp>
        <stp>002481</stp>
        <stp>12/31/2018</stp>
        <stp>1</stp>
        <tr r="I57" s="1"/>
      </tp>
      <tp>
        <v>85.170737455199998</v>
        <stp/>
        <stp>EM_S_FA_GROSSPROFITMARGIN</stp>
        <stp>3</stp>
        <stp>002581</stp>
        <stp>12/31/2018</stp>
        <stp>1</stp>
        <tr r="I2170" s="1"/>
      </tp>
      <tp>
        <v>19.824285917800001</v>
        <stp/>
        <stp>EM_S_FA_GROSSPROFITMARGIN</stp>
        <stp>3</stp>
        <stp>002281</stp>
        <stp>12/31/2018</stp>
        <stp>1</stp>
        <tr r="I1737" s="1"/>
      </tp>
      <tp>
        <v>25.590871200799999</v>
        <stp/>
        <stp>EM_S_FA_GROSSPROFITMARGIN</stp>
        <stp>3</stp>
        <stp>002381</stp>
        <stp>12/31/2018</stp>
        <stp>1</stp>
        <tr r="I1089" s="1"/>
      </tp>
      <tp>
        <v>19.509081508800001</v>
        <stp/>
        <stp>EM_S_FA_GROSSPROFITMARGIN</stp>
        <stp>3</stp>
        <stp>002081</stp>
        <stp>12/31/2018</stp>
        <stp>1</stp>
        <tr r="I1856" s="1"/>
      </tp>
      <tp>
        <v>30.5415384808</v>
        <stp/>
        <stp>EM_S_FA_GROSSPROFITMARGIN</stp>
        <stp>3</stp>
        <stp>002181</stp>
        <stp>12/31/2018</stp>
        <stp>1</stp>
        <tr r="I406" s="1"/>
      </tp>
      <tp>
        <v>45.070192581800001</v>
        <stp/>
        <stp>EM_S_FA_GROSSPROFITMARGIN</stp>
        <stp>3</stp>
        <stp>000882</stp>
        <stp>12/31/2018</stp>
        <stp>1</stp>
        <tr r="I2222" s="1"/>
      </tp>
      <tp>
        <v>1.6684835025</v>
        <stp/>
        <stp>EM_S_FA_GROSSPROFITMARGIN</stp>
        <stp>3</stp>
        <stp>000982</stp>
        <stp>12/31/2018</stp>
        <stp>1</stp>
        <tr r="I3595" s="1"/>
      </tp>
      <tp>
        <v>32.3683476287</v>
        <stp/>
        <stp>EM_S_FA_GROSSPROFITMARGIN</stp>
        <stp>3</stp>
        <stp>000682</stp>
        <stp>12/31/2018</stp>
        <stp>1</stp>
        <tr r="I515" s="1"/>
      </tp>
      <tp>
        <v>8.0559248827999994</v>
        <stp/>
        <stp>EM_S_FA_GROSSPROFITMARGIN</stp>
        <stp>3</stp>
        <stp>000782</stp>
        <stp>12/31/2018</stp>
        <stp>1</stp>
        <tr r="I3032" s="1"/>
      </tp>
      <tp>
        <v>36.9505696732</v>
        <stp/>
        <stp>EM_S_FA_GROSSPROFITMARGIN</stp>
        <stp>3</stp>
        <stp>000582</stp>
        <stp>12/31/2018</stp>
        <stp>1</stp>
        <tr r="I1167" s="1"/>
      </tp>
      <tp>
        <v>15.910073521399999</v>
        <stp/>
        <stp>EM_S_FA_GROSSPROFITMARGIN</stp>
        <stp>3</stp>
        <stp>002882</stp>
        <stp>12/31/2018</stp>
        <stp>1</stp>
        <tr r="I1759" s="1"/>
      </tp>
      <tp>
        <v>15.2776360991</v>
        <stp/>
        <stp>EM_S_FA_GROSSPROFITMARGIN</stp>
        <stp>3</stp>
        <stp>002682</stp>
        <stp>12/31/2018</stp>
        <stp>1</stp>
        <tr r="I2134" s="1"/>
      </tp>
      <tp>
        <v>23.440883507199999</v>
        <stp/>
        <stp>EM_S_FA_GROSSPROFITMARGIN</stp>
        <stp>3</stp>
        <stp>002782</stp>
        <stp>12/31/2018</stp>
        <stp>1</stp>
        <tr r="I2525" s="1"/>
      </tp>
      <tp>
        <v>14.6453535367</v>
        <stp/>
        <stp>EM_S_FA_GROSSPROFITMARGIN</stp>
        <stp>3</stp>
        <stp>002482</stp>
        <stp>12/31/2018</stp>
        <stp>1</stp>
        <tr r="I3133" s="1"/>
      </tp>
      <tp>
        <v>28.475900140899999</v>
        <stp/>
        <stp>EM_S_FA_GROSSPROFITMARGIN</stp>
        <stp>3</stp>
        <stp>002582</stp>
        <stp>12/31/2018</stp>
        <stp>1</stp>
        <tr r="I1633" s="1"/>
      </tp>
      <tp>
        <v>29.6550022881</v>
        <stp/>
        <stp>EM_S_FA_GROSSPROFITMARGIN</stp>
        <stp>3</stp>
        <stp>002282</stp>
        <stp>12/31/2018</stp>
        <stp>1</stp>
        <tr r="I2263" s="1"/>
      </tp>
      <tp>
        <v>40.567444306200002</v>
        <stp/>
        <stp>EM_S_FA_GROSSPROFITMARGIN</stp>
        <stp>3</stp>
        <stp>002382</stp>
        <stp>12/31/2018</stp>
        <stp>1</stp>
        <tr r="I3033" s="1"/>
      </tp>
      <tp>
        <v>3.6432951097999999</v>
        <stp/>
        <stp>EM_S_FA_GROSSPROFITMARGIN</stp>
        <stp>3</stp>
        <stp>002082</stp>
        <stp>12/31/2018</stp>
        <stp>1</stp>
        <tr r="I3628" s="1"/>
      </tp>
      <tp>
        <v>15.2995793287</v>
        <stp/>
        <stp>EM_S_FA_GROSSPROFITMARGIN</stp>
        <stp>3</stp>
        <stp>002182</stp>
        <stp>12/31/2018</stp>
        <stp>1</stp>
        <tr r="I558" s="1"/>
      </tp>
      <tp>
        <v>20.215650870000001</v>
        <stp/>
        <stp>EM_S_FA_GROSSPROFITMARGIN</stp>
        <stp>3</stp>
        <stp>000883</stp>
        <stp>12/31/2018</stp>
        <stp>1</stp>
        <tr r="I1562" s="1"/>
      </tp>
      <tp>
        <v>31.779589013700001</v>
        <stp/>
        <stp>EM_S_FA_GROSSPROFITMARGIN</stp>
        <stp>3</stp>
        <stp>000983</stp>
        <stp>12/31/2018</stp>
        <stp>1</stp>
        <tr r="I1655" s="1"/>
      </tp>
      <tp>
        <v>41.321219762600002</v>
        <stp/>
        <stp>EM_S_FA_GROSSPROFITMARGIN</stp>
        <stp>3</stp>
        <stp>000683</stp>
        <stp>12/31/2018</stp>
        <stp>1</stp>
        <tr r="I3507" s="1"/>
      </tp>
      <tp>
        <v>0</v>
        <stp/>
        <stp>EM_S_FA_GROSSPROFITMARGIN</stp>
        <stp>3</stp>
        <stp>000783</stp>
        <stp>12/31/2018</stp>
        <stp>1</stp>
        <tr r="I3537" s="1"/>
      </tp>
      <tp>
        <v>0</v>
        <stp/>
        <stp>EM_S_FA_GROSSPROFITMARGIN</stp>
        <stp>3</stp>
        <stp>000583</stp>
        <stp>12/31/2018</stp>
        <stp>1</stp>
        <tr r="I3466" s="1"/>
      </tp>
      <tp>
        <v>47.731051660399999</v>
        <stp/>
        <stp>EM_S_FA_GROSSPROFITMARGIN</stp>
        <stp>3</stp>
        <stp>002883</stp>
        <stp>12/31/2018</stp>
        <stp>1</stp>
        <tr r="I2216" s="1"/>
      </tp>
      <tp>
        <v>21.468331399099998</v>
        <stp/>
        <stp>EM_S_FA_GROSSPROFITMARGIN</stp>
        <stp>3</stp>
        <stp>002683</stp>
        <stp>12/31/2018</stp>
        <stp>1</stp>
        <tr r="I111" s="1"/>
      </tp>
      <tp>
        <v>33.790450365399998</v>
        <stp/>
        <stp>EM_S_FA_GROSSPROFITMARGIN</stp>
        <stp>3</stp>
        <stp>002783</stp>
        <stp>12/31/2018</stp>
        <stp>1</stp>
        <tr r="I244" s="1"/>
      </tp>
      <tp>
        <v>23.0145290665</v>
        <stp/>
        <stp>EM_S_FA_GROSSPROFITMARGIN</stp>
        <stp>3</stp>
        <stp>002483</stp>
        <stp>12/31/2018</stp>
        <stp>1</stp>
        <tr r="I1478" s="1"/>
      </tp>
      <tp>
        <v>47.3042149431</v>
        <stp/>
        <stp>EM_S_FA_GROSSPROFITMARGIN</stp>
        <stp>3</stp>
        <stp>002583</stp>
        <stp>12/31/2018</stp>
        <stp>1</stp>
        <tr r="I1954" s="1"/>
      </tp>
      <tp>
        <v>25.726853904399999</v>
        <stp/>
        <stp>EM_S_FA_GROSSPROFITMARGIN</stp>
        <stp>3</stp>
        <stp>002283</stp>
        <stp>12/31/2018</stp>
        <stp>1</stp>
        <tr r="I1746" s="1"/>
      </tp>
      <tp>
        <v>44.313511091800002</v>
        <stp/>
        <stp>EM_S_FA_GROSSPROFITMARGIN</stp>
        <stp>3</stp>
        <stp>002383</stp>
        <stp>12/31/2018</stp>
        <stp>1</stp>
        <tr r="I3075" s="1"/>
      </tp>
      <tp>
        <v>19.942179942500001</v>
        <stp/>
        <stp>EM_S_FA_GROSSPROFITMARGIN</stp>
        <stp>3</stp>
        <stp>002083</stp>
        <stp>12/31/2018</stp>
        <stp>1</stp>
        <tr r="I1111" s="1"/>
      </tp>
      <tp>
        <v>6.6233442126000002</v>
        <stp/>
        <stp>EM_S_FA_GROSSPROFITMARGIN</stp>
        <stp>3</stp>
        <stp>002183</stp>
        <stp>12/31/2018</stp>
        <stp>1</stp>
        <tr r="I2949" s="1"/>
      </tp>
      <tp>
        <v>42.577565807900001</v>
        <stp/>
        <stp>EM_S_FA_GROSSPROFITMARGIN</stp>
        <stp>3</stp>
        <stp>000888</stp>
        <stp>12/31/2018</stp>
        <stp>1</stp>
        <tr r="I3563" s="1"/>
      </tp>
      <tp>
        <v>24.5827282417</v>
        <stp/>
        <stp>EM_S_FA_GROSSPROFITMARGIN</stp>
        <stp>3</stp>
        <stp>000988</stp>
        <stp>12/31/2018</stp>
        <stp>1</stp>
        <tr r="I328" s="1"/>
      </tp>
      <tp>
        <v>54.365369492399999</v>
        <stp/>
        <stp>EM_S_FA_GROSSPROFITMARGIN</stp>
        <stp>3</stp>
        <stp>000688</stp>
        <stp>12/31/2018</stp>
        <stp>1</stp>
        <tr r="I3510" s="1"/>
      </tp>
      <tp>
        <v>35.047941395800002</v>
        <stp/>
        <stp>EM_S_FA_GROSSPROFITMARGIN</stp>
        <stp>3</stp>
        <stp>000788</stp>
        <stp>12/31/2018</stp>
        <stp>1</stp>
        <tr r="I1145" s="1"/>
      </tp>
      <tp>
        <v>31.271906072</v>
        <stp/>
        <stp>EM_S_FA_GROSSPROFITMARGIN</stp>
        <stp>3</stp>
        <stp>000488</stp>
        <stp>12/31/2018</stp>
        <stp>1</stp>
        <tr r="I3427" s="1"/>
      </tp>
      <tp>
        <v>35.745389640900001</v>
        <stp/>
        <stp>EM_S_FA_GROSSPROFITMARGIN</stp>
        <stp>3</stp>
        <stp>000588</stp>
        <stp>12/31/2018</stp>
        <stp>1</stp>
        <tr r="I3470" s="1"/>
      </tp>
      <tp>
        <v>56.412236764799999</v>
        <stp/>
        <stp>EM_S_FA_GROSSPROFITMARGIN</stp>
        <stp>3</stp>
        <stp>000088</stp>
        <stp>12/31/2018</stp>
        <stp>1</stp>
        <tr r="I1566" s="1"/>
      </tp>
      <tp>
        <v>36.049341749100002</v>
        <stp/>
        <stp>EM_S_FA_GROSSPROFITMARGIN</stp>
        <stp>3</stp>
        <stp>002888</stp>
        <stp>12/31/2018</stp>
        <stp>1</stp>
        <tr r="I1442" s="1"/>
      </tp>
      <tp>
        <v>37.837283543600002</v>
        <stp/>
        <stp>EM_S_FA_GROSSPROFITMARGIN</stp>
        <stp>3</stp>
        <stp>002688</stp>
        <stp>12/31/2018</stp>
        <stp>1</stp>
        <tr r="I809" s="1"/>
      </tp>
      <tp>
        <v>7.8246448638999997</v>
        <stp/>
        <stp>EM_S_FA_GROSSPROFITMARGIN</stp>
        <stp>3</stp>
        <stp>002788</stp>
        <stp>12/31/2018</stp>
        <stp>1</stp>
        <tr r="I3288" s="1"/>
      </tp>
      <tp>
        <v>14.7654451942</v>
        <stp/>
        <stp>EM_S_FA_GROSSPROFITMARGIN</stp>
        <stp>3</stp>
        <stp>002488</stp>
        <stp>12/31/2018</stp>
        <stp>1</stp>
        <tr r="I1900" s="1"/>
      </tp>
      <tp>
        <v>17.787704503699999</v>
        <stp/>
        <stp>EM_S_FA_GROSSPROFITMARGIN</stp>
        <stp>3</stp>
        <stp>002588</stp>
        <stp>12/31/2018</stp>
        <stp>1</stp>
        <tr r="I2389" s="1"/>
      </tp>
      <tp>
        <v>16.880006489500001</v>
        <stp/>
        <stp>EM_S_FA_GROSSPROFITMARGIN</stp>
        <stp>3</stp>
        <stp>002288</stp>
        <stp>12/31/2018</stp>
        <stp>1</stp>
        <tr r="I1928" s="1"/>
      </tp>
      <tp>
        <v>22.924311680999999</v>
        <stp/>
        <stp>EM_S_FA_GROSSPROFITMARGIN</stp>
        <stp>3</stp>
        <stp>002388</stp>
        <stp>12/31/2018</stp>
        <stp>1</stp>
        <tr r="I895" s="1"/>
      </tp>
      <tp>
        <v>42.105776155100003</v>
        <stp/>
        <stp>EM_S_FA_GROSSPROFITMARGIN</stp>
        <stp>3</stp>
        <stp>002088</stp>
        <stp>12/31/2018</stp>
        <stp>1</stp>
        <tr r="I1065" s="1"/>
      </tp>
      <tp>
        <v>-52.903016610500003</v>
        <stp/>
        <stp>EM_S_FA_GROSSPROFITMARGIN</stp>
        <stp>3</stp>
        <stp>002188</stp>
        <stp>12/31/2018</stp>
        <stp>1</stp>
        <tr r="I2426" s="1"/>
      </tp>
      <tp>
        <v>19.820519066399999</v>
        <stp/>
        <stp>EM_S_FA_GROSSPROFITMARGIN</stp>
        <stp>3</stp>
        <stp>000889</stp>
        <stp>12/31/2018</stp>
        <stp>1</stp>
        <tr r="I2649" s="1"/>
      </tp>
      <tp>
        <v>61.9861519743</v>
        <stp/>
        <stp>EM_S_FA_GROSSPROFITMARGIN</stp>
        <stp>3</stp>
        <stp>000989</stp>
        <stp>12/31/2018</stp>
        <stp>1</stp>
        <tr r="I3598" s="1"/>
      </tp>
      <tp>
        <v>0</v>
        <stp/>
        <stp>EM_S_FA_GROSSPROFITMARGIN</stp>
        <stp>3</stp>
        <stp>000689</stp>
        <stp>12/31/2018</stp>
        <stp>1</stp>
        <tr r="I3511" s="1"/>
      </tp>
      <tp>
        <v>32.552180357799998</v>
        <stp/>
        <stp>EM_S_FA_GROSSPROFITMARGIN</stp>
        <stp>3</stp>
        <stp>000789</stp>
        <stp>12/31/2018</stp>
        <stp>1</stp>
        <tr r="I2031" s="1"/>
      </tp>
      <tp>
        <v>15.172546265499999</v>
        <stp/>
        <stp>EM_S_FA_GROSSPROFITMARGIN</stp>
        <stp>3</stp>
        <stp>000589</stp>
        <stp>12/31/2018</stp>
        <stp>1</stp>
        <tr r="I3471" s="1"/>
      </tp>
      <tp>
        <v>25.884770291500001</v>
        <stp/>
        <stp>EM_S_FA_GROSSPROFITMARGIN</stp>
        <stp>3</stp>
        <stp>000089</stp>
        <stp>12/31/2018</stp>
        <stp>1</stp>
        <tr r="I1035" s="1"/>
      </tp>
      <tp>
        <v>1.625507713</v>
        <stp/>
        <stp>EM_S_FA_GROSSPROFITMARGIN</stp>
        <stp>3</stp>
        <stp>002889</stp>
        <stp>12/31/2018</stp>
        <stp>1</stp>
        <tr r="I1842" s="1"/>
      </tp>
      <tp>
        <v>26.043243549900001</v>
        <stp/>
        <stp>EM_S_FA_GROSSPROFITMARGIN</stp>
        <stp>3</stp>
        <stp>002689</stp>
        <stp>12/31/2018</stp>
        <stp>1</stp>
        <tr r="I1692" s="1"/>
      </tp>
      <tp>
        <v>15.5377474111</v>
        <stp/>
        <stp>EM_S_FA_GROSSPROFITMARGIN</stp>
        <stp>3</stp>
        <stp>002789</stp>
        <stp>12/31/2018</stp>
        <stp>1</stp>
        <tr r="I2208" s="1"/>
      </tp>
      <tp>
        <v>20.256953820700002</v>
        <stp/>
        <stp>EM_S_FA_GROSSPROFITMARGIN</stp>
        <stp>3</stp>
        <stp>002489</stp>
        <stp>12/31/2018</stp>
        <stp>1</stp>
        <tr r="I452" s="1"/>
      </tp>
      <tp>
        <v>19.145538305500001</v>
        <stp/>
        <stp>EM_S_FA_GROSSPROFITMARGIN</stp>
        <stp>3</stp>
        <stp>002589</stp>
        <stp>12/31/2018</stp>
        <stp>1</stp>
        <tr r="I1768" s="1"/>
      </tp>
      <tp>
        <v>3.0072877093999999</v>
        <stp/>
        <stp>EM_S_FA_GROSSPROFITMARGIN</stp>
        <stp>3</stp>
        <stp>002289</stp>
        <stp>12/31/2018</stp>
        <stp>1</stp>
        <tr r="I380" s="1"/>
      </tp>
      <tp>
        <v>27.670254983500001</v>
        <stp/>
        <stp>EM_S_FA_GROSSPROFITMARGIN</stp>
        <stp>3</stp>
        <stp>002389</stp>
        <stp>12/31/2018</stp>
        <stp>1</stp>
        <tr r="I2708" s="1"/>
      </tp>
      <tp>
        <v>15.213642785999999</v>
        <stp/>
        <stp>EM_S_FA_GROSSPROFITMARGIN</stp>
        <stp>3</stp>
        <stp>002089</stp>
        <stp>12/31/2018</stp>
        <stp>1</stp>
        <tr r="I3630" s="1"/>
      </tp>
      <tp>
        <v>20.887658222199999</v>
        <stp/>
        <stp>EM_S_FA_GROSSPROFITMARGIN</stp>
        <stp>3</stp>
        <stp>002189</stp>
        <stp>12/31/2018</stp>
        <stp>1</stp>
        <tr r="I409" s="1"/>
      </tp>
      <tp>
        <v>14.6345502889</v>
        <stp/>
        <stp>EM_S_FA_GROSSPROFITMARGIN</stp>
        <stp>3</stp>
        <stp>600894</stp>
        <stp>12/31/2018</stp>
        <stp>1</stp>
        <tr r="I802" s="1"/>
      </tp>
      <tp>
        <v>25.891353644900001</v>
        <stp/>
        <stp>EM_S_FA_GROSSPROFITMARGIN</stp>
        <stp>3</stp>
        <stp>600694</stp>
        <stp>12/31/2018</stp>
        <stp>1</stp>
        <tr r="I1594" s="1"/>
      </tp>
      <tp>
        <v>11.3888535282</v>
        <stp/>
        <stp>EM_S_FA_GROSSPROFITMARGIN</stp>
        <stp>3</stp>
        <stp>600794</stp>
        <stp>12/31/2018</stp>
        <stp>1</stp>
        <tr r="I627" s="1"/>
      </tp>
      <tp>
        <v>72.292552646100006</v>
        <stp/>
        <stp>EM_S_FA_GROSSPROFITMARGIN</stp>
        <stp>3</stp>
        <stp>600594</stp>
        <stp>12/31/2018</stp>
        <stp>1</stp>
        <tr r="I2856" s="1"/>
      </tp>
      <tp>
        <v>32.484917188600001</v>
        <stp/>
        <stp>EM_S_FA_GROSSPROFITMARGIN</stp>
        <stp>3</stp>
        <stp>600094</stp>
        <stp>12/31/2018</stp>
        <stp>1</stp>
        <tr r="I451" s="1"/>
      </tp>
      <tp>
        <v>15.8239084389</v>
        <stp/>
        <stp>EM_S_FA_GROSSPROFITMARGIN</stp>
        <stp>3</stp>
        <stp>601595</stp>
        <stp>12/31/2018</stp>
        <stp>1</stp>
        <tr r="I1270" s="1"/>
      </tp>
      <tp>
        <v>46.505498082099997</v>
        <stp/>
        <stp>EM_S_FA_GROSSPROFITMARGIN</stp>
        <stp>3</stp>
        <stp>600895</stp>
        <stp>12/31/2018</stp>
        <stp>1</stp>
        <tr r="I2139" s="1"/>
      </tp>
      <tp>
        <v>29.8801094887</v>
        <stp/>
        <stp>EM_S_FA_GROSSPROFITMARGIN</stp>
        <stp>3</stp>
        <stp>600995</stp>
        <stp>12/31/2018</stp>
        <stp>1</stp>
        <tr r="I1373" s="1"/>
      </tp>
      <tp>
        <v>84.116440411900001</v>
        <stp/>
        <stp>EM_S_FA_GROSSPROFITMARGIN</stp>
        <stp>3</stp>
        <stp>600695</stp>
        <stp>12/31/2018</stp>
        <stp>1</stp>
        <tr r="I307" s="1"/>
      </tp>
      <tp>
        <v>18.6080039273</v>
        <stp/>
        <stp>EM_S_FA_GROSSPROFITMARGIN</stp>
        <stp>3</stp>
        <stp>600795</stp>
        <stp>12/31/2018</stp>
        <stp>1</stp>
        <tr r="I2731" s="1"/>
      </tp>
      <tp>
        <v>17.516510900499998</v>
        <stp/>
        <stp>EM_S_FA_GROSSPROFITMARGIN</stp>
        <stp>3</stp>
        <stp>600495</stp>
        <stp>12/31/2018</stp>
        <stp>1</stp>
        <tr r="I2218" s="1"/>
      </tp>
      <tp>
        <v>1.5017251490000001</v>
        <stp/>
        <stp>EM_S_FA_GROSSPROFITMARGIN</stp>
        <stp>3</stp>
        <stp>600595</stp>
        <stp>12/31/2018</stp>
        <stp>1</stp>
        <tr r="I1620" s="1"/>
      </tp>
      <tp>
        <v>29.728346888499999</v>
        <stp/>
        <stp>EM_S_FA_GROSSPROFITMARGIN</stp>
        <stp>3</stp>
        <stp>600295</stp>
        <stp>12/31/2018</stp>
        <stp>1</stp>
        <tr r="I1322" s="1"/>
      </tp>
      <tp>
        <v>33.901686190699998</v>
        <stp/>
        <stp>EM_S_FA_GROSSPROFITMARGIN</stp>
        <stp>3</stp>
        <stp>600395</stp>
        <stp>12/31/2018</stp>
        <stp>1</stp>
        <tr r="I1227" s="1"/>
      </tp>
      <tp>
        <v>32.644784296799997</v>
        <stp/>
        <stp>EM_S_FA_GROSSPROFITMARGIN</stp>
        <stp>3</stp>
        <stp>600095</stp>
        <stp>12/31/2018</stp>
        <stp>1</stp>
        <tr r="I100" s="1"/>
      </tp>
      <tp>
        <v>29.498017593899998</v>
        <stp/>
        <stp>EM_S_FA_GROSSPROFITMARGIN</stp>
        <stp>3</stp>
        <stp>600195</stp>
        <stp>12/31/2018</stp>
        <stp>1</stp>
        <tr r="I1893" s="1"/>
      </tp>
      <tp>
        <v>27.7687913858</v>
        <stp/>
        <stp>EM_S_FA_GROSSPROFITMARGIN</stp>
        <stp>3</stp>
        <stp>603895</stp>
        <stp>12/31/2018</stp>
        <stp>1</stp>
        <tr r="I2804" s="1"/>
      </tp>
      <tp>
        <v>27.961625460600001</v>
        <stp/>
        <stp>EM_S_FA_GROSSPROFITMARGIN</stp>
        <stp>3</stp>
        <stp>603595</stp>
        <stp>12/31/2018</stp>
        <stp>1</stp>
        <tr r="I3013" s="1"/>
      </tp>
      <tp>
        <v>22.568014998700001</v>
        <stp/>
        <stp>EM_S_FA_GROSSPROFITMARGIN</stp>
        <stp>3</stp>
        <stp>601996</stp>
        <stp>12/31/2018</stp>
        <stp>1</stp>
        <tr r="I2340" s="1"/>
      </tp>
      <tp>
        <v>-101.06857167059999</v>
        <stp/>
        <stp>EM_S_FA_GROSSPROFITMARGIN</stp>
        <stp>3</stp>
        <stp>600896</stp>
        <stp>12/31/2018</stp>
        <stp>1</stp>
        <tr r="I1511" s="1"/>
      </tp>
      <tp>
        <v>32.640982288300002</v>
        <stp/>
        <stp>EM_S_FA_GROSSPROFITMARGIN</stp>
        <stp>3</stp>
        <stp>600996</stp>
        <stp>12/31/2018</stp>
        <stp>1</stp>
        <tr r="I1043" s="1"/>
      </tp>
      <tp>
        <v>5.4329482130000004</v>
        <stp/>
        <stp>EM_S_FA_GROSSPROFITMARGIN</stp>
        <stp>3</stp>
        <stp>600696</stp>
        <stp>12/31/2018</stp>
        <stp>1</stp>
        <tr r="I71" s="1"/>
      </tp>
      <tp>
        <v>15.4870713232</v>
        <stp/>
        <stp>EM_S_FA_GROSSPROFITMARGIN</stp>
        <stp>3</stp>
        <stp>600796</stp>
        <stp>12/31/2018</stp>
        <stp>1</stp>
        <tr r="I1931" s="1"/>
      </tp>
      <tp>
        <v>13.669151706299999</v>
        <stp/>
        <stp>EM_S_FA_GROSSPROFITMARGIN</stp>
        <stp>3</stp>
        <stp>600496</stp>
        <stp>12/31/2018</stp>
        <stp>1</stp>
        <tr r="I1831" s="1"/>
      </tp>
      <tp>
        <v>24.088506477300001</v>
        <stp/>
        <stp>EM_S_FA_GROSSPROFITMARGIN</stp>
        <stp>3</stp>
        <stp>600596</stp>
        <stp>12/31/2018</stp>
        <stp>1</stp>
        <tr r="I2764" s="1"/>
      </tp>
      <tp>
        <v>0</v>
        <stp/>
        <stp>EM_S_FA_GROSSPROFITMARGIN</stp>
        <stp>3</stp>
        <stp>600296</stp>
        <stp>12/31/2018</stp>
        <stp>1</stp>
        <tr r="I2300" s="1"/>
      </tp>
      <tp>
        <v>-1.0996324715000001</v>
        <stp/>
        <stp>EM_S_FA_GROSSPROFITMARGIN</stp>
        <stp>3</stp>
        <stp>600396</stp>
        <stp>12/31/2018</stp>
        <stp>1</stp>
        <tr r="I2422" s="1"/>
      </tp>
      <tp>
        <v>14.773215997699999</v>
        <stp/>
        <stp>EM_S_FA_GROSSPROFITMARGIN</stp>
        <stp>3</stp>
        <stp>600096</stp>
        <stp>12/31/2018</stp>
        <stp>1</stp>
        <tr r="I2005" s="1"/>
      </tp>
      <tp>
        <v>58.402781578999999</v>
        <stp/>
        <stp>EM_S_FA_GROSSPROFITMARGIN</stp>
        <stp>3</stp>
        <stp>600196</stp>
        <stp>12/31/2018</stp>
        <stp>1</stp>
        <tr r="I1604" s="1"/>
      </tp>
      <tp>
        <v>85.9100891434</v>
        <stp/>
        <stp>EM_S_FA_GROSSPROFITMARGIN</stp>
        <stp>3</stp>
        <stp>603896</stp>
        <stp>12/31/2018</stp>
        <stp>1</stp>
        <tr r="I1605" s="1"/>
      </tp>
      <tp>
        <v>8.4665718447000007</v>
        <stp/>
        <stp>EM_S_FA_GROSSPROFITMARGIN</stp>
        <stp>3</stp>
        <stp>603996</stp>
        <stp>12/31/2018</stp>
        <stp>1</stp>
        <tr r="I3243" s="1"/>
      </tp>
      <tp>
        <v>30.8642096729</v>
        <stp/>
        <stp>EM_S_FA_GROSSPROFITMARGIN</stp>
        <stp>3</stp>
        <stp>603696</stp>
        <stp>12/31/2018</stp>
        <stp>1</stp>
        <tr r="I2853" s="1"/>
      </tp>
      <tp>
        <v>56.197250043899999</v>
        <stp/>
        <stp>EM_S_FA_GROSSPROFITMARGIN</stp>
        <stp>3</stp>
        <stp>603496</stp>
        <stp>12/31/2018</stp>
        <stp>1</stp>
        <tr r="I2724" s="1"/>
      </tp>
      <tp>
        <v>24.590816344</v>
        <stp/>
        <stp>EM_S_FA_GROSSPROFITMARGIN</stp>
        <stp>3</stp>
        <stp>603596</stp>
        <stp>12/31/2018</stp>
        <stp>1</stp>
        <tr r="I2425" s="1"/>
      </tp>
      <tp>
        <v>37.3542913872</v>
        <stp/>
        <stp>EM_S_FA_GROSSPROFITMARGIN</stp>
        <stp>3</stp>
        <stp>603396</stp>
        <stp>12/31/2018</stp>
        <stp>1</stp>
        <tr r="I3014" s="1"/>
      </tp>
      <tp>
        <v>46.332948227599999</v>
        <stp/>
        <stp>EM_S_FA_GROSSPROFITMARGIN</stp>
        <stp>3</stp>
        <stp>603096</stp>
        <stp>12/31/2018</stp>
        <stp>1</stp>
        <tr r="I2758" s="1"/>
      </tp>
      <tp>
        <v>59.8870578712</v>
        <stp/>
        <stp>EM_S_FA_GROSSPROFITMARGIN</stp>
        <stp>3</stp>
        <stp>603196</stp>
        <stp>12/31/2018</stp>
        <stp>1</stp>
        <tr r="I3158" s="1"/>
      </tp>
      <tp>
        <v>0</v>
        <stp/>
        <stp>EM_S_FA_GROSSPROFITMARGIN</stp>
        <stp>3</stp>
        <stp>601997</stp>
        <stp>12/31/2018</stp>
        <stp>1</stp>
        <tr r="I2788" s="1"/>
      </tp>
      <tp>
        <v>42.7787081715</v>
        <stp/>
        <stp>EM_S_FA_GROSSPROFITMARGIN</stp>
        <stp>3</stp>
        <stp>600897</stp>
        <stp>12/31/2018</stp>
        <stp>1</stp>
        <tr r="I2061" s="1"/>
      </tp>
      <tp>
        <v>16.423554316200001</v>
        <stp/>
        <stp>EM_S_FA_GROSSPROFITMARGIN</stp>
        <stp>3</stp>
        <stp>600997</stp>
        <stp>12/31/2018</stp>
        <stp>1</stp>
        <tr r="I2542" s="1"/>
      </tp>
      <tp>
        <v>23.2837841897</v>
        <stp/>
        <stp>EM_S_FA_GROSSPROFITMARGIN</stp>
        <stp>3</stp>
        <stp>600697</stp>
        <stp>12/31/2018</stp>
        <stp>1</stp>
        <tr r="I2616" s="1"/>
      </tp>
      <tp>
        <v>30.529159933100001</v>
        <stp/>
        <stp>EM_S_FA_GROSSPROFITMARGIN</stp>
        <stp>3</stp>
        <stp>600797</stp>
        <stp>12/31/2018</stp>
        <stp>1</stp>
        <tr r="I719" s="1"/>
      </tp>
      <tp>
        <v>18.989573155900001</v>
        <stp/>
        <stp>EM_S_FA_GROSSPROFITMARGIN</stp>
        <stp>3</stp>
        <stp>600497</stp>
        <stp>12/31/2018</stp>
        <stp>1</stp>
        <tr r="I1854" s="1"/>
      </tp>
      <tp>
        <v>33.319754404400001</v>
        <stp/>
        <stp>EM_S_FA_GROSSPROFITMARGIN</stp>
        <stp>3</stp>
        <stp>600597</stp>
        <stp>12/31/2018</stp>
        <stp>1</stp>
        <tr r="I587" s="1"/>
      </tp>
      <tp>
        <v>10.3105878866</v>
        <stp/>
        <stp>EM_S_FA_GROSSPROFITMARGIN</stp>
        <stp>3</stp>
        <stp>600297</stp>
        <stp>12/31/2018</stp>
        <stp>1</stp>
        <tr r="I3057" s="1"/>
      </tp>
      <tp>
        <v>13.306342757199999</v>
        <stp/>
        <stp>EM_S_FA_GROSSPROFITMARGIN</stp>
        <stp>3</stp>
        <stp>600397</stp>
        <stp>12/31/2018</stp>
        <stp>1</stp>
        <tr r="I1122" s="1"/>
      </tp>
      <tp>
        <v>38.277760111500001</v>
        <stp/>
        <stp>EM_S_FA_GROSSPROFITMARGIN</stp>
        <stp>3</stp>
        <stp>600097</stp>
        <stp>12/31/2018</stp>
        <stp>1</stp>
        <tr r="I2540" s="1"/>
      </tp>
      <tp>
        <v>49.011426527899999</v>
        <stp/>
        <stp>EM_S_FA_GROSSPROFITMARGIN</stp>
        <stp>3</stp>
        <stp>600197</stp>
        <stp>12/31/2018</stp>
        <stp>1</stp>
        <tr r="I1198" s="1"/>
      </tp>
      <tp>
        <v>7.4922749935999997</v>
        <stp/>
        <stp>EM_S_FA_GROSSPROFITMARGIN</stp>
        <stp>3</stp>
        <stp>603897</stp>
        <stp>12/31/2018</stp>
        <stp>1</stp>
        <tr r="I2927" s="1"/>
      </tp>
      <tp>
        <v>33.155799791900002</v>
        <stp/>
        <stp>EM_S_FA_GROSSPROFITMARGIN</stp>
        <stp>3</stp>
        <stp>603997</stp>
        <stp>12/31/2018</stp>
        <stp>1</stp>
        <tr r="I1914" s="1"/>
      </tp>
      <tp>
        <v>57.7556499863</v>
        <stp/>
        <stp>EM_S_FA_GROSSPROFITMARGIN</stp>
        <stp>3</stp>
        <stp>603797</stp>
        <stp>12/31/2018</stp>
        <stp>1</stp>
        <tr r="I2635" s="1"/>
      </tp>
      <tp>
        <v>32.917902091899997</v>
        <stp/>
        <stp>EM_S_FA_GROSSPROFITMARGIN</stp>
        <stp>3</stp>
        <stp>603197</stp>
        <stp>12/31/2018</stp>
        <stp>1</stp>
        <tr r="I545" s="1"/>
      </tp>
      <tp>
        <v>18.273749048100001</v>
        <stp/>
        <stp>EM_S_FA_GROSSPROFITMARGIN</stp>
        <stp>3</stp>
        <stp>601890</stp>
        <stp>12/31/2018</stp>
        <stp>1</stp>
        <tr r="I410" s="1"/>
      </tp>
      <tp>
        <v>0</v>
        <stp/>
        <stp>EM_S_FA_GROSSPROFITMARGIN</stp>
        <stp>3</stp>
        <stp>601990</stp>
        <stp>12/31/2018</stp>
        <stp>1</stp>
        <tr r="I632" s="1"/>
      </tp>
      <tp>
        <v>9.8998737656000007</v>
        <stp/>
        <stp>EM_S_FA_GROSSPROFITMARGIN</stp>
        <stp>3</stp>
        <stp>601390</stp>
        <stp>12/31/2018</stp>
        <stp>1</stp>
        <tr r="I2944" s="1"/>
      </tp>
      <tp>
        <v>31.464504411</v>
        <stp/>
        <stp>EM_S_FA_GROSSPROFITMARGIN</stp>
        <stp>3</stp>
        <stp>600890</stp>
        <stp>12/31/2018</stp>
        <stp>1</stp>
        <tr r="I3134" s="1"/>
      </tp>
      <tp>
        <v>14.947972440699999</v>
        <stp/>
        <stp>EM_S_FA_GROSSPROFITMARGIN</stp>
        <stp>3</stp>
        <stp>600990</stp>
        <stp>12/31/2018</stp>
        <stp>1</stp>
        <tr r="I934" s="1"/>
      </tp>
      <tp>
        <v>29.0003344649</v>
        <stp/>
        <stp>EM_S_FA_GROSSPROFITMARGIN</stp>
        <stp>3</stp>
        <stp>600690</stp>
        <stp>12/31/2018</stp>
        <stp>1</stp>
        <tr r="I748" s="1"/>
      </tp>
      <tp>
        <v>61.187377381600001</v>
        <stp/>
        <stp>EM_S_FA_GROSSPROFITMARGIN</stp>
        <stp>3</stp>
        <stp>600790</stp>
        <stp>12/31/2018</stp>
        <stp>1</stp>
        <tr r="I2647" s="1"/>
      </tp>
      <tp>
        <v>3.5421189031</v>
        <stp/>
        <stp>EM_S_FA_GROSSPROFITMARGIN</stp>
        <stp>3</stp>
        <stp>600490</stp>
        <stp>12/31/2018</stp>
        <stp>1</stp>
        <tr r="I2114" s="1"/>
      </tp>
      <tp>
        <v>20.886177556900002</v>
        <stp/>
        <stp>EM_S_FA_GROSSPROFITMARGIN</stp>
        <stp>3</stp>
        <stp>600590</stp>
        <stp>12/31/2018</stp>
        <stp>1</stp>
        <tr r="I1835" s="1"/>
      </tp>
      <tp>
        <v>23.0853363447</v>
        <stp/>
        <stp>EM_S_FA_GROSSPROFITMARGIN</stp>
        <stp>3</stp>
        <stp>600290</stp>
        <stp>12/31/2018</stp>
        <stp>1</stp>
        <tr r="I3277" s="1"/>
      </tp>
      <tp>
        <v>39.468855881099998</v>
        <stp/>
        <stp>EM_S_FA_GROSSPROFITMARGIN</stp>
        <stp>3</stp>
        <stp>600390</stp>
        <stp>12/31/2018</stp>
        <stp>1</stp>
        <tr r="I1389" s="1"/>
      </tp>
      <tp>
        <v>13.129224342100001</v>
        <stp/>
        <stp>EM_S_FA_GROSSPROFITMARGIN</stp>
        <stp>3</stp>
        <stp>600090</stp>
        <stp>12/31/2018</stp>
        <stp>1</stp>
        <tr r="I3138" s="1"/>
      </tp>
      <tp>
        <v>12.035546141499999</v>
        <stp/>
        <stp>EM_S_FA_GROSSPROFITMARGIN</stp>
        <stp>3</stp>
        <stp>600190</stp>
        <stp>12/31/2018</stp>
        <stp>1</stp>
        <tr r="I1541" s="1"/>
      </tp>
      <tp>
        <v>18.2361215456</v>
        <stp/>
        <stp>EM_S_FA_GROSSPROFITMARGIN</stp>
        <stp>3</stp>
        <stp>603890</stp>
        <stp>12/31/2018</stp>
        <stp>1</stp>
        <tr r="I2755" s="1"/>
      </tp>
      <tp>
        <v>74.464869090899995</v>
        <stp/>
        <stp>EM_S_FA_GROSSPROFITMARGIN</stp>
        <stp>3</stp>
        <stp>603990</stp>
        <stp>12/31/2018</stp>
        <stp>1</stp>
        <tr r="I2011" s="1"/>
      </tp>
      <tp>
        <v>28.1903008761</v>
        <stp/>
        <stp>EM_S_FA_GROSSPROFITMARGIN</stp>
        <stp>3</stp>
        <stp>603690</stp>
        <stp>12/31/2018</stp>
        <stp>1</stp>
        <tr r="I133" s="1"/>
      </tp>
      <tp>
        <v>26.693885819999998</v>
        <stp/>
        <stp>EM_S_FA_GROSSPROFITMARGIN</stp>
        <stp>3</stp>
        <stp>603090</stp>
        <stp>12/31/2018</stp>
        <stp>1</stp>
        <tr r="I1077" s="1"/>
      </tp>
      <tp>
        <v>15.6694846992</v>
        <stp/>
        <stp>EM_S_FA_GROSSPROFITMARGIN</stp>
        <stp>3</stp>
        <stp>601991</stp>
        <stp>12/31/2018</stp>
        <stp>1</stp>
        <tr r="I3110" s="1"/>
      </tp>
      <tp>
        <v>5.1909285093999999</v>
        <stp/>
        <stp>EM_S_FA_GROSSPROFITMARGIN</stp>
        <stp>3</stp>
        <stp>600891</stp>
        <stp>12/31/2018</stp>
        <stp>1</stp>
        <tr r="I3403" s="1"/>
      </tp>
      <tp>
        <v>0</v>
        <stp/>
        <stp>EM_S_FA_GROSSPROFITMARGIN</stp>
        <stp>3</stp>
        <stp>600991</stp>
        <stp>12/31/2018</stp>
        <stp>1</stp>
        <tr r="I2334" s="1"/>
      </tp>
      <tp>
        <v>14.5806098069</v>
        <stp/>
        <stp>EM_S_FA_GROSSPROFITMARGIN</stp>
        <stp>3</stp>
        <stp>600691</stp>
        <stp>12/31/2018</stp>
        <stp>1</stp>
        <tr r="I2883" s="1"/>
      </tp>
      <tp>
        <v>20.826873744299998</v>
        <stp/>
        <stp>EM_S_FA_GROSSPROFITMARGIN</stp>
        <stp>3</stp>
        <stp>600791</stp>
        <stp>12/31/2018</stp>
        <stp>1</stp>
        <tr r="I1982" s="1"/>
      </tp>
      <tp>
        <v>9.4549523222000005</v>
        <stp/>
        <stp>EM_S_FA_GROSSPROFITMARGIN</stp>
        <stp>3</stp>
        <stp>600491</stp>
        <stp>12/31/2018</stp>
        <stp>1</stp>
        <tr r="I1872" s="1"/>
      </tp>
      <tp>
        <v>0</v>
        <stp/>
        <stp>EM_S_FA_GROSSPROFITMARGIN</stp>
        <stp>3</stp>
        <stp>600591</stp>
        <stp>12/31/2018</stp>
        <stp>1</stp>
        <tr r="I2305" s="1"/>
      </tp>
      <tp>
        <v>0</v>
        <stp/>
        <stp>EM_S_FA_GROSSPROFITMARGIN</stp>
        <stp>3</stp>
        <stp>600291</stp>
        <stp>12/31/2018</stp>
        <stp>1</stp>
        <tr r="I2800" s="1"/>
      </tp>
      <tp>
        <v>12.378938890100001</v>
        <stp/>
        <stp>EM_S_FA_GROSSPROFITMARGIN</stp>
        <stp>3</stp>
        <stp>600391</stp>
        <stp>12/31/2018</stp>
        <stp>1</stp>
        <tr r="I1045" s="1"/>
      </tp>
      <tp>
        <v>6.7828605522999998</v>
        <stp/>
        <stp>EM_S_FA_GROSSPROFITMARGIN</stp>
        <stp>3</stp>
        <stp>600091</stp>
        <stp>12/31/2018</stp>
        <stp>1</stp>
        <tr r="I2402" s="1"/>
      </tp>
      <tp>
        <v>6.2903672311000003</v>
        <stp/>
        <stp>EM_S_FA_GROSSPROFITMARGIN</stp>
        <stp>3</stp>
        <stp>600191</stp>
        <stp>12/31/2018</stp>
        <stp>1</stp>
        <tr r="I885" s="1"/>
      </tp>
      <tp>
        <v>23.071619988199998</v>
        <stp/>
        <stp>EM_S_FA_GROSSPROFITMARGIN</stp>
        <stp>3</stp>
        <stp>603991</stp>
        <stp>12/31/2018</stp>
        <stp>1</stp>
        <tr r="I2590" s="1"/>
      </tp>
      <tp>
        <v>26.9452505438</v>
        <stp/>
        <stp>EM_S_FA_GROSSPROFITMARGIN</stp>
        <stp>3</stp>
        <stp>601992</stp>
        <stp>12/31/2018</stp>
        <stp>1</stp>
        <tr r="I2099" s="1"/>
      </tp>
      <tp>
        <v>82.503945687200002</v>
        <stp/>
        <stp>EM_S_FA_GROSSPROFITMARGIN</stp>
        <stp>3</stp>
        <stp>600892</stp>
        <stp>12/31/2018</stp>
        <stp>1</stp>
        <tr r="I3227" s="1"/>
      </tp>
      <tp>
        <v>14.1448829521</v>
        <stp/>
        <stp>EM_S_FA_GROSSPROFITMARGIN</stp>
        <stp>3</stp>
        <stp>600992</stp>
        <stp>12/31/2018</stp>
        <stp>1</stp>
        <tr r="I2383" s="1"/>
      </tp>
      <tp>
        <v>20.661984020999999</v>
        <stp/>
        <stp>EM_S_FA_GROSSPROFITMARGIN</stp>
        <stp>3</stp>
        <stp>600692</stp>
        <stp>12/31/2018</stp>
        <stp>1</stp>
        <tr r="I2781" s="1"/>
      </tp>
      <tp>
        <v>11.035825044799999</v>
        <stp/>
        <stp>EM_S_FA_GROSSPROFITMARGIN</stp>
        <stp>3</stp>
        <stp>600792</stp>
        <stp>12/31/2018</stp>
        <stp>1</stp>
        <tr r="I952" s="1"/>
      </tp>
      <tp>
        <v>27.876603422799999</v>
        <stp/>
        <stp>EM_S_FA_GROSSPROFITMARGIN</stp>
        <stp>3</stp>
        <stp>600592</stp>
        <stp>12/31/2018</stp>
        <stp>1</stp>
        <tr r="I53" s="1"/>
      </tp>
      <tp>
        <v>17.249395638700001</v>
        <stp/>
        <stp>EM_S_FA_GROSSPROFITMARGIN</stp>
        <stp>3</stp>
        <stp>600292</stp>
        <stp>12/31/2018</stp>
        <stp>1</stp>
        <tr r="I1533" s="1"/>
      </tp>
      <tp>
        <v>14.7208303488</v>
        <stp/>
        <stp>EM_S_FA_GROSSPROFITMARGIN</stp>
        <stp>3</stp>
        <stp>600392</stp>
        <stp>12/31/2018</stp>
        <stp>1</stp>
        <tr r="I1949" s="1"/>
      </tp>
      <tp>
        <v>95.009823196200003</v>
        <stp/>
        <stp>EM_S_FA_GROSSPROFITMARGIN</stp>
        <stp>3</stp>
        <stp>600092</stp>
        <stp>12/31/2018</stp>
        <stp>1</stp>
        <tr r="I2291" s="1"/>
      </tp>
      <tp>
        <v>22.778770574900001</v>
        <stp/>
        <stp>EM_S_FA_GROSSPROFITMARGIN</stp>
        <stp>3</stp>
        <stp>600192</stp>
        <stp>12/31/2018</stp>
        <stp>1</stp>
        <tr r="I1193" s="1"/>
      </tp>
      <tp>
        <v>17.6316994839</v>
        <stp/>
        <stp>EM_S_FA_GROSSPROFITMARGIN</stp>
        <stp>3</stp>
        <stp>600893</stp>
        <stp>12/31/2018</stp>
        <stp>1</stp>
        <tr r="I2384" s="1"/>
      </tp>
      <tp>
        <v>45.098156272700002</v>
        <stp/>
        <stp>EM_S_FA_GROSSPROFITMARGIN</stp>
        <stp>3</stp>
        <stp>600993</stp>
        <stp>12/31/2018</stp>
        <stp>1</stp>
        <tr r="I973" s="1"/>
      </tp>
      <tp>
        <v>22.1127390077</v>
        <stp/>
        <stp>EM_S_FA_GROSSPROFITMARGIN</stp>
        <stp>3</stp>
        <stp>600693</stp>
        <stp>12/31/2018</stp>
        <stp>1</stp>
        <tr r="I2373" s="1"/>
      </tp>
      <tp>
        <v>16.218821306900001</v>
        <stp/>
        <stp>EM_S_FA_GROSSPROFITMARGIN</stp>
        <stp>3</stp>
        <stp>600793</stp>
        <stp>12/31/2018</stp>
        <stp>1</stp>
        <tr r="I1843" s="1"/>
      </tp>
      <tp>
        <v>16.918975627799998</v>
        <stp/>
        <stp>EM_S_FA_GROSSPROFITMARGIN</stp>
        <stp>3</stp>
        <stp>600493</stp>
        <stp>12/31/2018</stp>
        <stp>1</stp>
        <tr r="I2813" s="1"/>
      </tp>
      <tp>
        <v>66.014451833300001</v>
        <stp/>
        <stp>EM_S_FA_GROSSPROFITMARGIN</stp>
        <stp>3</stp>
        <stp>600593</stp>
        <stp>12/31/2018</stp>
        <stp>1</stp>
        <tr r="I387" s="1"/>
      </tp>
      <tp>
        <v>9.0864922847000003</v>
        <stp/>
        <stp>EM_S_FA_GROSSPROFITMARGIN</stp>
        <stp>3</stp>
        <stp>600293</stp>
        <stp>12/31/2018</stp>
        <stp>1</stp>
        <tr r="I3052" s="1"/>
      </tp>
      <tp>
        <v>31.1282826984</v>
        <stp/>
        <stp>EM_S_FA_GROSSPROFITMARGIN</stp>
        <stp>3</stp>
        <stp>600393</stp>
        <stp>12/31/2018</stp>
        <stp>1</stp>
        <tr r="I815" s="1"/>
      </tp>
      <tp>
        <v>3.0357126736</v>
        <stp/>
        <stp>EM_S_FA_GROSSPROFITMARGIN</stp>
        <stp>3</stp>
        <stp>600093</stp>
        <stp>12/31/2018</stp>
        <stp>1</stp>
        <tr r="I227" s="1"/>
      </tp>
      <tp>
        <v>13.519682660499999</v>
        <stp/>
        <stp>EM_S_FA_GROSSPROFITMARGIN</stp>
        <stp>3</stp>
        <stp>600193</stp>
        <stp>12/31/2018</stp>
        <stp>1</stp>
        <tr r="I1171" s="1"/>
      </tp>
      <tp>
        <v>37.679264180300002</v>
        <stp/>
        <stp>EM_S_FA_GROSSPROFITMARGIN</stp>
        <stp>3</stp>
        <stp>603993</stp>
        <stp>12/31/2018</stp>
        <stp>1</stp>
        <tr r="I1415" s="1"/>
      </tp>
      <tp>
        <v>41.244985671099997</v>
        <stp/>
        <stp>EM_S_FA_GROSSPROFITMARGIN</stp>
        <stp>3</stp>
        <stp>603693</stp>
        <stp>12/31/2018</stp>
        <stp>1</stp>
        <tr r="I3179" s="1"/>
      </tp>
      <tp>
        <v>43.046717772900003</v>
        <stp/>
        <stp>EM_S_FA_GROSSPROFITMARGIN</stp>
        <stp>3</stp>
        <stp>603393</stp>
        <stp>12/31/2018</stp>
        <stp>1</stp>
        <tr r="I2735" s="1"/>
      </tp>
      <tp>
        <v>28.640282405800001</v>
        <stp/>
        <stp>EM_S_FA_GROSSPROFITMARGIN</stp>
        <stp>3</stp>
        <stp>601898</stp>
        <stp>12/31/2018</stp>
        <stp>1</stp>
        <tr r="I1860" s="1"/>
      </tp>
      <tp>
        <v>0</v>
        <stp/>
        <stp>EM_S_FA_GROSSPROFITMARGIN</stp>
        <stp>3</stp>
        <stp>601998</stp>
        <stp>12/31/2018</stp>
        <stp>1</stp>
        <tr r="I1567" s="1"/>
      </tp>
      <tp>
        <v>12.5403991804</v>
        <stp/>
        <stp>EM_S_FA_GROSSPROFITMARGIN</stp>
        <stp>3</stp>
        <stp>601798</stp>
        <stp>12/31/2018</stp>
        <stp>1</stp>
        <tr r="I1042" s="1"/>
      </tp>
      <tp>
        <v>0</v>
        <stp/>
        <stp>EM_S_FA_GROSSPROFITMARGIN</stp>
        <stp>3</stp>
        <stp>601398</stp>
        <stp>12/31/2018</stp>
        <stp>1</stp>
        <tr r="I1662" s="1"/>
      </tp>
      <tp>
        <v>38.721924678299999</v>
        <stp/>
        <stp>EM_S_FA_GROSSPROFITMARGIN</stp>
        <stp>3</stp>
        <stp>601098</stp>
        <stp>12/31/2018</stp>
        <stp>1</stp>
        <tr r="I2563" s="1"/>
      </tp>
      <tp>
        <v>0</v>
        <stp/>
        <stp>EM_S_FA_GROSSPROFITMARGIN</stp>
        <stp>3</stp>
        <stp>601198</stp>
        <stp>12/31/2018</stp>
        <stp>1</stp>
        <tr r="I769" s="1"/>
      </tp>
      <tp>
        <v>2.9605498613000001</v>
        <stp/>
        <stp>EM_S_FA_GROSSPROFITMARGIN</stp>
        <stp>3</stp>
        <stp>600898</stp>
        <stp>12/31/2018</stp>
        <stp>1</stp>
        <tr r="I2388" s="1"/>
      </tp>
      <tp>
        <v>8.6325516059999998</v>
        <stp/>
        <stp>EM_S_FA_GROSSPROFITMARGIN</stp>
        <stp>3</stp>
        <stp>600998</stp>
        <stp>12/31/2018</stp>
        <stp>1</stp>
        <tr r="I2675" s="1"/>
      </tp>
      <tp>
        <v>12.685430804699999</v>
        <stp/>
        <stp>EM_S_FA_GROSSPROFITMARGIN</stp>
        <stp>3</stp>
        <stp>600698</stp>
        <stp>12/31/2018</stp>
        <stp>1</stp>
        <tr r="I3214" s="1"/>
      </tp>
      <tp>
        <v>26.001800062200001</v>
        <stp/>
        <stp>EM_S_FA_GROSSPROFITMARGIN</stp>
        <stp>3</stp>
        <stp>600798</stp>
        <stp>12/31/2018</stp>
        <stp>1</stp>
        <tr r="I1796" s="1"/>
      </tp>
      <tp>
        <v>23.258178961199999</v>
        <stp/>
        <stp>EM_S_FA_GROSSPROFITMARGIN</stp>
        <stp>3</stp>
        <stp>600498</stp>
        <stp>12/31/2018</stp>
        <stp>1</stp>
        <tr r="I2489" s="1"/>
      </tp>
      <tp>
        <v>84.666330411900006</v>
        <stp/>
        <stp>EM_S_FA_GROSSPROFITMARGIN</stp>
        <stp>3</stp>
        <stp>600598</stp>
        <stp>12/31/2018</stp>
        <stp>1</stp>
        <tr r="I1569" s="1"/>
      </tp>
      <tp>
        <v>36.3168877417</v>
        <stp/>
        <stp>EM_S_FA_GROSSPROFITMARGIN</stp>
        <stp>3</stp>
        <stp>600298</stp>
        <stp>12/31/2018</stp>
        <stp>1</stp>
        <tr r="I1273" s="1"/>
      </tp>
      <tp>
        <v>40.840047759199997</v>
        <stp/>
        <stp>EM_S_FA_GROSSPROFITMARGIN</stp>
        <stp>3</stp>
        <stp>600398</stp>
        <stp>12/31/2018</stp>
        <stp>1</stp>
        <tr r="I2779" s="1"/>
      </tp>
      <tp>
        <v>10.0381226943</v>
        <stp/>
        <stp>EM_S_FA_GROSSPROFITMARGIN</stp>
        <stp>3</stp>
        <stp>600098</stp>
        <stp>12/31/2018</stp>
        <stp>1</stp>
        <tr r="I1455" s="1"/>
      </tp>
      <tp>
        <v>25.322490183599999</v>
        <stp/>
        <stp>EM_S_FA_GROSSPROFITMARGIN</stp>
        <stp>3</stp>
        <stp>600198</stp>
        <stp>12/31/2018</stp>
        <stp>1</stp>
        <tr r="I416" s="1"/>
      </tp>
      <tp>
        <v>39.561523312299997</v>
        <stp/>
        <stp>EM_S_FA_GROSSPROFITMARGIN</stp>
        <stp>3</stp>
        <stp>603898</stp>
        <stp>12/31/2018</stp>
        <stp>1</stp>
        <tr r="I2001" s="1"/>
      </tp>
      <tp>
        <v>74.034319037700001</v>
        <stp/>
        <stp>EM_S_FA_GROSSPROFITMARGIN</stp>
        <stp>3</stp>
        <stp>603998</stp>
        <stp>12/31/2018</stp>
        <stp>1</stp>
        <tr r="I287" s="1"/>
      </tp>
      <tp>
        <v>28.459540032100001</v>
        <stp/>
        <stp>EM_S_FA_GROSSPROFITMARGIN</stp>
        <stp>3</stp>
        <stp>603698</stp>
        <stp>12/31/2018</stp>
        <stp>1</stp>
        <tr r="I2873" s="1"/>
      </tp>
      <tp>
        <v>30.196589571600001</v>
        <stp/>
        <stp>EM_S_FA_GROSSPROFITMARGIN</stp>
        <stp>3</stp>
        <stp>603798</stp>
        <stp>12/31/2018</stp>
        <stp>1</stp>
        <tr r="I878" s="1"/>
      </tp>
      <tp>
        <v>8.4183952148000003</v>
        <stp/>
        <stp>EM_S_FA_GROSSPROFITMARGIN</stp>
        <stp>3</stp>
        <stp>603598</stp>
        <stp>12/31/2018</stp>
        <stp>1</stp>
        <tr r="I273" s="1"/>
      </tp>
      <tp>
        <v>20.5823459886</v>
        <stp/>
        <stp>EM_S_FA_GROSSPROFITMARGIN</stp>
        <stp>3</stp>
        <stp>603298</stp>
        <stp>12/31/2018</stp>
        <stp>1</stp>
        <tr r="I1939" s="1"/>
      </tp>
      <tp>
        <v>32.662274478</v>
        <stp/>
        <stp>EM_S_FA_GROSSPROFITMARGIN</stp>
        <stp>3</stp>
        <stp>603398</stp>
        <stp>12/31/2018</stp>
        <stp>1</stp>
        <tr r="I2667" s="1"/>
      </tp>
      <tp>
        <v>19.801770321199999</v>
        <stp/>
        <stp>EM_S_FA_GROSSPROFITMARGIN</stp>
        <stp>3</stp>
        <stp>603098</stp>
        <stp>12/31/2018</stp>
        <stp>1</stp>
        <tr r="I3054" s="1"/>
      </tp>
      <tp>
        <v>60.924899346700002</v>
        <stp/>
        <stp>EM_S_FA_GROSSPROFITMARGIN</stp>
        <stp>3</stp>
        <stp>603198</stp>
        <stp>12/31/2018</stp>
        <stp>1</stp>
        <tr r="I704" s="1"/>
      </tp>
      <tp>
        <v>12.588298078499999</v>
        <stp/>
        <stp>EM_S_FA_GROSSPROFITMARGIN</stp>
        <stp>3</stp>
        <stp>601899</stp>
        <stp>12/31/2018</stp>
        <stp>1</stp>
        <tr r="I838" s="1"/>
      </tp>
      <tp>
        <v>21.436330084600002</v>
        <stp/>
        <stp>EM_S_FA_GROSSPROFITMARGIN</stp>
        <stp>3</stp>
        <stp>601999</stp>
        <stp>12/31/2018</stp>
        <stp>1</stp>
        <tr r="I1305" s="1"/>
      </tp>
      <tp>
        <v>40.148649515400002</v>
        <stp/>
        <stp>EM_S_FA_GROSSPROFITMARGIN</stp>
        <stp>3</stp>
        <stp>601699</stp>
        <stp>12/31/2018</stp>
        <stp>1</stp>
        <tr r="I1809" s="1"/>
      </tp>
      <tp>
        <v>22.556379701499999</v>
        <stp/>
        <stp>EM_S_FA_GROSSPROFITMARGIN</stp>
        <stp>3</stp>
        <stp>601799</stp>
        <stp>12/31/2018</stp>
        <stp>1</stp>
        <tr r="I166" s="1"/>
      </tp>
      <tp>
        <v>15.381923718099999</v>
        <stp/>
        <stp>EM_S_FA_GROSSPROFITMARGIN</stp>
        <stp>3</stp>
        <stp>601599</stp>
        <stp>12/31/2018</stp>
        <stp>1</stp>
        <tr r="I1857" s="1"/>
      </tp>
      <tp>
        <v>0</v>
        <stp/>
        <stp>EM_S_FA_GROSSPROFITMARGIN</stp>
        <stp>3</stp>
        <stp>601299</stp>
        <stp>12/31/2018</stp>
        <stp>1</stp>
        <tr r="I2336" s="1"/>
      </tp>
      <tp>
        <v>0</v>
        <stp/>
        <stp>EM_S_FA_GROSSPROFITMARGIN</stp>
        <stp>3</stp>
        <stp>601099</stp>
        <stp>12/31/2018</stp>
        <stp>1</stp>
        <tr r="I526" s="1"/>
      </tp>
      <tp>
        <v>49.3742554998</v>
        <stp/>
        <stp>EM_S_FA_GROSSPROFITMARGIN</stp>
        <stp>3</stp>
        <stp>601199</stp>
        <stp>12/31/2018</stp>
        <stp>1</stp>
        <tr r="I1924" s="1"/>
      </tp>
      <tp>
        <v>0</v>
        <stp/>
        <stp>EM_S_FA_GROSSPROFITMARGIN</stp>
        <stp>3</stp>
        <stp>600899</stp>
        <stp>12/31/2018</stp>
        <stp>1</stp>
        <tr r="I2333" s="1"/>
      </tp>
      <tp>
        <v>0</v>
        <stp/>
        <stp>EM_S_FA_GROSSPROFITMARGIN</stp>
        <stp>3</stp>
        <stp>600999</stp>
        <stp>12/31/2018</stp>
        <stp>1</stp>
        <tr r="I764" s="1"/>
      </tp>
      <tp>
        <v>16.998869079599999</v>
        <stp/>
        <stp>EM_S_FA_GROSSPROFITMARGIN</stp>
        <stp>3</stp>
        <stp>600699</stp>
        <stp>12/31/2018</stp>
        <stp>1</stp>
        <tr r="I3125" s="1"/>
      </tp>
      <tp>
        <v>0</v>
        <stp/>
        <stp>EM_S_FA_GROSSPROFITMARGIN</stp>
        <stp>3</stp>
        <stp>600799</stp>
        <stp>12/31/2018</stp>
        <stp>1</stp>
        <tr r="I2325" s="1"/>
      </tp>
      <tp>
        <v>20.570523399599999</v>
        <stp/>
        <stp>EM_S_FA_GROSSPROFITMARGIN</stp>
        <stp>3</stp>
        <stp>600499</stp>
        <stp>12/31/2018</stp>
        <stp>1</stp>
        <tr r="I1885" s="1"/>
      </tp>
      <tp>
        <v>69.447020269500001</v>
        <stp/>
        <stp>EM_S_FA_GROSSPROFITMARGIN</stp>
        <stp>3</stp>
        <stp>600599</stp>
        <stp>12/31/2018</stp>
        <stp>1</stp>
        <tr r="I2128" s="1"/>
      </tp>
      <tp>
        <v>34.8943923649</v>
        <stp/>
        <stp>EM_S_FA_GROSSPROFITMARGIN</stp>
        <stp>3</stp>
        <stp>600299</stp>
        <stp>12/31/2018</stp>
        <stp>1</stp>
        <tr r="I2551" s="1"/>
      </tp>
      <tp>
        <v>14.526988552600001</v>
        <stp/>
        <stp>EM_S_FA_GROSSPROFITMARGIN</stp>
        <stp>3</stp>
        <stp>600399</stp>
        <stp>12/31/2018</stp>
        <stp>1</stp>
        <tr r="I902" s="1"/>
      </tp>
      <tp>
        <v>11.8312179135</v>
        <stp/>
        <stp>EM_S_FA_GROSSPROFITMARGIN</stp>
        <stp>3</stp>
        <stp>600099</stp>
        <stp>12/31/2018</stp>
        <stp>1</stp>
        <tr r="I1401" s="1"/>
      </tp>
      <tp>
        <v>51.245852059199997</v>
        <stp/>
        <stp>EM_S_FA_GROSSPROFITMARGIN</stp>
        <stp>3</stp>
        <stp>600199</stp>
        <stp>12/31/2018</stp>
        <stp>1</stp>
        <tr r="I781" s="1"/>
      </tp>
      <tp>
        <v>25.829464588</v>
        <stp/>
        <stp>EM_S_FA_GROSSPROFITMARGIN</stp>
        <stp>3</stp>
        <stp>603899</stp>
        <stp>12/31/2018</stp>
        <stp>1</stp>
        <tr r="I439" s="1"/>
      </tp>
      <tp>
        <v>20.675757431499999</v>
        <stp/>
        <stp>EM_S_FA_GROSSPROFITMARGIN</stp>
        <stp>3</stp>
        <stp>603999</stp>
        <stp>12/31/2018</stp>
        <stp>1</stp>
        <tr r="I473" s="1"/>
      </tp>
      <tp>
        <v>34.5192271031</v>
        <stp/>
        <stp>EM_S_FA_GROSSPROFITMARGIN</stp>
        <stp>3</stp>
        <stp>603699</stp>
        <stp>12/31/2018</stp>
        <stp>1</stp>
        <tr r="I1395" s="1"/>
      </tp>
      <tp>
        <v>28.467418948199999</v>
        <stp/>
        <stp>EM_S_FA_GROSSPROFITMARGIN</stp>
        <stp>3</stp>
        <stp>603799</stp>
        <stp>12/31/2018</stp>
        <stp>1</stp>
        <tr r="I912" s="1"/>
      </tp>
      <tp>
        <v>23.163740045200001</v>
        <stp/>
        <stp>EM_S_FA_GROSSPROFITMARGIN</stp>
        <stp>3</stp>
        <stp>603499</stp>
        <stp>12/31/2018</stp>
        <stp>1</stp>
        <tr r="I3091" s="1"/>
      </tp>
      <tp>
        <v>36.090559309299998</v>
        <stp/>
        <stp>EM_S_FA_GROSSPROFITMARGIN</stp>
        <stp>3</stp>
        <stp>603599</stp>
        <stp>12/31/2018</stp>
        <stp>1</stp>
        <tr r="I724" s="1"/>
      </tp>
      <tp>
        <v>26.8131567571</v>
        <stp/>
        <stp>EM_S_FA_GROSSPROFITMARGIN</stp>
        <stp>3</stp>
        <stp>603299</stp>
        <stp>12/31/2018</stp>
        <stp>1</stp>
        <tr r="I852" s="1"/>
      </tp>
      <tp>
        <v>10.953350933299999</v>
        <stp/>
        <stp>EM_S_FA_GROSSPROFITMARGIN</stp>
        <stp>3</stp>
        <stp>603399</stp>
        <stp>12/31/2018</stp>
        <stp>1</stp>
        <tr r="I1095" s="1"/>
      </tp>
      <tp>
        <v>34.418121313999997</v>
        <stp/>
        <stp>EM_S_FA_GROSSPROFITMARGIN</stp>
        <stp>3</stp>
        <stp>603099</stp>
        <stp>12/31/2018</stp>
        <stp>1</stp>
        <tr r="I1625" s="1"/>
      </tp>
      <tp>
        <v>47.052707458500002</v>
        <stp/>
        <stp>EM_S_FA_GROSSPROFITMARGIN</stp>
        <stp>3</stp>
        <stp>603199</stp>
        <stp>12/31/2018</stp>
        <stp>1</stp>
        <tr r="I1084" s="1"/>
      </tp>
      <tp>
        <v>22.095617956000002</v>
        <stp/>
        <stp>EM_S_FA_GROSSPROFITMARGIN</stp>
        <stp>3</stp>
        <stp>600884</stp>
        <stp>12/31/2018</stp>
        <stp>1</stp>
        <tr r="I1987" s="1"/>
      </tp>
      <tp>
        <v>32.9190045669</v>
        <stp/>
        <stp>EM_S_FA_GROSSPROFITMARGIN</stp>
        <stp>3</stp>
        <stp>600984</stp>
        <stp>12/31/2018</stp>
        <stp>1</stp>
        <tr r="I159" s="1"/>
      </tp>
      <tp>
        <v>38.471691456199999</v>
        <stp/>
        <stp>EM_S_FA_GROSSPROFITMARGIN</stp>
        <stp>3</stp>
        <stp>600684</stp>
        <stp>12/31/2018</stp>
        <stp>1</stp>
        <tr r="I2854" s="1"/>
      </tp>
      <tp>
        <v>8.9161566379000003</v>
        <stp/>
        <stp>EM_S_FA_GROSSPROFITMARGIN</stp>
        <stp>3</stp>
        <stp>600784</stp>
        <stp>12/31/2018</stp>
        <stp>1</stp>
        <tr r="I2018" s="1"/>
      </tp>
      <tp>
        <v>11.4255255355</v>
        <stp/>
        <stp>EM_S_FA_GROSSPROFITMARGIN</stp>
        <stp>3</stp>
        <stp>600584</stp>
        <stp>12/31/2018</stp>
        <stp>1</stp>
        <tr r="I62" s="1"/>
      </tp>
      <tp>
        <v>15.0029063705</v>
        <stp/>
        <stp>EM_S_FA_GROSSPROFITMARGIN</stp>
        <stp>3</stp>
        <stp>600284</stp>
        <stp>12/31/2018</stp>
        <stp>1</stp>
        <tr r="I1018" s="1"/>
      </tp>
      <tp>
        <v>38.371008364399998</v>
        <stp/>
        <stp>EM_S_FA_GROSSPROFITMARGIN</stp>
        <stp>3</stp>
        <stp>600084</stp>
        <stp>12/31/2018</stp>
        <stp>1</stp>
        <tr r="I2817" s="1"/>
      </tp>
      <tp>
        <v>11.3706011058</v>
        <stp/>
        <stp>EM_S_FA_GROSSPROFITMARGIN</stp>
        <stp>3</stp>
        <stp>600184</stp>
        <stp>12/31/2018</stp>
        <stp>1</stp>
        <tr r="I1421" s="1"/>
      </tp>
      <tp>
        <v>41.755393661799999</v>
        <stp/>
        <stp>EM_S_FA_GROSSPROFITMARGIN</stp>
        <stp>3</stp>
        <stp>601985</stp>
        <stp>12/31/2018</stp>
        <stp>1</stp>
        <tr r="I2565" s="1"/>
      </tp>
      <tp>
        <v>36.835483899000003</v>
        <stp/>
        <stp>EM_S_FA_GROSSPROFITMARGIN</stp>
        <stp>3</stp>
        <stp>600885</stp>
        <stp>12/31/2018</stp>
        <stp>1</stp>
        <tr r="I497" s="1"/>
      </tp>
      <tp>
        <v>20.346350967599999</v>
        <stp/>
        <stp>EM_S_FA_GROSSPROFITMARGIN</stp>
        <stp>3</stp>
        <stp>600985</stp>
        <stp>12/31/2018</stp>
        <stp>1</stp>
        <tr r="I1841" s="1"/>
      </tp>
      <tp>
        <v>-0.25436857969999999</v>
        <stp/>
        <stp>EM_S_FA_GROSSPROFITMARGIN</stp>
        <stp>3</stp>
        <stp>600685</stp>
        <stp>12/31/2018</stp>
        <stp>1</stp>
        <tr r="I512" s="1"/>
      </tp>
      <tp>
        <v>21.049267611099999</v>
        <stp/>
        <stp>EM_S_FA_GROSSPROFITMARGIN</stp>
        <stp>3</stp>
        <stp>600785</stp>
        <stp>12/31/2018</stp>
        <stp>1</stp>
        <tr r="I2709" s="1"/>
      </tp>
      <tp>
        <v>29.187907118599998</v>
        <stp/>
        <stp>EM_S_FA_GROSSPROFITMARGIN</stp>
        <stp>3</stp>
        <stp>600485</stp>
        <stp>12/31/2018</stp>
        <stp>1</stp>
        <tr r="I3405" s="1"/>
      </tp>
      <tp>
        <v>36.738029306900003</v>
        <stp/>
        <stp>EM_S_FA_GROSSPROFITMARGIN</stp>
        <stp>3</stp>
        <stp>600585</stp>
        <stp>12/31/2018</stp>
        <stp>1</stp>
        <tr r="I248" s="1"/>
      </tp>
      <tp>
        <v>76.069236341700005</v>
        <stp/>
        <stp>EM_S_FA_GROSSPROFITMARGIN</stp>
        <stp>3</stp>
        <stp>600285</stp>
        <stp>12/31/2018</stp>
        <stp>1</stp>
        <tr r="I1003" s="1"/>
      </tp>
      <tp>
        <v>90.468932511700004</v>
        <stp/>
        <stp>EM_S_FA_GROSSPROFITMARGIN</stp>
        <stp>3</stp>
        <stp>600385</stp>
        <stp>12/31/2018</stp>
        <stp>1</stp>
        <tr r="I3030" s="1"/>
      </tp>
      <tp>
        <v>46.747006904899997</v>
        <stp/>
        <stp>EM_S_FA_GROSSPROFITMARGIN</stp>
        <stp>3</stp>
        <stp>600085</stp>
        <stp>12/31/2018</stp>
        <stp>1</stp>
        <tr r="I2188" s="1"/>
      </tp>
      <tp>
        <v>34.283513017399997</v>
        <stp/>
        <stp>EM_S_FA_GROSSPROFITMARGIN</stp>
        <stp>3</stp>
        <stp>600185</stp>
        <stp>12/31/2018</stp>
        <stp>1</stp>
        <tr r="I1239" s="1"/>
      </tp>
      <tp>
        <v>15.022481579900001</v>
        <stp/>
        <stp>EM_S_FA_GROSSPROFITMARGIN</stp>
        <stp>3</stp>
        <stp>603885</stp>
        <stp>12/31/2018</stp>
        <stp>1</stp>
        <tr r="I1184" s="1"/>
      </tp>
      <tp>
        <v>24.732838150199999</v>
        <stp/>
        <stp>EM_S_FA_GROSSPROFITMARGIN</stp>
        <stp>3</stp>
        <stp>603985</stp>
        <stp>12/31/2018</stp>
        <stp>1</stp>
        <tr r="I3160" s="1"/>
      </tp>
      <tp>
        <v>22.923383186399999</v>
        <stp/>
        <stp>EM_S_FA_GROSSPROFITMARGIN</stp>
        <stp>3</stp>
        <stp>603685</stp>
        <stp>12/31/2018</stp>
        <stp>1</stp>
        <tr r="I2615" s="1"/>
      </tp>
      <tp>
        <v>40.570436656200002</v>
        <stp/>
        <stp>EM_S_FA_GROSSPROFITMARGIN</stp>
        <stp>3</stp>
        <stp>603585</stp>
        <stp>12/31/2018</stp>
        <stp>1</stp>
        <tr r="I2125" s="1"/>
      </tp>
      <tp>
        <v>28.352308503100002</v>
        <stp/>
        <stp>EM_S_FA_GROSSPROFITMARGIN</stp>
        <stp>3</stp>
        <stp>603385</stp>
        <stp>12/31/2018</stp>
        <stp>1</stp>
        <tr r="I711" s="1"/>
      </tp>
      <tp>
        <v>26.650449339800002</v>
        <stp/>
        <stp>EM_S_FA_GROSSPROFITMARGIN</stp>
        <stp>3</stp>
        <stp>603085</stp>
        <stp>12/31/2018</stp>
        <stp>1</stp>
        <tr r="I1947" s="1"/>
      </tp>
      <tp>
        <v>18.4557912633</v>
        <stp/>
        <stp>EM_S_FA_GROSSPROFITMARGIN</stp>
        <stp>3</stp>
        <stp>601886</stp>
        <stp>12/31/2018</stp>
        <stp>1</stp>
        <tr r="I2479" s="1"/>
      </tp>
      <tp>
        <v>16.963713547400001</v>
        <stp/>
        <stp>EM_S_FA_GROSSPROFITMARGIN</stp>
        <stp>3</stp>
        <stp>601086</stp>
        <stp>12/31/2018</stp>
        <stp>1</stp>
        <tr r="I2246" s="1"/>
      </tp>
      <tp>
        <v>9.7807868808999991</v>
        <stp/>
        <stp>EM_S_FA_GROSSPROFITMARGIN</stp>
        <stp>3</stp>
        <stp>601186</stp>
        <stp>12/31/2018</stp>
        <stp>1</stp>
        <tr r="I2665" s="1"/>
      </tp>
      <tp>
        <v>40.406170937100001</v>
        <stp/>
        <stp>EM_S_FA_GROSSPROFITMARGIN</stp>
        <stp>3</stp>
        <stp>600886</stp>
        <stp>12/31/2018</stp>
        <stp>1</stp>
        <tr r="I1548" s="1"/>
      </tp>
      <tp>
        <v>10.0349412971</v>
        <stp/>
        <stp>EM_S_FA_GROSSPROFITMARGIN</stp>
        <stp>3</stp>
        <stp>600986</stp>
        <stp>12/31/2018</stp>
        <stp>1</stp>
        <tr r="I1246" s="1"/>
      </tp>
      <tp>
        <v>14.021735661799999</v>
        <stp/>
        <stp>EM_S_FA_GROSSPROFITMARGIN</stp>
        <stp>3</stp>
        <stp>600686</stp>
        <stp>12/31/2018</stp>
        <stp>1</stp>
        <tr r="I2161" s="1"/>
      </tp>
      <tp>
        <v>0</v>
        <stp/>
        <stp>EM_S_FA_GROSSPROFITMARGIN</stp>
        <stp>3</stp>
        <stp>600786</stp>
        <stp>12/31/2018</stp>
        <stp>1</stp>
        <tr r="I2322" s="1"/>
      </tp>
      <tp>
        <v>29.638087803600001</v>
        <stp/>
        <stp>EM_S_FA_GROSSPROFITMARGIN</stp>
        <stp>3</stp>
        <stp>600486</stp>
        <stp>12/31/2018</stp>
        <stp>1</stp>
        <tr r="I235" s="1"/>
      </tp>
      <tp>
        <v>21.675678487799999</v>
        <stp/>
        <stp>EM_S_FA_GROSSPROFITMARGIN</stp>
        <stp>3</stp>
        <stp>600586</stp>
        <stp>12/31/2018</stp>
        <stp>1</stp>
        <tr r="I2118" s="1"/>
      </tp>
      <tp>
        <v>46.092291781299998</v>
        <stp/>
        <stp>EM_S_FA_GROSSPROFITMARGIN</stp>
        <stp>3</stp>
        <stp>600286</stp>
        <stp>12/31/2018</stp>
        <stp>1</stp>
        <tr r="I2299" s="1"/>
      </tp>
      <tp>
        <v>17.518378786700001</v>
        <stp/>
        <stp>EM_S_FA_GROSSPROFITMARGIN</stp>
        <stp>3</stp>
        <stp>600386</stp>
        <stp>12/31/2018</stp>
        <stp>1</stp>
        <tr r="I1578" s="1"/>
      </tp>
      <tp>
        <v>-5.2224896262999998</v>
        <stp/>
        <stp>EM_S_FA_GROSSPROFITMARGIN</stp>
        <stp>3</stp>
        <stp>600086</stp>
        <stp>12/31/2018</stp>
        <stp>1</stp>
        <tr r="I3319" s="1"/>
      </tp>
      <tp>
        <v>9.7015127565999997</v>
        <stp/>
        <stp>EM_S_FA_GROSSPROFITMARGIN</stp>
        <stp>3</stp>
        <stp>600186</stp>
        <stp>12/31/2018</stp>
        <stp>1</stp>
        <tr r="I709" s="1"/>
      </tp>
      <tp>
        <v>64.810444947700006</v>
        <stp/>
        <stp>EM_S_FA_GROSSPROFITMARGIN</stp>
        <stp>3</stp>
        <stp>603886</stp>
        <stp>12/31/2018</stp>
        <stp>1</stp>
        <tr r="I2380" s="1"/>
      </tp>
      <tp>
        <v>38.250577599000003</v>
        <stp/>
        <stp>EM_S_FA_GROSSPROFITMARGIN</stp>
        <stp>3</stp>
        <stp>603986</stp>
        <stp>12/31/2018</stp>
        <stp>1</stp>
        <tr r="I35" s="1"/>
      </tp>
      <tp>
        <v>24.671870435199999</v>
        <stp/>
        <stp>EM_S_FA_GROSSPROFITMARGIN</stp>
        <stp>3</stp>
        <stp>603686</stp>
        <stp>12/31/2018</stp>
        <stp>1</stp>
        <tr r="I2229" s="1"/>
      </tp>
      <tp>
        <v>37.841032113300002</v>
        <stp/>
        <stp>EM_S_FA_GROSSPROFITMARGIN</stp>
        <stp>3</stp>
        <stp>603486</stp>
        <stp>12/31/2018</stp>
        <stp>1</stp>
        <tr r="I3384" s="1"/>
      </tp>
      <tp>
        <v>25.167719835100002</v>
        <stp/>
        <stp>EM_S_FA_GROSSPROFITMARGIN</stp>
        <stp>3</stp>
        <stp>603586</stp>
        <stp>12/31/2018</stp>
        <stp>1</stp>
        <tr r="I698" s="1"/>
      </tp>
      <tp>
        <v>26.169398857299999</v>
        <stp/>
        <stp>EM_S_FA_GROSSPROFITMARGIN</stp>
        <stp>3</stp>
        <stp>603286</stp>
        <stp>12/31/2018</stp>
        <stp>1</stp>
        <tr r="I1812" s="1"/>
      </tp>
      <tp>
        <v>20.430174309400002</v>
        <stp/>
        <stp>EM_S_FA_GROSSPROFITMARGIN</stp>
        <stp>3</stp>
        <stp>603386</stp>
        <stp>12/31/2018</stp>
        <stp>1</stp>
        <tr r="I2198" s="1"/>
      </tp>
      <tp>
        <v>36.556960988</v>
        <stp/>
        <stp>EM_S_FA_GROSSPROFITMARGIN</stp>
        <stp>3</stp>
        <stp>603086</stp>
        <stp>12/31/2018</stp>
        <stp>1</stp>
        <tr r="I1630" s="1"/>
      </tp>
      <tp>
        <v>19.142000059699999</v>
        <stp/>
        <stp>EM_S_FA_GROSSPROFITMARGIN</stp>
        <stp>3</stp>
        <stp>603186</stp>
        <stp>12/31/2018</stp>
        <stp>1</stp>
        <tr r="I82" s="1"/>
      </tp>
      <tp>
        <v>37.821879185699999</v>
        <stp/>
        <stp>EM_S_FA_GROSSPROFITMARGIN</stp>
        <stp>3</stp>
        <stp>600887</stp>
        <stp>12/31/2018</stp>
        <stp>1</stp>
        <tr r="I827" s="1"/>
      </tp>
      <tp>
        <v>18.660961122500002</v>
        <stp/>
        <stp>EM_S_FA_GROSSPROFITMARGIN</stp>
        <stp>3</stp>
        <stp>600987</stp>
        <stp>12/31/2018</stp>
        <stp>1</stp>
        <tr r="I3102" s="1"/>
      </tp>
      <tp>
        <v>7.2952762485999996</v>
        <stp/>
        <stp>EM_S_FA_GROSSPROFITMARGIN</stp>
        <stp>3</stp>
        <stp>600687</stp>
        <stp>12/31/2018</stp>
        <stp>1</stp>
        <tr r="I3392" s="1"/>
      </tp>
      <tp>
        <v>3.3720522062999998</v>
        <stp/>
        <stp>EM_S_FA_GROSSPROFITMARGIN</stp>
        <stp>3</stp>
        <stp>600787</stp>
        <stp>12/31/2018</stp>
        <stp>1</stp>
        <tr r="I2015" s="1"/>
      </tp>
      <tp>
        <v>18.915400680200001</v>
        <stp/>
        <stp>EM_S_FA_GROSSPROFITMARGIN</stp>
        <stp>3</stp>
        <stp>600487</stp>
        <stp>12/31/2018</stp>
        <stp>1</stp>
        <tr r="I2604" s="1"/>
      </tp>
      <tp>
        <v>19.9951228109</v>
        <stp/>
        <stp>EM_S_FA_GROSSPROFITMARGIN</stp>
        <stp>3</stp>
        <stp>600587</stp>
        <stp>12/31/2018</stp>
        <stp>1</stp>
        <tr r="I1818" s="1"/>
      </tp>
      <tp>
        <v>9.3902587267000008</v>
        <stp/>
        <stp>EM_S_FA_GROSSPROFITMARGIN</stp>
        <stp>3</stp>
        <stp>600287</stp>
        <stp>12/31/2018</stp>
        <stp>1</stp>
        <tr r="I1135" s="1"/>
      </tp>
      <tp>
        <v>5.1497540365000001</v>
        <stp/>
        <stp>EM_S_FA_GROSSPROFITMARGIN</stp>
        <stp>3</stp>
        <stp>600387</stp>
        <stp>12/31/2018</stp>
        <stp>1</stp>
        <tr r="I1984" s="1"/>
      </tp>
      <tp>
        <v>19.1236242883</v>
        <stp/>
        <stp>EM_S_FA_GROSSPROFITMARGIN</stp>
        <stp>3</stp>
        <stp>600087</stp>
        <stp>12/31/2018</stp>
        <stp>1</stp>
        <tr r="I2290" s="1"/>
      </tp>
      <tp>
        <v>31.5572640595</v>
        <stp/>
        <stp>EM_S_FA_GROSSPROFITMARGIN</stp>
        <stp>3</stp>
        <stp>600187</stp>
        <stp>12/31/2018</stp>
        <stp>1</stp>
        <tr r="I2117" s="1"/>
      </tp>
      <tp>
        <v>18.394573846699998</v>
        <stp/>
        <stp>EM_S_FA_GROSSPROFITMARGIN</stp>
        <stp>3</stp>
        <stp>603887</stp>
        <stp>12/31/2018</stp>
        <stp>1</stp>
        <tr r="I293" s="1"/>
      </tp>
      <tp>
        <v>34.857609949299999</v>
        <stp/>
        <stp>EM_S_FA_GROSSPROFITMARGIN</stp>
        <stp>3</stp>
        <stp>603987</stp>
        <stp>12/31/2018</stp>
        <stp>1</stp>
        <tr r="I1117" s="1"/>
      </tp>
      <tp>
        <v>15.271591603499999</v>
        <stp/>
        <stp>EM_S_FA_GROSSPROFITMARGIN</stp>
        <stp>3</stp>
        <stp>603787</stp>
        <stp>12/31/2018</stp>
        <stp>1</stp>
        <tr r="I662" s="1"/>
      </tp>
      <tp>
        <v>73.898966528100004</v>
        <stp/>
        <stp>EM_S_FA_GROSSPROFITMARGIN</stp>
        <stp>3</stp>
        <stp>603587</stp>
        <stp>12/31/2018</stp>
        <stp>1</stp>
        <tr r="I1574" s="1"/>
      </tp>
      <tp>
        <v>78.903920605799996</v>
        <stp/>
        <stp>EM_S_FA_GROSSPROFITMARGIN</stp>
        <stp>3</stp>
        <stp>603387</stp>
        <stp>12/31/2018</stp>
        <stp>1</stp>
        <tr r="I2919" s="1"/>
      </tp>
      <tp>
        <v>23.8762732273</v>
        <stp/>
        <stp>EM_S_FA_GROSSPROFITMARGIN</stp>
        <stp>3</stp>
        <stp>601880</stp>
        <stp>12/31/2018</stp>
        <stp>1</stp>
        <tr r="I1781" s="1"/>
      </tp>
      <tp>
        <v>29.844566772</v>
        <stp/>
        <stp>EM_S_FA_GROSSPROFITMARGIN</stp>
        <stp>3</stp>
        <stp>600880</stp>
        <stp>12/31/2018</stp>
        <stp>1</stp>
        <tr r="I1852" s="1"/>
      </tp>
      <tp>
        <v>27.3072543663</v>
        <stp/>
        <stp>EM_S_FA_GROSSPROFITMARGIN</stp>
        <stp>3</stp>
        <stp>600980</stp>
        <stp>12/31/2018</stp>
        <stp>1</stp>
        <tr r="I669" s="1"/>
      </tp>
      <tp>
        <v>26.513221404700001</v>
        <stp/>
        <stp>EM_S_FA_GROSSPROFITMARGIN</stp>
        <stp>3</stp>
        <stp>600680</stp>
        <stp>12/31/2018</stp>
        <stp>1</stp>
        <tr r="I2316" s="1"/>
      </tp>
      <tp>
        <v>14.2590902072</v>
        <stp/>
        <stp>EM_S_FA_GROSSPROFITMARGIN</stp>
        <stp>3</stp>
        <stp>600780</stp>
        <stp>12/31/2018</stp>
        <stp>1</stp>
        <tr r="I1853" s="1"/>
      </tp>
      <tp>
        <v>19.063975742499998</v>
        <stp/>
        <stp>EM_S_FA_GROSSPROFITMARGIN</stp>
        <stp>3</stp>
        <stp>600480</stp>
        <stp>12/31/2018</stp>
        <stp>1</stp>
        <tr r="I2408" s="1"/>
      </tp>
      <tp>
        <v>26.128061040399999</v>
        <stp/>
        <stp>EM_S_FA_GROSSPROFITMARGIN</stp>
        <stp>3</stp>
        <stp>600580</stp>
        <stp>12/31/2018</stp>
        <stp>1</stp>
        <tr r="I186" s="1"/>
      </tp>
      <tp>
        <v>19.774345153100001</v>
        <stp/>
        <stp>EM_S_FA_GROSSPROFITMARGIN</stp>
        <stp>3</stp>
        <stp>600280</stp>
        <stp>12/31/2018</stp>
        <stp>1</stp>
        <tr r="I2933" s="1"/>
      </tp>
      <tp>
        <v>62.386968140500002</v>
        <stp/>
        <stp>EM_S_FA_GROSSPROFITMARGIN</stp>
        <stp>3</stp>
        <stp>600380</stp>
        <stp>12/31/2018</stp>
        <stp>1</stp>
        <tr r="I567" s="1"/>
      </tp>
      <tp>
        <v>68.286172172799994</v>
        <stp/>
        <stp>EM_S_FA_GROSSPROFITMARGIN</stp>
        <stp>3</stp>
        <stp>600080</stp>
        <stp>12/31/2018</stp>
        <stp>1</stp>
        <tr r="I2993" s="1"/>
      </tp>
      <tp>
        <v>7.8678902726000004</v>
        <stp/>
        <stp>EM_S_FA_GROSSPROFITMARGIN</stp>
        <stp>3</stp>
        <stp>600180</stp>
        <stp>12/31/2018</stp>
        <stp>1</stp>
        <tr r="I2347" s="1"/>
      </tp>
      <tp>
        <v>23.457240357700002</v>
        <stp/>
        <stp>EM_S_FA_GROSSPROFITMARGIN</stp>
        <stp>3</stp>
        <stp>603880</stp>
        <stp>12/31/2018</stp>
        <stp>1</stp>
        <tr r="I2774" s="1"/>
      </tp>
      <tp>
        <v>37.6016232618</v>
        <stp/>
        <stp>EM_S_FA_GROSSPROFITMARGIN</stp>
        <stp>3</stp>
        <stp>603980</stp>
        <stp>12/31/2018</stp>
        <stp>1</stp>
        <tr r="I3238" s="1"/>
      </tp>
      <tp>
        <v>33.979060913300003</v>
        <stp/>
        <stp>EM_S_FA_GROSSPROFITMARGIN</stp>
        <stp>3</stp>
        <stp>603680</stp>
        <stp>12/31/2018</stp>
        <stp>1</stp>
        <tr r="I3264" s="1"/>
      </tp>
      <tp>
        <v>46.466405907000002</v>
        <stp/>
        <stp>EM_S_FA_GROSSPROFITMARGIN</stp>
        <stp>3</stp>
        <stp>603580</stp>
        <stp>12/31/2018</stp>
        <stp>1</stp>
        <tr r="I3094" s="1"/>
      </tp>
      <tp>
        <v>25.879550206600001</v>
        <stp/>
        <stp>EM_S_FA_GROSSPROFITMARGIN</stp>
        <stp>3</stp>
        <stp>603380</stp>
        <stp>12/31/2018</stp>
        <stp>1</stp>
        <tr r="I1980" s="1"/>
      </tp>
      <tp>
        <v>41.196173207500003</v>
        <stp/>
        <stp>EM_S_FA_GROSSPROFITMARGIN</stp>
        <stp>3</stp>
        <stp>603080</stp>
        <stp>12/31/2018</stp>
        <stp>1</stp>
        <tr r="I3079" s="1"/>
      </tp>
      <tp>
        <v>38.995756884099997</v>
        <stp/>
        <stp>EM_S_FA_GROSSPROFITMARGIN</stp>
        <stp>3</stp>
        <stp>603180</stp>
        <stp>12/31/2018</stp>
        <stp>1</stp>
        <tr r="I1458" s="1"/>
      </tp>
      <tp>
        <v>0</v>
        <stp/>
        <stp>EM_S_FA_GROSSPROFITMARGIN</stp>
        <stp>3</stp>
        <stp>601881</stp>
        <stp>12/31/2018</stp>
        <stp>1</stp>
        <tr r="I338" s="1"/>
      </tp>
      <tp>
        <v>28.842492000299998</v>
        <stp/>
        <stp>EM_S_FA_GROSSPROFITMARGIN</stp>
        <stp>3</stp>
        <stp>600881</stp>
        <stp>12/31/2018</stp>
        <stp>1</stp>
        <tr r="I2561" s="1"/>
      </tp>
      <tp>
        <v>4.9801963155999998</v>
        <stp/>
        <stp>EM_S_FA_GROSSPROFITMARGIN</stp>
        <stp>3</stp>
        <stp>600981</stp>
        <stp>12/31/2018</stp>
        <stp>1</stp>
        <tr r="I2364" s="1"/>
      </tp>
      <tp>
        <v>31.551715074499999</v>
        <stp/>
        <stp>EM_S_FA_GROSSPROFITMARGIN</stp>
        <stp>3</stp>
        <stp>600681</stp>
        <stp>12/31/2018</stp>
        <stp>1</stp>
        <tr r="I3333" s="1"/>
      </tp>
      <tp>
        <v>44.003820814100003</v>
        <stp/>
        <stp>EM_S_FA_GROSSPROFITMARGIN</stp>
        <stp>3</stp>
        <stp>600781</stp>
        <stp>12/31/2018</stp>
        <stp>1</stp>
        <tr r="I3379" s="1"/>
      </tp>
      <tp>
        <v>29.150277382100001</v>
        <stp/>
        <stp>EM_S_FA_GROSSPROFITMARGIN</stp>
        <stp>3</stp>
        <stp>600481</stp>
        <stp>12/31/2018</stp>
        <stp>1</stp>
        <tr r="I2397" s="1"/>
      </tp>
      <tp>
        <v>12.7779124417</v>
        <stp/>
        <stp>EM_S_FA_GROSSPROFITMARGIN</stp>
        <stp>3</stp>
        <stp>600581</stp>
        <stp>12/31/2018</stp>
        <stp>1</stp>
        <tr r="I2480" s="1"/>
      </tp>
      <tp>
        <v>2.8163572075999999</v>
        <stp/>
        <stp>EM_S_FA_GROSSPROFITMARGIN</stp>
        <stp>3</stp>
        <stp>600281</stp>
        <stp>12/31/2018</stp>
        <stp>1</stp>
        <tr r="I1503" s="1"/>
      </tp>
      <tp>
        <v>29.6435533581</v>
        <stp/>
        <stp>EM_S_FA_GROSSPROFITMARGIN</stp>
        <stp>3</stp>
        <stp>600381</stp>
        <stp>12/31/2018</stp>
        <stp>1</stp>
        <tr r="I2664" s="1"/>
      </tp>
      <tp>
        <v>16.655526558199998</v>
        <stp/>
        <stp>EM_S_FA_GROSSPROFITMARGIN</stp>
        <stp>3</stp>
        <stp>600081</stp>
        <stp>12/31/2018</stp>
        <stp>1</stp>
        <tr r="I405" s="1"/>
      </tp>
      <tp>
        <v>0</v>
        <stp/>
        <stp>EM_S_FA_GROSSPROFITMARGIN</stp>
        <stp>3</stp>
        <stp>600181</stp>
        <stp>12/31/2018</stp>
        <stp>1</stp>
        <tr r="I2294" s="1"/>
      </tp>
      <tp>
        <v>29.767177712900001</v>
        <stp/>
        <stp>EM_S_FA_GROSSPROFITMARGIN</stp>
        <stp>3</stp>
        <stp>603881</stp>
        <stp>12/31/2018</stp>
        <stp>1</stp>
        <tr r="I513" s="1"/>
      </tp>
      <tp>
        <v>31.672294833199999</v>
        <stp/>
        <stp>EM_S_FA_GROSSPROFITMARGIN</stp>
        <stp>3</stp>
        <stp>603081</stp>
        <stp>12/31/2018</stp>
        <stp>1</stp>
        <tr r="I617" s="1"/>
      </tp>
      <tp>
        <v>19.5175573868</v>
        <stp/>
        <stp>EM_S_FA_GROSSPROFITMARGIN</stp>
        <stp>3</stp>
        <stp>603181</stp>
        <stp>12/31/2018</stp>
        <stp>1</stp>
        <tr r="I1219" s="1"/>
      </tp>
      <tp>
        <v>23.926237889999999</v>
        <stp/>
        <stp>EM_S_FA_GROSSPROFITMARGIN</stp>
        <stp>3</stp>
        <stp>601882</stp>
        <stp>12/31/2018</stp>
        <stp>1</stp>
        <tr r="I2144" s="1"/>
      </tp>
      <tp>
        <v>26.9566111199</v>
        <stp/>
        <stp>EM_S_FA_GROSSPROFITMARGIN</stp>
        <stp>3</stp>
        <stp>600882</stp>
        <stp>12/31/2018</stp>
        <stp>1</stp>
        <tr r="I211" s="1"/>
      </tp>
      <tp>
        <v>12.987370503299999</v>
        <stp/>
        <stp>EM_S_FA_GROSSPROFITMARGIN</stp>
        <stp>3</stp>
        <stp>600982</stp>
        <stp>12/31/2018</stp>
        <stp>1</stp>
        <tr r="I2729" s="1"/>
      </tp>
      <tp>
        <v>44.107147832700001</v>
        <stp/>
        <stp>EM_S_FA_GROSSPROFITMARGIN</stp>
        <stp>3</stp>
        <stp>600682</stp>
        <stp>12/31/2018</stp>
        <stp>1</stp>
        <tr r="I1585" s="1"/>
      </tp>
      <tp>
        <v>14.3865821015</v>
        <stp/>
        <stp>EM_S_FA_GROSSPROFITMARGIN</stp>
        <stp>3</stp>
        <stp>600782</stp>
        <stp>12/31/2018</stp>
        <stp>1</stp>
        <tr r="I2374" s="1"/>
      </tp>
      <tp>
        <v>16.3335135586</v>
        <stp/>
        <stp>EM_S_FA_GROSSPROFITMARGIN</stp>
        <stp>3</stp>
        <stp>600482</stp>
        <stp>12/31/2018</stp>
        <stp>1</stp>
        <tr r="I2777" s="1"/>
      </tp>
      <tp>
        <v>31.223301182699998</v>
        <stp/>
        <stp>EM_S_FA_GROSSPROFITMARGIN</stp>
        <stp>3</stp>
        <stp>600582</stp>
        <stp>12/31/2018</stp>
        <stp>1</stp>
        <tr r="I2641" s="1"/>
      </tp>
      <tp>
        <v>20.111788877199999</v>
        <stp/>
        <stp>EM_S_FA_GROSSPROFITMARGIN</stp>
        <stp>3</stp>
        <stp>600282</stp>
        <stp>12/31/2018</stp>
        <stp>1</stp>
        <tr r="I2261" s="1"/>
      </tp>
      <tp>
        <v>85.999028903799996</v>
        <stp/>
        <stp>EM_S_FA_GROSSPROFITMARGIN</stp>
        <stp>3</stp>
        <stp>600382</stp>
        <stp>12/31/2018</stp>
        <stp>1</stp>
        <tr r="I2733" s="1"/>
      </tp>
      <tp>
        <v>20.920799858999999</v>
        <stp/>
        <stp>EM_S_FA_GROSSPROFITMARGIN</stp>
        <stp>3</stp>
        <stp>600082</stp>
        <stp>12/31/2018</stp>
        <stp>1</stp>
        <tr r="I2681" s="1"/>
      </tp>
      <tp>
        <v>16.590901218399999</v>
        <stp/>
        <stp>EM_S_FA_GROSSPROFITMARGIN</stp>
        <stp>3</stp>
        <stp>600182</stp>
        <stp>12/31/2018</stp>
        <stp>1</stp>
        <tr r="I1800" s="1"/>
      </tp>
      <tp>
        <v>38.832597846500001</v>
        <stp/>
        <stp>EM_S_FA_GROSSPROFITMARGIN</stp>
        <stp>3</stp>
        <stp>603882</stp>
        <stp>12/31/2018</stp>
        <stp>1</stp>
        <tr r="I116" s="1"/>
      </tp>
      <tp>
        <v>-0.43429928940000001</v>
        <stp/>
        <stp>EM_S_FA_GROSSPROFITMARGIN</stp>
        <stp>3</stp>
        <stp>600883</stp>
        <stp>12/31/2018</stp>
        <stp>1</stp>
        <tr r="I1056" s="1"/>
      </tp>
      <tp>
        <v>23.612934182</v>
        <stp/>
        <stp>EM_S_FA_GROSSPROFITMARGIN</stp>
        <stp>3</stp>
        <stp>600983</stp>
        <stp>12/31/2018</stp>
        <stp>1</stp>
        <tr r="I2645" s="1"/>
      </tp>
      <tp>
        <v>32.472690359600001</v>
        <stp/>
        <stp>EM_S_FA_GROSSPROFITMARGIN</stp>
        <stp>3</stp>
        <stp>600683</stp>
        <stp>12/31/2018</stp>
        <stp>1</stp>
        <tr r="I2385" s="1"/>
      </tp>
      <tp>
        <v>26.373657284699998</v>
        <stp/>
        <stp>EM_S_FA_GROSSPROFITMARGIN</stp>
        <stp>3</stp>
        <stp>600783</stp>
        <stp>12/31/2018</stp>
        <stp>1</stp>
        <tr r="I2462" s="1"/>
      </tp>
      <tp>
        <v>19.596099689700001</v>
        <stp/>
        <stp>EM_S_FA_GROSSPROFITMARGIN</stp>
        <stp>3</stp>
        <stp>600483</stp>
        <stp>12/31/2018</stp>
        <stp>1</stp>
        <tr r="I1892" s="1"/>
      </tp>
      <tp>
        <v>9.2688239710999998</v>
        <stp/>
        <stp>EM_S_FA_GROSSPROFITMARGIN</stp>
        <stp>3</stp>
        <stp>600583</stp>
        <stp>12/31/2018</stp>
        <stp>1</stp>
        <tr r="I616" s="1"/>
      </tp>
      <tp>
        <v>38.056306545399998</v>
        <stp/>
        <stp>EM_S_FA_GROSSPROFITMARGIN</stp>
        <stp>3</stp>
        <stp>600283</stp>
        <stp>12/31/2018</stp>
        <stp>1</stp>
        <tr r="I2697" s="1"/>
      </tp>
      <tp>
        <v>42.684589982799999</v>
        <stp/>
        <stp>EM_S_FA_GROSSPROFITMARGIN</stp>
        <stp>3</stp>
        <stp>600383</stp>
        <stp>12/31/2018</stp>
        <stp>1</stp>
        <tr r="I593" s="1"/>
      </tp>
      <tp>
        <v>3.9009356608000001</v>
        <stp/>
        <stp>EM_S_FA_GROSSPROFITMARGIN</stp>
        <stp>3</stp>
        <stp>600083</stp>
        <stp>12/31/2018</stp>
        <stp>1</stp>
        <tr r="I1494" s="1"/>
      </tp>
      <tp>
        <v>22.176097835099998</v>
        <stp/>
        <stp>EM_S_FA_GROSSPROFITMARGIN</stp>
        <stp>3</stp>
        <stp>600183</stp>
        <stp>12/31/2018</stp>
        <stp>1</stp>
        <tr r="I138" s="1"/>
      </tp>
      <tp>
        <v>35.207256394700003</v>
        <stp/>
        <stp>EM_S_FA_GROSSPROFITMARGIN</stp>
        <stp>3</stp>
        <stp>603883</stp>
        <stp>12/31/2018</stp>
        <stp>1</stp>
        <tr r="I819" s="1"/>
      </tp>
      <tp>
        <v>17.531004578000001</v>
        <stp/>
        <stp>EM_S_FA_GROSSPROFITMARGIN</stp>
        <stp>3</stp>
        <stp>603683</stp>
        <stp>12/31/2018</stp>
        <stp>1</stp>
        <tr r="I2437" s="1"/>
      </tp>
      <tp>
        <v>47.7808888215</v>
        <stp/>
        <stp>EM_S_FA_GROSSPROFITMARGIN</stp>
        <stp>3</stp>
        <stp>603283</stp>
        <stp>12/31/2018</stp>
        <stp>1</stp>
        <tr r="I288" s="1"/>
      </tp>
      <tp>
        <v>74.231180657699994</v>
        <stp/>
        <stp>EM_S_FA_GROSSPROFITMARGIN</stp>
        <stp>3</stp>
        <stp>603383</stp>
        <stp>12/31/2018</stp>
        <stp>1</stp>
        <tr r="I88" s="1"/>
      </tp>
      <tp>
        <v>11.6307453937</v>
        <stp/>
        <stp>EM_S_FA_GROSSPROFITMARGIN</stp>
        <stp>3</stp>
        <stp>603083</stp>
        <stp>12/31/2018</stp>
        <stp>1</stp>
        <tr r="I1659" s="1"/>
      </tp>
      <tp>
        <v>46.700374415399999</v>
        <stp/>
        <stp>EM_S_FA_GROSSPROFITMARGIN</stp>
        <stp>3</stp>
        <stp>603183</stp>
        <stp>12/31/2018</stp>
        <stp>1</stp>
        <tr r="I3318" s="1"/>
      </tp>
      <tp>
        <v>41.459477442000001</v>
        <stp/>
        <stp>EM_S_FA_GROSSPROFITMARGIN</stp>
        <stp>3</stp>
        <stp>601888</stp>
        <stp>12/31/2018</stp>
        <stp>1</stp>
        <tr r="I601" s="1"/>
      </tp>
      <tp>
        <v>0</v>
        <stp/>
        <stp>EM_S_FA_GROSSPROFITMARGIN</stp>
        <stp>3</stp>
        <stp>601988</stp>
        <stp>12/31/2018</stp>
        <stp>1</stp>
        <tr r="I2120" s="1"/>
      </tp>
      <tp>
        <v>0</v>
        <stp/>
        <stp>EM_S_FA_GROSSPROFITMARGIN</stp>
        <stp>3</stp>
        <stp>601688</stp>
        <stp>12/31/2018</stp>
        <stp>1</stp>
        <tr r="I1013" s="1"/>
      </tp>
      <tp>
        <v>0</v>
        <stp/>
        <stp>EM_S_FA_GROSSPROFITMARGIN</stp>
        <stp>3</stp>
        <stp>601788</stp>
        <stp>12/31/2018</stp>
        <stp>1</stp>
        <tr r="I576" s="1"/>
      </tp>
      <tp>
        <v>33.485621628799997</v>
        <stp/>
        <stp>EM_S_FA_GROSSPROFITMARGIN</stp>
        <stp>3</stp>
        <stp>601588</stp>
        <stp>12/31/2018</stp>
        <stp>1</stp>
        <tr r="I1361" s="1"/>
      </tp>
      <tp>
        <v>0</v>
        <stp/>
        <stp>EM_S_FA_GROSSPROFITMARGIN</stp>
        <stp>3</stp>
        <stp>601288</stp>
        <stp>12/31/2018</stp>
        <stp>1</stp>
        <tr r="I2090" s="1"/>
      </tp>
      <tp>
        <v>9.4718905926999994</v>
        <stp/>
        <stp>EM_S_FA_GROSSPROFITMARGIN</stp>
        <stp>3</stp>
        <stp>601388</stp>
        <stp>12/31/2018</stp>
        <stp>1</stp>
        <tr r="I2423" s="1"/>
      </tp>
      <tp>
        <v>41.120253236499998</v>
        <stp/>
        <stp>EM_S_FA_GROSSPROFITMARGIN</stp>
        <stp>3</stp>
        <stp>601088</stp>
        <stp>12/31/2018</stp>
        <stp>1</stp>
        <tr r="I2181" s="1"/>
      </tp>
      <tp>
        <v>50.909915505999997</v>
        <stp/>
        <stp>EM_S_FA_GROSSPROFITMARGIN</stp>
        <stp>3</stp>
        <stp>601188</stp>
        <stp>12/31/2018</stp>
        <stp>1</stp>
        <tr r="I2146" s="1"/>
      </tp>
      <tp>
        <v>14.3958227468</v>
        <stp/>
        <stp>EM_S_FA_GROSSPROFITMARGIN</stp>
        <stp>3</stp>
        <stp>600888</stp>
        <stp>12/31/2018</stp>
        <stp>1</stp>
        <tr r="I1734" s="1"/>
      </tp>
      <tp>
        <v>19.502397455099999</v>
        <stp/>
        <stp>EM_S_FA_GROSSPROFITMARGIN</stp>
        <stp>3</stp>
        <stp>600988</stp>
        <stp>12/31/2018</stp>
        <stp>1</stp>
        <tr r="I1255" s="1"/>
      </tp>
      <tp>
        <v>19.2412663685</v>
        <stp/>
        <stp>EM_S_FA_GROSSPROFITMARGIN</stp>
        <stp>3</stp>
        <stp>600688</stp>
        <stp>12/31/2018</stp>
        <stp>1</stp>
        <tr r="I3114" s="1"/>
      </tp>
      <tp>
        <v>3.5201058238999998</v>
        <stp/>
        <stp>EM_S_FA_GROSSPROFITMARGIN</stp>
        <stp>3</stp>
        <stp>600788</stp>
        <stp>12/31/2018</stp>
        <stp>1</stp>
        <tr r="I2323" s="1"/>
      </tp>
      <tp>
        <v>50.198358427099997</v>
        <stp/>
        <stp>EM_S_FA_GROSSPROFITMARGIN</stp>
        <stp>3</stp>
        <stp>600488</stp>
        <stp>12/31/2018</stp>
        <stp>1</stp>
        <tr r="I1787" s="1"/>
      </tp>
      <tp>
        <v>69.950974406100002</v>
        <stp/>
        <stp>EM_S_FA_GROSSPROFITMARGIN</stp>
        <stp>3</stp>
        <stp>600588</stp>
        <stp>12/31/2018</stp>
        <stp>1</stp>
        <tr r="I868" s="1"/>
      </tp>
      <tp>
        <v>24.618145073099999</v>
        <stp/>
        <stp>EM_S_FA_GROSSPROFITMARGIN</stp>
        <stp>3</stp>
        <stp>600288</stp>
        <stp>12/31/2018</stp>
        <stp>1</stp>
        <tr r="I324" s="1"/>
      </tp>
      <tp>
        <v>24.080808567799998</v>
        <stp/>
        <stp>EM_S_FA_GROSSPROFITMARGIN</stp>
        <stp>3</stp>
        <stp>600388</stp>
        <stp>12/31/2018</stp>
        <stp>1</stp>
        <tr r="I2538" s="1"/>
      </tp>
      <tp>
        <v>35.0216875092</v>
        <stp/>
        <stp>EM_S_FA_GROSSPROFITMARGIN</stp>
        <stp>3</stp>
        <stp>600088</stp>
        <stp>12/31/2018</stp>
        <stp>1</stp>
        <tr r="I412" s="1"/>
      </tp>
      <tp>
        <v>19.489492546099999</v>
        <stp/>
        <stp>EM_S_FA_GROSSPROFITMARGIN</stp>
        <stp>3</stp>
        <stp>600188</stp>
        <stp>12/31/2018</stp>
        <stp>1</stp>
        <tr r="I1329" s="1"/>
      </tp>
      <tp>
        <v>45.150544573300003</v>
        <stp/>
        <stp>EM_S_FA_GROSSPROFITMARGIN</stp>
        <stp>3</stp>
        <stp>603888</stp>
        <stp>12/31/2018</stp>
        <stp>1</stp>
        <tr r="I402" s="1"/>
      </tp>
      <tp>
        <v>32.2252817623</v>
        <stp/>
        <stp>EM_S_FA_GROSSPROFITMARGIN</stp>
        <stp>3</stp>
        <stp>603988</stp>
        <stp>12/31/2018</stp>
        <stp>1</stp>
        <tr r="I2544" s="1"/>
      </tp>
      <tp>
        <v>43.735866147800003</v>
        <stp/>
        <stp>EM_S_FA_GROSSPROFITMARGIN</stp>
        <stp>3</stp>
        <stp>603688</stp>
        <stp>12/31/2018</stp>
        <stp>1</stp>
        <tr r="I342" s="1"/>
      </tp>
      <tp>
        <v>33.700810075500002</v>
        <stp/>
        <stp>EM_S_FA_GROSSPROFITMARGIN</stp>
        <stp>3</stp>
        <stp>603788</stp>
        <stp>12/31/2018</stp>
        <stp>1</stp>
        <tr r="I1735" s="1"/>
      </tp>
      <tp>
        <v>34.488353922899996</v>
        <stp/>
        <stp>EM_S_FA_GROSSPROFITMARGIN</stp>
        <stp>3</stp>
        <stp>603488</stp>
        <stp>12/31/2018</stp>
        <stp>1</stp>
        <tr r="I1208" s="1"/>
      </tp>
      <tp>
        <v>26.351698548800002</v>
        <stp/>
        <stp>EM_S_FA_GROSSPROFITMARGIN</stp>
        <stp>3</stp>
        <stp>603588</stp>
        <stp>12/31/2018</stp>
        <stp>1</stp>
        <tr r="I1304" s="1"/>
      </tp>
      <tp>
        <v>46.467085377499998</v>
        <stp/>
        <stp>EM_S_FA_GROSSPROFITMARGIN</stp>
        <stp>3</stp>
        <stp>603288</stp>
        <stp>12/31/2018</stp>
        <stp>1</stp>
        <tr r="I469" s="1"/>
      </tp>
      <tp>
        <v>25.011738422200001</v>
        <stp/>
        <stp>EM_S_FA_GROSSPROFITMARGIN</stp>
        <stp>3</stp>
        <stp>603388</stp>
        <stp>12/31/2018</stp>
        <stp>1</stp>
        <tr r="I3051" s="1"/>
      </tp>
      <tp>
        <v>36.661863356200001</v>
        <stp/>
        <stp>EM_S_FA_GROSSPROFITMARGIN</stp>
        <stp>3</stp>
        <stp>603088</stp>
        <stp>12/31/2018</stp>
        <stp>1</stp>
        <tr r="I3087" s="1"/>
      </tp>
      <tp>
        <v>50.410273085699998</v>
        <stp/>
        <stp>EM_S_FA_GROSSPROFITMARGIN</stp>
        <stp>3</stp>
        <stp>603188</stp>
        <stp>12/31/2018</stp>
        <stp>1</stp>
        <tr r="I2816" s="1"/>
      </tp>
      <tp>
        <v>9.8512322398999999</v>
        <stp/>
        <stp>EM_S_FA_GROSSPROFITMARGIN</stp>
        <stp>3</stp>
        <stp>601989</stp>
        <stp>12/31/2018</stp>
        <stp>1</stp>
        <tr r="I1155" s="1"/>
      </tp>
      <tp>
        <v>26.887892361199999</v>
        <stp/>
        <stp>EM_S_FA_GROSSPROFITMARGIN</stp>
        <stp>3</stp>
        <stp>601689</stp>
        <stp>12/31/2018</stp>
        <stp>1</stp>
        <tr r="I1375" s="1"/>
      </tp>
      <tp>
        <v>8.5484858371999994</v>
        <stp/>
        <stp>EM_S_FA_GROSSPROFITMARGIN</stp>
        <stp>3</stp>
        <stp>601789</stp>
        <stp>12/31/2018</stp>
        <stp>1</stp>
        <tr r="I1262" s="1"/>
      </tp>
      <tp>
        <v>8.9768838658999996</v>
        <stp/>
        <stp>EM_S_FA_GROSSPROFITMARGIN</stp>
        <stp>3</stp>
        <stp>600889</stp>
        <stp>12/31/2018</stp>
        <stp>1</stp>
        <tr r="I2344" s="1"/>
      </tp>
      <tp>
        <v>6.8397320496000003</v>
        <stp/>
        <stp>EM_S_FA_GROSSPROFITMARGIN</stp>
        <stp>3</stp>
        <stp>600689</stp>
        <stp>12/31/2018</stp>
        <stp>1</stp>
        <tr r="I2646" s="1"/>
      </tp>
      <tp>
        <v>31.148078893099999</v>
        <stp/>
        <stp>EM_S_FA_GROSSPROFITMARGIN</stp>
        <stp>3</stp>
        <stp>600789</stp>
        <stp>12/31/2018</stp>
        <stp>1</stp>
        <tr r="I2875" s="1"/>
      </tp>
      <tp>
        <v>10.402881369099999</v>
        <stp/>
        <stp>EM_S_FA_GROSSPROFITMARGIN</stp>
        <stp>3</stp>
        <stp>600489</stp>
        <stp>12/31/2018</stp>
        <stp>1</stp>
        <tr r="I2454" s="1"/>
      </tp>
      <tp>
        <v>26.7643281452</v>
        <stp/>
        <stp>EM_S_FA_GROSSPROFITMARGIN</stp>
        <stp>3</stp>
        <stp>600589</stp>
        <stp>12/31/2018</stp>
        <stp>1</stp>
        <tr r="I818" s="1"/>
      </tp>
      <tp>
        <v>62.138677188800003</v>
        <stp/>
        <stp>EM_S_FA_GROSSPROFITMARGIN</stp>
        <stp>3</stp>
        <stp>600289</stp>
        <stp>12/31/2018</stp>
        <stp>1</stp>
        <tr r="I840" s="1"/>
      </tp>
      <tp>
        <v>20.554112119399999</v>
        <stp/>
        <stp>EM_S_FA_GROSSPROFITMARGIN</stp>
        <stp>3</stp>
        <stp>600389</stp>
        <stp>12/31/2018</stp>
        <stp>1</stp>
        <tr r="I1130" s="1"/>
      </tp>
      <tp>
        <v>19.664959530299999</v>
        <stp/>
        <stp>EM_S_FA_GROSSPROFITMARGIN</stp>
        <stp>3</stp>
        <stp>600089</stp>
        <stp>12/31/2018</stp>
        <stp>1</stp>
        <tr r="I2447" s="1"/>
      </tp>
      <tp>
        <v>38.991422514</v>
        <stp/>
        <stp>EM_S_FA_GROSSPROFITMARGIN</stp>
        <stp>3</stp>
        <stp>600189</stp>
        <stp>12/31/2018</stp>
        <stp>1</stp>
        <tr r="I2168" s="1"/>
      </tp>
      <tp>
        <v>18.159564137099999</v>
        <stp/>
        <stp>EM_S_FA_GROSSPROFITMARGIN</stp>
        <stp>3</stp>
        <stp>603889</stp>
        <stp>12/31/2018</stp>
        <stp>1</stp>
        <tr r="I3265" s="1"/>
      </tp>
      <tp>
        <v>30.3366408847</v>
        <stp/>
        <stp>EM_S_FA_GROSSPROFITMARGIN</stp>
        <stp>3</stp>
        <stp>603989</stp>
        <stp>12/31/2018</stp>
        <stp>1</stp>
        <tr r="I1726" s="1"/>
      </tp>
      <tp>
        <v>10.8274537307</v>
        <stp/>
        <stp>EM_S_FA_GROSSPROFITMARGIN</stp>
        <stp>3</stp>
        <stp>603689</stp>
        <stp>12/31/2018</stp>
        <stp>1</stp>
        <tr r="I2038" s="1"/>
      </tp>
      <tp>
        <v>21.599496616100001</v>
        <stp/>
        <stp>EM_S_FA_GROSSPROFITMARGIN</stp>
        <stp>3</stp>
        <stp>603789</stp>
        <stp>12/31/2018</stp>
        <stp>1</stp>
        <tr r="I1413" s="1"/>
      </tp>
      <tp>
        <v>74.367815358800001</v>
        <stp/>
        <stp>EM_S_FA_GROSSPROFITMARGIN</stp>
        <stp>3</stp>
        <stp>603589</stp>
        <stp>12/31/2018</stp>
        <stp>1</stp>
        <tr r="I454" s="1"/>
      </tp>
      <tp>
        <v>28.912091463500001</v>
        <stp/>
        <stp>EM_S_FA_GROSSPROFITMARGIN</stp>
        <stp>3</stp>
        <stp>603289</stp>
        <stp>12/31/2018</stp>
        <stp>1</stp>
        <tr r="I1451" s="1"/>
      </tp>
      <tp>
        <v>56.1912534063</v>
        <stp/>
        <stp>EM_S_FA_GROSSPROFITMARGIN</stp>
        <stp>3</stp>
        <stp>603389</stp>
        <stp>12/31/2018</stp>
        <stp>1</stp>
        <tr r="I3343" s="1"/>
      </tp>
      <tp>
        <v>23.600184877899999</v>
        <stp/>
        <stp>EM_S_FA_GROSSPROFITMARGIN</stp>
        <stp>3</stp>
        <stp>603089</stp>
        <stp>12/31/2018</stp>
        <stp>1</stp>
        <tr r="I2683" s="1"/>
      </tp>
      <tp>
        <v>41.688195808300001</v>
        <stp/>
        <stp>EM_S_FA_GROSSPROFITMARGIN</stp>
        <stp>3</stp>
        <stp>603189</stp>
        <stp>12/31/2018</stp>
        <stp>1</stp>
        <tr r="I591" s="1"/>
      </tp>
      <tp>
        <v>11.49</v>
        <stp/>
        <stp>EM_S_FA_ROE_BASIC</stp>
        <stp>3</stp>
        <stp>000001</stp>
        <stp>12/31/2018</stp>
        <stp>1</stp>
        <tr r="W265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astmoney\Choice\Office\Excel\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EM_HKS_VAL_MV"/>
      <definedName name="EM_S_FA_ASSETSTURN"/>
      <definedName name="EM_S_FA_BPS"/>
      <definedName name="EM_S_FA_GROSSPROFITMARGIN"/>
      <definedName name="EM_S_FA_NETPROFITMARGIN"/>
      <definedName name="EM_S_FA_ROE_BASIC"/>
      <definedName name="EM_S_FA_ROE_TTM"/>
      <definedName name="EM_S_FA_YOY_OR"/>
      <definedName name="EM_S_FA_YOY_TR"/>
      <definedName name="EM_S_INFO_INDEX_EM"/>
      <definedName name="EM_S_IPO_LISTEDDATE"/>
      <definedName name="EM_S_PQ_PCTCHANGE"/>
      <definedName name="EM_S_RATIO_EPS_TTM"/>
      <definedName name="EM_S_SHARE_LIQA"/>
      <definedName name="EM_S_SHARE_TOTAL"/>
      <definedName name="EM_S_STM07_IS"/>
      <definedName name="EM_S_VAL_DIVIDENDYIELD2"/>
      <definedName name="EM_S_VAL_PBGOODWILLDEDUCTED"/>
      <definedName name="EM_S_VAL_PCF_NCFTTM"/>
      <definedName name="EM_S_VAL_PETTMDEDUCTED"/>
      <definedName name="EM_S_VAL_PS_TTM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F9747-375A-42EC-8C10-611995746B15}">
  <dimension ref="A1:C13"/>
  <sheetViews>
    <sheetView workbookViewId="0">
      <selection activeCell="A4" sqref="A4"/>
    </sheetView>
  </sheetViews>
  <sheetFormatPr defaultRowHeight="14.25"/>
  <sheetData>
    <row r="1" spans="1:3" ht="19.899999999999999" thickBot="1">
      <c r="A1" s="14" t="s">
        <v>3689</v>
      </c>
    </row>
    <row r="2" spans="1:3" ht="17.649999999999999" thickTop="1" thickBot="1">
      <c r="A2" s="15" t="s">
        <v>3676</v>
      </c>
    </row>
    <row r="3" spans="1:3" ht="14.65" thickTop="1">
      <c r="A3" s="13" t="s">
        <v>3696</v>
      </c>
    </row>
    <row r="4" spans="1:3">
      <c r="B4" s="9">
        <v>3</v>
      </c>
      <c r="C4" s="8" t="s">
        <v>3677</v>
      </c>
    </row>
    <row r="5" spans="1:3">
      <c r="B5" s="9">
        <v>5</v>
      </c>
      <c r="C5" s="8" t="s">
        <v>3678</v>
      </c>
    </row>
    <row r="6" spans="1:3">
      <c r="B6" s="9">
        <v>2</v>
      </c>
      <c r="C6" s="8" t="s">
        <v>3679</v>
      </c>
    </row>
    <row r="7" spans="1:3">
      <c r="B7" s="9">
        <v>1</v>
      </c>
      <c r="C7" s="8" t="s">
        <v>3680</v>
      </c>
    </row>
    <row r="10" spans="1:3" ht="17.25" thickBot="1">
      <c r="A10" s="15" t="s">
        <v>3690</v>
      </c>
    </row>
    <row r="11" spans="1:3" ht="14.65" thickTop="1">
      <c r="A11" s="13" t="s">
        <v>3685</v>
      </c>
      <c r="B11" s="13" t="s">
        <v>3691</v>
      </c>
    </row>
    <row r="12" spans="1:3">
      <c r="A12" s="13" t="s">
        <v>3694</v>
      </c>
      <c r="B12" s="13" t="s">
        <v>3692</v>
      </c>
    </row>
    <row r="13" spans="1:3">
      <c r="A13" s="13" t="s">
        <v>3695</v>
      </c>
      <c r="B13" s="13" t="s">
        <v>3693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3641"/>
  <sheetViews>
    <sheetView workbookViewId="0">
      <pane ySplit="2" topLeftCell="A3" activePane="bottomLeft" state="frozen"/>
      <selection pane="bottomLeft" activeCell="R3" sqref="R3"/>
    </sheetView>
  </sheetViews>
  <sheetFormatPr defaultColWidth="9" defaultRowHeight="14.25"/>
  <cols>
    <col min="1" max="1" width="5.6640625" customWidth="1"/>
    <col min="2" max="2" width="11.1328125" bestFit="1" customWidth="1"/>
    <col min="3" max="4" width="9.6640625" customWidth="1"/>
    <col min="5" max="8" width="11" customWidth="1"/>
    <col min="9" max="9" width="8.1328125" customWidth="1"/>
    <col min="10" max="10" width="13" bestFit="1" customWidth="1"/>
    <col min="11" max="11" width="13.1328125" style="10" customWidth="1"/>
    <col min="12" max="12" width="12.33203125" style="10" customWidth="1"/>
    <col min="13" max="15" width="8.1328125" customWidth="1"/>
    <col min="16" max="16" width="11.1328125" bestFit="1" customWidth="1"/>
    <col min="17" max="17" width="11.1328125" customWidth="1"/>
    <col min="18" max="18" width="9.19921875" bestFit="1" customWidth="1"/>
    <col min="19" max="19" width="8.6640625" customWidth="1"/>
    <col min="20" max="20" width="7.6640625" style="2" customWidth="1"/>
    <col min="21" max="21" width="7.1328125" customWidth="1"/>
    <col min="22" max="22" width="11.53125" customWidth="1"/>
    <col min="23" max="24" width="8.6640625" customWidth="1"/>
    <col min="25" max="25" width="11.796875" customWidth="1"/>
    <col min="26" max="26" width="8.6640625" customWidth="1"/>
    <col min="27" max="27" width="10.1328125" customWidth="1"/>
    <col min="28" max="44" width="8.1328125" customWidth="1"/>
    <col min="46" max="46" width="10.796875"/>
  </cols>
  <sheetData>
    <row r="1" spans="1:46">
      <c r="A1" s="8" t="s">
        <v>3684</v>
      </c>
      <c r="B1" s="4">
        <v>43465</v>
      </c>
      <c r="D1" s="13" t="s">
        <v>3688</v>
      </c>
    </row>
    <row r="2" spans="1:46" s="1" customFormat="1" ht="42.75">
      <c r="A2" s="1" t="s">
        <v>0</v>
      </c>
      <c r="B2" s="1" t="s">
        <v>1</v>
      </c>
      <c r="C2" s="1" t="s">
        <v>2</v>
      </c>
      <c r="D2" s="1" t="s">
        <v>3671</v>
      </c>
      <c r="E2" s="1" t="s">
        <v>3</v>
      </c>
      <c r="F2" s="1" t="s">
        <v>3687</v>
      </c>
      <c r="G2" s="1" t="s">
        <v>3686</v>
      </c>
      <c r="H2" s="1" t="s">
        <v>3682</v>
      </c>
      <c r="I2" s="1" t="s">
        <v>19</v>
      </c>
      <c r="J2" s="1" t="s">
        <v>3683</v>
      </c>
      <c r="K2" s="1" t="s">
        <v>3681</v>
      </c>
      <c r="L2" s="1" t="s">
        <v>3685</v>
      </c>
      <c r="M2" s="1" t="s">
        <v>3672</v>
      </c>
      <c r="N2" s="1" t="s">
        <v>27</v>
      </c>
      <c r="O2" s="1" t="s">
        <v>3673</v>
      </c>
      <c r="P2" s="1" t="s">
        <v>3674</v>
      </c>
      <c r="Q2" s="1" t="s">
        <v>3675</v>
      </c>
      <c r="R2" s="1" t="s">
        <v>4</v>
      </c>
      <c r="S2" s="1" t="s">
        <v>5</v>
      </c>
      <c r="T2" s="3" t="s">
        <v>6</v>
      </c>
      <c r="U2" s="1" t="s">
        <v>7</v>
      </c>
      <c r="V2" s="1" t="s">
        <v>8</v>
      </c>
      <c r="W2" s="1" t="s">
        <v>9</v>
      </c>
      <c r="X2" s="1" t="s">
        <v>10</v>
      </c>
      <c r="Y2" s="1" t="s">
        <v>11</v>
      </c>
      <c r="Z2" s="1" t="s">
        <v>12</v>
      </c>
      <c r="AA2" s="1" t="s">
        <v>13</v>
      </c>
      <c r="AB2" s="1" t="s">
        <v>14</v>
      </c>
      <c r="AC2" s="1" t="s">
        <v>15</v>
      </c>
      <c r="AD2" s="1" t="s">
        <v>16</v>
      </c>
      <c r="AE2" s="1" t="s">
        <v>17</v>
      </c>
      <c r="AF2" s="1" t="s">
        <v>18</v>
      </c>
      <c r="AG2" s="1" t="s">
        <v>20</v>
      </c>
      <c r="AH2" s="1" t="s">
        <v>21</v>
      </c>
      <c r="AI2" s="1" t="s">
        <v>22</v>
      </c>
      <c r="AJ2" s="1" t="s">
        <v>23</v>
      </c>
      <c r="AK2" s="1" t="s">
        <v>24</v>
      </c>
      <c r="AL2" s="1" t="s">
        <v>25</v>
      </c>
      <c r="AM2" s="1" t="s">
        <v>26</v>
      </c>
      <c r="AN2" s="1" t="s">
        <v>28</v>
      </c>
      <c r="AO2" s="1" t="s">
        <v>29</v>
      </c>
      <c r="AP2" s="1" t="s">
        <v>30</v>
      </c>
      <c r="AQ2" s="1" t="s">
        <v>31</v>
      </c>
      <c r="AR2" s="1" t="s">
        <v>32</v>
      </c>
      <c r="AS2" s="1" t="s">
        <v>33</v>
      </c>
      <c r="AT2" s="1" t="s">
        <v>34</v>
      </c>
    </row>
    <row r="3" spans="1:46">
      <c r="A3">
        <v>22</v>
      </c>
      <c r="B3" t="str">
        <f>"000022"</f>
        <v>000022</v>
      </c>
      <c r="C3" t="s">
        <v>848</v>
      </c>
      <c r="D3">
        <f>[1]!EM_S_INFO_INDEX_EM(B3,"1")</f>
        <v>0</v>
      </c>
      <c r="E3" s="4">
        <f t="shared" ref="E3:E66" si="0">$B$1</f>
        <v>43465</v>
      </c>
      <c r="F3" s="11">
        <f>[1]!EM_S_PQ_PCTCHANGE(B3,"2018-01-01","2019-12-31","3")</f>
        <v>0</v>
      </c>
      <c r="G3" s="11">
        <f>[1]!EM_S_PQ_PCTCHANGE(B3,"2019-01-01","2019-12-31","3")</f>
        <v>0</v>
      </c>
      <c r="H3" s="11">
        <f>[1]!EM_S_FA_YOY_OR(B3,E3)</f>
        <v>28.613170233999998</v>
      </c>
      <c r="I3" s="11">
        <f>[1]!EM_S_FA_GROSSPROFITMARGIN(B3,E3)</f>
        <v>40.853261986100001</v>
      </c>
      <c r="J3" s="11">
        <f>[1]!EM_S_FA_NETPROFITMARGIN(B3,E3)</f>
        <v>29.7412902001</v>
      </c>
      <c r="K3" s="10">
        <f>[1]!EM_S_FA_ASSETSTURN(B3,E3)</f>
        <v>0.142703742454</v>
      </c>
      <c r="L3" s="12">
        <f>[1]!EM_HKS_VAL_MV(B3,"2019-12-30","2")</f>
        <v>0</v>
      </c>
      <c r="M3">
        <f>[1]!EM_S_VAL_PETTMDEDUCTED(B3,E3)</f>
        <v>0</v>
      </c>
      <c r="N3" s="7">
        <f>[1]!EM_S_VAL_PBGOODWILLDEDUCTED(B3,E3)</f>
        <v>0</v>
      </c>
      <c r="O3" s="7">
        <f>[1]!EM_S_VAL_PS_TTM(B3,E3)</f>
        <v>0</v>
      </c>
      <c r="P3" s="7">
        <f>[1]!EM_S_VAL_PCF_NCFTTM(B3,E3)</f>
        <v>0</v>
      </c>
      <c r="Q3" s="7">
        <f>[1]!EM_S_VAL_DIVIDENDYIELD2(B3,E3,"2019-11-29")</f>
        <v>0</v>
      </c>
      <c r="T3"/>
      <c r="U3">
        <f>[1]!EM_S_RATIO_EPS_TTM(B3,E3,"1")</f>
        <v>0.60801348543497113</v>
      </c>
      <c r="AT3" s="4" t="str">
        <f>[1]!EM_S_IPO_LISTEDDATE(B3)</f>
        <v>1993-05-05</v>
      </c>
    </row>
    <row r="4" spans="1:46">
      <c r="A4">
        <v>42</v>
      </c>
      <c r="B4" t="str">
        <f>"000043"</f>
        <v>000043</v>
      </c>
      <c r="C4" t="s">
        <v>1678</v>
      </c>
      <c r="D4">
        <f>[1]!EM_S_INFO_INDEX_EM(B4,"1")</f>
        <v>0</v>
      </c>
      <c r="E4" s="4">
        <f t="shared" si="0"/>
        <v>43465</v>
      </c>
      <c r="F4" s="11">
        <f>[1]!EM_S_PQ_PCTCHANGE(B4,"2018-01-01","2019-12-31","3")</f>
        <v>0</v>
      </c>
      <c r="G4" s="11">
        <f>[1]!EM_S_PQ_PCTCHANGE(B4,"2019-01-01","2019-12-31","3")</f>
        <v>0</v>
      </c>
      <c r="H4" s="11">
        <f>[1]!EM_S_FA_YOY_OR(B4,E4)</f>
        <v>12.936371554799999</v>
      </c>
      <c r="I4" s="11">
        <f>[1]!EM_S_FA_GROSSPROFITMARGIN(B4,E4)</f>
        <v>19.640528675999999</v>
      </c>
      <c r="J4" s="11">
        <f>[1]!EM_S_FA_NETPROFITMARGIN(B4,E4)</f>
        <v>12.3801933417</v>
      </c>
      <c r="K4" s="10">
        <f>[1]!EM_S_FA_ASSETSTURN(B4,E4)</f>
        <v>0.41148062909299998</v>
      </c>
      <c r="L4" s="12">
        <f>[1]!EM_HKS_VAL_MV(B4,"2019-12-31","2")</f>
        <v>0</v>
      </c>
      <c r="M4">
        <f>[1]!EM_S_VAL_PETTMDEDUCTED(B4,E4)</f>
        <v>-20.877764308329301</v>
      </c>
      <c r="N4" s="7">
        <f>[1]!EM_S_VAL_PBGOODWILLDEDUCTED(B4,E4)</f>
        <v>1.03032739003707</v>
      </c>
      <c r="O4" s="7">
        <f>[1]!EM_S_VAL_PS_TTM(B4,E4)</f>
        <v>0.81013323118601699</v>
      </c>
      <c r="P4" s="7">
        <f>[1]!EM_S_VAL_PCF_NCFTTM(B4,E4)</f>
        <v>5.5155787776960299</v>
      </c>
      <c r="Q4" s="7">
        <f>[1]!EM_S_VAL_DIVIDENDYIELD2(B4,E4,"2019-11-29")</f>
        <v>1.4962593516209477</v>
      </c>
      <c r="T4"/>
      <c r="U4">
        <f>[1]!EM_S_RATIO_EPS_TTM(B4,E4,"1")</f>
        <v>1.2843522082542778</v>
      </c>
      <c r="AT4" s="4" t="str">
        <f>[1]!EM_S_IPO_LISTEDDATE(B4)</f>
        <v>1994-09-28</v>
      </c>
    </row>
    <row r="5" spans="1:46">
      <c r="A5">
        <v>768</v>
      </c>
      <c r="B5" t="str">
        <f>"002257"</f>
        <v>002257</v>
      </c>
      <c r="C5" t="s">
        <v>45</v>
      </c>
      <c r="D5">
        <f>[1]!EM_S_INFO_INDEX_EM(B5,"1")</f>
        <v>0</v>
      </c>
      <c r="E5" s="4">
        <f t="shared" si="0"/>
        <v>43465</v>
      </c>
      <c r="F5" s="11">
        <f>[1]!EM_S_PQ_PCTCHANGE(B5,"2018-01-01","2019-12-31","3")</f>
        <v>0</v>
      </c>
      <c r="G5" s="11">
        <f>[1]!EM_S_PQ_PCTCHANGE(B5,"2018-12-31","2019-12-30","1")</f>
        <v>0</v>
      </c>
      <c r="H5" s="11">
        <f>[1]!EM_S_FA_YOY_OR(B5,E5)</f>
        <v>0</v>
      </c>
      <c r="I5" s="11">
        <f>[1]!EM_S_FA_GROSSPROFITMARGIN(B5,E5)</f>
        <v>0</v>
      </c>
      <c r="J5" s="11">
        <f>[1]!EM_S_FA_NETPROFITMARGIN(B5,E5)</f>
        <v>0</v>
      </c>
      <c r="K5" s="10">
        <f>[1]!EM_S_FA_ASSETSTURN(B5,E5)</f>
        <v>0</v>
      </c>
      <c r="L5" s="12">
        <f>[1]!EM_HKS_VAL_MV(B5,"2019-12-31","2")</f>
        <v>0</v>
      </c>
      <c r="M5">
        <f>[1]!EM_S_VAL_PETTMDEDUCTED(B5,E5)</f>
        <v>0</v>
      </c>
      <c r="N5" s="7">
        <f>[1]!EM_S_VAL_PBGOODWILLDEDUCTED(B5,E5)</f>
        <v>0</v>
      </c>
      <c r="O5" s="7">
        <f>[1]!EM_S_VAL_PS_TTM(B5,E5)</f>
        <v>0</v>
      </c>
      <c r="P5" s="7">
        <f>[1]!EM_S_VAL_PCF_NCFTTM(B5,E5)</f>
        <v>0</v>
      </c>
      <c r="Q5" s="7">
        <f>[1]!EM_S_VAL_DIVIDENDYIELD2(B5,E5,"2019-11-29")</f>
        <v>0</v>
      </c>
      <c r="T5"/>
      <c r="U5">
        <f>[1]!EM_S_RATIO_EPS_TTM(B5,E5,"1")</f>
        <v>1.1544018035806953</v>
      </c>
      <c r="AT5" s="4">
        <f>[1]!EM_S_IPO_LISTEDDATE(B5)</f>
        <v>0</v>
      </c>
    </row>
    <row r="6" spans="1:46">
      <c r="A6">
        <v>1036</v>
      </c>
      <c r="B6" t="str">
        <f>"002525"</f>
        <v>002525</v>
      </c>
      <c r="C6" t="s">
        <v>3148</v>
      </c>
      <c r="D6">
        <f>[1]!EM_S_INFO_INDEX_EM(B6,"1")</f>
        <v>0</v>
      </c>
      <c r="E6" s="4">
        <f t="shared" si="0"/>
        <v>43465</v>
      </c>
      <c r="F6" s="11">
        <f>[1]!EM_S_PQ_PCTCHANGE(B6,"2018-01-01","2019-12-31","3")</f>
        <v>0</v>
      </c>
      <c r="G6" s="11">
        <f>[1]!EM_S_PQ_PCTCHANGE(B6,"2018-12-31","2019-12-30","1")</f>
        <v>0</v>
      </c>
      <c r="H6" s="11">
        <f>[1]!EM_S_FA_YOY_OR(B6,E6)</f>
        <v>0</v>
      </c>
      <c r="I6" s="11">
        <f>[1]!EM_S_FA_GROSSPROFITMARGIN(B6,E6)</f>
        <v>0</v>
      </c>
      <c r="J6" s="11">
        <f>[1]!EM_S_FA_NETPROFITMARGIN(B6,E6)</f>
        <v>0</v>
      </c>
      <c r="K6" s="10">
        <f>[1]!EM_S_FA_ASSETSTURN(B6,E6)</f>
        <v>0</v>
      </c>
      <c r="L6" s="12">
        <f>[1]!EM_HKS_VAL_MV(B6,"2019-12-31","2")</f>
        <v>0</v>
      </c>
      <c r="M6">
        <f>[1]!EM_S_VAL_PETTMDEDUCTED(B6,E6)</f>
        <v>0</v>
      </c>
      <c r="N6" s="7">
        <f>[1]!EM_S_VAL_PBGOODWILLDEDUCTED(B6,E6)</f>
        <v>0</v>
      </c>
      <c r="O6" s="7">
        <f>[1]!EM_S_VAL_PS_TTM(B6,E6)</f>
        <v>0</v>
      </c>
      <c r="P6" s="7">
        <f>[1]!EM_S_VAL_PCF_NCFTTM(B6,E6)</f>
        <v>0</v>
      </c>
      <c r="Q6" s="7">
        <f>[1]!EM_S_VAL_DIVIDENDYIELD2(B6,E6,"2019-11-29")</f>
        <v>0</v>
      </c>
      <c r="T6"/>
      <c r="U6">
        <f>[1]!EM_S_RATIO_EPS_TTM(B6,E6,"1")</f>
        <v>0.77646045529411767</v>
      </c>
      <c r="AT6" s="4">
        <f>[1]!EM_S_IPO_LISTEDDATE(B6)</f>
        <v>0</v>
      </c>
    </row>
    <row r="7" spans="1:46">
      <c r="A7">
        <v>1220</v>
      </c>
      <c r="B7" t="str">
        <f>"002710"</f>
        <v>002710</v>
      </c>
      <c r="C7" t="s">
        <v>170</v>
      </c>
      <c r="D7">
        <f>[1]!EM_S_INFO_INDEX_EM(B7,"1")</f>
        <v>0</v>
      </c>
      <c r="E7" s="4">
        <f t="shared" si="0"/>
        <v>43465</v>
      </c>
      <c r="F7" s="11">
        <f>[1]!EM_S_PQ_PCTCHANGE(B7,"2018-01-01","2019-12-31","3")</f>
        <v>0</v>
      </c>
      <c r="G7" s="11">
        <f>[1]!EM_S_PQ_PCTCHANGE(B7,"2018-12-31","2019-12-30","1")</f>
        <v>0</v>
      </c>
      <c r="H7" s="11">
        <f>[1]!EM_S_FA_YOY_OR(B7,E7)</f>
        <v>0</v>
      </c>
      <c r="I7" s="11">
        <f>[1]!EM_S_FA_GROSSPROFITMARGIN(B7,E7)</f>
        <v>0</v>
      </c>
      <c r="J7" s="11">
        <f>[1]!EM_S_FA_NETPROFITMARGIN(B7,E7)</f>
        <v>0</v>
      </c>
      <c r="K7" s="10">
        <f>[1]!EM_S_FA_ASSETSTURN(B7,E7)</f>
        <v>0</v>
      </c>
      <c r="L7" s="12">
        <f>[1]!EM_HKS_VAL_MV(B7,"2019-12-31","2")</f>
        <v>0</v>
      </c>
      <c r="M7">
        <f>[1]!EM_S_VAL_PETTMDEDUCTED(B7,E7)</f>
        <v>0</v>
      </c>
      <c r="N7" s="7">
        <f>[1]!EM_S_VAL_PBGOODWILLDEDUCTED(B7,E7)</f>
        <v>0</v>
      </c>
      <c r="O7" s="7">
        <f>[1]!EM_S_VAL_PS_TTM(B7,E7)</f>
        <v>0</v>
      </c>
      <c r="P7" s="7">
        <f>[1]!EM_S_VAL_PCF_NCFTTM(B7,E7)</f>
        <v>0</v>
      </c>
      <c r="Q7" s="7">
        <f>[1]!EM_S_VAL_DIVIDENDYIELD2(B7,E7,"2019-11-29")</f>
        <v>0</v>
      </c>
      <c r="T7"/>
      <c r="U7">
        <f>[1]!EM_S_RATIO_EPS_TTM(B7,E7,"1")</f>
        <v>0.80265081000000005</v>
      </c>
      <c r="AT7" s="4">
        <f>[1]!EM_S_IPO_LISTEDDATE(B7)</f>
        <v>0</v>
      </c>
    </row>
    <row r="8" spans="1:46">
      <c r="A8">
        <v>1230</v>
      </c>
      <c r="B8" t="str">
        <f>"002720"</f>
        <v>002720</v>
      </c>
      <c r="C8" t="s">
        <v>615</v>
      </c>
      <c r="D8">
        <f>[1]!EM_S_INFO_INDEX_EM(B8,"1")</f>
        <v>0</v>
      </c>
      <c r="E8" s="4">
        <f t="shared" si="0"/>
        <v>43465</v>
      </c>
      <c r="F8" s="11">
        <f>[1]!EM_S_PQ_PCTCHANGE(B8,"2018-01-01","2019-12-31","3")</f>
        <v>0</v>
      </c>
      <c r="G8" s="11">
        <f>[1]!EM_S_PQ_PCTCHANGE(B8,"2018-12-31","2019-12-30","1")</f>
        <v>0</v>
      </c>
      <c r="H8" s="11">
        <f>[1]!EM_S_FA_YOY_OR(B8,E8)</f>
        <v>0</v>
      </c>
      <c r="I8" s="11">
        <f>[1]!EM_S_FA_GROSSPROFITMARGIN(B8,E8)</f>
        <v>0</v>
      </c>
      <c r="J8" s="11">
        <f>[1]!EM_S_FA_NETPROFITMARGIN(B8,E8)</f>
        <v>0</v>
      </c>
      <c r="K8" s="10">
        <f>[1]!EM_S_FA_ASSETSTURN(B8,E8)</f>
        <v>0</v>
      </c>
      <c r="L8" s="12">
        <f>[1]!EM_HKS_VAL_MV(B8,"2019-12-31","2")</f>
        <v>0</v>
      </c>
      <c r="M8">
        <f>[1]!EM_S_VAL_PETTMDEDUCTED(B8,E8)</f>
        <v>0</v>
      </c>
      <c r="N8" s="7">
        <f>[1]!EM_S_VAL_PBGOODWILLDEDUCTED(B8,E8)</f>
        <v>0</v>
      </c>
      <c r="O8" s="7">
        <f>[1]!EM_S_VAL_PS_TTM(B8,E8)</f>
        <v>0</v>
      </c>
      <c r="P8" s="7">
        <f>[1]!EM_S_VAL_PCF_NCFTTM(B8,E8)</f>
        <v>0</v>
      </c>
      <c r="Q8" s="7">
        <f>[1]!EM_S_VAL_DIVIDENDYIELD2(B8,E8,"2019-11-29")</f>
        <v>0</v>
      </c>
      <c r="T8"/>
      <c r="U8">
        <f>[1]!EM_S_RATIO_EPS_TTM(B8,E8,"1")</f>
        <v>0.41885434946081607</v>
      </c>
      <c r="AT8" s="4">
        <f>[1]!EM_S_IPO_LISTEDDATE(B8)</f>
        <v>0</v>
      </c>
    </row>
    <row r="9" spans="1:46">
      <c r="A9">
        <v>1786</v>
      </c>
      <c r="B9" t="str">
        <f>"300361"</f>
        <v>300361</v>
      </c>
      <c r="C9" t="s">
        <v>40</v>
      </c>
      <c r="D9">
        <f>[1]!EM_S_INFO_INDEX_EM(B9,"1")</f>
        <v>0</v>
      </c>
      <c r="E9" s="4">
        <f t="shared" si="0"/>
        <v>43465</v>
      </c>
      <c r="F9" s="11">
        <f>[1]!EM_S_PQ_PCTCHANGE(B9,"2018-01-01","2019-12-31","3")</f>
        <v>0</v>
      </c>
      <c r="G9" s="11">
        <f>[1]!EM_S_PQ_PCTCHANGE(B9,"2018-12-31","2019-12-30","1")</f>
        <v>0</v>
      </c>
      <c r="H9" s="11">
        <f>[1]!EM_S_FA_YOY_OR(B9,E9)</f>
        <v>0</v>
      </c>
      <c r="I9" s="11">
        <f>[1]!EM_S_FA_GROSSPROFITMARGIN(B9,E9)</f>
        <v>0</v>
      </c>
      <c r="J9" s="11">
        <f>[1]!EM_S_FA_NETPROFITMARGIN(B9,E9)</f>
        <v>0</v>
      </c>
      <c r="K9" s="10">
        <f>[1]!EM_S_FA_ASSETSTURN(B9,E9)</f>
        <v>0</v>
      </c>
      <c r="L9" s="12">
        <f>[1]!EM_HKS_VAL_MV(B9,"2019-12-31","2")</f>
        <v>0</v>
      </c>
      <c r="M9">
        <f>[1]!EM_S_VAL_PETTMDEDUCTED(B9,E9)</f>
        <v>0</v>
      </c>
      <c r="N9" s="7">
        <f>[1]!EM_S_VAL_PBGOODWILLDEDUCTED(B9,E9)</f>
        <v>0</v>
      </c>
      <c r="O9" s="7">
        <f>[1]!EM_S_VAL_PS_TTM(B9,E9)</f>
        <v>0</v>
      </c>
      <c r="P9" s="7">
        <f>[1]!EM_S_VAL_PCF_NCFTTM(B9,E9)</f>
        <v>0</v>
      </c>
      <c r="Q9" s="7">
        <f>[1]!EM_S_VAL_DIVIDENDYIELD2(B9,E9,"2019-11-29")</f>
        <v>0</v>
      </c>
      <c r="T9"/>
      <c r="U9">
        <f>[1]!EM_S_RATIO_EPS_TTM(B9,E9,"1")</f>
        <v>1.5095231101428572</v>
      </c>
      <c r="AT9" s="4">
        <f>[1]!EM_S_IPO_LISTEDDATE(B9)</f>
        <v>0</v>
      </c>
    </row>
    <row r="10" spans="1:46">
      <c r="A10">
        <v>2065</v>
      </c>
      <c r="B10" t="str">
        <f>"300646"</f>
        <v>300646</v>
      </c>
      <c r="C10" t="s">
        <v>58</v>
      </c>
      <c r="D10">
        <f>[1]!EM_S_INFO_INDEX_EM(B10,"1")</f>
        <v>0</v>
      </c>
      <c r="E10" s="4">
        <f t="shared" si="0"/>
        <v>43465</v>
      </c>
      <c r="F10" s="11">
        <f>[1]!EM_S_PQ_PCTCHANGE(B10,"2018-01-01","2019-12-31","3")</f>
        <v>0</v>
      </c>
      <c r="G10" s="11">
        <f>[1]!EM_S_PQ_PCTCHANGE(B10,"2018-12-31","2019-12-30","1")</f>
        <v>0</v>
      </c>
      <c r="H10" s="11">
        <f>[1]!EM_S_FA_YOY_OR(B10,E10)</f>
        <v>0</v>
      </c>
      <c r="I10" s="11">
        <f>[1]!EM_S_FA_GROSSPROFITMARGIN(B10,E10)</f>
        <v>0</v>
      </c>
      <c r="J10" s="11">
        <f>[1]!EM_S_FA_NETPROFITMARGIN(B10,E10)</f>
        <v>0</v>
      </c>
      <c r="K10" s="10">
        <f>[1]!EM_S_FA_ASSETSTURN(B10,E10)</f>
        <v>0</v>
      </c>
      <c r="L10" s="12">
        <f>[1]!EM_HKS_VAL_MV(B10,"2019-12-31","2")</f>
        <v>0</v>
      </c>
      <c r="M10">
        <f>[1]!EM_S_VAL_PETTMDEDUCTED(B10,E10)</f>
        <v>0</v>
      </c>
      <c r="N10" s="7">
        <f>[1]!EM_S_VAL_PBGOODWILLDEDUCTED(B10,E10)</f>
        <v>0</v>
      </c>
      <c r="O10" s="7">
        <f>[1]!EM_S_VAL_PS_TTM(B10,E10)</f>
        <v>0</v>
      </c>
      <c r="P10" s="7">
        <f>[1]!EM_S_VAL_PCF_NCFTTM(B10,E10)</f>
        <v>0</v>
      </c>
      <c r="Q10" s="7">
        <f>[1]!EM_S_VAL_DIVIDENDYIELD2(B10,E10,"2019-11-29")</f>
        <v>0</v>
      </c>
      <c r="T10"/>
      <c r="U10">
        <f>[1]!EM_S_RATIO_EPS_TTM(B10,E10,"1")</f>
        <v>0.47919500377777779</v>
      </c>
      <c r="AT10" s="4">
        <f>[1]!EM_S_IPO_LISTEDDATE(B10)</f>
        <v>0</v>
      </c>
    </row>
    <row r="11" spans="1:46">
      <c r="A11">
        <v>2142</v>
      </c>
      <c r="B11" t="str">
        <f>"300728"</f>
        <v>300728</v>
      </c>
      <c r="C11" t="s">
        <v>197</v>
      </c>
      <c r="D11">
        <f>[1]!EM_S_INFO_INDEX_EM(B11,"1")</f>
        <v>0</v>
      </c>
      <c r="E11" s="4">
        <f t="shared" si="0"/>
        <v>43465</v>
      </c>
      <c r="F11" s="11">
        <f>[1]!EM_S_PQ_PCTCHANGE(B11,"2018-01-01","2019-12-31","3")</f>
        <v>0</v>
      </c>
      <c r="G11" s="11">
        <f>[1]!EM_S_PQ_PCTCHANGE(B11,"2018-12-31","2019-12-30","1")</f>
        <v>0</v>
      </c>
      <c r="H11" s="11">
        <f>[1]!EM_S_FA_YOY_OR(B11,E11)</f>
        <v>0</v>
      </c>
      <c r="I11" s="11">
        <f>[1]!EM_S_FA_GROSSPROFITMARGIN(B11,E11)</f>
        <v>0</v>
      </c>
      <c r="J11" s="11">
        <f>[1]!EM_S_FA_NETPROFITMARGIN(B11,E11)</f>
        <v>0</v>
      </c>
      <c r="K11" s="10">
        <f>[1]!EM_S_FA_ASSETSTURN(B11,E11)</f>
        <v>0</v>
      </c>
      <c r="L11" s="12">
        <f>[1]!EM_HKS_VAL_MV(B11,"2019-12-31","2")</f>
        <v>0</v>
      </c>
      <c r="M11">
        <f>[1]!EM_S_VAL_PETTMDEDUCTED(B11,E11)</f>
        <v>0</v>
      </c>
      <c r="N11" s="7">
        <f>[1]!EM_S_VAL_PBGOODWILLDEDUCTED(B11,E11)</f>
        <v>0</v>
      </c>
      <c r="O11" s="7">
        <f>[1]!EM_S_VAL_PS_TTM(B11,E11)</f>
        <v>0</v>
      </c>
      <c r="P11" s="7">
        <f>[1]!EM_S_VAL_PCF_NCFTTM(B11,E11)</f>
        <v>0</v>
      </c>
      <c r="Q11" s="7">
        <f>[1]!EM_S_VAL_DIVIDENDYIELD2(B11,E11,"2019-11-29")</f>
        <v>0</v>
      </c>
      <c r="T11"/>
      <c r="U11">
        <f>[1]!EM_S_RATIO_EPS_TTM(B11,E11,"1")</f>
        <v>0.46156009677777776</v>
      </c>
      <c r="AT11" s="4">
        <f>[1]!EM_S_IPO_LISTEDDATE(B11)</f>
        <v>0</v>
      </c>
    </row>
    <row r="12" spans="1:46">
      <c r="A12">
        <v>2469</v>
      </c>
      <c r="B12" t="str">
        <f>"600349"</f>
        <v>600349</v>
      </c>
      <c r="C12" t="s">
        <v>3126</v>
      </c>
      <c r="D12">
        <f>[1]!EM_S_INFO_INDEX_EM(B12,"1")</f>
        <v>0</v>
      </c>
      <c r="E12" s="4">
        <f t="shared" si="0"/>
        <v>43465</v>
      </c>
      <c r="F12" s="11">
        <f>[1]!EM_S_PQ_PCTCHANGE(B12,"2018-01-01","2019-12-31","3")</f>
        <v>0</v>
      </c>
      <c r="G12" s="11">
        <f>[1]!EM_S_PQ_PCTCHANGE(B12,"2018-12-31","2019-12-30","1")</f>
        <v>0</v>
      </c>
      <c r="H12" s="11">
        <f>[1]!EM_S_FA_YOY_OR(B12,E12)</f>
        <v>0</v>
      </c>
      <c r="I12" s="11">
        <f>[1]!EM_S_FA_GROSSPROFITMARGIN(B12,E12)</f>
        <v>0</v>
      </c>
      <c r="J12" s="11">
        <f>[1]!EM_S_FA_NETPROFITMARGIN(B12,E12)</f>
        <v>0</v>
      </c>
      <c r="K12" s="10">
        <f>[1]!EM_S_FA_ASSETSTURN(B12,E12)</f>
        <v>0</v>
      </c>
      <c r="L12" s="12">
        <f>[1]!EM_HKS_VAL_MV(B12,"2019-12-31","2")</f>
        <v>0</v>
      </c>
      <c r="M12">
        <f>[1]!EM_S_VAL_PETTMDEDUCTED(B12,E12)</f>
        <v>0</v>
      </c>
      <c r="N12" s="7">
        <f>[1]!EM_S_VAL_PBGOODWILLDEDUCTED(B12,E12)</f>
        <v>0</v>
      </c>
      <c r="O12" s="7">
        <f>[1]!EM_S_VAL_PS_TTM(B12,E12)</f>
        <v>0</v>
      </c>
      <c r="P12" s="7">
        <f>[1]!EM_S_VAL_PCF_NCFTTM(B12,E12)</f>
        <v>0</v>
      </c>
      <c r="Q12" s="7">
        <f>[1]!EM_S_VAL_DIVIDENDYIELD2(B12,E12,"2019-11-29")</f>
        <v>0</v>
      </c>
      <c r="T12"/>
      <c r="U12">
        <f>[1]!EM_S_RATIO_EPS_TTM(B12,E12,"1")</f>
        <v>0.24407552710428576</v>
      </c>
      <c r="AT12" s="4">
        <f>[1]!EM_S_IPO_LISTEDDATE(B12)</f>
        <v>0</v>
      </c>
    </row>
    <row r="13" spans="1:46">
      <c r="A13">
        <v>3077</v>
      </c>
      <c r="B13" t="str">
        <f>"601206"</f>
        <v>601206</v>
      </c>
      <c r="C13" t="s">
        <v>76</v>
      </c>
      <c r="D13">
        <f>[1]!EM_S_INFO_INDEX_EM(B13,"1")</f>
        <v>0</v>
      </c>
      <c r="E13" s="4">
        <f t="shared" si="0"/>
        <v>43465</v>
      </c>
      <c r="F13" s="11">
        <f>[1]!EM_S_PQ_PCTCHANGE(B13,"2018-01-01","2019-12-31","3")</f>
        <v>0</v>
      </c>
      <c r="G13" s="11">
        <f>[1]!EM_S_PQ_PCTCHANGE(B13,"2018-12-31","2019-12-30","1")</f>
        <v>0</v>
      </c>
      <c r="H13" s="11">
        <f>[1]!EM_S_FA_YOY_OR(B13,E13)</f>
        <v>0</v>
      </c>
      <c r="I13" s="11">
        <f>[1]!EM_S_FA_GROSSPROFITMARGIN(B13,E13)</f>
        <v>0</v>
      </c>
      <c r="J13" s="11">
        <f>[1]!EM_S_FA_NETPROFITMARGIN(B13,E13)</f>
        <v>0</v>
      </c>
      <c r="K13" s="10">
        <f>[1]!EM_S_FA_ASSETSTURN(B13,E13)</f>
        <v>0</v>
      </c>
      <c r="L13" s="12">
        <f>[1]!EM_HKS_VAL_MV(B13,"2019-12-31","2")</f>
        <v>0</v>
      </c>
      <c r="M13">
        <f>[1]!EM_S_VAL_PETTMDEDUCTED(B13,E13)</f>
        <v>0</v>
      </c>
      <c r="N13" s="7">
        <f>[1]!EM_S_VAL_PBGOODWILLDEDUCTED(B13,E13)</f>
        <v>0</v>
      </c>
      <c r="O13" s="7">
        <f>[1]!EM_S_VAL_PS_TTM(B13,E13)</f>
        <v>0</v>
      </c>
      <c r="P13" s="7">
        <f>[1]!EM_S_VAL_PCF_NCFTTM(B13,E13)</f>
        <v>0</v>
      </c>
      <c r="Q13" s="7">
        <f>[1]!EM_S_VAL_DIVIDENDYIELD2(B13,E13,"2019-11-29")</f>
        <v>0</v>
      </c>
      <c r="T13"/>
      <c r="U13">
        <f>[1]!EM_S_RATIO_EPS_TTM(B13,E13,"1")</f>
        <v>0.84504398579710149</v>
      </c>
      <c r="AT13" s="4">
        <f>[1]!EM_S_IPO_LISTEDDATE(B13)</f>
        <v>0</v>
      </c>
    </row>
    <row r="14" spans="1:46">
      <c r="A14">
        <v>3344</v>
      </c>
      <c r="B14" t="str">
        <f>"603302"</f>
        <v>603302</v>
      </c>
      <c r="C14" t="s">
        <v>54</v>
      </c>
      <c r="D14">
        <f>[1]!EM_S_INFO_INDEX_EM(B14,"1")</f>
        <v>0</v>
      </c>
      <c r="E14" s="4">
        <f t="shared" si="0"/>
        <v>43465</v>
      </c>
      <c r="F14" s="11">
        <f>[1]!EM_S_PQ_PCTCHANGE(B14,"2018-01-01","2019-12-31","3")</f>
        <v>0</v>
      </c>
      <c r="G14" s="11">
        <f>[1]!EM_S_PQ_PCTCHANGE(B14,"2018-12-31","2019-12-30","1")</f>
        <v>0</v>
      </c>
      <c r="H14" s="11">
        <f>[1]!EM_S_FA_YOY_OR(B14,E14)</f>
        <v>0</v>
      </c>
      <c r="I14" s="11">
        <f>[1]!EM_S_FA_GROSSPROFITMARGIN(B14,E14)</f>
        <v>0</v>
      </c>
      <c r="J14" s="11">
        <f>[1]!EM_S_FA_NETPROFITMARGIN(B14,E14)</f>
        <v>0</v>
      </c>
      <c r="K14" s="10">
        <f>[1]!EM_S_FA_ASSETSTURN(B14,E14)</f>
        <v>0</v>
      </c>
      <c r="L14" s="12">
        <f>[1]!EM_HKS_VAL_MV(B14,"2019-12-31","2")</f>
        <v>0</v>
      </c>
      <c r="M14">
        <f>[1]!EM_S_VAL_PETTMDEDUCTED(B14,E14)</f>
        <v>0</v>
      </c>
      <c r="N14" s="7">
        <f>[1]!EM_S_VAL_PBGOODWILLDEDUCTED(B14,E14)</f>
        <v>0</v>
      </c>
      <c r="O14" s="7">
        <f>[1]!EM_S_VAL_PS_TTM(B14,E14)</f>
        <v>0</v>
      </c>
      <c r="P14" s="7">
        <f>[1]!EM_S_VAL_PCF_NCFTTM(B14,E14)</f>
        <v>0</v>
      </c>
      <c r="Q14" s="7">
        <f>[1]!EM_S_VAL_DIVIDENDYIELD2(B14,E14,"2019-11-29")</f>
        <v>0</v>
      </c>
      <c r="T14"/>
      <c r="U14">
        <f>[1]!EM_S_RATIO_EPS_TTM(B14,E14,"1")</f>
        <v>0.54570464193410873</v>
      </c>
      <c r="AT14" s="4">
        <f>[1]!EM_S_IPO_LISTEDDATE(B14)</f>
        <v>0</v>
      </c>
    </row>
    <row r="15" spans="1:46">
      <c r="A15">
        <v>1975</v>
      </c>
      <c r="B15" t="str">
        <f>"300552"</f>
        <v>300552</v>
      </c>
      <c r="C15" t="s">
        <v>3528</v>
      </c>
      <c r="D15" t="str">
        <f>[1]!EM_S_INFO_INDEX_EM(B15,"1")</f>
        <v>信息技术</v>
      </c>
      <c r="E15" s="4">
        <f t="shared" si="0"/>
        <v>43465</v>
      </c>
      <c r="F15" s="11">
        <f>[1]!EM_S_PQ_PCTCHANGE(B15,"2018-01-01","2019-12-31","3")</f>
        <v>228.53976814999999</v>
      </c>
      <c r="G15" s="11">
        <f>[1]!EM_S_PQ_PCTCHANGE(B15,"2018-12-31","2019-12-30","1")</f>
        <v>480.27777778000001</v>
      </c>
      <c r="H15" s="11">
        <f>[1]!EM_S_FA_YOY_OR(B15,E15)</f>
        <v>10.1333008937</v>
      </c>
      <c r="I15" s="11">
        <f>[1]!EM_S_FA_GROSSPROFITMARGIN(B15,E15)</f>
        <v>34.685706325200002</v>
      </c>
      <c r="J15" s="11">
        <f>[1]!EM_S_FA_NETPROFITMARGIN(B15,E15)</f>
        <v>0.8939925178</v>
      </c>
      <c r="K15" s="10">
        <f>[1]!EM_S_FA_ASSETSTURN(B15,E15)</f>
        <v>0.584753308804</v>
      </c>
      <c r="L15" s="12">
        <f>[1]!EM_HKS_VAL_MV(B15,"2019-12-31","2")</f>
        <v>9278733440</v>
      </c>
      <c r="M15">
        <f>[1]!EM_S_VAL_PETTMDEDUCTED(B15,E15)</f>
        <v>3800.7891964225901</v>
      </c>
      <c r="N15" s="7">
        <f>[1]!EM_S_VAL_PBGOODWILLDEDUCTED(B15,E15)</f>
        <v>2.0451172166922298</v>
      </c>
      <c r="O15" s="7">
        <f>[1]!EM_S_VAL_PS_TTM(B15,E15)</f>
        <v>2.3364676630787602</v>
      </c>
      <c r="P15" s="7">
        <f>[1]!EM_S_VAL_PCF_NCFTTM(B15,E15)</f>
        <v>230.67238246721999</v>
      </c>
      <c r="Q15" s="7">
        <f>[1]!EM_S_VAL_DIVIDENDYIELD2(B15,E15,"2019-11-29")</f>
        <v>1.7246201136459419E-2</v>
      </c>
      <c r="T15"/>
      <c r="U15">
        <f>[1]!EM_S_RATIO_EPS_TTM(B15,E15,"1")</f>
        <v>6.1098751333211937E-2</v>
      </c>
      <c r="AT15" s="4" t="str">
        <f>[1]!EM_S_IPO_LISTEDDATE(B15)</f>
        <v>2016-10-21</v>
      </c>
    </row>
    <row r="16" spans="1:46">
      <c r="A16">
        <v>2018</v>
      </c>
      <c r="B16" t="str">
        <f>"300598"</f>
        <v>300598</v>
      </c>
      <c r="C16" t="s">
        <v>3460</v>
      </c>
      <c r="D16" t="str">
        <f>[1]!EM_S_INFO_INDEX_EM(B16,"1")</f>
        <v>信息技术</v>
      </c>
      <c r="E16" s="4">
        <f t="shared" si="0"/>
        <v>43465</v>
      </c>
      <c r="F16" s="11">
        <f>[1]!EM_S_PQ_PCTCHANGE(B16,"2018-01-01","2019-12-31","3")</f>
        <v>333.46422747000003</v>
      </c>
      <c r="G16" s="11">
        <f>[1]!EM_S_PQ_PCTCHANGE(B16,"2018-12-31","2019-12-30","1")</f>
        <v>476.57326596000001</v>
      </c>
      <c r="H16" s="11">
        <f>[1]!EM_S_FA_YOY_OR(B16,E16)</f>
        <v>9.8621682707999998</v>
      </c>
      <c r="I16" s="11">
        <f>[1]!EM_S_FA_GROSSPROFITMARGIN(B16,E16)</f>
        <v>27.738515146899999</v>
      </c>
      <c r="J16" s="11">
        <f>[1]!EM_S_FA_NETPROFITMARGIN(B16,E16)</f>
        <v>2.7382040621999999</v>
      </c>
      <c r="K16" s="10">
        <f>[1]!EM_S_FA_ASSETSTURN(B16,E16)</f>
        <v>0.94121973434700001</v>
      </c>
      <c r="L16" s="12">
        <f>[1]!EM_HKS_VAL_MV(B16,"2019-12-31","2")</f>
        <v>10053600000</v>
      </c>
      <c r="M16">
        <f>[1]!EM_S_VAL_PETTMDEDUCTED(B16,E16)</f>
        <v>193.230765689924</v>
      </c>
      <c r="N16" s="7">
        <f>[1]!EM_S_VAL_PBGOODWILLDEDUCTED(B16,E16)</f>
        <v>3.80183397913604</v>
      </c>
      <c r="O16" s="7">
        <f>[1]!EM_S_VAL_PS_TTM(B16,E16)</f>
        <v>3.4790013501039398</v>
      </c>
      <c r="P16" s="7">
        <f>[1]!EM_S_VAL_PCF_NCFTTM(B16,E16)</f>
        <v>-32.876345318771797</v>
      </c>
      <c r="Q16" s="7">
        <f>[1]!EM_S_VAL_DIVIDENDYIELD2(B16,E16,"2019-11-29")</f>
        <v>2.7775205999444493E-2</v>
      </c>
      <c r="T16"/>
      <c r="U16">
        <f>[1]!EM_S_RATIO_EPS_TTM(B16,E16,"1")</f>
        <v>0.19897354075000001</v>
      </c>
      <c r="AT16" s="4" t="str">
        <f>[1]!EM_S_IPO_LISTEDDATE(B16)</f>
        <v>2017-01-20</v>
      </c>
    </row>
    <row r="17" spans="1:46">
      <c r="A17">
        <v>1063</v>
      </c>
      <c r="B17" t="str">
        <f>"002552"</f>
        <v>002552</v>
      </c>
      <c r="C17" t="s">
        <v>2386</v>
      </c>
      <c r="D17" t="str">
        <f>[1]!EM_S_INFO_INDEX_EM(B17,"1")</f>
        <v>机械设备</v>
      </c>
      <c r="E17" s="4">
        <f t="shared" si="0"/>
        <v>43465</v>
      </c>
      <c r="F17" s="11">
        <f>[1]!EM_S_PQ_PCTCHANGE(B17,"2018-01-01","2019-12-31","3")</f>
        <v>165.36842104999999</v>
      </c>
      <c r="G17" s="11">
        <f>[1]!EM_S_PQ_PCTCHANGE(B17,"2019-01-01","2019-12-31","3")</f>
        <v>392.3828125</v>
      </c>
      <c r="H17" s="11">
        <f>[1]!EM_S_FA_YOY_OR(B17,E17)</f>
        <v>30.314615863299998</v>
      </c>
      <c r="I17" s="11">
        <f>[1]!EM_S_FA_GROSSPROFITMARGIN(B17,E17)</f>
        <v>21.893630484900001</v>
      </c>
      <c r="J17" s="11">
        <f>[1]!EM_S_FA_NETPROFITMARGIN(B17,E17)</f>
        <v>9.2286652983999993</v>
      </c>
      <c r="K17" s="10">
        <f>[1]!EM_S_FA_ASSETSTURN(B17,E17)</f>
        <v>0.37211606228499999</v>
      </c>
      <c r="L17" s="12">
        <f>[1]!EM_HKS_VAL_MV(B17,"2019-12-31","2")</f>
        <v>7720117240.9799995</v>
      </c>
      <c r="M17">
        <f>[1]!EM_S_VAL_PETTMDEDUCTED(B17,E17)</f>
        <v>-6.6391676205655603</v>
      </c>
      <c r="N17" s="7">
        <f>[1]!EM_S_VAL_PBGOODWILLDEDUCTED(B17,E17)</f>
        <v>2.5852031606128199</v>
      </c>
      <c r="O17" s="7">
        <f>[1]!EM_S_VAL_PS_TTM(B17,E17)</f>
        <v>5.5327785723179401</v>
      </c>
      <c r="P17" s="7">
        <f>[1]!EM_S_VAL_PCF_NCFTTM(B17,E17)</f>
        <v>-21.004148610985101</v>
      </c>
      <c r="Q17" s="7">
        <f>[1]!EM_S_VAL_DIVIDENDYIELD2(B17,E17,"2019-11-29")</f>
        <v>0</v>
      </c>
      <c r="T17"/>
      <c r="U17">
        <f>[1]!EM_S_RATIO_EPS_TTM(B17,E17,"1")</f>
        <v>9.3689235328242831E-2</v>
      </c>
      <c r="AT17" s="4" t="str">
        <f>[1]!EM_S_IPO_LISTEDDATE(B17)</f>
        <v>2011-02-25</v>
      </c>
    </row>
    <row r="18" spans="1:46">
      <c r="A18">
        <v>3411</v>
      </c>
      <c r="B18" t="str">
        <f>"603501"</f>
        <v>603501</v>
      </c>
      <c r="C18" t="s">
        <v>619</v>
      </c>
      <c r="D18" t="str">
        <f>[1]!EM_S_INFO_INDEX_EM(B18,"1")</f>
        <v>电子设备</v>
      </c>
      <c r="E18" s="4">
        <f t="shared" si="0"/>
        <v>43465</v>
      </c>
      <c r="F18" s="11">
        <f>[1]!EM_S_PQ_PCTCHANGE(B18,"2018-01-01","2019-12-31","3")</f>
        <v>244.82930225000001</v>
      </c>
      <c r="G18" s="11">
        <f>[1]!EM_S_PQ_PCTCHANGE(B18,"2018-12-31","2019-12-30","1")</f>
        <v>389.96257229999998</v>
      </c>
      <c r="H18" s="11">
        <f>[1]!EM_S_FA_YOY_OR(B18,E18)</f>
        <v>64.740123307199994</v>
      </c>
      <c r="I18" s="11">
        <f>[1]!EM_S_FA_GROSSPROFITMARGIN(B18,E18)</f>
        <v>23.4108109543</v>
      </c>
      <c r="J18" s="11">
        <f>[1]!EM_S_FA_NETPROFITMARGIN(B18,E18)</f>
        <v>2.9186631650999999</v>
      </c>
      <c r="K18" s="10">
        <f>[1]!EM_S_FA_ASSETSTURN(B18,E18)</f>
        <v>1.0676435314399999</v>
      </c>
      <c r="L18" s="12">
        <f>[1]!EM_HKS_VAL_MV(B18,"2019-12-31","2")</f>
        <v>123849144853.2</v>
      </c>
      <c r="M18">
        <f>[1]!EM_S_VAL_PETTMDEDUCTED(B18,E18)</f>
        <v>49.069320719196</v>
      </c>
      <c r="N18" s="7">
        <f>[1]!EM_S_VAL_PBGOODWILLDEDUCTED(B18,E18)</f>
        <v>8.5820808004047304</v>
      </c>
      <c r="O18" s="7">
        <f>[1]!EM_S_VAL_PS_TTM(B18,E18)</f>
        <v>3.4339845965756801</v>
      </c>
      <c r="P18" s="7">
        <f>[1]!EM_S_VAL_PCF_NCFTTM(B18,E18)</f>
        <v>275.93879305656799</v>
      </c>
      <c r="Q18" s="7">
        <f>[1]!EM_S_VAL_DIVIDENDYIELD2(B18,E18,"2019-11-29")</f>
        <v>7.5858997455470936E-2</v>
      </c>
      <c r="T18"/>
      <c r="U18">
        <f>[1]!EM_S_RATIO_EPS_TTM(B18,E18,"1")</f>
        <v>0.30451978774497329</v>
      </c>
      <c r="AT18" s="4" t="str">
        <f>[1]!EM_S_IPO_LISTEDDATE(B18)</f>
        <v>2017-05-04</v>
      </c>
    </row>
    <row r="19" spans="1:46">
      <c r="A19">
        <v>2080</v>
      </c>
      <c r="B19" t="str">
        <f>"300661"</f>
        <v>300661</v>
      </c>
      <c r="C19" t="s">
        <v>1189</v>
      </c>
      <c r="D19" t="str">
        <f>[1]!EM_S_INFO_INDEX_EM(B19,"1")</f>
        <v>电子设备</v>
      </c>
      <c r="E19" s="4">
        <f t="shared" si="0"/>
        <v>43465</v>
      </c>
      <c r="F19" s="11">
        <f>[1]!EM_S_PQ_PCTCHANGE(B19,"2018-01-01","2019-12-31","3")</f>
        <v>356.14945417000001</v>
      </c>
      <c r="G19" s="11">
        <f>[1]!EM_S_PQ_PCTCHANGE(B19,"2019-01-01","2019-12-31","3")</f>
        <v>379.99932917000001</v>
      </c>
      <c r="H19" s="11">
        <f>[1]!EM_S_FA_YOY_OR(B19,E19)</f>
        <v>7.6927594818999996</v>
      </c>
      <c r="I19" s="11">
        <f>[1]!EM_S_FA_GROSSPROFITMARGIN(B19,E19)</f>
        <v>45.937184818399999</v>
      </c>
      <c r="J19" s="11">
        <f>[1]!EM_S_FA_NETPROFITMARGIN(B19,E19)</f>
        <v>18.115902977099999</v>
      </c>
      <c r="K19" s="10">
        <f>[1]!EM_S_FA_ASSETSTURN(B19,E19)</f>
        <v>0.571342027679</v>
      </c>
      <c r="L19" s="12">
        <f>[1]!EM_HKS_VAL_MV(B19,"2019-12-31","2")</f>
        <v>26162475743.040001</v>
      </c>
      <c r="M19">
        <f>[1]!EM_S_VAL_PETTMDEDUCTED(B19,E19)</f>
        <v>55.7995643581637</v>
      </c>
      <c r="N19" s="7">
        <f>[1]!EM_S_VAL_PBGOODWILLDEDUCTED(B19,E19)</f>
        <v>6.27030539310568</v>
      </c>
      <c r="O19" s="7">
        <f>[1]!EM_S_VAL_PS_TTM(B19,E19)</f>
        <v>9.1253133920952703</v>
      </c>
      <c r="P19" s="7">
        <f>[1]!EM_S_VAL_PCF_NCFTTM(B19,E19)</f>
        <v>44.884878865237802</v>
      </c>
      <c r="Q19" s="7">
        <f>[1]!EM_S_VAL_DIVIDENDYIELD2(B19,E19,"2019-11-29")</f>
        <v>0.12550807194200089</v>
      </c>
      <c r="T19"/>
      <c r="U19">
        <f>[1]!EM_S_RATIO_EPS_TTM(B19,E19,"1")</f>
        <v>1.3061374081762804</v>
      </c>
      <c r="AT19" s="4" t="str">
        <f>[1]!EM_S_IPO_LISTEDDATE(B19)</f>
        <v>2017-06-06</v>
      </c>
    </row>
    <row r="20" spans="1:46">
      <c r="A20">
        <v>1648</v>
      </c>
      <c r="B20" t="str">
        <f>"300223"</f>
        <v>300223</v>
      </c>
      <c r="C20" t="s">
        <v>2892</v>
      </c>
      <c r="D20" t="str">
        <f>[1]!EM_S_INFO_INDEX_EM(B20,"1")</f>
        <v>电子设备</v>
      </c>
      <c r="E20" s="4">
        <f t="shared" si="0"/>
        <v>43465</v>
      </c>
      <c r="F20" s="11">
        <f>[1]!EM_S_PQ_PCTCHANGE(B20,"2018-01-01","2019-12-31","3")</f>
        <v>195.51670041</v>
      </c>
      <c r="G20" s="11">
        <f>[1]!EM_S_PQ_PCTCHANGE(B20,"2019-01-01","2019-12-31","3")</f>
        <v>378.04994295</v>
      </c>
      <c r="H20" s="11">
        <f>[1]!EM_S_FA_YOY_OR(B20,E20)</f>
        <v>40.767770931199998</v>
      </c>
      <c r="I20" s="11">
        <f>[1]!EM_S_FA_GROSSPROFITMARGIN(B20,E20)</f>
        <v>39.863106747899998</v>
      </c>
      <c r="J20" s="11">
        <f>[1]!EM_S_FA_NETPROFITMARGIN(B20,E20)</f>
        <v>5.2048523980999999</v>
      </c>
      <c r="K20" s="10">
        <f>[1]!EM_S_FA_ASSETSTURN(B20,E20)</f>
        <v>0.220550967003</v>
      </c>
      <c r="L20" s="12">
        <f>[1]!EM_HKS_VAL_MV(B20,"2019-12-31","2")</f>
        <v>17545697551.200001</v>
      </c>
      <c r="M20">
        <f>[1]!EM_S_VAL_PETTMDEDUCTED(B20,E20)</f>
        <v>-461.485586233834</v>
      </c>
      <c r="N20" s="7">
        <f>[1]!EM_S_VAL_PBGOODWILLDEDUCTED(B20,E20)</f>
        <v>3.2067813373371199</v>
      </c>
      <c r="O20" s="7">
        <f>[1]!EM_S_VAL_PS_TTM(B20,E20)</f>
        <v>16.506021113312599</v>
      </c>
      <c r="P20" s="7">
        <f>[1]!EM_S_VAL_PCF_NCFTTM(B20,E20)</f>
        <v>71.418842049227095</v>
      </c>
      <c r="Q20" s="7">
        <f>[1]!EM_S_VAL_DIVIDENDYIELD2(B20,E20,"2019-11-29")</f>
        <v>4.7500751792232947E-2</v>
      </c>
      <c r="T20"/>
      <c r="U20">
        <f>[1]!EM_S_RATIO_EPS_TTM(B20,E20,"1")</f>
        <v>6.7353550592321662E-2</v>
      </c>
      <c r="AT20" s="4" t="str">
        <f>[1]!EM_S_IPO_LISTEDDATE(B20)</f>
        <v>2011-05-31</v>
      </c>
    </row>
    <row r="21" spans="1:46">
      <c r="A21">
        <v>1950</v>
      </c>
      <c r="B21" t="str">
        <f>"300526"</f>
        <v>300526</v>
      </c>
      <c r="C21" t="s">
        <v>1767</v>
      </c>
      <c r="D21" t="str">
        <f>[1]!EM_S_INFO_INDEX_EM(B21,"1")</f>
        <v>纺织服装</v>
      </c>
      <c r="E21" s="4">
        <f t="shared" si="0"/>
        <v>43465</v>
      </c>
      <c r="F21" s="11">
        <f>[1]!EM_S_PQ_PCTCHANGE(B21,"2018-01-01","2019-12-31","3")</f>
        <v>206.98760813999999</v>
      </c>
      <c r="G21" s="11">
        <f>[1]!EM_S_PQ_PCTCHANGE(B21,"2018-12-31","2019-12-30","1")</f>
        <v>363.96074933</v>
      </c>
      <c r="H21" s="11">
        <f>[1]!EM_S_FA_YOY_OR(B21,E21)</f>
        <v>4.2435433471000001</v>
      </c>
      <c r="I21" s="11">
        <f>[1]!EM_S_FA_GROSSPROFITMARGIN(B21,E21)</f>
        <v>31.993938886199999</v>
      </c>
      <c r="J21" s="11">
        <f>[1]!EM_S_FA_NETPROFITMARGIN(B21,E21)</f>
        <v>5.6626851208</v>
      </c>
      <c r="K21" s="10">
        <f>[1]!EM_S_FA_ASSETSTURN(B21,E21)</f>
        <v>0.42084472240300003</v>
      </c>
      <c r="L21" s="12">
        <f>[1]!EM_HKS_VAL_MV(B21,"2019-12-31","2")</f>
        <v>9557005696</v>
      </c>
      <c r="M21">
        <f>[1]!EM_S_VAL_PETTMDEDUCTED(B21,E21)</f>
        <v>84.985457058006006</v>
      </c>
      <c r="N21" s="7">
        <f>[1]!EM_S_VAL_PBGOODWILLDEDUCTED(B21,E21)</f>
        <v>3.8205503910418801</v>
      </c>
      <c r="O21" s="7">
        <f>[1]!EM_S_VAL_PS_TTM(B21,E21)</f>
        <v>4.7780006485424202</v>
      </c>
      <c r="P21" s="7">
        <f>[1]!EM_S_VAL_PCF_NCFTTM(B21,E21)</f>
        <v>92.755554012043007</v>
      </c>
      <c r="Q21" s="7">
        <f>[1]!EM_S_VAL_DIVIDENDYIELD2(B21,E21,"2019-11-29")</f>
        <v>7.0804087385482731E-2</v>
      </c>
      <c r="T21"/>
      <c r="U21">
        <f>[1]!EM_S_RATIO_EPS_TTM(B21,E21,"1")</f>
        <v>0.13238144664034165</v>
      </c>
      <c r="AT21" s="4" t="str">
        <f>[1]!EM_S_IPO_LISTEDDATE(B21)</f>
        <v>2016-08-02</v>
      </c>
    </row>
    <row r="22" spans="1:46">
      <c r="A22">
        <v>862</v>
      </c>
      <c r="B22" t="str">
        <f>"002351"</f>
        <v>002351</v>
      </c>
      <c r="C22" t="s">
        <v>2006</v>
      </c>
      <c r="D22" t="str">
        <f>[1]!EM_S_INFO_INDEX_EM(B22,"1")</f>
        <v>电子设备</v>
      </c>
      <c r="E22" s="4">
        <f t="shared" si="0"/>
        <v>43465</v>
      </c>
      <c r="F22" s="11">
        <f>[1]!EM_S_PQ_PCTCHANGE(B22,"2018-01-01","2019-12-31","3")</f>
        <v>171.37527483</v>
      </c>
      <c r="G22" s="11">
        <f>[1]!EM_S_PQ_PCTCHANGE(B22,"2018-12-31","2019-12-30","1")</f>
        <v>354.45344130000001</v>
      </c>
      <c r="H22" s="11">
        <f>[1]!EM_S_FA_YOY_OR(B22,E22)</f>
        <v>-2.2118431759999999</v>
      </c>
      <c r="I22" s="11">
        <f>[1]!EM_S_FA_GROSSPROFITMARGIN(B22,E22)</f>
        <v>31.3491923126</v>
      </c>
      <c r="J22" s="11">
        <f>[1]!EM_S_FA_NETPROFITMARGIN(B22,E22)</f>
        <v>5.2188296298000001</v>
      </c>
      <c r="K22" s="10">
        <f>[1]!EM_S_FA_ASSETSTURN(B22,E22)</f>
        <v>0.44046125723700003</v>
      </c>
      <c r="L22" s="12">
        <f>[1]!EM_HKS_VAL_MV(B22,"2019-12-31","2")</f>
        <v>13337212500</v>
      </c>
      <c r="M22">
        <f>[1]!EM_S_VAL_PETTMDEDUCTED(B22,E22)</f>
        <v>93.072896735017395</v>
      </c>
      <c r="N22" s="7">
        <f>[1]!EM_S_VAL_PBGOODWILLDEDUCTED(B22,E22)</f>
        <v>1.6494927594812701</v>
      </c>
      <c r="O22" s="7">
        <f>[1]!EM_S_VAL_PS_TTM(B22,E22)</f>
        <v>3.3829711722810099</v>
      </c>
      <c r="P22" s="7">
        <f>[1]!EM_S_VAL_PCF_NCFTTM(B22,E22)</f>
        <v>-115.880599319323</v>
      </c>
      <c r="Q22" s="7">
        <f>[1]!EM_S_VAL_DIVIDENDYIELD2(B22,E22,"2019-11-29")</f>
        <v>0.65390277274018094</v>
      </c>
      <c r="T22"/>
      <c r="U22">
        <f>[1]!EM_S_RATIO_EPS_TTM(B22,E22,"1")</f>
        <v>8.9669082234576827E-2</v>
      </c>
      <c r="AT22" s="4" t="str">
        <f>[1]!EM_S_IPO_LISTEDDATE(B22)</f>
        <v>2010-02-05</v>
      </c>
    </row>
    <row r="23" spans="1:46">
      <c r="A23">
        <v>1111</v>
      </c>
      <c r="B23" t="str">
        <f>"002600"</f>
        <v>002600</v>
      </c>
      <c r="C23" t="s">
        <v>339</v>
      </c>
      <c r="D23" t="str">
        <f>[1]!EM_S_INFO_INDEX_EM(B23,"1")</f>
        <v>电子设备</v>
      </c>
      <c r="E23" s="4">
        <f t="shared" si="0"/>
        <v>43465</v>
      </c>
      <c r="F23" s="11">
        <f>[1]!EM_S_PQ_PCTCHANGE(B23,"2018-01-01","2019-12-31","3")</f>
        <v>29.62962963</v>
      </c>
      <c r="G23" s="11">
        <f>[1]!EM_S_PQ_PCTCHANGE(B23,"2018-12-31","2019-12-30","1")</f>
        <v>340</v>
      </c>
      <c r="H23" s="11">
        <f>[1]!EM_S_FA_YOY_OR(B23,E23)</f>
        <v>133.4804933826</v>
      </c>
      <c r="I23" s="11">
        <f>[1]!EM_S_FA_GROSSPROFITMARGIN(B23,E23)</f>
        <v>20.179311592099999</v>
      </c>
      <c r="J23" s="11">
        <f>[1]!EM_S_FA_NETPROFITMARGIN(B23,E23)</f>
        <v>-3.3140861951999998</v>
      </c>
      <c r="K23" s="10">
        <f>[1]!EM_S_FA_ASSETSTURN(B23,E23)</f>
        <v>1.216849070346</v>
      </c>
      <c r="L23" s="12">
        <f>[1]!EM_HKS_VAL_MV(B23,"2019-12-31","2")</f>
        <v>74073790224</v>
      </c>
      <c r="M23">
        <f>[1]!EM_S_VAL_PETTMDEDUCTED(B23,E23)</f>
        <v>-16.9156823930077</v>
      </c>
      <c r="N23" s="7">
        <f>[1]!EM_S_VAL_PBGOODWILLDEDUCTED(B23,E23)</f>
        <v>2.0986640011560498</v>
      </c>
      <c r="O23" s="7">
        <f>[1]!EM_S_VAL_PS_TTM(B23,E23)</f>
        <v>0.646570251401274</v>
      </c>
      <c r="P23" s="7">
        <f>[1]!EM_S_VAL_PCF_NCFTTM(B23,E23)</f>
        <v>10.557344082743001</v>
      </c>
      <c r="Q23" s="7">
        <f>[1]!EM_S_VAL_DIVIDENDYIELD2(B23,E23,"2019-11-29")</f>
        <v>0</v>
      </c>
      <c r="T23"/>
      <c r="U23">
        <f>[1]!EM_S_RATIO_EPS_TTM(B23,E23,"1")</f>
        <v>-9.9614737829107097E-2</v>
      </c>
      <c r="AT23" s="4" t="str">
        <f>[1]!EM_S_IPO_LISTEDDATE(B23)</f>
        <v>2011-07-15</v>
      </c>
    </row>
    <row r="24" spans="1:46">
      <c r="A24">
        <v>2818</v>
      </c>
      <c r="B24" t="str">
        <f>"600745"</f>
        <v>600745</v>
      </c>
      <c r="C24" t="s">
        <v>3473</v>
      </c>
      <c r="D24" t="str">
        <f>[1]!EM_S_INFO_INDEX_EM(B24,"1")</f>
        <v>电子设备</v>
      </c>
      <c r="E24" s="4">
        <f t="shared" si="0"/>
        <v>43465</v>
      </c>
      <c r="F24" s="11">
        <f>[1]!EM_S_PQ_PCTCHANGE(B24,"2018-01-01","2019-12-31","3")</f>
        <v>174.41653054</v>
      </c>
      <c r="G24" s="11">
        <f>[1]!EM_S_PQ_PCTCHANGE(B24,"2018-12-31","2019-12-30","1")</f>
        <v>337.05631803</v>
      </c>
      <c r="H24" s="11">
        <f>[1]!EM_S_FA_YOY_OR(B24,E24)</f>
        <v>2.4761777377</v>
      </c>
      <c r="I24" s="11">
        <f>[1]!EM_S_FA_GROSSPROFITMARGIN(B24,E24)</f>
        <v>9.0631336064999992</v>
      </c>
      <c r="J24" s="11">
        <f>[1]!EM_S_FA_NETPROFITMARGIN(B24,E24)</f>
        <v>0.41614815129999999</v>
      </c>
      <c r="K24" s="10">
        <f>[1]!EM_S_FA_ASSETSTURN(B24,E24)</f>
        <v>1.2445539324599999</v>
      </c>
      <c r="L24" s="12">
        <f>[1]!EM_HKS_VAL_MV(B24,"2019-12-31","2")</f>
        <v>103973118082.5</v>
      </c>
      <c r="M24">
        <f>[1]!EM_S_VAL_PETTMDEDUCTED(B24,E24)</f>
        <v>-74.311286967004904</v>
      </c>
      <c r="N24" s="7">
        <f>[1]!EM_S_VAL_PBGOODWILLDEDUCTED(B24,E24)</f>
        <v>5.8687222124387199</v>
      </c>
      <c r="O24" s="7">
        <f>[1]!EM_S_VAL_PS_TTM(B24,E24)</f>
        <v>0.87642275306489004</v>
      </c>
      <c r="P24" s="7">
        <f>[1]!EM_S_VAL_PCF_NCFTTM(B24,E24)</f>
        <v>59.9728360574749</v>
      </c>
      <c r="Q24" s="7">
        <f>[1]!EM_S_VAL_DIVIDENDYIELD2(B24,E24,"2019-11-29")</f>
        <v>0</v>
      </c>
      <c r="T24"/>
      <c r="U24">
        <f>[1]!EM_S_RATIO_EPS_TTM(B24,E24,"1")</f>
        <v>9.5751584792122424E-2</v>
      </c>
      <c r="AT24" s="4" t="str">
        <f>[1]!EM_S_IPO_LISTEDDATE(B24)</f>
        <v>1996-08-28</v>
      </c>
    </row>
    <row r="25" spans="1:46">
      <c r="A25">
        <v>1995</v>
      </c>
      <c r="B25" t="str">
        <f>"300573"</f>
        <v>300573</v>
      </c>
      <c r="C25" t="s">
        <v>3285</v>
      </c>
      <c r="D25" t="str">
        <f>[1]!EM_S_INFO_INDEX_EM(B25,"1")</f>
        <v>医药生物</v>
      </c>
      <c r="E25" s="4">
        <f t="shared" si="0"/>
        <v>43465</v>
      </c>
      <c r="F25" s="11">
        <f>[1]!EM_S_PQ_PCTCHANGE(B25,"2018-01-01","2019-12-31","3")</f>
        <v>200.65443522999999</v>
      </c>
      <c r="G25" s="11">
        <f>[1]!EM_S_PQ_PCTCHANGE(B25,"2018-12-31","2019-12-30","1")</f>
        <v>332.24271267</v>
      </c>
      <c r="H25" s="11">
        <f>[1]!EM_S_FA_YOY_OR(B25,E25)</f>
        <v>19.776863513399999</v>
      </c>
      <c r="I25" s="11">
        <f>[1]!EM_S_FA_GROSSPROFITMARGIN(B25,E25)</f>
        <v>72.319679255599993</v>
      </c>
      <c r="J25" s="11">
        <f>[1]!EM_S_FA_NETPROFITMARGIN(B25,E25)</f>
        <v>2.0891030547999998</v>
      </c>
      <c r="K25" s="10">
        <f>[1]!EM_S_FA_ASSETSTURN(B25,E25)</f>
        <v>0.62270296551000004</v>
      </c>
      <c r="L25" s="12">
        <f>[1]!EM_HKS_VAL_MV(B25,"2019-12-31","2")</f>
        <v>6047064800</v>
      </c>
      <c r="M25">
        <f>[1]!EM_S_VAL_PETTMDEDUCTED(B25,E25)</f>
        <v>180.09388386981101</v>
      </c>
      <c r="N25" s="7">
        <f>[1]!EM_S_VAL_PBGOODWILLDEDUCTED(B25,E25)</f>
        <v>2.5400182477620499</v>
      </c>
      <c r="O25" s="7">
        <f>[1]!EM_S_VAL_PS_TTM(B25,E25)</f>
        <v>3.3328215664669099</v>
      </c>
      <c r="P25" s="7">
        <f>[1]!EM_S_VAL_PCF_NCFTTM(B25,E25)</f>
        <v>-574.133350103716</v>
      </c>
      <c r="Q25" s="7">
        <f>[1]!EM_S_VAL_DIVIDENDYIELD2(B25,E25,"2019-11-29")</f>
        <v>0.294811320754717</v>
      </c>
      <c r="T25"/>
      <c r="U25">
        <f>[1]!EM_S_RATIO_EPS_TTM(B25,E25,"1")</f>
        <v>0.16570015601116098</v>
      </c>
      <c r="AT25" s="4" t="str">
        <f>[1]!EM_S_IPO_LISTEDDATE(B25)</f>
        <v>2016-12-08</v>
      </c>
    </row>
    <row r="26" spans="1:46">
      <c r="A26">
        <v>1369</v>
      </c>
      <c r="B26" t="str">
        <f>"002869"</f>
        <v>002869</v>
      </c>
      <c r="C26" t="s">
        <v>2550</v>
      </c>
      <c r="D26" t="str">
        <f>[1]!EM_S_INFO_INDEX_EM(B26,"1")</f>
        <v>电子设备</v>
      </c>
      <c r="E26" s="4">
        <f t="shared" si="0"/>
        <v>43465</v>
      </c>
      <c r="F26" s="11">
        <f>[1]!EM_S_PQ_PCTCHANGE(B26,"2018-01-01","2019-12-31","3")</f>
        <v>108.72750480000001</v>
      </c>
      <c r="G26" s="11">
        <f>[1]!EM_S_PQ_PCTCHANGE(B26,"2018-12-31","2019-12-30","1")</f>
        <v>307.96963947</v>
      </c>
      <c r="H26" s="11">
        <f>[1]!EM_S_FA_YOY_OR(B26,E26)</f>
        <v>-2.9859102475000001</v>
      </c>
      <c r="I26" s="11">
        <f>[1]!EM_S_FA_GROSSPROFITMARGIN(B26,E26)</f>
        <v>38.390646288200003</v>
      </c>
      <c r="J26" s="11">
        <f>[1]!EM_S_FA_NETPROFITMARGIN(B26,E26)</f>
        <v>2.7497113232000001</v>
      </c>
      <c r="K26" s="10">
        <f>[1]!EM_S_FA_ASSETSTURN(B26,E26)</f>
        <v>0.43741649551200001</v>
      </c>
      <c r="L26" s="12">
        <f>[1]!EM_HKS_VAL_MV(B26,"2019-12-31","2")</f>
        <v>7873451458.1300001</v>
      </c>
      <c r="M26">
        <f>[1]!EM_S_VAL_PETTMDEDUCTED(B26,E26)</f>
        <v>160.270755272266</v>
      </c>
      <c r="N26" s="7">
        <f>[1]!EM_S_VAL_PBGOODWILLDEDUCTED(B26,E26)</f>
        <v>1.8458985229424301</v>
      </c>
      <c r="O26" s="7">
        <f>[1]!EM_S_VAL_PS_TTM(B26,E26)</f>
        <v>3.45190080286168</v>
      </c>
      <c r="P26" s="7">
        <f>[1]!EM_S_VAL_PCF_NCFTTM(B26,E26)</f>
        <v>-4.3669882310656902</v>
      </c>
      <c r="Q26" s="7">
        <f>[1]!EM_S_VAL_DIVIDENDYIELD2(B26,E26,"2019-11-29")</f>
        <v>9.9603877020298395E-2</v>
      </c>
      <c r="T26"/>
      <c r="U26">
        <f>[1]!EM_S_RATIO_EPS_TTM(B26,E26,"1")</f>
        <v>0.18377861281833616</v>
      </c>
      <c r="AT26" s="4" t="str">
        <f>[1]!EM_S_IPO_LISTEDDATE(B26)</f>
        <v>2017-05-15</v>
      </c>
    </row>
    <row r="27" spans="1:46">
      <c r="A27">
        <v>1645</v>
      </c>
      <c r="B27" t="str">
        <f>"300220"</f>
        <v>300220</v>
      </c>
      <c r="C27" t="s">
        <v>1568</v>
      </c>
      <c r="D27" t="str">
        <f>[1]!EM_S_INFO_INDEX_EM(B27,"1")</f>
        <v>电子设备</v>
      </c>
      <c r="E27" s="4">
        <f t="shared" si="0"/>
        <v>43465</v>
      </c>
      <c r="F27" s="11">
        <f>[1]!EM_S_PQ_PCTCHANGE(B27,"2018-01-01","2019-12-31","3")</f>
        <v>94.005139729999996</v>
      </c>
      <c r="G27" s="11">
        <f>[1]!EM_S_PQ_PCTCHANGE(B27,"2019-01-01","2019-12-31","3")</f>
        <v>300.94395544999998</v>
      </c>
      <c r="H27" s="11">
        <f>[1]!EM_S_FA_YOY_OR(B27,E27)</f>
        <v>15.051751300099999</v>
      </c>
      <c r="I27" s="11">
        <f>[1]!EM_S_FA_GROSSPROFITMARGIN(B27,E27)</f>
        <v>33.420942792200002</v>
      </c>
      <c r="J27" s="11">
        <f>[1]!EM_S_FA_NETPROFITMARGIN(B27,E27)</f>
        <v>3.6876493156999999</v>
      </c>
      <c r="K27" s="10">
        <f>[1]!EM_S_FA_ASSETSTURN(B27,E27)</f>
        <v>0.60233732787899996</v>
      </c>
      <c r="L27" s="12">
        <f>[1]!EM_HKS_VAL_MV(B27,"2019-12-31","2")</f>
        <v>4924080000</v>
      </c>
      <c r="M27">
        <f>[1]!EM_S_VAL_PETTMDEDUCTED(B27,E27)</f>
        <v>-21.3069607773642</v>
      </c>
      <c r="N27" s="7">
        <f>[1]!EM_S_VAL_PBGOODWILLDEDUCTED(B27,E27)</f>
        <v>4.9021281845954103</v>
      </c>
      <c r="O27" s="7">
        <f>[1]!EM_S_VAL_PS_TTM(B27,E27)</f>
        <v>6.4253405780317401</v>
      </c>
      <c r="P27" s="7">
        <f>[1]!EM_S_VAL_PCF_NCFTTM(B27,E27)</f>
        <v>215.799184014188</v>
      </c>
      <c r="Q27" s="7">
        <f>[1]!EM_S_VAL_DIVIDENDYIELD2(B27,E27,"2019-11-29")</f>
        <v>1.8242626938279112E-2</v>
      </c>
      <c r="T27"/>
      <c r="U27">
        <f>[1]!EM_S_RATIO_EPS_TTM(B27,E27,"1")</f>
        <v>5.6682874603174602E-2</v>
      </c>
      <c r="AT27" s="4" t="str">
        <f>[1]!EM_S_IPO_LISTEDDATE(B27)</f>
        <v>2011-05-25</v>
      </c>
    </row>
    <row r="28" spans="1:46">
      <c r="A28">
        <v>802</v>
      </c>
      <c r="B28" t="str">
        <f>"002291"</f>
        <v>002291</v>
      </c>
      <c r="C28" t="s">
        <v>2201</v>
      </c>
      <c r="D28" t="str">
        <f>[1]!EM_S_INFO_INDEX_EM(B28,"1")</f>
        <v>纺织服装</v>
      </c>
      <c r="E28" s="4">
        <f t="shared" si="0"/>
        <v>43465</v>
      </c>
      <c r="F28" s="11">
        <f>[1]!EM_S_PQ_PCTCHANGE(B28,"2018-01-01","2019-12-31","3")</f>
        <v>180.19943019999999</v>
      </c>
      <c r="G28" s="11">
        <f>[1]!EM_S_PQ_PCTCHANGE(B28,"2018-12-31","2019-12-30","1")</f>
        <v>298.21826281</v>
      </c>
      <c r="H28" s="11">
        <f>[1]!EM_S_FA_YOY_OR(B28,E28)</f>
        <v>1.8711409262000001</v>
      </c>
      <c r="I28" s="11">
        <f>[1]!EM_S_FA_GROSSPROFITMARGIN(B28,E28)</f>
        <v>54.219187511000001</v>
      </c>
      <c r="J28" s="11">
        <f>[1]!EM_S_FA_NETPROFITMARGIN(B28,E28)</f>
        <v>1.1304444781</v>
      </c>
      <c r="K28" s="10">
        <f>[1]!EM_S_FA_ASSETSTURN(B28,E28)</f>
        <v>0.48964725478900001</v>
      </c>
      <c r="L28" s="12">
        <f>[1]!EM_HKS_VAL_MV(B28,"2019-12-31","2")</f>
        <v>14526041079.969999</v>
      </c>
      <c r="M28">
        <f>[1]!EM_S_VAL_PETTMDEDUCTED(B28,E28)</f>
        <v>-5.0336717121863304</v>
      </c>
      <c r="N28" s="7">
        <f>[1]!EM_S_VAL_PBGOODWILLDEDUCTED(B28,E28)</f>
        <v>1.57725868861881</v>
      </c>
      <c r="O28" s="7">
        <f>[1]!EM_S_VAL_PS_TTM(B28,E28)</f>
        <v>1.1890886130850999</v>
      </c>
      <c r="P28" s="7">
        <f>[1]!EM_S_VAL_PCF_NCFTTM(B28,E28)</f>
        <v>37.136855670176502</v>
      </c>
      <c r="Q28" s="7">
        <f>[1]!EM_S_VAL_DIVIDENDYIELD2(B28,E28,"2019-11-29")</f>
        <v>0</v>
      </c>
      <c r="T28"/>
      <c r="U28">
        <f>[1]!EM_S_RATIO_EPS_TTM(B28,E28,"1")</f>
        <v>2.2394242236315458E-2</v>
      </c>
      <c r="AT28" s="4" t="str">
        <f>[1]!EM_S_IPO_LISTEDDATE(B28)</f>
        <v>2009-09-03</v>
      </c>
    </row>
    <row r="29" spans="1:46">
      <c r="A29">
        <v>3317</v>
      </c>
      <c r="B29" t="str">
        <f>"603222"</f>
        <v>603222</v>
      </c>
      <c r="C29" t="s">
        <v>1865</v>
      </c>
      <c r="D29" t="str">
        <f>[1]!EM_S_INFO_INDEX_EM(B29,"1")</f>
        <v>医药生物</v>
      </c>
      <c r="E29" s="4">
        <f t="shared" si="0"/>
        <v>43465</v>
      </c>
      <c r="F29" s="11">
        <f>[1]!EM_S_PQ_PCTCHANGE(B29,"2018-01-01","2019-12-31","3")</f>
        <v>274.44147598000001</v>
      </c>
      <c r="G29" s="11">
        <f>[1]!EM_S_PQ_PCTCHANGE(B29,"2018-12-31","2019-12-30","1")</f>
        <v>291.2371134</v>
      </c>
      <c r="H29" s="11">
        <f>[1]!EM_S_FA_YOY_OR(B29,E29)</f>
        <v>15.7460815312</v>
      </c>
      <c r="I29" s="11">
        <f>[1]!EM_S_FA_GROSSPROFITMARGIN(B29,E29)</f>
        <v>41.523157231200003</v>
      </c>
      <c r="J29" s="11">
        <f>[1]!EM_S_FA_NETPROFITMARGIN(B29,E29)</f>
        <v>6.1681453999000002</v>
      </c>
      <c r="K29" s="10">
        <f>[1]!EM_S_FA_ASSETSTURN(B29,E29)</f>
        <v>0.37723190317299998</v>
      </c>
      <c r="L29" s="12">
        <f>[1]!EM_HKS_VAL_MV(B29,"2019-12-31","2")</f>
        <v>17600000000</v>
      </c>
      <c r="M29">
        <f>[1]!EM_S_VAL_PETTMDEDUCTED(B29,E29)</f>
        <v>92.864781029037999</v>
      </c>
      <c r="N29" s="7">
        <f>[1]!EM_S_VAL_PBGOODWILLDEDUCTED(B29,E29)</f>
        <v>6.8224064666407802</v>
      </c>
      <c r="O29" s="7">
        <f>[1]!EM_S_VAL_PS_TTM(B29,E29)</f>
        <v>6.2821406181220398</v>
      </c>
      <c r="P29" s="7">
        <f>[1]!EM_S_VAL_PCF_NCFTTM(B29,E29)</f>
        <v>-227.52353203727901</v>
      </c>
      <c r="Q29" s="7">
        <f>[1]!EM_S_VAL_DIVIDENDYIELD2(B29,E29,"2019-11-29")</f>
        <v>4.3059257740414185E-2</v>
      </c>
      <c r="T29"/>
      <c r="U29">
        <f>[1]!EM_S_RATIO_EPS_TTM(B29,E29,"1")</f>
        <v>0.10019630843749999</v>
      </c>
      <c r="AT29" s="4" t="str">
        <f>[1]!EM_S_IPO_LISTEDDATE(B29)</f>
        <v>2015-02-17</v>
      </c>
    </row>
    <row r="30" spans="1:46">
      <c r="A30">
        <v>2125</v>
      </c>
      <c r="B30" t="str">
        <f>"300709"</f>
        <v>300709</v>
      </c>
      <c r="C30" t="s">
        <v>2946</v>
      </c>
      <c r="D30" t="str">
        <f>[1]!EM_S_INFO_INDEX_EM(B30,"1")</f>
        <v>电子设备</v>
      </c>
      <c r="E30" s="4">
        <f t="shared" si="0"/>
        <v>43465</v>
      </c>
      <c r="F30" s="11">
        <f>[1]!EM_S_PQ_PCTCHANGE(B30,"2018-01-01","2019-12-31","3")</f>
        <v>36.646216580000001</v>
      </c>
      <c r="G30" s="11">
        <f>[1]!EM_S_PQ_PCTCHANGE(B30,"2018-12-31","2019-12-30","1")</f>
        <v>283.47859038000001</v>
      </c>
      <c r="H30" s="11">
        <f>[1]!EM_S_FA_YOY_OR(B30,E30)</f>
        <v>-4.3340552442</v>
      </c>
      <c r="I30" s="11">
        <f>[1]!EM_S_FA_GROSSPROFITMARGIN(B30,E30)</f>
        <v>30.195050033400001</v>
      </c>
      <c r="J30" s="11">
        <f>[1]!EM_S_FA_NETPROFITMARGIN(B30,E30)</f>
        <v>4.2145668853</v>
      </c>
      <c r="K30" s="10">
        <f>[1]!EM_S_FA_ASSETSTURN(B30,E30)</f>
        <v>0.54541112616700005</v>
      </c>
      <c r="L30" s="12">
        <f>[1]!EM_HKS_VAL_MV(B30,"2019-12-31","2")</f>
        <v>8666798805</v>
      </c>
      <c r="M30">
        <f>[1]!EM_S_VAL_PETTMDEDUCTED(B30,E30)</f>
        <v>42.384407303492701</v>
      </c>
      <c r="N30" s="7">
        <f>[1]!EM_S_VAL_PBGOODWILLDEDUCTED(B30,E30)</f>
        <v>1.8366479632106001</v>
      </c>
      <c r="O30" s="7">
        <f>[1]!EM_S_VAL_PS_TTM(B30,E30)</f>
        <v>2.8435601385634799</v>
      </c>
      <c r="P30" s="7">
        <f>[1]!EM_S_VAL_PCF_NCFTTM(B30,E30)</f>
        <v>25.969937686271098</v>
      </c>
      <c r="Q30" s="7">
        <f>[1]!EM_S_VAL_DIVIDENDYIELD2(B30,E30,"2019-11-29")</f>
        <v>0.13791840612480735</v>
      </c>
      <c r="T30"/>
      <c r="U30">
        <f>[1]!EM_S_RATIO_EPS_TTM(B30,E30,"1")</f>
        <v>0.42256468670454544</v>
      </c>
      <c r="AT30" s="4" t="str">
        <f>[1]!EM_S_IPO_LISTEDDATE(B30)</f>
        <v>2017-10-19</v>
      </c>
    </row>
    <row r="31" spans="1:46">
      <c r="A31">
        <v>3042</v>
      </c>
      <c r="B31" t="str">
        <f>"601066"</f>
        <v>601066</v>
      </c>
      <c r="C31" t="s">
        <v>3094</v>
      </c>
      <c r="D31" t="str">
        <f>[1]!EM_S_INFO_INDEX_EM(B31,"1")</f>
        <v>金融</v>
      </c>
      <c r="E31" s="4">
        <f t="shared" si="0"/>
        <v>43465</v>
      </c>
      <c r="F31" s="11">
        <f>[1]!EM_S_PQ_PCTCHANGE(B31,"2018-01-01","2019-12-31","3")</f>
        <v>476.57600037999998</v>
      </c>
      <c r="G31" s="11">
        <f>[1]!EM_S_PQ_PCTCHANGE(B31,"2018-12-31","2019-12-30","1")</f>
        <v>255.33869116</v>
      </c>
      <c r="H31" s="11">
        <f>[1]!EM_S_FA_YOY_OR(B31,E31)</f>
        <v>-3.5041724366999998</v>
      </c>
      <c r="I31" s="11">
        <f>[1]!EM_S_FA_GROSSPROFITMARGIN(B31,E31)</f>
        <v>0</v>
      </c>
      <c r="J31" s="11">
        <f>[1]!EM_S_FA_NETPROFITMARGIN(B31,E31)</f>
        <v>28.4531052735</v>
      </c>
      <c r="K31" s="10">
        <f>[1]!EM_S_FA_ASSETSTURN(B31,E31)</f>
        <v>0</v>
      </c>
      <c r="L31" s="12">
        <f>[1]!EM_HKS_VAL_MV(B31,"2019-12-31","2")</f>
        <v>232450111235.20001</v>
      </c>
      <c r="M31">
        <f>[1]!EM_S_VAL_PETTMDEDUCTED(B31,E31)</f>
        <v>21.089474579724101</v>
      </c>
      <c r="N31" s="7">
        <f>[1]!EM_S_VAL_PBGOODWILLDEDUCTED(B31,E31)</f>
        <v>1.56421612837584</v>
      </c>
      <c r="O31" s="7">
        <f>[1]!EM_S_VAL_PS_TTM(B31,E31)</f>
        <v>6.1595030199361203</v>
      </c>
      <c r="P31" s="7">
        <f>[1]!EM_S_VAL_PCF_NCFTTM(B31,E31)</f>
        <v>-10.105095855574501</v>
      </c>
      <c r="Q31" s="7">
        <f>[1]!EM_S_VAL_DIVIDENDYIELD2(B31,E31,"2019-11-29")</f>
        <v>0.80393032603840986</v>
      </c>
      <c r="T31"/>
      <c r="U31">
        <f>[1]!EM_S_RATIO_EPS_TTM(B31,E31,"1")</f>
        <v>0.40378032687607052</v>
      </c>
      <c r="AT31" s="4" t="str">
        <f>[1]!EM_S_IPO_LISTEDDATE(B31)</f>
        <v>2018-06-20</v>
      </c>
    </row>
    <row r="32" spans="1:46">
      <c r="A32">
        <v>2615</v>
      </c>
      <c r="B32" t="str">
        <f>"600536"</f>
        <v>600536</v>
      </c>
      <c r="C32" t="s">
        <v>3622</v>
      </c>
      <c r="D32" t="str">
        <f>[1]!EM_S_INFO_INDEX_EM(B32,"1")</f>
        <v>信息技术</v>
      </c>
      <c r="E32" s="4">
        <f t="shared" si="0"/>
        <v>43465</v>
      </c>
      <c r="F32" s="11">
        <f>[1]!EM_S_PQ_PCTCHANGE(B32,"2018-01-01","2019-12-31","3")</f>
        <v>334.70603962000001</v>
      </c>
      <c r="G32" s="11">
        <f>[1]!EM_S_PQ_PCTCHANGE(B32,"2018-12-31","2019-12-30","1")</f>
        <v>241.9971333</v>
      </c>
      <c r="H32" s="11">
        <f>[1]!EM_S_FA_YOY_OR(B32,E32)</f>
        <v>-6.6727585797</v>
      </c>
      <c r="I32" s="11">
        <f>[1]!EM_S_FA_GROSSPROFITMARGIN(B32,E32)</f>
        <v>39.0970933149</v>
      </c>
      <c r="J32" s="11">
        <f>[1]!EM_S_FA_NETPROFITMARGIN(B32,E32)</f>
        <v>2.6199196936</v>
      </c>
      <c r="K32" s="10">
        <f>[1]!EM_S_FA_ASSETSTURN(B32,E32)</f>
        <v>0.84168772832100003</v>
      </c>
      <c r="L32" s="12">
        <f>[1]!EM_HKS_VAL_MV(B32,"2019-12-31","2")</f>
        <v>35455205841.580002</v>
      </c>
      <c r="M32">
        <f>[1]!EM_S_VAL_PETTMDEDUCTED(B32,E32)</f>
        <v>794.850931596485</v>
      </c>
      <c r="N32" s="7">
        <f>[1]!EM_S_VAL_PBGOODWILLDEDUCTED(B32,E32)</f>
        <v>4.7165038000617798</v>
      </c>
      <c r="O32" s="7">
        <f>[1]!EM_S_VAL_PS_TTM(B32,E32)</f>
        <v>2.2915123793007202</v>
      </c>
      <c r="P32" s="7">
        <f>[1]!EM_S_VAL_PCF_NCFTTM(B32,E32)</f>
        <v>-77.843834540759403</v>
      </c>
      <c r="Q32" s="7">
        <f>[1]!EM_S_VAL_DIVIDENDYIELD2(B32,E32,"2019-11-29")</f>
        <v>0.10327530244910001</v>
      </c>
      <c r="T32"/>
      <c r="U32">
        <f>[1]!EM_S_RATIO_EPS_TTM(B32,E32,"1")</f>
        <v>0.22405482907931396</v>
      </c>
      <c r="AT32" s="4" t="str">
        <f>[1]!EM_S_IPO_LISTEDDATE(B32)</f>
        <v>2002-05-17</v>
      </c>
    </row>
    <row r="33" spans="1:46">
      <c r="A33">
        <v>712</v>
      </c>
      <c r="B33" t="str">
        <f>"002201"</f>
        <v>002201</v>
      </c>
      <c r="C33" t="s">
        <v>2881</v>
      </c>
      <c r="D33" t="str">
        <f>[1]!EM_S_INFO_INDEX_EM(B33,"1")</f>
        <v>基础化工</v>
      </c>
      <c r="E33" s="4">
        <f t="shared" si="0"/>
        <v>43465</v>
      </c>
      <c r="F33" s="11">
        <f>[1]!EM_S_PQ_PCTCHANGE(B33,"2018-01-01","2019-12-31","3")</f>
        <v>92.17470428</v>
      </c>
      <c r="G33" s="11">
        <f>[1]!EM_S_PQ_PCTCHANGE(B33,"2018-12-31","2019-12-30","1")</f>
        <v>235.22906793000001</v>
      </c>
      <c r="H33" s="11">
        <f>[1]!EM_S_FA_YOY_OR(B33,E33)</f>
        <v>7.7273293482999996</v>
      </c>
      <c r="I33" s="11">
        <f>[1]!EM_S_FA_GROSSPROFITMARGIN(B33,E33)</f>
        <v>25.1645299626</v>
      </c>
      <c r="J33" s="11">
        <f>[1]!EM_S_FA_NETPROFITMARGIN(B33,E33)</f>
        <v>1.7369807177000001</v>
      </c>
      <c r="K33" s="10">
        <f>[1]!EM_S_FA_ASSETSTURN(B33,E33)</f>
        <v>0.42327471902399999</v>
      </c>
      <c r="L33" s="12">
        <f>[1]!EM_HKS_VAL_MV(B33,"2019-12-31","2")</f>
        <v>7021712966.3999996</v>
      </c>
      <c r="M33">
        <f>[1]!EM_S_VAL_PETTMDEDUCTED(B33,E33)</f>
        <v>-164.12197841125001</v>
      </c>
      <c r="N33" s="7">
        <f>[1]!EM_S_VAL_PBGOODWILLDEDUCTED(B33,E33)</f>
        <v>2.3416791401708399</v>
      </c>
      <c r="O33" s="7">
        <f>[1]!EM_S_VAL_PS_TTM(B33,E33)</f>
        <v>2.0273258326141299</v>
      </c>
      <c r="P33" s="7">
        <f>[1]!EM_S_VAL_PCF_NCFTTM(B33,E33)</f>
        <v>-38.237844920184699</v>
      </c>
      <c r="Q33" s="7">
        <f>[1]!EM_S_VAL_DIVIDENDYIELD2(B33,E33,"2019-11-29")</f>
        <v>0</v>
      </c>
      <c r="T33"/>
      <c r="U33">
        <f>[1]!EM_S_RATIO_EPS_TTM(B33,E33,"1")</f>
        <v>5.5956754175077637E-2</v>
      </c>
      <c r="AT33" s="4" t="str">
        <f>[1]!EM_S_IPO_LISTEDDATE(B33)</f>
        <v>2007-12-26</v>
      </c>
    </row>
    <row r="34" spans="1:46">
      <c r="A34">
        <v>58</v>
      </c>
      <c r="B34" t="str">
        <f>"000066"</f>
        <v>000066</v>
      </c>
      <c r="C34" t="s">
        <v>1174</v>
      </c>
      <c r="D34" t="str">
        <f>[1]!EM_S_INFO_INDEX_EM(B34,"1")</f>
        <v>信息技术</v>
      </c>
      <c r="E34" s="4">
        <f t="shared" si="0"/>
        <v>43465</v>
      </c>
      <c r="F34" s="11">
        <f>[1]!EM_S_PQ_PCTCHANGE(B34,"2018-01-01","2019-12-31","3")</f>
        <v>116.34940679</v>
      </c>
      <c r="G34" s="11">
        <f>[1]!EM_S_PQ_PCTCHANGE(B34,"2019-01-01","2019-12-31","3")</f>
        <v>229.97092352000001</v>
      </c>
      <c r="H34" s="11">
        <f>[1]!EM_S_FA_YOY_OR(B34,E34)</f>
        <v>5.2871902982999996</v>
      </c>
      <c r="I34" s="11">
        <f>[1]!EM_S_FA_GROSSPROFITMARGIN(B34,E34)</f>
        <v>21.927186724199998</v>
      </c>
      <c r="J34" s="11">
        <f>[1]!EM_S_FA_NETPROFITMARGIN(B34,E34)</f>
        <v>10.5536474703</v>
      </c>
      <c r="K34" s="10">
        <f>[1]!EM_S_FA_ASSETSTURN(B34,E34)</f>
        <v>0.64155527250099997</v>
      </c>
      <c r="L34" s="12">
        <f>[1]!EM_HKS_VAL_MV(B34,"2019-12-31","2")</f>
        <v>45562512744.68</v>
      </c>
      <c r="M34">
        <f>[1]!EM_S_VAL_PETTMDEDUCTED(B34,E34)</f>
        <v>-300.98955700905202</v>
      </c>
      <c r="N34" s="7">
        <f>[1]!EM_S_VAL_PBGOODWILLDEDUCTED(B34,E34)</f>
        <v>2.2388458534198699</v>
      </c>
      <c r="O34" s="7">
        <f>[1]!EM_S_VAL_PS_TTM(B34,E34)</f>
        <v>1.51283653730017</v>
      </c>
      <c r="P34" s="7">
        <f>[1]!EM_S_VAL_PCF_NCFTTM(B34,E34)</f>
        <v>70.145628417657704</v>
      </c>
      <c r="Q34" s="7">
        <f>[1]!EM_S_VAL_DIVIDENDYIELD2(B34,E34,"2019-11-29")</f>
        <v>0.33761832931360181</v>
      </c>
      <c r="T34"/>
      <c r="U34">
        <f>[1]!EM_S_RATIO_EPS_TTM(B34,E34,"1")</f>
        <v>0.33618685812117488</v>
      </c>
      <c r="AT34" s="4" t="str">
        <f>[1]!EM_S_IPO_LISTEDDATE(B34)</f>
        <v>1997-06-26</v>
      </c>
    </row>
    <row r="35" spans="1:46">
      <c r="A35">
        <v>3629</v>
      </c>
      <c r="B35" t="str">
        <f>"603986"</f>
        <v>603986</v>
      </c>
      <c r="C35" t="s">
        <v>279</v>
      </c>
      <c r="D35" t="str">
        <f>[1]!EM_S_INFO_INDEX_EM(B35,"1")</f>
        <v>电子设备</v>
      </c>
      <c r="E35" s="4">
        <f t="shared" si="0"/>
        <v>43465</v>
      </c>
      <c r="F35" s="11">
        <f>[1]!EM_S_PQ_PCTCHANGE(B35,"2018-01-01","2019-12-31","3")</f>
        <v>76.898897230000003</v>
      </c>
      <c r="G35" s="11">
        <f>[1]!EM_S_PQ_PCTCHANGE(B35,"2019-01-01","2019-12-31","3")</f>
        <v>229.97059687000001</v>
      </c>
      <c r="H35" s="11">
        <f>[1]!EM_S_FA_YOY_OR(B35,E35)</f>
        <v>10.6457383077</v>
      </c>
      <c r="I35" s="11">
        <f>[1]!EM_S_FA_GROSSPROFITMARGIN(B35,E35)</f>
        <v>38.250577599000003</v>
      </c>
      <c r="J35" s="11">
        <f>[1]!EM_S_FA_NETPROFITMARGIN(B35,E35)</f>
        <v>17.988248935400001</v>
      </c>
      <c r="K35" s="10">
        <f>[1]!EM_S_FA_ASSETSTURN(B35,E35)</f>
        <v>0.82638529212900003</v>
      </c>
      <c r="L35" s="12">
        <f>[1]!EM_HKS_VAL_MV(B35,"2019-12-31","2")</f>
        <v>65785225989.139999</v>
      </c>
      <c r="M35">
        <f>[1]!EM_S_VAL_PETTMDEDUCTED(B35,E35)</f>
        <v>45.423159654167002</v>
      </c>
      <c r="N35" s="7">
        <f>[1]!EM_S_VAL_PBGOODWILLDEDUCTED(B35,E35)</f>
        <v>9.35022922496041</v>
      </c>
      <c r="O35" s="7">
        <f>[1]!EM_S_VAL_PS_TTM(B35,E35)</f>
        <v>7.94132521231161</v>
      </c>
      <c r="P35" s="7">
        <f>[1]!EM_S_VAL_PCF_NCFTTM(B35,E35)</f>
        <v>-65.523219479606993</v>
      </c>
      <c r="Q35" s="7">
        <f>[1]!EM_S_VAL_DIVIDENDYIELD2(B35,E35,"2019-11-29")</f>
        <v>0.15289236308129028</v>
      </c>
      <c r="T35"/>
      <c r="U35">
        <f>[1]!EM_S_RATIO_EPS_TTM(B35,E35,"1")</f>
        <v>1.4228500197762479</v>
      </c>
      <c r="AT35" s="4" t="str">
        <f>[1]!EM_S_IPO_LISTEDDATE(B35)</f>
        <v>2016-08-18</v>
      </c>
    </row>
    <row r="36" spans="1:46">
      <c r="A36">
        <v>1804</v>
      </c>
      <c r="B36" t="str">
        <f>"300379"</f>
        <v>300379</v>
      </c>
      <c r="C36" t="s">
        <v>2916</v>
      </c>
      <c r="D36" t="str">
        <f>[1]!EM_S_INFO_INDEX_EM(B36,"1")</f>
        <v>信息技术</v>
      </c>
      <c r="E36" s="4">
        <f t="shared" si="0"/>
        <v>43465</v>
      </c>
      <c r="F36" s="11">
        <f>[1]!EM_S_PQ_PCTCHANGE(B36,"2018-01-01","2019-12-31","3")</f>
        <v>265.90189873000003</v>
      </c>
      <c r="G36" s="11">
        <f>[1]!EM_S_PQ_PCTCHANGE(B36,"2019-01-01","2019-12-31","3")</f>
        <v>229.18149466</v>
      </c>
      <c r="H36" s="11">
        <f>[1]!EM_S_FA_YOY_OR(B36,E36)</f>
        <v>27.072959975900002</v>
      </c>
      <c r="I36" s="11">
        <f>[1]!EM_S_FA_GROSSPROFITMARGIN(B36,E36)</f>
        <v>75.408600407199998</v>
      </c>
      <c r="J36" s="11">
        <f>[1]!EM_S_FA_NETPROFITMARGIN(B36,E36)</f>
        <v>32.836392157299997</v>
      </c>
      <c r="K36" s="10">
        <f>[1]!EM_S_FA_ASSETSTURN(B36,E36)</f>
        <v>0.207008996088</v>
      </c>
      <c r="L36" s="12">
        <f>[1]!EM_HKS_VAL_MV(B36,"2019-12-31","2")</f>
        <v>13000930870</v>
      </c>
      <c r="M36">
        <f>[1]!EM_S_VAL_PETTMDEDUCTED(B36,E36)</f>
        <v>-11.4968770630118</v>
      </c>
      <c r="N36" s="7">
        <f>[1]!EM_S_VAL_PBGOODWILLDEDUCTED(B36,E36)</f>
        <v>11.2734002775425</v>
      </c>
      <c r="O36" s="7">
        <f>[1]!EM_S_VAL_PS_TTM(B36,E36)</f>
        <v>13.233617039237901</v>
      </c>
      <c r="P36" s="7">
        <f>[1]!EM_S_VAL_PCF_NCFTTM(B36,E36)</f>
        <v>97.290449605530696</v>
      </c>
      <c r="Q36" s="7">
        <f>[1]!EM_S_VAL_DIVIDENDYIELD2(B36,E36,"2019-11-29")</f>
        <v>0</v>
      </c>
      <c r="T36"/>
      <c r="U36">
        <f>[1]!EM_S_RATIO_EPS_TTM(B36,E36,"1")</f>
        <v>0.44099127855068487</v>
      </c>
      <c r="AT36" s="4" t="str">
        <f>[1]!EM_S_IPO_LISTEDDATE(B36)</f>
        <v>2014-01-28</v>
      </c>
    </row>
    <row r="37" spans="1:46">
      <c r="A37">
        <v>1766</v>
      </c>
      <c r="B37" t="str">
        <f>"300341"</f>
        <v>300341</v>
      </c>
      <c r="C37" t="s">
        <v>2144</v>
      </c>
      <c r="D37" t="str">
        <f>[1]!EM_S_INFO_INDEX_EM(B37,"1")</f>
        <v>电气设备</v>
      </c>
      <c r="E37" s="4">
        <f t="shared" si="0"/>
        <v>43465</v>
      </c>
      <c r="F37" s="11">
        <f>[1]!EM_S_PQ_PCTCHANGE(B37,"2018-01-01","2019-12-31","3")</f>
        <v>128.82539256999999</v>
      </c>
      <c r="G37" s="11">
        <f>[1]!EM_S_PQ_PCTCHANGE(B37,"2019-01-01","2019-12-31","3")</f>
        <v>224.62461117999999</v>
      </c>
      <c r="H37" s="11">
        <f>[1]!EM_S_FA_YOY_OR(B37,E37)</f>
        <v>13.300230317700001</v>
      </c>
      <c r="I37" s="11">
        <f>[1]!EM_S_FA_GROSSPROFITMARGIN(B37,E37)</f>
        <v>44.410835394099998</v>
      </c>
      <c r="J37" s="11">
        <f>[1]!EM_S_FA_NETPROFITMARGIN(B37,E37)</f>
        <v>15.2666658654</v>
      </c>
      <c r="K37" s="10">
        <f>[1]!EM_S_FA_ASSETSTURN(B37,E37)</f>
        <v>0.71632947127299995</v>
      </c>
      <c r="L37" s="12">
        <f>[1]!EM_HKS_VAL_MV(B37,"2019-12-31","2")</f>
        <v>7698364740.2399998</v>
      </c>
      <c r="M37">
        <f>[1]!EM_S_VAL_PETTMDEDUCTED(B37,E37)</f>
        <v>18.875044962442299</v>
      </c>
      <c r="N37" s="7">
        <f>[1]!EM_S_VAL_PBGOODWILLDEDUCTED(B37,E37)</f>
        <v>2.9766329855946299</v>
      </c>
      <c r="O37" s="7">
        <f>[1]!EM_S_VAL_PS_TTM(B37,E37)</f>
        <v>2.72847733319123</v>
      </c>
      <c r="P37" s="7">
        <f>[1]!EM_S_VAL_PCF_NCFTTM(B37,E37)</f>
        <v>-28.376448496613499</v>
      </c>
      <c r="Q37" s="7">
        <f>[1]!EM_S_VAL_DIVIDENDYIELD2(B37,E37,"2019-11-29")</f>
        <v>0.38283828382838281</v>
      </c>
      <c r="T37"/>
      <c r="U37">
        <f>[1]!EM_S_RATIO_EPS_TTM(B37,E37,"1")</f>
        <v>0.28965370488717362</v>
      </c>
      <c r="AT37" s="4" t="str">
        <f>[1]!EM_S_IPO_LISTEDDATE(B37)</f>
        <v>2012-07-26</v>
      </c>
    </row>
    <row r="38" spans="1:46">
      <c r="A38">
        <v>2277</v>
      </c>
      <c r="B38" t="str">
        <f>"600131"</f>
        <v>600131</v>
      </c>
      <c r="C38" t="s">
        <v>744</v>
      </c>
      <c r="D38" t="str">
        <f>[1]!EM_S_INFO_INDEX_EM(B38,"1")</f>
        <v>公用事业</v>
      </c>
      <c r="E38" s="4">
        <f t="shared" si="0"/>
        <v>43465</v>
      </c>
      <c r="F38" s="11">
        <f>[1]!EM_S_PQ_PCTCHANGE(B38,"2018-01-01","2019-12-31","3")</f>
        <v>190.18579968</v>
      </c>
      <c r="G38" s="11">
        <f>[1]!EM_S_PQ_PCTCHANGE(B38,"2018-12-31","2019-12-30","1")</f>
        <v>224.59016392999999</v>
      </c>
      <c r="H38" s="11">
        <f>[1]!EM_S_FA_YOY_OR(B38,E38)</f>
        <v>36.485656800100003</v>
      </c>
      <c r="I38" s="11">
        <f>[1]!EM_S_FA_GROSSPROFITMARGIN(B38,E38)</f>
        <v>16.174482652999998</v>
      </c>
      <c r="J38" s="11">
        <f>[1]!EM_S_FA_NETPROFITMARGIN(B38,E38)</f>
        <v>9.0706908821999992</v>
      </c>
      <c r="K38" s="10">
        <f>[1]!EM_S_FA_ASSETSTURN(B38,E38)</f>
        <v>0.46940002357100002</v>
      </c>
      <c r="L38" s="12">
        <f>[1]!EM_HKS_VAL_MV(B38,"2019-12-31","2")</f>
        <v>21947602694.82</v>
      </c>
      <c r="M38">
        <f>[1]!EM_S_VAL_PETTMDEDUCTED(B38,E38)</f>
        <v>25.628351786216399</v>
      </c>
      <c r="N38" s="7">
        <f>[1]!EM_S_VAL_PBGOODWILLDEDUCTED(B38,E38)</f>
        <v>2.52431358504333</v>
      </c>
      <c r="O38" s="7">
        <f>[1]!EM_S_VAL_PS_TTM(B38,E38)</f>
        <v>2.90123159226123</v>
      </c>
      <c r="P38" s="7">
        <f>[1]!EM_S_VAL_PCF_NCFTTM(B38,E38)</f>
        <v>209.437424612451</v>
      </c>
      <c r="Q38" s="7">
        <f>[1]!EM_S_VAL_DIVIDENDYIELD2(B38,E38,"2019-11-29")</f>
        <v>0.28264556246466926</v>
      </c>
      <c r="T38"/>
      <c r="U38">
        <f>[1]!EM_S_RATIO_EPS_TTM(B38,E38,"1")</f>
        <v>0.2040193700312376</v>
      </c>
      <c r="AT38" s="4" t="str">
        <f>[1]!EM_S_IPO_LISTEDDATE(B38)</f>
        <v>1998-04-02</v>
      </c>
    </row>
    <row r="39" spans="1:46">
      <c r="A39">
        <v>2078</v>
      </c>
      <c r="B39" t="str">
        <f>"300659"</f>
        <v>300659</v>
      </c>
      <c r="C39" t="s">
        <v>3523</v>
      </c>
      <c r="D39" t="str">
        <f>[1]!EM_S_INFO_INDEX_EM(B39,"1")</f>
        <v>信息技术</v>
      </c>
      <c r="E39" s="4">
        <f t="shared" si="0"/>
        <v>43465</v>
      </c>
      <c r="F39" s="11">
        <f>[1]!EM_S_PQ_PCTCHANGE(B39,"2018-01-01","2019-12-31","3")</f>
        <v>156.77528189</v>
      </c>
      <c r="G39" s="11">
        <f>[1]!EM_S_PQ_PCTCHANGE(B39,"2018-12-31","2019-12-30","1")</f>
        <v>224.35573522000001</v>
      </c>
      <c r="H39" s="11">
        <f>[1]!EM_S_FA_YOY_OR(B39,E39)</f>
        <v>26.6442807235</v>
      </c>
      <c r="I39" s="11">
        <f>[1]!EM_S_FA_GROSSPROFITMARGIN(B39,E39)</f>
        <v>66.537829119899996</v>
      </c>
      <c r="J39" s="11">
        <f>[1]!EM_S_FA_NETPROFITMARGIN(B39,E39)</f>
        <v>11.919106599099999</v>
      </c>
      <c r="K39" s="10">
        <f>[1]!EM_S_FA_ASSETSTURN(B39,E39)</f>
        <v>0.62461367515699995</v>
      </c>
      <c r="L39" s="12">
        <f>[1]!EM_HKS_VAL_MV(B39,"2019-12-31","2")</f>
        <v>8497327010</v>
      </c>
      <c r="M39">
        <f>[1]!EM_S_VAL_PETTMDEDUCTED(B39,E39)</f>
        <v>126.786637512105</v>
      </c>
      <c r="N39" s="7">
        <f>[1]!EM_S_VAL_PBGOODWILLDEDUCTED(B39,E39)</f>
        <v>5.8211833679975999</v>
      </c>
      <c r="O39" s="7">
        <f>[1]!EM_S_VAL_PS_TTM(B39,E39)</f>
        <v>8.3341558565649603</v>
      </c>
      <c r="P39" s="7">
        <f>[1]!EM_S_VAL_PCF_NCFTTM(B39,E39)</f>
        <v>45.590172873390898</v>
      </c>
      <c r="Q39" s="7">
        <f>[1]!EM_S_VAL_DIVIDENDYIELD2(B39,E39,"2019-11-29")</f>
        <v>0.19421246844047388</v>
      </c>
      <c r="T39"/>
      <c r="U39">
        <f>[1]!EM_S_RATIO_EPS_TTM(B39,E39,"1")</f>
        <v>0.31946256886466462</v>
      </c>
      <c r="AT39" s="4" t="str">
        <f>[1]!EM_S_IPO_LISTEDDATE(B39)</f>
        <v>2017-05-26</v>
      </c>
    </row>
    <row r="40" spans="1:46">
      <c r="A40">
        <v>1440</v>
      </c>
      <c r="B40" t="str">
        <f>"300014"</f>
        <v>300014</v>
      </c>
      <c r="C40" t="s">
        <v>1130</v>
      </c>
      <c r="D40" t="str">
        <f>[1]!EM_S_INFO_INDEX_EM(B40,"1")</f>
        <v>有色金属</v>
      </c>
      <c r="E40" s="4">
        <f t="shared" si="0"/>
        <v>43465</v>
      </c>
      <c r="F40" s="11">
        <f>[1]!EM_S_PQ_PCTCHANGE(B40,"2018-01-01","2019-12-31","3")</f>
        <v>157.2321757</v>
      </c>
      <c r="G40" s="11">
        <f>[1]!EM_S_PQ_PCTCHANGE(B40,"2018-12-31","2019-12-30","1")</f>
        <v>213.80407124999999</v>
      </c>
      <c r="H40" s="11">
        <f>[1]!EM_S_FA_YOY_OR(B40,E40)</f>
        <v>45.9002658741</v>
      </c>
      <c r="I40" s="11">
        <f>[1]!EM_S_FA_GROSSPROFITMARGIN(B40,E40)</f>
        <v>23.737763136000002</v>
      </c>
      <c r="J40" s="11">
        <f>[1]!EM_S_FA_NETPROFITMARGIN(B40,E40)</f>
        <v>13.397214913099999</v>
      </c>
      <c r="K40" s="10">
        <f>[1]!EM_S_FA_ASSETSTURN(B40,E40)</f>
        <v>0.49749906297599999</v>
      </c>
      <c r="L40" s="12">
        <f>[1]!EM_HKS_VAL_MV(B40,"2019-12-31","2")</f>
        <v>48612047101.199997</v>
      </c>
      <c r="M40">
        <f>[1]!EM_S_VAL_PETTMDEDUCTED(B40,E40)</f>
        <v>40.908646592047603</v>
      </c>
      <c r="N40" s="7">
        <f>[1]!EM_S_VAL_PBGOODWILLDEDUCTED(B40,E40)</f>
        <v>3.8465416841349702</v>
      </c>
      <c r="O40" s="7">
        <f>[1]!EM_S_VAL_PS_TTM(B40,E40)</f>
        <v>3.35840557195875</v>
      </c>
      <c r="P40" s="7">
        <f>[1]!EM_S_VAL_PCF_NCFTTM(B40,E40)</f>
        <v>15.2681286000459</v>
      </c>
      <c r="Q40" s="7">
        <f>[1]!EM_S_VAL_DIVIDENDYIELD2(B40,E40,"2019-11-29")</f>
        <v>0</v>
      </c>
      <c r="T40"/>
      <c r="U40">
        <f>[1]!EM_S_RATIO_EPS_TTM(B40,E40,"1")</f>
        <v>0.66711941145638143</v>
      </c>
      <c r="AT40" s="4" t="str">
        <f>[1]!EM_S_IPO_LISTEDDATE(B40)</f>
        <v>2009-10-30</v>
      </c>
    </row>
    <row r="41" spans="1:46">
      <c r="A41">
        <v>1822</v>
      </c>
      <c r="B41" t="str">
        <f>"300397"</f>
        <v>300397</v>
      </c>
      <c r="C41" t="s">
        <v>3389</v>
      </c>
      <c r="D41" t="str">
        <f>[1]!EM_S_INFO_INDEX_EM(B41,"1")</f>
        <v>电子设备</v>
      </c>
      <c r="E41" s="4">
        <f t="shared" si="0"/>
        <v>43465</v>
      </c>
      <c r="F41" s="11">
        <f>[1]!EM_S_PQ_PCTCHANGE(B41,"2018-01-01","2019-12-31","3")</f>
        <v>52.822371830000002</v>
      </c>
      <c r="G41" s="11">
        <f>[1]!EM_S_PQ_PCTCHANGE(B41,"2019-01-01","2019-12-31","3")</f>
        <v>212.93743372</v>
      </c>
      <c r="H41" s="11">
        <f>[1]!EM_S_FA_YOY_OR(B41,E41)</f>
        <v>-25.4497612758</v>
      </c>
      <c r="I41" s="11">
        <f>[1]!EM_S_FA_GROSSPROFITMARGIN(B41,E41)</f>
        <v>33.797002990700001</v>
      </c>
      <c r="J41" s="11">
        <f>[1]!EM_S_FA_NETPROFITMARGIN(B41,E41)</f>
        <v>-64.260464718899996</v>
      </c>
      <c r="K41" s="10">
        <f>[1]!EM_S_FA_ASSETSTURN(B41,E41)</f>
        <v>0.17585200366199999</v>
      </c>
      <c r="L41" s="12">
        <f>[1]!EM_HKS_VAL_MV(B41,"2019-12-31","2")</f>
        <v>7082400000</v>
      </c>
      <c r="M41">
        <f>[1]!EM_S_VAL_PETTMDEDUCTED(B41,E41)</f>
        <v>-11.2457820677448</v>
      </c>
      <c r="N41" s="7">
        <f>[1]!EM_S_VAL_PBGOODWILLDEDUCTED(B41,E41)</f>
        <v>2.3352535894187398</v>
      </c>
      <c r="O41" s="7">
        <f>[1]!EM_S_VAL_PS_TTM(B41,E41)</f>
        <v>9.0596284267616696</v>
      </c>
      <c r="P41" s="7">
        <f>[1]!EM_S_VAL_PCF_NCFTTM(B41,E41)</f>
        <v>46.064016465083597</v>
      </c>
      <c r="Q41" s="7">
        <f>[1]!EM_S_VAL_DIVIDENDYIELD2(B41,E41,"2019-11-29")</f>
        <v>0</v>
      </c>
      <c r="T41"/>
      <c r="U41">
        <f>[1]!EM_S_RATIO_EPS_TTM(B41,E41,"1")</f>
        <v>-0.7092323227916667</v>
      </c>
      <c r="AT41" s="4" t="str">
        <f>[1]!EM_S_IPO_LISTEDDATE(B41)</f>
        <v>2014-09-10</v>
      </c>
    </row>
    <row r="42" spans="1:46">
      <c r="A42">
        <v>974</v>
      </c>
      <c r="B42" t="str">
        <f>"002463"</f>
        <v>002463</v>
      </c>
      <c r="C42" t="s">
        <v>1379</v>
      </c>
      <c r="D42" t="str">
        <f>[1]!EM_S_INFO_INDEX_EM(B42,"1")</f>
        <v>电子设备</v>
      </c>
      <c r="E42" s="4">
        <f t="shared" si="0"/>
        <v>43465</v>
      </c>
      <c r="F42" s="11">
        <f>[1]!EM_S_PQ_PCTCHANGE(B42,"2018-01-01","2019-12-31","3")</f>
        <v>325.36650141000001</v>
      </c>
      <c r="G42" s="11">
        <f>[1]!EM_S_PQ_PCTCHANGE(B42,"2019-01-01","2019-12-31","3")</f>
        <v>212.69348622000001</v>
      </c>
      <c r="H42" s="11">
        <f>[1]!EM_S_FA_YOY_OR(B42,E42)</f>
        <v>18.806765067000001</v>
      </c>
      <c r="I42" s="11">
        <f>[1]!EM_S_FA_GROSSPROFITMARGIN(B42,E42)</f>
        <v>23.406997474000001</v>
      </c>
      <c r="J42" s="11">
        <f>[1]!EM_S_FA_NETPROFITMARGIN(B42,E42)</f>
        <v>10.3776593024</v>
      </c>
      <c r="K42" s="10">
        <f>[1]!EM_S_FA_ASSETSTURN(B42,E42)</f>
        <v>0.87318996350400002</v>
      </c>
      <c r="L42" s="12">
        <f>[1]!EM_HKS_VAL_MV(B42,"2019-12-31","2")</f>
        <v>38305972632.230003</v>
      </c>
      <c r="M42">
        <f>[1]!EM_S_VAL_PETTMDEDUCTED(B42,E42)</f>
        <v>33.569022090054403</v>
      </c>
      <c r="N42" s="7">
        <f>[1]!EM_S_VAL_PBGOODWILLDEDUCTED(B42,E42)</f>
        <v>3.0743499833510501</v>
      </c>
      <c r="O42" s="7">
        <f>[1]!EM_S_VAL_PS_TTM(B42,E42)</f>
        <v>2.4168521748892702</v>
      </c>
      <c r="P42" s="7">
        <f>[1]!EM_S_VAL_PCF_NCFTTM(B42,E42)</f>
        <v>-84.779131493199301</v>
      </c>
      <c r="Q42" s="7">
        <f>[1]!EM_S_VAL_DIVIDENDYIELD2(B42,E42,"2019-11-29")</f>
        <v>0.44474603620044728</v>
      </c>
      <c r="T42"/>
      <c r="U42">
        <f>[1]!EM_S_RATIO_EPS_TTM(B42,E42,"1")</f>
        <v>0.33182546942605157</v>
      </c>
      <c r="AT42" s="4" t="str">
        <f>[1]!EM_S_IPO_LISTEDDATE(B42)</f>
        <v>2010-08-18</v>
      </c>
    </row>
    <row r="43" spans="1:46">
      <c r="A43">
        <v>1297</v>
      </c>
      <c r="B43" t="str">
        <f>"002791"</f>
        <v>002791</v>
      </c>
      <c r="C43" t="s">
        <v>3401</v>
      </c>
      <c r="D43" t="str">
        <f>[1]!EM_S_INFO_INDEX_EM(B43,"1")</f>
        <v>机械设备</v>
      </c>
      <c r="E43" s="4">
        <f t="shared" si="0"/>
        <v>43465</v>
      </c>
      <c r="F43" s="11">
        <f>[1]!EM_S_PQ_PCTCHANGE(B43,"2018-01-01","2019-12-31","3")</f>
        <v>56.410664519999997</v>
      </c>
      <c r="G43" s="11">
        <f>[1]!EM_S_PQ_PCTCHANGE(B43,"2018-12-31","2019-12-30","1")</f>
        <v>207.40365112000001</v>
      </c>
      <c r="H43" s="11">
        <f>[1]!EM_S_FA_YOY_OR(B43,E43)</f>
        <v>21.2165493551</v>
      </c>
      <c r="I43" s="11">
        <f>[1]!EM_S_FA_GROSSPROFITMARGIN(B43,E43)</f>
        <v>38.005003896200002</v>
      </c>
      <c r="J43" s="11">
        <f>[1]!EM_S_FA_NETPROFITMARGIN(B43,E43)</f>
        <v>4.3913019996999996</v>
      </c>
      <c r="K43" s="10">
        <f>[1]!EM_S_FA_ASSETSTURN(B43,E43)</f>
        <v>1.028601112447</v>
      </c>
      <c r="L43" s="12">
        <f>[1]!EM_HKS_VAL_MV(B43,"2019-12-31","2")</f>
        <v>9803754600</v>
      </c>
      <c r="M43">
        <f>[1]!EM_S_VAL_PETTMDEDUCTED(B43,E43)</f>
        <v>29.783423752009099</v>
      </c>
      <c r="N43" s="7">
        <f>[1]!EM_S_VAL_PBGOODWILLDEDUCTED(B43,E43)</f>
        <v>1.15060512168905</v>
      </c>
      <c r="O43" s="7">
        <f>[1]!EM_S_VAL_PS_TTM(B43,E43)</f>
        <v>0.87547863265185799</v>
      </c>
      <c r="P43" s="7">
        <f>[1]!EM_S_VAL_PCF_NCFTTM(B43,E43)</f>
        <v>-39.634299385875998</v>
      </c>
      <c r="Q43" s="7">
        <f>[1]!EM_S_VAL_DIVIDENDYIELD2(B43,E43,"2019-11-29")</f>
        <v>0.36036036036036034</v>
      </c>
      <c r="T43"/>
      <c r="U43">
        <f>[1]!EM_S_RATIO_EPS_TTM(B43,E43,"1")</f>
        <v>0.53531740844062947</v>
      </c>
      <c r="AT43" s="4" t="str">
        <f>[1]!EM_S_IPO_LISTEDDATE(B43)</f>
        <v>2016-03-29</v>
      </c>
    </row>
    <row r="44" spans="1:46">
      <c r="A44">
        <v>304</v>
      </c>
      <c r="B44" t="str">
        <f>"000723"</f>
        <v>000723</v>
      </c>
      <c r="C44" t="s">
        <v>491</v>
      </c>
      <c r="D44" t="str">
        <f>[1]!EM_S_INFO_INDEX_EM(B44,"1")</f>
        <v>化石能源</v>
      </c>
      <c r="E44" s="4">
        <f t="shared" si="0"/>
        <v>43465</v>
      </c>
      <c r="F44" s="11">
        <f>[1]!EM_S_PQ_PCTCHANGE(B44,"2018-01-01","2019-12-31","3")</f>
        <v>44.323606589999997</v>
      </c>
      <c r="G44" s="11">
        <f>[1]!EM_S_PQ_PCTCHANGE(B44,"2018-12-31","2019-12-30","1")</f>
        <v>198.44236760000001</v>
      </c>
      <c r="H44" s="11">
        <f>[1]!EM_S_FA_YOY_OR(B44,E44)</f>
        <v>23.768788963799999</v>
      </c>
      <c r="I44" s="11">
        <f>[1]!EM_S_FA_GROSSPROFITMARGIN(B44,E44)</f>
        <v>29.967645085000001</v>
      </c>
      <c r="J44" s="11">
        <f>[1]!EM_S_FA_NETPROFITMARGIN(B44,E44)</f>
        <v>13.6584359806</v>
      </c>
      <c r="K44" s="10">
        <f>[1]!EM_S_FA_ASSETSTURN(B44,E44)</f>
        <v>0.93202049445400004</v>
      </c>
      <c r="L44" s="12">
        <f>[1]!EM_HKS_VAL_MV(B44,"2019-12-31","2")</f>
        <v>38656050580.360001</v>
      </c>
      <c r="M44">
        <f>[1]!EM_S_VAL_PETTMDEDUCTED(B44,E44)</f>
        <v>8.8197599651603298</v>
      </c>
      <c r="N44" s="7">
        <f>[1]!EM_S_VAL_PBGOODWILLDEDUCTED(B44,E44)</f>
        <v>1.86385365818586</v>
      </c>
      <c r="O44" s="7">
        <f>[1]!EM_S_VAL_PS_TTM(B44,E44)</f>
        <v>0.98784104570509201</v>
      </c>
      <c r="P44" s="7">
        <f>[1]!EM_S_VAL_PCF_NCFTTM(B44,E44)</f>
        <v>-39.038204271559501</v>
      </c>
      <c r="Q44" s="7">
        <f>[1]!EM_S_VAL_DIVIDENDYIELD2(B44,E44,"2019-11-29")</f>
        <v>0</v>
      </c>
      <c r="T44"/>
      <c r="U44">
        <f>[1]!EM_S_RATIO_EPS_TTM(B44,E44,"1")</f>
        <v>0.43926663771665059</v>
      </c>
      <c r="AT44" s="4" t="str">
        <f>[1]!EM_S_IPO_LISTEDDATE(B44)</f>
        <v>1997-05-15</v>
      </c>
    </row>
    <row r="45" spans="1:46">
      <c r="A45">
        <v>668</v>
      </c>
      <c r="B45" t="str">
        <f>"002157"</f>
        <v>002157</v>
      </c>
      <c r="C45" t="s">
        <v>2228</v>
      </c>
      <c r="D45" t="str">
        <f>[1]!EM_S_INFO_INDEX_EM(B45,"1")</f>
        <v>农林牧渔</v>
      </c>
      <c r="E45" s="4">
        <f t="shared" si="0"/>
        <v>43465</v>
      </c>
      <c r="F45" s="11">
        <f>[1]!EM_S_PQ_PCTCHANGE(B45,"2018-01-01","2019-12-31","3")</f>
        <v>187.37468683</v>
      </c>
      <c r="G45" s="11">
        <f>[1]!EM_S_PQ_PCTCHANGE(B45,"2018-12-31","2019-12-30","1")</f>
        <v>196.79849340999999</v>
      </c>
      <c r="H45" s="11">
        <f>[1]!EM_S_FA_YOY_OR(B45,E45)</f>
        <v>7.2668797378000001</v>
      </c>
      <c r="I45" s="11">
        <f>[1]!EM_S_FA_GROSSPROFITMARGIN(B45,E45)</f>
        <v>10.229288798600001</v>
      </c>
      <c r="J45" s="11">
        <f>[1]!EM_S_FA_NETPROFITMARGIN(B45,E45)</f>
        <v>0.87074686290000003</v>
      </c>
      <c r="K45" s="10">
        <f>[1]!EM_S_FA_ASSETSTURN(B45,E45)</f>
        <v>1.165639791477</v>
      </c>
      <c r="L45" s="12">
        <f>[1]!EM_HKS_VAL_MV(B45,"2019-12-31","2")</f>
        <v>39784305967.199997</v>
      </c>
      <c r="M45">
        <f>[1]!EM_S_VAL_PETTMDEDUCTED(B45,E45)</f>
        <v>68.313396305476601</v>
      </c>
      <c r="N45" s="7">
        <f>[1]!EM_S_VAL_PBGOODWILLDEDUCTED(B45,E45)</f>
        <v>1.95161961785615</v>
      </c>
      <c r="O45" s="7">
        <f>[1]!EM_S_VAL_PS_TTM(B45,E45)</f>
        <v>0.53549522331780697</v>
      </c>
      <c r="P45" s="7">
        <f>[1]!EM_S_VAL_PCF_NCFTTM(B45,E45)</f>
        <v>-31.143107262521401</v>
      </c>
      <c r="Q45" s="7">
        <f>[1]!EM_S_VAL_DIVIDENDYIELD2(B45,E45,"2019-11-29")</f>
        <v>0.26540885330662478</v>
      </c>
      <c r="T45"/>
      <c r="U45">
        <f>[1]!EM_S_RATIO_EPS_TTM(B45,E45,"1")</f>
        <v>8.1716742906564374E-2</v>
      </c>
      <c r="AT45" s="4" t="str">
        <f>[1]!EM_S_IPO_LISTEDDATE(B45)</f>
        <v>2007-08-17</v>
      </c>
    </row>
    <row r="46" spans="1:46">
      <c r="A46">
        <v>1224</v>
      </c>
      <c r="B46" t="str">
        <f>"002714"</f>
        <v>002714</v>
      </c>
      <c r="C46" t="s">
        <v>2173</v>
      </c>
      <c r="D46" t="str">
        <f>[1]!EM_S_INFO_INDEX_EM(B46,"1")</f>
        <v>农林牧渔</v>
      </c>
      <c r="E46" s="4">
        <f t="shared" si="0"/>
        <v>43465</v>
      </c>
      <c r="F46" s="11">
        <f>[1]!EM_S_PQ_PCTCHANGE(B46,"2018-01-01","2019-12-31","3")</f>
        <v>207.37938438</v>
      </c>
      <c r="G46" s="11">
        <f>[1]!EM_S_PQ_PCTCHANGE(B46,"2018-12-31","2019-12-30","1")</f>
        <v>196</v>
      </c>
      <c r="H46" s="11">
        <f>[1]!EM_S_FA_YOY_OR(B46,E46)</f>
        <v>33.316104188300002</v>
      </c>
      <c r="I46" s="11">
        <f>[1]!EM_S_FA_GROSSPROFITMARGIN(B46,E46)</f>
        <v>9.8154856472999992</v>
      </c>
      <c r="J46" s="11">
        <f>[1]!EM_S_FA_NETPROFITMARGIN(B46,E46)</f>
        <v>3.9443739150999999</v>
      </c>
      <c r="K46" s="10">
        <f>[1]!EM_S_FA_ASSETSTURN(B46,E46)</f>
        <v>0.49690212691199998</v>
      </c>
      <c r="L46" s="12">
        <f>[1]!EM_HKS_VAL_MV(B46,"2019-12-31","2")</f>
        <v>191954907615.38</v>
      </c>
      <c r="M46">
        <f>[1]!EM_S_VAL_PETTMDEDUCTED(B46,E46)</f>
        <v>68.615464261813599</v>
      </c>
      <c r="N46" s="7">
        <f>[1]!EM_S_VAL_PBGOODWILLDEDUCTED(B46,E46)</f>
        <v>6.0989903125197804</v>
      </c>
      <c r="O46" s="7">
        <f>[1]!EM_S_VAL_PS_TTM(B46,E46)</f>
        <v>4.9682555027889901</v>
      </c>
      <c r="P46" s="7">
        <f>[1]!EM_S_VAL_PCF_NCFTTM(B46,E46)</f>
        <v>2036.0088375118401</v>
      </c>
      <c r="Q46" s="7">
        <f>[1]!EM_S_VAL_DIVIDENDYIELD2(B46,E46,"2019-11-29")</f>
        <v>5.5560987880321738E-2</v>
      </c>
      <c r="T46"/>
      <c r="U46">
        <f>[1]!EM_S_RATIO_EPS_TTM(B46,E46,"1")</f>
        <v>0.24947261303867094</v>
      </c>
      <c r="AT46" s="4" t="str">
        <f>[1]!EM_S_IPO_LISTEDDATE(B46)</f>
        <v>2014-01-28</v>
      </c>
    </row>
    <row r="47" spans="1:46">
      <c r="A47">
        <v>1079</v>
      </c>
      <c r="B47" t="str">
        <f>"002568"</f>
        <v>002568</v>
      </c>
      <c r="C47" t="s">
        <v>1890</v>
      </c>
      <c r="D47" t="str">
        <f>[1]!EM_S_INFO_INDEX_EM(B47,"1")</f>
        <v>食品饮料</v>
      </c>
      <c r="E47" s="4">
        <f t="shared" si="0"/>
        <v>43465</v>
      </c>
      <c r="F47" s="11">
        <f>[1]!EM_S_PQ_PCTCHANGE(B47,"2018-01-01","2019-12-31","3")</f>
        <v>104.09920214</v>
      </c>
      <c r="G47" s="11">
        <f>[1]!EM_S_PQ_PCTCHANGE(B47,"2019-01-01","2019-12-31","3")</f>
        <v>193.03706360000001</v>
      </c>
      <c r="H47" s="11">
        <f>[1]!EM_S_FA_YOY_OR(B47,E47)</f>
        <v>4.9547196017999999</v>
      </c>
      <c r="I47" s="11">
        <f>[1]!EM_S_FA_GROSSPROFITMARGIN(B47,E47)</f>
        <v>68.681990731699997</v>
      </c>
      <c r="J47" s="11">
        <f>[1]!EM_S_FA_NETPROFITMARGIN(B47,E47)</f>
        <v>10.057346642800001</v>
      </c>
      <c r="K47" s="10">
        <f>[1]!EM_S_FA_ASSETSTURN(B47,E47)</f>
        <v>0.51845653302100003</v>
      </c>
      <c r="L47" s="12">
        <f>[1]!EM_HKS_VAL_MV(B47,"2019-12-31","2")</f>
        <v>13655215615.5</v>
      </c>
      <c r="M47">
        <f>[1]!EM_S_VAL_PETTMDEDUCTED(B47,E47)</f>
        <v>32.1472358731382</v>
      </c>
      <c r="N47" s="7">
        <f>[1]!EM_S_VAL_PBGOODWILLDEDUCTED(B47,E47)</f>
        <v>2.5296929524809202</v>
      </c>
      <c r="O47" s="7">
        <f>[1]!EM_S_VAL_PS_TTM(B47,E47)</f>
        <v>3.9795041501255302</v>
      </c>
      <c r="P47" s="7">
        <f>[1]!EM_S_VAL_PCF_NCFTTM(B47,E47)</f>
        <v>-1049.42313334803</v>
      </c>
      <c r="Q47" s="7">
        <f>[1]!EM_S_VAL_DIVIDENDYIELD2(B47,E47,"2019-11-29")</f>
        <v>0</v>
      </c>
      <c r="T47"/>
      <c r="U47">
        <f>[1]!EM_S_RATIO_EPS_TTM(B47,E47,"1")</f>
        <v>0.23274591402438755</v>
      </c>
      <c r="AT47" s="4" t="str">
        <f>[1]!EM_S_IPO_LISTEDDATE(B47)</f>
        <v>2011-03-25</v>
      </c>
    </row>
    <row r="48" spans="1:46">
      <c r="A48">
        <v>705</v>
      </c>
      <c r="B48" t="str">
        <f>"002194"</f>
        <v>002194</v>
      </c>
      <c r="C48" t="s">
        <v>3563</v>
      </c>
      <c r="D48" t="str">
        <f>[1]!EM_S_INFO_INDEX_EM(B48,"1")</f>
        <v>信息技术</v>
      </c>
      <c r="E48" s="4">
        <f t="shared" si="0"/>
        <v>43465</v>
      </c>
      <c r="F48" s="11">
        <f>[1]!EM_S_PQ_PCTCHANGE(B48,"2018-01-01","2019-12-31","3")</f>
        <v>88.096374600000004</v>
      </c>
      <c r="G48" s="11">
        <f>[1]!EM_S_PQ_PCTCHANGE(B48,"2018-12-31","2019-12-30","1")</f>
        <v>191.32492113999999</v>
      </c>
      <c r="H48" s="11">
        <f>[1]!EM_S_FA_YOY_OR(B48,E48)</f>
        <v>-16.1550344493</v>
      </c>
      <c r="I48" s="11">
        <f>[1]!EM_S_FA_GROSSPROFITMARGIN(B48,E48)</f>
        <v>14.1760334283</v>
      </c>
      <c r="J48" s="11">
        <f>[1]!EM_S_FA_NETPROFITMARGIN(B48,E48)</f>
        <v>15.7989572814</v>
      </c>
      <c r="K48" s="10">
        <f>[1]!EM_S_FA_ASSETSTURN(B48,E48)</f>
        <v>0.58073042508700001</v>
      </c>
      <c r="L48" s="12">
        <f>[1]!EM_HKS_VAL_MV(B48,"2019-12-31","2")</f>
        <v>10926359120.700001</v>
      </c>
      <c r="M48">
        <f>[1]!EM_S_VAL_PETTMDEDUCTED(B48,E48)</f>
        <v>-16.6682544928378</v>
      </c>
      <c r="N48" s="7">
        <f>[1]!EM_S_VAL_PBGOODWILLDEDUCTED(B48,E48)</f>
        <v>2.1927183361227498</v>
      </c>
      <c r="O48" s="7">
        <f>[1]!EM_S_VAL_PS_TTM(B48,E48)</f>
        <v>3.1642930110246299</v>
      </c>
      <c r="P48" s="7">
        <f>[1]!EM_S_VAL_PCF_NCFTTM(B48,E48)</f>
        <v>-11.1661117998545</v>
      </c>
      <c r="Q48" s="7">
        <f>[1]!EM_S_VAL_DIVIDENDYIELD2(B48,E48,"2019-11-29")</f>
        <v>0.26925148088314482</v>
      </c>
      <c r="T48"/>
      <c r="U48">
        <f>[1]!EM_S_RATIO_EPS_TTM(B48,E48,"1")</f>
        <v>0.33437242684317331</v>
      </c>
      <c r="AT48" s="4" t="str">
        <f>[1]!EM_S_IPO_LISTEDDATE(B48)</f>
        <v>2007-12-07</v>
      </c>
    </row>
    <row r="49" spans="1:46">
      <c r="A49">
        <v>1459</v>
      </c>
      <c r="B49" t="str">
        <f>"300033"</f>
        <v>300033</v>
      </c>
      <c r="C49" t="s">
        <v>1129</v>
      </c>
      <c r="D49" t="str">
        <f>[1]!EM_S_INFO_INDEX_EM(B49,"1")</f>
        <v>互联网</v>
      </c>
      <c r="E49" s="4">
        <f t="shared" si="0"/>
        <v>43465</v>
      </c>
      <c r="F49" s="11">
        <f>[1]!EM_S_PQ_PCTCHANGE(B49,"2018-01-01","2019-12-31","3")</f>
        <v>123.39006571</v>
      </c>
      <c r="G49" s="11">
        <f>[1]!EM_S_PQ_PCTCHANGE(B49,"2018-12-31","2019-12-30","1")</f>
        <v>191.30890052000001</v>
      </c>
      <c r="H49" s="11">
        <f>[1]!EM_S_FA_YOY_OR(B49,E49)</f>
        <v>-1.6181650863000001</v>
      </c>
      <c r="I49" s="11">
        <f>[1]!EM_S_FA_GROSSPROFITMARGIN(B49,E49)</f>
        <v>89.467036423899998</v>
      </c>
      <c r="J49" s="11">
        <f>[1]!EM_S_FA_NETPROFITMARGIN(B49,E49)</f>
        <v>45.709146580199999</v>
      </c>
      <c r="K49" s="10">
        <f>[1]!EM_S_FA_ASSETSTURN(B49,E49)</f>
        <v>0.33251034111700001</v>
      </c>
      <c r="L49" s="12">
        <f>[1]!EM_HKS_VAL_MV(B49,"2019-12-31","2")</f>
        <v>58657536000</v>
      </c>
      <c r="M49">
        <f>[1]!EM_S_VAL_PETTMDEDUCTED(B49,E49)</f>
        <v>36.999647927026899</v>
      </c>
      <c r="N49" s="7">
        <f>[1]!EM_S_VAL_PBGOODWILLDEDUCTED(B49,E49)</f>
        <v>6.15598077143492</v>
      </c>
      <c r="O49" s="7">
        <f>[1]!EM_S_VAL_PS_TTM(B49,E49)</f>
        <v>15.4046079507365</v>
      </c>
      <c r="P49" s="7">
        <f>[1]!EM_S_VAL_PCF_NCFTTM(B49,E49)</f>
        <v>-30.2009205841727</v>
      </c>
      <c r="Q49" s="7">
        <f>[1]!EM_S_VAL_DIVIDENDYIELD2(B49,E49,"2019-11-29")</f>
        <v>0.52608505041648401</v>
      </c>
      <c r="T49"/>
      <c r="U49">
        <f>[1]!EM_S_RATIO_EPS_TTM(B49,E49,"1")</f>
        <v>1.1791931150855655</v>
      </c>
      <c r="AT49" s="4" t="str">
        <f>[1]!EM_S_IPO_LISTEDDATE(B49)</f>
        <v>2009-12-25</v>
      </c>
    </row>
    <row r="50" spans="1:46">
      <c r="A50">
        <v>1066</v>
      </c>
      <c r="B50" t="str">
        <f>"002555"</f>
        <v>002555</v>
      </c>
      <c r="C50" t="s">
        <v>181</v>
      </c>
      <c r="D50" t="str">
        <f>[1]!EM_S_INFO_INDEX_EM(B50,"1")</f>
        <v>互联网</v>
      </c>
      <c r="E50" s="4">
        <f t="shared" si="0"/>
        <v>43465</v>
      </c>
      <c r="F50" s="11">
        <f>[1]!EM_S_PQ_PCTCHANGE(B50,"2018-01-01","2019-12-31","3")</f>
        <v>36.13864779</v>
      </c>
      <c r="G50" s="11">
        <f>[1]!EM_S_PQ_PCTCHANGE(B50,"2019-01-01","2019-12-31","3")</f>
        <v>191.02447842999999</v>
      </c>
      <c r="H50" s="11">
        <f>[1]!EM_S_FA_YOY_OR(B50,E50)</f>
        <v>23.3299669094</v>
      </c>
      <c r="I50" s="11">
        <f>[1]!EM_S_FA_GROSSPROFITMARGIN(B50,E50)</f>
        <v>76.267562392499997</v>
      </c>
      <c r="J50" s="11">
        <f>[1]!EM_S_FA_NETPROFITMARGIN(B50,E50)</f>
        <v>15.085525453000001</v>
      </c>
      <c r="K50" s="10">
        <f>[1]!EM_S_FA_ASSETSTURN(B50,E50)</f>
        <v>0.86952875424200005</v>
      </c>
      <c r="L50" s="12">
        <f>[1]!EM_HKS_VAL_MV(B50,"2019-12-31","2")</f>
        <v>56882938200.209999</v>
      </c>
      <c r="M50">
        <f>[1]!EM_S_VAL_PETTMDEDUCTED(B50,E50)</f>
        <v>17.499782956001201</v>
      </c>
      <c r="N50" s="7">
        <f>[1]!EM_S_VAL_PBGOODWILLDEDUCTED(B50,E50)</f>
        <v>4.5649253844794204</v>
      </c>
      <c r="O50" s="7">
        <f>[1]!EM_S_VAL_PS_TTM(B50,E50)</f>
        <v>2.7632041274174699</v>
      </c>
      <c r="P50" s="7">
        <f>[1]!EM_S_VAL_PCF_NCFTTM(B50,E50)</f>
        <v>217.98545608383901</v>
      </c>
      <c r="Q50" s="7">
        <f>[1]!EM_S_VAL_DIVIDENDYIELD2(B50,E50,"2019-11-29")</f>
        <v>0.92208390963577691</v>
      </c>
      <c r="T50"/>
      <c r="U50">
        <f>[1]!EM_S_RATIO_EPS_TTM(B50,E50,"1")</f>
        <v>0.4746187944304569</v>
      </c>
      <c r="AT50" s="4" t="str">
        <f>[1]!EM_S_IPO_LISTEDDATE(B50)</f>
        <v>2011-03-02</v>
      </c>
    </row>
    <row r="51" spans="1:46">
      <c r="A51">
        <v>3378</v>
      </c>
      <c r="B51" t="str">
        <f>"603360"</f>
        <v>603360</v>
      </c>
      <c r="C51" t="s">
        <v>510</v>
      </c>
      <c r="D51" t="str">
        <f>[1]!EM_S_INFO_INDEX_EM(B51,"1")</f>
        <v>基础化工</v>
      </c>
      <c r="E51" s="4">
        <f t="shared" si="0"/>
        <v>43465</v>
      </c>
      <c r="F51" s="11">
        <f>[1]!EM_S_PQ_PCTCHANGE(B51,"2018-01-01","2019-12-31","3")</f>
        <v>134.58440859000001</v>
      </c>
      <c r="G51" s="11">
        <f>[1]!EM_S_PQ_PCTCHANGE(B51,"2018-12-31","2019-12-30","1")</f>
        <v>189.07766989999999</v>
      </c>
      <c r="H51" s="11">
        <f>[1]!EM_S_FA_YOY_OR(B51,E51)</f>
        <v>28.707809530900001</v>
      </c>
      <c r="I51" s="11">
        <f>[1]!EM_S_FA_GROSSPROFITMARGIN(B51,E51)</f>
        <v>48.266106445299997</v>
      </c>
      <c r="J51" s="11">
        <f>[1]!EM_S_FA_NETPROFITMARGIN(B51,E51)</f>
        <v>27.4655151957</v>
      </c>
      <c r="K51" s="10">
        <f>[1]!EM_S_FA_ASSETSTURN(B51,E51)</f>
        <v>0.63000831038600003</v>
      </c>
      <c r="L51" s="12">
        <f>[1]!EM_HKS_VAL_MV(B51,"2019-12-31","2")</f>
        <v>6528059720</v>
      </c>
      <c r="M51">
        <f>[1]!EM_S_VAL_PETTMDEDUCTED(B51,E51)</f>
        <v>19.3602415210073</v>
      </c>
      <c r="N51" s="7">
        <f>[1]!EM_S_VAL_PBGOODWILLDEDUCTED(B51,E51)</f>
        <v>2.8865143259333799</v>
      </c>
      <c r="O51" s="7">
        <f>[1]!EM_S_VAL_PS_TTM(B51,E51)</f>
        <v>4.4643656873138298</v>
      </c>
      <c r="P51" s="7">
        <f>[1]!EM_S_VAL_PCF_NCFTTM(B51,E51)</f>
        <v>57.1152764096677</v>
      </c>
      <c r="Q51" s="7">
        <f>[1]!EM_S_VAL_DIVIDENDYIELD2(B51,E51,"2019-11-29")</f>
        <v>1.340666895840495</v>
      </c>
      <c r="T51"/>
      <c r="U51">
        <f>[1]!EM_S_RATIO_EPS_TTM(B51,E51,"1")</f>
        <v>0.77775132957637827</v>
      </c>
      <c r="AT51" s="4" t="str">
        <f>[1]!EM_S_IPO_LISTEDDATE(B51)</f>
        <v>2017-02-06</v>
      </c>
    </row>
    <row r="52" spans="1:46">
      <c r="A52">
        <v>752</v>
      </c>
      <c r="B52" t="str">
        <f>"002241"</f>
        <v>002241</v>
      </c>
      <c r="C52" t="s">
        <v>2016</v>
      </c>
      <c r="D52" t="str">
        <f>[1]!EM_S_INFO_INDEX_EM(B52,"1")</f>
        <v>电子设备</v>
      </c>
      <c r="E52" s="4">
        <f t="shared" si="0"/>
        <v>43465</v>
      </c>
      <c r="F52" s="11">
        <f>[1]!EM_S_PQ_PCTCHANGE(B52,"2018-01-01","2019-12-31","3")</f>
        <v>17.147478570000001</v>
      </c>
      <c r="G52" s="11">
        <f>[1]!EM_S_PQ_PCTCHANGE(B52,"2018-12-31","2019-12-30","1")</f>
        <v>187.64534884</v>
      </c>
      <c r="H52" s="11">
        <f>[1]!EM_S_FA_YOY_OR(B52,E52)</f>
        <v>-6.9922421715</v>
      </c>
      <c r="I52" s="11">
        <f>[1]!EM_S_FA_GROSSPROFITMARGIN(B52,E52)</f>
        <v>18.814980170599998</v>
      </c>
      <c r="J52" s="11">
        <f>[1]!EM_S_FA_NETPROFITMARGIN(B52,E52)</f>
        <v>3.5555862272000001</v>
      </c>
      <c r="K52" s="10">
        <f>[1]!EM_S_FA_ASSETSTURN(B52,E52)</f>
        <v>0.843519888286</v>
      </c>
      <c r="L52" s="12">
        <f>[1]!EM_HKS_VAL_MV(B52,"2019-12-31","2")</f>
        <v>64642470644.160004</v>
      </c>
      <c r="M52">
        <f>[1]!EM_S_VAL_PETTMDEDUCTED(B52,E52)</f>
        <v>15.6625168976254</v>
      </c>
      <c r="N52" s="7">
        <f>[1]!EM_S_VAL_PBGOODWILLDEDUCTED(B52,E52)</f>
        <v>1.4704373612283701</v>
      </c>
      <c r="O52" s="7">
        <f>[1]!EM_S_VAL_PS_TTM(B52,E52)</f>
        <v>0.94106364722707403</v>
      </c>
      <c r="P52" s="7">
        <f>[1]!EM_S_VAL_PCF_NCFTTM(B52,E52)</f>
        <v>-71.076014338218101</v>
      </c>
      <c r="Q52" s="7">
        <f>[1]!EM_S_VAL_DIVIDENDYIELD2(B52,E52,"2019-11-29")</f>
        <v>0.51572975760701389</v>
      </c>
      <c r="T52"/>
      <c r="U52">
        <f>[1]!EM_S_RATIO_EPS_TTM(B52,E52,"1")</f>
        <v>0.26739441181993223</v>
      </c>
      <c r="AT52" s="4" t="str">
        <f>[1]!EM_S_IPO_LISTEDDATE(B52)</f>
        <v>2008-05-22</v>
      </c>
    </row>
    <row r="53" spans="1:46">
      <c r="A53">
        <v>2665</v>
      </c>
      <c r="B53" t="str">
        <f>"600592"</f>
        <v>600592</v>
      </c>
      <c r="C53" t="s">
        <v>1951</v>
      </c>
      <c r="D53" t="str">
        <f>[1]!EM_S_INFO_INDEX_EM(B53,"1")</f>
        <v>机械设备</v>
      </c>
      <c r="E53" s="4">
        <f t="shared" si="0"/>
        <v>43465</v>
      </c>
      <c r="F53" s="11">
        <f>[1]!EM_S_PQ_PCTCHANGE(B53,"2018-01-01","2019-12-31","3")</f>
        <v>62.78419667</v>
      </c>
      <c r="G53" s="11">
        <f>[1]!EM_S_PQ_PCTCHANGE(B53,"2018-12-31","2019-12-30","1")</f>
        <v>184.88805970000001</v>
      </c>
      <c r="H53" s="11">
        <f>[1]!EM_S_FA_YOY_OR(B53,E53)</f>
        <v>15.1993314252</v>
      </c>
      <c r="I53" s="11">
        <f>[1]!EM_S_FA_GROSSPROFITMARGIN(B53,E53)</f>
        <v>27.876603422799999</v>
      </c>
      <c r="J53" s="11">
        <f>[1]!EM_S_FA_NETPROFITMARGIN(B53,E53)</f>
        <v>8.2410532487000001</v>
      </c>
      <c r="K53" s="10">
        <f>[1]!EM_S_FA_ASSETSTURN(B53,E53)</f>
        <v>0.37492346101500001</v>
      </c>
      <c r="L53" s="12">
        <f>[1]!EM_HKS_VAL_MV(B53,"2019-12-31","2")</f>
        <v>6189084814.79</v>
      </c>
      <c r="M53">
        <f>[1]!EM_S_VAL_PETTMDEDUCTED(B53,E53)</f>
        <v>39.891012606414101</v>
      </c>
      <c r="N53" s="7">
        <f>[1]!EM_S_VAL_PBGOODWILLDEDUCTED(B53,E53)</f>
        <v>1.16739192102824</v>
      </c>
      <c r="O53" s="7">
        <f>[1]!EM_S_VAL_PS_TTM(B53,E53)</f>
        <v>2.0787118763332599</v>
      </c>
      <c r="P53" s="7">
        <f>[1]!EM_S_VAL_PCF_NCFTTM(B53,E53)</f>
        <v>80.377979044610498</v>
      </c>
      <c r="Q53" s="7">
        <f>[1]!EM_S_VAL_DIVIDENDYIELD2(B53,E53,"2019-11-29")</f>
        <v>0.71225071225071224</v>
      </c>
      <c r="T53"/>
      <c r="U53">
        <f>[1]!EM_S_RATIO_EPS_TTM(B53,E53,"1")</f>
        <v>0.21962552035356481</v>
      </c>
      <c r="AT53" s="4" t="str">
        <f>[1]!EM_S_IPO_LISTEDDATE(B53)</f>
        <v>2002-08-05</v>
      </c>
    </row>
    <row r="54" spans="1:46">
      <c r="A54">
        <v>611</v>
      </c>
      <c r="B54" t="str">
        <f>"002100"</f>
        <v>002100</v>
      </c>
      <c r="C54" t="s">
        <v>1500</v>
      </c>
      <c r="D54" t="str">
        <f>[1]!EM_S_INFO_INDEX_EM(B54,"1")</f>
        <v>农林牧渔</v>
      </c>
      <c r="E54" s="4">
        <f t="shared" si="0"/>
        <v>43465</v>
      </c>
      <c r="F54" s="11">
        <f>[1]!EM_S_PQ_PCTCHANGE(B54,"2018-01-01","2019-12-31","3")</f>
        <v>61.906949310000002</v>
      </c>
      <c r="G54" s="11">
        <f>[1]!EM_S_PQ_PCTCHANGE(B54,"2018-12-31","2019-12-30","1")</f>
        <v>183.80952381</v>
      </c>
      <c r="H54" s="11">
        <f>[1]!EM_S_FA_YOY_OR(B54,E54)</f>
        <v>13.887754580599999</v>
      </c>
      <c r="I54" s="11">
        <f>[1]!EM_S_FA_GROSSPROFITMARGIN(B54,E54)</f>
        <v>21.042896939599999</v>
      </c>
      <c r="J54" s="11">
        <f>[1]!EM_S_FA_NETPROFITMARGIN(B54,E54)</f>
        <v>5.7093837078999998</v>
      </c>
      <c r="K54" s="10">
        <f>[1]!EM_S_FA_ASSETSTURN(B54,E54)</f>
        <v>0.73330295650699995</v>
      </c>
      <c r="L54" s="12">
        <f>[1]!EM_HKS_VAL_MV(B54,"2019-12-31","2")</f>
        <v>13597849288.26</v>
      </c>
      <c r="M54">
        <f>[1]!EM_S_VAL_PETTMDEDUCTED(B54,E54)</f>
        <v>12.166888843162599</v>
      </c>
      <c r="N54" s="7">
        <f>[1]!EM_S_VAL_PBGOODWILLDEDUCTED(B54,E54)</f>
        <v>1.2786765239281599</v>
      </c>
      <c r="O54" s="7">
        <f>[1]!EM_S_VAL_PS_TTM(B54,E54)</f>
        <v>0.83004897754345996</v>
      </c>
      <c r="P54" s="7">
        <f>[1]!EM_S_VAL_PCF_NCFTTM(B54,E54)</f>
        <v>4.1196893401453698</v>
      </c>
      <c r="Q54" s="7">
        <f>[1]!EM_S_VAL_DIVIDENDYIELD2(B54,E54,"2019-11-29")</f>
        <v>0.77312887043944745</v>
      </c>
      <c r="T54"/>
      <c r="U54">
        <f>[1]!EM_S_RATIO_EPS_TTM(B54,E54,"1")</f>
        <v>0.32564316129687054</v>
      </c>
      <c r="AT54" s="4" t="str">
        <f>[1]!EM_S_IPO_LISTEDDATE(B54)</f>
        <v>2006-12-26</v>
      </c>
    </row>
    <row r="55" spans="1:46">
      <c r="A55">
        <v>1893</v>
      </c>
      <c r="B55" t="str">
        <f>"300468"</f>
        <v>300468</v>
      </c>
      <c r="C55" t="s">
        <v>1888</v>
      </c>
      <c r="D55" t="str">
        <f>[1]!EM_S_INFO_INDEX_EM(B55,"1")</f>
        <v>信息技术</v>
      </c>
      <c r="E55" s="4">
        <f t="shared" si="0"/>
        <v>43465</v>
      </c>
      <c r="F55" s="11">
        <f>[1]!EM_S_PQ_PCTCHANGE(B55,"2018-01-01","2019-12-31","3")</f>
        <v>58.523981390000003</v>
      </c>
      <c r="G55" s="11">
        <f>[1]!EM_S_PQ_PCTCHANGE(B55,"2018-12-31","2019-12-30","1")</f>
        <v>181.57676348999999</v>
      </c>
      <c r="H55" s="11">
        <f>[1]!EM_S_FA_YOY_OR(B55,E55)</f>
        <v>-3.9363988914000001</v>
      </c>
      <c r="I55" s="11">
        <f>[1]!EM_S_FA_GROSSPROFITMARGIN(B55,E55)</f>
        <v>39.184455214099998</v>
      </c>
      <c r="J55" s="11">
        <f>[1]!EM_S_FA_NETPROFITMARGIN(B55,E55)</f>
        <v>14.1045602664</v>
      </c>
      <c r="K55" s="10">
        <f>[1]!EM_S_FA_ASSETSTURN(B55,E55)</f>
        <v>0.40456447288300001</v>
      </c>
      <c r="L55" s="12">
        <f>[1]!EM_HKS_VAL_MV(B55,"2019-12-31","2")</f>
        <v>6513735956.6700001</v>
      </c>
      <c r="M55">
        <f>[1]!EM_S_VAL_PETTMDEDUCTED(B55,E55)</f>
        <v>27.691872347501999</v>
      </c>
      <c r="N55" s="7">
        <f>[1]!EM_S_VAL_PBGOODWILLDEDUCTED(B55,E55)</f>
        <v>2.2246118678235498</v>
      </c>
      <c r="O55" s="7">
        <f>[1]!EM_S_VAL_PS_TTM(B55,E55)</f>
        <v>4.70366780537318</v>
      </c>
      <c r="P55" s="7">
        <f>[1]!EM_S_VAL_PCF_NCFTTM(B55,E55)</f>
        <v>-47.988598098496396</v>
      </c>
      <c r="Q55" s="7">
        <f>[1]!EM_S_VAL_DIVIDENDYIELD2(B55,E55,"2019-11-29")</f>
        <v>0.51734697986577183</v>
      </c>
      <c r="T55"/>
      <c r="U55">
        <f>[1]!EM_S_RATIO_EPS_TTM(B55,E55,"1")</f>
        <v>0.35352815813746097</v>
      </c>
      <c r="AT55" s="4" t="str">
        <f>[1]!EM_S_IPO_LISTEDDATE(B55)</f>
        <v>2015-05-27</v>
      </c>
    </row>
    <row r="56" spans="1:46">
      <c r="A56">
        <v>1842</v>
      </c>
      <c r="B56" t="str">
        <f>"300417"</f>
        <v>300417</v>
      </c>
      <c r="C56" t="s">
        <v>1788</v>
      </c>
      <c r="D56" t="str">
        <f>[1]!EM_S_INFO_INDEX_EM(B56,"1")</f>
        <v>机械设备</v>
      </c>
      <c r="E56" s="4">
        <f t="shared" si="0"/>
        <v>43465</v>
      </c>
      <c r="F56" s="11">
        <f>[1]!EM_S_PQ_PCTCHANGE(B56,"2018-01-01","2019-12-31","3")</f>
        <v>86.740682770000006</v>
      </c>
      <c r="G56" s="11">
        <f>[1]!EM_S_PQ_PCTCHANGE(B56,"2018-12-31","2019-12-30","1")</f>
        <v>179.47019868000001</v>
      </c>
      <c r="H56" s="11">
        <f>[1]!EM_S_FA_YOY_OR(B56,E56)</f>
        <v>-17.994317846200001</v>
      </c>
      <c r="I56" s="11">
        <f>[1]!EM_S_FA_GROSSPROFITMARGIN(B56,E56)</f>
        <v>48.888578807000002</v>
      </c>
      <c r="J56" s="11">
        <f>[1]!EM_S_FA_NETPROFITMARGIN(B56,E56)</f>
        <v>18.271539518099999</v>
      </c>
      <c r="K56" s="10">
        <f>[1]!EM_S_FA_ASSETSTURN(B56,E56)</f>
        <v>0.33515126218699998</v>
      </c>
      <c r="L56" s="12">
        <f>[1]!EM_HKS_VAL_MV(B56,"2019-12-31","2")</f>
        <v>3439440000</v>
      </c>
      <c r="M56">
        <f>[1]!EM_S_VAL_PETTMDEDUCTED(B56,E56)</f>
        <v>44.027703859510197</v>
      </c>
      <c r="N56" s="7">
        <f>[1]!EM_S_VAL_PBGOODWILLDEDUCTED(B56,E56)</f>
        <v>3.0627590344498499</v>
      </c>
      <c r="O56" s="7">
        <f>[1]!EM_S_VAL_PS_TTM(B56,E56)</f>
        <v>7.7123027460086497</v>
      </c>
      <c r="P56" s="7">
        <f>[1]!EM_S_VAL_PCF_NCFTTM(B56,E56)</f>
        <v>108.355711539691</v>
      </c>
      <c r="Q56" s="7">
        <f>[1]!EM_S_VAL_DIVIDENDYIELD2(B56,E56,"2019-11-29")</f>
        <v>0.61500615006150061</v>
      </c>
      <c r="T56"/>
      <c r="U56">
        <f>[1]!EM_S_RATIO_EPS_TTM(B56,E56,"1")</f>
        <v>0.34170314840686272</v>
      </c>
      <c r="AT56" s="4" t="str">
        <f>[1]!EM_S_IPO_LISTEDDATE(B56)</f>
        <v>2015-01-23</v>
      </c>
    </row>
    <row r="57" spans="1:46">
      <c r="A57">
        <v>992</v>
      </c>
      <c r="B57" t="str">
        <f>"002481"</f>
        <v>002481</v>
      </c>
      <c r="C57" t="s">
        <v>1201</v>
      </c>
      <c r="D57" t="str">
        <f>[1]!EM_S_INFO_INDEX_EM(B57,"1")</f>
        <v>食品饮料</v>
      </c>
      <c r="E57" s="4">
        <f t="shared" si="0"/>
        <v>43465</v>
      </c>
      <c r="F57" s="11">
        <f>[1]!EM_S_PQ_PCTCHANGE(B57,"2018-01-01","2019-12-31","3")</f>
        <v>55.427399899999998</v>
      </c>
      <c r="G57" s="11">
        <f>[1]!EM_S_PQ_PCTCHANGE(B57,"2018-12-31","2019-12-30","1")</f>
        <v>179.28571428999999</v>
      </c>
      <c r="H57" s="11">
        <f>[1]!EM_S_FA_YOY_OR(B57,E57)</f>
        <v>15.0576404223</v>
      </c>
      <c r="I57" s="11">
        <f>[1]!EM_S_FA_GROSSPROFITMARGIN(B57,E57)</f>
        <v>14.751230681199999</v>
      </c>
      <c r="J57" s="11">
        <f>[1]!EM_S_FA_NETPROFITMARGIN(B57,E57)</f>
        <v>3.8575915376999999</v>
      </c>
      <c r="K57" s="10">
        <f>[1]!EM_S_FA_ASSETSTURN(B57,E57)</f>
        <v>0.58553976454699996</v>
      </c>
      <c r="L57" s="12">
        <f>[1]!EM_HKS_VAL_MV(B57,"2019-12-31","2")</f>
        <v>9872516600</v>
      </c>
      <c r="M57">
        <f>[1]!EM_S_VAL_PETTMDEDUCTED(B57,E57)</f>
        <v>184.700074753595</v>
      </c>
      <c r="N57" s="7">
        <f>[1]!EM_S_VAL_PBGOODWILLDEDUCTED(B57,E57)</f>
        <v>1.3455239881277701</v>
      </c>
      <c r="O57" s="7">
        <f>[1]!EM_S_VAL_PS_TTM(B57,E57)</f>
        <v>1.2841903639108001</v>
      </c>
      <c r="P57" s="7">
        <f>[1]!EM_S_VAL_PCF_NCFTTM(B57,E57)</f>
        <v>-20.9032076740856</v>
      </c>
      <c r="Q57" s="7">
        <f>[1]!EM_S_VAL_DIVIDENDYIELD2(B57,E57,"2019-11-29")</f>
        <v>0</v>
      </c>
      <c r="T57"/>
      <c r="U57">
        <f>[1]!EM_S_RATIO_EPS_TTM(B57,E57,"1")</f>
        <v>7.3899437754847627E-2</v>
      </c>
      <c r="AT57" s="4" t="str">
        <f>[1]!EM_S_IPO_LISTEDDATE(B57)</f>
        <v>2010-09-21</v>
      </c>
    </row>
    <row r="58" spans="1:46">
      <c r="A58">
        <v>745</v>
      </c>
      <c r="B58" t="str">
        <f>"002234"</f>
        <v>002234</v>
      </c>
      <c r="C58" t="s">
        <v>3524</v>
      </c>
      <c r="D58" t="str">
        <f>[1]!EM_S_INFO_INDEX_EM(B58,"1")</f>
        <v>农林牧渔</v>
      </c>
      <c r="E58" s="4">
        <f t="shared" si="0"/>
        <v>43465</v>
      </c>
      <c r="F58" s="11">
        <f>[1]!EM_S_PQ_PCTCHANGE(B58,"2018-01-01","2019-12-31","3")</f>
        <v>179.03508772000001</v>
      </c>
      <c r="G58" s="11">
        <f>[1]!EM_S_PQ_PCTCHANGE(B58,"2018-12-31","2019-12-30","1")</f>
        <v>173.36244540999999</v>
      </c>
      <c r="H58" s="11">
        <f>[1]!EM_S_FA_YOY_OR(B58,E58)</f>
        <v>70.305730196900001</v>
      </c>
      <c r="I58" s="11">
        <f>[1]!EM_S_FA_GROSSPROFITMARGIN(B58,E58)</f>
        <v>34.310957236699998</v>
      </c>
      <c r="J58" s="11">
        <f>[1]!EM_S_FA_NETPROFITMARGIN(B58,E58)</f>
        <v>20.929795261500001</v>
      </c>
      <c r="K58" s="10">
        <f>[1]!EM_S_FA_ASSETSTURN(B58,E58)</f>
        <v>0.74195553565899997</v>
      </c>
      <c r="L58" s="12">
        <f>[1]!EM_HKS_VAL_MV(B58,"2019-12-31","2")</f>
        <v>9608103363.9200001</v>
      </c>
      <c r="M58">
        <f>[1]!EM_S_VAL_PETTMDEDUCTED(B58,E58)</f>
        <v>27.0818687009046</v>
      </c>
      <c r="N58" s="7">
        <f>[1]!EM_S_VAL_PBGOODWILLDEDUCTED(B58,E58)</f>
        <v>3.0863580732876899</v>
      </c>
      <c r="O58" s="7">
        <f>[1]!EM_S_VAL_PS_TTM(B58,E58)</f>
        <v>2.3185227948759102</v>
      </c>
      <c r="P58" s="7">
        <f>[1]!EM_S_VAL_PCF_NCFTTM(B58,E58)</f>
        <v>-84.815984083796195</v>
      </c>
      <c r="Q58" s="7">
        <f>[1]!EM_S_VAL_DIVIDENDYIELD2(B58,E58,"2019-11-29")</f>
        <v>0</v>
      </c>
      <c r="T58"/>
      <c r="U58">
        <f>[1]!EM_S_RATIO_EPS_TTM(B58,E58,"1")</f>
        <v>1.260244521283058</v>
      </c>
      <c r="AT58" s="4" t="str">
        <f>[1]!EM_S_IPO_LISTEDDATE(B58)</f>
        <v>2008-05-16</v>
      </c>
    </row>
    <row r="59" spans="1:46">
      <c r="A59">
        <v>2785</v>
      </c>
      <c r="B59" t="str">
        <f>"600712"</f>
        <v>600712</v>
      </c>
      <c r="C59" t="s">
        <v>3201</v>
      </c>
      <c r="D59" t="str">
        <f>[1]!EM_S_INFO_INDEX_EM(B59,"1")</f>
        <v>商贸零售</v>
      </c>
      <c r="E59" s="4">
        <f t="shared" si="0"/>
        <v>43465</v>
      </c>
      <c r="F59" s="11">
        <f>[1]!EM_S_PQ_PCTCHANGE(B59,"2018-01-01","2019-12-31","3")</f>
        <v>23.46938776</v>
      </c>
      <c r="G59" s="11">
        <f>[1]!EM_S_PQ_PCTCHANGE(B59,"2018-12-31","2019-12-30","1")</f>
        <v>172.40437158</v>
      </c>
      <c r="H59" s="11">
        <f>[1]!EM_S_FA_YOY_OR(B59,E59)</f>
        <v>-8.2529429904999994</v>
      </c>
      <c r="I59" s="11">
        <f>[1]!EM_S_FA_GROSSPROFITMARGIN(B59,E59)</f>
        <v>16.796120888600001</v>
      </c>
      <c r="J59" s="11">
        <f>[1]!EM_S_FA_NETPROFITMARGIN(B59,E59)</f>
        <v>-2.1068692296</v>
      </c>
      <c r="K59" s="10">
        <f>[1]!EM_S_FA_ASSETSTURN(B59,E59)</f>
        <v>0.99366006786200001</v>
      </c>
      <c r="L59" s="12">
        <f>[1]!EM_HKS_VAL_MV(B59,"2019-12-31","2")</f>
        <v>5272263884.8000002</v>
      </c>
      <c r="M59">
        <f>[1]!EM_S_VAL_PETTMDEDUCTED(B59,E59)</f>
        <v>-73.506405205773405</v>
      </c>
      <c r="N59" s="7">
        <f>[1]!EM_S_VAL_PBGOODWILLDEDUCTED(B59,E59)</f>
        <v>1.9598773283519999</v>
      </c>
      <c r="O59" s="7">
        <f>[1]!EM_S_VAL_PS_TTM(B59,E59)</f>
        <v>0.84882724759603101</v>
      </c>
      <c r="P59" s="7">
        <f>[1]!EM_S_VAL_PCF_NCFTTM(B59,E59)</f>
        <v>21.469913549276701</v>
      </c>
      <c r="Q59" s="7">
        <f>[1]!EM_S_VAL_DIVIDENDYIELD2(B59,E59,"2019-11-29")</f>
        <v>0</v>
      </c>
      <c r="T59"/>
      <c r="U59">
        <f>[1]!EM_S_RATIO_EPS_TTM(B59,E59,"1")</f>
        <v>-8.2372982687621027E-2</v>
      </c>
      <c r="AT59" s="4" t="str">
        <f>[1]!EM_S_IPO_LISTEDDATE(B59)</f>
        <v>1996-06-26</v>
      </c>
    </row>
    <row r="60" spans="1:46">
      <c r="A60">
        <v>3426</v>
      </c>
      <c r="B60" t="str">
        <f>"603536"</f>
        <v>603536</v>
      </c>
      <c r="C60" t="s">
        <v>2836</v>
      </c>
      <c r="D60" t="str">
        <f>[1]!EM_S_INFO_INDEX_EM(B60,"1")</f>
        <v>食品饮料</v>
      </c>
      <c r="E60" s="4">
        <f t="shared" si="0"/>
        <v>43465</v>
      </c>
      <c r="F60" s="11">
        <f>[1]!EM_S_PQ_PCTCHANGE(B60,"2018-01-01","2019-12-31","3")</f>
        <v>72.322293029999997</v>
      </c>
      <c r="G60" s="11">
        <f>[1]!EM_S_PQ_PCTCHANGE(B60,"2018-12-31","2019-12-30","1")</f>
        <v>172.24242423999999</v>
      </c>
      <c r="H60" s="11">
        <f>[1]!EM_S_FA_YOY_OR(B60,E60)</f>
        <v>11.0030153005</v>
      </c>
      <c r="I60" s="11">
        <f>[1]!EM_S_FA_GROSSPROFITMARGIN(B60,E60)</f>
        <v>22.622958584599999</v>
      </c>
      <c r="J60" s="11">
        <f>[1]!EM_S_FA_NETPROFITMARGIN(B60,E60)</f>
        <v>4.3377595811000003</v>
      </c>
      <c r="K60" s="10">
        <f>[1]!EM_S_FA_ASSETSTURN(B60,E60)</f>
        <v>0.95953284031499997</v>
      </c>
      <c r="L60" s="12">
        <f>[1]!EM_HKS_VAL_MV(B60,"2019-12-31","2")</f>
        <v>3966480000</v>
      </c>
      <c r="M60">
        <f>[1]!EM_S_VAL_PETTMDEDUCTED(B60,E60)</f>
        <v>30.8867684001703</v>
      </c>
      <c r="N60" s="7">
        <f>[1]!EM_S_VAL_PBGOODWILLDEDUCTED(B60,E60)</f>
        <v>2.10141780054518</v>
      </c>
      <c r="O60" s="7">
        <f>[1]!EM_S_VAL_PS_TTM(B60,E60)</f>
        <v>1.3758787804927</v>
      </c>
      <c r="P60" s="7">
        <f>[1]!EM_S_VAL_PCF_NCFTTM(B60,E60)</f>
        <v>-67.496452042423996</v>
      </c>
      <c r="Q60" s="7">
        <f>[1]!EM_S_VAL_DIVIDENDYIELD2(B60,E60,"2019-11-29")</f>
        <v>1.098901098901099</v>
      </c>
      <c r="T60"/>
      <c r="U60">
        <f>[1]!EM_S_RATIO_EPS_TTM(B60,E60,"1")</f>
        <v>0.27060007494047622</v>
      </c>
      <c r="AT60" s="4" t="str">
        <f>[1]!EM_S_IPO_LISTEDDATE(B60)</f>
        <v>2017-06-13</v>
      </c>
    </row>
    <row r="61" spans="1:46">
      <c r="A61">
        <v>3200</v>
      </c>
      <c r="B61" t="str">
        <f>"603000"</f>
        <v>603000</v>
      </c>
      <c r="C61" t="s">
        <v>3522</v>
      </c>
      <c r="D61" t="str">
        <f>[1]!EM_S_INFO_INDEX_EM(B61,"1")</f>
        <v>互联网</v>
      </c>
      <c r="E61" s="4">
        <f t="shared" si="0"/>
        <v>43465</v>
      </c>
      <c r="F61" s="11">
        <f>[1]!EM_S_PQ_PCTCHANGE(B61,"2018-01-01","2019-12-31","3")</f>
        <v>84.975591100000003</v>
      </c>
      <c r="G61" s="11">
        <f>[1]!EM_S_PQ_PCTCHANGE(B61,"2018-12-31","2019-12-30","1")</f>
        <v>171.23287671</v>
      </c>
      <c r="H61" s="11">
        <f>[1]!EM_S_FA_YOY_OR(B61,E61)</f>
        <v>20.958073627800001</v>
      </c>
      <c r="I61" s="11">
        <f>[1]!EM_S_FA_GROSSPROFITMARGIN(B61,E61)</f>
        <v>44.685904225500003</v>
      </c>
      <c r="J61" s="11">
        <f>[1]!EM_S_FA_NETPROFITMARGIN(B61,E61)</f>
        <v>15.4768112175</v>
      </c>
      <c r="K61" s="10">
        <f>[1]!EM_S_FA_ASSETSTURN(B61,E61)</f>
        <v>0.43533841354399999</v>
      </c>
      <c r="L61" s="12">
        <f>[1]!EM_HKS_VAL_MV(B61,"2019-12-31","2")</f>
        <v>21881625998.240002</v>
      </c>
      <c r="M61">
        <f>[1]!EM_S_VAL_PETTMDEDUCTED(B61,E61)</f>
        <v>66.481763864367096</v>
      </c>
      <c r="N61" s="7">
        <f>[1]!EM_S_VAL_PBGOODWILLDEDUCTED(B61,E61)</f>
        <v>2.69877896269979</v>
      </c>
      <c r="O61" s="7">
        <f>[1]!EM_S_VAL_PS_TTM(B61,E61)</f>
        <v>5.49443930598449</v>
      </c>
      <c r="P61" s="7">
        <f>[1]!EM_S_VAL_PCF_NCFTTM(B61,E61)</f>
        <v>31.8296351198968</v>
      </c>
      <c r="Q61" s="7">
        <f>[1]!EM_S_VAL_DIVIDENDYIELD2(B61,E61,"2019-11-29")</f>
        <v>0.69967707212055974</v>
      </c>
      <c r="T61"/>
      <c r="U61">
        <f>[1]!EM_S_RATIO_EPS_TTM(B61,E61,"1")</f>
        <v>0.19344579855224947</v>
      </c>
      <c r="AT61" s="4" t="str">
        <f>[1]!EM_S_IPO_LISTEDDATE(B61)</f>
        <v>2012-04-27</v>
      </c>
    </row>
    <row r="62" spans="1:46">
      <c r="A62">
        <v>2657</v>
      </c>
      <c r="B62" t="str">
        <f>"600584"</f>
        <v>600584</v>
      </c>
      <c r="C62" t="s">
        <v>3059</v>
      </c>
      <c r="D62" t="str">
        <f>[1]!EM_S_INFO_INDEX_EM(B62,"1")</f>
        <v>电子设备</v>
      </c>
      <c r="E62" s="4">
        <f t="shared" si="0"/>
        <v>43465</v>
      </c>
      <c r="F62" s="11">
        <f>[1]!EM_S_PQ_PCTCHANGE(B62,"2018-01-01","2019-12-31","3")</f>
        <v>3.15102102</v>
      </c>
      <c r="G62" s="11">
        <f>[1]!EM_S_PQ_PCTCHANGE(B62,"2018-12-31","2019-12-30","1")</f>
        <v>166.99029125999999</v>
      </c>
      <c r="H62" s="11">
        <f>[1]!EM_S_FA_YOY_OR(B62,E62)</f>
        <v>4.0870498E-3</v>
      </c>
      <c r="I62" s="11">
        <f>[1]!EM_S_FA_GROSSPROFITMARGIN(B62,E62)</f>
        <v>11.4255255355</v>
      </c>
      <c r="J62" s="11">
        <f>[1]!EM_S_FA_NETPROFITMARGIN(B62,E62)</f>
        <v>-3.8842285664</v>
      </c>
      <c r="K62" s="10">
        <f>[1]!EM_S_FA_ASSETSTURN(B62,E62)</f>
        <v>0.73262440960099995</v>
      </c>
      <c r="L62" s="12">
        <f>[1]!EM_HKS_VAL_MV(B62,"2019-12-31","2")</f>
        <v>35231182718.900002</v>
      </c>
      <c r="M62">
        <f>[1]!EM_S_VAL_PETTMDEDUCTED(B62,E62)</f>
        <v>-450.49469396518799</v>
      </c>
      <c r="N62" s="7">
        <f>[1]!EM_S_VAL_PBGOODWILLDEDUCTED(B62,E62)</f>
        <v>1.31801103786396</v>
      </c>
      <c r="O62" s="7">
        <f>[1]!EM_S_VAL_PS_TTM(B62,E62)</f>
        <v>0.52660021539934299</v>
      </c>
      <c r="P62" s="7">
        <f>[1]!EM_S_VAL_PCF_NCFTTM(B62,E62)</f>
        <v>4.6955520880494301</v>
      </c>
      <c r="Q62" s="7">
        <f>[1]!EM_S_VAL_DIVIDENDYIELD2(B62,E62,"2019-11-29")</f>
        <v>0</v>
      </c>
      <c r="T62"/>
      <c r="U62">
        <f>[1]!EM_S_RATIO_EPS_TTM(B62,E62,"1")</f>
        <v>-0.58601922393733419</v>
      </c>
      <c r="AT62" s="4" t="str">
        <f>[1]!EM_S_IPO_LISTEDDATE(B62)</f>
        <v>2003-06-03</v>
      </c>
    </row>
    <row r="63" spans="1:46">
      <c r="A63">
        <v>556</v>
      </c>
      <c r="B63" t="str">
        <f>"002045"</f>
        <v>002045</v>
      </c>
      <c r="C63" t="s">
        <v>2439</v>
      </c>
      <c r="D63" t="str">
        <f>[1]!EM_S_INFO_INDEX_EM(B63,"1")</f>
        <v>电子设备</v>
      </c>
      <c r="E63" s="4">
        <f t="shared" si="0"/>
        <v>43465</v>
      </c>
      <c r="F63" s="11">
        <f>[1]!EM_S_PQ_PCTCHANGE(B63,"2018-01-01","2019-12-31","3")</f>
        <v>-25.885694149999999</v>
      </c>
      <c r="G63" s="11">
        <f>[1]!EM_S_PQ_PCTCHANGE(B63,"2018-12-31","2019-12-30","1")</f>
        <v>166.30434783000001</v>
      </c>
      <c r="H63" s="11">
        <f>[1]!EM_S_FA_YOY_OR(B63,E63)</f>
        <v>-0.17079343450000001</v>
      </c>
      <c r="I63" s="11">
        <f>[1]!EM_S_FA_GROSSPROFITMARGIN(B63,E63)</f>
        <v>12.222737047800001</v>
      </c>
      <c r="J63" s="11">
        <f>[1]!EM_S_FA_NETPROFITMARGIN(B63,E63)</f>
        <v>-5.4578441247000002</v>
      </c>
      <c r="K63" s="10">
        <f>[1]!EM_S_FA_ASSETSTURN(B63,E63)</f>
        <v>0.90114098159099998</v>
      </c>
      <c r="L63" s="12">
        <f>[1]!EM_HKS_VAL_MV(B63,"2019-12-31","2")</f>
        <v>5709599899.4700003</v>
      </c>
      <c r="M63">
        <f>[1]!EM_S_VAL_PETTMDEDUCTED(B63,E63)</f>
        <v>-31.708324955915401</v>
      </c>
      <c r="N63" s="7">
        <f>[1]!EM_S_VAL_PBGOODWILLDEDUCTED(B63,E63)</f>
        <v>1.3009938765220199</v>
      </c>
      <c r="O63" s="7">
        <f>[1]!EM_S_VAL_PS_TTM(B63,E63)</f>
        <v>0.48476343942572397</v>
      </c>
      <c r="P63" s="7">
        <f>[1]!EM_S_VAL_PCF_NCFTTM(B63,E63)</f>
        <v>7.9939381047127398</v>
      </c>
      <c r="Q63" s="7">
        <f>[1]!EM_S_VAL_DIVIDENDYIELD2(B63,E63,"2019-11-29")</f>
        <v>0.6294256490952006</v>
      </c>
      <c r="T63"/>
      <c r="U63">
        <f>[1]!EM_S_RATIO_EPS_TTM(B63,E63,"1")</f>
        <v>-0.46768775340070229</v>
      </c>
      <c r="AT63" s="4" t="str">
        <f>[1]!EM_S_IPO_LISTEDDATE(B63)</f>
        <v>2005-05-23</v>
      </c>
    </row>
    <row r="64" spans="1:46">
      <c r="A64">
        <v>409</v>
      </c>
      <c r="B64" t="str">
        <f>"000876"</f>
        <v>000876</v>
      </c>
      <c r="C64" t="s">
        <v>878</v>
      </c>
      <c r="D64" t="str">
        <f>[1]!EM_S_INFO_INDEX_EM(B64,"1")</f>
        <v>农林牧渔</v>
      </c>
      <c r="E64" s="4">
        <f t="shared" si="0"/>
        <v>43465</v>
      </c>
      <c r="F64" s="11">
        <f>[1]!EM_S_PQ_PCTCHANGE(B64,"2018-01-01","2019-12-31","3")</f>
        <v>174.70184835000001</v>
      </c>
      <c r="G64" s="11">
        <f>[1]!EM_S_PQ_PCTCHANGE(B64,"2018-12-31","2019-12-30","1")</f>
        <v>166.20879120999999</v>
      </c>
      <c r="H64" s="11">
        <f>[1]!EM_S_FA_YOY_OR(B64,E64)</f>
        <v>10.383097195</v>
      </c>
      <c r="I64" s="11">
        <f>[1]!EM_S_FA_GROSSPROFITMARGIN(B64,E64)</f>
        <v>8.7309801592999996</v>
      </c>
      <c r="J64" s="11">
        <f>[1]!EM_S_FA_NETPROFITMARGIN(B64,E64)</f>
        <v>3.9410312283</v>
      </c>
      <c r="K64" s="10">
        <f>[1]!EM_S_FA_ASSETSTURN(B64,E64)</f>
        <v>1.528024858108</v>
      </c>
      <c r="L64" s="12">
        <f>[1]!EM_HKS_VAL_MV(B64,"2019-12-31","2")</f>
        <v>84109499429.550003</v>
      </c>
      <c r="M64">
        <f>[1]!EM_S_VAL_PETTMDEDUCTED(B64,E64)</f>
        <v>15.243889994408599</v>
      </c>
      <c r="N64" s="7">
        <f>[1]!EM_S_VAL_PBGOODWILLDEDUCTED(B64,E64)</f>
        <v>1.48204293412538</v>
      </c>
      <c r="O64" s="7">
        <f>[1]!EM_S_VAL_PS_TTM(B64,E64)</f>
        <v>0.45458503948823897</v>
      </c>
      <c r="P64" s="7">
        <f>[1]!EM_S_VAL_PCF_NCFTTM(B64,E64)</f>
        <v>12.756777465691799</v>
      </c>
      <c r="Q64" s="7">
        <f>[1]!EM_S_VAL_DIVIDENDYIELD2(B64,E64,"2019-11-29")</f>
        <v>0.14584346135148274</v>
      </c>
      <c r="T64"/>
      <c r="U64">
        <f>[1]!EM_S_RATIO_EPS_TTM(B64,E64,"1")</f>
        <v>0.40432654473503088</v>
      </c>
      <c r="AT64" s="4" t="str">
        <f>[1]!EM_S_IPO_LISTEDDATE(B64)</f>
        <v>1998-03-11</v>
      </c>
    </row>
    <row r="65" spans="1:46">
      <c r="A65">
        <v>399</v>
      </c>
      <c r="B65" t="str">
        <f>"000858"</f>
        <v>000858</v>
      </c>
      <c r="C65" t="s">
        <v>105</v>
      </c>
      <c r="D65" t="str">
        <f>[1]!EM_S_INFO_INDEX_EM(B65,"1")</f>
        <v>食品饮料</v>
      </c>
      <c r="E65" s="4">
        <f t="shared" si="0"/>
        <v>43465</v>
      </c>
      <c r="F65" s="11">
        <f>[1]!EM_S_PQ_PCTCHANGE(B65,"2018-01-01","2019-12-31","3")</f>
        <v>72.588128179999998</v>
      </c>
      <c r="G65" s="11">
        <f>[1]!EM_S_PQ_PCTCHANGE(B65,"2019-01-01","2019-12-31","3")</f>
        <v>165.98412397999999</v>
      </c>
      <c r="H65" s="11">
        <f>[1]!EM_S_FA_YOY_OR(B65,E65)</f>
        <v>32.6083439748</v>
      </c>
      <c r="I65" s="11">
        <f>[1]!EM_S_FA_GROSSPROFITMARGIN(B65,E65)</f>
        <v>73.8028147279</v>
      </c>
      <c r="J65" s="11">
        <f>[1]!EM_S_FA_NETPROFITMARGIN(B65,E65)</f>
        <v>35.0701564664</v>
      </c>
      <c r="K65" s="10">
        <f>[1]!EM_S_FA_ASSETSTURN(B65,E65)</f>
        <v>0.50988386007200004</v>
      </c>
      <c r="L65" s="12">
        <f>[1]!EM_HKS_VAL_MV(B65,"2019-12-31","2")</f>
        <v>516292680745.04999</v>
      </c>
      <c r="M65">
        <f>[1]!EM_S_VAL_PETTMDEDUCTED(B65,E65)</f>
        <v>16.271914903589501</v>
      </c>
      <c r="N65" s="7">
        <f>[1]!EM_S_VAL_PBGOODWILLDEDUCTED(B65,E65)</f>
        <v>3.1108797040268201</v>
      </c>
      <c r="O65" s="7">
        <f>[1]!EM_S_VAL_PS_TTM(B65,E65)</f>
        <v>5.2722638376835</v>
      </c>
      <c r="P65" s="7">
        <f>[1]!EM_S_VAL_PCF_NCFTTM(B65,E65)</f>
        <v>54.286009547830503</v>
      </c>
      <c r="Q65" s="7">
        <f>[1]!EM_S_VAL_DIVIDENDYIELD2(B65,E65,"2019-11-29")</f>
        <v>1.3328106624852998</v>
      </c>
      <c r="U65">
        <f>[1]!EM_S_RATIO_EPS_TTM(B65,E65,"1")</f>
        <v>3.4481190955808532</v>
      </c>
      <c r="AT65" s="4" t="str">
        <f>[1]!EM_S_IPO_LISTEDDATE(B65)</f>
        <v>1998-04-27</v>
      </c>
    </row>
    <row r="66" spans="1:46">
      <c r="A66">
        <v>2713</v>
      </c>
      <c r="B66" t="str">
        <f>"600640"</f>
        <v>600640</v>
      </c>
      <c r="C66" t="s">
        <v>2164</v>
      </c>
      <c r="D66" t="str">
        <f>[1]!EM_S_INFO_INDEX_EM(B66,"1")</f>
        <v>互联网</v>
      </c>
      <c r="E66" s="4">
        <f t="shared" si="0"/>
        <v>43465</v>
      </c>
      <c r="F66" s="11">
        <f>[1]!EM_S_PQ_PCTCHANGE(B66,"2018-01-01","2019-12-31","3")</f>
        <v>79.763995109999996</v>
      </c>
      <c r="G66" s="11">
        <f>[1]!EM_S_PQ_PCTCHANGE(B66,"2018-12-31","2019-12-30","1")</f>
        <v>164.83180428</v>
      </c>
      <c r="H66" s="11">
        <f>[1]!EM_S_FA_YOY_OR(B66,E66)</f>
        <v>-18.307496884199999</v>
      </c>
      <c r="I66" s="11">
        <f>[1]!EM_S_FA_GROSSPROFITMARGIN(B66,E66)</f>
        <v>22.933639060400001</v>
      </c>
      <c r="J66" s="11">
        <f>[1]!EM_S_FA_NETPROFITMARGIN(B66,E66)</f>
        <v>6.0524340409999997</v>
      </c>
      <c r="K66" s="10">
        <f>[1]!EM_S_FA_ASSETSTURN(B66,E66)</f>
        <v>0.68885140866399996</v>
      </c>
      <c r="L66" s="12">
        <f>[1]!EM_HKS_VAL_MV(B66,"2019-12-31","2")</f>
        <v>20536912211.400002</v>
      </c>
      <c r="M66">
        <f>[1]!EM_S_VAL_PETTMDEDUCTED(B66,E66)</f>
        <v>52.116551340075397</v>
      </c>
      <c r="N66" s="7">
        <f>[1]!EM_S_VAL_PBGOODWILLDEDUCTED(B66,E66)</f>
        <v>1.74360536268651</v>
      </c>
      <c r="O66" s="7">
        <f>[1]!EM_S_VAL_PS_TTM(B66,E66)</f>
        <v>1.82046423754607</v>
      </c>
      <c r="P66" s="7">
        <f>[1]!EM_S_VAL_PCF_NCFTTM(B66,E66)</f>
        <v>-9.3495267219271998</v>
      </c>
      <c r="Q66" s="7">
        <f>[1]!EM_S_VAL_DIVIDENDYIELD2(B66,E66,"2019-11-29")</f>
        <v>0.54171180931744312</v>
      </c>
      <c r="T66"/>
      <c r="U66">
        <f>[1]!EM_S_RATIO_EPS_TTM(B66,E66,"1")</f>
        <v>0.32963700220714964</v>
      </c>
      <c r="AT66" s="4" t="str">
        <f>[1]!EM_S_IPO_LISTEDDATE(B66)</f>
        <v>1993-04-07</v>
      </c>
    </row>
    <row r="67" spans="1:46">
      <c r="A67">
        <v>1243</v>
      </c>
      <c r="B67" t="str">
        <f>"002733"</f>
        <v>002733</v>
      </c>
      <c r="C67" t="s">
        <v>3333</v>
      </c>
      <c r="D67" t="str">
        <f>[1]!EM_S_INFO_INDEX_EM(B67,"1")</f>
        <v>电气设备</v>
      </c>
      <c r="E67" s="4">
        <f t="shared" ref="E67:E130" si="1">$B$1</f>
        <v>43465</v>
      </c>
      <c r="F67" s="11">
        <f>[1]!EM_S_PQ_PCTCHANGE(B67,"2018-01-01","2019-12-31","3")</f>
        <v>57.624144440000002</v>
      </c>
      <c r="G67" s="11">
        <f>[1]!EM_S_PQ_PCTCHANGE(B67,"2018-12-31","2019-12-30","1")</f>
        <v>163.6097561</v>
      </c>
      <c r="H67" s="11">
        <f>[1]!EM_S_FA_YOY_OR(B67,E67)</f>
        <v>11.283561799999999</v>
      </c>
      <c r="I67" s="11">
        <f>[1]!EM_S_FA_GROSSPROFITMARGIN(B67,E67)</f>
        <v>12.7631755308</v>
      </c>
      <c r="J67" s="11">
        <f>[1]!EM_S_FA_NETPROFITMARGIN(B67,E67)</f>
        <v>2.9662625055</v>
      </c>
      <c r="K67" s="10">
        <f>[1]!EM_S_FA_ASSETSTURN(B67,E67)</f>
        <v>0.76589579818999998</v>
      </c>
      <c r="L67" s="12">
        <f>[1]!EM_HKS_VAL_MV(B67,"2019-12-31","2")</f>
        <v>9411043004.1599998</v>
      </c>
      <c r="M67">
        <f>[1]!EM_S_VAL_PETTMDEDUCTED(B67,E67)</f>
        <v>129.75942738765099</v>
      </c>
      <c r="N67" s="7">
        <f>[1]!EM_S_VAL_PBGOODWILLDEDUCTED(B67,E67)</f>
        <v>1.51095082903418</v>
      </c>
      <c r="O67" s="7">
        <f>[1]!EM_S_VAL_PS_TTM(B67,E67)</f>
        <v>1.2235462331871501</v>
      </c>
      <c r="P67" s="7">
        <f>[1]!EM_S_VAL_PCF_NCFTTM(B67,E67)</f>
        <v>-9.3141010443763896</v>
      </c>
      <c r="Q67" s="7">
        <f>[1]!EM_S_VAL_DIVIDENDYIELD2(B67,E67,"2019-11-29")</f>
        <v>0.64157399486740807</v>
      </c>
      <c r="T67"/>
      <c r="U67">
        <f>[1]!EM_S_RATIO_EPS_TTM(B67,E67,"1")</f>
        <v>0.26912552481917656</v>
      </c>
      <c r="AT67" s="4" t="str">
        <f>[1]!EM_S_IPO_LISTEDDATE(B67)</f>
        <v>2014-12-03</v>
      </c>
    </row>
    <row r="68" spans="1:46">
      <c r="A68">
        <v>37</v>
      </c>
      <c r="B68" t="str">
        <f>"000037"</f>
        <v>000037</v>
      </c>
      <c r="C68" t="s">
        <v>3312</v>
      </c>
      <c r="D68" t="str">
        <f>[1]!EM_S_INFO_INDEX_EM(B68,"1")</f>
        <v>公用事业</v>
      </c>
      <c r="E68" s="4">
        <f t="shared" si="1"/>
        <v>43465</v>
      </c>
      <c r="F68" s="11">
        <f>[1]!EM_S_PQ_PCTCHANGE(B68,"2018-01-01","2019-12-31","3")</f>
        <v>75.630252100000007</v>
      </c>
      <c r="G68" s="11">
        <f>[1]!EM_S_PQ_PCTCHANGE(B68,"2019-01-01","2019-12-31","3")</f>
        <v>163.44537815000001</v>
      </c>
      <c r="H68" s="11">
        <f>[1]!EM_S_FA_YOY_OR(B68,E68)</f>
        <v>-7.8615861907999998</v>
      </c>
      <c r="I68" s="11">
        <f>[1]!EM_S_FA_GROSSPROFITMARGIN(B68,E68)</f>
        <v>7.0444674873000004</v>
      </c>
      <c r="J68" s="11">
        <f>[1]!EM_S_FA_NETPROFITMARGIN(B68,E68)</f>
        <v>0.66064934949999998</v>
      </c>
      <c r="K68" s="10">
        <f>[1]!EM_S_FA_ASSETSTURN(B68,E68)</f>
        <v>0.60893281071000005</v>
      </c>
      <c r="L68" s="12">
        <f>[1]!EM_HKS_VAL_MV(B68,"2019-12-31","2")</f>
        <v>7558642953.8400002</v>
      </c>
      <c r="M68">
        <f>[1]!EM_S_VAL_PETTMDEDUCTED(B68,E68)</f>
        <v>55.157949773283804</v>
      </c>
      <c r="N68" s="7">
        <f>[1]!EM_S_VAL_PBGOODWILLDEDUCTED(B68,E68)</f>
        <v>1.4506247989573</v>
      </c>
      <c r="O68" s="7">
        <f>[1]!EM_S_VAL_PS_TTM(B68,E68)</f>
        <v>1.3696840803667101</v>
      </c>
      <c r="P68" s="7">
        <f>[1]!EM_S_VAL_PCF_NCFTTM(B68,E68)</f>
        <v>6.6159815782532201</v>
      </c>
      <c r="Q68" s="7">
        <f>[1]!EM_S_VAL_DIVIDENDYIELD2(B68,E68,"2019-11-29")</f>
        <v>0</v>
      </c>
      <c r="T68"/>
      <c r="U68">
        <f>[1]!EM_S_RATIO_EPS_TTM(B68,E68,"1")</f>
        <v>3.1942536328183183E-2</v>
      </c>
      <c r="AT68" s="4" t="str">
        <f>[1]!EM_S_IPO_LISTEDDATE(B68)</f>
        <v>1994-07-01</v>
      </c>
    </row>
    <row r="69" spans="1:46">
      <c r="A69">
        <v>1917</v>
      </c>
      <c r="B69" t="str">
        <f>"300492"</f>
        <v>300492</v>
      </c>
      <c r="C69" t="s">
        <v>2595</v>
      </c>
      <c r="D69" t="str">
        <f>[1]!EM_S_INFO_INDEX_EM(B69,"1")</f>
        <v>休闲、生活及专业服务</v>
      </c>
      <c r="E69" s="4">
        <f t="shared" si="1"/>
        <v>43465</v>
      </c>
      <c r="F69" s="11">
        <f>[1]!EM_S_PQ_PCTCHANGE(B69,"2018-01-01","2019-12-31","3")</f>
        <v>12.96220389</v>
      </c>
      <c r="G69" s="11">
        <f>[1]!EM_S_PQ_PCTCHANGE(B69,"2018-12-31","2019-12-30","1")</f>
        <v>163.41844710999999</v>
      </c>
      <c r="H69" s="11">
        <f>[1]!EM_S_FA_YOY_OR(B69,E69)</f>
        <v>44.021144143800001</v>
      </c>
      <c r="I69" s="11">
        <f>[1]!EM_S_FA_GROSSPROFITMARGIN(B69,E69)</f>
        <v>37.947228360799997</v>
      </c>
      <c r="J69" s="11">
        <f>[1]!EM_S_FA_NETPROFITMARGIN(B69,E69)</f>
        <v>12.357316513000001</v>
      </c>
      <c r="K69" s="10">
        <f>[1]!EM_S_FA_ASSETSTURN(B69,E69)</f>
        <v>0.54558051753500003</v>
      </c>
      <c r="L69" s="12">
        <f>[1]!EM_HKS_VAL_MV(B69,"2019-12-31","2")</f>
        <v>4212416000</v>
      </c>
      <c r="M69">
        <f>[1]!EM_S_VAL_PETTMDEDUCTED(B69,E69)</f>
        <v>71.072122058499502</v>
      </c>
      <c r="N69" s="7">
        <f>[1]!EM_S_VAL_PBGOODWILLDEDUCTED(B69,E69)</f>
        <v>5.06969084874867</v>
      </c>
      <c r="O69" s="7">
        <f>[1]!EM_S_VAL_PS_TTM(B69,E69)</f>
        <v>8.3125184063914404</v>
      </c>
      <c r="P69" s="7">
        <f>[1]!EM_S_VAL_PCF_NCFTTM(B69,E69)</f>
        <v>36.608563422388002</v>
      </c>
      <c r="Q69" s="7">
        <f>[1]!EM_S_VAL_DIVIDENDYIELD2(B69,E69,"2019-11-29")</f>
        <v>0.81879245283018876</v>
      </c>
      <c r="T69"/>
      <c r="U69">
        <f>[1]!EM_S_RATIO_EPS_TTM(B69,E69,"1")</f>
        <v>0.32145171838942305</v>
      </c>
      <c r="AT69" s="4" t="str">
        <f>[1]!EM_S_IPO_LISTEDDATE(B69)</f>
        <v>2015-12-23</v>
      </c>
    </row>
    <row r="70" spans="1:46">
      <c r="A70">
        <v>3292</v>
      </c>
      <c r="B70" t="str">
        <f>"603160"</f>
        <v>603160</v>
      </c>
      <c r="C70" t="s">
        <v>2635</v>
      </c>
      <c r="D70" t="str">
        <f>[1]!EM_S_INFO_INDEX_EM(B70,"1")</f>
        <v>电子设备</v>
      </c>
      <c r="E70" s="4">
        <f t="shared" si="1"/>
        <v>43465</v>
      </c>
      <c r="F70" s="11">
        <f>[1]!EM_S_PQ_PCTCHANGE(B70,"2018-01-01","2019-12-31","3")</f>
        <v>115.46779484</v>
      </c>
      <c r="G70" s="11">
        <f>[1]!EM_S_PQ_PCTCHANGE(B70,"2019-01-01","2019-12-31","3")</f>
        <v>163.05653085</v>
      </c>
      <c r="H70" s="11">
        <f>[1]!EM_S_FA_YOY_OR(B70,E70)</f>
        <v>1.0782659267000001</v>
      </c>
      <c r="I70" s="11">
        <f>[1]!EM_S_FA_GROSSPROFITMARGIN(B70,E70)</f>
        <v>52.183545109599997</v>
      </c>
      <c r="J70" s="11">
        <f>[1]!EM_S_FA_NETPROFITMARGIN(B70,E70)</f>
        <v>19.952712895400001</v>
      </c>
      <c r="K70" s="10">
        <f>[1]!EM_S_FA_ASSETSTURN(B70,E70)</f>
        <v>0.76231284807400002</v>
      </c>
      <c r="L70" s="12">
        <f>[1]!EM_HKS_VAL_MV(B70,"2019-12-31","2")</f>
        <v>94017573077.399994</v>
      </c>
      <c r="M70">
        <f>[1]!EM_S_VAL_PETTMDEDUCTED(B70,E70)</f>
        <v>92.4752788925896</v>
      </c>
      <c r="N70" s="7">
        <f>[1]!EM_S_VAL_PBGOODWILLDEDUCTED(B70,E70)</f>
        <v>8.8427762877240408</v>
      </c>
      <c r="O70" s="7">
        <f>[1]!EM_S_VAL_PS_TTM(B70,E70)</f>
        <v>11.261695492112199</v>
      </c>
      <c r="P70" s="7">
        <f>[1]!EM_S_VAL_PCF_NCFTTM(B70,E70)</f>
        <v>-19.890084992199899</v>
      </c>
      <c r="Q70" s="7">
        <f>[1]!EM_S_VAL_DIVIDENDYIELD2(B70,E70,"2019-11-29")</f>
        <v>0.25818927225954663</v>
      </c>
      <c r="T70"/>
      <c r="U70">
        <f>[1]!EM_S_RATIO_EPS_TTM(B70,E70,"1")</f>
        <v>1.6259628786764135</v>
      </c>
      <c r="AT70" s="4" t="str">
        <f>[1]!EM_S_IPO_LISTEDDATE(B70)</f>
        <v>2016-10-17</v>
      </c>
    </row>
    <row r="71" spans="1:46">
      <c r="A71">
        <v>2769</v>
      </c>
      <c r="B71" t="str">
        <f>"600696"</f>
        <v>600696</v>
      </c>
      <c r="C71" t="s">
        <v>1104</v>
      </c>
      <c r="D71" t="str">
        <f>[1]!EM_S_INFO_INDEX_EM(B71,"1")</f>
        <v>金融</v>
      </c>
      <c r="E71" s="4">
        <f t="shared" si="1"/>
        <v>43465</v>
      </c>
      <c r="F71" s="11">
        <f>[1]!EM_S_PQ_PCTCHANGE(B71,"2018-01-01","2019-12-31","3")</f>
        <v>119.45392491</v>
      </c>
      <c r="G71" s="11">
        <f>[1]!EM_S_PQ_PCTCHANGE(B71,"2018-12-31","2019-12-30","1")</f>
        <v>162.04081633000001</v>
      </c>
      <c r="H71" s="11">
        <f>[1]!EM_S_FA_YOY_OR(B71,E71)</f>
        <v>528.67656181140001</v>
      </c>
      <c r="I71" s="11">
        <f>[1]!EM_S_FA_GROSSPROFITMARGIN(B71,E71)</f>
        <v>5.4329482130000004</v>
      </c>
      <c r="J71" s="11">
        <f>[1]!EM_S_FA_NETPROFITMARGIN(B71,E71)</f>
        <v>1.8300531262999999</v>
      </c>
      <c r="K71" s="10">
        <f>[1]!EM_S_FA_ASSETSTURN(B71,E71)</f>
        <v>1.793533443244</v>
      </c>
      <c r="L71" s="12">
        <f>[1]!EM_HKS_VAL_MV(B71,"2019-12-31","2")</f>
        <v>4301276882.6599998</v>
      </c>
      <c r="M71">
        <f>[1]!EM_S_VAL_PETTMDEDUCTED(B71,E71)</f>
        <v>73.111891827788597</v>
      </c>
      <c r="N71" s="7">
        <f>[1]!EM_S_VAL_PBGOODWILLDEDUCTED(B71,E71)</f>
        <v>5.6376214031843803</v>
      </c>
      <c r="O71" s="7">
        <f>[1]!EM_S_VAL_PS_TTM(B71,E71)</f>
        <v>3.7939074149128298</v>
      </c>
      <c r="P71" s="7">
        <f>[1]!EM_S_VAL_PCF_NCFTTM(B71,E71)</f>
        <v>-38.059096289746897</v>
      </c>
      <c r="Q71" s="7">
        <f>[1]!EM_S_VAL_DIVIDENDYIELD2(B71,E71,"2019-11-29")</f>
        <v>0</v>
      </c>
      <c r="T71"/>
      <c r="U71">
        <f>[1]!EM_S_RATIO_EPS_TTM(B71,E71,"1")</f>
        <v>5.6436349184466841E-2</v>
      </c>
      <c r="AT71" s="4" t="str">
        <f>[1]!EM_S_IPO_LISTEDDATE(B71)</f>
        <v>1993-12-06</v>
      </c>
    </row>
    <row r="72" spans="1:46">
      <c r="A72">
        <v>2598</v>
      </c>
      <c r="B72" t="str">
        <f>"600517"</f>
        <v>600517</v>
      </c>
      <c r="C72" t="s">
        <v>3503</v>
      </c>
      <c r="D72" t="str">
        <f>[1]!EM_S_INFO_INDEX_EM(B72,"1")</f>
        <v>电气设备</v>
      </c>
      <c r="E72" s="4">
        <f t="shared" si="1"/>
        <v>43465</v>
      </c>
      <c r="F72" s="11">
        <f>[1]!EM_S_PQ_PCTCHANGE(B72,"2018-01-01","2019-12-31","3")</f>
        <v>30.817821859999999</v>
      </c>
      <c r="G72" s="11">
        <f>[1]!EM_S_PQ_PCTCHANGE(B72,"2018-12-31","2019-12-30","1")</f>
        <v>161.94968553000001</v>
      </c>
      <c r="H72" s="11">
        <f>[1]!EM_S_FA_YOY_OR(B72,E72)</f>
        <v>-13.971767075000001</v>
      </c>
      <c r="I72" s="11">
        <f>[1]!EM_S_FA_GROSSPROFITMARGIN(B72,E72)</f>
        <v>15.38550354</v>
      </c>
      <c r="J72" s="11">
        <f>[1]!EM_S_FA_NETPROFITMARGIN(B72,E72)</f>
        <v>0.1665279767</v>
      </c>
      <c r="K72" s="10">
        <f>[1]!EM_S_FA_ASSETSTURN(B72,E72)</f>
        <v>0.54801721523000002</v>
      </c>
      <c r="L72" s="12">
        <f>[1]!EM_HKS_VAL_MV(B72,"2019-12-31","2")</f>
        <v>11174822861.52</v>
      </c>
      <c r="M72">
        <f>[1]!EM_S_VAL_PETTMDEDUCTED(B72,E72)</f>
        <v>-61.3016417640738</v>
      </c>
      <c r="N72" s="7">
        <f>[1]!EM_S_VAL_PBGOODWILLDEDUCTED(B72,E72)</f>
        <v>1.3373974394816199</v>
      </c>
      <c r="O72" s="7">
        <f>[1]!EM_S_VAL_PS_TTM(B72,E72)</f>
        <v>0.92289501542435504</v>
      </c>
      <c r="P72" s="7">
        <f>[1]!EM_S_VAL_PCF_NCFTTM(B72,E72)</f>
        <v>-29.506776588353599</v>
      </c>
      <c r="Q72" s="7">
        <f>[1]!EM_S_VAL_DIVIDENDYIELD2(B72,E72,"2019-11-29")</f>
        <v>0</v>
      </c>
      <c r="T72"/>
      <c r="U72">
        <f>[1]!EM_S_RATIO_EPS_TTM(B72,E72,"1")</f>
        <v>1.428657509152538E-2</v>
      </c>
      <c r="AT72" s="4" t="str">
        <f>[1]!EM_S_IPO_LISTEDDATE(B72)</f>
        <v>2003-10-10</v>
      </c>
    </row>
    <row r="73" spans="1:46">
      <c r="A73">
        <v>290</v>
      </c>
      <c r="B73" t="str">
        <f>"000708"</f>
        <v>000708</v>
      </c>
      <c r="C73" t="s">
        <v>1221</v>
      </c>
      <c r="D73" t="str">
        <f>[1]!EM_S_INFO_INDEX_EM(B73,"1")</f>
        <v>钢铁</v>
      </c>
      <c r="E73" s="4">
        <f t="shared" si="1"/>
        <v>43465</v>
      </c>
      <c r="F73" s="11">
        <f>[1]!EM_S_PQ_PCTCHANGE(B73,"2018-01-01","2019-12-31","3")</f>
        <v>119.12751280000001</v>
      </c>
      <c r="G73" s="11">
        <f>[1]!EM_S_PQ_PCTCHANGE(B73,"2018-12-31","2019-12-30","1")</f>
        <v>161.68757127000001</v>
      </c>
      <c r="H73" s="11">
        <f>[1]!EM_S_FA_YOY_OR(B73,E73)</f>
        <v>22.939139517499999</v>
      </c>
      <c r="I73" s="11">
        <f>[1]!EM_S_FA_GROSSPROFITMARGIN(B73,E73)</f>
        <v>12.5986510606</v>
      </c>
      <c r="J73" s="11">
        <f>[1]!EM_S_FA_NETPROFITMARGIN(B73,E73)</f>
        <v>4.0577077552</v>
      </c>
      <c r="K73" s="10">
        <f>[1]!EM_S_FA_ASSETSTURN(B73,E73)</f>
        <v>1.7638191455029999</v>
      </c>
      <c r="L73" s="12">
        <f>[1]!EM_HKS_VAL_MV(B73,"2019-12-31","2")</f>
        <v>68077058192.860001</v>
      </c>
      <c r="M73">
        <f>[1]!EM_S_VAL_PETTMDEDUCTED(B73,E73)</f>
        <v>7.3375134523240098</v>
      </c>
      <c r="N73" s="7">
        <f>[1]!EM_S_VAL_PBGOODWILLDEDUCTED(B73,E73)</f>
        <v>0.89500886220562703</v>
      </c>
      <c r="O73" s="7">
        <f>[1]!EM_S_VAL_PS_TTM(B73,E73)</f>
        <v>0.321780431488775</v>
      </c>
      <c r="P73" s="7">
        <f>[1]!EM_S_VAL_PCF_NCFTTM(B73,E73)</f>
        <v>4.5860155814542596</v>
      </c>
      <c r="Q73" s="7">
        <f>[1]!EM_S_VAL_DIVIDENDYIELD2(B73,E73,"2019-11-29")</f>
        <v>0.52264703449205774</v>
      </c>
      <c r="T73"/>
      <c r="U73">
        <f>[1]!EM_S_RATIO_EPS_TTM(B73,E73,"1")</f>
        <v>1.1352222235770895</v>
      </c>
      <c r="AT73" s="4" t="str">
        <f>[1]!EM_S_IPO_LISTEDDATE(B73)</f>
        <v>1997-03-26</v>
      </c>
    </row>
    <row r="74" spans="1:46">
      <c r="A74">
        <v>1116</v>
      </c>
      <c r="B74" t="str">
        <f>"002605"</f>
        <v>002605</v>
      </c>
      <c r="C74" t="s">
        <v>2333</v>
      </c>
      <c r="D74" t="str">
        <f>[1]!EM_S_INFO_INDEX_EM(B74,"1")</f>
        <v>互联网</v>
      </c>
      <c r="E74" s="4">
        <f t="shared" si="1"/>
        <v>43465</v>
      </c>
      <c r="F74" s="11">
        <f>[1]!EM_S_PQ_PCTCHANGE(B74,"2018-01-01","2019-12-31","3")</f>
        <v>52.670269150000003</v>
      </c>
      <c r="G74" s="11">
        <f>[1]!EM_S_PQ_PCTCHANGE(B74,"2019-01-01","2019-12-31","3")</f>
        <v>161.47828548999999</v>
      </c>
      <c r="H74" s="11">
        <f>[1]!EM_S_FA_YOY_OR(B74,E74)</f>
        <v>42.418611567500001</v>
      </c>
      <c r="I74" s="11">
        <f>[1]!EM_S_FA_GROSSPROFITMARGIN(B74,E74)</f>
        <v>47.305709503800003</v>
      </c>
      <c r="J74" s="11">
        <f>[1]!EM_S_FA_NETPROFITMARGIN(B74,E74)</f>
        <v>20.4556559219</v>
      </c>
      <c r="K74" s="10">
        <f>[1]!EM_S_FA_ASSETSTURN(B74,E74)</f>
        <v>0.40925770041699999</v>
      </c>
      <c r="L74" s="12">
        <f>[1]!EM_HKS_VAL_MV(B74,"2019-12-31","2")</f>
        <v>7768594306.0500002</v>
      </c>
      <c r="M74">
        <f>[1]!EM_S_VAL_PETTMDEDUCTED(B74,E74)</f>
        <v>32.724918252250298</v>
      </c>
      <c r="N74" s="7">
        <f>[1]!EM_S_VAL_PBGOODWILLDEDUCTED(B74,E74)</f>
        <v>2.97492365373743</v>
      </c>
      <c r="O74" s="7">
        <f>[1]!EM_S_VAL_PS_TTM(B74,E74)</f>
        <v>3.82505405024573</v>
      </c>
      <c r="P74" s="7">
        <f>[1]!EM_S_VAL_PCF_NCFTTM(B74,E74)</f>
        <v>16.216880656802498</v>
      </c>
      <c r="Q74" s="7">
        <f>[1]!EM_S_VAL_DIVIDENDYIELD2(B74,E74,"2019-11-29")</f>
        <v>0.62085445120611993</v>
      </c>
      <c r="T74"/>
      <c r="U74">
        <f>[1]!EM_S_RATIO_EPS_TTM(B74,E74,"1")</f>
        <v>0.32609643285416173</v>
      </c>
      <c r="AT74" s="4" t="str">
        <f>[1]!EM_S_IPO_LISTEDDATE(B74)</f>
        <v>2011-08-05</v>
      </c>
    </row>
    <row r="75" spans="1:46">
      <c r="A75">
        <v>2882</v>
      </c>
      <c r="B75" t="str">
        <f>"600809"</f>
        <v>600809</v>
      </c>
      <c r="C75" t="s">
        <v>69</v>
      </c>
      <c r="D75" t="str">
        <f>[1]!EM_S_INFO_INDEX_EM(B75,"1")</f>
        <v>食品饮料</v>
      </c>
      <c r="E75" s="4">
        <f t="shared" si="1"/>
        <v>43465</v>
      </c>
      <c r="F75" s="11">
        <f>[1]!EM_S_PQ_PCTCHANGE(B75,"2018-01-01","2019-12-31","3")</f>
        <v>61.096864330000002</v>
      </c>
      <c r="G75" s="11">
        <f>[1]!EM_S_PQ_PCTCHANGE(B75,"2019-01-01","2019-12-31","3")</f>
        <v>158.65235726</v>
      </c>
      <c r="H75" s="11">
        <f>[1]!EM_S_FA_YOY_OR(B75,E75)</f>
        <v>47.480977166499997</v>
      </c>
      <c r="I75" s="11">
        <f>[1]!EM_S_FA_GROSSPROFITMARGIN(B75,E75)</f>
        <v>66.213453314399999</v>
      </c>
      <c r="J75" s="11">
        <f>[1]!EM_S_FA_NETPROFITMARGIN(B75,E75)</f>
        <v>16.6265242849</v>
      </c>
      <c r="K75" s="10">
        <f>[1]!EM_S_FA_ASSETSTURN(B75,E75)</f>
        <v>0.90346682328100003</v>
      </c>
      <c r="L75" s="12">
        <f>[1]!EM_HKS_VAL_MV(B75,"2019-12-31","2")</f>
        <v>78176085460.199997</v>
      </c>
      <c r="M75">
        <f>[1]!EM_S_VAL_PETTMDEDUCTED(B75,E75)</f>
        <v>21.613439417730898</v>
      </c>
      <c r="N75" s="7">
        <f>[1]!EM_S_VAL_PBGOODWILLDEDUCTED(B75,E75)</f>
        <v>4.8836813948175797</v>
      </c>
      <c r="O75" s="7">
        <f>[1]!EM_S_VAL_PS_TTM(B75,E75)</f>
        <v>3.7480531177324399</v>
      </c>
      <c r="P75" s="7">
        <f>[1]!EM_S_VAL_PCF_NCFTTM(B75,E75)</f>
        <v>-63.674391809635701</v>
      </c>
      <c r="Q75" s="7">
        <f>[1]!EM_S_VAL_DIVIDENDYIELD2(B75,E75,"2019-11-29")</f>
        <v>0.83948959032907988</v>
      </c>
      <c r="U75">
        <f>[1]!EM_S_RATIO_EPS_TTM(B75,E75,"1")</f>
        <v>1.693984705017588</v>
      </c>
      <c r="AT75" s="4" t="str">
        <f>[1]!EM_S_IPO_LISTEDDATE(B75)</f>
        <v>1994-01-06</v>
      </c>
    </row>
    <row r="76" spans="1:46">
      <c r="A76">
        <v>3282</v>
      </c>
      <c r="B76" t="str">
        <f>"603129"</f>
        <v>603129</v>
      </c>
      <c r="C76" t="s">
        <v>1599</v>
      </c>
      <c r="D76" t="str">
        <f>[1]!EM_S_INFO_INDEX_EM(B76,"1")</f>
        <v>交运设备</v>
      </c>
      <c r="E76" s="4">
        <f t="shared" si="1"/>
        <v>43465</v>
      </c>
      <c r="F76" s="11">
        <f>[1]!EM_S_PQ_PCTCHANGE(B76,"2018-01-01","2019-12-31","3")</f>
        <v>63.03721504</v>
      </c>
      <c r="G76" s="11">
        <f>[1]!EM_S_PQ_PCTCHANGE(B76,"2018-12-31","2019-12-30","1")</f>
        <v>156.13266583000001</v>
      </c>
      <c r="H76" s="11">
        <f>[1]!EM_S_FA_YOY_OR(B76,E76)</f>
        <v>40.027847560600001</v>
      </c>
      <c r="I76" s="11">
        <f>[1]!EM_S_FA_GROSSPROFITMARGIN(B76,E76)</f>
        <v>30.540759070499998</v>
      </c>
      <c r="J76" s="11">
        <f>[1]!EM_S_FA_NETPROFITMARGIN(B76,E76)</f>
        <v>4.6667068047000004</v>
      </c>
      <c r="K76" s="10">
        <f>[1]!EM_S_FA_ASSETSTURN(B76,E76)</f>
        <v>1.3522224067969999</v>
      </c>
      <c r="L76" s="12">
        <f>[1]!EM_HKS_VAL_MV(B76,"2019-12-31","2")</f>
        <v>5684502420</v>
      </c>
      <c r="M76">
        <f>[1]!EM_S_VAL_PETTMDEDUCTED(B76,E76)</f>
        <v>24.073009483274198</v>
      </c>
      <c r="N76" s="7">
        <f>[1]!EM_S_VAL_PBGOODWILLDEDUCTED(B76,E76)</f>
        <v>2.2300107430869698</v>
      </c>
      <c r="O76" s="7">
        <f>[1]!EM_S_VAL_PS_TTM(B76,E76)</f>
        <v>0.91070437369419899</v>
      </c>
      <c r="P76" s="7">
        <f>[1]!EM_S_VAL_PCF_NCFTTM(B76,E76)</f>
        <v>-5.2012681491771602</v>
      </c>
      <c r="Q76" s="7">
        <f>[1]!EM_S_VAL_DIVIDENDYIELD2(B76,E76,"2019-11-29")</f>
        <v>0.89961559582646922</v>
      </c>
      <c r="T76"/>
      <c r="U76">
        <f>[1]!EM_S_RATIO_EPS_TTM(B76,E76,"1")</f>
        <v>0.89341230196349974</v>
      </c>
      <c r="AT76" s="4" t="str">
        <f>[1]!EM_S_IPO_LISTEDDATE(B76)</f>
        <v>2017-08-18</v>
      </c>
    </row>
    <row r="77" spans="1:46">
      <c r="A77">
        <v>200</v>
      </c>
      <c r="B77" t="str">
        <f>"000596"</f>
        <v>000596</v>
      </c>
      <c r="C77" t="s">
        <v>111</v>
      </c>
      <c r="D77" t="str">
        <f>[1]!EM_S_INFO_INDEX_EM(B77,"1")</f>
        <v>食品饮料</v>
      </c>
      <c r="E77" s="4">
        <f t="shared" si="1"/>
        <v>43465</v>
      </c>
      <c r="F77" s="11">
        <f>[1]!EM_S_PQ_PCTCHANGE(B77,"2018-01-01","2019-12-31","3")</f>
        <v>112.17346571</v>
      </c>
      <c r="G77" s="11">
        <f>[1]!EM_S_PQ_PCTCHANGE(B77,"2019-01-01","2019-12-31","3")</f>
        <v>155.30992298000001</v>
      </c>
      <c r="H77" s="11">
        <f>[1]!EM_S_FA_YOY_OR(B77,E77)</f>
        <v>24.651767481699999</v>
      </c>
      <c r="I77" s="11">
        <f>[1]!EM_S_FA_GROSSPROFITMARGIN(B77,E77)</f>
        <v>77.756923527400005</v>
      </c>
      <c r="J77" s="11">
        <f>[1]!EM_S_FA_NETPROFITMARGIN(B77,E77)</f>
        <v>20.0424307386</v>
      </c>
      <c r="K77" s="10">
        <f>[1]!EM_S_FA_ASSETSTURN(B77,E77)</f>
        <v>0.76655523162799999</v>
      </c>
      <c r="L77" s="12">
        <f>[1]!EM_HKS_VAL_MV(B77,"2019-12-31","2")</f>
        <v>68449312000</v>
      </c>
      <c r="M77">
        <f>[1]!EM_S_VAL_PETTMDEDUCTED(B77,E77)</f>
        <v>17.422578766647401</v>
      </c>
      <c r="N77" s="7">
        <f>[1]!EM_S_VAL_PBGOODWILLDEDUCTED(B77,E77)</f>
        <v>3.8146263852992699</v>
      </c>
      <c r="O77" s="7">
        <f>[1]!EM_S_VAL_PS_TTM(B77,E77)</f>
        <v>3.2401491382510201</v>
      </c>
      <c r="P77" s="7">
        <f>[1]!EM_S_VAL_PCF_NCFTTM(B77,E77)</f>
        <v>17.1979144611085</v>
      </c>
      <c r="Q77" s="7">
        <f>[1]!EM_S_VAL_DIVIDENDYIELD2(B77,E77,"2019-11-29")</f>
        <v>1.3868343195266273</v>
      </c>
      <c r="U77">
        <f>[1]!EM_S_RATIO_EPS_TTM(B77,E77,"1")</f>
        <v>3.3662264556195391</v>
      </c>
      <c r="AT77" s="4" t="str">
        <f>[1]!EM_S_IPO_LISTEDDATE(B77)</f>
        <v>1996-09-27</v>
      </c>
    </row>
    <row r="78" spans="1:46">
      <c r="A78">
        <v>634</v>
      </c>
      <c r="B78" t="str">
        <f>"002123"</f>
        <v>002123</v>
      </c>
      <c r="C78" t="s">
        <v>2388</v>
      </c>
      <c r="D78" t="str">
        <f>[1]!EM_S_INFO_INDEX_EM(B78,"1")</f>
        <v>信息技术</v>
      </c>
      <c r="E78" s="4">
        <f t="shared" si="1"/>
        <v>43465</v>
      </c>
      <c r="F78" s="11">
        <f>[1]!EM_S_PQ_PCTCHANGE(B78,"2018-01-01","2019-12-31","3")</f>
        <v>84.830917869999993</v>
      </c>
      <c r="G78" s="11">
        <f>[1]!EM_S_PQ_PCTCHANGE(B78,"2018-12-31","2019-12-30","1")</f>
        <v>154.55820477</v>
      </c>
      <c r="H78" s="11">
        <f>[1]!EM_S_FA_YOY_OR(B78,E78)</f>
        <v>8.5747822417999995</v>
      </c>
      <c r="I78" s="11">
        <f>[1]!EM_S_FA_GROSSPROFITMARGIN(B78,E78)</f>
        <v>24.644005818299998</v>
      </c>
      <c r="J78" s="11">
        <f>[1]!EM_S_FA_NETPROFITMARGIN(B78,E78)</f>
        <v>3.2763765868000001</v>
      </c>
      <c r="K78" s="10">
        <f>[1]!EM_S_FA_ASSETSTURN(B78,E78)</f>
        <v>0.41296943548300002</v>
      </c>
      <c r="L78" s="12">
        <f>[1]!EM_HKS_VAL_MV(B78,"2019-12-31","2")</f>
        <v>15382447060.549999</v>
      </c>
      <c r="M78">
        <f>[1]!EM_S_VAL_PETTMDEDUCTED(B78,E78)</f>
        <v>55.2763602585391</v>
      </c>
      <c r="N78" s="7">
        <f>[1]!EM_S_VAL_PBGOODWILLDEDUCTED(B78,E78)</f>
        <v>2.8803520595715701</v>
      </c>
      <c r="O78" s="7">
        <f>[1]!EM_S_VAL_PS_TTM(B78,E78)</f>
        <v>2.0033308937872101</v>
      </c>
      <c r="P78" s="7">
        <f>[1]!EM_S_VAL_PCF_NCFTTM(B78,E78)</f>
        <v>-14.946248379583899</v>
      </c>
      <c r="Q78" s="7">
        <f>[1]!EM_S_VAL_DIVIDENDYIELD2(B78,E78,"2019-11-29")</f>
        <v>0</v>
      </c>
      <c r="T78"/>
      <c r="U78">
        <f>[1]!EM_S_RATIO_EPS_TTM(B78,E78,"1")</f>
        <v>9.6928530918957492E-2</v>
      </c>
      <c r="AT78" s="4" t="str">
        <f>[1]!EM_S_IPO_LISTEDDATE(B78)</f>
        <v>2007-03-28</v>
      </c>
    </row>
    <row r="79" spans="1:46">
      <c r="A79">
        <v>3048</v>
      </c>
      <c r="B79" t="str">
        <f>"601100"</f>
        <v>601100</v>
      </c>
      <c r="C79" t="s">
        <v>476</v>
      </c>
      <c r="D79" t="str">
        <f>[1]!EM_S_INFO_INDEX_EM(B79,"1")</f>
        <v>机械设备</v>
      </c>
      <c r="E79" s="4">
        <f t="shared" si="1"/>
        <v>43465</v>
      </c>
      <c r="F79" s="11">
        <f>[1]!EM_S_PQ_PCTCHANGE(B79,"2018-01-01","2019-12-31","3")</f>
        <v>158.19980792999999</v>
      </c>
      <c r="G79" s="11">
        <f>[1]!EM_S_PQ_PCTCHANGE(B79,"2019-01-01","2019-12-31","3")</f>
        <v>153.53670656</v>
      </c>
      <c r="H79" s="11">
        <f>[1]!EM_S_FA_YOY_OR(B79,E79)</f>
        <v>50.649610062400001</v>
      </c>
      <c r="I79" s="11">
        <f>[1]!EM_S_FA_GROSSPROFITMARGIN(B79,E79)</f>
        <v>36.5773837829</v>
      </c>
      <c r="J79" s="11">
        <f>[1]!EM_S_FA_NETPROFITMARGIN(B79,E79)</f>
        <v>19.875478606000001</v>
      </c>
      <c r="K79" s="10">
        <f>[1]!EM_S_FA_ASSETSTURN(B79,E79)</f>
        <v>0.62721959233199998</v>
      </c>
      <c r="L79" s="12">
        <f>[1]!EM_HKS_VAL_MV(B79,"2019-12-31","2")</f>
        <v>43879500000</v>
      </c>
      <c r="M79">
        <f>[1]!EM_S_VAL_PETTMDEDUCTED(B79,E79)</f>
        <v>24.237686984154902</v>
      </c>
      <c r="N79" s="7">
        <f>[1]!EM_S_VAL_PBGOODWILLDEDUCTED(B79,E79)</f>
        <v>3.84303423154793</v>
      </c>
      <c r="O79" s="7">
        <f>[1]!EM_S_VAL_PS_TTM(B79,E79)</f>
        <v>4.4475618320281596</v>
      </c>
      <c r="P79" s="7">
        <f>[1]!EM_S_VAL_PCF_NCFTTM(B79,E79)</f>
        <v>99.683293626692702</v>
      </c>
      <c r="Q79" s="7">
        <f>[1]!EM_S_VAL_DIVIDENDYIELD2(B79,E79,"2019-11-29")</f>
        <v>0.68775790921595592</v>
      </c>
      <c r="T79"/>
      <c r="U79">
        <f>[1]!EM_S_RATIO_EPS_TTM(B79,E79,"1")</f>
        <v>0.94857535267573689</v>
      </c>
      <c r="AT79" s="4" t="str">
        <f>[1]!EM_S_IPO_LISTEDDATE(B79)</f>
        <v>2011-10-28</v>
      </c>
    </row>
    <row r="80" spans="1:46">
      <c r="A80">
        <v>834</v>
      </c>
      <c r="B80" t="str">
        <f>"002323"</f>
        <v>002323</v>
      </c>
      <c r="C80" t="s">
        <v>2760</v>
      </c>
      <c r="D80" t="str">
        <f>[1]!EM_S_INFO_INDEX_EM(B80,"1")</f>
        <v>建筑</v>
      </c>
      <c r="E80" s="4">
        <f t="shared" si="1"/>
        <v>43465</v>
      </c>
      <c r="F80" s="11">
        <f>[1]!EM_S_PQ_PCTCHANGE(B80,"2018-01-01","2019-12-31","3")</f>
        <v>-53.812316719999998</v>
      </c>
      <c r="G80" s="11">
        <f>[1]!EM_S_PQ_PCTCHANGE(B80,"2018-12-31","2019-12-30","1")</f>
        <v>153.4351145</v>
      </c>
      <c r="H80" s="11">
        <f>[1]!EM_S_FA_YOY_OR(B80,E80)</f>
        <v>-83.346855225100001</v>
      </c>
      <c r="I80" s="11">
        <f>[1]!EM_S_FA_GROSSPROFITMARGIN(B80,E80)</f>
        <v>-34.148689017000002</v>
      </c>
      <c r="J80" s="11">
        <f>[1]!EM_S_FA_NETPROFITMARGIN(B80,E80)</f>
        <v>-200.53854251050001</v>
      </c>
      <c r="K80" s="10">
        <f>[1]!EM_S_FA_ASSETSTURN(B80,E80)</f>
        <v>0.106659698575</v>
      </c>
      <c r="L80" s="12">
        <f>[1]!EM_HKS_VAL_MV(B80,"2019-12-31","2")</f>
        <v>2349048416.4000001</v>
      </c>
      <c r="M80">
        <f>[1]!EM_S_VAL_PETTMDEDUCTED(B80,E80)</f>
        <v>11.3464994344844</v>
      </c>
      <c r="N80" s="7">
        <f>[1]!EM_S_VAL_PBGOODWILLDEDUCTED(B80,E80)</f>
        <v>2.7401246745705201</v>
      </c>
      <c r="O80" s="7">
        <f>[1]!EM_S_VAL_PS_TTM(B80,E80)</f>
        <v>1.36467374959127</v>
      </c>
      <c r="P80" s="7">
        <f>[1]!EM_S_VAL_PCF_NCFTTM(B80,E80)</f>
        <v>41.980794031939098</v>
      </c>
      <c r="Q80" s="7">
        <f>[1]!EM_S_VAL_DIVIDENDYIELD2(B80,E80,"2019-11-29")</f>
        <v>0</v>
      </c>
      <c r="T80"/>
      <c r="U80">
        <f>[1]!EM_S_RATIO_EPS_TTM(B80,E80,"1")</f>
        <v>-0.6167627978040342</v>
      </c>
      <c r="AT80" s="4" t="str">
        <f>[1]!EM_S_IPO_LISTEDDATE(B80)</f>
        <v>2009-12-18</v>
      </c>
    </row>
    <row r="81" spans="1:46">
      <c r="A81">
        <v>986</v>
      </c>
      <c r="B81" t="str">
        <f>"002475"</f>
        <v>002475</v>
      </c>
      <c r="C81" t="s">
        <v>1034</v>
      </c>
      <c r="D81" t="str">
        <f>[1]!EM_S_INFO_INDEX_EM(B81,"1")</f>
        <v>电子设备</v>
      </c>
      <c r="E81" s="4">
        <f t="shared" si="1"/>
        <v>43465</v>
      </c>
      <c r="F81" s="11">
        <f>[1]!EM_S_PQ_PCTCHANGE(B81,"2018-01-01","2019-12-31","3")</f>
        <v>164.30047847</v>
      </c>
      <c r="G81" s="11">
        <f>[1]!EM_S_PQ_PCTCHANGE(B81,"2018-12-31","2019-12-30","1")</f>
        <v>150.28449502000001</v>
      </c>
      <c r="H81" s="11">
        <f>[1]!EM_S_FA_YOY_OR(B81,E81)</f>
        <v>57.056897540000001</v>
      </c>
      <c r="I81" s="11">
        <f>[1]!EM_S_FA_GROSSPROFITMARGIN(B81,E81)</f>
        <v>21.047533654399999</v>
      </c>
      <c r="J81" s="11">
        <f>[1]!EM_S_FA_NETPROFITMARGIN(B81,E81)</f>
        <v>7.8475402377999997</v>
      </c>
      <c r="K81" s="10">
        <f>[1]!EM_S_FA_ASSETSTURN(B81,E81)</f>
        <v>1.132211533042</v>
      </c>
      <c r="L81" s="12">
        <f>[1]!EM_HKS_VAL_MV(B81,"2019-12-31","2")</f>
        <v>195238563437</v>
      </c>
      <c r="M81">
        <f>[1]!EM_S_VAL_PETTMDEDUCTED(B81,E81)</f>
        <v>28.327101890086201</v>
      </c>
      <c r="N81" s="7">
        <f>[1]!EM_S_VAL_PBGOODWILLDEDUCTED(B81,E81)</f>
        <v>3.8627796862356298</v>
      </c>
      <c r="O81" s="7">
        <f>[1]!EM_S_VAL_PS_TTM(B81,E81)</f>
        <v>1.86264350851487</v>
      </c>
      <c r="P81" s="7">
        <f>[1]!EM_S_VAL_PCF_NCFTTM(B81,E81)</f>
        <v>60.3978809916226</v>
      </c>
      <c r="Q81" s="7">
        <f>[1]!EM_S_VAL_DIVIDENDYIELD2(B81,E81,"2019-11-29")</f>
        <v>0.11302244627050459</v>
      </c>
      <c r="T81"/>
      <c r="U81">
        <f>[1]!EM_S_RATIO_EPS_TTM(B81,E81,"1")</f>
        <v>0.66169738500129494</v>
      </c>
      <c r="AT81" s="4" t="str">
        <f>[1]!EM_S_IPO_LISTEDDATE(B81)</f>
        <v>2010-09-15</v>
      </c>
    </row>
    <row r="82" spans="1:46">
      <c r="A82">
        <v>3305</v>
      </c>
      <c r="B82" t="str">
        <f>"603186"</f>
        <v>603186</v>
      </c>
      <c r="C82" t="s">
        <v>1495</v>
      </c>
      <c r="D82" t="str">
        <f>[1]!EM_S_INFO_INDEX_EM(B82,"1")</f>
        <v>电子设备</v>
      </c>
      <c r="E82" s="4">
        <f t="shared" si="1"/>
        <v>43465</v>
      </c>
      <c r="F82" s="11">
        <f>[1]!EM_S_PQ_PCTCHANGE(B82,"2018-01-01","2019-12-31","3")</f>
        <v>61.626586619999998</v>
      </c>
      <c r="G82" s="11">
        <f>[1]!EM_S_PQ_PCTCHANGE(B82,"2018-12-31","2019-12-30","1")</f>
        <v>150.16501650000001</v>
      </c>
      <c r="H82" s="11">
        <f>[1]!EM_S_FA_YOY_OR(B82,E82)</f>
        <v>10.8540261781</v>
      </c>
      <c r="I82" s="11">
        <f>[1]!EM_S_FA_GROSSPROFITMARGIN(B82,E82)</f>
        <v>19.142000059699999</v>
      </c>
      <c r="J82" s="11">
        <f>[1]!EM_S_FA_NETPROFITMARGIN(B82,E82)</f>
        <v>4.4911817117000004</v>
      </c>
      <c r="K82" s="10">
        <f>[1]!EM_S_FA_ASSETSTURN(B82,E82)</f>
        <v>0.86028057469200003</v>
      </c>
      <c r="L82" s="12">
        <f>[1]!EM_HKS_VAL_MV(B82,"2019-12-31","2")</f>
        <v>4935996000</v>
      </c>
      <c r="M82">
        <f>[1]!EM_S_VAL_PETTMDEDUCTED(B82,E82)</f>
        <v>27.3800037187752</v>
      </c>
      <c r="N82" s="7">
        <f>[1]!EM_S_VAL_PBGOODWILLDEDUCTED(B82,E82)</f>
        <v>2.93747772384478</v>
      </c>
      <c r="O82" s="7">
        <f>[1]!EM_S_VAL_PS_TTM(B82,E82)</f>
        <v>1.2268452901161899</v>
      </c>
      <c r="P82" s="7">
        <f>[1]!EM_S_VAL_PCF_NCFTTM(B82,E82)</f>
        <v>-37.808219088293399</v>
      </c>
      <c r="Q82" s="7">
        <f>[1]!EM_S_VAL_DIVIDENDYIELD2(B82,E82,"2019-11-29")</f>
        <v>0.37917087967644081</v>
      </c>
      <c r="T82"/>
      <c r="U82">
        <f>[1]!EM_S_RATIO_EPS_TTM(B82,E82,"1")</f>
        <v>0.57457948718144947</v>
      </c>
      <c r="AT82" s="4" t="str">
        <f>[1]!EM_S_IPO_LISTEDDATE(B82)</f>
        <v>2017-01-03</v>
      </c>
    </row>
    <row r="83" spans="1:46">
      <c r="A83">
        <v>2353</v>
      </c>
      <c r="B83" t="str">
        <f>"600218"</f>
        <v>600218</v>
      </c>
      <c r="C83" t="s">
        <v>2002</v>
      </c>
      <c r="D83" t="str">
        <f>[1]!EM_S_INFO_INDEX_EM(B83,"1")</f>
        <v>机械设备</v>
      </c>
      <c r="E83" s="4">
        <f t="shared" si="1"/>
        <v>43465</v>
      </c>
      <c r="F83" s="11">
        <f>[1]!EM_S_PQ_PCTCHANGE(B83,"2018-01-01","2019-12-31","3")</f>
        <v>58.654722800000002</v>
      </c>
      <c r="G83" s="11">
        <f>[1]!EM_S_PQ_PCTCHANGE(B83,"2018-12-31","2019-12-30","1")</f>
        <v>149.77777778000001</v>
      </c>
      <c r="H83" s="11">
        <f>[1]!EM_S_FA_YOY_OR(B83,E83)</f>
        <v>8.8742071605999993</v>
      </c>
      <c r="I83" s="11">
        <f>[1]!EM_S_FA_GROSSPROFITMARGIN(B83,E83)</f>
        <v>11.214197366100001</v>
      </c>
      <c r="J83" s="11">
        <f>[1]!EM_S_FA_NETPROFITMARGIN(B83,E83)</f>
        <v>0.98977180300000001</v>
      </c>
      <c r="K83" s="10">
        <f>[1]!EM_S_FA_ASSETSTURN(B83,E83)</f>
        <v>0.94717545522400004</v>
      </c>
      <c r="L83" s="12">
        <f>[1]!EM_HKS_VAL_MV(B83,"2019-12-31","2")</f>
        <v>4122680900</v>
      </c>
      <c r="M83">
        <f>[1]!EM_S_VAL_PETTMDEDUCTED(B83,E83)</f>
        <v>-208.17125911233501</v>
      </c>
      <c r="N83" s="7">
        <f>[1]!EM_S_VAL_PBGOODWILLDEDUCTED(B83,E83)</f>
        <v>0.85644546839209001</v>
      </c>
      <c r="O83" s="7">
        <f>[1]!EM_S_VAL_PS_TTM(B83,E83)</f>
        <v>0.48141455694104202</v>
      </c>
      <c r="P83" s="7">
        <f>[1]!EM_S_VAL_PCF_NCFTTM(B83,E83)</f>
        <v>13.6092038820052</v>
      </c>
      <c r="Q83" s="7">
        <f>[1]!EM_S_VAL_DIVIDENDYIELD2(B83,E83,"2019-11-29")</f>
        <v>0</v>
      </c>
      <c r="T83"/>
      <c r="U83">
        <f>[1]!EM_S_RATIO_EPS_TTM(B83,E83,"1")</f>
        <v>0.10761376718959742</v>
      </c>
      <c r="AT83" s="4" t="str">
        <f>[1]!EM_S_IPO_LISTEDDATE(B83)</f>
        <v>1998-12-03</v>
      </c>
    </row>
    <row r="84" spans="1:46">
      <c r="A84">
        <v>590</v>
      </c>
      <c r="B84" t="str">
        <f>"002079"</f>
        <v>002079</v>
      </c>
      <c r="C84" t="s">
        <v>2591</v>
      </c>
      <c r="D84" t="str">
        <f>[1]!EM_S_INFO_INDEX_EM(B84,"1")</f>
        <v>电子设备</v>
      </c>
      <c r="E84" s="4">
        <f t="shared" si="1"/>
        <v>43465</v>
      </c>
      <c r="F84" s="11">
        <f>[1]!EM_S_PQ_PCTCHANGE(B84,"2018-01-01","2019-12-31","3")</f>
        <v>27.965231769999999</v>
      </c>
      <c r="G84" s="11">
        <f>[1]!EM_S_PQ_PCTCHANGE(B84,"2018-12-31","2019-12-30","1")</f>
        <v>149.46466809</v>
      </c>
      <c r="H84" s="11">
        <f>[1]!EM_S_FA_YOY_OR(B84,E84)</f>
        <v>1.6571857827000001</v>
      </c>
      <c r="I84" s="11">
        <f>[1]!EM_S_FA_GROSSPROFITMARGIN(B84,E84)</f>
        <v>18.189853131500001</v>
      </c>
      <c r="J84" s="11">
        <f>[1]!EM_S_FA_NETPROFITMARGIN(B84,E84)</f>
        <v>7.0126455401000003</v>
      </c>
      <c r="K84" s="10">
        <f>[1]!EM_S_FA_ASSETSTURN(B84,E84)</f>
        <v>0.934397482364</v>
      </c>
      <c r="L84" s="12">
        <f>[1]!EM_HKS_VAL_MV(B84,"2019-12-31","2")</f>
        <v>8619182406.0799999</v>
      </c>
      <c r="M84">
        <f>[1]!EM_S_VAL_PETTMDEDUCTED(B84,E84)</f>
        <v>33.090445517838397</v>
      </c>
      <c r="N84" s="7">
        <f>[1]!EM_S_VAL_PBGOODWILLDEDUCTED(B84,E84)</f>
        <v>2.1068020004803998</v>
      </c>
      <c r="O84" s="7">
        <f>[1]!EM_S_VAL_PS_TTM(B84,E84)</f>
        <v>1.7643713248923001</v>
      </c>
      <c r="P84" s="7">
        <f>[1]!EM_S_VAL_PCF_NCFTTM(B84,E84)</f>
        <v>-20.180303048921999</v>
      </c>
      <c r="Q84" s="7">
        <f>[1]!EM_S_VAL_DIVIDENDYIELD2(B84,E84,"2019-11-29")</f>
        <v>0.3891050583657587</v>
      </c>
      <c r="T84"/>
      <c r="U84">
        <f>[1]!EM_S_RATIO_EPS_TTM(B84,E84,"1")</f>
        <v>0.12988217978103309</v>
      </c>
      <c r="AT84" s="4" t="str">
        <f>[1]!EM_S_IPO_LISTEDDATE(B84)</f>
        <v>2006-11-16</v>
      </c>
    </row>
    <row r="85" spans="1:46">
      <c r="A85">
        <v>250</v>
      </c>
      <c r="B85" t="str">
        <f>"000661"</f>
        <v>000661</v>
      </c>
      <c r="C85" t="s">
        <v>348</v>
      </c>
      <c r="D85" t="str">
        <f>[1]!EM_S_INFO_INDEX_EM(B85,"1")</f>
        <v>医药生物</v>
      </c>
      <c r="E85" s="4">
        <f t="shared" si="1"/>
        <v>43465</v>
      </c>
      <c r="F85" s="11">
        <f>[1]!EM_S_PQ_PCTCHANGE(B85,"2018-01-01","2019-12-31","3")</f>
        <v>145.87932291000001</v>
      </c>
      <c r="G85" s="11">
        <f>[1]!EM_S_PQ_PCTCHANGE(B85,"2018-12-31","2019-12-30","1")</f>
        <v>149.08000000000001</v>
      </c>
      <c r="H85" s="11">
        <f>[1]!EM_S_FA_YOY_OR(B85,E85)</f>
        <v>31.025157854500002</v>
      </c>
      <c r="I85" s="11">
        <f>[1]!EM_S_FA_GROSSPROFITMARGIN(B85,E85)</f>
        <v>85.102406238599997</v>
      </c>
      <c r="J85" s="11">
        <f>[1]!EM_S_FA_NETPROFITMARGIN(B85,E85)</f>
        <v>27.2152341878</v>
      </c>
      <c r="K85" s="10">
        <f>[1]!EM_S_FA_ASSETSTURN(B85,E85)</f>
        <v>0.64123603885699998</v>
      </c>
      <c r="L85" s="12">
        <f>[1]!EM_HKS_VAL_MV(B85,"2019-12-31","2")</f>
        <v>90454984815</v>
      </c>
      <c r="M85">
        <f>[1]!EM_S_VAL_PETTMDEDUCTED(B85,E85)</f>
        <v>30.008193461893399</v>
      </c>
      <c r="N85" s="7">
        <f>[1]!EM_S_VAL_PBGOODWILLDEDUCTED(B85,E85)</f>
        <v>5.6221662349222701</v>
      </c>
      <c r="O85" s="7">
        <f>[1]!EM_S_VAL_PS_TTM(B85,E85)</f>
        <v>5.3213951067390797</v>
      </c>
      <c r="P85" s="7">
        <f>[1]!EM_S_VAL_PCF_NCFTTM(B85,E85)</f>
        <v>-957.91700506551297</v>
      </c>
      <c r="Q85" s="7">
        <f>[1]!EM_S_VAL_DIVIDENDYIELD2(B85,E85,"2019-11-29")</f>
        <v>0.18223234624145787</v>
      </c>
      <c r="T85"/>
      <c r="U85">
        <f>[1]!EM_S_RATIO_EPS_TTM(B85,E85,"1")</f>
        <v>5.9166536843184119</v>
      </c>
      <c r="AT85" s="4" t="str">
        <f>[1]!EM_S_IPO_LISTEDDATE(B85)</f>
        <v>1996-12-18</v>
      </c>
    </row>
    <row r="86" spans="1:46">
      <c r="A86">
        <v>2358</v>
      </c>
      <c r="B86" t="str">
        <f>"600223"</f>
        <v>600223</v>
      </c>
      <c r="C86" t="s">
        <v>2300</v>
      </c>
      <c r="D86" t="str">
        <f>[1]!EM_S_INFO_INDEX_EM(B86,"1")</f>
        <v>房地产</v>
      </c>
      <c r="E86" s="4">
        <f t="shared" si="1"/>
        <v>43465</v>
      </c>
      <c r="F86" s="11">
        <f>[1]!EM_S_PQ_PCTCHANGE(B86,"2018-01-01","2019-12-31","3")</f>
        <v>120.88028905</v>
      </c>
      <c r="G86" s="11">
        <f>[1]!EM_S_PQ_PCTCHANGE(B86,"2018-12-31","2019-12-30","1")</f>
        <v>148.7012987</v>
      </c>
      <c r="H86" s="11">
        <f>[1]!EM_S_FA_YOY_OR(B86,E86)</f>
        <v>6.4534290570000001</v>
      </c>
      <c r="I86" s="11">
        <f>[1]!EM_S_FA_GROSSPROFITMARGIN(B86,E86)</f>
        <v>20.265710064</v>
      </c>
      <c r="J86" s="11">
        <f>[1]!EM_S_FA_NETPROFITMARGIN(B86,E86)</f>
        <v>2.6629815300000002</v>
      </c>
      <c r="K86" s="10">
        <f>[1]!EM_S_FA_ASSETSTURN(B86,E86)</f>
        <v>0.191199802636</v>
      </c>
      <c r="L86" s="12">
        <f>[1]!EM_HKS_VAL_MV(B86,"2019-12-31","2")</f>
        <v>8438160240</v>
      </c>
      <c r="M86">
        <f>[1]!EM_S_VAL_PETTMDEDUCTED(B86,E86)</f>
        <v>22.455289299297998</v>
      </c>
      <c r="N86" s="7">
        <f>[1]!EM_S_VAL_PBGOODWILLDEDUCTED(B86,E86)</f>
        <v>1.2649744666415601</v>
      </c>
      <c r="O86" s="7">
        <f>[1]!EM_S_VAL_PS_TTM(B86,E86)</f>
        <v>0.352344192784044</v>
      </c>
      <c r="P86" s="7">
        <f>[1]!EM_S_VAL_PCF_NCFTTM(B86,E86)</f>
        <v>-8.7680955502816609</v>
      </c>
      <c r="Q86" s="7">
        <f>[1]!EM_S_VAL_DIVIDENDYIELD2(B86,E86,"2019-11-29")</f>
        <v>0.92936802973977695</v>
      </c>
      <c r="T86"/>
      <c r="U86">
        <f>[1]!EM_S_RATIO_EPS_TTM(B86,E86,"1")</f>
        <v>0.16190358515956554</v>
      </c>
      <c r="AT86" s="4" t="str">
        <f>[1]!EM_S_IPO_LISTEDDATE(B86)</f>
        <v>2000-01-13</v>
      </c>
    </row>
    <row r="87" spans="1:46">
      <c r="A87">
        <v>1351</v>
      </c>
      <c r="B87" t="str">
        <f>"002850"</f>
        <v>002850</v>
      </c>
      <c r="C87" t="s">
        <v>2251</v>
      </c>
      <c r="D87" t="str">
        <f>[1]!EM_S_INFO_INDEX_EM(B87,"1")</f>
        <v>有色金属</v>
      </c>
      <c r="E87" s="4">
        <f t="shared" si="1"/>
        <v>43465</v>
      </c>
      <c r="F87" s="11">
        <f>[1]!EM_S_PQ_PCTCHANGE(B87,"2018-01-01","2019-12-31","3")</f>
        <v>8.5425189699999997</v>
      </c>
      <c r="G87" s="11">
        <f>[1]!EM_S_PQ_PCTCHANGE(B87,"2018-12-31","2019-12-30","1")</f>
        <v>147.64227642</v>
      </c>
      <c r="H87" s="11">
        <f>[1]!EM_S_FA_YOY_OR(B87,E87)</f>
        <v>37.797725122000003</v>
      </c>
      <c r="I87" s="11">
        <f>[1]!EM_S_FA_GROSSPROFITMARGIN(B87,E87)</f>
        <v>20.179348837700001</v>
      </c>
      <c r="J87" s="11">
        <f>[1]!EM_S_FA_NETPROFITMARGIN(B87,E87)</f>
        <v>4.0207528167</v>
      </c>
      <c r="K87" s="10">
        <f>[1]!EM_S_FA_ASSETSTURN(B87,E87)</f>
        <v>0.60916804476499997</v>
      </c>
      <c r="L87" s="12">
        <f>[1]!EM_HKS_VAL_MV(B87,"2019-12-31","2")</f>
        <v>9555000000</v>
      </c>
      <c r="M87">
        <f>[1]!EM_S_VAL_PETTMDEDUCTED(B87,E87)</f>
        <v>317.78892282089498</v>
      </c>
      <c r="N87" s="7">
        <f>[1]!EM_S_VAL_PBGOODWILLDEDUCTED(B87,E87)</f>
        <v>1.68800021724239</v>
      </c>
      <c r="O87" s="7">
        <f>[1]!EM_S_VAL_PS_TTM(B87,E87)</f>
        <v>2.4179643239798998</v>
      </c>
      <c r="P87" s="7">
        <f>[1]!EM_S_VAL_PCF_NCFTTM(B87,E87)</f>
        <v>-54.652732814598899</v>
      </c>
      <c r="Q87" s="7">
        <f>[1]!EM_S_VAL_DIVIDENDYIELD2(B87,E87,"2019-11-29")</f>
        <v>0.55340343110127277</v>
      </c>
      <c r="T87"/>
      <c r="U87">
        <f>[1]!EM_S_RATIO_EPS_TTM(B87,E87,"1")</f>
        <v>0.39184392233333332</v>
      </c>
      <c r="AT87" s="4" t="str">
        <f>[1]!EM_S_IPO_LISTEDDATE(B87)</f>
        <v>2017-03-02</v>
      </c>
    </row>
    <row r="88" spans="1:46">
      <c r="A88">
        <v>3388</v>
      </c>
      <c r="B88" t="str">
        <f>"603383"</f>
        <v>603383</v>
      </c>
      <c r="C88" t="s">
        <v>2822</v>
      </c>
      <c r="D88" t="str">
        <f>[1]!EM_S_INFO_INDEX_EM(B88,"1")</f>
        <v>信息技术</v>
      </c>
      <c r="E88" s="4">
        <f t="shared" si="1"/>
        <v>43465</v>
      </c>
      <c r="F88" s="11">
        <f>[1]!EM_S_PQ_PCTCHANGE(B88,"2018-01-01","2019-12-31","3")</f>
        <v>130.85183477999999</v>
      </c>
      <c r="G88" s="11">
        <f>[1]!EM_S_PQ_PCTCHANGE(B88,"2019-01-01","2019-12-31","3")</f>
        <v>147.04630656</v>
      </c>
      <c r="H88" s="11">
        <f>[1]!EM_S_FA_YOY_OR(B88,E88)</f>
        <v>21.226590668699998</v>
      </c>
      <c r="I88" s="11">
        <f>[1]!EM_S_FA_GROSSPROFITMARGIN(B88,E88)</f>
        <v>74.231180657699994</v>
      </c>
      <c r="J88" s="11">
        <f>[1]!EM_S_FA_NETPROFITMARGIN(B88,E88)</f>
        <v>39.620335195400003</v>
      </c>
      <c r="K88" s="10">
        <f>[1]!EM_S_FA_ASSETSTURN(B88,E88)</f>
        <v>0.246693019382</v>
      </c>
      <c r="L88" s="12">
        <f>[1]!EM_HKS_VAL_MV(B88,"2019-12-31","2")</f>
        <v>8769916962.7999992</v>
      </c>
      <c r="M88">
        <f>[1]!EM_S_VAL_PETTMDEDUCTED(B88,E88)</f>
        <v>37.621330096990299</v>
      </c>
      <c r="N88" s="7">
        <f>[1]!EM_S_VAL_PBGOODWILLDEDUCTED(B88,E88)</f>
        <v>3.4447048158193998</v>
      </c>
      <c r="O88" s="7">
        <f>[1]!EM_S_VAL_PS_TTM(B88,E88)</f>
        <v>12.7212332546792</v>
      </c>
      <c r="P88" s="7">
        <f>[1]!EM_S_VAL_PCF_NCFTTM(B88,E88)</f>
        <v>21.056617114899399</v>
      </c>
      <c r="Q88" s="7">
        <f>[1]!EM_S_VAL_DIVIDENDYIELD2(B88,E88,"2019-11-29")</f>
        <v>0.75948187788427568</v>
      </c>
      <c r="T88"/>
      <c r="U88">
        <f>[1]!EM_S_RATIO_EPS_TTM(B88,E88,"1")</f>
        <v>0.99636778423109496</v>
      </c>
      <c r="AT88" s="4" t="str">
        <f>[1]!EM_S_IPO_LISTEDDATE(B88)</f>
        <v>2017-05-22</v>
      </c>
    </row>
    <row r="89" spans="1:46">
      <c r="A89">
        <v>864</v>
      </c>
      <c r="B89" t="str">
        <f>"002353"</f>
        <v>002353</v>
      </c>
      <c r="C89" t="s">
        <v>2752</v>
      </c>
      <c r="D89" t="str">
        <f>[1]!EM_S_INFO_INDEX_EM(B89,"1")</f>
        <v>化石能源</v>
      </c>
      <c r="E89" s="4">
        <f t="shared" si="1"/>
        <v>43465</v>
      </c>
      <c r="F89" s="11">
        <f>[1]!EM_S_PQ_PCTCHANGE(B89,"2018-01-01","2019-12-31","3")</f>
        <v>185.29111265</v>
      </c>
      <c r="G89" s="11">
        <f>[1]!EM_S_PQ_PCTCHANGE(B89,"2018-12-31","2019-12-30","1")</f>
        <v>146.66666667000001</v>
      </c>
      <c r="H89" s="11">
        <f>[1]!EM_S_FA_YOY_OR(B89,E89)</f>
        <v>44.231591065899998</v>
      </c>
      <c r="I89" s="11">
        <f>[1]!EM_S_FA_GROSSPROFITMARGIN(B89,E89)</f>
        <v>31.651877991199999</v>
      </c>
      <c r="J89" s="11">
        <f>[1]!EM_S_FA_NETPROFITMARGIN(B89,E89)</f>
        <v>13.850546466000001</v>
      </c>
      <c r="K89" s="10">
        <f>[1]!EM_S_FA_ASSETSTURN(B89,E89)</f>
        <v>0.41236543262000003</v>
      </c>
      <c r="L89" s="12">
        <f>[1]!EM_HKS_VAL_MV(B89,"2019-12-31","2")</f>
        <v>35402283544.32</v>
      </c>
      <c r="M89">
        <f>[1]!EM_S_VAL_PETTMDEDUCTED(B89,E89)</f>
        <v>41.907864166233999</v>
      </c>
      <c r="N89" s="7">
        <f>[1]!EM_S_VAL_PBGOODWILLDEDUCTED(B89,E89)</f>
        <v>1.72606309727583</v>
      </c>
      <c r="O89" s="7">
        <f>[1]!EM_S_VAL_PS_TTM(B89,E89)</f>
        <v>3.55156768873591</v>
      </c>
      <c r="P89" s="7">
        <f>[1]!EM_S_VAL_PCF_NCFTTM(B89,E89)</f>
        <v>49.215385799705601</v>
      </c>
      <c r="Q89" s="7">
        <f>[1]!EM_S_VAL_DIVIDENDYIELD2(B89,E89,"2019-11-29")</f>
        <v>0.37842951750236514</v>
      </c>
      <c r="T89"/>
      <c r="U89">
        <f>[1]!EM_S_RATIO_EPS_TTM(B89,E89,"1")</f>
        <v>0.64231233694122347</v>
      </c>
      <c r="AT89" s="4" t="str">
        <f>[1]!EM_S_IPO_LISTEDDATE(B89)</f>
        <v>2010-02-05</v>
      </c>
    </row>
    <row r="90" spans="1:46">
      <c r="A90">
        <v>3254</v>
      </c>
      <c r="B90" t="str">
        <f>"603079"</f>
        <v>603079</v>
      </c>
      <c r="C90" t="s">
        <v>771</v>
      </c>
      <c r="D90" t="str">
        <f>[1]!EM_S_INFO_INDEX_EM(B90,"1")</f>
        <v>医药生物</v>
      </c>
      <c r="E90" s="4">
        <f t="shared" si="1"/>
        <v>43465</v>
      </c>
      <c r="F90" s="11">
        <f>[1]!EM_S_PQ_PCTCHANGE(B90,"2018-01-01","2019-12-31","3")</f>
        <v>7.4483382699999998</v>
      </c>
      <c r="G90" s="11">
        <f>[1]!EM_S_PQ_PCTCHANGE(B90,"2018-12-31","2019-12-30","1")</f>
        <v>146.65427509</v>
      </c>
      <c r="H90" s="11">
        <f>[1]!EM_S_FA_YOY_OR(B90,E90)</f>
        <v>-3.1168838460999999</v>
      </c>
      <c r="I90" s="11">
        <f>[1]!EM_S_FA_GROSSPROFITMARGIN(B90,E90)</f>
        <v>33.550109519599999</v>
      </c>
      <c r="J90" s="11">
        <f>[1]!EM_S_FA_NETPROFITMARGIN(B90,E90)</f>
        <v>8.6427662651000006</v>
      </c>
      <c r="K90" s="10">
        <f>[1]!EM_S_FA_ASSETSTURN(B90,E90)</f>
        <v>0.440176847835</v>
      </c>
      <c r="L90" s="12">
        <f>[1]!EM_HKS_VAL_MV(B90,"2019-12-31","2")</f>
        <v>4459840000</v>
      </c>
      <c r="M90">
        <f>[1]!EM_S_VAL_PETTMDEDUCTED(B90,E90)</f>
        <v>28.952282094013398</v>
      </c>
      <c r="N90" s="7">
        <f>[1]!EM_S_VAL_PBGOODWILLDEDUCTED(B90,E90)</f>
        <v>2.31652232653378</v>
      </c>
      <c r="O90" s="7">
        <f>[1]!EM_S_VAL_PS_TTM(B90,E90)</f>
        <v>3.6623674278979701</v>
      </c>
      <c r="P90" s="7">
        <f>[1]!EM_S_VAL_PCF_NCFTTM(B90,E90)</f>
        <v>-28.100800068274101</v>
      </c>
      <c r="Q90" s="7">
        <f>[1]!EM_S_VAL_DIVIDENDYIELD2(B90,E90,"2019-11-29")</f>
        <v>0.34188034188034189</v>
      </c>
      <c r="T90"/>
      <c r="U90">
        <f>[1]!EM_S_RATIO_EPS_TTM(B90,E90,"1")</f>
        <v>0.39771808544642856</v>
      </c>
      <c r="AT90" s="4" t="str">
        <f>[1]!EM_S_IPO_LISTEDDATE(B90)</f>
        <v>2017-08-23</v>
      </c>
    </row>
    <row r="91" spans="1:46">
      <c r="A91">
        <v>1543</v>
      </c>
      <c r="B91" t="str">
        <f>"300118"</f>
        <v>300118</v>
      </c>
      <c r="C91" t="s">
        <v>2157</v>
      </c>
      <c r="D91" t="str">
        <f>[1]!EM_S_INFO_INDEX_EM(B91,"1")</f>
        <v>电气设备</v>
      </c>
      <c r="E91" s="4">
        <f t="shared" si="1"/>
        <v>43465</v>
      </c>
      <c r="F91" s="11">
        <f>[1]!EM_S_PQ_PCTCHANGE(B91,"2018-01-01","2019-12-31","3")</f>
        <v>15.900393169999999</v>
      </c>
      <c r="G91" s="11">
        <f>[1]!EM_S_PQ_PCTCHANGE(B91,"2018-12-31","2019-12-30","1")</f>
        <v>146.04569420000001</v>
      </c>
      <c r="H91" s="11">
        <f>[1]!EM_S_FA_YOY_OR(B91,E91)</f>
        <v>-14.8412809473</v>
      </c>
      <c r="I91" s="11">
        <f>[1]!EM_S_FA_GROSSPROFITMARGIN(B91,E91)</f>
        <v>18.109740130500001</v>
      </c>
      <c r="J91" s="11">
        <f>[1]!EM_S_FA_NETPROFITMARGIN(B91,E91)</f>
        <v>2.3410404265000002</v>
      </c>
      <c r="K91" s="10">
        <f>[1]!EM_S_FA_ASSETSTURN(B91,E91)</f>
        <v>0.55264706263499996</v>
      </c>
      <c r="L91" s="12">
        <f>[1]!EM_HKS_VAL_MV(B91,"2019-12-31","2")</f>
        <v>12483835182.85</v>
      </c>
      <c r="M91">
        <f>[1]!EM_S_VAL_PETTMDEDUCTED(B91,E91)</f>
        <v>11.236232004635101</v>
      </c>
      <c r="N91" s="7">
        <f>[1]!EM_S_VAL_PBGOODWILLDEDUCTED(B91,E91)</f>
        <v>0.72243006116858699</v>
      </c>
      <c r="O91" s="7">
        <f>[1]!EM_S_VAL_PS_TTM(B91,E91)</f>
        <v>0.47568833506233699</v>
      </c>
      <c r="P91" s="7">
        <f>[1]!EM_S_VAL_PCF_NCFTTM(B91,E91)</f>
        <v>-5.8424300438246002</v>
      </c>
      <c r="Q91" s="7">
        <f>[1]!EM_S_VAL_DIVIDENDYIELD2(B91,E91,"2019-11-29")</f>
        <v>0.51545836909871245</v>
      </c>
      <c r="T91"/>
      <c r="U91">
        <f>[1]!EM_S_RATIO_EPS_TTM(B91,E91,"1")</f>
        <v>0.25695949907288768</v>
      </c>
      <c r="AT91" s="4" t="str">
        <f>[1]!EM_S_IPO_LISTEDDATE(B91)</f>
        <v>2010-09-02</v>
      </c>
    </row>
    <row r="92" spans="1:46">
      <c r="A92">
        <v>1239</v>
      </c>
      <c r="B92" t="str">
        <f>"002729"</f>
        <v>002729</v>
      </c>
      <c r="C92" t="s">
        <v>2225</v>
      </c>
      <c r="D92" t="str">
        <f>[1]!EM_S_INFO_INDEX_EM(B92,"1")</f>
        <v>电子设备</v>
      </c>
      <c r="E92" s="4">
        <f t="shared" si="1"/>
        <v>43465</v>
      </c>
      <c r="F92" s="11">
        <f>[1]!EM_S_PQ_PCTCHANGE(B92,"2018-01-01","2019-12-31","3")</f>
        <v>-18.504200669999999</v>
      </c>
      <c r="G92" s="11">
        <f>[1]!EM_S_PQ_PCTCHANGE(B92,"2019-01-01","2019-12-31","3")</f>
        <v>144.43395708</v>
      </c>
      <c r="H92" s="11">
        <f>[1]!EM_S_FA_YOY_OR(B92,E92)</f>
        <v>4.2976549544999996</v>
      </c>
      <c r="I92" s="11">
        <f>[1]!EM_S_FA_GROSSPROFITMARGIN(B92,E92)</f>
        <v>39.625705071799999</v>
      </c>
      <c r="J92" s="11">
        <f>[1]!EM_S_FA_NETPROFITMARGIN(B92,E92)</f>
        <v>11.6626401546</v>
      </c>
      <c r="K92" s="10">
        <f>[1]!EM_S_FA_ASSETSTURN(B92,E92)</f>
        <v>0.377708237291</v>
      </c>
      <c r="L92" s="12">
        <f>[1]!EM_HKS_VAL_MV(B92,"2019-12-31","2")</f>
        <v>3350670000</v>
      </c>
      <c r="M92">
        <f>[1]!EM_S_VAL_PETTMDEDUCTED(B92,E92)</f>
        <v>89.504483215074004</v>
      </c>
      <c r="N92" s="7">
        <f>[1]!EM_S_VAL_PBGOODWILLDEDUCTED(B92,E92)</f>
        <v>3.1684915127599398</v>
      </c>
      <c r="O92" s="7">
        <f>[1]!EM_S_VAL_PS_TTM(B92,E92)</f>
        <v>8.04774783144358</v>
      </c>
      <c r="P92" s="7">
        <f>[1]!EM_S_VAL_PCF_NCFTTM(B92,E92)</f>
        <v>38.441282980399798</v>
      </c>
      <c r="Q92" s="7">
        <f>[1]!EM_S_VAL_DIVIDENDYIELD2(B92,E92,"2019-11-29")</f>
        <v>0.17650025214321732</v>
      </c>
      <c r="T92"/>
      <c r="U92">
        <f>[1]!EM_S_RATIO_EPS_TTM(B92,E92,"1")</f>
        <v>0.30933566481703656</v>
      </c>
      <c r="AT92" s="4" t="str">
        <f>[1]!EM_S_IPO_LISTEDDATE(B92)</f>
        <v>2014-09-12</v>
      </c>
    </row>
    <row r="93" spans="1:46">
      <c r="A93">
        <v>2021</v>
      </c>
      <c r="B93" t="str">
        <f>"300601"</f>
        <v>300601</v>
      </c>
      <c r="C93" t="s">
        <v>96</v>
      </c>
      <c r="D93" t="str">
        <f>[1]!EM_S_INFO_INDEX_EM(B93,"1")</f>
        <v>医药生物</v>
      </c>
      <c r="E93" s="4">
        <f t="shared" si="1"/>
        <v>43465</v>
      </c>
      <c r="F93" s="11">
        <f>[1]!EM_S_PQ_PCTCHANGE(B93,"2018-01-01","2019-12-31","3")</f>
        <v>179.78194803</v>
      </c>
      <c r="G93" s="11">
        <f>[1]!EM_S_PQ_PCTCHANGE(B93,"2018-12-31","2019-12-30","1")</f>
        <v>143.85131358000001</v>
      </c>
      <c r="H93" s="11">
        <f>[1]!EM_S_FA_YOY_OR(B93,E93)</f>
        <v>73.694868731300005</v>
      </c>
      <c r="I93" s="11">
        <f>[1]!EM_S_FA_GROSSPROFITMARGIN(B93,E93)</f>
        <v>91.104520956900004</v>
      </c>
      <c r="J93" s="11">
        <f>[1]!EM_S_FA_NETPROFITMARGIN(B93,E93)</f>
        <v>21.601691214500001</v>
      </c>
      <c r="K93" s="10">
        <f>[1]!EM_S_FA_ASSETSTURN(B93,E93)</f>
        <v>0.72718429901399995</v>
      </c>
      <c r="L93" s="12">
        <f>[1]!EM_HKS_VAL_MV(B93,"2019-12-31","2")</f>
        <v>56643943688.900002</v>
      </c>
      <c r="M93">
        <f>[1]!EM_S_VAL_PETTMDEDUCTED(B93,E93)</f>
        <v>56.825943315630603</v>
      </c>
      <c r="N93" s="7">
        <f>[1]!EM_S_VAL_PBGOODWILLDEDUCTED(B93,E93)</f>
        <v>12.863253948853499</v>
      </c>
      <c r="O93" s="7">
        <f>[1]!EM_S_VAL_PS_TTM(B93,E93)</f>
        <v>12.239106263728999</v>
      </c>
      <c r="P93" s="7">
        <f>[1]!EM_S_VAL_PCF_NCFTTM(B93,E93)</f>
        <v>91.103873121550805</v>
      </c>
      <c r="Q93" s="7">
        <f>[1]!EM_S_VAL_DIVIDENDYIELD2(B93,E93,"2019-11-29")</f>
        <v>0.32709668978149942</v>
      </c>
      <c r="T93"/>
      <c r="U93">
        <f>[1]!EM_S_RATIO_EPS_TTM(B93,E93,"1")</f>
        <v>0.6823016137504373</v>
      </c>
      <c r="AT93" s="4" t="str">
        <f>[1]!EM_S_IPO_LISTEDDATE(B93)</f>
        <v>2017-02-07</v>
      </c>
    </row>
    <row r="94" spans="1:46">
      <c r="A94">
        <v>2074</v>
      </c>
      <c r="B94" t="str">
        <f>"300655"</f>
        <v>300655</v>
      </c>
      <c r="C94" t="s">
        <v>1324</v>
      </c>
      <c r="D94" t="str">
        <f>[1]!EM_S_INFO_INDEX_EM(B94,"1")</f>
        <v>基础化工</v>
      </c>
      <c r="E94" s="4">
        <f t="shared" si="1"/>
        <v>43465</v>
      </c>
      <c r="F94" s="11">
        <f>[1]!EM_S_PQ_PCTCHANGE(B94,"2018-01-01","2019-12-31","3")</f>
        <v>82.390337650000006</v>
      </c>
      <c r="G94" s="11">
        <f>[1]!EM_S_PQ_PCTCHANGE(B94,"2018-12-31","2019-12-30","1")</f>
        <v>143.72230428</v>
      </c>
      <c r="H94" s="11">
        <f>[1]!EM_S_FA_YOY_OR(B94,E94)</f>
        <v>51.693369757600003</v>
      </c>
      <c r="I94" s="11">
        <f>[1]!EM_S_FA_GROSSPROFITMARGIN(B94,E94)</f>
        <v>28.597851508200002</v>
      </c>
      <c r="J94" s="11">
        <f>[1]!EM_S_FA_NETPROFITMARGIN(B94,E94)</f>
        <v>7.0013471441000004</v>
      </c>
      <c r="K94" s="10">
        <f>[1]!EM_S_FA_ASSETSTURN(B94,E94)</f>
        <v>0.77198092382200001</v>
      </c>
      <c r="L94" s="12">
        <f>[1]!EM_HKS_VAL_MV(B94,"2019-12-31","2")</f>
        <v>4874402521.5299997</v>
      </c>
      <c r="M94">
        <f>[1]!EM_S_VAL_PETTMDEDUCTED(B94,E94)</f>
        <v>45.479542841406499</v>
      </c>
      <c r="N94" s="7">
        <f>[1]!EM_S_VAL_PBGOODWILLDEDUCTED(B94,E94)</f>
        <v>4.2226699303161004</v>
      </c>
      <c r="O94" s="7">
        <f>[1]!EM_S_VAL_PS_TTM(B94,E94)</f>
        <v>2.76856143327216</v>
      </c>
      <c r="P94" s="7">
        <f>[1]!EM_S_VAL_PCF_NCFTTM(B94,E94)</f>
        <v>-330.51907125126002</v>
      </c>
      <c r="Q94" s="7">
        <f>[1]!EM_S_VAL_DIVIDENDYIELD2(B94,E94,"2019-11-29")</f>
        <v>0.55248618784530379</v>
      </c>
      <c r="T94"/>
      <c r="U94">
        <f>[1]!EM_S_RATIO_EPS_TTM(B94,E94,"1")</f>
        <v>0.33163493951668943</v>
      </c>
      <c r="AT94" s="4" t="str">
        <f>[1]!EM_S_IPO_LISTEDDATE(B94)</f>
        <v>2017-05-23</v>
      </c>
    </row>
    <row r="95" spans="1:46">
      <c r="A95">
        <v>1118</v>
      </c>
      <c r="B95" t="str">
        <f>"002607"</f>
        <v>002607</v>
      </c>
      <c r="C95" t="s">
        <v>2644</v>
      </c>
      <c r="D95" t="str">
        <f>[1]!EM_S_INFO_INDEX_EM(B95,"1")</f>
        <v>文化传媒</v>
      </c>
      <c r="E95" s="4">
        <f t="shared" si="1"/>
        <v>43465</v>
      </c>
      <c r="F95" s="11">
        <f>[1]!EM_S_PQ_PCTCHANGE(B95,"2018-01-01","2019-12-31","3")</f>
        <v>382.95497169999999</v>
      </c>
      <c r="G95" s="11">
        <f>[1]!EM_S_PQ_PCTCHANGE(B95,"2018-12-31","2019-12-30","1")</f>
        <v>143.61111111</v>
      </c>
      <c r="H95" s="11">
        <f>[1]!EM_S_FA_YOY_OR(B95,E95)</f>
        <v>54.715695361999998</v>
      </c>
      <c r="I95" s="11">
        <f>[1]!EM_S_FA_GROSSPROFITMARGIN(B95,E95)</f>
        <v>59.077157599400003</v>
      </c>
      <c r="J95" s="11">
        <f>[1]!EM_S_FA_NETPROFITMARGIN(B95,E95)</f>
        <v>18.484682844799998</v>
      </c>
      <c r="K95" s="10">
        <f>[1]!EM_S_FA_ASSETSTURN(B95,E95)</f>
        <v>1.054443762265</v>
      </c>
      <c r="L95" s="12">
        <f>[1]!EM_HKS_VAL_MV(B95,"2019-12-31","2")</f>
        <v>110273101075.32001</v>
      </c>
      <c r="M95">
        <f>[1]!EM_S_VAL_PETTMDEDUCTED(B95,E95)</f>
        <v>204.69846723256501</v>
      </c>
      <c r="N95" s="7">
        <f>[1]!EM_S_VAL_PBGOODWILLDEDUCTED(B95,E95)</f>
        <v>2.06946205154996</v>
      </c>
      <c r="O95" s="7">
        <f>[1]!EM_S_VAL_PS_TTM(B95,E95)</f>
        <v>0.92233305520240805</v>
      </c>
      <c r="P95" s="7">
        <f>[1]!EM_S_VAL_PCF_NCFTTM(B95,E95)</f>
        <v>-16.6133132530586</v>
      </c>
      <c r="Q95" s="7">
        <f>[1]!EM_S_VAL_DIVIDENDYIELD2(B95,E95,"2019-11-29")</f>
        <v>1.2582056892778992</v>
      </c>
      <c r="T95"/>
      <c r="U95">
        <f>[1]!EM_S_RATIO_EPS_TTM(B95,E95,"1")</f>
        <v>1.4053844673833389</v>
      </c>
      <c r="AT95" s="4" t="str">
        <f>[1]!EM_S_IPO_LISTEDDATE(B95)</f>
        <v>2011-08-10</v>
      </c>
    </row>
    <row r="96" spans="1:46">
      <c r="A96">
        <v>1513</v>
      </c>
      <c r="B96" t="str">
        <f>"300088"</f>
        <v>300088</v>
      </c>
      <c r="C96" t="s">
        <v>724</v>
      </c>
      <c r="D96" t="str">
        <f>[1]!EM_S_INFO_INDEX_EM(B96,"1")</f>
        <v>电子设备</v>
      </c>
      <c r="E96" s="4">
        <f t="shared" si="1"/>
        <v>43465</v>
      </c>
      <c r="F96" s="11">
        <f>[1]!EM_S_PQ_PCTCHANGE(B96,"2018-01-01","2019-12-31","3")</f>
        <v>36.842757110000001</v>
      </c>
      <c r="G96" s="11">
        <f>[1]!EM_S_PQ_PCTCHANGE(B96,"2018-12-31","2019-12-30","1")</f>
        <v>140.48192771000001</v>
      </c>
      <c r="H96" s="11">
        <f>[1]!EM_S_FA_YOY_OR(B96,E96)</f>
        <v>-11.6634864257</v>
      </c>
      <c r="I96" s="11">
        <f>[1]!EM_S_FA_GROSSPROFITMARGIN(B96,E96)</f>
        <v>15.065020518700001</v>
      </c>
      <c r="J96" s="11">
        <f>[1]!EM_S_FA_NETPROFITMARGIN(B96,E96)</f>
        <v>7.5485410484999997</v>
      </c>
      <c r="K96" s="10">
        <f>[1]!EM_S_FA_ASSETSTURN(B96,E96)</f>
        <v>1.14374865773</v>
      </c>
      <c r="L96" s="12">
        <f>[1]!EM_HKS_VAL_MV(B96,"2019-12-31","2")</f>
        <v>24976897715.380001</v>
      </c>
      <c r="M96">
        <f>[1]!EM_S_VAL_PETTMDEDUCTED(B96,E96)</f>
        <v>14.3378164115923</v>
      </c>
      <c r="N96" s="7">
        <f>[1]!EM_S_VAL_PBGOODWILLDEDUCTED(B96,E96)</f>
        <v>2.08185599099459</v>
      </c>
      <c r="O96" s="7">
        <f>[1]!EM_S_VAL_PS_TTM(B96,E96)</f>
        <v>1.0314765124366401</v>
      </c>
      <c r="P96" s="7">
        <f>[1]!EM_S_VAL_PCF_NCFTTM(B96,E96)</f>
        <v>-96.494601383565197</v>
      </c>
      <c r="Q96" s="7">
        <f>[1]!EM_S_VAL_DIVIDENDYIELD2(B96,E96,"2019-11-29")</f>
        <v>1.6280064407209809</v>
      </c>
      <c r="T96"/>
      <c r="U96">
        <f>[1]!EM_S_RATIO_EPS_TTM(B96,E96,"1")</f>
        <v>0.30972538412571404</v>
      </c>
      <c r="AT96" s="4" t="str">
        <f>[1]!EM_S_IPO_LISTEDDATE(B96)</f>
        <v>2010-05-26</v>
      </c>
    </row>
    <row r="97" spans="1:46">
      <c r="A97">
        <v>1753</v>
      </c>
      <c r="B97" t="str">
        <f>"300328"</f>
        <v>300328</v>
      </c>
      <c r="C97" t="s">
        <v>2772</v>
      </c>
      <c r="D97" t="str">
        <f>[1]!EM_S_INFO_INDEX_EM(B97,"1")</f>
        <v>机械设备</v>
      </c>
      <c r="E97" s="4">
        <f t="shared" si="1"/>
        <v>43465</v>
      </c>
      <c r="F97" s="11">
        <f>[1]!EM_S_PQ_PCTCHANGE(B97,"2018-01-01","2019-12-31","3")</f>
        <v>52.998823510000001</v>
      </c>
      <c r="G97" s="11">
        <f>[1]!EM_S_PQ_PCTCHANGE(B97,"2018-12-31","2019-12-30","1")</f>
        <v>140.22801303</v>
      </c>
      <c r="H97" s="11">
        <f>[1]!EM_S_FA_YOY_OR(B97,E97)</f>
        <v>21.593935807000001</v>
      </c>
      <c r="I97" s="11">
        <f>[1]!EM_S_FA_GROSSPROFITMARGIN(B97,E97)</f>
        <v>23.315680132000001</v>
      </c>
      <c r="J97" s="11">
        <f>[1]!EM_S_FA_NETPROFITMARGIN(B97,E97)</f>
        <v>4.0190950655000002</v>
      </c>
      <c r="K97" s="10">
        <f>[1]!EM_S_FA_ASSETSTURN(B97,E97)</f>
        <v>0.56588303417100005</v>
      </c>
      <c r="L97" s="12">
        <f>[1]!EM_HKS_VAL_MV(B97,"2019-12-31","2")</f>
        <v>6784562576</v>
      </c>
      <c r="M97">
        <f>[1]!EM_S_VAL_PETTMDEDUCTED(B97,E97)</f>
        <v>58.762623890728101</v>
      </c>
      <c r="N97" s="7">
        <f>[1]!EM_S_VAL_PBGOODWILLDEDUCTED(B97,E97)</f>
        <v>2.65574643546331</v>
      </c>
      <c r="O97" s="7">
        <f>[1]!EM_S_VAL_PS_TTM(B97,E97)</f>
        <v>2.9990461618453201</v>
      </c>
      <c r="P97" s="7">
        <f>[1]!EM_S_VAL_PCF_NCFTTM(B97,E97)</f>
        <v>-23.453846398787999</v>
      </c>
      <c r="Q97" s="7">
        <f>[1]!EM_S_VAL_DIVIDENDYIELD2(B97,E97,"2019-11-29")</f>
        <v>0.41220115416323161</v>
      </c>
      <c r="T97"/>
      <c r="U97">
        <f>[1]!EM_S_RATIO_EPS_TTM(B97,E97,"1")</f>
        <v>0.11776000889888469</v>
      </c>
      <c r="AT97" s="4" t="str">
        <f>[1]!EM_S_IPO_LISTEDDATE(B97)</f>
        <v>2012-06-19</v>
      </c>
    </row>
    <row r="98" spans="1:46">
      <c r="A98">
        <v>3204</v>
      </c>
      <c r="B98" t="str">
        <f>"603005"</f>
        <v>603005</v>
      </c>
      <c r="C98" t="s">
        <v>2616</v>
      </c>
      <c r="D98" t="str">
        <f>[1]!EM_S_INFO_INDEX_EM(B98,"1")</f>
        <v>电子设备</v>
      </c>
      <c r="E98" s="4">
        <f t="shared" si="1"/>
        <v>43465</v>
      </c>
      <c r="F98" s="11">
        <f>[1]!EM_S_PQ_PCTCHANGE(B98,"2018-01-01","2019-12-31","3")</f>
        <v>12.36559003</v>
      </c>
      <c r="G98" s="11">
        <f>[1]!EM_S_PQ_PCTCHANGE(B98,"2018-12-31","2019-12-30","1")</f>
        <v>139.76857491000001</v>
      </c>
      <c r="H98" s="11">
        <f>[1]!EM_S_FA_YOY_OR(B98,E98)</f>
        <v>-9.9471905001999996</v>
      </c>
      <c r="I98" s="11">
        <f>[1]!EM_S_FA_GROSSPROFITMARGIN(B98,E98)</f>
        <v>27.935101901100001</v>
      </c>
      <c r="J98" s="11">
        <f>[1]!EM_S_FA_NETPROFITMARGIN(B98,E98)</f>
        <v>12.561033270299999</v>
      </c>
      <c r="K98" s="10">
        <f>[1]!EM_S_FA_ASSETSTURN(B98,E98)</f>
        <v>0.25811699196100002</v>
      </c>
      <c r="L98" s="12">
        <f>[1]!EM_HKS_VAL_MV(B98,"2019-12-31","2")</f>
        <v>9044776937.8999996</v>
      </c>
      <c r="M98">
        <f>[1]!EM_S_VAL_PETTMDEDUCTED(B98,E98)</f>
        <v>99.035512010418302</v>
      </c>
      <c r="N98" s="7">
        <f>[1]!EM_S_VAL_PBGOODWILLDEDUCTED(B98,E98)</f>
        <v>2.0418370762756499</v>
      </c>
      <c r="O98" s="7">
        <f>[1]!EM_S_VAL_PS_TTM(B98,E98)</f>
        <v>6.4024080822613101</v>
      </c>
      <c r="P98" s="7">
        <f>[1]!EM_S_VAL_PCF_NCFTTM(B98,E98)</f>
        <v>236.184077796672</v>
      </c>
      <c r="Q98" s="7">
        <f>[1]!EM_S_VAL_DIVIDENDYIELD2(B98,E98,"2019-11-29")</f>
        <v>0.23791762088603002</v>
      </c>
      <c r="T98"/>
      <c r="U98">
        <f>[1]!EM_S_RATIO_EPS_TTM(B98,E98,"1")</f>
        <v>0.30370301891881807</v>
      </c>
      <c r="AT98" s="4" t="str">
        <f>[1]!EM_S_IPO_LISTEDDATE(B98)</f>
        <v>2014-02-10</v>
      </c>
    </row>
    <row r="99" spans="1:46">
      <c r="A99">
        <v>3115</v>
      </c>
      <c r="B99" t="str">
        <f>"601519"</f>
        <v>601519</v>
      </c>
      <c r="C99" t="s">
        <v>3031</v>
      </c>
      <c r="D99" t="str">
        <f>[1]!EM_S_INFO_INDEX_EM(B99,"1")</f>
        <v>信息技术</v>
      </c>
      <c r="E99" s="4">
        <f t="shared" si="1"/>
        <v>43465</v>
      </c>
      <c r="F99" s="11">
        <f>[1]!EM_S_PQ_PCTCHANGE(B99,"2018-01-01","2019-12-31","3")</f>
        <v>59.072580649999999</v>
      </c>
      <c r="G99" s="11">
        <f>[1]!EM_S_PQ_PCTCHANGE(B99,"2018-12-31","2019-12-30","1")</f>
        <v>139.52095808000001</v>
      </c>
      <c r="H99" s="11">
        <f>[1]!EM_S_FA_YOY_OR(B99,E99)</f>
        <v>-6.9877046184999996</v>
      </c>
      <c r="I99" s="11">
        <f>[1]!EM_S_FA_GROSSPROFITMARGIN(B99,E99)</f>
        <v>58.067953404800001</v>
      </c>
      <c r="J99" s="11">
        <f>[1]!EM_S_FA_NETPROFITMARGIN(B99,E99)</f>
        <v>18.245794765799999</v>
      </c>
      <c r="K99" s="10">
        <f>[1]!EM_S_FA_ASSETSTURN(B99,E99)</f>
        <v>0.29442164184500003</v>
      </c>
      <c r="L99" s="12">
        <f>[1]!EM_HKS_VAL_MV(B99,"2019-12-31","2")</f>
        <v>15682953000</v>
      </c>
      <c r="M99">
        <f>[1]!EM_S_VAL_PETTMDEDUCTED(B99,E99)</f>
        <v>-568.42613862149199</v>
      </c>
      <c r="N99" s="7">
        <f>[1]!EM_S_VAL_PBGOODWILLDEDUCTED(B99,E99)</f>
        <v>5.7913803334401699</v>
      </c>
      <c r="O99" s="7">
        <f>[1]!EM_S_VAL_PS_TTM(B99,E99)</f>
        <v>11.4187342449918</v>
      </c>
      <c r="P99" s="7">
        <f>[1]!EM_S_VAL_PCF_NCFTTM(B99,E99)</f>
        <v>-27.469461067723099</v>
      </c>
      <c r="Q99" s="7">
        <f>[1]!EM_S_VAL_DIVIDENDYIELD2(B99,E99,"2019-11-29")</f>
        <v>0</v>
      </c>
      <c r="T99"/>
      <c r="U99">
        <f>[1]!EM_S_RATIO_EPS_TTM(B99,E99,"1")</f>
        <v>5.4491822790159482E-2</v>
      </c>
      <c r="AT99" s="4" t="str">
        <f>[1]!EM_S_IPO_LISTEDDATE(B99)</f>
        <v>2011-01-28</v>
      </c>
    </row>
    <row r="100" spans="1:46">
      <c r="A100">
        <v>2242</v>
      </c>
      <c r="B100" t="str">
        <f>"600095"</f>
        <v>600095</v>
      </c>
      <c r="C100" t="s">
        <v>3342</v>
      </c>
      <c r="D100" t="str">
        <f>[1]!EM_S_INFO_INDEX_EM(B100,"1")</f>
        <v>房地产</v>
      </c>
      <c r="E100" s="4">
        <f t="shared" si="1"/>
        <v>43465</v>
      </c>
      <c r="F100" s="11">
        <f>[1]!EM_S_PQ_PCTCHANGE(B100,"2018-01-01","2019-12-31","3")</f>
        <v>59.343425019999998</v>
      </c>
      <c r="G100" s="11">
        <f>[1]!EM_S_PQ_PCTCHANGE(B100,"2018-12-31","2019-12-30","1")</f>
        <v>139.41018767</v>
      </c>
      <c r="H100" s="11">
        <f>[1]!EM_S_FA_YOY_OR(B100,E100)</f>
        <v>34.5237830007</v>
      </c>
      <c r="I100" s="11">
        <f>[1]!EM_S_FA_GROSSPROFITMARGIN(B100,E100)</f>
        <v>32.644784296799997</v>
      </c>
      <c r="J100" s="11">
        <f>[1]!EM_S_FA_NETPROFITMARGIN(B100,E100)</f>
        <v>5.9700556379999998</v>
      </c>
      <c r="K100" s="10">
        <f>[1]!EM_S_FA_ASSETSTURN(B100,E100)</f>
        <v>0.28568122624699999</v>
      </c>
      <c r="L100" s="12">
        <f>[1]!EM_HKS_VAL_MV(B100,"2019-12-31","2")</f>
        <v>3547608208.3000002</v>
      </c>
      <c r="M100">
        <f>[1]!EM_S_VAL_PETTMDEDUCTED(B100,E100)</f>
        <v>98.128342542007999</v>
      </c>
      <c r="N100" s="7">
        <f>[1]!EM_S_VAL_PBGOODWILLDEDUCTED(B100,E100)</f>
        <v>1.81029342893903</v>
      </c>
      <c r="O100" s="7">
        <f>[1]!EM_S_VAL_PS_TTM(B100,E100)</f>
        <v>5.7513816035737104</v>
      </c>
      <c r="P100" s="7">
        <f>[1]!EM_S_VAL_PCF_NCFTTM(B100,E100)</f>
        <v>-47.429610753473298</v>
      </c>
      <c r="Q100" s="7">
        <f>[1]!EM_S_VAL_DIVIDENDYIELD2(B100,E100,"2019-11-29")</f>
        <v>0.17218543046357618</v>
      </c>
      <c r="T100"/>
      <c r="U100">
        <f>[1]!EM_S_RATIO_EPS_TTM(B100,E100,"1")</f>
        <v>4.1899117421376274E-2</v>
      </c>
      <c r="AT100" s="4" t="str">
        <f>[1]!EM_S_IPO_LISTEDDATE(B100)</f>
        <v>1997-07-08</v>
      </c>
    </row>
    <row r="101" spans="1:46">
      <c r="A101">
        <v>906</v>
      </c>
      <c r="B101" t="str">
        <f>"002395"</f>
        <v>002395</v>
      </c>
      <c r="C101" t="s">
        <v>2880</v>
      </c>
      <c r="D101" t="str">
        <f>[1]!EM_S_INFO_INDEX_EM(B101,"1")</f>
        <v>基础化工</v>
      </c>
      <c r="E101" s="4">
        <f t="shared" si="1"/>
        <v>43465</v>
      </c>
      <c r="F101" s="11">
        <f>[1]!EM_S_PQ_PCTCHANGE(B101,"2018-01-01","2019-12-31","3")</f>
        <v>115.37545286</v>
      </c>
      <c r="G101" s="11">
        <f>[1]!EM_S_PQ_PCTCHANGE(B101,"2018-12-31","2019-12-30","1")</f>
        <v>139.38832252</v>
      </c>
      <c r="H101" s="11">
        <f>[1]!EM_S_FA_YOY_OR(B101,E101)</f>
        <v>9.5969469898999993</v>
      </c>
      <c r="I101" s="11">
        <f>[1]!EM_S_FA_GROSSPROFITMARGIN(B101,E101)</f>
        <v>10.8086601579</v>
      </c>
      <c r="J101" s="11">
        <f>[1]!EM_S_FA_NETPROFITMARGIN(B101,E101)</f>
        <v>2.5722898105000001</v>
      </c>
      <c r="K101" s="10">
        <f>[1]!EM_S_FA_ASSETSTURN(B101,E101)</f>
        <v>1.075109881315</v>
      </c>
      <c r="L101" s="12">
        <f>[1]!EM_HKS_VAL_MV(B101,"2019-12-31","2")</f>
        <v>4613194800</v>
      </c>
      <c r="M101">
        <f>[1]!EM_S_VAL_PETTMDEDUCTED(B101,E101)</f>
        <v>132.62231369812699</v>
      </c>
      <c r="N101" s="7">
        <f>[1]!EM_S_VAL_PBGOODWILLDEDUCTED(B101,E101)</f>
        <v>2.2490383818077202</v>
      </c>
      <c r="O101" s="7">
        <f>[1]!EM_S_VAL_PS_TTM(B101,E101)</f>
        <v>1.4353128257305801</v>
      </c>
      <c r="P101" s="7">
        <f>[1]!EM_S_VAL_PCF_NCFTTM(B101,E101)</f>
        <v>-6235.9477532115598</v>
      </c>
      <c r="Q101" s="7">
        <f>[1]!EM_S_VAL_DIVIDENDYIELD2(B101,E101,"2019-11-29")</f>
        <v>0.80128205128205121</v>
      </c>
      <c r="T101"/>
      <c r="U101">
        <f>[1]!EM_S_RATIO_EPS_TTM(B101,E101,"1")</f>
        <v>0.12437626830195855</v>
      </c>
      <c r="AT101" s="4" t="str">
        <f>[1]!EM_S_IPO_LISTEDDATE(B101)</f>
        <v>2010-04-29</v>
      </c>
    </row>
    <row r="102" spans="1:46">
      <c r="A102">
        <v>667</v>
      </c>
      <c r="B102" t="str">
        <f>"002156"</f>
        <v>002156</v>
      </c>
      <c r="C102" t="s">
        <v>2590</v>
      </c>
      <c r="D102" t="str">
        <f>[1]!EM_S_INFO_INDEX_EM(B102,"1")</f>
        <v>电子设备</v>
      </c>
      <c r="E102" s="4">
        <f t="shared" si="1"/>
        <v>43465</v>
      </c>
      <c r="F102" s="11">
        <f>[1]!EM_S_PQ_PCTCHANGE(B102,"2018-01-01","2019-12-31","3")</f>
        <v>25.018243210000001</v>
      </c>
      <c r="G102" s="11">
        <f>[1]!EM_S_PQ_PCTCHANGE(B102,"2018-12-31","2019-12-30","1")</f>
        <v>135.48387097</v>
      </c>
      <c r="H102" s="11">
        <f>[1]!EM_S_FA_YOY_OR(B102,E102)</f>
        <v>10.792764057299999</v>
      </c>
      <c r="I102" s="11">
        <f>[1]!EM_S_FA_GROSSPROFITMARGIN(B102,E102)</f>
        <v>15.9043382919</v>
      </c>
      <c r="J102" s="11">
        <f>[1]!EM_S_FA_NETPROFITMARGIN(B102,E102)</f>
        <v>2.1187086971000002</v>
      </c>
      <c r="K102" s="10">
        <f>[1]!EM_S_FA_ASSETSTURN(B102,E102)</f>
        <v>0.55316279695799997</v>
      </c>
      <c r="L102" s="12">
        <f>[1]!EM_HKS_VAL_MV(B102,"2019-12-31","2")</f>
        <v>18978440209.400002</v>
      </c>
      <c r="M102">
        <f>[1]!EM_S_VAL_PETTMDEDUCTED(B102,E102)</f>
        <v>107.887973487446</v>
      </c>
      <c r="N102" s="7">
        <f>[1]!EM_S_VAL_PBGOODWILLDEDUCTED(B102,E102)</f>
        <v>1.6228495937478</v>
      </c>
      <c r="O102" s="7">
        <f>[1]!EM_S_VAL_PS_TTM(B102,E102)</f>
        <v>1.1508719702124699</v>
      </c>
      <c r="P102" s="7">
        <f>[1]!EM_S_VAL_PCF_NCFTTM(B102,E102)</f>
        <v>13541.6622328911</v>
      </c>
      <c r="Q102" s="7">
        <f>[1]!EM_S_VAL_DIVIDENDYIELD2(B102,E102,"2019-11-29")</f>
        <v>0.29389017788089716</v>
      </c>
      <c r="T102"/>
      <c r="U102">
        <f>[1]!EM_S_RATIO_EPS_TTM(B102,E102,"1")</f>
        <v>0.11002778643751444</v>
      </c>
      <c r="AT102" s="4" t="str">
        <f>[1]!EM_S_IPO_LISTEDDATE(B102)</f>
        <v>2007-08-16</v>
      </c>
    </row>
    <row r="103" spans="1:46">
      <c r="A103">
        <v>882</v>
      </c>
      <c r="B103" t="str">
        <f>"002371"</f>
        <v>002371</v>
      </c>
      <c r="C103" t="s">
        <v>2712</v>
      </c>
      <c r="D103" t="str">
        <f>[1]!EM_S_INFO_INDEX_EM(B103,"1")</f>
        <v>电子设备</v>
      </c>
      <c r="E103" s="4">
        <f t="shared" si="1"/>
        <v>43465</v>
      </c>
      <c r="F103" s="11">
        <f>[1]!EM_S_PQ_PCTCHANGE(B103,"2018-01-01","2019-12-31","3")</f>
        <v>112.64186209</v>
      </c>
      <c r="G103" s="11">
        <f>[1]!EM_S_PQ_PCTCHANGE(B103,"2018-12-31","2019-12-30","1")</f>
        <v>134.66631355999999</v>
      </c>
      <c r="H103" s="11">
        <f>[1]!EM_S_FA_YOY_OR(B103,E103)</f>
        <v>49.533171595600002</v>
      </c>
      <c r="I103" s="11">
        <f>[1]!EM_S_FA_GROSSPROFITMARGIN(B103,E103)</f>
        <v>38.375533269899996</v>
      </c>
      <c r="J103" s="11">
        <f>[1]!EM_S_FA_NETPROFITMARGIN(B103,E103)</f>
        <v>8.5096686069</v>
      </c>
      <c r="K103" s="10">
        <f>[1]!EM_S_FA_ASSETSTURN(B103,E103)</f>
        <v>0.36632752553800002</v>
      </c>
      <c r="L103" s="12">
        <f>[1]!EM_HKS_VAL_MV(B103,"2019-12-31","2")</f>
        <v>43176916024</v>
      </c>
      <c r="M103">
        <f>[1]!EM_S_VAL_PETTMDEDUCTED(B103,E103)</f>
        <v>234.43336158213501</v>
      </c>
      <c r="N103" s="7">
        <f>[1]!EM_S_VAL_PBGOODWILLDEDUCTED(B103,E103)</f>
        <v>4.8995371739653697</v>
      </c>
      <c r="O103" s="7">
        <f>[1]!EM_S_VAL_PS_TTM(B103,E103)</f>
        <v>6.2337801762655696</v>
      </c>
      <c r="P103" s="7">
        <f>[1]!EM_S_VAL_PCF_NCFTTM(B103,E103)</f>
        <v>40.735078456769799</v>
      </c>
      <c r="Q103" s="7">
        <f>[1]!EM_S_VAL_DIVIDENDYIELD2(B103,E103,"2019-11-29")</f>
        <v>6.207221847554991E-2</v>
      </c>
      <c r="T103"/>
      <c r="U103">
        <f>[1]!EM_S_RATIO_EPS_TTM(B103,E103,"1")</f>
        <v>0.51023907009778502</v>
      </c>
      <c r="AT103" s="4" t="str">
        <f>[1]!EM_S_IPO_LISTEDDATE(B103)</f>
        <v>2010-03-16</v>
      </c>
    </row>
    <row r="104" spans="1:46">
      <c r="A104">
        <v>1728</v>
      </c>
      <c r="B104" t="str">
        <f>"300303"</f>
        <v>300303</v>
      </c>
      <c r="C104" t="s">
        <v>1372</v>
      </c>
      <c r="D104" t="str">
        <f>[1]!EM_S_INFO_INDEX_EM(B104,"1")</f>
        <v>电子设备</v>
      </c>
      <c r="E104" s="4">
        <f t="shared" si="1"/>
        <v>43465</v>
      </c>
      <c r="F104" s="11">
        <f>[1]!EM_S_PQ_PCTCHANGE(B104,"2018-01-01","2019-12-31","3")</f>
        <v>59.483372340000003</v>
      </c>
      <c r="G104" s="11">
        <f>[1]!EM_S_PQ_PCTCHANGE(B104,"2019-01-01","2019-12-31","3")</f>
        <v>133.6882239</v>
      </c>
      <c r="H104" s="11">
        <f>[1]!EM_S_FA_YOY_OR(B104,E104)</f>
        <v>14.105347264200001</v>
      </c>
      <c r="I104" s="11">
        <f>[1]!EM_S_FA_GROSSPROFITMARGIN(B104,E104)</f>
        <v>21.8626377555</v>
      </c>
      <c r="J104" s="11">
        <f>[1]!EM_S_FA_NETPROFITMARGIN(B104,E104)</f>
        <v>6.5205374082000001</v>
      </c>
      <c r="K104" s="10">
        <f>[1]!EM_S_FA_ASSETSTURN(B104,E104)</f>
        <v>0.71385403250000001</v>
      </c>
      <c r="L104" s="12">
        <f>[1]!EM_HKS_VAL_MV(B104,"2019-12-31","2")</f>
        <v>7173151095.9899998</v>
      </c>
      <c r="M104">
        <f>[1]!EM_S_VAL_PETTMDEDUCTED(B104,E104)</f>
        <v>59.142456032586601</v>
      </c>
      <c r="N104" s="7">
        <f>[1]!EM_S_VAL_PBGOODWILLDEDUCTED(B104,E104)</f>
        <v>1.62392789715444</v>
      </c>
      <c r="O104" s="7">
        <f>[1]!EM_S_VAL_PS_TTM(B104,E104)</f>
        <v>1.3033333947961701</v>
      </c>
      <c r="P104" s="7">
        <f>[1]!EM_S_VAL_PCF_NCFTTM(B104,E104)</f>
        <v>-102.037567095885</v>
      </c>
      <c r="Q104" s="7">
        <f>[1]!EM_S_VAL_DIVIDENDYIELD2(B104,E104,"2019-11-29")</f>
        <v>1.2040104706891426</v>
      </c>
      <c r="T104"/>
      <c r="U104">
        <f>[1]!EM_S_RATIO_EPS_TTM(B104,E104,"1")</f>
        <v>0.12556869588015757</v>
      </c>
      <c r="AT104" s="4" t="str">
        <f>[1]!EM_S_IPO_LISTEDDATE(B104)</f>
        <v>2012-03-19</v>
      </c>
    </row>
    <row r="105" spans="1:46">
      <c r="A105">
        <v>2119</v>
      </c>
      <c r="B105" t="str">
        <f>"300702"</f>
        <v>300702</v>
      </c>
      <c r="C105" t="s">
        <v>1705</v>
      </c>
      <c r="D105" t="str">
        <f>[1]!EM_S_INFO_INDEX_EM(B105,"1")</f>
        <v>医药生物</v>
      </c>
      <c r="E105" s="4">
        <f t="shared" si="1"/>
        <v>43465</v>
      </c>
      <c r="F105" s="11">
        <f>[1]!EM_S_PQ_PCTCHANGE(B105,"2018-01-01","2019-12-31","3")</f>
        <v>83.322098199999999</v>
      </c>
      <c r="G105" s="11">
        <f>[1]!EM_S_PQ_PCTCHANGE(B105,"2018-12-31","2019-12-30","1")</f>
        <v>132.95194508</v>
      </c>
      <c r="H105" s="11">
        <f>[1]!EM_S_FA_YOY_OR(B105,E105)</f>
        <v>23.451788610000001</v>
      </c>
      <c r="I105" s="11">
        <f>[1]!EM_S_FA_GROSSPROFITMARGIN(B105,E105)</f>
        <v>40.266254362300003</v>
      </c>
      <c r="J105" s="11">
        <f>[1]!EM_S_FA_NETPROFITMARGIN(B105,E105)</f>
        <v>11.1565657909</v>
      </c>
      <c r="K105" s="10">
        <f>[1]!EM_S_FA_ASSETSTURN(B105,E105)</f>
        <v>0.61949536093699997</v>
      </c>
      <c r="L105" s="12">
        <f>[1]!EM_HKS_VAL_MV(B105,"2019-12-31","2")</f>
        <v>9133829906.8799992</v>
      </c>
      <c r="M105">
        <f>[1]!EM_S_VAL_PETTMDEDUCTED(B105,E105)</f>
        <v>42.964605814516503</v>
      </c>
      <c r="N105" s="7">
        <f>[1]!EM_S_VAL_PBGOODWILLDEDUCTED(B105,E105)</f>
        <v>2.7495204855961801</v>
      </c>
      <c r="O105" s="7">
        <f>[1]!EM_S_VAL_PS_TTM(B105,E105)</f>
        <v>3.0383368702497102</v>
      </c>
      <c r="P105" s="7">
        <f>[1]!EM_S_VAL_PCF_NCFTTM(B105,E105)</f>
        <v>-8.2224652229774993</v>
      </c>
      <c r="Q105" s="7">
        <f>[1]!EM_S_VAL_DIVIDENDYIELD2(B105,E105,"2019-11-29")</f>
        <v>0.29856687898089168</v>
      </c>
      <c r="T105"/>
      <c r="U105">
        <f>[1]!EM_S_RATIO_EPS_TTM(B105,E105,"1")</f>
        <v>0.89915755705928824</v>
      </c>
      <c r="AT105" s="4" t="str">
        <f>[1]!EM_S_IPO_LISTEDDATE(B105)</f>
        <v>2017-09-19</v>
      </c>
    </row>
    <row r="106" spans="1:46">
      <c r="A106">
        <v>2998</v>
      </c>
      <c r="B106" t="str">
        <f>"600975"</f>
        <v>600975</v>
      </c>
      <c r="C106" t="s">
        <v>3267</v>
      </c>
      <c r="D106" t="str">
        <f>[1]!EM_S_INFO_INDEX_EM(B106,"1")</f>
        <v>农林牧渔</v>
      </c>
      <c r="E106" s="4">
        <f t="shared" si="1"/>
        <v>43465</v>
      </c>
      <c r="F106" s="11">
        <f>[1]!EM_S_PQ_PCTCHANGE(B106,"2018-01-01","2019-12-31","3")</f>
        <v>43.143050770000002</v>
      </c>
      <c r="G106" s="11">
        <f>[1]!EM_S_PQ_PCTCHANGE(B106,"2018-12-31","2019-12-30","1")</f>
        <v>132.24852071000001</v>
      </c>
      <c r="H106" s="11">
        <f>[1]!EM_S_FA_YOY_OR(B106,E106)</f>
        <v>18.408962600799999</v>
      </c>
      <c r="I106" s="11">
        <f>[1]!EM_S_FA_GROSSPROFITMARGIN(B106,E106)</f>
        <v>3.3904156451</v>
      </c>
      <c r="J106" s="11">
        <f>[1]!EM_S_FA_NETPROFITMARGIN(B106,E106)</f>
        <v>-1.8326689976999999</v>
      </c>
      <c r="K106" s="10">
        <f>[1]!EM_S_FA_ASSETSTURN(B106,E106)</f>
        <v>1.2106248250780001</v>
      </c>
      <c r="L106" s="12">
        <f>[1]!EM_HKS_VAL_MV(B106,"2019-12-31","2")</f>
        <v>5247511695.3599997</v>
      </c>
      <c r="M106">
        <f>[1]!EM_S_VAL_PETTMDEDUCTED(B106,E106)</f>
        <v>-33.700346603617398</v>
      </c>
      <c r="N106" s="7">
        <f>[1]!EM_S_VAL_PBGOODWILLDEDUCTED(B106,E106)</f>
        <v>2.00130595585847</v>
      </c>
      <c r="O106" s="7">
        <f>[1]!EM_S_VAL_PS_TTM(B106,E106)</f>
        <v>1.34325470084084</v>
      </c>
      <c r="P106" s="7">
        <f>[1]!EM_S_VAL_PCF_NCFTTM(B106,E106)</f>
        <v>-1128.17912742211</v>
      </c>
      <c r="Q106" s="7">
        <f>[1]!EM_S_VAL_DIVIDENDYIELD2(B106,E106,"2019-11-29")</f>
        <v>0</v>
      </c>
      <c r="T106"/>
      <c r="U106">
        <f>[1]!EM_S_RATIO_EPS_TTM(B106,E106,"1")</f>
        <v>-5.490982769779848E-2</v>
      </c>
      <c r="AT106" s="4" t="str">
        <f>[1]!EM_S_IPO_LISTEDDATE(B106)</f>
        <v>2004-06-09</v>
      </c>
    </row>
    <row r="107" spans="1:46">
      <c r="A107">
        <v>2885</v>
      </c>
      <c r="B107" t="str">
        <f>"600812"</f>
        <v>600812</v>
      </c>
      <c r="C107" t="s">
        <v>2678</v>
      </c>
      <c r="D107" t="str">
        <f>[1]!EM_S_INFO_INDEX_EM(B107,"1")</f>
        <v>医药生物</v>
      </c>
      <c r="E107" s="4">
        <f t="shared" si="1"/>
        <v>43465</v>
      </c>
      <c r="F107" s="11">
        <f>[1]!EM_S_PQ_PCTCHANGE(B107,"2018-01-01","2019-12-31","3")</f>
        <v>101.03290883</v>
      </c>
      <c r="G107" s="11">
        <f>[1]!EM_S_PQ_PCTCHANGE(B107,"2018-12-31","2019-12-30","1")</f>
        <v>132</v>
      </c>
      <c r="H107" s="11">
        <f>[1]!EM_S_FA_YOY_OR(B107,E107)</f>
        <v>19.517831365399999</v>
      </c>
      <c r="I107" s="11">
        <f>[1]!EM_S_FA_GROSSPROFITMARGIN(B107,E107)</f>
        <v>42.188075532299997</v>
      </c>
      <c r="J107" s="11">
        <f>[1]!EM_S_FA_NETPROFITMARGIN(B107,E107)</f>
        <v>1.5825947695</v>
      </c>
      <c r="K107" s="10">
        <f>[1]!EM_S_FA_ASSETSTURN(B107,E107)</f>
        <v>0.52547575293600002</v>
      </c>
      <c r="L107" s="12">
        <f>[1]!EM_HKS_VAL_MV(B107,"2019-12-31","2")</f>
        <v>16047118533.360001</v>
      </c>
      <c r="M107">
        <f>[1]!EM_S_VAL_PETTMDEDUCTED(B107,E107)</f>
        <v>290.42912343069901</v>
      </c>
      <c r="N107" s="7">
        <f>[1]!EM_S_VAL_PBGOODWILLDEDUCTED(B107,E107)</f>
        <v>1.1993133781410801</v>
      </c>
      <c r="O107" s="7">
        <f>[1]!EM_S_VAL_PS_TTM(B107,E107)</f>
        <v>0.71755292697837703</v>
      </c>
      <c r="P107" s="7">
        <f>[1]!EM_S_VAL_PCF_NCFTTM(B107,E107)</f>
        <v>-237.675051779824</v>
      </c>
      <c r="Q107" s="7">
        <f>[1]!EM_S_VAL_DIVIDENDYIELD2(B107,E107,"2019-11-29")</f>
        <v>0.41958041958041958</v>
      </c>
      <c r="T107"/>
      <c r="U107">
        <f>[1]!EM_S_RATIO_EPS_TTM(B107,E107,"1")</f>
        <v>9.237551078992487E-2</v>
      </c>
      <c r="AT107" s="4" t="str">
        <f>[1]!EM_S_IPO_LISTEDDATE(B107)</f>
        <v>1994-01-14</v>
      </c>
    </row>
    <row r="108" spans="1:46">
      <c r="A108">
        <v>1632</v>
      </c>
      <c r="B108" t="str">
        <f>"300207"</f>
        <v>300207</v>
      </c>
      <c r="C108" t="s">
        <v>541</v>
      </c>
      <c r="D108" t="str">
        <f>[1]!EM_S_INFO_INDEX_EM(B108,"1")</f>
        <v>电子设备</v>
      </c>
      <c r="E108" s="4">
        <f t="shared" si="1"/>
        <v>43465</v>
      </c>
      <c r="F108" s="11">
        <f>[1]!EM_S_PQ_PCTCHANGE(B108,"2018-01-01","2019-12-31","3")</f>
        <v>105.96328167</v>
      </c>
      <c r="G108" s="11">
        <f>[1]!EM_S_PQ_PCTCHANGE(B108,"2018-12-31","2019-12-30","1")</f>
        <v>131.66472643</v>
      </c>
      <c r="H108" s="11">
        <f>[1]!EM_S_FA_YOY_OR(B108,E108)</f>
        <v>44.809341359699999</v>
      </c>
      <c r="I108" s="11">
        <f>[1]!EM_S_FA_GROSSPROFITMARGIN(B108,E108)</f>
        <v>14.8348914012</v>
      </c>
      <c r="J108" s="11">
        <f>[1]!EM_S_FA_NETPROFITMARGIN(B108,E108)</f>
        <v>3.4705914054</v>
      </c>
      <c r="K108" s="10">
        <f>[1]!EM_S_FA_ASSETSTURN(B108,E108)</f>
        <v>1.2817311646339999</v>
      </c>
      <c r="L108" s="12">
        <f>[1]!EM_HKS_VAL_MV(B108,"2019-12-31","2")</f>
        <v>30212044864</v>
      </c>
      <c r="M108">
        <f>[1]!EM_S_VAL_PETTMDEDUCTED(B108,E108)</f>
        <v>25.441329329088301</v>
      </c>
      <c r="N108" s="7">
        <f>[1]!EM_S_VAL_PBGOODWILLDEDUCTED(B108,E108)</f>
        <v>2.5143963769393198</v>
      </c>
      <c r="O108" s="7">
        <f>[1]!EM_S_VAL_PS_TTM(B108,E108)</f>
        <v>0.73400629121489602</v>
      </c>
      <c r="P108" s="7">
        <f>[1]!EM_S_VAL_PCF_NCFTTM(B108,E108)</f>
        <v>36.416667684331898</v>
      </c>
      <c r="Q108" s="7">
        <f>[1]!EM_S_VAL_DIVIDENDYIELD2(B108,E108,"2019-11-29")</f>
        <v>0.74017245304496293</v>
      </c>
      <c r="T108"/>
      <c r="U108">
        <f>[1]!EM_S_RATIO_EPS_TTM(B108,E108,"1")</f>
        <v>0.45317658410414013</v>
      </c>
      <c r="AT108" s="4" t="str">
        <f>[1]!EM_S_IPO_LISTEDDATE(B108)</f>
        <v>2011-04-21</v>
      </c>
    </row>
    <row r="109" spans="1:46">
      <c r="A109">
        <v>3384</v>
      </c>
      <c r="B109" t="str">
        <f>"603369"</f>
        <v>603369</v>
      </c>
      <c r="C109" t="s">
        <v>99</v>
      </c>
      <c r="D109" t="str">
        <f>[1]!EM_S_INFO_INDEX_EM(B109,"1")</f>
        <v>食品饮料</v>
      </c>
      <c r="E109" s="4">
        <f t="shared" si="1"/>
        <v>43465</v>
      </c>
      <c r="F109" s="11">
        <f>[1]!EM_S_PQ_PCTCHANGE(B109,"2018-01-01","2019-12-31","3")</f>
        <v>116.21609239</v>
      </c>
      <c r="G109" s="11">
        <f>[1]!EM_S_PQ_PCTCHANGE(B109,"2019-01-01","2019-12-31","3")</f>
        <v>128.65725936000001</v>
      </c>
      <c r="H109" s="11">
        <f>[1]!EM_S_FA_YOY_OR(B109,E109)</f>
        <v>26.550475154000001</v>
      </c>
      <c r="I109" s="11">
        <f>[1]!EM_S_FA_GROSSPROFITMARGIN(B109,E109)</f>
        <v>72.871148356500001</v>
      </c>
      <c r="J109" s="11">
        <f>[1]!EM_S_FA_NETPROFITMARGIN(B109,E109)</f>
        <v>30.801120480800002</v>
      </c>
      <c r="K109" s="10">
        <f>[1]!EM_S_FA_ASSETSTURN(B109,E109)</f>
        <v>0.47320827876100002</v>
      </c>
      <c r="L109" s="12">
        <f>[1]!EM_HKS_VAL_MV(B109,"2019-12-31","2")</f>
        <v>41047240000</v>
      </c>
      <c r="M109">
        <f>[1]!EM_S_VAL_PETTMDEDUCTED(B109,E109)</f>
        <v>16.292353202332599</v>
      </c>
      <c r="N109" s="7">
        <f>[1]!EM_S_VAL_PBGOODWILLDEDUCTED(B109,E109)</f>
        <v>2.9825590115303</v>
      </c>
      <c r="O109" s="7">
        <f>[1]!EM_S_VAL_PS_TTM(B109,E109)</f>
        <v>4.8818735322795499</v>
      </c>
      <c r="P109" s="7">
        <f>[1]!EM_S_VAL_PCF_NCFTTM(B109,E109)</f>
        <v>-105.529499140025</v>
      </c>
      <c r="Q109" s="7">
        <f>[1]!EM_S_VAL_DIVIDENDYIELD2(B109,E109,"2019-11-29")</f>
        <v>1.0934393638170974</v>
      </c>
      <c r="U109">
        <f>[1]!EM_S_RATIO_EPS_TTM(B109,E109,"1")</f>
        <v>0.91726638742128341</v>
      </c>
      <c r="AT109" s="4" t="str">
        <f>[1]!EM_S_IPO_LISTEDDATE(B109)</f>
        <v>2014-07-03</v>
      </c>
    </row>
    <row r="110" spans="1:46">
      <c r="A110">
        <v>2057</v>
      </c>
      <c r="B110" t="str">
        <f>"300638"</f>
        <v>300638</v>
      </c>
      <c r="C110" t="s">
        <v>1520</v>
      </c>
      <c r="D110" t="str">
        <f>[1]!EM_S_INFO_INDEX_EM(B110,"1")</f>
        <v>信息技术</v>
      </c>
      <c r="E110" s="4">
        <f t="shared" si="1"/>
        <v>43465</v>
      </c>
      <c r="F110" s="11">
        <f>[1]!EM_S_PQ_PCTCHANGE(B110,"2018-01-01","2019-12-31","3")</f>
        <v>110.38337657</v>
      </c>
      <c r="G110" s="11">
        <f>[1]!EM_S_PQ_PCTCHANGE(B110,"2018-12-31","2019-12-30","1")</f>
        <v>128.34360275</v>
      </c>
      <c r="H110" s="11">
        <f>[1]!EM_S_FA_YOY_OR(B110,E110)</f>
        <v>121.74527930310001</v>
      </c>
      <c r="I110" s="11">
        <f>[1]!EM_S_FA_GROSSPROFITMARGIN(B110,E110)</f>
        <v>23.194428974099999</v>
      </c>
      <c r="J110" s="11">
        <f>[1]!EM_S_FA_NETPROFITMARGIN(B110,E110)</f>
        <v>6.9487496289999999</v>
      </c>
      <c r="K110" s="10">
        <f>[1]!EM_S_FA_ASSETSTURN(B110,E110)</f>
        <v>1.5448116227899999</v>
      </c>
      <c r="L110" s="12">
        <f>[1]!EM_HKS_VAL_MV(B110,"2019-12-31","2")</f>
        <v>8415857653.5</v>
      </c>
      <c r="M110">
        <f>[1]!EM_S_VAL_PETTMDEDUCTED(B110,E110)</f>
        <v>47.123757066570199</v>
      </c>
      <c r="N110" s="7">
        <f>[1]!EM_S_VAL_PBGOODWILLDEDUCTED(B110,E110)</f>
        <v>7.7106060400284901</v>
      </c>
      <c r="O110" s="7">
        <f>[1]!EM_S_VAL_PS_TTM(B110,E110)</f>
        <v>3.0014369754874002</v>
      </c>
      <c r="P110" s="7">
        <f>[1]!EM_S_VAL_PCF_NCFTTM(B110,E110)</f>
        <v>40.6351255787432</v>
      </c>
      <c r="Q110" s="7">
        <f>[1]!EM_S_VAL_DIVIDENDYIELD2(B110,E110,"2019-11-29")</f>
        <v>0.38424843840988482</v>
      </c>
      <c r="T110"/>
      <c r="U110">
        <f>[1]!EM_S_RATIO_EPS_TTM(B110,E110,"1")</f>
        <v>0.71621346611810022</v>
      </c>
      <c r="AT110" s="4" t="str">
        <f>[1]!EM_S_IPO_LISTEDDATE(B110)</f>
        <v>2017-04-13</v>
      </c>
    </row>
    <row r="111" spans="1:46">
      <c r="A111">
        <v>1194</v>
      </c>
      <c r="B111" t="str">
        <f>"002683"</f>
        <v>002683</v>
      </c>
      <c r="C111" t="s">
        <v>2852</v>
      </c>
      <c r="D111" t="str">
        <f>[1]!EM_S_INFO_INDEX_EM(B111,"1")</f>
        <v>机械设备</v>
      </c>
      <c r="E111" s="4">
        <f t="shared" si="1"/>
        <v>43465</v>
      </c>
      <c r="F111" s="11">
        <f>[1]!EM_S_PQ_PCTCHANGE(B111,"2018-01-01","2019-12-31","3")</f>
        <v>161.9773472</v>
      </c>
      <c r="G111" s="11">
        <f>[1]!EM_S_PQ_PCTCHANGE(B111,"2018-12-31","2019-12-30","1")</f>
        <v>126.9744836</v>
      </c>
      <c r="H111" s="11">
        <f>[1]!EM_S_FA_YOY_OR(B111,E111)</f>
        <v>14.9261484978</v>
      </c>
      <c r="I111" s="11">
        <f>[1]!EM_S_FA_GROSSPROFITMARGIN(B111,E111)</f>
        <v>21.468331399099998</v>
      </c>
      <c r="J111" s="11">
        <f>[1]!EM_S_FA_NETPROFITMARGIN(B111,E111)</f>
        <v>5.7847565181</v>
      </c>
      <c r="K111" s="10">
        <f>[1]!EM_S_FA_ASSETSTURN(B111,E111)</f>
        <v>0.70612942498800002</v>
      </c>
      <c r="L111" s="12">
        <f>[1]!EM_HKS_VAL_MV(B111,"2019-12-31","2")</f>
        <v>13329003726.35</v>
      </c>
      <c r="M111">
        <f>[1]!EM_S_VAL_PETTMDEDUCTED(B111,E111)</f>
        <v>28.597699985071898</v>
      </c>
      <c r="N111" s="7">
        <f>[1]!EM_S_VAL_PBGOODWILLDEDUCTED(B111,E111)</f>
        <v>2.7939565744390902</v>
      </c>
      <c r="O111" s="7">
        <f>[1]!EM_S_VAL_PS_TTM(B111,E111)</f>
        <v>1.2723735567594801</v>
      </c>
      <c r="P111" s="7">
        <f>[1]!EM_S_VAL_PCF_NCFTTM(B111,E111)</f>
        <v>-42.449781988086201</v>
      </c>
      <c r="Q111" s="7">
        <f>[1]!EM_S_VAL_DIVIDENDYIELD2(B111,E111,"2019-11-29")</f>
        <v>1.0980966325036601</v>
      </c>
      <c r="T111"/>
      <c r="U111">
        <f>[1]!EM_S_RATIO_EPS_TTM(B111,E111,"1")</f>
        <v>0.30269829764890077</v>
      </c>
      <c r="AT111" s="4" t="str">
        <f>[1]!EM_S_IPO_LISTEDDATE(B111)</f>
        <v>2012-06-12</v>
      </c>
    </row>
    <row r="112" spans="1:46">
      <c r="A112">
        <v>1438</v>
      </c>
      <c r="B112" t="str">
        <f>"300012"</f>
        <v>300012</v>
      </c>
      <c r="C112" t="s">
        <v>3371</v>
      </c>
      <c r="D112" t="str">
        <f>[1]!EM_S_INFO_INDEX_EM(B112,"1")</f>
        <v>休闲、生活及专业服务</v>
      </c>
      <c r="E112" s="4">
        <f t="shared" si="1"/>
        <v>43465</v>
      </c>
      <c r="F112" s="11">
        <f>[1]!EM_S_PQ_PCTCHANGE(B112,"2018-01-01","2019-12-31","3")</f>
        <v>236.74432207000001</v>
      </c>
      <c r="G112" s="11">
        <f>[1]!EM_S_PQ_PCTCHANGE(B112,"2018-12-31","2019-12-30","1")</f>
        <v>126.87022901</v>
      </c>
      <c r="H112" s="11">
        <f>[1]!EM_S_FA_YOY_OR(B112,E112)</f>
        <v>26.5622979951</v>
      </c>
      <c r="I112" s="11">
        <f>[1]!EM_S_FA_GROSSPROFITMARGIN(B112,E112)</f>
        <v>44.7989263471</v>
      </c>
      <c r="J112" s="11">
        <f>[1]!EM_S_FA_NETPROFITMARGIN(B112,E112)</f>
        <v>10.5401358413</v>
      </c>
      <c r="K112" s="10">
        <f>[1]!EM_S_FA_ASSETSTURN(B112,E112)</f>
        <v>0.70774529430499999</v>
      </c>
      <c r="L112" s="12">
        <f>[1]!EM_HKS_VAL_MV(B112,"2019-12-31","2")</f>
        <v>24713782945.740002</v>
      </c>
      <c r="M112">
        <f>[1]!EM_S_VAL_PETTMDEDUCTED(B112,E112)</f>
        <v>84.825801796611103</v>
      </c>
      <c r="N112" s="7">
        <f>[1]!EM_S_VAL_PBGOODWILLDEDUCTED(B112,E112)</f>
        <v>4.26423059778827</v>
      </c>
      <c r="O112" s="7">
        <f>[1]!EM_S_VAL_PS_TTM(B112,E112)</f>
        <v>4.2768811869205896</v>
      </c>
      <c r="P112" s="7">
        <f>[1]!EM_S_VAL_PCF_NCFTTM(B112,E112)</f>
        <v>-1019.01401882762</v>
      </c>
      <c r="Q112" s="7">
        <f>[1]!EM_S_VAL_DIVIDENDYIELD2(B112,E112,"2019-11-29")</f>
        <v>0.25773195876288657</v>
      </c>
      <c r="T112"/>
      <c r="U112">
        <f>[1]!EM_S_RATIO_EPS_TTM(B112,E112,"1")</f>
        <v>0.16288306246734199</v>
      </c>
      <c r="AT112" s="4" t="str">
        <f>[1]!EM_S_IPO_LISTEDDATE(B112)</f>
        <v>2009-10-30</v>
      </c>
    </row>
    <row r="113" spans="1:46">
      <c r="A113">
        <v>1974</v>
      </c>
      <c r="B113" t="str">
        <f>"300551"</f>
        <v>300551</v>
      </c>
      <c r="C113" t="s">
        <v>3544</v>
      </c>
      <c r="D113" t="str">
        <f>[1]!EM_S_INFO_INDEX_EM(B113,"1")</f>
        <v>机械设备</v>
      </c>
      <c r="E113" s="4">
        <f t="shared" si="1"/>
        <v>43465</v>
      </c>
      <c r="F113" s="11">
        <f>[1]!EM_S_PQ_PCTCHANGE(B113,"2018-01-01","2019-12-31","3")</f>
        <v>58.668518570000003</v>
      </c>
      <c r="G113" s="11">
        <f>[1]!EM_S_PQ_PCTCHANGE(B113,"2018-12-31","2019-12-30","1")</f>
        <v>126.24113475</v>
      </c>
      <c r="H113" s="11">
        <f>[1]!EM_S_FA_YOY_OR(B113,E113)</f>
        <v>10.101849920599999</v>
      </c>
      <c r="I113" s="11">
        <f>[1]!EM_S_FA_GROSSPROFITMARGIN(B113,E113)</f>
        <v>47.725894700700003</v>
      </c>
      <c r="J113" s="11">
        <f>[1]!EM_S_FA_NETPROFITMARGIN(B113,E113)</f>
        <v>4.8144843575999996</v>
      </c>
      <c r="K113" s="10">
        <f>[1]!EM_S_FA_ASSETSTURN(B113,E113)</f>
        <v>0.36043921155600001</v>
      </c>
      <c r="L113" s="12">
        <f>[1]!EM_HKS_VAL_MV(B113,"2019-12-31","2")</f>
        <v>3161804800</v>
      </c>
      <c r="M113">
        <f>[1]!EM_S_VAL_PETTMDEDUCTED(B113,E113)</f>
        <v>259.67060351885601</v>
      </c>
      <c r="N113" s="7">
        <f>[1]!EM_S_VAL_PBGOODWILLDEDUCTED(B113,E113)</f>
        <v>2.3297978088541398</v>
      </c>
      <c r="O113" s="7">
        <f>[1]!EM_S_VAL_PS_TTM(B113,E113)</f>
        <v>5.6573152054270599</v>
      </c>
      <c r="P113" s="7">
        <f>[1]!EM_S_VAL_PCF_NCFTTM(B113,E113)</f>
        <v>162.11103408310299</v>
      </c>
      <c r="Q113" s="7">
        <f>[1]!EM_S_VAL_DIVIDENDYIELD2(B113,E113,"2019-11-29")</f>
        <v>9.3619070436032584E-2</v>
      </c>
      <c r="T113"/>
      <c r="U113">
        <f>[1]!EM_S_RATIO_EPS_TTM(B113,E113,"1")</f>
        <v>0.11499760468920392</v>
      </c>
      <c r="AT113" s="4" t="str">
        <f>[1]!EM_S_IPO_LISTEDDATE(B113)</f>
        <v>2016-10-18</v>
      </c>
    </row>
    <row r="114" spans="1:46">
      <c r="A114">
        <v>358</v>
      </c>
      <c r="B114" t="str">
        <f>"000799"</f>
        <v>000799</v>
      </c>
      <c r="C114" t="s">
        <v>780</v>
      </c>
      <c r="D114" t="str">
        <f>[1]!EM_S_INFO_INDEX_EM(B114,"1")</f>
        <v>食品饮料</v>
      </c>
      <c r="E114" s="4">
        <f t="shared" si="1"/>
        <v>43465</v>
      </c>
      <c r="F114" s="11">
        <f>[1]!EM_S_PQ_PCTCHANGE(B114,"2018-01-01","2019-12-31","3")</f>
        <v>32.356363600000002</v>
      </c>
      <c r="G114" s="11">
        <f>[1]!EM_S_PQ_PCTCHANGE(B114,"2019-01-01","2019-12-31","3")</f>
        <v>125.75507406</v>
      </c>
      <c r="H114" s="11">
        <f>[1]!EM_S_FA_YOY_OR(B114,E114)</f>
        <v>35.129396224799997</v>
      </c>
      <c r="I114" s="11">
        <f>[1]!EM_S_FA_GROSSPROFITMARGIN(B114,E114)</f>
        <v>78.834250674800003</v>
      </c>
      <c r="J114" s="11">
        <f>[1]!EM_S_FA_NETPROFITMARGIN(B114,E114)</f>
        <v>18.7616367848</v>
      </c>
      <c r="K114" s="10">
        <f>[1]!EM_S_FA_ASSETSTURN(B114,E114)</f>
        <v>0.438629104198</v>
      </c>
      <c r="L114" s="12">
        <f>[1]!EM_HKS_VAL_MV(B114,"2019-12-31","2")</f>
        <v>11648703933</v>
      </c>
      <c r="M114">
        <f>[1]!EM_S_VAL_PETTMDEDUCTED(B114,E114)</f>
        <v>25.420818726525699</v>
      </c>
      <c r="N114" s="7">
        <f>[1]!EM_S_VAL_PBGOODWILLDEDUCTED(B114,E114)</f>
        <v>2.3822205144594601</v>
      </c>
      <c r="O114" s="7">
        <f>[1]!EM_S_VAL_PS_TTM(B114,E114)</f>
        <v>4.7769276855666103</v>
      </c>
      <c r="P114" s="7">
        <f>[1]!EM_S_VAL_PCF_NCFTTM(B114,E114)</f>
        <v>13.007023866575301</v>
      </c>
      <c r="Q114" s="7">
        <f>[1]!EM_S_VAL_DIVIDENDYIELD2(B114,E114,"2019-11-29")</f>
        <v>0.39609189331925004</v>
      </c>
      <c r="T114"/>
      <c r="U114">
        <f>[1]!EM_S_RATIO_EPS_TTM(B114,E114,"1")</f>
        <v>0.68531543572998621</v>
      </c>
      <c r="AT114" s="4" t="str">
        <f>[1]!EM_S_IPO_LISTEDDATE(B114)</f>
        <v>1997-07-18</v>
      </c>
    </row>
    <row r="115" spans="1:46">
      <c r="A115">
        <v>1770</v>
      </c>
      <c r="B115" t="str">
        <f>"300345"</f>
        <v>300345</v>
      </c>
      <c r="C115" t="s">
        <v>3076</v>
      </c>
      <c r="D115" t="str">
        <f>[1]!EM_S_INFO_INDEX_EM(B115,"1")</f>
        <v>机械设备</v>
      </c>
      <c r="E115" s="4">
        <f t="shared" si="1"/>
        <v>43465</v>
      </c>
      <c r="F115" s="11">
        <f>[1]!EM_S_PQ_PCTCHANGE(B115,"2018-01-01","2019-12-31","3")</f>
        <v>16.566265059999999</v>
      </c>
      <c r="G115" s="11">
        <f>[1]!EM_S_PQ_PCTCHANGE(B115,"2018-12-31","2019-12-30","1")</f>
        <v>125.57471264</v>
      </c>
      <c r="H115" s="11">
        <f>[1]!EM_S_FA_YOY_OR(B115,E115)</f>
        <v>-30.8106524606</v>
      </c>
      <c r="I115" s="11">
        <f>[1]!EM_S_FA_GROSSPROFITMARGIN(B115,E115)</f>
        <v>5.8647590442000004</v>
      </c>
      <c r="J115" s="11">
        <f>[1]!EM_S_FA_NETPROFITMARGIN(B115,E115)</f>
        <v>-285.16375796459999</v>
      </c>
      <c r="K115" s="10">
        <f>[1]!EM_S_FA_ASSETSTURN(B115,E115)</f>
        <v>0.12706333913599999</v>
      </c>
      <c r="L115" s="12">
        <f>[1]!EM_HKS_VAL_MV(B115,"2019-12-31","2")</f>
        <v>3415627038.4200001</v>
      </c>
      <c r="M115">
        <f>[1]!EM_S_VAL_PETTMDEDUCTED(B115,E115)</f>
        <v>-14.807438327939799</v>
      </c>
      <c r="N115" s="7">
        <f>[1]!EM_S_VAL_PBGOODWILLDEDUCTED(B115,E115)</f>
        <v>3.4392809982269501</v>
      </c>
      <c r="O115" s="7">
        <f>[1]!EM_S_VAL_PS_TTM(B115,E115)</f>
        <v>12.9134327647579</v>
      </c>
      <c r="P115" s="7">
        <f>[1]!EM_S_VAL_PCF_NCFTTM(B115,E115)</f>
        <v>-20.068008799712601</v>
      </c>
      <c r="Q115" s="7">
        <f>[1]!EM_S_VAL_DIVIDENDYIELD2(B115,E115,"2019-11-29")</f>
        <v>0</v>
      </c>
      <c r="T115"/>
      <c r="U115">
        <f>[1]!EM_S_RATIO_EPS_TTM(B115,E115,"1")</f>
        <v>-0.6462127299408591</v>
      </c>
      <c r="AT115" s="4" t="str">
        <f>[1]!EM_S_IPO_LISTEDDATE(B115)</f>
        <v>2012-08-01</v>
      </c>
    </row>
    <row r="116" spans="1:46">
      <c r="A116">
        <v>3580</v>
      </c>
      <c r="B116" t="str">
        <f>"603882"</f>
        <v>603882</v>
      </c>
      <c r="C116" t="s">
        <v>2634</v>
      </c>
      <c r="D116" t="str">
        <f>[1]!EM_S_INFO_INDEX_EM(B116,"1")</f>
        <v>医药生物</v>
      </c>
      <c r="E116" s="4">
        <f t="shared" si="1"/>
        <v>43465</v>
      </c>
      <c r="F116" s="11">
        <f>[1]!EM_S_PQ_PCTCHANGE(B116,"2018-01-01","2019-12-31","3")</f>
        <v>62.919398770000001</v>
      </c>
      <c r="G116" s="11">
        <f>[1]!EM_S_PQ_PCTCHANGE(B116,"2018-12-31","2019-12-30","1")</f>
        <v>125.08976661</v>
      </c>
      <c r="H116" s="11">
        <f>[1]!EM_S_FA_YOY_OR(B116,E116)</f>
        <v>19.345721552000001</v>
      </c>
      <c r="I116" s="11">
        <f>[1]!EM_S_FA_GROSSPROFITMARGIN(B116,E116)</f>
        <v>38.832597846500001</v>
      </c>
      <c r="J116" s="11">
        <f>[1]!EM_S_FA_NETPROFITMARGIN(B116,E116)</f>
        <v>5.6437473922999999</v>
      </c>
      <c r="K116" s="10">
        <f>[1]!EM_S_FA_ASSETSTURN(B116,E116)</f>
        <v>1.2434630347390001</v>
      </c>
      <c r="L116" s="12">
        <f>[1]!EM_HKS_VAL_MV(B116,"2019-12-31","2")</f>
        <v>23452848033.939999</v>
      </c>
      <c r="M116">
        <f>[1]!EM_S_VAL_PETTMDEDUCTED(B116,E116)</f>
        <v>65.107960182551807</v>
      </c>
      <c r="N116" s="7">
        <f>[1]!EM_S_VAL_PBGOODWILLDEDUCTED(B116,E116)</f>
        <v>5.39208105967582</v>
      </c>
      <c r="O116" s="7">
        <f>[1]!EM_S_VAL_PS_TTM(B116,E116)</f>
        <v>2.36739666999856</v>
      </c>
      <c r="P116" s="7">
        <f>[1]!EM_S_VAL_PCF_NCFTTM(B116,E116)</f>
        <v>-176.465427276946</v>
      </c>
      <c r="Q116" s="7">
        <f>[1]!EM_S_VAL_DIVIDENDYIELD2(B116,E116,"2019-11-29")</f>
        <v>0.22222222222222227</v>
      </c>
      <c r="T116"/>
      <c r="U116">
        <f>[1]!EM_S_RATIO_EPS_TTM(B116,E116,"1")</f>
        <v>0.50956380221122843</v>
      </c>
      <c r="AT116" s="4" t="str">
        <f>[1]!EM_S_IPO_LISTEDDATE(B116)</f>
        <v>2017-09-08</v>
      </c>
    </row>
    <row r="117" spans="1:46">
      <c r="A117">
        <v>2007</v>
      </c>
      <c r="B117" t="str">
        <f>"300586"</f>
        <v>300586</v>
      </c>
      <c r="C117" t="s">
        <v>1385</v>
      </c>
      <c r="D117" t="str">
        <f>[1]!EM_S_INFO_INDEX_EM(B117,"1")</f>
        <v>基础化工</v>
      </c>
      <c r="E117" s="4">
        <f t="shared" si="1"/>
        <v>43465</v>
      </c>
      <c r="F117" s="11">
        <f>[1]!EM_S_PQ_PCTCHANGE(B117,"2018-01-01","2019-12-31","3")</f>
        <v>107.9314471</v>
      </c>
      <c r="G117" s="11">
        <f>[1]!EM_S_PQ_PCTCHANGE(B117,"2018-12-31","2019-12-30","1")</f>
        <v>124.83091786999999</v>
      </c>
      <c r="H117" s="11">
        <f>[1]!EM_S_FA_YOY_OR(B117,E117)</f>
        <v>25.762045525400001</v>
      </c>
      <c r="I117" s="11">
        <f>[1]!EM_S_FA_GROSSPROFITMARGIN(B117,E117)</f>
        <v>20.838930185500001</v>
      </c>
      <c r="J117" s="11">
        <f>[1]!EM_S_FA_NETPROFITMARGIN(B117,E117)</f>
        <v>10.843574669600001</v>
      </c>
      <c r="K117" s="10">
        <f>[1]!EM_S_FA_ASSETSTURN(B117,E117)</f>
        <v>0.65657211209099997</v>
      </c>
      <c r="L117" s="12">
        <f>[1]!EM_HKS_VAL_MV(B117,"2019-12-31","2")</f>
        <v>5100000000</v>
      </c>
      <c r="M117">
        <f>[1]!EM_S_VAL_PETTMDEDUCTED(B117,E117)</f>
        <v>54.714418484794599</v>
      </c>
      <c r="N117" s="7">
        <f>[1]!EM_S_VAL_PBGOODWILLDEDUCTED(B117,E117)</f>
        <v>4.1098943317085297</v>
      </c>
      <c r="O117" s="7">
        <f>[1]!EM_S_VAL_PS_TTM(B117,E117)</f>
        <v>4.4454887478154799</v>
      </c>
      <c r="P117" s="7">
        <f>[1]!EM_S_VAL_PCF_NCFTTM(B117,E117)</f>
        <v>15.787093907248799</v>
      </c>
      <c r="Q117" s="7">
        <f>[1]!EM_S_VAL_DIVIDENDYIELD2(B117,E117,"2019-11-29")</f>
        <v>0</v>
      </c>
      <c r="T117"/>
      <c r="U117">
        <f>[1]!EM_S_RATIO_EPS_TTM(B117,E117,"1")</f>
        <v>0.26373290870833332</v>
      </c>
      <c r="AT117" s="4" t="str">
        <f>[1]!EM_S_IPO_LISTEDDATE(B117)</f>
        <v>2017-01-04</v>
      </c>
    </row>
    <row r="118" spans="1:46">
      <c r="A118">
        <v>574</v>
      </c>
      <c r="B118" t="str">
        <f>"002063"</f>
        <v>002063</v>
      </c>
      <c r="C118" t="s">
        <v>2855</v>
      </c>
      <c r="D118" t="str">
        <f>[1]!EM_S_INFO_INDEX_EM(B118,"1")</f>
        <v>信息技术</v>
      </c>
      <c r="E118" s="4">
        <f t="shared" si="1"/>
        <v>43465</v>
      </c>
      <c r="F118" s="11">
        <f>[1]!EM_S_PQ_PCTCHANGE(B118,"2018-01-01","2019-12-31","3")</f>
        <v>60.628555509999998</v>
      </c>
      <c r="G118" s="11">
        <f>[1]!EM_S_PQ_PCTCHANGE(B118,"2019-01-01","2019-12-31","3")</f>
        <v>123.67378033999999</v>
      </c>
      <c r="H118" s="11">
        <f>[1]!EM_S_FA_YOY_OR(B118,E118)</f>
        <v>8.4055275348999992</v>
      </c>
      <c r="I118" s="11">
        <f>[1]!EM_S_FA_GROSSPROFITMARGIN(B118,E118)</f>
        <v>65.986909868200001</v>
      </c>
      <c r="J118" s="11">
        <f>[1]!EM_S_FA_NETPROFITMARGIN(B118,E118)</f>
        <v>14.6781679654</v>
      </c>
      <c r="K118" s="10">
        <f>[1]!EM_S_FA_ASSETSTURN(B118,E118)</f>
        <v>0.49277862335400002</v>
      </c>
      <c r="L118" s="12">
        <f>[1]!EM_HKS_VAL_MV(B118,"2019-12-31","2")</f>
        <v>10223927551.9</v>
      </c>
      <c r="M118">
        <f>[1]!EM_S_VAL_PETTMDEDUCTED(B118,E118)</f>
        <v>28.905282336943699</v>
      </c>
      <c r="N118" s="7">
        <f>[1]!EM_S_VAL_PBGOODWILLDEDUCTED(B118,E118)</f>
        <v>2.0773787828685202</v>
      </c>
      <c r="O118" s="7">
        <f>[1]!EM_S_VAL_PS_TTM(B118,E118)</f>
        <v>3.7397150332009899</v>
      </c>
      <c r="P118" s="7">
        <f>[1]!EM_S_VAL_PCF_NCFTTM(B118,E118)</f>
        <v>-891.23754852835202</v>
      </c>
      <c r="Q118" s="7">
        <f>[1]!EM_S_VAL_DIVIDENDYIELD2(B118,E118,"2019-11-29")</f>
        <v>0.46040515653775327</v>
      </c>
      <c r="T118"/>
      <c r="U118">
        <f>[1]!EM_S_RATIO_EPS_TTM(B118,E118,"1")</f>
        <v>0.22921462968358711</v>
      </c>
      <c r="AT118" s="4" t="str">
        <f>[1]!EM_S_IPO_LISTEDDATE(B118)</f>
        <v>2006-08-23</v>
      </c>
    </row>
    <row r="119" spans="1:46">
      <c r="A119">
        <v>3155</v>
      </c>
      <c r="B119" t="str">
        <f>"601808"</f>
        <v>601808</v>
      </c>
      <c r="C119" t="s">
        <v>3502</v>
      </c>
      <c r="D119" t="str">
        <f>[1]!EM_S_INFO_INDEX_EM(B119,"1")</f>
        <v>化石能源</v>
      </c>
      <c r="E119" s="4">
        <f t="shared" si="1"/>
        <v>43465</v>
      </c>
      <c r="F119" s="11">
        <f>[1]!EM_S_PQ_PCTCHANGE(B119,"2018-01-01","2019-12-31","3")</f>
        <v>84.234014819999999</v>
      </c>
      <c r="G119" s="11">
        <f>[1]!EM_S_PQ_PCTCHANGE(B119,"2018-12-31","2019-12-30","1")</f>
        <v>123.41920374999999</v>
      </c>
      <c r="H119" s="11">
        <f>[1]!EM_S_FA_YOY_OR(B119,E119)</f>
        <v>25.288404493400002</v>
      </c>
      <c r="I119" s="11">
        <f>[1]!EM_S_FA_GROSSPROFITMARGIN(B119,E119)</f>
        <v>10.9460137205</v>
      </c>
      <c r="J119" s="11">
        <f>[1]!EM_S_FA_NETPROFITMARGIN(B119,E119)</f>
        <v>0.40404846729999999</v>
      </c>
      <c r="K119" s="10">
        <f>[1]!EM_S_FA_ASSETSTURN(B119,E119)</f>
        <v>0.295479274806</v>
      </c>
      <c r="L119" s="12">
        <f>[1]!EM_HKS_VAL_MV(B119,"2019-12-31","2")</f>
        <v>91614566400</v>
      </c>
      <c r="M119">
        <f>[1]!EM_S_VAL_PETTMDEDUCTED(B119,E119)</f>
        <v>-54.918323018867902</v>
      </c>
      <c r="N119" s="7">
        <f>[1]!EM_S_VAL_PBGOODWILLDEDUCTED(B119,E119)</f>
        <v>1.18011995822964</v>
      </c>
      <c r="O119" s="7">
        <f>[1]!EM_S_VAL_PS_TTM(B119,E119)</f>
        <v>2.1028292561319399</v>
      </c>
      <c r="P119" s="7">
        <f>[1]!EM_S_VAL_PCF_NCFTTM(B119,E119)</f>
        <v>-187.487512019278</v>
      </c>
      <c r="Q119" s="7">
        <f>[1]!EM_S_VAL_DIVIDENDYIELD2(B119,E119,"2019-11-29")</f>
        <v>0.41966426858513178</v>
      </c>
      <c r="T119"/>
      <c r="U119">
        <f>[1]!EM_S_RATIO_EPS_TTM(B119,E119,"1")</f>
        <v>1.4838302185098809E-2</v>
      </c>
      <c r="AT119" s="4" t="str">
        <f>[1]!EM_S_IPO_LISTEDDATE(B119)</f>
        <v>2007-09-28</v>
      </c>
    </row>
    <row r="120" spans="1:46">
      <c r="A120">
        <v>1035</v>
      </c>
      <c r="B120" t="str">
        <f>"002524"</f>
        <v>002524</v>
      </c>
      <c r="C120" t="s">
        <v>3465</v>
      </c>
      <c r="D120" t="str">
        <f>[1]!EM_S_INFO_INDEX_EM(B120,"1")</f>
        <v>医药生物</v>
      </c>
      <c r="E120" s="4">
        <f t="shared" si="1"/>
        <v>43465</v>
      </c>
      <c r="F120" s="11">
        <f>[1]!EM_S_PQ_PCTCHANGE(B120,"2018-01-01","2019-12-31","3")</f>
        <v>64.094488190000007</v>
      </c>
      <c r="G120" s="11">
        <f>[1]!EM_S_PQ_PCTCHANGE(B120,"2018-12-31","2019-12-30","1")</f>
        <v>122.87581699</v>
      </c>
      <c r="H120" s="11">
        <f>[1]!EM_S_FA_YOY_OR(B120,E120)</f>
        <v>112.14850120209999</v>
      </c>
      <c r="I120" s="11">
        <f>[1]!EM_S_FA_GROSSPROFITMARGIN(B120,E120)</f>
        <v>29.258847402499999</v>
      </c>
      <c r="J120" s="11">
        <f>[1]!EM_S_FA_NETPROFITMARGIN(B120,E120)</f>
        <v>-4.2823886479000004</v>
      </c>
      <c r="K120" s="10">
        <f>[1]!EM_S_FA_ASSETSTURN(B120,E120)</f>
        <v>0.54084275351199995</v>
      </c>
      <c r="L120" s="12">
        <f>[1]!EM_HKS_VAL_MV(B120,"2019-12-31","2")</f>
        <v>5373902338.2200003</v>
      </c>
      <c r="M120">
        <f>[1]!EM_S_VAL_PETTMDEDUCTED(B120,E120)</f>
        <v>-395.37884048493902</v>
      </c>
      <c r="N120" s="7">
        <f>[1]!EM_S_VAL_PBGOODWILLDEDUCTED(B120,E120)</f>
        <v>12.1080262676558</v>
      </c>
      <c r="O120" s="7">
        <f>[1]!EM_S_VAL_PS_TTM(B120,E120)</f>
        <v>2.4774499032900699</v>
      </c>
      <c r="P120" s="7">
        <f>[1]!EM_S_VAL_PCF_NCFTTM(B120,E120)</f>
        <v>17.840864285700501</v>
      </c>
      <c r="Q120" s="7">
        <f>[1]!EM_S_VAL_DIVIDENDYIELD2(B120,E120,"2019-11-29")</f>
        <v>0</v>
      </c>
      <c r="T120"/>
      <c r="U120">
        <f>[1]!EM_S_RATIO_EPS_TTM(B120,E120,"1")</f>
        <v>-0.14865141717368707</v>
      </c>
      <c r="AT120" s="4" t="str">
        <f>[1]!EM_S_IPO_LISTEDDATE(B120)</f>
        <v>2010-12-17</v>
      </c>
    </row>
    <row r="121" spans="1:46">
      <c r="A121">
        <v>1259</v>
      </c>
      <c r="B121" t="str">
        <f>"002750"</f>
        <v>002750</v>
      </c>
      <c r="C121" t="s">
        <v>2121</v>
      </c>
      <c r="D121" t="str">
        <f>[1]!EM_S_INFO_INDEX_EM(B121,"1")</f>
        <v>医药生物</v>
      </c>
      <c r="E121" s="4">
        <f t="shared" si="1"/>
        <v>43465</v>
      </c>
      <c r="F121" s="11">
        <f>[1]!EM_S_PQ_PCTCHANGE(B121,"2018-01-01","2019-12-31","3")</f>
        <v>35.189075459999998</v>
      </c>
      <c r="G121" s="11">
        <f>[1]!EM_S_PQ_PCTCHANGE(B121,"2018-12-31","2019-12-30","1")</f>
        <v>122.32142856999999</v>
      </c>
      <c r="H121" s="11">
        <f>[1]!EM_S_FA_YOY_OR(B121,E121)</f>
        <v>10.358837936400001</v>
      </c>
      <c r="I121" s="11">
        <f>[1]!EM_S_FA_GROSSPROFITMARGIN(B121,E121)</f>
        <v>90.134796277099994</v>
      </c>
      <c r="J121" s="11">
        <f>[1]!EM_S_FA_NETPROFITMARGIN(B121,E121)</f>
        <v>4.1155841378</v>
      </c>
      <c r="K121" s="10">
        <f>[1]!EM_S_FA_ASSETSTURN(B121,E121)</f>
        <v>0.42725000853200001</v>
      </c>
      <c r="L121" s="12">
        <f>[1]!EM_HKS_VAL_MV(B121,"2019-12-31","2")</f>
        <v>5154435000</v>
      </c>
      <c r="M121">
        <f>[1]!EM_S_VAL_PETTMDEDUCTED(B121,E121)</f>
        <v>-666.39335862894495</v>
      </c>
      <c r="N121" s="7">
        <f>[1]!EM_S_VAL_PBGOODWILLDEDUCTED(B121,E121)</f>
        <v>3.4643439124438999</v>
      </c>
      <c r="O121" s="7">
        <f>[1]!EM_S_VAL_PS_TTM(B121,E121)</f>
        <v>6.5750437048890804</v>
      </c>
      <c r="P121" s="7">
        <f>[1]!EM_S_VAL_PCF_NCFTTM(B121,E121)</f>
        <v>-147.010006040598</v>
      </c>
      <c r="Q121" s="7">
        <f>[1]!EM_S_VAL_DIVIDENDYIELD2(B121,E121,"2019-11-29")</f>
        <v>0</v>
      </c>
      <c r="T121"/>
      <c r="U121">
        <f>[1]!EM_S_RATIO_EPS_TTM(B121,E121,"1")</f>
        <v>3.4631968489388265E-2</v>
      </c>
      <c r="AT121" s="4" t="str">
        <f>[1]!EM_S_IPO_LISTEDDATE(B121)</f>
        <v>2015-03-24</v>
      </c>
    </row>
    <row r="122" spans="1:46">
      <c r="A122">
        <v>1777</v>
      </c>
      <c r="B122" t="str">
        <f>"300352"</f>
        <v>300352</v>
      </c>
      <c r="C122" t="s">
        <v>3060</v>
      </c>
      <c r="D122" t="str">
        <f>[1]!EM_S_INFO_INDEX_EM(B122,"1")</f>
        <v>信息技术</v>
      </c>
      <c r="E122" s="4">
        <f t="shared" si="1"/>
        <v>43465</v>
      </c>
      <c r="F122" s="11">
        <f>[1]!EM_S_PQ_PCTCHANGE(B122,"2018-01-01","2019-12-31","3")</f>
        <v>83.870274780000003</v>
      </c>
      <c r="G122" s="11">
        <f>[1]!EM_S_PQ_PCTCHANGE(B122,"2018-12-31","2019-12-30","1")</f>
        <v>121.27659574</v>
      </c>
      <c r="H122" s="11">
        <f>[1]!EM_S_FA_YOY_OR(B122,E122)</f>
        <v>11.177535754799999</v>
      </c>
      <c r="I122" s="11">
        <f>[1]!EM_S_FA_GROSSPROFITMARGIN(B122,E122)</f>
        <v>72.951243044500004</v>
      </c>
      <c r="J122" s="11">
        <f>[1]!EM_S_FA_NETPROFITMARGIN(B122,E122)</f>
        <v>16.3291657336</v>
      </c>
      <c r="K122" s="10">
        <f>[1]!EM_S_FA_ASSETSTURN(B122,E122)</f>
        <v>0.22560223283600001</v>
      </c>
      <c r="L122" s="12">
        <f>[1]!EM_HKS_VAL_MV(B122,"2019-12-31","2")</f>
        <v>10569217594.23</v>
      </c>
      <c r="M122">
        <f>[1]!EM_S_VAL_PETTMDEDUCTED(B122,E122)</f>
        <v>86.152035546035407</v>
      </c>
      <c r="N122" s="7">
        <f>[1]!EM_S_VAL_PBGOODWILLDEDUCTED(B122,E122)</f>
        <v>2.1615156248896699</v>
      </c>
      <c r="O122" s="7">
        <f>[1]!EM_S_VAL_PS_TTM(B122,E122)</f>
        <v>8.8326492833856793</v>
      </c>
      <c r="P122" s="7">
        <f>[1]!EM_S_VAL_PCF_NCFTTM(B122,E122)</f>
        <v>96.472051542760596</v>
      </c>
      <c r="Q122" s="7">
        <f>[1]!EM_S_VAL_DIVIDENDYIELD2(B122,E122,"2019-11-29")</f>
        <v>0.12224938875305626</v>
      </c>
      <c r="T122"/>
      <c r="U122">
        <f>[1]!EM_S_RATIO_EPS_TTM(B122,E122,"1")</f>
        <v>6.4897579081261328E-2</v>
      </c>
      <c r="AT122" s="4" t="str">
        <f>[1]!EM_S_IPO_LISTEDDATE(B122)</f>
        <v>2012-09-12</v>
      </c>
    </row>
    <row r="123" spans="1:46">
      <c r="A123">
        <v>1747</v>
      </c>
      <c r="B123" t="str">
        <f>"300322"</f>
        <v>300322</v>
      </c>
      <c r="C123" t="s">
        <v>1033</v>
      </c>
      <c r="D123" t="str">
        <f>[1]!EM_S_INFO_INDEX_EM(B123,"1")</f>
        <v>电子设备</v>
      </c>
      <c r="E123" s="4">
        <f t="shared" si="1"/>
        <v>43465</v>
      </c>
      <c r="F123" s="11">
        <f>[1]!EM_S_PQ_PCTCHANGE(B123,"2018-01-01","2019-12-31","3")</f>
        <v>74.060501680000002</v>
      </c>
      <c r="G123" s="11">
        <f>[1]!EM_S_PQ_PCTCHANGE(B123,"2018-12-31","2019-12-30","1")</f>
        <v>120.96436059</v>
      </c>
      <c r="H123" s="11">
        <f>[1]!EM_S_FA_YOY_OR(B123,E123)</f>
        <v>-16.796522636900001</v>
      </c>
      <c r="I123" s="11">
        <f>[1]!EM_S_FA_GROSSPROFITMARGIN(B123,E123)</f>
        <v>21.7898038485</v>
      </c>
      <c r="J123" s="11">
        <f>[1]!EM_S_FA_NETPROFITMARGIN(B123,E123)</f>
        <v>4.1290226963999999</v>
      </c>
      <c r="K123" s="10">
        <f>[1]!EM_S_FA_ASSETSTURN(B123,E123)</f>
        <v>0.89493199532199996</v>
      </c>
      <c r="L123" s="12">
        <f>[1]!EM_HKS_VAL_MV(B123,"2019-12-31","2")</f>
        <v>8322511131</v>
      </c>
      <c r="M123">
        <f>[1]!EM_S_VAL_PETTMDEDUCTED(B123,E123)</f>
        <v>96.200978244086699</v>
      </c>
      <c r="N123" s="7">
        <f>[1]!EM_S_VAL_PBGOODWILLDEDUCTED(B123,E123)</f>
        <v>7.1093568889784597</v>
      </c>
      <c r="O123" s="7">
        <f>[1]!EM_S_VAL_PS_TTM(B123,E123)</f>
        <v>2.0730087560000499</v>
      </c>
      <c r="P123" s="7">
        <f>[1]!EM_S_VAL_PCF_NCFTTM(B123,E123)</f>
        <v>63.152959035620597</v>
      </c>
      <c r="Q123" s="7">
        <f>[1]!EM_S_VAL_DIVIDENDYIELD2(B123,E123,"2019-11-29")</f>
        <v>0.15503875968992248</v>
      </c>
      <c r="T123"/>
      <c r="U123">
        <f>[1]!EM_S_RATIO_EPS_TTM(B123,E123,"1")</f>
        <v>0.15340551798517024</v>
      </c>
      <c r="AT123" s="4" t="str">
        <f>[1]!EM_S_IPO_LISTEDDATE(B123)</f>
        <v>2012-06-08</v>
      </c>
    </row>
    <row r="124" spans="1:46">
      <c r="A124">
        <v>3523</v>
      </c>
      <c r="B124" t="str">
        <f>"603737"</f>
        <v>603737</v>
      </c>
      <c r="C124" t="s">
        <v>3332</v>
      </c>
      <c r="D124" t="str">
        <f>[1]!EM_S_INFO_INDEX_EM(B124,"1")</f>
        <v>基础化工</v>
      </c>
      <c r="E124" s="4">
        <f t="shared" si="1"/>
        <v>43465</v>
      </c>
      <c r="F124" s="11">
        <f>[1]!EM_S_PQ_PCTCHANGE(B124,"2018-01-01","2019-12-31","3")</f>
        <v>110.66412692</v>
      </c>
      <c r="G124" s="11">
        <f>[1]!EM_S_PQ_PCTCHANGE(B124,"2018-12-31","2019-12-30","1")</f>
        <v>119.77447745000001</v>
      </c>
      <c r="H124" s="11">
        <f>[1]!EM_S_FA_YOY_OR(B124,E124)</f>
        <v>36.822724912300004</v>
      </c>
      <c r="I124" s="11">
        <f>[1]!EM_S_FA_GROSSPROFITMARGIN(B124,E124)</f>
        <v>39.965427738000002</v>
      </c>
      <c r="J124" s="11">
        <f>[1]!EM_S_FA_NETPROFITMARGIN(B124,E124)</f>
        <v>6.2077842479000003</v>
      </c>
      <c r="K124" s="10">
        <f>[1]!EM_S_FA_ASSETSTURN(B124,E124)</f>
        <v>1.364102855287</v>
      </c>
      <c r="L124" s="12">
        <f>[1]!EM_HKS_VAL_MV(B124,"2019-12-31","2")</f>
        <v>15031585792.65</v>
      </c>
      <c r="M124">
        <f>[1]!EM_S_VAL_PETTMDEDUCTED(B124,E124)</f>
        <v>25.9694186344604</v>
      </c>
      <c r="N124" s="7">
        <f>[1]!EM_S_VAL_PBGOODWILLDEDUCTED(B124,E124)</f>
        <v>3.6284299374854001</v>
      </c>
      <c r="O124" s="7">
        <f>[1]!EM_S_VAL_PS_TTM(B124,E124)</f>
        <v>1.51229033627861</v>
      </c>
      <c r="P124" s="7">
        <f>[1]!EM_S_VAL_PCF_NCFTTM(B124,E124)</f>
        <v>-1535.8917387584099</v>
      </c>
      <c r="Q124" s="7">
        <f>[1]!EM_S_VAL_DIVIDENDYIELD2(B124,E124,"2019-11-29")</f>
        <v>0.44555493430248816</v>
      </c>
      <c r="T124"/>
      <c r="U124">
        <f>[1]!EM_S_RATIO_EPS_TTM(B124,E124,"1")</f>
        <v>1.6712224291018973</v>
      </c>
      <c r="AT124" s="4" t="str">
        <f>[1]!EM_S_IPO_LISTEDDATE(B124)</f>
        <v>2016-06-03</v>
      </c>
    </row>
    <row r="125" spans="1:46">
      <c r="A125">
        <v>1540</v>
      </c>
      <c r="B125" t="str">
        <f>"300115"</f>
        <v>300115</v>
      </c>
      <c r="C125" t="s">
        <v>2541</v>
      </c>
      <c r="D125" t="str">
        <f>[1]!EM_S_INFO_INDEX_EM(B125,"1")</f>
        <v>电子设备</v>
      </c>
      <c r="E125" s="4">
        <f t="shared" si="1"/>
        <v>43465</v>
      </c>
      <c r="F125" s="11">
        <f>[1]!EM_S_PQ_PCTCHANGE(B125,"2018-01-01","2019-12-31","3")</f>
        <v>-9.8845967300000002</v>
      </c>
      <c r="G125" s="11">
        <f>[1]!EM_S_PQ_PCTCHANGE(B125,"2018-12-31","2019-12-30","1")</f>
        <v>119.53601954</v>
      </c>
      <c r="H125" s="11">
        <f>[1]!EM_S_FA_YOY_OR(B125,E125)</f>
        <v>2.3004902962</v>
      </c>
      <c r="I125" s="11">
        <f>[1]!EM_S_FA_GROSSPROFITMARGIN(B125,E125)</f>
        <v>19.937857254699999</v>
      </c>
      <c r="J125" s="11">
        <f>[1]!EM_S_FA_NETPROFITMARGIN(B125,E125)</f>
        <v>0.1025050433</v>
      </c>
      <c r="K125" s="10">
        <f>[1]!EM_S_FA_ASSETSTURN(B125,E125)</f>
        <v>0.86711066446600005</v>
      </c>
      <c r="L125" s="12">
        <f>[1]!EM_HKS_VAL_MV(B125,"2019-12-31","2")</f>
        <v>16186414060.98</v>
      </c>
      <c r="M125">
        <f>[1]!EM_S_VAL_PETTMDEDUCTED(B125,E125)</f>
        <v>45.326225578959999</v>
      </c>
      <c r="N125" s="7">
        <f>[1]!EM_S_VAL_PBGOODWILLDEDUCTED(B125,E125)</f>
        <v>1.80294764287386</v>
      </c>
      <c r="O125" s="7">
        <f>[1]!EM_S_VAL_PS_TTM(B125,E125)</f>
        <v>0.87717598076227599</v>
      </c>
      <c r="P125" s="7">
        <f>[1]!EM_S_VAL_PCF_NCFTTM(B125,E125)</f>
        <v>-56.772519746638302</v>
      </c>
      <c r="Q125" s="7">
        <f>[1]!EM_S_VAL_DIVIDENDYIELD2(B125,E125,"2019-11-29")</f>
        <v>0.63734862970044615</v>
      </c>
      <c r="T125"/>
      <c r="U125">
        <f>[1]!EM_S_RATIO_EPS_TTM(B125,E125,"1")</f>
        <v>4.2276491057480645E-2</v>
      </c>
      <c r="AT125" s="4" t="str">
        <f>[1]!EM_S_IPO_LISTEDDATE(B125)</f>
        <v>2010-09-02</v>
      </c>
    </row>
    <row r="126" spans="1:46">
      <c r="A126">
        <v>3402</v>
      </c>
      <c r="B126" t="str">
        <f>"603456"</f>
        <v>603456</v>
      </c>
      <c r="C126" t="s">
        <v>1435</v>
      </c>
      <c r="D126" t="str">
        <f>[1]!EM_S_INFO_INDEX_EM(B126,"1")</f>
        <v>医药生物</v>
      </c>
      <c r="E126" s="4">
        <f t="shared" si="1"/>
        <v>43465</v>
      </c>
      <c r="F126" s="11">
        <f>[1]!EM_S_PQ_PCTCHANGE(B126,"2018-01-01","2019-12-31","3")</f>
        <v>67.918578690000004</v>
      </c>
      <c r="G126" s="11">
        <f>[1]!EM_S_PQ_PCTCHANGE(B126,"2018-12-31","2019-12-30","1")</f>
        <v>119.02515723</v>
      </c>
      <c r="H126" s="11">
        <f>[1]!EM_S_FA_YOY_OR(B126,E126)</f>
        <v>8.4302513199</v>
      </c>
      <c r="I126" s="11">
        <f>[1]!EM_S_FA_GROSSPROFITMARGIN(B126,E126)</f>
        <v>33.321124168499999</v>
      </c>
      <c r="J126" s="11">
        <f>[1]!EM_S_FA_NETPROFITMARGIN(B126,E126)</f>
        <v>8.3728718307999994</v>
      </c>
      <c r="K126" s="10">
        <f>[1]!EM_S_FA_ASSETSTURN(B126,E126)</f>
        <v>0.57766508319099996</v>
      </c>
      <c r="L126" s="12">
        <f>[1]!EM_HKS_VAL_MV(B126,"2019-12-31","2")</f>
        <v>11230933451.74</v>
      </c>
      <c r="M126">
        <f>[1]!EM_S_VAL_PETTMDEDUCTED(B126,E126)</f>
        <v>33.698319583385</v>
      </c>
      <c r="N126" s="7">
        <f>[1]!EM_S_VAL_PBGOODWILLDEDUCTED(B126,E126)</f>
        <v>1.84795790447171</v>
      </c>
      <c r="O126" s="7">
        <f>[1]!EM_S_VAL_PS_TTM(B126,E126)</f>
        <v>2.9253463315202901</v>
      </c>
      <c r="P126" s="7">
        <f>[1]!EM_S_VAL_PCF_NCFTTM(B126,E126)</f>
        <v>-341.01861403676202</v>
      </c>
      <c r="Q126" s="7">
        <f>[1]!EM_S_VAL_DIVIDENDYIELD2(B126,E126,"2019-11-29")</f>
        <v>1.576487797478517</v>
      </c>
      <c r="T126"/>
      <c r="U126">
        <f>[1]!EM_S_RATIO_EPS_TTM(B126,E126,"1")</f>
        <v>0.19499884391671518</v>
      </c>
      <c r="AT126" s="4" t="str">
        <f>[1]!EM_S_IPO_LISTEDDATE(B126)</f>
        <v>2014-10-10</v>
      </c>
    </row>
    <row r="127" spans="1:46">
      <c r="A127">
        <v>2543</v>
      </c>
      <c r="B127" t="str">
        <f>"600446"</f>
        <v>600446</v>
      </c>
      <c r="C127" t="s">
        <v>3441</v>
      </c>
      <c r="D127" t="str">
        <f>[1]!EM_S_INFO_INDEX_EM(B127,"1")</f>
        <v>信息技术</v>
      </c>
      <c r="E127" s="4">
        <f t="shared" si="1"/>
        <v>43465</v>
      </c>
      <c r="F127" s="11">
        <f>[1]!EM_S_PQ_PCTCHANGE(B127,"2018-01-01","2019-12-31","3")</f>
        <v>36.263116660000001</v>
      </c>
      <c r="G127" s="11">
        <f>[1]!EM_S_PQ_PCTCHANGE(B127,"2018-12-31","2019-12-30","1")</f>
        <v>117.68421053</v>
      </c>
      <c r="H127" s="11">
        <f>[1]!EM_S_FA_YOY_OR(B127,E127)</f>
        <v>15.678959516800001</v>
      </c>
      <c r="I127" s="11">
        <f>[1]!EM_S_FA_GROSSPROFITMARGIN(B127,E127)</f>
        <v>23.093669349799999</v>
      </c>
      <c r="J127" s="11">
        <f>[1]!EM_S_FA_NETPROFITMARGIN(B127,E127)</f>
        <v>-2.5983769124</v>
      </c>
      <c r="K127" s="10">
        <f>[1]!EM_S_FA_ASSETSTURN(B127,E127)</f>
        <v>1.1658859356669999</v>
      </c>
      <c r="L127" s="12">
        <f>[1]!EM_HKS_VAL_MV(B127,"2019-12-31","2")</f>
        <v>17707865160.720001</v>
      </c>
      <c r="M127">
        <f>[1]!EM_S_VAL_PETTMDEDUCTED(B127,E127)</f>
        <v>59.156463795894503</v>
      </c>
      <c r="N127" s="7">
        <f>[1]!EM_S_VAL_PBGOODWILLDEDUCTED(B127,E127)</f>
        <v>5.1442220481723098</v>
      </c>
      <c r="O127" s="7">
        <f>[1]!EM_S_VAL_PS_TTM(B127,E127)</f>
        <v>1.6203474044402799</v>
      </c>
      <c r="P127" s="7">
        <f>[1]!EM_S_VAL_PCF_NCFTTM(B127,E127)</f>
        <v>-74.924605340817394</v>
      </c>
      <c r="Q127" s="7">
        <f>[1]!EM_S_VAL_DIVIDENDYIELD2(B127,E127,"2019-11-29")</f>
        <v>0</v>
      </c>
      <c r="T127"/>
      <c r="U127">
        <f>[1]!EM_S_RATIO_EPS_TTM(B127,E127,"1")</f>
        <v>-0.13638077128925669</v>
      </c>
      <c r="AT127" s="4" t="str">
        <f>[1]!EM_S_IPO_LISTEDDATE(B127)</f>
        <v>2003-12-24</v>
      </c>
    </row>
    <row r="128" spans="1:46">
      <c r="A128">
        <v>1744</v>
      </c>
      <c r="B128" t="str">
        <f>"300319"</f>
        <v>300319</v>
      </c>
      <c r="C128" t="s">
        <v>2034</v>
      </c>
      <c r="D128" t="str">
        <f>[1]!EM_S_INFO_INDEX_EM(B128,"1")</f>
        <v>电子设备</v>
      </c>
      <c r="E128" s="4">
        <f t="shared" si="1"/>
        <v>43465</v>
      </c>
      <c r="F128" s="11">
        <f>[1]!EM_S_PQ_PCTCHANGE(B128,"2018-01-01","2019-12-31","3")</f>
        <v>91.666666669999998</v>
      </c>
      <c r="G128" s="11">
        <f>[1]!EM_S_PQ_PCTCHANGE(B128,"2018-12-31","2019-12-30","1")</f>
        <v>117.64705882</v>
      </c>
      <c r="H128" s="11">
        <f>[1]!EM_S_FA_YOY_OR(B128,E128)</f>
        <v>15.978501457</v>
      </c>
      <c r="I128" s="11">
        <f>[1]!EM_S_FA_GROSSPROFITMARGIN(B128,E128)</f>
        <v>18.652007453</v>
      </c>
      <c r="J128" s="11">
        <f>[1]!EM_S_FA_NETPROFITMARGIN(B128,E128)</f>
        <v>8.5100965995000006</v>
      </c>
      <c r="K128" s="10">
        <f>[1]!EM_S_FA_ASSETSTURN(B128,E128)</f>
        <v>0.53371135363400002</v>
      </c>
      <c r="L128" s="12">
        <f>[1]!EM_HKS_VAL_MV(B128,"2019-12-31","2")</f>
        <v>8794279633.1499996</v>
      </c>
      <c r="M128">
        <f>[1]!EM_S_VAL_PETTMDEDUCTED(B128,E128)</f>
        <v>-11.595488489713601</v>
      </c>
      <c r="N128" s="7">
        <f>[1]!EM_S_VAL_PBGOODWILLDEDUCTED(B128,E128)</f>
        <v>2.40947610280553</v>
      </c>
      <c r="O128" s="7">
        <f>[1]!EM_S_VAL_PS_TTM(B128,E128)</f>
        <v>2.5673481527528201</v>
      </c>
      <c r="P128" s="7">
        <f>[1]!EM_S_VAL_PCF_NCFTTM(B128,E128)</f>
        <v>-4.6358270524220302</v>
      </c>
      <c r="Q128" s="7">
        <f>[1]!EM_S_VAL_DIVIDENDYIELD2(B128,E128,"2019-11-29")</f>
        <v>0</v>
      </c>
      <c r="T128"/>
      <c r="U128">
        <f>[1]!EM_S_RATIO_EPS_TTM(B128,E128,"1")</f>
        <v>0.18942495654966016</v>
      </c>
      <c r="AT128" s="4" t="str">
        <f>[1]!EM_S_IPO_LISTEDDATE(B128)</f>
        <v>2012-05-23</v>
      </c>
    </row>
    <row r="129" spans="1:46">
      <c r="A129">
        <v>177</v>
      </c>
      <c r="B129" t="str">
        <f>"000568"</f>
        <v>000568</v>
      </c>
      <c r="C129" t="s">
        <v>129</v>
      </c>
      <c r="D129" t="str">
        <f>[1]!EM_S_INFO_INDEX_EM(B129,"1")</f>
        <v>食品饮料</v>
      </c>
      <c r="E129" s="4">
        <f t="shared" si="1"/>
        <v>43465</v>
      </c>
      <c r="F129" s="11">
        <f>[1]!EM_S_PQ_PCTCHANGE(B129,"2018-01-01","2019-12-31","3")</f>
        <v>36.54854417</v>
      </c>
      <c r="G129" s="11">
        <f>[1]!EM_S_PQ_PCTCHANGE(B129,"2019-01-01","2019-12-31","3")</f>
        <v>117.06764819</v>
      </c>
      <c r="H129" s="11">
        <f>[1]!EM_S_FA_YOY_OR(B129,E129)</f>
        <v>25.595307201000001</v>
      </c>
      <c r="I129" s="11">
        <f>[1]!EM_S_FA_GROSSPROFITMARGIN(B129,E129)</f>
        <v>77.526639704000004</v>
      </c>
      <c r="J129" s="11">
        <f>[1]!EM_S_FA_NETPROFITMARGIN(B129,E129)</f>
        <v>26.888859827299999</v>
      </c>
      <c r="K129" s="10">
        <f>[1]!EM_S_FA_ASSETSTURN(B129,E129)</f>
        <v>0.61639532098600003</v>
      </c>
      <c r="L129" s="12">
        <f>[1]!EM_HKS_VAL_MV(B129,"2019-12-31","2")</f>
        <v>126964744619.67999</v>
      </c>
      <c r="M129">
        <f>[1]!EM_S_VAL_PETTMDEDUCTED(B129,E129)</f>
        <v>18.101244385636601</v>
      </c>
      <c r="N129" s="7">
        <f>[1]!EM_S_VAL_PBGOODWILLDEDUCTED(B129,E129)</f>
        <v>3.5106389038276302</v>
      </c>
      <c r="O129" s="7">
        <f>[1]!EM_S_VAL_PS_TTM(B129,E129)</f>
        <v>4.8116098745646001</v>
      </c>
      <c r="P129" s="7">
        <f>[1]!EM_S_VAL_PCF_NCFTTM(B129,E129)</f>
        <v>75.9487030320728</v>
      </c>
      <c r="Q129" s="7">
        <f>[1]!EM_S_VAL_DIVIDENDYIELD2(B129,E129,"2019-11-29")</f>
        <v>1.8960244648318043</v>
      </c>
      <c r="T129"/>
      <c r="U129">
        <f>[1]!EM_S_RATIO_EPS_TTM(B129,E129,"1")</f>
        <v>2.3796805713540912</v>
      </c>
      <c r="AT129" s="4" t="str">
        <f>[1]!EM_S_IPO_LISTEDDATE(B129)</f>
        <v>1994-05-09</v>
      </c>
    </row>
    <row r="130" spans="1:46">
      <c r="A130">
        <v>3088</v>
      </c>
      <c r="B130" t="str">
        <f>"601231"</f>
        <v>601231</v>
      </c>
      <c r="C130" t="s">
        <v>1252</v>
      </c>
      <c r="D130" t="str">
        <f>[1]!EM_S_INFO_INDEX_EM(B130,"1")</f>
        <v>电子设备</v>
      </c>
      <c r="E130" s="4">
        <f t="shared" si="1"/>
        <v>43465</v>
      </c>
      <c r="F130" s="11">
        <f>[1]!EM_S_PQ_PCTCHANGE(B130,"2018-01-01","2019-12-31","3")</f>
        <v>25.589672360000002</v>
      </c>
      <c r="G130" s="11">
        <f>[1]!EM_S_PQ_PCTCHANGE(B130,"2018-12-31","2019-12-30","1")</f>
        <v>116.44444444</v>
      </c>
      <c r="H130" s="11">
        <f>[1]!EM_S_FA_YOY_OR(B130,E130)</f>
        <v>12.9422702539</v>
      </c>
      <c r="I130" s="11">
        <f>[1]!EM_S_FA_GROSSPROFITMARGIN(B130,E130)</f>
        <v>10.8575928319</v>
      </c>
      <c r="J130" s="11">
        <f>[1]!EM_S_FA_NETPROFITMARGIN(B130,E130)</f>
        <v>3.5170131864999998</v>
      </c>
      <c r="K130" s="10">
        <f>[1]!EM_S_FA_ASSETSTURN(B130,E130)</f>
        <v>1.788642663072</v>
      </c>
      <c r="L130" s="12">
        <f>[1]!EM_HKS_VAL_MV(B130,"2019-12-31","2")</f>
        <v>41903862816.900002</v>
      </c>
      <c r="M130">
        <f>[1]!EM_S_VAL_PETTMDEDUCTED(B130,E130)</f>
        <v>17.271262842533201</v>
      </c>
      <c r="N130" s="7">
        <f>[1]!EM_S_VAL_PBGOODWILLDEDUCTED(B130,E130)</f>
        <v>2.0815522205792099</v>
      </c>
      <c r="O130" s="7">
        <f>[1]!EM_S_VAL_PS_TTM(B130,E130)</f>
        <v>0.61849601750861105</v>
      </c>
      <c r="P130" s="7">
        <f>[1]!EM_S_VAL_PCF_NCFTTM(B130,E130)</f>
        <v>-49.513471467563498</v>
      </c>
      <c r="Q130" s="7">
        <f>[1]!EM_S_VAL_DIVIDENDYIELD2(B130,E130,"2019-11-29")</f>
        <v>1.0161090458488227</v>
      </c>
      <c r="T130"/>
      <c r="U130">
        <f>[1]!EM_S_RATIO_EPS_TTM(B130,E130,"1")</f>
        <v>0.54216754065416217</v>
      </c>
      <c r="AT130" s="4" t="str">
        <f>[1]!EM_S_IPO_LISTEDDATE(B130)</f>
        <v>2012-02-20</v>
      </c>
    </row>
    <row r="131" spans="1:46">
      <c r="A131">
        <v>3506</v>
      </c>
      <c r="B131" t="str">
        <f>"603707"</f>
        <v>603707</v>
      </c>
      <c r="C131" t="s">
        <v>216</v>
      </c>
      <c r="D131" t="str">
        <f>[1]!EM_S_INFO_INDEX_EM(B131,"1")</f>
        <v>医药生物</v>
      </c>
      <c r="E131" s="4">
        <f t="shared" ref="E131:E194" si="2">$B$1</f>
        <v>43465</v>
      </c>
      <c r="F131" s="11">
        <f>[1]!EM_S_PQ_PCTCHANGE(B131,"2018-01-01","2019-12-31","3")</f>
        <v>150.44504297</v>
      </c>
      <c r="G131" s="11">
        <f>[1]!EM_S_PQ_PCTCHANGE(B131,"2018-12-31","2019-12-30","1")</f>
        <v>115.823122</v>
      </c>
      <c r="H131" s="11">
        <f>[1]!EM_S_FA_YOY_OR(B131,E131)</f>
        <v>52.8076689337</v>
      </c>
      <c r="I131" s="11">
        <f>[1]!EM_S_FA_GROSSPROFITMARGIN(B131,E131)</f>
        <v>49.466324545299997</v>
      </c>
      <c r="J131" s="11">
        <f>[1]!EM_S_FA_NETPROFITMARGIN(B131,E131)</f>
        <v>24.9686219783</v>
      </c>
      <c r="K131" s="10">
        <f>[1]!EM_S_FA_ASSETSTURN(B131,E131)</f>
        <v>0.55775210952800003</v>
      </c>
      <c r="L131" s="12">
        <f>[1]!EM_HKS_VAL_MV(B131,"2019-12-31","2")</f>
        <v>29802313507.720001</v>
      </c>
      <c r="M131">
        <f>[1]!EM_S_VAL_PETTMDEDUCTED(B131,E131)</f>
        <v>25.584598508769002</v>
      </c>
      <c r="N131" s="7">
        <f>[1]!EM_S_VAL_PBGOODWILLDEDUCTED(B131,E131)</f>
        <v>4.2827555784264604</v>
      </c>
      <c r="O131" s="7">
        <f>[1]!EM_S_VAL_PS_TTM(B131,E131)</f>
        <v>6.3489393201300803</v>
      </c>
      <c r="P131" s="7">
        <f>[1]!EM_S_VAL_PCF_NCFTTM(B131,E131)</f>
        <v>127.964258648545</v>
      </c>
      <c r="Q131" s="7">
        <f>[1]!EM_S_VAL_DIVIDENDYIELD2(B131,E131,"2019-11-29")</f>
        <v>0.30646644192460926</v>
      </c>
      <c r="T131"/>
      <c r="U131">
        <f>[1]!EM_S_RATIO_EPS_TTM(B131,E131,"1")</f>
        <v>0.76851779878532134</v>
      </c>
      <c r="AT131" s="4" t="str">
        <f>[1]!EM_S_IPO_LISTEDDATE(B131)</f>
        <v>2017-07-19</v>
      </c>
    </row>
    <row r="132" spans="1:46">
      <c r="A132">
        <v>2496</v>
      </c>
      <c r="B132" t="str">
        <f>"600378"</f>
        <v>600378</v>
      </c>
      <c r="C132" t="s">
        <v>2573</v>
      </c>
      <c r="D132" t="str">
        <f>[1]!EM_S_INFO_INDEX_EM(B132,"1")</f>
        <v>基础化工</v>
      </c>
      <c r="E132" s="4">
        <f t="shared" si="2"/>
        <v>43465</v>
      </c>
      <c r="F132" s="11">
        <f>[1]!EM_S_PQ_PCTCHANGE(B132,"2018-01-01","2019-12-31","3")</f>
        <v>42.905241869999998</v>
      </c>
      <c r="G132" s="11">
        <f>[1]!EM_S_PQ_PCTCHANGE(B132,"2018-12-31","2019-12-30","1")</f>
        <v>115.42792793</v>
      </c>
      <c r="H132" s="11">
        <f>[1]!EM_S_FA_YOY_OR(B132,E132)</f>
        <v>14.702244374899999</v>
      </c>
      <c r="I132" s="11">
        <f>[1]!EM_S_FA_GROSSPROFITMARGIN(B132,E132)</f>
        <v>31.060547787499999</v>
      </c>
      <c r="J132" s="11">
        <f>[1]!EM_S_FA_NETPROFITMARGIN(B132,E132)</f>
        <v>12.789878378399999</v>
      </c>
      <c r="K132" s="10">
        <f>[1]!EM_S_FA_ASSETSTURN(B132,E132)</f>
        <v>0.89611784122399996</v>
      </c>
      <c r="L132" s="12">
        <f>[1]!EM_HKS_VAL_MV(B132,"2019-12-31","2")</f>
        <v>17313822126.669998</v>
      </c>
      <c r="M132">
        <f>[1]!EM_S_VAL_PETTMDEDUCTED(B132,E132)</f>
        <v>114.610479250381</v>
      </c>
      <c r="N132" s="7">
        <f>[1]!EM_S_VAL_PBGOODWILLDEDUCTED(B132,E132)</f>
        <v>1.5278912177075901</v>
      </c>
      <c r="O132" s="7">
        <f>[1]!EM_S_VAL_PS_TTM(B132,E132)</f>
        <v>12.868914903132501</v>
      </c>
      <c r="P132" s="7">
        <f>[1]!EM_S_VAL_PCF_NCFTTM(B132,E132)</f>
        <v>-1045.5091876819999</v>
      </c>
      <c r="Q132" s="7">
        <f>[1]!EM_S_VAL_DIVIDENDYIELD2(B132,E132,"2019-11-29")</f>
        <v>0.38522351646664094</v>
      </c>
      <c r="T132"/>
      <c r="U132">
        <f>[1]!EM_S_RATIO_EPS_TTM(B132,E132,"1")</f>
        <v>0.62688797576271937</v>
      </c>
      <c r="AT132" s="4" t="str">
        <f>[1]!EM_S_IPO_LISTEDDATE(B132)</f>
        <v>2001-01-11</v>
      </c>
    </row>
    <row r="133" spans="1:46">
      <c r="A133">
        <v>3498</v>
      </c>
      <c r="B133" t="str">
        <f>"603690"</f>
        <v>603690</v>
      </c>
      <c r="C133" t="s">
        <v>2676</v>
      </c>
      <c r="D133" t="str">
        <f>[1]!EM_S_INFO_INDEX_EM(B133,"1")</f>
        <v>机械设备</v>
      </c>
      <c r="E133" s="4">
        <f t="shared" si="2"/>
        <v>43465</v>
      </c>
      <c r="F133" s="11">
        <f>[1]!EM_S_PQ_PCTCHANGE(B133,"2018-01-01","2019-12-31","3")</f>
        <v>61.427907490000003</v>
      </c>
      <c r="G133" s="11">
        <f>[1]!EM_S_PQ_PCTCHANGE(B133,"2019-01-01","2019-12-31","3")</f>
        <v>115.15965174</v>
      </c>
      <c r="H133" s="11">
        <f>[1]!EM_S_FA_YOY_OR(B133,E133)</f>
        <v>82.641828613200005</v>
      </c>
      <c r="I133" s="11">
        <f>[1]!EM_S_FA_GROSSPROFITMARGIN(B133,E133)</f>
        <v>28.1903008761</v>
      </c>
      <c r="J133" s="11">
        <f>[1]!EM_S_FA_NETPROFITMARGIN(B133,E133)</f>
        <v>4.6723661290000003</v>
      </c>
      <c r="K133" s="10">
        <f>[1]!EM_S_FA_ASSETSTURN(B133,E133)</f>
        <v>0.549687741816</v>
      </c>
      <c r="L133" s="12">
        <f>[1]!EM_HKS_VAL_MV(B133,"2019-12-31","2")</f>
        <v>8437829905.2200003</v>
      </c>
      <c r="M133">
        <f>[1]!EM_S_VAL_PETTMDEDUCTED(B133,E133)</f>
        <v>86.499778436497294</v>
      </c>
      <c r="N133" s="7">
        <f>[1]!EM_S_VAL_PBGOODWILLDEDUCTED(B133,E133)</f>
        <v>7.4407054477213297</v>
      </c>
      <c r="O133" s="7">
        <f>[1]!EM_S_VAL_PS_TTM(B133,E133)</f>
        <v>6.9026435415122602</v>
      </c>
      <c r="P133" s="7">
        <f>[1]!EM_S_VAL_PCF_NCFTTM(B133,E133)</f>
        <v>-69.013997869393407</v>
      </c>
      <c r="Q133" s="7">
        <f>[1]!EM_S_VAL_DIVIDENDYIELD2(B133,E133,"2019-11-29")</f>
        <v>0.17218188887999741</v>
      </c>
      <c r="T133"/>
      <c r="U133">
        <f>[1]!EM_S_RATIO_EPS_TTM(B133,E133,"1")</f>
        <v>0.1537835627666635</v>
      </c>
      <c r="AT133" s="4" t="str">
        <f>[1]!EM_S_IPO_LISTEDDATE(B133)</f>
        <v>2017-01-13</v>
      </c>
    </row>
    <row r="134" spans="1:46">
      <c r="A134">
        <v>21</v>
      </c>
      <c r="B134" t="str">
        <f>"000021"</f>
        <v>000021</v>
      </c>
      <c r="C134" t="s">
        <v>1832</v>
      </c>
      <c r="D134" t="str">
        <f>[1]!EM_S_INFO_INDEX_EM(B134,"1")</f>
        <v>信息技术</v>
      </c>
      <c r="E134" s="4">
        <f t="shared" si="2"/>
        <v>43465</v>
      </c>
      <c r="F134" s="11">
        <f>[1]!EM_S_PQ_PCTCHANGE(B134,"2018-01-01","2019-12-31","3")</f>
        <v>27.662594850000001</v>
      </c>
      <c r="G134" s="11">
        <f>[1]!EM_S_PQ_PCTCHANGE(B134,"2019-01-01","2019-12-31","3")</f>
        <v>114.40304648</v>
      </c>
      <c r="H134" s="11">
        <f>[1]!EM_S_FA_YOY_OR(B134,E134)</f>
        <v>13.027841413799999</v>
      </c>
      <c r="I134" s="11">
        <f>[1]!EM_S_FA_GROSSPROFITMARGIN(B134,E134)</f>
        <v>4.7006354738000002</v>
      </c>
      <c r="J134" s="11">
        <f>[1]!EM_S_FA_NETPROFITMARGIN(B134,E134)</f>
        <v>3.5201530353999999</v>
      </c>
      <c r="K134" s="10">
        <f>[1]!EM_S_FA_ASSETSTURN(B134,E134)</f>
        <v>0.99947568962</v>
      </c>
      <c r="L134" s="12">
        <f>[1]!EM_HKS_VAL_MV(B134,"2019-12-31","2")</f>
        <v>17919939041.34</v>
      </c>
      <c r="M134">
        <f>[1]!EM_S_VAL_PETTMDEDUCTED(B134,E134)</f>
        <v>-329.45348238203798</v>
      </c>
      <c r="N134" s="7">
        <f>[1]!EM_S_VAL_PBGOODWILLDEDUCTED(B134,E134)</f>
        <v>1.3480278080247401</v>
      </c>
      <c r="O134" s="7">
        <f>[1]!EM_S_VAL_PS_TTM(B134,E134)</f>
        <v>0.52560199413651398</v>
      </c>
      <c r="P134" s="7">
        <f>[1]!EM_S_VAL_PCF_NCFTTM(B134,E134)</f>
        <v>11.7783433482258</v>
      </c>
      <c r="Q134" s="7">
        <f>[1]!EM_S_VAL_DIVIDENDYIELD2(B134,E134,"2019-11-29")</f>
        <v>1.044932079414838</v>
      </c>
      <c r="T134"/>
      <c r="U134">
        <f>[1]!EM_S_RATIO_EPS_TTM(B134,E134,"1")</f>
        <v>0.36028536546346523</v>
      </c>
      <c r="AT134" s="4" t="str">
        <f>[1]!EM_S_IPO_LISTEDDATE(B134)</f>
        <v>1994-02-02</v>
      </c>
    </row>
    <row r="135" spans="1:46">
      <c r="A135">
        <v>898</v>
      </c>
      <c r="B135" t="str">
        <f>"002387"</f>
        <v>002387</v>
      </c>
      <c r="C135" t="s">
        <v>3583</v>
      </c>
      <c r="D135" t="str">
        <f>[1]!EM_S_INFO_INDEX_EM(B135,"1")</f>
        <v>电子设备</v>
      </c>
      <c r="E135" s="4">
        <f t="shared" si="2"/>
        <v>43465</v>
      </c>
      <c r="F135" s="11">
        <f>[1]!EM_S_PQ_PCTCHANGE(B135,"2018-01-01","2019-12-31","3")</f>
        <v>-4.9611476400000001</v>
      </c>
      <c r="G135" s="11">
        <f>[1]!EM_S_PQ_PCTCHANGE(B135,"2018-12-31","2019-12-30","1")</f>
        <v>113.91076115</v>
      </c>
      <c r="H135" s="11">
        <f>[1]!EM_S_FA_YOY_OR(B135,E135)</f>
        <v>5504.4428991492996</v>
      </c>
      <c r="I135" s="11">
        <f>[1]!EM_S_FA_GROSSPROFITMARGIN(B135,E135)</f>
        <v>-2.4001543798</v>
      </c>
      <c r="J135" s="11">
        <f>[1]!EM_S_FA_NETPROFITMARGIN(B135,E135)</f>
        <v>1.7160599227</v>
      </c>
      <c r="K135" s="10">
        <f>[1]!EM_S_FA_ASSETSTURN(B135,E135)</f>
        <v>7.7192080146E-2</v>
      </c>
      <c r="L135" s="12">
        <f>[1]!EM_HKS_VAL_MV(B135,"2019-12-31","2")</f>
        <v>21745842431.400002</v>
      </c>
      <c r="M135">
        <f>[1]!EM_S_VAL_PETTMDEDUCTED(B135,E135)</f>
        <v>-11.8291227634006</v>
      </c>
      <c r="N135" s="7">
        <f>[1]!EM_S_VAL_PBGOODWILLDEDUCTED(B135,E135)</f>
        <v>0.73841697260116901</v>
      </c>
      <c r="O135" s="7">
        <f>[1]!EM_S_VAL_PS_TTM(B135,E135)</f>
        <v>11.066260873209499</v>
      </c>
      <c r="P135" s="7">
        <f>[1]!EM_S_VAL_PCF_NCFTTM(B135,E135)</f>
        <v>1.5086470638322</v>
      </c>
      <c r="Q135" s="7">
        <f>[1]!EM_S_VAL_DIVIDENDYIELD2(B135,E135,"2019-11-29")</f>
        <v>0</v>
      </c>
      <c r="T135"/>
      <c r="U135">
        <f>[1]!EM_S_RATIO_EPS_TTM(B135,E135,"1")</f>
        <v>2.5327479309549174E-2</v>
      </c>
      <c r="AT135" s="4" t="str">
        <f>[1]!EM_S_IPO_LISTEDDATE(B135)</f>
        <v>2010-04-13</v>
      </c>
    </row>
    <row r="136" spans="1:46">
      <c r="A136">
        <v>2836</v>
      </c>
      <c r="B136" t="str">
        <f>"600763"</f>
        <v>600763</v>
      </c>
      <c r="C136" t="s">
        <v>202</v>
      </c>
      <c r="D136" t="str">
        <f>[1]!EM_S_INFO_INDEX_EM(B136,"1")</f>
        <v>医药生物</v>
      </c>
      <c r="E136" s="4">
        <f t="shared" si="2"/>
        <v>43465</v>
      </c>
      <c r="F136" s="11">
        <f>[1]!EM_S_PQ_PCTCHANGE(B136,"2018-01-01","2019-12-31","3")</f>
        <v>217.44107294</v>
      </c>
      <c r="G136" s="11">
        <f>[1]!EM_S_PQ_PCTCHANGE(B136,"2018-12-31","2019-12-30","1")</f>
        <v>113.39793554000001</v>
      </c>
      <c r="H136" s="11">
        <f>[1]!EM_S_FA_YOY_OR(B136,E136)</f>
        <v>31.050860205599999</v>
      </c>
      <c r="I136" s="11">
        <f>[1]!EM_S_FA_GROSSPROFITMARGIN(B136,E136)</f>
        <v>43.289339135600002</v>
      </c>
      <c r="J136" s="11">
        <f>[1]!EM_S_FA_NETPROFITMARGIN(B136,E136)</f>
        <v>23.233588121</v>
      </c>
      <c r="K136" s="10">
        <f>[1]!EM_S_FA_ASSETSTURN(B136,E136)</f>
        <v>0.78734672835599995</v>
      </c>
      <c r="L136" s="12">
        <f>[1]!EM_HKS_VAL_MV(B136,"2019-12-31","2")</f>
        <v>32875219200</v>
      </c>
      <c r="M136">
        <f>[1]!EM_S_VAL_PETTMDEDUCTED(B136,E136)</f>
        <v>50.013945998719898</v>
      </c>
      <c r="N136" s="7">
        <f>[1]!EM_S_VAL_PBGOODWILLDEDUCTED(B136,E136)</f>
        <v>11.953685370926699</v>
      </c>
      <c r="O136" s="7">
        <f>[1]!EM_S_VAL_PS_TTM(B136,E136)</f>
        <v>10.332861710298699</v>
      </c>
      <c r="P136" s="7">
        <f>[1]!EM_S_VAL_PCF_NCFTTM(B136,E136)</f>
        <v>74.556271652915697</v>
      </c>
      <c r="Q136" s="7">
        <f>[1]!EM_S_VAL_DIVIDENDYIELD2(B136,E136,"2019-11-29")</f>
        <v>0</v>
      </c>
      <c r="T136"/>
      <c r="U136">
        <f>[1]!EM_S_RATIO_EPS_TTM(B136,E136,"1")</f>
        <v>1.0357188698228543</v>
      </c>
      <c r="AT136" s="4" t="str">
        <f>[1]!EM_S_IPO_LISTEDDATE(B136)</f>
        <v>1996-10-30</v>
      </c>
    </row>
    <row r="137" spans="1:46">
      <c r="A137">
        <v>3163</v>
      </c>
      <c r="B137" t="str">
        <f>"601872"</f>
        <v>601872</v>
      </c>
      <c r="C137" t="s">
        <v>2842</v>
      </c>
      <c r="D137" t="str">
        <f>[1]!EM_S_INFO_INDEX_EM(B137,"1")</f>
        <v>交通运输</v>
      </c>
      <c r="E137" s="4">
        <f t="shared" si="2"/>
        <v>43465</v>
      </c>
      <c r="F137" s="11">
        <f>[1]!EM_S_PQ_PCTCHANGE(B137,"2018-01-01","2019-12-31","3")</f>
        <v>92.539706269999996</v>
      </c>
      <c r="G137" s="11">
        <f>[1]!EM_S_PQ_PCTCHANGE(B137,"2018-12-31","2019-12-30","1")</f>
        <v>113.27913279000001</v>
      </c>
      <c r="H137" s="11">
        <f>[1]!EM_S_FA_YOY_OR(B137,E137)</f>
        <v>13.784874118799999</v>
      </c>
      <c r="I137" s="11">
        <f>[1]!EM_S_FA_GROSSPROFITMARGIN(B137,E137)</f>
        <v>17.720794433999998</v>
      </c>
      <c r="J137" s="11">
        <f>[1]!EM_S_FA_NETPROFITMARGIN(B137,E137)</f>
        <v>9.9698598522000008</v>
      </c>
      <c r="K137" s="10">
        <f>[1]!EM_S_FA_ASSETSTURN(B137,E137)</f>
        <v>0.24915191758399999</v>
      </c>
      <c r="L137" s="12">
        <f>[1]!EM_HKS_VAL_MV(B137,"2019-12-31","2")</f>
        <v>50110220546.82</v>
      </c>
      <c r="M137">
        <f>[1]!EM_S_VAL_PETTMDEDUCTED(B137,E137)</f>
        <v>-549.40481752016206</v>
      </c>
      <c r="N137" s="7">
        <f>[1]!EM_S_VAL_PBGOODWILLDEDUCTED(B137,E137)</f>
        <v>1.1070857788473301</v>
      </c>
      <c r="O137" s="7">
        <f>[1]!EM_S_VAL_PS_TTM(B137,E137)</f>
        <v>3.4664112589882001</v>
      </c>
      <c r="P137" s="7">
        <f>[1]!EM_S_VAL_PCF_NCFTTM(B137,E137)</f>
        <v>-16.6228936763601</v>
      </c>
      <c r="Q137" s="7">
        <f>[1]!EM_S_VAL_DIVIDENDYIELD2(B137,E137,"2019-11-29")</f>
        <v>0.97643097643097621</v>
      </c>
      <c r="T137"/>
      <c r="U137">
        <f>[1]!EM_S_RATIO_EPS_TTM(B137,E137,"1")</f>
        <v>0.19236334889511311</v>
      </c>
      <c r="AT137" s="4" t="str">
        <f>[1]!EM_S_IPO_LISTEDDATE(B137)</f>
        <v>2006-12-01</v>
      </c>
    </row>
    <row r="138" spans="1:46">
      <c r="A138">
        <v>2321</v>
      </c>
      <c r="B138" t="str">
        <f>"600183"</f>
        <v>600183</v>
      </c>
      <c r="C138" t="s">
        <v>459</v>
      </c>
      <c r="D138" t="str">
        <f>[1]!EM_S_INFO_INDEX_EM(B138,"1")</f>
        <v>电子设备</v>
      </c>
      <c r="E138" s="4">
        <f t="shared" si="2"/>
        <v>43465</v>
      </c>
      <c r="F138" s="11">
        <f>[1]!EM_S_PQ_PCTCHANGE(B138,"2018-01-01","2019-12-31","3")</f>
        <v>86.196086550000004</v>
      </c>
      <c r="G138" s="11">
        <f>[1]!EM_S_PQ_PCTCHANGE(B138,"2019-01-01","2019-12-31","3")</f>
        <v>113.19982036</v>
      </c>
      <c r="H138" s="11">
        <f>[1]!EM_S_FA_YOY_OR(B138,E138)</f>
        <v>11.4529596394</v>
      </c>
      <c r="I138" s="11">
        <f>[1]!EM_S_FA_GROSSPROFITMARGIN(B138,E138)</f>
        <v>22.176097835099998</v>
      </c>
      <c r="J138" s="11">
        <f>[1]!EM_S_FA_NETPROFITMARGIN(B138,E138)</f>
        <v>8.8886939600999995</v>
      </c>
      <c r="K138" s="10">
        <f>[1]!EM_S_FA_ASSETSTURN(B138,E138)</f>
        <v>0.93140543294900002</v>
      </c>
      <c r="L138" s="12">
        <f>[1]!EM_HKS_VAL_MV(B138,"2019-12-31","2")</f>
        <v>47617922832.800003</v>
      </c>
      <c r="M138">
        <f>[1]!EM_S_VAL_PETTMDEDUCTED(B138,E138)</f>
        <v>21.849999011001</v>
      </c>
      <c r="N138" s="7">
        <f>[1]!EM_S_VAL_PBGOODWILLDEDUCTED(B138,E138)</f>
        <v>3.4874803462530499</v>
      </c>
      <c r="O138" s="7">
        <f>[1]!EM_S_VAL_PS_TTM(B138,E138)</f>
        <v>1.7755308193419801</v>
      </c>
      <c r="P138" s="7">
        <f>[1]!EM_S_VAL_PCF_NCFTTM(B138,E138)</f>
        <v>44.788342250396703</v>
      </c>
      <c r="Q138" s="7">
        <f>[1]!EM_S_VAL_DIVIDENDYIELD2(B138,E138,"2019-11-29")</f>
        <v>1.4234480467619584</v>
      </c>
      <c r="T138"/>
      <c r="U138">
        <f>[1]!EM_S_RATIO_EPS_TTM(B138,E138,"1")</f>
        <v>0.47247835910662778</v>
      </c>
      <c r="AT138" s="4" t="str">
        <f>[1]!EM_S_IPO_LISTEDDATE(B138)</f>
        <v>1998-10-28</v>
      </c>
    </row>
    <row r="139" spans="1:46">
      <c r="A139">
        <v>367</v>
      </c>
      <c r="B139" t="str">
        <f>"000810"</f>
        <v>000810</v>
      </c>
      <c r="C139" t="s">
        <v>1078</v>
      </c>
      <c r="D139" t="str">
        <f>[1]!EM_S_INFO_INDEX_EM(B139,"1")</f>
        <v>家电</v>
      </c>
      <c r="E139" s="4">
        <f t="shared" si="2"/>
        <v>43465</v>
      </c>
      <c r="F139" s="11">
        <f>[1]!EM_S_PQ_PCTCHANGE(B139,"2018-01-01","2019-12-31","3")</f>
        <v>74.039643799999993</v>
      </c>
      <c r="G139" s="11">
        <f>[1]!EM_S_PQ_PCTCHANGE(B139,"2018-12-31","2019-12-30","1")</f>
        <v>112.05035971</v>
      </c>
      <c r="H139" s="11">
        <f>[1]!EM_S_FA_YOY_OR(B139,E139)</f>
        <v>7.0239282833000001</v>
      </c>
      <c r="I139" s="11">
        <f>[1]!EM_S_FA_GROSSPROFITMARGIN(B139,E139)</f>
        <v>16.5901517703</v>
      </c>
      <c r="J139" s="11">
        <f>[1]!EM_S_FA_NETPROFITMARGIN(B139,E139)</f>
        <v>4.0729542149000002</v>
      </c>
      <c r="K139" s="10">
        <f>[1]!EM_S_FA_ASSETSTURN(B139,E139)</f>
        <v>0.97483527299100003</v>
      </c>
      <c r="L139" s="12">
        <f>[1]!EM_HKS_VAL_MV(B139,"2019-12-31","2")</f>
        <v>12688819572.66</v>
      </c>
      <c r="M139">
        <f>[1]!EM_S_VAL_PETTMDEDUCTED(B139,E139)</f>
        <v>26.4554249480781</v>
      </c>
      <c r="N139" s="7">
        <f>[1]!EM_S_VAL_PBGOODWILLDEDUCTED(B139,E139)</f>
        <v>2.0202658048209101</v>
      </c>
      <c r="O139" s="7">
        <f>[1]!EM_S_VAL_PS_TTM(B139,E139)</f>
        <v>0.78720504292135196</v>
      </c>
      <c r="P139" s="7">
        <f>[1]!EM_S_VAL_PCF_NCFTTM(B139,E139)</f>
        <v>-11.793922893750899</v>
      </c>
      <c r="Q139" s="7">
        <f>[1]!EM_S_VAL_DIVIDENDYIELD2(B139,E139,"2019-11-29")</f>
        <v>0</v>
      </c>
      <c r="T139"/>
      <c r="U139">
        <f>[1]!EM_S_RATIO_EPS_TTM(B139,E139,"1")</f>
        <v>0.30532103403501387</v>
      </c>
      <c r="AT139" s="4" t="str">
        <f>[1]!EM_S_IPO_LISTEDDATE(B139)</f>
        <v>1998-06-02</v>
      </c>
    </row>
    <row r="140" spans="1:46">
      <c r="A140">
        <v>1858</v>
      </c>
      <c r="B140" t="str">
        <f>"300433"</f>
        <v>300433</v>
      </c>
      <c r="C140" t="s">
        <v>2562</v>
      </c>
      <c r="D140" t="str">
        <f>[1]!EM_S_INFO_INDEX_EM(B140,"1")</f>
        <v>电子设备</v>
      </c>
      <c r="E140" s="4">
        <f t="shared" si="2"/>
        <v>43465</v>
      </c>
      <c r="F140" s="11">
        <f>[1]!EM_S_PQ_PCTCHANGE(B140,"2018-01-01","2019-12-31","3")</f>
        <v>-29.559188420000002</v>
      </c>
      <c r="G140" s="11">
        <f>[1]!EM_S_PQ_PCTCHANGE(B140,"2018-12-31","2019-12-30","1")</f>
        <v>111.82795699</v>
      </c>
      <c r="H140" s="11">
        <f>[1]!EM_S_FA_YOY_OR(B140,E140)</f>
        <v>16.936847563499999</v>
      </c>
      <c r="I140" s="11">
        <f>[1]!EM_S_FA_GROSSPROFITMARGIN(B140,E140)</f>
        <v>22.630778678799999</v>
      </c>
      <c r="J140" s="11">
        <f>[1]!EM_S_FA_NETPROFITMARGIN(B140,E140)</f>
        <v>2.1668740877000001</v>
      </c>
      <c r="K140" s="10">
        <f>[1]!EM_S_FA_ASSETSTURN(B140,E140)</f>
        <v>0.70293425415599997</v>
      </c>
      <c r="L140" s="12">
        <f>[1]!EM_HKS_VAL_MV(B140,"2019-12-31","2")</f>
        <v>58749050158.279999</v>
      </c>
      <c r="M140">
        <f>[1]!EM_S_VAL_PETTMDEDUCTED(B140,E140)</f>
        <v>24.5785708026905</v>
      </c>
      <c r="N140" s="7">
        <f>[1]!EM_S_VAL_PBGOODWILLDEDUCTED(B140,E140)</f>
        <v>1.5856287951497099</v>
      </c>
      <c r="O140" s="7">
        <f>[1]!EM_S_VAL_PS_TTM(B140,E140)</f>
        <v>0.92690161624235301</v>
      </c>
      <c r="P140" s="7">
        <f>[1]!EM_S_VAL_PCF_NCFTTM(B140,E140)</f>
        <v>11.168491217011001</v>
      </c>
      <c r="Q140" s="7">
        <f>[1]!EM_S_VAL_DIVIDENDYIELD2(B140,E140,"2019-11-29")</f>
        <v>0.18416642882224962</v>
      </c>
      <c r="T140"/>
      <c r="U140">
        <f>[1]!EM_S_RATIO_EPS_TTM(B140,E140,"1")</f>
        <v>0.16222058792326766</v>
      </c>
      <c r="AT140" s="4" t="str">
        <f>[1]!EM_S_IPO_LISTEDDATE(B140)</f>
        <v>2015-03-18</v>
      </c>
    </row>
    <row r="141" spans="1:46">
      <c r="A141">
        <v>3401</v>
      </c>
      <c r="B141" t="str">
        <f>"603444"</f>
        <v>603444</v>
      </c>
      <c r="C141" t="s">
        <v>179</v>
      </c>
      <c r="D141" t="str">
        <f>[1]!EM_S_INFO_INDEX_EM(B141,"1")</f>
        <v>互联网</v>
      </c>
      <c r="E141" s="4">
        <f t="shared" si="2"/>
        <v>43465</v>
      </c>
      <c r="F141" s="11">
        <f>[1]!EM_S_PQ_PCTCHANGE(B141,"2018-01-01","2019-12-31","3")</f>
        <v>72.74578339</v>
      </c>
      <c r="G141" s="11">
        <f>[1]!EM_S_PQ_PCTCHANGE(B141,"2019-01-01","2019-12-31","3")</f>
        <v>111.11875021</v>
      </c>
      <c r="H141" s="11">
        <f>[1]!EM_S_FA_YOY_OR(B141,E141)</f>
        <v>14.908766352700001</v>
      </c>
      <c r="I141" s="11">
        <f>[1]!EM_S_FA_GROSSPROFITMARGIN(B141,E141)</f>
        <v>92.239647581900002</v>
      </c>
      <c r="J141" s="11">
        <f>[1]!EM_S_FA_NETPROFITMARGIN(B141,E141)</f>
        <v>55.500228496399998</v>
      </c>
      <c r="K141" s="10">
        <f>[1]!EM_S_FA_ASSETSTURN(B141,E141)</f>
        <v>0.46273554830000002</v>
      </c>
      <c r="L141" s="12">
        <f>[1]!EM_HKS_VAL_MV(B141,"2019-12-31","2")</f>
        <v>21456125340.25</v>
      </c>
      <c r="M141">
        <f>[1]!EM_S_VAL_PETTMDEDUCTED(B141,E141)</f>
        <v>17.8344825427755</v>
      </c>
      <c r="N141" s="7">
        <f>[1]!EM_S_VAL_PBGOODWILLDEDUCTED(B141,E141)</f>
        <v>3.6644732436449101</v>
      </c>
      <c r="O141" s="7">
        <f>[1]!EM_S_VAL_PS_TTM(B141,E141)</f>
        <v>6.9317587647050001</v>
      </c>
      <c r="P141" s="7">
        <f>[1]!EM_S_VAL_PCF_NCFTTM(B141,E141)</f>
        <v>-88.016495155865201</v>
      </c>
      <c r="Q141" s="7">
        <f>[1]!EM_S_VAL_DIVIDENDYIELD2(B141,E141,"2019-11-29")</f>
        <v>3.4098271217649265</v>
      </c>
      <c r="T141"/>
      <c r="U141">
        <f>[1]!EM_S_RATIO_EPS_TTM(B141,E141,"1")</f>
        <v>10.057726439742231</v>
      </c>
      <c r="AT141" s="4" t="str">
        <f>[1]!EM_S_IPO_LISTEDDATE(B141)</f>
        <v>2017-01-04</v>
      </c>
    </row>
    <row r="142" spans="1:46">
      <c r="A142">
        <v>1961</v>
      </c>
      <c r="B142" t="str">
        <f>"300537"</f>
        <v>300537</v>
      </c>
      <c r="C142" t="s">
        <v>1797</v>
      </c>
      <c r="D142" t="str">
        <f>[1]!EM_S_INFO_INDEX_EM(B142,"1")</f>
        <v>基础化工</v>
      </c>
      <c r="E142" s="4">
        <f t="shared" si="2"/>
        <v>43465</v>
      </c>
      <c r="F142" s="11">
        <f>[1]!EM_S_PQ_PCTCHANGE(B142,"2018-01-01","2019-12-31","3")</f>
        <v>22.529685090000001</v>
      </c>
      <c r="G142" s="11">
        <f>[1]!EM_S_PQ_PCTCHANGE(B142,"2018-12-31","2019-12-30","1")</f>
        <v>110.66376495999999</v>
      </c>
      <c r="H142" s="11">
        <f>[1]!EM_S_FA_YOY_OR(B142,E142)</f>
        <v>42.400097450700002</v>
      </c>
      <c r="I142" s="11">
        <f>[1]!EM_S_FA_GROSSPROFITMARGIN(B142,E142)</f>
        <v>37.285563732200004</v>
      </c>
      <c r="J142" s="11">
        <f>[1]!EM_S_FA_NETPROFITMARGIN(B142,E142)</f>
        <v>8.5170814531999994</v>
      </c>
      <c r="K142" s="10">
        <f>[1]!EM_S_FA_ASSETSTURN(B142,E142)</f>
        <v>0.380315822631</v>
      </c>
      <c r="L142" s="12">
        <f>[1]!EM_HKS_VAL_MV(B142,"2019-12-31","2")</f>
        <v>3640500234.2399998</v>
      </c>
      <c r="M142">
        <f>[1]!EM_S_VAL_PETTMDEDUCTED(B142,E142)</f>
        <v>35.752693556412098</v>
      </c>
      <c r="N142" s="7">
        <f>[1]!EM_S_VAL_PBGOODWILLDEDUCTED(B142,E142)</f>
        <v>2.9740996293130402</v>
      </c>
      <c r="O142" s="7">
        <f>[1]!EM_S_VAL_PS_TTM(B142,E142)</f>
        <v>2.9596260264380798</v>
      </c>
      <c r="P142" s="7">
        <f>[1]!EM_S_VAL_PCF_NCFTTM(B142,E142)</f>
        <v>-9.9662809273906703</v>
      </c>
      <c r="Q142" s="7">
        <f>[1]!EM_S_VAL_DIVIDENDYIELD2(B142,E142,"2019-11-29")</f>
        <v>0.33726812816188867</v>
      </c>
      <c r="T142"/>
      <c r="U142">
        <f>[1]!EM_S_RATIO_EPS_TTM(B142,E142,"1")</f>
        <v>0.28508504370028276</v>
      </c>
      <c r="AT142" s="4" t="str">
        <f>[1]!EM_S_IPO_LISTEDDATE(B142)</f>
        <v>2016-08-30</v>
      </c>
    </row>
    <row r="143" spans="1:46">
      <c r="A143">
        <v>1794</v>
      </c>
      <c r="B143" t="str">
        <f>"300369"</f>
        <v>300369</v>
      </c>
      <c r="C143" t="s">
        <v>3375</v>
      </c>
      <c r="D143" t="str">
        <f>[1]!EM_S_INFO_INDEX_EM(B143,"1")</f>
        <v>信息技术</v>
      </c>
      <c r="E143" s="4">
        <f t="shared" si="2"/>
        <v>43465</v>
      </c>
      <c r="F143" s="11">
        <f>[1]!EM_S_PQ_PCTCHANGE(B143,"2018-01-01","2019-12-31","3")</f>
        <v>101.28587782</v>
      </c>
      <c r="G143" s="11">
        <f>[1]!EM_S_PQ_PCTCHANGE(B143,"2018-12-31","2019-12-30","1")</f>
        <v>110.39260969999999</v>
      </c>
      <c r="H143" s="11">
        <f>[1]!EM_S_FA_YOY_OR(B143,E143)</f>
        <v>7.1651084848000002</v>
      </c>
      <c r="I143" s="11">
        <f>[1]!EM_S_FA_GROSSPROFITMARGIN(B143,E143)</f>
        <v>76.926842909200005</v>
      </c>
      <c r="J143" s="11">
        <f>[1]!EM_S_FA_NETPROFITMARGIN(B143,E143)</f>
        <v>12.450957798899999</v>
      </c>
      <c r="K143" s="10">
        <f>[1]!EM_S_FA_ASSETSTURN(B143,E143)</f>
        <v>0.35426651993000002</v>
      </c>
      <c r="L143" s="12">
        <f>[1]!EM_HKS_VAL_MV(B143,"2019-12-31","2")</f>
        <v>14461892017.32</v>
      </c>
      <c r="M143">
        <f>[1]!EM_S_VAL_PETTMDEDUCTED(B143,E143)</f>
        <v>66.117355520901299</v>
      </c>
      <c r="N143" s="7">
        <f>[1]!EM_S_VAL_PBGOODWILLDEDUCTED(B143,E143)</f>
        <v>2.5773821660187801</v>
      </c>
      <c r="O143" s="7">
        <f>[1]!EM_S_VAL_PS_TTM(B143,E143)</f>
        <v>4.9900238207576004</v>
      </c>
      <c r="P143" s="7">
        <f>[1]!EM_S_VAL_PCF_NCFTTM(B143,E143)</f>
        <v>246.01661300969701</v>
      </c>
      <c r="Q143" s="7">
        <f>[1]!EM_S_VAL_DIVIDENDYIELD2(B143,E143,"2019-11-29")</f>
        <v>0.34626692650980156</v>
      </c>
      <c r="T143"/>
      <c r="U143">
        <f>[1]!EM_S_RATIO_EPS_TTM(B143,E143,"1")</f>
        <v>0.21017329690044334</v>
      </c>
      <c r="AT143" s="4" t="str">
        <f>[1]!EM_S_IPO_LISTEDDATE(B143)</f>
        <v>2014-01-29</v>
      </c>
    </row>
    <row r="144" spans="1:46">
      <c r="A144">
        <v>913</v>
      </c>
      <c r="B144" t="str">
        <f>"002402"</f>
        <v>002402</v>
      </c>
      <c r="C144" t="s">
        <v>580</v>
      </c>
      <c r="D144" t="str">
        <f>[1]!EM_S_INFO_INDEX_EM(B144,"1")</f>
        <v>电子设备</v>
      </c>
      <c r="E144" s="4">
        <f t="shared" si="2"/>
        <v>43465</v>
      </c>
      <c r="F144" s="11">
        <f>[1]!EM_S_PQ_PCTCHANGE(B144,"2018-01-01","2019-12-31","3")</f>
        <v>41.70037851</v>
      </c>
      <c r="G144" s="11">
        <f>[1]!EM_S_PQ_PCTCHANGE(B144,"2019-01-01","2019-12-31","3")</f>
        <v>110.0552036</v>
      </c>
      <c r="H144" s="11">
        <f>[1]!EM_S_FA_YOY_OR(B144,E144)</f>
        <v>35.002247538299997</v>
      </c>
      <c r="I144" s="11">
        <f>[1]!EM_S_FA_GROSSPROFITMARGIN(B144,E144)</f>
        <v>20.622807654599999</v>
      </c>
      <c r="J144" s="11">
        <f>[1]!EM_S_FA_NETPROFITMARGIN(B144,E144)</f>
        <v>8.8239173902000001</v>
      </c>
      <c r="K144" s="10">
        <f>[1]!EM_S_FA_ASSETSTURN(B144,E144)</f>
        <v>0.93362173852700003</v>
      </c>
      <c r="L144" s="12">
        <f>[1]!EM_HKS_VAL_MV(B144,"2019-12-31","2")</f>
        <v>11277720684.299999</v>
      </c>
      <c r="M144">
        <f>[1]!EM_S_VAL_PETTMDEDUCTED(B144,E144)</f>
        <v>25.368300954295201</v>
      </c>
      <c r="N144" s="7">
        <f>[1]!EM_S_VAL_PBGOODWILLDEDUCTED(B144,E144)</f>
        <v>5.0159771450442303</v>
      </c>
      <c r="O144" s="7">
        <f>[1]!EM_S_VAL_PS_TTM(B144,E144)</f>
        <v>2.1535268412491302</v>
      </c>
      <c r="P144" s="7">
        <f>[1]!EM_S_VAL_PCF_NCFTTM(B144,E144)</f>
        <v>-398.27317514387801</v>
      </c>
      <c r="Q144" s="7">
        <f>[1]!EM_S_VAL_DIVIDENDYIELD2(B144,E144,"2019-11-29")</f>
        <v>0.36900369003690042</v>
      </c>
      <c r="T144"/>
      <c r="U144">
        <f>[1]!EM_S_RATIO_EPS_TTM(B144,E144,"1")</f>
        <v>0.25934933403563371</v>
      </c>
      <c r="AT144" s="4" t="str">
        <f>[1]!EM_S_IPO_LISTEDDATE(B144)</f>
        <v>2010-05-11</v>
      </c>
    </row>
    <row r="145" spans="1:46">
      <c r="A145">
        <v>1561</v>
      </c>
      <c r="B145" t="str">
        <f>"300136"</f>
        <v>300136</v>
      </c>
      <c r="C145" t="s">
        <v>141</v>
      </c>
      <c r="D145" t="str">
        <f>[1]!EM_S_INFO_INDEX_EM(B145,"1")</f>
        <v>电子设备</v>
      </c>
      <c r="E145" s="4">
        <f t="shared" si="2"/>
        <v>43465</v>
      </c>
      <c r="F145" s="11">
        <f>[1]!EM_S_PQ_PCTCHANGE(B145,"2018-01-01","2019-12-31","3")</f>
        <v>-10.283662830000001</v>
      </c>
      <c r="G145" s="11">
        <f>[1]!EM_S_PQ_PCTCHANGE(B145,"2019-01-01","2019-12-31","3")</f>
        <v>109.99537251</v>
      </c>
      <c r="H145" s="11">
        <f>[1]!EM_S_FA_YOY_OR(B145,E145)</f>
        <v>37.037194881399998</v>
      </c>
      <c r="I145" s="11">
        <f>[1]!EM_S_FA_GROSSPROFITMARGIN(B145,E145)</f>
        <v>36.511472802599997</v>
      </c>
      <c r="J145" s="11">
        <f>[1]!EM_S_FA_NETPROFITMARGIN(B145,E145)</f>
        <v>21.030730646599999</v>
      </c>
      <c r="K145" s="10">
        <f>[1]!EM_S_FA_ASSETSTURN(B145,E145)</f>
        <v>0.75010019730800004</v>
      </c>
      <c r="L145" s="12">
        <f>[1]!EM_HKS_VAL_MV(B145,"2019-12-31","2")</f>
        <v>43956881657.080002</v>
      </c>
      <c r="M145">
        <f>[1]!EM_S_VAL_PETTMDEDUCTED(B145,E145)</f>
        <v>24.659635089978199</v>
      </c>
      <c r="N145" s="7">
        <f>[1]!EM_S_VAL_PBGOODWILLDEDUCTED(B145,E145)</f>
        <v>6.7215121374399702</v>
      </c>
      <c r="O145" s="7">
        <f>[1]!EM_S_VAL_PS_TTM(B145,E145)</f>
        <v>4.8907420097779797</v>
      </c>
      <c r="P145" s="7">
        <f>[1]!EM_S_VAL_PCF_NCFTTM(B145,E145)</f>
        <v>193.18268269276601</v>
      </c>
      <c r="Q145" s="7">
        <f>[1]!EM_S_VAL_DIVIDENDYIELD2(B145,E145,"2019-11-29")</f>
        <v>0</v>
      </c>
      <c r="T145"/>
      <c r="U145">
        <f>[1]!EM_S_RATIO_EPS_TTM(B145,E145,"1")</f>
        <v>1.0125103734919167</v>
      </c>
      <c r="AT145" s="4" t="str">
        <f>[1]!EM_S_IPO_LISTEDDATE(B145)</f>
        <v>2010-11-05</v>
      </c>
    </row>
    <row r="146" spans="1:46">
      <c r="A146">
        <v>2587</v>
      </c>
      <c r="B146" t="str">
        <f>"600505"</f>
        <v>600505</v>
      </c>
      <c r="C146" t="s">
        <v>2998</v>
      </c>
      <c r="D146" t="str">
        <f>[1]!EM_S_INFO_INDEX_EM(B146,"1")</f>
        <v>公用事业</v>
      </c>
      <c r="E146" s="4">
        <f t="shared" si="2"/>
        <v>43465</v>
      </c>
      <c r="F146" s="11">
        <f>[1]!EM_S_PQ_PCTCHANGE(B146,"2018-01-01","2019-12-31","3")</f>
        <v>33.728576889999999</v>
      </c>
      <c r="G146" s="11">
        <f>[1]!EM_S_PQ_PCTCHANGE(B146,"2018-12-31","2019-12-30","1")</f>
        <v>109.36819172</v>
      </c>
      <c r="H146" s="11">
        <f>[1]!EM_S_FA_YOY_OR(B146,E146)</f>
        <v>2.7877971292999999</v>
      </c>
      <c r="I146" s="11">
        <f>[1]!EM_S_FA_GROSSPROFITMARGIN(B146,E146)</f>
        <v>24.145712487099999</v>
      </c>
      <c r="J146" s="11">
        <f>[1]!EM_S_FA_NETPROFITMARGIN(B146,E146)</f>
        <v>7.4767446180999997</v>
      </c>
      <c r="K146" s="10">
        <f>[1]!EM_S_FA_ASSETSTURN(B146,E146)</f>
        <v>0.34456757847399999</v>
      </c>
      <c r="L146" s="12">
        <f>[1]!EM_HKS_VAL_MV(B146,"2019-12-31","2")</f>
        <v>3477973950</v>
      </c>
      <c r="M146">
        <f>[1]!EM_S_VAL_PETTMDEDUCTED(B146,E146)</f>
        <v>36.410431797891398</v>
      </c>
      <c r="N146" s="7">
        <f>[1]!EM_S_VAL_PBGOODWILLDEDUCTED(B146,E146)</f>
        <v>1.5030424357657499</v>
      </c>
      <c r="O146" s="7">
        <f>[1]!EM_S_VAL_PS_TTM(B146,E146)</f>
        <v>1.7697284185400199</v>
      </c>
      <c r="P146" s="7">
        <f>[1]!EM_S_VAL_PCF_NCFTTM(B146,E146)</f>
        <v>15.0231473038082</v>
      </c>
      <c r="Q146" s="7">
        <f>[1]!EM_S_VAL_DIVIDENDYIELD2(B146,E146,"2019-11-29")</f>
        <v>0.58492688413948257</v>
      </c>
      <c r="T146"/>
      <c r="U146">
        <f>[1]!EM_S_RATIO_EPS_TTM(B146,E146,"1")</f>
        <v>0.17288307139281478</v>
      </c>
      <c r="AT146" s="4" t="str">
        <f>[1]!EM_S_IPO_LISTEDDATE(B146)</f>
        <v>2002-05-30</v>
      </c>
    </row>
    <row r="147" spans="1:46">
      <c r="A147">
        <v>2714</v>
      </c>
      <c r="B147" t="str">
        <f>"600641"</f>
        <v>600641</v>
      </c>
      <c r="C147" t="s">
        <v>98</v>
      </c>
      <c r="D147" t="str">
        <f>[1]!EM_S_INFO_INDEX_EM(B147,"1")</f>
        <v>房地产</v>
      </c>
      <c r="E147" s="4">
        <f t="shared" si="2"/>
        <v>43465</v>
      </c>
      <c r="F147" s="11">
        <f>[1]!EM_S_PQ_PCTCHANGE(B147,"2018-01-01","2019-12-31","3")</f>
        <v>49.998744790000003</v>
      </c>
      <c r="G147" s="11">
        <f>[1]!EM_S_PQ_PCTCHANGE(B147,"2018-12-31","2019-12-30","1")</f>
        <v>108.70044052999999</v>
      </c>
      <c r="H147" s="11">
        <f>[1]!EM_S_FA_YOY_OR(B147,E147)</f>
        <v>27.812924678200002</v>
      </c>
      <c r="I147" s="11">
        <f>[1]!EM_S_FA_GROSSPROFITMARGIN(B147,E147)</f>
        <v>55.034875020000001</v>
      </c>
      <c r="J147" s="11">
        <f>[1]!EM_S_FA_NETPROFITMARGIN(B147,E147)</f>
        <v>36.297810152499999</v>
      </c>
      <c r="K147" s="10">
        <f>[1]!EM_S_FA_ASSETSTURN(B147,E147)</f>
        <v>0.31847095975400003</v>
      </c>
      <c r="L147" s="12">
        <f>[1]!EM_HKS_VAL_MV(B147,"2019-12-31","2")</f>
        <v>15155784462.4</v>
      </c>
      <c r="M147">
        <f>[1]!EM_S_VAL_PETTMDEDUCTED(B147,E147)</f>
        <v>7.6209893162128504</v>
      </c>
      <c r="N147" s="7">
        <f>[1]!EM_S_VAL_PBGOODWILLDEDUCTED(B147,E147)</f>
        <v>1.23956593436929</v>
      </c>
      <c r="O147" s="7">
        <f>[1]!EM_S_VAL_PS_TTM(B147,E147)</f>
        <v>2.7166005046300898</v>
      </c>
      <c r="P147" s="7">
        <f>[1]!EM_S_VAL_PCF_NCFTTM(B147,E147)</f>
        <v>21.137596563842699</v>
      </c>
      <c r="Q147" s="7">
        <f>[1]!EM_S_VAL_DIVIDENDYIELD2(B147,E147,"2019-11-29")</f>
        <v>1.4000000000000001</v>
      </c>
      <c r="U147">
        <f>[1]!EM_S_RATIO_EPS_TTM(B147,E147,"1")</f>
        <v>1.2058533133724674</v>
      </c>
      <c r="AT147" s="4" t="str">
        <f>[1]!EM_S_IPO_LISTEDDATE(B147)</f>
        <v>1993-04-07</v>
      </c>
    </row>
    <row r="148" spans="1:46">
      <c r="A148">
        <v>2189</v>
      </c>
      <c r="B148" t="str">
        <f>"600031"</f>
        <v>600031</v>
      </c>
      <c r="C148" t="s">
        <v>221</v>
      </c>
      <c r="D148" t="str">
        <f>[1]!EM_S_INFO_INDEX_EM(B148,"1")</f>
        <v>机械设备</v>
      </c>
      <c r="E148" s="4">
        <f t="shared" si="2"/>
        <v>43465</v>
      </c>
      <c r="F148" s="11">
        <f>[1]!EM_S_PQ_PCTCHANGE(B148,"2018-01-01","2019-12-31","3")</f>
        <v>95.130944499999998</v>
      </c>
      <c r="G148" s="11">
        <f>[1]!EM_S_PQ_PCTCHANGE(B148,"2019-01-01","2019-12-31","3")</f>
        <v>108.47546917</v>
      </c>
      <c r="H148" s="11">
        <f>[1]!EM_S_FA_YOY_OR(B148,E148)</f>
        <v>45.614653228800002</v>
      </c>
      <c r="I148" s="11">
        <f>[1]!EM_S_FA_GROSSPROFITMARGIN(B148,E148)</f>
        <v>30.621794067</v>
      </c>
      <c r="J148" s="11">
        <f>[1]!EM_S_FA_NETPROFITMARGIN(B148,E148)</f>
        <v>11.2922199302</v>
      </c>
      <c r="K148" s="10">
        <f>[1]!EM_S_FA_ASSETSTURN(B148,E148)</f>
        <v>0.84570083572400001</v>
      </c>
      <c r="L148" s="12">
        <f>[1]!EM_HKS_VAL_MV(B148,"2019-12-31","2")</f>
        <v>143667498511.35001</v>
      </c>
      <c r="M148">
        <f>[1]!EM_S_VAL_PETTMDEDUCTED(B148,E148)</f>
        <v>11.884231925442</v>
      </c>
      <c r="N148" s="7">
        <f>[1]!EM_S_VAL_PBGOODWILLDEDUCTED(B148,E148)</f>
        <v>2.0936654244591599</v>
      </c>
      <c r="O148" s="7">
        <f>[1]!EM_S_VAL_PS_TTM(B148,E148)</f>
        <v>1.26898358209743</v>
      </c>
      <c r="P148" s="7">
        <f>[1]!EM_S_VAL_PCF_NCFTTM(B148,E148)</f>
        <v>8.2920953881459507</v>
      </c>
      <c r="Q148" s="7">
        <f>[1]!EM_S_VAL_DIVIDENDYIELD2(B148,E148,"2019-11-29")</f>
        <v>1.785412023086657</v>
      </c>
      <c r="T148"/>
      <c r="U148">
        <f>[1]!EM_S_RATIO_EPS_TTM(B148,E148,"1")</f>
        <v>0.78406797394792793</v>
      </c>
      <c r="AT148" s="4" t="str">
        <f>[1]!EM_S_IPO_LISTEDDATE(B148)</f>
        <v>2003-07-03</v>
      </c>
    </row>
    <row r="149" spans="1:46">
      <c r="A149">
        <v>2062</v>
      </c>
      <c r="B149" t="str">
        <f>"300643"</f>
        <v>300643</v>
      </c>
      <c r="C149" t="s">
        <v>3028</v>
      </c>
      <c r="D149" t="str">
        <f>[1]!EM_S_INFO_INDEX_EM(B149,"1")</f>
        <v>交运设备</v>
      </c>
      <c r="E149" s="4">
        <f t="shared" si="2"/>
        <v>43465</v>
      </c>
      <c r="F149" s="11">
        <f>[1]!EM_S_PQ_PCTCHANGE(B149,"2018-01-01","2019-12-31","3")</f>
        <v>69.644861559999995</v>
      </c>
      <c r="G149" s="11">
        <f>[1]!EM_S_PQ_PCTCHANGE(B149,"2018-12-31","2019-12-30","1")</f>
        <v>108.08270677</v>
      </c>
      <c r="H149" s="11">
        <f>[1]!EM_S_FA_YOY_OR(B149,E149)</f>
        <v>-2.0629353957999998</v>
      </c>
      <c r="I149" s="11">
        <f>[1]!EM_S_FA_GROSSPROFITMARGIN(B149,E149)</f>
        <v>27.6604528282</v>
      </c>
      <c r="J149" s="11">
        <f>[1]!EM_S_FA_NETPROFITMARGIN(B149,E149)</f>
        <v>10.0947756378</v>
      </c>
      <c r="K149" s="10">
        <f>[1]!EM_S_FA_ASSETSTURN(B149,E149)</f>
        <v>0.62926722058499995</v>
      </c>
      <c r="L149" s="12">
        <f>[1]!EM_HKS_VAL_MV(B149,"2019-12-31","2")</f>
        <v>4440000000</v>
      </c>
      <c r="M149">
        <f>[1]!EM_S_VAL_PETTMDEDUCTED(B149,E149)</f>
        <v>77.622715254303301</v>
      </c>
      <c r="N149" s="7">
        <f>[1]!EM_S_VAL_PBGOODWILLDEDUCTED(B149,E149)</f>
        <v>5.0277649174024903</v>
      </c>
      <c r="O149" s="7">
        <f>[1]!EM_S_VAL_PS_TTM(B149,E149)</f>
        <v>6.8697459041528397</v>
      </c>
      <c r="P149" s="7">
        <f>[1]!EM_S_VAL_PCF_NCFTTM(B149,E149)</f>
        <v>328.52110787562299</v>
      </c>
      <c r="Q149" s="7">
        <f>[1]!EM_S_VAL_DIVIDENDYIELD2(B149,E149,"2019-11-29")</f>
        <v>0.51150895140664965</v>
      </c>
      <c r="T149"/>
      <c r="U149">
        <f>[1]!EM_S_RATIO_EPS_TTM(B149,E149,"1")</f>
        <v>0.16236097224999999</v>
      </c>
      <c r="AT149" s="4" t="str">
        <f>[1]!EM_S_IPO_LISTEDDATE(B149)</f>
        <v>2017-05-05</v>
      </c>
    </row>
    <row r="150" spans="1:46">
      <c r="A150">
        <v>260</v>
      </c>
      <c r="B150" t="str">
        <f>"000672"</f>
        <v>000672</v>
      </c>
      <c r="C150" t="s">
        <v>149</v>
      </c>
      <c r="D150" t="str">
        <f>[1]!EM_S_INFO_INDEX_EM(B150,"1")</f>
        <v>建材</v>
      </c>
      <c r="E150" s="4">
        <f t="shared" si="2"/>
        <v>43465</v>
      </c>
      <c r="F150" s="11">
        <f>[1]!EM_S_PQ_PCTCHANGE(B150,"2018-01-01","2019-12-31","3")</f>
        <v>96.612045730000006</v>
      </c>
      <c r="G150" s="11">
        <f>[1]!EM_S_PQ_PCTCHANGE(B150,"2018-12-31","2019-12-30","1")</f>
        <v>106.87203791</v>
      </c>
      <c r="H150" s="11">
        <f>[1]!EM_S_FA_YOY_OR(B150,E150)</f>
        <v>15.6302464367</v>
      </c>
      <c r="I150" s="11">
        <f>[1]!EM_S_FA_GROSSPROFITMARGIN(B150,E150)</f>
        <v>46.703542539200001</v>
      </c>
      <c r="J150" s="11">
        <f>[1]!EM_S_FA_NETPROFITMARGIN(B150,E150)</f>
        <v>28.0323693962</v>
      </c>
      <c r="K150" s="10">
        <f>[1]!EM_S_FA_ASSETSTURN(B150,E150)</f>
        <v>0.81670513390499999</v>
      </c>
      <c r="L150" s="12">
        <f>[1]!EM_HKS_VAL_MV(B150,"2019-12-31","2")</f>
        <v>14881107440.59</v>
      </c>
      <c r="M150">
        <f>[1]!EM_S_VAL_PETTMDEDUCTED(B150,E150)</f>
        <v>5.54151967561081</v>
      </c>
      <c r="N150" s="7">
        <f>[1]!EM_S_VAL_PBGOODWILLDEDUCTED(B150,E150)</f>
        <v>2.0683586232900502</v>
      </c>
      <c r="O150" s="7">
        <f>[1]!EM_S_VAL_PS_TTM(B150,E150)</f>
        <v>1.3022388651704899</v>
      </c>
      <c r="P150" s="7">
        <f>[1]!EM_S_VAL_PCF_NCFTTM(B150,E150)</f>
        <v>26.752325778600799</v>
      </c>
      <c r="Q150" s="7">
        <f>[1]!EM_S_VAL_DIVIDENDYIELD2(B150,E150,"2019-11-29")</f>
        <v>2.5157232704402519</v>
      </c>
      <c r="T150"/>
      <c r="U150">
        <f>[1]!EM_S_RATIO_EPS_TTM(B150,E150,"1")</f>
        <v>1.8096360249662586</v>
      </c>
      <c r="AT150" s="4" t="str">
        <f>[1]!EM_S_IPO_LISTEDDATE(B150)</f>
        <v>1996-12-18</v>
      </c>
    </row>
    <row r="151" spans="1:46">
      <c r="A151">
        <v>400</v>
      </c>
      <c r="B151" t="str">
        <f>"000859"</f>
        <v>000859</v>
      </c>
      <c r="C151" t="s">
        <v>2951</v>
      </c>
      <c r="D151" t="str">
        <f>[1]!EM_S_INFO_INDEX_EM(B151,"1")</f>
        <v>基础化工</v>
      </c>
      <c r="E151" s="4">
        <f t="shared" si="2"/>
        <v>43465</v>
      </c>
      <c r="F151" s="11">
        <f>[1]!EM_S_PQ_PCTCHANGE(B151,"2018-01-01","2019-12-31","3")</f>
        <v>36.277423540000001</v>
      </c>
      <c r="G151" s="11">
        <f>[1]!EM_S_PQ_PCTCHANGE(B151,"2018-12-31","2019-12-30","1")</f>
        <v>106.33802817</v>
      </c>
      <c r="H151" s="11">
        <f>[1]!EM_S_FA_YOY_OR(B151,E151)</f>
        <v>5.2088767905999998</v>
      </c>
      <c r="I151" s="11">
        <f>[1]!EM_S_FA_GROSSPROFITMARGIN(B151,E151)</f>
        <v>10.045321166600001</v>
      </c>
      <c r="J151" s="11">
        <f>[1]!EM_S_FA_NETPROFITMARGIN(B151,E151)</f>
        <v>7.0346903674999997</v>
      </c>
      <c r="K151" s="10">
        <f>[1]!EM_S_FA_ASSETSTURN(B151,E151)</f>
        <v>0.57993503852600004</v>
      </c>
      <c r="L151" s="12">
        <f>[1]!EM_HKS_VAL_MV(B151,"2019-12-31","2")</f>
        <v>4229652455.5999999</v>
      </c>
      <c r="M151">
        <f>[1]!EM_S_VAL_PETTMDEDUCTED(B151,E151)</f>
        <v>-36.548709636163402</v>
      </c>
      <c r="N151" s="7">
        <f>[1]!EM_S_VAL_PBGOODWILLDEDUCTED(B151,E151)</f>
        <v>1.34227941014267</v>
      </c>
      <c r="O151" s="7">
        <f>[1]!EM_S_VAL_PS_TTM(B151,E151)</f>
        <v>1.7138672282299701</v>
      </c>
      <c r="P151" s="7">
        <f>[1]!EM_S_VAL_PCF_NCFTTM(B151,E151)</f>
        <v>-42.142342462680404</v>
      </c>
      <c r="Q151" s="7">
        <f>[1]!EM_S_VAL_DIVIDENDYIELD2(B151,E151,"2019-11-29")</f>
        <v>0.18214936247723132</v>
      </c>
      <c r="T151"/>
      <c r="U151">
        <f>[1]!EM_S_RATIO_EPS_TTM(B151,E151,"1")</f>
        <v>0.1380823324122385</v>
      </c>
      <c r="AT151" s="4" t="str">
        <f>[1]!EM_S_IPO_LISTEDDATE(B151)</f>
        <v>1998-11-19</v>
      </c>
    </row>
    <row r="152" spans="1:46">
      <c r="A152">
        <v>782</v>
      </c>
      <c r="B152" t="str">
        <f>"002271"</f>
        <v>002271</v>
      </c>
      <c r="C152" t="s">
        <v>1819</v>
      </c>
      <c r="D152" t="str">
        <f>[1]!EM_S_INFO_INDEX_EM(B152,"1")</f>
        <v>建材</v>
      </c>
      <c r="E152" s="4">
        <f t="shared" si="2"/>
        <v>43465</v>
      </c>
      <c r="F152" s="11">
        <f>[1]!EM_S_PQ_PCTCHANGE(B152,"2018-01-01","2019-12-31","3")</f>
        <v>14.12311467</v>
      </c>
      <c r="G152" s="11">
        <f>[1]!EM_S_PQ_PCTCHANGE(B152,"2019-01-01","2019-12-31","3")</f>
        <v>106.26306725000001</v>
      </c>
      <c r="H152" s="11">
        <f>[1]!EM_S_FA_YOY_OR(B152,E152)</f>
        <v>36.459296703</v>
      </c>
      <c r="I152" s="11">
        <f>[1]!EM_S_FA_GROSSPROFITMARGIN(B152,E152)</f>
        <v>34.5914794296</v>
      </c>
      <c r="J152" s="11">
        <f>[1]!EM_S_FA_NETPROFITMARGIN(B152,E152)</f>
        <v>10.757269103200001</v>
      </c>
      <c r="K152" s="10">
        <f>[1]!EM_S_FA_ASSETSTURN(B152,E152)</f>
        <v>0.85206657838099997</v>
      </c>
      <c r="L152" s="12">
        <f>[1]!EM_HKS_VAL_MV(B152,"2019-12-31","2")</f>
        <v>39142321241.790001</v>
      </c>
      <c r="M152">
        <f>[1]!EM_S_VAL_PETTMDEDUCTED(B152,E152)</f>
        <v>14.7462161959174</v>
      </c>
      <c r="N152" s="7">
        <f>[1]!EM_S_VAL_PBGOODWILLDEDUCTED(B152,E152)</f>
        <v>2.5991858110134198</v>
      </c>
      <c r="O152" s="7">
        <f>[1]!EM_S_VAL_PS_TTM(B152,E152)</f>
        <v>1.53073215070919</v>
      </c>
      <c r="P152" s="7">
        <f>[1]!EM_S_VAL_PCF_NCFTTM(B152,E152)</f>
        <v>-41.590685635142599</v>
      </c>
      <c r="Q152" s="7">
        <f>[1]!EM_S_VAL_DIVIDENDYIELD2(B152,E152,"2019-11-29")</f>
        <v>1.2568832785070767</v>
      </c>
      <c r="T152"/>
      <c r="U152">
        <f>[1]!EM_S_RATIO_EPS_TTM(B152,E152,"1")</f>
        <v>1.0108161479325617</v>
      </c>
      <c r="AT152" s="4" t="str">
        <f>[1]!EM_S_IPO_LISTEDDATE(B152)</f>
        <v>2008-09-10</v>
      </c>
    </row>
    <row r="153" spans="1:46">
      <c r="A153">
        <v>1166</v>
      </c>
      <c r="B153" t="str">
        <f>"002655"</f>
        <v>002655</v>
      </c>
      <c r="C153" t="s">
        <v>3575</v>
      </c>
      <c r="D153" t="str">
        <f>[1]!EM_S_INFO_INDEX_EM(B153,"1")</f>
        <v>电子设备</v>
      </c>
      <c r="E153" s="4">
        <f t="shared" si="2"/>
        <v>43465</v>
      </c>
      <c r="F153" s="11">
        <f>[1]!EM_S_PQ_PCTCHANGE(B153,"2018-01-01","2019-12-31","3")</f>
        <v>39.479166669999998</v>
      </c>
      <c r="G153" s="11">
        <f>[1]!EM_S_PQ_PCTCHANGE(B153,"2018-12-31","2019-12-30","1")</f>
        <v>105.81929556</v>
      </c>
      <c r="H153" s="11">
        <f>[1]!EM_S_FA_YOY_OR(B153,E153)</f>
        <v>2.2651614265000002</v>
      </c>
      <c r="I153" s="11">
        <f>[1]!EM_S_FA_GROSSPROFITMARGIN(B153,E153)</f>
        <v>25.333646655500001</v>
      </c>
      <c r="J153" s="11">
        <f>[1]!EM_S_FA_NETPROFITMARGIN(B153,E153)</f>
        <v>2.6530084360999999</v>
      </c>
      <c r="K153" s="10">
        <f>[1]!EM_S_FA_ASSETSTURN(B153,E153)</f>
        <v>0.73122933811400004</v>
      </c>
      <c r="L153" s="12">
        <f>[1]!EM_HKS_VAL_MV(B153,"2019-12-31","2")</f>
        <v>4820400000</v>
      </c>
      <c r="M153">
        <f>[1]!EM_S_VAL_PETTMDEDUCTED(B153,E153)</f>
        <v>-13.0694854898576</v>
      </c>
      <c r="N153" s="7">
        <f>[1]!EM_S_VAL_PBGOODWILLDEDUCTED(B153,E153)</f>
        <v>4.8114000069002696</v>
      </c>
      <c r="O153" s="7">
        <f>[1]!EM_S_VAL_PS_TTM(B153,E153)</f>
        <v>2.9353542412179099</v>
      </c>
      <c r="P153" s="7">
        <f>[1]!EM_S_VAL_PCF_NCFTTM(B153,E153)</f>
        <v>-54.669499497743701</v>
      </c>
      <c r="Q153" s="7">
        <f>[1]!EM_S_VAL_DIVIDENDYIELD2(B153,E153,"2019-11-29")</f>
        <v>0</v>
      </c>
      <c r="T153"/>
      <c r="U153">
        <f>[1]!EM_S_RATIO_EPS_TTM(B153,E153,"1")</f>
        <v>5.9306941416666668E-2</v>
      </c>
      <c r="AT153" s="4" t="str">
        <f>[1]!EM_S_IPO_LISTEDDATE(B153)</f>
        <v>2012-02-17</v>
      </c>
    </row>
    <row r="154" spans="1:46">
      <c r="A154">
        <v>1681</v>
      </c>
      <c r="B154" t="str">
        <f>"300256"</f>
        <v>300256</v>
      </c>
      <c r="C154" t="s">
        <v>2517</v>
      </c>
      <c r="D154" t="str">
        <f>[1]!EM_S_INFO_INDEX_EM(B154,"1")</f>
        <v>电子设备</v>
      </c>
      <c r="E154" s="4">
        <f t="shared" si="2"/>
        <v>43465</v>
      </c>
      <c r="F154" s="11">
        <f>[1]!EM_S_PQ_PCTCHANGE(B154,"2018-01-01","2019-12-31","3")</f>
        <v>-5.5459359999999999E-2</v>
      </c>
      <c r="G154" s="11">
        <f>[1]!EM_S_PQ_PCTCHANGE(B154,"2018-12-31","2019-12-30","1")</f>
        <v>105.72390572</v>
      </c>
      <c r="H154" s="11">
        <f>[1]!EM_S_FA_YOY_OR(B154,E154)</f>
        <v>-32.373690583699997</v>
      </c>
      <c r="I154" s="11">
        <f>[1]!EM_S_FA_GROSSPROFITMARGIN(B154,E154)</f>
        <v>7.3172010329999999</v>
      </c>
      <c r="J154" s="11">
        <f>[1]!EM_S_FA_NETPROFITMARGIN(B154,E154)</f>
        <v>-46.052553982799999</v>
      </c>
      <c r="K154" s="10">
        <f>[1]!EM_S_FA_ASSETSTURN(B154,E154)</f>
        <v>0.44623297200399997</v>
      </c>
      <c r="L154" s="12">
        <f>[1]!EM_HKS_VAL_MV(B154,"2019-12-31","2")</f>
        <v>5785935831.8400002</v>
      </c>
      <c r="M154">
        <f>[1]!EM_S_VAL_PETTMDEDUCTED(B154,E154)</f>
        <v>-64.377860968667605</v>
      </c>
      <c r="N154" s="7">
        <f>[1]!EM_S_VAL_PBGOODWILLDEDUCTED(B154,E154)</f>
        <v>3.6403506852485301</v>
      </c>
      <c r="O154" s="7">
        <f>[1]!EM_S_VAL_PS_TTM(B154,E154)</f>
        <v>0.58568428108264403</v>
      </c>
      <c r="P154" s="7">
        <f>[1]!EM_S_VAL_PCF_NCFTTM(B154,E154)</f>
        <v>-17.387295357540701</v>
      </c>
      <c r="Q154" s="7">
        <f>[1]!EM_S_VAL_DIVIDENDYIELD2(B154,E154,"2019-11-29")</f>
        <v>0</v>
      </c>
      <c r="T154"/>
      <c r="U154">
        <f>[1]!EM_S_RATIO_EPS_TTM(B154,E154,"1")</f>
        <v>-1.7569913523472938</v>
      </c>
      <c r="AT154" s="4" t="str">
        <f>[1]!EM_S_IPO_LISTEDDATE(B154)</f>
        <v>2011-08-19</v>
      </c>
    </row>
    <row r="155" spans="1:46">
      <c r="A155">
        <v>907</v>
      </c>
      <c r="B155" t="str">
        <f>"002396"</f>
        <v>002396</v>
      </c>
      <c r="C155" t="s">
        <v>3232</v>
      </c>
      <c r="D155" t="str">
        <f>[1]!EM_S_INFO_INDEX_EM(B155,"1")</f>
        <v>信息技术</v>
      </c>
      <c r="E155" s="4">
        <f t="shared" si="2"/>
        <v>43465</v>
      </c>
      <c r="F155" s="11">
        <f>[1]!EM_S_PQ_PCTCHANGE(B155,"2018-01-01","2019-12-31","3")</f>
        <v>66.702361510000003</v>
      </c>
      <c r="G155" s="11">
        <f>[1]!EM_S_PQ_PCTCHANGE(B155,"2018-12-31","2019-12-30","1")</f>
        <v>105.57491288999999</v>
      </c>
      <c r="H155" s="11">
        <f>[1]!EM_S_FA_YOY_OR(B155,E155)</f>
        <v>18.512798116399999</v>
      </c>
      <c r="I155" s="11">
        <f>[1]!EM_S_FA_GROSSPROFITMARGIN(B155,E155)</f>
        <v>32.572140501600003</v>
      </c>
      <c r="J155" s="11">
        <f>[1]!EM_S_FA_NETPROFITMARGIN(B155,E155)</f>
        <v>9.0756198057000006</v>
      </c>
      <c r="K155" s="10">
        <f>[1]!EM_S_FA_ASSETSTURN(B155,E155)</f>
        <v>1.3589637983189999</v>
      </c>
      <c r="L155" s="12">
        <f>[1]!EM_HKS_VAL_MV(B155,"2019-12-31","2")</f>
        <v>20741446685.68</v>
      </c>
      <c r="M155">
        <f>[1]!EM_S_VAL_PETTMDEDUCTED(B155,E155)</f>
        <v>21.3633888282599</v>
      </c>
      <c r="N155" s="7">
        <f>[1]!EM_S_VAL_PBGOODWILLDEDUCTED(B155,E155)</f>
        <v>2.9155804858547598</v>
      </c>
      <c r="O155" s="7">
        <f>[1]!EM_S_VAL_PS_TTM(B155,E155)</f>
        <v>1.0818228284308</v>
      </c>
      <c r="P155" s="7">
        <f>[1]!EM_S_VAL_PCF_NCFTTM(B155,E155)</f>
        <v>64.028329601775695</v>
      </c>
      <c r="Q155" s="7">
        <f>[1]!EM_S_VAL_DIVIDENDYIELD2(B155,E155,"2019-11-29")</f>
        <v>0.34722222222222227</v>
      </c>
      <c r="T155"/>
      <c r="U155">
        <f>[1]!EM_S_RATIO_EPS_TTM(B155,E155,"1")</f>
        <v>0.99660895045726194</v>
      </c>
      <c r="AT155" s="4" t="str">
        <f>[1]!EM_S_IPO_LISTEDDATE(B155)</f>
        <v>2010-06-23</v>
      </c>
    </row>
    <row r="156" spans="1:46">
      <c r="A156">
        <v>1921</v>
      </c>
      <c r="B156" t="str">
        <f>"300496"</f>
        <v>300496</v>
      </c>
      <c r="C156" t="s">
        <v>2492</v>
      </c>
      <c r="D156" t="str">
        <f>[1]!EM_S_INFO_INDEX_EM(B156,"1")</f>
        <v>信息技术</v>
      </c>
      <c r="E156" s="4">
        <f t="shared" si="2"/>
        <v>43465</v>
      </c>
      <c r="F156" s="11">
        <f>[1]!EM_S_PQ_PCTCHANGE(B156,"2018-01-01","2019-12-31","3")</f>
        <v>40.47526568</v>
      </c>
      <c r="G156" s="11">
        <f>[1]!EM_S_PQ_PCTCHANGE(B156,"2019-01-01","2019-12-31","3")</f>
        <v>104.88057818999999</v>
      </c>
      <c r="H156" s="11">
        <f>[1]!EM_S_FA_YOY_OR(B156,E156)</f>
        <v>26.004424051099999</v>
      </c>
      <c r="I156" s="11">
        <f>[1]!EM_S_FA_GROSSPROFITMARGIN(B156,E156)</f>
        <v>41.708201602199999</v>
      </c>
      <c r="J156" s="11">
        <f>[1]!EM_S_FA_NETPROFITMARGIN(B156,E156)</f>
        <v>11.3930396822</v>
      </c>
      <c r="K156" s="10">
        <f>[1]!EM_S_FA_ASSETSTURN(B156,E156)</f>
        <v>0.55673790891300001</v>
      </c>
      <c r="L156" s="12">
        <f>[1]!EM_HKS_VAL_MV(B156,"2019-12-31","2")</f>
        <v>18169531478.580002</v>
      </c>
      <c r="M156">
        <f>[1]!EM_S_VAL_PETTMDEDUCTED(B156,E156)</f>
        <v>90.882525471582596</v>
      </c>
      <c r="N156" s="7">
        <f>[1]!EM_S_VAL_PBGOODWILLDEDUCTED(B156,E156)</f>
        <v>8.2997706131187599</v>
      </c>
      <c r="O156" s="7">
        <f>[1]!EM_S_VAL_PS_TTM(B156,E156)</f>
        <v>6.5434106353962997</v>
      </c>
      <c r="P156" s="7">
        <f>[1]!EM_S_VAL_PCF_NCFTTM(B156,E156)</f>
        <v>-140.10532260938101</v>
      </c>
      <c r="Q156" s="7">
        <f>[1]!EM_S_VAL_DIVIDENDYIELD2(B156,E156,"2019-11-29")</f>
        <v>0.20177571140488462</v>
      </c>
      <c r="T156"/>
      <c r="U156">
        <f>[1]!EM_S_RATIO_EPS_TTM(B156,E156,"1")</f>
        <v>0.40761104357202138</v>
      </c>
      <c r="AT156" s="4" t="str">
        <f>[1]!EM_S_IPO_LISTEDDATE(B156)</f>
        <v>2015-12-10</v>
      </c>
    </row>
    <row r="157" spans="1:46">
      <c r="A157">
        <v>1981</v>
      </c>
      <c r="B157" t="str">
        <f>"300558"</f>
        <v>300558</v>
      </c>
      <c r="C157" t="s">
        <v>1314</v>
      </c>
      <c r="D157" t="str">
        <f>[1]!EM_S_INFO_INDEX_EM(B157,"1")</f>
        <v>医药生物</v>
      </c>
      <c r="E157" s="4">
        <f t="shared" si="2"/>
        <v>43465</v>
      </c>
      <c r="F157" s="11">
        <f>[1]!EM_S_PQ_PCTCHANGE(B157,"2018-01-01","2019-12-31","3")</f>
        <v>4.3272177799999998</v>
      </c>
      <c r="G157" s="11">
        <f>[1]!EM_S_PQ_PCTCHANGE(B157,"2018-12-31","2019-12-30","1")</f>
        <v>104.72317798</v>
      </c>
      <c r="H157" s="11">
        <f>[1]!EM_S_FA_YOY_OR(B157,E157)</f>
        <v>19.2732930745</v>
      </c>
      <c r="I157" s="11">
        <f>[1]!EM_S_FA_GROSSPROFITMARGIN(B157,E157)</f>
        <v>94.364415493500005</v>
      </c>
      <c r="J157" s="11">
        <f>[1]!EM_S_FA_NETPROFITMARGIN(B157,E157)</f>
        <v>13.3578257287</v>
      </c>
      <c r="K157" s="10">
        <f>[1]!EM_S_FA_ASSETSTURN(B157,E157)</f>
        <v>0.39279713111600001</v>
      </c>
      <c r="L157" s="12">
        <f>[1]!EM_HKS_VAL_MV(B157,"2019-12-31","2")</f>
        <v>26345700000</v>
      </c>
      <c r="M157">
        <f>[1]!EM_S_VAL_PETTMDEDUCTED(B157,E157)</f>
        <v>74.074028333564797</v>
      </c>
      <c r="N157" s="7">
        <f>[1]!EM_S_VAL_PBGOODWILLDEDUCTED(B157,E157)</f>
        <v>7.2259814083060103</v>
      </c>
      <c r="O157" s="7">
        <f>[1]!EM_S_VAL_PS_TTM(B157,E157)</f>
        <v>10.8123917410038</v>
      </c>
      <c r="P157" s="7">
        <f>[1]!EM_S_VAL_PCF_NCFTTM(B157,E157)</f>
        <v>-445.39934721041902</v>
      </c>
      <c r="Q157" s="7">
        <f>[1]!EM_S_VAL_DIVIDENDYIELD2(B157,E157,"2019-11-29")</f>
        <v>0.16459673799191982</v>
      </c>
      <c r="T157"/>
      <c r="U157">
        <f>[1]!EM_S_RATIO_EPS_TTM(B157,E157,"1")</f>
        <v>0.41600589441396507</v>
      </c>
      <c r="AT157" s="4" t="str">
        <f>[1]!EM_S_IPO_LISTEDDATE(B157)</f>
        <v>2016-11-07</v>
      </c>
    </row>
    <row r="158" spans="1:46">
      <c r="A158">
        <v>32</v>
      </c>
      <c r="B158" t="str">
        <f>"000032"</f>
        <v>000032</v>
      </c>
      <c r="C158" t="s">
        <v>1634</v>
      </c>
      <c r="D158" t="str">
        <f>[1]!EM_S_INFO_INDEX_EM(B158,"1")</f>
        <v>商贸零售</v>
      </c>
      <c r="E158" s="4">
        <f t="shared" si="2"/>
        <v>43465</v>
      </c>
      <c r="F158" s="11">
        <f>[1]!EM_S_PQ_PCTCHANGE(B158,"2018-01-01","2019-12-31","3")</f>
        <v>42.80136195</v>
      </c>
      <c r="G158" s="11">
        <f>[1]!EM_S_PQ_PCTCHANGE(B158,"2019-01-01","2019-12-31","3")</f>
        <v>104.09336576</v>
      </c>
      <c r="H158" s="11">
        <f>[1]!EM_S_FA_YOY_OR(B158,E158)</f>
        <v>-14.9627506087</v>
      </c>
      <c r="I158" s="11">
        <f>[1]!EM_S_FA_GROSSPROFITMARGIN(B158,E158)</f>
        <v>22.154614788500002</v>
      </c>
      <c r="J158" s="11">
        <f>[1]!EM_S_FA_NETPROFITMARGIN(B158,E158)</f>
        <v>6.9827758379000002</v>
      </c>
      <c r="K158" s="10">
        <f>[1]!EM_S_FA_ASSETSTURN(B158,E158)</f>
        <v>0.78450503982399999</v>
      </c>
      <c r="L158" s="12">
        <f>[1]!EM_HKS_VAL_MV(B158,"2019-12-31","2")</f>
        <v>5867719186.1999998</v>
      </c>
      <c r="M158">
        <f>[1]!EM_S_VAL_PETTMDEDUCTED(B158,E158)</f>
        <v>90.181257555372</v>
      </c>
      <c r="N158" s="7">
        <f>[1]!EM_S_VAL_PBGOODWILLDEDUCTED(B158,E158)</f>
        <v>2.12362338118725</v>
      </c>
      <c r="O158" s="7">
        <f>[1]!EM_S_VAL_PS_TTM(B158,E158)</f>
        <v>1.7513436083601099</v>
      </c>
      <c r="P158" s="7">
        <f>[1]!EM_S_VAL_PCF_NCFTTM(B158,E158)</f>
        <v>-54.305052671049403</v>
      </c>
      <c r="Q158" s="7">
        <f>[1]!EM_S_VAL_DIVIDENDYIELD2(B158,E158,"2019-11-29")</f>
        <v>0.61491160645657184</v>
      </c>
      <c r="T158"/>
      <c r="U158">
        <f>[1]!EM_S_RATIO_EPS_TTM(B158,E158,"1")</f>
        <v>0.25898426815175185</v>
      </c>
      <c r="AT158" s="4" t="str">
        <f>[1]!EM_S_IPO_LISTEDDATE(B158)</f>
        <v>1993-10-28</v>
      </c>
    </row>
    <row r="159" spans="1:46">
      <c r="A159">
        <v>3007</v>
      </c>
      <c r="B159" t="str">
        <f>"600984"</f>
        <v>600984</v>
      </c>
      <c r="C159" t="s">
        <v>3231</v>
      </c>
      <c r="D159" t="str">
        <f>[1]!EM_S_INFO_INDEX_EM(B159,"1")</f>
        <v>机械设备</v>
      </c>
      <c r="E159" s="4">
        <f t="shared" si="2"/>
        <v>43465</v>
      </c>
      <c r="F159" s="11">
        <f>[1]!EM_S_PQ_PCTCHANGE(B159,"2018-01-01","2019-12-31","3")</f>
        <v>109.05020626</v>
      </c>
      <c r="G159" s="11">
        <f>[1]!EM_S_PQ_PCTCHANGE(B159,"2019-01-01","2019-12-31","3")</f>
        <v>103.74753452</v>
      </c>
      <c r="H159" s="11">
        <f>[1]!EM_S_FA_YOY_OR(B159,E159)</f>
        <v>21.765046141700001</v>
      </c>
      <c r="I159" s="11">
        <f>[1]!EM_S_FA_GROSSPROFITMARGIN(B159,E159)</f>
        <v>32.9190045669</v>
      </c>
      <c r="J159" s="11">
        <f>[1]!EM_S_FA_NETPROFITMARGIN(B159,E159)</f>
        <v>6.8825635529999998</v>
      </c>
      <c r="K159" s="10">
        <f>[1]!EM_S_FA_ASSETSTURN(B159,E159)</f>
        <v>0.30829833746599999</v>
      </c>
      <c r="L159" s="12">
        <f>[1]!EM_HKS_VAL_MV(B159,"2019-12-31","2")</f>
        <v>8551106483.1199999</v>
      </c>
      <c r="M159">
        <f>[1]!EM_S_VAL_PETTMDEDUCTED(B159,E159)</f>
        <v>41.906001064404997</v>
      </c>
      <c r="N159" s="7">
        <f>[1]!EM_S_VAL_PBGOODWILLDEDUCTED(B159,E159)</f>
        <v>1.43127985233149</v>
      </c>
      <c r="O159" s="7">
        <f>[1]!EM_S_VAL_PS_TTM(B159,E159)</f>
        <v>1.9767254116147099</v>
      </c>
      <c r="P159" s="7">
        <f>[1]!EM_S_VAL_PCF_NCFTTM(B159,E159)</f>
        <v>40.864542497932803</v>
      </c>
      <c r="Q159" s="7">
        <f>[1]!EM_S_VAL_DIVIDENDYIELD2(B159,E159,"2019-11-29")</f>
        <v>0</v>
      </c>
      <c r="T159"/>
      <c r="U159">
        <f>[1]!EM_S_RATIO_EPS_TTM(B159,E159,"1")</f>
        <v>0.18514663036769277</v>
      </c>
      <c r="AT159" s="4" t="str">
        <f>[1]!EM_S_IPO_LISTEDDATE(B159)</f>
        <v>2004-07-07</v>
      </c>
    </row>
    <row r="160" spans="1:46">
      <c r="A160">
        <v>2600</v>
      </c>
      <c r="B160" t="str">
        <f>"600519"</f>
        <v>600519</v>
      </c>
      <c r="C160" t="s">
        <v>106</v>
      </c>
      <c r="D160" t="str">
        <f>[1]!EM_S_INFO_INDEX_EM(B160,"1")</f>
        <v>食品饮料</v>
      </c>
      <c r="E160" s="4">
        <f t="shared" si="2"/>
        <v>43465</v>
      </c>
      <c r="F160" s="11">
        <f>[1]!EM_S_PQ_PCTCHANGE(B160,"2018-01-01","2019-12-31","3")</f>
        <v>74.562541120000006</v>
      </c>
      <c r="G160" s="11">
        <f>[1]!EM_S_PQ_PCTCHANGE(B160,"2019-01-01","2019-12-31","3")</f>
        <v>103.47443353</v>
      </c>
      <c r="H160" s="11">
        <f>[1]!EM_S_FA_YOY_OR(B160,E160)</f>
        <v>26.488453415799999</v>
      </c>
      <c r="I160" s="11">
        <f>[1]!EM_S_FA_GROSSPROFITMARGIN(B160,E160)</f>
        <v>91.142012876799996</v>
      </c>
      <c r="J160" s="11">
        <f>[1]!EM_S_FA_NETPROFITMARGIN(B160,E160)</f>
        <v>51.371804768399997</v>
      </c>
      <c r="K160" s="10">
        <f>[1]!EM_S_FA_ASSETSTURN(B160,E160)</f>
        <v>0.52435118706399997</v>
      </c>
      <c r="L160" s="12">
        <f>[1]!EM_HKS_VAL_MV(B160,"2019-12-31","2")</f>
        <v>1486081997400</v>
      </c>
      <c r="M160">
        <f>[1]!EM_S_VAL_PETTMDEDUCTED(B160,E160)</f>
        <v>23.113805197316701</v>
      </c>
      <c r="N160" s="7">
        <f>[1]!EM_S_VAL_PBGOODWILLDEDUCTED(B160,E160)</f>
        <v>6.56840388182325</v>
      </c>
      <c r="O160" s="7">
        <f>[1]!EM_S_VAL_PS_TTM(B160,E160)</f>
        <v>10.3595345978687</v>
      </c>
      <c r="P160" s="7">
        <f>[1]!EM_S_VAL_PCF_NCFTTM(B160,E160)</f>
        <v>76.015540895724996</v>
      </c>
      <c r="Q160" s="7">
        <f>[1]!EM_S_VAL_DIVIDENDYIELD2(B160,E160,"2019-11-29")</f>
        <v>1.2877767936226747</v>
      </c>
      <c r="U160">
        <f>[1]!EM_S_RATIO_EPS_TTM(B160,E160,"1")</f>
        <v>28.023950737073413</v>
      </c>
      <c r="AT160" s="4" t="str">
        <f>[1]!EM_S_IPO_LISTEDDATE(B160)</f>
        <v>2001-08-27</v>
      </c>
    </row>
    <row r="161" spans="1:46">
      <c r="A161">
        <v>1997</v>
      </c>
      <c r="B161" t="str">
        <f>"300576"</f>
        <v>300576</v>
      </c>
      <c r="C161" t="s">
        <v>1285</v>
      </c>
      <c r="D161" t="str">
        <f>[1]!EM_S_INFO_INDEX_EM(B161,"1")</f>
        <v>基础化工</v>
      </c>
      <c r="E161" s="4">
        <f t="shared" si="2"/>
        <v>43465</v>
      </c>
      <c r="F161" s="11">
        <f>[1]!EM_S_PQ_PCTCHANGE(B161,"2018-01-01","2019-12-31","3")</f>
        <v>57.155114480000002</v>
      </c>
      <c r="G161" s="11">
        <f>[1]!EM_S_PQ_PCTCHANGE(B161,"2018-12-31","2019-12-30","1")</f>
        <v>103.37401292</v>
      </c>
      <c r="H161" s="11">
        <f>[1]!EM_S_FA_YOY_OR(B161,E161)</f>
        <v>16.423976585799998</v>
      </c>
      <c r="I161" s="11">
        <f>[1]!EM_S_FA_GROSSPROFITMARGIN(B161,E161)</f>
        <v>29.4583479944</v>
      </c>
      <c r="J161" s="11">
        <f>[1]!EM_S_FA_NETPROFITMARGIN(B161,E161)</f>
        <v>9.9611724902999992</v>
      </c>
      <c r="K161" s="10">
        <f>[1]!EM_S_FA_ASSETSTURN(B161,E161)</f>
        <v>0.81205596637699995</v>
      </c>
      <c r="L161" s="12">
        <f>[1]!EM_HKS_VAL_MV(B161,"2019-12-31","2")</f>
        <v>3190800000</v>
      </c>
      <c r="M161">
        <f>[1]!EM_S_VAL_PETTMDEDUCTED(B161,E161)</f>
        <v>57.971044669357198</v>
      </c>
      <c r="N161" s="7">
        <f>[1]!EM_S_VAL_PBGOODWILLDEDUCTED(B161,E161)</f>
        <v>3.8192333273554802</v>
      </c>
      <c r="O161" s="7">
        <f>[1]!EM_S_VAL_PS_TTM(B161,E161)</f>
        <v>4.0338330176697097</v>
      </c>
      <c r="P161" s="7">
        <f>[1]!EM_S_VAL_PCF_NCFTTM(B161,E161)</f>
        <v>-2783.71753720063</v>
      </c>
      <c r="Q161" s="7">
        <f>[1]!EM_S_VAL_DIVIDENDYIELD2(B161,E161,"2019-11-29")</f>
        <v>0.55066079295154191</v>
      </c>
      <c r="T161"/>
      <c r="U161">
        <f>[1]!EM_S_RATIO_EPS_TTM(B161,E161,"1")</f>
        <v>0.35116441641666668</v>
      </c>
      <c r="AT161" s="4" t="str">
        <f>[1]!EM_S_IPO_LISTEDDATE(B161)</f>
        <v>2016-12-20</v>
      </c>
    </row>
    <row r="162" spans="1:46">
      <c r="A162">
        <v>80</v>
      </c>
      <c r="B162" t="str">
        <f>"000338"</f>
        <v>000338</v>
      </c>
      <c r="C162" t="s">
        <v>265</v>
      </c>
      <c r="D162" t="str">
        <f>[1]!EM_S_INFO_INDEX_EM(B162,"1")</f>
        <v>交运设备</v>
      </c>
      <c r="E162" s="4">
        <f t="shared" si="2"/>
        <v>43465</v>
      </c>
      <c r="F162" s="11">
        <f>[1]!EM_S_PQ_PCTCHANGE(B162,"2018-01-01","2019-12-31","3")</f>
        <v>107.6050469</v>
      </c>
      <c r="G162" s="11">
        <f>[1]!EM_S_PQ_PCTCHANGE(B162,"2018-12-31","2019-12-30","1")</f>
        <v>103.24675325</v>
      </c>
      <c r="H162" s="11">
        <f>[1]!EM_S_FA_YOY_OR(B162,E162)</f>
        <v>5.0712349880999996</v>
      </c>
      <c r="I162" s="11">
        <f>[1]!EM_S_FA_GROSSPROFITMARGIN(B162,E162)</f>
        <v>22.3347666857</v>
      </c>
      <c r="J162" s="11">
        <f>[1]!EM_S_FA_NETPROFITMARGIN(B162,E162)</f>
        <v>7.3000362847</v>
      </c>
      <c r="K162" s="10">
        <f>[1]!EM_S_FA_ASSETSTURN(B162,E162)</f>
        <v>0.80653315824799998</v>
      </c>
      <c r="L162" s="12">
        <f>[1]!EM_HKS_VAL_MV(B162,"2019-12-31","2")</f>
        <v>125989917452.60001</v>
      </c>
      <c r="M162">
        <f>[1]!EM_S_VAL_PETTMDEDUCTED(B162,E162)</f>
        <v>8.0150710782195702</v>
      </c>
      <c r="N162" s="7">
        <f>[1]!EM_S_VAL_PBGOODWILLDEDUCTED(B162,E162)</f>
        <v>3.7833262624912001</v>
      </c>
      <c r="O162" s="7">
        <f>[1]!EM_S_VAL_PS_TTM(B162,E162)</f>
        <v>0.38924323140233003</v>
      </c>
      <c r="P162" s="7">
        <f>[1]!EM_S_VAL_PCF_NCFTTM(B162,E162)</f>
        <v>-60.5746350614926</v>
      </c>
      <c r="Q162" s="7">
        <f>[1]!EM_S_VAL_DIVIDENDYIELD2(B162,E162,"2019-11-29")</f>
        <v>2.1452732510528527</v>
      </c>
      <c r="T162"/>
      <c r="U162">
        <f>[1]!EM_S_RATIO_EPS_TTM(B162,E162,"1")</f>
        <v>1.0825645937139903</v>
      </c>
      <c r="AT162" s="4" t="str">
        <f>[1]!EM_S_IPO_LISTEDDATE(B162)</f>
        <v>2007-04-30</v>
      </c>
    </row>
    <row r="163" spans="1:46">
      <c r="A163">
        <v>466</v>
      </c>
      <c r="B163" t="str">
        <f>"000951"</f>
        <v>000951</v>
      </c>
      <c r="C163" t="s">
        <v>656</v>
      </c>
      <c r="D163" t="str">
        <f>[1]!EM_S_INFO_INDEX_EM(B163,"1")</f>
        <v>交运设备</v>
      </c>
      <c r="E163" s="4">
        <f t="shared" si="2"/>
        <v>43465</v>
      </c>
      <c r="F163" s="11">
        <f>[1]!EM_S_PQ_PCTCHANGE(B163,"2018-01-01","2019-12-31","3")</f>
        <v>39.463846650000001</v>
      </c>
      <c r="G163" s="11">
        <f>[1]!EM_S_PQ_PCTCHANGE(B163,"2018-12-31","2019-12-30","1")</f>
        <v>102.96229803</v>
      </c>
      <c r="H163" s="11">
        <f>[1]!EM_S_FA_YOY_OR(B163,E163)</f>
        <v>8.2214995661000003</v>
      </c>
      <c r="I163" s="11">
        <f>[1]!EM_S_FA_GROSSPROFITMARGIN(B163,E163)</f>
        <v>8.8576648645000002</v>
      </c>
      <c r="J163" s="11">
        <f>[1]!EM_S_FA_NETPROFITMARGIN(B163,E163)</f>
        <v>3.0047180243999998</v>
      </c>
      <c r="K163" s="10">
        <f>[1]!EM_S_FA_ASSETSTURN(B163,E163)</f>
        <v>1.6451868018169999</v>
      </c>
      <c r="L163" s="12">
        <f>[1]!EM_HKS_VAL_MV(B163,"2019-12-31","2")</f>
        <v>15099318000</v>
      </c>
      <c r="M163">
        <f>[1]!EM_S_VAL_PETTMDEDUCTED(B163,E163)</f>
        <v>9.6573500787049191</v>
      </c>
      <c r="N163" s="7">
        <f>[1]!EM_S_VAL_PBGOODWILLDEDUCTED(B163,E163)</f>
        <v>1.23109791304937</v>
      </c>
      <c r="O163" s="7">
        <f>[1]!EM_S_VAL_PS_TTM(B163,E163)</f>
        <v>0.18565972100252601</v>
      </c>
      <c r="P163" s="7">
        <f>[1]!EM_S_VAL_PCF_NCFTTM(B163,E163)</f>
        <v>6.9448401675837603</v>
      </c>
      <c r="Q163" s="7">
        <f>[1]!EM_S_VAL_DIVIDENDYIELD2(B163,E163,"2019-11-29")</f>
        <v>2.4287222808870119</v>
      </c>
      <c r="T163"/>
      <c r="U163">
        <f>[1]!EM_S_RATIO_EPS_TTM(B163,E163,"1")</f>
        <v>1.3487844001944325</v>
      </c>
      <c r="AT163" s="4" t="str">
        <f>[1]!EM_S_IPO_LISTEDDATE(B163)</f>
        <v>1999-11-25</v>
      </c>
    </row>
    <row r="164" spans="1:46">
      <c r="A164">
        <v>772</v>
      </c>
      <c r="B164" t="str">
        <f>"002261"</f>
        <v>002261</v>
      </c>
      <c r="C164" t="s">
        <v>3056</v>
      </c>
      <c r="D164" t="str">
        <f>[1]!EM_S_INFO_INDEX_EM(B164,"1")</f>
        <v>文化传媒</v>
      </c>
      <c r="E164" s="4">
        <f t="shared" si="2"/>
        <v>43465</v>
      </c>
      <c r="F164" s="11">
        <f>[1]!EM_S_PQ_PCTCHANGE(B164,"2018-01-01","2019-12-31","3")</f>
        <v>7.2198727500000004</v>
      </c>
      <c r="G164" s="11">
        <f>[1]!EM_S_PQ_PCTCHANGE(B164,"2018-12-31","2019-12-30","1")</f>
        <v>102.8436019</v>
      </c>
      <c r="H164" s="11">
        <f>[1]!EM_S_FA_YOY_OR(B164,E164)</f>
        <v>5.9152595711</v>
      </c>
      <c r="I164" s="11">
        <f>[1]!EM_S_FA_GROSSPROFITMARGIN(B164,E164)</f>
        <v>49.634835032600002</v>
      </c>
      <c r="J164" s="11">
        <f>[1]!EM_S_FA_NETPROFITMARGIN(B164,E164)</f>
        <v>-115.29269991709999</v>
      </c>
      <c r="K164" s="10">
        <f>[1]!EM_S_FA_ASSETSTURN(B164,E164)</f>
        <v>0.314656886611</v>
      </c>
      <c r="L164" s="12">
        <f>[1]!EM_HKS_VAL_MV(B164,"2019-12-31","2")</f>
        <v>9114349716.7199993</v>
      </c>
      <c r="M164">
        <f>[1]!EM_S_VAL_PETTMDEDUCTED(B164,E164)</f>
        <v>-108.87944800925899</v>
      </c>
      <c r="N164" s="7">
        <f>[1]!EM_S_VAL_PBGOODWILLDEDUCTED(B164,E164)</f>
        <v>2.8262932165570702</v>
      </c>
      <c r="O164" s="7">
        <f>[1]!EM_S_VAL_PS_TTM(B164,E164)</f>
        <v>4.1351459417243701</v>
      </c>
      <c r="P164" s="7">
        <f>[1]!EM_S_VAL_PCF_NCFTTM(B164,E164)</f>
        <v>71.826027957608204</v>
      </c>
      <c r="Q164" s="7">
        <f>[1]!EM_S_VAL_DIVIDENDYIELD2(B164,E164,"2019-11-29")</f>
        <v>0</v>
      </c>
      <c r="T164"/>
      <c r="U164">
        <f>[1]!EM_S_RATIO_EPS_TTM(B164,E164,"1")</f>
        <v>-1.2408295128437885</v>
      </c>
      <c r="AT164" s="4" t="str">
        <f>[1]!EM_S_IPO_LISTEDDATE(B164)</f>
        <v>2008-07-23</v>
      </c>
    </row>
    <row r="165" spans="1:46">
      <c r="A165">
        <v>1538</v>
      </c>
      <c r="B165" t="str">
        <f>"300113"</f>
        <v>300113</v>
      </c>
      <c r="C165" t="s">
        <v>281</v>
      </c>
      <c r="D165" t="str">
        <f>[1]!EM_S_INFO_INDEX_EM(B165,"1")</f>
        <v>互联网</v>
      </c>
      <c r="E165" s="4">
        <f t="shared" si="2"/>
        <v>43465</v>
      </c>
      <c r="F165" s="11">
        <f>[1]!EM_S_PQ_PCTCHANGE(B165,"2018-01-01","2019-12-31","3")</f>
        <v>42.152567419999997</v>
      </c>
      <c r="G165" s="11">
        <f>[1]!EM_S_PQ_PCTCHANGE(B165,"2018-12-31","2019-12-30","1")</f>
        <v>101.3375295</v>
      </c>
      <c r="H165" s="11">
        <f>[1]!EM_S_FA_YOY_OR(B165,E165)</f>
        <v>9.3100794297</v>
      </c>
      <c r="I165" s="11">
        <f>[1]!EM_S_FA_GROSSPROFITMARGIN(B165,E165)</f>
        <v>64.172746559299995</v>
      </c>
      <c r="J165" s="11">
        <f>[1]!EM_S_FA_NETPROFITMARGIN(B165,E165)</f>
        <v>21.701486355</v>
      </c>
      <c r="K165" s="10">
        <f>[1]!EM_S_FA_ASSETSTURN(B165,E165)</f>
        <v>0.50465042942299998</v>
      </c>
      <c r="L165" s="12">
        <f>[1]!EM_HKS_VAL_MV(B165,"2019-12-31","2")</f>
        <v>17836239195.599998</v>
      </c>
      <c r="M165">
        <f>[1]!EM_S_VAL_PETTMDEDUCTED(B165,E165)</f>
        <v>16.031273608987501</v>
      </c>
      <c r="N165" s="7">
        <f>[1]!EM_S_VAL_PBGOODWILLDEDUCTED(B165,E165)</f>
        <v>4.4859834507315801</v>
      </c>
      <c r="O165" s="7">
        <f>[1]!EM_S_VAL_PS_TTM(B165,E165)</f>
        <v>4.0903214490389397</v>
      </c>
      <c r="P165" s="7">
        <f>[1]!EM_S_VAL_PCF_NCFTTM(B165,E165)</f>
        <v>20.265514868649198</v>
      </c>
      <c r="Q165" s="7">
        <f>[1]!EM_S_VAL_DIVIDENDYIELD2(B165,E165,"2019-11-29")</f>
        <v>0</v>
      </c>
      <c r="T165"/>
      <c r="U165">
        <f>[1]!EM_S_RATIO_EPS_TTM(B165,E165,"1")</f>
        <v>0.46327378184280044</v>
      </c>
      <c r="AT165" s="4" t="str">
        <f>[1]!EM_S_IPO_LISTEDDATE(B165)</f>
        <v>2010-08-27</v>
      </c>
    </row>
    <row r="166" spans="1:46">
      <c r="A166">
        <v>3152</v>
      </c>
      <c r="B166" t="str">
        <f>"601799"</f>
        <v>601799</v>
      </c>
      <c r="C166" t="s">
        <v>723</v>
      </c>
      <c r="D166" t="str">
        <f>[1]!EM_S_INFO_INDEX_EM(B166,"1")</f>
        <v>交运设备</v>
      </c>
      <c r="E166" s="4">
        <f t="shared" si="2"/>
        <v>43465</v>
      </c>
      <c r="F166" s="11">
        <f>[1]!EM_S_PQ_PCTCHANGE(B166,"2018-01-01","2019-12-31","3")</f>
        <v>97.793579390000005</v>
      </c>
      <c r="G166" s="11">
        <f>[1]!EM_S_PQ_PCTCHANGE(B166,"2018-12-31","2019-12-30","1")</f>
        <v>100.67368421</v>
      </c>
      <c r="H166" s="11">
        <f>[1]!EM_S_FA_YOY_OR(B166,E166)</f>
        <v>19.237863602699999</v>
      </c>
      <c r="I166" s="11">
        <f>[1]!EM_S_FA_GROSSPROFITMARGIN(B166,E166)</f>
        <v>22.556379701499999</v>
      </c>
      <c r="J166" s="11">
        <f>[1]!EM_S_FA_NETPROFITMARGIN(B166,E166)</f>
        <v>11.9878232533</v>
      </c>
      <c r="K166" s="10">
        <f>[1]!EM_S_FA_ASSETSTURN(B166,E166)</f>
        <v>0.74037424801100005</v>
      </c>
      <c r="L166" s="12">
        <f>[1]!EM_HKS_VAL_MV(B166,"2019-12-31","2")</f>
        <v>26229223935.360001</v>
      </c>
      <c r="M166">
        <f>[1]!EM_S_VAL_PETTMDEDUCTED(B166,E166)</f>
        <v>25.377694873020999</v>
      </c>
      <c r="N166" s="7">
        <f>[1]!EM_S_VAL_PBGOODWILLDEDUCTED(B166,E166)</f>
        <v>3.0027814318241401</v>
      </c>
      <c r="O166" s="7">
        <f>[1]!EM_S_VAL_PS_TTM(B166,E166)</f>
        <v>2.6380338677132502</v>
      </c>
      <c r="P166" s="7">
        <f>[1]!EM_S_VAL_PCF_NCFTTM(B166,E166)</f>
        <v>68.252533486940607</v>
      </c>
      <c r="Q166" s="7">
        <f>[1]!EM_S_VAL_DIVIDENDYIELD2(B166,E166,"2019-11-29")</f>
        <v>1.1785714285714286</v>
      </c>
      <c r="T166"/>
      <c r="U166">
        <f>[1]!EM_S_RATIO_EPS_TTM(B166,E166,"1")</f>
        <v>2.2108456871459889</v>
      </c>
      <c r="AT166" s="4" t="str">
        <f>[1]!EM_S_IPO_LISTEDDATE(B166)</f>
        <v>2011-02-01</v>
      </c>
    </row>
    <row r="167" spans="1:46">
      <c r="A167">
        <v>3041</v>
      </c>
      <c r="B167" t="str">
        <f>"601058"</f>
        <v>601058</v>
      </c>
      <c r="C167" t="s">
        <v>1369</v>
      </c>
      <c r="D167" t="str">
        <f>[1]!EM_S_INFO_INDEX_EM(B167,"1")</f>
        <v>基础化工</v>
      </c>
      <c r="E167" s="4">
        <f t="shared" si="2"/>
        <v>43465</v>
      </c>
      <c r="F167" s="11">
        <f>[1]!EM_S_PQ_PCTCHANGE(B167,"2018-01-01","2019-12-31","3")</f>
        <v>28.140495820000002</v>
      </c>
      <c r="G167" s="11">
        <f>[1]!EM_S_PQ_PCTCHANGE(B167,"2018-12-31","2019-12-30","1")</f>
        <v>100.44843049000001</v>
      </c>
      <c r="H167" s="11">
        <f>[1]!EM_S_FA_YOY_OR(B167,E167)</f>
        <v>-0.88468074149999998</v>
      </c>
      <c r="I167" s="11">
        <f>[1]!EM_S_FA_GROSSPROFITMARGIN(B167,E167)</f>
        <v>19.824311706100001</v>
      </c>
      <c r="J167" s="11">
        <f>[1]!EM_S_FA_NETPROFITMARGIN(B167,E167)</f>
        <v>4.8004916446000001</v>
      </c>
      <c r="K167" s="10">
        <f>[1]!EM_S_FA_ASSETSTURN(B167,E167)</f>
        <v>0.90199893770899997</v>
      </c>
      <c r="L167" s="12">
        <f>[1]!EM_HKS_VAL_MV(B167,"2019-12-31","2")</f>
        <v>12070165230.66</v>
      </c>
      <c r="M167">
        <f>[1]!EM_S_VAL_PETTMDEDUCTED(B167,E167)</f>
        <v>9.6938323919611609</v>
      </c>
      <c r="N167" s="7">
        <f>[1]!EM_S_VAL_PBGOODWILLDEDUCTED(B167,E167)</f>
        <v>1.03723512998217</v>
      </c>
      <c r="O167" s="7">
        <f>[1]!EM_S_VAL_PS_TTM(B167,E167)</f>
        <v>0.435633828547484</v>
      </c>
      <c r="P167" s="7">
        <f>[1]!EM_S_VAL_PCF_NCFTTM(B167,E167)</f>
        <v>11.7600128307775</v>
      </c>
      <c r="Q167" s="7">
        <f>[1]!EM_S_VAL_DIVIDENDYIELD2(B167,E167,"2019-11-29")</f>
        <v>1.1342907235869453</v>
      </c>
      <c r="T167"/>
      <c r="U167">
        <f>[1]!EM_S_RATIO_EPS_TTM(B167,E167,"1")</f>
        <v>0.24732331271062494</v>
      </c>
      <c r="AT167" s="4" t="str">
        <f>[1]!EM_S_IPO_LISTEDDATE(B167)</f>
        <v>2011-06-30</v>
      </c>
    </row>
    <row r="168" spans="1:46">
      <c r="A168">
        <v>2436</v>
      </c>
      <c r="B168" t="str">
        <f>"600309"</f>
        <v>600309</v>
      </c>
      <c r="C168" t="s">
        <v>62</v>
      </c>
      <c r="D168" t="str">
        <f>[1]!EM_S_INFO_INDEX_EM(B168,"1")</f>
        <v>基础化工</v>
      </c>
      <c r="E168" s="4">
        <f t="shared" si="2"/>
        <v>43465</v>
      </c>
      <c r="F168" s="11">
        <f>[1]!EM_S_PQ_PCTCHANGE(B168,"2018-01-01","2019-12-31","3")</f>
        <v>62.226849970000004</v>
      </c>
      <c r="G168" s="11">
        <f>[1]!EM_S_PQ_PCTCHANGE(B168,"2018-12-31","2019-12-30","1")</f>
        <v>100.25008932</v>
      </c>
      <c r="H168" s="11">
        <f>[1]!EM_S_FA_YOY_OR(B168,E168)</f>
        <v>14.1144056692</v>
      </c>
      <c r="I168" s="11">
        <f>[1]!EM_S_FA_GROSSPROFITMARGIN(B168,E168)</f>
        <v>33.827833787300001</v>
      </c>
      <c r="J168" s="11">
        <f>[1]!EM_S_FA_NETPROFITMARGIN(B168,E168)</f>
        <v>21.1636248909</v>
      </c>
      <c r="K168" s="10">
        <f>[1]!EM_S_FA_ASSETSTURN(B168,E168)</f>
        <v>0.84939088118200001</v>
      </c>
      <c r="L168" s="12">
        <f>[1]!EM_HKS_VAL_MV(B168,"2019-12-31","2")</f>
        <v>176359567982.42001</v>
      </c>
      <c r="M168">
        <f>[1]!EM_S_VAL_PETTMDEDUCTED(B168,E168)</f>
        <v>6.6975617651857204</v>
      </c>
      <c r="N168" s="7">
        <f>[1]!EM_S_VAL_PBGOODWILLDEDUCTED(B168,E168)</f>
        <v>2.2842459147818799</v>
      </c>
      <c r="O168" s="7">
        <f>[1]!EM_S_VAL_PS_TTM(B168,E168)</f>
        <v>1.2736571155843699</v>
      </c>
      <c r="P168" s="7">
        <f>[1]!EM_S_VAL_PCF_NCFTTM(B168,E168)</f>
        <v>124.80371963180001</v>
      </c>
      <c r="Q168" s="7">
        <f>[1]!EM_S_VAL_DIVIDENDYIELD2(B168,E168,"2019-11-29")</f>
        <v>4.1313778145011355</v>
      </c>
      <c r="U168">
        <f>[1]!EM_S_RATIO_EPS_TTM(B168,E168,"1")</f>
        <v>3.8808815596254704</v>
      </c>
      <c r="AT168" s="4" t="str">
        <f>[1]!EM_S_IPO_LISTEDDATE(B168)</f>
        <v>2001-01-05</v>
      </c>
    </row>
    <row r="169" spans="1:46">
      <c r="A169">
        <v>3454</v>
      </c>
      <c r="B169" t="str">
        <f>"603605"</f>
        <v>603605</v>
      </c>
      <c r="C169" t="s">
        <v>336</v>
      </c>
      <c r="D169" t="str">
        <f>[1]!EM_S_INFO_INDEX_EM(B169,"1")</f>
        <v>基础化工</v>
      </c>
      <c r="E169" s="4">
        <f t="shared" si="2"/>
        <v>43465</v>
      </c>
      <c r="F169" s="11">
        <f>[1]!EM_S_PQ_PCTCHANGE(B169,"2018-01-01","2019-12-31","3")</f>
        <v>211.3695597</v>
      </c>
      <c r="G169" s="11">
        <f>[1]!EM_S_PQ_PCTCHANGE(B169,"2018-12-31","2019-12-30","1")</f>
        <v>99.931926480000001</v>
      </c>
      <c r="H169" s="11">
        <f>[1]!EM_S_FA_YOY_OR(B169,E169)</f>
        <v>32.429091997</v>
      </c>
      <c r="I169" s="11">
        <f>[1]!EM_S_FA_GROSSPROFITMARGIN(B169,E169)</f>
        <v>64.025963030100002</v>
      </c>
      <c r="J169" s="11">
        <f>[1]!EM_S_FA_NETPROFITMARGIN(B169,E169)</f>
        <v>12.138474758799999</v>
      </c>
      <c r="K169" s="10">
        <f>[1]!EM_S_FA_ASSETSTURN(B169,E169)</f>
        <v>0.91452679896199995</v>
      </c>
      <c r="L169" s="12">
        <f>[1]!EM_HKS_VAL_MV(B169,"2019-12-31","2")</f>
        <v>17721784758</v>
      </c>
      <c r="M169">
        <f>[1]!EM_S_VAL_PETTMDEDUCTED(B169,E169)</f>
        <v>36.812408000979801</v>
      </c>
      <c r="N169" s="7">
        <f>[1]!EM_S_VAL_PBGOODWILLDEDUCTED(B169,E169)</f>
        <v>5.2375504668934401</v>
      </c>
      <c r="O169" s="7">
        <f>[1]!EM_S_VAL_PS_TTM(B169,E169)</f>
        <v>4.1667022491978498</v>
      </c>
      <c r="P169" s="7">
        <f>[1]!EM_S_VAL_PCF_NCFTTM(B169,E169)</f>
        <v>29.309078986235299</v>
      </c>
      <c r="Q169" s="7">
        <f>[1]!EM_S_VAL_DIVIDENDYIELD2(B169,E169,"2019-11-29")</f>
        <v>0.51222127214204183</v>
      </c>
      <c r="T169"/>
      <c r="U169">
        <f>[1]!EM_S_RATIO_EPS_TTM(B169,E169,"1")</f>
        <v>1.4262288776002261</v>
      </c>
      <c r="AT169" s="4" t="str">
        <f>[1]!EM_S_IPO_LISTEDDATE(B169)</f>
        <v>2017-11-15</v>
      </c>
    </row>
    <row r="170" spans="1:46">
      <c r="A170">
        <v>1885</v>
      </c>
      <c r="B170" t="str">
        <f>"300460"</f>
        <v>300460</v>
      </c>
      <c r="C170" t="s">
        <v>2804</v>
      </c>
      <c r="D170" t="str">
        <f>[1]!EM_S_INFO_INDEX_EM(B170,"1")</f>
        <v>电子设备</v>
      </c>
      <c r="E170" s="4">
        <f t="shared" si="2"/>
        <v>43465</v>
      </c>
      <c r="F170" s="11">
        <f>[1]!EM_S_PQ_PCTCHANGE(B170,"2018-01-01","2019-12-31","3")</f>
        <v>23.98968378</v>
      </c>
      <c r="G170" s="11">
        <f>[1]!EM_S_PQ_PCTCHANGE(B170,"2018-12-31","2019-12-30","1")</f>
        <v>99.761051370000004</v>
      </c>
      <c r="H170" s="11">
        <f>[1]!EM_S_FA_YOY_OR(B170,E170)</f>
        <v>-12.1920822495</v>
      </c>
      <c r="I170" s="11">
        <f>[1]!EM_S_FA_GROSSPROFITMARGIN(B170,E170)</f>
        <v>25.3162681845</v>
      </c>
      <c r="J170" s="11">
        <f>[1]!EM_S_FA_NETPROFITMARGIN(B170,E170)</f>
        <v>-6.9891219587000002</v>
      </c>
      <c r="K170" s="10">
        <f>[1]!EM_S_FA_ASSETSTURN(B170,E170)</f>
        <v>0.30292799634399997</v>
      </c>
      <c r="L170" s="12">
        <f>[1]!EM_HKS_VAL_MV(B170,"2019-12-31","2")</f>
        <v>2764745106</v>
      </c>
      <c r="M170">
        <f>[1]!EM_S_VAL_PETTMDEDUCTED(B170,E170)</f>
        <v>85.607515083736899</v>
      </c>
      <c r="N170" s="7">
        <f>[1]!EM_S_VAL_PBGOODWILLDEDUCTED(B170,E170)</f>
        <v>2.5310231162145</v>
      </c>
      <c r="O170" s="7">
        <f>[1]!EM_S_VAL_PS_TTM(B170,E170)</f>
        <v>3.9612196891081601</v>
      </c>
      <c r="P170" s="7">
        <f>[1]!EM_S_VAL_PCF_NCFTTM(B170,E170)</f>
        <v>90.387726685429797</v>
      </c>
      <c r="Q170" s="7">
        <f>[1]!EM_S_VAL_DIVIDENDYIELD2(B170,E170,"2019-11-29")</f>
        <v>0</v>
      </c>
      <c r="T170"/>
      <c r="U170">
        <f>[1]!EM_S_RATIO_EPS_TTM(B170,E170,"1")</f>
        <v>-0.13248847012792217</v>
      </c>
      <c r="AT170" s="4" t="str">
        <f>[1]!EM_S_IPO_LISTEDDATE(B170)</f>
        <v>2015-05-15</v>
      </c>
    </row>
    <row r="171" spans="1:46">
      <c r="A171">
        <v>1927</v>
      </c>
      <c r="B171" t="str">
        <f>"300502"</f>
        <v>300502</v>
      </c>
      <c r="C171" t="s">
        <v>3250</v>
      </c>
      <c r="D171" t="str">
        <f>[1]!EM_S_INFO_INDEX_EM(B171,"1")</f>
        <v>信息技术</v>
      </c>
      <c r="E171" s="4">
        <f t="shared" si="2"/>
        <v>43465</v>
      </c>
      <c r="F171" s="11">
        <f>[1]!EM_S_PQ_PCTCHANGE(B171,"2018-01-01","2019-12-31","3")</f>
        <v>40.067670630000002</v>
      </c>
      <c r="G171" s="11">
        <f>[1]!EM_S_PQ_PCTCHANGE(B171,"2018-12-31","2019-12-30","1")</f>
        <v>99.745547070000001</v>
      </c>
      <c r="H171" s="11">
        <f>[1]!EM_S_FA_YOY_OR(B171,E171)</f>
        <v>-13.3826889452</v>
      </c>
      <c r="I171" s="11">
        <f>[1]!EM_S_FA_GROSSPROFITMARGIN(B171,E171)</f>
        <v>19.508775288799999</v>
      </c>
      <c r="J171" s="11">
        <f>[1]!EM_S_FA_NETPROFITMARGIN(B171,E171)</f>
        <v>4.1887389529999997</v>
      </c>
      <c r="K171" s="10">
        <f>[1]!EM_S_FA_ASSETSTURN(B171,E171)</f>
        <v>0.54635474806399997</v>
      </c>
      <c r="L171" s="12">
        <f>[1]!EM_HKS_VAL_MV(B171,"2019-12-31","2")</f>
        <v>9491470281</v>
      </c>
      <c r="M171">
        <f>[1]!EM_S_VAL_PETTMDEDUCTED(B171,E171)</f>
        <v>495.245699125633</v>
      </c>
      <c r="N171" s="7">
        <f>[1]!EM_S_VAL_PBGOODWILLDEDUCTED(B171,E171)</f>
        <v>4.1238915855940901</v>
      </c>
      <c r="O171" s="7">
        <f>[1]!EM_S_VAL_PS_TTM(B171,E171)</f>
        <v>6.2492125314614198</v>
      </c>
      <c r="P171" s="7">
        <f>[1]!EM_S_VAL_PCF_NCFTTM(B171,E171)</f>
        <v>109.852671518422</v>
      </c>
      <c r="Q171" s="7">
        <f>[1]!EM_S_VAL_DIVIDENDYIELD2(B171,E171,"2019-11-29")</f>
        <v>0.32508983022556998</v>
      </c>
      <c r="T171"/>
      <c r="U171">
        <f>[1]!EM_S_RATIO_EPS_TTM(B171,E171,"1")</f>
        <v>0.13354589580995332</v>
      </c>
      <c r="AT171" s="4" t="str">
        <f>[1]!EM_S_IPO_LISTEDDATE(B171)</f>
        <v>2016-03-03</v>
      </c>
    </row>
    <row r="172" spans="1:46">
      <c r="A172">
        <v>895</v>
      </c>
      <c r="B172" t="str">
        <f>"002384"</f>
        <v>002384</v>
      </c>
      <c r="C172" t="s">
        <v>1446</v>
      </c>
      <c r="D172" t="str">
        <f>[1]!EM_S_INFO_INDEX_EM(B172,"1")</f>
        <v>信息技术</v>
      </c>
      <c r="E172" s="4">
        <f t="shared" si="2"/>
        <v>43465</v>
      </c>
      <c r="F172" s="11">
        <f>[1]!EM_S_PQ_PCTCHANGE(B172,"2018-01-01","2019-12-31","3")</f>
        <v>22.560433660000001</v>
      </c>
      <c r="G172" s="11">
        <f>[1]!EM_S_PQ_PCTCHANGE(B172,"2018-12-31","2019-12-30","1")</f>
        <v>98.671390610000003</v>
      </c>
      <c r="H172" s="11">
        <f>[1]!EM_S_FA_YOY_OR(B172,E172)</f>
        <v>28.8237791275</v>
      </c>
      <c r="I172" s="11">
        <f>[1]!EM_S_FA_GROSSPROFITMARGIN(B172,E172)</f>
        <v>15.956862646799999</v>
      </c>
      <c r="J172" s="11">
        <f>[1]!EM_S_FA_NETPROFITMARGIN(B172,E172)</f>
        <v>4.0909382387999997</v>
      </c>
      <c r="K172" s="10">
        <f>[1]!EM_S_FA_ASSETSTURN(B172,E172)</f>
        <v>0.74462877986999998</v>
      </c>
      <c r="L172" s="12">
        <f>[1]!EM_HKS_VAL_MV(B172,"2019-12-31","2")</f>
        <v>37192152842.550003</v>
      </c>
      <c r="M172">
        <f>[1]!EM_S_VAL_PETTMDEDUCTED(B172,E172)</f>
        <v>35.284852968114002</v>
      </c>
      <c r="N172" s="7">
        <f>[1]!EM_S_VAL_PBGOODWILLDEDUCTED(B172,E172)</f>
        <v>2.92826217776213</v>
      </c>
      <c r="O172" s="7">
        <f>[1]!EM_S_VAL_PS_TTM(B172,E172)</f>
        <v>0.98780796712918195</v>
      </c>
      <c r="P172" s="7">
        <f>[1]!EM_S_VAL_PCF_NCFTTM(B172,E172)</f>
        <v>-24.902971427293402</v>
      </c>
      <c r="Q172" s="7">
        <f>[1]!EM_S_VAL_DIVIDENDYIELD2(B172,E172,"2019-11-29")</f>
        <v>0.2879581151832461</v>
      </c>
      <c r="T172"/>
      <c r="U172">
        <f>[1]!EM_S_RATIO_EPS_TTM(B172,E172,"1")</f>
        <v>0.50484021129536627</v>
      </c>
      <c r="AT172" s="4" t="str">
        <f>[1]!EM_S_IPO_LISTEDDATE(B172)</f>
        <v>2010-04-09</v>
      </c>
    </row>
    <row r="173" spans="1:46">
      <c r="A173">
        <v>1659</v>
      </c>
      <c r="B173" t="str">
        <f>"300234"</f>
        <v>300234</v>
      </c>
      <c r="C173" t="s">
        <v>3219</v>
      </c>
      <c r="D173" t="str">
        <f>[1]!EM_S_INFO_INDEX_EM(B173,"1")</f>
        <v>有色金属</v>
      </c>
      <c r="E173" s="4">
        <f t="shared" si="2"/>
        <v>43465</v>
      </c>
      <c r="F173" s="11">
        <f>[1]!EM_S_PQ_PCTCHANGE(B173,"2018-01-01","2019-12-31","3")</f>
        <v>23.600439080000001</v>
      </c>
      <c r="G173" s="11">
        <f>[1]!EM_S_PQ_PCTCHANGE(B173,"2018-12-31","2019-12-30","1")</f>
        <v>98.412698410000004</v>
      </c>
      <c r="H173" s="11">
        <f>[1]!EM_S_FA_YOY_OR(B173,E173)</f>
        <v>-18.016954930699999</v>
      </c>
      <c r="I173" s="11">
        <f>[1]!EM_S_FA_GROSSPROFITMARGIN(B173,E173)</f>
        <v>7.6752794200999999</v>
      </c>
      <c r="J173" s="11">
        <f>[1]!EM_S_FA_NETPROFITMARGIN(B173,E173)</f>
        <v>-28.497813221299999</v>
      </c>
      <c r="K173" s="10">
        <f>[1]!EM_S_FA_ASSETSTURN(B173,E173)</f>
        <v>0.241189512134</v>
      </c>
      <c r="L173" s="12">
        <f>[1]!EM_HKS_VAL_MV(B173,"2019-12-31","2")</f>
        <v>3260159460.8800001</v>
      </c>
      <c r="M173">
        <f>[1]!EM_S_VAL_PETTMDEDUCTED(B173,E173)</f>
        <v>-73.918509142731494</v>
      </c>
      <c r="N173" s="7">
        <f>[1]!EM_S_VAL_PBGOODWILLDEDUCTED(B173,E173)</f>
        <v>1.8159552539822199</v>
      </c>
      <c r="O173" s="7">
        <f>[1]!EM_S_VAL_PS_TTM(B173,E173)</f>
        <v>4.6477644895170602</v>
      </c>
      <c r="P173" s="7">
        <f>[1]!EM_S_VAL_PCF_NCFTTM(B173,E173)</f>
        <v>-858.39409278690903</v>
      </c>
      <c r="Q173" s="7">
        <f>[1]!EM_S_VAL_DIVIDENDYIELD2(B173,E173,"2019-11-29")</f>
        <v>0</v>
      </c>
      <c r="T173"/>
      <c r="U173">
        <f>[1]!EM_S_RATIO_EPS_TTM(B173,E173,"1")</f>
        <v>-0.24686994525849187</v>
      </c>
      <c r="AT173" s="4" t="str">
        <f>[1]!EM_S_IPO_LISTEDDATE(B173)</f>
        <v>2011-06-22</v>
      </c>
    </row>
    <row r="174" spans="1:46">
      <c r="A174">
        <v>2935</v>
      </c>
      <c r="B174" t="str">
        <f>"600862"</f>
        <v>600862</v>
      </c>
      <c r="C174" t="s">
        <v>1885</v>
      </c>
      <c r="D174" t="str">
        <f>[1]!EM_S_INFO_INDEX_EM(B174,"1")</f>
        <v>国防与装备</v>
      </c>
      <c r="E174" s="4">
        <f t="shared" si="2"/>
        <v>43465</v>
      </c>
      <c r="F174" s="11">
        <f>[1]!EM_S_PQ_PCTCHANGE(B174,"2018-01-01","2019-12-31","3")</f>
        <v>15.13132117</v>
      </c>
      <c r="G174" s="11">
        <f>[1]!EM_S_PQ_PCTCHANGE(B174,"2018-12-31","2019-12-30","1")</f>
        <v>97.678571430000005</v>
      </c>
      <c r="H174" s="11">
        <f>[1]!EM_S_FA_YOY_OR(B174,E174)</f>
        <v>-12.855363545499999</v>
      </c>
      <c r="I174" s="11">
        <f>[1]!EM_S_FA_GROSSPROFITMARGIN(B174,E174)</f>
        <v>35.763799428699997</v>
      </c>
      <c r="J174" s="11">
        <f>[1]!EM_S_FA_NETPROFITMARGIN(B174,E174)</f>
        <v>13.614880631</v>
      </c>
      <c r="K174" s="10">
        <f>[1]!EM_S_FA_ASSETSTURN(B174,E174)</f>
        <v>0.35878754062899998</v>
      </c>
      <c r="L174" s="12">
        <f>[1]!EM_HKS_VAL_MV(B174,"2019-12-31","2")</f>
        <v>15351401159.139999</v>
      </c>
      <c r="M174">
        <f>[1]!EM_S_VAL_PETTMDEDUCTED(B174,E174)</f>
        <v>678.28861215294398</v>
      </c>
      <c r="N174" s="7">
        <f>[1]!EM_S_VAL_PBGOODWILLDEDUCTED(B174,E174)</f>
        <v>2.0552393362619199</v>
      </c>
      <c r="O174" s="7">
        <f>[1]!EM_S_VAL_PS_TTM(B174,E174)</f>
        <v>2.8477208758689598</v>
      </c>
      <c r="P174" s="7">
        <f>[1]!EM_S_VAL_PCF_NCFTTM(B174,E174)</f>
        <v>-9.7724482456541306</v>
      </c>
      <c r="Q174" s="7">
        <f>[1]!EM_S_VAL_DIVIDENDYIELD2(B174,E174,"2019-11-29")</f>
        <v>1.1434511434511436</v>
      </c>
      <c r="T174"/>
      <c r="U174">
        <f>[1]!EM_S_RATIO_EPS_TTM(B174,E174,"1")</f>
        <v>0.21826989197445429</v>
      </c>
      <c r="AT174" s="4" t="str">
        <f>[1]!EM_S_IPO_LISTEDDATE(B174)</f>
        <v>1994-05-20</v>
      </c>
    </row>
    <row r="175" spans="1:46">
      <c r="A175">
        <v>1510</v>
      </c>
      <c r="B175" t="str">
        <f>"300085"</f>
        <v>300085</v>
      </c>
      <c r="C175" t="s">
        <v>3418</v>
      </c>
      <c r="D175" t="str">
        <f>[1]!EM_S_INFO_INDEX_EM(B175,"1")</f>
        <v>信息技术</v>
      </c>
      <c r="E175" s="4">
        <f t="shared" si="2"/>
        <v>43465</v>
      </c>
      <c r="F175" s="11">
        <f>[1]!EM_S_PQ_PCTCHANGE(B175,"2018-01-01","2019-12-31","3")</f>
        <v>13.979344879999999</v>
      </c>
      <c r="G175" s="11">
        <f>[1]!EM_S_PQ_PCTCHANGE(B175,"2018-12-31","2019-12-30","1")</f>
        <v>97.361809050000005</v>
      </c>
      <c r="H175" s="11">
        <f>[1]!EM_S_FA_YOY_OR(B175,E175)</f>
        <v>13.2068670137</v>
      </c>
      <c r="I175" s="11">
        <f>[1]!EM_S_FA_GROSSPROFITMARGIN(B175,E175)</f>
        <v>31.9622351507</v>
      </c>
      <c r="J175" s="11">
        <f>[1]!EM_S_FA_NETPROFITMARGIN(B175,E175)</f>
        <v>1.6681765769000001</v>
      </c>
      <c r="K175" s="10">
        <f>[1]!EM_S_FA_ASSETSTURN(B175,E175)</f>
        <v>0.59420851497500005</v>
      </c>
      <c r="L175" s="12">
        <f>[1]!EM_HKS_VAL_MV(B175,"2019-12-31","2")</f>
        <v>10938795481.799999</v>
      </c>
      <c r="M175">
        <f>[1]!EM_S_VAL_PETTMDEDUCTED(B175,E175)</f>
        <v>-526.25280897535595</v>
      </c>
      <c r="N175" s="7">
        <f>[1]!EM_S_VAL_PBGOODWILLDEDUCTED(B175,E175)</f>
        <v>4.7044421881290797</v>
      </c>
      <c r="O175" s="7">
        <f>[1]!EM_S_VAL_PS_TTM(B175,E175)</f>
        <v>4.2125376496763698</v>
      </c>
      <c r="P175" s="7">
        <f>[1]!EM_S_VAL_PCF_NCFTTM(B175,E175)</f>
        <v>-46.324022040551398</v>
      </c>
      <c r="Q175" s="7">
        <f>[1]!EM_S_VAL_DIVIDENDYIELD2(B175,E175,"2019-11-29")</f>
        <v>0.13368983957219252</v>
      </c>
      <c r="T175"/>
      <c r="U175">
        <f>[1]!EM_S_RATIO_EPS_TTM(B175,E175,"1")</f>
        <v>5.0592537392438144E-2</v>
      </c>
      <c r="AT175" s="4" t="str">
        <f>[1]!EM_S_IPO_LISTEDDATE(B175)</f>
        <v>2010-05-26</v>
      </c>
    </row>
    <row r="176" spans="1:46">
      <c r="A176">
        <v>374</v>
      </c>
      <c r="B176" t="str">
        <f>"000818"</f>
        <v>000818</v>
      </c>
      <c r="C176" t="s">
        <v>290</v>
      </c>
      <c r="D176" t="str">
        <f>[1]!EM_S_INFO_INDEX_EM(B176,"1")</f>
        <v>基础化工</v>
      </c>
      <c r="E176" s="4">
        <f t="shared" si="2"/>
        <v>43465</v>
      </c>
      <c r="F176" s="11">
        <f>[1]!EM_S_PQ_PCTCHANGE(B176,"2018-01-01","2019-12-31","3")</f>
        <v>57.112651390000003</v>
      </c>
      <c r="G176" s="11">
        <f>[1]!EM_S_PQ_PCTCHANGE(B176,"2018-12-31","2019-12-30","1")</f>
        <v>96.749729139999999</v>
      </c>
      <c r="H176" s="11">
        <f>[1]!EM_S_FA_YOY_OR(B176,E176)</f>
        <v>12.4798303903</v>
      </c>
      <c r="I176" s="11">
        <f>[1]!EM_S_FA_GROSSPROFITMARGIN(B176,E176)</f>
        <v>25.7646152708</v>
      </c>
      <c r="J176" s="11">
        <f>[1]!EM_S_FA_NETPROFITMARGIN(B176,E176)</f>
        <v>13.515681943300001</v>
      </c>
      <c r="K176" s="10">
        <f>[1]!EM_S_FA_ASSETSTURN(B176,E176)</f>
        <v>0.95349320527799997</v>
      </c>
      <c r="L176" s="12">
        <f>[1]!EM_HKS_VAL_MV(B176,"2019-12-31","2")</f>
        <v>13784002200</v>
      </c>
      <c r="M176">
        <f>[1]!EM_S_VAL_PETTMDEDUCTED(B176,E176)</f>
        <v>14.866829199527899</v>
      </c>
      <c r="N176" s="7">
        <f>[1]!EM_S_VAL_PBGOODWILLDEDUCTED(B176,E176)</f>
        <v>4.1326780094500597</v>
      </c>
      <c r="O176" s="7">
        <f>[1]!EM_S_VAL_PS_TTM(B176,E176)</f>
        <v>1.6466862435171901</v>
      </c>
      <c r="P176" s="7">
        <f>[1]!EM_S_VAL_PCF_NCFTTM(B176,E176)</f>
        <v>-43.9560009944976</v>
      </c>
      <c r="Q176" s="7">
        <f>[1]!EM_S_VAL_DIVIDENDYIELD2(B176,E176,"2019-11-29")</f>
        <v>1.413760603204524</v>
      </c>
      <c r="T176"/>
      <c r="U176">
        <f>[1]!EM_S_RATIO_EPS_TTM(B176,E176,"1")</f>
        <v>0.72942813837681164</v>
      </c>
      <c r="AT176" s="4" t="str">
        <f>[1]!EM_S_IPO_LISTEDDATE(B176)</f>
        <v>1997-10-17</v>
      </c>
    </row>
    <row r="177" spans="1:46">
      <c r="A177">
        <v>1186</v>
      </c>
      <c r="B177" t="str">
        <f>"002675"</f>
        <v>002675</v>
      </c>
      <c r="C177" t="s">
        <v>1780</v>
      </c>
      <c r="D177" t="str">
        <f>[1]!EM_S_INFO_INDEX_EM(B177,"1")</f>
        <v>医药生物</v>
      </c>
      <c r="E177" s="4">
        <f t="shared" si="2"/>
        <v>43465</v>
      </c>
      <c r="F177" s="11">
        <f>[1]!EM_S_PQ_PCTCHANGE(B177,"2018-01-01","2019-12-31","3")</f>
        <v>37.593869040000001</v>
      </c>
      <c r="G177" s="11">
        <f>[1]!EM_S_PQ_PCTCHANGE(B177,"2018-12-31","2019-12-30","1")</f>
        <v>96.060991110000003</v>
      </c>
      <c r="H177" s="11">
        <f>[1]!EM_S_FA_YOY_OR(B177,E177)</f>
        <v>46.2033889585</v>
      </c>
      <c r="I177" s="11">
        <f>[1]!EM_S_FA_GROSSPROFITMARGIN(B177,E177)</f>
        <v>57.312247350100002</v>
      </c>
      <c r="J177" s="11">
        <f>[1]!EM_S_FA_NETPROFITMARGIN(B177,E177)</f>
        <v>16.6661848615</v>
      </c>
      <c r="K177" s="10">
        <f>[1]!EM_S_FA_ASSETSTURN(B177,E177)</f>
        <v>0.381164603968</v>
      </c>
      <c r="L177" s="12">
        <f>[1]!EM_HKS_VAL_MV(B177,"2019-12-31","2")</f>
        <v>12923672791.860001</v>
      </c>
      <c r="M177">
        <f>[1]!EM_S_VAL_PETTMDEDUCTED(B177,E177)</f>
        <v>26.692995908977199</v>
      </c>
      <c r="N177" s="7">
        <f>[1]!EM_S_VAL_PBGOODWILLDEDUCTED(B177,E177)</f>
        <v>4.2481670132610496</v>
      </c>
      <c r="O177" s="7">
        <f>[1]!EM_S_VAL_PS_TTM(B177,E177)</f>
        <v>3.0088180555453499</v>
      </c>
      <c r="P177" s="7">
        <f>[1]!EM_S_VAL_PCF_NCFTTM(B177,E177)</f>
        <v>6314.3596922646702</v>
      </c>
      <c r="Q177" s="7">
        <f>[1]!EM_S_VAL_DIVIDENDYIELD2(B177,E177,"2019-11-29")</f>
        <v>0.30476190476190479</v>
      </c>
      <c r="T177"/>
      <c r="U177">
        <f>[1]!EM_S_RATIO_EPS_TTM(B177,E177,"1")</f>
        <v>0.34956587039309495</v>
      </c>
      <c r="AT177" s="4" t="str">
        <f>[1]!EM_S_IPO_LISTEDDATE(B177)</f>
        <v>2012-05-25</v>
      </c>
    </row>
    <row r="178" spans="1:46">
      <c r="A178">
        <v>642</v>
      </c>
      <c r="B178" t="str">
        <f>"002131"</f>
        <v>002131</v>
      </c>
      <c r="C178" t="s">
        <v>1845</v>
      </c>
      <c r="D178" t="str">
        <f>[1]!EM_S_INFO_INDEX_EM(B178,"1")</f>
        <v>互联网</v>
      </c>
      <c r="E178" s="4">
        <f t="shared" si="2"/>
        <v>43465</v>
      </c>
      <c r="F178" s="11">
        <f>[1]!EM_S_PQ_PCTCHANGE(B178,"2018-01-01","2019-12-31","3")</f>
        <v>14.70872262</v>
      </c>
      <c r="G178" s="11">
        <f>[1]!EM_S_PQ_PCTCHANGE(B178,"2018-12-31","2019-12-30","1")</f>
        <v>95.918367349999997</v>
      </c>
      <c r="H178" s="11">
        <f>[1]!EM_S_FA_YOY_OR(B178,E178)</f>
        <v>15.8655672943</v>
      </c>
      <c r="I178" s="11">
        <f>[1]!EM_S_FA_GROSSPROFITMARGIN(B178,E178)</f>
        <v>11.5092090657</v>
      </c>
      <c r="J178" s="11">
        <f>[1]!EM_S_FA_NETPROFITMARGIN(B178,E178)</f>
        <v>-15.1178971332</v>
      </c>
      <c r="K178" s="10">
        <f>[1]!EM_S_FA_ASSETSTURN(B178,E178)</f>
        <v>0.89030359922299995</v>
      </c>
      <c r="L178" s="12">
        <f>[1]!EM_HKS_VAL_MV(B178,"2019-12-31","2")</f>
        <v>19843883966.610001</v>
      </c>
      <c r="M178">
        <f>[1]!EM_S_VAL_PETTMDEDUCTED(B178,E178)</f>
        <v>121.162872014681</v>
      </c>
      <c r="N178" s="7">
        <f>[1]!EM_S_VAL_PBGOODWILLDEDUCTED(B178,E178)</f>
        <v>1.79654344730875</v>
      </c>
      <c r="O178" s="7">
        <f>[1]!EM_S_VAL_PS_TTM(B178,E178)</f>
        <v>0.70155065044114895</v>
      </c>
      <c r="P178" s="7">
        <f>[1]!EM_S_VAL_PCF_NCFTTM(B178,E178)</f>
        <v>8.1538326561685803</v>
      </c>
      <c r="Q178" s="7">
        <f>[1]!EM_S_VAL_DIVIDENDYIELD2(B178,E178,"2019-11-29")</f>
        <v>0</v>
      </c>
      <c r="T178"/>
      <c r="U178">
        <f>[1]!EM_S_RATIO_EPS_TTM(B178,E178,"1")</f>
        <v>-0.30698615924190931</v>
      </c>
      <c r="AT178" s="4" t="str">
        <f>[1]!EM_S_IPO_LISTEDDATE(B178)</f>
        <v>2007-04-27</v>
      </c>
    </row>
    <row r="179" spans="1:46">
      <c r="A179">
        <v>1663</v>
      </c>
      <c r="B179" t="str">
        <f>"300238"</f>
        <v>300238</v>
      </c>
      <c r="C179" t="s">
        <v>2577</v>
      </c>
      <c r="D179" t="str">
        <f>[1]!EM_S_INFO_INDEX_EM(B179,"1")</f>
        <v>医药生物</v>
      </c>
      <c r="E179" s="4">
        <f t="shared" si="2"/>
        <v>43465</v>
      </c>
      <c r="F179" s="11">
        <f>[1]!EM_S_PQ_PCTCHANGE(B179,"2018-01-01","2019-12-31","3")</f>
        <v>-19.661903550000002</v>
      </c>
      <c r="G179" s="11">
        <f>[1]!EM_S_PQ_PCTCHANGE(B179,"2018-12-31","2019-12-30","1")</f>
        <v>95.492662469999999</v>
      </c>
      <c r="H179" s="11">
        <f>[1]!EM_S_FA_YOY_OR(B179,E179)</f>
        <v>-0.46346578770000002</v>
      </c>
      <c r="I179" s="11">
        <f>[1]!EM_S_FA_GROSSPROFITMARGIN(B179,E179)</f>
        <v>72.524906365500001</v>
      </c>
      <c r="J179" s="11">
        <f>[1]!EM_S_FA_NETPROFITMARGIN(B179,E179)</f>
        <v>7.6590445570999997</v>
      </c>
      <c r="K179" s="10">
        <f>[1]!EM_S_FA_ASSETSTURN(B179,E179)</f>
        <v>0.273119210896</v>
      </c>
      <c r="L179" s="12">
        <f>[1]!EM_HKS_VAL_MV(B179,"2019-12-31","2")</f>
        <v>5067125446.1099997</v>
      </c>
      <c r="M179">
        <f>[1]!EM_S_VAL_PETTMDEDUCTED(B179,E179)</f>
        <v>49.641733154486701</v>
      </c>
      <c r="N179" s="7">
        <f>[1]!EM_S_VAL_PBGOODWILLDEDUCTED(B179,E179)</f>
        <v>4.3048820235071696</v>
      </c>
      <c r="O179" s="7">
        <f>[1]!EM_S_VAL_PS_TTM(B179,E179)</f>
        <v>5.7915689234113303</v>
      </c>
      <c r="P179" s="7">
        <f>[1]!EM_S_VAL_PCF_NCFTTM(B179,E179)</f>
        <v>-26.2418317195235</v>
      </c>
      <c r="Q179" s="7">
        <f>[1]!EM_S_VAL_DIVIDENDYIELD2(B179,E179,"2019-11-29")</f>
        <v>0</v>
      </c>
      <c r="T179"/>
      <c r="U179">
        <f>[1]!EM_S_RATIO_EPS_TTM(B179,E179,"1")</f>
        <v>0.17252705986510167</v>
      </c>
      <c r="AT179" s="4" t="str">
        <f>[1]!EM_S_IPO_LISTEDDATE(B179)</f>
        <v>2011-07-06</v>
      </c>
    </row>
    <row r="180" spans="1:46">
      <c r="A180">
        <v>1857</v>
      </c>
      <c r="B180" t="str">
        <f>"300432"</f>
        <v>300432</v>
      </c>
      <c r="C180" t="s">
        <v>2582</v>
      </c>
      <c r="D180" t="str">
        <f>[1]!EM_S_INFO_INDEX_EM(B180,"1")</f>
        <v>交运设备</v>
      </c>
      <c r="E180" s="4">
        <f t="shared" si="2"/>
        <v>43465</v>
      </c>
      <c r="F180" s="11">
        <f>[1]!EM_S_PQ_PCTCHANGE(B180,"2018-01-01","2019-12-31","3")</f>
        <v>-28.72216551</v>
      </c>
      <c r="G180" s="11">
        <f>[1]!EM_S_PQ_PCTCHANGE(B180,"2018-12-31","2019-12-30","1")</f>
        <v>95.486111109999996</v>
      </c>
      <c r="H180" s="11">
        <f>[1]!EM_S_FA_YOY_OR(B180,E180)</f>
        <v>-36.494142033300001</v>
      </c>
      <c r="I180" s="11">
        <f>[1]!EM_S_FA_GROSSPROFITMARGIN(B180,E180)</f>
        <v>32.278082748899998</v>
      </c>
      <c r="J180" s="11">
        <f>[1]!EM_S_FA_NETPROFITMARGIN(B180,E180)</f>
        <v>-157.47969977689999</v>
      </c>
      <c r="K180" s="10">
        <f>[1]!EM_S_FA_ASSETSTURN(B180,E180)</f>
        <v>0.33719754208699998</v>
      </c>
      <c r="L180" s="12">
        <f>[1]!EM_HKS_VAL_MV(B180,"2019-12-31","2")</f>
        <v>5386240916.2799997</v>
      </c>
      <c r="M180">
        <f>[1]!EM_S_VAL_PETTMDEDUCTED(B180,E180)</f>
        <v>18.365732987920602</v>
      </c>
      <c r="N180" s="7">
        <f>[1]!EM_S_VAL_PBGOODWILLDEDUCTED(B180,E180)</f>
        <v>1.7387894510347299</v>
      </c>
      <c r="O180" s="7">
        <f>[1]!EM_S_VAL_PS_TTM(B180,E180)</f>
        <v>1.64671062094224</v>
      </c>
      <c r="P180" s="7">
        <f>[1]!EM_S_VAL_PCF_NCFTTM(B180,E180)</f>
        <v>48.0446195034678</v>
      </c>
      <c r="Q180" s="7">
        <f>[1]!EM_S_VAL_DIVIDENDYIELD2(B180,E180,"2019-11-29")</f>
        <v>0</v>
      </c>
      <c r="T180"/>
      <c r="U180">
        <f>[1]!EM_S_RATIO_EPS_TTM(B180,E180,"1")</f>
        <v>-4.67285657374764</v>
      </c>
      <c r="AT180" s="4" t="str">
        <f>[1]!EM_S_IPO_LISTEDDATE(B180)</f>
        <v>2015-03-19</v>
      </c>
    </row>
    <row r="181" spans="1:46">
      <c r="A181">
        <v>3314</v>
      </c>
      <c r="B181" t="str">
        <f>"603208"</f>
        <v>603208</v>
      </c>
      <c r="C181" t="s">
        <v>2272</v>
      </c>
      <c r="D181" t="str">
        <f>[1]!EM_S_INFO_INDEX_EM(B181,"1")</f>
        <v>轻工制造</v>
      </c>
      <c r="E181" s="4">
        <f t="shared" si="2"/>
        <v>43465</v>
      </c>
      <c r="F181" s="11">
        <f>[1]!EM_S_PQ_PCTCHANGE(B181,"2018-01-01","2019-12-31","3")</f>
        <v>23.573483710000001</v>
      </c>
      <c r="G181" s="11">
        <f>[1]!EM_S_PQ_PCTCHANGE(B181,"2019-01-01","2019-12-31","3")</f>
        <v>95.171551879999996</v>
      </c>
      <c r="H181" s="11">
        <f>[1]!EM_S_FA_YOY_OR(B181,E181)</f>
        <v>27.0501427769</v>
      </c>
      <c r="I181" s="11">
        <f>[1]!EM_S_FA_GROSSPROFITMARGIN(B181,E181)</f>
        <v>32.731500149399999</v>
      </c>
      <c r="J181" s="11">
        <f>[1]!EM_S_FA_NETPROFITMARGIN(B181,E181)</f>
        <v>11.594283922000001</v>
      </c>
      <c r="K181" s="10">
        <f>[1]!EM_S_FA_ASSETSTURN(B181,E181)</f>
        <v>0.66476144208999999</v>
      </c>
      <c r="L181" s="12">
        <f>[1]!EM_HKS_VAL_MV(B181,"2019-12-31","2")</f>
        <v>4118386468.5599999</v>
      </c>
      <c r="M181">
        <f>[1]!EM_S_VAL_PETTMDEDUCTED(B181,E181)</f>
        <v>18.144062410498599</v>
      </c>
      <c r="N181" s="7">
        <f>[1]!EM_S_VAL_PBGOODWILLDEDUCTED(B181,E181)</f>
        <v>1.9592940044762299</v>
      </c>
      <c r="O181" s="7">
        <f>[1]!EM_S_VAL_PS_TTM(B181,E181)</f>
        <v>1.81302759580771</v>
      </c>
      <c r="P181" s="7">
        <f>[1]!EM_S_VAL_PCF_NCFTTM(B181,E181)</f>
        <v>-49.742912671999797</v>
      </c>
      <c r="Q181" s="7">
        <f>[1]!EM_S_VAL_DIVIDENDYIELD2(B181,E181,"2019-11-29")</f>
        <v>1.1412829594647775</v>
      </c>
      <c r="T181"/>
      <c r="U181">
        <f>[1]!EM_S_RATIO_EPS_TTM(B181,E181,"1")</f>
        <v>1.8894946207536643</v>
      </c>
      <c r="AT181" s="4" t="str">
        <f>[1]!EM_S_IPO_LISTEDDATE(B181)</f>
        <v>2017-02-10</v>
      </c>
    </row>
    <row r="182" spans="1:46">
      <c r="A182">
        <v>680</v>
      </c>
      <c r="B182" t="str">
        <f>"002169"</f>
        <v>002169</v>
      </c>
      <c r="C182" t="s">
        <v>2702</v>
      </c>
      <c r="D182" t="str">
        <f>[1]!EM_S_INFO_INDEX_EM(B182,"1")</f>
        <v>电气设备</v>
      </c>
      <c r="E182" s="4">
        <f t="shared" si="2"/>
        <v>43465</v>
      </c>
      <c r="F182" s="11">
        <f>[1]!EM_S_PQ_PCTCHANGE(B182,"2018-01-01","2019-12-31","3")</f>
        <v>32.311465349999999</v>
      </c>
      <c r="G182" s="11">
        <f>[1]!EM_S_PQ_PCTCHANGE(B182,"2018-12-31","2019-12-30","1")</f>
        <v>94.972067039999999</v>
      </c>
      <c r="H182" s="11">
        <f>[1]!EM_S_FA_YOY_OR(B182,E182)</f>
        <v>47.592869573500003</v>
      </c>
      <c r="I182" s="11">
        <f>[1]!EM_S_FA_GROSSPROFITMARGIN(B182,E182)</f>
        <v>18.703051899999998</v>
      </c>
      <c r="J182" s="11">
        <f>[1]!EM_S_FA_NETPROFITMARGIN(B182,E182)</f>
        <v>2.9822907145999999</v>
      </c>
      <c r="K182" s="10">
        <f>[1]!EM_S_FA_ASSETSTURN(B182,E182)</f>
        <v>0.57123557524199997</v>
      </c>
      <c r="L182" s="12">
        <f>[1]!EM_HKS_VAL_MV(B182,"2019-12-31","2")</f>
        <v>5341229719.3199997</v>
      </c>
      <c r="M182">
        <f>[1]!EM_S_VAL_PETTMDEDUCTED(B182,E182)</f>
        <v>26.0546104615917</v>
      </c>
      <c r="N182" s="7">
        <f>[1]!EM_S_VAL_PBGOODWILLDEDUCTED(B182,E182)</f>
        <v>1.02197955527988</v>
      </c>
      <c r="O182" s="7">
        <f>[1]!EM_S_VAL_PS_TTM(B182,E182)</f>
        <v>1.03817306514235</v>
      </c>
      <c r="P182" s="7">
        <f>[1]!EM_S_VAL_PCF_NCFTTM(B182,E182)</f>
        <v>19.316062898448301</v>
      </c>
      <c r="Q182" s="7">
        <f>[1]!EM_S_VAL_DIVIDENDYIELD2(B182,E182,"2019-11-29")</f>
        <v>0.89820359281437123</v>
      </c>
      <c r="T182"/>
      <c r="U182">
        <f>[1]!EM_S_RATIO_EPS_TTM(B182,E182,"1")</f>
        <v>0.10018219338492033</v>
      </c>
      <c r="AT182" s="4" t="str">
        <f>[1]!EM_S_IPO_LISTEDDATE(B182)</f>
        <v>2007-09-19</v>
      </c>
    </row>
    <row r="183" spans="1:46">
      <c r="A183">
        <v>1907</v>
      </c>
      <c r="B183" t="str">
        <f>"300482"</f>
        <v>300482</v>
      </c>
      <c r="C183" t="s">
        <v>275</v>
      </c>
      <c r="D183" t="str">
        <f>[1]!EM_S_INFO_INDEX_EM(B183,"1")</f>
        <v>医药生物</v>
      </c>
      <c r="E183" s="4">
        <f t="shared" si="2"/>
        <v>43465</v>
      </c>
      <c r="F183" s="11">
        <f>[1]!EM_S_PQ_PCTCHANGE(B183,"2018-01-01","2019-12-31","3")</f>
        <v>28.602479670000001</v>
      </c>
      <c r="G183" s="11">
        <f>[1]!EM_S_PQ_PCTCHANGE(B183,"2018-12-31","2019-12-30","1")</f>
        <v>94.805194810000003</v>
      </c>
      <c r="H183" s="11">
        <f>[1]!EM_S_FA_YOY_OR(B183,E183)</f>
        <v>44.0490425359</v>
      </c>
      <c r="I183" s="11">
        <f>[1]!EM_S_FA_GROSSPROFITMARGIN(B183,E183)</f>
        <v>60.985424813500003</v>
      </c>
      <c r="J183" s="11">
        <f>[1]!EM_S_FA_NETPROFITMARGIN(B183,E183)</f>
        <v>21.004402085999999</v>
      </c>
      <c r="K183" s="10">
        <f>[1]!EM_S_FA_ASSETSTURN(B183,E183)</f>
        <v>0.75238151736400005</v>
      </c>
      <c r="L183" s="12">
        <f>[1]!EM_HKS_VAL_MV(B183,"2019-12-31","2")</f>
        <v>17741224530.810001</v>
      </c>
      <c r="M183">
        <f>[1]!EM_S_VAL_PETTMDEDUCTED(B183,E183)</f>
        <v>34.373847413377703</v>
      </c>
      <c r="N183" s="7">
        <f>[1]!EM_S_VAL_PBGOODWILLDEDUCTED(B183,E183)</f>
        <v>4.8955257062876001</v>
      </c>
      <c r="O183" s="7">
        <f>[1]!EM_S_VAL_PS_TTM(B183,E183)</f>
        <v>5.65116472019238</v>
      </c>
      <c r="P183" s="7">
        <f>[1]!EM_S_VAL_PCF_NCFTTM(B183,E183)</f>
        <v>-113.083328324051</v>
      </c>
      <c r="Q183" s="7">
        <f>[1]!EM_S_VAL_DIVIDENDYIELD2(B183,E183,"2019-11-29")</f>
        <v>0.46105847357752661</v>
      </c>
      <c r="T183"/>
      <c r="U183">
        <f>[1]!EM_S_RATIO_EPS_TTM(B183,E183,"1")</f>
        <v>0.8973930771563976</v>
      </c>
      <c r="AT183" s="4" t="str">
        <f>[1]!EM_S_IPO_LISTEDDATE(B183)</f>
        <v>2015-06-30</v>
      </c>
    </row>
    <row r="184" spans="1:46">
      <c r="A184">
        <v>1399</v>
      </c>
      <c r="B184" t="str">
        <f>"002901"</f>
        <v>002901</v>
      </c>
      <c r="C184" t="s">
        <v>247</v>
      </c>
      <c r="D184" t="str">
        <f>[1]!EM_S_INFO_INDEX_EM(B184,"1")</f>
        <v>医药生物</v>
      </c>
      <c r="E184" s="4">
        <f t="shared" si="2"/>
        <v>43465</v>
      </c>
      <c r="F184" s="11">
        <f>[1]!EM_S_PQ_PCTCHANGE(B184,"2018-01-01","2019-12-31","3")</f>
        <v>61.868642399999999</v>
      </c>
      <c r="G184" s="11">
        <f>[1]!EM_S_PQ_PCTCHANGE(B184,"2018-12-31","2019-12-30","1")</f>
        <v>94.62656303</v>
      </c>
      <c r="H184" s="11">
        <f>[1]!EM_S_FA_YOY_OR(B184,E184)</f>
        <v>30.042173403500001</v>
      </c>
      <c r="I184" s="11">
        <f>[1]!EM_S_FA_GROSSPROFITMARGIN(B184,E184)</f>
        <v>80.396320061400004</v>
      </c>
      <c r="J184" s="11">
        <f>[1]!EM_S_FA_NETPROFITMARGIN(B184,E184)</f>
        <v>48.944967655200003</v>
      </c>
      <c r="K184" s="10">
        <f>[1]!EM_S_FA_ASSETSTURN(B184,E184)</f>
        <v>0.50597260861000004</v>
      </c>
      <c r="L184" s="12">
        <f>[1]!EM_HKS_VAL_MV(B184,"2019-12-31","2")</f>
        <v>23769844759</v>
      </c>
      <c r="M184">
        <f>[1]!EM_S_VAL_PETTMDEDUCTED(B184,E184)</f>
        <v>38.465441510426203</v>
      </c>
      <c r="N184" s="7">
        <f>[1]!EM_S_VAL_PBGOODWILLDEDUCTED(B184,E184)</f>
        <v>8.3598725348016405</v>
      </c>
      <c r="O184" s="7">
        <f>[1]!EM_S_VAL_PS_TTM(B184,E184)</f>
        <v>17.045948437012701</v>
      </c>
      <c r="P184" s="7">
        <f>[1]!EM_S_VAL_PCF_NCFTTM(B184,E184)</f>
        <v>-25.964092137350399</v>
      </c>
      <c r="Q184" s="7">
        <f>[1]!EM_S_VAL_DIVIDENDYIELD2(B184,E184,"2019-11-29")</f>
        <v>0.83402918802685311</v>
      </c>
      <c r="T184"/>
      <c r="U184">
        <f>[1]!EM_S_RATIO_EPS_TTM(B184,E184,"1")</f>
        <v>0.92417359497922513</v>
      </c>
      <c r="AT184" s="4" t="str">
        <f>[1]!EM_S_IPO_LISTEDDATE(B184)</f>
        <v>2017-09-22</v>
      </c>
    </row>
    <row r="185" spans="1:46">
      <c r="A185">
        <v>3220</v>
      </c>
      <c r="B185" t="str">
        <f>"603022"</f>
        <v>603022</v>
      </c>
      <c r="C185" t="s">
        <v>2100</v>
      </c>
      <c r="D185" t="str">
        <f>[1]!EM_S_INFO_INDEX_EM(B185,"1")</f>
        <v>轻工制造</v>
      </c>
      <c r="E185" s="4">
        <f t="shared" si="2"/>
        <v>43465</v>
      </c>
      <c r="F185" s="11">
        <f>[1]!EM_S_PQ_PCTCHANGE(B185,"2018-01-01","2019-12-31","3")</f>
        <v>4.9802339800000004</v>
      </c>
      <c r="G185" s="11">
        <f>[1]!EM_S_PQ_PCTCHANGE(B185,"2018-12-31","2019-12-30","1")</f>
        <v>94.264705879999994</v>
      </c>
      <c r="H185" s="11">
        <f>[1]!EM_S_FA_YOY_OR(B185,E185)</f>
        <v>11.179507386599999</v>
      </c>
      <c r="I185" s="11">
        <f>[1]!EM_S_FA_GROSSPROFITMARGIN(B185,E185)</f>
        <v>18.896728076399999</v>
      </c>
      <c r="J185" s="11">
        <f>[1]!EM_S_FA_NETPROFITMARGIN(B185,E185)</f>
        <v>4.7055809004000002</v>
      </c>
      <c r="K185" s="10">
        <f>[1]!EM_S_FA_ASSETSTURN(B185,E185)</f>
        <v>0.82876514141199997</v>
      </c>
      <c r="L185" s="12">
        <f>[1]!EM_HKS_VAL_MV(B185,"2019-12-31","2")</f>
        <v>2546000000</v>
      </c>
      <c r="M185">
        <f>[1]!EM_S_VAL_PETTMDEDUCTED(B185,E185)</f>
        <v>39.794457856402403</v>
      </c>
      <c r="N185" s="7">
        <f>[1]!EM_S_VAL_PBGOODWILLDEDUCTED(B185,E185)</f>
        <v>2.2030415801585401</v>
      </c>
      <c r="O185" s="7">
        <f>[1]!EM_S_VAL_PS_TTM(B185,E185)</f>
        <v>2.0603900814020601</v>
      </c>
      <c r="P185" s="7">
        <f>[1]!EM_S_VAL_PCF_NCFTTM(B185,E185)</f>
        <v>31.867565886926499</v>
      </c>
      <c r="Q185" s="7">
        <f>[1]!EM_S_VAL_DIVIDENDYIELD2(B185,E185,"2019-11-29")</f>
        <v>0.33667621776504297</v>
      </c>
      <c r="T185"/>
      <c r="U185">
        <f>[1]!EM_S_RATIO_EPS_TTM(B185,E185,"1")</f>
        <v>0.15656730425000001</v>
      </c>
      <c r="AT185" s="4" t="str">
        <f>[1]!EM_S_IPO_LISTEDDATE(B185)</f>
        <v>2015-05-18</v>
      </c>
    </row>
    <row r="186" spans="1:46">
      <c r="A186">
        <v>2653</v>
      </c>
      <c r="B186" t="str">
        <f>"600580"</f>
        <v>600580</v>
      </c>
      <c r="C186" t="s">
        <v>1355</v>
      </c>
      <c r="D186" t="str">
        <f>[1]!EM_S_INFO_INDEX_EM(B186,"1")</f>
        <v>电气设备</v>
      </c>
      <c r="E186" s="4">
        <f t="shared" si="2"/>
        <v>43465</v>
      </c>
      <c r="F186" s="11">
        <f>[1]!EM_S_PQ_PCTCHANGE(B186,"2018-01-01","2019-12-31","3")</f>
        <v>54.702676140000001</v>
      </c>
      <c r="G186" s="11">
        <f>[1]!EM_S_PQ_PCTCHANGE(B186,"2019-01-01","2019-12-31","3")</f>
        <v>94.053222939999998</v>
      </c>
      <c r="H186" s="11">
        <f>[1]!EM_S_FA_YOY_OR(B186,E186)</f>
        <v>9.8155118114000004</v>
      </c>
      <c r="I186" s="11">
        <f>[1]!EM_S_FA_GROSSPROFITMARGIN(B186,E186)</f>
        <v>26.128061040399999</v>
      </c>
      <c r="J186" s="11">
        <f>[1]!EM_S_FA_NETPROFITMARGIN(B186,E186)</f>
        <v>6.2118127850000002</v>
      </c>
      <c r="K186" s="10">
        <f>[1]!EM_S_FA_ASSETSTURN(B186,E186)</f>
        <v>0.62878190246300003</v>
      </c>
      <c r="L186" s="12">
        <f>[1]!EM_HKS_VAL_MV(B186,"2019-12-31","2")</f>
        <v>15543778223.719999</v>
      </c>
      <c r="M186">
        <f>[1]!EM_S_VAL_PETTMDEDUCTED(B186,E186)</f>
        <v>18.180197416223901</v>
      </c>
      <c r="N186" s="7">
        <f>[1]!EM_S_VAL_PBGOODWILLDEDUCTED(B186,E186)</f>
        <v>1.72426549711687</v>
      </c>
      <c r="O186" s="7">
        <f>[1]!EM_S_VAL_PS_TTM(B186,E186)</f>
        <v>0.760507368301369</v>
      </c>
      <c r="P186" s="7">
        <f>[1]!EM_S_VAL_PCF_NCFTTM(B186,E186)</f>
        <v>-12.8277524677298</v>
      </c>
      <c r="Q186" s="7">
        <f>[1]!EM_S_VAL_DIVIDENDYIELD2(B186,E186,"2019-11-29")</f>
        <v>1.4591439688715953</v>
      </c>
      <c r="T186"/>
      <c r="U186">
        <f>[1]!EM_S_RATIO_EPS_TTM(B186,E186,"1")</f>
        <v>0.49235030653313866</v>
      </c>
      <c r="AT186" s="4" t="str">
        <f>[1]!EM_S_IPO_LISTEDDATE(B186)</f>
        <v>2002-06-06</v>
      </c>
    </row>
    <row r="187" spans="1:46">
      <c r="A187">
        <v>1785</v>
      </c>
      <c r="B187" t="str">
        <f>"300360"</f>
        <v>300360</v>
      </c>
      <c r="C187" t="s">
        <v>1558</v>
      </c>
      <c r="D187" t="str">
        <f>[1]!EM_S_INFO_INDEX_EM(B187,"1")</f>
        <v>电气设备</v>
      </c>
      <c r="E187" s="4">
        <f t="shared" si="2"/>
        <v>43465</v>
      </c>
      <c r="F187" s="11">
        <f>[1]!EM_S_PQ_PCTCHANGE(B187,"2018-01-01","2019-12-31","3")</f>
        <v>16.07076021</v>
      </c>
      <c r="G187" s="11">
        <f>[1]!EM_S_PQ_PCTCHANGE(B187,"2018-12-31","2019-12-30","1")</f>
        <v>93.740458020000005</v>
      </c>
      <c r="H187" s="11">
        <f>[1]!EM_S_FA_YOY_OR(B187,E187)</f>
        <v>-10.4052154683</v>
      </c>
      <c r="I187" s="11">
        <f>[1]!EM_S_FA_GROSSPROFITMARGIN(B187,E187)</f>
        <v>35.7642163565</v>
      </c>
      <c r="J187" s="11">
        <f>[1]!EM_S_FA_NETPROFITMARGIN(B187,E187)</f>
        <v>15.59680932</v>
      </c>
      <c r="K187" s="10">
        <f>[1]!EM_S_FA_ASSETSTURN(B187,E187)</f>
        <v>0.33700560112799999</v>
      </c>
      <c r="L187" s="12">
        <f>[1]!EM_HKS_VAL_MV(B187,"2019-12-31","2")</f>
        <v>5181682247.5</v>
      </c>
      <c r="M187">
        <f>[1]!EM_S_VAL_PETTMDEDUCTED(B187,E187)</f>
        <v>18.878069899802401</v>
      </c>
      <c r="N187" s="7">
        <f>[1]!EM_S_VAL_PBGOODWILLDEDUCTED(B187,E187)</f>
        <v>1.28236197213155</v>
      </c>
      <c r="O187" s="7">
        <f>[1]!EM_S_VAL_PS_TTM(B187,E187)</f>
        <v>2.97078951324136</v>
      </c>
      <c r="P187" s="7">
        <f>[1]!EM_S_VAL_PCF_NCFTTM(B187,E187)</f>
        <v>12.4081467465359</v>
      </c>
      <c r="Q187" s="7">
        <f>[1]!EM_S_VAL_DIVIDENDYIELD2(B187,E187,"2019-11-29")</f>
        <v>0.81766148814390838</v>
      </c>
      <c r="T187"/>
      <c r="U187">
        <f>[1]!EM_S_RATIO_EPS_TTM(B187,E187,"1")</f>
        <v>0.33158272387899829</v>
      </c>
      <c r="AT187" s="4" t="str">
        <f>[1]!EM_S_IPO_LISTEDDATE(B187)</f>
        <v>2014-01-21</v>
      </c>
    </row>
    <row r="188" spans="1:46">
      <c r="A188">
        <v>3478</v>
      </c>
      <c r="B188" t="str">
        <f>"603658"</f>
        <v>603658</v>
      </c>
      <c r="C188" t="s">
        <v>234</v>
      </c>
      <c r="D188" t="str">
        <f>[1]!EM_S_INFO_INDEX_EM(B188,"1")</f>
        <v>医药生物</v>
      </c>
      <c r="E188" s="4">
        <f t="shared" si="2"/>
        <v>43465</v>
      </c>
      <c r="F188" s="11">
        <f>[1]!EM_S_PQ_PCTCHANGE(B188,"2018-01-01","2019-12-31","3")</f>
        <v>85.272973339999993</v>
      </c>
      <c r="G188" s="11">
        <f>[1]!EM_S_PQ_PCTCHANGE(B188,"2018-12-31","2019-12-30","1")</f>
        <v>93.700143179999998</v>
      </c>
      <c r="H188" s="11">
        <f>[1]!EM_S_FA_YOY_OR(B188,E188)</f>
        <v>37.820018407799999</v>
      </c>
      <c r="I188" s="11">
        <f>[1]!EM_S_FA_GROSSPROFITMARGIN(B188,E188)</f>
        <v>66.377043365399999</v>
      </c>
      <c r="J188" s="11">
        <f>[1]!EM_S_FA_NETPROFITMARGIN(B188,E188)</f>
        <v>29.798196597299999</v>
      </c>
      <c r="K188" s="10">
        <f>[1]!EM_S_FA_ASSETSTURN(B188,E188)</f>
        <v>0.79674652375800004</v>
      </c>
      <c r="L188" s="12">
        <f>[1]!EM_HKS_VAL_MV(B188,"2019-12-31","2")</f>
        <v>40479600000</v>
      </c>
      <c r="M188">
        <f>[1]!EM_S_VAL_PETTMDEDUCTED(B188,E188)</f>
        <v>40.375617514639401</v>
      </c>
      <c r="N188" s="7">
        <f>[1]!EM_S_VAL_PBGOODWILLDEDUCTED(B188,E188)</f>
        <v>11.640796028210101</v>
      </c>
      <c r="O188" s="7">
        <f>[1]!EM_S_VAL_PS_TTM(B188,E188)</f>
        <v>11.552376860453601</v>
      </c>
      <c r="P188" s="7">
        <f>[1]!EM_S_VAL_PCF_NCFTTM(B188,E188)</f>
        <v>1204.2816405119099</v>
      </c>
      <c r="Q188" s="7">
        <f>[1]!EM_S_VAL_DIVIDENDYIELD2(B188,E188,"2019-11-29")</f>
        <v>0.78064012490241996</v>
      </c>
      <c r="T188"/>
      <c r="U188">
        <f>[1]!EM_S_RATIO_EPS_TTM(B188,E188,"1")</f>
        <v>1.3394545078571427</v>
      </c>
      <c r="AT188" s="4" t="str">
        <f>[1]!EM_S_IPO_LISTEDDATE(B188)</f>
        <v>2016-09-01</v>
      </c>
    </row>
    <row r="189" spans="1:46">
      <c r="A189">
        <v>725</v>
      </c>
      <c r="B189" t="str">
        <f>"002214"</f>
        <v>002214</v>
      </c>
      <c r="C189" t="s">
        <v>2939</v>
      </c>
      <c r="D189" t="str">
        <f>[1]!EM_S_INFO_INDEX_EM(B189,"1")</f>
        <v>电子设备</v>
      </c>
      <c r="E189" s="4">
        <f t="shared" si="2"/>
        <v>43465</v>
      </c>
      <c r="F189" s="11">
        <f>[1]!EM_S_PQ_PCTCHANGE(B189,"2018-01-01","2019-12-31","3")</f>
        <v>33.94616869</v>
      </c>
      <c r="G189" s="11">
        <f>[1]!EM_S_PQ_PCTCHANGE(B189,"2019-01-01","2019-12-31","3")</f>
        <v>93.584270149999995</v>
      </c>
      <c r="H189" s="11">
        <f>[1]!EM_S_FA_YOY_OR(B189,E189)</f>
        <v>40.463605918900001</v>
      </c>
      <c r="I189" s="11">
        <f>[1]!EM_S_FA_GROSSPROFITMARGIN(B189,E189)</f>
        <v>50.181445535599998</v>
      </c>
      <c r="J189" s="11">
        <f>[1]!EM_S_FA_NETPROFITMARGIN(B189,E189)</f>
        <v>13.145123852999999</v>
      </c>
      <c r="K189" s="10">
        <f>[1]!EM_S_FA_ASSETSTURN(B189,E189)</f>
        <v>0.29400396820699998</v>
      </c>
      <c r="L189" s="12">
        <f>[1]!EM_HKS_VAL_MV(B189,"2019-12-31","2")</f>
        <v>4857279992.9399996</v>
      </c>
      <c r="M189">
        <f>[1]!EM_S_VAL_PETTMDEDUCTED(B189,E189)</f>
        <v>131.434824962253</v>
      </c>
      <c r="N189" s="7">
        <f>[1]!EM_S_VAL_PBGOODWILLDEDUCTED(B189,E189)</f>
        <v>2.4238247167040998</v>
      </c>
      <c r="O189" s="7">
        <f>[1]!EM_S_VAL_PS_TTM(B189,E189)</f>
        <v>6.8071814354087001</v>
      </c>
      <c r="P189" s="7">
        <f>[1]!EM_S_VAL_PCF_NCFTTM(B189,E189)</f>
        <v>52.2227769043268</v>
      </c>
      <c r="Q189" s="7">
        <f>[1]!EM_S_VAL_DIVIDENDYIELD2(B189,E189,"2019-11-29")</f>
        <v>0.32154340836012857</v>
      </c>
      <c r="T189"/>
      <c r="U189">
        <f>[1]!EM_S_RATIO_EPS_TTM(B189,E189,"1")</f>
        <v>0.11964756706344123</v>
      </c>
      <c r="AT189" s="4" t="str">
        <f>[1]!EM_S_IPO_LISTEDDATE(B189)</f>
        <v>2008-02-18</v>
      </c>
    </row>
    <row r="190" spans="1:46">
      <c r="A190">
        <v>969</v>
      </c>
      <c r="B190" t="str">
        <f>"002458"</f>
        <v>002458</v>
      </c>
      <c r="C190" t="s">
        <v>2361</v>
      </c>
      <c r="D190" t="str">
        <f>[1]!EM_S_INFO_INDEX_EM(B190,"1")</f>
        <v>农林牧渔</v>
      </c>
      <c r="E190" s="4">
        <f t="shared" si="2"/>
        <v>43465</v>
      </c>
      <c r="F190" s="11">
        <f>[1]!EM_S_PQ_PCTCHANGE(B190,"2018-01-01","2019-12-31","3")</f>
        <v>111.23980089</v>
      </c>
      <c r="G190" s="11">
        <f>[1]!EM_S_PQ_PCTCHANGE(B190,"2018-12-31","2019-12-30","1")</f>
        <v>93.519163759999998</v>
      </c>
      <c r="H190" s="11">
        <f>[1]!EM_S_FA_YOY_OR(B190,E190)</f>
        <v>124.42230960480001</v>
      </c>
      <c r="I190" s="11">
        <f>[1]!EM_S_FA_GROSSPROFITMARGIN(B190,E190)</f>
        <v>37.0537906554</v>
      </c>
      <c r="J190" s="11">
        <f>[1]!EM_S_FA_NETPROFITMARGIN(B190,E190)</f>
        <v>24.420277599199999</v>
      </c>
      <c r="K190" s="10">
        <f>[1]!EM_S_FA_ASSETSTURN(B190,E190)</f>
        <v>0.66133062694599998</v>
      </c>
      <c r="L190" s="12">
        <f>[1]!EM_HKS_VAL_MV(B190,"2019-12-31","2")</f>
        <v>16330711603.5</v>
      </c>
      <c r="M190">
        <f>[1]!EM_S_VAL_PETTMDEDUCTED(B190,E190)</f>
        <v>299.25163530291201</v>
      </c>
      <c r="N190" s="7">
        <f>[1]!EM_S_VAL_PBGOODWILLDEDUCTED(B190,E190)</f>
        <v>3.0358513523244199</v>
      </c>
      <c r="O190" s="7">
        <f>[1]!EM_S_VAL_PS_TTM(B190,E190)</f>
        <v>4.3145362893510901</v>
      </c>
      <c r="P190" s="7">
        <f>[1]!EM_S_VAL_PCF_NCFTTM(B190,E190)</f>
        <v>63.315951478045797</v>
      </c>
      <c r="Q190" s="7">
        <f>[1]!EM_S_VAL_DIVIDENDYIELD2(B190,E190,"2019-11-29")</f>
        <v>0.40729279696323245</v>
      </c>
      <c r="T190"/>
      <c r="U190">
        <f>[1]!EM_S_RATIO_EPS_TTM(B190,E190,"1")</f>
        <v>1.0754606046989315</v>
      </c>
      <c r="AT190" s="4" t="str">
        <f>[1]!EM_S_IPO_LISTEDDATE(B190)</f>
        <v>2010-08-10</v>
      </c>
    </row>
    <row r="191" spans="1:46">
      <c r="A191">
        <v>2622</v>
      </c>
      <c r="B191" t="str">
        <f>"600546"</f>
        <v>600546</v>
      </c>
      <c r="C191" t="s">
        <v>2556</v>
      </c>
      <c r="D191" t="str">
        <f>[1]!EM_S_INFO_INDEX_EM(B191,"1")</f>
        <v>化石能源</v>
      </c>
      <c r="E191" s="4">
        <f t="shared" si="2"/>
        <v>43465</v>
      </c>
      <c r="F191" s="11">
        <f>[1]!EM_S_PQ_PCTCHANGE(B191,"2018-01-01","2019-12-31","3")</f>
        <v>43.032786889999997</v>
      </c>
      <c r="G191" s="11">
        <f>[1]!EM_S_PQ_PCTCHANGE(B191,"2018-12-31","2019-12-30","1")</f>
        <v>93.373493980000006</v>
      </c>
      <c r="H191" s="11">
        <f>[1]!EM_S_FA_YOY_OR(B191,E191)</f>
        <v>-6.7911199622999998</v>
      </c>
      <c r="I191" s="11">
        <f>[1]!EM_S_FA_GROSSPROFITMARGIN(B191,E191)</f>
        <v>20.031739613300001</v>
      </c>
      <c r="J191" s="11">
        <f>[1]!EM_S_FA_NETPROFITMARGIN(B191,E191)</f>
        <v>3.7020481452</v>
      </c>
      <c r="K191" s="10">
        <f>[1]!EM_S_FA_ASSETSTURN(B191,E191)</f>
        <v>0.80954006235200004</v>
      </c>
      <c r="L191" s="12">
        <f>[1]!EM_HKS_VAL_MV(B191,"2019-12-31","2")</f>
        <v>13837543857.200001</v>
      </c>
      <c r="M191">
        <f>[1]!EM_S_VAL_PETTMDEDUCTED(B191,E191)</f>
        <v>-6.04368981709713</v>
      </c>
      <c r="N191" s="7">
        <f>[1]!EM_S_VAL_PBGOODWILLDEDUCTED(B191,E191)</f>
        <v>1.88160745607036</v>
      </c>
      <c r="O191" s="7">
        <f>[1]!EM_S_VAL_PS_TTM(B191,E191)</f>
        <v>0.169981882050387</v>
      </c>
      <c r="P191" s="7">
        <f>[1]!EM_S_VAL_PCF_NCFTTM(B191,E191)</f>
        <v>2.9140634351446901</v>
      </c>
      <c r="Q191" s="7">
        <f>[1]!EM_S_VAL_DIVIDENDYIELD2(B191,E191,"2019-11-29")</f>
        <v>0</v>
      </c>
      <c r="T191"/>
      <c r="U191">
        <f>[1]!EM_S_RATIO_EPS_TTM(B191,E191,"1")</f>
        <v>0.11102663194354453</v>
      </c>
      <c r="AT191" s="4" t="str">
        <f>[1]!EM_S_IPO_LISTEDDATE(B191)</f>
        <v>2003-07-31</v>
      </c>
    </row>
    <row r="192" spans="1:46">
      <c r="A192">
        <v>2288</v>
      </c>
      <c r="B192" t="str">
        <f>"600146"</f>
        <v>600146</v>
      </c>
      <c r="C192" t="s">
        <v>2821</v>
      </c>
      <c r="D192" t="str">
        <f>[1]!EM_S_INFO_INDEX_EM(B192,"1")</f>
        <v>纺织服装</v>
      </c>
      <c r="E192" s="4">
        <f t="shared" si="2"/>
        <v>43465</v>
      </c>
      <c r="F192" s="11">
        <f>[1]!EM_S_PQ_PCTCHANGE(B192,"2018-01-01","2019-12-31","3")</f>
        <v>-46.892210859999999</v>
      </c>
      <c r="G192" s="11">
        <f>[1]!EM_S_PQ_PCTCHANGE(B192,"2018-12-31","2019-12-30","1")</f>
        <v>93.009118540000003</v>
      </c>
      <c r="H192" s="11">
        <f>[1]!EM_S_FA_YOY_OR(B192,E192)</f>
        <v>-1.1397469367999999</v>
      </c>
      <c r="I192" s="11">
        <f>[1]!EM_S_FA_GROSSPROFITMARGIN(B192,E192)</f>
        <v>34.548902420499999</v>
      </c>
      <c r="J192" s="11">
        <f>[1]!EM_S_FA_NETPROFITMARGIN(B192,E192)</f>
        <v>-84.650295833499996</v>
      </c>
      <c r="K192" s="10">
        <f>[1]!EM_S_FA_ASSETSTURN(B192,E192)</f>
        <v>0.66685928281200002</v>
      </c>
      <c r="L192" s="12">
        <f>[1]!EM_HKS_VAL_MV(B192,"2019-12-31","2")</f>
        <v>6344595000</v>
      </c>
      <c r="M192">
        <f>[1]!EM_S_VAL_PETTMDEDUCTED(B192,E192)</f>
        <v>-18.741456391051202</v>
      </c>
      <c r="N192" s="7">
        <f>[1]!EM_S_VAL_PBGOODWILLDEDUCTED(B192,E192)</f>
        <v>2.6393846204535998</v>
      </c>
      <c r="O192" s="7">
        <f>[1]!EM_S_VAL_PS_TTM(B192,E192)</f>
        <v>1.1774282598235599</v>
      </c>
      <c r="P192" s="7">
        <f>[1]!EM_S_VAL_PCF_NCFTTM(B192,E192)</f>
        <v>-138.63040900123801</v>
      </c>
      <c r="Q192" s="7">
        <f>[1]!EM_S_VAL_DIVIDENDYIELD2(B192,E192,"2019-11-29")</f>
        <v>0</v>
      </c>
      <c r="T192"/>
      <c r="U192">
        <f>[1]!EM_S_RATIO_EPS_TTM(B192,E192,"1")</f>
        <v>-3.890528282379726</v>
      </c>
      <c r="AT192" s="4" t="str">
        <f>[1]!EM_S_IPO_LISTEDDATE(B192)</f>
        <v>1999-07-07</v>
      </c>
    </row>
    <row r="193" spans="1:46">
      <c r="A193">
        <v>2490</v>
      </c>
      <c r="B193" t="str">
        <f>"600371"</f>
        <v>600371</v>
      </c>
      <c r="C193" t="s">
        <v>993</v>
      </c>
      <c r="D193" t="str">
        <f>[1]!EM_S_INFO_INDEX_EM(B193,"1")</f>
        <v>农林牧渔</v>
      </c>
      <c r="E193" s="4">
        <f t="shared" si="2"/>
        <v>43465</v>
      </c>
      <c r="F193" s="11">
        <f>[1]!EM_S_PQ_PCTCHANGE(B193,"2018-01-01","2019-12-31","3")</f>
        <v>18.755734329999999</v>
      </c>
      <c r="G193" s="11">
        <f>[1]!EM_S_PQ_PCTCHANGE(B193,"2018-12-31","2019-12-30","1")</f>
        <v>92.8</v>
      </c>
      <c r="H193" s="11">
        <f>[1]!EM_S_FA_YOY_OR(B193,E193)</f>
        <v>2.3729616115000001</v>
      </c>
      <c r="I193" s="11">
        <f>[1]!EM_S_FA_GROSSPROFITMARGIN(B193,E193)</f>
        <v>48.988784629599998</v>
      </c>
      <c r="J193" s="11">
        <f>[1]!EM_S_FA_NETPROFITMARGIN(B193,E193)</f>
        <v>22.0518303592</v>
      </c>
      <c r="K193" s="10">
        <f>[1]!EM_S_FA_ASSETSTURN(B193,E193)</f>
        <v>0.339369863913</v>
      </c>
      <c r="L193" s="12">
        <f>[1]!EM_HKS_VAL_MV(B193,"2019-12-31","2")</f>
        <v>2745732000</v>
      </c>
      <c r="M193">
        <f>[1]!EM_S_VAL_PETTMDEDUCTED(B193,E193)</f>
        <v>23.791794724636301</v>
      </c>
      <c r="N193" s="7">
        <f>[1]!EM_S_VAL_PBGOODWILLDEDUCTED(B193,E193)</f>
        <v>2.9522616179618399</v>
      </c>
      <c r="O193" s="7">
        <f>[1]!EM_S_VAL_PS_TTM(B193,E193)</f>
        <v>5.1799155651185398</v>
      </c>
      <c r="P193" s="7">
        <f>[1]!EM_S_VAL_PCF_NCFTTM(B193,E193)</f>
        <v>58.491246468573699</v>
      </c>
      <c r="Q193" s="7">
        <f>[1]!EM_S_VAL_DIVIDENDYIELD2(B193,E193,"2019-11-29")</f>
        <v>1.8298261665141813</v>
      </c>
      <c r="T193"/>
      <c r="U193">
        <f>[1]!EM_S_RATIO_EPS_TTM(B193,E193,"1")</f>
        <v>0.23119292704167776</v>
      </c>
      <c r="AT193" s="4" t="str">
        <f>[1]!EM_S_IPO_LISTEDDATE(B193)</f>
        <v>2002-09-16</v>
      </c>
    </row>
    <row r="194" spans="1:46">
      <c r="A194">
        <v>1587</v>
      </c>
      <c r="B194" t="str">
        <f>"300162"</f>
        <v>300162</v>
      </c>
      <c r="C194" t="s">
        <v>3061</v>
      </c>
      <c r="D194" t="str">
        <f>[1]!EM_S_INFO_INDEX_EM(B194,"1")</f>
        <v>电子设备</v>
      </c>
      <c r="E194" s="4">
        <f t="shared" si="2"/>
        <v>43465</v>
      </c>
      <c r="F194" s="11">
        <f>[1]!EM_S_PQ_PCTCHANGE(B194,"2018-01-01","2019-12-31","3")</f>
        <v>18.132856709999999</v>
      </c>
      <c r="G194" s="11">
        <f>[1]!EM_S_PQ_PCTCHANGE(B194,"2018-12-31","2019-12-30","1")</f>
        <v>92.783505149999996</v>
      </c>
      <c r="H194" s="11">
        <f>[1]!EM_S_FA_YOY_OR(B194,E194)</f>
        <v>13.8110316488</v>
      </c>
      <c r="I194" s="11">
        <f>[1]!EM_S_FA_GROSSPROFITMARGIN(B194,E194)</f>
        <v>23.415719459799998</v>
      </c>
      <c r="J194" s="11">
        <f>[1]!EM_S_FA_NETPROFITMARGIN(B194,E194)</f>
        <v>-5.1033293189000002</v>
      </c>
      <c r="K194" s="10">
        <f>[1]!EM_S_FA_ASSETSTURN(B194,E194)</f>
        <v>0.53917534300100001</v>
      </c>
      <c r="L194" s="12">
        <f>[1]!EM_HKS_VAL_MV(B194,"2019-12-31","2")</f>
        <v>3145590270</v>
      </c>
      <c r="M194">
        <f>[1]!EM_S_VAL_PETTMDEDUCTED(B194,E194)</f>
        <v>1014.39120776433</v>
      </c>
      <c r="N194" s="7">
        <f>[1]!EM_S_VAL_PBGOODWILLDEDUCTED(B194,E194)</f>
        <v>2.0121105882606098</v>
      </c>
      <c r="O194" s="7">
        <f>[1]!EM_S_VAL_PS_TTM(B194,E194)</f>
        <v>2.4281172309586698</v>
      </c>
      <c r="P194" s="7">
        <f>[1]!EM_S_VAL_PCF_NCFTTM(B194,E194)</f>
        <v>23.583734319674701</v>
      </c>
      <c r="Q194" s="7">
        <f>[1]!EM_S_VAL_DIVIDENDYIELD2(B194,E194,"2019-11-29")</f>
        <v>0</v>
      </c>
      <c r="T194"/>
      <c r="U194">
        <f>[1]!EM_S_RATIO_EPS_TTM(B194,E194,"1")</f>
        <v>-0.10437119155064019</v>
      </c>
      <c r="AT194" s="4" t="str">
        <f>[1]!EM_S_IPO_LISTEDDATE(B194)</f>
        <v>2011-01-13</v>
      </c>
    </row>
    <row r="195" spans="1:46">
      <c r="A195">
        <v>1889</v>
      </c>
      <c r="B195" t="str">
        <f>"300464"</f>
        <v>300464</v>
      </c>
      <c r="C195" t="s">
        <v>3470</v>
      </c>
      <c r="D195" t="str">
        <f>[1]!EM_S_INFO_INDEX_EM(B195,"1")</f>
        <v>机械设备</v>
      </c>
      <c r="E195" s="4">
        <f t="shared" ref="E195:E258" si="3">$B$1</f>
        <v>43465</v>
      </c>
      <c r="F195" s="11">
        <f>[1]!EM_S_PQ_PCTCHANGE(B195,"2018-01-01","2019-12-31","3")</f>
        <v>39.832089549999999</v>
      </c>
      <c r="G195" s="11">
        <f>[1]!EM_S_PQ_PCTCHANGE(B195,"2018-12-31","2019-12-30","1")</f>
        <v>92.692307690000007</v>
      </c>
      <c r="H195" s="11">
        <f>[1]!EM_S_FA_YOY_OR(B195,E195)</f>
        <v>35.211673223699997</v>
      </c>
      <c r="I195" s="11">
        <f>[1]!EM_S_FA_GROSSPROFITMARGIN(B195,E195)</f>
        <v>12.866670752199999</v>
      </c>
      <c r="J195" s="11">
        <f>[1]!EM_S_FA_NETPROFITMARGIN(B195,E195)</f>
        <v>0.49077548869999998</v>
      </c>
      <c r="K195" s="10">
        <f>[1]!EM_S_FA_ASSETSTURN(B195,E195)</f>
        <v>0.361639482949</v>
      </c>
      <c r="L195" s="12">
        <f>[1]!EM_HKS_VAL_MV(B195,"2019-12-31","2")</f>
        <v>5293301403.25</v>
      </c>
      <c r="M195">
        <f>[1]!EM_S_VAL_PETTMDEDUCTED(B195,E195)</f>
        <v>-151.32372090221301</v>
      </c>
      <c r="N195" s="7">
        <f>[1]!EM_S_VAL_PBGOODWILLDEDUCTED(B195,E195)</f>
        <v>-3.1965068715515299</v>
      </c>
      <c r="O195" s="7">
        <f>[1]!EM_S_VAL_PS_TTM(B195,E195)</f>
        <v>2.5275319407566901</v>
      </c>
      <c r="P195" s="7">
        <f>[1]!EM_S_VAL_PCF_NCFTTM(B195,E195)</f>
        <v>-106.070097432221</v>
      </c>
      <c r="Q195" s="7">
        <f>[1]!EM_S_VAL_DIVIDENDYIELD2(B195,E195,"2019-11-29")</f>
        <v>0</v>
      </c>
      <c r="T195"/>
      <c r="U195">
        <f>[1]!EM_S_RATIO_EPS_TTM(B195,E195,"1")</f>
        <v>9.8900997701705587E-3</v>
      </c>
      <c r="AT195" s="4" t="str">
        <f>[1]!EM_S_IPO_LISTEDDATE(B195)</f>
        <v>2015-06-10</v>
      </c>
    </row>
    <row r="196" spans="1:46">
      <c r="A196">
        <v>3365</v>
      </c>
      <c r="B196" t="str">
        <f>"603333"</f>
        <v>603333</v>
      </c>
      <c r="C196" t="s">
        <v>3296</v>
      </c>
      <c r="D196" t="str">
        <f>[1]!EM_S_INFO_INDEX_EM(B196,"1")</f>
        <v>电气设备</v>
      </c>
      <c r="E196" s="4">
        <f t="shared" si="3"/>
        <v>43465</v>
      </c>
      <c r="F196" s="11">
        <f>[1]!EM_S_PQ_PCTCHANGE(B196,"2018-01-01","2019-12-31","3")</f>
        <v>60.883567970000001</v>
      </c>
      <c r="G196" s="11">
        <f>[1]!EM_S_PQ_PCTCHANGE(B196,"2018-12-31","2019-12-30","1")</f>
        <v>92.614770460000003</v>
      </c>
      <c r="H196" s="11">
        <f>[1]!EM_S_FA_YOY_OR(B196,E196)</f>
        <v>72.292407822000001</v>
      </c>
      <c r="I196" s="11">
        <f>[1]!EM_S_FA_GROSSPROFITMARGIN(B196,E196)</f>
        <v>19.249336035900001</v>
      </c>
      <c r="J196" s="11">
        <f>[1]!EM_S_FA_NETPROFITMARGIN(B196,E196)</f>
        <v>3.6805733724</v>
      </c>
      <c r="K196" s="10">
        <f>[1]!EM_S_FA_ASSETSTURN(B196,E196)</f>
        <v>0.776648932495</v>
      </c>
      <c r="L196" s="12">
        <f>[1]!EM_HKS_VAL_MV(B196,"2019-12-31","2")</f>
        <v>5318628150</v>
      </c>
      <c r="M196">
        <f>[1]!EM_S_VAL_PETTMDEDUCTED(B196,E196)</f>
        <v>62.595991159937597</v>
      </c>
      <c r="N196" s="7">
        <f>[1]!EM_S_VAL_PBGOODWILLDEDUCTED(B196,E196)</f>
        <v>1.84055200336171</v>
      </c>
      <c r="O196" s="7">
        <f>[1]!EM_S_VAL_PS_TTM(B196,E196)</f>
        <v>1.92136415947905</v>
      </c>
      <c r="P196" s="7">
        <f>[1]!EM_S_VAL_PCF_NCFTTM(B196,E196)</f>
        <v>60.685289011035799</v>
      </c>
      <c r="Q196" s="7">
        <f>[1]!EM_S_VAL_DIVIDENDYIELD2(B196,E196,"2019-11-29")</f>
        <v>0.32105760151085927</v>
      </c>
      <c r="T196"/>
      <c r="U196">
        <f>[1]!EM_S_RATIO_EPS_TTM(B196,E196,"1")</f>
        <v>0.11149270205094182</v>
      </c>
      <c r="AT196" s="4" t="str">
        <f>[1]!EM_S_IPO_LISTEDDATE(B196)</f>
        <v>2012-05-07</v>
      </c>
    </row>
    <row r="197" spans="1:46">
      <c r="A197">
        <v>727</v>
      </c>
      <c r="B197" t="str">
        <f>"002216"</f>
        <v>002216</v>
      </c>
      <c r="C197" t="s">
        <v>1874</v>
      </c>
      <c r="D197" t="str">
        <f>[1]!EM_S_INFO_INDEX_EM(B197,"1")</f>
        <v>食品饮料</v>
      </c>
      <c r="E197" s="4">
        <f t="shared" si="3"/>
        <v>43465</v>
      </c>
      <c r="F197" s="11">
        <f>[1]!EM_S_PQ_PCTCHANGE(B197,"2018-01-01","2019-12-31","3")</f>
        <v>77.614050309999996</v>
      </c>
      <c r="G197" s="11">
        <f>[1]!EM_S_PQ_PCTCHANGE(B197,"2018-12-31","2019-12-30","1")</f>
        <v>92.032967029999995</v>
      </c>
      <c r="H197" s="11">
        <f>[1]!EM_S_FA_YOY_OR(B197,E197)</f>
        <v>5.3929101030000002</v>
      </c>
      <c r="I197" s="11">
        <f>[1]!EM_S_FA_GROSSPROFITMARGIN(B197,E197)</f>
        <v>35.520541160999997</v>
      </c>
      <c r="J197" s="11">
        <f>[1]!EM_S_FA_NETPROFITMARGIN(B197,E197)</f>
        <v>1.8322458574</v>
      </c>
      <c r="K197" s="10">
        <f>[1]!EM_S_FA_ASSETSTURN(B197,E197)</f>
        <v>1.2347799729140001</v>
      </c>
      <c r="L197" s="12">
        <f>[1]!EM_HKS_VAL_MV(B197,"2019-12-31","2")</f>
        <v>11429392631.799999</v>
      </c>
      <c r="M197">
        <f>[1]!EM_S_VAL_PETTMDEDUCTED(B197,E197)</f>
        <v>96.303814246639703</v>
      </c>
      <c r="N197" s="7">
        <f>[1]!EM_S_VAL_PBGOODWILLDEDUCTED(B197,E197)</f>
        <v>2.8867435258577299</v>
      </c>
      <c r="O197" s="7">
        <f>[1]!EM_S_VAL_PS_TTM(B197,E197)</f>
        <v>1.0596261144708601</v>
      </c>
      <c r="P197" s="7">
        <f>[1]!EM_S_VAL_PCF_NCFTTM(B197,E197)</f>
        <v>-39.116547410199601</v>
      </c>
      <c r="Q197" s="7">
        <f>[1]!EM_S_VAL_DIVIDENDYIELD2(B197,E197,"2019-11-29")</f>
        <v>0.25167785234899326</v>
      </c>
      <c r="T197"/>
      <c r="U197">
        <f>[1]!EM_S_RATIO_EPS_TTM(B197,E197,"1")</f>
        <v>0.12585724820462937</v>
      </c>
      <c r="AT197" s="4" t="str">
        <f>[1]!EM_S_IPO_LISTEDDATE(B197)</f>
        <v>2008-02-20</v>
      </c>
    </row>
    <row r="198" spans="1:46">
      <c r="A198">
        <v>2219</v>
      </c>
      <c r="B198" t="str">
        <f>"600072"</f>
        <v>600072</v>
      </c>
      <c r="C198" t="s">
        <v>2845</v>
      </c>
      <c r="D198" t="str">
        <f>[1]!EM_S_INFO_INDEX_EM(B198,"1")</f>
        <v>建筑</v>
      </c>
      <c r="E198" s="4">
        <f t="shared" si="3"/>
        <v>43465</v>
      </c>
      <c r="F198" s="11">
        <f>[1]!EM_S_PQ_PCTCHANGE(B198,"2018-01-01","2019-12-31","3")</f>
        <v>2.84006158</v>
      </c>
      <c r="G198" s="11">
        <f>[1]!EM_S_PQ_PCTCHANGE(B198,"2018-12-31","2019-12-30","1")</f>
        <v>91.535150650000006</v>
      </c>
      <c r="H198" s="11">
        <f>[1]!EM_S_FA_YOY_OR(B198,E198)</f>
        <v>-23.4367382153</v>
      </c>
      <c r="I198" s="11">
        <f>[1]!EM_S_FA_GROSSPROFITMARGIN(B198,E198)</f>
        <v>10.0744850105</v>
      </c>
      <c r="J198" s="11">
        <f>[1]!EM_S_FA_NETPROFITMARGIN(B198,E198)</f>
        <v>0.61668132220000005</v>
      </c>
      <c r="K198" s="10">
        <f>[1]!EM_S_FA_ASSETSTURN(B198,E198)</f>
        <v>0.304049062092</v>
      </c>
      <c r="L198" s="12">
        <f>[1]!EM_HKS_VAL_MV(B198,"2019-12-31","2")</f>
        <v>9851023434.5400009</v>
      </c>
      <c r="M198">
        <f>[1]!EM_S_VAL_PETTMDEDUCTED(B198,E198)</f>
        <v>-1141.6210532462601</v>
      </c>
      <c r="N198" s="7">
        <f>[1]!EM_S_VAL_PBGOODWILLDEDUCTED(B198,E198)</f>
        <v>1.3801236352608599</v>
      </c>
      <c r="O198" s="7">
        <f>[1]!EM_S_VAL_PS_TTM(B198,E198)</f>
        <v>1.3539630517783401</v>
      </c>
      <c r="P198" s="7">
        <f>[1]!EM_S_VAL_PCF_NCFTTM(B198,E198)</f>
        <v>36.8690734539259</v>
      </c>
      <c r="Q198" s="7">
        <f>[1]!EM_S_VAL_DIVIDENDYIELD2(B198,E198,"2019-11-29")</f>
        <v>0.14880952380952381</v>
      </c>
      <c r="T198"/>
      <c r="U198">
        <f>[1]!EM_S_RATIO_EPS_TTM(B198,E198,"1")</f>
        <v>8.8865793857110867E-2</v>
      </c>
      <c r="AT198" s="4" t="str">
        <f>[1]!EM_S_IPO_LISTEDDATE(B198)</f>
        <v>1997-06-03</v>
      </c>
    </row>
    <row r="199" spans="1:46">
      <c r="A199">
        <v>1971</v>
      </c>
      <c r="B199" t="str">
        <f>"300548"</f>
        <v>300548</v>
      </c>
      <c r="C199" t="s">
        <v>1197</v>
      </c>
      <c r="D199" t="str">
        <f>[1]!EM_S_INFO_INDEX_EM(B199,"1")</f>
        <v>信息技术</v>
      </c>
      <c r="E199" s="4">
        <f t="shared" si="3"/>
        <v>43465</v>
      </c>
      <c r="F199" s="11">
        <f>[1]!EM_S_PQ_PCTCHANGE(B199,"2018-01-01","2019-12-31","3")</f>
        <v>40.405875739999999</v>
      </c>
      <c r="G199" s="11">
        <f>[1]!EM_S_PQ_PCTCHANGE(B199,"2018-12-31","2019-12-30","1")</f>
        <v>91.099050199999994</v>
      </c>
      <c r="H199" s="11">
        <f>[1]!EM_S_FA_YOY_OR(B199,E199)</f>
        <v>-21.225080693500001</v>
      </c>
      <c r="I199" s="11">
        <f>[1]!EM_S_FA_GROSSPROFITMARGIN(B199,E199)</f>
        <v>29.459340184399998</v>
      </c>
      <c r="J199" s="11">
        <f>[1]!EM_S_FA_NETPROFITMARGIN(B199,E199)</f>
        <v>0.84730632139999995</v>
      </c>
      <c r="K199" s="10">
        <f>[1]!EM_S_FA_ASSETSTURN(B199,E199)</f>
        <v>0.39154350327999998</v>
      </c>
      <c r="L199" s="12">
        <f>[1]!EM_HKS_VAL_MV(B199,"2019-12-31","2")</f>
        <v>5796716100</v>
      </c>
      <c r="M199">
        <f>[1]!EM_S_VAL_PETTMDEDUCTED(B199,E199)</f>
        <v>55.652541785669499</v>
      </c>
      <c r="N199" s="7">
        <f>[1]!EM_S_VAL_PBGOODWILLDEDUCTED(B199,E199)</f>
        <v>5.9680956540774499</v>
      </c>
      <c r="O199" s="7">
        <f>[1]!EM_S_VAL_PS_TTM(B199,E199)</f>
        <v>10.756994527581</v>
      </c>
      <c r="P199" s="7">
        <f>[1]!EM_S_VAL_PCF_NCFTTM(B199,E199)</f>
        <v>29.322034842290801</v>
      </c>
      <c r="Q199" s="7">
        <f>[1]!EM_S_VAL_DIVIDENDYIELD2(B199,E199,"2019-11-29")</f>
        <v>0.16087516087516088</v>
      </c>
      <c r="T199"/>
      <c r="U199">
        <f>[1]!EM_S_RATIO_EPS_TTM(B199,E199,"1")</f>
        <v>2.7966794721055788E-2</v>
      </c>
      <c r="AT199" s="4" t="str">
        <f>[1]!EM_S_IPO_LISTEDDATE(B199)</f>
        <v>2016-10-12</v>
      </c>
    </row>
    <row r="200" spans="1:46">
      <c r="A200">
        <v>2551</v>
      </c>
      <c r="B200" t="str">
        <f>"600460"</f>
        <v>600460</v>
      </c>
      <c r="C200" t="s">
        <v>2233</v>
      </c>
      <c r="D200" t="str">
        <f>[1]!EM_S_INFO_INDEX_EM(B200,"1")</f>
        <v>电子设备</v>
      </c>
      <c r="E200" s="4">
        <f t="shared" si="3"/>
        <v>43465</v>
      </c>
      <c r="F200" s="11">
        <f>[1]!EM_S_PQ_PCTCHANGE(B200,"2018-01-01","2019-12-31","3")</f>
        <v>0.83906491999999999</v>
      </c>
      <c r="G200" s="11">
        <f>[1]!EM_S_PQ_PCTCHANGE(B200,"2018-12-31","2019-12-30","1")</f>
        <v>91.009852219999999</v>
      </c>
      <c r="H200" s="11">
        <f>[1]!EM_S_FA_YOY_OR(B200,E200)</f>
        <v>10.3605737023</v>
      </c>
      <c r="I200" s="11">
        <f>[1]!EM_S_FA_GROSSPROFITMARGIN(B200,E200)</f>
        <v>25.455429212399999</v>
      </c>
      <c r="J200" s="11">
        <f>[1]!EM_S_FA_NETPROFITMARGIN(B200,E200)</f>
        <v>2.4540519799</v>
      </c>
      <c r="K200" s="10">
        <f>[1]!EM_S_FA_ASSETSTURN(B200,E200)</f>
        <v>0.420819759839</v>
      </c>
      <c r="L200" s="12">
        <f>[1]!EM_HKS_VAL_MV(B200,"2019-12-31","2")</f>
        <v>20297593168.580002</v>
      </c>
      <c r="M200">
        <f>[1]!EM_S_VAL_PETTMDEDUCTED(B200,E200)</f>
        <v>94.040271485655296</v>
      </c>
      <c r="N200" s="7">
        <f>[1]!EM_S_VAL_PBGOODWILLDEDUCTED(B200,E200)</f>
        <v>3.1085998370971701</v>
      </c>
      <c r="O200" s="7">
        <f>[1]!EM_S_VAL_PS_TTM(B200,E200)</f>
        <v>3.6260421294583298</v>
      </c>
      <c r="P200" s="7">
        <f>[1]!EM_S_VAL_PCF_NCFTTM(B200,E200)</f>
        <v>19.518705138111699</v>
      </c>
      <c r="Q200" s="7">
        <f>[1]!EM_S_VAL_DIVIDENDYIELD2(B200,E200,"2019-11-29")</f>
        <v>0.27341079972658922</v>
      </c>
      <c r="T200"/>
      <c r="U200">
        <f>[1]!EM_S_RATIO_EPS_TTM(B200,E200,"1")</f>
        <v>0.12991965242418865</v>
      </c>
      <c r="AT200" s="4" t="str">
        <f>[1]!EM_S_IPO_LISTEDDATE(B200)</f>
        <v>2003-03-11</v>
      </c>
    </row>
    <row r="201" spans="1:46">
      <c r="A201">
        <v>2793</v>
      </c>
      <c r="B201" t="str">
        <f>"600720"</f>
        <v>600720</v>
      </c>
      <c r="C201" t="s">
        <v>3549</v>
      </c>
      <c r="D201" t="str">
        <f>[1]!EM_S_INFO_INDEX_EM(B201,"1")</f>
        <v>建材</v>
      </c>
      <c r="E201" s="4">
        <f t="shared" si="3"/>
        <v>43465</v>
      </c>
      <c r="F201" s="11">
        <f>[1]!EM_S_PQ_PCTCHANGE(B201,"2018-01-01","2019-12-31","3")</f>
        <v>29.981436410000001</v>
      </c>
      <c r="G201" s="11">
        <f>[1]!EM_S_PQ_PCTCHANGE(B201,"2018-12-31","2019-12-30","1")</f>
        <v>90.232558139999995</v>
      </c>
      <c r="H201" s="11">
        <f>[1]!EM_S_FA_YOY_OR(B201,E201)</f>
        <v>-3.2537296556999999</v>
      </c>
      <c r="I201" s="11">
        <f>[1]!EM_S_FA_GROSSPROFITMARGIN(B201,E201)</f>
        <v>33.101127099700001</v>
      </c>
      <c r="J201" s="11">
        <f>[1]!EM_S_FA_NETPROFITMARGIN(B201,E201)</f>
        <v>11.926930639</v>
      </c>
      <c r="K201" s="10">
        <f>[1]!EM_S_FA_ASSETSTURN(B201,E201)</f>
        <v>0.58206369248900003</v>
      </c>
      <c r="L201" s="12">
        <f>[1]!EM_HKS_VAL_MV(B201,"2019-12-31","2")</f>
        <v>9742443039.1000004</v>
      </c>
      <c r="M201">
        <f>[1]!EM_S_VAL_PETTMDEDUCTED(B201,E201)</f>
        <v>9.0320150218656305</v>
      </c>
      <c r="N201" s="7">
        <f>[1]!EM_S_VAL_PBGOODWILLDEDUCTED(B201,E201)</f>
        <v>0.88342460449244198</v>
      </c>
      <c r="O201" s="7">
        <f>[1]!EM_S_VAL_PS_TTM(B201,E201)</f>
        <v>0.88495698507392095</v>
      </c>
      <c r="P201" s="7">
        <f>[1]!EM_S_VAL_PCF_NCFTTM(B201,E201)</f>
        <v>28.1195420664504</v>
      </c>
      <c r="Q201" s="7">
        <f>[1]!EM_S_VAL_DIVIDENDYIELD2(B201,E201,"2019-11-29")</f>
        <v>2.7663551401869162</v>
      </c>
      <c r="T201"/>
      <c r="U201">
        <f>[1]!EM_S_RATIO_EPS_TTM(B201,E201,"1")</f>
        <v>0.84346489030246541</v>
      </c>
      <c r="AT201" s="4" t="str">
        <f>[1]!EM_S_IPO_LISTEDDATE(B201)</f>
        <v>1996-07-16</v>
      </c>
    </row>
    <row r="202" spans="1:46">
      <c r="A202">
        <v>2483</v>
      </c>
      <c r="B202" t="str">
        <f>"600363"</f>
        <v>600363</v>
      </c>
      <c r="C202" t="s">
        <v>1556</v>
      </c>
      <c r="D202" t="str">
        <f>[1]!EM_S_INFO_INDEX_EM(B202,"1")</f>
        <v>电子设备</v>
      </c>
      <c r="E202" s="4">
        <f t="shared" si="3"/>
        <v>43465</v>
      </c>
      <c r="F202" s="11">
        <f>[1]!EM_S_PQ_PCTCHANGE(B202,"2018-01-01","2019-12-31","3")</f>
        <v>22.854173729999999</v>
      </c>
      <c r="G202" s="11">
        <f>[1]!EM_S_PQ_PCTCHANGE(B202,"2018-12-31","2019-12-30","1")</f>
        <v>90</v>
      </c>
      <c r="H202" s="11">
        <f>[1]!EM_S_FA_YOY_OR(B202,E202)</f>
        <v>14.498555055700001</v>
      </c>
      <c r="I202" s="11">
        <f>[1]!EM_S_FA_GROSSPROFITMARGIN(B202,E202)</f>
        <v>12.4821646577</v>
      </c>
      <c r="J202" s="11">
        <f>[1]!EM_S_FA_NETPROFITMARGIN(B202,E202)</f>
        <v>7.3646702745999999</v>
      </c>
      <c r="K202" s="10">
        <f>[1]!EM_S_FA_ASSETSTURN(B202,E202)</f>
        <v>0.73289939713100005</v>
      </c>
      <c r="L202" s="12">
        <f>[1]!EM_HKS_VAL_MV(B202,"2019-12-31","2")</f>
        <v>6780759507.5</v>
      </c>
      <c r="M202">
        <f>[1]!EM_S_VAL_PETTMDEDUCTED(B202,E202)</f>
        <v>19.053931101884299</v>
      </c>
      <c r="N202" s="7">
        <f>[1]!EM_S_VAL_PBGOODWILLDEDUCTED(B202,E202)</f>
        <v>1.4503837721010999</v>
      </c>
      <c r="O202" s="7">
        <f>[1]!EM_S_VAL_PS_TTM(B202,E202)</f>
        <v>1.0628636423571001</v>
      </c>
      <c r="P202" s="7">
        <f>[1]!EM_S_VAL_PCF_NCFTTM(B202,E202)</f>
        <v>-31.8668639059733</v>
      </c>
      <c r="Q202" s="7">
        <f>[1]!EM_S_VAL_DIVIDENDYIELD2(B202,E202,"2019-11-29")</f>
        <v>0.36723163841807915</v>
      </c>
      <c r="T202"/>
      <c r="U202">
        <f>[1]!EM_S_RATIO_EPS_TTM(B202,E202,"1")</f>
        <v>0.51222920439459341</v>
      </c>
      <c r="AT202" s="4" t="str">
        <f>[1]!EM_S_IPO_LISTEDDATE(B202)</f>
        <v>2001-03-29</v>
      </c>
    </row>
    <row r="203" spans="1:46">
      <c r="A203">
        <v>2683</v>
      </c>
      <c r="B203" t="str">
        <f>"600610"</f>
        <v>600610</v>
      </c>
      <c r="C203" t="s">
        <v>3082</v>
      </c>
      <c r="D203" t="str">
        <f>[1]!EM_S_INFO_INDEX_EM(B203,"1")</f>
        <v>建筑</v>
      </c>
      <c r="E203" s="4">
        <f t="shared" si="3"/>
        <v>43465</v>
      </c>
      <c r="F203" s="11">
        <f>[1]!EM_S_PQ_PCTCHANGE(B203,"2018-01-01","2019-12-31","3")</f>
        <v>-40.183486240000001</v>
      </c>
      <c r="G203" s="11">
        <f>[1]!EM_S_PQ_PCTCHANGE(B203,"2018-12-31","2019-12-30","1")</f>
        <v>89.534883719999996</v>
      </c>
      <c r="H203" s="11">
        <f>[1]!EM_S_FA_YOY_OR(B203,E203)</f>
        <v>0</v>
      </c>
      <c r="I203" s="11">
        <f>[1]!EM_S_FA_GROSSPROFITMARGIN(B203,E203)</f>
        <v>0</v>
      </c>
      <c r="J203" s="11">
        <f>[1]!EM_S_FA_NETPROFITMARGIN(B203,E203)</f>
        <v>0</v>
      </c>
      <c r="K203" s="10">
        <f>[1]!EM_S_FA_ASSETSTURN(B203,E203)</f>
        <v>0</v>
      </c>
      <c r="L203" s="12">
        <f>[1]!EM_HKS_VAL_MV(B203,"2019-12-31","2")</f>
        <v>3492355212.3000002</v>
      </c>
      <c r="M203">
        <f>[1]!EM_S_VAL_PETTMDEDUCTED(B203,E203)</f>
        <v>-1.6674213565182101</v>
      </c>
      <c r="N203" s="7">
        <f>[1]!EM_S_VAL_PBGOODWILLDEDUCTED(B203,E203)</f>
        <v>-3.98224780546906</v>
      </c>
      <c r="O203" s="7">
        <f>[1]!EM_S_VAL_PS_TTM(B203,E203)</f>
        <v>-4.4921889810976801</v>
      </c>
      <c r="P203" s="7">
        <f>[1]!EM_S_VAL_PCF_NCFTTM(B203,E203)</f>
        <v>-40.909956004282797</v>
      </c>
      <c r="Q203" s="7">
        <f>[1]!EM_S_VAL_DIVIDENDYIELD2(B203,E203,"2019-11-29")</f>
        <v>0</v>
      </c>
      <c r="T203"/>
      <c r="U203">
        <f>[1]!EM_S_RATIO_EPS_TTM(B203,E203,"1")</f>
        <v>-0.46464069564124505</v>
      </c>
      <c r="AT203" s="4" t="str">
        <f>[1]!EM_S_IPO_LISTEDDATE(B203)</f>
        <v>1992-08-05</v>
      </c>
    </row>
    <row r="204" spans="1:46">
      <c r="A204">
        <v>132</v>
      </c>
      <c r="B204" t="str">
        <f>"000523"</f>
        <v>000523</v>
      </c>
      <c r="C204" t="s">
        <v>2686</v>
      </c>
      <c r="D204" t="str">
        <f>[1]!EM_S_INFO_INDEX_EM(B204,"1")</f>
        <v>基础化工</v>
      </c>
      <c r="E204" s="4">
        <f t="shared" si="3"/>
        <v>43465</v>
      </c>
      <c r="F204" s="11">
        <f>[1]!EM_S_PQ_PCTCHANGE(B204,"2018-01-01","2019-12-31","3")</f>
        <v>13.082163059999999</v>
      </c>
      <c r="G204" s="11">
        <f>[1]!EM_S_PQ_PCTCHANGE(B204,"2018-12-31","2019-12-30","1")</f>
        <v>88.860759490000007</v>
      </c>
      <c r="H204" s="11">
        <f>[1]!EM_S_FA_YOY_OR(B204,E204)</f>
        <v>1.3821462151999999</v>
      </c>
      <c r="I204" s="11">
        <f>[1]!EM_S_FA_GROSSPROFITMARGIN(B204,E204)</f>
        <v>3.3657666365000001</v>
      </c>
      <c r="J204" s="11">
        <f>[1]!EM_S_FA_NETPROFITMARGIN(B204,E204)</f>
        <v>0.2763036867</v>
      </c>
      <c r="K204" s="10">
        <f>[1]!EM_S_FA_ASSETSTURN(B204,E204)</f>
        <v>2.016244683249</v>
      </c>
      <c r="L204" s="12">
        <f>[1]!EM_HKS_VAL_MV(B204,"2019-12-31","2")</f>
        <v>4650020456.25</v>
      </c>
      <c r="M204">
        <f>[1]!EM_S_VAL_PETTMDEDUCTED(B204,E204)</f>
        <v>142.311317824464</v>
      </c>
      <c r="N204" s="7">
        <f>[1]!EM_S_VAL_PBGOODWILLDEDUCTED(B204,E204)</f>
        <v>1.30596861993497</v>
      </c>
      <c r="O204" s="7">
        <f>[1]!EM_S_VAL_PS_TTM(B204,E204)</f>
        <v>0.20087184821843301</v>
      </c>
      <c r="P204" s="7">
        <f>[1]!EM_S_VAL_PCF_NCFTTM(B204,E204)</f>
        <v>-16.1406758649563</v>
      </c>
      <c r="Q204" s="7">
        <f>[1]!EM_S_VAL_DIVIDENDYIELD2(B204,E204,"2019-11-29")</f>
        <v>0.37313432835820892</v>
      </c>
      <c r="T204"/>
      <c r="U204">
        <f>[1]!EM_S_RATIO_EPS_TTM(B204,E204,"1")</f>
        <v>5.3052538620969217E-2</v>
      </c>
      <c r="AT204" s="4" t="str">
        <f>[1]!EM_S_IPO_LISTEDDATE(B204)</f>
        <v>1993-11-08</v>
      </c>
    </row>
    <row r="205" spans="1:46">
      <c r="A205">
        <v>2104</v>
      </c>
      <c r="B205" t="str">
        <f>"300686"</f>
        <v>300686</v>
      </c>
      <c r="C205" t="s">
        <v>2637</v>
      </c>
      <c r="D205" t="str">
        <f>[1]!EM_S_INFO_INDEX_EM(B205,"1")</f>
        <v>电子设备</v>
      </c>
      <c r="E205" s="4">
        <f t="shared" si="3"/>
        <v>43465</v>
      </c>
      <c r="F205" s="11">
        <f>[1]!EM_S_PQ_PCTCHANGE(B205,"2018-01-01","2019-12-31","3")</f>
        <v>47.283601240000003</v>
      </c>
      <c r="G205" s="11">
        <f>[1]!EM_S_PQ_PCTCHANGE(B205,"2019-01-01","2019-12-31","3")</f>
        <v>88.790181039999993</v>
      </c>
      <c r="H205" s="11">
        <f>[1]!EM_S_FA_YOY_OR(B205,E205)</f>
        <v>14.5885576931</v>
      </c>
      <c r="I205" s="11">
        <f>[1]!EM_S_FA_GROSSPROFITMARGIN(B205,E205)</f>
        <v>19.2246104032</v>
      </c>
      <c r="J205" s="11">
        <f>[1]!EM_S_FA_NETPROFITMARGIN(B205,E205)</f>
        <v>1.0490843269000001</v>
      </c>
      <c r="K205" s="10">
        <f>[1]!EM_S_FA_ASSETSTURN(B205,E205)</f>
        <v>0.67611742084000004</v>
      </c>
      <c r="L205" s="12">
        <f>[1]!EM_HKS_VAL_MV(B205,"2019-12-31","2")</f>
        <v>4254895840</v>
      </c>
      <c r="M205">
        <f>[1]!EM_S_VAL_PETTMDEDUCTED(B205,E205)</f>
        <v>102.533867244409</v>
      </c>
      <c r="N205" s="7">
        <f>[1]!EM_S_VAL_PBGOODWILLDEDUCTED(B205,E205)</f>
        <v>3.6722339683296301</v>
      </c>
      <c r="O205" s="7">
        <f>[1]!EM_S_VAL_PS_TTM(B205,E205)</f>
        <v>3.8121570792969299</v>
      </c>
      <c r="P205" s="7">
        <f>[1]!EM_S_VAL_PCF_NCFTTM(B205,E205)</f>
        <v>-20.9061588259089</v>
      </c>
      <c r="Q205" s="7">
        <f>[1]!EM_S_VAL_DIVIDENDYIELD2(B205,E205,"2019-11-29")</f>
        <v>6.2332702050793151E-2</v>
      </c>
      <c r="T205"/>
      <c r="U205">
        <f>[1]!EM_S_RATIO_EPS_TTM(B205,E205,"1")</f>
        <v>3.301354922455136E-2</v>
      </c>
      <c r="AT205" s="4" t="str">
        <f>[1]!EM_S_IPO_LISTEDDATE(B205)</f>
        <v>2017-08-04</v>
      </c>
    </row>
    <row r="206" spans="1:46">
      <c r="A206">
        <v>489</v>
      </c>
      <c r="B206" t="str">
        <f>"000977"</f>
        <v>000977</v>
      </c>
      <c r="C206" t="s">
        <v>2485</v>
      </c>
      <c r="D206" t="str">
        <f>[1]!EM_S_INFO_INDEX_EM(B206,"1")</f>
        <v>信息技术</v>
      </c>
      <c r="E206" s="4">
        <f t="shared" si="3"/>
        <v>43465</v>
      </c>
      <c r="F206" s="11">
        <f>[1]!EM_S_PQ_PCTCHANGE(B206,"2018-01-01","2019-12-31","3")</f>
        <v>52.018462790000001</v>
      </c>
      <c r="G206" s="11">
        <f>[1]!EM_S_PQ_PCTCHANGE(B206,"2018-12-31","2019-12-30","1")</f>
        <v>88.630653269999996</v>
      </c>
      <c r="H206" s="11">
        <f>[1]!EM_S_FA_YOY_OR(B206,E206)</f>
        <v>84.167046154000005</v>
      </c>
      <c r="I206" s="11">
        <f>[1]!EM_S_FA_GROSSPROFITMARGIN(B206,E206)</f>
        <v>11.0218852484</v>
      </c>
      <c r="J206" s="11">
        <f>[1]!EM_S_FA_NETPROFITMARGIN(B206,E206)</f>
        <v>1.3875920407</v>
      </c>
      <c r="K206" s="10">
        <f>[1]!EM_S_FA_ASSETSTURN(B206,E206)</f>
        <v>2.159152968536</v>
      </c>
      <c r="L206" s="12">
        <f>[1]!EM_HKS_VAL_MV(B206,"2019-12-31","2")</f>
        <v>38806490347.099998</v>
      </c>
      <c r="M206">
        <f>[1]!EM_S_VAL_PETTMDEDUCTED(B206,E206)</f>
        <v>41.569114884469698</v>
      </c>
      <c r="N206" s="7">
        <f>[1]!EM_S_VAL_PBGOODWILLDEDUCTED(B206,E206)</f>
        <v>2.5727483439176102</v>
      </c>
      <c r="O206" s="7">
        <f>[1]!EM_S_VAL_PS_TTM(B206,E206)</f>
        <v>0.48290136203088702</v>
      </c>
      <c r="P206" s="7">
        <f>[1]!EM_S_VAL_PCF_NCFTTM(B206,E206)</f>
        <v>42.766672085692697</v>
      </c>
      <c r="Q206" s="7">
        <f>[1]!EM_S_VAL_DIVIDENDYIELD2(B206,E206,"2019-11-29")</f>
        <v>0.20040080160320639</v>
      </c>
      <c r="T206"/>
      <c r="U206">
        <f>[1]!EM_S_RATIO_EPS_TTM(B206,E206,"1")</f>
        <v>0.5108371748632875</v>
      </c>
      <c r="AT206" s="4" t="str">
        <f>[1]!EM_S_IPO_LISTEDDATE(B206)</f>
        <v>2000-06-08</v>
      </c>
    </row>
    <row r="207" spans="1:46">
      <c r="A207">
        <v>475</v>
      </c>
      <c r="B207" t="str">
        <f>"000961"</f>
        <v>000961</v>
      </c>
      <c r="C207" t="s">
        <v>1057</v>
      </c>
      <c r="D207" t="str">
        <f>[1]!EM_S_INFO_INDEX_EM(B207,"1")</f>
        <v>房地产</v>
      </c>
      <c r="E207" s="4">
        <f t="shared" si="3"/>
        <v>43465</v>
      </c>
      <c r="F207" s="11">
        <f>[1]!EM_S_PQ_PCTCHANGE(B207,"2018-01-01","2019-12-31","3")</f>
        <v>67.413858660000002</v>
      </c>
      <c r="G207" s="11">
        <f>[1]!EM_S_PQ_PCTCHANGE(B207,"2018-12-31","2019-12-30","1")</f>
        <v>88.591800359999993</v>
      </c>
      <c r="H207" s="11">
        <f>[1]!EM_S_FA_YOY_OR(B207,E207)</f>
        <v>31.283372487899999</v>
      </c>
      <c r="I207" s="11">
        <f>[1]!EM_S_FA_GROSSPROFITMARGIN(B207,E207)</f>
        <v>19.559270843</v>
      </c>
      <c r="J207" s="11">
        <f>[1]!EM_S_FA_NETPROFITMARGIN(B207,E207)</f>
        <v>5.7655039882999999</v>
      </c>
      <c r="K207" s="10">
        <f>[1]!EM_S_FA_ASSETSTURN(B207,E207)</f>
        <v>0.19532653341100001</v>
      </c>
      <c r="L207" s="12">
        <f>[1]!EM_HKS_VAL_MV(B207,"2019-12-31","2")</f>
        <v>39326580889.449997</v>
      </c>
      <c r="M207">
        <f>[1]!EM_S_VAL_PETTMDEDUCTED(B207,E207)</f>
        <v>20.387024012156299</v>
      </c>
      <c r="N207" s="7">
        <f>[1]!EM_S_VAL_PBGOODWILLDEDUCTED(B207,E207)</f>
        <v>1.1964896977989701</v>
      </c>
      <c r="O207" s="7">
        <f>[1]!EM_S_VAL_PS_TTM(B207,E207)</f>
        <v>0.50115370242989998</v>
      </c>
      <c r="P207" s="7">
        <f>[1]!EM_S_VAL_PCF_NCFTTM(B207,E207)</f>
        <v>2.5416414325378098</v>
      </c>
      <c r="Q207" s="7">
        <f>[1]!EM_S_VAL_DIVIDENDYIELD2(B207,E207,"2019-11-29")</f>
        <v>1.4707561462514098</v>
      </c>
      <c r="T207"/>
      <c r="U207">
        <f>[1]!EM_S_RATIO_EPS_TTM(B207,E207,"1")</f>
        <v>0.5911651549607071</v>
      </c>
      <c r="AT207" s="4" t="str">
        <f>[1]!EM_S_IPO_LISTEDDATE(B207)</f>
        <v>2000-03-01</v>
      </c>
    </row>
    <row r="208" spans="1:46">
      <c r="A208">
        <v>1756</v>
      </c>
      <c r="B208" t="str">
        <f>"300331"</f>
        <v>300331</v>
      </c>
      <c r="C208" t="s">
        <v>2067</v>
      </c>
      <c r="D208" t="str">
        <f>[1]!EM_S_INFO_INDEX_EM(B208,"1")</f>
        <v>电子设备</v>
      </c>
      <c r="E208" s="4">
        <f t="shared" si="3"/>
        <v>43465</v>
      </c>
      <c r="F208" s="11">
        <f>[1]!EM_S_PQ_PCTCHANGE(B208,"2018-01-01","2019-12-31","3")</f>
        <v>25.057859010000001</v>
      </c>
      <c r="G208" s="11">
        <f>[1]!EM_S_PQ_PCTCHANGE(B208,"2018-12-31","2019-12-30","1")</f>
        <v>88.288288289999997</v>
      </c>
      <c r="H208" s="11">
        <f>[1]!EM_S_FA_YOY_OR(B208,E208)</f>
        <v>20.2195405175</v>
      </c>
      <c r="I208" s="11">
        <f>[1]!EM_S_FA_GROSSPROFITMARGIN(B208,E208)</f>
        <v>27.885966098099999</v>
      </c>
      <c r="J208" s="11">
        <f>[1]!EM_S_FA_NETPROFITMARGIN(B208,E208)</f>
        <v>4.9790784579</v>
      </c>
      <c r="K208" s="10">
        <f>[1]!EM_S_FA_ASSETSTURN(B208,E208)</f>
        <v>0.57850518261999995</v>
      </c>
      <c r="L208" s="12">
        <f>[1]!EM_HKS_VAL_MV(B208,"2019-12-31","2")</f>
        <v>4704076381.21</v>
      </c>
      <c r="M208">
        <f>[1]!EM_S_VAL_PETTMDEDUCTED(B208,E208)</f>
        <v>37.547505915858103</v>
      </c>
      <c r="N208" s="7">
        <f>[1]!EM_S_VAL_PBGOODWILLDEDUCTED(B208,E208)</f>
        <v>2.4656225557660298</v>
      </c>
      <c r="O208" s="7">
        <f>[1]!EM_S_VAL_PS_TTM(B208,E208)</f>
        <v>2.2760851511572802</v>
      </c>
      <c r="P208" s="7">
        <f>[1]!EM_S_VAL_PCF_NCFTTM(B208,E208)</f>
        <v>-26.877302408041601</v>
      </c>
      <c r="Q208" s="7">
        <f>[1]!EM_S_VAL_DIVIDENDYIELD2(B208,E208,"2019-11-29")</f>
        <v>0.51334702258726894</v>
      </c>
      <c r="T208"/>
      <c r="U208">
        <f>[1]!EM_S_RATIO_EPS_TTM(B208,E208,"1")</f>
        <v>0.27439685921680967</v>
      </c>
      <c r="AT208" s="4" t="str">
        <f>[1]!EM_S_IPO_LISTEDDATE(B208)</f>
        <v>2012-06-28</v>
      </c>
    </row>
    <row r="209" spans="1:46">
      <c r="A209">
        <v>1324</v>
      </c>
      <c r="B209" t="str">
        <f>"002821"</f>
        <v>002821</v>
      </c>
      <c r="C209" t="s">
        <v>796</v>
      </c>
      <c r="D209" t="str">
        <f>[1]!EM_S_INFO_INDEX_EM(B209,"1")</f>
        <v>医药生物</v>
      </c>
      <c r="E209" s="4">
        <f t="shared" si="3"/>
        <v>43465</v>
      </c>
      <c r="F209" s="11">
        <f>[1]!EM_S_PQ_PCTCHANGE(B209,"2018-01-01","2019-12-31","3")</f>
        <v>118.33156563999999</v>
      </c>
      <c r="G209" s="11">
        <f>[1]!EM_S_PQ_PCTCHANGE(B209,"2018-12-31","2019-12-30","1")</f>
        <v>87.98820929</v>
      </c>
      <c r="H209" s="11">
        <f>[1]!EM_S_FA_YOY_OR(B209,E209)</f>
        <v>28.941288932500001</v>
      </c>
      <c r="I209" s="11">
        <f>[1]!EM_S_FA_GROSSPROFITMARGIN(B209,E209)</f>
        <v>46.499205802799999</v>
      </c>
      <c r="J209" s="11">
        <f>[1]!EM_S_FA_NETPROFITMARGIN(B209,E209)</f>
        <v>22.1513627213</v>
      </c>
      <c r="K209" s="10">
        <f>[1]!EM_S_FA_ASSETSTURN(B209,E209)</f>
        <v>0.63026659697599996</v>
      </c>
      <c r="L209" s="12">
        <f>[1]!EM_HKS_VAL_MV(B209,"2019-12-31","2")</f>
        <v>29963989979</v>
      </c>
      <c r="M209">
        <f>[1]!EM_S_VAL_PETTMDEDUCTED(B209,E209)</f>
        <v>41.1423785858657</v>
      </c>
      <c r="N209" s="7">
        <f>[1]!EM_S_VAL_PBGOODWILLDEDUCTED(B209,E209)</f>
        <v>6.2389588670710099</v>
      </c>
      <c r="O209" s="7">
        <f>[1]!EM_S_VAL_PS_TTM(B209,E209)</f>
        <v>9.0431953117825898</v>
      </c>
      <c r="P209" s="7">
        <f>[1]!EM_S_VAL_PCF_NCFTTM(B209,E209)</f>
        <v>-22.0278920152147</v>
      </c>
      <c r="Q209" s="7">
        <f>[1]!EM_S_VAL_DIVIDENDYIELD2(B209,E209,"2019-11-29")</f>
        <v>0.32520325203252037</v>
      </c>
      <c r="T209"/>
      <c r="U209">
        <f>[1]!EM_S_RATIO_EPS_TTM(B209,E209,"1")</f>
        <v>1.8552781171636497</v>
      </c>
      <c r="AT209" s="4" t="str">
        <f>[1]!EM_S_IPO_LISTEDDATE(B209)</f>
        <v>2016-11-18</v>
      </c>
    </row>
    <row r="210" spans="1:46">
      <c r="A210">
        <v>2631</v>
      </c>
      <c r="B210" t="str">
        <f>"600556"</f>
        <v>600556</v>
      </c>
      <c r="C210" t="s">
        <v>3598</v>
      </c>
      <c r="D210" t="str">
        <f>[1]!EM_S_INFO_INDEX_EM(B210,"1")</f>
        <v>综合</v>
      </c>
      <c r="E210" s="4">
        <f t="shared" si="3"/>
        <v>43465</v>
      </c>
      <c r="F210" s="11">
        <f>[1]!EM_S_PQ_PCTCHANGE(B210,"2018-01-01","2019-12-31","3")</f>
        <v>73.428571430000005</v>
      </c>
      <c r="G210" s="11">
        <f>[1]!EM_S_PQ_PCTCHANGE(B210,"2018-12-31","2019-12-30","1")</f>
        <v>87.942122190000006</v>
      </c>
      <c r="H210" s="11">
        <f>[1]!EM_S_FA_YOY_OR(B210,E210)</f>
        <v>1.5761361616</v>
      </c>
      <c r="I210" s="11">
        <f>[1]!EM_S_FA_GROSSPROFITMARGIN(B210,E210)</f>
        <v>6.3693797378000001</v>
      </c>
      <c r="J210" s="11">
        <f>[1]!EM_S_FA_NETPROFITMARGIN(B210,E210)</f>
        <v>-57.579505848799997</v>
      </c>
      <c r="K210" s="10">
        <f>[1]!EM_S_FA_ASSETSTURN(B210,E210)</f>
        <v>0.57385718009599995</v>
      </c>
      <c r="L210" s="12">
        <f>[1]!EM_HKS_VAL_MV(B210,"2019-12-31","2")</f>
        <v>20400302624.099998</v>
      </c>
      <c r="M210">
        <f>[1]!EM_S_VAL_PETTMDEDUCTED(B210,E210)</f>
        <v>-262.65715743759199</v>
      </c>
      <c r="N210" s="7">
        <f>[1]!EM_S_VAL_PBGOODWILLDEDUCTED(B210,E210)</f>
        <v>60.679744731961101</v>
      </c>
      <c r="O210" s="7">
        <f>[1]!EM_S_VAL_PS_TTM(B210,E210)</f>
        <v>31.589472779121401</v>
      </c>
      <c r="P210" s="7">
        <f>[1]!EM_S_VAL_PCF_NCFTTM(B210,E210)</f>
        <v>4407.6682126306996</v>
      </c>
      <c r="Q210" s="7">
        <f>[1]!EM_S_VAL_DIVIDENDYIELD2(B210,E210,"2019-11-29")</f>
        <v>0</v>
      </c>
      <c r="T210"/>
      <c r="U210">
        <f>[1]!EM_S_RATIO_EPS_TTM(B210,E210,"1")</f>
        <v>-9.4093514428553154E-2</v>
      </c>
      <c r="AT210" s="4" t="str">
        <f>[1]!EM_S_IPO_LISTEDDATE(B210)</f>
        <v>2001-08-07</v>
      </c>
    </row>
    <row r="211" spans="1:46">
      <c r="A211">
        <v>2955</v>
      </c>
      <c r="B211" t="str">
        <f>"600882"</f>
        <v>600882</v>
      </c>
      <c r="C211" t="s">
        <v>3483</v>
      </c>
      <c r="D211" t="str">
        <f>[1]!EM_S_INFO_INDEX_EM(B211,"1")</f>
        <v>食品饮料</v>
      </c>
      <c r="E211" s="4">
        <f t="shared" si="3"/>
        <v>43465</v>
      </c>
      <c r="F211" s="11">
        <f>[1]!EM_S_PQ_PCTCHANGE(B211,"2018-01-01","2019-12-31","3")</f>
        <v>59.868421050000002</v>
      </c>
      <c r="G211" s="11">
        <f>[1]!EM_S_PQ_PCTCHANGE(B211,"2018-12-31","2019-12-30","1")</f>
        <v>87.744458929999993</v>
      </c>
      <c r="H211" s="11">
        <f>[1]!EM_S_FA_YOY_OR(B211,E211)</f>
        <v>24.815918494200002</v>
      </c>
      <c r="I211" s="11">
        <f>[1]!EM_S_FA_GROSSPROFITMARGIN(B211,E211)</f>
        <v>26.9566111199</v>
      </c>
      <c r="J211" s="11">
        <f>[1]!EM_S_FA_NETPROFITMARGIN(B211,E211)</f>
        <v>0.86813327250000005</v>
      </c>
      <c r="K211" s="10">
        <f>[1]!EM_S_FA_ASSETSTURN(B211,E211)</f>
        <v>0.45891467697799998</v>
      </c>
      <c r="L211" s="12">
        <f>[1]!EM_HKS_VAL_MV(B211,"2019-12-31","2")</f>
        <v>5968425716.1000004</v>
      </c>
      <c r="M211">
        <f>[1]!EM_S_VAL_PETTMDEDUCTED(B211,E211)</f>
        <v>-135.60428550754199</v>
      </c>
      <c r="N211" s="7">
        <f>[1]!EM_S_VAL_PBGOODWILLDEDUCTED(B211,E211)</f>
        <v>4.1155384805963999</v>
      </c>
      <c r="O211" s="7">
        <f>[1]!EM_S_VAL_PS_TTM(B211,E211)</f>
        <v>2.9875271926074101</v>
      </c>
      <c r="P211" s="7">
        <f>[1]!EM_S_VAL_PCF_NCFTTM(B211,E211)</f>
        <v>-15.860315851618999</v>
      </c>
      <c r="Q211" s="7">
        <f>[1]!EM_S_VAL_DIVIDENDYIELD2(B211,E211,"2019-11-29")</f>
        <v>0</v>
      </c>
      <c r="T211"/>
      <c r="U211">
        <f>[1]!EM_S_RATIO_EPS_TTM(B211,E211,"1")</f>
        <v>2.5967807901778703E-2</v>
      </c>
      <c r="AT211" s="4" t="str">
        <f>[1]!EM_S_IPO_LISTEDDATE(B211)</f>
        <v>1995-12-06</v>
      </c>
    </row>
    <row r="212" spans="1:46">
      <c r="A212">
        <v>68</v>
      </c>
      <c r="B212" t="str">
        <f>"000100"</f>
        <v>000100</v>
      </c>
      <c r="C212" t="s">
        <v>1120</v>
      </c>
      <c r="D212" t="str">
        <f>[1]!EM_S_INFO_INDEX_EM(B212,"1")</f>
        <v>家电</v>
      </c>
      <c r="E212" s="4">
        <f t="shared" si="3"/>
        <v>43465</v>
      </c>
      <c r="F212" s="11">
        <f>[1]!EM_S_PQ_PCTCHANGE(B212,"2018-01-01","2019-12-31","3")</f>
        <v>21.452612899999998</v>
      </c>
      <c r="G212" s="11">
        <f>[1]!EM_S_PQ_PCTCHANGE(B212,"2019-01-01","2019-12-31","3")</f>
        <v>87.17563801</v>
      </c>
      <c r="H212" s="11">
        <f>[1]!EM_S_FA_YOY_OR(B212,E212)</f>
        <v>1.5977380788</v>
      </c>
      <c r="I212" s="11">
        <f>[1]!EM_S_FA_GROSSPROFITMARGIN(B212,E212)</f>
        <v>18.308462496099999</v>
      </c>
      <c r="J212" s="11">
        <f>[1]!EM_S_FA_NETPROFITMARGIN(B212,E212)</f>
        <v>3.5860932203</v>
      </c>
      <c r="K212" s="10">
        <f>[1]!EM_S_FA_ASSETSTURN(B212,E212)</f>
        <v>0.64265622570400005</v>
      </c>
      <c r="L212" s="12">
        <f>[1]!EM_HKS_VAL_MV(B212,"2019-12-31","2")</f>
        <v>60472121073.93</v>
      </c>
      <c r="M212">
        <f>[1]!EM_S_VAL_PETTMDEDUCTED(B212,E212)</f>
        <v>19.638010241780101</v>
      </c>
      <c r="N212" s="7">
        <f>[1]!EM_S_VAL_PBGOODWILLDEDUCTED(B212,E212)</f>
        <v>1.1015150863998799</v>
      </c>
      <c r="O212" s="7">
        <f>[1]!EM_S_VAL_PS_TTM(B212,E212)</f>
        <v>0.29718921766182099</v>
      </c>
      <c r="P212" s="7">
        <f>[1]!EM_S_VAL_PCF_NCFTTM(B212,E212)</f>
        <v>-8.1385646054946008</v>
      </c>
      <c r="Q212" s="7">
        <f>[1]!EM_S_VAL_DIVIDENDYIELD2(B212,E212,"2019-11-29")</f>
        <v>2.6082494602590338</v>
      </c>
      <c r="T212"/>
      <c r="U212">
        <f>[1]!EM_S_RATIO_EPS_TTM(B212,E212,"1")</f>
        <v>0.25596317116331524</v>
      </c>
      <c r="AT212" s="4" t="str">
        <f>[1]!EM_S_IPO_LISTEDDATE(B212)</f>
        <v>2004-01-30</v>
      </c>
    </row>
    <row r="213" spans="1:46">
      <c r="A213">
        <v>1905</v>
      </c>
      <c r="B213" t="str">
        <f>"300480"</f>
        <v>300480</v>
      </c>
      <c r="C213" t="s">
        <v>2603</v>
      </c>
      <c r="D213" t="str">
        <f>[1]!EM_S_INFO_INDEX_EM(B213,"1")</f>
        <v>机械设备</v>
      </c>
      <c r="E213" s="4">
        <f t="shared" si="3"/>
        <v>43465</v>
      </c>
      <c r="F213" s="11">
        <f>[1]!EM_S_PQ_PCTCHANGE(B213,"2018-01-01","2019-12-31","3")</f>
        <v>3.2402295400000001</v>
      </c>
      <c r="G213" s="11">
        <f>[1]!EM_S_PQ_PCTCHANGE(B213,"2018-12-31","2019-12-30","1")</f>
        <v>86.870897159999998</v>
      </c>
      <c r="H213" s="11">
        <f>[1]!EM_S_FA_YOY_OR(B213,E213)</f>
        <v>31.770613627500001</v>
      </c>
      <c r="I213" s="11">
        <f>[1]!EM_S_FA_GROSSPROFITMARGIN(B213,E213)</f>
        <v>53.266992420699999</v>
      </c>
      <c r="J213" s="11">
        <f>[1]!EM_S_FA_NETPROFITMARGIN(B213,E213)</f>
        <v>16.386740764700001</v>
      </c>
      <c r="K213" s="10">
        <f>[1]!EM_S_FA_ASSETSTURN(B213,E213)</f>
        <v>0.32522568307499999</v>
      </c>
      <c r="L213" s="12">
        <f>[1]!EM_HKS_VAL_MV(B213,"2019-12-31","2")</f>
        <v>3239551504.5900002</v>
      </c>
      <c r="M213">
        <f>[1]!EM_S_VAL_PETTMDEDUCTED(B213,E213)</f>
        <v>48.852290439834299</v>
      </c>
      <c r="N213" s="7">
        <f>[1]!EM_S_VAL_PBGOODWILLDEDUCTED(B213,E213)</f>
        <v>3.4102888843361598</v>
      </c>
      <c r="O213" s="7">
        <f>[1]!EM_S_VAL_PS_TTM(B213,E213)</f>
        <v>7.6015201735988098</v>
      </c>
      <c r="P213" s="7">
        <f>[1]!EM_S_VAL_PCF_NCFTTM(B213,E213)</f>
        <v>165.3588186522</v>
      </c>
      <c r="Q213" s="7">
        <f>[1]!EM_S_VAL_DIVIDENDYIELD2(B213,E213,"2019-11-29")</f>
        <v>0.34036759700476515</v>
      </c>
      <c r="T213"/>
      <c r="U213">
        <f>[1]!EM_S_RATIO_EPS_TTM(B213,E213,"1")</f>
        <v>0.22021537758175261</v>
      </c>
      <c r="AT213" s="4" t="str">
        <f>[1]!EM_S_IPO_LISTEDDATE(B213)</f>
        <v>2015-07-02</v>
      </c>
    </row>
    <row r="214" spans="1:46">
      <c r="A214">
        <v>1771</v>
      </c>
      <c r="B214" t="str">
        <f>"300346"</f>
        <v>300346</v>
      </c>
      <c r="C214" t="s">
        <v>2352</v>
      </c>
      <c r="D214" t="str">
        <f>[1]!EM_S_INFO_INDEX_EM(B214,"1")</f>
        <v>电子设备</v>
      </c>
      <c r="E214" s="4">
        <f t="shared" si="3"/>
        <v>43465</v>
      </c>
      <c r="F214" s="11">
        <f>[1]!EM_S_PQ_PCTCHANGE(B214,"2018-01-01","2019-12-31","3")</f>
        <v>59.724815139999997</v>
      </c>
      <c r="G214" s="11">
        <f>[1]!EM_S_PQ_PCTCHANGE(B214,"2018-12-31","2019-12-30","1")</f>
        <v>86.794582390000002</v>
      </c>
      <c r="H214" s="11">
        <f>[1]!EM_S_FA_YOY_OR(B214,E214)</f>
        <v>28.757067594900001</v>
      </c>
      <c r="I214" s="11">
        <f>[1]!EM_S_FA_GROSSPROFITMARGIN(B214,E214)</f>
        <v>52.225124140600002</v>
      </c>
      <c r="J214" s="11">
        <f>[1]!EM_S_FA_NETPROFITMARGIN(B214,E214)</f>
        <v>24.313883554899999</v>
      </c>
      <c r="K214" s="10">
        <f>[1]!EM_S_FA_ASSETSTURN(B214,E214)</f>
        <v>0.16187791549200001</v>
      </c>
      <c r="L214" s="12">
        <f>[1]!EM_HKS_VAL_MV(B214,"2019-12-31","2")</f>
        <v>6668940949.5500002</v>
      </c>
      <c r="M214">
        <f>[1]!EM_S_VAL_PETTMDEDUCTED(B214,E214)</f>
        <v>54.740288676966102</v>
      </c>
      <c r="N214" s="7">
        <f>[1]!EM_S_VAL_PBGOODWILLDEDUCTED(B214,E214)</f>
        <v>2.0418618181468799</v>
      </c>
      <c r="O214" s="7">
        <f>[1]!EM_S_VAL_PS_TTM(B214,E214)</f>
        <v>9.9635029524414502</v>
      </c>
      <c r="P214" s="7">
        <f>[1]!EM_S_VAL_PCF_NCFTTM(B214,E214)</f>
        <v>92.836397683040502</v>
      </c>
      <c r="Q214" s="7">
        <f>[1]!EM_S_VAL_DIVIDENDYIELD2(B214,E214,"2019-11-29")</f>
        <v>0.22534577203624689</v>
      </c>
      <c r="T214"/>
      <c r="U214">
        <f>[1]!EM_S_RATIO_EPS_TTM(B214,E214,"1")</f>
        <v>0.18737909523865245</v>
      </c>
      <c r="AT214" s="4" t="str">
        <f>[1]!EM_S_IPO_LISTEDDATE(B214)</f>
        <v>2012-08-07</v>
      </c>
    </row>
    <row r="215" spans="1:46">
      <c r="A215">
        <v>1988</v>
      </c>
      <c r="B215" t="str">
        <f>"300566"</f>
        <v>300566</v>
      </c>
      <c r="C215" t="s">
        <v>1205</v>
      </c>
      <c r="D215" t="str">
        <f>[1]!EM_S_INFO_INDEX_EM(B215,"1")</f>
        <v>电子设备</v>
      </c>
      <c r="E215" s="4">
        <f t="shared" si="3"/>
        <v>43465</v>
      </c>
      <c r="F215" s="11">
        <f>[1]!EM_S_PQ_PCTCHANGE(B215,"2018-01-01","2019-12-31","3")</f>
        <v>-13.526311160000001</v>
      </c>
      <c r="G215" s="11">
        <f>[1]!EM_S_PQ_PCTCHANGE(B215,"2018-12-31","2019-12-30","1")</f>
        <v>86.363636360000001</v>
      </c>
      <c r="H215" s="11">
        <f>[1]!EM_S_FA_YOY_OR(B215,E215)</f>
        <v>23.047951302600001</v>
      </c>
      <c r="I215" s="11">
        <f>[1]!EM_S_FA_GROSSPROFITMARGIN(B215,E215)</f>
        <v>25.092538571999999</v>
      </c>
      <c r="J215" s="11">
        <f>[1]!EM_S_FA_NETPROFITMARGIN(B215,E215)</f>
        <v>4.5848544461999996</v>
      </c>
      <c r="K215" s="10">
        <f>[1]!EM_S_FA_ASSETSTURN(B215,E215)</f>
        <v>0.51844367286799997</v>
      </c>
      <c r="L215" s="12">
        <f>[1]!EM_HKS_VAL_MV(B215,"2019-12-31","2")</f>
        <v>3817932300</v>
      </c>
      <c r="M215">
        <f>[1]!EM_S_VAL_PETTMDEDUCTED(B215,E215)</f>
        <v>63.580215186381203</v>
      </c>
      <c r="N215" s="7">
        <f>[1]!EM_S_VAL_PBGOODWILLDEDUCTED(B215,E215)</f>
        <v>3.4973831407645402</v>
      </c>
      <c r="O215" s="7">
        <f>[1]!EM_S_VAL_PS_TTM(B215,E215)</f>
        <v>2.32419354500857</v>
      </c>
      <c r="P215" s="7">
        <f>[1]!EM_S_VAL_PCF_NCFTTM(B215,E215)</f>
        <v>3103.8143656399402</v>
      </c>
      <c r="Q215" s="7">
        <f>[1]!EM_S_VAL_DIVIDENDYIELD2(B215,E215,"2019-11-29")</f>
        <v>0.23551577955723035</v>
      </c>
      <c r="T215"/>
      <c r="U215">
        <f>[1]!EM_S_RATIO_EPS_TTM(B215,E215,"1")</f>
        <v>0.27468133208333734</v>
      </c>
      <c r="AT215" s="4" t="str">
        <f>[1]!EM_S_IPO_LISTEDDATE(B215)</f>
        <v>2016-11-15</v>
      </c>
    </row>
    <row r="216" spans="1:46">
      <c r="A216">
        <v>346</v>
      </c>
      <c r="B216" t="str">
        <f>"000786"</f>
        <v>000786</v>
      </c>
      <c r="C216" t="s">
        <v>523</v>
      </c>
      <c r="D216" t="str">
        <f>[1]!EM_S_INFO_INDEX_EM(B216,"1")</f>
        <v>建材</v>
      </c>
      <c r="E216" s="4">
        <f t="shared" si="3"/>
        <v>43465</v>
      </c>
      <c r="F216" s="11">
        <f>[1]!EM_S_PQ_PCTCHANGE(B216,"2018-01-01","2019-12-31","3")</f>
        <v>17.839581030000002</v>
      </c>
      <c r="G216" s="11">
        <f>[1]!EM_S_PQ_PCTCHANGE(B216,"2018-12-31","2019-12-30","1")</f>
        <v>86.337209299999998</v>
      </c>
      <c r="H216" s="11">
        <f>[1]!EM_S_FA_YOY_OR(B216,E216)</f>
        <v>12.5450028797</v>
      </c>
      <c r="I216" s="11">
        <f>[1]!EM_S_FA_GROSSPROFITMARGIN(B216,E216)</f>
        <v>35.315386871999998</v>
      </c>
      <c r="J216" s="11">
        <f>[1]!EM_S_FA_NETPROFITMARGIN(B216,E216)</f>
        <v>19.742833130299999</v>
      </c>
      <c r="K216" s="10">
        <f>[1]!EM_S_FA_ASSETSTURN(B216,E216)</f>
        <v>0.73870561913199995</v>
      </c>
      <c r="L216" s="12">
        <f>[1]!EM_HKS_VAL_MV(B216,"2019-12-31","2")</f>
        <v>42997974578.900002</v>
      </c>
      <c r="M216">
        <f>[1]!EM_S_VAL_PETTMDEDUCTED(B216,E216)</f>
        <v>8.2369316457766999</v>
      </c>
      <c r="N216" s="7">
        <f>[1]!EM_S_VAL_PBGOODWILLDEDUCTED(B216,E216)</f>
        <v>1.6296339917024201</v>
      </c>
      <c r="O216" s="7">
        <f>[1]!EM_S_VAL_PS_TTM(B216,E216)</f>
        <v>1.8495080175601299</v>
      </c>
      <c r="P216" s="7">
        <f>[1]!EM_S_VAL_PCF_NCFTTM(B216,E216)</f>
        <v>-30.138680352428</v>
      </c>
      <c r="Q216" s="7">
        <f>[1]!EM_S_VAL_DIVIDENDYIELD2(B216,E216,"2019-11-29")</f>
        <v>2.0609318996415769</v>
      </c>
      <c r="T216"/>
      <c r="U216">
        <f>[1]!EM_S_RATIO_EPS_TTM(B216,E216,"1")</f>
        <v>1.4595849436962838</v>
      </c>
      <c r="AT216" s="4" t="str">
        <f>[1]!EM_S_IPO_LISTEDDATE(B216)</f>
        <v>1997-06-06</v>
      </c>
    </row>
    <row r="217" spans="1:46">
      <c r="A217">
        <v>1544</v>
      </c>
      <c r="B217" t="str">
        <f>"300119"</f>
        <v>300119</v>
      </c>
      <c r="C217" t="s">
        <v>1409</v>
      </c>
      <c r="D217" t="str">
        <f>[1]!EM_S_INFO_INDEX_EM(B217,"1")</f>
        <v>农林牧渔</v>
      </c>
      <c r="E217" s="4">
        <f t="shared" si="3"/>
        <v>43465</v>
      </c>
      <c r="F217" s="11">
        <f>[1]!EM_S_PQ_PCTCHANGE(B217,"2018-01-01","2019-12-31","3")</f>
        <v>24.056214099999998</v>
      </c>
      <c r="G217" s="11">
        <f>[1]!EM_S_PQ_PCTCHANGE(B217,"2018-12-31","2019-12-30","1")</f>
        <v>86.284953400000006</v>
      </c>
      <c r="H217" s="11">
        <f>[1]!EM_S_FA_YOY_OR(B217,E217)</f>
        <v>13.608978318</v>
      </c>
      <c r="I217" s="11">
        <f>[1]!EM_S_FA_GROSSPROFITMARGIN(B217,E217)</f>
        <v>50.112568513299998</v>
      </c>
      <c r="J217" s="11">
        <f>[1]!EM_S_FA_NETPROFITMARGIN(B217,E217)</f>
        <v>11.853837048899999</v>
      </c>
      <c r="K217" s="10">
        <f>[1]!EM_S_FA_ASSETSTURN(B217,E217)</f>
        <v>0.40180121113400002</v>
      </c>
      <c r="L217" s="12">
        <f>[1]!EM_HKS_VAL_MV(B217,"2019-12-31","2")</f>
        <v>5844930540.3500004</v>
      </c>
      <c r="M217">
        <f>[1]!EM_S_VAL_PETTMDEDUCTED(B217,E217)</f>
        <v>33.291452074525097</v>
      </c>
      <c r="N217" s="7">
        <f>[1]!EM_S_VAL_PBGOODWILLDEDUCTED(B217,E217)</f>
        <v>1.5639385572973401</v>
      </c>
      <c r="O217" s="7">
        <f>[1]!EM_S_VAL_PS_TTM(B217,E217)</f>
        <v>2.57551331983603</v>
      </c>
      <c r="P217" s="7">
        <f>[1]!EM_S_VAL_PCF_NCFTTM(B217,E217)</f>
        <v>-53.945603418669499</v>
      </c>
      <c r="Q217" s="7">
        <f>[1]!EM_S_VAL_DIVIDENDYIELD2(B217,E217,"2019-11-29")</f>
        <v>1.1035436193222785</v>
      </c>
      <c r="T217"/>
      <c r="U217">
        <f>[1]!EM_S_RATIO_EPS_TTM(B217,E217,"1")</f>
        <v>0.2941428343429125</v>
      </c>
      <c r="AT217" s="4" t="str">
        <f>[1]!EM_S_IPO_LISTEDDATE(B217)</f>
        <v>2010-09-17</v>
      </c>
    </row>
    <row r="218" spans="1:46">
      <c r="A218">
        <v>3348</v>
      </c>
      <c r="B218" t="str">
        <f>"603308"</f>
        <v>603308</v>
      </c>
      <c r="C218" t="s">
        <v>2098</v>
      </c>
      <c r="D218" t="str">
        <f>[1]!EM_S_INFO_INDEX_EM(B218,"1")</f>
        <v>机械设备</v>
      </c>
      <c r="E218" s="4">
        <f t="shared" si="3"/>
        <v>43465</v>
      </c>
      <c r="F218" s="11">
        <f>[1]!EM_S_PQ_PCTCHANGE(B218,"2018-01-01","2019-12-31","3")</f>
        <v>-4.7552308300000004</v>
      </c>
      <c r="G218" s="11">
        <f>[1]!EM_S_PQ_PCTCHANGE(B218,"2018-12-31","2019-12-30","1")</f>
        <v>86.159600999999995</v>
      </c>
      <c r="H218" s="11">
        <f>[1]!EM_S_FA_YOY_OR(B218,E218)</f>
        <v>22.291178915700002</v>
      </c>
      <c r="I218" s="11">
        <f>[1]!EM_S_FA_GROSSPROFITMARGIN(B218,E218)</f>
        <v>35.643808640499998</v>
      </c>
      <c r="J218" s="11">
        <f>[1]!EM_S_FA_NETPROFITMARGIN(B218,E218)</f>
        <v>4.0417118823999996</v>
      </c>
      <c r="K218" s="10">
        <f>[1]!EM_S_FA_ASSETSTURN(B218,E218)</f>
        <v>0.226388845832</v>
      </c>
      <c r="L218" s="12">
        <f>[1]!EM_HKS_VAL_MV(B218,"2019-12-31","2")</f>
        <v>7324310910.8599997</v>
      </c>
      <c r="M218">
        <f>[1]!EM_S_VAL_PETTMDEDUCTED(B218,E218)</f>
        <v>95.428008480818207</v>
      </c>
      <c r="N218" s="7">
        <f>[1]!EM_S_VAL_PBGOODWILLDEDUCTED(B218,E218)</f>
        <v>1.2073554353435001</v>
      </c>
      <c r="O218" s="7">
        <f>[1]!EM_S_VAL_PS_TTM(B218,E218)</f>
        <v>2.1714372555105301</v>
      </c>
      <c r="P218" s="7">
        <f>[1]!EM_S_VAL_PCF_NCFTTM(B218,E218)</f>
        <v>36.528016603389702</v>
      </c>
      <c r="Q218" s="7">
        <f>[1]!EM_S_VAL_DIVIDENDYIELD2(B218,E218,"2019-11-29")</f>
        <v>0.39216614313905102</v>
      </c>
      <c r="T218"/>
      <c r="U218">
        <f>[1]!EM_S_RATIO_EPS_TTM(B218,E218,"1")</f>
        <v>0.16862254607383859</v>
      </c>
      <c r="AT218" s="4" t="str">
        <f>[1]!EM_S_IPO_LISTEDDATE(B218)</f>
        <v>2014-01-22</v>
      </c>
    </row>
    <row r="219" spans="1:46">
      <c r="A219">
        <v>1325</v>
      </c>
      <c r="B219" t="str">
        <f>"002822"</f>
        <v>002822</v>
      </c>
      <c r="C219" t="s">
        <v>1790</v>
      </c>
      <c r="D219" t="str">
        <f>[1]!EM_S_INFO_INDEX_EM(B219,"1")</f>
        <v>建筑</v>
      </c>
      <c r="E219" s="4">
        <f t="shared" si="3"/>
        <v>43465</v>
      </c>
      <c r="F219" s="11">
        <f>[1]!EM_S_PQ_PCTCHANGE(B219,"2018-01-01","2019-12-31","3")</f>
        <v>27.687764659999999</v>
      </c>
      <c r="G219" s="11">
        <f>[1]!EM_S_PQ_PCTCHANGE(B219,"2018-12-31","2019-12-30","1")</f>
        <v>85.90733591</v>
      </c>
      <c r="H219" s="11">
        <f>[1]!EM_S_FA_YOY_OR(B219,E219)</f>
        <v>30.655534864300002</v>
      </c>
      <c r="I219" s="11">
        <f>[1]!EM_S_FA_GROSSPROFITMARGIN(B219,E219)</f>
        <v>14.5778461182</v>
      </c>
      <c r="J219" s="11">
        <f>[1]!EM_S_FA_NETPROFITMARGIN(B219,E219)</f>
        <v>3.9819201182000001</v>
      </c>
      <c r="K219" s="10">
        <f>[1]!EM_S_FA_ASSETSTURN(B219,E219)</f>
        <v>0.93453073045299995</v>
      </c>
      <c r="L219" s="12">
        <f>[1]!EM_HKS_VAL_MV(B219,"2019-12-31","2")</f>
        <v>6758005040.9899998</v>
      </c>
      <c r="M219">
        <f>[1]!EM_S_VAL_PETTMDEDUCTED(B219,E219)</f>
        <v>17.740860500745601</v>
      </c>
      <c r="N219" s="7">
        <f>[1]!EM_S_VAL_PBGOODWILLDEDUCTED(B219,E219)</f>
        <v>1.4307366870073399</v>
      </c>
      <c r="O219" s="7">
        <f>[1]!EM_S_VAL_PS_TTM(B219,E219)</f>
        <v>0.78353848679503202</v>
      </c>
      <c r="P219" s="7">
        <f>[1]!EM_S_VAL_PCF_NCFTTM(B219,E219)</f>
        <v>-19.149051422789299</v>
      </c>
      <c r="Q219" s="7">
        <f>[1]!EM_S_VAL_DIVIDENDYIELD2(B219,E219,"2019-11-29")</f>
        <v>0.31521122425430564</v>
      </c>
      <c r="T219"/>
      <c r="U219">
        <f>[1]!EM_S_RATIO_EPS_TTM(B219,E219,"1")</f>
        <v>0.2784845672166667</v>
      </c>
      <c r="AT219" s="4" t="str">
        <f>[1]!EM_S_IPO_LISTEDDATE(B219)</f>
        <v>2016-11-29</v>
      </c>
    </row>
    <row r="220" spans="1:46">
      <c r="A220">
        <v>3223</v>
      </c>
      <c r="B220" t="str">
        <f>"603026"</f>
        <v>603026</v>
      </c>
      <c r="C220" t="s">
        <v>435</v>
      </c>
      <c r="D220" t="str">
        <f>[1]!EM_S_INFO_INDEX_EM(B220,"1")</f>
        <v>基础化工</v>
      </c>
      <c r="E220" s="4">
        <f t="shared" si="3"/>
        <v>43465</v>
      </c>
      <c r="F220" s="11">
        <f>[1]!EM_S_PQ_PCTCHANGE(B220,"2018-01-01","2019-12-31","3")</f>
        <v>46.49463471</v>
      </c>
      <c r="G220" s="11">
        <f>[1]!EM_S_PQ_PCTCHANGE(B220,"2018-12-31","2019-12-30","1")</f>
        <v>85.492227979999996</v>
      </c>
      <c r="H220" s="11">
        <f>[1]!EM_S_FA_YOY_OR(B220,E220)</f>
        <v>11.7377837478</v>
      </c>
      <c r="I220" s="11">
        <f>[1]!EM_S_FA_GROSSPROFITMARGIN(B220,E220)</f>
        <v>11.499942321600001</v>
      </c>
      <c r="J220" s="11">
        <f>[1]!EM_S_FA_NETPROFITMARGIN(B220,E220)</f>
        <v>3.8189961853000001</v>
      </c>
      <c r="K220" s="10">
        <f>[1]!EM_S_FA_ASSETSTURN(B220,E220)</f>
        <v>1.969596988747</v>
      </c>
      <c r="L220" s="12">
        <f>[1]!EM_HKS_VAL_MV(B220,"2019-12-31","2")</f>
        <v>7097853600</v>
      </c>
      <c r="M220">
        <f>[1]!EM_S_VAL_PETTMDEDUCTED(B220,E220)</f>
        <v>17.276241062629101</v>
      </c>
      <c r="N220" s="7">
        <f>[1]!EM_S_VAL_PBGOODWILLDEDUCTED(B220,E220)</f>
        <v>2.4205412704900899</v>
      </c>
      <c r="O220" s="7">
        <f>[1]!EM_S_VAL_PS_TTM(B220,E220)</f>
        <v>0.74547081342517496</v>
      </c>
      <c r="P220" s="7">
        <f>[1]!EM_S_VAL_PCF_NCFTTM(B220,E220)</f>
        <v>258.06927761245998</v>
      </c>
      <c r="Q220" s="7">
        <f>[1]!EM_S_VAL_DIVIDENDYIELD2(B220,E220,"2019-11-29")</f>
        <v>1.692524682651622</v>
      </c>
      <c r="T220"/>
      <c r="U220">
        <f>[1]!EM_S_RATIO_EPS_TTM(B220,E220,"1")</f>
        <v>1.0133876612887309</v>
      </c>
      <c r="AT220" s="4" t="str">
        <f>[1]!EM_S_IPO_LISTEDDATE(B220)</f>
        <v>2015-05-29</v>
      </c>
    </row>
    <row r="221" spans="1:46">
      <c r="A221">
        <v>947</v>
      </c>
      <c r="B221" t="str">
        <f>"002436"</f>
        <v>002436</v>
      </c>
      <c r="C221" t="s">
        <v>2373</v>
      </c>
      <c r="D221" t="str">
        <f>[1]!EM_S_INFO_INDEX_EM(B221,"1")</f>
        <v>电子设备</v>
      </c>
      <c r="E221" s="4">
        <f t="shared" si="3"/>
        <v>43465</v>
      </c>
      <c r="F221" s="11">
        <f>[1]!EM_S_PQ_PCTCHANGE(B221,"2018-01-01","2019-12-31","3")</f>
        <v>40.581038679999999</v>
      </c>
      <c r="G221" s="11">
        <f>[1]!EM_S_PQ_PCTCHANGE(B221,"2018-12-31","2019-12-30","1")</f>
        <v>85.398230089999998</v>
      </c>
      <c r="H221" s="11">
        <f>[1]!EM_S_FA_YOY_OR(B221,E221)</f>
        <v>5.7964010435000004</v>
      </c>
      <c r="I221" s="11">
        <f>[1]!EM_S_FA_GROSSPROFITMARGIN(B221,E221)</f>
        <v>29.561209071</v>
      </c>
      <c r="J221" s="11">
        <f>[1]!EM_S_FA_NETPROFITMARGIN(B221,E221)</f>
        <v>6.9400077770999999</v>
      </c>
      <c r="K221" s="10">
        <f>[1]!EM_S_FA_ASSETSTURN(B221,E221)</f>
        <v>0.75790453248</v>
      </c>
      <c r="L221" s="12">
        <f>[1]!EM_HKS_VAL_MV(B221,"2019-12-31","2")</f>
        <v>12111567082.559999</v>
      </c>
      <c r="M221">
        <f>[1]!EM_S_VAL_PETTMDEDUCTED(B221,E221)</f>
        <v>44.642015452208902</v>
      </c>
      <c r="N221" s="7">
        <f>[1]!EM_S_VAL_PBGOODWILLDEDUCTED(B221,E221)</f>
        <v>2.9196397637308902</v>
      </c>
      <c r="O221" s="7">
        <f>[1]!EM_S_VAL_PS_TTM(B221,E221)</f>
        <v>1.9725804504662501</v>
      </c>
      <c r="P221" s="7">
        <f>[1]!EM_S_VAL_PCF_NCFTTM(B221,E221)</f>
        <v>-205.16280392452001</v>
      </c>
      <c r="Q221" s="7">
        <f>[1]!EM_S_VAL_DIVIDENDYIELD2(B221,E221,"2019-11-29")</f>
        <v>0.85592011412268176</v>
      </c>
      <c r="T221"/>
      <c r="U221">
        <f>[1]!EM_S_RATIO_EPS_TTM(B221,E221,"1")</f>
        <v>0.14431059435667717</v>
      </c>
      <c r="AT221" s="4" t="str">
        <f>[1]!EM_S_IPO_LISTEDDATE(B221)</f>
        <v>2010-06-18</v>
      </c>
    </row>
    <row r="222" spans="1:46">
      <c r="A222">
        <v>2937</v>
      </c>
      <c r="B222" t="str">
        <f>"600864"</f>
        <v>600864</v>
      </c>
      <c r="C222" t="s">
        <v>2923</v>
      </c>
      <c r="D222" t="str">
        <f>[1]!EM_S_INFO_INDEX_EM(B222,"1")</f>
        <v>金融</v>
      </c>
      <c r="E222" s="4">
        <f t="shared" si="3"/>
        <v>43465</v>
      </c>
      <c r="F222" s="11">
        <f>[1]!EM_S_PQ_PCTCHANGE(B222,"2018-01-01","2019-12-31","3")</f>
        <v>3.8449289100000001</v>
      </c>
      <c r="G222" s="11">
        <f>[1]!EM_S_PQ_PCTCHANGE(B222,"2018-12-31","2019-12-30","1")</f>
        <v>85.168539330000002</v>
      </c>
      <c r="H222" s="11">
        <f>[1]!EM_S_FA_YOY_OR(B222,E222)</f>
        <v>0.38558334220000001</v>
      </c>
      <c r="I222" s="11">
        <f>[1]!EM_S_FA_GROSSPROFITMARGIN(B222,E222)</f>
        <v>14.2381827096</v>
      </c>
      <c r="J222" s="11">
        <f>[1]!EM_S_FA_NETPROFITMARGIN(B222,E222)</f>
        <v>-14.603518792999999</v>
      </c>
      <c r="K222" s="10">
        <f>[1]!EM_S_FA_ASSETSTURN(B222,E222)</f>
        <v>6.4956685082000004E-2</v>
      </c>
      <c r="L222" s="12">
        <f>[1]!EM_HKS_VAL_MV(B222,"2019-12-31","2")</f>
        <v>16769398391.200001</v>
      </c>
      <c r="M222">
        <f>[1]!EM_S_VAL_PETTMDEDUCTED(B222,E222)</f>
        <v>-40.556821319461001</v>
      </c>
      <c r="N222" s="7">
        <f>[1]!EM_S_VAL_PBGOODWILLDEDUCTED(B222,E222)</f>
        <v>0.74897064969353699</v>
      </c>
      <c r="O222" s="7">
        <f>[1]!EM_S_VAL_PS_TTM(B222,E222)</f>
        <v>3.4623463167083299</v>
      </c>
      <c r="P222" s="7">
        <f>[1]!EM_S_VAL_PCF_NCFTTM(B222,E222)</f>
        <v>-14.966317107584899</v>
      </c>
      <c r="Q222" s="7">
        <f>[1]!EM_S_VAL_DIVIDENDYIELD2(B222,E222,"2019-11-29")</f>
        <v>0</v>
      </c>
      <c r="T222"/>
      <c r="U222">
        <f>[1]!EM_S_RATIO_EPS_TTM(B222,E222,"1")</f>
        <v>-6.7373966962042522E-2</v>
      </c>
      <c r="AT222" s="4" t="str">
        <f>[1]!EM_S_IPO_LISTEDDATE(B222)</f>
        <v>1994-08-09</v>
      </c>
    </row>
    <row r="223" spans="1:46">
      <c r="A223">
        <v>74</v>
      </c>
      <c r="B223" t="str">
        <f>"000157"</f>
        <v>000157</v>
      </c>
      <c r="C223" t="s">
        <v>2239</v>
      </c>
      <c r="D223" t="str">
        <f>[1]!EM_S_INFO_INDEX_EM(B223,"1")</f>
        <v>机械设备</v>
      </c>
      <c r="E223" s="4">
        <f t="shared" si="3"/>
        <v>43465</v>
      </c>
      <c r="F223" s="11">
        <f>[1]!EM_S_PQ_PCTCHANGE(B223,"2018-01-01","2019-12-31","3")</f>
        <v>63.340543699999998</v>
      </c>
      <c r="G223" s="11">
        <f>[1]!EM_S_PQ_PCTCHANGE(B223,"2018-12-31","2019-12-30","1")</f>
        <v>84.831460669999998</v>
      </c>
      <c r="H223" s="11">
        <f>[1]!EM_S_FA_YOY_OR(B223,E223)</f>
        <v>23.304575878000001</v>
      </c>
      <c r="I223" s="11">
        <f>[1]!EM_S_FA_GROSSPROFITMARGIN(B223,E223)</f>
        <v>27.088487923700001</v>
      </c>
      <c r="J223" s="11">
        <f>[1]!EM_S_FA_NETPROFITMARGIN(B223,E223)</f>
        <v>6.8183500715000003</v>
      </c>
      <c r="K223" s="10">
        <f>[1]!EM_S_FA_ASSETSTURN(B223,E223)</f>
        <v>0.32497863592699999</v>
      </c>
      <c r="L223" s="12">
        <f>[1]!EM_HKS_VAL_MV(B223,"2019-12-31","2")</f>
        <v>52604832051.440002</v>
      </c>
      <c r="M223">
        <f>[1]!EM_S_VAL_PETTMDEDUCTED(B223,E223)</f>
        <v>31.8359378155142</v>
      </c>
      <c r="N223" s="7">
        <f>[1]!EM_S_VAL_PBGOODWILLDEDUCTED(B223,E223)</f>
        <v>0.76963993140262998</v>
      </c>
      <c r="O223" s="7">
        <f>[1]!EM_S_VAL_PS_TTM(B223,E223)</f>
        <v>1.0510678932281901</v>
      </c>
      <c r="P223" s="7">
        <f>[1]!EM_S_VAL_PCF_NCFTTM(B223,E223)</f>
        <v>-8.7861761009619102</v>
      </c>
      <c r="Q223" s="7">
        <f>[1]!EM_S_VAL_DIVIDENDYIELD2(B223,E223,"2019-11-29")</f>
        <v>4.1904421610469038</v>
      </c>
      <c r="T223"/>
      <c r="U223">
        <f>[1]!EM_S_RATIO_EPS_TTM(B223,E223,"1")</f>
        <v>0.2586729238310535</v>
      </c>
      <c r="AT223" s="4" t="str">
        <f>[1]!EM_S_IPO_LISTEDDATE(B223)</f>
        <v>2000-10-12</v>
      </c>
    </row>
    <row r="224" spans="1:46">
      <c r="A224">
        <v>2082</v>
      </c>
      <c r="B224" t="str">
        <f>"300663"</f>
        <v>300663</v>
      </c>
      <c r="C224" t="s">
        <v>3567</v>
      </c>
      <c r="D224" t="str">
        <f>[1]!EM_S_INFO_INDEX_EM(B224,"1")</f>
        <v>金融</v>
      </c>
      <c r="E224" s="4">
        <f t="shared" si="3"/>
        <v>43465</v>
      </c>
      <c r="F224" s="11">
        <f>[1]!EM_S_PQ_PCTCHANGE(B224,"2018-01-01","2019-12-31","3")</f>
        <v>169.75943237000001</v>
      </c>
      <c r="G224" s="11">
        <f>[1]!EM_S_PQ_PCTCHANGE(B224,"2018-12-31","2019-12-30","1")</f>
        <v>84.765342959999998</v>
      </c>
      <c r="H224" s="11">
        <f>[1]!EM_S_FA_YOY_OR(B224,E224)</f>
        <v>12.358355868</v>
      </c>
      <c r="I224" s="11">
        <f>[1]!EM_S_FA_GROSSPROFITMARGIN(B224,E224)</f>
        <v>41.172659130200003</v>
      </c>
      <c r="J224" s="11">
        <f>[1]!EM_S_FA_NETPROFITMARGIN(B224,E224)</f>
        <v>5.5871331101999999</v>
      </c>
      <c r="K224" s="10">
        <f>[1]!EM_S_FA_ASSETSTURN(B224,E224)</f>
        <v>0.59273288645300004</v>
      </c>
      <c r="L224" s="12">
        <f>[1]!EM_HKS_VAL_MV(B224,"2019-12-31","2")</f>
        <v>7702974383.1499996</v>
      </c>
      <c r="M224">
        <f>[1]!EM_S_VAL_PETTMDEDUCTED(B224,E224)</f>
        <v>78.981428025445098</v>
      </c>
      <c r="N224" s="7">
        <f>[1]!EM_S_VAL_PBGOODWILLDEDUCTED(B224,E224)</f>
        <v>4.1073844824110504</v>
      </c>
      <c r="O224" s="7">
        <f>[1]!EM_S_VAL_PS_TTM(B224,E224)</f>
        <v>4.0139659156188197</v>
      </c>
      <c r="P224" s="7">
        <f>[1]!EM_S_VAL_PCF_NCFTTM(B224,E224)</f>
        <v>27.653432983736501</v>
      </c>
      <c r="Q224" s="7">
        <f>[1]!EM_S_VAL_DIVIDENDYIELD2(B224,E224,"2019-11-29")</f>
        <v>9.3557872381474061E-2</v>
      </c>
      <c r="T224"/>
      <c r="U224">
        <f>[1]!EM_S_RATIO_EPS_TTM(B224,E224,"1")</f>
        <v>0.21133318546900179</v>
      </c>
      <c r="AT224" s="4" t="str">
        <f>[1]!EM_S_IPO_LISTEDDATE(B224)</f>
        <v>2017-06-08</v>
      </c>
    </row>
    <row r="225" spans="1:46">
      <c r="A225">
        <v>3228</v>
      </c>
      <c r="B225" t="str">
        <f>"603031"</f>
        <v>603031</v>
      </c>
      <c r="C225" t="s">
        <v>2305</v>
      </c>
      <c r="D225" t="str">
        <f>[1]!EM_S_INFO_INDEX_EM(B225,"1")</f>
        <v>商贸零售</v>
      </c>
      <c r="E225" s="4">
        <f t="shared" si="3"/>
        <v>43465</v>
      </c>
      <c r="F225" s="11">
        <f>[1]!EM_S_PQ_PCTCHANGE(B225,"2018-01-01","2019-12-31","3")</f>
        <v>39.886576030000001</v>
      </c>
      <c r="G225" s="11">
        <f>[1]!EM_S_PQ_PCTCHANGE(B225,"2018-12-31","2019-12-30","1")</f>
        <v>84.272497900000005</v>
      </c>
      <c r="H225" s="11">
        <f>[1]!EM_S_FA_YOY_OR(B225,E225)</f>
        <v>5.7261713033000001</v>
      </c>
      <c r="I225" s="11">
        <f>[1]!EM_S_FA_GROSSPROFITMARGIN(B225,E225)</f>
        <v>19.7048539223</v>
      </c>
      <c r="J225" s="11">
        <f>[1]!EM_S_FA_NETPROFITMARGIN(B225,E225)</f>
        <v>0.32492453999999998</v>
      </c>
      <c r="K225" s="10">
        <f>[1]!EM_S_FA_ASSETSTURN(B225,E225)</f>
        <v>1.0853850052089999</v>
      </c>
      <c r="L225" s="12">
        <f>[1]!EM_HKS_VAL_MV(B225,"2019-12-31","2")</f>
        <v>2699200000</v>
      </c>
      <c r="M225">
        <f>[1]!EM_S_VAL_PETTMDEDUCTED(B225,E225)</f>
        <v>78.586471890635806</v>
      </c>
      <c r="N225" s="7">
        <f>[1]!EM_S_VAL_PBGOODWILLDEDUCTED(B225,E225)</f>
        <v>2.2066765105477102</v>
      </c>
      <c r="O225" s="7">
        <f>[1]!EM_S_VAL_PS_TTM(B225,E225)</f>
        <v>0.72928809025216701</v>
      </c>
      <c r="P225" s="7">
        <f>[1]!EM_S_VAL_PCF_NCFTTM(B225,E225)</f>
        <v>26.9138435720273</v>
      </c>
      <c r="Q225" s="7">
        <f>[1]!EM_S_VAL_DIVIDENDYIELD2(B225,E225,"2019-11-29")</f>
        <v>0</v>
      </c>
      <c r="T225"/>
      <c r="U225">
        <f>[1]!EM_S_RATIO_EPS_TTM(B225,E225,"1")</f>
        <v>5.230541392857143E-2</v>
      </c>
      <c r="AT225" s="4" t="str">
        <f>[1]!EM_S_IPO_LISTEDDATE(B225)</f>
        <v>2016-08-22</v>
      </c>
    </row>
    <row r="226" spans="1:46">
      <c r="A226">
        <v>1460</v>
      </c>
      <c r="B226" t="str">
        <f>"300034"</f>
        <v>300034</v>
      </c>
      <c r="C226" t="s">
        <v>1779</v>
      </c>
      <c r="D226" t="str">
        <f>[1]!EM_S_INFO_INDEX_EM(B226,"1")</f>
        <v>机械设备</v>
      </c>
      <c r="E226" s="4">
        <f t="shared" si="3"/>
        <v>43465</v>
      </c>
      <c r="F226" s="11">
        <f>[1]!EM_S_PQ_PCTCHANGE(B226,"2018-01-01","2019-12-31","3")</f>
        <v>31.55322129</v>
      </c>
      <c r="G226" s="11">
        <f>[1]!EM_S_PQ_PCTCHANGE(B226,"2018-12-31","2019-12-30","1")</f>
        <v>84.186046509999997</v>
      </c>
      <c r="H226" s="11">
        <f>[1]!EM_S_FA_YOY_OR(B226,E226)</f>
        <v>32.252856326699998</v>
      </c>
      <c r="I226" s="11">
        <f>[1]!EM_S_FA_GROSSPROFITMARGIN(B226,E226)</f>
        <v>29.359930010500001</v>
      </c>
      <c r="J226" s="11">
        <f>[1]!EM_S_FA_NETPROFITMARGIN(B226,E226)</f>
        <v>13.482579916400001</v>
      </c>
      <c r="K226" s="10">
        <f>[1]!EM_S_FA_ASSETSTURN(B226,E226)</f>
        <v>0.39821431566299997</v>
      </c>
      <c r="L226" s="12">
        <f>[1]!EM_HKS_VAL_MV(B226,"2019-12-31","2")</f>
        <v>7495374428.5200005</v>
      </c>
      <c r="M226">
        <f>[1]!EM_S_VAL_PETTMDEDUCTED(B226,E226)</f>
        <v>50.383937245644503</v>
      </c>
      <c r="N226" s="7">
        <f>[1]!EM_S_VAL_PBGOODWILLDEDUCTED(B226,E226)</f>
        <v>2.61687618149882</v>
      </c>
      <c r="O226" s="7">
        <f>[1]!EM_S_VAL_PS_TTM(B226,E226)</f>
        <v>5.3328126490995098</v>
      </c>
      <c r="P226" s="7">
        <f>[1]!EM_S_VAL_PCF_NCFTTM(B226,E226)</f>
        <v>-103.920124739402</v>
      </c>
      <c r="Q226" s="7">
        <f>[1]!EM_S_VAL_DIVIDENDYIELD2(B226,E226,"2019-11-29")</f>
        <v>0.76218346592176689</v>
      </c>
      <c r="T226"/>
      <c r="U226">
        <f>[1]!EM_S_RATIO_EPS_TTM(B226,E226,"1")</f>
        <v>0.23784436736564946</v>
      </c>
      <c r="AT226" s="4" t="str">
        <f>[1]!EM_S_IPO_LISTEDDATE(B226)</f>
        <v>2009-12-25</v>
      </c>
    </row>
    <row r="227" spans="1:46">
      <c r="A227">
        <v>2240</v>
      </c>
      <c r="B227" t="str">
        <f>"600093"</f>
        <v>600093</v>
      </c>
      <c r="C227" t="s">
        <v>743</v>
      </c>
      <c r="D227" t="str">
        <f>[1]!EM_S_INFO_INDEX_EM(B227,"1")</f>
        <v>金融</v>
      </c>
      <c r="E227" s="4">
        <f t="shared" si="3"/>
        <v>43465</v>
      </c>
      <c r="F227" s="11">
        <f>[1]!EM_S_PQ_PCTCHANGE(B227,"2018-01-01","2019-12-31","3")</f>
        <v>34.749034809999998</v>
      </c>
      <c r="G227" s="11">
        <f>[1]!EM_S_PQ_PCTCHANGE(B227,"2018-12-31","2019-12-30","1")</f>
        <v>84.036939309999994</v>
      </c>
      <c r="H227" s="11">
        <f>[1]!EM_S_FA_YOY_OR(B227,E227)</f>
        <v>-12.226529795199999</v>
      </c>
      <c r="I227" s="11">
        <f>[1]!EM_S_FA_GROSSPROFITMARGIN(B227,E227)</f>
        <v>3.0357126736</v>
      </c>
      <c r="J227" s="11">
        <f>[1]!EM_S_FA_NETPROFITMARGIN(B227,E227)</f>
        <v>6.2831673618000004</v>
      </c>
      <c r="K227" s="10">
        <f>[1]!EM_S_FA_ASSETSTURN(B227,E227)</f>
        <v>0.96606097746999997</v>
      </c>
      <c r="L227" s="12">
        <f>[1]!EM_HKS_VAL_MV(B227,"2019-12-31","2")</f>
        <v>15669367100</v>
      </c>
      <c r="M227">
        <f>[1]!EM_S_VAL_PETTMDEDUCTED(B227,E227)</f>
        <v>9.7465864954002104</v>
      </c>
      <c r="N227" s="7">
        <f>[1]!EM_S_VAL_PBGOODWILLDEDUCTED(B227,E227)</f>
        <v>1.2014283421035199</v>
      </c>
      <c r="O227" s="7">
        <f>[1]!EM_S_VAL_PS_TTM(B227,E227)</f>
        <v>0.46637087807464001</v>
      </c>
      <c r="P227" s="7">
        <f>[1]!EM_S_VAL_PCF_NCFTTM(B227,E227)</f>
        <v>-21.451821093504499</v>
      </c>
      <c r="Q227" s="7">
        <f>[1]!EM_S_VAL_DIVIDENDYIELD2(B227,E227,"2019-11-29")</f>
        <v>0</v>
      </c>
      <c r="T227"/>
      <c r="U227">
        <f>[1]!EM_S_RATIO_EPS_TTM(B227,E227,"1")</f>
        <v>0.72516422907975653</v>
      </c>
      <c r="AT227" s="4" t="str">
        <f>[1]!EM_S_IPO_LISTEDDATE(B227)</f>
        <v>1997-06-26</v>
      </c>
    </row>
    <row r="228" spans="1:46">
      <c r="A228">
        <v>61</v>
      </c>
      <c r="B228" t="str">
        <f>"000070"</f>
        <v>000070</v>
      </c>
      <c r="C228" t="s">
        <v>1043</v>
      </c>
      <c r="D228" t="str">
        <f>[1]!EM_S_INFO_INDEX_EM(B228,"1")</f>
        <v>信息技术</v>
      </c>
      <c r="E228" s="4">
        <f t="shared" si="3"/>
        <v>43465</v>
      </c>
      <c r="F228" s="11">
        <f>[1]!EM_S_PQ_PCTCHANGE(B228,"2018-01-01","2019-12-31","3")</f>
        <v>40.339285169999997</v>
      </c>
      <c r="G228" s="11">
        <f>[1]!EM_S_PQ_PCTCHANGE(B228,"2019-01-01","2019-12-31","3")</f>
        <v>83.833072110000003</v>
      </c>
      <c r="H228" s="11">
        <f>[1]!EM_S_FA_YOY_OR(B228,E228)</f>
        <v>4.2558705993999997</v>
      </c>
      <c r="I228" s="11">
        <f>[1]!EM_S_FA_GROSSPROFITMARGIN(B228,E228)</f>
        <v>16.296074769600001</v>
      </c>
      <c r="J228" s="11">
        <f>[1]!EM_S_FA_NETPROFITMARGIN(B228,E228)</f>
        <v>5.4886490614000003</v>
      </c>
      <c r="K228" s="10">
        <f>[1]!EM_S_FA_ASSETSTURN(B228,E228)</f>
        <v>0.83664635907499996</v>
      </c>
      <c r="L228" s="12">
        <f>[1]!EM_HKS_VAL_MV(B228,"2019-12-31","2")</f>
        <v>8842774944.1499996</v>
      </c>
      <c r="M228">
        <f>[1]!EM_S_VAL_PETTMDEDUCTED(B228,E228)</f>
        <v>19.1693873262662</v>
      </c>
      <c r="N228" s="7">
        <f>[1]!EM_S_VAL_PBGOODWILLDEDUCTED(B228,E228)</f>
        <v>2.5040742823181099</v>
      </c>
      <c r="O228" s="7">
        <f>[1]!EM_S_VAL_PS_TTM(B228,E228)</f>
        <v>0.77482459924755598</v>
      </c>
      <c r="P228" s="7">
        <f>[1]!EM_S_VAL_PCF_NCFTTM(B228,E228)</f>
        <v>185.900601087697</v>
      </c>
      <c r="Q228" s="7">
        <f>[1]!EM_S_VAL_DIVIDENDYIELD2(B228,E228,"2019-11-29")</f>
        <v>0.33614929630017432</v>
      </c>
      <c r="T228"/>
      <c r="U228">
        <f>[1]!EM_S_RATIO_EPS_TTM(B228,E228,"1")</f>
        <v>0.43963764603858413</v>
      </c>
      <c r="AT228" s="4" t="str">
        <f>[1]!EM_S_IPO_LISTEDDATE(B228)</f>
        <v>2000-05-11</v>
      </c>
    </row>
    <row r="229" spans="1:46">
      <c r="A229">
        <v>241</v>
      </c>
      <c r="B229" t="str">
        <f>"000651"</f>
        <v>000651</v>
      </c>
      <c r="C229" t="s">
        <v>119</v>
      </c>
      <c r="D229" t="str">
        <f>[1]!EM_S_INFO_INDEX_EM(B229,"1")</f>
        <v>家电</v>
      </c>
      <c r="E229" s="4">
        <f t="shared" si="3"/>
        <v>43465</v>
      </c>
      <c r="F229" s="11">
        <f>[1]!EM_S_PQ_PCTCHANGE(B229,"2018-01-01","2019-12-31","3")</f>
        <v>56.530205819999999</v>
      </c>
      <c r="G229" s="11">
        <f>[1]!EM_S_PQ_PCTCHANGE(B229,"2018-12-31","2019-12-30","1")</f>
        <v>83.748949289999999</v>
      </c>
      <c r="H229" s="11">
        <f>[1]!EM_S_FA_YOY_OR(B229,E229)</f>
        <v>33.608416038400001</v>
      </c>
      <c r="I229" s="11">
        <f>[1]!EM_S_FA_GROSSPROFITMARGIN(B229,E229)</f>
        <v>30.228169281500001</v>
      </c>
      <c r="J229" s="11">
        <f>[1]!EM_S_FA_NETPROFITMARGIN(B229,E229)</f>
        <v>13.314459322199999</v>
      </c>
      <c r="K229" s="10">
        <f>[1]!EM_S_FA_ASSETSTURN(B229,E229)</f>
        <v>0.85809983892099995</v>
      </c>
      <c r="L229" s="12">
        <f>[1]!EM_HKS_VAL_MV(B229,"2019-12-31","2")</f>
        <v>394511630979.23999</v>
      </c>
      <c r="M229">
        <f>[1]!EM_S_VAL_PETTMDEDUCTED(B229,E229)</f>
        <v>7.9790784415212297</v>
      </c>
      <c r="N229" s="7">
        <f>[1]!EM_S_VAL_PBGOODWILLDEDUCTED(B229,E229)</f>
        <v>2.3522404951595299</v>
      </c>
      <c r="O229" s="7">
        <f>[1]!EM_S_VAL_PS_TTM(B229,E229)</f>
        <v>1.14176764818762</v>
      </c>
      <c r="P229" s="7">
        <f>[1]!EM_S_VAL_PCF_NCFTTM(B229,E229)</f>
        <v>-7.9953253821833501</v>
      </c>
      <c r="Q229" s="7">
        <f>[1]!EM_S_VAL_DIVIDENDYIELD2(B229,E229,"2019-11-29")</f>
        <v>2.5992029111072603</v>
      </c>
      <c r="U229">
        <f>[1]!EM_S_RATIO_EPS_TTM(B229,E229,"1")</f>
        <v>4.3557114194130007</v>
      </c>
      <c r="AT229" s="4" t="str">
        <f>[1]!EM_S_IPO_LISTEDDATE(B229)</f>
        <v>1996-11-18</v>
      </c>
    </row>
    <row r="230" spans="1:46">
      <c r="A230">
        <v>3379</v>
      </c>
      <c r="B230" t="str">
        <f>"603363"</f>
        <v>603363</v>
      </c>
      <c r="C230" t="s">
        <v>1622</v>
      </c>
      <c r="D230" t="str">
        <f>[1]!EM_S_INFO_INDEX_EM(B230,"1")</f>
        <v>农林牧渔</v>
      </c>
      <c r="E230" s="4">
        <f t="shared" si="3"/>
        <v>43465</v>
      </c>
      <c r="F230" s="11">
        <f>[1]!EM_S_PQ_PCTCHANGE(B230,"2018-01-01","2019-12-31","3")</f>
        <v>-3.84749381</v>
      </c>
      <c r="G230" s="11">
        <f>[1]!EM_S_PQ_PCTCHANGE(B230,"2018-12-31","2019-12-30","1")</f>
        <v>83.571428569999995</v>
      </c>
      <c r="H230" s="11">
        <f>[1]!EM_S_FA_YOY_OR(B230,E230)</f>
        <v>17.5258294988</v>
      </c>
      <c r="I230" s="11">
        <f>[1]!EM_S_FA_GROSSPROFITMARGIN(B230,E230)</f>
        <v>13.6961876693</v>
      </c>
      <c r="J230" s="11">
        <f>[1]!EM_S_FA_NETPROFITMARGIN(B230,E230)</f>
        <v>0.17776253189999999</v>
      </c>
      <c r="K230" s="10">
        <f>[1]!EM_S_FA_ASSETSTURN(B230,E230)</f>
        <v>1.9721993452990001</v>
      </c>
      <c r="L230" s="12">
        <f>[1]!EM_HKS_VAL_MV(B230,"2019-12-31","2")</f>
        <v>6877819080</v>
      </c>
      <c r="M230">
        <f>[1]!EM_S_VAL_PETTMDEDUCTED(B230,E230)</f>
        <v>93.948093288302204</v>
      </c>
      <c r="N230" s="7">
        <f>[1]!EM_S_VAL_PBGOODWILLDEDUCTED(B230,E230)</f>
        <v>4.51247795500643</v>
      </c>
      <c r="O230" s="7">
        <f>[1]!EM_S_VAL_PS_TTM(B230,E230)</f>
        <v>0.63053331676693802</v>
      </c>
      <c r="P230" s="7">
        <f>[1]!EM_S_VAL_PCF_NCFTTM(B230,E230)</f>
        <v>-20.458047350671301</v>
      </c>
      <c r="Q230" s="7">
        <f>[1]!EM_S_VAL_DIVIDENDYIELD2(B230,E230,"2019-11-29")</f>
        <v>0.15384615384615385</v>
      </c>
      <c r="T230"/>
      <c r="U230">
        <f>[1]!EM_S_RATIO_EPS_TTM(B230,E230,"1")</f>
        <v>7.0720818606507349E-2</v>
      </c>
      <c r="AT230" s="4" t="str">
        <f>[1]!EM_S_IPO_LISTEDDATE(B230)</f>
        <v>2017-09-26</v>
      </c>
    </row>
    <row r="231" spans="1:46">
      <c r="A231">
        <v>1303</v>
      </c>
      <c r="B231" t="str">
        <f>"002798"</f>
        <v>002798</v>
      </c>
      <c r="C231" t="s">
        <v>1270</v>
      </c>
      <c r="D231" t="str">
        <f>[1]!EM_S_INFO_INDEX_EM(B231,"1")</f>
        <v>轻工制造</v>
      </c>
      <c r="E231" s="4">
        <f t="shared" si="3"/>
        <v>43465</v>
      </c>
      <c r="F231" s="11">
        <f>[1]!EM_S_PQ_PCTCHANGE(B231,"2018-01-01","2019-12-31","3")</f>
        <v>33.927225579999998</v>
      </c>
      <c r="G231" s="11">
        <f>[1]!EM_S_PQ_PCTCHANGE(B231,"2018-12-31","2019-12-30","1")</f>
        <v>83.445190159999996</v>
      </c>
      <c r="H231" s="11">
        <f>[1]!EM_S_FA_YOY_OR(B231,E231)</f>
        <v>707.30927713230005</v>
      </c>
      <c r="I231" s="11">
        <f>[1]!EM_S_FA_GROSSPROFITMARGIN(B231,E231)</f>
        <v>35.002883877400002</v>
      </c>
      <c r="J231" s="11">
        <f>[1]!EM_S_FA_NETPROFITMARGIN(B231,E231)</f>
        <v>8.7211194602000006</v>
      </c>
      <c r="K231" s="10">
        <f>[1]!EM_S_FA_ASSETSTURN(B231,E231)</f>
        <v>1.2168971564910001</v>
      </c>
      <c r="L231" s="12">
        <f>[1]!EM_HKS_VAL_MV(B231,"2019-12-31","2")</f>
        <v>9643262128.2000008</v>
      </c>
      <c r="M231">
        <f>[1]!EM_S_VAL_PETTMDEDUCTED(B231,E231)</f>
        <v>18.334376022435698</v>
      </c>
      <c r="N231" s="7">
        <f>[1]!EM_S_VAL_PBGOODWILLDEDUCTED(B231,E231)</f>
        <v>1.8962411133961801</v>
      </c>
      <c r="O231" s="7">
        <f>[1]!EM_S_VAL_PS_TTM(B231,E231)</f>
        <v>1.5469388660663499</v>
      </c>
      <c r="P231" s="7">
        <f>[1]!EM_S_VAL_PCF_NCFTTM(B231,E231)</f>
        <v>39.602418756990502</v>
      </c>
      <c r="Q231" s="7">
        <f>[1]!EM_S_VAL_DIVIDENDYIELD2(B231,E231,"2019-11-29")</f>
        <v>1.3150707107803683</v>
      </c>
      <c r="T231"/>
      <c r="U231">
        <f>[1]!EM_S_RATIO_EPS_TTM(B231,E231,"1")</f>
        <v>0.98758449824655503</v>
      </c>
      <c r="AT231" s="4" t="str">
        <f>[1]!EM_S_IPO_LISTEDDATE(B231)</f>
        <v>2016-05-25</v>
      </c>
    </row>
    <row r="232" spans="1:46">
      <c r="A232">
        <v>2342</v>
      </c>
      <c r="B232" t="str">
        <f>"600206"</f>
        <v>600206</v>
      </c>
      <c r="C232" t="s">
        <v>3050</v>
      </c>
      <c r="D232" t="str">
        <f>[1]!EM_S_INFO_INDEX_EM(B232,"1")</f>
        <v>有色金属</v>
      </c>
      <c r="E232" s="4">
        <f t="shared" si="3"/>
        <v>43465</v>
      </c>
      <c r="F232" s="11">
        <f>[1]!EM_S_PQ_PCTCHANGE(B232,"2018-01-01","2019-12-31","3")</f>
        <v>1.9431406899999999</v>
      </c>
      <c r="G232" s="11">
        <f>[1]!EM_S_PQ_PCTCHANGE(B232,"2018-12-31","2019-12-30","1")</f>
        <v>83.307810110000005</v>
      </c>
      <c r="H232" s="11">
        <f>[1]!EM_S_FA_YOY_OR(B232,E232)</f>
        <v>16.871346751400001</v>
      </c>
      <c r="I232" s="11">
        <f>[1]!EM_S_FA_GROSSPROFITMARGIN(B232,E232)</f>
        <v>6.5162973653999998</v>
      </c>
      <c r="J232" s="11">
        <f>[1]!EM_S_FA_NETPROFITMARGIN(B232,E232)</f>
        <v>1.7303288059999999</v>
      </c>
      <c r="K232" s="10">
        <f>[1]!EM_S_FA_ASSETSTURN(B232,E232)</f>
        <v>1.3937165998800001</v>
      </c>
      <c r="L232" s="12">
        <f>[1]!EM_HKS_VAL_MV(B232,"2019-12-31","2")</f>
        <v>10329512250.4</v>
      </c>
      <c r="M232">
        <f>[1]!EM_S_VAL_PETTMDEDUCTED(B232,E232)</f>
        <v>441.96464956691398</v>
      </c>
      <c r="N232" s="7">
        <f>[1]!EM_S_VAL_PBGOODWILLDEDUCTED(B232,E232)</f>
        <v>1.8814660659881099</v>
      </c>
      <c r="O232" s="7">
        <f>[1]!EM_S_VAL_PS_TTM(B232,E232)</f>
        <v>1.2407370398612001</v>
      </c>
      <c r="P232" s="7">
        <f>[1]!EM_S_VAL_PCF_NCFTTM(B232,E232)</f>
        <v>-189.35464621350701</v>
      </c>
      <c r="Q232" s="7">
        <f>[1]!EM_S_VAL_DIVIDENDYIELD2(B232,E232,"2019-11-29")</f>
        <v>6.2996440214990665E-2</v>
      </c>
      <c r="T232"/>
      <c r="U232">
        <f>[1]!EM_S_RATIO_EPS_TTM(B232,E232,"1")</f>
        <v>9.3223706246330945E-2</v>
      </c>
      <c r="AT232" s="4" t="str">
        <f>[1]!EM_S_IPO_LISTEDDATE(B232)</f>
        <v>1999-03-19</v>
      </c>
    </row>
    <row r="233" spans="1:46">
      <c r="A233">
        <v>1201</v>
      </c>
      <c r="B233" t="str">
        <f>"002690"</f>
        <v>002690</v>
      </c>
      <c r="C233" t="s">
        <v>1401</v>
      </c>
      <c r="D233" t="str">
        <f>[1]!EM_S_INFO_INDEX_EM(B233,"1")</f>
        <v>机械设备</v>
      </c>
      <c r="E233" s="4">
        <f t="shared" si="3"/>
        <v>43465</v>
      </c>
      <c r="F233" s="11">
        <f>[1]!EM_S_PQ_PCTCHANGE(B233,"2018-01-01","2019-12-31","3")</f>
        <v>113.11419465</v>
      </c>
      <c r="G233" s="11">
        <f>[1]!EM_S_PQ_PCTCHANGE(B233,"2018-12-31","2019-12-30","1")</f>
        <v>82.612781949999999</v>
      </c>
      <c r="H233" s="11">
        <f>[1]!EM_S_FA_YOY_OR(B233,E233)</f>
        <v>13.325962502599999</v>
      </c>
      <c r="I233" s="11">
        <f>[1]!EM_S_FA_GROSSPROFITMARGIN(B233,E233)</f>
        <v>54.935752362400002</v>
      </c>
      <c r="J233" s="11">
        <f>[1]!EM_S_FA_NETPROFITMARGIN(B233,E233)</f>
        <v>36.112579553300002</v>
      </c>
      <c r="K233" s="10">
        <f>[1]!EM_S_FA_ASSETSTURN(B233,E233)</f>
        <v>0.454576614923</v>
      </c>
      <c r="L233" s="12">
        <f>[1]!EM_HKS_VAL_MV(B233,"2019-12-31","2")</f>
        <v>26431600000</v>
      </c>
      <c r="M233">
        <f>[1]!EM_S_VAL_PETTMDEDUCTED(B233,E233)</f>
        <v>39.402270871722898</v>
      </c>
      <c r="N233" s="7">
        <f>[1]!EM_S_VAL_PBGOODWILLDEDUCTED(B233,E233)</f>
        <v>6.2293648374289798</v>
      </c>
      <c r="O233" s="7">
        <f>[1]!EM_S_VAL_PS_TTM(B233,E233)</f>
        <v>12.2053601209627</v>
      </c>
      <c r="P233" s="7">
        <f>[1]!EM_S_VAL_PCF_NCFTTM(B233,E233)</f>
        <v>-79.252684843435503</v>
      </c>
      <c r="Q233" s="7">
        <f>[1]!EM_S_VAL_DIVIDENDYIELD2(B233,E233,"2019-11-29")</f>
        <v>1.8761726078799248</v>
      </c>
      <c r="T233"/>
      <c r="U233">
        <f>[1]!EM_S_RATIO_EPS_TTM(B233,E233,"1")</f>
        <v>0.66254861744082838</v>
      </c>
      <c r="AT233" s="4" t="str">
        <f>[1]!EM_S_IPO_LISTEDDATE(B233)</f>
        <v>2012-07-31</v>
      </c>
    </row>
    <row r="234" spans="1:46">
      <c r="A234">
        <v>2295</v>
      </c>
      <c r="B234" t="str">
        <f>"600155"</f>
        <v>600155</v>
      </c>
      <c r="C234" t="s">
        <v>2726</v>
      </c>
      <c r="D234" t="str">
        <f>[1]!EM_S_INFO_INDEX_EM(B234,"1")</f>
        <v>金融</v>
      </c>
      <c r="E234" s="4">
        <f t="shared" si="3"/>
        <v>43465</v>
      </c>
      <c r="F234" s="11">
        <f>[1]!EM_S_PQ_PCTCHANGE(B234,"2018-01-01","2019-12-31","3")</f>
        <v>37.50655939</v>
      </c>
      <c r="G234" s="11">
        <f>[1]!EM_S_PQ_PCTCHANGE(B234,"2018-12-31","2019-12-30","1")</f>
        <v>82.602921649999999</v>
      </c>
      <c r="H234" s="11">
        <f>[1]!EM_S_FA_YOY_OR(B234,E234)</f>
        <v>-58.405729079099999</v>
      </c>
      <c r="I234" s="11">
        <f>[1]!EM_S_FA_GROSSPROFITMARGIN(B234,E234)</f>
        <v>79.360057950799998</v>
      </c>
      <c r="J234" s="11">
        <f>[1]!EM_S_FA_NETPROFITMARGIN(B234,E234)</f>
        <v>107.9868293209</v>
      </c>
      <c r="K234" s="10">
        <f>[1]!EM_S_FA_ASSETSTURN(B234,E234)</f>
        <v>4.7190174408000003E-2</v>
      </c>
      <c r="L234" s="12">
        <f>[1]!EM_HKS_VAL_MV(B234,"2019-12-31","2")</f>
        <v>24405979771.439999</v>
      </c>
      <c r="M234">
        <f>[1]!EM_S_VAL_PETTMDEDUCTED(B234,E234)</f>
        <v>96.816146932867795</v>
      </c>
      <c r="N234" s="7">
        <f>[1]!EM_S_VAL_PBGOODWILLDEDUCTED(B234,E234)</f>
        <v>1.1663609208282699</v>
      </c>
      <c r="O234" s="7">
        <f>[1]!EM_S_VAL_PS_TTM(B234,E234)</f>
        <v>6.7416671342458603</v>
      </c>
      <c r="P234" s="7">
        <f>[1]!EM_S_VAL_PCF_NCFTTM(B234,E234)</f>
        <v>-13.939554079593799</v>
      </c>
      <c r="Q234" s="7">
        <f>[1]!EM_S_VAL_DIVIDENDYIELD2(B234,E234,"2019-11-29")</f>
        <v>0</v>
      </c>
      <c r="T234"/>
      <c r="U234">
        <f>[1]!EM_S_RATIO_EPS_TTM(B234,E234,"1")</f>
        <v>8.5919037067196447E-2</v>
      </c>
      <c r="AT234" s="4" t="str">
        <f>[1]!EM_S_IPO_LISTEDDATE(B234)</f>
        <v>1998-09-18</v>
      </c>
    </row>
    <row r="235" spans="1:46">
      <c r="A235">
        <v>2571</v>
      </c>
      <c r="B235" t="str">
        <f>"600486"</f>
        <v>600486</v>
      </c>
      <c r="C235" t="s">
        <v>167</v>
      </c>
      <c r="D235" t="str">
        <f>[1]!EM_S_INFO_INDEX_EM(B235,"1")</f>
        <v>基础化工</v>
      </c>
      <c r="E235" s="4">
        <f t="shared" si="3"/>
        <v>43465</v>
      </c>
      <c r="F235" s="11">
        <f>[1]!EM_S_PQ_PCTCHANGE(B235,"2018-01-01","2019-12-31","3")</f>
        <v>41.658407510000004</v>
      </c>
      <c r="G235" s="11">
        <f>[1]!EM_S_PQ_PCTCHANGE(B235,"2018-12-31","2019-12-30","1")</f>
        <v>82.474774300000007</v>
      </c>
      <c r="H235" s="11">
        <f>[1]!EM_S_FA_YOY_OR(B235,E235)</f>
        <v>19.208062147</v>
      </c>
      <c r="I235" s="11">
        <f>[1]!EM_S_FA_GROSSPROFITMARGIN(B235,E235)</f>
        <v>29.638087803600001</v>
      </c>
      <c r="J235" s="11">
        <f>[1]!EM_S_FA_NETPROFITMARGIN(B235,E235)</f>
        <v>17.7543640807</v>
      </c>
      <c r="K235" s="10">
        <f>[1]!EM_S_FA_ASSETSTURN(B235,E235)</f>
        <v>0.72863408067400004</v>
      </c>
      <c r="L235" s="12">
        <f>[1]!EM_HKS_VAL_MV(B235,"2019-12-31","2")</f>
        <v>21268361987.41</v>
      </c>
      <c r="M235">
        <f>[1]!EM_S_VAL_PETTMDEDUCTED(B235,E235)</f>
        <v>12.382552668088801</v>
      </c>
      <c r="N235" s="7">
        <f>[1]!EM_S_VAL_PBGOODWILLDEDUCTED(B235,E235)</f>
        <v>2.52164293871992</v>
      </c>
      <c r="O235" s="7">
        <f>[1]!EM_S_VAL_PS_TTM(B235,E235)</f>
        <v>2.0707125436016498</v>
      </c>
      <c r="P235" s="7">
        <f>[1]!EM_S_VAL_PCF_NCFTTM(B235,E235)</f>
        <v>27.7804987410649</v>
      </c>
      <c r="Q235" s="7">
        <f>[1]!EM_S_VAL_DIVIDENDYIELD2(B235,E235,"2019-11-29")</f>
        <v>1.5480427046263341</v>
      </c>
      <c r="T235"/>
      <c r="U235">
        <f>[1]!EM_S_RATIO_EPS_TTM(B235,E235,"1")</f>
        <v>2.8892550479050252</v>
      </c>
      <c r="AT235" s="4" t="str">
        <f>[1]!EM_S_IPO_LISTEDDATE(B235)</f>
        <v>2002-04-25</v>
      </c>
    </row>
    <row r="236" spans="1:46">
      <c r="A236">
        <v>1504</v>
      </c>
      <c r="B236" t="str">
        <f>"300079"</f>
        <v>300079</v>
      </c>
      <c r="C236" t="s">
        <v>1778</v>
      </c>
      <c r="D236" t="str">
        <f>[1]!EM_S_INFO_INDEX_EM(B236,"1")</f>
        <v>信息技术</v>
      </c>
      <c r="E236" s="4">
        <f t="shared" si="3"/>
        <v>43465</v>
      </c>
      <c r="F236" s="11">
        <f>[1]!EM_S_PQ_PCTCHANGE(B236,"2018-01-01","2019-12-31","3")</f>
        <v>41.270726860000003</v>
      </c>
      <c r="G236" s="11">
        <f>[1]!EM_S_PQ_PCTCHANGE(B236,"2018-12-31","2019-12-30","1")</f>
        <v>82.370820670000001</v>
      </c>
      <c r="H236" s="11">
        <f>[1]!EM_S_FA_YOY_OR(B236,E236)</f>
        <v>16.004224577900001</v>
      </c>
      <c r="I236" s="11">
        <f>[1]!EM_S_FA_GROSSPROFITMARGIN(B236,E236)</f>
        <v>35.928089593499998</v>
      </c>
      <c r="J236" s="11">
        <f>[1]!EM_S_FA_NETPROFITMARGIN(B236,E236)</f>
        <v>5.3641823956000003</v>
      </c>
      <c r="K236" s="10">
        <f>[1]!EM_S_FA_ASSETSTURN(B236,E236)</f>
        <v>0.353648601397</v>
      </c>
      <c r="L236" s="12">
        <f>[1]!EM_HKS_VAL_MV(B236,"2019-12-31","2")</f>
        <v>8464468463.04</v>
      </c>
      <c r="M236">
        <f>[1]!EM_S_VAL_PETTMDEDUCTED(B236,E236)</f>
        <v>134.10290245722501</v>
      </c>
      <c r="N236" s="7">
        <f>[1]!EM_S_VAL_PBGOODWILLDEDUCTED(B236,E236)</f>
        <v>1.2775708474754801</v>
      </c>
      <c r="O236" s="7">
        <f>[1]!EM_S_VAL_PS_TTM(B236,E236)</f>
        <v>3.4252049162183198</v>
      </c>
      <c r="P236" s="7">
        <f>[1]!EM_S_VAL_PCF_NCFTTM(B236,E236)</f>
        <v>158.986995781991</v>
      </c>
      <c r="Q236" s="7">
        <f>[1]!EM_S_VAL_DIVIDENDYIELD2(B236,E236,"2019-11-29")</f>
        <v>0.20931732776617956</v>
      </c>
      <c r="T236"/>
      <c r="U236">
        <f>[1]!EM_S_RATIO_EPS_TTM(B236,E236,"1")</f>
        <v>5.8821277967476063E-2</v>
      </c>
      <c r="AT236" s="4" t="str">
        <f>[1]!EM_S_IPO_LISTEDDATE(B236)</f>
        <v>2010-04-30</v>
      </c>
    </row>
    <row r="237" spans="1:46">
      <c r="A237">
        <v>1347</v>
      </c>
      <c r="B237" t="str">
        <f>"002846"</f>
        <v>002846</v>
      </c>
      <c r="C237" t="s">
        <v>1842</v>
      </c>
      <c r="D237" t="str">
        <f>[1]!EM_S_INFO_INDEX_EM(B237,"1")</f>
        <v>轻工制造</v>
      </c>
      <c r="E237" s="4">
        <f t="shared" si="3"/>
        <v>43465</v>
      </c>
      <c r="F237" s="11">
        <f>[1]!EM_S_PQ_PCTCHANGE(B237,"2018-01-01","2019-12-31","3")</f>
        <v>-0.75530699999999995</v>
      </c>
      <c r="G237" s="11">
        <f>[1]!EM_S_PQ_PCTCHANGE(B237,"2018-12-31","2019-12-30","1")</f>
        <v>82.072829130000002</v>
      </c>
      <c r="H237" s="11">
        <f>[1]!EM_S_FA_YOY_OR(B237,E237)</f>
        <v>78.851298636199999</v>
      </c>
      <c r="I237" s="11">
        <f>[1]!EM_S_FA_GROSSPROFITMARGIN(B237,E237)</f>
        <v>18.304555503100001</v>
      </c>
      <c r="J237" s="11">
        <f>[1]!EM_S_FA_NETPROFITMARGIN(B237,E237)</f>
        <v>5.4022857126000003</v>
      </c>
      <c r="K237" s="10">
        <f>[1]!EM_S_FA_ASSETSTURN(B237,E237)</f>
        <v>0.89914995181199997</v>
      </c>
      <c r="L237" s="12">
        <f>[1]!EM_HKS_VAL_MV(B237,"2019-12-31","2")</f>
        <v>3657246720</v>
      </c>
      <c r="M237">
        <f>[1]!EM_S_VAL_PETTMDEDUCTED(B237,E237)</f>
        <v>76.400554185857004</v>
      </c>
      <c r="N237" s="7">
        <f>[1]!EM_S_VAL_PBGOODWILLDEDUCTED(B237,E237)</f>
        <v>3.9049738040306798</v>
      </c>
      <c r="O237" s="7">
        <f>[1]!EM_S_VAL_PS_TTM(B237,E237)</f>
        <v>3.1364559695993699</v>
      </c>
      <c r="P237" s="7">
        <f>[1]!EM_S_VAL_PCF_NCFTTM(B237,E237)</f>
        <v>-51.209106967963002</v>
      </c>
      <c r="Q237" s="7">
        <f>[1]!EM_S_VAL_DIVIDENDYIELD2(B237,E237,"2019-11-29")</f>
        <v>0.35816618911174786</v>
      </c>
      <c r="T237"/>
      <c r="U237">
        <f>[1]!EM_S_RATIO_EPS_TTM(B237,E237,"1")</f>
        <v>0.21641211848140596</v>
      </c>
      <c r="AT237" s="4" t="str">
        <f>[1]!EM_S_IPO_LISTEDDATE(B237)</f>
        <v>2017-02-07</v>
      </c>
    </row>
    <row r="238" spans="1:46">
      <c r="A238">
        <v>1888</v>
      </c>
      <c r="B238" t="str">
        <f>"300463"</f>
        <v>300463</v>
      </c>
      <c r="C238" t="s">
        <v>499</v>
      </c>
      <c r="D238" t="str">
        <f>[1]!EM_S_INFO_INDEX_EM(B238,"1")</f>
        <v>医药生物</v>
      </c>
      <c r="E238" s="4">
        <f t="shared" si="3"/>
        <v>43465</v>
      </c>
      <c r="F238" s="11">
        <f>[1]!EM_S_PQ_PCTCHANGE(B238,"2018-01-01","2019-12-31","3")</f>
        <v>13.79671909</v>
      </c>
      <c r="G238" s="11">
        <f>[1]!EM_S_PQ_PCTCHANGE(B238,"2018-12-31","2019-12-30","1")</f>
        <v>81.917808219999998</v>
      </c>
      <c r="H238" s="11">
        <f>[1]!EM_S_FA_YOY_OR(B238,E238)</f>
        <v>36.311021566199997</v>
      </c>
      <c r="I238" s="11">
        <f>[1]!EM_S_FA_GROSSPROFITMARGIN(B238,E238)</f>
        <v>51.801328351499997</v>
      </c>
      <c r="J238" s="11">
        <f>[1]!EM_S_FA_NETPROFITMARGIN(B238,E238)</f>
        <v>17.9837912385</v>
      </c>
      <c r="K238" s="10">
        <f>[1]!EM_S_FA_ASSETSTURN(B238,E238)</f>
        <v>0.659807786708</v>
      </c>
      <c r="L238" s="12">
        <f>[1]!EM_HKS_VAL_MV(B238,"2019-12-31","2")</f>
        <v>15041148502.799999</v>
      </c>
      <c r="M238">
        <f>[1]!EM_S_VAL_PETTMDEDUCTED(B238,E238)</f>
        <v>19.075354514161798</v>
      </c>
      <c r="N238" s="7">
        <f>[1]!EM_S_VAL_PBGOODWILLDEDUCTED(B238,E238)</f>
        <v>3.04668932449305</v>
      </c>
      <c r="O238" s="7">
        <f>[1]!EM_S_VAL_PS_TTM(B238,E238)</f>
        <v>3.1721217371263899</v>
      </c>
      <c r="P238" s="7">
        <f>[1]!EM_S_VAL_PCF_NCFTTM(B238,E238)</f>
        <v>-233.76379452043599</v>
      </c>
      <c r="Q238" s="7">
        <f>[1]!EM_S_VAL_DIVIDENDYIELD2(B238,E238,"2019-11-29")</f>
        <v>0.59615829544149324</v>
      </c>
      <c r="T238"/>
      <c r="U238">
        <f>[1]!EM_S_RATIO_EPS_TTM(B238,E238,"1")</f>
        <v>0.79736291883512544</v>
      </c>
      <c r="AT238" s="4" t="str">
        <f>[1]!EM_S_IPO_LISTEDDATE(B238)</f>
        <v>2015-05-28</v>
      </c>
    </row>
    <row r="239" spans="1:46">
      <c r="A239">
        <v>1518</v>
      </c>
      <c r="B239" t="str">
        <f>"300093"</f>
        <v>300093</v>
      </c>
      <c r="C239" t="s">
        <v>3079</v>
      </c>
      <c r="D239" t="str">
        <f>[1]!EM_S_INFO_INDEX_EM(B239,"1")</f>
        <v>建材</v>
      </c>
      <c r="E239" s="4">
        <f t="shared" si="3"/>
        <v>43465</v>
      </c>
      <c r="F239" s="11">
        <f>[1]!EM_S_PQ_PCTCHANGE(B239,"2018-01-01","2019-12-31","3")</f>
        <v>-2.6959587200000001</v>
      </c>
      <c r="G239" s="11">
        <f>[1]!EM_S_PQ_PCTCHANGE(B239,"2018-12-31","2019-12-30","1")</f>
        <v>81.505728309999995</v>
      </c>
      <c r="H239" s="11">
        <f>[1]!EM_S_FA_YOY_OR(B239,E239)</f>
        <v>22.833918023399999</v>
      </c>
      <c r="I239" s="11">
        <f>[1]!EM_S_FA_GROSSPROFITMARGIN(B239,E239)</f>
        <v>30.0767084019</v>
      </c>
      <c r="J239" s="11">
        <f>[1]!EM_S_FA_NETPROFITMARGIN(B239,E239)</f>
        <v>1.7189273416999999</v>
      </c>
      <c r="K239" s="10">
        <f>[1]!EM_S_FA_ASSETSTURN(B239,E239)</f>
        <v>0.50067816380499996</v>
      </c>
      <c r="L239" s="12">
        <f>[1]!EM_HKS_VAL_MV(B239,"2019-12-31","2")</f>
        <v>2371680000</v>
      </c>
      <c r="M239">
        <f>[1]!EM_S_VAL_PETTMDEDUCTED(B239,E239)</f>
        <v>69.6434108606</v>
      </c>
      <c r="N239" s="7">
        <f>[1]!EM_S_VAL_PBGOODWILLDEDUCTED(B239,E239)</f>
        <v>1.8260287165545801</v>
      </c>
      <c r="O239" s="7">
        <f>[1]!EM_S_VAL_PS_TTM(B239,E239)</f>
        <v>1.9159266213750801</v>
      </c>
      <c r="P239" s="7">
        <f>[1]!EM_S_VAL_PCF_NCFTTM(B239,E239)</f>
        <v>-2661.0717540287201</v>
      </c>
      <c r="Q239" s="7">
        <f>[1]!EM_S_VAL_DIVIDENDYIELD2(B239,E239,"2019-11-29")</f>
        <v>0</v>
      </c>
      <c r="T239"/>
      <c r="U239">
        <f>[1]!EM_S_RATIO_EPS_TTM(B239,E239,"1")</f>
        <v>5.858052009259259E-2</v>
      </c>
      <c r="AT239" s="4" t="str">
        <f>[1]!EM_S_IPO_LISTEDDATE(B239)</f>
        <v>2010-07-08</v>
      </c>
    </row>
    <row r="240" spans="1:46">
      <c r="A240">
        <v>1215</v>
      </c>
      <c r="B240" t="str">
        <f>"002705"</f>
        <v>002705</v>
      </c>
      <c r="C240" t="s">
        <v>2092</v>
      </c>
      <c r="D240" t="str">
        <f>[1]!EM_S_INFO_INDEX_EM(B240,"1")</f>
        <v>家电</v>
      </c>
      <c r="E240" s="4">
        <f t="shared" si="3"/>
        <v>43465</v>
      </c>
      <c r="F240" s="11">
        <f>[1]!EM_S_PQ_PCTCHANGE(B240,"2018-01-01","2019-12-31","3")</f>
        <v>43.150358519999997</v>
      </c>
      <c r="G240" s="11">
        <f>[1]!EM_S_PQ_PCTCHANGE(B240,"2018-12-31","2019-12-30","1")</f>
        <v>81.481481479999999</v>
      </c>
      <c r="H240" s="11">
        <f>[1]!EM_S_FA_YOY_OR(B240,E240)</f>
        <v>2.7003507201999999</v>
      </c>
      <c r="I240" s="11">
        <f>[1]!EM_S_FA_GROSSPROFITMARGIN(B240,E240)</f>
        <v>20.558019233300001</v>
      </c>
      <c r="J240" s="11">
        <f>[1]!EM_S_FA_NETPROFITMARGIN(B240,E240)</f>
        <v>5.9635786854999999</v>
      </c>
      <c r="K240" s="10">
        <f>[1]!EM_S_FA_ASSETSTURN(B240,E240)</f>
        <v>1.2252692348800001</v>
      </c>
      <c r="L240" s="12">
        <f>[1]!EM_HKS_VAL_MV(B240,"2019-12-31","2")</f>
        <v>13216287873.65</v>
      </c>
      <c r="M240">
        <f>[1]!EM_S_VAL_PETTMDEDUCTED(B240,E240)</f>
        <v>15.536108684084599</v>
      </c>
      <c r="N240" s="7">
        <f>[1]!EM_S_VAL_PBGOODWILLDEDUCTED(B240,E240)</f>
        <v>1.91330587526538</v>
      </c>
      <c r="O240" s="7">
        <f>[1]!EM_S_VAL_PS_TTM(B240,E240)</f>
        <v>0.89986343833948601</v>
      </c>
      <c r="P240" s="7">
        <f>[1]!EM_S_VAL_PCF_NCFTTM(B240,E240)</f>
        <v>-14.5142381459797</v>
      </c>
      <c r="Q240" s="7">
        <f>[1]!EM_S_VAL_DIVIDENDYIELD2(B240,E240,"2019-11-29")</f>
        <v>2.2095959595959598</v>
      </c>
      <c r="T240"/>
      <c r="U240">
        <f>[1]!EM_S_RATIO_EPS_TTM(B240,E240,"1")</f>
        <v>0.61800540772284385</v>
      </c>
      <c r="AT240" s="4" t="str">
        <f>[1]!EM_S_IPO_LISTEDDATE(B240)</f>
        <v>2014-01-21</v>
      </c>
    </row>
    <row r="241" spans="1:46">
      <c r="A241">
        <v>3479</v>
      </c>
      <c r="B241" t="str">
        <f>"603659"</f>
        <v>603659</v>
      </c>
      <c r="C241" t="s">
        <v>301</v>
      </c>
      <c r="D241" t="str">
        <f>[1]!EM_S_INFO_INDEX_EM(B241,"1")</f>
        <v>有色金属</v>
      </c>
      <c r="E241" s="4">
        <f t="shared" si="3"/>
        <v>43465</v>
      </c>
      <c r="F241" s="11">
        <f>[1]!EM_S_PQ_PCTCHANGE(B241,"2018-01-01","2019-12-31","3")</f>
        <v>56.001065349999998</v>
      </c>
      <c r="G241" s="11">
        <f>[1]!EM_S_PQ_PCTCHANGE(B241,"2018-12-31","2019-12-30","1")</f>
        <v>81.223628689999998</v>
      </c>
      <c r="H241" s="11">
        <f>[1]!EM_S_FA_YOY_OR(B241,E241)</f>
        <v>47.1986315694</v>
      </c>
      <c r="I241" s="11">
        <f>[1]!EM_S_FA_GROSSPROFITMARGIN(B241,E241)</f>
        <v>31.911765956899998</v>
      </c>
      <c r="J241" s="11">
        <f>[1]!EM_S_FA_NETPROFITMARGIN(B241,E241)</f>
        <v>18.142894330899999</v>
      </c>
      <c r="K241" s="10">
        <f>[1]!EM_S_FA_ASSETSTURN(B241,E241)</f>
        <v>0.60204083161400002</v>
      </c>
      <c r="L241" s="12">
        <f>[1]!EM_HKS_VAL_MV(B241,"2019-12-31","2")</f>
        <v>37058882608.150002</v>
      </c>
      <c r="M241">
        <f>[1]!EM_S_VAL_PETTMDEDUCTED(B241,E241)</f>
        <v>45.1850458184595</v>
      </c>
      <c r="N241" s="7">
        <f>[1]!EM_S_VAL_PBGOODWILLDEDUCTED(B241,E241)</f>
        <v>7.30288028198901</v>
      </c>
      <c r="O241" s="7">
        <f>[1]!EM_S_VAL_PS_TTM(B241,E241)</f>
        <v>6.8911518282620703</v>
      </c>
      <c r="P241" s="7">
        <f>[1]!EM_S_VAL_PCF_NCFTTM(B241,E241)</f>
        <v>26.586250849508001</v>
      </c>
      <c r="Q241" s="7">
        <f>[1]!EM_S_VAL_DIVIDENDYIELD2(B241,E241,"2019-11-29")</f>
        <v>0.59842364992306118</v>
      </c>
      <c r="T241"/>
      <c r="U241">
        <f>[1]!EM_S_RATIO_EPS_TTM(B241,E241,"1")</f>
        <v>1.3670667397983187</v>
      </c>
      <c r="AT241" s="4" t="str">
        <f>[1]!EM_S_IPO_LISTEDDATE(B241)</f>
        <v>2017-11-03</v>
      </c>
    </row>
    <row r="242" spans="1:46">
      <c r="A242">
        <v>940</v>
      </c>
      <c r="B242" t="str">
        <f>"002429"</f>
        <v>002429</v>
      </c>
      <c r="C242" t="s">
        <v>1347</v>
      </c>
      <c r="D242" t="str">
        <f>[1]!EM_S_INFO_INDEX_EM(B242,"1")</f>
        <v>家电</v>
      </c>
      <c r="E242" s="4">
        <f t="shared" si="3"/>
        <v>43465</v>
      </c>
      <c r="F242" s="11">
        <f>[1]!EM_S_PQ_PCTCHANGE(B242,"2018-01-01","2019-12-31","3")</f>
        <v>-2.7932960900000001</v>
      </c>
      <c r="G242" s="11">
        <f>[1]!EM_S_PQ_PCTCHANGE(B242,"2018-12-31","2019-12-30","1")</f>
        <v>81.052631579999996</v>
      </c>
      <c r="H242" s="11">
        <f>[1]!EM_S_FA_YOY_OR(B242,E242)</f>
        <v>25.8009829889</v>
      </c>
      <c r="I242" s="11">
        <f>[1]!EM_S_FA_GROSSPROFITMARGIN(B242,E242)</f>
        <v>10.0980544614</v>
      </c>
      <c r="J242" s="11">
        <f>[1]!EM_S_FA_NETPROFITMARGIN(B242,E242)</f>
        <v>3.2359754019000002</v>
      </c>
      <c r="K242" s="10">
        <f>[1]!EM_S_FA_ASSETSTURN(B242,E242)</f>
        <v>0.72933897261699998</v>
      </c>
      <c r="L242" s="12">
        <f>[1]!EM_HKS_VAL_MV(B242,"2019-12-31","2")</f>
        <v>15753753312.360001</v>
      </c>
      <c r="M242">
        <f>[1]!EM_S_VAL_PETTMDEDUCTED(B242,E242)</f>
        <v>34.286902027986002</v>
      </c>
      <c r="N242" s="7">
        <f>[1]!EM_S_VAL_PBGOODWILLDEDUCTED(B242,E242)</f>
        <v>1.0934391728330699</v>
      </c>
      <c r="O242" s="7">
        <f>[1]!EM_S_VAL_PS_TTM(B242,E242)</f>
        <v>0.68509825538855595</v>
      </c>
      <c r="P242" s="7">
        <f>[1]!EM_S_VAL_PCF_NCFTTM(B242,E242)</f>
        <v>11.6483526864016</v>
      </c>
      <c r="Q242" s="7">
        <f>[1]!EM_S_VAL_DIVIDENDYIELD2(B242,E242,"2019-11-29")</f>
        <v>0</v>
      </c>
      <c r="T242"/>
      <c r="U242">
        <f>[1]!EM_S_RATIO_EPS_TTM(B242,E242,"1")</f>
        <v>9.8385376607614941E-2</v>
      </c>
      <c r="AT242" s="4" t="str">
        <f>[1]!EM_S_IPO_LISTEDDATE(B242)</f>
        <v>2010-06-10</v>
      </c>
    </row>
    <row r="243" spans="1:46">
      <c r="A243">
        <v>696</v>
      </c>
      <c r="B243" t="str">
        <f>"002185"</f>
        <v>002185</v>
      </c>
      <c r="C243" t="s">
        <v>1763</v>
      </c>
      <c r="D243" t="str">
        <f>[1]!EM_S_INFO_INDEX_EM(B243,"1")</f>
        <v>电子设备</v>
      </c>
      <c r="E243" s="4">
        <f t="shared" si="3"/>
        <v>43465</v>
      </c>
      <c r="F243" s="11">
        <f>[1]!EM_S_PQ_PCTCHANGE(B243,"2018-01-01","2019-12-31","3")</f>
        <v>-1.46178892</v>
      </c>
      <c r="G243" s="11">
        <f>[1]!EM_S_PQ_PCTCHANGE(B243,"2018-12-31","2019-12-30","1")</f>
        <v>81.034482760000003</v>
      </c>
      <c r="H243" s="11">
        <f>[1]!EM_S_FA_YOY_OR(B243,E243)</f>
        <v>1.5953231474</v>
      </c>
      <c r="I243" s="11">
        <f>[1]!EM_S_FA_GROSSPROFITMARGIN(B243,E243)</f>
        <v>16.321873801500001</v>
      </c>
      <c r="J243" s="11">
        <f>[1]!EM_S_FA_NETPROFITMARGIN(B243,E243)</f>
        <v>6.0271671366000001</v>
      </c>
      <c r="K243" s="10">
        <f>[1]!EM_S_FA_ASSETSTURN(B243,E243)</f>
        <v>0.65309412761399999</v>
      </c>
      <c r="L243" s="12">
        <f>[1]!EM_HKS_VAL_MV(B243,"2019-12-31","2")</f>
        <v>20467828191.779999</v>
      </c>
      <c r="M243">
        <f>[1]!EM_S_VAL_PETTMDEDUCTED(B243,E243)</f>
        <v>24.349880826174299</v>
      </c>
      <c r="N243" s="7">
        <f>[1]!EM_S_VAL_PBGOODWILLDEDUCTED(B243,E243)</f>
        <v>1.52437179020698</v>
      </c>
      <c r="O243" s="7">
        <f>[1]!EM_S_VAL_PS_TTM(B243,E243)</f>
        <v>1.1941937076304201</v>
      </c>
      <c r="P243" s="7">
        <f>[1]!EM_S_VAL_PCF_NCFTTM(B243,E243)</f>
        <v>23.905993203691899</v>
      </c>
      <c r="Q243" s="7">
        <f>[1]!EM_S_VAL_DIVIDENDYIELD2(B243,E243,"2019-11-29")</f>
        <v>0.25882774556617139</v>
      </c>
      <c r="T243"/>
      <c r="U243">
        <f>[1]!EM_S_RATIO_EPS_TTM(B243,E243,"1")</f>
        <v>0.18292138355103532</v>
      </c>
      <c r="AT243" s="4" t="str">
        <f>[1]!EM_S_IPO_LISTEDDATE(B243)</f>
        <v>2007-11-20</v>
      </c>
    </row>
    <row r="244" spans="1:46">
      <c r="A244">
        <v>1290</v>
      </c>
      <c r="B244" t="str">
        <f>"002783"</f>
        <v>002783</v>
      </c>
      <c r="C244" t="s">
        <v>2505</v>
      </c>
      <c r="D244" t="str">
        <f>[1]!EM_S_INFO_INDEX_EM(B244,"1")</f>
        <v>基础化工</v>
      </c>
      <c r="E244" s="4">
        <f t="shared" si="3"/>
        <v>43465</v>
      </c>
      <c r="F244" s="11">
        <f>[1]!EM_S_PQ_PCTCHANGE(B244,"2018-01-01","2019-12-31","3")</f>
        <v>5.2628579799999997</v>
      </c>
      <c r="G244" s="11">
        <f>[1]!EM_S_PQ_PCTCHANGE(B244,"2018-12-31","2019-12-30","1")</f>
        <v>81.026438569999996</v>
      </c>
      <c r="H244" s="11">
        <f>[1]!EM_S_FA_YOY_OR(B244,E244)</f>
        <v>37.2537149562</v>
      </c>
      <c r="I244" s="11">
        <f>[1]!EM_S_FA_GROSSPROFITMARGIN(B244,E244)</f>
        <v>33.790450365399998</v>
      </c>
      <c r="J244" s="11">
        <f>[1]!EM_S_FA_NETPROFITMARGIN(B244,E244)</f>
        <v>7.0807130350999996</v>
      </c>
      <c r="K244" s="10">
        <f>[1]!EM_S_FA_ASSETSTURN(B244,E244)</f>
        <v>0.60139748973899998</v>
      </c>
      <c r="L244" s="12">
        <f>[1]!EM_HKS_VAL_MV(B244,"2019-12-31","2")</f>
        <v>4414035726.2399998</v>
      </c>
      <c r="M244">
        <f>[1]!EM_S_VAL_PETTMDEDUCTED(B244,E244)</f>
        <v>21.546832250991098</v>
      </c>
      <c r="N244" s="7">
        <f>[1]!EM_S_VAL_PBGOODWILLDEDUCTED(B244,E244)</f>
        <v>1.7301305218946199</v>
      </c>
      <c r="O244" s="7">
        <f>[1]!EM_S_VAL_PS_TTM(B244,E244)</f>
        <v>1.2789168787431799</v>
      </c>
      <c r="P244" s="7">
        <f>[1]!EM_S_VAL_PCF_NCFTTM(B244,E244)</f>
        <v>5.9023739722120601</v>
      </c>
      <c r="Q244" s="7">
        <f>[1]!EM_S_VAL_DIVIDENDYIELD2(B244,E244,"2019-11-29")</f>
        <v>1.7927068235203534</v>
      </c>
      <c r="T244"/>
      <c r="U244">
        <f>[1]!EM_S_RATIO_EPS_TTM(B244,E244,"1")</f>
        <v>0.24488994255421109</v>
      </c>
      <c r="AT244" s="4" t="str">
        <f>[1]!EM_S_IPO_LISTEDDATE(B244)</f>
        <v>2015-12-09</v>
      </c>
    </row>
    <row r="245" spans="1:46">
      <c r="A245">
        <v>56</v>
      </c>
      <c r="B245" t="str">
        <f>"000063"</f>
        <v>000063</v>
      </c>
      <c r="C245" t="s">
        <v>266</v>
      </c>
      <c r="D245" t="str">
        <f>[1]!EM_S_INFO_INDEX_EM(B245,"1")</f>
        <v>信息技术</v>
      </c>
      <c r="E245" s="4">
        <f t="shared" si="3"/>
        <v>43465</v>
      </c>
      <c r="F245" s="11">
        <f>[1]!EM_S_PQ_PCTCHANGE(B245,"2018-01-01","2019-12-31","3")</f>
        <v>-2.66776678</v>
      </c>
      <c r="G245" s="11">
        <f>[1]!EM_S_PQ_PCTCHANGE(B245,"2019-01-01","2019-12-31","3")</f>
        <v>80.653394590000005</v>
      </c>
      <c r="H245" s="11">
        <f>[1]!EM_S_FA_YOY_OR(B245,E245)</f>
        <v>-21.4143863794</v>
      </c>
      <c r="I245" s="11">
        <f>[1]!EM_S_FA_GROSSPROFITMARGIN(B245,E245)</f>
        <v>32.913735489799997</v>
      </c>
      <c r="J245" s="11">
        <f>[1]!EM_S_FA_NETPROFITMARGIN(B245,E245)</f>
        <v>-8.1266331553000004</v>
      </c>
      <c r="K245" s="10">
        <f>[1]!EM_S_FA_ASSETSTURN(B245,E245)</f>
        <v>0.62575260791499998</v>
      </c>
      <c r="L245" s="12">
        <f>[1]!EM_HKS_VAL_MV(B245,"2019-12-31","2")</f>
        <v>149612282063.91</v>
      </c>
      <c r="M245">
        <f>[1]!EM_S_VAL_PETTMDEDUCTED(B245,E245)</f>
        <v>-28.150676773938301</v>
      </c>
      <c r="N245" s="7">
        <f>[1]!EM_S_VAL_PBGOODWILLDEDUCTED(B245,E245)</f>
        <v>3.6164459213323501</v>
      </c>
      <c r="O245" s="7">
        <f>[1]!EM_S_VAL_PS_TTM(B245,E245)</f>
        <v>0.90255921980782305</v>
      </c>
      <c r="P245" s="7">
        <f>[1]!EM_S_VAL_PCF_NCFTTM(B245,E245)</f>
        <v>-6.7310496046015196</v>
      </c>
      <c r="Q245" s="7">
        <f>[1]!EM_S_VAL_DIVIDENDYIELD2(B245,E245,"2019-11-29")</f>
        <v>0</v>
      </c>
      <c r="T245"/>
      <c r="U245">
        <f>[1]!EM_S_RATIO_EPS_TTM(B245,E245,"1")</f>
        <v>-1.6656829490864591</v>
      </c>
      <c r="AT245" s="4" t="str">
        <f>[1]!EM_S_IPO_LISTEDDATE(B245)</f>
        <v>1997-11-18</v>
      </c>
    </row>
    <row r="246" spans="1:46">
      <c r="A246">
        <v>1625</v>
      </c>
      <c r="B246" t="str">
        <f>"300200"</f>
        <v>300200</v>
      </c>
      <c r="C246" t="s">
        <v>1789</v>
      </c>
      <c r="D246" t="str">
        <f>[1]!EM_S_INFO_INDEX_EM(B246,"1")</f>
        <v>基础化工</v>
      </c>
      <c r="E246" s="4">
        <f t="shared" si="3"/>
        <v>43465</v>
      </c>
      <c r="F246" s="11">
        <f>[1]!EM_S_PQ_PCTCHANGE(B246,"2018-01-01","2019-12-31","3")</f>
        <v>33.112176910000002</v>
      </c>
      <c r="G246" s="11">
        <f>[1]!EM_S_PQ_PCTCHANGE(B246,"2018-12-31","2019-12-30","1")</f>
        <v>80.425531910000004</v>
      </c>
      <c r="H246" s="11">
        <f>[1]!EM_S_FA_YOY_OR(B246,E246)</f>
        <v>19.064869757699999</v>
      </c>
      <c r="I246" s="11">
        <f>[1]!EM_S_FA_GROSSPROFITMARGIN(B246,E246)</f>
        <v>31.519626388799999</v>
      </c>
      <c r="J246" s="11">
        <f>[1]!EM_S_FA_NETPROFITMARGIN(B246,E246)</f>
        <v>8.2335226647000006</v>
      </c>
      <c r="K246" s="10">
        <f>[1]!EM_S_FA_ASSETSTURN(B246,E246)</f>
        <v>0.58098645795699999</v>
      </c>
      <c r="L246" s="12">
        <f>[1]!EM_HKS_VAL_MV(B246,"2019-12-31","2")</f>
        <v>3346321596.0500002</v>
      </c>
      <c r="M246">
        <f>[1]!EM_S_VAL_PETTMDEDUCTED(B246,E246)</f>
        <v>32.518125949589901</v>
      </c>
      <c r="N246" s="7">
        <f>[1]!EM_S_VAL_PBGOODWILLDEDUCTED(B246,E246)</f>
        <v>2.2136396529476801</v>
      </c>
      <c r="O246" s="7">
        <f>[1]!EM_S_VAL_PS_TTM(B246,E246)</f>
        <v>1.7767093811061401</v>
      </c>
      <c r="P246" s="7">
        <f>[1]!EM_S_VAL_PCF_NCFTTM(B246,E246)</f>
        <v>-37.072026108174299</v>
      </c>
      <c r="Q246" s="7">
        <f>[1]!EM_S_VAL_DIVIDENDYIELD2(B246,E246,"2019-11-29")</f>
        <v>1.9681349578256795</v>
      </c>
      <c r="T246"/>
      <c r="U246">
        <f>[1]!EM_S_RATIO_EPS_TTM(B246,E246,"1")</f>
        <v>0.32104677527038616</v>
      </c>
      <c r="AT246" s="4" t="str">
        <f>[1]!EM_S_IPO_LISTEDDATE(B246)</f>
        <v>2011-04-07</v>
      </c>
    </row>
    <row r="247" spans="1:46">
      <c r="A247">
        <v>3491</v>
      </c>
      <c r="B247" t="str">
        <f>"603679"</f>
        <v>603679</v>
      </c>
      <c r="C247" t="s">
        <v>1230</v>
      </c>
      <c r="D247" t="str">
        <f>[1]!EM_S_INFO_INDEX_EM(B247,"1")</f>
        <v>家电</v>
      </c>
      <c r="E247" s="4">
        <f t="shared" si="3"/>
        <v>43465</v>
      </c>
      <c r="F247" s="11">
        <f>[1]!EM_S_PQ_PCTCHANGE(B247,"2018-01-01","2019-12-31","3")</f>
        <v>62.979469960000003</v>
      </c>
      <c r="G247" s="11">
        <f>[1]!EM_S_PQ_PCTCHANGE(B247,"2018-12-31","2019-12-30","1")</f>
        <v>80.248007090000002</v>
      </c>
      <c r="H247" s="11">
        <f>[1]!EM_S_FA_YOY_OR(B247,E247)</f>
        <v>9.6228949841000002</v>
      </c>
      <c r="I247" s="11">
        <f>[1]!EM_S_FA_GROSSPROFITMARGIN(B247,E247)</f>
        <v>35.492631902299998</v>
      </c>
      <c r="J247" s="11">
        <f>[1]!EM_S_FA_NETPROFITMARGIN(B247,E247)</f>
        <v>13.399377011</v>
      </c>
      <c r="K247" s="10">
        <f>[1]!EM_S_FA_ASSETSTURN(B247,E247)</f>
        <v>0.66241485983000004</v>
      </c>
      <c r="L247" s="12">
        <f>[1]!EM_HKS_VAL_MV(B247,"2019-12-31","2")</f>
        <v>4205284000</v>
      </c>
      <c r="M247">
        <f>[1]!EM_S_VAL_PETTMDEDUCTED(B247,E247)</f>
        <v>37.372967065054603</v>
      </c>
      <c r="N247" s="7">
        <f>[1]!EM_S_VAL_PBGOODWILLDEDUCTED(B247,E247)</f>
        <v>3.90430801634631</v>
      </c>
      <c r="O247" s="7">
        <f>[1]!EM_S_VAL_PS_TTM(B247,E247)</f>
        <v>4.0337295263467201</v>
      </c>
      <c r="P247" s="7">
        <f>[1]!EM_S_VAL_PCF_NCFTTM(B247,E247)</f>
        <v>25.5745934379316</v>
      </c>
      <c r="Q247" s="7">
        <f>[1]!EM_S_VAL_DIVIDENDYIELD2(B247,E247,"2019-11-29")</f>
        <v>0.24570653190838207</v>
      </c>
      <c r="T247"/>
      <c r="U247">
        <f>[1]!EM_S_RATIO_EPS_TTM(B247,E247,"1")</f>
        <v>0.69854924725220324</v>
      </c>
      <c r="AT247" s="4" t="str">
        <f>[1]!EM_S_IPO_LISTEDDATE(B247)</f>
        <v>2017-06-21</v>
      </c>
    </row>
    <row r="248" spans="1:46">
      <c r="A248">
        <v>2658</v>
      </c>
      <c r="B248" t="str">
        <f>"600585"</f>
        <v>600585</v>
      </c>
      <c r="C248" t="s">
        <v>274</v>
      </c>
      <c r="D248" t="str">
        <f>[1]!EM_S_INFO_INDEX_EM(B248,"1")</f>
        <v>建材</v>
      </c>
      <c r="E248" s="4">
        <f t="shared" si="3"/>
        <v>43465</v>
      </c>
      <c r="F248" s="11">
        <f>[1]!EM_S_PQ_PCTCHANGE(B248,"2018-01-01","2019-12-31","3")</f>
        <v>101.69526195</v>
      </c>
      <c r="G248" s="11">
        <f>[1]!EM_S_PQ_PCTCHANGE(B248,"2018-12-31","2019-12-30","1")</f>
        <v>80.225409839999998</v>
      </c>
      <c r="H248" s="11">
        <f>[1]!EM_S_FA_YOY_OR(B248,E248)</f>
        <v>70.496916777799996</v>
      </c>
      <c r="I248" s="11">
        <f>[1]!EM_S_FA_GROSSPROFITMARGIN(B248,E248)</f>
        <v>36.738029306900003</v>
      </c>
      <c r="J248" s="11">
        <f>[1]!EM_S_FA_NETPROFITMARGIN(B248,E248)</f>
        <v>23.859336438</v>
      </c>
      <c r="K248" s="10">
        <f>[1]!EM_S_FA_ASSETSTURN(B248,E248)</f>
        <v>0.94521444030099999</v>
      </c>
      <c r="L248" s="12">
        <f>[1]!EM_HKS_VAL_MV(B248,"2019-12-31","2")</f>
        <v>290401781329.20001</v>
      </c>
      <c r="M248">
        <f>[1]!EM_S_VAL_PETTMDEDUCTED(B248,E248)</f>
        <v>5.9183879786581697</v>
      </c>
      <c r="N248" s="7">
        <f>[1]!EM_S_VAL_PBGOODWILLDEDUCTED(B248,E248)</f>
        <v>1.38323375817977</v>
      </c>
      <c r="O248" s="7">
        <f>[1]!EM_S_VAL_PS_TTM(B248,E248)</f>
        <v>1.5055034714307001</v>
      </c>
      <c r="P248" s="7">
        <f>[1]!EM_S_VAL_PCF_NCFTTM(B248,E248)</f>
        <v>11.5249564778627</v>
      </c>
      <c r="Q248" s="7">
        <f>[1]!EM_S_VAL_DIVIDENDYIELD2(B248,E248,"2019-11-29")</f>
        <v>3.6899563318777293</v>
      </c>
      <c r="T248"/>
      <c r="U248">
        <f>[1]!EM_S_RATIO_EPS_TTM(B248,E248,"1")</f>
        <v>5.6260770893037169</v>
      </c>
      <c r="AT248" s="4" t="str">
        <f>[1]!EM_S_IPO_LISTEDDATE(B248)</f>
        <v>2002-02-07</v>
      </c>
    </row>
    <row r="249" spans="1:46">
      <c r="A249">
        <v>3544</v>
      </c>
      <c r="B249" t="str">
        <f>"603806"</f>
        <v>603806</v>
      </c>
      <c r="C249" t="s">
        <v>1366</v>
      </c>
      <c r="D249" t="str">
        <f>[1]!EM_S_INFO_INDEX_EM(B249,"1")</f>
        <v>电气设备</v>
      </c>
      <c r="E249" s="4">
        <f t="shared" si="3"/>
        <v>43465</v>
      </c>
      <c r="F249" s="11">
        <f>[1]!EM_S_PQ_PCTCHANGE(B249,"2018-01-01","2019-12-31","3")</f>
        <v>90.423140880000005</v>
      </c>
      <c r="G249" s="11">
        <f>[1]!EM_S_PQ_PCTCHANGE(B249,"2018-12-31","2019-12-30","1")</f>
        <v>80.111940300000001</v>
      </c>
      <c r="H249" s="11">
        <f>[1]!EM_S_FA_YOY_OR(B249,E249)</f>
        <v>4.9033864925000001</v>
      </c>
      <c r="I249" s="11">
        <f>[1]!EM_S_FA_GROSSPROFITMARGIN(B249,E249)</f>
        <v>19.6673754527</v>
      </c>
      <c r="J249" s="11">
        <f>[1]!EM_S_FA_NETPROFITMARGIN(B249,E249)</f>
        <v>15.5945174791</v>
      </c>
      <c r="K249" s="10">
        <f>[1]!EM_S_FA_ASSETSTURN(B249,E249)</f>
        <v>0.79112168202400002</v>
      </c>
      <c r="L249" s="12">
        <f>[1]!EM_HKS_VAL_MV(B249,"2019-12-31","2")</f>
        <v>25398360000</v>
      </c>
      <c r="M249">
        <f>[1]!EM_S_VAL_PETTMDEDUCTED(B249,E249)</f>
        <v>27.4069608749762</v>
      </c>
      <c r="N249" s="7">
        <f>[1]!EM_S_VAL_PBGOODWILLDEDUCTED(B249,E249)</f>
        <v>2.52177893431982</v>
      </c>
      <c r="O249" s="7">
        <f>[1]!EM_S_VAL_PS_TTM(B249,E249)</f>
        <v>3.0471043422140802</v>
      </c>
      <c r="P249" s="7">
        <f>[1]!EM_S_VAL_PCF_NCFTTM(B249,E249)</f>
        <v>115.654563086927</v>
      </c>
      <c r="Q249" s="7">
        <f>[1]!EM_S_VAL_DIVIDENDYIELD2(B249,E249,"2019-11-29")</f>
        <v>1.0997067448680353</v>
      </c>
      <c r="T249"/>
      <c r="U249">
        <f>[1]!EM_S_RATIO_EPS_TTM(B249,E249,"1")</f>
        <v>1.4375382534825871</v>
      </c>
      <c r="AT249" s="4" t="str">
        <f>[1]!EM_S_IPO_LISTEDDATE(B249)</f>
        <v>2014-09-05</v>
      </c>
    </row>
    <row r="250" spans="1:46">
      <c r="A250">
        <v>1041</v>
      </c>
      <c r="B250" t="str">
        <f>"002530"</f>
        <v>002530</v>
      </c>
      <c r="C250" t="s">
        <v>2607</v>
      </c>
      <c r="D250" t="str">
        <f>[1]!EM_S_INFO_INDEX_EM(B250,"1")</f>
        <v>互联网</v>
      </c>
      <c r="E250" s="4">
        <f t="shared" si="3"/>
        <v>43465</v>
      </c>
      <c r="F250" s="11">
        <f>[1]!EM_S_PQ_PCTCHANGE(B250,"2018-01-01","2019-12-31","3")</f>
        <v>-22.8681938</v>
      </c>
      <c r="G250" s="11">
        <f>[1]!EM_S_PQ_PCTCHANGE(B250,"2018-12-31","2019-12-30","1")</f>
        <v>79.969650990000005</v>
      </c>
      <c r="H250" s="11">
        <f>[1]!EM_S_FA_YOY_OR(B250,E250)</f>
        <v>26.695026803400001</v>
      </c>
      <c r="I250" s="11">
        <f>[1]!EM_S_FA_GROSSPROFITMARGIN(B250,E250)</f>
        <v>48.144572375800003</v>
      </c>
      <c r="J250" s="11">
        <f>[1]!EM_S_FA_NETPROFITMARGIN(B250,E250)</f>
        <v>24.905914967499999</v>
      </c>
      <c r="K250" s="10">
        <f>[1]!EM_S_FA_ASSETSTURN(B250,E250)</f>
        <v>0.25328903617999998</v>
      </c>
      <c r="L250" s="12">
        <f>[1]!EM_HKS_VAL_MV(B250,"2019-12-31","2")</f>
        <v>9015322884.75</v>
      </c>
      <c r="M250">
        <f>[1]!EM_S_VAL_PETTMDEDUCTED(B250,E250)</f>
        <v>22.709927640163599</v>
      </c>
      <c r="N250" s="7">
        <f>[1]!EM_S_VAL_PBGOODWILLDEDUCTED(B250,E250)</f>
        <v>2.1883288653451101</v>
      </c>
      <c r="O250" s="7">
        <f>[1]!EM_S_VAL_PS_TTM(B250,E250)</f>
        <v>4.3885364189579796</v>
      </c>
      <c r="P250" s="7">
        <f>[1]!EM_S_VAL_PCF_NCFTTM(B250,E250)</f>
        <v>-7.3963336047691204</v>
      </c>
      <c r="Q250" s="7">
        <f>[1]!EM_S_VAL_DIVIDENDYIELD2(B250,E250,"2019-11-29")</f>
        <v>0</v>
      </c>
      <c r="T250"/>
      <c r="U250">
        <f>[1]!EM_S_RATIO_EPS_TTM(B250,E250,"1")</f>
        <v>0.37066719104368623</v>
      </c>
      <c r="AT250" s="4" t="str">
        <f>[1]!EM_S_IPO_LISTEDDATE(B250)</f>
        <v>2010-12-31</v>
      </c>
    </row>
    <row r="251" spans="1:46">
      <c r="A251">
        <v>1552</v>
      </c>
      <c r="B251" t="str">
        <f>"300127"</f>
        <v>300127</v>
      </c>
      <c r="C251" t="s">
        <v>852</v>
      </c>
      <c r="D251" t="str">
        <f>[1]!EM_S_INFO_INDEX_EM(B251,"1")</f>
        <v>有色金属</v>
      </c>
      <c r="E251" s="4">
        <f t="shared" si="3"/>
        <v>43465</v>
      </c>
      <c r="F251" s="11">
        <f>[1]!EM_S_PQ_PCTCHANGE(B251,"2018-01-01","2019-12-31","3")</f>
        <v>15.761096930000001</v>
      </c>
      <c r="G251" s="11">
        <f>[1]!EM_S_PQ_PCTCHANGE(B251,"2018-12-31","2019-12-30","1")</f>
        <v>79.813953490000003</v>
      </c>
      <c r="H251" s="11">
        <f>[1]!EM_S_FA_YOY_OR(B251,E251)</f>
        <v>13.7288133332</v>
      </c>
      <c r="I251" s="11">
        <f>[1]!EM_S_FA_GROSSPROFITMARGIN(B251,E251)</f>
        <v>35.805408831000001</v>
      </c>
      <c r="J251" s="11">
        <f>[1]!EM_S_FA_NETPROFITMARGIN(B251,E251)</f>
        <v>26.293112841999999</v>
      </c>
      <c r="K251" s="10">
        <f>[1]!EM_S_FA_ASSETSTURN(B251,E251)</f>
        <v>0.46166700820500001</v>
      </c>
      <c r="L251" s="12">
        <f>[1]!EM_HKS_VAL_MV(B251,"2019-12-31","2")</f>
        <v>6101003276.8000002</v>
      </c>
      <c r="M251">
        <f>[1]!EM_S_VAL_PETTMDEDUCTED(B251,E251)</f>
        <v>21.017607409985299</v>
      </c>
      <c r="N251" s="7">
        <f>[1]!EM_S_VAL_PBGOODWILLDEDUCTED(B251,E251)</f>
        <v>2.83661887449029</v>
      </c>
      <c r="O251" s="7">
        <f>[1]!EM_S_VAL_PS_TTM(B251,E251)</f>
        <v>5.6602790491133401</v>
      </c>
      <c r="P251" s="7">
        <f>[1]!EM_S_VAL_PCF_NCFTTM(B251,E251)</f>
        <v>13.733182405801699</v>
      </c>
      <c r="Q251" s="7">
        <f>[1]!EM_S_VAL_DIVIDENDYIELD2(B251,E251,"2019-11-29")</f>
        <v>1.977401129943503</v>
      </c>
      <c r="T251"/>
      <c r="U251">
        <f>[1]!EM_S_RATIO_EPS_TTM(B251,E251,"1")</f>
        <v>0.48398459964085622</v>
      </c>
      <c r="AT251" s="4" t="str">
        <f>[1]!EM_S_IPO_LISTEDDATE(B251)</f>
        <v>2010-10-13</v>
      </c>
    </row>
    <row r="252" spans="1:46">
      <c r="A252">
        <v>295</v>
      </c>
      <c r="B252" t="str">
        <f>"000713"</f>
        <v>000713</v>
      </c>
      <c r="C252" t="s">
        <v>2095</v>
      </c>
      <c r="D252" t="str">
        <f>[1]!EM_S_INFO_INDEX_EM(B252,"1")</f>
        <v>农林牧渔</v>
      </c>
      <c r="E252" s="4">
        <f t="shared" si="3"/>
        <v>43465</v>
      </c>
      <c r="F252" s="11">
        <f>[1]!EM_S_PQ_PCTCHANGE(B252,"2018-01-01","2019-12-31","3")</f>
        <v>60.106788289999997</v>
      </c>
      <c r="G252" s="11">
        <f>[1]!EM_S_PQ_PCTCHANGE(B252,"2018-12-31","2019-12-30","1")</f>
        <v>79.694323139999995</v>
      </c>
      <c r="H252" s="11">
        <f>[1]!EM_S_FA_YOY_OR(B252,E252)</f>
        <v>33.208460163399998</v>
      </c>
      <c r="I252" s="11">
        <f>[1]!EM_S_FA_GROSSPROFITMARGIN(B252,E252)</f>
        <v>16.272357251500001</v>
      </c>
      <c r="J252" s="11">
        <f>[1]!EM_S_FA_NETPROFITMARGIN(B252,E252)</f>
        <v>2.9769263554999998</v>
      </c>
      <c r="K252" s="10">
        <f>[1]!EM_S_FA_ASSETSTURN(B252,E252)</f>
        <v>0.83148850612500003</v>
      </c>
      <c r="L252" s="12">
        <f>[1]!EM_HKS_VAL_MV(B252,"2019-12-31","2")</f>
        <v>3710404811.3400002</v>
      </c>
      <c r="M252">
        <f>[1]!EM_S_VAL_PETTMDEDUCTED(B252,E252)</f>
        <v>-29.334045869305299</v>
      </c>
      <c r="N252" s="7">
        <f>[1]!EM_S_VAL_PBGOODWILLDEDUCTED(B252,E252)</f>
        <v>0.94207059026111395</v>
      </c>
      <c r="O252" s="7">
        <f>[1]!EM_S_VAL_PS_TTM(B252,E252)</f>
        <v>0.84141264571587704</v>
      </c>
      <c r="P252" s="7">
        <f>[1]!EM_S_VAL_PCF_NCFTTM(B252,E252)</f>
        <v>4304.5759807295099</v>
      </c>
      <c r="Q252" s="7">
        <f>[1]!EM_S_VAL_DIVIDENDYIELD2(B252,E252,"2019-11-29")</f>
        <v>0.19206760811216766</v>
      </c>
      <c r="T252"/>
      <c r="U252">
        <f>[1]!EM_S_RATIO_EPS_TTM(B252,E252,"1")</f>
        <v>0.17796534132848044</v>
      </c>
      <c r="AT252" s="4" t="str">
        <f>[1]!EM_S_IPO_LISTEDDATE(B252)</f>
        <v>1997-04-22</v>
      </c>
    </row>
    <row r="253" spans="1:46">
      <c r="A253">
        <v>841</v>
      </c>
      <c r="B253" t="str">
        <f>"002330"</f>
        <v>002330</v>
      </c>
      <c r="C253" t="s">
        <v>2494</v>
      </c>
      <c r="D253" t="str">
        <f>[1]!EM_S_INFO_INDEX_EM(B253,"1")</f>
        <v>食品饮料</v>
      </c>
      <c r="E253" s="4">
        <f t="shared" si="3"/>
        <v>43465</v>
      </c>
      <c r="F253" s="11">
        <f>[1]!EM_S_PQ_PCTCHANGE(B253,"2018-01-01","2019-12-31","3")</f>
        <v>-12.072828879999999</v>
      </c>
      <c r="G253" s="11">
        <f>[1]!EM_S_PQ_PCTCHANGE(B253,"2018-12-31","2019-12-30","1")</f>
        <v>78.935185189999999</v>
      </c>
      <c r="H253" s="11">
        <f>[1]!EM_S_FA_YOY_OR(B253,E253)</f>
        <v>25.479299725600001</v>
      </c>
      <c r="I253" s="11">
        <f>[1]!EM_S_FA_GROSSPROFITMARGIN(B253,E253)</f>
        <v>10.6736801624</v>
      </c>
      <c r="J253" s="11">
        <f>[1]!EM_S_FA_NETPROFITMARGIN(B253,E253)</f>
        <v>0.39436700499999999</v>
      </c>
      <c r="K253" s="10">
        <f>[1]!EM_S_FA_ASSETSTURN(B253,E253)</f>
        <v>1.166042292744</v>
      </c>
      <c r="L253" s="12">
        <f>[1]!EM_HKS_VAL_MV(B253,"2019-12-31","2")</f>
        <v>3885480000</v>
      </c>
      <c r="M253">
        <f>[1]!EM_S_VAL_PETTMDEDUCTED(B253,E253)</f>
        <v>-209.32504807913</v>
      </c>
      <c r="N253" s="7">
        <f>[1]!EM_S_VAL_PBGOODWILLDEDUCTED(B253,E253)</f>
        <v>1.62935807673772</v>
      </c>
      <c r="O253" s="7">
        <f>[1]!EM_S_VAL_PS_TTM(B253,E253)</f>
        <v>1.1050793880462599</v>
      </c>
      <c r="P253" s="7">
        <f>[1]!EM_S_VAL_PCF_NCFTTM(B253,E253)</f>
        <v>86.638925130321894</v>
      </c>
      <c r="Q253" s="7">
        <f>[1]!EM_S_VAL_DIVIDENDYIELD2(B253,E253,"2019-11-29")</f>
        <v>0</v>
      </c>
      <c r="T253"/>
      <c r="U253">
        <f>[1]!EM_S_RATIO_EPS_TTM(B253,E253,"1")</f>
        <v>1.5939403804780875E-2</v>
      </c>
      <c r="AT253" s="4" t="str">
        <f>[1]!EM_S_IPO_LISTEDDATE(B253)</f>
        <v>2010-01-06</v>
      </c>
    </row>
    <row r="254" spans="1:46">
      <c r="A254">
        <v>1740</v>
      </c>
      <c r="B254" t="str">
        <f>"300315"</f>
        <v>300315</v>
      </c>
      <c r="C254" t="s">
        <v>1735</v>
      </c>
      <c r="D254" t="str">
        <f>[1]!EM_S_INFO_INDEX_EM(B254,"1")</f>
        <v>互联网</v>
      </c>
      <c r="E254" s="4">
        <f t="shared" si="3"/>
        <v>43465</v>
      </c>
      <c r="F254" s="11">
        <f>[1]!EM_S_PQ_PCTCHANGE(B254,"2018-01-01","2019-12-31","3")</f>
        <v>11.26021029</v>
      </c>
      <c r="G254" s="11">
        <f>[1]!EM_S_PQ_PCTCHANGE(B254,"2018-12-31","2019-12-30","1")</f>
        <v>78.470254960000005</v>
      </c>
      <c r="H254" s="11">
        <f>[1]!EM_S_FA_YOY_OR(B254,E254)</f>
        <v>11.4301230688</v>
      </c>
      <c r="I254" s="11">
        <f>[1]!EM_S_FA_GROSSPROFITMARGIN(B254,E254)</f>
        <v>61.271213430800003</v>
      </c>
      <c r="J254" s="11">
        <f>[1]!EM_S_FA_NETPROFITMARGIN(B254,E254)</f>
        <v>-157.103550219</v>
      </c>
      <c r="K254" s="10">
        <f>[1]!EM_S_FA_ASSETSTURN(B254,E254)</f>
        <v>0.25033825902399998</v>
      </c>
      <c r="L254" s="12">
        <f>[1]!EM_HKS_VAL_MV(B254,"2019-12-31","2")</f>
        <v>17013677464.639999</v>
      </c>
      <c r="M254">
        <f>[1]!EM_S_VAL_PETTMDEDUCTED(B254,E254)</f>
        <v>42.5663720506274</v>
      </c>
      <c r="N254" s="7">
        <f>[1]!EM_S_VAL_PBGOODWILLDEDUCTED(B254,E254)</f>
        <v>3.1226471078103502</v>
      </c>
      <c r="O254" s="7">
        <f>[1]!EM_S_VAL_PS_TTM(B254,E254)</f>
        <v>4.6997320368703202</v>
      </c>
      <c r="P254" s="7">
        <f>[1]!EM_S_VAL_PCF_NCFTTM(B254,E254)</f>
        <v>96.112670356945699</v>
      </c>
      <c r="Q254" s="7">
        <f>[1]!EM_S_VAL_DIVIDENDYIELD2(B254,E254,"2019-11-29")</f>
        <v>0</v>
      </c>
      <c r="T254"/>
      <c r="U254">
        <f>[1]!EM_S_RATIO_EPS_TTM(B254,E254,"1")</f>
        <v>-1.1423215550169143</v>
      </c>
      <c r="AT254" s="4" t="str">
        <f>[1]!EM_S_IPO_LISTEDDATE(B254)</f>
        <v>2012-05-11</v>
      </c>
    </row>
    <row r="255" spans="1:46">
      <c r="A255">
        <v>2849</v>
      </c>
      <c r="B255" t="str">
        <f>"600776"</f>
        <v>600776</v>
      </c>
      <c r="C255" t="s">
        <v>2538</v>
      </c>
      <c r="D255" t="str">
        <f>[1]!EM_S_INFO_INDEX_EM(B255,"1")</f>
        <v>信息技术</v>
      </c>
      <c r="E255" s="4">
        <f t="shared" si="3"/>
        <v>43465</v>
      </c>
      <c r="F255" s="11">
        <f>[1]!EM_S_PQ_PCTCHANGE(B255,"2018-01-01","2019-12-31","3")</f>
        <v>192.35112889000001</v>
      </c>
      <c r="G255" s="11">
        <f>[1]!EM_S_PQ_PCTCHANGE(B255,"2018-12-31","2019-12-30","1")</f>
        <v>78.116826500000002</v>
      </c>
      <c r="H255" s="11">
        <f>[1]!EM_S_FA_YOY_OR(B255,E255)</f>
        <v>-1.3319371269</v>
      </c>
      <c r="I255" s="11">
        <f>[1]!EM_S_FA_GROSSPROFITMARGIN(B255,E255)</f>
        <v>16.424850578600001</v>
      </c>
      <c r="J255" s="11">
        <f>[1]!EM_S_FA_NETPROFITMARGIN(B255,E255)</f>
        <v>5.4194772596999998</v>
      </c>
      <c r="K255" s="10">
        <f>[1]!EM_S_FA_ASSETSTURN(B255,E255)</f>
        <v>0.63496297500700005</v>
      </c>
      <c r="L255" s="12">
        <f>[1]!EM_HKS_VAL_MV(B255,"2019-12-31","2")</f>
        <v>26162481333.119999</v>
      </c>
      <c r="M255">
        <f>[1]!EM_S_VAL_PETTMDEDUCTED(B255,E255)</f>
        <v>248.914866512939</v>
      </c>
      <c r="N255" s="7">
        <f>[1]!EM_S_VAL_PBGOODWILLDEDUCTED(B255,E255)</f>
        <v>4.7061224530430801</v>
      </c>
      <c r="O255" s="7">
        <f>[1]!EM_S_VAL_PS_TTM(B255,E255)</f>
        <v>5.9957411321795204</v>
      </c>
      <c r="P255" s="7">
        <f>[1]!EM_S_VAL_PCF_NCFTTM(B255,E255)</f>
        <v>-70.117409275884398</v>
      </c>
      <c r="Q255" s="7">
        <f>[1]!EM_S_VAL_DIVIDENDYIELD2(B255,E255,"2019-11-29")</f>
        <v>0.31512605042016806</v>
      </c>
      <c r="T255"/>
      <c r="U255">
        <f>[1]!EM_S_RATIO_EPS_TTM(B255,E255,"1")</f>
        <v>0.10143508596986824</v>
      </c>
      <c r="AT255" s="4" t="str">
        <f>[1]!EM_S_IPO_LISTEDDATE(B255)</f>
        <v>1996-11-26</v>
      </c>
    </row>
    <row r="256" spans="1:46">
      <c r="A256">
        <v>2982</v>
      </c>
      <c r="B256" t="str">
        <f>"600933"</f>
        <v>600933</v>
      </c>
      <c r="C256" t="s">
        <v>701</v>
      </c>
      <c r="D256" t="str">
        <f>[1]!EM_S_INFO_INDEX_EM(B256,"1")</f>
        <v>交运设备</v>
      </c>
      <c r="E256" s="4">
        <f t="shared" si="3"/>
        <v>43465</v>
      </c>
      <c r="F256" s="11">
        <f>[1]!EM_S_PQ_PCTCHANGE(B256,"2018-01-01","2019-12-31","3")</f>
        <v>-5.1485056599999997</v>
      </c>
      <c r="G256" s="11">
        <f>[1]!EM_S_PQ_PCTCHANGE(B256,"2018-12-31","2019-12-30","1")</f>
        <v>78.06788512</v>
      </c>
      <c r="H256" s="11">
        <f>[1]!EM_S_FA_YOY_OR(B256,E256)</f>
        <v>15.306517359000001</v>
      </c>
      <c r="I256" s="11">
        <f>[1]!EM_S_FA_GROSSPROFITMARGIN(B256,E256)</f>
        <v>34.2274976482</v>
      </c>
      <c r="J256" s="11">
        <f>[1]!EM_S_FA_NETPROFITMARGIN(B256,E256)</f>
        <v>18.929796755800002</v>
      </c>
      <c r="K256" s="10">
        <f>[1]!EM_S_FA_ASSETSTURN(B256,E256)</f>
        <v>0.53744921883999996</v>
      </c>
      <c r="L256" s="12">
        <f>[1]!EM_HKS_VAL_MV(B256,"2019-12-31","2")</f>
        <v>11953598790</v>
      </c>
      <c r="M256">
        <f>[1]!EM_S_VAL_PETTMDEDUCTED(B256,E256)</f>
        <v>15.218298880297001</v>
      </c>
      <c r="N256" s="7">
        <f>[1]!EM_S_VAL_PBGOODWILLDEDUCTED(B256,E256)</f>
        <v>1.7097718039941301</v>
      </c>
      <c r="O256" s="7">
        <f>[1]!EM_S_VAL_PS_TTM(B256,E256)</f>
        <v>2.6265592514429299</v>
      </c>
      <c r="P256" s="7">
        <f>[1]!EM_S_VAL_PCF_NCFTTM(B256,E256)</f>
        <v>12.8834040421831</v>
      </c>
      <c r="Q256" s="7">
        <f>[1]!EM_S_VAL_DIVIDENDYIELD2(B256,E256,"2019-11-29")</f>
        <v>2.0060627213175688</v>
      </c>
      <c r="T256"/>
      <c r="U256">
        <f>[1]!EM_S_RATIO_EPS_TTM(B256,E256,"1")</f>
        <v>0.55056621443354736</v>
      </c>
      <c r="AT256" s="4" t="str">
        <f>[1]!EM_S_IPO_LISTEDDATE(B256)</f>
        <v>2017-11-17</v>
      </c>
    </row>
    <row r="257" spans="1:46">
      <c r="A257">
        <v>1308</v>
      </c>
      <c r="B257" t="str">
        <f>"002803"</f>
        <v>002803</v>
      </c>
      <c r="C257" t="s">
        <v>506</v>
      </c>
      <c r="D257" t="str">
        <f>[1]!EM_S_INFO_INDEX_EM(B257,"1")</f>
        <v>轻工制造</v>
      </c>
      <c r="E257" s="4">
        <f t="shared" si="3"/>
        <v>43465</v>
      </c>
      <c r="F257" s="11">
        <f>[1]!EM_S_PQ_PCTCHANGE(B257,"2018-01-01","2019-12-31","3")</f>
        <v>2.10241736</v>
      </c>
      <c r="G257" s="11">
        <f>[1]!EM_S_PQ_PCTCHANGE(B257,"2018-12-31","2019-12-30","1")</f>
        <v>78.033898309999998</v>
      </c>
      <c r="H257" s="11">
        <f>[1]!EM_S_FA_YOY_OR(B257,E257)</f>
        <v>100.3371810169</v>
      </c>
      <c r="I257" s="11">
        <f>[1]!EM_S_FA_GROSSPROFITMARGIN(B257,E257)</f>
        <v>43.057990677500001</v>
      </c>
      <c r="J257" s="11">
        <f>[1]!EM_S_FA_NETPROFITMARGIN(B257,E257)</f>
        <v>10.0637928028</v>
      </c>
      <c r="K257" s="10">
        <f>[1]!EM_S_FA_ASSETSTURN(B257,E257)</f>
        <v>1.6582126773670001</v>
      </c>
      <c r="L257" s="12">
        <f>[1]!EM_HKS_VAL_MV(B257,"2019-12-31","2")</f>
        <v>5894281149.5200005</v>
      </c>
      <c r="M257">
        <f>[1]!EM_S_VAL_PETTMDEDUCTED(B257,E257)</f>
        <v>17.2604188185291</v>
      </c>
      <c r="N257" s="7">
        <f>[1]!EM_S_VAL_PBGOODWILLDEDUCTED(B257,E257)</f>
        <v>5.3577667748254996</v>
      </c>
      <c r="O257" s="7">
        <f>[1]!EM_S_VAL_PS_TTM(B257,E257)</f>
        <v>1.41670634633305</v>
      </c>
      <c r="P257" s="7">
        <f>[1]!EM_S_VAL_PCF_NCFTTM(B257,E257)</f>
        <v>22.725061634963801</v>
      </c>
      <c r="Q257" s="7">
        <f>[1]!EM_S_VAL_DIVIDENDYIELD2(B257,E257,"2019-11-29")</f>
        <v>2.0545431354359924</v>
      </c>
      <c r="T257"/>
      <c r="U257">
        <f>[1]!EM_S_RATIO_EPS_TTM(B257,E257,"1")</f>
        <v>1.0809824821501013</v>
      </c>
      <c r="AT257" s="4" t="str">
        <f>[1]!EM_S_IPO_LISTEDDATE(B257)</f>
        <v>2016-07-12</v>
      </c>
    </row>
    <row r="258" spans="1:46">
      <c r="A258">
        <v>2033</v>
      </c>
      <c r="B258" t="str">
        <f>"300613"</f>
        <v>300613</v>
      </c>
      <c r="C258" t="s">
        <v>1605</v>
      </c>
      <c r="D258" t="str">
        <f>[1]!EM_S_INFO_INDEX_EM(B258,"1")</f>
        <v>电子设备</v>
      </c>
      <c r="E258" s="4">
        <f t="shared" si="3"/>
        <v>43465</v>
      </c>
      <c r="F258" s="11">
        <f>[1]!EM_S_PQ_PCTCHANGE(B258,"2018-01-01","2019-12-31","3")</f>
        <v>-22.490746260000002</v>
      </c>
      <c r="G258" s="11">
        <f>[1]!EM_S_PQ_PCTCHANGE(B258,"2018-12-31","2019-12-30","1")</f>
        <v>78.017337190000006</v>
      </c>
      <c r="H258" s="11">
        <f>[1]!EM_S_FA_YOY_OR(B258,E258)</f>
        <v>-8.2831290152000001</v>
      </c>
      <c r="I258" s="11">
        <f>[1]!EM_S_FA_GROSSPROFITMARGIN(B258,E258)</f>
        <v>41.944412994499999</v>
      </c>
      <c r="J258" s="11">
        <f>[1]!EM_S_FA_NETPROFITMARGIN(B258,E258)</f>
        <v>11.229111448099999</v>
      </c>
      <c r="K258" s="10">
        <f>[1]!EM_S_FA_ASSETSTURN(B258,E258)</f>
        <v>0.36327260271200001</v>
      </c>
      <c r="L258" s="12">
        <f>[1]!EM_HKS_VAL_MV(B258,"2019-12-31","2")</f>
        <v>7208057664</v>
      </c>
      <c r="M258">
        <f>[1]!EM_S_VAL_PETTMDEDUCTED(B258,E258)</f>
        <v>68.932351400627894</v>
      </c>
      <c r="N258" s="7">
        <f>[1]!EM_S_VAL_PBGOODWILLDEDUCTED(B258,E258)</f>
        <v>3.9824238370200402</v>
      </c>
      <c r="O258" s="7">
        <f>[1]!EM_S_VAL_PS_TTM(B258,E258)</f>
        <v>9.5362444147911596</v>
      </c>
      <c r="P258" s="7">
        <f>[1]!EM_S_VAL_PCF_NCFTTM(B258,E258)</f>
        <v>-20.620309382648902</v>
      </c>
      <c r="Q258" s="7">
        <f>[1]!EM_S_VAL_DIVIDENDYIELD2(B258,E258,"2019-11-29")</f>
        <v>8.2918739635157543E-2</v>
      </c>
      <c r="T258"/>
      <c r="U258">
        <f>[1]!EM_S_RATIO_EPS_TTM(B258,E258,"1")</f>
        <v>1.2026426364697602</v>
      </c>
      <c r="AT258" s="4" t="str">
        <f>[1]!EM_S_IPO_LISTEDDATE(B258)</f>
        <v>2017-02-20</v>
      </c>
    </row>
    <row r="259" spans="1:46">
      <c r="A259">
        <v>1430</v>
      </c>
      <c r="B259" t="str">
        <f>"300004"</f>
        <v>300004</v>
      </c>
      <c r="C259" t="s">
        <v>3310</v>
      </c>
      <c r="D259" t="str">
        <f>[1]!EM_S_INFO_INDEX_EM(B259,"1")</f>
        <v>机械设备</v>
      </c>
      <c r="E259" s="4">
        <f t="shared" ref="E259:E322" si="4">$B$1</f>
        <v>43465</v>
      </c>
      <c r="F259" s="11">
        <f>[1]!EM_S_PQ_PCTCHANGE(B259,"2018-01-01","2019-12-31","3")</f>
        <v>-33.976833980000002</v>
      </c>
      <c r="G259" s="11">
        <f>[1]!EM_S_PQ_PCTCHANGE(B259,"2018-12-31","2019-12-30","1")</f>
        <v>77.994428970000001</v>
      </c>
      <c r="H259" s="11">
        <f>[1]!EM_S_FA_YOY_OR(B259,E259)</f>
        <v>8.6981035065000007</v>
      </c>
      <c r="I259" s="11">
        <f>[1]!EM_S_FA_GROSSPROFITMARGIN(B259,E259)</f>
        <v>29.2846497548</v>
      </c>
      <c r="J259" s="11">
        <f>[1]!EM_S_FA_NETPROFITMARGIN(B259,E259)</f>
        <v>-109.2108902264</v>
      </c>
      <c r="K259" s="10">
        <f>[1]!EM_S_FA_ASSETSTURN(B259,E259)</f>
        <v>0.28242031411599999</v>
      </c>
      <c r="L259" s="12">
        <f>[1]!EM_HKS_VAL_MV(B259,"2019-12-31","2")</f>
        <v>3283156210.3200002</v>
      </c>
      <c r="M259">
        <f>[1]!EM_S_VAL_PETTMDEDUCTED(B259,E259)</f>
        <v>-6.5403251986682198</v>
      </c>
      <c r="N259" s="7">
        <f>[1]!EM_S_VAL_PBGOODWILLDEDUCTED(B259,E259)</f>
        <v>0.88030240776361601</v>
      </c>
      <c r="O259" s="7">
        <f>[1]!EM_S_VAL_PS_TTM(B259,E259)</f>
        <v>1.9904128597453601</v>
      </c>
      <c r="P259" s="7">
        <f>[1]!EM_S_VAL_PCF_NCFTTM(B259,E259)</f>
        <v>-26.9259912632862</v>
      </c>
      <c r="Q259" s="7">
        <f>[1]!EM_S_VAL_DIVIDENDYIELD2(B259,E259,"2019-11-29")</f>
        <v>0</v>
      </c>
      <c r="T259"/>
      <c r="U259">
        <f>[1]!EM_S_RATIO_EPS_TTM(B259,E259,"1")</f>
        <v>-2.0724948105041232</v>
      </c>
      <c r="AT259" s="4" t="str">
        <f>[1]!EM_S_IPO_LISTEDDATE(B259)</f>
        <v>2009-10-30</v>
      </c>
    </row>
    <row r="260" spans="1:46">
      <c r="A260">
        <v>2910</v>
      </c>
      <c r="B260" t="str">
        <f>"600837"</f>
        <v>600837</v>
      </c>
      <c r="C260" t="s">
        <v>1795</v>
      </c>
      <c r="D260" t="str">
        <f>[1]!EM_S_INFO_INDEX_EM(B260,"1")</f>
        <v>金融</v>
      </c>
      <c r="E260" s="4">
        <f t="shared" si="4"/>
        <v>43465</v>
      </c>
      <c r="F260" s="11">
        <f>[1]!EM_S_PQ_PCTCHANGE(B260,"2018-01-01","2019-12-31","3")</f>
        <v>24.44395652</v>
      </c>
      <c r="G260" s="11">
        <f>[1]!EM_S_PQ_PCTCHANGE(B260,"2018-12-31","2019-12-30","1")</f>
        <v>77.954545449999998</v>
      </c>
      <c r="H260" s="11">
        <f>[1]!EM_S_FA_YOY_OR(B260,E260)</f>
        <v>-15.791599094</v>
      </c>
      <c r="I260" s="11">
        <f>[1]!EM_S_FA_GROSSPROFITMARGIN(B260,E260)</f>
        <v>0</v>
      </c>
      <c r="J260" s="11">
        <f>[1]!EM_S_FA_NETPROFITMARGIN(B260,E260)</f>
        <v>24.282368763499999</v>
      </c>
      <c r="K260" s="10">
        <f>[1]!EM_S_FA_ASSETSTURN(B260,E260)</f>
        <v>0</v>
      </c>
      <c r="L260" s="12">
        <f>[1]!EM_HKS_VAL_MV(B260,"2019-12-31","2")</f>
        <v>177816282000</v>
      </c>
      <c r="M260">
        <f>[1]!EM_S_VAL_PETTMDEDUCTED(B260,E260)</f>
        <v>18.314440017436102</v>
      </c>
      <c r="N260" s="7">
        <f>[1]!EM_S_VAL_PBGOODWILLDEDUCTED(B260,E260)</f>
        <v>0.889314114547612</v>
      </c>
      <c r="O260" s="7">
        <f>[1]!EM_S_VAL_PS_TTM(B260,E260)</f>
        <v>4.0252275296057904</v>
      </c>
      <c r="P260" s="7">
        <f>[1]!EM_S_VAL_PCF_NCFTTM(B260,E260)</f>
        <v>41.667018261818001</v>
      </c>
      <c r="Q260" s="7">
        <f>[1]!EM_S_VAL_DIVIDENDYIELD2(B260,E260,"2019-11-29")</f>
        <v>1.0917030567685591</v>
      </c>
      <c r="T260"/>
      <c r="U260">
        <f>[1]!EM_S_RATIO_EPS_TTM(B260,E260,"1")</f>
        <v>0.45307156323586945</v>
      </c>
      <c r="AT260" s="4" t="str">
        <f>[1]!EM_S_IPO_LISTEDDATE(B260)</f>
        <v>1994-02-24</v>
      </c>
    </row>
    <row r="261" spans="1:46">
      <c r="A261">
        <v>3277</v>
      </c>
      <c r="B261" t="str">
        <f>"603118"</f>
        <v>603118</v>
      </c>
      <c r="C261" t="s">
        <v>3080</v>
      </c>
      <c r="D261" t="str">
        <f>[1]!EM_S_INFO_INDEX_EM(B261,"1")</f>
        <v>信息技术</v>
      </c>
      <c r="E261" s="4">
        <f t="shared" si="4"/>
        <v>43465</v>
      </c>
      <c r="F261" s="11">
        <f>[1]!EM_S_PQ_PCTCHANGE(B261,"2018-01-01","2019-12-31","3")</f>
        <v>35.27286213</v>
      </c>
      <c r="G261" s="11">
        <f>[1]!EM_S_PQ_PCTCHANGE(B261,"2018-12-31","2019-12-30","1")</f>
        <v>77.936507939999998</v>
      </c>
      <c r="H261" s="11">
        <f>[1]!EM_S_FA_YOY_OR(B261,E261)</f>
        <v>10.305502837400001</v>
      </c>
      <c r="I261" s="11">
        <f>[1]!EM_S_FA_GROSSPROFITMARGIN(B261,E261)</f>
        <v>12.6656581179</v>
      </c>
      <c r="J261" s="11">
        <f>[1]!EM_S_FA_NETPROFITMARGIN(B261,E261)</f>
        <v>2.3248303648999999</v>
      </c>
      <c r="K261" s="10">
        <f>[1]!EM_S_FA_ASSETSTURN(B261,E261)</f>
        <v>1.087610190633</v>
      </c>
      <c r="L261" s="12">
        <f>[1]!EM_HKS_VAL_MV(B261,"2019-12-31","2")</f>
        <v>8719242651.6800003</v>
      </c>
      <c r="M261">
        <f>[1]!EM_S_VAL_PETTMDEDUCTED(B261,E261)</f>
        <v>89.287486108404593</v>
      </c>
      <c r="N261" s="7">
        <f>[1]!EM_S_VAL_PBGOODWILLDEDUCTED(B261,E261)</f>
        <v>1.2494377966252399</v>
      </c>
      <c r="O261" s="7">
        <f>[1]!EM_S_VAL_PS_TTM(B261,E261)</f>
        <v>0.60961882562599701</v>
      </c>
      <c r="P261" s="7">
        <f>[1]!EM_S_VAL_PCF_NCFTTM(B261,E261)</f>
        <v>-22.085307307623999</v>
      </c>
      <c r="Q261" s="7">
        <f>[1]!EM_S_VAL_DIVIDENDYIELD2(B261,E261,"2019-11-29")</f>
        <v>4.7229791099000904</v>
      </c>
      <c r="T261"/>
      <c r="U261">
        <f>[1]!EM_S_RATIO_EPS_TTM(B261,E261,"1")</f>
        <v>0.2461114017076774</v>
      </c>
      <c r="AT261" s="4" t="str">
        <f>[1]!EM_S_IPO_LISTEDDATE(B261)</f>
        <v>2015-02-25</v>
      </c>
    </row>
    <row r="262" spans="1:46">
      <c r="A262">
        <v>560</v>
      </c>
      <c r="B262" t="str">
        <f>"002049"</f>
        <v>002049</v>
      </c>
      <c r="C262" t="s">
        <v>1915</v>
      </c>
      <c r="D262" t="str">
        <f>[1]!EM_S_INFO_INDEX_EM(B262,"1")</f>
        <v>电子设备</v>
      </c>
      <c r="E262" s="4">
        <f t="shared" si="4"/>
        <v>43465</v>
      </c>
      <c r="F262" s="11">
        <f>[1]!EM_S_PQ_PCTCHANGE(B262,"2018-01-01","2019-12-31","3")</f>
        <v>6.1903031300000002</v>
      </c>
      <c r="G262" s="11">
        <f>[1]!EM_S_PQ_PCTCHANGE(B262,"2018-12-31","2019-12-30","1")</f>
        <v>77.854671280000005</v>
      </c>
      <c r="H262" s="11">
        <f>[1]!EM_S_FA_YOY_OR(B262,E262)</f>
        <v>34.406495410399998</v>
      </c>
      <c r="I262" s="11">
        <f>[1]!EM_S_FA_GROSSPROFITMARGIN(B262,E262)</f>
        <v>30.147519450099999</v>
      </c>
      <c r="J262" s="11">
        <f>[1]!EM_S_FA_NETPROFITMARGIN(B262,E262)</f>
        <v>14.177909268900001</v>
      </c>
      <c r="K262" s="10">
        <f>[1]!EM_S_FA_ASSETSTURN(B262,E262)</f>
        <v>0.449723362869</v>
      </c>
      <c r="L262" s="12">
        <f>[1]!EM_HKS_VAL_MV(B262,"2019-12-31","2")</f>
        <v>30850625493.119999</v>
      </c>
      <c r="M262">
        <f>[1]!EM_S_VAL_PETTMDEDUCTED(B262,E262)</f>
        <v>87.550137576508305</v>
      </c>
      <c r="N262" s="7">
        <f>[1]!EM_S_VAL_PBGOODWILLDEDUCTED(B262,E262)</f>
        <v>5.8697493147376196</v>
      </c>
      <c r="O262" s="7">
        <f>[1]!EM_S_VAL_PS_TTM(B262,E262)</f>
        <v>7.8560247504875402</v>
      </c>
      <c r="P262" s="7">
        <f>[1]!EM_S_VAL_PCF_NCFTTM(B262,E262)</f>
        <v>-167.21137521542801</v>
      </c>
      <c r="Q262" s="7">
        <f>[1]!EM_S_VAL_DIVIDENDYIELD2(B262,E262,"2019-11-29")</f>
        <v>0.1294642857142857</v>
      </c>
      <c r="T262"/>
      <c r="U262">
        <f>[1]!EM_S_RATIO_EPS_TTM(B262,E262,"1")</f>
        <v>0.57344011014848528</v>
      </c>
      <c r="AT262" s="4" t="str">
        <f>[1]!EM_S_IPO_LISTEDDATE(B262)</f>
        <v>2005-06-06</v>
      </c>
    </row>
    <row r="263" spans="1:46">
      <c r="A263">
        <v>1461</v>
      </c>
      <c r="B263" t="str">
        <f>"300035"</f>
        <v>300035</v>
      </c>
      <c r="C263" t="s">
        <v>1065</v>
      </c>
      <c r="D263" t="str">
        <f>[1]!EM_S_INFO_INDEX_EM(B263,"1")</f>
        <v>有色金属</v>
      </c>
      <c r="E263" s="4">
        <f t="shared" si="4"/>
        <v>43465</v>
      </c>
      <c r="F263" s="11">
        <f>[1]!EM_S_PQ_PCTCHANGE(B263,"2018-01-01","2019-12-31","3")</f>
        <v>6.0033830200000002</v>
      </c>
      <c r="G263" s="11">
        <f>[1]!EM_S_PQ_PCTCHANGE(B263,"2018-12-31","2019-12-30","1")</f>
        <v>77.777777779999994</v>
      </c>
      <c r="H263" s="11">
        <f>[1]!EM_S_FA_YOY_OR(B263,E263)</f>
        <v>47.222194860099997</v>
      </c>
      <c r="I263" s="11">
        <f>[1]!EM_S_FA_GROSSPROFITMARGIN(B263,E263)</f>
        <v>38.018381215799998</v>
      </c>
      <c r="J263" s="11">
        <f>[1]!EM_S_FA_NETPROFITMARGIN(B263,E263)</f>
        <v>21.049195681200001</v>
      </c>
      <c r="K263" s="10">
        <f>[1]!EM_S_FA_ASSETSTURN(B263,E263)</f>
        <v>0.36142557648399998</v>
      </c>
      <c r="L263" s="12">
        <f>[1]!EM_HKS_VAL_MV(B263,"2019-12-31","2")</f>
        <v>5041556816.8800001</v>
      </c>
      <c r="M263">
        <f>[1]!EM_S_VAL_PETTMDEDUCTED(B263,E263)</f>
        <v>38.910448762648599</v>
      </c>
      <c r="N263" s="7">
        <f>[1]!EM_S_VAL_PBGOODWILLDEDUCTED(B263,E263)</f>
        <v>3.0147467217842299</v>
      </c>
      <c r="O263" s="7">
        <f>[1]!EM_S_VAL_PS_TTM(B263,E263)</f>
        <v>4.10316225258412</v>
      </c>
      <c r="P263" s="7">
        <f>[1]!EM_S_VAL_PCF_NCFTTM(B263,E263)</f>
        <v>354.28000124499601</v>
      </c>
      <c r="Q263" s="7">
        <f>[1]!EM_S_VAL_DIVIDENDYIELD2(B263,E263,"2019-11-29")</f>
        <v>0.47068533758436909</v>
      </c>
      <c r="T263"/>
      <c r="U263">
        <f>[1]!EM_S_RATIO_EPS_TTM(B263,E263,"1")</f>
        <v>0.25165158904377138</v>
      </c>
      <c r="AT263" s="4" t="str">
        <f>[1]!EM_S_IPO_LISTEDDATE(B263)</f>
        <v>2009-12-25</v>
      </c>
    </row>
    <row r="264" spans="1:46">
      <c r="A264">
        <v>1412</v>
      </c>
      <c r="B264" t="str">
        <f>"002916"</f>
        <v>002916</v>
      </c>
      <c r="C264" t="s">
        <v>585</v>
      </c>
      <c r="D264" t="str">
        <f>[1]!EM_S_INFO_INDEX_EM(B264,"1")</f>
        <v>电子设备</v>
      </c>
      <c r="E264" s="4">
        <f t="shared" si="4"/>
        <v>43465</v>
      </c>
      <c r="F264" s="11">
        <f>[1]!EM_S_PQ_PCTCHANGE(B264,"2018-01-01","2019-12-31","3")</f>
        <v>98.164748500000002</v>
      </c>
      <c r="G264" s="11">
        <f>[1]!EM_S_PQ_PCTCHANGE(B264,"2018-12-31","2019-12-30","1")</f>
        <v>77.585131599999997</v>
      </c>
      <c r="H264" s="11">
        <f>[1]!EM_S_FA_YOY_OR(B264,E264)</f>
        <v>33.677205114899998</v>
      </c>
      <c r="I264" s="11">
        <f>[1]!EM_S_FA_GROSSPROFITMARGIN(B264,E264)</f>
        <v>23.1295922555</v>
      </c>
      <c r="J264" s="11">
        <f>[1]!EM_S_FA_NETPROFITMARGIN(B264,E264)</f>
        <v>9.1857826294000002</v>
      </c>
      <c r="K264" s="10">
        <f>[1]!EM_S_FA_ASSETSTURN(B264,E264)</f>
        <v>0.95212437254500004</v>
      </c>
      <c r="L264" s="12">
        <f>[1]!EM_HKS_VAL_MV(B264,"2019-12-31","2")</f>
        <v>48223056000</v>
      </c>
      <c r="M264">
        <f>[1]!EM_S_VAL_PETTMDEDUCTED(B264,E264)</f>
        <v>42.473457661323501</v>
      </c>
      <c r="N264" s="7">
        <f>[1]!EM_S_VAL_PBGOODWILLDEDUCTED(B264,E264)</f>
        <v>6.0303446134542602</v>
      </c>
      <c r="O264" s="7">
        <f>[1]!EM_S_VAL_PS_TTM(B264,E264)</f>
        <v>3.2965432563871002</v>
      </c>
      <c r="P264" s="7">
        <f>[1]!EM_S_VAL_PCF_NCFTTM(B264,E264)</f>
        <v>169.39453090191199</v>
      </c>
      <c r="Q264" s="7">
        <f>[1]!EM_S_VAL_DIVIDENDYIELD2(B264,E264,"2019-11-29")</f>
        <v>0.42781846806762958</v>
      </c>
      <c r="T264"/>
      <c r="U264">
        <f>[1]!EM_S_RATIO_EPS_TTM(B264,E264,"1")</f>
        <v>2.4901869929285714</v>
      </c>
      <c r="AT264" s="4" t="str">
        <f>[1]!EM_S_IPO_LISTEDDATE(B264)</f>
        <v>2017-12-13</v>
      </c>
    </row>
    <row r="265" spans="1:46">
      <c r="A265">
        <v>1</v>
      </c>
      <c r="B265" t="str">
        <f>"000001"</f>
        <v>000001</v>
      </c>
      <c r="C265" t="s">
        <v>903</v>
      </c>
      <c r="D265" t="str">
        <f>[1]!EM_S_INFO_INDEX_EM(B265,"1")</f>
        <v>金融</v>
      </c>
      <c r="E265" s="4">
        <f t="shared" si="4"/>
        <v>43465</v>
      </c>
      <c r="F265" s="11">
        <f>[1]!EM_S_PQ_PCTCHANGE(B265,"2018-01-01","2019-12-31","3")</f>
        <v>27.012383320000001</v>
      </c>
      <c r="G265" s="11">
        <f>[1]!EM_S_PQ_PCTCHANGE(B265,"2019-01-01","2019-12-31","3")</f>
        <v>77.220555840000003</v>
      </c>
      <c r="H265" s="11">
        <f>[1]!EM_S_FA_YOY_OR(B265,E265)</f>
        <v>10.332180061600001</v>
      </c>
      <c r="I265" s="11">
        <f>[1]!EM_S_FA_GROSSPROFITMARGIN(B265,E265)</f>
        <v>0</v>
      </c>
      <c r="J265" s="11">
        <f>[1]!EM_S_FA_NETPROFITMARGIN(B265,E265)</f>
        <v>21.2635799719</v>
      </c>
      <c r="K265" s="10">
        <f>[1]!EM_S_FA_ASSETSTURN(B265,E265)</f>
        <v>0</v>
      </c>
      <c r="L265" s="12">
        <f>[1]!EM_HKS_VAL_MV(B265,"2019-12-31","2")</f>
        <v>319227354357.09998</v>
      </c>
      <c r="M265">
        <f>[1]!EM_S_VAL_PETTMDEDUCTED(B265,E265)</f>
        <v>6.6064423730702702</v>
      </c>
      <c r="N265" s="7">
        <f>[1]!EM_S_VAL_PBGOODWILLDEDUCTED(B265,E265)</f>
        <v>0.75784726503771405</v>
      </c>
      <c r="O265" s="7">
        <f>[1]!EM_S_VAL_PS_TTM(B265,E265)</f>
        <v>1.4301306950317001</v>
      </c>
      <c r="P265" s="7">
        <f>[1]!EM_S_VAL_PCF_NCFTTM(B265,E265)</f>
        <v>4.1652690566395103</v>
      </c>
      <c r="Q265" s="7">
        <f>[1]!EM_S_VAL_DIVIDENDYIELD2(B265,E265,"2019-11-29")</f>
        <v>0.83908705390280169</v>
      </c>
      <c r="R265" s="5">
        <f>[1]!EM_S_SHARE_TOTAL(B265,E265)</f>
        <v>17170411366</v>
      </c>
      <c r="S265">
        <f>[1]!EM_S_SHARE_LIQA(B265,E265)</f>
        <v>17170246773</v>
      </c>
      <c r="T265"/>
      <c r="U265">
        <f>[1]!EM_S_RATIO_EPS_TTM(B265,E265,"1")</f>
        <v>1.4453934428818274</v>
      </c>
      <c r="V265">
        <f>[1]!EM_S_FA_BPS(B265,E265)</f>
        <v>12.82</v>
      </c>
      <c r="W265" s="6">
        <f>[1]!EM_S_FA_ROE_BASIC(B265,E265)</f>
        <v>11.49</v>
      </c>
      <c r="X265">
        <f>[1]!EM_S_STM07_IS(B265,"83",E265,"1")</f>
        <v>116716000000</v>
      </c>
      <c r="Y265" s="7">
        <f>[1]!EM_S_FA_YOY_TR(B265,E265)</f>
        <v>10.332180061600001</v>
      </c>
      <c r="Z265">
        <f>[1]!EM_S_STM07_IS(B265,"48",E265,"1")</f>
        <v>32305000000</v>
      </c>
      <c r="AQ265">
        <f>[1]!EM_S_FA_ROE_TTM(B265,E265,"1")</f>
        <v>10.339024004132609</v>
      </c>
      <c r="AT265" s="4" t="str">
        <f>[1]!EM_S_IPO_LISTEDDATE(B265)</f>
        <v>1991-04-03</v>
      </c>
    </row>
    <row r="266" spans="1:46">
      <c r="A266">
        <v>2165</v>
      </c>
      <c r="B266" t="str">
        <f>"600004"</f>
        <v>600004</v>
      </c>
      <c r="C266" t="s">
        <v>889</v>
      </c>
      <c r="D266" t="str">
        <f>[1]!EM_S_INFO_INDEX_EM(B266,"1")</f>
        <v>交通运输</v>
      </c>
      <c r="E266" s="4">
        <f t="shared" si="4"/>
        <v>43465</v>
      </c>
      <c r="F266" s="11">
        <f>[1]!EM_S_PQ_PCTCHANGE(B266,"2018-01-01","2019-12-31","3")</f>
        <v>21.890280789999998</v>
      </c>
      <c r="G266" s="11">
        <f>[1]!EM_S_PQ_PCTCHANGE(B266,"2018-12-31","2019-12-30","1")</f>
        <v>77.01492537</v>
      </c>
      <c r="H266" s="11">
        <f>[1]!EM_S_FA_YOY_OR(B266,E266)</f>
        <v>14.571612631700001</v>
      </c>
      <c r="I266" s="11">
        <f>[1]!EM_S_FA_GROSSPROFITMARGIN(B266,E266)</f>
        <v>29.748148832799998</v>
      </c>
      <c r="J266" s="11">
        <f>[1]!EM_S_FA_NETPROFITMARGIN(B266,E266)</f>
        <v>14.998790016799999</v>
      </c>
      <c r="K266" s="10">
        <f>[1]!EM_S_FA_ASSETSTURN(B266,E266)</f>
        <v>0.31246933143599998</v>
      </c>
      <c r="L266" s="12">
        <f>[1]!EM_HKS_VAL_MV(B266,"2019-12-31","2")</f>
        <v>36109642969.300003</v>
      </c>
      <c r="M266">
        <f>[1]!EM_S_VAL_PETTMDEDUCTED(B266,E266)</f>
        <v>16.245419561819201</v>
      </c>
      <c r="N266" s="7">
        <f>[1]!EM_S_VAL_PBGOODWILLDEDUCTED(B266,E266)</f>
        <v>1.3317779562232801</v>
      </c>
      <c r="O266" s="7">
        <f>[1]!EM_S_VAL_PS_TTM(B266,E266)</f>
        <v>2.7197788736409798</v>
      </c>
      <c r="P266" s="7">
        <f>[1]!EM_S_VAL_PCF_NCFTTM(B266,E266)</f>
        <v>8.3909293294714509</v>
      </c>
      <c r="Q266" s="7">
        <f>[1]!EM_S_VAL_DIVIDENDYIELD2(B266,E266,"2019-11-29")</f>
        <v>1.0179640718562872</v>
      </c>
      <c r="T266"/>
      <c r="U266">
        <f>[1]!EM_S_RATIO_EPS_TTM(B266,E266,"1")</f>
        <v>0.54567233798272785</v>
      </c>
      <c r="AT266" s="4" t="str">
        <f>[1]!EM_S_IPO_LISTEDDATE(B266)</f>
        <v>2003-04-28</v>
      </c>
    </row>
    <row r="267" spans="1:46">
      <c r="A267">
        <v>379</v>
      </c>
      <c r="B267" t="str">
        <f>"000823"</f>
        <v>000823</v>
      </c>
      <c r="C267" t="s">
        <v>2884</v>
      </c>
      <c r="D267" t="str">
        <f>[1]!EM_S_INFO_INDEX_EM(B267,"1")</f>
        <v>电子设备</v>
      </c>
      <c r="E267" s="4">
        <f t="shared" si="4"/>
        <v>43465</v>
      </c>
      <c r="F267" s="11">
        <f>[1]!EM_S_PQ_PCTCHANGE(B267,"2018-01-01","2019-12-31","3")</f>
        <v>2.00073151</v>
      </c>
      <c r="G267" s="11">
        <f>[1]!EM_S_PQ_PCTCHANGE(B267,"2018-12-31","2019-12-30","1")</f>
        <v>76.666666669999998</v>
      </c>
      <c r="H267" s="11">
        <f>[1]!EM_S_FA_YOY_OR(B267,E267)</f>
        <v>14.0341500213</v>
      </c>
      <c r="I267" s="11">
        <f>[1]!EM_S_FA_GROSSPROFITMARGIN(B267,E267)</f>
        <v>20.020079695900002</v>
      </c>
      <c r="J267" s="11">
        <f>[1]!EM_S_FA_NETPROFITMARGIN(B267,E267)</f>
        <v>6.6810806568999999</v>
      </c>
      <c r="K267" s="10">
        <f>[1]!EM_S_FA_ASSETSTURN(B267,E267)</f>
        <v>0.93885209053899998</v>
      </c>
      <c r="L267" s="12">
        <f>[1]!EM_HKS_VAL_MV(B267,"2019-12-31","2")</f>
        <v>7254410660</v>
      </c>
      <c r="M267">
        <f>[1]!EM_S_VAL_PETTMDEDUCTED(B267,E267)</f>
        <v>17.982440389592298</v>
      </c>
      <c r="N267" s="7">
        <f>[1]!EM_S_VAL_PBGOODWILLDEDUCTED(B267,E267)</f>
        <v>1.2639851853439501</v>
      </c>
      <c r="O267" s="7">
        <f>[1]!EM_S_VAL_PS_TTM(B267,E267)</f>
        <v>0.85753009701853999</v>
      </c>
      <c r="P267" s="7">
        <f>[1]!EM_S_VAL_PCF_NCFTTM(B267,E267)</f>
        <v>111.50223217105599</v>
      </c>
      <c r="Q267" s="7">
        <f>[1]!EM_S_VAL_DIVIDENDYIELD2(B267,E267,"2019-11-29")</f>
        <v>0.99700897308075775</v>
      </c>
      <c r="T267"/>
      <c r="U267">
        <f>[1]!EM_S_RATIO_EPS_TTM(B267,E267,"1")</f>
        <v>0.50253374777918902</v>
      </c>
      <c r="AT267" s="4" t="str">
        <f>[1]!EM_S_IPO_LISTEDDATE(B267)</f>
        <v>1997-10-08</v>
      </c>
    </row>
    <row r="268" spans="1:46">
      <c r="A268">
        <v>939</v>
      </c>
      <c r="B268" t="str">
        <f>"002428"</f>
        <v>002428</v>
      </c>
      <c r="C268" t="s">
        <v>3029</v>
      </c>
      <c r="D268" t="str">
        <f>[1]!EM_S_INFO_INDEX_EM(B268,"1")</f>
        <v>有色金属</v>
      </c>
      <c r="E268" s="4">
        <f t="shared" si="4"/>
        <v>43465</v>
      </c>
      <c r="F268" s="11">
        <f>[1]!EM_S_PQ_PCTCHANGE(B268,"2018-01-01","2019-12-31","3")</f>
        <v>-29.49461475</v>
      </c>
      <c r="G268" s="11">
        <f>[1]!EM_S_PQ_PCTCHANGE(B268,"2018-12-31","2019-12-30","1")</f>
        <v>76.400000000000006</v>
      </c>
      <c r="H268" s="11">
        <f>[1]!EM_S_FA_YOY_OR(B268,E268)</f>
        <v>0.16400909020000001</v>
      </c>
      <c r="I268" s="11">
        <f>[1]!EM_S_FA_GROSSPROFITMARGIN(B268,E268)</f>
        <v>20.904579553400001</v>
      </c>
      <c r="J268" s="11">
        <f>[1]!EM_S_FA_NETPROFITMARGIN(B268,E268)</f>
        <v>1.6365740481</v>
      </c>
      <c r="K268" s="10">
        <f>[1]!EM_S_FA_ASSETSTURN(B268,E268)</f>
        <v>0.23967249902900001</v>
      </c>
      <c r="L268" s="12">
        <f>[1]!EM_HKS_VAL_MV(B268,"2019-12-31","2")</f>
        <v>5558051200</v>
      </c>
      <c r="M268">
        <f>[1]!EM_S_VAL_PETTMDEDUCTED(B268,E268)</f>
        <v>7630.0293712672301</v>
      </c>
      <c r="N268" s="7">
        <f>[1]!EM_S_VAL_PBGOODWILLDEDUCTED(B268,E268)</f>
        <v>2.1892508142796698</v>
      </c>
      <c r="O268" s="7">
        <f>[1]!EM_S_VAL_PS_TTM(B268,E268)</f>
        <v>6.4381714208390202</v>
      </c>
      <c r="P268" s="7">
        <f>[1]!EM_S_VAL_PCF_NCFTTM(B268,E268)</f>
        <v>158.28933873127599</v>
      </c>
      <c r="Q268" s="7">
        <f>[1]!EM_S_VAL_DIVIDENDYIELD2(B268,E268,"2019-11-29")</f>
        <v>0</v>
      </c>
      <c r="T268"/>
      <c r="U268">
        <f>[1]!EM_S_RATIO_EPS_TTM(B268,E268,"1")</f>
        <v>1.3199291508451739E-2</v>
      </c>
      <c r="AT268" s="4" t="str">
        <f>[1]!EM_S_IPO_LISTEDDATE(B268)</f>
        <v>2010-06-08</v>
      </c>
    </row>
    <row r="269" spans="1:46">
      <c r="A269">
        <v>1416</v>
      </c>
      <c r="B269" t="str">
        <f>"002920"</f>
        <v>002920</v>
      </c>
      <c r="C269" t="s">
        <v>427</v>
      </c>
      <c r="D269" t="str">
        <f>[1]!EM_S_INFO_INDEX_EM(B269,"1")</f>
        <v>交运设备</v>
      </c>
      <c r="E269" s="4">
        <f t="shared" si="4"/>
        <v>43465</v>
      </c>
      <c r="F269" s="11">
        <f>[1]!EM_S_PQ_PCTCHANGE(B269,"2018-01-01","2019-12-31","3")</f>
        <v>-21.184712659999999</v>
      </c>
      <c r="G269" s="11">
        <f>[1]!EM_S_PQ_PCTCHANGE(B269,"2018-12-31","2019-12-30","1")</f>
        <v>76.368876080000007</v>
      </c>
      <c r="H269" s="11">
        <f>[1]!EM_S_FA_YOY_OR(B269,E269)</f>
        <v>-10.0088297228</v>
      </c>
      <c r="I269" s="11">
        <f>[1]!EM_S_FA_GROSSPROFITMARGIN(B269,E269)</f>
        <v>23.991651408700001</v>
      </c>
      <c r="J269" s="11">
        <f>[1]!EM_S_FA_NETPROFITMARGIN(B269,E269)</f>
        <v>7.6940506325999998</v>
      </c>
      <c r="K269" s="10">
        <f>[1]!EM_S_FA_ASSETSTURN(B269,E269)</f>
        <v>0.90914776881600001</v>
      </c>
      <c r="L269" s="12">
        <f>[1]!EM_HKS_VAL_MV(B269,"2019-12-31","2")</f>
        <v>16681500000</v>
      </c>
      <c r="M269">
        <f>[1]!EM_S_VAL_PETTMDEDUCTED(B269,E269)</f>
        <v>21.5470661983213</v>
      </c>
      <c r="N269" s="7">
        <f>[1]!EM_S_VAL_PBGOODWILLDEDUCTED(B269,E269)</f>
        <v>2.4022298968054301</v>
      </c>
      <c r="O269" s="7">
        <f>[1]!EM_S_VAL_PS_TTM(B269,E269)</f>
        <v>1.69656349341169</v>
      </c>
      <c r="P269" s="7">
        <f>[1]!EM_S_VAL_PCF_NCFTTM(B269,E269)</f>
        <v>32.627906036416597</v>
      </c>
      <c r="Q269" s="7">
        <f>[1]!EM_S_VAL_DIVIDENDYIELD2(B269,E269,"2019-11-29")</f>
        <v>0.78895463510848129</v>
      </c>
      <c r="T269"/>
      <c r="U269">
        <f>[1]!EM_S_RATIO_EPS_TTM(B269,E269,"1")</f>
        <v>0.75658421316363633</v>
      </c>
      <c r="AT269" s="4" t="str">
        <f>[1]!EM_S_IPO_LISTEDDATE(B269)</f>
        <v>2017-12-26</v>
      </c>
    </row>
    <row r="270" spans="1:46">
      <c r="A270">
        <v>1494</v>
      </c>
      <c r="B270" t="str">
        <f>"300069"</f>
        <v>300069</v>
      </c>
      <c r="C270" t="s">
        <v>2159</v>
      </c>
      <c r="D270" t="str">
        <f>[1]!EM_S_INFO_INDEX_EM(B270,"1")</f>
        <v>电气设备</v>
      </c>
      <c r="E270" s="4">
        <f t="shared" si="4"/>
        <v>43465</v>
      </c>
      <c r="F270" s="11">
        <f>[1]!EM_S_PQ_PCTCHANGE(B270,"2018-01-01","2019-12-31","3")</f>
        <v>-52.81564908</v>
      </c>
      <c r="G270" s="11">
        <f>[1]!EM_S_PQ_PCTCHANGE(B270,"2018-12-31","2019-12-30","1")</f>
        <v>76.28541448</v>
      </c>
      <c r="H270" s="11">
        <f>[1]!EM_S_FA_YOY_OR(B270,E270)</f>
        <v>-29.1417034372</v>
      </c>
      <c r="I270" s="11">
        <f>[1]!EM_S_FA_GROSSPROFITMARGIN(B270,E270)</f>
        <v>31.367125728600001</v>
      </c>
      <c r="J270" s="11">
        <f>[1]!EM_S_FA_NETPROFITMARGIN(B270,E270)</f>
        <v>-93.719696647600003</v>
      </c>
      <c r="K270" s="10">
        <f>[1]!EM_S_FA_ASSETSTURN(B270,E270)</f>
        <v>0.24704689620699999</v>
      </c>
      <c r="L270" s="12">
        <f>[1]!EM_HKS_VAL_MV(B270,"2019-12-31","2")</f>
        <v>1862640000</v>
      </c>
      <c r="M270">
        <f>[1]!EM_S_VAL_PETTMDEDUCTED(B270,E270)</f>
        <v>-50.181080382454297</v>
      </c>
      <c r="N270" s="7">
        <f>[1]!EM_S_VAL_PBGOODWILLDEDUCTED(B270,E270)</f>
        <v>3.9872132429633198</v>
      </c>
      <c r="O270" s="7">
        <f>[1]!EM_S_VAL_PS_TTM(B270,E270)</f>
        <v>6.0202668519994704</v>
      </c>
      <c r="P270" s="7">
        <f>[1]!EM_S_VAL_PCF_NCFTTM(B270,E270)</f>
        <v>121.903466394125</v>
      </c>
      <c r="Q270" s="7">
        <f>[1]!EM_S_VAL_DIVIDENDYIELD2(B270,E270,"2019-11-29")</f>
        <v>0</v>
      </c>
      <c r="T270"/>
      <c r="U270">
        <f>[1]!EM_S_RATIO_EPS_TTM(B270,E270,"1")</f>
        <v>-1.525474951965812</v>
      </c>
      <c r="AT270" s="4" t="str">
        <f>[1]!EM_S_IPO_LISTEDDATE(B270)</f>
        <v>2010-04-21</v>
      </c>
    </row>
    <row r="271" spans="1:46">
      <c r="A271">
        <v>761</v>
      </c>
      <c r="B271" t="str">
        <f>"002250"</f>
        <v>002250</v>
      </c>
      <c r="C271" t="s">
        <v>2148</v>
      </c>
      <c r="D271" t="str">
        <f>[1]!EM_S_INFO_INDEX_EM(B271,"1")</f>
        <v>基础化工</v>
      </c>
      <c r="E271" s="4">
        <f t="shared" si="4"/>
        <v>43465</v>
      </c>
      <c r="F271" s="11">
        <f>[1]!EM_S_PQ_PCTCHANGE(B271,"2018-01-01","2019-12-31","3")</f>
        <v>63.561206830000003</v>
      </c>
      <c r="G271" s="11">
        <f>[1]!EM_S_PQ_PCTCHANGE(B271,"2018-12-31","2019-12-30","1")</f>
        <v>75.927889710000002</v>
      </c>
      <c r="H271" s="11">
        <f>[1]!EM_S_FA_YOY_OR(B271,E271)</f>
        <v>0.1640763288</v>
      </c>
      <c r="I271" s="11">
        <f>[1]!EM_S_FA_GROSSPROFITMARGIN(B271,E271)</f>
        <v>27.636000885200001</v>
      </c>
      <c r="J271" s="11">
        <f>[1]!EM_S_FA_NETPROFITMARGIN(B271,E271)</f>
        <v>1.1427529006999999</v>
      </c>
      <c r="K271" s="10">
        <f>[1]!EM_S_FA_ASSETSTURN(B271,E271)</f>
        <v>0.47625611612899998</v>
      </c>
      <c r="L271" s="12">
        <f>[1]!EM_HKS_VAL_MV(B271,"2019-12-31","2")</f>
        <v>15826031099.280001</v>
      </c>
      <c r="M271">
        <f>[1]!EM_S_VAL_PETTMDEDUCTED(B271,E271)</f>
        <v>79.153861312770999</v>
      </c>
      <c r="N271" s="7">
        <f>[1]!EM_S_VAL_PBGOODWILLDEDUCTED(B271,E271)</f>
        <v>1.6896705931518801</v>
      </c>
      <c r="O271" s="7">
        <f>[1]!EM_S_VAL_PS_TTM(B271,E271)</f>
        <v>2.2930819094340702</v>
      </c>
      <c r="P271" s="7">
        <f>[1]!EM_S_VAL_PCF_NCFTTM(B271,E271)</f>
        <v>-13.0660067975593</v>
      </c>
      <c r="Q271" s="7">
        <f>[1]!EM_S_VAL_DIVIDENDYIELD2(B271,E271,"2019-11-29")</f>
        <v>0.14302877960892152</v>
      </c>
      <c r="T271"/>
      <c r="U271">
        <f>[1]!EM_S_RATIO_EPS_TTM(B271,E271,"1")</f>
        <v>4.0534744908267056E-2</v>
      </c>
      <c r="AT271" s="4" t="str">
        <f>[1]!EM_S_IPO_LISTEDDATE(B271)</f>
        <v>2008-06-19</v>
      </c>
    </row>
    <row r="272" spans="1:46">
      <c r="A272">
        <v>2523</v>
      </c>
      <c r="B272" t="str">
        <f>"600410"</f>
        <v>600410</v>
      </c>
      <c r="C272" t="s">
        <v>2777</v>
      </c>
      <c r="D272" t="str">
        <f>[1]!EM_S_INFO_INDEX_EM(B272,"1")</f>
        <v>信息技术</v>
      </c>
      <c r="E272" s="4">
        <f t="shared" si="4"/>
        <v>43465</v>
      </c>
      <c r="F272" s="11">
        <f>[1]!EM_S_PQ_PCTCHANGE(B272,"2018-01-01","2019-12-31","3")</f>
        <v>-1.30845185</v>
      </c>
      <c r="G272" s="11">
        <f>[1]!EM_S_PQ_PCTCHANGE(B272,"2018-12-31","2019-12-30","1")</f>
        <v>75.767918089999995</v>
      </c>
      <c r="H272" s="11">
        <f>[1]!EM_S_FA_YOY_OR(B272,E272)</f>
        <v>-3.8125959191000001</v>
      </c>
      <c r="I272" s="11">
        <f>[1]!EM_S_FA_GROSSPROFITMARGIN(B272,E272)</f>
        <v>15.696861995800001</v>
      </c>
      <c r="J272" s="11">
        <f>[1]!EM_S_FA_NETPROFITMARGIN(B272,E272)</f>
        <v>-5.5175355407</v>
      </c>
      <c r="K272" s="10">
        <f>[1]!EM_S_FA_ASSETSTURN(B272,E272)</f>
        <v>0.47104256137799999</v>
      </c>
      <c r="L272" s="12">
        <f>[1]!EM_HKS_VAL_MV(B272,"2019-12-31","2")</f>
        <v>11328044278.73</v>
      </c>
      <c r="M272">
        <f>[1]!EM_S_VAL_PETTMDEDUCTED(B272,E272)</f>
        <v>-118.677720683491</v>
      </c>
      <c r="N272" s="7">
        <f>[1]!EM_S_VAL_PBGOODWILLDEDUCTED(B272,E272)</f>
        <v>1.6716832637630601</v>
      </c>
      <c r="O272" s="7">
        <f>[1]!EM_S_VAL_PS_TTM(B272,E272)</f>
        <v>1.2306820658120801</v>
      </c>
      <c r="P272" s="7">
        <f>[1]!EM_S_VAL_PCF_NCFTTM(B272,E272)</f>
        <v>-8.6800147830169596</v>
      </c>
      <c r="Q272" s="7">
        <f>[1]!EM_S_VAL_DIVIDENDYIELD2(B272,E272,"2019-11-29")</f>
        <v>0</v>
      </c>
      <c r="T272"/>
      <c r="U272">
        <f>[1]!EM_S_RATIO_EPS_TTM(B272,E272,"1")</f>
        <v>-0.2049060654012517</v>
      </c>
      <c r="AT272" s="4" t="str">
        <f>[1]!EM_S_IPO_LISTEDDATE(B272)</f>
        <v>2004-04-27</v>
      </c>
    </row>
    <row r="273" spans="1:46">
      <c r="A273">
        <v>3448</v>
      </c>
      <c r="B273" t="str">
        <f>"603598"</f>
        <v>603598</v>
      </c>
      <c r="C273" t="s">
        <v>1265</v>
      </c>
      <c r="D273" t="str">
        <f>[1]!EM_S_INFO_INDEX_EM(B273,"1")</f>
        <v>文化传媒</v>
      </c>
      <c r="E273" s="4">
        <f t="shared" si="4"/>
        <v>43465</v>
      </c>
      <c r="F273" s="11">
        <f>[1]!EM_S_PQ_PCTCHANGE(B273,"2018-01-01","2019-12-31","3")</f>
        <v>14.98391814</v>
      </c>
      <c r="G273" s="11">
        <f>[1]!EM_S_PQ_PCTCHANGE(B273,"2018-12-31","2019-12-30","1")</f>
        <v>75.699888020000003</v>
      </c>
      <c r="H273" s="11">
        <f>[1]!EM_S_FA_YOY_OR(B273,E273)</f>
        <v>21.878943163399999</v>
      </c>
      <c r="I273" s="11">
        <f>[1]!EM_S_FA_GROSSPROFITMARGIN(B273,E273)</f>
        <v>8.4183952148000003</v>
      </c>
      <c r="J273" s="11">
        <f>[1]!EM_S_FA_NETPROFITMARGIN(B273,E273)</f>
        <v>1.9429545579</v>
      </c>
      <c r="K273" s="10">
        <f>[1]!EM_S_FA_ASSETSTURN(B273,E273)</f>
        <v>1.656850449285</v>
      </c>
      <c r="L273" s="12">
        <f>[1]!EM_HKS_VAL_MV(B273,"2019-12-31","2")</f>
        <v>4597884770</v>
      </c>
      <c r="M273">
        <f>[1]!EM_S_VAL_PETTMDEDUCTED(B273,E273)</f>
        <v>28.438302571847402</v>
      </c>
      <c r="N273" s="7">
        <f>[1]!EM_S_VAL_PBGOODWILLDEDUCTED(B273,E273)</f>
        <v>-96.210412463718399</v>
      </c>
      <c r="O273" s="7">
        <f>[1]!EM_S_VAL_PS_TTM(B273,E273)</f>
        <v>0.67130253990816402</v>
      </c>
      <c r="P273" s="7">
        <f>[1]!EM_S_VAL_PCF_NCFTTM(B273,E273)</f>
        <v>13.627542341522499</v>
      </c>
      <c r="Q273" s="7">
        <f>[1]!EM_S_VAL_DIVIDENDYIELD2(B273,E273,"2019-11-29")</f>
        <v>0</v>
      </c>
      <c r="T273"/>
      <c r="U273">
        <f>[1]!EM_S_RATIO_EPS_TTM(B273,E273,"1")</f>
        <v>0.20925438817099803</v>
      </c>
      <c r="AT273" s="4" t="str">
        <f>[1]!EM_S_IPO_LISTEDDATE(B273)</f>
        <v>2015-05-27</v>
      </c>
    </row>
    <row r="274" spans="1:46">
      <c r="A274">
        <v>3323</v>
      </c>
      <c r="B274" t="str">
        <f>"603229"</f>
        <v>603229</v>
      </c>
      <c r="C274" t="s">
        <v>2791</v>
      </c>
      <c r="D274" t="str">
        <f>[1]!EM_S_INFO_INDEX_EM(B274,"1")</f>
        <v>医药生物</v>
      </c>
      <c r="E274" s="4">
        <f t="shared" si="4"/>
        <v>43465</v>
      </c>
      <c r="F274" s="11">
        <f>[1]!EM_S_PQ_PCTCHANGE(B274,"2018-01-01","2019-12-31","3")</f>
        <v>20.20274071</v>
      </c>
      <c r="G274" s="11">
        <f>[1]!EM_S_PQ_PCTCHANGE(B274,"2018-12-31","2019-12-30","1")</f>
        <v>75.437062940000004</v>
      </c>
      <c r="H274" s="11">
        <f>[1]!EM_S_FA_YOY_OR(B274,E274)</f>
        <v>1.5391105512000001</v>
      </c>
      <c r="I274" s="11">
        <f>[1]!EM_S_FA_GROSSPROFITMARGIN(B274,E274)</f>
        <v>44.6523824979</v>
      </c>
      <c r="J274" s="11">
        <f>[1]!EM_S_FA_NETPROFITMARGIN(B274,E274)</f>
        <v>17.985558578999999</v>
      </c>
      <c r="K274" s="10">
        <f>[1]!EM_S_FA_ASSETSTURN(B274,E274)</f>
        <v>0.31600284430499997</v>
      </c>
      <c r="L274" s="12">
        <f>[1]!EM_HKS_VAL_MV(B274,"2019-12-31","2")</f>
        <v>3241600000</v>
      </c>
      <c r="M274">
        <f>[1]!EM_S_VAL_PETTMDEDUCTED(B274,E274)</f>
        <v>38.204548665540401</v>
      </c>
      <c r="N274" s="7">
        <f>[1]!EM_S_VAL_PBGOODWILLDEDUCTED(B274,E274)</f>
        <v>3.0629246720699901</v>
      </c>
      <c r="O274" s="7">
        <f>[1]!EM_S_VAL_PS_TTM(B274,E274)</f>
        <v>7.1852439147055298</v>
      </c>
      <c r="P274" s="7">
        <f>[1]!EM_S_VAL_PCF_NCFTTM(B274,E274)</f>
        <v>20.084799969871</v>
      </c>
      <c r="Q274" s="7">
        <f>[1]!EM_S_VAL_DIVIDENDYIELD2(B274,E274,"2019-11-29")</f>
        <v>0.27322404371584702</v>
      </c>
      <c r="T274"/>
      <c r="U274">
        <f>[1]!EM_S_RATIO_EPS_TTM(B274,E274,"1")</f>
        <v>0.27415056712500002</v>
      </c>
      <c r="AT274" s="4" t="str">
        <f>[1]!EM_S_IPO_LISTEDDATE(B274)</f>
        <v>2017-05-09</v>
      </c>
    </row>
    <row r="275" spans="1:46">
      <c r="A275">
        <v>589</v>
      </c>
      <c r="B275" t="str">
        <f>"002078"</f>
        <v>002078</v>
      </c>
      <c r="C275" t="s">
        <v>212</v>
      </c>
      <c r="D275" t="str">
        <f>[1]!EM_S_INFO_INDEX_EM(B275,"1")</f>
        <v>轻工制造</v>
      </c>
      <c r="E275" s="4">
        <f t="shared" si="4"/>
        <v>43465</v>
      </c>
      <c r="F275" s="11">
        <f>[1]!EM_S_PQ_PCTCHANGE(B275,"2018-01-01","2019-12-31","3")</f>
        <v>8.7338684600000001</v>
      </c>
      <c r="G275" s="11">
        <f>[1]!EM_S_PQ_PCTCHANGE(B275,"2018-12-31","2019-12-30","1")</f>
        <v>75.263157890000002</v>
      </c>
      <c r="H275" s="11">
        <f>[1]!EM_S_FA_YOY_OR(B275,E275)</f>
        <v>15.2115312301</v>
      </c>
      <c r="I275" s="11">
        <f>[1]!EM_S_FA_GROSSPROFITMARGIN(B275,E275)</f>
        <v>23.451817896200001</v>
      </c>
      <c r="J275" s="11">
        <f>[1]!EM_S_FA_NETPROFITMARGIN(B275,E275)</f>
        <v>10.3002253263</v>
      </c>
      <c r="K275" s="10">
        <f>[1]!EM_S_FA_ASSETSTURN(B275,E275)</f>
        <v>0.78332590035100003</v>
      </c>
      <c r="L275" s="12">
        <f>[1]!EM_HKS_VAL_MV(B275,"2019-12-31","2")</f>
        <v>25503033341.040001</v>
      </c>
      <c r="M275">
        <f>[1]!EM_S_VAL_PETTMDEDUCTED(B275,E275)</f>
        <v>6.0159805130672996</v>
      </c>
      <c r="N275" s="7">
        <f>[1]!EM_S_VAL_PBGOODWILLDEDUCTED(B275,E275)</f>
        <v>1.2031018343975</v>
      </c>
      <c r="O275" s="7">
        <f>[1]!EM_S_VAL_PS_TTM(B275,E275)</f>
        <v>0.69385217320263204</v>
      </c>
      <c r="P275" s="7">
        <f>[1]!EM_S_VAL_PCF_NCFTTM(B275,E275)</f>
        <v>-47.5526267574933</v>
      </c>
      <c r="Q275" s="7">
        <f>[1]!EM_S_VAL_DIVIDENDYIELD2(B275,E275,"2019-11-29")</f>
        <v>1.1073274834067788</v>
      </c>
      <c r="T275"/>
      <c r="U275">
        <f>[1]!EM_S_RATIO_EPS_TTM(B275,E275,"1")</f>
        <v>0.86307645438268521</v>
      </c>
      <c r="AT275" s="4" t="str">
        <f>[1]!EM_S_IPO_LISTEDDATE(B275)</f>
        <v>2006-11-16</v>
      </c>
    </row>
    <row r="276" spans="1:46">
      <c r="A276">
        <v>1068</v>
      </c>
      <c r="B276" t="str">
        <f>"002557"</f>
        <v>002557</v>
      </c>
      <c r="C276" t="s">
        <v>954</v>
      </c>
      <c r="D276" t="str">
        <f>[1]!EM_S_INFO_INDEX_EM(B276,"1")</f>
        <v>食品饮料</v>
      </c>
      <c r="E276" s="4">
        <f t="shared" si="4"/>
        <v>43465</v>
      </c>
      <c r="F276" s="11">
        <f>[1]!EM_S_PQ_PCTCHANGE(B276,"2018-01-01","2019-12-31","3")</f>
        <v>124.41991115</v>
      </c>
      <c r="G276" s="11">
        <f>[1]!EM_S_PQ_PCTCHANGE(B276,"2018-12-31","2019-12-30","1")</f>
        <v>75.052521010000007</v>
      </c>
      <c r="H276" s="11">
        <f>[1]!EM_S_FA_YOY_OR(B276,E276)</f>
        <v>16.4959918363</v>
      </c>
      <c r="I276" s="11">
        <f>[1]!EM_S_FA_GROSSPROFITMARGIN(B276,E276)</f>
        <v>31.1621685464</v>
      </c>
      <c r="J276" s="11">
        <f>[1]!EM_S_FA_NETPROFITMARGIN(B276,E276)</f>
        <v>10.520982091500001</v>
      </c>
      <c r="K276" s="10">
        <f>[1]!EM_S_FA_ASSETSTURN(B276,E276)</f>
        <v>0.85636443262600004</v>
      </c>
      <c r="L276" s="12">
        <f>[1]!EM_HKS_VAL_MV(B276,"2019-12-31","2")</f>
        <v>17222790000</v>
      </c>
      <c r="M276">
        <f>[1]!EM_S_VAL_PETTMDEDUCTED(B276,E276)</f>
        <v>32.579779280407202</v>
      </c>
      <c r="N276" s="7">
        <f>[1]!EM_S_VAL_PBGOODWILLDEDUCTED(B276,E276)</f>
        <v>2.9022345999771</v>
      </c>
      <c r="O276" s="7">
        <f>[1]!EM_S_VAL_PS_TTM(B276,E276)</f>
        <v>2.4118726535207098</v>
      </c>
      <c r="P276" s="7">
        <f>[1]!EM_S_VAL_PCF_NCFTTM(B276,E276)</f>
        <v>10851.278875432199</v>
      </c>
      <c r="Q276" s="7">
        <f>[1]!EM_S_VAL_DIVIDENDYIELD2(B276,E276,"2019-11-29")</f>
        <v>1.5451174289245984</v>
      </c>
      <c r="T276"/>
      <c r="U276">
        <f>[1]!EM_S_RATIO_EPS_TTM(B276,E276,"1")</f>
        <v>0.85366570629191318</v>
      </c>
      <c r="AT276" s="4" t="str">
        <f>[1]!EM_S_IPO_LISTEDDATE(B276)</f>
        <v>2011-03-02</v>
      </c>
    </row>
    <row r="277" spans="1:46">
      <c r="A277">
        <v>3514</v>
      </c>
      <c r="B277" t="str">
        <f>"603721"</f>
        <v>603721</v>
      </c>
      <c r="C277" t="s">
        <v>1739</v>
      </c>
      <c r="D277" t="str">
        <f>[1]!EM_S_INFO_INDEX_EM(B277,"1")</f>
        <v>文化传媒</v>
      </c>
      <c r="E277" s="4">
        <f t="shared" si="4"/>
        <v>43465</v>
      </c>
      <c r="F277" s="11">
        <f>[1]!EM_S_PQ_PCTCHANGE(B277,"2018-01-01","2019-12-31","3")</f>
        <v>25.110028360000001</v>
      </c>
      <c r="G277" s="11">
        <f>[1]!EM_S_PQ_PCTCHANGE(B277,"2018-12-31","2019-12-30","1")</f>
        <v>74.61538462</v>
      </c>
      <c r="H277" s="11">
        <f>[1]!EM_S_FA_YOY_OR(B277,E277)</f>
        <v>-20.156404296800002</v>
      </c>
      <c r="I277" s="11">
        <f>[1]!EM_S_FA_GROSSPROFITMARGIN(B277,E277)</f>
        <v>27.478779836899999</v>
      </c>
      <c r="J277" s="11">
        <f>[1]!EM_S_FA_NETPROFITMARGIN(B277,E277)</f>
        <v>8.7382440855999999</v>
      </c>
      <c r="K277" s="10">
        <f>[1]!EM_S_FA_ASSETSTURN(B277,E277)</f>
        <v>0.49185896943700003</v>
      </c>
      <c r="L277" s="12">
        <f>[1]!EM_HKS_VAL_MV(B277,"2019-12-31","2")</f>
        <v>3424200000</v>
      </c>
      <c r="M277">
        <f>[1]!EM_S_VAL_PETTMDEDUCTED(B277,E277)</f>
        <v>112.628103677689</v>
      </c>
      <c r="N277" s="7">
        <f>[1]!EM_S_VAL_PBGOODWILLDEDUCTED(B277,E277)</f>
        <v>2.6611324193195598</v>
      </c>
      <c r="O277" s="7">
        <f>[1]!EM_S_VAL_PS_TTM(B277,E277)</f>
        <v>4.2339671307354401</v>
      </c>
      <c r="P277" s="7">
        <f>[1]!EM_S_VAL_PCF_NCFTTM(B277,E277)</f>
        <v>-17.4506733488873</v>
      </c>
      <c r="Q277" s="7">
        <f>[1]!EM_S_VAL_DIVIDENDYIELD2(B277,E277,"2019-11-29")</f>
        <v>0.68965517241379315</v>
      </c>
      <c r="T277"/>
      <c r="U277">
        <f>[1]!EM_S_RATIO_EPS_TTM(B277,E277,"1")</f>
        <v>0.2738368377</v>
      </c>
      <c r="AT277" s="4" t="str">
        <f>[1]!EM_S_IPO_LISTEDDATE(B277)</f>
        <v>2017-08-11</v>
      </c>
    </row>
    <row r="278" spans="1:46">
      <c r="A278">
        <v>672</v>
      </c>
      <c r="B278" t="str">
        <f>"002161"</f>
        <v>002161</v>
      </c>
      <c r="C278" t="s">
        <v>3447</v>
      </c>
      <c r="D278" t="str">
        <f>[1]!EM_S_INFO_INDEX_EM(B278,"1")</f>
        <v>电子设备</v>
      </c>
      <c r="E278" s="4">
        <f t="shared" si="4"/>
        <v>43465</v>
      </c>
      <c r="F278" s="11">
        <f>[1]!EM_S_PQ_PCTCHANGE(B278,"2018-01-01","2019-12-31","3")</f>
        <v>6.9977426600000001</v>
      </c>
      <c r="G278" s="11">
        <f>[1]!EM_S_PQ_PCTCHANGE(B278,"2018-12-31","2019-12-30","1")</f>
        <v>74.538745390000003</v>
      </c>
      <c r="H278" s="11">
        <f>[1]!EM_S_FA_YOY_OR(B278,E278)</f>
        <v>-17.495884498199999</v>
      </c>
      <c r="I278" s="11">
        <f>[1]!EM_S_FA_GROSSPROFITMARGIN(B278,E278)</f>
        <v>35.384113410399998</v>
      </c>
      <c r="J278" s="11">
        <f>[1]!EM_S_FA_NETPROFITMARGIN(B278,E278)</f>
        <v>-44.638914716899997</v>
      </c>
      <c r="K278" s="10">
        <f>[1]!EM_S_FA_ASSETSTURN(B278,E278)</f>
        <v>0.19805890392200001</v>
      </c>
      <c r="L278" s="12">
        <f>[1]!EM_HKS_VAL_MV(B278,"2019-12-31","2")</f>
        <v>7012900152</v>
      </c>
      <c r="M278">
        <f>[1]!EM_S_VAL_PETTMDEDUCTED(B278,E278)</f>
        <v>-37.9738447541705</v>
      </c>
      <c r="N278" s="7">
        <f>[1]!EM_S_VAL_PBGOODWILLDEDUCTED(B278,E278)</f>
        <v>2.8844093600619498</v>
      </c>
      <c r="O278" s="7">
        <f>[1]!EM_S_VAL_PS_TTM(B278,E278)</f>
        <v>8.6983238220943999</v>
      </c>
      <c r="P278" s="7">
        <f>[1]!EM_S_VAL_PCF_NCFTTM(B278,E278)</f>
        <v>-131.37136181119101</v>
      </c>
      <c r="Q278" s="7">
        <f>[1]!EM_S_VAL_DIVIDENDYIELD2(B278,E278,"2019-11-29")</f>
        <v>0</v>
      </c>
      <c r="T278"/>
      <c r="U278">
        <f>[1]!EM_S_RATIO_EPS_TTM(B278,E278,"1")</f>
        <v>-0.24201294059376763</v>
      </c>
      <c r="AT278" s="4" t="str">
        <f>[1]!EM_S_IPO_LISTEDDATE(B278)</f>
        <v>2007-08-21</v>
      </c>
    </row>
    <row r="279" spans="1:46">
      <c r="A279">
        <v>663</v>
      </c>
      <c r="B279" t="str">
        <f>"002152"</f>
        <v>002152</v>
      </c>
      <c r="C279" t="s">
        <v>1287</v>
      </c>
      <c r="D279" t="str">
        <f>[1]!EM_S_INFO_INDEX_EM(B279,"1")</f>
        <v>信息技术</v>
      </c>
      <c r="E279" s="4">
        <f t="shared" si="4"/>
        <v>43465</v>
      </c>
      <c r="F279" s="11">
        <f>[1]!EM_S_PQ_PCTCHANGE(B279,"2018-01-01","2019-12-31","3")</f>
        <v>35.39832303</v>
      </c>
      <c r="G279" s="11">
        <f>[1]!EM_S_PQ_PCTCHANGE(B279,"2018-12-31","2019-12-30","1")</f>
        <v>74.509803919999996</v>
      </c>
      <c r="H279" s="11">
        <f>[1]!EM_S_FA_YOY_OR(B279,E279)</f>
        <v>24.532584888799999</v>
      </c>
      <c r="I279" s="11">
        <f>[1]!EM_S_FA_GROSSPROFITMARGIN(B279,E279)</f>
        <v>41.3825623914</v>
      </c>
      <c r="J279" s="11">
        <f>[1]!EM_S_FA_NETPROFITMARGIN(B279,E279)</f>
        <v>14.361749615300001</v>
      </c>
      <c r="K279" s="10">
        <f>[1]!EM_S_FA_ASSETSTURN(B279,E279)</f>
        <v>0.41780951042499997</v>
      </c>
      <c r="L279" s="12">
        <f>[1]!EM_HKS_VAL_MV(B279,"2019-12-31","2")</f>
        <v>23150431869.110001</v>
      </c>
      <c r="M279">
        <f>[1]!EM_S_VAL_PETTMDEDUCTED(B279,E279)</f>
        <v>23.494219020117502</v>
      </c>
      <c r="N279" s="7">
        <f>[1]!EM_S_VAL_PBGOODWILLDEDUCTED(B279,E279)</f>
        <v>1.77594513230936</v>
      </c>
      <c r="O279" s="7">
        <f>[1]!EM_S_VAL_PS_TTM(B279,E279)</f>
        <v>2.6171000617111901</v>
      </c>
      <c r="P279" s="7">
        <f>[1]!EM_S_VAL_PCF_NCFTTM(B279,E279)</f>
        <v>-31.3727513129509</v>
      </c>
      <c r="Q279" s="7">
        <f>[1]!EM_S_VAL_DIVIDENDYIELD2(B279,E279,"2019-11-29")</f>
        <v>1.5432509619210983</v>
      </c>
      <c r="T279"/>
      <c r="U279">
        <f>[1]!EM_S_RATIO_EPS_TTM(B279,E279,"1")</f>
        <v>0.2759689501324728</v>
      </c>
      <c r="AT279" s="4" t="str">
        <f>[1]!EM_S_IPO_LISTEDDATE(B279)</f>
        <v>2007-08-13</v>
      </c>
    </row>
    <row r="280" spans="1:46">
      <c r="A280">
        <v>1436</v>
      </c>
      <c r="B280" t="str">
        <f>"300010"</f>
        <v>300010</v>
      </c>
      <c r="C280" t="s">
        <v>2841</v>
      </c>
      <c r="D280" t="str">
        <f>[1]!EM_S_INFO_INDEX_EM(B280,"1")</f>
        <v>文化传媒</v>
      </c>
      <c r="E280" s="4">
        <f t="shared" si="4"/>
        <v>43465</v>
      </c>
      <c r="F280" s="11">
        <f>[1]!EM_S_PQ_PCTCHANGE(B280,"2018-01-01","2019-12-31","3")</f>
        <v>15.577439569999999</v>
      </c>
      <c r="G280" s="11">
        <f>[1]!EM_S_PQ_PCTCHANGE(B280,"2018-12-31","2019-12-30","1")</f>
        <v>74.380165289999994</v>
      </c>
      <c r="H280" s="11">
        <f>[1]!EM_S_FA_YOY_OR(B280,E280)</f>
        <v>-9.6571066883000007</v>
      </c>
      <c r="I280" s="11">
        <f>[1]!EM_S_FA_GROSSPROFITMARGIN(B280,E280)</f>
        <v>39.064146739199998</v>
      </c>
      <c r="J280" s="11">
        <f>[1]!EM_S_FA_NETPROFITMARGIN(B280,E280)</f>
        <v>-71.384264030099999</v>
      </c>
      <c r="K280" s="10">
        <f>[1]!EM_S_FA_ASSETSTURN(B280,E280)</f>
        <v>0.25017117750099999</v>
      </c>
      <c r="L280" s="12">
        <f>[1]!EM_HKS_VAL_MV(B280,"2019-12-31","2")</f>
        <v>11210071192.77</v>
      </c>
      <c r="M280">
        <f>[1]!EM_S_VAL_PETTMDEDUCTED(B280,E280)</f>
        <v>52.709565207674501</v>
      </c>
      <c r="N280" s="7">
        <f>[1]!EM_S_VAL_PBGOODWILLDEDUCTED(B280,E280)</f>
        <v>16.619295805645599</v>
      </c>
      <c r="O280" s="7">
        <f>[1]!EM_S_VAL_PS_TTM(B280,E280)</f>
        <v>2.8781961386587001</v>
      </c>
      <c r="P280" s="7">
        <f>[1]!EM_S_VAL_PCF_NCFTTM(B280,E280)</f>
        <v>2492.90151529168</v>
      </c>
      <c r="Q280" s="7">
        <f>[1]!EM_S_VAL_DIVIDENDYIELD2(B280,E280,"2019-11-29")</f>
        <v>0</v>
      </c>
      <c r="T280"/>
      <c r="U280">
        <f>[1]!EM_S_RATIO_EPS_TTM(B280,E280,"1")</f>
        <v>-1.6040580893818623</v>
      </c>
      <c r="AT280" s="4" t="str">
        <f>[1]!EM_S_IPO_LISTEDDATE(B280)</f>
        <v>2009-10-30</v>
      </c>
    </row>
    <row r="281" spans="1:46">
      <c r="A281">
        <v>2805</v>
      </c>
      <c r="B281" t="str">
        <f>"600732"</f>
        <v>600732</v>
      </c>
      <c r="C281" t="s">
        <v>3040</v>
      </c>
      <c r="D281" t="str">
        <f>[1]!EM_S_INFO_INDEX_EM(B281,"1")</f>
        <v>电气设备</v>
      </c>
      <c r="E281" s="4">
        <f t="shared" si="4"/>
        <v>43465</v>
      </c>
      <c r="F281" s="11">
        <f>[1]!EM_S_PQ_PCTCHANGE(B281,"2018-01-01","2019-12-31","3")</f>
        <v>3.0423280400000001</v>
      </c>
      <c r="G281" s="11">
        <f>[1]!EM_S_PQ_PCTCHANGE(B281,"2018-12-31","2019-12-30","1")</f>
        <v>74.336283190000003</v>
      </c>
      <c r="H281" s="11">
        <f>[1]!EM_S_FA_YOY_OR(B281,E281)</f>
        <v>241.2447151751</v>
      </c>
      <c r="I281" s="11">
        <f>[1]!EM_S_FA_GROSSPROFITMARGIN(B281,E281)</f>
        <v>51.920632020600003</v>
      </c>
      <c r="J281" s="11">
        <f>[1]!EM_S_FA_NETPROFITMARGIN(B281,E281)</f>
        <v>12.3250695493</v>
      </c>
      <c r="K281" s="10">
        <f>[1]!EM_S_FA_ASSETSTURN(B281,E281)</f>
        <v>0.28003991618599999</v>
      </c>
      <c r="L281" s="12">
        <f>[1]!EM_HKS_VAL_MV(B281,"2019-12-31","2")</f>
        <v>14254829311.700001</v>
      </c>
      <c r="M281">
        <f>[1]!EM_S_VAL_PETTMDEDUCTED(B281,E281)</f>
        <v>-101.105164458128</v>
      </c>
      <c r="N281" s="7">
        <f>[1]!EM_S_VAL_PBGOODWILLDEDUCTED(B281,E281)</f>
        <v>4.3270122533446704</v>
      </c>
      <c r="O281" s="7">
        <f>[1]!EM_S_VAL_PS_TTM(B281,E281)</f>
        <v>56.022863337417398</v>
      </c>
      <c r="P281" s="7">
        <f>[1]!EM_S_VAL_PCF_NCFTTM(B281,E281)</f>
        <v>67.192025697365594</v>
      </c>
      <c r="Q281" s="7">
        <f>[1]!EM_S_VAL_DIVIDENDYIELD2(B281,E281,"2019-11-29")</f>
        <v>0</v>
      </c>
      <c r="T281"/>
      <c r="U281">
        <f>[1]!EM_S_RATIO_EPS_TTM(B281,E281,"1")</f>
        <v>3.5834981738107098E-2</v>
      </c>
      <c r="AT281" s="4" t="str">
        <f>[1]!EM_S_IPO_LISTEDDATE(B281)</f>
        <v>1996-08-16</v>
      </c>
    </row>
    <row r="282" spans="1:46">
      <c r="A282">
        <v>803</v>
      </c>
      <c r="B282" t="str">
        <f>"002292"</f>
        <v>002292</v>
      </c>
      <c r="C282" t="s">
        <v>2336</v>
      </c>
      <c r="D282" t="str">
        <f>[1]!EM_S_INFO_INDEX_EM(B282,"1")</f>
        <v>文化传媒</v>
      </c>
      <c r="E282" s="4">
        <f t="shared" si="4"/>
        <v>43465</v>
      </c>
      <c r="F282" s="11">
        <f>[1]!EM_S_PQ_PCTCHANGE(B282,"2018-01-01","2019-12-31","3")</f>
        <v>-30.510846749999999</v>
      </c>
      <c r="G282" s="11">
        <f>[1]!EM_S_PQ_PCTCHANGE(B282,"2018-12-31","2019-12-30","1")</f>
        <v>74.028268550000007</v>
      </c>
      <c r="H282" s="11">
        <f>[1]!EM_S_FA_YOY_OR(B282,E282)</f>
        <v>-22.036566722900002</v>
      </c>
      <c r="I282" s="11">
        <f>[1]!EM_S_FA_GROSSPROFITMARGIN(B282,E282)</f>
        <v>38.530967414999999</v>
      </c>
      <c r="J282" s="11">
        <f>[1]!EM_S_FA_NETPROFITMARGIN(B282,E282)</f>
        <v>-59.5713162407</v>
      </c>
      <c r="K282" s="10">
        <f>[1]!EM_S_FA_ASSETSTURN(B282,E282)</f>
        <v>0.37736190593500002</v>
      </c>
      <c r="L282" s="12">
        <f>[1]!EM_HKS_VAL_MV(B282,"2019-12-31","2")</f>
        <v>13476594083.25</v>
      </c>
      <c r="M282">
        <f>[1]!EM_S_VAL_PETTMDEDUCTED(B282,E282)</f>
        <v>-22.220708211238001</v>
      </c>
      <c r="N282" s="7">
        <f>[1]!EM_S_VAL_PBGOODWILLDEDUCTED(B282,E282)</f>
        <v>4.11580377786564</v>
      </c>
      <c r="O282" s="7">
        <f>[1]!EM_S_VAL_PS_TTM(B282,E282)</f>
        <v>2.4570151497480701</v>
      </c>
      <c r="P282" s="7">
        <f>[1]!EM_S_VAL_PCF_NCFTTM(B282,E282)</f>
        <v>-21068.722645403599</v>
      </c>
      <c r="Q282" s="7">
        <f>[1]!EM_S_VAL_DIVIDENDYIELD2(B282,E282,"2019-11-29")</f>
        <v>0</v>
      </c>
      <c r="T282"/>
      <c r="U282">
        <f>[1]!EM_S_RATIO_EPS_TTM(B282,E282,"1")</f>
        <v>-1.2011779205395916</v>
      </c>
      <c r="AT282" s="4" t="str">
        <f>[1]!EM_S_IPO_LISTEDDATE(B282)</f>
        <v>2009-09-10</v>
      </c>
    </row>
    <row r="283" spans="1:46">
      <c r="A283">
        <v>747</v>
      </c>
      <c r="B283" t="str">
        <f>"002236"</f>
        <v>002236</v>
      </c>
      <c r="C283" t="s">
        <v>907</v>
      </c>
      <c r="D283" t="str">
        <f>[1]!EM_S_INFO_INDEX_EM(B283,"1")</f>
        <v>信息技术</v>
      </c>
      <c r="E283" s="4">
        <f t="shared" si="4"/>
        <v>43465</v>
      </c>
      <c r="F283" s="11">
        <f>[1]!EM_S_PQ_PCTCHANGE(B283,"2018-01-01","2019-12-31","3")</f>
        <v>-12.680113499999999</v>
      </c>
      <c r="G283" s="11">
        <f>[1]!EM_S_PQ_PCTCHANGE(B283,"2018-12-31","2019-12-30","1")</f>
        <v>73.909249560000006</v>
      </c>
      <c r="H283" s="11">
        <f>[1]!EM_S_FA_YOY_OR(B283,E283)</f>
        <v>25.584339112799999</v>
      </c>
      <c r="I283" s="11">
        <f>[1]!EM_S_FA_GROSSPROFITMARGIN(B283,E283)</f>
        <v>37.161425436099996</v>
      </c>
      <c r="J283" s="11">
        <f>[1]!EM_S_FA_NETPROFITMARGIN(B283,E283)</f>
        <v>10.963520979</v>
      </c>
      <c r="K283" s="10">
        <f>[1]!EM_S_FA_ASSETSTURN(B283,E283)</f>
        <v>0.99260335646700004</v>
      </c>
      <c r="L283" s="12">
        <f>[1]!EM_HKS_VAL_MV(B283,"2019-12-31","2")</f>
        <v>59798865652.400002</v>
      </c>
      <c r="M283">
        <f>[1]!EM_S_VAL_PETTMDEDUCTED(B283,E283)</f>
        <v>13.5075385133776</v>
      </c>
      <c r="N283" s="7">
        <f>[1]!EM_S_VAL_PBGOODWILLDEDUCTED(B283,E283)</f>
        <v>2.7462395256493299</v>
      </c>
      <c r="O283" s="7">
        <f>[1]!EM_S_VAL_PS_TTM(B283,E283)</f>
        <v>1.5507816193598201</v>
      </c>
      <c r="P283" s="7">
        <f>[1]!EM_S_VAL_PCF_NCFTTM(B283,E283)</f>
        <v>-337.80500713887801</v>
      </c>
      <c r="Q283" s="7">
        <f>[1]!EM_S_VAL_DIVIDENDYIELD2(B283,E283,"2019-11-29")</f>
        <v>0.59032703659976393</v>
      </c>
      <c r="T283"/>
      <c r="U283">
        <f>[1]!EM_S_RATIO_EPS_TTM(B283,E283,"1")</f>
        <v>0.84381103677407376</v>
      </c>
      <c r="AT283" s="4" t="str">
        <f>[1]!EM_S_IPO_LISTEDDATE(B283)</f>
        <v>2008-05-20</v>
      </c>
    </row>
    <row r="284" spans="1:46">
      <c r="A284">
        <v>688</v>
      </c>
      <c r="B284" t="str">
        <f>"002177"</f>
        <v>002177</v>
      </c>
      <c r="C284" t="s">
        <v>2921</v>
      </c>
      <c r="D284" t="str">
        <f>[1]!EM_S_INFO_INDEX_EM(B284,"1")</f>
        <v>信息技术</v>
      </c>
      <c r="E284" s="4">
        <f t="shared" si="4"/>
        <v>43465</v>
      </c>
      <c r="F284" s="11">
        <f>[1]!EM_S_PQ_PCTCHANGE(B284,"2018-01-01","2019-12-31","3")</f>
        <v>10.722538460000001</v>
      </c>
      <c r="G284" s="11">
        <f>[1]!EM_S_PQ_PCTCHANGE(B284,"2018-12-31","2019-12-30","1")</f>
        <v>73.899371070000001</v>
      </c>
      <c r="H284" s="11">
        <f>[1]!EM_S_FA_YOY_OR(B284,E284)</f>
        <v>-30.805013359899998</v>
      </c>
      <c r="I284" s="11">
        <f>[1]!EM_S_FA_GROSSPROFITMARGIN(B284,E284)</f>
        <v>31.465189429599999</v>
      </c>
      <c r="J284" s="11">
        <f>[1]!EM_S_FA_NETPROFITMARGIN(B284,E284)</f>
        <v>-24.052315674100001</v>
      </c>
      <c r="K284" s="10">
        <f>[1]!EM_S_FA_ASSETSTURN(B284,E284)</f>
        <v>0.206587284461</v>
      </c>
      <c r="L284" s="12">
        <f>[1]!EM_HKS_VAL_MV(B284,"2019-12-31","2")</f>
        <v>4194164029.9400001</v>
      </c>
      <c r="M284">
        <f>[1]!EM_S_VAL_PETTMDEDUCTED(B284,E284)</f>
        <v>-91.624468416586097</v>
      </c>
      <c r="N284" s="7">
        <f>[1]!EM_S_VAL_PBGOODWILLDEDUCTED(B284,E284)</f>
        <v>1.5277977630791999</v>
      </c>
      <c r="O284" s="7">
        <f>[1]!EM_S_VAL_PS_TTM(B284,E284)</f>
        <v>5.0166324159975497</v>
      </c>
      <c r="P284" s="7">
        <f>[1]!EM_S_VAL_PCF_NCFTTM(B284,E284)</f>
        <v>13.319372862466</v>
      </c>
      <c r="Q284" s="7">
        <f>[1]!EM_S_VAL_DIVIDENDYIELD2(B284,E284,"2019-11-29")</f>
        <v>0</v>
      </c>
      <c r="T284"/>
      <c r="U284">
        <f>[1]!EM_S_RATIO_EPS_TTM(B284,E284,"1")</f>
        <v>-0.12456472299064419</v>
      </c>
      <c r="AT284" s="4" t="str">
        <f>[1]!EM_S_IPO_LISTEDDATE(B284)</f>
        <v>2007-11-01</v>
      </c>
    </row>
    <row r="285" spans="1:46">
      <c r="A285">
        <v>3613</v>
      </c>
      <c r="B285" t="str">
        <f>"603939"</f>
        <v>603939</v>
      </c>
      <c r="C285" t="s">
        <v>752</v>
      </c>
      <c r="D285" t="str">
        <f>[1]!EM_S_INFO_INDEX_EM(B285,"1")</f>
        <v>医药生物</v>
      </c>
      <c r="E285" s="4">
        <f t="shared" si="4"/>
        <v>43465</v>
      </c>
      <c r="F285" s="11">
        <f>[1]!EM_S_PQ_PCTCHANGE(B285,"2018-01-01","2019-12-31","3")</f>
        <v>62.631068300000003</v>
      </c>
      <c r="G285" s="11">
        <f>[1]!EM_S_PQ_PCTCHANGE(B285,"2018-12-31","2019-12-30","1")</f>
        <v>73.860911270000003</v>
      </c>
      <c r="H285" s="11">
        <f>[1]!EM_S_FA_YOY_OR(B285,E285)</f>
        <v>43.7948508602</v>
      </c>
      <c r="I285" s="11">
        <f>[1]!EM_S_FA_GROSSPROFITMARGIN(B285,E285)</f>
        <v>39.731851028900003</v>
      </c>
      <c r="J285" s="11">
        <f>[1]!EM_S_FA_NETPROFITMARGIN(B285,E285)</f>
        <v>6.3879101808999996</v>
      </c>
      <c r="K285" s="10">
        <f>[1]!EM_S_FA_ASSETSTURN(B285,E285)</f>
        <v>1.0928368178650001</v>
      </c>
      <c r="L285" s="12">
        <f>[1]!EM_HKS_VAL_MV(B285,"2019-12-31","2")</f>
        <v>27744705889.32</v>
      </c>
      <c r="M285">
        <f>[1]!EM_S_VAL_PETTMDEDUCTED(B285,E285)</f>
        <v>41.2490330934314</v>
      </c>
      <c r="N285" s="7">
        <f>[1]!EM_S_VAL_PBGOODWILLDEDUCTED(B285,E285)</f>
        <v>11.8501566943791</v>
      </c>
      <c r="O285" s="7">
        <f>[1]!EM_S_VAL_PS_TTM(B285,E285)</f>
        <v>2.5954791640137902</v>
      </c>
      <c r="P285" s="7">
        <f>[1]!EM_S_VAL_PCF_NCFTTM(B285,E285)</f>
        <v>87.929674219469206</v>
      </c>
      <c r="Q285" s="7">
        <f>[1]!EM_S_VAL_DIVIDENDYIELD2(B285,E285,"2019-11-29")</f>
        <v>0.39027253736332762</v>
      </c>
      <c r="T285"/>
      <c r="U285">
        <f>[1]!EM_S_RATIO_EPS_TTM(B285,E285,"1")</f>
        <v>1.1051153550084336</v>
      </c>
      <c r="AT285" s="4" t="str">
        <f>[1]!EM_S_IPO_LISTEDDATE(B285)</f>
        <v>2015-02-17</v>
      </c>
    </row>
    <row r="286" spans="1:46">
      <c r="A286">
        <v>1361</v>
      </c>
      <c r="B286" t="str">
        <f>"002861"</f>
        <v>002861</v>
      </c>
      <c r="C286" t="s">
        <v>2682</v>
      </c>
      <c r="D286" t="str">
        <f>[1]!EM_S_INFO_INDEX_EM(B286,"1")</f>
        <v>电子设备</v>
      </c>
      <c r="E286" s="4">
        <f t="shared" si="4"/>
        <v>43465</v>
      </c>
      <c r="F286" s="11">
        <f>[1]!EM_S_PQ_PCTCHANGE(B286,"2018-01-01","2019-12-31","3")</f>
        <v>22.159905800000001</v>
      </c>
      <c r="G286" s="11">
        <f>[1]!EM_S_PQ_PCTCHANGE(B286,"2018-12-31","2019-12-30","1")</f>
        <v>73.854447440000001</v>
      </c>
      <c r="H286" s="11">
        <f>[1]!EM_S_FA_YOY_OR(B286,E286)</f>
        <v>24.2154396285</v>
      </c>
      <c r="I286" s="11">
        <f>[1]!EM_S_FA_GROSSPROFITMARGIN(B286,E286)</f>
        <v>25.238100015899999</v>
      </c>
      <c r="J286" s="11">
        <f>[1]!EM_S_FA_NETPROFITMARGIN(B286,E286)</f>
        <v>7.0638735851999996</v>
      </c>
      <c r="K286" s="10">
        <f>[1]!EM_S_FA_ASSETSTURN(B286,E286)</f>
        <v>0.684346176749</v>
      </c>
      <c r="L286" s="12">
        <f>[1]!EM_HKS_VAL_MV(B286,"2019-12-31","2")</f>
        <v>3953342448</v>
      </c>
      <c r="M286">
        <f>[1]!EM_S_VAL_PETTMDEDUCTED(B286,E286)</f>
        <v>34.961973112543802</v>
      </c>
      <c r="N286" s="7">
        <f>[1]!EM_S_VAL_PBGOODWILLDEDUCTED(B286,E286)</f>
        <v>2.46288118197401</v>
      </c>
      <c r="O286" s="7">
        <f>[1]!EM_S_VAL_PS_TTM(B286,E286)</f>
        <v>2.6286294150516198</v>
      </c>
      <c r="P286" s="7">
        <f>[1]!EM_S_VAL_PCF_NCFTTM(B286,E286)</f>
        <v>-14.173017255358101</v>
      </c>
      <c r="Q286" s="7">
        <f>[1]!EM_S_VAL_DIVIDENDYIELD2(B286,E286,"2019-11-29")</f>
        <v>0.52493438320209973</v>
      </c>
      <c r="T286"/>
      <c r="U286">
        <f>[1]!EM_S_RATIO_EPS_TTM(B286,E286,"1")</f>
        <v>0.52559886803739897</v>
      </c>
      <c r="AT286" s="4" t="str">
        <f>[1]!EM_S_IPO_LISTEDDATE(B286)</f>
        <v>2017-04-13</v>
      </c>
    </row>
    <row r="287" spans="1:46">
      <c r="A287">
        <v>3638</v>
      </c>
      <c r="B287" t="str">
        <f>"603998"</f>
        <v>603998</v>
      </c>
      <c r="C287" t="s">
        <v>1135</v>
      </c>
      <c r="D287" t="str">
        <f>[1]!EM_S_INFO_INDEX_EM(B287,"1")</f>
        <v>医药生物</v>
      </c>
      <c r="E287" s="4">
        <f t="shared" si="4"/>
        <v>43465</v>
      </c>
      <c r="F287" s="11">
        <f>[1]!EM_S_PQ_PCTCHANGE(B287,"2018-01-01","2019-12-31","3")</f>
        <v>-25.399687360000001</v>
      </c>
      <c r="G287" s="11">
        <f>[1]!EM_S_PQ_PCTCHANGE(B287,"2018-12-31","2019-12-30","1")</f>
        <v>73.661670240000007</v>
      </c>
      <c r="H287" s="11">
        <f>[1]!EM_S_FA_YOY_OR(B287,E287)</f>
        <v>45.827152734899997</v>
      </c>
      <c r="I287" s="11">
        <f>[1]!EM_S_FA_GROSSPROFITMARGIN(B287,E287)</f>
        <v>74.034319037700001</v>
      </c>
      <c r="J287" s="11">
        <f>[1]!EM_S_FA_NETPROFITMARGIN(B287,E287)</f>
        <v>7.5928660411999997</v>
      </c>
      <c r="K287" s="10">
        <f>[1]!EM_S_FA_ASSETSTURN(B287,E287)</f>
        <v>0.69709293049800003</v>
      </c>
      <c r="L287" s="12">
        <f>[1]!EM_HKS_VAL_MV(B287,"2019-12-31","2")</f>
        <v>3605990776</v>
      </c>
      <c r="M287">
        <f>[1]!EM_S_VAL_PETTMDEDUCTED(B287,E287)</f>
        <v>61.629142922581202</v>
      </c>
      <c r="N287" s="7">
        <f>[1]!EM_S_VAL_PBGOODWILLDEDUCTED(B287,E287)</f>
        <v>2.1182535929253499</v>
      </c>
      <c r="O287" s="7">
        <f>[1]!EM_S_VAL_PS_TTM(B287,E287)</f>
        <v>2.0023203874295499</v>
      </c>
      <c r="P287" s="7">
        <f>[1]!EM_S_VAL_PCF_NCFTTM(B287,E287)</f>
        <v>-180.896088571425</v>
      </c>
      <c r="Q287" s="7">
        <f>[1]!EM_S_VAL_DIVIDENDYIELD2(B287,E287,"2019-11-29")</f>
        <v>0.39470697207527733</v>
      </c>
      <c r="T287"/>
      <c r="U287">
        <f>[1]!EM_S_RATIO_EPS_TTM(B287,E287,"1")</f>
        <v>0.17032263669597764</v>
      </c>
      <c r="AT287" s="4" t="str">
        <f>[1]!EM_S_IPO_LISTEDDATE(B287)</f>
        <v>2014-12-05</v>
      </c>
    </row>
    <row r="288" spans="1:46">
      <c r="A288">
        <v>3336</v>
      </c>
      <c r="B288" t="str">
        <f>"603283"</f>
        <v>603283</v>
      </c>
      <c r="C288" t="s">
        <v>753</v>
      </c>
      <c r="D288" t="str">
        <f>[1]!EM_S_INFO_INDEX_EM(B288,"1")</f>
        <v>机械设备</v>
      </c>
      <c r="E288" s="4">
        <f t="shared" si="4"/>
        <v>43465</v>
      </c>
      <c r="F288" s="11">
        <f>[1]!EM_S_PQ_PCTCHANGE(B288,"2018-01-01","2019-12-31","3")</f>
        <v>119.58037501</v>
      </c>
      <c r="G288" s="11">
        <f>[1]!EM_S_PQ_PCTCHANGE(B288,"2018-12-31","2019-12-30","1")</f>
        <v>73.618940249999994</v>
      </c>
      <c r="H288" s="11">
        <f>[1]!EM_S_FA_YOY_OR(B288,E288)</f>
        <v>32.379829944500003</v>
      </c>
      <c r="I288" s="11">
        <f>[1]!EM_S_FA_GROSSPROFITMARGIN(B288,E288)</f>
        <v>47.7808888215</v>
      </c>
      <c r="J288" s="11">
        <f>[1]!EM_S_FA_NETPROFITMARGIN(B288,E288)</f>
        <v>13.4088244424</v>
      </c>
      <c r="K288" s="10">
        <f>[1]!EM_S_FA_ASSETSTURN(B288,E288)</f>
        <v>0.75857887704600002</v>
      </c>
      <c r="L288" s="12">
        <f>[1]!EM_HKS_VAL_MV(B288,"2019-12-31","2")</f>
        <v>5502825531.25</v>
      </c>
      <c r="M288">
        <f>[1]!EM_S_VAL_PETTMDEDUCTED(B288,E288)</f>
        <v>31.369532579992502</v>
      </c>
      <c r="N288" s="7">
        <f>[1]!EM_S_VAL_PBGOODWILLDEDUCTED(B288,E288)</f>
        <v>4.1811558419347001</v>
      </c>
      <c r="O288" s="7">
        <f>[1]!EM_S_VAL_PS_TTM(B288,E288)</f>
        <v>3.3578432289845401</v>
      </c>
      <c r="P288" s="7">
        <f>[1]!EM_S_VAL_PCF_NCFTTM(B288,E288)</f>
        <v>64.110153606074604</v>
      </c>
      <c r="Q288" s="7">
        <f>[1]!EM_S_VAL_DIVIDENDYIELD2(B288,E288,"2019-11-29")</f>
        <v>1.1900533549097405</v>
      </c>
      <c r="T288"/>
      <c r="U288">
        <f>[1]!EM_S_RATIO_EPS_TTM(B288,E288,"1")</f>
        <v>0.74364207910967972</v>
      </c>
      <c r="AT288" s="4" t="str">
        <f>[1]!EM_S_IPO_LISTEDDATE(B288)</f>
        <v>2017-12-25</v>
      </c>
    </row>
    <row r="289" spans="1:46">
      <c r="A289">
        <v>472</v>
      </c>
      <c r="B289" t="str">
        <f>"000958"</f>
        <v>000958</v>
      </c>
      <c r="C289" t="s">
        <v>481</v>
      </c>
      <c r="D289" t="str">
        <f>[1]!EM_S_INFO_INDEX_EM(B289,"1")</f>
        <v>公用事业</v>
      </c>
      <c r="E289" s="4">
        <f t="shared" si="4"/>
        <v>43465</v>
      </c>
      <c r="F289" s="11">
        <f>[1]!EM_S_PQ_PCTCHANGE(B289,"2018-01-01","2019-12-31","3")</f>
        <v>14.66718635</v>
      </c>
      <c r="G289" s="11">
        <f>[1]!EM_S_PQ_PCTCHANGE(B289,"2018-12-31","2019-12-30","1")</f>
        <v>73.602484469999993</v>
      </c>
      <c r="H289" s="11">
        <f>[1]!EM_S_FA_YOY_OR(B289,E289)</f>
        <v>11.876486702499999</v>
      </c>
      <c r="I289" s="11">
        <f>[1]!EM_S_FA_GROSSPROFITMARGIN(B289,E289)</f>
        <v>13.482374113100001</v>
      </c>
      <c r="J289" s="11">
        <f>[1]!EM_S_FA_NETPROFITMARGIN(B289,E289)</f>
        <v>4.3988002991000004</v>
      </c>
      <c r="K289" s="10">
        <f>[1]!EM_S_FA_ASSETSTURN(B289,E289)</f>
        <v>0.32369001557900001</v>
      </c>
      <c r="L289" s="12">
        <f>[1]!EM_HKS_VAL_MV(B289,"2019-12-31","2")</f>
        <v>6150684601.0799999</v>
      </c>
      <c r="M289">
        <f>[1]!EM_S_VAL_PETTMDEDUCTED(B289,E289)</f>
        <v>156.225114122782</v>
      </c>
      <c r="N289" s="7">
        <f>[1]!EM_S_VAL_PBGOODWILLDEDUCTED(B289,E289)</f>
        <v>1.3457545129470101</v>
      </c>
      <c r="O289" s="7">
        <f>[1]!EM_S_VAL_PS_TTM(B289,E289)</f>
        <v>1.37615392604447</v>
      </c>
      <c r="P289" s="7">
        <f>[1]!EM_S_VAL_PCF_NCFTTM(B289,E289)</f>
        <v>9.1019149526866396</v>
      </c>
      <c r="Q289" s="7">
        <f>[1]!EM_S_VAL_DIVIDENDYIELD2(B289,E289,"2019-11-29")</f>
        <v>0.95057034220532322</v>
      </c>
      <c r="T289"/>
      <c r="U289">
        <f>[1]!EM_S_RATIO_EPS_TTM(B289,E289,"1")</f>
        <v>0.12611185054766086</v>
      </c>
      <c r="AT289" s="4" t="str">
        <f>[1]!EM_S_IPO_LISTEDDATE(B289)</f>
        <v>1999-12-23</v>
      </c>
    </row>
    <row r="290" spans="1:46">
      <c r="A290">
        <v>2006</v>
      </c>
      <c r="B290" t="str">
        <f>"300585"</f>
        <v>300585</v>
      </c>
      <c r="C290" t="s">
        <v>680</v>
      </c>
      <c r="D290" t="str">
        <f>[1]!EM_S_INFO_INDEX_EM(B290,"1")</f>
        <v>交运设备</v>
      </c>
      <c r="E290" s="4">
        <f t="shared" si="4"/>
        <v>43465</v>
      </c>
      <c r="F290" s="11">
        <f>[1]!EM_S_PQ_PCTCHANGE(B290,"2018-01-01","2019-12-31","3")</f>
        <v>-9.1678681799999993</v>
      </c>
      <c r="G290" s="11">
        <f>[1]!EM_S_PQ_PCTCHANGE(B290,"2018-12-31","2019-12-30","1")</f>
        <v>73.416289590000005</v>
      </c>
      <c r="H290" s="11">
        <f>[1]!EM_S_FA_YOY_OR(B290,E290)</f>
        <v>-11.648443586699999</v>
      </c>
      <c r="I290" s="11">
        <f>[1]!EM_S_FA_GROSSPROFITMARGIN(B290,E290)</f>
        <v>36.374933740499998</v>
      </c>
      <c r="J290" s="11">
        <f>[1]!EM_S_FA_NETPROFITMARGIN(B290,E290)</f>
        <v>13.128637576599999</v>
      </c>
      <c r="K290" s="10">
        <f>[1]!EM_S_FA_ASSETSTURN(B290,E290)</f>
        <v>0.49455954677800001</v>
      </c>
      <c r="L290" s="12">
        <f>[1]!EM_HKS_VAL_MV(B290,"2019-12-31","2")</f>
        <v>2697600000</v>
      </c>
      <c r="M290">
        <f>[1]!EM_S_VAL_PETTMDEDUCTED(B290,E290)</f>
        <v>35.765231841012103</v>
      </c>
      <c r="N290" s="7">
        <f>[1]!EM_S_VAL_PBGOODWILLDEDUCTED(B290,E290)</f>
        <v>3.5253981947328499</v>
      </c>
      <c r="O290" s="7">
        <f>[1]!EM_S_VAL_PS_TTM(B290,E290)</f>
        <v>4.0331283145838199</v>
      </c>
      <c r="P290" s="7">
        <f>[1]!EM_S_VAL_PCF_NCFTTM(B290,E290)</f>
        <v>-18.436337674650598</v>
      </c>
      <c r="Q290" s="7">
        <f>[1]!EM_S_VAL_DIVIDENDYIELD2(B290,E290,"2019-11-29")</f>
        <v>0</v>
      </c>
      <c r="T290"/>
      <c r="U290">
        <f>[1]!EM_S_RATIO_EPS_TTM(B290,E290,"1")</f>
        <v>0.27568157992668468</v>
      </c>
      <c r="AT290" s="4" t="str">
        <f>[1]!EM_S_IPO_LISTEDDATE(B290)</f>
        <v>2016-12-29</v>
      </c>
    </row>
    <row r="291" spans="1:46">
      <c r="A291">
        <v>305</v>
      </c>
      <c r="B291" t="str">
        <f>"000725"</f>
        <v>000725</v>
      </c>
      <c r="C291" t="s">
        <v>1145</v>
      </c>
      <c r="D291" t="str">
        <f>[1]!EM_S_INFO_INDEX_EM(B291,"1")</f>
        <v>电子设备</v>
      </c>
      <c r="E291" s="4">
        <f t="shared" si="4"/>
        <v>43465</v>
      </c>
      <c r="F291" s="11">
        <f>[1]!EM_S_PQ_PCTCHANGE(B291,"2018-01-01","2019-12-31","3")</f>
        <v>-19.737614270000002</v>
      </c>
      <c r="G291" s="11">
        <f>[1]!EM_S_PQ_PCTCHANGE(B291,"2018-12-31","2019-12-30","1")</f>
        <v>73.384030420000002</v>
      </c>
      <c r="H291" s="11">
        <f>[1]!EM_S_FA_YOY_OR(B291,E291)</f>
        <v>3.5270456480000001</v>
      </c>
      <c r="I291" s="11">
        <f>[1]!EM_S_FA_GROSSPROFITMARGIN(B291,E291)</f>
        <v>20.392206891000001</v>
      </c>
      <c r="J291" s="11">
        <f>[1]!EM_S_FA_NETPROFITMARGIN(B291,E291)</f>
        <v>2.9656139786</v>
      </c>
      <c r="K291" s="10">
        <f>[1]!EM_S_FA_ASSETSTURN(B291,E291)</f>
        <v>0.34673240475099998</v>
      </c>
      <c r="L291" s="12">
        <f>[1]!EM_HKS_VAL_MV(B291,"2019-12-31","2")</f>
        <v>157984730384.01999</v>
      </c>
      <c r="M291">
        <f>[1]!EM_S_VAL_PETTMDEDUCTED(B291,E291)</f>
        <v>49.173286555515702</v>
      </c>
      <c r="N291" s="7">
        <f>[1]!EM_S_VAL_PBGOODWILLDEDUCTED(B291,E291)</f>
        <v>1.0773069652940399</v>
      </c>
      <c r="O291" s="7">
        <f>[1]!EM_S_VAL_PS_TTM(B291,E291)</f>
        <v>0.97510298479002999</v>
      </c>
      <c r="P291" s="7">
        <f>[1]!EM_S_VAL_PCF_NCFTTM(B291,E291)</f>
        <v>223.93841384478699</v>
      </c>
      <c r="Q291" s="7">
        <f>[1]!EM_S_VAL_DIVIDENDYIELD2(B291,E291,"2019-11-29")</f>
        <v>0.76923076923076927</v>
      </c>
      <c r="T291"/>
      <c r="U291">
        <f>[1]!EM_S_RATIO_EPS_TTM(B291,E291,"1")</f>
        <v>9.8715116129207053E-2</v>
      </c>
      <c r="AT291" s="4" t="str">
        <f>[1]!EM_S_IPO_LISTEDDATE(B291)</f>
        <v>2001-01-12</v>
      </c>
    </row>
    <row r="292" spans="1:46">
      <c r="A292">
        <v>354</v>
      </c>
      <c r="B292" t="str">
        <f>"000795"</f>
        <v>000795</v>
      </c>
      <c r="C292" t="s">
        <v>2417</v>
      </c>
      <c r="D292" t="str">
        <f>[1]!EM_S_INFO_INDEX_EM(B292,"1")</f>
        <v>有色金属</v>
      </c>
      <c r="E292" s="4">
        <f t="shared" si="4"/>
        <v>43465</v>
      </c>
      <c r="F292" s="11">
        <f>[1]!EM_S_PQ_PCTCHANGE(B292,"2018-01-01","2019-12-31","3")</f>
        <v>-1.7741935499999999</v>
      </c>
      <c r="G292" s="11">
        <f>[1]!EM_S_PQ_PCTCHANGE(B292,"2018-12-31","2019-12-30","1")</f>
        <v>72.829131649999994</v>
      </c>
      <c r="H292" s="11">
        <f>[1]!EM_S_FA_YOY_OR(B292,E292)</f>
        <v>14.9711703955</v>
      </c>
      <c r="I292" s="11">
        <f>[1]!EM_S_FA_GROSSPROFITMARGIN(B292,E292)</f>
        <v>22.337269853199999</v>
      </c>
      <c r="J292" s="11">
        <f>[1]!EM_S_FA_NETPROFITMARGIN(B292,E292)</f>
        <v>5.6784074806999998</v>
      </c>
      <c r="K292" s="10">
        <f>[1]!EM_S_FA_ASSETSTURN(B292,E292)</f>
        <v>0.77915881015400001</v>
      </c>
      <c r="L292" s="12">
        <f>[1]!EM_HKS_VAL_MV(B292,"2019-12-31","2")</f>
        <v>6904136187.2700005</v>
      </c>
      <c r="M292">
        <f>[1]!EM_S_VAL_PETTMDEDUCTED(B292,E292)</f>
        <v>124.965984560725</v>
      </c>
      <c r="N292" s="7">
        <f>[1]!EM_S_VAL_PBGOODWILLDEDUCTED(B292,E292)</f>
        <v>1.85131773933226</v>
      </c>
      <c r="O292" s="7">
        <f>[1]!EM_S_VAL_PS_TTM(B292,E292)</f>
        <v>1.9856509014380099</v>
      </c>
      <c r="P292" s="7">
        <f>[1]!EM_S_VAL_PCF_NCFTTM(B292,E292)</f>
        <v>-75.4879322871559</v>
      </c>
      <c r="Q292" s="7">
        <f>[1]!EM_S_VAL_DIVIDENDYIELD2(B292,E292,"2019-11-29")</f>
        <v>0</v>
      </c>
      <c r="T292"/>
      <c r="U292">
        <f>[1]!EM_S_RATIO_EPS_TTM(B292,E292,"1")</f>
        <v>9.8934171629643117E-2</v>
      </c>
      <c r="AT292" s="4" t="str">
        <f>[1]!EM_S_IPO_LISTEDDATE(B292)</f>
        <v>1997-08-08</v>
      </c>
    </row>
    <row r="293" spans="1:46">
      <c r="A293">
        <v>3584</v>
      </c>
      <c r="B293" t="str">
        <f>"603887"</f>
        <v>603887</v>
      </c>
      <c r="C293" t="s">
        <v>1250</v>
      </c>
      <c r="D293" t="str">
        <f>[1]!EM_S_INFO_INDEX_EM(B293,"1")</f>
        <v>建筑</v>
      </c>
      <c r="E293" s="4">
        <f t="shared" si="4"/>
        <v>43465</v>
      </c>
      <c r="F293" s="11">
        <f>[1]!EM_S_PQ_PCTCHANGE(B293,"2018-01-01","2019-12-31","3")</f>
        <v>38.634119859999998</v>
      </c>
      <c r="G293" s="11">
        <f>[1]!EM_S_PQ_PCTCHANGE(B293,"2018-12-31","2019-12-30","1")</f>
        <v>72.824536379999998</v>
      </c>
      <c r="H293" s="11">
        <f>[1]!EM_S_FA_YOY_OR(B293,E293)</f>
        <v>55.0441125539</v>
      </c>
      <c r="I293" s="11">
        <f>[1]!EM_S_FA_GROSSPROFITMARGIN(B293,E293)</f>
        <v>18.394573846699998</v>
      </c>
      <c r="J293" s="11">
        <f>[1]!EM_S_FA_NETPROFITMARGIN(B293,E293)</f>
        <v>5.7269080022000001</v>
      </c>
      <c r="K293" s="10">
        <f>[1]!EM_S_FA_ASSETSTURN(B293,E293)</f>
        <v>0.86488945249500004</v>
      </c>
      <c r="L293" s="12">
        <f>[1]!EM_HKS_VAL_MV(B293,"2019-12-31","2")</f>
        <v>6646059060.9399996</v>
      </c>
      <c r="M293">
        <f>[1]!EM_S_VAL_PETTMDEDUCTED(B293,E293)</f>
        <v>27.581888248284201</v>
      </c>
      <c r="N293" s="7">
        <f>[1]!EM_S_VAL_PBGOODWILLDEDUCTED(B293,E293)</f>
        <v>2.3496609707708198</v>
      </c>
      <c r="O293" s="7">
        <f>[1]!EM_S_VAL_PS_TTM(B293,E293)</f>
        <v>1.6478372866292801</v>
      </c>
      <c r="P293" s="7">
        <f>[1]!EM_S_VAL_PCF_NCFTTM(B293,E293)</f>
        <v>-39.471915277774301</v>
      </c>
      <c r="Q293" s="7">
        <f>[1]!EM_S_VAL_DIVIDENDYIELD2(B293,E293,"2019-11-29")</f>
        <v>0</v>
      </c>
      <c r="T293"/>
      <c r="U293">
        <f>[1]!EM_S_RATIO_EPS_TTM(B293,E293,"1")</f>
        <v>0.50055399923717059</v>
      </c>
      <c r="AT293" s="4" t="str">
        <f>[1]!EM_S_IPO_LISTEDDATE(B293)</f>
        <v>2016-10-10</v>
      </c>
    </row>
    <row r="294" spans="1:46">
      <c r="A294">
        <v>920</v>
      </c>
      <c r="B294" t="str">
        <f>"002409"</f>
        <v>002409</v>
      </c>
      <c r="C294" t="s">
        <v>2138</v>
      </c>
      <c r="D294" t="str">
        <f>[1]!EM_S_INFO_INDEX_EM(B294,"1")</f>
        <v>基础化工</v>
      </c>
      <c r="E294" s="4">
        <f t="shared" si="4"/>
        <v>43465</v>
      </c>
      <c r="F294" s="11">
        <f>[1]!EM_S_PQ_PCTCHANGE(B294,"2018-01-01","2019-12-31","3")</f>
        <v>-18.38049444</v>
      </c>
      <c r="G294" s="11">
        <f>[1]!EM_S_PQ_PCTCHANGE(B294,"2018-12-31","2019-12-30","1")</f>
        <v>72.81903389</v>
      </c>
      <c r="H294" s="11">
        <f>[1]!EM_S_FA_YOY_OR(B294,E294)</f>
        <v>36.584744106300001</v>
      </c>
      <c r="I294" s="11">
        <f>[1]!EM_S_FA_GROSSPROFITMARGIN(B294,E294)</f>
        <v>28.008687012799999</v>
      </c>
      <c r="J294" s="11">
        <f>[1]!EM_S_FA_NETPROFITMARGIN(B294,E294)</f>
        <v>9.1458741628000002</v>
      </c>
      <c r="K294" s="10">
        <f>[1]!EM_S_FA_ASSETSTURN(B294,E294)</f>
        <v>0.47394665073300002</v>
      </c>
      <c r="L294" s="12">
        <f>[1]!EM_HKS_VAL_MV(B294,"2019-12-31","2")</f>
        <v>10738201269.6</v>
      </c>
      <c r="M294">
        <f>[1]!EM_S_VAL_PETTMDEDUCTED(B294,E294)</f>
        <v>86.614849923423506</v>
      </c>
      <c r="N294" s="7">
        <f>[1]!EM_S_VAL_PBGOODWILLDEDUCTED(B294,E294)</f>
        <v>2.5720675151069701</v>
      </c>
      <c r="O294" s="7">
        <f>[1]!EM_S_VAL_PS_TTM(B294,E294)</f>
        <v>4.5588681640019901</v>
      </c>
      <c r="P294" s="7">
        <f>[1]!EM_S_VAL_PCF_NCFTTM(B294,E294)</f>
        <v>-478.244405489239</v>
      </c>
      <c r="Q294" s="7">
        <f>[1]!EM_S_VAL_DIVIDENDYIELD2(B294,E294,"2019-11-29")</f>
        <v>0.48128342245989297</v>
      </c>
      <c r="T294"/>
      <c r="U294">
        <f>[1]!EM_S_RATIO_EPS_TTM(B294,E294,"1")</f>
        <v>0.28712554518573019</v>
      </c>
      <c r="AT294" s="4" t="str">
        <f>[1]!EM_S_IPO_LISTEDDATE(B294)</f>
        <v>2010-05-25</v>
      </c>
    </row>
    <row r="295" spans="1:46">
      <c r="A295">
        <v>9</v>
      </c>
      <c r="B295" t="str">
        <f>"000009"</f>
        <v>000009</v>
      </c>
      <c r="C295" t="s">
        <v>2812</v>
      </c>
      <c r="D295" t="str">
        <f>[1]!EM_S_INFO_INDEX_EM(B295,"1")</f>
        <v>综合</v>
      </c>
      <c r="E295" s="4">
        <f t="shared" si="4"/>
        <v>43465</v>
      </c>
      <c r="F295" s="11">
        <f>[1]!EM_S_PQ_PCTCHANGE(B295,"2018-01-01","2019-12-31","3")</f>
        <v>3.39901901</v>
      </c>
      <c r="G295" s="11">
        <f>[1]!EM_S_PQ_PCTCHANGE(B295,"2019-01-01","2019-12-31","3")</f>
        <v>72.77765789</v>
      </c>
      <c r="H295" s="11">
        <f>[1]!EM_S_FA_YOY_OR(B295,E295)</f>
        <v>66.804704483999998</v>
      </c>
      <c r="I295" s="11">
        <f>[1]!EM_S_FA_GROSSPROFITMARGIN(B295,E295)</f>
        <v>36.996826920899998</v>
      </c>
      <c r="J295" s="11">
        <f>[1]!EM_S_FA_NETPROFITMARGIN(B295,E295)</f>
        <v>5.6768201854000004</v>
      </c>
      <c r="K295" s="10">
        <f>[1]!EM_S_FA_ASSETSTURN(B295,E295)</f>
        <v>0.41321022228299997</v>
      </c>
      <c r="L295" s="12">
        <f>[1]!EM_HKS_VAL_MV(B295,"2019-12-31","2")</f>
        <v>15965334443.35</v>
      </c>
      <c r="M295">
        <f>[1]!EM_S_VAL_PETTMDEDUCTED(B295,E295)</f>
        <v>-699.09855107812098</v>
      </c>
      <c r="N295" s="7">
        <f>[1]!EM_S_VAL_PBGOODWILLDEDUCTED(B295,E295)</f>
        <v>1.94393911784337</v>
      </c>
      <c r="O295" s="7">
        <f>[1]!EM_S_VAL_PS_TTM(B295,E295)</f>
        <v>1.0461504535049599</v>
      </c>
      <c r="P295" s="7">
        <f>[1]!EM_S_VAL_PCF_NCFTTM(B295,E295)</f>
        <v>78.638613235991002</v>
      </c>
      <c r="Q295" s="7">
        <f>[1]!EM_S_VAL_DIVIDENDYIELD2(B295,E295,"2019-11-29")</f>
        <v>0.37285607758297656</v>
      </c>
      <c r="T295"/>
      <c r="U295">
        <f>[1]!EM_S_RATIO_EPS_TTM(B295,E295,"1")</f>
        <v>9.946313296117229E-2</v>
      </c>
      <c r="AT295" s="4" t="str">
        <f>[1]!EM_S_IPO_LISTEDDATE(B295)</f>
        <v>1991-06-25</v>
      </c>
    </row>
    <row r="296" spans="1:46">
      <c r="A296">
        <v>2804</v>
      </c>
      <c r="B296" t="str">
        <f>"600731"</f>
        <v>600731</v>
      </c>
      <c r="C296" t="s">
        <v>2480</v>
      </c>
      <c r="D296" t="str">
        <f>[1]!EM_S_INFO_INDEX_EM(B296,"1")</f>
        <v>基础化工</v>
      </c>
      <c r="E296" s="4">
        <f t="shared" si="4"/>
        <v>43465</v>
      </c>
      <c r="F296" s="11">
        <f>[1]!EM_S_PQ_PCTCHANGE(B296,"2018-01-01","2019-12-31","3")</f>
        <v>1.83356841</v>
      </c>
      <c r="G296" s="11">
        <f>[1]!EM_S_PQ_PCTCHANGE(B296,"2018-12-31","2019-12-30","1")</f>
        <v>72.74881517</v>
      </c>
      <c r="H296" s="11">
        <f>[1]!EM_S_FA_YOY_OR(B296,E296)</f>
        <v>33.6684949172</v>
      </c>
      <c r="I296" s="11">
        <f>[1]!EM_S_FA_GROSSPROFITMARGIN(B296,E296)</f>
        <v>24.246116990400001</v>
      </c>
      <c r="J296" s="11">
        <f>[1]!EM_S_FA_NETPROFITMARGIN(B296,E296)</f>
        <v>4.7746316109000002</v>
      </c>
      <c r="K296" s="10">
        <f>[1]!EM_S_FA_ASSETSTURN(B296,E296)</f>
        <v>0.78831345502700001</v>
      </c>
      <c r="L296" s="12">
        <f>[1]!EM_HKS_VAL_MV(B296,"2019-12-31","2")</f>
        <v>2564707879.5599999</v>
      </c>
      <c r="M296">
        <f>[1]!EM_S_VAL_PETTMDEDUCTED(B296,E296)</f>
        <v>21.1990633892575</v>
      </c>
      <c r="N296" s="7">
        <f>[1]!EM_S_VAL_PBGOODWILLDEDUCTED(B296,E296)</f>
        <v>1.40133130754167</v>
      </c>
      <c r="O296" s="7">
        <f>[1]!EM_S_VAL_PS_TTM(B296,E296)</f>
        <v>1.0776963387996099</v>
      </c>
      <c r="P296" s="7">
        <f>[1]!EM_S_VAL_PCF_NCFTTM(B296,E296)</f>
        <v>21.891187691058001</v>
      </c>
      <c r="Q296" s="7">
        <f>[1]!EM_S_VAL_DIVIDENDYIELD2(B296,E296,"2019-11-29")</f>
        <v>0</v>
      </c>
      <c r="T296"/>
      <c r="U296">
        <f>[1]!EM_S_RATIO_EPS_TTM(B296,E296,"1")</f>
        <v>0.14497503208536522</v>
      </c>
      <c r="AT296" s="4" t="str">
        <f>[1]!EM_S_IPO_LISTEDDATE(B296)</f>
        <v>1996-08-02</v>
      </c>
    </row>
    <row r="297" spans="1:46">
      <c r="A297">
        <v>3143</v>
      </c>
      <c r="B297" t="str">
        <f>"601700"</f>
        <v>601700</v>
      </c>
      <c r="C297" t="s">
        <v>2133</v>
      </c>
      <c r="D297" t="str">
        <f>[1]!EM_S_INFO_INDEX_EM(B297,"1")</f>
        <v>电气设备</v>
      </c>
      <c r="E297" s="4">
        <f t="shared" si="4"/>
        <v>43465</v>
      </c>
      <c r="F297" s="11">
        <f>[1]!EM_S_PQ_PCTCHANGE(B297,"2018-01-01","2019-12-31","3")</f>
        <v>-15.06730636</v>
      </c>
      <c r="G297" s="11">
        <f>[1]!EM_S_PQ_PCTCHANGE(B297,"2018-12-31","2019-12-30","1")</f>
        <v>72.513089010000002</v>
      </c>
      <c r="H297" s="11">
        <f>[1]!EM_S_FA_YOY_OR(B297,E297)</f>
        <v>-9.6560943258999998</v>
      </c>
      <c r="I297" s="11">
        <f>[1]!EM_S_FA_GROSSPROFITMARGIN(B297,E297)</f>
        <v>12.533161011300001</v>
      </c>
      <c r="J297" s="11">
        <f>[1]!EM_S_FA_NETPROFITMARGIN(B297,E297)</f>
        <v>1.5158329948</v>
      </c>
      <c r="K297" s="10">
        <f>[1]!EM_S_FA_ASSETSTURN(B297,E297)</f>
        <v>0.43429255507100001</v>
      </c>
      <c r="L297" s="12">
        <f>[1]!EM_HKS_VAL_MV(B297,"2019-12-31","2")</f>
        <v>7320678720</v>
      </c>
      <c r="M297">
        <f>[1]!EM_S_VAL_PETTMDEDUCTED(B297,E297)</f>
        <v>-581.80554304488703</v>
      </c>
      <c r="N297" s="7">
        <f>[1]!EM_S_VAL_PBGOODWILLDEDUCTED(B297,E297)</f>
        <v>1.52147474840139</v>
      </c>
      <c r="O297" s="7">
        <f>[1]!EM_S_VAL_PS_TTM(B297,E297)</f>
        <v>1.91141218016686</v>
      </c>
      <c r="P297" s="7">
        <f>[1]!EM_S_VAL_PCF_NCFTTM(B297,E297)</f>
        <v>146.973160078012</v>
      </c>
      <c r="Q297" s="7">
        <f>[1]!EM_S_VAL_DIVIDENDYIELD2(B297,E297,"2019-11-29")</f>
        <v>3.5225048923679059</v>
      </c>
      <c r="T297"/>
      <c r="U297">
        <f>[1]!EM_S_RATIO_EPS_TTM(B297,E297,"1")</f>
        <v>2.755460106138902E-2</v>
      </c>
      <c r="AT297" s="4" t="str">
        <f>[1]!EM_S_IPO_LISTEDDATE(B297)</f>
        <v>2011-01-18</v>
      </c>
    </row>
    <row r="298" spans="1:46">
      <c r="A298">
        <v>2310</v>
      </c>
      <c r="B298" t="str">
        <f>"600171"</f>
        <v>600171</v>
      </c>
      <c r="C298" t="s">
        <v>2457</v>
      </c>
      <c r="D298" t="str">
        <f>[1]!EM_S_INFO_INDEX_EM(B298,"1")</f>
        <v>电子设备</v>
      </c>
      <c r="E298" s="4">
        <f t="shared" si="4"/>
        <v>43465</v>
      </c>
      <c r="F298" s="11">
        <f>[1]!EM_S_PQ_PCTCHANGE(B298,"2018-01-01","2019-12-31","3")</f>
        <v>-2.28993943</v>
      </c>
      <c r="G298" s="11">
        <f>[1]!EM_S_PQ_PCTCHANGE(B298,"2018-12-31","2019-12-30","1")</f>
        <v>72.376873660000001</v>
      </c>
      <c r="H298" s="11">
        <f>[1]!EM_S_FA_YOY_OR(B298,E298)</f>
        <v>39.594369774299999</v>
      </c>
      <c r="I298" s="11">
        <f>[1]!EM_S_FA_GROSSPROFITMARGIN(B298,E298)</f>
        <v>25.612053920600001</v>
      </c>
      <c r="J298" s="11">
        <f>[1]!EM_S_FA_NETPROFITMARGIN(B298,E298)</f>
        <v>13.176006366199999</v>
      </c>
      <c r="K298" s="10">
        <f>[1]!EM_S_FA_ASSETSTURN(B298,E298)</f>
        <v>0.28753265847199999</v>
      </c>
      <c r="L298" s="12">
        <f>[1]!EM_HKS_VAL_MV(B298,"2019-12-31","2")</f>
        <v>11085491245.5</v>
      </c>
      <c r="M298">
        <f>[1]!EM_S_VAL_PETTMDEDUCTED(B298,E298)</f>
        <v>70.7554144427137</v>
      </c>
      <c r="N298" s="7">
        <f>[1]!EM_S_VAL_PBGOODWILLDEDUCTED(B298,E298)</f>
        <v>3.3128632783507701</v>
      </c>
      <c r="O298" s="7">
        <f>[1]!EM_S_VAL_PS_TTM(B298,E298)</f>
        <v>8.6903883290631594</v>
      </c>
      <c r="P298" s="7">
        <f>[1]!EM_S_VAL_PCF_NCFTTM(B298,E298)</f>
        <v>362.422029852001</v>
      </c>
      <c r="Q298" s="7">
        <f>[1]!EM_S_VAL_DIVIDENDYIELD2(B298,E298,"2019-11-29")</f>
        <v>0.31700551782386255</v>
      </c>
      <c r="T298"/>
      <c r="U298">
        <f>[1]!EM_S_RATIO_EPS_TTM(B298,E298,"1")</f>
        <v>0.14584868058269432</v>
      </c>
      <c r="AT298" s="4" t="str">
        <f>[1]!EM_S_IPO_LISTEDDATE(B298)</f>
        <v>1998-09-24</v>
      </c>
    </row>
    <row r="299" spans="1:46">
      <c r="A299">
        <v>1627</v>
      </c>
      <c r="B299" t="str">
        <f>"300202"</f>
        <v>300202</v>
      </c>
      <c r="C299" t="s">
        <v>2829</v>
      </c>
      <c r="D299" t="str">
        <f>[1]!EM_S_INFO_INDEX_EM(B299,"1")</f>
        <v>信息技术</v>
      </c>
      <c r="E299" s="4">
        <f t="shared" si="4"/>
        <v>43465</v>
      </c>
      <c r="F299" s="11">
        <f>[1]!EM_S_PQ_PCTCHANGE(B299,"2018-01-01","2019-12-31","3")</f>
        <v>-37.570076489999998</v>
      </c>
      <c r="G299" s="11">
        <f>[1]!EM_S_PQ_PCTCHANGE(B299,"2018-12-31","2019-12-30","1")</f>
        <v>72.36024845</v>
      </c>
      <c r="H299" s="11">
        <f>[1]!EM_S_FA_YOY_OR(B299,E299)</f>
        <v>-8.8390821859000006</v>
      </c>
      <c r="I299" s="11">
        <f>[1]!EM_S_FA_GROSSPROFITMARGIN(B299,E299)</f>
        <v>41.156270925900003</v>
      </c>
      <c r="J299" s="11">
        <f>[1]!EM_S_FA_NETPROFITMARGIN(B299,E299)</f>
        <v>-21.839145975200001</v>
      </c>
      <c r="K299" s="10">
        <f>[1]!EM_S_FA_ASSETSTURN(B299,E299)</f>
        <v>0.249165224593</v>
      </c>
      <c r="L299" s="12">
        <f>[1]!EM_HKS_VAL_MV(B299,"2019-12-31","2")</f>
        <v>6126969600</v>
      </c>
      <c r="M299">
        <f>[1]!EM_S_VAL_PETTMDEDUCTED(B299,E299)</f>
        <v>78.5685057009687</v>
      </c>
      <c r="N299" s="7">
        <f>[1]!EM_S_VAL_PBGOODWILLDEDUCTED(B299,E299)</f>
        <v>2.2150998927355001</v>
      </c>
      <c r="O299" s="7">
        <f>[1]!EM_S_VAL_PS_TTM(B299,E299)</f>
        <v>4.5816466984043904</v>
      </c>
      <c r="P299" s="7">
        <f>[1]!EM_S_VAL_PCF_NCFTTM(B299,E299)</f>
        <v>32.125730012530703</v>
      </c>
      <c r="Q299" s="7">
        <f>[1]!EM_S_VAL_DIVIDENDYIELD2(B299,E299,"2019-11-29")</f>
        <v>0</v>
      </c>
      <c r="T299"/>
      <c r="U299">
        <f>[1]!EM_S_RATIO_EPS_TTM(B299,E299,"1")</f>
        <v>-0.24123395762360239</v>
      </c>
      <c r="AT299" s="4" t="str">
        <f>[1]!EM_S_IPO_LISTEDDATE(B299)</f>
        <v>2011-04-15</v>
      </c>
    </row>
    <row r="300" spans="1:46">
      <c r="A300">
        <v>1731</v>
      </c>
      <c r="B300" t="str">
        <f>"300306"</f>
        <v>300306</v>
      </c>
      <c r="C300" t="s">
        <v>2261</v>
      </c>
      <c r="D300" t="str">
        <f>[1]!EM_S_INFO_INDEX_EM(B300,"1")</f>
        <v>机械设备</v>
      </c>
      <c r="E300" s="4">
        <f t="shared" si="4"/>
        <v>43465</v>
      </c>
      <c r="F300" s="11">
        <f>[1]!EM_S_PQ_PCTCHANGE(B300,"2018-01-01","2019-12-31","3")</f>
        <v>-24.567943700000001</v>
      </c>
      <c r="G300" s="11">
        <f>[1]!EM_S_PQ_PCTCHANGE(B300,"2018-12-31","2019-12-30","1")</f>
        <v>72.245467219999995</v>
      </c>
      <c r="H300" s="11">
        <f>[1]!EM_S_FA_YOY_OR(B300,E300)</f>
        <v>-24.370306444299999</v>
      </c>
      <c r="I300" s="11">
        <f>[1]!EM_S_FA_GROSSPROFITMARGIN(B300,E300)</f>
        <v>59.895678810900002</v>
      </c>
      <c r="J300" s="11">
        <f>[1]!EM_S_FA_NETPROFITMARGIN(B300,E300)</f>
        <v>-114.7026886812</v>
      </c>
      <c r="K300" s="10">
        <f>[1]!EM_S_FA_ASSETSTURN(B300,E300)</f>
        <v>0.21761576720299999</v>
      </c>
      <c r="L300" s="12">
        <f>[1]!EM_HKS_VAL_MV(B300,"2019-12-31","2")</f>
        <v>3325416588.7199998</v>
      </c>
      <c r="M300">
        <f>[1]!EM_S_VAL_PETTMDEDUCTED(B300,E300)</f>
        <v>-28.002085692102</v>
      </c>
      <c r="N300" s="7">
        <f>[1]!EM_S_VAL_PBGOODWILLDEDUCTED(B300,E300)</f>
        <v>1.4511744392779</v>
      </c>
      <c r="O300" s="7">
        <f>[1]!EM_S_VAL_PS_TTM(B300,E300)</f>
        <v>3.9944328232961599</v>
      </c>
      <c r="P300" s="7">
        <f>[1]!EM_S_VAL_PCF_NCFTTM(B300,E300)</f>
        <v>-20.1290853933892</v>
      </c>
      <c r="Q300" s="7">
        <f>[1]!EM_S_VAL_DIVIDENDYIELD2(B300,E300,"2019-11-29")</f>
        <v>0</v>
      </c>
      <c r="T300"/>
      <c r="U300">
        <f>[1]!EM_S_RATIO_EPS_TTM(B300,E300,"1")</f>
        <v>-1.6874957867493865</v>
      </c>
      <c r="AT300" s="4" t="str">
        <f>[1]!EM_S_IPO_LISTEDDATE(B300)</f>
        <v>2012-03-29</v>
      </c>
    </row>
    <row r="301" spans="1:46">
      <c r="A301">
        <v>1841</v>
      </c>
      <c r="B301" t="str">
        <f>"300416"</f>
        <v>300416</v>
      </c>
      <c r="C301" t="s">
        <v>2709</v>
      </c>
      <c r="D301" t="str">
        <f>[1]!EM_S_INFO_INDEX_EM(B301,"1")</f>
        <v>机械设备</v>
      </c>
      <c r="E301" s="4">
        <f t="shared" si="4"/>
        <v>43465</v>
      </c>
      <c r="F301" s="11">
        <f>[1]!EM_S_PQ_PCTCHANGE(B301,"2018-01-01","2019-12-31","3")</f>
        <v>34.051877169999997</v>
      </c>
      <c r="G301" s="11">
        <f>[1]!EM_S_PQ_PCTCHANGE(B301,"2018-12-31","2019-12-30","1")</f>
        <v>71.891891889999997</v>
      </c>
      <c r="H301" s="11">
        <f>[1]!EM_S_FA_YOY_OR(B301,E301)</f>
        <v>28.106599714400001</v>
      </c>
      <c r="I301" s="11">
        <f>[1]!EM_S_FA_GROSSPROFITMARGIN(B301,E301)</f>
        <v>46.056218576799999</v>
      </c>
      <c r="J301" s="11">
        <f>[1]!EM_S_FA_NETPROFITMARGIN(B301,E301)</f>
        <v>13.6673489356</v>
      </c>
      <c r="K301" s="10">
        <f>[1]!EM_S_FA_ASSETSTURN(B301,E301)</f>
        <v>0.49797013148199998</v>
      </c>
      <c r="L301" s="12">
        <f>[1]!EM_HKS_VAL_MV(B301,"2019-12-31","2")</f>
        <v>4357461717.7799997</v>
      </c>
      <c r="M301">
        <f>[1]!EM_S_VAL_PETTMDEDUCTED(B301,E301)</f>
        <v>42.104906224161198</v>
      </c>
      <c r="N301" s="7">
        <f>[1]!EM_S_VAL_PBGOODWILLDEDUCTED(B301,E301)</f>
        <v>3.1618622480114902</v>
      </c>
      <c r="O301" s="7">
        <f>[1]!EM_S_VAL_PS_TTM(B301,E301)</f>
        <v>4.54242913302377</v>
      </c>
      <c r="P301" s="7">
        <f>[1]!EM_S_VAL_PCF_NCFTTM(B301,E301)</f>
        <v>15.1137101519271</v>
      </c>
      <c r="Q301" s="7">
        <f>[1]!EM_S_VAL_DIVIDENDYIELD2(B301,E301,"2019-11-29")</f>
        <v>0.38520801232665641</v>
      </c>
      <c r="T301"/>
      <c r="U301">
        <f>[1]!EM_S_RATIO_EPS_TTM(B301,E301,"1")</f>
        <v>0.53075079773360967</v>
      </c>
      <c r="AT301" s="4" t="str">
        <f>[1]!EM_S_IPO_LISTEDDATE(B301)</f>
        <v>2015-01-22</v>
      </c>
    </row>
    <row r="302" spans="1:46">
      <c r="A302">
        <v>2694</v>
      </c>
      <c r="B302" t="str">
        <f>"600621"</f>
        <v>600621</v>
      </c>
      <c r="C302" t="s">
        <v>2826</v>
      </c>
      <c r="D302" t="str">
        <f>[1]!EM_S_INFO_INDEX_EM(B302,"1")</f>
        <v>金融</v>
      </c>
      <c r="E302" s="4">
        <f t="shared" si="4"/>
        <v>43465</v>
      </c>
      <c r="F302" s="11">
        <f>[1]!EM_S_PQ_PCTCHANGE(B302,"2018-01-01","2019-12-31","3")</f>
        <v>27.269943640000001</v>
      </c>
      <c r="G302" s="11">
        <f>[1]!EM_S_PQ_PCTCHANGE(B302,"2018-12-31","2019-12-30","1")</f>
        <v>71.867881550000007</v>
      </c>
      <c r="H302" s="11">
        <f>[1]!EM_S_FA_YOY_OR(B302,E302)</f>
        <v>-94.862284662500002</v>
      </c>
      <c r="I302" s="11">
        <f>[1]!EM_S_FA_GROSSPROFITMARGIN(B302,E302)</f>
        <v>37.817003479299999</v>
      </c>
      <c r="J302" s="11">
        <f>[1]!EM_S_FA_NETPROFITMARGIN(B302,E302)</f>
        <v>-20.411219533699999</v>
      </c>
      <c r="K302" s="10">
        <f>[1]!EM_S_FA_ASSETSTURN(B302,E302)</f>
        <v>6.3570356531999994E-2</v>
      </c>
      <c r="L302" s="12">
        <f>[1]!EM_HKS_VAL_MV(B302,"2019-12-31","2")</f>
        <v>16242368160.52</v>
      </c>
      <c r="M302">
        <f>[1]!EM_S_VAL_PETTMDEDUCTED(B302,E302)</f>
        <v>13.776281326245201</v>
      </c>
      <c r="N302" s="7">
        <f>[1]!EM_S_VAL_PBGOODWILLDEDUCTED(B302,E302)</f>
        <v>1.5168743214951499</v>
      </c>
      <c r="O302" s="7">
        <f>[1]!EM_S_VAL_PS_TTM(B302,E302)</f>
        <v>2.8255148570919202</v>
      </c>
      <c r="P302" s="7">
        <f>[1]!EM_S_VAL_PCF_NCFTTM(B302,E302)</f>
        <v>-11.296803460488899</v>
      </c>
      <c r="Q302" s="7">
        <f>[1]!EM_S_VAL_DIVIDENDYIELD2(B302,E302,"2019-11-29")</f>
        <v>5.2790346907993974E-2</v>
      </c>
      <c r="T302"/>
      <c r="U302">
        <f>[1]!EM_S_RATIO_EPS_TTM(B302,E302,"1")</f>
        <v>2.0592281006065558E-2</v>
      </c>
      <c r="AT302" s="4" t="str">
        <f>[1]!EM_S_IPO_LISTEDDATE(B302)</f>
        <v>1992-12-02</v>
      </c>
    </row>
    <row r="303" spans="1:46">
      <c r="A303">
        <v>653</v>
      </c>
      <c r="B303" t="str">
        <f>"002142"</f>
        <v>002142</v>
      </c>
      <c r="C303" t="s">
        <v>252</v>
      </c>
      <c r="D303" t="str">
        <f>[1]!EM_S_INFO_INDEX_EM(B303,"1")</f>
        <v>金融</v>
      </c>
      <c r="E303" s="4">
        <f t="shared" si="4"/>
        <v>43465</v>
      </c>
      <c r="F303" s="11">
        <f>[1]!EM_S_PQ_PCTCHANGE(B303,"2018-01-01","2019-12-31","3")</f>
        <v>64.797588129999994</v>
      </c>
      <c r="G303" s="11">
        <f>[1]!EM_S_PQ_PCTCHANGE(B303,"2018-12-31","2019-12-30","1")</f>
        <v>71.701602960000002</v>
      </c>
      <c r="H303" s="11">
        <f>[1]!EM_S_FA_YOY_OR(B303,E303)</f>
        <v>14.2843418271</v>
      </c>
      <c r="I303" s="11">
        <f>[1]!EM_S_FA_GROSSPROFITMARGIN(B303,E303)</f>
        <v>0</v>
      </c>
      <c r="J303" s="11">
        <f>[1]!EM_S_FA_NETPROFITMARGIN(B303,E303)</f>
        <v>38.785060813699999</v>
      </c>
      <c r="K303" s="10">
        <f>[1]!EM_S_FA_ASSETSTURN(B303,E303)</f>
        <v>0</v>
      </c>
      <c r="L303" s="12">
        <f>[1]!EM_HKS_VAL_MV(B303,"2019-12-31","2")</f>
        <v>158437476213.20001</v>
      </c>
      <c r="M303">
        <f>[1]!EM_S_VAL_PETTMDEDUCTED(B303,E303)</f>
        <v>7.8066949065999198</v>
      </c>
      <c r="N303" s="7">
        <f>[1]!EM_S_VAL_PBGOODWILLDEDUCTED(B303,E303)</f>
        <v>1.3068470788465001</v>
      </c>
      <c r="O303" s="7">
        <f>[1]!EM_S_VAL_PS_TTM(B303,E303)</f>
        <v>3.02359276971332</v>
      </c>
      <c r="P303" s="7">
        <f>[1]!EM_S_VAL_PCF_NCFTTM(B303,E303)</f>
        <v>-32.694723601349402</v>
      </c>
      <c r="Q303" s="7">
        <f>[1]!EM_S_VAL_DIVIDENDYIELD2(B303,E303,"2019-11-29")</f>
        <v>1.4362131633181303</v>
      </c>
      <c r="T303"/>
      <c r="U303">
        <f>[1]!EM_S_RATIO_EPS_TTM(B303,E303,"1")</f>
        <v>2.1476887657540948</v>
      </c>
      <c r="AT303" s="4" t="str">
        <f>[1]!EM_S_IPO_LISTEDDATE(B303)</f>
        <v>2007-07-19</v>
      </c>
    </row>
    <row r="304" spans="1:46">
      <c r="A304">
        <v>1812</v>
      </c>
      <c r="B304" t="str">
        <f>"300387"</f>
        <v>300387</v>
      </c>
      <c r="C304" t="s">
        <v>1076</v>
      </c>
      <c r="D304" t="str">
        <f>[1]!EM_S_INFO_INDEX_EM(B304,"1")</f>
        <v>基础化工</v>
      </c>
      <c r="E304" s="4">
        <f t="shared" si="4"/>
        <v>43465</v>
      </c>
      <c r="F304" s="11">
        <f>[1]!EM_S_PQ_PCTCHANGE(B304,"2018-01-01","2019-12-31","3")</f>
        <v>26.3520267</v>
      </c>
      <c r="G304" s="11">
        <f>[1]!EM_S_PQ_PCTCHANGE(B304,"2018-12-31","2019-12-30","1")</f>
        <v>71.225577259999994</v>
      </c>
      <c r="H304" s="11">
        <f>[1]!EM_S_FA_YOY_OR(B304,E304)</f>
        <v>8.7925052953999998</v>
      </c>
      <c r="I304" s="11">
        <f>[1]!EM_S_FA_GROSSPROFITMARGIN(B304,E304)</f>
        <v>34.934912363800002</v>
      </c>
      <c r="J304" s="11">
        <f>[1]!EM_S_FA_NETPROFITMARGIN(B304,E304)</f>
        <v>10.4576924947</v>
      </c>
      <c r="K304" s="10">
        <f>[1]!EM_S_FA_ASSETSTURN(B304,E304)</f>
        <v>0.43070064087999999</v>
      </c>
      <c r="L304" s="12">
        <f>[1]!EM_HKS_VAL_MV(B304,"2019-12-31","2")</f>
        <v>3005509285.4000001</v>
      </c>
      <c r="M304">
        <f>[1]!EM_S_VAL_PETTMDEDUCTED(B304,E304)</f>
        <v>23.673482930752201</v>
      </c>
      <c r="N304" s="7">
        <f>[1]!EM_S_VAL_PBGOODWILLDEDUCTED(B304,E304)</f>
        <v>2.5110413957850501</v>
      </c>
      <c r="O304" s="7">
        <f>[1]!EM_S_VAL_PS_TTM(B304,E304)</f>
        <v>2.4905730722516899</v>
      </c>
      <c r="P304" s="7">
        <f>[1]!EM_S_VAL_PCF_NCFTTM(B304,E304)</f>
        <v>6.7929642966924302</v>
      </c>
      <c r="Q304" s="7">
        <f>[1]!EM_S_VAL_DIVIDENDYIELD2(B304,E304,"2019-11-29")</f>
        <v>0.52137363731242437</v>
      </c>
      <c r="T304"/>
      <c r="U304">
        <f>[1]!EM_S_RATIO_EPS_TTM(B304,E304,"1")</f>
        <v>0.2262767909340295</v>
      </c>
      <c r="AT304" s="4" t="str">
        <f>[1]!EM_S_IPO_LISTEDDATE(B304)</f>
        <v>2014-07-02</v>
      </c>
    </row>
    <row r="305" spans="1:46">
      <c r="A305">
        <v>723</v>
      </c>
      <c r="B305" t="str">
        <f>"002212"</f>
        <v>002212</v>
      </c>
      <c r="C305" t="s">
        <v>3233</v>
      </c>
      <c r="D305" t="str">
        <f>[1]!EM_S_INFO_INDEX_EM(B305,"1")</f>
        <v>电气设备</v>
      </c>
      <c r="E305" s="4">
        <f t="shared" si="4"/>
        <v>43465</v>
      </c>
      <c r="F305" s="11">
        <f>[1]!EM_S_PQ_PCTCHANGE(B305,"2018-01-01","2019-12-31","3")</f>
        <v>-4.7015375099999996</v>
      </c>
      <c r="G305" s="11">
        <f>[1]!EM_S_PQ_PCTCHANGE(B305,"2018-12-31","2019-12-30","1")</f>
        <v>71.133093529999996</v>
      </c>
      <c r="H305" s="11">
        <f>[1]!EM_S_FA_YOY_OR(B305,E305)</f>
        <v>22.739210212500002</v>
      </c>
      <c r="I305" s="11">
        <f>[1]!EM_S_FA_GROSSPROFITMARGIN(B305,E305)</f>
        <v>24.702740917</v>
      </c>
      <c r="J305" s="11">
        <f>[1]!EM_S_FA_NETPROFITMARGIN(B305,E305)</f>
        <v>7.7297806933000004</v>
      </c>
      <c r="K305" s="10">
        <f>[1]!EM_S_FA_ASSETSTURN(B305,E305)</f>
        <v>0.64380350313699997</v>
      </c>
      <c r="L305" s="12">
        <f>[1]!EM_HKS_VAL_MV(B305,"2019-12-31","2")</f>
        <v>22022767247.849998</v>
      </c>
      <c r="M305">
        <f>[1]!EM_S_VAL_PETTMDEDUCTED(B305,E305)</f>
        <v>36.4766610771484</v>
      </c>
      <c r="N305" s="7">
        <f>[1]!EM_S_VAL_PBGOODWILLDEDUCTED(B305,E305)</f>
        <v>3.5317118425501399</v>
      </c>
      <c r="O305" s="7">
        <f>[1]!EM_S_VAL_PS_TTM(B305,E305)</f>
        <v>2.0199568712162002</v>
      </c>
      <c r="P305" s="7">
        <f>[1]!EM_S_VAL_PCF_NCFTTM(B305,E305)</f>
        <v>66.207604625883206</v>
      </c>
      <c r="Q305" s="7">
        <f>[1]!EM_S_VAL_DIVIDENDYIELD2(B305,E305,"2019-11-29")</f>
        <v>0</v>
      </c>
      <c r="T305"/>
      <c r="U305">
        <f>[1]!EM_S_RATIO_EPS_TTM(B305,E305,"1")</f>
        <v>0.42310326106150475</v>
      </c>
      <c r="AT305" s="4" t="str">
        <f>[1]!EM_S_IPO_LISTEDDATE(B305)</f>
        <v>2008-02-01</v>
      </c>
    </row>
    <row r="306" spans="1:46">
      <c r="A306">
        <v>569</v>
      </c>
      <c r="B306" t="str">
        <f>"002058"</f>
        <v>002058</v>
      </c>
      <c r="C306" t="s">
        <v>3496</v>
      </c>
      <c r="D306" t="str">
        <f>[1]!EM_S_INFO_INDEX_EM(B306,"1")</f>
        <v>电气设备</v>
      </c>
      <c r="E306" s="4">
        <f t="shared" si="4"/>
        <v>43465</v>
      </c>
      <c r="F306" s="11">
        <f>[1]!EM_S_PQ_PCTCHANGE(B306,"2018-01-01","2019-12-31","3")</f>
        <v>5.7558037300000002</v>
      </c>
      <c r="G306" s="11">
        <f>[1]!EM_S_PQ_PCTCHANGE(B306,"2018-12-31","2019-12-30","1")</f>
        <v>71.073094870000006</v>
      </c>
      <c r="H306" s="11">
        <f>[1]!EM_S_FA_YOY_OR(B306,E306)</f>
        <v>4.5587780089000001</v>
      </c>
      <c r="I306" s="11">
        <f>[1]!EM_S_FA_GROSSPROFITMARGIN(B306,E306)</f>
        <v>37.208555983799997</v>
      </c>
      <c r="J306" s="11">
        <f>[1]!EM_S_FA_NETPROFITMARGIN(B306,E306)</f>
        <v>3.9002830316999999</v>
      </c>
      <c r="K306" s="10">
        <f>[1]!EM_S_FA_ASSETSTURN(B306,E306)</f>
        <v>0.52915976071799997</v>
      </c>
      <c r="L306" s="12">
        <f>[1]!EM_HKS_VAL_MV(B306,"2019-12-31","2")</f>
        <v>3233325403.2800002</v>
      </c>
      <c r="M306">
        <f>[1]!EM_S_VAL_PETTMDEDUCTED(B306,E306)</f>
        <v>478.62734652211799</v>
      </c>
      <c r="N306" s="7">
        <f>[1]!EM_S_VAL_PBGOODWILLDEDUCTED(B306,E306)</f>
        <v>9.6728529113814794</v>
      </c>
      <c r="O306" s="7">
        <f>[1]!EM_S_VAL_PS_TTM(B306,E306)</f>
        <v>15.103843820068001</v>
      </c>
      <c r="P306" s="7">
        <f>[1]!EM_S_VAL_PCF_NCFTTM(B306,E306)</f>
        <v>-85.413218650874398</v>
      </c>
      <c r="Q306" s="7">
        <f>[1]!EM_S_VAL_DIVIDENDYIELD2(B306,E306,"2019-11-29")</f>
        <v>5.0658561296859174E-2</v>
      </c>
      <c r="T306"/>
      <c r="U306">
        <f>[1]!EM_S_RATIO_EPS_TTM(B306,E306,"1")</f>
        <v>3.1833812051575476E-2</v>
      </c>
      <c r="AT306" s="4" t="str">
        <f>[1]!EM_S_IPO_LISTEDDATE(B306)</f>
        <v>2006-08-02</v>
      </c>
    </row>
    <row r="307" spans="1:46">
      <c r="A307">
        <v>2768</v>
      </c>
      <c r="B307" t="str">
        <f>"600695"</f>
        <v>600695</v>
      </c>
      <c r="C307" t="s">
        <v>3555</v>
      </c>
      <c r="D307" t="str">
        <f>[1]!EM_S_INFO_INDEX_EM(B307,"1")</f>
        <v>互联网</v>
      </c>
      <c r="E307" s="4">
        <f t="shared" si="4"/>
        <v>43465</v>
      </c>
      <c r="F307" s="11">
        <f>[1]!EM_S_PQ_PCTCHANGE(B307,"2018-01-01","2019-12-31","3")</f>
        <v>-20.489573889999999</v>
      </c>
      <c r="G307" s="11">
        <f>[1]!EM_S_PQ_PCTCHANGE(B307,"2018-12-31","2019-12-30","1")</f>
        <v>70.919324579999994</v>
      </c>
      <c r="H307" s="11">
        <f>[1]!EM_S_FA_YOY_OR(B307,E307)</f>
        <v>-4.1537996132000004</v>
      </c>
      <c r="I307" s="11">
        <f>[1]!EM_S_FA_GROSSPROFITMARGIN(B307,E307)</f>
        <v>84.116440411900001</v>
      </c>
      <c r="J307" s="11">
        <f>[1]!EM_S_FA_NETPROFITMARGIN(B307,E307)</f>
        <v>135.87799335989999</v>
      </c>
      <c r="K307" s="10">
        <f>[1]!EM_S_FA_ASSETSTURN(B307,E307)</f>
        <v>4.4254634674000003E-2</v>
      </c>
      <c r="L307" s="12">
        <f>[1]!EM_HKS_VAL_MV(B307,"2019-12-31","2")</f>
        <v>6236628517</v>
      </c>
      <c r="M307">
        <f>[1]!EM_S_VAL_PETTMDEDUCTED(B307,E307)</f>
        <v>-57.0255974936195</v>
      </c>
      <c r="N307" s="7">
        <f>[1]!EM_S_VAL_PBGOODWILLDEDUCTED(B307,E307)</f>
        <v>5.7852320616507296</v>
      </c>
      <c r="O307" s="7">
        <f>[1]!EM_S_VAL_PS_TTM(B307,E307)</f>
        <v>77.5558309175087</v>
      </c>
      <c r="P307" s="7">
        <f>[1]!EM_S_VAL_PCF_NCFTTM(B307,E307)</f>
        <v>-47.059938347034198</v>
      </c>
      <c r="Q307" s="7">
        <f>[1]!EM_S_VAL_DIVIDENDYIELD2(B307,E307,"2019-11-29")</f>
        <v>0</v>
      </c>
      <c r="T307"/>
      <c r="U307">
        <f>[1]!EM_S_RATIO_EPS_TTM(B307,E307,"1")</f>
        <v>9.1431679346214295E-2</v>
      </c>
      <c r="AT307" s="4" t="str">
        <f>[1]!EM_S_IPO_LISTEDDATE(B307)</f>
        <v>1993-11-22</v>
      </c>
    </row>
    <row r="308" spans="1:46">
      <c r="A308">
        <v>3132</v>
      </c>
      <c r="B308" t="str">
        <f>"601628"</f>
        <v>601628</v>
      </c>
      <c r="C308" t="s">
        <v>436</v>
      </c>
      <c r="D308" t="str">
        <f>[1]!EM_S_INFO_INDEX_EM(B308,"1")</f>
        <v>金融</v>
      </c>
      <c r="E308" s="4">
        <f t="shared" si="4"/>
        <v>43465</v>
      </c>
      <c r="F308" s="11">
        <f>[1]!EM_S_PQ_PCTCHANGE(B308,"2018-01-01","2019-12-31","3")</f>
        <v>17.118658740000001</v>
      </c>
      <c r="G308" s="11">
        <f>[1]!EM_S_PQ_PCTCHANGE(B308,"2018-12-31","2019-12-30","1")</f>
        <v>70.720941640000007</v>
      </c>
      <c r="H308" s="11">
        <f>[1]!EM_S_FA_YOY_OR(B308,E308)</f>
        <v>-1.5453271994</v>
      </c>
      <c r="I308" s="11">
        <f>[1]!EM_S_FA_GROSSPROFITMARGIN(B308,E308)</f>
        <v>0</v>
      </c>
      <c r="J308" s="11">
        <f>[1]!EM_S_FA_NETPROFITMARGIN(B308,E308)</f>
        <v>1.8560070658000001</v>
      </c>
      <c r="K308" s="10">
        <f>[1]!EM_S_FA_ASSETSTURN(B308,E308)</f>
        <v>0</v>
      </c>
      <c r="L308" s="12">
        <f>[1]!EM_HKS_VAL_MV(B308,"2019-12-31","2")</f>
        <v>985590263350</v>
      </c>
      <c r="M308">
        <f>[1]!EM_S_VAL_PETTMDEDUCTED(B308,E308)</f>
        <v>22.567934171985701</v>
      </c>
      <c r="N308" s="7">
        <f>[1]!EM_S_VAL_PBGOODWILLDEDUCTED(B308,E308)</f>
        <v>1.8556163788717901</v>
      </c>
      <c r="O308" s="7">
        <f>[1]!EM_S_VAL_PS_TTM(B308,E308)</f>
        <v>0.89144626340106803</v>
      </c>
      <c r="P308" s="7">
        <f>[1]!EM_S_VAL_PCF_NCFTTM(B308,E308)</f>
        <v>49.073342553644402</v>
      </c>
      <c r="Q308" s="7">
        <f>[1]!EM_S_VAL_DIVIDENDYIELD2(B308,E308,"2019-11-29")</f>
        <v>0.48765620237732393</v>
      </c>
      <c r="T308"/>
      <c r="U308">
        <f>[1]!EM_S_RATIO_EPS_TTM(B308,E308,"1")</f>
        <v>0.40315297824619079</v>
      </c>
      <c r="AT308" s="4" t="str">
        <f>[1]!EM_S_IPO_LISTEDDATE(B308)</f>
        <v>2007-01-09</v>
      </c>
    </row>
    <row r="309" spans="1:46">
      <c r="A309">
        <v>1159</v>
      </c>
      <c r="B309" t="str">
        <f>"002648"</f>
        <v>002648</v>
      </c>
      <c r="C309" t="s">
        <v>1721</v>
      </c>
      <c r="D309" t="str">
        <f>[1]!EM_S_INFO_INDEX_EM(B309,"1")</f>
        <v>基础化工</v>
      </c>
      <c r="E309" s="4">
        <f t="shared" si="4"/>
        <v>43465</v>
      </c>
      <c r="F309" s="11">
        <f>[1]!EM_S_PQ_PCTCHANGE(B309,"2018-01-01","2019-12-31","3")</f>
        <v>-0.36993549999999997</v>
      </c>
      <c r="G309" s="11">
        <f>[1]!EM_S_PQ_PCTCHANGE(B309,"2018-12-31","2019-12-30","1")</f>
        <v>70.630816960000004</v>
      </c>
      <c r="H309" s="11">
        <f>[1]!EM_S_FA_YOY_OR(B309,E309)</f>
        <v>22.488994127200002</v>
      </c>
      <c r="I309" s="11">
        <f>[1]!EM_S_FA_GROSSPROFITMARGIN(B309,E309)</f>
        <v>20.6855583416</v>
      </c>
      <c r="J309" s="11">
        <f>[1]!EM_S_FA_NETPROFITMARGIN(B309,E309)</f>
        <v>9.3266203073000007</v>
      </c>
      <c r="K309" s="10">
        <f>[1]!EM_S_FA_ASSETSTURN(B309,E309)</f>
        <v>0.83848839549800003</v>
      </c>
      <c r="L309" s="12">
        <f>[1]!EM_HKS_VAL_MV(B309,"2019-12-31","2")</f>
        <v>17424289928.099998</v>
      </c>
      <c r="M309">
        <f>[1]!EM_S_VAL_PETTMDEDUCTED(B309,E309)</f>
        <v>11.160512084857899</v>
      </c>
      <c r="N309" s="7">
        <f>[1]!EM_S_VAL_PBGOODWILLDEDUCTED(B309,E309)</f>
        <v>1.2888361783580899</v>
      </c>
      <c r="O309" s="7">
        <f>[1]!EM_S_VAL_PS_TTM(B309,E309)</f>
        <v>1.1461473947740499</v>
      </c>
      <c r="P309" s="7">
        <f>[1]!EM_S_VAL_PCF_NCFTTM(B309,E309)</f>
        <v>-15.967151357992901</v>
      </c>
      <c r="Q309" s="7">
        <f>[1]!EM_S_VAL_DIVIDENDYIELD2(B309,E309,"2019-11-29")</f>
        <v>0.60559876950174774</v>
      </c>
      <c r="T309"/>
      <c r="U309">
        <f>[1]!EM_S_RATIO_EPS_TTM(B309,E309,"1")</f>
        <v>0.88271233417841299</v>
      </c>
      <c r="AT309" s="4" t="str">
        <f>[1]!EM_S_IPO_LISTEDDATE(B309)</f>
        <v>2011-12-28</v>
      </c>
    </row>
    <row r="310" spans="1:46">
      <c r="A310">
        <v>1554</v>
      </c>
      <c r="B310" t="str">
        <f>"300129"</f>
        <v>300129</v>
      </c>
      <c r="C310" t="s">
        <v>2589</v>
      </c>
      <c r="D310" t="str">
        <f>[1]!EM_S_INFO_INDEX_EM(B310,"1")</f>
        <v>电气设备</v>
      </c>
      <c r="E310" s="4">
        <f t="shared" si="4"/>
        <v>43465</v>
      </c>
      <c r="F310" s="11">
        <f>[1]!EM_S_PQ_PCTCHANGE(B310,"2018-01-01","2019-12-31","3")</f>
        <v>-37.016674770000002</v>
      </c>
      <c r="G310" s="11">
        <f>[1]!EM_S_PQ_PCTCHANGE(B310,"2018-12-31","2019-12-30","1")</f>
        <v>70.629370629999997</v>
      </c>
      <c r="H310" s="11">
        <f>[1]!EM_S_FA_YOY_OR(B310,E310)</f>
        <v>-7.3883048855000002</v>
      </c>
      <c r="I310" s="11">
        <f>[1]!EM_S_FA_GROSSPROFITMARGIN(B310,E310)</f>
        <v>16.937564688399998</v>
      </c>
      <c r="J310" s="11">
        <f>[1]!EM_S_FA_NETPROFITMARGIN(B310,E310)</f>
        <v>0.62272774779999995</v>
      </c>
      <c r="K310" s="10">
        <f>[1]!EM_S_FA_ASSETSTURN(B310,E310)</f>
        <v>0.440939685774</v>
      </c>
      <c r="L310" s="12">
        <f>[1]!EM_HKS_VAL_MV(B310,"2019-12-31","2")</f>
        <v>3495084824.1599998</v>
      </c>
      <c r="M310">
        <f>[1]!EM_S_VAL_PETTMDEDUCTED(B310,E310)</f>
        <v>164.14578160529601</v>
      </c>
      <c r="N310" s="7">
        <f>[1]!EM_S_VAL_PBGOODWILLDEDUCTED(B310,E310)</f>
        <v>0.93791538111242401</v>
      </c>
      <c r="O310" s="7">
        <f>[1]!EM_S_VAL_PS_TTM(B310,E310)</f>
        <v>1.7651079936381799</v>
      </c>
      <c r="P310" s="7">
        <f>[1]!EM_S_VAL_PCF_NCFTTM(B310,E310)</f>
        <v>13.8413071614586</v>
      </c>
      <c r="Q310" s="7">
        <f>[1]!EM_S_VAL_DIVIDENDYIELD2(B310,E310,"2019-11-29")</f>
        <v>1.7621145374449341</v>
      </c>
      <c r="T310"/>
      <c r="U310">
        <f>[1]!EM_S_RATIO_EPS_TTM(B310,E310,"1")</f>
        <v>1.4643463228650112E-2</v>
      </c>
      <c r="AT310" s="4" t="str">
        <f>[1]!EM_S_IPO_LISTEDDATE(B310)</f>
        <v>2010-10-19</v>
      </c>
    </row>
    <row r="311" spans="1:46">
      <c r="A311">
        <v>3450</v>
      </c>
      <c r="B311" t="str">
        <f>"603600"</f>
        <v>603600</v>
      </c>
      <c r="C311" t="s">
        <v>528</v>
      </c>
      <c r="D311" t="str">
        <f>[1]!EM_S_INFO_INDEX_EM(B311,"1")</f>
        <v>轻工制造</v>
      </c>
      <c r="E311" s="4">
        <f t="shared" si="4"/>
        <v>43465</v>
      </c>
      <c r="F311" s="11">
        <f>[1]!EM_S_PQ_PCTCHANGE(B311,"2018-01-01","2019-12-31","3")</f>
        <v>-5.1747358200000004</v>
      </c>
      <c r="G311" s="11">
        <f>[1]!EM_S_PQ_PCTCHANGE(B311,"2018-12-31","2019-12-30","1")</f>
        <v>70.285714290000001</v>
      </c>
      <c r="H311" s="11">
        <f>[1]!EM_S_FA_YOY_OR(B311,E311)</f>
        <v>30.9920973917</v>
      </c>
      <c r="I311" s="11">
        <f>[1]!EM_S_FA_GROSSPROFITMARGIN(B311,E311)</f>
        <v>15.6403634005</v>
      </c>
      <c r="J311" s="11">
        <f>[1]!EM_S_FA_NETPROFITMARGIN(B311,E311)</f>
        <v>4.3872603895999998</v>
      </c>
      <c r="K311" s="10">
        <f>[1]!EM_S_FA_ASSETSTURN(B311,E311)</f>
        <v>1.6848228153660001</v>
      </c>
      <c r="L311" s="12">
        <f>[1]!EM_HKS_VAL_MV(B311,"2019-12-31","2")</f>
        <v>3715235408</v>
      </c>
      <c r="M311">
        <f>[1]!EM_S_VAL_PETTMDEDUCTED(B311,E311)</f>
        <v>37.885452884941699</v>
      </c>
      <c r="N311" s="7">
        <f>[1]!EM_S_VAL_PBGOODWILLDEDUCTED(B311,E311)</f>
        <v>1.80564906553932</v>
      </c>
      <c r="O311" s="7">
        <f>[1]!EM_S_VAL_PS_TTM(B311,E311)</f>
        <v>0.94897490082258096</v>
      </c>
      <c r="P311" s="7">
        <f>[1]!EM_S_VAL_PCF_NCFTTM(B311,E311)</f>
        <v>-26.026209865469401</v>
      </c>
      <c r="Q311" s="7">
        <f>[1]!EM_S_VAL_DIVIDENDYIELD2(B311,E311,"2019-11-29")</f>
        <v>1.8075446512304103</v>
      </c>
      <c r="T311"/>
      <c r="U311">
        <f>[1]!EM_S_RATIO_EPS_TTM(B311,E311,"1")</f>
        <v>0.34330318222484169</v>
      </c>
      <c r="AT311" s="4" t="str">
        <f>[1]!EM_S_IPO_LISTEDDATE(B311)</f>
        <v>2015-01-23</v>
      </c>
    </row>
    <row r="312" spans="1:46">
      <c r="A312">
        <v>1696</v>
      </c>
      <c r="B312" t="str">
        <f>"300271"</f>
        <v>300271</v>
      </c>
      <c r="C312" t="s">
        <v>1902</v>
      </c>
      <c r="D312" t="str">
        <f>[1]!EM_S_INFO_INDEX_EM(B312,"1")</f>
        <v>信息技术</v>
      </c>
      <c r="E312" s="4">
        <f t="shared" si="4"/>
        <v>43465</v>
      </c>
      <c r="F312" s="11">
        <f>[1]!EM_S_PQ_PCTCHANGE(B312,"2018-01-01","2019-12-31","3")</f>
        <v>71.766327059999995</v>
      </c>
      <c r="G312" s="11">
        <f>[1]!EM_S_PQ_PCTCHANGE(B312,"2018-12-31","2019-12-30","1")</f>
        <v>70.086608929999997</v>
      </c>
      <c r="H312" s="11">
        <f>[1]!EM_S_FA_YOY_OR(B312,E312)</f>
        <v>15.8395229391</v>
      </c>
      <c r="I312" s="11">
        <f>[1]!EM_S_FA_GROSSPROFITMARGIN(B312,E312)</f>
        <v>43.424420700799999</v>
      </c>
      <c r="J312" s="11">
        <f>[1]!EM_S_FA_NETPROFITMARGIN(B312,E312)</f>
        <v>18.045333383300001</v>
      </c>
      <c r="K312" s="10">
        <f>[1]!EM_S_FA_ASSETSTURN(B312,E312)</f>
        <v>0.49416875641399999</v>
      </c>
      <c r="L312" s="12">
        <f>[1]!EM_HKS_VAL_MV(B312,"2019-12-31","2")</f>
        <v>20558524364.200001</v>
      </c>
      <c r="M312">
        <f>[1]!EM_S_VAL_PETTMDEDUCTED(B312,E312)</f>
        <v>26.8276413609019</v>
      </c>
      <c r="N312" s="7">
        <f>[1]!EM_S_VAL_PBGOODWILLDEDUCTED(B312,E312)</f>
        <v>4.3774839713482399</v>
      </c>
      <c r="O312" s="7">
        <f>[1]!EM_S_VAL_PS_TTM(B312,E312)</f>
        <v>4.3560231618412901</v>
      </c>
      <c r="P312" s="7">
        <f>[1]!EM_S_VAL_PCF_NCFTTM(B312,E312)</f>
        <v>6843.6995261593402</v>
      </c>
      <c r="Q312" s="7">
        <f>[1]!EM_S_VAL_DIVIDENDYIELD2(B312,E312,"2019-11-29")</f>
        <v>0.2612454034295425</v>
      </c>
      <c r="T312"/>
      <c r="U312">
        <f>[1]!EM_S_RATIO_EPS_TTM(B312,E312,"1")</f>
        <v>0.65966053903380162</v>
      </c>
      <c r="AT312" s="4" t="str">
        <f>[1]!EM_S_IPO_LISTEDDATE(B312)</f>
        <v>2011-10-26</v>
      </c>
    </row>
    <row r="313" spans="1:46">
      <c r="A313">
        <v>2278</v>
      </c>
      <c r="B313" t="str">
        <f>"600132"</f>
        <v>600132</v>
      </c>
      <c r="C313" t="s">
        <v>188</v>
      </c>
      <c r="D313" t="str">
        <f>[1]!EM_S_INFO_INDEX_EM(B313,"1")</f>
        <v>食品饮料</v>
      </c>
      <c r="E313" s="4">
        <f t="shared" si="4"/>
        <v>43465</v>
      </c>
      <c r="F313" s="11">
        <f>[1]!EM_S_PQ_PCTCHANGE(B313,"2018-01-01","2019-12-31","3")</f>
        <v>161.09542214999999</v>
      </c>
      <c r="G313" s="11">
        <f>[1]!EM_S_PQ_PCTCHANGE(B313,"2018-12-31","2019-12-30","1")</f>
        <v>69.996745849999996</v>
      </c>
      <c r="H313" s="11">
        <f>[1]!EM_S_FA_YOY_OR(B313,E313)</f>
        <v>9.1895642984000006</v>
      </c>
      <c r="I313" s="11">
        <f>[1]!EM_S_FA_GROSSPROFITMARGIN(B313,E313)</f>
        <v>39.9329187023</v>
      </c>
      <c r="J313" s="11">
        <f>[1]!EM_S_FA_NETPROFITMARGIN(B313,E313)</f>
        <v>12.149369978099999</v>
      </c>
      <c r="K313" s="10">
        <f>[1]!EM_S_FA_ASSETSTURN(B313,E313)</f>
        <v>1.019232668785</v>
      </c>
      <c r="L313" s="12">
        <f>[1]!EM_HKS_VAL_MV(B313,"2019-12-31","2")</f>
        <v>25147143448.080002</v>
      </c>
      <c r="M313">
        <f>[1]!EM_S_VAL_PETTMDEDUCTED(B313,E313)</f>
        <v>41.408739233212998</v>
      </c>
      <c r="N313" s="7">
        <f>[1]!EM_S_VAL_PBGOODWILLDEDUCTED(B313,E313)</f>
        <v>12.9888609599933</v>
      </c>
      <c r="O313" s="7">
        <f>[1]!EM_S_VAL_PS_TTM(B313,E313)</f>
        <v>4.3584272017074701</v>
      </c>
      <c r="P313" s="7">
        <f>[1]!EM_S_VAL_PCF_NCFTTM(B313,E313)</f>
        <v>46.7279413365221</v>
      </c>
      <c r="Q313" s="7">
        <f>[1]!EM_S_VAL_DIVIDENDYIELD2(B313,E313,"2019-11-29")</f>
        <v>1.6433853738701727</v>
      </c>
      <c r="T313"/>
      <c r="U313">
        <f>[1]!EM_S_RATIO_EPS_TTM(B313,E313,"1")</f>
        <v>0.83472494828090993</v>
      </c>
      <c r="AT313" s="4" t="str">
        <f>[1]!EM_S_IPO_LISTEDDATE(B313)</f>
        <v>1997-10-30</v>
      </c>
    </row>
    <row r="314" spans="1:46">
      <c r="A314">
        <v>1870</v>
      </c>
      <c r="B314" t="str">
        <f>"300445"</f>
        <v>300445</v>
      </c>
      <c r="C314" t="s">
        <v>1473</v>
      </c>
      <c r="D314" t="str">
        <f>[1]!EM_S_INFO_INDEX_EM(B314,"1")</f>
        <v>机械设备</v>
      </c>
      <c r="E314" s="4">
        <f t="shared" si="4"/>
        <v>43465</v>
      </c>
      <c r="F314" s="11">
        <f>[1]!EM_S_PQ_PCTCHANGE(B314,"2018-01-01","2019-12-31","3")</f>
        <v>6.1490155700000004</v>
      </c>
      <c r="G314" s="11">
        <f>[1]!EM_S_PQ_PCTCHANGE(B314,"2018-12-31","2019-12-30","1")</f>
        <v>69.846153849999993</v>
      </c>
      <c r="H314" s="11">
        <f>[1]!EM_S_FA_YOY_OR(B314,E314)</f>
        <v>18.534811026700002</v>
      </c>
      <c r="I314" s="11">
        <f>[1]!EM_S_FA_GROSSPROFITMARGIN(B314,E314)</f>
        <v>72.041041701899999</v>
      </c>
      <c r="J314" s="11">
        <f>[1]!EM_S_FA_NETPROFITMARGIN(B314,E314)</f>
        <v>30.773521951700001</v>
      </c>
      <c r="K314" s="10">
        <f>[1]!EM_S_FA_ASSETSTURN(B314,E314)</f>
        <v>0.42248361717299998</v>
      </c>
      <c r="L314" s="12">
        <f>[1]!EM_HKS_VAL_MV(B314,"2019-12-31","2")</f>
        <v>2696555064</v>
      </c>
      <c r="M314">
        <f>[1]!EM_S_VAL_PETTMDEDUCTED(B314,E314)</f>
        <v>26.5872623430364</v>
      </c>
      <c r="N314" s="7">
        <f>[1]!EM_S_VAL_PBGOODWILLDEDUCTED(B314,E314)</f>
        <v>2.9910693566436701</v>
      </c>
      <c r="O314" s="7">
        <f>[1]!EM_S_VAL_PS_TTM(B314,E314)</f>
        <v>6.8285961952422598</v>
      </c>
      <c r="P314" s="7">
        <f>[1]!EM_S_VAL_PCF_NCFTTM(B314,E314)</f>
        <v>-34.702777439120503</v>
      </c>
      <c r="Q314" s="7">
        <f>[1]!EM_S_VAL_DIVIDENDYIELD2(B314,E314,"2019-11-29")</f>
        <v>1.0252904989747096</v>
      </c>
      <c r="T314"/>
      <c r="U314">
        <f>[1]!EM_S_RATIO_EPS_TTM(B314,E314,"1")</f>
        <v>0.45148977967393739</v>
      </c>
      <c r="AT314" s="4" t="str">
        <f>[1]!EM_S_IPO_LISTEDDATE(B314)</f>
        <v>2015-04-24</v>
      </c>
    </row>
    <row r="315" spans="1:46">
      <c r="A315">
        <v>879</v>
      </c>
      <c r="B315" t="str">
        <f>"002368"</f>
        <v>002368</v>
      </c>
      <c r="C315" t="s">
        <v>2532</v>
      </c>
      <c r="D315" t="str">
        <f>[1]!EM_S_INFO_INDEX_EM(B315,"1")</f>
        <v>信息技术</v>
      </c>
      <c r="E315" s="4">
        <f t="shared" si="4"/>
        <v>43465</v>
      </c>
      <c r="F315" s="11">
        <f>[1]!EM_S_PQ_PCTCHANGE(B315,"2018-01-01","2019-12-31","3")</f>
        <v>55.855361430000002</v>
      </c>
      <c r="G315" s="11">
        <f>[1]!EM_S_PQ_PCTCHANGE(B315,"2018-12-31","2019-12-30","1")</f>
        <v>69.827586210000007</v>
      </c>
      <c r="H315" s="11">
        <f>[1]!EM_S_FA_YOY_OR(B315,E315)</f>
        <v>13.520105150999999</v>
      </c>
      <c r="I315" s="11">
        <f>[1]!EM_S_FA_GROSSPROFITMARGIN(B315,E315)</f>
        <v>22.215260884100001</v>
      </c>
      <c r="J315" s="11">
        <f>[1]!EM_S_FA_NETPROFITMARGIN(B315,E315)</f>
        <v>5.2345179800999997</v>
      </c>
      <c r="K315" s="10">
        <f>[1]!EM_S_FA_ASSETSTURN(B315,E315)</f>
        <v>0.66981923267400001</v>
      </c>
      <c r="L315" s="12">
        <f>[1]!EM_HKS_VAL_MV(B315,"2019-12-31","2")</f>
        <v>16065301195.16</v>
      </c>
      <c r="M315">
        <f>[1]!EM_S_VAL_PETTMDEDUCTED(B315,E315)</f>
        <v>35.388695753651902</v>
      </c>
      <c r="N315" s="7">
        <f>[1]!EM_S_VAL_PBGOODWILLDEDUCTED(B315,E315)</f>
        <v>3.8979291236039</v>
      </c>
      <c r="O315" s="7">
        <f>[1]!EM_S_VAL_PS_TTM(B315,E315)</f>
        <v>1.7372616685037501</v>
      </c>
      <c r="P315" s="7">
        <f>[1]!EM_S_VAL_PCF_NCFTTM(B315,E315)</f>
        <v>100.42527810073599</v>
      </c>
      <c r="Q315" s="7">
        <f>[1]!EM_S_VAL_DIVIDENDYIELD2(B315,E315,"2019-11-29")</f>
        <v>0.67495888998716891</v>
      </c>
      <c r="T315"/>
      <c r="U315">
        <f>[1]!EM_S_RATIO_EPS_TTM(B315,E315,"1")</f>
        <v>0.76134657073264056</v>
      </c>
      <c r="AT315" s="4" t="str">
        <f>[1]!EM_S_IPO_LISTEDDATE(B315)</f>
        <v>2010-03-12</v>
      </c>
    </row>
    <row r="316" spans="1:46">
      <c r="A316">
        <v>967</v>
      </c>
      <c r="B316" t="str">
        <f>"002456"</f>
        <v>002456</v>
      </c>
      <c r="C316" t="s">
        <v>732</v>
      </c>
      <c r="D316" t="str">
        <f>[1]!EM_S_INFO_INDEX_EM(B316,"1")</f>
        <v>电子设备</v>
      </c>
      <c r="E316" s="4">
        <f t="shared" si="4"/>
        <v>43465</v>
      </c>
      <c r="F316" s="11">
        <f>[1]!EM_S_PQ_PCTCHANGE(B316,"2018-01-01","2019-12-31","3")</f>
        <v>-23.99830051</v>
      </c>
      <c r="G316" s="11">
        <f>[1]!EM_S_PQ_PCTCHANGE(B316,"2018-12-31","2019-12-30","1")</f>
        <v>69.749727969999995</v>
      </c>
      <c r="H316" s="11">
        <f>[1]!EM_S_FA_YOY_OR(B316,E316)</f>
        <v>27.379390653000002</v>
      </c>
      <c r="I316" s="11">
        <f>[1]!EM_S_FA_GROSSPROFITMARGIN(B316,E316)</f>
        <v>12.315380682400001</v>
      </c>
      <c r="J316" s="11">
        <f>[1]!EM_S_FA_NETPROFITMARGIN(B316,E316)</f>
        <v>-1.2314213969000001</v>
      </c>
      <c r="K316" s="10">
        <f>[1]!EM_S_FA_ASSETSTURN(B316,E316)</f>
        <v>1.2512197106139999</v>
      </c>
      <c r="L316" s="12">
        <f>[1]!EM_HKS_VAL_MV(B316,"2019-12-31","2")</f>
        <v>42320727150</v>
      </c>
      <c r="M316">
        <f>[1]!EM_S_VAL_PETTMDEDUCTED(B316,E316)</f>
        <v>21.996072659012999</v>
      </c>
      <c r="N316" s="7">
        <f>[1]!EM_S_VAL_PBGOODWILLDEDUCTED(B316,E316)</f>
        <v>2.9442978152130599</v>
      </c>
      <c r="O316" s="7">
        <f>[1]!EM_S_VAL_PS_TTM(B316,E316)</f>
        <v>0.615884612884668</v>
      </c>
      <c r="P316" s="7">
        <f>[1]!EM_S_VAL_PCF_NCFTTM(B316,E316)</f>
        <v>-16.614282071511902</v>
      </c>
      <c r="Q316" s="7">
        <f>[1]!EM_S_VAL_DIVIDENDYIELD2(B316,E316,"2019-11-29")</f>
        <v>0</v>
      </c>
      <c r="T316"/>
      <c r="U316">
        <f>[1]!EM_S_RATIO_EPS_TTM(B316,E316,"1")</f>
        <v>-0.19131357801020205</v>
      </c>
      <c r="AT316" s="4" t="str">
        <f>[1]!EM_S_IPO_LISTEDDATE(B316)</f>
        <v>2010-08-03</v>
      </c>
    </row>
    <row r="317" spans="1:46">
      <c r="A317">
        <v>1914</v>
      </c>
      <c r="B317" t="str">
        <f>"300489"</f>
        <v>300489</v>
      </c>
      <c r="C317" t="s">
        <v>2547</v>
      </c>
      <c r="D317" t="str">
        <f>[1]!EM_S_INFO_INDEX_EM(B317,"1")</f>
        <v>有色金属</v>
      </c>
      <c r="E317" s="4">
        <f t="shared" si="4"/>
        <v>43465</v>
      </c>
      <c r="F317" s="11">
        <f>[1]!EM_S_PQ_PCTCHANGE(B317,"2018-01-01","2019-12-31","3")</f>
        <v>-0.96512266999999996</v>
      </c>
      <c r="G317" s="11">
        <f>[1]!EM_S_PQ_PCTCHANGE(B317,"2018-12-31","2019-12-30","1")</f>
        <v>69.691780820000005</v>
      </c>
      <c r="H317" s="11">
        <f>[1]!EM_S_FA_YOY_OR(B317,E317)</f>
        <v>2.2249725817999999</v>
      </c>
      <c r="I317" s="11">
        <f>[1]!EM_S_FA_GROSSPROFITMARGIN(B317,E317)</f>
        <v>18.804249864599999</v>
      </c>
      <c r="J317" s="11">
        <f>[1]!EM_S_FA_NETPROFITMARGIN(B317,E317)</f>
        <v>0.93983568129999995</v>
      </c>
      <c r="K317" s="10">
        <f>[1]!EM_S_FA_ASSETSTURN(B317,E317)</f>
        <v>0.22144501365300001</v>
      </c>
      <c r="L317" s="12">
        <f>[1]!EM_HKS_VAL_MV(B317,"2019-12-31","2")</f>
        <v>1820445000</v>
      </c>
      <c r="M317">
        <f>[1]!EM_S_VAL_PETTMDEDUCTED(B317,E317)</f>
        <v>-527.13394584166599</v>
      </c>
      <c r="N317" s="7">
        <f>[1]!EM_S_VAL_PBGOODWILLDEDUCTED(B317,E317)</f>
        <v>2.2703004357894798</v>
      </c>
      <c r="O317" s="7">
        <f>[1]!EM_S_VAL_PS_TTM(B317,E317)</f>
        <v>7.7021585250508497</v>
      </c>
      <c r="P317" s="7">
        <f>[1]!EM_S_VAL_PCF_NCFTTM(B317,E317)</f>
        <v>-73.492078612875403</v>
      </c>
      <c r="Q317" s="7">
        <f>[1]!EM_S_VAL_DIVIDENDYIELD2(B317,E317,"2019-11-29")</f>
        <v>1.1474469305794608E-2</v>
      </c>
      <c r="T317"/>
      <c r="U317">
        <f>[1]!EM_S_RATIO_EPS_TTM(B317,E317,"1")</f>
        <v>1.5229391515151515E-2</v>
      </c>
      <c r="AT317" s="4" t="str">
        <f>[1]!EM_S_IPO_LISTEDDATE(B317)</f>
        <v>2015-07-01</v>
      </c>
    </row>
    <row r="318" spans="1:46">
      <c r="A318">
        <v>784</v>
      </c>
      <c r="B318" t="str">
        <f>"002273"</f>
        <v>002273</v>
      </c>
      <c r="C318" t="s">
        <v>1627</v>
      </c>
      <c r="D318" t="str">
        <f>[1]!EM_S_INFO_INDEX_EM(B318,"1")</f>
        <v>电子设备</v>
      </c>
      <c r="E318" s="4">
        <f t="shared" si="4"/>
        <v>43465</v>
      </c>
      <c r="F318" s="11">
        <f>[1]!EM_S_PQ_PCTCHANGE(B318,"2018-01-01","2019-12-31","3")</f>
        <v>17.189486859999999</v>
      </c>
      <c r="G318" s="11">
        <f>[1]!EM_S_PQ_PCTCHANGE(B318,"2018-12-31","2019-12-30","1")</f>
        <v>69.665271970000006</v>
      </c>
      <c r="H318" s="11">
        <f>[1]!EM_S_FA_YOY_OR(B318,E318)</f>
        <v>8.3887466986000003</v>
      </c>
      <c r="I318" s="11">
        <f>[1]!EM_S_FA_GROSSPROFITMARGIN(B318,E318)</f>
        <v>27.835015870300001</v>
      </c>
      <c r="J318" s="11">
        <f>[1]!EM_S_FA_NETPROFITMARGIN(B318,E318)</f>
        <v>20.608205287200001</v>
      </c>
      <c r="K318" s="10">
        <f>[1]!EM_S_FA_ASSETSTURN(B318,E318)</f>
        <v>0.42951787080999998</v>
      </c>
      <c r="L318" s="12">
        <f>[1]!EM_HKS_VAL_MV(B318,"2019-12-31","2")</f>
        <v>18680977178.080002</v>
      </c>
      <c r="M318">
        <f>[1]!EM_S_VAL_PETTMDEDUCTED(B318,E318)</f>
        <v>24.910966680578799</v>
      </c>
      <c r="N318" s="7">
        <f>[1]!EM_S_VAL_PBGOODWILLDEDUCTED(B318,E318)</f>
        <v>2.2916486839767098</v>
      </c>
      <c r="O318" s="7">
        <f>[1]!EM_S_VAL_PS_TTM(B318,E318)</f>
        <v>3.6462321311486998</v>
      </c>
      <c r="P318" s="7">
        <f>[1]!EM_S_VAL_PCF_NCFTTM(B318,E318)</f>
        <v>22.898524988000499</v>
      </c>
      <c r="Q318" s="7">
        <f>[1]!EM_S_VAL_DIVIDENDYIELD2(B318,E318,"2019-11-29")</f>
        <v>0.57732134181325778</v>
      </c>
      <c r="T318"/>
      <c r="U318">
        <f>[1]!EM_S_RATIO_EPS_TTM(B318,E318,"1")</f>
        <v>0.5428973039331394</v>
      </c>
      <c r="AT318" s="4" t="str">
        <f>[1]!EM_S_IPO_LISTEDDATE(B318)</f>
        <v>2008-09-19</v>
      </c>
    </row>
    <row r="319" spans="1:46">
      <c r="A319">
        <v>104</v>
      </c>
      <c r="B319" t="str">
        <f>"000425"</f>
        <v>000425</v>
      </c>
      <c r="C319" t="s">
        <v>1209</v>
      </c>
      <c r="D319" t="str">
        <f>[1]!EM_S_INFO_INDEX_EM(B319,"1")</f>
        <v>机械设备</v>
      </c>
      <c r="E319" s="4">
        <f t="shared" si="4"/>
        <v>43465</v>
      </c>
      <c r="F319" s="11">
        <f>[1]!EM_S_PQ_PCTCHANGE(B319,"2018-01-01","2019-12-31","3")</f>
        <v>20.8740804</v>
      </c>
      <c r="G319" s="11">
        <f>[1]!EM_S_PQ_PCTCHANGE(B319,"2018-12-31","2019-12-30","1")</f>
        <v>69.659442720000001</v>
      </c>
      <c r="H319" s="11">
        <f>[1]!EM_S_FA_YOY_OR(B319,E319)</f>
        <v>52.448752696299998</v>
      </c>
      <c r="I319" s="11">
        <f>[1]!EM_S_FA_GROSSPROFITMARGIN(B319,E319)</f>
        <v>16.6889394329</v>
      </c>
      <c r="J319" s="11">
        <f>[1]!EM_S_FA_NETPROFITMARGIN(B319,E319)</f>
        <v>4.6288020269999999</v>
      </c>
      <c r="K319" s="10">
        <f>[1]!EM_S_FA_ASSETSTURN(B319,E319)</f>
        <v>0.80003679702800001</v>
      </c>
      <c r="L319" s="12">
        <f>[1]!EM_HKS_VAL_MV(B319,"2019-12-31","2")</f>
        <v>42850166312.099998</v>
      </c>
      <c r="M319">
        <f>[1]!EM_S_VAL_PETTMDEDUCTED(B319,E319)</f>
        <v>16.6229997282738</v>
      </c>
      <c r="N319" s="7">
        <f>[1]!EM_S_VAL_PBGOODWILLDEDUCTED(B319,E319)</f>
        <v>0.99396049254166297</v>
      </c>
      <c r="O319" s="7">
        <f>[1]!EM_S_VAL_PS_TTM(B319,E319)</f>
        <v>0.60732408243310598</v>
      </c>
      <c r="P319" s="7">
        <f>[1]!EM_S_VAL_PCF_NCFTTM(B319,E319)</f>
        <v>-57.632114660040699</v>
      </c>
      <c r="Q319" s="7">
        <f>[1]!EM_S_VAL_DIVIDENDYIELD2(B319,E319,"2019-11-29")</f>
        <v>1.3100436681222707</v>
      </c>
      <c r="T319"/>
      <c r="U319">
        <f>[1]!EM_S_RATIO_EPS_TTM(B319,E319,"1")</f>
        <v>0.26114631603574268</v>
      </c>
      <c r="AT319" s="4" t="str">
        <f>[1]!EM_S_IPO_LISTEDDATE(B319)</f>
        <v>1996-08-28</v>
      </c>
    </row>
    <row r="320" spans="1:46">
      <c r="A320">
        <v>2051</v>
      </c>
      <c r="B320" t="str">
        <f>"300632"</f>
        <v>300632</v>
      </c>
      <c r="C320" t="s">
        <v>1178</v>
      </c>
      <c r="D320" t="str">
        <f>[1]!EM_S_INFO_INDEX_EM(B320,"1")</f>
        <v>电子设备</v>
      </c>
      <c r="E320" s="4">
        <f t="shared" si="4"/>
        <v>43465</v>
      </c>
      <c r="F320" s="11">
        <f>[1]!EM_S_PQ_PCTCHANGE(B320,"2018-01-01","2019-12-31","3")</f>
        <v>69.42236939</v>
      </c>
      <c r="G320" s="11">
        <f>[1]!EM_S_PQ_PCTCHANGE(B320,"2018-12-31","2019-12-30","1")</f>
        <v>69.592696630000006</v>
      </c>
      <c r="H320" s="11">
        <f>[1]!EM_S_FA_YOY_OR(B320,E320)</f>
        <v>56.339785761500004</v>
      </c>
      <c r="I320" s="11">
        <f>[1]!EM_S_FA_GROSSPROFITMARGIN(B320,E320)</f>
        <v>32.812927866999999</v>
      </c>
      <c r="J320" s="11">
        <f>[1]!EM_S_FA_NETPROFITMARGIN(B320,E320)</f>
        <v>15.516755076200001</v>
      </c>
      <c r="K320" s="10">
        <f>[1]!EM_S_FA_ASSETSTURN(B320,E320)</f>
        <v>0.81702764640199999</v>
      </c>
      <c r="L320" s="12">
        <f>[1]!EM_HKS_VAL_MV(B320,"2019-12-31","2")</f>
        <v>4411720057.6700001</v>
      </c>
      <c r="M320">
        <f>[1]!EM_S_VAL_PETTMDEDUCTED(B320,E320)</f>
        <v>26.584731115090499</v>
      </c>
      <c r="N320" s="7">
        <f>[1]!EM_S_VAL_PBGOODWILLDEDUCTED(B320,E320)</f>
        <v>3.6494617409952501</v>
      </c>
      <c r="O320" s="7">
        <f>[1]!EM_S_VAL_PS_TTM(B320,E320)</f>
        <v>3.3797081372042799</v>
      </c>
      <c r="P320" s="7">
        <f>[1]!EM_S_VAL_PCF_NCFTTM(B320,E320)</f>
        <v>-618.93689835094301</v>
      </c>
      <c r="Q320" s="7">
        <f>[1]!EM_S_VAL_DIVIDENDYIELD2(B320,E320,"2019-11-29")</f>
        <v>0.1694889411319179</v>
      </c>
      <c r="T320"/>
      <c r="U320">
        <f>[1]!EM_S_RATIO_EPS_TTM(B320,E320,"1")</f>
        <v>0.78750893855453696</v>
      </c>
      <c r="AT320" s="4" t="str">
        <f>[1]!EM_S_IPO_LISTEDDATE(B320)</f>
        <v>2017-04-06</v>
      </c>
    </row>
    <row r="321" spans="1:46">
      <c r="A321">
        <v>1337</v>
      </c>
      <c r="B321" t="str">
        <f>"002835"</f>
        <v>002835</v>
      </c>
      <c r="C321" t="s">
        <v>3440</v>
      </c>
      <c r="D321" t="str">
        <f>[1]!EM_S_INFO_INDEX_EM(B321,"1")</f>
        <v>信息技术</v>
      </c>
      <c r="E321" s="4">
        <f t="shared" si="4"/>
        <v>43465</v>
      </c>
      <c r="F321" s="11">
        <f>[1]!EM_S_PQ_PCTCHANGE(B321,"2018-01-01","2019-12-31","3")</f>
        <v>9.1187777699999994</v>
      </c>
      <c r="G321" s="11">
        <f>[1]!EM_S_PQ_PCTCHANGE(B321,"2018-12-31","2019-12-30","1")</f>
        <v>69.467787110000003</v>
      </c>
      <c r="H321" s="11">
        <f>[1]!EM_S_FA_YOY_OR(B321,E321)</f>
        <v>16.7725920962</v>
      </c>
      <c r="I321" s="11">
        <f>[1]!EM_S_FA_GROSSPROFITMARGIN(B321,E321)</f>
        <v>25.5483729404</v>
      </c>
      <c r="J321" s="11">
        <f>[1]!EM_S_FA_NETPROFITMARGIN(B321,E321)</f>
        <v>0.65091180969999995</v>
      </c>
      <c r="K321" s="10">
        <f>[1]!EM_S_FA_ASSETSTURN(B321,E321)</f>
        <v>0.73932522675500001</v>
      </c>
      <c r="L321" s="12">
        <f>[1]!EM_HKS_VAL_MV(B321,"2019-12-31","2")</f>
        <v>2702060231.5700002</v>
      </c>
      <c r="M321">
        <f>[1]!EM_S_VAL_PETTMDEDUCTED(B321,E321)</f>
        <v>-82.038878395971295</v>
      </c>
      <c r="N321" s="7">
        <f>[1]!EM_S_VAL_PBGOODWILLDEDUCTED(B321,E321)</f>
        <v>2.3791473691697602</v>
      </c>
      <c r="O321" s="7">
        <f>[1]!EM_S_VAL_PS_TTM(B321,E321)</f>
        <v>2.76424769051382</v>
      </c>
      <c r="P321" s="7">
        <f>[1]!EM_S_VAL_PCF_NCFTTM(B321,E321)</f>
        <v>-25.728516961097402</v>
      </c>
      <c r="Q321" s="7">
        <f>[1]!EM_S_VAL_DIVIDENDYIELD2(B321,E321,"2019-11-29")</f>
        <v>2.685828225939809E-2</v>
      </c>
      <c r="T321"/>
      <c r="U321">
        <f>[1]!EM_S_RATIO_EPS_TTM(B321,E321,"1")</f>
        <v>1.8376220787037038E-2</v>
      </c>
      <c r="AT321" s="4" t="str">
        <f>[1]!EM_S_IPO_LISTEDDATE(B321)</f>
        <v>2016-12-28</v>
      </c>
    </row>
    <row r="322" spans="1:46">
      <c r="A322">
        <v>3554</v>
      </c>
      <c r="B322" t="str">
        <f>"603823"</f>
        <v>603823</v>
      </c>
      <c r="C322" t="s">
        <v>861</v>
      </c>
      <c r="D322" t="str">
        <f>[1]!EM_S_INFO_INDEX_EM(B322,"1")</f>
        <v>基础化工</v>
      </c>
      <c r="E322" s="4">
        <f t="shared" si="4"/>
        <v>43465</v>
      </c>
      <c r="F322" s="11">
        <f>[1]!EM_S_PQ_PCTCHANGE(B322,"2018-01-01","2019-12-31","3")</f>
        <v>58.510884699999998</v>
      </c>
      <c r="G322" s="11">
        <f>[1]!EM_S_PQ_PCTCHANGE(B322,"2018-12-31","2019-12-30","1")</f>
        <v>69.346405230000002</v>
      </c>
      <c r="H322" s="11">
        <f>[1]!EM_S_FA_YOY_OR(B322,E322)</f>
        <v>19.999567447</v>
      </c>
      <c r="I322" s="11">
        <f>[1]!EM_S_FA_GROSSPROFITMARGIN(B322,E322)</f>
        <v>22.924509368399999</v>
      </c>
      <c r="J322" s="11">
        <f>[1]!EM_S_FA_NETPROFITMARGIN(B322,E322)</f>
        <v>11.8200884267</v>
      </c>
      <c r="K322" s="10">
        <f>[1]!EM_S_FA_ASSETSTURN(B322,E322)</f>
        <v>0.832183178084</v>
      </c>
      <c r="L322" s="12">
        <f>[1]!EM_HKS_VAL_MV(B322,"2019-12-31","2")</f>
        <v>5962500000</v>
      </c>
      <c r="M322">
        <f>[1]!EM_S_VAL_PETTMDEDUCTED(B322,E322)</f>
        <v>21.5711256998439</v>
      </c>
      <c r="N322" s="7">
        <f>[1]!EM_S_VAL_PBGOODWILLDEDUCTED(B322,E322)</f>
        <v>2.4340513377520701</v>
      </c>
      <c r="O322" s="7">
        <f>[1]!EM_S_VAL_PS_TTM(B322,E322)</f>
        <v>1.9336590894119201</v>
      </c>
      <c r="P322" s="7">
        <f>[1]!EM_S_VAL_PCF_NCFTTM(B322,E322)</f>
        <v>-291.36281481859999</v>
      </c>
      <c r="Q322" s="7">
        <f>[1]!EM_S_VAL_DIVIDENDYIELD2(B322,E322,"2019-11-29")</f>
        <v>1.1519716437749226</v>
      </c>
      <c r="T322"/>
      <c r="U322">
        <f>[1]!EM_S_RATIO_EPS_TTM(B322,E322,"1")</f>
        <v>0.84242205466666675</v>
      </c>
      <c r="AT322" s="4" t="str">
        <f>[1]!EM_S_IPO_LISTEDDATE(B322)</f>
        <v>2016-12-20</v>
      </c>
    </row>
    <row r="323" spans="1:46">
      <c r="A323">
        <v>1953</v>
      </c>
      <c r="B323" t="str">
        <f>"300529"</f>
        <v>300529</v>
      </c>
      <c r="C323" t="s">
        <v>192</v>
      </c>
      <c r="D323" t="str">
        <f>[1]!EM_S_INFO_INDEX_EM(B323,"1")</f>
        <v>医药生物</v>
      </c>
      <c r="E323" s="4">
        <f t="shared" ref="E323:E386" si="5">$B$1</f>
        <v>43465</v>
      </c>
      <c r="F323" s="11">
        <f>[1]!EM_S_PQ_PCTCHANGE(B323,"2018-01-01","2019-12-31","3")</f>
        <v>129.30648776000001</v>
      </c>
      <c r="G323" s="11">
        <f>[1]!EM_S_PQ_PCTCHANGE(B323,"2018-12-31","2019-12-30","1")</f>
        <v>69.277108429999998</v>
      </c>
      <c r="H323" s="11">
        <f>[1]!EM_S_FA_YOY_OR(B323,E323)</f>
        <v>41.478265758600003</v>
      </c>
      <c r="I323" s="11">
        <f>[1]!EM_S_FA_GROSSPROFITMARGIN(B323,E323)</f>
        <v>84.806817154699999</v>
      </c>
      <c r="J323" s="11">
        <f>[1]!EM_S_FA_NETPROFITMARGIN(B323,E323)</f>
        <v>39.443383346600001</v>
      </c>
      <c r="K323" s="10">
        <f>[1]!EM_S_FA_ASSETSTURN(B323,E323)</f>
        <v>0.54150864225100004</v>
      </c>
      <c r="L323" s="12">
        <f>[1]!EM_HKS_VAL_MV(B323,"2019-12-31","2")</f>
        <v>30076775782.400002</v>
      </c>
      <c r="M323">
        <f>[1]!EM_S_VAL_PETTMDEDUCTED(B323,E323)</f>
        <v>52.638060377796698</v>
      </c>
      <c r="N323" s="7">
        <f>[1]!EM_S_VAL_PBGOODWILLDEDUCTED(B323,E323)</f>
        <v>10.467169132838899</v>
      </c>
      <c r="O323" s="7">
        <f>[1]!EM_S_VAL_PS_TTM(B323,E323)</f>
        <v>18.725010910030701</v>
      </c>
      <c r="P323" s="7">
        <f>[1]!EM_S_VAL_PCF_NCFTTM(B323,E323)</f>
        <v>23.259551749085301</v>
      </c>
      <c r="Q323" s="7">
        <f>[1]!EM_S_VAL_DIVIDENDYIELD2(B323,E323,"2019-11-29")</f>
        <v>0.853328139408706</v>
      </c>
      <c r="T323"/>
      <c r="U323">
        <f>[1]!EM_S_RATIO_EPS_TTM(B323,E323,"1")</f>
        <v>0.96334208806516852</v>
      </c>
      <c r="AT323" s="4" t="str">
        <f>[1]!EM_S_IPO_LISTEDDATE(B323)</f>
        <v>2016-08-02</v>
      </c>
    </row>
    <row r="324" spans="1:46">
      <c r="A324">
        <v>2417</v>
      </c>
      <c r="B324" t="str">
        <f>"600288"</f>
        <v>600288</v>
      </c>
      <c r="C324" t="s">
        <v>2592</v>
      </c>
      <c r="D324" t="str">
        <f>[1]!EM_S_INFO_INDEX_EM(B324,"1")</f>
        <v>电子设备</v>
      </c>
      <c r="E324" s="4">
        <f t="shared" si="5"/>
        <v>43465</v>
      </c>
      <c r="F324" s="11">
        <f>[1]!EM_S_PQ_PCTCHANGE(B324,"2018-01-01","2019-12-31","3")</f>
        <v>34.870319680000001</v>
      </c>
      <c r="G324" s="11">
        <f>[1]!EM_S_PQ_PCTCHANGE(B324,"2018-12-31","2019-12-30","1")</f>
        <v>69.275362319999999</v>
      </c>
      <c r="H324" s="11">
        <f>[1]!EM_S_FA_YOY_OR(B324,E324)</f>
        <v>12.676904047400001</v>
      </c>
      <c r="I324" s="11">
        <f>[1]!EM_S_FA_GROSSPROFITMARGIN(B324,E324)</f>
        <v>24.618145073099999</v>
      </c>
      <c r="J324" s="11">
        <f>[1]!EM_S_FA_NETPROFITMARGIN(B324,E324)</f>
        <v>2.1397762954999999</v>
      </c>
      <c r="K324" s="10">
        <f>[1]!EM_S_FA_ASSETSTURN(B324,E324)</f>
        <v>1.0581860831909999</v>
      </c>
      <c r="L324" s="12">
        <f>[1]!EM_HKS_VAL_MV(B324,"2019-12-31","2")</f>
        <v>5119296000</v>
      </c>
      <c r="M324">
        <f>[1]!EM_S_VAL_PETTMDEDUCTED(B324,E324)</f>
        <v>60.987948984484802</v>
      </c>
      <c r="N324" s="7">
        <f>[1]!EM_S_VAL_PBGOODWILLDEDUCTED(B324,E324)</f>
        <v>2.0224144460255</v>
      </c>
      <c r="O324" s="7">
        <f>[1]!EM_S_VAL_PS_TTM(B324,E324)</f>
        <v>0.93309167382147296</v>
      </c>
      <c r="P324" s="7">
        <f>[1]!EM_S_VAL_PCF_NCFTTM(B324,E324)</f>
        <v>-20.704396043825898</v>
      </c>
      <c r="Q324" s="7">
        <f>[1]!EM_S_VAL_DIVIDENDYIELD2(B324,E324,"2019-11-29")</f>
        <v>0.10752688172043011</v>
      </c>
      <c r="T324"/>
      <c r="U324">
        <f>[1]!EM_S_RATIO_EPS_TTM(B324,E324,"1")</f>
        <v>0.11594486680402931</v>
      </c>
      <c r="AT324" s="4" t="str">
        <f>[1]!EM_S_IPO_LISTEDDATE(B324)</f>
        <v>2000-11-29</v>
      </c>
    </row>
    <row r="325" spans="1:46">
      <c r="A325">
        <v>135</v>
      </c>
      <c r="B325" t="str">
        <f>"000526"</f>
        <v>000526</v>
      </c>
      <c r="C325" t="s">
        <v>434</v>
      </c>
      <c r="D325" t="str">
        <f>[1]!EM_S_INFO_INDEX_EM(B325,"1")</f>
        <v>文化传媒</v>
      </c>
      <c r="E325" s="4">
        <f t="shared" si="5"/>
        <v>43465</v>
      </c>
      <c r="F325" s="11">
        <f>[1]!EM_S_PQ_PCTCHANGE(B325,"2018-01-01","2019-12-31","3")</f>
        <v>-15.212649949999999</v>
      </c>
      <c r="G325" s="11">
        <f>[1]!EM_S_PQ_PCTCHANGE(B325,"2018-12-31","2019-12-30","1")</f>
        <v>69.188596489999995</v>
      </c>
      <c r="H325" s="11">
        <f>[1]!EM_S_FA_YOY_OR(B325,E325)</f>
        <v>2.8881550752999998</v>
      </c>
      <c r="I325" s="11">
        <f>[1]!EM_S_FA_GROSSPROFITMARGIN(B325,E325)</f>
        <v>27.271803002199999</v>
      </c>
      <c r="J325" s="11">
        <f>[1]!EM_S_FA_NETPROFITMARGIN(B325,E325)</f>
        <v>0.35479467869999998</v>
      </c>
      <c r="K325" s="10">
        <f>[1]!EM_S_FA_ASSETSTURN(B325,E325)</f>
        <v>0.79943657725200001</v>
      </c>
      <c r="L325" s="12">
        <f>[1]!EM_HKS_VAL_MV(B325,"2019-12-31","2")</f>
        <v>2991667827.6999998</v>
      </c>
      <c r="M325">
        <f>[1]!EM_S_VAL_PETTMDEDUCTED(B325,E325)</f>
        <v>316.89398902227202</v>
      </c>
      <c r="N325" s="7">
        <f>[1]!EM_S_VAL_PBGOODWILLDEDUCTED(B325,E325)</f>
        <v>-1.21471562701985</v>
      </c>
      <c r="O325" s="7">
        <f>[1]!EM_S_VAL_PS_TTM(B325,E325)</f>
        <v>0.61096923620237298</v>
      </c>
      <c r="P325" s="7">
        <f>[1]!EM_S_VAL_PCF_NCFTTM(B325,E325)</f>
        <v>8.4074457994921499</v>
      </c>
      <c r="Q325" s="7">
        <f>[1]!EM_S_VAL_DIVIDENDYIELD2(B325,E325,"2019-11-29")</f>
        <v>0</v>
      </c>
      <c r="T325"/>
      <c r="U325">
        <f>[1]!EM_S_RATIO_EPS_TTM(B325,E325,"1")</f>
        <v>0.13463062107722382</v>
      </c>
      <c r="AT325" s="4" t="str">
        <f>[1]!EM_S_IPO_LISTEDDATE(B325)</f>
        <v>1993-11-01</v>
      </c>
    </row>
    <row r="326" spans="1:46">
      <c r="A326">
        <v>2992</v>
      </c>
      <c r="B326" t="str">
        <f>"600966"</f>
        <v>600966</v>
      </c>
      <c r="C326" t="s">
        <v>467</v>
      </c>
      <c r="D326" t="str">
        <f>[1]!EM_S_INFO_INDEX_EM(B326,"1")</f>
        <v>轻工制造</v>
      </c>
      <c r="E326" s="4">
        <f t="shared" si="5"/>
        <v>43465</v>
      </c>
      <c r="F326" s="11">
        <f>[1]!EM_S_PQ_PCTCHANGE(B326,"2018-01-01","2019-12-31","3")</f>
        <v>-9.40511096</v>
      </c>
      <c r="G326" s="11">
        <f>[1]!EM_S_PQ_PCTCHANGE(B326,"2018-12-31","2019-12-30","1")</f>
        <v>69.108280250000007</v>
      </c>
      <c r="H326" s="11">
        <f>[1]!EM_S_FA_YOY_OR(B326,E326)</f>
        <v>-6.8719321329999996</v>
      </c>
      <c r="I326" s="11">
        <f>[1]!EM_S_FA_GROSSPROFITMARGIN(B326,E326)</f>
        <v>16.039764434199999</v>
      </c>
      <c r="J326" s="11">
        <f>[1]!EM_S_FA_NETPROFITMARGIN(B326,E326)</f>
        <v>3.0697283027000002</v>
      </c>
      <c r="K326" s="10">
        <f>[1]!EM_S_FA_ASSETSTURN(B326,E326)</f>
        <v>0.52387610830099995</v>
      </c>
      <c r="L326" s="12">
        <f>[1]!EM_HKS_VAL_MV(B326,"2019-12-31","2")</f>
        <v>7098643169.2799997</v>
      </c>
      <c r="M326">
        <f>[1]!EM_S_VAL_PETTMDEDUCTED(B326,E326)</f>
        <v>5.5284835873932199</v>
      </c>
      <c r="N326" s="7">
        <f>[1]!EM_S_VAL_PBGOODWILLDEDUCTED(B326,E326)</f>
        <v>0.81694441862693001</v>
      </c>
      <c r="O326" s="7">
        <f>[1]!EM_S_VAL_PS_TTM(B326,E326)</f>
        <v>0.46498285306120202</v>
      </c>
      <c r="P326" s="7">
        <f>[1]!EM_S_VAL_PCF_NCFTTM(B326,E326)</f>
        <v>-103.069588530941</v>
      </c>
      <c r="Q326" s="7">
        <f>[1]!EM_S_VAL_DIVIDENDYIELD2(B326,E326,"2019-11-29")</f>
        <v>0.34979423868312759</v>
      </c>
      <c r="T326"/>
      <c r="U326">
        <f>[1]!EM_S_RATIO_EPS_TTM(B326,E326,"1")</f>
        <v>0.19145204664254808</v>
      </c>
      <c r="AT326" s="4" t="str">
        <f>[1]!EM_S_IPO_LISTEDDATE(B326)</f>
        <v>2004-06-08</v>
      </c>
    </row>
    <row r="327" spans="1:46">
      <c r="A327">
        <v>2210</v>
      </c>
      <c r="B327" t="str">
        <f>"600063"</f>
        <v>600063</v>
      </c>
      <c r="C327" t="s">
        <v>2718</v>
      </c>
      <c r="D327" t="str">
        <f>[1]!EM_S_INFO_INDEX_EM(B327,"1")</f>
        <v>基础化工</v>
      </c>
      <c r="E327" s="4">
        <f t="shared" si="5"/>
        <v>43465</v>
      </c>
      <c r="F327" s="11">
        <f>[1]!EM_S_PQ_PCTCHANGE(B327,"2018-01-01","2019-12-31","3")</f>
        <v>5.9286859400000003</v>
      </c>
      <c r="G327" s="11">
        <f>[1]!EM_S_PQ_PCTCHANGE(B327,"2018-12-31","2019-12-30","1")</f>
        <v>69.098712449999994</v>
      </c>
      <c r="H327" s="11">
        <f>[1]!EM_S_FA_YOY_OR(B327,E327)</f>
        <v>24.470955640300001</v>
      </c>
      <c r="I327" s="11">
        <f>[1]!EM_S_FA_GROSSPROFITMARGIN(B327,E327)</f>
        <v>16.536118826100001</v>
      </c>
      <c r="J327" s="11">
        <f>[1]!EM_S_FA_NETPROFITMARGIN(B327,E327)</f>
        <v>2.2218319209000001</v>
      </c>
      <c r="K327" s="10">
        <f>[1]!EM_S_FA_ASSETSTURN(B327,E327)</f>
        <v>0.64962507764599997</v>
      </c>
      <c r="L327" s="12">
        <f>[1]!EM_HKS_VAL_MV(B327,"2019-12-31","2")</f>
        <v>7549507192.6400003</v>
      </c>
      <c r="M327">
        <f>[1]!EM_S_VAL_PETTMDEDUCTED(B327,E327)</f>
        <v>70.409455735196005</v>
      </c>
      <c r="N327" s="7">
        <f>[1]!EM_S_VAL_PBGOODWILLDEDUCTED(B327,E327)</f>
        <v>0.97483588150164602</v>
      </c>
      <c r="O327" s="7">
        <f>[1]!EM_S_VAL_PS_TTM(B327,E327)</f>
        <v>0.79458315184600103</v>
      </c>
      <c r="P327" s="7">
        <f>[1]!EM_S_VAL_PCF_NCFTTM(B327,E327)</f>
        <v>-24.035622746226899</v>
      </c>
      <c r="Q327" s="7">
        <f>[1]!EM_S_VAL_DIVIDENDYIELD2(B327,E327,"2019-11-29")</f>
        <v>0.71633237822349571</v>
      </c>
      <c r="T327"/>
      <c r="U327">
        <f>[1]!EM_S_RATIO_EPS_TTM(B327,E327,"1")</f>
        <v>6.7554769256303659E-2</v>
      </c>
      <c r="AT327" s="4" t="str">
        <f>[1]!EM_S_IPO_LISTEDDATE(B327)</f>
        <v>1997-05-28</v>
      </c>
    </row>
    <row r="328" spans="1:46">
      <c r="A328">
        <v>498</v>
      </c>
      <c r="B328" t="str">
        <f>"000988"</f>
        <v>000988</v>
      </c>
      <c r="C328" t="s">
        <v>2081</v>
      </c>
      <c r="D328" t="str">
        <f>[1]!EM_S_INFO_INDEX_EM(B328,"1")</f>
        <v>电子设备</v>
      </c>
      <c r="E328" s="4">
        <f t="shared" si="5"/>
        <v>43465</v>
      </c>
      <c r="F328" s="11">
        <f>[1]!EM_S_PQ_PCTCHANGE(B328,"2018-01-01","2019-12-31","3")</f>
        <v>22.870765670000001</v>
      </c>
      <c r="G328" s="11">
        <f>[1]!EM_S_PQ_PCTCHANGE(B328,"2018-12-31","2019-12-30","1")</f>
        <v>69.095477389999999</v>
      </c>
      <c r="H328" s="11">
        <f>[1]!EM_S_FA_YOY_OR(B328,E328)</f>
        <v>16.790028619800001</v>
      </c>
      <c r="I328" s="11">
        <f>[1]!EM_S_FA_GROSSPROFITMARGIN(B328,E328)</f>
        <v>24.5827282417</v>
      </c>
      <c r="J328" s="11">
        <f>[1]!EM_S_FA_NETPROFITMARGIN(B328,E328)</f>
        <v>5.1667700098999996</v>
      </c>
      <c r="K328" s="10">
        <f>[1]!EM_S_FA_ASSETSTURN(B328,E328)</f>
        <v>0.60322663593199999</v>
      </c>
      <c r="L328" s="12">
        <f>[1]!EM_HKS_VAL_MV(B328,"2019-12-31","2")</f>
        <v>20401649925.029999</v>
      </c>
      <c r="M328">
        <f>[1]!EM_S_VAL_PETTMDEDUCTED(B328,E328)</f>
        <v>52.602427363399499</v>
      </c>
      <c r="N328" s="7">
        <f>[1]!EM_S_VAL_PBGOODWILLDEDUCTED(B328,E328)</f>
        <v>2.1114285418032699</v>
      </c>
      <c r="O328" s="7">
        <f>[1]!EM_S_VAL_PS_TTM(B328,E328)</f>
        <v>2.3021180674404702</v>
      </c>
      <c r="P328" s="7">
        <f>[1]!EM_S_VAL_PCF_NCFTTM(B328,E328)</f>
        <v>17.2305252482433</v>
      </c>
      <c r="Q328" s="7">
        <f>[1]!EM_S_VAL_DIVIDENDYIELD2(B328,E328,"2019-11-29")</f>
        <v>0.16528925619834711</v>
      </c>
      <c r="T328"/>
      <c r="U328">
        <f>[1]!EM_S_RATIO_EPS_TTM(B328,E328,"1")</f>
        <v>0.28205740900108783</v>
      </c>
      <c r="AT328" s="4" t="str">
        <f>[1]!EM_S_IPO_LISTEDDATE(B328)</f>
        <v>2000-06-08</v>
      </c>
    </row>
    <row r="329" spans="1:46">
      <c r="A329">
        <v>649</v>
      </c>
      <c r="B329" t="str">
        <f>"002138"</f>
        <v>002138</v>
      </c>
      <c r="C329" t="s">
        <v>1056</v>
      </c>
      <c r="D329" t="str">
        <f>[1]!EM_S_INFO_INDEX_EM(B329,"1")</f>
        <v>电子设备</v>
      </c>
      <c r="E329" s="4">
        <f t="shared" si="5"/>
        <v>43465</v>
      </c>
      <c r="F329" s="11">
        <f>[1]!EM_S_PQ_PCTCHANGE(B329,"2018-01-01","2019-12-31","3")</f>
        <v>42.377949030000003</v>
      </c>
      <c r="G329" s="11">
        <f>[1]!EM_S_PQ_PCTCHANGE(B329,"2018-12-31","2019-12-30","1")</f>
        <v>69.075144510000001</v>
      </c>
      <c r="H329" s="11">
        <f>[1]!EM_S_FA_YOY_OR(B329,E329)</f>
        <v>18.841459824600001</v>
      </c>
      <c r="I329" s="11">
        <f>[1]!EM_S_FA_GROSSPROFITMARGIN(B329,E329)</f>
        <v>34.641562975299998</v>
      </c>
      <c r="J329" s="11">
        <f>[1]!EM_S_FA_NETPROFITMARGIN(B329,E329)</f>
        <v>20.4471294461</v>
      </c>
      <c r="K329" s="10">
        <f>[1]!EM_S_FA_ASSETSTURN(B329,E329)</f>
        <v>0.47214028196800001</v>
      </c>
      <c r="L329" s="12">
        <f>[1]!EM_HKS_VAL_MV(B329,"2019-12-31","2")</f>
        <v>18625953977.400002</v>
      </c>
      <c r="M329">
        <f>[1]!EM_S_VAL_PETTMDEDUCTED(B329,E329)</f>
        <v>31.524082441282498</v>
      </c>
      <c r="N329" s="7">
        <f>[1]!EM_S_VAL_PBGOODWILLDEDUCTED(B329,E329)</f>
        <v>2.8323335093214501</v>
      </c>
      <c r="O329" s="7">
        <f>[1]!EM_S_VAL_PS_TTM(B329,E329)</f>
        <v>4.7880074031271196</v>
      </c>
      <c r="P329" s="7">
        <f>[1]!EM_S_VAL_PCF_NCFTTM(B329,E329)</f>
        <v>647.63641899492097</v>
      </c>
      <c r="Q329" s="7">
        <f>[1]!EM_S_VAL_DIVIDENDYIELD2(B329,E329,"2019-11-29")</f>
        <v>0.85034013605442171</v>
      </c>
      <c r="T329"/>
      <c r="U329">
        <f>[1]!EM_S_RATIO_EPS_TTM(B329,E329,"1")</f>
        <v>0.58936250694940318</v>
      </c>
      <c r="AT329" s="4" t="str">
        <f>[1]!EM_S_IPO_LISTEDDATE(B329)</f>
        <v>2007-06-13</v>
      </c>
    </row>
    <row r="330" spans="1:46">
      <c r="A330">
        <v>2000</v>
      </c>
      <c r="B330" t="str">
        <f>"300579"</f>
        <v>300579</v>
      </c>
      <c r="C330" t="s">
        <v>2126</v>
      </c>
      <c r="D330" t="str">
        <f>[1]!EM_S_INFO_INDEX_EM(B330,"1")</f>
        <v>信息技术</v>
      </c>
      <c r="E330" s="4">
        <f t="shared" si="5"/>
        <v>43465</v>
      </c>
      <c r="F330" s="11">
        <f>[1]!EM_S_PQ_PCTCHANGE(B330,"2018-01-01","2019-12-31","3")</f>
        <v>96.528571290000002</v>
      </c>
      <c r="G330" s="11">
        <f>[1]!EM_S_PQ_PCTCHANGE(B330,"2018-12-31","2019-12-30","1")</f>
        <v>68.997361479999995</v>
      </c>
      <c r="H330" s="11">
        <f>[1]!EM_S_FA_YOY_OR(B330,E330)</f>
        <v>28.445182275400001</v>
      </c>
      <c r="I330" s="11">
        <f>[1]!EM_S_FA_GROSSPROFITMARGIN(B330,E330)</f>
        <v>58.615769812899998</v>
      </c>
      <c r="J330" s="11">
        <f>[1]!EM_S_FA_NETPROFITMARGIN(B330,E330)</f>
        <v>12.947849147499999</v>
      </c>
      <c r="K330" s="10">
        <f>[1]!EM_S_FA_ASSETSTURN(B330,E330)</f>
        <v>0.649294997865</v>
      </c>
      <c r="L330" s="12">
        <f>[1]!EM_HKS_VAL_MV(B330,"2019-12-31","2")</f>
        <v>6996600000</v>
      </c>
      <c r="M330">
        <f>[1]!EM_S_VAL_PETTMDEDUCTED(B330,E330)</f>
        <v>40.102714709316203</v>
      </c>
      <c r="N330" s="7">
        <f>[1]!EM_S_VAL_PBGOODWILLDEDUCTED(B330,E330)</f>
        <v>4.4565152602203</v>
      </c>
      <c r="O330" s="7">
        <f>[1]!EM_S_VAL_PS_TTM(B330,E330)</f>
        <v>4.7412328780879598</v>
      </c>
      <c r="P330" s="7">
        <f>[1]!EM_S_VAL_PCF_NCFTTM(B330,E330)</f>
        <v>-72.873288395882597</v>
      </c>
      <c r="Q330" s="7">
        <f>[1]!EM_S_VAL_DIVIDENDYIELD2(B330,E330,"2019-11-29")</f>
        <v>0.33333333333333337</v>
      </c>
      <c r="T330"/>
      <c r="U330">
        <f>[1]!EM_S_RATIO_EPS_TTM(B330,E330,"1")</f>
        <v>0.7204616724166667</v>
      </c>
      <c r="AT330" s="4" t="str">
        <f>[1]!EM_S_IPO_LISTEDDATE(B330)</f>
        <v>2016-12-23</v>
      </c>
    </row>
    <row r="331" spans="1:46">
      <c r="A331">
        <v>403</v>
      </c>
      <c r="B331" t="str">
        <f>"000862"</f>
        <v>000862</v>
      </c>
      <c r="C331" t="s">
        <v>2685</v>
      </c>
      <c r="D331" t="str">
        <f>[1]!EM_S_INFO_INDEX_EM(B331,"1")</f>
        <v>公用事业</v>
      </c>
      <c r="E331" s="4">
        <f t="shared" si="5"/>
        <v>43465</v>
      </c>
      <c r="F331" s="11">
        <f>[1]!EM_S_PQ_PCTCHANGE(B331,"2018-01-01","2019-12-31","3")</f>
        <v>4.1322314000000002</v>
      </c>
      <c r="G331" s="11">
        <f>[1]!EM_S_PQ_PCTCHANGE(B331,"2018-12-31","2019-12-30","1")</f>
        <v>68.918918919999996</v>
      </c>
      <c r="H331" s="11">
        <f>[1]!EM_S_FA_YOY_OR(B331,E331)</f>
        <v>21.954929890599999</v>
      </c>
      <c r="I331" s="11">
        <f>[1]!EM_S_FA_GROSSPROFITMARGIN(B331,E331)</f>
        <v>38.131914284499999</v>
      </c>
      <c r="J331" s="11">
        <f>[1]!EM_S_FA_NETPROFITMARGIN(B331,E331)</f>
        <v>4.386697045</v>
      </c>
      <c r="K331" s="10">
        <f>[1]!EM_S_FA_ASSETSTURN(B331,E331)</f>
        <v>0.12624880911899999</v>
      </c>
      <c r="L331" s="12">
        <f>[1]!EM_HKS_VAL_MV(B331,"2019-12-31","2")</f>
        <v>3558839744.8800001</v>
      </c>
      <c r="M331">
        <f>[1]!EM_S_VAL_PETTMDEDUCTED(B331,E331)</f>
        <v>-65.423587090834005</v>
      </c>
      <c r="N331" s="7">
        <f>[1]!EM_S_VAL_PBGOODWILLDEDUCTED(B331,E331)</f>
        <v>0.80459170198768404</v>
      </c>
      <c r="O331" s="7">
        <f>[1]!EM_S_VAL_PS_TTM(B331,E331)</f>
        <v>1.97116220934283</v>
      </c>
      <c r="P331" s="7">
        <f>[1]!EM_S_VAL_PCF_NCFTTM(B331,E331)</f>
        <v>-9.04428991999389</v>
      </c>
      <c r="Q331" s="7">
        <f>[1]!EM_S_VAL_DIVIDENDYIELD2(B331,E331,"2019-11-29")</f>
        <v>0</v>
      </c>
      <c r="T331"/>
      <c r="U331">
        <f>[1]!EM_S_RATIO_EPS_TTM(B331,E331,"1")</f>
        <v>7.5276525551400797E-2</v>
      </c>
      <c r="AT331" s="4" t="str">
        <f>[1]!EM_S_IPO_LISTEDDATE(B331)</f>
        <v>1998-09-15</v>
      </c>
    </row>
    <row r="332" spans="1:46">
      <c r="A332">
        <v>1019</v>
      </c>
      <c r="B332" t="str">
        <f>"002508"</f>
        <v>002508</v>
      </c>
      <c r="C332" t="s">
        <v>237</v>
      </c>
      <c r="D332" t="str">
        <f>[1]!EM_S_INFO_INDEX_EM(B332,"1")</f>
        <v>家电</v>
      </c>
      <c r="E332" s="4">
        <f t="shared" si="5"/>
        <v>43465</v>
      </c>
      <c r="F332" s="11">
        <f>[1]!EM_S_PQ_PCTCHANGE(B332,"2018-01-01","2019-12-31","3")</f>
        <v>-26.10991241</v>
      </c>
      <c r="G332" s="11">
        <f>[1]!EM_S_PQ_PCTCHANGE(B332,"2018-12-31","2019-12-30","1")</f>
        <v>68.895492820000001</v>
      </c>
      <c r="H332" s="11">
        <f>[1]!EM_S_FA_YOY_OR(B332,E332)</f>
        <v>5.8068285546</v>
      </c>
      <c r="I332" s="11">
        <f>[1]!EM_S_FA_GROSSPROFITMARGIN(B332,E332)</f>
        <v>53.524329132600002</v>
      </c>
      <c r="J332" s="11">
        <f>[1]!EM_S_FA_NETPROFITMARGIN(B332,E332)</f>
        <v>19.984792344399999</v>
      </c>
      <c r="K332" s="10">
        <f>[1]!EM_S_FA_ASSETSTURN(B332,E332)</f>
        <v>0.85432001425100002</v>
      </c>
      <c r="L332" s="12">
        <f>[1]!EM_HKS_VAL_MV(B332,"2019-12-31","2")</f>
        <v>32086503130.5</v>
      </c>
      <c r="M332">
        <f>[1]!EM_S_VAL_PETTMDEDUCTED(B332,E332)</f>
        <v>13.4509824389679</v>
      </c>
      <c r="N332" s="7">
        <f>[1]!EM_S_VAL_PBGOODWILLDEDUCTED(B332,E332)</f>
        <v>3.2123439798709899</v>
      </c>
      <c r="O332" s="7">
        <f>[1]!EM_S_VAL_PS_TTM(B332,E332)</f>
        <v>2.5811736377534502</v>
      </c>
      <c r="P332" s="7">
        <f>[1]!EM_S_VAL_PCF_NCFTTM(B332,E332)</f>
        <v>67.437745913239993</v>
      </c>
      <c r="Q332" s="7">
        <f>[1]!EM_S_VAL_DIVIDENDYIELD2(B332,E332,"2019-11-29")</f>
        <v>2.6936026936026933</v>
      </c>
      <c r="T332"/>
      <c r="U332">
        <f>[1]!EM_S_RATIO_EPS_TTM(B332,E332,"1")</f>
        <v>1.5527172788991781</v>
      </c>
      <c r="AT332" s="4" t="str">
        <f>[1]!EM_S_IPO_LISTEDDATE(B332)</f>
        <v>2010-11-23</v>
      </c>
    </row>
    <row r="333" spans="1:46">
      <c r="A333">
        <v>2530</v>
      </c>
      <c r="B333" t="str">
        <f>"600422"</f>
        <v>600422</v>
      </c>
      <c r="C333" t="s">
        <v>1215</v>
      </c>
      <c r="D333" t="str">
        <f>[1]!EM_S_INFO_INDEX_EM(B333,"1")</f>
        <v>医药生物</v>
      </c>
      <c r="E333" s="4">
        <f t="shared" si="5"/>
        <v>43465</v>
      </c>
      <c r="F333" s="11">
        <f>[1]!EM_S_PQ_PCTCHANGE(B333,"2018-01-01","2019-12-31","3")</f>
        <v>18.490572790000002</v>
      </c>
      <c r="G333" s="11">
        <f>[1]!EM_S_PQ_PCTCHANGE(B333,"2018-12-31","2019-12-30","1")</f>
        <v>68.770226539999996</v>
      </c>
      <c r="H333" s="11">
        <f>[1]!EM_S_FA_YOY_OR(B333,E333)</f>
        <v>21.353876700299999</v>
      </c>
      <c r="I333" s="11">
        <f>[1]!EM_S_FA_GROSSPROFITMARGIN(B333,E333)</f>
        <v>49.885840438499997</v>
      </c>
      <c r="J333" s="11">
        <f>[1]!EM_S_FA_NETPROFITMARGIN(B333,E333)</f>
        <v>4.8111342496000002</v>
      </c>
      <c r="K333" s="10">
        <f>[1]!EM_S_FA_ASSETSTURN(B333,E333)</f>
        <v>1.0736345081650001</v>
      </c>
      <c r="L333" s="12">
        <f>[1]!EM_HKS_VAL_MV(B333,"2019-12-31","2")</f>
        <v>8164969808.1599998</v>
      </c>
      <c r="M333">
        <f>[1]!EM_S_VAL_PETTMDEDUCTED(B333,E333)</f>
        <v>19.457393754261801</v>
      </c>
      <c r="N333" s="7">
        <f>[1]!EM_S_VAL_PBGOODWILLDEDUCTED(B333,E333)</f>
        <v>1.26356131738531</v>
      </c>
      <c r="O333" s="7">
        <f>[1]!EM_S_VAL_PS_TTM(B333,E333)</f>
        <v>0.69323347055617202</v>
      </c>
      <c r="P333" s="7">
        <f>[1]!EM_S_VAL_PCF_NCFTTM(B333,E333)</f>
        <v>37.085364920386297</v>
      </c>
      <c r="Q333" s="7">
        <f>[1]!EM_S_VAL_DIVIDENDYIELD2(B333,E333,"2019-11-29")</f>
        <v>0.96711798839458418</v>
      </c>
      <c r="T333"/>
      <c r="U333">
        <f>[1]!EM_S_RATIO_EPS_TTM(B333,E333,"1")</f>
        <v>0.44010934744970409</v>
      </c>
      <c r="AT333" s="4" t="str">
        <f>[1]!EM_S_IPO_LISTEDDATE(B333)</f>
        <v>2000-12-06</v>
      </c>
    </row>
    <row r="334" spans="1:46">
      <c r="A334">
        <v>1619</v>
      </c>
      <c r="B334" t="str">
        <f>"300194"</f>
        <v>300194</v>
      </c>
      <c r="C334" t="s">
        <v>1295</v>
      </c>
      <c r="D334" t="str">
        <f>[1]!EM_S_INFO_INDEX_EM(B334,"1")</f>
        <v>医药生物</v>
      </c>
      <c r="E334" s="4">
        <f t="shared" si="5"/>
        <v>43465</v>
      </c>
      <c r="F334" s="11">
        <f>[1]!EM_S_PQ_PCTCHANGE(B334,"2018-01-01","2019-12-31","3")</f>
        <v>-1.8940016</v>
      </c>
      <c r="G334" s="11">
        <f>[1]!EM_S_PQ_PCTCHANGE(B334,"2018-12-31","2019-12-30","1")</f>
        <v>68.535825549999998</v>
      </c>
      <c r="H334" s="11">
        <f>[1]!EM_S_FA_YOY_OR(B334,E334)</f>
        <v>27.668229266899999</v>
      </c>
      <c r="I334" s="11">
        <f>[1]!EM_S_FA_GROSSPROFITMARGIN(B334,E334)</f>
        <v>61.674400101499998</v>
      </c>
      <c r="J334" s="11">
        <f>[1]!EM_S_FA_NETPROFITMARGIN(B334,E334)</f>
        <v>-13.484166957899999</v>
      </c>
      <c r="K334" s="10">
        <f>[1]!EM_S_FA_ASSETSTURN(B334,E334)</f>
        <v>0.59440408388099997</v>
      </c>
      <c r="L334" s="12">
        <f>[1]!EM_HKS_VAL_MV(B334,"2019-12-31","2")</f>
        <v>6591006596.2799997</v>
      </c>
      <c r="M334">
        <f>[1]!EM_S_VAL_PETTMDEDUCTED(B334,E334)</f>
        <v>15.4661543192052</v>
      </c>
      <c r="N334" s="7">
        <f>[1]!EM_S_VAL_PBGOODWILLDEDUCTED(B334,E334)</f>
        <v>1.2798422329799299</v>
      </c>
      <c r="O334" s="7">
        <f>[1]!EM_S_VAL_PS_TTM(B334,E334)</f>
        <v>1.43529908116687</v>
      </c>
      <c r="P334" s="7">
        <f>[1]!EM_S_VAL_PCF_NCFTTM(B334,E334)</f>
        <v>10.3368917407151</v>
      </c>
      <c r="Q334" s="7">
        <f>[1]!EM_S_VAL_DIVIDENDYIELD2(B334,E334,"2019-11-29")</f>
        <v>0</v>
      </c>
      <c r="T334"/>
      <c r="U334">
        <f>[1]!EM_S_RATIO_EPS_TTM(B334,E334,"1")</f>
        <v>-0.30257425451423098</v>
      </c>
      <c r="AT334" s="4" t="str">
        <f>[1]!EM_S_IPO_LISTEDDATE(B334)</f>
        <v>2011-03-22</v>
      </c>
    </row>
    <row r="335" spans="1:46">
      <c r="A335">
        <v>3412</v>
      </c>
      <c r="B335" t="str">
        <f>"603505"</f>
        <v>603505</v>
      </c>
      <c r="C335" t="s">
        <v>910</v>
      </c>
      <c r="D335" t="str">
        <f>[1]!EM_S_INFO_INDEX_EM(B335,"1")</f>
        <v>有色金属</v>
      </c>
      <c r="E335" s="4">
        <f t="shared" si="5"/>
        <v>43465</v>
      </c>
      <c r="F335" s="11">
        <f>[1]!EM_S_PQ_PCTCHANGE(B335,"2018-01-01","2019-12-31","3")</f>
        <v>1.6653040400000001</v>
      </c>
      <c r="G335" s="11">
        <f>[1]!EM_S_PQ_PCTCHANGE(B335,"2018-12-31","2019-12-30","1")</f>
        <v>68.455284550000002</v>
      </c>
      <c r="H335" s="11">
        <f>[1]!EM_S_FA_YOY_OR(B335,E335)</f>
        <v>55.640610686999999</v>
      </c>
      <c r="I335" s="11">
        <f>[1]!EM_S_FA_GROSSPROFITMARGIN(B335,E335)</f>
        <v>53.984082528099997</v>
      </c>
      <c r="J335" s="11">
        <f>[1]!EM_S_FA_NETPROFITMARGIN(B335,E335)</f>
        <v>23.406799015800001</v>
      </c>
      <c r="K335" s="10">
        <f>[1]!EM_S_FA_ASSETSTURN(B335,E335)</f>
        <v>0.42855518960400002</v>
      </c>
      <c r="L335" s="12">
        <f>[1]!EM_HKS_VAL_MV(B335,"2019-12-31","2")</f>
        <v>4989600000</v>
      </c>
      <c r="M335">
        <f>[1]!EM_S_VAL_PETTMDEDUCTED(B335,E335)</f>
        <v>31.204350051551899</v>
      </c>
      <c r="N335" s="7">
        <f>[1]!EM_S_VAL_PBGOODWILLDEDUCTED(B335,E335)</f>
        <v>3.5099267666118399</v>
      </c>
      <c r="O335" s="7">
        <f>[1]!EM_S_VAL_PS_TTM(B335,E335)</f>
        <v>5.82819048576214</v>
      </c>
      <c r="P335" s="7">
        <f>[1]!EM_S_VAL_PCF_NCFTTM(B335,E335)</f>
        <v>73.463542265797699</v>
      </c>
      <c r="Q335" s="7">
        <f>[1]!EM_S_VAL_DIVIDENDYIELD2(B335,E335,"2019-11-29")</f>
        <v>1.066350710900474</v>
      </c>
      <c r="T335"/>
      <c r="U335">
        <f>[1]!EM_S_RATIO_EPS_TTM(B335,E335,"1")</f>
        <v>0.57349449633333338</v>
      </c>
      <c r="AT335" s="4" t="str">
        <f>[1]!EM_S_IPO_LISTEDDATE(B335)</f>
        <v>2017-05-03</v>
      </c>
    </row>
    <row r="336" spans="1:46">
      <c r="A336">
        <v>1076</v>
      </c>
      <c r="B336" t="str">
        <f>"002565"</f>
        <v>002565</v>
      </c>
      <c r="C336" t="s">
        <v>1254</v>
      </c>
      <c r="D336" t="str">
        <f>[1]!EM_S_INFO_INDEX_EM(B336,"1")</f>
        <v>轻工制造</v>
      </c>
      <c r="E336" s="4">
        <f t="shared" si="5"/>
        <v>43465</v>
      </c>
      <c r="F336" s="11">
        <f>[1]!EM_S_PQ_PCTCHANGE(B336,"2018-01-01","2019-12-31","3")</f>
        <v>52.465295830000002</v>
      </c>
      <c r="G336" s="11">
        <f>[1]!EM_S_PQ_PCTCHANGE(B336,"2018-12-31","2019-12-30","1")</f>
        <v>68.435013260000005</v>
      </c>
      <c r="H336" s="11">
        <f>[1]!EM_S_FA_YOY_OR(B336,E336)</f>
        <v>5.4526743255000003</v>
      </c>
      <c r="I336" s="11">
        <f>[1]!EM_S_FA_GROSSPROFITMARGIN(B336,E336)</f>
        <v>25.6035543512</v>
      </c>
      <c r="J336" s="11">
        <f>[1]!EM_S_FA_NETPROFITMARGIN(B336,E336)</f>
        <v>5.5450369114000004</v>
      </c>
      <c r="K336" s="10">
        <f>[1]!EM_S_FA_ASSETSTURN(B336,E336)</f>
        <v>0.54471474499100003</v>
      </c>
      <c r="L336" s="12">
        <f>[1]!EM_HKS_VAL_MV(B336,"2019-12-31","2")</f>
        <v>6785004300.8000002</v>
      </c>
      <c r="M336">
        <f>[1]!EM_S_VAL_PETTMDEDUCTED(B336,E336)</f>
        <v>39.128435720342203</v>
      </c>
      <c r="N336" s="7">
        <f>[1]!EM_S_VAL_PBGOODWILLDEDUCTED(B336,E336)</f>
        <v>1.52726578679908</v>
      </c>
      <c r="O336" s="7">
        <f>[1]!EM_S_VAL_PS_TTM(B336,E336)</f>
        <v>1.2837047471376799</v>
      </c>
      <c r="P336" s="7">
        <f>[1]!EM_S_VAL_PCF_NCFTTM(B336,E336)</f>
        <v>17.093257935637101</v>
      </c>
      <c r="Q336" s="7">
        <f>[1]!EM_S_VAL_DIVIDENDYIELD2(B336,E336,"2019-11-29")</f>
        <v>0</v>
      </c>
      <c r="T336"/>
      <c r="U336">
        <f>[1]!EM_S_RATIO_EPS_TTM(B336,E336,"1")</f>
        <v>0.14296531965174139</v>
      </c>
      <c r="AT336" s="4" t="str">
        <f>[1]!EM_S_IPO_LISTEDDATE(B336)</f>
        <v>2011-03-18</v>
      </c>
    </row>
    <row r="337" spans="1:46">
      <c r="A337">
        <v>1164</v>
      </c>
      <c r="B337" t="str">
        <f>"002653"</f>
        <v>002653</v>
      </c>
      <c r="C337" t="s">
        <v>818</v>
      </c>
      <c r="D337" t="str">
        <f>[1]!EM_S_INFO_INDEX_EM(B337,"1")</f>
        <v>医药生物</v>
      </c>
      <c r="E337" s="4">
        <f t="shared" si="5"/>
        <v>43465</v>
      </c>
      <c r="F337" s="11">
        <f>[1]!EM_S_PQ_PCTCHANGE(B337,"2018-01-01","2019-12-31","3")</f>
        <v>86.251186340000004</v>
      </c>
      <c r="G337" s="11">
        <f>[1]!EM_S_PQ_PCTCHANGE(B337,"2018-12-31","2019-12-30","1")</f>
        <v>68.208578639999999</v>
      </c>
      <c r="H337" s="11">
        <f>[1]!EM_S_FA_YOY_OR(B337,E337)</f>
        <v>84.610300369100003</v>
      </c>
      <c r="I337" s="11">
        <f>[1]!EM_S_FA_GROSSPROFITMARGIN(B337,E337)</f>
        <v>56.542095100499999</v>
      </c>
      <c r="J337" s="11">
        <f>[1]!EM_S_FA_NETPROFITMARGIN(B337,E337)</f>
        <v>9.2667843211999994</v>
      </c>
      <c r="K337" s="10">
        <f>[1]!EM_S_FA_ASSETSTURN(B337,E337)</f>
        <v>0.80868236416899997</v>
      </c>
      <c r="L337" s="12">
        <f>[1]!EM_HKS_VAL_MV(B337,"2019-12-31","2")</f>
        <v>22076348000</v>
      </c>
      <c r="M337">
        <f>[1]!EM_S_VAL_PETTMDEDUCTED(B337,E337)</f>
        <v>114.90083012163799</v>
      </c>
      <c r="N337" s="7">
        <f>[1]!EM_S_VAL_PBGOODWILLDEDUCTED(B337,E337)</f>
        <v>6.3375459094067796</v>
      </c>
      <c r="O337" s="7">
        <f>[1]!EM_S_VAL_PS_TTM(B337,E337)</f>
        <v>4.8940661169958704</v>
      </c>
      <c r="P337" s="7">
        <f>[1]!EM_S_VAL_PCF_NCFTTM(B337,E337)</f>
        <v>-62.149659996799897</v>
      </c>
      <c r="Q337" s="7">
        <f>[1]!EM_S_VAL_DIVIDENDYIELD2(B337,E337,"2019-11-29")</f>
        <v>0.88662215513262421</v>
      </c>
      <c r="T337"/>
      <c r="U337">
        <f>[1]!EM_S_RATIO_EPS_TTM(B337,E337,"1")</f>
        <v>0.30846780635396709</v>
      </c>
      <c r="AT337" s="4" t="str">
        <f>[1]!EM_S_IPO_LISTEDDATE(B337)</f>
        <v>2012-01-17</v>
      </c>
    </row>
    <row r="338" spans="1:46">
      <c r="A338">
        <v>3167</v>
      </c>
      <c r="B338" t="str">
        <f>"601881"</f>
        <v>601881</v>
      </c>
      <c r="C338" t="s">
        <v>1716</v>
      </c>
      <c r="D338" t="str">
        <f>[1]!EM_S_INFO_INDEX_EM(B338,"1")</f>
        <v>金融</v>
      </c>
      <c r="E338" s="4">
        <f t="shared" si="5"/>
        <v>43465</v>
      </c>
      <c r="F338" s="11">
        <f>[1]!EM_S_PQ_PCTCHANGE(B338,"2018-01-01","2019-12-31","3")</f>
        <v>13.229239140000001</v>
      </c>
      <c r="G338" s="11">
        <f>[1]!EM_S_PQ_PCTCHANGE(B338,"2018-12-31","2019-12-30","1")</f>
        <v>68.181818179999993</v>
      </c>
      <c r="H338" s="11">
        <f>[1]!EM_S_FA_YOY_OR(B338,E338)</f>
        <v>-12.506718551900001</v>
      </c>
      <c r="I338" s="11">
        <f>[1]!EM_S_FA_GROSSPROFITMARGIN(B338,E338)</f>
        <v>0</v>
      </c>
      <c r="J338" s="11">
        <f>[1]!EM_S_FA_NETPROFITMARGIN(B338,E338)</f>
        <v>29.537701627699999</v>
      </c>
      <c r="K338" s="10">
        <f>[1]!EM_S_FA_ASSETSTURN(B338,E338)</f>
        <v>0</v>
      </c>
      <c r="L338" s="12">
        <f>[1]!EM_HKS_VAL_MV(B338,"2019-12-31","2")</f>
        <v>117693574168.77</v>
      </c>
      <c r="M338">
        <f>[1]!EM_S_VAL_PETTMDEDUCTED(B338,E338)</f>
        <v>27.717364622938099</v>
      </c>
      <c r="N338" s="7">
        <f>[1]!EM_S_VAL_PBGOODWILLDEDUCTED(B338,E338)</f>
        <v>1.05135882052379</v>
      </c>
      <c r="O338" s="7">
        <f>[1]!EM_S_VAL_PS_TTM(B338,E338)</f>
        <v>7.8969108685964198</v>
      </c>
      <c r="P338" s="7">
        <f>[1]!EM_S_VAL_PCF_NCFTTM(B338,E338)</f>
        <v>-7.5872688467915301</v>
      </c>
      <c r="Q338" s="7">
        <f>[1]!EM_S_VAL_DIVIDENDYIELD2(B338,E338,"2019-11-29")</f>
        <v>0.8754863813229572</v>
      </c>
      <c r="T338"/>
      <c r="U338">
        <f>[1]!EM_S_RATIO_EPS_TTM(B338,E338,"1")</f>
        <v>0.28480349834084834</v>
      </c>
      <c r="AT338" s="4" t="str">
        <f>[1]!EM_S_IPO_LISTEDDATE(B338)</f>
        <v>2017-01-23</v>
      </c>
    </row>
    <row r="339" spans="1:46">
      <c r="A339">
        <v>1636</v>
      </c>
      <c r="B339" t="str">
        <f>"300211"</f>
        <v>300211</v>
      </c>
      <c r="C339" t="s">
        <v>2785</v>
      </c>
      <c r="D339" t="str">
        <f>[1]!EM_S_INFO_INDEX_EM(B339,"1")</f>
        <v>信息技术</v>
      </c>
      <c r="E339" s="4">
        <f t="shared" si="5"/>
        <v>43465</v>
      </c>
      <c r="F339" s="11">
        <f>[1]!EM_S_PQ_PCTCHANGE(B339,"2018-01-01","2019-12-31","3")</f>
        <v>15.23069701</v>
      </c>
      <c r="G339" s="11">
        <f>[1]!EM_S_PQ_PCTCHANGE(B339,"2018-12-31","2019-12-30","1")</f>
        <v>68.115942029999999</v>
      </c>
      <c r="H339" s="11">
        <f>[1]!EM_S_FA_YOY_OR(B339,E339)</f>
        <v>-24.4999323899</v>
      </c>
      <c r="I339" s="11">
        <f>[1]!EM_S_FA_GROSSPROFITMARGIN(B339,E339)</f>
        <v>21.2143101128</v>
      </c>
      <c r="J339" s="11">
        <f>[1]!EM_S_FA_NETPROFITMARGIN(B339,E339)</f>
        <v>3.8918622822</v>
      </c>
      <c r="K339" s="10">
        <f>[1]!EM_S_FA_ASSETSTURN(B339,E339)</f>
        <v>0.22923244920800001</v>
      </c>
      <c r="L339" s="12">
        <f>[1]!EM_HKS_VAL_MV(B339,"2019-12-31","2")</f>
        <v>2424434543.73</v>
      </c>
      <c r="M339">
        <f>[1]!EM_S_VAL_PETTMDEDUCTED(B339,E339)</f>
        <v>687.76611679985001</v>
      </c>
      <c r="N339" s="7">
        <f>[1]!EM_S_VAL_PBGOODWILLDEDUCTED(B339,E339)</f>
        <v>2.9793914398811401</v>
      </c>
      <c r="O339" s="7">
        <f>[1]!EM_S_VAL_PS_TTM(B339,E339)</f>
        <v>9.7361980644129993</v>
      </c>
      <c r="P339" s="7">
        <f>[1]!EM_S_VAL_PCF_NCFTTM(B339,E339)</f>
        <v>12.231570556653599</v>
      </c>
      <c r="Q339" s="7">
        <f>[1]!EM_S_VAL_DIVIDENDYIELD2(B339,E339,"2019-11-29")</f>
        <v>0.83217753120665738</v>
      </c>
      <c r="T339"/>
      <c r="U339">
        <f>[1]!EM_S_RATIO_EPS_TTM(B339,E339,"1")</f>
        <v>1.6450055518612307E-2</v>
      </c>
      <c r="AT339" s="4" t="str">
        <f>[1]!EM_S_IPO_LISTEDDATE(B339)</f>
        <v>2011-05-05</v>
      </c>
    </row>
    <row r="340" spans="1:46">
      <c r="A340">
        <v>318</v>
      </c>
      <c r="B340" t="str">
        <f>"000739"</f>
        <v>000739</v>
      </c>
      <c r="C340" t="s">
        <v>1232</v>
      </c>
      <c r="D340" t="str">
        <f>[1]!EM_S_INFO_INDEX_EM(B340,"1")</f>
        <v>医药生物</v>
      </c>
      <c r="E340" s="4">
        <f t="shared" si="5"/>
        <v>43465</v>
      </c>
      <c r="F340" s="11">
        <f>[1]!EM_S_PQ_PCTCHANGE(B340,"2018-01-01","2019-12-31","3")</f>
        <v>104.61344645</v>
      </c>
      <c r="G340" s="11">
        <f>[1]!EM_S_PQ_PCTCHANGE(B340,"2018-12-31","2019-12-30","1")</f>
        <v>67.741935479999995</v>
      </c>
      <c r="H340" s="11">
        <f>[1]!EM_S_FA_YOY_OR(B340,E340)</f>
        <v>14.853616117</v>
      </c>
      <c r="I340" s="11">
        <f>[1]!EM_S_FA_GROSSPROFITMARGIN(B340,E340)</f>
        <v>31.928212950900001</v>
      </c>
      <c r="J340" s="11">
        <f>[1]!EM_S_FA_NETPROFITMARGIN(B340,E340)</f>
        <v>5.8115363723</v>
      </c>
      <c r="K340" s="10">
        <f>[1]!EM_S_FA_ASSETSTURN(B340,E340)</f>
        <v>1.114571198103</v>
      </c>
      <c r="L340" s="12">
        <f>[1]!EM_HKS_VAL_MV(B340,"2019-12-31","2")</f>
        <v>15285449691.24</v>
      </c>
      <c r="M340">
        <f>[1]!EM_S_VAL_PETTMDEDUCTED(B340,E340)</f>
        <v>27.870022749441901</v>
      </c>
      <c r="N340" s="7">
        <f>[1]!EM_S_VAL_PBGOODWILLDEDUCTED(B340,E340)</f>
        <v>2.6451866421653998</v>
      </c>
      <c r="O340" s="7">
        <f>[1]!EM_S_VAL_PS_TTM(B340,E340)</f>
        <v>1.4037403724216699</v>
      </c>
      <c r="P340" s="7">
        <f>[1]!EM_S_VAL_PCF_NCFTTM(B340,E340)</f>
        <v>79.5070481273019</v>
      </c>
      <c r="Q340" s="7">
        <f>[1]!EM_S_VAL_DIVIDENDYIELD2(B340,E340,"2019-11-29")</f>
        <v>0.80350620891161439</v>
      </c>
      <c r="T340"/>
      <c r="U340">
        <f>[1]!EM_S_RATIO_EPS_TTM(B340,E340,"1")</f>
        <v>0.31443314016688267</v>
      </c>
      <c r="AT340" s="4" t="str">
        <f>[1]!EM_S_IPO_LISTEDDATE(B340)</f>
        <v>1997-05-09</v>
      </c>
    </row>
    <row r="341" spans="1:46">
      <c r="A341">
        <v>1896</v>
      </c>
      <c r="B341" t="str">
        <f>"300471"</f>
        <v>300471</v>
      </c>
      <c r="C341" t="s">
        <v>3539</v>
      </c>
      <c r="D341" t="str">
        <f>[1]!EM_S_INFO_INDEX_EM(B341,"1")</f>
        <v>机械设备</v>
      </c>
      <c r="E341" s="4">
        <f t="shared" si="5"/>
        <v>43465</v>
      </c>
      <c r="F341" s="11">
        <f>[1]!EM_S_PQ_PCTCHANGE(B341,"2018-01-01","2019-12-31","3")</f>
        <v>-26.863705039999999</v>
      </c>
      <c r="G341" s="11">
        <f>[1]!EM_S_PQ_PCTCHANGE(B341,"2018-12-31","2019-12-30","1")</f>
        <v>67.647058819999998</v>
      </c>
      <c r="H341" s="11">
        <f>[1]!EM_S_FA_YOY_OR(B341,E341)</f>
        <v>-49.874551117099998</v>
      </c>
      <c r="I341" s="11">
        <f>[1]!EM_S_FA_GROSSPROFITMARGIN(B341,E341)</f>
        <v>6.4710045862000003</v>
      </c>
      <c r="J341" s="11">
        <f>[1]!EM_S_FA_NETPROFITMARGIN(B341,E341)</f>
        <v>-130.7261984653</v>
      </c>
      <c r="K341" s="10">
        <f>[1]!EM_S_FA_ASSETSTURN(B341,E341)</f>
        <v>0.15095536839099999</v>
      </c>
      <c r="L341" s="12">
        <f>[1]!EM_HKS_VAL_MV(B341,"2019-12-31","2")</f>
        <v>3318952000</v>
      </c>
      <c r="M341">
        <f>[1]!EM_S_VAL_PETTMDEDUCTED(B341,E341)</f>
        <v>-10.1589157710096</v>
      </c>
      <c r="N341" s="7">
        <f>[1]!EM_S_VAL_PBGOODWILLDEDUCTED(B341,E341)</f>
        <v>1.6708329149258201</v>
      </c>
      <c r="O341" s="7">
        <f>[1]!EM_S_VAL_PS_TTM(B341,E341)</f>
        <v>6.4190446039518596</v>
      </c>
      <c r="P341" s="7">
        <f>[1]!EM_S_VAL_PCF_NCFTTM(B341,E341)</f>
        <v>-8.7916387872982895</v>
      </c>
      <c r="Q341" s="7">
        <f>[1]!EM_S_VAL_DIVIDENDYIELD2(B341,E341,"2019-11-29")</f>
        <v>0</v>
      </c>
      <c r="T341"/>
      <c r="U341">
        <f>[1]!EM_S_RATIO_EPS_TTM(B341,E341,"1")</f>
        <v>-1.3140237410890547</v>
      </c>
      <c r="AT341" s="4" t="str">
        <f>[1]!EM_S_IPO_LISTEDDATE(B341)</f>
        <v>2015-06-11</v>
      </c>
    </row>
    <row r="342" spans="1:46">
      <c r="A342">
        <v>3496</v>
      </c>
      <c r="B342" t="str">
        <f>"603688"</f>
        <v>603688</v>
      </c>
      <c r="C342" t="s">
        <v>1489</v>
      </c>
      <c r="D342" t="str">
        <f>[1]!EM_S_INFO_INDEX_EM(B342,"1")</f>
        <v>有色金属</v>
      </c>
      <c r="E342" s="4">
        <f t="shared" si="5"/>
        <v>43465</v>
      </c>
      <c r="F342" s="11">
        <f>[1]!EM_S_PQ_PCTCHANGE(B342,"2018-01-01","2019-12-31","3")</f>
        <v>22.040635949999999</v>
      </c>
      <c r="G342" s="11">
        <f>[1]!EM_S_PQ_PCTCHANGE(B342,"2018-12-31","2019-12-30","1")</f>
        <v>67.454545449999998</v>
      </c>
      <c r="H342" s="11">
        <f>[1]!EM_S_FA_YOY_OR(B342,E342)</f>
        <v>12.462034254600001</v>
      </c>
      <c r="I342" s="11">
        <f>[1]!EM_S_FA_GROSSPROFITMARGIN(B342,E342)</f>
        <v>43.735866147800003</v>
      </c>
      <c r="J342" s="11">
        <f>[1]!EM_S_FA_NETPROFITMARGIN(B342,E342)</f>
        <v>22.477796852200001</v>
      </c>
      <c r="K342" s="10">
        <f>[1]!EM_S_FA_ASSETSTURN(B342,E342)</f>
        <v>0.43753048147500001</v>
      </c>
      <c r="L342" s="12">
        <f>[1]!EM_HKS_VAL_MV(B342,"2019-12-31","2")</f>
        <v>6341176080</v>
      </c>
      <c r="M342">
        <f>[1]!EM_S_VAL_PETTMDEDUCTED(B342,E342)</f>
        <v>30.908125306116201</v>
      </c>
      <c r="N342" s="7">
        <f>[1]!EM_S_VAL_PBGOODWILLDEDUCTED(B342,E342)</f>
        <v>2.6669042135586798</v>
      </c>
      <c r="O342" s="7">
        <f>[1]!EM_S_VAL_PS_TTM(B342,E342)</f>
        <v>5.9875877159306397</v>
      </c>
      <c r="P342" s="7">
        <f>[1]!EM_S_VAL_PCF_NCFTTM(B342,E342)</f>
        <v>-46.836337507480103</v>
      </c>
      <c r="Q342" s="7">
        <f>[1]!EM_S_VAL_DIVIDENDYIELD2(B342,E342,"2019-11-29")</f>
        <v>0.84360804672290712</v>
      </c>
      <c r="T342"/>
      <c r="U342">
        <f>[1]!EM_S_RATIO_EPS_TTM(B342,E342,"1")</f>
        <v>0.42203600190455526</v>
      </c>
      <c r="AT342" s="4" t="str">
        <f>[1]!EM_S_IPO_LISTEDDATE(B342)</f>
        <v>2014-10-31</v>
      </c>
    </row>
    <row r="343" spans="1:46">
      <c r="A343">
        <v>1727</v>
      </c>
      <c r="B343" t="str">
        <f>"300302"</f>
        <v>300302</v>
      </c>
      <c r="C343" t="s">
        <v>1642</v>
      </c>
      <c r="D343" t="str">
        <f>[1]!EM_S_INFO_INDEX_EM(B343,"1")</f>
        <v>信息技术</v>
      </c>
      <c r="E343" s="4">
        <f t="shared" si="5"/>
        <v>43465</v>
      </c>
      <c r="F343" s="11">
        <f>[1]!EM_S_PQ_PCTCHANGE(B343,"2018-01-01","2019-12-31","3")</f>
        <v>6.2263201800000001</v>
      </c>
      <c r="G343" s="11">
        <f>[1]!EM_S_PQ_PCTCHANGE(B343,"2018-12-31","2019-12-30","1")</f>
        <v>67.429340510000003</v>
      </c>
      <c r="H343" s="11">
        <f>[1]!EM_S_FA_YOY_OR(B343,E343)</f>
        <v>-0.56224274510000005</v>
      </c>
      <c r="I343" s="11">
        <f>[1]!EM_S_FA_GROSSPROFITMARGIN(B343,E343)</f>
        <v>32.042901394899999</v>
      </c>
      <c r="J343" s="11">
        <f>[1]!EM_S_FA_NETPROFITMARGIN(B343,E343)</f>
        <v>5.3563939818000001</v>
      </c>
      <c r="K343" s="10">
        <f>[1]!EM_S_FA_ASSETSTURN(B343,E343)</f>
        <v>0.41439046035100002</v>
      </c>
      <c r="L343" s="12">
        <f>[1]!EM_HKS_VAL_MV(B343,"2019-12-31","2")</f>
        <v>5583602856.96</v>
      </c>
      <c r="M343">
        <f>[1]!EM_S_VAL_PETTMDEDUCTED(B343,E343)</f>
        <v>60.205752671818402</v>
      </c>
      <c r="N343" s="7">
        <f>[1]!EM_S_VAL_PBGOODWILLDEDUCTED(B343,E343)</f>
        <v>3.8308365984733199</v>
      </c>
      <c r="O343" s="7">
        <f>[1]!EM_S_VAL_PS_TTM(B343,E343)</f>
        <v>6.56031726414838</v>
      </c>
      <c r="P343" s="7">
        <f>[1]!EM_S_VAL_PCF_NCFTTM(B343,E343)</f>
        <v>-113.99051515247599</v>
      </c>
      <c r="Q343" s="7">
        <f>[1]!EM_S_VAL_DIVIDENDYIELD2(B343,E343,"2019-11-29")</f>
        <v>0</v>
      </c>
      <c r="T343"/>
      <c r="U343">
        <f>[1]!EM_S_RATIO_EPS_TTM(B343,E343,"1")</f>
        <v>4.8020404220815383E-2</v>
      </c>
      <c r="AT343" s="4" t="str">
        <f>[1]!EM_S_IPO_LISTEDDATE(B343)</f>
        <v>2012-03-21</v>
      </c>
    </row>
    <row r="344" spans="1:46">
      <c r="A344">
        <v>446</v>
      </c>
      <c r="B344" t="str">
        <f>"000921"</f>
        <v>000921</v>
      </c>
      <c r="C344" t="s">
        <v>390</v>
      </c>
      <c r="D344" t="str">
        <f>[1]!EM_S_INFO_INDEX_EM(B344,"1")</f>
        <v>家电</v>
      </c>
      <c r="E344" s="4">
        <f t="shared" si="5"/>
        <v>43465</v>
      </c>
      <c r="F344" s="11">
        <f>[1]!EM_S_PQ_PCTCHANGE(B344,"2018-01-01","2019-12-31","3")</f>
        <v>-4.8922786499999997</v>
      </c>
      <c r="G344" s="11">
        <f>[1]!EM_S_PQ_PCTCHANGE(B344,"2018-12-31","2019-12-30","1")</f>
        <v>67.326732669999998</v>
      </c>
      <c r="H344" s="11">
        <f>[1]!EM_S_FA_YOY_OR(B344,E344)</f>
        <v>7.5610334694999999</v>
      </c>
      <c r="I344" s="11">
        <f>[1]!EM_S_FA_GROSSPROFITMARGIN(B344,E344)</f>
        <v>19.012076389200001</v>
      </c>
      <c r="J344" s="11">
        <f>[1]!EM_S_FA_NETPROFITMARGIN(B344,E344)</f>
        <v>3.9508335535999999</v>
      </c>
      <c r="K344" s="10">
        <f>[1]!EM_S_FA_ASSETSTURN(B344,E344)</f>
        <v>1.663662391763</v>
      </c>
      <c r="L344" s="12">
        <f>[1]!EM_HKS_VAL_MV(B344,"2019-12-31","2")</f>
        <v>16802403812.1</v>
      </c>
      <c r="M344">
        <f>[1]!EM_S_VAL_PETTMDEDUCTED(B344,E344)</f>
        <v>8.5270229465139398</v>
      </c>
      <c r="N344" s="7">
        <f>[1]!EM_S_VAL_PBGOODWILLDEDUCTED(B344,E344)</f>
        <v>1.3104867428467699</v>
      </c>
      <c r="O344" s="7">
        <f>[1]!EM_S_VAL_PS_TTM(B344,E344)</f>
        <v>0.26835690749291502</v>
      </c>
      <c r="P344" s="7">
        <f>[1]!EM_S_VAL_PCF_NCFTTM(B344,E344)</f>
        <v>-32.597151046185999</v>
      </c>
      <c r="Q344" s="7">
        <f>[1]!EM_S_VAL_DIVIDENDYIELD2(B344,E344,"2019-11-29")</f>
        <v>2.9618768328445748</v>
      </c>
      <c r="T344"/>
      <c r="U344">
        <f>[1]!EM_S_RATIO_EPS_TTM(B344,E344,"1")</f>
        <v>1.0108105477628262</v>
      </c>
      <c r="AT344" s="4" t="str">
        <f>[1]!EM_S_IPO_LISTEDDATE(B344)</f>
        <v>1999-07-13</v>
      </c>
    </row>
    <row r="345" spans="1:46">
      <c r="A345">
        <v>1306</v>
      </c>
      <c r="B345" t="str">
        <f>"002801"</f>
        <v>002801</v>
      </c>
      <c r="C345" t="s">
        <v>1239</v>
      </c>
      <c r="D345" t="str">
        <f>[1]!EM_S_INFO_INDEX_EM(B345,"1")</f>
        <v>电气设备</v>
      </c>
      <c r="E345" s="4">
        <f t="shared" si="5"/>
        <v>43465</v>
      </c>
      <c r="F345" s="11">
        <f>[1]!EM_S_PQ_PCTCHANGE(B345,"2018-01-01","2019-12-31","3")</f>
        <v>11.69302882</v>
      </c>
      <c r="G345" s="11">
        <f>[1]!EM_S_PQ_PCTCHANGE(B345,"2018-12-31","2019-12-30","1")</f>
        <v>67.216203489999998</v>
      </c>
      <c r="H345" s="11">
        <f>[1]!EM_S_FA_YOY_OR(B345,E345)</f>
        <v>13.6985772757</v>
      </c>
      <c r="I345" s="11">
        <f>[1]!EM_S_FA_GROSSPROFITMARGIN(B345,E345)</f>
        <v>29.711270284200001</v>
      </c>
      <c r="J345" s="11">
        <f>[1]!EM_S_FA_NETPROFITMARGIN(B345,E345)</f>
        <v>15.2471614322</v>
      </c>
      <c r="K345" s="10">
        <f>[1]!EM_S_FA_ASSETSTURN(B345,E345)</f>
        <v>0.62230471466699999</v>
      </c>
      <c r="L345" s="12">
        <f>[1]!EM_HKS_VAL_MV(B345,"2019-12-31","2")</f>
        <v>4375961600</v>
      </c>
      <c r="M345">
        <f>[1]!EM_S_VAL_PETTMDEDUCTED(B345,E345)</f>
        <v>28.929004024277599</v>
      </c>
      <c r="N345" s="7">
        <f>[1]!EM_S_VAL_PBGOODWILLDEDUCTED(B345,E345)</f>
        <v>2.8346110817778101</v>
      </c>
      <c r="O345" s="7">
        <f>[1]!EM_S_VAL_PS_TTM(B345,E345)</f>
        <v>4.1090084396017099</v>
      </c>
      <c r="P345" s="7">
        <f>[1]!EM_S_VAL_PCF_NCFTTM(B345,E345)</f>
        <v>-170.70893445381699</v>
      </c>
      <c r="Q345" s="7">
        <f>[1]!EM_S_VAL_DIVIDENDYIELD2(B345,E345,"2019-11-29")</f>
        <v>0.88261253309796994</v>
      </c>
      <c r="T345"/>
      <c r="U345">
        <f>[1]!EM_S_RATIO_EPS_TTM(B345,E345,"1")</f>
        <v>0.82606024949048917</v>
      </c>
      <c r="AT345" s="4" t="str">
        <f>[1]!EM_S_IPO_LISTEDDATE(B345)</f>
        <v>2016-06-22</v>
      </c>
    </row>
    <row r="346" spans="1:46">
      <c r="A346">
        <v>595</v>
      </c>
      <c r="B346" t="str">
        <f>"002084"</f>
        <v>002084</v>
      </c>
      <c r="C346" t="s">
        <v>1920</v>
      </c>
      <c r="D346" t="str">
        <f>[1]!EM_S_INFO_INDEX_EM(B346,"1")</f>
        <v>机械设备</v>
      </c>
      <c r="E346" s="4">
        <f t="shared" si="5"/>
        <v>43465</v>
      </c>
      <c r="F346" s="11">
        <f>[1]!EM_S_PQ_PCTCHANGE(B346,"2018-01-01","2019-12-31","3")</f>
        <v>1.8382351400000001</v>
      </c>
      <c r="G346" s="11">
        <f>[1]!EM_S_PQ_PCTCHANGE(B346,"2018-12-31","2019-12-30","1")</f>
        <v>67.095115680000006</v>
      </c>
      <c r="H346" s="11">
        <f>[1]!EM_S_FA_YOY_OR(B346,E346)</f>
        <v>7.4395541674999999</v>
      </c>
      <c r="I346" s="11">
        <f>[1]!EM_S_FA_GROSSPROFITMARGIN(B346,E346)</f>
        <v>19.6998266286</v>
      </c>
      <c r="J346" s="11">
        <f>[1]!EM_S_FA_NETPROFITMARGIN(B346,E346)</f>
        <v>1.8790671611</v>
      </c>
      <c r="K346" s="10">
        <f>[1]!EM_S_FA_ASSETSTURN(B346,E346)</f>
        <v>0.83727600800199997</v>
      </c>
      <c r="L346" s="12">
        <f>[1]!EM_HKS_VAL_MV(B346,"2019-12-31","2")</f>
        <v>3286488155.7199998</v>
      </c>
      <c r="M346">
        <f>[1]!EM_S_VAL_PETTMDEDUCTED(B346,E346)</f>
        <v>54.122667452342597</v>
      </c>
      <c r="N346" s="7">
        <f>[1]!EM_S_VAL_PBGOODWILLDEDUCTED(B346,E346)</f>
        <v>1.2397235382420799</v>
      </c>
      <c r="O346" s="7">
        <f>[1]!EM_S_VAL_PS_TTM(B346,E346)</f>
        <v>0.923848681179958</v>
      </c>
      <c r="P346" s="7">
        <f>[1]!EM_S_VAL_PCF_NCFTTM(B346,E346)</f>
        <v>10.4530480705107</v>
      </c>
      <c r="Q346" s="7">
        <f>[1]!EM_S_VAL_DIVIDENDYIELD2(B346,E346,"2019-11-29")</f>
        <v>0</v>
      </c>
      <c r="T346"/>
      <c r="U346">
        <f>[1]!EM_S_RATIO_EPS_TTM(B346,E346,"1")</f>
        <v>8.2837729975800523E-2</v>
      </c>
      <c r="AT346" s="4" t="str">
        <f>[1]!EM_S_IPO_LISTEDDATE(B346)</f>
        <v>2006-11-24</v>
      </c>
    </row>
    <row r="347" spans="1:46">
      <c r="A347">
        <v>3504</v>
      </c>
      <c r="B347" t="str">
        <f>"603703"</f>
        <v>603703</v>
      </c>
      <c r="C347" t="s">
        <v>3367</v>
      </c>
      <c r="D347" t="str">
        <f>[1]!EM_S_INFO_INDEX_EM(B347,"1")</f>
        <v>电气设备</v>
      </c>
      <c r="E347" s="4">
        <f t="shared" si="5"/>
        <v>43465</v>
      </c>
      <c r="F347" s="11">
        <f>[1]!EM_S_PQ_PCTCHANGE(B347,"2018-01-01","2019-12-31","3")</f>
        <v>-9.1711449500000004</v>
      </c>
      <c r="G347" s="11">
        <f>[1]!EM_S_PQ_PCTCHANGE(B347,"2018-12-31","2019-12-30","1")</f>
        <v>67.070484579999999</v>
      </c>
      <c r="H347" s="11">
        <f>[1]!EM_S_FA_YOY_OR(B347,E347)</f>
        <v>-30.741622457999998</v>
      </c>
      <c r="I347" s="11">
        <f>[1]!EM_S_FA_GROSSPROFITMARGIN(B347,E347)</f>
        <v>17.2380274247</v>
      </c>
      <c r="J347" s="11">
        <f>[1]!EM_S_FA_NETPROFITMARGIN(B347,E347)</f>
        <v>-14.6155250651</v>
      </c>
      <c r="K347" s="10">
        <f>[1]!EM_S_FA_ASSETSTURN(B347,E347)</f>
        <v>0.50931696032899998</v>
      </c>
      <c r="L347" s="12">
        <f>[1]!EM_HKS_VAL_MV(B347,"2019-12-31","2")</f>
        <v>3498331000</v>
      </c>
      <c r="M347">
        <f>[1]!EM_S_VAL_PETTMDEDUCTED(B347,E347)</f>
        <v>-139.645093985795</v>
      </c>
      <c r="N347" s="7">
        <f>[1]!EM_S_VAL_PBGOODWILLDEDUCTED(B347,E347)</f>
        <v>7.83212280674441</v>
      </c>
      <c r="O347" s="7">
        <f>[1]!EM_S_VAL_PS_TTM(B347,E347)</f>
        <v>3.2852320676172702</v>
      </c>
      <c r="P347" s="7">
        <f>[1]!EM_S_VAL_PCF_NCFTTM(B347,E347)</f>
        <v>46.551213932208498</v>
      </c>
      <c r="Q347" s="7">
        <f>[1]!EM_S_VAL_DIVIDENDYIELD2(B347,E347,"2019-11-29")</f>
        <v>0</v>
      </c>
      <c r="T347"/>
      <c r="U347">
        <f>[1]!EM_S_RATIO_EPS_TTM(B347,E347,"1")</f>
        <v>-0.39142113064867218</v>
      </c>
      <c r="AT347" s="4" t="str">
        <f>[1]!EM_S_IPO_LISTEDDATE(B347)</f>
        <v>2015-04-23</v>
      </c>
    </row>
    <row r="348" spans="1:46">
      <c r="A348">
        <v>48</v>
      </c>
      <c r="B348" t="str">
        <f>"000050"</f>
        <v>000050</v>
      </c>
      <c r="C348" t="s">
        <v>1727</v>
      </c>
      <c r="D348" t="str">
        <f>[1]!EM_S_INFO_INDEX_EM(B348,"1")</f>
        <v>电子设备</v>
      </c>
      <c r="E348" s="4">
        <f t="shared" si="5"/>
        <v>43465</v>
      </c>
      <c r="F348" s="11">
        <f>[1]!EM_S_PQ_PCTCHANGE(B348,"2018-01-01","2019-12-31","3")</f>
        <v>-16.574904700000001</v>
      </c>
      <c r="G348" s="11">
        <f>[1]!EM_S_PQ_PCTCHANGE(B348,"2019-01-01","2019-12-31","3")</f>
        <v>66.887700339999995</v>
      </c>
      <c r="H348" s="11">
        <f>[1]!EM_S_FA_YOY_OR(B348,E348)</f>
        <v>21.3542513103</v>
      </c>
      <c r="I348" s="11">
        <f>[1]!EM_S_FA_GROSSPROFITMARGIN(B348,E348)</f>
        <v>15.190683780900001</v>
      </c>
      <c r="J348" s="11">
        <f>[1]!EM_S_FA_NETPROFITMARGIN(B348,E348)</f>
        <v>3.4030676596</v>
      </c>
      <c r="K348" s="10">
        <f>[1]!EM_S_FA_ASSETSTURN(B348,E348)</f>
        <v>0.64470477259600001</v>
      </c>
      <c r="L348" s="12">
        <f>[1]!EM_HKS_VAL_MV(B348,"2019-12-31","2")</f>
        <v>33363924500.790001</v>
      </c>
      <c r="M348">
        <f>[1]!EM_S_VAL_PETTMDEDUCTED(B348,E348)</f>
        <v>-76.441480247595706</v>
      </c>
      <c r="N348" s="7">
        <f>[1]!EM_S_VAL_PBGOODWILLDEDUCTED(B348,E348)</f>
        <v>0.78224120382233597</v>
      </c>
      <c r="O348" s="7">
        <f>[1]!EM_S_VAL_PS_TTM(B348,E348)</f>
        <v>1.04366229481121</v>
      </c>
      <c r="P348" s="7">
        <f>[1]!EM_S_VAL_PCF_NCFTTM(B348,E348)</f>
        <v>-79.088482481628901</v>
      </c>
      <c r="Q348" s="7">
        <f>[1]!EM_S_VAL_DIVIDENDYIELD2(B348,E348,"2019-11-29")</f>
        <v>0.45662100456621002</v>
      </c>
      <c r="T348"/>
      <c r="U348">
        <f>[1]!EM_S_RATIO_EPS_TTM(B348,E348,"1")</f>
        <v>0.45189781376568278</v>
      </c>
      <c r="AT348" s="4" t="str">
        <f>[1]!EM_S_IPO_LISTEDDATE(B348)</f>
        <v>1995-03-15</v>
      </c>
    </row>
    <row r="349" spans="1:46">
      <c r="A349">
        <v>950</v>
      </c>
      <c r="B349" t="str">
        <f>"002439"</f>
        <v>002439</v>
      </c>
      <c r="C349" t="s">
        <v>2651</v>
      </c>
      <c r="D349" t="str">
        <f>[1]!EM_S_INFO_INDEX_EM(B349,"1")</f>
        <v>信息技术</v>
      </c>
      <c r="E349" s="4">
        <f t="shared" si="5"/>
        <v>43465</v>
      </c>
      <c r="F349" s="11">
        <f>[1]!EM_S_PQ_PCTCHANGE(B349,"2018-01-01","2019-12-31","3")</f>
        <v>45.305884980000002</v>
      </c>
      <c r="G349" s="11">
        <f>[1]!EM_S_PQ_PCTCHANGE(B349,"2018-12-31","2019-12-30","1")</f>
        <v>66.877431909999999</v>
      </c>
      <c r="H349" s="11">
        <f>[1]!EM_S_FA_YOY_OR(B349,E349)</f>
        <v>10.6771025574</v>
      </c>
      <c r="I349" s="11">
        <f>[1]!EM_S_FA_GROSSPROFITMARGIN(B349,E349)</f>
        <v>65.469093430800001</v>
      </c>
      <c r="J349" s="11">
        <f>[1]!EM_S_FA_NETPROFITMARGIN(B349,E349)</f>
        <v>22.211284826699998</v>
      </c>
      <c r="K349" s="10">
        <f>[1]!EM_S_FA_ASSETSTURN(B349,E349)</f>
        <v>0.54969841988500001</v>
      </c>
      <c r="L349" s="12">
        <f>[1]!EM_HKS_VAL_MV(B349,"2019-12-31","2")</f>
        <v>30308501945.799999</v>
      </c>
      <c r="M349">
        <f>[1]!EM_S_VAL_PETTMDEDUCTED(B349,E349)</f>
        <v>58.2943947725322</v>
      </c>
      <c r="N349" s="7">
        <f>[1]!EM_S_VAL_PBGOODWILLDEDUCTED(B349,E349)</f>
        <v>6.3904666330979198</v>
      </c>
      <c r="O349" s="7">
        <f>[1]!EM_S_VAL_PS_TTM(B349,E349)</f>
        <v>7.6657968752322301</v>
      </c>
      <c r="P349" s="7">
        <f>[1]!EM_S_VAL_PCF_NCFTTM(B349,E349)</f>
        <v>924.87012697922898</v>
      </c>
      <c r="Q349" s="7">
        <f>[1]!EM_S_VAL_DIVIDENDYIELD2(B349,E349,"2019-11-29")</f>
        <v>0.12987012987012989</v>
      </c>
      <c r="T349"/>
      <c r="U349">
        <f>[1]!EM_S_RATIO_EPS_TTM(B349,E349,"1")</f>
        <v>0.63450320338156196</v>
      </c>
      <c r="AT349" s="4" t="str">
        <f>[1]!EM_S_IPO_LISTEDDATE(B349)</f>
        <v>2010-06-23</v>
      </c>
    </row>
    <row r="350" spans="1:46">
      <c r="A350">
        <v>1651</v>
      </c>
      <c r="B350" t="str">
        <f>"300226"</f>
        <v>300226</v>
      </c>
      <c r="C350" t="s">
        <v>1093</v>
      </c>
      <c r="D350" t="str">
        <f>[1]!EM_S_INFO_INDEX_EM(B350,"1")</f>
        <v>互联网</v>
      </c>
      <c r="E350" s="4">
        <f t="shared" si="5"/>
        <v>43465</v>
      </c>
      <c r="F350" s="11">
        <f>[1]!EM_S_PQ_PCTCHANGE(B350,"2018-01-01","2019-12-31","3")</f>
        <v>107.61672165</v>
      </c>
      <c r="G350" s="11">
        <f>[1]!EM_S_PQ_PCTCHANGE(B350,"2018-12-31","2019-12-30","1")</f>
        <v>66.835053810000005</v>
      </c>
      <c r="H350" s="11">
        <f>[1]!EM_S_FA_YOY_OR(B350,E350)</f>
        <v>30.337768109599999</v>
      </c>
      <c r="I350" s="11">
        <f>[1]!EM_S_FA_GROSSPROFITMARGIN(B350,E350)</f>
        <v>0.730260295</v>
      </c>
      <c r="J350" s="11">
        <f>[1]!EM_S_FA_NETPROFITMARGIN(B350,E350)</f>
        <v>0.2103754763</v>
      </c>
      <c r="K350" s="10">
        <f>[1]!EM_S_FA_ASSETSTURN(B350,E350)</f>
        <v>9.6634125792279999</v>
      </c>
      <c r="L350" s="12">
        <f>[1]!EM_HKS_VAL_MV(B350,"2019-12-31","2")</f>
        <v>12378668530</v>
      </c>
      <c r="M350">
        <f>[1]!EM_S_VAL_PETTMDEDUCTED(B350,E350)</f>
        <v>64.383400300525395</v>
      </c>
      <c r="N350" s="7">
        <f>[1]!EM_S_VAL_PBGOODWILLDEDUCTED(B350,E350)</f>
        <v>7.9767022762506299</v>
      </c>
      <c r="O350" s="7">
        <f>[1]!EM_S_VAL_PS_TTM(B350,E350)</f>
        <v>7.6982579373990001E-2</v>
      </c>
      <c r="P350" s="7">
        <f>[1]!EM_S_VAL_PCF_NCFTTM(B350,E350)</f>
        <v>36.457532637311601</v>
      </c>
      <c r="Q350" s="7">
        <f>[1]!EM_S_VAL_DIVIDENDYIELD2(B350,E350,"2019-11-29")</f>
        <v>6.404879842234204E-2</v>
      </c>
      <c r="T350"/>
      <c r="U350">
        <f>[1]!EM_S_RATIO_EPS_TTM(B350,E350,"1")</f>
        <v>0.75989131080515115</v>
      </c>
      <c r="AT350" s="4" t="str">
        <f>[1]!EM_S_IPO_LISTEDDATE(B350)</f>
        <v>2011-06-08</v>
      </c>
    </row>
    <row r="351" spans="1:46">
      <c r="A351">
        <v>3371</v>
      </c>
      <c r="B351" t="str">
        <f>"603345"</f>
        <v>603345</v>
      </c>
      <c r="C351" t="s">
        <v>751</v>
      </c>
      <c r="D351" t="str">
        <f>[1]!EM_S_INFO_INDEX_EM(B351,"1")</f>
        <v>食品饮料</v>
      </c>
      <c r="E351" s="4">
        <f t="shared" si="5"/>
        <v>43465</v>
      </c>
      <c r="F351" s="11">
        <f>[1]!EM_S_PQ_PCTCHANGE(B351,"2018-01-01","2019-12-31","3")</f>
        <v>148.54172306999999</v>
      </c>
      <c r="G351" s="11">
        <f>[1]!EM_S_PQ_PCTCHANGE(B351,"2018-12-31","2019-12-30","1")</f>
        <v>66.711956520000001</v>
      </c>
      <c r="H351" s="11">
        <f>[1]!EM_S_FA_YOY_OR(B351,E351)</f>
        <v>22.246752475499999</v>
      </c>
      <c r="I351" s="11">
        <f>[1]!EM_S_FA_GROSSPROFITMARGIN(B351,E351)</f>
        <v>26.512072144499999</v>
      </c>
      <c r="J351" s="11">
        <f>[1]!EM_S_FA_NETPROFITMARGIN(B351,E351)</f>
        <v>6.3453991715000004</v>
      </c>
      <c r="K351" s="10">
        <f>[1]!EM_S_FA_ASSETSTURN(B351,E351)</f>
        <v>1.0900869455610001</v>
      </c>
      <c r="L351" s="12">
        <f>[1]!EM_HKS_VAL_MV(B351,"2019-12-31","2")</f>
        <v>13668259617.09</v>
      </c>
      <c r="M351">
        <f>[1]!EM_S_VAL_PETTMDEDUCTED(B351,E351)</f>
        <v>34.067028048694503</v>
      </c>
      <c r="N351" s="7">
        <f>[1]!EM_S_VAL_PBGOODWILLDEDUCTED(B351,E351)</f>
        <v>4.1805214445818102</v>
      </c>
      <c r="O351" s="7">
        <f>[1]!EM_S_VAL_PS_TTM(B351,E351)</f>
        <v>1.9944917105805799</v>
      </c>
      <c r="P351" s="7">
        <f>[1]!EM_S_VAL_PCF_NCFTTM(B351,E351)</f>
        <v>172.47740707335601</v>
      </c>
      <c r="Q351" s="7">
        <f>[1]!EM_S_VAL_DIVIDENDYIELD2(B351,E351,"2019-11-29")</f>
        <v>0.61135353791257674</v>
      </c>
      <c r="T351"/>
      <c r="U351">
        <f>[1]!EM_S_RATIO_EPS_TTM(B351,E351,"1")</f>
        <v>1.2509547851786706</v>
      </c>
      <c r="AT351" s="4" t="str">
        <f>[1]!EM_S_IPO_LISTEDDATE(B351)</f>
        <v>2017-02-22</v>
      </c>
    </row>
    <row r="352" spans="1:46">
      <c r="A352">
        <v>1433</v>
      </c>
      <c r="B352" t="str">
        <f>"300007"</f>
        <v>300007</v>
      </c>
      <c r="C352" t="s">
        <v>1625</v>
      </c>
      <c r="D352" t="str">
        <f>[1]!EM_S_INFO_INDEX_EM(B352,"1")</f>
        <v>机械设备</v>
      </c>
      <c r="E352" s="4">
        <f t="shared" si="5"/>
        <v>43465</v>
      </c>
      <c r="F352" s="11">
        <f>[1]!EM_S_PQ_PCTCHANGE(B352,"2018-01-01","2019-12-31","3")</f>
        <v>23.86551115</v>
      </c>
      <c r="G352" s="11">
        <f>[1]!EM_S_PQ_PCTCHANGE(B352,"2018-12-31","2019-12-30","1")</f>
        <v>66.666666669999998</v>
      </c>
      <c r="H352" s="11">
        <f>[1]!EM_S_FA_YOY_OR(B352,E352)</f>
        <v>4.7190476186000003</v>
      </c>
      <c r="I352" s="11">
        <f>[1]!EM_S_FA_GROSSPROFITMARGIN(B352,E352)</f>
        <v>35.225177721999998</v>
      </c>
      <c r="J352" s="11">
        <f>[1]!EM_S_FA_NETPROFITMARGIN(B352,E352)</f>
        <v>7.1445881354000003</v>
      </c>
      <c r="K352" s="10">
        <f>[1]!EM_S_FA_ASSETSTURN(B352,E352)</f>
        <v>0.32358297564499999</v>
      </c>
      <c r="L352" s="12">
        <f>[1]!EM_HKS_VAL_MV(B352,"2019-12-31","2")</f>
        <v>4793853106.1599998</v>
      </c>
      <c r="M352">
        <f>[1]!EM_S_VAL_PETTMDEDUCTED(B352,E352)</f>
        <v>55.533734893971001</v>
      </c>
      <c r="N352" s="7">
        <f>[1]!EM_S_VAL_PBGOODWILLDEDUCTED(B352,E352)</f>
        <v>2.5244086347121999</v>
      </c>
      <c r="O352" s="7">
        <f>[1]!EM_S_VAL_PS_TTM(B352,E352)</f>
        <v>1.8901055655852199</v>
      </c>
      <c r="P352" s="7">
        <f>[1]!EM_S_VAL_PCF_NCFTTM(B352,E352)</f>
        <v>55.369665278594297</v>
      </c>
      <c r="Q352" s="7">
        <f>[1]!EM_S_VAL_DIVIDENDYIELD2(B352,E352,"2019-11-29")</f>
        <v>0.1072961373390558</v>
      </c>
      <c r="T352"/>
      <c r="U352">
        <f>[1]!EM_S_RATIO_EPS_TTM(B352,E352,"1")</f>
        <v>0.21041826740953398</v>
      </c>
      <c r="AT352" s="4" t="str">
        <f>[1]!EM_S_IPO_LISTEDDATE(B352)</f>
        <v>2009-10-30</v>
      </c>
    </row>
    <row r="353" spans="1:46">
      <c r="A353">
        <v>2675</v>
      </c>
      <c r="B353" t="str">
        <f>"600602"</f>
        <v>600602</v>
      </c>
      <c r="C353" t="s">
        <v>1718</v>
      </c>
      <c r="D353" t="str">
        <f>[1]!EM_S_INFO_INDEX_EM(B353,"1")</f>
        <v>信息技术</v>
      </c>
      <c r="E353" s="4">
        <f t="shared" si="5"/>
        <v>43465</v>
      </c>
      <c r="F353" s="11">
        <f>[1]!EM_S_PQ_PCTCHANGE(B353,"2018-01-01","2019-12-31","3")</f>
        <v>22.629195450000001</v>
      </c>
      <c r="G353" s="11">
        <f>[1]!EM_S_PQ_PCTCHANGE(B353,"2018-12-31","2019-12-30","1")</f>
        <v>66.666666669999998</v>
      </c>
      <c r="H353" s="11">
        <f>[1]!EM_S_FA_YOY_OR(B353,E353)</f>
        <v>5.7576974581</v>
      </c>
      <c r="I353" s="11">
        <f>[1]!EM_S_FA_GROSSPROFITMARGIN(B353,E353)</f>
        <v>18.538665443799999</v>
      </c>
      <c r="J353" s="11">
        <f>[1]!EM_S_FA_NETPROFITMARGIN(B353,E353)</f>
        <v>6.6986285735999997</v>
      </c>
      <c r="K353" s="10">
        <f>[1]!EM_S_FA_ASSETSTURN(B353,E353)</f>
        <v>0.81300925477899999</v>
      </c>
      <c r="L353" s="12">
        <f>[1]!EM_HKS_VAL_MV(B353,"2019-12-31","2")</f>
        <v>11269629269.200001</v>
      </c>
      <c r="M353">
        <f>[1]!EM_S_VAL_PETTMDEDUCTED(B353,E353)</f>
        <v>45.0031130789163</v>
      </c>
      <c r="N353" s="7">
        <f>[1]!EM_S_VAL_PBGOODWILLDEDUCTED(B353,E353)</f>
        <v>1.82164662102771</v>
      </c>
      <c r="O353" s="7">
        <f>[1]!EM_S_VAL_PS_TTM(B353,E353)</f>
        <v>1.4627401941195799</v>
      </c>
      <c r="P353" s="7">
        <f>[1]!EM_S_VAL_PCF_NCFTTM(B353,E353)</f>
        <v>36.733367223983798</v>
      </c>
      <c r="Q353" s="7">
        <f>[1]!EM_S_VAL_DIVIDENDYIELD2(B353,E353,"2019-11-29")</f>
        <v>0.75282308657465491</v>
      </c>
      <c r="T353"/>
      <c r="U353">
        <f>[1]!EM_S_RATIO_EPS_TTM(B353,E353,"1")</f>
        <v>0.19905229269072858</v>
      </c>
      <c r="AT353" s="4" t="str">
        <f>[1]!EM_S_IPO_LISTEDDATE(B353)</f>
        <v>1990-12-19</v>
      </c>
    </row>
    <row r="354" spans="1:46">
      <c r="A354">
        <v>3604</v>
      </c>
      <c r="B354" t="str">
        <f>"603920"</f>
        <v>603920</v>
      </c>
      <c r="C354" t="s">
        <v>2180</v>
      </c>
      <c r="D354" t="str">
        <f>[1]!EM_S_INFO_INDEX_EM(B354,"1")</f>
        <v>电子设备</v>
      </c>
      <c r="E354" s="4">
        <f t="shared" si="5"/>
        <v>43465</v>
      </c>
      <c r="F354" s="11">
        <f>[1]!EM_S_PQ_PCTCHANGE(B354,"2018-01-01","2019-12-31","3")</f>
        <v>4.0802404000000001</v>
      </c>
      <c r="G354" s="11">
        <f>[1]!EM_S_PQ_PCTCHANGE(B354,"2018-12-31","2019-12-30","1")</f>
        <v>66.582703609999996</v>
      </c>
      <c r="H354" s="11">
        <f>[1]!EM_S_FA_YOY_OR(B354,E354)</f>
        <v>10.7340689178</v>
      </c>
      <c r="I354" s="11">
        <f>[1]!EM_S_FA_GROSSPROFITMARGIN(B354,E354)</f>
        <v>22.730177596299999</v>
      </c>
      <c r="J354" s="11">
        <f>[1]!EM_S_FA_NETPROFITMARGIN(B354,E354)</f>
        <v>10.417968693900001</v>
      </c>
      <c r="K354" s="10">
        <f>[1]!EM_S_FA_ASSETSTURN(B354,E354)</f>
        <v>0.71735861533800005</v>
      </c>
      <c r="L354" s="12">
        <f>[1]!EM_HKS_VAL_MV(B354,"2019-12-31","2")</f>
        <v>7820623208</v>
      </c>
      <c r="M354">
        <f>[1]!EM_S_VAL_PETTMDEDUCTED(B354,E354)</f>
        <v>27.2932359130807</v>
      </c>
      <c r="N354" s="7">
        <f>[1]!EM_S_VAL_PBGOODWILLDEDUCTED(B354,E354)</f>
        <v>2.03753016826722</v>
      </c>
      <c r="O354" s="7">
        <f>[1]!EM_S_VAL_PS_TTM(B354,E354)</f>
        <v>2.3218274411180602</v>
      </c>
      <c r="P354" s="7">
        <f>[1]!EM_S_VAL_PCF_NCFTTM(B354,E354)</f>
        <v>190.30422218350199</v>
      </c>
      <c r="Q354" s="7">
        <f>[1]!EM_S_VAL_DIVIDENDYIELD2(B354,E354,"2019-11-29")</f>
        <v>2.8826456876460611</v>
      </c>
      <c r="T354"/>
      <c r="U354">
        <f>[1]!EM_S_RATIO_EPS_TTM(B354,E354,"1")</f>
        <v>0.55164151880518542</v>
      </c>
      <c r="AT354" s="4" t="str">
        <f>[1]!EM_S_IPO_LISTEDDATE(B354)</f>
        <v>2017-04-26</v>
      </c>
    </row>
    <row r="355" spans="1:46">
      <c r="A355">
        <v>2852</v>
      </c>
      <c r="B355" t="str">
        <f>"600779"</f>
        <v>600779</v>
      </c>
      <c r="C355" t="s">
        <v>97</v>
      </c>
      <c r="D355" t="str">
        <f>[1]!EM_S_INFO_INDEX_EM(B355,"1")</f>
        <v>食品饮料</v>
      </c>
      <c r="E355" s="4">
        <f t="shared" si="5"/>
        <v>43465</v>
      </c>
      <c r="F355" s="11">
        <f>[1]!EM_S_PQ_PCTCHANGE(B355,"2018-01-01","2019-12-31","3")</f>
        <v>14.31564837</v>
      </c>
      <c r="G355" s="11">
        <f>[1]!EM_S_PQ_PCTCHANGE(B355,"2018-12-31","2019-12-30","1")</f>
        <v>66.498263339999994</v>
      </c>
      <c r="H355" s="11">
        <f>[1]!EM_S_FA_YOY_OR(B355,E355)</f>
        <v>37.623979746499998</v>
      </c>
      <c r="I355" s="11">
        <f>[1]!EM_S_FA_GROSSPROFITMARGIN(B355,E355)</f>
        <v>81.865886694500006</v>
      </c>
      <c r="J355" s="11">
        <f>[1]!EM_S_FA_NETPROFITMARGIN(B355,E355)</f>
        <v>20.5547015858</v>
      </c>
      <c r="K355" s="10">
        <f>[1]!EM_S_FA_ASSETSTURN(B355,E355)</f>
        <v>0.94174852793099995</v>
      </c>
      <c r="L355" s="12">
        <f>[1]!EM_HKS_VAL_MV(B355,"2019-12-31","2")</f>
        <v>25282239871.5</v>
      </c>
      <c r="M355">
        <f>[1]!EM_S_VAL_PETTMDEDUCTED(B355,E355)</f>
        <v>25.80065316792</v>
      </c>
      <c r="N355" s="7">
        <f>[1]!EM_S_VAL_PBGOODWILLDEDUCTED(B355,E355)</f>
        <v>8.3325990078812904</v>
      </c>
      <c r="O355" s="7">
        <f>[1]!EM_S_VAL_PS_TTM(B355,E355)</f>
        <v>5.6972793357185703</v>
      </c>
      <c r="P355" s="7">
        <f>[1]!EM_S_VAL_PCF_NCFTTM(B355,E355)</f>
        <v>-364.55913940719699</v>
      </c>
      <c r="Q355" s="7">
        <f>[1]!EM_S_VAL_DIVIDENDYIELD2(B355,E355,"2019-11-29")</f>
        <v>2.0259003015788539</v>
      </c>
      <c r="U355">
        <f>[1]!EM_S_RATIO_EPS_TTM(B355,E355,"1")</f>
        <v>1.1860710335433147</v>
      </c>
      <c r="AT355" s="4" t="str">
        <f>[1]!EM_S_IPO_LISTEDDATE(B355)</f>
        <v>1996-12-06</v>
      </c>
    </row>
    <row r="356" spans="1:46">
      <c r="A356">
        <v>3061</v>
      </c>
      <c r="B356" t="str">
        <f>"601137"</f>
        <v>601137</v>
      </c>
      <c r="C356" t="s">
        <v>1361</v>
      </c>
      <c r="D356" t="str">
        <f>[1]!EM_S_INFO_INDEX_EM(B356,"1")</f>
        <v>有色金属</v>
      </c>
      <c r="E356" s="4">
        <f t="shared" si="5"/>
        <v>43465</v>
      </c>
      <c r="F356" s="11">
        <f>[1]!EM_S_PQ_PCTCHANGE(B356,"2018-01-01","2019-12-31","3")</f>
        <v>0.13817238000000001</v>
      </c>
      <c r="G356" s="11">
        <f>[1]!EM_S_PQ_PCTCHANGE(B356,"2018-12-31","2019-12-30","1")</f>
        <v>66.422287389999994</v>
      </c>
      <c r="H356" s="11">
        <f>[1]!EM_S_FA_YOY_OR(B356,E356)</f>
        <v>5.9419981740000001</v>
      </c>
      <c r="I356" s="11">
        <f>[1]!EM_S_FA_GROSSPROFITMARGIN(B356,E356)</f>
        <v>15.1172930849</v>
      </c>
      <c r="J356" s="11">
        <f>[1]!EM_S_FA_NETPROFITMARGIN(B356,E356)</f>
        <v>5.5769897242999997</v>
      </c>
      <c r="K356" s="10">
        <f>[1]!EM_S_FA_ASSETSTURN(B356,E356)</f>
        <v>1.1978566927980001</v>
      </c>
      <c r="L356" s="12">
        <f>[1]!EM_HKS_VAL_MV(B356,"2019-12-31","2")</f>
        <v>7707700525.9799995</v>
      </c>
      <c r="M356">
        <f>[1]!EM_S_VAL_PETTMDEDUCTED(B356,E356)</f>
        <v>12.781885178284799</v>
      </c>
      <c r="N356" s="7">
        <f>[1]!EM_S_VAL_PBGOODWILLDEDUCTED(B356,E356)</f>
        <v>1.1326287749002399</v>
      </c>
      <c r="O356" s="7">
        <f>[1]!EM_S_VAL_PS_TTM(B356,E356)</f>
        <v>0.60076813347383795</v>
      </c>
      <c r="P356" s="7">
        <f>[1]!EM_S_VAL_PCF_NCFTTM(B356,E356)</f>
        <v>12.9165139192548</v>
      </c>
      <c r="Q356" s="7">
        <f>[1]!EM_S_VAL_DIVIDENDYIELD2(B356,E356,"2019-11-29")</f>
        <v>0.7580481061671317</v>
      </c>
      <c r="T356"/>
      <c r="U356">
        <f>[1]!EM_S_RATIO_EPS_TTM(B356,E356,"1")</f>
        <v>0.6322548985179528</v>
      </c>
      <c r="AT356" s="4" t="str">
        <f>[1]!EM_S_IPO_LISTEDDATE(B356)</f>
        <v>2011-01-27</v>
      </c>
    </row>
    <row r="357" spans="1:46">
      <c r="A357">
        <v>3386</v>
      </c>
      <c r="B357" t="str">
        <f>"603378"</f>
        <v>603378</v>
      </c>
      <c r="C357" t="s">
        <v>3437</v>
      </c>
      <c r="D357" t="str">
        <f>[1]!EM_S_INFO_INDEX_EM(B357,"1")</f>
        <v>基础化工</v>
      </c>
      <c r="E357" s="4">
        <f t="shared" si="5"/>
        <v>43465</v>
      </c>
      <c r="F357" s="11">
        <f>[1]!EM_S_PQ_PCTCHANGE(B357,"2018-01-01","2019-12-31","3")</f>
        <v>-0.46891528999999998</v>
      </c>
      <c r="G357" s="11">
        <f>[1]!EM_S_PQ_PCTCHANGE(B357,"2018-12-31","2019-12-30","1")</f>
        <v>66.416791599999996</v>
      </c>
      <c r="H357" s="11">
        <f>[1]!EM_S_FA_YOY_OR(B357,E357)</f>
        <v>22.644410729600001</v>
      </c>
      <c r="I357" s="11">
        <f>[1]!EM_S_FA_GROSSPROFITMARGIN(B357,E357)</f>
        <v>29.4901248161</v>
      </c>
      <c r="J357" s="11">
        <f>[1]!EM_S_FA_NETPROFITMARGIN(B357,E357)</f>
        <v>3.5332782469000001</v>
      </c>
      <c r="K357" s="10">
        <f>[1]!EM_S_FA_ASSETSTURN(B357,E357)</f>
        <v>0.72156880576500004</v>
      </c>
      <c r="L357" s="12">
        <f>[1]!EM_HKS_VAL_MV(B357,"2019-12-31","2")</f>
        <v>4347936000</v>
      </c>
      <c r="M357">
        <f>[1]!EM_S_VAL_PETTMDEDUCTED(B357,E357)</f>
        <v>35.096159003550902</v>
      </c>
      <c r="N357" s="7">
        <f>[1]!EM_S_VAL_PBGOODWILLDEDUCTED(B357,E357)</f>
        <v>1.9804205641574599</v>
      </c>
      <c r="O357" s="7">
        <f>[1]!EM_S_VAL_PS_TTM(B357,E357)</f>
        <v>1.6862306883025</v>
      </c>
      <c r="P357" s="7">
        <f>[1]!EM_S_VAL_PCF_NCFTTM(B357,E357)</f>
        <v>-17.912490144824201</v>
      </c>
      <c r="Q357" s="7">
        <f>[1]!EM_S_VAL_DIVIDENDYIELD2(B357,E357,"2019-11-29")</f>
        <v>0.48777777777777775</v>
      </c>
      <c r="T357"/>
      <c r="U357">
        <f>[1]!EM_S_RATIO_EPS_TTM(B357,E357,"1")</f>
        <v>0.30149967926078031</v>
      </c>
      <c r="AT357" s="4" t="str">
        <f>[1]!EM_S_IPO_LISTEDDATE(B357)</f>
        <v>2017-09-28</v>
      </c>
    </row>
    <row r="358" spans="1:46">
      <c r="A358">
        <v>1906</v>
      </c>
      <c r="B358" t="str">
        <f>"300481"</f>
        <v>300481</v>
      </c>
      <c r="C358" t="s">
        <v>694</v>
      </c>
      <c r="D358" t="str">
        <f>[1]!EM_S_INFO_INDEX_EM(B358,"1")</f>
        <v>基础化工</v>
      </c>
      <c r="E358" s="4">
        <f t="shared" si="5"/>
        <v>43465</v>
      </c>
      <c r="F358" s="11">
        <f>[1]!EM_S_PQ_PCTCHANGE(B358,"2018-01-01","2019-12-31","3")</f>
        <v>22.643031350000001</v>
      </c>
      <c r="G358" s="11">
        <f>[1]!EM_S_PQ_PCTCHANGE(B358,"2018-12-31","2019-12-30","1")</f>
        <v>66.387337059999993</v>
      </c>
      <c r="H358" s="11">
        <f>[1]!EM_S_FA_YOY_OR(B358,E358)</f>
        <v>17.548458064399998</v>
      </c>
      <c r="I358" s="11">
        <f>[1]!EM_S_FA_GROSSPROFITMARGIN(B358,E358)</f>
        <v>32.7709423254</v>
      </c>
      <c r="J358" s="11">
        <f>[1]!EM_S_FA_NETPROFITMARGIN(B358,E358)</f>
        <v>16.630901441999999</v>
      </c>
      <c r="K358" s="10">
        <f>[1]!EM_S_FA_ASSETSTURN(B358,E358)</f>
        <v>0.82241833045000001</v>
      </c>
      <c r="L358" s="12">
        <f>[1]!EM_HKS_VAL_MV(B358,"2019-12-31","2")</f>
        <v>4609157520</v>
      </c>
      <c r="M358">
        <f>[1]!EM_S_VAL_PETTMDEDUCTED(B358,E358)</f>
        <v>28.635961565686699</v>
      </c>
      <c r="N358" s="7">
        <f>[1]!EM_S_VAL_PBGOODWILLDEDUCTED(B358,E358)</f>
        <v>3.6084128360638901</v>
      </c>
      <c r="O358" s="7">
        <f>[1]!EM_S_VAL_PS_TTM(B358,E358)</f>
        <v>4.4105473085733697</v>
      </c>
      <c r="P358" s="7">
        <f>[1]!EM_S_VAL_PCF_NCFTTM(B358,E358)</f>
        <v>30.2362117452926</v>
      </c>
      <c r="Q358" s="7">
        <f>[1]!EM_S_VAL_DIVIDENDYIELD2(B358,E358,"2019-11-29")</f>
        <v>1.2763241863433312</v>
      </c>
      <c r="T358"/>
      <c r="U358">
        <f>[1]!EM_S_RATIO_EPS_TTM(B358,E358,"1")</f>
        <v>0.41086944340708925</v>
      </c>
      <c r="AT358" s="4" t="str">
        <f>[1]!EM_S_IPO_LISTEDDATE(B358)</f>
        <v>2015-06-30</v>
      </c>
    </row>
    <row r="359" spans="1:46">
      <c r="A359">
        <v>746</v>
      </c>
      <c r="B359" t="str">
        <f>"002235"</f>
        <v>002235</v>
      </c>
      <c r="C359" t="s">
        <v>2060</v>
      </c>
      <c r="D359" t="str">
        <f>[1]!EM_S_INFO_INDEX_EM(B359,"1")</f>
        <v>互联网</v>
      </c>
      <c r="E359" s="4">
        <f t="shared" si="5"/>
        <v>43465</v>
      </c>
      <c r="F359" s="11">
        <f>[1]!EM_S_PQ_PCTCHANGE(B359,"2018-01-01","2019-12-31","3")</f>
        <v>25.92768495</v>
      </c>
      <c r="G359" s="11">
        <f>[1]!EM_S_PQ_PCTCHANGE(B359,"2018-12-31","2019-12-30","1")</f>
        <v>66.213592230000003</v>
      </c>
      <c r="H359" s="11">
        <f>[1]!EM_S_FA_YOY_OR(B359,E359)</f>
        <v>8.5738545025999997</v>
      </c>
      <c r="I359" s="11">
        <f>[1]!EM_S_FA_GROSSPROFITMARGIN(B359,E359)</f>
        <v>25.8308602888</v>
      </c>
      <c r="J359" s="11">
        <f>[1]!EM_S_FA_NETPROFITMARGIN(B359,E359)</f>
        <v>10.573968985900001</v>
      </c>
      <c r="K359" s="10">
        <f>[1]!EM_S_FA_ASSETSTURN(B359,E359)</f>
        <v>0.28493917084600001</v>
      </c>
      <c r="L359" s="12">
        <f>[1]!EM_HKS_VAL_MV(B359,"2019-12-31","2")</f>
        <v>5008818285.2399998</v>
      </c>
      <c r="M359">
        <f>[1]!EM_S_VAL_PETTMDEDUCTED(B359,E359)</f>
        <v>-7.6617301030149498</v>
      </c>
      <c r="N359" s="7">
        <f>[1]!EM_S_VAL_PBGOODWILLDEDUCTED(B359,E359)</f>
        <v>2.2269267457540001</v>
      </c>
      <c r="O359" s="7">
        <f>[1]!EM_S_VAL_PS_TTM(B359,E359)</f>
        <v>4.6444092619042099</v>
      </c>
      <c r="P359" s="7">
        <f>[1]!EM_S_VAL_PCF_NCFTTM(B359,E359)</f>
        <v>-10.6421467205622</v>
      </c>
      <c r="Q359" s="7">
        <f>[1]!EM_S_VAL_DIVIDENDYIELD2(B359,E359,"2019-11-29")</f>
        <v>0</v>
      </c>
      <c r="T359"/>
      <c r="U359">
        <f>[1]!EM_S_RATIO_EPS_TTM(B359,E359,"1")</f>
        <v>0.12104081550688732</v>
      </c>
      <c r="AT359" s="4" t="str">
        <f>[1]!EM_S_IPO_LISTEDDATE(B359)</f>
        <v>2008-05-16</v>
      </c>
    </row>
    <row r="360" spans="1:46">
      <c r="A360">
        <v>1567</v>
      </c>
      <c r="B360" t="str">
        <f>"300142"</f>
        <v>300142</v>
      </c>
      <c r="C360" t="s">
        <v>2475</v>
      </c>
      <c r="D360" t="str">
        <f>[1]!EM_S_INFO_INDEX_EM(B360,"1")</f>
        <v>医药生物</v>
      </c>
      <c r="E360" s="4">
        <f t="shared" si="5"/>
        <v>43465</v>
      </c>
      <c r="F360" s="11">
        <f>[1]!EM_S_PQ_PCTCHANGE(B360,"2018-01-01","2019-12-31","3")</f>
        <v>77.953071989999998</v>
      </c>
      <c r="G360" s="11">
        <f>[1]!EM_S_PQ_PCTCHANGE(B360,"2018-12-31","2019-12-30","1")</f>
        <v>66.020942410000004</v>
      </c>
      <c r="H360" s="11">
        <f>[1]!EM_S_FA_YOY_OR(B360,E360)</f>
        <v>31.541365172599999</v>
      </c>
      <c r="I360" s="11">
        <f>[1]!EM_S_FA_GROSSPROFITMARGIN(B360,E360)</f>
        <v>80.394614548099995</v>
      </c>
      <c r="J360" s="11">
        <f>[1]!EM_S_FA_NETPROFITMARGIN(B360,E360)</f>
        <v>120.8915944578</v>
      </c>
      <c r="K360" s="10">
        <f>[1]!EM_S_FA_ASSETSTURN(B360,E360)</f>
        <v>0.13407233571300001</v>
      </c>
      <c r="L360" s="12">
        <f>[1]!EM_HKS_VAL_MV(B360,"2019-12-31","2")</f>
        <v>49874455760.959999</v>
      </c>
      <c r="M360">
        <f>[1]!EM_S_VAL_PETTMDEDUCTED(B360,E360)</f>
        <v>-280.346903675818</v>
      </c>
      <c r="N360" s="7">
        <f>[1]!EM_S_VAL_PBGOODWILLDEDUCTED(B360,E360)</f>
        <v>6.4675471983152004</v>
      </c>
      <c r="O360" s="7">
        <f>[1]!EM_S_VAL_PS_TTM(B360,E360)</f>
        <v>36.405783434928203</v>
      </c>
      <c r="P360" s="7">
        <f>[1]!EM_S_VAL_PCF_NCFTTM(B360,E360)</f>
        <v>21.146724695674401</v>
      </c>
      <c r="Q360" s="7">
        <f>[1]!EM_S_VAL_DIVIDENDYIELD2(B360,E360,"2019-11-29")</f>
        <v>9.9337748344370841E-2</v>
      </c>
      <c r="T360"/>
      <c r="U360">
        <f>[1]!EM_S_RATIO_EPS_TTM(B360,E360,"1")</f>
        <v>0.68048607957124574</v>
      </c>
      <c r="AT360" s="4" t="str">
        <f>[1]!EM_S_IPO_LISTEDDATE(B360)</f>
        <v>2010-11-12</v>
      </c>
    </row>
    <row r="361" spans="1:46">
      <c r="A361">
        <v>787</v>
      </c>
      <c r="B361" t="str">
        <f>"002276"</f>
        <v>002276</v>
      </c>
      <c r="C361" t="s">
        <v>3336</v>
      </c>
      <c r="D361" t="str">
        <f>[1]!EM_S_INFO_INDEX_EM(B361,"1")</f>
        <v>电气设备</v>
      </c>
      <c r="E361" s="4">
        <f t="shared" si="5"/>
        <v>43465</v>
      </c>
      <c r="F361" s="11">
        <f>[1]!EM_S_PQ_PCTCHANGE(B361,"2018-01-01","2019-12-31","3")</f>
        <v>-3.2476308700000001</v>
      </c>
      <c r="G361" s="11">
        <f>[1]!EM_S_PQ_PCTCHANGE(B361,"2018-12-31","2019-12-30","1")</f>
        <v>65.873015870000003</v>
      </c>
      <c r="H361" s="11">
        <f>[1]!EM_S_FA_YOY_OR(B361,E361)</f>
        <v>17.966640223599999</v>
      </c>
      <c r="I361" s="11">
        <f>[1]!EM_S_FA_GROSSPROFITMARGIN(B361,E361)</f>
        <v>14.8136183819</v>
      </c>
      <c r="J361" s="11">
        <f>[1]!EM_S_FA_NETPROFITMARGIN(B361,E361)</f>
        <v>1.3180826032999999</v>
      </c>
      <c r="K361" s="10">
        <f>[1]!EM_S_FA_ASSETSTURN(B361,E361)</f>
        <v>1.214962625888</v>
      </c>
      <c r="L361" s="12">
        <f>[1]!EM_HKS_VAL_MV(B361,"2019-12-31","2")</f>
        <v>8604914404.3799992</v>
      </c>
      <c r="M361">
        <f>[1]!EM_S_VAL_PETTMDEDUCTED(B361,E361)</f>
        <v>70.652315319865906</v>
      </c>
      <c r="N361" s="7">
        <f>[1]!EM_S_VAL_PBGOODWILLDEDUCTED(B361,E361)</f>
        <v>1.39509217849761</v>
      </c>
      <c r="O361" s="7">
        <f>[1]!EM_S_VAL_PS_TTM(B361,E361)</f>
        <v>0.60982487059483004</v>
      </c>
      <c r="P361" s="7">
        <f>[1]!EM_S_VAL_PCF_NCFTTM(B361,E361)</f>
        <v>24.850452093783002</v>
      </c>
      <c r="Q361" s="7">
        <f>[1]!EM_S_VAL_DIVIDENDYIELD2(B361,E361,"2019-11-29")</f>
        <v>0.29895366218236175</v>
      </c>
      <c r="T361"/>
      <c r="U361">
        <f>[1]!EM_S_RATIO_EPS_TTM(B361,E361,"1")</f>
        <v>0.10788593664170089</v>
      </c>
      <c r="AT361" s="4" t="str">
        <f>[1]!EM_S_IPO_LISTEDDATE(B361)</f>
        <v>2009-07-10</v>
      </c>
    </row>
    <row r="362" spans="1:46">
      <c r="A362">
        <v>1736</v>
      </c>
      <c r="B362" t="str">
        <f>"300311"</f>
        <v>300311</v>
      </c>
      <c r="C362" t="s">
        <v>2284</v>
      </c>
      <c r="D362" t="str">
        <f>[1]!EM_S_INFO_INDEX_EM(B362,"1")</f>
        <v>互联网</v>
      </c>
      <c r="E362" s="4">
        <f t="shared" si="5"/>
        <v>43465</v>
      </c>
      <c r="F362" s="11">
        <f>[1]!EM_S_PQ_PCTCHANGE(B362,"2018-01-01","2019-12-31","3")</f>
        <v>3.8452122399999999</v>
      </c>
      <c r="G362" s="11">
        <f>[1]!EM_S_PQ_PCTCHANGE(B362,"2018-12-31","2019-12-30","1")</f>
        <v>65.748709120000001</v>
      </c>
      <c r="H362" s="11">
        <f>[1]!EM_S_FA_YOY_OR(B362,E362)</f>
        <v>11.682170474599999</v>
      </c>
      <c r="I362" s="11">
        <f>[1]!EM_S_FA_GROSSPROFITMARGIN(B362,E362)</f>
        <v>51.154558256199998</v>
      </c>
      <c r="J362" s="11">
        <f>[1]!EM_S_FA_NETPROFITMARGIN(B362,E362)</f>
        <v>11.483545944899999</v>
      </c>
      <c r="K362" s="10">
        <f>[1]!EM_S_FA_ASSETSTURN(B362,E362)</f>
        <v>0.51465125209399998</v>
      </c>
      <c r="L362" s="12">
        <f>[1]!EM_HKS_VAL_MV(B362,"2019-12-31","2")</f>
        <v>6589091675.4899998</v>
      </c>
      <c r="M362">
        <f>[1]!EM_S_VAL_PETTMDEDUCTED(B362,E362)</f>
        <v>-91.092898599387894</v>
      </c>
      <c r="N362" s="7">
        <f>[1]!EM_S_VAL_PBGOODWILLDEDUCTED(B362,E362)</f>
        <v>5.6937574044635797</v>
      </c>
      <c r="O362" s="7">
        <f>[1]!EM_S_VAL_PS_TTM(B362,E362)</f>
        <v>3.1091744363979701</v>
      </c>
      <c r="P362" s="7">
        <f>[1]!EM_S_VAL_PCF_NCFTTM(B362,E362)</f>
        <v>-32.242313594583898</v>
      </c>
      <c r="Q362" s="7">
        <f>[1]!EM_S_VAL_DIVIDENDYIELD2(B362,E362,"2019-11-29")</f>
        <v>0.34485057471264374</v>
      </c>
      <c r="T362"/>
      <c r="U362">
        <f>[1]!EM_S_RATIO_EPS_TTM(B362,E362,"1")</f>
        <v>0.20464418413869892</v>
      </c>
      <c r="AT362" s="4" t="str">
        <f>[1]!EM_S_IPO_LISTEDDATE(B362)</f>
        <v>2012-04-25</v>
      </c>
    </row>
    <row r="363" spans="1:46">
      <c r="A363">
        <v>1305</v>
      </c>
      <c r="B363" t="str">
        <f>"002800"</f>
        <v>002800</v>
      </c>
      <c r="C363" t="s">
        <v>3509</v>
      </c>
      <c r="D363" t="str">
        <f>[1]!EM_S_INFO_INDEX_EM(B363,"1")</f>
        <v>交通运输</v>
      </c>
      <c r="E363" s="4">
        <f t="shared" si="5"/>
        <v>43465</v>
      </c>
      <c r="F363" s="11">
        <f>[1]!EM_S_PQ_PCTCHANGE(B363,"2018-01-01","2019-12-31","3")</f>
        <v>-11.09404479</v>
      </c>
      <c r="G363" s="11">
        <f>[1]!EM_S_PQ_PCTCHANGE(B363,"2018-12-31","2019-12-30","1")</f>
        <v>65.660832830000004</v>
      </c>
      <c r="H363" s="11">
        <f>[1]!EM_S_FA_YOY_OR(B363,E363)</f>
        <v>-6.7430773533000004</v>
      </c>
      <c r="I363" s="11">
        <f>[1]!EM_S_FA_GROSSPROFITMARGIN(B363,E363)</f>
        <v>9.2738720895999993</v>
      </c>
      <c r="J363" s="11">
        <f>[1]!EM_S_FA_NETPROFITMARGIN(B363,E363)</f>
        <v>-9.0654147899999996E-2</v>
      </c>
      <c r="K363" s="10">
        <f>[1]!EM_S_FA_ASSETSTURN(B363,E363)</f>
        <v>1.062586207362</v>
      </c>
      <c r="L363" s="12">
        <f>[1]!EM_HKS_VAL_MV(B363,"2019-12-31","2")</f>
        <v>2061168000</v>
      </c>
      <c r="M363">
        <f>[1]!EM_S_VAL_PETTMDEDUCTED(B363,E363)</f>
        <v>-224.355639273739</v>
      </c>
      <c r="N363" s="7">
        <f>[1]!EM_S_VAL_PBGOODWILLDEDUCTED(B363,E363)</f>
        <v>2.8013149053165698</v>
      </c>
      <c r="O363" s="7">
        <f>[1]!EM_S_VAL_PS_TTM(B363,E363)</f>
        <v>1.66982118177905</v>
      </c>
      <c r="P363" s="7">
        <f>[1]!EM_S_VAL_PCF_NCFTTM(B363,E363)</f>
        <v>-48.3479959225117</v>
      </c>
      <c r="Q363" s="7">
        <f>[1]!EM_S_VAL_DIVIDENDYIELD2(B363,E363,"2019-11-29")</f>
        <v>6.0767185719711361E-2</v>
      </c>
      <c r="T363"/>
      <c r="U363">
        <f>[1]!EM_S_RATIO_EPS_TTM(B363,E363,"1")</f>
        <v>7.779147254954473E-2</v>
      </c>
      <c r="AT363" s="4" t="str">
        <f>[1]!EM_S_IPO_LISTEDDATE(B363)</f>
        <v>2016-05-30</v>
      </c>
    </row>
    <row r="364" spans="1:46">
      <c r="A364">
        <v>1863</v>
      </c>
      <c r="B364" t="str">
        <f>"300438"</f>
        <v>300438</v>
      </c>
      <c r="C364" t="s">
        <v>589</v>
      </c>
      <c r="D364" t="str">
        <f>[1]!EM_S_INFO_INDEX_EM(B364,"1")</f>
        <v>有色金属</v>
      </c>
      <c r="E364" s="4">
        <f t="shared" si="5"/>
        <v>43465</v>
      </c>
      <c r="F364" s="11">
        <f>[1]!EM_S_PQ_PCTCHANGE(B364,"2018-01-01","2019-12-31","3")</f>
        <v>-9.0007656600000008</v>
      </c>
      <c r="G364" s="11">
        <f>[1]!EM_S_PQ_PCTCHANGE(B364,"2018-12-31","2019-12-30","1")</f>
        <v>65.222772280000001</v>
      </c>
      <c r="H364" s="11">
        <f>[1]!EM_S_FA_YOY_OR(B364,E364)</f>
        <v>22.4071760641</v>
      </c>
      <c r="I364" s="11">
        <f>[1]!EM_S_FA_GROSSPROFITMARGIN(B364,E364)</f>
        <v>23.239325909800002</v>
      </c>
      <c r="J364" s="11">
        <f>[1]!EM_S_FA_NETPROFITMARGIN(B364,E364)</f>
        <v>10.624200694600001</v>
      </c>
      <c r="K364" s="10">
        <f>[1]!EM_S_FA_ASSETSTURN(B364,E364)</f>
        <v>0.58929666093800004</v>
      </c>
      <c r="L364" s="12">
        <f>[1]!EM_HKS_VAL_MV(B364,"2019-12-31","2")</f>
        <v>7534870196.3999996</v>
      </c>
      <c r="M364">
        <f>[1]!EM_S_VAL_PETTMDEDUCTED(B364,E364)</f>
        <v>17.4284573910275</v>
      </c>
      <c r="N364" s="7">
        <f>[1]!EM_S_VAL_PBGOODWILLDEDUCTED(B364,E364)</f>
        <v>2.0966523614253201</v>
      </c>
      <c r="O364" s="7">
        <f>[1]!EM_S_VAL_PS_TTM(B364,E364)</f>
        <v>1.85531682887574</v>
      </c>
      <c r="P364" s="7">
        <f>[1]!EM_S_VAL_PCF_NCFTTM(B364,E364)</f>
        <v>448.96265881661998</v>
      </c>
      <c r="Q364" s="7">
        <f>[1]!EM_S_VAL_DIVIDENDYIELD2(B364,E364,"2019-11-29")</f>
        <v>0.26652566371681413</v>
      </c>
      <c r="T364"/>
      <c r="U364">
        <f>[1]!EM_S_RATIO_EPS_TTM(B364,E364,"1")</f>
        <v>0.94184189749288993</v>
      </c>
      <c r="AT364" s="4" t="str">
        <f>[1]!EM_S_IPO_LISTEDDATE(B364)</f>
        <v>2015-04-24</v>
      </c>
    </row>
    <row r="365" spans="1:46">
      <c r="A365">
        <v>1951</v>
      </c>
      <c r="B365" t="str">
        <f>"300527"</f>
        <v>300527</v>
      </c>
      <c r="C365" t="s">
        <v>2784</v>
      </c>
      <c r="D365" t="str">
        <f>[1]!EM_S_INFO_INDEX_EM(B365,"1")</f>
        <v>机械设备</v>
      </c>
      <c r="E365" s="4">
        <f t="shared" si="5"/>
        <v>43465</v>
      </c>
      <c r="F365" s="11">
        <f>[1]!EM_S_PQ_PCTCHANGE(B365,"2018-01-01","2019-12-31","3")</f>
        <v>-14.24920515</v>
      </c>
      <c r="G365" s="11">
        <f>[1]!EM_S_PQ_PCTCHANGE(B365,"2018-12-31","2019-12-30","1")</f>
        <v>65.151515149999994</v>
      </c>
      <c r="H365" s="11">
        <f>[1]!EM_S_FA_YOY_OR(B365,E365)</f>
        <v>5.8273216217000003</v>
      </c>
      <c r="I365" s="11">
        <f>[1]!EM_S_FA_GROSSPROFITMARGIN(B365,E365)</f>
        <v>21.721939948199999</v>
      </c>
      <c r="J365" s="11">
        <f>[1]!EM_S_FA_NETPROFITMARGIN(B365,E365)</f>
        <v>9.0339240569000001</v>
      </c>
      <c r="K365" s="10">
        <f>[1]!EM_S_FA_ASSETSTURN(B365,E365)</f>
        <v>0.72353691036800005</v>
      </c>
      <c r="L365" s="12">
        <f>[1]!EM_HKS_VAL_MV(B365,"2019-12-31","2")</f>
        <v>9997060778.1000004</v>
      </c>
      <c r="M365">
        <f>[1]!EM_S_VAL_PETTMDEDUCTED(B365,E365)</f>
        <v>31.390030512291201</v>
      </c>
      <c r="N365" s="7">
        <f>[1]!EM_S_VAL_PBGOODWILLDEDUCTED(B365,E365)</f>
        <v>2.8180702756351401</v>
      </c>
      <c r="O365" s="7">
        <f>[1]!EM_S_VAL_PS_TTM(B365,E365)</f>
        <v>2.6887593094936202</v>
      </c>
      <c r="P365" s="7">
        <f>[1]!EM_S_VAL_PCF_NCFTTM(B365,E365)</f>
        <v>-17.582599548186099</v>
      </c>
      <c r="Q365" s="7">
        <f>[1]!EM_S_VAL_DIVIDENDYIELD2(B365,E365,"2019-11-29")</f>
        <v>0.22566470861353241</v>
      </c>
      <c r="T365"/>
      <c r="U365">
        <f>[1]!EM_S_RATIO_EPS_TTM(B365,E365,"1")</f>
        <v>0.25563161154392838</v>
      </c>
      <c r="AT365" s="4" t="str">
        <f>[1]!EM_S_IPO_LISTEDDATE(B365)</f>
        <v>2016-08-05</v>
      </c>
    </row>
    <row r="366" spans="1:46">
      <c r="A366">
        <v>3417</v>
      </c>
      <c r="B366" t="str">
        <f>"603516"</f>
        <v>603516</v>
      </c>
      <c r="C366" t="s">
        <v>492</v>
      </c>
      <c r="D366" t="str">
        <f>[1]!EM_S_INFO_INDEX_EM(B366,"1")</f>
        <v>信息技术</v>
      </c>
      <c r="E366" s="4">
        <f t="shared" si="5"/>
        <v>43465</v>
      </c>
      <c r="F366" s="11">
        <f>[1]!EM_S_PQ_PCTCHANGE(B366,"2018-01-01","2019-12-31","3")</f>
        <v>176.20124077</v>
      </c>
      <c r="G366" s="11">
        <f>[1]!EM_S_PQ_PCTCHANGE(B366,"2018-12-31","2019-12-30","1")</f>
        <v>65.136422690000003</v>
      </c>
      <c r="H366" s="11">
        <f>[1]!EM_S_FA_YOY_OR(B366,E366)</f>
        <v>10.078918231099999</v>
      </c>
      <c r="I366" s="11">
        <f>[1]!EM_S_FA_GROSSPROFITMARGIN(B366,E366)</f>
        <v>72.412133179999998</v>
      </c>
      <c r="J366" s="11">
        <f>[1]!EM_S_FA_NETPROFITMARGIN(B366,E366)</f>
        <v>30.7812589784</v>
      </c>
      <c r="K366" s="10">
        <f>[1]!EM_S_FA_ASSETSTURN(B366,E366)</f>
        <v>0.48340003103000001</v>
      </c>
      <c r="L366" s="12">
        <f>[1]!EM_HKS_VAL_MV(B366,"2019-12-31","2")</f>
        <v>4975374786.1999998</v>
      </c>
      <c r="M366">
        <f>[1]!EM_S_VAL_PETTMDEDUCTED(B366,E366)</f>
        <v>38.511848848899398</v>
      </c>
      <c r="N366" s="7">
        <f>[1]!EM_S_VAL_PBGOODWILLDEDUCTED(B366,E366)</f>
        <v>3.9984584241648</v>
      </c>
      <c r="O366" s="7">
        <f>[1]!EM_S_VAL_PS_TTM(B366,E366)</f>
        <v>11.5256808328754</v>
      </c>
      <c r="P366" s="7">
        <f>[1]!EM_S_VAL_PCF_NCFTTM(B366,E366)</f>
        <v>75.326119841107101</v>
      </c>
      <c r="Q366" s="7">
        <f>[1]!EM_S_VAL_DIVIDENDYIELD2(B366,E366,"2019-11-29")</f>
        <v>0.83287062742920592</v>
      </c>
      <c r="T366"/>
      <c r="U366">
        <f>[1]!EM_S_RATIO_EPS_TTM(B366,E366,"1")</f>
        <v>0.64867261050210379</v>
      </c>
      <c r="AT366" s="4" t="str">
        <f>[1]!EM_S_IPO_LISTEDDATE(B366)</f>
        <v>2018-02-02</v>
      </c>
    </row>
    <row r="367" spans="1:46">
      <c r="A367">
        <v>1559</v>
      </c>
      <c r="B367" t="str">
        <f>"300134"</f>
        <v>300134</v>
      </c>
      <c r="C367" t="s">
        <v>2612</v>
      </c>
      <c r="D367" t="str">
        <f>[1]!EM_S_INFO_INDEX_EM(B367,"1")</f>
        <v>信息技术</v>
      </c>
      <c r="E367" s="4">
        <f t="shared" si="5"/>
        <v>43465</v>
      </c>
      <c r="F367" s="11">
        <f>[1]!EM_S_PQ_PCTCHANGE(B367,"2018-01-01","2019-12-31","3")</f>
        <v>-6.2613981799999996</v>
      </c>
      <c r="G367" s="11">
        <f>[1]!EM_S_PQ_PCTCHANGE(B367,"2018-12-31","2019-12-30","1")</f>
        <v>65.106382980000006</v>
      </c>
      <c r="H367" s="11">
        <f>[1]!EM_S_FA_YOY_OR(B367,E367)</f>
        <v>2.3715382535999998</v>
      </c>
      <c r="I367" s="11">
        <f>[1]!EM_S_FA_GROSSPROFITMARGIN(B367,E367)</f>
        <v>13.921838567</v>
      </c>
      <c r="J367" s="11">
        <f>[1]!EM_S_FA_NETPROFITMARGIN(B367,E367)</f>
        <v>-0.12588505429999999</v>
      </c>
      <c r="K367" s="10">
        <f>[1]!EM_S_FA_ASSETSTURN(B367,E367)</f>
        <v>0.26523324071299997</v>
      </c>
      <c r="L367" s="12">
        <f>[1]!EM_HKS_VAL_MV(B367,"2019-12-31","2")</f>
        <v>11834819252.52</v>
      </c>
      <c r="M367">
        <f>[1]!EM_S_VAL_PETTMDEDUCTED(B367,E367)</f>
        <v>-23.911305641406202</v>
      </c>
      <c r="N367" s="7">
        <f>[1]!EM_S_VAL_PBGOODWILLDEDUCTED(B367,E367)</f>
        <v>1.3565874525436401</v>
      </c>
      <c r="O367" s="7">
        <f>[1]!EM_S_VAL_PS_TTM(B367,E367)</f>
        <v>3.99611099625458</v>
      </c>
      <c r="P367" s="7">
        <f>[1]!EM_S_VAL_PCF_NCFTTM(B367,E367)</f>
        <v>15.0821184149966</v>
      </c>
      <c r="Q367" s="7">
        <f>[1]!EM_S_VAL_DIVIDENDYIELD2(B367,E367,"2019-11-29")</f>
        <v>0</v>
      </c>
      <c r="T367"/>
      <c r="U367">
        <f>[1]!EM_S_RATIO_EPS_TTM(B367,E367,"1")</f>
        <v>3.2191122852246214E-2</v>
      </c>
      <c r="AT367" s="4" t="str">
        <f>[1]!EM_S_IPO_LISTEDDATE(B367)</f>
        <v>2010-10-26</v>
      </c>
    </row>
    <row r="368" spans="1:46">
      <c r="A368">
        <v>1348</v>
      </c>
      <c r="B368" t="str">
        <f>"002847"</f>
        <v>002847</v>
      </c>
      <c r="C368" t="s">
        <v>381</v>
      </c>
      <c r="D368" t="str">
        <f>[1]!EM_S_INFO_INDEX_EM(B368,"1")</f>
        <v>食品饮料</v>
      </c>
      <c r="E368" s="4">
        <f t="shared" si="5"/>
        <v>43465</v>
      </c>
      <c r="F368" s="11">
        <f>[1]!EM_S_PQ_PCTCHANGE(B368,"2018-01-01","2019-12-31","3")</f>
        <v>39.07261871</v>
      </c>
      <c r="G368" s="11">
        <f>[1]!EM_S_PQ_PCTCHANGE(B368,"2018-12-31","2019-12-30","1")</f>
        <v>64.930232559999993</v>
      </c>
      <c r="H368" s="11">
        <f>[1]!EM_S_FA_YOY_OR(B368,E368)</f>
        <v>46.807544380400003</v>
      </c>
      <c r="I368" s="11">
        <f>[1]!EM_S_FA_GROSSPROFITMARGIN(B368,E368)</f>
        <v>39.130326432799997</v>
      </c>
      <c r="J368" s="11">
        <f>[1]!EM_S_FA_NETPROFITMARGIN(B368,E368)</f>
        <v>6.4304177770999997</v>
      </c>
      <c r="K368" s="10">
        <f>[1]!EM_S_FA_ASSETSTURN(B368,E368)</f>
        <v>1.0425823314260001</v>
      </c>
      <c r="L368" s="12">
        <f>[1]!EM_HKS_VAL_MV(B368,"2019-12-31","2")</f>
        <v>4635240000</v>
      </c>
      <c r="M368">
        <f>[1]!EM_S_VAL_PETTMDEDUCTED(B368,E368)</f>
        <v>122.71698021612301</v>
      </c>
      <c r="N368" s="7">
        <f>[1]!EM_S_VAL_PBGOODWILLDEDUCTED(B368,E368)</f>
        <v>4.1602016519861804</v>
      </c>
      <c r="O368" s="7">
        <f>[1]!EM_S_VAL_PS_TTM(B368,E368)</f>
        <v>2.7691566930284202</v>
      </c>
      <c r="P368" s="7">
        <f>[1]!EM_S_VAL_PCF_NCFTTM(B368,E368)</f>
        <v>-22.918621252287998</v>
      </c>
      <c r="Q368" s="7">
        <f>[1]!EM_S_VAL_DIVIDENDYIELD2(B368,E368,"2019-11-29")</f>
        <v>0.51546948877897758</v>
      </c>
      <c r="T368"/>
      <c r="U368">
        <f>[1]!EM_S_RATIO_EPS_TTM(B368,E368,"1")</f>
        <v>0.56865589967741936</v>
      </c>
      <c r="AT368" s="4" t="str">
        <f>[1]!EM_S_IPO_LISTEDDATE(B368)</f>
        <v>2017-02-08</v>
      </c>
    </row>
    <row r="369" spans="1:46">
      <c r="A369">
        <v>1887</v>
      </c>
      <c r="B369" t="str">
        <f>"300462"</f>
        <v>300462</v>
      </c>
      <c r="C369" t="s">
        <v>356</v>
      </c>
      <c r="D369" t="str">
        <f>[1]!EM_S_INFO_INDEX_EM(B369,"1")</f>
        <v>信息技术</v>
      </c>
      <c r="E369" s="4">
        <f t="shared" si="5"/>
        <v>43465</v>
      </c>
      <c r="F369" s="11">
        <f>[1]!EM_S_PQ_PCTCHANGE(B369,"2018-01-01","2019-12-31","3")</f>
        <v>8.3074721700000005</v>
      </c>
      <c r="G369" s="11">
        <f>[1]!EM_S_PQ_PCTCHANGE(B369,"2018-12-31","2019-12-30","1")</f>
        <v>64.901960779999996</v>
      </c>
      <c r="H369" s="11">
        <f>[1]!EM_S_FA_YOY_OR(B369,E369)</f>
        <v>9.5763232758000001</v>
      </c>
      <c r="I369" s="11">
        <f>[1]!EM_S_FA_GROSSPROFITMARGIN(B369,E369)</f>
        <v>36.668696085500002</v>
      </c>
      <c r="J369" s="11">
        <f>[1]!EM_S_FA_NETPROFITMARGIN(B369,E369)</f>
        <v>19.7709748487</v>
      </c>
      <c r="K369" s="10">
        <f>[1]!EM_S_FA_ASSETSTURN(B369,E369)</f>
        <v>0.30808143008799999</v>
      </c>
      <c r="L369" s="12">
        <f>[1]!EM_HKS_VAL_MV(B369,"2019-12-31","2")</f>
        <v>4859120295.25</v>
      </c>
      <c r="M369">
        <f>[1]!EM_S_VAL_PETTMDEDUCTED(B369,E369)</f>
        <v>59.5389790724034</v>
      </c>
      <c r="N369" s="7">
        <f>[1]!EM_S_VAL_PBGOODWILLDEDUCTED(B369,E369)</f>
        <v>3.3616164021923698</v>
      </c>
      <c r="O369" s="7">
        <f>[1]!EM_S_VAL_PS_TTM(B369,E369)</f>
        <v>7.9208797706604201</v>
      </c>
      <c r="P369" s="7">
        <f>[1]!EM_S_VAL_PCF_NCFTTM(B369,E369)</f>
        <v>-184.29739643867799</v>
      </c>
      <c r="Q369" s="7">
        <f>[1]!EM_S_VAL_DIVIDENDYIELD2(B369,E369,"2019-11-29")</f>
        <v>0.19866093012961683</v>
      </c>
      <c r="T369"/>
      <c r="U369">
        <f>[1]!EM_S_RATIO_EPS_TTM(B369,E369,"1")</f>
        <v>0.38187838211382114</v>
      </c>
      <c r="AT369" s="4" t="str">
        <f>[1]!EM_S_IPO_LISTEDDATE(B369)</f>
        <v>2015-05-27</v>
      </c>
    </row>
    <row r="370" spans="1:46">
      <c r="A370">
        <v>3342</v>
      </c>
      <c r="B370" t="str">
        <f>"603300"</f>
        <v>603300</v>
      </c>
      <c r="C370" t="s">
        <v>1864</v>
      </c>
      <c r="D370" t="str">
        <f>[1]!EM_S_INFO_INDEX_EM(B370,"1")</f>
        <v>机械设备</v>
      </c>
      <c r="E370" s="4">
        <f t="shared" si="5"/>
        <v>43465</v>
      </c>
      <c r="F370" s="11">
        <f>[1]!EM_S_PQ_PCTCHANGE(B370,"2018-01-01","2019-12-31","3")</f>
        <v>33.918721400000003</v>
      </c>
      <c r="G370" s="11">
        <f>[1]!EM_S_PQ_PCTCHANGE(B370,"2018-12-31","2019-12-30","1")</f>
        <v>64.791666669999998</v>
      </c>
      <c r="H370" s="11">
        <f>[1]!EM_S_FA_YOY_OR(B370,E370)</f>
        <v>27.993012807500001</v>
      </c>
      <c r="I370" s="11">
        <f>[1]!EM_S_FA_GROSSPROFITMARGIN(B370,E370)</f>
        <v>70.127964693199999</v>
      </c>
      <c r="J370" s="11">
        <f>[1]!EM_S_FA_NETPROFITMARGIN(B370,E370)</f>
        <v>14.930123850999999</v>
      </c>
      <c r="K370" s="10">
        <f>[1]!EM_S_FA_ASSETSTURN(B370,E370)</f>
        <v>0.15129492690400001</v>
      </c>
      <c r="L370" s="12">
        <f>[1]!EM_HKS_VAL_MV(B370,"2019-12-31","2")</f>
        <v>5291046082.3199997</v>
      </c>
      <c r="M370">
        <f>[1]!EM_S_VAL_PETTMDEDUCTED(B370,E370)</f>
        <v>39.567294266789403</v>
      </c>
      <c r="N370" s="7">
        <f>[1]!EM_S_VAL_PBGOODWILLDEDUCTED(B370,E370)</f>
        <v>1.5764401513811599</v>
      </c>
      <c r="O370" s="7">
        <f>[1]!EM_S_VAL_PS_TTM(B370,E370)</f>
        <v>2.7376115022791101</v>
      </c>
      <c r="P370" s="7">
        <f>[1]!EM_S_VAL_PCF_NCFTTM(B370,E370)</f>
        <v>-6.8203876106967298</v>
      </c>
      <c r="Q370" s="7">
        <f>[1]!EM_S_VAL_DIVIDENDYIELD2(B370,E370,"2019-11-29")</f>
        <v>0</v>
      </c>
      <c r="T370"/>
      <c r="U370">
        <f>[1]!EM_S_RATIO_EPS_TTM(B370,E370,"1")</f>
        <v>-5.9320787759152886E-2</v>
      </c>
      <c r="AT370" s="4" t="str">
        <f>[1]!EM_S_IPO_LISTEDDATE(B370)</f>
        <v>2015-05-29</v>
      </c>
    </row>
    <row r="371" spans="1:46">
      <c r="A371">
        <v>401</v>
      </c>
      <c r="B371" t="str">
        <f>"000860"</f>
        <v>000860</v>
      </c>
      <c r="C371" t="s">
        <v>287</v>
      </c>
      <c r="D371" t="str">
        <f>[1]!EM_S_INFO_INDEX_EM(B371,"1")</f>
        <v>食品饮料</v>
      </c>
      <c r="E371" s="4">
        <f t="shared" si="5"/>
        <v>43465</v>
      </c>
      <c r="F371" s="11">
        <f>[1]!EM_S_PQ_PCTCHANGE(B371,"2018-01-01","2019-12-31","3")</f>
        <v>259.28314669999997</v>
      </c>
      <c r="G371" s="11">
        <f>[1]!EM_S_PQ_PCTCHANGE(B371,"2018-12-31","2019-12-30","1")</f>
        <v>64.722483539999999</v>
      </c>
      <c r="H371" s="11">
        <f>[1]!EM_S_FA_YOY_OR(B371,E371)</f>
        <v>2.9021180174999999</v>
      </c>
      <c r="I371" s="11">
        <f>[1]!EM_S_FA_GROSSPROFITMARGIN(B371,E371)</f>
        <v>39.958820276099999</v>
      </c>
      <c r="J371" s="11">
        <f>[1]!EM_S_FA_NETPROFITMARGIN(B371,E371)</f>
        <v>6.0300487854</v>
      </c>
      <c r="K371" s="10">
        <f>[1]!EM_S_FA_ASSETSTURN(B371,E371)</f>
        <v>0.63112744480100003</v>
      </c>
      <c r="L371" s="12">
        <f>[1]!EM_HKS_VAL_MV(B371,"2019-12-31","2")</f>
        <v>39076284980.519997</v>
      </c>
      <c r="M371">
        <f>[1]!EM_S_VAL_PETTMDEDUCTED(B371,E371)</f>
        <v>28.969968971034302</v>
      </c>
      <c r="N371" s="7">
        <f>[1]!EM_S_VAL_PBGOODWILLDEDUCTED(B371,E371)</f>
        <v>2.7158147559893102</v>
      </c>
      <c r="O371" s="7">
        <f>[1]!EM_S_VAL_PS_TTM(B371,E371)</f>
        <v>1.5052485920638301</v>
      </c>
      <c r="P371" s="7">
        <f>[1]!EM_S_VAL_PCF_NCFTTM(B371,E371)</f>
        <v>7.7961199390817102</v>
      </c>
      <c r="Q371" s="7">
        <f>[1]!EM_S_VAL_DIVIDENDYIELD2(B371,E371,"2019-11-29")</f>
        <v>0.23053869226363163</v>
      </c>
      <c r="T371"/>
      <c r="U371">
        <f>[1]!EM_S_RATIO_EPS_TTM(B371,E371,"1")</f>
        <v>1.3043620451373077</v>
      </c>
      <c r="AT371" s="4" t="str">
        <f>[1]!EM_S_IPO_LISTEDDATE(B371)</f>
        <v>1998-11-04</v>
      </c>
    </row>
    <row r="372" spans="1:46">
      <c r="A372">
        <v>1649</v>
      </c>
      <c r="B372" t="str">
        <f>"300224"</f>
        <v>300224</v>
      </c>
      <c r="C372" t="s">
        <v>2383</v>
      </c>
      <c r="D372" t="str">
        <f>[1]!EM_S_INFO_INDEX_EM(B372,"1")</f>
        <v>有色金属</v>
      </c>
      <c r="E372" s="4">
        <f t="shared" si="5"/>
        <v>43465</v>
      </c>
      <c r="F372" s="11">
        <f>[1]!EM_S_PQ_PCTCHANGE(B372,"2018-01-01","2019-12-31","3")</f>
        <v>1.2565103099999999</v>
      </c>
      <c r="G372" s="11">
        <f>[1]!EM_S_PQ_PCTCHANGE(B372,"2018-12-31","2019-12-30","1")</f>
        <v>64.685908319999996</v>
      </c>
      <c r="H372" s="11">
        <f>[1]!EM_S_FA_YOY_OR(B372,E372)</f>
        <v>40.889933299200003</v>
      </c>
      <c r="I372" s="11">
        <f>[1]!EM_S_FA_GROSSPROFITMARGIN(B372,E372)</f>
        <v>17.644978075600001</v>
      </c>
      <c r="J372" s="11">
        <f>[1]!EM_S_FA_NETPROFITMARGIN(B372,E372)</f>
        <v>-5.2372285408000003</v>
      </c>
      <c r="K372" s="10">
        <f>[1]!EM_S_FA_ASSETSTURN(B372,E372)</f>
        <v>0.44231711812500002</v>
      </c>
      <c r="L372" s="12">
        <f>[1]!EM_HKS_VAL_MV(B372,"2019-12-31","2")</f>
        <v>7824865944.2399998</v>
      </c>
      <c r="M372">
        <f>[1]!EM_S_VAL_PETTMDEDUCTED(B372,E372)</f>
        <v>108.19982438303001</v>
      </c>
      <c r="N372" s="7">
        <f>[1]!EM_S_VAL_PBGOODWILLDEDUCTED(B372,E372)</f>
        <v>1.83513287195196</v>
      </c>
      <c r="O372" s="7">
        <f>[1]!EM_S_VAL_PS_TTM(B372,E372)</f>
        <v>2.9976758153352998</v>
      </c>
      <c r="P372" s="7">
        <f>[1]!EM_S_VAL_PCF_NCFTTM(B372,E372)</f>
        <v>56.803477497663401</v>
      </c>
      <c r="Q372" s="7">
        <f>[1]!EM_S_VAL_DIVIDENDYIELD2(B372,E372,"2019-11-29")</f>
        <v>0</v>
      </c>
      <c r="T372"/>
      <c r="U372">
        <f>[1]!EM_S_RATIO_EPS_TTM(B372,E372,"1")</f>
        <v>-9.943806452499844E-2</v>
      </c>
      <c r="AT372" s="4" t="str">
        <f>[1]!EM_S_IPO_LISTEDDATE(B372)</f>
        <v>2011-05-31</v>
      </c>
    </row>
    <row r="373" spans="1:46">
      <c r="A373">
        <v>259</v>
      </c>
      <c r="B373" t="str">
        <f>"000671"</f>
        <v>000671</v>
      </c>
      <c r="C373" t="s">
        <v>2073</v>
      </c>
      <c r="D373" t="str">
        <f>[1]!EM_S_INFO_INDEX_EM(B373,"1")</f>
        <v>房地产</v>
      </c>
      <c r="E373" s="4">
        <f t="shared" si="5"/>
        <v>43465</v>
      </c>
      <c r="F373" s="11">
        <f>[1]!EM_S_PQ_PCTCHANGE(B373,"2018-01-01","2019-12-31","3")</f>
        <v>9.9867860099999994</v>
      </c>
      <c r="G373" s="11">
        <f>[1]!EM_S_PQ_PCTCHANGE(B373,"2018-12-31","2019-12-30","1")</f>
        <v>64.547206169999995</v>
      </c>
      <c r="H373" s="11">
        <f>[1]!EM_S_FA_YOY_OR(B373,E373)</f>
        <v>70.279736164100001</v>
      </c>
      <c r="I373" s="11">
        <f>[1]!EM_S_FA_GROSSPROFITMARGIN(B373,E373)</f>
        <v>26.058651881399999</v>
      </c>
      <c r="J373" s="11">
        <f>[1]!EM_S_FA_NETPROFITMARGIN(B373,E373)</f>
        <v>6.9175805244999999</v>
      </c>
      <c r="K373" s="10">
        <f>[1]!EM_S_FA_ASSETSTURN(B373,E373)</f>
        <v>0.23694737036399999</v>
      </c>
      <c r="L373" s="12">
        <f>[1]!EM_HKS_VAL_MV(B373,"2019-12-31","2")</f>
        <v>34437205277.5</v>
      </c>
      <c r="M373">
        <f>[1]!EM_S_VAL_PETTMDEDUCTED(B373,E373)</f>
        <v>7.5878171747410903</v>
      </c>
      <c r="N373" s="7">
        <f>[1]!EM_S_VAL_PBGOODWILLDEDUCTED(B373,E373)</f>
        <v>1.16939114849829</v>
      </c>
      <c r="O373" s="7">
        <f>[1]!EM_S_VAL_PS_TTM(B373,E373)</f>
        <v>0.48231119976443898</v>
      </c>
      <c r="P373" s="7">
        <f>[1]!EM_S_VAL_PCF_NCFTTM(B373,E373)</f>
        <v>5.2364251637600399</v>
      </c>
      <c r="Q373" s="7">
        <f>[1]!EM_S_VAL_DIVIDENDYIELD2(B373,E373,"2019-11-29")</f>
        <v>0.81385913454919834</v>
      </c>
      <c r="T373"/>
      <c r="U373">
        <f>[1]!EM_S_RATIO_EPS_TTM(B373,E373,"1")</f>
        <v>0.74513704101921918</v>
      </c>
      <c r="AT373" s="4" t="str">
        <f>[1]!EM_S_IPO_LISTEDDATE(B373)</f>
        <v>1996-12-18</v>
      </c>
    </row>
    <row r="374" spans="1:46">
      <c r="A374">
        <v>1840</v>
      </c>
      <c r="B374" t="str">
        <f>"300415"</f>
        <v>300415</v>
      </c>
      <c r="C374" t="s">
        <v>366</v>
      </c>
      <c r="D374" t="str">
        <f>[1]!EM_S_INFO_INDEX_EM(B374,"1")</f>
        <v>机械设备</v>
      </c>
      <c r="E374" s="4">
        <f t="shared" si="5"/>
        <v>43465</v>
      </c>
      <c r="F374" s="11">
        <f>[1]!EM_S_PQ_PCTCHANGE(B374,"2018-01-01","2019-12-31","3")</f>
        <v>-41.278103010000002</v>
      </c>
      <c r="G374" s="11">
        <f>[1]!EM_S_PQ_PCTCHANGE(B374,"2018-12-31","2019-12-30","1")</f>
        <v>64.521452150000002</v>
      </c>
      <c r="H374" s="11">
        <f>[1]!EM_S_FA_YOY_OR(B374,E374)</f>
        <v>0.33138470590000002</v>
      </c>
      <c r="I374" s="11">
        <f>[1]!EM_S_FA_GROSSPROFITMARGIN(B374,E374)</f>
        <v>34.819565199300001</v>
      </c>
      <c r="J374" s="11">
        <f>[1]!EM_S_FA_NETPROFITMARGIN(B374,E374)</f>
        <v>8.9354150298999997</v>
      </c>
      <c r="K374" s="10">
        <f>[1]!EM_S_FA_ASSETSTURN(B374,E374)</f>
        <v>0.80537050180400005</v>
      </c>
      <c r="L374" s="12">
        <f>[1]!EM_HKS_VAL_MV(B374,"2019-12-31","2")</f>
        <v>4237920000</v>
      </c>
      <c r="M374">
        <f>[1]!EM_S_VAL_PETTMDEDUCTED(B374,E374)</f>
        <v>13.111807860360599</v>
      </c>
      <c r="N374" s="7">
        <f>[1]!EM_S_VAL_PBGOODWILLDEDUCTED(B374,E374)</f>
        <v>2.3134908258136901</v>
      </c>
      <c r="O374" s="7">
        <f>[1]!EM_S_VAL_PS_TTM(B374,E374)</f>
        <v>1.2642035373546401</v>
      </c>
      <c r="P374" s="7">
        <f>[1]!EM_S_VAL_PCF_NCFTTM(B374,E374)</f>
        <v>22.485160932034301</v>
      </c>
      <c r="Q374" s="7">
        <f>[1]!EM_S_VAL_DIVIDENDYIELD2(B374,E374,"2019-11-29")</f>
        <v>1.2594458438287155</v>
      </c>
      <c r="T374"/>
      <c r="U374">
        <f>[1]!EM_S_RATIO_EPS_TTM(B374,E374,"1")</f>
        <v>0.40588849127314813</v>
      </c>
      <c r="AT374" s="4" t="str">
        <f>[1]!EM_S_IPO_LISTEDDATE(B374)</f>
        <v>2015-01-23</v>
      </c>
    </row>
    <row r="375" spans="1:46">
      <c r="A375">
        <v>2776</v>
      </c>
      <c r="B375" t="str">
        <f>"600703"</f>
        <v>600703</v>
      </c>
      <c r="C375" t="s">
        <v>321</v>
      </c>
      <c r="D375" t="str">
        <f>[1]!EM_S_INFO_INDEX_EM(B375,"1")</f>
        <v>电子设备</v>
      </c>
      <c r="E375" s="4">
        <f t="shared" si="5"/>
        <v>43465</v>
      </c>
      <c r="F375" s="11">
        <f>[1]!EM_S_PQ_PCTCHANGE(B375,"2018-01-01","2019-12-31","3")</f>
        <v>-25.44084119</v>
      </c>
      <c r="G375" s="11">
        <f>[1]!EM_S_PQ_PCTCHANGE(B375,"2018-12-31","2019-12-30","1")</f>
        <v>64.456233420000004</v>
      </c>
      <c r="H375" s="11">
        <f>[1]!EM_S_FA_YOY_OR(B375,E375)</f>
        <v>-0.34968450169999998</v>
      </c>
      <c r="I375" s="11">
        <f>[1]!EM_S_FA_GROSSPROFITMARGIN(B375,E375)</f>
        <v>44.708266400699998</v>
      </c>
      <c r="J375" s="11">
        <f>[1]!EM_S_FA_NETPROFITMARGIN(B375,E375)</f>
        <v>33.834506322400003</v>
      </c>
      <c r="K375" s="10">
        <f>[1]!EM_S_FA_ASSETSTURN(B375,E375)</f>
        <v>0.298589080871</v>
      </c>
      <c r="L375" s="12">
        <f>[1]!EM_HKS_VAL_MV(B375,"2019-12-31","2")</f>
        <v>74879881678.080002</v>
      </c>
      <c r="M375">
        <f>[1]!EM_S_VAL_PETTMDEDUCTED(B375,E375)</f>
        <v>16.523609311667901</v>
      </c>
      <c r="N375" s="7">
        <f>[1]!EM_S_VAL_PBGOODWILLDEDUCTED(B375,E375)</f>
        <v>2.1719909128949499</v>
      </c>
      <c r="O375" s="7">
        <f>[1]!EM_S_VAL_PS_TTM(B375,E375)</f>
        <v>5.4238163467228997</v>
      </c>
      <c r="P375" s="7">
        <f>[1]!EM_S_VAL_PCF_NCFTTM(B375,E375)</f>
        <v>-257.49954675697802</v>
      </c>
      <c r="Q375" s="7">
        <f>[1]!EM_S_VAL_DIVIDENDYIELD2(B375,E375,"2019-11-29")</f>
        <v>1.2026458208057726</v>
      </c>
      <c r="T375"/>
      <c r="U375">
        <f>[1]!EM_S_RATIO_EPS_TTM(B375,E375,"1")</f>
        <v>0.69393408389592892</v>
      </c>
      <c r="AT375" s="4" t="str">
        <f>[1]!EM_S_IPO_LISTEDDATE(B375)</f>
        <v>1996-05-28</v>
      </c>
    </row>
    <row r="376" spans="1:46">
      <c r="A376">
        <v>3207</v>
      </c>
      <c r="B376" t="str">
        <f>"603008"</f>
        <v>603008</v>
      </c>
      <c r="C376" t="s">
        <v>1427</v>
      </c>
      <c r="D376" t="str">
        <f>[1]!EM_S_INFO_INDEX_EM(B376,"1")</f>
        <v>轻工制造</v>
      </c>
      <c r="E376" s="4">
        <f t="shared" si="5"/>
        <v>43465</v>
      </c>
      <c r="F376" s="11">
        <f>[1]!EM_S_PQ_PCTCHANGE(B376,"2018-01-01","2019-12-31","3")</f>
        <v>-16.114015179999999</v>
      </c>
      <c r="G376" s="11">
        <f>[1]!EM_S_PQ_PCTCHANGE(B376,"2018-12-31","2019-12-30","1")</f>
        <v>64.425162689999993</v>
      </c>
      <c r="H376" s="11">
        <f>[1]!EM_S_FA_YOY_OR(B376,E376)</f>
        <v>32.113638443699998</v>
      </c>
      <c r="I376" s="11">
        <f>[1]!EM_S_FA_GROSSPROFITMARGIN(B376,E376)</f>
        <v>28.8395788815</v>
      </c>
      <c r="J376" s="11">
        <f>[1]!EM_S_FA_NETPROFITMARGIN(B376,E376)</f>
        <v>-10.064421253200001</v>
      </c>
      <c r="K376" s="10">
        <f>[1]!EM_S_FA_ASSETSTURN(B376,E376)</f>
        <v>0.71491624533200004</v>
      </c>
      <c r="L376" s="12">
        <f>[1]!EM_HKS_VAL_MV(B376,"2019-12-31","2")</f>
        <v>6050901564.8900003</v>
      </c>
      <c r="M376">
        <f>[1]!EM_S_VAL_PETTMDEDUCTED(B376,E376)</f>
        <v>17.7270989573978</v>
      </c>
      <c r="N376" s="7">
        <f>[1]!EM_S_VAL_PBGOODWILLDEDUCTED(B376,E376)</f>
        <v>2.08660785841096</v>
      </c>
      <c r="O376" s="7">
        <f>[1]!EM_S_VAL_PS_TTM(B376,E376)</f>
        <v>0.88704582629803996</v>
      </c>
      <c r="P376" s="7">
        <f>[1]!EM_S_VAL_PCF_NCFTTM(B376,E376)</f>
        <v>-41.462689161865399</v>
      </c>
      <c r="Q376" s="7">
        <f>[1]!EM_S_VAL_DIVIDENDYIELD2(B376,E376,"2019-11-29")</f>
        <v>0</v>
      </c>
      <c r="T376"/>
      <c r="U376">
        <f>[1]!EM_S_RATIO_EPS_TTM(B376,E376,"1")</f>
        <v>-1.1099370983406742</v>
      </c>
      <c r="AT376" s="4" t="str">
        <f>[1]!EM_S_IPO_LISTEDDATE(B376)</f>
        <v>2012-07-17</v>
      </c>
    </row>
    <row r="377" spans="1:46">
      <c r="A377">
        <v>1508</v>
      </c>
      <c r="B377" t="str">
        <f>"300083"</f>
        <v>300083</v>
      </c>
      <c r="C377" t="s">
        <v>3010</v>
      </c>
      <c r="D377" t="str">
        <f>[1]!EM_S_INFO_INDEX_EM(B377,"1")</f>
        <v>电子设备</v>
      </c>
      <c r="E377" s="4">
        <f t="shared" si="5"/>
        <v>43465</v>
      </c>
      <c r="F377" s="11">
        <f>[1]!EM_S_PQ_PCTCHANGE(B377,"2018-01-01","2019-12-31","3")</f>
        <v>-47.430830039999996</v>
      </c>
      <c r="G377" s="11">
        <f>[1]!EM_S_PQ_PCTCHANGE(B377,"2018-12-31","2019-12-30","1")</f>
        <v>64.406779659999998</v>
      </c>
      <c r="H377" s="11">
        <f>[1]!EM_S_FA_YOY_OR(B377,E377)</f>
        <v>-14.251303948</v>
      </c>
      <c r="I377" s="11">
        <f>[1]!EM_S_FA_GROSSPROFITMARGIN(B377,E377)</f>
        <v>12.5411865646</v>
      </c>
      <c r="J377" s="11">
        <f>[1]!EM_S_FA_NETPROFITMARGIN(B377,E377)</f>
        <v>-52.082104538099998</v>
      </c>
      <c r="K377" s="10">
        <f>[1]!EM_S_FA_ASSETSTURN(B377,E377)</f>
        <v>0.56182181933999997</v>
      </c>
      <c r="L377" s="12">
        <f>[1]!EM_HKS_VAL_MV(B377,"2019-12-31","2")</f>
        <v>5709438901.3199997</v>
      </c>
      <c r="M377">
        <f>[1]!EM_S_VAL_PETTMDEDUCTED(B377,E377)</f>
        <v>-41.0389770601032</v>
      </c>
      <c r="N377" s="7">
        <f>[1]!EM_S_VAL_PBGOODWILLDEDUCTED(B377,E377)</f>
        <v>3.1250371984553298</v>
      </c>
      <c r="O377" s="7">
        <f>[1]!EM_S_VAL_PS_TTM(B377,E377)</f>
        <v>0.57077083169471199</v>
      </c>
      <c r="P377" s="7">
        <f>[1]!EM_S_VAL_PCF_NCFTTM(B377,E377)</f>
        <v>-13.739931174721001</v>
      </c>
      <c r="Q377" s="7">
        <f>[1]!EM_S_VAL_DIVIDENDYIELD2(B377,E377,"2019-11-29")</f>
        <v>0</v>
      </c>
      <c r="T377"/>
      <c r="U377">
        <f>[1]!EM_S_RATIO_EPS_TTM(B377,E377,"1")</f>
        <v>-2.001578760099648</v>
      </c>
      <c r="AT377" s="4" t="str">
        <f>[1]!EM_S_IPO_LISTEDDATE(B377)</f>
        <v>2010-05-20</v>
      </c>
    </row>
    <row r="378" spans="1:46">
      <c r="A378">
        <v>1576</v>
      </c>
      <c r="B378" t="str">
        <f>"300151"</f>
        <v>300151</v>
      </c>
      <c r="C378" t="s">
        <v>2076</v>
      </c>
      <c r="D378" t="str">
        <f>[1]!EM_S_INFO_INDEX_EM(B378,"1")</f>
        <v>机械设备</v>
      </c>
      <c r="E378" s="4">
        <f t="shared" si="5"/>
        <v>43465</v>
      </c>
      <c r="F378" s="11">
        <f>[1]!EM_S_PQ_PCTCHANGE(B378,"2018-01-01","2019-12-31","3")</f>
        <v>18.427532459999998</v>
      </c>
      <c r="G378" s="11">
        <f>[1]!EM_S_PQ_PCTCHANGE(B378,"2018-12-31","2019-12-30","1")</f>
        <v>64.326375709999994</v>
      </c>
      <c r="H378" s="11">
        <f>[1]!EM_S_FA_YOY_OR(B378,E378)</f>
        <v>15.8400716897</v>
      </c>
      <c r="I378" s="11">
        <f>[1]!EM_S_FA_GROSSPROFITMARGIN(B378,E378)</f>
        <v>25.082366816699999</v>
      </c>
      <c r="J378" s="11">
        <f>[1]!EM_S_FA_NETPROFITMARGIN(B378,E378)</f>
        <v>8.0181756123000003</v>
      </c>
      <c r="K378" s="10">
        <f>[1]!EM_S_FA_ASSETSTURN(B378,E378)</f>
        <v>0.68961160263800003</v>
      </c>
      <c r="L378" s="12">
        <f>[1]!EM_HKS_VAL_MV(B378,"2019-12-31","2")</f>
        <v>4301400000</v>
      </c>
      <c r="M378">
        <f>[1]!EM_S_VAL_PETTMDEDUCTED(B378,E378)</f>
        <v>55.506759250914698</v>
      </c>
      <c r="N378" s="7">
        <f>[1]!EM_S_VAL_PBGOODWILLDEDUCTED(B378,E378)</f>
        <v>3.04653024057962</v>
      </c>
      <c r="O378" s="7">
        <f>[1]!EM_S_VAL_PS_TTM(B378,E378)</f>
        <v>3.9232463522796901</v>
      </c>
      <c r="P378" s="7">
        <f>[1]!EM_S_VAL_PCF_NCFTTM(B378,E378)</f>
        <v>-601.24380040090296</v>
      </c>
      <c r="Q378" s="7">
        <f>[1]!EM_S_VAL_DIVIDENDYIELD2(B378,E378,"2019-11-29")</f>
        <v>0.72753333333333337</v>
      </c>
      <c r="T378"/>
      <c r="U378">
        <f>[1]!EM_S_RATIO_EPS_TTM(B378,E378,"1")</f>
        <v>0.11312447936318408</v>
      </c>
      <c r="AT378" s="4" t="str">
        <f>[1]!EM_S_IPO_LISTEDDATE(B378)</f>
        <v>2010-12-22</v>
      </c>
    </row>
    <row r="379" spans="1:46">
      <c r="A379">
        <v>884</v>
      </c>
      <c r="B379" t="str">
        <f>"002373"</f>
        <v>002373</v>
      </c>
      <c r="C379" t="s">
        <v>1336</v>
      </c>
      <c r="D379" t="str">
        <f>[1]!EM_S_INFO_INDEX_EM(B379,"1")</f>
        <v>信息技术</v>
      </c>
      <c r="E379" s="4">
        <f t="shared" si="5"/>
        <v>43465</v>
      </c>
      <c r="F379" s="11">
        <f>[1]!EM_S_PQ_PCTCHANGE(B379,"2018-01-01","2019-12-31","3")</f>
        <v>23.82954342</v>
      </c>
      <c r="G379" s="11">
        <f>[1]!EM_S_PQ_PCTCHANGE(B379,"2018-12-31","2019-12-30","1")</f>
        <v>64.298561149999998</v>
      </c>
      <c r="H379" s="11">
        <f>[1]!EM_S_FA_YOY_OR(B379,E379)</f>
        <v>35.351629812500001</v>
      </c>
      <c r="I379" s="11">
        <f>[1]!EM_S_FA_GROSSPROFITMARGIN(B379,E379)</f>
        <v>32.8728750561</v>
      </c>
      <c r="J379" s="11">
        <f>[1]!EM_S_FA_NETPROFITMARGIN(B379,E379)</f>
        <v>12.2666272205</v>
      </c>
      <c r="K379" s="10">
        <f>[1]!EM_S_FA_ASSETSTURN(B379,E379)</f>
        <v>0.719927086291</v>
      </c>
      <c r="L379" s="12">
        <f>[1]!EM_HKS_VAL_MV(B379,"2019-12-31","2")</f>
        <v>26897996741</v>
      </c>
      <c r="M379">
        <f>[1]!EM_S_VAL_PETTMDEDUCTED(B379,E379)</f>
        <v>34.914545783300397</v>
      </c>
      <c r="N379" s="7">
        <f>[1]!EM_S_VAL_PBGOODWILLDEDUCTED(B379,E379)</f>
        <v>3.5840622615718698</v>
      </c>
      <c r="O379" s="7">
        <f>[1]!EM_S_VAL_PS_TTM(B379,E379)</f>
        <v>4.5236391960002802</v>
      </c>
      <c r="P379" s="7">
        <f>[1]!EM_S_VAL_PCF_NCFTTM(B379,E379)</f>
        <v>-54.677955000494997</v>
      </c>
      <c r="Q379" s="7">
        <f>[1]!EM_S_VAL_DIVIDENDYIELD2(B379,E379,"2019-11-29")</f>
        <v>0.32777115613825986</v>
      </c>
      <c r="T379"/>
      <c r="U379">
        <f>[1]!EM_S_RATIO_EPS_TTM(B379,E379,"1")</f>
        <v>0.51298342881886327</v>
      </c>
      <c r="AT379" s="4" t="str">
        <f>[1]!EM_S_IPO_LISTEDDATE(B379)</f>
        <v>2010-03-18</v>
      </c>
    </row>
    <row r="380" spans="1:46">
      <c r="A380">
        <v>800</v>
      </c>
      <c r="B380" t="str">
        <f>"002289"</f>
        <v>002289</v>
      </c>
      <c r="C380" t="s">
        <v>3546</v>
      </c>
      <c r="D380" t="str">
        <f>[1]!EM_S_INFO_INDEX_EM(B380,"1")</f>
        <v>电子设备</v>
      </c>
      <c r="E380" s="4">
        <f t="shared" si="5"/>
        <v>43465</v>
      </c>
      <c r="F380" s="11">
        <f>[1]!EM_S_PQ_PCTCHANGE(B380,"2018-01-01","2019-12-31","3")</f>
        <v>-30.907534250000001</v>
      </c>
      <c r="G380" s="11">
        <f>[1]!EM_S_PQ_PCTCHANGE(B380,"2018-12-31","2019-12-30","1")</f>
        <v>64.271047229999994</v>
      </c>
      <c r="H380" s="11">
        <f>[1]!EM_S_FA_YOY_OR(B380,E380)</f>
        <v>-19.099446418500001</v>
      </c>
      <c r="I380" s="11">
        <f>[1]!EM_S_FA_GROSSPROFITMARGIN(B380,E380)</f>
        <v>3.0072877093999999</v>
      </c>
      <c r="J380" s="11">
        <f>[1]!EM_S_FA_NETPROFITMARGIN(B380,E380)</f>
        <v>-47.5830755928</v>
      </c>
      <c r="K380" s="10">
        <f>[1]!EM_S_FA_ASSETSTURN(B380,E380)</f>
        <v>0.48642363925600002</v>
      </c>
      <c r="L380" s="12">
        <f>[1]!EM_HKS_VAL_MV(B380,"2019-12-31","2")</f>
        <v>2261647625.3099999</v>
      </c>
      <c r="M380">
        <f>[1]!EM_S_VAL_PETTMDEDUCTED(B380,E380)</f>
        <v>-11.643037293565699</v>
      </c>
      <c r="N380" s="7">
        <f>[1]!EM_S_VAL_PBGOODWILLDEDUCTED(B380,E380)</f>
        <v>4.3090096742503903</v>
      </c>
      <c r="O380" s="7">
        <f>[1]!EM_S_VAL_PS_TTM(B380,E380)</f>
        <v>4.2022185344668097</v>
      </c>
      <c r="P380" s="7">
        <f>[1]!EM_S_VAL_PCF_NCFTTM(B380,E380)</f>
        <v>62.4024347497745</v>
      </c>
      <c r="Q380" s="7">
        <f>[1]!EM_S_VAL_DIVIDENDYIELD2(B380,E380,"2019-11-29")</f>
        <v>0</v>
      </c>
      <c r="T380"/>
      <c r="U380">
        <f>[1]!EM_S_RATIO_EPS_TTM(B380,E380,"1")</f>
        <v>-0.55064548292742987</v>
      </c>
      <c r="AT380" s="4" t="str">
        <f>[1]!EM_S_IPO_LISTEDDATE(B380)</f>
        <v>2009-09-03</v>
      </c>
    </row>
    <row r="381" spans="1:46">
      <c r="A381">
        <v>1949</v>
      </c>
      <c r="B381" t="str">
        <f>"300525"</f>
        <v>300525</v>
      </c>
      <c r="C381" t="s">
        <v>3553</v>
      </c>
      <c r="D381" t="str">
        <f>[1]!EM_S_INFO_INDEX_EM(B381,"1")</f>
        <v>信息技术</v>
      </c>
      <c r="E381" s="4">
        <f t="shared" si="5"/>
        <v>43465</v>
      </c>
      <c r="F381" s="11">
        <f>[1]!EM_S_PQ_PCTCHANGE(B381,"2018-01-01","2019-12-31","3")</f>
        <v>155.95410009</v>
      </c>
      <c r="G381" s="11">
        <f>[1]!EM_S_PQ_PCTCHANGE(B381,"2018-12-31","2019-12-30","1")</f>
        <v>64.23757372</v>
      </c>
      <c r="H381" s="11">
        <f>[1]!EM_S_FA_YOY_OR(B381,E381)</f>
        <v>80.260231622999996</v>
      </c>
      <c r="I381" s="11">
        <f>[1]!EM_S_FA_GROSSPROFITMARGIN(B381,E381)</f>
        <v>64.539181892399995</v>
      </c>
      <c r="J381" s="11">
        <f>[1]!EM_S_FA_NETPROFITMARGIN(B381,E381)</f>
        <v>17.516937715000001</v>
      </c>
      <c r="K381" s="10">
        <f>[1]!EM_S_FA_ASSETSTURN(B381,E381)</f>
        <v>0.59638819661300002</v>
      </c>
      <c r="L381" s="12">
        <f>[1]!EM_HKS_VAL_MV(B381,"2019-12-31","2")</f>
        <v>8267949968.8999996</v>
      </c>
      <c r="M381">
        <f>[1]!EM_S_VAL_PETTMDEDUCTED(B381,E381)</f>
        <v>71.665927384904506</v>
      </c>
      <c r="N381" s="7">
        <f>[1]!EM_S_VAL_PBGOODWILLDEDUCTED(B381,E381)</f>
        <v>8.6882979928910107</v>
      </c>
      <c r="O381" s="7">
        <f>[1]!EM_S_VAL_PS_TTM(B381,E381)</f>
        <v>7.5981085906230499</v>
      </c>
      <c r="P381" s="7">
        <f>[1]!EM_S_VAL_PCF_NCFTTM(B381,E381)</f>
        <v>-26.422331334611599</v>
      </c>
      <c r="Q381" s="7">
        <f>[1]!EM_S_VAL_DIVIDENDYIELD2(B381,E381,"2019-11-29")</f>
        <v>0.36976437240333954</v>
      </c>
      <c r="T381"/>
      <c r="U381">
        <f>[1]!EM_S_RATIO_EPS_TTM(B381,E381,"1")</f>
        <v>0.65837596122990527</v>
      </c>
      <c r="AT381" s="4" t="str">
        <f>[1]!EM_S_IPO_LISTEDDATE(B381)</f>
        <v>2016-07-26</v>
      </c>
    </row>
    <row r="382" spans="1:46">
      <c r="A382">
        <v>748</v>
      </c>
      <c r="B382" t="str">
        <f>"002237"</f>
        <v>002237</v>
      </c>
      <c r="C382" t="s">
        <v>867</v>
      </c>
      <c r="D382" t="str">
        <f>[1]!EM_S_INFO_INDEX_EM(B382,"1")</f>
        <v>有色金属</v>
      </c>
      <c r="E382" s="4">
        <f t="shared" si="5"/>
        <v>43465</v>
      </c>
      <c r="F382" s="11">
        <f>[1]!EM_S_PQ_PCTCHANGE(B382,"2018-01-01","2019-12-31","3")</f>
        <v>33.540127849999998</v>
      </c>
      <c r="G382" s="11">
        <f>[1]!EM_S_PQ_PCTCHANGE(B382,"2018-12-31","2019-12-30","1")</f>
        <v>64.200477329999998</v>
      </c>
      <c r="H382" s="11">
        <f>[1]!EM_S_FA_YOY_OR(B382,E382)</f>
        <v>7.2078393284000004</v>
      </c>
      <c r="I382" s="11">
        <f>[1]!EM_S_FA_GROSSPROFITMARGIN(B382,E382)</f>
        <v>7.0184365622999998</v>
      </c>
      <c r="J382" s="11">
        <f>[1]!EM_S_FA_NETPROFITMARGIN(B382,E382)</f>
        <v>1.8483446823</v>
      </c>
      <c r="K382" s="10">
        <f>[1]!EM_S_FA_ASSETSTURN(B382,E382)</f>
        <v>1.522495661489</v>
      </c>
      <c r="L382" s="12">
        <f>[1]!EM_HKS_VAL_MV(B382,"2019-12-31","2")</f>
        <v>12782016000</v>
      </c>
      <c r="M382">
        <f>[1]!EM_S_VAL_PETTMDEDUCTED(B382,E382)</f>
        <v>16.543183371333601</v>
      </c>
      <c r="N382" s="7">
        <f>[1]!EM_S_VAL_PBGOODWILLDEDUCTED(B382,E382)</f>
        <v>1.7511583263144701</v>
      </c>
      <c r="O382" s="7">
        <f>[1]!EM_S_VAL_PS_TTM(B382,E382)</f>
        <v>0.42106167103551001</v>
      </c>
      <c r="P382" s="7">
        <f>[1]!EM_S_VAL_PCF_NCFTTM(B382,E382)</f>
        <v>35.386165487709903</v>
      </c>
      <c r="Q382" s="7">
        <f>[1]!EM_S_VAL_DIVIDENDYIELD2(B382,E382,"2019-11-29")</f>
        <v>0</v>
      </c>
      <c r="T382"/>
      <c r="U382">
        <f>[1]!EM_S_RATIO_EPS_TTM(B382,E382,"1")</f>
        <v>0.44570325608523725</v>
      </c>
      <c r="AT382" s="4" t="str">
        <f>[1]!EM_S_IPO_LISTEDDATE(B382)</f>
        <v>2008-05-20</v>
      </c>
    </row>
    <row r="383" spans="1:46">
      <c r="A383">
        <v>3225</v>
      </c>
      <c r="B383" t="str">
        <f>"603028"</f>
        <v>603028</v>
      </c>
      <c r="C383" t="s">
        <v>2554</v>
      </c>
      <c r="D383" t="str">
        <f>[1]!EM_S_INFO_INDEX_EM(B383,"1")</f>
        <v>建筑</v>
      </c>
      <c r="E383" s="4">
        <f t="shared" si="5"/>
        <v>43465</v>
      </c>
      <c r="F383" s="11">
        <f>[1]!EM_S_PQ_PCTCHANGE(B383,"2018-01-01","2019-12-31","3")</f>
        <v>15.003472289999999</v>
      </c>
      <c r="G383" s="11">
        <f>[1]!EM_S_PQ_PCTCHANGE(B383,"2018-12-31","2019-12-30","1")</f>
        <v>64.197530860000001</v>
      </c>
      <c r="H383" s="11">
        <f>[1]!EM_S_FA_YOY_OR(B383,E383)</f>
        <v>-1.3275930886</v>
      </c>
      <c r="I383" s="11">
        <f>[1]!EM_S_FA_GROSSPROFITMARGIN(B383,E383)</f>
        <v>19.368644098800001</v>
      </c>
      <c r="J383" s="11">
        <f>[1]!EM_S_FA_NETPROFITMARGIN(B383,E383)</f>
        <v>3.0896023918000002</v>
      </c>
      <c r="K383" s="10">
        <f>[1]!EM_S_FA_ASSETSTURN(B383,E383)</f>
        <v>0.56808470999500005</v>
      </c>
      <c r="L383" s="12">
        <f>[1]!EM_HKS_VAL_MV(B383,"2019-12-31","2")</f>
        <v>2609856000</v>
      </c>
      <c r="M383">
        <f>[1]!EM_S_VAL_PETTMDEDUCTED(B383,E383)</f>
        <v>208.03034035312601</v>
      </c>
      <c r="N383" s="7">
        <f>[1]!EM_S_VAL_PBGOODWILLDEDUCTED(B383,E383)</f>
        <v>2.3023990558961702</v>
      </c>
      <c r="O383" s="7">
        <f>[1]!EM_S_VAL_PS_TTM(B383,E383)</f>
        <v>2.54969853709839</v>
      </c>
      <c r="P383" s="7">
        <f>[1]!EM_S_VAL_PCF_NCFTTM(B383,E383)</f>
        <v>63.715321246817297</v>
      </c>
      <c r="Q383" s="7">
        <f>[1]!EM_S_VAL_DIVIDENDYIELD2(B383,E383,"2019-11-29")</f>
        <v>0.21988527724665394</v>
      </c>
      <c r="T383"/>
      <c r="U383">
        <f>[1]!EM_S_RATIO_EPS_TTM(B383,E383,"1")</f>
        <v>7.6591061775362332E-2</v>
      </c>
      <c r="AT383" s="4" t="str">
        <f>[1]!EM_S_IPO_LISTEDDATE(B383)</f>
        <v>2016-03-31</v>
      </c>
    </row>
    <row r="384" spans="1:46">
      <c r="A384">
        <v>640</v>
      </c>
      <c r="B384" t="str">
        <f>"002129"</f>
        <v>002129</v>
      </c>
      <c r="C384" t="s">
        <v>2191</v>
      </c>
      <c r="D384" t="str">
        <f>[1]!EM_S_INFO_INDEX_EM(B384,"1")</f>
        <v>电气设备</v>
      </c>
      <c r="E384" s="4">
        <f t="shared" si="5"/>
        <v>43465</v>
      </c>
      <c r="F384" s="11">
        <f>[1]!EM_S_PQ_PCTCHANGE(B384,"2018-01-01","2019-12-31","3")</f>
        <v>3.3814837299999998</v>
      </c>
      <c r="G384" s="11">
        <f>[1]!EM_S_PQ_PCTCHANGE(B384,"2018-12-31","2019-12-30","1")</f>
        <v>64.177040109999993</v>
      </c>
      <c r="H384" s="11">
        <f>[1]!EM_S_FA_YOY_OR(B384,E384)</f>
        <v>42.632196703799998</v>
      </c>
      <c r="I384" s="11">
        <f>[1]!EM_S_FA_GROSSPROFITMARGIN(B384,E384)</f>
        <v>17.3521753978</v>
      </c>
      <c r="J384" s="11">
        <f>[1]!EM_S_FA_NETPROFITMARGIN(B384,E384)</f>
        <v>5.7359623622000004</v>
      </c>
      <c r="K384" s="10">
        <f>[1]!EM_S_FA_ASSETSTURN(B384,E384)</f>
        <v>0.37326966775600001</v>
      </c>
      <c r="L384" s="12">
        <f>[1]!EM_HKS_VAL_MV(B384,"2019-12-31","2")</f>
        <v>32892697946.130001</v>
      </c>
      <c r="M384">
        <f>[1]!EM_S_VAL_PETTMDEDUCTED(B384,E384)</f>
        <v>55.310042046883098</v>
      </c>
      <c r="N384" s="7">
        <f>[1]!EM_S_VAL_PBGOODWILLDEDUCTED(B384,E384)</f>
        <v>1.63127961019467</v>
      </c>
      <c r="O384" s="7">
        <f>[1]!EM_S_VAL_PS_TTM(B384,E384)</f>
        <v>1.6715085756464301</v>
      </c>
      <c r="P384" s="7">
        <f>[1]!EM_S_VAL_PCF_NCFTTM(B384,E384)</f>
        <v>-30.2736998996978</v>
      </c>
      <c r="Q384" s="7">
        <f>[1]!EM_S_VAL_DIVIDENDYIELD2(B384,E384,"2019-11-29")</f>
        <v>0.29673590504451042</v>
      </c>
      <c r="T384"/>
      <c r="U384">
        <f>[1]!EM_S_RATIO_EPS_TTM(B384,E384,"1")</f>
        <v>0.22700944203647261</v>
      </c>
      <c r="AT384" s="4" t="str">
        <f>[1]!EM_S_IPO_LISTEDDATE(B384)</f>
        <v>2007-04-20</v>
      </c>
    </row>
    <row r="385" spans="1:46">
      <c r="A385">
        <v>3187</v>
      </c>
      <c r="B385" t="str">
        <f>"601966"</f>
        <v>601966</v>
      </c>
      <c r="C385" t="s">
        <v>1046</v>
      </c>
      <c r="D385" t="str">
        <f>[1]!EM_S_INFO_INDEX_EM(B385,"1")</f>
        <v>基础化工</v>
      </c>
      <c r="E385" s="4">
        <f t="shared" si="5"/>
        <v>43465</v>
      </c>
      <c r="F385" s="11">
        <f>[1]!EM_S_PQ_PCTCHANGE(B385,"2018-01-01","2019-12-31","3")</f>
        <v>35.696561860000003</v>
      </c>
      <c r="G385" s="11">
        <f>[1]!EM_S_PQ_PCTCHANGE(B385,"2018-12-31","2019-12-30","1")</f>
        <v>63.809523810000002</v>
      </c>
      <c r="H385" s="11">
        <f>[1]!EM_S_FA_YOY_OR(B385,E385)</f>
        <v>9.9403897834000006</v>
      </c>
      <c r="I385" s="11">
        <f>[1]!EM_S_FA_GROSSPROFITMARGIN(B385,E385)</f>
        <v>23.7034421802</v>
      </c>
      <c r="J385" s="11">
        <f>[1]!EM_S_FA_NETPROFITMARGIN(B385,E385)</f>
        <v>7.7205024066999997</v>
      </c>
      <c r="K385" s="10">
        <f>[1]!EM_S_FA_ASSETSTURN(B385,E385)</f>
        <v>0.67736903294200002</v>
      </c>
      <c r="L385" s="12">
        <f>[1]!EM_HKS_VAL_MV(B385,"2019-12-31","2")</f>
        <v>27516322074.779999</v>
      </c>
      <c r="M385">
        <f>[1]!EM_S_VAL_PETTMDEDUCTED(B385,E385)</f>
        <v>14.027869367378001</v>
      </c>
      <c r="N385" s="7">
        <f>[1]!EM_S_VAL_PBGOODWILLDEDUCTED(B385,E385)</f>
        <v>1.68224096960278</v>
      </c>
      <c r="O385" s="7">
        <f>[1]!EM_S_VAL_PS_TTM(B385,E385)</f>
        <v>1.1183350258914699</v>
      </c>
      <c r="P385" s="7">
        <f>[1]!EM_S_VAL_PCF_NCFTTM(B385,E385)</f>
        <v>12.6256504764419</v>
      </c>
      <c r="Q385" s="7">
        <f>[1]!EM_S_VAL_DIVIDENDYIELD2(B385,E385,"2019-11-29")</f>
        <v>1.4619855616743715</v>
      </c>
      <c r="T385"/>
      <c r="U385">
        <f>[1]!EM_S_RATIO_EPS_TTM(B385,E385,"1")</f>
        <v>0.98434435783452379</v>
      </c>
      <c r="AT385" s="4" t="str">
        <f>[1]!EM_S_IPO_LISTEDDATE(B385)</f>
        <v>2016-07-06</v>
      </c>
    </row>
    <row r="386" spans="1:46">
      <c r="A386">
        <v>1700</v>
      </c>
      <c r="B386" t="str">
        <f>"300275"</f>
        <v>300275</v>
      </c>
      <c r="C386" t="s">
        <v>2460</v>
      </c>
      <c r="D386" t="str">
        <f>[1]!EM_S_INFO_INDEX_EM(B386,"1")</f>
        <v>电子设备</v>
      </c>
      <c r="E386" s="4">
        <f t="shared" si="5"/>
        <v>43465</v>
      </c>
      <c r="F386" s="11">
        <f>[1]!EM_S_PQ_PCTCHANGE(B386,"2018-01-01","2019-12-31","3")</f>
        <v>-12.136266859999999</v>
      </c>
      <c r="G386" s="11">
        <f>[1]!EM_S_PQ_PCTCHANGE(B386,"2018-12-31","2019-12-30","1")</f>
        <v>63.793103449999997</v>
      </c>
      <c r="H386" s="11">
        <f>[1]!EM_S_FA_YOY_OR(B386,E386)</f>
        <v>-18.763076714</v>
      </c>
      <c r="I386" s="11">
        <f>[1]!EM_S_FA_GROSSPROFITMARGIN(B386,E386)</f>
        <v>42.442244127000002</v>
      </c>
      <c r="J386" s="11">
        <f>[1]!EM_S_FA_NETPROFITMARGIN(B386,E386)</f>
        <v>-23.263914002100002</v>
      </c>
      <c r="K386" s="10">
        <f>[1]!EM_S_FA_ASSETSTURN(B386,E386)</f>
        <v>0.23420911682199999</v>
      </c>
      <c r="L386" s="12">
        <f>[1]!EM_HKS_VAL_MV(B386,"2019-12-31","2")</f>
        <v>2081251320</v>
      </c>
      <c r="M386">
        <f>[1]!EM_S_VAL_PETTMDEDUCTED(B386,E386)</f>
        <v>89.195108785547404</v>
      </c>
      <c r="N386" s="7">
        <f>[1]!EM_S_VAL_PBGOODWILLDEDUCTED(B386,E386)</f>
        <v>2.6154758055504201</v>
      </c>
      <c r="O386" s="7">
        <f>[1]!EM_S_VAL_PS_TTM(B386,E386)</f>
        <v>7.2064213784255804</v>
      </c>
      <c r="P386" s="7">
        <f>[1]!EM_S_VAL_PCF_NCFTTM(B386,E386)</f>
        <v>-7.78881507197665</v>
      </c>
      <c r="Q386" s="7">
        <f>[1]!EM_S_VAL_DIVIDENDYIELD2(B386,E386,"2019-11-29")</f>
        <v>0</v>
      </c>
      <c r="T386"/>
      <c r="U386">
        <f>[1]!EM_S_RATIO_EPS_TTM(B386,E386,"1")</f>
        <v>-0.36298956658306752</v>
      </c>
      <c r="AT386" s="4" t="str">
        <f>[1]!EM_S_IPO_LISTEDDATE(B386)</f>
        <v>2011-11-02</v>
      </c>
    </row>
    <row r="387" spans="1:46">
      <c r="A387">
        <v>2666</v>
      </c>
      <c r="B387" t="str">
        <f>"600593"</f>
        <v>600593</v>
      </c>
      <c r="C387" t="s">
        <v>3520</v>
      </c>
      <c r="D387" t="str">
        <f>[1]!EM_S_INFO_INDEX_EM(B387,"1")</f>
        <v>休闲、生活及专业服务</v>
      </c>
      <c r="E387" s="4">
        <f t="shared" ref="E387:E450" si="6">$B$1</f>
        <v>43465</v>
      </c>
      <c r="F387" s="11">
        <f>[1]!EM_S_PQ_PCTCHANGE(B387,"2018-01-01","2019-12-31","3")</f>
        <v>119.33669922999999</v>
      </c>
      <c r="G387" s="11">
        <f>[1]!EM_S_PQ_PCTCHANGE(B387,"2018-12-31","2019-12-30","1")</f>
        <v>63.684409209999998</v>
      </c>
      <c r="H387" s="11">
        <f>[1]!EM_S_FA_YOY_OR(B387,E387)</f>
        <v>0.83953042249999998</v>
      </c>
      <c r="I387" s="11">
        <f>[1]!EM_S_FA_GROSSPROFITMARGIN(B387,E387)</f>
        <v>66.014451833300001</v>
      </c>
      <c r="J387" s="11">
        <f>[1]!EM_S_FA_NETPROFITMARGIN(B387,E387)</f>
        <v>15.278402312900001</v>
      </c>
      <c r="K387" s="10">
        <f>[1]!EM_S_FA_ASSETSTURN(B387,E387)</f>
        <v>0.234971709631</v>
      </c>
      <c r="L387" s="12">
        <f>[1]!EM_HKS_VAL_MV(B387,"2019-12-31","2")</f>
        <v>5597648000</v>
      </c>
      <c r="M387">
        <f>[1]!EM_S_VAL_PETTMDEDUCTED(B387,E387)</f>
        <v>63.894447952231502</v>
      </c>
      <c r="N387" s="7">
        <f>[1]!EM_S_VAL_PBGOODWILLDEDUCTED(B387,E387)</f>
        <v>6.7618750468668498</v>
      </c>
      <c r="O387" s="7">
        <f>[1]!EM_S_VAL_PS_TTM(B387,E387)</f>
        <v>9.7730631911970498</v>
      </c>
      <c r="P387" s="7">
        <f>[1]!EM_S_VAL_PCF_NCFTTM(B387,E387)</f>
        <v>-158.76361963385401</v>
      </c>
      <c r="Q387" s="7">
        <f>[1]!EM_S_VAL_DIVIDENDYIELD2(B387,E387,"2019-11-29")</f>
        <v>0</v>
      </c>
      <c r="T387"/>
      <c r="U387">
        <f>[1]!EM_S_RATIO_EPS_TTM(B387,E387,"1")</f>
        <v>0.44764026234472049</v>
      </c>
      <c r="AT387" s="4" t="str">
        <f>[1]!EM_S_IPO_LISTEDDATE(B387)</f>
        <v>2002-07-11</v>
      </c>
    </row>
    <row r="388" spans="1:46">
      <c r="A388">
        <v>1880</v>
      </c>
      <c r="B388" t="str">
        <f>"300455"</f>
        <v>300455</v>
      </c>
      <c r="C388" t="s">
        <v>1497</v>
      </c>
      <c r="D388" t="str">
        <f>[1]!EM_S_INFO_INDEX_EM(B388,"1")</f>
        <v>信息技术</v>
      </c>
      <c r="E388" s="4">
        <f t="shared" si="6"/>
        <v>43465</v>
      </c>
      <c r="F388" s="11">
        <f>[1]!EM_S_PQ_PCTCHANGE(B388,"2018-01-01","2019-12-31","3")</f>
        <v>17.904306309999999</v>
      </c>
      <c r="G388" s="11">
        <f>[1]!EM_S_PQ_PCTCHANGE(B388,"2018-12-31","2019-12-30","1")</f>
        <v>63.68</v>
      </c>
      <c r="H388" s="11">
        <f>[1]!EM_S_FA_YOY_OR(B388,E388)</f>
        <v>5.9156526739000004</v>
      </c>
      <c r="I388" s="11">
        <f>[1]!EM_S_FA_GROSSPROFITMARGIN(B388,E388)</f>
        <v>40.717994517400001</v>
      </c>
      <c r="J388" s="11">
        <f>[1]!EM_S_FA_NETPROFITMARGIN(B388,E388)</f>
        <v>24.222199403200001</v>
      </c>
      <c r="K388" s="10">
        <f>[1]!EM_S_FA_ASSETSTURN(B388,E388)</f>
        <v>0.37181718824100002</v>
      </c>
      <c r="L388" s="12">
        <f>[1]!EM_HKS_VAL_MV(B388,"2019-12-31","2")</f>
        <v>7227923115.5200005</v>
      </c>
      <c r="M388">
        <f>[1]!EM_S_VAL_PETTMDEDUCTED(B388,E388)</f>
        <v>47.183720707347099</v>
      </c>
      <c r="N388" s="7">
        <f>[1]!EM_S_VAL_PBGOODWILLDEDUCTED(B388,E388)</f>
        <v>4.26440342727554</v>
      </c>
      <c r="O388" s="7">
        <f>[1]!EM_S_VAL_PS_TTM(B388,E388)</f>
        <v>10.243759442182901</v>
      </c>
      <c r="P388" s="7">
        <f>[1]!EM_S_VAL_PCF_NCFTTM(B388,E388)</f>
        <v>-26.430670475718902</v>
      </c>
      <c r="Q388" s="7">
        <f>[1]!EM_S_VAL_DIVIDENDYIELD2(B388,E388,"2019-11-29")</f>
        <v>0.46877818059377213</v>
      </c>
      <c r="T388"/>
      <c r="U388">
        <f>[1]!EM_S_RATIO_EPS_TTM(B388,E388,"1")</f>
        <v>0.14846403938383046</v>
      </c>
      <c r="AT388" s="4" t="str">
        <f>[1]!EM_S_IPO_LISTEDDATE(B388)</f>
        <v>2015-05-15</v>
      </c>
    </row>
    <row r="389" spans="1:46">
      <c r="A389">
        <v>1138</v>
      </c>
      <c r="B389" t="str">
        <f>"002627"</f>
        <v>002627</v>
      </c>
      <c r="C389" t="s">
        <v>2643</v>
      </c>
      <c r="D389" t="str">
        <f>[1]!EM_S_INFO_INDEX_EM(B389,"1")</f>
        <v>交通运输</v>
      </c>
      <c r="E389" s="4">
        <f t="shared" si="6"/>
        <v>43465</v>
      </c>
      <c r="F389" s="11">
        <f>[1]!EM_S_PQ_PCTCHANGE(B389,"2018-01-01","2019-12-31","3")</f>
        <v>-5.3398366099999999</v>
      </c>
      <c r="G389" s="11">
        <f>[1]!EM_S_PQ_PCTCHANGE(B389,"2018-12-31","2019-12-30","1")</f>
        <v>63.536776209999999</v>
      </c>
      <c r="H389" s="11">
        <f>[1]!EM_S_FA_YOY_OR(B389,E389)</f>
        <v>-1.9895080410999999</v>
      </c>
      <c r="I389" s="11">
        <f>[1]!EM_S_FA_GROSSPROFITMARGIN(B389,E389)</f>
        <v>13.221468184200001</v>
      </c>
      <c r="J389" s="11">
        <f>[1]!EM_S_FA_NETPROFITMARGIN(B389,E389)</f>
        <v>4.9834700855999996</v>
      </c>
      <c r="K389" s="10">
        <f>[1]!EM_S_FA_ASSETSTURN(B389,E389)</f>
        <v>0.54686054796100003</v>
      </c>
      <c r="L389" s="12">
        <f>[1]!EM_HKS_VAL_MV(B389,"2019-12-31","2")</f>
        <v>3363416987.1100001</v>
      </c>
      <c r="M389">
        <f>[1]!EM_S_VAL_PETTMDEDUCTED(B389,E389)</f>
        <v>38.6215970424172</v>
      </c>
      <c r="N389" s="7">
        <f>[1]!EM_S_VAL_PBGOODWILLDEDUCTED(B389,E389)</f>
        <v>0.97309975425831297</v>
      </c>
      <c r="O389" s="7">
        <f>[1]!EM_S_VAL_PS_TTM(B389,E389)</f>
        <v>0.96215885884161101</v>
      </c>
      <c r="P389" s="7">
        <f>[1]!EM_S_VAL_PCF_NCFTTM(B389,E389)</f>
        <v>-3.15814031015459</v>
      </c>
      <c r="Q389" s="7">
        <f>[1]!EM_S_VAL_DIVIDENDYIELD2(B389,E389,"2019-11-29")</f>
        <v>1.5051898668475328</v>
      </c>
      <c r="T389"/>
      <c r="U389">
        <f>[1]!EM_S_RATIO_EPS_TTM(B389,E389,"1")</f>
        <v>0.30181511499027186</v>
      </c>
      <c r="AT389" s="4" t="str">
        <f>[1]!EM_S_IPO_LISTEDDATE(B389)</f>
        <v>2011-11-03</v>
      </c>
    </row>
    <row r="390" spans="1:46">
      <c r="A390">
        <v>1445</v>
      </c>
      <c r="B390" t="str">
        <f>"300019"</f>
        <v>300019</v>
      </c>
      <c r="C390" t="s">
        <v>3226</v>
      </c>
      <c r="D390" t="str">
        <f>[1]!EM_S_INFO_INDEX_EM(B390,"1")</f>
        <v>基础化工</v>
      </c>
      <c r="E390" s="4">
        <f t="shared" si="6"/>
        <v>43465</v>
      </c>
      <c r="F390" s="11">
        <f>[1]!EM_S_PQ_PCTCHANGE(B390,"2018-01-01","2019-12-31","3")</f>
        <v>2.1765109300000001</v>
      </c>
      <c r="G390" s="11">
        <f>[1]!EM_S_PQ_PCTCHANGE(B390,"2018-12-31","2019-12-30","1")</f>
        <v>63.484087100000004</v>
      </c>
      <c r="H390" s="11">
        <f>[1]!EM_S_FA_YOY_OR(B390,E390)</f>
        <v>19.546331368600001</v>
      </c>
      <c r="I390" s="11">
        <f>[1]!EM_S_FA_GROSSPROFITMARGIN(B390,E390)</f>
        <v>24.466409460000001</v>
      </c>
      <c r="J390" s="11">
        <f>[1]!EM_S_FA_NETPROFITMARGIN(B390,E390)</f>
        <v>7.4828710252999997</v>
      </c>
      <c r="K390" s="10">
        <f>[1]!EM_S_FA_ASSETSTURN(B390,E390)</f>
        <v>0.87276615515800005</v>
      </c>
      <c r="L390" s="12">
        <f>[1]!EM_HKS_VAL_MV(B390,"2019-12-31","2")</f>
        <v>3348727744.1199999</v>
      </c>
      <c r="M390">
        <f>[1]!EM_S_VAL_PETTMDEDUCTED(B390,E390)</f>
        <v>67.837373243131694</v>
      </c>
      <c r="N390" s="7">
        <f>[1]!EM_S_VAL_PBGOODWILLDEDUCTED(B390,E390)</f>
        <v>2.62068067033865</v>
      </c>
      <c r="O390" s="7">
        <f>[1]!EM_S_VAL_PS_TTM(B390,E390)</f>
        <v>2.4187116709184502</v>
      </c>
      <c r="P390" s="7">
        <f>[1]!EM_S_VAL_PCF_NCFTTM(B390,E390)</f>
        <v>-83.743876836682801</v>
      </c>
      <c r="Q390" s="7">
        <f>[1]!EM_S_VAL_DIVIDENDYIELD2(B390,E390,"2019-11-29")</f>
        <v>0</v>
      </c>
      <c r="T390"/>
      <c r="U390">
        <f>[1]!EM_S_RATIO_EPS_TTM(B390,E390,"1")</f>
        <v>0.19683011125552413</v>
      </c>
      <c r="AT390" s="4" t="str">
        <f>[1]!EM_S_IPO_LISTEDDATE(B390)</f>
        <v>2009-10-30</v>
      </c>
    </row>
    <row r="391" spans="1:46">
      <c r="A391">
        <v>2225</v>
      </c>
      <c r="B391" t="str">
        <f>"600078"</f>
        <v>600078</v>
      </c>
      <c r="C391" t="s">
        <v>3001</v>
      </c>
      <c r="D391" t="str">
        <f>[1]!EM_S_INFO_INDEX_EM(B391,"1")</f>
        <v>基础化工</v>
      </c>
      <c r="E391" s="4">
        <f t="shared" si="6"/>
        <v>43465</v>
      </c>
      <c r="F391" s="11">
        <f>[1]!EM_S_PQ_PCTCHANGE(B391,"2018-01-01","2019-12-31","3")</f>
        <v>-1.2874436899999999</v>
      </c>
      <c r="G391" s="11">
        <f>[1]!EM_S_PQ_PCTCHANGE(B391,"2018-12-31","2019-12-30","1")</f>
        <v>63.406940059999997</v>
      </c>
      <c r="H391" s="11">
        <f>[1]!EM_S_FA_YOY_OR(B391,E391)</f>
        <v>5.1620550212999996</v>
      </c>
      <c r="I391" s="11">
        <f>[1]!EM_S_FA_GROSSPROFITMARGIN(B391,E391)</f>
        <v>16.263734660600001</v>
      </c>
      <c r="J391" s="11">
        <f>[1]!EM_S_FA_NETPROFITMARGIN(B391,E391)</f>
        <v>2.4746412189</v>
      </c>
      <c r="K391" s="10">
        <f>[1]!EM_S_FA_ASSETSTURN(B391,E391)</f>
        <v>0.39145891155099999</v>
      </c>
      <c r="L391" s="12">
        <f>[1]!EM_HKS_VAL_MV(B391,"2019-12-31","2")</f>
        <v>3418875962.7600002</v>
      </c>
      <c r="M391">
        <f>[1]!EM_S_VAL_PETTMDEDUCTED(B391,E391)</f>
        <v>-65.617277202389602</v>
      </c>
      <c r="N391" s="7">
        <f>[1]!EM_S_VAL_PBGOODWILLDEDUCTED(B391,E391)</f>
        <v>1.2525909023086901</v>
      </c>
      <c r="O391" s="7">
        <f>[1]!EM_S_VAL_PS_TTM(B391,E391)</f>
        <v>0.70741972884311199</v>
      </c>
      <c r="P391" s="7">
        <f>[1]!EM_S_VAL_PCF_NCFTTM(B391,E391)</f>
        <v>2.5380489635624</v>
      </c>
      <c r="Q391" s="7">
        <f>[1]!EM_S_VAL_DIVIDENDYIELD2(B391,E391,"2019-11-29")</f>
        <v>0.21008403361344538</v>
      </c>
      <c r="T391"/>
      <c r="U391">
        <f>[1]!EM_S_RATIO_EPS_TTM(B391,E391,"1")</f>
        <v>2.9179568388630395E-2</v>
      </c>
      <c r="AT391" s="4" t="str">
        <f>[1]!EM_S_IPO_LISTEDDATE(B391)</f>
        <v>1997-06-27</v>
      </c>
    </row>
    <row r="392" spans="1:46">
      <c r="A392">
        <v>1899</v>
      </c>
      <c r="B392" t="str">
        <f>"300474"</f>
        <v>300474</v>
      </c>
      <c r="C392" t="s">
        <v>1872</v>
      </c>
      <c r="D392" t="str">
        <f>[1]!EM_S_INFO_INDEX_EM(B392,"1")</f>
        <v>电子设备</v>
      </c>
      <c r="E392" s="4">
        <f t="shared" si="6"/>
        <v>43465</v>
      </c>
      <c r="F392" s="11">
        <f>[1]!EM_S_PQ_PCTCHANGE(B392,"2018-01-01","2019-12-31","3")</f>
        <v>9.4238905099999997</v>
      </c>
      <c r="G392" s="11">
        <f>[1]!EM_S_PQ_PCTCHANGE(B392,"2018-12-31","2019-12-30","1")</f>
        <v>63.27433628</v>
      </c>
      <c r="H392" s="11">
        <f>[1]!EM_S_FA_YOY_OR(B392,E392)</f>
        <v>29.705534657699999</v>
      </c>
      <c r="I392" s="11">
        <f>[1]!EM_S_FA_GROSSPROFITMARGIN(B392,E392)</f>
        <v>76.517716242199995</v>
      </c>
      <c r="J392" s="11">
        <f>[1]!EM_S_FA_NETPROFITMARGIN(B392,E392)</f>
        <v>35.820910043399998</v>
      </c>
      <c r="K392" s="10">
        <f>[1]!EM_S_FA_ASSETSTURN(B392,E392)</f>
        <v>0.222567327038</v>
      </c>
      <c r="L392" s="12">
        <f>[1]!EM_HKS_VAL_MV(B392,"2019-12-31","2")</f>
        <v>17648580189.720001</v>
      </c>
      <c r="M392">
        <f>[1]!EM_S_VAL_PETTMDEDUCTED(B392,E392)</f>
        <v>101.095747234933</v>
      </c>
      <c r="N392" s="7">
        <f>[1]!EM_S_VAL_PBGOODWILLDEDUCTED(B392,E392)</f>
        <v>4.9288540249567996</v>
      </c>
      <c r="O392" s="7">
        <f>[1]!EM_S_VAL_PS_TTM(B392,E392)</f>
        <v>30.9255289017397</v>
      </c>
      <c r="P392" s="7">
        <f>[1]!EM_S_VAL_PCF_NCFTTM(B392,E392)</f>
        <v>-239.96998676430201</v>
      </c>
      <c r="Q392" s="7">
        <f>[1]!EM_S_VAL_DIVIDENDYIELD2(B392,E392,"2019-11-29")</f>
        <v>0.31592798062805449</v>
      </c>
      <c r="T392"/>
      <c r="U392">
        <f>[1]!EM_S_RATIO_EPS_TTM(B392,E392,"1")</f>
        <v>0.47207884076374851</v>
      </c>
      <c r="AT392" s="4" t="str">
        <f>[1]!EM_S_IPO_LISTEDDATE(B392)</f>
        <v>2016-03-31</v>
      </c>
    </row>
    <row r="393" spans="1:46">
      <c r="A393">
        <v>2548</v>
      </c>
      <c r="B393" t="str">
        <f>"600456"</f>
        <v>600456</v>
      </c>
      <c r="C393" t="s">
        <v>3239</v>
      </c>
      <c r="D393" t="str">
        <f>[1]!EM_S_INFO_INDEX_EM(B393,"1")</f>
        <v>有色金属</v>
      </c>
      <c r="E393" s="4">
        <f t="shared" si="6"/>
        <v>43465</v>
      </c>
      <c r="F393" s="11">
        <f>[1]!EM_S_PQ_PCTCHANGE(B393,"2018-01-01","2019-12-31","3")</f>
        <v>3.7046915399999998</v>
      </c>
      <c r="G393" s="11">
        <f>[1]!EM_S_PQ_PCTCHANGE(B393,"2018-12-31","2019-12-30","1")</f>
        <v>63.22067594</v>
      </c>
      <c r="H393" s="11">
        <f>[1]!EM_S_FA_YOY_OR(B393,E393)</f>
        <v>18.558052057299999</v>
      </c>
      <c r="I393" s="11">
        <f>[1]!EM_S_FA_GROSSPROFITMARGIN(B393,E393)</f>
        <v>19.840044176199999</v>
      </c>
      <c r="J393" s="11">
        <f>[1]!EM_S_FA_NETPROFITMARGIN(B393,E393)</f>
        <v>4.8249449364999997</v>
      </c>
      <c r="K393" s="10">
        <f>[1]!EM_S_FA_ASSETSTURN(B393,E393)</f>
        <v>0.48114963586699999</v>
      </c>
      <c r="L393" s="12">
        <f>[1]!EM_HKS_VAL_MV(B393,"2019-12-31","2")</f>
        <v>10451153853</v>
      </c>
      <c r="M393">
        <f>[1]!EM_S_VAL_PETTMDEDUCTED(B393,E393)</f>
        <v>58.861006813984901</v>
      </c>
      <c r="N393" s="7">
        <f>[1]!EM_S_VAL_PBGOODWILLDEDUCTED(B393,E393)</f>
        <v>1.8317558588648899</v>
      </c>
      <c r="O393" s="7">
        <f>[1]!EM_S_VAL_PS_TTM(B393,E393)</f>
        <v>1.88447849500547</v>
      </c>
      <c r="P393" s="7">
        <f>[1]!EM_S_VAL_PCF_NCFTTM(B393,E393)</f>
        <v>55.201592085031699</v>
      </c>
      <c r="Q393" s="7">
        <f>[1]!EM_S_VAL_DIVIDENDYIELD2(B393,E393,"2019-11-29")</f>
        <v>0.45146726862302478</v>
      </c>
      <c r="T393"/>
      <c r="U393">
        <f>[1]!EM_S_RATIO_EPS_TTM(B393,E393,"1")</f>
        <v>0.32791882250897531</v>
      </c>
      <c r="AT393" s="4" t="str">
        <f>[1]!EM_S_IPO_LISTEDDATE(B393)</f>
        <v>2002-04-12</v>
      </c>
    </row>
    <row r="394" spans="1:46">
      <c r="A394">
        <v>2148</v>
      </c>
      <c r="B394" t="str">
        <f>"300735"</f>
        <v>300735</v>
      </c>
      <c r="C394" t="s">
        <v>2235</v>
      </c>
      <c r="D394" t="str">
        <f>[1]!EM_S_INFO_INDEX_EM(B394,"1")</f>
        <v>电子设备</v>
      </c>
      <c r="E394" s="4">
        <f t="shared" si="6"/>
        <v>43465</v>
      </c>
      <c r="F394" s="11">
        <f>[1]!EM_S_PQ_PCTCHANGE(B394,"2018-01-01","2019-12-31","3")</f>
        <v>141.27934791000001</v>
      </c>
      <c r="G394" s="11">
        <f>[1]!EM_S_PQ_PCTCHANGE(B394,"2018-12-31","2019-12-30","1")</f>
        <v>63.078848559999997</v>
      </c>
      <c r="H394" s="11">
        <f>[1]!EM_S_FA_YOY_OR(B394,E394)</f>
        <v>25.4275208611</v>
      </c>
      <c r="I394" s="11">
        <f>[1]!EM_S_FA_GROSSPROFITMARGIN(B394,E394)</f>
        <v>31.911540844200001</v>
      </c>
      <c r="J394" s="11">
        <f>[1]!EM_S_FA_NETPROFITMARGIN(B394,E394)</f>
        <v>17.1335366705</v>
      </c>
      <c r="K394" s="10">
        <f>[1]!EM_S_FA_ASSETSTURN(B394,E394)</f>
        <v>0.80063296320599997</v>
      </c>
      <c r="L394" s="12">
        <f>[1]!EM_HKS_VAL_MV(B394,"2019-12-31","2")</f>
        <v>12025070720</v>
      </c>
      <c r="M394">
        <f>[1]!EM_S_VAL_PETTMDEDUCTED(B394,E394)</f>
        <v>30.7834161017499</v>
      </c>
      <c r="N394" s="7">
        <f>[1]!EM_S_VAL_PBGOODWILLDEDUCTED(B394,E394)</f>
        <v>3.1254805941828501</v>
      </c>
      <c r="O394" s="7">
        <f>[1]!EM_S_VAL_PS_TTM(B394,E394)</f>
        <v>4.0076880984573</v>
      </c>
      <c r="P394" s="7">
        <f>[1]!EM_S_VAL_PCF_NCFTTM(B394,E394)</f>
        <v>68.207048257697807</v>
      </c>
      <c r="Q394" s="7">
        <f>[1]!EM_S_VAL_DIVIDENDYIELD2(B394,E394,"2019-11-29")</f>
        <v>0.86592581902150378</v>
      </c>
      <c r="T394"/>
      <c r="U394">
        <f>[1]!EM_S_RATIO_EPS_TTM(B394,E394,"1")</f>
        <v>0.7706052875267847</v>
      </c>
      <c r="AT394" s="4" t="str">
        <f>[1]!EM_S_IPO_LISTEDDATE(B394)</f>
        <v>2017-12-29</v>
      </c>
    </row>
    <row r="395" spans="1:46">
      <c r="A395">
        <v>2291</v>
      </c>
      <c r="B395" t="str">
        <f>"600150"</f>
        <v>600150</v>
      </c>
      <c r="C395" t="s">
        <v>2641</v>
      </c>
      <c r="D395" t="str">
        <f>[1]!EM_S_INFO_INDEX_EM(B395,"1")</f>
        <v>国防与装备</v>
      </c>
      <c r="E395" s="4">
        <f t="shared" si="6"/>
        <v>43465</v>
      </c>
      <c r="F395" s="11">
        <f>[1]!EM_S_PQ_PCTCHANGE(B395,"2018-01-01","2019-12-31","3")</f>
        <v>-11.308875929999999</v>
      </c>
      <c r="G395" s="11">
        <f>[1]!EM_S_PQ_PCTCHANGE(B395,"2018-12-31","2019-12-30","1")</f>
        <v>62.909367860000003</v>
      </c>
      <c r="H395" s="11">
        <f>[1]!EM_S_FA_YOY_OR(B395,E395)</f>
        <v>1.3133103329</v>
      </c>
      <c r="I395" s="11">
        <f>[1]!EM_S_FA_GROSSPROFITMARGIN(B395,E395)</f>
        <v>13.3224250548</v>
      </c>
      <c r="J395" s="11">
        <f>[1]!EM_S_FA_NETPROFITMARGIN(B395,E395)</f>
        <v>3.5880240176</v>
      </c>
      <c r="K395" s="10">
        <f>[1]!EM_S_FA_ASSETSTURN(B395,E395)</f>
        <v>0.34653400150699998</v>
      </c>
      <c r="L395" s="12">
        <f>[1]!EM_HKS_VAL_MV(B395,"2019-12-31","2")</f>
        <v>29987838932.48</v>
      </c>
      <c r="M395">
        <f>[1]!EM_S_VAL_PETTMDEDUCTED(B395,E395)</f>
        <v>-6.4944806683944902</v>
      </c>
      <c r="N395" s="7">
        <f>[1]!EM_S_VAL_PBGOODWILLDEDUCTED(B395,E395)</f>
        <v>1.19870926505046</v>
      </c>
      <c r="O395" s="7">
        <f>[1]!EM_S_VAL_PS_TTM(B395,E395)</f>
        <v>1.1584752223738299</v>
      </c>
      <c r="P395" s="7">
        <f>[1]!EM_S_VAL_PCF_NCFTTM(B395,E395)</f>
        <v>-9.4876141722778407</v>
      </c>
      <c r="Q395" s="7">
        <f>[1]!EM_S_VAL_DIVIDENDYIELD2(B395,E395,"2019-11-29")</f>
        <v>0.53154495777446598</v>
      </c>
      <c r="T395"/>
      <c r="U395">
        <f>[1]!EM_S_RATIO_EPS_TTM(B395,E395,"1")</f>
        <v>0.3549866545278671</v>
      </c>
      <c r="AT395" s="4" t="str">
        <f>[1]!EM_S_IPO_LISTEDDATE(B395)</f>
        <v>1998-05-20</v>
      </c>
    </row>
    <row r="396" spans="1:46">
      <c r="A396">
        <v>1090</v>
      </c>
      <c r="B396" t="str">
        <f>"002579"</f>
        <v>002579</v>
      </c>
      <c r="C396" t="s">
        <v>1804</v>
      </c>
      <c r="D396" t="str">
        <f>[1]!EM_S_INFO_INDEX_EM(B396,"1")</f>
        <v>电子设备</v>
      </c>
      <c r="E396" s="4">
        <f t="shared" si="6"/>
        <v>43465</v>
      </c>
      <c r="F396" s="11">
        <f>[1]!EM_S_PQ_PCTCHANGE(B396,"2018-01-01","2019-12-31","3")</f>
        <v>39.487939740000002</v>
      </c>
      <c r="G396" s="11">
        <f>[1]!EM_S_PQ_PCTCHANGE(B396,"2018-12-31","2019-12-30","1")</f>
        <v>62.863795109999998</v>
      </c>
      <c r="H396" s="11">
        <f>[1]!EM_S_FA_YOY_OR(B396,E396)</f>
        <v>63.6089359562</v>
      </c>
      <c r="I396" s="11">
        <f>[1]!EM_S_FA_GROSSPROFITMARGIN(B396,E396)</f>
        <v>20.479437711100001</v>
      </c>
      <c r="J396" s="11">
        <f>[1]!EM_S_FA_NETPROFITMARGIN(B396,E396)</f>
        <v>5.3122060035000001</v>
      </c>
      <c r="K396" s="10">
        <f>[1]!EM_S_FA_ASSETSTURN(B396,E396)</f>
        <v>0.79144334096900004</v>
      </c>
      <c r="L396" s="12">
        <f>[1]!EM_HKS_VAL_MV(B396,"2019-12-31","2")</f>
        <v>5186197785.6000004</v>
      </c>
      <c r="M396">
        <f>[1]!EM_S_VAL_PETTMDEDUCTED(B396,E396)</f>
        <v>48.867547762279301</v>
      </c>
      <c r="N396" s="7">
        <f>[1]!EM_S_VAL_PBGOODWILLDEDUCTED(B396,E396)</f>
        <v>3.6323393277080198</v>
      </c>
      <c r="O396" s="7">
        <f>[1]!EM_S_VAL_PS_TTM(B396,E396)</f>
        <v>2.09537842755172</v>
      </c>
      <c r="P396" s="7">
        <f>[1]!EM_S_VAL_PCF_NCFTTM(B396,E396)</f>
        <v>31.718621417293001</v>
      </c>
      <c r="Q396" s="7">
        <f>[1]!EM_S_VAL_DIVIDENDYIELD2(B396,E396,"2019-11-29")</f>
        <v>0.84433739711951683</v>
      </c>
      <c r="T396"/>
      <c r="U396">
        <f>[1]!EM_S_RATIO_EPS_TTM(B396,E396,"1")</f>
        <v>0.21878734408733685</v>
      </c>
      <c r="AT396" s="4" t="str">
        <f>[1]!EM_S_IPO_LISTEDDATE(B396)</f>
        <v>2011-05-06</v>
      </c>
    </row>
    <row r="397" spans="1:46">
      <c r="A397">
        <v>3064</v>
      </c>
      <c r="B397" t="str">
        <f>"601155"</f>
        <v>601155</v>
      </c>
      <c r="C397" t="s">
        <v>1584</v>
      </c>
      <c r="D397" t="str">
        <f>[1]!EM_S_INFO_INDEX_EM(B397,"1")</f>
        <v>房地产</v>
      </c>
      <c r="E397" s="4">
        <f t="shared" si="6"/>
        <v>43465</v>
      </c>
      <c r="F397" s="11">
        <f>[1]!EM_S_PQ_PCTCHANGE(B397,"2018-01-01","2019-12-31","3")</f>
        <v>41.202360259999999</v>
      </c>
      <c r="G397" s="11">
        <f>[1]!EM_S_PQ_PCTCHANGE(B397,"2018-12-31","2019-12-30","1")</f>
        <v>62.769100889999997</v>
      </c>
      <c r="H397" s="11">
        <f>[1]!EM_S_FA_YOY_OR(B397,E397)</f>
        <v>33.577782145100002</v>
      </c>
      <c r="I397" s="11">
        <f>[1]!EM_S_FA_GROSSPROFITMARGIN(B397,E397)</f>
        <v>36.687325274300001</v>
      </c>
      <c r="J397" s="11">
        <f>[1]!EM_S_FA_NETPROFITMARGIN(B397,E397)</f>
        <v>22.553230795400001</v>
      </c>
      <c r="K397" s="10">
        <f>[1]!EM_S_FA_ASSETSTURN(B397,E397)</f>
        <v>0.210698956677</v>
      </c>
      <c r="L397" s="12">
        <f>[1]!EM_HKS_VAL_MV(B397,"2019-12-31","2")</f>
        <v>87380360481.919998</v>
      </c>
      <c r="M397">
        <f>[1]!EM_S_VAL_PETTMDEDUCTED(B397,E397)</f>
        <v>9.2673466552912007</v>
      </c>
      <c r="N397" s="7">
        <f>[1]!EM_S_VAL_PBGOODWILLDEDUCTED(B397,E397)</f>
        <v>1.8126760146092999</v>
      </c>
      <c r="O397" s="7">
        <f>[1]!EM_S_VAL_PS_TTM(B397,E397)</f>
        <v>1.1031202715972199</v>
      </c>
      <c r="P397" s="7">
        <f>[1]!EM_S_VAL_PCF_NCFTTM(B397,E397)</f>
        <v>3.5042282282168</v>
      </c>
      <c r="Q397" s="7">
        <f>[1]!EM_S_VAL_DIVIDENDYIELD2(B397,E397,"2019-11-29")</f>
        <v>4.5941807044410412</v>
      </c>
      <c r="T397"/>
      <c r="U397">
        <f>[1]!EM_S_RATIO_EPS_TTM(B397,E397,"1")</f>
        <v>4.6489005311701836</v>
      </c>
      <c r="AT397" s="4" t="str">
        <f>[1]!EM_S_IPO_LISTEDDATE(B397)</f>
        <v>2015-12-04</v>
      </c>
    </row>
    <row r="398" spans="1:46">
      <c r="A398">
        <v>2740</v>
      </c>
      <c r="B398" t="str">
        <f>"600667"</f>
        <v>600667</v>
      </c>
      <c r="C398" t="s">
        <v>1957</v>
      </c>
      <c r="D398" t="str">
        <f>[1]!EM_S_INFO_INDEX_EM(B398,"1")</f>
        <v>建筑</v>
      </c>
      <c r="E398" s="4">
        <f t="shared" si="6"/>
        <v>43465</v>
      </c>
      <c r="F398" s="11">
        <f>[1]!EM_S_PQ_PCTCHANGE(B398,"2018-01-01","2019-12-31","3")</f>
        <v>-6.47799295</v>
      </c>
      <c r="G398" s="11">
        <f>[1]!EM_S_PQ_PCTCHANGE(B398,"2018-12-31","2019-12-30","1")</f>
        <v>62.426614479999998</v>
      </c>
      <c r="H398" s="11">
        <f>[1]!EM_S_FA_YOY_OR(B398,E398)</f>
        <v>30.066483852800001</v>
      </c>
      <c r="I398" s="11">
        <f>[1]!EM_S_FA_GROSSPROFITMARGIN(B398,E398)</f>
        <v>13.252895107700001</v>
      </c>
      <c r="J398" s="11">
        <f>[1]!EM_S_FA_NETPROFITMARGIN(B398,E398)</f>
        <v>4.3104037817999998</v>
      </c>
      <c r="K398" s="10">
        <f>[1]!EM_S_FA_ASSETSTURN(B398,E398)</f>
        <v>0.90177181744000001</v>
      </c>
      <c r="L398" s="12">
        <f>[1]!EM_HKS_VAL_MV(B398,"2019-12-31","2")</f>
        <v>17081202343.58</v>
      </c>
      <c r="M398">
        <f>[1]!EM_S_VAL_PETTMDEDUCTED(B398,E398)</f>
        <v>22.597140306152198</v>
      </c>
      <c r="N398" s="7">
        <f>[1]!EM_S_VAL_PBGOODWILLDEDUCTED(B398,E398)</f>
        <v>1.8353660714562801</v>
      </c>
      <c r="O398" s="7">
        <f>[1]!EM_S_VAL_PS_TTM(B398,E398)</f>
        <v>0.71963010388605497</v>
      </c>
      <c r="P398" s="7">
        <f>[1]!EM_S_VAL_PCF_NCFTTM(B398,E398)</f>
        <v>19.971906329823799</v>
      </c>
      <c r="Q398" s="7">
        <f>[1]!EM_S_VAL_DIVIDENDYIELD2(B398,E398,"2019-11-29")</f>
        <v>1.9571428571428573</v>
      </c>
      <c r="T398"/>
      <c r="U398">
        <f>[1]!EM_S_RATIO_EPS_TTM(B398,E398,"1")</f>
        <v>0.27201964903949905</v>
      </c>
      <c r="AT398" s="4" t="str">
        <f>[1]!EM_S_IPO_LISTEDDATE(B398)</f>
        <v>1993-07-28</v>
      </c>
    </row>
    <row r="399" spans="1:46">
      <c r="A399">
        <v>1684</v>
      </c>
      <c r="B399" t="str">
        <f>"300259"</f>
        <v>300259</v>
      </c>
      <c r="C399" t="s">
        <v>2262</v>
      </c>
      <c r="D399" t="str">
        <f>[1]!EM_S_INFO_INDEX_EM(B399,"1")</f>
        <v>机械设备</v>
      </c>
      <c r="E399" s="4">
        <f t="shared" si="6"/>
        <v>43465</v>
      </c>
      <c r="F399" s="11">
        <f>[1]!EM_S_PQ_PCTCHANGE(B399,"2018-01-01","2019-12-31","3")</f>
        <v>1.6860583600000001</v>
      </c>
      <c r="G399" s="11">
        <f>[1]!EM_S_PQ_PCTCHANGE(B399,"2018-12-31","2019-12-30","1")</f>
        <v>62.31884058</v>
      </c>
      <c r="H399" s="11">
        <f>[1]!EM_S_FA_YOY_OR(B399,E399)</f>
        <v>14.816160634599999</v>
      </c>
      <c r="I399" s="11">
        <f>[1]!EM_S_FA_GROSSPROFITMARGIN(B399,E399)</f>
        <v>49.8670048683</v>
      </c>
      <c r="J399" s="11">
        <f>[1]!EM_S_FA_NETPROFITMARGIN(B399,E399)</f>
        <v>18.352484419100001</v>
      </c>
      <c r="K399" s="10">
        <f>[1]!EM_S_FA_ASSETSTURN(B399,E399)</f>
        <v>0.358328908833</v>
      </c>
      <c r="L399" s="12">
        <f>[1]!EM_HKS_VAL_MV(B399,"2019-12-31","2")</f>
        <v>5125868696.8800001</v>
      </c>
      <c r="M399">
        <f>[1]!EM_S_VAL_PETTMDEDUCTED(B399,E399)</f>
        <v>23.9652883968281</v>
      </c>
      <c r="N399" s="7">
        <f>[1]!EM_S_VAL_PBGOODWILLDEDUCTED(B399,E399)</f>
        <v>1.76558227526325</v>
      </c>
      <c r="O399" s="7">
        <f>[1]!EM_S_VAL_PS_TTM(B399,E399)</f>
        <v>3.95091832248163</v>
      </c>
      <c r="P399" s="7">
        <f>[1]!EM_S_VAL_PCF_NCFTTM(B399,E399)</f>
        <v>-17.822563498527501</v>
      </c>
      <c r="Q399" s="7">
        <f>[1]!EM_S_VAL_DIVIDENDYIELD2(B399,E399,"2019-11-29")</f>
        <v>0.27932960893854747</v>
      </c>
      <c r="T399"/>
      <c r="U399">
        <f>[1]!EM_S_RATIO_EPS_TTM(B399,E399,"1")</f>
        <v>0.12682157299699917</v>
      </c>
      <c r="AT399" s="4" t="str">
        <f>[1]!EM_S_IPO_LISTEDDATE(B399)</f>
        <v>2011-08-31</v>
      </c>
    </row>
    <row r="400" spans="1:46">
      <c r="A400">
        <v>1831</v>
      </c>
      <c r="B400" t="str">
        <f>"300406"</f>
        <v>300406</v>
      </c>
      <c r="C400" t="s">
        <v>559</v>
      </c>
      <c r="D400" t="str">
        <f>[1]!EM_S_INFO_INDEX_EM(B400,"1")</f>
        <v>医药生物</v>
      </c>
      <c r="E400" s="4">
        <f t="shared" si="6"/>
        <v>43465</v>
      </c>
      <c r="F400" s="11">
        <f>[1]!EM_S_PQ_PCTCHANGE(B400,"2018-01-01","2019-12-31","3")</f>
        <v>10.28775469</v>
      </c>
      <c r="G400" s="11">
        <f>[1]!EM_S_PQ_PCTCHANGE(B400,"2018-12-31","2019-12-30","1")</f>
        <v>62.156663279999997</v>
      </c>
      <c r="H400" s="11">
        <f>[1]!EM_S_FA_YOY_OR(B400,E400)</f>
        <v>11.508489465</v>
      </c>
      <c r="I400" s="11">
        <f>[1]!EM_S_FA_GROSSPROFITMARGIN(B400,E400)</f>
        <v>68.709801793799997</v>
      </c>
      <c r="J400" s="11">
        <f>[1]!EM_S_FA_NETPROFITMARGIN(B400,E400)</f>
        <v>38.836702094899998</v>
      </c>
      <c r="K400" s="10">
        <f>[1]!EM_S_FA_ASSETSTURN(B400,E400)</f>
        <v>0.42497541494699997</v>
      </c>
      <c r="L400" s="12">
        <f>[1]!EM_HKS_VAL_MV(B400,"2019-12-31","2")</f>
        <v>8159071953.1800003</v>
      </c>
      <c r="M400">
        <f>[1]!EM_S_VAL_PETTMDEDUCTED(B400,E400)</f>
        <v>18.023280347424102</v>
      </c>
      <c r="N400" s="7">
        <f>[1]!EM_S_VAL_PBGOODWILLDEDUCTED(B400,E400)</f>
        <v>3.4726637793487001</v>
      </c>
      <c r="O400" s="7">
        <f>[1]!EM_S_VAL_PS_TTM(B400,E400)</f>
        <v>6.5373779714612503</v>
      </c>
      <c r="P400" s="7">
        <f>[1]!EM_S_VAL_PCF_NCFTTM(B400,E400)</f>
        <v>-218.776274290391</v>
      </c>
      <c r="Q400" s="7">
        <f>[1]!EM_S_VAL_DIVIDENDYIELD2(B400,E400,"2019-11-29")</f>
        <v>0.87209302325581395</v>
      </c>
      <c r="T400"/>
      <c r="U400">
        <f>[1]!EM_S_RATIO_EPS_TTM(B400,E400,"1")</f>
        <v>0.59918793491217859</v>
      </c>
      <c r="AT400" s="4" t="str">
        <f>[1]!EM_S_IPO_LISTEDDATE(B400)</f>
        <v>2014-10-30</v>
      </c>
    </row>
    <row r="401" spans="1:46">
      <c r="A401">
        <v>2405</v>
      </c>
      <c r="B401" t="str">
        <f>"600276"</f>
        <v>600276</v>
      </c>
      <c r="C401" t="s">
        <v>205</v>
      </c>
      <c r="D401" t="str">
        <f>[1]!EM_S_INFO_INDEX_EM(B401,"1")</f>
        <v>医药生物</v>
      </c>
      <c r="E401" s="4">
        <f t="shared" si="6"/>
        <v>43465</v>
      </c>
      <c r="F401" s="11">
        <f>[1]!EM_S_PQ_PCTCHANGE(B401,"2018-01-01","2019-12-31","3")</f>
        <v>98.797553320000006</v>
      </c>
      <c r="G401" s="11">
        <f>[1]!EM_S_PQ_PCTCHANGE(B401,"2018-12-31","2019-12-30","1")</f>
        <v>62.085308060000003</v>
      </c>
      <c r="H401" s="11">
        <f>[1]!EM_S_FA_YOY_OR(B401,E401)</f>
        <v>25.891642398399998</v>
      </c>
      <c r="I401" s="11">
        <f>[1]!EM_S_FA_GROSSPROFITMARGIN(B401,E401)</f>
        <v>86.596731267099997</v>
      </c>
      <c r="J401" s="11">
        <f>[1]!EM_S_FA_NETPROFITMARGIN(B401,E401)</f>
        <v>23.316152035199998</v>
      </c>
      <c r="K401" s="10">
        <f>[1]!EM_S_FA_ASSETSTURN(B401,E401)</f>
        <v>0.862259216361</v>
      </c>
      <c r="L401" s="12">
        <f>[1]!EM_HKS_VAL_MV(B401,"2019-12-31","2")</f>
        <v>387084698521.44</v>
      </c>
      <c r="M401">
        <f>[1]!EM_S_VAL_PETTMDEDUCTED(B401,E401)</f>
        <v>53.8691172290997</v>
      </c>
      <c r="N401" s="7">
        <f>[1]!EM_S_VAL_PBGOODWILLDEDUCTED(B401,E401)</f>
        <v>9.8452865362822806</v>
      </c>
      <c r="O401" s="7">
        <f>[1]!EM_S_VAL_PS_TTM(B401,E401)</f>
        <v>11.968587318753</v>
      </c>
      <c r="P401" s="7">
        <f>[1]!EM_S_VAL_PCF_NCFTTM(B401,E401)</f>
        <v>199.453055581222</v>
      </c>
      <c r="Q401" s="7">
        <f>[1]!EM_S_VAL_DIVIDENDYIELD2(B401,E401,"2019-11-29")</f>
        <v>0.21343709425564175</v>
      </c>
      <c r="T401"/>
      <c r="U401">
        <f>[1]!EM_S_RATIO_EPS_TTM(B401,E401,"1")</f>
        <v>1.1041620127769898</v>
      </c>
      <c r="AT401" s="4" t="str">
        <f>[1]!EM_S_IPO_LISTEDDATE(B401)</f>
        <v>2000-10-18</v>
      </c>
    </row>
    <row r="402" spans="1:46">
      <c r="A402">
        <v>3585</v>
      </c>
      <c r="B402" t="str">
        <f>"603888"</f>
        <v>603888</v>
      </c>
      <c r="C402" t="s">
        <v>2345</v>
      </c>
      <c r="D402" t="str">
        <f>[1]!EM_S_INFO_INDEX_EM(B402,"1")</f>
        <v>互联网</v>
      </c>
      <c r="E402" s="4">
        <f t="shared" si="6"/>
        <v>43465</v>
      </c>
      <c r="F402" s="11">
        <f>[1]!EM_S_PQ_PCTCHANGE(B402,"2018-01-01","2019-12-31","3")</f>
        <v>-8.6730225500000007</v>
      </c>
      <c r="G402" s="11">
        <f>[1]!EM_S_PQ_PCTCHANGE(B402,"2018-12-31","2019-12-30","1")</f>
        <v>62.071651090000003</v>
      </c>
      <c r="H402" s="11">
        <f>[1]!EM_S_FA_YOY_OR(B402,E402)</f>
        <v>4.5005692280999998</v>
      </c>
      <c r="I402" s="11">
        <f>[1]!EM_S_FA_GROSSPROFITMARGIN(B402,E402)</f>
        <v>45.150544573300003</v>
      </c>
      <c r="J402" s="11">
        <f>[1]!EM_S_FA_NETPROFITMARGIN(B402,E402)</f>
        <v>18.024772126999999</v>
      </c>
      <c r="K402" s="10">
        <f>[1]!EM_S_FA_ASSETSTURN(B402,E402)</f>
        <v>0.40668859973499999</v>
      </c>
      <c r="L402" s="12">
        <f>[1]!EM_HKS_VAL_MV(B402,"2019-12-31","2")</f>
        <v>10951519496</v>
      </c>
      <c r="M402">
        <f>[1]!EM_S_VAL_PETTMDEDUCTED(B402,E402)</f>
        <v>35.289218685654497</v>
      </c>
      <c r="N402" s="7">
        <f>[1]!EM_S_VAL_PBGOODWILLDEDUCTED(B402,E402)</f>
        <v>2.3518996895530502</v>
      </c>
      <c r="O402" s="7">
        <f>[1]!EM_S_VAL_PS_TTM(B402,E402)</f>
        <v>4.2536500750810404</v>
      </c>
      <c r="P402" s="7">
        <f>[1]!EM_S_VAL_PCF_NCFTTM(B402,E402)</f>
        <v>111.21218307297001</v>
      </c>
      <c r="Q402" s="7">
        <f>[1]!EM_S_VAL_DIVIDENDYIELD2(B402,E402,"2019-11-29")</f>
        <v>1.222879684418146</v>
      </c>
      <c r="T402"/>
      <c r="U402">
        <f>[1]!EM_S_RATIO_EPS_TTM(B402,E402,"1")</f>
        <v>0.54928790411779405</v>
      </c>
      <c r="AT402" s="4" t="str">
        <f>[1]!EM_S_IPO_LISTEDDATE(B402)</f>
        <v>2016-10-28</v>
      </c>
    </row>
    <row r="403" spans="1:46">
      <c r="A403">
        <v>826</v>
      </c>
      <c r="B403" t="str">
        <f>"002315"</f>
        <v>002315</v>
      </c>
      <c r="C403" t="s">
        <v>2673</v>
      </c>
      <c r="D403" t="str">
        <f>[1]!EM_S_INFO_INDEX_EM(B403,"1")</f>
        <v>互联网</v>
      </c>
      <c r="E403" s="4">
        <f t="shared" si="6"/>
        <v>43465</v>
      </c>
      <c r="F403" s="11">
        <f>[1]!EM_S_PQ_PCTCHANGE(B403,"2018-01-01","2019-12-31","3")</f>
        <v>-6.3791322900000003</v>
      </c>
      <c r="G403" s="11">
        <f>[1]!EM_S_PQ_PCTCHANGE(B403,"2018-12-31","2019-12-30","1")</f>
        <v>61.896697709999998</v>
      </c>
      <c r="H403" s="11">
        <f>[1]!EM_S_FA_YOY_OR(B403,E403)</f>
        <v>-27.735940292399999</v>
      </c>
      <c r="I403" s="11">
        <f>[1]!EM_S_FA_GROSSPROFITMARGIN(B403,E403)</f>
        <v>69.558370756299993</v>
      </c>
      <c r="J403" s="11">
        <f>[1]!EM_S_FA_NETPROFITMARGIN(B403,E403)</f>
        <v>6.1475078420999996</v>
      </c>
      <c r="K403" s="10">
        <f>[1]!EM_S_FA_ASSETSTURN(B403,E403)</f>
        <v>0.35306271943099998</v>
      </c>
      <c r="L403" s="12">
        <f>[1]!EM_HKS_VAL_MV(B403,"2019-12-31","2")</f>
        <v>4493200000</v>
      </c>
      <c r="M403">
        <f>[1]!EM_S_VAL_PETTMDEDUCTED(B403,E403)</f>
        <v>71.778754984799903</v>
      </c>
      <c r="N403" s="7">
        <f>[1]!EM_S_VAL_PBGOODWILLDEDUCTED(B403,E403)</f>
        <v>1.56537667017666</v>
      </c>
      <c r="O403" s="7">
        <f>[1]!EM_S_VAL_PS_TTM(B403,E403)</f>
        <v>3.03236538654583</v>
      </c>
      <c r="P403" s="7">
        <f>[1]!EM_S_VAL_PCF_NCFTTM(B403,E403)</f>
        <v>22.431895921175698</v>
      </c>
      <c r="Q403" s="7">
        <f>[1]!EM_S_VAL_DIVIDENDYIELD2(B403,E403,"2019-11-29")</f>
        <v>2.7932960893854748</v>
      </c>
      <c r="T403"/>
      <c r="U403">
        <f>[1]!EM_S_RATIO_EPS_TTM(B403,E403,"1")</f>
        <v>0.23959843531914893</v>
      </c>
      <c r="AT403" s="4" t="str">
        <f>[1]!EM_S_IPO_LISTEDDATE(B403)</f>
        <v>2009-12-09</v>
      </c>
    </row>
    <row r="404" spans="1:46">
      <c r="A404">
        <v>1919</v>
      </c>
      <c r="B404" t="str">
        <f>"300494"</f>
        <v>300494</v>
      </c>
      <c r="C404" t="s">
        <v>1315</v>
      </c>
      <c r="D404" t="str">
        <f>[1]!EM_S_INFO_INDEX_EM(B404,"1")</f>
        <v>互联网</v>
      </c>
      <c r="E404" s="4">
        <f t="shared" si="6"/>
        <v>43465</v>
      </c>
      <c r="F404" s="11">
        <f>[1]!EM_S_PQ_PCTCHANGE(B404,"2018-01-01","2019-12-31","3")</f>
        <v>-12.9511333</v>
      </c>
      <c r="G404" s="11">
        <f>[1]!EM_S_PQ_PCTCHANGE(B404,"2018-12-31","2019-12-30","1")</f>
        <v>61.847389560000003</v>
      </c>
      <c r="H404" s="11">
        <f>[1]!EM_S_FA_YOY_OR(B404,E404)</f>
        <v>27.383564535800001</v>
      </c>
      <c r="I404" s="11">
        <f>[1]!EM_S_FA_GROSSPROFITMARGIN(B404,E404)</f>
        <v>36.430264555199997</v>
      </c>
      <c r="J404" s="11">
        <f>[1]!EM_S_FA_NETPROFITMARGIN(B404,E404)</f>
        <v>10.802398389</v>
      </c>
      <c r="K404" s="10">
        <f>[1]!EM_S_FA_ASSETSTURN(B404,E404)</f>
        <v>0.46716797977000002</v>
      </c>
      <c r="L404" s="12">
        <f>[1]!EM_HKS_VAL_MV(B404,"2019-12-31","2")</f>
        <v>3808800000</v>
      </c>
      <c r="M404">
        <f>[1]!EM_S_VAL_PETTMDEDUCTED(B404,E404)</f>
        <v>40.449486423215099</v>
      </c>
      <c r="N404" s="7">
        <f>[1]!EM_S_VAL_PBGOODWILLDEDUCTED(B404,E404)</f>
        <v>2.4178339415996102</v>
      </c>
      <c r="O404" s="7">
        <f>[1]!EM_S_VAL_PS_TTM(B404,E404)</f>
        <v>5.0143267423664</v>
      </c>
      <c r="P404" s="7">
        <f>[1]!EM_S_VAL_PCF_NCFTTM(B404,E404)</f>
        <v>51.208907635239498</v>
      </c>
      <c r="Q404" s="7">
        <f>[1]!EM_S_VAL_DIVIDENDYIELD2(B404,E404,"2019-11-29")</f>
        <v>0.52449965493443751</v>
      </c>
      <c r="T404"/>
      <c r="U404">
        <f>[1]!EM_S_RATIO_EPS_TTM(B404,E404,"1")</f>
        <v>0.22267286387499999</v>
      </c>
      <c r="AT404" s="4" t="str">
        <f>[1]!EM_S_IPO_LISTEDDATE(B404)</f>
        <v>2015-12-31</v>
      </c>
    </row>
    <row r="405" spans="1:46">
      <c r="A405">
        <v>2228</v>
      </c>
      <c r="B405" t="str">
        <f>"600081"</f>
        <v>600081</v>
      </c>
      <c r="C405" t="s">
        <v>532</v>
      </c>
      <c r="D405" t="str">
        <f>[1]!EM_S_INFO_INDEX_EM(B405,"1")</f>
        <v>交运设备</v>
      </c>
      <c r="E405" s="4">
        <f t="shared" si="6"/>
        <v>43465</v>
      </c>
      <c r="F405" s="11">
        <f>[1]!EM_S_PQ_PCTCHANGE(B405,"2018-01-01","2019-12-31","3")</f>
        <v>-1.00967553</v>
      </c>
      <c r="G405" s="11">
        <f>[1]!EM_S_PQ_PCTCHANGE(B405,"2018-12-31","2019-12-30","1")</f>
        <v>61.82572614</v>
      </c>
      <c r="H405" s="11">
        <f>[1]!EM_S_FA_YOY_OR(B405,E405)</f>
        <v>3.2130146310000001</v>
      </c>
      <c r="I405" s="11">
        <f>[1]!EM_S_FA_GROSSPROFITMARGIN(B405,E405)</f>
        <v>16.655526558199998</v>
      </c>
      <c r="J405" s="11">
        <f>[1]!EM_S_FA_NETPROFITMARGIN(B405,E405)</f>
        <v>4.3101074557999999</v>
      </c>
      <c r="K405" s="10">
        <f>[1]!EM_S_FA_ASSETSTURN(B405,E405)</f>
        <v>1.1820648969600001</v>
      </c>
      <c r="L405" s="12">
        <f>[1]!EM_HKS_VAL_MV(B405,"2019-12-31","2")</f>
        <v>3627889200</v>
      </c>
      <c r="M405">
        <f>[1]!EM_S_VAL_PETTMDEDUCTED(B405,E405)</f>
        <v>17.017932215071902</v>
      </c>
      <c r="N405" s="7">
        <f>[1]!EM_S_VAL_PBGOODWILLDEDUCTED(B405,E405)</f>
        <v>1.75692705984028</v>
      </c>
      <c r="O405" s="7">
        <f>[1]!EM_S_VAL_PS_TTM(B405,E405)</f>
        <v>0.35923078229238498</v>
      </c>
      <c r="P405" s="7">
        <f>[1]!EM_S_VAL_PCF_NCFTTM(B405,E405)</f>
        <v>17.404062741075101</v>
      </c>
      <c r="Q405" s="7">
        <f>[1]!EM_S_VAL_DIVIDENDYIELD2(B405,E405,"2019-11-29")</f>
        <v>1.3759689922480618</v>
      </c>
      <c r="T405"/>
      <c r="U405">
        <f>[1]!EM_S_RATIO_EPS_TTM(B405,E405,"1")</f>
        <v>0.46851359251817831</v>
      </c>
      <c r="AT405" s="4" t="str">
        <f>[1]!EM_S_IPO_LISTEDDATE(B405)</f>
        <v>1997-07-03</v>
      </c>
    </row>
    <row r="406" spans="1:46">
      <c r="A406">
        <v>692</v>
      </c>
      <c r="B406" t="str">
        <f>"002181"</f>
        <v>002181</v>
      </c>
      <c r="C406" t="s">
        <v>3212</v>
      </c>
      <c r="D406" t="str">
        <f>[1]!EM_S_INFO_INDEX_EM(B406,"1")</f>
        <v>文化传媒</v>
      </c>
      <c r="E406" s="4">
        <f t="shared" si="6"/>
        <v>43465</v>
      </c>
      <c r="F406" s="11">
        <f>[1]!EM_S_PQ_PCTCHANGE(B406,"2018-01-01","2019-12-31","3")</f>
        <v>15.697405910000001</v>
      </c>
      <c r="G406" s="11">
        <f>[1]!EM_S_PQ_PCTCHANGE(B406,"2018-12-31","2019-12-30","1")</f>
        <v>61.49584488</v>
      </c>
      <c r="H406" s="11">
        <f>[1]!EM_S_FA_YOY_OR(B406,E406)</f>
        <v>-10.8339208746</v>
      </c>
      <c r="I406" s="11">
        <f>[1]!EM_S_FA_GROSSPROFITMARGIN(B406,E406)</f>
        <v>30.5415384808</v>
      </c>
      <c r="J406" s="11">
        <f>[1]!EM_S_FA_NETPROFITMARGIN(B406,E406)</f>
        <v>6.3300232138999997</v>
      </c>
      <c r="K406" s="10">
        <f>[1]!EM_S_FA_ASSETSTURN(B406,E406)</f>
        <v>0.18304007429300001</v>
      </c>
      <c r="L406" s="12">
        <f>[1]!EM_HKS_VAL_MV(B406,"2019-12-31","2")</f>
        <v>6525146937.8800001</v>
      </c>
      <c r="M406">
        <f>[1]!EM_S_VAL_PETTMDEDUCTED(B406,E406)</f>
        <v>45.6875640333744</v>
      </c>
      <c r="N406" s="7">
        <f>[1]!EM_S_VAL_PBGOODWILLDEDUCTED(B406,E406)</f>
        <v>1.0569605485251301</v>
      </c>
      <c r="O406" s="7">
        <f>[1]!EM_S_VAL_PS_TTM(B406,E406)</f>
        <v>5.1612925391364604</v>
      </c>
      <c r="P406" s="7">
        <f>[1]!EM_S_VAL_PCF_NCFTTM(B406,E406)</f>
        <v>-24.956250428724399</v>
      </c>
      <c r="Q406" s="7">
        <f>[1]!EM_S_VAL_DIVIDENDYIELD2(B406,E406,"2019-11-29")</f>
        <v>0.25641025641025639</v>
      </c>
      <c r="T406"/>
      <c r="U406">
        <f>[1]!EM_S_RATIO_EPS_TTM(B406,E406,"1")</f>
        <v>4.6974978688707807E-2</v>
      </c>
      <c r="AT406" s="4" t="str">
        <f>[1]!EM_S_IPO_LISTEDDATE(B406)</f>
        <v>2007-11-16</v>
      </c>
    </row>
    <row r="407" spans="1:46">
      <c r="A407">
        <v>410</v>
      </c>
      <c r="B407" t="str">
        <f>"000877"</f>
        <v>000877</v>
      </c>
      <c r="C407" t="s">
        <v>3238</v>
      </c>
      <c r="D407" t="str">
        <f>[1]!EM_S_INFO_INDEX_EM(B407,"1")</f>
        <v>建材</v>
      </c>
      <c r="E407" s="4">
        <f t="shared" si="6"/>
        <v>43465</v>
      </c>
      <c r="F407" s="11">
        <f>[1]!EM_S_PQ_PCTCHANGE(B407,"2018-01-01","2019-12-31","3")</f>
        <v>19.091566199999999</v>
      </c>
      <c r="G407" s="11">
        <f>[1]!EM_S_PQ_PCTCHANGE(B407,"2018-12-31","2019-12-30","1")</f>
        <v>61.462728550000001</v>
      </c>
      <c r="H407" s="11">
        <f>[1]!EM_S_FA_YOY_OR(B407,E407)</f>
        <v>12.034382412999999</v>
      </c>
      <c r="I407" s="11">
        <f>[1]!EM_S_FA_GROSSPROFITMARGIN(B407,E407)</f>
        <v>36.176123981400004</v>
      </c>
      <c r="J407" s="11">
        <f>[1]!EM_S_FA_NETPROFITMARGIN(B407,E407)</f>
        <v>15.608378714800001</v>
      </c>
      <c r="K407" s="10">
        <f>[1]!EM_S_FA_ASSETSTURN(B407,E407)</f>
        <v>0.44686237832600001</v>
      </c>
      <c r="L407" s="12">
        <f>[1]!EM_HKS_VAL_MV(B407,"2019-12-31","2")</f>
        <v>12427367064.15</v>
      </c>
      <c r="M407">
        <f>[1]!EM_S_VAL_PETTMDEDUCTED(B407,E407)</f>
        <v>12.2397226885048</v>
      </c>
      <c r="N407" s="7">
        <f>[1]!EM_S_VAL_PBGOODWILLDEDUCTED(B407,E407)</f>
        <v>0.88989414165648195</v>
      </c>
      <c r="O407" s="7">
        <f>[1]!EM_S_VAL_PS_TTM(B407,E407)</f>
        <v>0.971398736956266</v>
      </c>
      <c r="P407" s="7">
        <f>[1]!EM_S_VAL_PCF_NCFTTM(B407,E407)</f>
        <v>23.203994561620199</v>
      </c>
      <c r="Q407" s="7">
        <f>[1]!EM_S_VAL_DIVIDENDYIELD2(B407,E407,"2019-11-29")</f>
        <v>3.6156041864890582</v>
      </c>
      <c r="T407"/>
      <c r="U407">
        <f>[1]!EM_S_RATIO_EPS_TTM(B407,E407,"1")</f>
        <v>1.1834537440121018</v>
      </c>
      <c r="AT407" s="4" t="str">
        <f>[1]!EM_S_IPO_LISTEDDATE(B407)</f>
        <v>1999-01-07</v>
      </c>
    </row>
    <row r="408" spans="1:46">
      <c r="A408">
        <v>3175</v>
      </c>
      <c r="B408" t="str">
        <f>"601901"</f>
        <v>601901</v>
      </c>
      <c r="C408" t="s">
        <v>2392</v>
      </c>
      <c r="D408" t="str">
        <f>[1]!EM_S_INFO_INDEX_EM(B408,"1")</f>
        <v>金融</v>
      </c>
      <c r="E408" s="4">
        <f t="shared" si="6"/>
        <v>43465</v>
      </c>
      <c r="F408" s="11">
        <f>[1]!EM_S_PQ_PCTCHANGE(B408,"2018-01-01","2019-12-31","3")</f>
        <v>26.604493099999999</v>
      </c>
      <c r="G408" s="11">
        <f>[1]!EM_S_PQ_PCTCHANGE(B408,"2018-12-31","2019-12-30","1")</f>
        <v>61.393596989999999</v>
      </c>
      <c r="H408" s="11">
        <f>[1]!EM_S_FA_YOY_OR(B408,E408)</f>
        <v>-4.0080310227</v>
      </c>
      <c r="I408" s="11">
        <f>[1]!EM_S_FA_GROSSPROFITMARGIN(B408,E408)</f>
        <v>0</v>
      </c>
      <c r="J408" s="11">
        <f>[1]!EM_S_FA_NETPROFITMARGIN(B408,E408)</f>
        <v>11.888469134299999</v>
      </c>
      <c r="K408" s="10">
        <f>[1]!EM_S_FA_ASSETSTURN(B408,E408)</f>
        <v>0</v>
      </c>
      <c r="L408" s="12">
        <f>[1]!EM_HKS_VAL_MV(B408,"2019-12-31","2")</f>
        <v>71372319094.649994</v>
      </c>
      <c r="M408">
        <f>[1]!EM_S_VAL_PETTMDEDUCTED(B408,E408)</f>
        <v>99.934552983472699</v>
      </c>
      <c r="N408" s="7">
        <f>[1]!EM_S_VAL_PBGOODWILLDEDUCTED(B408,E408)</f>
        <v>1.31545075087802</v>
      </c>
      <c r="O408" s="7">
        <f>[1]!EM_S_VAL_PS_TTM(B408,E408)</f>
        <v>8.8326787701192302</v>
      </c>
      <c r="P408" s="7">
        <f>[1]!EM_S_VAL_PCF_NCFTTM(B408,E408)</f>
        <v>-19.572618942272602</v>
      </c>
      <c r="Q408" s="7">
        <f>[1]!EM_S_VAL_DIVIDENDYIELD2(B408,E408,"2019-11-29")</f>
        <v>0.38863976083707025</v>
      </c>
      <c r="T408"/>
      <c r="U408">
        <f>[1]!EM_S_RATIO_EPS_TTM(B408,E408,"1")</f>
        <v>8.0339862056570302E-2</v>
      </c>
      <c r="AT408" s="4" t="str">
        <f>[1]!EM_S_IPO_LISTEDDATE(B408)</f>
        <v>2011-08-10</v>
      </c>
    </row>
    <row r="409" spans="1:46">
      <c r="A409">
        <v>700</v>
      </c>
      <c r="B409" t="str">
        <f>"002189"</f>
        <v>002189</v>
      </c>
      <c r="C409" t="s">
        <v>2038</v>
      </c>
      <c r="D409" t="str">
        <f>[1]!EM_S_INFO_INDEX_EM(B409,"1")</f>
        <v>电子设备</v>
      </c>
      <c r="E409" s="4">
        <f t="shared" si="6"/>
        <v>43465</v>
      </c>
      <c r="F409" s="11">
        <f>[1]!EM_S_PQ_PCTCHANGE(B409,"2018-01-01","2019-12-31","3")</f>
        <v>12.601158359999999</v>
      </c>
      <c r="G409" s="11">
        <f>[1]!EM_S_PQ_PCTCHANGE(B409,"2018-12-31","2019-12-30","1")</f>
        <v>61.365461850000003</v>
      </c>
      <c r="H409" s="11">
        <f>[1]!EM_S_FA_YOY_OR(B409,E409)</f>
        <v>55.340512953299999</v>
      </c>
      <c r="I409" s="11">
        <f>[1]!EM_S_FA_GROSSPROFITMARGIN(B409,E409)</f>
        <v>20.887658222199999</v>
      </c>
      <c r="J409" s="11">
        <f>[1]!EM_S_FA_NETPROFITMARGIN(B409,E409)</f>
        <v>6.4501839532999998</v>
      </c>
      <c r="K409" s="10">
        <f>[1]!EM_S_FA_ASSETSTURN(B409,E409)</f>
        <v>1.4692342264160001</v>
      </c>
      <c r="L409" s="12">
        <f>[1]!EM_HKS_VAL_MV(B409,"2019-12-31","2")</f>
        <v>5324882406.4799995</v>
      </c>
      <c r="M409">
        <f>[1]!EM_S_VAL_PETTMDEDUCTED(B409,E409)</f>
        <v>64.081953470510001</v>
      </c>
      <c r="N409" s="7">
        <f>[1]!EM_S_VAL_PBGOODWILLDEDUCTED(B409,E409)</f>
        <v>3.2044616869364102</v>
      </c>
      <c r="O409" s="7">
        <f>[1]!EM_S_VAL_PS_TTM(B409,E409)</f>
        <v>3.05662833825262</v>
      </c>
      <c r="P409" s="7">
        <f>[1]!EM_S_VAL_PCF_NCFTTM(B409,E409)</f>
        <v>243.525015753312</v>
      </c>
      <c r="Q409" s="7">
        <f>[1]!EM_S_VAL_DIVIDENDYIELD2(B409,E409,"2019-11-29")</f>
        <v>0.32848136482939633</v>
      </c>
      <c r="T409"/>
      <c r="U409">
        <f>[1]!EM_S_RATIO_EPS_TTM(B409,E409,"1")</f>
        <v>0.68218364210589855</v>
      </c>
      <c r="AT409" s="4" t="str">
        <f>[1]!EM_S_IPO_LISTEDDATE(B409)</f>
        <v>2007-12-03</v>
      </c>
    </row>
    <row r="410" spans="1:46">
      <c r="A410">
        <v>3171</v>
      </c>
      <c r="B410" t="str">
        <f>"601890"</f>
        <v>601890</v>
      </c>
      <c r="C410" t="s">
        <v>3246</v>
      </c>
      <c r="D410" t="str">
        <f>[1]!EM_S_INFO_INDEX_EM(B410,"1")</f>
        <v>国防与装备</v>
      </c>
      <c r="E410" s="4">
        <f t="shared" si="6"/>
        <v>43465</v>
      </c>
      <c r="F410" s="11">
        <f>[1]!EM_S_PQ_PCTCHANGE(B410,"2018-01-01","2019-12-31","3")</f>
        <v>-10.895533090000001</v>
      </c>
      <c r="G410" s="11">
        <f>[1]!EM_S_PQ_PCTCHANGE(B410,"2018-12-31","2019-12-30","1")</f>
        <v>61.363636360000001</v>
      </c>
      <c r="H410" s="11">
        <f>[1]!EM_S_FA_YOY_OR(B410,E410)</f>
        <v>1.8026265912999999</v>
      </c>
      <c r="I410" s="11">
        <f>[1]!EM_S_FA_GROSSPROFITMARGIN(B410,E410)</f>
        <v>18.273749048100001</v>
      </c>
      <c r="J410" s="11">
        <f>[1]!EM_S_FA_NETPROFITMARGIN(B410,E410)</f>
        <v>-2.2982640127999998</v>
      </c>
      <c r="K410" s="10">
        <f>[1]!EM_S_FA_ASSETSTURN(B410,E410)</f>
        <v>0.273699590572</v>
      </c>
      <c r="L410" s="12">
        <f>[1]!EM_HKS_VAL_MV(B410,"2019-12-31","2")</f>
        <v>5487768000</v>
      </c>
      <c r="M410">
        <f>[1]!EM_S_VAL_PETTMDEDUCTED(B410,E410)</f>
        <v>-65.446426971560697</v>
      </c>
      <c r="N410" s="7">
        <f>[1]!EM_S_VAL_PBGOODWILLDEDUCTED(B410,E410)</f>
        <v>1.16232617886298</v>
      </c>
      <c r="O410" s="7">
        <f>[1]!EM_S_VAL_PS_TTM(B410,E410)</f>
        <v>3.3805377461093702</v>
      </c>
      <c r="P410" s="7">
        <f>[1]!EM_S_VAL_PCF_NCFTTM(B410,E410)</f>
        <v>-7.2485741212877599</v>
      </c>
      <c r="Q410" s="7">
        <f>[1]!EM_S_VAL_DIVIDENDYIELD2(B410,E410,"2019-11-29")</f>
        <v>0</v>
      </c>
      <c r="T410"/>
      <c r="U410">
        <f>[1]!EM_S_RATIO_EPS_TTM(B410,E410,"1")</f>
        <v>-1.5304589899937462E-2</v>
      </c>
      <c r="AT410" s="4" t="str">
        <f>[1]!EM_S_IPO_LISTEDDATE(B410)</f>
        <v>2010-12-28</v>
      </c>
    </row>
    <row r="411" spans="1:46">
      <c r="A411">
        <v>1370</v>
      </c>
      <c r="B411" t="str">
        <f>"002870"</f>
        <v>002870</v>
      </c>
      <c r="C411" t="s">
        <v>2584</v>
      </c>
      <c r="D411" t="str">
        <f>[1]!EM_S_INFO_INDEX_EM(B411,"1")</f>
        <v>机械设备</v>
      </c>
      <c r="E411" s="4">
        <f t="shared" si="6"/>
        <v>43465</v>
      </c>
      <c r="F411" s="11">
        <f>[1]!EM_S_PQ_PCTCHANGE(B411,"2018-01-01","2019-12-31","3")</f>
        <v>-8.0186005599999994</v>
      </c>
      <c r="G411" s="11">
        <f>[1]!EM_S_PQ_PCTCHANGE(B411,"2018-12-31","2019-12-30","1")</f>
        <v>61.307901909999998</v>
      </c>
      <c r="H411" s="11">
        <f>[1]!EM_S_FA_YOY_OR(B411,E411)</f>
        <v>0.95458832689999995</v>
      </c>
      <c r="I411" s="11">
        <f>[1]!EM_S_FA_GROSSPROFITMARGIN(B411,E411)</f>
        <v>28.9645941044</v>
      </c>
      <c r="J411" s="11">
        <f>[1]!EM_S_FA_NETPROFITMARGIN(B411,E411)</f>
        <v>3.657897357</v>
      </c>
      <c r="K411" s="10">
        <f>[1]!EM_S_FA_ASSETSTURN(B411,E411)</f>
        <v>0.904486722854</v>
      </c>
      <c r="L411" s="12">
        <f>[1]!EM_HKS_VAL_MV(B411,"2019-12-31","2")</f>
        <v>2595211500</v>
      </c>
      <c r="M411">
        <f>[1]!EM_S_VAL_PETTMDEDUCTED(B411,E411)</f>
        <v>94.594651604678205</v>
      </c>
      <c r="N411" s="7">
        <f>[1]!EM_S_VAL_PBGOODWILLDEDUCTED(B411,E411)</f>
        <v>1.94407862133367</v>
      </c>
      <c r="O411" s="7">
        <f>[1]!EM_S_VAL_PS_TTM(B411,E411)</f>
        <v>1.7618381212721199</v>
      </c>
      <c r="P411" s="7">
        <f>[1]!EM_S_VAL_PCF_NCFTTM(B411,E411)</f>
        <v>-340.87279670877899</v>
      </c>
      <c r="Q411" s="7">
        <f>[1]!EM_S_VAL_DIVIDENDYIELD2(B411,E411,"2019-11-29")</f>
        <v>0.81117620549797198</v>
      </c>
      <c r="T411"/>
      <c r="U411">
        <f>[1]!EM_S_RATIO_EPS_TTM(B411,E411,"1")</f>
        <v>0.34664935352978682</v>
      </c>
      <c r="AT411" s="4" t="str">
        <f>[1]!EM_S_IPO_LISTEDDATE(B411)</f>
        <v>2017-05-15</v>
      </c>
    </row>
    <row r="412" spans="1:46">
      <c r="A412">
        <v>2235</v>
      </c>
      <c r="B412" t="str">
        <f>"600088"</f>
        <v>600088</v>
      </c>
      <c r="C412" t="s">
        <v>1223</v>
      </c>
      <c r="D412" t="str">
        <f>[1]!EM_S_INFO_INDEX_EM(B412,"1")</f>
        <v>文化传媒</v>
      </c>
      <c r="E412" s="4">
        <f t="shared" si="6"/>
        <v>43465</v>
      </c>
      <c r="F412" s="11">
        <f>[1]!EM_S_PQ_PCTCHANGE(B412,"2018-01-01","2019-12-31","3")</f>
        <v>22.482027810000002</v>
      </c>
      <c r="G412" s="11">
        <f>[1]!EM_S_PQ_PCTCHANGE(B412,"2018-12-31","2019-12-30","1")</f>
        <v>61.104441780000002</v>
      </c>
      <c r="H412" s="11">
        <f>[1]!EM_S_FA_YOY_OR(B412,E412)</f>
        <v>12.9274491365</v>
      </c>
      <c r="I412" s="11">
        <f>[1]!EM_S_FA_GROSSPROFITMARGIN(B412,E412)</f>
        <v>35.0216875092</v>
      </c>
      <c r="J412" s="11">
        <f>[1]!EM_S_FA_NETPROFITMARGIN(B412,E412)</f>
        <v>15.328927825699999</v>
      </c>
      <c r="K412" s="10">
        <f>[1]!EM_S_FA_ASSETSTURN(B412,E412)</f>
        <v>0.54168227850600004</v>
      </c>
      <c r="L412" s="12">
        <f>[1]!EM_HKS_VAL_MV(B412,"2019-12-31","2")</f>
        <v>5293472184</v>
      </c>
      <c r="M412">
        <f>[1]!EM_S_VAL_PETTMDEDUCTED(B412,E412)</f>
        <v>38.548966856103</v>
      </c>
      <c r="N412" s="7">
        <f>[1]!EM_S_VAL_PBGOODWILLDEDUCTED(B412,E412)</f>
        <v>2.8101336311027598</v>
      </c>
      <c r="O412" s="7">
        <f>[1]!EM_S_VAL_PS_TTM(B412,E412)</f>
        <v>4.6392420820869598</v>
      </c>
      <c r="P412" s="7">
        <f>[1]!EM_S_VAL_PCF_NCFTTM(B412,E412)</f>
        <v>-62.922542103152701</v>
      </c>
      <c r="Q412" s="7">
        <f>[1]!EM_S_VAL_DIVIDENDYIELD2(B412,E412,"2019-11-29")</f>
        <v>0.69433359936153227</v>
      </c>
      <c r="T412"/>
      <c r="U412">
        <f>[1]!EM_S_RATIO_EPS_TTM(B412,E412,"1")</f>
        <v>0.2879520654683958</v>
      </c>
      <c r="AT412" s="4" t="str">
        <f>[1]!EM_S_IPO_LISTEDDATE(B412)</f>
        <v>1997-06-16</v>
      </c>
    </row>
    <row r="413" spans="1:46">
      <c r="A413">
        <v>1617</v>
      </c>
      <c r="B413" t="str">
        <f>"300192"</f>
        <v>300192</v>
      </c>
      <c r="C413" t="s">
        <v>1655</v>
      </c>
      <c r="D413" t="str">
        <f>[1]!EM_S_INFO_INDEX_EM(B413,"1")</f>
        <v>基础化工</v>
      </c>
      <c r="E413" s="4">
        <f t="shared" si="6"/>
        <v>43465</v>
      </c>
      <c r="F413" s="11">
        <f>[1]!EM_S_PQ_PCTCHANGE(B413,"2018-01-01","2019-12-31","3")</f>
        <v>4.6268656699999999</v>
      </c>
      <c r="G413" s="11">
        <f>[1]!EM_S_PQ_PCTCHANGE(B413,"2018-12-31","2019-12-30","1")</f>
        <v>61.098398170000003</v>
      </c>
      <c r="H413" s="11">
        <f>[1]!EM_S_FA_YOY_OR(B413,E413)</f>
        <v>103.2234251126</v>
      </c>
      <c r="I413" s="11">
        <f>[1]!EM_S_FA_GROSSPROFITMARGIN(B413,E413)</f>
        <v>37.347383635</v>
      </c>
      <c r="J413" s="11">
        <f>[1]!EM_S_FA_NETPROFITMARGIN(B413,E413)</f>
        <v>9.3193636409000007</v>
      </c>
      <c r="K413" s="10">
        <f>[1]!EM_S_FA_ASSETSTURN(B413,E413)</f>
        <v>0.57693585933799996</v>
      </c>
      <c r="L413" s="12">
        <f>[1]!EM_HKS_VAL_MV(B413,"2019-12-31","2")</f>
        <v>3400551000</v>
      </c>
      <c r="M413">
        <f>[1]!EM_S_VAL_PETTMDEDUCTED(B413,E413)</f>
        <v>86.097231150164205</v>
      </c>
      <c r="N413" s="7">
        <f>[1]!EM_S_VAL_PBGOODWILLDEDUCTED(B413,E413)</f>
        <v>15.1717344738238</v>
      </c>
      <c r="O413" s="7">
        <f>[1]!EM_S_VAL_PS_TTM(B413,E413)</f>
        <v>2.5270565790464601</v>
      </c>
      <c r="P413" s="7">
        <f>[1]!EM_S_VAL_PCF_NCFTTM(B413,E413)</f>
        <v>15.119713824963</v>
      </c>
      <c r="Q413" s="7">
        <f>[1]!EM_S_VAL_DIVIDENDYIELD2(B413,E413,"2019-11-29")</f>
        <v>0</v>
      </c>
      <c r="T413"/>
      <c r="U413">
        <f>[1]!EM_S_RATIO_EPS_TTM(B413,E413,"1")</f>
        <v>0.11544661900639044</v>
      </c>
      <c r="AT413" s="4" t="str">
        <f>[1]!EM_S_IPO_LISTEDDATE(B413)</f>
        <v>2011-03-22</v>
      </c>
    </row>
    <row r="414" spans="1:46">
      <c r="A414">
        <v>1137</v>
      </c>
      <c r="B414" t="str">
        <f>"002626"</f>
        <v>002626</v>
      </c>
      <c r="C414" t="s">
        <v>67</v>
      </c>
      <c r="D414" t="str">
        <f>[1]!EM_S_INFO_INDEX_EM(B414,"1")</f>
        <v>医药生物</v>
      </c>
      <c r="E414" s="4">
        <f t="shared" si="6"/>
        <v>43465</v>
      </c>
      <c r="F414" s="11">
        <f>[1]!EM_S_PQ_PCTCHANGE(B414,"2018-01-01","2019-12-31","3")</f>
        <v>12.84062142</v>
      </c>
      <c r="G414" s="11">
        <f>[1]!EM_S_PQ_PCTCHANGE(B414,"2018-12-31","2019-12-30","1")</f>
        <v>60.981697169999997</v>
      </c>
      <c r="H414" s="11">
        <f>[1]!EM_S_FA_YOY_OR(B414,E414)</f>
        <v>37.8005431586</v>
      </c>
      <c r="I414" s="11">
        <f>[1]!EM_S_FA_GROSSPROFITMARGIN(B414,E414)</f>
        <v>52.062652553200003</v>
      </c>
      <c r="J414" s="11">
        <f>[1]!EM_S_FA_NETPROFITMARGIN(B414,E414)</f>
        <v>23.886350826299999</v>
      </c>
      <c r="K414" s="10">
        <f>[1]!EM_S_FA_ASSETSTURN(B414,E414)</f>
        <v>0.72619162359800005</v>
      </c>
      <c r="L414" s="12">
        <f>[1]!EM_HKS_VAL_MV(B414,"2019-12-31","2")</f>
        <v>12021397576.5</v>
      </c>
      <c r="M414">
        <f>[1]!EM_S_VAL_PETTMDEDUCTED(B414,E414)</f>
        <v>8.6041423896744895</v>
      </c>
      <c r="N414" s="7">
        <f>[1]!EM_S_VAL_PBGOODWILLDEDUCTED(B414,E414)</f>
        <v>3.3369576433196801</v>
      </c>
      <c r="O414" s="7">
        <f>[1]!EM_S_VAL_PS_TTM(B414,E414)</f>
        <v>2.6537147373325798</v>
      </c>
      <c r="P414" s="7">
        <f>[1]!EM_S_VAL_PCF_NCFTTM(B414,E414)</f>
        <v>-48.1621413816097</v>
      </c>
      <c r="Q414" s="7">
        <f>[1]!EM_S_VAL_DIVIDENDYIELD2(B414,E414,"2019-11-29")</f>
        <v>4.5714285714285712</v>
      </c>
      <c r="U414">
        <f>[1]!EM_S_RATIO_EPS_TTM(B414,E414,"1")</f>
        <v>1.1147956039107048</v>
      </c>
      <c r="AT414" s="4" t="str">
        <f>[1]!EM_S_IPO_LISTEDDATE(B414)</f>
        <v>2011-10-28</v>
      </c>
    </row>
    <row r="415" spans="1:46">
      <c r="A415">
        <v>3594</v>
      </c>
      <c r="B415" t="str">
        <f>"603901"</f>
        <v>603901</v>
      </c>
      <c r="C415" t="s">
        <v>1792</v>
      </c>
      <c r="D415" t="str">
        <f>[1]!EM_S_INFO_INDEX_EM(B415,"1")</f>
        <v>机械设备</v>
      </c>
      <c r="E415" s="4">
        <f t="shared" si="6"/>
        <v>43465</v>
      </c>
      <c r="F415" s="11">
        <f>[1]!EM_S_PQ_PCTCHANGE(B415,"2018-01-01","2019-12-31","3")</f>
        <v>22.279557390000001</v>
      </c>
      <c r="G415" s="11">
        <f>[1]!EM_S_PQ_PCTCHANGE(B415,"2018-12-31","2019-12-30","1")</f>
        <v>60.757575760000002</v>
      </c>
      <c r="H415" s="11">
        <f>[1]!EM_S_FA_YOY_OR(B415,E415)</f>
        <v>19.921890021700001</v>
      </c>
      <c r="I415" s="11">
        <f>[1]!EM_S_FA_GROSSPROFITMARGIN(B415,E415)</f>
        <v>29.774755460400002</v>
      </c>
      <c r="J415" s="11">
        <f>[1]!EM_S_FA_NETPROFITMARGIN(B415,E415)</f>
        <v>4.3579446472000001</v>
      </c>
      <c r="K415" s="10">
        <f>[1]!EM_S_FA_ASSETSTURN(B415,E415)</f>
        <v>0.6292894966</v>
      </c>
      <c r="L415" s="12">
        <f>[1]!EM_HKS_VAL_MV(B415,"2019-12-31","2")</f>
        <v>4675099236.6400003</v>
      </c>
      <c r="M415">
        <f>[1]!EM_S_VAL_PETTMDEDUCTED(B415,E415)</f>
        <v>47.8454198367915</v>
      </c>
      <c r="N415" s="7">
        <f>[1]!EM_S_VAL_PBGOODWILLDEDUCTED(B415,E415)</f>
        <v>2.5527316771555402</v>
      </c>
      <c r="O415" s="7">
        <f>[1]!EM_S_VAL_PS_TTM(B415,E415)</f>
        <v>1.83640619559826</v>
      </c>
      <c r="P415" s="7">
        <f>[1]!EM_S_VAL_PCF_NCFTTM(B415,E415)</f>
        <v>9.0538472055184602</v>
      </c>
      <c r="Q415" s="7">
        <f>[1]!EM_S_VAL_DIVIDENDYIELD2(B415,E415,"2019-11-29")</f>
        <v>0.53191489361702138</v>
      </c>
      <c r="T415"/>
      <c r="U415">
        <f>[1]!EM_S_RATIO_EPS_TTM(B415,E415,"1")</f>
        <v>0.16883517969335901</v>
      </c>
      <c r="AT415" s="4" t="str">
        <f>[1]!EM_S_IPO_LISTEDDATE(B415)</f>
        <v>2015-05-29</v>
      </c>
    </row>
    <row r="416" spans="1:46">
      <c r="A416">
        <v>2335</v>
      </c>
      <c r="B416" t="str">
        <f>"600198"</f>
        <v>600198</v>
      </c>
      <c r="C416" t="s">
        <v>3133</v>
      </c>
      <c r="D416" t="str">
        <f>[1]!EM_S_INFO_INDEX_EM(B416,"1")</f>
        <v>信息技术</v>
      </c>
      <c r="E416" s="4">
        <f t="shared" si="6"/>
        <v>43465</v>
      </c>
      <c r="F416" s="11">
        <f>[1]!EM_S_PQ_PCTCHANGE(B416,"2018-01-01","2019-12-31","3")</f>
        <v>-5.0621669599999999</v>
      </c>
      <c r="G416" s="11">
        <f>[1]!EM_S_PQ_PCTCHANGE(B416,"2018-12-31","2019-12-30","1")</f>
        <v>60.74074074</v>
      </c>
      <c r="H416" s="11">
        <f>[1]!EM_S_FA_YOY_OR(B416,E416)</f>
        <v>-44.418741489399999</v>
      </c>
      <c r="I416" s="11">
        <f>[1]!EM_S_FA_GROSSPROFITMARGIN(B416,E416)</f>
        <v>25.322490183599999</v>
      </c>
      <c r="J416" s="11">
        <f>[1]!EM_S_FA_NETPROFITMARGIN(B416,E416)</f>
        <v>23.672785630900002</v>
      </c>
      <c r="K416" s="10">
        <f>[1]!EM_S_FA_ASSETSTURN(B416,E416)</f>
        <v>0.29984199620000002</v>
      </c>
      <c r="L416" s="12">
        <f>[1]!EM_HKS_VAL_MV(B416,"2019-12-31","2")</f>
        <v>9429739565.6800003</v>
      </c>
      <c r="M416">
        <f>[1]!EM_S_VAL_PETTMDEDUCTED(B416,E416)</f>
        <v>-1.8363188254740099</v>
      </c>
      <c r="N416" s="7">
        <f>[1]!EM_S_VAL_PBGOODWILLDEDUCTED(B416,E416)</f>
        <v>-10.6615594186583</v>
      </c>
      <c r="O416" s="7">
        <f>[1]!EM_S_VAL_PS_TTM(B416,E416)</f>
        <v>2.9063018593448802</v>
      </c>
      <c r="P416" s="7">
        <f>[1]!EM_S_VAL_PCF_NCFTTM(B416,E416)</f>
        <v>-10.4500045017466</v>
      </c>
      <c r="Q416" s="7">
        <f>[1]!EM_S_VAL_DIVIDENDYIELD2(B416,E416,"2019-11-29")</f>
        <v>0</v>
      </c>
      <c r="T416"/>
      <c r="U416">
        <f>[1]!EM_S_RATIO_EPS_TTM(B416,E416,"1")</f>
        <v>0.65705741130213291</v>
      </c>
      <c r="AT416" s="4" t="str">
        <f>[1]!EM_S_IPO_LISTEDDATE(B416)</f>
        <v>1998-10-21</v>
      </c>
    </row>
    <row r="417" spans="1:46">
      <c r="A417">
        <v>2533</v>
      </c>
      <c r="B417" t="str">
        <f>"600426"</f>
        <v>600426</v>
      </c>
      <c r="C417" t="s">
        <v>132</v>
      </c>
      <c r="D417" t="str">
        <f>[1]!EM_S_INFO_INDEX_EM(B417,"1")</f>
        <v>基础化工</v>
      </c>
      <c r="E417" s="4">
        <f t="shared" si="6"/>
        <v>43465</v>
      </c>
      <c r="F417" s="11">
        <f>[1]!EM_S_PQ_PCTCHANGE(B417,"2018-01-01","2019-12-31","3")</f>
        <v>27.515388999999999</v>
      </c>
      <c r="G417" s="11">
        <f>[1]!EM_S_PQ_PCTCHANGE(B417,"2018-12-31","2019-12-30","1")</f>
        <v>60.646230320000001</v>
      </c>
      <c r="H417" s="11">
        <f>[1]!EM_S_FA_YOY_OR(B417,E417)</f>
        <v>37.939267829099997</v>
      </c>
      <c r="I417" s="11">
        <f>[1]!EM_S_FA_GROSSPROFITMARGIN(B417,E417)</f>
        <v>30.482795279699999</v>
      </c>
      <c r="J417" s="11">
        <f>[1]!EM_S_FA_NETPROFITMARGIN(B417,E417)</f>
        <v>21.032885399600001</v>
      </c>
      <c r="K417" s="10">
        <f>[1]!EM_S_FA_ASSETSTURN(B417,E417)</f>
        <v>0.82798817296399996</v>
      </c>
      <c r="L417" s="12">
        <f>[1]!EM_HKS_VAL_MV(B417,"2019-12-31","2")</f>
        <v>32321729232.5</v>
      </c>
      <c r="M417">
        <f>[1]!EM_S_VAL_PETTMDEDUCTED(B417,E417)</f>
        <v>6.6977387045193497</v>
      </c>
      <c r="N417" s="7">
        <f>[1]!EM_S_VAL_PBGOODWILLDEDUCTED(B417,E417)</f>
        <v>1.6206052771900901</v>
      </c>
      <c r="O417" s="7">
        <f>[1]!EM_S_VAL_PS_TTM(B417,E417)</f>
        <v>1.39452685812816</v>
      </c>
      <c r="P417" s="7">
        <f>[1]!EM_S_VAL_PCF_NCFTTM(B417,E417)</f>
        <v>11.107724366278999</v>
      </c>
      <c r="Q417" s="7">
        <f>[1]!EM_S_VAL_DIVIDENDYIELD2(B417,E417,"2019-11-29")</f>
        <v>1.1976047904191618</v>
      </c>
      <c r="T417"/>
      <c r="U417">
        <f>[1]!EM_S_RATIO_EPS_TTM(B417,E417,"1")</f>
        <v>1.8636039746477531</v>
      </c>
      <c r="AT417" s="4" t="str">
        <f>[1]!EM_S_IPO_LISTEDDATE(B417)</f>
        <v>2002-06-20</v>
      </c>
    </row>
    <row r="418" spans="1:46">
      <c r="A418">
        <v>3524</v>
      </c>
      <c r="B418" t="str">
        <f>"603738"</f>
        <v>603738</v>
      </c>
      <c r="C418" t="s">
        <v>1391</v>
      </c>
      <c r="D418" t="str">
        <f>[1]!EM_S_INFO_INDEX_EM(B418,"1")</f>
        <v>电子设备</v>
      </c>
      <c r="E418" s="4">
        <f t="shared" si="6"/>
        <v>43465</v>
      </c>
      <c r="F418" s="11">
        <f>[1]!EM_S_PQ_PCTCHANGE(B418,"2018-01-01","2019-12-31","3")</f>
        <v>14.519969980000001</v>
      </c>
      <c r="G418" s="11">
        <f>[1]!EM_S_PQ_PCTCHANGE(B418,"2018-12-31","2019-12-30","1")</f>
        <v>60.632411070000003</v>
      </c>
      <c r="H418" s="11">
        <f>[1]!EM_S_FA_YOY_OR(B418,E418)</f>
        <v>13.211077656700001</v>
      </c>
      <c r="I418" s="11">
        <f>[1]!EM_S_FA_GROSSPROFITMARGIN(B418,E418)</f>
        <v>24.227462998699998</v>
      </c>
      <c r="J418" s="11">
        <f>[1]!EM_S_FA_NETPROFITMARGIN(B418,E418)</f>
        <v>7.2157455910000001</v>
      </c>
      <c r="K418" s="10">
        <f>[1]!EM_S_FA_ASSETSTURN(B418,E418)</f>
        <v>0.49618272608500003</v>
      </c>
      <c r="L418" s="12">
        <f>[1]!EM_HKS_VAL_MV(B418,"2019-12-31","2")</f>
        <v>3272043483.2800002</v>
      </c>
      <c r="M418">
        <f>[1]!EM_S_VAL_PETTMDEDUCTED(B418,E418)</f>
        <v>37.731511899196398</v>
      </c>
      <c r="N418" s="7">
        <f>[1]!EM_S_VAL_PBGOODWILLDEDUCTED(B418,E418)</f>
        <v>3.3498329697253899</v>
      </c>
      <c r="O418" s="7">
        <f>[1]!EM_S_VAL_PS_TTM(B418,E418)</f>
        <v>3.0735787545265398</v>
      </c>
      <c r="P418" s="7">
        <f>[1]!EM_S_VAL_PCF_NCFTTM(B418,E418)</f>
        <v>53.486967059680701</v>
      </c>
      <c r="Q418" s="7">
        <f>[1]!EM_S_VAL_DIVIDENDYIELD2(B418,E418,"2019-11-29")</f>
        <v>0.56612108134063166</v>
      </c>
      <c r="T418"/>
      <c r="U418">
        <f>[1]!EM_S_RATIO_EPS_TTM(B418,E418,"1")</f>
        <v>0.22906656466006908</v>
      </c>
      <c r="AT418" s="4" t="str">
        <f>[1]!EM_S_IPO_LISTEDDATE(B418)</f>
        <v>2016-09-28</v>
      </c>
    </row>
    <row r="419" spans="1:46">
      <c r="A419">
        <v>3421</v>
      </c>
      <c r="B419" t="str">
        <f>"603520"</f>
        <v>603520</v>
      </c>
      <c r="C419" t="s">
        <v>1021</v>
      </c>
      <c r="D419" t="str">
        <f>[1]!EM_S_INFO_INDEX_EM(B419,"1")</f>
        <v>医药生物</v>
      </c>
      <c r="E419" s="4">
        <f t="shared" si="6"/>
        <v>43465</v>
      </c>
      <c r="F419" s="11">
        <f>[1]!EM_S_PQ_PCTCHANGE(B419,"2018-01-01","2019-12-31","3")</f>
        <v>112.2796553</v>
      </c>
      <c r="G419" s="11">
        <f>[1]!EM_S_PQ_PCTCHANGE(B419,"2018-12-31","2019-12-30","1")</f>
        <v>60.538286579999998</v>
      </c>
      <c r="H419" s="11">
        <f>[1]!EM_S_FA_YOY_OR(B419,E419)</f>
        <v>25.252765461700001</v>
      </c>
      <c r="I419" s="11">
        <f>[1]!EM_S_FA_GROSSPROFITMARGIN(B419,E419)</f>
        <v>40.473682384200004</v>
      </c>
      <c r="J419" s="11">
        <f>[1]!EM_S_FA_NETPROFITMARGIN(B419,E419)</f>
        <v>10.7290672886</v>
      </c>
      <c r="K419" s="10">
        <f>[1]!EM_S_FA_ASSETSTURN(B419,E419)</f>
        <v>0.35056913759199998</v>
      </c>
      <c r="L419" s="12">
        <f>[1]!EM_HKS_VAL_MV(B419,"2019-12-31","2")</f>
        <v>7135681490</v>
      </c>
      <c r="M419">
        <f>[1]!EM_S_VAL_PETTMDEDUCTED(B419,E419)</f>
        <v>40.1192637072688</v>
      </c>
      <c r="N419" s="7">
        <f>[1]!EM_S_VAL_PBGOODWILLDEDUCTED(B419,E419)</f>
        <v>9.1779174555282204</v>
      </c>
      <c r="O419" s="7">
        <f>[1]!EM_S_VAL_PS_TTM(B419,E419)</f>
        <v>3.9893335069337001</v>
      </c>
      <c r="P419" s="7">
        <f>[1]!EM_S_VAL_PCF_NCFTTM(B419,E419)</f>
        <v>46.028258967295798</v>
      </c>
      <c r="Q419" s="7">
        <f>[1]!EM_S_VAL_DIVIDENDYIELD2(B419,E419,"2019-11-29")</f>
        <v>0.47817885786515091</v>
      </c>
      <c r="T419"/>
      <c r="U419">
        <f>[1]!EM_S_RATIO_EPS_TTM(B419,E419,"1")</f>
        <v>0.78063646283333343</v>
      </c>
      <c r="AT419" s="4" t="str">
        <f>[1]!EM_S_IPO_LISTEDDATE(B419)</f>
        <v>2016-03-09</v>
      </c>
    </row>
    <row r="420" spans="1:46">
      <c r="A420">
        <v>2628</v>
      </c>
      <c r="B420" t="str">
        <f>"600552"</f>
        <v>600552</v>
      </c>
      <c r="C420" t="s">
        <v>2617</v>
      </c>
      <c r="D420" t="str">
        <f>[1]!EM_S_INFO_INDEX_EM(B420,"1")</f>
        <v>电子设备</v>
      </c>
      <c r="E420" s="4">
        <f t="shared" si="6"/>
        <v>43465</v>
      </c>
      <c r="F420" s="11">
        <f>[1]!EM_S_PQ_PCTCHANGE(B420,"2018-01-01","2019-12-31","3")</f>
        <v>-20.217096340000001</v>
      </c>
      <c r="G420" s="11">
        <f>[1]!EM_S_PQ_PCTCHANGE(B420,"2018-12-31","2019-12-30","1")</f>
        <v>60.490463220000002</v>
      </c>
      <c r="H420" s="11">
        <f>[1]!EM_S_FA_YOY_OR(B420,E420)</f>
        <v>-14.063373753600001</v>
      </c>
      <c r="I420" s="11">
        <f>[1]!EM_S_FA_GROSSPROFITMARGIN(B420,E420)</f>
        <v>14.9267190806</v>
      </c>
      <c r="J420" s="11">
        <f>[1]!EM_S_FA_NETPROFITMARGIN(B420,E420)</f>
        <v>1.8800615536</v>
      </c>
      <c r="K420" s="10">
        <f>[1]!EM_S_FA_ASSETSTURN(B420,E420)</f>
        <v>0.54012165039100002</v>
      </c>
      <c r="L420" s="12">
        <f>[1]!EM_HKS_VAL_MV(B420,"2019-12-31","2")</f>
        <v>4491637937.6400003</v>
      </c>
      <c r="M420">
        <f>[1]!EM_S_VAL_PETTMDEDUCTED(B420,E420)</f>
        <v>-32.245320019361003</v>
      </c>
      <c r="N420" s="7">
        <f>[1]!EM_S_VAL_PBGOODWILLDEDUCTED(B420,E420)</f>
        <v>1.27070342249672</v>
      </c>
      <c r="O420" s="7">
        <f>[1]!EM_S_VAL_PS_TTM(B420,E420)</f>
        <v>0.91227974539699697</v>
      </c>
      <c r="P420" s="7">
        <f>[1]!EM_S_VAL_PCF_NCFTTM(B420,E420)</f>
        <v>-26.319294535214802</v>
      </c>
      <c r="Q420" s="7">
        <f>[1]!EM_S_VAL_DIVIDENDYIELD2(B420,E420,"2019-11-29")</f>
        <v>0</v>
      </c>
      <c r="T420"/>
      <c r="U420">
        <f>[1]!EM_S_RATIO_EPS_TTM(B420,E420,"1")</f>
        <v>5.6392529207081724E-2</v>
      </c>
      <c r="AT420" s="4" t="str">
        <f>[1]!EM_S_IPO_LISTEDDATE(B420)</f>
        <v>2002-11-08</v>
      </c>
    </row>
    <row r="421" spans="1:46">
      <c r="A421">
        <v>622</v>
      </c>
      <c r="B421" t="str">
        <f>"002111"</f>
        <v>002111</v>
      </c>
      <c r="C421" t="s">
        <v>1417</v>
      </c>
      <c r="D421" t="str">
        <f>[1]!EM_S_INFO_INDEX_EM(B421,"1")</f>
        <v>机械设备</v>
      </c>
      <c r="E421" s="4">
        <f t="shared" si="6"/>
        <v>43465</v>
      </c>
      <c r="F421" s="11">
        <f>[1]!EM_S_PQ_PCTCHANGE(B421,"2018-01-01","2019-12-31","3")</f>
        <v>12.63272615</v>
      </c>
      <c r="G421" s="11">
        <f>[1]!EM_S_PQ_PCTCHANGE(B421,"2018-12-31","2019-12-30","1")</f>
        <v>60.472279260000001</v>
      </c>
      <c r="H421" s="11">
        <f>[1]!EM_S_FA_YOY_OR(B421,E421)</f>
        <v>21.233029560199999</v>
      </c>
      <c r="I421" s="11">
        <f>[1]!EM_S_FA_GROSSPROFITMARGIN(B421,E421)</f>
        <v>32.472756191999999</v>
      </c>
      <c r="J421" s="11">
        <f>[1]!EM_S_FA_NETPROFITMARGIN(B421,E421)</f>
        <v>10.7447288542</v>
      </c>
      <c r="K421" s="10">
        <f>[1]!EM_S_FA_ASSETSTURN(B421,E421)</f>
        <v>0.48255498084699999</v>
      </c>
      <c r="L421" s="12">
        <f>[1]!EM_HKS_VAL_MV(B421,"2019-12-31","2")</f>
        <v>5971782162.5600004</v>
      </c>
      <c r="M421">
        <f>[1]!EM_S_VAL_PETTMDEDUCTED(B421,E421)</f>
        <v>33.595585431034699</v>
      </c>
      <c r="N421" s="7">
        <f>[1]!EM_S_VAL_PBGOODWILLDEDUCTED(B421,E421)</f>
        <v>1.6047919603452401</v>
      </c>
      <c r="O421" s="7">
        <f>[1]!EM_S_VAL_PS_TTM(B421,E421)</f>
        <v>1.8020741867560299</v>
      </c>
      <c r="P421" s="7">
        <f>[1]!EM_S_VAL_PCF_NCFTTM(B421,E421)</f>
        <v>-31.933423408138299</v>
      </c>
      <c r="Q421" s="7">
        <f>[1]!EM_S_VAL_DIVIDENDYIELD2(B421,E421,"2019-11-29")</f>
        <v>2.5125105932203389</v>
      </c>
      <c r="T421"/>
      <c r="U421">
        <f>[1]!EM_S_RATIO_EPS_TTM(B421,E421,"1")</f>
        <v>0.61498337008221382</v>
      </c>
      <c r="AT421" s="4" t="str">
        <f>[1]!EM_S_IPO_LISTEDDATE(B421)</f>
        <v>2007-01-26</v>
      </c>
    </row>
    <row r="422" spans="1:46">
      <c r="A422">
        <v>1098</v>
      </c>
      <c r="B422" t="str">
        <f>"002587"</f>
        <v>002587</v>
      </c>
      <c r="C422" t="s">
        <v>539</v>
      </c>
      <c r="D422" t="str">
        <f>[1]!EM_S_INFO_INDEX_EM(B422,"1")</f>
        <v>电子设备</v>
      </c>
      <c r="E422" s="4">
        <f t="shared" si="6"/>
        <v>43465</v>
      </c>
      <c r="F422" s="11">
        <f>[1]!EM_S_PQ_PCTCHANGE(B422,"2018-01-01","2019-12-31","3")</f>
        <v>16.86245139</v>
      </c>
      <c r="G422" s="11">
        <f>[1]!EM_S_PQ_PCTCHANGE(B422,"2018-12-31","2019-12-30","1")</f>
        <v>60.288065840000002</v>
      </c>
      <c r="H422" s="11">
        <f>[1]!EM_S_FA_YOY_OR(B422,E422)</f>
        <v>51.122479411900002</v>
      </c>
      <c r="I422" s="11">
        <f>[1]!EM_S_FA_GROSSPROFITMARGIN(B422,E422)</f>
        <v>33.518656330500001</v>
      </c>
      <c r="J422" s="11">
        <f>[1]!EM_S_FA_NETPROFITMARGIN(B422,E422)</f>
        <v>11.7132315694</v>
      </c>
      <c r="K422" s="10">
        <f>[1]!EM_S_FA_ASSETSTURN(B422,E422)</f>
        <v>0.774567221862</v>
      </c>
      <c r="L422" s="12">
        <f>[1]!EM_HKS_VAL_MV(B422,"2019-12-31","2")</f>
        <v>4836289255.1999998</v>
      </c>
      <c r="M422">
        <f>[1]!EM_S_VAL_PETTMDEDUCTED(B422,E422)</f>
        <v>19.758544810293898</v>
      </c>
      <c r="N422" s="7">
        <f>[1]!EM_S_VAL_PBGOODWILLDEDUCTED(B422,E422)</f>
        <v>2.78850724958312</v>
      </c>
      <c r="O422" s="7">
        <f>[1]!EM_S_VAL_PS_TTM(B422,E422)</f>
        <v>2.01225394689222</v>
      </c>
      <c r="P422" s="7">
        <f>[1]!EM_S_VAL_PCF_NCFTTM(B422,E422)</f>
        <v>-34.620661827110297</v>
      </c>
      <c r="Q422" s="7">
        <f>[1]!EM_S_VAL_DIVIDENDYIELD2(B422,E422,"2019-11-29")</f>
        <v>1.5051073306989629</v>
      </c>
      <c r="T422"/>
      <c r="U422">
        <f>[1]!EM_S_RATIO_EPS_TTM(B422,E422,"1")</f>
        <v>0.29014536198918001</v>
      </c>
      <c r="AT422" s="4" t="str">
        <f>[1]!EM_S_IPO_LISTEDDATE(B422)</f>
        <v>2011-06-10</v>
      </c>
    </row>
    <row r="423" spans="1:46">
      <c r="A423">
        <v>2188</v>
      </c>
      <c r="B423" t="str">
        <f>"600030"</f>
        <v>600030</v>
      </c>
      <c r="C423" t="s">
        <v>1539</v>
      </c>
      <c r="D423" t="str">
        <f>[1]!EM_S_INFO_INDEX_EM(B423,"1")</f>
        <v>金融</v>
      </c>
      <c r="E423" s="4">
        <f t="shared" si="6"/>
        <v>43465</v>
      </c>
      <c r="F423" s="11">
        <f>[1]!EM_S_PQ_PCTCHANGE(B423,"2018-01-01","2019-12-31","3")</f>
        <v>45.522082529999999</v>
      </c>
      <c r="G423" s="11">
        <f>[1]!EM_S_PQ_PCTCHANGE(B423,"2018-12-31","2019-12-30","1")</f>
        <v>60.274828229999997</v>
      </c>
      <c r="H423" s="11">
        <f>[1]!EM_S_FA_YOY_OR(B423,E423)</f>
        <v>-14.0233237529</v>
      </c>
      <c r="I423" s="11">
        <f>[1]!EM_S_FA_GROSSPROFITMARGIN(B423,E423)</f>
        <v>0</v>
      </c>
      <c r="J423" s="11">
        <f>[1]!EM_S_FA_NETPROFITMARGIN(B423,E423)</f>
        <v>26.534766338600001</v>
      </c>
      <c r="K423" s="10">
        <f>[1]!EM_S_FA_ASSETSTURN(B423,E423)</f>
        <v>0</v>
      </c>
      <c r="L423" s="12">
        <f>[1]!EM_HKS_VAL_MV(B423,"2019-12-31","2")</f>
        <v>306557782520</v>
      </c>
      <c r="M423">
        <f>[1]!EM_S_VAL_PETTMDEDUCTED(B423,E423)</f>
        <v>17.987472109007001</v>
      </c>
      <c r="N423" s="7">
        <f>[1]!EM_S_VAL_PBGOODWILLDEDUCTED(B423,E423)</f>
        <v>1.3600732679184699</v>
      </c>
      <c r="O423" s="7">
        <f>[1]!EM_S_VAL_PS_TTM(B423,E423)</f>
        <v>4.6187302830696897</v>
      </c>
      <c r="P423" s="7">
        <f>[1]!EM_S_VAL_PCF_NCFTTM(B423,E423)</f>
        <v>-112.180305756176</v>
      </c>
      <c r="Q423" s="7">
        <f>[1]!EM_S_VAL_DIVIDENDYIELD2(B423,E423,"2019-11-29")</f>
        <v>1.6347501167678655</v>
      </c>
      <c r="T423"/>
      <c r="U423">
        <f>[1]!EM_S_RATIO_EPS_TTM(B423,E423,"1")</f>
        <v>0.77494156759821675</v>
      </c>
      <c r="AT423" s="4" t="str">
        <f>[1]!EM_S_IPO_LISTEDDATE(B423)</f>
        <v>2003-01-06</v>
      </c>
    </row>
    <row r="424" spans="1:46">
      <c r="A424">
        <v>645</v>
      </c>
      <c r="B424" t="str">
        <f>"002134"</f>
        <v>002134</v>
      </c>
      <c r="C424" t="s">
        <v>3403</v>
      </c>
      <c r="D424" t="str">
        <f>[1]!EM_S_INFO_INDEX_EM(B424,"1")</f>
        <v>电子设备</v>
      </c>
      <c r="E424" s="4">
        <f t="shared" si="6"/>
        <v>43465</v>
      </c>
      <c r="F424" s="11">
        <f>[1]!EM_S_PQ_PCTCHANGE(B424,"2018-01-01","2019-12-31","3")</f>
        <v>4.7991071400000003</v>
      </c>
      <c r="G424" s="11">
        <f>[1]!EM_S_PQ_PCTCHANGE(B424,"2018-12-31","2019-12-30","1")</f>
        <v>60.169491530000002</v>
      </c>
      <c r="H424" s="11">
        <f>[1]!EM_S_FA_YOY_OR(B424,E424)</f>
        <v>-9.0798033096000008</v>
      </c>
      <c r="I424" s="11">
        <f>[1]!EM_S_FA_GROSSPROFITMARGIN(B424,E424)</f>
        <v>7.6310124502000001</v>
      </c>
      <c r="J424" s="11">
        <f>[1]!EM_S_FA_NETPROFITMARGIN(B424,E424)</f>
        <v>-15.1031313668</v>
      </c>
      <c r="K424" s="10">
        <f>[1]!EM_S_FA_ASSETSTURN(B424,E424)</f>
        <v>0.64338096154400004</v>
      </c>
      <c r="L424" s="12">
        <f>[1]!EM_HKS_VAL_MV(B424,"2019-12-31","2")</f>
        <v>2308529321.52</v>
      </c>
      <c r="M424">
        <f>[1]!EM_S_VAL_PETTMDEDUCTED(B424,E424)</f>
        <v>-67.449288740449106</v>
      </c>
      <c r="N424" s="7">
        <f>[1]!EM_S_VAL_PBGOODWILLDEDUCTED(B424,E424)</f>
        <v>3.8321508235148301</v>
      </c>
      <c r="O424" s="7">
        <f>[1]!EM_S_VAL_PS_TTM(B424,E424)</f>
        <v>3.5649283786413899</v>
      </c>
      <c r="P424" s="7">
        <f>[1]!EM_S_VAL_PCF_NCFTTM(B424,E424)</f>
        <v>-47.7792639121135</v>
      </c>
      <c r="Q424" s="7">
        <f>[1]!EM_S_VAL_DIVIDENDYIELD2(B424,E424,"2019-11-29")</f>
        <v>0</v>
      </c>
      <c r="T424"/>
      <c r="U424">
        <f>[1]!EM_S_RATIO_EPS_TTM(B424,E424,"1")</f>
        <v>-0.24103024848085275</v>
      </c>
      <c r="AT424" s="4" t="str">
        <f>[1]!EM_S_IPO_LISTEDDATE(B424)</f>
        <v>2007-05-16</v>
      </c>
    </row>
    <row r="425" spans="1:46">
      <c r="A425">
        <v>1883</v>
      </c>
      <c r="B425" t="str">
        <f>"300458"</f>
        <v>300458</v>
      </c>
      <c r="C425" t="s">
        <v>3324</v>
      </c>
      <c r="D425" t="str">
        <f>[1]!EM_S_INFO_INDEX_EM(B425,"1")</f>
        <v>电子设备</v>
      </c>
      <c r="E425" s="4">
        <f t="shared" si="6"/>
        <v>43465</v>
      </c>
      <c r="F425" s="11">
        <f>[1]!EM_S_PQ_PCTCHANGE(B425,"2018-01-01","2019-12-31","3")</f>
        <v>14.127031430000001</v>
      </c>
      <c r="G425" s="11">
        <f>[1]!EM_S_PQ_PCTCHANGE(B425,"2018-12-31","2019-12-30","1")</f>
        <v>60.1</v>
      </c>
      <c r="H425" s="11">
        <f>[1]!EM_S_FA_YOY_OR(B425,E425)</f>
        <v>13.634133157200001</v>
      </c>
      <c r="I425" s="11">
        <f>[1]!EM_S_FA_GROSSPROFITMARGIN(B425,E425)</f>
        <v>34.195747213200001</v>
      </c>
      <c r="J425" s="11">
        <f>[1]!EM_S_FA_NETPROFITMARGIN(B425,E425)</f>
        <v>7.8951829517999998</v>
      </c>
      <c r="K425" s="10">
        <f>[1]!EM_S_FA_ASSETSTURN(B425,E425)</f>
        <v>0.56400641248899996</v>
      </c>
      <c r="L425" s="12">
        <f>[1]!EM_HKS_VAL_MV(B425,"2019-12-31","2")</f>
        <v>10576238116.43</v>
      </c>
      <c r="M425">
        <f>[1]!EM_S_VAL_PETTMDEDUCTED(B425,E425)</f>
        <v>71.302040538782705</v>
      </c>
      <c r="N425" s="7">
        <f>[1]!EM_S_VAL_PBGOODWILLDEDUCTED(B425,E425)</f>
        <v>3.1233269251273899</v>
      </c>
      <c r="O425" s="7">
        <f>[1]!EM_S_VAL_PS_TTM(B425,E425)</f>
        <v>4.5134637498516597</v>
      </c>
      <c r="P425" s="7">
        <f>[1]!EM_S_VAL_PCF_NCFTTM(B425,E425)</f>
        <v>25.149972013552901</v>
      </c>
      <c r="Q425" s="7">
        <f>[1]!EM_S_VAL_DIVIDENDYIELD2(B425,E425,"2019-11-29")</f>
        <v>1.0975128208715468</v>
      </c>
      <c r="T425"/>
      <c r="U425">
        <f>[1]!EM_S_RATIO_EPS_TTM(B425,E425,"1")</f>
        <v>0.35644690905608628</v>
      </c>
      <c r="AT425" s="4" t="str">
        <f>[1]!EM_S_IPO_LISTEDDATE(B425)</f>
        <v>2015-05-15</v>
      </c>
    </row>
    <row r="426" spans="1:46">
      <c r="A426">
        <v>1637</v>
      </c>
      <c r="B426" t="str">
        <f>"300212"</f>
        <v>300212</v>
      </c>
      <c r="C426" t="s">
        <v>1827</v>
      </c>
      <c r="D426" t="str">
        <f>[1]!EM_S_INFO_INDEX_EM(B426,"1")</f>
        <v>信息技术</v>
      </c>
      <c r="E426" s="4">
        <f t="shared" si="6"/>
        <v>43465</v>
      </c>
      <c r="F426" s="11">
        <f>[1]!EM_S_PQ_PCTCHANGE(B426,"2018-01-01","2019-12-31","3")</f>
        <v>79.644296019999999</v>
      </c>
      <c r="G426" s="11">
        <f>[1]!EM_S_PQ_PCTCHANGE(B426,"2018-12-31","2019-12-30","1")</f>
        <v>60.086872589999999</v>
      </c>
      <c r="H426" s="11">
        <f>[1]!EM_S_FA_YOY_OR(B426,E426)</f>
        <v>-1.7370563917999999</v>
      </c>
      <c r="I426" s="11">
        <f>[1]!EM_S_FA_GROSSPROFITMARGIN(B426,E426)</f>
        <v>38.800197893000004</v>
      </c>
      <c r="J426" s="11">
        <f>[1]!EM_S_FA_NETPROFITMARGIN(B426,E426)</f>
        <v>12.100958522000001</v>
      </c>
      <c r="K426" s="10">
        <f>[1]!EM_S_FA_ASSETSTURN(B426,E426)</f>
        <v>0.293319764935</v>
      </c>
      <c r="L426" s="12">
        <f>[1]!EM_HKS_VAL_MV(B426,"2019-12-31","2")</f>
        <v>18114693616.799999</v>
      </c>
      <c r="M426">
        <f>[1]!EM_S_VAL_PETTMDEDUCTED(B426,E426)</f>
        <v>43.8309688999936</v>
      </c>
      <c r="N426" s="7">
        <f>[1]!EM_S_VAL_PBGOODWILLDEDUCTED(B426,E426)</f>
        <v>3.51833066272994</v>
      </c>
      <c r="O426" s="7">
        <f>[1]!EM_S_VAL_PS_TTM(B426,E426)</f>
        <v>2.91649248583593</v>
      </c>
      <c r="P426" s="7">
        <f>[1]!EM_S_VAL_PCF_NCFTTM(B426,E426)</f>
        <v>-31.674328375212301</v>
      </c>
      <c r="Q426" s="7">
        <f>[1]!EM_S_VAL_DIVIDENDYIELD2(B426,E426,"2019-11-29")</f>
        <v>0.43080236988979631</v>
      </c>
      <c r="T426"/>
      <c r="U426">
        <f>[1]!EM_S_RATIO_EPS_TTM(B426,E426,"1")</f>
        <v>0.66903826969368341</v>
      </c>
      <c r="AT426" s="4" t="str">
        <f>[1]!EM_S_IPO_LISTEDDATE(B426)</f>
        <v>2011-05-05</v>
      </c>
    </row>
    <row r="427" spans="1:46">
      <c r="A427">
        <v>921</v>
      </c>
      <c r="B427" t="str">
        <f>"002410"</f>
        <v>002410</v>
      </c>
      <c r="C427" t="s">
        <v>1499</v>
      </c>
      <c r="D427" t="str">
        <f>[1]!EM_S_INFO_INDEX_EM(B427,"1")</f>
        <v>信息技术</v>
      </c>
      <c r="E427" s="4">
        <f t="shared" si="6"/>
        <v>43465</v>
      </c>
      <c r="F427" s="11">
        <f>[1]!EM_S_PQ_PCTCHANGE(B427,"2018-01-01","2019-12-31","3")</f>
        <v>76.424763389999995</v>
      </c>
      <c r="G427" s="11">
        <f>[1]!EM_S_PQ_PCTCHANGE(B427,"2018-12-31","2019-12-30","1")</f>
        <v>60.067275350000003</v>
      </c>
      <c r="H427" s="11">
        <f>[1]!EM_S_FA_YOY_OR(B427,E427)</f>
        <v>22.302925017500002</v>
      </c>
      <c r="I427" s="11">
        <f>[1]!EM_S_FA_GROSSPROFITMARGIN(B427,E427)</f>
        <v>93.421047440300001</v>
      </c>
      <c r="J427" s="11">
        <f>[1]!EM_S_FA_NETPROFITMARGIN(B427,E427)</f>
        <v>15.120650570800001</v>
      </c>
      <c r="K427" s="10">
        <f>[1]!EM_S_FA_ASSETSTURN(B427,E427)</f>
        <v>0.55359277320199995</v>
      </c>
      <c r="L427" s="12">
        <f>[1]!EM_HKS_VAL_MV(B427,"2019-12-31","2")</f>
        <v>38314214887.220001</v>
      </c>
      <c r="M427">
        <f>[1]!EM_S_VAL_PETTMDEDUCTED(B427,E427)</f>
        <v>57.784269921328701</v>
      </c>
      <c r="N427" s="7">
        <f>[1]!EM_S_VAL_PBGOODWILLDEDUCTED(B427,E427)</f>
        <v>9.3032006547598307</v>
      </c>
      <c r="O427" s="7">
        <f>[1]!EM_S_VAL_PS_TTM(B427,E427)</f>
        <v>8.5549889470098694</v>
      </c>
      <c r="P427" s="7">
        <f>[1]!EM_S_VAL_PCF_NCFTTM(B427,E427)</f>
        <v>96.958874103447698</v>
      </c>
      <c r="Q427" s="7">
        <f>[1]!EM_S_VAL_DIVIDENDYIELD2(B427,E427,"2019-11-29")</f>
        <v>0.60515634336430379</v>
      </c>
      <c r="T427"/>
      <c r="U427">
        <f>[1]!EM_S_RATIO_EPS_TTM(B427,E427,"1")</f>
        <v>0.38975294770674573</v>
      </c>
      <c r="AT427" s="4" t="str">
        <f>[1]!EM_S_IPO_LISTEDDATE(B427)</f>
        <v>2010-05-25</v>
      </c>
    </row>
    <row r="428" spans="1:46">
      <c r="A428">
        <v>972</v>
      </c>
      <c r="B428" t="str">
        <f>"002461"</f>
        <v>002461</v>
      </c>
      <c r="C428" t="s">
        <v>2929</v>
      </c>
      <c r="D428" t="str">
        <f>[1]!EM_S_INFO_INDEX_EM(B428,"1")</f>
        <v>食品饮料</v>
      </c>
      <c r="E428" s="4">
        <f t="shared" si="6"/>
        <v>43465</v>
      </c>
      <c r="F428" s="11">
        <f>[1]!EM_S_PQ_PCTCHANGE(B428,"2018-01-01","2019-12-31","3")</f>
        <v>23.845316100000002</v>
      </c>
      <c r="G428" s="11">
        <f>[1]!EM_S_PQ_PCTCHANGE(B428,"2018-12-31","2019-12-30","1")</f>
        <v>60</v>
      </c>
      <c r="H428" s="11">
        <f>[1]!EM_S_FA_YOY_OR(B428,E428)</f>
        <v>7.3251442183000002</v>
      </c>
      <c r="I428" s="11">
        <f>[1]!EM_S_FA_GROSSPROFITMARGIN(B428,E428)</f>
        <v>40.551436440800003</v>
      </c>
      <c r="J428" s="11">
        <f>[1]!EM_S_FA_NETPROFITMARGIN(B428,E428)</f>
        <v>9.3873767298999997</v>
      </c>
      <c r="K428" s="10">
        <f>[1]!EM_S_FA_ASSETSTURN(B428,E428)</f>
        <v>0.34380615275300003</v>
      </c>
      <c r="L428" s="12">
        <f>[1]!EM_HKS_VAL_MV(B428,"2019-12-31","2")</f>
        <v>15803165347.200001</v>
      </c>
      <c r="M428">
        <f>[1]!EM_S_VAL_PETTMDEDUCTED(B428,E428)</f>
        <v>68.617984227885103</v>
      </c>
      <c r="N428" s="7">
        <f>[1]!EM_S_VAL_PBGOODWILLDEDUCTED(B428,E428)</f>
        <v>1.1847956770006001</v>
      </c>
      <c r="O428" s="7">
        <f>[1]!EM_S_VAL_PS_TTM(B428,E428)</f>
        <v>2.4486007962299601</v>
      </c>
      <c r="P428" s="7">
        <f>[1]!EM_S_VAL_PCF_NCFTTM(B428,E428)</f>
        <v>42.250132180755998</v>
      </c>
      <c r="Q428" s="7">
        <f>[1]!EM_S_VAL_DIVIDENDYIELD2(B428,E428,"2019-11-29")</f>
        <v>1.4064697609001409</v>
      </c>
      <c r="T428"/>
      <c r="U428">
        <f>[1]!EM_S_RATIO_EPS_TTM(B428,E428,"1")</f>
        <v>0.165555800402478</v>
      </c>
      <c r="AT428" s="4" t="str">
        <f>[1]!EM_S_IPO_LISTEDDATE(B428)</f>
        <v>2010-08-18</v>
      </c>
    </row>
    <row r="429" spans="1:46">
      <c r="A429">
        <v>2058</v>
      </c>
      <c r="B429" t="str">
        <f>"300639"</f>
        <v>300639</v>
      </c>
      <c r="C429" t="s">
        <v>1977</v>
      </c>
      <c r="D429" t="str">
        <f>[1]!EM_S_INFO_INDEX_EM(B429,"1")</f>
        <v>医药生物</v>
      </c>
      <c r="E429" s="4">
        <f t="shared" si="6"/>
        <v>43465</v>
      </c>
      <c r="F429" s="11">
        <f>[1]!EM_S_PQ_PCTCHANGE(B429,"2018-01-01","2019-12-31","3")</f>
        <v>-25.06476791</v>
      </c>
      <c r="G429" s="11">
        <f>[1]!EM_S_PQ_PCTCHANGE(B429,"2018-12-31","2019-12-30","1")</f>
        <v>59.972770590000003</v>
      </c>
      <c r="H429" s="11">
        <f>[1]!EM_S_FA_YOY_OR(B429,E429)</f>
        <v>21.137566726300001</v>
      </c>
      <c r="I429" s="11">
        <f>[1]!EM_S_FA_GROSSPROFITMARGIN(B429,E429)</f>
        <v>83.496454422300005</v>
      </c>
      <c r="J429" s="11">
        <f>[1]!EM_S_FA_NETPROFITMARGIN(B429,E429)</f>
        <v>18.3928602899</v>
      </c>
      <c r="K429" s="10">
        <f>[1]!EM_S_FA_ASSETSTURN(B429,E429)</f>
        <v>0.51406341465600003</v>
      </c>
      <c r="L429" s="12">
        <f>[1]!EM_HKS_VAL_MV(B429,"2019-12-31","2")</f>
        <v>5312800120.6800003</v>
      </c>
      <c r="M429">
        <f>[1]!EM_S_VAL_PETTMDEDUCTED(B429,E429)</f>
        <v>28.556145518239301</v>
      </c>
      <c r="N429" s="7">
        <f>[1]!EM_S_VAL_PBGOODWILLDEDUCTED(B429,E429)</f>
        <v>2.7636577347554199</v>
      </c>
      <c r="O429" s="7">
        <f>[1]!EM_S_VAL_PS_TTM(B429,E429)</f>
        <v>4.87897164904322</v>
      </c>
      <c r="P429" s="7">
        <f>[1]!EM_S_VAL_PCF_NCFTTM(B429,E429)</f>
        <v>-22.383289834434201</v>
      </c>
      <c r="Q429" s="7">
        <f>[1]!EM_S_VAL_DIVIDENDYIELD2(B429,E429,"2019-11-29")</f>
        <v>0.82734698654499306</v>
      </c>
      <c r="T429"/>
      <c r="U429">
        <f>[1]!EM_S_RATIO_EPS_TTM(B429,E429,"1")</f>
        <v>0.62678304898685777</v>
      </c>
      <c r="AT429" s="4" t="str">
        <f>[1]!EM_S_IPO_LISTEDDATE(B429)</f>
        <v>2017-04-12</v>
      </c>
    </row>
    <row r="430" spans="1:46">
      <c r="A430">
        <v>1206</v>
      </c>
      <c r="B430" t="str">
        <f>"002695"</f>
        <v>002695</v>
      </c>
      <c r="C430" t="s">
        <v>866</v>
      </c>
      <c r="D430" t="str">
        <f>[1]!EM_S_INFO_INDEX_EM(B430,"1")</f>
        <v>食品饮料</v>
      </c>
      <c r="E430" s="4">
        <f t="shared" si="6"/>
        <v>43465</v>
      </c>
      <c r="F430" s="11">
        <f>[1]!EM_S_PQ_PCTCHANGE(B430,"2018-01-01","2019-12-31","3")</f>
        <v>-2.3918414800000001</v>
      </c>
      <c r="G430" s="11">
        <f>[1]!EM_S_PQ_PCTCHANGE(B430,"2018-12-31","2019-12-30","1")</f>
        <v>59.959758549999997</v>
      </c>
      <c r="H430" s="11">
        <f>[1]!EM_S_FA_YOY_OR(B430,E430)</f>
        <v>28.4073712219</v>
      </c>
      <c r="I430" s="11">
        <f>[1]!EM_S_FA_GROSSPROFITMARGIN(B430,E430)</f>
        <v>34.472118849099999</v>
      </c>
      <c r="J430" s="11">
        <f>[1]!EM_S_FA_NETPROFITMARGIN(B430,E430)</f>
        <v>9.4826992254999993</v>
      </c>
      <c r="K430" s="10">
        <f>[1]!EM_S_FA_ASSETSTURN(B430,E430)</f>
        <v>0.82952417275599999</v>
      </c>
      <c r="L430" s="12">
        <f>[1]!EM_HKS_VAL_MV(B430,"2019-12-31","2")</f>
        <v>8419405694.3999996</v>
      </c>
      <c r="M430">
        <f>[1]!EM_S_VAL_PETTMDEDUCTED(B430,E430)</f>
        <v>28.703238534980098</v>
      </c>
      <c r="N430" s="7">
        <f>[1]!EM_S_VAL_PBGOODWILLDEDUCTED(B430,E430)</f>
        <v>2.7538955915967001</v>
      </c>
      <c r="O430" s="7">
        <f>[1]!EM_S_VAL_PS_TTM(B430,E430)</f>
        <v>2.83779353867294</v>
      </c>
      <c r="P430" s="7">
        <f>[1]!EM_S_VAL_PCF_NCFTTM(B430,E430)</f>
        <v>15.054563323734</v>
      </c>
      <c r="Q430" s="7">
        <f>[1]!EM_S_VAL_DIVIDENDYIELD2(B430,E430,"2019-11-29")</f>
        <v>0.53383546883459265</v>
      </c>
      <c r="T430"/>
      <c r="U430">
        <f>[1]!EM_S_RATIO_EPS_TTM(B430,E430,"1")</f>
        <v>0.33648080261549279</v>
      </c>
      <c r="AT430" s="4" t="str">
        <f>[1]!EM_S_IPO_LISTEDDATE(B430)</f>
        <v>2012-09-05</v>
      </c>
    </row>
    <row r="431" spans="1:46">
      <c r="A431">
        <v>1660</v>
      </c>
      <c r="B431" t="str">
        <f>"300235"</f>
        <v>300235</v>
      </c>
      <c r="C431" t="s">
        <v>1745</v>
      </c>
      <c r="D431" t="str">
        <f>[1]!EM_S_INFO_INDEX_EM(B431,"1")</f>
        <v>文化传媒</v>
      </c>
      <c r="E431" s="4">
        <f t="shared" si="6"/>
        <v>43465</v>
      </c>
      <c r="F431" s="11">
        <f>[1]!EM_S_PQ_PCTCHANGE(B431,"2018-01-01","2019-12-31","3")</f>
        <v>17.264957259999999</v>
      </c>
      <c r="G431" s="11">
        <f>[1]!EM_S_PQ_PCTCHANGE(B431,"2018-12-31","2019-12-30","1")</f>
        <v>59.877300609999999</v>
      </c>
      <c r="H431" s="11">
        <f>[1]!EM_S_FA_YOY_OR(B431,E431)</f>
        <v>6.7002840623999997</v>
      </c>
      <c r="I431" s="11">
        <f>[1]!EM_S_FA_GROSSPROFITMARGIN(B431,E431)</f>
        <v>61.909271848000003</v>
      </c>
      <c r="J431" s="11">
        <f>[1]!EM_S_FA_NETPROFITMARGIN(B431,E431)</f>
        <v>11.2919740017</v>
      </c>
      <c r="K431" s="10">
        <f>[1]!EM_S_FA_ASSETSTURN(B431,E431)</f>
        <v>0.17394918133000001</v>
      </c>
      <c r="L431" s="12">
        <f>[1]!EM_HKS_VAL_MV(B431,"2019-12-31","2")</f>
        <v>2302642554.8000002</v>
      </c>
      <c r="M431">
        <f>[1]!EM_S_VAL_PETTMDEDUCTED(B431,E431)</f>
        <v>122.67858192922</v>
      </c>
      <c r="N431" s="7">
        <f>[1]!EM_S_VAL_PBGOODWILLDEDUCTED(B431,E431)</f>
        <v>2.3011109003633301</v>
      </c>
      <c r="O431" s="7">
        <f>[1]!EM_S_VAL_PS_TTM(B431,E431)</f>
        <v>12.055522436477</v>
      </c>
      <c r="P431" s="7">
        <f>[1]!EM_S_VAL_PCF_NCFTTM(B431,E431)</f>
        <v>24.8904410003063</v>
      </c>
      <c r="Q431" s="7">
        <f>[1]!EM_S_VAL_DIVIDENDYIELD2(B431,E431,"2019-11-29")</f>
        <v>0</v>
      </c>
      <c r="T431"/>
      <c r="U431">
        <f>[1]!EM_S_RATIO_EPS_TTM(B431,E431,"1")</f>
        <v>7.3383641552944689E-2</v>
      </c>
      <c r="AT431" s="4" t="str">
        <f>[1]!EM_S_IPO_LISTEDDATE(B431)</f>
        <v>2011-06-29</v>
      </c>
    </row>
    <row r="432" spans="1:46">
      <c r="A432">
        <v>301</v>
      </c>
      <c r="B432" t="str">
        <f>"000720"</f>
        <v>000720</v>
      </c>
      <c r="C432" t="s">
        <v>39</v>
      </c>
      <c r="D432" t="str">
        <f>[1]!EM_S_INFO_INDEX_EM(B432,"1")</f>
        <v>电气设备</v>
      </c>
      <c r="E432" s="4">
        <f t="shared" si="6"/>
        <v>43465</v>
      </c>
      <c r="F432" s="11">
        <f>[1]!EM_S_PQ_PCTCHANGE(B432,"2018-01-01","2019-12-31","3")</f>
        <v>21.651785709999999</v>
      </c>
      <c r="G432" s="11">
        <f>[1]!EM_S_PQ_PCTCHANGE(B432,"2018-12-31","2019-12-30","1")</f>
        <v>59.365994239999999</v>
      </c>
      <c r="H432" s="11">
        <f>[1]!EM_S_FA_YOY_OR(B432,E432)</f>
        <v>-5.1668194134999998</v>
      </c>
      <c r="I432" s="11">
        <f>[1]!EM_S_FA_GROSSPROFITMARGIN(B432,E432)</f>
        <v>34.667063595099997</v>
      </c>
      <c r="J432" s="11">
        <f>[1]!EM_S_FA_NETPROFITMARGIN(B432,E432)</f>
        <v>41.6017026305</v>
      </c>
      <c r="K432" s="10">
        <f>[1]!EM_S_FA_ASSETSTURN(B432,E432)</f>
        <v>0.36488645304099998</v>
      </c>
      <c r="L432" s="12">
        <f>[1]!EM_HKS_VAL_MV(B432,"2019-12-31","2")</f>
        <v>7028597742.8999996</v>
      </c>
      <c r="M432">
        <f>[1]!EM_S_VAL_PETTMDEDUCTED(B432,E432)</f>
        <v>10.5040067410783</v>
      </c>
      <c r="N432" s="7">
        <f>[1]!EM_S_VAL_PBGOODWILLDEDUCTED(B432,E432)</f>
        <v>2.0998967004419402</v>
      </c>
      <c r="O432" s="7">
        <f>[1]!EM_S_VAL_PS_TTM(B432,E432)</f>
        <v>2.3399493578918702</v>
      </c>
      <c r="P432" s="7">
        <f>[1]!EM_S_VAL_PCF_NCFTTM(B432,E432)</f>
        <v>7.76872152727565</v>
      </c>
      <c r="Q432" s="7">
        <f>[1]!EM_S_VAL_DIVIDENDYIELD2(B432,E432,"2019-11-29")</f>
        <v>0</v>
      </c>
      <c r="T432"/>
      <c r="U432">
        <f>[1]!EM_S_RATIO_EPS_TTM(B432,E432,"1")</f>
        <v>0.83199811527764367</v>
      </c>
      <c r="AT432" s="4" t="str">
        <f>[1]!EM_S_IPO_LISTEDDATE(B432)</f>
        <v>1997-05-09</v>
      </c>
    </row>
    <row r="433" spans="1:46">
      <c r="A433">
        <v>1539</v>
      </c>
      <c r="B433" t="str">
        <f>"300114"</f>
        <v>300114</v>
      </c>
      <c r="C433" t="s">
        <v>1697</v>
      </c>
      <c r="D433" t="str">
        <f>[1]!EM_S_INFO_INDEX_EM(B433,"1")</f>
        <v>机械设备</v>
      </c>
      <c r="E433" s="4">
        <f t="shared" si="6"/>
        <v>43465</v>
      </c>
      <c r="F433" s="11">
        <f>[1]!EM_S_PQ_PCTCHANGE(B433,"2018-01-01","2019-12-31","3")</f>
        <v>12.028320839999999</v>
      </c>
      <c r="G433" s="11">
        <f>[1]!EM_S_PQ_PCTCHANGE(B433,"2018-12-31","2019-12-30","1")</f>
        <v>59.129213479999997</v>
      </c>
      <c r="H433" s="11">
        <f>[1]!EM_S_FA_YOY_OR(B433,E433)</f>
        <v>11.8737509537</v>
      </c>
      <c r="I433" s="11">
        <f>[1]!EM_S_FA_GROSSPROFITMARGIN(B433,E433)</f>
        <v>38.518972482899997</v>
      </c>
      <c r="J433" s="11">
        <f>[1]!EM_S_FA_NETPROFITMARGIN(B433,E433)</f>
        <v>12.7683040099</v>
      </c>
      <c r="K433" s="10">
        <f>[1]!EM_S_FA_ASSETSTURN(B433,E433)</f>
        <v>0.64958344407699997</v>
      </c>
      <c r="L433" s="12">
        <f>[1]!EM_HKS_VAL_MV(B433,"2019-12-31","2")</f>
        <v>6722854478.6199999</v>
      </c>
      <c r="M433">
        <f>[1]!EM_S_VAL_PETTMDEDUCTED(B433,E433)</f>
        <v>27.2351211059867</v>
      </c>
      <c r="N433" s="7">
        <f>[1]!EM_S_VAL_PBGOODWILLDEDUCTED(B433,E433)</f>
        <v>2.9510422991760401</v>
      </c>
      <c r="O433" s="7">
        <f>[1]!EM_S_VAL_PS_TTM(B433,E433)</f>
        <v>3.0940665967840801</v>
      </c>
      <c r="P433" s="7">
        <f>[1]!EM_S_VAL_PCF_NCFTTM(B433,E433)</f>
        <v>-30.902800157098699</v>
      </c>
      <c r="Q433" s="7">
        <f>[1]!EM_S_VAL_DIVIDENDYIELD2(B433,E433,"2019-11-29")</f>
        <v>0.4178272980501393</v>
      </c>
      <c r="T433"/>
      <c r="U433">
        <f>[1]!EM_S_RATIO_EPS_TTM(B433,E433,"1")</f>
        <v>0.2643940975308845</v>
      </c>
      <c r="AT433" s="4" t="str">
        <f>[1]!EM_S_IPO_LISTEDDATE(B433)</f>
        <v>2010-08-27</v>
      </c>
    </row>
    <row r="434" spans="1:46">
      <c r="A434">
        <v>1150</v>
      </c>
      <c r="B434" t="str">
        <f>"002639"</f>
        <v>002639</v>
      </c>
      <c r="C434" t="s">
        <v>3043</v>
      </c>
      <c r="D434" t="str">
        <f>[1]!EM_S_INFO_INDEX_EM(B434,"1")</f>
        <v>机械设备</v>
      </c>
      <c r="E434" s="4">
        <f t="shared" si="6"/>
        <v>43465</v>
      </c>
      <c r="F434" s="11">
        <f>[1]!EM_S_PQ_PCTCHANGE(B434,"2018-01-01","2019-12-31","3")</f>
        <v>5.1881324400000004</v>
      </c>
      <c r="G434" s="11">
        <f>[1]!EM_S_PQ_PCTCHANGE(B434,"2018-12-31","2019-12-30","1")</f>
        <v>59.09943715</v>
      </c>
      <c r="H434" s="11">
        <f>[1]!EM_S_FA_YOY_OR(B434,E434)</f>
        <v>39.1750219543</v>
      </c>
      <c r="I434" s="11">
        <f>[1]!EM_S_FA_GROSSPROFITMARGIN(B434,E434)</f>
        <v>23.0750255317</v>
      </c>
      <c r="J434" s="11">
        <f>[1]!EM_S_FA_NETPROFITMARGIN(B434,E434)</f>
        <v>1.11770389</v>
      </c>
      <c r="K434" s="10">
        <f>[1]!EM_S_FA_ASSETSTURN(B434,E434)</f>
        <v>0.35142727881300001</v>
      </c>
      <c r="L434" s="12">
        <f>[1]!EM_HKS_VAL_MV(B434,"2019-12-31","2")</f>
        <v>5743099974.8400002</v>
      </c>
      <c r="M434">
        <f>[1]!EM_S_VAL_PETTMDEDUCTED(B434,E434)</f>
        <v>-42.925748476823003</v>
      </c>
      <c r="N434" s="7">
        <f>[1]!EM_S_VAL_PBGOODWILLDEDUCTED(B434,E434)</f>
        <v>1.9516074269480499</v>
      </c>
      <c r="O434" s="7">
        <f>[1]!EM_S_VAL_PS_TTM(B434,E434)</f>
        <v>3.1309957558260502</v>
      </c>
      <c r="P434" s="7">
        <f>[1]!EM_S_VAL_PCF_NCFTTM(B434,E434)</f>
        <v>-38.471832927254098</v>
      </c>
      <c r="Q434" s="7">
        <f>[1]!EM_S_VAL_DIVIDENDYIELD2(B434,E434,"2019-11-29")</f>
        <v>8.8516129032258056E-2</v>
      </c>
      <c r="T434"/>
      <c r="U434">
        <f>[1]!EM_S_RATIO_EPS_TTM(B434,E434,"1")</f>
        <v>2.285469911292233E-2</v>
      </c>
      <c r="AT434" s="4" t="str">
        <f>[1]!EM_S_IPO_LISTEDDATE(B434)</f>
        <v>2011-12-05</v>
      </c>
    </row>
    <row r="435" spans="1:46">
      <c r="A435">
        <v>682</v>
      </c>
      <c r="B435" t="str">
        <f>"002171"</f>
        <v>002171</v>
      </c>
      <c r="C435" t="s">
        <v>840</v>
      </c>
      <c r="D435" t="str">
        <f>[1]!EM_S_INFO_INDEX_EM(B435,"1")</f>
        <v>有色金属</v>
      </c>
      <c r="E435" s="4">
        <f t="shared" si="6"/>
        <v>43465</v>
      </c>
      <c r="F435" s="11">
        <f>[1]!EM_S_PQ_PCTCHANGE(B435,"2018-01-01","2019-12-31","3")</f>
        <v>4.16797956</v>
      </c>
      <c r="G435" s="11">
        <f>[1]!EM_S_PQ_PCTCHANGE(B435,"2018-12-31","2019-12-30","1")</f>
        <v>58.963282939999999</v>
      </c>
      <c r="H435" s="11">
        <f>[1]!EM_S_FA_YOY_OR(B435,E435)</f>
        <v>18.680521115800001</v>
      </c>
      <c r="I435" s="11">
        <f>[1]!EM_S_FA_GROSSPROFITMARGIN(B435,E435)</f>
        <v>7.9586025860999996</v>
      </c>
      <c r="J435" s="11">
        <f>[1]!EM_S_FA_NETPROFITMARGIN(B435,E435)</f>
        <v>3.1197341394000002</v>
      </c>
      <c r="K435" s="10">
        <f>[1]!EM_S_FA_ASSETSTURN(B435,E435)</f>
        <v>2.3071733306029998</v>
      </c>
      <c r="L435" s="12">
        <f>[1]!EM_HKS_VAL_MV(B435,"2019-12-31","2")</f>
        <v>9882478583.25</v>
      </c>
      <c r="M435">
        <f>[1]!EM_S_VAL_PETTMDEDUCTED(B435,E435)</f>
        <v>21.851919587847799</v>
      </c>
      <c r="N435" s="7">
        <f>[1]!EM_S_VAL_PBGOODWILLDEDUCTED(B435,E435)</f>
        <v>1.4822168821828501</v>
      </c>
      <c r="O435" s="7">
        <f>[1]!EM_S_VAL_PS_TTM(B435,E435)</f>
        <v>0.38231862861316801</v>
      </c>
      <c r="P435" s="7">
        <f>[1]!EM_S_VAL_PCF_NCFTTM(B435,E435)</f>
        <v>17.019319940857201</v>
      </c>
      <c r="Q435" s="7">
        <f>[1]!EM_S_VAL_DIVIDENDYIELD2(B435,E435,"2019-11-29")</f>
        <v>0</v>
      </c>
      <c r="T435"/>
      <c r="U435">
        <f>[1]!EM_S_RATIO_EPS_TTM(B435,E435,"1")</f>
        <v>0.38214509850269962</v>
      </c>
      <c r="AT435" s="4" t="str">
        <f>[1]!EM_S_IPO_LISTEDDATE(B435)</f>
        <v>2007-09-21</v>
      </c>
    </row>
    <row r="436" spans="1:46">
      <c r="A436">
        <v>2103</v>
      </c>
      <c r="B436" t="str">
        <f>"300685"</f>
        <v>300685</v>
      </c>
      <c r="C436" t="s">
        <v>543</v>
      </c>
      <c r="D436" t="str">
        <f>[1]!EM_S_INFO_INDEX_EM(B436,"1")</f>
        <v>医药生物</v>
      </c>
      <c r="E436" s="4">
        <f t="shared" si="6"/>
        <v>43465</v>
      </c>
      <c r="F436" s="11">
        <f>[1]!EM_S_PQ_PCTCHANGE(B436,"2018-01-01","2019-12-31","3")</f>
        <v>33.427864290000002</v>
      </c>
      <c r="G436" s="11">
        <f>[1]!EM_S_PQ_PCTCHANGE(B436,"2018-12-31","2019-12-30","1")</f>
        <v>58.885358099999998</v>
      </c>
      <c r="H436" s="11">
        <f>[1]!EM_S_FA_YOY_OR(B436,E436)</f>
        <v>32.8903191578</v>
      </c>
      <c r="I436" s="11">
        <f>[1]!EM_S_FA_GROSSPROFITMARGIN(B436,E436)</f>
        <v>91.035209442400003</v>
      </c>
      <c r="J436" s="11">
        <f>[1]!EM_S_FA_NETPROFITMARGIN(B436,E436)</f>
        <v>28.867614233000001</v>
      </c>
      <c r="K436" s="10">
        <f>[1]!EM_S_FA_ASSETSTURN(B436,E436)</f>
        <v>0.58011745085199995</v>
      </c>
      <c r="L436" s="12">
        <f>[1]!EM_HKS_VAL_MV(B436,"2019-12-31","2")</f>
        <v>9836304920</v>
      </c>
      <c r="M436">
        <f>[1]!EM_S_VAL_PETTMDEDUCTED(B436,E436)</f>
        <v>59.961023252396998</v>
      </c>
      <c r="N436" s="7">
        <f>[1]!EM_S_VAL_PBGOODWILLDEDUCTED(B436,E436)</f>
        <v>7.7847651603881003</v>
      </c>
      <c r="O436" s="7">
        <f>[1]!EM_S_VAL_PS_TTM(B436,E436)</f>
        <v>14.7934370294752</v>
      </c>
      <c r="P436" s="7">
        <f>[1]!EM_S_VAL_PCF_NCFTTM(B436,E436)</f>
        <v>-141.70440451116201</v>
      </c>
      <c r="Q436" s="7">
        <f>[1]!EM_S_VAL_DIVIDENDYIELD2(B436,E436,"2019-11-29")</f>
        <v>0.25513819985825659</v>
      </c>
      <c r="T436"/>
      <c r="U436">
        <f>[1]!EM_S_RATIO_EPS_TTM(B436,E436,"1")</f>
        <v>0.88012440631944444</v>
      </c>
      <c r="AT436" s="4" t="str">
        <f>[1]!EM_S_IPO_LISTEDDATE(B436)</f>
        <v>2017-08-02</v>
      </c>
    </row>
    <row r="437" spans="1:46">
      <c r="A437">
        <v>2697</v>
      </c>
      <c r="B437" t="str">
        <f>"600624"</f>
        <v>600624</v>
      </c>
      <c r="C437" t="s">
        <v>2349</v>
      </c>
      <c r="D437" t="str">
        <f>[1]!EM_S_INFO_INDEX_EM(B437,"1")</f>
        <v>医药生物</v>
      </c>
      <c r="E437" s="4">
        <f t="shared" si="6"/>
        <v>43465</v>
      </c>
      <c r="F437" s="11">
        <f>[1]!EM_S_PQ_PCTCHANGE(B437,"2018-01-01","2019-12-31","3")</f>
        <v>46.590505540000002</v>
      </c>
      <c r="G437" s="11">
        <f>[1]!EM_S_PQ_PCTCHANGE(B437,"2018-12-31","2019-12-30","1")</f>
        <v>58.842975209999999</v>
      </c>
      <c r="H437" s="11">
        <f>[1]!EM_S_FA_YOY_OR(B437,E437)</f>
        <v>37.037189873800003</v>
      </c>
      <c r="I437" s="11">
        <f>[1]!EM_S_FA_GROSSPROFITMARGIN(B437,E437)</f>
        <v>54.601725700899998</v>
      </c>
      <c r="J437" s="11">
        <f>[1]!EM_S_FA_NETPROFITMARGIN(B437,E437)</f>
        <v>4.9147273107</v>
      </c>
      <c r="K437" s="10">
        <f>[1]!EM_S_FA_ASSETSTURN(B437,E437)</f>
        <v>0.40317338670300001</v>
      </c>
      <c r="L437" s="12">
        <f>[1]!EM_HKS_VAL_MV(B437,"2019-12-31","2")</f>
        <v>6634859376.8999996</v>
      </c>
      <c r="M437">
        <f>[1]!EM_S_VAL_PETTMDEDUCTED(B437,E437)</f>
        <v>382.724157861072</v>
      </c>
      <c r="N437" s="7">
        <f>[1]!EM_S_VAL_PBGOODWILLDEDUCTED(B437,E437)</f>
        <v>3.6102353247349099</v>
      </c>
      <c r="O437" s="7">
        <f>[1]!EM_S_VAL_PS_TTM(B437,E437)</f>
        <v>4.4504553731084604</v>
      </c>
      <c r="P437" s="7">
        <f>[1]!EM_S_VAL_PCF_NCFTTM(B437,E437)</f>
        <v>75.797180592939398</v>
      </c>
      <c r="Q437" s="7">
        <f>[1]!EM_S_VAL_DIVIDENDYIELD2(B437,E437,"2019-11-29")</f>
        <v>0.31525851197982346</v>
      </c>
      <c r="T437"/>
      <c r="U437">
        <f>[1]!EM_S_RATIO_EPS_TTM(B437,E437,"1")</f>
        <v>6.2487070031092343E-2</v>
      </c>
      <c r="AT437" s="4" t="str">
        <f>[1]!EM_S_IPO_LISTEDDATE(B437)</f>
        <v>1993-01-05</v>
      </c>
    </row>
    <row r="438" spans="1:46">
      <c r="A438">
        <v>233</v>
      </c>
      <c r="B438" t="str">
        <f>"000632"</f>
        <v>000632</v>
      </c>
      <c r="C438" t="s">
        <v>2326</v>
      </c>
      <c r="D438" t="str">
        <f>[1]!EM_S_INFO_INDEX_EM(B438,"1")</f>
        <v>房地产</v>
      </c>
      <c r="E438" s="4">
        <f t="shared" si="6"/>
        <v>43465</v>
      </c>
      <c r="F438" s="11">
        <f>[1]!EM_S_PQ_PCTCHANGE(B438,"2018-01-01","2019-12-31","3")</f>
        <v>5.8919803599999998</v>
      </c>
      <c r="G438" s="11">
        <f>[1]!EM_S_PQ_PCTCHANGE(B438,"2018-12-31","2019-12-30","1")</f>
        <v>58.808290159999999</v>
      </c>
      <c r="H438" s="11">
        <f>[1]!EM_S_FA_YOY_OR(B438,E438)</f>
        <v>5.2724656566999997</v>
      </c>
      <c r="I438" s="11">
        <f>[1]!EM_S_FA_GROSSPROFITMARGIN(B438,E438)</f>
        <v>8.8878337570999992</v>
      </c>
      <c r="J438" s="11">
        <f>[1]!EM_S_FA_NETPROFITMARGIN(B438,E438)</f>
        <v>0.44744027949999998</v>
      </c>
      <c r="K438" s="10">
        <f>[1]!EM_S_FA_ASSETSTURN(B438,E438)</f>
        <v>0.94636448637699999</v>
      </c>
      <c r="L438" s="12">
        <f>[1]!EM_HKS_VAL_MV(B438,"2019-12-31","2")</f>
        <v>3011911617.9000001</v>
      </c>
      <c r="M438">
        <f>[1]!EM_S_VAL_PETTMDEDUCTED(B438,E438)</f>
        <v>56.610328545312797</v>
      </c>
      <c r="N438" s="7">
        <f>[1]!EM_S_VAL_PBGOODWILLDEDUCTED(B438,E438)</f>
        <v>1.3785929327017501</v>
      </c>
      <c r="O438" s="7">
        <f>[1]!EM_S_VAL_PS_TTM(B438,E438)</f>
        <v>0.2398146847598</v>
      </c>
      <c r="P438" s="7">
        <f>[1]!EM_S_VAL_PCF_NCFTTM(B438,E438)</f>
        <v>14.275011883704201</v>
      </c>
      <c r="Q438" s="7">
        <f>[1]!EM_S_VAL_DIVIDENDYIELD2(B438,E438,"2019-11-29")</f>
        <v>0</v>
      </c>
      <c r="T438"/>
      <c r="U438">
        <f>[1]!EM_S_RATIO_EPS_TTM(B438,E438,"1")</f>
        <v>7.1156398688029379E-2</v>
      </c>
      <c r="AT438" s="4" t="str">
        <f>[1]!EM_S_IPO_LISTEDDATE(B438)</f>
        <v>1996-11-21</v>
      </c>
    </row>
    <row r="439" spans="1:46">
      <c r="A439">
        <v>3592</v>
      </c>
      <c r="B439" t="str">
        <f>"603899"</f>
        <v>603899</v>
      </c>
      <c r="C439" t="s">
        <v>160</v>
      </c>
      <c r="D439" t="str">
        <f>[1]!EM_S_INFO_INDEX_EM(B439,"1")</f>
        <v>轻工制造</v>
      </c>
      <c r="E439" s="4">
        <f t="shared" si="6"/>
        <v>43465</v>
      </c>
      <c r="F439" s="11">
        <f>[1]!EM_S_PQ_PCTCHANGE(B439,"2018-01-01","2019-12-31","3")</f>
        <v>100.96314932</v>
      </c>
      <c r="G439" s="11">
        <f>[1]!EM_S_PQ_PCTCHANGE(B439,"2018-12-31","2019-12-30","1")</f>
        <v>58.512396690000003</v>
      </c>
      <c r="H439" s="11">
        <f>[1]!EM_S_FA_YOY_OR(B439,E439)</f>
        <v>34.259090116199999</v>
      </c>
      <c r="I439" s="11">
        <f>[1]!EM_S_FA_GROSSPROFITMARGIN(B439,E439)</f>
        <v>25.829464588</v>
      </c>
      <c r="J439" s="11">
        <f>[1]!EM_S_FA_NETPROFITMARGIN(B439,E439)</f>
        <v>9.4649969917999996</v>
      </c>
      <c r="K439" s="10">
        <f>[1]!EM_S_FA_ASSETSTURN(B439,E439)</f>
        <v>1.695842642073</v>
      </c>
      <c r="L439" s="12">
        <f>[1]!EM_HKS_VAL_MV(B439,"2019-12-31","2")</f>
        <v>44840800000</v>
      </c>
      <c r="M439">
        <f>[1]!EM_S_VAL_PETTMDEDUCTED(B439,E439)</f>
        <v>41.153893122059003</v>
      </c>
      <c r="N439" s="7">
        <f>[1]!EM_S_VAL_PBGOODWILLDEDUCTED(B439,E439)</f>
        <v>8.1596692901843504</v>
      </c>
      <c r="O439" s="7">
        <f>[1]!EM_S_VAL_PS_TTM(B439,E439)</f>
        <v>3.48410865224609</v>
      </c>
      <c r="P439" s="7">
        <f>[1]!EM_S_VAL_PCF_NCFTTM(B439,E439)</f>
        <v>108.497401352873</v>
      </c>
      <c r="Q439" s="7">
        <f>[1]!EM_S_VAL_DIVIDENDYIELD2(B439,E439,"2019-11-29")</f>
        <v>0.6531678641410843</v>
      </c>
      <c r="T439"/>
      <c r="U439">
        <f>[1]!EM_S_RATIO_EPS_TTM(B439,E439,"1")</f>
        <v>0.87700794392391301</v>
      </c>
      <c r="AT439" s="4" t="str">
        <f>[1]!EM_S_IPO_LISTEDDATE(B439)</f>
        <v>2015-01-27</v>
      </c>
    </row>
    <row r="440" spans="1:46">
      <c r="A440">
        <v>2547</v>
      </c>
      <c r="B440" t="str">
        <f>"600455"</f>
        <v>600455</v>
      </c>
      <c r="C440" t="s">
        <v>3240</v>
      </c>
      <c r="D440" t="str">
        <f>[1]!EM_S_INFO_INDEX_EM(B440,"1")</f>
        <v>信息技术</v>
      </c>
      <c r="E440" s="4">
        <f t="shared" si="6"/>
        <v>43465</v>
      </c>
      <c r="F440" s="11">
        <f>[1]!EM_S_PQ_PCTCHANGE(B440,"2018-01-01","2019-12-31","3")</f>
        <v>-2.27904391</v>
      </c>
      <c r="G440" s="11">
        <f>[1]!EM_S_PQ_PCTCHANGE(B440,"2018-12-31","2019-12-30","1")</f>
        <v>58.481127790000002</v>
      </c>
      <c r="H440" s="11">
        <f>[1]!EM_S_FA_YOY_OR(B440,E440)</f>
        <v>16.2758436604</v>
      </c>
      <c r="I440" s="11">
        <f>[1]!EM_S_FA_GROSSPROFITMARGIN(B440,E440)</f>
        <v>55.474608771500002</v>
      </c>
      <c r="J440" s="11">
        <f>[1]!EM_S_FA_NETPROFITMARGIN(B440,E440)</f>
        <v>5.3275339649999998</v>
      </c>
      <c r="K440" s="10">
        <f>[1]!EM_S_FA_ASSETSTURN(B440,E440)</f>
        <v>0.258668213265</v>
      </c>
      <c r="L440" s="12">
        <f>[1]!EM_HKS_VAL_MV(B440,"2019-12-31","2")</f>
        <v>2196023280</v>
      </c>
      <c r="M440">
        <f>[1]!EM_S_VAL_PETTMDEDUCTED(B440,E440)</f>
        <v>1210.71850376522</v>
      </c>
      <c r="N440" s="7">
        <f>[1]!EM_S_VAL_PBGOODWILLDEDUCTED(B440,E440)</f>
        <v>10.4208928685073</v>
      </c>
      <c r="O440" s="7">
        <f>[1]!EM_S_VAL_PS_TTM(B440,E440)</f>
        <v>8.1776634469571903</v>
      </c>
      <c r="P440" s="7">
        <f>[1]!EM_S_VAL_PCF_NCFTTM(B440,E440)</f>
        <v>29.675701067591699</v>
      </c>
      <c r="Q440" s="7">
        <f>[1]!EM_S_VAL_DIVIDENDYIELD2(B440,E440,"2019-11-29")</f>
        <v>0</v>
      </c>
      <c r="T440"/>
      <c r="U440">
        <f>[1]!EM_S_RATIO_EPS_TTM(B440,E440,"1")</f>
        <v>5.0679242530980814E-2</v>
      </c>
      <c r="AT440" s="4" t="str">
        <f>[1]!EM_S_IPO_LISTEDDATE(B440)</f>
        <v>2004-03-29</v>
      </c>
    </row>
    <row r="441" spans="1:46">
      <c r="A441">
        <v>2923</v>
      </c>
      <c r="B441" t="str">
        <f>"600850"</f>
        <v>600850</v>
      </c>
      <c r="C441" t="s">
        <v>646</v>
      </c>
      <c r="D441" t="str">
        <f>[1]!EM_S_INFO_INDEX_EM(B441,"1")</f>
        <v>信息技术</v>
      </c>
      <c r="E441" s="4">
        <f t="shared" si="6"/>
        <v>43465</v>
      </c>
      <c r="F441" s="11">
        <f>[1]!EM_S_PQ_PCTCHANGE(B441,"2018-01-01","2019-12-31","3")</f>
        <v>32.252411879999997</v>
      </c>
      <c r="G441" s="11">
        <f>[1]!EM_S_PQ_PCTCHANGE(B441,"2018-12-31","2019-12-30","1")</f>
        <v>58.402029169999999</v>
      </c>
      <c r="H441" s="11">
        <f>[1]!EM_S_FA_YOY_OR(B441,E441)</f>
        <v>10.7030603945</v>
      </c>
      <c r="I441" s="11">
        <f>[1]!EM_S_FA_GROSSPROFITMARGIN(B441,E441)</f>
        <v>15.721425763599999</v>
      </c>
      <c r="J441" s="11">
        <f>[1]!EM_S_FA_NETPROFITMARGIN(B441,E441)</f>
        <v>4.4360241571000003</v>
      </c>
      <c r="K441" s="10">
        <f>[1]!EM_S_FA_ASSETSTURN(B441,E441)</f>
        <v>1.2243945661269999</v>
      </c>
      <c r="L441" s="12">
        <f>[1]!EM_HKS_VAL_MV(B441,"2019-12-31","2")</f>
        <v>10824972502.08</v>
      </c>
      <c r="M441">
        <f>[1]!EM_S_VAL_PETTMDEDUCTED(B441,E441)</f>
        <v>21.743204125350001</v>
      </c>
      <c r="N441" s="7">
        <f>[1]!EM_S_VAL_PBGOODWILLDEDUCTED(B441,E441)</f>
        <v>2.84505937251074</v>
      </c>
      <c r="O441" s="7">
        <f>[1]!EM_S_VAL_PS_TTM(B441,E441)</f>
        <v>0.94128229342025804</v>
      </c>
      <c r="P441" s="7">
        <f>[1]!EM_S_VAL_PCF_NCFTTM(B441,E441)</f>
        <v>-112.692880388964</v>
      </c>
      <c r="Q441" s="7">
        <f>[1]!EM_S_VAL_DIVIDENDYIELD2(B441,E441,"2019-11-29")</f>
        <v>1.4935341678645149</v>
      </c>
      <c r="T441"/>
      <c r="U441">
        <f>[1]!EM_S_RATIO_EPS_TTM(B441,E441,"1")</f>
        <v>0.71363876697021111</v>
      </c>
      <c r="AT441" s="4" t="str">
        <f>[1]!EM_S_IPO_LISTEDDATE(B441)</f>
        <v>1994-03-24</v>
      </c>
    </row>
    <row r="442" spans="1:46">
      <c r="A442">
        <v>2918</v>
      </c>
      <c r="B442" t="str">
        <f>"600845"</f>
        <v>600845</v>
      </c>
      <c r="C442" t="s">
        <v>793</v>
      </c>
      <c r="D442" t="str">
        <f>[1]!EM_S_INFO_INDEX_EM(B442,"1")</f>
        <v>信息技术</v>
      </c>
      <c r="E442" s="4">
        <f t="shared" si="6"/>
        <v>43465</v>
      </c>
      <c r="F442" s="11">
        <f>[1]!EM_S_PQ_PCTCHANGE(B442,"2018-01-01","2019-12-31","3")</f>
        <v>134.36204286</v>
      </c>
      <c r="G442" s="11">
        <f>[1]!EM_S_PQ_PCTCHANGE(B442,"2018-12-31","2019-12-30","1")</f>
        <v>58.273381290000003</v>
      </c>
      <c r="H442" s="11">
        <f>[1]!EM_S_FA_YOY_OR(B442,E442)</f>
        <v>14.559370404399999</v>
      </c>
      <c r="I442" s="11">
        <f>[1]!EM_S_FA_GROSSPROFITMARGIN(B442,E442)</f>
        <v>27.941298633599999</v>
      </c>
      <c r="J442" s="11">
        <f>[1]!EM_S_FA_NETPROFITMARGIN(B442,E442)</f>
        <v>13.031274398000001</v>
      </c>
      <c r="K442" s="10">
        <f>[1]!EM_S_FA_ASSETSTURN(B442,E442)</f>
        <v>0.60561771919999996</v>
      </c>
      <c r="L442" s="12">
        <f>[1]!EM_HKS_VAL_MV(B442,"2019-12-31","2")</f>
        <v>37518181290.800003</v>
      </c>
      <c r="M442">
        <f>[1]!EM_S_VAL_PETTMDEDUCTED(B442,E442)</f>
        <v>32.458436156769203</v>
      </c>
      <c r="N442" s="7">
        <f>[1]!EM_S_VAL_PBGOODWILLDEDUCTED(B442,E442)</f>
        <v>2.7664226135258998</v>
      </c>
      <c r="O442" s="7">
        <f>[1]!EM_S_VAL_PS_TTM(B442,E442)</f>
        <v>3.37354434755773</v>
      </c>
      <c r="P442" s="7">
        <f>[1]!EM_S_VAL_PCF_NCFTTM(B442,E442)</f>
        <v>10.706249453067599</v>
      </c>
      <c r="Q442" s="7">
        <f>[1]!EM_S_VAL_DIVIDENDYIELD2(B442,E442,"2019-11-29")</f>
        <v>0.85074161487100286</v>
      </c>
      <c r="T442"/>
      <c r="U442">
        <f>[1]!EM_S_RATIO_EPS_TTM(B442,E442,"1")</f>
        <v>0.76270244273171839</v>
      </c>
      <c r="AT442" s="4" t="str">
        <f>[1]!EM_S_IPO_LISTEDDATE(B442)</f>
        <v>1994-03-11</v>
      </c>
    </row>
    <row r="443" spans="1:46">
      <c r="A443">
        <v>3567</v>
      </c>
      <c r="B443" t="str">
        <f>"603859"</f>
        <v>603859</v>
      </c>
      <c r="C443" t="s">
        <v>2346</v>
      </c>
      <c r="D443" t="str">
        <f>[1]!EM_S_INFO_INDEX_EM(B443,"1")</f>
        <v>电气设备</v>
      </c>
      <c r="E443" s="4">
        <f t="shared" si="6"/>
        <v>43465</v>
      </c>
      <c r="F443" s="11">
        <f>[1]!EM_S_PQ_PCTCHANGE(B443,"2018-01-01","2019-12-31","3")</f>
        <v>24.216359870000002</v>
      </c>
      <c r="G443" s="11">
        <f>[1]!EM_S_PQ_PCTCHANGE(B443,"2018-12-31","2019-12-30","1")</f>
        <v>57.987492889999999</v>
      </c>
      <c r="H443" s="11">
        <f>[1]!EM_S_FA_YOY_OR(B443,E443)</f>
        <v>78.120252712699994</v>
      </c>
      <c r="I443" s="11">
        <f>[1]!EM_S_FA_GROSSPROFITMARGIN(B443,E443)</f>
        <v>48.2815784561</v>
      </c>
      <c r="J443" s="11">
        <f>[1]!EM_S_FA_NETPROFITMARGIN(B443,E443)</f>
        <v>15.4440233439</v>
      </c>
      <c r="K443" s="10">
        <f>[1]!EM_S_FA_ASSETSTURN(B443,E443)</f>
        <v>0.458432706829</v>
      </c>
      <c r="L443" s="12">
        <f>[1]!EM_HKS_VAL_MV(B443,"2019-12-31","2")</f>
        <v>3840603342</v>
      </c>
      <c r="M443">
        <f>[1]!EM_S_VAL_PETTMDEDUCTED(B443,E443)</f>
        <v>65.341282536612496</v>
      </c>
      <c r="N443" s="7">
        <f>[1]!EM_S_VAL_PBGOODWILLDEDUCTED(B443,E443)</f>
        <v>2.8145492824646201</v>
      </c>
      <c r="O443" s="7">
        <f>[1]!EM_S_VAL_PS_TTM(B443,E443)</f>
        <v>5.3282894623103196</v>
      </c>
      <c r="P443" s="7">
        <f>[1]!EM_S_VAL_PCF_NCFTTM(B443,E443)</f>
        <v>-60.248627709304898</v>
      </c>
      <c r="Q443" s="7">
        <f>[1]!EM_S_VAL_DIVIDENDYIELD2(B443,E443,"2019-11-29")</f>
        <v>0.16169347565493025</v>
      </c>
      <c r="T443"/>
      <c r="U443">
        <f>[1]!EM_S_RATIO_EPS_TTM(B443,E443,"1")</f>
        <v>0.44655789917224376</v>
      </c>
      <c r="AT443" s="4" t="str">
        <f>[1]!EM_S_IPO_LISTEDDATE(B443)</f>
        <v>2016-10-21</v>
      </c>
    </row>
    <row r="444" spans="1:46">
      <c r="A444">
        <v>79</v>
      </c>
      <c r="B444" t="str">
        <f>"000333"</f>
        <v>000333</v>
      </c>
      <c r="C444" t="s">
        <v>163</v>
      </c>
      <c r="D444" t="str">
        <f>[1]!EM_S_INFO_INDEX_EM(B444,"1")</f>
        <v>家电</v>
      </c>
      <c r="E444" s="4">
        <f t="shared" si="6"/>
        <v>43465</v>
      </c>
      <c r="F444" s="11">
        <f>[1]!EM_S_PQ_PCTCHANGE(B444,"2018-01-01","2019-12-31","3")</f>
        <v>10.360319580000001</v>
      </c>
      <c r="G444" s="11">
        <f>[1]!EM_S_PQ_PCTCHANGE(B444,"2018-12-31","2019-12-30","1")</f>
        <v>57.976125879999998</v>
      </c>
      <c r="H444" s="11">
        <f>[1]!EM_S_FA_YOY_OR(B444,E444)</f>
        <v>7.8735149476000004</v>
      </c>
      <c r="I444" s="11">
        <f>[1]!EM_S_FA_GROSSPROFITMARGIN(B444,E444)</f>
        <v>27.535598776899999</v>
      </c>
      <c r="J444" s="11">
        <f>[1]!EM_S_FA_NETPROFITMARGIN(B444,E444)</f>
        <v>8.3378329802</v>
      </c>
      <c r="K444" s="10">
        <f>[1]!EM_S_FA_ASSETSTURN(B444,E444)</f>
        <v>1.023116605956</v>
      </c>
      <c r="L444" s="12">
        <f>[1]!EM_HKS_VAL_MV(B444,"2019-12-31","2")</f>
        <v>404191101788.75</v>
      </c>
      <c r="M444">
        <f>[1]!EM_S_VAL_PETTMDEDUCTED(B444,E444)</f>
        <v>12.997275086633</v>
      </c>
      <c r="N444" s="7">
        <f>[1]!EM_S_VAL_PBGOODWILLDEDUCTED(B444,E444)</f>
        <v>4.5505178850711596</v>
      </c>
      <c r="O444" s="7">
        <f>[1]!EM_S_VAL_PS_TTM(B444,E444)</f>
        <v>0.93898180169035095</v>
      </c>
      <c r="P444" s="7">
        <f>[1]!EM_S_VAL_PCF_NCFTTM(B444,E444)</f>
        <v>-9.3959674448378401</v>
      </c>
      <c r="Q444" s="7">
        <f>[1]!EM_S_VAL_DIVIDENDYIELD2(B444,E444,"2019-11-29")</f>
        <v>2.2861383775458481</v>
      </c>
      <c r="T444"/>
      <c r="U444">
        <f>[1]!EM_S_RATIO_EPS_TTM(B444,E444,"1")</f>
        <v>3.036272906417337</v>
      </c>
      <c r="AT444" s="4" t="str">
        <f>[1]!EM_S_IPO_LISTEDDATE(B444)</f>
        <v>2013-09-18</v>
      </c>
    </row>
    <row r="445" spans="1:46">
      <c r="A445">
        <v>990</v>
      </c>
      <c r="B445" t="str">
        <f>"002479"</f>
        <v>002479</v>
      </c>
      <c r="C445" t="s">
        <v>1674</v>
      </c>
      <c r="D445" t="str">
        <f>[1]!EM_S_INFO_INDEX_EM(B445,"1")</f>
        <v>公用事业</v>
      </c>
      <c r="E445" s="4">
        <f t="shared" si="6"/>
        <v>43465</v>
      </c>
      <c r="F445" s="11">
        <f>[1]!EM_S_PQ_PCTCHANGE(B445,"2018-01-01","2019-12-31","3")</f>
        <v>-25.93795987</v>
      </c>
      <c r="G445" s="11">
        <f>[1]!EM_S_PQ_PCTCHANGE(B445,"2018-12-31","2019-12-30","1")</f>
        <v>57.96766744</v>
      </c>
      <c r="H445" s="11">
        <f>[1]!EM_S_FA_YOY_OR(B445,E445)</f>
        <v>-9.4235666994000002</v>
      </c>
      <c r="I445" s="11">
        <f>[1]!EM_S_FA_GROSSPROFITMARGIN(B445,E445)</f>
        <v>19.373731790699999</v>
      </c>
      <c r="J445" s="11">
        <f>[1]!EM_S_FA_NETPROFITMARGIN(B445,E445)</f>
        <v>5.8025024507999996</v>
      </c>
      <c r="K445" s="10">
        <f>[1]!EM_S_FA_ASSETSTURN(B445,E445)</f>
        <v>0.55005563585299999</v>
      </c>
      <c r="L445" s="12">
        <f>[1]!EM_HKS_VAL_MV(B445,"2019-12-31","2")</f>
        <v>6231104880</v>
      </c>
      <c r="M445">
        <f>[1]!EM_S_VAL_PETTMDEDUCTED(B445,E445)</f>
        <v>14.9096750560104</v>
      </c>
      <c r="N445" s="7">
        <f>[1]!EM_S_VAL_PBGOODWILLDEDUCTED(B445,E445)</f>
        <v>1.17562828793694</v>
      </c>
      <c r="O445" s="7">
        <f>[1]!EM_S_VAL_PS_TTM(B445,E445)</f>
        <v>1.3085890399586599</v>
      </c>
      <c r="P445" s="7">
        <f>[1]!EM_S_VAL_PCF_NCFTTM(B445,E445)</f>
        <v>21.923512835971099</v>
      </c>
      <c r="Q445" s="7">
        <f>[1]!EM_S_VAL_DIVIDENDYIELD2(B445,E445,"2019-11-29")</f>
        <v>0.60594187100211194</v>
      </c>
      <c r="T445"/>
      <c r="U445">
        <f>[1]!EM_S_RATIO_EPS_TTM(B445,E445,"1")</f>
        <v>0.14018719307683705</v>
      </c>
      <c r="AT445" s="4" t="str">
        <f>[1]!EM_S_IPO_LISTEDDATE(B445)</f>
        <v>2010-09-21</v>
      </c>
    </row>
    <row r="446" spans="1:46">
      <c r="A446">
        <v>3133</v>
      </c>
      <c r="B446" t="str">
        <f>"601633"</f>
        <v>601633</v>
      </c>
      <c r="C446" t="s">
        <v>447</v>
      </c>
      <c r="D446" t="str">
        <f>[1]!EM_S_INFO_INDEX_EM(B446,"1")</f>
        <v>交运设备</v>
      </c>
      <c r="E446" s="4">
        <f t="shared" si="6"/>
        <v>43465</v>
      </c>
      <c r="F446" s="11">
        <f>[1]!EM_S_PQ_PCTCHANGE(B446,"2018-01-01","2019-12-31","3")</f>
        <v>-19.011476510000001</v>
      </c>
      <c r="G446" s="11">
        <f>[1]!EM_S_PQ_PCTCHANGE(B446,"2018-12-31","2019-12-30","1")</f>
        <v>57.857142860000003</v>
      </c>
      <c r="H446" s="11">
        <f>[1]!EM_S_FA_YOY_OR(B446,E446)</f>
        <v>-2.6785905360000002</v>
      </c>
      <c r="I446" s="11">
        <f>[1]!EM_S_FA_GROSSPROFITMARGIN(B446,E446)</f>
        <v>16.686032870399998</v>
      </c>
      <c r="J446" s="11">
        <f>[1]!EM_S_FA_NETPROFITMARGIN(B446,E446)</f>
        <v>5.3656919111999999</v>
      </c>
      <c r="K446" s="10">
        <f>[1]!EM_S_FA_ASSETSTURN(B446,E446)</f>
        <v>0.89256676023799997</v>
      </c>
      <c r="L446" s="12">
        <f>[1]!EM_HKS_VAL_MV(B446,"2019-12-31","2")</f>
        <v>80776330650</v>
      </c>
      <c r="M446">
        <f>[1]!EM_S_VAL_PETTMDEDUCTED(B446,E446)</f>
        <v>9.3113008062951508</v>
      </c>
      <c r="N446" s="7">
        <f>[1]!EM_S_VAL_PBGOODWILLDEDUCTED(B446,E446)</f>
        <v>0.97319646682931404</v>
      </c>
      <c r="O446" s="7">
        <f>[1]!EM_S_VAL_PS_TTM(B446,E446)</f>
        <v>0.489652450557993</v>
      </c>
      <c r="P446" s="7">
        <f>[1]!EM_S_VAL_PCF_NCFTTM(B446,E446)</f>
        <v>9.04423677558656</v>
      </c>
      <c r="Q446" s="7">
        <f>[1]!EM_S_VAL_DIVIDENDYIELD2(B446,E446,"2019-11-29")</f>
        <v>3.1115879828326176</v>
      </c>
      <c r="T446"/>
      <c r="U446">
        <f>[1]!EM_S_RATIO_EPS_TTM(B446,E446,"1")</f>
        <v>0.57052267964930148</v>
      </c>
      <c r="AT446" s="4" t="str">
        <f>[1]!EM_S_IPO_LISTEDDATE(B446)</f>
        <v>2011-09-28</v>
      </c>
    </row>
    <row r="447" spans="1:46">
      <c r="A447">
        <v>1808</v>
      </c>
      <c r="B447" t="str">
        <f>"300383"</f>
        <v>300383</v>
      </c>
      <c r="C447" t="s">
        <v>1278</v>
      </c>
      <c r="D447" t="str">
        <f>[1]!EM_S_INFO_INDEX_EM(B447,"1")</f>
        <v>互联网</v>
      </c>
      <c r="E447" s="4">
        <f t="shared" si="6"/>
        <v>43465</v>
      </c>
      <c r="F447" s="11">
        <f>[1]!EM_S_PQ_PCTCHANGE(B447,"2018-01-01","2019-12-31","3")</f>
        <v>52.561461010000002</v>
      </c>
      <c r="G447" s="11">
        <f>[1]!EM_S_PQ_PCTCHANGE(B447,"2018-12-31","2019-12-30","1")</f>
        <v>57.853196529999998</v>
      </c>
      <c r="H447" s="11">
        <f>[1]!EM_S_FA_YOY_OR(B447,E447)</f>
        <v>47.729098479599998</v>
      </c>
      <c r="I447" s="11">
        <f>[1]!EM_S_FA_GROSSPROFITMARGIN(B447,E447)</f>
        <v>21.279280383</v>
      </c>
      <c r="J447" s="11">
        <f>[1]!EM_S_FA_NETPROFITMARGIN(B447,E447)</f>
        <v>11.355674156699999</v>
      </c>
      <c r="K447" s="10">
        <f>[1]!EM_S_FA_ASSETSTURN(B447,E447)</f>
        <v>0.54754897247000001</v>
      </c>
      <c r="L447" s="12">
        <f>[1]!EM_HKS_VAL_MV(B447,"2019-12-31","2")</f>
        <v>30955271149.529999</v>
      </c>
      <c r="M447">
        <f>[1]!EM_S_VAL_PETTMDEDUCTED(B447,E447)</f>
        <v>33.347356436859897</v>
      </c>
      <c r="N447" s="7">
        <f>[1]!EM_S_VAL_PBGOODWILLDEDUCTED(B447,E447)</f>
        <v>3.8229844421908901</v>
      </c>
      <c r="O447" s="7">
        <f>[1]!EM_S_VAL_PS_TTM(B447,E447)</f>
        <v>3.4445724488449301</v>
      </c>
      <c r="P447" s="7">
        <f>[1]!EM_S_VAL_PCF_NCFTTM(B447,E447)</f>
        <v>408.69285995186902</v>
      </c>
      <c r="Q447" s="7">
        <f>[1]!EM_S_VAL_DIVIDENDYIELD2(B447,E447,"2019-11-29")</f>
        <v>0.10435946120900487</v>
      </c>
      <c r="T447"/>
      <c r="U447">
        <f>[1]!EM_S_RATIO_EPS_TTM(B447,E447,"1")</f>
        <v>0.43350189451341653</v>
      </c>
      <c r="AT447" s="4" t="str">
        <f>[1]!EM_S_IPO_LISTEDDATE(B447)</f>
        <v>2014-01-29</v>
      </c>
    </row>
    <row r="448" spans="1:46">
      <c r="A448">
        <v>2540</v>
      </c>
      <c r="B448" t="str">
        <f>"600438"</f>
        <v>600438</v>
      </c>
      <c r="C448" t="s">
        <v>1122</v>
      </c>
      <c r="D448" t="str">
        <f>[1]!EM_S_INFO_INDEX_EM(B448,"1")</f>
        <v>农林牧渔</v>
      </c>
      <c r="E448" s="4">
        <f t="shared" si="6"/>
        <v>43465</v>
      </c>
      <c r="F448" s="11">
        <f>[1]!EM_S_PQ_PCTCHANGE(B448,"2018-01-01","2019-12-31","3")</f>
        <v>11.005494880000001</v>
      </c>
      <c r="G448" s="11">
        <f>[1]!EM_S_PQ_PCTCHANGE(B448,"2018-12-31","2019-12-30","1")</f>
        <v>57.85024155</v>
      </c>
      <c r="H448" s="11">
        <f>[1]!EM_S_FA_YOY_OR(B448,E448)</f>
        <v>5.5306070388000004</v>
      </c>
      <c r="I448" s="11">
        <f>[1]!EM_S_FA_GROSSPROFITMARGIN(B448,E448)</f>
        <v>18.914979719000002</v>
      </c>
      <c r="J448" s="11">
        <f>[1]!EM_S_FA_NETPROFITMARGIN(B448,E448)</f>
        <v>7.3760941536000004</v>
      </c>
      <c r="K448" s="10">
        <f>[1]!EM_S_FA_ASSETSTURN(B448,E448)</f>
        <v>0.86004285659599999</v>
      </c>
      <c r="L448" s="12">
        <f>[1]!EM_HKS_VAL_MV(B448,"2019-12-31","2")</f>
        <v>50978467045.480003</v>
      </c>
      <c r="M448">
        <f>[1]!EM_S_VAL_PETTMDEDUCTED(B448,E448)</f>
        <v>15.7042414170252</v>
      </c>
      <c r="N448" s="7">
        <f>[1]!EM_S_VAL_PBGOODWILLDEDUCTED(B448,E448)</f>
        <v>2.2795540564594399</v>
      </c>
      <c r="O448" s="7">
        <f>[1]!EM_S_VAL_PS_TTM(B448,E448)</f>
        <v>1.1537383162828301</v>
      </c>
      <c r="P448" s="7">
        <f>[1]!EM_S_VAL_PCF_NCFTTM(B448,E448)</f>
        <v>89.097413735096296</v>
      </c>
      <c r="Q448" s="7">
        <f>[1]!EM_S_VAL_DIVIDENDYIELD2(B448,E448,"2019-11-29")</f>
        <v>1.2213071370443322</v>
      </c>
      <c r="T448"/>
      <c r="U448">
        <f>[1]!EM_S_RATIO_EPS_TTM(B448,E448,"1")</f>
        <v>0.51997745044909682</v>
      </c>
      <c r="AT448" s="4" t="str">
        <f>[1]!EM_S_IPO_LISTEDDATE(B448)</f>
        <v>2004-03-02</v>
      </c>
    </row>
    <row r="449" spans="1:46">
      <c r="A449">
        <v>1135</v>
      </c>
      <c r="B449" t="str">
        <f>"002624"</f>
        <v>002624</v>
      </c>
      <c r="C449" t="s">
        <v>376</v>
      </c>
      <c r="D449" t="str">
        <f>[1]!EM_S_INFO_INDEX_EM(B449,"1")</f>
        <v>互联网</v>
      </c>
      <c r="E449" s="4">
        <f t="shared" si="6"/>
        <v>43465</v>
      </c>
      <c r="F449" s="11">
        <f>[1]!EM_S_PQ_PCTCHANGE(B449,"2018-01-01","2019-12-31","3")</f>
        <v>33.553194329999997</v>
      </c>
      <c r="G449" s="11">
        <f>[1]!EM_S_PQ_PCTCHANGE(B449,"2018-12-31","2019-12-30","1")</f>
        <v>57.809694790000002</v>
      </c>
      <c r="H449" s="11">
        <f>[1]!EM_S_FA_YOY_OR(B449,E449)</f>
        <v>1.3108756262000001</v>
      </c>
      <c r="I449" s="11">
        <f>[1]!EM_S_FA_GROSSPROFITMARGIN(B449,E449)</f>
        <v>55.812168336900001</v>
      </c>
      <c r="J449" s="11">
        <f>[1]!EM_S_FA_NETPROFITMARGIN(B449,E449)</f>
        <v>21.8998834452</v>
      </c>
      <c r="K449" s="10">
        <f>[1]!EM_S_FA_ASSETSTURN(B449,E449)</f>
        <v>0.49342630087099998</v>
      </c>
      <c r="L449" s="12">
        <f>[1]!EM_HKS_VAL_MV(B449,"2019-12-31","2")</f>
        <v>57059684555.620003</v>
      </c>
      <c r="M449">
        <f>[1]!EM_S_VAL_PETTMDEDUCTED(B449,E449)</f>
        <v>24.403367733116401</v>
      </c>
      <c r="N449" s="7">
        <f>[1]!EM_S_VAL_PBGOODWILLDEDUCTED(B449,E449)</f>
        <v>4.8777493244052703</v>
      </c>
      <c r="O449" s="7">
        <f>[1]!EM_S_VAL_PS_TTM(B449,E449)</f>
        <v>4.6241740354901397</v>
      </c>
      <c r="P449" s="7">
        <f>[1]!EM_S_VAL_PCF_NCFTTM(B449,E449)</f>
        <v>124.523577744012</v>
      </c>
      <c r="Q449" s="7">
        <f>[1]!EM_S_VAL_DIVIDENDYIELD2(B449,E449,"2019-11-29")</f>
        <v>0.53066897403153535</v>
      </c>
      <c r="T449"/>
      <c r="U449">
        <f>[1]!EM_S_RATIO_EPS_TTM(B449,E449,"1")</f>
        <v>1.2976133138081081</v>
      </c>
      <c r="AT449" s="4" t="str">
        <f>[1]!EM_S_IPO_LISTEDDATE(B449)</f>
        <v>2011-10-28</v>
      </c>
    </row>
    <row r="450" spans="1:46">
      <c r="A450">
        <v>1598</v>
      </c>
      <c r="B450" t="str">
        <f>"300173"</f>
        <v>300173</v>
      </c>
      <c r="C450" t="s">
        <v>2604</v>
      </c>
      <c r="D450" t="str">
        <f>[1]!EM_S_INFO_INDEX_EM(B450,"1")</f>
        <v>机械设备</v>
      </c>
      <c r="E450" s="4">
        <f t="shared" si="6"/>
        <v>43465</v>
      </c>
      <c r="F450" s="11">
        <f>[1]!EM_S_PQ_PCTCHANGE(B450,"2018-01-01","2019-12-31","3")</f>
        <v>-6.2261751900000002</v>
      </c>
      <c r="G450" s="11">
        <f>[1]!EM_S_PQ_PCTCHANGE(B450,"2018-12-31","2019-12-30","1")</f>
        <v>57.615894040000001</v>
      </c>
      <c r="H450" s="11">
        <f>[1]!EM_S_FA_YOY_OR(B450,E450)</f>
        <v>-44.059478834399997</v>
      </c>
      <c r="I450" s="11">
        <f>[1]!EM_S_FA_GROSSPROFITMARGIN(B450,E450)</f>
        <v>38.347525442600002</v>
      </c>
      <c r="J450" s="11">
        <f>[1]!EM_S_FA_NETPROFITMARGIN(B450,E450)</f>
        <v>-237.85087960089999</v>
      </c>
      <c r="K450" s="10">
        <f>[1]!EM_S_FA_ASSETSTURN(B450,E450)</f>
        <v>0.15465939501600001</v>
      </c>
      <c r="L450" s="12">
        <f>[1]!EM_HKS_VAL_MV(B450,"2019-12-31","2")</f>
        <v>4326012112.1400003</v>
      </c>
      <c r="M450">
        <f>[1]!EM_S_VAL_PETTMDEDUCTED(B450,E450)</f>
        <v>62.649481848990398</v>
      </c>
      <c r="N450" s="7">
        <f>[1]!EM_S_VAL_PBGOODWILLDEDUCTED(B450,E450)</f>
        <v>3.61944536114465</v>
      </c>
      <c r="O450" s="7">
        <f>[1]!EM_S_VAL_PS_TTM(B450,E450)</f>
        <v>4.2856978858882897</v>
      </c>
      <c r="P450" s="7">
        <f>[1]!EM_S_VAL_PCF_NCFTTM(B450,E450)</f>
        <v>-10.510750163152</v>
      </c>
      <c r="Q450" s="7">
        <f>[1]!EM_S_VAL_DIVIDENDYIELD2(B450,E450,"2019-11-29")</f>
        <v>0</v>
      </c>
      <c r="T450"/>
      <c r="U450">
        <f>[1]!EM_S_RATIO_EPS_TTM(B450,E450,"1")</f>
        <v>-1.4227697516578779</v>
      </c>
      <c r="AT450" s="4" t="str">
        <f>[1]!EM_S_IPO_LISTEDDATE(B450)</f>
        <v>2011-02-01</v>
      </c>
    </row>
    <row r="451" spans="1:46">
      <c r="A451">
        <v>2241</v>
      </c>
      <c r="B451" t="str">
        <f>"600094"</f>
        <v>600094</v>
      </c>
      <c r="C451" t="s">
        <v>2838</v>
      </c>
      <c r="D451" t="str">
        <f>[1]!EM_S_INFO_INDEX_EM(B451,"1")</f>
        <v>房地产</v>
      </c>
      <c r="E451" s="4">
        <f t="shared" ref="E451:E514" si="7">$B$1</f>
        <v>43465</v>
      </c>
      <c r="F451" s="11">
        <f>[1]!EM_S_PQ_PCTCHANGE(B451,"2018-01-01","2019-12-31","3")</f>
        <v>-15.28393322</v>
      </c>
      <c r="G451" s="11">
        <f>[1]!EM_S_PQ_PCTCHANGE(B451,"2018-12-31","2019-12-30","1")</f>
        <v>57.26027397</v>
      </c>
      <c r="H451" s="11">
        <f>[1]!EM_S_FA_YOY_OR(B451,E451)</f>
        <v>30.636535383599998</v>
      </c>
      <c r="I451" s="11">
        <f>[1]!EM_S_FA_GROSSPROFITMARGIN(B451,E451)</f>
        <v>32.484917188600001</v>
      </c>
      <c r="J451" s="11">
        <f>[1]!EM_S_FA_NETPROFITMARGIN(B451,E451)</f>
        <v>5.6980458144000004</v>
      </c>
      <c r="K451" s="10">
        <f>[1]!EM_S_FA_ASSETSTURN(B451,E451)</f>
        <v>0.25536235131000001</v>
      </c>
      <c r="L451" s="12">
        <f>[1]!EM_HKS_VAL_MV(B451,"2019-12-31","2")</f>
        <v>14480651583.450001</v>
      </c>
      <c r="M451">
        <f>[1]!EM_S_VAL_PETTMDEDUCTED(B451,E451)</f>
        <v>12.178053625033399</v>
      </c>
      <c r="N451" s="7">
        <f>[1]!EM_S_VAL_PBGOODWILLDEDUCTED(B451,E451)</f>
        <v>0.74333752485072102</v>
      </c>
      <c r="O451" s="7">
        <f>[1]!EM_S_VAL_PS_TTM(B451,E451)</f>
        <v>0.68662561498303498</v>
      </c>
      <c r="P451" s="7">
        <f>[1]!EM_S_VAL_PCF_NCFTTM(B451,E451)</f>
        <v>-6.3209332183855897</v>
      </c>
      <c r="Q451" s="7">
        <f>[1]!EM_S_VAL_DIVIDENDYIELD2(B451,E451,"2019-11-29")</f>
        <v>0.31897926634768742</v>
      </c>
      <c r="T451"/>
      <c r="U451">
        <f>[1]!EM_S_RATIO_EPS_TTM(B451,E451,"1")</f>
        <v>0.22246159939389329</v>
      </c>
      <c r="AT451" s="4" t="str">
        <f>[1]!EM_S_IPO_LISTEDDATE(B451)</f>
        <v>1997-07-03</v>
      </c>
    </row>
    <row r="452" spans="1:46">
      <c r="A452">
        <v>1000</v>
      </c>
      <c r="B452" t="str">
        <f>"002489"</f>
        <v>002489</v>
      </c>
      <c r="C452" t="s">
        <v>2342</v>
      </c>
      <c r="D452" t="str">
        <f>[1]!EM_S_INFO_INDEX_EM(B452,"1")</f>
        <v>轻工制造</v>
      </c>
      <c r="E452" s="4">
        <f t="shared" si="7"/>
        <v>43465</v>
      </c>
      <c r="F452" s="11">
        <f>[1]!EM_S_PQ_PCTCHANGE(B452,"2018-01-01","2019-12-31","3")</f>
        <v>-28.906220430000001</v>
      </c>
      <c r="G452" s="11">
        <f>[1]!EM_S_PQ_PCTCHANGE(B452,"2018-12-31","2019-12-30","1")</f>
        <v>57.196969699999997</v>
      </c>
      <c r="H452" s="11">
        <f>[1]!EM_S_FA_YOY_OR(B452,E452)</f>
        <v>-3.3115147729999999</v>
      </c>
      <c r="I452" s="11">
        <f>[1]!EM_S_FA_GROSSPROFITMARGIN(B452,E452)</f>
        <v>20.256953820700002</v>
      </c>
      <c r="J452" s="11">
        <f>[1]!EM_S_FA_NETPROFITMARGIN(B452,E452)</f>
        <v>-1.9819131477</v>
      </c>
      <c r="K452" s="10">
        <f>[1]!EM_S_FA_ASSETSTURN(B452,E452)</f>
        <v>0.57667852213500004</v>
      </c>
      <c r="L452" s="12">
        <f>[1]!EM_HKS_VAL_MV(B452,"2019-12-31","2")</f>
        <v>9116335947.5699997</v>
      </c>
      <c r="M452">
        <f>[1]!EM_S_VAL_PETTMDEDUCTED(B452,E452)</f>
        <v>-44.329923049642503</v>
      </c>
      <c r="N452" s="7">
        <f>[1]!EM_S_VAL_PBGOODWILLDEDUCTED(B452,E452)</f>
        <v>1.9286224617866701</v>
      </c>
      <c r="O452" s="7">
        <f>[1]!EM_S_VAL_PS_TTM(B452,E452)</f>
        <v>1.3962731637052499</v>
      </c>
      <c r="P452" s="7">
        <f>[1]!EM_S_VAL_PCF_NCFTTM(B452,E452)</f>
        <v>-13.447118132344601</v>
      </c>
      <c r="Q452" s="7">
        <f>[1]!EM_S_VAL_DIVIDENDYIELD2(B452,E452,"2019-11-29")</f>
        <v>1.4150943396226416</v>
      </c>
      <c r="T452"/>
      <c r="U452">
        <f>[1]!EM_S_RATIO_EPS_TTM(B452,E452,"1")</f>
        <v>-4.9536055520230424E-2</v>
      </c>
      <c r="AT452" s="4" t="str">
        <f>[1]!EM_S_IPO_LISTEDDATE(B452)</f>
        <v>2010-10-21</v>
      </c>
    </row>
    <row r="453" spans="1:46">
      <c r="A453">
        <v>3272</v>
      </c>
      <c r="B453" t="str">
        <f>"603110"</f>
        <v>603110</v>
      </c>
      <c r="C453" t="s">
        <v>1930</v>
      </c>
      <c r="D453" t="str">
        <f>[1]!EM_S_INFO_INDEX_EM(B453,"1")</f>
        <v>基础化工</v>
      </c>
      <c r="E453" s="4">
        <f t="shared" si="7"/>
        <v>43465</v>
      </c>
      <c r="F453" s="11">
        <f>[1]!EM_S_PQ_PCTCHANGE(B453,"2018-01-01","2019-12-31","3")</f>
        <v>-11.005844659999999</v>
      </c>
      <c r="G453" s="11">
        <f>[1]!EM_S_PQ_PCTCHANGE(B453,"2018-12-31","2019-12-30","1")</f>
        <v>57.183364840000003</v>
      </c>
      <c r="H453" s="11">
        <f>[1]!EM_S_FA_YOY_OR(B453,E453)</f>
        <v>-0.6924922926</v>
      </c>
      <c r="I453" s="11">
        <f>[1]!EM_S_FA_GROSSPROFITMARGIN(B453,E453)</f>
        <v>28.816714735000001</v>
      </c>
      <c r="J453" s="11">
        <f>[1]!EM_S_FA_NETPROFITMARGIN(B453,E453)</f>
        <v>8.3579595439999999</v>
      </c>
      <c r="K453" s="10">
        <f>[1]!EM_S_FA_ASSETSTURN(B453,E453)</f>
        <v>0.53364435539099997</v>
      </c>
      <c r="L453" s="12">
        <f>[1]!EM_HKS_VAL_MV(B453,"2019-12-31","2")</f>
        <v>2355790098.1999998</v>
      </c>
      <c r="M453">
        <f>[1]!EM_S_VAL_PETTMDEDUCTED(B453,E453)</f>
        <v>53.032689979490897</v>
      </c>
      <c r="N453" s="7">
        <f>[1]!EM_S_VAL_PBGOODWILLDEDUCTED(B453,E453)</f>
        <v>2.4003607443746899</v>
      </c>
      <c r="O453" s="7">
        <f>[1]!EM_S_VAL_PS_TTM(B453,E453)</f>
        <v>4.1334090533699701</v>
      </c>
      <c r="P453" s="7">
        <f>[1]!EM_S_VAL_PCF_NCFTTM(B453,E453)</f>
        <v>27.0972035610258</v>
      </c>
      <c r="Q453" s="7">
        <f>[1]!EM_S_VAL_DIVIDENDYIELD2(B453,E453,"2019-11-29")</f>
        <v>1.9350380096751902</v>
      </c>
      <c r="T453"/>
      <c r="U453">
        <f>[1]!EM_S_RATIO_EPS_TTM(B453,E453,"1")</f>
        <v>0.22818837510117693</v>
      </c>
      <c r="AT453" s="4" t="str">
        <f>[1]!EM_S_IPO_LISTEDDATE(B453)</f>
        <v>2017-10-13</v>
      </c>
    </row>
    <row r="454" spans="1:46">
      <c r="A454">
        <v>3445</v>
      </c>
      <c r="B454" t="str">
        <f>"603589"</f>
        <v>603589</v>
      </c>
      <c r="C454" t="s">
        <v>115</v>
      </c>
      <c r="D454" t="str">
        <f>[1]!EM_S_INFO_INDEX_EM(B454,"1")</f>
        <v>食品饮料</v>
      </c>
      <c r="E454" s="4">
        <f t="shared" si="7"/>
        <v>43465</v>
      </c>
      <c r="F454" s="11">
        <f>[1]!EM_S_PQ_PCTCHANGE(B454,"2018-01-01","2019-12-31","3")</f>
        <v>23.855559070000002</v>
      </c>
      <c r="G454" s="11">
        <f>[1]!EM_S_PQ_PCTCHANGE(B454,"2018-12-31","2019-12-30","1")</f>
        <v>57.114342739999998</v>
      </c>
      <c r="H454" s="11">
        <f>[1]!EM_S_FA_YOY_OR(B454,E454)</f>
        <v>18.495219222100001</v>
      </c>
      <c r="I454" s="11">
        <f>[1]!EM_S_FA_GROSSPROFITMARGIN(B454,E454)</f>
        <v>74.367815358800001</v>
      </c>
      <c r="J454" s="11">
        <f>[1]!EM_S_FA_NETPROFITMARGIN(B454,E454)</f>
        <v>35.902464795100002</v>
      </c>
      <c r="K454" s="10">
        <f>[1]!EM_S_FA_ASSETSTURN(B454,E454)</f>
        <v>0.51686722543600006</v>
      </c>
      <c r="L454" s="12">
        <f>[1]!EM_HKS_VAL_MV(B454,"2019-12-31","2")</f>
        <v>32946000000</v>
      </c>
      <c r="M454">
        <f>[1]!EM_S_VAL_PETTMDEDUCTED(B454,E454)</f>
        <v>16.106850426132301</v>
      </c>
      <c r="N454" s="7">
        <f>[1]!EM_S_VAL_PBGOODWILLDEDUCTED(B454,E454)</f>
        <v>3.4118117222788502</v>
      </c>
      <c r="O454" s="7">
        <f>[1]!EM_S_VAL_PS_TTM(B454,E454)</f>
        <v>5.1385741415487898</v>
      </c>
      <c r="P454" s="7">
        <f>[1]!EM_S_VAL_PCF_NCFTTM(B454,E454)</f>
        <v>-148.80779639305999</v>
      </c>
      <c r="Q454" s="7">
        <f>[1]!EM_S_VAL_DIVIDENDYIELD2(B454,E454,"2019-11-29")</f>
        <v>2.785515320334262</v>
      </c>
      <c r="U454">
        <f>[1]!EM_S_RATIO_EPS_TTM(B454,E454,"1")</f>
        <v>2.5544392245999998</v>
      </c>
      <c r="AT454" s="4" t="str">
        <f>[1]!EM_S_IPO_LISTEDDATE(B454)</f>
        <v>2015-06-29</v>
      </c>
    </row>
    <row r="455" spans="1:46">
      <c r="A455">
        <v>1758</v>
      </c>
      <c r="B455" t="str">
        <f>"300333"</f>
        <v>300333</v>
      </c>
      <c r="C455" t="s">
        <v>2706</v>
      </c>
      <c r="D455" t="str">
        <f>[1]!EM_S_INFO_INDEX_EM(B455,"1")</f>
        <v>信息技术</v>
      </c>
      <c r="E455" s="4">
        <f t="shared" si="7"/>
        <v>43465</v>
      </c>
      <c r="F455" s="11">
        <f>[1]!EM_S_PQ_PCTCHANGE(B455,"2018-01-01","2019-12-31","3")</f>
        <v>25.625359490000001</v>
      </c>
      <c r="G455" s="11">
        <f>[1]!EM_S_PQ_PCTCHANGE(B455,"2018-12-31","2019-12-30","1")</f>
        <v>56.932153390000003</v>
      </c>
      <c r="H455" s="11">
        <f>[1]!EM_S_FA_YOY_OR(B455,E455)</f>
        <v>-6.6014669863000002</v>
      </c>
      <c r="I455" s="11">
        <f>[1]!EM_S_FA_GROSSPROFITMARGIN(B455,E455)</f>
        <v>62.076607235600001</v>
      </c>
      <c r="J455" s="11">
        <f>[1]!EM_S_FA_NETPROFITMARGIN(B455,E455)</f>
        <v>14.6709115124</v>
      </c>
      <c r="K455" s="10">
        <f>[1]!EM_S_FA_ASSETSTURN(B455,E455)</f>
        <v>0.242056790828</v>
      </c>
      <c r="L455" s="12">
        <f>[1]!EM_HKS_VAL_MV(B455,"2019-12-31","2")</f>
        <v>3548160000</v>
      </c>
      <c r="M455">
        <f>[1]!EM_S_VAL_PETTMDEDUCTED(B455,E455)</f>
        <v>1954.5184094625999</v>
      </c>
      <c r="N455" s="7">
        <f>[1]!EM_S_VAL_PBGOODWILLDEDUCTED(B455,E455)</f>
        <v>2.7783071667892401</v>
      </c>
      <c r="O455" s="7">
        <f>[1]!EM_S_VAL_PS_TTM(B455,E455)</f>
        <v>9.8922239821874403</v>
      </c>
      <c r="P455" s="7">
        <f>[1]!EM_S_VAL_PCF_NCFTTM(B455,E455)</f>
        <v>-257.365908662224</v>
      </c>
      <c r="Q455" s="7">
        <f>[1]!EM_S_VAL_DIVIDENDYIELD2(B455,E455,"2019-11-29")</f>
        <v>0.61475409836065575</v>
      </c>
      <c r="T455"/>
      <c r="U455">
        <f>[1]!EM_S_RATIO_EPS_TTM(B455,E455,"1")</f>
        <v>3.6371047023809527E-2</v>
      </c>
      <c r="AT455" s="4" t="str">
        <f>[1]!EM_S_IPO_LISTEDDATE(B455)</f>
        <v>2012-06-28</v>
      </c>
    </row>
    <row r="456" spans="1:46">
      <c r="A456">
        <v>2055</v>
      </c>
      <c r="B456" t="str">
        <f>"300636"</f>
        <v>300636</v>
      </c>
      <c r="C456" t="s">
        <v>2275</v>
      </c>
      <c r="D456" t="str">
        <f>[1]!EM_S_INFO_INDEX_EM(B456,"1")</f>
        <v>医药生物</v>
      </c>
      <c r="E456" s="4">
        <f t="shared" si="7"/>
        <v>43465</v>
      </c>
      <c r="F456" s="11">
        <f>[1]!EM_S_PQ_PCTCHANGE(B456,"2018-01-01","2019-12-31","3")</f>
        <v>-2.7767966500000001</v>
      </c>
      <c r="G456" s="11">
        <f>[1]!EM_S_PQ_PCTCHANGE(B456,"2018-12-31","2019-12-30","1")</f>
        <v>56.926528320000003</v>
      </c>
      <c r="H456" s="11">
        <f>[1]!EM_S_FA_YOY_OR(B456,E456)</f>
        <v>-9.9731658244000005</v>
      </c>
      <c r="I456" s="11">
        <f>[1]!EM_S_FA_GROSSPROFITMARGIN(B456,E456)</f>
        <v>29.269433667000001</v>
      </c>
      <c r="J456" s="11">
        <f>[1]!EM_S_FA_NETPROFITMARGIN(B456,E456)</f>
        <v>9.1833053206000006</v>
      </c>
      <c r="K456" s="10">
        <f>[1]!EM_S_FA_ASSETSTURN(B456,E456)</f>
        <v>0.35012091374400001</v>
      </c>
      <c r="L456" s="12">
        <f>[1]!EM_HKS_VAL_MV(B456,"2019-12-31","2")</f>
        <v>2402625680</v>
      </c>
      <c r="M456">
        <f>[1]!EM_S_VAL_PETTMDEDUCTED(B456,E456)</f>
        <v>53.963902157750198</v>
      </c>
      <c r="N456" s="7">
        <f>[1]!EM_S_VAL_PBGOODWILLDEDUCTED(B456,E456)</f>
        <v>2.2050458086902398</v>
      </c>
      <c r="O456" s="7">
        <f>[1]!EM_S_VAL_PS_TTM(B456,E456)</f>
        <v>5.5447564550213801</v>
      </c>
      <c r="P456" s="7">
        <f>[1]!EM_S_VAL_PCF_NCFTTM(B456,E456)</f>
        <v>-59.698454491220602</v>
      </c>
      <c r="Q456" s="7">
        <f>[1]!EM_S_VAL_DIVIDENDYIELD2(B456,E456,"2019-11-29")</f>
        <v>0.16860858895705522</v>
      </c>
      <c r="T456"/>
      <c r="U456">
        <f>[1]!EM_S_RATIO_EPS_TTM(B456,E456,"1")</f>
        <v>0.30137989741384608</v>
      </c>
      <c r="AT456" s="4" t="str">
        <f>[1]!EM_S_IPO_LISTEDDATE(B456)</f>
        <v>2017-03-31</v>
      </c>
    </row>
    <row r="457" spans="1:46">
      <c r="A457">
        <v>807</v>
      </c>
      <c r="B457" t="str">
        <f>"002296"</f>
        <v>002296</v>
      </c>
      <c r="C457" t="s">
        <v>2930</v>
      </c>
      <c r="D457" t="str">
        <f>[1]!EM_S_INFO_INDEX_EM(B457,"1")</f>
        <v>信息技术</v>
      </c>
      <c r="E457" s="4">
        <f t="shared" si="7"/>
        <v>43465</v>
      </c>
      <c r="F457" s="11">
        <f>[1]!EM_S_PQ_PCTCHANGE(B457,"2018-01-01","2019-12-31","3")</f>
        <v>6.7024128699999999</v>
      </c>
      <c r="G457" s="11">
        <f>[1]!EM_S_PQ_PCTCHANGE(B457,"2018-12-31","2019-12-30","1")</f>
        <v>56.862745099999998</v>
      </c>
      <c r="H457" s="11">
        <f>[1]!EM_S_FA_YOY_OR(B457,E457)</f>
        <v>-3.3250240939000002</v>
      </c>
      <c r="I457" s="11">
        <f>[1]!EM_S_FA_GROSSPROFITMARGIN(B457,E457)</f>
        <v>47.335528423600003</v>
      </c>
      <c r="J457" s="11">
        <f>[1]!EM_S_FA_NETPROFITMARGIN(B457,E457)</f>
        <v>6.5167265822999996</v>
      </c>
      <c r="K457" s="10">
        <f>[1]!EM_S_FA_ASSETSTURN(B457,E457)</f>
        <v>0.24603148408200001</v>
      </c>
      <c r="L457" s="12">
        <f>[1]!EM_HKS_VAL_MV(B457,"2019-12-31","2")</f>
        <v>2998185103.1999998</v>
      </c>
      <c r="M457">
        <f>[1]!EM_S_VAL_PETTMDEDUCTED(B457,E457)</f>
        <v>-12.5008535334733</v>
      </c>
      <c r="N457" s="7">
        <f>[1]!EM_S_VAL_PBGOODWILLDEDUCTED(B457,E457)</f>
        <v>1.3537384324383399</v>
      </c>
      <c r="O457" s="7">
        <f>[1]!EM_S_VAL_PS_TTM(B457,E457)</f>
        <v>3.8617343955121699</v>
      </c>
      <c r="P457" s="7">
        <f>[1]!EM_S_VAL_PCF_NCFTTM(B457,E457)</f>
        <v>-5.7948712223010697</v>
      </c>
      <c r="Q457" s="7">
        <f>[1]!EM_S_VAL_DIVIDENDYIELD2(B457,E457,"2019-11-29")</f>
        <v>0</v>
      </c>
      <c r="T457"/>
      <c r="U457">
        <f>[1]!EM_S_RATIO_EPS_TTM(B457,E457,"1")</f>
        <v>7.3629431512145738E-2</v>
      </c>
      <c r="AT457" s="4" t="str">
        <f>[1]!EM_S_IPO_LISTEDDATE(B457)</f>
        <v>2009-09-29</v>
      </c>
    </row>
    <row r="458" spans="1:46">
      <c r="A458">
        <v>843</v>
      </c>
      <c r="B458" t="str">
        <f>"002332"</f>
        <v>002332</v>
      </c>
      <c r="C458" t="s">
        <v>1596</v>
      </c>
      <c r="D458" t="str">
        <f>[1]!EM_S_INFO_INDEX_EM(B458,"1")</f>
        <v>医药生物</v>
      </c>
      <c r="E458" s="4">
        <f t="shared" si="7"/>
        <v>43465</v>
      </c>
      <c r="F458" s="11">
        <f>[1]!EM_S_PQ_PCTCHANGE(B458,"2018-01-01","2019-12-31","3")</f>
        <v>22.6773019</v>
      </c>
      <c r="G458" s="11">
        <f>[1]!EM_S_PQ_PCTCHANGE(B458,"2018-12-31","2019-12-30","1")</f>
        <v>56.769983689999997</v>
      </c>
      <c r="H458" s="11">
        <f>[1]!EM_S_FA_YOY_OR(B458,E458)</f>
        <v>26.965277776299999</v>
      </c>
      <c r="I458" s="11">
        <f>[1]!EM_S_FA_GROSSPROFITMARGIN(B458,E458)</f>
        <v>59.085790109500003</v>
      </c>
      <c r="J458" s="11">
        <f>[1]!EM_S_FA_NETPROFITMARGIN(B458,E458)</f>
        <v>9.5359969249999992</v>
      </c>
      <c r="K458" s="10">
        <f>[1]!EM_S_FA_ASSETSTURN(B458,E458)</f>
        <v>0.68477929549299998</v>
      </c>
      <c r="L458" s="12">
        <f>[1]!EM_HKS_VAL_MV(B458,"2019-12-31","2")</f>
        <v>9043014078.4200001</v>
      </c>
      <c r="M458">
        <f>[1]!EM_S_VAL_PETTMDEDUCTED(B458,E458)</f>
        <v>22.306377809387399</v>
      </c>
      <c r="N458" s="7">
        <f>[1]!EM_S_VAL_PBGOODWILLDEDUCTED(B458,E458)</f>
        <v>2.7726648228535899</v>
      </c>
      <c r="O458" s="7">
        <f>[1]!EM_S_VAL_PS_TTM(B458,E458)</f>
        <v>1.5983281470188899</v>
      </c>
      <c r="P458" s="7">
        <f>[1]!EM_S_VAL_PCF_NCFTTM(B458,E458)</f>
        <v>59.945987995383497</v>
      </c>
      <c r="Q458" s="7">
        <f>[1]!EM_S_VAL_DIVIDENDYIELD2(B458,E458,"2019-11-29")</f>
        <v>0.60634328358208944</v>
      </c>
      <c r="T458"/>
      <c r="U458">
        <f>[1]!EM_S_RATIO_EPS_TTM(B458,E458,"1")</f>
        <v>0.32892268892879989</v>
      </c>
      <c r="AT458" s="4" t="str">
        <f>[1]!EM_S_IPO_LISTEDDATE(B458)</f>
        <v>2010-01-12</v>
      </c>
    </row>
    <row r="459" spans="1:46">
      <c r="A459">
        <v>1911</v>
      </c>
      <c r="B459" t="str">
        <f>"300486"</f>
        <v>300486</v>
      </c>
      <c r="C459" t="s">
        <v>1816</v>
      </c>
      <c r="D459" t="str">
        <f>[1]!EM_S_INFO_INDEX_EM(B459,"1")</f>
        <v>机械设备</v>
      </c>
      <c r="E459" s="4">
        <f t="shared" si="7"/>
        <v>43465</v>
      </c>
      <c r="F459" s="11">
        <f>[1]!EM_S_PQ_PCTCHANGE(B459,"2018-01-01","2019-12-31","3")</f>
        <v>0.32755643000000001</v>
      </c>
      <c r="G459" s="11">
        <f>[1]!EM_S_PQ_PCTCHANGE(B459,"2018-12-31","2019-12-30","1")</f>
        <v>56.714178539999999</v>
      </c>
      <c r="H459" s="11">
        <f>[1]!EM_S_FA_YOY_OR(B459,E459)</f>
        <v>37.510506634000002</v>
      </c>
      <c r="I459" s="11">
        <f>[1]!EM_S_FA_GROSSPROFITMARGIN(B459,E459)</f>
        <v>26.356202224499999</v>
      </c>
      <c r="J459" s="11">
        <f>[1]!EM_S_FA_NETPROFITMARGIN(B459,E459)</f>
        <v>9.0635698869999999</v>
      </c>
      <c r="K459" s="10">
        <f>[1]!EM_S_FA_ASSETSTURN(B459,E459)</f>
        <v>0.44743029987799998</v>
      </c>
      <c r="L459" s="12">
        <f>[1]!EM_HKS_VAL_MV(B459,"2019-12-31","2")</f>
        <v>3712785679.8000002</v>
      </c>
      <c r="M459">
        <f>[1]!EM_S_VAL_PETTMDEDUCTED(B459,E459)</f>
        <v>46.901170899357403</v>
      </c>
      <c r="N459" s="7">
        <f>[1]!EM_S_VAL_PBGOODWILLDEDUCTED(B459,E459)</f>
        <v>2.6544492069707601</v>
      </c>
      <c r="O459" s="7">
        <f>[1]!EM_S_VAL_PS_TTM(B459,E459)</f>
        <v>4.2135619222345602</v>
      </c>
      <c r="P459" s="7">
        <f>[1]!EM_S_VAL_PCF_NCFTTM(B459,E459)</f>
        <v>-68.784435351770597</v>
      </c>
      <c r="Q459" s="7">
        <f>[1]!EM_S_VAL_DIVIDENDYIELD2(B459,E459,"2019-11-29")</f>
        <v>0.18134715025906734</v>
      </c>
      <c r="T459"/>
      <c r="U459">
        <f>[1]!EM_S_RATIO_EPS_TTM(B459,E459,"1")</f>
        <v>0.39452821055866605</v>
      </c>
      <c r="AT459" s="4" t="str">
        <f>[1]!EM_S_IPO_LISTEDDATE(B459)</f>
        <v>2015-06-30</v>
      </c>
    </row>
    <row r="460" spans="1:46">
      <c r="A460">
        <v>568</v>
      </c>
      <c r="B460" t="str">
        <f>"002057"</f>
        <v>002057</v>
      </c>
      <c r="C460" t="s">
        <v>908</v>
      </c>
      <c r="D460" t="str">
        <f>[1]!EM_S_INFO_INDEX_EM(B460,"1")</f>
        <v>有色金属</v>
      </c>
      <c r="E460" s="4">
        <f t="shared" si="7"/>
        <v>43465</v>
      </c>
      <c r="F460" s="11">
        <f>[1]!EM_S_PQ_PCTCHANGE(B460,"2018-01-01","2019-12-31","3")</f>
        <v>62.621436549999999</v>
      </c>
      <c r="G460" s="11">
        <f>[1]!EM_S_PQ_PCTCHANGE(B460,"2018-12-31","2019-12-30","1")</f>
        <v>56.701030930000002</v>
      </c>
      <c r="H460" s="11">
        <f>[1]!EM_S_FA_YOY_OR(B460,E460)</f>
        <v>10.5906307401</v>
      </c>
      <c r="I460" s="11">
        <f>[1]!EM_S_FA_GROSSPROFITMARGIN(B460,E460)</f>
        <v>25.172187770099999</v>
      </c>
      <c r="J460" s="11">
        <f>[1]!EM_S_FA_NETPROFITMARGIN(B460,E460)</f>
        <v>9.5594760003000001</v>
      </c>
      <c r="K460" s="10">
        <f>[1]!EM_S_FA_ASSETSTURN(B460,E460)</f>
        <v>0.75054078286799997</v>
      </c>
      <c r="L460" s="12">
        <f>[1]!EM_HKS_VAL_MV(B460,"2019-12-31","2")</f>
        <v>5281141783.6800003</v>
      </c>
      <c r="M460">
        <f>[1]!EM_S_VAL_PETTMDEDUCTED(B460,E460)</f>
        <v>23.660533404159299</v>
      </c>
      <c r="N460" s="7">
        <f>[1]!EM_S_VAL_PBGOODWILLDEDUCTED(B460,E460)</f>
        <v>1.67680065538515</v>
      </c>
      <c r="O460" s="7">
        <f>[1]!EM_S_VAL_PS_TTM(B460,E460)</f>
        <v>1.77374356431823</v>
      </c>
      <c r="P460" s="7">
        <f>[1]!EM_S_VAL_PCF_NCFTTM(B460,E460)</f>
        <v>-31.478817202726901</v>
      </c>
      <c r="Q460" s="7">
        <f>[1]!EM_S_VAL_DIVIDENDYIELD2(B460,E460,"2019-11-29")</f>
        <v>0.82610491532424613</v>
      </c>
      <c r="T460"/>
      <c r="U460">
        <f>[1]!EM_S_RATIO_EPS_TTM(B460,E460,"1")</f>
        <v>0.31889893381812445</v>
      </c>
      <c r="AT460" s="4" t="str">
        <f>[1]!EM_S_IPO_LISTEDDATE(B460)</f>
        <v>2006-08-02</v>
      </c>
    </row>
    <row r="461" spans="1:46">
      <c r="A461">
        <v>1432</v>
      </c>
      <c r="B461" t="str">
        <f>"300006"</f>
        <v>300006</v>
      </c>
      <c r="C461" t="s">
        <v>1000</v>
      </c>
      <c r="D461" t="str">
        <f>[1]!EM_S_INFO_INDEX_EM(B461,"1")</f>
        <v>医药生物</v>
      </c>
      <c r="E461" s="4">
        <f t="shared" si="7"/>
        <v>43465</v>
      </c>
      <c r="F461" s="11">
        <f>[1]!EM_S_PQ_PCTCHANGE(B461,"2018-01-01","2019-12-31","3")</f>
        <v>-9.2167793400000004</v>
      </c>
      <c r="G461" s="11">
        <f>[1]!EM_S_PQ_PCTCHANGE(B461,"2018-12-31","2019-12-30","1")</f>
        <v>56.666666669999998</v>
      </c>
      <c r="H461" s="11">
        <f>[1]!EM_S_FA_YOY_OR(B461,E461)</f>
        <v>21.862754988399999</v>
      </c>
      <c r="I461" s="11">
        <f>[1]!EM_S_FA_GROSSPROFITMARGIN(B461,E461)</f>
        <v>60.796153596099998</v>
      </c>
      <c r="J461" s="11">
        <f>[1]!EM_S_FA_NETPROFITMARGIN(B461,E461)</f>
        <v>5.8331213163999998</v>
      </c>
      <c r="K461" s="10">
        <f>[1]!EM_S_FA_ASSETSTURN(B461,E461)</f>
        <v>0.53131581612599998</v>
      </c>
      <c r="L461" s="12">
        <f>[1]!EM_HKS_VAL_MV(B461,"2019-12-31","2")</f>
        <v>4589162808.25</v>
      </c>
      <c r="M461">
        <f>[1]!EM_S_VAL_PETTMDEDUCTED(B461,E461)</f>
        <v>75.2650842848536</v>
      </c>
      <c r="N461" s="7">
        <f>[1]!EM_S_VAL_PBGOODWILLDEDUCTED(B461,E461)</f>
        <v>1.8647947082168399</v>
      </c>
      <c r="O461" s="7">
        <f>[1]!EM_S_VAL_PS_TTM(B461,E461)</f>
        <v>1.98005759872698</v>
      </c>
      <c r="P461" s="7">
        <f>[1]!EM_S_VAL_PCF_NCFTTM(B461,E461)</f>
        <v>-26.432324756536001</v>
      </c>
      <c r="Q461" s="7">
        <f>[1]!EM_S_VAL_DIVIDENDYIELD2(B461,E461,"2019-11-29")</f>
        <v>1.0224948875255624</v>
      </c>
      <c r="T461"/>
      <c r="U461">
        <f>[1]!EM_S_RATIO_EPS_TTM(B461,E461,"1")</f>
        <v>0.12065789859799098</v>
      </c>
      <c r="AT461" s="4" t="str">
        <f>[1]!EM_S_IPO_LISTEDDATE(B461)</f>
        <v>2009-10-30</v>
      </c>
    </row>
    <row r="462" spans="1:46">
      <c r="A462">
        <v>26</v>
      </c>
      <c r="B462" t="str">
        <f>"000026"</f>
        <v>000026</v>
      </c>
      <c r="C462" t="s">
        <v>1121</v>
      </c>
      <c r="D462" t="str">
        <f>[1]!EM_S_INFO_INDEX_EM(B462,"1")</f>
        <v>轻工制造</v>
      </c>
      <c r="E462" s="4">
        <f t="shared" si="7"/>
        <v>43465</v>
      </c>
      <c r="F462" s="11">
        <f>[1]!EM_S_PQ_PCTCHANGE(B462,"2018-01-01","2019-12-31","3")</f>
        <v>2.3453269300000001</v>
      </c>
      <c r="G462" s="11">
        <f>[1]!EM_S_PQ_PCTCHANGE(B462,"2019-01-01","2019-12-31","3")</f>
        <v>56.607089299999998</v>
      </c>
      <c r="H462" s="11">
        <f>[1]!EM_S_FA_YOY_OR(B462,E462)</f>
        <v>1.6331142758999999</v>
      </c>
      <c r="I462" s="11">
        <f>[1]!EM_S_FA_GROSSPROFITMARGIN(B462,E462)</f>
        <v>41.366306740100001</v>
      </c>
      <c r="J462" s="11">
        <f>[1]!EM_S_FA_NETPROFITMARGIN(B462,E462)</f>
        <v>5.4061980873</v>
      </c>
      <c r="K462" s="10">
        <f>[1]!EM_S_FA_ASSETSTURN(B462,E462)</f>
        <v>0.94726915145199997</v>
      </c>
      <c r="L462" s="12">
        <f>[1]!EM_HKS_VAL_MV(B462,"2019-12-31","2")</f>
        <v>4912524890.29</v>
      </c>
      <c r="M462">
        <f>[1]!EM_S_VAL_PETTMDEDUCTED(B462,E462)</f>
        <v>23.396887489905499</v>
      </c>
      <c r="N462" s="7">
        <f>[1]!EM_S_VAL_PBGOODWILLDEDUCTED(B462,E462)</f>
        <v>1.24446787918299</v>
      </c>
      <c r="O462" s="7">
        <f>[1]!EM_S_VAL_PS_TTM(B462,E462)</f>
        <v>0.93117794967371703</v>
      </c>
      <c r="P462" s="7">
        <f>[1]!EM_S_VAL_PCF_NCFTTM(B462,E462)</f>
        <v>-37.394044279007502</v>
      </c>
      <c r="Q462" s="7">
        <f>[1]!EM_S_VAL_DIVIDENDYIELD2(B462,E462,"2019-11-29")</f>
        <v>2.3792985781990525</v>
      </c>
      <c r="T462"/>
      <c r="U462">
        <f>[1]!EM_S_RATIO_EPS_TTM(B462,E462,"1")</f>
        <v>0.41900225678074632</v>
      </c>
      <c r="AT462" s="4" t="str">
        <f>[1]!EM_S_IPO_LISTEDDATE(B462)</f>
        <v>1993-06-03</v>
      </c>
    </row>
    <row r="463" spans="1:46">
      <c r="A463">
        <v>1965</v>
      </c>
      <c r="B463" t="str">
        <f>"300541"</f>
        <v>300541</v>
      </c>
      <c r="C463" t="s">
        <v>3322</v>
      </c>
      <c r="D463" t="str">
        <f>[1]!EM_S_INFO_INDEX_EM(B463,"1")</f>
        <v>信息技术</v>
      </c>
      <c r="E463" s="4">
        <f t="shared" si="7"/>
        <v>43465</v>
      </c>
      <c r="F463" s="11">
        <f>[1]!EM_S_PQ_PCTCHANGE(B463,"2018-01-01","2019-12-31","3")</f>
        <v>39.113891610000003</v>
      </c>
      <c r="G463" s="11">
        <f>[1]!EM_S_PQ_PCTCHANGE(B463,"2018-12-31","2019-12-30","1")</f>
        <v>56.578947370000002</v>
      </c>
      <c r="H463" s="11">
        <f>[1]!EM_S_FA_YOY_OR(B463,E463)</f>
        <v>37.418420534600003</v>
      </c>
      <c r="I463" s="11">
        <f>[1]!EM_S_FA_GROSSPROFITMARGIN(B463,E463)</f>
        <v>15.8688614842</v>
      </c>
      <c r="J463" s="11">
        <f>[1]!EM_S_FA_NETPROFITMARGIN(B463,E463)</f>
        <v>3.6816752967999999</v>
      </c>
      <c r="K463" s="10">
        <f>[1]!EM_S_FA_ASSETSTURN(B463,E463)</f>
        <v>1.049810924845</v>
      </c>
      <c r="L463" s="12">
        <f>[1]!EM_HKS_VAL_MV(B463,"2019-12-31","2")</f>
        <v>4109084622.1799998</v>
      </c>
      <c r="M463">
        <f>[1]!EM_S_VAL_PETTMDEDUCTED(B463,E463)</f>
        <v>53.134894829518799</v>
      </c>
      <c r="N463" s="7">
        <f>[1]!EM_S_VAL_PBGOODWILLDEDUCTED(B463,E463)</f>
        <v>3.1946484684654299</v>
      </c>
      <c r="O463" s="7">
        <f>[1]!EM_S_VAL_PS_TTM(B463,E463)</f>
        <v>1.86999774535487</v>
      </c>
      <c r="P463" s="7">
        <f>[1]!EM_S_VAL_PCF_NCFTTM(B463,E463)</f>
        <v>-11.259090868977299</v>
      </c>
      <c r="Q463" s="7">
        <f>[1]!EM_S_VAL_DIVIDENDYIELD2(B463,E463,"2019-11-29")</f>
        <v>0.317164673711334</v>
      </c>
      <c r="T463"/>
      <c r="U463">
        <f>[1]!EM_S_RATIO_EPS_TTM(B463,E463,"1")</f>
        <v>0.28254658668624172</v>
      </c>
      <c r="AT463" s="4" t="str">
        <f>[1]!EM_S_IPO_LISTEDDATE(B463)</f>
        <v>2016-09-13</v>
      </c>
    </row>
    <row r="464" spans="1:46">
      <c r="A464">
        <v>3250</v>
      </c>
      <c r="B464" t="str">
        <f>"603069"</f>
        <v>603069</v>
      </c>
      <c r="C464" t="s">
        <v>1824</v>
      </c>
      <c r="D464" t="str">
        <f>[1]!EM_S_INFO_INDEX_EM(B464,"1")</f>
        <v>交通运输</v>
      </c>
      <c r="E464" s="4">
        <f t="shared" si="7"/>
        <v>43465</v>
      </c>
      <c r="F464" s="11">
        <f>[1]!EM_S_PQ_PCTCHANGE(B464,"2018-01-01","2019-12-31","3")</f>
        <v>-17.896982869999999</v>
      </c>
      <c r="G464" s="11">
        <f>[1]!EM_S_PQ_PCTCHANGE(B464,"2018-12-31","2019-12-30","1")</f>
        <v>56.534954409999997</v>
      </c>
      <c r="H464" s="11">
        <f>[1]!EM_S_FA_YOY_OR(B464,E464)</f>
        <v>1.0645972105999999</v>
      </c>
      <c r="I464" s="11">
        <f>[1]!EM_S_FA_GROSSPROFITMARGIN(B464,E464)</f>
        <v>23.766887375900001</v>
      </c>
      <c r="J464" s="11">
        <f>[1]!EM_S_FA_NETPROFITMARGIN(B464,E464)</f>
        <v>5.4023743112</v>
      </c>
      <c r="K464" s="10">
        <f>[1]!EM_S_FA_ASSETSTURN(B464,E464)</f>
        <v>0.586015250145</v>
      </c>
      <c r="L464" s="12">
        <f>[1]!EM_HKS_VAL_MV(B464,"2019-12-31","2")</f>
        <v>3270600000</v>
      </c>
      <c r="M464">
        <f>[1]!EM_S_VAL_PETTMDEDUCTED(B464,E464)</f>
        <v>59.044790827765802</v>
      </c>
      <c r="N464" s="7">
        <f>[1]!EM_S_VAL_PBGOODWILLDEDUCTED(B464,E464)</f>
        <v>1.87089678137079</v>
      </c>
      <c r="O464" s="7">
        <f>[1]!EM_S_VAL_PS_TTM(B464,E464)</f>
        <v>1.8990014179404699</v>
      </c>
      <c r="P464" s="7">
        <f>[1]!EM_S_VAL_PCF_NCFTTM(B464,E464)</f>
        <v>-23.7953258627679</v>
      </c>
      <c r="Q464" s="7">
        <f>[1]!EM_S_VAL_DIVIDENDYIELD2(B464,E464,"2019-11-29")</f>
        <v>0.77419354838709675</v>
      </c>
      <c r="T464"/>
      <c r="U464">
        <f>[1]!EM_S_RATIO_EPS_TTM(B464,E464,"1")</f>
        <v>0.18632697693037975</v>
      </c>
      <c r="AT464" s="4" t="str">
        <f>[1]!EM_S_IPO_LISTEDDATE(B464)</f>
        <v>2016-07-12</v>
      </c>
    </row>
    <row r="465" spans="1:46">
      <c r="A465">
        <v>386</v>
      </c>
      <c r="B465" t="str">
        <f>"000831"</f>
        <v>000831</v>
      </c>
      <c r="C465" t="s">
        <v>1928</v>
      </c>
      <c r="D465" t="str">
        <f>[1]!EM_S_INFO_INDEX_EM(B465,"1")</f>
        <v>有色金属</v>
      </c>
      <c r="E465" s="4">
        <f t="shared" si="7"/>
        <v>43465</v>
      </c>
      <c r="F465" s="11">
        <f>[1]!EM_S_PQ_PCTCHANGE(B465,"2018-01-01","2019-12-31","3")</f>
        <v>4.6849757700000003</v>
      </c>
      <c r="G465" s="11">
        <f>[1]!EM_S_PQ_PCTCHANGE(B465,"2018-12-31","2019-12-30","1")</f>
        <v>56.391875749999997</v>
      </c>
      <c r="H465" s="11">
        <f>[1]!EM_S_FA_YOY_OR(B465,E465)</f>
        <v>29.1845034991</v>
      </c>
      <c r="I465" s="11">
        <f>[1]!EM_S_FA_GROSSPROFITMARGIN(B465,E465)</f>
        <v>20.087708630600002</v>
      </c>
      <c r="J465" s="11">
        <f>[1]!EM_S_FA_NETPROFITMARGIN(B465,E465)</f>
        <v>10.965082130900001</v>
      </c>
      <c r="K465" s="10">
        <f>[1]!EM_S_FA_ASSETSTURN(B465,E465)</f>
        <v>0.40582195881400002</v>
      </c>
      <c r="L465" s="12">
        <f>[1]!EM_HKS_VAL_MV(B465,"2019-12-31","2")</f>
        <v>12712321193.76</v>
      </c>
      <c r="M465">
        <f>[1]!EM_S_VAL_PETTMDEDUCTED(B465,E465)</f>
        <v>106.20438259871599</v>
      </c>
      <c r="N465" s="7">
        <f>[1]!EM_S_VAL_PBGOODWILLDEDUCTED(B465,E465)</f>
        <v>3.8657343559472599</v>
      </c>
      <c r="O465" s="7">
        <f>[1]!EM_S_VAL_PS_TTM(B465,E465)</f>
        <v>11.7454662590764</v>
      </c>
      <c r="P465" s="7">
        <f>[1]!EM_S_VAL_PCF_NCFTTM(B465,E465)</f>
        <v>-122.34511934031499</v>
      </c>
      <c r="Q465" s="7">
        <f>[1]!EM_S_VAL_DIVIDENDYIELD2(B465,E465,"2019-11-29")</f>
        <v>0</v>
      </c>
      <c r="T465"/>
      <c r="U465">
        <f>[1]!EM_S_RATIO_EPS_TTM(B465,E465,"1")</f>
        <v>0.10376658004276225</v>
      </c>
      <c r="AT465" s="4" t="str">
        <f>[1]!EM_S_IPO_LISTEDDATE(B465)</f>
        <v>1998-09-11</v>
      </c>
    </row>
    <row r="466" spans="1:46">
      <c r="A466">
        <v>3165</v>
      </c>
      <c r="B466" t="str">
        <f>"601878"</f>
        <v>601878</v>
      </c>
      <c r="C466" t="s">
        <v>1793</v>
      </c>
      <c r="D466" t="str">
        <f>[1]!EM_S_INFO_INDEX_EM(B466,"1")</f>
        <v>金融</v>
      </c>
      <c r="E466" s="4">
        <f t="shared" si="7"/>
        <v>43465</v>
      </c>
      <c r="F466" s="11">
        <f>[1]!EM_S_PQ_PCTCHANGE(B466,"2018-01-01","2019-12-31","3")</f>
        <v>-31.533794489999998</v>
      </c>
      <c r="G466" s="11">
        <f>[1]!EM_S_PQ_PCTCHANGE(B466,"2018-12-31","2019-12-30","1")</f>
        <v>56.336088150000002</v>
      </c>
      <c r="H466" s="11">
        <f>[1]!EM_S_FA_YOY_OR(B466,E466)</f>
        <v>-19.867656484499999</v>
      </c>
      <c r="I466" s="11">
        <f>[1]!EM_S_FA_GROSSPROFITMARGIN(B466,E466)</f>
        <v>0</v>
      </c>
      <c r="J466" s="11">
        <f>[1]!EM_S_FA_NETPROFITMARGIN(B466,E466)</f>
        <v>19.945790960499998</v>
      </c>
      <c r="K466" s="10">
        <f>[1]!EM_S_FA_ASSETSTURN(B466,E466)</f>
        <v>0</v>
      </c>
      <c r="L466" s="12">
        <f>[1]!EM_HKS_VAL_MV(B466,"2019-12-31","2")</f>
        <v>37100146255.620003</v>
      </c>
      <c r="M466">
        <f>[1]!EM_S_VAL_PETTMDEDUCTED(B466,E466)</f>
        <v>30.228497295926299</v>
      </c>
      <c r="N466" s="7">
        <f>[1]!EM_S_VAL_PBGOODWILLDEDUCTED(B466,E466)</f>
        <v>1.77363162696071</v>
      </c>
      <c r="O466" s="7">
        <f>[1]!EM_S_VAL_PS_TTM(B466,E466)</f>
        <v>6.1701086919294603</v>
      </c>
      <c r="P466" s="7">
        <f>[1]!EM_S_VAL_PCF_NCFTTM(B466,E466)</f>
        <v>-16.959112984803301</v>
      </c>
      <c r="Q466" s="7">
        <f>[1]!EM_S_VAL_DIVIDENDYIELD2(B466,E466,"2019-11-29")</f>
        <v>0.83631723235222355</v>
      </c>
      <c r="T466"/>
      <c r="U466">
        <f>[1]!EM_S_RATIO_EPS_TTM(B466,E466,"1")</f>
        <v>0.22108720294225595</v>
      </c>
      <c r="AT466" s="4" t="str">
        <f>[1]!EM_S_IPO_LISTEDDATE(B466)</f>
        <v>2017-06-26</v>
      </c>
    </row>
    <row r="467" spans="1:46">
      <c r="A467">
        <v>2917</v>
      </c>
      <c r="B467" t="str">
        <f>"600844"</f>
        <v>600844</v>
      </c>
      <c r="C467" t="s">
        <v>2850</v>
      </c>
      <c r="D467" t="str">
        <f>[1]!EM_S_INFO_INDEX_EM(B467,"1")</f>
        <v>基础化工</v>
      </c>
      <c r="E467" s="4">
        <f t="shared" si="7"/>
        <v>43465</v>
      </c>
      <c r="F467" s="11">
        <f>[1]!EM_S_PQ_PCTCHANGE(B467,"2018-01-01","2019-12-31","3")</f>
        <v>-14.65517241</v>
      </c>
      <c r="G467" s="11">
        <f>[1]!EM_S_PQ_PCTCHANGE(B467,"2018-12-31","2019-12-30","1")</f>
        <v>56.329113919999998</v>
      </c>
      <c r="H467" s="11">
        <f>[1]!EM_S_FA_YOY_OR(B467,E467)</f>
        <v>7.6554230144000002</v>
      </c>
      <c r="I467" s="11">
        <f>[1]!EM_S_FA_GROSSPROFITMARGIN(B467,E467)</f>
        <v>23.421009998199999</v>
      </c>
      <c r="J467" s="11">
        <f>[1]!EM_S_FA_NETPROFITMARGIN(B467,E467)</f>
        <v>0.60507219960000003</v>
      </c>
      <c r="K467" s="10">
        <f>[1]!EM_S_FA_ASSETSTURN(B467,E467)</f>
        <v>0.39818905044199998</v>
      </c>
      <c r="L467" s="12">
        <f>[1]!EM_HKS_VAL_MV(B467,"2019-12-31","2")</f>
        <v>5031794988</v>
      </c>
      <c r="M467">
        <f>[1]!EM_S_VAL_PETTMDEDUCTED(B467,E467)</f>
        <v>-82.148418276962801</v>
      </c>
      <c r="N467" s="7">
        <f>[1]!EM_S_VAL_PBGOODWILLDEDUCTED(B467,E467)</f>
        <v>1.5120855926811401</v>
      </c>
      <c r="O467" s="7">
        <f>[1]!EM_S_VAL_PS_TTM(B467,E467)</f>
        <v>2.1434408074743998</v>
      </c>
      <c r="P467" s="7">
        <f>[1]!EM_S_VAL_PCF_NCFTTM(B467,E467)</f>
        <v>54.446632506452097</v>
      </c>
      <c r="Q467" s="7">
        <f>[1]!EM_S_VAL_DIVIDENDYIELD2(B467,E467,"2019-11-29")</f>
        <v>0</v>
      </c>
      <c r="T467"/>
      <c r="U467">
        <f>[1]!EM_S_RATIO_EPS_TTM(B467,E467,"1")</f>
        <v>2.0233314455934664E-3</v>
      </c>
      <c r="AT467" s="4" t="str">
        <f>[1]!EM_S_IPO_LISTEDDATE(B467)</f>
        <v>1994-03-11</v>
      </c>
    </row>
    <row r="468" spans="1:46">
      <c r="A468">
        <v>1875</v>
      </c>
      <c r="B468" t="str">
        <f>"300450"</f>
        <v>300450</v>
      </c>
      <c r="C468" t="s">
        <v>201</v>
      </c>
      <c r="D468" t="str">
        <f>[1]!EM_S_INFO_INDEX_EM(B468,"1")</f>
        <v>机械设备</v>
      </c>
      <c r="E468" s="4">
        <f t="shared" si="7"/>
        <v>43465</v>
      </c>
      <c r="F468" s="11">
        <f>[1]!EM_S_PQ_PCTCHANGE(B468,"2018-01-01","2019-12-31","3")</f>
        <v>59.67191794</v>
      </c>
      <c r="G468" s="11">
        <f>[1]!EM_S_PQ_PCTCHANGE(B468,"2018-12-31","2019-12-30","1")</f>
        <v>56.288873529999996</v>
      </c>
      <c r="H468" s="11">
        <f>[1]!EM_S_FA_YOY_OR(B468,E468)</f>
        <v>78.696464503599998</v>
      </c>
      <c r="I468" s="11">
        <f>[1]!EM_S_FA_GROSSPROFITMARGIN(B468,E468)</f>
        <v>39.0824581639</v>
      </c>
      <c r="J468" s="11">
        <f>[1]!EM_S_FA_NETPROFITMARGIN(B468,E468)</f>
        <v>19.085722262400001</v>
      </c>
      <c r="K468" s="10">
        <f>[1]!EM_S_FA_ASSETSTURN(B468,E468)</f>
        <v>0.51603210712100001</v>
      </c>
      <c r="L468" s="12">
        <f>[1]!EM_HKS_VAL_MV(B468,"2019-12-31","2")</f>
        <v>39612195373.800003</v>
      </c>
      <c r="M468">
        <f>[1]!EM_S_VAL_PETTMDEDUCTED(B468,E468)</f>
        <v>32.154164434579798</v>
      </c>
      <c r="N468" s="7">
        <f>[1]!EM_S_VAL_PBGOODWILLDEDUCTED(B468,E468)</f>
        <v>10.857543647194101</v>
      </c>
      <c r="O468" s="7">
        <f>[1]!EM_S_VAL_PS_TTM(B468,E468)</f>
        <v>6.6708735798190801</v>
      </c>
      <c r="P468" s="7">
        <f>[1]!EM_S_VAL_PCF_NCFTTM(B468,E468)</f>
        <v>-114.22527615350801</v>
      </c>
      <c r="Q468" s="7">
        <f>[1]!EM_S_VAL_DIVIDENDYIELD2(B468,E468,"2019-11-29")</f>
        <v>0.74091961994186151</v>
      </c>
      <c r="T468"/>
      <c r="U468">
        <f>[1]!EM_S_RATIO_EPS_TTM(B468,E468,"1")</f>
        <v>0.8420955912758934</v>
      </c>
      <c r="AT468" s="4" t="str">
        <f>[1]!EM_S_IPO_LISTEDDATE(B468)</f>
        <v>2015-05-18</v>
      </c>
    </row>
    <row r="469" spans="1:46">
      <c r="A469">
        <v>3338</v>
      </c>
      <c r="B469" t="str">
        <f>"603288"</f>
        <v>603288</v>
      </c>
      <c r="C469" t="s">
        <v>92</v>
      </c>
      <c r="D469" t="str">
        <f>[1]!EM_S_INFO_INDEX_EM(B469,"1")</f>
        <v>食品饮料</v>
      </c>
      <c r="E469" s="4">
        <f t="shared" si="7"/>
        <v>43465</v>
      </c>
      <c r="F469" s="11">
        <f>[1]!EM_S_PQ_PCTCHANGE(B469,"2018-01-01","2019-12-31","3")</f>
        <v>104.82553905</v>
      </c>
      <c r="G469" s="11">
        <f>[1]!EM_S_PQ_PCTCHANGE(B469,"2018-12-31","2019-12-30","1")</f>
        <v>56.264534879999999</v>
      </c>
      <c r="H469" s="11">
        <f>[1]!EM_S_FA_YOY_OR(B469,E469)</f>
        <v>16.8</v>
      </c>
      <c r="I469" s="11">
        <f>[1]!EM_S_FA_GROSSPROFITMARGIN(B469,E469)</f>
        <v>46.467085377499998</v>
      </c>
      <c r="J469" s="11">
        <f>[1]!EM_S_FA_NETPROFITMARGIN(B469,E469)</f>
        <v>25.6343306427</v>
      </c>
      <c r="K469" s="10">
        <f>[1]!EM_S_FA_ASSETSTURN(B469,E469)</f>
        <v>0.93391271933099995</v>
      </c>
      <c r="L469" s="12">
        <f>[1]!EM_HKS_VAL_MV(B469,"2019-12-31","2")</f>
        <v>290316707743.40002</v>
      </c>
      <c r="M469">
        <f>[1]!EM_S_VAL_PETTMDEDUCTED(B469,E469)</f>
        <v>47.597759580545201</v>
      </c>
      <c r="N469" s="7">
        <f>[1]!EM_S_VAL_PBGOODWILLDEDUCTED(B469,E469)</f>
        <v>13.421024355972699</v>
      </c>
      <c r="O469" s="7">
        <f>[1]!EM_S_VAL_PS_TTM(B469,E469)</f>
        <v>11.2937677889736</v>
      </c>
      <c r="P469" s="7">
        <f>[1]!EM_S_VAL_PCF_NCFTTM(B469,E469)</f>
        <v>56.090448973344301</v>
      </c>
      <c r="Q469" s="7">
        <f>[1]!EM_S_VAL_DIVIDENDYIELD2(B469,E469,"2019-11-29")</f>
        <v>0.91605907646289031</v>
      </c>
      <c r="U469">
        <f>[1]!EM_S_RATIO_EPS_TTM(B469,E469,"1")</f>
        <v>1.6163763094273615</v>
      </c>
      <c r="AT469" s="4" t="str">
        <f>[1]!EM_S_IPO_LISTEDDATE(B469)</f>
        <v>2014-02-11</v>
      </c>
    </row>
    <row r="470" spans="1:46">
      <c r="A470">
        <v>1264</v>
      </c>
      <c r="B470" t="str">
        <f>"002756"</f>
        <v>002756</v>
      </c>
      <c r="C470" t="s">
        <v>967</v>
      </c>
      <c r="D470" t="str">
        <f>[1]!EM_S_INFO_INDEX_EM(B470,"1")</f>
        <v>钢铁</v>
      </c>
      <c r="E470" s="4">
        <f t="shared" si="7"/>
        <v>43465</v>
      </c>
      <c r="F470" s="11">
        <f>[1]!EM_S_PQ_PCTCHANGE(B470,"2018-01-01","2019-12-31","3")</f>
        <v>-25.625187149999999</v>
      </c>
      <c r="G470" s="11">
        <f>[1]!EM_S_PQ_PCTCHANGE(B470,"2018-12-31","2019-12-30","1")</f>
        <v>56.12416107</v>
      </c>
      <c r="H470" s="11">
        <f>[1]!EM_S_FA_YOY_OR(B470,E470)</f>
        <v>18.929889135300002</v>
      </c>
      <c r="I470" s="11">
        <f>[1]!EM_S_FA_GROSSPROFITMARGIN(B470,E470)</f>
        <v>14.9533185895</v>
      </c>
      <c r="J470" s="11">
        <f>[1]!EM_S_FA_NETPROFITMARGIN(B470,E470)</f>
        <v>8.0564599264000005</v>
      </c>
      <c r="K470" s="10">
        <f>[1]!EM_S_FA_ASSETSTURN(B470,E470)</f>
        <v>1.154422813374</v>
      </c>
      <c r="L470" s="12">
        <f>[1]!EM_HKS_VAL_MV(B470,"2019-12-31","2")</f>
        <v>6462000000</v>
      </c>
      <c r="M470">
        <f>[1]!EM_S_VAL_PETTMDEDUCTED(B470,E470)</f>
        <v>12.6047683875821</v>
      </c>
      <c r="N470" s="7">
        <f>[1]!EM_S_VAL_PBGOODWILLDEDUCTED(B470,E470)</f>
        <v>1.3180679334572101</v>
      </c>
      <c r="O470" s="7">
        <f>[1]!EM_S_VAL_PS_TTM(B470,E470)</f>
        <v>0.90449676333958196</v>
      </c>
      <c r="P470" s="7">
        <f>[1]!EM_S_VAL_PCF_NCFTTM(B470,E470)</f>
        <v>75.293930616102898</v>
      </c>
      <c r="Q470" s="7">
        <f>[1]!EM_S_VAL_DIVIDENDYIELD2(B470,E470,"2019-11-29")</f>
        <v>6.3011972274732191</v>
      </c>
      <c r="T470"/>
      <c r="U470">
        <f>[1]!EM_S_RATIO_EPS_TTM(B470,E470,"1")</f>
        <v>1.0758225358611111</v>
      </c>
      <c r="AT470" s="4" t="str">
        <f>[1]!EM_S_IPO_LISTEDDATE(B470)</f>
        <v>2015-05-15</v>
      </c>
    </row>
    <row r="471" spans="1:46">
      <c r="A471">
        <v>3052</v>
      </c>
      <c r="B471" t="str">
        <f>"601108"</f>
        <v>601108</v>
      </c>
      <c r="C471" t="s">
        <v>1637</v>
      </c>
      <c r="D471" t="str">
        <f>[1]!EM_S_INFO_INDEX_EM(B471,"1")</f>
        <v>金融</v>
      </c>
      <c r="E471" s="4">
        <f t="shared" si="7"/>
        <v>43465</v>
      </c>
      <c r="F471" s="11">
        <f>[1]!EM_S_PQ_PCTCHANGE(B471,"2018-01-01","2019-12-31","3")</f>
        <v>-36.904658879999999</v>
      </c>
      <c r="G471" s="11">
        <f>[1]!EM_S_PQ_PCTCHANGE(B471,"2018-12-31","2019-12-30","1")</f>
        <v>56.094182830000001</v>
      </c>
      <c r="H471" s="11">
        <f>[1]!EM_S_FA_YOY_OR(B471,E471)</f>
        <v>-21.132600211500002</v>
      </c>
      <c r="I471" s="11">
        <f>[1]!EM_S_FA_GROSSPROFITMARGIN(B471,E471)</f>
        <v>0</v>
      </c>
      <c r="J471" s="11">
        <f>[1]!EM_S_FA_NETPROFITMARGIN(B471,E471)</f>
        <v>25.664292942399999</v>
      </c>
      <c r="K471" s="10">
        <f>[1]!EM_S_FA_ASSETSTURN(B471,E471)</f>
        <v>0</v>
      </c>
      <c r="L471" s="12">
        <f>[1]!EM_HKS_VAL_MV(B471,"2019-12-31","2")</f>
        <v>40699260000</v>
      </c>
      <c r="M471">
        <f>[1]!EM_S_VAL_PETTMDEDUCTED(B471,E471)</f>
        <v>27.248769085858399</v>
      </c>
      <c r="N471" s="7">
        <f>[1]!EM_S_VAL_PBGOODWILLDEDUCTED(B471,E471)</f>
        <v>1.3520537321472099</v>
      </c>
      <c r="O471" s="7">
        <f>[1]!EM_S_VAL_PS_TTM(B471,E471)</f>
        <v>8.0103160301057095</v>
      </c>
      <c r="P471" s="7">
        <f>[1]!EM_S_VAL_PCF_NCFTTM(B471,E471)</f>
        <v>73.046340224919206</v>
      </c>
      <c r="Q471" s="7">
        <f>[1]!EM_S_VAL_DIVIDENDYIELD2(B471,E471,"2019-11-29")</f>
        <v>0.73375262054507329</v>
      </c>
      <c r="T471"/>
      <c r="U471">
        <f>[1]!EM_S_RATIO_EPS_TTM(B471,E471,"1")</f>
        <v>0.22815159278629144</v>
      </c>
      <c r="AT471" s="4" t="str">
        <f>[1]!EM_S_IPO_LISTEDDATE(B471)</f>
        <v>2017-10-24</v>
      </c>
    </row>
    <row r="472" spans="1:46">
      <c r="A472">
        <v>1824</v>
      </c>
      <c r="B472" t="str">
        <f>"300399"</f>
        <v>300399</v>
      </c>
      <c r="C472" t="s">
        <v>3338</v>
      </c>
      <c r="D472" t="str">
        <f>[1]!EM_S_INFO_INDEX_EM(B472,"1")</f>
        <v>信息技术</v>
      </c>
      <c r="E472" s="4">
        <f t="shared" si="7"/>
        <v>43465</v>
      </c>
      <c r="F472" s="11">
        <f>[1]!EM_S_PQ_PCTCHANGE(B472,"2018-01-01","2019-12-31","3")</f>
        <v>-10.600804</v>
      </c>
      <c r="G472" s="11">
        <f>[1]!EM_S_PQ_PCTCHANGE(B472,"2018-12-31","2019-12-30","1")</f>
        <v>56</v>
      </c>
      <c r="H472" s="11">
        <f>[1]!EM_S_FA_YOY_OR(B472,E472)</f>
        <v>7.5584464525000001</v>
      </c>
      <c r="I472" s="11">
        <f>[1]!EM_S_FA_GROSSPROFITMARGIN(B472,E472)</f>
        <v>21.188407701199999</v>
      </c>
      <c r="J472" s="11">
        <f>[1]!EM_S_FA_NETPROFITMARGIN(B472,E472)</f>
        <v>7.5935609944999998</v>
      </c>
      <c r="K472" s="10">
        <f>[1]!EM_S_FA_ASSETSTURN(B472,E472)</f>
        <v>0.66019943019600003</v>
      </c>
      <c r="L472" s="12">
        <f>[1]!EM_HKS_VAL_MV(B472,"2019-12-31","2")</f>
        <v>2722928000</v>
      </c>
      <c r="M472">
        <f>[1]!EM_S_VAL_PETTMDEDUCTED(B472,E472)</f>
        <v>175.75341111297701</v>
      </c>
      <c r="N472" s="7">
        <f>[1]!EM_S_VAL_PBGOODWILLDEDUCTED(B472,E472)</f>
        <v>3.9972637436401599</v>
      </c>
      <c r="O472" s="7">
        <f>[1]!EM_S_VAL_PS_TTM(B472,E472)</f>
        <v>5.2401822047588302</v>
      </c>
      <c r="P472" s="7">
        <f>[1]!EM_S_VAL_PCF_NCFTTM(B472,E472)</f>
        <v>293.49653089392098</v>
      </c>
      <c r="Q472" s="7">
        <f>[1]!EM_S_VAL_DIVIDENDYIELD2(B472,E472,"2019-11-29")</f>
        <v>0.19247594050743655</v>
      </c>
      <c r="T472"/>
      <c r="U472">
        <f>[1]!EM_S_RATIO_EPS_TTM(B472,E472,"1")</f>
        <v>0.1270438281882591</v>
      </c>
      <c r="AT472" s="4" t="str">
        <f>[1]!EM_S_IPO_LISTEDDATE(B472)</f>
        <v>2014-10-09</v>
      </c>
    </row>
    <row r="473" spans="1:46">
      <c r="A473">
        <v>3639</v>
      </c>
      <c r="B473" t="str">
        <f>"603999"</f>
        <v>603999</v>
      </c>
      <c r="C473" t="s">
        <v>2904</v>
      </c>
      <c r="D473" t="str">
        <f>[1]!EM_S_INFO_INDEX_EM(B473,"1")</f>
        <v>文化传媒</v>
      </c>
      <c r="E473" s="4">
        <f t="shared" si="7"/>
        <v>43465</v>
      </c>
      <c r="F473" s="11">
        <f>[1]!EM_S_PQ_PCTCHANGE(B473,"2018-01-01","2019-12-31","3")</f>
        <v>-3.56615774</v>
      </c>
      <c r="G473" s="11">
        <f>[1]!EM_S_PQ_PCTCHANGE(B473,"2018-12-31","2019-12-30","1")</f>
        <v>55.991735540000001</v>
      </c>
      <c r="H473" s="11">
        <f>[1]!EM_S_FA_YOY_OR(B473,E473)</f>
        <v>-8.4206160285999996</v>
      </c>
      <c r="I473" s="11">
        <f>[1]!EM_S_FA_GROSSPROFITMARGIN(B473,E473)</f>
        <v>20.675757431499999</v>
      </c>
      <c r="J473" s="11">
        <f>[1]!EM_S_FA_NETPROFITMARGIN(B473,E473)</f>
        <v>5.3148143496999998</v>
      </c>
      <c r="K473" s="10">
        <f>[1]!EM_S_FA_ASSETSTURN(B473,E473)</f>
        <v>0.38172400174799997</v>
      </c>
      <c r="L473" s="12">
        <f>[1]!EM_HKS_VAL_MV(B473,"2019-12-31","2")</f>
        <v>4227840000</v>
      </c>
      <c r="M473">
        <f>[1]!EM_S_VAL_PETTMDEDUCTED(B473,E473)</f>
        <v>79.779871998972595</v>
      </c>
      <c r="N473" s="7">
        <f>[1]!EM_S_VAL_PBGOODWILLDEDUCTED(B473,E473)</f>
        <v>1.6595884608139</v>
      </c>
      <c r="O473" s="7">
        <f>[1]!EM_S_VAL_PS_TTM(B473,E473)</f>
        <v>3.8029073945150702</v>
      </c>
      <c r="P473" s="7">
        <f>[1]!EM_S_VAL_PCF_NCFTTM(B473,E473)</f>
        <v>-771.578769381803</v>
      </c>
      <c r="Q473" s="7">
        <f>[1]!EM_S_VAL_DIVIDENDYIELD2(B473,E473,"2019-11-29")</f>
        <v>0.36163522012578619</v>
      </c>
      <c r="T473"/>
      <c r="U473">
        <f>[1]!EM_S_RATIO_EPS_TTM(B473,E473,"1")</f>
        <v>7.3737039010416658E-2</v>
      </c>
      <c r="AT473" s="4" t="str">
        <f>[1]!EM_S_IPO_LISTEDDATE(B473)</f>
        <v>2015-12-10</v>
      </c>
    </row>
    <row r="474" spans="1:46">
      <c r="A474">
        <v>617</v>
      </c>
      <c r="B474" t="str">
        <f>"002106"</f>
        <v>002106</v>
      </c>
      <c r="C474" t="s">
        <v>3311</v>
      </c>
      <c r="D474" t="str">
        <f>[1]!EM_S_INFO_INDEX_EM(B474,"1")</f>
        <v>电子设备</v>
      </c>
      <c r="E474" s="4">
        <f t="shared" si="7"/>
        <v>43465</v>
      </c>
      <c r="F474" s="11">
        <f>[1]!EM_S_PQ_PCTCHANGE(B474,"2018-01-01","2019-12-31","3")</f>
        <v>-3.6902863300000002</v>
      </c>
      <c r="G474" s="11">
        <f>[1]!EM_S_PQ_PCTCHANGE(B474,"2018-12-31","2019-12-30","1")</f>
        <v>55.940594060000002</v>
      </c>
      <c r="H474" s="11">
        <f>[1]!EM_S_FA_YOY_OR(B474,E474)</f>
        <v>10.696838681799999</v>
      </c>
      <c r="I474" s="11">
        <f>[1]!EM_S_FA_GROSSPROFITMARGIN(B474,E474)</f>
        <v>12.673622122199999</v>
      </c>
      <c r="J474" s="11">
        <f>[1]!EM_S_FA_NETPROFITMARGIN(B474,E474)</f>
        <v>5.1520408661000001</v>
      </c>
      <c r="K474" s="10">
        <f>[1]!EM_S_FA_ASSETSTURN(B474,E474)</f>
        <v>0.92805295812199995</v>
      </c>
      <c r="L474" s="12">
        <f>[1]!EM_HKS_VAL_MV(B474,"2019-12-31","2")</f>
        <v>6712311681.6000004</v>
      </c>
      <c r="M474">
        <f>[1]!EM_S_VAL_PETTMDEDUCTED(B474,E474)</f>
        <v>22.8722729071693</v>
      </c>
      <c r="N474" s="7">
        <f>[1]!EM_S_VAL_PBGOODWILLDEDUCTED(B474,E474)</f>
        <v>1.1132994884557701</v>
      </c>
      <c r="O474" s="7">
        <f>[1]!EM_S_VAL_PS_TTM(B474,E474)</f>
        <v>0.99281744672452699</v>
      </c>
      <c r="P474" s="7">
        <f>[1]!EM_S_VAL_PCF_NCFTTM(B474,E474)</f>
        <v>43.976305907586301</v>
      </c>
      <c r="Q474" s="7">
        <f>[1]!EM_S_VAL_DIVIDENDYIELD2(B474,E474,"2019-11-29")</f>
        <v>1.1235955056179776</v>
      </c>
      <c r="T474"/>
      <c r="U474">
        <f>[1]!EM_S_RATIO_EPS_TTM(B474,E474,"1")</f>
        <v>0.31870542751528957</v>
      </c>
      <c r="AT474" s="4" t="str">
        <f>[1]!EM_S_IPO_LISTEDDATE(B474)</f>
        <v>2007-01-12</v>
      </c>
    </row>
    <row r="475" spans="1:46">
      <c r="A475">
        <v>1355</v>
      </c>
      <c r="B475" t="str">
        <f>"002855"</f>
        <v>002855</v>
      </c>
      <c r="C475" t="s">
        <v>2542</v>
      </c>
      <c r="D475" t="str">
        <f>[1]!EM_S_INFO_INDEX_EM(B475,"1")</f>
        <v>电子设备</v>
      </c>
      <c r="E475" s="4">
        <f t="shared" si="7"/>
        <v>43465</v>
      </c>
      <c r="F475" s="11">
        <f>[1]!EM_S_PQ_PCTCHANGE(B475,"2018-01-01","2019-12-31","3")</f>
        <v>2.0129446999999998</v>
      </c>
      <c r="G475" s="11">
        <f>[1]!EM_S_PQ_PCTCHANGE(B475,"2018-12-31","2019-12-30","1")</f>
        <v>55.8411215</v>
      </c>
      <c r="H475" s="11">
        <f>[1]!EM_S_FA_YOY_OR(B475,E475)</f>
        <v>44.965526840099997</v>
      </c>
      <c r="I475" s="11">
        <f>[1]!EM_S_FA_GROSSPROFITMARGIN(B475,E475)</f>
        <v>15.730302438400001</v>
      </c>
      <c r="J475" s="11">
        <f>[1]!EM_S_FA_NETPROFITMARGIN(B475,E475)</f>
        <v>1.1591545818</v>
      </c>
      <c r="K475" s="10">
        <f>[1]!EM_S_FA_ASSETSTURN(B475,E475)</f>
        <v>0.98062813750300004</v>
      </c>
      <c r="L475" s="12">
        <f>[1]!EM_HKS_VAL_MV(B475,"2019-12-31","2")</f>
        <v>3306934385</v>
      </c>
      <c r="M475">
        <f>[1]!EM_S_VAL_PETTMDEDUCTED(B475,E475)</f>
        <v>42.439336881543703</v>
      </c>
      <c r="N475" s="7">
        <f>[1]!EM_S_VAL_PBGOODWILLDEDUCTED(B475,E475)</f>
        <v>1.76115465480403</v>
      </c>
      <c r="O475" s="7">
        <f>[1]!EM_S_VAL_PS_TTM(B475,E475)</f>
        <v>0.99392048905071195</v>
      </c>
      <c r="P475" s="7">
        <f>[1]!EM_S_VAL_PCF_NCFTTM(B475,E475)</f>
        <v>-11.5023869396839</v>
      </c>
      <c r="Q475" s="7">
        <f>[1]!EM_S_VAL_DIVIDENDYIELD2(B475,E475,"2019-11-29")</f>
        <v>0.22999080036798528</v>
      </c>
      <c r="T475"/>
      <c r="U475">
        <f>[1]!EM_S_RATIO_EPS_TTM(B475,E475,"1")</f>
        <v>0.12219902341666668</v>
      </c>
      <c r="AT475" s="4" t="str">
        <f>[1]!EM_S_IPO_LISTEDDATE(B475)</f>
        <v>2017-03-21</v>
      </c>
    </row>
    <row r="476" spans="1:46">
      <c r="A476">
        <v>822</v>
      </c>
      <c r="B476" t="str">
        <f>"002311"</f>
        <v>002311</v>
      </c>
      <c r="C476" t="s">
        <v>1737</v>
      </c>
      <c r="D476" t="str">
        <f>[1]!EM_S_INFO_INDEX_EM(B476,"1")</f>
        <v>农林牧渔</v>
      </c>
      <c r="E476" s="4">
        <f t="shared" si="7"/>
        <v>43465</v>
      </c>
      <c r="F476" s="11">
        <f>[1]!EM_S_PQ_PCTCHANGE(B476,"2018-01-01","2019-12-31","3")</f>
        <v>57.194172799999997</v>
      </c>
      <c r="G476" s="11">
        <f>[1]!EM_S_PQ_PCTCHANGE(B476,"2018-12-31","2019-12-30","1")</f>
        <v>55.761760899999999</v>
      </c>
      <c r="H476" s="11">
        <f>[1]!EM_S_FA_YOY_OR(B476,E476)</f>
        <v>29.487061331900001</v>
      </c>
      <c r="I476" s="11">
        <f>[1]!EM_S_FA_GROSSPROFITMARGIN(B476,E476)</f>
        <v>10.7718352833</v>
      </c>
      <c r="J476" s="11">
        <f>[1]!EM_S_FA_NETPROFITMARGIN(B476,E476)</f>
        <v>3.5200636367999998</v>
      </c>
      <c r="K476" s="10">
        <f>[1]!EM_S_FA_ASSETSTURN(B476,E476)</f>
        <v>2.7620036887260002</v>
      </c>
      <c r="L476" s="12">
        <f>[1]!EM_HKS_VAL_MV(B476,"2019-12-31","2")</f>
        <v>56892869784</v>
      </c>
      <c r="M476">
        <f>[1]!EM_S_VAL_PETTMDEDUCTED(B476,E476)</f>
        <v>28.5308531862077</v>
      </c>
      <c r="N476" s="7">
        <f>[1]!EM_S_VAL_PBGOODWILLDEDUCTED(B476,E476)</f>
        <v>4.97374379134693</v>
      </c>
      <c r="O476" s="7">
        <f>[1]!EM_S_VAL_PS_TTM(B476,E476)</f>
        <v>0.99310049972210801</v>
      </c>
      <c r="P476" s="7">
        <f>[1]!EM_S_VAL_PCF_NCFTTM(B476,E476)</f>
        <v>45.7374459967089</v>
      </c>
      <c r="Q476" s="7">
        <f>[1]!EM_S_VAL_DIVIDENDYIELD2(B476,E476,"2019-11-29")</f>
        <v>0.97719869706840379</v>
      </c>
      <c r="T476"/>
      <c r="U476">
        <f>[1]!EM_S_RATIO_EPS_TTM(B476,E476,"1")</f>
        <v>0.90897524487628745</v>
      </c>
      <c r="AT476" s="4" t="str">
        <f>[1]!EM_S_IPO_LISTEDDATE(B476)</f>
        <v>2009-11-27</v>
      </c>
    </row>
    <row r="477" spans="1:46">
      <c r="A477">
        <v>1890</v>
      </c>
      <c r="B477" t="str">
        <f>"300465"</f>
        <v>300465</v>
      </c>
      <c r="C477" t="s">
        <v>3018</v>
      </c>
      <c r="D477" t="str">
        <f>[1]!EM_S_INFO_INDEX_EM(B477,"1")</f>
        <v>信息技术</v>
      </c>
      <c r="E477" s="4">
        <f t="shared" si="7"/>
        <v>43465</v>
      </c>
      <c r="F477" s="11">
        <f>[1]!EM_S_PQ_PCTCHANGE(B477,"2018-01-01","2019-12-31","3")</f>
        <v>9.6683275599999998</v>
      </c>
      <c r="G477" s="11">
        <f>[1]!EM_S_PQ_PCTCHANGE(B477,"2018-12-31","2019-12-30","1")</f>
        <v>55.740432609999999</v>
      </c>
      <c r="H477" s="11">
        <f>[1]!EM_S_FA_YOY_OR(B477,E477)</f>
        <v>20.608324190400001</v>
      </c>
      <c r="I477" s="11">
        <f>[1]!EM_S_FA_GROSSPROFITMARGIN(B477,E477)</f>
        <v>22.8812193196</v>
      </c>
      <c r="J477" s="11">
        <f>[1]!EM_S_FA_NETPROFITMARGIN(B477,E477)</f>
        <v>6.9427420805000004</v>
      </c>
      <c r="K477" s="10">
        <f>[1]!EM_S_FA_ASSETSTURN(B477,E477)</f>
        <v>0.68826178477099997</v>
      </c>
      <c r="L477" s="12">
        <f>[1]!EM_HKS_VAL_MV(B477,"2019-12-31","2")</f>
        <v>4508089477.1300001</v>
      </c>
      <c r="M477">
        <f>[1]!EM_S_VAL_PETTMDEDUCTED(B477,E477)</f>
        <v>54.3098796955003</v>
      </c>
      <c r="N477" s="7">
        <f>[1]!EM_S_VAL_PBGOODWILLDEDUCTED(B477,E477)</f>
        <v>10.143414251763501</v>
      </c>
      <c r="O477" s="7">
        <f>[1]!EM_S_VAL_PS_TTM(B477,E477)</f>
        <v>1.7824174292503601</v>
      </c>
      <c r="P477" s="7">
        <f>[1]!EM_S_VAL_PCF_NCFTTM(B477,E477)</f>
        <v>22.0066622706983</v>
      </c>
      <c r="Q477" s="7">
        <f>[1]!EM_S_VAL_DIVIDENDYIELD2(B477,E477,"2019-11-29")</f>
        <v>0.40748482580503065</v>
      </c>
      <c r="T477"/>
      <c r="U477">
        <f>[1]!EM_S_RATIO_EPS_TTM(B477,E477,"1")</f>
        <v>0.2338553746220135</v>
      </c>
      <c r="AT477" s="4" t="str">
        <f>[1]!EM_S_IPO_LISTEDDATE(B477)</f>
        <v>2015-05-28</v>
      </c>
    </row>
    <row r="478" spans="1:46">
      <c r="A478">
        <v>1555</v>
      </c>
      <c r="B478" t="str">
        <f>"300130"</f>
        <v>300130</v>
      </c>
      <c r="C478" t="s">
        <v>2719</v>
      </c>
      <c r="D478" t="str">
        <f>[1]!EM_S_INFO_INDEX_EM(B478,"1")</f>
        <v>信息技术</v>
      </c>
      <c r="E478" s="4">
        <f t="shared" si="7"/>
        <v>43465</v>
      </c>
      <c r="F478" s="11">
        <f>[1]!EM_S_PQ_PCTCHANGE(B478,"2018-01-01","2019-12-31","3")</f>
        <v>36.657598499999999</v>
      </c>
      <c r="G478" s="11">
        <f>[1]!EM_S_PQ_PCTCHANGE(B478,"2018-12-31","2019-12-30","1")</f>
        <v>55.653710250000003</v>
      </c>
      <c r="H478" s="11">
        <f>[1]!EM_S_FA_YOY_OR(B478,E478)</f>
        <v>87.509251465299997</v>
      </c>
      <c r="I478" s="11">
        <f>[1]!EM_S_FA_GROSSPROFITMARGIN(B478,E478)</f>
        <v>31.986516508499999</v>
      </c>
      <c r="J478" s="11">
        <f>[1]!EM_S_FA_NETPROFITMARGIN(B478,E478)</f>
        <v>10.6930336061</v>
      </c>
      <c r="K478" s="10">
        <f>[1]!EM_S_FA_ASSETSTURN(B478,E478)</f>
        <v>0.57589378612599995</v>
      </c>
      <c r="L478" s="12">
        <f>[1]!EM_HKS_VAL_MV(B478,"2019-12-31","2")</f>
        <v>8544019865.6300001</v>
      </c>
      <c r="M478">
        <f>[1]!EM_S_VAL_PETTMDEDUCTED(B478,E478)</f>
        <v>50.348064975744002</v>
      </c>
      <c r="N478" s="7">
        <f>[1]!EM_S_VAL_PBGOODWILLDEDUCTED(B478,E478)</f>
        <v>5.3865991386166998</v>
      </c>
      <c r="O478" s="7">
        <f>[1]!EM_S_VAL_PS_TTM(B478,E478)</f>
        <v>2.6896321106960301</v>
      </c>
      <c r="P478" s="7">
        <f>[1]!EM_S_VAL_PCF_NCFTTM(B478,E478)</f>
        <v>103.45850210246</v>
      </c>
      <c r="Q478" s="7">
        <f>[1]!EM_S_VAL_DIVIDENDYIELD2(B478,E478,"2019-11-29")</f>
        <v>0</v>
      </c>
      <c r="T478"/>
      <c r="U478">
        <f>[1]!EM_S_RATIO_EPS_TTM(B478,E478,"1")</f>
        <v>0.5186880791687335</v>
      </c>
      <c r="AT478" s="4" t="str">
        <f>[1]!EM_S_IPO_LISTEDDATE(B478)</f>
        <v>2010-10-19</v>
      </c>
    </row>
    <row r="479" spans="1:46">
      <c r="A479">
        <v>65</v>
      </c>
      <c r="B479" t="str">
        <f>"000090"</f>
        <v>000090</v>
      </c>
      <c r="C479" t="s">
        <v>2408</v>
      </c>
      <c r="D479" t="str">
        <f>[1]!EM_S_INFO_INDEX_EM(B479,"1")</f>
        <v>建筑</v>
      </c>
      <c r="E479" s="4">
        <f t="shared" si="7"/>
        <v>43465</v>
      </c>
      <c r="F479" s="11">
        <f>[1]!EM_S_PQ_PCTCHANGE(B479,"2018-01-01","2019-12-31","3")</f>
        <v>-12.07154281</v>
      </c>
      <c r="G479" s="11">
        <f>[1]!EM_S_PQ_PCTCHANGE(B479,"2019-01-01","2019-12-31","3")</f>
        <v>55.612333139999997</v>
      </c>
      <c r="H479" s="11">
        <f>[1]!EM_S_FA_YOY_OR(B479,E479)</f>
        <v>51.2607231175</v>
      </c>
      <c r="I479" s="11">
        <f>[1]!EM_S_FA_GROSSPROFITMARGIN(B479,E479)</f>
        <v>21.648869750799999</v>
      </c>
      <c r="J479" s="11">
        <f>[1]!EM_S_FA_NETPROFITMARGIN(B479,E479)</f>
        <v>7.5947055427999999</v>
      </c>
      <c r="K479" s="10">
        <f>[1]!EM_S_FA_ASSETSTURN(B479,E479)</f>
        <v>0.35490363096400002</v>
      </c>
      <c r="L479" s="12">
        <f>[1]!EM_HKS_VAL_MV(B479,"2019-12-31","2")</f>
        <v>9903290800.2000008</v>
      </c>
      <c r="M479">
        <f>[1]!EM_S_VAL_PETTMDEDUCTED(B479,E479)</f>
        <v>27.535532160242902</v>
      </c>
      <c r="N479" s="7">
        <f>[1]!EM_S_VAL_PBGOODWILLDEDUCTED(B479,E479)</f>
        <v>0.96048348331781797</v>
      </c>
      <c r="O479" s="7">
        <f>[1]!EM_S_VAL_PS_TTM(B479,E479)</f>
        <v>0.96557759901837403</v>
      </c>
      <c r="P479" s="7">
        <f>[1]!EM_S_VAL_PCF_NCFTTM(B479,E479)</f>
        <v>3.90591304947842</v>
      </c>
      <c r="Q479" s="7">
        <f>[1]!EM_S_VAL_DIVIDENDYIELD2(B479,E479,"2019-11-29")</f>
        <v>3.8156288168540344</v>
      </c>
      <c r="T479"/>
      <c r="U479">
        <f>[1]!EM_S_RATIO_EPS_TTM(B479,E479,"1")</f>
        <v>0.54376575289832663</v>
      </c>
      <c r="AT479" s="4" t="str">
        <f>[1]!EM_S_IPO_LISTEDDATE(B479)</f>
        <v>1999-07-21</v>
      </c>
    </row>
    <row r="480" spans="1:46">
      <c r="A480">
        <v>1741</v>
      </c>
      <c r="B480" t="str">
        <f>"300316"</f>
        <v>300316</v>
      </c>
      <c r="C480" t="s">
        <v>555</v>
      </c>
      <c r="D480" t="str">
        <f>[1]!EM_S_INFO_INDEX_EM(B480,"1")</f>
        <v>电气设备</v>
      </c>
      <c r="E480" s="4">
        <f t="shared" si="7"/>
        <v>43465</v>
      </c>
      <c r="F480" s="11">
        <f>[1]!EM_S_PQ_PCTCHANGE(B480,"2018-01-01","2019-12-31","3")</f>
        <v>-1.0993642400000001</v>
      </c>
      <c r="G480" s="11">
        <f>[1]!EM_S_PQ_PCTCHANGE(B480,"2018-12-31","2019-12-30","1")</f>
        <v>55.588822360000002</v>
      </c>
      <c r="H480" s="11">
        <f>[1]!EM_S_FA_YOY_OR(B480,E480)</f>
        <v>30.113339487499999</v>
      </c>
      <c r="I480" s="11">
        <f>[1]!EM_S_FA_GROSSPROFITMARGIN(B480,E480)</f>
        <v>39.507626158400001</v>
      </c>
      <c r="J480" s="11">
        <f>[1]!EM_S_FA_NETPROFITMARGIN(B480,E480)</f>
        <v>22.415618408</v>
      </c>
      <c r="K480" s="10">
        <f>[1]!EM_S_FA_ASSETSTURN(B480,E480)</f>
        <v>0.41060035046999999</v>
      </c>
      <c r="L480" s="12">
        <f>[1]!EM_HKS_VAL_MV(B480,"2019-12-31","2")</f>
        <v>20192172802.080002</v>
      </c>
      <c r="M480">
        <f>[1]!EM_S_VAL_PETTMDEDUCTED(B480,E480)</f>
        <v>24.083003909813598</v>
      </c>
      <c r="N480" s="7">
        <f>[1]!EM_S_VAL_PBGOODWILLDEDUCTED(B480,E480)</f>
        <v>3.1722038472474101</v>
      </c>
      <c r="O480" s="7">
        <f>[1]!EM_S_VAL_PS_TTM(B480,E480)</f>
        <v>4.9871554629788397</v>
      </c>
      <c r="P480" s="7">
        <f>[1]!EM_S_VAL_PCF_NCFTTM(B480,E480)</f>
        <v>-237.84534101327401</v>
      </c>
      <c r="Q480" s="7">
        <f>[1]!EM_S_VAL_DIVIDENDYIELD2(B480,E480,"2019-11-29")</f>
        <v>0.73863229584303669</v>
      </c>
      <c r="T480"/>
      <c r="U480">
        <f>[1]!EM_S_RATIO_EPS_TTM(B480,E480,"1")</f>
        <v>0.45316701155943906</v>
      </c>
      <c r="AT480" s="4" t="str">
        <f>[1]!EM_S_IPO_LISTEDDATE(B480)</f>
        <v>2012-05-11</v>
      </c>
    </row>
    <row r="481" spans="1:46">
      <c r="A481">
        <v>2199</v>
      </c>
      <c r="B481" t="str">
        <f>"600052"</f>
        <v>600052</v>
      </c>
      <c r="C481" t="s">
        <v>1518</v>
      </c>
      <c r="D481" t="str">
        <f>[1]!EM_S_INFO_INDEX_EM(B481,"1")</f>
        <v>房地产</v>
      </c>
      <c r="E481" s="4">
        <f t="shared" si="7"/>
        <v>43465</v>
      </c>
      <c r="F481" s="11">
        <f>[1]!EM_S_PQ_PCTCHANGE(B481,"2018-01-01","2019-12-31","3")</f>
        <v>21.942523059999999</v>
      </c>
      <c r="G481" s="11">
        <f>[1]!EM_S_PQ_PCTCHANGE(B481,"2018-12-31","2019-12-30","1")</f>
        <v>55.555555560000002</v>
      </c>
      <c r="H481" s="11">
        <f>[1]!EM_S_FA_YOY_OR(B481,E481)</f>
        <v>-1.5917022430000001</v>
      </c>
      <c r="I481" s="11">
        <f>[1]!EM_S_FA_GROSSPROFITMARGIN(B481,E481)</f>
        <v>25.438016151799999</v>
      </c>
      <c r="J481" s="11">
        <f>[1]!EM_S_FA_NETPROFITMARGIN(B481,E481)</f>
        <v>14.5712210002</v>
      </c>
      <c r="K481" s="10">
        <f>[1]!EM_S_FA_ASSETSTURN(B481,E481)</f>
        <v>0.13186549554300001</v>
      </c>
      <c r="L481" s="12">
        <f>[1]!EM_HKS_VAL_MV(B481,"2019-12-31","2")</f>
        <v>3923050914</v>
      </c>
      <c r="M481">
        <f>[1]!EM_S_VAL_PETTMDEDUCTED(B481,E481)</f>
        <v>10.8714747833099</v>
      </c>
      <c r="N481" s="7">
        <f>[1]!EM_S_VAL_PBGOODWILLDEDUCTED(B481,E481)</f>
        <v>1.0827696870015699</v>
      </c>
      <c r="O481" s="7">
        <f>[1]!EM_S_VAL_PS_TTM(B481,E481)</f>
        <v>2.23016392853128</v>
      </c>
      <c r="P481" s="7">
        <f>[1]!EM_S_VAL_PCF_NCFTTM(B481,E481)</f>
        <v>1.4857196345649</v>
      </c>
      <c r="Q481" s="7">
        <f>[1]!EM_S_VAL_DIVIDENDYIELD2(B481,E481,"2019-11-29")</f>
        <v>1.8509615384615388</v>
      </c>
      <c r="T481"/>
      <c r="U481">
        <f>[1]!EM_S_RATIO_EPS_TTM(B481,E481,"1")</f>
        <v>0.13514332286460864</v>
      </c>
      <c r="AT481" s="4" t="str">
        <f>[1]!EM_S_IPO_LISTEDDATE(B481)</f>
        <v>1997-04-15</v>
      </c>
    </row>
    <row r="482" spans="1:46">
      <c r="A482">
        <v>3433</v>
      </c>
      <c r="B482" t="str">
        <f>"603566"</f>
        <v>603566</v>
      </c>
      <c r="C482" t="s">
        <v>1102</v>
      </c>
      <c r="D482" t="str">
        <f>[1]!EM_S_INFO_INDEX_EM(B482,"1")</f>
        <v>农林牧渔</v>
      </c>
      <c r="E482" s="4">
        <f t="shared" si="7"/>
        <v>43465</v>
      </c>
      <c r="F482" s="11">
        <f>[1]!EM_S_PQ_PCTCHANGE(B482,"2018-01-01","2019-12-31","3")</f>
        <v>-11.85756439</v>
      </c>
      <c r="G482" s="11">
        <f>[1]!EM_S_PQ_PCTCHANGE(B482,"2018-12-31","2019-12-30","1")</f>
        <v>55.546147329999997</v>
      </c>
      <c r="H482" s="11">
        <f>[1]!EM_S_FA_YOY_OR(B482,E482)</f>
        <v>14.750851984400001</v>
      </c>
      <c r="I482" s="11">
        <f>[1]!EM_S_FA_GROSSPROFITMARGIN(B482,E482)</f>
        <v>67.070598689299999</v>
      </c>
      <c r="J482" s="11">
        <f>[1]!EM_S_FA_NETPROFITMARGIN(B482,E482)</f>
        <v>22.302896098000002</v>
      </c>
      <c r="K482" s="10">
        <f>[1]!EM_S_FA_ASSETSTURN(B482,E482)</f>
        <v>0.327954675222</v>
      </c>
      <c r="L482" s="12">
        <f>[1]!EM_HKS_VAL_MV(B482,"2019-12-31","2")</f>
        <v>6082704320</v>
      </c>
      <c r="M482">
        <f>[1]!EM_S_VAL_PETTMDEDUCTED(B482,E482)</f>
        <v>43.679310215181097</v>
      </c>
      <c r="N482" s="7">
        <f>[1]!EM_S_VAL_PBGOODWILLDEDUCTED(B482,E482)</f>
        <v>2.3376372736856998</v>
      </c>
      <c r="O482" s="7">
        <f>[1]!EM_S_VAL_PS_TTM(B482,E482)</f>
        <v>6.5949661565214504</v>
      </c>
      <c r="P482" s="7">
        <f>[1]!EM_S_VAL_PCF_NCFTTM(B482,E482)</f>
        <v>419.558249384296</v>
      </c>
      <c r="Q482" s="7">
        <f>[1]!EM_S_VAL_DIVIDENDYIELD2(B482,E482,"2019-11-29")</f>
        <v>1.600224294326734</v>
      </c>
      <c r="T482"/>
      <c r="U482">
        <f>[1]!EM_S_RATIO_EPS_TTM(B482,E482,"1")</f>
        <v>0.41890043303268054</v>
      </c>
      <c r="AT482" s="4" t="str">
        <f>[1]!EM_S_IPO_LISTEDDATE(B482)</f>
        <v>2015-05-18</v>
      </c>
    </row>
    <row r="483" spans="1:46">
      <c r="A483">
        <v>1751</v>
      </c>
      <c r="B483" t="str">
        <f>"300326"</f>
        <v>300326</v>
      </c>
      <c r="C483" t="s">
        <v>1116</v>
      </c>
      <c r="D483" t="str">
        <f>[1]!EM_S_INFO_INDEX_EM(B483,"1")</f>
        <v>医药生物</v>
      </c>
      <c r="E483" s="4">
        <f t="shared" si="7"/>
        <v>43465</v>
      </c>
      <c r="F483" s="11">
        <f>[1]!EM_S_PQ_PCTCHANGE(B483,"2018-01-01","2019-12-31","3")</f>
        <v>63.793100459999998</v>
      </c>
      <c r="G483" s="11">
        <f>[1]!EM_S_PQ_PCTCHANGE(B483,"2018-12-31","2019-12-30","1")</f>
        <v>55.529411760000002</v>
      </c>
      <c r="H483" s="11">
        <f>[1]!EM_S_FA_YOY_OR(B483,E483)</f>
        <v>16.0345733216</v>
      </c>
      <c r="I483" s="11">
        <f>[1]!EM_S_FA_GROSSPROFITMARGIN(B483,E483)</f>
        <v>60.392359143500002</v>
      </c>
      <c r="J483" s="11">
        <f>[1]!EM_S_FA_NETPROFITMARGIN(B483,E483)</f>
        <v>49.4529564308</v>
      </c>
      <c r="K483" s="10">
        <f>[1]!EM_S_FA_ASSETSTURN(B483,E483)</f>
        <v>0.29721069561800001</v>
      </c>
      <c r="L483" s="12">
        <f>[1]!EM_HKS_VAL_MV(B483,"2019-12-31","2")</f>
        <v>9787562123.3999996</v>
      </c>
      <c r="M483">
        <f>[1]!EM_S_VAL_PETTMDEDUCTED(B483,E483)</f>
        <v>34.0623642308489</v>
      </c>
      <c r="N483" s="7">
        <f>[1]!EM_S_VAL_PBGOODWILLDEDUCTED(B483,E483)</f>
        <v>4.8026117626392502</v>
      </c>
      <c r="O483" s="7">
        <f>[1]!EM_S_VAL_PS_TTM(B483,E483)</f>
        <v>6.6621768513806803</v>
      </c>
      <c r="P483" s="7">
        <f>[1]!EM_S_VAL_PCF_NCFTTM(B483,E483)</f>
        <v>30.649040530566101</v>
      </c>
      <c r="Q483" s="7">
        <f>[1]!EM_S_VAL_DIVIDENDYIELD2(B483,E483,"2019-11-29")</f>
        <v>0.53814741641337371</v>
      </c>
      <c r="T483"/>
      <c r="U483">
        <f>[1]!EM_S_RATIO_EPS_TTM(B483,E483,"1")</f>
        <v>0.64281688161481876</v>
      </c>
      <c r="AT483" s="4" t="str">
        <f>[1]!EM_S_IPO_LISTEDDATE(B483)</f>
        <v>2012-06-13</v>
      </c>
    </row>
    <row r="484" spans="1:46">
      <c r="A484">
        <v>2027</v>
      </c>
      <c r="B484" t="str">
        <f>"300607"</f>
        <v>300607</v>
      </c>
      <c r="C484" t="s">
        <v>402</v>
      </c>
      <c r="D484" t="str">
        <f>[1]!EM_S_INFO_INDEX_EM(B484,"1")</f>
        <v>机械设备</v>
      </c>
      <c r="E484" s="4">
        <f t="shared" si="7"/>
        <v>43465</v>
      </c>
      <c r="F484" s="11">
        <f>[1]!EM_S_PQ_PCTCHANGE(B484,"2018-01-01","2019-12-31","3")</f>
        <v>-28.459364780000001</v>
      </c>
      <c r="G484" s="11">
        <f>[1]!EM_S_PQ_PCTCHANGE(B484,"2018-12-31","2019-12-30","1")</f>
        <v>55.382113820000001</v>
      </c>
      <c r="H484" s="11">
        <f>[1]!EM_S_FA_YOY_OR(B484,E484)</f>
        <v>56.732359886899999</v>
      </c>
      <c r="I484" s="11">
        <f>[1]!EM_S_FA_GROSSPROFITMARGIN(B484,E484)</f>
        <v>36.111437351799999</v>
      </c>
      <c r="J484" s="11">
        <f>[1]!EM_S_FA_NETPROFITMARGIN(B484,E484)</f>
        <v>14.2246588602</v>
      </c>
      <c r="K484" s="10">
        <f>[1]!EM_S_FA_ASSETSTURN(B484,E484)</f>
        <v>0.83413782691799998</v>
      </c>
      <c r="L484" s="12">
        <f>[1]!EM_HKS_VAL_MV(B484,"2019-12-31","2")</f>
        <v>7071261308.6000004</v>
      </c>
      <c r="M484">
        <f>[1]!EM_S_VAL_PETTMDEDUCTED(B484,E484)</f>
        <v>26.983812100079199</v>
      </c>
      <c r="N484" s="7">
        <f>[1]!EM_S_VAL_PBGOODWILLDEDUCTED(B484,E484)</f>
        <v>5.0339106759466796</v>
      </c>
      <c r="O484" s="7">
        <f>[1]!EM_S_VAL_PS_TTM(B484,E484)</f>
        <v>3.6215797809154902</v>
      </c>
      <c r="P484" s="7">
        <f>[1]!EM_S_VAL_PCF_NCFTTM(B484,E484)</f>
        <v>33.685465698733097</v>
      </c>
      <c r="Q484" s="7">
        <f>[1]!EM_S_VAL_DIVIDENDYIELD2(B484,E484,"2019-11-29")</f>
        <v>0.66330742615040206</v>
      </c>
      <c r="T484"/>
      <c r="U484">
        <f>[1]!EM_S_RATIO_EPS_TTM(B484,E484,"1")</f>
        <v>1.3172618335425601</v>
      </c>
      <c r="AT484" s="4" t="str">
        <f>[1]!EM_S_IPO_LISTEDDATE(B484)</f>
        <v>2017-02-09</v>
      </c>
    </row>
    <row r="485" spans="1:46">
      <c r="A485">
        <v>1078</v>
      </c>
      <c r="B485" t="str">
        <f>"002567"</f>
        <v>002567</v>
      </c>
      <c r="C485" t="s">
        <v>1968</v>
      </c>
      <c r="D485" t="str">
        <f>[1]!EM_S_INFO_INDEX_EM(B485,"1")</f>
        <v>农林牧渔</v>
      </c>
      <c r="E485" s="4">
        <f t="shared" si="7"/>
        <v>43465</v>
      </c>
      <c r="F485" s="11">
        <f>[1]!EM_S_PQ_PCTCHANGE(B485,"2018-01-01","2019-12-31","3")</f>
        <v>20.219117579999999</v>
      </c>
      <c r="G485" s="11">
        <f>[1]!EM_S_PQ_PCTCHANGE(B485,"2018-12-31","2019-12-30","1")</f>
        <v>55.379188710000001</v>
      </c>
      <c r="H485" s="11">
        <f>[1]!EM_S_FA_YOY_OR(B485,E485)</f>
        <v>12.2645645779</v>
      </c>
      <c r="I485" s="11">
        <f>[1]!EM_S_FA_GROSSPROFITMARGIN(B485,E485)</f>
        <v>8.3437156795000007</v>
      </c>
      <c r="J485" s="11">
        <f>[1]!EM_S_FA_NETPROFITMARGIN(B485,E485)</f>
        <v>1.2658303712000001</v>
      </c>
      <c r="K485" s="10">
        <f>[1]!EM_S_FA_ASSETSTURN(B485,E485)</f>
        <v>2.4506286639920001</v>
      </c>
      <c r="L485" s="12">
        <f>[1]!EM_HKS_VAL_MV(B485,"2019-12-31","2")</f>
        <v>7495674359.04</v>
      </c>
      <c r="M485">
        <f>[1]!EM_S_VAL_PETTMDEDUCTED(B485,E485)</f>
        <v>20.748064576577701</v>
      </c>
      <c r="N485" s="7">
        <f>[1]!EM_S_VAL_PBGOODWILLDEDUCTED(B485,E485)</f>
        <v>1.67938016361395</v>
      </c>
      <c r="O485" s="7">
        <f>[1]!EM_S_VAL_PS_TTM(B485,E485)</f>
        <v>0.328118643121733</v>
      </c>
      <c r="P485" s="7">
        <f>[1]!EM_S_VAL_PCF_NCFTTM(B485,E485)</f>
        <v>-12.4547639487987</v>
      </c>
      <c r="Q485" s="7">
        <f>[1]!EM_S_VAL_DIVIDENDYIELD2(B485,E485,"2019-11-29")</f>
        <v>1.1286681715575622</v>
      </c>
      <c r="T485"/>
      <c r="U485">
        <f>[1]!EM_S_RATIO_EPS_TTM(B485,E485,"1")</f>
        <v>0.16368388273136461</v>
      </c>
      <c r="AT485" s="4" t="str">
        <f>[1]!EM_S_IPO_LISTEDDATE(B485)</f>
        <v>2011-03-25</v>
      </c>
    </row>
    <row r="486" spans="1:46">
      <c r="A486">
        <v>2390</v>
      </c>
      <c r="B486" t="str">
        <f>"600259"</f>
        <v>600259</v>
      </c>
      <c r="C486" t="s">
        <v>2964</v>
      </c>
      <c r="D486" t="str">
        <f>[1]!EM_S_INFO_INDEX_EM(B486,"1")</f>
        <v>有色金属</v>
      </c>
      <c r="E486" s="4">
        <f t="shared" si="7"/>
        <v>43465</v>
      </c>
      <c r="F486" s="11">
        <f>[1]!EM_S_PQ_PCTCHANGE(B486,"2018-01-01","2019-12-31","3")</f>
        <v>-11.50419954</v>
      </c>
      <c r="G486" s="11">
        <f>[1]!EM_S_PQ_PCTCHANGE(B486,"2018-12-31","2019-12-30","1")</f>
        <v>55.366726300000003</v>
      </c>
      <c r="H486" s="11">
        <f>[1]!EM_S_FA_YOY_OR(B486,E486)</f>
        <v>-56.130704176499997</v>
      </c>
      <c r="I486" s="11">
        <f>[1]!EM_S_FA_GROSSPROFITMARGIN(B486,E486)</f>
        <v>2.1613793435000002</v>
      </c>
      <c r="J486" s="11">
        <f>[1]!EM_S_FA_NETPROFITMARGIN(B486,E486)</f>
        <v>-12.249181411</v>
      </c>
      <c r="K486" s="10">
        <f>[1]!EM_S_FA_ASSETSTURN(B486,E486)</f>
        <v>0.59500855590900004</v>
      </c>
      <c r="L486" s="12">
        <f>[1]!EM_HKS_VAL_MV(B486,"2019-12-31","2")</f>
        <v>10493665658.07</v>
      </c>
      <c r="M486">
        <f>[1]!EM_S_VAL_PETTMDEDUCTED(B486,E486)</f>
        <v>-34.799426908040097</v>
      </c>
      <c r="N486" s="7">
        <f>[1]!EM_S_VAL_PBGOODWILLDEDUCTED(B486,E486)</f>
        <v>4.0149773540072902</v>
      </c>
      <c r="O486" s="7">
        <f>[1]!EM_S_VAL_PS_TTM(B486,E486)</f>
        <v>2.1982270058942901</v>
      </c>
      <c r="P486" s="7">
        <f>[1]!EM_S_VAL_PCF_NCFTTM(B486,E486)</f>
        <v>-48.4361986281111</v>
      </c>
      <c r="Q486" s="7">
        <f>[1]!EM_S_VAL_DIVIDENDYIELD2(B486,E486,"2019-11-29")</f>
        <v>0</v>
      </c>
      <c r="T486"/>
      <c r="U486">
        <f>[1]!EM_S_RATIO_EPS_TTM(B486,E486,"1")</f>
        <v>-0.88183566929914392</v>
      </c>
      <c r="AT486" s="4" t="str">
        <f>[1]!EM_S_IPO_LISTEDDATE(B486)</f>
        <v>2000-05-25</v>
      </c>
    </row>
    <row r="487" spans="1:46">
      <c r="A487">
        <v>1375</v>
      </c>
      <c r="B487" t="str">
        <f>"002876"</f>
        <v>002876</v>
      </c>
      <c r="C487" t="s">
        <v>1761</v>
      </c>
      <c r="D487" t="str">
        <f>[1]!EM_S_INFO_INDEX_EM(B487,"1")</f>
        <v>电子设备</v>
      </c>
      <c r="E487" s="4">
        <f t="shared" si="7"/>
        <v>43465</v>
      </c>
      <c r="F487" s="11">
        <f>[1]!EM_S_PQ_PCTCHANGE(B487,"2018-01-01","2019-12-31","3")</f>
        <v>6.77654932</v>
      </c>
      <c r="G487" s="11">
        <f>[1]!EM_S_PQ_PCTCHANGE(B487,"2018-12-31","2019-12-30","1")</f>
        <v>55.350438050000001</v>
      </c>
      <c r="H487" s="11">
        <f>[1]!EM_S_FA_YOY_OR(B487,E487)</f>
        <v>7.9923558446999996</v>
      </c>
      <c r="I487" s="11">
        <f>[1]!EM_S_FA_GROSSPROFITMARGIN(B487,E487)</f>
        <v>18.0621519482</v>
      </c>
      <c r="J487" s="11">
        <f>[1]!EM_S_FA_NETPROFITMARGIN(B487,E487)</f>
        <v>3.0885848107</v>
      </c>
      <c r="K487" s="10">
        <f>[1]!EM_S_FA_ASSETSTURN(B487,E487)</f>
        <v>0.47824223185999998</v>
      </c>
      <c r="L487" s="12">
        <f>[1]!EM_HKS_VAL_MV(B487,"2019-12-31","2")</f>
        <v>5075200000</v>
      </c>
      <c r="M487">
        <f>[1]!EM_S_VAL_PETTMDEDUCTED(B487,E487)</f>
        <v>87.684441782370797</v>
      </c>
      <c r="N487" s="7">
        <f>[1]!EM_S_VAL_PBGOODWILLDEDUCTED(B487,E487)</f>
        <v>2.9272705627855</v>
      </c>
      <c r="O487" s="7">
        <f>[1]!EM_S_VAL_PS_TTM(B487,E487)</f>
        <v>2.9996227907820501</v>
      </c>
      <c r="P487" s="7">
        <f>[1]!EM_S_VAL_PCF_NCFTTM(B487,E487)</f>
        <v>15.597001670512901</v>
      </c>
      <c r="Q487" s="7">
        <f>[1]!EM_S_VAL_DIVIDENDYIELD2(B487,E487,"2019-11-29")</f>
        <v>7.4447691190976939E-2</v>
      </c>
      <c r="T487"/>
      <c r="U487">
        <f>[1]!EM_S_RATIO_EPS_TTM(B487,E487,"1")</f>
        <v>0.34623089337499996</v>
      </c>
      <c r="AT487" s="4" t="str">
        <f>[1]!EM_S_IPO_LISTEDDATE(B487)</f>
        <v>2017-05-25</v>
      </c>
    </row>
    <row r="488" spans="1:46">
      <c r="A488">
        <v>2088</v>
      </c>
      <c r="B488" t="str">
        <f>"300669"</f>
        <v>300669</v>
      </c>
      <c r="C488" t="s">
        <v>2059</v>
      </c>
      <c r="D488" t="str">
        <f>[1]!EM_S_INFO_INDEX_EM(B488,"1")</f>
        <v>机械设备</v>
      </c>
      <c r="E488" s="4">
        <f t="shared" si="7"/>
        <v>43465</v>
      </c>
      <c r="F488" s="11">
        <f>[1]!EM_S_PQ_PCTCHANGE(B488,"2018-01-01","2019-12-31","3")</f>
        <v>18.08057599</v>
      </c>
      <c r="G488" s="11">
        <f>[1]!EM_S_PQ_PCTCHANGE(B488,"2018-12-31","2019-12-30","1")</f>
        <v>55.317982460000003</v>
      </c>
      <c r="H488" s="11">
        <f>[1]!EM_S_FA_YOY_OR(B488,E488)</f>
        <v>7.4247392011000004</v>
      </c>
      <c r="I488" s="11">
        <f>[1]!EM_S_FA_GROSSPROFITMARGIN(B488,E488)</f>
        <v>30.795168269800001</v>
      </c>
      <c r="J488" s="11">
        <f>[1]!EM_S_FA_NETPROFITMARGIN(B488,E488)</f>
        <v>13.6159643285</v>
      </c>
      <c r="K488" s="10">
        <f>[1]!EM_S_FA_ASSETSTURN(B488,E488)</f>
        <v>0.55366359627299999</v>
      </c>
      <c r="L488" s="12">
        <f>[1]!EM_HKS_VAL_MV(B488,"2019-12-31","2")</f>
        <v>2421785510.5500002</v>
      </c>
      <c r="M488">
        <f>[1]!EM_S_VAL_PETTMDEDUCTED(B488,E488)</f>
        <v>51.387995923849601</v>
      </c>
      <c r="N488" s="7">
        <f>[1]!EM_S_VAL_PBGOODWILLDEDUCTED(B488,E488)</f>
        <v>3.31660169825214</v>
      </c>
      <c r="O488" s="7">
        <f>[1]!EM_S_VAL_PS_TTM(B488,E488)</f>
        <v>5.7258903760364301</v>
      </c>
      <c r="P488" s="7">
        <f>[1]!EM_S_VAL_PCF_NCFTTM(B488,E488)</f>
        <v>-163.09128323641599</v>
      </c>
      <c r="Q488" s="7">
        <f>[1]!EM_S_VAL_DIVIDENDYIELD2(B488,E488,"2019-11-29")</f>
        <v>0.78821677174640592</v>
      </c>
      <c r="T488"/>
      <c r="U488">
        <f>[1]!EM_S_RATIO_EPS_TTM(B488,E488,"1")</f>
        <v>0.45057700380047505</v>
      </c>
      <c r="AT488" s="4" t="str">
        <f>[1]!EM_S_IPO_LISTEDDATE(B488)</f>
        <v>2017-06-29</v>
      </c>
    </row>
    <row r="489" spans="1:46">
      <c r="A489">
        <v>2602</v>
      </c>
      <c r="B489" t="str">
        <f>"600521"</f>
        <v>600521</v>
      </c>
      <c r="C489" t="s">
        <v>702</v>
      </c>
      <c r="D489" t="str">
        <f>[1]!EM_S_INFO_INDEX_EM(B489,"1")</f>
        <v>医药生物</v>
      </c>
      <c r="E489" s="4">
        <f t="shared" si="7"/>
        <v>43465</v>
      </c>
      <c r="F489" s="11">
        <f>[1]!EM_S_PQ_PCTCHANGE(B489,"2018-01-01","2019-12-31","3")</f>
        <v>-30.856815009999998</v>
      </c>
      <c r="G489" s="11">
        <f>[1]!EM_S_PQ_PCTCHANGE(B489,"2018-12-31","2019-12-30","1")</f>
        <v>55.153707050000001</v>
      </c>
      <c r="H489" s="11">
        <f>[1]!EM_S_FA_YOY_OR(B489,E489)</f>
        <v>1.8511286280999999</v>
      </c>
      <c r="I489" s="11">
        <f>[1]!EM_S_FA_GROSSPROFITMARGIN(B489,E489)</f>
        <v>59.751944712700002</v>
      </c>
      <c r="J489" s="11">
        <f>[1]!EM_S_FA_NETPROFITMARGIN(B489,E489)</f>
        <v>2.6479230775000002</v>
      </c>
      <c r="K489" s="10">
        <f>[1]!EM_S_FA_ASSETSTURN(B489,E489)</f>
        <v>0.54679715957399999</v>
      </c>
      <c r="L489" s="12">
        <f>[1]!EM_HKS_VAL_MV(B489,"2019-12-31","2")</f>
        <v>22824122631.52</v>
      </c>
      <c r="M489">
        <f>[1]!EM_S_VAL_PETTMDEDUCTED(B489,E489)</f>
        <v>29.612937861679899</v>
      </c>
      <c r="N489" s="7">
        <f>[1]!EM_S_VAL_PBGOODWILLDEDUCTED(B489,E489)</f>
        <v>3.4595657845196501</v>
      </c>
      <c r="O489" s="7">
        <f>[1]!EM_S_VAL_PS_TTM(B489,E489)</f>
        <v>2.59320012161779</v>
      </c>
      <c r="P489" s="7">
        <f>[1]!EM_S_VAL_PCF_NCFTTM(B489,E489)</f>
        <v>-432.61496338031299</v>
      </c>
      <c r="Q489" s="7">
        <f>[1]!EM_S_VAL_DIVIDENDYIELD2(B489,E489,"2019-11-29")</f>
        <v>0</v>
      </c>
      <c r="T489"/>
      <c r="U489">
        <f>[1]!EM_S_RATIO_EPS_TTM(B489,E489,"1")</f>
        <v>8.5953982027536319E-2</v>
      </c>
      <c r="AT489" s="4" t="str">
        <f>[1]!EM_S_IPO_LISTEDDATE(B489)</f>
        <v>2003-03-04</v>
      </c>
    </row>
    <row r="490" spans="1:46">
      <c r="A490">
        <v>971</v>
      </c>
      <c r="B490" t="str">
        <f>"002460"</f>
        <v>002460</v>
      </c>
      <c r="C490" t="s">
        <v>112</v>
      </c>
      <c r="D490" t="str">
        <f>[1]!EM_S_INFO_INDEX_EM(B490,"1")</f>
        <v>有色金属</v>
      </c>
      <c r="E490" s="4">
        <f t="shared" si="7"/>
        <v>43465</v>
      </c>
      <c r="F490" s="11">
        <f>[1]!EM_S_PQ_PCTCHANGE(B490,"2018-01-01","2019-12-31","3")</f>
        <v>-25.755234139999999</v>
      </c>
      <c r="G490" s="11">
        <f>[1]!EM_S_PQ_PCTCHANGE(B490,"2018-12-31","2019-12-30","1")</f>
        <v>55.117753620000002</v>
      </c>
      <c r="H490" s="11">
        <f>[1]!EM_S_FA_YOY_OR(B490,E490)</f>
        <v>14.1540862592</v>
      </c>
      <c r="I490" s="11">
        <f>[1]!EM_S_FA_GROSSPROFITMARGIN(B490,E490)</f>
        <v>36.1039925137</v>
      </c>
      <c r="J490" s="11">
        <f>[1]!EM_S_FA_NETPROFITMARGIN(B490,E490)</f>
        <v>24.458667979400001</v>
      </c>
      <c r="K490" s="10">
        <f>[1]!EM_S_FA_ASSETSTURN(B490,E490)</f>
        <v>0.46504883687100002</v>
      </c>
      <c r="L490" s="12">
        <f>[1]!EM_HKS_VAL_MV(B490,"2019-12-31","2")</f>
        <v>45021286177.470001</v>
      </c>
      <c r="M490">
        <f>[1]!EM_S_VAL_PETTMDEDUCTED(B490,E490)</f>
        <v>21.327825390699001</v>
      </c>
      <c r="N490" s="7">
        <f>[1]!EM_S_VAL_PBGOODWILLDEDUCTED(B490,E490)</f>
        <v>3.7712026821539402</v>
      </c>
      <c r="O490" s="7">
        <f>[1]!EM_S_VAL_PS_TTM(B490,E490)</f>
        <v>5.6547783865979602</v>
      </c>
      <c r="P490" s="7">
        <f>[1]!EM_S_VAL_PCF_NCFTTM(B490,E490)</f>
        <v>85.563244504845102</v>
      </c>
      <c r="Q490" s="7">
        <f>[1]!EM_S_VAL_DIVIDENDYIELD2(B490,E490,"2019-11-29")</f>
        <v>1.0810807980482218</v>
      </c>
      <c r="U490">
        <f>[1]!EM_S_RATIO_EPS_TTM(B490,E490,"1")</f>
        <v>0.93019823057716255</v>
      </c>
      <c r="AT490" s="4" t="str">
        <f>[1]!EM_S_IPO_LISTEDDATE(B490)</f>
        <v>2010-08-10</v>
      </c>
    </row>
    <row r="491" spans="1:46">
      <c r="A491">
        <v>1469</v>
      </c>
      <c r="B491" t="str">
        <f>"300043"</f>
        <v>300043</v>
      </c>
      <c r="C491" t="s">
        <v>2111</v>
      </c>
      <c r="D491" t="str">
        <f>[1]!EM_S_INFO_INDEX_EM(B491,"1")</f>
        <v>互联网</v>
      </c>
      <c r="E491" s="4">
        <f t="shared" si="7"/>
        <v>43465</v>
      </c>
      <c r="F491" s="11">
        <f>[1]!EM_S_PQ_PCTCHANGE(B491,"2018-01-01","2019-12-31","3")</f>
        <v>-15.037448169999999</v>
      </c>
      <c r="G491" s="11">
        <f>[1]!EM_S_PQ_PCTCHANGE(B491,"2018-12-31","2019-12-30","1")</f>
        <v>54.819277110000002</v>
      </c>
      <c r="H491" s="11">
        <f>[1]!EM_S_FA_YOY_OR(B491,E491)</f>
        <v>2.3529760338000001</v>
      </c>
      <c r="I491" s="11">
        <f>[1]!EM_S_FA_GROSSPROFITMARGIN(B491,E491)</f>
        <v>45.090119191600003</v>
      </c>
      <c r="J491" s="11">
        <f>[1]!EM_S_FA_NETPROFITMARGIN(B491,E491)</f>
        <v>8.5381120416999998</v>
      </c>
      <c r="K491" s="10">
        <f>[1]!EM_S_FA_ASSETSTURN(B491,E491)</f>
        <v>0.472605509486</v>
      </c>
      <c r="L491" s="12">
        <f>[1]!EM_HKS_VAL_MV(B491,"2019-12-31","2")</f>
        <v>6382737797.1300001</v>
      </c>
      <c r="M491">
        <f>[1]!EM_S_VAL_PETTMDEDUCTED(B491,E491)</f>
        <v>24.993705635405501</v>
      </c>
      <c r="N491" s="7">
        <f>[1]!EM_S_VAL_PBGOODWILLDEDUCTED(B491,E491)</f>
        <v>2.4318260902867102</v>
      </c>
      <c r="O491" s="7">
        <f>[1]!EM_S_VAL_PS_TTM(B491,E491)</f>
        <v>1.4120523160914999</v>
      </c>
      <c r="P491" s="7">
        <f>[1]!EM_S_VAL_PCF_NCFTTM(B491,E491)</f>
        <v>-16.4349619618439</v>
      </c>
      <c r="Q491" s="7">
        <f>[1]!EM_S_VAL_DIVIDENDYIELD2(B491,E491,"2019-11-29")</f>
        <v>0.64794816414686829</v>
      </c>
      <c r="T491"/>
      <c r="U491">
        <f>[1]!EM_S_RATIO_EPS_TTM(B491,E491,"1")</f>
        <v>0.19166029768109305</v>
      </c>
      <c r="AT491" s="4" t="str">
        <f>[1]!EM_S_IPO_LISTEDDATE(B491)</f>
        <v>2010-01-20</v>
      </c>
    </row>
    <row r="492" spans="1:46">
      <c r="A492">
        <v>1702</v>
      </c>
      <c r="B492" t="str">
        <f>"300277"</f>
        <v>300277</v>
      </c>
      <c r="C492" t="s">
        <v>3278</v>
      </c>
      <c r="D492" t="str">
        <f>[1]!EM_S_INFO_INDEX_EM(B492,"1")</f>
        <v>信息技术</v>
      </c>
      <c r="E492" s="4">
        <f t="shared" si="7"/>
        <v>43465</v>
      </c>
      <c r="F492" s="11">
        <f>[1]!EM_S_PQ_PCTCHANGE(B492,"2018-01-01","2019-12-31","3")</f>
        <v>16.334797170000002</v>
      </c>
      <c r="G492" s="11">
        <f>[1]!EM_S_PQ_PCTCHANGE(B492,"2018-12-31","2019-12-30","1")</f>
        <v>54.796747969999998</v>
      </c>
      <c r="H492" s="11">
        <f>[1]!EM_S_FA_YOY_OR(B492,E492)</f>
        <v>-11.2970339515</v>
      </c>
      <c r="I492" s="11">
        <f>[1]!EM_S_FA_GROSSPROFITMARGIN(B492,E492)</f>
        <v>22.6136685683</v>
      </c>
      <c r="J492" s="11">
        <f>[1]!EM_S_FA_NETPROFITMARGIN(B492,E492)</f>
        <v>4.1507743895000004</v>
      </c>
      <c r="K492" s="10">
        <f>[1]!EM_S_FA_ASSETSTURN(B492,E492)</f>
        <v>0.365942471469</v>
      </c>
      <c r="L492" s="12">
        <f>[1]!EM_HKS_VAL_MV(B492,"2019-12-31","2")</f>
        <v>3172450000</v>
      </c>
      <c r="M492">
        <f>[1]!EM_S_VAL_PETTMDEDUCTED(B492,E492)</f>
        <v>423.58244549506998</v>
      </c>
      <c r="N492" s="7">
        <f>[1]!EM_S_VAL_PBGOODWILLDEDUCTED(B492,E492)</f>
        <v>4.3032363726264702</v>
      </c>
      <c r="O492" s="7">
        <f>[1]!EM_S_VAL_PS_TTM(B492,E492)</f>
        <v>6.9530939077880198</v>
      </c>
      <c r="P492" s="7">
        <f>[1]!EM_S_VAL_PCF_NCFTTM(B492,E492)</f>
        <v>96.325812270328299</v>
      </c>
      <c r="Q492" s="7">
        <f>[1]!EM_S_VAL_DIVIDENDYIELD2(B492,E492,"2019-11-29")</f>
        <v>0.55970149253731338</v>
      </c>
      <c r="T492"/>
      <c r="U492">
        <f>[1]!EM_S_RATIO_EPS_TTM(B492,E492,"1")</f>
        <v>2.3935095970149256E-2</v>
      </c>
      <c r="AT492" s="4" t="str">
        <f>[1]!EM_S_IPO_LISTEDDATE(B492)</f>
        <v>2011-11-23</v>
      </c>
    </row>
    <row r="493" spans="1:46">
      <c r="A493">
        <v>630</v>
      </c>
      <c r="B493" t="str">
        <f>"002119"</f>
        <v>002119</v>
      </c>
      <c r="C493" t="s">
        <v>1153</v>
      </c>
      <c r="D493" t="str">
        <f>[1]!EM_S_INFO_INDEX_EM(B493,"1")</f>
        <v>电子设备</v>
      </c>
      <c r="E493" s="4">
        <f t="shared" si="7"/>
        <v>43465</v>
      </c>
      <c r="F493" s="11">
        <f>[1]!EM_S_PQ_PCTCHANGE(B493,"2018-01-01","2019-12-31","3")</f>
        <v>20.498268769999999</v>
      </c>
      <c r="G493" s="11">
        <f>[1]!EM_S_PQ_PCTCHANGE(B493,"2018-12-31","2019-12-30","1")</f>
        <v>54.725787629999999</v>
      </c>
      <c r="H493" s="11">
        <f>[1]!EM_S_FA_YOY_OR(B493,E493)</f>
        <v>13.752415496099999</v>
      </c>
      <c r="I493" s="11">
        <f>[1]!EM_S_FA_GROSSPROFITMARGIN(B493,E493)</f>
        <v>20.253725379599999</v>
      </c>
      <c r="J493" s="11">
        <f>[1]!EM_S_FA_NETPROFITMARGIN(B493,E493)</f>
        <v>6.2280102053000004</v>
      </c>
      <c r="K493" s="10">
        <f>[1]!EM_S_FA_ASSETSTURN(B493,E493)</f>
        <v>0.88600549370500004</v>
      </c>
      <c r="L493" s="12">
        <f>[1]!EM_HKS_VAL_MV(B493,"2019-12-31","2")</f>
        <v>4792376680</v>
      </c>
      <c r="M493">
        <f>[1]!EM_S_VAL_PETTMDEDUCTED(B493,E493)</f>
        <v>36.2292843986382</v>
      </c>
      <c r="N493" s="7">
        <f>[1]!EM_S_VAL_PBGOODWILLDEDUCTED(B493,E493)</f>
        <v>3.0694941877439699</v>
      </c>
      <c r="O493" s="7">
        <f>[1]!EM_S_VAL_PS_TTM(B493,E493)</f>
        <v>1.63765488064609</v>
      </c>
      <c r="P493" s="7">
        <f>[1]!EM_S_VAL_PCF_NCFTTM(B493,E493)</f>
        <v>66.8337395523602</v>
      </c>
      <c r="Q493" s="7">
        <f>[1]!EM_S_VAL_DIVIDENDYIELD2(B493,E493,"2019-11-29")</f>
        <v>0.17155012694709393</v>
      </c>
      <c r="T493"/>
      <c r="U493">
        <f>[1]!EM_S_RATIO_EPS_TTM(B493,E493,"1")</f>
        <v>0.27794309740889567</v>
      </c>
      <c r="AT493" s="4" t="str">
        <f>[1]!EM_S_IPO_LISTEDDATE(B493)</f>
        <v>2007-03-02</v>
      </c>
    </row>
    <row r="494" spans="1:46">
      <c r="A494">
        <v>1409</v>
      </c>
      <c r="B494" t="str">
        <f>"002912"</f>
        <v>002912</v>
      </c>
      <c r="C494" t="s">
        <v>2893</v>
      </c>
      <c r="D494" t="str">
        <f>[1]!EM_S_INFO_INDEX_EM(B494,"1")</f>
        <v>信息技术</v>
      </c>
      <c r="E494" s="4">
        <f t="shared" si="7"/>
        <v>43465</v>
      </c>
      <c r="F494" s="11">
        <f>[1]!EM_S_PQ_PCTCHANGE(B494,"2018-01-01","2019-12-31","3")</f>
        <v>81.638283250000001</v>
      </c>
      <c r="G494" s="11">
        <f>[1]!EM_S_PQ_PCTCHANGE(B494,"2018-12-31","2019-12-30","1")</f>
        <v>54.515173949999998</v>
      </c>
      <c r="H494" s="11">
        <f>[1]!EM_S_FA_YOY_OR(B494,E494)</f>
        <v>38.849593352100001</v>
      </c>
      <c r="I494" s="11">
        <f>[1]!EM_S_FA_GROSSPROFITMARGIN(B494,E494)</f>
        <v>78.665958429699998</v>
      </c>
      <c r="J494" s="11">
        <f>[1]!EM_S_FA_NETPROFITMARGIN(B494,E494)</f>
        <v>29.622751677899998</v>
      </c>
      <c r="K494" s="10">
        <f>[1]!EM_S_FA_ASSETSTURN(B494,E494)</f>
        <v>0.36641070905400003</v>
      </c>
      <c r="L494" s="12">
        <f>[1]!EM_HKS_VAL_MV(B494,"2019-12-31","2")</f>
        <v>13446720000</v>
      </c>
      <c r="M494">
        <f>[1]!EM_S_VAL_PETTMDEDUCTED(B494,E494)</f>
        <v>46.322485949436199</v>
      </c>
      <c r="N494" s="7">
        <f>[1]!EM_S_VAL_PBGOODWILLDEDUCTED(B494,E494)</f>
        <v>6.68590348513397</v>
      </c>
      <c r="O494" s="7">
        <f>[1]!EM_S_VAL_PS_TTM(B494,E494)</f>
        <v>12.9165630348327</v>
      </c>
      <c r="P494" s="7">
        <f>[1]!EM_S_VAL_PCF_NCFTTM(B494,E494)</f>
        <v>17.012148114779201</v>
      </c>
      <c r="Q494" s="7">
        <f>[1]!EM_S_VAL_DIVIDENDYIELD2(B494,E494,"2019-11-29")</f>
        <v>0.65052041633306645</v>
      </c>
      <c r="T494"/>
      <c r="U494">
        <f>[1]!EM_S_RATIO_EPS_TTM(B494,E494,"1")</f>
        <v>1.9186171649175412</v>
      </c>
      <c r="AT494" s="4" t="str">
        <f>[1]!EM_S_IPO_LISTEDDATE(B494)</f>
        <v>2017-11-21</v>
      </c>
    </row>
    <row r="495" spans="1:46">
      <c r="A495">
        <v>2378</v>
      </c>
      <c r="B495" t="str">
        <f>"600246"</f>
        <v>600246</v>
      </c>
      <c r="C495" t="s">
        <v>3016</v>
      </c>
      <c r="D495" t="str">
        <f>[1]!EM_S_INFO_INDEX_EM(B495,"1")</f>
        <v>房地产</v>
      </c>
      <c r="E495" s="4">
        <f t="shared" si="7"/>
        <v>43465</v>
      </c>
      <c r="F495" s="11">
        <f>[1]!EM_S_PQ_PCTCHANGE(B495,"2018-01-01","2019-12-31","3")</f>
        <v>34.56956091</v>
      </c>
      <c r="G495" s="11">
        <f>[1]!EM_S_PQ_PCTCHANGE(B495,"2018-12-31","2019-12-30","1")</f>
        <v>54.491017960000001</v>
      </c>
      <c r="H495" s="11">
        <f>[1]!EM_S_FA_YOY_OR(B495,E495)</f>
        <v>10.6165879326</v>
      </c>
      <c r="I495" s="11">
        <f>[1]!EM_S_FA_GROSSPROFITMARGIN(B495,E495)</f>
        <v>34.055443263100003</v>
      </c>
      <c r="J495" s="11">
        <f>[1]!EM_S_FA_NETPROFITMARGIN(B495,E495)</f>
        <v>11.821771032999999</v>
      </c>
      <c r="K495" s="10">
        <f>[1]!EM_S_FA_ASSETSTURN(B495,E495)</f>
        <v>0.27612448694500002</v>
      </c>
      <c r="L495" s="12">
        <f>[1]!EM_HKS_VAL_MV(B495,"2019-12-31","2")</f>
        <v>10804088928.52</v>
      </c>
      <c r="M495">
        <f>[1]!EM_S_VAL_PETTMDEDUCTED(B495,E495)</f>
        <v>19.9288994432175</v>
      </c>
      <c r="N495" s="7">
        <f>[1]!EM_S_VAL_PBGOODWILLDEDUCTED(B495,E495)</f>
        <v>1.0207335402356901</v>
      </c>
      <c r="O495" s="7">
        <f>[1]!EM_S_VAL_PS_TTM(B495,E495)</f>
        <v>1.4317112885144301</v>
      </c>
      <c r="P495" s="7">
        <f>[1]!EM_S_VAL_PCF_NCFTTM(B495,E495)</f>
        <v>38.917165222032999</v>
      </c>
      <c r="Q495" s="7">
        <f>[1]!EM_S_VAL_DIVIDENDYIELD2(B495,E495,"2019-11-29")</f>
        <v>1.1059907834101383</v>
      </c>
      <c r="T495"/>
      <c r="U495">
        <f>[1]!EM_S_RATIO_EPS_TTM(B495,E495,"1")</f>
        <v>0.15933437608648182</v>
      </c>
      <c r="AT495" s="4" t="str">
        <f>[1]!EM_S_IPO_LISTEDDATE(B495)</f>
        <v>2000-09-22</v>
      </c>
    </row>
    <row r="496" spans="1:46">
      <c r="A496">
        <v>3405</v>
      </c>
      <c r="B496" t="str">
        <f>"603477"</f>
        <v>603477</v>
      </c>
      <c r="C496" t="s">
        <v>1749</v>
      </c>
      <c r="D496" t="str">
        <f>[1]!EM_S_INFO_INDEX_EM(B496,"1")</f>
        <v>纺织服装</v>
      </c>
      <c r="E496" s="4">
        <f t="shared" si="7"/>
        <v>43465</v>
      </c>
      <c r="F496" s="11">
        <f>[1]!EM_S_PQ_PCTCHANGE(B496,"2018-01-01","2019-12-31","3")</f>
        <v>-35.194004219999997</v>
      </c>
      <c r="G496" s="11">
        <f>[1]!EM_S_PQ_PCTCHANGE(B496,"2018-12-31","2019-12-30","1")</f>
        <v>54.472630170000002</v>
      </c>
      <c r="H496" s="11">
        <f>[1]!EM_S_FA_YOY_OR(B496,E496)</f>
        <v>-5.5829575708999997</v>
      </c>
      <c r="I496" s="11">
        <f>[1]!EM_S_FA_GROSSPROFITMARGIN(B496,E496)</f>
        <v>18.559701952200001</v>
      </c>
      <c r="J496" s="11">
        <f>[1]!EM_S_FA_NETPROFITMARGIN(B496,E496)</f>
        <v>9.6906960252999994</v>
      </c>
      <c r="K496" s="10">
        <f>[1]!EM_S_FA_ASSETSTURN(B496,E496)</f>
        <v>0.44728246944900002</v>
      </c>
      <c r="L496" s="12">
        <f>[1]!EM_HKS_VAL_MV(B496,"2019-12-31","2")</f>
        <v>2894400000</v>
      </c>
      <c r="M496">
        <f>[1]!EM_S_VAL_PETTMDEDUCTED(B496,E496)</f>
        <v>28.7348343201988</v>
      </c>
      <c r="N496" s="7">
        <f>[1]!EM_S_VAL_PBGOODWILLDEDUCTED(B496,E496)</f>
        <v>2.1622734749936301</v>
      </c>
      <c r="O496" s="7">
        <f>[1]!EM_S_VAL_PS_TTM(B496,E496)</f>
        <v>2.7399407936067801</v>
      </c>
      <c r="P496" s="7">
        <f>[1]!EM_S_VAL_PCF_NCFTTM(B496,E496)</f>
        <v>7.8380819321289303</v>
      </c>
      <c r="Q496" s="7">
        <f>[1]!EM_S_VAL_DIVIDENDYIELD2(B496,E496,"2019-11-29")</f>
        <v>0.69084628670120896</v>
      </c>
      <c r="T496"/>
      <c r="U496">
        <f>[1]!EM_S_RATIO_EPS_TTM(B496,E496,"1")</f>
        <v>0.24573148608333331</v>
      </c>
      <c r="AT496" s="4" t="str">
        <f>[1]!EM_S_IPO_LISTEDDATE(B496)</f>
        <v>2017-12-18</v>
      </c>
    </row>
    <row r="497" spans="1:46">
      <c r="A497">
        <v>2958</v>
      </c>
      <c r="B497" t="str">
        <f>"600885"</f>
        <v>600885</v>
      </c>
      <c r="C497" t="s">
        <v>448</v>
      </c>
      <c r="D497" t="str">
        <f>[1]!EM_S_INFO_INDEX_EM(B497,"1")</f>
        <v>电气设备</v>
      </c>
      <c r="E497" s="4">
        <f t="shared" si="7"/>
        <v>43465</v>
      </c>
      <c r="F497" s="11">
        <f>[1]!EM_S_PQ_PCTCHANGE(B497,"2018-01-01","2019-12-31","3")</f>
        <v>19.183453159999999</v>
      </c>
      <c r="G497" s="11">
        <f>[1]!EM_S_PQ_PCTCHANGE(B497,"2018-12-31","2019-12-30","1")</f>
        <v>54.255319149999998</v>
      </c>
      <c r="H497" s="11">
        <f>[1]!EM_S_FA_YOY_OR(B497,E497)</f>
        <v>14.2780725198</v>
      </c>
      <c r="I497" s="11">
        <f>[1]!EM_S_FA_GROSSPROFITMARGIN(B497,E497)</f>
        <v>36.835483899000003</v>
      </c>
      <c r="J497" s="11">
        <f>[1]!EM_S_FA_NETPROFITMARGIN(B497,E497)</f>
        <v>13.9587910061</v>
      </c>
      <c r="K497" s="10">
        <f>[1]!EM_S_FA_ASSETSTURN(B497,E497)</f>
        <v>0.83211472961699995</v>
      </c>
      <c r="L497" s="12">
        <f>[1]!EM_HKS_VAL_MV(B497,"2019-12-31","2")</f>
        <v>25657035466.400002</v>
      </c>
      <c r="M497">
        <f>[1]!EM_S_VAL_PETTMDEDUCTED(B497,E497)</f>
        <v>27.196071397858798</v>
      </c>
      <c r="N497" s="7">
        <f>[1]!EM_S_VAL_PBGOODWILLDEDUCTED(B497,E497)</f>
        <v>3.8024768037369698</v>
      </c>
      <c r="O497" s="7">
        <f>[1]!EM_S_VAL_PS_TTM(B497,E497)</f>
        <v>2.56009698963509</v>
      </c>
      <c r="P497" s="7">
        <f>[1]!EM_S_VAL_PCF_NCFTTM(B497,E497)</f>
        <v>68.906471470230102</v>
      </c>
      <c r="Q497" s="7">
        <f>[1]!EM_S_VAL_DIVIDENDYIELD2(B497,E497,"2019-11-29")</f>
        <v>0.99896658629004453</v>
      </c>
      <c r="T497"/>
      <c r="U497">
        <f>[1]!EM_S_RATIO_EPS_TTM(B497,E497,"1")</f>
        <v>0.9383490878030718</v>
      </c>
      <c r="AT497" s="4" t="str">
        <f>[1]!EM_S_IPO_LISTEDDATE(B497)</f>
        <v>1996-02-05</v>
      </c>
    </row>
    <row r="498" spans="1:46">
      <c r="A498">
        <v>610</v>
      </c>
      <c r="B498" t="str">
        <f>"002099"</f>
        <v>002099</v>
      </c>
      <c r="C498" t="s">
        <v>2362</v>
      </c>
      <c r="D498" t="str">
        <f>[1]!EM_S_INFO_INDEX_EM(B498,"1")</f>
        <v>医药生物</v>
      </c>
      <c r="E498" s="4">
        <f t="shared" si="7"/>
        <v>43465</v>
      </c>
      <c r="F498" s="11">
        <f>[1]!EM_S_PQ_PCTCHANGE(B498,"2018-01-01","2019-12-31","3")</f>
        <v>29.331493330000001</v>
      </c>
      <c r="G498" s="11">
        <f>[1]!EM_S_PQ_PCTCHANGE(B498,"2018-12-31","2019-12-30","1")</f>
        <v>54.203539820000003</v>
      </c>
      <c r="H498" s="11">
        <f>[1]!EM_S_FA_YOY_OR(B498,E498)</f>
        <v>17.743630837400001</v>
      </c>
      <c r="I498" s="11">
        <f>[1]!EM_S_FA_GROSSPROFITMARGIN(B498,E498)</f>
        <v>44.385353342499997</v>
      </c>
      <c r="J498" s="11">
        <f>[1]!EM_S_FA_NETPROFITMARGIN(B498,E498)</f>
        <v>22.254169910600002</v>
      </c>
      <c r="K498" s="10">
        <f>[1]!EM_S_FA_ASSETSTURN(B498,E498)</f>
        <v>0.37492103317499997</v>
      </c>
      <c r="L498" s="12">
        <f>[1]!EM_HKS_VAL_MV(B498,"2019-12-31","2")</f>
        <v>11525252601.360001</v>
      </c>
      <c r="M498">
        <f>[1]!EM_S_VAL_PETTMDEDUCTED(B498,E498)</f>
        <v>14.375052385226899</v>
      </c>
      <c r="N498" s="7">
        <f>[1]!EM_S_VAL_PBGOODWILLDEDUCTED(B498,E498)</f>
        <v>1.5794005256752099</v>
      </c>
      <c r="O498" s="7">
        <f>[1]!EM_S_VAL_PS_TTM(B498,E498)</f>
        <v>2.7598217334258899</v>
      </c>
      <c r="P498" s="7">
        <f>[1]!EM_S_VAL_PCF_NCFTTM(B498,E498)</f>
        <v>-10.356671285403699</v>
      </c>
      <c r="Q498" s="7">
        <f>[1]!EM_S_VAL_DIVIDENDYIELD2(B498,E498,"2019-11-29")</f>
        <v>4.3481081141619136</v>
      </c>
      <c r="T498"/>
      <c r="U498">
        <f>[1]!EM_S_RATIO_EPS_TTM(B498,E498,"1")</f>
        <v>0.37373131430670331</v>
      </c>
      <c r="AT498" s="4" t="str">
        <f>[1]!EM_S_IPO_LISTEDDATE(B498)</f>
        <v>2006-12-26</v>
      </c>
    </row>
    <row r="499" spans="1:46">
      <c r="A499">
        <v>3108</v>
      </c>
      <c r="B499" t="str">
        <f>"601377"</f>
        <v>601377</v>
      </c>
      <c r="C499" t="s">
        <v>2142</v>
      </c>
      <c r="D499" t="str">
        <f>[1]!EM_S_INFO_INDEX_EM(B499,"1")</f>
        <v>金融</v>
      </c>
      <c r="E499" s="4">
        <f t="shared" si="7"/>
        <v>43465</v>
      </c>
      <c r="F499" s="11">
        <f>[1]!EM_S_PQ_PCTCHANGE(B499,"2018-01-01","2019-12-31","3")</f>
        <v>1.2976991</v>
      </c>
      <c r="G499" s="11">
        <f>[1]!EM_S_PQ_PCTCHANGE(B499,"2018-12-31","2019-12-30","1")</f>
        <v>54.094827590000001</v>
      </c>
      <c r="H499" s="11">
        <f>[1]!EM_S_FA_YOY_OR(B499,E499)</f>
        <v>-26.314205366500001</v>
      </c>
      <c r="I499" s="11">
        <f>[1]!EM_S_FA_GROSSPROFITMARGIN(B499,E499)</f>
        <v>0</v>
      </c>
      <c r="J499" s="11">
        <f>[1]!EM_S_FA_NETPROFITMARGIN(B499,E499)</f>
        <v>8.8530629910999998</v>
      </c>
      <c r="K499" s="10">
        <f>[1]!EM_S_FA_ASSETSTURN(B499,E499)</f>
        <v>0</v>
      </c>
      <c r="L499" s="12">
        <f>[1]!EM_HKS_VAL_MV(B499,"2019-12-31","2")</f>
        <v>47412435451.919998</v>
      </c>
      <c r="M499">
        <f>[1]!EM_S_VAL_PETTMDEDUCTED(B499,E499)</f>
        <v>32.829734744177102</v>
      </c>
      <c r="N499" s="7">
        <f>[1]!EM_S_VAL_PBGOODWILLDEDUCTED(B499,E499)</f>
        <v>0.95627921022615903</v>
      </c>
      <c r="O499" s="7">
        <f>[1]!EM_S_VAL_PS_TTM(B499,E499)</f>
        <v>4.32231337877574</v>
      </c>
      <c r="P499" s="7">
        <f>[1]!EM_S_VAL_PCF_NCFTTM(B499,E499)</f>
        <v>4.3181214998103501</v>
      </c>
      <c r="Q499" s="7">
        <f>[1]!EM_S_VAL_DIVIDENDYIELD2(B499,E499,"2019-11-29")</f>
        <v>0.80775444264943475</v>
      </c>
      <c r="T499"/>
      <c r="U499">
        <f>[1]!EM_S_RATIO_EPS_TTM(B499,E499,"1")</f>
        <v>2.0211244897296123E-2</v>
      </c>
      <c r="AT499" s="4" t="str">
        <f>[1]!EM_S_IPO_LISTEDDATE(B499)</f>
        <v>2010-10-13</v>
      </c>
    </row>
    <row r="500" spans="1:46">
      <c r="A500">
        <v>1291</v>
      </c>
      <c r="B500" t="str">
        <f>"002785"</f>
        <v>002785</v>
      </c>
      <c r="C500" t="s">
        <v>2605</v>
      </c>
      <c r="D500" t="str">
        <f>[1]!EM_S_INFO_INDEX_EM(B500,"1")</f>
        <v>建筑</v>
      </c>
      <c r="E500" s="4">
        <f t="shared" si="7"/>
        <v>43465</v>
      </c>
      <c r="F500" s="11">
        <f>[1]!EM_S_PQ_PCTCHANGE(B500,"2018-01-01","2019-12-31","3")</f>
        <v>7.0472387000000003</v>
      </c>
      <c r="G500" s="11">
        <f>[1]!EM_S_PQ_PCTCHANGE(B500,"2018-12-31","2019-12-30","1")</f>
        <v>54.079497910000001</v>
      </c>
      <c r="H500" s="11">
        <f>[1]!EM_S_FA_YOY_OR(B500,E500)</f>
        <v>24.415696682</v>
      </c>
      <c r="I500" s="11">
        <f>[1]!EM_S_FA_GROSSPROFITMARGIN(B500,E500)</f>
        <v>15.7944240064</v>
      </c>
      <c r="J500" s="11">
        <f>[1]!EM_S_FA_NETPROFITMARGIN(B500,E500)</f>
        <v>0.81826837799999996</v>
      </c>
      <c r="K500" s="10">
        <f>[1]!EM_S_FA_ASSETSTURN(B500,E500)</f>
        <v>0.86806033089900003</v>
      </c>
      <c r="L500" s="12">
        <f>[1]!EM_HKS_VAL_MV(B500,"2019-12-31","2")</f>
        <v>2866000000</v>
      </c>
      <c r="M500">
        <f>[1]!EM_S_VAL_PETTMDEDUCTED(B500,E500)</f>
        <v>-136.97030390253201</v>
      </c>
      <c r="N500" s="7">
        <f>[1]!EM_S_VAL_PBGOODWILLDEDUCTED(B500,E500)</f>
        <v>2.9232084681330499</v>
      </c>
      <c r="O500" s="7">
        <f>[1]!EM_S_VAL_PS_TTM(B500,E500)</f>
        <v>1.9437823227020099</v>
      </c>
      <c r="P500" s="7">
        <f>[1]!EM_S_VAL_PCF_NCFTTM(B500,E500)</f>
        <v>-186.91574532291699</v>
      </c>
      <c r="Q500" s="7">
        <f>[1]!EM_S_VAL_DIVIDENDYIELD2(B500,E500,"2019-11-29")</f>
        <v>3.7429819089207735E-2</v>
      </c>
      <c r="T500"/>
      <c r="U500">
        <f>[1]!EM_S_RATIO_EPS_TTM(B500,E500,"1")</f>
        <v>5.1025747649999995E-2</v>
      </c>
      <c r="AT500" s="4" t="str">
        <f>[1]!EM_S_IPO_LISTEDDATE(B500)</f>
        <v>2015-12-23</v>
      </c>
    </row>
    <row r="501" spans="1:46">
      <c r="A501">
        <v>1676</v>
      </c>
      <c r="B501" t="str">
        <f>"300251"</f>
        <v>300251</v>
      </c>
      <c r="C501" t="s">
        <v>48</v>
      </c>
      <c r="D501" t="str">
        <f>[1]!EM_S_INFO_INDEX_EM(B501,"1")</f>
        <v>文化传媒</v>
      </c>
      <c r="E501" s="4">
        <f t="shared" si="7"/>
        <v>43465</v>
      </c>
      <c r="F501" s="11">
        <f>[1]!EM_S_PQ_PCTCHANGE(B501,"2018-01-01","2019-12-31","3")</f>
        <v>15.75796826</v>
      </c>
      <c r="G501" s="11">
        <f>[1]!EM_S_PQ_PCTCHANGE(B501,"2018-12-31","2019-12-30","1")</f>
        <v>54.078947370000002</v>
      </c>
      <c r="H501" s="11">
        <f>[1]!EM_S_FA_YOY_OR(B501,E501)</f>
        <v>-19.090280331900001</v>
      </c>
      <c r="I501" s="11">
        <f>[1]!EM_S_FA_GROSSPROFITMARGIN(B501,E501)</f>
        <v>32.263190360599999</v>
      </c>
      <c r="J501" s="11">
        <f>[1]!EM_S_FA_NETPROFITMARGIN(B501,E501)</f>
        <v>91.591631351399997</v>
      </c>
      <c r="K501" s="10">
        <f>[1]!EM_S_FA_ASSETSTURN(B501,E501)</f>
        <v>0.13123578220500001</v>
      </c>
      <c r="L501" s="12">
        <f>[1]!EM_HKS_VAL_MV(B501,"2019-12-31","2")</f>
        <v>34616579497.599998</v>
      </c>
      <c r="M501">
        <f>[1]!EM_S_VAL_PETTMDEDUCTED(B501,E501)</f>
        <v>55.275161749006003</v>
      </c>
      <c r="N501" s="7">
        <f>[1]!EM_S_VAL_PBGOODWILLDEDUCTED(B501,E501)</f>
        <v>2.5838223368497801</v>
      </c>
      <c r="O501" s="7">
        <f>[1]!EM_S_VAL_PS_TTM(B501,E501)</f>
        <v>14.1170853118153</v>
      </c>
      <c r="P501" s="7">
        <f>[1]!EM_S_VAL_PCF_NCFTTM(B501,E501)</f>
        <v>-108.05278277698901</v>
      </c>
      <c r="Q501" s="7">
        <f>[1]!EM_S_VAL_DIVIDENDYIELD2(B501,E501,"2019-11-29")</f>
        <v>0.50251256281407031</v>
      </c>
      <c r="T501"/>
      <c r="U501">
        <f>[1]!EM_S_RATIO_EPS_TTM(B501,E501,"1")</f>
        <v>0.46812479565098275</v>
      </c>
      <c r="AT501" s="4" t="str">
        <f>[1]!EM_S_IPO_LISTEDDATE(B501)</f>
        <v>2011-08-03</v>
      </c>
    </row>
    <row r="502" spans="1:46">
      <c r="A502">
        <v>2977</v>
      </c>
      <c r="B502" t="str">
        <f>"600909"</f>
        <v>600909</v>
      </c>
      <c r="C502" t="s">
        <v>1955</v>
      </c>
      <c r="D502" t="str">
        <f>[1]!EM_S_INFO_INDEX_EM(B502,"1")</f>
        <v>金融</v>
      </c>
      <c r="E502" s="4">
        <f t="shared" si="7"/>
        <v>43465</v>
      </c>
      <c r="F502" s="11">
        <f>[1]!EM_S_PQ_PCTCHANGE(B502,"2018-01-01","2019-12-31","3")</f>
        <v>2.46529277</v>
      </c>
      <c r="G502" s="11">
        <f>[1]!EM_S_PQ_PCTCHANGE(B502,"2018-12-31","2019-12-30","1")</f>
        <v>54.02542373</v>
      </c>
      <c r="H502" s="11">
        <f>[1]!EM_S_FA_YOY_OR(B502,E502)</f>
        <v>-8.1541231563000007</v>
      </c>
      <c r="I502" s="11">
        <f>[1]!EM_S_FA_GROSSPROFITMARGIN(B502,E502)</f>
        <v>0</v>
      </c>
      <c r="J502" s="11">
        <f>[1]!EM_S_FA_NETPROFITMARGIN(B502,E502)</f>
        <v>32.807652658599999</v>
      </c>
      <c r="K502" s="10">
        <f>[1]!EM_S_FA_ASSETSTURN(B502,E502)</f>
        <v>0</v>
      </c>
      <c r="L502" s="12">
        <f>[1]!EM_HKS_VAL_MV(B502,"2019-12-31","2")</f>
        <v>26433300000</v>
      </c>
      <c r="M502">
        <f>[1]!EM_S_VAL_PETTMDEDUCTED(B502,E502)</f>
        <v>43.066042139832</v>
      </c>
      <c r="N502" s="7">
        <f>[1]!EM_S_VAL_PBGOODWILLDEDUCTED(B502,E502)</f>
        <v>1.36501697886711</v>
      </c>
      <c r="O502" s="7">
        <f>[1]!EM_S_VAL_PS_TTM(B502,E502)</f>
        <v>10.6424342207635</v>
      </c>
      <c r="P502" s="7">
        <f>[1]!EM_S_VAL_PCF_NCFTTM(B502,E502)</f>
        <v>-4.80536252550064</v>
      </c>
      <c r="Q502" s="7">
        <f>[1]!EM_S_VAL_DIVIDENDYIELD2(B502,E502,"2019-11-29")</f>
        <v>1.0033444816053512</v>
      </c>
      <c r="T502"/>
      <c r="U502">
        <f>[1]!EM_S_RATIO_EPS_TTM(B502,E502,"1")</f>
        <v>0.15292597523336096</v>
      </c>
      <c r="AT502" s="4" t="str">
        <f>[1]!EM_S_IPO_LISTEDDATE(B502)</f>
        <v>2016-12-06</v>
      </c>
    </row>
    <row r="503" spans="1:46">
      <c r="A503">
        <v>3547</v>
      </c>
      <c r="B503" t="str">
        <f>"603811"</f>
        <v>603811</v>
      </c>
      <c r="C503" t="s">
        <v>831</v>
      </c>
      <c r="D503" t="str">
        <f>[1]!EM_S_INFO_INDEX_EM(B503,"1")</f>
        <v>医药生物</v>
      </c>
      <c r="E503" s="4">
        <f t="shared" si="7"/>
        <v>43465</v>
      </c>
      <c r="F503" s="11">
        <f>[1]!EM_S_PQ_PCTCHANGE(B503,"2018-01-01","2019-12-31","3")</f>
        <v>24.740011160000002</v>
      </c>
      <c r="G503" s="11">
        <f>[1]!EM_S_PQ_PCTCHANGE(B503,"2018-12-31","2019-12-30","1")</f>
        <v>53.789279110000003</v>
      </c>
      <c r="H503" s="11">
        <f>[1]!EM_S_FA_YOY_OR(B503,E503)</f>
        <v>60.099336486299997</v>
      </c>
      <c r="I503" s="11">
        <f>[1]!EM_S_FA_GROSSPROFITMARGIN(B503,E503)</f>
        <v>64.303194383999994</v>
      </c>
      <c r="J503" s="11">
        <f>[1]!EM_S_FA_NETPROFITMARGIN(B503,E503)</f>
        <v>17.845560557900001</v>
      </c>
      <c r="K503" s="10">
        <f>[1]!EM_S_FA_ASSETSTURN(B503,E503)</f>
        <v>0.73307821322300004</v>
      </c>
      <c r="L503" s="12">
        <f>[1]!EM_HKS_VAL_MV(B503,"2019-12-31","2")</f>
        <v>3069074400</v>
      </c>
      <c r="M503">
        <f>[1]!EM_S_VAL_PETTMDEDUCTED(B503,E503)</f>
        <v>20.493734629940398</v>
      </c>
      <c r="N503" s="7">
        <f>[1]!EM_S_VAL_PBGOODWILLDEDUCTED(B503,E503)</f>
        <v>2.9758179477858699</v>
      </c>
      <c r="O503" s="7">
        <f>[1]!EM_S_VAL_PS_TTM(B503,E503)</f>
        <v>3.7683393864446901</v>
      </c>
      <c r="P503" s="7">
        <f>[1]!EM_S_VAL_PCF_NCFTTM(B503,E503)</f>
        <v>-19.367903802687501</v>
      </c>
      <c r="Q503" s="7">
        <f>[1]!EM_S_VAL_DIVIDENDYIELD2(B503,E503,"2019-11-29")</f>
        <v>1.1591962905718702</v>
      </c>
      <c r="T503"/>
      <c r="U503">
        <f>[1]!EM_S_RATIO_EPS_TTM(B503,E503,"1")</f>
        <v>0.81247124857478203</v>
      </c>
      <c r="AT503" s="4" t="str">
        <f>[1]!EM_S_IPO_LISTEDDATE(B503)</f>
        <v>2017-03-15</v>
      </c>
    </row>
    <row r="504" spans="1:46">
      <c r="A504">
        <v>753</v>
      </c>
      <c r="B504" t="str">
        <f>"002242"</f>
        <v>002242</v>
      </c>
      <c r="C504" t="s">
        <v>469</v>
      </c>
      <c r="D504" t="str">
        <f>[1]!EM_S_INFO_INDEX_EM(B504,"1")</f>
        <v>家电</v>
      </c>
      <c r="E504" s="4">
        <f t="shared" si="7"/>
        <v>43465</v>
      </c>
      <c r="F504" s="11">
        <f>[1]!EM_S_PQ_PCTCHANGE(B504,"2018-01-01","2019-12-31","3")</f>
        <v>64.573690290000002</v>
      </c>
      <c r="G504" s="11">
        <f>[1]!EM_S_PQ_PCTCHANGE(B504,"2018-12-31","2019-12-30","1")</f>
        <v>53.778888190000004</v>
      </c>
      <c r="H504" s="11">
        <f>[1]!EM_S_FA_YOY_OR(B504,E504)</f>
        <v>12.710323411899999</v>
      </c>
      <c r="I504" s="11">
        <f>[1]!EM_S_FA_GROSSPROFITMARGIN(B504,E504)</f>
        <v>32.128622546300001</v>
      </c>
      <c r="J504" s="11">
        <f>[1]!EM_S_FA_NETPROFITMARGIN(B504,E504)</f>
        <v>9.0792995063999999</v>
      </c>
      <c r="K504" s="10">
        <f>[1]!EM_S_FA_ASSETSTURN(B504,E504)</f>
        <v>1.360223562871</v>
      </c>
      <c r="L504" s="12">
        <f>[1]!EM_HKS_VAL_MV(B504,"2019-12-31","2")</f>
        <v>19305569920</v>
      </c>
      <c r="M504">
        <f>[1]!EM_S_VAL_PETTMDEDUCTED(B504,E504)</f>
        <v>20.822017935608301</v>
      </c>
      <c r="N504" s="7">
        <f>[1]!EM_S_VAL_PBGOODWILLDEDUCTED(B504,E504)</f>
        <v>3.2249111246780502</v>
      </c>
      <c r="O504" s="7">
        <f>[1]!EM_S_VAL_PS_TTM(B504,E504)</f>
        <v>1.6126266221461001</v>
      </c>
      <c r="P504" s="7">
        <f>[1]!EM_S_VAL_PCF_NCFTTM(B504,E504)</f>
        <v>-69.240969751512694</v>
      </c>
      <c r="Q504" s="7">
        <f>[1]!EM_S_VAL_DIVIDENDYIELD2(B504,E504,"2019-11-29")</f>
        <v>3.54230844414323</v>
      </c>
      <c r="T504"/>
      <c r="U504">
        <f>[1]!EM_S_RATIO_EPS_TTM(B504,E504,"1")</f>
        <v>0.98272879601725582</v>
      </c>
      <c r="AT504" s="4" t="str">
        <f>[1]!EM_S_IPO_LISTEDDATE(B504)</f>
        <v>2008-05-28</v>
      </c>
    </row>
    <row r="505" spans="1:46">
      <c r="A505">
        <v>1302</v>
      </c>
      <c r="B505" t="str">
        <f>"002797"</f>
        <v>002797</v>
      </c>
      <c r="C505" t="s">
        <v>2449</v>
      </c>
      <c r="D505" t="str">
        <f>[1]!EM_S_INFO_INDEX_EM(B505,"1")</f>
        <v>金融</v>
      </c>
      <c r="E505" s="4">
        <f t="shared" si="7"/>
        <v>43465</v>
      </c>
      <c r="F505" s="11">
        <f>[1]!EM_S_PQ_PCTCHANGE(B505,"2018-01-01","2019-12-31","3")</f>
        <v>-15.060884659999999</v>
      </c>
      <c r="G505" s="11">
        <f>[1]!EM_S_PQ_PCTCHANGE(B505,"2018-12-31","2019-12-30","1")</f>
        <v>53.690036900000003</v>
      </c>
      <c r="H505" s="11">
        <f>[1]!EM_S_FA_YOY_OR(B505,E505)</f>
        <v>-9.4026049964999991</v>
      </c>
      <c r="I505" s="11">
        <f>[1]!EM_S_FA_GROSSPROFITMARGIN(B505,E505)</f>
        <v>0</v>
      </c>
      <c r="J505" s="11">
        <f>[1]!EM_S_FA_NETPROFITMARGIN(B505,E505)</f>
        <v>7.4362105270000001</v>
      </c>
      <c r="K505" s="10">
        <f>[1]!EM_S_FA_ASSETSTURN(B505,E505)</f>
        <v>0</v>
      </c>
      <c r="L505" s="12">
        <f>[1]!EM_HKS_VAL_MV(B505,"2019-12-31","2")</f>
        <v>28999872000</v>
      </c>
      <c r="M505">
        <f>[1]!EM_S_VAL_PETTMDEDUCTED(B505,E505)</f>
        <v>80.150966630865</v>
      </c>
      <c r="N505" s="7">
        <f>[1]!EM_S_VAL_PBGOODWILLDEDUCTED(B505,E505)</f>
        <v>2.1601538927928599</v>
      </c>
      <c r="O505" s="7">
        <f>[1]!EM_S_VAL_PS_TTM(B505,E505)</f>
        <v>10.3052121565812</v>
      </c>
      <c r="P505" s="7">
        <f>[1]!EM_S_VAL_PCF_NCFTTM(B505,E505)</f>
        <v>-33.916363986176101</v>
      </c>
      <c r="Q505" s="7">
        <f>[1]!EM_S_VAL_DIVIDENDYIELD2(B505,E505,"2019-11-29")</f>
        <v>0.13908205841446453</v>
      </c>
      <c r="T505"/>
      <c r="U505">
        <f>[1]!EM_S_RATIO_EPS_TTM(B505,E505,"1")</f>
        <v>3.5505600291228873E-2</v>
      </c>
      <c r="AT505" s="4" t="str">
        <f>[1]!EM_S_IPO_LISTEDDATE(B505)</f>
        <v>2016-05-11</v>
      </c>
    </row>
    <row r="506" spans="1:46">
      <c r="A506">
        <v>3284</v>
      </c>
      <c r="B506" t="str">
        <f>"603133"</f>
        <v>603133</v>
      </c>
      <c r="C506" t="s">
        <v>2267</v>
      </c>
      <c r="D506" t="str">
        <f>[1]!EM_S_INFO_INDEX_EM(B506,"1")</f>
        <v>有色金属</v>
      </c>
      <c r="E506" s="4">
        <f t="shared" si="7"/>
        <v>43465</v>
      </c>
      <c r="F506" s="11">
        <f>[1]!EM_S_PQ_PCTCHANGE(B506,"2018-01-01","2019-12-31","3")</f>
        <v>-22.61962685</v>
      </c>
      <c r="G506" s="11">
        <f>[1]!EM_S_PQ_PCTCHANGE(B506,"2018-12-31","2019-12-30","1")</f>
        <v>53.638119770000003</v>
      </c>
      <c r="H506" s="11">
        <f>[1]!EM_S_FA_YOY_OR(B506,E506)</f>
        <v>8.4394943932000004</v>
      </c>
      <c r="I506" s="11">
        <f>[1]!EM_S_FA_GROSSPROFITMARGIN(B506,E506)</f>
        <v>22.947103230500002</v>
      </c>
      <c r="J506" s="11">
        <f>[1]!EM_S_FA_NETPROFITMARGIN(B506,E506)</f>
        <v>9.3935091502999999</v>
      </c>
      <c r="K506" s="10">
        <f>[1]!EM_S_FA_ASSETSTURN(B506,E506)</f>
        <v>0.45678055400399997</v>
      </c>
      <c r="L506" s="12">
        <f>[1]!EM_HKS_VAL_MV(B506,"2019-12-31","2")</f>
        <v>5247141750</v>
      </c>
      <c r="M506">
        <f>[1]!EM_S_VAL_PETTMDEDUCTED(B506,E506)</f>
        <v>78.934937810776304</v>
      </c>
      <c r="N506" s="7">
        <f>[1]!EM_S_VAL_PBGOODWILLDEDUCTED(B506,E506)</f>
        <v>3.57072417753364</v>
      </c>
      <c r="O506" s="7">
        <f>[1]!EM_S_VAL_PS_TTM(B506,E506)</f>
        <v>6.1871752281404504</v>
      </c>
      <c r="P506" s="7">
        <f>[1]!EM_S_VAL_PCF_NCFTTM(B506,E506)</f>
        <v>-123.376459539904</v>
      </c>
      <c r="Q506" s="7">
        <f>[1]!EM_S_VAL_DIVIDENDYIELD2(B506,E506,"2019-11-29")</f>
        <v>0.37394624041551872</v>
      </c>
      <c r="T506"/>
      <c r="U506">
        <f>[1]!EM_S_RATIO_EPS_TTM(B506,E506,"1")</f>
        <v>0.25548536865101035</v>
      </c>
      <c r="AT506" s="4" t="str">
        <f>[1]!EM_S_IPO_LISTEDDATE(B506)</f>
        <v>2017-03-20</v>
      </c>
    </row>
    <row r="507" spans="1:46">
      <c r="A507">
        <v>1120</v>
      </c>
      <c r="B507" t="str">
        <f>"002609"</f>
        <v>002609</v>
      </c>
      <c r="C507" t="s">
        <v>3402</v>
      </c>
      <c r="D507" t="str">
        <f>[1]!EM_S_INFO_INDEX_EM(B507,"1")</f>
        <v>信息技术</v>
      </c>
      <c r="E507" s="4">
        <f t="shared" si="7"/>
        <v>43465</v>
      </c>
      <c r="F507" s="11">
        <f>[1]!EM_S_PQ_PCTCHANGE(B507,"2018-01-01","2019-12-31","3")</f>
        <v>-37.29660432</v>
      </c>
      <c r="G507" s="11">
        <f>[1]!EM_S_PQ_PCTCHANGE(B507,"2018-12-31","2019-12-30","1")</f>
        <v>53.6101083</v>
      </c>
      <c r="H507" s="11">
        <f>[1]!EM_S_FA_YOY_OR(B507,E507)</f>
        <v>-4.8373099459000004</v>
      </c>
      <c r="I507" s="11">
        <f>[1]!EM_S_FA_GROSSPROFITMARGIN(B507,E507)</f>
        <v>42.687988192100001</v>
      </c>
      <c r="J507" s="11">
        <f>[1]!EM_S_FA_NETPROFITMARGIN(B507,E507)</f>
        <v>10.6874635434</v>
      </c>
      <c r="K507" s="10">
        <f>[1]!EM_S_FA_ASSETSTURN(B507,E507)</f>
        <v>0.34827102910199997</v>
      </c>
      <c r="L507" s="12">
        <f>[1]!EM_HKS_VAL_MV(B507,"2019-12-31","2")</f>
        <v>5543983775.1899996</v>
      </c>
      <c r="M507">
        <f>[1]!EM_S_VAL_PETTMDEDUCTED(B507,E507)</f>
        <v>31.198445192880399</v>
      </c>
      <c r="N507" s="7">
        <f>[1]!EM_S_VAL_PBGOODWILLDEDUCTED(B507,E507)</f>
        <v>1.9004550776954201</v>
      </c>
      <c r="O507" s="7">
        <f>[1]!EM_S_VAL_PS_TTM(B507,E507)</f>
        <v>3.97996410089078</v>
      </c>
      <c r="P507" s="7">
        <f>[1]!EM_S_VAL_PCF_NCFTTM(B507,E507)</f>
        <v>-38.972936807184702</v>
      </c>
      <c r="Q507" s="7">
        <f>[1]!EM_S_VAL_DIVIDENDYIELD2(B507,E507,"2019-11-29")</f>
        <v>1.8328781543167461</v>
      </c>
      <c r="T507"/>
      <c r="U507">
        <f>[1]!EM_S_RATIO_EPS_TTM(B507,E507,"1")</f>
        <v>0.14214801994427409</v>
      </c>
      <c r="AT507" s="4" t="str">
        <f>[1]!EM_S_IPO_LISTEDDATE(B507)</f>
        <v>2011-08-15</v>
      </c>
    </row>
    <row r="508" spans="1:46">
      <c r="A508">
        <v>1429</v>
      </c>
      <c r="B508" t="str">
        <f>"300003"</f>
        <v>300003</v>
      </c>
      <c r="C508" t="s">
        <v>360</v>
      </c>
      <c r="D508" t="str">
        <f>[1]!EM_S_INFO_INDEX_EM(B508,"1")</f>
        <v>医药生物</v>
      </c>
      <c r="E508" s="4">
        <f t="shared" si="7"/>
        <v>43465</v>
      </c>
      <c r="F508" s="11">
        <f>[1]!EM_S_PQ_PCTCHANGE(B508,"2018-01-01","2019-12-31","3")</f>
        <v>38.424894180000003</v>
      </c>
      <c r="G508" s="11">
        <f>[1]!EM_S_PQ_PCTCHANGE(B508,"2018-12-31","2019-12-30","1")</f>
        <v>53.531955789999998</v>
      </c>
      <c r="H508" s="11">
        <f>[1]!EM_S_FA_YOY_OR(B508,E508)</f>
        <v>40.0794481573</v>
      </c>
      <c r="I508" s="11">
        <f>[1]!EM_S_FA_GROSSPROFITMARGIN(B508,E508)</f>
        <v>72.748410402199994</v>
      </c>
      <c r="J508" s="11">
        <f>[1]!EM_S_FA_NETPROFITMARGIN(B508,E508)</f>
        <v>19.742191719800001</v>
      </c>
      <c r="K508" s="10">
        <f>[1]!EM_S_FA_ASSETSTURN(B508,E508)</f>
        <v>0.45558354815300001</v>
      </c>
      <c r="L508" s="12">
        <f>[1]!EM_HKS_VAL_MV(B508,"2019-12-31","2")</f>
        <v>58937078626.68</v>
      </c>
      <c r="M508">
        <f>[1]!EM_S_VAL_PETTMDEDUCTED(B508,E508)</f>
        <v>32.649548134351697</v>
      </c>
      <c r="N508" s="7">
        <f>[1]!EM_S_VAL_PBGOODWILLDEDUCTED(B508,E508)</f>
        <v>8.8274493462786108</v>
      </c>
      <c r="O508" s="7">
        <f>[1]!EM_S_VAL_PS_TTM(B508,E508)</f>
        <v>6.3576206534750099</v>
      </c>
      <c r="P508" s="7">
        <f>[1]!EM_S_VAL_PCF_NCFTTM(B508,E508)</f>
        <v>46.169062629161999</v>
      </c>
      <c r="Q508" s="7">
        <f>[1]!EM_S_VAL_DIVIDENDYIELD2(B508,E508,"2019-11-29")</f>
        <v>0.51131081499845055</v>
      </c>
      <c r="T508"/>
      <c r="U508">
        <f>[1]!EM_S_RATIO_EPS_TTM(B508,E508,"1")</f>
        <v>0.68402374269168897</v>
      </c>
      <c r="AT508" s="4" t="str">
        <f>[1]!EM_S_IPO_LISTEDDATE(B508)</f>
        <v>2009-10-30</v>
      </c>
    </row>
    <row r="509" spans="1:46">
      <c r="A509">
        <v>1478</v>
      </c>
      <c r="B509" t="str">
        <f>"300052"</f>
        <v>300052</v>
      </c>
      <c r="C509" t="s">
        <v>1452</v>
      </c>
      <c r="D509" t="str">
        <f>[1]!EM_S_INFO_INDEX_EM(B509,"1")</f>
        <v>互联网</v>
      </c>
      <c r="E509" s="4">
        <f t="shared" si="7"/>
        <v>43465</v>
      </c>
      <c r="F509" s="11">
        <f>[1]!EM_S_PQ_PCTCHANGE(B509,"2018-01-01","2019-12-31","3")</f>
        <v>9.1736232500000003</v>
      </c>
      <c r="G509" s="11">
        <f>[1]!EM_S_PQ_PCTCHANGE(B509,"2018-12-31","2019-12-30","1")</f>
        <v>53.465346529999998</v>
      </c>
      <c r="H509" s="11">
        <f>[1]!EM_S_FA_YOY_OR(B509,E509)</f>
        <v>6.6349814626999999</v>
      </c>
      <c r="I509" s="11">
        <f>[1]!EM_S_FA_GROSSPROFITMARGIN(B509,E509)</f>
        <v>58.911458295899997</v>
      </c>
      <c r="J509" s="11">
        <f>[1]!EM_S_FA_NETPROFITMARGIN(B509,E509)</f>
        <v>11.3910746483</v>
      </c>
      <c r="K509" s="10">
        <f>[1]!EM_S_FA_ASSETSTURN(B509,E509)</f>
        <v>0.28213002166500001</v>
      </c>
      <c r="L509" s="12">
        <f>[1]!EM_HKS_VAL_MV(B509,"2019-12-31","2")</f>
        <v>4086912900</v>
      </c>
      <c r="M509">
        <f>[1]!EM_S_VAL_PETTMDEDUCTED(B509,E509)</f>
        <v>189.89132828890101</v>
      </c>
      <c r="N509" s="7">
        <f>[1]!EM_S_VAL_PBGOODWILLDEDUCTED(B509,E509)</f>
        <v>3.6932645156283299</v>
      </c>
      <c r="O509" s="7">
        <f>[1]!EM_S_VAL_PS_TTM(B509,E509)</f>
        <v>9.4445187511082604</v>
      </c>
      <c r="P509" s="7">
        <f>[1]!EM_S_VAL_PCF_NCFTTM(B509,E509)</f>
        <v>-27.489409833697799</v>
      </c>
      <c r="Q509" s="7">
        <f>[1]!EM_S_VAL_DIVIDENDYIELD2(B509,E509,"2019-11-29")</f>
        <v>0.15303843919489046</v>
      </c>
      <c r="T509"/>
      <c r="U509">
        <f>[1]!EM_S_RATIO_EPS_TTM(B509,E509,"1")</f>
        <v>0.13736562858176876</v>
      </c>
      <c r="AT509" s="4" t="str">
        <f>[1]!EM_S_IPO_LISTEDDATE(B509)</f>
        <v>2010-02-11</v>
      </c>
    </row>
    <row r="510" spans="1:46">
      <c r="A510">
        <v>559</v>
      </c>
      <c r="B510" t="str">
        <f>"002048"</f>
        <v>002048</v>
      </c>
      <c r="C510" t="s">
        <v>1943</v>
      </c>
      <c r="D510" t="str">
        <f>[1]!EM_S_INFO_INDEX_EM(B510,"1")</f>
        <v>交运设备</v>
      </c>
      <c r="E510" s="4">
        <f t="shared" si="7"/>
        <v>43465</v>
      </c>
      <c r="F510" s="11">
        <f>[1]!EM_S_PQ_PCTCHANGE(B510,"2018-01-01","2019-12-31","3")</f>
        <v>-33.31321389</v>
      </c>
      <c r="G510" s="11">
        <f>[1]!EM_S_PQ_PCTCHANGE(B510,"2018-12-31","2019-12-30","1")</f>
        <v>53.403643340000002</v>
      </c>
      <c r="H510" s="11">
        <f>[1]!EM_S_FA_YOY_OR(B510,E510)</f>
        <v>0.81360807420000003</v>
      </c>
      <c r="I510" s="11">
        <f>[1]!EM_S_FA_GROSSPROFITMARGIN(B510,E510)</f>
        <v>19.796439597799999</v>
      </c>
      <c r="J510" s="11">
        <f>[1]!EM_S_FA_NETPROFITMARGIN(B510,E510)</f>
        <v>6.8236458002999996</v>
      </c>
      <c r="K510" s="10">
        <f>[1]!EM_S_FA_ASSETSTURN(B510,E510)</f>
        <v>0.91953135334500002</v>
      </c>
      <c r="L510" s="12">
        <f>[1]!EM_HKS_VAL_MV(B510,"2019-12-31","2")</f>
        <v>9681474274.4400005</v>
      </c>
      <c r="M510">
        <f>[1]!EM_S_VAL_PETTMDEDUCTED(B510,E510)</f>
        <v>10.7229655657184</v>
      </c>
      <c r="N510" s="7">
        <f>[1]!EM_S_VAL_PBGOODWILLDEDUCTED(B510,E510)</f>
        <v>0.92181885011386</v>
      </c>
      <c r="O510" s="7">
        <f>[1]!EM_S_VAL_PS_TTM(B510,E510)</f>
        <v>0.44228674320370898</v>
      </c>
      <c r="P510" s="7">
        <f>[1]!EM_S_VAL_PCF_NCFTTM(B510,E510)</f>
        <v>10.4928520198819</v>
      </c>
      <c r="Q510" s="7">
        <f>[1]!EM_S_VAL_DIVIDENDYIELD2(B510,E510,"2019-11-29")</f>
        <v>1.0504201680672267</v>
      </c>
      <c r="T510"/>
      <c r="U510">
        <f>[1]!EM_S_RATIO_EPS_TTM(B510,E510,"1")</f>
        <v>1.1685794394142315</v>
      </c>
      <c r="AT510" s="4" t="str">
        <f>[1]!EM_S_IPO_LISTEDDATE(B510)</f>
        <v>2005-06-03</v>
      </c>
    </row>
    <row r="511" spans="1:46">
      <c r="A511">
        <v>2170</v>
      </c>
      <c r="B511" t="str">
        <f>"600009"</f>
        <v>600009</v>
      </c>
      <c r="C511" t="s">
        <v>487</v>
      </c>
      <c r="D511" t="str">
        <f>[1]!EM_S_INFO_INDEX_EM(B511,"1")</f>
        <v>交通运输</v>
      </c>
      <c r="E511" s="4">
        <f t="shared" si="7"/>
        <v>43465</v>
      </c>
      <c r="F511" s="11">
        <f>[1]!EM_S_PQ_PCTCHANGE(B511,"2018-01-01","2019-12-31","3")</f>
        <v>78.098758599999996</v>
      </c>
      <c r="G511" s="11">
        <f>[1]!EM_S_PQ_PCTCHANGE(B511,"2018-12-31","2019-12-30","1")</f>
        <v>53.388494880000003</v>
      </c>
      <c r="H511" s="11">
        <f>[1]!EM_S_FA_YOY_OR(B511,E511)</f>
        <v>15.5132331557</v>
      </c>
      <c r="I511" s="11">
        <f>[1]!EM_S_FA_GROSSPROFITMARGIN(B511,E511)</f>
        <v>51.688065594299999</v>
      </c>
      <c r="J511" s="11">
        <f>[1]!EM_S_FA_NETPROFITMARGIN(B511,E511)</f>
        <v>47.582132315999999</v>
      </c>
      <c r="K511" s="10">
        <f>[1]!EM_S_FA_ASSETSTURN(B511,E511)</f>
        <v>0.318527060513</v>
      </c>
      <c r="L511" s="12">
        <f>[1]!EM_HKS_VAL_MV(B511,"2019-12-31","2")</f>
        <v>151747977780</v>
      </c>
      <c r="M511">
        <f>[1]!EM_S_VAL_PETTMDEDUCTED(B511,E511)</f>
        <v>23.6702800445508</v>
      </c>
      <c r="N511" s="7">
        <f>[1]!EM_S_VAL_PBGOODWILLDEDUCTED(B511,E511)</f>
        <v>3.4628757670928998</v>
      </c>
      <c r="O511" s="7">
        <f>[1]!EM_S_VAL_PS_TTM(B511,E511)</f>
        <v>10.923795062882901</v>
      </c>
      <c r="P511" s="7">
        <f>[1]!EM_S_VAL_PCF_NCFTTM(B511,E511)</f>
        <v>186.491416259939</v>
      </c>
      <c r="Q511" s="7">
        <f>[1]!EM_S_VAL_DIVIDENDYIELD2(B511,E511,"2019-11-29")</f>
        <v>0.87847730600292828</v>
      </c>
      <c r="T511"/>
      <c r="U511">
        <f>[1]!EM_S_RATIO_EPS_TTM(B511,E511,"1")</f>
        <v>2.1959124439252049</v>
      </c>
      <c r="AT511" s="4" t="str">
        <f>[1]!EM_S_IPO_LISTEDDATE(B511)</f>
        <v>1998-02-18</v>
      </c>
    </row>
    <row r="512" spans="1:46">
      <c r="A512">
        <v>2758</v>
      </c>
      <c r="B512" t="str">
        <f>"600685"</f>
        <v>600685</v>
      </c>
      <c r="C512" t="s">
        <v>2924</v>
      </c>
      <c r="D512" t="str">
        <f>[1]!EM_S_INFO_INDEX_EM(B512,"1")</f>
        <v>国防与装备</v>
      </c>
      <c r="E512" s="4">
        <f t="shared" si="7"/>
        <v>43465</v>
      </c>
      <c r="F512" s="11">
        <f>[1]!EM_S_PQ_PCTCHANGE(B512,"2018-01-01","2019-12-31","3")</f>
        <v>-44.673668419999998</v>
      </c>
      <c r="G512" s="11">
        <f>[1]!EM_S_PQ_PCTCHANGE(B512,"2018-12-31","2019-12-30","1")</f>
        <v>53.242677819999997</v>
      </c>
      <c r="H512" s="11">
        <f>[1]!EM_S_FA_YOY_OR(B512,E512)</f>
        <v>-16.171804274599999</v>
      </c>
      <c r="I512" s="11">
        <f>[1]!EM_S_FA_GROSSPROFITMARGIN(B512,E512)</f>
        <v>-0.25436857969999999</v>
      </c>
      <c r="J512" s="11">
        <f>[1]!EM_S_FA_NETPROFITMARGIN(B512,E512)</f>
        <v>-12.8770798528</v>
      </c>
      <c r="K512" s="10">
        <f>[1]!EM_S_FA_ASSETSTURN(B512,E512)</f>
        <v>0.419359730928</v>
      </c>
      <c r="L512" s="12">
        <f>[1]!EM_HKS_VAL_MV(B512,"2019-12-31","2")</f>
        <v>20849219075.5</v>
      </c>
      <c r="M512">
        <f>[1]!EM_S_VAL_PETTMDEDUCTED(B512,E512)</f>
        <v>-11.2364938900495</v>
      </c>
      <c r="N512" s="7">
        <f>[1]!EM_S_VAL_PBGOODWILLDEDUCTED(B512,E512)</f>
        <v>1.4100834603521399</v>
      </c>
      <c r="O512" s="7">
        <f>[1]!EM_S_VAL_PS_TTM(B512,E512)</f>
        <v>0.72717988894004904</v>
      </c>
      <c r="P512" s="7">
        <f>[1]!EM_S_VAL_PCF_NCFTTM(B512,E512)</f>
        <v>856.94347030062897</v>
      </c>
      <c r="Q512" s="7">
        <f>[1]!EM_S_VAL_DIVIDENDYIELD2(B512,E512,"2019-11-29")</f>
        <v>0</v>
      </c>
      <c r="T512"/>
      <c r="U512">
        <f>[1]!EM_S_RATIO_EPS_TTM(B512,E512,"1")</f>
        <v>-1.3222537861657955</v>
      </c>
      <c r="AT512" s="4" t="str">
        <f>[1]!EM_S_IPO_LISTEDDATE(B512)</f>
        <v>1993-10-28</v>
      </c>
    </row>
    <row r="513" spans="1:46">
      <c r="A513">
        <v>3579</v>
      </c>
      <c r="B513" t="str">
        <f>"603881"</f>
        <v>603881</v>
      </c>
      <c r="C513" t="s">
        <v>565</v>
      </c>
      <c r="D513" t="str">
        <f>[1]!EM_S_INFO_INDEX_EM(B513,"1")</f>
        <v>信息技术</v>
      </c>
      <c r="E513" s="4">
        <f t="shared" si="7"/>
        <v>43465</v>
      </c>
      <c r="F513" s="11">
        <f>[1]!EM_S_PQ_PCTCHANGE(B513,"2018-01-01","2019-12-31","3")</f>
        <v>-16.485281990000001</v>
      </c>
      <c r="G513" s="11">
        <f>[1]!EM_S_PQ_PCTCHANGE(B513,"2018-12-31","2019-12-30","1")</f>
        <v>53.193209379999999</v>
      </c>
      <c r="H513" s="11">
        <f>[1]!EM_S_FA_YOY_OR(B513,E513)</f>
        <v>74.861318931400007</v>
      </c>
      <c r="I513" s="11">
        <f>[1]!EM_S_FA_GROSSPROFITMARGIN(B513,E513)</f>
        <v>29.767177712900001</v>
      </c>
      <c r="J513" s="11">
        <f>[1]!EM_S_FA_NETPROFITMARGIN(B513,E513)</f>
        <v>15.746094428799999</v>
      </c>
      <c r="K513" s="10">
        <f>[1]!EM_S_FA_ASSETSTURN(B513,E513)</f>
        <v>0.41844631658699999</v>
      </c>
      <c r="L513" s="12">
        <f>[1]!EM_HKS_VAL_MV(B513,"2019-12-31","2")</f>
        <v>7991757978.6000004</v>
      </c>
      <c r="M513">
        <f>[1]!EM_S_VAL_PETTMDEDUCTED(B513,E513)</f>
        <v>40.775492694889699</v>
      </c>
      <c r="N513" s="7">
        <f>[1]!EM_S_VAL_PBGOODWILLDEDUCTED(B513,E513)</f>
        <v>5.2833200374220999</v>
      </c>
      <c r="O513" s="7">
        <f>[1]!EM_S_VAL_PS_TTM(B513,E513)</f>
        <v>8.0473480545172293</v>
      </c>
      <c r="P513" s="7">
        <f>[1]!EM_S_VAL_PCF_NCFTTM(B513,E513)</f>
        <v>-81.683033719732705</v>
      </c>
      <c r="Q513" s="7">
        <f>[1]!EM_S_VAL_DIVIDENDYIELD2(B513,E513,"2019-11-29")</f>
        <v>0.19178082191780821</v>
      </c>
      <c r="T513"/>
      <c r="U513">
        <f>[1]!EM_S_RATIO_EPS_TTM(B513,E513,"1")</f>
        <v>0.67836900828423441</v>
      </c>
      <c r="AT513" s="4" t="str">
        <f>[1]!EM_S_IPO_LISTEDDATE(B513)</f>
        <v>2017-02-08</v>
      </c>
    </row>
    <row r="514" spans="1:46">
      <c r="A514">
        <v>1549</v>
      </c>
      <c r="B514" t="str">
        <f>"300124"</f>
        <v>300124</v>
      </c>
      <c r="C514" t="s">
        <v>617</v>
      </c>
      <c r="D514" t="str">
        <f>[1]!EM_S_INFO_INDEX_EM(B514,"1")</f>
        <v>机械设备</v>
      </c>
      <c r="E514" s="4">
        <f t="shared" si="7"/>
        <v>43465</v>
      </c>
      <c r="F514" s="11">
        <f>[1]!EM_S_PQ_PCTCHANGE(B514,"2018-01-01","2019-12-31","3")</f>
        <v>7.4545395900000004</v>
      </c>
      <c r="G514" s="11">
        <f>[1]!EM_S_PQ_PCTCHANGE(B514,"2018-12-31","2019-12-30","1")</f>
        <v>53.17775571</v>
      </c>
      <c r="H514" s="11">
        <f>[1]!EM_S_FA_YOY_OR(B514,E514)</f>
        <v>22.964081584599999</v>
      </c>
      <c r="I514" s="11">
        <f>[1]!EM_S_FA_GROSSPROFITMARGIN(B514,E514)</f>
        <v>41.811829040200003</v>
      </c>
      <c r="J514" s="11">
        <f>[1]!EM_S_FA_NETPROFITMARGIN(B514,E514)</f>
        <v>20.576219889800001</v>
      </c>
      <c r="K514" s="10">
        <f>[1]!EM_S_FA_ASSETSTURN(B514,E514)</f>
        <v>0.606339218392</v>
      </c>
      <c r="L514" s="12">
        <f>[1]!EM_HKS_VAL_MV(B514,"2019-12-31","2")</f>
        <v>53094194803.839996</v>
      </c>
      <c r="M514">
        <f>[1]!EM_S_VAL_PETTMDEDUCTED(B514,E514)</f>
        <v>32.581888224730697</v>
      </c>
      <c r="N514" s="7">
        <f>[1]!EM_S_VAL_PBGOODWILLDEDUCTED(B514,E514)</f>
        <v>5.65135282466861</v>
      </c>
      <c r="O514" s="7">
        <f>[1]!EM_S_VAL_PS_TTM(B514,E514)</f>
        <v>5.99928851878171</v>
      </c>
      <c r="P514" s="7">
        <f>[1]!EM_S_VAL_PCF_NCFTTM(B514,E514)</f>
        <v>77.103890673251897</v>
      </c>
      <c r="Q514" s="7">
        <f>[1]!EM_S_VAL_DIVIDENDYIELD2(B514,E514,"2019-11-29")</f>
        <v>0.76132470498667693</v>
      </c>
      <c r="T514"/>
      <c r="U514">
        <f>[1]!EM_S_RATIO_EPS_TTM(B514,E514,"1")</f>
        <v>0.70119167501755275</v>
      </c>
      <c r="AT514" s="4" t="str">
        <f>[1]!EM_S_IPO_LISTEDDATE(B514)</f>
        <v>2010-09-28</v>
      </c>
    </row>
    <row r="515" spans="1:46">
      <c r="A515">
        <v>269</v>
      </c>
      <c r="B515" t="str">
        <f>"000682"</f>
        <v>000682</v>
      </c>
      <c r="C515" t="s">
        <v>2733</v>
      </c>
      <c r="D515" t="str">
        <f>[1]!EM_S_INFO_INDEX_EM(B515,"1")</f>
        <v>电气设备</v>
      </c>
      <c r="E515" s="4">
        <f t="shared" ref="E515:E578" si="8">$B$1</f>
        <v>43465</v>
      </c>
      <c r="F515" s="11">
        <f>[1]!EM_S_PQ_PCTCHANGE(B515,"2018-01-01","2019-12-31","3")</f>
        <v>8.3870967699999994</v>
      </c>
      <c r="G515" s="11">
        <f>[1]!EM_S_PQ_PCTCHANGE(B515,"2018-12-31","2019-12-30","1")</f>
        <v>53.172205439999999</v>
      </c>
      <c r="H515" s="11">
        <f>[1]!EM_S_FA_YOY_OR(B515,E515)</f>
        <v>12.327729353500001</v>
      </c>
      <c r="I515" s="11">
        <f>[1]!EM_S_FA_GROSSPROFITMARGIN(B515,E515)</f>
        <v>32.3683476287</v>
      </c>
      <c r="J515" s="11">
        <f>[1]!EM_S_FA_NETPROFITMARGIN(B515,E515)</f>
        <v>7.3371160710999996</v>
      </c>
      <c r="K515" s="10">
        <f>[1]!EM_S_FA_ASSETSTURN(B515,E515)</f>
        <v>0.611806033779</v>
      </c>
      <c r="L515" s="12">
        <f>[1]!EM_HKS_VAL_MV(B515,"2019-12-31","2")</f>
        <v>6757264115.2799997</v>
      </c>
      <c r="M515">
        <f>[1]!EM_S_VAL_PETTMDEDUCTED(B515,E515)</f>
        <v>45.2569980358873</v>
      </c>
      <c r="N515" s="7">
        <f>[1]!EM_S_VAL_PBGOODWILLDEDUCTED(B515,E515)</f>
        <v>1.4682794902523499</v>
      </c>
      <c r="O515" s="7">
        <f>[1]!EM_S_VAL_PS_TTM(B515,E515)</f>
        <v>1.56026699074025</v>
      </c>
      <c r="P515" s="7">
        <f>[1]!EM_S_VAL_PCF_NCFTTM(B515,E515)</f>
        <v>-13.6507148924043</v>
      </c>
      <c r="Q515" s="7">
        <f>[1]!EM_S_VAL_DIVIDENDYIELD2(B515,E515,"2019-11-29")</f>
        <v>0</v>
      </c>
      <c r="T515"/>
      <c r="U515">
        <f>[1]!EM_S_RATIO_EPS_TTM(B515,E515,"1")</f>
        <v>0.12761808188891058</v>
      </c>
      <c r="AT515" s="4" t="str">
        <f>[1]!EM_S_IPO_LISTEDDATE(B515)</f>
        <v>1997-01-21</v>
      </c>
    </row>
    <row r="516" spans="1:46">
      <c r="A516">
        <v>3096</v>
      </c>
      <c r="B516" t="str">
        <f>"601318"</f>
        <v>601318</v>
      </c>
      <c r="C516" t="s">
        <v>262</v>
      </c>
      <c r="D516" t="str">
        <f>[1]!EM_S_INFO_INDEX_EM(B516,"1")</f>
        <v>金融</v>
      </c>
      <c r="E516" s="4">
        <f t="shared" si="8"/>
        <v>43465</v>
      </c>
      <c r="F516" s="11">
        <f>[1]!EM_S_PQ_PCTCHANGE(B516,"2018-01-01","2019-12-31","3")</f>
        <v>28.60168183</v>
      </c>
      <c r="G516" s="11">
        <f>[1]!EM_S_PQ_PCTCHANGE(B516,"2018-12-31","2019-12-30","1")</f>
        <v>53.101604279999997</v>
      </c>
      <c r="H516" s="11">
        <f>[1]!EM_S_FA_YOY_OR(B516,E516)</f>
        <v>9.6477423496999997</v>
      </c>
      <c r="I516" s="11">
        <f>[1]!EM_S_FA_GROSSPROFITMARGIN(B516,E516)</f>
        <v>0</v>
      </c>
      <c r="J516" s="11">
        <f>[1]!EM_S_FA_NETPROFITMARGIN(B516,E516)</f>
        <v>12.330881871200001</v>
      </c>
      <c r="K516" s="10">
        <f>[1]!EM_S_FA_ASSETSTURN(B516,E516)</f>
        <v>0</v>
      </c>
      <c r="L516" s="12">
        <f>[1]!EM_HKS_VAL_MV(B516,"2019-12-31","2")</f>
        <v>1562229430898.6001</v>
      </c>
      <c r="M516">
        <f>[1]!EM_S_VAL_PETTMDEDUCTED(B516,E516)</f>
        <v>10.033475619812201</v>
      </c>
      <c r="N516" s="7">
        <f>[1]!EM_S_VAL_PBGOODWILLDEDUCTED(B516,E516)</f>
        <v>1.9133292967398501</v>
      </c>
      <c r="O516" s="7">
        <f>[1]!EM_S_VAL_PS_TTM(B516,E516)</f>
        <v>1.0482304066302399</v>
      </c>
      <c r="P516" s="7">
        <f>[1]!EM_S_VAL_PCF_NCFTTM(B516,E516)</f>
        <v>23.563290820757299</v>
      </c>
      <c r="Q516" s="7">
        <f>[1]!EM_S_VAL_DIVIDENDYIELD2(B516,E516,"2019-11-29")</f>
        <v>1.3154747668022004</v>
      </c>
      <c r="T516"/>
      <c r="U516">
        <f>[1]!EM_S_RATIO_EPS_TTM(B516,E516,"1")</f>
        <v>5.8754147492409947</v>
      </c>
      <c r="AT516" s="4" t="str">
        <f>[1]!EM_S_IPO_LISTEDDATE(B516)</f>
        <v>2007-03-01</v>
      </c>
    </row>
    <row r="517" spans="1:46">
      <c r="A517">
        <v>641</v>
      </c>
      <c r="B517" t="str">
        <f>"002130"</f>
        <v>002130</v>
      </c>
      <c r="C517" t="s">
        <v>2177</v>
      </c>
      <c r="D517" t="str">
        <f>[1]!EM_S_INFO_INDEX_EM(B517,"1")</f>
        <v>有色金属</v>
      </c>
      <c r="E517" s="4">
        <f t="shared" si="8"/>
        <v>43465</v>
      </c>
      <c r="F517" s="11">
        <f>[1]!EM_S_PQ_PCTCHANGE(B517,"2018-01-01","2019-12-31","3")</f>
        <v>-13.91669211</v>
      </c>
      <c r="G517" s="11">
        <f>[1]!EM_S_PQ_PCTCHANGE(B517,"2018-12-31","2019-12-30","1")</f>
        <v>53.086419749999997</v>
      </c>
      <c r="H517" s="11">
        <f>[1]!EM_S_FA_YOY_OR(B517,E517)</f>
        <v>36.645981114199998</v>
      </c>
      <c r="I517" s="11">
        <f>[1]!EM_S_FA_GROSSPROFITMARGIN(B517,E517)</f>
        <v>32.200598408600001</v>
      </c>
      <c r="J517" s="11">
        <f>[1]!EM_S_FA_NETPROFITMARGIN(B517,E517)</f>
        <v>0.96522262999999997</v>
      </c>
      <c r="K517" s="10">
        <f>[1]!EM_S_FA_ASSETSTURN(B517,E517)</f>
        <v>0.55698044902499999</v>
      </c>
      <c r="L517" s="12">
        <f>[1]!EM_HKS_VAL_MV(B517,"2019-12-31","2")</f>
        <v>6219376326.2799997</v>
      </c>
      <c r="M517">
        <f>[1]!EM_S_VAL_PETTMDEDUCTED(B517,E517)</f>
        <v>37.594617799682297</v>
      </c>
      <c r="N517" s="7">
        <f>[1]!EM_S_VAL_PBGOODWILLDEDUCTED(B517,E517)</f>
        <v>2.2593341816816799</v>
      </c>
      <c r="O517" s="7">
        <f>[1]!EM_S_VAL_PS_TTM(B517,E517)</f>
        <v>1.27907223142811</v>
      </c>
      <c r="P517" s="7">
        <f>[1]!EM_S_VAL_PCF_NCFTTM(B517,E517)</f>
        <v>-34.959916703964602</v>
      </c>
      <c r="Q517" s="7">
        <f>[1]!EM_S_VAL_DIVIDENDYIELD2(B517,E517,"2019-11-29")</f>
        <v>0</v>
      </c>
      <c r="T517"/>
      <c r="U517">
        <f>[1]!EM_S_RATIO_EPS_TTM(B517,E517,"1")</f>
        <v>1.6257221983020341E-2</v>
      </c>
      <c r="AT517" s="4" t="str">
        <f>[1]!EM_S_IPO_LISTEDDATE(B517)</f>
        <v>2007-04-20</v>
      </c>
    </row>
    <row r="518" spans="1:46">
      <c r="A518">
        <v>2208</v>
      </c>
      <c r="B518" t="str">
        <f>"600061"</f>
        <v>600061</v>
      </c>
      <c r="C518" t="s">
        <v>1895</v>
      </c>
      <c r="D518" t="str">
        <f>[1]!EM_S_INFO_INDEX_EM(B518,"1")</f>
        <v>金融</v>
      </c>
      <c r="E518" s="4">
        <f t="shared" si="8"/>
        <v>43465</v>
      </c>
      <c r="F518" s="11">
        <f>[1]!EM_S_PQ_PCTCHANGE(B518,"2018-01-01","2019-12-31","3")</f>
        <v>16.28790575</v>
      </c>
      <c r="G518" s="11">
        <f>[1]!EM_S_PQ_PCTCHANGE(B518,"2018-12-31","2019-12-30","1")</f>
        <v>53.058954389999997</v>
      </c>
      <c r="H518" s="11">
        <f>[1]!EM_S_FA_YOY_OR(B518,E518)</f>
        <v>235.4892556968</v>
      </c>
      <c r="I518" s="11">
        <f>[1]!EM_S_FA_GROSSPROFITMARGIN(B518,E518)</f>
        <v>0.9585240572</v>
      </c>
      <c r="J518" s="11">
        <f>[1]!EM_S_FA_NETPROFITMARGIN(B518,E518)</f>
        <v>85.657781815600003</v>
      </c>
      <c r="K518" s="10">
        <f>[1]!EM_S_FA_ASSETSTURN(B518,E518)</f>
        <v>7.0594815426000004E-2</v>
      </c>
      <c r="L518" s="12">
        <f>[1]!EM_HKS_VAL_MV(B518,"2019-12-31","2")</f>
        <v>63998744066.779999</v>
      </c>
      <c r="M518">
        <f>[1]!EM_S_VAL_PETTMDEDUCTED(B518,E518)</f>
        <v>22.0710859589995</v>
      </c>
      <c r="N518" s="7">
        <f>[1]!EM_S_VAL_PBGOODWILLDEDUCTED(B518,E518)</f>
        <v>1.19577824408248</v>
      </c>
      <c r="O518" s="7">
        <f>[1]!EM_S_VAL_PS_TTM(B518,E518)</f>
        <v>3.4301502473143399</v>
      </c>
      <c r="P518" s="7">
        <f>[1]!EM_S_VAL_PCF_NCFTTM(B518,E518)</f>
        <v>120.16700172770901</v>
      </c>
      <c r="Q518" s="7">
        <f>[1]!EM_S_VAL_DIVIDENDYIELD2(B518,E518,"2019-11-29")</f>
        <v>0.67782426778242688</v>
      </c>
      <c r="T518"/>
      <c r="U518">
        <f>[1]!EM_S_RATIO_EPS_TTM(B518,E518,"1")</f>
        <v>0.39730490460294315</v>
      </c>
      <c r="AT518" s="4" t="str">
        <f>[1]!EM_S_IPO_LISTEDDATE(B518)</f>
        <v>1997-05-19</v>
      </c>
    </row>
    <row r="519" spans="1:46">
      <c r="A519">
        <v>164</v>
      </c>
      <c r="B519" t="str">
        <f>"000555"</f>
        <v>000555</v>
      </c>
      <c r="C519" t="s">
        <v>2609</v>
      </c>
      <c r="D519" t="str">
        <f>[1]!EM_S_INFO_INDEX_EM(B519,"1")</f>
        <v>信息技术</v>
      </c>
      <c r="E519" s="4">
        <f t="shared" si="8"/>
        <v>43465</v>
      </c>
      <c r="F519" s="11">
        <f>[1]!EM_S_PQ_PCTCHANGE(B519,"2018-01-01","2019-12-31","3")</f>
        <v>26.681308219999998</v>
      </c>
      <c r="G519" s="11">
        <f>[1]!EM_S_PQ_PCTCHANGE(B519,"2018-12-31","2019-12-30","1")</f>
        <v>52.997858669999999</v>
      </c>
      <c r="H519" s="11">
        <f>[1]!EM_S_FA_YOY_OR(B519,E519)</f>
        <v>10.8743384054</v>
      </c>
      <c r="I519" s="11">
        <f>[1]!EM_S_FA_GROSSPROFITMARGIN(B519,E519)</f>
        <v>18.627764384599999</v>
      </c>
      <c r="J519" s="11">
        <f>[1]!EM_S_FA_NETPROFITMARGIN(B519,E519)</f>
        <v>0.52074586940000001</v>
      </c>
      <c r="K519" s="10">
        <f>[1]!EM_S_FA_ASSETSTURN(B519,E519)</f>
        <v>0.84771222337600005</v>
      </c>
      <c r="L519" s="12">
        <f>[1]!EM_HKS_VAL_MV(B519,"2019-12-31","2")</f>
        <v>14371346653.129999</v>
      </c>
      <c r="M519">
        <f>[1]!EM_S_VAL_PETTMDEDUCTED(B519,E519)</f>
        <v>32.476271029291098</v>
      </c>
      <c r="N519" s="7">
        <f>[1]!EM_S_VAL_PBGOODWILLDEDUCTED(B519,E519)</f>
        <v>2.6450836746309099</v>
      </c>
      <c r="O519" s="7">
        <f>[1]!EM_S_VAL_PS_TTM(B519,E519)</f>
        <v>1.0108480151358601</v>
      </c>
      <c r="P519" s="7">
        <f>[1]!EM_S_VAL_PCF_NCFTTM(B519,E519)</f>
        <v>-27.8190278284398</v>
      </c>
      <c r="Q519" s="7">
        <f>[1]!EM_S_VAL_DIVIDENDYIELD2(B519,E519,"2019-11-29")</f>
        <v>0.28671060507877699</v>
      </c>
      <c r="T519"/>
      <c r="U519">
        <f>[1]!EM_S_RATIO_EPS_TTM(B519,E519,"1")</f>
        <v>4.3694081352495188E-2</v>
      </c>
      <c r="AT519" s="4" t="str">
        <f>[1]!EM_S_IPO_LISTEDDATE(B519)</f>
        <v>1994-04-08</v>
      </c>
    </row>
    <row r="520" spans="1:46">
      <c r="A520">
        <v>1763</v>
      </c>
      <c r="B520" t="str">
        <f>"300338"</f>
        <v>300338</v>
      </c>
      <c r="C520" t="s">
        <v>2436</v>
      </c>
      <c r="D520" t="str">
        <f>[1]!EM_S_INFO_INDEX_EM(B520,"1")</f>
        <v>文化传媒</v>
      </c>
      <c r="E520" s="4">
        <f t="shared" si="8"/>
        <v>43465</v>
      </c>
      <c r="F520" s="11">
        <f>[1]!EM_S_PQ_PCTCHANGE(B520,"2018-01-01","2019-12-31","3")</f>
        <v>-50.575206620000003</v>
      </c>
      <c r="G520" s="11">
        <f>[1]!EM_S_PQ_PCTCHANGE(B520,"2018-12-31","2019-12-30","1")</f>
        <v>52.96671491</v>
      </c>
      <c r="H520" s="11">
        <f>[1]!EM_S_FA_YOY_OR(B520,E520)</f>
        <v>48.245316242000001</v>
      </c>
      <c r="I520" s="11">
        <f>[1]!EM_S_FA_GROSSPROFITMARGIN(B520,E520)</f>
        <v>70.1255668055</v>
      </c>
      <c r="J520" s="11">
        <f>[1]!EM_S_FA_NETPROFITMARGIN(B520,E520)</f>
        <v>7.2364578500999999</v>
      </c>
      <c r="K520" s="10">
        <f>[1]!EM_S_FA_ASSETSTURN(B520,E520)</f>
        <v>0.48272087563999999</v>
      </c>
      <c r="L520" s="12">
        <f>[1]!EM_HKS_VAL_MV(B520,"2019-12-31","2")</f>
        <v>3638864375.1999998</v>
      </c>
      <c r="M520">
        <f>[1]!EM_S_VAL_PETTMDEDUCTED(B520,E520)</f>
        <v>16.261827841037402</v>
      </c>
      <c r="N520" s="7">
        <f>[1]!EM_S_VAL_PBGOODWILLDEDUCTED(B520,E520)</f>
        <v>2.9388367894704701</v>
      </c>
      <c r="O520" s="7">
        <f>[1]!EM_S_VAL_PS_TTM(B520,E520)</f>
        <v>1.7323203497458699</v>
      </c>
      <c r="P520" s="7">
        <f>[1]!EM_S_VAL_PCF_NCFTTM(B520,E520)</f>
        <v>-27.015650416493699</v>
      </c>
      <c r="Q520" s="7">
        <f>[1]!EM_S_VAL_DIVIDENDYIELD2(B520,E520,"2019-11-29")</f>
        <v>0.13024630642627599</v>
      </c>
      <c r="T520"/>
      <c r="U520">
        <f>[1]!EM_S_RATIO_EPS_TTM(B520,E520,"1")</f>
        <v>0.28564639661012625</v>
      </c>
      <c r="AT520" s="4" t="str">
        <f>[1]!EM_S_IPO_LISTEDDATE(B520)</f>
        <v>2012-07-26</v>
      </c>
    </row>
    <row r="521" spans="1:46">
      <c r="A521">
        <v>3089</v>
      </c>
      <c r="B521" t="str">
        <f>"601233"</f>
        <v>601233</v>
      </c>
      <c r="C521" t="s">
        <v>568</v>
      </c>
      <c r="D521" t="str">
        <f>[1]!EM_S_INFO_INDEX_EM(B521,"1")</f>
        <v>基础化工</v>
      </c>
      <c r="E521" s="4">
        <f t="shared" si="8"/>
        <v>43465</v>
      </c>
      <c r="F521" s="11">
        <f>[1]!EM_S_PQ_PCTCHANGE(B521,"2018-01-01","2019-12-31","3")</f>
        <v>-5.4386906599999998</v>
      </c>
      <c r="G521" s="11">
        <f>[1]!EM_S_PQ_PCTCHANGE(B521,"2018-12-31","2019-12-30","1")</f>
        <v>52.868852459999999</v>
      </c>
      <c r="H521" s="11">
        <f>[1]!EM_S_FA_YOY_OR(B521,E521)</f>
        <v>26.778290091300001</v>
      </c>
      <c r="I521" s="11">
        <f>[1]!EM_S_FA_GROSSPROFITMARGIN(B521,E521)</f>
        <v>11.678344557100001</v>
      </c>
      <c r="J521" s="11">
        <f>[1]!EM_S_FA_NETPROFITMARGIN(B521,E521)</f>
        <v>5.1235877987</v>
      </c>
      <c r="K521" s="10">
        <f>[1]!EM_S_FA_ASSETSTURN(B521,E521)</f>
        <v>1.359092449851</v>
      </c>
      <c r="L521" s="12">
        <f>[1]!EM_HKS_VAL_MV(B521,"2019-12-31","2")</f>
        <v>27700482781.939999</v>
      </c>
      <c r="M521">
        <f>[1]!EM_S_VAL_PETTMDEDUCTED(B521,E521)</f>
        <v>5.7642177744715397</v>
      </c>
      <c r="N521" s="7">
        <f>[1]!EM_S_VAL_PBGOODWILLDEDUCTED(B521,E521)</f>
        <v>1.16100925855841</v>
      </c>
      <c r="O521" s="7">
        <f>[1]!EM_S_VAL_PS_TTM(B521,E521)</f>
        <v>0.44043018374137699</v>
      </c>
      <c r="P521" s="7">
        <f>[1]!EM_S_VAL_PCF_NCFTTM(B521,E521)</f>
        <v>7.23480162200915</v>
      </c>
      <c r="Q521" s="7">
        <f>[1]!EM_S_VAL_DIVIDENDYIELD2(B521,E521,"2019-11-29")</f>
        <v>0.92431222098899402</v>
      </c>
      <c r="T521"/>
      <c r="U521">
        <f>[1]!EM_S_RATIO_EPS_TTM(B521,E521,"1")</f>
        <v>1.1637390535857788</v>
      </c>
      <c r="AT521" s="4" t="str">
        <f>[1]!EM_S_IPO_LISTEDDATE(B521)</f>
        <v>2011-05-18</v>
      </c>
    </row>
    <row r="522" spans="1:46">
      <c r="A522">
        <v>1623</v>
      </c>
      <c r="B522" t="str">
        <f>"300198"</f>
        <v>300198</v>
      </c>
      <c r="C522" t="s">
        <v>2764</v>
      </c>
      <c r="D522" t="str">
        <f>[1]!EM_S_INFO_INDEX_EM(B522,"1")</f>
        <v>建材</v>
      </c>
      <c r="E522" s="4">
        <f t="shared" si="8"/>
        <v>43465</v>
      </c>
      <c r="F522" s="11">
        <f>[1]!EM_S_PQ_PCTCHANGE(B522,"2018-01-01","2019-12-31","3")</f>
        <v>-35.124076700000003</v>
      </c>
      <c r="G522" s="11">
        <f>[1]!EM_S_PQ_PCTCHANGE(B522,"2018-12-31","2019-12-30","1")</f>
        <v>52.81690141</v>
      </c>
      <c r="H522" s="11">
        <f>[1]!EM_S_FA_YOY_OR(B522,E522)</f>
        <v>-23.349485898200001</v>
      </c>
      <c r="I522" s="11">
        <f>[1]!EM_S_FA_GROSSPROFITMARGIN(B522,E522)</f>
        <v>16.675072904499999</v>
      </c>
      <c r="J522" s="11">
        <f>[1]!EM_S_FA_NETPROFITMARGIN(B522,E522)</f>
        <v>-35.412410027200004</v>
      </c>
      <c r="K522" s="10">
        <f>[1]!EM_S_FA_ASSETSTURN(B522,E522)</f>
        <v>0.36006022063499998</v>
      </c>
      <c r="L522" s="12">
        <f>[1]!EM_HKS_VAL_MV(B522,"2019-12-31","2")</f>
        <v>4456289692.8000002</v>
      </c>
      <c r="M522">
        <f>[1]!EM_S_VAL_PETTMDEDUCTED(B522,E522)</f>
        <v>120.89016676249101</v>
      </c>
      <c r="N522" s="7">
        <f>[1]!EM_S_VAL_PBGOODWILLDEDUCTED(B522,E522)</f>
        <v>2.6120485375650802</v>
      </c>
      <c r="O522" s="7">
        <f>[1]!EM_S_VAL_PS_TTM(B522,E522)</f>
        <v>1.97448005542796</v>
      </c>
      <c r="P522" s="7">
        <f>[1]!EM_S_VAL_PCF_NCFTTM(B522,E522)</f>
        <v>-30.799300195399901</v>
      </c>
      <c r="Q522" s="7">
        <f>[1]!EM_S_VAL_DIVIDENDYIELD2(B522,E522,"2019-11-29")</f>
        <v>0</v>
      </c>
      <c r="T522"/>
      <c r="U522">
        <f>[1]!EM_S_RATIO_EPS_TTM(B522,E522,"1")</f>
        <v>-0.38499503988440525</v>
      </c>
      <c r="AT522" s="4" t="str">
        <f>[1]!EM_S_IPO_LISTEDDATE(B522)</f>
        <v>2011-04-07</v>
      </c>
    </row>
    <row r="523" spans="1:46">
      <c r="A523">
        <v>2218</v>
      </c>
      <c r="B523" t="str">
        <f>"600071"</f>
        <v>600071</v>
      </c>
      <c r="C523" t="s">
        <v>3302</v>
      </c>
      <c r="D523" t="str">
        <f>[1]!EM_S_INFO_INDEX_EM(B523,"1")</f>
        <v>电子设备</v>
      </c>
      <c r="E523" s="4">
        <f t="shared" si="8"/>
        <v>43465</v>
      </c>
      <c r="F523" s="11">
        <f>[1]!EM_S_PQ_PCTCHANGE(B523,"2018-01-01","2019-12-31","3")</f>
        <v>-31.377245510000002</v>
      </c>
      <c r="G523" s="11">
        <f>[1]!EM_S_PQ_PCTCHANGE(B523,"2018-12-31","2019-12-30","1")</f>
        <v>52.80748663</v>
      </c>
      <c r="H523" s="11">
        <f>[1]!EM_S_FA_YOY_OR(B523,E523)</f>
        <v>-2.1061711368</v>
      </c>
      <c r="I523" s="11">
        <f>[1]!EM_S_FA_GROSSPROFITMARGIN(B523,E523)</f>
        <v>13.4150213235</v>
      </c>
      <c r="J523" s="11">
        <f>[1]!EM_S_FA_NETPROFITMARGIN(B523,E523)</f>
        <v>-1.1349543498000001</v>
      </c>
      <c r="K523" s="10">
        <f>[1]!EM_S_FA_ASSETSTURN(B523,E523)</f>
        <v>0.80838185735000001</v>
      </c>
      <c r="L523" s="12">
        <f>[1]!EM_HKS_VAL_MV(B523,"2019-12-31","2")</f>
        <v>3226836767.9400001</v>
      </c>
      <c r="M523">
        <f>[1]!EM_S_VAL_PETTMDEDUCTED(B523,E523)</f>
        <v>-86.930003603616399</v>
      </c>
      <c r="N523" s="7">
        <f>[1]!EM_S_VAL_PBGOODWILLDEDUCTED(B523,E523)</f>
        <v>4.3103115761180897</v>
      </c>
      <c r="O523" s="7">
        <f>[1]!EM_S_VAL_PS_TTM(B523,E523)</f>
        <v>2.2542383238095201</v>
      </c>
      <c r="P523" s="7">
        <f>[1]!EM_S_VAL_PCF_NCFTTM(B523,E523)</f>
        <v>99.886552877965201</v>
      </c>
      <c r="Q523" s="7">
        <f>[1]!EM_S_VAL_DIVIDENDYIELD2(B523,E523,"2019-11-29")</f>
        <v>0</v>
      </c>
      <c r="T523"/>
      <c r="U523">
        <f>[1]!EM_S_RATIO_EPS_TTM(B523,E523,"1")</f>
        <v>-3.1451108376122576E-2</v>
      </c>
      <c r="AT523" s="4" t="str">
        <f>[1]!EM_S_IPO_LISTEDDATE(B523)</f>
        <v>1997-05-28</v>
      </c>
    </row>
    <row r="524" spans="1:46">
      <c r="A524">
        <v>1058</v>
      </c>
      <c r="B524" t="str">
        <f>"002547"</f>
        <v>002547</v>
      </c>
      <c r="C524" t="s">
        <v>3019</v>
      </c>
      <c r="D524" t="str">
        <f>[1]!EM_S_INFO_INDEX_EM(B524,"1")</f>
        <v>电子设备</v>
      </c>
      <c r="E524" s="4">
        <f t="shared" si="8"/>
        <v>43465</v>
      </c>
      <c r="F524" s="11">
        <f>[1]!EM_S_PQ_PCTCHANGE(B524,"2018-01-01","2019-12-31","3")</f>
        <v>3.1367628600000002</v>
      </c>
      <c r="G524" s="11">
        <f>[1]!EM_S_PQ_PCTCHANGE(B524,"2018-12-31","2019-12-30","1")</f>
        <v>52.74102079</v>
      </c>
      <c r="H524" s="11">
        <f>[1]!EM_S_FA_YOY_OR(B524,E524)</f>
        <v>29.658477732000001</v>
      </c>
      <c r="I524" s="11">
        <f>[1]!EM_S_FA_GROSSPROFITMARGIN(B524,E524)</f>
        <v>17.772515787500001</v>
      </c>
      <c r="J524" s="11">
        <f>[1]!EM_S_FA_NETPROFITMARGIN(B524,E524)</f>
        <v>1.6125954913</v>
      </c>
      <c r="K524" s="10">
        <f>[1]!EM_S_FA_ASSETSTURN(B524,E524)</f>
        <v>0.57839942857100002</v>
      </c>
      <c r="L524" s="12">
        <f>[1]!EM_HKS_VAL_MV(B524,"2019-12-31","2")</f>
        <v>9272629920.9599991</v>
      </c>
      <c r="M524">
        <f>[1]!EM_S_VAL_PETTMDEDUCTED(B524,E524)</f>
        <v>-16.0419686720535</v>
      </c>
      <c r="N524" s="7">
        <f>[1]!EM_S_VAL_PBGOODWILLDEDUCTED(B524,E524)</f>
        <v>2.6292252422898601</v>
      </c>
      <c r="O524" s="7">
        <f>[1]!EM_S_VAL_PS_TTM(B524,E524)</f>
        <v>1.22640633109663</v>
      </c>
      <c r="P524" s="7">
        <f>[1]!EM_S_VAL_PCF_NCFTTM(B524,E524)</f>
        <v>-11.0448261590971</v>
      </c>
      <c r="Q524" s="7">
        <f>[1]!EM_S_VAL_DIVIDENDYIELD2(B524,E524,"2019-11-29")</f>
        <v>0</v>
      </c>
      <c r="T524"/>
      <c r="U524">
        <f>[1]!EM_S_RATIO_EPS_TTM(B524,E524,"1")</f>
        <v>3.5456399059023577E-2</v>
      </c>
      <c r="AT524" s="4" t="str">
        <f>[1]!EM_S_IPO_LISTEDDATE(B524)</f>
        <v>2011-02-18</v>
      </c>
    </row>
    <row r="525" spans="1:46">
      <c r="A525">
        <v>998</v>
      </c>
      <c r="B525" t="str">
        <f>"002487"</f>
        <v>002487</v>
      </c>
      <c r="C525" t="s">
        <v>2711</v>
      </c>
      <c r="D525" t="str">
        <f>[1]!EM_S_INFO_INDEX_EM(B525,"1")</f>
        <v>机械设备</v>
      </c>
      <c r="E525" s="4">
        <f t="shared" si="8"/>
        <v>43465</v>
      </c>
      <c r="F525" s="11">
        <f>[1]!EM_S_PQ_PCTCHANGE(B525,"2018-01-01","2019-12-31","3")</f>
        <v>13.45163835</v>
      </c>
      <c r="G525" s="11">
        <f>[1]!EM_S_PQ_PCTCHANGE(B525,"2018-12-31","2019-12-30","1")</f>
        <v>52.694610779999998</v>
      </c>
      <c r="H525" s="11">
        <f>[1]!EM_S_FA_YOY_OR(B525,E525)</f>
        <v>-5.0222905396000002</v>
      </c>
      <c r="I525" s="11">
        <f>[1]!EM_S_FA_GROSSPROFITMARGIN(B525,E525)</f>
        <v>20.359424205900002</v>
      </c>
      <c r="J525" s="11">
        <f>[1]!EM_S_FA_NETPROFITMARGIN(B525,E525)</f>
        <v>6.4701107442000003</v>
      </c>
      <c r="K525" s="10">
        <f>[1]!EM_S_FA_ASSETSTURN(B525,E525)</f>
        <v>0.34002556379499999</v>
      </c>
      <c r="L525" s="12">
        <f>[1]!EM_HKS_VAL_MV(B525,"2019-12-31","2")</f>
        <v>3019689600</v>
      </c>
      <c r="M525">
        <f>[1]!EM_S_VAL_PETTMDEDUCTED(B525,E525)</f>
        <v>62.916123160484403</v>
      </c>
      <c r="N525" s="7">
        <f>[1]!EM_S_VAL_PBGOODWILLDEDUCTED(B525,E525)</f>
        <v>1.01667856138307</v>
      </c>
      <c r="O525" s="7">
        <f>[1]!EM_S_VAL_PS_TTM(B525,E525)</f>
        <v>1.7415772984992799</v>
      </c>
      <c r="P525" s="7">
        <f>[1]!EM_S_VAL_PCF_NCFTTM(B525,E525)</f>
        <v>31.1679625037501</v>
      </c>
      <c r="Q525" s="7">
        <f>[1]!EM_S_VAL_DIVIDENDYIELD2(B525,E525,"2019-11-29")</f>
        <v>0.20161290322580644</v>
      </c>
      <c r="T525"/>
      <c r="U525">
        <f>[1]!EM_S_RATIO_EPS_TTM(B525,E525,"1")</f>
        <v>0.11362901923216226</v>
      </c>
      <c r="AT525" s="4" t="str">
        <f>[1]!EM_S_IPO_LISTEDDATE(B525)</f>
        <v>2010-10-15</v>
      </c>
    </row>
    <row r="526" spans="1:46">
      <c r="A526">
        <v>3047</v>
      </c>
      <c r="B526" t="str">
        <f>"601099"</f>
        <v>601099</v>
      </c>
      <c r="C526" t="s">
        <v>3070</v>
      </c>
      <c r="D526" t="str">
        <f>[1]!EM_S_INFO_INDEX_EM(B526,"1")</f>
        <v>金融</v>
      </c>
      <c r="E526" s="4">
        <f t="shared" si="8"/>
        <v>43465</v>
      </c>
      <c r="F526" s="11">
        <f>[1]!EM_S_PQ_PCTCHANGE(B526,"2018-01-01","2019-12-31","3")</f>
        <v>5.0660839400000004</v>
      </c>
      <c r="G526" s="11">
        <f>[1]!EM_S_PQ_PCTCHANGE(B526,"2018-12-31","2019-12-30","1")</f>
        <v>52.610441770000001</v>
      </c>
      <c r="H526" s="11">
        <f>[1]!EM_S_FA_YOY_OR(B526,E526)</f>
        <v>-69.963710272499995</v>
      </c>
      <c r="I526" s="11">
        <f>[1]!EM_S_FA_GROSSPROFITMARGIN(B526,E526)</f>
        <v>0</v>
      </c>
      <c r="J526" s="11">
        <f>[1]!EM_S_FA_NETPROFITMARGIN(B526,E526)</f>
        <v>-337.68246956799999</v>
      </c>
      <c r="K526" s="10">
        <f>[1]!EM_S_FA_ASSETSTURN(B526,E526)</f>
        <v>0</v>
      </c>
      <c r="L526" s="12">
        <f>[1]!EM_HKS_VAL_MV(B526,"2019-12-31","2")</f>
        <v>25833839042.299999</v>
      </c>
      <c r="M526">
        <f>[1]!EM_S_VAL_PETTMDEDUCTED(B526,E526)</f>
        <v>-121.370637134866</v>
      </c>
      <c r="N526" s="7">
        <f>[1]!EM_S_VAL_PBGOODWILLDEDUCTED(B526,E526)</f>
        <v>1.64940285418951</v>
      </c>
      <c r="O526" s="7">
        <f>[1]!EM_S_VAL_PS_TTM(B526,E526)</f>
        <v>16.085212308033601</v>
      </c>
      <c r="P526" s="7">
        <f>[1]!EM_S_VAL_PCF_NCFTTM(B526,E526)</f>
        <v>-23.161235639645401</v>
      </c>
      <c r="Q526" s="7">
        <f>[1]!EM_S_VAL_DIVIDENDYIELD2(B526,E526,"2019-11-29")</f>
        <v>0</v>
      </c>
      <c r="T526"/>
      <c r="U526">
        <f>[1]!EM_S_RATIO_EPS_TTM(B526,E526,"1")</f>
        <v>-0.1939840751141661</v>
      </c>
      <c r="AT526" s="4" t="str">
        <f>[1]!EM_S_IPO_LISTEDDATE(B526)</f>
        <v>2007-12-28</v>
      </c>
    </row>
    <row r="527" spans="1:46">
      <c r="A527">
        <v>546</v>
      </c>
      <c r="B527" t="str">
        <f>"002035"</f>
        <v>002035</v>
      </c>
      <c r="C527" t="s">
        <v>282</v>
      </c>
      <c r="D527" t="str">
        <f>[1]!EM_S_INFO_INDEX_EM(B527,"1")</f>
        <v>家电</v>
      </c>
      <c r="E527" s="4">
        <f t="shared" si="8"/>
        <v>43465</v>
      </c>
      <c r="F527" s="11">
        <f>[1]!EM_S_PQ_PCTCHANGE(B527,"2018-01-01","2019-12-31","3")</f>
        <v>-30.594588510000001</v>
      </c>
      <c r="G527" s="11">
        <f>[1]!EM_S_PQ_PCTCHANGE(B527,"2018-12-31","2019-12-30","1")</f>
        <v>52.542372880000002</v>
      </c>
      <c r="H527" s="11">
        <f>[1]!EM_S_FA_YOY_OR(B527,E527)</f>
        <v>6.3579225628999998</v>
      </c>
      <c r="I527" s="11">
        <f>[1]!EM_S_FA_GROSSPROFITMARGIN(B527,E527)</f>
        <v>47.337562818400002</v>
      </c>
      <c r="J527" s="11">
        <f>[1]!EM_S_FA_NETPROFITMARGIN(B527,E527)</f>
        <v>11.3810000604</v>
      </c>
      <c r="K527" s="10">
        <f>[1]!EM_S_FA_ASSETSTURN(B527,E527)</f>
        <v>1.2825567094770001</v>
      </c>
      <c r="L527" s="12">
        <f>[1]!EM_HKS_VAL_MV(B527,"2019-12-31","2")</f>
        <v>11710870724.08</v>
      </c>
      <c r="M527">
        <f>[1]!EM_S_VAL_PETTMDEDUCTED(B527,E527)</f>
        <v>12.633613107426999</v>
      </c>
      <c r="N527" s="7">
        <f>[1]!EM_S_VAL_PBGOODWILLDEDUCTED(B527,E527)</f>
        <v>3.1376797686347899</v>
      </c>
      <c r="O527" s="7">
        <f>[1]!EM_S_VAL_PS_TTM(B527,E527)</f>
        <v>1.2397530393291101</v>
      </c>
      <c r="P527" s="7">
        <f>[1]!EM_S_VAL_PCF_NCFTTM(B527,E527)</f>
        <v>10.185693928744501</v>
      </c>
      <c r="Q527" s="7">
        <f>[1]!EM_S_VAL_DIVIDENDYIELD2(B527,E527,"2019-11-29")</f>
        <v>2.6798158502782918</v>
      </c>
      <c r="T527"/>
      <c r="U527">
        <f>[1]!EM_S_RATIO_EPS_TTM(B527,E527,"1")</f>
        <v>0.76783563093111429</v>
      </c>
      <c r="AT527" s="4" t="str">
        <f>[1]!EM_S_IPO_LISTEDDATE(B527)</f>
        <v>2004-09-01</v>
      </c>
    </row>
    <row r="528" spans="1:46">
      <c r="A528">
        <v>1479</v>
      </c>
      <c r="B528" t="str">
        <f>"300053"</f>
        <v>300053</v>
      </c>
      <c r="C528" t="s">
        <v>2146</v>
      </c>
      <c r="D528" t="str">
        <f>[1]!EM_S_INFO_INDEX_EM(B528,"1")</f>
        <v>信息技术</v>
      </c>
      <c r="E528" s="4">
        <f t="shared" si="8"/>
        <v>43465</v>
      </c>
      <c r="F528" s="11">
        <f>[1]!EM_S_PQ_PCTCHANGE(B528,"2018-01-01","2019-12-31","3")</f>
        <v>-12.617446409999999</v>
      </c>
      <c r="G528" s="11">
        <f>[1]!EM_S_PQ_PCTCHANGE(B528,"2018-12-31","2019-12-30","1")</f>
        <v>52.450980389999998</v>
      </c>
      <c r="H528" s="11">
        <f>[1]!EM_S_FA_YOY_OR(B528,E528)</f>
        <v>22.621771169999999</v>
      </c>
      <c r="I528" s="11">
        <f>[1]!EM_S_FA_GROSSPROFITMARGIN(B528,E528)</f>
        <v>36.022457017699999</v>
      </c>
      <c r="J528" s="11">
        <f>[1]!EM_S_FA_NETPROFITMARGIN(B528,E528)</f>
        <v>10.468918178099999</v>
      </c>
      <c r="K528" s="10">
        <f>[1]!EM_S_FA_ASSETSTURN(B528,E528)</f>
        <v>0.26436288664000002</v>
      </c>
      <c r="L528" s="12">
        <f>[1]!EM_HKS_VAL_MV(B528,"2019-12-31","2")</f>
        <v>8720804993.0400009</v>
      </c>
      <c r="M528">
        <f>[1]!EM_S_VAL_PETTMDEDUCTED(B528,E528)</f>
        <v>64.521144887449296</v>
      </c>
      <c r="N528" s="7">
        <f>[1]!EM_S_VAL_PBGOODWILLDEDUCTED(B528,E528)</f>
        <v>2.4210083218121401</v>
      </c>
      <c r="O528" s="7">
        <f>[1]!EM_S_VAL_PS_TTM(B528,E528)</f>
        <v>6.8431339904183197</v>
      </c>
      <c r="P528" s="7">
        <f>[1]!EM_S_VAL_PCF_NCFTTM(B528,E528)</f>
        <v>435.80654126912799</v>
      </c>
      <c r="Q528" s="7">
        <f>[1]!EM_S_VAL_DIVIDENDYIELD2(B528,E528,"2019-11-29")</f>
        <v>0.18789981273408241</v>
      </c>
      <c r="T528"/>
      <c r="U528">
        <f>[1]!EM_S_RATIO_EPS_TTM(B528,E528,"1")</f>
        <v>0.13519069690806379</v>
      </c>
      <c r="AT528" s="4" t="str">
        <f>[1]!EM_S_IPO_LISTEDDATE(B528)</f>
        <v>2010-02-11</v>
      </c>
    </row>
    <row r="529" spans="1:46">
      <c r="A529">
        <v>1654</v>
      </c>
      <c r="B529" t="str">
        <f>"300229"</f>
        <v>300229</v>
      </c>
      <c r="C529" t="s">
        <v>3042</v>
      </c>
      <c r="D529" t="str">
        <f>[1]!EM_S_INFO_INDEX_EM(B529,"1")</f>
        <v>信息技术</v>
      </c>
      <c r="E529" s="4">
        <f t="shared" si="8"/>
        <v>43465</v>
      </c>
      <c r="F529" s="11">
        <f>[1]!EM_S_PQ_PCTCHANGE(B529,"2018-01-01","2019-12-31","3")</f>
        <v>-9.1363150100000006</v>
      </c>
      <c r="G529" s="11">
        <f>[1]!EM_S_PQ_PCTCHANGE(B529,"2018-12-31","2019-12-30","1")</f>
        <v>52.37543453</v>
      </c>
      <c r="H529" s="11">
        <f>[1]!EM_S_FA_YOY_OR(B529,E529)</f>
        <v>2.9196400131</v>
      </c>
      <c r="I529" s="11">
        <f>[1]!EM_S_FA_GROSSPROFITMARGIN(B529,E529)</f>
        <v>59.435312462200002</v>
      </c>
      <c r="J529" s="11">
        <f>[1]!EM_S_FA_NETPROFITMARGIN(B529,E529)</f>
        <v>8.7263129757000009</v>
      </c>
      <c r="K529" s="10">
        <f>[1]!EM_S_FA_ASSETSTURN(B529,E529)</f>
        <v>0.34748357382599998</v>
      </c>
      <c r="L529" s="12">
        <f>[1]!EM_HKS_VAL_MV(B529,"2019-12-31","2")</f>
        <v>6166344738</v>
      </c>
      <c r="M529">
        <f>[1]!EM_S_VAL_PETTMDEDUCTED(B529,E529)</f>
        <v>32.312944942274001</v>
      </c>
      <c r="N529" s="7">
        <f>[1]!EM_S_VAL_PBGOODWILLDEDUCTED(B529,E529)</f>
        <v>3.2764105985569199</v>
      </c>
      <c r="O529" s="7">
        <f>[1]!EM_S_VAL_PS_TTM(B529,E529)</f>
        <v>4.9482643512345996</v>
      </c>
      <c r="P529" s="7">
        <f>[1]!EM_S_VAL_PCF_NCFTTM(B529,E529)</f>
        <v>-27.975164437378002</v>
      </c>
      <c r="Q529" s="7">
        <f>[1]!EM_S_VAL_DIVIDENDYIELD2(B529,E529,"2019-11-29")</f>
        <v>0.43240353914330149</v>
      </c>
      <c r="T529"/>
      <c r="U529">
        <f>[1]!EM_S_RATIO_EPS_TTM(B529,E529,"1")</f>
        <v>0.12838396763138951</v>
      </c>
      <c r="AT529" s="4" t="str">
        <f>[1]!EM_S_IPO_LISTEDDATE(B529)</f>
        <v>2011-06-15</v>
      </c>
    </row>
    <row r="530" spans="1:46">
      <c r="A530">
        <v>1809</v>
      </c>
      <c r="B530" t="str">
        <f>"300384"</f>
        <v>300384</v>
      </c>
      <c r="C530" t="s">
        <v>952</v>
      </c>
      <c r="D530" t="str">
        <f>[1]!EM_S_INFO_INDEX_EM(B530,"1")</f>
        <v>基础化工</v>
      </c>
      <c r="E530" s="4">
        <f t="shared" si="8"/>
        <v>43465</v>
      </c>
      <c r="F530" s="11">
        <f>[1]!EM_S_PQ_PCTCHANGE(B530,"2018-01-01","2019-12-31","3")</f>
        <v>16.814095330000001</v>
      </c>
      <c r="G530" s="11">
        <f>[1]!EM_S_PQ_PCTCHANGE(B530,"2018-12-31","2019-12-30","1")</f>
        <v>52.28040541</v>
      </c>
      <c r="H530" s="11">
        <f>[1]!EM_S_FA_YOY_OR(B530,E530)</f>
        <v>111.2844985894</v>
      </c>
      <c r="I530" s="11">
        <f>[1]!EM_S_FA_GROSSPROFITMARGIN(B530,E530)</f>
        <v>40.148307875100002</v>
      </c>
      <c r="J530" s="11">
        <f>[1]!EM_S_FA_NETPROFITMARGIN(B530,E530)</f>
        <v>18.490211778700001</v>
      </c>
      <c r="K530" s="10">
        <f>[1]!EM_S_FA_ASSETSTURN(B530,E530)</f>
        <v>0.25847584518599998</v>
      </c>
      <c r="L530" s="12">
        <f>[1]!EM_HKS_VAL_MV(B530,"2019-12-31","2")</f>
        <v>5713786845.1000004</v>
      </c>
      <c r="M530">
        <f>[1]!EM_S_VAL_PETTMDEDUCTED(B530,E530)</f>
        <v>29.2814487067999</v>
      </c>
      <c r="N530" s="7">
        <f>[1]!EM_S_VAL_PBGOODWILLDEDUCTED(B530,E530)</f>
        <v>2.6416739537864</v>
      </c>
      <c r="O530" s="7">
        <f>[1]!EM_S_VAL_PS_TTM(B530,E530)</f>
        <v>7.0389995316827001</v>
      </c>
      <c r="P530" s="7">
        <f>[1]!EM_S_VAL_PCF_NCFTTM(B530,E530)</f>
        <v>17.686515110160599</v>
      </c>
      <c r="Q530" s="7">
        <f>[1]!EM_S_VAL_DIVIDENDYIELD2(B530,E530,"2019-11-29")</f>
        <v>0.25036506091474697</v>
      </c>
      <c r="T530"/>
      <c r="U530">
        <f>[1]!EM_S_RATIO_EPS_TTM(B530,E530,"1")</f>
        <v>0.35578971382906605</v>
      </c>
      <c r="AT530" s="4" t="str">
        <f>[1]!EM_S_IPO_LISTEDDATE(B530)</f>
        <v>2014-08-01</v>
      </c>
    </row>
    <row r="531" spans="1:46">
      <c r="A531">
        <v>3420</v>
      </c>
      <c r="B531" t="str">
        <f>"603519"</f>
        <v>603519</v>
      </c>
      <c r="C531" t="s">
        <v>1168</v>
      </c>
      <c r="D531" t="str">
        <f>[1]!EM_S_INFO_INDEX_EM(B531,"1")</f>
        <v>基础化工</v>
      </c>
      <c r="E531" s="4">
        <f t="shared" si="8"/>
        <v>43465</v>
      </c>
      <c r="F531" s="11">
        <f>[1]!EM_S_PQ_PCTCHANGE(B531,"2018-01-01","2019-12-31","3")</f>
        <v>-2.2159064900000001</v>
      </c>
      <c r="G531" s="11">
        <f>[1]!EM_S_PQ_PCTCHANGE(B531,"2018-12-31","2019-12-30","1")</f>
        <v>52.222222219999999</v>
      </c>
      <c r="H531" s="11">
        <f>[1]!EM_S_FA_YOY_OR(B531,E531)</f>
        <v>4.8589743937999996</v>
      </c>
      <c r="I531" s="11">
        <f>[1]!EM_S_FA_GROSSPROFITMARGIN(B531,E531)</f>
        <v>14.966160394199999</v>
      </c>
      <c r="J531" s="11">
        <f>[1]!EM_S_FA_NETPROFITMARGIN(B531,E531)</f>
        <v>7.1304192161</v>
      </c>
      <c r="K531" s="10">
        <f>[1]!EM_S_FA_ASSETSTURN(B531,E531)</f>
        <v>1.354711363007</v>
      </c>
      <c r="L531" s="12">
        <f>[1]!EM_HKS_VAL_MV(B531,"2019-12-31","2")</f>
        <v>3109377522.6599998</v>
      </c>
      <c r="M531">
        <f>[1]!EM_S_VAL_PETTMDEDUCTED(B531,E531)</f>
        <v>24.373338991471499</v>
      </c>
      <c r="N531" s="7">
        <f>[1]!EM_S_VAL_PBGOODWILLDEDUCTED(B531,E531)</f>
        <v>2.8001125982945898</v>
      </c>
      <c r="O531" s="7">
        <f>[1]!EM_S_VAL_PS_TTM(B531,E531)</f>
        <v>1.62721515643467</v>
      </c>
      <c r="P531" s="7">
        <f>[1]!EM_S_VAL_PCF_NCFTTM(B531,E531)</f>
        <v>-141.978497191294</v>
      </c>
      <c r="Q531" s="7">
        <f>[1]!EM_S_VAL_DIVIDENDYIELD2(B531,E531,"2019-11-29")</f>
        <v>3.3624747814391389</v>
      </c>
      <c r="T531"/>
      <c r="U531">
        <f>[1]!EM_S_RATIO_EPS_TTM(B531,E531,"1")</f>
        <v>0.41209525304480449</v>
      </c>
      <c r="AT531" s="4" t="str">
        <f>[1]!EM_S_IPO_LISTEDDATE(B531)</f>
        <v>2015-03-19</v>
      </c>
    </row>
    <row r="532" spans="1:46">
      <c r="A532">
        <v>1467</v>
      </c>
      <c r="B532" t="str">
        <f>"300041"</f>
        <v>300041</v>
      </c>
      <c r="C532" t="s">
        <v>698</v>
      </c>
      <c r="D532" t="str">
        <f>[1]!EM_S_INFO_INDEX_EM(B532,"1")</f>
        <v>基础化工</v>
      </c>
      <c r="E532" s="4">
        <f t="shared" si="8"/>
        <v>43465</v>
      </c>
      <c r="F532" s="11">
        <f>[1]!EM_S_PQ_PCTCHANGE(B532,"2018-01-01","2019-12-31","3")</f>
        <v>7.7940153700000003</v>
      </c>
      <c r="G532" s="11">
        <f>[1]!EM_S_PQ_PCTCHANGE(B532,"2018-12-31","2019-12-30","1")</f>
        <v>52.173913040000002</v>
      </c>
      <c r="H532" s="11">
        <f>[1]!EM_S_FA_YOY_OR(B532,E532)</f>
        <v>14.810411265700001</v>
      </c>
      <c r="I532" s="11">
        <f>[1]!EM_S_FA_GROSSPROFITMARGIN(B532,E532)</f>
        <v>25.3396613514</v>
      </c>
      <c r="J532" s="11">
        <f>[1]!EM_S_FA_NETPROFITMARGIN(B532,E532)</f>
        <v>6.8225499995999996</v>
      </c>
      <c r="K532" s="10">
        <f>[1]!EM_S_FA_ASSETSTURN(B532,E532)</f>
        <v>0.74790250420500004</v>
      </c>
      <c r="L532" s="12">
        <f>[1]!EM_HKS_VAL_MV(B532,"2019-12-31","2")</f>
        <v>4316723857.6800003</v>
      </c>
      <c r="M532">
        <f>[1]!EM_S_VAL_PETTMDEDUCTED(B532,E532)</f>
        <v>25.822646101559499</v>
      </c>
      <c r="N532" s="7">
        <f>[1]!EM_S_VAL_PBGOODWILLDEDUCTED(B532,E532)</f>
        <v>1.6111771489107101</v>
      </c>
      <c r="O532" s="7">
        <f>[1]!EM_S_VAL_PS_TTM(B532,E532)</f>
        <v>1.63064289441891</v>
      </c>
      <c r="P532" s="7">
        <f>[1]!EM_S_VAL_PCF_NCFTTM(B532,E532)</f>
        <v>-22.379684771004001</v>
      </c>
      <c r="Q532" s="7">
        <f>[1]!EM_S_VAL_DIVIDENDYIELD2(B532,E532,"2019-11-29")</f>
        <v>1.5269949949949952</v>
      </c>
      <c r="T532"/>
      <c r="U532">
        <f>[1]!EM_S_RATIO_EPS_TTM(B532,E532,"1")</f>
        <v>0.27897731727399105</v>
      </c>
      <c r="AT532" s="4" t="str">
        <f>[1]!EM_S_IPO_LISTEDDATE(B532)</f>
        <v>2010-01-08</v>
      </c>
    </row>
    <row r="533" spans="1:46">
      <c r="A533">
        <v>1463</v>
      </c>
      <c r="B533" t="str">
        <f>"300037"</f>
        <v>300037</v>
      </c>
      <c r="C533" t="s">
        <v>1307</v>
      </c>
      <c r="D533" t="str">
        <f>[1]!EM_S_INFO_INDEX_EM(B533,"1")</f>
        <v>基础化工</v>
      </c>
      <c r="E533" s="4">
        <f t="shared" si="8"/>
        <v>43465</v>
      </c>
      <c r="F533" s="11">
        <f>[1]!EM_S_PQ_PCTCHANGE(B533,"2018-01-01","2019-12-31","3")</f>
        <v>76.978112899999999</v>
      </c>
      <c r="G533" s="11">
        <f>[1]!EM_S_PQ_PCTCHANGE(B533,"2018-12-31","2019-12-30","1")</f>
        <v>52.016632020000003</v>
      </c>
      <c r="H533" s="11">
        <f>[1]!EM_S_FA_YOY_OR(B533,E533)</f>
        <v>19.231881276300001</v>
      </c>
      <c r="I533" s="11">
        <f>[1]!EM_S_FA_GROSSPROFITMARGIN(B533,E533)</f>
        <v>34.194885708900003</v>
      </c>
      <c r="J533" s="11">
        <f>[1]!EM_S_FA_NETPROFITMARGIN(B533,E533)</f>
        <v>15.2149950618</v>
      </c>
      <c r="K533" s="10">
        <f>[1]!EM_S_FA_ASSETSTURN(B533,E533)</f>
        <v>0.53393552686500001</v>
      </c>
      <c r="L533" s="12">
        <f>[1]!EM_HKS_VAL_MV(B533,"2019-12-31","2")</f>
        <v>13765641713.120001</v>
      </c>
      <c r="M533">
        <f>[1]!EM_S_VAL_PETTMDEDUCTED(B533,E533)</f>
        <v>34.706386317314198</v>
      </c>
      <c r="N533" s="7">
        <f>[1]!EM_S_VAL_PBGOODWILLDEDUCTED(B533,E533)</f>
        <v>3.8663228639527301</v>
      </c>
      <c r="O533" s="7">
        <f>[1]!EM_S_VAL_PS_TTM(B533,E533)</f>
        <v>4.36114284971692</v>
      </c>
      <c r="P533" s="7">
        <f>[1]!EM_S_VAL_PCF_NCFTTM(B533,E533)</f>
        <v>-246.26433165223099</v>
      </c>
      <c r="Q533" s="7">
        <f>[1]!EM_S_VAL_DIVIDENDYIELD2(B533,E533,"2019-11-29")</f>
        <v>0.56988716582127452</v>
      </c>
      <c r="T533"/>
      <c r="U533">
        <f>[1]!EM_S_RATIO_EPS_TTM(B533,E533,"1")</f>
        <v>0.84350314477200727</v>
      </c>
      <c r="AT533" s="4" t="str">
        <f>[1]!EM_S_IPO_LISTEDDATE(B533)</f>
        <v>2010-01-08</v>
      </c>
    </row>
    <row r="534" spans="1:46">
      <c r="A534">
        <v>1380</v>
      </c>
      <c r="B534" t="str">
        <f>"002881"</f>
        <v>002881</v>
      </c>
      <c r="C534" t="s">
        <v>1300</v>
      </c>
      <c r="D534" t="str">
        <f>[1]!EM_S_INFO_INDEX_EM(B534,"1")</f>
        <v>电子设备</v>
      </c>
      <c r="E534" s="4">
        <f t="shared" si="8"/>
        <v>43465</v>
      </c>
      <c r="F534" s="11">
        <f>[1]!EM_S_PQ_PCTCHANGE(B534,"2018-01-01","2019-12-31","3")</f>
        <v>49.737812249999998</v>
      </c>
      <c r="G534" s="11">
        <f>[1]!EM_S_PQ_PCTCHANGE(B534,"2018-12-31","2019-12-30","1")</f>
        <v>51.993262209999997</v>
      </c>
      <c r="H534" s="11">
        <f>[1]!EM_S_FA_YOY_OR(B534,E534)</f>
        <v>54.066389855399997</v>
      </c>
      <c r="I534" s="11">
        <f>[1]!EM_S_FA_GROSSPROFITMARGIN(B534,E534)</f>
        <v>16.459417281699999</v>
      </c>
      <c r="J534" s="11">
        <f>[1]!EM_S_FA_NETPROFITMARGIN(B534,E534)</f>
        <v>4.7135033784000004</v>
      </c>
      <c r="K534" s="10">
        <f>[1]!EM_S_FA_ASSETSTURN(B534,E534)</f>
        <v>1.1556829719170001</v>
      </c>
      <c r="L534" s="12">
        <f>[1]!EM_HKS_VAL_MV(B534,"2019-12-31","2")</f>
        <v>4834497740</v>
      </c>
      <c r="M534">
        <f>[1]!EM_S_VAL_PETTMDEDUCTED(B534,E534)</f>
        <v>66.681009864826294</v>
      </c>
      <c r="N534" s="7">
        <f>[1]!EM_S_VAL_PBGOODWILLDEDUCTED(B534,E534)</f>
        <v>6.1014738871933796</v>
      </c>
      <c r="O534" s="7">
        <f>[1]!EM_S_VAL_PS_TTM(B534,E534)</f>
        <v>4.00725727356894</v>
      </c>
      <c r="P534" s="7">
        <f>[1]!EM_S_VAL_PCF_NCFTTM(B534,E534)</f>
        <v>21.135628695813399</v>
      </c>
      <c r="Q534" s="7">
        <f>[1]!EM_S_VAL_DIVIDENDYIELD2(B534,E534,"2019-11-29")</f>
        <v>0.10575793184488839</v>
      </c>
      <c r="T534"/>
      <c r="U534">
        <f>[1]!EM_S_RATIO_EPS_TTM(B534,E534,"1")</f>
        <v>0.25728371640959752</v>
      </c>
      <c r="AT534" s="4" t="str">
        <f>[1]!EM_S_IPO_LISTEDDATE(B534)</f>
        <v>2017-06-22</v>
      </c>
    </row>
    <row r="535" spans="1:46">
      <c r="A535">
        <v>3400</v>
      </c>
      <c r="B535" t="str">
        <f>"603429"</f>
        <v>603429</v>
      </c>
      <c r="C535" t="s">
        <v>236</v>
      </c>
      <c r="D535" t="str">
        <f>[1]!EM_S_INFO_INDEX_EM(B535,"1")</f>
        <v>轻工制造</v>
      </c>
      <c r="E535" s="4">
        <f t="shared" si="8"/>
        <v>43465</v>
      </c>
      <c r="F535" s="11">
        <f>[1]!EM_S_PQ_PCTCHANGE(B535,"2018-01-01","2019-12-31","3")</f>
        <v>55.188868030000002</v>
      </c>
      <c r="G535" s="11">
        <f>[1]!EM_S_PQ_PCTCHANGE(B535,"2018-12-31","2019-12-30","1")</f>
        <v>51.986032299999998</v>
      </c>
      <c r="H535" s="11">
        <f>[1]!EM_S_FA_YOY_OR(B535,E535)</f>
        <v>95.995877896099998</v>
      </c>
      <c r="I535" s="11">
        <f>[1]!EM_S_FA_GROSSPROFITMARGIN(B535,E535)</f>
        <v>47.262331908299998</v>
      </c>
      <c r="J535" s="11">
        <f>[1]!EM_S_FA_NETPROFITMARGIN(B535,E535)</f>
        <v>25.614768348999998</v>
      </c>
      <c r="K535" s="10">
        <f>[1]!EM_S_FA_ASSETSTURN(B535,E535)</f>
        <v>0.51342126787599995</v>
      </c>
      <c r="L535" s="12">
        <f>[1]!EM_HKS_VAL_MV(B535,"2019-12-31","2")</f>
        <v>9394009701.5</v>
      </c>
      <c r="M535">
        <f>[1]!EM_S_VAL_PETTMDEDUCTED(B535,E535)</f>
        <v>46.464841629654899</v>
      </c>
      <c r="N535" s="7">
        <f>[1]!EM_S_VAL_PBGOODWILLDEDUCTED(B535,E535)</f>
        <v>7.7537924203744897</v>
      </c>
      <c r="O535" s="7">
        <f>[1]!EM_S_VAL_PS_TTM(B535,E535)</f>
        <v>12.0710744184549</v>
      </c>
      <c r="P535" s="7">
        <f>[1]!EM_S_VAL_PCF_NCFTTM(B535,E535)</f>
        <v>75.834256193454706</v>
      </c>
      <c r="Q535" s="7">
        <f>[1]!EM_S_VAL_DIVIDENDYIELD2(B535,E535,"2019-11-29")</f>
        <v>0.42148377596205228</v>
      </c>
      <c r="T535"/>
      <c r="U535">
        <f>[1]!EM_S_RATIO_EPS_TTM(B535,E535,"1")</f>
        <v>0.60614305672268909</v>
      </c>
      <c r="AT535" s="4" t="str">
        <f>[1]!EM_S_IPO_LISTEDDATE(B535)</f>
        <v>2017-01-24</v>
      </c>
    </row>
    <row r="536" spans="1:46">
      <c r="A536">
        <v>1192</v>
      </c>
      <c r="B536" t="str">
        <f>"002681"</f>
        <v>002681</v>
      </c>
      <c r="C536" t="s">
        <v>2356</v>
      </c>
      <c r="D536" t="str">
        <f>[1]!EM_S_INFO_INDEX_EM(B536,"1")</f>
        <v>电子设备</v>
      </c>
      <c r="E536" s="4">
        <f t="shared" si="8"/>
        <v>43465</v>
      </c>
      <c r="F536" s="11">
        <f>[1]!EM_S_PQ_PCTCHANGE(B536,"2018-01-01","2019-12-31","3")</f>
        <v>-29.659643129999999</v>
      </c>
      <c r="G536" s="11">
        <f>[1]!EM_S_PQ_PCTCHANGE(B536,"2018-12-31","2019-12-30","1")</f>
        <v>51.912568309999997</v>
      </c>
      <c r="H536" s="11">
        <f>[1]!EM_S_FA_YOY_OR(B536,E536)</f>
        <v>4.2258654476000004</v>
      </c>
      <c r="I536" s="11">
        <f>[1]!EM_S_FA_GROSSPROFITMARGIN(B536,E536)</f>
        <v>17.950252096</v>
      </c>
      <c r="J536" s="11">
        <f>[1]!EM_S_FA_NETPROFITMARGIN(B536,E536)</f>
        <v>-23.3656760762</v>
      </c>
      <c r="K536" s="10">
        <f>[1]!EM_S_FA_ASSETSTURN(B536,E536)</f>
        <v>0.40621460772500001</v>
      </c>
      <c r="L536" s="12">
        <f>[1]!EM_HKS_VAL_MV(B536,"2019-12-31","2")</f>
        <v>11346340595.76</v>
      </c>
      <c r="M536">
        <f>[1]!EM_S_VAL_PETTMDEDUCTED(B536,E536)</f>
        <v>20.1511211369194</v>
      </c>
      <c r="N536" s="7">
        <f>[1]!EM_S_VAL_PBGOODWILLDEDUCTED(B536,E536)</f>
        <v>3.11280656100493</v>
      </c>
      <c r="O536" s="7">
        <f>[1]!EM_S_VAL_PS_TTM(B536,E536)</f>
        <v>1.9743155546922</v>
      </c>
      <c r="P536" s="7">
        <f>[1]!EM_S_VAL_PCF_NCFTTM(B536,E536)</f>
        <v>-13.374007915404</v>
      </c>
      <c r="Q536" s="7">
        <f>[1]!EM_S_VAL_DIVIDENDYIELD2(B536,E536,"2019-11-29")</f>
        <v>0</v>
      </c>
      <c r="T536"/>
      <c r="U536">
        <f>[1]!EM_S_RATIO_EPS_TTM(B536,E536,"1")</f>
        <v>-0.37770634172909939</v>
      </c>
      <c r="AT536" s="4" t="str">
        <f>[1]!EM_S_IPO_LISTEDDATE(B536)</f>
        <v>2012-06-05</v>
      </c>
    </row>
    <row r="537" spans="1:46">
      <c r="A537">
        <v>3062</v>
      </c>
      <c r="B537" t="str">
        <f>"601138"</f>
        <v>601138</v>
      </c>
      <c r="C537" t="s">
        <v>3093</v>
      </c>
      <c r="D537" t="str">
        <f>[1]!EM_S_INFO_INDEX_EM(B537,"1")</f>
        <v>信息技术</v>
      </c>
      <c r="E537" s="4">
        <f t="shared" si="8"/>
        <v>43465</v>
      </c>
      <c r="F537" s="11">
        <f>[1]!EM_S_PQ_PCTCHANGE(B537,"2018-01-01","2019-12-31","3")</f>
        <v>34.152698979999997</v>
      </c>
      <c r="G537" s="11">
        <f>[1]!EM_S_PQ_PCTCHANGE(B537,"2018-12-31","2019-12-30","1")</f>
        <v>51.855047450000001</v>
      </c>
      <c r="H537" s="11">
        <f>[1]!EM_S_FA_YOY_OR(B537,E537)</f>
        <v>17.158341860499998</v>
      </c>
      <c r="I537" s="11">
        <f>[1]!EM_S_FA_GROSSPROFITMARGIN(B537,E537)</f>
        <v>8.6407426924999999</v>
      </c>
      <c r="J537" s="11">
        <f>[1]!EM_S_FA_NETPROFITMARGIN(B537,E537)</f>
        <v>4.0704055904000001</v>
      </c>
      <c r="K537" s="10">
        <f>[1]!EM_S_FA_ASSETSTURN(B537,E537)</f>
        <v>2.3790275741040001</v>
      </c>
      <c r="L537" s="12">
        <f>[1]!EM_HKS_VAL_MV(B537,"2019-12-31","2")</f>
        <v>362747778794.72998</v>
      </c>
      <c r="M537">
        <f>[1]!EM_S_VAL_PETTMDEDUCTED(B537,E537)</f>
        <v>13.8919851531217</v>
      </c>
      <c r="N537" s="7">
        <f>[1]!EM_S_VAL_PBGOODWILLDEDUCTED(B537,E537)</f>
        <v>3.1574754161281202</v>
      </c>
      <c r="O537" s="7">
        <f>[1]!EM_S_VAL_PS_TTM(B537,E537)</f>
        <v>0.538975793318898</v>
      </c>
      <c r="P537" s="7">
        <f>[1]!EM_S_VAL_PCF_NCFTTM(B537,E537)</f>
        <v>5.7027702014379704</v>
      </c>
      <c r="Q537" s="7">
        <f>[1]!EM_S_VAL_DIVIDENDYIELD2(B537,E537,"2019-11-29")</f>
        <v>0.77390615418348974</v>
      </c>
      <c r="T537"/>
      <c r="U537">
        <f>[1]!EM_S_RATIO_EPS_TTM(B537,E537,"1")</f>
        <v>0.85818986303746836</v>
      </c>
      <c r="AT537" s="4" t="str">
        <f>[1]!EM_S_IPO_LISTEDDATE(B537)</f>
        <v>2018-06-08</v>
      </c>
    </row>
    <row r="538" spans="1:46">
      <c r="A538">
        <v>1052</v>
      </c>
      <c r="B538" t="str">
        <f>"002541"</f>
        <v>002541</v>
      </c>
      <c r="C538" t="s">
        <v>1969</v>
      </c>
      <c r="D538" t="str">
        <f>[1]!EM_S_INFO_INDEX_EM(B538,"1")</f>
        <v>建筑</v>
      </c>
      <c r="E538" s="4">
        <f t="shared" si="8"/>
        <v>43465</v>
      </c>
      <c r="F538" s="11">
        <f>[1]!EM_S_PQ_PCTCHANGE(B538,"2018-01-01","2019-12-31","3")</f>
        <v>17.945417070000001</v>
      </c>
      <c r="G538" s="11">
        <f>[1]!EM_S_PQ_PCTCHANGE(B538,"2018-12-31","2019-12-30","1")</f>
        <v>51.566951570000001</v>
      </c>
      <c r="H538" s="11">
        <f>[1]!EM_S_FA_YOY_OR(B538,E538)</f>
        <v>56.4617607363</v>
      </c>
      <c r="I538" s="11">
        <f>[1]!EM_S_FA_GROSSPROFITMARGIN(B538,E538)</f>
        <v>15.6179902668</v>
      </c>
      <c r="J538" s="11">
        <f>[1]!EM_S_FA_NETPROFITMARGIN(B538,E538)</f>
        <v>5.2835794049000002</v>
      </c>
      <c r="K538" s="10">
        <f>[1]!EM_S_FA_ASSETSTURN(B538,E538)</f>
        <v>0.83119428983999999</v>
      </c>
      <c r="L538" s="12">
        <f>[1]!EM_HKS_VAL_MV(B538,"2019-12-31","2")</f>
        <v>5546182653.2700005</v>
      </c>
      <c r="M538">
        <f>[1]!EM_S_VAL_PETTMDEDUCTED(B538,E538)</f>
        <v>17.738714771242201</v>
      </c>
      <c r="N538" s="7">
        <f>[1]!EM_S_VAL_PBGOODWILLDEDUCTED(B538,E538)</f>
        <v>0.83114556876182499</v>
      </c>
      <c r="O538" s="7">
        <f>[1]!EM_S_VAL_PS_TTM(B538,E538)</f>
        <v>0.54885427124300801</v>
      </c>
      <c r="P538" s="7">
        <f>[1]!EM_S_VAL_PCF_NCFTTM(B538,E538)</f>
        <v>-18.479595507091801</v>
      </c>
      <c r="Q538" s="7">
        <f>[1]!EM_S_VAL_DIVIDENDYIELD2(B538,E538,"2019-11-29")</f>
        <v>0.87358684480986626</v>
      </c>
      <c r="T538"/>
      <c r="U538">
        <f>[1]!EM_S_RATIO_EPS_TTM(B538,E538,"1")</f>
        <v>0.79442459196709503</v>
      </c>
      <c r="AT538" s="4" t="str">
        <f>[1]!EM_S_IPO_LISTEDDATE(B538)</f>
        <v>2011-01-18</v>
      </c>
    </row>
    <row r="539" spans="1:46">
      <c r="A539">
        <v>2072</v>
      </c>
      <c r="B539" t="str">
        <f>"300653"</f>
        <v>300653</v>
      </c>
      <c r="C539" t="s">
        <v>375</v>
      </c>
      <c r="D539" t="str">
        <f>[1]!EM_S_INFO_INDEX_EM(B539,"1")</f>
        <v>医药生物</v>
      </c>
      <c r="E539" s="4">
        <f t="shared" si="8"/>
        <v>43465</v>
      </c>
      <c r="F539" s="11">
        <f>[1]!EM_S_PQ_PCTCHANGE(B539,"2018-01-01","2019-12-31","3")</f>
        <v>106.39724626</v>
      </c>
      <c r="G539" s="11">
        <f>[1]!EM_S_PQ_PCTCHANGE(B539,"2018-12-31","2019-12-30","1")</f>
        <v>51.545277720000001</v>
      </c>
      <c r="H539" s="11">
        <f>[1]!EM_S_FA_YOY_OR(B539,E539)</f>
        <v>17.923802932000001</v>
      </c>
      <c r="I539" s="11">
        <f>[1]!EM_S_FA_GROSSPROFITMARGIN(B539,E539)</f>
        <v>93.077693144600005</v>
      </c>
      <c r="J539" s="11">
        <f>[1]!EM_S_FA_NETPROFITMARGIN(B539,E539)</f>
        <v>39.813318217800003</v>
      </c>
      <c r="K539" s="10">
        <f>[1]!EM_S_FA_ASSETSTURN(B539,E539)</f>
        <v>0.38669445139300002</v>
      </c>
      <c r="L539" s="12">
        <f>[1]!EM_HKS_VAL_MV(B539,"2019-12-31","2")</f>
        <v>5640000000</v>
      </c>
      <c r="M539">
        <f>[1]!EM_S_VAL_PETTMDEDUCTED(B539,E539)</f>
        <v>44.815540212316201</v>
      </c>
      <c r="N539" s="7">
        <f>[1]!EM_S_VAL_PBGOODWILLDEDUCTED(B539,E539)</f>
        <v>6.9973795513582804</v>
      </c>
      <c r="O539" s="7">
        <f>[1]!EM_S_VAL_PS_TTM(B539,E539)</f>
        <v>17.134225451045999</v>
      </c>
      <c r="P539" s="7">
        <f>[1]!EM_S_VAL_PCF_NCFTTM(B539,E539)</f>
        <v>365.44203515530302</v>
      </c>
      <c r="Q539" s="7">
        <f>[1]!EM_S_VAL_DIVIDENDYIELD2(B539,E539,"2019-11-29")</f>
        <v>0.79365079365079361</v>
      </c>
      <c r="T539"/>
      <c r="U539">
        <f>[1]!EM_S_RATIO_EPS_TTM(B539,E539,"1")</f>
        <v>1.0726883435000001</v>
      </c>
      <c r="AT539" s="4" t="str">
        <f>[1]!EM_S_IPO_LISTEDDATE(B539)</f>
        <v>2017-05-16</v>
      </c>
    </row>
    <row r="540" spans="1:46">
      <c r="A540">
        <v>3603</v>
      </c>
      <c r="B540" t="str">
        <f>"603919"</f>
        <v>603919</v>
      </c>
      <c r="C540" t="s">
        <v>182</v>
      </c>
      <c r="D540" t="str">
        <f>[1]!EM_S_INFO_INDEX_EM(B540,"1")</f>
        <v>食品饮料</v>
      </c>
      <c r="E540" s="4">
        <f t="shared" si="8"/>
        <v>43465</v>
      </c>
      <c r="F540" s="11">
        <f>[1]!EM_S_PQ_PCTCHANGE(B540,"2018-01-01","2019-12-31","3")</f>
        <v>0.84028773000000001</v>
      </c>
      <c r="G540" s="11">
        <f>[1]!EM_S_PQ_PCTCHANGE(B540,"2018-12-31","2019-12-30","1")</f>
        <v>51.455479449999999</v>
      </c>
      <c r="H540" s="11">
        <f>[1]!EM_S_FA_YOY_OR(B540,E540)</f>
        <v>9.723497214</v>
      </c>
      <c r="I540" s="11">
        <f>[1]!EM_S_FA_GROSSPROFITMARGIN(B540,E540)</f>
        <v>62.298510261399997</v>
      </c>
      <c r="J540" s="11">
        <f>[1]!EM_S_FA_NETPROFITMARGIN(B540,E540)</f>
        <v>17.684221944600001</v>
      </c>
      <c r="K540" s="10">
        <f>[1]!EM_S_FA_ASSETSTURN(B540,E540)</f>
        <v>0.58106964469300004</v>
      </c>
      <c r="L540" s="12">
        <f>[1]!EM_HKS_VAL_MV(B540,"2019-12-31","2")</f>
        <v>6910441964.5799999</v>
      </c>
      <c r="M540">
        <f>[1]!EM_S_VAL_PETTMDEDUCTED(B540,E540)</f>
        <v>18.331600307967499</v>
      </c>
      <c r="N540" s="7">
        <f>[1]!EM_S_VAL_PBGOODWILLDEDUCTED(B540,E540)</f>
        <v>2.1271934293092301</v>
      </c>
      <c r="O540" s="7">
        <f>[1]!EM_S_VAL_PS_TTM(B540,E540)</f>
        <v>3.1343295738566299</v>
      </c>
      <c r="P540" s="7">
        <f>[1]!EM_S_VAL_PCF_NCFTTM(B540,E540)</f>
        <v>29.2611619983408</v>
      </c>
      <c r="Q540" s="7">
        <f>[1]!EM_S_VAL_DIVIDENDYIELD2(B540,E540,"2019-11-29")</f>
        <v>1.3186384236741431</v>
      </c>
      <c r="T540"/>
      <c r="U540">
        <f>[1]!EM_S_RATIO_EPS_TTM(B540,E540,"1")</f>
        <v>0.71048432788461535</v>
      </c>
      <c r="AT540" s="4" t="str">
        <f>[1]!EM_S_IPO_LISTEDDATE(B540)</f>
        <v>2016-03-10</v>
      </c>
    </row>
    <row r="541" spans="1:46">
      <c r="A541">
        <v>664</v>
      </c>
      <c r="B541" t="str">
        <f>"002153"</f>
        <v>002153</v>
      </c>
      <c r="C541" t="s">
        <v>1983</v>
      </c>
      <c r="D541" t="str">
        <f>[1]!EM_S_INFO_INDEX_EM(B541,"1")</f>
        <v>信息技术</v>
      </c>
      <c r="E541" s="4">
        <f t="shared" si="8"/>
        <v>43465</v>
      </c>
      <c r="F541" s="11">
        <f>[1]!EM_S_PQ_PCTCHANGE(B541,"2018-01-01","2019-12-31","3")</f>
        <v>47.251621960000001</v>
      </c>
      <c r="G541" s="11">
        <f>[1]!EM_S_PQ_PCTCHANGE(B541,"2018-12-31","2019-12-30","1")</f>
        <v>51.386748840000003</v>
      </c>
      <c r="H541" s="11">
        <f>[1]!EM_S_FA_YOY_OR(B541,E541)</f>
        <v>4.6039922388000001</v>
      </c>
      <c r="I541" s="11">
        <f>[1]!EM_S_FA_GROSSPROFITMARGIN(B541,E541)</f>
        <v>44.906339122200002</v>
      </c>
      <c r="J541" s="11">
        <f>[1]!EM_S_FA_NETPROFITMARGIN(B541,E541)</f>
        <v>17.519213194199999</v>
      </c>
      <c r="K541" s="10">
        <f>[1]!EM_S_FA_ASSETSTURN(B541,E541)</f>
        <v>0.36407609668899998</v>
      </c>
      <c r="L541" s="12">
        <f>[1]!EM_HKS_VAL_MV(B541,"2019-12-31","2")</f>
        <v>41648617959</v>
      </c>
      <c r="M541">
        <f>[1]!EM_S_VAL_PETTMDEDUCTED(B541,E541)</f>
        <v>66.503165788163201</v>
      </c>
      <c r="N541" s="7">
        <f>[1]!EM_S_VAL_PBGOODWILLDEDUCTED(B541,E541)</f>
        <v>4.1455188769545801</v>
      </c>
      <c r="O541" s="7">
        <f>[1]!EM_S_VAL_PS_TTM(B541,E541)</f>
        <v>9.2716949761407808</v>
      </c>
      <c r="P541" s="7">
        <f>[1]!EM_S_VAL_PCF_NCFTTM(B541,E541)</f>
        <v>8.3488348757003195</v>
      </c>
      <c r="Q541" s="7">
        <f>[1]!EM_S_VAL_DIVIDENDYIELD2(B541,E541,"2019-11-29")</f>
        <v>0.27682292126959357</v>
      </c>
      <c r="T541"/>
      <c r="U541">
        <f>[1]!EM_S_RATIO_EPS_TTM(B541,E541,"1")</f>
        <v>0.434418411364764</v>
      </c>
      <c r="AT541" s="4" t="str">
        <f>[1]!EM_S_IPO_LISTEDDATE(B541)</f>
        <v>2007-08-13</v>
      </c>
    </row>
    <row r="542" spans="1:46">
      <c r="A542">
        <v>1779</v>
      </c>
      <c r="B542" t="str">
        <f>"300354"</f>
        <v>300354</v>
      </c>
      <c r="C542" t="s">
        <v>3414</v>
      </c>
      <c r="D542" t="str">
        <f>[1]!EM_S_INFO_INDEX_EM(B542,"1")</f>
        <v>机械设备</v>
      </c>
      <c r="E542" s="4">
        <f t="shared" si="8"/>
        <v>43465</v>
      </c>
      <c r="F542" s="11">
        <f>[1]!EM_S_PQ_PCTCHANGE(B542,"2018-01-01","2019-12-31","3")</f>
        <v>-2.4128486200000001</v>
      </c>
      <c r="G542" s="11">
        <f>[1]!EM_S_PQ_PCTCHANGE(B542,"2018-12-31","2019-12-30","1")</f>
        <v>51.288343560000001</v>
      </c>
      <c r="H542" s="11">
        <f>[1]!EM_S_FA_YOY_OR(B542,E542)</f>
        <v>3.6361354255</v>
      </c>
      <c r="I542" s="11">
        <f>[1]!EM_S_FA_GROSSPROFITMARGIN(B542,E542)</f>
        <v>60.714967332199997</v>
      </c>
      <c r="J542" s="11">
        <f>[1]!EM_S_FA_NETPROFITMARGIN(B542,E542)</f>
        <v>13.133439410999999</v>
      </c>
      <c r="K542" s="10">
        <f>[1]!EM_S_FA_ASSETSTURN(B542,E542)</f>
        <v>0.34001652625700002</v>
      </c>
      <c r="L542" s="12">
        <f>[1]!EM_HKS_VAL_MV(B542,"2019-12-31","2")</f>
        <v>1708254482.3499999</v>
      </c>
      <c r="M542">
        <f>[1]!EM_S_VAL_PETTMDEDUCTED(B542,E542)</f>
        <v>235.40981632498799</v>
      </c>
      <c r="N542" s="7">
        <f>[1]!EM_S_VAL_PBGOODWILLDEDUCTED(B542,E542)</f>
        <v>3.1509761014743098</v>
      </c>
      <c r="O542" s="7">
        <f>[1]!EM_S_VAL_PS_TTM(B542,E542)</f>
        <v>8.6727392306750701</v>
      </c>
      <c r="P542" s="7">
        <f>[1]!EM_S_VAL_PCF_NCFTTM(B542,E542)</f>
        <v>-33.902415895154299</v>
      </c>
      <c r="Q542" s="7">
        <f>[1]!EM_S_VAL_DIVIDENDYIELD2(B542,E542,"2019-11-29")</f>
        <v>0.2652519893899204</v>
      </c>
      <c r="T542"/>
      <c r="U542">
        <f>[1]!EM_S_RATIO_EPS_TTM(B542,E542,"1")</f>
        <v>0.1274194256701521</v>
      </c>
      <c r="AT542" s="4" t="str">
        <f>[1]!EM_S_IPO_LISTEDDATE(B542)</f>
        <v>2012-09-20</v>
      </c>
    </row>
    <row r="543" spans="1:46">
      <c r="A543">
        <v>1999</v>
      </c>
      <c r="B543" t="str">
        <f>"300578"</f>
        <v>300578</v>
      </c>
      <c r="C543" t="s">
        <v>1344</v>
      </c>
      <c r="D543" t="str">
        <f>[1]!EM_S_INFO_INDEX_EM(B543,"1")</f>
        <v>信息技术</v>
      </c>
      <c r="E543" s="4">
        <f t="shared" si="8"/>
        <v>43465</v>
      </c>
      <c r="F543" s="11">
        <f>[1]!EM_S_PQ_PCTCHANGE(B543,"2018-01-01","2019-12-31","3")</f>
        <v>28.78571385</v>
      </c>
      <c r="G543" s="11">
        <f>[1]!EM_S_PQ_PCTCHANGE(B543,"2018-12-31","2019-12-30","1")</f>
        <v>51.260997070000002</v>
      </c>
      <c r="H543" s="11">
        <f>[1]!EM_S_FA_YOY_OR(B543,E543)</f>
        <v>-16.335847545899998</v>
      </c>
      <c r="I543" s="11">
        <f>[1]!EM_S_FA_GROSSPROFITMARGIN(B543,E543)</f>
        <v>47.0885880947</v>
      </c>
      <c r="J543" s="11">
        <f>[1]!EM_S_FA_NETPROFITMARGIN(B543,E543)</f>
        <v>7.2171170471000003</v>
      </c>
      <c r="K543" s="10">
        <f>[1]!EM_S_FA_ASSETSTURN(B543,E543)</f>
        <v>0.60960610987700004</v>
      </c>
      <c r="L543" s="12">
        <f>[1]!EM_HKS_VAL_MV(B543,"2019-12-31","2")</f>
        <v>4443764322.0500002</v>
      </c>
      <c r="M543">
        <f>[1]!EM_S_VAL_PETTMDEDUCTED(B543,E543)</f>
        <v>64.815956976203395</v>
      </c>
      <c r="N543" s="7">
        <f>[1]!EM_S_VAL_PBGOODWILLDEDUCTED(B543,E543)</f>
        <v>7.1548901822578301</v>
      </c>
      <c r="O543" s="7">
        <f>[1]!EM_S_VAL_PS_TTM(B543,E543)</f>
        <v>9.4570333018123396</v>
      </c>
      <c r="P543" s="7">
        <f>[1]!EM_S_VAL_PCF_NCFTTM(B543,E543)</f>
        <v>-41.4898726650828</v>
      </c>
      <c r="Q543" s="7">
        <f>[1]!EM_S_VAL_DIVIDENDYIELD2(B543,E543,"2019-11-29")</f>
        <v>0.43920697423715344</v>
      </c>
      <c r="T543"/>
      <c r="U543">
        <f>[1]!EM_S_RATIO_EPS_TTM(B543,E543,"1")</f>
        <v>0.12182396136841835</v>
      </c>
      <c r="AT543" s="4" t="str">
        <f>[1]!EM_S_IPO_LISTEDDATE(B543)</f>
        <v>2017-01-25</v>
      </c>
    </row>
    <row r="544" spans="1:46">
      <c r="A544">
        <v>1009</v>
      </c>
      <c r="B544" t="str">
        <f>"002498"</f>
        <v>002498</v>
      </c>
      <c r="C544" t="s">
        <v>2372</v>
      </c>
      <c r="D544" t="str">
        <f>[1]!EM_S_INFO_INDEX_EM(B544,"1")</f>
        <v>电气设备</v>
      </c>
      <c r="E544" s="4">
        <f t="shared" si="8"/>
        <v>43465</v>
      </c>
      <c r="F544" s="11">
        <f>[1]!EM_S_PQ_PCTCHANGE(B544,"2018-01-01","2019-12-31","3")</f>
        <v>-6.3990056900000001</v>
      </c>
      <c r="G544" s="11">
        <f>[1]!EM_S_PQ_PCTCHANGE(B544,"2018-12-31","2019-12-30","1")</f>
        <v>51.25628141</v>
      </c>
      <c r="H544" s="11">
        <f>[1]!EM_S_FA_YOY_OR(B544,E544)</f>
        <v>17.348695963699999</v>
      </c>
      <c r="I544" s="11">
        <f>[1]!EM_S_FA_GROSSPROFITMARGIN(B544,E544)</f>
        <v>18.342205612099999</v>
      </c>
      <c r="J544" s="11">
        <f>[1]!EM_S_FA_NETPROFITMARGIN(B544,E544)</f>
        <v>3.9702076435000002</v>
      </c>
      <c r="K544" s="10">
        <f>[1]!EM_S_FA_ASSETSTURN(B544,E544)</f>
        <v>0.865425465359</v>
      </c>
      <c r="L544" s="12">
        <f>[1]!EM_HKS_VAL_MV(B544,"2019-12-31","2")</f>
        <v>10013655960</v>
      </c>
      <c r="M544">
        <f>[1]!EM_S_VAL_PETTMDEDUCTED(B544,E544)</f>
        <v>34.784669082697299</v>
      </c>
      <c r="N544" s="7">
        <f>[1]!EM_S_VAL_PBGOODWILLDEDUCTED(B544,E544)</f>
        <v>1.4095291455435099</v>
      </c>
      <c r="O544" s="7">
        <f>[1]!EM_S_VAL_PS_TTM(B544,E544)</f>
        <v>1.28424670363446</v>
      </c>
      <c r="P544" s="7">
        <f>[1]!EM_S_VAL_PCF_NCFTTM(B544,E544)</f>
        <v>166.649535412723</v>
      </c>
      <c r="Q544" s="7">
        <f>[1]!EM_S_VAL_DIVIDENDYIELD2(B544,E544,"2019-11-29")</f>
        <v>1.2676056338028168</v>
      </c>
      <c r="T544"/>
      <c r="U544">
        <f>[1]!EM_S_RATIO_EPS_TTM(B544,E544,"1")</f>
        <v>6.6542516598553092E-2</v>
      </c>
      <c r="AT544" s="4" t="str">
        <f>[1]!EM_S_IPO_LISTEDDATE(B544)</f>
        <v>2010-11-09</v>
      </c>
    </row>
    <row r="545" spans="1:46">
      <c r="A545">
        <v>3309</v>
      </c>
      <c r="B545" t="str">
        <f>"603197"</f>
        <v>603197</v>
      </c>
      <c r="C545" t="s">
        <v>557</v>
      </c>
      <c r="D545" t="str">
        <f>[1]!EM_S_INFO_INDEX_EM(B545,"1")</f>
        <v>交运设备</v>
      </c>
      <c r="E545" s="4">
        <f t="shared" si="8"/>
        <v>43465</v>
      </c>
      <c r="F545" s="11">
        <f>[1]!EM_S_PQ_PCTCHANGE(B545,"2018-01-01","2019-12-31","3")</f>
        <v>-19.604174</v>
      </c>
      <c r="G545" s="11">
        <f>[1]!EM_S_PQ_PCTCHANGE(B545,"2018-12-31","2019-12-30","1")</f>
        <v>51.161665050000003</v>
      </c>
      <c r="H545" s="11">
        <f>[1]!EM_S_FA_YOY_OR(B545,E545)</f>
        <v>10.7683917411</v>
      </c>
      <c r="I545" s="11">
        <f>[1]!EM_S_FA_GROSSPROFITMARGIN(B545,E545)</f>
        <v>32.917902091899997</v>
      </c>
      <c r="J545" s="11">
        <f>[1]!EM_S_FA_NETPROFITMARGIN(B545,E545)</f>
        <v>8.7907185385000002</v>
      </c>
      <c r="K545" s="10">
        <f>[1]!EM_S_FA_ASSETSTURN(B545,E545)</f>
        <v>0.83406427372600001</v>
      </c>
      <c r="L545" s="12">
        <f>[1]!EM_HKS_VAL_MV(B545,"2019-12-31","2")</f>
        <v>5236437668.9099998</v>
      </c>
      <c r="M545">
        <f>[1]!EM_S_VAL_PETTMDEDUCTED(B545,E545)</f>
        <v>26.4965854292894</v>
      </c>
      <c r="N545" s="7">
        <f>[1]!EM_S_VAL_PBGOODWILLDEDUCTED(B545,E545)</f>
        <v>3.7342965727916799</v>
      </c>
      <c r="O545" s="7">
        <f>[1]!EM_S_VAL_PS_TTM(B545,E545)</f>
        <v>1.5251005241553</v>
      </c>
      <c r="P545" s="7">
        <f>[1]!EM_S_VAL_PCF_NCFTTM(B545,E545)</f>
        <v>18.4301932461332</v>
      </c>
      <c r="Q545" s="7">
        <f>[1]!EM_S_VAL_DIVIDENDYIELD2(B545,E545,"2019-11-29")</f>
        <v>0.94698662286545821</v>
      </c>
      <c r="T545"/>
      <c r="U545">
        <f>[1]!EM_S_RATIO_EPS_TTM(B545,E545,"1")</f>
        <v>0.92723510549409804</v>
      </c>
      <c r="AT545" s="4" t="str">
        <f>[1]!EM_S_IPO_LISTEDDATE(B545)</f>
        <v>2017-05-19</v>
      </c>
    </row>
    <row r="546" spans="1:46">
      <c r="A546">
        <v>138</v>
      </c>
      <c r="B546" t="str">
        <f>"000529"</f>
        <v>000529</v>
      </c>
      <c r="C546" t="s">
        <v>1501</v>
      </c>
      <c r="D546" t="str">
        <f>[1]!EM_S_INFO_INDEX_EM(B546,"1")</f>
        <v>食品饮料</v>
      </c>
      <c r="E546" s="4">
        <f t="shared" si="8"/>
        <v>43465</v>
      </c>
      <c r="F546" s="11">
        <f>[1]!EM_S_PQ_PCTCHANGE(B546,"2018-01-01","2019-12-31","3")</f>
        <v>3.4838641799999999</v>
      </c>
      <c r="G546" s="11">
        <f>[1]!EM_S_PQ_PCTCHANGE(B546,"2018-12-31","2019-12-30","1")</f>
        <v>51.116071429999998</v>
      </c>
      <c r="H546" s="11">
        <f>[1]!EM_S_FA_YOY_OR(B546,E546)</f>
        <v>8.3638765809999995</v>
      </c>
      <c r="I546" s="11">
        <f>[1]!EM_S_FA_GROSSPROFITMARGIN(B546,E546)</f>
        <v>21.638923447500002</v>
      </c>
      <c r="J546" s="11">
        <f>[1]!EM_S_FA_NETPROFITMARGIN(B546,E546)</f>
        <v>7.6586639779999999</v>
      </c>
      <c r="K546" s="10">
        <f>[1]!EM_S_FA_ASSETSTURN(B546,E546)</f>
        <v>1.2037927816909999</v>
      </c>
      <c r="L546" s="12">
        <f>[1]!EM_HKS_VAL_MV(B546,"2019-12-31","2")</f>
        <v>3998963760.5</v>
      </c>
      <c r="M546">
        <f>[1]!EM_S_VAL_PETTMDEDUCTED(B546,E546)</f>
        <v>16.343284846533699</v>
      </c>
      <c r="N546" s="7">
        <f>[1]!EM_S_VAL_PBGOODWILLDEDUCTED(B546,E546)</f>
        <v>1.74773131839282</v>
      </c>
      <c r="O546" s="7">
        <f>[1]!EM_S_VAL_PS_TTM(B546,E546)</f>
        <v>1.0776760005883399</v>
      </c>
      <c r="P546" s="7">
        <f>[1]!EM_S_VAL_PCF_NCFTTM(B546,E546)</f>
        <v>22.012752531703502</v>
      </c>
      <c r="Q546" s="7">
        <f>[1]!EM_S_VAL_DIVIDENDYIELD2(B546,E546,"2019-11-29")</f>
        <v>1.1182108626198082</v>
      </c>
      <c r="T546"/>
      <c r="U546">
        <f>[1]!EM_S_RATIO_EPS_TTM(B546,E546,"1")</f>
        <v>0.28634191897286138</v>
      </c>
      <c r="AT546" s="4" t="str">
        <f>[1]!EM_S_IPO_LISTEDDATE(B546)</f>
        <v>1993-11-18</v>
      </c>
    </row>
    <row r="547" spans="1:46">
      <c r="A547">
        <v>1146</v>
      </c>
      <c r="B547" t="str">
        <f>"002635"</f>
        <v>002635</v>
      </c>
      <c r="C547" t="s">
        <v>1802</v>
      </c>
      <c r="D547" t="str">
        <f>[1]!EM_S_INFO_INDEX_EM(B547,"1")</f>
        <v>电子设备</v>
      </c>
      <c r="E547" s="4">
        <f t="shared" si="8"/>
        <v>43465</v>
      </c>
      <c r="F547" s="11">
        <f>[1]!EM_S_PQ_PCTCHANGE(B547,"2018-01-01","2019-12-31","3")</f>
        <v>-35.296770180000003</v>
      </c>
      <c r="G547" s="11">
        <f>[1]!EM_S_PQ_PCTCHANGE(B547,"2018-12-31","2019-12-30","1")</f>
        <v>51.103265669999999</v>
      </c>
      <c r="H547" s="11">
        <f>[1]!EM_S_FA_YOY_OR(B547,E547)</f>
        <v>30.9311842967</v>
      </c>
      <c r="I547" s="11">
        <f>[1]!EM_S_FA_GROSSPROFITMARGIN(B547,E547)</f>
        <v>31.275403697200002</v>
      </c>
      <c r="J547" s="11">
        <f>[1]!EM_S_FA_NETPROFITMARGIN(B547,E547)</f>
        <v>15.329076603500001</v>
      </c>
      <c r="K547" s="10">
        <f>[1]!EM_S_FA_ASSETSTURN(B547,E547)</f>
        <v>0.40587346259599999</v>
      </c>
      <c r="L547" s="12">
        <f>[1]!EM_HKS_VAL_MV(B547,"2019-12-31","2")</f>
        <v>11489131883.57</v>
      </c>
      <c r="M547">
        <f>[1]!EM_S_VAL_PETTMDEDUCTED(B547,E547)</f>
        <v>38.392544203660698</v>
      </c>
      <c r="N547" s="7">
        <f>[1]!EM_S_VAL_PBGOODWILLDEDUCTED(B547,E547)</f>
        <v>1.84803620272262</v>
      </c>
      <c r="O547" s="7">
        <f>[1]!EM_S_VAL_PS_TTM(B547,E547)</f>
        <v>2.3495879140026101</v>
      </c>
      <c r="P547" s="7">
        <f>[1]!EM_S_VAL_PCF_NCFTTM(B547,E547)</f>
        <v>-7.3373581348440897</v>
      </c>
      <c r="Q547" s="7">
        <f>[1]!EM_S_VAL_DIVIDENDYIELD2(B547,E547,"2019-11-29")</f>
        <v>0.67221916064578469</v>
      </c>
      <c r="T547"/>
      <c r="U547">
        <f>[1]!EM_S_RATIO_EPS_TTM(B547,E547,"1")</f>
        <v>0.74190950707187819</v>
      </c>
      <c r="AT547" s="4" t="str">
        <f>[1]!EM_S_IPO_LISTEDDATE(B547)</f>
        <v>2011-11-25</v>
      </c>
    </row>
    <row r="548" spans="1:46">
      <c r="A548">
        <v>3458</v>
      </c>
      <c r="B548" t="str">
        <f>"603609"</f>
        <v>603609</v>
      </c>
      <c r="C548" t="s">
        <v>968</v>
      </c>
      <c r="D548" t="str">
        <f>[1]!EM_S_INFO_INDEX_EM(B548,"1")</f>
        <v>农林牧渔</v>
      </c>
      <c r="E548" s="4">
        <f t="shared" si="8"/>
        <v>43465</v>
      </c>
      <c r="F548" s="11">
        <f>[1]!EM_S_PQ_PCTCHANGE(B548,"2018-01-01","2019-12-31","3")</f>
        <v>36.57531642</v>
      </c>
      <c r="G548" s="11">
        <f>[1]!EM_S_PQ_PCTCHANGE(B548,"2018-12-31","2019-12-30","1")</f>
        <v>50.967741940000003</v>
      </c>
      <c r="H548" s="11">
        <f>[1]!EM_S_FA_YOY_OR(B548,E548)</f>
        <v>15.0042213041</v>
      </c>
      <c r="I548" s="11">
        <f>[1]!EM_S_FA_GROSSPROFITMARGIN(B548,E548)</f>
        <v>8.4408449215000001</v>
      </c>
      <c r="J548" s="11">
        <f>[1]!EM_S_FA_NETPROFITMARGIN(B548,E548)</f>
        <v>3.8391016710999999</v>
      </c>
      <c r="K548" s="10">
        <f>[1]!EM_S_FA_ASSETSTURN(B548,E548)</f>
        <v>2.4388540475129998</v>
      </c>
      <c r="L548" s="12">
        <f>[1]!EM_HKS_VAL_MV(B548,"2019-12-31","2")</f>
        <v>10910861004.68</v>
      </c>
      <c r="M548">
        <f>[1]!EM_S_VAL_PETTMDEDUCTED(B548,E548)</f>
        <v>11.9643904232608</v>
      </c>
      <c r="N548" s="7">
        <f>[1]!EM_S_VAL_PBGOODWILLDEDUCTED(B548,E548)</f>
        <v>1.6724413923674299</v>
      </c>
      <c r="O548" s="7">
        <f>[1]!EM_S_VAL_PS_TTM(B548,E548)</f>
        <v>0.42433915185474702</v>
      </c>
      <c r="P548" s="7">
        <f>[1]!EM_S_VAL_PCF_NCFTTM(B548,E548)</f>
        <v>-61.088446378175902</v>
      </c>
      <c r="Q548" s="7">
        <f>[1]!EM_S_VAL_DIVIDENDYIELD2(B548,E548,"2019-11-29")</f>
        <v>1.5267175572519083</v>
      </c>
      <c r="T548"/>
      <c r="U548">
        <f>[1]!EM_S_RATIO_EPS_TTM(B548,E548,"1")</f>
        <v>0.66403301697656703</v>
      </c>
      <c r="AT548" s="4" t="str">
        <f>[1]!EM_S_IPO_LISTEDDATE(B548)</f>
        <v>2014-08-08</v>
      </c>
    </row>
    <row r="549" spans="1:46">
      <c r="A549">
        <v>1246</v>
      </c>
      <c r="B549" t="str">
        <f>"002736"</f>
        <v>002736</v>
      </c>
      <c r="C549" t="s">
        <v>1861</v>
      </c>
      <c r="D549" t="str">
        <f>[1]!EM_S_INFO_INDEX_EM(B549,"1")</f>
        <v>金融</v>
      </c>
      <c r="E549" s="4">
        <f t="shared" si="8"/>
        <v>43465</v>
      </c>
      <c r="F549" s="11">
        <f>[1]!EM_S_PQ_PCTCHANGE(B549,"2018-01-01","2019-12-31","3")</f>
        <v>18.58172248</v>
      </c>
      <c r="G549" s="11">
        <f>[1]!EM_S_PQ_PCTCHANGE(B549,"2018-12-31","2019-12-30","1")</f>
        <v>50.89605735</v>
      </c>
      <c r="H549" s="11">
        <f>[1]!EM_S_FA_YOY_OR(B549,E549)</f>
        <v>-15.8733658634</v>
      </c>
      <c r="I549" s="11">
        <f>[1]!EM_S_FA_GROSSPROFITMARGIN(B549,E549)</f>
        <v>0</v>
      </c>
      <c r="J549" s="11">
        <f>[1]!EM_S_FA_NETPROFITMARGIN(B549,E549)</f>
        <v>34.206732135400003</v>
      </c>
      <c r="K549" s="10">
        <f>[1]!EM_S_FA_ASSETSTURN(B549,E549)</f>
        <v>0</v>
      </c>
      <c r="L549" s="12">
        <f>[1]!EM_HKS_VAL_MV(B549,"2019-12-31","2")</f>
        <v>102910000000</v>
      </c>
      <c r="M549">
        <f>[1]!EM_S_VAL_PETTMDEDUCTED(B549,E549)</f>
        <v>21.764860531163301</v>
      </c>
      <c r="N549" s="7">
        <f>[1]!EM_S_VAL_PBGOODWILLDEDUCTED(B549,E549)</f>
        <v>1.45094052474892</v>
      </c>
      <c r="O549" s="7">
        <f>[1]!EM_S_VAL_PS_TTM(B549,E549)</f>
        <v>7.2114201871833101</v>
      </c>
      <c r="P549" s="7">
        <f>[1]!EM_S_VAL_PCF_NCFTTM(B549,E549)</f>
        <v>-5.1662820473482496</v>
      </c>
      <c r="Q549" s="7">
        <f>[1]!EM_S_VAL_DIVIDENDYIELD2(B549,E549,"2019-11-29")</f>
        <v>1.056338028169014</v>
      </c>
      <c r="T549"/>
      <c r="U549">
        <f>[1]!EM_S_RATIO_EPS_TTM(B549,E549,"1")</f>
        <v>0.41748739587560973</v>
      </c>
      <c r="AT549" s="4" t="str">
        <f>[1]!EM_S_IPO_LISTEDDATE(B549)</f>
        <v>2014-12-29</v>
      </c>
    </row>
    <row r="550" spans="1:46">
      <c r="A550">
        <v>1985</v>
      </c>
      <c r="B550" t="str">
        <f>"300562"</f>
        <v>300562</v>
      </c>
      <c r="C550" t="s">
        <v>2594</v>
      </c>
      <c r="D550" t="str">
        <f>[1]!EM_S_INFO_INDEX_EM(B550,"1")</f>
        <v>医药生物</v>
      </c>
      <c r="E550" s="4">
        <f t="shared" si="8"/>
        <v>43465</v>
      </c>
      <c r="F550" s="11">
        <f>[1]!EM_S_PQ_PCTCHANGE(B550,"2018-01-01","2019-12-31","3")</f>
        <v>-33.253953860000003</v>
      </c>
      <c r="G550" s="11">
        <f>[1]!EM_S_PQ_PCTCHANGE(B550,"2018-12-31","2019-12-30","1")</f>
        <v>50.862944159999998</v>
      </c>
      <c r="H550" s="11">
        <f>[1]!EM_S_FA_YOY_OR(B550,E550)</f>
        <v>-10.5571343958</v>
      </c>
      <c r="I550" s="11">
        <f>[1]!EM_S_FA_GROSSPROFITMARGIN(B550,E550)</f>
        <v>25.9145174672</v>
      </c>
      <c r="J550" s="11">
        <f>[1]!EM_S_FA_NETPROFITMARGIN(B550,E550)</f>
        <v>2.8428302950000002</v>
      </c>
      <c r="K550" s="10">
        <f>[1]!EM_S_FA_ASSETSTURN(B550,E550)</f>
        <v>0.94906254996799999</v>
      </c>
      <c r="L550" s="12">
        <f>[1]!EM_HKS_VAL_MV(B550,"2019-12-31","2")</f>
        <v>2873531863.8600001</v>
      </c>
      <c r="M550">
        <f>[1]!EM_S_VAL_PETTMDEDUCTED(B550,E550)</f>
        <v>78.889504421519007</v>
      </c>
      <c r="N550" s="7">
        <f>[1]!EM_S_VAL_PBGOODWILLDEDUCTED(B550,E550)</f>
        <v>3.64469912538003</v>
      </c>
      <c r="O550" s="7">
        <f>[1]!EM_S_VAL_PS_TTM(B550,E550)</f>
        <v>2.4690940877274201</v>
      </c>
      <c r="P550" s="7">
        <f>[1]!EM_S_VAL_PCF_NCFTTM(B550,E550)</f>
        <v>24.020390067598399</v>
      </c>
      <c r="Q550" s="7">
        <f>[1]!EM_S_VAL_DIVIDENDYIELD2(B550,E550,"2019-11-29")</f>
        <v>0.1294744859101295</v>
      </c>
      <c r="T550"/>
      <c r="U550">
        <f>[1]!EM_S_RATIO_EPS_TTM(B550,E550,"1")</f>
        <v>0.12720270455508476</v>
      </c>
      <c r="AT550" s="4" t="str">
        <f>[1]!EM_S_IPO_LISTEDDATE(B550)</f>
        <v>2016-11-16</v>
      </c>
    </row>
    <row r="551" spans="1:46">
      <c r="A551">
        <v>1524</v>
      </c>
      <c r="B551" t="str">
        <f>"300099"</f>
        <v>300099</v>
      </c>
      <c r="C551" t="s">
        <v>2972</v>
      </c>
      <c r="D551" t="str">
        <f>[1]!EM_S_INFO_INDEX_EM(B551,"1")</f>
        <v>机械设备</v>
      </c>
      <c r="E551" s="4">
        <f t="shared" si="8"/>
        <v>43465</v>
      </c>
      <c r="F551" s="11">
        <f>[1]!EM_S_PQ_PCTCHANGE(B551,"2018-01-01","2019-12-31","3")</f>
        <v>6.1170767100000001</v>
      </c>
      <c r="G551" s="11">
        <f>[1]!EM_S_PQ_PCTCHANGE(B551,"2018-12-31","2019-12-30","1")</f>
        <v>50.855745720000002</v>
      </c>
      <c r="H551" s="11">
        <f>[1]!EM_S_FA_YOY_OR(B551,E551)</f>
        <v>5.4962560846999997</v>
      </c>
      <c r="I551" s="11">
        <f>[1]!EM_S_FA_GROSSPROFITMARGIN(B551,E551)</f>
        <v>50.914583206300001</v>
      </c>
      <c r="J551" s="11">
        <f>[1]!EM_S_FA_NETPROFITMARGIN(B551,E551)</f>
        <v>19.3701425014</v>
      </c>
      <c r="K551" s="10">
        <f>[1]!EM_S_FA_ASSETSTURN(B551,E551)</f>
        <v>0.23171168258200001</v>
      </c>
      <c r="L551" s="12">
        <f>[1]!EM_HKS_VAL_MV(B551,"2019-12-31","2")</f>
        <v>4142126738.4499998</v>
      </c>
      <c r="M551">
        <f>[1]!EM_S_VAL_PETTMDEDUCTED(B551,E551)</f>
        <v>28.5396097724939</v>
      </c>
      <c r="N551" s="7">
        <f>[1]!EM_S_VAL_PBGOODWILLDEDUCTED(B551,E551)</f>
        <v>2.2550960745326298</v>
      </c>
      <c r="O551" s="7">
        <f>[1]!EM_S_VAL_PS_TTM(B551,E551)</f>
        <v>6.2799091377994998</v>
      </c>
      <c r="P551" s="7">
        <f>[1]!EM_S_VAL_PCF_NCFTTM(B551,E551)</f>
        <v>-16.389076451019701</v>
      </c>
      <c r="Q551" s="7">
        <f>[1]!EM_S_VAL_DIVIDENDYIELD2(B551,E551,"2019-11-29")</f>
        <v>1.7064846416382253</v>
      </c>
      <c r="T551"/>
      <c r="U551">
        <f>[1]!EM_S_RATIO_EPS_TTM(B551,E551,"1")</f>
        <v>0.14560918712473764</v>
      </c>
      <c r="AT551" s="4" t="str">
        <f>[1]!EM_S_IPO_LISTEDDATE(B551)</f>
        <v>2010-08-06</v>
      </c>
    </row>
    <row r="552" spans="1:46">
      <c r="A552">
        <v>1803</v>
      </c>
      <c r="B552" t="str">
        <f>"300378"</f>
        <v>300378</v>
      </c>
      <c r="C552" t="s">
        <v>2917</v>
      </c>
      <c r="D552" t="str">
        <f>[1]!EM_S_INFO_INDEX_EM(B552,"1")</f>
        <v>信息技术</v>
      </c>
      <c r="E552" s="4">
        <f t="shared" si="8"/>
        <v>43465</v>
      </c>
      <c r="F552" s="11">
        <f>[1]!EM_S_PQ_PCTCHANGE(B552,"2018-01-01","2019-12-31","3")</f>
        <v>2.3577804699999998</v>
      </c>
      <c r="G552" s="11">
        <f>[1]!EM_S_PQ_PCTCHANGE(B552,"2018-12-31","2019-12-30","1")</f>
        <v>50.663942800000001</v>
      </c>
      <c r="H552" s="11">
        <f>[1]!EM_S_FA_YOY_OR(B552,E552)</f>
        <v>10.3242621569</v>
      </c>
      <c r="I552" s="11">
        <f>[1]!EM_S_FA_GROSSPROFITMARGIN(B552,E552)</f>
        <v>83.5202526092</v>
      </c>
      <c r="J552" s="11">
        <f>[1]!EM_S_FA_NETPROFITMARGIN(B552,E552)</f>
        <v>5.9965224103999999</v>
      </c>
      <c r="K552" s="10">
        <f>[1]!EM_S_FA_ASSETSTURN(B552,E552)</f>
        <v>0.60863303927400003</v>
      </c>
      <c r="L552" s="12">
        <f>[1]!EM_HKS_VAL_MV(B552,"2019-12-31","2")</f>
        <v>3967973298.7600002</v>
      </c>
      <c r="M552">
        <f>[1]!EM_S_VAL_PETTMDEDUCTED(B552,E552)</f>
        <v>47.709827052166901</v>
      </c>
      <c r="N552" s="7">
        <f>[1]!EM_S_VAL_PBGOODWILLDEDUCTED(B552,E552)</f>
        <v>1.96232915040216</v>
      </c>
      <c r="O552" s="7">
        <f>[1]!EM_S_VAL_PS_TTM(B552,E552)</f>
        <v>1.99887611483983</v>
      </c>
      <c r="P552" s="7">
        <f>[1]!EM_S_VAL_PCF_NCFTTM(B552,E552)</f>
        <v>-45.655034863035603</v>
      </c>
      <c r="Q552" s="7">
        <f>[1]!EM_S_VAL_DIVIDENDYIELD2(B552,E552,"2019-11-29")</f>
        <v>0.73463870957117461</v>
      </c>
      <c r="T552"/>
      <c r="U552">
        <f>[1]!EM_S_RATIO_EPS_TTM(B552,E552,"1")</f>
        <v>0.29939023063232406</v>
      </c>
      <c r="AT552" s="4" t="str">
        <f>[1]!EM_S_IPO_LISTEDDATE(B552)</f>
        <v>2014-01-27</v>
      </c>
    </row>
    <row r="553" spans="1:46">
      <c r="A553">
        <v>567</v>
      </c>
      <c r="B553" t="str">
        <f>"002056"</f>
        <v>002056</v>
      </c>
      <c r="C553" t="s">
        <v>1194</v>
      </c>
      <c r="D553" t="str">
        <f>[1]!EM_S_INFO_INDEX_EM(B553,"1")</f>
        <v>电子设备</v>
      </c>
      <c r="E553" s="4">
        <f t="shared" si="8"/>
        <v>43465</v>
      </c>
      <c r="F553" s="11">
        <f>[1]!EM_S_PQ_PCTCHANGE(B553,"2018-01-01","2019-12-31","3")</f>
        <v>-20.908188540000001</v>
      </c>
      <c r="G553" s="11">
        <f>[1]!EM_S_PQ_PCTCHANGE(B553,"2018-12-31","2019-12-30","1")</f>
        <v>50.632911389999997</v>
      </c>
      <c r="H553" s="11">
        <f>[1]!EM_S_FA_YOY_OR(B553,E553)</f>
        <v>3.0448407681999998</v>
      </c>
      <c r="I553" s="11">
        <f>[1]!EM_S_FA_GROSSPROFITMARGIN(B553,E553)</f>
        <v>24.3728547085</v>
      </c>
      <c r="J553" s="11">
        <f>[1]!EM_S_FA_NETPROFITMARGIN(B553,E553)</f>
        <v>10.624859966900001</v>
      </c>
      <c r="K553" s="10">
        <f>[1]!EM_S_FA_ASSETSTURN(B553,E553)</f>
        <v>0.97237799030399996</v>
      </c>
      <c r="L553" s="12">
        <f>[1]!EM_HKS_VAL_MV(B553,"2019-12-31","2")</f>
        <v>13477520000</v>
      </c>
      <c r="M553">
        <f>[1]!EM_S_VAL_PETTMDEDUCTED(B553,E553)</f>
        <v>15.967729716730499</v>
      </c>
      <c r="N553" s="7">
        <f>[1]!EM_S_VAL_PBGOODWILLDEDUCTED(B553,E553)</f>
        <v>1.9207815488239099</v>
      </c>
      <c r="O553" s="7">
        <f>[1]!EM_S_VAL_PS_TTM(B553,E553)</f>
        <v>1.4639195559098199</v>
      </c>
      <c r="P553" s="7">
        <f>[1]!EM_S_VAL_PCF_NCFTTM(B553,E553)</f>
        <v>118.85738434136201</v>
      </c>
      <c r="Q553" s="7">
        <f>[1]!EM_S_VAL_DIVIDENDYIELD2(B553,E553,"2019-11-29")</f>
        <v>2.2004336283185841</v>
      </c>
      <c r="T553"/>
      <c r="U553">
        <f>[1]!EM_S_RATIO_EPS_TTM(B553,E553,"1")</f>
        <v>0.4191749055062059</v>
      </c>
      <c r="AT553" s="4" t="str">
        <f>[1]!EM_S_IPO_LISTEDDATE(B553)</f>
        <v>2006-08-02</v>
      </c>
    </row>
    <row r="554" spans="1:46">
      <c r="A554">
        <v>1819</v>
      </c>
      <c r="B554" t="str">
        <f>"300394"</f>
        <v>300394</v>
      </c>
      <c r="C554" t="s">
        <v>676</v>
      </c>
      <c r="D554" t="str">
        <f>[1]!EM_S_INFO_INDEX_EM(B554,"1")</f>
        <v>电子设备</v>
      </c>
      <c r="E554" s="4">
        <f t="shared" si="8"/>
        <v>43465</v>
      </c>
      <c r="F554" s="11">
        <f>[1]!EM_S_PQ_PCTCHANGE(B554,"2018-01-01","2019-12-31","3")</f>
        <v>76.494000610000001</v>
      </c>
      <c r="G554" s="11">
        <f>[1]!EM_S_PQ_PCTCHANGE(B554,"2018-12-31","2019-12-30","1")</f>
        <v>50.599917249999997</v>
      </c>
      <c r="H554" s="11">
        <f>[1]!EM_S_FA_YOY_OR(B554,E554)</f>
        <v>31.035229817400001</v>
      </c>
      <c r="I554" s="11">
        <f>[1]!EM_S_FA_GROSSPROFITMARGIN(B554,E554)</f>
        <v>51.274176633000003</v>
      </c>
      <c r="J554" s="11">
        <f>[1]!EM_S_FA_NETPROFITMARGIN(B554,E554)</f>
        <v>30.728705204499999</v>
      </c>
      <c r="K554" s="10">
        <f>[1]!EM_S_FA_ASSETSTURN(B554,E554)</f>
        <v>0.42495037048899997</v>
      </c>
      <c r="L554" s="12">
        <f>[1]!EM_HKS_VAL_MV(B554,"2019-12-31","2")</f>
        <v>7609987076.6000004</v>
      </c>
      <c r="M554">
        <f>[1]!EM_S_VAL_PETTMDEDUCTED(B554,E554)</f>
        <v>43.920396477219597</v>
      </c>
      <c r="N554" s="7">
        <f>[1]!EM_S_VAL_PBGOODWILLDEDUCTED(B554,E554)</f>
        <v>4.4910770469925501</v>
      </c>
      <c r="O554" s="7">
        <f>[1]!EM_S_VAL_PS_TTM(B554,E554)</f>
        <v>11.7044884817079</v>
      </c>
      <c r="P554" s="7">
        <f>[1]!EM_S_VAL_PCF_NCFTTM(B554,E554)</f>
        <v>-56.675187562154697</v>
      </c>
      <c r="Q554" s="7">
        <f>[1]!EM_S_VAL_DIVIDENDYIELD2(B554,E554,"2019-11-29")</f>
        <v>1.1008021935029821</v>
      </c>
      <c r="T554"/>
      <c r="U554">
        <f>[1]!EM_S_RATIO_EPS_TTM(B554,E554,"1")</f>
        <v>0.68126421205064336</v>
      </c>
      <c r="AT554" s="4" t="str">
        <f>[1]!EM_S_IPO_LISTEDDATE(B554)</f>
        <v>2015-02-17</v>
      </c>
    </row>
    <row r="555" spans="1:46">
      <c r="A555">
        <v>2645</v>
      </c>
      <c r="B555" t="str">
        <f>"600571"</f>
        <v>600571</v>
      </c>
      <c r="C555" t="s">
        <v>2887</v>
      </c>
      <c r="D555" t="str">
        <f>[1]!EM_S_INFO_INDEX_EM(B555,"1")</f>
        <v>信息技术</v>
      </c>
      <c r="E555" s="4">
        <f t="shared" si="8"/>
        <v>43465</v>
      </c>
      <c r="F555" s="11">
        <f>[1]!EM_S_PQ_PCTCHANGE(B555,"2018-01-01","2019-12-31","3")</f>
        <v>-7.3347346499999997</v>
      </c>
      <c r="G555" s="11">
        <f>[1]!EM_S_PQ_PCTCHANGE(B555,"2018-12-31","2019-12-30","1")</f>
        <v>50.47619048</v>
      </c>
      <c r="H555" s="11">
        <f>[1]!EM_S_FA_YOY_OR(B555,E555)</f>
        <v>-7.5071397344999999</v>
      </c>
      <c r="I555" s="11">
        <f>[1]!EM_S_FA_GROSSPROFITMARGIN(B555,E555)</f>
        <v>49.372392955899997</v>
      </c>
      <c r="J555" s="11">
        <f>[1]!EM_S_FA_NETPROFITMARGIN(B555,E555)</f>
        <v>-0.37606279390000003</v>
      </c>
      <c r="K555" s="10">
        <f>[1]!EM_S_FA_ASSETSTURN(B555,E555)</f>
        <v>0.64543012376700004</v>
      </c>
      <c r="L555" s="12">
        <f>[1]!EM_HKS_VAL_MV(B555,"2019-12-31","2")</f>
        <v>4190142947.54</v>
      </c>
      <c r="M555">
        <f>[1]!EM_S_VAL_PETTMDEDUCTED(B555,E555)</f>
        <v>-8.8210155315313106</v>
      </c>
      <c r="N555" s="7">
        <f>[1]!EM_S_VAL_PBGOODWILLDEDUCTED(B555,E555)</f>
        <v>2.68805158842529</v>
      </c>
      <c r="O555" s="7">
        <f>[1]!EM_S_VAL_PS_TTM(B555,E555)</f>
        <v>2.1028152518790799</v>
      </c>
      <c r="P555" s="7">
        <f>[1]!EM_S_VAL_PCF_NCFTTM(B555,E555)</f>
        <v>-27.587619731495401</v>
      </c>
      <c r="Q555" s="7">
        <f>[1]!EM_S_VAL_DIVIDENDYIELD2(B555,E555,"2019-11-29")</f>
        <v>4.1019955654101992</v>
      </c>
      <c r="T555"/>
      <c r="U555">
        <f>[1]!EM_S_RATIO_EPS_TTM(B555,E555,"1")</f>
        <v>6.2514916522618091E-2</v>
      </c>
      <c r="AT555" s="4" t="str">
        <f>[1]!EM_S_IPO_LISTEDDATE(B555)</f>
        <v>2002-11-01</v>
      </c>
    </row>
    <row r="556" spans="1:46">
      <c r="A556">
        <v>1134</v>
      </c>
      <c r="B556" t="str">
        <f>"002623"</f>
        <v>002623</v>
      </c>
      <c r="C556" t="s">
        <v>2808</v>
      </c>
      <c r="D556" t="str">
        <f>[1]!EM_S_INFO_INDEX_EM(B556,"1")</f>
        <v>电气设备</v>
      </c>
      <c r="E556" s="4">
        <f t="shared" si="8"/>
        <v>43465</v>
      </c>
      <c r="F556" s="11">
        <f>[1]!EM_S_PQ_PCTCHANGE(B556,"2018-01-01","2019-12-31","3")</f>
        <v>-1.02086107</v>
      </c>
      <c r="G556" s="11">
        <f>[1]!EM_S_PQ_PCTCHANGE(B556,"2018-12-31","2019-12-30","1")</f>
        <v>50.391644909999997</v>
      </c>
      <c r="H556" s="11">
        <f>[1]!EM_S_FA_YOY_OR(B556,E556)</f>
        <v>-5.0904877614000004</v>
      </c>
      <c r="I556" s="11">
        <f>[1]!EM_S_FA_GROSSPROFITMARGIN(B556,E556)</f>
        <v>10.5975692532</v>
      </c>
      <c r="J556" s="11">
        <f>[1]!EM_S_FA_NETPROFITMARGIN(B556,E556)</f>
        <v>5.3866798361999999</v>
      </c>
      <c r="K556" s="10">
        <f>[1]!EM_S_FA_ASSETSTURN(B556,E556)</f>
        <v>0.34131229004899999</v>
      </c>
      <c r="L556" s="12">
        <f>[1]!EM_HKS_VAL_MV(B556,"2019-12-31","2")</f>
        <v>3568000000</v>
      </c>
      <c r="M556">
        <f>[1]!EM_S_VAL_PETTMDEDUCTED(B556,E556)</f>
        <v>175.117931857396</v>
      </c>
      <c r="N556" s="7">
        <f>[1]!EM_S_VAL_PBGOODWILLDEDUCTED(B556,E556)</f>
        <v>1.1059270317686201</v>
      </c>
      <c r="O556" s="7">
        <f>[1]!EM_S_VAL_PS_TTM(B556,E556)</f>
        <v>1.49509473339335</v>
      </c>
      <c r="P556" s="7">
        <f>[1]!EM_S_VAL_PCF_NCFTTM(B556,E556)</f>
        <v>-12.413514305942099</v>
      </c>
      <c r="Q556" s="7">
        <f>[1]!EM_S_VAL_DIVIDENDYIELD2(B556,E556,"2019-11-29")</f>
        <v>0</v>
      </c>
      <c r="T556"/>
      <c r="U556">
        <f>[1]!EM_S_RATIO_EPS_TTM(B556,E556,"1")</f>
        <v>0.49519925218749994</v>
      </c>
      <c r="AT556" s="4" t="str">
        <f>[1]!EM_S_IPO_LISTEDDATE(B556)</f>
        <v>2011-10-13</v>
      </c>
    </row>
    <row r="557" spans="1:46">
      <c r="A557">
        <v>575</v>
      </c>
      <c r="B557" t="str">
        <f>"002064"</f>
        <v>002064</v>
      </c>
      <c r="C557" t="s">
        <v>733</v>
      </c>
      <c r="D557" t="str">
        <f>[1]!EM_S_INFO_INDEX_EM(B557,"1")</f>
        <v>基础化工</v>
      </c>
      <c r="E557" s="4">
        <f t="shared" si="8"/>
        <v>43465</v>
      </c>
      <c r="F557" s="11">
        <f>[1]!EM_S_PQ_PCTCHANGE(B557,"2018-01-01","2019-12-31","3")</f>
        <v>28.929780000000001</v>
      </c>
      <c r="G557" s="11">
        <f>[1]!EM_S_PQ_PCTCHANGE(B557,"2018-12-31","2019-12-30","1")</f>
        <v>50.35799523</v>
      </c>
      <c r="H557" s="11">
        <f>[1]!EM_S_FA_YOY_OR(B557,E557)</f>
        <v>6.8928059136000002</v>
      </c>
      <c r="I557" s="11">
        <f>[1]!EM_S_FA_GROSSPROFITMARGIN(B557,E557)</f>
        <v>22.848761570000001</v>
      </c>
      <c r="J557" s="11">
        <f>[1]!EM_S_FA_NETPROFITMARGIN(B557,E557)</f>
        <v>10.0371985122</v>
      </c>
      <c r="K557" s="10">
        <f>[1]!EM_S_FA_ASSETSTURN(B557,E557)</f>
        <v>0.77139193000499995</v>
      </c>
      <c r="L557" s="12">
        <f>[1]!EM_HKS_VAL_MV(B557,"2019-12-31","2")</f>
        <v>26863495131.25</v>
      </c>
      <c r="M557">
        <f>[1]!EM_S_VAL_PETTMDEDUCTED(B557,E557)</f>
        <v>16.336180720319199</v>
      </c>
      <c r="N557" s="7">
        <f>[1]!EM_S_VAL_PBGOODWILLDEDUCTED(B557,E557)</f>
        <v>1.8482915420862001</v>
      </c>
      <c r="O557" s="7">
        <f>[1]!EM_S_VAL_PS_TTM(B557,E557)</f>
        <v>1.5693016490874001</v>
      </c>
      <c r="P557" s="7">
        <f>[1]!EM_S_VAL_PCF_NCFTTM(B557,E557)</f>
        <v>28.519314328396401</v>
      </c>
      <c r="Q557" s="7">
        <f>[1]!EM_S_VAL_DIVIDENDYIELD2(B557,E557,"2019-11-29")</f>
        <v>0.52631578947368418</v>
      </c>
      <c r="T557"/>
      <c r="U557">
        <f>[1]!EM_S_RATIO_EPS_TTM(B557,E557,"1")</f>
        <v>0.26551849287333018</v>
      </c>
      <c r="AT557" s="4" t="str">
        <f>[1]!EM_S_IPO_LISTEDDATE(B557)</f>
        <v>2006-08-23</v>
      </c>
    </row>
    <row r="558" spans="1:46">
      <c r="A558">
        <v>693</v>
      </c>
      <c r="B558" t="str">
        <f>"002182"</f>
        <v>002182</v>
      </c>
      <c r="C558" t="s">
        <v>575</v>
      </c>
      <c r="D558" t="str">
        <f>[1]!EM_S_INFO_INDEX_EM(B558,"1")</f>
        <v>有色金属</v>
      </c>
      <c r="E558" s="4">
        <f t="shared" si="8"/>
        <v>43465</v>
      </c>
      <c r="F558" s="11">
        <f>[1]!EM_S_PQ_PCTCHANGE(B558,"2018-01-01","2019-12-31","3")</f>
        <v>1.2850629099999999</v>
      </c>
      <c r="G558" s="11">
        <f>[1]!EM_S_PQ_PCTCHANGE(B558,"2018-12-31","2019-12-30","1")</f>
        <v>50.320512819999998</v>
      </c>
      <c r="H558" s="11">
        <f>[1]!EM_S_FA_YOY_OR(B558,E558)</f>
        <v>3.5355646695999998</v>
      </c>
      <c r="I558" s="11">
        <f>[1]!EM_S_FA_GROSSPROFITMARGIN(B558,E558)</f>
        <v>15.2995793287</v>
      </c>
      <c r="J558" s="11">
        <f>[1]!EM_S_FA_NETPROFITMARGIN(B558,E558)</f>
        <v>6.4413325312999996</v>
      </c>
      <c r="K558" s="10">
        <f>[1]!EM_S_FA_ASSETSTURN(B558,E558)</f>
        <v>1.2367850471590001</v>
      </c>
      <c r="L558" s="12">
        <f>[1]!EM_HKS_VAL_MV(B558,"2019-12-31","2")</f>
        <v>5979408476.5</v>
      </c>
      <c r="M558">
        <f>[1]!EM_S_VAL_PETTMDEDUCTED(B558,E558)</f>
        <v>27.902356116708901</v>
      </c>
      <c r="N558" s="7">
        <f>[1]!EM_S_VAL_PBGOODWILLDEDUCTED(B558,E558)</f>
        <v>2.2081237171047099</v>
      </c>
      <c r="O558" s="7">
        <f>[1]!EM_S_VAL_PS_TTM(B558,E558)</f>
        <v>0.78477927267428205</v>
      </c>
      <c r="P558" s="7">
        <f>[1]!EM_S_VAL_PCF_NCFTTM(B558,E558)</f>
        <v>-63.505833298443498</v>
      </c>
      <c r="Q558" s="7">
        <f>[1]!EM_S_VAL_DIVIDENDYIELD2(B558,E558,"2019-11-29")</f>
        <v>1.2210012210012211</v>
      </c>
      <c r="T558"/>
      <c r="U558">
        <f>[1]!EM_S_RATIO_EPS_TTM(B558,E558,"1")</f>
        <v>0.5097323526334101</v>
      </c>
      <c r="AT558" s="4" t="str">
        <f>[1]!EM_S_IPO_LISTEDDATE(B558)</f>
        <v>2007-11-13</v>
      </c>
    </row>
    <row r="559" spans="1:46">
      <c r="A559">
        <v>2488</v>
      </c>
      <c r="B559" t="str">
        <f>"600369"</f>
        <v>600369</v>
      </c>
      <c r="C559" t="s">
        <v>1908</v>
      </c>
      <c r="D559" t="str">
        <f>[1]!EM_S_INFO_INDEX_EM(B559,"1")</f>
        <v>金融</v>
      </c>
      <c r="E559" s="4">
        <f t="shared" si="8"/>
        <v>43465</v>
      </c>
      <c r="F559" s="11">
        <f>[1]!EM_S_PQ_PCTCHANGE(B559,"2018-01-01","2019-12-31","3")</f>
        <v>14.383075959999999</v>
      </c>
      <c r="G559" s="11">
        <f>[1]!EM_S_PQ_PCTCHANGE(B559,"2018-12-31","2019-12-30","1")</f>
        <v>50.287356320000001</v>
      </c>
      <c r="H559" s="11">
        <f>[1]!EM_S_FA_YOY_OR(B559,E559)</f>
        <v>-10.3441588374</v>
      </c>
      <c r="I559" s="11">
        <f>[1]!EM_S_FA_GROSSPROFITMARGIN(B559,E559)</f>
        <v>0</v>
      </c>
      <c r="J559" s="11">
        <f>[1]!EM_S_FA_NETPROFITMARGIN(B559,E559)</f>
        <v>7.8430562301000002</v>
      </c>
      <c r="K559" s="10">
        <f>[1]!EM_S_FA_ASSETSTURN(B559,E559)</f>
        <v>0</v>
      </c>
      <c r="L559" s="12">
        <f>[1]!EM_HKS_VAL_MV(B559,"2019-12-31","2")</f>
        <v>29298116353.560001</v>
      </c>
      <c r="M559">
        <f>[1]!EM_S_VAL_PETTMDEDUCTED(B559,E559)</f>
        <v>63.476231559620203</v>
      </c>
      <c r="N559" s="7">
        <f>[1]!EM_S_VAL_PBGOODWILLDEDUCTED(B559,E559)</f>
        <v>1.06815012611965</v>
      </c>
      <c r="O559" s="7">
        <f>[1]!EM_S_VAL_PS_TTM(B559,E559)</f>
        <v>7.3796498112589699</v>
      </c>
      <c r="P559" s="7">
        <f>[1]!EM_S_VAL_PCF_NCFTTM(B559,E559)</f>
        <v>-8.92513007016505</v>
      </c>
      <c r="Q559" s="7">
        <f>[1]!EM_S_VAL_DIVIDENDYIELD2(B559,E559,"2019-11-29")</f>
        <v>0.69284064665127021</v>
      </c>
      <c r="T559"/>
      <c r="U559">
        <f>[1]!EM_S_RATIO_EPS_TTM(B559,E559,"1")</f>
        <v>4.0183916180749457E-2</v>
      </c>
      <c r="AT559" s="4" t="str">
        <f>[1]!EM_S_IPO_LISTEDDATE(B559)</f>
        <v>2001-01-09</v>
      </c>
    </row>
    <row r="560" spans="1:46">
      <c r="A560">
        <v>345</v>
      </c>
      <c r="B560" t="str">
        <f>"000785"</f>
        <v>000785</v>
      </c>
      <c r="C560" t="s">
        <v>207</v>
      </c>
      <c r="D560" t="str">
        <f>[1]!EM_S_INFO_INDEX_EM(B560,"1")</f>
        <v>商贸零售</v>
      </c>
      <c r="E560" s="4">
        <f t="shared" si="8"/>
        <v>43465</v>
      </c>
      <c r="F560" s="11">
        <f>[1]!EM_S_PQ_PCTCHANGE(B560,"2018-01-01","2019-12-31","3")</f>
        <v>3.05993337</v>
      </c>
      <c r="G560" s="11">
        <f>[1]!EM_S_PQ_PCTCHANGE(B560,"2018-12-31","2019-12-30","1")</f>
        <v>50.229709040000003</v>
      </c>
      <c r="H560" s="11">
        <f>[1]!EM_S_FA_YOY_OR(B560,E560)</f>
        <v>1.1786259247999999</v>
      </c>
      <c r="I560" s="11">
        <f>[1]!EM_S_FA_GROSSPROFITMARGIN(B560,E560)</f>
        <v>22.1019346858</v>
      </c>
      <c r="J560" s="11">
        <f>[1]!EM_S_FA_NETPROFITMARGIN(B560,E560)</f>
        <v>2.7233938905000001</v>
      </c>
      <c r="K560" s="10">
        <f>[1]!EM_S_FA_ASSETSTURN(B560,E560)</f>
        <v>1.455242736208</v>
      </c>
      <c r="L560" s="12">
        <f>[1]!EM_HKS_VAL_MV(B560,"2019-12-31","2")</f>
        <v>59957507805.959999</v>
      </c>
      <c r="M560">
        <f>[1]!EM_S_VAL_PETTMDEDUCTED(B560,E560)</f>
        <v>61.658089426428099</v>
      </c>
      <c r="N560" s="7">
        <f>[1]!EM_S_VAL_PBGOODWILLDEDUCTED(B560,E560)</f>
        <v>1.4282817860110699</v>
      </c>
      <c r="O560" s="7">
        <f>[1]!EM_S_VAL_PS_TTM(B560,E560)</f>
        <v>0.403520612309196</v>
      </c>
      <c r="P560" s="7">
        <f>[1]!EM_S_VAL_PCF_NCFTTM(B560,E560)</f>
        <v>6.4468157884279602</v>
      </c>
      <c r="Q560" s="7">
        <f>[1]!EM_S_VAL_DIVIDENDYIELD2(B560,E560,"2019-11-29")</f>
        <v>0</v>
      </c>
      <c r="T560"/>
      <c r="U560">
        <f>[1]!EM_S_RATIO_EPS_TTM(B560,E560,"1")</f>
        <v>0.26415863668750461</v>
      </c>
      <c r="AT560" s="4" t="str">
        <f>[1]!EM_S_IPO_LISTEDDATE(B560)</f>
        <v>1997-07-11</v>
      </c>
    </row>
    <row r="561" spans="1:46">
      <c r="A561">
        <v>1154</v>
      </c>
      <c r="B561" t="str">
        <f>"002643"</f>
        <v>002643</v>
      </c>
      <c r="C561" t="s">
        <v>1709</v>
      </c>
      <c r="D561" t="str">
        <f>[1]!EM_S_INFO_INDEX_EM(B561,"1")</f>
        <v>基础化工</v>
      </c>
      <c r="E561" s="4">
        <f t="shared" si="8"/>
        <v>43465</v>
      </c>
      <c r="F561" s="11">
        <f>[1]!EM_S_PQ_PCTCHANGE(B561,"2018-01-01","2019-12-31","3")</f>
        <v>47.280957880000003</v>
      </c>
      <c r="G561" s="11">
        <f>[1]!EM_S_PQ_PCTCHANGE(B561,"2018-12-31","2019-12-30","1")</f>
        <v>50.197628459999997</v>
      </c>
      <c r="H561" s="11">
        <f>[1]!EM_S_FA_YOY_OR(B561,E561)</f>
        <v>7.1354041272000002</v>
      </c>
      <c r="I561" s="11">
        <f>[1]!EM_S_FA_GROSSPROFITMARGIN(B561,E561)</f>
        <v>40.602234977800002</v>
      </c>
      <c r="J561" s="11">
        <f>[1]!EM_S_FA_NETPROFITMARGIN(B561,E561)</f>
        <v>17.156010428199998</v>
      </c>
      <c r="K561" s="10">
        <f>[1]!EM_S_FA_ASSETSTURN(B561,E561)</f>
        <v>0.54427536385700004</v>
      </c>
      <c r="L561" s="12">
        <f>[1]!EM_HKS_VAL_MV(B561,"2019-12-31","2")</f>
        <v>13809733535.85</v>
      </c>
      <c r="M561">
        <f>[1]!EM_S_VAL_PETTMDEDUCTED(B561,E561)</f>
        <v>24.108578669231399</v>
      </c>
      <c r="N561" s="7">
        <f>[1]!EM_S_VAL_PBGOODWILLDEDUCTED(B561,E561)</f>
        <v>2.4835018399045201</v>
      </c>
      <c r="O561" s="7">
        <f>[1]!EM_S_VAL_PS_TTM(B561,E561)</f>
        <v>3.6669381401310099</v>
      </c>
      <c r="P561" s="7">
        <f>[1]!EM_S_VAL_PCF_NCFTTM(B561,E561)</f>
        <v>34.755015420481598</v>
      </c>
      <c r="Q561" s="7">
        <f>[1]!EM_S_VAL_DIVIDENDYIELD2(B561,E561,"2019-11-29")</f>
        <v>1.3696498054474708</v>
      </c>
      <c r="T561"/>
      <c r="U561">
        <f>[1]!EM_S_RATIO_EPS_TTM(B561,E561,"1")</f>
        <v>0.4889017494757355</v>
      </c>
      <c r="AT561" s="4" t="str">
        <f>[1]!EM_S_IPO_LISTEDDATE(B561)</f>
        <v>2011-12-20</v>
      </c>
    </row>
    <row r="562" spans="1:46">
      <c r="A562">
        <v>2192</v>
      </c>
      <c r="B562" t="str">
        <f>"600036"</f>
        <v>600036</v>
      </c>
      <c r="C562" t="s">
        <v>292</v>
      </c>
      <c r="D562" t="str">
        <f>[1]!EM_S_INFO_INDEX_EM(B562,"1")</f>
        <v>金融</v>
      </c>
      <c r="E562" s="4">
        <f t="shared" si="8"/>
        <v>43465</v>
      </c>
      <c r="F562" s="11">
        <f>[1]!EM_S_PQ_PCTCHANGE(B562,"2018-01-01","2019-12-31","3")</f>
        <v>37.315059290000001</v>
      </c>
      <c r="G562" s="11">
        <f>[1]!EM_S_PQ_PCTCHANGE(B562,"2018-12-31","2019-12-30","1")</f>
        <v>50.119047620000003</v>
      </c>
      <c r="H562" s="11">
        <f>[1]!EM_S_FA_YOY_OR(B562,E562)</f>
        <v>12.520767597600001</v>
      </c>
      <c r="I562" s="11">
        <f>[1]!EM_S_FA_GROSSPROFITMARGIN(B562,E562)</f>
        <v>0</v>
      </c>
      <c r="J562" s="11">
        <f>[1]!EM_S_FA_NETPROFITMARGIN(B562,E562)</f>
        <v>32.515539820199997</v>
      </c>
      <c r="K562" s="10">
        <f>[1]!EM_S_FA_ASSETSTURN(B562,E562)</f>
        <v>0</v>
      </c>
      <c r="L562" s="12">
        <f>[1]!EM_HKS_VAL_MV(B562,"2019-12-31","2")</f>
        <v>947761797685.57996</v>
      </c>
      <c r="M562">
        <f>[1]!EM_S_VAL_PETTMDEDUCTED(B562,E562)</f>
        <v>8.1054484707775902</v>
      </c>
      <c r="N562" s="7">
        <f>[1]!EM_S_VAL_PBGOODWILLDEDUCTED(B562,E562)</f>
        <v>1.28107516674132</v>
      </c>
      <c r="O562" s="7">
        <f>[1]!EM_S_VAL_PS_TTM(B562,E562)</f>
        <v>2.6169529519474599</v>
      </c>
      <c r="P562" s="7">
        <f>[1]!EM_S_VAL_PCF_NCFTTM(B562,E562)</f>
        <v>56.2673846078088</v>
      </c>
      <c r="Q562" s="7">
        <f>[1]!EM_S_VAL_DIVIDENDYIELD2(B562,E562,"2019-11-29")</f>
        <v>2.6089369969469889</v>
      </c>
      <c r="T562"/>
      <c r="U562">
        <f>[1]!EM_S_RATIO_EPS_TTM(B562,E562,"1")</f>
        <v>3.1943098016748244</v>
      </c>
      <c r="AT562" s="4" t="str">
        <f>[1]!EM_S_IPO_LISTEDDATE(B562)</f>
        <v>2002-04-09</v>
      </c>
    </row>
    <row r="563" spans="1:46">
      <c r="A563">
        <v>1343</v>
      </c>
      <c r="B563" t="str">
        <f>"002841"</f>
        <v>002841</v>
      </c>
      <c r="C563" t="s">
        <v>297</v>
      </c>
      <c r="D563" t="str">
        <f>[1]!EM_S_INFO_INDEX_EM(B563,"1")</f>
        <v>电子设备</v>
      </c>
      <c r="E563" s="4">
        <f t="shared" si="8"/>
        <v>43465</v>
      </c>
      <c r="F563" s="11">
        <f>[1]!EM_S_PQ_PCTCHANGE(B563,"2018-01-01","2019-12-31","3")</f>
        <v>91.744726799999995</v>
      </c>
      <c r="G563" s="11">
        <f>[1]!EM_S_PQ_PCTCHANGE(B563,"2018-12-31","2019-12-30","1")</f>
        <v>50.087873459999997</v>
      </c>
      <c r="H563" s="11">
        <f>[1]!EM_S_FA_YOY_OR(B563,E563)</f>
        <v>56.278086852400001</v>
      </c>
      <c r="I563" s="11">
        <f>[1]!EM_S_FA_GROSSPROFITMARGIN(B563,E563)</f>
        <v>20.0706718687</v>
      </c>
      <c r="J563" s="11">
        <f>[1]!EM_S_FA_NETPROFITMARGIN(B563,E563)</f>
        <v>6.2474237960999996</v>
      </c>
      <c r="K563" s="10">
        <f>[1]!EM_S_FA_ASSETSTURN(B563,E563)</f>
        <v>2.8422359543129998</v>
      </c>
      <c r="L563" s="12">
        <f>[1]!EM_HKS_VAL_MV(B563,"2019-12-31","2")</f>
        <v>56190177095.099998</v>
      </c>
      <c r="M563">
        <f>[1]!EM_S_VAL_PETTMDEDUCTED(B563,E563)</f>
        <v>41.218399516560702</v>
      </c>
      <c r="N563" s="7">
        <f>[1]!EM_S_VAL_PBGOODWILLDEDUCTED(B563,E563)</f>
        <v>11.075489327642901</v>
      </c>
      <c r="O563" s="7">
        <f>[1]!EM_S_VAL_PS_TTM(B563,E563)</f>
        <v>2.42074440390211</v>
      </c>
      <c r="P563" s="7">
        <f>[1]!EM_S_VAL_PCF_NCFTTM(B563,E563)</f>
        <v>42.476043318450103</v>
      </c>
      <c r="Q563" s="7">
        <f>[1]!EM_S_VAL_DIVIDENDYIELD2(B563,E563,"2019-11-29")</f>
        <v>0.63307501424969692</v>
      </c>
      <c r="T563"/>
      <c r="U563">
        <f>[1]!EM_S_RATIO_EPS_TTM(B563,E563,"1")</f>
        <v>1.5321192963163472</v>
      </c>
      <c r="AT563" s="4" t="str">
        <f>[1]!EM_S_IPO_LISTEDDATE(B563)</f>
        <v>2017-01-19</v>
      </c>
    </row>
    <row r="564" spans="1:46">
      <c r="A564">
        <v>34</v>
      </c>
      <c r="B564" t="str">
        <f>"000034"</f>
        <v>000034</v>
      </c>
      <c r="C564" t="s">
        <v>699</v>
      </c>
      <c r="D564" t="str">
        <f>[1]!EM_S_INFO_INDEX_EM(B564,"1")</f>
        <v>信息技术</v>
      </c>
      <c r="E564" s="4">
        <f t="shared" si="8"/>
        <v>43465</v>
      </c>
      <c r="F564" s="11">
        <f>[1]!EM_S_PQ_PCTCHANGE(B564,"2018-01-01","2019-12-31","3")</f>
        <v>-6.4501983000000003</v>
      </c>
      <c r="G564" s="11">
        <f>[1]!EM_S_PQ_PCTCHANGE(B564,"2019-01-01","2019-12-31","3")</f>
        <v>49.957898030000003</v>
      </c>
      <c r="H564" s="11">
        <f>[1]!EM_S_FA_YOY_OR(B564,E564)</f>
        <v>31.5708494203</v>
      </c>
      <c r="I564" s="11">
        <f>[1]!EM_S_FA_GROSSPROFITMARGIN(B564,E564)</f>
        <v>4.027054648</v>
      </c>
      <c r="J564" s="11">
        <f>[1]!EM_S_FA_NETPROFITMARGIN(B564,E564)</f>
        <v>0.63039184810000004</v>
      </c>
      <c r="K564" s="10">
        <f>[1]!EM_S_FA_ASSETSTURN(B564,E564)</f>
        <v>3.2574717774059998</v>
      </c>
      <c r="L564" s="12">
        <f>[1]!EM_HKS_VAL_MV(B564,"2019-12-31","2")</f>
        <v>12983298114.9</v>
      </c>
      <c r="M564">
        <f>[1]!EM_S_VAL_PETTMDEDUCTED(B564,E564)</f>
        <v>22.7160261433927</v>
      </c>
      <c r="N564" s="7">
        <f>[1]!EM_S_VAL_PBGOODWILLDEDUCTED(B564,E564)</f>
        <v>3.0229436144404498</v>
      </c>
      <c r="O564" s="7">
        <f>[1]!EM_S_VAL_PS_TTM(B564,E564)</f>
        <v>0.116718530685456</v>
      </c>
      <c r="P564" s="7">
        <f>[1]!EM_S_VAL_PCF_NCFTTM(B564,E564)</f>
        <v>95.540658734824802</v>
      </c>
      <c r="Q564" s="7">
        <f>[1]!EM_S_VAL_DIVIDENDYIELD2(B564,E564,"2019-11-29")</f>
        <v>1.5231788079470201</v>
      </c>
      <c r="T564"/>
      <c r="U564">
        <f>[1]!EM_S_RATIO_EPS_TTM(B564,E564,"1")</f>
        <v>0.78341411172852371</v>
      </c>
      <c r="AT564" s="4" t="str">
        <f>[1]!EM_S_IPO_LISTEDDATE(B564)</f>
        <v>1994-05-09</v>
      </c>
    </row>
    <row r="565" spans="1:46">
      <c r="A565">
        <v>512</v>
      </c>
      <c r="B565" t="str">
        <f>"002001"</f>
        <v>002001</v>
      </c>
      <c r="C565" t="s">
        <v>87</v>
      </c>
      <c r="D565" t="str">
        <f>[1]!EM_S_INFO_INDEX_EM(B565,"1")</f>
        <v>医药生物</v>
      </c>
      <c r="E565" s="4">
        <f t="shared" si="8"/>
        <v>43465</v>
      </c>
      <c r="F565" s="11">
        <f>[1]!EM_S_PQ_PCTCHANGE(B565,"2018-01-01","2019-12-31","3")</f>
        <v>9.6869704700000003</v>
      </c>
      <c r="G565" s="11">
        <f>[1]!EM_S_PQ_PCTCHANGE(B565,"2018-12-31","2019-12-30","1")</f>
        <v>49.700199869999999</v>
      </c>
      <c r="H565" s="11">
        <f>[1]!EM_S_FA_YOY_OR(B565,E565)</f>
        <v>39.265936334599999</v>
      </c>
      <c r="I565" s="11">
        <f>[1]!EM_S_FA_GROSSPROFITMARGIN(B565,E565)</f>
        <v>53.374189685600001</v>
      </c>
      <c r="J565" s="11">
        <f>[1]!EM_S_FA_NETPROFITMARGIN(B565,E565)</f>
        <v>35.6823936328</v>
      </c>
      <c r="K565" s="10">
        <f>[1]!EM_S_FA_ASSETSTURN(B565,E565)</f>
        <v>0.43289525690000003</v>
      </c>
      <c r="L565" s="12">
        <f>[1]!EM_HKS_VAL_MV(B565,"2019-12-31","2")</f>
        <v>49977885098</v>
      </c>
      <c r="M565">
        <f>[1]!EM_S_VAL_PETTMDEDUCTED(B565,E565)</f>
        <v>10.049614783728501</v>
      </c>
      <c r="N565" s="7">
        <f>[1]!EM_S_VAL_PBGOODWILLDEDUCTED(B565,E565)</f>
        <v>1.9944731692481099</v>
      </c>
      <c r="O565" s="7">
        <f>[1]!EM_S_VAL_PS_TTM(B565,E565)</f>
        <v>3.6391442558701699</v>
      </c>
      <c r="P565" s="7">
        <f>[1]!EM_S_VAL_PCF_NCFTTM(B565,E565)</f>
        <v>2062.2093577388</v>
      </c>
      <c r="Q565" s="7">
        <f>[1]!EM_S_VAL_DIVIDENDYIELD2(B565,E565,"2019-11-29")</f>
        <v>3.286384976525822</v>
      </c>
      <c r="U565">
        <f>[1]!EM_S_RATIO_EPS_TTM(B565,E565,"1")</f>
        <v>1.4329308764992992</v>
      </c>
      <c r="AT565" s="4" t="str">
        <f>[1]!EM_S_IPO_LISTEDDATE(B565)</f>
        <v>2004-06-25</v>
      </c>
    </row>
    <row r="566" spans="1:46">
      <c r="A566">
        <v>829</v>
      </c>
      <c r="B566" t="str">
        <f>"002318"</f>
        <v>002318</v>
      </c>
      <c r="C566" t="s">
        <v>1644</v>
      </c>
      <c r="D566" t="str">
        <f>[1]!EM_S_INFO_INDEX_EM(B566,"1")</f>
        <v>钢铁</v>
      </c>
      <c r="E566" s="4">
        <f t="shared" si="8"/>
        <v>43465</v>
      </c>
      <c r="F566" s="11">
        <f>[1]!EM_S_PQ_PCTCHANGE(B566,"2018-01-01","2019-12-31","3")</f>
        <v>39.942184609999998</v>
      </c>
      <c r="G566" s="11">
        <f>[1]!EM_S_PQ_PCTCHANGE(B566,"2018-12-31","2019-12-30","1")</f>
        <v>49.68454259</v>
      </c>
      <c r="H566" s="11">
        <f>[1]!EM_S_FA_YOY_OR(B566,E566)</f>
        <v>43.418738123799997</v>
      </c>
      <c r="I566" s="11">
        <f>[1]!EM_S_FA_GROSSPROFITMARGIN(B566,E566)</f>
        <v>25.061976916599999</v>
      </c>
      <c r="J566" s="11">
        <f>[1]!EM_S_FA_NETPROFITMARGIN(B566,E566)</f>
        <v>7.5844854036999996</v>
      </c>
      <c r="K566" s="10">
        <f>[1]!EM_S_FA_ASSETSTURN(B566,E566)</f>
        <v>0.80193833245599999</v>
      </c>
      <c r="L566" s="12">
        <f>[1]!EM_HKS_VAL_MV(B566,"2019-12-31","2")</f>
        <v>7893624592.1400003</v>
      </c>
      <c r="M566">
        <f>[1]!EM_S_VAL_PETTMDEDUCTED(B566,E566)</f>
        <v>24.325871094361698</v>
      </c>
      <c r="N566" s="7">
        <f>[1]!EM_S_VAL_PBGOODWILLDEDUCTED(B566,E566)</f>
        <v>1.79771719263354</v>
      </c>
      <c r="O566" s="7">
        <f>[1]!EM_S_VAL_PS_TTM(B566,E566)</f>
        <v>1.3958841971828699</v>
      </c>
      <c r="P566" s="7">
        <f>[1]!EM_S_VAL_PCF_NCFTTM(B566,E566)</f>
        <v>11.9661055699295</v>
      </c>
      <c r="Q566" s="7">
        <f>[1]!EM_S_VAL_DIVIDENDYIELD2(B566,E566,"2019-11-29")</f>
        <v>3.4843099993641493</v>
      </c>
      <c r="T566"/>
      <c r="U566">
        <f>[1]!EM_S_RATIO_EPS_TTM(B566,E566,"1")</f>
        <v>0.36081894977305634</v>
      </c>
      <c r="AT566" s="4" t="str">
        <f>[1]!EM_S_IPO_LISTEDDATE(B566)</f>
        <v>2009-12-11</v>
      </c>
    </row>
    <row r="567" spans="1:46">
      <c r="A567">
        <v>2498</v>
      </c>
      <c r="B567" t="str">
        <f>"600380"</f>
        <v>600380</v>
      </c>
      <c r="C567" t="s">
        <v>804</v>
      </c>
      <c r="D567" t="str">
        <f>[1]!EM_S_INFO_INDEX_EM(B567,"1")</f>
        <v>医药生物</v>
      </c>
      <c r="E567" s="4">
        <f t="shared" si="8"/>
        <v>43465</v>
      </c>
      <c r="F567" s="11">
        <f>[1]!EM_S_PQ_PCTCHANGE(B567,"2018-01-01","2019-12-31","3")</f>
        <v>5.9246392999999999</v>
      </c>
      <c r="G567" s="11">
        <f>[1]!EM_S_PQ_PCTCHANGE(B567,"2018-12-31","2019-12-30","1")</f>
        <v>49.625187410000002</v>
      </c>
      <c r="H567" s="11">
        <f>[1]!EM_S_FA_YOY_OR(B567,E567)</f>
        <v>3.9400281046000001</v>
      </c>
      <c r="I567" s="11">
        <f>[1]!EM_S_FA_GROSSPROFITMARGIN(B567,E567)</f>
        <v>62.386968140500002</v>
      </c>
      <c r="J567" s="11">
        <f>[1]!EM_S_FA_NETPROFITMARGIN(B567,E567)</f>
        <v>13.027528241800001</v>
      </c>
      <c r="K567" s="10">
        <f>[1]!EM_S_FA_ASSETSTURN(B567,E567)</f>
        <v>0.47477096848599998</v>
      </c>
      <c r="L567" s="12">
        <f>[1]!EM_HKS_VAL_MV(B567,"2019-12-31","2")</f>
        <v>20058645048.299999</v>
      </c>
      <c r="M567">
        <f>[1]!EM_S_VAL_PETTMDEDUCTED(B567,E567)</f>
        <v>19.399850760990301</v>
      </c>
      <c r="N567" s="7">
        <f>[1]!EM_S_VAL_PBGOODWILLDEDUCTED(B567,E567)</f>
        <v>1.43167690294195</v>
      </c>
      <c r="O567" s="7">
        <f>[1]!EM_S_VAL_PS_TTM(B567,E567)</f>
        <v>1.15338092256753</v>
      </c>
      <c r="P567" s="7">
        <f>[1]!EM_S_VAL_PCF_NCFTTM(B567,E567)</f>
        <v>-16.676389184504401</v>
      </c>
      <c r="Q567" s="7">
        <f>[1]!EM_S_VAL_DIVIDENDYIELD2(B567,E567,"2019-11-29")</f>
        <v>1.6293279022403258</v>
      </c>
      <c r="T567"/>
      <c r="U567">
        <f>[1]!EM_S_RATIO_EPS_TTM(B567,E567,"1")</f>
        <v>0.36088690623958708</v>
      </c>
      <c r="AT567" s="4" t="str">
        <f>[1]!EM_S_IPO_LISTEDDATE(B567)</f>
        <v>2001-06-08</v>
      </c>
    </row>
    <row r="568" spans="1:46">
      <c r="A568">
        <v>1171</v>
      </c>
      <c r="B568" t="str">
        <f>"002660"</f>
        <v>002660</v>
      </c>
      <c r="C568" t="s">
        <v>3299</v>
      </c>
      <c r="D568" t="str">
        <f>[1]!EM_S_INFO_INDEX_EM(B568,"1")</f>
        <v>电子设备</v>
      </c>
      <c r="E568" s="4">
        <f t="shared" si="8"/>
        <v>43465</v>
      </c>
      <c r="F568" s="11">
        <f>[1]!EM_S_PQ_PCTCHANGE(B568,"2018-01-01","2019-12-31","3")</f>
        <v>-8.4551148200000004</v>
      </c>
      <c r="G568" s="11">
        <f>[1]!EM_S_PQ_PCTCHANGE(B568,"2018-12-31","2019-12-30","1")</f>
        <v>49.576988159999999</v>
      </c>
      <c r="H568" s="11">
        <f>[1]!EM_S_FA_YOY_OR(B568,E568)</f>
        <v>-19.0246162561</v>
      </c>
      <c r="I568" s="11">
        <f>[1]!EM_S_FA_GROSSPROFITMARGIN(B568,E568)</f>
        <v>18.962749327899999</v>
      </c>
      <c r="J568" s="11">
        <f>[1]!EM_S_FA_NETPROFITMARGIN(B568,E568)</f>
        <v>-20.417238929900002</v>
      </c>
      <c r="K568" s="10">
        <f>[1]!EM_S_FA_ASSETSTURN(B568,E568)</f>
        <v>0.71293563407399996</v>
      </c>
      <c r="L568" s="12">
        <f>[1]!EM_HKS_VAL_MV(B568,"2019-12-31","2")</f>
        <v>2405853990.3899999</v>
      </c>
      <c r="M568">
        <f>[1]!EM_S_VAL_PETTMDEDUCTED(B568,E568)</f>
        <v>-81.328729686161097</v>
      </c>
      <c r="N568" s="7">
        <f>[1]!EM_S_VAL_PBGOODWILLDEDUCTED(B568,E568)</f>
        <v>2.9195272345389198</v>
      </c>
      <c r="O568" s="7">
        <f>[1]!EM_S_VAL_PS_TTM(B568,E568)</f>
        <v>1.2145850942041601</v>
      </c>
      <c r="P568" s="7">
        <f>[1]!EM_S_VAL_PCF_NCFTTM(B568,E568)</f>
        <v>-14.881022216096</v>
      </c>
      <c r="Q568" s="7">
        <f>[1]!EM_S_VAL_DIVIDENDYIELD2(B568,E568,"2019-11-29")</f>
        <v>0</v>
      </c>
      <c r="T568"/>
      <c r="U568">
        <f>[1]!EM_S_RATIO_EPS_TTM(B568,E568,"1")</f>
        <v>-0.93231923952180296</v>
      </c>
      <c r="AT568" s="4" t="str">
        <f>[1]!EM_S_IPO_LISTEDDATE(B568)</f>
        <v>2012-03-16</v>
      </c>
    </row>
    <row r="569" spans="1:46">
      <c r="A569">
        <v>31</v>
      </c>
      <c r="B569" t="str">
        <f>"000031"</f>
        <v>000031</v>
      </c>
      <c r="C569" t="s">
        <v>537</v>
      </c>
      <c r="D569" t="str">
        <f>[1]!EM_S_INFO_INDEX_EM(B569,"1")</f>
        <v>房地产</v>
      </c>
      <c r="E569" s="4">
        <f t="shared" si="8"/>
        <v>43465</v>
      </c>
      <c r="F569" s="11">
        <f>[1]!EM_S_PQ_PCTCHANGE(B569,"2018-01-01","2019-12-31","3")</f>
        <v>-8.0267895300000003</v>
      </c>
      <c r="G569" s="11">
        <f>[1]!EM_S_PQ_PCTCHANGE(B569,"2019-01-01","2019-12-31","3")</f>
        <v>49.453159429999999</v>
      </c>
      <c r="H569" s="11">
        <f>[1]!EM_S_FA_YOY_OR(B569,E569)</f>
        <v>0.54990207270000002</v>
      </c>
      <c r="I569" s="11">
        <f>[1]!EM_S_FA_GROSSPROFITMARGIN(B569,E569)</f>
        <v>42.506864201200003</v>
      </c>
      <c r="J569" s="11">
        <f>[1]!EM_S_FA_NETPROFITMARGIN(B569,E569)</f>
        <v>14.1956370489</v>
      </c>
      <c r="K569" s="10">
        <f>[1]!EM_S_FA_ASSETSTURN(B569,E569)</f>
        <v>0.16917429968799999</v>
      </c>
      <c r="L569" s="12">
        <f>[1]!EM_HKS_VAL_MV(B569,"2019-12-31","2")</f>
        <v>28187749026.84</v>
      </c>
      <c r="M569">
        <f>[1]!EM_S_VAL_PETTMDEDUCTED(B569,E569)</f>
        <v>6.7945066535527898</v>
      </c>
      <c r="N569" s="7">
        <f>[1]!EM_S_VAL_PBGOODWILLDEDUCTED(B569,E569)</f>
        <v>1.1454676913228901</v>
      </c>
      <c r="O569" s="7">
        <f>[1]!EM_S_VAL_PS_TTM(B569,E569)</f>
        <v>0.65981375021560695</v>
      </c>
      <c r="P569" s="7">
        <f>[1]!EM_S_VAL_PCF_NCFTTM(B569,E569)</f>
        <v>11.3250210226951</v>
      </c>
      <c r="Q569" s="7">
        <f>[1]!EM_S_VAL_DIVIDENDYIELD2(B569,E569,"2019-11-29")</f>
        <v>1.5965166908563138</v>
      </c>
      <c r="T569"/>
      <c r="U569">
        <f>[1]!EM_S_RATIO_EPS_TTM(B569,E569,"1")</f>
        <v>0.76569724274682593</v>
      </c>
      <c r="AT569" s="4" t="str">
        <f>[1]!EM_S_IPO_LISTEDDATE(B569)</f>
        <v>1993-10-08</v>
      </c>
    </row>
    <row r="570" spans="1:46">
      <c r="A570">
        <v>1410</v>
      </c>
      <c r="B570" t="str">
        <f>"002913"</f>
        <v>002913</v>
      </c>
      <c r="C570" t="s">
        <v>1193</v>
      </c>
      <c r="D570" t="str">
        <f>[1]!EM_S_INFO_INDEX_EM(B570,"1")</f>
        <v>电子设备</v>
      </c>
      <c r="E570" s="4">
        <f t="shared" si="8"/>
        <v>43465</v>
      </c>
      <c r="F570" s="11">
        <f>[1]!EM_S_PQ_PCTCHANGE(B570,"2018-01-01","2019-12-31","3")</f>
        <v>25.535471650000002</v>
      </c>
      <c r="G570" s="11">
        <f>[1]!EM_S_PQ_PCTCHANGE(B570,"2018-12-31","2019-12-30","1")</f>
        <v>49.423847700000003</v>
      </c>
      <c r="H570" s="11">
        <f>[1]!EM_S_FA_YOY_OR(B570,E570)</f>
        <v>28.709195818000001</v>
      </c>
      <c r="I570" s="11">
        <f>[1]!EM_S_FA_GROSSPROFITMARGIN(B570,E570)</f>
        <v>23.944159515599999</v>
      </c>
      <c r="J570" s="11">
        <f>[1]!EM_S_FA_NETPROFITMARGIN(B570,E570)</f>
        <v>10.689029062099999</v>
      </c>
      <c r="K570" s="10">
        <f>[1]!EM_S_FA_ASSETSTURN(B570,E570)</f>
        <v>0.73812795850400004</v>
      </c>
      <c r="L570" s="12">
        <f>[1]!EM_HKS_VAL_MV(B570,"2019-12-31","2")</f>
        <v>8758913352.6599998</v>
      </c>
      <c r="M570">
        <f>[1]!EM_S_VAL_PETTMDEDUCTED(B570,E570)</f>
        <v>26.8676000294221</v>
      </c>
      <c r="N570" s="7">
        <f>[1]!EM_S_VAL_PBGOODWILLDEDUCTED(B570,E570)</f>
        <v>2.7025891153770201</v>
      </c>
      <c r="O570" s="7">
        <f>[1]!EM_S_VAL_PS_TTM(B570,E570)</f>
        <v>2.7195650123822199</v>
      </c>
      <c r="P570" s="7">
        <f>[1]!EM_S_VAL_PCF_NCFTTM(B570,E570)</f>
        <v>57.296814957620903</v>
      </c>
      <c r="Q570" s="7">
        <f>[1]!EM_S_VAL_DIVIDENDYIELD2(B570,E570,"2019-11-29")</f>
        <v>0.84586466165413532</v>
      </c>
      <c r="T570"/>
      <c r="U570">
        <f>[1]!EM_S_RATIO_EPS_TTM(B570,E570,"1")</f>
        <v>1.6230346568489242</v>
      </c>
      <c r="AT570" s="4" t="str">
        <f>[1]!EM_S_IPO_LISTEDDATE(B570)</f>
        <v>2017-12-01</v>
      </c>
    </row>
    <row r="571" spans="1:46">
      <c r="A571">
        <v>2281</v>
      </c>
      <c r="B571" t="str">
        <f>"600136"</f>
        <v>600136</v>
      </c>
      <c r="C571" t="s">
        <v>1244</v>
      </c>
      <c r="D571" t="str">
        <f>[1]!EM_S_INFO_INDEX_EM(B571,"1")</f>
        <v>文化传媒</v>
      </c>
      <c r="E571" s="4">
        <f t="shared" si="8"/>
        <v>43465</v>
      </c>
      <c r="F571" s="11">
        <f>[1]!EM_S_PQ_PCTCHANGE(B571,"2018-01-01","2019-12-31","3")</f>
        <v>-11.41111454</v>
      </c>
      <c r="G571" s="11">
        <f>[1]!EM_S_PQ_PCTCHANGE(B571,"2018-12-31","2019-12-30","1")</f>
        <v>49.326805389999997</v>
      </c>
      <c r="H571" s="11">
        <f>[1]!EM_S_FA_YOY_OR(B571,E571)</f>
        <v>192.60669103230001</v>
      </c>
      <c r="I571" s="11">
        <f>[1]!EM_S_FA_GROSSPROFITMARGIN(B571,E571)</f>
        <v>34.971280476700002</v>
      </c>
      <c r="J571" s="11">
        <f>[1]!EM_S_FA_NETPROFITMARGIN(B571,E571)</f>
        <v>3.0298392544000001</v>
      </c>
      <c r="K571" s="10">
        <f>[1]!EM_S_FA_ASSETSTURN(B571,E571)</f>
        <v>0.33861889936799999</v>
      </c>
      <c r="L571" s="12">
        <f>[1]!EM_HKS_VAL_MV(B571,"2019-12-31","2")</f>
        <v>7190809062.8999996</v>
      </c>
      <c r="M571">
        <f>[1]!EM_S_VAL_PETTMDEDUCTED(B571,E571)</f>
        <v>19.836499281467699</v>
      </c>
      <c r="N571" s="7">
        <f>[1]!EM_S_VAL_PBGOODWILLDEDUCTED(B571,E571)</f>
        <v>-7.3045462333382103</v>
      </c>
      <c r="O571" s="7">
        <f>[1]!EM_S_VAL_PS_TTM(B571,E571)</f>
        <v>2.16688331433688</v>
      </c>
      <c r="P571" s="7">
        <f>[1]!EM_S_VAL_PCF_NCFTTM(B571,E571)</f>
        <v>11.8466972160331</v>
      </c>
      <c r="Q571" s="7">
        <f>[1]!EM_S_VAL_DIVIDENDYIELD2(B571,E571,"2019-11-29")</f>
        <v>0.25081788440567065</v>
      </c>
      <c r="T571"/>
      <c r="U571">
        <f>[1]!EM_S_RATIO_EPS_TTM(B571,E571,"1")</f>
        <v>0.36533794844050393</v>
      </c>
      <c r="AT571" s="4" t="str">
        <f>[1]!EM_S_IPO_LISTEDDATE(B571)</f>
        <v>1998-03-03</v>
      </c>
    </row>
    <row r="572" spans="1:46">
      <c r="A572">
        <v>2472</v>
      </c>
      <c r="B572" t="str">
        <f>"600352"</f>
        <v>600352</v>
      </c>
      <c r="C572" t="s">
        <v>225</v>
      </c>
      <c r="D572" t="str">
        <f>[1]!EM_S_INFO_INDEX_EM(B572,"1")</f>
        <v>基础化工</v>
      </c>
      <c r="E572" s="4">
        <f t="shared" si="8"/>
        <v>43465</v>
      </c>
      <c r="F572" s="11">
        <f>[1]!EM_S_PQ_PCTCHANGE(B572,"2018-01-01","2019-12-31","3")</f>
        <v>27.876956150000002</v>
      </c>
      <c r="G572" s="11">
        <f>[1]!EM_S_PQ_PCTCHANGE(B572,"2018-12-31","2019-12-30","1")</f>
        <v>49.326424869999997</v>
      </c>
      <c r="H572" s="11">
        <f>[1]!EM_S_FA_YOY_OR(B572,E572)</f>
        <v>26.322142836400001</v>
      </c>
      <c r="I572" s="11">
        <f>[1]!EM_S_FA_GROSSPROFITMARGIN(B572,E572)</f>
        <v>45.432555714899998</v>
      </c>
      <c r="J572" s="11">
        <f>[1]!EM_S_FA_NETPROFITMARGIN(B572,E572)</f>
        <v>22.083142343599999</v>
      </c>
      <c r="K572" s="10">
        <f>[1]!EM_S_FA_ASSETSTURN(B572,E572)</f>
        <v>0.38705409613899999</v>
      </c>
      <c r="L572" s="12">
        <f>[1]!EM_HKS_VAL_MV(B572,"2019-12-31","2")</f>
        <v>47075712014.199997</v>
      </c>
      <c r="M572">
        <f>[1]!EM_S_VAL_PETTMDEDUCTED(B572,E572)</f>
        <v>9.1238470327240808</v>
      </c>
      <c r="N572" s="7">
        <f>[1]!EM_S_VAL_PBGOODWILLDEDUCTED(B572,E572)</f>
        <v>1.5872893128442001</v>
      </c>
      <c r="O572" s="7">
        <f>[1]!EM_S_VAL_PS_TTM(B572,E572)</f>
        <v>1.7014783762369701</v>
      </c>
      <c r="P572" s="7">
        <f>[1]!EM_S_VAL_PCF_NCFTTM(B572,E572)</f>
        <v>-33.4079803959781</v>
      </c>
      <c r="Q572" s="7">
        <f>[1]!EM_S_VAL_DIVIDENDYIELD2(B572,E572,"2019-11-29")</f>
        <v>1.8982536066818527</v>
      </c>
      <c r="T572"/>
      <c r="U572">
        <f>[1]!EM_S_RATIO_EPS_TTM(B572,E572,"1")</f>
        <v>1.2637397000655199</v>
      </c>
      <c r="AT572" s="4" t="str">
        <f>[1]!EM_S_IPO_LISTEDDATE(B572)</f>
        <v>2003-08-01</v>
      </c>
    </row>
    <row r="573" spans="1:46">
      <c r="A573">
        <v>483</v>
      </c>
      <c r="B573" t="str">
        <f>"000970"</f>
        <v>000970</v>
      </c>
      <c r="C573" t="s">
        <v>2257</v>
      </c>
      <c r="D573" t="str">
        <f>[1]!EM_S_INFO_INDEX_EM(B573,"1")</f>
        <v>有色金属</v>
      </c>
      <c r="E573" s="4">
        <f t="shared" si="8"/>
        <v>43465</v>
      </c>
      <c r="F573" s="11">
        <f>[1]!EM_S_PQ_PCTCHANGE(B573,"2018-01-01","2019-12-31","3")</f>
        <v>-24.039909269999999</v>
      </c>
      <c r="G573" s="11">
        <f>[1]!EM_S_PQ_PCTCHANGE(B573,"2018-12-31","2019-12-30","1")</f>
        <v>49.249658940000003</v>
      </c>
      <c r="H573" s="11">
        <f>[1]!EM_S_FA_YOY_OR(B573,E573)</f>
        <v>6.9128542167000004</v>
      </c>
      <c r="I573" s="11">
        <f>[1]!EM_S_FA_GROSSPROFITMARGIN(B573,E573)</f>
        <v>19.5580952344</v>
      </c>
      <c r="J573" s="11">
        <f>[1]!EM_S_FA_NETPROFITMARGIN(B573,E573)</f>
        <v>7.1513037870999998</v>
      </c>
      <c r="K573" s="10">
        <f>[1]!EM_S_FA_ASSETSTURN(B573,E573)</f>
        <v>0.67083785362399995</v>
      </c>
      <c r="L573" s="12">
        <f>[1]!EM_HKS_VAL_MV(B573,"2019-12-31","2")</f>
        <v>11450900000</v>
      </c>
      <c r="M573">
        <f>[1]!EM_S_VAL_PETTMDEDUCTED(B573,E573)</f>
        <v>31.434255981762998</v>
      </c>
      <c r="N573" s="7">
        <f>[1]!EM_S_VAL_PBGOODWILLDEDUCTED(B573,E573)</f>
        <v>1.7636453155176399</v>
      </c>
      <c r="O573" s="7">
        <f>[1]!EM_S_VAL_PS_TTM(B573,E573)</f>
        <v>1.89039239655143</v>
      </c>
      <c r="P573" s="7">
        <f>[1]!EM_S_VAL_PCF_NCFTTM(B573,E573)</f>
        <v>-22.2420641306337</v>
      </c>
      <c r="Q573" s="7">
        <f>[1]!EM_S_VAL_DIVIDENDYIELD2(B573,E573,"2019-11-29")</f>
        <v>1.0044642857142858</v>
      </c>
      <c r="T573"/>
      <c r="U573">
        <f>[1]!EM_S_RATIO_EPS_TTM(B573,E573,"1")</f>
        <v>0.23309044996244838</v>
      </c>
      <c r="AT573" s="4" t="str">
        <f>[1]!EM_S_IPO_LISTEDDATE(B573)</f>
        <v>2000-04-20</v>
      </c>
    </row>
    <row r="574" spans="1:46">
      <c r="A574">
        <v>1820</v>
      </c>
      <c r="B574" t="str">
        <f>"300395"</f>
        <v>300395</v>
      </c>
      <c r="C574" t="s">
        <v>1179</v>
      </c>
      <c r="D574" t="str">
        <f>[1]!EM_S_INFO_INDEX_EM(B574,"1")</f>
        <v>有色金属</v>
      </c>
      <c r="E574" s="4">
        <f t="shared" si="8"/>
        <v>43465</v>
      </c>
      <c r="F574" s="11">
        <f>[1]!EM_S_PQ_PCTCHANGE(B574,"2018-01-01","2019-12-31","3")</f>
        <v>31.620508180000002</v>
      </c>
      <c r="G574" s="11">
        <f>[1]!EM_S_PQ_PCTCHANGE(B574,"2018-12-31","2019-12-30","1")</f>
        <v>49.198606269999999</v>
      </c>
      <c r="H574" s="11">
        <f>[1]!EM_S_FA_YOY_OR(B574,E574)</f>
        <v>32.412309757899997</v>
      </c>
      <c r="I574" s="11">
        <f>[1]!EM_S_FA_GROSSPROFITMARGIN(B574,E574)</f>
        <v>45.424352148700002</v>
      </c>
      <c r="J574" s="11">
        <f>[1]!EM_S_FA_NETPROFITMARGIN(B574,E574)</f>
        <v>22.376869481</v>
      </c>
      <c r="K574" s="10">
        <f>[1]!EM_S_FA_ASSETSTURN(B574,E574)</f>
        <v>0.56373217867699998</v>
      </c>
      <c r="L574" s="12">
        <f>[1]!EM_HKS_VAL_MV(B574,"2019-12-31","2")</f>
        <v>7405667733.6000004</v>
      </c>
      <c r="M574">
        <f>[1]!EM_S_VAL_PETTMDEDUCTED(B574,E574)</f>
        <v>28.106929987357901</v>
      </c>
      <c r="N574" s="7">
        <f>[1]!EM_S_VAL_PBGOODWILLDEDUCTED(B574,E574)</f>
        <v>4.4933537283604297</v>
      </c>
      <c r="O574" s="7">
        <f>[1]!EM_S_VAL_PS_TTM(B574,E574)</f>
        <v>6.2626010095039</v>
      </c>
      <c r="P574" s="7">
        <f>[1]!EM_S_VAL_PCF_NCFTTM(B574,E574)</f>
        <v>-124.656304925551</v>
      </c>
      <c r="Q574" s="7">
        <f>[1]!EM_S_VAL_DIVIDENDYIELD2(B574,E574,"2019-11-29")</f>
        <v>0.87073466283059298</v>
      </c>
      <c r="T574"/>
      <c r="U574">
        <f>[1]!EM_S_RATIO_EPS_TTM(B574,E574,"1")</f>
        <v>0.53810360999202267</v>
      </c>
      <c r="AT574" s="4" t="str">
        <f>[1]!EM_S_IPO_LISTEDDATE(B574)</f>
        <v>2014-09-10</v>
      </c>
    </row>
    <row r="575" spans="1:46">
      <c r="A575">
        <v>3484</v>
      </c>
      <c r="B575" t="str">
        <f>"603666"</f>
        <v>603666</v>
      </c>
      <c r="C575" t="s">
        <v>3089</v>
      </c>
      <c r="D575" t="str">
        <f>[1]!EM_S_INFO_INDEX_EM(B575,"1")</f>
        <v>机械设备</v>
      </c>
      <c r="E575" s="4">
        <f t="shared" si="8"/>
        <v>43465</v>
      </c>
      <c r="F575" s="11">
        <f>[1]!EM_S_PQ_PCTCHANGE(B575,"2018-01-01","2019-12-31","3")</f>
        <v>190.61649968</v>
      </c>
      <c r="G575" s="11">
        <f>[1]!EM_S_PQ_PCTCHANGE(B575,"2018-12-31","2019-12-30","1")</f>
        <v>49.148471620000002</v>
      </c>
      <c r="H575" s="11">
        <f>[1]!EM_S_FA_YOY_OR(B575,E575)</f>
        <v>35.0990905134</v>
      </c>
      <c r="I575" s="11">
        <f>[1]!EM_S_FA_GROSSPROFITMARGIN(B575,E575)</f>
        <v>61.551774754500002</v>
      </c>
      <c r="J575" s="11">
        <f>[1]!EM_S_FA_NETPROFITMARGIN(B575,E575)</f>
        <v>36.434174124400002</v>
      </c>
      <c r="K575" s="10">
        <f>[1]!EM_S_FA_ASSETSTURN(B575,E575)</f>
        <v>0.61434706830800001</v>
      </c>
      <c r="L575" s="12">
        <f>[1]!EM_HKS_VAL_MV(B575,"2019-12-31","2")</f>
        <v>7011159036</v>
      </c>
      <c r="M575">
        <f>[1]!EM_S_VAL_PETTMDEDUCTED(B575,E575)</f>
        <v>29.895321229609198</v>
      </c>
      <c r="N575" s="7">
        <f>[1]!EM_S_VAL_PBGOODWILLDEDUCTED(B575,E575)</f>
        <v>4.5693982008265497</v>
      </c>
      <c r="O575" s="7">
        <f>[1]!EM_S_VAL_PS_TTM(B575,E575)</f>
        <v>9.9941526616034295</v>
      </c>
      <c r="P575" s="7">
        <f>[1]!EM_S_VAL_PCF_NCFTTM(B575,E575)</f>
        <v>7.9025637134531701</v>
      </c>
      <c r="Q575" s="7">
        <f>[1]!EM_S_VAL_DIVIDENDYIELD2(B575,E575,"2019-11-29")</f>
        <v>0.73725540671048018</v>
      </c>
      <c r="T575"/>
      <c r="U575">
        <f>[1]!EM_S_RATIO_EPS_TTM(B575,E575,"1")</f>
        <v>1.8731838167524331</v>
      </c>
      <c r="AT575" s="4" t="str">
        <f>[1]!EM_S_IPO_LISTEDDATE(B575)</f>
        <v>2018-06-12</v>
      </c>
    </row>
    <row r="576" spans="1:46">
      <c r="A576">
        <v>3149</v>
      </c>
      <c r="B576" t="str">
        <f>"601788"</f>
        <v>601788</v>
      </c>
      <c r="C576" t="s">
        <v>1773</v>
      </c>
      <c r="D576" t="str">
        <f>[1]!EM_S_INFO_INDEX_EM(B576,"1")</f>
        <v>金融</v>
      </c>
      <c r="E576" s="4">
        <f t="shared" si="8"/>
        <v>43465</v>
      </c>
      <c r="F576" s="11">
        <f>[1]!EM_S_PQ_PCTCHANGE(B576,"2018-01-01","2019-12-31","3")</f>
        <v>0.29403854000000001</v>
      </c>
      <c r="G576" s="11">
        <f>[1]!EM_S_PQ_PCTCHANGE(B576,"2018-12-31","2019-12-30","1")</f>
        <v>49.144811859999997</v>
      </c>
      <c r="H576" s="11">
        <f>[1]!EM_S_FA_YOY_OR(B576,E576)</f>
        <v>-21.6084441062</v>
      </c>
      <c r="I576" s="11">
        <f>[1]!EM_S_FA_GROSSPROFITMARGIN(B576,E576)</f>
        <v>0</v>
      </c>
      <c r="J576" s="11">
        <f>[1]!EM_S_FA_NETPROFITMARGIN(B576,E576)</f>
        <v>3.1618084412999998</v>
      </c>
      <c r="K576" s="10">
        <f>[1]!EM_S_FA_ASSETSTURN(B576,E576)</f>
        <v>0</v>
      </c>
      <c r="L576" s="12">
        <f>[1]!EM_HKS_VAL_MV(B576,"2019-12-31","2")</f>
        <v>60401318070.900002</v>
      </c>
      <c r="M576">
        <f>[1]!EM_S_VAL_PETTMDEDUCTED(B576,E576)</f>
        <v>22.781418342509902</v>
      </c>
      <c r="N576" s="7">
        <f>[1]!EM_S_VAL_PBGOODWILLDEDUCTED(B576,E576)</f>
        <v>0.880090203598063</v>
      </c>
      <c r="O576" s="7">
        <f>[1]!EM_S_VAL_PS_TTM(B576,E576)</f>
        <v>4.4859774512936701</v>
      </c>
      <c r="P576" s="7">
        <f>[1]!EM_S_VAL_PCF_NCFTTM(B576,E576)</f>
        <v>-18.644080044524699</v>
      </c>
      <c r="Q576" s="7">
        <f>[1]!EM_S_VAL_DIVIDENDYIELD2(B576,E576,"2019-11-29")</f>
        <v>0.89206066012488849</v>
      </c>
      <c r="T576"/>
      <c r="U576">
        <f>[1]!EM_S_RATIO_EPS_TTM(B576,E576,"1")</f>
        <v>2.2408939189923077E-2</v>
      </c>
      <c r="AT576" s="4" t="str">
        <f>[1]!EM_S_IPO_LISTEDDATE(B576)</f>
        <v>2009-08-18</v>
      </c>
    </row>
    <row r="577" spans="1:46">
      <c r="A577">
        <v>1788</v>
      </c>
      <c r="B577" t="str">
        <f>"300363"</f>
        <v>300363</v>
      </c>
      <c r="C577" t="s">
        <v>1682</v>
      </c>
      <c r="D577" t="str">
        <f>[1]!EM_S_INFO_INDEX_EM(B577,"1")</f>
        <v>医药生物</v>
      </c>
      <c r="E577" s="4">
        <f t="shared" si="8"/>
        <v>43465</v>
      </c>
      <c r="F577" s="11">
        <f>[1]!EM_S_PQ_PCTCHANGE(B577,"2018-01-01","2019-12-31","3")</f>
        <v>8.7505564099999997</v>
      </c>
      <c r="G577" s="11">
        <f>[1]!EM_S_PQ_PCTCHANGE(B577,"2018-12-31","2019-12-30","1")</f>
        <v>49.097065460000003</v>
      </c>
      <c r="H577" s="11">
        <f>[1]!EM_S_FA_YOY_OR(B577,E577)</f>
        <v>6.5408020999999997E-2</v>
      </c>
      <c r="I577" s="11">
        <f>[1]!EM_S_FA_GROSSPROFITMARGIN(B577,E577)</f>
        <v>33.4629913988</v>
      </c>
      <c r="J577" s="11">
        <f>[1]!EM_S_FA_NETPROFITMARGIN(B577,E577)</f>
        <v>9.4054170661000001</v>
      </c>
      <c r="K577" s="10">
        <f>[1]!EM_S_FA_ASSETSTURN(B577,E577)</f>
        <v>0.32810305118900002</v>
      </c>
      <c r="L577" s="12">
        <f>[1]!EM_HKS_VAL_MV(B577,"2019-12-31","2")</f>
        <v>7766717197.2299995</v>
      </c>
      <c r="M577">
        <f>[1]!EM_S_VAL_PETTMDEDUCTED(B577,E577)</f>
        <v>74.273134592928102</v>
      </c>
      <c r="N577" s="7">
        <f>[1]!EM_S_VAL_PBGOODWILLDEDUCTED(B577,E577)</f>
        <v>1.8240584369108299</v>
      </c>
      <c r="O577" s="7">
        <f>[1]!EM_S_VAL_PS_TTM(B577,E577)</f>
        <v>4.0371230430078704</v>
      </c>
      <c r="P577" s="7">
        <f>[1]!EM_S_VAL_PCF_NCFTTM(B577,E577)</f>
        <v>3.0182112989878802</v>
      </c>
      <c r="Q577" s="7">
        <f>[1]!EM_S_VAL_DIVIDENDYIELD2(B577,E577,"2019-11-29")</f>
        <v>0.3781174577634755</v>
      </c>
      <c r="T577"/>
      <c r="U577">
        <f>[1]!EM_S_RATIO_EPS_TTM(B577,E577,"1")</f>
        <v>0.22937755562308562</v>
      </c>
      <c r="AT577" s="4" t="str">
        <f>[1]!EM_S_IPO_LISTEDDATE(B577)</f>
        <v>2014-01-29</v>
      </c>
    </row>
    <row r="578" spans="1:46">
      <c r="A578">
        <v>3481</v>
      </c>
      <c r="B578" t="str">
        <f>"603661"</f>
        <v>603661</v>
      </c>
      <c r="C578" t="s">
        <v>2297</v>
      </c>
      <c r="D578" t="str">
        <f>[1]!EM_S_INFO_INDEX_EM(B578,"1")</f>
        <v>轻工制造</v>
      </c>
      <c r="E578" s="4">
        <f t="shared" si="8"/>
        <v>43465</v>
      </c>
      <c r="F578" s="11">
        <f>[1]!EM_S_PQ_PCTCHANGE(B578,"2018-01-01","2019-12-31","3")</f>
        <v>-34.103191760000001</v>
      </c>
      <c r="G578" s="11">
        <f>[1]!EM_S_PQ_PCTCHANGE(B578,"2018-12-31","2019-12-30","1")</f>
        <v>49.055967629999998</v>
      </c>
      <c r="H578" s="11">
        <f>[1]!EM_S_FA_YOY_OR(B578,E578)</f>
        <v>22.2542696567</v>
      </c>
      <c r="I578" s="11">
        <f>[1]!EM_S_FA_GROSSPROFITMARGIN(B578,E578)</f>
        <v>19.597670665599999</v>
      </c>
      <c r="J578" s="11">
        <f>[1]!EM_S_FA_NETPROFITMARGIN(B578,E578)</f>
        <v>7.4582676332000002</v>
      </c>
      <c r="K578" s="10">
        <f>[1]!EM_S_FA_ASSETSTURN(B578,E578)</f>
        <v>0.83804112203000003</v>
      </c>
      <c r="L578" s="12">
        <f>[1]!EM_HKS_VAL_MV(B578,"2019-12-31","2")</f>
        <v>4394000000</v>
      </c>
      <c r="M578">
        <f>[1]!EM_S_VAL_PETTMDEDUCTED(B578,E578)</f>
        <v>30.990909275358501</v>
      </c>
      <c r="N578" s="7">
        <f>[1]!EM_S_VAL_PBGOODWILLDEDUCTED(B578,E578)</f>
        <v>1.31175574766069</v>
      </c>
      <c r="O578" s="7">
        <f>[1]!EM_S_VAL_PS_TTM(B578,E578)</f>
        <v>1.3779718966202199</v>
      </c>
      <c r="P578" s="7">
        <f>[1]!EM_S_VAL_PCF_NCFTTM(B578,E578)</f>
        <v>59.665284432980499</v>
      </c>
      <c r="Q578" s="7">
        <f>[1]!EM_S_VAL_DIVIDENDYIELD2(B578,E578,"2019-11-29")</f>
        <v>0.70475711049584688</v>
      </c>
      <c r="T578"/>
      <c r="U578">
        <f>[1]!EM_S_RATIO_EPS_TTM(B578,E578,"1")</f>
        <v>1.7095047881999998</v>
      </c>
      <c r="AT578" s="4" t="str">
        <f>[1]!EM_S_IPO_LISTEDDATE(B578)</f>
        <v>2017-11-21</v>
      </c>
    </row>
    <row r="579" spans="1:46">
      <c r="A579">
        <v>2160</v>
      </c>
      <c r="B579" t="str">
        <f>"300750"</f>
        <v>300750</v>
      </c>
      <c r="C579" t="s">
        <v>1629</v>
      </c>
      <c r="D579" t="str">
        <f>[1]!EM_S_INFO_INDEX_EM(B579,"1")</f>
        <v>电气设备</v>
      </c>
      <c r="E579" s="4">
        <f t="shared" ref="E579:E642" si="9">$B$1</f>
        <v>43465</v>
      </c>
      <c r="F579" s="11">
        <f>[1]!EM_S_PQ_PCTCHANGE(B579,"2018-01-01","2019-12-31","3")</f>
        <v>324.04876337000002</v>
      </c>
      <c r="G579" s="11">
        <f>[1]!EM_S_PQ_PCTCHANGE(B579,"2018-12-31","2019-12-30","1")</f>
        <v>49.051490510000001</v>
      </c>
      <c r="H579" s="11">
        <f>[1]!EM_S_FA_YOY_OR(B579,E579)</f>
        <v>48.079569693499998</v>
      </c>
      <c r="I579" s="11">
        <f>[1]!EM_S_FA_GROSSPROFITMARGIN(B579,E579)</f>
        <v>32.788133633299999</v>
      </c>
      <c r="J579" s="11">
        <f>[1]!EM_S_FA_NETPROFITMARGIN(B579,E579)</f>
        <v>12.616470228300001</v>
      </c>
      <c r="K579" s="10">
        <f>[1]!EM_S_FA_ASSETSTURN(B579,E579)</f>
        <v>0.47935382899899998</v>
      </c>
      <c r="L579" s="12">
        <f>[1]!EM_HKS_VAL_MV(B579,"2019-12-31","2")</f>
        <v>234973728080</v>
      </c>
      <c r="M579">
        <f>[1]!EM_S_VAL_PETTMDEDUCTED(B579,E579)</f>
        <v>63.221403623929</v>
      </c>
      <c r="N579" s="7">
        <f>[1]!EM_S_VAL_PBGOODWILLDEDUCTED(B579,E579)</f>
        <v>4.9330947907701503</v>
      </c>
      <c r="O579" s="7">
        <f>[1]!EM_S_VAL_PS_TTM(B579,E579)</f>
        <v>5.9639559664031596</v>
      </c>
      <c r="P579" s="7">
        <f>[1]!EM_S_VAL_PCF_NCFTTM(B579,E579)</f>
        <v>294.632385257615</v>
      </c>
      <c r="Q579" s="7">
        <f>[1]!EM_S_VAL_DIVIDENDYIELD2(B579,E579,"2019-11-29")</f>
        <v>0.16146834415553787</v>
      </c>
      <c r="T579"/>
      <c r="U579">
        <f>[1]!EM_S_RATIO_EPS_TTM(B579,E579,"1")</f>
        <v>1.5430561997549541</v>
      </c>
      <c r="AT579" s="4" t="str">
        <f>[1]!EM_S_IPO_LISTEDDATE(B579)</f>
        <v>2018-06-11</v>
      </c>
    </row>
    <row r="580" spans="1:46">
      <c r="A580">
        <v>1537</v>
      </c>
      <c r="B580" t="str">
        <f>"300112"</f>
        <v>300112</v>
      </c>
      <c r="C580" t="s">
        <v>2700</v>
      </c>
      <c r="D580" t="str">
        <f>[1]!EM_S_INFO_INDEX_EM(B580,"1")</f>
        <v>机械设备</v>
      </c>
      <c r="E580" s="4">
        <f t="shared" si="9"/>
        <v>43465</v>
      </c>
      <c r="F580" s="11">
        <f>[1]!EM_S_PQ_PCTCHANGE(B580,"2018-01-01","2019-12-31","3")</f>
        <v>-2.73806079</v>
      </c>
      <c r="G580" s="11">
        <f>[1]!EM_S_PQ_PCTCHANGE(B580,"2018-12-31","2019-12-30","1")</f>
        <v>49.035369770000003</v>
      </c>
      <c r="H580" s="11">
        <f>[1]!EM_S_FA_YOY_OR(B580,E580)</f>
        <v>7.5438876159000001</v>
      </c>
      <c r="I580" s="11">
        <f>[1]!EM_S_FA_GROSSPROFITMARGIN(B580,E580)</f>
        <v>54.208392122500001</v>
      </c>
      <c r="J580" s="11">
        <f>[1]!EM_S_FA_NETPROFITMARGIN(B580,E580)</f>
        <v>9.6717764143</v>
      </c>
      <c r="K580" s="10">
        <f>[1]!EM_S_FA_ASSETSTURN(B580,E580)</f>
        <v>0.492177021484</v>
      </c>
      <c r="L580" s="12">
        <f>[1]!EM_HKS_VAL_MV(B580,"2019-12-31","2")</f>
        <v>2713309478.4000001</v>
      </c>
      <c r="M580">
        <f>[1]!EM_S_VAL_PETTMDEDUCTED(B580,E580)</f>
        <v>42.058989675076603</v>
      </c>
      <c r="N580" s="7">
        <f>[1]!EM_S_VAL_PBGOODWILLDEDUCTED(B580,E580)</f>
        <v>2.2197201550494601</v>
      </c>
      <c r="O580" s="7">
        <f>[1]!EM_S_VAL_PS_TTM(B580,E580)</f>
        <v>3.112469080456</v>
      </c>
      <c r="P580" s="7">
        <f>[1]!EM_S_VAL_PCF_NCFTTM(B580,E580)</f>
        <v>19.868764161723199</v>
      </c>
      <c r="Q580" s="7">
        <f>[1]!EM_S_VAL_DIVIDENDYIELD2(B580,E580,"2019-11-29")</f>
        <v>1.6528925619834711</v>
      </c>
      <c r="T580"/>
      <c r="U580">
        <f>[1]!EM_S_RATIO_EPS_TTM(B580,E580,"1")</f>
        <v>0.19645867582754836</v>
      </c>
      <c r="AT580" s="4" t="str">
        <f>[1]!EM_S_IPO_LISTEDDATE(B580)</f>
        <v>2010-08-27</v>
      </c>
    </row>
    <row r="581" spans="1:46">
      <c r="A581">
        <v>530</v>
      </c>
      <c r="B581" t="str">
        <f>"002019"</f>
        <v>002019</v>
      </c>
      <c r="C581" t="s">
        <v>302</v>
      </c>
      <c r="D581" t="str">
        <f>[1]!EM_S_INFO_INDEX_EM(B581,"1")</f>
        <v>医药生物</v>
      </c>
      <c r="E581" s="4">
        <f t="shared" si="9"/>
        <v>43465</v>
      </c>
      <c r="F581" s="11">
        <f>[1]!EM_S_PQ_PCTCHANGE(B581,"2018-01-01","2019-12-31","3")</f>
        <v>-24.122580989999999</v>
      </c>
      <c r="G581" s="11">
        <f>[1]!EM_S_PQ_PCTCHANGE(B581,"2018-12-31","2019-12-30","1")</f>
        <v>48.971962619999999</v>
      </c>
      <c r="H581" s="11">
        <f>[1]!EM_S_FA_YOY_OR(B581,E581)</f>
        <v>5.9109097741000003</v>
      </c>
      <c r="I581" s="11">
        <f>[1]!EM_S_FA_GROSSPROFITMARGIN(B581,E581)</f>
        <v>44.0774765703</v>
      </c>
      <c r="J581" s="11">
        <f>[1]!EM_S_FA_NETPROFITMARGIN(B581,E581)</f>
        <v>14.9763844767</v>
      </c>
      <c r="K581" s="10">
        <f>[1]!EM_S_FA_ASSETSTURN(B581,E581)</f>
        <v>0.49958386404100003</v>
      </c>
      <c r="L581" s="12">
        <f>[1]!EM_HKS_VAL_MV(B581,"2019-12-31","2")</f>
        <v>20099699376.25</v>
      </c>
      <c r="M581">
        <f>[1]!EM_S_VAL_PETTMDEDUCTED(B581,E581)</f>
        <v>11.732790657168801</v>
      </c>
      <c r="N581" s="7">
        <f>[1]!EM_S_VAL_PBGOODWILLDEDUCTED(B581,E581)</f>
        <v>3.2458746791267199</v>
      </c>
      <c r="O581" s="7">
        <f>[1]!EM_S_VAL_PS_TTM(B581,E581)</f>
        <v>2.7235388284979098</v>
      </c>
      <c r="P581" s="7">
        <f>[1]!EM_S_VAL_PCF_NCFTTM(B581,E581)</f>
        <v>-146.39986650763399</v>
      </c>
      <c r="Q581" s="7">
        <f>[1]!EM_S_VAL_DIVIDENDYIELD2(B581,E581,"2019-11-29")</f>
        <v>0.70493099417847949</v>
      </c>
      <c r="T581"/>
      <c r="U581">
        <f>[1]!EM_S_RATIO_EPS_TTM(B581,E581,"1")</f>
        <v>0.61097948749089526</v>
      </c>
      <c r="AT581" s="4" t="str">
        <f>[1]!EM_S_IPO_LISTEDDATE(B581)</f>
        <v>2004-07-13</v>
      </c>
    </row>
    <row r="582" spans="1:46">
      <c r="A582">
        <v>3116</v>
      </c>
      <c r="B582" t="str">
        <f>"601555"</f>
        <v>601555</v>
      </c>
      <c r="C582" t="s">
        <v>2862</v>
      </c>
      <c r="D582" t="str">
        <f>[1]!EM_S_INFO_INDEX_EM(B582,"1")</f>
        <v>金融</v>
      </c>
      <c r="E582" s="4">
        <f t="shared" si="9"/>
        <v>43465</v>
      </c>
      <c r="F582" s="11">
        <f>[1]!EM_S_PQ_PCTCHANGE(B582,"2018-01-01","2019-12-31","3")</f>
        <v>5.6248632199999999</v>
      </c>
      <c r="G582" s="11">
        <f>[1]!EM_S_PQ_PCTCHANGE(B582,"2018-12-31","2019-12-30","1")</f>
        <v>48.955223879999998</v>
      </c>
      <c r="H582" s="11">
        <f>[1]!EM_S_FA_YOY_OR(B582,E582)</f>
        <v>0.42673529609999999</v>
      </c>
      <c r="I582" s="11">
        <f>[1]!EM_S_FA_GROSSPROFITMARGIN(B582,E582)</f>
        <v>0</v>
      </c>
      <c r="J582" s="11">
        <f>[1]!EM_S_FA_NETPROFITMARGIN(B582,E582)</f>
        <v>8.3478767603000001</v>
      </c>
      <c r="K582" s="10">
        <f>[1]!EM_S_FA_ASSETSTURN(B582,E582)</f>
        <v>0</v>
      </c>
      <c r="L582" s="12">
        <f>[1]!EM_HKS_VAL_MV(B582,"2019-12-31","2")</f>
        <v>29970000000</v>
      </c>
      <c r="M582">
        <f>[1]!EM_S_VAL_PETTMDEDUCTED(B582,E582)</f>
        <v>127.296026943336</v>
      </c>
      <c r="N582" s="7">
        <f>[1]!EM_S_VAL_PBGOODWILLDEDUCTED(B582,E582)</f>
        <v>1.00897837630496</v>
      </c>
      <c r="O582" s="7">
        <f>[1]!EM_S_VAL_PS_TTM(B582,E582)</f>
        <v>5.8070754555059096</v>
      </c>
      <c r="P582" s="7">
        <f>[1]!EM_S_VAL_PCF_NCFTTM(B582,E582)</f>
        <v>-6.1096041228908797</v>
      </c>
      <c r="Q582" s="7">
        <f>[1]!EM_S_VAL_DIVIDENDYIELD2(B582,E582,"2019-11-29")</f>
        <v>1.0550996483001172</v>
      </c>
      <c r="T582"/>
      <c r="U582">
        <f>[1]!EM_S_RATIO_EPS_TTM(B582,E582,"1")</f>
        <v>0.11947039176333334</v>
      </c>
      <c r="AT582" s="4" t="str">
        <f>[1]!EM_S_IPO_LISTEDDATE(B582)</f>
        <v>2011-12-12</v>
      </c>
    </row>
    <row r="583" spans="1:46">
      <c r="A583">
        <v>2644</v>
      </c>
      <c r="B583" t="str">
        <f>"600570"</f>
        <v>600570</v>
      </c>
      <c r="C583" t="s">
        <v>1480</v>
      </c>
      <c r="D583" t="str">
        <f>[1]!EM_S_INFO_INDEX_EM(B583,"1")</f>
        <v>信息技术</v>
      </c>
      <c r="E583" s="4">
        <f t="shared" si="9"/>
        <v>43465</v>
      </c>
      <c r="F583" s="11">
        <f>[1]!EM_S_PQ_PCTCHANGE(B583,"2018-01-01","2019-12-31","3")</f>
        <v>119.63905808</v>
      </c>
      <c r="G583" s="11">
        <f>[1]!EM_S_PQ_PCTCHANGE(B583,"2018-12-31","2019-12-30","1")</f>
        <v>48.922662559999999</v>
      </c>
      <c r="H583" s="11">
        <f>[1]!EM_S_FA_YOY_OR(B583,E583)</f>
        <v>22.382994654699999</v>
      </c>
      <c r="I583" s="11">
        <f>[1]!EM_S_FA_GROSSPROFITMARGIN(B583,E583)</f>
        <v>97.105051970900007</v>
      </c>
      <c r="J583" s="11">
        <f>[1]!EM_S_FA_NETPROFITMARGIN(B583,E583)</f>
        <v>20.790233743400002</v>
      </c>
      <c r="K583" s="10">
        <f>[1]!EM_S_FA_ASSETSTURN(B583,E583)</f>
        <v>0.54072680743599999</v>
      </c>
      <c r="L583" s="12">
        <f>[1]!EM_HKS_VAL_MV(B583,"2019-12-31","2")</f>
        <v>62428595633.82</v>
      </c>
      <c r="M583">
        <f>[1]!EM_S_VAL_PETTMDEDUCTED(B583,E583)</f>
        <v>116.890756100554</v>
      </c>
      <c r="N583" s="7">
        <f>[1]!EM_S_VAL_PBGOODWILLDEDUCTED(B583,E583)</f>
        <v>11.361827015833899</v>
      </c>
      <c r="O583" s="7">
        <f>[1]!EM_S_VAL_PS_TTM(B583,E583)</f>
        <v>10.7813545491922</v>
      </c>
      <c r="P583" s="7">
        <f>[1]!EM_S_VAL_PCF_NCFTTM(B583,E583)</f>
        <v>198.04490066214001</v>
      </c>
      <c r="Q583" s="7">
        <f>[1]!EM_S_VAL_DIVIDENDYIELD2(B583,E583,"2019-11-29")</f>
        <v>0.33807697590145053</v>
      </c>
      <c r="T583"/>
      <c r="U583">
        <f>[1]!EM_S_RATIO_EPS_TTM(B583,E583,"1")</f>
        <v>1.0446180449474378</v>
      </c>
      <c r="AT583" s="4" t="str">
        <f>[1]!EM_S_IPO_LISTEDDATE(B583)</f>
        <v>2003-12-16</v>
      </c>
    </row>
    <row r="584" spans="1:46">
      <c r="A584">
        <v>2783</v>
      </c>
      <c r="B584" t="str">
        <f>"600710"</f>
        <v>600710</v>
      </c>
      <c r="C584" t="s">
        <v>1420</v>
      </c>
      <c r="D584" t="str">
        <f>[1]!EM_S_INFO_INDEX_EM(B584,"1")</f>
        <v>商贸零售</v>
      </c>
      <c r="E584" s="4">
        <f t="shared" si="9"/>
        <v>43465</v>
      </c>
      <c r="F584" s="11">
        <f>[1]!EM_S_PQ_PCTCHANGE(B584,"2018-01-01","2019-12-31","3")</f>
        <v>-15.620961810000001</v>
      </c>
      <c r="G584" s="11">
        <f>[1]!EM_S_PQ_PCTCHANGE(B584,"2018-12-31","2019-12-30","1")</f>
        <v>48.780487800000003</v>
      </c>
      <c r="H584" s="11">
        <f>[1]!EM_S_FA_YOY_OR(B584,E584)</f>
        <v>10.6270989658</v>
      </c>
      <c r="I584" s="11">
        <f>[1]!EM_S_FA_GROSSPROFITMARGIN(B584,E584)</f>
        <v>6.1353566449999999</v>
      </c>
      <c r="J584" s="11">
        <f>[1]!EM_S_FA_NETPROFITMARGIN(B584,E584)</f>
        <v>1.5107120703000001</v>
      </c>
      <c r="K584" s="10">
        <f>[1]!EM_S_FA_ASSETSTURN(B584,E584)</f>
        <v>1.950547089968</v>
      </c>
      <c r="L584" s="12">
        <f>[1]!EM_HKS_VAL_MV(B584,"2019-12-31","2")</f>
        <v>7252459358.6999998</v>
      </c>
      <c r="M584">
        <f>[1]!EM_S_VAL_PETTMDEDUCTED(B584,E584)</f>
        <v>13.629512026555201</v>
      </c>
      <c r="N584" s="7">
        <f>[1]!EM_S_VAL_PBGOODWILLDEDUCTED(B584,E584)</f>
        <v>1.1041946742320301</v>
      </c>
      <c r="O584" s="7">
        <f>[1]!EM_S_VAL_PS_TTM(B584,E584)</f>
        <v>5.91243725744343E-2</v>
      </c>
      <c r="P584" s="7">
        <f>[1]!EM_S_VAL_PCF_NCFTTM(B584,E584)</f>
        <v>4.5809937982698097</v>
      </c>
      <c r="Q584" s="7">
        <f>[1]!EM_S_VAL_DIVIDENDYIELD2(B584,E584,"2019-11-29")</f>
        <v>1.988636363636364</v>
      </c>
      <c r="T584"/>
      <c r="U584">
        <f>[1]!EM_S_RATIO_EPS_TTM(B584,E584,"1")</f>
        <v>0.34855204715550692</v>
      </c>
      <c r="AT584" s="4" t="str">
        <f>[1]!EM_S_IPO_LISTEDDATE(B584)</f>
        <v>1996-07-01</v>
      </c>
    </row>
    <row r="585" spans="1:46">
      <c r="A585">
        <v>2874</v>
      </c>
      <c r="B585" t="str">
        <f>"600801"</f>
        <v>600801</v>
      </c>
      <c r="C585" t="s">
        <v>392</v>
      </c>
      <c r="D585" t="str">
        <f>[1]!EM_S_INFO_INDEX_EM(B585,"1")</f>
        <v>建材</v>
      </c>
      <c r="E585" s="4">
        <f t="shared" si="9"/>
        <v>43465</v>
      </c>
      <c r="F585" s="11">
        <f>[1]!EM_S_PQ_PCTCHANGE(B585,"2018-01-01","2019-12-31","3")</f>
        <v>178.79515008999999</v>
      </c>
      <c r="G585" s="11">
        <f>[1]!EM_S_PQ_PCTCHANGE(B585,"2018-12-31","2019-12-30","1")</f>
        <v>48.744019139999999</v>
      </c>
      <c r="H585" s="11">
        <f>[1]!EM_S_FA_YOY_OR(B585,E585)</f>
        <v>31.483845858199999</v>
      </c>
      <c r="I585" s="11">
        <f>[1]!EM_S_FA_GROSSPROFITMARGIN(B585,E585)</f>
        <v>39.651978105300003</v>
      </c>
      <c r="J585" s="11">
        <f>[1]!EM_S_FA_NETPROFITMARGIN(B585,E585)</f>
        <v>20.7729031348</v>
      </c>
      <c r="K585" s="10">
        <f>[1]!EM_S_FA_ASSETSTURN(B585,E585)</f>
        <v>0.86288680179499999</v>
      </c>
      <c r="L585" s="12">
        <f>[1]!EM_HKS_VAL_MV(B585,"2019-12-31","2")</f>
        <v>55413134167.650002</v>
      </c>
      <c r="M585">
        <f>[1]!EM_S_VAL_PETTMDEDUCTED(B585,E585)</f>
        <v>5.9917532766859196</v>
      </c>
      <c r="N585" s="7">
        <f>[1]!EM_S_VAL_PBGOODWILLDEDUCTED(B585,E585)</f>
        <v>1.54321330897501</v>
      </c>
      <c r="O585" s="7">
        <f>[1]!EM_S_VAL_PS_TTM(B585,E585)</f>
        <v>0.97888365568253399</v>
      </c>
      <c r="P585" s="7">
        <f>[1]!EM_S_VAL_PCF_NCFTTM(B585,E585)</f>
        <v>17.801378594808899</v>
      </c>
      <c r="Q585" s="7">
        <f>[1]!EM_S_VAL_DIVIDENDYIELD2(B585,E585,"2019-11-29")</f>
        <v>3.7269898885143893</v>
      </c>
      <c r="T585"/>
      <c r="U585">
        <f>[1]!EM_S_RATIO_EPS_TTM(B585,E585,"1")</f>
        <v>3.4599010574671629</v>
      </c>
      <c r="AT585" s="4" t="str">
        <f>[1]!EM_S_IPO_LISTEDDATE(B585)</f>
        <v>1994-01-03</v>
      </c>
    </row>
    <row r="586" spans="1:46">
      <c r="A586">
        <v>3415</v>
      </c>
      <c r="B586" t="str">
        <f>"603508"</f>
        <v>603508</v>
      </c>
      <c r="C586" t="s">
        <v>1211</v>
      </c>
      <c r="D586" t="str">
        <f>[1]!EM_S_INFO_INDEX_EM(B586,"1")</f>
        <v>信息技术</v>
      </c>
      <c r="E586" s="4">
        <f t="shared" si="9"/>
        <v>43465</v>
      </c>
      <c r="F586" s="11">
        <f>[1]!EM_S_PQ_PCTCHANGE(B586,"2018-01-01","2019-12-31","3")</f>
        <v>55.355966080000002</v>
      </c>
      <c r="G586" s="11">
        <f>[1]!EM_S_PQ_PCTCHANGE(B586,"2018-12-31","2019-12-30","1")</f>
        <v>48.731474499999997</v>
      </c>
      <c r="H586" s="11">
        <f>[1]!EM_S_FA_YOY_OR(B586,E586)</f>
        <v>17.677394055699999</v>
      </c>
      <c r="I586" s="11">
        <f>[1]!EM_S_FA_GROSSPROFITMARGIN(B586,E586)</f>
        <v>60.938399607999997</v>
      </c>
      <c r="J586" s="11">
        <f>[1]!EM_S_FA_NETPROFITMARGIN(B586,E586)</f>
        <v>35.325196065299998</v>
      </c>
      <c r="K586" s="10">
        <f>[1]!EM_S_FA_ASSETSTURN(B586,E586)</f>
        <v>0.19232984380000001</v>
      </c>
      <c r="L586" s="12">
        <f>[1]!EM_HKS_VAL_MV(B586,"2019-12-31","2")</f>
        <v>11524639284.18</v>
      </c>
      <c r="M586">
        <f>[1]!EM_S_VAL_PETTMDEDUCTED(B586,E586)</f>
        <v>52.626156677839703</v>
      </c>
      <c r="N586" s="7">
        <f>[1]!EM_S_VAL_PBGOODWILLDEDUCTED(B586,E586)</f>
        <v>2.3876370586531501</v>
      </c>
      <c r="O586" s="7">
        <f>[1]!EM_S_VAL_PS_TTM(B586,E586)</f>
        <v>11.826669783922499</v>
      </c>
      <c r="P586" s="7">
        <f>[1]!EM_S_VAL_PCF_NCFTTM(B586,E586)</f>
        <v>-81.229992162373193</v>
      </c>
      <c r="Q586" s="7">
        <f>[1]!EM_S_VAL_DIVIDENDYIELD2(B586,E586,"2019-11-29")</f>
        <v>0.74179965391270897</v>
      </c>
      <c r="T586"/>
      <c r="U586">
        <f>[1]!EM_S_RATIO_EPS_TTM(B586,E586,"1")</f>
        <v>1.1739427189375</v>
      </c>
      <c r="AT586" s="4" t="str">
        <f>[1]!EM_S_IPO_LISTEDDATE(B586)</f>
        <v>2015-12-24</v>
      </c>
    </row>
    <row r="587" spans="1:46">
      <c r="A587">
        <v>2670</v>
      </c>
      <c r="B587" t="str">
        <f>"600597"</f>
        <v>600597</v>
      </c>
      <c r="C587" t="s">
        <v>1084</v>
      </c>
      <c r="D587" t="str">
        <f>[1]!EM_S_INFO_INDEX_EM(B587,"1")</f>
        <v>食品饮料</v>
      </c>
      <c r="E587" s="4">
        <f t="shared" si="9"/>
        <v>43465</v>
      </c>
      <c r="F587" s="11">
        <f>[1]!EM_S_PQ_PCTCHANGE(B587,"2018-01-01","2019-12-31","3")</f>
        <v>-14.27261581</v>
      </c>
      <c r="G587" s="11">
        <f>[1]!EM_S_PQ_PCTCHANGE(B587,"2018-12-31","2019-12-30","1")</f>
        <v>48.684210530000001</v>
      </c>
      <c r="H587" s="11">
        <f>[1]!EM_S_FA_YOY_OR(B587,E587)</f>
        <v>-4.7087767328999997</v>
      </c>
      <c r="I587" s="11">
        <f>[1]!EM_S_FA_GROSSPROFITMARGIN(B587,E587)</f>
        <v>33.319754404400001</v>
      </c>
      <c r="J587" s="11">
        <f>[1]!EM_S_FA_NETPROFITMARGIN(B587,E587)</f>
        <v>2.5093158820000001</v>
      </c>
      <c r="K587" s="10">
        <f>[1]!EM_S_FA_ASSETSTURN(B587,E587)</f>
        <v>1.217506464315</v>
      </c>
      <c r="L587" s="12">
        <f>[1]!EM_HKS_VAL_MV(B587,"2019-12-31","2")</f>
        <v>15538746489.209999</v>
      </c>
      <c r="M587">
        <f>[1]!EM_S_VAL_PETTMDEDUCTED(B587,E587)</f>
        <v>22.531281990246999</v>
      </c>
      <c r="N587" s="7">
        <f>[1]!EM_S_VAL_PBGOODWILLDEDUCTED(B587,E587)</f>
        <v>2.01353867086224</v>
      </c>
      <c r="O587" s="7">
        <f>[1]!EM_S_VAL_PS_TTM(B587,E587)</f>
        <v>0.49382581101491702</v>
      </c>
      <c r="P587" s="7">
        <f>[1]!EM_S_VAL_PCF_NCFTTM(B587,E587)</f>
        <v>-289.45166839267102</v>
      </c>
      <c r="Q587" s="7">
        <f>[1]!EM_S_VAL_DIVIDENDYIELD2(B587,E587,"2019-11-29")</f>
        <v>0.89686098654708524</v>
      </c>
      <c r="T587"/>
      <c r="U587">
        <f>[1]!EM_S_RATIO_EPS_TTM(B587,E587,"1")</f>
        <v>0.27910183361453955</v>
      </c>
      <c r="AT587" s="4" t="str">
        <f>[1]!EM_S_IPO_LISTEDDATE(B587)</f>
        <v>2002-08-28</v>
      </c>
    </row>
    <row r="588" spans="1:46">
      <c r="A588">
        <v>1029</v>
      </c>
      <c r="B588" t="str">
        <f>"002518"</f>
        <v>002518</v>
      </c>
      <c r="C588" t="s">
        <v>1485</v>
      </c>
      <c r="D588" t="str">
        <f>[1]!EM_S_INFO_INDEX_EM(B588,"1")</f>
        <v>电气设备</v>
      </c>
      <c r="E588" s="4">
        <f t="shared" si="9"/>
        <v>43465</v>
      </c>
      <c r="F588" s="11">
        <f>[1]!EM_S_PQ_PCTCHANGE(B588,"2018-01-01","2019-12-31","3")</f>
        <v>-32.55733085</v>
      </c>
      <c r="G588" s="11">
        <f>[1]!EM_S_PQ_PCTCHANGE(B588,"2018-12-31","2019-12-30","1")</f>
        <v>48.611111110000003</v>
      </c>
      <c r="H588" s="11">
        <f>[1]!EM_S_FA_YOY_OR(B588,E588)</f>
        <v>-0.5494048856</v>
      </c>
      <c r="I588" s="11">
        <f>[1]!EM_S_FA_GROSSPROFITMARGIN(B588,E588)</f>
        <v>29.739692504299999</v>
      </c>
      <c r="J588" s="11">
        <f>[1]!EM_S_FA_NETPROFITMARGIN(B588,E588)</f>
        <v>8.5299910979</v>
      </c>
      <c r="K588" s="10">
        <f>[1]!EM_S_FA_ASSETSTURN(B588,E588)</f>
        <v>0.73787324513899999</v>
      </c>
      <c r="L588" s="12">
        <f>[1]!EM_HKS_VAL_MV(B588,"2019-12-31","2")</f>
        <v>6214692353.9799995</v>
      </c>
      <c r="M588">
        <f>[1]!EM_S_VAL_PETTMDEDUCTED(B588,E588)</f>
        <v>13.008776496751</v>
      </c>
      <c r="N588" s="7">
        <f>[1]!EM_S_VAL_PBGOODWILLDEDUCTED(B588,E588)</f>
        <v>1.7339920709785099</v>
      </c>
      <c r="O588" s="7">
        <f>[1]!EM_S_VAL_PS_TTM(B588,E588)</f>
        <v>1.4869745202260101</v>
      </c>
      <c r="P588" s="7">
        <f>[1]!EM_S_VAL_PCF_NCFTTM(B588,E588)</f>
        <v>-25.6997927404507</v>
      </c>
      <c r="Q588" s="7">
        <f>[1]!EM_S_VAL_DIVIDENDYIELD2(B588,E588,"2019-11-29")</f>
        <v>2.0661157024793391</v>
      </c>
      <c r="T588"/>
      <c r="U588">
        <f>[1]!EM_S_RATIO_EPS_TTM(B588,E588,"1")</f>
        <v>0.39504069540294107</v>
      </c>
      <c r="AT588" s="4" t="str">
        <f>[1]!EM_S_IPO_LISTEDDATE(B588)</f>
        <v>2010-12-07</v>
      </c>
    </row>
    <row r="589" spans="1:46">
      <c r="A589">
        <v>2609</v>
      </c>
      <c r="B589" t="str">
        <f>"600529"</f>
        <v>600529</v>
      </c>
      <c r="C589" t="s">
        <v>1047</v>
      </c>
      <c r="D589" t="str">
        <f>[1]!EM_S_INFO_INDEX_EM(B589,"1")</f>
        <v>医药生物</v>
      </c>
      <c r="E589" s="4">
        <f t="shared" si="9"/>
        <v>43465</v>
      </c>
      <c r="F589" s="11">
        <f>[1]!EM_S_PQ_PCTCHANGE(B589,"2018-01-01","2019-12-31","3")</f>
        <v>149.95113244000001</v>
      </c>
      <c r="G589" s="11">
        <f>[1]!EM_S_PQ_PCTCHANGE(B589,"2018-12-31","2019-12-30","1")</f>
        <v>48.578947370000002</v>
      </c>
      <c r="H589" s="11">
        <f>[1]!EM_S_FA_YOY_OR(B589,E589)</f>
        <v>10.904959445399999</v>
      </c>
      <c r="I589" s="11">
        <f>[1]!EM_S_FA_GROSSPROFITMARGIN(B589,E589)</f>
        <v>35.987945258700002</v>
      </c>
      <c r="J589" s="11">
        <f>[1]!EM_S_FA_NETPROFITMARGIN(B589,E589)</f>
        <v>13.8592511053</v>
      </c>
      <c r="K589" s="10">
        <f>[1]!EM_S_FA_ASSETSTURN(B589,E589)</f>
        <v>0.58715681276700005</v>
      </c>
      <c r="L589" s="12">
        <f>[1]!EM_HKS_VAL_MV(B589,"2019-12-31","2")</f>
        <v>16444908527.08</v>
      </c>
      <c r="M589">
        <f>[1]!EM_S_VAL_PETTMDEDUCTED(B589,E589)</f>
        <v>25.603254393153001</v>
      </c>
      <c r="N589" s="7">
        <f>[1]!EM_S_VAL_PBGOODWILLDEDUCTED(B589,E589)</f>
        <v>2.29019186447325</v>
      </c>
      <c r="O589" s="7">
        <f>[1]!EM_S_VAL_PS_TTM(B589,E589)</f>
        <v>3.1709096489706599</v>
      </c>
      <c r="P589" s="7">
        <f>[1]!EM_S_VAL_PCF_NCFTTM(B589,E589)</f>
        <v>-15.0575560586867</v>
      </c>
      <c r="Q589" s="7">
        <f>[1]!EM_S_VAL_DIVIDENDYIELD2(B589,E589,"2019-11-29")</f>
        <v>0.96178507277235892</v>
      </c>
      <c r="T589"/>
      <c r="U589">
        <f>[1]!EM_S_RATIO_EPS_TTM(B589,E589,"1")</f>
        <v>0.84289267525047629</v>
      </c>
      <c r="AT589" s="4" t="str">
        <f>[1]!EM_S_IPO_LISTEDDATE(B589)</f>
        <v>2002-06-03</v>
      </c>
    </row>
    <row r="590" spans="1:46">
      <c r="A590">
        <v>1639</v>
      </c>
      <c r="B590" t="str">
        <f>"300214"</f>
        <v>300214</v>
      </c>
      <c r="C590" t="s">
        <v>1231</v>
      </c>
      <c r="D590" t="str">
        <f>[1]!EM_S_INFO_INDEX_EM(B590,"1")</f>
        <v>基础化工</v>
      </c>
      <c r="E590" s="4">
        <f t="shared" si="9"/>
        <v>43465</v>
      </c>
      <c r="F590" s="11">
        <f>[1]!EM_S_PQ_PCTCHANGE(B590,"2018-01-01","2019-12-31","3")</f>
        <v>69.683106460000005</v>
      </c>
      <c r="G590" s="11">
        <f>[1]!EM_S_PQ_PCTCHANGE(B590,"2018-12-31","2019-12-30","1")</f>
        <v>48.545454550000002</v>
      </c>
      <c r="H590" s="11">
        <f>[1]!EM_S_FA_YOY_OR(B590,E590)</f>
        <v>-25.4108632911</v>
      </c>
      <c r="I590" s="11">
        <f>[1]!EM_S_FA_GROSSPROFITMARGIN(B590,E590)</f>
        <v>13.0415122927</v>
      </c>
      <c r="J590" s="11">
        <f>[1]!EM_S_FA_NETPROFITMARGIN(B590,E590)</f>
        <v>6.5508448945</v>
      </c>
      <c r="K590" s="10">
        <f>[1]!EM_S_FA_ASSETSTURN(B590,E590)</f>
        <v>0.88446669548500001</v>
      </c>
      <c r="L590" s="12">
        <f>[1]!EM_HKS_VAL_MV(B590,"2019-12-31","2")</f>
        <v>3534244696.1999998</v>
      </c>
      <c r="M590">
        <f>[1]!EM_S_VAL_PETTMDEDUCTED(B590,E590)</f>
        <v>32.966021666082597</v>
      </c>
      <c r="N590" s="7">
        <f>[1]!EM_S_VAL_PBGOODWILLDEDUCTED(B590,E590)</f>
        <v>1.4441750917904601</v>
      </c>
      <c r="O590" s="7">
        <f>[1]!EM_S_VAL_PS_TTM(B590,E590)</f>
        <v>1.47947560659156</v>
      </c>
      <c r="P590" s="7">
        <f>[1]!EM_S_VAL_PCF_NCFTTM(B590,E590)</f>
        <v>-77.603627144203699</v>
      </c>
      <c r="Q590" s="7">
        <f>[1]!EM_S_VAL_DIVIDENDYIELD2(B590,E590,"2019-11-29")</f>
        <v>0.61728395061728403</v>
      </c>
      <c r="T590"/>
      <c r="U590">
        <f>[1]!EM_S_RATIO_EPS_TTM(B590,E590,"1")</f>
        <v>0.24134506820880605</v>
      </c>
      <c r="AT590" s="4" t="str">
        <f>[1]!EM_S_IPO_LISTEDDATE(B590)</f>
        <v>2011-05-11</v>
      </c>
    </row>
    <row r="591" spans="1:46">
      <c r="A591">
        <v>3307</v>
      </c>
      <c r="B591" t="str">
        <f>"603189"</f>
        <v>603189</v>
      </c>
      <c r="C591" t="s">
        <v>3352</v>
      </c>
      <c r="D591" t="str">
        <f>[1]!EM_S_INFO_INDEX_EM(B591,"1")</f>
        <v>信息技术</v>
      </c>
      <c r="E591" s="4">
        <f t="shared" si="9"/>
        <v>43465</v>
      </c>
      <c r="F591" s="11">
        <f>[1]!EM_S_PQ_PCTCHANGE(B591,"2018-01-01","2019-12-31","3")</f>
        <v>4.9026085799999999</v>
      </c>
      <c r="G591" s="11">
        <f>[1]!EM_S_PQ_PCTCHANGE(B591,"2018-12-31","2019-12-30","1")</f>
        <v>48.520179370000001</v>
      </c>
      <c r="H591" s="11">
        <f>[1]!EM_S_FA_YOY_OR(B591,E591)</f>
        <v>2.6380195870000001</v>
      </c>
      <c r="I591" s="11">
        <f>[1]!EM_S_FA_GROSSPROFITMARGIN(B591,E591)</f>
        <v>41.688195808300001</v>
      </c>
      <c r="J591" s="11">
        <f>[1]!EM_S_FA_NETPROFITMARGIN(B591,E591)</f>
        <v>3.9611893944999998</v>
      </c>
      <c r="K591" s="10">
        <f>[1]!EM_S_FA_ASSETSTURN(B591,E591)</f>
        <v>0.22977663280300001</v>
      </c>
      <c r="L591" s="12">
        <f>[1]!EM_HKS_VAL_MV(B591,"2019-12-31","2")</f>
        <v>3746976000</v>
      </c>
      <c r="M591">
        <f>[1]!EM_S_VAL_PETTMDEDUCTED(B591,E591)</f>
        <v>204.202767874161</v>
      </c>
      <c r="N591" s="7">
        <f>[1]!EM_S_VAL_PBGOODWILLDEDUCTED(B591,E591)</f>
        <v>3.0990951715475701</v>
      </c>
      <c r="O591" s="7">
        <f>[1]!EM_S_VAL_PS_TTM(B591,E591)</f>
        <v>13.1849489923618</v>
      </c>
      <c r="P591" s="7">
        <f>[1]!EM_S_VAL_PCF_NCFTTM(B591,E591)</f>
        <v>-23.6686551818533</v>
      </c>
      <c r="Q591" s="7">
        <f>[1]!EM_S_VAL_DIVIDENDYIELD2(B591,E591,"2019-11-29")</f>
        <v>0.20477815699658702</v>
      </c>
      <c r="T591"/>
      <c r="U591">
        <f>[1]!EM_S_RATIO_EPS_TTM(B591,E591,"1")</f>
        <v>3.6205022599637683E-2</v>
      </c>
      <c r="AT591" s="4" t="str">
        <f>[1]!EM_S_IPO_LISTEDDATE(B591)</f>
        <v>2016-09-14</v>
      </c>
    </row>
    <row r="592" spans="1:46">
      <c r="A592">
        <v>3518</v>
      </c>
      <c r="B592" t="str">
        <f>"603727"</f>
        <v>603727</v>
      </c>
      <c r="C592" t="s">
        <v>3475</v>
      </c>
      <c r="D592" t="str">
        <f>[1]!EM_S_INFO_INDEX_EM(B592,"1")</f>
        <v>化石能源</v>
      </c>
      <c r="E592" s="4">
        <f t="shared" si="9"/>
        <v>43465</v>
      </c>
      <c r="F592" s="11">
        <f>[1]!EM_S_PQ_PCTCHANGE(B592,"2018-01-01","2019-12-31","3")</f>
        <v>-15.98114515</v>
      </c>
      <c r="G592" s="11">
        <f>[1]!EM_S_PQ_PCTCHANGE(B592,"2018-12-31","2019-12-30","1")</f>
        <v>48.379254459999999</v>
      </c>
      <c r="H592" s="11">
        <f>[1]!EM_S_FA_YOY_OR(B592,E592)</f>
        <v>-18.913895630399999</v>
      </c>
      <c r="I592" s="11">
        <f>[1]!EM_S_FA_GROSSPROFITMARGIN(B592,E592)</f>
        <v>13.452685473200001</v>
      </c>
      <c r="J592" s="11">
        <f>[1]!EM_S_FA_NETPROFITMARGIN(B592,E592)</f>
        <v>1.8034015540999999</v>
      </c>
      <c r="K592" s="10">
        <f>[1]!EM_S_FA_ASSETSTURN(B592,E592)</f>
        <v>0.14092359033999999</v>
      </c>
      <c r="L592" s="12">
        <f>[1]!EM_HKS_VAL_MV(B592,"2019-12-31","2")</f>
        <v>4547095900</v>
      </c>
      <c r="M592">
        <f>[1]!EM_S_VAL_PETTMDEDUCTED(B592,E592)</f>
        <v>-35.855975861403998</v>
      </c>
      <c r="N592" s="7">
        <f>[1]!EM_S_VAL_PBGOODWILLDEDUCTED(B592,E592)</f>
        <v>1.20243596206863</v>
      </c>
      <c r="O592" s="7">
        <f>[1]!EM_S_VAL_PS_TTM(B592,E592)</f>
        <v>10.7786640448588</v>
      </c>
      <c r="P592" s="7">
        <f>[1]!EM_S_VAL_PCF_NCFTTM(B592,E592)</f>
        <v>-4.3727241040128897</v>
      </c>
      <c r="Q592" s="7">
        <f>[1]!EM_S_VAL_DIVIDENDYIELD2(B592,E592,"2019-11-29")</f>
        <v>0.16629711751662971</v>
      </c>
      <c r="T592"/>
      <c r="U592">
        <f>[1]!EM_S_RATIO_EPS_TTM(B592,E592,"1")</f>
        <v>3.0548444809840057E-2</v>
      </c>
      <c r="AT592" s="4" t="str">
        <f>[1]!EM_S_IPO_LISTEDDATE(B592)</f>
        <v>2016-11-22</v>
      </c>
    </row>
    <row r="593" spans="1:46">
      <c r="A593">
        <v>2501</v>
      </c>
      <c r="B593" t="str">
        <f>"600383"</f>
        <v>600383</v>
      </c>
      <c r="C593" t="s">
        <v>974</v>
      </c>
      <c r="D593" t="str">
        <f>[1]!EM_S_INFO_INDEX_EM(B593,"1")</f>
        <v>房地产</v>
      </c>
      <c r="E593" s="4">
        <f t="shared" si="9"/>
        <v>43465</v>
      </c>
      <c r="F593" s="11">
        <f>[1]!EM_S_PQ_PCTCHANGE(B593,"2018-01-01","2019-12-31","3")</f>
        <v>27.409708089999999</v>
      </c>
      <c r="G593" s="11">
        <f>[1]!EM_S_PQ_PCTCHANGE(B593,"2018-12-31","2019-12-30","1")</f>
        <v>48.336798340000001</v>
      </c>
      <c r="H593" s="11">
        <f>[1]!EM_S_FA_YOY_OR(B593,E593)</f>
        <v>34.767853799400001</v>
      </c>
      <c r="I593" s="11">
        <f>[1]!EM_S_FA_GROSSPROFITMARGIN(B593,E593)</f>
        <v>42.684589982799999</v>
      </c>
      <c r="J593" s="11">
        <f>[1]!EM_S_FA_NETPROFITMARGIN(B593,E593)</f>
        <v>24.059278368299999</v>
      </c>
      <c r="K593" s="10">
        <f>[1]!EM_S_FA_ASSETSTURN(B593,E593)</f>
        <v>0.208511869505</v>
      </c>
      <c r="L593" s="12">
        <f>[1]!EM_HKS_VAL_MV(B593,"2019-12-31","2")</f>
        <v>65461461794</v>
      </c>
      <c r="M593">
        <f>[1]!EM_S_VAL_PETTMDEDUCTED(B593,E593)</f>
        <v>5.2968378736166297</v>
      </c>
      <c r="N593" s="7">
        <f>[1]!EM_S_VAL_PBGOODWILLDEDUCTED(B593,E593)</f>
        <v>0.93665913861638805</v>
      </c>
      <c r="O593" s="7">
        <f>[1]!EM_S_VAL_PS_TTM(B593,E593)</f>
        <v>0.864021787699355</v>
      </c>
      <c r="P593" s="7">
        <f>[1]!EM_S_VAL_PCF_NCFTTM(B593,E593)</f>
        <v>6.8754997827967204</v>
      </c>
      <c r="Q593" s="7">
        <f>[1]!EM_S_VAL_DIVIDENDYIELD2(B593,E593,"2019-11-29")</f>
        <v>5.0420168067226889</v>
      </c>
      <c r="T593"/>
      <c r="U593">
        <f>[1]!EM_S_RATIO_EPS_TTM(B593,E593,"1")</f>
        <v>1.793835899611518</v>
      </c>
      <c r="AT593" s="4" t="str">
        <f>[1]!EM_S_IPO_LISTEDDATE(B593)</f>
        <v>2001-04-12</v>
      </c>
    </row>
    <row r="594" spans="1:46">
      <c r="A594">
        <v>1501</v>
      </c>
      <c r="B594" t="str">
        <f>"300076"</f>
        <v>300076</v>
      </c>
      <c r="C594" t="s">
        <v>572</v>
      </c>
      <c r="D594" t="str">
        <f>[1]!EM_S_INFO_INDEX_EM(B594,"1")</f>
        <v>电子设备</v>
      </c>
      <c r="E594" s="4">
        <f t="shared" si="9"/>
        <v>43465</v>
      </c>
      <c r="F594" s="11">
        <f>[1]!EM_S_PQ_PCTCHANGE(B594,"2018-01-01","2019-12-31","3")</f>
        <v>-4.9780037400000001</v>
      </c>
      <c r="G594" s="11">
        <f>[1]!EM_S_PQ_PCTCHANGE(B594,"2018-12-31","2019-12-30","1")</f>
        <v>48.25</v>
      </c>
      <c r="H594" s="11">
        <f>[1]!EM_S_FA_YOY_OR(B594,E594)</f>
        <v>47.148145989699998</v>
      </c>
      <c r="I594" s="11">
        <f>[1]!EM_S_FA_GROSSPROFITMARGIN(B594,E594)</f>
        <v>46.588632287899998</v>
      </c>
      <c r="J594" s="11">
        <f>[1]!EM_S_FA_NETPROFITMARGIN(B594,E594)</f>
        <v>9.3620881641999993</v>
      </c>
      <c r="K594" s="10">
        <f>[1]!EM_S_FA_ASSETSTURN(B594,E594)</f>
        <v>0.18017945987299999</v>
      </c>
      <c r="L594" s="12">
        <f>[1]!EM_HKS_VAL_MV(B594,"2019-12-31","2")</f>
        <v>2476160000</v>
      </c>
      <c r="M594">
        <f>[1]!EM_S_VAL_PETTMDEDUCTED(B594,E594)</f>
        <v>-16.446731820909399</v>
      </c>
      <c r="N594" s="7">
        <f>[1]!EM_S_VAL_PBGOODWILLDEDUCTED(B594,E594)</f>
        <v>1.68026779522087</v>
      </c>
      <c r="O594" s="7">
        <f>[1]!EM_S_VAL_PS_TTM(B594,E594)</f>
        <v>8.2615329540509208</v>
      </c>
      <c r="P594" s="7">
        <f>[1]!EM_S_VAL_PCF_NCFTTM(B594,E594)</f>
        <v>-103.13900985866999</v>
      </c>
      <c r="Q594" s="7">
        <f>[1]!EM_S_VAL_DIVIDENDYIELD2(B594,E594,"2019-11-29")</f>
        <v>0.37579617834394907</v>
      </c>
      <c r="T594"/>
      <c r="U594">
        <f>[1]!EM_S_RATIO_EPS_TTM(B594,E594,"1")</f>
        <v>4.425851301886792E-2</v>
      </c>
      <c r="AT594" s="4" t="str">
        <f>[1]!EM_S_IPO_LISTEDDATE(B594)</f>
        <v>2010-04-30</v>
      </c>
    </row>
    <row r="595" spans="1:46">
      <c r="A595">
        <v>1472</v>
      </c>
      <c r="B595" t="str">
        <f>"300046"</f>
        <v>300046</v>
      </c>
      <c r="C595" t="s">
        <v>937</v>
      </c>
      <c r="D595" t="str">
        <f>[1]!EM_S_INFO_INDEX_EM(B595,"1")</f>
        <v>电子设备</v>
      </c>
      <c r="E595" s="4">
        <f t="shared" si="9"/>
        <v>43465</v>
      </c>
      <c r="F595" s="11">
        <f>[1]!EM_S_PQ_PCTCHANGE(B595,"2018-01-01","2019-12-31","3")</f>
        <v>10.600108519999999</v>
      </c>
      <c r="G595" s="11">
        <f>[1]!EM_S_PQ_PCTCHANGE(B595,"2018-12-31","2019-12-30","1")</f>
        <v>48.148148149999997</v>
      </c>
      <c r="H595" s="11">
        <f>[1]!EM_S_FA_YOY_OR(B595,E595)</f>
        <v>50.0470421534</v>
      </c>
      <c r="I595" s="11">
        <f>[1]!EM_S_FA_GROSSPROFITMARGIN(B595,E595)</f>
        <v>35.727558371199997</v>
      </c>
      <c r="J595" s="11">
        <f>[1]!EM_S_FA_NETPROFITMARGIN(B595,E595)</f>
        <v>20.514081400399999</v>
      </c>
      <c r="K595" s="10">
        <f>[1]!EM_S_FA_ASSETSTURN(B595,E595)</f>
        <v>0.402781402467</v>
      </c>
      <c r="L595" s="12">
        <f>[1]!EM_HKS_VAL_MV(B595,"2019-12-31","2")</f>
        <v>3409920000</v>
      </c>
      <c r="M595">
        <f>[1]!EM_S_VAL_PETTMDEDUCTED(B595,E595)</f>
        <v>85.183170359396001</v>
      </c>
      <c r="N595" s="7">
        <f>[1]!EM_S_VAL_PBGOODWILLDEDUCTED(B595,E595)</f>
        <v>3.8841090176200499</v>
      </c>
      <c r="O595" s="7">
        <f>[1]!EM_S_VAL_PS_TTM(B595,E595)</f>
        <v>7.6337324091462104</v>
      </c>
      <c r="P595" s="7">
        <f>[1]!EM_S_VAL_PCF_NCFTTM(B595,E595)</f>
        <v>-27.350848392205101</v>
      </c>
      <c r="Q595" s="7">
        <f>[1]!EM_S_VAL_DIVIDENDYIELD2(B595,E595,"2019-11-29")</f>
        <v>2.1246458923512748</v>
      </c>
      <c r="T595"/>
      <c r="U595">
        <f>[1]!EM_S_RATIO_EPS_TTM(B595,E595,"1")</f>
        <v>0.40245745706644143</v>
      </c>
      <c r="AT595" s="4" t="str">
        <f>[1]!EM_S_IPO_LISTEDDATE(B595)</f>
        <v>2010-01-20</v>
      </c>
    </row>
    <row r="596" spans="1:46">
      <c r="A596">
        <v>1604</v>
      </c>
      <c r="B596" t="str">
        <f>"300179"</f>
        <v>300179</v>
      </c>
      <c r="C596" t="s">
        <v>1934</v>
      </c>
      <c r="D596" t="str">
        <f>[1]!EM_S_INFO_INDEX_EM(B596,"1")</f>
        <v>有色金属</v>
      </c>
      <c r="E596" s="4">
        <f t="shared" si="9"/>
        <v>43465</v>
      </c>
      <c r="F596" s="11">
        <f>[1]!EM_S_PQ_PCTCHANGE(B596,"2018-01-01","2019-12-31","3")</f>
        <v>-0.17351907999999999</v>
      </c>
      <c r="G596" s="11">
        <f>[1]!EM_S_PQ_PCTCHANGE(B596,"2018-12-31","2019-12-30","1")</f>
        <v>48.138957820000002</v>
      </c>
      <c r="H596" s="11">
        <f>[1]!EM_S_FA_YOY_OR(B596,E596)</f>
        <v>19.7776754456</v>
      </c>
      <c r="I596" s="11">
        <f>[1]!EM_S_FA_GROSSPROFITMARGIN(B596,E596)</f>
        <v>50.677023580899998</v>
      </c>
      <c r="J596" s="11">
        <f>[1]!EM_S_FA_NETPROFITMARGIN(B596,E596)</f>
        <v>17.168078454300002</v>
      </c>
      <c r="K596" s="10">
        <f>[1]!EM_S_FA_ASSETSTURN(B596,E596)</f>
        <v>0.36438881088000002</v>
      </c>
      <c r="L596" s="12">
        <f>[1]!EM_HKS_VAL_MV(B596,"2019-12-31","2")</f>
        <v>2990700000</v>
      </c>
      <c r="M596">
        <f>[1]!EM_S_VAL_PETTMDEDUCTED(B596,E596)</f>
        <v>46.158489215618602</v>
      </c>
      <c r="N596" s="7">
        <f>[1]!EM_S_VAL_PBGOODWILLDEDUCTED(B596,E596)</f>
        <v>2.4588954948422002</v>
      </c>
      <c r="O596" s="7">
        <f>[1]!EM_S_VAL_PS_TTM(B596,E596)</f>
        <v>5.7121497605891802</v>
      </c>
      <c r="P596" s="7">
        <f>[1]!EM_S_VAL_PCF_NCFTTM(B596,E596)</f>
        <v>11.292775231094801</v>
      </c>
      <c r="Q596" s="7">
        <f>[1]!EM_S_VAL_DIVIDENDYIELD2(B596,E596,"2019-11-29")</f>
        <v>2.9619746410723637</v>
      </c>
      <c r="T596"/>
      <c r="U596">
        <f>[1]!EM_S_RATIO_EPS_TTM(B596,E596,"1")</f>
        <v>0.12913007658705031</v>
      </c>
      <c r="AT596" s="4" t="str">
        <f>[1]!EM_S_IPO_LISTEDDATE(B596)</f>
        <v>2011-02-15</v>
      </c>
    </row>
    <row r="597" spans="1:46">
      <c r="A597">
        <v>2351</v>
      </c>
      <c r="B597" t="str">
        <f>"600216"</f>
        <v>600216</v>
      </c>
      <c r="C597" t="s">
        <v>196</v>
      </c>
      <c r="D597" t="str">
        <f>[1]!EM_S_INFO_INDEX_EM(B597,"1")</f>
        <v>医药生物</v>
      </c>
      <c r="E597" s="4">
        <f t="shared" si="9"/>
        <v>43465</v>
      </c>
      <c r="F597" s="11">
        <f>[1]!EM_S_PQ_PCTCHANGE(B597,"2018-01-01","2019-12-31","3")</f>
        <v>1.4163743200000001</v>
      </c>
      <c r="G597" s="11">
        <f>[1]!EM_S_PQ_PCTCHANGE(B597,"2018-12-31","2019-12-30","1")</f>
        <v>48.041474649999998</v>
      </c>
      <c r="H597" s="11">
        <f>[1]!EM_S_FA_YOY_OR(B597,E597)</f>
        <v>20.485634639400001</v>
      </c>
      <c r="I597" s="11">
        <f>[1]!EM_S_FA_GROSSPROFITMARGIN(B597,E597)</f>
        <v>41.9338810713</v>
      </c>
      <c r="J597" s="11">
        <f>[1]!EM_S_FA_NETPROFITMARGIN(B597,E597)</f>
        <v>4.7706397467999997</v>
      </c>
      <c r="K597" s="10">
        <f>[1]!EM_S_FA_ASSETSTURN(B597,E597)</f>
        <v>0.69135910932300004</v>
      </c>
      <c r="L597" s="12">
        <f>[1]!EM_HKS_VAL_MV(B597,"2019-12-31","2")</f>
        <v>12884458800</v>
      </c>
      <c r="M597">
        <f>[1]!EM_S_VAL_PETTMDEDUCTED(B597,E597)</f>
        <v>13.083657128297901</v>
      </c>
      <c r="N597" s="7">
        <f>[1]!EM_S_VAL_PBGOODWILLDEDUCTED(B597,E597)</f>
        <v>1.0964053866151</v>
      </c>
      <c r="O597" s="7">
        <f>[1]!EM_S_VAL_PS_TTM(B597,E597)</f>
        <v>1.2179708194679799</v>
      </c>
      <c r="P597" s="7">
        <f>[1]!EM_S_VAL_PCF_NCFTTM(B597,E597)</f>
        <v>-47.3654155443433</v>
      </c>
      <c r="Q597" s="7">
        <f>[1]!EM_S_VAL_DIVIDENDYIELD2(B597,E597,"2019-11-29")</f>
        <v>1.2059501975393978</v>
      </c>
      <c r="T597"/>
      <c r="U597">
        <f>[1]!EM_S_RATIO_EPS_TTM(B597,E597,"1")</f>
        <v>0.37767101234074202</v>
      </c>
      <c r="AT597" s="4" t="str">
        <f>[1]!EM_S_IPO_LISTEDDATE(B597)</f>
        <v>1999-10-21</v>
      </c>
    </row>
    <row r="598" spans="1:46">
      <c r="A598">
        <v>2949</v>
      </c>
      <c r="B598" t="str">
        <f>"600876"</f>
        <v>600876</v>
      </c>
      <c r="C598" t="s">
        <v>2745</v>
      </c>
      <c r="D598" t="str">
        <f>[1]!EM_S_INFO_INDEX_EM(B598,"1")</f>
        <v>建材</v>
      </c>
      <c r="E598" s="4">
        <f t="shared" si="9"/>
        <v>43465</v>
      </c>
      <c r="F598" s="11">
        <f>[1]!EM_S_PQ_PCTCHANGE(B598,"2018-01-01","2019-12-31","3")</f>
        <v>-19.99007937</v>
      </c>
      <c r="G598" s="11">
        <f>[1]!EM_S_PQ_PCTCHANGE(B598,"2018-12-31","2019-12-30","1")</f>
        <v>48.021582729999999</v>
      </c>
      <c r="H598" s="11">
        <f>[1]!EM_S_FA_YOY_OR(B598,E598)</f>
        <v>-6.6174836261000003</v>
      </c>
      <c r="I598" s="11">
        <f>[1]!EM_S_FA_GROSSPROFITMARGIN(B598,E598)</f>
        <v>21.7772748545</v>
      </c>
      <c r="J598" s="11">
        <f>[1]!EM_S_FA_NETPROFITMARGIN(B598,E598)</f>
        <v>1.6529153823</v>
      </c>
      <c r="K598" s="10">
        <f>[1]!EM_S_FA_ASSETSTURN(B598,E598)</f>
        <v>0.47734327213900002</v>
      </c>
      <c r="L598" s="12">
        <f>[1]!EM_HKS_VAL_MV(B598,"2019-12-31","2")</f>
        <v>8910155690.1700001</v>
      </c>
      <c r="M598">
        <f>[1]!EM_S_VAL_PETTMDEDUCTED(B598,E598)</f>
        <v>-126.750046259529</v>
      </c>
      <c r="N598" s="7">
        <f>[1]!EM_S_VAL_PBGOODWILLDEDUCTED(B598,E598)</f>
        <v>4.99908816246489</v>
      </c>
      <c r="O598" s="7">
        <f>[1]!EM_S_VAL_PS_TTM(B598,E598)</f>
        <v>22.162646137974001</v>
      </c>
      <c r="P598" s="7">
        <f>[1]!EM_S_VAL_PCF_NCFTTM(B598,E598)</f>
        <v>73.321754806440396</v>
      </c>
      <c r="Q598" s="7">
        <f>[1]!EM_S_VAL_DIVIDENDYIELD2(B598,E598,"2019-11-29")</f>
        <v>0</v>
      </c>
      <c r="T598"/>
      <c r="U598">
        <f>[1]!EM_S_RATIO_EPS_TTM(B598,E598,"1")</f>
        <v>2.7948166107119282E-2</v>
      </c>
      <c r="AT598" s="4" t="str">
        <f>[1]!EM_S_IPO_LISTEDDATE(B598)</f>
        <v>1995-10-31</v>
      </c>
    </row>
    <row r="599" spans="1:46">
      <c r="A599">
        <v>591</v>
      </c>
      <c r="B599" t="str">
        <f>"002080"</f>
        <v>002080</v>
      </c>
      <c r="C599" t="s">
        <v>1628</v>
      </c>
      <c r="D599" t="str">
        <f>[1]!EM_S_INFO_INDEX_EM(B599,"1")</f>
        <v>基础化工</v>
      </c>
      <c r="E599" s="4">
        <f t="shared" si="9"/>
        <v>43465</v>
      </c>
      <c r="F599" s="11">
        <f>[1]!EM_S_PQ_PCTCHANGE(B599,"2018-01-01","2019-12-31","3")</f>
        <v>1.4745214499999999</v>
      </c>
      <c r="G599" s="11">
        <f>[1]!EM_S_PQ_PCTCHANGE(B599,"2018-12-31","2019-12-30","1")</f>
        <v>47.960444989999999</v>
      </c>
      <c r="H599" s="11">
        <f>[1]!EM_S_FA_YOY_OR(B599,E599)</f>
        <v>11.4829662881</v>
      </c>
      <c r="I599" s="11">
        <f>[1]!EM_S_FA_GROSSPROFITMARGIN(B599,E599)</f>
        <v>26.9298653261</v>
      </c>
      <c r="J599" s="11">
        <f>[1]!EM_S_FA_NETPROFITMARGIN(B599,E599)</f>
        <v>8.6628190706999995</v>
      </c>
      <c r="K599" s="10">
        <f>[1]!EM_S_FA_ASSETSTURN(B599,E599)</f>
        <v>0.49252687048600002</v>
      </c>
      <c r="L599" s="12">
        <f>[1]!EM_HKS_VAL_MV(B599,"2019-12-31","2")</f>
        <v>20808732441.599998</v>
      </c>
      <c r="M599">
        <f>[1]!EM_S_VAL_PETTMDEDUCTED(B599,E599)</f>
        <v>12.7071819518506</v>
      </c>
      <c r="N599" s="7">
        <f>[1]!EM_S_VAL_PBGOODWILLDEDUCTED(B599,E599)</f>
        <v>1.0972774884868</v>
      </c>
      <c r="O599" s="7">
        <f>[1]!EM_S_VAL_PS_TTM(B599,E599)</f>
        <v>0.96355383734111499</v>
      </c>
      <c r="P599" s="7">
        <f>[1]!EM_S_VAL_PCF_NCFTTM(B599,E599)</f>
        <v>-185.03078359535499</v>
      </c>
      <c r="Q599" s="7">
        <f>[1]!EM_S_VAL_DIVIDENDYIELD2(B599,E599,"2019-11-29")</f>
        <v>2.0908621589730143</v>
      </c>
      <c r="T599"/>
      <c r="U599">
        <f>[1]!EM_S_RATIO_EPS_TTM(B599,E599,"1")</f>
        <v>0.72365577558742855</v>
      </c>
      <c r="AT599" s="4" t="str">
        <f>[1]!EM_S_IPO_LISTEDDATE(B599)</f>
        <v>2006-11-20</v>
      </c>
    </row>
    <row r="600" spans="1:46">
      <c r="A600">
        <v>1007</v>
      </c>
      <c r="B600" t="str">
        <f>"002496"</f>
        <v>002496</v>
      </c>
      <c r="C600" t="s">
        <v>705</v>
      </c>
      <c r="D600" t="str">
        <f>[1]!EM_S_INFO_INDEX_EM(B600,"1")</f>
        <v>基础化工</v>
      </c>
      <c r="E600" s="4">
        <f t="shared" si="9"/>
        <v>43465</v>
      </c>
      <c r="F600" s="11">
        <f>[1]!EM_S_PQ_PCTCHANGE(B600,"2018-01-01","2019-12-31","3")</f>
        <v>-45.159292729999997</v>
      </c>
      <c r="G600" s="11">
        <f>[1]!EM_S_PQ_PCTCHANGE(B600,"2018-12-31","2019-12-30","1")</f>
        <v>47.916666669999998</v>
      </c>
      <c r="H600" s="11">
        <f>[1]!EM_S_FA_YOY_OR(B600,E600)</f>
        <v>-36.250074081599998</v>
      </c>
      <c r="I600" s="11">
        <f>[1]!EM_S_FA_GROSSPROFITMARGIN(B600,E600)</f>
        <v>34.864701514799997</v>
      </c>
      <c r="J600" s="11">
        <f>[1]!EM_S_FA_NETPROFITMARGIN(B600,E600)</f>
        <v>-23.314957518100002</v>
      </c>
      <c r="K600" s="10">
        <f>[1]!EM_S_FA_ASSETSTURN(B600,E600)</f>
        <v>0.35781425950200002</v>
      </c>
      <c r="L600" s="12">
        <f>[1]!EM_HKS_VAL_MV(B600,"2019-12-31","2")</f>
        <v>4311628017.8400002</v>
      </c>
      <c r="M600">
        <f>[1]!EM_S_VAL_PETTMDEDUCTED(B600,E600)</f>
        <v>-22.537486084084001</v>
      </c>
      <c r="N600" s="7">
        <f>[1]!EM_S_VAL_PBGOODWILLDEDUCTED(B600,E600)</f>
        <v>0.94641466704027699</v>
      </c>
      <c r="O600" s="7">
        <f>[1]!EM_S_VAL_PS_TTM(B600,E600)</f>
        <v>0.83318637998549405</v>
      </c>
      <c r="P600" s="7">
        <f>[1]!EM_S_VAL_PCF_NCFTTM(B600,E600)</f>
        <v>-13.502966755797599</v>
      </c>
      <c r="Q600" s="7">
        <f>[1]!EM_S_VAL_DIVIDENDYIELD2(B600,E600,"2019-11-29")</f>
        <v>0</v>
      </c>
      <c r="T600"/>
      <c r="U600">
        <f>[1]!EM_S_RATIO_EPS_TTM(B600,E600,"1")</f>
        <v>-0.36273317441181474</v>
      </c>
      <c r="AT600" s="4" t="str">
        <f>[1]!EM_S_IPO_LISTEDDATE(B600)</f>
        <v>2010-11-09</v>
      </c>
    </row>
    <row r="601" spans="1:46">
      <c r="A601">
        <v>3170</v>
      </c>
      <c r="B601" t="str">
        <f>"601888"</f>
        <v>601888</v>
      </c>
      <c r="C601" t="s">
        <v>126</v>
      </c>
      <c r="D601" t="str">
        <f>[1]!EM_S_INFO_INDEX_EM(B601,"1")</f>
        <v>休闲、生活及专业服务</v>
      </c>
      <c r="E601" s="4">
        <f t="shared" si="9"/>
        <v>43465</v>
      </c>
      <c r="F601" s="11">
        <f>[1]!EM_S_PQ_PCTCHANGE(B601,"2018-01-01","2019-12-31","3")</f>
        <v>107.93204391</v>
      </c>
      <c r="G601" s="11">
        <f>[1]!EM_S_PQ_PCTCHANGE(B601,"2018-12-31","2019-12-30","1")</f>
        <v>47.840531560000002</v>
      </c>
      <c r="H601" s="11">
        <f>[1]!EM_S_FA_YOY_OR(B601,E601)</f>
        <v>66.207640057000006</v>
      </c>
      <c r="I601" s="11">
        <f>[1]!EM_S_FA_GROSSPROFITMARGIN(B601,E601)</f>
        <v>41.459477442000001</v>
      </c>
      <c r="J601" s="11">
        <f>[1]!EM_S_FA_NETPROFITMARGIN(B601,E601)</f>
        <v>8.3713770820000004</v>
      </c>
      <c r="K601" s="10">
        <f>[1]!EM_S_FA_ASSETSTURN(B601,E601)</f>
        <v>1.967671895401</v>
      </c>
      <c r="L601" s="12">
        <f>[1]!EM_HKS_VAL_MV(B601,"2019-12-31","2")</f>
        <v>173672699638.79999</v>
      </c>
      <c r="M601">
        <f>[1]!EM_S_VAL_PETTMDEDUCTED(B601,E601)</f>
        <v>36.020220698688298</v>
      </c>
      <c r="N601" s="7">
        <f>[1]!EM_S_VAL_PBGOODWILLDEDUCTED(B601,E601)</f>
        <v>7.6260436352725396</v>
      </c>
      <c r="O601" s="7">
        <f>[1]!EM_S_VAL_PS_TTM(B601,E601)</f>
        <v>2.82280410919974</v>
      </c>
      <c r="P601" s="7">
        <f>[1]!EM_S_VAL_PCF_NCFTTM(B601,E601)</f>
        <v>43.410937523567704</v>
      </c>
      <c r="Q601" s="7">
        <f>[1]!EM_S_VAL_DIVIDENDYIELD2(B601,E601,"2019-11-29")</f>
        <v>0.65632458233890212</v>
      </c>
      <c r="T601"/>
      <c r="U601">
        <f>[1]!EM_S_RATIO_EPS_TTM(B601,E601,"1")</f>
        <v>1.5850381614050064</v>
      </c>
      <c r="AT601" s="4" t="str">
        <f>[1]!EM_S_IPO_LISTEDDATE(B601)</f>
        <v>2009-10-15</v>
      </c>
    </row>
    <row r="602" spans="1:46">
      <c r="A602">
        <v>1616</v>
      </c>
      <c r="B602" t="str">
        <f>"300191"</f>
        <v>300191</v>
      </c>
      <c r="C602" t="s">
        <v>2786</v>
      </c>
      <c r="D602" t="str">
        <f>[1]!EM_S_INFO_INDEX_EM(B602,"1")</f>
        <v>化石能源</v>
      </c>
      <c r="E602" s="4">
        <f t="shared" si="9"/>
        <v>43465</v>
      </c>
      <c r="F602" s="11">
        <f>[1]!EM_S_PQ_PCTCHANGE(B602,"2018-01-01","2019-12-31","3")</f>
        <v>-4.1848899199999998</v>
      </c>
      <c r="G602" s="11">
        <f>[1]!EM_S_PQ_PCTCHANGE(B602,"2018-12-31","2019-12-30","1")</f>
        <v>47.486413040000002</v>
      </c>
      <c r="H602" s="11">
        <f>[1]!EM_S_FA_YOY_OR(B602,E602)</f>
        <v>32.944882882000002</v>
      </c>
      <c r="I602" s="11">
        <f>[1]!EM_S_FA_GROSSPROFITMARGIN(B602,E602)</f>
        <v>38.896454583299999</v>
      </c>
      <c r="J602" s="11">
        <f>[1]!EM_S_FA_NETPROFITMARGIN(B602,E602)</f>
        <v>64.151458156800004</v>
      </c>
      <c r="K602" s="10">
        <f>[1]!EM_S_FA_ASSETSTURN(B602,E602)</f>
        <v>8.175801194E-2</v>
      </c>
      <c r="L602" s="12">
        <f>[1]!EM_HKS_VAL_MV(B602,"2019-12-31","2")</f>
        <v>6921600000</v>
      </c>
      <c r="M602">
        <f>[1]!EM_S_VAL_PETTMDEDUCTED(B602,E602)</f>
        <v>302.95492310583899</v>
      </c>
      <c r="N602" s="7">
        <f>[1]!EM_S_VAL_PBGOODWILLDEDUCTED(B602,E602)</f>
        <v>3.98152077889055</v>
      </c>
      <c r="O602" s="7">
        <f>[1]!EM_S_VAL_PS_TTM(B602,E602)</f>
        <v>38.3547298696027</v>
      </c>
      <c r="P602" s="7">
        <f>[1]!EM_S_VAL_PCF_NCFTTM(B602,E602)</f>
        <v>98.204241624161199</v>
      </c>
      <c r="Q602" s="7">
        <f>[1]!EM_S_VAL_DIVIDENDYIELD2(B602,E602,"2019-11-29")</f>
        <v>9.3196644920782848E-2</v>
      </c>
      <c r="T602"/>
      <c r="U602">
        <f>[1]!EM_S_RATIO_EPS_TTM(B602,E602,"1")</f>
        <v>9.0620167593749995E-2</v>
      </c>
      <c r="AT602" s="4" t="str">
        <f>[1]!EM_S_IPO_LISTEDDATE(B602)</f>
        <v>2011-03-16</v>
      </c>
    </row>
    <row r="603" spans="1:46">
      <c r="A603">
        <v>2701</v>
      </c>
      <c r="B603" t="str">
        <f>"600628"</f>
        <v>600628</v>
      </c>
      <c r="C603" t="s">
        <v>870</v>
      </c>
      <c r="D603" t="str">
        <f>[1]!EM_S_INFO_INDEX_EM(B603,"1")</f>
        <v>商贸零售</v>
      </c>
      <c r="E603" s="4">
        <f t="shared" si="9"/>
        <v>43465</v>
      </c>
      <c r="F603" s="11">
        <f>[1]!EM_S_PQ_PCTCHANGE(B603,"2018-01-01","2019-12-31","3")</f>
        <v>-2.9290964499999999</v>
      </c>
      <c r="G603" s="11">
        <f>[1]!EM_S_PQ_PCTCHANGE(B603,"2018-12-31","2019-12-30","1")</f>
        <v>47.476340690000001</v>
      </c>
      <c r="H603" s="11">
        <f>[1]!EM_S_FA_YOY_OR(B603,E603)</f>
        <v>-8.1509823575000002</v>
      </c>
      <c r="I603" s="11">
        <f>[1]!EM_S_FA_GROSSPROFITMARGIN(B603,E603)</f>
        <v>31.662089567799999</v>
      </c>
      <c r="J603" s="11">
        <f>[1]!EM_S_FA_NETPROFITMARGIN(B603,E603)</f>
        <v>9.8491829215000006</v>
      </c>
      <c r="K603" s="10">
        <f>[1]!EM_S_FA_ASSETSTURN(B603,E603)</f>
        <v>0.476617327067</v>
      </c>
      <c r="L603" s="12">
        <f>[1]!EM_HKS_VAL_MV(B603,"2019-12-31","2")</f>
        <v>6093566117.2799997</v>
      </c>
      <c r="M603">
        <f>[1]!EM_S_VAL_PETTMDEDUCTED(B603,E603)</f>
        <v>20.109016820525</v>
      </c>
      <c r="N603" s="7">
        <f>[1]!EM_S_VAL_PBGOODWILLDEDUCTED(B603,E603)</f>
        <v>0.92556250013264996</v>
      </c>
      <c r="O603" s="7">
        <f>[1]!EM_S_VAL_PS_TTM(B603,E603)</f>
        <v>1.44374750678986</v>
      </c>
      <c r="P603" s="7">
        <f>[1]!EM_S_VAL_PCF_NCFTTM(B603,E603)</f>
        <v>-63.647319537431002</v>
      </c>
      <c r="Q603" s="7">
        <f>[1]!EM_S_VAL_DIVIDENDYIELD2(B603,E603,"2019-11-29")</f>
        <v>1.3471502590673574</v>
      </c>
      <c r="T603"/>
      <c r="U603">
        <f>[1]!EM_S_RATIO_EPS_TTM(B603,E603,"1")</f>
        <v>0.42180600421487052</v>
      </c>
      <c r="AT603" s="4" t="str">
        <f>[1]!EM_S_IPO_LISTEDDATE(B603)</f>
        <v>1993-01-19</v>
      </c>
    </row>
    <row r="604" spans="1:46">
      <c r="A604">
        <v>3476</v>
      </c>
      <c r="B604" t="str">
        <f>"603655"</f>
        <v>603655</v>
      </c>
      <c r="C604" t="s">
        <v>944</v>
      </c>
      <c r="D604" t="str">
        <f>[1]!EM_S_INFO_INDEX_EM(B604,"1")</f>
        <v>交运设备</v>
      </c>
      <c r="E604" s="4">
        <f t="shared" si="9"/>
        <v>43465</v>
      </c>
      <c r="F604" s="11">
        <f>[1]!EM_S_PQ_PCTCHANGE(B604,"2018-01-01","2019-12-31","3")</f>
        <v>139.64052257</v>
      </c>
      <c r="G604" s="11">
        <f>[1]!EM_S_PQ_PCTCHANGE(B604,"2018-12-31","2019-12-30","1")</f>
        <v>47.435897439999998</v>
      </c>
      <c r="H604" s="11">
        <f>[1]!EM_S_FA_YOY_OR(B604,E604)</f>
        <v>-7.0188884674000001</v>
      </c>
      <c r="I604" s="11">
        <f>[1]!EM_S_FA_GROSSPROFITMARGIN(B604,E604)</f>
        <v>42.459227833100002</v>
      </c>
      <c r="J604" s="11">
        <f>[1]!EM_S_FA_NETPROFITMARGIN(B604,E604)</f>
        <v>17.329852971699999</v>
      </c>
      <c r="K604" s="10">
        <f>[1]!EM_S_FA_ASSETSTURN(B604,E604)</f>
        <v>0.34454150956500001</v>
      </c>
      <c r="L604" s="12">
        <f>[1]!EM_HKS_VAL_MV(B604,"2019-12-31","2")</f>
        <v>2338360000</v>
      </c>
      <c r="M604">
        <f>[1]!EM_S_VAL_PETTMDEDUCTED(B604,E604)</f>
        <v>57.595648484078602</v>
      </c>
      <c r="N604" s="7">
        <f>[1]!EM_S_VAL_PBGOODWILLDEDUCTED(B604,E604)</f>
        <v>3.4392103593380701</v>
      </c>
      <c r="O604" s="7">
        <f>[1]!EM_S_VAL_PS_TTM(B604,E604)</f>
        <v>8.9244678715722294</v>
      </c>
      <c r="P604" s="7">
        <f>[1]!EM_S_VAL_PCF_NCFTTM(B604,E604)</f>
        <v>23.185189229444699</v>
      </c>
      <c r="Q604" s="7">
        <f>[1]!EM_S_VAL_DIVIDENDYIELD2(B604,E604,"2019-11-29")</f>
        <v>0.56401579244218836</v>
      </c>
      <c r="T604"/>
      <c r="U604">
        <f>[1]!EM_S_RATIO_EPS_TTM(B604,E604,"1")</f>
        <v>0.28498192933962263</v>
      </c>
      <c r="AT604" s="4" t="str">
        <f>[1]!EM_S_IPO_LISTEDDATE(B604)</f>
        <v>2017-12-29</v>
      </c>
    </row>
    <row r="605" spans="1:46">
      <c r="A605">
        <v>2339</v>
      </c>
      <c r="B605" t="str">
        <f>"600202"</f>
        <v>600202</v>
      </c>
      <c r="C605" t="s">
        <v>3550</v>
      </c>
      <c r="D605" t="str">
        <f>[1]!EM_S_INFO_INDEX_EM(B605,"1")</f>
        <v>机械设备</v>
      </c>
      <c r="E605" s="4">
        <f t="shared" si="9"/>
        <v>43465</v>
      </c>
      <c r="F605" s="11">
        <f>[1]!EM_S_PQ_PCTCHANGE(B605,"2018-01-01","2019-12-31","3")</f>
        <v>-20.52117264</v>
      </c>
      <c r="G605" s="11">
        <f>[1]!EM_S_PQ_PCTCHANGE(B605,"2018-12-31","2019-12-30","1")</f>
        <v>47.416413370000001</v>
      </c>
      <c r="H605" s="11">
        <f>[1]!EM_S_FA_YOY_OR(B605,E605)</f>
        <v>181.13859148809999</v>
      </c>
      <c r="I605" s="11">
        <f>[1]!EM_S_FA_GROSSPROFITMARGIN(B605,E605)</f>
        <v>21.8390580085</v>
      </c>
      <c r="J605" s="11">
        <f>[1]!EM_S_FA_NETPROFITMARGIN(B605,E605)</f>
        <v>2.7106442638999999</v>
      </c>
      <c r="K605" s="10">
        <f>[1]!EM_S_FA_ASSETSTURN(B605,E605)</f>
        <v>0.46195844520399998</v>
      </c>
      <c r="L605" s="12">
        <f>[1]!EM_HKS_VAL_MV(B605,"2019-12-31","2")</f>
        <v>1870702479.3599999</v>
      </c>
      <c r="M605">
        <f>[1]!EM_S_VAL_PETTMDEDUCTED(B605,E605)</f>
        <v>-21.669740830915099</v>
      </c>
      <c r="N605" s="7">
        <f>[1]!EM_S_VAL_PBGOODWILLDEDUCTED(B605,E605)</f>
        <v>2.0457121801870102</v>
      </c>
      <c r="O605" s="7">
        <f>[1]!EM_S_VAL_PS_TTM(B605,E605)</f>
        <v>2.9117003892407798</v>
      </c>
      <c r="P605" s="7">
        <f>[1]!EM_S_VAL_PCF_NCFTTM(B605,E605)</f>
        <v>-50.8067879973107</v>
      </c>
      <c r="Q605" s="7">
        <f>[1]!EM_S_VAL_DIVIDENDYIELD2(B605,E605,"2019-11-29")</f>
        <v>0</v>
      </c>
      <c r="T605"/>
      <c r="U605">
        <f>[1]!EM_S_RATIO_EPS_TTM(B605,E605,"1")</f>
        <v>5.4363344518788756E-2</v>
      </c>
      <c r="AT605" s="4" t="str">
        <f>[1]!EM_S_IPO_LISTEDDATE(B605)</f>
        <v>1999-06-03</v>
      </c>
    </row>
    <row r="606" spans="1:46">
      <c r="A606">
        <v>1165</v>
      </c>
      <c r="B606" t="str">
        <f>"002654"</f>
        <v>002654</v>
      </c>
      <c r="C606" t="s">
        <v>1616</v>
      </c>
      <c r="D606" t="str">
        <f>[1]!EM_S_INFO_INDEX_EM(B606,"1")</f>
        <v>文化传媒</v>
      </c>
      <c r="E606" s="4">
        <f t="shared" si="9"/>
        <v>43465</v>
      </c>
      <c r="F606" s="11">
        <f>[1]!EM_S_PQ_PCTCHANGE(B606,"2018-01-01","2019-12-31","3")</f>
        <v>-14.45513755</v>
      </c>
      <c r="G606" s="11">
        <f>[1]!EM_S_PQ_PCTCHANGE(B606,"2018-12-31","2019-12-30","1")</f>
        <v>47.088607590000002</v>
      </c>
      <c r="H606" s="11">
        <f>[1]!EM_S_FA_YOY_OR(B606,E606)</f>
        <v>50.454498430400001</v>
      </c>
      <c r="I606" s="11">
        <f>[1]!EM_S_FA_GROSSPROFITMARGIN(B606,E606)</f>
        <v>14.1245967264</v>
      </c>
      <c r="J606" s="11">
        <f>[1]!EM_S_FA_NETPROFITMARGIN(B606,E606)</f>
        <v>-24.359134362999999</v>
      </c>
      <c r="K606" s="10">
        <f>[1]!EM_S_FA_ASSETSTURN(B606,E606)</f>
        <v>1.0322541099260001</v>
      </c>
      <c r="L606" s="12">
        <f>[1]!EM_HKS_VAL_MV(B606,"2019-12-31","2")</f>
        <v>4846278904.5</v>
      </c>
      <c r="M606">
        <f>[1]!EM_S_VAL_PETTMDEDUCTED(B606,E606)</f>
        <v>164.553115474046</v>
      </c>
      <c r="N606" s="7">
        <f>[1]!EM_S_VAL_PBGOODWILLDEDUCTED(B606,E606)</f>
        <v>3.27936654609768</v>
      </c>
      <c r="O606" s="7">
        <f>[1]!EM_S_VAL_PS_TTM(B606,E606)</f>
        <v>0.81067123251812201</v>
      </c>
      <c r="P606" s="7">
        <f>[1]!EM_S_VAL_PCF_NCFTTM(B606,E606)</f>
        <v>-1575.7289828857799</v>
      </c>
      <c r="Q606" s="7">
        <f>[1]!EM_S_VAL_DIVIDENDYIELD2(B606,E606,"2019-11-29")</f>
        <v>0</v>
      </c>
      <c r="T606"/>
      <c r="U606">
        <f>[1]!EM_S_RATIO_EPS_TTM(B606,E606,"1")</f>
        <v>-1.2564486744283503</v>
      </c>
      <c r="AT606" s="4" t="str">
        <f>[1]!EM_S_IPO_LISTEDDATE(B606)</f>
        <v>2012-02-17</v>
      </c>
    </row>
    <row r="607" spans="1:46">
      <c r="A607">
        <v>1441</v>
      </c>
      <c r="B607" t="str">
        <f>"300015"</f>
        <v>300015</v>
      </c>
      <c r="C607" t="s">
        <v>456</v>
      </c>
      <c r="D607" t="str">
        <f>[1]!EM_S_INFO_INDEX_EM(B607,"1")</f>
        <v>医药生物</v>
      </c>
      <c r="E607" s="4">
        <f t="shared" si="9"/>
        <v>43465</v>
      </c>
      <c r="F607" s="11">
        <f>[1]!EM_S_PQ_PCTCHANGE(B607,"2018-01-01","2019-12-31","3")</f>
        <v>153.35907456999999</v>
      </c>
      <c r="G607" s="11">
        <f>[1]!EM_S_PQ_PCTCHANGE(B607,"2018-12-31","2019-12-30","1")</f>
        <v>47.072243350000001</v>
      </c>
      <c r="H607" s="11">
        <f>[1]!EM_S_FA_YOY_OR(B607,E607)</f>
        <v>34.307921847899998</v>
      </c>
      <c r="I607" s="11">
        <f>[1]!EM_S_FA_GROSSPROFITMARGIN(B607,E607)</f>
        <v>46.996700459700001</v>
      </c>
      <c r="J607" s="11">
        <f>[1]!EM_S_FA_NETPROFITMARGIN(B607,E607)</f>
        <v>13.308850488799999</v>
      </c>
      <c r="K607" s="10">
        <f>[1]!EM_S_FA_ASSETSTURN(B607,E607)</f>
        <v>0.84570466803800004</v>
      </c>
      <c r="L607" s="12">
        <f>[1]!EM_HKS_VAL_MV(B607,"2019-12-31","2")</f>
        <v>122549412140.12</v>
      </c>
      <c r="M607">
        <f>[1]!EM_S_VAL_PETTMDEDUCTED(B607,E607)</f>
        <v>60.3149747343762</v>
      </c>
      <c r="N607" s="7">
        <f>[1]!EM_S_VAL_PBGOODWILLDEDUCTED(B607,E607)</f>
        <v>17.262400873605898</v>
      </c>
      <c r="O607" s="7">
        <f>[1]!EM_S_VAL_PS_TTM(B607,E607)</f>
        <v>8.1356514096489896</v>
      </c>
      <c r="P607" s="7">
        <f>[1]!EM_S_VAL_PCF_NCFTTM(B607,E607)</f>
        <v>119.14513028098899</v>
      </c>
      <c r="Q607" s="7">
        <f>[1]!EM_S_VAL_DIVIDENDYIELD2(B607,E607,"2019-11-29")</f>
        <v>0.38545868129521177</v>
      </c>
      <c r="T607"/>
      <c r="U607">
        <f>[1]!EM_S_RATIO_EPS_TTM(B607,E607,"1")</f>
        <v>0.42332204081948238</v>
      </c>
      <c r="AT607" s="4" t="str">
        <f>[1]!EM_S_IPO_LISTEDDATE(B607)</f>
        <v>2009-10-30</v>
      </c>
    </row>
    <row r="608" spans="1:46">
      <c r="A608">
        <v>523</v>
      </c>
      <c r="B608" t="str">
        <f>"002012"</f>
        <v>002012</v>
      </c>
      <c r="C608" t="s">
        <v>2722</v>
      </c>
      <c r="D608" t="str">
        <f>[1]!EM_S_INFO_INDEX_EM(B608,"1")</f>
        <v>轻工制造</v>
      </c>
      <c r="E608" s="4">
        <f t="shared" si="9"/>
        <v>43465</v>
      </c>
      <c r="F608" s="11">
        <f>[1]!EM_S_PQ_PCTCHANGE(B608,"2018-01-01","2019-12-31","3")</f>
        <v>-44.649805450000002</v>
      </c>
      <c r="G608" s="11">
        <f>[1]!EM_S_PQ_PCTCHANGE(B608,"2018-12-31","2019-12-30","1")</f>
        <v>46.938775509999999</v>
      </c>
      <c r="H608" s="11">
        <f>[1]!EM_S_FA_YOY_OR(B608,E608)</f>
        <v>9.7168231541000001</v>
      </c>
      <c r="I608" s="11">
        <f>[1]!EM_S_FA_GROSSPROFITMARGIN(B608,E608)</f>
        <v>22.969322737300001</v>
      </c>
      <c r="J608" s="11">
        <f>[1]!EM_S_FA_NETPROFITMARGIN(B608,E608)</f>
        <v>3.4212808122</v>
      </c>
      <c r="K608" s="10">
        <f>[1]!EM_S_FA_ASSETSTURN(B608,E608)</f>
        <v>0.61995463283600005</v>
      </c>
      <c r="L608" s="12">
        <f>[1]!EM_HKS_VAL_MV(B608,"2019-12-31","2")</f>
        <v>2660788924.3000002</v>
      </c>
      <c r="M608">
        <f>[1]!EM_S_VAL_PETTMDEDUCTED(B608,E608)</f>
        <v>113.21501804645</v>
      </c>
      <c r="N608" s="7">
        <f>[1]!EM_S_VAL_PBGOODWILLDEDUCTED(B608,E608)</f>
        <v>1.4840464373117701</v>
      </c>
      <c r="O608" s="7">
        <f>[1]!EM_S_VAL_PS_TTM(B608,E608)</f>
        <v>1.6097998635294699</v>
      </c>
      <c r="P608" s="7">
        <f>[1]!EM_S_VAL_PCF_NCFTTM(B608,E608)</f>
        <v>-83.044389048039804</v>
      </c>
      <c r="Q608" s="7">
        <f>[1]!EM_S_VAL_DIVIDENDYIELD2(B608,E608,"2019-11-29")</f>
        <v>0.10183299389002037</v>
      </c>
      <c r="T608"/>
      <c r="U608">
        <f>[1]!EM_S_RATIO_EPS_TTM(B608,E608,"1")</f>
        <v>5.3050805658639594E-2</v>
      </c>
      <c r="AT608" s="4" t="str">
        <f>[1]!EM_S_IPO_LISTEDDATE(B608)</f>
        <v>2004-07-05</v>
      </c>
    </row>
    <row r="609" spans="1:46">
      <c r="A609">
        <v>2011</v>
      </c>
      <c r="B609" t="str">
        <f>"300590"</f>
        <v>300590</v>
      </c>
      <c r="C609" t="s">
        <v>2490</v>
      </c>
      <c r="D609" t="str">
        <f>[1]!EM_S_INFO_INDEX_EM(B609,"1")</f>
        <v>信息技术</v>
      </c>
      <c r="E609" s="4">
        <f t="shared" si="9"/>
        <v>43465</v>
      </c>
      <c r="F609" s="11">
        <f>[1]!EM_S_PQ_PCTCHANGE(B609,"2018-01-01","2019-12-31","3")</f>
        <v>30.64359679</v>
      </c>
      <c r="G609" s="11">
        <f>[1]!EM_S_PQ_PCTCHANGE(B609,"2018-12-31","2019-12-30","1")</f>
        <v>46.89265537</v>
      </c>
      <c r="H609" s="11">
        <f>[1]!EM_S_FA_YOY_OR(B609,E609)</f>
        <v>31.391123894</v>
      </c>
      <c r="I609" s="11">
        <f>[1]!EM_S_FA_GROSSPROFITMARGIN(B609,E609)</f>
        <v>46.460571221599999</v>
      </c>
      <c r="J609" s="11">
        <f>[1]!EM_S_FA_NETPROFITMARGIN(B609,E609)</f>
        <v>26.164351595999999</v>
      </c>
      <c r="K609" s="10">
        <f>[1]!EM_S_FA_ASSETSTURN(B609,E609)</f>
        <v>0.49013209837499999</v>
      </c>
      <c r="L609" s="12">
        <f>[1]!EM_HKS_VAL_MV(B609,"2019-12-31","2")</f>
        <v>5842708200</v>
      </c>
      <c r="M609">
        <f>[1]!EM_S_VAL_PETTMDEDUCTED(B609,E609)</f>
        <v>39.402498789577699</v>
      </c>
      <c r="N609" s="7">
        <f>[1]!EM_S_VAL_PBGOODWILLDEDUCTED(B609,E609)</f>
        <v>4.6303276324054297</v>
      </c>
      <c r="O609" s="7">
        <f>[1]!EM_S_VAL_PS_TTM(B609,E609)</f>
        <v>8.7923477004169701</v>
      </c>
      <c r="P609" s="7">
        <f>[1]!EM_S_VAL_PCF_NCFTTM(B609,E609)</f>
        <v>-44.369756654203897</v>
      </c>
      <c r="Q609" s="7">
        <f>[1]!EM_S_VAL_DIVIDENDYIELD2(B609,E609,"2019-11-29")</f>
        <v>0.73942620526471459</v>
      </c>
      <c r="T609"/>
      <c r="U609">
        <f>[1]!EM_S_RATIO_EPS_TTM(B609,E609,"1")</f>
        <v>0.77156674660969715</v>
      </c>
      <c r="AT609" s="4" t="str">
        <f>[1]!EM_S_IPO_LISTEDDATE(B609)</f>
        <v>2017-01-11</v>
      </c>
    </row>
    <row r="610" spans="1:46">
      <c r="A610">
        <v>2286</v>
      </c>
      <c r="B610" t="str">
        <f>"600143"</f>
        <v>600143</v>
      </c>
      <c r="C610" t="s">
        <v>1482</v>
      </c>
      <c r="D610" t="str">
        <f>[1]!EM_S_INFO_INDEX_EM(B610,"1")</f>
        <v>基础化工</v>
      </c>
      <c r="E610" s="4">
        <f t="shared" si="9"/>
        <v>43465</v>
      </c>
      <c r="F610" s="11">
        <f>[1]!EM_S_PQ_PCTCHANGE(B610,"2018-01-01","2019-12-31","3")</f>
        <v>15.249525999999999</v>
      </c>
      <c r="G610" s="11">
        <f>[1]!EM_S_PQ_PCTCHANGE(B610,"2018-12-31","2019-12-30","1")</f>
        <v>46.868686869999998</v>
      </c>
      <c r="H610" s="11">
        <f>[1]!EM_S_FA_YOY_OR(B610,E610)</f>
        <v>9.4187104201</v>
      </c>
      <c r="I610" s="11">
        <f>[1]!EM_S_FA_GROSSPROFITMARGIN(B610,E610)</f>
        <v>13.483990932499999</v>
      </c>
      <c r="J610" s="11">
        <f>[1]!EM_S_FA_NETPROFITMARGIN(B610,E610)</f>
        <v>2.4686749111999999</v>
      </c>
      <c r="K610" s="10">
        <f>[1]!EM_S_FA_ASSETSTURN(B610,E610)</f>
        <v>1.1717774292150001</v>
      </c>
      <c r="L610" s="12">
        <f>[1]!EM_HKS_VAL_MV(B610,"2019-12-31","2")</f>
        <v>18735970657.040001</v>
      </c>
      <c r="M610">
        <f>[1]!EM_S_VAL_PETTMDEDUCTED(B610,E610)</f>
        <v>29.373379338274201</v>
      </c>
      <c r="N610" s="7">
        <f>[1]!EM_S_VAL_PBGOODWILLDEDUCTED(B610,E610)</f>
        <v>1.32481224352759</v>
      </c>
      <c r="O610" s="7">
        <f>[1]!EM_S_VAL_PS_TTM(B610,E610)</f>
        <v>0.53577052411438497</v>
      </c>
      <c r="P610" s="7">
        <f>[1]!EM_S_VAL_PCF_NCFTTM(B610,E610)</f>
        <v>17.2466408103462</v>
      </c>
      <c r="Q610" s="7">
        <f>[1]!EM_S_VAL_DIVIDENDYIELD2(B610,E610,"2019-11-29")</f>
        <v>1.6571849706217685</v>
      </c>
      <c r="T610"/>
      <c r="U610">
        <f>[1]!EM_S_RATIO_EPS_TTM(B610,E610,"1")</f>
        <v>0.22969950544695078</v>
      </c>
      <c r="AT610" s="4" t="str">
        <f>[1]!EM_S_IPO_LISTEDDATE(B610)</f>
        <v>2004-06-23</v>
      </c>
    </row>
    <row r="611" spans="1:46">
      <c r="A611">
        <v>1022</v>
      </c>
      <c r="B611" t="str">
        <f>"002511"</f>
        <v>002511</v>
      </c>
      <c r="C611" t="s">
        <v>731</v>
      </c>
      <c r="D611" t="str">
        <f>[1]!EM_S_INFO_INDEX_EM(B611,"1")</f>
        <v>轻工制造</v>
      </c>
      <c r="E611" s="4">
        <f t="shared" si="9"/>
        <v>43465</v>
      </c>
      <c r="F611" s="11">
        <f>[1]!EM_S_PQ_PCTCHANGE(B611,"2018-01-01","2019-12-31","3")</f>
        <v>33.279292779999999</v>
      </c>
      <c r="G611" s="11">
        <f>[1]!EM_S_PQ_PCTCHANGE(B611,"2018-12-31","2019-12-30","1")</f>
        <v>46.713615019999999</v>
      </c>
      <c r="H611" s="11">
        <f>[1]!EM_S_FA_YOY_OR(B611,E611)</f>
        <v>22.4253910324</v>
      </c>
      <c r="I611" s="11">
        <f>[1]!EM_S_FA_GROSSPROFITMARGIN(B611,E611)</f>
        <v>34.065448538600002</v>
      </c>
      <c r="J611" s="11">
        <f>[1]!EM_S_FA_NETPROFITMARGIN(B611,E611)</f>
        <v>7.1672434766000004</v>
      </c>
      <c r="K611" s="10">
        <f>[1]!EM_S_FA_ASSETSTURN(B611,E611)</f>
        <v>1.038332976018</v>
      </c>
      <c r="L611" s="12">
        <f>[1]!EM_HKS_VAL_MV(B611,"2019-12-31","2")</f>
        <v>16570563516.18</v>
      </c>
      <c r="M611">
        <f>[1]!EM_S_VAL_PETTMDEDUCTED(B611,E611)</f>
        <v>28.661841625558001</v>
      </c>
      <c r="N611" s="7">
        <f>[1]!EM_S_VAL_PBGOODWILLDEDUCTED(B611,E611)</f>
        <v>3.3107920877757802</v>
      </c>
      <c r="O611" s="7">
        <f>[1]!EM_S_VAL_PS_TTM(B611,E611)</f>
        <v>2.0425218055389398</v>
      </c>
      <c r="P611" s="7">
        <f>[1]!EM_S_VAL_PCF_NCFTTM(B611,E611)</f>
        <v>-100.438892549892</v>
      </c>
      <c r="Q611" s="7">
        <f>[1]!EM_S_VAL_DIVIDENDYIELD2(B611,E611,"2019-11-29")</f>
        <v>0.17795089122760738</v>
      </c>
      <c r="T611"/>
      <c r="U611">
        <f>[1]!EM_S_RATIO_EPS_TTM(B611,E611,"1")</f>
        <v>0.31630953603087125</v>
      </c>
      <c r="AT611" s="4" t="str">
        <f>[1]!EM_S_IPO_LISTEDDATE(B611)</f>
        <v>2010-11-25</v>
      </c>
    </row>
    <row r="612" spans="1:46">
      <c r="A612">
        <v>1912</v>
      </c>
      <c r="B612" t="str">
        <f>"300487"</f>
        <v>300487</v>
      </c>
      <c r="C612" t="s">
        <v>1086</v>
      </c>
      <c r="D612" t="str">
        <f>[1]!EM_S_INFO_INDEX_EM(B612,"1")</f>
        <v>基础化工</v>
      </c>
      <c r="E612" s="4">
        <f t="shared" si="9"/>
        <v>43465</v>
      </c>
      <c r="F612" s="11">
        <f>[1]!EM_S_PQ_PCTCHANGE(B612,"2018-01-01","2019-12-31","3")</f>
        <v>115.78223291</v>
      </c>
      <c r="G612" s="11">
        <f>[1]!EM_S_PQ_PCTCHANGE(B612,"2018-12-31","2019-12-30","1")</f>
        <v>46.691027200000001</v>
      </c>
      <c r="H612" s="11">
        <f>[1]!EM_S_FA_YOY_OR(B612,E612)</f>
        <v>42.261675008600001</v>
      </c>
      <c r="I612" s="11">
        <f>[1]!EM_S_FA_GROSSPROFITMARGIN(B612,E612)</f>
        <v>41.224313817499997</v>
      </c>
      <c r="J612" s="11">
        <f>[1]!EM_S_FA_NETPROFITMARGIN(B612,E612)</f>
        <v>22.421424415499999</v>
      </c>
      <c r="K612" s="10">
        <f>[1]!EM_S_FA_ASSETSTURN(B612,E612)</f>
        <v>0.43325351058799999</v>
      </c>
      <c r="L612" s="12">
        <f>[1]!EM_HKS_VAL_MV(B612,"2019-12-31","2")</f>
        <v>7542861875</v>
      </c>
      <c r="M612">
        <f>[1]!EM_S_VAL_PETTMDEDUCTED(B612,E612)</f>
        <v>50.066155770268203</v>
      </c>
      <c r="N612" s="7">
        <f>[1]!EM_S_VAL_PBGOODWILLDEDUCTED(B612,E612)</f>
        <v>5.2678252986023004</v>
      </c>
      <c r="O612" s="7">
        <f>[1]!EM_S_VAL_PS_TTM(B612,E612)</f>
        <v>9.3895019594431108</v>
      </c>
      <c r="P612" s="7">
        <f>[1]!EM_S_VAL_PCF_NCFTTM(B612,E612)</f>
        <v>27.550495207718001</v>
      </c>
      <c r="Q612" s="7">
        <f>[1]!EM_S_VAL_DIVIDENDYIELD2(B612,E612,"2019-11-29")</f>
        <v>0.43310100404757967</v>
      </c>
      <c r="T612"/>
      <c r="U612">
        <f>[1]!EM_S_RATIO_EPS_TTM(B612,E612,"1")</f>
        <v>0.7076988214804063</v>
      </c>
      <c r="AT612" s="4" t="str">
        <f>[1]!EM_S_IPO_LISTEDDATE(B612)</f>
        <v>2015-07-02</v>
      </c>
    </row>
    <row r="613" spans="1:46">
      <c r="A613">
        <v>2140</v>
      </c>
      <c r="B613" t="str">
        <f>"300726"</f>
        <v>300726</v>
      </c>
      <c r="C613" t="s">
        <v>789</v>
      </c>
      <c r="D613" t="str">
        <f>[1]!EM_S_INFO_INDEX_EM(B613,"1")</f>
        <v>电子设备</v>
      </c>
      <c r="E613" s="4">
        <f t="shared" si="9"/>
        <v>43465</v>
      </c>
      <c r="F613" s="11">
        <f>[1]!EM_S_PQ_PCTCHANGE(B613,"2018-01-01","2019-12-31","3")</f>
        <v>-7.6193428599999997</v>
      </c>
      <c r="G613" s="11">
        <f>[1]!EM_S_PQ_PCTCHANGE(B613,"2018-12-31","2019-12-30","1")</f>
        <v>46.626106190000002</v>
      </c>
      <c r="H613" s="11">
        <f>[1]!EM_S_FA_YOY_OR(B613,E613)</f>
        <v>21.349312454900002</v>
      </c>
      <c r="I613" s="11">
        <f>[1]!EM_S_FA_GROSSPROFITMARGIN(B613,E613)</f>
        <v>66.053468915699995</v>
      </c>
      <c r="J613" s="11">
        <f>[1]!EM_S_FA_NETPROFITMARGIN(B613,E613)</f>
        <v>34.413952639999998</v>
      </c>
      <c r="K613" s="10">
        <f>[1]!EM_S_FA_ASSETSTURN(B613,E613)</f>
        <v>0.40318485779899998</v>
      </c>
      <c r="L613" s="12">
        <f>[1]!EM_HKS_VAL_MV(B613,"2019-12-31","2")</f>
        <v>10530632000</v>
      </c>
      <c r="M613">
        <f>[1]!EM_S_VAL_PETTMDEDUCTED(B613,E613)</f>
        <v>32.487849976005798</v>
      </c>
      <c r="N613" s="7">
        <f>[1]!EM_S_VAL_PBGOODWILLDEDUCTED(B613,E613)</f>
        <v>4.6570014238354904</v>
      </c>
      <c r="O613" s="7">
        <f>[1]!EM_S_VAL_PS_TTM(B613,E613)</f>
        <v>11.6980335873301</v>
      </c>
      <c r="P613" s="7">
        <f>[1]!EM_S_VAL_PCF_NCFTTM(B613,E613)</f>
        <v>34.653101865957503</v>
      </c>
      <c r="Q613" s="7">
        <f>[1]!EM_S_VAL_DIVIDENDYIELD2(B613,E613,"2019-11-29")</f>
        <v>1.019160211985324</v>
      </c>
      <c r="T613"/>
      <c r="U613">
        <f>[1]!EM_S_RATIO_EPS_TTM(B613,E613,"1")</f>
        <v>0.55733974511372164</v>
      </c>
      <c r="AT613" s="4" t="str">
        <f>[1]!EM_S_IPO_LISTEDDATE(B613)</f>
        <v>2017-11-21</v>
      </c>
    </row>
    <row r="614" spans="1:46">
      <c r="A614">
        <v>1778</v>
      </c>
      <c r="B614" t="str">
        <f>"300353"</f>
        <v>300353</v>
      </c>
      <c r="C614" t="s">
        <v>2629</v>
      </c>
      <c r="D614" t="str">
        <f>[1]!EM_S_INFO_INDEX_EM(B614,"1")</f>
        <v>信息技术</v>
      </c>
      <c r="E614" s="4">
        <f t="shared" si="9"/>
        <v>43465</v>
      </c>
      <c r="F614" s="11">
        <f>[1]!EM_S_PQ_PCTCHANGE(B614,"2018-01-01","2019-12-31","3")</f>
        <v>-1.8220756600000001</v>
      </c>
      <c r="G614" s="11">
        <f>[1]!EM_S_PQ_PCTCHANGE(B614,"2018-12-31","2019-12-30","1")</f>
        <v>46.620847650000002</v>
      </c>
      <c r="H614" s="11">
        <f>[1]!EM_S_FA_YOY_OR(B614,E614)</f>
        <v>16.255917841300001</v>
      </c>
      <c r="I614" s="11">
        <f>[1]!EM_S_FA_GROSSPROFITMARGIN(B614,E614)</f>
        <v>49.791200337799999</v>
      </c>
      <c r="J614" s="11">
        <f>[1]!EM_S_FA_NETPROFITMARGIN(B614,E614)</f>
        <v>9.7090598196000002</v>
      </c>
      <c r="K614" s="10">
        <f>[1]!EM_S_FA_ASSETSTURN(B614,E614)</f>
        <v>0.29760199618099997</v>
      </c>
      <c r="L614" s="12">
        <f>[1]!EM_HKS_VAL_MV(B614,"2019-12-31","2")</f>
        <v>6550775099.54</v>
      </c>
      <c r="M614">
        <f>[1]!EM_S_VAL_PETTMDEDUCTED(B614,E614)</f>
        <v>89.466455533183805</v>
      </c>
      <c r="N614" s="7">
        <f>[1]!EM_S_VAL_PBGOODWILLDEDUCTED(B614,E614)</f>
        <v>4.2991548409980203</v>
      </c>
      <c r="O614" s="7">
        <f>[1]!EM_S_VAL_PS_TTM(B614,E614)</f>
        <v>5.2730031744574797</v>
      </c>
      <c r="P614" s="7">
        <f>[1]!EM_S_VAL_PCF_NCFTTM(B614,E614)</f>
        <v>-7631.8549309881701</v>
      </c>
      <c r="Q614" s="7">
        <f>[1]!EM_S_VAL_DIVIDENDYIELD2(B614,E614,"2019-11-29")</f>
        <v>0.32578832560047272</v>
      </c>
      <c r="T614"/>
      <c r="U614">
        <f>[1]!EM_S_RATIO_EPS_TTM(B614,E614,"1")</f>
        <v>0.18360251419628221</v>
      </c>
      <c r="AT614" s="4" t="str">
        <f>[1]!EM_S_IPO_LISTEDDATE(B614)</f>
        <v>2012-09-27</v>
      </c>
    </row>
    <row r="615" spans="1:46">
      <c r="A615">
        <v>2673</v>
      </c>
      <c r="B615" t="str">
        <f>"600600"</f>
        <v>600600</v>
      </c>
      <c r="C615" t="s">
        <v>531</v>
      </c>
      <c r="D615" t="str">
        <f>[1]!EM_S_INFO_INDEX_EM(B615,"1")</f>
        <v>食品饮料</v>
      </c>
      <c r="E615" s="4">
        <f t="shared" si="9"/>
        <v>43465</v>
      </c>
      <c r="F615" s="11">
        <f>[1]!EM_S_PQ_PCTCHANGE(B615,"2018-01-01","2019-12-31","3")</f>
        <v>32.425580189999998</v>
      </c>
      <c r="G615" s="11">
        <f>[1]!EM_S_PQ_PCTCHANGE(B615,"2018-12-31","2019-12-30","1")</f>
        <v>46.557659209999997</v>
      </c>
      <c r="H615" s="11">
        <f>[1]!EM_S_FA_YOY_OR(B615,E615)</f>
        <v>1.1348439108999999</v>
      </c>
      <c r="I615" s="11">
        <f>[1]!EM_S_FA_GROSSPROFITMARGIN(B615,E615)</f>
        <v>37.702291657099998</v>
      </c>
      <c r="J615" s="11">
        <f>[1]!EM_S_FA_NETPROFITMARGIN(B615,E615)</f>
        <v>5.8739283667000004</v>
      </c>
      <c r="K615" s="10">
        <f>[1]!EM_S_FA_ASSETSTURN(B615,E615)</f>
        <v>0.817071935114</v>
      </c>
      <c r="L615" s="12">
        <f>[1]!EM_HKS_VAL_MV(B615,"2019-12-31","2")</f>
        <v>68900122545</v>
      </c>
      <c r="M615">
        <f>[1]!EM_S_VAL_PETTMDEDUCTED(B615,E615)</f>
        <v>43.280142147559502</v>
      </c>
      <c r="N615" s="7">
        <f>[1]!EM_S_VAL_PBGOODWILLDEDUCTED(B615,E615)</f>
        <v>2.8262751423387198</v>
      </c>
      <c r="O615" s="7">
        <f>[1]!EM_S_VAL_PS_TTM(B615,E615)</f>
        <v>1.77497651761255</v>
      </c>
      <c r="P615" s="7">
        <f>[1]!EM_S_VAL_PCF_NCFTTM(B615,E615)</f>
        <v>21.583375324265699</v>
      </c>
      <c r="Q615" s="7">
        <f>[1]!EM_S_VAL_DIVIDENDYIELD2(B615,E615,"2019-11-29")</f>
        <v>0.94693233379364739</v>
      </c>
      <c r="T615"/>
      <c r="U615">
        <f>[1]!EM_S_RATIO_EPS_TTM(B615,E615,"1")</f>
        <v>1.0527148904216801</v>
      </c>
      <c r="AT615" s="4" t="str">
        <f>[1]!EM_S_IPO_LISTEDDATE(B615)</f>
        <v>1993-08-27</v>
      </c>
    </row>
    <row r="616" spans="1:46">
      <c r="A616">
        <v>2656</v>
      </c>
      <c r="B616" t="str">
        <f>"600583"</f>
        <v>600583</v>
      </c>
      <c r="C616" t="s">
        <v>3469</v>
      </c>
      <c r="D616" t="str">
        <f>[1]!EM_S_INFO_INDEX_EM(B616,"1")</f>
        <v>化石能源</v>
      </c>
      <c r="E616" s="4">
        <f t="shared" si="9"/>
        <v>43465</v>
      </c>
      <c r="F616" s="11">
        <f>[1]!EM_S_PQ_PCTCHANGE(B616,"2018-01-01","2019-12-31","3")</f>
        <v>22.127659229999999</v>
      </c>
      <c r="G616" s="11">
        <f>[1]!EM_S_PQ_PCTCHANGE(B616,"2018-12-31","2019-12-30","1")</f>
        <v>46.530612240000004</v>
      </c>
      <c r="H616" s="11">
        <f>[1]!EM_S_FA_YOY_OR(B616,E616)</f>
        <v>7.7988890492999996</v>
      </c>
      <c r="I616" s="11">
        <f>[1]!EM_S_FA_GROSSPROFITMARGIN(B616,E616)</f>
        <v>9.2688239710999998</v>
      </c>
      <c r="J616" s="11">
        <f>[1]!EM_S_FA_NETPROFITMARGIN(B616,E616)</f>
        <v>0.72238507969999999</v>
      </c>
      <c r="K616" s="10">
        <f>[1]!EM_S_FA_ASSETSTURN(B616,E616)</f>
        <v>0.377558854808</v>
      </c>
      <c r="L616" s="12">
        <f>[1]!EM_HKS_VAL_MV(B616,"2019-12-31","2")</f>
        <v>32629598424</v>
      </c>
      <c r="M616">
        <f>[1]!EM_S_VAL_PETTMDEDUCTED(B616,E616)</f>
        <v>-122.468885192179</v>
      </c>
      <c r="N616" s="7">
        <f>[1]!EM_S_VAL_PBGOODWILLDEDUCTED(B616,E616)</f>
        <v>0.94688657524932296</v>
      </c>
      <c r="O616" s="7">
        <f>[1]!EM_S_VAL_PS_TTM(B616,E616)</f>
        <v>2.1544830075468102</v>
      </c>
      <c r="P616" s="7">
        <f>[1]!EM_S_VAL_PCF_NCFTTM(B616,E616)</f>
        <v>-4.26155681400334</v>
      </c>
      <c r="Q616" s="7">
        <f>[1]!EM_S_VAL_DIVIDENDYIELD2(B616,E616,"2019-11-29")</f>
        <v>0.71633237822349571</v>
      </c>
      <c r="T616"/>
      <c r="U616">
        <f>[1]!EM_S_RATIO_EPS_TTM(B616,E616,"1")</f>
        <v>1.804379256557289E-2</v>
      </c>
      <c r="AT616" s="4" t="str">
        <f>[1]!EM_S_IPO_LISTEDDATE(B616)</f>
        <v>2002-02-05</v>
      </c>
    </row>
    <row r="617" spans="1:46">
      <c r="A617">
        <v>3256</v>
      </c>
      <c r="B617" t="str">
        <f>"603081"</f>
        <v>603081</v>
      </c>
      <c r="C617" t="s">
        <v>1045</v>
      </c>
      <c r="D617" t="str">
        <f>[1]!EM_S_INFO_INDEX_EM(B617,"1")</f>
        <v>建筑</v>
      </c>
      <c r="E617" s="4">
        <f t="shared" si="9"/>
        <v>43465</v>
      </c>
      <c r="F617" s="11">
        <f>[1]!EM_S_PQ_PCTCHANGE(B617,"2018-01-01","2019-12-31","3")</f>
        <v>-36.714257609999997</v>
      </c>
      <c r="G617" s="11">
        <f>[1]!EM_S_PQ_PCTCHANGE(B617,"2018-12-31","2019-12-30","1")</f>
        <v>46.517626829999998</v>
      </c>
      <c r="H617" s="11">
        <f>[1]!EM_S_FA_YOY_OR(B617,E617)</f>
        <v>5.1711186534999998</v>
      </c>
      <c r="I617" s="11">
        <f>[1]!EM_S_FA_GROSSPROFITMARGIN(B617,E617)</f>
        <v>31.672294833199999</v>
      </c>
      <c r="J617" s="11">
        <f>[1]!EM_S_FA_NETPROFITMARGIN(B617,E617)</f>
        <v>12.7970465618</v>
      </c>
      <c r="K617" s="10">
        <f>[1]!EM_S_FA_ASSETSTURN(B617,E617)</f>
        <v>0.59618756396700001</v>
      </c>
      <c r="L617" s="12">
        <f>[1]!EM_HKS_VAL_MV(B617,"2019-12-31","2")</f>
        <v>6553438375.6800003</v>
      </c>
      <c r="M617">
        <f>[1]!EM_S_VAL_PETTMDEDUCTED(B617,E617)</f>
        <v>22.210204029067299</v>
      </c>
      <c r="N617" s="7">
        <f>[1]!EM_S_VAL_PBGOODWILLDEDUCTED(B617,E617)</f>
        <v>2.72839219613858</v>
      </c>
      <c r="O617" s="7">
        <f>[1]!EM_S_VAL_PS_TTM(B617,E617)</f>
        <v>2.6362453982916101</v>
      </c>
      <c r="P617" s="7">
        <f>[1]!EM_S_VAL_PCF_NCFTTM(B617,E617)</f>
        <v>10.802231189900301</v>
      </c>
      <c r="Q617" s="7">
        <f>[1]!EM_S_VAL_DIVIDENDYIELD2(B617,E617,"2019-11-29")</f>
        <v>0.69164265129683</v>
      </c>
      <c r="T617"/>
      <c r="U617">
        <f>[1]!EM_S_RATIO_EPS_TTM(B617,E617,"1")</f>
        <v>0.57238403357391732</v>
      </c>
      <c r="AT617" s="4" t="str">
        <f>[1]!EM_S_IPO_LISTEDDATE(B617)</f>
        <v>2017-04-20</v>
      </c>
    </row>
    <row r="618" spans="1:46">
      <c r="A618">
        <v>660</v>
      </c>
      <c r="B618" t="str">
        <f>"002149"</f>
        <v>002149</v>
      </c>
      <c r="C618" t="s">
        <v>3062</v>
      </c>
      <c r="D618" t="str">
        <f>[1]!EM_S_INFO_INDEX_EM(B618,"1")</f>
        <v>有色金属</v>
      </c>
      <c r="E618" s="4">
        <f t="shared" si="9"/>
        <v>43465</v>
      </c>
      <c r="F618" s="11">
        <f>[1]!EM_S_PQ_PCTCHANGE(B618,"2018-01-01","2019-12-31","3")</f>
        <v>-17.906423190000002</v>
      </c>
      <c r="G618" s="11">
        <f>[1]!EM_S_PQ_PCTCHANGE(B618,"2018-12-31","2019-12-30","1")</f>
        <v>46.516007530000003</v>
      </c>
      <c r="H618" s="11">
        <f>[1]!EM_S_FA_YOY_OR(B618,E618)</f>
        <v>10.3310132283</v>
      </c>
      <c r="I618" s="11">
        <f>[1]!EM_S_FA_GROSSPROFITMARGIN(B618,E618)</f>
        <v>21.2641075447</v>
      </c>
      <c r="J618" s="11">
        <f>[1]!EM_S_FA_NETPROFITMARGIN(B618,E618)</f>
        <v>5.985163537</v>
      </c>
      <c r="K618" s="10">
        <f>[1]!EM_S_FA_ASSETSTURN(B618,E618)</f>
        <v>0.462342957517</v>
      </c>
      <c r="L618" s="12">
        <f>[1]!EM_HKS_VAL_MV(B618,"2019-12-31","2")</f>
        <v>3284198195.2800002</v>
      </c>
      <c r="M618">
        <f>[1]!EM_S_VAL_PETTMDEDUCTED(B618,E618)</f>
        <v>129.68828659462901</v>
      </c>
      <c r="N618" s="7">
        <f>[1]!EM_S_VAL_PBGOODWILLDEDUCTED(B618,E618)</f>
        <v>1.2560407266976401</v>
      </c>
      <c r="O618" s="7">
        <f>[1]!EM_S_VAL_PS_TTM(B618,E618)</f>
        <v>1.3188071989629899</v>
      </c>
      <c r="P618" s="7">
        <f>[1]!EM_S_VAL_PCF_NCFTTM(B618,E618)</f>
        <v>-32.357415677165797</v>
      </c>
      <c r="Q618" s="7">
        <f>[1]!EM_S_VAL_DIVIDENDYIELD2(B618,E618,"2019-11-29")</f>
        <v>1.4245014245014247</v>
      </c>
      <c r="T618"/>
      <c r="U618">
        <f>[1]!EM_S_RATIO_EPS_TTM(B618,E618,"1")</f>
        <v>0.14178302540925083</v>
      </c>
      <c r="AT618" s="4" t="str">
        <f>[1]!EM_S_IPO_LISTEDDATE(B618)</f>
        <v>2007-08-10</v>
      </c>
    </row>
    <row r="619" spans="1:46">
      <c r="A619">
        <v>576</v>
      </c>
      <c r="B619" t="str">
        <f>"002065"</f>
        <v>002065</v>
      </c>
      <c r="C619" t="s">
        <v>1850</v>
      </c>
      <c r="D619" t="str">
        <f>[1]!EM_S_INFO_INDEX_EM(B619,"1")</f>
        <v>信息技术</v>
      </c>
      <c r="E619" s="4">
        <f t="shared" si="9"/>
        <v>43465</v>
      </c>
      <c r="F619" s="11">
        <f>[1]!EM_S_PQ_PCTCHANGE(B619,"2018-01-01","2019-12-31","3")</f>
        <v>29.149999170000001</v>
      </c>
      <c r="G619" s="11">
        <f>[1]!EM_S_PQ_PCTCHANGE(B619,"2018-12-31","2019-12-30","1")</f>
        <v>46.474820139999999</v>
      </c>
      <c r="H619" s="11">
        <f>[1]!EM_S_FA_YOY_OR(B619,E619)</f>
        <v>16.1926177052</v>
      </c>
      <c r="I619" s="11">
        <f>[1]!EM_S_FA_GROSSPROFITMARGIN(B619,E619)</f>
        <v>26.7650206221</v>
      </c>
      <c r="J619" s="11">
        <f>[1]!EM_S_FA_NETPROFITMARGIN(B619,E619)</f>
        <v>9.4185713464000003</v>
      </c>
      <c r="K619" s="10">
        <f>[1]!EM_S_FA_ASSETSTURN(B619,E619)</f>
        <v>0.56171587450299998</v>
      </c>
      <c r="L619" s="12">
        <f>[1]!EM_HKS_VAL_MV(B619,"2019-12-31","2")</f>
        <v>32151778110</v>
      </c>
      <c r="M619">
        <f>[1]!EM_S_VAL_PETTMDEDUCTED(B619,E619)</f>
        <v>55.942407718200201</v>
      </c>
      <c r="N619" s="7">
        <f>[1]!EM_S_VAL_PBGOODWILLDEDUCTED(B619,E619)</f>
        <v>2.5796470703500001</v>
      </c>
      <c r="O619" s="7">
        <f>[1]!EM_S_VAL_PS_TTM(B619,E619)</f>
        <v>2.68094553858008</v>
      </c>
      <c r="P619" s="7">
        <f>[1]!EM_S_VAL_PCF_NCFTTM(B619,E619)</f>
        <v>-61.300665200275397</v>
      </c>
      <c r="Q619" s="7">
        <f>[1]!EM_S_VAL_DIVIDENDYIELD2(B619,E619,"2019-11-29")</f>
        <v>1.0905125408942202</v>
      </c>
      <c r="T619"/>
      <c r="U619">
        <f>[1]!EM_S_RATIO_EPS_TTM(B619,E619,"1")</f>
        <v>0.2588393960598156</v>
      </c>
      <c r="AT619" s="4" t="str">
        <f>[1]!EM_S_IPO_LISTEDDATE(B619)</f>
        <v>2006-08-23</v>
      </c>
    </row>
    <row r="620" spans="1:46">
      <c r="A620">
        <v>3349</v>
      </c>
      <c r="B620" t="str">
        <f>"603309"</f>
        <v>603309</v>
      </c>
      <c r="C620" t="s">
        <v>2524</v>
      </c>
      <c r="D620" t="str">
        <f>[1]!EM_S_INFO_INDEX_EM(B620,"1")</f>
        <v>医药生物</v>
      </c>
      <c r="E620" s="4">
        <f t="shared" si="9"/>
        <v>43465</v>
      </c>
      <c r="F620" s="11">
        <f>[1]!EM_S_PQ_PCTCHANGE(B620,"2018-01-01","2019-12-31","3")</f>
        <v>-18.946434060000001</v>
      </c>
      <c r="G620" s="11">
        <f>[1]!EM_S_PQ_PCTCHANGE(B620,"2018-12-31","2019-12-30","1")</f>
        <v>46.354166669999998</v>
      </c>
      <c r="H620" s="11">
        <f>[1]!EM_S_FA_YOY_OR(B620,E620)</f>
        <v>18.406199315399999</v>
      </c>
      <c r="I620" s="11">
        <f>[1]!EM_S_FA_GROSSPROFITMARGIN(B620,E620)</f>
        <v>35.168588481299999</v>
      </c>
      <c r="J620" s="11">
        <f>[1]!EM_S_FA_NETPROFITMARGIN(B620,E620)</f>
        <v>7.5678804803000004</v>
      </c>
      <c r="K620" s="10">
        <f>[1]!EM_S_FA_ASSETSTURN(B620,E620)</f>
        <v>0.61507428550499998</v>
      </c>
      <c r="L620" s="12">
        <f>[1]!EM_HKS_VAL_MV(B620,"2019-12-31","2")</f>
        <v>2932000000</v>
      </c>
      <c r="M620">
        <f>[1]!EM_S_VAL_PETTMDEDUCTED(B620,E620)</f>
        <v>40.219779805290003</v>
      </c>
      <c r="N620" s="7">
        <f>[1]!EM_S_VAL_PBGOODWILLDEDUCTED(B620,E620)</f>
        <v>3.0242105365163301</v>
      </c>
      <c r="O620" s="7">
        <f>[1]!EM_S_VAL_PS_TTM(B620,E620)</f>
        <v>2.8158786310542601</v>
      </c>
      <c r="P620" s="7">
        <f>[1]!EM_S_VAL_PCF_NCFTTM(B620,E620)</f>
        <v>-24.972160911455699</v>
      </c>
      <c r="Q620" s="7">
        <f>[1]!EM_S_VAL_DIVIDENDYIELD2(B620,E620,"2019-11-29")</f>
        <v>0.78740157480314954</v>
      </c>
      <c r="T620"/>
      <c r="U620">
        <f>[1]!EM_S_RATIO_EPS_TTM(B620,E620,"1")</f>
        <v>0.32701504719999996</v>
      </c>
      <c r="AT620" s="4" t="str">
        <f>[1]!EM_S_IPO_LISTEDDATE(B620)</f>
        <v>2015-03-02</v>
      </c>
    </row>
    <row r="621" spans="1:46">
      <c r="A621">
        <v>2545</v>
      </c>
      <c r="B621" t="str">
        <f>"600449"</f>
        <v>600449</v>
      </c>
      <c r="C621" t="s">
        <v>3507</v>
      </c>
      <c r="D621" t="str">
        <f>[1]!EM_S_INFO_INDEX_EM(B621,"1")</f>
        <v>建材</v>
      </c>
      <c r="E621" s="4">
        <f t="shared" si="9"/>
        <v>43465</v>
      </c>
      <c r="F621" s="11">
        <f>[1]!EM_S_PQ_PCTCHANGE(B621,"2018-01-01","2019-12-31","3")</f>
        <v>4.5254535499999999</v>
      </c>
      <c r="G621" s="11">
        <f>[1]!EM_S_PQ_PCTCHANGE(B621,"2018-12-31","2019-12-30","1")</f>
        <v>46.268656720000003</v>
      </c>
      <c r="H621" s="11">
        <f>[1]!EM_S_FA_YOY_OR(B621,E621)</f>
        <v>-6.9041812802999996</v>
      </c>
      <c r="I621" s="11">
        <f>[1]!EM_S_FA_GROSSPROFITMARGIN(B621,E621)</f>
        <v>36.2411704521</v>
      </c>
      <c r="J621" s="11">
        <f>[1]!EM_S_FA_NETPROFITMARGIN(B621,E621)</f>
        <v>11.4899413695</v>
      </c>
      <c r="K621" s="10">
        <f>[1]!EM_S_FA_ASSETSTURN(B621,E621)</f>
        <v>0.57748620228000003</v>
      </c>
      <c r="L621" s="12">
        <f>[1]!EM_HKS_VAL_MV(B621,"2019-12-31","2")</f>
        <v>5336500428.7200003</v>
      </c>
      <c r="M621">
        <f>[1]!EM_S_VAL_PETTMDEDUCTED(B621,E621)</f>
        <v>10.620536454032999</v>
      </c>
      <c r="N621" s="7">
        <f>[1]!EM_S_VAL_PBGOODWILLDEDUCTED(B621,E621)</f>
        <v>0.72762331507594002</v>
      </c>
      <c r="O621" s="7">
        <f>[1]!EM_S_VAL_PS_TTM(B621,E621)</f>
        <v>0.89322485571258103</v>
      </c>
      <c r="P621" s="7">
        <f>[1]!EM_S_VAL_PCF_NCFTTM(B621,E621)</f>
        <v>58.5191536608449</v>
      </c>
      <c r="Q621" s="7">
        <f>[1]!EM_S_VAL_DIVIDENDYIELD2(B621,E621,"2019-11-29")</f>
        <v>2.9791459781529297</v>
      </c>
      <c r="T621"/>
      <c r="U621">
        <f>[1]!EM_S_RATIO_EPS_TTM(B621,E621,"1")</f>
        <v>0.8956312212185108</v>
      </c>
      <c r="AT621" s="4" t="str">
        <f>[1]!EM_S_IPO_LISTEDDATE(B621)</f>
        <v>2003-08-29</v>
      </c>
    </row>
    <row r="622" spans="1:46">
      <c r="A622">
        <v>1185</v>
      </c>
      <c r="B622" t="str">
        <f>"002674"</f>
        <v>002674</v>
      </c>
      <c r="C622" t="s">
        <v>2765</v>
      </c>
      <c r="D622" t="str">
        <f>[1]!EM_S_INFO_INDEX_EM(B622,"1")</f>
        <v>纺织服装</v>
      </c>
      <c r="E622" s="4">
        <f t="shared" si="9"/>
        <v>43465</v>
      </c>
      <c r="F622" s="11">
        <f>[1]!EM_S_PQ_PCTCHANGE(B622,"2018-01-01","2019-12-31","3")</f>
        <v>17.242827370000001</v>
      </c>
      <c r="G622" s="11">
        <f>[1]!EM_S_PQ_PCTCHANGE(B622,"2018-12-31","2019-12-30","1")</f>
        <v>46.24505929</v>
      </c>
      <c r="H622" s="11">
        <f>[1]!EM_S_FA_YOY_OR(B622,E622)</f>
        <v>-14.4810788367</v>
      </c>
      <c r="I622" s="11">
        <f>[1]!EM_S_FA_GROSSPROFITMARGIN(B622,E622)</f>
        <v>13.805088015200001</v>
      </c>
      <c r="J622" s="11">
        <f>[1]!EM_S_FA_NETPROFITMARGIN(B622,E622)</f>
        <v>6.4058217011999998</v>
      </c>
      <c r="K622" s="10">
        <f>[1]!EM_S_FA_ASSETSTURN(B622,E622)</f>
        <v>0.64385863200500004</v>
      </c>
      <c r="L622" s="12">
        <f>[1]!EM_HKS_VAL_MV(B622,"2019-12-31","2")</f>
        <v>3341028711.7199998</v>
      </c>
      <c r="M622">
        <f>[1]!EM_S_VAL_PETTMDEDUCTED(B622,E622)</f>
        <v>41.546471328440198</v>
      </c>
      <c r="N622" s="7">
        <f>[1]!EM_S_VAL_PBGOODWILLDEDUCTED(B622,E622)</f>
        <v>0.99017499167079703</v>
      </c>
      <c r="O622" s="7">
        <f>[1]!EM_S_VAL_PS_TTM(B622,E622)</f>
        <v>1.1473976988632499</v>
      </c>
      <c r="P622" s="7">
        <f>[1]!EM_S_VAL_PCF_NCFTTM(B622,E622)</f>
        <v>7.7074475823078599</v>
      </c>
      <c r="Q622" s="7">
        <f>[1]!EM_S_VAL_DIVIDENDYIELD2(B622,E622,"2019-11-29")</f>
        <v>5.4595086442220193</v>
      </c>
      <c r="T622"/>
      <c r="U622">
        <f>[1]!EM_S_RATIO_EPS_TTM(B622,E622,"1")</f>
        <v>0.38314151114953954</v>
      </c>
      <c r="AT622" s="4" t="str">
        <f>[1]!EM_S_IPO_LISTEDDATE(B622)</f>
        <v>2012-05-07</v>
      </c>
    </row>
    <row r="623" spans="1:46">
      <c r="A623">
        <v>837</v>
      </c>
      <c r="B623" t="str">
        <f>"002326"</f>
        <v>002326</v>
      </c>
      <c r="C623" t="s">
        <v>738</v>
      </c>
      <c r="D623" t="str">
        <f>[1]!EM_S_INFO_INDEX_EM(B623,"1")</f>
        <v>基础化工</v>
      </c>
      <c r="E623" s="4">
        <f t="shared" si="9"/>
        <v>43465</v>
      </c>
      <c r="F623" s="11">
        <f>[1]!EM_S_PQ_PCTCHANGE(B623,"2018-01-01","2019-12-31","3")</f>
        <v>-3.5876802900000002</v>
      </c>
      <c r="G623" s="11">
        <f>[1]!EM_S_PQ_PCTCHANGE(B623,"2018-12-31","2019-12-30","1")</f>
        <v>46.208869810000003</v>
      </c>
      <c r="H623" s="11">
        <f>[1]!EM_S_FA_YOY_OR(B623,E623)</f>
        <v>19.779254621</v>
      </c>
      <c r="I623" s="11">
        <f>[1]!EM_S_FA_GROSSPROFITMARGIN(B623,E623)</f>
        <v>26.7320594802</v>
      </c>
      <c r="J623" s="11">
        <f>[1]!EM_S_FA_NETPROFITMARGIN(B623,E623)</f>
        <v>13.078485128700001</v>
      </c>
      <c r="K623" s="10">
        <f>[1]!EM_S_FA_ASSETSTURN(B623,E623)</f>
        <v>0.52673288210199998</v>
      </c>
      <c r="L623" s="12">
        <f>[1]!EM_HKS_VAL_MV(B623,"2019-12-31","2")</f>
        <v>8702065043.1000004</v>
      </c>
      <c r="M623">
        <f>[1]!EM_S_VAL_PETTMDEDUCTED(B623,E623)</f>
        <v>85.451038888520401</v>
      </c>
      <c r="N623" s="7">
        <f>[1]!EM_S_VAL_PBGOODWILLDEDUCTED(B623,E623)</f>
        <v>2.5209746382954799</v>
      </c>
      <c r="O623" s="7">
        <f>[1]!EM_S_VAL_PS_TTM(B623,E623)</f>
        <v>1.92718536345219</v>
      </c>
      <c r="P623" s="7">
        <f>[1]!EM_S_VAL_PCF_NCFTTM(B623,E623)</f>
        <v>-34.675697364022703</v>
      </c>
      <c r="Q623" s="7">
        <f>[1]!EM_S_VAL_DIVIDENDYIELD2(B623,E623,"2019-11-29")</f>
        <v>1.476248040392774</v>
      </c>
      <c r="T623"/>
      <c r="U623">
        <f>[1]!EM_S_RATIO_EPS_TTM(B623,E623,"1")</f>
        <v>0.538548185511461</v>
      </c>
      <c r="AT623" s="4" t="str">
        <f>[1]!EM_S_IPO_LISTEDDATE(B623)</f>
        <v>2009-12-22</v>
      </c>
    </row>
    <row r="624" spans="1:46">
      <c r="A624">
        <v>1614</v>
      </c>
      <c r="B624" t="str">
        <f>"300189"</f>
        <v>300189</v>
      </c>
      <c r="C624" t="s">
        <v>2315</v>
      </c>
      <c r="D624" t="str">
        <f>[1]!EM_S_INFO_INDEX_EM(B624,"1")</f>
        <v>农林牧渔</v>
      </c>
      <c r="E624" s="4">
        <f t="shared" si="9"/>
        <v>43465</v>
      </c>
      <c r="F624" s="11">
        <f>[1]!EM_S_PQ_PCTCHANGE(B624,"2018-01-01","2019-12-31","3")</f>
        <v>3.1428571399999998</v>
      </c>
      <c r="G624" s="11">
        <f>[1]!EM_S_PQ_PCTCHANGE(B624,"2018-12-31","2019-12-30","1")</f>
        <v>46.15384615</v>
      </c>
      <c r="H624" s="11">
        <f>[1]!EM_S_FA_YOY_OR(B624,E624)</f>
        <v>-61.922733490100001</v>
      </c>
      <c r="I624" s="11">
        <f>[1]!EM_S_FA_GROSSPROFITMARGIN(B624,E624)</f>
        <v>7.8515723733999998</v>
      </c>
      <c r="J624" s="11">
        <f>[1]!EM_S_FA_NETPROFITMARGIN(B624,E624)</f>
        <v>9.9056534971999994</v>
      </c>
      <c r="K624" s="10">
        <f>[1]!EM_S_FA_ASSETSTURN(B624,E624)</f>
        <v>8.6186193665999999E-2</v>
      </c>
      <c r="L624" s="12">
        <f>[1]!EM_HKS_VAL_MV(B624,"2019-12-31","2")</f>
        <v>3696640000</v>
      </c>
      <c r="M624">
        <f>[1]!EM_S_VAL_PETTMDEDUCTED(B624,E624)</f>
        <v>-46.346597585608798</v>
      </c>
      <c r="N624" s="7">
        <f>[1]!EM_S_VAL_PBGOODWILLDEDUCTED(B624,E624)</f>
        <v>1.8094733501814899</v>
      </c>
      <c r="O624" s="7">
        <f>[1]!EM_S_VAL_PS_TTM(B624,E624)</f>
        <v>8.0567625513441694</v>
      </c>
      <c r="P624" s="7">
        <f>[1]!EM_S_VAL_PCF_NCFTTM(B624,E624)</f>
        <v>-27.8759683853552</v>
      </c>
      <c r="Q624" s="7">
        <f>[1]!EM_S_VAL_DIVIDENDYIELD2(B624,E624,"2019-11-29")</f>
        <v>0</v>
      </c>
      <c r="T624"/>
      <c r="U624">
        <f>[1]!EM_S_RATIO_EPS_TTM(B624,E624,"1")</f>
        <v>1.9936797226562501E-2</v>
      </c>
      <c r="AT624" s="4" t="str">
        <f>[1]!EM_S_IPO_LISTEDDATE(B624)</f>
        <v>2011-03-16</v>
      </c>
    </row>
    <row r="625" spans="1:46">
      <c r="A625">
        <v>207</v>
      </c>
      <c r="B625" t="str">
        <f>"000603"</f>
        <v>000603</v>
      </c>
      <c r="C625" t="s">
        <v>943</v>
      </c>
      <c r="D625" t="str">
        <f>[1]!EM_S_INFO_INDEX_EM(B625,"1")</f>
        <v>有色金属</v>
      </c>
      <c r="E625" s="4">
        <f t="shared" si="9"/>
        <v>43465</v>
      </c>
      <c r="F625" s="11">
        <f>[1]!EM_S_PQ_PCTCHANGE(B625,"2018-01-01","2019-12-31","3")</f>
        <v>24.70881864</v>
      </c>
      <c r="G625" s="11">
        <f>[1]!EM_S_PQ_PCTCHANGE(B625,"2018-12-31","2019-12-30","1")</f>
        <v>46.1</v>
      </c>
      <c r="H625" s="11">
        <f>[1]!EM_S_FA_YOY_OR(B625,E625)</f>
        <v>80.026793405000006</v>
      </c>
      <c r="I625" s="11">
        <f>[1]!EM_S_FA_GROSSPROFITMARGIN(B625,E625)</f>
        <v>34.6229267545</v>
      </c>
      <c r="J625" s="11">
        <f>[1]!EM_S_FA_NETPROFITMARGIN(B625,E625)</f>
        <v>23.210908594300001</v>
      </c>
      <c r="K625" s="10">
        <f>[1]!EM_S_FA_ASSETSTURN(B625,E625)</f>
        <v>0.69834631747099996</v>
      </c>
      <c r="L625" s="12">
        <f>[1]!EM_HKS_VAL_MV(B625,"2019-12-31","2")</f>
        <v>10342640496.540001</v>
      </c>
      <c r="M625">
        <f>[1]!EM_S_VAL_PETTMDEDUCTED(B625,E625)</f>
        <v>20.301884393812699</v>
      </c>
      <c r="N625" s="7">
        <f>[1]!EM_S_VAL_PBGOODWILLDEDUCTED(B625,E625)</f>
        <v>3.7974614354074099</v>
      </c>
      <c r="O625" s="7">
        <f>[1]!EM_S_VAL_PS_TTM(B625,E625)</f>
        <v>3.7921039043284899</v>
      </c>
      <c r="P625" s="7">
        <f>[1]!EM_S_VAL_PCF_NCFTTM(B625,E625)</f>
        <v>-23.5774959108128</v>
      </c>
      <c r="Q625" s="7">
        <f>[1]!EM_S_VAL_DIVIDENDYIELD2(B625,E625,"2019-11-29")</f>
        <v>0</v>
      </c>
      <c r="T625"/>
      <c r="U625">
        <f>[1]!EM_S_RATIO_EPS_TTM(B625,E625,"1")</f>
        <v>0.59677337263907948</v>
      </c>
      <c r="AT625" s="4" t="str">
        <f>[1]!EM_S_IPO_LISTEDDATE(B625)</f>
        <v>1996-08-23</v>
      </c>
    </row>
    <row r="626" spans="1:46">
      <c r="A626">
        <v>702</v>
      </c>
      <c r="B626" t="str">
        <f>"002191"</f>
        <v>002191</v>
      </c>
      <c r="C626" t="s">
        <v>710</v>
      </c>
      <c r="D626" t="str">
        <f>[1]!EM_S_INFO_INDEX_EM(B626,"1")</f>
        <v>轻工制造</v>
      </c>
      <c r="E626" s="4">
        <f t="shared" si="9"/>
        <v>43465</v>
      </c>
      <c r="F626" s="11">
        <f>[1]!EM_S_PQ_PCTCHANGE(B626,"2018-01-01","2019-12-31","3")</f>
        <v>31.577181759999998</v>
      </c>
      <c r="G626" s="11">
        <f>[1]!EM_S_PQ_PCTCHANGE(B626,"2018-12-31","2019-12-30","1")</f>
        <v>45.966709350000002</v>
      </c>
      <c r="H626" s="11">
        <f>[1]!EM_S_FA_YOY_OR(B626,E626)</f>
        <v>14.5558078832</v>
      </c>
      <c r="I626" s="11">
        <f>[1]!EM_S_FA_GROSSPROFITMARGIN(B626,E626)</f>
        <v>43.656329633399999</v>
      </c>
      <c r="J626" s="11">
        <f>[1]!EM_S_FA_NETPROFITMARGIN(B626,E626)</f>
        <v>24.167887308899999</v>
      </c>
      <c r="K626" s="10">
        <f>[1]!EM_S_FA_ASSETSTURN(B626,E626)</f>
        <v>0.41329456708700002</v>
      </c>
      <c r="L626" s="12">
        <f>[1]!EM_HKS_VAL_MV(B626,"2019-12-31","2")</f>
        <v>16714171834.5</v>
      </c>
      <c r="M626">
        <f>[1]!EM_S_VAL_PETTMDEDUCTED(B626,E626)</f>
        <v>18.032454086470398</v>
      </c>
      <c r="N626" s="7">
        <f>[1]!EM_S_VAL_PBGOODWILLDEDUCTED(B626,E626)</f>
        <v>2.1211060899628</v>
      </c>
      <c r="O626" s="7">
        <f>[1]!EM_S_VAL_PS_TTM(B626,E626)</f>
        <v>3.6227381623374701</v>
      </c>
      <c r="P626" s="7">
        <f>[1]!EM_S_VAL_PCF_NCFTTM(B626,E626)</f>
        <v>51.205283081279802</v>
      </c>
      <c r="Q626" s="7">
        <f>[1]!EM_S_VAL_DIVIDENDYIELD2(B626,E626,"2019-11-29")</f>
        <v>2.6929982046678633</v>
      </c>
      <c r="T626"/>
      <c r="U626">
        <f>[1]!EM_S_RATIO_EPS_TTM(B626,E626,"1")</f>
        <v>0.48520967504746626</v>
      </c>
      <c r="AT626" s="4" t="str">
        <f>[1]!EM_S_IPO_LISTEDDATE(B626)</f>
        <v>2007-12-05</v>
      </c>
    </row>
    <row r="627" spans="1:46">
      <c r="A627">
        <v>2867</v>
      </c>
      <c r="B627" t="str">
        <f>"600794"</f>
        <v>600794</v>
      </c>
      <c r="C627" t="s">
        <v>1623</v>
      </c>
      <c r="D627" t="str">
        <f>[1]!EM_S_INFO_INDEX_EM(B627,"1")</f>
        <v>交通运输</v>
      </c>
      <c r="E627" s="4">
        <f t="shared" si="9"/>
        <v>43465</v>
      </c>
      <c r="F627" s="11">
        <f>[1]!EM_S_PQ_PCTCHANGE(B627,"2018-01-01","2019-12-31","3")</f>
        <v>-14.014232509999999</v>
      </c>
      <c r="G627" s="11">
        <f>[1]!EM_S_PQ_PCTCHANGE(B627,"2018-12-31","2019-12-30","1")</f>
        <v>45.945945950000002</v>
      </c>
      <c r="H627" s="11">
        <f>[1]!EM_S_FA_YOY_OR(B627,E627)</f>
        <v>30.107786381299999</v>
      </c>
      <c r="I627" s="11">
        <f>[1]!EM_S_FA_GROSSPROFITMARGIN(B627,E627)</f>
        <v>11.3888535282</v>
      </c>
      <c r="J627" s="11">
        <f>[1]!EM_S_FA_NETPROFITMARGIN(B627,E627)</f>
        <v>3.3153247372000001</v>
      </c>
      <c r="K627" s="10">
        <f>[1]!EM_S_FA_ASSETSTURN(B627,E627)</f>
        <v>0.42113545210300002</v>
      </c>
      <c r="L627" s="12">
        <f>[1]!EM_HKS_VAL_MV(B627,"2019-12-31","2")</f>
        <v>4630421239.7399998</v>
      </c>
      <c r="M627">
        <f>[1]!EM_S_VAL_PETTMDEDUCTED(B627,E627)</f>
        <v>-3565.8821694799599</v>
      </c>
      <c r="N627" s="7">
        <f>[1]!EM_S_VAL_PBGOODWILLDEDUCTED(B627,E627)</f>
        <v>1.7637568562036501</v>
      </c>
      <c r="O627" s="7">
        <f>[1]!EM_S_VAL_PS_TTM(B627,E627)</f>
        <v>2.1387070756811402</v>
      </c>
      <c r="P627" s="7">
        <f>[1]!EM_S_VAL_PCF_NCFTTM(B627,E627)</f>
        <v>-17.488377014255899</v>
      </c>
      <c r="Q627" s="7">
        <f>[1]!EM_S_VAL_DIVIDENDYIELD2(B627,E627,"2019-11-29")</f>
        <v>0.32171581769437002</v>
      </c>
      <c r="T627"/>
      <c r="U627">
        <f>[1]!EM_S_RATIO_EPS_TTM(B627,E627,"1")</f>
        <v>2.929122559817381E-2</v>
      </c>
      <c r="AT627" s="4" t="str">
        <f>[1]!EM_S_IPO_LISTEDDATE(B627)</f>
        <v>1997-03-06</v>
      </c>
    </row>
    <row r="628" spans="1:46">
      <c r="A628">
        <v>1168</v>
      </c>
      <c r="B628" t="str">
        <f>"002657"</f>
        <v>002657</v>
      </c>
      <c r="C628" t="s">
        <v>2079</v>
      </c>
      <c r="D628" t="str">
        <f>[1]!EM_S_INFO_INDEX_EM(B628,"1")</f>
        <v>互联网</v>
      </c>
      <c r="E628" s="4">
        <f t="shared" si="9"/>
        <v>43465</v>
      </c>
      <c r="F628" s="11">
        <f>[1]!EM_S_PQ_PCTCHANGE(B628,"2018-01-01","2019-12-31","3")</f>
        <v>-18.75547765</v>
      </c>
      <c r="G628" s="11">
        <f>[1]!EM_S_PQ_PCTCHANGE(B628,"2018-12-31","2019-12-30","1")</f>
        <v>45.859872609999996</v>
      </c>
      <c r="H628" s="11">
        <f>[1]!EM_S_FA_YOY_OR(B628,E628)</f>
        <v>21.174867882200001</v>
      </c>
      <c r="I628" s="11">
        <f>[1]!EM_S_FA_GROSSPROFITMARGIN(B628,E628)</f>
        <v>19.649658257500001</v>
      </c>
      <c r="J628" s="11">
        <f>[1]!EM_S_FA_NETPROFITMARGIN(B628,E628)</f>
        <v>-0.871691243</v>
      </c>
      <c r="K628" s="10">
        <f>[1]!EM_S_FA_ASSETSTURN(B628,E628)</f>
        <v>0.35545129799399999</v>
      </c>
      <c r="L628" s="12">
        <f>[1]!EM_HKS_VAL_MV(B628,"2019-12-31","2")</f>
        <v>6258671758.4399996</v>
      </c>
      <c r="M628">
        <f>[1]!EM_S_VAL_PETTMDEDUCTED(B628,E628)</f>
        <v>-11.9605904611127</v>
      </c>
      <c r="N628" s="7">
        <f>[1]!EM_S_VAL_PBGOODWILLDEDUCTED(B628,E628)</f>
        <v>1.8922327012556901</v>
      </c>
      <c r="O628" s="7">
        <f>[1]!EM_S_VAL_PS_TTM(B628,E628)</f>
        <v>3.2252385667498502</v>
      </c>
      <c r="P628" s="7">
        <f>[1]!EM_S_VAL_PCF_NCFTTM(B628,E628)</f>
        <v>-5.4341555349081796</v>
      </c>
      <c r="Q628" s="7">
        <f>[1]!EM_S_VAL_DIVIDENDYIELD2(B628,E628,"2019-11-29")</f>
        <v>2.923976608187134E-2</v>
      </c>
      <c r="T628"/>
      <c r="U628">
        <f>[1]!EM_S_RATIO_EPS_TTM(B628,E628,"1")</f>
        <v>2.4318962388297161E-2</v>
      </c>
      <c r="AT628" s="4" t="str">
        <f>[1]!EM_S_IPO_LISTEDDATE(B628)</f>
        <v>2012-02-28</v>
      </c>
    </row>
    <row r="629" spans="1:46">
      <c r="A629">
        <v>1208</v>
      </c>
      <c r="B629" t="str">
        <f>"002697"</f>
        <v>002697</v>
      </c>
      <c r="C629" t="s">
        <v>1157</v>
      </c>
      <c r="D629" t="str">
        <f>[1]!EM_S_INFO_INDEX_EM(B629,"1")</f>
        <v>商贸零售</v>
      </c>
      <c r="E629" s="4">
        <f t="shared" si="9"/>
        <v>43465</v>
      </c>
      <c r="F629" s="11">
        <f>[1]!EM_S_PQ_PCTCHANGE(B629,"2018-01-01","2019-12-31","3")</f>
        <v>19.7436455</v>
      </c>
      <c r="G629" s="11">
        <f>[1]!EM_S_PQ_PCTCHANGE(B629,"2018-12-31","2019-12-30","1")</f>
        <v>45.808966859999998</v>
      </c>
      <c r="H629" s="11">
        <f>[1]!EM_S_FA_YOY_OR(B629,E629)</f>
        <v>4.0506646370999997</v>
      </c>
      <c r="I629" s="11">
        <f>[1]!EM_S_FA_GROSSPROFITMARGIN(B629,E629)</f>
        <v>29.363616667900001</v>
      </c>
      <c r="J629" s="11">
        <f>[1]!EM_S_FA_NETPROFITMARGIN(B629,E629)</f>
        <v>4.4586035166000002</v>
      </c>
      <c r="K629" s="10">
        <f>[1]!EM_S_FA_ASSETSTURN(B629,E629)</f>
        <v>1.5864077124560001</v>
      </c>
      <c r="L629" s="12">
        <f>[1]!EM_HKS_VAL_MV(B629,"2019-12-31","2")</f>
        <v>10268000000</v>
      </c>
      <c r="M629">
        <f>[1]!EM_S_VAL_PETTMDEDUCTED(B629,E629)</f>
        <v>25.8682291275498</v>
      </c>
      <c r="N629" s="7">
        <f>[1]!EM_S_VAL_PBGOODWILLDEDUCTED(B629,E629)</f>
        <v>2.6700909397486501</v>
      </c>
      <c r="O629" s="7">
        <f>[1]!EM_S_VAL_PS_TTM(B629,E629)</f>
        <v>0.97099322860059001</v>
      </c>
      <c r="P629" s="7">
        <f>[1]!EM_S_VAL_PCF_NCFTTM(B629,E629)</f>
        <v>8.7713113821706905</v>
      </c>
      <c r="Q629" s="7">
        <f>[1]!EM_S_VAL_DIVIDENDYIELD2(B629,E629,"2019-11-29")</f>
        <v>0.66750629722921906</v>
      </c>
      <c r="T629"/>
      <c r="U629">
        <f>[1]!EM_S_RATIO_EPS_TTM(B629,E629,"1")</f>
        <v>0.23728670444852942</v>
      </c>
      <c r="AT629" s="4" t="str">
        <f>[1]!EM_S_IPO_LISTEDDATE(B629)</f>
        <v>2012-09-05</v>
      </c>
    </row>
    <row r="630" spans="1:46">
      <c r="A630">
        <v>1600</v>
      </c>
      <c r="B630" t="str">
        <f>"300175"</f>
        <v>300175</v>
      </c>
      <c r="C630" t="s">
        <v>3303</v>
      </c>
      <c r="D630" t="str">
        <f>[1]!EM_S_INFO_INDEX_EM(B630,"1")</f>
        <v>农林牧渔</v>
      </c>
      <c r="E630" s="4">
        <f t="shared" si="9"/>
        <v>43465</v>
      </c>
      <c r="F630" s="11">
        <f>[1]!EM_S_PQ_PCTCHANGE(B630,"2018-01-01","2019-12-31","3")</f>
        <v>-18.573737789999999</v>
      </c>
      <c r="G630" s="11">
        <f>[1]!EM_S_PQ_PCTCHANGE(B630,"2018-12-31","2019-12-30","1")</f>
        <v>45.783132530000003</v>
      </c>
      <c r="H630" s="11">
        <f>[1]!EM_S_FA_YOY_OR(B630,E630)</f>
        <v>-8.1188759310999998</v>
      </c>
      <c r="I630" s="11">
        <f>[1]!EM_S_FA_GROSSPROFITMARGIN(B630,E630)</f>
        <v>13.832487431400001</v>
      </c>
      <c r="J630" s="11">
        <f>[1]!EM_S_FA_NETPROFITMARGIN(B630,E630)</f>
        <v>16.737065532500001</v>
      </c>
      <c r="K630" s="10">
        <f>[1]!EM_S_FA_ASSETSTURN(B630,E630)</f>
        <v>0.30233778616500001</v>
      </c>
      <c r="L630" s="12">
        <f>[1]!EM_HKS_VAL_MV(B630,"2019-12-31","2")</f>
        <v>2848340000</v>
      </c>
      <c r="M630">
        <f>[1]!EM_S_VAL_PETTMDEDUCTED(B630,E630)</f>
        <v>-249.32821644791699</v>
      </c>
      <c r="N630" s="7">
        <f>[1]!EM_S_VAL_PBGOODWILLDEDUCTED(B630,E630)</f>
        <v>2.7227190799524501</v>
      </c>
      <c r="O630" s="7">
        <f>[1]!EM_S_VAL_PS_TTM(B630,E630)</f>
        <v>6.0432326975571096</v>
      </c>
      <c r="P630" s="7">
        <f>[1]!EM_S_VAL_PCF_NCFTTM(B630,E630)</f>
        <v>24.639498919652802</v>
      </c>
      <c r="Q630" s="7">
        <f>[1]!EM_S_VAL_DIVIDENDYIELD2(B630,E630,"2019-11-29")</f>
        <v>0.16366612111292964</v>
      </c>
      <c r="T630"/>
      <c r="U630">
        <f>[1]!EM_S_RATIO_EPS_TTM(B630,E630,"1")</f>
        <v>0.12421553088360238</v>
      </c>
      <c r="AT630" s="4" t="str">
        <f>[1]!EM_S_IPO_LISTEDDATE(B630)</f>
        <v>2011-02-15</v>
      </c>
    </row>
    <row r="631" spans="1:46">
      <c r="A631">
        <v>3490</v>
      </c>
      <c r="B631" t="str">
        <f>"603678"</f>
        <v>603678</v>
      </c>
      <c r="C631" t="s">
        <v>1251</v>
      </c>
      <c r="D631" t="str">
        <f>[1]!EM_S_INFO_INDEX_EM(B631,"1")</f>
        <v>电子设备</v>
      </c>
      <c r="E631" s="4">
        <f t="shared" si="9"/>
        <v>43465</v>
      </c>
      <c r="F631" s="11">
        <f>[1]!EM_S_PQ_PCTCHANGE(B631,"2018-01-01","2019-12-31","3")</f>
        <v>-16.388459619999999</v>
      </c>
      <c r="G631" s="11">
        <f>[1]!EM_S_PQ_PCTCHANGE(B631,"2018-12-31","2019-12-30","1")</f>
        <v>45.719720989999999</v>
      </c>
      <c r="H631" s="11">
        <f>[1]!EM_S_FA_YOY_OR(B631,E631)</f>
        <v>7.2142143881000003</v>
      </c>
      <c r="I631" s="11">
        <f>[1]!EM_S_FA_GROSSPROFITMARGIN(B631,E631)</f>
        <v>35.073570996100003</v>
      </c>
      <c r="J631" s="11">
        <f>[1]!EM_S_FA_NETPROFITMARGIN(B631,E631)</f>
        <v>16.58489058</v>
      </c>
      <c r="K631" s="10">
        <f>[1]!EM_S_FA_ASSETSTURN(B631,E631)</f>
        <v>0.57272005136699999</v>
      </c>
      <c r="L631" s="12">
        <f>[1]!EM_HKS_VAL_MV(B631,"2019-12-31","2")</f>
        <v>10384156893</v>
      </c>
      <c r="M631">
        <f>[1]!EM_S_VAL_PETTMDEDUCTED(B631,E631)</f>
        <v>26.116312961714399</v>
      </c>
      <c r="N631" s="7">
        <f>[1]!EM_S_VAL_PBGOODWILLDEDUCTED(B631,E631)</f>
        <v>2.5880370426648698</v>
      </c>
      <c r="O631" s="7">
        <f>[1]!EM_S_VAL_PS_TTM(B631,E631)</f>
        <v>3.55454895764607</v>
      </c>
      <c r="P631" s="7">
        <f>[1]!EM_S_VAL_PCF_NCFTTM(B631,E631)</f>
        <v>1076.2181613903001</v>
      </c>
      <c r="Q631" s="7">
        <f>[1]!EM_S_VAL_DIVIDENDYIELD2(B631,E631,"2019-11-29")</f>
        <v>0.48355899419729209</v>
      </c>
      <c r="T631"/>
      <c r="U631">
        <f>[1]!EM_S_RATIO_EPS_TTM(B631,E631,"1")</f>
        <v>0.7360308730974795</v>
      </c>
      <c r="AT631" s="4" t="str">
        <f>[1]!EM_S_IPO_LISTEDDATE(B631)</f>
        <v>2015-01-26</v>
      </c>
    </row>
    <row r="632" spans="1:46">
      <c r="A632">
        <v>3193</v>
      </c>
      <c r="B632" t="str">
        <f>"601990"</f>
        <v>601990</v>
      </c>
      <c r="C632" t="s">
        <v>378</v>
      </c>
      <c r="D632" t="str">
        <f>[1]!EM_S_INFO_INDEX_EM(B632,"1")</f>
        <v>金融</v>
      </c>
      <c r="E632" s="4">
        <f t="shared" si="9"/>
        <v>43465</v>
      </c>
      <c r="F632" s="11">
        <f>[1]!EM_S_PQ_PCTCHANGE(B632,"2018-01-01","2019-12-31","3")</f>
        <v>312.85083502999998</v>
      </c>
      <c r="G632" s="11">
        <f>[1]!EM_S_PQ_PCTCHANGE(B632,"2018-12-31","2019-12-30","1")</f>
        <v>45.632183910000002</v>
      </c>
      <c r="H632" s="11">
        <f>[1]!EM_S_FA_YOY_OR(B632,E632)</f>
        <v>-11.130611394800001</v>
      </c>
      <c r="I632" s="11">
        <f>[1]!EM_S_FA_GROSSPROFITMARGIN(B632,E632)</f>
        <v>0</v>
      </c>
      <c r="J632" s="11">
        <f>[1]!EM_S_FA_NETPROFITMARGIN(B632,E632)</f>
        <v>19.1001950962</v>
      </c>
      <c r="K632" s="10">
        <f>[1]!EM_S_FA_ASSETSTURN(B632,E632)</f>
        <v>0</v>
      </c>
      <c r="L632" s="12">
        <f>[1]!EM_HKS_VAL_MV(B632,"2019-12-31","2")</f>
        <v>42587810145.639999</v>
      </c>
      <c r="M632">
        <f>[1]!EM_S_VAL_PETTMDEDUCTED(B632,E632)</f>
        <v>75.113984464417499</v>
      </c>
      <c r="N632" s="7">
        <f>[1]!EM_S_VAL_PBGOODWILLDEDUCTED(B632,E632)</f>
        <v>2.2589199454447599</v>
      </c>
      <c r="O632" s="7">
        <f>[1]!EM_S_VAL_PS_TTM(B632,E632)</f>
        <v>18.598354442407899</v>
      </c>
      <c r="P632" s="7">
        <f>[1]!EM_S_VAL_PCF_NCFTTM(B632,E632)</f>
        <v>-22.506063673957101</v>
      </c>
      <c r="Q632" s="7">
        <f>[1]!EM_S_VAL_DIVIDENDYIELD2(B632,E632,"2019-11-29")</f>
        <v>1.0864841371998528</v>
      </c>
      <c r="T632"/>
      <c r="U632">
        <f>[1]!EM_S_RATIO_EPS_TTM(B632,E632,"1")</f>
        <v>8.4313776761881343E-2</v>
      </c>
      <c r="AT632" s="4" t="str">
        <f>[1]!EM_S_IPO_LISTEDDATE(B632)</f>
        <v>2018-06-13</v>
      </c>
    </row>
    <row r="633" spans="1:46">
      <c r="A633">
        <v>1266</v>
      </c>
      <c r="B633" t="str">
        <f>"002758"</f>
        <v>002758</v>
      </c>
      <c r="C633" t="s">
        <v>1936</v>
      </c>
      <c r="D633" t="str">
        <f>[1]!EM_S_INFO_INDEX_EM(B633,"1")</f>
        <v>医药生物</v>
      </c>
      <c r="E633" s="4">
        <f t="shared" si="9"/>
        <v>43465</v>
      </c>
      <c r="F633" s="11">
        <f>[1]!EM_S_PQ_PCTCHANGE(B633,"2018-01-01","2019-12-31","3")</f>
        <v>5.0409809599999997</v>
      </c>
      <c r="G633" s="11">
        <f>[1]!EM_S_PQ_PCTCHANGE(B633,"2018-12-31","2019-12-30","1")</f>
        <v>45.606694560000001</v>
      </c>
      <c r="H633" s="11">
        <f>[1]!EM_S_FA_YOY_OR(B633,E633)</f>
        <v>11.2184050325</v>
      </c>
      <c r="I633" s="11">
        <f>[1]!EM_S_FA_GROSSPROFITMARGIN(B633,E633)</f>
        <v>14.6719394985</v>
      </c>
      <c r="J633" s="11">
        <f>[1]!EM_S_FA_NETPROFITMARGIN(B633,E633)</f>
        <v>2.0400203993999999</v>
      </c>
      <c r="K633" s="10">
        <f>[1]!EM_S_FA_ASSETSTURN(B633,E633)</f>
        <v>1.1177374311129999</v>
      </c>
      <c r="L633" s="12">
        <f>[1]!EM_HKS_VAL_MV(B633,"2019-12-31","2")</f>
        <v>2238032353.9499998</v>
      </c>
      <c r="M633">
        <f>[1]!EM_S_VAL_PETTMDEDUCTED(B633,E633)</f>
        <v>46.882194321538002</v>
      </c>
      <c r="N633" s="7">
        <f>[1]!EM_S_VAL_PBGOODWILLDEDUCTED(B633,E633)</f>
        <v>2.5173897810599799</v>
      </c>
      <c r="O633" s="7">
        <f>[1]!EM_S_VAL_PS_TTM(B633,E633)</f>
        <v>1.0145541320803699</v>
      </c>
      <c r="P633" s="7">
        <f>[1]!EM_S_VAL_PCF_NCFTTM(B633,E633)</f>
        <v>6.41589066255339</v>
      </c>
      <c r="Q633" s="7">
        <f>[1]!EM_S_VAL_DIVIDENDYIELD2(B633,E633,"2019-11-29")</f>
        <v>0.77696157298542068</v>
      </c>
      <c r="T633"/>
      <c r="U633">
        <f>[1]!EM_S_RATIO_EPS_TTM(B633,E633,"1")</f>
        <v>0.16458439945566178</v>
      </c>
      <c r="AT633" s="4" t="str">
        <f>[1]!EM_S_IPO_LISTEDDATE(B633)</f>
        <v>2015-05-27</v>
      </c>
    </row>
    <row r="634" spans="1:46">
      <c r="A634">
        <v>3559</v>
      </c>
      <c r="B634" t="str">
        <f>"603833"</f>
        <v>603833</v>
      </c>
      <c r="C634" t="s">
        <v>2066</v>
      </c>
      <c r="D634" t="str">
        <f>[1]!EM_S_INFO_INDEX_EM(B634,"1")</f>
        <v>轻工制造</v>
      </c>
      <c r="E634" s="4">
        <f t="shared" si="9"/>
        <v>43465</v>
      </c>
      <c r="F634" s="11">
        <f>[1]!EM_S_PQ_PCTCHANGE(B634,"2018-01-01","2019-12-31","3")</f>
        <v>0.63177274000000005</v>
      </c>
      <c r="G634" s="11">
        <f>[1]!EM_S_PQ_PCTCHANGE(B634,"2018-12-31","2019-12-30","1")</f>
        <v>45.383843450000001</v>
      </c>
      <c r="H634" s="11">
        <f>[1]!EM_S_FA_YOY_OR(B634,E634)</f>
        <v>18.5290990803</v>
      </c>
      <c r="I634" s="11">
        <f>[1]!EM_S_FA_GROSSPROFITMARGIN(B634,E634)</f>
        <v>38.375203882199997</v>
      </c>
      <c r="J634" s="11">
        <f>[1]!EM_S_FA_NETPROFITMARGIN(B634,E634)</f>
        <v>13.657186036800001</v>
      </c>
      <c r="K634" s="10">
        <f>[1]!EM_S_FA_ASSETSTURN(B634,E634)</f>
        <v>1.1071580796789999</v>
      </c>
      <c r="L634" s="12">
        <f>[1]!EM_HKS_VAL_MV(B634,"2019-12-31","2")</f>
        <v>49159909305</v>
      </c>
      <c r="M634">
        <f>[1]!EM_S_VAL_PETTMDEDUCTED(B634,E634)</f>
        <v>23.204058749805199</v>
      </c>
      <c r="N634" s="7">
        <f>[1]!EM_S_VAL_PBGOODWILLDEDUCTED(B634,E634)</f>
        <v>4.4313250961140103</v>
      </c>
      <c r="O634" s="7">
        <f>[1]!EM_S_VAL_PS_TTM(B634,E634)</f>
        <v>3.0449073486627798</v>
      </c>
      <c r="P634" s="7">
        <f>[1]!EM_S_VAL_PCF_NCFTTM(B634,E634)</f>
        <v>-34.698873588649398</v>
      </c>
      <c r="Q634" s="7">
        <f>[1]!EM_S_VAL_DIVIDENDYIELD2(B634,E634,"2019-11-29")</f>
        <v>0.75761431698930259</v>
      </c>
      <c r="T634"/>
      <c r="U634">
        <f>[1]!EM_S_RATIO_EPS_TTM(B634,E634,"1")</f>
        <v>3.7399957414930736</v>
      </c>
      <c r="AT634" s="4" t="str">
        <f>[1]!EM_S_IPO_LISTEDDATE(B634)</f>
        <v>2017-03-28</v>
      </c>
    </row>
    <row r="635" spans="1:46">
      <c r="A635">
        <v>1480</v>
      </c>
      <c r="B635" t="str">
        <f>"300054"</f>
        <v>300054</v>
      </c>
      <c r="C635" t="s">
        <v>1911</v>
      </c>
      <c r="D635" t="str">
        <f>[1]!EM_S_INFO_INDEX_EM(B635,"1")</f>
        <v>基础化工</v>
      </c>
      <c r="E635" s="4">
        <f t="shared" si="9"/>
        <v>43465</v>
      </c>
      <c r="F635" s="11">
        <f>[1]!EM_S_PQ_PCTCHANGE(B635,"2018-01-01","2019-12-31","3")</f>
        <v>-12.9276333</v>
      </c>
      <c r="G635" s="11">
        <f>[1]!EM_S_PQ_PCTCHANGE(B635,"2018-12-31","2019-12-30","1")</f>
        <v>45.368916800000001</v>
      </c>
      <c r="H635" s="11">
        <f>[1]!EM_S_FA_YOY_OR(B635,E635)</f>
        <v>-21.328971875299999</v>
      </c>
      <c r="I635" s="11">
        <f>[1]!EM_S_FA_GROSSPROFITMARGIN(B635,E635)</f>
        <v>38.872689853300002</v>
      </c>
      <c r="J635" s="11">
        <f>[1]!EM_S_FA_NETPROFITMARGIN(B635,E635)</f>
        <v>20.280496639399999</v>
      </c>
      <c r="K635" s="10">
        <f>[1]!EM_S_FA_ASSETSTURN(B635,E635)</f>
        <v>0.33978505192899999</v>
      </c>
      <c r="L635" s="12">
        <f>[1]!EM_HKS_VAL_MV(B635,"2019-12-31","2")</f>
        <v>9716535684.8999996</v>
      </c>
      <c r="M635">
        <f>[1]!EM_S_VAL_PETTMDEDUCTED(B635,E635)</f>
        <v>21.171346572241902</v>
      </c>
      <c r="N635" s="7">
        <f>[1]!EM_S_VAL_PBGOODWILLDEDUCTED(B635,E635)</f>
        <v>2.1758418333544398</v>
      </c>
      <c r="O635" s="7">
        <f>[1]!EM_S_VAL_PS_TTM(B635,E635)</f>
        <v>4.2394858936654298</v>
      </c>
      <c r="P635" s="7">
        <f>[1]!EM_S_VAL_PCF_NCFTTM(B635,E635)</f>
        <v>-21.303214442886201</v>
      </c>
      <c r="Q635" s="7">
        <f>[1]!EM_S_VAL_DIVIDENDYIELD2(B635,E635,"2019-11-29")</f>
        <v>0.24937655860349131</v>
      </c>
      <c r="T635"/>
      <c r="U635">
        <f>[1]!EM_S_RATIO_EPS_TTM(B635,E635,"1")</f>
        <v>0.30530091199071624</v>
      </c>
      <c r="AT635" s="4" t="str">
        <f>[1]!EM_S_IPO_LISTEDDATE(B635)</f>
        <v>2010-02-11</v>
      </c>
    </row>
    <row r="636" spans="1:46">
      <c r="A636">
        <v>3247</v>
      </c>
      <c r="B636" t="str">
        <f>"603063"</f>
        <v>603063</v>
      </c>
      <c r="C636" t="s">
        <v>2365</v>
      </c>
      <c r="D636" t="str">
        <f>[1]!EM_S_INFO_INDEX_EM(B636,"1")</f>
        <v>电气设备</v>
      </c>
      <c r="E636" s="4">
        <f t="shared" si="9"/>
        <v>43465</v>
      </c>
      <c r="F636" s="11">
        <f>[1]!EM_S_PQ_PCTCHANGE(B636,"2018-01-01","2019-12-31","3")</f>
        <v>-47.63227156</v>
      </c>
      <c r="G636" s="11">
        <f>[1]!EM_S_PQ_PCTCHANGE(B636,"2018-12-31","2019-12-30","1")</f>
        <v>45.324881140000002</v>
      </c>
      <c r="H636" s="11">
        <f>[1]!EM_S_FA_YOY_OR(B636,E636)</f>
        <v>34.534773159399997</v>
      </c>
      <c r="I636" s="11">
        <f>[1]!EM_S_FA_GROSSPROFITMARGIN(B636,E636)</f>
        <v>44.951731470799999</v>
      </c>
      <c r="J636" s="11">
        <f>[1]!EM_S_FA_NETPROFITMARGIN(B636,E636)</f>
        <v>8.8910298247000004</v>
      </c>
      <c r="K636" s="10">
        <f>[1]!EM_S_FA_ASSETSTURN(B636,E636)</f>
        <v>0.36479663478500002</v>
      </c>
      <c r="L636" s="12">
        <f>[1]!EM_HKS_VAL_MV(B636,"2019-12-31","2")</f>
        <v>4024512600</v>
      </c>
      <c r="M636">
        <f>[1]!EM_S_VAL_PETTMDEDUCTED(B636,E636)</f>
        <v>51.074399690085102</v>
      </c>
      <c r="N636" s="7">
        <f>[1]!EM_S_VAL_PBGOODWILLDEDUCTED(B636,E636)</f>
        <v>1.3216259753159501</v>
      </c>
      <c r="O636" s="7">
        <f>[1]!EM_S_VAL_PS_TTM(B636,E636)</f>
        <v>3.8142852110681398</v>
      </c>
      <c r="P636" s="7">
        <f>[1]!EM_S_VAL_PCF_NCFTTM(B636,E636)</f>
        <v>-16.385271334672399</v>
      </c>
      <c r="Q636" s="7">
        <f>[1]!EM_S_VAL_DIVIDENDYIELD2(B636,E636,"2019-11-29")</f>
        <v>0.18359853121175032</v>
      </c>
      <c r="T636"/>
      <c r="U636">
        <f>[1]!EM_S_RATIO_EPS_TTM(B636,E636,"1")</f>
        <v>0.12791045811904761</v>
      </c>
      <c r="AT636" s="4" t="str">
        <f>[1]!EM_S_IPO_LISTEDDATE(B636)</f>
        <v>2017-07-28</v>
      </c>
    </row>
    <row r="637" spans="1:46">
      <c r="A637">
        <v>2487</v>
      </c>
      <c r="B637" t="str">
        <f>"600368"</f>
        <v>600368</v>
      </c>
      <c r="C637" t="s">
        <v>341</v>
      </c>
      <c r="D637" t="str">
        <f>[1]!EM_S_INFO_INDEX_EM(B637,"1")</f>
        <v>交通运输</v>
      </c>
      <c r="E637" s="4">
        <f t="shared" si="9"/>
        <v>43465</v>
      </c>
      <c r="F637" s="11">
        <f>[1]!EM_S_PQ_PCTCHANGE(B637,"2018-01-01","2019-12-31","3")</f>
        <v>22.236068809999999</v>
      </c>
      <c r="G637" s="11">
        <f>[1]!EM_S_PQ_PCTCHANGE(B637,"2018-12-31","2019-12-30","1")</f>
        <v>45.276872959999999</v>
      </c>
      <c r="H637" s="11">
        <f>[1]!EM_S_FA_YOY_OR(B637,E637)</f>
        <v>1.5163592004999999</v>
      </c>
      <c r="I637" s="11">
        <f>[1]!EM_S_FA_GROSSPROFITMARGIN(B637,E637)</f>
        <v>50.698546749800002</v>
      </c>
      <c r="J637" s="11">
        <f>[1]!EM_S_FA_NETPROFITMARGIN(B637,E637)</f>
        <v>22.280322304999999</v>
      </c>
      <c r="K637" s="10">
        <f>[1]!EM_S_FA_ASSETSTURN(B637,E637)</f>
        <v>0.17086502673100001</v>
      </c>
      <c r="L637" s="12">
        <f>[1]!EM_HKS_VAL_MV(B637,"2019-12-31","2")</f>
        <v>5087856947.3599997</v>
      </c>
      <c r="M637">
        <f>[1]!EM_S_VAL_PETTMDEDUCTED(B637,E637)</f>
        <v>11.583101972659099</v>
      </c>
      <c r="N637" s="7">
        <f>[1]!EM_S_VAL_PBGOODWILLDEDUCTED(B637,E637)</f>
        <v>0.96780118997070297</v>
      </c>
      <c r="O637" s="7">
        <f>[1]!EM_S_VAL_PS_TTM(B637,E637)</f>
        <v>1.8636941874797599</v>
      </c>
      <c r="P637" s="7">
        <f>[1]!EM_S_VAL_PCF_NCFTTM(B637,E637)</f>
        <v>-38.195661408229398</v>
      </c>
      <c r="Q637" s="7">
        <f>[1]!EM_S_VAL_DIVIDENDYIELD2(B637,E637,"2019-11-29")</f>
        <v>2.6573426573426571</v>
      </c>
      <c r="T637"/>
      <c r="U637">
        <f>[1]!EM_S_RATIO_EPS_TTM(B637,E637,"1")</f>
        <v>0.37679388955539245</v>
      </c>
      <c r="AT637" s="4" t="str">
        <f>[1]!EM_S_IPO_LISTEDDATE(B637)</f>
        <v>2000-12-21</v>
      </c>
    </row>
    <row r="638" spans="1:46">
      <c r="A638">
        <v>543</v>
      </c>
      <c r="B638" t="str">
        <f>"002032"</f>
        <v>002032</v>
      </c>
      <c r="C638" t="s">
        <v>124</v>
      </c>
      <c r="D638" t="str">
        <f>[1]!EM_S_INFO_INDEX_EM(B638,"1")</f>
        <v>家电</v>
      </c>
      <c r="E638" s="4">
        <f t="shared" si="9"/>
        <v>43465</v>
      </c>
      <c r="F638" s="11">
        <f>[1]!EM_S_PQ_PCTCHANGE(B638,"2018-01-01","2019-12-31","3")</f>
        <v>98.158083669999996</v>
      </c>
      <c r="G638" s="11">
        <f>[1]!EM_S_PQ_PCTCHANGE(B638,"2018-12-31","2019-12-30","1")</f>
        <v>45.276190479999997</v>
      </c>
      <c r="H638" s="11">
        <f>[1]!EM_S_FA_YOY_OR(B638,E638)</f>
        <v>22.754964515200001</v>
      </c>
      <c r="I638" s="11">
        <f>[1]!EM_S_FA_GROSSPROFITMARGIN(B638,E638)</f>
        <v>30.862383685299999</v>
      </c>
      <c r="J638" s="11">
        <f>[1]!EM_S_FA_NETPROFITMARGIN(B638,E638)</f>
        <v>9.3482520811000001</v>
      </c>
      <c r="K638" s="10">
        <f>[1]!EM_S_FA_ASSETSTURN(B638,E638)</f>
        <v>1.802717444038</v>
      </c>
      <c r="L638" s="12">
        <f>[1]!EM_HKS_VAL_MV(B638,"2019-12-31","2")</f>
        <v>63045586689.800003</v>
      </c>
      <c r="M638">
        <f>[1]!EM_S_VAL_PETTMDEDUCTED(B638,E638)</f>
        <v>31.150186377274402</v>
      </c>
      <c r="N638" s="7">
        <f>[1]!EM_S_VAL_PBGOODWILLDEDUCTED(B638,E638)</f>
        <v>7.2986024886395304</v>
      </c>
      <c r="O638" s="7">
        <f>[1]!EM_S_VAL_PS_TTM(B638,E638)</f>
        <v>2.5601244402712702</v>
      </c>
      <c r="P638" s="7">
        <f>[1]!EM_S_VAL_PCF_NCFTTM(B638,E638)</f>
        <v>-95.202524868279994</v>
      </c>
      <c r="Q638" s="7">
        <f>[1]!EM_S_VAL_DIVIDENDYIELD2(B638,E638,"2019-11-29")</f>
        <v>1.4208274312567926</v>
      </c>
      <c r="U638">
        <f>[1]!EM_S_RATIO_EPS_TTM(B638,E638,"1")</f>
        <v>2.0333463883253402</v>
      </c>
      <c r="AT638" s="4" t="str">
        <f>[1]!EM_S_IPO_LISTEDDATE(B638)</f>
        <v>2004-08-17</v>
      </c>
    </row>
    <row r="639" spans="1:46">
      <c r="A639">
        <v>3600</v>
      </c>
      <c r="B639" t="str">
        <f>"603916"</f>
        <v>603916</v>
      </c>
      <c r="C639" t="s">
        <v>1690</v>
      </c>
      <c r="D639" t="str">
        <f>[1]!EM_S_INFO_INDEX_EM(B639,"1")</f>
        <v>基础化工</v>
      </c>
      <c r="E639" s="4">
        <f t="shared" si="9"/>
        <v>43465</v>
      </c>
      <c r="F639" s="11">
        <f>[1]!EM_S_PQ_PCTCHANGE(B639,"2018-01-01","2019-12-31","3")</f>
        <v>1.35359242</v>
      </c>
      <c r="G639" s="11">
        <f>[1]!EM_S_PQ_PCTCHANGE(B639,"2018-12-31","2019-12-30","1")</f>
        <v>45.259391770000001</v>
      </c>
      <c r="H639" s="11">
        <f>[1]!EM_S_FA_YOY_OR(B639,E639)</f>
        <v>37.882703875899999</v>
      </c>
      <c r="I639" s="11">
        <f>[1]!EM_S_FA_GROSSPROFITMARGIN(B639,E639)</f>
        <v>37.382700660099999</v>
      </c>
      <c r="J639" s="11">
        <f>[1]!EM_S_FA_NETPROFITMARGIN(B639,E639)</f>
        <v>11.6435926041</v>
      </c>
      <c r="K639" s="10">
        <f>[1]!EM_S_FA_ASSETSTURN(B639,E639)</f>
        <v>0.73900948180600001</v>
      </c>
      <c r="L639" s="12">
        <f>[1]!EM_HKS_VAL_MV(B639,"2019-12-31","2")</f>
        <v>5243096800</v>
      </c>
      <c r="M639">
        <f>[1]!EM_S_VAL_PETTMDEDUCTED(B639,E639)</f>
        <v>29.089181544426602</v>
      </c>
      <c r="N639" s="7">
        <f>[1]!EM_S_VAL_PBGOODWILLDEDUCTED(B639,E639)</f>
        <v>1.65851168885691</v>
      </c>
      <c r="O639" s="7">
        <f>[1]!EM_S_VAL_PS_TTM(B639,E639)</f>
        <v>1.6463224015778699</v>
      </c>
      <c r="P639" s="7">
        <f>[1]!EM_S_VAL_PCF_NCFTTM(B639,E639)</f>
        <v>43.6083152071581</v>
      </c>
      <c r="Q639" s="7">
        <f>[1]!EM_S_VAL_DIVIDENDYIELD2(B639,E639,"2019-11-29")</f>
        <v>1.6820124750792727</v>
      </c>
      <c r="T639"/>
      <c r="U639">
        <f>[1]!EM_S_RATIO_EPS_TTM(B639,E639,"1")</f>
        <v>0.86772475846238395</v>
      </c>
      <c r="AT639" s="4" t="str">
        <f>[1]!EM_S_IPO_LISTEDDATE(B639)</f>
        <v>2017-11-10</v>
      </c>
    </row>
    <row r="640" spans="1:46">
      <c r="A640">
        <v>1148</v>
      </c>
      <c r="B640" t="str">
        <f>"002637"</f>
        <v>002637</v>
      </c>
      <c r="C640" t="s">
        <v>1466</v>
      </c>
      <c r="D640" t="str">
        <f>[1]!EM_S_INFO_INDEX_EM(B640,"1")</f>
        <v>基础化工</v>
      </c>
      <c r="E640" s="4">
        <f t="shared" si="9"/>
        <v>43465</v>
      </c>
      <c r="F640" s="11">
        <f>[1]!EM_S_PQ_PCTCHANGE(B640,"2018-01-01","2019-12-31","3")</f>
        <v>-2.0715753299999999</v>
      </c>
      <c r="G640" s="11">
        <f>[1]!EM_S_PQ_PCTCHANGE(B640,"2018-12-31","2019-12-30","1")</f>
        <v>45.23809524</v>
      </c>
      <c r="H640" s="11">
        <f>[1]!EM_S_FA_YOY_OR(B640,E640)</f>
        <v>2.2550836421999998</v>
      </c>
      <c r="I640" s="11">
        <f>[1]!EM_S_FA_GROSSPROFITMARGIN(B640,E640)</f>
        <v>13.3539371658</v>
      </c>
      <c r="J640" s="11">
        <f>[1]!EM_S_FA_NETPROFITMARGIN(B640,E640)</f>
        <v>2.9514696543999999</v>
      </c>
      <c r="K640" s="10">
        <f>[1]!EM_S_FA_ASSETSTURN(B640,E640)</f>
        <v>1.055887984573</v>
      </c>
      <c r="L640" s="12">
        <f>[1]!EM_HKS_VAL_MV(B640,"2019-12-31","2")</f>
        <v>4459274000</v>
      </c>
      <c r="M640">
        <f>[1]!EM_S_VAL_PETTMDEDUCTED(B640,E640)</f>
        <v>24.694564003286899</v>
      </c>
      <c r="N640" s="7">
        <f>[1]!EM_S_VAL_PBGOODWILLDEDUCTED(B640,E640)</f>
        <v>1.50615791375015</v>
      </c>
      <c r="O640" s="7">
        <f>[1]!EM_S_VAL_PS_TTM(B640,E640)</f>
        <v>0.462967067064321</v>
      </c>
      <c r="P640" s="7">
        <f>[1]!EM_S_VAL_PCF_NCFTTM(B640,E640)</f>
        <v>-93.899625826187602</v>
      </c>
      <c r="Q640" s="7">
        <f>[1]!EM_S_VAL_DIVIDENDYIELD2(B640,E640,"2019-11-29")</f>
        <v>1.1243790225525816</v>
      </c>
      <c r="T640"/>
      <c r="U640">
        <f>[1]!EM_S_RATIO_EPS_TTM(B640,E640,"1")</f>
        <v>0.42053458306765851</v>
      </c>
      <c r="AT640" s="4" t="str">
        <f>[1]!EM_S_IPO_LISTEDDATE(B640)</f>
        <v>2011-11-25</v>
      </c>
    </row>
    <row r="641" spans="1:46">
      <c r="A641">
        <v>129</v>
      </c>
      <c r="B641" t="str">
        <f>"000520"</f>
        <v>000520</v>
      </c>
      <c r="C641" t="s">
        <v>377</v>
      </c>
      <c r="D641" t="str">
        <f>[1]!EM_S_INFO_INDEX_EM(B641,"1")</f>
        <v>交通运输</v>
      </c>
      <c r="E641" s="4">
        <f t="shared" si="9"/>
        <v>43465</v>
      </c>
      <c r="F641" s="11">
        <f>[1]!EM_S_PQ_PCTCHANGE(B641,"2018-01-01","2019-12-31","3")</f>
        <v>4.9751243799999996</v>
      </c>
      <c r="G641" s="11">
        <f>[1]!EM_S_PQ_PCTCHANGE(B641,"2018-12-31","2019-12-30","1")</f>
        <v>45.138888889999997</v>
      </c>
      <c r="H641" s="11">
        <f>[1]!EM_S_FA_YOY_OR(B641,E641)</f>
        <v>0.97398269920000002</v>
      </c>
      <c r="I641" s="11">
        <f>[1]!EM_S_FA_GROSSPROFITMARGIN(B641,E641)</f>
        <v>19.267425820700002</v>
      </c>
      <c r="J641" s="11">
        <f>[1]!EM_S_FA_NETPROFITMARGIN(B641,E641)</f>
        <v>7.2828083790999996</v>
      </c>
      <c r="K641" s="10">
        <f>[1]!EM_S_FA_ASSETSTURN(B641,E641)</f>
        <v>1.4616023782909999</v>
      </c>
      <c r="L641" s="12">
        <f>[1]!EM_HKS_VAL_MV(B641,"2019-12-31","2")</f>
        <v>4270992180.0999999</v>
      </c>
      <c r="M641">
        <f>[1]!EM_S_VAL_PETTMDEDUCTED(B641,E641)</f>
        <v>39.896230879554501</v>
      </c>
      <c r="N641" s="7">
        <f>[1]!EM_S_VAL_PBGOODWILLDEDUCTED(B641,E641)</f>
        <v>7.7131946816682397</v>
      </c>
      <c r="O641" s="7">
        <f>[1]!EM_S_VAL_PS_TTM(B641,E641)</f>
        <v>3.3138376551661302</v>
      </c>
      <c r="P641" s="7">
        <f>[1]!EM_S_VAL_PCF_NCFTTM(B641,E641)</f>
        <v>-69.887439403850394</v>
      </c>
      <c r="Q641" s="7">
        <f>[1]!EM_S_VAL_DIVIDENDYIELD2(B641,E641,"2019-11-29")</f>
        <v>0</v>
      </c>
      <c r="T641"/>
      <c r="U641">
        <f>[1]!EM_S_RATIO_EPS_TTM(B641,E641,"1")</f>
        <v>6.0484039520238966E-2</v>
      </c>
      <c r="AT641" s="4" t="str">
        <f>[1]!EM_S_IPO_LISTEDDATE(B641)</f>
        <v>1993-10-25</v>
      </c>
    </row>
    <row r="642" spans="1:46">
      <c r="A642">
        <v>2812</v>
      </c>
      <c r="B642" t="str">
        <f>"600739"</f>
        <v>600739</v>
      </c>
      <c r="C642" t="s">
        <v>2502</v>
      </c>
      <c r="D642" t="str">
        <f>[1]!EM_S_INFO_INDEX_EM(B642,"1")</f>
        <v>商贸零售</v>
      </c>
      <c r="E642" s="4">
        <f t="shared" si="9"/>
        <v>43465</v>
      </c>
      <c r="F642" s="11">
        <f>[1]!EM_S_PQ_PCTCHANGE(B642,"2018-01-01","2019-12-31","3")</f>
        <v>-12.41912584</v>
      </c>
      <c r="G642" s="11">
        <f>[1]!EM_S_PQ_PCTCHANGE(B642,"2018-12-31","2019-12-30","1")</f>
        <v>45.124282979999997</v>
      </c>
      <c r="H642" s="11">
        <f>[1]!EM_S_FA_YOY_OR(B642,E642)</f>
        <v>37.691211813300001</v>
      </c>
      <c r="I642" s="11">
        <f>[1]!EM_S_FA_GROSSPROFITMARGIN(B642,E642)</f>
        <v>11.9982620592</v>
      </c>
      <c r="J642" s="11">
        <f>[1]!EM_S_FA_NETPROFITMARGIN(B642,E642)</f>
        <v>4.434286588</v>
      </c>
      <c r="K642" s="10">
        <f>[1]!EM_S_FA_ASSETSTURN(B642,E642)</f>
        <v>0.54065863868999997</v>
      </c>
      <c r="L642" s="12">
        <f>[1]!EM_HKS_VAL_MV(B642,"2019-12-31","2")</f>
        <v>23297480497.68</v>
      </c>
      <c r="M642">
        <f>[1]!EM_S_VAL_PETTMDEDUCTED(B642,E642)</f>
        <v>18.341316445804701</v>
      </c>
      <c r="N642" s="7">
        <f>[1]!EM_S_VAL_PBGOODWILLDEDUCTED(B642,E642)</f>
        <v>0.79268821426871805</v>
      </c>
      <c r="O642" s="7">
        <f>[1]!EM_S_VAL_PS_TTM(B642,E642)</f>
        <v>0.87096374859004499</v>
      </c>
      <c r="P642" s="7">
        <f>[1]!EM_S_VAL_PCF_NCFTTM(B642,E642)</f>
        <v>131.41602043163999</v>
      </c>
      <c r="Q642" s="7">
        <f>[1]!EM_S_VAL_DIVIDENDYIELD2(B642,E642,"2019-11-29")</f>
        <v>0</v>
      </c>
      <c r="T642"/>
      <c r="U642">
        <f>[1]!EM_S_RATIO_EPS_TTM(B642,E642,"1")</f>
        <v>0.49801915347060832</v>
      </c>
      <c r="AT642" s="4" t="str">
        <f>[1]!EM_S_IPO_LISTEDDATE(B642)</f>
        <v>1996-08-19</v>
      </c>
    </row>
    <row r="643" spans="1:46">
      <c r="A643">
        <v>525</v>
      </c>
      <c r="B643" t="str">
        <f>"002014"</f>
        <v>002014</v>
      </c>
      <c r="C643" t="s">
        <v>1110</v>
      </c>
      <c r="D643" t="str">
        <f>[1]!EM_S_INFO_INDEX_EM(B643,"1")</f>
        <v>轻工制造</v>
      </c>
      <c r="E643" s="4">
        <f t="shared" ref="E643:E706" si="10">$B$1</f>
        <v>43465</v>
      </c>
      <c r="F643" s="11">
        <f>[1]!EM_S_PQ_PCTCHANGE(B643,"2018-01-01","2019-12-31","3")</f>
        <v>32.12239537</v>
      </c>
      <c r="G643" s="11">
        <f>[1]!EM_S_PQ_PCTCHANGE(B643,"2018-12-31","2019-12-30","1")</f>
        <v>45.12195122</v>
      </c>
      <c r="H643" s="11">
        <f>[1]!EM_S_FA_YOY_OR(B643,E643)</f>
        <v>16.134750777000001</v>
      </c>
      <c r="I643" s="11">
        <f>[1]!EM_S_FA_GROSSPROFITMARGIN(B643,E643)</f>
        <v>21.951567105300001</v>
      </c>
      <c r="J643" s="11">
        <f>[1]!EM_S_FA_NETPROFITMARGIN(B643,E643)</f>
        <v>9.8866923701000005</v>
      </c>
      <c r="K643" s="10">
        <f>[1]!EM_S_FA_ASSETSTURN(B643,E643)</f>
        <v>0.94458932288300002</v>
      </c>
      <c r="L643" s="12">
        <f>[1]!EM_HKS_VAL_MV(B643,"2019-12-31","2")</f>
        <v>4895154557.2799997</v>
      </c>
      <c r="M643">
        <f>[1]!EM_S_VAL_PETTMDEDUCTED(B643,E643)</f>
        <v>16.559620504201899</v>
      </c>
      <c r="N643" s="7">
        <f>[1]!EM_S_VAL_PBGOODWILLDEDUCTED(B643,E643)</f>
        <v>1.79700251103065</v>
      </c>
      <c r="O643" s="7">
        <f>[1]!EM_S_VAL_PS_TTM(B643,E643)</f>
        <v>1.4798707290736199</v>
      </c>
      <c r="P643" s="7">
        <f>[1]!EM_S_VAL_PCF_NCFTTM(B643,E643)</f>
        <v>18.881893739073799</v>
      </c>
      <c r="Q643" s="7">
        <f>[1]!EM_S_VAL_DIVIDENDYIELD2(B643,E643,"2019-11-29")</f>
        <v>4.3050430504305037</v>
      </c>
      <c r="T643"/>
      <c r="U643">
        <f>[1]!EM_S_RATIO_EPS_TTM(B643,E643,"1")</f>
        <v>0.44741242890099098</v>
      </c>
      <c r="AT643" s="4" t="str">
        <f>[1]!EM_S_IPO_LISTEDDATE(B643)</f>
        <v>2004-07-08</v>
      </c>
    </row>
    <row r="644" spans="1:46">
      <c r="A644">
        <v>810</v>
      </c>
      <c r="B644" t="str">
        <f>"002299"</f>
        <v>002299</v>
      </c>
      <c r="C644" t="s">
        <v>1364</v>
      </c>
      <c r="D644" t="str">
        <f>[1]!EM_S_INFO_INDEX_EM(B644,"1")</f>
        <v>农林牧渔</v>
      </c>
      <c r="E644" s="4">
        <f t="shared" si="10"/>
        <v>43465</v>
      </c>
      <c r="F644" s="11">
        <f>[1]!EM_S_PQ_PCTCHANGE(B644,"2018-01-01","2019-12-31","3")</f>
        <v>73.248248480000001</v>
      </c>
      <c r="G644" s="11">
        <f>[1]!EM_S_PQ_PCTCHANGE(B644,"2018-12-31","2019-12-30","1")</f>
        <v>45.102781139999998</v>
      </c>
      <c r="H644" s="11">
        <f>[1]!EM_S_FA_YOY_OR(B644,E644)</f>
        <v>13.667308805899999</v>
      </c>
      <c r="I644" s="11">
        <f>[1]!EM_S_FA_GROSSPROFITMARGIN(B644,E644)</f>
        <v>20.526086102600001</v>
      </c>
      <c r="J644" s="11">
        <f>[1]!EM_S_FA_NETPROFITMARGIN(B644,E644)</f>
        <v>13.433800904</v>
      </c>
      <c r="K644" s="10">
        <f>[1]!EM_S_FA_ASSETSTURN(B644,E644)</f>
        <v>0.82900860250499997</v>
      </c>
      <c r="L644" s="12">
        <f>[1]!EM_HKS_VAL_MV(B644,"2019-12-31","2")</f>
        <v>29846690849.360001</v>
      </c>
      <c r="M644">
        <f>[1]!EM_S_VAL_PETTMDEDUCTED(B644,E644)</f>
        <v>24.9647596791403</v>
      </c>
      <c r="N644" s="7">
        <f>[1]!EM_S_VAL_PBGOODWILLDEDUCTED(B644,E644)</f>
        <v>2.6439453190735498</v>
      </c>
      <c r="O644" s="7">
        <f>[1]!EM_S_VAL_PS_TTM(B644,E644)</f>
        <v>1.89065179501823</v>
      </c>
      <c r="P644" s="7">
        <f>[1]!EM_S_VAL_PCF_NCFTTM(B644,E644)</f>
        <v>338.265756339218</v>
      </c>
      <c r="Q644" s="7">
        <f>[1]!EM_S_VAL_DIVIDENDYIELD2(B644,E644,"2019-11-29")</f>
        <v>4.2087542087542094</v>
      </c>
      <c r="T644"/>
      <c r="U644">
        <f>[1]!EM_S_RATIO_EPS_TTM(B644,E644,"1")</f>
        <v>1.2146097933703948</v>
      </c>
      <c r="AT644" s="4" t="str">
        <f>[1]!EM_S_IPO_LISTEDDATE(B644)</f>
        <v>2009-10-21</v>
      </c>
    </row>
    <row r="645" spans="1:46">
      <c r="A645">
        <v>638</v>
      </c>
      <c r="B645" t="str">
        <f>"002127"</f>
        <v>002127</v>
      </c>
      <c r="C645" t="s">
        <v>846</v>
      </c>
      <c r="D645" t="str">
        <f>[1]!EM_S_INFO_INDEX_EM(B645,"1")</f>
        <v>文化传媒</v>
      </c>
      <c r="E645" s="4">
        <f t="shared" si="10"/>
        <v>43465</v>
      </c>
      <c r="F645" s="11">
        <f>[1]!EM_S_PQ_PCTCHANGE(B645,"2018-01-01","2019-12-31","3")</f>
        <v>34.719535710000002</v>
      </c>
      <c r="G645" s="11">
        <f>[1]!EM_S_PQ_PCTCHANGE(B645,"2018-12-31","2019-12-30","1")</f>
        <v>45.079787230000001</v>
      </c>
      <c r="H645" s="11">
        <f>[1]!EM_S_FA_YOY_OR(B645,E645)</f>
        <v>240.12018284870001</v>
      </c>
      <c r="I645" s="11">
        <f>[1]!EM_S_FA_GROSSPROFITMARGIN(B645,E645)</f>
        <v>34.469619790300001</v>
      </c>
      <c r="J645" s="11">
        <f>[1]!EM_S_FA_NETPROFITMARGIN(B645,E645)</f>
        <v>26.4633684376</v>
      </c>
      <c r="K645" s="10">
        <f>[1]!EM_S_FA_ASSETSTURN(B645,E645)</f>
        <v>0.80118301302100003</v>
      </c>
      <c r="L645" s="12">
        <f>[1]!EM_HKS_VAL_MV(B645,"2019-12-31","2")</f>
        <v>26782636096.73</v>
      </c>
      <c r="M645">
        <f>[1]!EM_S_VAL_PETTMDEDUCTED(B645,E645)</f>
        <v>26.251479149717699</v>
      </c>
      <c r="N645" s="7">
        <f>[1]!EM_S_VAL_PBGOODWILLDEDUCTED(B645,E645)</f>
        <v>6.4801132781431603</v>
      </c>
      <c r="O645" s="7">
        <f>[1]!EM_S_VAL_PS_TTM(B645,E645)</f>
        <v>7.02150221996492</v>
      </c>
      <c r="P645" s="7">
        <f>[1]!EM_S_VAL_PCF_NCFTTM(B645,E645)</f>
        <v>-60.8982364356198</v>
      </c>
      <c r="Q645" s="7">
        <f>[1]!EM_S_VAL_DIVIDENDYIELD2(B645,E645,"2019-11-29")</f>
        <v>0</v>
      </c>
      <c r="T645"/>
      <c r="U645">
        <f>[1]!EM_S_RATIO_EPS_TTM(B645,E645,"1")</f>
        <v>0.36110755007135098</v>
      </c>
      <c r="AT645" s="4" t="str">
        <f>[1]!EM_S_IPO_LISTEDDATE(B645)</f>
        <v>2007-04-18</v>
      </c>
    </row>
    <row r="646" spans="1:46">
      <c r="A646">
        <v>3040</v>
      </c>
      <c r="B646" t="str">
        <f>"601038"</f>
        <v>601038</v>
      </c>
      <c r="C646" t="s">
        <v>2242</v>
      </c>
      <c r="D646" t="str">
        <f>[1]!EM_S_INFO_INDEX_EM(B646,"1")</f>
        <v>机械设备</v>
      </c>
      <c r="E646" s="4">
        <f t="shared" si="10"/>
        <v>43465</v>
      </c>
      <c r="F646" s="11">
        <f>[1]!EM_S_PQ_PCTCHANGE(B646,"2018-01-01","2019-12-31","3")</f>
        <v>-16.98564593</v>
      </c>
      <c r="G646" s="11">
        <f>[1]!EM_S_PQ_PCTCHANGE(B646,"2018-12-31","2019-12-30","1")</f>
        <v>45.0617284</v>
      </c>
      <c r="H646" s="11">
        <f>[1]!EM_S_FA_YOY_OR(B646,E646)</f>
        <v>-23.247538935000001</v>
      </c>
      <c r="I646" s="11">
        <f>[1]!EM_S_FA_GROSSPROFITMARGIN(B646,E646)</f>
        <v>7.9872390143000001</v>
      </c>
      <c r="J646" s="11">
        <f>[1]!EM_S_FA_NETPROFITMARGIN(B646,E646)</f>
        <v>-24.634047140900002</v>
      </c>
      <c r="K646" s="10">
        <f>[1]!EM_S_FA_ASSETSTURN(B646,E646)</f>
        <v>0.41709357089400001</v>
      </c>
      <c r="L646" s="12">
        <f>[1]!EM_HKS_VAL_MV(B646,"2019-12-31","2")</f>
        <v>6841799000</v>
      </c>
      <c r="M646">
        <f>[1]!EM_S_VAL_PETTMDEDUCTED(B646,E646)</f>
        <v>-8.4100050262753001</v>
      </c>
      <c r="N646" s="7">
        <f>[1]!EM_S_VAL_PBGOODWILLDEDUCTED(B646,E646)</f>
        <v>1.1956908798488499</v>
      </c>
      <c r="O646" s="7">
        <f>[1]!EM_S_VAL_PS_TTM(B646,E646)</f>
        <v>0.77645894088796996</v>
      </c>
      <c r="P646" s="7">
        <f>[1]!EM_S_VAL_PCF_NCFTTM(B646,E646)</f>
        <v>-5.3120953558270099</v>
      </c>
      <c r="Q646" s="7">
        <f>[1]!EM_S_VAL_DIVIDENDYIELD2(B646,E646,"2019-11-29")</f>
        <v>0</v>
      </c>
      <c r="T646"/>
      <c r="U646">
        <f>[1]!EM_S_RATIO_EPS_TTM(B646,E646,"1")</f>
        <v>-1.3187693603692245</v>
      </c>
      <c r="AT646" s="4" t="str">
        <f>[1]!EM_S_IPO_LISTEDDATE(B646)</f>
        <v>2012-08-08</v>
      </c>
    </row>
    <row r="647" spans="1:46">
      <c r="A647">
        <v>1284</v>
      </c>
      <c r="B647" t="str">
        <f>"002777"</f>
        <v>002777</v>
      </c>
      <c r="C647" t="s">
        <v>1979</v>
      </c>
      <c r="D647" t="str">
        <f>[1]!EM_S_INFO_INDEX_EM(B647,"1")</f>
        <v>信息技术</v>
      </c>
      <c r="E647" s="4">
        <f t="shared" si="10"/>
        <v>43465</v>
      </c>
      <c r="F647" s="11">
        <f>[1]!EM_S_PQ_PCTCHANGE(B647,"2018-01-01","2019-12-31","3")</f>
        <v>42.156602210000003</v>
      </c>
      <c r="G647" s="11">
        <f>[1]!EM_S_PQ_PCTCHANGE(B647,"2018-12-31","2019-12-30","1")</f>
        <v>45.038167940000001</v>
      </c>
      <c r="H647" s="11">
        <f>[1]!EM_S_FA_YOY_OR(B647,E647)</f>
        <v>25.1562480927</v>
      </c>
      <c r="I647" s="11">
        <f>[1]!EM_S_FA_GROSSPROFITMARGIN(B647,E647)</f>
        <v>42.6955294491</v>
      </c>
      <c r="J647" s="11">
        <f>[1]!EM_S_FA_NETPROFITMARGIN(B647,E647)</f>
        <v>15.329457062199999</v>
      </c>
      <c r="K647" s="10">
        <f>[1]!EM_S_FA_ASSETSTURN(B647,E647)</f>
        <v>0.531069841175</v>
      </c>
      <c r="L647" s="12">
        <f>[1]!EM_HKS_VAL_MV(B647,"2019-12-31","2")</f>
        <v>8164620791.6000004</v>
      </c>
      <c r="M647">
        <f>[1]!EM_S_VAL_PETTMDEDUCTED(B647,E647)</f>
        <v>42.951717340348701</v>
      </c>
      <c r="N647" s="7">
        <f>[1]!EM_S_VAL_PBGOODWILLDEDUCTED(B647,E647)</f>
        <v>4.1317746368697303</v>
      </c>
      <c r="O647" s="7">
        <f>[1]!EM_S_VAL_PS_TTM(B647,E647)</f>
        <v>5.3569821069605696</v>
      </c>
      <c r="P647" s="7">
        <f>[1]!EM_S_VAL_PCF_NCFTTM(B647,E647)</f>
        <v>19.661059687013399</v>
      </c>
      <c r="Q647" s="7">
        <f>[1]!EM_S_VAL_DIVIDENDYIELD2(B647,E647,"2019-11-29")</f>
        <v>0.60455106199970721</v>
      </c>
      <c r="T647"/>
      <c r="U647">
        <f>[1]!EM_S_RATIO_EPS_TTM(B647,E647,"1")</f>
        <v>0.68793549612951377</v>
      </c>
      <c r="AT647" s="4" t="str">
        <f>[1]!EM_S_IPO_LISTEDDATE(B647)</f>
        <v>2015-12-31</v>
      </c>
    </row>
    <row r="648" spans="1:46">
      <c r="A648">
        <v>2138</v>
      </c>
      <c r="B648" t="str">
        <f>"300723"</f>
        <v>300723</v>
      </c>
      <c r="C648" t="s">
        <v>633</v>
      </c>
      <c r="D648" t="str">
        <f>[1]!EM_S_INFO_INDEX_EM(B648,"1")</f>
        <v>医药生物</v>
      </c>
      <c r="E648" s="4">
        <f t="shared" si="10"/>
        <v>43465</v>
      </c>
      <c r="F648" s="11">
        <f>[1]!EM_S_PQ_PCTCHANGE(B648,"2018-01-01","2019-12-31","3")</f>
        <v>7.7479503899999997</v>
      </c>
      <c r="G648" s="11">
        <f>[1]!EM_S_PQ_PCTCHANGE(B648,"2018-12-31","2019-12-30","1")</f>
        <v>44.923192210000003</v>
      </c>
      <c r="H648" s="11">
        <f>[1]!EM_S_FA_YOY_OR(B648,E648)</f>
        <v>3.574584046</v>
      </c>
      <c r="I648" s="11">
        <f>[1]!EM_S_FA_GROSSPROFITMARGIN(B648,E648)</f>
        <v>72.475855956700002</v>
      </c>
      <c r="J648" s="11">
        <f>[1]!EM_S_FA_NETPROFITMARGIN(B648,E648)</f>
        <v>14.528022851899999</v>
      </c>
      <c r="K648" s="10">
        <f>[1]!EM_S_FA_ASSETSTURN(B648,E648)</f>
        <v>0.87626723311200005</v>
      </c>
      <c r="L648" s="12">
        <f>[1]!EM_HKS_VAL_MV(B648,"2019-12-31","2")</f>
        <v>6181437808</v>
      </c>
      <c r="M648">
        <f>[1]!EM_S_VAL_PETTMDEDUCTED(B648,E648)</f>
        <v>26.246831770078099</v>
      </c>
      <c r="N648" s="7">
        <f>[1]!EM_S_VAL_PBGOODWILLDEDUCTED(B648,E648)</f>
        <v>3.3198069650158999</v>
      </c>
      <c r="O648" s="7">
        <f>[1]!EM_S_VAL_PS_TTM(B648,E648)</f>
        <v>3.0229165517707401</v>
      </c>
      <c r="P648" s="7">
        <f>[1]!EM_S_VAL_PCF_NCFTTM(B648,E648)</f>
        <v>11.4426480510636</v>
      </c>
      <c r="Q648" s="7">
        <f>[1]!EM_S_VAL_DIVIDENDYIELD2(B648,E648,"2019-11-29")</f>
        <v>0.6300136453001538</v>
      </c>
      <c r="T648"/>
      <c r="U648">
        <f>[1]!EM_S_RATIO_EPS_TTM(B648,E648,"1")</f>
        <v>1.2895465321946356</v>
      </c>
      <c r="AT648" s="4" t="str">
        <f>[1]!EM_S_IPO_LISTEDDATE(B648)</f>
        <v>2017-11-16</v>
      </c>
    </row>
    <row r="649" spans="1:46">
      <c r="A649">
        <v>3063</v>
      </c>
      <c r="B649" t="str">
        <f>"601139"</f>
        <v>601139</v>
      </c>
      <c r="C649" t="s">
        <v>919</v>
      </c>
      <c r="D649" t="str">
        <f>[1]!EM_S_INFO_INDEX_EM(B649,"1")</f>
        <v>公用事业</v>
      </c>
      <c r="E649" s="4">
        <f t="shared" si="10"/>
        <v>43465</v>
      </c>
      <c r="F649" s="11">
        <f>[1]!EM_S_PQ_PCTCHANGE(B649,"2018-01-01","2019-12-31","3")</f>
        <v>31.711399199999999</v>
      </c>
      <c r="G649" s="11">
        <f>[1]!EM_S_PQ_PCTCHANGE(B649,"2018-12-31","2019-12-30","1")</f>
        <v>44.87895717</v>
      </c>
      <c r="H649" s="11">
        <f>[1]!EM_S_FA_YOY_OR(B649,E649)</f>
        <v>15.2151748271</v>
      </c>
      <c r="I649" s="11">
        <f>[1]!EM_S_FA_GROSSPROFITMARGIN(B649,E649)</f>
        <v>20.9549028526</v>
      </c>
      <c r="J649" s="11">
        <f>[1]!EM_S_FA_NETPROFITMARGIN(B649,E649)</f>
        <v>8.4350864149000007</v>
      </c>
      <c r="K649" s="10">
        <f>[1]!EM_S_FA_ASSETSTURN(B649,E649)</f>
        <v>0.66199557470299997</v>
      </c>
      <c r="L649" s="12">
        <f>[1]!EM_HKS_VAL_MV(B649,"2019-12-31","2")</f>
        <v>22525089869.52</v>
      </c>
      <c r="M649">
        <f>[1]!EM_S_VAL_PETTMDEDUCTED(B649,E649)</f>
        <v>17.240049058509101</v>
      </c>
      <c r="N649" s="7">
        <f>[1]!EM_S_VAL_PBGOODWILLDEDUCTED(B649,E649)</f>
        <v>1.8045979026373</v>
      </c>
      <c r="O649" s="7">
        <f>[1]!EM_S_VAL_PS_TTM(B649,E649)</f>
        <v>1.2160749617548301</v>
      </c>
      <c r="P649" s="7">
        <f>[1]!EM_S_VAL_PCF_NCFTTM(B649,E649)</f>
        <v>72.194484397943896</v>
      </c>
      <c r="Q649" s="7">
        <f>[1]!EM_S_VAL_DIVIDENDYIELD2(B649,E649,"2019-11-29")</f>
        <v>2.1429184393336875</v>
      </c>
      <c r="T649"/>
      <c r="U649">
        <f>[1]!EM_S_RATIO_EPS_TTM(B649,E649,"1")</f>
        <v>0.35832407682149608</v>
      </c>
      <c r="AT649" s="4" t="str">
        <f>[1]!EM_S_IPO_LISTEDDATE(B649)</f>
        <v>2009-12-25</v>
      </c>
    </row>
    <row r="650" spans="1:46">
      <c r="A650">
        <v>1764</v>
      </c>
      <c r="B650" t="str">
        <f>"300339"</f>
        <v>300339</v>
      </c>
      <c r="C650" t="s">
        <v>2168</v>
      </c>
      <c r="D650" t="str">
        <f>[1]!EM_S_INFO_INDEX_EM(B650,"1")</f>
        <v>信息技术</v>
      </c>
      <c r="E650" s="4">
        <f t="shared" si="10"/>
        <v>43465</v>
      </c>
      <c r="F650" s="11">
        <f>[1]!EM_S_PQ_PCTCHANGE(B650,"2018-01-01","2019-12-31","3")</f>
        <v>33.349200789999998</v>
      </c>
      <c r="G650" s="11">
        <f>[1]!EM_S_PQ_PCTCHANGE(B650,"2018-12-31","2019-12-30","1")</f>
        <v>44.846491229999998</v>
      </c>
      <c r="H650" s="11">
        <f>[1]!EM_S_FA_YOY_OR(B650,E650)</f>
        <v>26.411057767100001</v>
      </c>
      <c r="I650" s="11">
        <f>[1]!EM_S_FA_GROSSPROFITMARGIN(B650,E650)</f>
        <v>40.972765322199997</v>
      </c>
      <c r="J650" s="11">
        <f>[1]!EM_S_FA_NETPROFITMARGIN(B650,E650)</f>
        <v>15.110590417099999</v>
      </c>
      <c r="K650" s="10">
        <f>[1]!EM_S_FA_ASSETSTURN(B650,E650)</f>
        <v>0.34532449682400002</v>
      </c>
      <c r="L650" s="12">
        <f>[1]!EM_HKS_VAL_MV(B650,"2019-12-31","2")</f>
        <v>11046218364.67</v>
      </c>
      <c r="M650">
        <f>[1]!EM_S_VAL_PETTMDEDUCTED(B650,E650)</f>
        <v>25.600248277206301</v>
      </c>
      <c r="N650" s="7">
        <f>[1]!EM_S_VAL_PBGOODWILLDEDUCTED(B650,E650)</f>
        <v>3.6540660763639901</v>
      </c>
      <c r="O650" s="7">
        <f>[1]!EM_S_VAL_PS_TTM(B650,E650)</f>
        <v>3.5335539158210101</v>
      </c>
      <c r="P650" s="7">
        <f>[1]!EM_S_VAL_PCF_NCFTTM(B650,E650)</f>
        <v>21.5548334672038</v>
      </c>
      <c r="Q650" s="7">
        <f>[1]!EM_S_VAL_DIVIDENDYIELD2(B650,E650,"2019-11-29")</f>
        <v>0</v>
      </c>
      <c r="T650"/>
      <c r="U650">
        <f>[1]!EM_S_RATIO_EPS_TTM(B650,E650,"1")</f>
        <v>0.39474339385593571</v>
      </c>
      <c r="AT650" s="4" t="str">
        <f>[1]!EM_S_IPO_LISTEDDATE(B650)</f>
        <v>2012-07-18</v>
      </c>
    </row>
    <row r="651" spans="1:46">
      <c r="A651">
        <v>2674</v>
      </c>
      <c r="B651" t="str">
        <f>"600601"</f>
        <v>600601</v>
      </c>
      <c r="C651" t="s">
        <v>3543</v>
      </c>
      <c r="D651" t="str">
        <f>[1]!EM_S_INFO_INDEX_EM(B651,"1")</f>
        <v>信息技术</v>
      </c>
      <c r="E651" s="4">
        <f t="shared" si="10"/>
        <v>43465</v>
      </c>
      <c r="F651" s="11">
        <f>[1]!EM_S_PQ_PCTCHANGE(B651,"2018-01-01","2019-12-31","3")</f>
        <v>0.86764459999999999</v>
      </c>
      <c r="G651" s="11">
        <f>[1]!EM_S_PQ_PCTCHANGE(B651,"2018-12-31","2019-12-30","1")</f>
        <v>44.841269840000002</v>
      </c>
      <c r="H651" s="11">
        <f>[1]!EM_S_FA_YOY_OR(B651,E651)</f>
        <v>11.811590346299999</v>
      </c>
      <c r="I651" s="11">
        <f>[1]!EM_S_FA_GROSSPROFITMARGIN(B651,E651)</f>
        <v>16.723321248000001</v>
      </c>
      <c r="J651" s="11">
        <f>[1]!EM_S_FA_NETPROFITMARGIN(B651,E651)</f>
        <v>0.98614738589999995</v>
      </c>
      <c r="K651" s="10">
        <f>[1]!EM_S_FA_ASSETSTURN(B651,E651)</f>
        <v>0.51446131457499999</v>
      </c>
      <c r="L651" s="12">
        <f>[1]!EM_HKS_VAL_MV(B651,"2019-12-31","2")</f>
        <v>8033301806.6400003</v>
      </c>
      <c r="M651">
        <f>[1]!EM_S_VAL_PETTMDEDUCTED(B651,E651)</f>
        <v>-5.9183868604727401</v>
      </c>
      <c r="N651" s="7">
        <f>[1]!EM_S_VAL_PBGOODWILLDEDUCTED(B651,E651)</f>
        <v>1.75805647985858</v>
      </c>
      <c r="O651" s="7">
        <f>[1]!EM_S_VAL_PS_TTM(B651,E651)</f>
        <v>1.09138083066206</v>
      </c>
      <c r="P651" s="7">
        <f>[1]!EM_S_VAL_PCF_NCFTTM(B651,E651)</f>
        <v>12.857611692298001</v>
      </c>
      <c r="Q651" s="7">
        <f>[1]!EM_S_VAL_DIVIDENDYIELD2(B651,E651,"2019-11-29")</f>
        <v>0.3048780487804878</v>
      </c>
      <c r="T651"/>
      <c r="U651">
        <f>[1]!EM_S_RATIO_EPS_TTM(B651,E651,"1")</f>
        <v>2.5095891787081034E-2</v>
      </c>
      <c r="AT651" s="4" t="str">
        <f>[1]!EM_S_IPO_LISTEDDATE(B651)</f>
        <v>1990-12-19</v>
      </c>
    </row>
    <row r="652" spans="1:46">
      <c r="A652">
        <v>1319</v>
      </c>
      <c r="B652" t="str">
        <f>"002816"</f>
        <v>002816</v>
      </c>
      <c r="C652" t="s">
        <v>3317</v>
      </c>
      <c r="D652" t="str">
        <f>[1]!EM_S_INFO_INDEX_EM(B652,"1")</f>
        <v>机械设备</v>
      </c>
      <c r="E652" s="4">
        <f t="shared" si="10"/>
        <v>43465</v>
      </c>
      <c r="F652" s="11">
        <f>[1]!EM_S_PQ_PCTCHANGE(B652,"2018-01-01","2019-12-31","3")</f>
        <v>1.2009504600000001</v>
      </c>
      <c r="G652" s="11">
        <f>[1]!EM_S_PQ_PCTCHANGE(B652,"2018-12-31","2019-12-30","1")</f>
        <v>44.763175449999999</v>
      </c>
      <c r="H652" s="11">
        <f>[1]!EM_S_FA_YOY_OR(B652,E652)</f>
        <v>-0.86486058960000001</v>
      </c>
      <c r="I652" s="11">
        <f>[1]!EM_S_FA_GROSSPROFITMARGIN(B652,E652)</f>
        <v>29.419815241599999</v>
      </c>
      <c r="J652" s="11">
        <f>[1]!EM_S_FA_NETPROFITMARGIN(B652,E652)</f>
        <v>1.8666128662999999</v>
      </c>
      <c r="K652" s="10">
        <f>[1]!EM_S_FA_ASSETSTURN(B652,E652)</f>
        <v>0.50313119931399997</v>
      </c>
      <c r="L652" s="12">
        <f>[1]!EM_HKS_VAL_MV(B652,"2019-12-31","2")</f>
        <v>2160000000</v>
      </c>
      <c r="M652">
        <f>[1]!EM_S_VAL_PETTMDEDUCTED(B652,E652)</f>
        <v>154.53854186749601</v>
      </c>
      <c r="N652" s="7">
        <f>[1]!EM_S_VAL_PBGOODWILLDEDUCTED(B652,E652)</f>
        <v>2.8426362240722201</v>
      </c>
      <c r="O652" s="7">
        <f>[1]!EM_S_VAL_PS_TTM(B652,E652)</f>
        <v>4.67593308195754</v>
      </c>
      <c r="P652" s="7">
        <f>[1]!EM_S_VAL_PCF_NCFTTM(B652,E652)</f>
        <v>40.814498988363397</v>
      </c>
      <c r="Q652" s="7">
        <f>[1]!EM_S_VAL_DIVIDENDYIELD2(B652,E652,"2019-11-29")</f>
        <v>4.7147571900047147E-2</v>
      </c>
      <c r="T652"/>
      <c r="U652">
        <f>[1]!EM_S_RATIO_EPS_TTM(B652,E652,"1")</f>
        <v>6.4333542800000004E-2</v>
      </c>
      <c r="AT652" s="4" t="str">
        <f>[1]!EM_S_IPO_LISTEDDATE(B652)</f>
        <v>2016-10-25</v>
      </c>
    </row>
    <row r="653" spans="1:46">
      <c r="A653">
        <v>828</v>
      </c>
      <c r="B653" t="str">
        <f>"002317"</f>
        <v>002317</v>
      </c>
      <c r="C653" t="s">
        <v>706</v>
      </c>
      <c r="D653" t="str">
        <f>[1]!EM_S_INFO_INDEX_EM(B653,"1")</f>
        <v>医药生物</v>
      </c>
      <c r="E653" s="4">
        <f t="shared" si="10"/>
        <v>43465</v>
      </c>
      <c r="F653" s="11">
        <f>[1]!EM_S_PQ_PCTCHANGE(B653,"2018-01-01","2019-12-31","3")</f>
        <v>4.0406214599999997</v>
      </c>
      <c r="G653" s="11">
        <f>[1]!EM_S_PQ_PCTCHANGE(B653,"2018-12-31","2019-12-30","1")</f>
        <v>44.670658680000003</v>
      </c>
      <c r="H653" s="11">
        <f>[1]!EM_S_FA_YOY_OR(B653,E653)</f>
        <v>20.225250258500001</v>
      </c>
      <c r="I653" s="11">
        <f>[1]!EM_S_FA_GROSSPROFITMARGIN(B653,E653)</f>
        <v>61.721712755399999</v>
      </c>
      <c r="J653" s="11">
        <f>[1]!EM_S_FA_NETPROFITMARGIN(B653,E653)</f>
        <v>18.229918445300001</v>
      </c>
      <c r="K653" s="10">
        <f>[1]!EM_S_FA_ASSETSTURN(B653,E653)</f>
        <v>0.46760507697699999</v>
      </c>
      <c r="L653" s="12">
        <f>[1]!EM_HKS_VAL_MV(B653,"2019-12-31","2")</f>
        <v>10343655665.200001</v>
      </c>
      <c r="M653">
        <f>[1]!EM_S_VAL_PETTMDEDUCTED(B653,E653)</f>
        <v>17.404558428485402</v>
      </c>
      <c r="N653" s="7">
        <f>[1]!EM_S_VAL_PBGOODWILLDEDUCTED(B653,E653)</f>
        <v>2.66503934504256</v>
      </c>
      <c r="O653" s="7">
        <f>[1]!EM_S_VAL_PS_TTM(B653,E653)</f>
        <v>2.9488987138610501</v>
      </c>
      <c r="P653" s="7">
        <f>[1]!EM_S_VAL_PCF_NCFTTM(B653,E653)</f>
        <v>15.4551325810433</v>
      </c>
      <c r="Q653" s="7">
        <f>[1]!EM_S_VAL_DIVIDENDYIELD2(B653,E653,"2019-11-29")</f>
        <v>2.0304568527918785</v>
      </c>
      <c r="T653"/>
      <c r="U653">
        <f>[1]!EM_S_RATIO_EPS_TTM(B653,E653,"1")</f>
        <v>0.53489151040779759</v>
      </c>
      <c r="AT653" s="4" t="str">
        <f>[1]!EM_S_IPO_LISTEDDATE(B653)</f>
        <v>2009-12-11</v>
      </c>
    </row>
    <row r="654" spans="1:46">
      <c r="A654">
        <v>2455</v>
      </c>
      <c r="B654" t="str">
        <f>"600330"</f>
        <v>600330</v>
      </c>
      <c r="C654" t="s">
        <v>1243</v>
      </c>
      <c r="D654" t="str">
        <f>[1]!EM_S_INFO_INDEX_EM(B654,"1")</f>
        <v>有色金属</v>
      </c>
      <c r="E654" s="4">
        <f t="shared" si="10"/>
        <v>43465</v>
      </c>
      <c r="F654" s="11">
        <f>[1]!EM_S_PQ_PCTCHANGE(B654,"2018-01-01","2019-12-31","3")</f>
        <v>-11.62797028</v>
      </c>
      <c r="G654" s="11">
        <f>[1]!EM_S_PQ_PCTCHANGE(B654,"2018-12-31","2019-12-30","1")</f>
        <v>44.646098000000002</v>
      </c>
      <c r="H654" s="11">
        <f>[1]!EM_S_FA_YOY_OR(B654,E654)</f>
        <v>19.7698450617</v>
      </c>
      <c r="I654" s="11">
        <f>[1]!EM_S_FA_GROSSPROFITMARGIN(B654,E654)</f>
        <v>29.075908994900001</v>
      </c>
      <c r="J654" s="11">
        <f>[1]!EM_S_FA_NETPROFITMARGIN(B654,E654)</f>
        <v>11.127860550899999</v>
      </c>
      <c r="K654" s="10">
        <f>[1]!EM_S_FA_ASSETSTURN(B654,E654)</f>
        <v>0.458138770862</v>
      </c>
      <c r="L654" s="12">
        <f>[1]!EM_HKS_VAL_MV(B654,"2019-12-31","2")</f>
        <v>8012388469.1999998</v>
      </c>
      <c r="M654">
        <f>[1]!EM_S_VAL_PETTMDEDUCTED(B654,E654)</f>
        <v>30.842048268070101</v>
      </c>
      <c r="N654" s="7">
        <f>[1]!EM_S_VAL_PBGOODWILLDEDUCTED(B654,E654)</f>
        <v>1.4727470078945499</v>
      </c>
      <c r="O654" s="7">
        <f>[1]!EM_S_VAL_PS_TTM(B654,E654)</f>
        <v>2.1784769425364598</v>
      </c>
      <c r="P654" s="7">
        <f>[1]!EM_S_VAL_PCF_NCFTTM(B654,E654)</f>
        <v>32.6339931388653</v>
      </c>
      <c r="Q654" s="7">
        <f>[1]!EM_S_VAL_DIVIDENDYIELD2(B654,E654,"2019-11-29")</f>
        <v>0.85034013605442182</v>
      </c>
      <c r="T654"/>
      <c r="U654">
        <f>[1]!EM_S_RATIO_EPS_TTM(B654,E654,"1")</f>
        <v>0.28452360024461204</v>
      </c>
      <c r="AT654" s="4" t="str">
        <f>[1]!EM_S_IPO_LISTEDDATE(B654)</f>
        <v>2001-01-18</v>
      </c>
    </row>
    <row r="655" spans="1:46">
      <c r="A655">
        <v>2340</v>
      </c>
      <c r="B655" t="str">
        <f>"600203"</f>
        <v>600203</v>
      </c>
      <c r="C655" t="s">
        <v>1719</v>
      </c>
      <c r="D655" t="str">
        <f>[1]!EM_S_INFO_INDEX_EM(B655,"1")</f>
        <v>电子设备</v>
      </c>
      <c r="E655" s="4">
        <f t="shared" si="10"/>
        <v>43465</v>
      </c>
      <c r="F655" s="11">
        <f>[1]!EM_S_PQ_PCTCHANGE(B655,"2018-01-01","2019-12-31","3")</f>
        <v>-27.927927929999999</v>
      </c>
      <c r="G655" s="11">
        <f>[1]!EM_S_PQ_PCTCHANGE(B655,"2018-12-31","2019-12-30","1")</f>
        <v>44.597701149999999</v>
      </c>
      <c r="H655" s="11">
        <f>[1]!EM_S_FA_YOY_OR(B655,E655)</f>
        <v>33.964609721499997</v>
      </c>
      <c r="I655" s="11">
        <f>[1]!EM_S_FA_GROSSPROFITMARGIN(B655,E655)</f>
        <v>6.8234863739999998</v>
      </c>
      <c r="J655" s="11">
        <f>[1]!EM_S_FA_NETPROFITMARGIN(B655,E655)</f>
        <v>0.26540650929999998</v>
      </c>
      <c r="K655" s="10">
        <f>[1]!EM_S_FA_ASSETSTURN(B655,E655)</f>
        <v>1.693204746938</v>
      </c>
      <c r="L655" s="12">
        <f>[1]!EM_HKS_VAL_MV(B655,"2019-12-31","2")</f>
        <v>2921261568</v>
      </c>
      <c r="M655">
        <f>[1]!EM_S_VAL_PETTMDEDUCTED(B655,E655)</f>
        <v>-8.9058097856351601</v>
      </c>
      <c r="N655" s="7">
        <f>[1]!EM_S_VAL_PBGOODWILLDEDUCTED(B655,E655)</f>
        <v>1.33043599146242</v>
      </c>
      <c r="O655" s="7">
        <f>[1]!EM_S_VAL_PS_TTM(B655,E655)</f>
        <v>0.20928233345585601</v>
      </c>
      <c r="P655" s="7">
        <f>[1]!EM_S_VAL_PCF_NCFTTM(B655,E655)</f>
        <v>-22.2356017674411</v>
      </c>
      <c r="Q655" s="7">
        <f>[1]!EM_S_VAL_DIVIDENDYIELD2(B655,E655,"2019-11-29")</f>
        <v>0</v>
      </c>
      <c r="T655"/>
      <c r="U655">
        <f>[1]!EM_S_RATIO_EPS_TTM(B655,E655,"1")</f>
        <v>9.1260792246865313E-2</v>
      </c>
      <c r="AT655" s="4" t="str">
        <f>[1]!EM_S_IPO_LISTEDDATE(B655)</f>
        <v>1999-05-14</v>
      </c>
    </row>
    <row r="656" spans="1:46">
      <c r="A656">
        <v>554</v>
      </c>
      <c r="B656" t="str">
        <f>"002043"</f>
        <v>002043</v>
      </c>
      <c r="C656" t="s">
        <v>892</v>
      </c>
      <c r="D656" t="str">
        <f>[1]!EM_S_INFO_INDEX_EM(B656,"1")</f>
        <v>建材</v>
      </c>
      <c r="E656" s="4">
        <f t="shared" si="10"/>
        <v>43465</v>
      </c>
      <c r="F656" s="11">
        <f>[1]!EM_S_PQ_PCTCHANGE(B656,"2018-01-01","2019-12-31","3")</f>
        <v>-35.694095560000001</v>
      </c>
      <c r="G656" s="11">
        <f>[1]!EM_S_PQ_PCTCHANGE(B656,"2018-12-31","2019-12-30","1")</f>
        <v>44.57593688</v>
      </c>
      <c r="H656" s="11">
        <f>[1]!EM_S_FA_YOY_OR(B656,E656)</f>
        <v>4.5368510960000004</v>
      </c>
      <c r="I656" s="11">
        <f>[1]!EM_S_FA_GROSSPROFITMARGIN(B656,E656)</f>
        <v>16.682784529999999</v>
      </c>
      <c r="J656" s="11">
        <f>[1]!EM_S_FA_NETPROFITMARGIN(B656,E656)</f>
        <v>7.6581716444000003</v>
      </c>
      <c r="K656" s="10">
        <f>[1]!EM_S_FA_ASSETSTURN(B656,E656)</f>
        <v>1.523743274109</v>
      </c>
      <c r="L656" s="12">
        <f>[1]!EM_HKS_VAL_MV(B656,"2019-12-31","2")</f>
        <v>5694456614.6999998</v>
      </c>
      <c r="M656">
        <f>[1]!EM_S_VAL_PETTMDEDUCTED(B656,E656)</f>
        <v>14.009176930999599</v>
      </c>
      <c r="N656" s="7">
        <f>[1]!EM_S_VAL_PBGOODWILLDEDUCTED(B656,E656)</f>
        <v>3.33209001383808</v>
      </c>
      <c r="O656" s="7">
        <f>[1]!EM_S_VAL_PS_TTM(B656,E656)</f>
        <v>0.95495356863224801</v>
      </c>
      <c r="P656" s="7">
        <f>[1]!EM_S_VAL_PCF_NCFTTM(B656,E656)</f>
        <v>21.299236859562299</v>
      </c>
      <c r="Q656" s="7">
        <f>[1]!EM_S_VAL_DIVIDENDYIELD2(B656,E656,"2019-11-29")</f>
        <v>3.6603221083455346</v>
      </c>
      <c r="T656"/>
      <c r="U656">
        <f>[1]!EM_S_RATIO_EPS_TTM(B656,E656,"1")</f>
        <v>0.41064243107022236</v>
      </c>
      <c r="AT656" s="4" t="str">
        <f>[1]!EM_S_IPO_LISTEDDATE(B656)</f>
        <v>2005-05-10</v>
      </c>
    </row>
    <row r="657" spans="1:46">
      <c r="A657">
        <v>1304</v>
      </c>
      <c r="B657" t="str">
        <f>"002799"</f>
        <v>002799</v>
      </c>
      <c r="C657" t="s">
        <v>1913</v>
      </c>
      <c r="D657" t="str">
        <f>[1]!EM_S_INFO_INDEX_EM(B657,"1")</f>
        <v>轻工制造</v>
      </c>
      <c r="E657" s="4">
        <f t="shared" si="10"/>
        <v>43465</v>
      </c>
      <c r="F657" s="11">
        <f>[1]!EM_S_PQ_PCTCHANGE(B657,"2018-01-01","2019-12-31","3")</f>
        <v>-18.048762490000001</v>
      </c>
      <c r="G657" s="11">
        <f>[1]!EM_S_PQ_PCTCHANGE(B657,"2018-12-31","2019-12-30","1")</f>
        <v>44.555278469999998</v>
      </c>
      <c r="H657" s="11">
        <f>[1]!EM_S_FA_YOY_OR(B657,E657)</f>
        <v>26.6795454433</v>
      </c>
      <c r="I657" s="11">
        <f>[1]!EM_S_FA_GROSSPROFITMARGIN(B657,E657)</f>
        <v>20.720139403299999</v>
      </c>
      <c r="J657" s="11">
        <f>[1]!EM_S_FA_NETPROFITMARGIN(B657,E657)</f>
        <v>5.5935239769000002</v>
      </c>
      <c r="K657" s="10">
        <f>[1]!EM_S_FA_ASSETSTURN(B657,E657)</f>
        <v>0.63310467560899997</v>
      </c>
      <c r="L657" s="12">
        <f>[1]!EM_HKS_VAL_MV(B657,"2019-12-31","2")</f>
        <v>2712000000</v>
      </c>
      <c r="M657">
        <f>[1]!EM_S_VAL_PETTMDEDUCTED(B657,E657)</f>
        <v>84.9949870573666</v>
      </c>
      <c r="N657" s="7">
        <f>[1]!EM_S_VAL_PBGOODWILLDEDUCTED(B657,E657)</f>
        <v>4.14428260055612</v>
      </c>
      <c r="O657" s="7">
        <f>[1]!EM_S_VAL_PS_TTM(B657,E657)</f>
        <v>3.7641086542733899</v>
      </c>
      <c r="P657" s="7">
        <f>[1]!EM_S_VAL_PCF_NCFTTM(B657,E657)</f>
        <v>31.2775395041221</v>
      </c>
      <c r="Q657" s="7">
        <f>[1]!EM_S_VAL_DIVIDENDYIELD2(B657,E657,"2019-11-29")</f>
        <v>0.21565003080714723</v>
      </c>
      <c r="T657"/>
      <c r="U657">
        <f>[1]!EM_S_RATIO_EPS_TTM(B657,E657,"1")</f>
        <v>0.18741513140000002</v>
      </c>
      <c r="AT657" s="4" t="str">
        <f>[1]!EM_S_IPO_LISTEDDATE(B657)</f>
        <v>2016-06-08</v>
      </c>
    </row>
    <row r="658" spans="1:46">
      <c r="A658">
        <v>486</v>
      </c>
      <c r="B658" t="str">
        <f>"000973"</f>
        <v>000973</v>
      </c>
      <c r="C658" t="s">
        <v>2521</v>
      </c>
      <c r="D658" t="str">
        <f>[1]!EM_S_INFO_INDEX_EM(B658,"1")</f>
        <v>基础化工</v>
      </c>
      <c r="E658" s="4">
        <f t="shared" si="10"/>
        <v>43465</v>
      </c>
      <c r="F658" s="11">
        <f>[1]!EM_S_PQ_PCTCHANGE(B658,"2018-01-01","2019-12-31","3")</f>
        <v>-21.990768599999999</v>
      </c>
      <c r="G658" s="11">
        <f>[1]!EM_S_PQ_PCTCHANGE(B658,"2018-12-31","2019-12-30","1")</f>
        <v>44.548286599999997</v>
      </c>
      <c r="H658" s="11">
        <f>[1]!EM_S_FA_YOY_OR(B658,E658)</f>
        <v>12.384463094599999</v>
      </c>
      <c r="I658" s="11">
        <f>[1]!EM_S_FA_GROSSPROFITMARGIN(B658,E658)</f>
        <v>24.120295803000001</v>
      </c>
      <c r="J658" s="11">
        <f>[1]!EM_S_FA_NETPROFITMARGIN(B658,E658)</f>
        <v>4.2840925812000004</v>
      </c>
      <c r="K658" s="10">
        <f>[1]!EM_S_FA_ASSETSTURN(B658,E658)</f>
        <v>0.49427621573399999</v>
      </c>
      <c r="L658" s="12">
        <f>[1]!EM_HKS_VAL_MV(B658,"2019-12-31","2")</f>
        <v>4488843513.4399996</v>
      </c>
      <c r="M658">
        <f>[1]!EM_S_VAL_PETTMDEDUCTED(B658,E658)</f>
        <v>68.293916313784607</v>
      </c>
      <c r="N658" s="7">
        <f>[1]!EM_S_VAL_PBGOODWILLDEDUCTED(B658,E658)</f>
        <v>1.3771472711675601</v>
      </c>
      <c r="O658" s="7">
        <f>[1]!EM_S_VAL_PS_TTM(B658,E658)</f>
        <v>1.3226062017640201</v>
      </c>
      <c r="P658" s="7">
        <f>[1]!EM_S_VAL_PCF_NCFTTM(B658,E658)</f>
        <v>-240.72404309732099</v>
      </c>
      <c r="Q658" s="7">
        <f>[1]!EM_S_VAL_DIVIDENDYIELD2(B658,E658,"2019-11-29")</f>
        <v>0</v>
      </c>
      <c r="T658"/>
      <c r="U658">
        <f>[1]!EM_S_RATIO_EPS_TTM(B658,E658,"1")</f>
        <v>0.12004128810555438</v>
      </c>
      <c r="AT658" s="4" t="str">
        <f>[1]!EM_S_IPO_LISTEDDATE(B658)</f>
        <v>2000-05-25</v>
      </c>
    </row>
    <row r="659" spans="1:46">
      <c r="A659">
        <v>1652</v>
      </c>
      <c r="B659" t="str">
        <f>"300227"</f>
        <v>300227</v>
      </c>
      <c r="C659" t="s">
        <v>1855</v>
      </c>
      <c r="D659" t="str">
        <f>[1]!EM_S_INFO_INDEX_EM(B659,"1")</f>
        <v>电子设备</v>
      </c>
      <c r="E659" s="4">
        <f t="shared" si="10"/>
        <v>43465</v>
      </c>
      <c r="F659" s="11">
        <f>[1]!EM_S_PQ_PCTCHANGE(B659,"2018-01-01","2019-12-31","3")</f>
        <v>-4.3116894099999996</v>
      </c>
      <c r="G659" s="11">
        <f>[1]!EM_S_PQ_PCTCHANGE(B659,"2018-12-31","2019-12-30","1")</f>
        <v>44.467860909999999</v>
      </c>
      <c r="H659" s="11">
        <f>[1]!EM_S_FA_YOY_OR(B659,E659)</f>
        <v>13.0383115801</v>
      </c>
      <c r="I659" s="11">
        <f>[1]!EM_S_FA_GROSSPROFITMARGIN(B659,E659)</f>
        <v>42.266277221499998</v>
      </c>
      <c r="J659" s="11">
        <f>[1]!EM_S_FA_NETPROFITMARGIN(B659,E659)</f>
        <v>11.7123069511</v>
      </c>
      <c r="K659" s="10">
        <f>[1]!EM_S_FA_ASSETSTURN(B659,E659)</f>
        <v>0.52377313863800001</v>
      </c>
      <c r="L659" s="12">
        <f>[1]!EM_HKS_VAL_MV(B659,"2019-12-31","2")</f>
        <v>3357428471.8200002</v>
      </c>
      <c r="M659">
        <f>[1]!EM_S_VAL_PETTMDEDUCTED(B659,E659)</f>
        <v>32.849118681796803</v>
      </c>
      <c r="N659" s="7">
        <f>[1]!EM_S_VAL_PBGOODWILLDEDUCTED(B659,E659)</f>
        <v>3.2708245934580802</v>
      </c>
      <c r="O659" s="7">
        <f>[1]!EM_S_VAL_PS_TTM(B659,E659)</f>
        <v>3.5061867914626701</v>
      </c>
      <c r="P659" s="7">
        <f>[1]!EM_S_VAL_PCF_NCFTTM(B659,E659)</f>
        <v>43.898675003471702</v>
      </c>
      <c r="Q659" s="7">
        <f>[1]!EM_S_VAL_DIVIDENDYIELD2(B659,E659,"2019-11-29")</f>
        <v>0.25635782292854115</v>
      </c>
      <c r="T659"/>
      <c r="U659">
        <f>[1]!EM_S_RATIO_EPS_TTM(B659,E659,"1")</f>
        <v>0.30669616137072686</v>
      </c>
      <c r="AT659" s="4" t="str">
        <f>[1]!EM_S_IPO_LISTEDDATE(B659)</f>
        <v>2011-06-08</v>
      </c>
    </row>
    <row r="660" spans="1:46">
      <c r="A660">
        <v>987</v>
      </c>
      <c r="B660" t="str">
        <f>"002476"</f>
        <v>002476</v>
      </c>
      <c r="C660" t="s">
        <v>3430</v>
      </c>
      <c r="D660" t="str">
        <f>[1]!EM_S_INFO_INDEX_EM(B660,"1")</f>
        <v>基础化工</v>
      </c>
      <c r="E660" s="4">
        <f t="shared" si="10"/>
        <v>43465</v>
      </c>
      <c r="F660" s="11">
        <f>[1]!EM_S_PQ_PCTCHANGE(B660,"2018-01-01","2019-12-31","3")</f>
        <v>13.79024517</v>
      </c>
      <c r="G660" s="11">
        <f>[1]!EM_S_PQ_PCTCHANGE(B660,"2018-12-31","2019-12-30","1")</f>
        <v>44.394618829999999</v>
      </c>
      <c r="H660" s="11">
        <f>[1]!EM_S_FA_YOY_OR(B660,E660)</f>
        <v>9.7753640799999992</v>
      </c>
      <c r="I660" s="11">
        <f>[1]!EM_S_FA_GROSSPROFITMARGIN(B660,E660)</f>
        <v>11.327202875999999</v>
      </c>
      <c r="J660" s="11">
        <f>[1]!EM_S_FA_NETPROFITMARGIN(B660,E660)</f>
        <v>-58.700062347799999</v>
      </c>
      <c r="K660" s="10">
        <f>[1]!EM_S_FA_ASSETSTURN(B660,E660)</f>
        <v>0.38643103961800002</v>
      </c>
      <c r="L660" s="12">
        <f>[1]!EM_HKS_VAL_MV(B660,"2019-12-31","2")</f>
        <v>3904560000</v>
      </c>
      <c r="M660">
        <f>[1]!EM_S_VAL_PETTMDEDUCTED(B660,E660)</f>
        <v>-499.97888179413201</v>
      </c>
      <c r="N660" s="7">
        <f>[1]!EM_S_VAL_PBGOODWILLDEDUCTED(B660,E660)</f>
        <v>3.8007845023377298</v>
      </c>
      <c r="O660" s="7">
        <f>[1]!EM_S_VAL_PS_TTM(B660,E660)</f>
        <v>5.6391715937778804</v>
      </c>
      <c r="P660" s="7">
        <f>[1]!EM_S_VAL_PCF_NCFTTM(B660,E660)</f>
        <v>21.562805787323299</v>
      </c>
      <c r="Q660" s="7">
        <f>[1]!EM_S_VAL_DIVIDENDYIELD2(B660,E660,"2019-11-29")</f>
        <v>0</v>
      </c>
      <c r="T660"/>
      <c r="U660">
        <f>[1]!EM_S_RATIO_EPS_TTM(B660,E660,"1")</f>
        <v>-0.43151327254901961</v>
      </c>
      <c r="AT660" s="4" t="str">
        <f>[1]!EM_S_IPO_LISTEDDATE(B660)</f>
        <v>2010-09-15</v>
      </c>
    </row>
    <row r="661" spans="1:46">
      <c r="A661">
        <v>1287</v>
      </c>
      <c r="B661" t="str">
        <f>"002780"</f>
        <v>002780</v>
      </c>
      <c r="C661" t="s">
        <v>2908</v>
      </c>
      <c r="D661" t="str">
        <f>[1]!EM_S_INFO_INDEX_EM(B661,"1")</f>
        <v>纺织服装</v>
      </c>
      <c r="E661" s="4">
        <f t="shared" si="10"/>
        <v>43465</v>
      </c>
      <c r="F661" s="11">
        <f>[1]!EM_S_PQ_PCTCHANGE(B661,"2018-01-01","2019-12-31","3")</f>
        <v>0.1333577</v>
      </c>
      <c r="G661" s="11">
        <f>[1]!EM_S_PQ_PCTCHANGE(B661,"2018-12-31","2019-12-30","1")</f>
        <v>44.338875690000002</v>
      </c>
      <c r="H661" s="11">
        <f>[1]!EM_S_FA_YOY_OR(B661,E661)</f>
        <v>19.618428152300002</v>
      </c>
      <c r="I661" s="11">
        <f>[1]!EM_S_FA_GROSSPROFITMARGIN(B661,E661)</f>
        <v>42.860279914000003</v>
      </c>
      <c r="J661" s="11">
        <f>[1]!EM_S_FA_NETPROFITMARGIN(B661,E661)</f>
        <v>1.123050635</v>
      </c>
      <c r="K661" s="10">
        <f>[1]!EM_S_FA_ASSETSTURN(B661,E661)</f>
        <v>0.49662302430999999</v>
      </c>
      <c r="L661" s="12">
        <f>[1]!EM_HKS_VAL_MV(B661,"2019-12-31","2")</f>
        <v>2691613780.7600002</v>
      </c>
      <c r="M661">
        <f>[1]!EM_S_VAL_PETTMDEDUCTED(B661,E661)</f>
        <v>-211.57819518402499</v>
      </c>
      <c r="N661" s="7">
        <f>[1]!EM_S_VAL_PBGOODWILLDEDUCTED(B661,E661)</f>
        <v>2.2158977808729299</v>
      </c>
      <c r="O661" s="7">
        <f>[1]!EM_S_VAL_PS_TTM(B661,E661)</f>
        <v>3.5575355890584399</v>
      </c>
      <c r="P661" s="7">
        <f>[1]!EM_S_VAL_PCF_NCFTTM(B661,E661)</f>
        <v>10.356902135367701</v>
      </c>
      <c r="Q661" s="7">
        <f>[1]!EM_S_VAL_DIVIDENDYIELD2(B661,E661,"2019-11-29")</f>
        <v>9.1575091952535798E-2</v>
      </c>
      <c r="T661"/>
      <c r="U661">
        <f>[1]!EM_S_RATIO_EPS_TTM(B661,E661,"1")</f>
        <v>4.4845192982280908E-2</v>
      </c>
      <c r="AT661" s="4" t="str">
        <f>[1]!EM_S_IPO_LISTEDDATE(B661)</f>
        <v>2015-12-09</v>
      </c>
    </row>
    <row r="662" spans="1:46">
      <c r="A662">
        <v>3535</v>
      </c>
      <c r="B662" t="str">
        <f>"603787"</f>
        <v>603787</v>
      </c>
      <c r="C662" t="s">
        <v>1507</v>
      </c>
      <c r="D662" t="str">
        <f>[1]!EM_S_INFO_INDEX_EM(B662,"1")</f>
        <v>交运设备</v>
      </c>
      <c r="E662" s="4">
        <f t="shared" si="10"/>
        <v>43465</v>
      </c>
      <c r="F662" s="11">
        <f>[1]!EM_S_PQ_PCTCHANGE(B662,"2018-01-01","2019-12-31","3")</f>
        <v>0.90467580000000003</v>
      </c>
      <c r="G662" s="11">
        <f>[1]!EM_S_PQ_PCTCHANGE(B662,"2018-12-31","2019-12-30","1")</f>
        <v>44.306418219999998</v>
      </c>
      <c r="H662" s="11">
        <f>[1]!EM_S_FA_YOY_OR(B662,E662)</f>
        <v>13.1419207879</v>
      </c>
      <c r="I662" s="11">
        <f>[1]!EM_S_FA_GROSSPROFITMARGIN(B662,E662)</f>
        <v>15.271591603499999</v>
      </c>
      <c r="J662" s="11">
        <f>[1]!EM_S_FA_NETPROFITMARGIN(B662,E662)</f>
        <v>2.9062266848</v>
      </c>
      <c r="K662" s="10">
        <f>[1]!EM_S_FA_ASSETSTURN(B662,E662)</f>
        <v>1.6007646638690001</v>
      </c>
      <c r="L662" s="12">
        <f>[1]!EM_HKS_VAL_MV(B662,"2019-12-31","2")</f>
        <v>2821320000</v>
      </c>
      <c r="M662">
        <f>[1]!EM_S_VAL_PETTMDEDUCTED(B662,E662)</f>
        <v>41.4558303434019</v>
      </c>
      <c r="N662" s="7">
        <f>[1]!EM_S_VAL_PBGOODWILLDEDUCTED(B662,E662)</f>
        <v>2.0882986923505902</v>
      </c>
      <c r="O662" s="7">
        <f>[1]!EM_S_VAL_PS_TTM(B662,E662)</f>
        <v>0.66810450431843105</v>
      </c>
      <c r="P662" s="7">
        <f>[1]!EM_S_VAL_PCF_NCFTTM(B662,E662)</f>
        <v>-25.951987702830799</v>
      </c>
      <c r="Q662" s="7">
        <f>[1]!EM_S_VAL_DIVIDENDYIELD2(B662,E662,"2019-11-29")</f>
        <v>2.0408163265306123</v>
      </c>
      <c r="T662"/>
      <c r="U662">
        <f>[1]!EM_S_RATIO_EPS_TTM(B662,E662,"1")</f>
        <v>0.43458042838235295</v>
      </c>
      <c r="AT662" s="4" t="str">
        <f>[1]!EM_S_IPO_LISTEDDATE(B662)</f>
        <v>2017-04-27</v>
      </c>
    </row>
    <row r="663" spans="1:46">
      <c r="A663">
        <v>1456</v>
      </c>
      <c r="B663" t="str">
        <f>"300030"</f>
        <v>300030</v>
      </c>
      <c r="C663" t="s">
        <v>2796</v>
      </c>
      <c r="D663" t="str">
        <f>[1]!EM_S_INFO_INDEX_EM(B663,"1")</f>
        <v>医药生物</v>
      </c>
      <c r="E663" s="4">
        <f t="shared" si="10"/>
        <v>43465</v>
      </c>
      <c r="F663" s="11">
        <f>[1]!EM_S_PQ_PCTCHANGE(B663,"2018-01-01","2019-12-31","3")</f>
        <v>-16.175869760000001</v>
      </c>
      <c r="G663" s="11">
        <f>[1]!EM_S_PQ_PCTCHANGE(B663,"2018-12-31","2019-12-30","1")</f>
        <v>44.271844659999999</v>
      </c>
      <c r="H663" s="11">
        <f>[1]!EM_S_FA_YOY_OR(B663,E663)</f>
        <v>5.6475545299999999E-2</v>
      </c>
      <c r="I663" s="11">
        <f>[1]!EM_S_FA_GROSSPROFITMARGIN(B663,E663)</f>
        <v>40.651671428199997</v>
      </c>
      <c r="J663" s="11">
        <f>[1]!EM_S_FA_NETPROFITMARGIN(B663,E663)</f>
        <v>-25.636641236700001</v>
      </c>
      <c r="K663" s="10">
        <f>[1]!EM_S_FA_ASSETSTURN(B663,E663)</f>
        <v>0.33771003687099999</v>
      </c>
      <c r="L663" s="12">
        <f>[1]!EM_HKS_VAL_MV(B663,"2019-12-31","2")</f>
        <v>2201714160.9499998</v>
      </c>
      <c r="M663">
        <f>[1]!EM_S_VAL_PETTMDEDUCTED(B663,E663)</f>
        <v>2269.65572551579</v>
      </c>
      <c r="N663" s="7">
        <f>[1]!EM_S_VAL_PBGOODWILLDEDUCTED(B663,E663)</f>
        <v>2.1019370669786199</v>
      </c>
      <c r="O663" s="7">
        <f>[1]!EM_S_VAL_PS_TTM(B663,E663)</f>
        <v>2.80766719588717</v>
      </c>
      <c r="P663" s="7">
        <f>[1]!EM_S_VAL_PCF_NCFTTM(B663,E663)</f>
        <v>-11.700319351835899</v>
      </c>
      <c r="Q663" s="7">
        <f>[1]!EM_S_VAL_DIVIDENDYIELD2(B663,E663,"2019-11-29")</f>
        <v>0</v>
      </c>
      <c r="T663"/>
      <c r="U663">
        <f>[1]!EM_S_RATIO_EPS_TTM(B663,E663,"1")</f>
        <v>-0.44301560395175688</v>
      </c>
      <c r="AT663" s="4" t="str">
        <f>[1]!EM_S_IPO_LISTEDDATE(B663)</f>
        <v>2009-12-25</v>
      </c>
    </row>
    <row r="664" spans="1:46">
      <c r="A664">
        <v>1569</v>
      </c>
      <c r="B664" t="str">
        <f>"300144"</f>
        <v>300144</v>
      </c>
      <c r="C664" t="s">
        <v>403</v>
      </c>
      <c r="D664" t="str">
        <f>[1]!EM_S_INFO_INDEX_EM(B664,"1")</f>
        <v>休闲、生活及专业服务</v>
      </c>
      <c r="E664" s="4">
        <f t="shared" si="10"/>
        <v>43465</v>
      </c>
      <c r="F664" s="11">
        <f>[1]!EM_S_PQ_PCTCHANGE(B664,"2018-01-01","2019-12-31","3")</f>
        <v>67.529053309999995</v>
      </c>
      <c r="G664" s="11">
        <f>[1]!EM_S_PQ_PCTCHANGE(B664,"2018-12-31","2019-12-30","1")</f>
        <v>44.262295080000001</v>
      </c>
      <c r="H664" s="11">
        <f>[1]!EM_S_FA_YOY_OR(B664,E664)</f>
        <v>6.1961653575</v>
      </c>
      <c r="I664" s="11">
        <f>[1]!EM_S_FA_GROSSPROFITMARGIN(B664,E664)</f>
        <v>66.427017169500004</v>
      </c>
      <c r="J664" s="11">
        <f>[1]!EM_S_FA_NETPROFITMARGIN(B664,E664)</f>
        <v>39.784523865099999</v>
      </c>
      <c r="K664" s="10">
        <f>[1]!EM_S_FA_ASSETSTURN(B664,E664)</f>
        <v>0.32814417280500002</v>
      </c>
      <c r="L664" s="12">
        <f>[1]!EM_HKS_VAL_MV(B664,"2019-12-31","2")</f>
        <v>44900107098</v>
      </c>
      <c r="M664">
        <f>[1]!EM_S_VAL_PETTMDEDUCTED(B664,E664)</f>
        <v>23.932989454179001</v>
      </c>
      <c r="N664" s="7">
        <f>[1]!EM_S_VAL_PBGOODWILLDEDUCTED(B664,E664)</f>
        <v>5.4560579851412001</v>
      </c>
      <c r="O664" s="7">
        <f>[1]!EM_S_VAL_PS_TTM(B664,E664)</f>
        <v>9.7512899532691808</v>
      </c>
      <c r="P664" s="7">
        <f>[1]!EM_S_VAL_PCF_NCFTTM(B664,E664)</f>
        <v>51.384723557740799</v>
      </c>
      <c r="Q664" s="7">
        <f>[1]!EM_S_VAL_DIVIDENDYIELD2(B664,E664,"2019-11-29")</f>
        <v>0.43891733723482074</v>
      </c>
      <c r="T664"/>
      <c r="U664">
        <f>[1]!EM_S_RATIO_EPS_TTM(B664,E664,"1")</f>
        <v>0.88612118660659822</v>
      </c>
      <c r="AT664" s="4" t="str">
        <f>[1]!EM_S_IPO_LISTEDDATE(B664)</f>
        <v>2010-12-09</v>
      </c>
    </row>
    <row r="665" spans="1:46">
      <c r="A665">
        <v>1039</v>
      </c>
      <c r="B665" t="str">
        <f>"002528"</f>
        <v>002528</v>
      </c>
      <c r="C665" t="s">
        <v>3203</v>
      </c>
      <c r="D665" t="str">
        <f>[1]!EM_S_INFO_INDEX_EM(B665,"1")</f>
        <v>信息技术</v>
      </c>
      <c r="E665" s="4">
        <f t="shared" si="10"/>
        <v>43465</v>
      </c>
      <c r="F665" s="11">
        <f>[1]!EM_S_PQ_PCTCHANGE(B665,"2018-01-01","2019-12-31","3")</f>
        <v>2.5341130600000001</v>
      </c>
      <c r="G665" s="11">
        <f>[1]!EM_S_PQ_PCTCHANGE(B665,"2018-12-31","2019-12-30","1")</f>
        <v>44.23076923</v>
      </c>
      <c r="H665" s="11">
        <f>[1]!EM_S_FA_YOY_OR(B665,E665)</f>
        <v>46.985973328900002</v>
      </c>
      <c r="I665" s="11">
        <f>[1]!EM_S_FA_GROSSPROFITMARGIN(B665,E665)</f>
        <v>22.527919985699999</v>
      </c>
      <c r="J665" s="11">
        <f>[1]!EM_S_FA_NETPROFITMARGIN(B665,E665)</f>
        <v>3.2698791437999999</v>
      </c>
      <c r="K665" s="10">
        <f>[1]!EM_S_FA_ASSETSTURN(B665,E665)</f>
        <v>0.86544321131000002</v>
      </c>
      <c r="L665" s="12">
        <f>[1]!EM_HKS_VAL_MV(B665,"2019-12-31","2")</f>
        <v>6305030931.3199997</v>
      </c>
      <c r="M665">
        <f>[1]!EM_S_VAL_PETTMDEDUCTED(B665,E665)</f>
        <v>47.035011829425201</v>
      </c>
      <c r="N665" s="7">
        <f>[1]!EM_S_VAL_PBGOODWILLDEDUCTED(B665,E665)</f>
        <v>1.6518761127371799</v>
      </c>
      <c r="O665" s="7">
        <f>[1]!EM_S_VAL_PS_TTM(B665,E665)</f>
        <v>1.16508269081171</v>
      </c>
      <c r="P665" s="7">
        <f>[1]!EM_S_VAL_PCF_NCFTTM(B665,E665)</f>
        <v>45.561648302129903</v>
      </c>
      <c r="Q665" s="7">
        <f>[1]!EM_S_VAL_DIVIDENDYIELD2(B665,E665,"2019-11-29")</f>
        <v>0</v>
      </c>
      <c r="T665"/>
      <c r="U665">
        <f>[1]!EM_S_RATIO_EPS_TTM(B665,E665,"1")</f>
        <v>0.11579595388635935</v>
      </c>
      <c r="AT665" s="4" t="str">
        <f>[1]!EM_S_IPO_LISTEDDATE(B665)</f>
        <v>2010-12-24</v>
      </c>
    </row>
    <row r="666" spans="1:46">
      <c r="A666">
        <v>3134</v>
      </c>
      <c r="B666" t="str">
        <f>"601636"</f>
        <v>601636</v>
      </c>
      <c r="C666" t="s">
        <v>372</v>
      </c>
      <c r="D666" t="str">
        <f>[1]!EM_S_INFO_INDEX_EM(B666,"1")</f>
        <v>建材</v>
      </c>
      <c r="E666" s="4">
        <f t="shared" si="10"/>
        <v>43465</v>
      </c>
      <c r="F666" s="11">
        <f>[1]!EM_S_PQ_PCTCHANGE(B666,"2018-01-01","2019-12-31","3")</f>
        <v>0.20697974</v>
      </c>
      <c r="G666" s="11">
        <f>[1]!EM_S_PQ_PCTCHANGE(B666,"2018-12-31","2019-12-30","1")</f>
        <v>44.21052632</v>
      </c>
      <c r="H666" s="11">
        <f>[1]!EM_S_FA_YOY_OR(B666,E666)</f>
        <v>10.458838915299999</v>
      </c>
      <c r="I666" s="11">
        <f>[1]!EM_S_FA_GROSSPROFITMARGIN(B666,E666)</f>
        <v>28.791035174299999</v>
      </c>
      <c r="J666" s="11">
        <f>[1]!EM_S_FA_NETPROFITMARGIN(B666,E666)</f>
        <v>14.4141802552</v>
      </c>
      <c r="K666" s="10">
        <f>[1]!EM_S_FA_ASSETSTURN(B666,E666)</f>
        <v>0.65574170673999999</v>
      </c>
      <c r="L666" s="12">
        <f>[1]!EM_HKS_VAL_MV(B666,"2019-12-31","2")</f>
        <v>14755489140.6</v>
      </c>
      <c r="M666">
        <f>[1]!EM_S_VAL_PETTMDEDUCTED(B666,E666)</f>
        <v>8.6740135559139908</v>
      </c>
      <c r="N666" s="7">
        <f>[1]!EM_S_VAL_PBGOODWILLDEDUCTED(B666,E666)</f>
        <v>1.3494974133055699</v>
      </c>
      <c r="O666" s="7">
        <f>[1]!EM_S_VAL_PS_TTM(B666,E666)</f>
        <v>1.2528597074499801</v>
      </c>
      <c r="P666" s="7">
        <f>[1]!EM_S_VAL_PCF_NCFTTM(B666,E666)</f>
        <v>-17.275795631346998</v>
      </c>
      <c r="Q666" s="7">
        <f>[1]!EM_S_VAL_DIVIDENDYIELD2(B666,E666,"2019-11-29")</f>
        <v>6.8038904353509437</v>
      </c>
      <c r="T666"/>
      <c r="U666">
        <f>[1]!EM_S_RATIO_EPS_TTM(B666,E666,"1")</f>
        <v>0.44921973313960328</v>
      </c>
      <c r="AT666" s="4" t="str">
        <f>[1]!EM_S_IPO_LISTEDDATE(B666)</f>
        <v>2011-08-12</v>
      </c>
    </row>
    <row r="667" spans="1:46">
      <c r="A667">
        <v>2217</v>
      </c>
      <c r="B667" t="str">
        <f>"600070"</f>
        <v>600070</v>
      </c>
      <c r="C667" t="s">
        <v>2421</v>
      </c>
      <c r="D667" t="str">
        <f>[1]!EM_S_INFO_INDEX_EM(B667,"1")</f>
        <v>纺织服装</v>
      </c>
      <c r="E667" s="4">
        <f t="shared" si="10"/>
        <v>43465</v>
      </c>
      <c r="F667" s="11">
        <f>[1]!EM_S_PQ_PCTCHANGE(B667,"2018-01-01","2019-12-31","3")</f>
        <v>2.2682285200000001</v>
      </c>
      <c r="G667" s="11">
        <f>[1]!EM_S_PQ_PCTCHANGE(B667,"2018-12-31","2019-12-30","1")</f>
        <v>44.171779139999998</v>
      </c>
      <c r="H667" s="11">
        <f>[1]!EM_S_FA_YOY_OR(B667,E667)</f>
        <v>43.571623523900001</v>
      </c>
      <c r="I667" s="11">
        <f>[1]!EM_S_FA_GROSSPROFITMARGIN(B667,E667)</f>
        <v>19.2070549257</v>
      </c>
      <c r="J667" s="11">
        <f>[1]!EM_S_FA_NETPROFITMARGIN(B667,E667)</f>
        <v>10.376648911</v>
      </c>
      <c r="K667" s="10">
        <f>[1]!EM_S_FA_ASSETSTURN(B667,E667)</f>
        <v>0.71384119299299997</v>
      </c>
      <c r="L667" s="12">
        <f>[1]!EM_HKS_VAL_MV(B667,"2019-12-31","2")</f>
        <v>5036780038.6999998</v>
      </c>
      <c r="M667">
        <f>[1]!EM_S_VAL_PETTMDEDUCTED(B667,E667)</f>
        <v>23.554213764085901</v>
      </c>
      <c r="N667" s="7">
        <f>[1]!EM_S_VAL_PBGOODWILLDEDUCTED(B667,E667)</f>
        <v>2.16998299605046</v>
      </c>
      <c r="O667" s="7">
        <f>[1]!EM_S_VAL_PS_TTM(B667,E667)</f>
        <v>1.48630829903035</v>
      </c>
      <c r="P667" s="7">
        <f>[1]!EM_S_VAL_PCF_NCFTTM(B667,E667)</f>
        <v>96.962170718029995</v>
      </c>
      <c r="Q667" s="7">
        <f>[1]!EM_S_VAL_DIVIDENDYIELD2(B667,E667,"2019-11-29")</f>
        <v>0.82135523613963046</v>
      </c>
      <c r="T667"/>
      <c r="U667">
        <f>[1]!EM_S_RATIO_EPS_TTM(B667,E667,"1")</f>
        <v>0.41534847485923826</v>
      </c>
      <c r="AT667" s="4" t="str">
        <f>[1]!EM_S_IPO_LISTEDDATE(B667)</f>
        <v>1997-06-04</v>
      </c>
    </row>
    <row r="668" spans="1:46">
      <c r="A668">
        <v>2349</v>
      </c>
      <c r="B668" t="str">
        <f>"600213"</f>
        <v>600213</v>
      </c>
      <c r="C668" t="s">
        <v>1531</v>
      </c>
      <c r="D668" t="str">
        <f>[1]!EM_S_INFO_INDEX_EM(B668,"1")</f>
        <v>交运设备</v>
      </c>
      <c r="E668" s="4">
        <f t="shared" si="10"/>
        <v>43465</v>
      </c>
      <c r="F668" s="11">
        <f>[1]!EM_S_PQ_PCTCHANGE(B668,"2018-01-01","2019-12-31","3")</f>
        <v>-18.650421739999999</v>
      </c>
      <c r="G668" s="11">
        <f>[1]!EM_S_PQ_PCTCHANGE(B668,"2018-12-31","2019-12-30","1")</f>
        <v>44.166666669999998</v>
      </c>
      <c r="H668" s="11">
        <f>[1]!EM_S_FA_YOY_OR(B668,E668)</f>
        <v>2.9687757670999999</v>
      </c>
      <c r="I668" s="11">
        <f>[1]!EM_S_FA_GROSSPROFITMARGIN(B668,E668)</f>
        <v>18.9188638575</v>
      </c>
      <c r="J668" s="11">
        <f>[1]!EM_S_FA_NETPROFITMARGIN(B668,E668)</f>
        <v>0.63515557980000004</v>
      </c>
      <c r="K668" s="10">
        <f>[1]!EM_S_FA_ASSETSTURN(B668,E668)</f>
        <v>0.49423708753599999</v>
      </c>
      <c r="L668" s="12">
        <f>[1]!EM_HKS_VAL_MV(B668,"2019-12-31","2")</f>
        <v>1909600000</v>
      </c>
      <c r="M668">
        <f>[1]!EM_S_VAL_PETTMDEDUCTED(B668,E668)</f>
        <v>32.738150922182299</v>
      </c>
      <c r="N668" s="7">
        <f>[1]!EM_S_VAL_PBGOODWILLDEDUCTED(B668,E668)</f>
        <v>7.1606007814620103</v>
      </c>
      <c r="O668" s="7">
        <f>[1]!EM_S_VAL_PS_TTM(B668,E668)</f>
        <v>0.49913402859497003</v>
      </c>
      <c r="P668" s="7">
        <f>[1]!EM_S_VAL_PCF_NCFTTM(B668,E668)</f>
        <v>-4.5887521788314398</v>
      </c>
      <c r="Q668" s="7">
        <f>[1]!EM_S_VAL_DIVIDENDYIELD2(B668,E668,"2019-11-29")</f>
        <v>0</v>
      </c>
      <c r="T668"/>
      <c r="U668">
        <f>[1]!EM_S_RATIO_EPS_TTM(B668,E668,"1")</f>
        <v>5.9418974363636363E-2</v>
      </c>
      <c r="AT668" s="4" t="str">
        <f>[1]!EM_S_IPO_LISTEDDATE(B668)</f>
        <v>1999-08-31</v>
      </c>
    </row>
    <row r="669" spans="1:46">
      <c r="A669">
        <v>3003</v>
      </c>
      <c r="B669" t="str">
        <f>"600980"</f>
        <v>600980</v>
      </c>
      <c r="C669" t="s">
        <v>2537</v>
      </c>
      <c r="D669" t="str">
        <f>[1]!EM_S_INFO_INDEX_EM(B669,"1")</f>
        <v>机械设备</v>
      </c>
      <c r="E669" s="4">
        <f t="shared" si="10"/>
        <v>43465</v>
      </c>
      <c r="F669" s="11">
        <f>[1]!EM_S_PQ_PCTCHANGE(B669,"2018-01-01","2019-12-31","3")</f>
        <v>-9.34834721</v>
      </c>
      <c r="G669" s="11">
        <f>[1]!EM_S_PQ_PCTCHANGE(B669,"2018-12-31","2019-12-30","1")</f>
        <v>44.126659859999997</v>
      </c>
      <c r="H669" s="11">
        <f>[1]!EM_S_FA_YOY_OR(B669,E669)</f>
        <v>8.3053358847999998</v>
      </c>
      <c r="I669" s="11">
        <f>[1]!EM_S_FA_GROSSPROFITMARGIN(B669,E669)</f>
        <v>27.3072543663</v>
      </c>
      <c r="J669" s="11">
        <f>[1]!EM_S_FA_NETPROFITMARGIN(B669,E669)</f>
        <v>7.1715397222000004</v>
      </c>
      <c r="K669" s="10">
        <f>[1]!EM_S_FA_ASSETSTURN(B669,E669)</f>
        <v>0.61748410891100003</v>
      </c>
      <c r="L669" s="12">
        <f>[1]!EM_HKS_VAL_MV(B669,"2019-12-31","2")</f>
        <v>2182250912.8000002</v>
      </c>
      <c r="M669">
        <f>[1]!EM_S_VAL_PETTMDEDUCTED(B669,E669)</f>
        <v>54.0523685259408</v>
      </c>
      <c r="N669" s="7">
        <f>[1]!EM_S_VAL_PBGOODWILLDEDUCTED(B669,E669)</f>
        <v>2.5806126631246999</v>
      </c>
      <c r="O669" s="7">
        <f>[1]!EM_S_VAL_PS_TTM(B669,E669)</f>
        <v>3.2258049911027</v>
      </c>
      <c r="P669" s="7">
        <f>[1]!EM_S_VAL_PCF_NCFTTM(B669,E669)</f>
        <v>-39.7569891419638</v>
      </c>
      <c r="Q669" s="7">
        <f>[1]!EM_S_VAL_DIVIDENDYIELD2(B669,E669,"2019-11-29")</f>
        <v>0.23510971786833854</v>
      </c>
      <c r="T669"/>
      <c r="U669">
        <f>[1]!EM_S_RATIO_EPS_TTM(B669,E669,"1")</f>
        <v>0.22255408761901657</v>
      </c>
      <c r="AT669" s="4" t="str">
        <f>[1]!EM_S_IPO_LISTEDDATE(B669)</f>
        <v>2004-05-12</v>
      </c>
    </row>
    <row r="670" spans="1:46">
      <c r="A670">
        <v>464</v>
      </c>
      <c r="B670" t="str">
        <f>"000949"</f>
        <v>000949</v>
      </c>
      <c r="C670" t="s">
        <v>3063</v>
      </c>
      <c r="D670" t="str">
        <f>[1]!EM_S_INFO_INDEX_EM(B670,"1")</f>
        <v>基础化工</v>
      </c>
      <c r="E670" s="4">
        <f t="shared" si="10"/>
        <v>43465</v>
      </c>
      <c r="F670" s="11">
        <f>[1]!EM_S_PQ_PCTCHANGE(B670,"2018-01-01","2019-12-31","3")</f>
        <v>-13.27059611</v>
      </c>
      <c r="G670" s="11">
        <f>[1]!EM_S_PQ_PCTCHANGE(B670,"2018-12-31","2019-12-30","1")</f>
        <v>44.029850750000001</v>
      </c>
      <c r="H670" s="11">
        <f>[1]!EM_S_FA_YOY_OR(B670,E670)</f>
        <v>9.4162516827000005</v>
      </c>
      <c r="I670" s="11">
        <f>[1]!EM_S_FA_GROSSPROFITMARGIN(B670,E670)</f>
        <v>12.644543991600001</v>
      </c>
      <c r="J670" s="11">
        <f>[1]!EM_S_FA_NETPROFITMARGIN(B670,E670)</f>
        <v>2.5242305701999999</v>
      </c>
      <c r="K670" s="10">
        <f>[1]!EM_S_FA_ASSETSTURN(B670,E670)</f>
        <v>0.62604858627100002</v>
      </c>
      <c r="L670" s="12">
        <f>[1]!EM_HKS_VAL_MV(B670,"2019-12-31","2")</f>
        <v>4867128909.6300001</v>
      </c>
      <c r="M670">
        <f>[1]!EM_S_VAL_PETTMDEDUCTED(B670,E670)</f>
        <v>69.891615312881399</v>
      </c>
      <c r="N670" s="7">
        <f>[1]!EM_S_VAL_PBGOODWILLDEDUCTED(B670,E670)</f>
        <v>0.92081448519516396</v>
      </c>
      <c r="O670" s="7">
        <f>[1]!EM_S_VAL_PS_TTM(B670,E670)</f>
        <v>0.752155335044839</v>
      </c>
      <c r="P670" s="7">
        <f>[1]!EM_S_VAL_PCF_NCFTTM(B670,E670)</f>
        <v>1005.9174520515</v>
      </c>
      <c r="Q670" s="7">
        <f>[1]!EM_S_VAL_DIVIDENDYIELD2(B670,E670,"2019-11-29")</f>
        <v>0.2785515320334262</v>
      </c>
      <c r="T670"/>
      <c r="U670">
        <f>[1]!EM_S_RATIO_EPS_TTM(B670,E670,"1")</f>
        <v>8.9853814705422697E-2</v>
      </c>
      <c r="AT670" s="4" t="str">
        <f>[1]!EM_S_IPO_LISTEDDATE(B670)</f>
        <v>1999-10-21</v>
      </c>
    </row>
    <row r="671" spans="1:46">
      <c r="A671">
        <v>1669</v>
      </c>
      <c r="B671" t="str">
        <f>"300244"</f>
        <v>300244</v>
      </c>
      <c r="C671" t="s">
        <v>965</v>
      </c>
      <c r="D671" t="str">
        <f>[1]!EM_S_INFO_INDEX_EM(B671,"1")</f>
        <v>医药生物</v>
      </c>
      <c r="E671" s="4">
        <f t="shared" si="10"/>
        <v>43465</v>
      </c>
      <c r="F671" s="11">
        <f>[1]!EM_S_PQ_PCTCHANGE(B671,"2018-01-01","2019-12-31","3")</f>
        <v>-6.1088496000000001</v>
      </c>
      <c r="G671" s="11">
        <f>[1]!EM_S_PQ_PCTCHANGE(B671,"2018-12-31","2019-12-30","1")</f>
        <v>43.902439020000003</v>
      </c>
      <c r="H671" s="11">
        <f>[1]!EM_S_FA_YOY_OR(B671,E671)</f>
        <v>39.222311816800001</v>
      </c>
      <c r="I671" s="11">
        <f>[1]!EM_S_FA_GROSSPROFITMARGIN(B671,E671)</f>
        <v>34.043430979199997</v>
      </c>
      <c r="J671" s="11">
        <f>[1]!EM_S_FA_NETPROFITMARGIN(B671,E671)</f>
        <v>8.4465903721999993</v>
      </c>
      <c r="K671" s="10">
        <f>[1]!EM_S_FA_ASSETSTURN(B671,E671)</f>
        <v>0.77173529577599997</v>
      </c>
      <c r="L671" s="12">
        <f>[1]!EM_HKS_VAL_MV(B671,"2019-12-31","2")</f>
        <v>13730742090.48</v>
      </c>
      <c r="M671">
        <f>[1]!EM_S_VAL_PETTMDEDUCTED(B671,E671)</f>
        <v>34.082215868451797</v>
      </c>
      <c r="N671" s="7">
        <f>[1]!EM_S_VAL_PBGOODWILLDEDUCTED(B671,E671)</f>
        <v>4.6001911071923898</v>
      </c>
      <c r="O671" s="7">
        <f>[1]!EM_S_VAL_PS_TTM(B671,E671)</f>
        <v>1.34513697896177</v>
      </c>
      <c r="P671" s="7">
        <f>[1]!EM_S_VAL_PCF_NCFTTM(B671,E671)</f>
        <v>64.061818302600699</v>
      </c>
      <c r="Q671" s="7">
        <f>[1]!EM_S_VAL_DIVIDENDYIELD2(B671,E671,"2019-11-29")</f>
        <v>0.11478420569329661</v>
      </c>
      <c r="T671"/>
      <c r="U671">
        <f>[1]!EM_S_RATIO_EPS_TTM(B671,E671,"1")</f>
        <v>0.70524076862729879</v>
      </c>
      <c r="AT671" s="4" t="str">
        <f>[1]!EM_S_IPO_LISTEDDATE(B671)</f>
        <v>2011-07-19</v>
      </c>
    </row>
    <row r="672" spans="1:46">
      <c r="A672">
        <v>1772</v>
      </c>
      <c r="B672" t="str">
        <f>"300347"</f>
        <v>300347</v>
      </c>
      <c r="C672" t="s">
        <v>545</v>
      </c>
      <c r="D672" t="str">
        <f>[1]!EM_S_INFO_INDEX_EM(B672,"1")</f>
        <v>医药生物</v>
      </c>
      <c r="E672" s="4">
        <f t="shared" si="10"/>
        <v>43465</v>
      </c>
      <c r="F672" s="11">
        <f>[1]!EM_S_PQ_PCTCHANGE(B672,"2018-01-01","2019-12-31","3")</f>
        <v>171.32647445999999</v>
      </c>
      <c r="G672" s="11">
        <f>[1]!EM_S_PQ_PCTCHANGE(B672,"2018-12-31","2019-12-30","1")</f>
        <v>43.85964912</v>
      </c>
      <c r="H672" s="11">
        <f>[1]!EM_S_FA_YOY_OR(B672,E672)</f>
        <v>36.373093176300003</v>
      </c>
      <c r="I672" s="11">
        <f>[1]!EM_S_FA_GROSSPROFITMARGIN(B672,E672)</f>
        <v>43.107042276900003</v>
      </c>
      <c r="J672" s="11">
        <f>[1]!EM_S_FA_NETPROFITMARGIN(B672,E672)</f>
        <v>22.028341118899998</v>
      </c>
      <c r="K672" s="10">
        <f>[1]!EM_S_FA_ASSETSTURN(B672,E672)</f>
        <v>0.58518948161999995</v>
      </c>
      <c r="L672" s="12">
        <f>[1]!EM_HKS_VAL_MV(B672,"2019-12-31","2")</f>
        <v>47334532506.900002</v>
      </c>
      <c r="M672">
        <f>[1]!EM_S_VAL_PETTMDEDUCTED(B672,E672)</f>
        <v>63.899760213061199</v>
      </c>
      <c r="N672" s="7">
        <f>[1]!EM_S_VAL_PBGOODWILLDEDUCTED(B672,E672)</f>
        <v>13.072755528434</v>
      </c>
      <c r="O672" s="7">
        <f>[1]!EM_S_VAL_PS_TTM(B672,E672)</f>
        <v>10.1505863838807</v>
      </c>
      <c r="P672" s="7">
        <f>[1]!EM_S_VAL_PCF_NCFTTM(B672,E672)</f>
        <v>932.52735895375099</v>
      </c>
      <c r="Q672" s="7">
        <f>[1]!EM_S_VAL_DIVIDENDYIELD2(B672,E672,"2019-11-29")</f>
        <v>0.37190068530891346</v>
      </c>
      <c r="T672"/>
      <c r="U672">
        <f>[1]!EM_S_RATIO_EPS_TTM(B672,E672,"1")</f>
        <v>0.94403454924555963</v>
      </c>
      <c r="AT672" s="4" t="str">
        <f>[1]!EM_S_IPO_LISTEDDATE(B672)</f>
        <v>2012-08-17</v>
      </c>
    </row>
    <row r="673" spans="1:46">
      <c r="A673">
        <v>3515</v>
      </c>
      <c r="B673" t="str">
        <f>"603722"</f>
        <v>603722</v>
      </c>
      <c r="C673" t="s">
        <v>1662</v>
      </c>
      <c r="D673" t="str">
        <f>[1]!EM_S_INFO_INDEX_EM(B673,"1")</f>
        <v>基础化工</v>
      </c>
      <c r="E673" s="4">
        <f t="shared" si="10"/>
        <v>43465</v>
      </c>
      <c r="F673" s="11">
        <f>[1]!EM_S_PQ_PCTCHANGE(B673,"2018-01-01","2019-12-31","3")</f>
        <v>-19.304984749999999</v>
      </c>
      <c r="G673" s="11">
        <f>[1]!EM_S_PQ_PCTCHANGE(B673,"2018-12-31","2019-12-30","1")</f>
        <v>43.770415309999997</v>
      </c>
      <c r="H673" s="11">
        <f>[1]!EM_S_FA_YOY_OR(B673,E673)</f>
        <v>45.237698266800003</v>
      </c>
      <c r="I673" s="11">
        <f>[1]!EM_S_FA_GROSSPROFITMARGIN(B673,E673)</f>
        <v>18.292036392299998</v>
      </c>
      <c r="J673" s="11">
        <f>[1]!EM_S_FA_NETPROFITMARGIN(B673,E673)</f>
        <v>7.9121552907000003</v>
      </c>
      <c r="K673" s="10">
        <f>[1]!EM_S_FA_ASSETSTURN(B673,E673)</f>
        <v>0.63176230048699999</v>
      </c>
      <c r="L673" s="12">
        <f>[1]!EM_HKS_VAL_MV(B673,"2019-12-31","2")</f>
        <v>2722380000</v>
      </c>
      <c r="M673">
        <f>[1]!EM_S_VAL_PETTMDEDUCTED(B673,E673)</f>
        <v>49.788296377709003</v>
      </c>
      <c r="N673" s="7">
        <f>[1]!EM_S_VAL_PBGOODWILLDEDUCTED(B673,E673)</f>
        <v>3.5803747921542901</v>
      </c>
      <c r="O673" s="7">
        <f>[1]!EM_S_VAL_PS_TTM(B673,E673)</f>
        <v>4.8680995244669498</v>
      </c>
      <c r="P673" s="7">
        <f>[1]!EM_S_VAL_PCF_NCFTTM(B673,E673)</f>
        <v>-399.06962387842401</v>
      </c>
      <c r="Q673" s="7">
        <f>[1]!EM_S_VAL_DIVIDENDYIELD2(B673,E673,"2019-11-29")</f>
        <v>0.87221979938944605</v>
      </c>
      <c r="T673"/>
      <c r="U673">
        <f>[1]!EM_S_RATIO_EPS_TTM(B673,E673,"1")</f>
        <v>0.38551949584775086</v>
      </c>
      <c r="AT673" s="4" t="str">
        <f>[1]!EM_S_IPO_LISTEDDATE(B673)</f>
        <v>2017-10-25</v>
      </c>
    </row>
    <row r="674" spans="1:46">
      <c r="A674">
        <v>1992</v>
      </c>
      <c r="B674" t="str">
        <f>"300570"</f>
        <v>300570</v>
      </c>
      <c r="C674" t="s">
        <v>1437</v>
      </c>
      <c r="D674" t="str">
        <f>[1]!EM_S_INFO_INDEX_EM(B674,"1")</f>
        <v>信息技术</v>
      </c>
      <c r="E674" s="4">
        <f t="shared" si="10"/>
        <v>43465</v>
      </c>
      <c r="F674" s="11">
        <f>[1]!EM_S_PQ_PCTCHANGE(B674,"2018-01-01","2019-12-31","3")</f>
        <v>32.90164128</v>
      </c>
      <c r="G674" s="11">
        <f>[1]!EM_S_PQ_PCTCHANGE(B674,"2018-12-31","2019-12-30","1")</f>
        <v>43.572984750000003</v>
      </c>
      <c r="H674" s="11">
        <f>[1]!EM_S_FA_YOY_OR(B674,E674)</f>
        <v>62.126271579600001</v>
      </c>
      <c r="I674" s="11">
        <f>[1]!EM_S_FA_GROSSPROFITMARGIN(B674,E674)</f>
        <v>34.412420228800002</v>
      </c>
      <c r="J674" s="11">
        <f>[1]!EM_S_FA_NETPROFITMARGIN(B674,E674)</f>
        <v>19.0454068439</v>
      </c>
      <c r="K674" s="10">
        <f>[1]!EM_S_FA_ASSETSTURN(B674,E674)</f>
        <v>0.57885757588999998</v>
      </c>
      <c r="L674" s="12">
        <f>[1]!EM_HKS_VAL_MV(B674,"2019-12-31","2")</f>
        <v>6262812864</v>
      </c>
      <c r="M674">
        <f>[1]!EM_S_VAL_PETTMDEDUCTED(B674,E674)</f>
        <v>40.487351511985402</v>
      </c>
      <c r="N674" s="7">
        <f>[1]!EM_S_VAL_PBGOODWILLDEDUCTED(B674,E674)</f>
        <v>3.4690183503538301</v>
      </c>
      <c r="O674" s="7">
        <f>[1]!EM_S_VAL_PS_TTM(B674,E674)</f>
        <v>6.8837472470450498</v>
      </c>
      <c r="P674" s="7">
        <f>[1]!EM_S_VAL_PCF_NCFTTM(B674,E674)</f>
        <v>-37.880607173943702</v>
      </c>
      <c r="Q674" s="7">
        <f>[1]!EM_S_VAL_DIVIDENDYIELD2(B674,E674,"2019-11-29")</f>
        <v>1.5</v>
      </c>
      <c r="T674"/>
      <c r="U674">
        <f>[1]!EM_S_RATIO_EPS_TTM(B674,E674,"1")</f>
        <v>0.66407213461230763</v>
      </c>
      <c r="AT674" s="4" t="str">
        <f>[1]!EM_S_IPO_LISTEDDATE(B674)</f>
        <v>2016-12-06</v>
      </c>
    </row>
    <row r="675" spans="1:46">
      <c r="A675">
        <v>1865</v>
      </c>
      <c r="B675" t="str">
        <f>"300440"</f>
        <v>300440</v>
      </c>
      <c r="C675" t="s">
        <v>2818</v>
      </c>
      <c r="D675" t="str">
        <f>[1]!EM_S_INFO_INDEX_EM(B675,"1")</f>
        <v>信息技术</v>
      </c>
      <c r="E675" s="4">
        <f t="shared" si="10"/>
        <v>43465</v>
      </c>
      <c r="F675" s="11">
        <f>[1]!EM_S_PQ_PCTCHANGE(B675,"2018-01-01","2019-12-31","3")</f>
        <v>-17.154679040000001</v>
      </c>
      <c r="G675" s="11">
        <f>[1]!EM_S_PQ_PCTCHANGE(B675,"2018-12-31","2019-12-30","1")</f>
        <v>43.562610229999997</v>
      </c>
      <c r="H675" s="11">
        <f>[1]!EM_S_FA_YOY_OR(B675,E675)</f>
        <v>-24.675271659300002</v>
      </c>
      <c r="I675" s="11">
        <f>[1]!EM_S_FA_GROSSPROFITMARGIN(B675,E675)</f>
        <v>58.525495903600003</v>
      </c>
      <c r="J675" s="11">
        <f>[1]!EM_S_FA_NETPROFITMARGIN(B675,E675)</f>
        <v>19.970818060100001</v>
      </c>
      <c r="K675" s="10">
        <f>[1]!EM_S_FA_ASSETSTURN(B675,E675)</f>
        <v>0.28121196787000002</v>
      </c>
      <c r="L675" s="12">
        <f>[1]!EM_HKS_VAL_MV(B675,"2019-12-31","2")</f>
        <v>3615360000</v>
      </c>
      <c r="M675">
        <f>[1]!EM_S_VAL_PETTMDEDUCTED(B675,E675)</f>
        <v>45.163523301908903</v>
      </c>
      <c r="N675" s="7">
        <f>[1]!EM_S_VAL_PBGOODWILLDEDUCTED(B675,E675)</f>
        <v>2.2689860384084501</v>
      </c>
      <c r="O675" s="7">
        <f>[1]!EM_S_VAL_PS_TTM(B675,E675)</f>
        <v>5.2814750515403102</v>
      </c>
      <c r="P675" s="7">
        <f>[1]!EM_S_VAL_PCF_NCFTTM(B675,E675)</f>
        <v>-11.1172086900797</v>
      </c>
      <c r="Q675" s="7">
        <f>[1]!EM_S_VAL_DIVIDENDYIELD2(B675,E675,"2019-11-29")</f>
        <v>0.63270201342281873</v>
      </c>
      <c r="T675"/>
      <c r="U675">
        <f>[1]!EM_S_RATIO_EPS_TTM(B675,E675,"1")</f>
        <v>0.23509741763392855</v>
      </c>
      <c r="AT675" s="4" t="str">
        <f>[1]!EM_S_IPO_LISTEDDATE(B675)</f>
        <v>2015-04-23</v>
      </c>
    </row>
    <row r="676" spans="1:46">
      <c r="A676">
        <v>2432</v>
      </c>
      <c r="B676" t="str">
        <f>"600305"</f>
        <v>600305</v>
      </c>
      <c r="C676" t="s">
        <v>719</v>
      </c>
      <c r="D676" t="str">
        <f>[1]!EM_S_INFO_INDEX_EM(B676,"1")</f>
        <v>食品饮料</v>
      </c>
      <c r="E676" s="4">
        <f t="shared" si="10"/>
        <v>43465</v>
      </c>
      <c r="F676" s="11">
        <f>[1]!EM_S_PQ_PCTCHANGE(B676,"2018-01-01","2019-12-31","3")</f>
        <v>71.28986562</v>
      </c>
      <c r="G676" s="11">
        <f>[1]!EM_S_PQ_PCTCHANGE(B676,"2018-12-31","2019-12-30","1")</f>
        <v>43.55769231</v>
      </c>
      <c r="H676" s="11">
        <f>[1]!EM_S_FA_YOY_OR(B676,E676)</f>
        <v>9.8665064326999996</v>
      </c>
      <c r="I676" s="11">
        <f>[1]!EM_S_FA_GROSSPROFITMARGIN(B676,E676)</f>
        <v>42.193568467200002</v>
      </c>
      <c r="J676" s="11">
        <f>[1]!EM_S_FA_NETPROFITMARGIN(B676,E676)</f>
        <v>17.9397959894</v>
      </c>
      <c r="K676" s="10">
        <f>[1]!EM_S_FA_ASSETSTURN(B676,E676)</f>
        <v>0.62505714100200005</v>
      </c>
      <c r="L676" s="12">
        <f>[1]!EM_HKS_VAL_MV(B676,"2019-12-31","2")</f>
        <v>11949280850</v>
      </c>
      <c r="M676">
        <f>[1]!EM_S_VAL_PETTMDEDUCTED(B676,E676)</f>
        <v>38.690179923825703</v>
      </c>
      <c r="N676" s="7">
        <f>[1]!EM_S_VAL_PBGOODWILLDEDUCTED(B676,E676)</f>
        <v>4.0048297154866797</v>
      </c>
      <c r="O676" s="7">
        <f>[1]!EM_S_VAL_PS_TTM(B676,E676)</f>
        <v>4.90200499770188</v>
      </c>
      <c r="P676" s="7">
        <f>[1]!EM_S_VAL_PCF_NCFTTM(B676,E676)</f>
        <v>185.70624765908099</v>
      </c>
      <c r="Q676" s="7">
        <f>[1]!EM_S_VAL_DIVIDENDYIELD2(B676,E676,"2019-11-29")</f>
        <v>0.87209302325581395</v>
      </c>
      <c r="T676"/>
      <c r="U676">
        <f>[1]!EM_S_RATIO_EPS_TTM(B676,E676,"1")</f>
        <v>0.38873561255215622</v>
      </c>
      <c r="AT676" s="4" t="str">
        <f>[1]!EM_S_IPO_LISTEDDATE(B676)</f>
        <v>2001-02-06</v>
      </c>
    </row>
    <row r="677" spans="1:46">
      <c r="A677">
        <v>3521</v>
      </c>
      <c r="B677" t="str">
        <f>"603730"</f>
        <v>603730</v>
      </c>
      <c r="C677" t="s">
        <v>335</v>
      </c>
      <c r="D677" t="str">
        <f>[1]!EM_S_INFO_INDEX_EM(B677,"1")</f>
        <v>交运设备</v>
      </c>
      <c r="E677" s="4">
        <f t="shared" si="10"/>
        <v>43465</v>
      </c>
      <c r="F677" s="11">
        <f>[1]!EM_S_PQ_PCTCHANGE(B677,"2018-01-01","2019-12-31","3")</f>
        <v>-12.339560840000001</v>
      </c>
      <c r="G677" s="11">
        <f>[1]!EM_S_PQ_PCTCHANGE(B677,"2018-12-31","2019-12-30","1")</f>
        <v>43.51364289</v>
      </c>
      <c r="H677" s="11">
        <f>[1]!EM_S_FA_YOY_OR(B677,E677)</f>
        <v>31.6112025362</v>
      </c>
      <c r="I677" s="11">
        <f>[1]!EM_S_FA_GROSSPROFITMARGIN(B677,E677)</f>
        <v>28.718400234800001</v>
      </c>
      <c r="J677" s="11">
        <f>[1]!EM_S_FA_NETPROFITMARGIN(B677,E677)</f>
        <v>13.0482472857</v>
      </c>
      <c r="K677" s="10">
        <f>[1]!EM_S_FA_ASSETSTURN(B677,E677)</f>
        <v>0.95494470694699995</v>
      </c>
      <c r="L677" s="12">
        <f>[1]!EM_HKS_VAL_MV(B677,"2019-12-31","2")</f>
        <v>12101960449.200001</v>
      </c>
      <c r="M677">
        <f>[1]!EM_S_VAL_PETTMDEDUCTED(B677,E677)</f>
        <v>15.0828351056601</v>
      </c>
      <c r="N677" s="7">
        <f>[1]!EM_S_VAL_PBGOODWILLDEDUCTED(B677,E677)</f>
        <v>3.07630163970832</v>
      </c>
      <c r="O677" s="7">
        <f>[1]!EM_S_VAL_PS_TTM(B677,E677)</f>
        <v>2.2197958459863201</v>
      </c>
      <c r="P677" s="7">
        <f>[1]!EM_S_VAL_PCF_NCFTTM(B677,E677)</f>
        <v>115.78283278793</v>
      </c>
      <c r="Q677" s="7">
        <f>[1]!EM_S_VAL_DIVIDENDYIELD2(B677,E677,"2019-11-29")</f>
        <v>1.8497965223825381</v>
      </c>
      <c r="T677"/>
      <c r="U677">
        <f>[1]!EM_S_RATIO_EPS_TTM(B677,E677,"1")</f>
        <v>1.3602697556939349</v>
      </c>
      <c r="AT677" s="4" t="str">
        <f>[1]!EM_S_IPO_LISTEDDATE(B677)</f>
        <v>2017-07-28</v>
      </c>
    </row>
    <row r="678" spans="1:46">
      <c r="A678">
        <v>47</v>
      </c>
      <c r="B678" t="str">
        <f>"000049"</f>
        <v>000049</v>
      </c>
      <c r="C678" t="s">
        <v>268</v>
      </c>
      <c r="D678" t="str">
        <f>[1]!EM_S_INFO_INDEX_EM(B678,"1")</f>
        <v>有色金属</v>
      </c>
      <c r="E678" s="4">
        <f t="shared" si="10"/>
        <v>43465</v>
      </c>
      <c r="F678" s="11">
        <f>[1]!EM_S_PQ_PCTCHANGE(B678,"2018-01-01","2019-12-31","3")</f>
        <v>4.7486785400000002</v>
      </c>
      <c r="G678" s="11">
        <f>[1]!EM_S_PQ_PCTCHANGE(B678,"2019-01-01","2019-12-31","3")</f>
        <v>43.508031240000001</v>
      </c>
      <c r="H678" s="11">
        <f>[1]!EM_S_FA_YOY_OR(B678,E678)</f>
        <v>38.148866769900003</v>
      </c>
      <c r="I678" s="11">
        <f>[1]!EM_S_FA_GROSSPROFITMARGIN(B678,E678)</f>
        <v>8.1982690234</v>
      </c>
      <c r="J678" s="11">
        <f>[1]!EM_S_FA_NETPROFITMARGIN(B678,E678)</f>
        <v>3.0471813340999998</v>
      </c>
      <c r="K678" s="10">
        <f>[1]!EM_S_FA_ASSETSTURN(B678,E678)</f>
        <v>2.0983074543910001</v>
      </c>
      <c r="L678" s="12">
        <f>[1]!EM_HKS_VAL_MV(B678,"2019-12-31","2")</f>
        <v>8441235846.1199999</v>
      </c>
      <c r="M678">
        <f>[1]!EM_S_VAL_PETTMDEDUCTED(B678,E678)</f>
        <v>15.8733166882358</v>
      </c>
      <c r="N678" s="7">
        <f>[1]!EM_S_VAL_PBGOODWILLDEDUCTED(B678,E678)</f>
        <v>3.3628061814247299</v>
      </c>
      <c r="O678" s="7">
        <f>[1]!EM_S_VAL_PS_TTM(B678,E678)</f>
        <v>0.35907507480298101</v>
      </c>
      <c r="P678" s="7">
        <f>[1]!EM_S_VAL_PCF_NCFTTM(B678,E678)</f>
        <v>-27.637779555158499</v>
      </c>
      <c r="Q678" s="7">
        <f>[1]!EM_S_VAL_DIVIDENDYIELD2(B678,E678,"2019-11-29")</f>
        <v>0.66552633372459946</v>
      </c>
      <c r="T678"/>
      <c r="U678">
        <f>[1]!EM_S_RATIO_EPS_TTM(B678,E678,"1")</f>
        <v>1.9555771443316825</v>
      </c>
      <c r="AT678" s="4" t="str">
        <f>[1]!EM_S_IPO_LISTEDDATE(B678)</f>
        <v>1995-03-20</v>
      </c>
    </row>
    <row r="679" spans="1:46">
      <c r="A679">
        <v>1666</v>
      </c>
      <c r="B679" t="str">
        <f>"300241"</f>
        <v>300241</v>
      </c>
      <c r="C679" t="s">
        <v>1166</v>
      </c>
      <c r="D679" t="str">
        <f>[1]!EM_S_INFO_INDEX_EM(B679,"1")</f>
        <v>电子设备</v>
      </c>
      <c r="E679" s="4">
        <f t="shared" si="10"/>
        <v>43465</v>
      </c>
      <c r="F679" s="11">
        <f>[1]!EM_S_PQ_PCTCHANGE(B679,"2018-01-01","2019-12-31","3")</f>
        <v>-26.220534799999999</v>
      </c>
      <c r="G679" s="11">
        <f>[1]!EM_S_PQ_PCTCHANGE(B679,"2018-12-31","2019-12-30","1")</f>
        <v>43.506493509999999</v>
      </c>
      <c r="H679" s="11">
        <f>[1]!EM_S_FA_YOY_OR(B679,E679)</f>
        <v>-1.369275722</v>
      </c>
      <c r="I679" s="11">
        <f>[1]!EM_S_FA_GROSSPROFITMARGIN(B679,E679)</f>
        <v>19.702655740299999</v>
      </c>
      <c r="J679" s="11">
        <f>[1]!EM_S_FA_NETPROFITMARGIN(B679,E679)</f>
        <v>5.4438517012999998</v>
      </c>
      <c r="K679" s="10">
        <f>[1]!EM_S_FA_ASSETSTURN(B679,E679)</f>
        <v>0.64928304357699995</v>
      </c>
      <c r="L679" s="12">
        <f>[1]!EM_HKS_VAL_MV(B679,"2019-12-31","2")</f>
        <v>3556054003.9499998</v>
      </c>
      <c r="M679">
        <f>[1]!EM_S_VAL_PETTMDEDUCTED(B679,E679)</f>
        <v>37.991811197018897</v>
      </c>
      <c r="N679" s="7">
        <f>[1]!EM_S_VAL_PBGOODWILLDEDUCTED(B679,E679)</f>
        <v>2.03753687301228</v>
      </c>
      <c r="O679" s="7">
        <f>[1]!EM_S_VAL_PS_TTM(B679,E679)</f>
        <v>1.6894633430780901</v>
      </c>
      <c r="P679" s="7">
        <f>[1]!EM_S_VAL_PCF_NCFTTM(B679,E679)</f>
        <v>-62.6554500779108</v>
      </c>
      <c r="Q679" s="7">
        <f>[1]!EM_S_VAL_DIVIDENDYIELD2(B679,E679,"2019-11-29")</f>
        <v>0.1784706170177057</v>
      </c>
      <c r="T679"/>
      <c r="U679">
        <f>[1]!EM_S_RATIO_EPS_TTM(B679,E679,"1")</f>
        <v>0.15604482641231998</v>
      </c>
      <c r="AT679" s="4" t="str">
        <f>[1]!EM_S_IPO_LISTEDDATE(B679)</f>
        <v>2011-07-12</v>
      </c>
    </row>
    <row r="680" spans="1:46">
      <c r="A680">
        <v>3324</v>
      </c>
      <c r="B680" t="str">
        <f>"603232"</f>
        <v>603232</v>
      </c>
      <c r="C680" t="s">
        <v>2861</v>
      </c>
      <c r="D680" t="str">
        <f>[1]!EM_S_INFO_INDEX_EM(B680,"1")</f>
        <v>信息技术</v>
      </c>
      <c r="E680" s="4">
        <f t="shared" si="10"/>
        <v>43465</v>
      </c>
      <c r="F680" s="11">
        <f>[1]!EM_S_PQ_PCTCHANGE(B680,"2018-01-01","2019-12-31","3")</f>
        <v>34.511615679999998</v>
      </c>
      <c r="G680" s="11">
        <f>[1]!EM_S_PQ_PCTCHANGE(B680,"2018-12-31","2019-12-30","1")</f>
        <v>43.432574430000003</v>
      </c>
      <c r="H680" s="11">
        <f>[1]!EM_S_FA_YOY_OR(B680,E680)</f>
        <v>13.5951958282</v>
      </c>
      <c r="I680" s="11">
        <f>[1]!EM_S_FA_GROSSPROFITMARGIN(B680,E680)</f>
        <v>59.552758815399997</v>
      </c>
      <c r="J680" s="11">
        <f>[1]!EM_S_FA_NETPROFITMARGIN(B680,E680)</f>
        <v>23.308351377899999</v>
      </c>
      <c r="K680" s="10">
        <f>[1]!EM_S_FA_ASSETSTURN(B680,E680)</f>
        <v>0.445295759929</v>
      </c>
      <c r="L680" s="12">
        <f>[1]!EM_HKS_VAL_MV(B680,"2019-12-31","2")</f>
        <v>3942422680</v>
      </c>
      <c r="M680">
        <f>[1]!EM_S_VAL_PETTMDEDUCTED(B680,E680)</f>
        <v>37.387309469262497</v>
      </c>
      <c r="N680" s="7">
        <f>[1]!EM_S_VAL_PBGOODWILLDEDUCTED(B680,E680)</f>
        <v>3.1370244415225801</v>
      </c>
      <c r="O680" s="7">
        <f>[1]!EM_S_VAL_PS_TTM(B680,E680)</f>
        <v>6.4550857486026398</v>
      </c>
      <c r="P680" s="7">
        <f>[1]!EM_S_VAL_PCF_NCFTTM(B680,E680)</f>
        <v>-11.5863383177151</v>
      </c>
      <c r="Q680" s="7">
        <f>[1]!EM_S_VAL_DIVIDENDYIELD2(B680,E680,"2019-11-29")</f>
        <v>0.72680832507021476</v>
      </c>
      <c r="T680"/>
      <c r="U680">
        <f>[1]!EM_S_RATIO_EPS_TTM(B680,E680,"1")</f>
        <v>0.84074881451990635</v>
      </c>
      <c r="AT680" s="4" t="str">
        <f>[1]!EM_S_IPO_LISTEDDATE(B680)</f>
        <v>2017-04-21</v>
      </c>
    </row>
    <row r="681" spans="1:46">
      <c r="A681">
        <v>3183</v>
      </c>
      <c r="B681" t="str">
        <f>"601949"</f>
        <v>601949</v>
      </c>
      <c r="C681" t="s">
        <v>3368</v>
      </c>
      <c r="D681" t="str">
        <f>[1]!EM_S_INFO_INDEX_EM(B681,"1")</f>
        <v>文化传媒</v>
      </c>
      <c r="E681" s="4">
        <f t="shared" si="10"/>
        <v>43465</v>
      </c>
      <c r="F681" s="11">
        <f>[1]!EM_S_PQ_PCTCHANGE(B681,"2018-01-01","2019-12-31","3")</f>
        <v>-12.489221499999999</v>
      </c>
      <c r="G681" s="11">
        <f>[1]!EM_S_PQ_PCTCHANGE(B681,"2018-12-31","2019-12-30","1")</f>
        <v>43.280182230000001</v>
      </c>
      <c r="H681" s="11">
        <f>[1]!EM_S_FA_YOY_OR(B681,E681)</f>
        <v>13.5174267726</v>
      </c>
      <c r="I681" s="11">
        <f>[1]!EM_S_FA_GROSSPROFITMARGIN(B681,E681)</f>
        <v>33.248523730899997</v>
      </c>
      <c r="J681" s="11">
        <f>[1]!EM_S_FA_NETPROFITMARGIN(B681,E681)</f>
        <v>11.604723888000001</v>
      </c>
      <c r="K681" s="10">
        <f>[1]!EM_S_FA_ASSETSTURN(B681,E681)</f>
        <v>0.47063848479499998</v>
      </c>
      <c r="L681" s="12">
        <f>[1]!EM_HKS_VAL_MV(B681,"2019-12-31","2")</f>
        <v>11536425000</v>
      </c>
      <c r="M681">
        <f>[1]!EM_S_VAL_PETTMDEDUCTED(B681,E681)</f>
        <v>16.723522291278702</v>
      </c>
      <c r="N681" s="7">
        <f>[1]!EM_S_VAL_PBGOODWILLDEDUCTED(B681,E681)</f>
        <v>1.3136225644920001</v>
      </c>
      <c r="O681" s="7">
        <f>[1]!EM_S_VAL_PS_TTM(B681,E681)</f>
        <v>1.5516722445789399</v>
      </c>
      <c r="P681" s="7">
        <f>[1]!EM_S_VAL_PCF_NCFTTM(B681,E681)</f>
        <v>-9.9818471303523193</v>
      </c>
      <c r="Q681" s="7">
        <f>[1]!EM_S_VAL_DIVIDENDYIELD2(B681,E681,"2019-11-29")</f>
        <v>1.7482517482517483</v>
      </c>
      <c r="T681"/>
      <c r="U681">
        <f>[1]!EM_S_RATIO_EPS_TTM(B681,E681,"1")</f>
        <v>0.33003597114403288</v>
      </c>
      <c r="AT681" s="4" t="str">
        <f>[1]!EM_S_IPO_LISTEDDATE(B681)</f>
        <v>2017-08-21</v>
      </c>
    </row>
    <row r="682" spans="1:46">
      <c r="A682">
        <v>3032</v>
      </c>
      <c r="B682" t="str">
        <f>"601012"</f>
        <v>601012</v>
      </c>
      <c r="C682" t="s">
        <v>544</v>
      </c>
      <c r="D682" t="str">
        <f>[1]!EM_S_INFO_INDEX_EM(B682,"1")</f>
        <v>电气设备</v>
      </c>
      <c r="E682" s="4">
        <f t="shared" si="10"/>
        <v>43465</v>
      </c>
      <c r="F682" s="11">
        <f>[1]!EM_S_PQ_PCTCHANGE(B682,"2018-01-01","2019-12-31","3")</f>
        <v>19.097370489999999</v>
      </c>
      <c r="G682" s="11">
        <f>[1]!EM_S_PQ_PCTCHANGE(B682,"2018-12-31","2019-12-30","1")</f>
        <v>43.233944950000001</v>
      </c>
      <c r="H682" s="11">
        <f>[1]!EM_S_FA_YOY_OR(B682,E682)</f>
        <v>34.379859716399999</v>
      </c>
      <c r="I682" s="11">
        <f>[1]!EM_S_FA_GROSSPROFITMARGIN(B682,E682)</f>
        <v>22.248527321000001</v>
      </c>
      <c r="J682" s="11">
        <f>[1]!EM_S_FA_NETPROFITMARGIN(B682,E682)</f>
        <v>11.673044469100001</v>
      </c>
      <c r="K682" s="10">
        <f>[1]!EM_S_FA_ASSETSTURN(B682,E682)</f>
        <v>0.60619582329900001</v>
      </c>
      <c r="L682" s="12">
        <f>[1]!EM_HKS_VAL_MV(B682,"2019-12-31","2")</f>
        <v>93659176076.309998</v>
      </c>
      <c r="M682">
        <f>[1]!EM_S_VAL_PETTMDEDUCTED(B682,E682)</f>
        <v>17.0361660738841</v>
      </c>
      <c r="N682" s="7">
        <f>[1]!EM_S_VAL_PBGOODWILLDEDUCTED(B682,E682)</f>
        <v>3.0781662959524798</v>
      </c>
      <c r="O682" s="7">
        <f>[1]!EM_S_VAL_PS_TTM(B682,E682)</f>
        <v>2.4109963939927899</v>
      </c>
      <c r="P682" s="7">
        <f>[1]!EM_S_VAL_PCF_NCFTTM(B682,E682)</f>
        <v>184.93861607304299</v>
      </c>
      <c r="Q682" s="7">
        <f>[1]!EM_S_VAL_DIVIDENDYIELD2(B682,E682,"2019-11-29")</f>
        <v>0.40285895615742456</v>
      </c>
      <c r="T682"/>
      <c r="U682">
        <f>[1]!EM_S_RATIO_EPS_TTM(B682,E682,"1")</f>
        <v>0.91657401315099296</v>
      </c>
      <c r="AT682" s="4" t="str">
        <f>[1]!EM_S_IPO_LISTEDDATE(B682)</f>
        <v>2012-04-11</v>
      </c>
    </row>
    <row r="683" spans="1:46">
      <c r="A683">
        <v>2306</v>
      </c>
      <c r="B683" t="str">
        <f>"600167"</f>
        <v>600167</v>
      </c>
      <c r="C683" t="s">
        <v>123</v>
      </c>
      <c r="D683" t="str">
        <f>[1]!EM_S_INFO_INDEX_EM(B683,"1")</f>
        <v>公用事业</v>
      </c>
      <c r="E683" s="4">
        <f t="shared" si="10"/>
        <v>43465</v>
      </c>
      <c r="F683" s="11">
        <f>[1]!EM_S_PQ_PCTCHANGE(B683,"2018-01-01","2019-12-31","3")</f>
        <v>50.38881275</v>
      </c>
      <c r="G683" s="11">
        <f>[1]!EM_S_PQ_PCTCHANGE(B683,"2018-12-31","2019-12-30","1")</f>
        <v>43.141592920000001</v>
      </c>
      <c r="H683" s="11">
        <f>[1]!EM_S_FA_YOY_OR(B683,E683)</f>
        <v>11.8949419546</v>
      </c>
      <c r="I683" s="11">
        <f>[1]!EM_S_FA_GROSSPROFITMARGIN(B683,E683)</f>
        <v>52.555859499</v>
      </c>
      <c r="J683" s="11">
        <f>[1]!EM_S_FA_NETPROFITMARGIN(B683,E683)</f>
        <v>44.420061783400001</v>
      </c>
      <c r="K683" s="10">
        <f>[1]!EM_S_FA_ASSETSTURN(B683,E683)</f>
        <v>0.27437817945100001</v>
      </c>
      <c r="L683" s="12">
        <f>[1]!EM_HKS_VAL_MV(B683,"2019-12-31","2")</f>
        <v>30111652291</v>
      </c>
      <c r="M683">
        <f>[1]!EM_S_VAL_PETTMDEDUCTED(B683,E683)</f>
        <v>15.697806908536499</v>
      </c>
      <c r="N683" s="7">
        <f>[1]!EM_S_VAL_PBGOODWILLDEDUCTED(B683,E683)</f>
        <v>2.6059737592196699</v>
      </c>
      <c r="O683" s="7">
        <f>[1]!EM_S_VAL_PS_TTM(B683,E683)</f>
        <v>6.2812560961420596</v>
      </c>
      <c r="P683" s="7">
        <f>[1]!EM_S_VAL_PCF_NCFTTM(B683,E683)</f>
        <v>-38.419079956264099</v>
      </c>
      <c r="Q683" s="7">
        <f>[1]!EM_S_VAL_DIVIDENDYIELD2(B683,E683,"2019-11-29")</f>
        <v>0.96475430932024175</v>
      </c>
      <c r="T683"/>
      <c r="U683">
        <f>[1]!EM_S_RATIO_EPS_TTM(B683,E683,"1")</f>
        <v>0.74813941953112928</v>
      </c>
      <c r="AT683" s="4" t="str">
        <f>[1]!EM_S_IPO_LISTEDDATE(B683)</f>
        <v>1999-01-28</v>
      </c>
    </row>
    <row r="684" spans="1:46">
      <c r="A684">
        <v>650</v>
      </c>
      <c r="B684" t="str">
        <f>"002139"</f>
        <v>002139</v>
      </c>
      <c r="C684" t="s">
        <v>1240</v>
      </c>
      <c r="D684" t="str">
        <f>[1]!EM_S_INFO_INDEX_EM(B684,"1")</f>
        <v>电子设备</v>
      </c>
      <c r="E684" s="4">
        <f t="shared" si="10"/>
        <v>43465</v>
      </c>
      <c r="F684" s="11">
        <f>[1]!EM_S_PQ_PCTCHANGE(B684,"2018-01-01","2019-12-31","3")</f>
        <v>-27.563478740000001</v>
      </c>
      <c r="G684" s="11">
        <f>[1]!EM_S_PQ_PCTCHANGE(B684,"2018-12-31","2019-12-30","1")</f>
        <v>43.1122449</v>
      </c>
      <c r="H684" s="11">
        <f>[1]!EM_S_FA_YOY_OR(B684,E684)</f>
        <v>26.993874226999999</v>
      </c>
      <c r="I684" s="11">
        <f>[1]!EM_S_FA_GROSSPROFITMARGIN(B684,E684)</f>
        <v>19.951146688200001</v>
      </c>
      <c r="J684" s="11">
        <f>[1]!EM_S_FA_NETPROFITMARGIN(B684,E684)</f>
        <v>6.9496961321999997</v>
      </c>
      <c r="K684" s="10">
        <f>[1]!EM_S_FA_ASSETSTURN(B684,E684)</f>
        <v>0.95184809185899999</v>
      </c>
      <c r="L684" s="12">
        <f>[1]!EM_HKS_VAL_MV(B684,"2019-12-31","2")</f>
        <v>5664393275.6400003</v>
      </c>
      <c r="M684">
        <f>[1]!EM_S_VAL_PETTMDEDUCTED(B684,E684)</f>
        <v>17.7445152382403</v>
      </c>
      <c r="N684" s="7">
        <f>[1]!EM_S_VAL_PBGOODWILLDEDUCTED(B684,E684)</f>
        <v>2.0274194887851702</v>
      </c>
      <c r="O684" s="7">
        <f>[1]!EM_S_VAL_PS_TTM(B684,E684)</f>
        <v>1.22718148961607</v>
      </c>
      <c r="P684" s="7">
        <f>[1]!EM_S_VAL_PCF_NCFTTM(B684,E684)</f>
        <v>51.006900088058799</v>
      </c>
      <c r="Q684" s="7">
        <f>[1]!EM_S_VAL_DIVIDENDYIELD2(B684,E684,"2019-11-29")</f>
        <v>2.0282406736778995</v>
      </c>
      <c r="T684"/>
      <c r="U684">
        <f>[1]!EM_S_RATIO_EPS_TTM(B684,E684,"1")</f>
        <v>0.21803381598479726</v>
      </c>
      <c r="AT684" s="4" t="str">
        <f>[1]!EM_S_IPO_LISTEDDATE(B684)</f>
        <v>2007-06-29</v>
      </c>
    </row>
    <row r="685" spans="1:46">
      <c r="A685">
        <v>1866</v>
      </c>
      <c r="B685" t="str">
        <f>"300441"</f>
        <v>300441</v>
      </c>
      <c r="C685" t="s">
        <v>1010</v>
      </c>
      <c r="D685" t="str">
        <f>[1]!EM_S_INFO_INDEX_EM(B685,"1")</f>
        <v>机械设备</v>
      </c>
      <c r="E685" s="4">
        <f t="shared" si="10"/>
        <v>43465</v>
      </c>
      <c r="F685" s="11">
        <f>[1]!EM_S_PQ_PCTCHANGE(B685,"2018-01-01","2019-12-31","3")</f>
        <v>-26.746893400000001</v>
      </c>
      <c r="G685" s="11">
        <f>[1]!EM_S_PQ_PCTCHANGE(B685,"2018-12-31","2019-12-30","1")</f>
        <v>43.067846609999997</v>
      </c>
      <c r="H685" s="11">
        <f>[1]!EM_S_FA_YOY_OR(B685,E685)</f>
        <v>35.060596277199998</v>
      </c>
      <c r="I685" s="11">
        <f>[1]!EM_S_FA_GROSSPROFITMARGIN(B685,E685)</f>
        <v>35.968335906500002</v>
      </c>
      <c r="J685" s="11">
        <f>[1]!EM_S_FA_NETPROFITMARGIN(B685,E685)</f>
        <v>10.3989907843</v>
      </c>
      <c r="K685" s="10">
        <f>[1]!EM_S_FA_ASSETSTURN(B685,E685)</f>
        <v>0.55396605893200002</v>
      </c>
      <c r="L685" s="12">
        <f>[1]!EM_HKS_VAL_MV(B685,"2019-12-31","2")</f>
        <v>6442206469.4799995</v>
      </c>
      <c r="M685">
        <f>[1]!EM_S_VAL_PETTMDEDUCTED(B685,E685)</f>
        <v>27.441505435405201</v>
      </c>
      <c r="N685" s="7">
        <f>[1]!EM_S_VAL_PBGOODWILLDEDUCTED(B685,E685)</f>
        <v>4.7156417606383698</v>
      </c>
      <c r="O685" s="7">
        <f>[1]!EM_S_VAL_PS_TTM(B685,E685)</f>
        <v>3.1454556498862201</v>
      </c>
      <c r="P685" s="7">
        <f>[1]!EM_S_VAL_PCF_NCFTTM(B685,E685)</f>
        <v>34.477261321536197</v>
      </c>
      <c r="Q685" s="7">
        <f>[1]!EM_S_VAL_DIVIDENDYIELD2(B685,E685,"2019-11-29")</f>
        <v>0.71783828239886727</v>
      </c>
      <c r="T685"/>
      <c r="U685">
        <f>[1]!EM_S_RATIO_EPS_TTM(B685,E685,"1")</f>
        <v>0.18309133591619556</v>
      </c>
      <c r="AT685" s="4" t="str">
        <f>[1]!EM_S_IPO_LISTEDDATE(B685)</f>
        <v>2015-04-23</v>
      </c>
    </row>
    <row r="686" spans="1:46">
      <c r="A686">
        <v>1793</v>
      </c>
      <c r="B686" t="str">
        <f>"300368"</f>
        <v>300368</v>
      </c>
      <c r="C686" t="s">
        <v>2890</v>
      </c>
      <c r="D686" t="str">
        <f>[1]!EM_S_INFO_INDEX_EM(B686,"1")</f>
        <v>信息技术</v>
      </c>
      <c r="E686" s="4">
        <f t="shared" si="10"/>
        <v>43465</v>
      </c>
      <c r="F686" s="11">
        <f>[1]!EM_S_PQ_PCTCHANGE(B686,"2018-01-01","2019-12-31","3")</f>
        <v>-4.1958042000000004</v>
      </c>
      <c r="G686" s="11">
        <f>[1]!EM_S_PQ_PCTCHANGE(B686,"2018-12-31","2019-12-30","1")</f>
        <v>43.033509700000003</v>
      </c>
      <c r="H686" s="11">
        <f>[1]!EM_S_FA_YOY_OR(B686,E686)</f>
        <v>33.134989911799998</v>
      </c>
      <c r="I686" s="11">
        <f>[1]!EM_S_FA_GROSSPROFITMARGIN(B686,E686)</f>
        <v>32.743517898999997</v>
      </c>
      <c r="J686" s="11">
        <f>[1]!EM_S_FA_NETPROFITMARGIN(B686,E686)</f>
        <v>4.2463786142000002</v>
      </c>
      <c r="K686" s="10">
        <f>[1]!EM_S_FA_ASSETSTURN(B686,E686)</f>
        <v>0.51526446447200003</v>
      </c>
      <c r="L686" s="12">
        <f>[1]!EM_HKS_VAL_MV(B686,"2019-12-31","2")</f>
        <v>4372575364.5</v>
      </c>
      <c r="M686">
        <f>[1]!EM_S_VAL_PETTMDEDUCTED(B686,E686)</f>
        <v>-13.103627947938801</v>
      </c>
      <c r="N686" s="7">
        <f>[1]!EM_S_VAL_PBGOODWILLDEDUCTED(B686,E686)</f>
        <v>6.0801387394481203</v>
      </c>
      <c r="O686" s="7">
        <f>[1]!EM_S_VAL_PS_TTM(B686,E686)</f>
        <v>3.1692597575404999</v>
      </c>
      <c r="P686" s="7">
        <f>[1]!EM_S_VAL_PCF_NCFTTM(B686,E686)</f>
        <v>-66.491208045413202</v>
      </c>
      <c r="Q686" s="7">
        <f>[1]!EM_S_VAL_DIVIDENDYIELD2(B686,E686,"2019-11-29")</f>
        <v>0</v>
      </c>
      <c r="T686"/>
      <c r="U686">
        <f>[1]!EM_S_RATIO_EPS_TTM(B686,E686,"1")</f>
        <v>8.9329413561679685E-2</v>
      </c>
      <c r="AT686" s="4" t="str">
        <f>[1]!EM_S_IPO_LISTEDDATE(B686)</f>
        <v>2014-01-23</v>
      </c>
    </row>
    <row r="687" spans="1:46">
      <c r="A687">
        <v>1957</v>
      </c>
      <c r="B687" t="str">
        <f>"300533"</f>
        <v>300533</v>
      </c>
      <c r="C687" t="s">
        <v>2021</v>
      </c>
      <c r="D687" t="str">
        <f>[1]!EM_S_INFO_INDEX_EM(B687,"1")</f>
        <v>互联网</v>
      </c>
      <c r="E687" s="4">
        <f t="shared" si="10"/>
        <v>43465</v>
      </c>
      <c r="F687" s="11">
        <f>[1]!EM_S_PQ_PCTCHANGE(B687,"2018-01-01","2019-12-31","3")</f>
        <v>-9.6308451999999996</v>
      </c>
      <c r="G687" s="11">
        <f>[1]!EM_S_PQ_PCTCHANGE(B687,"2018-12-31","2019-12-30","1")</f>
        <v>42.861665080000002</v>
      </c>
      <c r="H687" s="11">
        <f>[1]!EM_S_FA_YOY_OR(B687,E687)</f>
        <v>-1.7854300973999999</v>
      </c>
      <c r="I687" s="11">
        <f>[1]!EM_S_FA_GROSSPROFITMARGIN(B687,E687)</f>
        <v>90.1157453191</v>
      </c>
      <c r="J687" s="11">
        <f>[1]!EM_S_FA_NETPROFITMARGIN(B687,E687)</f>
        <v>34.258238897799998</v>
      </c>
      <c r="K687" s="10">
        <f>[1]!EM_S_FA_ASSETSTURN(B687,E687)</f>
        <v>0.164301277287</v>
      </c>
      <c r="L687" s="12">
        <f>[1]!EM_HKS_VAL_MV(B687,"2019-12-31","2")</f>
        <v>4518021196</v>
      </c>
      <c r="M687">
        <f>[1]!EM_S_VAL_PETTMDEDUCTED(B687,E687)</f>
        <v>38.0921163054321</v>
      </c>
      <c r="N687" s="7">
        <f>[1]!EM_S_VAL_PBGOODWILLDEDUCTED(B687,E687)</f>
        <v>2.0268731893873899</v>
      </c>
      <c r="O687" s="7">
        <f>[1]!EM_S_VAL_PS_TTM(B687,E687)</f>
        <v>11.644405236036899</v>
      </c>
      <c r="P687" s="7">
        <f>[1]!EM_S_VAL_PCF_NCFTTM(B687,E687)</f>
        <v>51.129998510098098</v>
      </c>
      <c r="Q687" s="7">
        <f>[1]!EM_S_VAL_DIVIDENDYIELD2(B687,E687,"2019-11-29")</f>
        <v>1.0145033792278291</v>
      </c>
      <c r="T687"/>
      <c r="U687">
        <f>[1]!EM_S_RATIO_EPS_TTM(B687,E687,"1")</f>
        <v>0.9865896860122868</v>
      </c>
      <c r="AT687" s="4" t="str">
        <f>[1]!EM_S_IPO_LISTEDDATE(B687)</f>
        <v>2016-08-18</v>
      </c>
    </row>
    <row r="688" spans="1:46">
      <c r="A688">
        <v>2604</v>
      </c>
      <c r="B688" t="str">
        <f>"600523"</f>
        <v>600523</v>
      </c>
      <c r="C688" t="s">
        <v>2668</v>
      </c>
      <c r="D688" t="str">
        <f>[1]!EM_S_INFO_INDEX_EM(B688,"1")</f>
        <v>交运设备</v>
      </c>
      <c r="E688" s="4">
        <f t="shared" si="10"/>
        <v>43465</v>
      </c>
      <c r="F688" s="11">
        <f>[1]!EM_S_PQ_PCTCHANGE(B688,"2018-01-01","2019-12-31","3")</f>
        <v>21.449554729999999</v>
      </c>
      <c r="G688" s="11">
        <f>[1]!EM_S_PQ_PCTCHANGE(B688,"2018-12-31","2019-12-30","1")</f>
        <v>42.857142860000003</v>
      </c>
      <c r="H688" s="11">
        <f>[1]!EM_S_FA_YOY_OR(B688,E688)</f>
        <v>-17.476175466499999</v>
      </c>
      <c r="I688" s="11">
        <f>[1]!EM_S_FA_GROSSPROFITMARGIN(B688,E688)</f>
        <v>22.450374311400001</v>
      </c>
      <c r="J688" s="11">
        <f>[1]!EM_S_FA_NETPROFITMARGIN(B688,E688)</f>
        <v>4.7952942585000002</v>
      </c>
      <c r="K688" s="10">
        <f>[1]!EM_S_FA_ASSETSTURN(B688,E688)</f>
        <v>0.818318455311</v>
      </c>
      <c r="L688" s="12">
        <f>[1]!EM_HKS_VAL_MV(B688,"2019-12-31","2")</f>
        <v>5539065084</v>
      </c>
      <c r="M688">
        <f>[1]!EM_S_VAL_PETTMDEDUCTED(B688,E688)</f>
        <v>29.505050838783902</v>
      </c>
      <c r="N688" s="7">
        <f>[1]!EM_S_VAL_PBGOODWILLDEDUCTED(B688,E688)</f>
        <v>1.6771148540569301</v>
      </c>
      <c r="O688" s="7">
        <f>[1]!EM_S_VAL_PS_TTM(B688,E688)</f>
        <v>1.23760105539069</v>
      </c>
      <c r="P688" s="7">
        <f>[1]!EM_S_VAL_PCF_NCFTTM(B688,E688)</f>
        <v>1190.2824596912001</v>
      </c>
      <c r="Q688" s="7">
        <f>[1]!EM_S_VAL_DIVIDENDYIELD2(B688,E688,"2019-11-29")</f>
        <v>1.1583011583011582</v>
      </c>
      <c r="T688"/>
      <c r="U688">
        <f>[1]!EM_S_RATIO_EPS_TTM(B688,E688,"1")</f>
        <v>0.29072202794124091</v>
      </c>
      <c r="AT688" s="4" t="str">
        <f>[1]!EM_S_IPO_LISTEDDATE(B688)</f>
        <v>2001-12-27</v>
      </c>
    </row>
    <row r="689" spans="1:46">
      <c r="A689">
        <v>1149</v>
      </c>
      <c r="B689" t="str">
        <f>"002638"</f>
        <v>002638</v>
      </c>
      <c r="C689" t="s">
        <v>2189</v>
      </c>
      <c r="D689" t="str">
        <f>[1]!EM_S_INFO_INDEX_EM(B689,"1")</f>
        <v>电子设备</v>
      </c>
      <c r="E689" s="4">
        <f t="shared" si="10"/>
        <v>43465</v>
      </c>
      <c r="F689" s="11">
        <f>[1]!EM_S_PQ_PCTCHANGE(B689,"2018-01-01","2019-12-31","3")</f>
        <v>-19.43231441</v>
      </c>
      <c r="G689" s="11">
        <f>[1]!EM_S_PQ_PCTCHANGE(B689,"2018-12-31","2019-12-30","1")</f>
        <v>42.801556419999997</v>
      </c>
      <c r="H689" s="11">
        <f>[1]!EM_S_FA_YOY_OR(B689,E689)</f>
        <v>-19.352308109599999</v>
      </c>
      <c r="I689" s="11">
        <f>[1]!EM_S_FA_GROSSPROFITMARGIN(B689,E689)</f>
        <v>23.001927531100002</v>
      </c>
      <c r="J689" s="11">
        <f>[1]!EM_S_FA_NETPROFITMARGIN(B689,E689)</f>
        <v>-96.372829829500006</v>
      </c>
      <c r="K689" s="10">
        <f>[1]!EM_S_FA_ASSETSTURN(B689,E689)</f>
        <v>0.209477056095</v>
      </c>
      <c r="L689" s="12">
        <f>[1]!EM_HKS_VAL_MV(B689,"2019-12-31","2")</f>
        <v>5603949768.0600004</v>
      </c>
      <c r="M689">
        <f>[1]!EM_S_VAL_PETTMDEDUCTED(B689,E689)</f>
        <v>64.486377929851301</v>
      </c>
      <c r="N689" s="7">
        <f>[1]!EM_S_VAL_PBGOODWILLDEDUCTED(B689,E689)</f>
        <v>1.11792268697007</v>
      </c>
      <c r="O689" s="7">
        <f>[1]!EM_S_VAL_PS_TTM(B689,E689)</f>
        <v>2.8069014796692802</v>
      </c>
      <c r="P689" s="7">
        <f>[1]!EM_S_VAL_PCF_NCFTTM(B689,E689)</f>
        <v>-14.4407769971553</v>
      </c>
      <c r="Q689" s="7">
        <f>[1]!EM_S_VAL_DIVIDENDYIELD2(B689,E689,"2019-11-29")</f>
        <v>0</v>
      </c>
      <c r="T689"/>
      <c r="U689">
        <f>[1]!EM_S_RATIO_EPS_TTM(B689,E689,"1")</f>
        <v>-0.82236489226702836</v>
      </c>
      <c r="AT689" s="4" t="str">
        <f>[1]!EM_S_IPO_LISTEDDATE(B689)</f>
        <v>2011-11-25</v>
      </c>
    </row>
    <row r="690" spans="1:46">
      <c r="A690">
        <v>1752</v>
      </c>
      <c r="B690" t="str">
        <f>"300327"</f>
        <v>300327</v>
      </c>
      <c r="C690" t="s">
        <v>396</v>
      </c>
      <c r="D690" t="str">
        <f>[1]!EM_S_INFO_INDEX_EM(B690,"1")</f>
        <v>电子设备</v>
      </c>
      <c r="E690" s="4">
        <f t="shared" si="10"/>
        <v>43465</v>
      </c>
      <c r="F690" s="11">
        <f>[1]!EM_S_PQ_PCTCHANGE(B690,"2018-01-01","2019-12-31","3")</f>
        <v>3.9092940199999999</v>
      </c>
      <c r="G690" s="11">
        <f>[1]!EM_S_PQ_PCTCHANGE(B690,"2018-12-31","2019-12-30","1")</f>
        <v>42.731760829999999</v>
      </c>
      <c r="H690" s="11">
        <f>[1]!EM_S_FA_YOY_OR(B690,E690)</f>
        <v>10.4977681429</v>
      </c>
      <c r="I690" s="11">
        <f>[1]!EM_S_FA_GROSSPROFITMARGIN(B690,E690)</f>
        <v>43.843107424000003</v>
      </c>
      <c r="J690" s="11">
        <f>[1]!EM_S_FA_NETPROFITMARGIN(B690,E690)</f>
        <v>21.293025415100001</v>
      </c>
      <c r="K690" s="10">
        <f>[1]!EM_S_FA_ASSETSTURN(B690,E690)</f>
        <v>0.75272641061099999</v>
      </c>
      <c r="L690" s="12">
        <f>[1]!EM_HKS_VAL_MV(B690,"2019-12-31","2")</f>
        <v>6544549432.96</v>
      </c>
      <c r="M690">
        <f>[1]!EM_S_VAL_PETTMDEDUCTED(B690,E690)</f>
        <v>28.809451929639799</v>
      </c>
      <c r="N690" s="7">
        <f>[1]!EM_S_VAL_PBGOODWILLDEDUCTED(B690,E690)</f>
        <v>4.8954767329709297</v>
      </c>
      <c r="O690" s="7">
        <f>[1]!EM_S_VAL_PS_TTM(B690,E690)</f>
        <v>5.5490238465876098</v>
      </c>
      <c r="P690" s="7">
        <f>[1]!EM_S_VAL_PCF_NCFTTM(B690,E690)</f>
        <v>-22.398645149180801</v>
      </c>
      <c r="Q690" s="7">
        <f>[1]!EM_S_VAL_DIVIDENDYIELD2(B690,E690,"2019-11-29")</f>
        <v>1.7422951835217593</v>
      </c>
      <c r="T690"/>
      <c r="U690">
        <f>[1]!EM_S_RATIO_EPS_TTM(B690,E690,"1")</f>
        <v>0.72841632647298382</v>
      </c>
      <c r="AT690" s="4" t="str">
        <f>[1]!EM_S_IPO_LISTEDDATE(B690)</f>
        <v>2012-06-13</v>
      </c>
    </row>
    <row r="691" spans="1:46">
      <c r="A691">
        <v>779</v>
      </c>
      <c r="B691" t="str">
        <f>"002268"</f>
        <v>002268</v>
      </c>
      <c r="C691" t="s">
        <v>3516</v>
      </c>
      <c r="D691" t="str">
        <f>[1]!EM_S_INFO_INDEX_EM(B691,"1")</f>
        <v>信息技术</v>
      </c>
      <c r="E691" s="4">
        <f t="shared" si="10"/>
        <v>43465</v>
      </c>
      <c r="F691" s="11">
        <f>[1]!EM_S_PQ_PCTCHANGE(B691,"2018-01-01","2019-12-31","3")</f>
        <v>12.34794967</v>
      </c>
      <c r="G691" s="11">
        <f>[1]!EM_S_PQ_PCTCHANGE(B691,"2018-12-31","2019-12-30","1")</f>
        <v>42.721164610000002</v>
      </c>
      <c r="H691" s="11">
        <f>[1]!EM_S_FA_YOY_OR(B691,E691)</f>
        <v>-9.6369399795999993</v>
      </c>
      <c r="I691" s="11">
        <f>[1]!EM_S_FA_GROSSPROFITMARGIN(B691,E691)</f>
        <v>35.010650632199997</v>
      </c>
      <c r="J691" s="11">
        <f>[1]!EM_S_FA_NETPROFITMARGIN(B691,E691)</f>
        <v>6.4465235488000001</v>
      </c>
      <c r="K691" s="10">
        <f>[1]!EM_S_FA_ASSETSTURN(B691,E691)</f>
        <v>0.32253574087600001</v>
      </c>
      <c r="L691" s="12">
        <f>[1]!EM_HKS_VAL_MV(B691,"2019-12-31","2")</f>
        <v>21620686162.119999</v>
      </c>
      <c r="M691">
        <f>[1]!EM_S_VAL_PETTMDEDUCTED(B691,E691)</f>
        <v>116.29788994512499</v>
      </c>
      <c r="N691" s="7">
        <f>[1]!EM_S_VAL_PBGOODWILLDEDUCTED(B691,E691)</f>
        <v>3.3975714945989299</v>
      </c>
      <c r="O691" s="7">
        <f>[1]!EM_S_VAL_PS_TTM(B691,E691)</f>
        <v>6.9782240547211796</v>
      </c>
      <c r="P691" s="7">
        <f>[1]!EM_S_VAL_PCF_NCFTTM(B691,E691)</f>
        <v>-11.614342663599899</v>
      </c>
      <c r="Q691" s="7">
        <f>[1]!EM_S_VAL_DIVIDENDYIELD2(B691,E691,"2019-11-29")</f>
        <v>6.3104753891459822E-2</v>
      </c>
      <c r="T691"/>
      <c r="U691">
        <f>[1]!EM_S_RATIO_EPS_TTM(B691,E691,"1")</f>
        <v>0.14338464495766606</v>
      </c>
      <c r="AT691" s="4" t="str">
        <f>[1]!EM_S_IPO_LISTEDDATE(B691)</f>
        <v>2008-08-11</v>
      </c>
    </row>
    <row r="692" spans="1:46">
      <c r="A692">
        <v>3127</v>
      </c>
      <c r="B692" t="str">
        <f>"601608"</f>
        <v>601608</v>
      </c>
      <c r="C692" t="s">
        <v>3081</v>
      </c>
      <c r="D692" t="str">
        <f>[1]!EM_S_INFO_INDEX_EM(B692,"1")</f>
        <v>机械设备</v>
      </c>
      <c r="E692" s="4">
        <f t="shared" si="10"/>
        <v>43465</v>
      </c>
      <c r="F692" s="11">
        <f>[1]!EM_S_PQ_PCTCHANGE(B692,"2018-01-01","2019-12-31","3")</f>
        <v>-9.37920804</v>
      </c>
      <c r="G692" s="11">
        <f>[1]!EM_S_PQ_PCTCHANGE(B692,"2018-12-31","2019-12-30","1")</f>
        <v>42.69230769</v>
      </c>
      <c r="H692" s="11">
        <f>[1]!EM_S_FA_YOY_OR(B692,E692)</f>
        <v>12.551616409299999</v>
      </c>
      <c r="I692" s="11">
        <f>[1]!EM_S_FA_GROSSPROFITMARGIN(B692,E692)</f>
        <v>24.455045393599999</v>
      </c>
      <c r="J692" s="11">
        <f>[1]!EM_S_FA_NETPROFITMARGIN(B692,E692)</f>
        <v>2.9050256455999999</v>
      </c>
      <c r="K692" s="10">
        <f>[1]!EM_S_FA_ASSETSTURN(B692,E692)</f>
        <v>0.26400382728999999</v>
      </c>
      <c r="L692" s="12">
        <f>[1]!EM_HKS_VAL_MV(B692,"2019-12-31","2")</f>
        <v>16142639769.959999</v>
      </c>
      <c r="M692">
        <f>[1]!EM_S_VAL_PETTMDEDUCTED(B692,E692)</f>
        <v>-233.05183880295101</v>
      </c>
      <c r="N692" s="7">
        <f>[1]!EM_S_VAL_PBGOODWILLDEDUCTED(B692,E692)</f>
        <v>1.7435589145711501</v>
      </c>
      <c r="O692" s="7">
        <f>[1]!EM_S_VAL_PS_TTM(B692,E692)</f>
        <v>2.3092780610341102</v>
      </c>
      <c r="P692" s="7">
        <f>[1]!EM_S_VAL_PCF_NCFTTM(B692,E692)</f>
        <v>-10.0958592809162</v>
      </c>
      <c r="Q692" s="7">
        <f>[1]!EM_S_VAL_DIVIDENDYIELD2(B692,E692,"2019-11-29")</f>
        <v>8.7078651685393263E-2</v>
      </c>
      <c r="T692"/>
      <c r="U692">
        <f>[1]!EM_S_RATIO_EPS_TTM(B692,E692,"1")</f>
        <v>2.4464034849374486E-2</v>
      </c>
      <c r="AT692" s="4" t="str">
        <f>[1]!EM_S_IPO_LISTEDDATE(B692)</f>
        <v>2012-07-06</v>
      </c>
    </row>
    <row r="693" spans="1:46">
      <c r="A693">
        <v>3060</v>
      </c>
      <c r="B693" t="str">
        <f>"601128"</f>
        <v>601128</v>
      </c>
      <c r="C693" t="s">
        <v>678</v>
      </c>
      <c r="D693" t="str">
        <f>[1]!EM_S_INFO_INDEX_EM(B693,"1")</f>
        <v>金融</v>
      </c>
      <c r="E693" s="4">
        <f t="shared" si="10"/>
        <v>43465</v>
      </c>
      <c r="F693" s="11">
        <f>[1]!EM_S_PQ_PCTCHANGE(B693,"2018-01-01","2019-12-31","3")</f>
        <v>34.58466147</v>
      </c>
      <c r="G693" s="11">
        <f>[1]!EM_S_PQ_PCTCHANGE(B693,"2018-12-31","2019-12-30","1")</f>
        <v>42.508143320000002</v>
      </c>
      <c r="H693" s="11">
        <f>[1]!EM_S_FA_YOY_OR(B693,E693)</f>
        <v>16.548492785200001</v>
      </c>
      <c r="I693" s="11">
        <f>[1]!EM_S_FA_GROSSPROFITMARGIN(B693,E693)</f>
        <v>0</v>
      </c>
      <c r="J693" s="11">
        <f>[1]!EM_S_FA_NETPROFITMARGIN(B693,E693)</f>
        <v>27.2124523299</v>
      </c>
      <c r="K693" s="10">
        <f>[1]!EM_S_FA_ASSETSTURN(B693,E693)</f>
        <v>0</v>
      </c>
      <c r="L693" s="12">
        <f>[1]!EM_HKS_VAL_MV(B693,"2019-12-31","2")</f>
        <v>24969197476.75</v>
      </c>
      <c r="M693">
        <f>[1]!EM_S_VAL_PETTMDEDUCTED(B693,E693)</f>
        <v>9.1747615749241493</v>
      </c>
      <c r="N693" s="7">
        <f>[1]!EM_S_VAL_PBGOODWILLDEDUCTED(B693,E693)</f>
        <v>1.1154325075104901</v>
      </c>
      <c r="O693" s="7">
        <f>[1]!EM_S_VAL_PS_TTM(B693,E693)</f>
        <v>2.4122515322405298</v>
      </c>
      <c r="P693" s="7">
        <f>[1]!EM_S_VAL_PCF_NCFTTM(B693,E693)</f>
        <v>-3.52835086070978</v>
      </c>
      <c r="Q693" s="7">
        <f>[1]!EM_S_VAL_DIVIDENDYIELD2(B693,E693,"2019-11-29")</f>
        <v>2.2277227722772275</v>
      </c>
      <c r="T693"/>
      <c r="U693">
        <f>[1]!EM_S_RATIO_EPS_TTM(B693,E693,"1")</f>
        <v>0.65670706326562989</v>
      </c>
      <c r="AT693" s="4" t="str">
        <f>[1]!EM_S_IPO_LISTEDDATE(B693)</f>
        <v>2016-09-30</v>
      </c>
    </row>
    <row r="694" spans="1:46">
      <c r="A694">
        <v>1658</v>
      </c>
      <c r="B694" t="str">
        <f>"300233"</f>
        <v>300233</v>
      </c>
      <c r="C694" t="s">
        <v>1474</v>
      </c>
      <c r="D694" t="str">
        <f>[1]!EM_S_INFO_INDEX_EM(B694,"1")</f>
        <v>医药生物</v>
      </c>
      <c r="E694" s="4">
        <f t="shared" si="10"/>
        <v>43465</v>
      </c>
      <c r="F694" s="11">
        <f>[1]!EM_S_PQ_PCTCHANGE(B694,"2018-01-01","2019-12-31","3")</f>
        <v>9.1039648</v>
      </c>
      <c r="G694" s="11">
        <f>[1]!EM_S_PQ_PCTCHANGE(B694,"2018-12-31","2019-12-30","1")</f>
        <v>42.490842489999999</v>
      </c>
      <c r="H694" s="11">
        <f>[1]!EM_S_FA_YOY_OR(B694,E694)</f>
        <v>7.8883795580999996</v>
      </c>
      <c r="I694" s="11">
        <f>[1]!EM_S_FA_GROSSPROFITMARGIN(B694,E694)</f>
        <v>50.065944017900001</v>
      </c>
      <c r="J694" s="11">
        <f>[1]!EM_S_FA_NETPROFITMARGIN(B694,E694)</f>
        <v>9.3855318494999995</v>
      </c>
      <c r="K694" s="10">
        <f>[1]!EM_S_FA_ASSETSTURN(B694,E694)</f>
        <v>0.59034766788600002</v>
      </c>
      <c r="L694" s="12">
        <f>[1]!EM_HKS_VAL_MV(B694,"2019-12-31","2")</f>
        <v>7804071924.3000002</v>
      </c>
      <c r="M694">
        <f>[1]!EM_S_VAL_PETTMDEDUCTED(B694,E694)</f>
        <v>16.0597150042579</v>
      </c>
      <c r="N694" s="7">
        <f>[1]!EM_S_VAL_PBGOODWILLDEDUCTED(B694,E694)</f>
        <v>1.8018358568458599</v>
      </c>
      <c r="O694" s="7">
        <f>[1]!EM_S_VAL_PS_TTM(B694,E694)</f>
        <v>1.741521822505</v>
      </c>
      <c r="P694" s="7">
        <f>[1]!EM_S_VAL_PCF_NCFTTM(B694,E694)</f>
        <v>69.511438832610096</v>
      </c>
      <c r="Q694" s="7">
        <f>[1]!EM_S_VAL_DIVIDENDYIELD2(B694,E694,"2019-11-29")</f>
        <v>1.2683916793505836</v>
      </c>
      <c r="T694"/>
      <c r="U694">
        <f>[1]!EM_S_RATIO_EPS_TTM(B694,E694,"1")</f>
        <v>0.67114817990683806</v>
      </c>
      <c r="AT694" s="4" t="str">
        <f>[1]!EM_S_IPO_LISTEDDATE(B694)</f>
        <v>2011-06-22</v>
      </c>
    </row>
    <row r="695" spans="1:46">
      <c r="A695">
        <v>2842</v>
      </c>
      <c r="B695" t="str">
        <f>"600769"</f>
        <v>600769</v>
      </c>
      <c r="C695" t="s">
        <v>1275</v>
      </c>
      <c r="D695" t="str">
        <f>[1]!EM_S_INFO_INDEX_EM(B695,"1")</f>
        <v>建筑</v>
      </c>
      <c r="E695" s="4">
        <f t="shared" si="10"/>
        <v>43465</v>
      </c>
      <c r="F695" s="11">
        <f>[1]!EM_S_PQ_PCTCHANGE(B695,"2018-01-01","2019-12-31","3")</f>
        <v>-7.6539101499999997</v>
      </c>
      <c r="G695" s="11">
        <f>[1]!EM_S_PQ_PCTCHANGE(B695,"2018-12-31","2019-12-30","1")</f>
        <v>42.30769231</v>
      </c>
      <c r="H695" s="11">
        <f>[1]!EM_S_FA_YOY_OR(B695,E695)</f>
        <v>-36.076284922900001</v>
      </c>
      <c r="I695" s="11">
        <f>[1]!EM_S_FA_GROSSPROFITMARGIN(B695,E695)</f>
        <v>14.978560376600001</v>
      </c>
      <c r="J695" s="11">
        <f>[1]!EM_S_FA_NETPROFITMARGIN(B695,E695)</f>
        <v>13.648915024300001</v>
      </c>
      <c r="K695" s="10">
        <f>[1]!EM_S_FA_ASSETSTURN(B695,E695)</f>
        <v>0.26290680917499998</v>
      </c>
      <c r="L695" s="12">
        <f>[1]!EM_HKS_VAL_MV(B695,"2019-12-31","2")</f>
        <v>2081123460</v>
      </c>
      <c r="M695">
        <f>[1]!EM_S_VAL_PETTMDEDUCTED(B695,E695)</f>
        <v>-1893.2157263101899</v>
      </c>
      <c r="N695" s="7">
        <f>[1]!EM_S_VAL_PBGOODWILLDEDUCTED(B695,E695)</f>
        <v>28.498025709776101</v>
      </c>
      <c r="O695" s="7">
        <f>[1]!EM_S_VAL_PS_TTM(B695,E695)</f>
        <v>43.445058095464098</v>
      </c>
      <c r="P695" s="7">
        <f>[1]!EM_S_VAL_PCF_NCFTTM(B695,E695)</f>
        <v>-83.940829485386203</v>
      </c>
      <c r="Q695" s="7">
        <f>[1]!EM_S_VAL_DIVIDENDYIELD2(B695,E695,"2019-11-29")</f>
        <v>0</v>
      </c>
      <c r="T695"/>
      <c r="U695">
        <f>[1]!EM_S_RATIO_EPS_TTM(B695,E695,"1")</f>
        <v>1.3580740189003491E-2</v>
      </c>
      <c r="AT695" s="4" t="str">
        <f>[1]!EM_S_IPO_LISTEDDATE(B695)</f>
        <v>1996-11-01</v>
      </c>
    </row>
    <row r="696" spans="1:46">
      <c r="A696">
        <v>1811</v>
      </c>
      <c r="B696" t="str">
        <f>"300386"</f>
        <v>300386</v>
      </c>
      <c r="C696" t="s">
        <v>3008</v>
      </c>
      <c r="D696" t="str">
        <f>[1]!EM_S_INFO_INDEX_EM(B696,"1")</f>
        <v>信息技术</v>
      </c>
      <c r="E696" s="4">
        <f t="shared" si="10"/>
        <v>43465</v>
      </c>
      <c r="F696" s="11">
        <f>[1]!EM_S_PQ_PCTCHANGE(B696,"2018-01-01","2019-12-31","3")</f>
        <v>0.29863843000000001</v>
      </c>
      <c r="G696" s="11">
        <f>[1]!EM_S_PQ_PCTCHANGE(B696,"2018-12-31","2019-12-30","1")</f>
        <v>42.220019819999997</v>
      </c>
      <c r="H696" s="11">
        <f>[1]!EM_S_FA_YOY_OR(B696,E696)</f>
        <v>-2.8345185013999998</v>
      </c>
      <c r="I696" s="11">
        <f>[1]!EM_S_FA_GROSSPROFITMARGIN(B696,E696)</f>
        <v>37.612576669900001</v>
      </c>
      <c r="J696" s="11">
        <f>[1]!EM_S_FA_NETPROFITMARGIN(B696,E696)</f>
        <v>12.5069631261</v>
      </c>
      <c r="K696" s="10">
        <f>[1]!EM_S_FA_ASSETSTURN(B696,E696)</f>
        <v>0.53829060490699998</v>
      </c>
      <c r="L696" s="12">
        <f>[1]!EM_HKS_VAL_MV(B696,"2019-12-31","2")</f>
        <v>6600914760</v>
      </c>
      <c r="M696">
        <f>[1]!EM_S_VAL_PETTMDEDUCTED(B696,E696)</f>
        <v>40.852022820592303</v>
      </c>
      <c r="N696" s="7">
        <f>[1]!EM_S_VAL_PBGOODWILLDEDUCTED(B696,E696)</f>
        <v>2.5580016170320299</v>
      </c>
      <c r="O696" s="7">
        <f>[1]!EM_S_VAL_PS_TTM(B696,E696)</f>
        <v>3.8243555028592202</v>
      </c>
      <c r="P696" s="7">
        <f>[1]!EM_S_VAL_PCF_NCFTTM(B696,E696)</f>
        <v>36.874271427831502</v>
      </c>
      <c r="Q696" s="7">
        <f>[1]!EM_S_VAL_DIVIDENDYIELD2(B696,E696,"2019-11-29")</f>
        <v>0.37735849056603776</v>
      </c>
      <c r="T696"/>
      <c r="U696">
        <f>[1]!EM_S_RATIO_EPS_TTM(B696,E696,"1")</f>
        <v>0.31880252427974087</v>
      </c>
      <c r="AT696" s="4" t="str">
        <f>[1]!EM_S_IPO_LISTEDDATE(B696)</f>
        <v>2014-06-26</v>
      </c>
    </row>
    <row r="697" spans="1:46">
      <c r="A697">
        <v>1189</v>
      </c>
      <c r="B697" t="str">
        <f>"002678"</f>
        <v>002678</v>
      </c>
      <c r="C697" t="s">
        <v>1050</v>
      </c>
      <c r="D697" t="str">
        <f>[1]!EM_S_INFO_INDEX_EM(B697,"1")</f>
        <v>轻工制造</v>
      </c>
      <c r="E697" s="4">
        <f t="shared" si="10"/>
        <v>43465</v>
      </c>
      <c r="F697" s="11">
        <f>[1]!EM_S_PQ_PCTCHANGE(B697,"2018-01-01","2019-12-31","3")</f>
        <v>-1.87787222</v>
      </c>
      <c r="G697" s="11">
        <f>[1]!EM_S_PQ_PCTCHANGE(B697,"2018-12-31","2019-12-30","1")</f>
        <v>42.132867130000001</v>
      </c>
      <c r="H697" s="11">
        <f>[1]!EM_S_FA_YOY_OR(B697,E697)</f>
        <v>10.298316419700001</v>
      </c>
      <c r="I697" s="11">
        <f>[1]!EM_S_FA_GROSSPROFITMARGIN(B697,E697)</f>
        <v>31.3225945312</v>
      </c>
      <c r="J697" s="11">
        <f>[1]!EM_S_FA_NETPROFITMARGIN(B697,E697)</f>
        <v>8.8150993203999999</v>
      </c>
      <c r="K697" s="10">
        <f>[1]!EM_S_FA_ASSETSTURN(B697,E697)</f>
        <v>0.46210301756200001</v>
      </c>
      <c r="L697" s="12">
        <f>[1]!EM_HKS_VAL_MV(B697,"2019-12-31","2")</f>
        <v>11314808290.59</v>
      </c>
      <c r="M697">
        <f>[1]!EM_S_VAL_PETTMDEDUCTED(B697,E697)</f>
        <v>53.105176245473601</v>
      </c>
      <c r="N697" s="7">
        <f>[1]!EM_S_VAL_PBGOODWILLDEDUCTED(B697,E697)</f>
        <v>2.3728855126687201</v>
      </c>
      <c r="O697" s="7">
        <f>[1]!EM_S_VAL_PS_TTM(B697,E697)</f>
        <v>3.8730154605299099</v>
      </c>
      <c r="P697" s="7">
        <f>[1]!EM_S_VAL_PCF_NCFTTM(B697,E697)</f>
        <v>-9.4784019946999098</v>
      </c>
      <c r="Q697" s="7">
        <f>[1]!EM_S_VAL_DIVIDENDYIELD2(B697,E697,"2019-11-29")</f>
        <v>0.808457711442786</v>
      </c>
      <c r="T697"/>
      <c r="U697">
        <f>[1]!EM_S_RATIO_EPS_TTM(B697,E697,"1")</f>
        <v>0.12975761433851418</v>
      </c>
      <c r="AT697" s="4" t="str">
        <f>[1]!EM_S_IPO_LISTEDDATE(B697)</f>
        <v>2012-05-30</v>
      </c>
    </row>
    <row r="698" spans="1:46">
      <c r="A698">
        <v>3442</v>
      </c>
      <c r="B698" t="str">
        <f>"603586"</f>
        <v>603586</v>
      </c>
      <c r="C698" t="s">
        <v>2997</v>
      </c>
      <c r="D698" t="str">
        <f>[1]!EM_S_INFO_INDEX_EM(B698,"1")</f>
        <v>交运设备</v>
      </c>
      <c r="E698" s="4">
        <f t="shared" si="10"/>
        <v>43465</v>
      </c>
      <c r="F698" s="11">
        <f>[1]!EM_S_PQ_PCTCHANGE(B698,"2018-01-01","2019-12-31","3")</f>
        <v>-24.378201990000001</v>
      </c>
      <c r="G698" s="11">
        <f>[1]!EM_S_PQ_PCTCHANGE(B698,"2018-12-31","2019-12-30","1")</f>
        <v>42.101105850000003</v>
      </c>
      <c r="H698" s="11">
        <f>[1]!EM_S_FA_YOY_OR(B698,E698)</f>
        <v>-6.6834505004000002</v>
      </c>
      <c r="I698" s="11">
        <f>[1]!EM_S_FA_GROSSPROFITMARGIN(B698,E698)</f>
        <v>25.167719835100002</v>
      </c>
      <c r="J698" s="11">
        <f>[1]!EM_S_FA_NETPROFITMARGIN(B698,E698)</f>
        <v>6.3085014825999997</v>
      </c>
      <c r="K698" s="10">
        <f>[1]!EM_S_FA_ASSETSTURN(B698,E698)</f>
        <v>0.49254445334399999</v>
      </c>
      <c r="L698" s="12">
        <f>[1]!EM_HKS_VAL_MV(B698,"2019-12-31","2")</f>
        <v>3644885343</v>
      </c>
      <c r="M698">
        <f>[1]!EM_S_VAL_PETTMDEDUCTED(B698,E698)</f>
        <v>32.813710267704799</v>
      </c>
      <c r="N698" s="7">
        <f>[1]!EM_S_VAL_PBGOODWILLDEDUCTED(B698,E698)</f>
        <v>1.27461901591071</v>
      </c>
      <c r="O698" s="7">
        <f>[1]!EM_S_VAL_PS_TTM(B698,E698)</f>
        <v>1.9226952936331501</v>
      </c>
      <c r="P698" s="7">
        <f>[1]!EM_S_VAL_PCF_NCFTTM(B698,E698)</f>
        <v>-6.2339142995714703</v>
      </c>
      <c r="Q698" s="7">
        <f>[1]!EM_S_VAL_DIVIDENDYIELD2(B698,E698,"2019-11-29")</f>
        <v>1.2353304508956144</v>
      </c>
      <c r="T698"/>
      <c r="U698">
        <f>[1]!EM_S_RATIO_EPS_TTM(B698,E698,"1")</f>
        <v>0.40974276196792475</v>
      </c>
      <c r="AT698" s="4" t="str">
        <f>[1]!EM_S_IPO_LISTEDDATE(B698)</f>
        <v>2017-04-06</v>
      </c>
    </row>
    <row r="699" spans="1:46">
      <c r="A699">
        <v>264</v>
      </c>
      <c r="B699" t="str">
        <f>"000677"</f>
        <v>000677</v>
      </c>
      <c r="C699" t="s">
        <v>3230</v>
      </c>
      <c r="D699" t="str">
        <f>[1]!EM_S_INFO_INDEX_EM(B699,"1")</f>
        <v>基础化工</v>
      </c>
      <c r="E699" s="4">
        <f t="shared" si="10"/>
        <v>43465</v>
      </c>
      <c r="F699" s="11">
        <f>[1]!EM_S_PQ_PCTCHANGE(B699,"2018-01-01","2019-12-31","3")</f>
        <v>-7.2864321600000004</v>
      </c>
      <c r="G699" s="11">
        <f>[1]!EM_S_PQ_PCTCHANGE(B699,"2018-12-31","2019-12-30","1")</f>
        <v>41.92307692</v>
      </c>
      <c r="H699" s="11">
        <f>[1]!EM_S_FA_YOY_OR(B699,E699)</f>
        <v>27.513647543699999</v>
      </c>
      <c r="I699" s="11">
        <f>[1]!EM_S_FA_GROSSPROFITMARGIN(B699,E699)</f>
        <v>11.8347496592</v>
      </c>
      <c r="J699" s="11">
        <f>[1]!EM_S_FA_NETPROFITMARGIN(B699,E699)</f>
        <v>0.90598625710000003</v>
      </c>
      <c r="K699" s="10">
        <f>[1]!EM_S_FA_ASSETSTURN(B699,E699)</f>
        <v>0.82309755733400003</v>
      </c>
      <c r="L699" s="12">
        <f>[1]!EM_HKS_VAL_MV(B699,"2019-12-31","2")</f>
        <v>3188078628.1199999</v>
      </c>
      <c r="M699">
        <f>[1]!EM_S_VAL_PETTMDEDUCTED(B699,E699)</f>
        <v>-20526.1351208632</v>
      </c>
      <c r="N699" s="7">
        <f>[1]!EM_S_VAL_PBGOODWILLDEDUCTED(B699,E699)</f>
        <v>8.2044485240037996</v>
      </c>
      <c r="O699" s="7">
        <f>[1]!EM_S_VAL_PS_TTM(B699,E699)</f>
        <v>3.4422873298021299</v>
      </c>
      <c r="P699" s="7">
        <f>[1]!EM_S_VAL_PCF_NCFTTM(B699,E699)</f>
        <v>-54.142642141209897</v>
      </c>
      <c r="Q699" s="7">
        <f>[1]!EM_S_VAL_DIVIDENDYIELD2(B699,E699,"2019-11-29")</f>
        <v>0</v>
      </c>
      <c r="T699"/>
      <c r="U699">
        <f>[1]!EM_S_RATIO_EPS_TTM(B699,E699,"1")</f>
        <v>1.5403331567439495E-3</v>
      </c>
      <c r="AT699" s="4" t="str">
        <f>[1]!EM_S_IPO_LISTEDDATE(B699)</f>
        <v>1996-12-26</v>
      </c>
    </row>
    <row r="700" spans="1:46">
      <c r="A700">
        <v>691</v>
      </c>
      <c r="B700" t="str">
        <f>"002180"</f>
        <v>002180</v>
      </c>
      <c r="C700" t="s">
        <v>1296</v>
      </c>
      <c r="D700" t="str">
        <f>[1]!EM_S_INFO_INDEX_EM(B700,"1")</f>
        <v>电子设备</v>
      </c>
      <c r="E700" s="4">
        <f t="shared" si="10"/>
        <v>43465</v>
      </c>
      <c r="F700" s="11">
        <f>[1]!EM_S_PQ_PCTCHANGE(B700,"2018-01-01","2019-12-31","3")</f>
        <v>21.525325989999999</v>
      </c>
      <c r="G700" s="11">
        <f>[1]!EM_S_PQ_PCTCHANGE(B700,"2018-12-31","2019-12-30","1")</f>
        <v>41.884816749999999</v>
      </c>
      <c r="H700" s="11">
        <f>[1]!EM_S_FA_YOY_OR(B700,E700)</f>
        <v>2.8256215841999999</v>
      </c>
      <c r="I700" s="11">
        <f>[1]!EM_S_FA_GROSSPROFITMARGIN(B700,E700)</f>
        <v>35.6829545688</v>
      </c>
      <c r="J700" s="11">
        <f>[1]!EM_S_FA_NETPROFITMARGIN(B700,E700)</f>
        <v>5.5548754647000003</v>
      </c>
      <c r="K700" s="10">
        <f>[1]!EM_S_FA_ASSETSTURN(B700,E700)</f>
        <v>0.61212069604700003</v>
      </c>
      <c r="L700" s="12">
        <f>[1]!EM_HKS_VAL_MV(B700,"2019-12-31","2")</f>
        <v>35007566593.160004</v>
      </c>
      <c r="M700">
        <f>[1]!EM_S_VAL_PETTMDEDUCTED(B700,E700)</f>
        <v>85.152763471361993</v>
      </c>
      <c r="N700" s="7">
        <f>[1]!EM_S_VAL_PBGOODWILLDEDUCTED(B700,E700)</f>
        <v>-3.16523691617724</v>
      </c>
      <c r="O700" s="7">
        <f>[1]!EM_S_VAL_PS_TTM(B700,E700)</f>
        <v>1.1627754673981501</v>
      </c>
      <c r="P700" s="7">
        <f>[1]!EM_S_VAL_PCF_NCFTTM(B700,E700)</f>
        <v>11.9933977208415</v>
      </c>
      <c r="Q700" s="7">
        <f>[1]!EM_S_VAL_DIVIDENDYIELD2(B700,E700,"2019-11-29")</f>
        <v>0.28268551236749118</v>
      </c>
      <c r="T700"/>
      <c r="U700">
        <f>[1]!EM_S_RATIO_EPS_TTM(B700,E700,"1")</f>
        <v>0.89386168625391083</v>
      </c>
      <c r="AT700" s="4" t="str">
        <f>[1]!EM_S_IPO_LISTEDDATE(B700)</f>
        <v>2007-11-13</v>
      </c>
    </row>
    <row r="701" spans="1:46">
      <c r="A701">
        <v>1599</v>
      </c>
      <c r="B701" t="str">
        <f>"300174"</f>
        <v>300174</v>
      </c>
      <c r="C701" t="s">
        <v>110</v>
      </c>
      <c r="D701" t="str">
        <f>[1]!EM_S_INFO_INDEX_EM(B701,"1")</f>
        <v>互联网</v>
      </c>
      <c r="E701" s="4">
        <f t="shared" si="10"/>
        <v>43465</v>
      </c>
      <c r="F701" s="11">
        <f>[1]!EM_S_PQ_PCTCHANGE(B701,"2018-01-01","2019-12-31","3")</f>
        <v>-45.254874749999999</v>
      </c>
      <c r="G701" s="11">
        <f>[1]!EM_S_PQ_PCTCHANGE(B701,"2018-12-31","2019-12-30","1")</f>
        <v>41.80690877</v>
      </c>
      <c r="H701" s="11">
        <f>[1]!EM_S_FA_YOY_OR(B701,E701)</f>
        <v>99.421053838199995</v>
      </c>
      <c r="I701" s="11">
        <f>[1]!EM_S_FA_GROSSPROFITMARGIN(B701,E701)</f>
        <v>25.9457435122</v>
      </c>
      <c r="J701" s="11">
        <f>[1]!EM_S_FA_NETPROFITMARGIN(B701,E701)</f>
        <v>6.188842653</v>
      </c>
      <c r="K701" s="10">
        <f>[1]!EM_S_FA_ASSETSTURN(B701,E701)</f>
        <v>1.1510834623099999</v>
      </c>
      <c r="L701" s="12">
        <f>[1]!EM_HKS_VAL_MV(B701,"2019-12-31","2")</f>
        <v>3892320000</v>
      </c>
      <c r="M701">
        <f>[1]!EM_S_VAL_PETTMDEDUCTED(B701,E701)</f>
        <v>31.6811366963395</v>
      </c>
      <c r="N701" s="7">
        <f>[1]!EM_S_VAL_PBGOODWILLDEDUCTED(B701,E701)</f>
        <v>8.5795468611873709</v>
      </c>
      <c r="O701" s="7">
        <f>[1]!EM_S_VAL_PS_TTM(B701,E701)</f>
        <v>1.7756484767115099</v>
      </c>
      <c r="P701" s="7">
        <f>[1]!EM_S_VAL_PCF_NCFTTM(B701,E701)</f>
        <v>23.184472999451899</v>
      </c>
      <c r="Q701" s="7">
        <f>[1]!EM_S_VAL_DIVIDENDYIELD2(B701,E701,"2019-11-29")</f>
        <v>0.29994001199760051</v>
      </c>
      <c r="U701">
        <f>[1]!EM_S_RATIO_EPS_TTM(B701,E701,"1")</f>
        <v>0.33756401960784316</v>
      </c>
      <c r="AT701" s="4" t="str">
        <f>[1]!EM_S_IPO_LISTEDDATE(B701)</f>
        <v>2011-02-01</v>
      </c>
    </row>
    <row r="702" spans="1:46">
      <c r="A702">
        <v>1791</v>
      </c>
      <c r="B702" t="str">
        <f>"300366"</f>
        <v>300366</v>
      </c>
      <c r="C702" t="s">
        <v>2474</v>
      </c>
      <c r="D702" t="str">
        <f>[1]!EM_S_INFO_INDEX_EM(B702,"1")</f>
        <v>信息技术</v>
      </c>
      <c r="E702" s="4">
        <f t="shared" si="10"/>
        <v>43465</v>
      </c>
      <c r="F702" s="11">
        <f>[1]!EM_S_PQ_PCTCHANGE(B702,"2018-01-01","2019-12-31","3")</f>
        <v>-13.473154729999999</v>
      </c>
      <c r="G702" s="11">
        <f>[1]!EM_S_PQ_PCTCHANGE(B702,"2018-12-31","2019-12-30","1")</f>
        <v>41.803278689999999</v>
      </c>
      <c r="H702" s="11">
        <f>[1]!EM_S_FA_YOY_OR(B702,E702)</f>
        <v>-0.2684037044</v>
      </c>
      <c r="I702" s="11">
        <f>[1]!EM_S_FA_GROSSPROFITMARGIN(B702,E702)</f>
        <v>27.645807250499999</v>
      </c>
      <c r="J702" s="11">
        <f>[1]!EM_S_FA_NETPROFITMARGIN(B702,E702)</f>
        <v>-26.189054361499998</v>
      </c>
      <c r="K702" s="10">
        <f>[1]!EM_S_FA_ASSETSTURN(B702,E702)</f>
        <v>0.440940198718</v>
      </c>
      <c r="L702" s="12">
        <f>[1]!EM_HKS_VAL_MV(B702,"2019-12-31","2")</f>
        <v>5434457391</v>
      </c>
      <c r="M702">
        <f>[1]!EM_S_VAL_PETTMDEDUCTED(B702,E702)</f>
        <v>24.567062069697101</v>
      </c>
      <c r="N702" s="7">
        <f>[1]!EM_S_VAL_PBGOODWILLDEDUCTED(B702,E702)</f>
        <v>2.37526976312324</v>
      </c>
      <c r="O702" s="7">
        <f>[1]!EM_S_VAL_PS_TTM(B702,E702)</f>
        <v>2.4511247676574701</v>
      </c>
      <c r="P702" s="7">
        <f>[1]!EM_S_VAL_PCF_NCFTTM(B702,E702)</f>
        <v>-675.86985028291804</v>
      </c>
      <c r="Q702" s="7">
        <f>[1]!EM_S_VAL_DIVIDENDYIELD2(B702,E702,"2019-11-29")</f>
        <v>0</v>
      </c>
      <c r="T702"/>
      <c r="U702">
        <f>[1]!EM_S_RATIO_EPS_TTM(B702,E702,"1")</f>
        <v>-0.73496247744499066</v>
      </c>
      <c r="AT702" s="4" t="str">
        <f>[1]!EM_S_IPO_LISTEDDATE(B702)</f>
        <v>2014-01-27</v>
      </c>
    </row>
    <row r="703" spans="1:46">
      <c r="A703">
        <v>2184</v>
      </c>
      <c r="B703" t="str">
        <f>"600026"</f>
        <v>600026</v>
      </c>
      <c r="C703" t="s">
        <v>3249</v>
      </c>
      <c r="D703" t="str">
        <f>[1]!EM_S_INFO_INDEX_EM(B703,"1")</f>
        <v>交通运输</v>
      </c>
      <c r="E703" s="4">
        <f t="shared" si="10"/>
        <v>43465</v>
      </c>
      <c r="F703" s="11">
        <f>[1]!EM_S_PQ_PCTCHANGE(B703,"2018-01-01","2019-12-31","3")</f>
        <v>5.8478777500000003</v>
      </c>
      <c r="G703" s="11">
        <f>[1]!EM_S_PQ_PCTCHANGE(B703,"2018-12-31","2019-12-30","1")</f>
        <v>41.666666669999998</v>
      </c>
      <c r="H703" s="11">
        <f>[1]!EM_S_FA_YOY_OR(B703,E703)</f>
        <v>25.644401322499998</v>
      </c>
      <c r="I703" s="11">
        <f>[1]!EM_S_FA_GROSSPROFITMARGIN(B703,E703)</f>
        <v>15.609077128599999</v>
      </c>
      <c r="J703" s="11">
        <f>[1]!EM_S_FA_NETPROFITMARGIN(B703,E703)</f>
        <v>2.6359976099</v>
      </c>
      <c r="K703" s="10">
        <f>[1]!EM_S_FA_ASSETSTURN(B703,E703)</f>
        <v>0.19847985582</v>
      </c>
      <c r="L703" s="12">
        <f>[1]!EM_HKS_VAL_MV(B703,"2019-12-31","2")</f>
        <v>25724369653.18</v>
      </c>
      <c r="M703">
        <f>[1]!EM_S_VAL_PETTMDEDUCTED(B703,E703)</f>
        <v>-102.49773295226601</v>
      </c>
      <c r="N703" s="7">
        <f>[1]!EM_S_VAL_PBGOODWILLDEDUCTED(B703,E703)</f>
        <v>0.63667536331959196</v>
      </c>
      <c r="O703" s="7">
        <f>[1]!EM_S_VAL_PS_TTM(B703,E703)</f>
        <v>1.6612838312757101</v>
      </c>
      <c r="P703" s="7">
        <f>[1]!EM_S_VAL_PCF_NCFTTM(B703,E703)</f>
        <v>-8.0378667060184501</v>
      </c>
      <c r="Q703" s="7">
        <f>[1]!EM_S_VAL_DIVIDENDYIELD2(B703,E703,"2019-11-29")</f>
        <v>0.34782608695652173</v>
      </c>
      <c r="T703"/>
      <c r="U703">
        <f>[1]!EM_S_RATIO_EPS_TTM(B703,E703,"1")</f>
        <v>2.6074027755797105E-2</v>
      </c>
      <c r="AT703" s="4" t="str">
        <f>[1]!EM_S_IPO_LISTEDDATE(B703)</f>
        <v>2002-05-23</v>
      </c>
    </row>
    <row r="704" spans="1:46">
      <c r="A704">
        <v>3310</v>
      </c>
      <c r="B704" t="str">
        <f>"603198"</f>
        <v>603198</v>
      </c>
      <c r="C704" t="s">
        <v>133</v>
      </c>
      <c r="D704" t="str">
        <f>[1]!EM_S_INFO_INDEX_EM(B704,"1")</f>
        <v>食品饮料</v>
      </c>
      <c r="E704" s="4">
        <f t="shared" si="10"/>
        <v>43465</v>
      </c>
      <c r="F704" s="11">
        <f>[1]!EM_S_PQ_PCTCHANGE(B704,"2018-01-01","2019-12-31","3")</f>
        <v>22.466668250000001</v>
      </c>
      <c r="G704" s="11">
        <f>[1]!EM_S_PQ_PCTCHANGE(B704,"2018-12-31","2019-12-30","1")</f>
        <v>41.601700919999999</v>
      </c>
      <c r="H704" s="11">
        <f>[1]!EM_S_FA_YOY_OR(B704,E704)</f>
        <v>11.1656173122</v>
      </c>
      <c r="I704" s="11">
        <f>[1]!EM_S_FA_GROSSPROFITMARGIN(B704,E704)</f>
        <v>60.924899346700002</v>
      </c>
      <c r="J704" s="11">
        <f>[1]!EM_S_FA_NETPROFITMARGIN(B704,E704)</f>
        <v>22.337716122500002</v>
      </c>
      <c r="K704" s="10">
        <f>[1]!EM_S_FA_ASSETSTURN(B704,E704)</f>
        <v>0.56675100590500005</v>
      </c>
      <c r="L704" s="12">
        <f>[1]!EM_HKS_VAL_MV(B704,"2019-12-31","2")</f>
        <v>15936000000</v>
      </c>
      <c r="M704">
        <f>[1]!EM_S_VAL_PETTMDEDUCTED(B704,E704)</f>
        <v>16.313136492085601</v>
      </c>
      <c r="N704" s="7">
        <f>[1]!EM_S_VAL_PBGOODWILLDEDUCTED(B704,E704)</f>
        <v>2.6022665953620399</v>
      </c>
      <c r="O704" s="7">
        <f>[1]!EM_S_VAL_PS_TTM(B704,E704)</f>
        <v>3.3286214547054702</v>
      </c>
      <c r="P704" s="7">
        <f>[1]!EM_S_VAL_PCF_NCFTTM(B704,E704)</f>
        <v>-66.263412171769502</v>
      </c>
      <c r="Q704" s="7">
        <f>[1]!EM_S_VAL_DIVIDENDYIELD2(B704,E704,"2019-11-29")</f>
        <v>3.4313725490196081</v>
      </c>
      <c r="T704"/>
      <c r="U704">
        <f>[1]!EM_S_RATIO_EPS_TTM(B704,E704,"1")</f>
        <v>0.97336587510000006</v>
      </c>
      <c r="AT704" s="4" t="str">
        <f>[1]!EM_S_IPO_LISTEDDATE(B704)</f>
        <v>2015-05-28</v>
      </c>
    </row>
    <row r="705" spans="1:46">
      <c r="A705">
        <v>1586</v>
      </c>
      <c r="B705" t="str">
        <f>"300161"</f>
        <v>300161</v>
      </c>
      <c r="C705" t="s">
        <v>3452</v>
      </c>
      <c r="D705" t="str">
        <f>[1]!EM_S_INFO_INDEX_EM(B705,"1")</f>
        <v>机械设备</v>
      </c>
      <c r="E705" s="4">
        <f t="shared" si="10"/>
        <v>43465</v>
      </c>
      <c r="F705" s="11">
        <f>[1]!EM_S_PQ_PCTCHANGE(B705,"2018-01-01","2019-12-31","3")</f>
        <v>-12.302180809999999</v>
      </c>
      <c r="G705" s="11">
        <f>[1]!EM_S_PQ_PCTCHANGE(B705,"2018-12-31","2019-12-30","1")</f>
        <v>41.5821501</v>
      </c>
      <c r="H705" s="11">
        <f>[1]!EM_S_FA_YOY_OR(B705,E705)</f>
        <v>-16.810557484</v>
      </c>
      <c r="I705" s="11">
        <f>[1]!EM_S_FA_GROSSPROFITMARGIN(B705,E705)</f>
        <v>34.2098202118</v>
      </c>
      <c r="J705" s="11">
        <f>[1]!EM_S_FA_NETPROFITMARGIN(B705,E705)</f>
        <v>1.3006802347999999</v>
      </c>
      <c r="K705" s="10">
        <f>[1]!EM_S_FA_ASSETSTURN(B705,E705)</f>
        <v>0.34147350910699997</v>
      </c>
      <c r="L705" s="12">
        <f>[1]!EM_HKS_VAL_MV(B705,"2019-12-31","2")</f>
        <v>2429083647.0599999</v>
      </c>
      <c r="M705">
        <f>[1]!EM_S_VAL_PETTMDEDUCTED(B705,E705)</f>
        <v>-13.234753538727199</v>
      </c>
      <c r="N705" s="7">
        <f>[1]!EM_S_VAL_PBGOODWILLDEDUCTED(B705,E705)</f>
        <v>1.7193027914696399</v>
      </c>
      <c r="O705" s="7">
        <f>[1]!EM_S_VAL_PS_TTM(B705,E705)</f>
        <v>2.2431517547258801</v>
      </c>
      <c r="P705" s="7">
        <f>[1]!EM_S_VAL_PCF_NCFTTM(B705,E705)</f>
        <v>-40.392759196199997</v>
      </c>
      <c r="Q705" s="7">
        <f>[1]!EM_S_VAL_DIVIDENDYIELD2(B705,E705,"2019-11-29")</f>
        <v>0.14306151645207438</v>
      </c>
      <c r="T705"/>
      <c r="U705">
        <f>[1]!EM_S_RATIO_EPS_TTM(B705,E705,"1")</f>
        <v>9.656563390927396E-2</v>
      </c>
      <c r="AT705" s="4" t="str">
        <f>[1]!EM_S_IPO_LISTEDDATE(B705)</f>
        <v>2011-01-13</v>
      </c>
    </row>
    <row r="706" spans="1:46">
      <c r="A706">
        <v>945</v>
      </c>
      <c r="B706" t="str">
        <f>"002434"</f>
        <v>002434</v>
      </c>
      <c r="C706" t="s">
        <v>1279</v>
      </c>
      <c r="D706" t="str">
        <f>[1]!EM_S_INFO_INDEX_EM(B706,"1")</f>
        <v>交运设备</v>
      </c>
      <c r="E706" s="4">
        <f t="shared" si="10"/>
        <v>43465</v>
      </c>
      <c r="F706" s="11">
        <f>[1]!EM_S_PQ_PCTCHANGE(B706,"2018-01-01","2019-12-31","3")</f>
        <v>-6.0943946000000002</v>
      </c>
      <c r="G706" s="11">
        <f>[1]!EM_S_PQ_PCTCHANGE(B706,"2018-12-31","2019-12-30","1")</f>
        <v>41.578148710000001</v>
      </c>
      <c r="H706" s="11">
        <f>[1]!EM_S_FA_YOY_OR(B706,E706)</f>
        <v>-13.109729063</v>
      </c>
      <c r="I706" s="11">
        <f>[1]!EM_S_FA_GROSSPROFITMARGIN(B706,E706)</f>
        <v>24.136128057099999</v>
      </c>
      <c r="J706" s="11">
        <f>[1]!EM_S_FA_NETPROFITMARGIN(B706,E706)</f>
        <v>8.0647260966999994</v>
      </c>
      <c r="K706" s="10">
        <f>[1]!EM_S_FA_ASSETSTURN(B706,E706)</f>
        <v>0.46103545033799997</v>
      </c>
      <c r="L706" s="12">
        <f>[1]!EM_HKS_VAL_MV(B706,"2019-12-31","2")</f>
        <v>12703200000</v>
      </c>
      <c r="M706">
        <f>[1]!EM_S_VAL_PETTMDEDUCTED(B706,E706)</f>
        <v>30.122815238944799</v>
      </c>
      <c r="N706" s="7">
        <f>[1]!EM_S_VAL_PBGOODWILLDEDUCTED(B706,E706)</f>
        <v>1.8891056627613201</v>
      </c>
      <c r="O706" s="7">
        <f>[1]!EM_S_VAL_PS_TTM(B706,E706)</f>
        <v>1.9811976570148599</v>
      </c>
      <c r="P706" s="7">
        <f>[1]!EM_S_VAL_PCF_NCFTTM(B706,E706)</f>
        <v>-71.606997068723999</v>
      </c>
      <c r="Q706" s="7">
        <f>[1]!EM_S_VAL_DIVIDENDYIELD2(B706,E706,"2019-11-29")</f>
        <v>1.7301038062283738</v>
      </c>
      <c r="T706"/>
      <c r="U706">
        <f>[1]!EM_S_RATIO_EPS_TTM(B706,E706,"1")</f>
        <v>0.26045137654074074</v>
      </c>
      <c r="AT706" s="4" t="str">
        <f>[1]!EM_S_IPO_LISTEDDATE(B706)</f>
        <v>2010-06-18</v>
      </c>
    </row>
    <row r="707" spans="1:46">
      <c r="A707">
        <v>896</v>
      </c>
      <c r="B707" t="str">
        <f>"002385"</f>
        <v>002385</v>
      </c>
      <c r="C707" t="s">
        <v>1561</v>
      </c>
      <c r="D707" t="str">
        <f>[1]!EM_S_INFO_INDEX_EM(B707,"1")</f>
        <v>农林牧渔</v>
      </c>
      <c r="E707" s="4">
        <f t="shared" ref="E707:E770" si="11">$B$1</f>
        <v>43465</v>
      </c>
      <c r="F707" s="11">
        <f>[1]!EM_S_PQ_PCTCHANGE(B707,"2018-01-01","2019-12-31","3")</f>
        <v>-13.463403720000001</v>
      </c>
      <c r="G707" s="11">
        <f>[1]!EM_S_PQ_PCTCHANGE(B707,"2018-12-31","2019-12-30","1")</f>
        <v>41.5625</v>
      </c>
      <c r="H707" s="11">
        <f>[1]!EM_S_FA_YOY_OR(B707,E707)</f>
        <v>2.9897340697999999</v>
      </c>
      <c r="I707" s="11">
        <f>[1]!EM_S_FA_GROSSPROFITMARGIN(B707,E707)</f>
        <v>18.697739568300001</v>
      </c>
      <c r="J707" s="11">
        <f>[1]!EM_S_FA_NETPROFITMARGIN(B707,E707)</f>
        <v>2.5177198717999998</v>
      </c>
      <c r="K707" s="10">
        <f>[1]!EM_S_FA_ASSETSTURN(B707,E707)</f>
        <v>1.0334798254790001</v>
      </c>
      <c r="L707" s="12">
        <f>[1]!EM_HKS_VAL_MV(B707,"2019-12-31","2")</f>
        <v>20892740885.099998</v>
      </c>
      <c r="M707">
        <f>[1]!EM_S_VAL_PETTMDEDUCTED(B707,E707)</f>
        <v>41.294731005269597</v>
      </c>
      <c r="N707" s="7">
        <f>[1]!EM_S_VAL_PBGOODWILLDEDUCTED(B707,E707)</f>
        <v>1.43152206814779</v>
      </c>
      <c r="O707" s="7">
        <f>[1]!EM_S_VAL_PS_TTM(B707,E707)</f>
        <v>0.69362767844073003</v>
      </c>
      <c r="P707" s="7">
        <f>[1]!EM_S_VAL_PCF_NCFTTM(B707,E707)</f>
        <v>17.419841812728599</v>
      </c>
      <c r="Q707" s="7">
        <f>[1]!EM_S_VAL_DIVIDENDYIELD2(B707,E707,"2019-11-29")</f>
        <v>0</v>
      </c>
      <c r="T707"/>
      <c r="U707">
        <f>[1]!EM_S_RATIO_EPS_TTM(B707,E707,"1")</f>
        <v>0.11947018489738023</v>
      </c>
      <c r="AT707" s="4" t="str">
        <f>[1]!EM_S_IPO_LISTEDDATE(B707)</f>
        <v>2010-04-09</v>
      </c>
    </row>
    <row r="708" spans="1:46">
      <c r="A708">
        <v>1222</v>
      </c>
      <c r="B708" t="str">
        <f>"002712"</f>
        <v>002712</v>
      </c>
      <c r="C708" t="s">
        <v>839</v>
      </c>
      <c r="D708" t="str">
        <f>[1]!EM_S_INFO_INDEX_EM(B708,"1")</f>
        <v>文化传媒</v>
      </c>
      <c r="E708" s="4">
        <f t="shared" si="11"/>
        <v>43465</v>
      </c>
      <c r="F708" s="11">
        <f>[1]!EM_S_PQ_PCTCHANGE(B708,"2018-01-01","2019-12-31","3")</f>
        <v>-37.79455024</v>
      </c>
      <c r="G708" s="11">
        <f>[1]!EM_S_PQ_PCTCHANGE(B708,"2018-12-31","2019-12-30","1")</f>
        <v>41.541038530000002</v>
      </c>
      <c r="H708" s="11">
        <f>[1]!EM_S_FA_YOY_OR(B708,E708)</f>
        <v>26.159942629500001</v>
      </c>
      <c r="I708" s="11">
        <f>[1]!EM_S_FA_GROSSPROFITMARGIN(B708,E708)</f>
        <v>11.2902174876</v>
      </c>
      <c r="J708" s="11">
        <f>[1]!EM_S_FA_NETPROFITMARGIN(B708,E708)</f>
        <v>0.73661352030000005</v>
      </c>
      <c r="K708" s="10">
        <f>[1]!EM_S_FA_ASSETSTURN(B708,E708)</f>
        <v>1.107989151175</v>
      </c>
      <c r="L708" s="12">
        <f>[1]!EM_HKS_VAL_MV(B708,"2019-12-31","2")</f>
        <v>4876288874.3199997</v>
      </c>
      <c r="M708">
        <f>[1]!EM_S_VAL_PETTMDEDUCTED(B708,E708)</f>
        <v>15.039680929888601</v>
      </c>
      <c r="N708" s="7">
        <f>[1]!EM_S_VAL_PBGOODWILLDEDUCTED(B708,E708)</f>
        <v>2.2334663206624898</v>
      </c>
      <c r="O708" s="7">
        <f>[1]!EM_S_VAL_PS_TTM(B708,E708)</f>
        <v>0.64659341863465603</v>
      </c>
      <c r="P708" s="7">
        <f>[1]!EM_S_VAL_PCF_NCFTTM(B708,E708)</f>
        <v>9.2267360272758907</v>
      </c>
      <c r="Q708" s="7">
        <f>[1]!EM_S_VAL_DIVIDENDYIELD2(B708,E708,"2019-11-29")</f>
        <v>0.12422372372372374</v>
      </c>
      <c r="T708"/>
      <c r="U708">
        <f>[1]!EM_S_RATIO_EPS_TTM(B708,E708,"1")</f>
        <v>5.4235427601954794E-2</v>
      </c>
      <c r="AT708" s="4" t="str">
        <f>[1]!EM_S_IPO_LISTEDDATE(B708)</f>
        <v>2014-01-23</v>
      </c>
    </row>
    <row r="709" spans="1:46">
      <c r="A709">
        <v>2324</v>
      </c>
      <c r="B709" t="str">
        <f>"600186"</f>
        <v>600186</v>
      </c>
      <c r="C709" t="s">
        <v>3668</v>
      </c>
      <c r="D709" t="str">
        <f>[1]!EM_S_INFO_INDEX_EM(B709,"1")</f>
        <v>食品饮料</v>
      </c>
      <c r="E709" s="4">
        <f t="shared" si="11"/>
        <v>43465</v>
      </c>
      <c r="F709" s="11">
        <f>[1]!EM_S_PQ_PCTCHANGE(B709,"2018-01-01","2019-12-31","3")</f>
        <v>-9.4771241800000006</v>
      </c>
      <c r="G709" s="11">
        <f>[1]!EM_S_PQ_PCTCHANGE(B709,"2018-12-31","2019-12-30","1")</f>
        <v>41.269841270000001</v>
      </c>
      <c r="H709" s="11">
        <f>[1]!EM_S_FA_YOY_OR(B709,E709)</f>
        <v>-6.6973099732000003</v>
      </c>
      <c r="I709" s="11">
        <f>[1]!EM_S_FA_GROSSPROFITMARGIN(B709,E709)</f>
        <v>9.7015127565999997</v>
      </c>
      <c r="J709" s="11">
        <f>[1]!EM_S_FA_NETPROFITMARGIN(B709,E709)</f>
        <v>-22.2197765821</v>
      </c>
      <c r="K709" s="10">
        <f>[1]!EM_S_FA_ASSETSTURN(B709,E709)</f>
        <v>0.961048057856</v>
      </c>
      <c r="L709" s="12">
        <f>[1]!EM_HKS_VAL_MV(B709,"2019-12-31","2")</f>
        <v>2941807341.4699998</v>
      </c>
      <c r="M709">
        <f>[1]!EM_S_VAL_PETTMDEDUCTED(B709,E709)</f>
        <v>-12.3205041570153</v>
      </c>
      <c r="N709" s="7">
        <f>[1]!EM_S_VAL_PBGOODWILLDEDUCTED(B709,E709)</f>
        <v>-6.7268986587864799</v>
      </c>
      <c r="O709" s="7">
        <f>[1]!EM_S_VAL_PS_TTM(B709,E709)</f>
        <v>1.1358343574884</v>
      </c>
      <c r="P709" s="7">
        <f>[1]!EM_S_VAL_PCF_NCFTTM(B709,E709)</f>
        <v>-52.364110663974103</v>
      </c>
      <c r="Q709" s="7">
        <f>[1]!EM_S_VAL_DIVIDENDYIELD2(B709,E709,"2019-11-29")</f>
        <v>0</v>
      </c>
      <c r="T709"/>
      <c r="U709">
        <f>[1]!EM_S_RATIO_EPS_TTM(B709,E709,"1")</f>
        <v>-0.31310993757467764</v>
      </c>
      <c r="AT709" s="4" t="str">
        <f>[1]!EM_S_IPO_LISTEDDATE(B709)</f>
        <v>1998-08-25</v>
      </c>
    </row>
    <row r="710" spans="1:46">
      <c r="A710">
        <v>1491</v>
      </c>
      <c r="B710" t="str">
        <f>"300066"</f>
        <v>300066</v>
      </c>
      <c r="C710" t="s">
        <v>2077</v>
      </c>
      <c r="D710" t="str">
        <f>[1]!EM_S_INFO_INDEX_EM(B710,"1")</f>
        <v>机械设备</v>
      </c>
      <c r="E710" s="4">
        <f t="shared" si="11"/>
        <v>43465</v>
      </c>
      <c r="F710" s="11">
        <f>[1]!EM_S_PQ_PCTCHANGE(B710,"2018-01-01","2019-12-31","3")</f>
        <v>2.7268107399999999</v>
      </c>
      <c r="G710" s="11">
        <f>[1]!EM_S_PQ_PCTCHANGE(B710,"2018-12-31","2019-12-30","1")</f>
        <v>41.265060239999997</v>
      </c>
      <c r="H710" s="11">
        <f>[1]!EM_S_FA_YOY_OR(B710,E710)</f>
        <v>12.5859515436</v>
      </c>
      <c r="I710" s="11">
        <f>[1]!EM_S_FA_GROSSPROFITMARGIN(B710,E710)</f>
        <v>33.913390724599999</v>
      </c>
      <c r="J710" s="11">
        <f>[1]!EM_S_FA_NETPROFITMARGIN(B710,E710)</f>
        <v>14.8489435727</v>
      </c>
      <c r="K710" s="10">
        <f>[1]!EM_S_FA_ASSETSTURN(B710,E710)</f>
        <v>0.371636001193</v>
      </c>
      <c r="L710" s="12">
        <f>[1]!EM_HKS_VAL_MV(B710,"2019-12-31","2")</f>
        <v>4815354003.0600004</v>
      </c>
      <c r="M710">
        <f>[1]!EM_S_VAL_PETTMDEDUCTED(B710,E710)</f>
        <v>38.587020781027903</v>
      </c>
      <c r="N710" s="7">
        <f>[1]!EM_S_VAL_PBGOODWILLDEDUCTED(B710,E710)</f>
        <v>2.1766944773206101</v>
      </c>
      <c r="O710" s="7">
        <f>[1]!EM_S_VAL_PS_TTM(B710,E710)</f>
        <v>5.0644750637026501</v>
      </c>
      <c r="P710" s="7">
        <f>[1]!EM_S_VAL_PCF_NCFTTM(B710,E710)</f>
        <v>-153.337789006615</v>
      </c>
      <c r="Q710" s="7">
        <f>[1]!EM_S_VAL_DIVIDENDYIELD2(B710,E710,"2019-11-29")</f>
        <v>0.46620046620046629</v>
      </c>
      <c r="T710"/>
      <c r="U710">
        <f>[1]!EM_S_RATIO_EPS_TTM(B710,E710,"1")</f>
        <v>9.4037392950226631E-2</v>
      </c>
      <c r="AT710" s="4" t="str">
        <f>[1]!EM_S_IPO_LISTEDDATE(B710)</f>
        <v>2010-03-26</v>
      </c>
    </row>
    <row r="711" spans="1:46">
      <c r="A711">
        <v>3389</v>
      </c>
      <c r="B711" t="str">
        <f>"603385"</f>
        <v>603385</v>
      </c>
      <c r="C711" t="s">
        <v>1786</v>
      </c>
      <c r="D711" t="str">
        <f>[1]!EM_S_INFO_INDEX_EM(B711,"1")</f>
        <v>轻工制造</v>
      </c>
      <c r="E711" s="4">
        <f t="shared" si="11"/>
        <v>43465</v>
      </c>
      <c r="F711" s="11">
        <f>[1]!EM_S_PQ_PCTCHANGE(B711,"2018-01-01","2019-12-31","3")</f>
        <v>-28.547138619999998</v>
      </c>
      <c r="G711" s="11">
        <f>[1]!EM_S_PQ_PCTCHANGE(B711,"2018-12-31","2019-12-30","1")</f>
        <v>41.198501870000001</v>
      </c>
      <c r="H711" s="11">
        <f>[1]!EM_S_FA_YOY_OR(B711,E711)</f>
        <v>5.5237913812999997</v>
      </c>
      <c r="I711" s="11">
        <f>[1]!EM_S_FA_GROSSPROFITMARGIN(B711,E711)</f>
        <v>28.352308503100002</v>
      </c>
      <c r="J711" s="11">
        <f>[1]!EM_S_FA_NETPROFITMARGIN(B711,E711)</f>
        <v>8.9375783866000003</v>
      </c>
      <c r="K711" s="10">
        <f>[1]!EM_S_FA_ASSETSTURN(B711,E711)</f>
        <v>0.68355430371299997</v>
      </c>
      <c r="L711" s="12">
        <f>[1]!EM_HKS_VAL_MV(B711,"2019-12-31","2")</f>
        <v>4251753070.4400001</v>
      </c>
      <c r="M711">
        <f>[1]!EM_S_VAL_PETTMDEDUCTED(B711,E711)</f>
        <v>14.144294936894299</v>
      </c>
      <c r="N711" s="7">
        <f>[1]!EM_S_VAL_PBGOODWILLDEDUCTED(B711,E711)</f>
        <v>0.93970683248261799</v>
      </c>
      <c r="O711" s="7">
        <f>[1]!EM_S_VAL_PS_TTM(B711,E711)</f>
        <v>1.0410641011577899</v>
      </c>
      <c r="P711" s="7">
        <f>[1]!EM_S_VAL_PCF_NCFTTM(B711,E711)</f>
        <v>-6.8669636915139298</v>
      </c>
      <c r="Q711" s="7">
        <f>[1]!EM_S_VAL_DIVIDENDYIELD2(B711,E711,"2019-11-29")</f>
        <v>2.182163187855787</v>
      </c>
      <c r="T711"/>
      <c r="U711">
        <f>[1]!EM_S_RATIO_EPS_TTM(B711,E711,"1")</f>
        <v>0.6465280460036047</v>
      </c>
      <c r="AT711" s="4" t="str">
        <f>[1]!EM_S_IPO_LISTEDDATE(B711)</f>
        <v>2017-04-05</v>
      </c>
    </row>
    <row r="712" spans="1:46">
      <c r="A712">
        <v>2476</v>
      </c>
      <c r="B712" t="str">
        <f>"600356"</f>
        <v>600356</v>
      </c>
      <c r="C712" t="s">
        <v>2350</v>
      </c>
      <c r="D712" t="str">
        <f>[1]!EM_S_INFO_INDEX_EM(B712,"1")</f>
        <v>轻工制造</v>
      </c>
      <c r="E712" s="4">
        <f t="shared" si="11"/>
        <v>43465</v>
      </c>
      <c r="F712" s="11">
        <f>[1]!EM_S_PQ_PCTCHANGE(B712,"2018-01-01","2019-12-31","3")</f>
        <v>-4.1500155999999997</v>
      </c>
      <c r="G712" s="11">
        <f>[1]!EM_S_PQ_PCTCHANGE(B712,"2018-12-31","2019-12-30","1")</f>
        <v>41.165755920000002</v>
      </c>
      <c r="H712" s="11">
        <f>[1]!EM_S_FA_YOY_OR(B712,E712)</f>
        <v>11.546563967599999</v>
      </c>
      <c r="I712" s="11">
        <f>[1]!EM_S_FA_GROSSPROFITMARGIN(B712,E712)</f>
        <v>23.210893176300001</v>
      </c>
      <c r="J712" s="11">
        <f>[1]!EM_S_FA_NETPROFITMARGIN(B712,E712)</f>
        <v>4.0046932914999998</v>
      </c>
      <c r="K712" s="10">
        <f>[1]!EM_S_FA_ASSETSTURN(B712,E712)</f>
        <v>0.59129968030699998</v>
      </c>
      <c r="L712" s="12">
        <f>[1]!EM_HKS_VAL_MV(B712,"2019-12-31","2")</f>
        <v>2315168179.5</v>
      </c>
      <c r="M712">
        <f>[1]!EM_S_VAL_PETTMDEDUCTED(B712,E712)</f>
        <v>21.7840984249776</v>
      </c>
      <c r="N712" s="7">
        <f>[1]!EM_S_VAL_PBGOODWILLDEDUCTED(B712,E712)</f>
        <v>0.77716285877340596</v>
      </c>
      <c r="O712" s="7">
        <f>[1]!EM_S_VAL_PS_TTM(B712,E712)</f>
        <v>1.06734725353246</v>
      </c>
      <c r="P712" s="7">
        <f>[1]!EM_S_VAL_PCF_NCFTTM(B712,E712)</f>
        <v>-5.6148391243746198</v>
      </c>
      <c r="Q712" s="7">
        <f>[1]!EM_S_VAL_DIVIDENDYIELD2(B712,E712,"2019-11-29")</f>
        <v>0.88888888888888884</v>
      </c>
      <c r="T712"/>
      <c r="U712">
        <f>[1]!EM_S_RATIO_EPS_TTM(B712,E712,"1")</f>
        <v>0.22359406252261854</v>
      </c>
      <c r="AT712" s="4" t="str">
        <f>[1]!EM_S_IPO_LISTEDDATE(B712)</f>
        <v>2001-04-19</v>
      </c>
    </row>
    <row r="713" spans="1:46">
      <c r="A713">
        <v>1145</v>
      </c>
      <c r="B713" t="str">
        <f>"002634"</f>
        <v>002634</v>
      </c>
      <c r="C713" t="s">
        <v>2493</v>
      </c>
      <c r="D713" t="str">
        <f>[1]!EM_S_INFO_INDEX_EM(B713,"1")</f>
        <v>纺织服装</v>
      </c>
      <c r="E713" s="4">
        <f t="shared" si="11"/>
        <v>43465</v>
      </c>
      <c r="F713" s="11">
        <f>[1]!EM_S_PQ_PCTCHANGE(B713,"2018-01-01","2019-12-31","3")</f>
        <v>-2.4317362500000002</v>
      </c>
      <c r="G713" s="11">
        <f>[1]!EM_S_PQ_PCTCHANGE(B713,"2018-12-31","2019-12-30","1")</f>
        <v>41.093117409999998</v>
      </c>
      <c r="H713" s="11">
        <f>[1]!EM_S_FA_YOY_OR(B713,E713)</f>
        <v>-4.2806323480000001</v>
      </c>
      <c r="I713" s="11">
        <f>[1]!EM_S_FA_GROSSPROFITMARGIN(B713,E713)</f>
        <v>26.387586999300002</v>
      </c>
      <c r="J713" s="11">
        <f>[1]!EM_S_FA_NETPROFITMARGIN(B713,E713)</f>
        <v>2.8204154248000002</v>
      </c>
      <c r="K713" s="10">
        <f>[1]!EM_S_FA_ASSETSTURN(B713,E713)</f>
        <v>0.39926684696100001</v>
      </c>
      <c r="L713" s="12">
        <f>[1]!EM_HKS_VAL_MV(B713,"2019-12-31","2")</f>
        <v>3233841691.52</v>
      </c>
      <c r="M713">
        <f>[1]!EM_S_VAL_PETTMDEDUCTED(B713,E713)</f>
        <v>71.879827011958497</v>
      </c>
      <c r="N713" s="7">
        <f>[1]!EM_S_VAL_PBGOODWILLDEDUCTED(B713,E713)</f>
        <v>3.3200837233111602</v>
      </c>
      <c r="O713" s="7">
        <f>[1]!EM_S_VAL_PS_TTM(B713,E713)</f>
        <v>5.3259627031689396</v>
      </c>
      <c r="P713" s="7">
        <f>[1]!EM_S_VAL_PCF_NCFTTM(B713,E713)</f>
        <v>-85.041319632171096</v>
      </c>
      <c r="Q713" s="7">
        <f>[1]!EM_S_VAL_DIVIDENDYIELD2(B713,E713,"2019-11-29")</f>
        <v>0</v>
      </c>
      <c r="T713"/>
      <c r="U713">
        <f>[1]!EM_S_RATIO_EPS_TTM(B713,E713,"1")</f>
        <v>3.9362893276680723E-2</v>
      </c>
      <c r="AT713" s="4" t="str">
        <f>[1]!EM_S_IPO_LISTEDDATE(B713)</f>
        <v>2011-12-05</v>
      </c>
    </row>
    <row r="714" spans="1:46">
      <c r="A714">
        <v>236</v>
      </c>
      <c r="B714" t="str">
        <f>"000636"</f>
        <v>000636</v>
      </c>
      <c r="C714" t="s">
        <v>1020</v>
      </c>
      <c r="D714" t="str">
        <f>[1]!EM_S_INFO_INDEX_EM(B714,"1")</f>
        <v>电子设备</v>
      </c>
      <c r="E714" s="4">
        <f t="shared" si="11"/>
        <v>43465</v>
      </c>
      <c r="F714" s="11">
        <f>[1]!EM_S_PQ_PCTCHANGE(B714,"2018-01-01","2019-12-31","3")</f>
        <v>28.962337170000001</v>
      </c>
      <c r="G714" s="11">
        <f>[1]!EM_S_PQ_PCTCHANGE(B714,"2018-12-31","2019-12-30","1")</f>
        <v>41.061452510000002</v>
      </c>
      <c r="H714" s="11">
        <f>[1]!EM_S_FA_YOY_OR(B714,E714)</f>
        <v>36.510936909100003</v>
      </c>
      <c r="I714" s="11">
        <f>[1]!EM_S_FA_GROSSPROFITMARGIN(B714,E714)</f>
        <v>41.669477221699999</v>
      </c>
      <c r="J714" s="11">
        <f>[1]!EM_S_FA_NETPROFITMARGIN(B714,E714)</f>
        <v>22.462355366200001</v>
      </c>
      <c r="K714" s="10">
        <f>[1]!EM_S_FA_ASSETSTURN(B714,E714)</f>
        <v>0.68503313060799997</v>
      </c>
      <c r="L714" s="12">
        <f>[1]!EM_HKS_VAL_MV(B714,"2019-12-31","2")</f>
        <v>13330021022.790001</v>
      </c>
      <c r="M714">
        <f>[1]!EM_S_VAL_PETTMDEDUCTED(B714,E714)</f>
        <v>11.0919831781012</v>
      </c>
      <c r="N714" s="7">
        <f>[1]!EM_S_VAL_PBGOODWILLDEDUCTED(B714,E714)</f>
        <v>1.8264117276263201</v>
      </c>
      <c r="O714" s="7">
        <f>[1]!EM_S_VAL_PS_TTM(B714,E714)</f>
        <v>2.10132659691262</v>
      </c>
      <c r="P714" s="7">
        <f>[1]!EM_S_VAL_PCF_NCFTTM(B714,E714)</f>
        <v>16.783652181808701</v>
      </c>
      <c r="Q714" s="7">
        <f>[1]!EM_S_VAL_DIVIDENDYIELD2(B714,E714,"2019-11-29")</f>
        <v>2.2624434389140271</v>
      </c>
      <c r="T714"/>
      <c r="U714">
        <f>[1]!EM_S_RATIO_EPS_TTM(B714,E714,"1")</f>
        <v>1.1362093137660991</v>
      </c>
      <c r="AT714" s="4" t="str">
        <f>[1]!EM_S_IPO_LISTEDDATE(B714)</f>
        <v>1996-11-29</v>
      </c>
    </row>
    <row r="715" spans="1:46">
      <c r="A715">
        <v>4</v>
      </c>
      <c r="B715" t="str">
        <f>"000004"</f>
        <v>000004</v>
      </c>
      <c r="C715" t="s">
        <v>1701</v>
      </c>
      <c r="D715" t="str">
        <f>[1]!EM_S_INFO_INDEX_EM(B715,"1")</f>
        <v>医药生物</v>
      </c>
      <c r="E715" s="4">
        <f t="shared" si="11"/>
        <v>43465</v>
      </c>
      <c r="F715" s="11">
        <f>[1]!EM_S_PQ_PCTCHANGE(B715,"2018-01-01","2019-12-31","3")</f>
        <v>0.9383378</v>
      </c>
      <c r="G715" s="11">
        <f>[1]!EM_S_PQ_PCTCHANGE(B715,"2019-01-01","2019-12-31","3")</f>
        <v>40.923268870000001</v>
      </c>
      <c r="H715" s="11">
        <f>[1]!EM_S_FA_YOY_OR(B715,E715)</f>
        <v>164.68495083560001</v>
      </c>
      <c r="I715" s="11">
        <f>[1]!EM_S_FA_GROSSPROFITMARGIN(B715,E715)</f>
        <v>81.879185085200007</v>
      </c>
      <c r="J715" s="11">
        <f>[1]!EM_S_FA_NETPROFITMARGIN(B715,E715)</f>
        <v>-5.8911201561000004</v>
      </c>
      <c r="K715" s="10">
        <f>[1]!EM_S_FA_ASSETSTURN(B715,E715)</f>
        <v>1.1834062122669999</v>
      </c>
      <c r="L715" s="12">
        <f>[1]!EM_HKS_VAL_MV(B715,"2019-12-31","2")</f>
        <v>1897033291.5599999</v>
      </c>
      <c r="M715">
        <f>[1]!EM_S_VAL_PETTMDEDUCTED(B715,E715)</f>
        <v>-1583.3798703755001</v>
      </c>
      <c r="N715" s="7">
        <f>[1]!EM_S_VAL_PBGOODWILLDEDUCTED(B715,E715)</f>
        <v>12.323309242299199</v>
      </c>
      <c r="O715" s="7">
        <f>[1]!EM_S_VAL_PS_TTM(B715,E715)</f>
        <v>4.1575100673054504</v>
      </c>
      <c r="P715" s="7">
        <f>[1]!EM_S_VAL_PCF_NCFTTM(B715,E715)</f>
        <v>322.609974850252</v>
      </c>
      <c r="Q715" s="7">
        <f>[1]!EM_S_VAL_DIVIDENDYIELD2(B715,E715,"2019-11-29")</f>
        <v>0</v>
      </c>
      <c r="T715"/>
      <c r="U715">
        <f>[1]!EM_S_RATIO_EPS_TTM(B715,E715,"1")</f>
        <v>-0.24138585634079099</v>
      </c>
      <c r="V715">
        <f>[1]!EM_S_FA_BPS(B715,E715)</f>
        <v>1.3007869627240001</v>
      </c>
      <c r="AT715" s="4" t="str">
        <f>[1]!EM_S_IPO_LISTEDDATE(B715)</f>
        <v>1991-01-14</v>
      </c>
    </row>
    <row r="716" spans="1:46">
      <c r="A716">
        <v>2473</v>
      </c>
      <c r="B716" t="str">
        <f>"600353"</f>
        <v>600353</v>
      </c>
      <c r="C716" t="s">
        <v>2265</v>
      </c>
      <c r="D716" t="str">
        <f>[1]!EM_S_INFO_INDEX_EM(B716,"1")</f>
        <v>电子设备</v>
      </c>
      <c r="E716" s="4">
        <f t="shared" si="11"/>
        <v>43465</v>
      </c>
      <c r="F716" s="11">
        <f>[1]!EM_S_PQ_PCTCHANGE(B716,"2018-01-01","2019-12-31","3")</f>
        <v>-6.6673232899999997</v>
      </c>
      <c r="G716" s="11">
        <f>[1]!EM_S_PQ_PCTCHANGE(B716,"2018-12-31","2019-12-30","1")</f>
        <v>40.852130330000001</v>
      </c>
      <c r="H716" s="11">
        <f>[1]!EM_S_FA_YOY_OR(B716,E716)</f>
        <v>-0.26728506540000002</v>
      </c>
      <c r="I716" s="11">
        <f>[1]!EM_S_FA_GROSSPROFITMARGIN(B716,E716)</f>
        <v>18.475917393100001</v>
      </c>
      <c r="J716" s="11">
        <f>[1]!EM_S_FA_NETPROFITMARGIN(B716,E716)</f>
        <v>5.8099607916</v>
      </c>
      <c r="K716" s="10">
        <f>[1]!EM_S_FA_ASSETSTURN(B716,E716)</f>
        <v>0.61736328300999999</v>
      </c>
      <c r="L716" s="12">
        <f>[1]!EM_HKS_VAL_MV(B716,"2019-12-31","2")</f>
        <v>3050269200</v>
      </c>
      <c r="M716">
        <f>[1]!EM_S_VAL_PETTMDEDUCTED(B716,E716)</f>
        <v>47.1694001285789</v>
      </c>
      <c r="N716" s="7">
        <f>[1]!EM_S_VAL_PBGOODWILLDEDUCTED(B716,E716)</f>
        <v>2.1250479277342702</v>
      </c>
      <c r="O716" s="7">
        <f>[1]!EM_S_VAL_PS_TTM(B716,E716)</f>
        <v>2.0878570640954801</v>
      </c>
      <c r="P716" s="7">
        <f>[1]!EM_S_VAL_PCF_NCFTTM(B716,E716)</f>
        <v>-21.010814219308799</v>
      </c>
      <c r="Q716" s="7">
        <f>[1]!EM_S_VAL_DIVIDENDYIELD2(B716,E716,"2019-11-29")</f>
        <v>1.2072434607645874</v>
      </c>
      <c r="T716"/>
      <c r="U716">
        <f>[1]!EM_S_RATIO_EPS_TTM(B716,E716,"1")</f>
        <v>0.10370835238725815</v>
      </c>
      <c r="AT716" s="4" t="str">
        <f>[1]!EM_S_IPO_LISTEDDATE(B716)</f>
        <v>2002-11-20</v>
      </c>
    </row>
    <row r="717" spans="1:46">
      <c r="A717">
        <v>3219</v>
      </c>
      <c r="B717" t="str">
        <f>"603021"</f>
        <v>603021</v>
      </c>
      <c r="C717" t="s">
        <v>2943</v>
      </c>
      <c r="D717" t="str">
        <f>[1]!EM_S_INFO_INDEX_EM(B717,"1")</f>
        <v>建材</v>
      </c>
      <c r="E717" s="4">
        <f t="shared" si="11"/>
        <v>43465</v>
      </c>
      <c r="F717" s="11">
        <f>[1]!EM_S_PQ_PCTCHANGE(B717,"2018-01-01","2019-12-31","3")</f>
        <v>-12.51240087</v>
      </c>
      <c r="G717" s="11">
        <f>[1]!EM_S_PQ_PCTCHANGE(B717,"2018-12-31","2019-12-30","1")</f>
        <v>40.798611110000003</v>
      </c>
      <c r="H717" s="11">
        <f>[1]!EM_S_FA_YOY_OR(B717,E717)</f>
        <v>2.2247709808999998</v>
      </c>
      <c r="I717" s="11">
        <f>[1]!EM_S_FA_GROSSPROFITMARGIN(B717,E717)</f>
        <v>22.8836172468</v>
      </c>
      <c r="J717" s="11">
        <f>[1]!EM_S_FA_NETPROFITMARGIN(B717,E717)</f>
        <v>1.3991091751</v>
      </c>
      <c r="K717" s="10">
        <f>[1]!EM_S_FA_ASSETSTURN(B717,E717)</f>
        <v>0.26726143315500001</v>
      </c>
      <c r="L717" s="12">
        <f>[1]!EM_HKS_VAL_MV(B717,"2019-12-31","2")</f>
        <v>2652369500.3000002</v>
      </c>
      <c r="M717">
        <f>[1]!EM_S_VAL_PETTMDEDUCTED(B717,E717)</f>
        <v>-37.823871743180398</v>
      </c>
      <c r="N717" s="7">
        <f>[1]!EM_S_VAL_PBGOODWILLDEDUCTED(B717,E717)</f>
        <v>1.3717010189709999</v>
      </c>
      <c r="O717" s="7">
        <f>[1]!EM_S_VAL_PS_TTM(B717,E717)</f>
        <v>2.2331296741821598</v>
      </c>
      <c r="P717" s="7">
        <f>[1]!EM_S_VAL_PCF_NCFTTM(B717,E717)</f>
        <v>-9.2726683385556203</v>
      </c>
      <c r="Q717" s="7">
        <f>[1]!EM_S_VAL_DIVIDENDYIELD2(B717,E717,"2019-11-29")</f>
        <v>0.21621621621621623</v>
      </c>
      <c r="T717"/>
      <c r="U717">
        <f>[1]!EM_S_RATIO_EPS_TTM(B717,E717,"1")</f>
        <v>6.1721777474700812E-2</v>
      </c>
      <c r="AT717" s="4" t="str">
        <f>[1]!EM_S_IPO_LISTEDDATE(B717)</f>
        <v>2015-04-23</v>
      </c>
    </row>
    <row r="718" spans="1:46">
      <c r="A718">
        <v>1152</v>
      </c>
      <c r="B718" t="str">
        <f>"002641"</f>
        <v>002641</v>
      </c>
      <c r="C718" t="s">
        <v>2865</v>
      </c>
      <c r="D718" t="str">
        <f>[1]!EM_S_INFO_INDEX_EM(B718,"1")</f>
        <v>建材</v>
      </c>
      <c r="E718" s="4">
        <f t="shared" si="11"/>
        <v>43465</v>
      </c>
      <c r="F718" s="11">
        <f>[1]!EM_S_PQ_PCTCHANGE(B718,"2018-01-01","2019-12-31","3")</f>
        <v>6.86532126</v>
      </c>
      <c r="G718" s="11">
        <f>[1]!EM_S_PQ_PCTCHANGE(B718,"2018-12-31","2019-12-30","1")</f>
        <v>40.797546009999998</v>
      </c>
      <c r="H718" s="11">
        <f>[1]!EM_S_FA_YOY_OR(B718,E718)</f>
        <v>17.1576203055</v>
      </c>
      <c r="I718" s="11">
        <f>[1]!EM_S_FA_GROSSPROFITMARGIN(B718,E718)</f>
        <v>23.592996146499999</v>
      </c>
      <c r="J718" s="11">
        <f>[1]!EM_S_FA_NETPROFITMARGIN(B718,E718)</f>
        <v>4.5700527582000001</v>
      </c>
      <c r="K718" s="10">
        <f>[1]!EM_S_FA_ASSETSTURN(B718,E718)</f>
        <v>1.064937411898</v>
      </c>
      <c r="L718" s="12">
        <f>[1]!EM_HKS_VAL_MV(B718,"2019-12-31","2")</f>
        <v>5245344000</v>
      </c>
      <c r="M718">
        <f>[1]!EM_S_VAL_PETTMDEDUCTED(B718,E718)</f>
        <v>16.916212897190601</v>
      </c>
      <c r="N718" s="7">
        <f>[1]!EM_S_VAL_PBGOODWILLDEDUCTED(B718,E718)</f>
        <v>1.2794466874258701</v>
      </c>
      <c r="O718" s="7">
        <f>[1]!EM_S_VAL_PS_TTM(B718,E718)</f>
        <v>0.72215720110336101</v>
      </c>
      <c r="P718" s="7">
        <f>[1]!EM_S_VAL_PCF_NCFTTM(B718,E718)</f>
        <v>58.533406245237899</v>
      </c>
      <c r="Q718" s="7">
        <f>[1]!EM_S_VAL_DIVIDENDYIELD2(B718,E718,"2019-11-29")</f>
        <v>0.73991031390134532</v>
      </c>
      <c r="T718"/>
      <c r="U718">
        <f>[1]!EM_S_RATIO_EPS_TTM(B718,E718,"1")</f>
        <v>0.21783334350961539</v>
      </c>
      <c r="AT718" s="4" t="str">
        <f>[1]!EM_S_IPO_LISTEDDATE(B718)</f>
        <v>2011-12-08</v>
      </c>
    </row>
    <row r="719" spans="1:46">
      <c r="A719">
        <v>2870</v>
      </c>
      <c r="B719" t="str">
        <f>"600797"</f>
        <v>600797</v>
      </c>
      <c r="C719" t="s">
        <v>2441</v>
      </c>
      <c r="D719" t="str">
        <f>[1]!EM_S_INFO_INDEX_EM(B719,"1")</f>
        <v>信息技术</v>
      </c>
      <c r="E719" s="4">
        <f t="shared" si="11"/>
        <v>43465</v>
      </c>
      <c r="F719" s="11">
        <f>[1]!EM_S_PQ_PCTCHANGE(B719,"2018-01-01","2019-12-31","3")</f>
        <v>-14.10027141</v>
      </c>
      <c r="G719" s="11">
        <f>[1]!EM_S_PQ_PCTCHANGE(B719,"2018-12-31","2019-12-30","1")</f>
        <v>40.776699030000003</v>
      </c>
      <c r="H719" s="11">
        <f>[1]!EM_S_FA_YOY_OR(B719,E719)</f>
        <v>9.3571422684000005</v>
      </c>
      <c r="I719" s="11">
        <f>[1]!EM_S_FA_GROSSPROFITMARGIN(B719,E719)</f>
        <v>30.529159933100001</v>
      </c>
      <c r="J719" s="11">
        <f>[1]!EM_S_FA_NETPROFITMARGIN(B719,E719)</f>
        <v>5.8207578667000002</v>
      </c>
      <c r="K719" s="10">
        <f>[1]!EM_S_FA_ASSETSTURN(B719,E719)</f>
        <v>0.53631022836300002</v>
      </c>
      <c r="L719" s="12">
        <f>[1]!EM_HKS_VAL_MV(B719,"2019-12-31","2")</f>
        <v>10539620602.77</v>
      </c>
      <c r="M719">
        <f>[1]!EM_S_VAL_PETTMDEDUCTED(B719,E719)</f>
        <v>41.308596844817501</v>
      </c>
      <c r="N719" s="7">
        <f>[1]!EM_S_VAL_PBGOODWILLDEDUCTED(B719,E719)</f>
        <v>2.3194312024955601</v>
      </c>
      <c r="O719" s="7">
        <f>[1]!EM_S_VAL_PS_TTM(B719,E719)</f>
        <v>2.1302669538779999</v>
      </c>
      <c r="P719" s="7">
        <f>[1]!EM_S_VAL_PCF_NCFTTM(B719,E719)</f>
        <v>-10.800024304044101</v>
      </c>
      <c r="Q719" s="7">
        <f>[1]!EM_S_VAL_DIVIDENDYIELD2(B719,E719,"2019-11-29")</f>
        <v>0.30551535215509434</v>
      </c>
      <c r="T719"/>
      <c r="U719">
        <f>[1]!EM_S_RATIO_EPS_TTM(B719,E719,"1")</f>
        <v>0.16735807313902876</v>
      </c>
      <c r="AT719" s="4" t="str">
        <f>[1]!EM_S_IPO_LISTEDDATE(B719)</f>
        <v>1997-04-18</v>
      </c>
    </row>
    <row r="720" spans="1:46">
      <c r="A720">
        <v>455</v>
      </c>
      <c r="B720" t="str">
        <f>"000931"</f>
        <v>000931</v>
      </c>
      <c r="C720" t="s">
        <v>2683</v>
      </c>
      <c r="D720" t="str">
        <f>[1]!EM_S_INFO_INDEX_EM(B720,"1")</f>
        <v>医药生物</v>
      </c>
      <c r="E720" s="4">
        <f t="shared" si="11"/>
        <v>43465</v>
      </c>
      <c r="F720" s="11">
        <f>[1]!EM_S_PQ_PCTCHANGE(B720,"2018-01-01","2019-12-31","3")</f>
        <v>43.002915450000003</v>
      </c>
      <c r="G720" s="11">
        <f>[1]!EM_S_PQ_PCTCHANGE(B720,"2018-12-31","2019-12-30","1")</f>
        <v>40.751445089999997</v>
      </c>
      <c r="H720" s="11">
        <f>[1]!EM_S_FA_YOY_OR(B720,E720)</f>
        <v>1.9345730941999999</v>
      </c>
      <c r="I720" s="11">
        <f>[1]!EM_S_FA_GROSSPROFITMARGIN(B720,E720)</f>
        <v>53.437151685300002</v>
      </c>
      <c r="J720" s="11">
        <f>[1]!EM_S_FA_NETPROFITMARGIN(B720,E720)</f>
        <v>6.8158913061000002</v>
      </c>
      <c r="K720" s="10">
        <f>[1]!EM_S_FA_ASSETSTURN(B720,E720)</f>
        <v>0.49424677714699999</v>
      </c>
      <c r="L720" s="12">
        <f>[1]!EM_HKS_VAL_MV(B720,"2019-12-31","2")</f>
        <v>7388175693.4200001</v>
      </c>
      <c r="M720">
        <f>[1]!EM_S_VAL_PETTMDEDUCTED(B720,E720)</f>
        <v>43.759851357497404</v>
      </c>
      <c r="N720" s="7">
        <f>[1]!EM_S_VAL_PBGOODWILLDEDUCTED(B720,E720)</f>
        <v>3.5290233394594601</v>
      </c>
      <c r="O720" s="7">
        <f>[1]!EM_S_VAL_PS_TTM(B720,E720)</f>
        <v>2.8233239805552302</v>
      </c>
      <c r="P720" s="7">
        <f>[1]!EM_S_VAL_PCF_NCFTTM(B720,E720)</f>
        <v>-117.164206213683</v>
      </c>
      <c r="Q720" s="7">
        <f>[1]!EM_S_VAL_DIVIDENDYIELD2(B720,E720,"2019-11-29")</f>
        <v>0</v>
      </c>
      <c r="T720"/>
      <c r="U720">
        <f>[1]!EM_S_RATIO_EPS_TTM(B720,E720,"1")</f>
        <v>0.12367130253739868</v>
      </c>
      <c r="AT720" s="4" t="str">
        <f>[1]!EM_S_IPO_LISTEDDATE(B720)</f>
        <v>1999-07-12</v>
      </c>
    </row>
    <row r="721" spans="1:46">
      <c r="A721">
        <v>1045</v>
      </c>
      <c r="B721" t="str">
        <f>"002534"</f>
        <v>002534</v>
      </c>
      <c r="C721" t="s">
        <v>1027</v>
      </c>
      <c r="D721" t="str">
        <f>[1]!EM_S_INFO_INDEX_EM(B721,"1")</f>
        <v>电气设备</v>
      </c>
      <c r="E721" s="4">
        <f t="shared" si="11"/>
        <v>43465</v>
      </c>
      <c r="F721" s="11">
        <f>[1]!EM_S_PQ_PCTCHANGE(B721,"2018-01-01","2019-12-31","3")</f>
        <v>-24.494346119999999</v>
      </c>
      <c r="G721" s="11">
        <f>[1]!EM_S_PQ_PCTCHANGE(B721,"2018-12-31","2019-12-30","1")</f>
        <v>40.747663549999999</v>
      </c>
      <c r="H721" s="11">
        <f>[1]!EM_S_FA_YOY_OR(B721,E721)</f>
        <v>2.0169667268000002</v>
      </c>
      <c r="I721" s="11">
        <f>[1]!EM_S_FA_GROSSPROFITMARGIN(B721,E721)</f>
        <v>24.773565737399998</v>
      </c>
      <c r="J721" s="11">
        <f>[1]!EM_S_FA_NETPROFITMARGIN(B721,E721)</f>
        <v>6.3170151448</v>
      </c>
      <c r="K721" s="10">
        <f>[1]!EM_S_FA_ASSETSTURN(B721,E721)</f>
        <v>0.43451542539600002</v>
      </c>
      <c r="L721" s="12">
        <f>[1]!EM_HKS_VAL_MV(B721,"2019-12-31","2")</f>
        <v>5707132362</v>
      </c>
      <c r="M721">
        <f>[1]!EM_S_VAL_PETTMDEDUCTED(B721,E721)</f>
        <v>34.963656878304697</v>
      </c>
      <c r="N721" s="7">
        <f>[1]!EM_S_VAL_PBGOODWILLDEDUCTED(B721,E721)</f>
        <v>1.2795654515538899</v>
      </c>
      <c r="O721" s="7">
        <f>[1]!EM_S_VAL_PS_TTM(B721,E721)</f>
        <v>1.19711639325573</v>
      </c>
      <c r="P721" s="7">
        <f>[1]!EM_S_VAL_PCF_NCFTTM(B721,E721)</f>
        <v>-37.950494093678302</v>
      </c>
      <c r="Q721" s="7">
        <f>[1]!EM_S_VAL_DIVIDENDYIELD2(B721,E721,"2019-11-29")</f>
        <v>2.6281208935611038</v>
      </c>
      <c r="T721"/>
      <c r="U721">
        <f>[1]!EM_S_RATIO_EPS_TTM(B721,E721,"1")</f>
        <v>0.33012665170707522</v>
      </c>
      <c r="AT721" s="4" t="str">
        <f>[1]!EM_S_IPO_LISTEDDATE(B721)</f>
        <v>2011-01-10</v>
      </c>
    </row>
    <row r="722" spans="1:46">
      <c r="A722">
        <v>2168</v>
      </c>
      <c r="B722" t="str">
        <f>"600007"</f>
        <v>600007</v>
      </c>
      <c r="C722" t="s">
        <v>778</v>
      </c>
      <c r="D722" t="str">
        <f>[1]!EM_S_INFO_INDEX_EM(B722,"1")</f>
        <v>房地产</v>
      </c>
      <c r="E722" s="4">
        <f t="shared" si="11"/>
        <v>43465</v>
      </c>
      <c r="F722" s="11">
        <f>[1]!EM_S_PQ_PCTCHANGE(B722,"2018-01-01","2019-12-31","3")</f>
        <v>6.78237603</v>
      </c>
      <c r="G722" s="11">
        <f>[1]!EM_S_PQ_PCTCHANGE(B722,"2018-12-31","2019-12-30","1")</f>
        <v>40.703125</v>
      </c>
      <c r="H722" s="11">
        <f>[1]!EM_S_FA_YOY_OR(B722,E722)</f>
        <v>14.614594368300001</v>
      </c>
      <c r="I722" s="11">
        <f>[1]!EM_S_FA_GROSSPROFITMARGIN(B722,E722)</f>
        <v>51.557552043400001</v>
      </c>
      <c r="J722" s="11">
        <f>[1]!EM_S_FA_NETPROFITMARGIN(B722,E722)</f>
        <v>24.456999225400001</v>
      </c>
      <c r="K722" s="10">
        <f>[1]!EM_S_FA_ASSETSTURN(B722,E722)</f>
        <v>0.27864171622700001</v>
      </c>
      <c r="L722" s="12">
        <f>[1]!EM_HKS_VAL_MV(B722,"2019-12-31","2")</f>
        <v>17627444345</v>
      </c>
      <c r="M722">
        <f>[1]!EM_S_VAL_PETTMDEDUCTED(B722,E722)</f>
        <v>16.812220154206202</v>
      </c>
      <c r="N722" s="7">
        <f>[1]!EM_S_VAL_PBGOODWILLDEDUCTED(B722,E722)</f>
        <v>1.8632223329234401</v>
      </c>
      <c r="O722" s="7">
        <f>[1]!EM_S_VAL_PS_TTM(B722,E722)</f>
        <v>4.1446425411094703</v>
      </c>
      <c r="P722" s="7">
        <f>[1]!EM_S_VAL_PCF_NCFTTM(B722,E722)</f>
        <v>-36.269973972166298</v>
      </c>
      <c r="Q722" s="7">
        <f>[1]!EM_S_VAL_DIVIDENDYIELD2(B722,E722,"2019-11-29")</f>
        <v>1.9643953345610803</v>
      </c>
      <c r="T722"/>
      <c r="U722">
        <f>[1]!EM_S_RATIO_EPS_TTM(B722,E722,"1")</f>
        <v>0.76905068126595755</v>
      </c>
      <c r="AT722" s="4" t="str">
        <f>[1]!EM_S_IPO_LISTEDDATE(B722)</f>
        <v>1999-03-12</v>
      </c>
    </row>
    <row r="723" spans="1:46">
      <c r="A723">
        <v>1821</v>
      </c>
      <c r="B723" t="str">
        <f>"300396"</f>
        <v>300396</v>
      </c>
      <c r="C723" t="s">
        <v>929</v>
      </c>
      <c r="D723" t="str">
        <f>[1]!EM_S_INFO_INDEX_EM(B723,"1")</f>
        <v>医药生物</v>
      </c>
      <c r="E723" s="4">
        <f t="shared" si="11"/>
        <v>43465</v>
      </c>
      <c r="F723" s="11">
        <f>[1]!EM_S_PQ_PCTCHANGE(B723,"2018-01-01","2019-12-31","3")</f>
        <v>-28.554279829999999</v>
      </c>
      <c r="G723" s="11">
        <f>[1]!EM_S_PQ_PCTCHANGE(B723,"2018-12-31","2019-12-30","1")</f>
        <v>40.572390570000003</v>
      </c>
      <c r="H723" s="11">
        <f>[1]!EM_S_FA_YOY_OR(B723,E723)</f>
        <v>7.5750432872999998</v>
      </c>
      <c r="I723" s="11">
        <f>[1]!EM_S_FA_GROSSPROFITMARGIN(B723,E723)</f>
        <v>65.108811649100005</v>
      </c>
      <c r="J723" s="11">
        <f>[1]!EM_S_FA_NETPROFITMARGIN(B723,E723)</f>
        <v>25.707398815800001</v>
      </c>
      <c r="K723" s="10">
        <f>[1]!EM_S_FA_ASSETSTURN(B723,E723)</f>
        <v>0.48616334137299999</v>
      </c>
      <c r="L723" s="12">
        <f>[1]!EM_HKS_VAL_MV(B723,"2019-12-31","2")</f>
        <v>4673187900</v>
      </c>
      <c r="M723">
        <f>[1]!EM_S_VAL_PETTMDEDUCTED(B723,E723)</f>
        <v>18.832621752401401</v>
      </c>
      <c r="N723" s="7">
        <f>[1]!EM_S_VAL_PBGOODWILLDEDUCTED(B723,E723)</f>
        <v>3.33270323355719</v>
      </c>
      <c r="O723" s="7">
        <f>[1]!EM_S_VAL_PS_TTM(B723,E723)</f>
        <v>3.5359218368576202</v>
      </c>
      <c r="P723" s="7">
        <f>[1]!EM_S_VAL_PCF_NCFTTM(B723,E723)</f>
        <v>29.899650703915999</v>
      </c>
      <c r="Q723" s="7">
        <f>[1]!EM_S_VAL_DIVIDENDYIELD2(B723,E723,"2019-11-29")</f>
        <v>1.7146356399265155</v>
      </c>
      <c r="T723"/>
      <c r="U723">
        <f>[1]!EM_S_RATIO_EPS_TTM(B723,E723,"1")</f>
        <v>0.71632748523711187</v>
      </c>
      <c r="AT723" s="4" t="str">
        <f>[1]!EM_S_IPO_LISTEDDATE(B723)</f>
        <v>2014-09-10</v>
      </c>
    </row>
    <row r="724" spans="1:46">
      <c r="A724">
        <v>3449</v>
      </c>
      <c r="B724" t="str">
        <f>"603599"</f>
        <v>603599</v>
      </c>
      <c r="C724" t="s">
        <v>955</v>
      </c>
      <c r="D724" t="str">
        <f>[1]!EM_S_INFO_INDEX_EM(B724,"1")</f>
        <v>基础化工</v>
      </c>
      <c r="E724" s="4">
        <f t="shared" si="11"/>
        <v>43465</v>
      </c>
      <c r="F724" s="11">
        <f>[1]!EM_S_PQ_PCTCHANGE(B724,"2018-01-01","2019-12-31","3")</f>
        <v>-21.557801779999998</v>
      </c>
      <c r="G724" s="11">
        <f>[1]!EM_S_PQ_PCTCHANGE(B724,"2018-12-31","2019-12-30","1")</f>
        <v>40.571428570000002</v>
      </c>
      <c r="H724" s="11">
        <f>[1]!EM_S_FA_YOY_OR(B724,E724)</f>
        <v>21.346284967199999</v>
      </c>
      <c r="I724" s="11">
        <f>[1]!EM_S_FA_GROSSPROFITMARGIN(B724,E724)</f>
        <v>36.090559309299998</v>
      </c>
      <c r="J724" s="11">
        <f>[1]!EM_S_FA_NETPROFITMARGIN(B724,E724)</f>
        <v>16.4758532737</v>
      </c>
      <c r="K724" s="10">
        <f>[1]!EM_S_FA_ASSETSTURN(B724,E724)</f>
        <v>0.49981411931000003</v>
      </c>
      <c r="L724" s="12">
        <f>[1]!EM_HKS_VAL_MV(B724,"2019-12-31","2")</f>
        <v>6965540233.6499996</v>
      </c>
      <c r="M724">
        <f>[1]!EM_S_VAL_PETTMDEDUCTED(B724,E724)</f>
        <v>12.0835750995089</v>
      </c>
      <c r="N724" s="7">
        <f>[1]!EM_S_VAL_PBGOODWILLDEDUCTED(B724,E724)</f>
        <v>1.0518465075496199</v>
      </c>
      <c r="O724" s="7">
        <f>[1]!EM_S_VAL_PS_TTM(B724,E724)</f>
        <v>1.75513027760469</v>
      </c>
      <c r="P724" s="7">
        <f>[1]!EM_S_VAL_PCF_NCFTTM(B724,E724)</f>
        <v>6.7250377025055998</v>
      </c>
      <c r="Q724" s="7">
        <f>[1]!EM_S_VAL_DIVIDENDYIELD2(B724,E724,"2019-11-29")</f>
        <v>1.258447160316319</v>
      </c>
      <c r="T724"/>
      <c r="U724">
        <f>[1]!EM_S_RATIO_EPS_TTM(B724,E724,"1")</f>
        <v>1.0094316018944987</v>
      </c>
      <c r="AT724" s="4" t="str">
        <f>[1]!EM_S_IPO_LISTEDDATE(B724)</f>
        <v>2015-05-13</v>
      </c>
    </row>
    <row r="725" spans="1:46">
      <c r="A725">
        <v>2</v>
      </c>
      <c r="B725" t="str">
        <f>"000002"</f>
        <v>000002</v>
      </c>
      <c r="C725" t="s">
        <v>2561</v>
      </c>
      <c r="D725" t="str">
        <f>[1]!EM_S_INFO_INDEX_EM(B725,"1")</f>
        <v>房地产</v>
      </c>
      <c r="E725" s="4">
        <f t="shared" si="11"/>
        <v>43465</v>
      </c>
      <c r="F725" s="11">
        <f>[1]!EM_S_PQ_PCTCHANGE(B725,"2018-01-01","2019-12-31","3")</f>
        <v>11.99087817</v>
      </c>
      <c r="G725" s="11">
        <f>[1]!EM_S_PQ_PCTCHANGE(B725,"2019-01-01","2019-12-31","3")</f>
        <v>40.535643890000003</v>
      </c>
      <c r="H725" s="11">
        <f>[1]!EM_S_FA_YOY_OR(B725,E725)</f>
        <v>22.553673362400001</v>
      </c>
      <c r="I725" s="11">
        <f>[1]!EM_S_FA_GROSSPROFITMARGIN(B725,E725)</f>
        <v>37.481643904499997</v>
      </c>
      <c r="J725" s="11">
        <f>[1]!EM_S_FA_NETPROFITMARGIN(B725,E725)</f>
        <v>16.5521382865</v>
      </c>
      <c r="K725" s="10">
        <f>[1]!EM_S_FA_ASSETSTURN(B725,E725)</f>
        <v>0.22100035471999999</v>
      </c>
      <c r="L725" s="12">
        <f>[1]!EM_HKS_VAL_MV(B725,"2019-12-31","2")</f>
        <v>363702961772.17999</v>
      </c>
      <c r="M725">
        <f>[1]!EM_S_VAL_PETTMDEDUCTED(B725,E725)</f>
        <v>8.5846765268363701</v>
      </c>
      <c r="N725" s="7">
        <f>[1]!EM_S_VAL_PBGOODWILLDEDUCTED(B725,E725)</f>
        <v>1.69050231098653</v>
      </c>
      <c r="O725" s="7">
        <f>[1]!EM_S_VAL_PS_TTM(B725,E725)</f>
        <v>0.87122686832229601</v>
      </c>
      <c r="P725" s="7">
        <f>[1]!EM_S_VAL_PCF_NCFTTM(B725,E725)</f>
        <v>7.1906393054784798</v>
      </c>
      <c r="Q725" s="7">
        <f>[1]!EM_S_VAL_DIVIDENDYIELD2(B725,E725,"2019-11-29")</f>
        <v>3.7729314079422385</v>
      </c>
      <c r="R725" s="5">
        <f>[1]!EM_S_SHARE_TOTAL(B725,E725)</f>
        <v>11039152001</v>
      </c>
      <c r="S725">
        <f>[1]!EM_S_SHARE_LIQA(B725,E725)</f>
        <v>9715170043</v>
      </c>
      <c r="T725"/>
      <c r="U725">
        <f>[1]!EM_S_RATIO_EPS_TTM(B725,E725,"1")</f>
        <v>3.0593519933008122</v>
      </c>
      <c r="V725">
        <f>[1]!EM_S_FA_BPS(B725,E725)</f>
        <v>14.11</v>
      </c>
      <c r="AT725" s="4" t="str">
        <f>[1]!EM_S_IPO_LISTEDDATE(B725)</f>
        <v>1991-01-29</v>
      </c>
    </row>
    <row r="726" spans="1:46">
      <c r="A726">
        <v>949</v>
      </c>
      <c r="B726" t="str">
        <f>"002438"</f>
        <v>002438</v>
      </c>
      <c r="C726" t="s">
        <v>1964</v>
      </c>
      <c r="D726" t="str">
        <f>[1]!EM_S_INFO_INDEX_EM(B726,"1")</f>
        <v>机械设备</v>
      </c>
      <c r="E726" s="4">
        <f t="shared" si="11"/>
        <v>43465</v>
      </c>
      <c r="F726" s="11">
        <f>[1]!EM_S_PQ_PCTCHANGE(B726,"2018-01-01","2019-12-31","3")</f>
        <v>14.97246331</v>
      </c>
      <c r="G726" s="11">
        <f>[1]!EM_S_PQ_PCTCHANGE(B726,"2018-12-31","2019-12-30","1")</f>
        <v>40.488656200000001</v>
      </c>
      <c r="H726" s="11">
        <f>[1]!EM_S_FA_YOY_OR(B726,E726)</f>
        <v>43.908896181099998</v>
      </c>
      <c r="I726" s="11">
        <f>[1]!EM_S_FA_GROSSPROFITMARGIN(B726,E726)</f>
        <v>32.125711929399998</v>
      </c>
      <c r="J726" s="11">
        <f>[1]!EM_S_FA_NETPROFITMARGIN(B726,E726)</f>
        <v>9.5032252973000002</v>
      </c>
      <c r="K726" s="10">
        <f>[1]!EM_S_FA_ASSETSTURN(B726,E726)</f>
        <v>0.35066311107600001</v>
      </c>
      <c r="L726" s="12">
        <f>[1]!EM_HKS_VAL_MV(B726,"2019-12-31","2")</f>
        <v>3929767302.04</v>
      </c>
      <c r="M726">
        <f>[1]!EM_S_VAL_PETTMDEDUCTED(B726,E726)</f>
        <v>46.471400229505399</v>
      </c>
      <c r="N726" s="7">
        <f>[1]!EM_S_VAL_PBGOODWILLDEDUCTED(B726,E726)</f>
        <v>1.77211494569762</v>
      </c>
      <c r="O726" s="7">
        <f>[1]!EM_S_VAL_PS_TTM(B726,E726)</f>
        <v>2.5161239816621199</v>
      </c>
      <c r="P726" s="7">
        <f>[1]!EM_S_VAL_PCF_NCFTTM(B726,E726)</f>
        <v>30.432161308050699</v>
      </c>
      <c r="Q726" s="7">
        <f>[1]!EM_S_VAL_DIVIDENDYIELD2(B726,E726,"2019-11-29")</f>
        <v>0.30193236714975852</v>
      </c>
      <c r="T726"/>
      <c r="U726">
        <f>[1]!EM_S_RATIO_EPS_TTM(B726,E726,"1")</f>
        <v>0.21274203066920944</v>
      </c>
      <c r="AT726" s="4" t="str">
        <f>[1]!EM_S_IPO_LISTEDDATE(B726)</f>
        <v>2010-06-23</v>
      </c>
    </row>
    <row r="727" spans="1:46">
      <c r="A727">
        <v>3328</v>
      </c>
      <c r="B727" t="str">
        <f>"603258"</f>
        <v>603258</v>
      </c>
      <c r="C727" t="s">
        <v>1836</v>
      </c>
      <c r="D727" t="str">
        <f>[1]!EM_S_INFO_INDEX_EM(B727,"1")</f>
        <v>互联网</v>
      </c>
      <c r="E727" s="4">
        <f t="shared" si="11"/>
        <v>43465</v>
      </c>
      <c r="F727" s="11">
        <f>[1]!EM_S_PQ_PCTCHANGE(B727,"2018-01-01","2019-12-31","3")</f>
        <v>-26.446942320000002</v>
      </c>
      <c r="G727" s="11">
        <f>[1]!EM_S_PQ_PCTCHANGE(B727,"2018-12-31","2019-12-30","1")</f>
        <v>40.388007049999999</v>
      </c>
      <c r="H727" s="11">
        <f>[1]!EM_S_FA_YOY_OR(B727,E727)</f>
        <v>-10.190555248300001</v>
      </c>
      <c r="I727" s="11">
        <f>[1]!EM_S_FA_GROSSPROFITMARGIN(B727,E727)</f>
        <v>82.600074556500005</v>
      </c>
      <c r="J727" s="11">
        <f>[1]!EM_S_FA_NETPROFITMARGIN(B727,E727)</f>
        <v>27.083508393399999</v>
      </c>
      <c r="K727" s="10">
        <f>[1]!EM_S_FA_ASSETSTURN(B727,E727)</f>
        <v>0.233142589751</v>
      </c>
      <c r="L727" s="12">
        <f>[1]!EM_HKS_VAL_MV(B727,"2019-12-31","2")</f>
        <v>5733369880</v>
      </c>
      <c r="M727">
        <f>[1]!EM_S_VAL_PETTMDEDUCTED(B727,E727)</f>
        <v>45.520783128166997</v>
      </c>
      <c r="N727" s="7">
        <f>[1]!EM_S_VAL_PBGOODWILLDEDUCTED(B727,E727)</f>
        <v>2.4185053579234799</v>
      </c>
      <c r="O727" s="7">
        <f>[1]!EM_S_VAL_PS_TTM(B727,E727)</f>
        <v>9.0689037380646802</v>
      </c>
      <c r="P727" s="7">
        <f>[1]!EM_S_VAL_PCF_NCFTTM(B727,E727)</f>
        <v>-13.6459239237067</v>
      </c>
      <c r="Q727" s="7">
        <f>[1]!EM_S_VAL_DIVIDENDYIELD2(B727,E727,"2019-11-29")</f>
        <v>0.78596901975966549</v>
      </c>
      <c r="T727"/>
      <c r="U727">
        <f>[1]!EM_S_RATIO_EPS_TTM(B727,E727,"1")</f>
        <v>0.5334689513610914</v>
      </c>
      <c r="AT727" s="4" t="str">
        <f>[1]!EM_S_IPO_LISTEDDATE(B727)</f>
        <v>2016-10-26</v>
      </c>
    </row>
    <row r="728" spans="1:46">
      <c r="A728">
        <v>3156</v>
      </c>
      <c r="B728" t="str">
        <f>"601811"</f>
        <v>601811</v>
      </c>
      <c r="C728" t="s">
        <v>1257</v>
      </c>
      <c r="D728" t="str">
        <f>[1]!EM_S_INFO_INDEX_EM(B728,"1")</f>
        <v>轻工制造</v>
      </c>
      <c r="E728" s="4">
        <f t="shared" si="11"/>
        <v>43465</v>
      </c>
      <c r="F728" s="11">
        <f>[1]!EM_S_PQ_PCTCHANGE(B728,"2018-01-01","2019-12-31","3")</f>
        <v>3.5143503599999999</v>
      </c>
      <c r="G728" s="11">
        <f>[1]!EM_S_PQ_PCTCHANGE(B728,"2018-12-31","2019-12-30","1")</f>
        <v>40.386680990000002</v>
      </c>
      <c r="H728" s="11">
        <f>[1]!EM_S_FA_YOY_OR(B728,E728)</f>
        <v>11.4445059078</v>
      </c>
      <c r="I728" s="11">
        <f>[1]!EM_S_FA_GROSSPROFITMARGIN(B728,E728)</f>
        <v>37.5193772342</v>
      </c>
      <c r="J728" s="11">
        <f>[1]!EM_S_FA_NETPROFITMARGIN(B728,E728)</f>
        <v>11.3199422827</v>
      </c>
      <c r="K728" s="10">
        <f>[1]!EM_S_FA_ASSETSTURN(B728,E728)</f>
        <v>0.64021655832799995</v>
      </c>
      <c r="L728" s="12">
        <f>[1]!EM_HKS_VAL_MV(B728,"2019-12-31","2")</f>
        <v>16274362790</v>
      </c>
      <c r="M728">
        <f>[1]!EM_S_VAL_PETTMDEDUCTED(B728,E728)</f>
        <v>14.7119297867791</v>
      </c>
      <c r="N728" s="7">
        <f>[1]!EM_S_VAL_PBGOODWILLDEDUCTED(B728,E728)</f>
        <v>1.4394859472391801</v>
      </c>
      <c r="O728" s="7">
        <f>[1]!EM_S_VAL_PS_TTM(B728,E728)</f>
        <v>1.4704776749221</v>
      </c>
      <c r="P728" s="7">
        <f>[1]!EM_S_VAL_PCF_NCFTTM(B728,E728)</f>
        <v>66.021943077455603</v>
      </c>
      <c r="Q728" s="7">
        <f>[1]!EM_S_VAL_DIVIDENDYIELD2(B728,E728,"2019-11-29")</f>
        <v>2.4691358024691357</v>
      </c>
      <c r="T728"/>
      <c r="U728">
        <f>[1]!EM_S_RATIO_EPS_TTM(B728,E728,"1")</f>
        <v>0.75551453068912444</v>
      </c>
      <c r="AT728" s="4" t="str">
        <f>[1]!EM_S_IPO_LISTEDDATE(B728)</f>
        <v>2016-08-08</v>
      </c>
    </row>
    <row r="729" spans="1:46">
      <c r="A729">
        <v>2261</v>
      </c>
      <c r="B729" t="str">
        <f>"600114"</f>
        <v>600114</v>
      </c>
      <c r="C729" t="s">
        <v>832</v>
      </c>
      <c r="D729" t="str">
        <f>[1]!EM_S_INFO_INDEX_EM(B729,"1")</f>
        <v>机械设备</v>
      </c>
      <c r="E729" s="4">
        <f t="shared" si="11"/>
        <v>43465</v>
      </c>
      <c r="F729" s="11">
        <f>[1]!EM_S_PQ_PCTCHANGE(B729,"2018-01-01","2019-12-31","3")</f>
        <v>-11.25205184</v>
      </c>
      <c r="G729" s="11">
        <f>[1]!EM_S_PQ_PCTCHANGE(B729,"2018-12-31","2019-12-30","1")</f>
        <v>40.350877189999999</v>
      </c>
      <c r="H729" s="11">
        <f>[1]!EM_S_FA_YOY_OR(B729,E729)</f>
        <v>7.5875530154000002</v>
      </c>
      <c r="I729" s="11">
        <f>[1]!EM_S_FA_GROSSPROFITMARGIN(B729,E729)</f>
        <v>31.629589082799999</v>
      </c>
      <c r="J729" s="11">
        <f>[1]!EM_S_FA_NETPROFITMARGIN(B729,E729)</f>
        <v>18.085521162900001</v>
      </c>
      <c r="K729" s="10">
        <f>[1]!EM_S_FA_ASSETSTURN(B729,E729)</f>
        <v>0.56929520037799997</v>
      </c>
      <c r="L729" s="12">
        <f>[1]!EM_HKS_VAL_MV(B729,"2019-12-31","2")</f>
        <v>5289484517.46</v>
      </c>
      <c r="M729">
        <f>[1]!EM_S_VAL_PETTMDEDUCTED(B729,E729)</f>
        <v>15.963221893544899</v>
      </c>
      <c r="N729" s="7">
        <f>[1]!EM_S_VAL_PBGOODWILLDEDUCTED(B729,E729)</f>
        <v>1.5150498686203799</v>
      </c>
      <c r="O729" s="7">
        <f>[1]!EM_S_VAL_PS_TTM(B729,E729)</f>
        <v>2.0388730110855202</v>
      </c>
      <c r="P729" s="7">
        <f>[1]!EM_S_VAL_PCF_NCFTTM(B729,E729)</f>
        <v>-37.262126742376303</v>
      </c>
      <c r="Q729" s="7">
        <f>[1]!EM_S_VAL_DIVIDENDYIELD2(B729,E729,"2019-11-29")</f>
        <v>6.866433340693705</v>
      </c>
      <c r="T729"/>
      <c r="U729">
        <f>[1]!EM_S_RATIO_EPS_TTM(B729,E729,"1")</f>
        <v>0.50805006547629106</v>
      </c>
      <c r="AT729" s="4" t="str">
        <f>[1]!EM_S_IPO_LISTEDDATE(B729)</f>
        <v>2004-05-11</v>
      </c>
    </row>
    <row r="730" spans="1:46">
      <c r="A730">
        <v>2133</v>
      </c>
      <c r="B730" t="str">
        <f>"300718"</f>
        <v>300718</v>
      </c>
      <c r="C730" t="s">
        <v>951</v>
      </c>
      <c r="D730" t="str">
        <f>[1]!EM_S_INFO_INDEX_EM(B730,"1")</f>
        <v>机械设备</v>
      </c>
      <c r="E730" s="4">
        <f t="shared" si="11"/>
        <v>43465</v>
      </c>
      <c r="F730" s="11">
        <f>[1]!EM_S_PQ_PCTCHANGE(B730,"2018-01-01","2019-12-31","3")</f>
        <v>4.4997286699999997</v>
      </c>
      <c r="G730" s="11">
        <f>[1]!EM_S_PQ_PCTCHANGE(B730,"2018-12-31","2019-12-30","1")</f>
        <v>40.303657690000001</v>
      </c>
      <c r="H730" s="11">
        <f>[1]!EM_S_FA_YOY_OR(B730,E730)</f>
        <v>16.956861307899999</v>
      </c>
      <c r="I730" s="11">
        <f>[1]!EM_S_FA_GROSSPROFITMARGIN(B730,E730)</f>
        <v>36.157615305999997</v>
      </c>
      <c r="J730" s="11">
        <f>[1]!EM_S_FA_NETPROFITMARGIN(B730,E730)</f>
        <v>22.5831051794</v>
      </c>
      <c r="K730" s="10">
        <f>[1]!EM_S_FA_ASSETSTURN(B730,E730)</f>
        <v>0.56035581942099999</v>
      </c>
      <c r="L730" s="12">
        <f>[1]!EM_HKS_VAL_MV(B730,"2019-12-31","2")</f>
        <v>4104540000</v>
      </c>
      <c r="M730">
        <f>[1]!EM_S_VAL_PETTMDEDUCTED(B730,E730)</f>
        <v>24.9559130903652</v>
      </c>
      <c r="N730" s="7">
        <f>[1]!EM_S_VAL_PBGOODWILLDEDUCTED(B730,E730)</f>
        <v>2.5481794725641498</v>
      </c>
      <c r="O730" s="7">
        <f>[1]!EM_S_VAL_PS_TTM(B730,E730)</f>
        <v>4.4172489916980897</v>
      </c>
      <c r="P730" s="7">
        <f>[1]!EM_S_VAL_PCF_NCFTTM(B730,E730)</f>
        <v>35.297603103479702</v>
      </c>
      <c r="Q730" s="7">
        <f>[1]!EM_S_VAL_DIVIDENDYIELD2(B730,E730,"2019-11-29")</f>
        <v>1.9021739130434785</v>
      </c>
      <c r="T730"/>
      <c r="U730">
        <f>[1]!EM_S_RATIO_EPS_TTM(B730,E730,"1")</f>
        <v>0.74408234398989903</v>
      </c>
      <c r="AT730" s="4" t="str">
        <f>[1]!EM_S_IPO_LISTEDDATE(B730)</f>
        <v>2017-11-06</v>
      </c>
    </row>
    <row r="731" spans="1:46">
      <c r="A731">
        <v>1011</v>
      </c>
      <c r="B731" t="str">
        <f>"002500"</f>
        <v>002500</v>
      </c>
      <c r="C731" t="s">
        <v>2520</v>
      </c>
      <c r="D731" t="str">
        <f>[1]!EM_S_INFO_INDEX_EM(B731,"1")</f>
        <v>金融</v>
      </c>
      <c r="E731" s="4">
        <f t="shared" si="11"/>
        <v>43465</v>
      </c>
      <c r="F731" s="11">
        <f>[1]!EM_S_PQ_PCTCHANGE(B731,"2018-01-01","2019-12-31","3")</f>
        <v>-8.4157472599999998</v>
      </c>
      <c r="G731" s="11">
        <f>[1]!EM_S_PQ_PCTCHANGE(B731,"2018-12-31","2019-12-30","1")</f>
        <v>40.202702700000003</v>
      </c>
      <c r="H731" s="11">
        <f>[1]!EM_S_FA_YOY_OR(B731,E731)</f>
        <v>55.955890189100003</v>
      </c>
      <c r="I731" s="11">
        <f>[1]!EM_S_FA_GROSSPROFITMARGIN(B731,E731)</f>
        <v>0</v>
      </c>
      <c r="J731" s="11">
        <f>[1]!EM_S_FA_NETPROFITMARGIN(B731,E731)</f>
        <v>3.1999887751</v>
      </c>
      <c r="K731" s="10">
        <f>[1]!EM_S_FA_ASSETSTURN(B731,E731)</f>
        <v>0</v>
      </c>
      <c r="L731" s="12">
        <f>[1]!EM_HKS_VAL_MV(B731,"2019-12-31","2")</f>
        <v>23450131518.369999</v>
      </c>
      <c r="M731">
        <f>[1]!EM_S_VAL_PETTMDEDUCTED(B731,E731)</f>
        <v>118.591952870662</v>
      </c>
      <c r="N731" s="7">
        <f>[1]!EM_S_VAL_PBGOODWILLDEDUCTED(B731,E731)</f>
        <v>1.3994296327216</v>
      </c>
      <c r="O731" s="7">
        <f>[1]!EM_S_VAL_PS_TTM(B731,E731)</f>
        <v>3.1344121259659401</v>
      </c>
      <c r="P731" s="7">
        <f>[1]!EM_S_VAL_PCF_NCFTTM(B731,E731)</f>
        <v>-14.1403051460273</v>
      </c>
      <c r="Q731" s="7">
        <f>[1]!EM_S_VAL_DIVIDENDYIELD2(B731,E731,"2019-11-29")</f>
        <v>0.67204301075268813</v>
      </c>
      <c r="T731"/>
      <c r="U731">
        <f>[1]!EM_S_RATIO_EPS_TTM(B731,E731,"1")</f>
        <v>7.8396819063460285E-2</v>
      </c>
      <c r="AT731" s="4" t="str">
        <f>[1]!EM_S_IPO_LISTEDDATE(B731)</f>
        <v>2010-11-15</v>
      </c>
    </row>
    <row r="732" spans="1:46">
      <c r="A732">
        <v>812</v>
      </c>
      <c r="B732" t="str">
        <f>"002301"</f>
        <v>002301</v>
      </c>
      <c r="C732" t="s">
        <v>2028</v>
      </c>
      <c r="D732" t="str">
        <f>[1]!EM_S_INFO_INDEX_EM(B732,"1")</f>
        <v>轻工制造</v>
      </c>
      <c r="E732" s="4">
        <f t="shared" si="11"/>
        <v>43465</v>
      </c>
      <c r="F732" s="11">
        <f>[1]!EM_S_PQ_PCTCHANGE(B732,"2018-01-01","2019-12-31","3")</f>
        <v>8.9045121100000006</v>
      </c>
      <c r="G732" s="11">
        <f>[1]!EM_S_PQ_PCTCHANGE(B732,"2018-12-31","2019-12-30","1")</f>
        <v>40.070921990000002</v>
      </c>
      <c r="H732" s="11">
        <f>[1]!EM_S_FA_YOY_OR(B732,E732)</f>
        <v>33.303667145399999</v>
      </c>
      <c r="I732" s="11">
        <f>[1]!EM_S_FA_GROSSPROFITMARGIN(B732,E732)</f>
        <v>18.208344247599999</v>
      </c>
      <c r="J732" s="11">
        <f>[1]!EM_S_FA_NETPROFITMARGIN(B732,E732)</f>
        <v>4.560727193</v>
      </c>
      <c r="K732" s="10">
        <f>[1]!EM_S_FA_ASSETSTURN(B732,E732)</f>
        <v>0.72238217861599996</v>
      </c>
      <c r="L732" s="12">
        <f>[1]!EM_HKS_VAL_MV(B732,"2019-12-31","2")</f>
        <v>8925684403.8400002</v>
      </c>
      <c r="M732">
        <f>[1]!EM_S_VAL_PETTMDEDUCTED(B732,E732)</f>
        <v>35.970195203215603</v>
      </c>
      <c r="N732" s="7">
        <f>[1]!EM_S_VAL_PBGOODWILLDEDUCTED(B732,E732)</f>
        <v>3.2289952859252198</v>
      </c>
      <c r="O732" s="7">
        <f>[1]!EM_S_VAL_PS_TTM(B732,E732)</f>
        <v>1.45543448825932</v>
      </c>
      <c r="P732" s="7">
        <f>[1]!EM_S_VAL_PCF_NCFTTM(B732,E732)</f>
        <v>8.3722988875327999</v>
      </c>
      <c r="Q732" s="7">
        <f>[1]!EM_S_VAL_DIVIDENDYIELD2(B732,E732,"2019-11-29")</f>
        <v>2.0638027990217815</v>
      </c>
      <c r="T732"/>
      <c r="U732">
        <f>[1]!EM_S_RATIO_EPS_TTM(B732,E732,"1")</f>
        <v>0.29880034660022592</v>
      </c>
      <c r="AT732" s="4" t="str">
        <f>[1]!EM_S_IPO_LISTEDDATE(B732)</f>
        <v>2009-10-21</v>
      </c>
    </row>
    <row r="733" spans="1:46">
      <c r="A733">
        <v>675</v>
      </c>
      <c r="B733" t="str">
        <f>"002164"</f>
        <v>002164</v>
      </c>
      <c r="C733" t="s">
        <v>1781</v>
      </c>
      <c r="D733" t="str">
        <f>[1]!EM_S_INFO_INDEX_EM(B733,"1")</f>
        <v>机械设备</v>
      </c>
      <c r="E733" s="4">
        <f t="shared" si="11"/>
        <v>43465</v>
      </c>
      <c r="F733" s="11">
        <f>[1]!EM_S_PQ_PCTCHANGE(B733,"2018-01-01","2019-12-31","3")</f>
        <v>-55.436598789999998</v>
      </c>
      <c r="G733" s="11">
        <f>[1]!EM_S_PQ_PCTCHANGE(B733,"2018-12-31","2019-12-30","1")</f>
        <v>40</v>
      </c>
      <c r="H733" s="11">
        <f>[1]!EM_S_FA_YOY_OR(B733,E733)</f>
        <v>-8.6215790302999995</v>
      </c>
      <c r="I733" s="11">
        <f>[1]!EM_S_FA_GROSSPROFITMARGIN(B733,E733)</f>
        <v>2.7394231902000001</v>
      </c>
      <c r="J733" s="11">
        <f>[1]!EM_S_FA_NETPROFITMARGIN(B733,E733)</f>
        <v>-23.829477845500001</v>
      </c>
      <c r="K733" s="10">
        <f>[1]!EM_S_FA_ASSETSTURN(B733,E733)</f>
        <v>1.299925697033</v>
      </c>
      <c r="L733" s="12">
        <f>[1]!EM_HKS_VAL_MV(B733,"2019-12-31","2")</f>
        <v>2650526198.7800002</v>
      </c>
      <c r="M733">
        <f>[1]!EM_S_VAL_PETTMDEDUCTED(B733,E733)</f>
        <v>-0.60289354677455897</v>
      </c>
      <c r="N733" s="7">
        <f>[1]!EM_S_VAL_PBGOODWILLDEDUCTED(B733,E733)</f>
        <v>3.48319450619366</v>
      </c>
      <c r="O733" s="7">
        <f>[1]!EM_S_VAL_PS_TTM(B733,E733)</f>
        <v>9.8585346997762197E-2</v>
      </c>
      <c r="P733" s="7">
        <f>[1]!EM_S_VAL_PCF_NCFTTM(B733,E733)</f>
        <v>-4.4420382511019598</v>
      </c>
      <c r="Q733" s="7">
        <f>[1]!EM_S_VAL_DIVIDENDYIELD2(B733,E733,"2019-11-29")</f>
        <v>0</v>
      </c>
      <c r="T733"/>
      <c r="U733">
        <f>[1]!EM_S_RATIO_EPS_TTM(B733,E733,"1")</f>
        <v>-4.0046512122284907</v>
      </c>
      <c r="AT733" s="4" t="str">
        <f>[1]!EM_S_IPO_LISTEDDATE(B733)</f>
        <v>2007-08-23</v>
      </c>
    </row>
    <row r="734" spans="1:46">
      <c r="A734">
        <v>741</v>
      </c>
      <c r="B734" t="str">
        <f>"002230"</f>
        <v>002230</v>
      </c>
      <c r="C734" t="s">
        <v>2176</v>
      </c>
      <c r="D734" t="str">
        <f>[1]!EM_S_INFO_INDEX_EM(B734,"1")</f>
        <v>信息技术</v>
      </c>
      <c r="E734" s="4">
        <f t="shared" si="11"/>
        <v>43465</v>
      </c>
      <c r="F734" s="11">
        <f>[1]!EM_S_PQ_PCTCHANGE(B734,"2018-01-01","2019-12-31","3")</f>
        <v>-12.14359784</v>
      </c>
      <c r="G734" s="11">
        <f>[1]!EM_S_PQ_PCTCHANGE(B734,"2018-12-31","2019-12-30","1")</f>
        <v>39.8538961</v>
      </c>
      <c r="H734" s="11">
        <f>[1]!EM_S_FA_YOY_OR(B734,E734)</f>
        <v>45.411852586599998</v>
      </c>
      <c r="I734" s="11">
        <f>[1]!EM_S_FA_GROSSPROFITMARGIN(B734,E734)</f>
        <v>50.026079648600003</v>
      </c>
      <c r="J734" s="11">
        <f>[1]!EM_S_FA_NETPROFITMARGIN(B734,E734)</f>
        <v>7.8054031482999999</v>
      </c>
      <c r="K734" s="10">
        <f>[1]!EM_S_FA_ASSETSTURN(B734,E734)</f>
        <v>0.55282226054000005</v>
      </c>
      <c r="L734" s="12">
        <f>[1]!EM_HKS_VAL_MV(B734,"2019-12-31","2")</f>
        <v>75806868310.160004</v>
      </c>
      <c r="M734">
        <f>[1]!EM_S_VAL_PETTMDEDUCTED(B734,E734)</f>
        <v>196.749059225417</v>
      </c>
      <c r="N734" s="7">
        <f>[1]!EM_S_VAL_PBGOODWILLDEDUCTED(B734,E734)</f>
        <v>7.5281468943474703</v>
      </c>
      <c r="O734" s="7">
        <f>[1]!EM_S_VAL_PS_TTM(B734,E734)</f>
        <v>7.0232714062551098</v>
      </c>
      <c r="P734" s="7">
        <f>[1]!EM_S_VAL_PCF_NCFTTM(B734,E734)</f>
        <v>-65.993233368545603</v>
      </c>
      <c r="Q734" s="7">
        <f>[1]!EM_S_VAL_DIVIDENDYIELD2(B734,E734,"2019-11-29")</f>
        <v>0</v>
      </c>
      <c r="T734"/>
      <c r="U734">
        <f>[1]!EM_S_RATIO_EPS_TTM(B734,E734,"1")</f>
        <v>0.25904807890369325</v>
      </c>
      <c r="AT734" s="4" t="str">
        <f>[1]!EM_S_IPO_LISTEDDATE(B734)</f>
        <v>2008-05-12</v>
      </c>
    </row>
    <row r="735" spans="1:46">
      <c r="A735">
        <v>2108</v>
      </c>
      <c r="B735" t="str">
        <f>"300690"</f>
        <v>300690</v>
      </c>
      <c r="C735" t="s">
        <v>1532</v>
      </c>
      <c r="D735" t="str">
        <f>[1]!EM_S_INFO_INDEX_EM(B735,"1")</f>
        <v>电气设备</v>
      </c>
      <c r="E735" s="4">
        <f t="shared" si="11"/>
        <v>43465</v>
      </c>
      <c r="F735" s="11">
        <f>[1]!EM_S_PQ_PCTCHANGE(B735,"2018-01-01","2019-12-31","3")</f>
        <v>-27.35049111</v>
      </c>
      <c r="G735" s="11">
        <f>[1]!EM_S_PQ_PCTCHANGE(B735,"2018-12-31","2019-12-30","1")</f>
        <v>39.835164839999997</v>
      </c>
      <c r="H735" s="11">
        <f>[1]!EM_S_FA_YOY_OR(B735,E735)</f>
        <v>-9.8399280478000009</v>
      </c>
      <c r="I735" s="11">
        <f>[1]!EM_S_FA_GROSSPROFITMARGIN(B735,E735)</f>
        <v>36.974453998500003</v>
      </c>
      <c r="J735" s="11">
        <f>[1]!EM_S_FA_NETPROFITMARGIN(B735,E735)</f>
        <v>16.133929488500002</v>
      </c>
      <c r="K735" s="10">
        <f>[1]!EM_S_FA_ASSETSTURN(B735,E735)</f>
        <v>0.50399746752100005</v>
      </c>
      <c r="L735" s="12">
        <f>[1]!EM_HKS_VAL_MV(B735,"2019-12-31","2")</f>
        <v>2803175299.3299999</v>
      </c>
      <c r="M735">
        <f>[1]!EM_S_VAL_PETTMDEDUCTED(B735,E735)</f>
        <v>25.699268504017901</v>
      </c>
      <c r="N735" s="7">
        <f>[1]!EM_S_VAL_PBGOODWILLDEDUCTED(B735,E735)</f>
        <v>2.2094814454706699</v>
      </c>
      <c r="O735" s="7">
        <f>[1]!EM_S_VAL_PS_TTM(B735,E735)</f>
        <v>3.9317925765203601</v>
      </c>
      <c r="P735" s="7">
        <f>[1]!EM_S_VAL_PCF_NCFTTM(B735,E735)</f>
        <v>-179.53083927606599</v>
      </c>
      <c r="Q735" s="7">
        <f>[1]!EM_S_VAL_DIVIDENDYIELD2(B735,E735,"2019-11-29")</f>
        <v>1.9570004345936549</v>
      </c>
      <c r="T735"/>
      <c r="U735">
        <f>[1]!EM_S_RATIO_EPS_TTM(B735,E735,"1")</f>
        <v>0.79215891783241998</v>
      </c>
      <c r="AT735" s="4" t="str">
        <f>[1]!EM_S_IPO_LISTEDDATE(B735)</f>
        <v>2017-08-08</v>
      </c>
    </row>
    <row r="736" spans="1:46">
      <c r="A736">
        <v>2939</v>
      </c>
      <c r="B736" t="str">
        <f>"600866"</f>
        <v>600866</v>
      </c>
      <c r="C736" t="s">
        <v>2366</v>
      </c>
      <c r="D736" t="str">
        <f>[1]!EM_S_INFO_INDEX_EM(B736,"1")</f>
        <v>食品饮料</v>
      </c>
      <c r="E736" s="4">
        <f t="shared" si="11"/>
        <v>43465</v>
      </c>
      <c r="F736" s="11">
        <f>[1]!EM_S_PQ_PCTCHANGE(B736,"2018-01-01","2019-12-31","3")</f>
        <v>-3.4782608700000002</v>
      </c>
      <c r="G736" s="11">
        <f>[1]!EM_S_PQ_PCTCHANGE(B736,"2018-12-31","2019-12-30","1")</f>
        <v>39.808917200000003</v>
      </c>
      <c r="H736" s="11">
        <f>[1]!EM_S_FA_YOY_OR(B736,E736)</f>
        <v>25.0579716861</v>
      </c>
      <c r="I736" s="11">
        <f>[1]!EM_S_FA_GROSSPROFITMARGIN(B736,E736)</f>
        <v>25.841601173699999</v>
      </c>
      <c r="J736" s="11">
        <f>[1]!EM_S_FA_NETPROFITMARGIN(B736,E736)</f>
        <v>4.9214107792000004</v>
      </c>
      <c r="K736" s="10">
        <f>[1]!EM_S_FA_ASSETSTURN(B736,E736)</f>
        <v>0.59370546512199995</v>
      </c>
      <c r="L736" s="12">
        <f>[1]!EM_HKS_VAL_MV(B736,"2019-12-31","2")</f>
        <v>3281245097.04</v>
      </c>
      <c r="M736">
        <f>[1]!EM_S_VAL_PETTMDEDUCTED(B736,E736)</f>
        <v>-23.534799172746101</v>
      </c>
      <c r="N736" s="7">
        <f>[1]!EM_S_VAL_PBGOODWILLDEDUCTED(B736,E736)</f>
        <v>2.1188829615322202</v>
      </c>
      <c r="O736" s="7">
        <f>[1]!EM_S_VAL_PS_TTM(B736,E736)</f>
        <v>2.3879556144954801</v>
      </c>
      <c r="P736" s="7">
        <f>[1]!EM_S_VAL_PCF_NCFTTM(B736,E736)</f>
        <v>217.76346028958301</v>
      </c>
      <c r="Q736" s="7">
        <f>[1]!EM_S_VAL_DIVIDENDYIELD2(B736,E736,"2019-11-29")</f>
        <v>0</v>
      </c>
      <c r="T736"/>
      <c r="U736">
        <f>[1]!EM_S_RATIO_EPS_TTM(B736,E736,"1")</f>
        <v>6.5510941840726575E-2</v>
      </c>
      <c r="AT736" s="4" t="str">
        <f>[1]!EM_S_IPO_LISTEDDATE(B736)</f>
        <v>1994-08-18</v>
      </c>
    </row>
    <row r="737" spans="1:46">
      <c r="A737">
        <v>2632</v>
      </c>
      <c r="B737" t="str">
        <f>"600557"</f>
        <v>600557</v>
      </c>
      <c r="C737" t="s">
        <v>963</v>
      </c>
      <c r="D737" t="str">
        <f>[1]!EM_S_INFO_INDEX_EM(B737,"1")</f>
        <v>医药生物</v>
      </c>
      <c r="E737" s="4">
        <f t="shared" si="11"/>
        <v>43465</v>
      </c>
      <c r="F737" s="11">
        <f>[1]!EM_S_PQ_PCTCHANGE(B737,"2018-01-01","2019-12-31","3")</f>
        <v>10.522048059999999</v>
      </c>
      <c r="G737" s="11">
        <f>[1]!EM_S_PQ_PCTCHANGE(B737,"2018-12-31","2019-12-30","1")</f>
        <v>39.785992219999997</v>
      </c>
      <c r="H737" s="11">
        <f>[1]!EM_S_FA_YOY_OR(B737,E737)</f>
        <v>16.768158654400001</v>
      </c>
      <c r="I737" s="11">
        <f>[1]!EM_S_FA_GROSSPROFITMARGIN(B737,E737)</f>
        <v>76.334012756299998</v>
      </c>
      <c r="J737" s="11">
        <f>[1]!EM_S_FA_NETPROFITMARGIN(B737,E737)</f>
        <v>11.444153847300001</v>
      </c>
      <c r="K737" s="10">
        <f>[1]!EM_S_FA_ASSETSTURN(B737,E737)</f>
        <v>0.69544839346300003</v>
      </c>
      <c r="L737" s="12">
        <f>[1]!EM_HKS_VAL_MV(B737,"2019-12-31","2")</f>
        <v>8739066500.1200008</v>
      </c>
      <c r="M737">
        <f>[1]!EM_S_VAL_PETTMDEDUCTED(B737,E737)</f>
        <v>17.081103514241502</v>
      </c>
      <c r="N737" s="7">
        <f>[1]!EM_S_VAL_PBGOODWILLDEDUCTED(B737,E737)</f>
        <v>1.7085651815849301</v>
      </c>
      <c r="O737" s="7">
        <f>[1]!EM_S_VAL_PS_TTM(B737,E737)</f>
        <v>1.75178365035718</v>
      </c>
      <c r="P737" s="7">
        <f>[1]!EM_S_VAL_PCF_NCFTTM(B737,E737)</f>
        <v>86.026502173913599</v>
      </c>
      <c r="Q737" s="7">
        <f>[1]!EM_S_VAL_DIVIDENDYIELD2(B737,E737,"2019-11-29")</f>
        <v>0.56258790436005623</v>
      </c>
      <c r="T737"/>
      <c r="U737">
        <f>[1]!EM_S_RATIO_EPS_TTM(B737,E737,"1")</f>
        <v>0.69979197678181138</v>
      </c>
      <c r="AT737" s="4" t="str">
        <f>[1]!EM_S_IPO_LISTEDDATE(B737)</f>
        <v>2002-09-18</v>
      </c>
    </row>
    <row r="738" spans="1:46">
      <c r="A738">
        <v>976</v>
      </c>
      <c r="B738" t="str">
        <f>"002465"</f>
        <v>002465</v>
      </c>
      <c r="C738" t="s">
        <v>2833</v>
      </c>
      <c r="D738" t="str">
        <f>[1]!EM_S_INFO_INDEX_EM(B738,"1")</f>
        <v>信息技术</v>
      </c>
      <c r="E738" s="4">
        <f t="shared" si="11"/>
        <v>43465</v>
      </c>
      <c r="F738" s="11">
        <f>[1]!EM_S_PQ_PCTCHANGE(B738,"2018-01-01","2019-12-31","3")</f>
        <v>15.180402409999999</v>
      </c>
      <c r="G738" s="11">
        <f>[1]!EM_S_PQ_PCTCHANGE(B738,"2018-12-31","2019-12-30","1")</f>
        <v>39.743589739999997</v>
      </c>
      <c r="H738" s="11">
        <f>[1]!EM_S_FA_YOY_OR(B738,E738)</f>
        <v>21.411397382600001</v>
      </c>
      <c r="I738" s="11">
        <f>[1]!EM_S_FA_GROSSPROFITMARGIN(B738,E738)</f>
        <v>37.6029045979</v>
      </c>
      <c r="J738" s="11">
        <f>[1]!EM_S_FA_NETPROFITMARGIN(B738,E738)</f>
        <v>10.9738429727</v>
      </c>
      <c r="K738" s="10">
        <f>[1]!EM_S_FA_ASSETSTURN(B738,E738)</f>
        <v>0.34848578336000002</v>
      </c>
      <c r="L738" s="12">
        <f>[1]!EM_HKS_VAL_MV(B738,"2019-12-31","2")</f>
        <v>24966668017.200001</v>
      </c>
      <c r="M738">
        <f>[1]!EM_S_VAL_PETTMDEDUCTED(B738,E738)</f>
        <v>101.661950124212</v>
      </c>
      <c r="N738" s="7">
        <f>[1]!EM_S_VAL_PBGOODWILLDEDUCTED(B738,E738)</f>
        <v>2.5680508637351198</v>
      </c>
      <c r="O738" s="7">
        <f>[1]!EM_S_VAL_PS_TTM(B738,E738)</f>
        <v>4.9135642751744797</v>
      </c>
      <c r="P738" s="7">
        <f>[1]!EM_S_VAL_PCF_NCFTTM(B738,E738)</f>
        <v>52.9795777210011</v>
      </c>
      <c r="Q738" s="7">
        <f>[1]!EM_S_VAL_DIVIDENDYIELD2(B738,E738,"2019-11-29")</f>
        <v>1.1692721589195656</v>
      </c>
      <c r="T738"/>
      <c r="U738">
        <f>[1]!EM_S_RATIO_EPS_TTM(B738,E738,"1")</f>
        <v>0.18647896347334028</v>
      </c>
      <c r="AT738" s="4" t="str">
        <f>[1]!EM_S_IPO_LISTEDDATE(B738)</f>
        <v>2010-08-31</v>
      </c>
    </row>
    <row r="739" spans="1:46">
      <c r="A739">
        <v>2097</v>
      </c>
      <c r="B739" t="str">
        <f>"300679"</f>
        <v>300679</v>
      </c>
      <c r="C739" t="s">
        <v>1323</v>
      </c>
      <c r="D739" t="str">
        <f>[1]!EM_S_INFO_INDEX_EM(B739,"1")</f>
        <v>电子设备</v>
      </c>
      <c r="E739" s="4">
        <f t="shared" si="11"/>
        <v>43465</v>
      </c>
      <c r="F739" s="11">
        <f>[1]!EM_S_PQ_PCTCHANGE(B739,"2018-01-01","2019-12-31","3")</f>
        <v>-3.00278709</v>
      </c>
      <c r="G739" s="11">
        <f>[1]!EM_S_PQ_PCTCHANGE(B739,"2018-12-31","2019-12-30","1")</f>
        <v>39.713971399999998</v>
      </c>
      <c r="H739" s="11">
        <f>[1]!EM_S_FA_YOY_OR(B739,E739)</f>
        <v>-5.7454735147999996</v>
      </c>
      <c r="I739" s="11">
        <f>[1]!EM_S_FA_GROSSPROFITMARGIN(B739,E739)</f>
        <v>37.861919258299999</v>
      </c>
      <c r="J739" s="11">
        <f>[1]!EM_S_FA_NETPROFITMARGIN(B739,E739)</f>
        <v>17.868922196300002</v>
      </c>
      <c r="K739" s="10">
        <f>[1]!EM_S_FA_ASSETSTURN(B739,E739)</f>
        <v>0.37167825808999999</v>
      </c>
      <c r="L739" s="12">
        <f>[1]!EM_HKS_VAL_MV(B739,"2019-12-31","2")</f>
        <v>10684440000</v>
      </c>
      <c r="M739">
        <f>[1]!EM_S_VAL_PETTMDEDUCTED(B739,E739)</f>
        <v>22.986936612728101</v>
      </c>
      <c r="N739" s="7">
        <f>[1]!EM_S_VAL_PBGOODWILLDEDUCTED(B739,E739)</f>
        <v>1.7693896475081199</v>
      </c>
      <c r="O739" s="7">
        <f>[1]!EM_S_VAL_PS_TTM(B739,E739)</f>
        <v>4.48299526279611</v>
      </c>
      <c r="P739" s="7">
        <f>[1]!EM_S_VAL_PCF_NCFTTM(B739,E739)</f>
        <v>-11.2952653721327</v>
      </c>
      <c r="Q739" s="7">
        <f>[1]!EM_S_VAL_DIVIDENDYIELD2(B739,E739,"2019-11-29")</f>
        <v>0.23369036027263873</v>
      </c>
      <c r="T739"/>
      <c r="U739">
        <f>[1]!EM_S_RATIO_EPS_TTM(B739,E739,"1")</f>
        <v>1.110508635462963</v>
      </c>
      <c r="AT739" s="4" t="str">
        <f>[1]!EM_S_IPO_LISTEDDATE(B739)</f>
        <v>2017-07-31</v>
      </c>
    </row>
    <row r="740" spans="1:46">
      <c r="A740">
        <v>1671</v>
      </c>
      <c r="B740" t="str">
        <f>"300246"</f>
        <v>300246</v>
      </c>
      <c r="C740" t="s">
        <v>574</v>
      </c>
      <c r="D740" t="str">
        <f>[1]!EM_S_INFO_INDEX_EM(B740,"1")</f>
        <v>医药生物</v>
      </c>
      <c r="E740" s="4">
        <f t="shared" si="11"/>
        <v>43465</v>
      </c>
      <c r="F740" s="11">
        <f>[1]!EM_S_PQ_PCTCHANGE(B740,"2018-01-01","2019-12-31","3")</f>
        <v>-24.258069160000002</v>
      </c>
      <c r="G740" s="11">
        <f>[1]!EM_S_PQ_PCTCHANGE(B740,"2018-12-31","2019-12-30","1")</f>
        <v>39.672429479999998</v>
      </c>
      <c r="H740" s="11">
        <f>[1]!EM_S_FA_YOY_OR(B740,E740)</f>
        <v>14.324160192900001</v>
      </c>
      <c r="I740" s="11">
        <f>[1]!EM_S_FA_GROSSPROFITMARGIN(B740,E740)</f>
        <v>37.223961083699997</v>
      </c>
      <c r="J740" s="11">
        <f>[1]!EM_S_FA_NETPROFITMARGIN(B740,E740)</f>
        <v>9.6187177345000006</v>
      </c>
      <c r="K740" s="10">
        <f>[1]!EM_S_FA_ASSETSTURN(B740,E740)</f>
        <v>0.94668921668700001</v>
      </c>
      <c r="L740" s="12">
        <f>[1]!EM_HKS_VAL_MV(B740,"2019-12-31","2")</f>
        <v>2261442240</v>
      </c>
      <c r="M740">
        <f>[1]!EM_S_VAL_PETTMDEDUCTED(B740,E740)</f>
        <v>36.587600277242899</v>
      </c>
      <c r="N740" s="7">
        <f>[1]!EM_S_VAL_PBGOODWILLDEDUCTED(B740,E740)</f>
        <v>3.4287228482819798</v>
      </c>
      <c r="O740" s="7">
        <f>[1]!EM_S_VAL_PS_TTM(B740,E740)</f>
        <v>2.03023048647453</v>
      </c>
      <c r="P740" s="7">
        <f>[1]!EM_S_VAL_PCF_NCFTTM(B740,E740)</f>
        <v>-184.12958447559399</v>
      </c>
      <c r="Q740" s="7">
        <f>[1]!EM_S_VAL_DIVIDENDYIELD2(B740,E740,"2019-11-29")</f>
        <v>0.71275837491090521</v>
      </c>
      <c r="T740"/>
      <c r="U740">
        <f>[1]!EM_S_RATIO_EPS_TTM(B740,E740,"1")</f>
        <v>0.43941597899895951</v>
      </c>
      <c r="AT740" s="4" t="str">
        <f>[1]!EM_S_IPO_LISTEDDATE(B740)</f>
        <v>2011-07-19</v>
      </c>
    </row>
    <row r="741" spans="1:46">
      <c r="A741">
        <v>12</v>
      </c>
      <c r="B741" t="str">
        <f>"000012"</f>
        <v>000012</v>
      </c>
      <c r="C741" t="s">
        <v>1477</v>
      </c>
      <c r="D741" t="str">
        <f>[1]!EM_S_INFO_INDEX_EM(B741,"1")</f>
        <v>建材</v>
      </c>
      <c r="E741" s="4">
        <f t="shared" si="11"/>
        <v>43465</v>
      </c>
      <c r="F741" s="11">
        <f>[1]!EM_S_PQ_PCTCHANGE(B741,"2018-01-01","2019-12-31","3")</f>
        <v>-23.55676133</v>
      </c>
      <c r="G741" s="11">
        <f>[1]!EM_S_PQ_PCTCHANGE(B741,"2019-01-01","2019-12-31","3")</f>
        <v>39.648644419999997</v>
      </c>
      <c r="H741" s="11">
        <f>[1]!EM_S_FA_YOY_OR(B741,E741)</f>
        <v>-2.4765861769000002</v>
      </c>
      <c r="I741" s="11">
        <f>[1]!EM_S_FA_GROSSPROFITMARGIN(B741,E741)</f>
        <v>23.463617304</v>
      </c>
      <c r="J741" s="11">
        <f>[1]!EM_S_FA_NETPROFITMARGIN(B741,E741)</f>
        <v>4.4506148372999998</v>
      </c>
      <c r="K741" s="10">
        <f>[1]!EM_S_FA_ASSETSTURN(B741,E741)</f>
        <v>0.54903868523900001</v>
      </c>
      <c r="L741" s="12">
        <f>[1]!EM_HKS_VAL_MV(B741,"2019-12-31","2")</f>
        <v>15572062776.629999</v>
      </c>
      <c r="M741">
        <f>[1]!EM_S_VAL_PETTMDEDUCTED(B741,E741)</f>
        <v>21.7242477422969</v>
      </c>
      <c r="N741" s="7">
        <f>[1]!EM_S_VAL_PBGOODWILLDEDUCTED(B741,E741)</f>
        <v>1.30918030075976</v>
      </c>
      <c r="O741" s="7">
        <f>[1]!EM_S_VAL_PS_TTM(B741,E741)</f>
        <v>1.0163780197854499</v>
      </c>
      <c r="P741" s="7">
        <f>[1]!EM_S_VAL_PCF_NCFTTM(B741,E741)</f>
        <v>9.5314588727211493</v>
      </c>
      <c r="Q741" s="7">
        <f>[1]!EM_S_VAL_DIVIDENDYIELD2(B741,E741,"2019-11-29")</f>
        <v>1.0401497820368879</v>
      </c>
      <c r="T741"/>
      <c r="U741">
        <f>[1]!EM_S_RATIO_EPS_TTM(B741,E741,"1")</f>
        <v>0.15819842201858819</v>
      </c>
      <c r="AT741" s="4" t="str">
        <f>[1]!EM_S_IPO_LISTEDDATE(B741)</f>
        <v>1992-02-28</v>
      </c>
    </row>
    <row r="742" spans="1:46">
      <c r="A742">
        <v>1723</v>
      </c>
      <c r="B742" t="str">
        <f>"300298"</f>
        <v>300298</v>
      </c>
      <c r="C742" t="s">
        <v>411</v>
      </c>
      <c r="D742" t="str">
        <f>[1]!EM_S_INFO_INDEX_EM(B742,"1")</f>
        <v>医药生物</v>
      </c>
      <c r="E742" s="4">
        <f t="shared" si="11"/>
        <v>43465</v>
      </c>
      <c r="F742" s="11">
        <f>[1]!EM_S_PQ_PCTCHANGE(B742,"2018-01-01","2019-12-31","3")</f>
        <v>-6.3486310599999998</v>
      </c>
      <c r="G742" s="11">
        <f>[1]!EM_S_PQ_PCTCHANGE(B742,"2018-12-31","2019-12-30","1")</f>
        <v>39.622641510000001</v>
      </c>
      <c r="H742" s="11">
        <f>[1]!EM_S_FA_YOY_OR(B742,E742)</f>
        <v>50.096987051299998</v>
      </c>
      <c r="I742" s="11">
        <f>[1]!EM_S_FA_GROSSPROFITMARGIN(B742,E742)</f>
        <v>63.8196866953</v>
      </c>
      <c r="J742" s="11">
        <f>[1]!EM_S_FA_NETPROFITMARGIN(B742,E742)</f>
        <v>20.022295080100001</v>
      </c>
      <c r="K742" s="10">
        <f>[1]!EM_S_FA_ASSETSTURN(B742,E742)</f>
        <v>0.66505908755900001</v>
      </c>
      <c r="L742" s="12">
        <f>[1]!EM_HKS_VAL_MV(B742,"2019-12-31","2")</f>
        <v>8474067862.6599998</v>
      </c>
      <c r="M742">
        <f>[1]!EM_S_VAL_PETTMDEDUCTED(B742,E742)</f>
        <v>24.072199532795398</v>
      </c>
      <c r="N742" s="7">
        <f>[1]!EM_S_VAL_PBGOODWILLDEDUCTED(B742,E742)</f>
        <v>2.7786448369897898</v>
      </c>
      <c r="O742" s="7">
        <f>[1]!EM_S_VAL_PS_TTM(B742,E742)</f>
        <v>4.1946393444802297</v>
      </c>
      <c r="P742" s="7">
        <f>[1]!EM_S_VAL_PCF_NCFTTM(B742,E742)</f>
        <v>10.503951506543901</v>
      </c>
      <c r="Q742" s="7">
        <f>[1]!EM_S_VAL_DIVIDENDYIELD2(B742,E742,"2019-11-29")</f>
        <v>2.1754894851341549</v>
      </c>
      <c r="T742"/>
      <c r="U742">
        <f>[1]!EM_S_RATIO_EPS_TTM(B742,E742,"1")</f>
        <v>0.54916021884545474</v>
      </c>
      <c r="AT742" s="4" t="str">
        <f>[1]!EM_S_IPO_LISTEDDATE(B742)</f>
        <v>2012-03-19</v>
      </c>
    </row>
    <row r="743" spans="1:46">
      <c r="A743">
        <v>539</v>
      </c>
      <c r="B743" t="str">
        <f>"002028"</f>
        <v>002028</v>
      </c>
      <c r="C743" t="s">
        <v>3227</v>
      </c>
      <c r="D743" t="str">
        <f>[1]!EM_S_INFO_INDEX_EM(B743,"1")</f>
        <v>电气设备</v>
      </c>
      <c r="E743" s="4">
        <f t="shared" si="11"/>
        <v>43465</v>
      </c>
      <c r="F743" s="11">
        <f>[1]!EM_S_PQ_PCTCHANGE(B743,"2018-01-01","2019-12-31","3")</f>
        <v>-11.77865239</v>
      </c>
      <c r="G743" s="11">
        <f>[1]!EM_S_PQ_PCTCHANGE(B743,"2018-12-31","2019-12-30","1")</f>
        <v>39.614994930000002</v>
      </c>
      <c r="H743" s="11">
        <f>[1]!EM_S_FA_YOY_OR(B743,E743)</f>
        <v>6.9375602839999999</v>
      </c>
      <c r="I743" s="11">
        <f>[1]!EM_S_FA_GROSSPROFITMARGIN(B743,E743)</f>
        <v>30.593878879999998</v>
      </c>
      <c r="J743" s="11">
        <f>[1]!EM_S_FA_NETPROFITMARGIN(B743,E743)</f>
        <v>6.1161965661000002</v>
      </c>
      <c r="K743" s="10">
        <f>[1]!EM_S_FA_ASSETSTURN(B743,E743)</f>
        <v>0.66902625928600001</v>
      </c>
      <c r="L743" s="12">
        <f>[1]!EM_HKS_VAL_MV(B743,"2019-12-31","2")</f>
        <v>10468081813.139999</v>
      </c>
      <c r="M743">
        <f>[1]!EM_S_VAL_PETTMDEDUCTED(B743,E743)</f>
        <v>33.130454134490698</v>
      </c>
      <c r="N743" s="7">
        <f>[1]!EM_S_VAL_PBGOODWILLDEDUCTED(B743,E743)</f>
        <v>1.66054714038002</v>
      </c>
      <c r="O743" s="7">
        <f>[1]!EM_S_VAL_PS_TTM(B743,E743)</f>
        <v>1.58930651338609</v>
      </c>
      <c r="P743" s="7">
        <f>[1]!EM_S_VAL_PCF_NCFTTM(B743,E743)</f>
        <v>-85.435495218381305</v>
      </c>
      <c r="Q743" s="7">
        <f>[1]!EM_S_VAL_DIVIDENDYIELD2(B743,E743,"2019-11-29")</f>
        <v>0.7087172218284904</v>
      </c>
      <c r="T743"/>
      <c r="U743">
        <f>[1]!EM_S_RATIO_EPS_TTM(B743,E743,"1")</f>
        <v>0.38755735363410099</v>
      </c>
      <c r="AT743" s="4" t="str">
        <f>[1]!EM_S_IPO_LISTEDDATE(B743)</f>
        <v>2004-08-05</v>
      </c>
    </row>
    <row r="744" spans="1:46">
      <c r="A744">
        <v>1901</v>
      </c>
      <c r="B744" t="str">
        <f>"300476"</f>
        <v>300476</v>
      </c>
      <c r="C744" t="s">
        <v>720</v>
      </c>
      <c r="D744" t="str">
        <f>[1]!EM_S_INFO_INDEX_EM(B744,"1")</f>
        <v>电子设备</v>
      </c>
      <c r="E744" s="4">
        <f t="shared" si="11"/>
        <v>43465</v>
      </c>
      <c r="F744" s="11">
        <f>[1]!EM_S_PQ_PCTCHANGE(B744,"2018-01-01","2019-12-31","3")</f>
        <v>25.6894326</v>
      </c>
      <c r="G744" s="11">
        <f>[1]!EM_S_PQ_PCTCHANGE(B744,"2018-12-31","2019-12-30","1")</f>
        <v>39.572649570000003</v>
      </c>
      <c r="H744" s="11">
        <f>[1]!EM_S_FA_YOY_OR(B744,E744)</f>
        <v>35.288843868599997</v>
      </c>
      <c r="I744" s="11">
        <f>[1]!EM_S_FA_GROSSPROFITMARGIN(B744,E744)</f>
        <v>27.561488751300001</v>
      </c>
      <c r="J744" s="11">
        <f>[1]!EM_S_FA_NETPROFITMARGIN(B744,E744)</f>
        <v>11.5162712624</v>
      </c>
      <c r="K744" s="10">
        <f>[1]!EM_S_FA_ASSETSTURN(B744,E744)</f>
        <v>0.696333919696</v>
      </c>
      <c r="L744" s="12">
        <f>[1]!EM_HKS_VAL_MV(B744,"2019-12-31","2")</f>
        <v>12707936092.25</v>
      </c>
      <c r="M744">
        <f>[1]!EM_S_VAL_PETTMDEDUCTED(B744,E744)</f>
        <v>21.193000915440098</v>
      </c>
      <c r="N744" s="7">
        <f>[1]!EM_S_VAL_PBGOODWILLDEDUCTED(B744,E744)</f>
        <v>3.0262359908195302</v>
      </c>
      <c r="O744" s="7">
        <f>[1]!EM_S_VAL_PS_TTM(B744,E744)</f>
        <v>2.8911786968236401</v>
      </c>
      <c r="P744" s="7">
        <f>[1]!EM_S_VAL_PCF_NCFTTM(B744,E744)</f>
        <v>66.590709663861801</v>
      </c>
      <c r="Q744" s="7">
        <f>[1]!EM_S_VAL_DIVIDENDYIELD2(B744,E744,"2019-11-29")</f>
        <v>1.1582055172413792</v>
      </c>
      <c r="T744"/>
      <c r="U744">
        <f>[1]!EM_S_RATIO_EPS_TTM(B744,E744,"1")</f>
        <v>0.49433262746173318</v>
      </c>
      <c r="AT744" s="4" t="str">
        <f>[1]!EM_S_IPO_LISTEDDATE(B744)</f>
        <v>2015-06-11</v>
      </c>
    </row>
    <row r="745" spans="1:46">
      <c r="A745">
        <v>3398</v>
      </c>
      <c r="B745" t="str">
        <f>"603416"</f>
        <v>603416</v>
      </c>
      <c r="C745" t="s">
        <v>854</v>
      </c>
      <c r="D745" t="str">
        <f>[1]!EM_S_INFO_INDEX_EM(B745,"1")</f>
        <v>电气设备</v>
      </c>
      <c r="E745" s="4">
        <f t="shared" si="11"/>
        <v>43465</v>
      </c>
      <c r="F745" s="11">
        <f>[1]!EM_S_PQ_PCTCHANGE(B745,"2018-01-01","2019-12-31","3")</f>
        <v>-9.6060471199999995</v>
      </c>
      <c r="G745" s="11">
        <f>[1]!EM_S_PQ_PCTCHANGE(B745,"2018-12-31","2019-12-30","1")</f>
        <v>39.444995040000002</v>
      </c>
      <c r="H745" s="11">
        <f>[1]!EM_S_FA_YOY_OR(B745,E745)</f>
        <v>22.086984913999999</v>
      </c>
      <c r="I745" s="11">
        <f>[1]!EM_S_FA_GROSSPROFITMARGIN(B745,E745)</f>
        <v>39.719266665100001</v>
      </c>
      <c r="J745" s="11">
        <f>[1]!EM_S_FA_NETPROFITMARGIN(B745,E745)</f>
        <v>25.175222913799999</v>
      </c>
      <c r="K745" s="10">
        <f>[1]!EM_S_FA_ASSETSTURN(B745,E745)</f>
        <v>0.50585576089399997</v>
      </c>
      <c r="L745" s="12">
        <f>[1]!EM_HKS_VAL_MV(B745,"2019-12-31","2")</f>
        <v>3934274400</v>
      </c>
      <c r="M745">
        <f>[1]!EM_S_VAL_PETTMDEDUCTED(B745,E745)</f>
        <v>24.9756404740188</v>
      </c>
      <c r="N745" s="7">
        <f>[1]!EM_S_VAL_PBGOODWILLDEDUCTED(B745,E745)</f>
        <v>2.6764062724304298</v>
      </c>
      <c r="O745" s="7">
        <f>[1]!EM_S_VAL_PS_TTM(B745,E745)</f>
        <v>4.88815134798676</v>
      </c>
      <c r="P745" s="7">
        <f>[1]!EM_S_VAL_PCF_NCFTTM(B745,E745)</f>
        <v>57.595337332963098</v>
      </c>
      <c r="Q745" s="7">
        <f>[1]!EM_S_VAL_DIVIDENDYIELD2(B745,E745,"2019-11-29")</f>
        <v>0.58823529411764708</v>
      </c>
      <c r="T745"/>
      <c r="U745">
        <f>[1]!EM_S_RATIO_EPS_TTM(B745,E745,"1")</f>
        <v>1.0574132647268071</v>
      </c>
      <c r="AT745" s="4" t="str">
        <f>[1]!EM_S_IPO_LISTEDDATE(B745)</f>
        <v>2016-12-21</v>
      </c>
    </row>
    <row r="746" spans="1:46">
      <c r="A746">
        <v>1615</v>
      </c>
      <c r="B746" t="str">
        <f>"300190"</f>
        <v>300190</v>
      </c>
      <c r="C746" t="s">
        <v>1942</v>
      </c>
      <c r="D746" t="str">
        <f>[1]!EM_S_INFO_INDEX_EM(B746,"1")</f>
        <v>公用事业</v>
      </c>
      <c r="E746" s="4">
        <f t="shared" si="11"/>
        <v>43465</v>
      </c>
      <c r="F746" s="11">
        <f>[1]!EM_S_PQ_PCTCHANGE(B746,"2018-01-01","2019-12-31","3")</f>
        <v>5.0416717000000002</v>
      </c>
      <c r="G746" s="11">
        <f>[1]!EM_S_PQ_PCTCHANGE(B746,"2018-12-31","2019-12-30","1")</f>
        <v>39.430894309999999</v>
      </c>
      <c r="H746" s="11">
        <f>[1]!EM_S_FA_YOY_OR(B746,E746)</f>
        <v>45.640721619499999</v>
      </c>
      <c r="I746" s="11">
        <f>[1]!EM_S_FA_GROSSPROFITMARGIN(B746,E746)</f>
        <v>32.554707841899997</v>
      </c>
      <c r="J746" s="11">
        <f>[1]!EM_S_FA_NETPROFITMARGIN(B746,E746)</f>
        <v>11.962471534300001</v>
      </c>
      <c r="K746" s="10">
        <f>[1]!EM_S_FA_ASSETSTURN(B746,E746)</f>
        <v>0.30928617414999998</v>
      </c>
      <c r="L746" s="12">
        <f>[1]!EM_HKS_VAL_MV(B746,"2019-12-31","2")</f>
        <v>5384602654.5900002</v>
      </c>
      <c r="M746">
        <f>[1]!EM_S_VAL_PETTMDEDUCTED(B746,E746)</f>
        <v>22.009433750077299</v>
      </c>
      <c r="N746" s="7">
        <f>[1]!EM_S_VAL_PBGOODWILLDEDUCTED(B746,E746)</f>
        <v>1.54333764905078</v>
      </c>
      <c r="O746" s="7">
        <f>[1]!EM_S_VAL_PS_TTM(B746,E746)</f>
        <v>2.1227538306484002</v>
      </c>
      <c r="P746" s="7">
        <f>[1]!EM_S_VAL_PCF_NCFTTM(B746,E746)</f>
        <v>-6.3919804075814701</v>
      </c>
      <c r="Q746" s="7">
        <f>[1]!EM_S_VAL_DIVIDENDYIELD2(B746,E746,"2019-11-29")</f>
        <v>0.78864353312302837</v>
      </c>
      <c r="T746"/>
      <c r="U746">
        <f>[1]!EM_S_RATIO_EPS_TTM(B746,E746,"1")</f>
        <v>0.28542341026611756</v>
      </c>
      <c r="AT746" s="4" t="str">
        <f>[1]!EM_S_IPO_LISTEDDATE(B746)</f>
        <v>2011-03-16</v>
      </c>
    </row>
    <row r="747" spans="1:46">
      <c r="A747">
        <v>1711</v>
      </c>
      <c r="B747" t="str">
        <f>"300286"</f>
        <v>300286</v>
      </c>
      <c r="C747" t="s">
        <v>769</v>
      </c>
      <c r="D747" t="str">
        <f>[1]!EM_S_INFO_INDEX_EM(B747,"1")</f>
        <v>电气设备</v>
      </c>
      <c r="E747" s="4">
        <f t="shared" si="11"/>
        <v>43465</v>
      </c>
      <c r="F747" s="11">
        <f>[1]!EM_S_PQ_PCTCHANGE(B747,"2018-01-01","2019-12-31","3")</f>
        <v>0.61474667000000005</v>
      </c>
      <c r="G747" s="11">
        <f>[1]!EM_S_PQ_PCTCHANGE(B747,"2018-12-31","2019-12-30","1")</f>
        <v>39.429928740000001</v>
      </c>
      <c r="H747" s="11">
        <f>[1]!EM_S_FA_YOY_OR(B747,E747)</f>
        <v>12.939531391299999</v>
      </c>
      <c r="I747" s="11">
        <f>[1]!EM_S_FA_GROSSPROFITMARGIN(B747,E747)</f>
        <v>49.885987561699999</v>
      </c>
      <c r="J747" s="11">
        <f>[1]!EM_S_FA_NETPROFITMARGIN(B747,E747)</f>
        <v>21.2067932432</v>
      </c>
      <c r="K747" s="10">
        <f>[1]!EM_S_FA_ASSETSTURN(B747,E747)</f>
        <v>0.50165181834100003</v>
      </c>
      <c r="L747" s="12">
        <f>[1]!EM_HKS_VAL_MV(B747,"2019-12-31","2")</f>
        <v>2485580625</v>
      </c>
      <c r="M747">
        <f>[1]!EM_S_VAL_PETTMDEDUCTED(B747,E747)</f>
        <v>21.547054107702198</v>
      </c>
      <c r="N747" s="7">
        <f>[1]!EM_S_VAL_PBGOODWILLDEDUCTED(B747,E747)</f>
        <v>2.47055774052536</v>
      </c>
      <c r="O747" s="7">
        <f>[1]!EM_S_VAL_PS_TTM(B747,E747)</f>
        <v>4.0902791805198602</v>
      </c>
      <c r="P747" s="7">
        <f>[1]!EM_S_VAL_PCF_NCFTTM(B747,E747)</f>
        <v>-107.43871765943101</v>
      </c>
      <c r="Q747" s="7">
        <f>[1]!EM_S_VAL_DIVIDENDYIELD2(B747,E747,"2019-11-29")</f>
        <v>1.9865867392154055</v>
      </c>
      <c r="T747"/>
      <c r="U747">
        <f>[1]!EM_S_RATIO_EPS_TTM(B747,E747,"1")</f>
        <v>0.44836618564174846</v>
      </c>
      <c r="AT747" s="4" t="str">
        <f>[1]!EM_S_IPO_LISTEDDATE(B747)</f>
        <v>2012-01-13</v>
      </c>
    </row>
    <row r="748" spans="1:46">
      <c r="A748">
        <v>2763</v>
      </c>
      <c r="B748" t="str">
        <f>"600690"</f>
        <v>600690</v>
      </c>
      <c r="C748" t="s">
        <v>204</v>
      </c>
      <c r="D748" t="str">
        <f>[1]!EM_S_INFO_INDEX_EM(B748,"1")</f>
        <v>家电</v>
      </c>
      <c r="E748" s="4">
        <f t="shared" si="11"/>
        <v>43465</v>
      </c>
      <c r="F748" s="11">
        <f>[1]!EM_S_PQ_PCTCHANGE(B748,"2018-01-01","2019-12-31","3")</f>
        <v>7.6781184099999997</v>
      </c>
      <c r="G748" s="11">
        <f>[1]!EM_S_PQ_PCTCHANGE(B748,"2018-12-31","2019-12-30","1")</f>
        <v>39.422382669999998</v>
      </c>
      <c r="H748" s="11">
        <f>[1]!EM_S_FA_YOY_OR(B748,E748)</f>
        <v>12.1690495468</v>
      </c>
      <c r="I748" s="11">
        <f>[1]!EM_S_FA_GROSSPROFITMARGIN(B748,E748)</f>
        <v>29.0003344649</v>
      </c>
      <c r="J748" s="11">
        <f>[1]!EM_S_FA_NETPROFITMARGIN(B748,E748)</f>
        <v>5.3299057371999998</v>
      </c>
      <c r="K748" s="10">
        <f>[1]!EM_S_FA_ASSETSTURN(B748,E748)</f>
        <v>1.1523449241020001</v>
      </c>
      <c r="L748" s="12">
        <f>[1]!EM_HKS_VAL_MV(B748,"2019-12-31","2")</f>
        <v>128301549226.5</v>
      </c>
      <c r="M748">
        <f>[1]!EM_S_VAL_PETTMDEDUCTED(B748,E748)</f>
        <v>13.6722763744177</v>
      </c>
      <c r="N748" s="7">
        <f>[1]!EM_S_VAL_PBGOODWILLDEDUCTED(B748,E748)</f>
        <v>5.0859752164314296</v>
      </c>
      <c r="O748" s="7">
        <f>[1]!EM_S_VAL_PS_TTM(B748,E748)</f>
        <v>0.50430546625705697</v>
      </c>
      <c r="P748" s="7">
        <f>[1]!EM_S_VAL_PCF_NCFTTM(B748,E748)</f>
        <v>65.482344530504207</v>
      </c>
      <c r="Q748" s="7">
        <f>[1]!EM_S_VAL_DIVIDENDYIELD2(B748,E748,"2019-11-29")</f>
        <v>2.0418964764507104</v>
      </c>
      <c r="T748"/>
      <c r="U748">
        <f>[1]!EM_S_RATIO_EPS_TTM(B748,E748,"1")</f>
        <v>1.1683011973604052</v>
      </c>
      <c r="AT748" s="4" t="str">
        <f>[1]!EM_S_IPO_LISTEDDATE(B748)</f>
        <v>1993-11-19</v>
      </c>
    </row>
    <row r="749" spans="1:46">
      <c r="A749">
        <v>2558</v>
      </c>
      <c r="B749" t="str">
        <f>"600469"</f>
        <v>600469</v>
      </c>
      <c r="C749" t="s">
        <v>3623</v>
      </c>
      <c r="D749" t="str">
        <f>[1]!EM_S_INFO_INDEX_EM(B749,"1")</f>
        <v>基础化工</v>
      </c>
      <c r="E749" s="4">
        <f t="shared" si="11"/>
        <v>43465</v>
      </c>
      <c r="F749" s="11">
        <f>[1]!EM_S_PQ_PCTCHANGE(B749,"2018-01-01","2019-12-31","3")</f>
        <v>-13.234862769999999</v>
      </c>
      <c r="G749" s="11">
        <f>[1]!EM_S_PQ_PCTCHANGE(B749,"2018-12-31","2019-12-30","1")</f>
        <v>39.376770540000003</v>
      </c>
      <c r="H749" s="11">
        <f>[1]!EM_S_FA_YOY_OR(B749,E749)</f>
        <v>-14.855312122699999</v>
      </c>
      <c r="I749" s="11">
        <f>[1]!EM_S_FA_GROSSPROFITMARGIN(B749,E749)</f>
        <v>18.139383159200001</v>
      </c>
      <c r="J749" s="11">
        <f>[1]!EM_S_FA_NETPROFITMARGIN(B749,E749)</f>
        <v>0.29380829419999999</v>
      </c>
      <c r="K749" s="10">
        <f>[1]!EM_S_FA_ASSETSTURN(B749,E749)</f>
        <v>0.85406695193000004</v>
      </c>
      <c r="L749" s="12">
        <f>[1]!EM_HKS_VAL_MV(B749,"2019-12-31","2")</f>
        <v>2767073052.2399998</v>
      </c>
      <c r="M749">
        <f>[1]!EM_S_VAL_PETTMDEDUCTED(B749,E749)</f>
        <v>-7.0378474800326902</v>
      </c>
      <c r="N749" s="7">
        <f>[1]!EM_S_VAL_PBGOODWILLDEDUCTED(B749,E749)</f>
        <v>0.98408184326997405</v>
      </c>
      <c r="O749" s="7">
        <f>[1]!EM_S_VAL_PS_TTM(B749,E749)</f>
        <v>0.31352764213065598</v>
      </c>
      <c r="P749" s="7">
        <f>[1]!EM_S_VAL_PCF_NCFTTM(B749,E749)</f>
        <v>-7.4265152894308804</v>
      </c>
      <c r="Q749" s="7">
        <f>[1]!EM_S_VAL_DIVIDENDYIELD2(B749,E749,"2019-11-29")</f>
        <v>0.42826552462526768</v>
      </c>
      <c r="T749"/>
      <c r="U749">
        <f>[1]!EM_S_RATIO_EPS_TTM(B749,E749,"1")</f>
        <v>3.2486573973184434E-2</v>
      </c>
      <c r="AT749" s="4" t="str">
        <f>[1]!EM_S_IPO_LISTEDDATE(B749)</f>
        <v>2003-10-21</v>
      </c>
    </row>
    <row r="750" spans="1:46">
      <c r="A750">
        <v>1710</v>
      </c>
      <c r="B750" t="str">
        <f>"300285"</f>
        <v>300285</v>
      </c>
      <c r="C750" t="s">
        <v>519</v>
      </c>
      <c r="D750" t="str">
        <f>[1]!EM_S_INFO_INDEX_EM(B750,"1")</f>
        <v>基础化工</v>
      </c>
      <c r="E750" s="4">
        <f t="shared" si="11"/>
        <v>43465</v>
      </c>
      <c r="F750" s="11">
        <f>[1]!EM_S_PQ_PCTCHANGE(B750,"2018-01-01","2019-12-31","3")</f>
        <v>72.501492529999993</v>
      </c>
      <c r="G750" s="11">
        <f>[1]!EM_S_PQ_PCTCHANGE(B750,"2018-12-31","2019-12-30","1")</f>
        <v>39.172165569999997</v>
      </c>
      <c r="H750" s="11">
        <f>[1]!EM_S_FA_YOY_OR(B750,E750)</f>
        <v>47.646857892500002</v>
      </c>
      <c r="I750" s="11">
        <f>[1]!EM_S_FA_GROSSPROFITMARGIN(B750,E750)</f>
        <v>44.818068645399997</v>
      </c>
      <c r="J750" s="11">
        <f>[1]!EM_S_FA_NETPROFITMARGIN(B750,E750)</f>
        <v>31.0524507262</v>
      </c>
      <c r="K750" s="10">
        <f>[1]!EM_S_FA_ASSETSTURN(B750,E750)</f>
        <v>0.46894829733400001</v>
      </c>
      <c r="L750" s="12">
        <f>[1]!EM_HKS_VAL_MV(B750,"2019-12-31","2")</f>
        <v>22012343198.150002</v>
      </c>
      <c r="M750">
        <f>[1]!EM_S_VAL_PETTMDEDUCTED(B750,E750)</f>
        <v>35.230415396419403</v>
      </c>
      <c r="N750" s="7">
        <f>[1]!EM_S_VAL_PBGOODWILLDEDUCTED(B750,E750)</f>
        <v>6.36665996885535</v>
      </c>
      <c r="O750" s="7">
        <f>[1]!EM_S_VAL_PS_TTM(B750,E750)</f>
        <v>6.7411885864344301</v>
      </c>
      <c r="P750" s="7">
        <f>[1]!EM_S_VAL_PCF_NCFTTM(B750,E750)</f>
        <v>-57.905933752450402</v>
      </c>
      <c r="Q750" s="7">
        <f>[1]!EM_S_VAL_DIVIDENDYIELD2(B750,E750,"2019-11-29")</f>
        <v>0.30609121534099387</v>
      </c>
      <c r="T750"/>
      <c r="U750">
        <f>[1]!EM_S_RATIO_EPS_TTM(B750,E750,"1")</f>
        <v>0.84554746466715924</v>
      </c>
      <c r="AT750" s="4" t="str">
        <f>[1]!EM_S_IPO_LISTEDDATE(B750)</f>
        <v>2012-01-13</v>
      </c>
    </row>
    <row r="751" spans="1:46">
      <c r="A751">
        <v>941</v>
      </c>
      <c r="B751" t="str">
        <f>"002430"</f>
        <v>002430</v>
      </c>
      <c r="C751" t="s">
        <v>681</v>
      </c>
      <c r="D751" t="str">
        <f>[1]!EM_S_INFO_INDEX_EM(B751,"1")</f>
        <v>机械设备</v>
      </c>
      <c r="E751" s="4">
        <f t="shared" si="11"/>
        <v>43465</v>
      </c>
      <c r="F751" s="11">
        <f>[1]!EM_S_PQ_PCTCHANGE(B751,"2018-01-01","2019-12-31","3")</f>
        <v>-1.8290673200000001</v>
      </c>
      <c r="G751" s="11">
        <f>[1]!EM_S_PQ_PCTCHANGE(B751,"2018-12-31","2019-12-30","1")</f>
        <v>39.037433159999999</v>
      </c>
      <c r="H751" s="11">
        <f>[1]!EM_S_FA_YOY_OR(B751,E751)</f>
        <v>22.465334243600001</v>
      </c>
      <c r="I751" s="11">
        <f>[1]!EM_S_FA_GROSSPROFITMARGIN(B751,E751)</f>
        <v>23.284295853500002</v>
      </c>
      <c r="J751" s="11">
        <f>[1]!EM_S_FA_NETPROFITMARGIN(B751,E751)</f>
        <v>10.0579738324</v>
      </c>
      <c r="K751" s="10">
        <f>[1]!EM_S_FA_ASSETSTURN(B751,E751)</f>
        <v>0.70433306553899999</v>
      </c>
      <c r="L751" s="12">
        <f>[1]!EM_HKS_VAL_MV(B751,"2019-12-31","2")</f>
        <v>12983566838.42</v>
      </c>
      <c r="M751">
        <f>[1]!EM_S_VAL_PETTMDEDUCTED(B751,E751)</f>
        <v>13.8982832350687</v>
      </c>
      <c r="N751" s="7">
        <f>[1]!EM_S_VAL_PBGOODWILLDEDUCTED(B751,E751)</f>
        <v>1.6991880038298399</v>
      </c>
      <c r="O751" s="7">
        <f>[1]!EM_S_VAL_PS_TTM(B751,E751)</f>
        <v>1.1608572527660801</v>
      </c>
      <c r="P751" s="7">
        <f>[1]!EM_S_VAL_PCF_NCFTTM(B751,E751)</f>
        <v>-63.353912973292601</v>
      </c>
      <c r="Q751" s="7">
        <f>[1]!EM_S_VAL_DIVIDENDYIELD2(B751,E751,"2019-11-29")</f>
        <v>1.5177065767284992</v>
      </c>
      <c r="T751"/>
      <c r="U751">
        <f>[1]!EM_S_RATIO_EPS_TTM(B751,E751,"1")</f>
        <v>0.76804910802251602</v>
      </c>
      <c r="AT751" s="4" t="str">
        <f>[1]!EM_S_IPO_LISTEDDATE(B751)</f>
        <v>2010-06-10</v>
      </c>
    </row>
    <row r="752" spans="1:46">
      <c r="A752">
        <v>328</v>
      </c>
      <c r="B752" t="str">
        <f>"000759"</f>
        <v>000759</v>
      </c>
      <c r="C752" t="s">
        <v>2608</v>
      </c>
      <c r="D752" t="str">
        <f>[1]!EM_S_INFO_INDEX_EM(B752,"1")</f>
        <v>商贸零售</v>
      </c>
      <c r="E752" s="4">
        <f t="shared" si="11"/>
        <v>43465</v>
      </c>
      <c r="F752" s="11">
        <f>[1]!EM_S_PQ_PCTCHANGE(B752,"2018-01-01","2019-12-31","3")</f>
        <v>-21.80289226</v>
      </c>
      <c r="G752" s="11">
        <f>[1]!EM_S_PQ_PCTCHANGE(B752,"2018-12-31","2019-12-30","1")</f>
        <v>39.015151520000003</v>
      </c>
      <c r="H752" s="11">
        <f>[1]!EM_S_FA_YOY_OR(B752,E752)</f>
        <v>1.55931935E-2</v>
      </c>
      <c r="I752" s="11">
        <f>[1]!EM_S_FA_GROSSPROFITMARGIN(B752,E752)</f>
        <v>22.490585258399999</v>
      </c>
      <c r="J752" s="11">
        <f>[1]!EM_S_FA_NETPROFITMARGIN(B752,E752)</f>
        <v>2.8753378542000001</v>
      </c>
      <c r="K752" s="10">
        <f>[1]!EM_S_FA_ASSETSTURN(B752,E752)</f>
        <v>1.9301258083970001</v>
      </c>
      <c r="L752" s="12">
        <f>[1]!EM_HKS_VAL_MV(B752,"2019-12-31","2")</f>
        <v>5073610175</v>
      </c>
      <c r="M752">
        <f>[1]!EM_S_VAL_PETTMDEDUCTED(B752,E752)</f>
        <v>49.446829852009799</v>
      </c>
      <c r="N752" s="7">
        <f>[1]!EM_S_VAL_PBGOODWILLDEDUCTED(B752,E752)</f>
        <v>1.0712729825785601</v>
      </c>
      <c r="O752" s="7">
        <f>[1]!EM_S_VAL_PS_TTM(B752,E752)</f>
        <v>0.23262211216568901</v>
      </c>
      <c r="P752" s="7">
        <f>[1]!EM_S_VAL_PCF_NCFTTM(B752,E752)</f>
        <v>5.8602004836940598</v>
      </c>
      <c r="Q752" s="7">
        <f>[1]!EM_S_VAL_DIVIDENDYIELD2(B752,E752,"2019-11-29")</f>
        <v>0.76103500761035003</v>
      </c>
      <c r="T752"/>
      <c r="U752">
        <f>[1]!EM_S_RATIO_EPS_TTM(B752,E752,"1")</f>
        <v>0.63279476004795743</v>
      </c>
      <c r="AT752" s="4" t="str">
        <f>[1]!EM_S_IPO_LISTEDDATE(B752)</f>
        <v>1997-05-19</v>
      </c>
    </row>
    <row r="753" spans="1:46">
      <c r="A753">
        <v>2392</v>
      </c>
      <c r="B753" t="str">
        <f>"600261"</f>
        <v>600261</v>
      </c>
      <c r="C753" t="s">
        <v>1283</v>
      </c>
      <c r="D753" t="str">
        <f>[1]!EM_S_INFO_INDEX_EM(B753,"1")</f>
        <v>家电</v>
      </c>
      <c r="E753" s="4">
        <f t="shared" si="11"/>
        <v>43465</v>
      </c>
      <c r="F753" s="11">
        <f>[1]!EM_S_PQ_PCTCHANGE(B753,"2018-01-01","2019-12-31","3")</f>
        <v>-7.0159212499999999</v>
      </c>
      <c r="G753" s="11">
        <f>[1]!EM_S_PQ_PCTCHANGE(B753,"2018-12-31","2019-12-30","1")</f>
        <v>39.002932549999997</v>
      </c>
      <c r="H753" s="11">
        <f>[1]!EM_S_FA_YOY_OR(B753,E753)</f>
        <v>11.4713228526</v>
      </c>
      <c r="I753" s="11">
        <f>[1]!EM_S_FA_GROSSPROFITMARGIN(B753,E753)</f>
        <v>24.279989115700001</v>
      </c>
      <c r="J753" s="11">
        <f>[1]!EM_S_FA_NETPROFITMARGIN(B753,E753)</f>
        <v>7.0576257332000001</v>
      </c>
      <c r="K753" s="10">
        <f>[1]!EM_S_FA_ASSETSTURN(B753,E753)</f>
        <v>0.85745296144500005</v>
      </c>
      <c r="L753" s="12">
        <f>[1]!EM_HKS_VAL_MV(B753,"2019-12-31","2")</f>
        <v>6897488917.5</v>
      </c>
      <c r="M753">
        <f>[1]!EM_S_VAL_PETTMDEDUCTED(B753,E753)</f>
        <v>16.6645885089243</v>
      </c>
      <c r="N753" s="7">
        <f>[1]!EM_S_VAL_PBGOODWILLDEDUCTED(B753,E753)</f>
        <v>1.4822907896631901</v>
      </c>
      <c r="O753" s="7">
        <f>[1]!EM_S_VAL_PS_TTM(B753,E753)</f>
        <v>0.89288649906554896</v>
      </c>
      <c r="P753" s="7">
        <f>[1]!EM_S_VAL_PCF_NCFTTM(B753,E753)</f>
        <v>-10.0383905826604</v>
      </c>
      <c r="Q753" s="7">
        <f>[1]!EM_S_VAL_DIVIDENDYIELD2(B753,E753,"2019-11-29")</f>
        <v>3.5211267605633805</v>
      </c>
      <c r="T753"/>
      <c r="U753">
        <f>[1]!EM_S_RATIO_EPS_TTM(B753,E753,"1")</f>
        <v>0.26481518252290831</v>
      </c>
      <c r="AT753" s="4" t="str">
        <f>[1]!EM_S_IPO_LISTEDDATE(B753)</f>
        <v>2000-07-20</v>
      </c>
    </row>
    <row r="754" spans="1:46">
      <c r="A754">
        <v>629</v>
      </c>
      <c r="B754" t="str">
        <f>"002118"</f>
        <v>002118</v>
      </c>
      <c r="C754" t="s">
        <v>711</v>
      </c>
      <c r="D754" t="str">
        <f>[1]!EM_S_INFO_INDEX_EM(B754,"1")</f>
        <v>医药生物</v>
      </c>
      <c r="E754" s="4">
        <f t="shared" si="11"/>
        <v>43465</v>
      </c>
      <c r="F754" s="11">
        <f>[1]!EM_S_PQ_PCTCHANGE(B754,"2018-01-01","2019-12-31","3")</f>
        <v>-17.0212766</v>
      </c>
      <c r="G754" s="11">
        <f>[1]!EM_S_PQ_PCTCHANGE(B754,"2018-12-31","2019-12-30","1")</f>
        <v>38.990825690000001</v>
      </c>
      <c r="H754" s="11">
        <f>[1]!EM_S_FA_YOY_OR(B754,E754)</f>
        <v>-0.17101223639999999</v>
      </c>
      <c r="I754" s="11">
        <f>[1]!EM_S_FA_GROSSPROFITMARGIN(B754,E754)</f>
        <v>64.8391838119</v>
      </c>
      <c r="J754" s="11">
        <f>[1]!EM_S_FA_NETPROFITMARGIN(B754,E754)</f>
        <v>13.131555308099999</v>
      </c>
      <c r="K754" s="10">
        <f>[1]!EM_S_FA_ASSETSTURN(B754,E754)</f>
        <v>0.14096308074</v>
      </c>
      <c r="L754" s="12">
        <f>[1]!EM_HKS_VAL_MV(B754,"2019-12-31","2")</f>
        <v>7991941314.2399998</v>
      </c>
      <c r="M754">
        <f>[1]!EM_S_VAL_PETTMDEDUCTED(B754,E754)</f>
        <v>10.3136756192556</v>
      </c>
      <c r="N754" s="7">
        <f>[1]!EM_S_VAL_PBGOODWILLDEDUCTED(B754,E754)</f>
        <v>1.29837832877715</v>
      </c>
      <c r="O754" s="7">
        <f>[1]!EM_S_VAL_PS_TTM(B754,E754)</f>
        <v>3.0111846308291499</v>
      </c>
      <c r="P754" s="7">
        <f>[1]!EM_S_VAL_PCF_NCFTTM(B754,E754)</f>
        <v>60.440793093549999</v>
      </c>
      <c r="Q754" s="7">
        <f>[1]!EM_S_VAL_DIVIDENDYIELD2(B754,E754,"2019-11-29")</f>
        <v>0</v>
      </c>
      <c r="T754"/>
      <c r="U754">
        <f>[1]!EM_S_RATIO_EPS_TTM(B754,E754,"1")</f>
        <v>0.13591318441307823</v>
      </c>
      <c r="AT754" s="4" t="str">
        <f>[1]!EM_S_IPO_LISTEDDATE(B754)</f>
        <v>2007-03-02</v>
      </c>
    </row>
    <row r="755" spans="1:46">
      <c r="A755">
        <v>2550</v>
      </c>
      <c r="B755" t="str">
        <f>"600459"</f>
        <v>600459</v>
      </c>
      <c r="C755" t="s">
        <v>2212</v>
      </c>
      <c r="D755" t="str">
        <f>[1]!EM_S_INFO_INDEX_EM(B755,"1")</f>
        <v>有色金属</v>
      </c>
      <c r="E755" s="4">
        <f t="shared" si="11"/>
        <v>43465</v>
      </c>
      <c r="F755" s="11">
        <f>[1]!EM_S_PQ_PCTCHANGE(B755,"2018-01-01","2019-12-31","3")</f>
        <v>-3.6137749499999998</v>
      </c>
      <c r="G755" s="11">
        <f>[1]!EM_S_PQ_PCTCHANGE(B755,"2018-12-31","2019-12-30","1")</f>
        <v>38.989169680000003</v>
      </c>
      <c r="H755" s="11">
        <f>[1]!EM_S_FA_YOY_OR(B755,E755)</f>
        <v>10.5723650002</v>
      </c>
      <c r="I755" s="11">
        <f>[1]!EM_S_FA_GROSSPROFITMARGIN(B755,E755)</f>
        <v>3.4765447943000001</v>
      </c>
      <c r="J755" s="11">
        <f>[1]!EM_S_FA_NETPROFITMARGIN(B755,E755)</f>
        <v>1.0820112849000001</v>
      </c>
      <c r="K755" s="10">
        <f>[1]!EM_S_FA_ASSETSTURN(B755,E755)</f>
        <v>3.0396898488850002</v>
      </c>
      <c r="L755" s="12">
        <f>[1]!EM_HKS_VAL_MV(B755,"2019-12-31","2")</f>
        <v>6609390966.1000004</v>
      </c>
      <c r="M755">
        <f>[1]!EM_S_VAL_PETTMDEDUCTED(B755,E755)</f>
        <v>30.457776016853099</v>
      </c>
      <c r="N755" s="7">
        <f>[1]!EM_S_VAL_PBGOODWILLDEDUCTED(B755,E755)</f>
        <v>1.88857339701556</v>
      </c>
      <c r="O755" s="7">
        <f>[1]!EM_S_VAL_PS_TTM(B755,E755)</f>
        <v>0.214762560943284</v>
      </c>
      <c r="P755" s="7">
        <f>[1]!EM_S_VAL_PCF_NCFTTM(B755,E755)</f>
        <v>-58.810633584670299</v>
      </c>
      <c r="Q755" s="7">
        <f>[1]!EM_S_VAL_DIVIDENDYIELD2(B755,E755,"2019-11-29")</f>
        <v>1.3235294117647058</v>
      </c>
      <c r="T755"/>
      <c r="U755">
        <f>[1]!EM_S_RATIO_EPS_TTM(B755,E755,"1")</f>
        <v>0.46318285212445098</v>
      </c>
      <c r="AT755" s="4" t="str">
        <f>[1]!EM_S_IPO_LISTEDDATE(B755)</f>
        <v>2003-05-16</v>
      </c>
    </row>
    <row r="756" spans="1:46">
      <c r="A756">
        <v>1389</v>
      </c>
      <c r="B756" t="str">
        <f>"002890"</f>
        <v>002890</v>
      </c>
      <c r="C756" t="s">
        <v>1800</v>
      </c>
      <c r="D756" t="str">
        <f>[1]!EM_S_INFO_INDEX_EM(B756,"1")</f>
        <v>机械设备</v>
      </c>
      <c r="E756" s="4">
        <f t="shared" si="11"/>
        <v>43465</v>
      </c>
      <c r="F756" s="11">
        <f>[1]!EM_S_PQ_PCTCHANGE(B756,"2018-01-01","2019-12-31","3")</f>
        <v>-24.465456710000002</v>
      </c>
      <c r="G756" s="11">
        <f>[1]!EM_S_PQ_PCTCHANGE(B756,"2018-12-31","2019-12-30","1")</f>
        <v>38.807588080000002</v>
      </c>
      <c r="H756" s="11">
        <f>[1]!EM_S_FA_YOY_OR(B756,E756)</f>
        <v>-15.575735460600001</v>
      </c>
      <c r="I756" s="11">
        <f>[1]!EM_S_FA_GROSSPROFITMARGIN(B756,E756)</f>
        <v>16.328722319400001</v>
      </c>
      <c r="J756" s="11">
        <f>[1]!EM_S_FA_NETPROFITMARGIN(B756,E756)</f>
        <v>11.7512508121</v>
      </c>
      <c r="K756" s="10">
        <f>[1]!EM_S_FA_ASSETSTURN(B756,E756)</f>
        <v>0.38517227593699999</v>
      </c>
      <c r="L756" s="12">
        <f>[1]!EM_HKS_VAL_MV(B756,"2019-12-31","2")</f>
        <v>1712085600</v>
      </c>
      <c r="M756">
        <f>[1]!EM_S_VAL_PETTMDEDUCTED(B756,E756)</f>
        <v>142.79861808635999</v>
      </c>
      <c r="N756" s="7">
        <f>[1]!EM_S_VAL_PBGOODWILLDEDUCTED(B756,E756)</f>
        <v>2.3201814222498802</v>
      </c>
      <c r="O756" s="7">
        <f>[1]!EM_S_VAL_PS_TTM(B756,E756)</f>
        <v>5.6497171645864404</v>
      </c>
      <c r="P756" s="7">
        <f>[1]!EM_S_VAL_PCF_NCFTTM(B756,E756)</f>
        <v>-24.340465539593701</v>
      </c>
      <c r="Q756" s="7">
        <f>[1]!EM_S_VAL_DIVIDENDYIELD2(B756,E756,"2019-11-29")</f>
        <v>0</v>
      </c>
      <c r="T756"/>
      <c r="U756">
        <f>[1]!EM_S_RATIO_EPS_TTM(B756,E756,"1")</f>
        <v>0.42186320713964304</v>
      </c>
      <c r="AT756" s="4" t="str">
        <f>[1]!EM_S_IPO_LISTEDDATE(B756)</f>
        <v>2017-08-02</v>
      </c>
    </row>
    <row r="757" spans="1:46">
      <c r="A757">
        <v>1234</v>
      </c>
      <c r="B757" t="str">
        <f>"002724"</f>
        <v>002724</v>
      </c>
      <c r="C757" t="s">
        <v>2226</v>
      </c>
      <c r="D757" t="str">
        <f>[1]!EM_S_INFO_INDEX_EM(B757,"1")</f>
        <v>家电</v>
      </c>
      <c r="E757" s="4">
        <f t="shared" si="11"/>
        <v>43465</v>
      </c>
      <c r="F757" s="11">
        <f>[1]!EM_S_PQ_PCTCHANGE(B757,"2018-01-01","2019-12-31","3")</f>
        <v>-6.6355002599999997</v>
      </c>
      <c r="G757" s="11">
        <f>[1]!EM_S_PQ_PCTCHANGE(B757,"2018-12-31","2019-12-30","1")</f>
        <v>38.771593090000003</v>
      </c>
      <c r="H757" s="11">
        <f>[1]!EM_S_FA_YOY_OR(B757,E757)</f>
        <v>14.243130944600001</v>
      </c>
      <c r="I757" s="11">
        <f>[1]!EM_S_FA_GROSSPROFITMARGIN(B757,E757)</f>
        <v>71.340105578099994</v>
      </c>
      <c r="J757" s="11">
        <f>[1]!EM_S_FA_NETPROFITMARGIN(B757,E757)</f>
        <v>15.1572876635</v>
      </c>
      <c r="K757" s="10">
        <f>[1]!EM_S_FA_ASSETSTURN(B757,E757)</f>
        <v>0.58931385375000001</v>
      </c>
      <c r="L757" s="12">
        <f>[1]!EM_HKS_VAL_MV(B757,"2019-12-31","2")</f>
        <v>5140800000</v>
      </c>
      <c r="M757">
        <f>[1]!EM_S_VAL_PETTMDEDUCTED(B757,E757)</f>
        <v>28.100726992078702</v>
      </c>
      <c r="N757" s="7">
        <f>[1]!EM_S_VAL_PBGOODWILLDEDUCTED(B757,E757)</f>
        <v>1.9756961075419299</v>
      </c>
      <c r="O757" s="7">
        <f>[1]!EM_S_VAL_PS_TTM(B757,E757)</f>
        <v>3.0312571854843702</v>
      </c>
      <c r="P757" s="7">
        <f>[1]!EM_S_VAL_PCF_NCFTTM(B757,E757)</f>
        <v>-6.0773952746973796</v>
      </c>
      <c r="Q757" s="7">
        <f>[1]!EM_S_VAL_DIVIDENDYIELD2(B757,E757,"2019-11-29")</f>
        <v>1.5128593040847202</v>
      </c>
      <c r="T757"/>
      <c r="U757">
        <f>[1]!EM_S_RATIO_EPS_TTM(B757,E757,"1")</f>
        <v>0.26382027583333334</v>
      </c>
      <c r="AT757" s="4" t="str">
        <f>[1]!EM_S_IPO_LISTEDDATE(B757)</f>
        <v>2014-11-04</v>
      </c>
    </row>
    <row r="758" spans="1:46">
      <c r="A758">
        <v>1755</v>
      </c>
      <c r="B758" t="str">
        <f>"300330"</f>
        <v>300330</v>
      </c>
      <c r="C758" t="s">
        <v>3204</v>
      </c>
      <c r="D758" t="str">
        <f>[1]!EM_S_INFO_INDEX_EM(B758,"1")</f>
        <v>信息技术</v>
      </c>
      <c r="E758" s="4">
        <f t="shared" si="11"/>
        <v>43465</v>
      </c>
      <c r="F758" s="11">
        <f>[1]!EM_S_PQ_PCTCHANGE(B758,"2018-01-01","2019-12-31","3")</f>
        <v>-9.0654205599999997</v>
      </c>
      <c r="G758" s="11">
        <f>[1]!EM_S_PQ_PCTCHANGE(B758,"2018-12-31","2019-12-30","1")</f>
        <v>38.769670959999999</v>
      </c>
      <c r="H758" s="11">
        <f>[1]!EM_S_FA_YOY_OR(B758,E758)</f>
        <v>-7.3857497748999998</v>
      </c>
      <c r="I758" s="11">
        <f>[1]!EM_S_FA_GROSSPROFITMARGIN(B758,E758)</f>
        <v>17.0820278315</v>
      </c>
      <c r="J758" s="11">
        <f>[1]!EM_S_FA_NETPROFITMARGIN(B758,E758)</f>
        <v>-9.3172696981000005</v>
      </c>
      <c r="K758" s="10">
        <f>[1]!EM_S_FA_ASSETSTURN(B758,E758)</f>
        <v>0.39502937510000002</v>
      </c>
      <c r="L758" s="12">
        <f>[1]!EM_HKS_VAL_MV(B758,"2019-12-31","2")</f>
        <v>1634640000</v>
      </c>
      <c r="M758">
        <f>[1]!EM_S_VAL_PETTMDEDUCTED(B758,E758)</f>
        <v>-108.938402613693</v>
      </c>
      <c r="N758" s="7">
        <f>[1]!EM_S_VAL_PBGOODWILLDEDUCTED(B758,E758)</f>
        <v>3.1857465075096099</v>
      </c>
      <c r="O758" s="7">
        <f>[1]!EM_S_VAL_PS_TTM(B758,E758)</f>
        <v>6.3690921770880999</v>
      </c>
      <c r="P758" s="7">
        <f>[1]!EM_S_VAL_PCF_NCFTTM(B758,E758)</f>
        <v>244.36006372988399</v>
      </c>
      <c r="Q758" s="7">
        <f>[1]!EM_S_VAL_DIVIDENDYIELD2(B758,E758,"2019-11-29")</f>
        <v>0</v>
      </c>
      <c r="T758"/>
      <c r="U758">
        <f>[1]!EM_S_RATIO_EPS_TTM(B758,E758,"1")</f>
        <v>-0.11491620791666667</v>
      </c>
      <c r="AT758" s="4" t="str">
        <f>[1]!EM_S_IPO_LISTEDDATE(B758)</f>
        <v>2012-06-19</v>
      </c>
    </row>
    <row r="759" spans="1:46">
      <c r="A759">
        <v>1967</v>
      </c>
      <c r="B759" t="str">
        <f>"300543"</f>
        <v>300543</v>
      </c>
      <c r="C759" t="s">
        <v>2222</v>
      </c>
      <c r="D759" t="str">
        <f>[1]!EM_S_INFO_INDEX_EM(B759,"1")</f>
        <v>电子设备</v>
      </c>
      <c r="E759" s="4">
        <f t="shared" si="11"/>
        <v>43465</v>
      </c>
      <c r="F759" s="11">
        <f>[1]!EM_S_PQ_PCTCHANGE(B759,"2018-01-01","2019-12-31","3")</f>
        <v>-24.63050574</v>
      </c>
      <c r="G759" s="11">
        <f>[1]!EM_S_PQ_PCTCHANGE(B759,"2018-12-31","2019-12-30","1")</f>
        <v>38.747785</v>
      </c>
      <c r="H759" s="11">
        <f>[1]!EM_S_FA_YOY_OR(B759,E759)</f>
        <v>1.4388613142</v>
      </c>
      <c r="I759" s="11">
        <f>[1]!EM_S_FA_GROSSPROFITMARGIN(B759,E759)</f>
        <v>14.789775133799999</v>
      </c>
      <c r="J759" s="11">
        <f>[1]!EM_S_FA_NETPROFITMARGIN(B759,E759)</f>
        <v>3.7088355174999998</v>
      </c>
      <c r="K759" s="10">
        <f>[1]!EM_S_FA_ASSETSTURN(B759,E759)</f>
        <v>1.1188237284760001</v>
      </c>
      <c r="L759" s="12">
        <f>[1]!EM_HKS_VAL_MV(B759,"2019-12-31","2")</f>
        <v>2816133306</v>
      </c>
      <c r="M759">
        <f>[1]!EM_S_VAL_PETTMDEDUCTED(B759,E759)</f>
        <v>50.317315191184797</v>
      </c>
      <c r="N759" s="7">
        <f>[1]!EM_S_VAL_PBGOODWILLDEDUCTED(B759,E759)</f>
        <v>3.0661617801566101</v>
      </c>
      <c r="O759" s="7">
        <f>[1]!EM_S_VAL_PS_TTM(B759,E759)</f>
        <v>1.6123861873766101</v>
      </c>
      <c r="P759" s="7">
        <f>[1]!EM_S_VAL_PCF_NCFTTM(B759,E759)</f>
        <v>-16.834979591523801</v>
      </c>
      <c r="Q759" s="7">
        <f>[1]!EM_S_VAL_DIVIDENDYIELD2(B759,E759,"2019-11-29")</f>
        <v>0.35885167464114831</v>
      </c>
      <c r="T759"/>
      <c r="U759">
        <f>[1]!EM_S_RATIO_EPS_TTM(B759,E759,"1")</f>
        <v>0.37145486699999997</v>
      </c>
      <c r="AT759" s="4" t="str">
        <f>[1]!EM_S_IPO_LISTEDDATE(B759)</f>
        <v>2016-09-08</v>
      </c>
    </row>
    <row r="760" spans="1:46">
      <c r="A760">
        <v>1128</v>
      </c>
      <c r="B760" t="str">
        <f>"002617"</f>
        <v>002617</v>
      </c>
      <c r="C760" t="s">
        <v>895</v>
      </c>
      <c r="D760" t="str">
        <f>[1]!EM_S_INFO_INDEX_EM(B760,"1")</f>
        <v>电气设备</v>
      </c>
      <c r="E760" s="4">
        <f t="shared" si="11"/>
        <v>43465</v>
      </c>
      <c r="F760" s="11">
        <f>[1]!EM_S_PQ_PCTCHANGE(B760,"2018-01-01","2019-12-31","3")</f>
        <v>-50.203998800000001</v>
      </c>
      <c r="G760" s="11">
        <f>[1]!EM_S_PQ_PCTCHANGE(B760,"2018-12-31","2019-12-30","1")</f>
        <v>38.693467339999998</v>
      </c>
      <c r="H760" s="11">
        <f>[1]!EM_S_FA_YOY_OR(B760,E760)</f>
        <v>-6.9281080778000002</v>
      </c>
      <c r="I760" s="11">
        <f>[1]!EM_S_FA_GROSSPROFITMARGIN(B760,E760)</f>
        <v>13.9467561824</v>
      </c>
      <c r="J760" s="11">
        <f>[1]!EM_S_FA_NETPROFITMARGIN(B760,E760)</f>
        <v>-32.2346241941</v>
      </c>
      <c r="K760" s="10">
        <f>[1]!EM_S_FA_ASSETSTURN(B760,E760)</f>
        <v>0.52458734505799998</v>
      </c>
      <c r="L760" s="12">
        <f>[1]!EM_HKS_VAL_MV(B760,"2019-12-31","2")</f>
        <v>8187822912.2799997</v>
      </c>
      <c r="M760">
        <f>[1]!EM_S_VAL_PETTMDEDUCTED(B760,E760)</f>
        <v>20.2607568147602</v>
      </c>
      <c r="N760" s="7">
        <f>[1]!EM_S_VAL_PBGOODWILLDEDUCTED(B760,E760)</f>
        <v>2.9861067983591001</v>
      </c>
      <c r="O760" s="7">
        <f>[1]!EM_S_VAL_PS_TTM(B760,E760)</f>
        <v>1.25950826298036</v>
      </c>
      <c r="P760" s="7">
        <f>[1]!EM_S_VAL_PCF_NCFTTM(B760,E760)</f>
        <v>-86.800139157661306</v>
      </c>
      <c r="Q760" s="7">
        <f>[1]!EM_S_VAL_DIVIDENDYIELD2(B760,E760,"2019-11-29")</f>
        <v>0</v>
      </c>
      <c r="T760"/>
      <c r="U760">
        <f>[1]!EM_S_RATIO_EPS_TTM(B760,E760,"1")</f>
        <v>-0.88294935189763835</v>
      </c>
      <c r="AT760" s="4" t="str">
        <f>[1]!EM_S_IPO_LISTEDDATE(B760)</f>
        <v>2011-09-20</v>
      </c>
    </row>
    <row r="761" spans="1:46">
      <c r="A761">
        <v>3313</v>
      </c>
      <c r="B761" t="str">
        <f>"603203"</f>
        <v>603203</v>
      </c>
      <c r="C761" t="s">
        <v>497</v>
      </c>
      <c r="D761" t="str">
        <f>[1]!EM_S_INFO_INDEX_EM(B761,"1")</f>
        <v>机械设备</v>
      </c>
      <c r="E761" s="4">
        <f t="shared" si="11"/>
        <v>43465</v>
      </c>
      <c r="F761" s="11">
        <f>[1]!EM_S_PQ_PCTCHANGE(B761,"2018-01-01","2019-12-31","3")</f>
        <v>-9.0400913700000007</v>
      </c>
      <c r="G761" s="11">
        <f>[1]!EM_S_PQ_PCTCHANGE(B761,"2018-12-31","2019-12-30","1")</f>
        <v>38.622448980000001</v>
      </c>
      <c r="H761" s="11">
        <f>[1]!EM_S_FA_YOY_OR(B761,E761)</f>
        <v>19.497430947400002</v>
      </c>
      <c r="I761" s="11">
        <f>[1]!EM_S_FA_GROSSPROFITMARGIN(B761,E761)</f>
        <v>55.025682790799998</v>
      </c>
      <c r="J761" s="11">
        <f>[1]!EM_S_FA_NETPROFITMARGIN(B761,E761)</f>
        <v>36.330434577200002</v>
      </c>
      <c r="K761" s="10">
        <f>[1]!EM_S_FA_ASSETSTURN(B761,E761)</f>
        <v>0.44816293599500001</v>
      </c>
      <c r="L761" s="12">
        <f>[1]!EM_HKS_VAL_MV(B761,"2019-12-31","2")</f>
        <v>4359401402.3999996</v>
      </c>
      <c r="M761">
        <f>[1]!EM_S_VAL_PETTMDEDUCTED(B761,E761)</f>
        <v>24.055112916010099</v>
      </c>
      <c r="N761" s="7">
        <f>[1]!EM_S_VAL_PBGOODWILLDEDUCTED(B761,E761)</f>
        <v>3.56397846280273</v>
      </c>
      <c r="O761" s="7">
        <f>[1]!EM_S_VAL_PS_TTM(B761,E761)</f>
        <v>7.54389204821471</v>
      </c>
      <c r="P761" s="7">
        <f>[1]!EM_S_VAL_PCF_NCFTTM(B761,E761)</f>
        <v>32.012451051107803</v>
      </c>
      <c r="Q761" s="7">
        <f>[1]!EM_S_VAL_DIVIDENDYIELD2(B761,E761,"2019-11-29")</f>
        <v>1.4699366650633532</v>
      </c>
      <c r="T761"/>
      <c r="U761">
        <f>[1]!EM_S_RATIO_EPS_TTM(B761,E761,"1")</f>
        <v>0.99229657367291724</v>
      </c>
      <c r="AT761" s="4" t="str">
        <f>[1]!EM_S_IPO_LISTEDDATE(B761)</f>
        <v>2016-11-08</v>
      </c>
    </row>
    <row r="762" spans="1:46">
      <c r="A762">
        <v>2273</v>
      </c>
      <c r="B762" t="str">
        <f>"600127"</f>
        <v>600127</v>
      </c>
      <c r="C762" t="s">
        <v>2569</v>
      </c>
      <c r="D762" t="str">
        <f>[1]!EM_S_INFO_INDEX_EM(B762,"1")</f>
        <v>农林牧渔</v>
      </c>
      <c r="E762" s="4">
        <f t="shared" si="11"/>
        <v>43465</v>
      </c>
      <c r="F762" s="11">
        <f>[1]!EM_S_PQ_PCTCHANGE(B762,"2018-01-01","2019-12-31","3")</f>
        <v>-12.06140351</v>
      </c>
      <c r="G762" s="11">
        <f>[1]!EM_S_PQ_PCTCHANGE(B762,"2018-12-31","2019-12-30","1")</f>
        <v>38.596491229999998</v>
      </c>
      <c r="H762" s="11">
        <f>[1]!EM_S_FA_YOY_OR(B762,E762)</f>
        <v>9.1178699897000008</v>
      </c>
      <c r="I762" s="11">
        <f>[1]!EM_S_FA_GROSSPROFITMARGIN(B762,E762)</f>
        <v>11.5054796136</v>
      </c>
      <c r="J762" s="11">
        <f>[1]!EM_S_FA_NETPROFITMARGIN(B762,E762)</f>
        <v>-1.8035162012999999</v>
      </c>
      <c r="K762" s="10">
        <f>[1]!EM_S_FA_ASSETSTURN(B762,E762)</f>
        <v>1.423222574802</v>
      </c>
      <c r="L762" s="12">
        <f>[1]!EM_HKS_VAL_MV(B762,"2019-12-31","2")</f>
        <v>2573550704.1799998</v>
      </c>
      <c r="M762">
        <f>[1]!EM_S_VAL_PETTMDEDUCTED(B762,E762)</f>
        <v>-54.910827732186199</v>
      </c>
      <c r="N762" s="7">
        <f>[1]!EM_S_VAL_PBGOODWILLDEDUCTED(B762,E762)</f>
        <v>2.6070286709025101</v>
      </c>
      <c r="O762" s="7">
        <f>[1]!EM_S_VAL_PS_TTM(B762,E762)</f>
        <v>0.619354476302034</v>
      </c>
      <c r="P762" s="7">
        <f>[1]!EM_S_VAL_PCF_NCFTTM(B762,E762)</f>
        <v>93.853896575813394</v>
      </c>
      <c r="Q762" s="7">
        <f>[1]!EM_S_VAL_DIVIDENDYIELD2(B762,E762,"2019-11-29")</f>
        <v>0</v>
      </c>
      <c r="T762"/>
      <c r="U762">
        <f>[1]!EM_S_RATIO_EPS_TTM(B762,E762,"1")</f>
        <v>-8.2805248703153214E-2</v>
      </c>
      <c r="AT762" s="4" t="str">
        <f>[1]!EM_S_IPO_LISTEDDATE(B762)</f>
        <v>1998-05-06</v>
      </c>
    </row>
    <row r="763" spans="1:46">
      <c r="A763">
        <v>963</v>
      </c>
      <c r="B763" t="str">
        <f>"002452"</f>
        <v>002452</v>
      </c>
      <c r="C763" t="s">
        <v>3409</v>
      </c>
      <c r="D763" t="str">
        <f>[1]!EM_S_INFO_INDEX_EM(B763,"1")</f>
        <v>电气设备</v>
      </c>
      <c r="E763" s="4">
        <f t="shared" si="11"/>
        <v>43465</v>
      </c>
      <c r="F763" s="11">
        <f>[1]!EM_S_PQ_PCTCHANGE(B763,"2018-01-01","2019-12-31","3")</f>
        <v>-21.562343569999999</v>
      </c>
      <c r="G763" s="11">
        <f>[1]!EM_S_PQ_PCTCHANGE(B763,"2018-12-31","2019-12-30","1")</f>
        <v>38.439306360000003</v>
      </c>
      <c r="H763" s="11">
        <f>[1]!EM_S_FA_YOY_OR(B763,E763)</f>
        <v>-25.5978375328</v>
      </c>
      <c r="I763" s="11">
        <f>[1]!EM_S_FA_GROSSPROFITMARGIN(B763,E763)</f>
        <v>26.2339189341</v>
      </c>
      <c r="J763" s="11">
        <f>[1]!EM_S_FA_NETPROFITMARGIN(B763,E763)</f>
        <v>-23.300022905999999</v>
      </c>
      <c r="K763" s="10">
        <f>[1]!EM_S_FA_ASSETSTURN(B763,E763)</f>
        <v>0.39559647258500003</v>
      </c>
      <c r="L763" s="12">
        <f>[1]!EM_HKS_VAL_MV(B763,"2019-12-31","2")</f>
        <v>2530532000</v>
      </c>
      <c r="M763">
        <f>[1]!EM_S_VAL_PETTMDEDUCTED(B763,E763)</f>
        <v>-34.744628611921698</v>
      </c>
      <c r="N763" s="7">
        <f>[1]!EM_S_VAL_PBGOODWILLDEDUCTED(B763,E763)</f>
        <v>1.86826180405819</v>
      </c>
      <c r="O763" s="7">
        <f>[1]!EM_S_VAL_PS_TTM(B763,E763)</f>
        <v>1.83061282392875</v>
      </c>
      <c r="P763" s="7">
        <f>[1]!EM_S_VAL_PCF_NCFTTM(B763,E763)</f>
        <v>-13.209861901961</v>
      </c>
      <c r="Q763" s="7">
        <f>[1]!EM_S_VAL_DIVIDENDYIELD2(B763,E763,"2019-11-29")</f>
        <v>0</v>
      </c>
      <c r="T763"/>
      <c r="U763">
        <f>[1]!EM_S_RATIO_EPS_TTM(B763,E763,"1")</f>
        <v>-0.464782510464677</v>
      </c>
      <c r="AT763" s="4" t="str">
        <f>[1]!EM_S_IPO_LISTEDDATE(B763)</f>
        <v>2010-07-20</v>
      </c>
    </row>
    <row r="764" spans="1:46">
      <c r="A764">
        <v>3020</v>
      </c>
      <c r="B764" t="str">
        <f>"600999"</f>
        <v>600999</v>
      </c>
      <c r="C764" t="s">
        <v>1884</v>
      </c>
      <c r="D764" t="str">
        <f>[1]!EM_S_INFO_INDEX_EM(B764,"1")</f>
        <v>金融</v>
      </c>
      <c r="E764" s="4">
        <f t="shared" si="11"/>
        <v>43465</v>
      </c>
      <c r="F764" s="11">
        <f>[1]!EM_S_PQ_PCTCHANGE(B764,"2018-01-01","2019-12-31","3")</f>
        <v>11.20796674</v>
      </c>
      <c r="G764" s="11">
        <f>[1]!EM_S_PQ_PCTCHANGE(B764,"2018-12-31","2019-12-30","1")</f>
        <v>38.432835820000001</v>
      </c>
      <c r="H764" s="11">
        <f>[1]!EM_S_FA_YOY_OR(B764,E764)</f>
        <v>-15.214330732100001</v>
      </c>
      <c r="I764" s="11">
        <f>[1]!EM_S_FA_GROSSPROFITMARGIN(B764,E764)</f>
        <v>0</v>
      </c>
      <c r="J764" s="11">
        <f>[1]!EM_S_FA_NETPROFITMARGIN(B764,E764)</f>
        <v>39.272336160000002</v>
      </c>
      <c r="K764" s="10">
        <f>[1]!EM_S_FA_ASSETSTURN(B764,E764)</f>
        <v>0</v>
      </c>
      <c r="L764" s="12">
        <f>[1]!EM_HKS_VAL_MV(B764,"2019-12-31","2")</f>
        <v>122532196627.41</v>
      </c>
      <c r="M764">
        <f>[1]!EM_S_VAL_PETTMDEDUCTED(B764,E764)</f>
        <v>19.2925674054691</v>
      </c>
      <c r="N764" s="7">
        <f>[1]!EM_S_VAL_PBGOODWILLDEDUCTED(B764,E764)</f>
        <v>1.3661200197888299</v>
      </c>
      <c r="O764" s="7">
        <f>[1]!EM_S_VAL_PS_TTM(B764,E764)</f>
        <v>7.7254483063741803</v>
      </c>
      <c r="P764" s="7">
        <f>[1]!EM_S_VAL_PCF_NCFTTM(B764,E764)</f>
        <v>-40.801171422905398</v>
      </c>
      <c r="Q764" s="7">
        <f>[1]!EM_S_VAL_DIVIDENDYIELD2(B764,E764,"2019-11-29")</f>
        <v>1.6019417475728155</v>
      </c>
      <c r="T764"/>
      <c r="U764">
        <f>[1]!EM_S_RATIO_EPS_TTM(B764,E764,"1")</f>
        <v>0.66050389275594601</v>
      </c>
      <c r="AT764" s="4" t="str">
        <f>[1]!EM_S_IPO_LISTEDDATE(B764)</f>
        <v>2009-11-17</v>
      </c>
    </row>
    <row r="765" spans="1:46">
      <c r="A765">
        <v>1108</v>
      </c>
      <c r="B765" t="str">
        <f>"002597"</f>
        <v>002597</v>
      </c>
      <c r="C765" t="s">
        <v>120</v>
      </c>
      <c r="D765" t="str">
        <f>[1]!EM_S_INFO_INDEX_EM(B765,"1")</f>
        <v>基础化工</v>
      </c>
      <c r="E765" s="4">
        <f t="shared" si="11"/>
        <v>43465</v>
      </c>
      <c r="F765" s="11">
        <f>[1]!EM_S_PQ_PCTCHANGE(B765,"2018-01-01","2019-12-31","3")</f>
        <v>-9.0399046500000004</v>
      </c>
      <c r="G765" s="11">
        <f>[1]!EM_S_PQ_PCTCHANGE(B765,"2018-12-31","2019-12-30","1")</f>
        <v>38.388923849999998</v>
      </c>
      <c r="H765" s="11">
        <f>[1]!EM_S_FA_YOY_OR(B765,E765)</f>
        <v>-7.7475341290999999</v>
      </c>
      <c r="I765" s="11">
        <f>[1]!EM_S_FA_GROSSPROFITMARGIN(B765,E765)</f>
        <v>33.0440530598</v>
      </c>
      <c r="J765" s="11">
        <f>[1]!EM_S_FA_NETPROFITMARGIN(B765,E765)</f>
        <v>22.057198523699999</v>
      </c>
      <c r="K765" s="10">
        <f>[1]!EM_S_FA_ASSETSTURN(B765,E765)</f>
        <v>0.72708687589499998</v>
      </c>
      <c r="L765" s="12">
        <f>[1]!EM_HKS_VAL_MV(B765,"2019-12-31","2")</f>
        <v>12633820246.110001</v>
      </c>
      <c r="M765">
        <f>[1]!EM_S_VAL_PETTMDEDUCTED(B765,E765)</f>
        <v>8.6565445353047199</v>
      </c>
      <c r="N765" s="7">
        <f>[1]!EM_S_VAL_PBGOODWILLDEDUCTED(B765,E765)</f>
        <v>2.3581900308269801</v>
      </c>
      <c r="O765" s="7">
        <f>[1]!EM_S_VAL_PS_TTM(B765,E765)</f>
        <v>1.9625672249680099</v>
      </c>
      <c r="P765" s="7">
        <f>[1]!EM_S_VAL_PCF_NCFTTM(B765,E765)</f>
        <v>13.036345725535</v>
      </c>
      <c r="Q765" s="7">
        <f>[1]!EM_S_VAL_DIVIDENDYIELD2(B765,E765,"2019-11-29")</f>
        <v>1.887780788725804</v>
      </c>
      <c r="T765"/>
      <c r="U765">
        <f>[1]!EM_S_RATIO_EPS_TTM(B765,E765,"1")</f>
        <v>1.6314078543393009</v>
      </c>
      <c r="AT765" s="4" t="str">
        <f>[1]!EM_S_IPO_LISTEDDATE(B765)</f>
        <v>2011-07-07</v>
      </c>
    </row>
    <row r="766" spans="1:46">
      <c r="A766">
        <v>2814</v>
      </c>
      <c r="B766" t="str">
        <f>"600741"</f>
        <v>600741</v>
      </c>
      <c r="C766" t="s">
        <v>164</v>
      </c>
      <c r="D766" t="str">
        <f>[1]!EM_S_INFO_INDEX_EM(B766,"1")</f>
        <v>交运设备</v>
      </c>
      <c r="E766" s="4">
        <f t="shared" si="11"/>
        <v>43465</v>
      </c>
      <c r="F766" s="11">
        <f>[1]!EM_S_PQ_PCTCHANGE(B766,"2018-01-01","2019-12-31","3")</f>
        <v>-4.0456196699999998</v>
      </c>
      <c r="G766" s="11">
        <f>[1]!EM_S_PQ_PCTCHANGE(B766,"2018-12-31","2019-12-30","1")</f>
        <v>38.369565219999998</v>
      </c>
      <c r="H766" s="11">
        <f>[1]!EM_S_FA_YOY_OR(B766,E766)</f>
        <v>11.875087926400001</v>
      </c>
      <c r="I766" s="11">
        <f>[1]!EM_S_FA_GROSSPROFITMARGIN(B766,E766)</f>
        <v>13.7980369853</v>
      </c>
      <c r="J766" s="11">
        <f>[1]!EM_S_FA_NETPROFITMARGIN(B766,E766)</f>
        <v>6.6459846505</v>
      </c>
      <c r="K766" s="10">
        <f>[1]!EM_S_FA_ASSETSTURN(B766,E766)</f>
        <v>1.222831643221</v>
      </c>
      <c r="L766" s="12">
        <f>[1]!EM_HKS_VAL_MV(B766,"2019-12-31","2")</f>
        <v>81939296344.160004</v>
      </c>
      <c r="M766">
        <f>[1]!EM_S_VAL_PETTMDEDUCTED(B766,E766)</f>
        <v>8.7890522643182294</v>
      </c>
      <c r="N766" s="7">
        <f>[1]!EM_S_VAL_PBGOODWILLDEDUCTED(B766,E766)</f>
        <v>1.3032693543079701</v>
      </c>
      <c r="O766" s="7">
        <f>[1]!EM_S_VAL_PS_TTM(B766,E766)</f>
        <v>0.37295883165357702</v>
      </c>
      <c r="P766" s="7">
        <f>[1]!EM_S_VAL_PCF_NCFTTM(B766,E766)</f>
        <v>-82.326511058838506</v>
      </c>
      <c r="Q766" s="7">
        <f>[1]!EM_S_VAL_DIVIDENDYIELD2(B766,E766,"2019-11-29")</f>
        <v>4.0509259259259265</v>
      </c>
      <c r="T766"/>
      <c r="U766">
        <f>[1]!EM_S_RATIO_EPS_TTM(B766,E766,"1")</f>
        <v>2.5461083769012873</v>
      </c>
      <c r="AT766" s="4" t="str">
        <f>[1]!EM_S_IPO_LISTEDDATE(B766)</f>
        <v>1996-08-26</v>
      </c>
    </row>
    <row r="767" spans="1:46">
      <c r="A767">
        <v>16</v>
      </c>
      <c r="B767" t="str">
        <f>"000016"</f>
        <v>000016</v>
      </c>
      <c r="C767" t="s">
        <v>2523</v>
      </c>
      <c r="D767" t="str">
        <f>[1]!EM_S_INFO_INDEX_EM(B767,"1")</f>
        <v>家电</v>
      </c>
      <c r="E767" s="4">
        <f t="shared" si="11"/>
        <v>43465</v>
      </c>
      <c r="F767" s="11">
        <f>[1]!EM_S_PQ_PCTCHANGE(B767,"2018-01-01","2019-12-31","3")</f>
        <v>-23.920590700000002</v>
      </c>
      <c r="G767" s="11">
        <f>[1]!EM_S_PQ_PCTCHANGE(B767,"2019-01-01","2019-12-31","3")</f>
        <v>38.134431339999999</v>
      </c>
      <c r="H767" s="11">
        <f>[1]!EM_S_FA_YOY_OR(B767,E767)</f>
        <v>47.710858995800002</v>
      </c>
      <c r="I767" s="11">
        <f>[1]!EM_S_FA_GROSSPROFITMARGIN(B767,E767)</f>
        <v>6.2852476086999998</v>
      </c>
      <c r="J767" s="11">
        <f>[1]!EM_S_FA_NETPROFITMARGIN(B767,E767)</f>
        <v>1.4495227505999999</v>
      </c>
      <c r="K767" s="10">
        <f>[1]!EM_S_FA_ASSETSTURN(B767,E767)</f>
        <v>1.631542255594</v>
      </c>
      <c r="L767" s="12">
        <f>[1]!EM_HKS_VAL_MV(B767,"2019-12-31","2")</f>
        <v>10522721432.959999</v>
      </c>
      <c r="M767">
        <f>[1]!EM_S_VAL_PETTMDEDUCTED(B767,E767)</f>
        <v>-14.957875982909799</v>
      </c>
      <c r="N767" s="7">
        <f>[1]!EM_S_VAL_PBGOODWILLDEDUCTED(B767,E767)</f>
        <v>1.0762442124686999</v>
      </c>
      <c r="O767" s="7">
        <f>[1]!EM_S_VAL_PS_TTM(B767,E767)</f>
        <v>0.19109800541526001</v>
      </c>
      <c r="P767" s="7">
        <f>[1]!EM_S_VAL_PCF_NCFTTM(B767,E767)</f>
        <v>5.7986044102803298</v>
      </c>
      <c r="Q767" s="7">
        <f>[1]!EM_S_VAL_DIVIDENDYIELD2(B767,E767,"2019-11-29")</f>
        <v>2.481389578163772</v>
      </c>
      <c r="T767"/>
      <c r="U767">
        <f>[1]!EM_S_RATIO_EPS_TTM(B767,E767,"1")</f>
        <v>0.17080526132924689</v>
      </c>
      <c r="AT767" s="4" t="str">
        <f>[1]!EM_S_IPO_LISTEDDATE(B767)</f>
        <v>1992-03-27</v>
      </c>
    </row>
    <row r="768" spans="1:46">
      <c r="A768">
        <v>2686</v>
      </c>
      <c r="B768" t="str">
        <f>"600613"</f>
        <v>600613</v>
      </c>
      <c r="C768" t="s">
        <v>2020</v>
      </c>
      <c r="D768" t="str">
        <f>[1]!EM_S_INFO_INDEX_EM(B768,"1")</f>
        <v>医药生物</v>
      </c>
      <c r="E768" s="4">
        <f t="shared" si="11"/>
        <v>43465</v>
      </c>
      <c r="F768" s="11">
        <f>[1]!EM_S_PQ_PCTCHANGE(B768,"2018-01-01","2019-12-31","3")</f>
        <v>-13.227702560000001</v>
      </c>
      <c r="G768" s="11">
        <f>[1]!EM_S_PQ_PCTCHANGE(B768,"2018-12-31","2019-12-30","1")</f>
        <v>38.085539709999999</v>
      </c>
      <c r="H768" s="11">
        <f>[1]!EM_S_FA_YOY_OR(B768,E768)</f>
        <v>6.7516805466000003</v>
      </c>
      <c r="I768" s="11">
        <f>[1]!EM_S_FA_GROSSPROFITMARGIN(B768,E768)</f>
        <v>60.9421513733</v>
      </c>
      <c r="J768" s="11">
        <f>[1]!EM_S_FA_NETPROFITMARGIN(B768,E768)</f>
        <v>5.3128231383999998</v>
      </c>
      <c r="K768" s="10">
        <f>[1]!EM_S_FA_ASSETSTURN(B768,E768)</f>
        <v>0.59556338267300002</v>
      </c>
      <c r="L768" s="12">
        <f>[1]!EM_HKS_VAL_MV(B768,"2019-12-31","2")</f>
        <v>3855997154.1599998</v>
      </c>
      <c r="M768">
        <f>[1]!EM_S_VAL_PETTMDEDUCTED(B768,E768)</f>
        <v>27.458905417638601</v>
      </c>
      <c r="N768" s="7">
        <f>[1]!EM_S_VAL_PBGOODWILLDEDUCTED(B768,E768)</f>
        <v>1.2614921309682801</v>
      </c>
      <c r="O768" s="7">
        <f>[1]!EM_S_VAL_PS_TTM(B768,E768)</f>
        <v>1.3928298919915001</v>
      </c>
      <c r="P768" s="7">
        <f>[1]!EM_S_VAL_PCF_NCFTTM(B768,E768)</f>
        <v>-19.022736572849201</v>
      </c>
      <c r="Q768" s="7">
        <f>[1]!EM_S_VAL_DIVIDENDYIELD2(B768,E768,"2019-11-29")</f>
        <v>0</v>
      </c>
      <c r="T768"/>
      <c r="U768">
        <f>[1]!EM_S_RATIO_EPS_TTM(B768,E768,"1")</f>
        <v>0.19864637136275662</v>
      </c>
      <c r="AT768" s="4" t="str">
        <f>[1]!EM_S_IPO_LISTEDDATE(B768)</f>
        <v>1992-08-20</v>
      </c>
    </row>
    <row r="769" spans="1:46">
      <c r="A769">
        <v>3074</v>
      </c>
      <c r="B769" t="str">
        <f>"601198"</f>
        <v>601198</v>
      </c>
      <c r="C769" t="s">
        <v>1848</v>
      </c>
      <c r="D769" t="str">
        <f>[1]!EM_S_INFO_INDEX_EM(B769,"1")</f>
        <v>金融</v>
      </c>
      <c r="E769" s="4">
        <f t="shared" si="11"/>
        <v>43465</v>
      </c>
      <c r="F769" s="11">
        <f>[1]!EM_S_PQ_PCTCHANGE(B769,"2018-01-01","2019-12-31","3")</f>
        <v>-6.4886611099999998</v>
      </c>
      <c r="G769" s="11">
        <f>[1]!EM_S_PQ_PCTCHANGE(B769,"2018-12-31","2019-12-30","1")</f>
        <v>38.075313809999997</v>
      </c>
      <c r="H769" s="11">
        <f>[1]!EM_S_FA_YOY_OR(B769,E769)</f>
        <v>-8.7712674648999993</v>
      </c>
      <c r="I769" s="11">
        <f>[1]!EM_S_FA_GROSSPROFITMARGIN(B769,E769)</f>
        <v>0</v>
      </c>
      <c r="J769" s="11">
        <f>[1]!EM_S_FA_NETPROFITMARGIN(B769,E769)</f>
        <v>30.423454823699998</v>
      </c>
      <c r="K769" s="10">
        <f>[1]!EM_S_FA_ASSETSTURN(B769,E769)</f>
        <v>0</v>
      </c>
      <c r="L769" s="12">
        <f>[1]!EM_HKS_VAL_MV(B769,"2019-12-31","2")</f>
        <v>36239603032.980003</v>
      </c>
      <c r="M769">
        <f>[1]!EM_S_VAL_PETTMDEDUCTED(B769,E769)</f>
        <v>23.083518802929198</v>
      </c>
      <c r="N769" s="7">
        <f>[1]!EM_S_VAL_PBGOODWILLDEDUCTED(B769,E769)</f>
        <v>1.34379670133681</v>
      </c>
      <c r="O769" s="7">
        <f>[1]!EM_S_VAL_PS_TTM(B769,E769)</f>
        <v>7.8158097606221899</v>
      </c>
      <c r="P769" s="7">
        <f>[1]!EM_S_VAL_PCF_NCFTTM(B769,E769)</f>
        <v>-18.704870409859701</v>
      </c>
      <c r="Q769" s="7">
        <f>[1]!EM_S_VAL_DIVIDENDYIELD2(B769,E769,"2019-11-29")</f>
        <v>1.0156971375807942</v>
      </c>
      <c r="T769"/>
      <c r="U769">
        <f>[1]!EM_S_RATIO_EPS_TTM(B769,E769,"1")</f>
        <v>0.36550450124858325</v>
      </c>
      <c r="AT769" s="4" t="str">
        <f>[1]!EM_S_IPO_LISTEDDATE(B769)</f>
        <v>2015-02-26</v>
      </c>
    </row>
    <row r="770" spans="1:46">
      <c r="A770">
        <v>3466</v>
      </c>
      <c r="B770" t="str">
        <f>"603626"</f>
        <v>603626</v>
      </c>
      <c r="C770" t="s">
        <v>842</v>
      </c>
      <c r="D770" t="str">
        <f>[1]!EM_S_INFO_INDEX_EM(B770,"1")</f>
        <v>机械设备</v>
      </c>
      <c r="E770" s="4">
        <f t="shared" si="11"/>
        <v>43465</v>
      </c>
      <c r="F770" s="11">
        <f>[1]!EM_S_PQ_PCTCHANGE(B770,"2018-01-01","2019-12-31","3")</f>
        <v>-46.500486510000002</v>
      </c>
      <c r="G770" s="11">
        <f>[1]!EM_S_PQ_PCTCHANGE(B770,"2018-12-31","2019-12-30","1")</f>
        <v>38.007863700000001</v>
      </c>
      <c r="H770" s="11">
        <f>[1]!EM_S_FA_YOY_OR(B770,E770)</f>
        <v>11.2409718851</v>
      </c>
      <c r="I770" s="11">
        <f>[1]!EM_S_FA_GROSSPROFITMARGIN(B770,E770)</f>
        <v>24.073194260899999</v>
      </c>
      <c r="J770" s="11">
        <f>[1]!EM_S_FA_NETPROFITMARGIN(B770,E770)</f>
        <v>5.1679097471000004</v>
      </c>
      <c r="K770" s="10">
        <f>[1]!EM_S_FA_ASSETSTURN(B770,E770)</f>
        <v>0.57329335181399999</v>
      </c>
      <c r="L770" s="12">
        <f>[1]!EM_HKS_VAL_MV(B770,"2019-12-31","2")</f>
        <v>4403381806.3400002</v>
      </c>
      <c r="M770">
        <f>[1]!EM_S_VAL_PETTMDEDUCTED(B770,E770)</f>
        <v>20.482926717722801</v>
      </c>
      <c r="N770" s="7">
        <f>[1]!EM_S_VAL_PBGOODWILLDEDUCTED(B770,E770)</f>
        <v>1.79112807450306</v>
      </c>
      <c r="O770" s="7">
        <f>[1]!EM_S_VAL_PS_TTM(B770,E770)</f>
        <v>1.4226231624971899</v>
      </c>
      <c r="P770" s="7">
        <f>[1]!EM_S_VAL_PCF_NCFTTM(B770,E770)</f>
        <v>-141.234964044587</v>
      </c>
      <c r="Q770" s="7">
        <f>[1]!EM_S_VAL_DIVIDENDYIELD2(B770,E770,"2019-11-29")</f>
        <v>3.1254504948077315</v>
      </c>
      <c r="T770"/>
      <c r="U770">
        <f>[1]!EM_S_RATIO_EPS_TTM(B770,E770,"1")</f>
        <v>0.30002373943894656</v>
      </c>
      <c r="AT770" s="4" t="str">
        <f>[1]!EM_S_IPO_LISTEDDATE(B770)</f>
        <v>2017-02-09</v>
      </c>
    </row>
    <row r="771" spans="1:46">
      <c r="A771">
        <v>2196</v>
      </c>
      <c r="B771" t="str">
        <f>"600048"</f>
        <v>600048</v>
      </c>
      <c r="C771" t="s">
        <v>1557</v>
      </c>
      <c r="D771" t="str">
        <f>[1]!EM_S_INFO_INDEX_EM(B771,"1")</f>
        <v>房地产</v>
      </c>
      <c r="E771" s="4">
        <f t="shared" ref="E771:E834" si="12">$B$1</f>
        <v>43465</v>
      </c>
      <c r="F771" s="11">
        <f>[1]!EM_S_PQ_PCTCHANGE(B771,"2018-01-01","2019-12-31","3")</f>
        <v>22.593749949999999</v>
      </c>
      <c r="G771" s="11">
        <f>[1]!EM_S_PQ_PCTCHANGE(B771,"2018-12-31","2019-12-30","1")</f>
        <v>37.998303649999997</v>
      </c>
      <c r="H771" s="11">
        <f>[1]!EM_S_FA_YOY_OR(B771,E771)</f>
        <v>32.6625680621</v>
      </c>
      <c r="I771" s="11">
        <f>[1]!EM_S_FA_GROSSPROFITMARGIN(B771,E771)</f>
        <v>32.478431051500003</v>
      </c>
      <c r="J771" s="11">
        <f>[1]!EM_S_FA_NETPROFITMARGIN(B771,E771)</f>
        <v>13.443329397799999</v>
      </c>
      <c r="K771" s="10">
        <f>[1]!EM_S_FA_ASSETSTURN(B771,E771)</f>
        <v>0.25218709209200002</v>
      </c>
      <c r="L771" s="12">
        <f>[1]!EM_HKS_VAL_MV(B771,"2019-12-31","2")</f>
        <v>193070684121.16</v>
      </c>
      <c r="M771">
        <f>[1]!EM_S_VAL_PETTMDEDUCTED(B771,E771)</f>
        <v>8.6286290508088204</v>
      </c>
      <c r="N771" s="7">
        <f>[1]!EM_S_VAL_PBGOODWILLDEDUCTED(B771,E771)</f>
        <v>1.2155410459831499</v>
      </c>
      <c r="O771" s="7">
        <f>[1]!EM_S_VAL_PS_TTM(B771,E771)</f>
        <v>0.846181308940538</v>
      </c>
      <c r="P771" s="7">
        <f>[1]!EM_S_VAL_PCF_NCFTTM(B771,E771)</f>
        <v>4.4234366991752196</v>
      </c>
      <c r="Q771" s="7">
        <f>[1]!EM_S_VAL_DIVIDENDYIELD2(B771,E771,"2019-11-29")</f>
        <v>3.4545285718019167</v>
      </c>
      <c r="T771"/>
      <c r="U771">
        <f>[1]!EM_S_RATIO_EPS_TTM(B771,E771,"1")</f>
        <v>1.5892113510885335</v>
      </c>
      <c r="AT771" s="4" t="str">
        <f>[1]!EM_S_IPO_LISTEDDATE(B771)</f>
        <v>2006-07-31</v>
      </c>
    </row>
    <row r="772" spans="1:46">
      <c r="A772">
        <v>2114</v>
      </c>
      <c r="B772" t="str">
        <f>"300697"</f>
        <v>300697</v>
      </c>
      <c r="C772" t="s">
        <v>1085</v>
      </c>
      <c r="D772" t="str">
        <f>[1]!EM_S_INFO_INDEX_EM(B772,"1")</f>
        <v>有色金属</v>
      </c>
      <c r="E772" s="4">
        <f t="shared" si="12"/>
        <v>43465</v>
      </c>
      <c r="F772" s="11">
        <f>[1]!EM_S_PQ_PCTCHANGE(B772,"2018-01-01","2019-12-31","3")</f>
        <v>-21.13143041</v>
      </c>
      <c r="G772" s="11">
        <f>[1]!EM_S_PQ_PCTCHANGE(B772,"2018-12-31","2019-12-30","1")</f>
        <v>37.931034480000001</v>
      </c>
      <c r="H772" s="11">
        <f>[1]!EM_S_FA_YOY_OR(B772,E772)</f>
        <v>7.4702385182000004</v>
      </c>
      <c r="I772" s="11">
        <f>[1]!EM_S_FA_GROSSPROFITMARGIN(B772,E772)</f>
        <v>10.985415426199999</v>
      </c>
      <c r="J772" s="11">
        <f>[1]!EM_S_FA_NETPROFITMARGIN(B772,E772)</f>
        <v>4.6993559986999998</v>
      </c>
      <c r="K772" s="10">
        <f>[1]!EM_S_FA_ASSETSTURN(B772,E772)</f>
        <v>1.244299645426</v>
      </c>
      <c r="L772" s="12">
        <f>[1]!EM_HKS_VAL_MV(B772,"2019-12-31","2")</f>
        <v>3130400000</v>
      </c>
      <c r="M772">
        <f>[1]!EM_S_VAL_PETTMDEDUCTED(B772,E772)</f>
        <v>37.940121895770702</v>
      </c>
      <c r="N772" s="7">
        <f>[1]!EM_S_VAL_PBGOODWILLDEDUCTED(B772,E772)</f>
        <v>3.0480975159094599</v>
      </c>
      <c r="O772" s="7">
        <f>[1]!EM_S_VAL_PS_TTM(B772,E772)</f>
        <v>1.6350715987574</v>
      </c>
      <c r="P772" s="7">
        <f>[1]!EM_S_VAL_PCF_NCFTTM(B772,E772)</f>
        <v>-9.1700957868189104</v>
      </c>
      <c r="Q772" s="7">
        <f>[1]!EM_S_VAL_DIVIDENDYIELD2(B772,E772,"2019-11-29")</f>
        <v>1.791044776119403</v>
      </c>
      <c r="T772"/>
      <c r="U772">
        <f>[1]!EM_S_RATIO_EPS_TTM(B772,E772,"1")</f>
        <v>0.31894405076923077</v>
      </c>
      <c r="AT772" s="4" t="str">
        <f>[1]!EM_S_IPO_LISTEDDATE(B772)</f>
        <v>2017-09-07</v>
      </c>
    </row>
    <row r="773" spans="1:46">
      <c r="A773">
        <v>878</v>
      </c>
      <c r="B773" t="str">
        <f>"002367"</f>
        <v>002367</v>
      </c>
      <c r="C773" t="s">
        <v>2565</v>
      </c>
      <c r="D773" t="str">
        <f>[1]!EM_S_INFO_INDEX_EM(B773,"1")</f>
        <v>机械设备</v>
      </c>
      <c r="E773" s="4">
        <f t="shared" si="12"/>
        <v>43465</v>
      </c>
      <c r="F773" s="11">
        <f>[1]!EM_S_PQ_PCTCHANGE(B773,"2018-01-01","2019-12-31","3")</f>
        <v>12.178841520000001</v>
      </c>
      <c r="G773" s="11">
        <f>[1]!EM_S_PQ_PCTCHANGE(B773,"2018-12-31","2019-12-30","1")</f>
        <v>37.881508080000003</v>
      </c>
      <c r="H773" s="11">
        <f>[1]!EM_S_FA_YOY_OR(B773,E773)</f>
        <v>-5.7348459283000004</v>
      </c>
      <c r="I773" s="11">
        <f>[1]!EM_S_FA_GROSSPROFITMARGIN(B773,E773)</f>
        <v>26.0288049097</v>
      </c>
      <c r="J773" s="11">
        <f>[1]!EM_S_FA_NETPROFITMARGIN(B773,E773)</f>
        <v>0.47585064449999998</v>
      </c>
      <c r="K773" s="10">
        <f>[1]!EM_S_FA_ASSETSTURN(B773,E773)</f>
        <v>0.55621710007299996</v>
      </c>
      <c r="L773" s="12">
        <f>[1]!EM_HKS_VAL_MV(B773,"2019-12-31","2")</f>
        <v>6341338861.6499996</v>
      </c>
      <c r="M773">
        <f>[1]!EM_S_VAL_PETTMDEDUCTED(B773,E773)</f>
        <v>125.602503246284</v>
      </c>
      <c r="N773" s="7">
        <f>[1]!EM_S_VAL_PBGOODWILLDEDUCTED(B773,E773)</f>
        <v>1.4095436057656301</v>
      </c>
      <c r="O773" s="7">
        <f>[1]!EM_S_VAL_PS_TTM(B773,E773)</f>
        <v>1.4285277440439801</v>
      </c>
      <c r="P773" s="7">
        <f>[1]!EM_S_VAL_PCF_NCFTTM(B773,E773)</f>
        <v>-73.064262384262307</v>
      </c>
      <c r="Q773" s="7">
        <f>[1]!EM_S_VAL_DIVIDENDYIELD2(B773,E773,"2019-11-29")</f>
        <v>7.4738415545590433</v>
      </c>
      <c r="T773"/>
      <c r="U773">
        <f>[1]!EM_S_RATIO_EPS_TTM(B773,E773,"1")</f>
        <v>1.9491903498094779E-2</v>
      </c>
      <c r="AT773" s="4" t="str">
        <f>[1]!EM_S_IPO_LISTEDDATE(B773)</f>
        <v>2010-03-12</v>
      </c>
    </row>
    <row r="774" spans="1:46">
      <c r="A774">
        <v>1385</v>
      </c>
      <c r="B774" t="str">
        <f>"002886"</f>
        <v>002886</v>
      </c>
      <c r="C774" t="s">
        <v>1683</v>
      </c>
      <c r="D774" t="str">
        <f>[1]!EM_S_INFO_INDEX_EM(B774,"1")</f>
        <v>基础化工</v>
      </c>
      <c r="E774" s="4">
        <f t="shared" si="12"/>
        <v>43465</v>
      </c>
      <c r="F774" s="11">
        <f>[1]!EM_S_PQ_PCTCHANGE(B774,"2018-01-01","2019-12-31","3")</f>
        <v>-0.72401833000000004</v>
      </c>
      <c r="G774" s="11">
        <f>[1]!EM_S_PQ_PCTCHANGE(B774,"2018-12-31","2019-12-30","1")</f>
        <v>37.865748709999998</v>
      </c>
      <c r="H774" s="11">
        <f>[1]!EM_S_FA_YOY_OR(B774,E774)</f>
        <v>5.6526707069000004</v>
      </c>
      <c r="I774" s="11">
        <f>[1]!EM_S_FA_GROSSPROFITMARGIN(B774,E774)</f>
        <v>16.236708522200001</v>
      </c>
      <c r="J774" s="11">
        <f>[1]!EM_S_FA_NETPROFITMARGIN(B774,E774)</f>
        <v>4.3366824606999996</v>
      </c>
      <c r="K774" s="10">
        <f>[1]!EM_S_FA_ASSETSTURN(B774,E774)</f>
        <v>0.78964829647799994</v>
      </c>
      <c r="L774" s="12">
        <f>[1]!EM_HKS_VAL_MV(B774,"2019-12-31","2")</f>
        <v>2852094000</v>
      </c>
      <c r="M774">
        <f>[1]!EM_S_VAL_PETTMDEDUCTED(B774,E774)</f>
        <v>78.008873375027093</v>
      </c>
      <c r="N774" s="7">
        <f>[1]!EM_S_VAL_PBGOODWILLDEDUCTED(B774,E774)</f>
        <v>3.1410707454906301</v>
      </c>
      <c r="O774" s="7">
        <f>[1]!EM_S_VAL_PS_TTM(B774,E774)</f>
        <v>2.5738311839360599</v>
      </c>
      <c r="P774" s="7">
        <f>[1]!EM_S_VAL_PCF_NCFTTM(B774,E774)</f>
        <v>-33.819784274507803</v>
      </c>
      <c r="Q774" s="7">
        <f>[1]!EM_S_VAL_DIVIDENDYIELD2(B774,E774,"2019-11-29")</f>
        <v>0.25658392349007619</v>
      </c>
      <c r="T774"/>
      <c r="U774">
        <f>[1]!EM_S_RATIO_EPS_TTM(B774,E774,"1")</f>
        <v>0.29790469891986426</v>
      </c>
      <c r="AT774" s="4" t="str">
        <f>[1]!EM_S_IPO_LISTEDDATE(B774)</f>
        <v>2017-06-27</v>
      </c>
    </row>
    <row r="775" spans="1:46">
      <c r="A775">
        <v>1196</v>
      </c>
      <c r="B775" t="str">
        <f>"002685"</f>
        <v>002685</v>
      </c>
      <c r="C775" t="s">
        <v>799</v>
      </c>
      <c r="D775" t="str">
        <f>[1]!EM_S_INFO_INDEX_EM(B775,"1")</f>
        <v>钢铁</v>
      </c>
      <c r="E775" s="4">
        <f t="shared" si="12"/>
        <v>43465</v>
      </c>
      <c r="F775" s="11">
        <f>[1]!EM_S_PQ_PCTCHANGE(B775,"2018-01-01","2019-12-31","3")</f>
        <v>-32.904921399999999</v>
      </c>
      <c r="G775" s="11">
        <f>[1]!EM_S_PQ_PCTCHANGE(B775,"2018-12-31","2019-12-30","1")</f>
        <v>37.804878049999999</v>
      </c>
      <c r="H775" s="11">
        <f>[1]!EM_S_FA_YOY_OR(B775,E775)</f>
        <v>98.877038063900002</v>
      </c>
      <c r="I775" s="11">
        <f>[1]!EM_S_FA_GROSSPROFITMARGIN(B775,E775)</f>
        <v>6.7624094119000002</v>
      </c>
      <c r="J775" s="11">
        <f>[1]!EM_S_FA_NETPROFITMARGIN(B775,E775)</f>
        <v>3.2465671406999999</v>
      </c>
      <c r="K775" s="10">
        <f>[1]!EM_S_FA_ASSETSTURN(B775,E775)</f>
        <v>1.681098377376</v>
      </c>
      <c r="L775" s="12">
        <f>[1]!EM_HKS_VAL_MV(B775,"2019-12-31","2")</f>
        <v>6832142545.9799995</v>
      </c>
      <c r="M775">
        <f>[1]!EM_S_VAL_PETTMDEDUCTED(B775,E775)</f>
        <v>11.4492922589082</v>
      </c>
      <c r="N775" s="7">
        <f>[1]!EM_S_VAL_PBGOODWILLDEDUCTED(B775,E775)</f>
        <v>2.0815785826932802</v>
      </c>
      <c r="O775" s="7">
        <f>[1]!EM_S_VAL_PS_TTM(B775,E775)</f>
        <v>0.56916621051451999</v>
      </c>
      <c r="P775" s="7">
        <f>[1]!EM_S_VAL_PCF_NCFTTM(B775,E775)</f>
        <v>-74.259462825375607</v>
      </c>
      <c r="Q775" s="7">
        <f>[1]!EM_S_VAL_DIVIDENDYIELD2(B775,E775,"2019-11-29")</f>
        <v>0.74294205052005946</v>
      </c>
      <c r="T775"/>
      <c r="U775">
        <f>[1]!EM_S_RATIO_EPS_TTM(B775,E775,"1")</f>
        <v>0.30549545022518476</v>
      </c>
      <c r="AT775" s="4" t="str">
        <f>[1]!EM_S_IPO_LISTEDDATE(B775)</f>
        <v>2012-06-12</v>
      </c>
    </row>
    <row r="776" spans="1:46">
      <c r="A776">
        <v>355</v>
      </c>
      <c r="B776" t="str">
        <f>"000796"</f>
        <v>000796</v>
      </c>
      <c r="C776" t="s">
        <v>1899</v>
      </c>
      <c r="D776" t="str">
        <f>[1]!EM_S_INFO_INDEX_EM(B776,"1")</f>
        <v>休闲、生活及专业服务</v>
      </c>
      <c r="E776" s="4">
        <f t="shared" si="12"/>
        <v>43465</v>
      </c>
      <c r="F776" s="11">
        <f>[1]!EM_S_PQ_PCTCHANGE(B776,"2018-01-01","2019-12-31","3")</f>
        <v>-35.298295449999998</v>
      </c>
      <c r="G776" s="11">
        <f>[1]!EM_S_PQ_PCTCHANGE(B776,"2018-12-31","2019-12-30","1")</f>
        <v>37.801204820000002</v>
      </c>
      <c r="H776" s="11">
        <f>[1]!EM_S_FA_YOY_OR(B776,E776)</f>
        <v>1.6693218588000001</v>
      </c>
      <c r="I776" s="11">
        <f>[1]!EM_S_FA_GROSSPROFITMARGIN(B776,E776)</f>
        <v>18.098673419600001</v>
      </c>
      <c r="J776" s="11">
        <f>[1]!EM_S_FA_NETPROFITMARGIN(B776,E776)</f>
        <v>2.6725751018000001</v>
      </c>
      <c r="K776" s="10">
        <f>[1]!EM_S_FA_ASSETSTURN(B776,E776)</f>
        <v>1.3433258679240001</v>
      </c>
      <c r="L776" s="12">
        <f>[1]!EM_HKS_VAL_MV(B776,"2019-12-31","2")</f>
        <v>7315332350.3800001</v>
      </c>
      <c r="M776">
        <f>[1]!EM_S_VAL_PETTMDEDUCTED(B776,E776)</f>
        <v>32.926991892462098</v>
      </c>
      <c r="N776" s="7">
        <f>[1]!EM_S_VAL_PBGOODWILLDEDUCTED(B776,E776)</f>
        <v>2.5504304412931398</v>
      </c>
      <c r="O776" s="7">
        <f>[1]!EM_S_VAL_PS_TTM(B776,E776)</f>
        <v>0.61056849568607197</v>
      </c>
      <c r="P776" s="7">
        <f>[1]!EM_S_VAL_PCF_NCFTTM(B776,E776)</f>
        <v>-6.9323492374858704</v>
      </c>
      <c r="Q776" s="7">
        <f>[1]!EM_S_VAL_DIVIDENDYIELD2(B776,E776,"2019-11-29")</f>
        <v>0</v>
      </c>
      <c r="T776"/>
      <c r="U776">
        <f>[1]!EM_S_RATIO_EPS_TTM(B776,E776,"1")</f>
        <v>0.24177107534627965</v>
      </c>
      <c r="AT776" s="4" t="str">
        <f>[1]!EM_S_IPO_LISTEDDATE(B776)</f>
        <v>1997-07-03</v>
      </c>
    </row>
    <row r="777" spans="1:46">
      <c r="A777">
        <v>3038</v>
      </c>
      <c r="B777" t="str">
        <f>"601021"</f>
        <v>601021</v>
      </c>
      <c r="C777" t="s">
        <v>498</v>
      </c>
      <c r="D777" t="str">
        <f>[1]!EM_S_INFO_INDEX_EM(B777,"1")</f>
        <v>交通运输</v>
      </c>
      <c r="E777" s="4">
        <f t="shared" si="12"/>
        <v>43465</v>
      </c>
      <c r="F777" s="11">
        <f>[1]!EM_S_PQ_PCTCHANGE(B777,"2018-01-01","2019-12-31","3")</f>
        <v>18.930764100000001</v>
      </c>
      <c r="G777" s="11">
        <f>[1]!EM_S_PQ_PCTCHANGE(B777,"2018-12-31","2019-12-30","1")</f>
        <v>37.786859479999997</v>
      </c>
      <c r="H777" s="11">
        <f>[1]!EM_S_FA_YOY_OR(B777,E777)</f>
        <v>19.538160253099999</v>
      </c>
      <c r="I777" s="11">
        <f>[1]!EM_S_FA_GROSSPROFITMARGIN(B777,E777)</f>
        <v>9.6815419392000006</v>
      </c>
      <c r="J777" s="11">
        <f>[1]!EM_S_FA_NETPROFITMARGIN(B777,E777)</f>
        <v>11.4597780846</v>
      </c>
      <c r="K777" s="10">
        <f>[1]!EM_S_FA_ASSETSTURN(B777,E777)</f>
        <v>0.55594098975899997</v>
      </c>
      <c r="L777" s="12">
        <f>[1]!EM_HKS_VAL_MV(B777,"2019-12-31","2")</f>
        <v>40235179323.57</v>
      </c>
      <c r="M777">
        <f>[1]!EM_S_VAL_PETTMDEDUCTED(B777,E777)</f>
        <v>22.478580810710799</v>
      </c>
      <c r="N777" s="7">
        <f>[1]!EM_S_VAL_PBGOODWILLDEDUCTED(B777,E777)</f>
        <v>2.1889096039845799</v>
      </c>
      <c r="O777" s="7">
        <f>[1]!EM_S_VAL_PS_TTM(B777,E777)</f>
        <v>2.2917698758691998</v>
      </c>
      <c r="P777" s="7">
        <f>[1]!EM_S_VAL_PCF_NCFTTM(B777,E777)</f>
        <v>19.735786085746899</v>
      </c>
      <c r="Q777" s="7">
        <f>[1]!EM_S_VAL_DIVIDENDYIELD2(B777,E777,"2019-11-29")</f>
        <v>0.49648502203153855</v>
      </c>
      <c r="T777"/>
      <c r="U777">
        <f>[1]!EM_S_RATIO_EPS_TTM(B777,E777,"1")</f>
        <v>1.6390487321457634</v>
      </c>
      <c r="AT777" s="4" t="str">
        <f>[1]!EM_S_IPO_LISTEDDATE(B777)</f>
        <v>2015-01-21</v>
      </c>
    </row>
    <row r="778" spans="1:46">
      <c r="A778">
        <v>1216</v>
      </c>
      <c r="B778" t="str">
        <f>"002706"</f>
        <v>002706</v>
      </c>
      <c r="C778" t="s">
        <v>1535</v>
      </c>
      <c r="D778" t="str">
        <f>[1]!EM_S_INFO_INDEX_EM(B778,"1")</f>
        <v>电气设备</v>
      </c>
      <c r="E778" s="4">
        <f t="shared" si="12"/>
        <v>43465</v>
      </c>
      <c r="F778" s="11">
        <f>[1]!EM_S_PQ_PCTCHANGE(B778,"2018-01-01","2019-12-31","3")</f>
        <v>6.6920453000000002</v>
      </c>
      <c r="G778" s="11">
        <f>[1]!EM_S_PQ_PCTCHANGE(B778,"2018-12-31","2019-12-30","1")</f>
        <v>37.763371149999998</v>
      </c>
      <c r="H778" s="11">
        <f>[1]!EM_S_FA_YOY_OR(B778,E778)</f>
        <v>8.3839111024000008</v>
      </c>
      <c r="I778" s="11">
        <f>[1]!EM_S_FA_GROSSPROFITMARGIN(B778,E778)</f>
        <v>40.836420781000001</v>
      </c>
      <c r="J778" s="11">
        <f>[1]!EM_S_FA_NETPROFITMARGIN(B778,E778)</f>
        <v>14.1038962069</v>
      </c>
      <c r="K778" s="10">
        <f>[1]!EM_S_FA_ASSETSTURN(B778,E778)</f>
        <v>0.74942515039500002</v>
      </c>
      <c r="L778" s="12">
        <f>[1]!EM_HKS_VAL_MV(B778,"2019-12-31","2")</f>
        <v>6594133644</v>
      </c>
      <c r="M778">
        <f>[1]!EM_S_VAL_PETTMDEDUCTED(B778,E778)</f>
        <v>23.683444097781901</v>
      </c>
      <c r="N778" s="7">
        <f>[1]!EM_S_VAL_PBGOODWILLDEDUCTED(B778,E778)</f>
        <v>2.7829385444640899</v>
      </c>
      <c r="O778" s="7">
        <f>[1]!EM_S_VAL_PS_TTM(B778,E778)</f>
        <v>3.0883318005934002</v>
      </c>
      <c r="P778" s="7">
        <f>[1]!EM_S_VAL_PCF_NCFTTM(B778,E778)</f>
        <v>59.104702582808002</v>
      </c>
      <c r="Q778" s="7">
        <f>[1]!EM_S_VAL_DIVIDENDYIELD2(B778,E778,"2019-11-29")</f>
        <v>3.2604273629621616</v>
      </c>
      <c r="T778"/>
      <c r="U778">
        <f>[1]!EM_S_RATIO_EPS_TTM(B778,E778,"1")</f>
        <v>0.28266799121177499</v>
      </c>
      <c r="AT778" s="4" t="str">
        <f>[1]!EM_S_IPO_LISTEDDATE(B778)</f>
        <v>2014-01-21</v>
      </c>
    </row>
    <row r="779" spans="1:46">
      <c r="A779">
        <v>985</v>
      </c>
      <c r="B779" t="str">
        <f>"002474"</f>
        <v>002474</v>
      </c>
      <c r="C779" t="s">
        <v>2218</v>
      </c>
      <c r="D779" t="str">
        <f>[1]!EM_S_INFO_INDEX_EM(B779,"1")</f>
        <v>信息技术</v>
      </c>
      <c r="E779" s="4">
        <f t="shared" si="12"/>
        <v>43465</v>
      </c>
      <c r="F779" s="11">
        <f>[1]!EM_S_PQ_PCTCHANGE(B779,"2018-01-01","2019-12-31","3")</f>
        <v>1.7685308799999999</v>
      </c>
      <c r="G779" s="11">
        <f>[1]!EM_S_PQ_PCTCHANGE(B779,"2018-12-31","2019-12-30","1")</f>
        <v>37.741935480000002</v>
      </c>
      <c r="H779" s="11">
        <f>[1]!EM_S_FA_YOY_OR(B779,E779)</f>
        <v>9.4990814008999997</v>
      </c>
      <c r="I779" s="11">
        <f>[1]!EM_S_FA_GROSSPROFITMARGIN(B779,E779)</f>
        <v>32.904630011599998</v>
      </c>
      <c r="J779" s="11">
        <f>[1]!EM_S_FA_NETPROFITMARGIN(B779,E779)</f>
        <v>3.8333792544</v>
      </c>
      <c r="K779" s="10">
        <f>[1]!EM_S_FA_ASSETSTURN(B779,E779)</f>
        <v>0.31735636958899999</v>
      </c>
      <c r="L779" s="12">
        <f>[1]!EM_HKS_VAL_MV(B779,"2019-12-31","2")</f>
        <v>5319810000</v>
      </c>
      <c r="M779">
        <f>[1]!EM_S_VAL_PETTMDEDUCTED(B779,E779)</f>
        <v>331.54543222198402</v>
      </c>
      <c r="N779" s="7">
        <f>[1]!EM_S_VAL_PBGOODWILLDEDUCTED(B779,E779)</f>
        <v>2.6476941981125202</v>
      </c>
      <c r="O779" s="7">
        <f>[1]!EM_S_VAL_PS_TTM(B779,E779)</f>
        <v>5.0421746829641902</v>
      </c>
      <c r="P779" s="7">
        <f>[1]!EM_S_VAL_PCF_NCFTTM(B779,E779)</f>
        <v>-17.3605896341512</v>
      </c>
      <c r="Q779" s="7">
        <f>[1]!EM_S_VAL_DIVIDENDYIELD2(B779,E779,"2019-11-29")</f>
        <v>0.12360939431396785</v>
      </c>
      <c r="T779"/>
      <c r="U779">
        <f>[1]!EM_S_RATIO_EPS_TTM(B779,E779,"1")</f>
        <v>5.6033650353584055E-2</v>
      </c>
      <c r="AT779" s="4" t="str">
        <f>[1]!EM_S_IPO_LISTEDDATE(B779)</f>
        <v>2010-09-15</v>
      </c>
    </row>
    <row r="780" spans="1:46">
      <c r="A780">
        <v>3625</v>
      </c>
      <c r="B780" t="str">
        <f>"603978"</f>
        <v>603978</v>
      </c>
      <c r="C780" t="s">
        <v>1044</v>
      </c>
      <c r="D780" t="str">
        <f>[1]!EM_S_INFO_INDEX_EM(B780,"1")</f>
        <v>有色金属</v>
      </c>
      <c r="E780" s="4">
        <f t="shared" si="12"/>
        <v>43465</v>
      </c>
      <c r="F780" s="11">
        <f>[1]!EM_S_PQ_PCTCHANGE(B780,"2018-01-01","2019-12-31","3")</f>
        <v>-44.231555839999999</v>
      </c>
      <c r="G780" s="11">
        <f>[1]!EM_S_PQ_PCTCHANGE(B780,"2018-12-31","2019-12-30","1")</f>
        <v>37.665782489999998</v>
      </c>
      <c r="H780" s="11">
        <f>[1]!EM_S_FA_YOY_OR(B780,E780)</f>
        <v>8.9950565169000001</v>
      </c>
      <c r="I780" s="11">
        <f>[1]!EM_S_FA_GROSSPROFITMARGIN(B780,E780)</f>
        <v>20.5859123191</v>
      </c>
      <c r="J780" s="11">
        <f>[1]!EM_S_FA_NETPROFITMARGIN(B780,E780)</f>
        <v>11.3728921244</v>
      </c>
      <c r="K780" s="10">
        <f>[1]!EM_S_FA_ASSETSTURN(B780,E780)</f>
        <v>0.62472644229300001</v>
      </c>
      <c r="L780" s="12">
        <f>[1]!EM_HKS_VAL_MV(B780,"2019-12-31","2")</f>
        <v>4129600000</v>
      </c>
      <c r="M780">
        <f>[1]!EM_S_VAL_PETTMDEDUCTED(B780,E780)</f>
        <v>34.521922191039103</v>
      </c>
      <c r="N780" s="7">
        <f>[1]!EM_S_VAL_PBGOODWILLDEDUCTED(B780,E780)</f>
        <v>2.1365624808514299</v>
      </c>
      <c r="O780" s="7">
        <f>[1]!EM_S_VAL_PS_TTM(B780,E780)</f>
        <v>2.8872121131031201</v>
      </c>
      <c r="P780" s="7">
        <f>[1]!EM_S_VAL_PCF_NCFTTM(B780,E780)</f>
        <v>-12.693434031734901</v>
      </c>
      <c r="Q780" s="7">
        <f>[1]!EM_S_VAL_DIVIDENDYIELD2(B780,E780,"2019-11-29")</f>
        <v>0</v>
      </c>
      <c r="T780"/>
      <c r="U780">
        <f>[1]!EM_S_RATIO_EPS_TTM(B780,E780,"1")</f>
        <v>0.78185797806250001</v>
      </c>
      <c r="AT780" s="4" t="str">
        <f>[1]!EM_S_IPO_LISTEDDATE(B780)</f>
        <v>2017-08-07</v>
      </c>
    </row>
    <row r="781" spans="1:46">
      <c r="A781">
        <v>2336</v>
      </c>
      <c r="B781" t="str">
        <f>"600199"</f>
        <v>600199</v>
      </c>
      <c r="C781" t="s">
        <v>2828</v>
      </c>
      <c r="D781" t="str">
        <f>[1]!EM_S_INFO_INDEX_EM(B781,"1")</f>
        <v>食品饮料</v>
      </c>
      <c r="E781" s="4">
        <f t="shared" si="12"/>
        <v>43465</v>
      </c>
      <c r="F781" s="11">
        <f>[1]!EM_S_PQ_PCTCHANGE(B781,"2018-01-01","2019-12-31","3")</f>
        <v>-18.7377255</v>
      </c>
      <c r="G781" s="11">
        <f>[1]!EM_S_PQ_PCTCHANGE(B781,"2018-12-31","2019-12-30","1")</f>
        <v>37.636761489999998</v>
      </c>
      <c r="H781" s="11">
        <f>[1]!EM_S_FA_YOY_OR(B781,E781)</f>
        <v>1.892041318</v>
      </c>
      <c r="I781" s="11">
        <f>[1]!EM_S_FA_GROSSPROFITMARGIN(B781,E781)</f>
        <v>51.245852059199997</v>
      </c>
      <c r="J781" s="11">
        <f>[1]!EM_S_FA_NETPROFITMARGIN(B781,E781)</f>
        <v>7.8172221151999999</v>
      </c>
      <c r="K781" s="10">
        <f>[1]!EM_S_FA_ASSETSTURN(B781,E781)</f>
        <v>0.41543138409399999</v>
      </c>
      <c r="L781" s="12">
        <f>[1]!EM_HKS_VAL_MV(B781,"2019-12-31","2")</f>
        <v>4098074213.52</v>
      </c>
      <c r="M781">
        <f>[1]!EM_S_VAL_PETTMDEDUCTED(B781,E781)</f>
        <v>-180.03452624871099</v>
      </c>
      <c r="N781" s="7">
        <f>[1]!EM_S_VAL_PBGOODWILLDEDUCTED(B781,E781)</f>
        <v>1.08465286495894</v>
      </c>
      <c r="O781" s="7">
        <f>[1]!EM_S_VAL_PS_TTM(B781,E781)</f>
        <v>2.0202018144361902</v>
      </c>
      <c r="P781" s="7">
        <f>[1]!EM_S_VAL_PCF_NCFTTM(B781,E781)</f>
        <v>-9.5783868047299805</v>
      </c>
      <c r="Q781" s="7">
        <f>[1]!EM_S_VAL_DIVIDENDYIELD2(B781,E781,"2019-11-29")</f>
        <v>0.2669039145907473</v>
      </c>
      <c r="T781"/>
      <c r="U781">
        <f>[1]!EM_S_RATIO_EPS_TTM(B781,E781,"1")</f>
        <v>0.18332748326813014</v>
      </c>
      <c r="AT781" s="4" t="str">
        <f>[1]!EM_S_IPO_LISTEDDATE(B781)</f>
        <v>1998-08-12</v>
      </c>
    </row>
    <row r="782" spans="1:46">
      <c r="A782">
        <v>2100</v>
      </c>
      <c r="B782" t="str">
        <f>"300682"</f>
        <v>300682</v>
      </c>
      <c r="C782" t="s">
        <v>3497</v>
      </c>
      <c r="D782" t="str">
        <f>[1]!EM_S_INFO_INDEX_EM(B782,"1")</f>
        <v>信息技术</v>
      </c>
      <c r="E782" s="4">
        <f t="shared" si="12"/>
        <v>43465</v>
      </c>
      <c r="F782" s="11">
        <f>[1]!EM_S_PQ_PCTCHANGE(B782,"2018-01-01","2019-12-31","3")</f>
        <v>24.42871573</v>
      </c>
      <c r="G782" s="11">
        <f>[1]!EM_S_PQ_PCTCHANGE(B782,"2018-12-31","2019-12-30","1")</f>
        <v>37.614678900000001</v>
      </c>
      <c r="H782" s="11">
        <f>[1]!EM_S_FA_YOY_OR(B782,E782)</f>
        <v>29.7011228557</v>
      </c>
      <c r="I782" s="11">
        <f>[1]!EM_S_FA_GROSSPROFITMARGIN(B782,E782)</f>
        <v>49.781521741900001</v>
      </c>
      <c r="J782" s="11">
        <f>[1]!EM_S_FA_NETPROFITMARGIN(B782,E782)</f>
        <v>11.0260015667</v>
      </c>
      <c r="K782" s="10">
        <f>[1]!EM_S_FA_ASSETSTURN(B782,E782)</f>
        <v>0.53821679299000003</v>
      </c>
      <c r="L782" s="12">
        <f>[1]!EM_HKS_VAL_MV(B782,"2019-12-31","2")</f>
        <v>15394136546.59</v>
      </c>
      <c r="M782">
        <f>[1]!EM_S_VAL_PETTMDEDUCTED(B782,E782)</f>
        <v>201.73090061765501</v>
      </c>
      <c r="N782" s="7">
        <f>[1]!EM_S_VAL_PBGOODWILLDEDUCTED(B782,E782)</f>
        <v>5.2807439001735501</v>
      </c>
      <c r="O782" s="7">
        <f>[1]!EM_S_VAL_PS_TTM(B782,E782)</f>
        <v>9.1495149743631803</v>
      </c>
      <c r="P782" s="7">
        <f>[1]!EM_S_VAL_PCF_NCFTTM(B782,E782)</f>
        <v>46.167459309893403</v>
      </c>
      <c r="Q782" s="7">
        <f>[1]!EM_S_VAL_DIVIDENDYIELD2(B782,E782,"2019-11-29")</f>
        <v>0.25249076658696334</v>
      </c>
      <c r="T782"/>
      <c r="U782">
        <f>[1]!EM_S_RATIO_EPS_TTM(B782,E782,"1")</f>
        <v>0.31145555501452288</v>
      </c>
      <c r="AT782" s="4" t="str">
        <f>[1]!EM_S_IPO_LISTEDDATE(B782)</f>
        <v>2017-08-01</v>
      </c>
    </row>
    <row r="783" spans="1:46">
      <c r="A783">
        <v>3224</v>
      </c>
      <c r="B783" t="str">
        <f>"603027"</f>
        <v>603027</v>
      </c>
      <c r="C783" t="s">
        <v>91</v>
      </c>
      <c r="D783" t="str">
        <f>[1]!EM_S_INFO_INDEX_EM(B783,"1")</f>
        <v>食品饮料</v>
      </c>
      <c r="E783" s="4">
        <f t="shared" si="12"/>
        <v>43465</v>
      </c>
      <c r="F783" s="11">
        <f>[1]!EM_S_PQ_PCTCHANGE(B783,"2018-01-01","2019-12-31","3")</f>
        <v>67.956812780000007</v>
      </c>
      <c r="G783" s="11">
        <f>[1]!EM_S_PQ_PCTCHANGE(B783,"2018-12-31","2019-12-30","1")</f>
        <v>37.516254879999998</v>
      </c>
      <c r="H783" s="11">
        <f>[1]!EM_S_FA_YOY_OR(B783,E783)</f>
        <v>12.3689887095</v>
      </c>
      <c r="I783" s="11">
        <f>[1]!EM_S_FA_GROSSPROFITMARGIN(B783,E783)</f>
        <v>45.7449253622</v>
      </c>
      <c r="J783" s="11">
        <f>[1]!EM_S_FA_NETPROFITMARGIN(B783,E783)</f>
        <v>22.527997432999999</v>
      </c>
      <c r="K783" s="10">
        <f>[1]!EM_S_FA_ASSETSTURN(B783,E783)</f>
        <v>0.68139028761599996</v>
      </c>
      <c r="L783" s="12">
        <f>[1]!EM_HKS_VAL_MV(B783,"2019-12-31","2")</f>
        <v>9903986349.7199993</v>
      </c>
      <c r="M783">
        <f>[1]!EM_S_VAL_PETTMDEDUCTED(B783,E783)</f>
        <v>39.796261016138303</v>
      </c>
      <c r="N783" s="7">
        <f>[1]!EM_S_VAL_PBGOODWILLDEDUCTED(B783,E783)</f>
        <v>4.0582302512060497</v>
      </c>
      <c r="O783" s="7">
        <f>[1]!EM_S_VAL_PS_TTM(B783,E783)</f>
        <v>4.9945033426274996</v>
      </c>
      <c r="P783" s="7">
        <f>[1]!EM_S_VAL_PCF_NCFTTM(B783,E783)</f>
        <v>25.6017426273241</v>
      </c>
      <c r="Q783" s="7">
        <f>[1]!EM_S_VAL_DIVIDENDYIELD2(B783,E783,"2019-11-29")</f>
        <v>0.73083271649463555</v>
      </c>
      <c r="T783"/>
      <c r="U783">
        <f>[1]!EM_S_RATIO_EPS_TTM(B783,E783,"1")</f>
        <v>0.73581117179178346</v>
      </c>
      <c r="AT783" s="4" t="str">
        <f>[1]!EM_S_IPO_LISTEDDATE(B783)</f>
        <v>2016-03-07</v>
      </c>
    </row>
    <row r="784" spans="1:46">
      <c r="A784">
        <v>2029</v>
      </c>
      <c r="B784" t="str">
        <f>"300609"</f>
        <v>300609</v>
      </c>
      <c r="C784" t="s">
        <v>3209</v>
      </c>
      <c r="D784" t="str">
        <f>[1]!EM_S_INFO_INDEX_EM(B784,"1")</f>
        <v>信息技术</v>
      </c>
      <c r="E784" s="4">
        <f t="shared" si="12"/>
        <v>43465</v>
      </c>
      <c r="F784" s="11">
        <f>[1]!EM_S_PQ_PCTCHANGE(B784,"2018-01-01","2019-12-31","3")</f>
        <v>4.2546003499999996</v>
      </c>
      <c r="G784" s="11">
        <f>[1]!EM_S_PQ_PCTCHANGE(B784,"2018-12-31","2019-12-30","1")</f>
        <v>37.486177660000003</v>
      </c>
      <c r="H784" s="11">
        <f>[1]!EM_S_FA_YOY_OR(B784,E784)</f>
        <v>22.665755141199998</v>
      </c>
      <c r="I784" s="11">
        <f>[1]!EM_S_FA_GROSSPROFITMARGIN(B784,E784)</f>
        <v>69.988563473799999</v>
      </c>
      <c r="J784" s="11">
        <f>[1]!EM_S_FA_NETPROFITMARGIN(B784,E784)</f>
        <v>26.718767705499999</v>
      </c>
      <c r="K784" s="10">
        <f>[1]!EM_S_FA_ASSETSTURN(B784,E784)</f>
        <v>0.43041428677799998</v>
      </c>
      <c r="L784" s="12">
        <f>[1]!EM_HKS_VAL_MV(B784,"2019-12-31","2")</f>
        <v>3746364566.0799999</v>
      </c>
      <c r="M784">
        <f>[1]!EM_S_VAL_PETTMDEDUCTED(B784,E784)</f>
        <v>49.563034600675302</v>
      </c>
      <c r="N784" s="7">
        <f>[1]!EM_S_VAL_PBGOODWILLDEDUCTED(B784,E784)</f>
        <v>5.2446719244629696</v>
      </c>
      <c r="O784" s="7">
        <f>[1]!EM_S_VAL_PS_TTM(B784,E784)</f>
        <v>11.889661377751599</v>
      </c>
      <c r="P784" s="7">
        <f>[1]!EM_S_VAL_PCF_NCFTTM(B784,E784)</f>
        <v>-24.275391740582901</v>
      </c>
      <c r="Q784" s="7">
        <f>[1]!EM_S_VAL_DIVIDENDYIELD2(B784,E784,"2019-11-29")</f>
        <v>0.7315418114745873</v>
      </c>
      <c r="T784"/>
      <c r="U784">
        <f>[1]!EM_S_RATIO_EPS_TTM(B784,E784,"1")</f>
        <v>0.64909869808480714</v>
      </c>
      <c r="AT784" s="4" t="str">
        <f>[1]!EM_S_IPO_LISTEDDATE(B784)</f>
        <v>2017-02-15</v>
      </c>
    </row>
    <row r="785" spans="1:46">
      <c r="A785">
        <v>1292</v>
      </c>
      <c r="B785" t="str">
        <f>"002786"</f>
        <v>002786</v>
      </c>
      <c r="C785" t="s">
        <v>3464</v>
      </c>
      <c r="D785" t="str">
        <f>[1]!EM_S_INFO_INDEX_EM(B785,"1")</f>
        <v>机械设备</v>
      </c>
      <c r="E785" s="4">
        <f t="shared" si="12"/>
        <v>43465</v>
      </c>
      <c r="F785" s="11">
        <f>[1]!EM_S_PQ_PCTCHANGE(B785,"2018-01-01","2019-12-31","3")</f>
        <v>-10.558182710000001</v>
      </c>
      <c r="G785" s="11">
        <f>[1]!EM_S_PQ_PCTCHANGE(B785,"2018-12-31","2019-12-30","1")</f>
        <v>37.438423649999997</v>
      </c>
      <c r="H785" s="11">
        <f>[1]!EM_S_FA_YOY_OR(B785,E785)</f>
        <v>3.6245275531000001</v>
      </c>
      <c r="I785" s="11">
        <f>[1]!EM_S_FA_GROSSPROFITMARGIN(B785,E785)</f>
        <v>17.104680761899999</v>
      </c>
      <c r="J785" s="11">
        <f>[1]!EM_S_FA_NETPROFITMARGIN(B785,E785)</f>
        <v>1.4012615745000001</v>
      </c>
      <c r="K785" s="10">
        <f>[1]!EM_S_FA_ASSETSTURN(B785,E785)</f>
        <v>0.75885683790799996</v>
      </c>
      <c r="L785" s="12">
        <f>[1]!EM_HKS_VAL_MV(B785,"2019-12-31","2")</f>
        <v>3175729200</v>
      </c>
      <c r="M785">
        <f>[1]!EM_S_VAL_PETTMDEDUCTED(B785,E785)</f>
        <v>188.02805137362199</v>
      </c>
      <c r="N785" s="7">
        <f>[1]!EM_S_VAL_PBGOODWILLDEDUCTED(B785,E785)</f>
        <v>2.0423105792718301</v>
      </c>
      <c r="O785" s="7">
        <f>[1]!EM_S_VAL_PS_TTM(B785,E785)</f>
        <v>0.76701139741277402</v>
      </c>
      <c r="P785" s="7">
        <f>[1]!EM_S_VAL_PCF_NCFTTM(B785,E785)</f>
        <v>-23.937791734360601</v>
      </c>
      <c r="Q785" s="7">
        <f>[1]!EM_S_VAL_DIVIDENDYIELD2(B785,E785,"2019-11-29")</f>
        <v>0.26184538653366579</v>
      </c>
      <c r="T785"/>
      <c r="U785">
        <f>[1]!EM_S_RATIO_EPS_TTM(B785,E785,"1")</f>
        <v>0.10928269837897388</v>
      </c>
      <c r="AT785" s="4" t="str">
        <f>[1]!EM_S_IPO_LISTEDDATE(B785)</f>
        <v>2015-12-23</v>
      </c>
    </row>
    <row r="786" spans="1:46">
      <c r="A786">
        <v>2312</v>
      </c>
      <c r="B786" t="str">
        <f>"600173"</f>
        <v>600173</v>
      </c>
      <c r="C786" t="s">
        <v>199</v>
      </c>
      <c r="D786" t="str">
        <f>[1]!EM_S_INFO_INDEX_EM(B786,"1")</f>
        <v>房地产</v>
      </c>
      <c r="E786" s="4">
        <f t="shared" si="12"/>
        <v>43465</v>
      </c>
      <c r="F786" s="11">
        <f>[1]!EM_S_PQ_PCTCHANGE(B786,"2018-01-01","2019-12-31","3")</f>
        <v>-6.20521615</v>
      </c>
      <c r="G786" s="11">
        <f>[1]!EM_S_PQ_PCTCHANGE(B786,"2018-12-31","2019-12-30","1")</f>
        <v>37.400530500000002</v>
      </c>
      <c r="H786" s="11">
        <f>[1]!EM_S_FA_YOY_OR(B786,E786)</f>
        <v>81.618145358899994</v>
      </c>
      <c r="I786" s="11">
        <f>[1]!EM_S_FA_GROSSPROFITMARGIN(B786,E786)</f>
        <v>44.726113173599998</v>
      </c>
      <c r="J786" s="11">
        <f>[1]!EM_S_FA_NETPROFITMARGIN(B786,E786)</f>
        <v>23.819061896800001</v>
      </c>
      <c r="K786" s="10">
        <f>[1]!EM_S_FA_ASSETSTURN(B786,E786)</f>
        <v>0.47661960360299999</v>
      </c>
      <c r="L786" s="12">
        <f>[1]!EM_HKS_VAL_MV(B786,"2019-12-31","2")</f>
        <v>3652826051.2399998</v>
      </c>
      <c r="M786">
        <f>[1]!EM_S_VAL_PETTMDEDUCTED(B786,E786)</f>
        <v>6.7759936087792898</v>
      </c>
      <c r="N786" s="7">
        <f>[1]!EM_S_VAL_PBGOODWILLDEDUCTED(B786,E786)</f>
        <v>1.1832948711689599</v>
      </c>
      <c r="O786" s="7">
        <f>[1]!EM_S_VAL_PS_TTM(B786,E786)</f>
        <v>1.09629630810982</v>
      </c>
      <c r="P786" s="7">
        <f>[1]!EM_S_VAL_PCF_NCFTTM(B786,E786)</f>
        <v>-2616.61626376203</v>
      </c>
      <c r="Q786" s="7">
        <f>[1]!EM_S_VAL_DIVIDENDYIELD2(B786,E786,"2019-11-29")</f>
        <v>2.0366598778004072</v>
      </c>
      <c r="T786"/>
      <c r="U786">
        <f>[1]!EM_S_RATIO_EPS_TTM(B786,E786,"1")</f>
        <v>0.79270367854520196</v>
      </c>
      <c r="AT786" s="4" t="str">
        <f>[1]!EM_S_IPO_LISTEDDATE(B786)</f>
        <v>1999-04-15</v>
      </c>
    </row>
    <row r="787" spans="1:46">
      <c r="A787">
        <v>1042</v>
      </c>
      <c r="B787" t="str">
        <f>"002531"</f>
        <v>002531</v>
      </c>
      <c r="C787" t="s">
        <v>1569</v>
      </c>
      <c r="D787" t="str">
        <f>[1]!EM_S_INFO_INDEX_EM(B787,"1")</f>
        <v>电气设备</v>
      </c>
      <c r="E787" s="4">
        <f t="shared" si="12"/>
        <v>43465</v>
      </c>
      <c r="F787" s="11">
        <f>[1]!EM_S_PQ_PCTCHANGE(B787,"2018-01-01","2019-12-31","3")</f>
        <v>-20.636149209999999</v>
      </c>
      <c r="G787" s="11">
        <f>[1]!EM_S_PQ_PCTCHANGE(B787,"2018-12-31","2019-12-30","1")</f>
        <v>37.303370790000002</v>
      </c>
      <c r="H787" s="11">
        <f>[1]!EM_S_FA_YOY_OR(B787,E787)</f>
        <v>16.793360810199999</v>
      </c>
      <c r="I787" s="11">
        <f>[1]!EM_S_FA_GROSSPROFITMARGIN(B787,E787)</f>
        <v>26.050797491600001</v>
      </c>
      <c r="J787" s="11">
        <f>[1]!EM_S_FA_NETPROFITMARGIN(B787,E787)</f>
        <v>12.9921630896</v>
      </c>
      <c r="K787" s="10">
        <f>[1]!EM_S_FA_ASSETSTURN(B787,E787)</f>
        <v>0.335884249862</v>
      </c>
      <c r="L787" s="12">
        <f>[1]!EM_HKS_VAL_MV(B787,"2019-12-31","2")</f>
        <v>11243400377.040001</v>
      </c>
      <c r="M787">
        <f>[1]!EM_S_VAL_PETTMDEDUCTED(B787,E787)</f>
        <v>17.4034533202611</v>
      </c>
      <c r="N787" s="7">
        <f>[1]!EM_S_VAL_PBGOODWILLDEDUCTED(B787,E787)</f>
        <v>1.5329146670796601</v>
      </c>
      <c r="O787" s="7">
        <f>[1]!EM_S_VAL_PS_TTM(B787,E787)</f>
        <v>2.2787573291116598</v>
      </c>
      <c r="P787" s="7">
        <f>[1]!EM_S_VAL_PCF_NCFTTM(B787,E787)</f>
        <v>41.412809651696598</v>
      </c>
      <c r="Q787" s="7">
        <f>[1]!EM_S_VAL_DIVIDENDYIELD2(B787,E787,"2019-11-29")</f>
        <v>1.0191762711864407</v>
      </c>
      <c r="T787"/>
      <c r="U787">
        <f>[1]!EM_S_RATIO_EPS_TTM(B787,E787,"1")</f>
        <v>0.26398711208964365</v>
      </c>
      <c r="AT787" s="4" t="str">
        <f>[1]!EM_S_IPO_LISTEDDATE(B787)</f>
        <v>2010-12-31</v>
      </c>
    </row>
    <row r="788" spans="1:46">
      <c r="A788">
        <v>2904</v>
      </c>
      <c r="B788" t="str">
        <f>"600831"</f>
        <v>600831</v>
      </c>
      <c r="C788" t="s">
        <v>1732</v>
      </c>
      <c r="D788" t="str">
        <f>[1]!EM_S_INFO_INDEX_EM(B788,"1")</f>
        <v>文化传媒</v>
      </c>
      <c r="E788" s="4">
        <f t="shared" si="12"/>
        <v>43465</v>
      </c>
      <c r="F788" s="11">
        <f>[1]!EM_S_PQ_PCTCHANGE(B788,"2018-01-01","2019-12-31","3")</f>
        <v>14.010462199999999</v>
      </c>
      <c r="G788" s="11">
        <f>[1]!EM_S_PQ_PCTCHANGE(B788,"2018-12-31","2019-12-30","1")</f>
        <v>37.075332349999996</v>
      </c>
      <c r="H788" s="11">
        <f>[1]!EM_S_FA_YOY_OR(B788,E788)</f>
        <v>-4.8879870766</v>
      </c>
      <c r="I788" s="11">
        <f>[1]!EM_S_FA_GROSSPROFITMARGIN(B788,E788)</f>
        <v>32.256577608199997</v>
      </c>
      <c r="J788" s="11">
        <f>[1]!EM_S_FA_NETPROFITMARGIN(B788,E788)</f>
        <v>3.4189997731999999</v>
      </c>
      <c r="K788" s="10">
        <f>[1]!EM_S_FA_ASSETSTURN(B788,E788)</f>
        <v>0.35507155104100002</v>
      </c>
      <c r="L788" s="12">
        <f>[1]!EM_HKS_VAL_MV(B788,"2019-12-31","2")</f>
        <v>6563912367.2799997</v>
      </c>
      <c r="M788">
        <f>[1]!EM_S_VAL_PETTMDEDUCTED(B788,E788)</f>
        <v>24.195629454207499</v>
      </c>
      <c r="N788" s="7">
        <f>[1]!EM_S_VAL_PBGOODWILLDEDUCTED(B788,E788)</f>
        <v>1.3499070709544501</v>
      </c>
      <c r="O788" s="7">
        <f>[1]!EM_S_VAL_PS_TTM(B788,E788)</f>
        <v>1.3507028443547899</v>
      </c>
      <c r="P788" s="7">
        <f>[1]!EM_S_VAL_PCF_NCFTTM(B788,E788)</f>
        <v>20.0143593240212</v>
      </c>
      <c r="Q788" s="7">
        <f>[1]!EM_S_VAL_DIVIDENDYIELD2(B788,E788,"2019-11-29")</f>
        <v>0.12018769222134984</v>
      </c>
      <c r="T788"/>
      <c r="U788">
        <f>[1]!EM_S_RATIO_EPS_TTM(B788,E788,"1")</f>
        <v>0.17366837346911596</v>
      </c>
      <c r="AT788" s="4" t="str">
        <f>[1]!EM_S_IPO_LISTEDDATE(B788)</f>
        <v>1994-02-24</v>
      </c>
    </row>
    <row r="789" spans="1:46">
      <c r="A789">
        <v>2827</v>
      </c>
      <c r="B789" t="str">
        <f>"600754"</f>
        <v>600754</v>
      </c>
      <c r="C789" t="s">
        <v>1504</v>
      </c>
      <c r="D789" t="str">
        <f>[1]!EM_S_INFO_INDEX_EM(B789,"1")</f>
        <v>休闲、生活及专业服务</v>
      </c>
      <c r="E789" s="4">
        <f t="shared" si="12"/>
        <v>43465</v>
      </c>
      <c r="F789" s="11">
        <f>[1]!EM_S_PQ_PCTCHANGE(B789,"2018-01-01","2019-12-31","3")</f>
        <v>-7.3920422700000001</v>
      </c>
      <c r="G789" s="11">
        <f>[1]!EM_S_PQ_PCTCHANGE(B789,"2018-12-31","2019-12-30","1")</f>
        <v>37.042253520000003</v>
      </c>
      <c r="H789" s="11">
        <f>[1]!EM_S_FA_YOY_OR(B789,E789)</f>
        <v>8.2078377970999998</v>
      </c>
      <c r="I789" s="11">
        <f>[1]!EM_S_FA_GROSSPROFITMARGIN(B789,E789)</f>
        <v>89.600430223100005</v>
      </c>
      <c r="J789" s="11">
        <f>[1]!EM_S_FA_NETPROFITMARGIN(B789,E789)</f>
        <v>8.3530338672000006</v>
      </c>
      <c r="K789" s="10">
        <f>[1]!EM_S_FA_ASSETSTURN(B789,E789)</f>
        <v>0.35122557426500001</v>
      </c>
      <c r="L789" s="12">
        <f>[1]!EM_HKS_VAL_MV(B789,"2019-12-31","2")</f>
        <v>27502355192.400002</v>
      </c>
      <c r="M789">
        <f>[1]!EM_S_VAL_PETTMDEDUCTED(B789,E789)</f>
        <v>23.844856813616701</v>
      </c>
      <c r="N789" s="7">
        <f>[1]!EM_S_VAL_PBGOODWILLDEDUCTED(B789,E789)</f>
        <v>17.071569148127399</v>
      </c>
      <c r="O789" s="7">
        <f>[1]!EM_S_VAL_PS_TTM(B789,E789)</f>
        <v>1.4063271017143699</v>
      </c>
      <c r="P789" s="7">
        <f>[1]!EM_S_VAL_PCF_NCFTTM(B789,E789)</f>
        <v>23.214233560231399</v>
      </c>
      <c r="Q789" s="7">
        <f>[1]!EM_S_VAL_DIVIDENDYIELD2(B789,E789,"2019-11-29")</f>
        <v>2.4916943521594686</v>
      </c>
      <c r="T789"/>
      <c r="U789">
        <f>[1]!EM_S_RATIO_EPS_TTM(B789,E789,"1")</f>
        <v>1.1299915418814215</v>
      </c>
      <c r="AT789" s="4" t="str">
        <f>[1]!EM_S_IPO_LISTEDDATE(B789)</f>
        <v>1996-10-11</v>
      </c>
    </row>
    <row r="790" spans="1:46">
      <c r="A790">
        <v>156</v>
      </c>
      <c r="B790" t="str">
        <f>"000547"</f>
        <v>000547</v>
      </c>
      <c r="C790" t="s">
        <v>1822</v>
      </c>
      <c r="D790" t="str">
        <f>[1]!EM_S_INFO_INDEX_EM(B790,"1")</f>
        <v>信息技术</v>
      </c>
      <c r="E790" s="4">
        <f t="shared" si="12"/>
        <v>43465</v>
      </c>
      <c r="F790" s="11">
        <f>[1]!EM_S_PQ_PCTCHANGE(B790,"2018-01-01","2019-12-31","3")</f>
        <v>-5.6325023099999996</v>
      </c>
      <c r="G790" s="11">
        <f>[1]!EM_S_PQ_PCTCHANGE(B790,"2018-12-31","2019-12-30","1")</f>
        <v>37.037037040000001</v>
      </c>
      <c r="H790" s="11">
        <f>[1]!EM_S_FA_YOY_OR(B790,E790)</f>
        <v>41.145652127399998</v>
      </c>
      <c r="I790" s="11">
        <f>[1]!EM_S_FA_GROSSPROFITMARGIN(B790,E790)</f>
        <v>32.594419221700001</v>
      </c>
      <c r="J790" s="11">
        <f>[1]!EM_S_FA_NETPROFITMARGIN(B790,E790)</f>
        <v>14.440048171999999</v>
      </c>
      <c r="K790" s="10">
        <f>[1]!EM_S_FA_ASSETSTURN(B790,E790)</f>
        <v>0.41484599509999998</v>
      </c>
      <c r="L790" s="12">
        <f>[1]!EM_HKS_VAL_MV(B790,"2019-12-31","2")</f>
        <v>16410038163.82</v>
      </c>
      <c r="M790">
        <f>[1]!EM_S_VAL_PETTMDEDUCTED(B790,E790)</f>
        <v>39.478172504499902</v>
      </c>
      <c r="N790" s="7">
        <f>[1]!EM_S_VAL_PBGOODWILLDEDUCTED(B790,E790)</f>
        <v>2.5311837741152901</v>
      </c>
      <c r="O790" s="7">
        <f>[1]!EM_S_VAL_PS_TTM(B790,E790)</f>
        <v>4.7219945314454499</v>
      </c>
      <c r="P790" s="7">
        <f>[1]!EM_S_VAL_PCF_NCFTTM(B790,E790)</f>
        <v>332.14288867006297</v>
      </c>
      <c r="Q790" s="7">
        <f>[1]!EM_S_VAL_DIVIDENDYIELD2(B790,E790,"2019-11-29")</f>
        <v>0</v>
      </c>
      <c r="T790"/>
      <c r="U790">
        <f>[1]!EM_S_RATIO_EPS_TTM(B790,E790,"1")</f>
        <v>0.2863807369097956</v>
      </c>
      <c r="AT790" s="4" t="str">
        <f>[1]!EM_S_IPO_LISTEDDATE(B790)</f>
        <v>1993-11-30</v>
      </c>
    </row>
    <row r="791" spans="1:46">
      <c r="A791">
        <v>561</v>
      </c>
      <c r="B791" t="str">
        <f>"002050"</f>
        <v>002050</v>
      </c>
      <c r="C791" t="s">
        <v>764</v>
      </c>
      <c r="D791" t="str">
        <f>[1]!EM_S_INFO_INDEX_EM(B791,"1")</f>
        <v>家电</v>
      </c>
      <c r="E791" s="4">
        <f t="shared" si="12"/>
        <v>43465</v>
      </c>
      <c r="F791" s="11">
        <f>[1]!EM_S_PQ_PCTCHANGE(B791,"2018-01-01","2019-12-31","3")</f>
        <v>27.09208138</v>
      </c>
      <c r="G791" s="11">
        <f>[1]!EM_S_PQ_PCTCHANGE(B791,"2018-12-31","2019-12-30","1")</f>
        <v>37.037037040000001</v>
      </c>
      <c r="H791" s="11">
        <f>[1]!EM_S_FA_YOY_OR(B791,E791)</f>
        <v>13.095866277000001</v>
      </c>
      <c r="I791" s="11">
        <f>[1]!EM_S_FA_GROSSPROFITMARGIN(B791,E791)</f>
        <v>28.586050269600001</v>
      </c>
      <c r="J791" s="11">
        <f>[1]!EM_S_FA_NETPROFITMARGIN(B791,E791)</f>
        <v>12.1014060795</v>
      </c>
      <c r="K791" s="10">
        <f>[1]!EM_S_FA_ASSETSTURN(B791,E791)</f>
        <v>0.82465246077499998</v>
      </c>
      <c r="L791" s="12">
        <f>[1]!EM_HKS_VAL_MV(B791,"2019-12-31","2")</f>
        <v>47928851372.339996</v>
      </c>
      <c r="M791">
        <f>[1]!EM_S_VAL_PETTMDEDUCTED(B791,E791)</f>
        <v>20.966588349036801</v>
      </c>
      <c r="N791" s="7">
        <f>[1]!EM_S_VAL_PBGOODWILLDEDUCTED(B791,E791)</f>
        <v>3.1502119479440398</v>
      </c>
      <c r="O791" s="7">
        <f>[1]!EM_S_VAL_PS_TTM(B791,E791)</f>
        <v>2.5371546132518001</v>
      </c>
      <c r="P791" s="7">
        <f>[1]!EM_S_VAL_PCF_NCFTTM(B791,E791)</f>
        <v>-21.150636249951098</v>
      </c>
      <c r="Q791" s="7">
        <f>[1]!EM_S_VAL_DIVIDENDYIELD2(B791,E791,"2019-11-29")</f>
        <v>1.3039847855111637</v>
      </c>
      <c r="T791"/>
      <c r="U791">
        <f>[1]!EM_S_RATIO_EPS_TTM(B791,E791,"1")</f>
        <v>0.6065527899512263</v>
      </c>
      <c r="AT791" s="4" t="str">
        <f>[1]!EM_S_IPO_LISTEDDATE(B791)</f>
        <v>2005-06-07</v>
      </c>
    </row>
    <row r="792" spans="1:46">
      <c r="A792">
        <v>1781</v>
      </c>
      <c r="B792" t="str">
        <f>"300356"</f>
        <v>300356</v>
      </c>
      <c r="C792" t="s">
        <v>3500</v>
      </c>
      <c r="D792" t="str">
        <f>[1]!EM_S_INFO_INDEX_EM(B792,"1")</f>
        <v>电气设备</v>
      </c>
      <c r="E792" s="4">
        <f t="shared" si="12"/>
        <v>43465</v>
      </c>
      <c r="F792" s="11">
        <f>[1]!EM_S_PQ_PCTCHANGE(B792,"2018-01-01","2019-12-31","3")</f>
        <v>14.73533619</v>
      </c>
      <c r="G792" s="11">
        <f>[1]!EM_S_PQ_PCTCHANGE(B792,"2018-12-31","2019-12-30","1")</f>
        <v>37.024221449999999</v>
      </c>
      <c r="H792" s="11">
        <f>[1]!EM_S_FA_YOY_OR(B792,E792)</f>
        <v>-19.305464949099999</v>
      </c>
      <c r="I792" s="11">
        <f>[1]!EM_S_FA_GROSSPROFITMARGIN(B792,E792)</f>
        <v>34.497239747199998</v>
      </c>
      <c r="J792" s="11">
        <f>[1]!EM_S_FA_NETPROFITMARGIN(B792,E792)</f>
        <v>4.9298299784999999</v>
      </c>
      <c r="K792" s="10">
        <f>[1]!EM_S_FA_ASSETSTURN(B792,E792)</f>
        <v>0.238356670163</v>
      </c>
      <c r="L792" s="12">
        <f>[1]!EM_HKS_VAL_MV(B792,"2019-12-31","2")</f>
        <v>3297169327.4000001</v>
      </c>
      <c r="M792">
        <f>[1]!EM_S_VAL_PETTMDEDUCTED(B792,E792)</f>
        <v>-5.9202680214333698</v>
      </c>
      <c r="N792" s="7">
        <f>[1]!EM_S_VAL_PBGOODWILLDEDUCTED(B792,E792)</f>
        <v>2.2636494260464302</v>
      </c>
      <c r="O792" s="7">
        <f>[1]!EM_S_VAL_PS_TTM(B792,E792)</f>
        <v>4.61017699297369</v>
      </c>
      <c r="P792" s="7">
        <f>[1]!EM_S_VAL_PCF_NCFTTM(B792,E792)</f>
        <v>-19.910899844310801</v>
      </c>
      <c r="Q792" s="7">
        <f>[1]!EM_S_VAL_DIVIDENDYIELD2(B792,E792,"2019-11-29")</f>
        <v>0</v>
      </c>
      <c r="T792"/>
      <c r="U792">
        <f>[1]!EM_S_RATIO_EPS_TTM(B792,E792,"1")</f>
        <v>5.6926400369801039E-2</v>
      </c>
      <c r="AT792" s="4" t="str">
        <f>[1]!EM_S_IPO_LISTEDDATE(B792)</f>
        <v>2012-10-09</v>
      </c>
    </row>
    <row r="793" spans="1:46">
      <c r="A793">
        <v>3418</v>
      </c>
      <c r="B793" t="str">
        <f>"603517"</f>
        <v>603517</v>
      </c>
      <c r="C793" t="s">
        <v>223</v>
      </c>
      <c r="D793" t="str">
        <f>[1]!EM_S_INFO_INDEX_EM(B793,"1")</f>
        <v>食品饮料</v>
      </c>
      <c r="E793" s="4">
        <f t="shared" si="12"/>
        <v>43465</v>
      </c>
      <c r="F793" s="11">
        <f>[1]!EM_S_PQ_PCTCHANGE(B793,"2018-01-01","2019-12-31","3")</f>
        <v>68.807122539999995</v>
      </c>
      <c r="G793" s="11">
        <f>[1]!EM_S_PQ_PCTCHANGE(B793,"2018-12-31","2019-12-30","1")</f>
        <v>36.997885840000002</v>
      </c>
      <c r="H793" s="11">
        <f>[1]!EM_S_FA_YOY_OR(B793,E793)</f>
        <v>13.4491644714</v>
      </c>
      <c r="I793" s="11">
        <f>[1]!EM_S_FA_GROSSPROFITMARGIN(B793,E793)</f>
        <v>34.2966840948</v>
      </c>
      <c r="J793" s="11">
        <f>[1]!EM_S_FA_NETPROFITMARGIN(B793,E793)</f>
        <v>14.436701765800001</v>
      </c>
      <c r="K793" s="10">
        <f>[1]!EM_S_FA_ASSETSTURN(B793,E793)</f>
        <v>1.2461437907740001</v>
      </c>
      <c r="L793" s="12">
        <f>[1]!EM_HKS_VAL_MV(B793,"2019-12-31","2")</f>
        <v>28270895782.75</v>
      </c>
      <c r="M793">
        <f>[1]!EM_S_VAL_PETTMDEDUCTED(B793,E793)</f>
        <v>22.7113001939741</v>
      </c>
      <c r="N793" s="7">
        <f>[1]!EM_S_VAL_PBGOODWILLDEDUCTED(B793,E793)</f>
        <v>4.4883300432051403</v>
      </c>
      <c r="O793" s="7">
        <f>[1]!EM_S_VAL_PS_TTM(B793,E793)</f>
        <v>3.21175431978389</v>
      </c>
      <c r="P793" s="7">
        <f>[1]!EM_S_VAL_PCF_NCFTTM(B793,E793)</f>
        <v>-48.763423288115298</v>
      </c>
      <c r="Q793" s="7">
        <f>[1]!EM_S_VAL_DIVIDENDYIELD2(B793,E793,"2019-11-29")</f>
        <v>0.9392512529410677</v>
      </c>
      <c r="T793"/>
      <c r="U793">
        <f>[1]!EM_S_RATIO_EPS_TTM(B793,E793,"1")</f>
        <v>1.5625107160487806</v>
      </c>
      <c r="AT793" s="4" t="str">
        <f>[1]!EM_S_IPO_LISTEDDATE(B793)</f>
        <v>2017-03-17</v>
      </c>
    </row>
    <row r="794" spans="1:46">
      <c r="A794">
        <v>2801</v>
      </c>
      <c r="B794" t="str">
        <f>"600728"</f>
        <v>600728</v>
      </c>
      <c r="C794" t="s">
        <v>2306</v>
      </c>
      <c r="D794" t="str">
        <f>[1]!EM_S_INFO_INDEX_EM(B794,"1")</f>
        <v>信息技术</v>
      </c>
      <c r="E794" s="4">
        <f t="shared" si="12"/>
        <v>43465</v>
      </c>
      <c r="F794" s="11">
        <f>[1]!EM_S_PQ_PCTCHANGE(B794,"2018-01-01","2019-12-31","3")</f>
        <v>14.736745060000001</v>
      </c>
      <c r="G794" s="11">
        <f>[1]!EM_S_PQ_PCTCHANGE(B794,"2018-12-31","2019-12-30","1")</f>
        <v>36.865021769999998</v>
      </c>
      <c r="H794" s="11">
        <f>[1]!EM_S_FA_YOY_OR(B794,E794)</f>
        <v>8.5388346410999993</v>
      </c>
      <c r="I794" s="11">
        <f>[1]!EM_S_FA_GROSSPROFITMARGIN(B794,E794)</f>
        <v>14.821961786599999</v>
      </c>
      <c r="J794" s="11">
        <f>[1]!EM_S_FA_NETPROFITMARGIN(B794,E794)</f>
        <v>5.5989713520000004</v>
      </c>
      <c r="K794" s="10">
        <f>[1]!EM_S_FA_ASSETSTURN(B794,E794)</f>
        <v>0.682508517609</v>
      </c>
      <c r="L794" s="12">
        <f>[1]!EM_HKS_VAL_MV(B794,"2019-12-31","2")</f>
        <v>15672280587.879999</v>
      </c>
      <c r="M794">
        <f>[1]!EM_S_VAL_PETTMDEDUCTED(B794,E794)</f>
        <v>46.947079617030603</v>
      </c>
      <c r="N794" s="7">
        <f>[1]!EM_S_VAL_PBGOODWILLDEDUCTED(B794,E794)</f>
        <v>3.4233155626942402</v>
      </c>
      <c r="O794" s="7">
        <f>[1]!EM_S_VAL_PS_TTM(B794,E794)</f>
        <v>2.36141691985484</v>
      </c>
      <c r="P794" s="7">
        <f>[1]!EM_S_VAL_PCF_NCFTTM(B794,E794)</f>
        <v>-56.261698097387502</v>
      </c>
      <c r="Q794" s="7">
        <f>[1]!EM_S_VAL_DIVIDENDYIELD2(B794,E794,"2019-11-29")</f>
        <v>0.63114501107620247</v>
      </c>
      <c r="T794"/>
      <c r="U794">
        <f>[1]!EM_S_RATIO_EPS_TTM(B794,E794,"1")</f>
        <v>0.16192988986630238</v>
      </c>
      <c r="AT794" s="4" t="str">
        <f>[1]!EM_S_IPO_LISTEDDATE(B794)</f>
        <v>1996-07-16</v>
      </c>
    </row>
    <row r="795" spans="1:46">
      <c r="A795">
        <v>2525</v>
      </c>
      <c r="B795" t="str">
        <f>"600416"</f>
        <v>600416</v>
      </c>
      <c r="C795" t="s">
        <v>3562</v>
      </c>
      <c r="D795" t="str">
        <f>[1]!EM_S_INFO_INDEX_EM(B795,"1")</f>
        <v>商贸零售</v>
      </c>
      <c r="E795" s="4">
        <f t="shared" si="12"/>
        <v>43465</v>
      </c>
      <c r="F795" s="11">
        <f>[1]!EM_S_PQ_PCTCHANGE(B795,"2018-01-01","2019-12-31","3")</f>
        <v>-42.622542299999999</v>
      </c>
      <c r="G795" s="11">
        <f>[1]!EM_S_PQ_PCTCHANGE(B795,"2018-12-31","2019-12-30","1")</f>
        <v>36.821705430000002</v>
      </c>
      <c r="H795" s="11">
        <f>[1]!EM_S_FA_YOY_OR(B795,E795)</f>
        <v>-36.131689377999997</v>
      </c>
      <c r="I795" s="11">
        <f>[1]!EM_S_FA_GROSSPROFITMARGIN(B795,E795)</f>
        <v>7.8391348813999997</v>
      </c>
      <c r="J795" s="11">
        <f>[1]!EM_S_FA_NETPROFITMARGIN(B795,E795)</f>
        <v>-32.083303812899999</v>
      </c>
      <c r="K795" s="10">
        <f>[1]!EM_S_FA_ASSETSTURN(B795,E795)</f>
        <v>0.29221890407099999</v>
      </c>
      <c r="L795" s="12">
        <f>[1]!EM_HKS_VAL_MV(B795,"2019-12-31","2")</f>
        <v>6753257080.5</v>
      </c>
      <c r="M795">
        <f>[1]!EM_S_VAL_PETTMDEDUCTED(B795,E795)</f>
        <v>-10.601370007529701</v>
      </c>
      <c r="N795" s="7">
        <f>[1]!EM_S_VAL_PBGOODWILLDEDUCTED(B795,E795)</f>
        <v>1.0745582260639801</v>
      </c>
      <c r="O795" s="7">
        <f>[1]!EM_S_VAL_PS_TTM(B795,E795)</f>
        <v>0.64469265452161595</v>
      </c>
      <c r="P795" s="7">
        <f>[1]!EM_S_VAL_PCF_NCFTTM(B795,E795)</f>
        <v>-13.7686569800169</v>
      </c>
      <c r="Q795" s="7">
        <f>[1]!EM_S_VAL_DIVIDENDYIELD2(B795,E795,"2019-11-29")</f>
        <v>0</v>
      </c>
      <c r="T795"/>
      <c r="U795">
        <f>[1]!EM_S_RATIO_EPS_TTM(B795,E795,"1")</f>
        <v>-2.0212803355915425</v>
      </c>
      <c r="AT795" s="4" t="str">
        <f>[1]!EM_S_IPO_LISTEDDATE(B795)</f>
        <v>2002-07-18</v>
      </c>
    </row>
    <row r="796" spans="1:46">
      <c r="A796">
        <v>1366</v>
      </c>
      <c r="B796" t="str">
        <f>"002866"</f>
        <v>002866</v>
      </c>
      <c r="C796" t="s">
        <v>865</v>
      </c>
      <c r="D796" t="str">
        <f>[1]!EM_S_INFO_INDEX_EM(B796,"1")</f>
        <v>电子设备</v>
      </c>
      <c r="E796" s="4">
        <f t="shared" si="12"/>
        <v>43465</v>
      </c>
      <c r="F796" s="11">
        <f>[1]!EM_S_PQ_PCTCHANGE(B796,"2018-01-01","2019-12-31","3")</f>
        <v>-34.175874520000001</v>
      </c>
      <c r="G796" s="11">
        <f>[1]!EM_S_PQ_PCTCHANGE(B796,"2018-12-31","2019-12-30","1")</f>
        <v>36.711281069999998</v>
      </c>
      <c r="H796" s="11">
        <f>[1]!EM_S_FA_YOY_OR(B796,E796)</f>
        <v>70.949546810499996</v>
      </c>
      <c r="I796" s="11">
        <f>[1]!EM_S_FA_GROSSPROFITMARGIN(B796,E796)</f>
        <v>23.075591575000001</v>
      </c>
      <c r="J796" s="11">
        <f>[1]!EM_S_FA_NETPROFITMARGIN(B796,E796)</f>
        <v>8.4251163666999993</v>
      </c>
      <c r="K796" s="10">
        <f>[1]!EM_S_FA_ASSETSTURN(B796,E796)</f>
        <v>0.84947196291600002</v>
      </c>
      <c r="L796" s="12">
        <f>[1]!EM_HKS_VAL_MV(B796,"2019-12-31","2")</f>
        <v>3491155245.0999999</v>
      </c>
      <c r="M796">
        <f>[1]!EM_S_VAL_PETTMDEDUCTED(B796,E796)</f>
        <v>25.0782999057149</v>
      </c>
      <c r="N796" s="7">
        <f>[1]!EM_S_VAL_PBGOODWILLDEDUCTED(B796,E796)</f>
        <v>2.9189842931296002</v>
      </c>
      <c r="O796" s="7">
        <f>[1]!EM_S_VAL_PS_TTM(B796,E796)</f>
        <v>2.83556852032592</v>
      </c>
      <c r="P796" s="7">
        <f>[1]!EM_S_VAL_PCF_NCFTTM(B796,E796)</f>
        <v>-12.9944400110776</v>
      </c>
      <c r="Q796" s="7">
        <f>[1]!EM_S_VAL_DIVIDENDYIELD2(B796,E796,"2019-11-29")</f>
        <v>0.765878238341969</v>
      </c>
      <c r="T796"/>
      <c r="U796">
        <f>[1]!EM_S_RATIO_EPS_TTM(B796,E796,"1")</f>
        <v>0.39441061560772395</v>
      </c>
      <c r="AT796" s="4" t="str">
        <f>[1]!EM_S_IPO_LISTEDDATE(B796)</f>
        <v>2017-04-26</v>
      </c>
    </row>
    <row r="797" spans="1:46">
      <c r="A797">
        <v>984</v>
      </c>
      <c r="B797" t="str">
        <f>"002473"</f>
        <v>002473</v>
      </c>
      <c r="C797" t="s">
        <v>3568</v>
      </c>
      <c r="D797" t="str">
        <f>[1]!EM_S_INFO_INDEX_EM(B797,"1")</f>
        <v>家电</v>
      </c>
      <c r="E797" s="4">
        <f t="shared" si="12"/>
        <v>43465</v>
      </c>
      <c r="F797" s="11">
        <f>[1]!EM_S_PQ_PCTCHANGE(B797,"2018-01-01","2019-12-31","3")</f>
        <v>-17.212347990000001</v>
      </c>
      <c r="G797" s="11">
        <f>[1]!EM_S_PQ_PCTCHANGE(B797,"2018-12-31","2019-12-30","1")</f>
        <v>36.626139819999999</v>
      </c>
      <c r="H797" s="11">
        <f>[1]!EM_S_FA_YOY_OR(B797,E797)</f>
        <v>25.5983958781</v>
      </c>
      <c r="I797" s="11">
        <f>[1]!EM_S_FA_GROSSPROFITMARGIN(B797,E797)</f>
        <v>21.900214356100001</v>
      </c>
      <c r="J797" s="11">
        <f>[1]!EM_S_FA_NETPROFITMARGIN(B797,E797)</f>
        <v>7.7703275681999999</v>
      </c>
      <c r="K797" s="10">
        <f>[1]!EM_S_FA_ASSETSTURN(B797,E797)</f>
        <v>0.38971907781800003</v>
      </c>
      <c r="L797" s="12">
        <f>[1]!EM_HKS_VAL_MV(B797,"2019-12-31","2")</f>
        <v>1416000000</v>
      </c>
      <c r="M797">
        <f>[1]!EM_S_VAL_PETTMDEDUCTED(B797,E797)</f>
        <v>-16.218363036754599</v>
      </c>
      <c r="N797" s="7">
        <f>[1]!EM_S_VAL_PBGOODWILLDEDUCTED(B797,E797)</f>
        <v>3.5323977529708599</v>
      </c>
      <c r="O797" s="7">
        <f>[1]!EM_S_VAL_PS_TTM(B797,E797)</f>
        <v>7.17206320196708</v>
      </c>
      <c r="P797" s="7">
        <f>[1]!EM_S_VAL_PCF_NCFTTM(B797,E797)</f>
        <v>-11.005210719428399</v>
      </c>
      <c r="Q797" s="7">
        <f>[1]!EM_S_VAL_DIVIDENDYIELD2(B797,E797,"2019-11-29")</f>
        <v>0</v>
      </c>
      <c r="T797"/>
      <c r="U797">
        <f>[1]!EM_S_RATIO_EPS_TTM(B797,E797,"1")</f>
        <v>7.5505499125E-2</v>
      </c>
      <c r="AT797" s="4" t="str">
        <f>[1]!EM_S_IPO_LISTEDDATE(B797)</f>
        <v>2010-09-10</v>
      </c>
    </row>
    <row r="798" spans="1:46">
      <c r="A798">
        <v>3360</v>
      </c>
      <c r="B798" t="str">
        <f>"603326"</f>
        <v>603326</v>
      </c>
      <c r="C798" t="s">
        <v>3295</v>
      </c>
      <c r="D798" t="str">
        <f>[1]!EM_S_INFO_INDEX_EM(B798,"1")</f>
        <v>轻工制造</v>
      </c>
      <c r="E798" s="4">
        <f t="shared" si="12"/>
        <v>43465</v>
      </c>
      <c r="F798" s="11">
        <f>[1]!EM_S_PQ_PCTCHANGE(B798,"2018-01-01","2019-12-31","3")</f>
        <v>12.549686749999999</v>
      </c>
      <c r="G798" s="11">
        <f>[1]!EM_S_PQ_PCTCHANGE(B798,"2018-12-31","2019-12-30","1")</f>
        <v>36.517857139999997</v>
      </c>
      <c r="H798" s="11">
        <f>[1]!EM_S_FA_YOY_OR(B798,E798)</f>
        <v>18.2556134704</v>
      </c>
      <c r="I798" s="11">
        <f>[1]!EM_S_FA_GROSSPROFITMARGIN(B798,E798)</f>
        <v>37.3961164997</v>
      </c>
      <c r="J798" s="11">
        <f>[1]!EM_S_FA_NETPROFITMARGIN(B798,E798)</f>
        <v>9.4109153805000005</v>
      </c>
      <c r="K798" s="10">
        <f>[1]!EM_S_FA_ASSETSTURN(B798,E798)</f>
        <v>0.88602281738300004</v>
      </c>
      <c r="L798" s="12">
        <f>[1]!EM_HKS_VAL_MV(B798,"2019-12-31","2")</f>
        <v>3468179000</v>
      </c>
      <c r="M798">
        <f>[1]!EM_S_VAL_PETTMDEDUCTED(B798,E798)</f>
        <v>25.980597990392098</v>
      </c>
      <c r="N798" s="7">
        <f>[1]!EM_S_VAL_PBGOODWILLDEDUCTED(B798,E798)</f>
        <v>3.0571220164753399</v>
      </c>
      <c r="O798" s="7">
        <f>[1]!EM_S_VAL_PS_TTM(B798,E798)</f>
        <v>2.3676846606042501</v>
      </c>
      <c r="P798" s="7">
        <f>[1]!EM_S_VAL_PCF_NCFTTM(B798,E798)</f>
        <v>-32.6892580876561</v>
      </c>
      <c r="Q798" s="7">
        <f>[1]!EM_S_VAL_DIVIDENDYIELD2(B798,E798,"2019-11-29")</f>
        <v>1.0546953719590402</v>
      </c>
      <c r="T798"/>
      <c r="U798">
        <f>[1]!EM_S_RATIO_EPS_TTM(B798,E798,"1")</f>
        <v>0.45060402196327648</v>
      </c>
      <c r="AT798" s="4" t="str">
        <f>[1]!EM_S_IPO_LISTEDDATE(B798)</f>
        <v>2017-06-16</v>
      </c>
    </row>
    <row r="799" spans="1:46">
      <c r="A799">
        <v>3185</v>
      </c>
      <c r="B799" t="str">
        <f>"601958"</f>
        <v>601958</v>
      </c>
      <c r="C799" t="s">
        <v>2677</v>
      </c>
      <c r="D799" t="str">
        <f>[1]!EM_S_INFO_INDEX_EM(B799,"1")</f>
        <v>有色金属</v>
      </c>
      <c r="E799" s="4">
        <f t="shared" si="12"/>
        <v>43465</v>
      </c>
      <c r="F799" s="11">
        <f>[1]!EM_S_PQ_PCTCHANGE(B799,"2018-01-01","2019-12-31","3")</f>
        <v>13.774440869999999</v>
      </c>
      <c r="G799" s="11">
        <f>[1]!EM_S_PQ_PCTCHANGE(B799,"2018-12-31","2019-12-30","1")</f>
        <v>36.486486489999997</v>
      </c>
      <c r="H799" s="11">
        <f>[1]!EM_S_FA_YOY_OR(B799,E799)</f>
        <v>-13.9879352983</v>
      </c>
      <c r="I799" s="11">
        <f>[1]!EM_S_FA_GROSSPROFITMARGIN(B799,E799)</f>
        <v>18.375092140100001</v>
      </c>
      <c r="J799" s="11">
        <f>[1]!EM_S_FA_NETPROFITMARGIN(B799,E799)</f>
        <v>5.2090292314999997</v>
      </c>
      <c r="K799" s="10">
        <f>[1]!EM_S_FA_ASSETSTURN(B799,E799)</f>
        <v>0.55726461671299998</v>
      </c>
      <c r="L799" s="12">
        <f>[1]!EM_HKS_VAL_MV(B799,"2019-12-31","2")</f>
        <v>25845101244</v>
      </c>
      <c r="M799">
        <f>[1]!EM_S_VAL_PETTMDEDUCTED(B799,E799)</f>
        <v>82.406301229401905</v>
      </c>
      <c r="N799" s="7">
        <f>[1]!EM_S_VAL_PBGOODWILLDEDUCTED(B799,E799)</f>
        <v>1.4664184270874601</v>
      </c>
      <c r="O799" s="7">
        <f>[1]!EM_S_VAL_PS_TTM(B799,E799)</f>
        <v>2.2322470668985201</v>
      </c>
      <c r="P799" s="7">
        <f>[1]!EM_S_VAL_PCF_NCFTTM(B799,E799)</f>
        <v>27.193902304764901</v>
      </c>
      <c r="Q799" s="7">
        <f>[1]!EM_S_VAL_DIVIDENDYIELD2(B799,E799,"2019-11-29")</f>
        <v>1.392757660167131</v>
      </c>
      <c r="T799"/>
      <c r="U799">
        <f>[1]!EM_S_RATIO_EPS_TTM(B799,E799,"1")</f>
        <v>0.11819308687175904</v>
      </c>
      <c r="AT799" s="4" t="str">
        <f>[1]!EM_S_IPO_LISTEDDATE(B799)</f>
        <v>2008-04-17</v>
      </c>
    </row>
    <row r="800" spans="1:46">
      <c r="A800">
        <v>1990</v>
      </c>
      <c r="B800" t="str">
        <f>"300568"</f>
        <v>300568</v>
      </c>
      <c r="C800" t="s">
        <v>154</v>
      </c>
      <c r="D800" t="str">
        <f>[1]!EM_S_INFO_INDEX_EM(B800,"1")</f>
        <v>有色金属</v>
      </c>
      <c r="E800" s="4">
        <f t="shared" si="12"/>
        <v>43465</v>
      </c>
      <c r="F800" s="11">
        <f>[1]!EM_S_PQ_PCTCHANGE(B800,"2018-01-01","2019-12-31","3")</f>
        <v>14.90758035</v>
      </c>
      <c r="G800" s="11">
        <f>[1]!EM_S_PQ_PCTCHANGE(B800,"2018-12-31","2019-12-30","1")</f>
        <v>36.4578639</v>
      </c>
      <c r="H800" s="11">
        <f>[1]!EM_S_FA_YOY_OR(B800,E800)</f>
        <v>11.9191790452</v>
      </c>
      <c r="I800" s="11">
        <f>[1]!EM_S_FA_GROSSPROFITMARGIN(B800,E800)</f>
        <v>48.253509552300002</v>
      </c>
      <c r="J800" s="11">
        <f>[1]!EM_S_FA_NETPROFITMARGIN(B800,E800)</f>
        <v>34.732266259299998</v>
      </c>
      <c r="K800" s="10">
        <f>[1]!EM_S_FA_ASSETSTURN(B800,E800)</f>
        <v>0.19638413669999999</v>
      </c>
      <c r="L800" s="12">
        <f>[1]!EM_HKS_VAL_MV(B800,"2019-12-31","2")</f>
        <v>6960600938.0100002</v>
      </c>
      <c r="M800">
        <f>[1]!EM_S_VAL_PETTMDEDUCTED(B800,E800)</f>
        <v>42.997866943074101</v>
      </c>
      <c r="N800" s="7">
        <f>[1]!EM_S_VAL_PBGOODWILLDEDUCTED(B800,E800)</f>
        <v>2.97799309764966</v>
      </c>
      <c r="O800" s="7">
        <f>[1]!EM_S_VAL_PS_TTM(B800,E800)</f>
        <v>7.6352103159122899</v>
      </c>
      <c r="P800" s="7">
        <f>[1]!EM_S_VAL_PCF_NCFTTM(B800,E800)</f>
        <v>-12.6182628913144</v>
      </c>
      <c r="Q800" s="7">
        <f>[1]!EM_S_VAL_DIVIDENDYIELD2(B800,E800,"2019-11-29")</f>
        <v>0.67311552981143496</v>
      </c>
      <c r="T800"/>
      <c r="U800">
        <f>[1]!EM_S_RATIO_EPS_TTM(B800,E800,"1")</f>
        <v>1.157029131717594</v>
      </c>
      <c r="AT800" s="4" t="str">
        <f>[1]!EM_S_IPO_LISTEDDATE(B800)</f>
        <v>2016-12-01</v>
      </c>
    </row>
    <row r="801" spans="1:46">
      <c r="A801">
        <v>1431</v>
      </c>
      <c r="B801" t="str">
        <f>"300005"</f>
        <v>300005</v>
      </c>
      <c r="C801" t="s">
        <v>2353</v>
      </c>
      <c r="D801" t="str">
        <f>[1]!EM_S_INFO_INDEX_EM(B801,"1")</f>
        <v>纺织服装</v>
      </c>
      <c r="E801" s="4">
        <f t="shared" si="12"/>
        <v>43465</v>
      </c>
      <c r="F801" s="11">
        <f>[1]!EM_S_PQ_PCTCHANGE(B801,"2018-01-01","2019-12-31","3")</f>
        <v>-19.489981790000002</v>
      </c>
      <c r="G801" s="11">
        <f>[1]!EM_S_PQ_PCTCHANGE(B801,"2018-12-31","2019-12-30","1")</f>
        <v>36.391437310000001</v>
      </c>
      <c r="H801" s="11">
        <f>[1]!EM_S_FA_YOY_OR(B801,E801)</f>
        <v>-34.344361262100001</v>
      </c>
      <c r="I801" s="11">
        <f>[1]!EM_S_FA_GROSSPROFITMARGIN(B801,E801)</f>
        <v>28.949365317000002</v>
      </c>
      <c r="J801" s="11">
        <f>[1]!EM_S_FA_NETPROFITMARGIN(B801,E801)</f>
        <v>-11.3851305329</v>
      </c>
      <c r="K801" s="10">
        <f>[1]!EM_S_FA_ASSETSTURN(B801,E801)</f>
        <v>0.65505925768200002</v>
      </c>
      <c r="L801" s="12">
        <f>[1]!EM_HKS_VAL_MV(B801,"2019-12-31","2")</f>
        <v>3939519055.6799998</v>
      </c>
      <c r="M801">
        <f>[1]!EM_S_VAL_PETTMDEDUCTED(B801,E801)</f>
        <v>-12.3692163468753</v>
      </c>
      <c r="N801" s="7">
        <f>[1]!EM_S_VAL_PBGOODWILLDEDUCTED(B801,E801)</f>
        <v>1.2490105362061701</v>
      </c>
      <c r="O801" s="7">
        <f>[1]!EM_S_VAL_PS_TTM(B801,E801)</f>
        <v>1.2560408084317101</v>
      </c>
      <c r="P801" s="7">
        <f>[1]!EM_S_VAL_PCF_NCFTTM(B801,E801)</f>
        <v>7.3847852725686298</v>
      </c>
      <c r="Q801" s="7">
        <f>[1]!EM_S_VAL_DIVIDENDYIELD2(B801,E801,"2019-11-29")</f>
        <v>0</v>
      </c>
      <c r="T801"/>
      <c r="U801">
        <f>[1]!EM_S_RATIO_EPS_TTM(B801,E801,"1")</f>
        <v>-0.2041107345664063</v>
      </c>
      <c r="AT801" s="4" t="str">
        <f>[1]!EM_S_IPO_LISTEDDATE(B801)</f>
        <v>2009-10-30</v>
      </c>
    </row>
    <row r="802" spans="1:46">
      <c r="A802">
        <v>2967</v>
      </c>
      <c r="B802" t="str">
        <f>"600894"</f>
        <v>600894</v>
      </c>
      <c r="C802" t="s">
        <v>2849</v>
      </c>
      <c r="D802" t="str">
        <f>[1]!EM_S_INFO_INDEX_EM(B802,"1")</f>
        <v>机械设备</v>
      </c>
      <c r="E802" s="4">
        <f t="shared" si="12"/>
        <v>43465</v>
      </c>
      <c r="F802" s="11">
        <f>[1]!EM_S_PQ_PCTCHANGE(B802,"2018-01-01","2019-12-31","3")</f>
        <v>-17.139929850000001</v>
      </c>
      <c r="G802" s="11">
        <f>[1]!EM_S_PQ_PCTCHANGE(B802,"2018-12-31","2019-12-30","1")</f>
        <v>36.330275229999998</v>
      </c>
      <c r="H802" s="11">
        <f>[1]!EM_S_FA_YOY_OR(B802,E802)</f>
        <v>13.6052428961</v>
      </c>
      <c r="I802" s="11">
        <f>[1]!EM_S_FA_GROSSPROFITMARGIN(B802,E802)</f>
        <v>14.6345502889</v>
      </c>
      <c r="J802" s="11">
        <f>[1]!EM_S_FA_NETPROFITMARGIN(B802,E802)</f>
        <v>2.5219473447</v>
      </c>
      <c r="K802" s="10">
        <f>[1]!EM_S_FA_ASSETSTURN(B802,E802)</f>
        <v>0.57878799565799999</v>
      </c>
      <c r="L802" s="12">
        <f>[1]!EM_HKS_VAL_MV(B802,"2019-12-31","2")</f>
        <v>6458201181.4499998</v>
      </c>
      <c r="M802">
        <f>[1]!EM_S_VAL_PETTMDEDUCTED(B802,E802)</f>
        <v>21.661844830788699</v>
      </c>
      <c r="N802" s="7">
        <f>[1]!EM_S_VAL_PBGOODWILLDEDUCTED(B802,E802)</f>
        <v>0.67472657284473903</v>
      </c>
      <c r="O802" s="7">
        <f>[1]!EM_S_VAL_PS_TTM(B802,E802)</f>
        <v>0.87525560589255302</v>
      </c>
      <c r="P802" s="7">
        <f>[1]!EM_S_VAL_PCF_NCFTTM(B802,E802)</f>
        <v>23.499779672901902</v>
      </c>
      <c r="Q802" s="7">
        <f>[1]!EM_S_VAL_DIVIDENDYIELD2(B802,E802,"2019-11-29")</f>
        <v>0.708215297450425</v>
      </c>
      <c r="T802"/>
      <c r="U802">
        <f>[1]!EM_S_RATIO_EPS_TTM(B802,E802,"1")</f>
        <v>0.15589742929416589</v>
      </c>
      <c r="AT802" s="4" t="str">
        <f>[1]!EM_S_IPO_LISTEDDATE(B802)</f>
        <v>1996-03-28</v>
      </c>
    </row>
    <row r="803" spans="1:46">
      <c r="A803">
        <v>3271</v>
      </c>
      <c r="B803" t="str">
        <f>"603108"</f>
        <v>603108</v>
      </c>
      <c r="C803" t="s">
        <v>1083</v>
      </c>
      <c r="D803" t="str">
        <f>[1]!EM_S_INFO_INDEX_EM(B803,"1")</f>
        <v>医药生物</v>
      </c>
      <c r="E803" s="4">
        <f t="shared" si="12"/>
        <v>43465</v>
      </c>
      <c r="F803" s="11">
        <f>[1]!EM_S_PQ_PCTCHANGE(B803,"2018-01-01","2019-12-31","3")</f>
        <v>-17.757039639999999</v>
      </c>
      <c r="G803" s="11">
        <f>[1]!EM_S_PQ_PCTCHANGE(B803,"2018-12-31","2019-12-30","1")</f>
        <v>36.300417250000002</v>
      </c>
      <c r="H803" s="11">
        <f>[1]!EM_S_FA_YOY_OR(B803,E803)</f>
        <v>38.101454859500002</v>
      </c>
      <c r="I803" s="11">
        <f>[1]!EM_S_FA_GROSSPROFITMARGIN(B803,E803)</f>
        <v>27.511181775699999</v>
      </c>
      <c r="J803" s="11">
        <f>[1]!EM_S_FA_NETPROFITMARGIN(B803,E803)</f>
        <v>7.2438321934000003</v>
      </c>
      <c r="K803" s="10">
        <f>[1]!EM_S_FA_ASSETSTURN(B803,E803)</f>
        <v>0.813227499518</v>
      </c>
      <c r="L803" s="12">
        <f>[1]!EM_HKS_VAL_MV(B803,"2019-12-31","2")</f>
        <v>5760568745.2600002</v>
      </c>
      <c r="M803">
        <f>[1]!EM_S_VAL_PETTMDEDUCTED(B803,E803)</f>
        <v>13.971713103816899</v>
      </c>
      <c r="N803" s="7">
        <f>[1]!EM_S_VAL_PBGOODWILLDEDUCTED(B803,E803)</f>
        <v>4.9032697161941101</v>
      </c>
      <c r="O803" s="7">
        <f>[1]!EM_S_VAL_PS_TTM(B803,E803)</f>
        <v>0.72737307697102904</v>
      </c>
      <c r="P803" s="7">
        <f>[1]!EM_S_VAL_PCF_NCFTTM(B803,E803)</f>
        <v>-15.2225181530284</v>
      </c>
      <c r="Q803" s="7">
        <f>[1]!EM_S_VAL_DIVIDENDYIELD2(B803,E803,"2019-11-29")</f>
        <v>0.94246031746031755</v>
      </c>
      <c r="T803"/>
      <c r="U803">
        <f>[1]!EM_S_RATIO_EPS_TTM(B803,E803,"1")</f>
        <v>0.45200757941967379</v>
      </c>
      <c r="AT803" s="4" t="str">
        <f>[1]!EM_S_IPO_LISTEDDATE(B803)</f>
        <v>2015-05-27</v>
      </c>
    </row>
    <row r="804" spans="1:46">
      <c r="A804">
        <v>2474</v>
      </c>
      <c r="B804" t="str">
        <f>"600354"</f>
        <v>600354</v>
      </c>
      <c r="C804" t="s">
        <v>3610</v>
      </c>
      <c r="D804" t="str">
        <f>[1]!EM_S_INFO_INDEX_EM(B804,"1")</f>
        <v>农林牧渔</v>
      </c>
      <c r="E804" s="4">
        <f t="shared" si="12"/>
        <v>43465</v>
      </c>
      <c r="F804" s="11">
        <f>[1]!EM_S_PQ_PCTCHANGE(B804,"2018-01-01","2019-12-31","3")</f>
        <v>-29.195088680000001</v>
      </c>
      <c r="G804" s="11">
        <f>[1]!EM_S_PQ_PCTCHANGE(B804,"2018-12-31","2019-12-30","1")</f>
        <v>36.164383559999997</v>
      </c>
      <c r="H804" s="11">
        <f>[1]!EM_S_FA_YOY_OR(B804,E804)</f>
        <v>58.182823180500002</v>
      </c>
      <c r="I804" s="11">
        <f>[1]!EM_S_FA_GROSSPROFITMARGIN(B804,E804)</f>
        <v>11.2136982507</v>
      </c>
      <c r="J804" s="11">
        <f>[1]!EM_S_FA_NETPROFITMARGIN(B804,E804)</f>
        <v>-34.4948743972</v>
      </c>
      <c r="K804" s="10">
        <f>[1]!EM_S_FA_ASSETSTURN(B804,E804)</f>
        <v>0.31374465478199998</v>
      </c>
      <c r="L804" s="12">
        <f>[1]!EM_HKS_VAL_MV(B804,"2019-12-31","2")</f>
        <v>2739292795.1999998</v>
      </c>
      <c r="M804">
        <f>[1]!EM_S_VAL_PETTMDEDUCTED(B804,E804)</f>
        <v>-8.01894611504148</v>
      </c>
      <c r="N804" s="7">
        <f>[1]!EM_S_VAL_PBGOODWILLDEDUCTED(B804,E804)</f>
        <v>2.7592014603897699</v>
      </c>
      <c r="O804" s="7">
        <f>[1]!EM_S_VAL_PS_TTM(B804,E804)</f>
        <v>2.9665253315469902</v>
      </c>
      <c r="P804" s="7">
        <f>[1]!EM_S_VAL_PCF_NCFTTM(B804,E804)</f>
        <v>169.33521742467201</v>
      </c>
      <c r="Q804" s="7">
        <f>[1]!EM_S_VAL_DIVIDENDYIELD2(B804,E804,"2019-11-29")</f>
        <v>0</v>
      </c>
      <c r="T804"/>
      <c r="U804">
        <f>[1]!EM_S_RATIO_EPS_TTM(B804,E804,"1")</f>
        <v>-0.41223249876165702</v>
      </c>
      <c r="AT804" s="4" t="str">
        <f>[1]!EM_S_IPO_LISTEDDATE(B804)</f>
        <v>2004-01-15</v>
      </c>
    </row>
    <row r="805" spans="1:46">
      <c r="A805">
        <v>656</v>
      </c>
      <c r="B805" t="str">
        <f>"002145"</f>
        <v>002145</v>
      </c>
      <c r="C805" t="s">
        <v>1062</v>
      </c>
      <c r="D805" t="str">
        <f>[1]!EM_S_INFO_INDEX_EM(B805,"1")</f>
        <v>基础化工</v>
      </c>
      <c r="E805" s="4">
        <f t="shared" si="12"/>
        <v>43465</v>
      </c>
      <c r="F805" s="11">
        <f>[1]!EM_S_PQ_PCTCHANGE(B805,"2018-01-01","2019-12-31","3")</f>
        <v>-26.37782855</v>
      </c>
      <c r="G805" s="11">
        <f>[1]!EM_S_PQ_PCTCHANGE(B805,"2018-12-31","2019-12-30","1")</f>
        <v>36.024844719999997</v>
      </c>
      <c r="H805" s="11">
        <f>[1]!EM_S_FA_YOY_OR(B805,E805)</f>
        <v>-5.1443949444000001</v>
      </c>
      <c r="I805" s="11">
        <f>[1]!EM_S_FA_GROSSPROFITMARGIN(B805,E805)</f>
        <v>29.7276430607</v>
      </c>
      <c r="J805" s="11">
        <f>[1]!EM_S_FA_NETPROFITMARGIN(B805,E805)</f>
        <v>13.0481978619</v>
      </c>
      <c r="K805" s="10">
        <f>[1]!EM_S_FA_ASSETSTURN(B805,E805)</f>
        <v>0.55310277911299999</v>
      </c>
      <c r="L805" s="12">
        <f>[1]!EM_HKS_VAL_MV(B805,"2019-12-31","2")</f>
        <v>6953743167.1199999</v>
      </c>
      <c r="M805">
        <f>[1]!EM_S_VAL_PETTMDEDUCTED(B805,E805)</f>
        <v>12.7220703152495</v>
      </c>
      <c r="N805" s="7">
        <f>[1]!EM_S_VAL_PBGOODWILLDEDUCTED(B805,E805)</f>
        <v>1.8330056040384</v>
      </c>
      <c r="O805" s="7">
        <f>[1]!EM_S_VAL_PS_TTM(B805,E805)</f>
        <v>1.66221949650373</v>
      </c>
      <c r="P805" s="7">
        <f>[1]!EM_S_VAL_PCF_NCFTTM(B805,E805)</f>
        <v>-29.3832549014266</v>
      </c>
      <c r="Q805" s="7">
        <f>[1]!EM_S_VAL_DIVIDENDYIELD2(B805,E805,"2019-11-29")</f>
        <v>0.47619047619047622</v>
      </c>
      <c r="T805"/>
      <c r="U805">
        <f>[1]!EM_S_RATIO_EPS_TTM(B805,E805,"1")</f>
        <v>0.25328806421768801</v>
      </c>
      <c r="AT805" s="4" t="str">
        <f>[1]!EM_S_IPO_LISTEDDATE(B805)</f>
        <v>2007-08-03</v>
      </c>
    </row>
    <row r="806" spans="1:46">
      <c r="A806">
        <v>140</v>
      </c>
      <c r="B806" t="str">
        <f>"000531"</f>
        <v>000531</v>
      </c>
      <c r="C806" t="s">
        <v>2952</v>
      </c>
      <c r="D806" t="str">
        <f>[1]!EM_S_INFO_INDEX_EM(B806,"1")</f>
        <v>公用事业</v>
      </c>
      <c r="E806" s="4">
        <f t="shared" si="12"/>
        <v>43465</v>
      </c>
      <c r="F806" s="11">
        <f>[1]!EM_S_PQ_PCTCHANGE(B806,"2018-01-01","2019-12-31","3")</f>
        <v>-9.1026787599999999</v>
      </c>
      <c r="G806" s="11">
        <f>[1]!EM_S_PQ_PCTCHANGE(B806,"2018-12-31","2019-12-30","1")</f>
        <v>35.770750990000003</v>
      </c>
      <c r="H806" s="11">
        <f>[1]!EM_S_FA_YOY_OR(B806,E806)</f>
        <v>5.1779852039999996</v>
      </c>
      <c r="I806" s="11">
        <f>[1]!EM_S_FA_GROSSPROFITMARGIN(B806,E806)</f>
        <v>18.209031060800001</v>
      </c>
      <c r="J806" s="11">
        <f>[1]!EM_S_FA_NETPROFITMARGIN(B806,E806)</f>
        <v>3.2848631957999999</v>
      </c>
      <c r="K806" s="10">
        <f>[1]!EM_S_FA_ASSETSTURN(B806,E806)</f>
        <v>0.31984753080799999</v>
      </c>
      <c r="L806" s="12">
        <f>[1]!EM_HKS_VAL_MV(B806,"2019-12-31","2")</f>
        <v>4706518973.3999996</v>
      </c>
      <c r="M806">
        <f>[1]!EM_S_VAL_PETTMDEDUCTED(B806,E806)</f>
        <v>34.270144500524403</v>
      </c>
      <c r="N806" s="7">
        <f>[1]!EM_S_VAL_PBGOODWILLDEDUCTED(B806,E806)</f>
        <v>0.88674779466864395</v>
      </c>
      <c r="O806" s="7">
        <f>[1]!EM_S_VAL_PS_TTM(B806,E806)</f>
        <v>1.1124332528679399</v>
      </c>
      <c r="P806" s="7">
        <f>[1]!EM_S_VAL_PCF_NCFTTM(B806,E806)</f>
        <v>7.4264743479015101</v>
      </c>
      <c r="Q806" s="7">
        <f>[1]!EM_S_VAL_DIVIDENDYIELD2(B806,E806,"2019-11-29")</f>
        <v>3.2507739938080502</v>
      </c>
      <c r="T806"/>
      <c r="U806">
        <f>[1]!EM_S_RATIO_EPS_TTM(B806,E806,"1")</f>
        <v>0.1196069925239112</v>
      </c>
      <c r="AT806" s="4" t="str">
        <f>[1]!EM_S_IPO_LISTEDDATE(B806)</f>
        <v>1994-01-06</v>
      </c>
    </row>
    <row r="807" spans="1:46">
      <c r="A807">
        <v>1160</v>
      </c>
      <c r="B807" t="str">
        <f>"002649"</f>
        <v>002649</v>
      </c>
      <c r="C807" t="s">
        <v>1791</v>
      </c>
      <c r="D807" t="str">
        <f>[1]!EM_S_INFO_INDEX_EM(B807,"1")</f>
        <v>信息技术</v>
      </c>
      <c r="E807" s="4">
        <f t="shared" si="12"/>
        <v>43465</v>
      </c>
      <c r="F807" s="11">
        <f>[1]!EM_S_PQ_PCTCHANGE(B807,"2018-01-01","2019-12-31","3")</f>
        <v>-18.689080180000001</v>
      </c>
      <c r="G807" s="11">
        <f>[1]!EM_S_PQ_PCTCHANGE(B807,"2018-12-31","2019-12-30","1")</f>
        <v>35.74351978</v>
      </c>
      <c r="H807" s="11">
        <f>[1]!EM_S_FA_YOY_OR(B807,E807)</f>
        <v>28.103337424199999</v>
      </c>
      <c r="I807" s="11">
        <f>[1]!EM_S_FA_GROSSPROFITMARGIN(B807,E807)</f>
        <v>23.9896122211</v>
      </c>
      <c r="J807" s="11">
        <f>[1]!EM_S_FA_NETPROFITMARGIN(B807,E807)</f>
        <v>7.8177230902000003</v>
      </c>
      <c r="K807" s="10">
        <f>[1]!EM_S_FA_ASSETSTURN(B807,E807)</f>
        <v>0.92648972199699997</v>
      </c>
      <c r="L807" s="12">
        <f>[1]!EM_HKS_VAL_MV(B807,"2019-12-31","2")</f>
        <v>5209981361.2799997</v>
      </c>
      <c r="M807">
        <f>[1]!EM_S_VAL_PETTMDEDUCTED(B807,E807)</f>
        <v>21.567651247386401</v>
      </c>
      <c r="N807" s="7">
        <f>[1]!EM_S_VAL_PBGOODWILLDEDUCTED(B807,E807)</f>
        <v>2.0878059995025202</v>
      </c>
      <c r="O807" s="7">
        <f>[1]!EM_S_VAL_PS_TTM(B807,E807)</f>
        <v>1.4596794350928199</v>
      </c>
      <c r="P807" s="7">
        <f>[1]!EM_S_VAL_PCF_NCFTTM(B807,E807)</f>
        <v>43.184930635804399</v>
      </c>
      <c r="Q807" s="7">
        <f>[1]!EM_S_VAL_DIVIDENDYIELD2(B807,E807,"2019-11-29")</f>
        <v>0.98662128965219908</v>
      </c>
      <c r="T807"/>
      <c r="U807">
        <f>[1]!EM_S_RATIO_EPS_TTM(B807,E807,"1")</f>
        <v>0.42190857216638256</v>
      </c>
      <c r="AT807" s="4" t="str">
        <f>[1]!EM_S_IPO_LISTEDDATE(B807)</f>
        <v>2012-01-06</v>
      </c>
    </row>
    <row r="808" spans="1:46">
      <c r="A808">
        <v>1716</v>
      </c>
      <c r="B808" t="str">
        <f>"300291"</f>
        <v>300291</v>
      </c>
      <c r="C808" t="s">
        <v>3339</v>
      </c>
      <c r="D808" t="str">
        <f>[1]!EM_S_INFO_INDEX_EM(B808,"1")</f>
        <v>文化传媒</v>
      </c>
      <c r="E808" s="4">
        <f t="shared" si="12"/>
        <v>43465</v>
      </c>
      <c r="F808" s="11">
        <f>[1]!EM_S_PQ_PCTCHANGE(B808,"2018-01-01","2019-12-31","3")</f>
        <v>-46.524972640000001</v>
      </c>
      <c r="G808" s="11">
        <f>[1]!EM_S_PQ_PCTCHANGE(B808,"2018-12-31","2019-12-30","1")</f>
        <v>35.730337079999998</v>
      </c>
      <c r="H808" s="11">
        <f>[1]!EM_S_FA_YOY_OR(B808,E808)</f>
        <v>-71.991697662199996</v>
      </c>
      <c r="I808" s="11">
        <f>[1]!EM_S_FA_GROSSPROFITMARGIN(B808,E808)</f>
        <v>-19.683366991700002</v>
      </c>
      <c r="J808" s="11">
        <f>[1]!EM_S_FA_NETPROFITMARGIN(B808,E808)</f>
        <v>-543.12467502250001</v>
      </c>
      <c r="K808" s="10">
        <f>[1]!EM_S_FA_ASSETSTURN(B808,E808)</f>
        <v>0.118937857252</v>
      </c>
      <c r="L808" s="12">
        <f>[1]!EM_HKS_VAL_MV(B808,"2019-12-31","2")</f>
        <v>4937465503.04</v>
      </c>
      <c r="M808">
        <f>[1]!EM_S_VAL_PETTMDEDUCTED(B808,E808)</f>
        <v>-11.6501774621688</v>
      </c>
      <c r="N808" s="7">
        <f>[1]!EM_S_VAL_PBGOODWILLDEDUCTED(B808,E808)</f>
        <v>1.22200912935799</v>
      </c>
      <c r="O808" s="7">
        <f>[1]!EM_S_VAL_PS_TTM(B808,E808)</f>
        <v>3.00035958797619</v>
      </c>
      <c r="P808" s="7">
        <f>[1]!EM_S_VAL_PCF_NCFTTM(B808,E808)</f>
        <v>-11.911142049631</v>
      </c>
      <c r="Q808" s="7">
        <f>[1]!EM_S_VAL_DIVIDENDYIELD2(B808,E808,"2019-11-29")</f>
        <v>0</v>
      </c>
      <c r="T808"/>
      <c r="U808">
        <f>[1]!EM_S_RATIO_EPS_TTM(B808,E808,"1")</f>
        <v>-4.2063119096659456</v>
      </c>
      <c r="AT808" s="4" t="str">
        <f>[1]!EM_S_IPO_LISTEDDATE(B808)</f>
        <v>2012-02-09</v>
      </c>
    </row>
    <row r="809" spans="1:46">
      <c r="A809">
        <v>1199</v>
      </c>
      <c r="B809" t="str">
        <f>"002688"</f>
        <v>002688</v>
      </c>
      <c r="C809" t="s">
        <v>1373</v>
      </c>
      <c r="D809" t="str">
        <f>[1]!EM_S_INFO_INDEX_EM(B809,"1")</f>
        <v>农林牧渔</v>
      </c>
      <c r="E809" s="4">
        <f t="shared" si="12"/>
        <v>43465</v>
      </c>
      <c r="F809" s="11">
        <f>[1]!EM_S_PQ_PCTCHANGE(B809,"2018-01-01","2019-12-31","3")</f>
        <v>5.49245407</v>
      </c>
      <c r="G809" s="11">
        <f>[1]!EM_S_PQ_PCTCHANGE(B809,"2018-12-31","2019-12-30","1")</f>
        <v>35.650224219999998</v>
      </c>
      <c r="H809" s="11">
        <f>[1]!EM_S_FA_YOY_OR(B809,E809)</f>
        <v>11.734164176</v>
      </c>
      <c r="I809" s="11">
        <f>[1]!EM_S_FA_GROSSPROFITMARGIN(B809,E809)</f>
        <v>37.837283543600002</v>
      </c>
      <c r="J809" s="11">
        <f>[1]!EM_S_FA_NETPROFITMARGIN(B809,E809)</f>
        <v>10.092978328999999</v>
      </c>
      <c r="K809" s="10">
        <f>[1]!EM_S_FA_ASSETSTURN(B809,E809)</f>
        <v>0.51749683233099997</v>
      </c>
      <c r="L809" s="12">
        <f>[1]!EM_HKS_VAL_MV(B809,"2019-12-31","2")</f>
        <v>3995971929.9499998</v>
      </c>
      <c r="M809">
        <f>[1]!EM_S_VAL_PETTMDEDUCTED(B809,E809)</f>
        <v>21.234552236593</v>
      </c>
      <c r="N809" s="7">
        <f>[1]!EM_S_VAL_PBGOODWILLDEDUCTED(B809,E809)</f>
        <v>2.13577001931196</v>
      </c>
      <c r="O809" s="7">
        <f>[1]!EM_S_VAL_PS_TTM(B809,E809)</f>
        <v>1.76704581926064</v>
      </c>
      <c r="P809" s="7">
        <f>[1]!EM_S_VAL_PCF_NCFTTM(B809,E809)</f>
        <v>80.2613987534628</v>
      </c>
      <c r="Q809" s="7">
        <f>[1]!EM_S_VAL_DIVIDENDYIELD2(B809,E809,"2019-11-29")</f>
        <v>4.7801147227533463</v>
      </c>
      <c r="T809"/>
      <c r="U809">
        <f>[1]!EM_S_RATIO_EPS_TTM(B809,E809,"1")</f>
        <v>0.25756578927764845</v>
      </c>
      <c r="AT809" s="4" t="str">
        <f>[1]!EM_S_IPO_LISTEDDATE(B809)</f>
        <v>2012-07-13</v>
      </c>
    </row>
    <row r="810" spans="1:46">
      <c r="A810">
        <v>2724</v>
      </c>
      <c r="B810" t="str">
        <f>"600651"</f>
        <v>600651</v>
      </c>
      <c r="C810" t="s">
        <v>3628</v>
      </c>
      <c r="D810" t="str">
        <f>[1]!EM_S_INFO_INDEX_EM(B810,"1")</f>
        <v>家电</v>
      </c>
      <c r="E810" s="4">
        <f t="shared" si="12"/>
        <v>43465</v>
      </c>
      <c r="F810" s="11">
        <f>[1]!EM_S_PQ_PCTCHANGE(B810,"2018-01-01","2019-12-31","3")</f>
        <v>-51.441738129999997</v>
      </c>
      <c r="G810" s="11">
        <f>[1]!EM_S_PQ_PCTCHANGE(B810,"2018-12-31","2019-12-30","1")</f>
        <v>35.603715170000001</v>
      </c>
      <c r="H810" s="11">
        <f>[1]!EM_S_FA_YOY_OR(B810,E810)</f>
        <v>-39.352844015400002</v>
      </c>
      <c r="I810" s="11">
        <f>[1]!EM_S_FA_GROSSPROFITMARGIN(B810,E810)</f>
        <v>27.366304381500001</v>
      </c>
      <c r="J810" s="11">
        <f>[1]!EM_S_FA_NETPROFITMARGIN(B810,E810)</f>
        <v>-100.85049417419999</v>
      </c>
      <c r="K810" s="10">
        <f>[1]!EM_S_FA_ASSETSTURN(B810,E810)</f>
        <v>0.23893874642999999</v>
      </c>
      <c r="L810" s="12">
        <f>[1]!EM_HKS_VAL_MV(B810,"2019-12-31","2")</f>
        <v>4354672408.8400002</v>
      </c>
      <c r="M810">
        <f>[1]!EM_S_VAL_PETTMDEDUCTED(B810,E810)</f>
        <v>-3.2478731459691099</v>
      </c>
      <c r="N810" s="7">
        <f>[1]!EM_S_VAL_PBGOODWILLDEDUCTED(B810,E810)</f>
        <v>67.585406587006901</v>
      </c>
      <c r="O810" s="7">
        <f>[1]!EM_S_VAL_PS_TTM(B810,E810)</f>
        <v>0.90214188791322403</v>
      </c>
      <c r="P810" s="7">
        <f>[1]!EM_S_VAL_PCF_NCFTTM(B810,E810)</f>
        <v>-835.60770278213397</v>
      </c>
      <c r="Q810" s="7">
        <f>[1]!EM_S_VAL_DIVIDENDYIELD2(B810,E810,"2019-11-29")</f>
        <v>0</v>
      </c>
      <c r="T810"/>
      <c r="U810">
        <f>[1]!EM_S_RATIO_EPS_TTM(B810,E810,"1")</f>
        <v>-3.3318629492928893</v>
      </c>
      <c r="AT810" s="4" t="str">
        <f>[1]!EM_S_IPO_LISTEDDATE(B810)</f>
        <v>1990-12-19</v>
      </c>
    </row>
    <row r="811" spans="1:46">
      <c r="A811">
        <v>2985</v>
      </c>
      <c r="B811" t="str">
        <f>"600958"</f>
        <v>600958</v>
      </c>
      <c r="C811" t="s">
        <v>2398</v>
      </c>
      <c r="D811" t="str">
        <f>[1]!EM_S_INFO_INDEX_EM(B811,"1")</f>
        <v>金融</v>
      </c>
      <c r="E811" s="4">
        <f t="shared" si="12"/>
        <v>43465</v>
      </c>
      <c r="F811" s="11">
        <f>[1]!EM_S_PQ_PCTCHANGE(B811,"2018-01-01","2019-12-31","3")</f>
        <v>-19.84157196</v>
      </c>
      <c r="G811" s="11">
        <f>[1]!EM_S_PQ_PCTCHANGE(B811,"2018-12-31","2019-12-30","1")</f>
        <v>35.50815558</v>
      </c>
      <c r="H811" s="11">
        <f>[1]!EM_S_FA_YOY_OR(B811,E811)</f>
        <v>-2.1651254474999999</v>
      </c>
      <c r="I811" s="11">
        <f>[1]!EM_S_FA_GROSSPROFITMARGIN(B811,E811)</f>
        <v>0</v>
      </c>
      <c r="J811" s="11">
        <f>[1]!EM_S_FA_NETPROFITMARGIN(B811,E811)</f>
        <v>12.4280907819</v>
      </c>
      <c r="K811" s="10">
        <f>[1]!EM_S_FA_ASSETSTURN(B811,E811)</f>
        <v>0</v>
      </c>
      <c r="L811" s="12">
        <f>[1]!EM_HKS_VAL_MV(B811,"2019-12-31","2")</f>
        <v>75251736440.279999</v>
      </c>
      <c r="M811">
        <f>[1]!EM_S_VAL_PETTMDEDUCTED(B811,E811)</f>
        <v>31.483574162864901</v>
      </c>
      <c r="N811" s="7">
        <f>[1]!EM_S_VAL_PBGOODWILLDEDUCTED(B811,E811)</f>
        <v>1.07797912421096</v>
      </c>
      <c r="O811" s="7">
        <f>[1]!EM_S_VAL_PS_TTM(B811,E811)</f>
        <v>5.5529117112934596</v>
      </c>
      <c r="P811" s="7">
        <f>[1]!EM_S_VAL_PCF_NCFTTM(B811,E811)</f>
        <v>23.600325802914998</v>
      </c>
      <c r="Q811" s="7">
        <f>[1]!EM_S_VAL_DIVIDENDYIELD2(B811,E811,"2019-11-29")</f>
        <v>1.0288065843621399</v>
      </c>
      <c r="T811"/>
      <c r="U811">
        <f>[1]!EM_S_RATIO_EPS_TTM(B811,E811,"1")</f>
        <v>0.17601855790242699</v>
      </c>
      <c r="AT811" s="4" t="str">
        <f>[1]!EM_S_IPO_LISTEDDATE(B811)</f>
        <v>2015-03-23</v>
      </c>
    </row>
    <row r="812" spans="1:46">
      <c r="A812">
        <v>297</v>
      </c>
      <c r="B812" t="str">
        <f>"000716"</f>
        <v>000716</v>
      </c>
      <c r="C812" t="s">
        <v>2695</v>
      </c>
      <c r="D812" t="str">
        <f>[1]!EM_S_INFO_INDEX_EM(B812,"1")</f>
        <v>食品饮料</v>
      </c>
      <c r="E812" s="4">
        <f t="shared" si="12"/>
        <v>43465</v>
      </c>
      <c r="F812" s="11">
        <f>[1]!EM_S_PQ_PCTCHANGE(B812,"2018-01-01","2019-12-31","3")</f>
        <v>-24.215726740000001</v>
      </c>
      <c r="G812" s="11">
        <f>[1]!EM_S_PQ_PCTCHANGE(B812,"2018-12-31","2019-12-30","1")</f>
        <v>35.483870969999998</v>
      </c>
      <c r="H812" s="11">
        <f>[1]!EM_S_FA_YOY_OR(B812,E812)</f>
        <v>43.027336419599997</v>
      </c>
      <c r="I812" s="11">
        <f>[1]!EM_S_FA_GROSSPROFITMARGIN(B812,E812)</f>
        <v>20.5695340049</v>
      </c>
      <c r="J812" s="11">
        <f>[1]!EM_S_FA_NETPROFITMARGIN(B812,E812)</f>
        <v>0.61065726220000005</v>
      </c>
      <c r="K812" s="10">
        <f>[1]!EM_S_FA_ASSETSTURN(B812,E812)</f>
        <v>0.75899268555400001</v>
      </c>
      <c r="L812" s="12">
        <f>[1]!EM_HKS_VAL_MV(B812,"2019-12-31","2")</f>
        <v>3105006964.8000002</v>
      </c>
      <c r="M812">
        <f>[1]!EM_S_VAL_PETTMDEDUCTED(B812,E812)</f>
        <v>70.471860664506295</v>
      </c>
      <c r="N812" s="7">
        <f>[1]!EM_S_VAL_PBGOODWILLDEDUCTED(B812,E812)</f>
        <v>0.95803487795944897</v>
      </c>
      <c r="O812" s="7">
        <f>[1]!EM_S_VAL_PS_TTM(B812,E812)</f>
        <v>0.58517378698855704</v>
      </c>
      <c r="P812" s="7">
        <f>[1]!EM_S_VAL_PCF_NCFTTM(B812,E812)</f>
        <v>-18.6686269812988</v>
      </c>
      <c r="Q812" s="7">
        <f>[1]!EM_S_VAL_DIVIDENDYIELD2(B812,E812,"2019-11-29")</f>
        <v>0</v>
      </c>
      <c r="T812"/>
      <c r="U812">
        <f>[1]!EM_S_RATIO_EPS_TTM(B812,E812,"1")</f>
        <v>8.0269672768368147E-2</v>
      </c>
      <c r="AT812" s="4" t="str">
        <f>[1]!EM_S_IPO_LISTEDDATE(B812)</f>
        <v>1997-04-18</v>
      </c>
    </row>
    <row r="813" spans="1:46">
      <c r="A813">
        <v>3029</v>
      </c>
      <c r="B813" t="str">
        <f>"601009"</f>
        <v>601009</v>
      </c>
      <c r="C813" t="s">
        <v>288</v>
      </c>
      <c r="D813" t="str">
        <f>[1]!EM_S_INFO_INDEX_EM(B813,"1")</f>
        <v>金融</v>
      </c>
      <c r="E813" s="4">
        <f t="shared" si="12"/>
        <v>43465</v>
      </c>
      <c r="F813" s="11">
        <f>[1]!EM_S_PQ_PCTCHANGE(B813,"2018-01-01","2019-12-31","3")</f>
        <v>24.12447345</v>
      </c>
      <c r="G813" s="11">
        <f>[1]!EM_S_PQ_PCTCHANGE(B813,"2018-12-31","2019-12-30","1")</f>
        <v>35.448916410000002</v>
      </c>
      <c r="H813" s="11">
        <f>[1]!EM_S_FA_YOY_OR(B813,E813)</f>
        <v>10.333943308</v>
      </c>
      <c r="I813" s="11">
        <f>[1]!EM_S_FA_GROSSPROFITMARGIN(B813,E813)</f>
        <v>0</v>
      </c>
      <c r="J813" s="11">
        <f>[1]!EM_S_FA_NETPROFITMARGIN(B813,E813)</f>
        <v>40.822814116799996</v>
      </c>
      <c r="K813" s="10">
        <f>[1]!EM_S_FA_ASSETSTURN(B813,E813)</f>
        <v>0</v>
      </c>
      <c r="L813" s="12">
        <f>[1]!EM_HKS_VAL_MV(B813,"2019-12-31","2")</f>
        <v>74388963493.479996</v>
      </c>
      <c r="M813">
        <f>[1]!EM_S_VAL_PETTMDEDUCTED(B813,E813)</f>
        <v>5.0643145663585702</v>
      </c>
      <c r="N813" s="7">
        <f>[1]!EM_S_VAL_PBGOODWILLDEDUCTED(B813,E813)</f>
        <v>0.80630938001582897</v>
      </c>
      <c r="O813" s="7">
        <f>[1]!EM_S_VAL_PS_TTM(B813,E813)</f>
        <v>2.0706203808455799</v>
      </c>
      <c r="P813" s="7">
        <f>[1]!EM_S_VAL_PCF_NCFTTM(B813,E813)</f>
        <v>-14.595133200324501</v>
      </c>
      <c r="Q813" s="7">
        <f>[1]!EM_S_VAL_DIVIDENDYIELD2(B813,E813,"2019-11-29")</f>
        <v>4.7400241837968569</v>
      </c>
      <c r="T813"/>
      <c r="U813">
        <f>[1]!EM_S_RATIO_EPS_TTM(B813,E813,"1")</f>
        <v>1.3054279144313039</v>
      </c>
      <c r="AT813" s="4" t="str">
        <f>[1]!EM_S_IPO_LISTEDDATE(B813)</f>
        <v>2007-07-19</v>
      </c>
    </row>
    <row r="814" spans="1:46">
      <c r="A814">
        <v>1102</v>
      </c>
      <c r="B814" t="str">
        <f>"002591"</f>
        <v>002591</v>
      </c>
      <c r="C814" t="s">
        <v>2631</v>
      </c>
      <c r="D814" t="str">
        <f>[1]!EM_S_INFO_INDEX_EM(B814,"1")</f>
        <v>文化传媒</v>
      </c>
      <c r="E814" s="4">
        <f t="shared" si="12"/>
        <v>43465</v>
      </c>
      <c r="F814" s="11">
        <f>[1]!EM_S_PQ_PCTCHANGE(B814,"2018-01-01","2019-12-31","3")</f>
        <v>-5.0272259100000003</v>
      </c>
      <c r="G814" s="11">
        <f>[1]!EM_S_PQ_PCTCHANGE(B814,"2018-12-31","2019-12-30","1")</f>
        <v>35.441176470000002</v>
      </c>
      <c r="H814" s="11">
        <f>[1]!EM_S_FA_YOY_OR(B814,E814)</f>
        <v>29.323018986800001</v>
      </c>
      <c r="I814" s="11">
        <f>[1]!EM_S_FA_GROSSPROFITMARGIN(B814,E814)</f>
        <v>49.651356723100001</v>
      </c>
      <c r="J814" s="11">
        <f>[1]!EM_S_FA_NETPROFITMARGIN(B814,E814)</f>
        <v>9.1347702004000002</v>
      </c>
      <c r="K814" s="10">
        <f>[1]!EM_S_FA_ASSETSTURN(B814,E814)</f>
        <v>0.22607779505700001</v>
      </c>
      <c r="L814" s="12">
        <f>[1]!EM_HKS_VAL_MV(B814,"2019-12-31","2")</f>
        <v>2809582762.4400001</v>
      </c>
      <c r="M814">
        <f>[1]!EM_S_VAL_PETTMDEDUCTED(B814,E814)</f>
        <v>127.47647801630799</v>
      </c>
      <c r="N814" s="7">
        <f>[1]!EM_S_VAL_PBGOODWILLDEDUCTED(B814,E814)</f>
        <v>3.0723278675994798</v>
      </c>
      <c r="O814" s="7">
        <f>[1]!EM_S_VAL_PS_TTM(B814,E814)</f>
        <v>6.46382607828148</v>
      </c>
      <c r="P814" s="7">
        <f>[1]!EM_S_VAL_PCF_NCFTTM(B814,E814)</f>
        <v>-69.785310558029295</v>
      </c>
      <c r="Q814" s="7">
        <f>[1]!EM_S_VAL_DIVIDENDYIELD2(B814,E814,"2019-11-29")</f>
        <v>0</v>
      </c>
      <c r="T814"/>
      <c r="U814">
        <f>[1]!EM_S_RATIO_EPS_TTM(B814,E814,"1")</f>
        <v>0.11377216449912646</v>
      </c>
      <c r="AT814" s="4" t="str">
        <f>[1]!EM_S_IPO_LISTEDDATE(B814)</f>
        <v>2011-06-21</v>
      </c>
    </row>
    <row r="815" spans="1:46">
      <c r="A815">
        <v>2510</v>
      </c>
      <c r="B815" t="str">
        <f>"600393"</f>
        <v>600393</v>
      </c>
      <c r="C815" t="s">
        <v>959</v>
      </c>
      <c r="D815" t="str">
        <f>[1]!EM_S_INFO_INDEX_EM(B815,"1")</f>
        <v>房地产</v>
      </c>
      <c r="E815" s="4">
        <f t="shared" si="12"/>
        <v>43465</v>
      </c>
      <c r="F815" s="11">
        <f>[1]!EM_S_PQ_PCTCHANGE(B815,"2018-01-01","2019-12-31","3")</f>
        <v>-55.47118227</v>
      </c>
      <c r="G815" s="11">
        <f>[1]!EM_S_PQ_PCTCHANGE(B815,"2018-12-31","2019-12-30","1")</f>
        <v>35.377358489999999</v>
      </c>
      <c r="H815" s="11">
        <f>[1]!EM_S_FA_YOY_OR(B815,E815)</f>
        <v>-41.515755336300003</v>
      </c>
      <c r="I815" s="11">
        <f>[1]!EM_S_FA_GROSSPROFITMARGIN(B815,E815)</f>
        <v>31.1282826984</v>
      </c>
      <c r="J815" s="11">
        <f>[1]!EM_S_FA_NETPROFITMARGIN(B815,E815)</f>
        <v>7.4421739103000002</v>
      </c>
      <c r="K815" s="10">
        <f>[1]!EM_S_FA_ASSETSTURN(B815,E815)</f>
        <v>0.17005180466399999</v>
      </c>
      <c r="L815" s="12">
        <f>[1]!EM_HKS_VAL_MV(B815,"2019-12-31","2")</f>
        <v>6847869249</v>
      </c>
      <c r="M815">
        <f>[1]!EM_S_VAL_PETTMDEDUCTED(B815,E815)</f>
        <v>18.350010817901602</v>
      </c>
      <c r="N815" s="7">
        <f>[1]!EM_S_VAL_PBGOODWILLDEDUCTED(B815,E815)</f>
        <v>0.918238367777515</v>
      </c>
      <c r="O815" s="7">
        <f>[1]!EM_S_VAL_PS_TTM(B815,E815)</f>
        <v>1.75552495673775</v>
      </c>
      <c r="P815" s="7">
        <f>[1]!EM_S_VAL_PCF_NCFTTM(B815,E815)</f>
        <v>74.788712313086407</v>
      </c>
      <c r="Q815" s="7">
        <f>[1]!EM_S_VAL_DIVIDENDYIELD2(B815,E815,"2019-11-29")</f>
        <v>0</v>
      </c>
      <c r="T815"/>
      <c r="U815">
        <f>[1]!EM_S_RATIO_EPS_TTM(B815,E815,"1")</f>
        <v>0.11432947816334688</v>
      </c>
      <c r="AT815" s="4" t="str">
        <f>[1]!EM_S_IPO_LISTEDDATE(B815)</f>
        <v>2001-03-19</v>
      </c>
    </row>
    <row r="816" spans="1:46">
      <c r="A816">
        <v>2933</v>
      </c>
      <c r="B816" t="str">
        <f>"600860"</f>
        <v>600860</v>
      </c>
      <c r="C816" t="s">
        <v>3593</v>
      </c>
      <c r="D816" t="str">
        <f>[1]!EM_S_INFO_INDEX_EM(B816,"1")</f>
        <v>机械设备</v>
      </c>
      <c r="E816" s="4">
        <f t="shared" si="12"/>
        <v>43465</v>
      </c>
      <c r="F816" s="11">
        <f>[1]!EM_S_PQ_PCTCHANGE(B816,"2018-01-01","2019-12-31","3")</f>
        <v>-12.663755460000001</v>
      </c>
      <c r="G816" s="11">
        <f>[1]!EM_S_PQ_PCTCHANGE(B816,"2018-12-31","2019-12-30","1")</f>
        <v>35.346756149999997</v>
      </c>
      <c r="H816" s="11">
        <f>[1]!EM_S_FA_YOY_OR(B816,E816)</f>
        <v>-6.8078864285999998</v>
      </c>
      <c r="I816" s="11">
        <f>[1]!EM_S_FA_GROSSPROFITMARGIN(B816,E816)</f>
        <v>9.3437920786999999</v>
      </c>
      <c r="J816" s="11">
        <f>[1]!EM_S_FA_NETPROFITMARGIN(B816,E816)</f>
        <v>-11.826752842799999</v>
      </c>
      <c r="K816" s="10">
        <f>[1]!EM_S_FA_ASSETSTURN(B816,E816)</f>
        <v>0.60616120292099995</v>
      </c>
      <c r="L816" s="12">
        <f>[1]!EM_HKS_VAL_MV(B816,"2019-12-31","2")</f>
        <v>2532000000</v>
      </c>
      <c r="M816">
        <f>[1]!EM_S_VAL_PETTMDEDUCTED(B816,E816)</f>
        <v>-43.417345528663901</v>
      </c>
      <c r="N816" s="7">
        <f>[1]!EM_S_VAL_PBGOODWILLDEDUCTED(B816,E816)</f>
        <v>4.0403421033794702</v>
      </c>
      <c r="O816" s="7">
        <f>[1]!EM_S_VAL_PS_TTM(B816,E816)</f>
        <v>1.68663229753902</v>
      </c>
      <c r="P816" s="7">
        <f>[1]!EM_S_VAL_PCF_NCFTTM(B816,E816)</f>
        <v>43.303555013215998</v>
      </c>
      <c r="Q816" s="7">
        <f>[1]!EM_S_VAL_DIVIDENDYIELD2(B816,E816,"2019-11-29")</f>
        <v>0</v>
      </c>
      <c r="T816"/>
      <c r="U816">
        <f>[1]!EM_S_RATIO_EPS_TTM(B816,E816,"1")</f>
        <v>-0.22259752440758293</v>
      </c>
      <c r="AT816" s="4" t="str">
        <f>[1]!EM_S_IPO_LISTEDDATE(B816)</f>
        <v>1994-05-06</v>
      </c>
    </row>
    <row r="817" spans="1:46">
      <c r="A817">
        <v>2928</v>
      </c>
      <c r="B817" t="str">
        <f>"600855"</f>
        <v>600855</v>
      </c>
      <c r="C817" t="s">
        <v>3540</v>
      </c>
      <c r="D817" t="str">
        <f>[1]!EM_S_INFO_INDEX_EM(B817,"1")</f>
        <v>信息技术</v>
      </c>
      <c r="E817" s="4">
        <f t="shared" si="12"/>
        <v>43465</v>
      </c>
      <c r="F817" s="11">
        <f>[1]!EM_S_PQ_PCTCHANGE(B817,"2018-01-01","2019-12-31","3")</f>
        <v>-16.65599903</v>
      </c>
      <c r="G817" s="11">
        <f>[1]!EM_S_PQ_PCTCHANGE(B817,"2018-12-31","2019-12-30","1")</f>
        <v>35.326688820000001</v>
      </c>
      <c r="H817" s="11">
        <f>[1]!EM_S_FA_YOY_OR(B817,E817)</f>
        <v>40.306200447400002</v>
      </c>
      <c r="I817" s="11">
        <f>[1]!EM_S_FA_GROSSPROFITMARGIN(B817,E817)</f>
        <v>19.182461097800001</v>
      </c>
      <c r="J817" s="11">
        <f>[1]!EM_S_FA_NETPROFITMARGIN(B817,E817)</f>
        <v>5.3051218147999997</v>
      </c>
      <c r="K817" s="10">
        <f>[1]!EM_S_FA_ASSETSTURN(B817,E817)</f>
        <v>0.958517775668</v>
      </c>
      <c r="L817" s="12">
        <f>[1]!EM_HKS_VAL_MV(B817,"2019-12-31","2")</f>
        <v>5402574459.2299995</v>
      </c>
      <c r="M817">
        <f>[1]!EM_S_VAL_PETTMDEDUCTED(B817,E817)</f>
        <v>204.589115972879</v>
      </c>
      <c r="N817" s="7">
        <f>[1]!EM_S_VAL_PBGOODWILLDEDUCTED(B817,E817)</f>
        <v>3.0525403265975299</v>
      </c>
      <c r="O817" s="7">
        <f>[1]!EM_S_VAL_PS_TTM(B817,E817)</f>
        <v>1.8569947800639</v>
      </c>
      <c r="P817" s="7">
        <f>[1]!EM_S_VAL_PCF_NCFTTM(B817,E817)</f>
        <v>-70.420178957091593</v>
      </c>
      <c r="Q817" s="7">
        <f>[1]!EM_S_VAL_DIVIDENDYIELD2(B817,E817,"2019-11-29")</f>
        <v>0.54918609321756429</v>
      </c>
      <c r="T817"/>
      <c r="U817">
        <f>[1]!EM_S_RATIO_EPS_TTM(B817,E817,"1")</f>
        <v>0.2155384082752739</v>
      </c>
      <c r="AT817" s="4" t="str">
        <f>[1]!EM_S_IPO_LISTEDDATE(B817)</f>
        <v>1994-04-25</v>
      </c>
    </row>
    <row r="818" spans="1:46">
      <c r="A818">
        <v>2662</v>
      </c>
      <c r="B818" t="str">
        <f>"600589"</f>
        <v>600589</v>
      </c>
      <c r="C818" t="s">
        <v>2166</v>
      </c>
      <c r="D818" t="str">
        <f>[1]!EM_S_INFO_INDEX_EM(B818,"1")</f>
        <v>基础化工</v>
      </c>
      <c r="E818" s="4">
        <f t="shared" si="12"/>
        <v>43465</v>
      </c>
      <c r="F818" s="11">
        <f>[1]!EM_S_PQ_PCTCHANGE(B818,"2018-01-01","2019-12-31","3")</f>
        <v>-8.7392137099999996</v>
      </c>
      <c r="G818" s="11">
        <f>[1]!EM_S_PQ_PCTCHANGE(B818,"2018-12-31","2019-12-30","1")</f>
        <v>35.294117649999997</v>
      </c>
      <c r="H818" s="11">
        <f>[1]!EM_S_FA_YOY_OR(B818,E818)</f>
        <v>3.4522097801</v>
      </c>
      <c r="I818" s="11">
        <f>[1]!EM_S_FA_GROSSPROFITMARGIN(B818,E818)</f>
        <v>26.7643281452</v>
      </c>
      <c r="J818" s="11">
        <f>[1]!EM_S_FA_NETPROFITMARGIN(B818,E818)</f>
        <v>9.0338626786000003</v>
      </c>
      <c r="K818" s="10">
        <f>[1]!EM_S_FA_ASSETSTURN(B818,E818)</f>
        <v>0.30157386851599999</v>
      </c>
      <c r="L818" s="12">
        <f>[1]!EM_HKS_VAL_MV(B818,"2019-12-31","2")</f>
        <v>3829941048.6399999</v>
      </c>
      <c r="M818">
        <f>[1]!EM_S_VAL_PETTMDEDUCTED(B818,E818)</f>
        <v>20.607238730132401</v>
      </c>
      <c r="N818" s="7">
        <f>[1]!EM_S_VAL_PBGOODWILLDEDUCTED(B818,E818)</f>
        <v>1.34892528013586</v>
      </c>
      <c r="O818" s="7">
        <f>[1]!EM_S_VAL_PS_TTM(B818,E818)</f>
        <v>1.6165197071770601</v>
      </c>
      <c r="P818" s="7">
        <f>[1]!EM_S_VAL_PCF_NCFTTM(B818,E818)</f>
        <v>-3.1933513605749599</v>
      </c>
      <c r="Q818" s="7">
        <f>[1]!EM_S_VAL_DIVIDENDYIELD2(B818,E818,"2019-11-29")</f>
        <v>0.43462365031806299</v>
      </c>
      <c r="T818"/>
      <c r="U818">
        <f>[1]!EM_S_RATIO_EPS_TTM(B818,E818,"1")</f>
        <v>0.21789565885497408</v>
      </c>
      <c r="AT818" s="4" t="str">
        <f>[1]!EM_S_IPO_LISTEDDATE(B818)</f>
        <v>2001-06-12</v>
      </c>
    </row>
    <row r="819" spans="1:46">
      <c r="A819">
        <v>3581</v>
      </c>
      <c r="B819" t="str">
        <f>"603883"</f>
        <v>603883</v>
      </c>
      <c r="C819" t="s">
        <v>391</v>
      </c>
      <c r="D819" t="str">
        <f>[1]!EM_S_INFO_INDEX_EM(B819,"1")</f>
        <v>医药生物</v>
      </c>
      <c r="E819" s="4">
        <f t="shared" si="12"/>
        <v>43465</v>
      </c>
      <c r="F819" s="11">
        <f>[1]!EM_S_PQ_PCTCHANGE(B819,"2018-01-01","2019-12-31","3")</f>
        <v>3.8883301100000001</v>
      </c>
      <c r="G819" s="11">
        <f>[1]!EM_S_PQ_PCTCHANGE(B819,"2018-12-31","2019-12-30","1")</f>
        <v>35.246769749999999</v>
      </c>
      <c r="H819" s="11">
        <f>[1]!EM_S_FA_YOY_OR(B819,E819)</f>
        <v>26.257078333900001</v>
      </c>
      <c r="I819" s="11">
        <f>[1]!EM_S_FA_GROSSPROFITMARGIN(B819,E819)</f>
        <v>35.207256394700003</v>
      </c>
      <c r="J819" s="11">
        <f>[1]!EM_S_FA_NETPROFITMARGIN(B819,E819)</f>
        <v>5.3215032998999998</v>
      </c>
      <c r="K819" s="10">
        <f>[1]!EM_S_FA_ASSETSTURN(B819,E819)</f>
        <v>1.2475365984639999</v>
      </c>
      <c r="L819" s="12">
        <f>[1]!EM_HKS_VAL_MV(B819,"2019-12-31","2")</f>
        <v>18370924426.799999</v>
      </c>
      <c r="M819">
        <f>[1]!EM_S_VAL_PETTMDEDUCTED(B819,E819)</f>
        <v>34.1953932188338</v>
      </c>
      <c r="N819" s="7">
        <f>[1]!EM_S_VAL_PBGOODWILLDEDUCTED(B819,E819)</f>
        <v>12.705987578112</v>
      </c>
      <c r="O819" s="7">
        <f>[1]!EM_S_VAL_PS_TTM(B819,E819)</f>
        <v>1.4922704289092401</v>
      </c>
      <c r="P819" s="7">
        <f>[1]!EM_S_VAL_PCF_NCFTTM(B819,E819)</f>
        <v>-179.25049229097499</v>
      </c>
      <c r="Q819" s="7">
        <f>[1]!EM_S_VAL_DIVIDENDYIELD2(B819,E819,"2019-11-29")</f>
        <v>0.73066020529572273</v>
      </c>
      <c r="T819"/>
      <c r="U819">
        <f>[1]!EM_S_RATIO_EPS_TTM(B819,E819,"1")</f>
        <v>1.5267378963930567</v>
      </c>
      <c r="AT819" s="4" t="str">
        <f>[1]!EM_S_IPO_LISTEDDATE(B819)</f>
        <v>2015-04-23</v>
      </c>
    </row>
    <row r="820" spans="1:46">
      <c r="A820">
        <v>835</v>
      </c>
      <c r="B820" t="str">
        <f>"002324"</f>
        <v>002324</v>
      </c>
      <c r="C820" t="s">
        <v>1337</v>
      </c>
      <c r="D820" t="str">
        <f>[1]!EM_S_INFO_INDEX_EM(B820,"1")</f>
        <v>基础化工</v>
      </c>
      <c r="E820" s="4">
        <f t="shared" si="12"/>
        <v>43465</v>
      </c>
      <c r="F820" s="11">
        <f>[1]!EM_S_PQ_PCTCHANGE(B820,"2018-01-01","2019-12-31","3")</f>
        <v>12.518314950000001</v>
      </c>
      <c r="G820" s="11">
        <f>[1]!EM_S_PQ_PCTCHANGE(B820,"2018-12-31","2019-12-30","1")</f>
        <v>35.135135140000003</v>
      </c>
      <c r="H820" s="11">
        <f>[1]!EM_S_FA_YOY_OR(B820,E820)</f>
        <v>7.8892736618999999</v>
      </c>
      <c r="I820" s="11">
        <f>[1]!EM_S_FA_GROSSPROFITMARGIN(B820,E820)</f>
        <v>16.681488332200001</v>
      </c>
      <c r="J820" s="11">
        <f>[1]!EM_S_FA_NETPROFITMARGIN(B820,E820)</f>
        <v>1.9324527462000001</v>
      </c>
      <c r="K820" s="10">
        <f>[1]!EM_S_FA_ASSETSTURN(B820,E820)</f>
        <v>0.94531761047200003</v>
      </c>
      <c r="L820" s="12">
        <f>[1]!EM_HKS_VAL_MV(B820,"2019-12-31","2")</f>
        <v>7087873072.9399996</v>
      </c>
      <c r="M820">
        <f>[1]!EM_S_VAL_PETTMDEDUCTED(B820,E820)</f>
        <v>41.605635030115302</v>
      </c>
      <c r="N820" s="7">
        <f>[1]!EM_S_VAL_PBGOODWILLDEDUCTED(B820,E820)</f>
        <v>2.0164372378956399</v>
      </c>
      <c r="O820" s="7">
        <f>[1]!EM_S_VAL_PS_TTM(B820,E820)</f>
        <v>1.1015296589041601</v>
      </c>
      <c r="P820" s="7">
        <f>[1]!EM_S_VAL_PCF_NCFTTM(B820,E820)</f>
        <v>59.935791504660997</v>
      </c>
      <c r="Q820" s="7">
        <f>[1]!EM_S_VAL_DIVIDENDYIELD2(B820,E820,"2019-11-29")</f>
        <v>1.2066365009826094</v>
      </c>
      <c r="T820"/>
      <c r="U820">
        <f>[1]!EM_S_RATIO_EPS_TTM(B820,E820,"1")</f>
        <v>0.17800613132533954</v>
      </c>
      <c r="AT820" s="4" t="str">
        <f>[1]!EM_S_IPO_LISTEDDATE(B820)</f>
        <v>2009-12-18</v>
      </c>
    </row>
    <row r="821" spans="1:46">
      <c r="A821">
        <v>3298</v>
      </c>
      <c r="B821" t="str">
        <f>"603169"</f>
        <v>603169</v>
      </c>
      <c r="C821" t="s">
        <v>3472</v>
      </c>
      <c r="D821" t="str">
        <f>[1]!EM_S_INFO_INDEX_EM(B821,"1")</f>
        <v>机械设备</v>
      </c>
      <c r="E821" s="4">
        <f t="shared" si="12"/>
        <v>43465</v>
      </c>
      <c r="F821" s="11">
        <f>[1]!EM_S_PQ_PCTCHANGE(B821,"2018-01-01","2019-12-31","3")</f>
        <v>-30.393325390000001</v>
      </c>
      <c r="G821" s="11">
        <f>[1]!EM_S_PQ_PCTCHANGE(B821,"2018-12-31","2019-12-30","1")</f>
        <v>35.128805620000001</v>
      </c>
      <c r="H821" s="11">
        <f>[1]!EM_S_FA_YOY_OR(B821,E821)</f>
        <v>-14.6785456684</v>
      </c>
      <c r="I821" s="11">
        <f>[1]!EM_S_FA_GROSSPROFITMARGIN(B821,E821)</f>
        <v>-14.846208364300001</v>
      </c>
      <c r="J821" s="11">
        <f>[1]!EM_S_FA_NETPROFITMARGIN(B821,E821)</f>
        <v>-58.2804638502</v>
      </c>
      <c r="K821" s="10">
        <f>[1]!EM_S_FA_ASSETSTURN(B821,E821)</f>
        <v>0.22890728783799999</v>
      </c>
      <c r="L821" s="12">
        <f>[1]!EM_HKS_VAL_MV(B821,"2019-12-31","2")</f>
        <v>6140774751.8400002</v>
      </c>
      <c r="M821">
        <f>[1]!EM_S_VAL_PETTMDEDUCTED(B821,E821)</f>
        <v>-23.267166160844901</v>
      </c>
      <c r="N821" s="7">
        <f>[1]!EM_S_VAL_PBGOODWILLDEDUCTED(B821,E821)</f>
        <v>2.9723778081523702</v>
      </c>
      <c r="O821" s="7">
        <f>[1]!EM_S_VAL_PS_TTM(B821,E821)</f>
        <v>1.49469695112712</v>
      </c>
      <c r="P821" s="7">
        <f>[1]!EM_S_VAL_PCF_NCFTTM(B821,E821)</f>
        <v>-251.16000991363299</v>
      </c>
      <c r="Q821" s="7">
        <f>[1]!EM_S_VAL_DIVIDENDYIELD2(B821,E821,"2019-11-29")</f>
        <v>0</v>
      </c>
      <c r="T821"/>
      <c r="U821">
        <f>[1]!EM_S_RATIO_EPS_TTM(B821,E821,"1")</f>
        <v>-1.4367418682644231</v>
      </c>
      <c r="AT821" s="4" t="str">
        <f>[1]!EM_S_IPO_LISTEDDATE(B821)</f>
        <v>2014-10-09</v>
      </c>
    </row>
    <row r="822" spans="1:46">
      <c r="A822">
        <v>722</v>
      </c>
      <c r="B822" t="str">
        <f>"002211"</f>
        <v>002211</v>
      </c>
      <c r="C822" t="s">
        <v>2395</v>
      </c>
      <c r="D822" t="str">
        <f>[1]!EM_S_INFO_INDEX_EM(B822,"1")</f>
        <v>基础化工</v>
      </c>
      <c r="E822" s="4">
        <f t="shared" si="12"/>
        <v>43465</v>
      </c>
      <c r="F822" s="11">
        <f>[1]!EM_S_PQ_PCTCHANGE(B822,"2018-01-01","2019-12-31","3")</f>
        <v>-11.9047619</v>
      </c>
      <c r="G822" s="11">
        <f>[1]!EM_S_PQ_PCTCHANGE(B822,"2018-12-31","2019-12-30","1")</f>
        <v>35.106382979999999</v>
      </c>
      <c r="H822" s="11">
        <f>[1]!EM_S_FA_YOY_OR(B822,E822)</f>
        <v>14.2955483364</v>
      </c>
      <c r="I822" s="11">
        <f>[1]!EM_S_FA_GROSSPROFITMARGIN(B822,E822)</f>
        <v>9.2909551062000002</v>
      </c>
      <c r="J822" s="11">
        <f>[1]!EM_S_FA_NETPROFITMARGIN(B822,E822)</f>
        <v>1.1794855213</v>
      </c>
      <c r="K822" s="10">
        <f>[1]!EM_S_FA_ASSETSTURN(B822,E822)</f>
        <v>0.90927563237599995</v>
      </c>
      <c r="L822" s="12">
        <f>[1]!EM_HKS_VAL_MV(B822,"2019-12-31","2")</f>
        <v>2720272649.9099998</v>
      </c>
      <c r="M822">
        <f>[1]!EM_S_VAL_PETTMDEDUCTED(B822,E822)</f>
        <v>-1266.8771076898699</v>
      </c>
      <c r="N822" s="7">
        <f>[1]!EM_S_VAL_PBGOODWILLDEDUCTED(B822,E822)</f>
        <v>2.5586426883662798</v>
      </c>
      <c r="O822" s="7">
        <f>[1]!EM_S_VAL_PS_TTM(B822,E822)</f>
        <v>1.8353316437325899</v>
      </c>
      <c r="P822" s="7">
        <f>[1]!EM_S_VAL_PCF_NCFTTM(B822,E822)</f>
        <v>435.600302900337</v>
      </c>
      <c r="Q822" s="7">
        <f>[1]!EM_S_VAL_DIVIDENDYIELD2(B822,E822,"2019-11-29")</f>
        <v>0</v>
      </c>
      <c r="T822"/>
      <c r="U822">
        <f>[1]!EM_S_RATIO_EPS_TTM(B822,E822,"1")</f>
        <v>2.5741062506994178E-2</v>
      </c>
      <c r="AT822" s="4" t="str">
        <f>[1]!EM_S_IPO_LISTEDDATE(B822)</f>
        <v>2008-02-01</v>
      </c>
    </row>
    <row r="823" spans="1:46">
      <c r="A823">
        <v>2541</v>
      </c>
      <c r="B823" t="str">
        <f>"600439"</f>
        <v>600439</v>
      </c>
      <c r="C823" t="s">
        <v>1481</v>
      </c>
      <c r="D823" t="str">
        <f>[1]!EM_S_INFO_INDEX_EM(B823,"1")</f>
        <v>轻工制造</v>
      </c>
      <c r="E823" s="4">
        <f t="shared" si="12"/>
        <v>43465</v>
      </c>
      <c r="F823" s="11">
        <f>[1]!EM_S_PQ_PCTCHANGE(B823,"2018-01-01","2019-12-31","3")</f>
        <v>-34.042240970000002</v>
      </c>
      <c r="G823" s="11">
        <f>[1]!EM_S_PQ_PCTCHANGE(B823,"2018-12-31","2019-12-30","1")</f>
        <v>35.09433962</v>
      </c>
      <c r="H823" s="11">
        <f>[1]!EM_S_FA_YOY_OR(B823,E823)</f>
        <v>-3.3545861710999998</v>
      </c>
      <c r="I823" s="11">
        <f>[1]!EM_S_FA_GROSSPROFITMARGIN(B823,E823)</f>
        <v>34.853128839</v>
      </c>
      <c r="J823" s="11">
        <f>[1]!EM_S_FA_NETPROFITMARGIN(B823,E823)</f>
        <v>12.4094277398</v>
      </c>
      <c r="K823" s="10">
        <f>[1]!EM_S_FA_ASSETSTURN(B823,E823)</f>
        <v>0.40386977012800002</v>
      </c>
      <c r="L823" s="12">
        <f>[1]!EM_HKS_VAL_MV(B823,"2019-12-31","2")</f>
        <v>4063827729.5999999</v>
      </c>
      <c r="M823">
        <f>[1]!EM_S_VAL_PETTMDEDUCTED(B823,E823)</f>
        <v>12.341614082385201</v>
      </c>
      <c r="N823" s="7">
        <f>[1]!EM_S_VAL_PBGOODWILLDEDUCTED(B823,E823)</f>
        <v>1.0557051160211199</v>
      </c>
      <c r="O823" s="7">
        <f>[1]!EM_S_VAL_PS_TTM(B823,E823)</f>
        <v>1.54297376955454</v>
      </c>
      <c r="P823" s="7">
        <f>[1]!EM_S_VAL_PCF_NCFTTM(B823,E823)</f>
        <v>116.125142775363</v>
      </c>
      <c r="Q823" s="7">
        <f>[1]!EM_S_VAL_DIVIDENDYIELD2(B823,E823,"2019-11-29")</f>
        <v>1.5151515151515151</v>
      </c>
      <c r="T823"/>
      <c r="U823">
        <f>[1]!EM_S_RATIO_EPS_TTM(B823,E823,"1")</f>
        <v>0.20686122835643539</v>
      </c>
      <c r="AT823" s="4" t="str">
        <f>[1]!EM_S_IPO_LISTEDDATE(B823)</f>
        <v>2003-07-10</v>
      </c>
    </row>
    <row r="824" spans="1:46">
      <c r="A824">
        <v>3510</v>
      </c>
      <c r="B824" t="str">
        <f>"603712"</f>
        <v>603712</v>
      </c>
      <c r="C824" t="s">
        <v>2953</v>
      </c>
      <c r="D824" t="str">
        <f>[1]!EM_S_INFO_INDEX_EM(B824,"1")</f>
        <v>信息技术</v>
      </c>
      <c r="E824" s="4">
        <f t="shared" si="12"/>
        <v>43465</v>
      </c>
      <c r="F824" s="11">
        <f>[1]!EM_S_PQ_PCTCHANGE(B824,"2018-01-01","2019-12-31","3")</f>
        <v>433.21210726999999</v>
      </c>
      <c r="G824" s="11">
        <f>[1]!EM_S_PQ_PCTCHANGE(B824,"2018-12-31","2019-12-30","1")</f>
        <v>35.03649635</v>
      </c>
      <c r="H824" s="11">
        <f>[1]!EM_S_FA_YOY_OR(B824,E824)</f>
        <v>9.4489616634000004</v>
      </c>
      <c r="I824" s="11">
        <f>[1]!EM_S_FA_GROSSPROFITMARGIN(B824,E824)</f>
        <v>46.037595886699997</v>
      </c>
      <c r="J824" s="11">
        <f>[1]!EM_S_FA_NETPROFITMARGIN(B824,E824)</f>
        <v>13.836948765500001</v>
      </c>
      <c r="K824" s="10">
        <f>[1]!EM_S_FA_ASSETSTURN(B824,E824)</f>
        <v>0.38977073777600002</v>
      </c>
      <c r="L824" s="12">
        <f>[1]!EM_HKS_VAL_MV(B824,"2019-12-31","2")</f>
        <v>18666960000</v>
      </c>
      <c r="M824">
        <f>[1]!EM_S_VAL_PETTMDEDUCTED(B824,E824)</f>
        <v>74.782577346569596</v>
      </c>
      <c r="N824" s="7">
        <f>[1]!EM_S_VAL_PBGOODWILLDEDUCTED(B824,E824)</f>
        <v>6.1040050519260198</v>
      </c>
      <c r="O824" s="7">
        <f>[1]!EM_S_VAL_PS_TTM(B824,E824)</f>
        <v>9.0543776704711796</v>
      </c>
      <c r="P824" s="7">
        <f>[1]!EM_S_VAL_PCF_NCFTTM(B824,E824)</f>
        <v>122.251015926889</v>
      </c>
      <c r="Q824" s="7">
        <f>[1]!EM_S_VAL_DIVIDENDYIELD2(B824,E824,"2019-11-29")</f>
        <v>0.24319066147859922</v>
      </c>
      <c r="T824"/>
      <c r="U824">
        <f>[1]!EM_S_RATIO_EPS_TTM(B824,E824,"1")</f>
        <v>0.29135566494818654</v>
      </c>
      <c r="AT824" s="4" t="str">
        <f>[1]!EM_S_IPO_LISTEDDATE(B824)</f>
        <v>2018-02-26</v>
      </c>
    </row>
    <row r="825" spans="1:46">
      <c r="A825">
        <v>1630</v>
      </c>
      <c r="B825" t="str">
        <f>"300205"</f>
        <v>300205</v>
      </c>
      <c r="C825" t="s">
        <v>2384</v>
      </c>
      <c r="D825" t="str">
        <f>[1]!EM_S_INFO_INDEX_EM(B825,"1")</f>
        <v>信息技术</v>
      </c>
      <c r="E825" s="4">
        <f t="shared" si="12"/>
        <v>43465</v>
      </c>
      <c r="F825" s="11">
        <f>[1]!EM_S_PQ_PCTCHANGE(B825,"2018-01-01","2019-12-31","3")</f>
        <v>17.80669382</v>
      </c>
      <c r="G825" s="11">
        <f>[1]!EM_S_PQ_PCTCHANGE(B825,"2018-12-31","2019-12-30","1")</f>
        <v>35.012285009999999</v>
      </c>
      <c r="H825" s="11">
        <f>[1]!EM_S_FA_YOY_OR(B825,E825)</f>
        <v>23.806804302700002</v>
      </c>
      <c r="I825" s="11">
        <f>[1]!EM_S_FA_GROSSPROFITMARGIN(B825,E825)</f>
        <v>27.534675996600001</v>
      </c>
      <c r="J825" s="11">
        <f>[1]!EM_S_FA_NETPROFITMARGIN(B825,E825)</f>
        <v>4.7568272992000002</v>
      </c>
      <c r="K825" s="10">
        <f>[1]!EM_S_FA_ASSETSTURN(B825,E825)</f>
        <v>1.2193388398280001</v>
      </c>
      <c r="L825" s="12">
        <f>[1]!EM_HKS_VAL_MV(B825,"2019-12-31","2")</f>
        <v>4713413760</v>
      </c>
      <c r="M825">
        <f>[1]!EM_S_VAL_PETTMDEDUCTED(B825,E825)</f>
        <v>86.310599360248901</v>
      </c>
      <c r="N825" s="7">
        <f>[1]!EM_S_VAL_PBGOODWILLDEDUCTED(B825,E825)</f>
        <v>2.7992489733333601</v>
      </c>
      <c r="O825" s="7">
        <f>[1]!EM_S_VAL_PS_TTM(B825,E825)</f>
        <v>1.6597104760170001</v>
      </c>
      <c r="P825" s="7">
        <f>[1]!EM_S_VAL_PCF_NCFTTM(B825,E825)</f>
        <v>28.0967127293987</v>
      </c>
      <c r="Q825" s="7">
        <f>[1]!EM_S_VAL_DIVIDENDYIELD2(B825,E825,"2019-11-29")</f>
        <v>0.96618357487922701</v>
      </c>
      <c r="T825"/>
      <c r="U825">
        <f>[1]!EM_S_RATIO_EPS_TTM(B825,E825,"1")</f>
        <v>0.23490595529419425</v>
      </c>
      <c r="AT825" s="4" t="str">
        <f>[1]!EM_S_IPO_LISTEDDATE(B825)</f>
        <v>2011-04-21</v>
      </c>
    </row>
    <row r="826" spans="1:46">
      <c r="A826">
        <v>3459</v>
      </c>
      <c r="B826" t="str">
        <f>"603611"</f>
        <v>603611</v>
      </c>
      <c r="C826" t="s">
        <v>1090</v>
      </c>
      <c r="D826" t="str">
        <f>[1]!EM_S_INFO_INDEX_EM(B826,"1")</f>
        <v>机械设备</v>
      </c>
      <c r="E826" s="4">
        <f t="shared" si="12"/>
        <v>43465</v>
      </c>
      <c r="F826" s="11">
        <f>[1]!EM_S_PQ_PCTCHANGE(B826,"2018-01-01","2019-12-31","3")</f>
        <v>15.38049045</v>
      </c>
      <c r="G826" s="11">
        <f>[1]!EM_S_PQ_PCTCHANGE(B826,"2018-12-31","2019-12-30","1")</f>
        <v>34.77198697</v>
      </c>
      <c r="H826" s="11">
        <f>[1]!EM_S_FA_YOY_OR(B826,E826)</f>
        <v>20.429972388500001</v>
      </c>
      <c r="I826" s="11">
        <f>[1]!EM_S_FA_GROSSPROFITMARGIN(B826,E826)</f>
        <v>24.029595126299998</v>
      </c>
      <c r="J826" s="11">
        <f>[1]!EM_S_FA_NETPROFITMARGIN(B826,E826)</f>
        <v>7.8188057325999996</v>
      </c>
      <c r="K826" s="10">
        <f>[1]!EM_S_FA_ASSETSTURN(B826,E826)</f>
        <v>0.78538186476899996</v>
      </c>
      <c r="L826" s="12">
        <f>[1]!EM_HKS_VAL_MV(B826,"2019-12-31","2")</f>
        <v>4419692308.0799999</v>
      </c>
      <c r="M826">
        <f>[1]!EM_S_VAL_PETTMDEDUCTED(B826,E826)</f>
        <v>21.180589081631201</v>
      </c>
      <c r="N826" s="7">
        <f>[1]!EM_S_VAL_PBGOODWILLDEDUCTED(B826,E826)</f>
        <v>2.47126809607829</v>
      </c>
      <c r="O826" s="7">
        <f>[1]!EM_S_VAL_PS_TTM(B826,E826)</f>
        <v>1.36121782718801</v>
      </c>
      <c r="P826" s="7">
        <f>[1]!EM_S_VAL_PCF_NCFTTM(B826,E826)</f>
        <v>-157.03803856066301</v>
      </c>
      <c r="Q826" s="7">
        <f>[1]!EM_S_VAL_DIVIDENDYIELD2(B826,E826,"2019-11-29")</f>
        <v>3.0318887707482807</v>
      </c>
      <c r="T826"/>
      <c r="U826">
        <f>[1]!EM_S_RATIO_EPS_TTM(B826,E826,"1")</f>
        <v>0.70379460431272223</v>
      </c>
      <c r="AT826" s="4" t="str">
        <f>[1]!EM_S_IPO_LISTEDDATE(B826)</f>
        <v>2015-01-28</v>
      </c>
    </row>
    <row r="827" spans="1:46">
      <c r="A827">
        <v>2960</v>
      </c>
      <c r="B827" t="str">
        <f>"600887"</f>
        <v>600887</v>
      </c>
      <c r="C827" t="s">
        <v>122</v>
      </c>
      <c r="D827" t="str">
        <f>[1]!EM_S_INFO_INDEX_EM(B827,"1")</f>
        <v>食品饮料</v>
      </c>
      <c r="E827" s="4">
        <f t="shared" si="12"/>
        <v>43465</v>
      </c>
      <c r="F827" s="11">
        <f>[1]!EM_S_PQ_PCTCHANGE(B827,"2018-01-01","2019-12-31","3")</f>
        <v>0.74183489000000002</v>
      </c>
      <c r="G827" s="11">
        <f>[1]!EM_S_PQ_PCTCHANGE(B827,"2018-12-31","2019-12-30","1")</f>
        <v>34.746503500000003</v>
      </c>
      <c r="H827" s="11">
        <f>[1]!EM_S_FA_YOY_OR(B827,E827)</f>
        <v>16.919867791400002</v>
      </c>
      <c r="I827" s="11">
        <f>[1]!EM_S_FA_GROSSPROFITMARGIN(B827,E827)</f>
        <v>37.821879185699999</v>
      </c>
      <c r="J827" s="11">
        <f>[1]!EM_S_FA_NETPROFITMARGIN(B827,E827)</f>
        <v>8.1695253677000004</v>
      </c>
      <c r="K827" s="10">
        <f>[1]!EM_S_FA_ASSETSTURN(B827,E827)</f>
        <v>1.64185536472</v>
      </c>
      <c r="L827" s="12">
        <f>[1]!EM_HKS_VAL_MV(B827,"2019-12-31","2")</f>
        <v>188621961866.51999</v>
      </c>
      <c r="M827">
        <f>[1]!EM_S_VAL_PETTMDEDUCTED(B827,E827)</f>
        <v>25.502032944274902</v>
      </c>
      <c r="N827" s="7">
        <f>[1]!EM_S_VAL_PBGOODWILLDEDUCTED(B827,E827)</f>
        <v>4.9836241523363096</v>
      </c>
      <c r="O827" s="7">
        <f>[1]!EM_S_VAL_PS_TTM(B827,E827)</f>
        <v>1.8080840671480101</v>
      </c>
      <c r="P827" s="7">
        <f>[1]!EM_S_VAL_PCF_NCFTTM(B827,E827)</f>
        <v>-15.320518813294299</v>
      </c>
      <c r="Q827" s="7">
        <f>[1]!EM_S_VAL_DIVIDENDYIELD2(B827,E827,"2019-11-29")</f>
        <v>2.3988275389900453</v>
      </c>
      <c r="U827">
        <f>[1]!EM_S_RATIO_EPS_TTM(B827,E827,"1")</f>
        <v>1.0594956253211985</v>
      </c>
      <c r="AT827" s="4" t="str">
        <f>[1]!EM_S_IPO_LISTEDDATE(B827)</f>
        <v>1996-03-12</v>
      </c>
    </row>
    <row r="828" spans="1:46">
      <c r="A828">
        <v>3066</v>
      </c>
      <c r="B828" t="str">
        <f>"601163"</f>
        <v>601163</v>
      </c>
      <c r="C828" t="s">
        <v>2009</v>
      </c>
      <c r="D828" t="str">
        <f>[1]!EM_S_INFO_INDEX_EM(B828,"1")</f>
        <v>基础化工</v>
      </c>
      <c r="E828" s="4">
        <f t="shared" si="12"/>
        <v>43465</v>
      </c>
      <c r="F828" s="11">
        <f>[1]!EM_S_PQ_PCTCHANGE(B828,"2018-01-01","2019-12-31","3")</f>
        <v>-22.228626930000001</v>
      </c>
      <c r="G828" s="11">
        <f>[1]!EM_S_PQ_PCTCHANGE(B828,"2018-12-31","2019-12-30","1")</f>
        <v>34.739676840000001</v>
      </c>
      <c r="H828" s="11">
        <f>[1]!EM_S_FA_YOY_OR(B828,E828)</f>
        <v>-5.1730181394999999</v>
      </c>
      <c r="I828" s="11">
        <f>[1]!EM_S_FA_GROSSPROFITMARGIN(B828,E828)</f>
        <v>21.337387352099999</v>
      </c>
      <c r="J828" s="11">
        <f>[1]!EM_S_FA_NETPROFITMARGIN(B828,E828)</f>
        <v>6.4321087355</v>
      </c>
      <c r="K828" s="10">
        <f>[1]!EM_S_FA_ASSETSTURN(B828,E828)</f>
        <v>0.51600655014899999</v>
      </c>
      <c r="L828" s="12">
        <f>[1]!EM_HKS_VAL_MV(B828,"2019-12-31","2")</f>
        <v>12240000000</v>
      </c>
      <c r="M828">
        <f>[1]!EM_S_VAL_PETTMDEDUCTED(B828,E828)</f>
        <v>25.397509469996301</v>
      </c>
      <c r="N828" s="7">
        <f>[1]!EM_S_VAL_PBGOODWILLDEDUCTED(B828,E828)</f>
        <v>0.95091577868468902</v>
      </c>
      <c r="O828" s="7">
        <f>[1]!EM_S_VAL_PS_TTM(B828,E828)</f>
        <v>1.2006677680603</v>
      </c>
      <c r="P828" s="7">
        <f>[1]!EM_S_VAL_PCF_NCFTTM(B828,E828)</f>
        <v>-11.286260950149799</v>
      </c>
      <c r="Q828" s="7">
        <f>[1]!EM_S_VAL_DIVIDENDYIELD2(B828,E828,"2019-11-29")</f>
        <v>1.4245014245014245</v>
      </c>
      <c r="T828"/>
      <c r="U828">
        <f>[1]!EM_S_RATIO_EPS_TTM(B828,E828,"1")</f>
        <v>0.60380155023750004</v>
      </c>
      <c r="AT828" s="4" t="str">
        <f>[1]!EM_S_IPO_LISTEDDATE(B828)</f>
        <v>2016-09-09</v>
      </c>
    </row>
    <row r="829" spans="1:46">
      <c r="A829">
        <v>2829</v>
      </c>
      <c r="B829" t="str">
        <f>"600756"</f>
        <v>600756</v>
      </c>
      <c r="C829" t="s">
        <v>2290</v>
      </c>
      <c r="D829" t="str">
        <f>[1]!EM_S_INFO_INDEX_EM(B829,"1")</f>
        <v>信息技术</v>
      </c>
      <c r="E829" s="4">
        <f t="shared" si="12"/>
        <v>43465</v>
      </c>
      <c r="F829" s="11">
        <f>[1]!EM_S_PQ_PCTCHANGE(B829,"2018-01-01","2019-12-31","3")</f>
        <v>17.49856917</v>
      </c>
      <c r="G829" s="11">
        <f>[1]!EM_S_PQ_PCTCHANGE(B829,"2018-12-31","2019-12-30","1")</f>
        <v>34.728580770000001</v>
      </c>
      <c r="H829" s="11">
        <f>[1]!EM_S_FA_YOY_OR(B829,E829)</f>
        <v>-6.8827638611999999</v>
      </c>
      <c r="I829" s="11">
        <f>[1]!EM_S_FA_GROSSPROFITMARGIN(B829,E829)</f>
        <v>53.081241333400001</v>
      </c>
      <c r="J829" s="11">
        <f>[1]!EM_S_FA_NETPROFITMARGIN(B829,E829)</f>
        <v>25.887591243399999</v>
      </c>
      <c r="K829" s="10">
        <f>[1]!EM_S_FA_ASSETSTURN(B829,E829)</f>
        <v>0.40119233262699999</v>
      </c>
      <c r="L829" s="12">
        <f>[1]!EM_HKS_VAL_MV(B829,"2019-12-31","2")</f>
        <v>6702362212.04</v>
      </c>
      <c r="M829">
        <f>[1]!EM_S_VAL_PETTMDEDUCTED(B829,E829)</f>
        <v>27.061394422706101</v>
      </c>
      <c r="N829" s="7">
        <f>[1]!EM_S_VAL_PBGOODWILLDEDUCTED(B829,E829)</f>
        <v>2.0331279000428202</v>
      </c>
      <c r="O829" s="7">
        <f>[1]!EM_S_VAL_PS_TTM(B829,E829)</f>
        <v>4.0407660139941202</v>
      </c>
      <c r="P829" s="7">
        <f>[1]!EM_S_VAL_PCF_NCFTTM(B829,E829)</f>
        <v>-84.036812734951496</v>
      </c>
      <c r="Q829" s="7">
        <f>[1]!EM_S_VAL_DIVIDENDYIELD2(B829,E829,"2019-11-29")</f>
        <v>0.5710029791459782</v>
      </c>
      <c r="T829"/>
      <c r="U829">
        <f>[1]!EM_S_RATIO_EPS_TTM(B829,E829,"1")</f>
        <v>0.96879626688967846</v>
      </c>
      <c r="AT829" s="4" t="str">
        <f>[1]!EM_S_IPO_LISTEDDATE(B829)</f>
        <v>1996-09-23</v>
      </c>
    </row>
    <row r="830" spans="1:46">
      <c r="A830">
        <v>1180</v>
      </c>
      <c r="B830" t="str">
        <f>"002669"</f>
        <v>002669</v>
      </c>
      <c r="C830" t="s">
        <v>2606</v>
      </c>
      <c r="D830" t="str">
        <f>[1]!EM_S_INFO_INDEX_EM(B830,"1")</f>
        <v>基础化工</v>
      </c>
      <c r="E830" s="4">
        <f t="shared" si="12"/>
        <v>43465</v>
      </c>
      <c r="F830" s="11">
        <f>[1]!EM_S_PQ_PCTCHANGE(B830,"2018-01-01","2019-12-31","3")</f>
        <v>-40.091368760000002</v>
      </c>
      <c r="G830" s="11">
        <f>[1]!EM_S_PQ_PCTCHANGE(B830,"2018-12-31","2019-12-30","1")</f>
        <v>34.714003939999998</v>
      </c>
      <c r="H830" s="11">
        <f>[1]!EM_S_FA_YOY_OR(B830,E830)</f>
        <v>68.845165909399995</v>
      </c>
      <c r="I830" s="11">
        <f>[1]!EM_S_FA_GROSSPROFITMARGIN(B830,E830)</f>
        <v>28.829405686899999</v>
      </c>
      <c r="J830" s="11">
        <f>[1]!EM_S_FA_NETPROFITMARGIN(B830,E830)</f>
        <v>8.5905338946000001</v>
      </c>
      <c r="K830" s="10">
        <f>[1]!EM_S_FA_ASSETSTURN(B830,E830)</f>
        <v>0.46109706132200001</v>
      </c>
      <c r="L830" s="12">
        <f>[1]!EM_HKS_VAL_MV(B830,"2019-12-31","2")</f>
        <v>3348056132.46</v>
      </c>
      <c r="M830">
        <f>[1]!EM_S_VAL_PETTMDEDUCTED(B830,E830)</f>
        <v>55.850013549833001</v>
      </c>
      <c r="N830" s="7">
        <f>[1]!EM_S_VAL_PBGOODWILLDEDUCTED(B830,E830)</f>
        <v>1.5422797859189099</v>
      </c>
      <c r="O830" s="7">
        <f>[1]!EM_S_VAL_PS_TTM(B830,E830)</f>
        <v>2.9030439000259398</v>
      </c>
      <c r="P830" s="7">
        <f>[1]!EM_S_VAL_PCF_NCFTTM(B830,E830)</f>
        <v>-6.74547029148522</v>
      </c>
      <c r="Q830" s="7">
        <f>[1]!EM_S_VAL_DIVIDENDYIELD2(B830,E830,"2019-11-29")</f>
        <v>0.66551426101987898</v>
      </c>
      <c r="T830"/>
      <c r="U830">
        <f>[1]!EM_S_RATIO_EPS_TTM(B830,E830,"1")</f>
        <v>0.33360859428241668</v>
      </c>
      <c r="AT830" s="4" t="str">
        <f>[1]!EM_S_IPO_LISTEDDATE(B830)</f>
        <v>2012-04-16</v>
      </c>
    </row>
    <row r="831" spans="1:46">
      <c r="A831">
        <v>2605</v>
      </c>
      <c r="B831" t="str">
        <f>"600525"</f>
        <v>600525</v>
      </c>
      <c r="C831" t="s">
        <v>2211</v>
      </c>
      <c r="D831" t="str">
        <f>[1]!EM_S_INFO_INDEX_EM(B831,"1")</f>
        <v>有色金属</v>
      </c>
      <c r="E831" s="4">
        <f t="shared" si="12"/>
        <v>43465</v>
      </c>
      <c r="F831" s="11">
        <f>[1]!EM_S_PQ_PCTCHANGE(B831,"2018-01-01","2019-12-31","3")</f>
        <v>-62.103172280000003</v>
      </c>
      <c r="G831" s="11">
        <f>[1]!EM_S_PQ_PCTCHANGE(B831,"2018-12-31","2019-12-30","1")</f>
        <v>34.703196349999999</v>
      </c>
      <c r="H831" s="11">
        <f>[1]!EM_S_FA_YOY_OR(B831,E831)</f>
        <v>22.277309731599999</v>
      </c>
      <c r="I831" s="11">
        <f>[1]!EM_S_FA_GROSSPROFITMARGIN(B831,E831)</f>
        <v>41.110704433800002</v>
      </c>
      <c r="J831" s="11">
        <f>[1]!EM_S_FA_NETPROFITMARGIN(B831,E831)</f>
        <v>-0.19590168899999999</v>
      </c>
      <c r="K831" s="10">
        <f>[1]!EM_S_FA_ASSETSTURN(B831,E831)</f>
        <v>0.39690515812900001</v>
      </c>
      <c r="L831" s="12">
        <f>[1]!EM_HKS_VAL_MV(B831,"2019-12-31","2")</f>
        <v>7743246651.3599997</v>
      </c>
      <c r="M831">
        <f>[1]!EM_S_VAL_PETTMDEDUCTED(B831,E831)</f>
        <v>15.424223893514499</v>
      </c>
      <c r="N831" s="7">
        <f>[1]!EM_S_VAL_PBGOODWILLDEDUCTED(B831,E831)</f>
        <v>2.5535416840320502</v>
      </c>
      <c r="O831" s="7">
        <f>[1]!EM_S_VAL_PS_TTM(B831,E831)</f>
        <v>0.97937116560067095</v>
      </c>
      <c r="P831" s="7">
        <f>[1]!EM_S_VAL_PCF_NCFTTM(B831,E831)</f>
        <v>11.0767650914442</v>
      </c>
      <c r="Q831" s="7">
        <f>[1]!EM_S_VAL_DIVIDENDYIELD2(B831,E831,"2019-11-29")</f>
        <v>0</v>
      </c>
      <c r="T831"/>
      <c r="U831">
        <f>[1]!EM_S_RATIO_EPS_TTM(B831,E831,"1")</f>
        <v>8.429736293209654E-2</v>
      </c>
      <c r="AT831" s="4" t="str">
        <f>[1]!EM_S_IPO_LISTEDDATE(B831)</f>
        <v>2002-12-02</v>
      </c>
    </row>
    <row r="832" spans="1:46">
      <c r="A832">
        <v>1706</v>
      </c>
      <c r="B832" t="str">
        <f>"300281"</f>
        <v>300281</v>
      </c>
      <c r="C832" t="s">
        <v>2446</v>
      </c>
      <c r="D832" t="str">
        <f>[1]!EM_S_INFO_INDEX_EM(B832,"1")</f>
        <v>机械设备</v>
      </c>
      <c r="E832" s="4">
        <f t="shared" si="12"/>
        <v>43465</v>
      </c>
      <c r="F832" s="11">
        <f>[1]!EM_S_PQ_PCTCHANGE(B832,"2018-01-01","2019-12-31","3")</f>
        <v>-32.59472822</v>
      </c>
      <c r="G832" s="11">
        <f>[1]!EM_S_PQ_PCTCHANGE(B832,"2018-12-31","2019-12-30","1")</f>
        <v>34.666666669999998</v>
      </c>
      <c r="H832" s="11">
        <f>[1]!EM_S_FA_YOY_OR(B832,E832)</f>
        <v>-9.8994870793</v>
      </c>
      <c r="I832" s="11">
        <f>[1]!EM_S_FA_GROSSPROFITMARGIN(B832,E832)</f>
        <v>24.945932902300001</v>
      </c>
      <c r="J832" s="11">
        <f>[1]!EM_S_FA_NETPROFITMARGIN(B832,E832)</f>
        <v>5.3190317213</v>
      </c>
      <c r="K832" s="10">
        <f>[1]!EM_S_FA_ASSETSTURN(B832,E832)</f>
        <v>0.248946835629</v>
      </c>
      <c r="L832" s="12">
        <f>[1]!EM_HKS_VAL_MV(B832,"2019-12-31","2")</f>
        <v>2521919951.5999999</v>
      </c>
      <c r="M832">
        <f>[1]!EM_S_VAL_PETTMDEDUCTED(B832,E832)</f>
        <v>61.042600830048599</v>
      </c>
      <c r="N832" s="7">
        <f>[1]!EM_S_VAL_PBGOODWILLDEDUCTED(B832,E832)</f>
        <v>1.5635345012689601</v>
      </c>
      <c r="O832" s="7">
        <f>[1]!EM_S_VAL_PS_TTM(B832,E832)</f>
        <v>4.3427283805047496</v>
      </c>
      <c r="P832" s="7">
        <f>[1]!EM_S_VAL_PCF_NCFTTM(B832,E832)</f>
        <v>-5.7658181211704598</v>
      </c>
      <c r="Q832" s="7">
        <f>[1]!EM_S_VAL_DIVIDENDYIELD2(B832,E832,"2019-11-29")</f>
        <v>0.26548672566371678</v>
      </c>
      <c r="T832"/>
      <c r="U832">
        <f>[1]!EM_S_RATIO_EPS_TTM(B832,E832,"1")</f>
        <v>4.741646643523862E-2</v>
      </c>
      <c r="AT832" s="4" t="str">
        <f>[1]!EM_S_IPO_LISTEDDATE(B832)</f>
        <v>2011-12-29</v>
      </c>
    </row>
    <row r="833" spans="1:46">
      <c r="A833">
        <v>2389</v>
      </c>
      <c r="B833" t="str">
        <f>"600258"</f>
        <v>600258</v>
      </c>
      <c r="C833" t="s">
        <v>2215</v>
      </c>
      <c r="D833" t="str">
        <f>[1]!EM_S_INFO_INDEX_EM(B833,"1")</f>
        <v>休闲、生活及专业服务</v>
      </c>
      <c r="E833" s="4">
        <f t="shared" si="12"/>
        <v>43465</v>
      </c>
      <c r="F833" s="11">
        <f>[1]!EM_S_PQ_PCTCHANGE(B833,"2018-01-01","2019-12-31","3")</f>
        <v>-7.5707398899999996</v>
      </c>
      <c r="G833" s="11">
        <f>[1]!EM_S_PQ_PCTCHANGE(B833,"2018-12-31","2019-12-30","1")</f>
        <v>34.649122810000001</v>
      </c>
      <c r="H833" s="11">
        <f>[1]!EM_S_FA_YOY_OR(B833,E833)</f>
        <v>1.4513858225</v>
      </c>
      <c r="I833" s="11">
        <f>[1]!EM_S_FA_GROSSPROFITMARGIN(B833,E833)</f>
        <v>94.474213756799998</v>
      </c>
      <c r="J833" s="11">
        <f>[1]!EM_S_FA_NETPROFITMARGIN(B833,E833)</f>
        <v>10.450364609399999</v>
      </c>
      <c r="K833" s="10">
        <f>[1]!EM_S_FA_ASSETSTURN(B833,E833)</f>
        <v>0.50718511962199997</v>
      </c>
      <c r="L833" s="12">
        <f>[1]!EM_HKS_VAL_MV(B833,"2019-12-31","2")</f>
        <v>20356970246.82</v>
      </c>
      <c r="M833">
        <f>[1]!EM_S_VAL_PETTMDEDUCTED(B833,E833)</f>
        <v>21.868261835239501</v>
      </c>
      <c r="N833" s="7">
        <f>[1]!EM_S_VAL_PBGOODWILLDEDUCTED(B833,E833)</f>
        <v>4.4998808535989099</v>
      </c>
      <c r="O833" s="7">
        <f>[1]!EM_S_VAL_PS_TTM(B833,E833)</f>
        <v>1.8437443612578199</v>
      </c>
      <c r="P833" s="7">
        <f>[1]!EM_S_VAL_PCF_NCFTTM(B833,E833)</f>
        <v>-45.991555869125598</v>
      </c>
      <c r="Q833" s="7">
        <f>[1]!EM_S_VAL_DIVIDENDYIELD2(B833,E833,"2019-11-29")</f>
        <v>0.6186726659167604</v>
      </c>
      <c r="T833"/>
      <c r="U833">
        <f>[1]!EM_S_RATIO_EPS_TTM(B833,E833,"1")</f>
        <v>0.87549362014864451</v>
      </c>
      <c r="AT833" s="4" t="str">
        <f>[1]!EM_S_IPO_LISTEDDATE(B833)</f>
        <v>2000-06-01</v>
      </c>
    </row>
    <row r="834" spans="1:46">
      <c r="A834">
        <v>73</v>
      </c>
      <c r="B834" t="str">
        <f>"000156"</f>
        <v>000156</v>
      </c>
      <c r="C834" t="s">
        <v>1784</v>
      </c>
      <c r="D834" t="str">
        <f>[1]!EM_S_INFO_INDEX_EM(B834,"1")</f>
        <v>文化传媒</v>
      </c>
      <c r="E834" s="4">
        <f t="shared" si="12"/>
        <v>43465</v>
      </c>
      <c r="F834" s="11">
        <f>[1]!EM_S_PQ_PCTCHANGE(B834,"2018-01-01","2019-12-31","3")</f>
        <v>-4.0637610500000001</v>
      </c>
      <c r="G834" s="11">
        <f>[1]!EM_S_PQ_PCTCHANGE(B834,"2019-01-01","2019-12-31","3")</f>
        <v>34.616481450000002</v>
      </c>
      <c r="H834" s="11">
        <f>[1]!EM_S_FA_YOY_OR(B834,E834)</f>
        <v>7.0634050223999996</v>
      </c>
      <c r="I834" s="11">
        <f>[1]!EM_S_FA_GROSSPROFITMARGIN(B834,E834)</f>
        <v>40.694748390900003</v>
      </c>
      <c r="J834" s="11">
        <f>[1]!EM_S_FA_NETPROFITMARGIN(B834,E834)</f>
        <v>18.748232579</v>
      </c>
      <c r="K834" s="10">
        <f>[1]!EM_S_FA_ASSETSTURN(B834,E834)</f>
        <v>0.23539473842</v>
      </c>
      <c r="L834" s="12">
        <f>[1]!EM_HKS_VAL_MV(B834,"2019-12-31","2")</f>
        <v>14964193856.879999</v>
      </c>
      <c r="M834">
        <f>[1]!EM_S_VAL_PETTMDEDUCTED(B834,E834)</f>
        <v>20.985729896083399</v>
      </c>
      <c r="N834" s="7">
        <f>[1]!EM_S_VAL_PBGOODWILLDEDUCTED(B834,E834)</f>
        <v>1.09148894351042</v>
      </c>
      <c r="O834" s="7">
        <f>[1]!EM_S_VAL_PS_TTM(B834,E834)</f>
        <v>3.3867351006414301</v>
      </c>
      <c r="P834" s="7">
        <f>[1]!EM_S_VAL_PCF_NCFTTM(B834,E834)</f>
        <v>57.384556500059603</v>
      </c>
      <c r="Q834" s="7">
        <f>[1]!EM_S_VAL_DIVIDENDYIELD2(B834,E834,"2019-11-29")</f>
        <v>2.6221692491060788</v>
      </c>
      <c r="T834"/>
      <c r="U834">
        <f>[1]!EM_S_RATIO_EPS_TTM(B834,E834,"1")</f>
        <v>0.44942781356144601</v>
      </c>
      <c r="AT834" s="4" t="str">
        <f>[1]!EM_S_IPO_LISTEDDATE(B834)</f>
        <v>2000-09-06</v>
      </c>
    </row>
    <row r="835" spans="1:46">
      <c r="A835">
        <v>2183</v>
      </c>
      <c r="B835" t="str">
        <f>"600025"</f>
        <v>600025</v>
      </c>
      <c r="C835" t="s">
        <v>2234</v>
      </c>
      <c r="D835" t="str">
        <f>[1]!EM_S_INFO_INDEX_EM(B835,"1")</f>
        <v>公用事业</v>
      </c>
      <c r="E835" s="4">
        <f t="shared" ref="E835:E898" si="13">$B$1</f>
        <v>43465</v>
      </c>
      <c r="F835" s="11">
        <f>[1]!EM_S_PQ_PCTCHANGE(B835,"2018-01-01","2019-12-31","3")</f>
        <v>-16.11222553</v>
      </c>
      <c r="G835" s="11">
        <f>[1]!EM_S_PQ_PCTCHANGE(B835,"2018-12-31","2019-12-30","1")</f>
        <v>34.603174600000003</v>
      </c>
      <c r="H835" s="11">
        <f>[1]!EM_S_FA_YOY_OR(B835,E835)</f>
        <v>20.775753532</v>
      </c>
      <c r="I835" s="11">
        <f>[1]!EM_S_FA_GROSSPROFITMARGIN(B835,E835)</f>
        <v>50.917927165400002</v>
      </c>
      <c r="J835" s="11">
        <f>[1]!EM_S_FA_NETPROFITMARGIN(B835,E835)</f>
        <v>38.993009642899999</v>
      </c>
      <c r="K835" s="10">
        <f>[1]!EM_S_FA_ASSETSTURN(B835,E835)</f>
        <v>9.2265014421000005E-2</v>
      </c>
      <c r="L835" s="12">
        <f>[1]!EM_HKS_VAL_MV(B835,"2019-12-31","2")</f>
        <v>75960000000</v>
      </c>
      <c r="M835">
        <f>[1]!EM_S_VAL_PETTMDEDUCTED(B835,E835)</f>
        <v>18.151922636074801</v>
      </c>
      <c r="N835" s="7">
        <f>[1]!EM_S_VAL_PBGOODWILLDEDUCTED(B835,E835)</f>
        <v>1.2811670522093599</v>
      </c>
      <c r="O835" s="7">
        <f>[1]!EM_S_VAL_PS_TTM(B835,E835)</f>
        <v>3.7662840828410502</v>
      </c>
      <c r="P835" s="7">
        <f>[1]!EM_S_VAL_PCF_NCFTTM(B835,E835)</f>
        <v>196.735308135445</v>
      </c>
      <c r="Q835" s="7">
        <f>[1]!EM_S_VAL_DIVIDENDYIELD2(B835,E835,"2019-11-29")</f>
        <v>3.5198564593301436</v>
      </c>
      <c r="T835"/>
      <c r="U835">
        <f>[1]!EM_S_RATIO_EPS_TTM(B835,E835,"1")</f>
        <v>0.32237394198000002</v>
      </c>
      <c r="AT835" s="4" t="str">
        <f>[1]!EM_S_IPO_LISTEDDATE(B835)</f>
        <v>2017-12-15</v>
      </c>
    </row>
    <row r="836" spans="1:46">
      <c r="A836">
        <v>3125</v>
      </c>
      <c r="B836" t="str">
        <f>"601601"</f>
        <v>601601</v>
      </c>
      <c r="C836" t="s">
        <v>949</v>
      </c>
      <c r="D836" t="str">
        <f>[1]!EM_S_INFO_INDEX_EM(B836,"1")</f>
        <v>金融</v>
      </c>
      <c r="E836" s="4">
        <f t="shared" si="13"/>
        <v>43465</v>
      </c>
      <c r="F836" s="11">
        <f>[1]!EM_S_PQ_PCTCHANGE(B836,"2018-01-01","2019-12-31","3")</f>
        <v>-3.8905201300000001</v>
      </c>
      <c r="G836" s="11">
        <f>[1]!EM_S_PQ_PCTCHANGE(B836,"2018-12-31","2019-12-30","1")</f>
        <v>34.540977839999996</v>
      </c>
      <c r="H836" s="11">
        <f>[1]!EM_S_FA_YOY_OR(B836,E836)</f>
        <v>10.804573980100001</v>
      </c>
      <c r="I836" s="11">
        <f>[1]!EM_S_FA_GROSSPROFITMARGIN(B836,E836)</f>
        <v>0</v>
      </c>
      <c r="J836" s="11">
        <f>[1]!EM_S_FA_NETPROFITMARGIN(B836,E836)</f>
        <v>5.2020103678999998</v>
      </c>
      <c r="K836" s="10">
        <f>[1]!EM_S_FA_ASSETSTURN(B836,E836)</f>
        <v>0</v>
      </c>
      <c r="L836" s="12">
        <f>[1]!EM_HKS_VAL_MV(B836,"2019-12-31","2")</f>
        <v>342906080000</v>
      </c>
      <c r="M836">
        <f>[1]!EM_S_VAL_PETTMDEDUCTED(B836,E836)</f>
        <v>15.752531947416699</v>
      </c>
      <c r="N836" s="7">
        <f>[1]!EM_S_VAL_PBGOODWILLDEDUCTED(B836,E836)</f>
        <v>1.73818916603135</v>
      </c>
      <c r="O836" s="7">
        <f>[1]!EM_S_VAL_PS_TTM(B836,E836)</f>
        <v>0.73504115537473502</v>
      </c>
      <c r="P836" s="7">
        <f>[1]!EM_S_VAL_PCF_NCFTTM(B836,E836)</f>
        <v>-86.309098827470706</v>
      </c>
      <c r="Q836" s="7">
        <f>[1]!EM_S_VAL_DIVIDENDYIELD2(B836,E836,"2019-11-29")</f>
        <v>2.9197080291970803</v>
      </c>
      <c r="T836"/>
      <c r="U836">
        <f>[1]!EM_S_RATIO_EPS_TTM(B836,E836,"1")</f>
        <v>1.9884131538291767</v>
      </c>
      <c r="AT836" s="4" t="str">
        <f>[1]!EM_S_IPO_LISTEDDATE(B836)</f>
        <v>2007-12-25</v>
      </c>
    </row>
    <row r="837" spans="1:46">
      <c r="A837">
        <v>1688</v>
      </c>
      <c r="B837" t="str">
        <f>"300263"</f>
        <v>300263</v>
      </c>
      <c r="C837" t="s">
        <v>2671</v>
      </c>
      <c r="D837" t="str">
        <f>[1]!EM_S_INFO_INDEX_EM(B837,"1")</f>
        <v>公用事业</v>
      </c>
      <c r="E837" s="4">
        <f t="shared" si="13"/>
        <v>43465</v>
      </c>
      <c r="F837" s="11">
        <f>[1]!EM_S_PQ_PCTCHANGE(B837,"2018-01-01","2019-12-31","3")</f>
        <v>-23.443564240000001</v>
      </c>
      <c r="G837" s="11">
        <f>[1]!EM_S_PQ_PCTCHANGE(B837,"2018-12-31","2019-12-30","1")</f>
        <v>34.5</v>
      </c>
      <c r="H837" s="11">
        <f>[1]!EM_S_FA_YOY_OR(B837,E837)</f>
        <v>50.817975187800002</v>
      </c>
      <c r="I837" s="11">
        <f>[1]!EM_S_FA_GROSSPROFITMARGIN(B837,E837)</f>
        <v>28.014053832199998</v>
      </c>
      <c r="J837" s="11">
        <f>[1]!EM_S_FA_NETPROFITMARGIN(B837,E837)</f>
        <v>9.2309982511000008</v>
      </c>
      <c r="K837" s="10">
        <f>[1]!EM_S_FA_ASSETSTURN(B837,E837)</f>
        <v>0.39797912566100002</v>
      </c>
      <c r="L837" s="12">
        <f>[1]!EM_HKS_VAL_MV(B837,"2019-12-31","2")</f>
        <v>5004335092.8800001</v>
      </c>
      <c r="M837">
        <f>[1]!EM_S_VAL_PETTMDEDUCTED(B837,E837)</f>
        <v>44.3313413768307</v>
      </c>
      <c r="N837" s="7">
        <f>[1]!EM_S_VAL_PBGOODWILLDEDUCTED(B837,E837)</f>
        <v>1.88165315041054</v>
      </c>
      <c r="O837" s="7">
        <f>[1]!EM_S_VAL_PS_TTM(B837,E837)</f>
        <v>2.6338958459803798</v>
      </c>
      <c r="P837" s="7">
        <f>[1]!EM_S_VAL_PCF_NCFTTM(B837,E837)</f>
        <v>1573.5560665989799</v>
      </c>
      <c r="Q837" s="7">
        <f>[1]!EM_S_VAL_DIVIDENDYIELD2(B837,E837,"2019-11-29")</f>
        <v>0.45813753979861982</v>
      </c>
      <c r="T837"/>
      <c r="U837">
        <f>[1]!EM_S_RATIO_EPS_TTM(B837,E837,"1")</f>
        <v>0.14844515951199447</v>
      </c>
      <c r="AT837" s="4" t="str">
        <f>[1]!EM_S_IPO_LISTEDDATE(B837)</f>
        <v>2011-09-16</v>
      </c>
    </row>
    <row r="838" spans="1:46">
      <c r="A838">
        <v>3173</v>
      </c>
      <c r="B838" t="str">
        <f>"601899"</f>
        <v>601899</v>
      </c>
      <c r="C838" t="s">
        <v>775</v>
      </c>
      <c r="D838" t="str">
        <f>[1]!EM_S_INFO_INDEX_EM(B838,"1")</f>
        <v>有色金属</v>
      </c>
      <c r="E838" s="4">
        <f t="shared" si="13"/>
        <v>43465</v>
      </c>
      <c r="F838" s="11">
        <f>[1]!EM_S_PQ_PCTCHANGE(B838,"2018-01-01","2019-12-31","3")</f>
        <v>5.4816258900000001</v>
      </c>
      <c r="G838" s="11">
        <f>[1]!EM_S_PQ_PCTCHANGE(B838,"2018-12-31","2019-12-30","1")</f>
        <v>34.431137720000002</v>
      </c>
      <c r="H838" s="11">
        <f>[1]!EM_S_FA_YOY_OR(B838,E838)</f>
        <v>12.1055464735</v>
      </c>
      <c r="I838" s="11">
        <f>[1]!EM_S_FA_GROSSPROFITMARGIN(B838,E838)</f>
        <v>12.588298078499999</v>
      </c>
      <c r="J838" s="11">
        <f>[1]!EM_S_FA_NETPROFITMARGIN(B838,E838)</f>
        <v>4.4178591991999996</v>
      </c>
      <c r="K838" s="10">
        <f>[1]!EM_S_FA_ASSETSTURN(B838,E838)</f>
        <v>1.0484381206690001</v>
      </c>
      <c r="L838" s="12">
        <f>[1]!EM_HKS_VAL_MV(B838,"2019-12-31","2")</f>
        <v>116481623152.14</v>
      </c>
      <c r="M838">
        <f>[1]!EM_S_VAL_PETTMDEDUCTED(B838,E838)</f>
        <v>17.893628578093299</v>
      </c>
      <c r="N838" s="7">
        <f>[1]!EM_S_VAL_PBGOODWILLDEDUCTED(B838,E838)</f>
        <v>2.1880971163921501</v>
      </c>
      <c r="O838" s="7">
        <f>[1]!EM_S_VAL_PS_TTM(B838,E838)</f>
        <v>0.70738776001436698</v>
      </c>
      <c r="P838" s="7">
        <f>[1]!EM_S_VAL_PCF_NCFTTM(B838,E838)</f>
        <v>-66.675109656774893</v>
      </c>
      <c r="Q838" s="7">
        <f>[1]!EM_S_VAL_DIVIDENDYIELD2(B838,E838,"2019-11-29")</f>
        <v>2.4734543643201943</v>
      </c>
      <c r="T838"/>
      <c r="U838">
        <f>[1]!EM_S_RATIO_EPS_TTM(B838,E838,"1")</f>
        <v>0.17774889159686377</v>
      </c>
      <c r="AT838" s="4" t="str">
        <f>[1]!EM_S_IPO_LISTEDDATE(B838)</f>
        <v>2008-04-25</v>
      </c>
    </row>
    <row r="839" spans="1:46">
      <c r="A839">
        <v>1188</v>
      </c>
      <c r="B839" t="str">
        <f>"002677"</f>
        <v>002677</v>
      </c>
      <c r="C839" t="s">
        <v>354</v>
      </c>
      <c r="D839" t="str">
        <f>[1]!EM_S_INFO_INDEX_EM(B839,"1")</f>
        <v>家电</v>
      </c>
      <c r="E839" s="4">
        <f t="shared" si="13"/>
        <v>43465</v>
      </c>
      <c r="F839" s="11">
        <f>[1]!EM_S_PQ_PCTCHANGE(B839,"2018-01-01","2019-12-31","3")</f>
        <v>-16.390523470000002</v>
      </c>
      <c r="G839" s="11">
        <f>[1]!EM_S_PQ_PCTCHANGE(B839,"2018-12-31","2019-12-30","1")</f>
        <v>34.403209629999999</v>
      </c>
      <c r="H839" s="11">
        <f>[1]!EM_S_FA_YOY_OR(B839,E839)</f>
        <v>36.492198477999999</v>
      </c>
      <c r="I839" s="11">
        <f>[1]!EM_S_FA_GROSSPROFITMARGIN(B839,E839)</f>
        <v>51.541425070300001</v>
      </c>
      <c r="J839" s="11">
        <f>[1]!EM_S_FA_NETPROFITMARGIN(B839,E839)</f>
        <v>26.9487622101</v>
      </c>
      <c r="K839" s="10">
        <f>[1]!EM_S_FA_ASSETSTURN(B839,E839)</f>
        <v>0.81064440372699997</v>
      </c>
      <c r="L839" s="12">
        <f>[1]!EM_HKS_VAL_MV(B839,"2019-12-31","2")</f>
        <v>8631250003.9200001</v>
      </c>
      <c r="M839">
        <f>[1]!EM_S_VAL_PETTMDEDUCTED(B839,E839)</f>
        <v>17.9706213338956</v>
      </c>
      <c r="N839" s="7">
        <f>[1]!EM_S_VAL_PBGOODWILLDEDUCTED(B839,E839)</f>
        <v>4.71851661139981</v>
      </c>
      <c r="O839" s="7">
        <f>[1]!EM_S_VAL_PS_TTM(B839,E839)</f>
        <v>4.9375629359828697</v>
      </c>
      <c r="P839" s="7">
        <f>[1]!EM_S_VAL_PCF_NCFTTM(B839,E839)</f>
        <v>13.416137431389201</v>
      </c>
      <c r="Q839" s="7">
        <f>[1]!EM_S_VAL_DIVIDENDYIELD2(B839,E839,"2019-11-29")</f>
        <v>3.5361216730038025</v>
      </c>
      <c r="T839"/>
      <c r="U839">
        <f>[1]!EM_S_RATIO_EPS_TTM(B839,E839,"1")</f>
        <v>0.58435745989205712</v>
      </c>
      <c r="AT839" s="4" t="str">
        <f>[1]!EM_S_IPO_LISTEDDATE(B839)</f>
        <v>2012-05-25</v>
      </c>
    </row>
    <row r="840" spans="1:46">
      <c r="A840">
        <v>2418</v>
      </c>
      <c r="B840" t="str">
        <f>"600289"</f>
        <v>600289</v>
      </c>
      <c r="C840" t="s">
        <v>3658</v>
      </c>
      <c r="D840" t="str">
        <f>[1]!EM_S_INFO_INDEX_EM(B840,"1")</f>
        <v>信息技术</v>
      </c>
      <c r="E840" s="4">
        <f t="shared" si="13"/>
        <v>43465</v>
      </c>
      <c r="F840" s="11">
        <f>[1]!EM_S_PQ_PCTCHANGE(B840,"2018-01-01","2019-12-31","3")</f>
        <v>-64.486921530000004</v>
      </c>
      <c r="G840" s="11">
        <f>[1]!EM_S_PQ_PCTCHANGE(B840,"2018-12-31","2019-12-30","1")</f>
        <v>34.4</v>
      </c>
      <c r="H840" s="11">
        <f>[1]!EM_S_FA_YOY_OR(B840,E840)</f>
        <v>-7.1079673890999997</v>
      </c>
      <c r="I840" s="11">
        <f>[1]!EM_S_FA_GROSSPROFITMARGIN(B840,E840)</f>
        <v>62.138677188800003</v>
      </c>
      <c r="J840" s="11">
        <f>[1]!EM_S_FA_NETPROFITMARGIN(B840,E840)</f>
        <v>-117.63832993779999</v>
      </c>
      <c r="K840" s="10">
        <f>[1]!EM_S_FA_ASSETSTURN(B840,E840)</f>
        <v>0.44048741426799998</v>
      </c>
      <c r="L840" s="12">
        <f>[1]!EM_HKS_VAL_MV(B840,"2019-12-31","2")</f>
        <v>2227613803.5700002</v>
      </c>
      <c r="M840">
        <f>[1]!EM_S_VAL_PETTMDEDUCTED(B840,E840)</f>
        <v>-1.64339633821095</v>
      </c>
      <c r="N840" s="7">
        <f>[1]!EM_S_VAL_PBGOODWILLDEDUCTED(B840,E840)</f>
        <v>-2.0480143410597602</v>
      </c>
      <c r="O840" s="7">
        <f>[1]!EM_S_VAL_PS_TTM(B840,E840)</f>
        <v>1.34286340416561</v>
      </c>
      <c r="P840" s="7">
        <f>[1]!EM_S_VAL_PCF_NCFTTM(B840,E840)</f>
        <v>-1.8988243888452201</v>
      </c>
      <c r="Q840" s="7">
        <f>[1]!EM_S_VAL_DIVIDENDYIELD2(B840,E840,"2019-11-29")</f>
        <v>0</v>
      </c>
      <c r="T840"/>
      <c r="U840">
        <f>[1]!EM_S_RATIO_EPS_TTM(B840,E840,"1")</f>
        <v>-2.3365667444472003</v>
      </c>
      <c r="AT840" s="4" t="str">
        <f>[1]!EM_S_IPO_LISTEDDATE(B840)</f>
        <v>2000-07-20</v>
      </c>
    </row>
    <row r="841" spans="1:46">
      <c r="A841">
        <v>1550</v>
      </c>
      <c r="B841" t="str">
        <f>"300125"</f>
        <v>300125</v>
      </c>
      <c r="C841" t="s">
        <v>2036</v>
      </c>
      <c r="D841" t="str">
        <f>[1]!EM_S_INFO_INDEX_EM(B841,"1")</f>
        <v>电气设备</v>
      </c>
      <c r="E841" s="4">
        <f t="shared" si="13"/>
        <v>43465</v>
      </c>
      <c r="F841" s="11">
        <f>[1]!EM_S_PQ_PCTCHANGE(B841,"2018-01-01","2019-12-31","3")</f>
        <v>43.099038100000001</v>
      </c>
      <c r="G841" s="11">
        <f>[1]!EM_S_PQ_PCTCHANGE(B841,"2018-12-31","2019-12-30","1")</f>
        <v>34.387351780000003</v>
      </c>
      <c r="H841" s="11">
        <f>[1]!EM_S_FA_YOY_OR(B841,E841)</f>
        <v>35.117812477400001</v>
      </c>
      <c r="I841" s="11">
        <f>[1]!EM_S_FA_GROSSPROFITMARGIN(B841,E841)</f>
        <v>28.938903699499999</v>
      </c>
      <c r="J841" s="11">
        <f>[1]!EM_S_FA_NETPROFITMARGIN(B841,E841)</f>
        <v>23.772079502899999</v>
      </c>
      <c r="K841" s="10">
        <f>[1]!EM_S_FA_ASSETSTURN(B841,E841)</f>
        <v>0.11482661605699999</v>
      </c>
      <c r="L841" s="12">
        <f>[1]!EM_HKS_VAL_MV(B841,"2019-12-31","2")</f>
        <v>4516154914.9499998</v>
      </c>
      <c r="M841">
        <f>[1]!EM_S_VAL_PETTMDEDUCTED(B841,E841)</f>
        <v>-8.8041296102335398</v>
      </c>
      <c r="N841" s="7">
        <f>[1]!EM_S_VAL_PBGOODWILLDEDUCTED(B841,E841)</f>
        <v>2.94580926356435</v>
      </c>
      <c r="O841" s="7">
        <f>[1]!EM_S_VAL_PS_TTM(B841,E841)</f>
        <v>15.3130528666372</v>
      </c>
      <c r="P841" s="7">
        <f>[1]!EM_S_VAL_PCF_NCFTTM(B841,E841)</f>
        <v>-15.7594974888757</v>
      </c>
      <c r="Q841" s="7">
        <f>[1]!EM_S_VAL_DIVIDENDYIELD2(B841,E841,"2019-11-29")</f>
        <v>0</v>
      </c>
      <c r="T841"/>
      <c r="U841">
        <f>[1]!EM_S_RATIO_EPS_TTM(B841,E841,"1")</f>
        <v>0.20727951966101693</v>
      </c>
      <c r="AT841" s="4" t="str">
        <f>[1]!EM_S_IPO_LISTEDDATE(B841)</f>
        <v>2010-10-13</v>
      </c>
    </row>
    <row r="842" spans="1:46">
      <c r="A842">
        <v>701</v>
      </c>
      <c r="B842" t="str">
        <f>"002190"</f>
        <v>002190</v>
      </c>
      <c r="C842" t="s">
        <v>3435</v>
      </c>
      <c r="D842" t="str">
        <f>[1]!EM_S_INFO_INDEX_EM(B842,"1")</f>
        <v>电气设备</v>
      </c>
      <c r="E842" s="4">
        <f t="shared" si="13"/>
        <v>43465</v>
      </c>
      <c r="F842" s="11">
        <f>[1]!EM_S_PQ_PCTCHANGE(B842,"2018-01-01","2019-12-31","3")</f>
        <v>0</v>
      </c>
      <c r="G842" s="11">
        <f>[1]!EM_S_PQ_PCTCHANGE(B842,"2018-12-31","2019-12-30","1")</f>
        <v>34.324659230000002</v>
      </c>
      <c r="H842" s="11">
        <f>[1]!EM_S_FA_YOY_OR(B842,E842)</f>
        <v>10.445618811299999</v>
      </c>
      <c r="I842" s="11">
        <f>[1]!EM_S_FA_GROSSPROFITMARGIN(B842,E842)</f>
        <v>1.4632223487</v>
      </c>
      <c r="J842" s="11">
        <f>[1]!EM_S_FA_NETPROFITMARGIN(B842,E842)</f>
        <v>-30.1055839747</v>
      </c>
      <c r="K842" s="10">
        <f>[1]!EM_S_FA_ASSETSTURN(B842,E842)</f>
        <v>0.231888391114</v>
      </c>
      <c r="L842" s="12">
        <f>[1]!EM_HKS_VAL_MV(B842,"2019-12-31","2")</f>
        <v>7762902982.5200005</v>
      </c>
      <c r="M842">
        <f>[1]!EM_S_VAL_PETTMDEDUCTED(B842,E842)</f>
        <v>-25.817293231691501</v>
      </c>
      <c r="N842" s="7">
        <f>[1]!EM_S_VAL_PBGOODWILLDEDUCTED(B842,E842)</f>
        <v>3.2211467860818099</v>
      </c>
      <c r="O842" s="7">
        <f>[1]!EM_S_VAL_PS_TTM(B842,E842)</f>
        <v>2.5589926305351001</v>
      </c>
      <c r="P842" s="7">
        <f>[1]!EM_S_VAL_PCF_NCFTTM(B842,E842)</f>
        <v>-45.790744230649999</v>
      </c>
      <c r="Q842" s="7">
        <f>[1]!EM_S_VAL_DIVIDENDYIELD2(B842,E842,"2019-11-29")</f>
        <v>0</v>
      </c>
      <c r="T842"/>
      <c r="U842">
        <f>[1]!EM_S_RATIO_EPS_TTM(B842,E842,"1")</f>
        <v>-0.57050079965161926</v>
      </c>
      <c r="AT842" s="4" t="str">
        <f>[1]!EM_S_IPO_LISTEDDATE(B842)</f>
        <v>2007-12-03</v>
      </c>
    </row>
    <row r="843" spans="1:46">
      <c r="A843">
        <v>368</v>
      </c>
      <c r="B843" t="str">
        <f>"000811"</f>
        <v>000811</v>
      </c>
      <c r="C843" t="s">
        <v>3349</v>
      </c>
      <c r="D843" t="str">
        <f>[1]!EM_S_INFO_INDEX_EM(B843,"1")</f>
        <v>机械设备</v>
      </c>
      <c r="E843" s="4">
        <f t="shared" si="13"/>
        <v>43465</v>
      </c>
      <c r="F843" s="11">
        <f>[1]!EM_S_PQ_PCTCHANGE(B843,"2018-01-01","2019-12-31","3")</f>
        <v>-9.0211302399999997</v>
      </c>
      <c r="G843" s="11">
        <f>[1]!EM_S_PQ_PCTCHANGE(B843,"2018-12-31","2019-12-30","1")</f>
        <v>34.235976790000002</v>
      </c>
      <c r="H843" s="11">
        <f>[1]!EM_S_FA_YOY_OR(B843,E843)</f>
        <v>4.4715875308999999</v>
      </c>
      <c r="I843" s="11">
        <f>[1]!EM_S_FA_GROSSPROFITMARGIN(B843,E843)</f>
        <v>29.249043005400001</v>
      </c>
      <c r="J843" s="11">
        <f>[1]!EM_S_FA_NETPROFITMARGIN(B843,E843)</f>
        <v>8.3712702541000006</v>
      </c>
      <c r="K843" s="10">
        <f>[1]!EM_S_FA_ASSETSTURN(B843,E843)</f>
        <v>0.62127107763900002</v>
      </c>
      <c r="L843" s="12">
        <f>[1]!EM_HKS_VAL_MV(B843,"2019-12-31","2")</f>
        <v>5228323006.04</v>
      </c>
      <c r="M843">
        <f>[1]!EM_S_VAL_PETTMDEDUCTED(B843,E843)</f>
        <v>14.6556635528984</v>
      </c>
      <c r="N843" s="7">
        <f>[1]!EM_S_VAL_PBGOODWILLDEDUCTED(B843,E843)</f>
        <v>1.6748335592254</v>
      </c>
      <c r="O843" s="7">
        <f>[1]!EM_S_VAL_PS_TTM(B843,E843)</f>
        <v>0.94626261534144396</v>
      </c>
      <c r="P843" s="7">
        <f>[1]!EM_S_VAL_PCF_NCFTTM(B843,E843)</f>
        <v>-47.693710719631603</v>
      </c>
      <c r="Q843" s="7">
        <f>[1]!EM_S_VAL_DIVIDENDYIELD2(B843,E843,"2019-11-29")</f>
        <v>0.65933590545820764</v>
      </c>
      <c r="T843"/>
      <c r="U843">
        <f>[1]!EM_S_RATIO_EPS_TTM(B843,E843,"1")</f>
        <v>0.43237831210110472</v>
      </c>
      <c r="AT843" s="4" t="str">
        <f>[1]!EM_S_IPO_LISTEDDATE(B843)</f>
        <v>1998-05-28</v>
      </c>
    </row>
    <row r="844" spans="1:46">
      <c r="A844">
        <v>3376</v>
      </c>
      <c r="B844" t="str">
        <f>"603358"</f>
        <v>603358</v>
      </c>
      <c r="C844" t="s">
        <v>742</v>
      </c>
      <c r="D844" t="str">
        <f>[1]!EM_S_INFO_INDEX_EM(B844,"1")</f>
        <v>交运设备</v>
      </c>
      <c r="E844" s="4">
        <f t="shared" si="13"/>
        <v>43465</v>
      </c>
      <c r="F844" s="11">
        <f>[1]!EM_S_PQ_PCTCHANGE(B844,"2018-01-01","2019-12-31","3")</f>
        <v>-16.896381009999999</v>
      </c>
      <c r="G844" s="11">
        <f>[1]!EM_S_PQ_PCTCHANGE(B844,"2018-12-31","2019-12-30","1")</f>
        <v>34.232558140000002</v>
      </c>
      <c r="H844" s="11">
        <f>[1]!EM_S_FA_YOY_OR(B844,E844)</f>
        <v>27.743053736899999</v>
      </c>
      <c r="I844" s="11">
        <f>[1]!EM_S_FA_GROSSPROFITMARGIN(B844,E844)</f>
        <v>17.281966760500001</v>
      </c>
      <c r="J844" s="11">
        <f>[1]!EM_S_FA_NETPROFITMARGIN(B844,E844)</f>
        <v>5.2701839847</v>
      </c>
      <c r="K844" s="10">
        <f>[1]!EM_S_FA_ASSETSTURN(B844,E844)</f>
        <v>0.94064093226500001</v>
      </c>
      <c r="L844" s="12">
        <f>[1]!EM_HKS_VAL_MV(B844,"2019-12-31","2")</f>
        <v>4638144000</v>
      </c>
      <c r="M844">
        <f>[1]!EM_S_VAL_PETTMDEDUCTED(B844,E844)</f>
        <v>15.062167945478</v>
      </c>
      <c r="N844" s="7">
        <f>[1]!EM_S_VAL_PBGOODWILLDEDUCTED(B844,E844)</f>
        <v>1.3534166435365</v>
      </c>
      <c r="O844" s="7">
        <f>[1]!EM_S_VAL_PS_TTM(B844,E844)</f>
        <v>0.91927437499260301</v>
      </c>
      <c r="P844" s="7">
        <f>[1]!EM_S_VAL_PCF_NCFTTM(B844,E844)</f>
        <v>15.0411523999995</v>
      </c>
      <c r="Q844" s="7">
        <f>[1]!EM_S_VAL_DIVIDENDYIELD2(B844,E844,"2019-11-29")</f>
        <v>2.2338049143708116</v>
      </c>
      <c r="T844"/>
      <c r="U844">
        <f>[1]!EM_S_RATIO_EPS_TTM(B844,E844,"1")</f>
        <v>0.65633076973852034</v>
      </c>
      <c r="AT844" s="4" t="str">
        <f>[1]!EM_S_IPO_LISTEDDATE(B844)</f>
        <v>2017-01-25</v>
      </c>
    </row>
    <row r="845" spans="1:46">
      <c r="A845">
        <v>2639</v>
      </c>
      <c r="B845" t="str">
        <f>"600565"</f>
        <v>600565</v>
      </c>
      <c r="C845" t="s">
        <v>1740</v>
      </c>
      <c r="D845" t="str">
        <f>[1]!EM_S_INFO_INDEX_EM(B845,"1")</f>
        <v>房地产</v>
      </c>
      <c r="E845" s="4">
        <f t="shared" si="13"/>
        <v>43465</v>
      </c>
      <c r="F845" s="11">
        <f>[1]!EM_S_PQ_PCTCHANGE(B845,"2018-01-01","2019-12-31","3")</f>
        <v>-1.01113531</v>
      </c>
      <c r="G845" s="11">
        <f>[1]!EM_S_PQ_PCTCHANGE(B845,"2018-12-31","2019-12-30","1")</f>
        <v>34.23076923</v>
      </c>
      <c r="H845" s="11">
        <f>[1]!EM_S_FA_YOY_OR(B845,E845)</f>
        <v>38.872080608300003</v>
      </c>
      <c r="I845" s="11">
        <f>[1]!EM_S_FA_GROSSPROFITMARGIN(B845,E845)</f>
        <v>29.924394613299999</v>
      </c>
      <c r="J845" s="11">
        <f>[1]!EM_S_FA_NETPROFITMARGIN(B845,E845)</f>
        <v>7.9578118246000003</v>
      </c>
      <c r="K845" s="10">
        <f>[1]!EM_S_FA_ASSETSTURN(B845,E845)</f>
        <v>0.27474363341899999</v>
      </c>
      <c r="L845" s="12">
        <f>[1]!EM_HKS_VAL_MV(B845,"2019-12-31","2")</f>
        <v>8720795096.7199993</v>
      </c>
      <c r="M845">
        <f>[1]!EM_S_VAL_PETTMDEDUCTED(B845,E845)</f>
        <v>12.278646387729699</v>
      </c>
      <c r="N845" s="7">
        <f>[1]!EM_S_VAL_PBGOODWILLDEDUCTED(B845,E845)</f>
        <v>0.75601294466286895</v>
      </c>
      <c r="O845" s="7">
        <f>[1]!EM_S_VAL_PS_TTM(B845,E845)</f>
        <v>0.80316817271583696</v>
      </c>
      <c r="P845" s="7">
        <f>[1]!EM_S_VAL_PCF_NCFTTM(B845,E845)</f>
        <v>33.836124714408797</v>
      </c>
      <c r="Q845" s="7">
        <f>[1]!EM_S_VAL_DIVIDENDYIELD2(B845,E845,"2019-11-29")</f>
        <v>8.8680344080876399</v>
      </c>
      <c r="T845"/>
      <c r="U845">
        <f>[1]!EM_S_RATIO_EPS_TTM(B845,E845,"1")</f>
        <v>0.4227883939675679</v>
      </c>
      <c r="AT845" s="4" t="str">
        <f>[1]!EM_S_IPO_LISTEDDATE(B845)</f>
        <v>2002-07-23</v>
      </c>
    </row>
    <row r="846" spans="1:46">
      <c r="A846">
        <v>2485</v>
      </c>
      <c r="B846" t="str">
        <f>"600366"</f>
        <v>600366</v>
      </c>
      <c r="C846" t="s">
        <v>2748</v>
      </c>
      <c r="D846" t="str">
        <f>[1]!EM_S_INFO_INDEX_EM(B846,"1")</f>
        <v>有色金属</v>
      </c>
      <c r="E846" s="4">
        <f t="shared" si="13"/>
        <v>43465</v>
      </c>
      <c r="F846" s="11">
        <f>[1]!EM_S_PQ_PCTCHANGE(B846,"2018-01-01","2019-12-31","3")</f>
        <v>-29.29654991</v>
      </c>
      <c r="G846" s="11">
        <f>[1]!EM_S_PQ_PCTCHANGE(B846,"2018-12-31","2019-12-30","1")</f>
        <v>34.131736529999998</v>
      </c>
      <c r="H846" s="11">
        <f>[1]!EM_S_FA_YOY_OR(B846,E846)</f>
        <v>7.4202278819999998</v>
      </c>
      <c r="I846" s="11">
        <f>[1]!EM_S_FA_GROSSPROFITMARGIN(B846,E846)</f>
        <v>19.592842467299999</v>
      </c>
      <c r="J846" s="11">
        <f>[1]!EM_S_FA_NETPROFITMARGIN(B846,E846)</f>
        <v>4.4979729209999997</v>
      </c>
      <c r="K846" s="10">
        <f>[1]!EM_S_FA_ASSETSTURN(B846,E846)</f>
        <v>0.34575745145699999</v>
      </c>
      <c r="L846" s="12">
        <f>[1]!EM_HKS_VAL_MV(B846,"2019-12-31","2")</f>
        <v>6587497381.8599997</v>
      </c>
      <c r="M846">
        <f>[1]!EM_S_VAL_PETTMDEDUCTED(B846,E846)</f>
        <v>52.138742398256802</v>
      </c>
      <c r="N846" s="7">
        <f>[1]!EM_S_VAL_PBGOODWILLDEDUCTED(B846,E846)</f>
        <v>1.1374761181299999</v>
      </c>
      <c r="O846" s="7">
        <f>[1]!EM_S_VAL_PS_TTM(B846,E846)</f>
        <v>2.4366382751938298</v>
      </c>
      <c r="P846" s="7">
        <f>[1]!EM_S_VAL_PCF_NCFTTM(B846,E846)</f>
        <v>-41.313304181406899</v>
      </c>
      <c r="Q846" s="7">
        <f>[1]!EM_S_VAL_DIVIDENDYIELD2(B846,E846,"2019-11-29")</f>
        <v>1.6556291390728477</v>
      </c>
      <c r="T846"/>
      <c r="U846">
        <f>[1]!EM_S_RATIO_EPS_TTM(B846,E846,"1")</f>
        <v>8.9103732872381311E-2</v>
      </c>
      <c r="AT846" s="4" t="str">
        <f>[1]!EM_S_IPO_LISTEDDATE(B846)</f>
        <v>2000-10-30</v>
      </c>
    </row>
    <row r="847" spans="1:46">
      <c r="A847">
        <v>76</v>
      </c>
      <c r="B847" t="str">
        <f>"000159"</f>
        <v>000159</v>
      </c>
      <c r="C847" t="s">
        <v>3335</v>
      </c>
      <c r="D847" t="str">
        <f>[1]!EM_S_INFO_INDEX_EM(B847,"1")</f>
        <v>化石能源</v>
      </c>
      <c r="E847" s="4">
        <f t="shared" si="13"/>
        <v>43465</v>
      </c>
      <c r="F847" s="11">
        <f>[1]!EM_S_PQ_PCTCHANGE(B847,"2018-01-01","2019-12-31","3")</f>
        <v>8.3975246099999996</v>
      </c>
      <c r="G847" s="11">
        <f>[1]!EM_S_PQ_PCTCHANGE(B847,"2018-12-31","2019-12-30","1")</f>
        <v>34.123222749999996</v>
      </c>
      <c r="H847" s="11">
        <f>[1]!EM_S_FA_YOY_OR(B847,E847)</f>
        <v>55.010644218000003</v>
      </c>
      <c r="I847" s="11">
        <f>[1]!EM_S_FA_GROSSPROFITMARGIN(B847,E847)</f>
        <v>20.660573092500002</v>
      </c>
      <c r="J847" s="11">
        <f>[1]!EM_S_FA_NETPROFITMARGIN(B847,E847)</f>
        <v>9.0506920234999999</v>
      </c>
      <c r="K847" s="10">
        <f>[1]!EM_S_FA_ASSETSTURN(B847,E847)</f>
        <v>0.19088123282800001</v>
      </c>
      <c r="L847" s="12">
        <f>[1]!EM_HKS_VAL_MV(B847,"2019-12-31","2")</f>
        <v>2735103300.1700001</v>
      </c>
      <c r="M847">
        <f>[1]!EM_S_VAL_PETTMDEDUCTED(B847,E847)</f>
        <v>-88.116493063464603</v>
      </c>
      <c r="N847" s="7">
        <f>[1]!EM_S_VAL_PBGOODWILLDEDUCTED(B847,E847)</f>
        <v>0.969288666135387</v>
      </c>
      <c r="O847" s="7">
        <f>[1]!EM_S_VAL_PS_TTM(B847,E847)</f>
        <v>3.47620828019231</v>
      </c>
      <c r="P847" s="7">
        <f>[1]!EM_S_VAL_PCF_NCFTTM(B847,E847)</f>
        <v>-21.3081569444034</v>
      </c>
      <c r="Q847" s="7">
        <f>[1]!EM_S_VAL_DIVIDENDYIELD2(B847,E847,"2019-11-29")</f>
        <v>0.51418306302275951</v>
      </c>
      <c r="T847"/>
      <c r="U847">
        <f>[1]!EM_S_RATIO_EPS_TTM(B847,E847,"1")</f>
        <v>0.1245380118756212</v>
      </c>
      <c r="AT847" s="4" t="str">
        <f>[1]!EM_S_IPO_LISTEDDATE(B847)</f>
        <v>2000-09-26</v>
      </c>
    </row>
    <row r="848" spans="1:46">
      <c r="A848">
        <v>1299</v>
      </c>
      <c r="B848" t="str">
        <f>"002793"</f>
        <v>002793</v>
      </c>
      <c r="C848" t="s">
        <v>978</v>
      </c>
      <c r="D848" t="str">
        <f>[1]!EM_S_INFO_INDEX_EM(B848,"1")</f>
        <v>机械设备</v>
      </c>
      <c r="E848" s="4">
        <f t="shared" si="13"/>
        <v>43465</v>
      </c>
      <c r="F848" s="11">
        <f>[1]!EM_S_PQ_PCTCHANGE(B848,"2018-01-01","2019-12-31","3")</f>
        <v>54.070506289999997</v>
      </c>
      <c r="G848" s="11">
        <f>[1]!EM_S_PQ_PCTCHANGE(B848,"2018-12-31","2019-12-30","1")</f>
        <v>34.117647060000003</v>
      </c>
      <c r="H848" s="11">
        <f>[1]!EM_S_FA_YOY_OR(B848,E848)</f>
        <v>12.9705401952</v>
      </c>
      <c r="I848" s="11">
        <f>[1]!EM_S_FA_GROSSPROFITMARGIN(B848,E848)</f>
        <v>25.958054960999998</v>
      </c>
      <c r="J848" s="11">
        <f>[1]!EM_S_FA_NETPROFITMARGIN(B848,E848)</f>
        <v>11.9029493755</v>
      </c>
      <c r="K848" s="10">
        <f>[1]!EM_S_FA_ASSETSTURN(B848,E848)</f>
        <v>0.81319803584700001</v>
      </c>
      <c r="L848" s="12">
        <f>[1]!EM_HKS_VAL_MV(B848,"2019-12-31","2")</f>
        <v>4856009832</v>
      </c>
      <c r="M848">
        <f>[1]!EM_S_VAL_PETTMDEDUCTED(B848,E848)</f>
        <v>19.430803787354701</v>
      </c>
      <c r="N848" s="7">
        <f>[1]!EM_S_VAL_PBGOODWILLDEDUCTED(B848,E848)</f>
        <v>2.4126873594229501</v>
      </c>
      <c r="O848" s="7">
        <f>[1]!EM_S_VAL_PS_TTM(B848,E848)</f>
        <v>2.3638977413476301</v>
      </c>
      <c r="P848" s="7">
        <f>[1]!EM_S_VAL_PCF_NCFTTM(B848,E848)</f>
        <v>7.1009946491022902</v>
      </c>
      <c r="Q848" s="7">
        <f>[1]!EM_S_VAL_DIVIDENDYIELD2(B848,E848,"2019-11-29")</f>
        <v>1.351650945842835</v>
      </c>
      <c r="T848"/>
      <c r="U848">
        <f>[1]!EM_S_RATIO_EPS_TTM(B848,E848,"1")</f>
        <v>0.55672821235000003</v>
      </c>
      <c r="AT848" s="4" t="str">
        <f>[1]!EM_S_IPO_LISTEDDATE(B848)</f>
        <v>2016-04-15</v>
      </c>
    </row>
    <row r="849" spans="1:46">
      <c r="A849">
        <v>82</v>
      </c>
      <c r="B849" t="str">
        <f>"000401"</f>
        <v>000401</v>
      </c>
      <c r="C849" t="s">
        <v>3620</v>
      </c>
      <c r="D849" t="str">
        <f>[1]!EM_S_INFO_INDEX_EM(B849,"1")</f>
        <v>建材</v>
      </c>
      <c r="E849" s="4">
        <f t="shared" si="13"/>
        <v>43465</v>
      </c>
      <c r="F849" s="11">
        <f>[1]!EM_S_PQ_PCTCHANGE(B849,"2018-01-01","2019-12-31","3")</f>
        <v>26.401589439999999</v>
      </c>
      <c r="G849" s="11">
        <f>[1]!EM_S_PQ_PCTCHANGE(B849,"2018-12-31","2019-12-30","1")</f>
        <v>34.087237479999999</v>
      </c>
      <c r="H849" s="11">
        <f>[1]!EM_S_FA_YOY_OR(B849,E849)</f>
        <v>22.570946471399999</v>
      </c>
      <c r="I849" s="11">
        <f>[1]!EM_S_FA_GROSSPROFITMARGIN(B849,E849)</f>
        <v>30.635780480800001</v>
      </c>
      <c r="J849" s="11">
        <f>[1]!EM_S_FA_NETPROFITMARGIN(B849,E849)</f>
        <v>8.2973739119999994</v>
      </c>
      <c r="K849" s="10">
        <f>[1]!EM_S_FA_ASSETSTURN(B849,E849)</f>
        <v>0.59884099479700004</v>
      </c>
      <c r="L849" s="12">
        <f>[1]!EM_HKS_VAL_MV(B849,"2019-12-31","2")</f>
        <v>22921364767.139999</v>
      </c>
      <c r="M849">
        <f>[1]!EM_S_VAL_PETTMDEDUCTED(B849,E849)</f>
        <v>29.8638645465971</v>
      </c>
      <c r="N849" s="7">
        <f>[1]!EM_S_VAL_PBGOODWILLDEDUCTED(B849,E849)</f>
        <v>1.4756935112351</v>
      </c>
      <c r="O849" s="7">
        <f>[1]!EM_S_VAL_PS_TTM(B849,E849)</f>
        <v>0.91759198264929498</v>
      </c>
      <c r="P849" s="7">
        <f>[1]!EM_S_VAL_PCF_NCFTTM(B849,E849)</f>
        <v>-30.800540715383001</v>
      </c>
      <c r="Q849" s="7">
        <f>[1]!EM_S_VAL_DIVIDENDYIELD2(B849,E849,"2019-11-29")</f>
        <v>2.6899798251513114</v>
      </c>
      <c r="T849"/>
      <c r="U849">
        <f>[1]!EM_S_RATIO_EPS_TTM(B849,E849,"1")</f>
        <v>1.1007075779640509</v>
      </c>
      <c r="AT849" s="4" t="str">
        <f>[1]!EM_S_IPO_LISTEDDATE(B849)</f>
        <v>1996-06-14</v>
      </c>
    </row>
    <row r="850" spans="1:46">
      <c r="A850">
        <v>909</v>
      </c>
      <c r="B850" t="str">
        <f>"002398"</f>
        <v>002398</v>
      </c>
      <c r="C850" t="s">
        <v>1335</v>
      </c>
      <c r="D850" t="str">
        <f>[1]!EM_S_INFO_INDEX_EM(B850,"1")</f>
        <v>建材</v>
      </c>
      <c r="E850" s="4">
        <f t="shared" si="13"/>
        <v>43465</v>
      </c>
      <c r="F850" s="11">
        <f>[1]!EM_S_PQ_PCTCHANGE(B850,"2018-01-01","2019-12-31","3")</f>
        <v>-18.031788179999999</v>
      </c>
      <c r="G850" s="11">
        <f>[1]!EM_S_PQ_PCTCHANGE(B850,"2018-12-31","2019-12-30","1")</f>
        <v>34.075723830000001</v>
      </c>
      <c r="H850" s="11">
        <f>[1]!EM_S_FA_YOY_OR(B850,E850)</f>
        <v>35.944314303200002</v>
      </c>
      <c r="I850" s="11">
        <f>[1]!EM_S_FA_GROSSPROFITMARGIN(B850,E850)</f>
        <v>26.347581784399999</v>
      </c>
      <c r="J850" s="11">
        <f>[1]!EM_S_FA_NETPROFITMARGIN(B850,E850)</f>
        <v>9.3683382062000007</v>
      </c>
      <c r="K850" s="10">
        <f>[1]!EM_S_FA_ASSETSTURN(B850,E850)</f>
        <v>0.79890713782599998</v>
      </c>
      <c r="L850" s="12">
        <f>[1]!EM_HKS_VAL_MV(B850,"2019-12-31","2")</f>
        <v>4182752107.0799999</v>
      </c>
      <c r="M850">
        <f>[1]!EM_S_VAL_PETTMDEDUCTED(B850,E850)</f>
        <v>13.380866291356099</v>
      </c>
      <c r="N850" s="7">
        <f>[1]!EM_S_VAL_PBGOODWILLDEDUCTED(B850,E850)</f>
        <v>1.39832118315725</v>
      </c>
      <c r="O850" s="7">
        <f>[1]!EM_S_VAL_PS_TTM(B850,E850)</f>
        <v>1.2191372231605599</v>
      </c>
      <c r="P850" s="7">
        <f>[1]!EM_S_VAL_PCF_NCFTTM(B850,E850)</f>
        <v>55.0626412151029</v>
      </c>
      <c r="Q850" s="7">
        <f>[1]!EM_S_VAL_DIVIDENDYIELD2(B850,E850,"2019-11-29")</f>
        <v>1.3086295326896762</v>
      </c>
      <c r="T850"/>
      <c r="U850">
        <f>[1]!EM_S_RATIO_EPS_TTM(B850,E850,"1")</f>
        <v>0.35968636377820234</v>
      </c>
      <c r="AT850" s="4" t="str">
        <f>[1]!EM_S_IPO_LISTEDDATE(B850)</f>
        <v>2010-05-06</v>
      </c>
    </row>
    <row r="851" spans="1:46">
      <c r="A851">
        <v>1320</v>
      </c>
      <c r="B851" t="str">
        <f>"002817"</f>
        <v>002817</v>
      </c>
      <c r="C851" t="s">
        <v>1684</v>
      </c>
      <c r="D851" t="str">
        <f>[1]!EM_S_INFO_INDEX_EM(B851,"1")</f>
        <v>医药生物</v>
      </c>
      <c r="E851" s="4">
        <f t="shared" si="13"/>
        <v>43465</v>
      </c>
      <c r="F851" s="11">
        <f>[1]!EM_S_PQ_PCTCHANGE(B851,"2018-01-01","2019-12-31","3")</f>
        <v>-25.73413845</v>
      </c>
      <c r="G851" s="11">
        <f>[1]!EM_S_PQ_PCTCHANGE(B851,"2018-12-31","2019-12-30","1")</f>
        <v>33.953488370000002</v>
      </c>
      <c r="H851" s="11">
        <f>[1]!EM_S_FA_YOY_OR(B851,E851)</f>
        <v>3.0612129954</v>
      </c>
      <c r="I851" s="11">
        <f>[1]!EM_S_FA_GROSSPROFITMARGIN(B851,E851)</f>
        <v>33.281248515000001</v>
      </c>
      <c r="J851" s="11">
        <f>[1]!EM_S_FA_NETPROFITMARGIN(B851,E851)</f>
        <v>11.5596289057</v>
      </c>
      <c r="K851" s="10">
        <f>[1]!EM_S_FA_ASSETSTURN(B851,E851)</f>
        <v>0.38809043217400002</v>
      </c>
      <c r="L851" s="12">
        <f>[1]!EM_HKS_VAL_MV(B851,"2019-12-31","2")</f>
        <v>1961342100</v>
      </c>
      <c r="M851">
        <f>[1]!EM_S_VAL_PETTMDEDUCTED(B851,E851)</f>
        <v>57.9865954062779</v>
      </c>
      <c r="N851" s="7">
        <f>[1]!EM_S_VAL_PBGOODWILLDEDUCTED(B851,E851)</f>
        <v>2.15255790517902</v>
      </c>
      <c r="O851" s="7">
        <f>[1]!EM_S_VAL_PS_TTM(B851,E851)</f>
        <v>5.21257510789117</v>
      </c>
      <c r="P851" s="7">
        <f>[1]!EM_S_VAL_PCF_NCFTTM(B851,E851)</f>
        <v>6.5803648203476603</v>
      </c>
      <c r="Q851" s="7">
        <f>[1]!EM_S_VAL_DIVIDENDYIELD2(B851,E851,"2019-11-29")</f>
        <v>0.41975308641975301</v>
      </c>
      <c r="T851"/>
      <c r="U851">
        <f>[1]!EM_S_RATIO_EPS_TTM(B851,E851,"1")</f>
        <v>0.41497875031729548</v>
      </c>
      <c r="AT851" s="4" t="str">
        <f>[1]!EM_S_IPO_LISTEDDATE(B851)</f>
        <v>2016-10-25</v>
      </c>
    </row>
    <row r="852" spans="1:46">
      <c r="A852">
        <v>3341</v>
      </c>
      <c r="B852" t="str">
        <f>"603299"</f>
        <v>603299</v>
      </c>
      <c r="C852" t="s">
        <v>1811</v>
      </c>
      <c r="D852" t="str">
        <f>[1]!EM_S_INFO_INDEX_EM(B852,"1")</f>
        <v>食品饮料</v>
      </c>
      <c r="E852" s="4">
        <f t="shared" si="13"/>
        <v>43465</v>
      </c>
      <c r="F852" s="11">
        <f>[1]!EM_S_PQ_PCTCHANGE(B852,"2018-01-01","2019-12-31","3")</f>
        <v>-26.075580030000001</v>
      </c>
      <c r="G852" s="11">
        <f>[1]!EM_S_PQ_PCTCHANGE(B852,"2018-12-31","2019-12-30","1")</f>
        <v>33.723196880000003</v>
      </c>
      <c r="H852" s="11">
        <f>[1]!EM_S_FA_YOY_OR(B852,E852)</f>
        <v>6.2835545143999996</v>
      </c>
      <c r="I852" s="11">
        <f>[1]!EM_S_FA_GROSSPROFITMARGIN(B852,E852)</f>
        <v>26.8131567571</v>
      </c>
      <c r="J852" s="11">
        <f>[1]!EM_S_FA_NETPROFITMARGIN(B852,E852)</f>
        <v>5.2861083653999996</v>
      </c>
      <c r="K852" s="10">
        <f>[1]!EM_S_FA_ASSETSTURN(B852,E852)</f>
        <v>0.59991112679900005</v>
      </c>
      <c r="L852" s="12">
        <f>[1]!EM_HKS_VAL_MV(B852,"2019-12-31","2")</f>
        <v>5360300201.1400003</v>
      </c>
      <c r="M852">
        <f>[1]!EM_S_VAL_PETTMDEDUCTED(B852,E852)</f>
        <v>16.996295477562501</v>
      </c>
      <c r="N852" s="7">
        <f>[1]!EM_S_VAL_PBGOODWILLDEDUCTED(B852,E852)</f>
        <v>1.2915244870217799</v>
      </c>
      <c r="O852" s="7">
        <f>[1]!EM_S_VAL_PS_TTM(B852,E852)</f>
        <v>1.0539499782778601</v>
      </c>
      <c r="P852" s="7">
        <f>[1]!EM_S_VAL_PCF_NCFTTM(B852,E852)</f>
        <v>-26.1440957771919</v>
      </c>
      <c r="Q852" s="7">
        <f>[1]!EM_S_VAL_DIVIDENDYIELD2(B852,E852,"2019-11-29")</f>
        <v>0.92879256965944257</v>
      </c>
      <c r="T852"/>
      <c r="U852">
        <f>[1]!EM_S_RATIO_EPS_TTM(B852,E852,"1")</f>
        <v>0.25894805376805374</v>
      </c>
      <c r="AT852" s="4" t="str">
        <f>[1]!EM_S_IPO_LISTEDDATE(B852)</f>
        <v>2015-12-31</v>
      </c>
    </row>
    <row r="853" spans="1:46">
      <c r="A853">
        <v>891</v>
      </c>
      <c r="B853" t="str">
        <f>"002380"</f>
        <v>002380</v>
      </c>
      <c r="C853" t="s">
        <v>2759</v>
      </c>
      <c r="D853" t="str">
        <f>[1]!EM_S_INFO_INDEX_EM(B853,"1")</f>
        <v>信息技术</v>
      </c>
      <c r="E853" s="4">
        <f t="shared" si="13"/>
        <v>43465</v>
      </c>
      <c r="F853" s="11">
        <f>[1]!EM_S_PQ_PCTCHANGE(B853,"2018-01-01","2019-12-31","3")</f>
        <v>-16.988457530000002</v>
      </c>
      <c r="G853" s="11">
        <f>[1]!EM_S_PQ_PCTCHANGE(B853,"2018-12-31","2019-12-30","1")</f>
        <v>33.713200380000004</v>
      </c>
      <c r="H853" s="11">
        <f>[1]!EM_S_FA_YOY_OR(B853,E853)</f>
        <v>3.0343172743000002</v>
      </c>
      <c r="I853" s="11">
        <f>[1]!EM_S_FA_GROSSPROFITMARGIN(B853,E853)</f>
        <v>43.440688890300002</v>
      </c>
      <c r="J853" s="11">
        <f>[1]!EM_S_FA_NETPROFITMARGIN(B853,E853)</f>
        <v>18.9436184039</v>
      </c>
      <c r="K853" s="10">
        <f>[1]!EM_S_FA_ASSETSTURN(B853,E853)</f>
        <v>0.25051754863600001</v>
      </c>
      <c r="L853" s="12">
        <f>[1]!EM_HKS_VAL_MV(B853,"2019-12-31","2")</f>
        <v>3355083253.02</v>
      </c>
      <c r="M853">
        <f>[1]!EM_S_VAL_PETTMDEDUCTED(B853,E853)</f>
        <v>28.3459639780198</v>
      </c>
      <c r="N853" s="7">
        <f>[1]!EM_S_VAL_PBGOODWILLDEDUCTED(B853,E853)</f>
        <v>1.2267231087622901</v>
      </c>
      <c r="O853" s="7">
        <f>[1]!EM_S_VAL_PS_TTM(B853,E853)</f>
        <v>4.18911487178275</v>
      </c>
      <c r="P853" s="7">
        <f>[1]!EM_S_VAL_PCF_NCFTTM(B853,E853)</f>
        <v>19.0657902379577</v>
      </c>
      <c r="Q853" s="7">
        <f>[1]!EM_S_VAL_DIVIDENDYIELD2(B853,E853,"2019-11-29")</f>
        <v>1.5290519877675843</v>
      </c>
      <c r="T853"/>
      <c r="U853">
        <f>[1]!EM_S_RATIO_EPS_TTM(B853,E853,"1")</f>
        <v>0.46748544800406783</v>
      </c>
      <c r="AT853" s="4" t="str">
        <f>[1]!EM_S_IPO_LISTEDDATE(B853)</f>
        <v>2010-03-31</v>
      </c>
    </row>
    <row r="854" spans="1:46">
      <c r="A854">
        <v>284</v>
      </c>
      <c r="B854" t="str">
        <f>"000700"</f>
        <v>000700</v>
      </c>
      <c r="C854" t="s">
        <v>2767</v>
      </c>
      <c r="D854" t="str">
        <f>[1]!EM_S_INFO_INDEX_EM(B854,"1")</f>
        <v>交运设备</v>
      </c>
      <c r="E854" s="4">
        <f t="shared" si="13"/>
        <v>43465</v>
      </c>
      <c r="F854" s="11">
        <f>[1]!EM_S_PQ_PCTCHANGE(B854,"2018-01-01","2019-12-31","3")</f>
        <v>-25.86764964</v>
      </c>
      <c r="G854" s="11">
        <f>[1]!EM_S_PQ_PCTCHANGE(B854,"2018-12-31","2019-12-30","1")</f>
        <v>33.559322029999997</v>
      </c>
      <c r="H854" s="11">
        <f>[1]!EM_S_FA_YOY_OR(B854,E854)</f>
        <v>14.411889760499999</v>
      </c>
      <c r="I854" s="11">
        <f>[1]!EM_S_FA_GROSSPROFITMARGIN(B854,E854)</f>
        <v>19.1261573924</v>
      </c>
      <c r="J854" s="11">
        <f>[1]!EM_S_FA_NETPROFITMARGIN(B854,E854)</f>
        <v>0.20518389400000001</v>
      </c>
      <c r="K854" s="10">
        <f>[1]!EM_S_FA_ASSETSTURN(B854,E854)</f>
        <v>0.66518845813799998</v>
      </c>
      <c r="L854" s="12">
        <f>[1]!EM_HKS_VAL_MV(B854,"2019-12-31","2")</f>
        <v>3250824564.3899999</v>
      </c>
      <c r="M854">
        <f>[1]!EM_S_VAL_PETTMDEDUCTED(B854,E854)</f>
        <v>-11.6723056320117</v>
      </c>
      <c r="N854" s="7">
        <f>[1]!EM_S_VAL_PBGOODWILLDEDUCTED(B854,E854)</f>
        <v>1.1169200102632699</v>
      </c>
      <c r="O854" s="7">
        <f>[1]!EM_S_VAL_PS_TTM(B854,E854)</f>
        <v>0.50688989929924499</v>
      </c>
      <c r="P854" s="7">
        <f>[1]!EM_S_VAL_PCF_NCFTTM(B854,E854)</f>
        <v>-4.7376963350355004</v>
      </c>
      <c r="Q854" s="7">
        <f>[1]!EM_S_VAL_DIVIDENDYIELD2(B854,E854,"2019-11-29")</f>
        <v>3.3854161305214432</v>
      </c>
      <c r="T854"/>
      <c r="U854">
        <f>[1]!EM_S_RATIO_EPS_TTM(B854,E854,"1")</f>
        <v>1.3296332824521482E-2</v>
      </c>
      <c r="AT854" s="4" t="str">
        <f>[1]!EM_S_IPO_LISTEDDATE(B854)</f>
        <v>1997-02-28</v>
      </c>
    </row>
    <row r="855" spans="1:46">
      <c r="A855">
        <v>2611</v>
      </c>
      <c r="B855" t="str">
        <f>"600531"</f>
        <v>600531</v>
      </c>
      <c r="C855" t="s">
        <v>1917</v>
      </c>
      <c r="D855" t="str">
        <f>[1]!EM_S_INFO_INDEX_EM(B855,"1")</f>
        <v>有色金属</v>
      </c>
      <c r="E855" s="4">
        <f t="shared" si="13"/>
        <v>43465</v>
      </c>
      <c r="F855" s="11">
        <f>[1]!EM_S_PQ_PCTCHANGE(B855,"2018-01-01","2019-12-31","3")</f>
        <v>-26.176775540000001</v>
      </c>
      <c r="G855" s="11">
        <f>[1]!EM_S_PQ_PCTCHANGE(B855,"2018-12-31","2019-12-30","1")</f>
        <v>33.524355300000003</v>
      </c>
      <c r="H855" s="11">
        <f>[1]!EM_S_FA_YOY_OR(B855,E855)</f>
        <v>10.804781134800001</v>
      </c>
      <c r="I855" s="11">
        <f>[1]!EM_S_FA_GROSSPROFITMARGIN(B855,E855)</f>
        <v>4.1308451572999996</v>
      </c>
      <c r="J855" s="11">
        <f>[1]!EM_S_FA_NETPROFITMARGIN(B855,E855)</f>
        <v>0.67677841169999997</v>
      </c>
      <c r="K855" s="10">
        <f>[1]!EM_S_FA_ASSETSTURN(B855,E855)</f>
        <v>1.7851300945749999</v>
      </c>
      <c r="L855" s="12">
        <f>[1]!EM_HKS_VAL_MV(B855,"2019-12-31","2")</f>
        <v>5113237953.46</v>
      </c>
      <c r="M855">
        <f>[1]!EM_S_VAL_PETTMDEDUCTED(B855,E855)</f>
        <v>22.447203181496501</v>
      </c>
      <c r="N855" s="7">
        <f>[1]!EM_S_VAL_PBGOODWILLDEDUCTED(B855,E855)</f>
        <v>1.1562572423144299</v>
      </c>
      <c r="O855" s="7">
        <f>[1]!EM_S_VAL_PS_TTM(B855,E855)</f>
        <v>0.20124110186782901</v>
      </c>
      <c r="P855" s="7">
        <f>[1]!EM_S_VAL_PCF_NCFTTM(B855,E855)</f>
        <v>-58.421360476929401</v>
      </c>
      <c r="Q855" s="7">
        <f>[1]!EM_S_VAL_DIVIDENDYIELD2(B855,E855,"2019-11-29")</f>
        <v>0.89411764705882357</v>
      </c>
      <c r="T855"/>
      <c r="U855">
        <f>[1]!EM_S_RATIO_EPS_TTM(B855,E855,"1")</f>
        <v>0.12066409054041818</v>
      </c>
      <c r="AT855" s="4" t="str">
        <f>[1]!EM_S_IPO_LISTEDDATE(B855)</f>
        <v>2002-07-30</v>
      </c>
    </row>
    <row r="856" spans="1:46">
      <c r="A856">
        <v>2493</v>
      </c>
      <c r="B856" t="str">
        <f>"600375"</f>
        <v>600375</v>
      </c>
      <c r="C856" t="s">
        <v>2803</v>
      </c>
      <c r="D856" t="str">
        <f>[1]!EM_S_INFO_INDEX_EM(B856,"1")</f>
        <v>交运设备</v>
      </c>
      <c r="E856" s="4">
        <f t="shared" si="13"/>
        <v>43465</v>
      </c>
      <c r="F856" s="11">
        <f>[1]!EM_S_PQ_PCTCHANGE(B856,"2018-01-01","2019-12-31","3")</f>
        <v>-12.359550560000001</v>
      </c>
      <c r="G856" s="11">
        <f>[1]!EM_S_PQ_PCTCHANGE(B856,"2018-12-31","2019-12-30","1")</f>
        <v>33.522727269999997</v>
      </c>
      <c r="H856" s="11">
        <f>[1]!EM_S_FA_YOY_OR(B856,E856)</f>
        <v>21.7207185605</v>
      </c>
      <c r="I856" s="11">
        <f>[1]!EM_S_FA_GROSSPROFITMARGIN(B856,E856)</f>
        <v>13.3448529073</v>
      </c>
      <c r="J856" s="11">
        <f>[1]!EM_S_FA_NETPROFITMARGIN(B856,E856)</f>
        <v>0.84081365029999999</v>
      </c>
      <c r="K856" s="10">
        <f>[1]!EM_S_FA_ASSETSTURN(B856,E856)</f>
        <v>0.63069149883499998</v>
      </c>
      <c r="L856" s="12">
        <f>[1]!EM_HKS_VAL_MV(B856,"2019-12-31","2")</f>
        <v>2600865993.96</v>
      </c>
      <c r="M856">
        <f>[1]!EM_S_VAL_PETTMDEDUCTED(B856,E856)</f>
        <v>-245.33966108265199</v>
      </c>
      <c r="N856" s="7">
        <f>[1]!EM_S_VAL_PBGOODWILLDEDUCTED(B856,E856)</f>
        <v>0.69665815564380695</v>
      </c>
      <c r="O856" s="7">
        <f>[1]!EM_S_VAL_PS_TTM(B856,E856)</f>
        <v>0.295341735090145</v>
      </c>
      <c r="P856" s="7">
        <f>[1]!EM_S_VAL_PCF_NCFTTM(B856,E856)</f>
        <v>-64.199720879160594</v>
      </c>
      <c r="Q856" s="7">
        <f>[1]!EM_S_VAL_DIVIDENDYIELD2(B856,E856,"2019-11-29")</f>
        <v>0</v>
      </c>
      <c r="T856"/>
      <c r="U856">
        <f>[1]!EM_S_RATIO_EPS_TTM(B856,E856,"1")</f>
        <v>0.10704279941240283</v>
      </c>
      <c r="AT856" s="4" t="str">
        <f>[1]!EM_S_IPO_LISTEDDATE(B856)</f>
        <v>2003-04-01</v>
      </c>
    </row>
    <row r="857" spans="1:46">
      <c r="A857">
        <v>2909</v>
      </c>
      <c r="B857" t="str">
        <f>"600836"</f>
        <v>600836</v>
      </c>
      <c r="C857" t="s">
        <v>2455</v>
      </c>
      <c r="D857" t="str">
        <f>[1]!EM_S_INFO_INDEX_EM(B857,"1")</f>
        <v>轻工制造</v>
      </c>
      <c r="E857" s="4">
        <f t="shared" si="13"/>
        <v>43465</v>
      </c>
      <c r="F857" s="11">
        <f>[1]!EM_S_PQ_PCTCHANGE(B857,"2018-01-01","2019-12-31","3")</f>
        <v>-1.9464851599999999</v>
      </c>
      <c r="G857" s="11">
        <f>[1]!EM_S_PQ_PCTCHANGE(B857,"2018-12-31","2019-12-30","1")</f>
        <v>33.421750660000001</v>
      </c>
      <c r="H857" s="11">
        <f>[1]!EM_S_FA_YOY_OR(B857,E857)</f>
        <v>2.0515074383999998</v>
      </c>
      <c r="I857" s="11">
        <f>[1]!EM_S_FA_GROSSPROFITMARGIN(B857,E857)</f>
        <v>20.1924758603</v>
      </c>
      <c r="J857" s="11">
        <f>[1]!EM_S_FA_NETPROFITMARGIN(B857,E857)</f>
        <v>-1.4767755254999999</v>
      </c>
      <c r="K857" s="10">
        <f>[1]!EM_S_FA_ASSETSTURN(B857,E857)</f>
        <v>0.39432390778499998</v>
      </c>
      <c r="L857" s="12">
        <f>[1]!EM_HKS_VAL_MV(B857,"2019-12-31","2")</f>
        <v>3293882767.8400002</v>
      </c>
      <c r="M857">
        <f>[1]!EM_S_VAL_PETTMDEDUCTED(B857,E857)</f>
        <v>-200.287449561014</v>
      </c>
      <c r="N857" s="7">
        <f>[1]!EM_S_VAL_PBGOODWILLDEDUCTED(B857,E857)</f>
        <v>2.87008507511448</v>
      </c>
      <c r="O857" s="7">
        <f>[1]!EM_S_VAL_PS_TTM(B857,E857)</f>
        <v>1.7849489373755101</v>
      </c>
      <c r="P857" s="7">
        <f>[1]!EM_S_VAL_PCF_NCFTTM(B857,E857)</f>
        <v>-40.635579565148703</v>
      </c>
      <c r="Q857" s="7">
        <f>[1]!EM_S_VAL_DIVIDENDYIELD2(B857,E857,"2019-11-29")</f>
        <v>0</v>
      </c>
      <c r="T857"/>
      <c r="U857">
        <f>[1]!EM_S_RATIO_EPS_TTM(B857,E857,"1")</f>
        <v>-1.7818616916195899E-2</v>
      </c>
      <c r="AT857" s="4" t="str">
        <f>[1]!EM_S_IPO_LISTEDDATE(B857)</f>
        <v>1994-02-24</v>
      </c>
    </row>
    <row r="858" spans="1:46">
      <c r="A858">
        <v>1833</v>
      </c>
      <c r="B858" t="str">
        <f>"300408"</f>
        <v>300408</v>
      </c>
      <c r="C858" t="s">
        <v>464</v>
      </c>
      <c r="D858" t="str">
        <f>[1]!EM_S_INFO_INDEX_EM(B858,"1")</f>
        <v>电子设备</v>
      </c>
      <c r="E858" s="4">
        <f t="shared" si="13"/>
        <v>43465</v>
      </c>
      <c r="F858" s="11">
        <f>[1]!EM_S_PQ_PCTCHANGE(B858,"2018-01-01","2019-12-31","3")</f>
        <v>12.879364860000001</v>
      </c>
      <c r="G858" s="11">
        <f>[1]!EM_S_PQ_PCTCHANGE(B858,"2018-12-31","2019-12-30","1")</f>
        <v>33.392434989999998</v>
      </c>
      <c r="H858" s="11">
        <f>[1]!EM_S_FA_YOY_OR(B858,E858)</f>
        <v>19.818228684200001</v>
      </c>
      <c r="I858" s="11">
        <f>[1]!EM_S_FA_GROSSPROFITMARGIN(B858,E858)</f>
        <v>54.197832486899998</v>
      </c>
      <c r="J858" s="11">
        <f>[1]!EM_S_FA_NETPROFITMARGIN(B858,E858)</f>
        <v>35.2959560225</v>
      </c>
      <c r="K858" s="10">
        <f>[1]!EM_S_FA_ASSETSTURN(B858,E858)</f>
        <v>0.47107485491200002</v>
      </c>
      <c r="L858" s="12">
        <f>[1]!EM_HKS_VAL_MV(B858,"2019-12-31","2")</f>
        <v>38837672130.160004</v>
      </c>
      <c r="M858">
        <f>[1]!EM_S_VAL_PETTMDEDUCTED(B858,E858)</f>
        <v>23.455747075384298</v>
      </c>
      <c r="N858" s="7">
        <f>[1]!EM_S_VAL_PBGOODWILLDEDUCTED(B858,E858)</f>
        <v>4.3785226197902398</v>
      </c>
      <c r="O858" s="7">
        <f>[1]!EM_S_VAL_PS_TTM(B858,E858)</f>
        <v>7.6553535265324104</v>
      </c>
      <c r="P858" s="7">
        <f>[1]!EM_S_VAL_PCF_NCFTTM(B858,E858)</f>
        <v>-100.835936480822</v>
      </c>
      <c r="Q858" s="7">
        <f>[1]!EM_S_VAL_DIVIDENDYIELD2(B858,E858,"2019-11-29")</f>
        <v>1.3354700854700854</v>
      </c>
      <c r="T858"/>
      <c r="U858">
        <f>[1]!EM_S_RATIO_EPS_TTM(B858,E858,"1")</f>
        <v>0.7564045097326636</v>
      </c>
      <c r="AT858" s="4" t="str">
        <f>[1]!EM_S_IPO_LISTEDDATE(B858)</f>
        <v>2014-12-03</v>
      </c>
    </row>
    <row r="859" spans="1:46">
      <c r="A859">
        <v>2746</v>
      </c>
      <c r="B859" t="str">
        <f>"600673"</f>
        <v>600673</v>
      </c>
      <c r="C859" t="s">
        <v>815</v>
      </c>
      <c r="D859" t="str">
        <f>[1]!EM_S_INFO_INDEX_EM(B859,"1")</f>
        <v>综合</v>
      </c>
      <c r="E859" s="4">
        <f t="shared" si="13"/>
        <v>43465</v>
      </c>
      <c r="F859" s="11">
        <f>[1]!EM_S_PQ_PCTCHANGE(B859,"2018-01-01","2019-12-31","3")</f>
        <v>53.011494480000003</v>
      </c>
      <c r="G859" s="11">
        <f>[1]!EM_S_PQ_PCTCHANGE(B859,"2018-12-31","2019-12-30","1")</f>
        <v>33.379120880000002</v>
      </c>
      <c r="H859" s="11">
        <f>[1]!EM_S_FA_YOY_OR(B859,E859)</f>
        <v>29.7430174715</v>
      </c>
      <c r="I859" s="11">
        <f>[1]!EM_S_FA_GROSSPROFITMARGIN(B859,E859)</f>
        <v>35.1503480031</v>
      </c>
      <c r="J859" s="11">
        <f>[1]!EM_S_FA_NETPROFITMARGIN(B859,E859)</f>
        <v>12.785293961000001</v>
      </c>
      <c r="K859" s="10">
        <f>[1]!EM_S_FA_ASSETSTURN(B859,E859)</f>
        <v>0.70709009632200004</v>
      </c>
      <c r="L859" s="12">
        <f>[1]!EM_HKS_VAL_MV(B859,"2019-12-31","2")</f>
        <v>30862307932.16</v>
      </c>
      <c r="M859">
        <f>[1]!EM_S_VAL_PETTMDEDUCTED(B859,E859)</f>
        <v>27.2849473188604</v>
      </c>
      <c r="N859" s="7">
        <f>[1]!EM_S_VAL_PBGOODWILLDEDUCTED(B859,E859)</f>
        <v>3.2637546061260898</v>
      </c>
      <c r="O859" s="7">
        <f>[1]!EM_S_VAL_PS_TTM(B859,E859)</f>
        <v>2.3050147786230601</v>
      </c>
      <c r="P859" s="7">
        <f>[1]!EM_S_VAL_PCF_NCFTTM(B859,E859)</f>
        <v>-67.388894854072703</v>
      </c>
      <c r="Q859" s="7">
        <f>[1]!EM_S_VAL_DIVIDENDYIELD2(B859,E859,"2019-11-29")</f>
        <v>0.79185520361990924</v>
      </c>
      <c r="T859"/>
      <c r="U859">
        <f>[1]!EM_S_RATIO_EPS_TTM(B859,E859,"1")</f>
        <v>0.36185449028937855</v>
      </c>
      <c r="AT859" s="4" t="str">
        <f>[1]!EM_S_IPO_LISTEDDATE(B859)</f>
        <v>1993-09-17</v>
      </c>
    </row>
    <row r="860" spans="1:46">
      <c r="A860">
        <v>678</v>
      </c>
      <c r="B860" t="str">
        <f>"002167"</f>
        <v>002167</v>
      </c>
      <c r="C860" t="s">
        <v>1996</v>
      </c>
      <c r="D860" t="str">
        <f>[1]!EM_S_INFO_INDEX_EM(B860,"1")</f>
        <v>有色金属</v>
      </c>
      <c r="E860" s="4">
        <f t="shared" si="13"/>
        <v>43465</v>
      </c>
      <c r="F860" s="11">
        <f>[1]!EM_S_PQ_PCTCHANGE(B860,"2018-01-01","2019-12-31","3")</f>
        <v>-32.69230769</v>
      </c>
      <c r="G860" s="11">
        <f>[1]!EM_S_PQ_PCTCHANGE(B860,"2018-12-31","2019-12-30","1")</f>
        <v>33.333333330000002</v>
      </c>
      <c r="H860" s="11">
        <f>[1]!EM_S_FA_YOY_OR(B860,E860)</f>
        <v>-40.9081896625</v>
      </c>
      <c r="I860" s="11">
        <f>[1]!EM_S_FA_GROSSPROFITMARGIN(B860,E860)</f>
        <v>29.877525713400001</v>
      </c>
      <c r="J860" s="11">
        <f>[1]!EM_S_FA_NETPROFITMARGIN(B860,E860)</f>
        <v>2.1330336070000002</v>
      </c>
      <c r="K860" s="10">
        <f>[1]!EM_S_FA_ASSETSTURN(B860,E860)</f>
        <v>0.18594492160000001</v>
      </c>
      <c r="L860" s="12">
        <f>[1]!EM_HKS_VAL_MV(B860,"2019-12-31","2")</f>
        <v>4346622000</v>
      </c>
      <c r="M860">
        <f>[1]!EM_S_VAL_PETTMDEDUCTED(B860,E860)</f>
        <v>-58.059999814603003</v>
      </c>
      <c r="N860" s="7">
        <f>[1]!EM_S_VAL_PBGOODWILLDEDUCTED(B860,E860)</f>
        <v>3.1440991799212599</v>
      </c>
      <c r="O860" s="7">
        <f>[1]!EM_S_VAL_PS_TTM(B860,E860)</f>
        <v>4.2956491865300599</v>
      </c>
      <c r="P860" s="7">
        <f>[1]!EM_S_VAL_PCF_NCFTTM(B860,E860)</f>
        <v>-14.0112240127565</v>
      </c>
      <c r="Q860" s="7">
        <f>[1]!EM_S_VAL_DIVIDENDYIELD2(B860,E860,"2019-11-29")</f>
        <v>0</v>
      </c>
      <c r="T860"/>
      <c r="U860">
        <f>[1]!EM_S_RATIO_EPS_TTM(B860,E860,"1")</f>
        <v>1.7115475435867208E-2</v>
      </c>
      <c r="AT860" s="4" t="str">
        <f>[1]!EM_S_IPO_LISTEDDATE(B860)</f>
        <v>2007-09-13</v>
      </c>
    </row>
    <row r="861" spans="1:46">
      <c r="A861">
        <v>1767</v>
      </c>
      <c r="B861" t="str">
        <f>"300342"</f>
        <v>300342</v>
      </c>
      <c r="C861" t="s">
        <v>785</v>
      </c>
      <c r="D861" t="str">
        <f>[1]!EM_S_INFO_INDEX_EM(B861,"1")</f>
        <v>家电</v>
      </c>
      <c r="E861" s="4">
        <f t="shared" si="13"/>
        <v>43465</v>
      </c>
      <c r="F861" s="11">
        <f>[1]!EM_S_PQ_PCTCHANGE(B861,"2018-01-01","2019-12-31","3")</f>
        <v>-39.53571926</v>
      </c>
      <c r="G861" s="11">
        <f>[1]!EM_S_PQ_PCTCHANGE(B861,"2018-12-31","2019-12-30","1")</f>
        <v>33.333333330000002</v>
      </c>
      <c r="H861" s="11">
        <f>[1]!EM_S_FA_YOY_OR(B861,E861)</f>
        <v>-3.5222641283999998</v>
      </c>
      <c r="I861" s="11">
        <f>[1]!EM_S_FA_GROSSPROFITMARGIN(B861,E861)</f>
        <v>31.625396934899999</v>
      </c>
      <c r="J861" s="11">
        <f>[1]!EM_S_FA_NETPROFITMARGIN(B861,E861)</f>
        <v>13.085758675399999</v>
      </c>
      <c r="K861" s="10">
        <f>[1]!EM_S_FA_ASSETSTURN(B861,E861)</f>
        <v>0.40533163903000002</v>
      </c>
      <c r="L861" s="12">
        <f>[1]!EM_HKS_VAL_MV(B861,"2019-12-31","2")</f>
        <v>4111157469.4400001</v>
      </c>
      <c r="M861">
        <f>[1]!EM_S_VAL_PETTMDEDUCTED(B861,E861)</f>
        <v>21.146740222584899</v>
      </c>
      <c r="N861" s="7">
        <f>[1]!EM_S_VAL_PBGOODWILLDEDUCTED(B861,E861)</f>
        <v>2.8221777423116499</v>
      </c>
      <c r="O861" s="7">
        <f>[1]!EM_S_VAL_PS_TTM(B861,E861)</f>
        <v>3.9389358847033198</v>
      </c>
      <c r="P861" s="7">
        <f>[1]!EM_S_VAL_PCF_NCFTTM(B861,E861)</f>
        <v>39.480009118047903</v>
      </c>
      <c r="Q861" s="7">
        <f>[1]!EM_S_VAL_DIVIDENDYIELD2(B861,E861,"2019-11-29")</f>
        <v>1.7304884123842659</v>
      </c>
      <c r="T861"/>
      <c r="U861">
        <f>[1]!EM_S_RATIO_EPS_TTM(B861,E861,"1")</f>
        <v>0.22528450475208295</v>
      </c>
      <c r="AT861" s="4" t="str">
        <f>[1]!EM_S_IPO_LISTEDDATE(B861)</f>
        <v>2012-07-26</v>
      </c>
    </row>
    <row r="862" spans="1:46">
      <c r="A862">
        <v>1256</v>
      </c>
      <c r="B862" t="str">
        <f>"002747"</f>
        <v>002747</v>
      </c>
      <c r="C862" t="s">
        <v>2069</v>
      </c>
      <c r="D862" t="str">
        <f>[1]!EM_S_INFO_INDEX_EM(B862,"1")</f>
        <v>机械设备</v>
      </c>
      <c r="E862" s="4">
        <f t="shared" si="13"/>
        <v>43465</v>
      </c>
      <c r="F862" s="11">
        <f>[1]!EM_S_PQ_PCTCHANGE(B862,"2018-01-01","2019-12-31","3")</f>
        <v>2.5313535900000002</v>
      </c>
      <c r="G862" s="11">
        <f>[1]!EM_S_PQ_PCTCHANGE(B862,"2018-12-31","2019-12-30","1")</f>
        <v>33.254994119999999</v>
      </c>
      <c r="H862" s="11">
        <f>[1]!EM_S_FA_YOY_OR(B862,E862)</f>
        <v>35.719495340999998</v>
      </c>
      <c r="I862" s="11">
        <f>[1]!EM_S_FA_GROSSPROFITMARGIN(B862,E862)</f>
        <v>35.9855449808</v>
      </c>
      <c r="J862" s="11">
        <f>[1]!EM_S_FA_NETPROFITMARGIN(B862,E862)</f>
        <v>7.7979582120000002</v>
      </c>
      <c r="K862" s="10">
        <f>[1]!EM_S_FA_ASSETSTURN(B862,E862)</f>
        <v>0.42655830407400003</v>
      </c>
      <c r="L862" s="12">
        <f>[1]!EM_HKS_VAL_MV(B862,"2019-12-31","2")</f>
        <v>9401328870.1599998</v>
      </c>
      <c r="M862">
        <f>[1]!EM_S_VAL_PETTMDEDUCTED(B862,E862)</f>
        <v>91.623500129556902</v>
      </c>
      <c r="N862" s="7">
        <f>[1]!EM_S_VAL_PBGOODWILLDEDUCTED(B862,E862)</f>
        <v>6.2094731255617104</v>
      </c>
      <c r="O862" s="7">
        <f>[1]!EM_S_VAL_PS_TTM(B862,E862)</f>
        <v>4.8280116619344904</v>
      </c>
      <c r="P862" s="7">
        <f>[1]!EM_S_VAL_PCF_NCFTTM(B862,E862)</f>
        <v>-56.952288163458498</v>
      </c>
      <c r="Q862" s="7">
        <f>[1]!EM_S_VAL_DIVIDENDYIELD2(B862,E862,"2019-11-29")</f>
        <v>0.76658617331410839</v>
      </c>
      <c r="T862"/>
      <c r="U862">
        <f>[1]!EM_S_RATIO_EPS_TTM(B862,E862,"1")</f>
        <v>0.12086414803866211</v>
      </c>
      <c r="AT862" s="4" t="str">
        <f>[1]!EM_S_IPO_LISTEDDATE(B862)</f>
        <v>2015-03-20</v>
      </c>
    </row>
    <row r="863" spans="1:46">
      <c r="A863">
        <v>508</v>
      </c>
      <c r="B863" t="str">
        <f>"001696"</f>
        <v>001696</v>
      </c>
      <c r="C863" t="s">
        <v>1700</v>
      </c>
      <c r="D863" t="str">
        <f>[1]!EM_S_INFO_INDEX_EM(B863,"1")</f>
        <v>交运设备</v>
      </c>
      <c r="E863" s="4">
        <f t="shared" si="13"/>
        <v>43465</v>
      </c>
      <c r="F863" s="11">
        <f>[1]!EM_S_PQ_PCTCHANGE(B863,"2018-01-01","2019-12-31","3")</f>
        <v>-4.0511874499999996</v>
      </c>
      <c r="G863" s="11">
        <f>[1]!EM_S_PQ_PCTCHANGE(B863,"2018-12-31","2019-12-30","1")</f>
        <v>33.027522939999997</v>
      </c>
      <c r="H863" s="11">
        <f>[1]!EM_S_FA_YOY_OR(B863,E863)</f>
        <v>15.2405763322</v>
      </c>
      <c r="I863" s="11">
        <f>[1]!EM_S_FA_GROSSPROFITMARGIN(B863,E863)</f>
        <v>16.604460081900001</v>
      </c>
      <c r="J863" s="11">
        <f>[1]!EM_S_FA_NETPROFITMARGIN(B863,E863)</f>
        <v>7.1790100098999998</v>
      </c>
      <c r="K863" s="10">
        <f>[1]!EM_S_FA_ASSETSTURN(B863,E863)</f>
        <v>0.79331809553699995</v>
      </c>
      <c r="L863" s="12">
        <f>[1]!EM_HKS_VAL_MV(B863,"2019-12-31","2")</f>
        <v>6664056674.3999996</v>
      </c>
      <c r="M863">
        <f>[1]!EM_S_VAL_PETTMDEDUCTED(B863,E863)</f>
        <v>15.1246861958005</v>
      </c>
      <c r="N863" s="7">
        <f>[1]!EM_S_VAL_PBGOODWILLDEDUCTED(B863,E863)</f>
        <v>1.5464692434801399</v>
      </c>
      <c r="O863" s="7">
        <f>[1]!EM_S_VAL_PS_TTM(B863,E863)</f>
        <v>0.84766784148684904</v>
      </c>
      <c r="P863" s="7">
        <f>[1]!EM_S_VAL_PCF_NCFTTM(B863,E863)</f>
        <v>62.375481660973797</v>
      </c>
      <c r="Q863" s="7">
        <f>[1]!EM_S_VAL_DIVIDENDYIELD2(B863,E863,"2019-11-29")</f>
        <v>4.3314500941619585</v>
      </c>
      <c r="T863"/>
      <c r="U863">
        <f>[1]!EM_S_RATIO_EPS_TTM(B863,E863,"1")</f>
        <v>0.32667186024761757</v>
      </c>
      <c r="AT863" s="4" t="str">
        <f>[1]!EM_S_IPO_LISTEDDATE(B863)</f>
        <v>1997-03-06</v>
      </c>
    </row>
    <row r="864" spans="1:46">
      <c r="A864">
        <v>1900</v>
      </c>
      <c r="B864" t="str">
        <f>"300475"</f>
        <v>300475</v>
      </c>
      <c r="C864" t="s">
        <v>3144</v>
      </c>
      <c r="D864" t="str">
        <f>[1]!EM_S_INFO_INDEX_EM(B864,"1")</f>
        <v>家电</v>
      </c>
      <c r="E864" s="4">
        <f t="shared" si="13"/>
        <v>43465</v>
      </c>
      <c r="F864" s="11">
        <f>[1]!EM_S_PQ_PCTCHANGE(B864,"2018-01-01","2019-12-31","3")</f>
        <v>16.64826424</v>
      </c>
      <c r="G864" s="11">
        <f>[1]!EM_S_PQ_PCTCHANGE(B864,"2018-12-31","2019-12-30","1")</f>
        <v>32.967032969999998</v>
      </c>
      <c r="H864" s="11">
        <f>[1]!EM_S_FA_YOY_OR(B864,E864)</f>
        <v>-35.733610261400003</v>
      </c>
      <c r="I864" s="11">
        <f>[1]!EM_S_FA_GROSSPROFITMARGIN(B864,E864)</f>
        <v>29.881884523099998</v>
      </c>
      <c r="J864" s="11">
        <f>[1]!EM_S_FA_NETPROFITMARGIN(B864,E864)</f>
        <v>7.6373256523000004</v>
      </c>
      <c r="K864" s="10">
        <f>[1]!EM_S_FA_ASSETSTURN(B864,E864)</f>
        <v>0.20394740545699999</v>
      </c>
      <c r="L864" s="12">
        <f>[1]!EM_HKS_VAL_MV(B864,"2019-12-31","2")</f>
        <v>3312000000</v>
      </c>
      <c r="M864">
        <f>[1]!EM_S_VAL_PETTMDEDUCTED(B864,E864)</f>
        <v>44.190067137677602</v>
      </c>
      <c r="N864" s="7">
        <f>[1]!EM_S_VAL_PBGOODWILLDEDUCTED(B864,E864)</f>
        <v>1.34150619462409</v>
      </c>
      <c r="O864" s="7">
        <f>[1]!EM_S_VAL_PS_TTM(B864,E864)</f>
        <v>4.3057992531142197</v>
      </c>
      <c r="P864" s="7">
        <f>[1]!EM_S_VAL_PCF_NCFTTM(B864,E864)</f>
        <v>-13.2397386773811</v>
      </c>
      <c r="Q864" s="7">
        <f>[1]!EM_S_VAL_DIVIDENDYIELD2(B864,E864,"2019-11-29")</f>
        <v>0.21505376344086025</v>
      </c>
      <c r="T864"/>
      <c r="U864">
        <f>[1]!EM_S_RATIO_EPS_TTM(B864,E864,"1")</f>
        <v>0.1670731909</v>
      </c>
      <c r="AT864" s="4" t="str">
        <f>[1]!EM_S_IPO_LISTEDDATE(B864)</f>
        <v>2015-06-10</v>
      </c>
    </row>
    <row r="865" spans="1:46">
      <c r="A865">
        <v>2555</v>
      </c>
      <c r="B865" t="str">
        <f>"600466"</f>
        <v>600466</v>
      </c>
      <c r="C865" t="s">
        <v>1293</v>
      </c>
      <c r="D865" t="str">
        <f>[1]!EM_S_INFO_INDEX_EM(B865,"1")</f>
        <v>房地产</v>
      </c>
      <c r="E865" s="4">
        <f t="shared" si="13"/>
        <v>43465</v>
      </c>
      <c r="F865" s="11">
        <f>[1]!EM_S_PQ_PCTCHANGE(B865,"2018-01-01","2019-12-31","3")</f>
        <v>16.210489039999999</v>
      </c>
      <c r="G865" s="11">
        <f>[1]!EM_S_PQ_PCTCHANGE(B865,"2018-12-31","2019-12-30","1")</f>
        <v>32.899628249999999</v>
      </c>
      <c r="H865" s="11">
        <f>[1]!EM_S_FA_YOY_OR(B865,E865)</f>
        <v>25.526401785899999</v>
      </c>
      <c r="I865" s="11">
        <f>[1]!EM_S_FA_GROSSPROFITMARGIN(B865,E865)</f>
        <v>27.7501003679</v>
      </c>
      <c r="J865" s="11">
        <f>[1]!EM_S_FA_NETPROFITMARGIN(B865,E865)</f>
        <v>8.0986546830999995</v>
      </c>
      <c r="K865" s="10">
        <f>[1]!EM_S_FA_ASSETSTURN(B865,E865)</f>
        <v>0.250450758552</v>
      </c>
      <c r="L865" s="12">
        <f>[1]!EM_HKS_VAL_MV(B865,"2019-12-31","2")</f>
        <v>22202243177.950001</v>
      </c>
      <c r="M865">
        <f>[1]!EM_S_VAL_PETTMDEDUCTED(B865,E865)</f>
        <v>7.9141725577373201</v>
      </c>
      <c r="N865" s="7">
        <f>[1]!EM_S_VAL_PBGOODWILLDEDUCTED(B865,E865)</f>
        <v>1.3823833822728699</v>
      </c>
      <c r="O865" s="7">
        <f>[1]!EM_S_VAL_PS_TTM(B865,E865)</f>
        <v>0.57455368253091699</v>
      </c>
      <c r="P865" s="7">
        <f>[1]!EM_S_VAL_PCF_NCFTTM(B865,E865)</f>
        <v>3.7462698258273499</v>
      </c>
      <c r="Q865" s="7">
        <f>[1]!EM_S_VAL_DIVIDENDYIELD2(B865,E865,"2019-11-29")</f>
        <v>3.8938789450555342</v>
      </c>
      <c r="T865"/>
      <c r="U865">
        <f>[1]!EM_S_RATIO_EPS_TTM(B865,E865,"1")</f>
        <v>0.74530609595037667</v>
      </c>
      <c r="AT865" s="4" t="str">
        <f>[1]!EM_S_IPO_LISTEDDATE(B865)</f>
        <v>2001-02-12</v>
      </c>
    </row>
    <row r="866" spans="1:46">
      <c r="A866">
        <v>1634</v>
      </c>
      <c r="B866" t="str">
        <f>"300209"</f>
        <v>300209</v>
      </c>
      <c r="C866" t="s">
        <v>2805</v>
      </c>
      <c r="D866" t="str">
        <f>[1]!EM_S_INFO_INDEX_EM(B866,"1")</f>
        <v>信息技术</v>
      </c>
      <c r="E866" s="4">
        <f t="shared" si="13"/>
        <v>43465</v>
      </c>
      <c r="F866" s="11">
        <f>[1]!EM_S_PQ_PCTCHANGE(B866,"2018-01-01","2019-12-31","3")</f>
        <v>-21.765268849999998</v>
      </c>
      <c r="G866" s="11">
        <f>[1]!EM_S_PQ_PCTCHANGE(B866,"2018-12-31","2019-12-30","1")</f>
        <v>32.839962999999997</v>
      </c>
      <c r="H866" s="11">
        <f>[1]!EM_S_FA_YOY_OR(B866,E866)</f>
        <v>-9.9806107977000007</v>
      </c>
      <c r="I866" s="11">
        <f>[1]!EM_S_FA_GROSSPROFITMARGIN(B866,E866)</f>
        <v>34.014994068</v>
      </c>
      <c r="J866" s="11">
        <f>[1]!EM_S_FA_NETPROFITMARGIN(B866,E866)</f>
        <v>1.7132848359999999</v>
      </c>
      <c r="K866" s="10">
        <f>[1]!EM_S_FA_ASSETSTURN(B866,E866)</f>
        <v>0.33340349393500002</v>
      </c>
      <c r="L866" s="12">
        <f>[1]!EM_HKS_VAL_MV(B866,"2019-12-31","2")</f>
        <v>6081441333.6000004</v>
      </c>
      <c r="M866">
        <f>[1]!EM_S_VAL_PETTMDEDUCTED(B866,E866)</f>
        <v>-184.14582056661499</v>
      </c>
      <c r="N866" s="7">
        <f>[1]!EM_S_VAL_PBGOODWILLDEDUCTED(B866,E866)</f>
        <v>2.7124303051710599</v>
      </c>
      <c r="O866" s="7">
        <f>[1]!EM_S_VAL_PS_TTM(B866,E866)</f>
        <v>3.2471087951775099</v>
      </c>
      <c r="P866" s="7">
        <f>[1]!EM_S_VAL_PCF_NCFTTM(B866,E866)</f>
        <v>-61.413137902559697</v>
      </c>
      <c r="Q866" s="7">
        <f>[1]!EM_S_VAL_DIVIDENDYIELD2(B866,E866,"2019-11-29")</f>
        <v>0.10679731861198739</v>
      </c>
      <c r="T866"/>
      <c r="U866">
        <f>[1]!EM_S_RATIO_EPS_TTM(B866,E866,"1")</f>
        <v>8.3055729772131007E-2</v>
      </c>
      <c r="AT866" s="4" t="str">
        <f>[1]!EM_S_IPO_LISTEDDATE(B866)</f>
        <v>2011-04-26</v>
      </c>
    </row>
    <row r="867" spans="1:46">
      <c r="A867">
        <v>2838</v>
      </c>
      <c r="B867" t="str">
        <f>"600765"</f>
        <v>600765</v>
      </c>
      <c r="C867" t="s">
        <v>2501</v>
      </c>
      <c r="D867" t="str">
        <f>[1]!EM_S_INFO_INDEX_EM(B867,"1")</f>
        <v>机械设备</v>
      </c>
      <c r="E867" s="4">
        <f t="shared" si="13"/>
        <v>43465</v>
      </c>
      <c r="F867" s="11">
        <f>[1]!EM_S_PQ_PCTCHANGE(B867,"2018-01-01","2019-12-31","3")</f>
        <v>-14.2985331</v>
      </c>
      <c r="G867" s="11">
        <f>[1]!EM_S_PQ_PCTCHANGE(B867,"2018-12-31","2019-12-30","1")</f>
        <v>32.79569892</v>
      </c>
      <c r="H867" s="11">
        <f>[1]!EM_S_FA_YOY_OR(B867,E867)</f>
        <v>-3.8592881590000001</v>
      </c>
      <c r="I867" s="11">
        <f>[1]!EM_S_FA_GROSSPROFITMARGIN(B867,E867)</f>
        <v>25.988574561499998</v>
      </c>
      <c r="J867" s="11">
        <f>[1]!EM_S_FA_NETPROFITMARGIN(B867,E867)</f>
        <v>4.2035137175999999</v>
      </c>
      <c r="K867" s="10">
        <f>[1]!EM_S_FA_ASSETSTURN(B867,E867)</f>
        <v>0.44151255519600002</v>
      </c>
      <c r="L867" s="12">
        <f>[1]!EM_HKS_VAL_MV(B867,"2019-12-31","2")</f>
        <v>9550767283.2000008</v>
      </c>
      <c r="M867">
        <f>[1]!EM_S_VAL_PETTMDEDUCTED(B867,E867)</f>
        <v>30.9455135276887</v>
      </c>
      <c r="N867" s="7">
        <f>[1]!EM_S_VAL_PBGOODWILLDEDUCTED(B867,E867)</f>
        <v>1.36217413341041</v>
      </c>
      <c r="O867" s="7">
        <f>[1]!EM_S_VAL_PS_TTM(B867,E867)</f>
        <v>1.07489842845696</v>
      </c>
      <c r="P867" s="7">
        <f>[1]!EM_S_VAL_PCF_NCFTTM(B867,E867)</f>
        <v>5.6444709665258896</v>
      </c>
      <c r="Q867" s="7">
        <f>[1]!EM_S_VAL_DIVIDENDYIELD2(B867,E867,"2019-11-29")</f>
        <v>0.47830923248053392</v>
      </c>
      <c r="T867"/>
      <c r="U867">
        <f>[1]!EM_S_RATIO_EPS_TTM(B867,E867,"1")</f>
        <v>0.42820517533861047</v>
      </c>
      <c r="AT867" s="4" t="str">
        <f>[1]!EM_S_IPO_LISTEDDATE(B867)</f>
        <v>1996-11-06</v>
      </c>
    </row>
    <row r="868" spans="1:46">
      <c r="A868">
        <v>2661</v>
      </c>
      <c r="B868" t="str">
        <f>"600588"</f>
        <v>600588</v>
      </c>
      <c r="C868" t="s">
        <v>3488</v>
      </c>
      <c r="D868" t="str">
        <f>[1]!EM_S_INFO_INDEX_EM(B868,"1")</f>
        <v>信息技术</v>
      </c>
      <c r="E868" s="4">
        <f t="shared" si="13"/>
        <v>43465</v>
      </c>
      <c r="F868" s="11">
        <f>[1]!EM_S_PQ_PCTCHANGE(B868,"2018-01-01","2019-12-31","3")</f>
        <v>129.89394648999999</v>
      </c>
      <c r="G868" s="11">
        <f>[1]!EM_S_PQ_PCTCHANGE(B868,"2018-12-31","2019-12-30","1")</f>
        <v>32.769953049999998</v>
      </c>
      <c r="H868" s="11">
        <f>[1]!EM_S_FA_YOY_OR(B868,E868)</f>
        <v>21.436155280099999</v>
      </c>
      <c r="I868" s="11">
        <f>[1]!EM_S_FA_GROSSPROFITMARGIN(B868,E868)</f>
        <v>69.950974406100002</v>
      </c>
      <c r="J868" s="11">
        <f>[1]!EM_S_FA_NETPROFITMARGIN(B868,E868)</f>
        <v>10.517136366800001</v>
      </c>
      <c r="K868" s="10">
        <f>[1]!EM_S_FA_ASSETSTURN(B868,E868)</f>
        <v>0.52664690846700002</v>
      </c>
      <c r="L868" s="12">
        <f>[1]!EM_HKS_VAL_MV(B868,"2019-12-31","2")</f>
        <v>71110707857.600006</v>
      </c>
      <c r="M868">
        <f>[1]!EM_S_VAL_PETTMDEDUCTED(B868,E868)</f>
        <v>55.250508769008398</v>
      </c>
      <c r="N868" s="7">
        <f>[1]!EM_S_VAL_PBGOODWILLDEDUCTED(B868,E868)</f>
        <v>7.2283222473948596</v>
      </c>
      <c r="O868" s="7">
        <f>[1]!EM_S_VAL_PS_TTM(B868,E868)</f>
        <v>5.3583186559651903</v>
      </c>
      <c r="P868" s="7">
        <f>[1]!EM_S_VAL_PCF_NCFTTM(B868,E868)</f>
        <v>90.310851677036197</v>
      </c>
      <c r="Q868" s="7">
        <f>[1]!EM_S_VAL_DIVIDENDYIELD2(B868,E868,"2019-11-29")</f>
        <v>0.6897705974422228</v>
      </c>
      <c r="T868"/>
      <c r="U868">
        <f>[1]!EM_S_RATIO_EPS_TTM(B868,E868,"1")</f>
        <v>0.31917818099337203</v>
      </c>
      <c r="AT868" s="4" t="str">
        <f>[1]!EM_S_IPO_LISTEDDATE(B868)</f>
        <v>2001-05-18</v>
      </c>
    </row>
    <row r="869" spans="1:46">
      <c r="A869">
        <v>479</v>
      </c>
      <c r="B869" t="str">
        <f>"000966"</f>
        <v>000966</v>
      </c>
      <c r="C869" t="s">
        <v>1677</v>
      </c>
      <c r="D869" t="str">
        <f>[1]!EM_S_INFO_INDEX_EM(B869,"1")</f>
        <v>公用事业</v>
      </c>
      <c r="E869" s="4">
        <f t="shared" si="13"/>
        <v>43465</v>
      </c>
      <c r="F869" s="11">
        <f>[1]!EM_S_PQ_PCTCHANGE(B869,"2018-01-01","2019-12-31","3")</f>
        <v>21.785294960000002</v>
      </c>
      <c r="G869" s="11">
        <f>[1]!EM_S_PQ_PCTCHANGE(B869,"2018-12-31","2019-12-30","1")</f>
        <v>32.763532759999997</v>
      </c>
      <c r="H869" s="11">
        <f>[1]!EM_S_FA_YOY_OR(B869,E869)</f>
        <v>20.104227290200001</v>
      </c>
      <c r="I869" s="11">
        <f>[1]!EM_S_FA_GROSSPROFITMARGIN(B869,E869)</f>
        <v>9.9642070967999992</v>
      </c>
      <c r="J869" s="11">
        <f>[1]!EM_S_FA_NETPROFITMARGIN(B869,E869)</f>
        <v>3.2858592838999998</v>
      </c>
      <c r="K869" s="10">
        <f>[1]!EM_S_FA_ASSETSTURN(B869,E869)</f>
        <v>0.70114944083700004</v>
      </c>
      <c r="L869" s="12">
        <f>[1]!EM_HKS_VAL_MV(B869,"2019-12-31","2")</f>
        <v>5153520972</v>
      </c>
      <c r="M869">
        <f>[1]!EM_S_VAL_PETTMDEDUCTED(B869,E869)</f>
        <v>202.974266493459</v>
      </c>
      <c r="N869" s="7">
        <f>[1]!EM_S_VAL_PBGOODWILLDEDUCTED(B869,E869)</f>
        <v>1.14950469046574</v>
      </c>
      <c r="O869" s="7">
        <f>[1]!EM_S_VAL_PS_TTM(B869,E869)</f>
        <v>0.63606325127844898</v>
      </c>
      <c r="P869" s="7">
        <f>[1]!EM_S_VAL_PCF_NCFTTM(B869,E869)</f>
        <v>-51.417730228490598</v>
      </c>
      <c r="Q869" s="7">
        <f>[1]!EM_S_VAL_DIVIDENDYIELD2(B869,E869,"2019-11-29")</f>
        <v>1.2820512820512819</v>
      </c>
      <c r="T869"/>
      <c r="U869">
        <f>[1]!EM_S_RATIO_EPS_TTM(B869,E869,"1")</f>
        <v>0.18829696420434011</v>
      </c>
      <c r="AT869" s="4" t="str">
        <f>[1]!EM_S_IPO_LISTEDDATE(B869)</f>
        <v>2000-03-16</v>
      </c>
    </row>
    <row r="870" spans="1:46">
      <c r="A870">
        <v>98</v>
      </c>
      <c r="B870" t="str">
        <f>"000418"</f>
        <v>000418</v>
      </c>
      <c r="C870" t="s">
        <v>158</v>
      </c>
      <c r="D870">
        <f>[1]!EM_S_INFO_INDEX_EM(B870,"1")</f>
        <v>0</v>
      </c>
      <c r="E870" s="4">
        <f t="shared" si="13"/>
        <v>43465</v>
      </c>
      <c r="F870" s="11">
        <f>[1]!EM_S_PQ_PCTCHANGE(B870,"2018-01-01","2019-12-31","3")</f>
        <v>-8.2671249800000002</v>
      </c>
      <c r="G870" s="11">
        <f>[1]!EM_S_PQ_PCTCHANGE(B870,"2018-12-31","2019-12-30","1")</f>
        <v>32.693641620000001</v>
      </c>
      <c r="H870" s="11">
        <f>[1]!EM_S_FA_YOY_OR(B870,E870)</f>
        <v>10.5319714512</v>
      </c>
      <c r="I870" s="11">
        <f>[1]!EM_S_FA_GROSSPROFITMARGIN(B870,E870)</f>
        <v>26.2000252622</v>
      </c>
      <c r="J870" s="11">
        <f>[1]!EM_S_FA_NETPROFITMARGIN(B870,E870)</f>
        <v>9.0155319542000001</v>
      </c>
      <c r="K870" s="10">
        <f>[1]!EM_S_FA_ASSETSTURN(B870,E870)</f>
        <v>1.052862397587</v>
      </c>
      <c r="L870" s="12">
        <f>[1]!EM_HKS_VAL_MV(B870,"2019-12-31","2")</f>
        <v>36298472775.959999</v>
      </c>
      <c r="M870">
        <f>[1]!EM_S_VAL_PETTMDEDUCTED(B870,E870)</f>
        <v>16.457193658352999</v>
      </c>
      <c r="N870" s="7">
        <f>[1]!EM_S_VAL_PBGOODWILLDEDUCTED(B870,E870)</f>
        <v>3.2910117998052399</v>
      </c>
      <c r="O870" s="7">
        <f>[1]!EM_S_VAL_PS_TTM(B870,E870)</f>
        <v>1.19850002634179</v>
      </c>
      <c r="P870" s="7">
        <f>[1]!EM_S_VAL_PCF_NCFTTM(B870,E870)</f>
        <v>-14.582215101687799</v>
      </c>
      <c r="Q870" s="7">
        <f>[1]!EM_S_VAL_DIVIDENDYIELD2(B870,E870,"2019-11-29")</f>
        <v>0</v>
      </c>
      <c r="T870"/>
      <c r="U870">
        <f>[1]!EM_S_RATIO_EPS_TTM(B870,E870,"1")</f>
        <v>2.9446556349349393</v>
      </c>
      <c r="AT870" s="4" t="str">
        <f>[1]!EM_S_IPO_LISTEDDATE(B870)</f>
        <v>1997-03-28</v>
      </c>
    </row>
    <row r="871" spans="1:46">
      <c r="A871">
        <v>970</v>
      </c>
      <c r="B871" t="str">
        <f>"002459"</f>
        <v>002459</v>
      </c>
      <c r="C871" t="s">
        <v>2901</v>
      </c>
      <c r="D871" t="str">
        <f>[1]!EM_S_INFO_INDEX_EM(B871,"1")</f>
        <v>电气设备</v>
      </c>
      <c r="E871" s="4">
        <f t="shared" si="13"/>
        <v>43465</v>
      </c>
      <c r="F871" s="11">
        <f>[1]!EM_S_PQ_PCTCHANGE(B871,"2018-01-01","2019-12-31","3")</f>
        <v>-5.8922558900000004</v>
      </c>
      <c r="G871" s="11">
        <f>[1]!EM_S_PQ_PCTCHANGE(B871,"2018-12-31","2019-12-30","1")</f>
        <v>32.616487460000002</v>
      </c>
      <c r="H871" s="11">
        <f>[1]!EM_S_FA_YOY_OR(B871,E871)</f>
        <v>-0.94921922189999997</v>
      </c>
      <c r="I871" s="11">
        <f>[1]!EM_S_FA_GROSSPROFITMARGIN(B871,E871)</f>
        <v>19.1225480383</v>
      </c>
      <c r="J871" s="11">
        <f>[1]!EM_S_FA_NETPROFITMARGIN(B871,E871)</f>
        <v>1.3926462655</v>
      </c>
      <c r="K871" s="10">
        <f>[1]!EM_S_FA_ASSETSTURN(B871,E871)</f>
        <v>0.242424087845</v>
      </c>
      <c r="L871" s="12">
        <f>[1]!EM_HKS_VAL_MV(B871,"2019-12-31","2")</f>
        <v>14999930636.6</v>
      </c>
      <c r="M871">
        <f>[1]!EM_S_VAL_PETTMDEDUCTED(B871,E871)</f>
        <v>3194.91336895116</v>
      </c>
      <c r="N871" s="7">
        <f>[1]!EM_S_VAL_PBGOODWILLDEDUCTED(B871,E871)</f>
        <v>2.5589832977572202</v>
      </c>
      <c r="O871" s="7">
        <f>[1]!EM_S_VAL_PS_TTM(B871,E871)</f>
        <v>8.1281026136848595</v>
      </c>
      <c r="P871" s="7">
        <f>[1]!EM_S_VAL_PCF_NCFTTM(B871,E871)</f>
        <v>-10.088058347677199</v>
      </c>
      <c r="Q871" s="7">
        <f>[1]!EM_S_VAL_DIVIDENDYIELD2(B871,E871,"2019-11-29")</f>
        <v>0</v>
      </c>
      <c r="T871"/>
      <c r="U871">
        <f>[1]!EM_S_RATIO_EPS_TTM(B871,E871,"1")</f>
        <v>1.2666529009177821E-2</v>
      </c>
      <c r="AT871" s="4" t="str">
        <f>[1]!EM_S_IPO_LISTEDDATE(B871)</f>
        <v>2010-08-10</v>
      </c>
    </row>
    <row r="872" spans="1:46">
      <c r="A872">
        <v>553</v>
      </c>
      <c r="B872" t="str">
        <f>"002042"</f>
        <v>002042</v>
      </c>
      <c r="C872" t="s">
        <v>757</v>
      </c>
      <c r="D872" t="str">
        <f>[1]!EM_S_INFO_INDEX_EM(B872,"1")</f>
        <v>纺织服装</v>
      </c>
      <c r="E872" s="4">
        <f t="shared" si="13"/>
        <v>43465</v>
      </c>
      <c r="F872" s="11">
        <f>[1]!EM_S_PQ_PCTCHANGE(B872,"2018-01-01","2019-12-31","3")</f>
        <v>-10.586427219999999</v>
      </c>
      <c r="G872" s="11">
        <f>[1]!EM_S_PQ_PCTCHANGE(B872,"2018-12-31","2019-12-30","1")</f>
        <v>32.59668508</v>
      </c>
      <c r="H872" s="11">
        <f>[1]!EM_S_FA_YOY_OR(B872,E872)</f>
        <v>13.582260049</v>
      </c>
      <c r="I872" s="11">
        <f>[1]!EM_S_FA_GROSSPROFITMARGIN(B872,E872)</f>
        <v>10.5187098205</v>
      </c>
      <c r="J872" s="11">
        <f>[1]!EM_S_FA_NETPROFITMARGIN(B872,E872)</f>
        <v>5.2664146092999999</v>
      </c>
      <c r="K872" s="10">
        <f>[1]!EM_S_FA_ASSETSTURN(B872,E872)</f>
        <v>0.829573358195</v>
      </c>
      <c r="L872" s="12">
        <f>[1]!EM_HKS_VAL_MV(B872,"2019-12-31","2")</f>
        <v>11152216573.700001</v>
      </c>
      <c r="M872">
        <f>[1]!EM_S_VAL_PETTMDEDUCTED(B872,E872)</f>
        <v>18.274447151476799</v>
      </c>
      <c r="N872" s="7">
        <f>[1]!EM_S_VAL_PBGOODWILLDEDUCTED(B872,E872)</f>
        <v>1.19221641867076</v>
      </c>
      <c r="O872" s="7">
        <f>[1]!EM_S_VAL_PS_TTM(B872,E872)</f>
        <v>0.57054900506105799</v>
      </c>
      <c r="P872" s="7">
        <f>[1]!EM_S_VAL_PCF_NCFTTM(B872,E872)</f>
        <v>-10.476338620852699</v>
      </c>
      <c r="Q872" s="7">
        <f>[1]!EM_S_VAL_DIVIDENDYIELD2(B872,E872,"2019-11-29")</f>
        <v>5.2526333830104317</v>
      </c>
      <c r="T872"/>
      <c r="U872">
        <f>[1]!EM_S_RATIO_EPS_TTM(B872,E872,"1")</f>
        <v>0.49479632869307283</v>
      </c>
      <c r="AT872" s="4" t="str">
        <f>[1]!EM_S_IPO_LISTEDDATE(B872)</f>
        <v>2005-04-27</v>
      </c>
    </row>
    <row r="873" spans="1:46">
      <c r="A873">
        <v>1484</v>
      </c>
      <c r="B873" t="str">
        <f>"300058"</f>
        <v>300058</v>
      </c>
      <c r="C873" t="s">
        <v>1060</v>
      </c>
      <c r="D873" t="str">
        <f>[1]!EM_S_INFO_INDEX_EM(B873,"1")</f>
        <v>文化传媒</v>
      </c>
      <c r="E873" s="4">
        <f t="shared" si="13"/>
        <v>43465</v>
      </c>
      <c r="F873" s="11">
        <f>[1]!EM_S_PQ_PCTCHANGE(B873,"2018-01-01","2019-12-31","3")</f>
        <v>3.37687012</v>
      </c>
      <c r="G873" s="11">
        <f>[1]!EM_S_PQ_PCTCHANGE(B873,"2018-12-31","2019-12-30","1")</f>
        <v>32.488479259999998</v>
      </c>
      <c r="H873" s="11">
        <f>[1]!EM_S_FA_YOY_OR(B873,E873)</f>
        <v>51.692041314699999</v>
      </c>
      <c r="I873" s="11">
        <f>[1]!EM_S_FA_GROSSPROFITMARGIN(B873,E873)</f>
        <v>11.720666912800001</v>
      </c>
      <c r="J873" s="11">
        <f>[1]!EM_S_FA_NETPROFITMARGIN(B873,E873)</f>
        <v>1.7846292370000001</v>
      </c>
      <c r="K873" s="10">
        <f>[1]!EM_S_FA_ASSETSTURN(B873,E873)</f>
        <v>1.3713865384670001</v>
      </c>
      <c r="L873" s="12">
        <f>[1]!EM_HKS_VAL_MV(B873,"2019-12-31","2")</f>
        <v>14074363762.1</v>
      </c>
      <c r="M873">
        <f>[1]!EM_S_VAL_PETTMDEDUCTED(B873,E873)</f>
        <v>31.797237115281899</v>
      </c>
      <c r="N873" s="7">
        <f>[1]!EM_S_VAL_PBGOODWILLDEDUCTED(B873,E873)</f>
        <v>6.2960210178748897</v>
      </c>
      <c r="O873" s="7">
        <f>[1]!EM_S_VAL_PS_TTM(B873,E873)</f>
        <v>0.43518307928212002</v>
      </c>
      <c r="P873" s="7">
        <f>[1]!EM_S_VAL_PCF_NCFTTM(B873,E873)</f>
        <v>-12.4368208766835</v>
      </c>
      <c r="Q873" s="7">
        <f>[1]!EM_S_VAL_DIVIDENDYIELD2(B873,E873,"2019-11-29")</f>
        <v>0.61523185573505268</v>
      </c>
      <c r="T873"/>
      <c r="U873">
        <f>[1]!EM_S_RATIO_EPS_TTM(B873,E873,"1")</f>
        <v>0.17824636823959117</v>
      </c>
      <c r="AT873" s="4" t="str">
        <f>[1]!EM_S_IPO_LISTEDDATE(B873)</f>
        <v>2010-02-26</v>
      </c>
    </row>
    <row r="874" spans="1:46">
      <c r="A874">
        <v>3078</v>
      </c>
      <c r="B874" t="str">
        <f>"601208"</f>
        <v>601208</v>
      </c>
      <c r="C874" t="s">
        <v>2858</v>
      </c>
      <c r="D874" t="str">
        <f>[1]!EM_S_INFO_INDEX_EM(B874,"1")</f>
        <v>基础化工</v>
      </c>
      <c r="E874" s="4">
        <f t="shared" si="13"/>
        <v>43465</v>
      </c>
      <c r="F874" s="11">
        <f>[1]!EM_S_PQ_PCTCHANGE(B874,"2018-01-01","2019-12-31","3")</f>
        <v>-20.12631837</v>
      </c>
      <c r="G874" s="11">
        <f>[1]!EM_S_PQ_PCTCHANGE(B874,"2018-12-31","2019-12-30","1")</f>
        <v>32.432432429999999</v>
      </c>
      <c r="H874" s="11">
        <f>[1]!EM_S_FA_YOY_OR(B874,E874)</f>
        <v>-5.1630937530000001</v>
      </c>
      <c r="I874" s="11">
        <f>[1]!EM_S_FA_GROSSPROFITMARGIN(B874,E874)</f>
        <v>16.917631053600001</v>
      </c>
      <c r="J874" s="11">
        <f>[1]!EM_S_FA_NETPROFITMARGIN(B874,E874)</f>
        <v>1.9905148558000001</v>
      </c>
      <c r="K874" s="10">
        <f>[1]!EM_S_FA_ASSETSTURN(B874,E874)</f>
        <v>0.53115378256199997</v>
      </c>
      <c r="L874" s="12">
        <f>[1]!EM_HKS_VAL_MV(B874,"2019-12-31","2")</f>
        <v>3082876920</v>
      </c>
      <c r="M874">
        <f>[1]!EM_S_VAL_PETTMDEDUCTED(B874,E874)</f>
        <v>129.336512015631</v>
      </c>
      <c r="N874" s="7">
        <f>[1]!EM_S_VAL_PBGOODWILLDEDUCTED(B874,E874)</f>
        <v>0.98719840968883599</v>
      </c>
      <c r="O874" s="7">
        <f>[1]!EM_S_VAL_PS_TTM(B874,E874)</f>
        <v>1.35703252873951</v>
      </c>
      <c r="P874" s="7">
        <f>[1]!EM_S_VAL_PCF_NCFTTM(B874,E874)</f>
        <v>30.397126316521501</v>
      </c>
      <c r="Q874" s="7">
        <f>[1]!EM_S_VAL_DIVIDENDYIELD2(B874,E874,"2019-11-29")</f>
        <v>0.32822757111597373</v>
      </c>
      <c r="T874"/>
      <c r="U874">
        <f>[1]!EM_S_RATIO_EPS_TTM(B874,E874,"1")</f>
        <v>5.1315382851288144E-2</v>
      </c>
      <c r="AT874" s="4" t="str">
        <f>[1]!EM_S_IPO_LISTEDDATE(B874)</f>
        <v>2011-05-20</v>
      </c>
    </row>
    <row r="875" spans="1:46">
      <c r="A875">
        <v>1244</v>
      </c>
      <c r="B875" t="str">
        <f>"002734"</f>
        <v>002734</v>
      </c>
      <c r="C875" t="s">
        <v>632</v>
      </c>
      <c r="D875" t="str">
        <f>[1]!EM_S_INFO_INDEX_EM(B875,"1")</f>
        <v>基础化工</v>
      </c>
      <c r="E875" s="4">
        <f t="shared" si="13"/>
        <v>43465</v>
      </c>
      <c r="F875" s="11">
        <f>[1]!EM_S_PQ_PCTCHANGE(B875,"2018-01-01","2019-12-31","3")</f>
        <v>-1.80620859</v>
      </c>
      <c r="G875" s="11">
        <f>[1]!EM_S_PQ_PCTCHANGE(B875,"2018-12-31","2019-12-30","1")</f>
        <v>32.421875</v>
      </c>
      <c r="H875" s="11">
        <f>[1]!EM_S_FA_YOY_OR(B875,E875)</f>
        <v>6.7275636525999998</v>
      </c>
      <c r="I875" s="11">
        <f>[1]!EM_S_FA_GROSSPROFITMARGIN(B875,E875)</f>
        <v>27.164973245799999</v>
      </c>
      <c r="J875" s="11">
        <f>[1]!EM_S_FA_NETPROFITMARGIN(B875,E875)</f>
        <v>13.7671423632</v>
      </c>
      <c r="K875" s="10">
        <f>[1]!EM_S_FA_ASSETSTURN(B875,E875)</f>
        <v>0.593291964856</v>
      </c>
      <c r="L875" s="12">
        <f>[1]!EM_HKS_VAL_MV(B875,"2019-12-31","2")</f>
        <v>3965956768.8000002</v>
      </c>
      <c r="M875">
        <f>[1]!EM_S_VAL_PETTMDEDUCTED(B875,E875)</f>
        <v>18.3541236013785</v>
      </c>
      <c r="N875" s="7">
        <f>[1]!EM_S_VAL_PBGOODWILLDEDUCTED(B875,E875)</f>
        <v>1.6322866337661499</v>
      </c>
      <c r="O875" s="7">
        <f>[1]!EM_S_VAL_PS_TTM(B875,E875)</f>
        <v>1.93199551381581</v>
      </c>
      <c r="P875" s="7">
        <f>[1]!EM_S_VAL_PCF_NCFTTM(B875,E875)</f>
        <v>11.4707879147117</v>
      </c>
      <c r="Q875" s="7">
        <f>[1]!EM_S_VAL_DIVIDENDYIELD2(B875,E875,"2019-11-29")</f>
        <v>2.7949956971691341</v>
      </c>
      <c r="T875"/>
      <c r="U875">
        <f>[1]!EM_S_RATIO_EPS_TTM(B875,E875,"1")</f>
        <v>0.7269596542100818</v>
      </c>
      <c r="AT875" s="4" t="str">
        <f>[1]!EM_S_IPO_LISTEDDATE(B875)</f>
        <v>2015-01-27</v>
      </c>
    </row>
    <row r="876" spans="1:46">
      <c r="A876">
        <v>823</v>
      </c>
      <c r="B876" t="str">
        <f>"002312"</f>
        <v>002312</v>
      </c>
      <c r="C876" t="s">
        <v>3548</v>
      </c>
      <c r="D876" t="str">
        <f>[1]!EM_S_INFO_INDEX_EM(B876,"1")</f>
        <v>信息技术</v>
      </c>
      <c r="E876" s="4">
        <f t="shared" si="13"/>
        <v>43465</v>
      </c>
      <c r="F876" s="11">
        <f>[1]!EM_S_PQ_PCTCHANGE(B876,"2018-01-01","2019-12-31","3")</f>
        <v>-37.997054489999996</v>
      </c>
      <c r="G876" s="11">
        <f>[1]!EM_S_PQ_PCTCHANGE(B876,"2018-12-31","2019-12-30","1")</f>
        <v>32.268370609999998</v>
      </c>
      <c r="H876" s="11">
        <f>[1]!EM_S_FA_YOY_OR(B876,E876)</f>
        <v>-11.004528157099999</v>
      </c>
      <c r="I876" s="11">
        <f>[1]!EM_S_FA_GROSSPROFITMARGIN(B876,E876)</f>
        <v>9.4149251970000005</v>
      </c>
      <c r="J876" s="11">
        <f>[1]!EM_S_FA_NETPROFITMARGIN(B876,E876)</f>
        <v>-30.335929713999999</v>
      </c>
      <c r="K876" s="10">
        <f>[1]!EM_S_FA_ASSETSTURN(B876,E876)</f>
        <v>0.195916445918</v>
      </c>
      <c r="L876" s="12">
        <f>[1]!EM_HKS_VAL_MV(B876,"2019-12-31","2")</f>
        <v>5801766195.9300003</v>
      </c>
      <c r="M876">
        <f>[1]!EM_S_VAL_PETTMDEDUCTED(B876,E876)</f>
        <v>-9.9046650220038792</v>
      </c>
      <c r="N876" s="7">
        <f>[1]!EM_S_VAL_PBGOODWILLDEDUCTED(B876,E876)</f>
        <v>1.3221288770081701</v>
      </c>
      <c r="O876" s="7">
        <f>[1]!EM_S_VAL_PS_TTM(B876,E876)</f>
        <v>5.6241057618986803</v>
      </c>
      <c r="P876" s="7">
        <f>[1]!EM_S_VAL_PCF_NCFTTM(B876,E876)</f>
        <v>-9.3612146118382604</v>
      </c>
      <c r="Q876" s="7">
        <f>[1]!EM_S_VAL_DIVIDENDYIELD2(B876,E876,"2019-11-29")</f>
        <v>0</v>
      </c>
      <c r="T876"/>
      <c r="U876">
        <f>[1]!EM_S_RATIO_EPS_TTM(B876,E876,"1")</f>
        <v>-0.158766271766032</v>
      </c>
      <c r="AT876" s="4" t="str">
        <f>[1]!EM_S_IPO_LISTEDDATE(B876)</f>
        <v>2009-12-03</v>
      </c>
    </row>
    <row r="877" spans="1:46">
      <c r="A877">
        <v>3067</v>
      </c>
      <c r="B877" t="str">
        <f>"601166"</f>
        <v>601166</v>
      </c>
      <c r="C877" t="s">
        <v>379</v>
      </c>
      <c r="D877" t="str">
        <f>[1]!EM_S_INFO_INDEX_EM(B877,"1")</f>
        <v>金融</v>
      </c>
      <c r="E877" s="4">
        <f t="shared" si="13"/>
        <v>43465</v>
      </c>
      <c r="F877" s="11">
        <f>[1]!EM_S_PQ_PCTCHANGE(B877,"2018-01-01","2019-12-31","3")</f>
        <v>26.213080479999999</v>
      </c>
      <c r="G877" s="11">
        <f>[1]!EM_S_PQ_PCTCHANGE(B877,"2018-12-31","2019-12-30","1")</f>
        <v>32.262382860000002</v>
      </c>
      <c r="H877" s="11">
        <f>[1]!EM_S_FA_YOY_OR(B877,E877)</f>
        <v>13.0823361315</v>
      </c>
      <c r="I877" s="11">
        <f>[1]!EM_S_FA_GROSSPROFITMARGIN(B877,E877)</f>
        <v>0</v>
      </c>
      <c r="J877" s="11">
        <f>[1]!EM_S_FA_NETPROFITMARGIN(B877,E877)</f>
        <v>38.692375242399997</v>
      </c>
      <c r="K877" s="10">
        <f>[1]!EM_S_FA_ASSETSTURN(B877,E877)</f>
        <v>0</v>
      </c>
      <c r="L877" s="12">
        <f>[1]!EM_HKS_VAL_MV(B877,"2019-12-31","2")</f>
        <v>411328976869.79999</v>
      </c>
      <c r="M877">
        <f>[1]!EM_S_VAL_PETTMDEDUCTED(B877,E877)</f>
        <v>5.5388944180308401</v>
      </c>
      <c r="N877" s="7">
        <f>[1]!EM_S_VAL_PBGOODWILLDEDUCTED(B877,E877)</f>
        <v>0.70615497460829602</v>
      </c>
      <c r="O877" s="7">
        <f>[1]!EM_S_VAL_PS_TTM(B877,E877)</f>
        <v>2.0514667844533001</v>
      </c>
      <c r="P877" s="7">
        <f>[1]!EM_S_VAL_PCF_NCFTTM(B877,E877)</f>
        <v>5.5251884325198901</v>
      </c>
      <c r="Q877" s="7">
        <f>[1]!EM_S_VAL_DIVIDENDYIELD2(B877,E877,"2019-11-29")</f>
        <v>3.6527263102170462</v>
      </c>
      <c r="T877"/>
      <c r="U877">
        <f>[1]!EM_S_RATIO_EPS_TTM(B877,E877,"1")</f>
        <v>2.918043871195414</v>
      </c>
      <c r="AT877" s="4" t="str">
        <f>[1]!EM_S_IPO_LISTEDDATE(B877)</f>
        <v>2007-02-05</v>
      </c>
    </row>
    <row r="878" spans="1:46">
      <c r="A878">
        <v>3539</v>
      </c>
      <c r="B878" t="str">
        <f>"603798"</f>
        <v>603798</v>
      </c>
      <c r="C878" t="s">
        <v>218</v>
      </c>
      <c r="D878" t="str">
        <f>[1]!EM_S_INFO_INDEX_EM(B878,"1")</f>
        <v>化石能源</v>
      </c>
      <c r="E878" s="4">
        <f t="shared" si="13"/>
        <v>43465</v>
      </c>
      <c r="F878" s="11">
        <f>[1]!EM_S_PQ_PCTCHANGE(B878,"2018-01-01","2019-12-31","3")</f>
        <v>-21.327550779999999</v>
      </c>
      <c r="G878" s="11">
        <f>[1]!EM_S_PQ_PCTCHANGE(B878,"2018-12-31","2019-12-30","1")</f>
        <v>32.245301679999997</v>
      </c>
      <c r="H878" s="11">
        <f>[1]!EM_S_FA_YOY_OR(B878,E878)</f>
        <v>-5.4228940015999996</v>
      </c>
      <c r="I878" s="11">
        <f>[1]!EM_S_FA_GROSSPROFITMARGIN(B878,E878)</f>
        <v>30.196589571600001</v>
      </c>
      <c r="J878" s="11">
        <f>[1]!EM_S_FA_NETPROFITMARGIN(B878,E878)</f>
        <v>8.9547489558999995</v>
      </c>
      <c r="K878" s="10">
        <f>[1]!EM_S_FA_ASSETSTURN(B878,E878)</f>
        <v>0.83489411147699999</v>
      </c>
      <c r="L878" s="12">
        <f>[1]!EM_HKS_VAL_MV(B878,"2019-12-31","2")</f>
        <v>2756000000</v>
      </c>
      <c r="M878">
        <f>[1]!EM_S_VAL_PETTMDEDUCTED(B878,E878)</f>
        <v>24.255829670214801</v>
      </c>
      <c r="N878" s="7">
        <f>[1]!EM_S_VAL_PBGOODWILLDEDUCTED(B878,E878)</f>
        <v>2.2977869142410898</v>
      </c>
      <c r="O878" s="7">
        <f>[1]!EM_S_VAL_PS_TTM(B878,E878)</f>
        <v>2.34328991477719</v>
      </c>
      <c r="P878" s="7">
        <f>[1]!EM_S_VAL_PCF_NCFTTM(B878,E878)</f>
        <v>-44.203554939519599</v>
      </c>
      <c r="Q878" s="7">
        <f>[1]!EM_S_VAL_DIVIDENDYIELD2(B878,E878,"2019-11-29")</f>
        <v>1.0638297872340425</v>
      </c>
      <c r="T878"/>
      <c r="U878">
        <f>[1]!EM_S_RATIO_EPS_TTM(B878,E878,"1")</f>
        <v>0.37927522560000004</v>
      </c>
      <c r="AT878" s="4" t="str">
        <f>[1]!EM_S_IPO_LISTEDDATE(B878)</f>
        <v>2016-04-06</v>
      </c>
    </row>
    <row r="879" spans="1:46">
      <c r="A879">
        <v>1861</v>
      </c>
      <c r="B879" t="str">
        <f>"300436"</f>
        <v>300436</v>
      </c>
      <c r="C879" t="s">
        <v>1237</v>
      </c>
      <c r="D879" t="str">
        <f>[1]!EM_S_INFO_INDEX_EM(B879,"1")</f>
        <v>医药生物</v>
      </c>
      <c r="E879" s="4">
        <f t="shared" si="13"/>
        <v>43465</v>
      </c>
      <c r="F879" s="11">
        <f>[1]!EM_S_PQ_PCTCHANGE(B879,"2018-01-01","2019-12-31","3")</f>
        <v>13.739250889999999</v>
      </c>
      <c r="G879" s="11">
        <f>[1]!EM_S_PQ_PCTCHANGE(B879,"2018-12-31","2019-12-30","1")</f>
        <v>32.206185570000002</v>
      </c>
      <c r="H879" s="11">
        <f>[1]!EM_S_FA_YOY_OR(B879,E879)</f>
        <v>35.889695625800002</v>
      </c>
      <c r="I879" s="11">
        <f>[1]!EM_S_FA_GROSSPROFITMARGIN(B879,E879)</f>
        <v>83.606042090100004</v>
      </c>
      <c r="J879" s="11">
        <f>[1]!EM_S_FA_NETPROFITMARGIN(B879,E879)</f>
        <v>4.1598633682999999</v>
      </c>
      <c r="K879" s="10">
        <f>[1]!EM_S_FA_ASSETSTURN(B879,E879)</f>
        <v>0.50584916311799999</v>
      </c>
      <c r="L879" s="12">
        <f>[1]!EM_HKS_VAL_MV(B879,"2019-12-31","2")</f>
        <v>4663400000</v>
      </c>
      <c r="M879">
        <f>[1]!EM_S_VAL_PETTMDEDUCTED(B879,E879)</f>
        <v>504.09844556626098</v>
      </c>
      <c r="N879" s="7">
        <f>[1]!EM_S_VAL_PBGOODWILLDEDUCTED(B879,E879)</f>
        <v>6.9191736375030803</v>
      </c>
      <c r="O879" s="7">
        <f>[1]!EM_S_VAL_PS_TTM(B879,E879)</f>
        <v>9.5387034902098797</v>
      </c>
      <c r="P879" s="7">
        <f>[1]!EM_S_VAL_PCF_NCFTTM(B879,E879)</f>
        <v>-22.969613609820399</v>
      </c>
      <c r="Q879" s="7">
        <f>[1]!EM_S_VAL_DIVIDENDYIELD2(B879,E879,"2019-11-29")</f>
        <v>0</v>
      </c>
      <c r="T879"/>
      <c r="U879">
        <f>[1]!EM_S_RATIO_EPS_TTM(B879,E879,"1")</f>
        <v>0.1167356782475525</v>
      </c>
      <c r="AT879" s="4" t="str">
        <f>[1]!EM_S_IPO_LISTEDDATE(B879)</f>
        <v>2015-04-22</v>
      </c>
    </row>
    <row r="880" spans="1:46">
      <c r="A880">
        <v>436</v>
      </c>
      <c r="B880" t="str">
        <f>"000910"</f>
        <v>000910</v>
      </c>
      <c r="C880" t="s">
        <v>1660</v>
      </c>
      <c r="D880" t="str">
        <f>[1]!EM_S_INFO_INDEX_EM(B880,"1")</f>
        <v>轻工制造</v>
      </c>
      <c r="E880" s="4">
        <f t="shared" si="13"/>
        <v>43465</v>
      </c>
      <c r="F880" s="11">
        <f>[1]!EM_S_PQ_PCTCHANGE(B880,"2018-01-01","2019-12-31","3")</f>
        <v>-37.921256720000002</v>
      </c>
      <c r="G880" s="11">
        <f>[1]!EM_S_PQ_PCTCHANGE(B880,"2018-12-31","2019-12-30","1")</f>
        <v>32.201745879999997</v>
      </c>
      <c r="H880" s="11">
        <f>[1]!EM_S_FA_YOY_OR(B880,E880)</f>
        <v>3.0223745526000001</v>
      </c>
      <c r="I880" s="11">
        <f>[1]!EM_S_FA_GROSSPROFITMARGIN(B880,E880)</f>
        <v>36.416714458000001</v>
      </c>
      <c r="J880" s="11">
        <f>[1]!EM_S_FA_NETPROFITMARGIN(B880,E880)</f>
        <v>10.5335915854</v>
      </c>
      <c r="K880" s="10">
        <f>[1]!EM_S_FA_ASSETSTURN(B880,E880)</f>
        <v>1.0936068733219999</v>
      </c>
      <c r="L880" s="12">
        <f>[1]!EM_HKS_VAL_MV(B880,"2019-12-31","2")</f>
        <v>7745836305</v>
      </c>
      <c r="M880">
        <f>[1]!EM_S_VAL_PETTMDEDUCTED(B880,E880)</f>
        <v>7.8807440217676801</v>
      </c>
      <c r="N880" s="7">
        <f>[1]!EM_S_VAL_PBGOODWILLDEDUCTED(B880,E880)</f>
        <v>1.34908515753338</v>
      </c>
      <c r="O880" s="7">
        <f>[1]!EM_S_VAL_PS_TTM(B880,E880)</f>
        <v>0.77924798897057801</v>
      </c>
      <c r="P880" s="7">
        <f>[1]!EM_S_VAL_PCF_NCFTTM(B880,E880)</f>
        <v>83.436518111226704</v>
      </c>
      <c r="Q880" s="7">
        <f>[1]!EM_S_VAL_DIVIDENDYIELD2(B880,E880,"2019-11-29")</f>
        <v>1.0644263870990092</v>
      </c>
      <c r="T880"/>
      <c r="U880">
        <f>[1]!EM_S_RATIO_EPS_TTM(B880,E880,"1")</f>
        <v>1.3083563125744611</v>
      </c>
      <c r="AT880" s="4" t="str">
        <f>[1]!EM_S_IPO_LISTEDDATE(B880)</f>
        <v>1999-06-30</v>
      </c>
    </row>
    <row r="881" spans="1:46">
      <c r="A881">
        <v>890</v>
      </c>
      <c r="B881" t="str">
        <f>"002379"</f>
        <v>002379</v>
      </c>
      <c r="C881" t="s">
        <v>3045</v>
      </c>
      <c r="D881" t="str">
        <f>[1]!EM_S_INFO_INDEX_EM(B881,"1")</f>
        <v>有色金属</v>
      </c>
      <c r="E881" s="4">
        <f t="shared" si="13"/>
        <v>43465</v>
      </c>
      <c r="F881" s="11">
        <f>[1]!EM_S_PQ_PCTCHANGE(B881,"2018-01-01","2019-12-31","3")</f>
        <v>-33.147113589999996</v>
      </c>
      <c r="G881" s="11">
        <f>[1]!EM_S_PQ_PCTCHANGE(B881,"2018-12-31","2019-12-30","1")</f>
        <v>32.116788319999998</v>
      </c>
      <c r="H881" s="11">
        <f>[1]!EM_S_FA_YOY_OR(B881,E881)</f>
        <v>4.9203946254000002</v>
      </c>
      <c r="I881" s="11">
        <f>[1]!EM_S_FA_GROSSPROFITMARGIN(B881,E881)</f>
        <v>2.9789668056999998</v>
      </c>
      <c r="J881" s="11">
        <f>[1]!EM_S_FA_NETPROFITMARGIN(B881,E881)</f>
        <v>0.56998891330000001</v>
      </c>
      <c r="K881" s="10">
        <f>[1]!EM_S_FA_ASSETSTURN(B881,E881)</f>
        <v>1.1004626459119999</v>
      </c>
      <c r="L881" s="12">
        <f>[1]!EM_HKS_VAL_MV(B881,"2019-12-31","2")</f>
        <v>3325776000</v>
      </c>
      <c r="M881">
        <f>[1]!EM_S_VAL_PETTMDEDUCTED(B881,E881)</f>
        <v>224.17351990744399</v>
      </c>
      <c r="N881" s="7">
        <f>[1]!EM_S_VAL_PBGOODWILLDEDUCTED(B881,E881)</f>
        <v>2.0213398170851198</v>
      </c>
      <c r="O881" s="7">
        <f>[1]!EM_S_VAL_PS_TTM(B881,E881)</f>
        <v>1.7364734795905199</v>
      </c>
      <c r="P881" s="7">
        <f>[1]!EM_S_VAL_PCF_NCFTTM(B881,E881)</f>
        <v>-9.3232170449300007</v>
      </c>
      <c r="Q881" s="7">
        <f>[1]!EM_S_VAL_DIVIDENDYIELD2(B881,E881,"2019-11-29")</f>
        <v>0</v>
      </c>
      <c r="T881"/>
      <c r="U881">
        <f>[1]!EM_S_RATIO_EPS_TTM(B881,E881,"1")</f>
        <v>9.3378051705526773E-3</v>
      </c>
      <c r="AT881" s="4" t="str">
        <f>[1]!EM_S_IPO_LISTEDDATE(B881)</f>
        <v>2010-03-31</v>
      </c>
    </row>
    <row r="882" spans="1:46">
      <c r="A882">
        <v>2775</v>
      </c>
      <c r="B882" t="str">
        <f>"600702"</f>
        <v>600702</v>
      </c>
      <c r="C882" t="s">
        <v>696</v>
      </c>
      <c r="D882" t="str">
        <f>[1]!EM_S_INFO_INDEX_EM(B882,"1")</f>
        <v>食品饮料</v>
      </c>
      <c r="E882" s="4">
        <f t="shared" si="13"/>
        <v>43465</v>
      </c>
      <c r="F882" s="11">
        <f>[1]!EM_S_PQ_PCTCHANGE(B882,"2018-01-01","2019-12-31","3")</f>
        <v>-35.34908574</v>
      </c>
      <c r="G882" s="11">
        <f>[1]!EM_S_PQ_PCTCHANGE(B882,"2018-12-31","2019-12-30","1")</f>
        <v>32.077125330000001</v>
      </c>
      <c r="H882" s="11">
        <f>[1]!EM_S_FA_YOY_OR(B882,E882)</f>
        <v>35.0247620273</v>
      </c>
      <c r="I882" s="11">
        <f>[1]!EM_S_FA_GROSSPROFITMARGIN(B882,E882)</f>
        <v>72.6253301566</v>
      </c>
      <c r="J882" s="11">
        <f>[1]!EM_S_FA_NETPROFITMARGIN(B882,E882)</f>
        <v>16.855390270000001</v>
      </c>
      <c r="K882" s="10">
        <f>[1]!EM_S_FA_ASSETSTURN(B882,E882)</f>
        <v>0.46373127284299998</v>
      </c>
      <c r="L882" s="12">
        <f>[1]!EM_HKS_VAL_MV(B882,"2019-12-31","2")</f>
        <v>10114480370</v>
      </c>
      <c r="M882">
        <f>[1]!EM_S_VAL_PETTMDEDUCTED(B882,E882)</f>
        <v>27.3128170424472</v>
      </c>
      <c r="N882" s="7">
        <f>[1]!EM_S_VAL_PBGOODWILLDEDUCTED(B882,E882)</f>
        <v>3.0592522477851798</v>
      </c>
      <c r="O882" s="7">
        <f>[1]!EM_S_VAL_PS_TTM(B882,E882)</f>
        <v>3.8790726798118</v>
      </c>
      <c r="P882" s="7">
        <f>[1]!EM_S_VAL_PCF_NCFTTM(B882,E882)</f>
        <v>-23.441596776250801</v>
      </c>
      <c r="Q882" s="7">
        <f>[1]!EM_S_VAL_DIVIDENDYIELD2(B882,E882,"2019-11-29")</f>
        <v>0.35492763611302552</v>
      </c>
      <c r="T882"/>
      <c r="U882">
        <f>[1]!EM_S_RATIO_EPS_TTM(B882,E882,"1")</f>
        <v>1.0132746880818264</v>
      </c>
      <c r="AT882" s="4" t="str">
        <f>[1]!EM_S_IPO_LISTEDDATE(B882)</f>
        <v>1996-05-24</v>
      </c>
    </row>
    <row r="883" spans="1:46">
      <c r="A883">
        <v>30</v>
      </c>
      <c r="B883" t="str">
        <f>"000030"</f>
        <v>000030</v>
      </c>
      <c r="C883" t="s">
        <v>509</v>
      </c>
      <c r="D883" t="str">
        <f>[1]!EM_S_INFO_INDEX_EM(B883,"1")</f>
        <v>交运设备</v>
      </c>
      <c r="E883" s="4">
        <f t="shared" si="13"/>
        <v>43465</v>
      </c>
      <c r="F883" s="11">
        <f>[1]!EM_S_PQ_PCTCHANGE(B883,"2018-01-01","2019-12-31","3")</f>
        <v>-13.121772139999999</v>
      </c>
      <c r="G883" s="11">
        <f>[1]!EM_S_PQ_PCTCHANGE(B883,"2019-01-01","2019-12-31","3")</f>
        <v>32.059682019999997</v>
      </c>
      <c r="H883" s="11">
        <f>[1]!EM_S_FA_YOY_OR(B883,E883)</f>
        <v>9.1651488312999998</v>
      </c>
      <c r="I883" s="11">
        <f>[1]!EM_S_FA_GROSSPROFITMARGIN(B883,E883)</f>
        <v>15.5321357011</v>
      </c>
      <c r="J883" s="11">
        <f>[1]!EM_S_FA_NETPROFITMARGIN(B883,E883)</f>
        <v>11.125941325399999</v>
      </c>
      <c r="K883" s="10">
        <f>[1]!EM_S_FA_ASSETSTURN(B883,E883)</f>
        <v>0.71236201155300005</v>
      </c>
      <c r="L883" s="12">
        <f>[1]!EM_HKS_VAL_MV(B883,"2019-12-31","2")</f>
        <v>8618228048.3600006</v>
      </c>
      <c r="M883">
        <f>[1]!EM_S_VAL_PETTMDEDUCTED(B883,E883)</f>
        <v>8.5124884920494406</v>
      </c>
      <c r="N883" s="7">
        <f>[1]!EM_S_VAL_PBGOODWILLDEDUCTED(B883,E883)</f>
        <v>1.05454519744857</v>
      </c>
      <c r="O883" s="7">
        <f>[1]!EM_S_VAL_PS_TTM(B883,E883)</f>
        <v>0.86262874481533902</v>
      </c>
      <c r="P883" s="7">
        <f>[1]!EM_S_VAL_PCF_NCFTTM(B883,E883)</f>
        <v>80.274019548194602</v>
      </c>
      <c r="Q883" s="7">
        <f>[1]!EM_S_VAL_DIVIDENDYIELD2(B883,E883,"2019-11-29")</f>
        <v>3.2467532467532463</v>
      </c>
      <c r="T883"/>
      <c r="U883">
        <f>[1]!EM_S_RATIO_EPS_TTM(B883,E883,"1")</f>
        <v>0.48694414067046982</v>
      </c>
      <c r="AT883" s="4" t="str">
        <f>[1]!EM_S_IPO_LISTEDDATE(B883)</f>
        <v>1993-09-29</v>
      </c>
    </row>
    <row r="884" spans="1:46">
      <c r="A884">
        <v>2831</v>
      </c>
      <c r="B884" t="str">
        <f>"600758"</f>
        <v>600758</v>
      </c>
      <c r="C884" t="s">
        <v>1729</v>
      </c>
      <c r="D884" t="str">
        <f>[1]!EM_S_INFO_INDEX_EM(B884,"1")</f>
        <v>化石能源</v>
      </c>
      <c r="E884" s="4">
        <f t="shared" si="13"/>
        <v>43465</v>
      </c>
      <c r="F884" s="11">
        <f>[1]!EM_S_PQ_PCTCHANGE(B884,"2018-01-01","2019-12-31","3")</f>
        <v>-39.3564753</v>
      </c>
      <c r="G884" s="11">
        <f>[1]!EM_S_PQ_PCTCHANGE(B884,"2018-12-31","2019-12-30","1")</f>
        <v>32</v>
      </c>
      <c r="H884" s="11">
        <f>[1]!EM_S_FA_YOY_OR(B884,E884)</f>
        <v>-4.9417217019999997</v>
      </c>
      <c r="I884" s="11">
        <f>[1]!EM_S_FA_GROSSPROFITMARGIN(B884,E884)</f>
        <v>15.0597860526</v>
      </c>
      <c r="J884" s="11">
        <f>[1]!EM_S_FA_NETPROFITMARGIN(B884,E884)</f>
        <v>1.5375883853000001</v>
      </c>
      <c r="K884" s="10">
        <f>[1]!EM_S_FA_ASSETSTURN(B884,E884)</f>
        <v>0.45732011223899999</v>
      </c>
      <c r="L884" s="12">
        <f>[1]!EM_HKS_VAL_MV(B884,"2019-12-31","2")</f>
        <v>5737555489.96</v>
      </c>
      <c r="M884">
        <f>[1]!EM_S_VAL_PETTMDEDUCTED(B884,E884)</f>
        <v>-121.095479402362</v>
      </c>
      <c r="N884" s="7">
        <f>[1]!EM_S_VAL_PBGOODWILLDEDUCTED(B884,E884)</f>
        <v>0.79570850694130002</v>
      </c>
      <c r="O884" s="7">
        <f>[1]!EM_S_VAL_PS_TTM(B884,E884)</f>
        <v>0.58366150481548595</v>
      </c>
      <c r="P884" s="7">
        <f>[1]!EM_S_VAL_PCF_NCFTTM(B884,E884)</f>
        <v>-3.3539580125005002</v>
      </c>
      <c r="Q884" s="7">
        <f>[1]!EM_S_VAL_DIVIDENDYIELD2(B884,E884,"2019-11-29")</f>
        <v>0.63414634146341475</v>
      </c>
      <c r="T884"/>
      <c r="U884">
        <f>[1]!EM_S_RATIO_EPS_TTM(B884,E884,"1")</f>
        <v>8.4787808720842031E-2</v>
      </c>
      <c r="AT884" s="4" t="str">
        <f>[1]!EM_S_IPO_LISTEDDATE(B884)</f>
        <v>1996-10-29</v>
      </c>
    </row>
    <row r="885" spans="1:46">
      <c r="A885">
        <v>2329</v>
      </c>
      <c r="B885" t="str">
        <f>"600191"</f>
        <v>600191</v>
      </c>
      <c r="C885" t="s">
        <v>3362</v>
      </c>
      <c r="D885" t="str">
        <f>[1]!EM_S_INFO_INDEX_EM(B885,"1")</f>
        <v>农林牧渔</v>
      </c>
      <c r="E885" s="4">
        <f t="shared" si="13"/>
        <v>43465</v>
      </c>
      <c r="F885" s="11">
        <f>[1]!EM_S_PQ_PCTCHANGE(B885,"2018-01-01","2019-12-31","3")</f>
        <v>-28.809632619999999</v>
      </c>
      <c r="G885" s="11">
        <f>[1]!EM_S_PQ_PCTCHANGE(B885,"2018-12-31","2019-12-30","1")</f>
        <v>31.97969543</v>
      </c>
      <c r="H885" s="11">
        <f>[1]!EM_S_FA_YOY_OR(B885,E885)</f>
        <v>-60.929833817499997</v>
      </c>
      <c r="I885" s="11">
        <f>[1]!EM_S_FA_GROSSPROFITMARGIN(B885,E885)</f>
        <v>6.2903672311000003</v>
      </c>
      <c r="J885" s="11">
        <f>[1]!EM_S_FA_NETPROFITMARGIN(B885,E885)</f>
        <v>-178.2769165544</v>
      </c>
      <c r="K885" s="10">
        <f>[1]!EM_S_FA_ASSETSTURN(B885,E885)</f>
        <v>2.8973531726E-2</v>
      </c>
      <c r="L885" s="12">
        <f>[1]!EM_HKS_VAL_MV(B885,"2019-12-31","2")</f>
        <v>2521646400</v>
      </c>
      <c r="M885">
        <f>[1]!EM_S_VAL_PETTMDEDUCTED(B885,E885)</f>
        <v>-16.2487519894892</v>
      </c>
      <c r="N885" s="7">
        <f>[1]!EM_S_VAL_PBGOODWILLDEDUCTED(B885,E885)</f>
        <v>1.0445773887707299</v>
      </c>
      <c r="O885" s="7">
        <f>[1]!EM_S_VAL_PS_TTM(B885,E885)</f>
        <v>227.443391146355</v>
      </c>
      <c r="P885" s="7">
        <f>[1]!EM_S_VAL_PCF_NCFTTM(B885,E885)</f>
        <v>151.762112382504</v>
      </c>
      <c r="Q885" s="7">
        <f>[1]!EM_S_VAL_DIVIDENDYIELD2(B885,E885,"2019-11-29")</f>
        <v>0</v>
      </c>
      <c r="T885"/>
      <c r="U885">
        <f>[1]!EM_S_RATIO_EPS_TTM(B885,E885,"1")</f>
        <v>-0.24041289221994014</v>
      </c>
      <c r="AT885" s="4" t="str">
        <f>[1]!EM_S_IPO_LISTEDDATE(B885)</f>
        <v>1998-12-10</v>
      </c>
    </row>
    <row r="886" spans="1:46">
      <c r="A886">
        <v>2077</v>
      </c>
      <c r="B886" t="str">
        <f>"300658"</f>
        <v>300658</v>
      </c>
      <c r="C886" t="s">
        <v>2422</v>
      </c>
      <c r="D886" t="str">
        <f>[1]!EM_S_INFO_INDEX_EM(B886,"1")</f>
        <v>纺织服装</v>
      </c>
      <c r="E886" s="4">
        <f t="shared" si="13"/>
        <v>43465</v>
      </c>
      <c r="F886" s="11">
        <f>[1]!EM_S_PQ_PCTCHANGE(B886,"2018-01-01","2019-12-31","3")</f>
        <v>-23.299220120000001</v>
      </c>
      <c r="G886" s="11">
        <f>[1]!EM_S_PQ_PCTCHANGE(B886,"2018-12-31","2019-12-30","1")</f>
        <v>31.91865606</v>
      </c>
      <c r="H886" s="11">
        <f>[1]!EM_S_FA_YOY_OR(B886,E886)</f>
        <v>3.8102123394</v>
      </c>
      <c r="I886" s="11">
        <f>[1]!EM_S_FA_GROSSPROFITMARGIN(B886,E886)</f>
        <v>27.591669430900001</v>
      </c>
      <c r="J886" s="11">
        <f>[1]!EM_S_FA_NETPROFITMARGIN(B886,E886)</f>
        <v>5.3167966202999999</v>
      </c>
      <c r="K886" s="10">
        <f>[1]!EM_S_FA_ASSETSTURN(B886,E886)</f>
        <v>0.67834150460300002</v>
      </c>
      <c r="L886" s="12">
        <f>[1]!EM_HKS_VAL_MV(B886,"2019-12-31","2")</f>
        <v>2266024500</v>
      </c>
      <c r="M886">
        <f>[1]!EM_S_VAL_PETTMDEDUCTED(B886,E886)</f>
        <v>36.8457161056144</v>
      </c>
      <c r="N886" s="7">
        <f>[1]!EM_S_VAL_PBGOODWILLDEDUCTED(B886,E886)</f>
        <v>2.19383421325769</v>
      </c>
      <c r="O886" s="7">
        <f>[1]!EM_S_VAL_PS_TTM(B886,E886)</f>
        <v>2.3614148801319299</v>
      </c>
      <c r="P886" s="7">
        <f>[1]!EM_S_VAL_PCF_NCFTTM(B886,E886)</f>
        <v>-29.152598093667301</v>
      </c>
      <c r="Q886" s="7">
        <f>[1]!EM_S_VAL_DIVIDENDYIELD2(B886,E886,"2019-11-29")</f>
        <v>1.0380930553535439</v>
      </c>
      <c r="T886"/>
      <c r="U886">
        <f>[1]!EM_S_RATIO_EPS_TTM(B886,E886,"1")</f>
        <v>0.32407598766666668</v>
      </c>
      <c r="AT886" s="4" t="str">
        <f>[1]!EM_S_IPO_LISTEDDATE(B886)</f>
        <v>2017-06-02</v>
      </c>
    </row>
    <row r="887" spans="1:46">
      <c r="A887">
        <v>1395</v>
      </c>
      <c r="B887" t="str">
        <f>"002897"</f>
        <v>002897</v>
      </c>
      <c r="C887" t="s">
        <v>1746</v>
      </c>
      <c r="D887" t="str">
        <f>[1]!EM_S_INFO_INDEX_EM(B887,"1")</f>
        <v>信息技术</v>
      </c>
      <c r="E887" s="4">
        <f t="shared" si="13"/>
        <v>43465</v>
      </c>
      <c r="F887" s="11">
        <f>[1]!EM_S_PQ_PCTCHANGE(B887,"2018-01-01","2019-12-31","3")</f>
        <v>12.346486730000001</v>
      </c>
      <c r="G887" s="11">
        <f>[1]!EM_S_PQ_PCTCHANGE(B887,"2018-12-31","2019-12-30","1")</f>
        <v>31.83374083</v>
      </c>
      <c r="H887" s="11">
        <f>[1]!EM_S_FA_YOY_OR(B887,E887)</f>
        <v>14.2093652537</v>
      </c>
      <c r="I887" s="11">
        <f>[1]!EM_S_FA_GROSSPROFITMARGIN(B887,E887)</f>
        <v>24.738937017600001</v>
      </c>
      <c r="J887" s="11">
        <f>[1]!EM_S_FA_NETPROFITMARGIN(B887,E887)</f>
        <v>5.3385620376</v>
      </c>
      <c r="K887" s="10">
        <f>[1]!EM_S_FA_ASSETSTURN(B887,E887)</f>
        <v>0.852966770757</v>
      </c>
      <c r="L887" s="12">
        <f>[1]!EM_HKS_VAL_MV(B887,"2019-12-31","2")</f>
        <v>4579129760</v>
      </c>
      <c r="M887">
        <f>[1]!EM_S_VAL_PETTMDEDUCTED(B887,E887)</f>
        <v>46.503289476718003</v>
      </c>
      <c r="N887" s="7">
        <f>[1]!EM_S_VAL_PBGOODWILLDEDUCTED(B887,E887)</f>
        <v>3.1071790575342302</v>
      </c>
      <c r="O887" s="7">
        <f>[1]!EM_S_VAL_PS_TTM(B887,E887)</f>
        <v>2.6185235597352499</v>
      </c>
      <c r="P887" s="7">
        <f>[1]!EM_S_VAL_PCF_NCFTTM(B887,E887)</f>
        <v>-8.0739218702909703</v>
      </c>
      <c r="Q887" s="7">
        <f>[1]!EM_S_VAL_DIVIDENDYIELD2(B887,E887,"2019-11-29")</f>
        <v>0.45871559633027525</v>
      </c>
      <c r="T887"/>
      <c r="U887">
        <f>[1]!EM_S_RATIO_EPS_TTM(B887,E887,"1")</f>
        <v>0.45547584325489832</v>
      </c>
      <c r="AT887" s="4" t="str">
        <f>[1]!EM_S_IPO_LISTEDDATE(B887)</f>
        <v>2017-09-07</v>
      </c>
    </row>
    <row r="888" spans="1:46">
      <c r="A888">
        <v>1795</v>
      </c>
      <c r="B888" t="str">
        <f>"300370"</f>
        <v>300370</v>
      </c>
      <c r="C888" t="s">
        <v>3454</v>
      </c>
      <c r="D888" t="str">
        <f>[1]!EM_S_INFO_INDEX_EM(B888,"1")</f>
        <v>电气设备</v>
      </c>
      <c r="E888" s="4">
        <f t="shared" si="13"/>
        <v>43465</v>
      </c>
      <c r="F888" s="11">
        <f>[1]!EM_S_PQ_PCTCHANGE(B888,"2018-01-01","2019-12-31","3")</f>
        <v>-8.5815313799999995</v>
      </c>
      <c r="G888" s="11">
        <f>[1]!EM_S_PQ_PCTCHANGE(B888,"2018-12-31","2019-12-30","1")</f>
        <v>31.81818182</v>
      </c>
      <c r="H888" s="11">
        <f>[1]!EM_S_FA_YOY_OR(B888,E888)</f>
        <v>-22.380687021899998</v>
      </c>
      <c r="I888" s="11">
        <f>[1]!EM_S_FA_GROSSPROFITMARGIN(B888,E888)</f>
        <v>23.9534690811</v>
      </c>
      <c r="J888" s="11">
        <f>[1]!EM_S_FA_NETPROFITMARGIN(B888,E888)</f>
        <v>-40.578825270199999</v>
      </c>
      <c r="K888" s="10">
        <f>[1]!EM_S_FA_ASSETSTURN(B888,E888)</f>
        <v>0.321180787307</v>
      </c>
      <c r="L888" s="12">
        <f>[1]!EM_HKS_VAL_MV(B888,"2019-12-31","2")</f>
        <v>3340440740.5599999</v>
      </c>
      <c r="M888">
        <f>[1]!EM_S_VAL_PETTMDEDUCTED(B888,E888)</f>
        <v>39.378095627732698</v>
      </c>
      <c r="N888" s="7">
        <f>[1]!EM_S_VAL_PBGOODWILLDEDUCTED(B888,E888)</f>
        <v>4.5453142251781697</v>
      </c>
      <c r="O888" s="7">
        <f>[1]!EM_S_VAL_PS_TTM(B888,E888)</f>
        <v>1.4570723706617701</v>
      </c>
      <c r="P888" s="7">
        <f>[1]!EM_S_VAL_PCF_NCFTTM(B888,E888)</f>
        <v>-16.550944359338999</v>
      </c>
      <c r="Q888" s="7">
        <f>[1]!EM_S_VAL_DIVIDENDYIELD2(B888,E888,"2019-11-29")</f>
        <v>0</v>
      </c>
      <c r="T888"/>
      <c r="U888">
        <f>[1]!EM_S_RATIO_EPS_TTM(B888,E888,"1")</f>
        <v>-0.57482147627372504</v>
      </c>
      <c r="AT888" s="4" t="str">
        <f>[1]!EM_S_IPO_LISTEDDATE(B888)</f>
        <v>2014-01-23</v>
      </c>
    </row>
    <row r="889" spans="1:46">
      <c r="A889">
        <v>1843</v>
      </c>
      <c r="B889" t="str">
        <f>"300418"</f>
        <v>300418</v>
      </c>
      <c r="C889" t="s">
        <v>1059</v>
      </c>
      <c r="D889" t="str">
        <f>[1]!EM_S_INFO_INDEX_EM(B889,"1")</f>
        <v>互联网</v>
      </c>
      <c r="E889" s="4">
        <f t="shared" si="13"/>
        <v>43465</v>
      </c>
      <c r="F889" s="11">
        <f>[1]!EM_S_PQ_PCTCHANGE(B889,"2018-01-01","2019-12-31","3")</f>
        <v>-18.21219022</v>
      </c>
      <c r="G889" s="11">
        <f>[1]!EM_S_PQ_PCTCHANGE(B889,"2018-12-31","2019-12-30","1")</f>
        <v>31.804043549999999</v>
      </c>
      <c r="H889" s="11">
        <f>[1]!EM_S_FA_YOY_OR(B889,E889)</f>
        <v>4.0976043392000001</v>
      </c>
      <c r="I889" s="11">
        <f>[1]!EM_S_FA_GROSSPROFITMARGIN(B889,E889)</f>
        <v>82.611365762299997</v>
      </c>
      <c r="J889" s="11">
        <f>[1]!EM_S_FA_NETPROFITMARGIN(B889,E889)</f>
        <v>41.861513302200002</v>
      </c>
      <c r="K889" s="10">
        <f>[1]!EM_S_FA_ASSETSTURN(B889,E889)</f>
        <v>0.34246575867099999</v>
      </c>
      <c r="L889" s="12">
        <f>[1]!EM_HKS_VAL_MV(B889,"2019-12-31","2")</f>
        <v>19235181654.5</v>
      </c>
      <c r="M889">
        <f>[1]!EM_S_VAL_PETTMDEDUCTED(B889,E889)</f>
        <v>12.508629773012</v>
      </c>
      <c r="N889" s="7">
        <f>[1]!EM_S_VAL_PBGOODWILLDEDUCTED(B889,E889)</f>
        <v>4.0915804532658004</v>
      </c>
      <c r="O889" s="7">
        <f>[1]!EM_S_VAL_PS_TTM(B889,E889)</f>
        <v>4.3154321040478196</v>
      </c>
      <c r="P889" s="7">
        <f>[1]!EM_S_VAL_PCF_NCFTTM(B889,E889)</f>
        <v>-126.79437599196299</v>
      </c>
      <c r="Q889" s="7">
        <f>[1]!EM_S_VAL_DIVIDENDYIELD2(B889,E889,"2019-11-29")</f>
        <v>0</v>
      </c>
      <c r="T889"/>
      <c r="U889">
        <f>[1]!EM_S_RATIO_EPS_TTM(B889,E889,"1")</f>
        <v>0.87334878671974392</v>
      </c>
      <c r="AT889" s="4" t="str">
        <f>[1]!EM_S_IPO_LISTEDDATE(B889)</f>
        <v>2015-01-21</v>
      </c>
    </row>
    <row r="890" spans="1:46">
      <c r="A890">
        <v>1421</v>
      </c>
      <c r="B890" t="str">
        <f>"002926"</f>
        <v>002926</v>
      </c>
      <c r="C890" t="s">
        <v>1626</v>
      </c>
      <c r="D890" t="str">
        <f>[1]!EM_S_INFO_INDEX_EM(B890,"1")</f>
        <v>金融</v>
      </c>
      <c r="E890" s="4">
        <f t="shared" si="13"/>
        <v>43465</v>
      </c>
      <c r="F890" s="11">
        <f>[1]!EM_S_PQ_PCTCHANGE(B890,"2018-01-01","2019-12-31","3")</f>
        <v>17.826961170000001</v>
      </c>
      <c r="G890" s="11">
        <f>[1]!EM_S_PQ_PCTCHANGE(B890,"2018-12-31","2019-12-30","1")</f>
        <v>31.780167259999999</v>
      </c>
      <c r="H890" s="11">
        <f>[1]!EM_S_FA_YOY_OR(B890,E890)</f>
        <v>-4.730940565</v>
      </c>
      <c r="I890" s="11">
        <f>[1]!EM_S_FA_GROSSPROFITMARGIN(B890,E890)</f>
        <v>0</v>
      </c>
      <c r="J890" s="11">
        <f>[1]!EM_S_FA_NETPROFITMARGIN(B890,E890)</f>
        <v>33.203486574899998</v>
      </c>
      <c r="K890" s="10">
        <f>[1]!EM_S_FA_ASSETSTURN(B890,E890)</f>
        <v>0</v>
      </c>
      <c r="L890" s="12">
        <f>[1]!EM_HKS_VAL_MV(B890,"2019-12-31","2")</f>
        <v>28901250000</v>
      </c>
      <c r="M890">
        <f>[1]!EM_S_VAL_PETTMDEDUCTED(B890,E890)</f>
        <v>24.840852363991601</v>
      </c>
      <c r="N890" s="7">
        <f>[1]!EM_S_VAL_PBGOODWILLDEDUCTED(B890,E890)</f>
        <v>1.1978544068632</v>
      </c>
      <c r="O890" s="7">
        <f>[1]!EM_S_VAL_PS_TTM(B890,E890)</f>
        <v>8.2414522521395206</v>
      </c>
      <c r="P890" s="7">
        <f>[1]!EM_S_VAL_PCF_NCFTTM(B890,E890)</f>
        <v>-30.778310116003698</v>
      </c>
      <c r="Q890" s="7">
        <f>[1]!EM_S_VAL_DIVIDENDYIELD2(B890,E890,"2019-11-29")</f>
        <v>0.80423280423280419</v>
      </c>
      <c r="T890"/>
      <c r="U890">
        <f>[1]!EM_S_RATIO_EPS_TTM(B890,E890,"1")</f>
        <v>0.32195518021714287</v>
      </c>
      <c r="AT890" s="4" t="str">
        <f>[1]!EM_S_IPO_LISTEDDATE(B890)</f>
        <v>2018-02-05</v>
      </c>
    </row>
    <row r="891" spans="1:46">
      <c r="A891">
        <v>3236</v>
      </c>
      <c r="B891" t="str">
        <f>"603040"</f>
        <v>603040</v>
      </c>
      <c r="C891" t="s">
        <v>382</v>
      </c>
      <c r="D891" t="str">
        <f>[1]!EM_S_INFO_INDEX_EM(B891,"1")</f>
        <v>交运设备</v>
      </c>
      <c r="E891" s="4">
        <f t="shared" si="13"/>
        <v>43465</v>
      </c>
      <c r="F891" s="11">
        <f>[1]!EM_S_PQ_PCTCHANGE(B891,"2018-01-01","2019-12-31","3")</f>
        <v>-30.913337890000001</v>
      </c>
      <c r="G891" s="11">
        <f>[1]!EM_S_PQ_PCTCHANGE(B891,"2018-12-31","2019-12-30","1")</f>
        <v>31.751412429999998</v>
      </c>
      <c r="H891" s="11">
        <f>[1]!EM_S_FA_YOY_OR(B891,E891)</f>
        <v>11.110193817700001</v>
      </c>
      <c r="I891" s="11">
        <f>[1]!EM_S_FA_GROSSPROFITMARGIN(B891,E891)</f>
        <v>63.991669304399998</v>
      </c>
      <c r="J891" s="11">
        <f>[1]!EM_S_FA_NETPROFITMARGIN(B891,E891)</f>
        <v>34.5129231668</v>
      </c>
      <c r="K891" s="10">
        <f>[1]!EM_S_FA_ASSETSTURN(B891,E891)</f>
        <v>0.41559020292600002</v>
      </c>
      <c r="L891" s="12">
        <f>[1]!EM_HKS_VAL_MV(B891,"2019-12-31","2")</f>
        <v>2767594020.8800001</v>
      </c>
      <c r="M891">
        <f>[1]!EM_S_VAL_PETTMDEDUCTED(B891,E891)</f>
        <v>21.3789353977742</v>
      </c>
      <c r="N891" s="7">
        <f>[1]!EM_S_VAL_PBGOODWILLDEDUCTED(B891,E891)</f>
        <v>3.1148532648304998</v>
      </c>
      <c r="O891" s="7">
        <f>[1]!EM_S_VAL_PS_TTM(B891,E891)</f>
        <v>7.0085545979822399</v>
      </c>
      <c r="P891" s="7">
        <f>[1]!EM_S_VAL_PCF_NCFTTM(B891,E891)</f>
        <v>-21.7456727990612</v>
      </c>
      <c r="Q891" s="7">
        <f>[1]!EM_S_VAL_DIVIDENDYIELD2(B891,E891,"2019-11-29")</f>
        <v>1.2380006727157273</v>
      </c>
      <c r="T891"/>
      <c r="U891">
        <f>[1]!EM_S_RATIO_EPS_TTM(B891,E891,"1")</f>
        <v>1.2901510554593307</v>
      </c>
      <c r="AT891" s="4" t="str">
        <f>[1]!EM_S_IPO_LISTEDDATE(B891)</f>
        <v>2017-02-09</v>
      </c>
    </row>
    <row r="892" spans="1:46">
      <c r="A892">
        <v>2275</v>
      </c>
      <c r="B892" t="str">
        <f>"600129"</f>
        <v>600129</v>
      </c>
      <c r="C892" t="s">
        <v>2783</v>
      </c>
      <c r="D892" t="str">
        <f>[1]!EM_S_INFO_INDEX_EM(B892,"1")</f>
        <v>医药生物</v>
      </c>
      <c r="E892" s="4">
        <f t="shared" si="13"/>
        <v>43465</v>
      </c>
      <c r="F892" s="11">
        <f>[1]!EM_S_PQ_PCTCHANGE(B892,"2018-01-01","2019-12-31","3")</f>
        <v>-29.814814949999999</v>
      </c>
      <c r="G892" s="11">
        <f>[1]!EM_S_PQ_PCTCHANGE(B892,"2018-12-31","2019-12-30","1")</f>
        <v>31.736526949999998</v>
      </c>
      <c r="H892" s="11">
        <f>[1]!EM_S_FA_YOY_OR(B892,E892)</f>
        <v>21.8404546033</v>
      </c>
      <c r="I892" s="11">
        <f>[1]!EM_S_FA_GROSSPROFITMARGIN(B892,E892)</f>
        <v>40.248228957199998</v>
      </c>
      <c r="J892" s="11">
        <f>[1]!EM_S_FA_NETPROFITMARGIN(B892,E892)</f>
        <v>0.58046111180000004</v>
      </c>
      <c r="K892" s="10">
        <f>[1]!EM_S_FA_ASSETSTURN(B892,E892)</f>
        <v>0.90770619859699997</v>
      </c>
      <c r="L892" s="12">
        <f>[1]!EM_HKS_VAL_MV(B892,"2019-12-31","2")</f>
        <v>6331847759.2799997</v>
      </c>
      <c r="M892">
        <f>[1]!EM_S_VAL_PETTMDEDUCTED(B892,E892)</f>
        <v>60.730368273769997</v>
      </c>
      <c r="N892" s="7">
        <f>[1]!EM_S_VAL_PBGOODWILLDEDUCTED(B892,E892)</f>
        <v>1.4116103861064999</v>
      </c>
      <c r="O892" s="7">
        <f>[1]!EM_S_VAL_PS_TTM(B892,E892)</f>
        <v>0.47186963098147999</v>
      </c>
      <c r="P892" s="7">
        <f>[1]!EM_S_VAL_PCF_NCFTTM(B892,E892)</f>
        <v>14.4803333151903</v>
      </c>
      <c r="Q892" s="7">
        <f>[1]!EM_S_VAL_DIVIDENDYIELD2(B892,E892,"2019-11-29")</f>
        <v>0.86206896551724155</v>
      </c>
      <c r="T892"/>
      <c r="U892">
        <f>[1]!EM_S_RATIO_EPS_TTM(B892,E892,"1")</f>
        <v>0.12617105916560181</v>
      </c>
      <c r="AT892" s="4" t="str">
        <f>[1]!EM_S_IPO_LISTEDDATE(B892)</f>
        <v>1997-11-18</v>
      </c>
    </row>
    <row r="893" spans="1:46">
      <c r="A893">
        <v>1685</v>
      </c>
      <c r="B893" t="str">
        <f>"300260"</f>
        <v>300260</v>
      </c>
      <c r="C893" t="s">
        <v>2402</v>
      </c>
      <c r="D893" t="str">
        <f>[1]!EM_S_INFO_INDEX_EM(B893,"1")</f>
        <v>机械设备</v>
      </c>
      <c r="E893" s="4">
        <f t="shared" si="13"/>
        <v>43465</v>
      </c>
      <c r="F893" s="11">
        <f>[1]!EM_S_PQ_PCTCHANGE(B893,"2018-01-01","2019-12-31","3")</f>
        <v>-17.642669210000001</v>
      </c>
      <c r="G893" s="11">
        <f>[1]!EM_S_PQ_PCTCHANGE(B893,"2018-12-31","2019-12-30","1")</f>
        <v>31.726457400000001</v>
      </c>
      <c r="H893" s="11">
        <f>[1]!EM_S_FA_YOY_OR(B893,E893)</f>
        <v>84.190631924599998</v>
      </c>
      <c r="I893" s="11">
        <f>[1]!EM_S_FA_GROSSPROFITMARGIN(B893,E893)</f>
        <v>23.8875162979</v>
      </c>
      <c r="J893" s="11">
        <f>[1]!EM_S_FA_NETPROFITMARGIN(B893,E893)</f>
        <v>3.2617268578999998</v>
      </c>
      <c r="K893" s="10">
        <f>[1]!EM_S_FA_ASSETSTURN(B893,E893)</f>
        <v>0.76203021516000002</v>
      </c>
      <c r="L893" s="12">
        <f>[1]!EM_HKS_VAL_MV(B893,"2019-12-31","2")</f>
        <v>2376833800</v>
      </c>
      <c r="M893">
        <f>[1]!EM_S_VAL_PETTMDEDUCTED(B893,E893)</f>
        <v>48.491018039231697</v>
      </c>
      <c r="N893" s="7">
        <f>[1]!EM_S_VAL_PBGOODWILLDEDUCTED(B893,E893)</f>
        <v>2.9912272395573298</v>
      </c>
      <c r="O893" s="7">
        <f>[1]!EM_S_VAL_PS_TTM(B893,E893)</f>
        <v>1.8147439094314901</v>
      </c>
      <c r="P893" s="7">
        <f>[1]!EM_S_VAL_PCF_NCFTTM(B893,E893)</f>
        <v>52.694463325406701</v>
      </c>
      <c r="Q893" s="7">
        <f>[1]!EM_S_VAL_DIVIDENDYIELD2(B893,E893,"2019-11-29")</f>
        <v>0.94876660341555974</v>
      </c>
      <c r="T893"/>
      <c r="U893">
        <f>[1]!EM_S_RATIO_EPS_TTM(B893,E893,"1")</f>
        <v>0.19127646479152222</v>
      </c>
      <c r="AT893" s="4" t="str">
        <f>[1]!EM_S_IPO_LISTEDDATE(B893)</f>
        <v>2011-09-06</v>
      </c>
    </row>
    <row r="894" spans="1:46">
      <c r="A894">
        <v>1717</v>
      </c>
      <c r="B894" t="str">
        <f>"300292"</f>
        <v>300292</v>
      </c>
      <c r="C894" t="s">
        <v>1534</v>
      </c>
      <c r="D894" t="str">
        <f>[1]!EM_S_INFO_INDEX_EM(B894,"1")</f>
        <v>信息技术</v>
      </c>
      <c r="E894" s="4">
        <f t="shared" si="13"/>
        <v>43465</v>
      </c>
      <c r="F894" s="11">
        <f>[1]!EM_S_PQ_PCTCHANGE(B894,"2018-01-01","2019-12-31","3")</f>
        <v>-9.6587380899999999</v>
      </c>
      <c r="G894" s="11">
        <f>[1]!EM_S_PQ_PCTCHANGE(B894,"2018-12-31","2019-12-30","1")</f>
        <v>31.675392670000001</v>
      </c>
      <c r="H894" s="11">
        <f>[1]!EM_S_FA_YOY_OR(B894,E894)</f>
        <v>18.6926286737</v>
      </c>
      <c r="I894" s="11">
        <f>[1]!EM_S_FA_GROSSPROFITMARGIN(B894,E894)</f>
        <v>19.950658563499999</v>
      </c>
      <c r="J894" s="11">
        <f>[1]!EM_S_FA_NETPROFITMARGIN(B894,E894)</f>
        <v>-38.200314694699998</v>
      </c>
      <c r="K894" s="10">
        <f>[1]!EM_S_FA_ASSETSTURN(B894,E894)</f>
        <v>1.015947087275</v>
      </c>
      <c r="L894" s="12">
        <f>[1]!EM_HKS_VAL_MV(B894,"2019-12-31","2")</f>
        <v>6437994903.8000002</v>
      </c>
      <c r="M894">
        <f>[1]!EM_S_VAL_PETTMDEDUCTED(B894,E894)</f>
        <v>35.326121448006703</v>
      </c>
      <c r="N894" s="7">
        <f>[1]!EM_S_VAL_PBGOODWILLDEDUCTED(B894,E894)</f>
        <v>5.2950581488642401</v>
      </c>
      <c r="O894" s="7">
        <f>[1]!EM_S_VAL_PS_TTM(B894,E894)</f>
        <v>1.7233171540004699</v>
      </c>
      <c r="P894" s="7">
        <f>[1]!EM_S_VAL_PCF_NCFTTM(B894,E894)</f>
        <v>92.774613728535698</v>
      </c>
      <c r="Q894" s="7">
        <f>[1]!EM_S_VAL_DIVIDENDYIELD2(B894,E894,"2019-11-29")</f>
        <v>0</v>
      </c>
      <c r="T894"/>
      <c r="U894">
        <f>[1]!EM_S_RATIO_EPS_TTM(B894,E894,"1")</f>
        <v>-0.90834788504248076</v>
      </c>
      <c r="AT894" s="4" t="str">
        <f>[1]!EM_S_IPO_LISTEDDATE(B894)</f>
        <v>2012-02-29</v>
      </c>
    </row>
    <row r="895" spans="1:46">
      <c r="A895">
        <v>899</v>
      </c>
      <c r="B895" t="str">
        <f>"002388"</f>
        <v>002388</v>
      </c>
      <c r="C895" t="s">
        <v>2387</v>
      </c>
      <c r="D895" t="str">
        <f>[1]!EM_S_INFO_INDEX_EM(B895,"1")</f>
        <v>电子设备</v>
      </c>
      <c r="E895" s="4">
        <f t="shared" si="13"/>
        <v>43465</v>
      </c>
      <c r="F895" s="11">
        <f>[1]!EM_S_PQ_PCTCHANGE(B895,"2018-01-01","2019-12-31","3")</f>
        <v>-8.5653322500000009</v>
      </c>
      <c r="G895" s="11">
        <f>[1]!EM_S_PQ_PCTCHANGE(B895,"2018-12-31","2019-12-30","1")</f>
        <v>31.569343069999999</v>
      </c>
      <c r="H895" s="11">
        <f>[1]!EM_S_FA_YOY_OR(B895,E895)</f>
        <v>3.9834076461999999</v>
      </c>
      <c r="I895" s="11">
        <f>[1]!EM_S_FA_GROSSPROFITMARGIN(B895,E895)</f>
        <v>22.924311680999999</v>
      </c>
      <c r="J895" s="11">
        <f>[1]!EM_S_FA_NETPROFITMARGIN(B895,E895)</f>
        <v>2.6096181254999999</v>
      </c>
      <c r="K895" s="10">
        <f>[1]!EM_S_FA_ASSETSTURN(B895,E895)</f>
        <v>0.44558827247600002</v>
      </c>
      <c r="L895" s="12">
        <f>[1]!EM_HKS_VAL_MV(B895,"2019-12-31","2")</f>
        <v>3627119520</v>
      </c>
      <c r="M895">
        <f>[1]!EM_S_VAL_PETTMDEDUCTED(B895,E895)</f>
        <v>104.820431670171</v>
      </c>
      <c r="N895" s="7">
        <f>[1]!EM_S_VAL_PBGOODWILLDEDUCTED(B895,E895)</f>
        <v>2.4322722051907499</v>
      </c>
      <c r="O895" s="7">
        <f>[1]!EM_S_VAL_PS_TTM(B895,E895)</f>
        <v>3.1297481418909099</v>
      </c>
      <c r="P895" s="7">
        <f>[1]!EM_S_VAL_PCF_NCFTTM(B895,E895)</f>
        <v>-13.4086422335305</v>
      </c>
      <c r="Q895" s="7">
        <f>[1]!EM_S_VAL_DIVIDENDYIELD2(B895,E895,"2019-11-29")</f>
        <v>0</v>
      </c>
      <c r="T895"/>
      <c r="U895">
        <f>[1]!EM_S_RATIO_EPS_TTM(B895,E895,"1")</f>
        <v>6.3847232448518823E-2</v>
      </c>
      <c r="AT895" s="4" t="str">
        <f>[1]!EM_S_IPO_LISTEDDATE(B895)</f>
        <v>2010-04-13</v>
      </c>
    </row>
    <row r="896" spans="1:46">
      <c r="A896">
        <v>2282</v>
      </c>
      <c r="B896" t="str">
        <f>"600137"</f>
        <v>600137</v>
      </c>
      <c r="C896" t="s">
        <v>2280</v>
      </c>
      <c r="D896" t="str">
        <f>[1]!EM_S_INFO_INDEX_EM(B896,"1")</f>
        <v>纺织服装</v>
      </c>
      <c r="E896" s="4">
        <f t="shared" si="13"/>
        <v>43465</v>
      </c>
      <c r="F896" s="11">
        <f>[1]!EM_S_PQ_PCTCHANGE(B896,"2018-01-01","2019-12-31","3")</f>
        <v>-38.257089610000001</v>
      </c>
      <c r="G896" s="11">
        <f>[1]!EM_S_PQ_PCTCHANGE(B896,"2018-12-31","2019-12-30","1")</f>
        <v>31.450980390000002</v>
      </c>
      <c r="H896" s="11">
        <f>[1]!EM_S_FA_YOY_OR(B896,E896)</f>
        <v>12.856521752900001</v>
      </c>
      <c r="I896" s="11">
        <f>[1]!EM_S_FA_GROSSPROFITMARGIN(B896,E896)</f>
        <v>19.869158429199999</v>
      </c>
      <c r="J896" s="11">
        <f>[1]!EM_S_FA_NETPROFITMARGIN(B896,E896)</f>
        <v>7.5239255993</v>
      </c>
      <c r="K896" s="10">
        <f>[1]!EM_S_FA_ASSETSTURN(B896,E896)</f>
        <v>0.57482144267900004</v>
      </c>
      <c r="L896" s="12">
        <f>[1]!EM_HKS_VAL_MV(B896,"2019-12-31","2")</f>
        <v>1514650021.04</v>
      </c>
      <c r="M896">
        <f>[1]!EM_S_VAL_PETTMDEDUCTED(B896,E896)</f>
        <v>64.9738861221321</v>
      </c>
      <c r="N896" s="7">
        <f>[1]!EM_S_VAL_PBGOODWILLDEDUCTED(B896,E896)</f>
        <v>2.4786874355485402</v>
      </c>
      <c r="O896" s="7">
        <f>[1]!EM_S_VAL_PS_TTM(B896,E896)</f>
        <v>3.40142585795543</v>
      </c>
      <c r="P896" s="7">
        <f>[1]!EM_S_VAL_PCF_NCFTTM(B896,E896)</f>
        <v>-4.3011892622536401</v>
      </c>
      <c r="Q896" s="7">
        <f>[1]!EM_S_VAL_DIVIDENDYIELD2(B896,E896,"2019-11-29")</f>
        <v>0.86893555394641553</v>
      </c>
      <c r="T896"/>
      <c r="U896">
        <f>[1]!EM_S_RATIO_EPS_TTM(B896,E896,"1")</f>
        <v>0.29996399509520849</v>
      </c>
      <c r="AT896" s="4" t="str">
        <f>[1]!EM_S_IPO_LISTEDDATE(B896)</f>
        <v>1998-04-16</v>
      </c>
    </row>
    <row r="897" spans="1:46">
      <c r="A897">
        <v>1577</v>
      </c>
      <c r="B897" t="str">
        <f>"300152"</f>
        <v>300152</v>
      </c>
      <c r="C897" t="s">
        <v>3393</v>
      </c>
      <c r="D897" t="str">
        <f>[1]!EM_S_INFO_INDEX_EM(B897,"1")</f>
        <v>公用事业</v>
      </c>
      <c r="E897" s="4">
        <f t="shared" si="13"/>
        <v>43465</v>
      </c>
      <c r="F897" s="11">
        <f>[1]!EM_S_PQ_PCTCHANGE(B897,"2018-01-01","2019-12-31","3")</f>
        <v>-48.706865229999998</v>
      </c>
      <c r="G897" s="11">
        <f>[1]!EM_S_PQ_PCTCHANGE(B897,"2018-12-31","2019-12-30","1")</f>
        <v>31.41762452</v>
      </c>
      <c r="H897" s="11">
        <f>[1]!EM_S_FA_YOY_OR(B897,E897)</f>
        <v>-20.453566247200001</v>
      </c>
      <c r="I897" s="11">
        <f>[1]!EM_S_FA_GROSSPROFITMARGIN(B897,E897)</f>
        <v>14.074467827799999</v>
      </c>
      <c r="J897" s="11">
        <f>[1]!EM_S_FA_NETPROFITMARGIN(B897,E897)</f>
        <v>-96.755233566699999</v>
      </c>
      <c r="K897" s="10">
        <f>[1]!EM_S_FA_ASSETSTURN(B897,E897)</f>
        <v>0.207117879699</v>
      </c>
      <c r="L897" s="12">
        <f>[1]!EM_HKS_VAL_MV(B897,"2019-12-31","2")</f>
        <v>2452032000</v>
      </c>
      <c r="M897">
        <f>[1]!EM_S_VAL_PETTMDEDUCTED(B897,E897)</f>
        <v>-6.0256747073606398</v>
      </c>
      <c r="N897" s="7">
        <f>[1]!EM_S_VAL_PBGOODWILLDEDUCTED(B897,E897)</f>
        <v>2.65827193531943</v>
      </c>
      <c r="O897" s="7">
        <f>[1]!EM_S_VAL_PS_TTM(B897,E897)</f>
        <v>3.54415437409933</v>
      </c>
      <c r="P897" s="7">
        <f>[1]!EM_S_VAL_PCF_NCFTTM(B897,E897)</f>
        <v>-15.816231164464099</v>
      </c>
      <c r="Q897" s="7">
        <f>[1]!EM_S_VAL_DIVIDENDYIELD2(B897,E897,"2019-11-29")</f>
        <v>0</v>
      </c>
      <c r="T897"/>
      <c r="U897">
        <f>[1]!EM_S_RATIO_EPS_TTM(B897,E897,"1")</f>
        <v>-0.66736556621773291</v>
      </c>
      <c r="AT897" s="4" t="str">
        <f>[1]!EM_S_IPO_LISTEDDATE(B897)</f>
        <v>2010-12-29</v>
      </c>
    </row>
    <row r="898" spans="1:46">
      <c r="A898">
        <v>1898</v>
      </c>
      <c r="B898" t="str">
        <f>"300473"</f>
        <v>300473</v>
      </c>
      <c r="C898" t="s">
        <v>964</v>
      </c>
      <c r="D898" t="str">
        <f>[1]!EM_S_INFO_INDEX_EM(B898,"1")</f>
        <v>交运设备</v>
      </c>
      <c r="E898" s="4">
        <f t="shared" si="13"/>
        <v>43465</v>
      </c>
      <c r="F898" s="11">
        <f>[1]!EM_S_PQ_PCTCHANGE(B898,"2018-01-01","2019-12-31","3")</f>
        <v>12.46670978</v>
      </c>
      <c r="G898" s="11">
        <f>[1]!EM_S_PQ_PCTCHANGE(B898,"2018-12-31","2019-12-30","1")</f>
        <v>31.403977439999998</v>
      </c>
      <c r="H898" s="11">
        <f>[1]!EM_S_FA_YOY_OR(B898,E898)</f>
        <v>50.372760661400001</v>
      </c>
      <c r="I898" s="11">
        <f>[1]!EM_S_FA_GROSSPROFITMARGIN(B898,E898)</f>
        <v>25.878873893400002</v>
      </c>
      <c r="J898" s="11">
        <f>[1]!EM_S_FA_NETPROFITMARGIN(B898,E898)</f>
        <v>3.5324254522</v>
      </c>
      <c r="K898" s="10">
        <f>[1]!EM_S_FA_ASSETSTURN(B898,E898)</f>
        <v>0.85015981285700004</v>
      </c>
      <c r="L898" s="12">
        <f>[1]!EM_HKS_VAL_MV(B898,"2019-12-31","2")</f>
        <v>4917731308.6000004</v>
      </c>
      <c r="M898">
        <f>[1]!EM_S_VAL_PETTMDEDUCTED(B898,E898)</f>
        <v>19.084501379192599</v>
      </c>
      <c r="N898" s="7">
        <f>[1]!EM_S_VAL_PBGOODWILLDEDUCTED(B898,E898)</f>
        <v>5.17733053666774</v>
      </c>
      <c r="O898" s="7">
        <f>[1]!EM_S_VAL_PS_TTM(B898,E898)</f>
        <v>0.94218424731557604</v>
      </c>
      <c r="P898" s="7">
        <f>[1]!EM_S_VAL_PCF_NCFTTM(B898,E898)</f>
        <v>5.4207459553482398</v>
      </c>
      <c r="Q898" s="7">
        <f>[1]!EM_S_VAL_DIVIDENDYIELD2(B898,E898,"2019-11-29")</f>
        <v>0.75433232004318507</v>
      </c>
      <c r="T898"/>
      <c r="U898">
        <f>[1]!EM_S_RATIO_EPS_TTM(B898,E898,"1")</f>
        <v>1.2785114417651544</v>
      </c>
      <c r="AT898" s="4" t="str">
        <f>[1]!EM_S_IPO_LISTEDDATE(B898)</f>
        <v>2015-06-12</v>
      </c>
    </row>
    <row r="899" spans="1:46">
      <c r="A899">
        <v>67</v>
      </c>
      <c r="B899" t="str">
        <f>"000099"</f>
        <v>000099</v>
      </c>
      <c r="C899" t="s">
        <v>2696</v>
      </c>
      <c r="D899" t="str">
        <f>[1]!EM_S_INFO_INDEX_EM(B899,"1")</f>
        <v>交通运输</v>
      </c>
      <c r="E899" s="4">
        <f t="shared" ref="E899:E962" si="14">$B$1</f>
        <v>43465</v>
      </c>
      <c r="F899" s="11">
        <f>[1]!EM_S_PQ_PCTCHANGE(B899,"2018-01-01","2019-12-31","3")</f>
        <v>-17.728871730000002</v>
      </c>
      <c r="G899" s="11">
        <f>[1]!EM_S_PQ_PCTCHANGE(B899,"2019-01-01","2019-12-31","3")</f>
        <v>31.399554139999999</v>
      </c>
      <c r="H899" s="11">
        <f>[1]!EM_S_FA_YOY_OR(B899,E899)</f>
        <v>12.2951791195</v>
      </c>
      <c r="I899" s="11">
        <f>[1]!EM_S_FA_GROSSPROFITMARGIN(B899,E899)</f>
        <v>23.859569282100001</v>
      </c>
      <c r="J899" s="11">
        <f>[1]!EM_S_FA_NETPROFITMARGIN(B899,E899)</f>
        <v>11.1618104031</v>
      </c>
      <c r="K899" s="10">
        <f>[1]!EM_S_FA_ASSETSTURN(B899,E899)</f>
        <v>0.252703905821</v>
      </c>
      <c r="L899" s="12">
        <f>[1]!EM_HKS_VAL_MV(B899,"2019-12-31","2")</f>
        <v>4478860403.8000002</v>
      </c>
      <c r="M899">
        <f>[1]!EM_S_VAL_PETTMDEDUCTED(B899,E899)</f>
        <v>36.2374636646691</v>
      </c>
      <c r="N899" s="7">
        <f>[1]!EM_S_VAL_PBGOODWILLDEDUCTED(B899,E899)</f>
        <v>1.1106185138204201</v>
      </c>
      <c r="O899" s="7">
        <f>[1]!EM_S_VAL_PS_TTM(B899,E899)</f>
        <v>2.4964037249528501</v>
      </c>
      <c r="P899" s="7">
        <f>[1]!EM_S_VAL_PCF_NCFTTM(B899,E899)</f>
        <v>-22.292537624174699</v>
      </c>
      <c r="Q899" s="7">
        <f>[1]!EM_S_VAL_DIVIDENDYIELD2(B899,E899,"2019-11-29")</f>
        <v>0.35816618911174786</v>
      </c>
      <c r="T899"/>
      <c r="U899">
        <f>[1]!EM_S_RATIO_EPS_TTM(B899,E899,"1")</f>
        <v>0.24825310741943157</v>
      </c>
      <c r="AT899" s="4" t="str">
        <f>[1]!EM_S_IPO_LISTEDDATE(B899)</f>
        <v>2000-07-31</v>
      </c>
    </row>
    <row r="900" spans="1:46">
      <c r="A900">
        <v>2482</v>
      </c>
      <c r="B900" t="str">
        <f>"600362"</f>
        <v>600362</v>
      </c>
      <c r="C900" t="s">
        <v>1663</v>
      </c>
      <c r="D900" t="str">
        <f>[1]!EM_S_INFO_INDEX_EM(B900,"1")</f>
        <v>有色金属</v>
      </c>
      <c r="E900" s="4">
        <f t="shared" si="14"/>
        <v>43465</v>
      </c>
      <c r="F900" s="11">
        <f>[1]!EM_S_PQ_PCTCHANGE(B900,"2018-01-01","2019-12-31","3")</f>
        <v>-13.84209173</v>
      </c>
      <c r="G900" s="11">
        <f>[1]!EM_S_PQ_PCTCHANGE(B900,"2018-12-31","2019-12-30","1")</f>
        <v>31.382978720000001</v>
      </c>
      <c r="H900" s="11">
        <f>[1]!EM_S_FA_YOY_OR(B900,E900)</f>
        <v>4.9916684869000001</v>
      </c>
      <c r="I900" s="11">
        <f>[1]!EM_S_FA_GROSSPROFITMARGIN(B900,E900)</f>
        <v>3.6313816244999999</v>
      </c>
      <c r="J900" s="11">
        <f>[1]!EM_S_FA_NETPROFITMARGIN(B900,E900)</f>
        <v>1.1400026852</v>
      </c>
      <c r="K900" s="10">
        <f>[1]!EM_S_FA_ASSETSTURN(B900,E900)</f>
        <v>2.1493041479909998</v>
      </c>
      <c r="L900" s="12">
        <f>[1]!EM_HKS_VAL_MV(B900,"2019-12-31","2")</f>
        <v>58624008826.650002</v>
      </c>
      <c r="M900">
        <f>[1]!EM_S_VAL_PETTMDEDUCTED(B900,E900)</f>
        <v>23.158624632300501</v>
      </c>
      <c r="N900" s="7">
        <f>[1]!EM_S_VAL_PBGOODWILLDEDUCTED(B900,E900)</f>
        <v>0.91567000541596799</v>
      </c>
      <c r="O900" s="7">
        <f>[1]!EM_S_VAL_PS_TTM(B900,E900)</f>
        <v>0.21465812565300599</v>
      </c>
      <c r="P900" s="7">
        <f>[1]!EM_S_VAL_PCF_NCFTTM(B900,E900)</f>
        <v>6.3494595152590998</v>
      </c>
      <c r="Q900" s="7">
        <f>[1]!EM_S_VAL_DIVIDENDYIELD2(B900,E900,"2019-11-29")</f>
        <v>1.4194464158977997</v>
      </c>
      <c r="T900"/>
      <c r="U900">
        <f>[1]!EM_S_RATIO_EPS_TTM(B900,E900,"1")</f>
        <v>0.70680537193174064</v>
      </c>
      <c r="AT900" s="4" t="str">
        <f>[1]!EM_S_IPO_LISTEDDATE(B900)</f>
        <v>2002-01-11</v>
      </c>
    </row>
    <row r="901" spans="1:46">
      <c r="A901">
        <v>3555</v>
      </c>
      <c r="B901" t="str">
        <f>"603825"</f>
        <v>603825</v>
      </c>
      <c r="C901" t="s">
        <v>2790</v>
      </c>
      <c r="D901" t="str">
        <f>[1]!EM_S_INFO_INDEX_EM(B901,"1")</f>
        <v>文化传媒</v>
      </c>
      <c r="E901" s="4">
        <f t="shared" si="14"/>
        <v>43465</v>
      </c>
      <c r="F901" s="11">
        <f>[1]!EM_S_PQ_PCTCHANGE(B901,"2018-01-01","2019-12-31","3")</f>
        <v>-8.0006199099999993</v>
      </c>
      <c r="G901" s="11">
        <f>[1]!EM_S_PQ_PCTCHANGE(B901,"2018-12-31","2019-12-30","1")</f>
        <v>31.29055516</v>
      </c>
      <c r="H901" s="11">
        <f>[1]!EM_S_FA_YOY_OR(B901,E901)</f>
        <v>30.807368252700002</v>
      </c>
      <c r="I901" s="11">
        <f>[1]!EM_S_FA_GROSSPROFITMARGIN(B901,E901)</f>
        <v>11.543583464699999</v>
      </c>
      <c r="J901" s="11">
        <f>[1]!EM_S_FA_NETPROFITMARGIN(B901,E901)</f>
        <v>1.0813908532000001</v>
      </c>
      <c r="K901" s="10">
        <f>[1]!EM_S_FA_ASSETSTURN(B901,E901)</f>
        <v>1.958567711733</v>
      </c>
      <c r="L901" s="12">
        <f>[1]!EM_HKS_VAL_MV(B901,"2019-12-31","2")</f>
        <v>4470271752.6000004</v>
      </c>
      <c r="M901">
        <f>[1]!EM_S_VAL_PETTMDEDUCTED(B901,E901)</f>
        <v>19.161312592410798</v>
      </c>
      <c r="N901" s="7">
        <f>[1]!EM_S_VAL_PBGOODWILLDEDUCTED(B901,E901)</f>
        <v>2.5401006412029399</v>
      </c>
      <c r="O901" s="7">
        <f>[1]!EM_S_VAL_PS_TTM(B901,E901)</f>
        <v>0.31516544021922299</v>
      </c>
      <c r="P901" s="7">
        <f>[1]!EM_S_VAL_PCF_NCFTTM(B901,E901)</f>
        <v>20.1748696521949</v>
      </c>
      <c r="Q901" s="7">
        <f>[1]!EM_S_VAL_DIVIDENDYIELD2(B901,E901,"2019-11-29")</f>
        <v>1.7696893029623166</v>
      </c>
      <c r="T901"/>
      <c r="U901">
        <f>[1]!EM_S_RATIO_EPS_TTM(B901,E901,"1")</f>
        <v>0.55783290172165323</v>
      </c>
      <c r="AT901" s="4" t="str">
        <f>[1]!EM_S_IPO_LISTEDDATE(B901)</f>
        <v>2017-08-02</v>
      </c>
    </row>
    <row r="902" spans="1:46">
      <c r="A902">
        <v>2515</v>
      </c>
      <c r="B902" t="str">
        <f>"600399"</f>
        <v>600399</v>
      </c>
      <c r="C902" t="s">
        <v>735</v>
      </c>
      <c r="D902" t="str">
        <f>[1]!EM_S_INFO_INDEX_EM(B902,"1")</f>
        <v>钢铁</v>
      </c>
      <c r="E902" s="4">
        <f t="shared" si="14"/>
        <v>43465</v>
      </c>
      <c r="F902" s="11">
        <f>[1]!EM_S_PQ_PCTCHANGE(B902,"2018-01-01","2019-12-31","3")</f>
        <v>-41.071428570000002</v>
      </c>
      <c r="G902" s="11">
        <f>[1]!EM_S_PQ_PCTCHANGE(B902,"2018-12-31","2019-12-30","1")</f>
        <v>31.2</v>
      </c>
      <c r="H902" s="11">
        <f>[1]!EM_S_FA_YOY_OR(B902,E902)</f>
        <v>17.322912129599999</v>
      </c>
      <c r="I902" s="11">
        <f>[1]!EM_S_FA_GROSSPROFITMARGIN(B902,E902)</f>
        <v>14.526988552600001</v>
      </c>
      <c r="J902" s="11">
        <f>[1]!EM_S_FA_NETPROFITMARGIN(B902,E902)</f>
        <v>44.5866602957</v>
      </c>
      <c r="K902" s="10">
        <f>[1]!EM_S_FA_ASSETSTURN(B902,E902)</f>
        <v>0.66813274573699999</v>
      </c>
      <c r="L902" s="12">
        <f>[1]!EM_HKS_VAL_MV(B902,"2019-12-31","2")</f>
        <v>6507930000</v>
      </c>
      <c r="M902">
        <f>[1]!EM_S_VAL_PETTMDEDUCTED(B902,E902)</f>
        <v>-3.3113217214148598</v>
      </c>
      <c r="N902" s="7">
        <f>[1]!EM_S_VAL_PBGOODWILLDEDUCTED(B902,E902)</f>
        <v>1.1823475578365199</v>
      </c>
      <c r="O902" s="7">
        <f>[1]!EM_S_VAL_PS_TTM(B902,E902)</f>
        <v>0.94539878897196905</v>
      </c>
      <c r="P902" s="7">
        <f>[1]!EM_S_VAL_PCF_NCFTTM(B902,E902)</f>
        <v>24.7491878015203</v>
      </c>
      <c r="Q902" s="7">
        <f>[1]!EM_S_VAL_DIVIDENDYIELD2(B902,E902,"2019-11-29")</f>
        <v>0</v>
      </c>
      <c r="T902"/>
      <c r="U902">
        <f>[1]!EM_S_RATIO_EPS_TTM(B902,E902,"1")</f>
        <v>1.3220974005780639</v>
      </c>
      <c r="AT902" s="4" t="str">
        <f>[1]!EM_S_IPO_LISTEDDATE(B902)</f>
        <v>2000-12-29</v>
      </c>
    </row>
    <row r="903" spans="1:46">
      <c r="A903">
        <v>2456</v>
      </c>
      <c r="B903" t="str">
        <f>"600331"</f>
        <v>600331</v>
      </c>
      <c r="C903" t="s">
        <v>2925</v>
      </c>
      <c r="D903" t="str">
        <f>[1]!EM_S_INFO_INDEX_EM(B903,"1")</f>
        <v>有色金属</v>
      </c>
      <c r="E903" s="4">
        <f t="shared" si="14"/>
        <v>43465</v>
      </c>
      <c r="F903" s="11">
        <f>[1]!EM_S_PQ_PCTCHANGE(B903,"2018-01-01","2019-12-31","3")</f>
        <v>-49.325626200000002</v>
      </c>
      <c r="G903" s="11">
        <f>[1]!EM_S_PQ_PCTCHANGE(B903,"2018-12-31","2019-12-30","1")</f>
        <v>31.188118809999999</v>
      </c>
      <c r="H903" s="11">
        <f>[1]!EM_S_FA_YOY_OR(B903,E903)</f>
        <v>-41.810451726700002</v>
      </c>
      <c r="I903" s="11">
        <f>[1]!EM_S_FA_GROSSPROFITMARGIN(B903,E903)</f>
        <v>-0.74027598000000006</v>
      </c>
      <c r="J903" s="11">
        <f>[1]!EM_S_FA_NETPROFITMARGIN(B903,E903)</f>
        <v>-99.345551092099996</v>
      </c>
      <c r="K903" s="10">
        <f>[1]!EM_S_FA_ASSETSTURN(B903,E903)</f>
        <v>0.37549265829299999</v>
      </c>
      <c r="L903" s="12">
        <f>[1]!EM_HKS_VAL_MV(B903,"2019-12-31","2")</f>
        <v>5344160000</v>
      </c>
      <c r="M903">
        <f>[1]!EM_S_VAL_PETTMDEDUCTED(B903,E903)</f>
        <v>181.92814584365101</v>
      </c>
      <c r="N903" s="7">
        <f>[1]!EM_S_VAL_PBGOODWILLDEDUCTED(B903,E903)</f>
        <v>1.85076211119484</v>
      </c>
      <c r="O903" s="7">
        <f>[1]!EM_S_VAL_PS_TTM(B903,E903)</f>
        <v>0.863280232077131</v>
      </c>
      <c r="P903" s="7">
        <f>[1]!EM_S_VAL_PCF_NCFTTM(B903,E903)</f>
        <v>-21.248927170973602</v>
      </c>
      <c r="Q903" s="7">
        <f>[1]!EM_S_VAL_DIVIDENDYIELD2(B903,E903,"2019-11-29")</f>
        <v>0</v>
      </c>
      <c r="T903"/>
      <c r="U903">
        <f>[1]!EM_S_RATIO_EPS_TTM(B903,E903,"1")</f>
        <v>-1.3149670167864174</v>
      </c>
      <c r="AT903" s="4" t="str">
        <f>[1]!EM_S_IPO_LISTEDDATE(B903)</f>
        <v>2001-12-20</v>
      </c>
    </row>
    <row r="904" spans="1:46">
      <c r="A904">
        <v>1621</v>
      </c>
      <c r="B904" t="str">
        <f>"300196"</f>
        <v>300196</v>
      </c>
      <c r="C904" t="s">
        <v>1630</v>
      </c>
      <c r="D904" t="str">
        <f>[1]!EM_S_INFO_INDEX_EM(B904,"1")</f>
        <v>基础化工</v>
      </c>
      <c r="E904" s="4">
        <f t="shared" si="14"/>
        <v>43465</v>
      </c>
      <c r="F904" s="11">
        <f>[1]!EM_S_PQ_PCTCHANGE(B904,"2018-01-01","2019-12-31","3")</f>
        <v>-8.3968044499999994</v>
      </c>
      <c r="G904" s="11">
        <f>[1]!EM_S_PQ_PCTCHANGE(B904,"2018-12-31","2019-12-30","1")</f>
        <v>31.143827859999998</v>
      </c>
      <c r="H904" s="11">
        <f>[1]!EM_S_FA_YOY_OR(B904,E904)</f>
        <v>8.4230338454999991</v>
      </c>
      <c r="I904" s="11">
        <f>[1]!EM_S_FA_GROSSPROFITMARGIN(B904,E904)</f>
        <v>25.7569359568</v>
      </c>
      <c r="J904" s="11">
        <f>[1]!EM_S_FA_NETPROFITMARGIN(B904,E904)</f>
        <v>11.933365994900001</v>
      </c>
      <c r="K904" s="10">
        <f>[1]!EM_S_FA_ASSETSTURN(B904,E904)</f>
        <v>0.70443575823399995</v>
      </c>
      <c r="L904" s="12">
        <f>[1]!EM_HKS_VAL_MV(B904,"2019-12-31","2")</f>
        <v>4807908062.8199997</v>
      </c>
      <c r="M904">
        <f>[1]!EM_S_VAL_PETTMDEDUCTED(B904,E904)</f>
        <v>18.2827106284754</v>
      </c>
      <c r="N904" s="7">
        <f>[1]!EM_S_VAL_PBGOODWILLDEDUCTED(B904,E904)</f>
        <v>1.5149919272955401</v>
      </c>
      <c r="O904" s="7">
        <f>[1]!EM_S_VAL_PS_TTM(B904,E904)</f>
        <v>1.7823742833195699</v>
      </c>
      <c r="P904" s="7">
        <f>[1]!EM_S_VAL_PCF_NCFTTM(B904,E904)</f>
        <v>41.897406384005201</v>
      </c>
      <c r="Q904" s="7">
        <f>[1]!EM_S_VAL_DIVIDENDYIELD2(B904,E904,"2019-11-29")</f>
        <v>2.2299069697486447</v>
      </c>
      <c r="T904"/>
      <c r="U904">
        <f>[1]!EM_S_RATIO_EPS_TTM(B904,E904,"1")</f>
        <v>0.61974732633335339</v>
      </c>
      <c r="AT904" s="4" t="str">
        <f>[1]!EM_S_IPO_LISTEDDATE(B904)</f>
        <v>2011-03-29</v>
      </c>
    </row>
    <row r="905" spans="1:46">
      <c r="A905">
        <v>1572</v>
      </c>
      <c r="B905" t="str">
        <f>"300147"</f>
        <v>300147</v>
      </c>
      <c r="C905" t="s">
        <v>2482</v>
      </c>
      <c r="D905" t="str">
        <f>[1]!EM_S_INFO_INDEX_EM(B905,"1")</f>
        <v>医药生物</v>
      </c>
      <c r="E905" s="4">
        <f t="shared" si="14"/>
        <v>43465</v>
      </c>
      <c r="F905" s="11">
        <f>[1]!EM_S_PQ_PCTCHANGE(B905,"2018-01-01","2019-12-31","3")</f>
        <v>-0.32177286999999999</v>
      </c>
      <c r="G905" s="11">
        <f>[1]!EM_S_PQ_PCTCHANGE(B905,"2018-12-31","2019-12-30","1")</f>
        <v>31.10749186</v>
      </c>
      <c r="H905" s="11">
        <f>[1]!EM_S_FA_YOY_OR(B905,E905)</f>
        <v>14.4896622726</v>
      </c>
      <c r="I905" s="11">
        <f>[1]!EM_S_FA_GROSSPROFITMARGIN(B905,E905)</f>
        <v>36.463581908999998</v>
      </c>
      <c r="J905" s="11">
        <f>[1]!EM_S_FA_NETPROFITMARGIN(B905,E905)</f>
        <v>3.5128553077000002</v>
      </c>
      <c r="K905" s="10">
        <f>[1]!EM_S_FA_ASSETSTURN(B905,E905)</f>
        <v>0.28033257179900001</v>
      </c>
      <c r="L905" s="12">
        <f>[1]!EM_HKS_VAL_MV(B905,"2019-12-31","2")</f>
        <v>5860680328.1000004</v>
      </c>
      <c r="M905">
        <f>[1]!EM_S_VAL_PETTMDEDUCTED(B905,E905)</f>
        <v>-32.097661091679697</v>
      </c>
      <c r="N905" s="7">
        <f>[1]!EM_S_VAL_PBGOODWILLDEDUCTED(B905,E905)</f>
        <v>1.4578518653746599</v>
      </c>
      <c r="O905" s="7">
        <f>[1]!EM_S_VAL_PS_TTM(B905,E905)</f>
        <v>1.69253127117691</v>
      </c>
      <c r="P905" s="7">
        <f>[1]!EM_S_VAL_PCF_NCFTTM(B905,E905)</f>
        <v>-36.544998261301799</v>
      </c>
      <c r="Q905" s="7">
        <f>[1]!EM_S_VAL_DIVIDENDYIELD2(B905,E905,"2019-11-29")</f>
        <v>0.51750380517503802</v>
      </c>
      <c r="T905"/>
      <c r="U905">
        <f>[1]!EM_S_RATIO_EPS_TTM(B905,E905,"1")</f>
        <v>8.5323250301917453E-2</v>
      </c>
      <c r="AT905" s="4" t="str">
        <f>[1]!EM_S_IPO_LISTEDDATE(B905)</f>
        <v>2010-12-15</v>
      </c>
    </row>
    <row r="906" spans="1:46">
      <c r="A906">
        <v>1613</v>
      </c>
      <c r="B906" t="str">
        <f>"300188"</f>
        <v>300188</v>
      </c>
      <c r="C906" t="s">
        <v>2928</v>
      </c>
      <c r="D906" t="str">
        <f>[1]!EM_S_INFO_INDEX_EM(B906,"1")</f>
        <v>信息技术</v>
      </c>
      <c r="E906" s="4">
        <f t="shared" si="14"/>
        <v>43465</v>
      </c>
      <c r="F906" s="11">
        <f>[1]!EM_S_PQ_PCTCHANGE(B906,"2018-01-01","2019-12-31","3")</f>
        <v>38.53702629</v>
      </c>
      <c r="G906" s="11">
        <f>[1]!EM_S_PQ_PCTCHANGE(B906,"2018-12-31","2019-12-30","1")</f>
        <v>31.105990779999999</v>
      </c>
      <c r="H906" s="11">
        <f>[1]!EM_S_FA_YOY_OR(B906,E906)</f>
        <v>19.7468202656</v>
      </c>
      <c r="I906" s="11">
        <f>[1]!EM_S_FA_GROSSPROFITMARGIN(B906,E906)</f>
        <v>59.495017287099998</v>
      </c>
      <c r="J906" s="11">
        <f>[1]!EM_S_FA_NETPROFITMARGIN(B906,E906)</f>
        <v>18.874125055699999</v>
      </c>
      <c r="K906" s="10">
        <f>[1]!EM_S_FA_ASSETSTURN(B906,E906)</f>
        <v>0.48827486783099999</v>
      </c>
      <c r="L906" s="12">
        <f>[1]!EM_HKS_VAL_MV(B906,"2019-12-31","2")</f>
        <v>13748292560.700001</v>
      </c>
      <c r="M906">
        <f>[1]!EM_S_VAL_PETTMDEDUCTED(B906,E906)</f>
        <v>46.303549704449999</v>
      </c>
      <c r="N906" s="7">
        <f>[1]!EM_S_VAL_PBGOODWILLDEDUCTED(B906,E906)</f>
        <v>5.15285616262274</v>
      </c>
      <c r="O906" s="7">
        <f>[1]!EM_S_VAL_PS_TTM(B906,E906)</f>
        <v>7.0506134427504703</v>
      </c>
      <c r="P906" s="7">
        <f>[1]!EM_S_VAL_PCF_NCFTTM(B906,E906)</f>
        <v>-270.95733558187601</v>
      </c>
      <c r="Q906" s="7">
        <f>[1]!EM_S_VAL_DIVIDENDYIELD2(B906,E906,"2019-11-29")</f>
        <v>0.52445928211060544</v>
      </c>
      <c r="T906"/>
      <c r="U906">
        <f>[1]!EM_S_RATIO_EPS_TTM(B906,E906,"1")</f>
        <v>0.38148233992942782</v>
      </c>
      <c r="AT906" s="4" t="str">
        <f>[1]!EM_S_IPO_LISTEDDATE(B906)</f>
        <v>2011-03-16</v>
      </c>
    </row>
    <row r="907" spans="1:46">
      <c r="A907">
        <v>840</v>
      </c>
      <c r="B907" t="str">
        <f>"002329"</f>
        <v>002329</v>
      </c>
      <c r="C907" t="s">
        <v>2810</v>
      </c>
      <c r="D907" t="str">
        <f>[1]!EM_S_INFO_INDEX_EM(B907,"1")</f>
        <v>食品饮料</v>
      </c>
      <c r="E907" s="4">
        <f t="shared" si="14"/>
        <v>43465</v>
      </c>
      <c r="F907" s="11">
        <f>[1]!EM_S_PQ_PCTCHANGE(B907,"2018-01-01","2019-12-31","3")</f>
        <v>-32.394397079999997</v>
      </c>
      <c r="G907" s="11">
        <f>[1]!EM_S_PQ_PCTCHANGE(B907,"2018-12-31","2019-12-30","1")</f>
        <v>31.07692308</v>
      </c>
      <c r="H907" s="11">
        <f>[1]!EM_S_FA_YOY_OR(B907,E907)</f>
        <v>-1.3031430718000001</v>
      </c>
      <c r="I907" s="11">
        <f>[1]!EM_S_FA_GROSSPROFITMARGIN(B907,E907)</f>
        <v>27.925274093399999</v>
      </c>
      <c r="J907" s="11">
        <f>[1]!EM_S_FA_NETPROFITMARGIN(B907,E907)</f>
        <v>-25.595693933</v>
      </c>
      <c r="K907" s="10">
        <f>[1]!EM_S_FA_ASSETSTURN(B907,E907)</f>
        <v>0.44943974650399998</v>
      </c>
      <c r="L907" s="12">
        <f>[1]!EM_HKS_VAL_MV(B907,"2019-12-31","2")</f>
        <v>3685616154</v>
      </c>
      <c r="M907">
        <f>[1]!EM_S_VAL_PETTMDEDUCTED(B907,E907)</f>
        <v>-19.699567539149399</v>
      </c>
      <c r="N907" s="7">
        <f>[1]!EM_S_VAL_PBGOODWILLDEDUCTED(B907,E907)</f>
        <v>1.5465617524063699</v>
      </c>
      <c r="O907" s="7">
        <f>[1]!EM_S_VAL_PS_TTM(B907,E907)</f>
        <v>1.1044213380880501</v>
      </c>
      <c r="P907" s="7">
        <f>[1]!EM_S_VAL_PCF_NCFTTM(B907,E907)</f>
        <v>-42.933122530127697</v>
      </c>
      <c r="Q907" s="7">
        <f>[1]!EM_S_VAL_DIVIDENDYIELD2(B907,E907,"2019-11-29")</f>
        <v>0</v>
      </c>
      <c r="T907"/>
      <c r="U907">
        <f>[1]!EM_S_RATIO_EPS_TTM(B907,E907,"1")</f>
        <v>-0.73563749289991842</v>
      </c>
      <c r="AT907" s="4" t="str">
        <f>[1]!EM_S_IPO_LISTEDDATE(B907)</f>
        <v>2010-01-06</v>
      </c>
    </row>
    <row r="908" spans="1:46">
      <c r="A908">
        <v>2046</v>
      </c>
      <c r="B908" t="str">
        <f>"300627"</f>
        <v>300627</v>
      </c>
      <c r="C908" t="s">
        <v>1760</v>
      </c>
      <c r="D908" t="str">
        <f>[1]!EM_S_INFO_INDEX_EM(B908,"1")</f>
        <v>信息技术</v>
      </c>
      <c r="E908" s="4">
        <f t="shared" si="14"/>
        <v>43465</v>
      </c>
      <c r="F908" s="11">
        <f>[1]!EM_S_PQ_PCTCHANGE(B908,"2018-01-01","2019-12-31","3")</f>
        <v>-0.62330750999999995</v>
      </c>
      <c r="G908" s="11">
        <f>[1]!EM_S_PQ_PCTCHANGE(B908,"2018-12-31","2019-12-30","1")</f>
        <v>31.032482600000002</v>
      </c>
      <c r="H908" s="11">
        <f>[1]!EM_S_FA_YOY_OR(B908,E908)</f>
        <v>40.387937422199997</v>
      </c>
      <c r="I908" s="11">
        <f>[1]!EM_S_FA_GROSSPROFITMARGIN(B908,E908)</f>
        <v>54.2709551401</v>
      </c>
      <c r="J908" s="11">
        <f>[1]!EM_S_FA_NETPROFITMARGIN(B908,E908)</f>
        <v>11.3303437578</v>
      </c>
      <c r="K908" s="10">
        <f>[1]!EM_S_FA_ASSETSTURN(B908,E908)</f>
        <v>0.75042518403699998</v>
      </c>
      <c r="L908" s="12">
        <f>[1]!EM_HKS_VAL_MV(B908,"2019-12-31","2")</f>
        <v>5287318833.6000004</v>
      </c>
      <c r="M908">
        <f>[1]!EM_S_VAL_PETTMDEDUCTED(B908,E908)</f>
        <v>41.122040656781003</v>
      </c>
      <c r="N908" s="7">
        <f>[1]!EM_S_VAL_PBGOODWILLDEDUCTED(B908,E908)</f>
        <v>4.9264738347299204</v>
      </c>
      <c r="O908" s="7">
        <f>[1]!EM_S_VAL_PS_TTM(B908,E908)</f>
        <v>4.8467489615777</v>
      </c>
      <c r="P908" s="7">
        <f>[1]!EM_S_VAL_PCF_NCFTTM(B908,E908)</f>
        <v>-33.897436226073403</v>
      </c>
      <c r="Q908" s="7">
        <f>[1]!EM_S_VAL_DIVIDENDYIELD2(B908,E908,"2019-11-29")</f>
        <v>1.179245283018868</v>
      </c>
      <c r="T908"/>
      <c r="U908">
        <f>[1]!EM_S_RATIO_EPS_TTM(B908,E908,"1")</f>
        <v>0.42647356218945831</v>
      </c>
      <c r="AT908" s="4" t="str">
        <f>[1]!EM_S_IPO_LISTEDDATE(B908)</f>
        <v>2017-03-21</v>
      </c>
    </row>
    <row r="909" spans="1:46">
      <c r="A909">
        <v>2945</v>
      </c>
      <c r="B909" t="str">
        <f>"600872"</f>
        <v>600872</v>
      </c>
      <c r="C909" t="s">
        <v>270</v>
      </c>
      <c r="D909" t="str">
        <f>[1]!EM_S_INFO_INDEX_EM(B909,"1")</f>
        <v>食品饮料</v>
      </c>
      <c r="E909" s="4">
        <f t="shared" si="14"/>
        <v>43465</v>
      </c>
      <c r="F909" s="11">
        <f>[1]!EM_S_PQ_PCTCHANGE(B909,"2018-01-01","2019-12-31","3")</f>
        <v>60.845809170000003</v>
      </c>
      <c r="G909" s="11">
        <f>[1]!EM_S_PQ_PCTCHANGE(B909,"2018-12-31","2019-12-30","1")</f>
        <v>31.025118809999999</v>
      </c>
      <c r="H909" s="11">
        <f>[1]!EM_S_FA_YOY_OR(B909,E909)</f>
        <v>15.4346322704</v>
      </c>
      <c r="I909" s="11">
        <f>[1]!EM_S_FA_GROSSPROFITMARGIN(B909,E909)</f>
        <v>39.114980858700001</v>
      </c>
      <c r="J909" s="11">
        <f>[1]!EM_S_FA_NETPROFITMARGIN(B909,E909)</f>
        <v>16.350505199800001</v>
      </c>
      <c r="K909" s="10">
        <f>[1]!EM_S_FA_ASSETSTURN(B909,E909)</f>
        <v>0.73818191601700001</v>
      </c>
      <c r="L909" s="12">
        <f>[1]!EM_HKS_VAL_MV(B909,"2019-12-31","2")</f>
        <v>31347673583.900002</v>
      </c>
      <c r="M909">
        <f>[1]!EM_S_VAL_PETTMDEDUCTED(B909,E909)</f>
        <v>42.2950821837292</v>
      </c>
      <c r="N909" s="7">
        <f>[1]!EM_S_VAL_PBGOODWILLDEDUCTED(B909,E909)</f>
        <v>6.51319314384798</v>
      </c>
      <c r="O909" s="7">
        <f>[1]!EM_S_VAL_PS_TTM(B909,E909)</f>
        <v>5.8016566174917896</v>
      </c>
      <c r="P909" s="7">
        <f>[1]!EM_S_VAL_PCF_NCFTTM(B909,E909)</f>
        <v>-2820.8749898934502</v>
      </c>
      <c r="Q909" s="7">
        <f>[1]!EM_S_VAL_DIVIDENDYIELD2(B909,E909,"2019-11-29")</f>
        <v>0.50952591936198477</v>
      </c>
      <c r="T909"/>
      <c r="U909">
        <f>[1]!EM_S_RATIO_EPS_TTM(B909,E909,"1")</f>
        <v>0.76248890509372824</v>
      </c>
      <c r="AT909" s="4" t="str">
        <f>[1]!EM_S_IPO_LISTEDDATE(B909)</f>
        <v>1995-01-24</v>
      </c>
    </row>
    <row r="910" spans="1:46">
      <c r="A910">
        <v>2098</v>
      </c>
      <c r="B910" t="str">
        <f>"300680"</f>
        <v>300680</v>
      </c>
      <c r="C910" t="s">
        <v>2691</v>
      </c>
      <c r="D910" t="str">
        <f>[1]!EM_S_INFO_INDEX_EM(B910,"1")</f>
        <v>交运设备</v>
      </c>
      <c r="E910" s="4">
        <f t="shared" si="14"/>
        <v>43465</v>
      </c>
      <c r="F910" s="11">
        <f>[1]!EM_S_PQ_PCTCHANGE(B910,"2018-01-01","2019-12-31","3")</f>
        <v>-37.191526170000003</v>
      </c>
      <c r="G910" s="11">
        <f>[1]!EM_S_PQ_PCTCHANGE(B910,"2018-12-31","2019-12-30","1")</f>
        <v>31.022326670000002</v>
      </c>
      <c r="H910" s="11">
        <f>[1]!EM_S_FA_YOY_OR(B910,E910)</f>
        <v>50.5725983994</v>
      </c>
      <c r="I910" s="11">
        <f>[1]!EM_S_FA_GROSSPROFITMARGIN(B910,E910)</f>
        <v>29.174394039300001</v>
      </c>
      <c r="J910" s="11">
        <f>[1]!EM_S_FA_NETPROFITMARGIN(B910,E910)</f>
        <v>2.6138675451000002</v>
      </c>
      <c r="K910" s="10">
        <f>[1]!EM_S_FA_ASSETSTURN(B910,E910)</f>
        <v>0.33766093078800002</v>
      </c>
      <c r="L910" s="12">
        <f>[1]!EM_HKS_VAL_MV(B910,"2019-12-31","2")</f>
        <v>1694330038.8</v>
      </c>
      <c r="M910">
        <f>[1]!EM_S_VAL_PETTMDEDUCTED(B910,E910)</f>
        <v>326.473152951217</v>
      </c>
      <c r="N910" s="7">
        <f>[1]!EM_S_VAL_PBGOODWILLDEDUCTED(B910,E910)</f>
        <v>3.46324810886582</v>
      </c>
      <c r="O910" s="7">
        <f>[1]!EM_S_VAL_PS_TTM(B910,E910)</f>
        <v>8.3080642901638697</v>
      </c>
      <c r="P910" s="7">
        <f>[1]!EM_S_VAL_PCF_NCFTTM(B910,E910)</f>
        <v>-12.020454124358499</v>
      </c>
      <c r="Q910" s="7">
        <f>[1]!EM_S_VAL_DIVIDENDYIELD2(B910,E910,"2019-11-29")</f>
        <v>0.53163211057947901</v>
      </c>
      <c r="T910"/>
      <c r="U910">
        <f>[1]!EM_S_RATIO_EPS_TTM(B910,E910,"1")</f>
        <v>5.1500974644704503E-2</v>
      </c>
      <c r="AT910" s="4" t="str">
        <f>[1]!EM_S_IPO_LISTEDDATE(B910)</f>
        <v>2017-07-25</v>
      </c>
    </row>
    <row r="911" spans="1:46">
      <c r="A911">
        <v>1541</v>
      </c>
      <c r="B911" t="str">
        <f>"300116"</f>
        <v>300116</v>
      </c>
      <c r="C911" t="s">
        <v>3643</v>
      </c>
      <c r="D911" t="str">
        <f>[1]!EM_S_INFO_INDEX_EM(B911,"1")</f>
        <v>电气设备</v>
      </c>
      <c r="E911" s="4">
        <f t="shared" si="14"/>
        <v>43465</v>
      </c>
      <c r="F911" s="11">
        <f>[1]!EM_S_PQ_PCTCHANGE(B911,"2018-01-01","2019-12-31","3")</f>
        <v>-74.278215220000007</v>
      </c>
      <c r="G911" s="11">
        <f>[1]!EM_S_PQ_PCTCHANGE(B911,"2018-12-31","2019-12-30","1")</f>
        <v>30.882352940000001</v>
      </c>
      <c r="H911" s="11">
        <f>[1]!EM_S_FA_YOY_OR(B911,E911)</f>
        <v>-58.617464202000001</v>
      </c>
      <c r="I911" s="11">
        <f>[1]!EM_S_FA_GROSSPROFITMARGIN(B911,E911)</f>
        <v>-2.9866061173</v>
      </c>
      <c r="J911" s="11">
        <f>[1]!EM_S_FA_NETPROFITMARGIN(B911,E911)</f>
        <v>-98.694136515699995</v>
      </c>
      <c r="K911" s="10">
        <f>[1]!EM_S_FA_ASSETSTURN(B911,E911)</f>
        <v>0.16964208539600001</v>
      </c>
      <c r="L911" s="12">
        <f>[1]!EM_HKS_VAL_MV(B911,"2019-12-31","2")</f>
        <v>4767748145.4399996</v>
      </c>
      <c r="M911">
        <f>[1]!EM_S_VAL_PETTMDEDUCTED(B911,E911)</f>
        <v>-0.43339057748436799</v>
      </c>
      <c r="N911" s="7">
        <f>[1]!EM_S_VAL_PBGOODWILLDEDUCTED(B911,E911)</f>
        <v>16.766951520321498</v>
      </c>
      <c r="O911" s="7">
        <f>[1]!EM_S_VAL_PS_TTM(B911,E911)</f>
        <v>0.72049529596250805</v>
      </c>
      <c r="P911" s="7">
        <f>[1]!EM_S_VAL_PCF_NCFTTM(B911,E911)</f>
        <v>-10.2152127523368</v>
      </c>
      <c r="Q911" s="7">
        <f>[1]!EM_S_VAL_DIVIDENDYIELD2(B911,E911,"2019-11-29")</f>
        <v>0</v>
      </c>
      <c r="T911"/>
      <c r="U911">
        <f>[1]!EM_S_RATIO_EPS_TTM(B911,E911,"1")</f>
        <v>-1.6135069177250043</v>
      </c>
      <c r="AT911" s="4" t="str">
        <f>[1]!EM_S_IPO_LISTEDDATE(B911)</f>
        <v>2010-09-02</v>
      </c>
    </row>
    <row r="912" spans="1:46">
      <c r="A912">
        <v>3540</v>
      </c>
      <c r="B912" t="str">
        <f>"603799"</f>
        <v>603799</v>
      </c>
      <c r="C912" t="s">
        <v>64</v>
      </c>
      <c r="D912" t="str">
        <f>[1]!EM_S_INFO_INDEX_EM(B912,"1")</f>
        <v>有色金属</v>
      </c>
      <c r="E912" s="4">
        <f t="shared" si="14"/>
        <v>43465</v>
      </c>
      <c r="F912" s="11">
        <f>[1]!EM_S_PQ_PCTCHANGE(B912,"2018-01-01","2019-12-31","3")</f>
        <v>-9.82235777</v>
      </c>
      <c r="G912" s="11">
        <f>[1]!EM_S_PQ_PCTCHANGE(B912,"2018-12-31","2019-12-30","1")</f>
        <v>30.82032547</v>
      </c>
      <c r="H912" s="11">
        <f>[1]!EM_S_FA_YOY_OR(B912,E912)</f>
        <v>49.698845502099999</v>
      </c>
      <c r="I912" s="11">
        <f>[1]!EM_S_FA_GROSSPROFITMARGIN(B912,E912)</f>
        <v>28.467418948199999</v>
      </c>
      <c r="J912" s="11">
        <f>[1]!EM_S_FA_NETPROFITMARGIN(B912,E912)</f>
        <v>10.550761275399999</v>
      </c>
      <c r="K912" s="10">
        <f>[1]!EM_S_FA_ASSETSTURN(B912,E912)</f>
        <v>0.81006946221200005</v>
      </c>
      <c r="L912" s="12">
        <f>[1]!EM_HKS_VAL_MV(B912,"2019-12-31","2")</f>
        <v>42488869242.690002</v>
      </c>
      <c r="M912">
        <f>[1]!EM_S_VAL_PETTMDEDUCTED(B912,E912)</f>
        <v>9.4171683300168905</v>
      </c>
      <c r="N912" s="7">
        <f>[1]!EM_S_VAL_PBGOODWILLDEDUCTED(B912,E912)</f>
        <v>3.2870015662404701</v>
      </c>
      <c r="O912" s="7">
        <f>[1]!EM_S_VAL_PS_TTM(B912,E912)</f>
        <v>1.83962085548335</v>
      </c>
      <c r="P912" s="7">
        <f>[1]!EM_S_VAL_PCF_NCFTTM(B912,E912)</f>
        <v>45.208112944198803</v>
      </c>
      <c r="Q912" s="7">
        <f>[1]!EM_S_VAL_DIVIDENDYIELD2(B912,E912,"2019-11-29")</f>
        <v>0.2522895273447705</v>
      </c>
      <c r="U912">
        <f>[1]!EM_S_RATIO_EPS_TTM(B912,E912,"1")</f>
        <v>1.8416432866544419</v>
      </c>
      <c r="AT912" s="4" t="str">
        <f>[1]!EM_S_IPO_LISTEDDATE(B912)</f>
        <v>2015-01-29</v>
      </c>
    </row>
    <row r="913" spans="1:46">
      <c r="A913">
        <v>122</v>
      </c>
      <c r="B913" t="str">
        <f>"000513"</f>
        <v>000513</v>
      </c>
      <c r="C913" t="s">
        <v>739</v>
      </c>
      <c r="D913" t="str">
        <f>[1]!EM_S_INFO_INDEX_EM(B913,"1")</f>
        <v>医药生物</v>
      </c>
      <c r="E913" s="4">
        <f t="shared" si="14"/>
        <v>43465</v>
      </c>
      <c r="F913" s="11">
        <f>[1]!EM_S_PQ_PCTCHANGE(B913,"2018-01-01","2019-12-31","3")</f>
        <v>-8.3903808200000007</v>
      </c>
      <c r="G913" s="11">
        <f>[1]!EM_S_PQ_PCTCHANGE(B913,"2018-12-31","2019-12-30","1")</f>
        <v>30.69582505</v>
      </c>
      <c r="H913" s="11">
        <f>[1]!EM_S_FA_YOY_OR(B913,E913)</f>
        <v>3.8645913469000002</v>
      </c>
      <c r="I913" s="11">
        <f>[1]!EM_S_FA_GROSSPROFITMARGIN(B913,E913)</f>
        <v>62.083448573600002</v>
      </c>
      <c r="J913" s="11">
        <f>[1]!EM_S_FA_NETPROFITMARGIN(B913,E913)</f>
        <v>13.3366509539</v>
      </c>
      <c r="K913" s="10">
        <f>[1]!EM_S_FA_ASSETSTURN(B913,E913)</f>
        <v>0.53161152242700005</v>
      </c>
      <c r="L913" s="12">
        <f>[1]!EM_HKS_VAL_MV(B913,"2019-12-31","2")</f>
        <v>31501502147.5</v>
      </c>
      <c r="M913">
        <f>[1]!EM_S_VAL_PETTMDEDUCTED(B913,E913)</f>
        <v>19.310738138172901</v>
      </c>
      <c r="N913" s="7">
        <f>[1]!EM_S_VAL_PBGOODWILLDEDUCTED(B913,E913)</f>
        <v>1.7143067194966</v>
      </c>
      <c r="O913" s="7">
        <f>[1]!EM_S_VAL_PS_TTM(B913,E913)</f>
        <v>2.0432503627632399</v>
      </c>
      <c r="P913" s="7">
        <f>[1]!EM_S_VAL_PCF_NCFTTM(B913,E913)</f>
        <v>-45.781470923133703</v>
      </c>
      <c r="Q913" s="7">
        <f>[1]!EM_S_VAL_DIVIDENDYIELD2(B913,E913,"2019-11-29")</f>
        <v>2.9576319236692088</v>
      </c>
      <c r="T913"/>
      <c r="U913">
        <f>[1]!EM_S_RATIO_EPS_TTM(B913,E913,"1")</f>
        <v>1.5050059728510765</v>
      </c>
      <c r="AT913" s="4" t="str">
        <f>[1]!EM_S_IPO_LISTEDDATE(B913)</f>
        <v>1993-10-28</v>
      </c>
    </row>
    <row r="914" spans="1:46">
      <c r="A914">
        <v>2841</v>
      </c>
      <c r="B914" t="str">
        <f>"600768"</f>
        <v>600768</v>
      </c>
      <c r="C914" t="s">
        <v>3602</v>
      </c>
      <c r="D914" t="str">
        <f>[1]!EM_S_INFO_INDEX_EM(B914,"1")</f>
        <v>有色金属</v>
      </c>
      <c r="E914" s="4">
        <f t="shared" si="14"/>
        <v>43465</v>
      </c>
      <c r="F914" s="11">
        <f>[1]!EM_S_PQ_PCTCHANGE(B914,"2018-01-01","2019-12-31","3")</f>
        <v>-16.666666670000001</v>
      </c>
      <c r="G914" s="11">
        <f>[1]!EM_S_PQ_PCTCHANGE(B914,"2018-12-31","2019-12-30","1")</f>
        <v>30.633437180000001</v>
      </c>
      <c r="H914" s="11">
        <f>[1]!EM_S_FA_YOY_OR(B914,E914)</f>
        <v>-8.2366616433999997</v>
      </c>
      <c r="I914" s="11">
        <f>[1]!EM_S_FA_GROSSPROFITMARGIN(B914,E914)</f>
        <v>3.5583476912999998</v>
      </c>
      <c r="J914" s="11">
        <f>[1]!EM_S_FA_NETPROFITMARGIN(B914,E914)</f>
        <v>-4.2077485607999998</v>
      </c>
      <c r="K914" s="10">
        <f>[1]!EM_S_FA_ASSETSTURN(B914,E914)</f>
        <v>1.2082969817889999</v>
      </c>
      <c r="L914" s="12">
        <f>[1]!EM_HKS_VAL_MV(B914,"2019-12-31","2")</f>
        <v>1638403200</v>
      </c>
      <c r="M914">
        <f>[1]!EM_S_VAL_PETTMDEDUCTED(B914,E914)</f>
        <v>-44.179909115136901</v>
      </c>
      <c r="N914" s="7">
        <f>[1]!EM_S_VAL_PBGOODWILLDEDUCTED(B914,E914)</f>
        <v>12.2349063829854</v>
      </c>
      <c r="O914" s="7">
        <f>[1]!EM_S_VAL_PS_TTM(B914,E914)</f>
        <v>1.6752352666592201</v>
      </c>
      <c r="P914" s="7">
        <f>[1]!EM_S_VAL_PCF_NCFTTM(B914,E914)</f>
        <v>-23.835923798064702</v>
      </c>
      <c r="Q914" s="7">
        <f>[1]!EM_S_VAL_DIVIDENDYIELD2(B914,E914,"2019-11-29")</f>
        <v>0</v>
      </c>
      <c r="T914"/>
      <c r="U914">
        <f>[1]!EM_S_RATIO_EPS_TTM(B914,E914,"1")</f>
        <v>-0.23230178403734808</v>
      </c>
      <c r="AT914" s="4" t="str">
        <f>[1]!EM_S_IPO_LISTEDDATE(B914)</f>
        <v>1996-11-11</v>
      </c>
    </row>
    <row r="915" spans="1:46">
      <c r="A915">
        <v>3189</v>
      </c>
      <c r="B915" t="str">
        <f>"601969"</f>
        <v>601969</v>
      </c>
      <c r="C915" t="s">
        <v>3531</v>
      </c>
      <c r="D915" t="str">
        <f>[1]!EM_S_INFO_INDEX_EM(B915,"1")</f>
        <v>钢铁</v>
      </c>
      <c r="E915" s="4">
        <f t="shared" si="14"/>
        <v>43465</v>
      </c>
      <c r="F915" s="11">
        <f>[1]!EM_S_PQ_PCTCHANGE(B915,"2018-01-01","2019-12-31","3")</f>
        <v>-34.57627119</v>
      </c>
      <c r="G915" s="11">
        <f>[1]!EM_S_PQ_PCTCHANGE(B915,"2018-12-31","2019-12-30","1")</f>
        <v>30.58035714</v>
      </c>
      <c r="H915" s="11">
        <f>[1]!EM_S_FA_YOY_OR(B915,E915)</f>
        <v>-49.690854323800004</v>
      </c>
      <c r="I915" s="11">
        <f>[1]!EM_S_FA_GROSSPROFITMARGIN(B915,E915)</f>
        <v>6.5718809682000003</v>
      </c>
      <c r="J915" s="11">
        <f>[1]!EM_S_FA_NETPROFITMARGIN(B915,E915)</f>
        <v>-55.234198095799997</v>
      </c>
      <c r="K915" s="10">
        <f>[1]!EM_S_FA_ASSETSTURN(B915,E915)</f>
        <v>0.187138743394</v>
      </c>
      <c r="L915" s="12">
        <f>[1]!EM_HKS_VAL_MV(B915,"2019-12-31","2")</f>
        <v>11317830618.059999</v>
      </c>
      <c r="M915">
        <f>[1]!EM_S_VAL_PETTMDEDUCTED(B915,E915)</f>
        <v>-18.171075689424502</v>
      </c>
      <c r="N915" s="7">
        <f>[1]!EM_S_VAL_PBGOODWILLDEDUCTED(B915,E915)</f>
        <v>2.1150280458256598</v>
      </c>
      <c r="O915" s="7">
        <f>[1]!EM_S_VAL_PS_TTM(B915,E915)</f>
        <v>4.26283159768965</v>
      </c>
      <c r="P915" s="7">
        <f>[1]!EM_S_VAL_PCF_NCFTTM(B915,E915)</f>
        <v>-12.5011818653623</v>
      </c>
      <c r="Q915" s="7">
        <f>[1]!EM_S_VAL_DIVIDENDYIELD2(B915,E915,"2019-11-29")</f>
        <v>0</v>
      </c>
      <c r="T915"/>
      <c r="U915">
        <f>[1]!EM_S_RATIO_EPS_TTM(B915,E915,"1")</f>
        <v>-0.39191313867422162</v>
      </c>
      <c r="AT915" s="4" t="str">
        <f>[1]!EM_S_IPO_LISTEDDATE(B915)</f>
        <v>2014-12-09</v>
      </c>
    </row>
    <row r="916" spans="1:46">
      <c r="A916">
        <v>1485</v>
      </c>
      <c r="B916" t="str">
        <f>"300059"</f>
        <v>300059</v>
      </c>
      <c r="C916" t="s">
        <v>1351</v>
      </c>
      <c r="D916" t="str">
        <f>[1]!EM_S_INFO_INDEX_EM(B916,"1")</f>
        <v>互联网</v>
      </c>
      <c r="E916" s="4">
        <f t="shared" si="14"/>
        <v>43465</v>
      </c>
      <c r="F916" s="11">
        <f>[1]!EM_S_PQ_PCTCHANGE(B916,"2018-01-01","2019-12-31","3")</f>
        <v>75.780254029999995</v>
      </c>
      <c r="G916" s="11">
        <f>[1]!EM_S_PQ_PCTCHANGE(B916,"2018-12-31","2019-12-30","1")</f>
        <v>30.49586777</v>
      </c>
      <c r="H916" s="11">
        <f>[1]!EM_S_FA_YOY_OR(B916,E916)</f>
        <v>17.732355481999999</v>
      </c>
      <c r="I916" s="11">
        <f>[1]!EM_S_FA_GROSSPROFITMARGIN(B916,E916)</f>
        <v>71.644685911300002</v>
      </c>
      <c r="J916" s="11">
        <f>[1]!EM_S_FA_NETPROFITMARGIN(B916,E916)</f>
        <v>73.169887457300007</v>
      </c>
      <c r="K916" s="10">
        <f>[1]!EM_S_FA_ASSETSTURN(B916,E916)</f>
        <v>7.6502812764999997E-2</v>
      </c>
      <c r="L916" s="12">
        <f>[1]!EM_HKS_VAL_MV(B916,"2019-12-31","2")</f>
        <v>105905148489.35001</v>
      </c>
      <c r="M916">
        <f>[1]!EM_S_VAL_PETTMDEDUCTED(B916,E916)</f>
        <v>65.417338925140399</v>
      </c>
      <c r="N916" s="7">
        <f>[1]!EM_S_VAL_PBGOODWILLDEDUCTED(B916,E916)</f>
        <v>5.4149319945648502</v>
      </c>
      <c r="O916" s="7">
        <f>[1]!EM_S_VAL_PS_TTM(B916,E916)</f>
        <v>19.787975945325599</v>
      </c>
      <c r="P916" s="7">
        <f>[1]!EM_S_VAL_PCF_NCFTTM(B916,E916)</f>
        <v>-57.5742846284774</v>
      </c>
      <c r="Q916" s="7">
        <f>[1]!EM_S_VAL_DIVIDENDYIELD2(B916,E916,"2019-11-29")</f>
        <v>0.12033694344522038</v>
      </c>
      <c r="T916"/>
      <c r="U916">
        <f>[1]!EM_S_RATIO_EPS_TTM(B916,E916,"1")</f>
        <v>0.18549584785999765</v>
      </c>
      <c r="AT916" s="4" t="str">
        <f>[1]!EM_S_IPO_LISTEDDATE(B916)</f>
        <v>2010-03-19</v>
      </c>
    </row>
    <row r="917" spans="1:46">
      <c r="A917">
        <v>71</v>
      </c>
      <c r="B917" t="str">
        <f>"000153"</f>
        <v>000153</v>
      </c>
      <c r="C917" t="s">
        <v>2288</v>
      </c>
      <c r="D917" t="str">
        <f>[1]!EM_S_INFO_INDEX_EM(B917,"1")</f>
        <v>医药生物</v>
      </c>
      <c r="E917" s="4">
        <f t="shared" si="14"/>
        <v>43465</v>
      </c>
      <c r="F917" s="11">
        <f>[1]!EM_S_PQ_PCTCHANGE(B917,"2018-01-01","2019-12-31","3")</f>
        <v>-15.046767770000001</v>
      </c>
      <c r="G917" s="11">
        <f>[1]!EM_S_PQ_PCTCHANGE(B917,"2019-01-01","2019-12-31","3")</f>
        <v>30.481566399999998</v>
      </c>
      <c r="H917" s="11">
        <f>[1]!EM_S_FA_YOY_OR(B917,E917)</f>
        <v>16.884101063599999</v>
      </c>
      <c r="I917" s="11">
        <f>[1]!EM_S_FA_GROSSPROFITMARGIN(B917,E917)</f>
        <v>38.949885565599999</v>
      </c>
      <c r="J917" s="11">
        <f>[1]!EM_S_FA_NETPROFITMARGIN(B917,E917)</f>
        <v>2.0145860196999998</v>
      </c>
      <c r="K917" s="10">
        <f>[1]!EM_S_FA_ASSETSTURN(B917,E917)</f>
        <v>1.04347134841</v>
      </c>
      <c r="L917" s="12">
        <f>[1]!EM_HKS_VAL_MV(B917,"2019-12-31","2")</f>
        <v>2063253530.3</v>
      </c>
      <c r="M917">
        <f>[1]!EM_S_VAL_PETTMDEDUCTED(B917,E917)</f>
        <v>26.8832689379154</v>
      </c>
      <c r="N917" s="7">
        <f>[1]!EM_S_VAL_PBGOODWILLDEDUCTED(B917,E917)</f>
        <v>1.2785758812354699</v>
      </c>
      <c r="O917" s="7">
        <f>[1]!EM_S_VAL_PS_TTM(B917,E917)</f>
        <v>0.54105006216784801</v>
      </c>
      <c r="P917" s="7">
        <f>[1]!EM_S_VAL_PCF_NCFTTM(B917,E917)</f>
        <v>19.802088341195802</v>
      </c>
      <c r="Q917" s="7">
        <f>[1]!EM_S_VAL_DIVIDENDYIELD2(B917,E917,"2019-11-29")</f>
        <v>1.6286644951140066</v>
      </c>
      <c r="T917"/>
      <c r="U917">
        <f>[1]!EM_S_RATIO_EPS_TTM(B917,E917,"1")</f>
        <v>0.19214971857207333</v>
      </c>
      <c r="AT917" s="4" t="str">
        <f>[1]!EM_S_IPO_LISTEDDATE(B917)</f>
        <v>2000-09-20</v>
      </c>
    </row>
    <row r="918" spans="1:46">
      <c r="A918">
        <v>2256</v>
      </c>
      <c r="B918" t="str">
        <f>"600109"</f>
        <v>600109</v>
      </c>
      <c r="C918" t="s">
        <v>1839</v>
      </c>
      <c r="D918" t="str">
        <f>[1]!EM_S_INFO_INDEX_EM(B918,"1")</f>
        <v>金融</v>
      </c>
      <c r="E918" s="4">
        <f t="shared" si="14"/>
        <v>43465</v>
      </c>
      <c r="F918" s="11">
        <f>[1]!EM_S_PQ_PCTCHANGE(B918,"2018-01-01","2019-12-31","3")</f>
        <v>-1.3640838500000001</v>
      </c>
      <c r="G918" s="11">
        <f>[1]!EM_S_PQ_PCTCHANGE(B918,"2018-12-31","2019-12-30","1")</f>
        <v>30.446927370000001</v>
      </c>
      <c r="H918" s="11">
        <f>[1]!EM_S_FA_YOY_OR(B918,E918)</f>
        <v>-14.2228811358</v>
      </c>
      <c r="I918" s="11">
        <f>[1]!EM_S_FA_GROSSPROFITMARGIN(B918,E918)</f>
        <v>0</v>
      </c>
      <c r="J918" s="11">
        <f>[1]!EM_S_FA_NETPROFITMARGIN(B918,E918)</f>
        <v>27.166467162899998</v>
      </c>
      <c r="K918" s="10">
        <f>[1]!EM_S_FA_ASSETSTURN(B918,E918)</f>
        <v>0</v>
      </c>
      <c r="L918" s="12">
        <f>[1]!EM_HKS_VAL_MV(B918,"2019-12-31","2")</f>
        <v>28126541583</v>
      </c>
      <c r="M918">
        <f>[1]!EM_S_VAL_PETTMDEDUCTED(B918,E918)</f>
        <v>22.805907772750199</v>
      </c>
      <c r="N918" s="7">
        <f>[1]!EM_S_VAL_PBGOODWILLDEDUCTED(B918,E918)</f>
        <v>1.1156525752787001</v>
      </c>
      <c r="O918" s="7">
        <f>[1]!EM_S_VAL_PS_TTM(B918,E918)</f>
        <v>5.8428394614815904</v>
      </c>
      <c r="P918" s="7">
        <f>[1]!EM_S_VAL_PCF_NCFTTM(B918,E918)</f>
        <v>57.1487840791618</v>
      </c>
      <c r="Q918" s="7">
        <f>[1]!EM_S_VAL_DIVIDENDYIELD2(B918,E918,"2019-11-29")</f>
        <v>0.48661800486618007</v>
      </c>
      <c r="T918"/>
      <c r="U918">
        <f>[1]!EM_S_RATIO_EPS_TTM(B918,E918,"1")</f>
        <v>0.33411788212426391</v>
      </c>
      <c r="AT918" s="4" t="str">
        <f>[1]!EM_S_IPO_LISTEDDATE(B918)</f>
        <v>1997-08-07</v>
      </c>
    </row>
    <row r="919" spans="1:46">
      <c r="A919">
        <v>1088</v>
      </c>
      <c r="B919" t="str">
        <f>"002577"</f>
        <v>002577</v>
      </c>
      <c r="C919" t="s">
        <v>2451</v>
      </c>
      <c r="D919" t="str">
        <f>[1]!EM_S_INFO_INDEX_EM(B919,"1")</f>
        <v>信息技术</v>
      </c>
      <c r="E919" s="4">
        <f t="shared" si="14"/>
        <v>43465</v>
      </c>
      <c r="F919" s="11">
        <f>[1]!EM_S_PQ_PCTCHANGE(B919,"2018-01-01","2019-12-31","3")</f>
        <v>-23.420738969999999</v>
      </c>
      <c r="G919" s="11">
        <f>[1]!EM_S_PQ_PCTCHANGE(B919,"2018-12-31","2019-12-30","1")</f>
        <v>30.390143739999999</v>
      </c>
      <c r="H919" s="11">
        <f>[1]!EM_S_FA_YOY_OR(B919,E919)</f>
        <v>-5.0406618299000003</v>
      </c>
      <c r="I919" s="11">
        <f>[1]!EM_S_FA_GROSSPROFITMARGIN(B919,E919)</f>
        <v>19.452743443999999</v>
      </c>
      <c r="J919" s="11">
        <f>[1]!EM_S_FA_NETPROFITMARGIN(B919,E919)</f>
        <v>1.6467201048</v>
      </c>
      <c r="K919" s="10">
        <f>[1]!EM_S_FA_ASSETSTURN(B919,E919)</f>
        <v>0.36324900073900002</v>
      </c>
      <c r="L919" s="12">
        <f>[1]!EM_HKS_VAL_MV(B919,"2019-12-31","2")</f>
        <v>3635008000</v>
      </c>
      <c r="M919">
        <f>[1]!EM_S_VAL_PETTMDEDUCTED(B919,E919)</f>
        <v>-2008.91556375349</v>
      </c>
      <c r="N919" s="7">
        <f>[1]!EM_S_VAL_PBGOODWILLDEDUCTED(B919,E919)</f>
        <v>2.3344845293907799</v>
      </c>
      <c r="O919" s="7">
        <f>[1]!EM_S_VAL_PS_TTM(B919,E919)</f>
        <v>5.6147889707625396</v>
      </c>
      <c r="P919" s="7">
        <f>[1]!EM_S_VAL_PCF_NCFTTM(B919,E919)</f>
        <v>-32.670600091134602</v>
      </c>
      <c r="Q919" s="7">
        <f>[1]!EM_S_VAL_DIVIDENDYIELD2(B919,E919,"2019-11-29")</f>
        <v>0</v>
      </c>
      <c r="T919"/>
      <c r="U919">
        <f>[1]!EM_S_RATIO_EPS_TTM(B919,E919,"1")</f>
        <v>2.8521626307975115E-2</v>
      </c>
      <c r="AT919" s="4" t="str">
        <f>[1]!EM_S_IPO_LISTEDDATE(B919)</f>
        <v>2011-04-28</v>
      </c>
    </row>
    <row r="920" spans="1:46">
      <c r="A920">
        <v>2480</v>
      </c>
      <c r="B920" t="str">
        <f>"600360"</f>
        <v>600360</v>
      </c>
      <c r="C920" t="s">
        <v>2214</v>
      </c>
      <c r="D920" t="str">
        <f>[1]!EM_S_INFO_INDEX_EM(B920,"1")</f>
        <v>电子设备</v>
      </c>
      <c r="E920" s="4">
        <f t="shared" si="14"/>
        <v>43465</v>
      </c>
      <c r="F920" s="11">
        <f>[1]!EM_S_PQ_PCTCHANGE(B920,"2018-01-01","2019-12-31","3")</f>
        <v>-6.3592603800000003</v>
      </c>
      <c r="G920" s="11">
        <f>[1]!EM_S_PQ_PCTCHANGE(B920,"2018-12-31","2019-12-30","1")</f>
        <v>30.350194550000001</v>
      </c>
      <c r="H920" s="11">
        <f>[1]!EM_S_FA_YOY_OR(B920,E920)</f>
        <v>4.5490504391000002</v>
      </c>
      <c r="I920" s="11">
        <f>[1]!EM_S_FA_GROSSPROFITMARGIN(B920,E920)</f>
        <v>22.716723360700001</v>
      </c>
      <c r="J920" s="11">
        <f>[1]!EM_S_FA_NETPROFITMARGIN(B920,E920)</f>
        <v>6.2603783615999999</v>
      </c>
      <c r="K920" s="10">
        <f>[1]!EM_S_FA_ASSETSTURN(B920,E920)</f>
        <v>0.40388090069999999</v>
      </c>
      <c r="L920" s="12">
        <f>[1]!EM_HKS_VAL_MV(B920,"2019-12-31","2")</f>
        <v>6352570893.3599997</v>
      </c>
      <c r="M920">
        <f>[1]!EM_S_VAL_PETTMDEDUCTED(B920,E920)</f>
        <v>37.028203962187099</v>
      </c>
      <c r="N920" s="7">
        <f>[1]!EM_S_VAL_PBGOODWILLDEDUCTED(B920,E920)</f>
        <v>1.7181276498956199</v>
      </c>
      <c r="O920" s="7">
        <f>[1]!EM_S_VAL_PS_TTM(B920,E920)</f>
        <v>2.1876688487842602</v>
      </c>
      <c r="P920" s="7">
        <f>[1]!EM_S_VAL_PCF_NCFTTM(B920,E920)</f>
        <v>24.6212919695311</v>
      </c>
      <c r="Q920" s="7">
        <f>[1]!EM_S_VAL_DIVIDENDYIELD2(B920,E920,"2019-11-29")</f>
        <v>0.61946902654867242</v>
      </c>
      <c r="T920"/>
      <c r="U920">
        <f>[1]!EM_S_RATIO_EPS_TTM(B920,E920,"1")</f>
        <v>0.14104343359659813</v>
      </c>
      <c r="AT920" s="4" t="str">
        <f>[1]!EM_S_IPO_LISTEDDATE(B920)</f>
        <v>2001-03-16</v>
      </c>
    </row>
    <row r="921" spans="1:46">
      <c r="A921">
        <v>2741</v>
      </c>
      <c r="B921" t="str">
        <f>"600668"</f>
        <v>600668</v>
      </c>
      <c r="C921" t="s">
        <v>514</v>
      </c>
      <c r="D921" t="str">
        <f>[1]!EM_S_INFO_INDEX_EM(B921,"1")</f>
        <v>建材</v>
      </c>
      <c r="E921" s="4">
        <f t="shared" si="14"/>
        <v>43465</v>
      </c>
      <c r="F921" s="11">
        <f>[1]!EM_S_PQ_PCTCHANGE(B921,"2018-01-01","2019-12-31","3")</f>
        <v>3.0277697300000002</v>
      </c>
      <c r="G921" s="11">
        <f>[1]!EM_S_PQ_PCTCHANGE(B921,"2018-12-31","2019-12-30","1")</f>
        <v>30.33898305</v>
      </c>
      <c r="H921" s="11">
        <f>[1]!EM_S_FA_YOY_OR(B921,E921)</f>
        <v>18.950483730399998</v>
      </c>
      <c r="I921" s="11">
        <f>[1]!EM_S_FA_GROSSPROFITMARGIN(B921,E921)</f>
        <v>41.845985305600003</v>
      </c>
      <c r="J921" s="11">
        <f>[1]!EM_S_FA_NETPROFITMARGIN(B921,E921)</f>
        <v>20.004687743200002</v>
      </c>
      <c r="K921" s="10">
        <f>[1]!EM_S_FA_ASSETSTURN(B921,E921)</f>
        <v>0.74081109381200005</v>
      </c>
      <c r="L921" s="12">
        <f>[1]!EM_HKS_VAL_MV(B921,"2019-12-31","2")</f>
        <v>5436524482.3999996</v>
      </c>
      <c r="M921">
        <f>[1]!EM_S_VAL_PETTMDEDUCTED(B921,E921)</f>
        <v>7.66304059657016</v>
      </c>
      <c r="N921" s="7">
        <f>[1]!EM_S_VAL_PBGOODWILLDEDUCTED(B921,E921)</f>
        <v>1.3175419730150799</v>
      </c>
      <c r="O921" s="7">
        <f>[1]!EM_S_VAL_PS_TTM(B921,E921)</f>
        <v>1.28132996751228</v>
      </c>
      <c r="P921" s="7">
        <f>[1]!EM_S_VAL_PCF_NCFTTM(B921,E921)</f>
        <v>77.230140974847203</v>
      </c>
      <c r="Q921" s="7">
        <f>[1]!EM_S_VAL_DIVIDENDYIELD2(B921,E921,"2019-11-29")</f>
        <v>2.1707670043415339</v>
      </c>
      <c r="T921"/>
      <c r="U921">
        <f>[1]!EM_S_RATIO_EPS_TTM(B921,E921,"1")</f>
        <v>1.7103451359823862</v>
      </c>
      <c r="AT921" s="4" t="str">
        <f>[1]!EM_S_IPO_LISTEDDATE(B921)</f>
        <v>1993-07-28</v>
      </c>
    </row>
    <row r="922" spans="1:46">
      <c r="A922">
        <v>1680</v>
      </c>
      <c r="B922" t="str">
        <f>"300255"</f>
        <v>300255</v>
      </c>
      <c r="C922" t="s">
        <v>1444</v>
      </c>
      <c r="D922" t="str">
        <f>[1]!EM_S_INFO_INDEX_EM(B922,"1")</f>
        <v>医药生物</v>
      </c>
      <c r="E922" s="4">
        <f t="shared" si="14"/>
        <v>43465</v>
      </c>
      <c r="F922" s="11">
        <f>[1]!EM_S_PQ_PCTCHANGE(B922,"2018-01-01","2019-12-31","3")</f>
        <v>-13.345346470000001</v>
      </c>
      <c r="G922" s="11">
        <f>[1]!EM_S_PQ_PCTCHANGE(B922,"2018-12-31","2019-12-30","1")</f>
        <v>30.31784841</v>
      </c>
      <c r="H922" s="11">
        <f>[1]!EM_S_FA_YOY_OR(B922,E922)</f>
        <v>16.3694397959</v>
      </c>
      <c r="I922" s="11">
        <f>[1]!EM_S_FA_GROSSPROFITMARGIN(B922,E922)</f>
        <v>71.424469766000001</v>
      </c>
      <c r="J922" s="11">
        <f>[1]!EM_S_FA_NETPROFITMARGIN(B922,E922)</f>
        <v>8.0000508014000005</v>
      </c>
      <c r="K922" s="10">
        <f>[1]!EM_S_FA_ASSETSTURN(B922,E922)</f>
        <v>0.44817894117200002</v>
      </c>
      <c r="L922" s="12">
        <f>[1]!EM_HKS_VAL_MV(B922,"2019-12-31","2")</f>
        <v>5086219816.3199997</v>
      </c>
      <c r="M922">
        <f>[1]!EM_S_VAL_PETTMDEDUCTED(B922,E922)</f>
        <v>17.5799437045183</v>
      </c>
      <c r="N922" s="7">
        <f>[1]!EM_S_VAL_PBGOODWILLDEDUCTED(B922,E922)</f>
        <v>1.5239596326142799</v>
      </c>
      <c r="O922" s="7">
        <f>[1]!EM_S_VAL_PS_TTM(B922,E922)</f>
        <v>2.2618536788358599</v>
      </c>
      <c r="P922" s="7">
        <f>[1]!EM_S_VAL_PCF_NCFTTM(B922,E922)</f>
        <v>65.350501254127593</v>
      </c>
      <c r="Q922" s="7">
        <f>[1]!EM_S_VAL_DIVIDENDYIELD2(B922,E922,"2019-11-29")</f>
        <v>0.55009823182711204</v>
      </c>
      <c r="T922"/>
      <c r="U922">
        <f>[1]!EM_S_RATIO_EPS_TTM(B922,E922,"1")</f>
        <v>0.14972411928585988</v>
      </c>
      <c r="AT922" s="4" t="str">
        <f>[1]!EM_S_IPO_LISTEDDATE(B922)</f>
        <v>2011-08-19</v>
      </c>
    </row>
    <row r="923" spans="1:46">
      <c r="A923">
        <v>2407</v>
      </c>
      <c r="B923" t="str">
        <f>"600278"</f>
        <v>600278</v>
      </c>
      <c r="C923" t="s">
        <v>2001</v>
      </c>
      <c r="D923" t="str">
        <f>[1]!EM_S_INFO_INDEX_EM(B923,"1")</f>
        <v>商贸零售</v>
      </c>
      <c r="E923" s="4">
        <f t="shared" si="14"/>
        <v>43465</v>
      </c>
      <c r="F923" s="11">
        <f>[1]!EM_S_PQ_PCTCHANGE(B923,"2018-01-01","2019-12-31","3")</f>
        <v>-9.0327114999999996</v>
      </c>
      <c r="G923" s="11">
        <f>[1]!EM_S_PQ_PCTCHANGE(B923,"2018-12-31","2019-12-30","1")</f>
        <v>30.184049080000001</v>
      </c>
      <c r="H923" s="11">
        <f>[1]!EM_S_FA_YOY_OR(B923,E923)</f>
        <v>5.7320499807000003</v>
      </c>
      <c r="I923" s="11">
        <f>[1]!EM_S_FA_GROSSPROFITMARGIN(B923,E923)</f>
        <v>5.5981807701999999</v>
      </c>
      <c r="J923" s="11">
        <f>[1]!EM_S_FA_NETPROFITMARGIN(B923,E923)</f>
        <v>1.1559611645000001</v>
      </c>
      <c r="K923" s="10">
        <f>[1]!EM_S_FA_ASSETSTURN(B923,E923)</f>
        <v>2.025677410713</v>
      </c>
      <c r="L923" s="12">
        <f>[1]!EM_HKS_VAL_MV(B923,"2019-12-31","2")</f>
        <v>5540984850.79</v>
      </c>
      <c r="M923">
        <f>[1]!EM_S_VAL_PETTMDEDUCTED(B923,E923)</f>
        <v>71.434424965564602</v>
      </c>
      <c r="N923" s="7">
        <f>[1]!EM_S_VAL_PBGOODWILLDEDUCTED(B923,E923)</f>
        <v>1.1606691844664101</v>
      </c>
      <c r="O923" s="7">
        <f>[1]!EM_S_VAL_PS_TTM(B923,E923)</f>
        <v>0.24780195789536799</v>
      </c>
      <c r="P923" s="7">
        <f>[1]!EM_S_VAL_PCF_NCFTTM(B923,E923)</f>
        <v>-9.8277032938205906</v>
      </c>
      <c r="Q923" s="7">
        <f>[1]!EM_S_VAL_DIVIDENDYIELD2(B923,E923,"2019-11-29")</f>
        <v>0.84825636192271436</v>
      </c>
      <c r="T923"/>
      <c r="U923">
        <f>[1]!EM_S_RATIO_EPS_TTM(B923,E923,"1")</f>
        <v>0.29041703621854709</v>
      </c>
      <c r="AT923" s="4" t="str">
        <f>[1]!EM_S_IPO_LISTEDDATE(B923)</f>
        <v>2000-07-12</v>
      </c>
    </row>
    <row r="924" spans="1:46">
      <c r="A924">
        <v>724</v>
      </c>
      <c r="B924" t="str">
        <f>"002213"</f>
        <v>002213</v>
      </c>
      <c r="C924" t="s">
        <v>3242</v>
      </c>
      <c r="D924" t="str">
        <f>[1]!EM_S_INFO_INDEX_EM(B924,"1")</f>
        <v>交运设备</v>
      </c>
      <c r="E924" s="4">
        <f t="shared" si="14"/>
        <v>43465</v>
      </c>
      <c r="F924" s="11">
        <f>[1]!EM_S_PQ_PCTCHANGE(B924,"2018-01-01","2019-12-31","3")</f>
        <v>-26.418439719999999</v>
      </c>
      <c r="G924" s="11">
        <f>[1]!EM_S_PQ_PCTCHANGE(B924,"2018-12-31","2019-12-30","1")</f>
        <v>30.182599360000001</v>
      </c>
      <c r="H924" s="11">
        <f>[1]!EM_S_FA_YOY_OR(B924,E924)</f>
        <v>4.8037965543999999</v>
      </c>
      <c r="I924" s="11">
        <f>[1]!EM_S_FA_GROSSPROFITMARGIN(B924,E924)</f>
        <v>29.429347675199999</v>
      </c>
      <c r="J924" s="11">
        <f>[1]!EM_S_FA_NETPROFITMARGIN(B924,E924)</f>
        <v>0.88138182600000003</v>
      </c>
      <c r="K924" s="10">
        <f>[1]!EM_S_FA_ASSETSTURN(B924,E924)</f>
        <v>0.28822343043400001</v>
      </c>
      <c r="L924" s="12">
        <f>[1]!EM_HKS_VAL_MV(B924,"2019-12-31","2")</f>
        <v>2564700000</v>
      </c>
      <c r="M924">
        <f>[1]!EM_S_VAL_PETTMDEDUCTED(B924,E924)</f>
        <v>-433.40418178517001</v>
      </c>
      <c r="N924" s="7">
        <f>[1]!EM_S_VAL_PBGOODWILLDEDUCTED(B924,E924)</f>
        <v>5.2250264685067496</v>
      </c>
      <c r="O924" s="7">
        <f>[1]!EM_S_VAL_PS_TTM(B924,E924)</f>
        <v>18.2480551206325</v>
      </c>
      <c r="P924" s="7">
        <f>[1]!EM_S_VAL_PCF_NCFTTM(B924,E924)</f>
        <v>-23.839714764073999</v>
      </c>
      <c r="Q924" s="7">
        <f>[1]!EM_S_VAL_DIVIDENDYIELD2(B924,E924,"2019-11-29")</f>
        <v>0</v>
      </c>
      <c r="T924"/>
      <c r="U924">
        <f>[1]!EM_S_RATIO_EPS_TTM(B924,E924,"1")</f>
        <v>5.1351132038834953E-3</v>
      </c>
      <c r="AT924" s="4" t="str">
        <f>[1]!EM_S_IPO_LISTEDDATE(B924)</f>
        <v>2008-02-01</v>
      </c>
    </row>
    <row r="925" spans="1:46">
      <c r="A925">
        <v>3138</v>
      </c>
      <c r="B925" t="str">
        <f>"601677"</f>
        <v>601677</v>
      </c>
      <c r="C925" t="s">
        <v>1098</v>
      </c>
      <c r="D925" t="str">
        <f>[1]!EM_S_INFO_INDEX_EM(B925,"1")</f>
        <v>有色金属</v>
      </c>
      <c r="E925" s="4">
        <f t="shared" si="14"/>
        <v>43465</v>
      </c>
      <c r="F925" s="11">
        <f>[1]!EM_S_PQ_PCTCHANGE(B925,"2018-01-01","2019-12-31","3")</f>
        <v>-8.9596796899999998</v>
      </c>
      <c r="G925" s="11">
        <f>[1]!EM_S_PQ_PCTCHANGE(B925,"2018-12-31","2019-12-30","1")</f>
        <v>30.147895340000002</v>
      </c>
      <c r="H925" s="11">
        <f>[1]!EM_S_FA_YOY_OR(B925,E925)</f>
        <v>28.545459851699999</v>
      </c>
      <c r="I925" s="11">
        <f>[1]!EM_S_FA_GROSSPROFITMARGIN(B925,E925)</f>
        <v>8.8138115321000008</v>
      </c>
      <c r="J925" s="11">
        <f>[1]!EM_S_FA_NETPROFITMARGIN(B925,E925)</f>
        <v>3.9629115646000002</v>
      </c>
      <c r="K925" s="10">
        <f>[1]!EM_S_FA_ASSETSTURN(B925,E925)</f>
        <v>1.482342130673</v>
      </c>
      <c r="L925" s="12">
        <f>[1]!EM_HKS_VAL_MV(B925,"2019-12-31","2")</f>
        <v>7105884958.8900003</v>
      </c>
      <c r="M925">
        <f>[1]!EM_S_VAL_PETTMDEDUCTED(B925,E925)</f>
        <v>13.8084855692536</v>
      </c>
      <c r="N925" s="7">
        <f>[1]!EM_S_VAL_PBGOODWILLDEDUCTED(B925,E925)</f>
        <v>0.87473292065822905</v>
      </c>
      <c r="O925" s="7">
        <f>[1]!EM_S_VAL_PS_TTM(B925,E925)</f>
        <v>0.40542138946449702</v>
      </c>
      <c r="P925" s="7">
        <f>[1]!EM_S_VAL_PCF_NCFTTM(B925,E925)</f>
        <v>9.16085808676395</v>
      </c>
      <c r="Q925" s="7">
        <f>[1]!EM_S_VAL_DIVIDENDYIELD2(B925,E925,"2019-11-29")</f>
        <v>1.7807493225703279</v>
      </c>
      <c r="T925"/>
      <c r="U925">
        <f>[1]!EM_S_RATIO_EPS_TTM(B925,E925,"1")</f>
        <v>0.84022859078032475</v>
      </c>
      <c r="AT925" s="4" t="str">
        <f>[1]!EM_S_IPO_LISTEDDATE(B925)</f>
        <v>2011-09-19</v>
      </c>
    </row>
    <row r="926" spans="1:46">
      <c r="A926">
        <v>170</v>
      </c>
      <c r="B926" t="str">
        <f>"000561"</f>
        <v>000561</v>
      </c>
      <c r="C926" t="s">
        <v>3463</v>
      </c>
      <c r="D926" t="str">
        <f>[1]!EM_S_INFO_INDEX_EM(B926,"1")</f>
        <v>信息技术</v>
      </c>
      <c r="E926" s="4">
        <f t="shared" si="14"/>
        <v>43465</v>
      </c>
      <c r="F926" s="11">
        <f>[1]!EM_S_PQ_PCTCHANGE(B926,"2018-01-01","2019-12-31","3")</f>
        <v>-14.51990632</v>
      </c>
      <c r="G926" s="11">
        <f>[1]!EM_S_PQ_PCTCHANGE(B926,"2018-12-31","2019-12-30","1")</f>
        <v>30.124777179999999</v>
      </c>
      <c r="H926" s="11">
        <f>[1]!EM_S_FA_YOY_OR(B926,E926)</f>
        <v>0.58013298629999999</v>
      </c>
      <c r="I926" s="11">
        <f>[1]!EM_S_FA_GROSSPROFITMARGIN(B926,E926)</f>
        <v>44.000696377899999</v>
      </c>
      <c r="J926" s="11">
        <f>[1]!EM_S_FA_NETPROFITMARGIN(B926,E926)</f>
        <v>8.1050375719000005</v>
      </c>
      <c r="K926" s="10">
        <f>[1]!EM_S_FA_ASSETSTURN(B926,E926)</f>
        <v>0.43056955924899998</v>
      </c>
      <c r="L926" s="12">
        <f>[1]!EM_HKS_VAL_MV(B926,"2019-12-31","2")</f>
        <v>4414253943.3000002</v>
      </c>
      <c r="M926">
        <f>[1]!EM_S_VAL_PETTMDEDUCTED(B926,E926)</f>
        <v>55.747671101714403</v>
      </c>
      <c r="N926" s="7">
        <f>[1]!EM_S_VAL_PBGOODWILLDEDUCTED(B926,E926)</f>
        <v>2.4695913515975598</v>
      </c>
      <c r="O926" s="7">
        <f>[1]!EM_S_VAL_PS_TTM(B926,E926)</f>
        <v>2.6159483826791998</v>
      </c>
      <c r="P926" s="7">
        <f>[1]!EM_S_VAL_PCF_NCFTTM(B926,E926)</f>
        <v>53.947242351158003</v>
      </c>
      <c r="Q926" s="7">
        <f>[1]!EM_S_VAL_DIVIDENDYIELD2(B926,E926,"2019-11-29")</f>
        <v>0</v>
      </c>
      <c r="T926"/>
      <c r="U926">
        <f>[1]!EM_S_RATIO_EPS_TTM(B926,E926,"1")</f>
        <v>0.14303839667351931</v>
      </c>
      <c r="AT926" s="4" t="str">
        <f>[1]!EM_S_IPO_LISTEDDATE(B926)</f>
        <v>1994-05-09</v>
      </c>
    </row>
    <row r="927" spans="1:46">
      <c r="A927">
        <v>1446</v>
      </c>
      <c r="B927" t="str">
        <f>"300020"</f>
        <v>300020</v>
      </c>
      <c r="C927" t="s">
        <v>1587</v>
      </c>
      <c r="D927" t="str">
        <f>[1]!EM_S_INFO_INDEX_EM(B927,"1")</f>
        <v>信息技术</v>
      </c>
      <c r="E927" s="4">
        <f t="shared" si="14"/>
        <v>43465</v>
      </c>
      <c r="F927" s="11">
        <f>[1]!EM_S_PQ_PCTCHANGE(B927,"2018-01-01","2019-12-31","3")</f>
        <v>-27.567957289999999</v>
      </c>
      <c r="G927" s="11">
        <f>[1]!EM_S_PQ_PCTCHANGE(B927,"2018-12-31","2019-12-30","1")</f>
        <v>30.092592589999999</v>
      </c>
      <c r="H927" s="11">
        <f>[1]!EM_S_FA_YOY_OR(B927,E927)</f>
        <v>24.253498469</v>
      </c>
      <c r="I927" s="11">
        <f>[1]!EM_S_FA_GROSSPROFITMARGIN(B927,E927)</f>
        <v>24.311625617600001</v>
      </c>
      <c r="J927" s="11">
        <f>[1]!EM_S_FA_NETPROFITMARGIN(B927,E927)</f>
        <v>0.95602810979999997</v>
      </c>
      <c r="K927" s="10">
        <f>[1]!EM_S_FA_ASSETSTURN(B927,E927)</f>
        <v>0.40566586746599997</v>
      </c>
      <c r="L927" s="12">
        <f>[1]!EM_HKS_VAL_MV(B927,"2019-12-31","2")</f>
        <v>5508628322.3999996</v>
      </c>
      <c r="M927">
        <f>[1]!EM_S_VAL_PETTMDEDUCTED(B927,E927)</f>
        <v>-33.1939248898287</v>
      </c>
      <c r="N927" s="7">
        <f>[1]!EM_S_VAL_PBGOODWILLDEDUCTED(B927,E927)</f>
        <v>1.3147149944386201</v>
      </c>
      <c r="O927" s="7">
        <f>[1]!EM_S_VAL_PS_TTM(B927,E927)</f>
        <v>1.96717510886169</v>
      </c>
      <c r="P927" s="7">
        <f>[1]!EM_S_VAL_PCF_NCFTTM(B927,E927)</f>
        <v>-13.3401275751017</v>
      </c>
      <c r="Q927" s="7">
        <f>[1]!EM_S_VAL_DIVIDENDYIELD2(B927,E927,"2019-11-29")</f>
        <v>0.37220843672456572</v>
      </c>
      <c r="T927"/>
      <c r="U927">
        <f>[1]!EM_S_RATIO_EPS_TTM(B927,E927,"1")</f>
        <v>4.0324086302345082E-2</v>
      </c>
      <c r="AT927" s="4" t="str">
        <f>[1]!EM_S_IPO_LISTEDDATE(B927)</f>
        <v>2009-10-30</v>
      </c>
    </row>
    <row r="928" spans="1:46">
      <c r="A928">
        <v>1692</v>
      </c>
      <c r="B928" t="str">
        <f>"300267"</f>
        <v>300267</v>
      </c>
      <c r="C928" t="s">
        <v>1430</v>
      </c>
      <c r="D928" t="str">
        <f>[1]!EM_S_INFO_INDEX_EM(B928,"1")</f>
        <v>医药生物</v>
      </c>
      <c r="E928" s="4">
        <f t="shared" si="14"/>
        <v>43465</v>
      </c>
      <c r="F928" s="11">
        <f>[1]!EM_S_PQ_PCTCHANGE(B928,"2018-01-01","2019-12-31","3")</f>
        <v>-22.815567009999999</v>
      </c>
      <c r="G928" s="11">
        <f>[1]!EM_S_PQ_PCTCHANGE(B928,"2018-12-31","2019-12-30","1")</f>
        <v>30.051813469999999</v>
      </c>
      <c r="H928" s="11">
        <f>[1]!EM_S_FA_YOY_OR(B928,E928)</f>
        <v>-16.740411284699999</v>
      </c>
      <c r="I928" s="11">
        <f>[1]!EM_S_FA_GROSSPROFITMARGIN(B928,E928)</f>
        <v>35.681722337499998</v>
      </c>
      <c r="J928" s="11">
        <f>[1]!EM_S_FA_NETPROFITMARGIN(B928,E928)</f>
        <v>8.9476406069000003</v>
      </c>
      <c r="K928" s="10">
        <f>[1]!EM_S_FA_ASSETSTURN(B928,E928)</f>
        <v>0.40012507660300001</v>
      </c>
      <c r="L928" s="12">
        <f>[1]!EM_HKS_VAL_MV(B928,"2019-12-31","2")</f>
        <v>10643041129.200001</v>
      </c>
      <c r="M928">
        <f>[1]!EM_S_VAL_PETTMDEDUCTED(B928,E928)</f>
        <v>36.456657252912301</v>
      </c>
      <c r="N928" s="7">
        <f>[1]!EM_S_VAL_PBGOODWILLDEDUCTED(B928,E928)</f>
        <v>1.42755084927529</v>
      </c>
      <c r="O928" s="7">
        <f>[1]!EM_S_VAL_PS_TTM(B928,E928)</f>
        <v>3.7823153497259701</v>
      </c>
      <c r="P928" s="7">
        <f>[1]!EM_S_VAL_PCF_NCFTTM(B928,E928)</f>
        <v>48.422936050222098</v>
      </c>
      <c r="Q928" s="7">
        <f>[1]!EM_S_VAL_DIVIDENDYIELD2(B928,E928,"2019-11-29")</f>
        <v>0.16181229773462782</v>
      </c>
      <c r="T928"/>
      <c r="U928">
        <f>[1]!EM_S_RATIO_EPS_TTM(B928,E928,"1")</f>
        <v>0.10500282550966729</v>
      </c>
      <c r="AT928" s="4" t="str">
        <f>[1]!EM_S_IPO_LISTEDDATE(B928)</f>
        <v>2011-09-27</v>
      </c>
    </row>
    <row r="929" spans="1:46">
      <c r="A929">
        <v>2090</v>
      </c>
      <c r="B929" t="str">
        <f>"300671"</f>
        <v>300671</v>
      </c>
      <c r="C929" t="s">
        <v>595</v>
      </c>
      <c r="D929" t="str">
        <f>[1]!EM_S_INFO_INDEX_EM(B929,"1")</f>
        <v>电子设备</v>
      </c>
      <c r="E929" s="4">
        <f t="shared" si="14"/>
        <v>43465</v>
      </c>
      <c r="F929" s="11">
        <f>[1]!EM_S_PQ_PCTCHANGE(B929,"2018-01-01","2019-12-31","3")</f>
        <v>-23.250546530000001</v>
      </c>
      <c r="G929" s="11">
        <f>[1]!EM_S_PQ_PCTCHANGE(B929,"2018-12-31","2019-12-30","1")</f>
        <v>30.046674450000001</v>
      </c>
      <c r="H929" s="11">
        <f>[1]!EM_S_FA_YOY_OR(B929,E929)</f>
        <v>12.951972678500001</v>
      </c>
      <c r="I929" s="11">
        <f>[1]!EM_S_FA_GROSSPROFITMARGIN(B929,E929)</f>
        <v>28.769523446699999</v>
      </c>
      <c r="J929" s="11">
        <f>[1]!EM_S_FA_NETPROFITMARGIN(B929,E929)</f>
        <v>10.727893311700001</v>
      </c>
      <c r="K929" s="10">
        <f>[1]!EM_S_FA_ASSETSTURN(B929,E929)</f>
        <v>0.63278301616800003</v>
      </c>
      <c r="L929" s="12">
        <f>[1]!EM_HKS_VAL_MV(B929,"2019-12-31","2")</f>
        <v>3142863500</v>
      </c>
      <c r="M929">
        <f>[1]!EM_S_VAL_PETTMDEDUCTED(B929,E929)</f>
        <v>36.388375410332699</v>
      </c>
      <c r="N929" s="7">
        <f>[1]!EM_S_VAL_PBGOODWILLDEDUCTED(B929,E929)</f>
        <v>4.3820183430317803</v>
      </c>
      <c r="O929" s="7">
        <f>[1]!EM_S_VAL_PS_TTM(B929,E929)</f>
        <v>4.69540507592962</v>
      </c>
      <c r="P929" s="7">
        <f>[1]!EM_S_VAL_PCF_NCFTTM(B929,E929)</f>
        <v>-42.5958661697602</v>
      </c>
      <c r="Q929" s="7">
        <f>[1]!EM_S_VAL_DIVIDENDYIELD2(B929,E929,"2019-11-29")</f>
        <v>0</v>
      </c>
      <c r="T929"/>
      <c r="U929">
        <f>[1]!EM_S_RATIO_EPS_TTM(B929,E929,"1")</f>
        <v>0.38188095151173446</v>
      </c>
      <c r="AT929" s="4" t="str">
        <f>[1]!EM_S_IPO_LISTEDDATE(B929)</f>
        <v>2017-07-05</v>
      </c>
    </row>
    <row r="930" spans="1:46">
      <c r="A930">
        <v>487</v>
      </c>
      <c r="B930" t="str">
        <f>"000975"</f>
        <v>000975</v>
      </c>
      <c r="C930" t="s">
        <v>1831</v>
      </c>
      <c r="D930" t="str">
        <f>[1]!EM_S_INFO_INDEX_EM(B930,"1")</f>
        <v>有色金属</v>
      </c>
      <c r="E930" s="4">
        <f t="shared" si="14"/>
        <v>43465</v>
      </c>
      <c r="F930" s="11">
        <f>[1]!EM_S_PQ_PCTCHANGE(B930,"2018-01-01","2019-12-31","3")</f>
        <v>46.597583579999998</v>
      </c>
      <c r="G930" s="11">
        <f>[1]!EM_S_PQ_PCTCHANGE(B930,"2018-12-31","2019-12-30","1")</f>
        <v>30.02944063</v>
      </c>
      <c r="H930" s="11">
        <f>[1]!EM_S_FA_YOY_OR(B930,E930)</f>
        <v>116.69120763959999</v>
      </c>
      <c r="I930" s="11">
        <f>[1]!EM_S_FA_GROSSPROFITMARGIN(B930,E930)</f>
        <v>29.673224590899999</v>
      </c>
      <c r="J930" s="11">
        <f>[1]!EM_S_FA_NETPROFITMARGIN(B930,E930)</f>
        <v>15.9628359043</v>
      </c>
      <c r="K930" s="10">
        <f>[1]!EM_S_FA_ASSETSTURN(B930,E930)</f>
        <v>0.59977369943799996</v>
      </c>
      <c r="L930" s="12">
        <f>[1]!EM_HKS_VAL_MV(B930,"2019-12-31","2")</f>
        <v>26993707169.669998</v>
      </c>
      <c r="M930">
        <f>[1]!EM_S_VAL_PETTMDEDUCTED(B930,E930)</f>
        <v>38.104585397410403</v>
      </c>
      <c r="N930" s="7">
        <f>[1]!EM_S_VAL_PBGOODWILLDEDUCTED(B930,E930)</f>
        <v>2.5621642087213998</v>
      </c>
      <c r="O930" s="7">
        <f>[1]!EM_S_VAL_PS_TTM(B930,E930)</f>
        <v>5.4225387458720302</v>
      </c>
      <c r="P930" s="7">
        <f>[1]!EM_S_VAL_PCF_NCFTTM(B930,E930)</f>
        <v>-59.985381485861197</v>
      </c>
      <c r="Q930" s="7">
        <f>[1]!EM_S_VAL_DIVIDENDYIELD2(B930,E930,"2019-11-29")</f>
        <v>1.6570008285004143</v>
      </c>
      <c r="T930"/>
      <c r="U930">
        <f>[1]!EM_S_RATIO_EPS_TTM(B930,E930,"1")</f>
        <v>0.33406362548497415</v>
      </c>
      <c r="AT930" s="4" t="str">
        <f>[1]!EM_S_IPO_LISTEDDATE(B930)</f>
        <v>2000-06-08</v>
      </c>
    </row>
    <row r="931" spans="1:46">
      <c r="A931">
        <v>3119</v>
      </c>
      <c r="B931" t="str">
        <f>"601567"</f>
        <v>601567</v>
      </c>
      <c r="C931" t="s">
        <v>1948</v>
      </c>
      <c r="D931" t="str">
        <f>[1]!EM_S_INFO_INDEX_EM(B931,"1")</f>
        <v>电气设备</v>
      </c>
      <c r="E931" s="4">
        <f t="shared" si="14"/>
        <v>43465</v>
      </c>
      <c r="F931" s="11">
        <f>[1]!EM_S_PQ_PCTCHANGE(B931,"2018-01-01","2019-12-31","3")</f>
        <v>-16.778123149999999</v>
      </c>
      <c r="G931" s="11">
        <f>[1]!EM_S_PQ_PCTCHANGE(B931,"2018-12-31","2019-12-30","1")</f>
        <v>30.01776199</v>
      </c>
      <c r="H931" s="11">
        <f>[1]!EM_S_FA_YOY_OR(B931,E931)</f>
        <v>9.3523946868000003</v>
      </c>
      <c r="I931" s="11">
        <f>[1]!EM_S_FA_GROSSPROFITMARGIN(B931,E931)</f>
        <v>29.228400148799999</v>
      </c>
      <c r="J931" s="11">
        <f>[1]!EM_S_FA_NETPROFITMARGIN(B931,E931)</f>
        <v>8.6755411904000006</v>
      </c>
      <c r="K931" s="10">
        <f>[1]!EM_S_FA_ASSETSTURN(B931,E931)</f>
        <v>0.43439524331700002</v>
      </c>
      <c r="L931" s="12">
        <f>[1]!EM_HKS_VAL_MV(B931,"2019-12-31","2")</f>
        <v>10260610992.200001</v>
      </c>
      <c r="M931">
        <f>[1]!EM_S_VAL_PETTMDEDUCTED(B931,E931)</f>
        <v>12.2304456653661</v>
      </c>
      <c r="N931" s="7">
        <f>[1]!EM_S_VAL_PBGOODWILLDEDUCTED(B931,E931)</f>
        <v>1.1256297443396901</v>
      </c>
      <c r="O931" s="7">
        <f>[1]!EM_S_VAL_PS_TTM(B931,E931)</f>
        <v>1.3068097501754901</v>
      </c>
      <c r="P931" s="7">
        <f>[1]!EM_S_VAL_PCF_NCFTTM(B931,E931)</f>
        <v>25.722913834472699</v>
      </c>
      <c r="Q931" s="7">
        <f>[1]!EM_S_VAL_DIVIDENDYIELD2(B931,E931,"2019-11-29")</f>
        <v>4.497751124437781</v>
      </c>
      <c r="T931"/>
      <c r="U931">
        <f>[1]!EM_S_RATIO_EPS_TTM(B931,E931,"1")</f>
        <v>0.35830788065119273</v>
      </c>
      <c r="AT931" s="4" t="str">
        <f>[1]!EM_S_IPO_LISTEDDATE(B931)</f>
        <v>2011-06-15</v>
      </c>
    </row>
    <row r="932" spans="1:46">
      <c r="A932">
        <v>833</v>
      </c>
      <c r="B932" t="str">
        <f>"002322"</f>
        <v>002322</v>
      </c>
      <c r="C932" t="s">
        <v>2730</v>
      </c>
      <c r="D932" t="str">
        <f>[1]!EM_S_INFO_INDEX_EM(B932,"1")</f>
        <v>信息技术</v>
      </c>
      <c r="E932" s="4">
        <f t="shared" si="14"/>
        <v>43465</v>
      </c>
      <c r="F932" s="11">
        <f>[1]!EM_S_PQ_PCTCHANGE(B932,"2018-01-01","2019-12-31","3")</f>
        <v>-31.478999999999999</v>
      </c>
      <c r="G932" s="11">
        <f>[1]!EM_S_PQ_PCTCHANGE(B932,"2018-12-31","2019-12-30","1")</f>
        <v>29.955947139999999</v>
      </c>
      <c r="H932" s="11">
        <f>[1]!EM_S_FA_YOY_OR(B932,E932)</f>
        <v>18.080727345500001</v>
      </c>
      <c r="I932" s="11">
        <f>[1]!EM_S_FA_GROSSPROFITMARGIN(B932,E932)</f>
        <v>57.949118563900001</v>
      </c>
      <c r="J932" s="11">
        <f>[1]!EM_S_FA_NETPROFITMARGIN(B932,E932)</f>
        <v>25.776897036499999</v>
      </c>
      <c r="K932" s="10">
        <f>[1]!EM_S_FA_ASSETSTURN(B932,E932)</f>
        <v>0.28361004858</v>
      </c>
      <c r="L932" s="12">
        <f>[1]!EM_HKS_VAL_MV(B932,"2019-12-31","2")</f>
        <v>4700447129.25</v>
      </c>
      <c r="M932">
        <f>[1]!EM_S_VAL_PETTMDEDUCTED(B932,E932)</f>
        <v>14.416904945386401</v>
      </c>
      <c r="N932" s="7">
        <f>[1]!EM_S_VAL_PBGOODWILLDEDUCTED(B932,E932)</f>
        <v>2.7862797980933398</v>
      </c>
      <c r="O932" s="7">
        <f>[1]!EM_S_VAL_PS_TTM(B932,E932)</f>
        <v>3.9874122727610399</v>
      </c>
      <c r="P932" s="7">
        <f>[1]!EM_S_VAL_PCF_NCFTTM(B932,E932)</f>
        <v>-43.837260689116597</v>
      </c>
      <c r="Q932" s="7">
        <f>[1]!EM_S_VAL_DIVIDENDYIELD2(B932,E932,"2019-11-29")</f>
        <v>2.6785714285714284</v>
      </c>
      <c r="T932"/>
      <c r="U932">
        <f>[1]!EM_S_RATIO_EPS_TTM(B932,E932,"1")</f>
        <v>0.64680603071321097</v>
      </c>
      <c r="AT932" s="4" t="str">
        <f>[1]!EM_S_IPO_LISTEDDATE(B932)</f>
        <v>2009-12-18</v>
      </c>
    </row>
    <row r="933" spans="1:46">
      <c r="A933">
        <v>3178</v>
      </c>
      <c r="B933" t="str">
        <f>"601919"</f>
        <v>601919</v>
      </c>
      <c r="C933" t="s">
        <v>2319</v>
      </c>
      <c r="D933" t="str">
        <f>[1]!EM_S_INFO_INDEX_EM(B933,"1")</f>
        <v>交通运输</v>
      </c>
      <c r="E933" s="4">
        <f t="shared" si="14"/>
        <v>43465</v>
      </c>
      <c r="F933" s="11">
        <f>[1]!EM_S_PQ_PCTCHANGE(B933,"2018-01-01","2019-12-31","3")</f>
        <v>-22.156573120000001</v>
      </c>
      <c r="G933" s="11">
        <f>[1]!EM_S_PQ_PCTCHANGE(B933,"2018-12-31","2019-12-30","1")</f>
        <v>29.950495050000001</v>
      </c>
      <c r="H933" s="11">
        <f>[1]!EM_S_FA_YOY_OR(B933,E933)</f>
        <v>33.5664850896</v>
      </c>
      <c r="I933" s="11">
        <f>[1]!EM_S_FA_GROSSPROFITMARGIN(B933,E933)</f>
        <v>8.4620423602999999</v>
      </c>
      <c r="J933" s="11">
        <f>[1]!EM_S_FA_NETPROFITMARGIN(B933,E933)</f>
        <v>2.5046541676</v>
      </c>
      <c r="K933" s="10">
        <f>[1]!EM_S_FA_ASSETSTURN(B933,E933)</f>
        <v>0.66879724803200002</v>
      </c>
      <c r="L933" s="12">
        <f>[1]!EM_HKS_VAL_MV(B933,"2019-12-31","2")</f>
        <v>64607719026.290001</v>
      </c>
      <c r="M933">
        <f>[1]!EM_S_VAL_PETTMDEDUCTED(B933,E933)</f>
        <v>-75.935962761687605</v>
      </c>
      <c r="N933" s="7">
        <f>[1]!EM_S_VAL_PBGOODWILLDEDUCTED(B933,E933)</f>
        <v>2.4136123064300401</v>
      </c>
      <c r="O933" s="7">
        <f>[1]!EM_S_VAL_PS_TTM(B933,E933)</f>
        <v>0.39310101622168903</v>
      </c>
      <c r="P933" s="7">
        <f>[1]!EM_S_VAL_PCF_NCFTTM(B933,E933)</f>
        <v>15.036901242138899</v>
      </c>
      <c r="Q933" s="7">
        <f>[1]!EM_S_VAL_DIVIDENDYIELD2(B933,E933,"2019-11-29")</f>
        <v>0</v>
      </c>
      <c r="T933"/>
      <c r="U933">
        <f>[1]!EM_S_RATIO_EPS_TTM(B933,E933,"1")</f>
        <v>0.12039872612046768</v>
      </c>
      <c r="AT933" s="4" t="str">
        <f>[1]!EM_S_IPO_LISTEDDATE(B933)</f>
        <v>2007-06-26</v>
      </c>
    </row>
    <row r="934" spans="1:46">
      <c r="A934">
        <v>3012</v>
      </c>
      <c r="B934" t="str">
        <f>"600990"</f>
        <v>600990</v>
      </c>
      <c r="C934" t="s">
        <v>3557</v>
      </c>
      <c r="D934" t="str">
        <f>[1]!EM_S_INFO_INDEX_EM(B934,"1")</f>
        <v>国防与装备</v>
      </c>
      <c r="E934" s="4">
        <f t="shared" si="14"/>
        <v>43465</v>
      </c>
      <c r="F934" s="11">
        <f>[1]!EM_S_PQ_PCTCHANGE(B934,"2018-01-01","2019-12-31","3")</f>
        <v>-22.770790689999998</v>
      </c>
      <c r="G934" s="11">
        <f>[1]!EM_S_PQ_PCTCHANGE(B934,"2018-12-31","2019-12-30","1")</f>
        <v>29.80460776</v>
      </c>
      <c r="H934" s="11">
        <f>[1]!EM_S_FA_YOY_OR(B934,E934)</f>
        <v>3.7482479358999998</v>
      </c>
      <c r="I934" s="11">
        <f>[1]!EM_S_FA_GROSSPROFITMARGIN(B934,E934)</f>
        <v>14.947972440699999</v>
      </c>
      <c r="J934" s="11">
        <f>[1]!EM_S_FA_NETPROFITMARGIN(B934,E934)</f>
        <v>4.9888232348999999</v>
      </c>
      <c r="K934" s="10">
        <f>[1]!EM_S_FA_ASSETSTURN(B934,E934)</f>
        <v>0.75492668717199995</v>
      </c>
      <c r="L934" s="12">
        <f>[1]!EM_HKS_VAL_MV(B934,"2019-12-31","2")</f>
        <v>7096204723.8000002</v>
      </c>
      <c r="M934">
        <f>[1]!EM_S_VAL_PETTMDEDUCTED(B934,E934)</f>
        <v>107.976593152623</v>
      </c>
      <c r="N934" s="7">
        <f>[1]!EM_S_VAL_PBGOODWILLDEDUCTED(B934,E934)</f>
        <v>2.2840283152359002</v>
      </c>
      <c r="O934" s="7">
        <f>[1]!EM_S_VAL_PS_TTM(B934,E934)</f>
        <v>1.12464728876762</v>
      </c>
      <c r="P934" s="7">
        <f>[1]!EM_S_VAL_PCF_NCFTTM(B934,E934)</f>
        <v>-39.865552510442498</v>
      </c>
      <c r="Q934" s="7">
        <f>[1]!EM_S_VAL_DIVIDENDYIELD2(B934,E934,"2019-11-29")</f>
        <v>0.40669856459330139</v>
      </c>
      <c r="T934"/>
      <c r="U934">
        <f>[1]!EM_S_RATIO_EPS_TTM(B934,E934,"1")</f>
        <v>1.6163976266106779</v>
      </c>
      <c r="AT934" s="4" t="str">
        <f>[1]!EM_S_IPO_LISTEDDATE(B934)</f>
        <v>2004-05-10</v>
      </c>
    </row>
    <row r="935" spans="1:46">
      <c r="A935">
        <v>2532</v>
      </c>
      <c r="B935" t="str">
        <f>"600425"</f>
        <v>600425</v>
      </c>
      <c r="C935" t="s">
        <v>3515</v>
      </c>
      <c r="D935" t="str">
        <f>[1]!EM_S_INFO_INDEX_EM(B935,"1")</f>
        <v>建材</v>
      </c>
      <c r="E935" s="4">
        <f t="shared" si="14"/>
        <v>43465</v>
      </c>
      <c r="F935" s="11">
        <f>[1]!EM_S_PQ_PCTCHANGE(B935,"2018-01-01","2019-12-31","3")</f>
        <v>0.76726342999999997</v>
      </c>
      <c r="G935" s="11">
        <f>[1]!EM_S_PQ_PCTCHANGE(B935,"2018-12-31","2019-12-30","1")</f>
        <v>29.692832760000002</v>
      </c>
      <c r="H935" s="11">
        <f>[1]!EM_S_FA_YOY_OR(B935,E935)</f>
        <v>14.8685869847</v>
      </c>
      <c r="I935" s="11">
        <f>[1]!EM_S_FA_GROSSPROFITMARGIN(B935,E935)</f>
        <v>29.693235348000002</v>
      </c>
      <c r="J935" s="11">
        <f>[1]!EM_S_FA_NETPROFITMARGIN(B935,E935)</f>
        <v>-1.0285749104999999</v>
      </c>
      <c r="K935" s="10">
        <f>[1]!EM_S_FA_ASSETSTURN(B935,E935)</f>
        <v>0.26635650377800002</v>
      </c>
      <c r="L935" s="12">
        <f>[1]!EM_HKS_VAL_MV(B935,"2019-12-31","2")</f>
        <v>5432432938.8400002</v>
      </c>
      <c r="M935">
        <f>[1]!EM_S_VAL_PETTMDEDUCTED(B935,E935)</f>
        <v>-82.615739656657098</v>
      </c>
      <c r="N935" s="7">
        <f>[1]!EM_S_VAL_PBGOODWILLDEDUCTED(B935,E935)</f>
        <v>0.91494167413146399</v>
      </c>
      <c r="O935" s="7">
        <f>[1]!EM_S_VAL_PS_TTM(B935,E935)</f>
        <v>1.62756496809493</v>
      </c>
      <c r="P935" s="7">
        <f>[1]!EM_S_VAL_PCF_NCFTTM(B935,E935)</f>
        <v>13.3928245748706</v>
      </c>
      <c r="Q935" s="7">
        <f>[1]!EM_S_VAL_DIVIDENDYIELD2(B935,E935,"2019-11-29")</f>
        <v>0</v>
      </c>
      <c r="T935"/>
      <c r="U935">
        <f>[1]!EM_S_RATIO_EPS_TTM(B935,E935,"1")</f>
        <v>0.26488618675054787</v>
      </c>
      <c r="AT935" s="4" t="str">
        <f>[1]!EM_S_IPO_LISTEDDATE(B935)</f>
        <v>2003-07-24</v>
      </c>
    </row>
    <row r="936" spans="1:46">
      <c r="A936">
        <v>2460</v>
      </c>
      <c r="B936" t="str">
        <f>"600336"</f>
        <v>600336</v>
      </c>
      <c r="C936" t="s">
        <v>1619</v>
      </c>
      <c r="D936" t="str">
        <f>[1]!EM_S_INFO_INDEX_EM(B936,"1")</f>
        <v>家电</v>
      </c>
      <c r="E936" s="4">
        <f t="shared" si="14"/>
        <v>43465</v>
      </c>
      <c r="F936" s="11">
        <f>[1]!EM_S_PQ_PCTCHANGE(B936,"2018-01-01","2019-12-31","3")</f>
        <v>-11.260650549999999</v>
      </c>
      <c r="G936" s="11">
        <f>[1]!EM_S_PQ_PCTCHANGE(B936,"2018-12-31","2019-12-30","1")</f>
        <v>29.6735905</v>
      </c>
      <c r="H936" s="11">
        <f>[1]!EM_S_FA_YOY_OR(B936,E936)</f>
        <v>21.089607988699999</v>
      </c>
      <c r="I936" s="11">
        <f>[1]!EM_S_FA_GROSSPROFITMARGIN(B936,E936)</f>
        <v>19.942618669200002</v>
      </c>
      <c r="J936" s="11">
        <f>[1]!EM_S_FA_NETPROFITMARGIN(B936,E936)</f>
        <v>1.3284038994</v>
      </c>
      <c r="K936" s="10">
        <f>[1]!EM_S_FA_ASSETSTURN(B936,E936)</f>
        <v>1.127558690016</v>
      </c>
      <c r="L936" s="12">
        <f>[1]!EM_HKS_VAL_MV(B936,"2019-12-31","2")</f>
        <v>3508414550.9099998</v>
      </c>
      <c r="M936">
        <f>[1]!EM_S_VAL_PETTMDEDUCTED(B936,E936)</f>
        <v>251.48218253392699</v>
      </c>
      <c r="N936" s="7">
        <f>[1]!EM_S_VAL_PBGOODWILLDEDUCTED(B936,E936)</f>
        <v>1.46149210047349</v>
      </c>
      <c r="O936" s="7">
        <f>[1]!EM_S_VAL_PS_TTM(B936,E936)</f>
        <v>0.49395284967290998</v>
      </c>
      <c r="P936" s="7">
        <f>[1]!EM_S_VAL_PCF_NCFTTM(B936,E936)</f>
        <v>-11.807707684031</v>
      </c>
      <c r="Q936" s="7">
        <f>[1]!EM_S_VAL_DIVIDENDYIELD2(B936,E936,"2019-11-29")</f>
        <v>0.70754716981132082</v>
      </c>
      <c r="T936"/>
      <c r="U936">
        <f>[1]!EM_S_RATIO_EPS_TTM(B936,E936,"1")</f>
        <v>8.7465386252974731E-2</v>
      </c>
      <c r="AT936" s="4" t="str">
        <f>[1]!EM_S_IPO_LISTEDDATE(B936)</f>
        <v>2000-12-29</v>
      </c>
    </row>
    <row r="937" spans="1:46">
      <c r="A937">
        <v>2442</v>
      </c>
      <c r="B937" t="str">
        <f>"600316"</f>
        <v>600316</v>
      </c>
      <c r="C937" t="s">
        <v>3276</v>
      </c>
      <c r="D937" t="str">
        <f>[1]!EM_S_INFO_INDEX_EM(B937,"1")</f>
        <v>国防与装备</v>
      </c>
      <c r="E937" s="4">
        <f t="shared" si="14"/>
        <v>43465</v>
      </c>
      <c r="F937" s="11">
        <f>[1]!EM_S_PQ_PCTCHANGE(B937,"2018-01-01","2019-12-31","3")</f>
        <v>-7.8180982999999999</v>
      </c>
      <c r="G937" s="11">
        <f>[1]!EM_S_PQ_PCTCHANGE(B937,"2018-12-31","2019-12-30","1")</f>
        <v>29.625884729999999</v>
      </c>
      <c r="H937" s="11">
        <f>[1]!EM_S_FA_YOY_OR(B937,E937)</f>
        <v>-4.4357275152</v>
      </c>
      <c r="I937" s="11">
        <f>[1]!EM_S_FA_GROSSPROFITMARGIN(B937,E937)</f>
        <v>4.9984690674000003</v>
      </c>
      <c r="J937" s="11">
        <f>[1]!EM_S_FA_NETPROFITMARGIN(B937,E937)</f>
        <v>6.1737353777999999</v>
      </c>
      <c r="K937" s="10">
        <f>[1]!EM_S_FA_ASSETSTURN(B937,E937)</f>
        <v>0.25158640483099998</v>
      </c>
      <c r="L937" s="12">
        <f>[1]!EM_HKS_VAL_MV(B937,"2019-12-31","2")</f>
        <v>9344002091.3600006</v>
      </c>
      <c r="M937">
        <f>[1]!EM_S_VAL_PETTMDEDUCTED(B937,E937)</f>
        <v>-102.03765725718</v>
      </c>
      <c r="N937" s="7">
        <f>[1]!EM_S_VAL_PBGOODWILLDEDUCTED(B937,E937)</f>
        <v>1.4560143321069801</v>
      </c>
      <c r="O937" s="7">
        <f>[1]!EM_S_VAL_PS_TTM(B937,E937)</f>
        <v>3.5304581992144999</v>
      </c>
      <c r="P937" s="7">
        <f>[1]!EM_S_VAL_PCF_NCFTTM(B937,E937)</f>
        <v>-32.383794938365497</v>
      </c>
      <c r="Q937" s="7">
        <f>[1]!EM_S_VAL_DIVIDENDYIELD2(B937,E937,"2019-11-29")</f>
        <v>9.3970242756460459E-2</v>
      </c>
      <c r="T937"/>
      <c r="U937">
        <f>[1]!EM_S_RATIO_EPS_TTM(B937,E937,"1")</f>
        <v>0.20689676426461717</v>
      </c>
      <c r="AT937" s="4" t="str">
        <f>[1]!EM_S_IPO_LISTEDDATE(B937)</f>
        <v>2000-12-15</v>
      </c>
    </row>
    <row r="938" spans="1:46">
      <c r="A938">
        <v>1059</v>
      </c>
      <c r="B938" t="str">
        <f>"002548"</f>
        <v>002548</v>
      </c>
      <c r="C938" t="s">
        <v>2112</v>
      </c>
      <c r="D938" t="str">
        <f>[1]!EM_S_INFO_INDEX_EM(B938,"1")</f>
        <v>农林牧渔</v>
      </c>
      <c r="E938" s="4">
        <f t="shared" si="14"/>
        <v>43465</v>
      </c>
      <c r="F938" s="11">
        <f>[1]!EM_S_PQ_PCTCHANGE(B938,"2018-01-01","2019-12-31","3")</f>
        <v>-17.63230222</v>
      </c>
      <c r="G938" s="11">
        <f>[1]!EM_S_PQ_PCTCHANGE(B938,"2018-12-31","2019-12-30","1")</f>
        <v>29.596412560000001</v>
      </c>
      <c r="H938" s="11">
        <f>[1]!EM_S_FA_YOY_OR(B938,E938)</f>
        <v>-8.5168178793999996</v>
      </c>
      <c r="I938" s="11">
        <f>[1]!EM_S_FA_GROSSPROFITMARGIN(B938,E938)</f>
        <v>14.745425213000001</v>
      </c>
      <c r="J938" s="11">
        <f>[1]!EM_S_FA_NETPROFITMARGIN(B938,E938)</f>
        <v>-9.3413933871000001</v>
      </c>
      <c r="K938" s="10">
        <f>[1]!EM_S_FA_ASSETSTURN(B938,E938)</f>
        <v>0.74013177119899998</v>
      </c>
      <c r="L938" s="12">
        <f>[1]!EM_HKS_VAL_MV(B938,"2019-12-31","2")</f>
        <v>3834694650.8000002</v>
      </c>
      <c r="M938">
        <f>[1]!EM_S_VAL_PETTMDEDUCTED(B938,E938)</f>
        <v>-23.1379080240165</v>
      </c>
      <c r="N938" s="7">
        <f>[1]!EM_S_VAL_PBGOODWILLDEDUCTED(B938,E938)</f>
        <v>4.3890250620726796</v>
      </c>
      <c r="O938" s="7">
        <f>[1]!EM_S_VAL_PS_TTM(B938,E938)</f>
        <v>0.90991720364810502</v>
      </c>
      <c r="P938" s="7">
        <f>[1]!EM_S_VAL_PCF_NCFTTM(B938,E938)</f>
        <v>48.961448111702502</v>
      </c>
      <c r="Q938" s="7">
        <f>[1]!EM_S_VAL_DIVIDENDYIELD2(B938,E938,"2019-11-29")</f>
        <v>0</v>
      </c>
      <c r="T938"/>
      <c r="U938">
        <f>[1]!EM_S_RATIO_EPS_TTM(B938,E938,"1")</f>
        <v>-0.75463637136008255</v>
      </c>
      <c r="AT938" s="4" t="str">
        <f>[1]!EM_S_IPO_LISTEDDATE(B938)</f>
        <v>2011-02-18</v>
      </c>
    </row>
    <row r="939" spans="1:46">
      <c r="A939">
        <v>1993</v>
      </c>
      <c r="B939" t="str">
        <f>"300571"</f>
        <v>300571</v>
      </c>
      <c r="C939" t="s">
        <v>65</v>
      </c>
      <c r="D939" t="str">
        <f>[1]!EM_S_INFO_INDEX_EM(B939,"1")</f>
        <v>信息技术</v>
      </c>
      <c r="E939" s="4">
        <f t="shared" si="14"/>
        <v>43465</v>
      </c>
      <c r="F939" s="11">
        <f>[1]!EM_S_PQ_PCTCHANGE(B939,"2018-01-01","2019-12-31","3")</f>
        <v>77.161796229999993</v>
      </c>
      <c r="G939" s="11">
        <f>[1]!EM_S_PQ_PCTCHANGE(B939,"2018-12-31","2019-12-30","1")</f>
        <v>29.558890399999999</v>
      </c>
      <c r="H939" s="11">
        <f>[1]!EM_S_FA_YOY_OR(B939,E939)</f>
        <v>28.1433467359</v>
      </c>
      <c r="I939" s="11">
        <f>[1]!EM_S_FA_GROSSPROFITMARGIN(B939,E939)</f>
        <v>34.817582553199998</v>
      </c>
      <c r="J939" s="11">
        <f>[1]!EM_S_FA_NETPROFITMARGIN(B939,E939)</f>
        <v>18.2375327072</v>
      </c>
      <c r="K939" s="10">
        <f>[1]!EM_S_FA_ASSETSTURN(B939,E939)</f>
        <v>1.17057225533</v>
      </c>
      <c r="L939" s="12">
        <f>[1]!EM_HKS_VAL_MV(B939,"2019-12-31","2")</f>
        <v>6837922599.1999998</v>
      </c>
      <c r="M939">
        <f>[1]!EM_S_VAL_PETTMDEDUCTED(B939,E939)</f>
        <v>25.2399090591827</v>
      </c>
      <c r="N939" s="7">
        <f>[1]!EM_S_VAL_PBGOODWILLDEDUCTED(B939,E939)</f>
        <v>11.6968433349093</v>
      </c>
      <c r="O939" s="7">
        <f>[1]!EM_S_VAL_PS_TTM(B939,E939)</f>
        <v>5.4432278829255898</v>
      </c>
      <c r="P939" s="7">
        <f>[1]!EM_S_VAL_PCF_NCFTTM(B939,E939)</f>
        <v>62.949692568045698</v>
      </c>
      <c r="Q939" s="7">
        <f>[1]!EM_S_VAL_DIVIDENDYIELD2(B939,E939,"2019-11-29")</f>
        <v>0.41535166641459703</v>
      </c>
      <c r="T939"/>
      <c r="U939">
        <f>[1]!EM_S_RATIO_EPS_TTM(B939,E939,"1")</f>
        <v>1.6179608285792377</v>
      </c>
      <c r="AT939" s="4" t="str">
        <f>[1]!EM_S_IPO_LISTEDDATE(B939)</f>
        <v>2016-12-13</v>
      </c>
    </row>
    <row r="940" spans="1:46">
      <c r="A940">
        <v>1650</v>
      </c>
      <c r="B940" t="str">
        <f>"300225"</f>
        <v>300225</v>
      </c>
      <c r="C940" t="s">
        <v>2382</v>
      </c>
      <c r="D940" t="str">
        <f>[1]!EM_S_INFO_INDEX_EM(B940,"1")</f>
        <v>基础化工</v>
      </c>
      <c r="E940" s="4">
        <f t="shared" si="14"/>
        <v>43465</v>
      </c>
      <c r="F940" s="11">
        <f>[1]!EM_S_PQ_PCTCHANGE(B940,"2018-01-01","2019-12-31","3")</f>
        <v>-64.541588340000004</v>
      </c>
      <c r="G940" s="11">
        <f>[1]!EM_S_PQ_PCTCHANGE(B940,"2018-12-31","2019-12-30","1")</f>
        <v>29.555555559999998</v>
      </c>
      <c r="H940" s="11">
        <f>[1]!EM_S_FA_YOY_OR(B940,E940)</f>
        <v>1.3756804489000001</v>
      </c>
      <c r="I940" s="11">
        <f>[1]!EM_S_FA_GROSSPROFITMARGIN(B940,E940)</f>
        <v>19.098323685</v>
      </c>
      <c r="J940" s="11">
        <f>[1]!EM_S_FA_NETPROFITMARGIN(B940,E940)</f>
        <v>1.162027318</v>
      </c>
      <c r="K940" s="10">
        <f>[1]!EM_S_FA_ASSETSTURN(B940,E940)</f>
        <v>0.68517500932499997</v>
      </c>
      <c r="L940" s="12">
        <f>[1]!EM_HKS_VAL_MV(B940,"2019-12-31","2")</f>
        <v>2765599200</v>
      </c>
      <c r="M940">
        <f>[1]!EM_S_VAL_PETTMDEDUCTED(B940,E940)</f>
        <v>136.08144281951201</v>
      </c>
      <c r="N940" s="7">
        <f>[1]!EM_S_VAL_PBGOODWILLDEDUCTED(B940,E940)</f>
        <v>2.4034799549627701</v>
      </c>
      <c r="O940" s="7">
        <f>[1]!EM_S_VAL_PS_TTM(B940,E940)</f>
        <v>2.6342616740931599</v>
      </c>
      <c r="P940" s="7">
        <f>[1]!EM_S_VAL_PCF_NCFTTM(B940,E940)</f>
        <v>-343.03759120067701</v>
      </c>
      <c r="Q940" s="7">
        <f>[1]!EM_S_VAL_DIVIDENDYIELD2(B940,E940,"2019-11-29")</f>
        <v>0</v>
      </c>
      <c r="T940"/>
      <c r="U940">
        <f>[1]!EM_S_RATIO_EPS_TTM(B940,E940,"1")</f>
        <v>2.354519517795637E-2</v>
      </c>
      <c r="AT940" s="4" t="str">
        <f>[1]!EM_S_IPO_LISTEDDATE(B940)</f>
        <v>2011-05-31</v>
      </c>
    </row>
    <row r="941" spans="1:46">
      <c r="A941">
        <v>1563</v>
      </c>
      <c r="B941" t="str">
        <f>"300138"</f>
        <v>300138</v>
      </c>
      <c r="C941" t="s">
        <v>876</v>
      </c>
      <c r="D941" t="str">
        <f>[1]!EM_S_INFO_INDEX_EM(B941,"1")</f>
        <v>农林牧渔</v>
      </c>
      <c r="E941" s="4">
        <f t="shared" si="14"/>
        <v>43465</v>
      </c>
      <c r="F941" s="11">
        <f>[1]!EM_S_PQ_PCTCHANGE(B941,"2018-01-01","2019-12-31","3")</f>
        <v>-15.891440920000001</v>
      </c>
      <c r="G941" s="11">
        <f>[1]!EM_S_PQ_PCTCHANGE(B941,"2018-12-31","2019-12-30","1")</f>
        <v>29.51388889</v>
      </c>
      <c r="H941" s="11">
        <f>[1]!EM_S_FA_YOY_OR(B941,E941)</f>
        <v>10.508314927300001</v>
      </c>
      <c r="I941" s="11">
        <f>[1]!EM_S_FA_GROSSPROFITMARGIN(B941,E941)</f>
        <v>14.2904387293</v>
      </c>
      <c r="J941" s="11">
        <f>[1]!EM_S_FA_NETPROFITMARGIN(B941,E941)</f>
        <v>4.6491890702000003</v>
      </c>
      <c r="K941" s="10">
        <f>[1]!EM_S_FA_ASSETSTURN(B941,E941)</f>
        <v>0.98346164568100003</v>
      </c>
      <c r="L941" s="12">
        <f>[1]!EM_HKS_VAL_MV(B941,"2019-12-31","2")</f>
        <v>3828769154.3200002</v>
      </c>
      <c r="M941">
        <f>[1]!EM_S_VAL_PETTMDEDUCTED(B941,E941)</f>
        <v>22.113418129646501</v>
      </c>
      <c r="N941" s="7">
        <f>[1]!EM_S_VAL_PBGOODWILLDEDUCTED(B941,E941)</f>
        <v>1.6971074928885099</v>
      </c>
      <c r="O941" s="7">
        <f>[1]!EM_S_VAL_PS_TTM(B941,E941)</f>
        <v>1.0572278405051201</v>
      </c>
      <c r="P941" s="7">
        <f>[1]!EM_S_VAL_PCF_NCFTTM(B941,E941)</f>
        <v>20.377986163973102</v>
      </c>
      <c r="Q941" s="7">
        <f>[1]!EM_S_VAL_DIVIDENDYIELD2(B941,E941,"2019-11-29")</f>
        <v>1.2091488823092771</v>
      </c>
      <c r="T941"/>
      <c r="U941">
        <f>[1]!EM_S_RATIO_EPS_TTM(B941,E941,"1")</f>
        <v>0.28281309478522221</v>
      </c>
      <c r="AT941" s="4" t="str">
        <f>[1]!EM_S_IPO_LISTEDDATE(B941)</f>
        <v>2010-11-05</v>
      </c>
    </row>
    <row r="942" spans="1:46">
      <c r="A942">
        <v>2366</v>
      </c>
      <c r="B942" t="str">
        <f>"600232"</f>
        <v>600232</v>
      </c>
      <c r="C942" t="s">
        <v>2835</v>
      </c>
      <c r="D942" t="str">
        <f>[1]!EM_S_INFO_INDEX_EM(B942,"1")</f>
        <v>纺织服装</v>
      </c>
      <c r="E942" s="4">
        <f t="shared" si="14"/>
        <v>43465</v>
      </c>
      <c r="F942" s="11">
        <f>[1]!EM_S_PQ_PCTCHANGE(B942,"2018-01-01","2019-12-31","3")</f>
        <v>-13.88122014</v>
      </c>
      <c r="G942" s="11">
        <f>[1]!EM_S_PQ_PCTCHANGE(B942,"2018-12-31","2019-12-30","1")</f>
        <v>29.4</v>
      </c>
      <c r="H942" s="11">
        <f>[1]!EM_S_FA_YOY_OR(B942,E942)</f>
        <v>-2.7279408616</v>
      </c>
      <c r="I942" s="11">
        <f>[1]!EM_S_FA_GROSSPROFITMARGIN(B942,E942)</f>
        <v>16.725600970599999</v>
      </c>
      <c r="J942" s="11">
        <f>[1]!EM_S_FA_NETPROFITMARGIN(B942,E942)</f>
        <v>3.3655025661</v>
      </c>
      <c r="K942" s="10">
        <f>[1]!EM_S_FA_ASSETSTURN(B942,E942)</f>
        <v>0.67876326314900004</v>
      </c>
      <c r="L942" s="12">
        <f>[1]!EM_HKS_VAL_MV(B942,"2019-12-31","2")</f>
        <v>2341493052.48</v>
      </c>
      <c r="M942">
        <f>[1]!EM_S_VAL_PETTMDEDUCTED(B942,E942)</f>
        <v>90.245489059538599</v>
      </c>
      <c r="N942" s="7">
        <f>[1]!EM_S_VAL_PBGOODWILLDEDUCTED(B942,E942)</f>
        <v>1.6048622088197599</v>
      </c>
      <c r="O942" s="7">
        <f>[1]!EM_S_VAL_PS_TTM(B942,E942)</f>
        <v>1.4531183824917899</v>
      </c>
      <c r="P942" s="7">
        <f>[1]!EM_S_VAL_PCF_NCFTTM(B942,E942)</f>
        <v>45.156094457808301</v>
      </c>
      <c r="Q942" s="7">
        <f>[1]!EM_S_VAL_DIVIDENDYIELD2(B942,E942,"2019-11-29")</f>
        <v>1.6977928692699491</v>
      </c>
      <c r="T942"/>
      <c r="U942">
        <f>[1]!EM_S_RATIO_EPS_TTM(B942,E942,"1")</f>
        <v>6.9625958914773467E-2</v>
      </c>
      <c r="AT942" s="4" t="str">
        <f>[1]!EM_S_IPO_LISTEDDATE(B942)</f>
        <v>2000-06-02</v>
      </c>
    </row>
    <row r="943" spans="1:46">
      <c r="A943">
        <v>1656</v>
      </c>
      <c r="B943" t="str">
        <f>"300231"</f>
        <v>300231</v>
      </c>
      <c r="C943" t="s">
        <v>1011</v>
      </c>
      <c r="D943" t="str">
        <f>[1]!EM_S_INFO_INDEX_EM(B943,"1")</f>
        <v>信息技术</v>
      </c>
      <c r="E943" s="4">
        <f t="shared" si="14"/>
        <v>43465</v>
      </c>
      <c r="F943" s="11">
        <f>[1]!EM_S_PQ_PCTCHANGE(B943,"2018-01-01","2019-12-31","3")</f>
        <v>-16.074587739999998</v>
      </c>
      <c r="G943" s="11">
        <f>[1]!EM_S_PQ_PCTCHANGE(B943,"2018-12-31","2019-12-30","1")</f>
        <v>29.38461538</v>
      </c>
      <c r="H943" s="11">
        <f>[1]!EM_S_FA_YOY_OR(B943,E943)</f>
        <v>30.6628878203</v>
      </c>
      <c r="I943" s="11">
        <f>[1]!EM_S_FA_GROSSPROFITMARGIN(B943,E943)</f>
        <v>28.910995121399999</v>
      </c>
      <c r="J943" s="11">
        <f>[1]!EM_S_FA_NETPROFITMARGIN(B943,E943)</f>
        <v>9.2242937906000009</v>
      </c>
      <c r="K943" s="10">
        <f>[1]!EM_S_FA_ASSETSTURN(B943,E943)</f>
        <v>0.75677969507599996</v>
      </c>
      <c r="L943" s="12">
        <f>[1]!EM_HKS_VAL_MV(B943,"2019-12-31","2")</f>
        <v>3691536837</v>
      </c>
      <c r="M943">
        <f>[1]!EM_S_VAL_PETTMDEDUCTED(B943,E943)</f>
        <v>21.837874674247502</v>
      </c>
      <c r="N943" s="7">
        <f>[1]!EM_S_VAL_PBGOODWILLDEDUCTED(B943,E943)</f>
        <v>2.07315988729205</v>
      </c>
      <c r="O943" s="7">
        <f>[1]!EM_S_VAL_PS_TTM(B943,E943)</f>
        <v>2.48079933714576</v>
      </c>
      <c r="P943" s="7">
        <f>[1]!EM_S_VAL_PCF_NCFTTM(B943,E943)</f>
        <v>10.8512413559707</v>
      </c>
      <c r="Q943" s="7">
        <f>[1]!EM_S_VAL_DIVIDENDYIELD2(B943,E943,"2019-11-29")</f>
        <v>2.0746887966804977</v>
      </c>
      <c r="T943"/>
      <c r="U943">
        <f>[1]!EM_S_RATIO_EPS_TTM(B943,E943,"1")</f>
        <v>0.25450035480642824</v>
      </c>
      <c r="AT943" s="4" t="str">
        <f>[1]!EM_S_IPO_LISTEDDATE(B943)</f>
        <v>2011-06-15</v>
      </c>
    </row>
    <row r="944" spans="1:46">
      <c r="A944">
        <v>1455</v>
      </c>
      <c r="B944" t="str">
        <f>"300029"</f>
        <v>300029</v>
      </c>
      <c r="C944" t="s">
        <v>3617</v>
      </c>
      <c r="D944" t="str">
        <f>[1]!EM_S_INFO_INDEX_EM(B944,"1")</f>
        <v>电气设备</v>
      </c>
      <c r="E944" s="4">
        <f t="shared" si="14"/>
        <v>43465</v>
      </c>
      <c r="F944" s="11">
        <f>[1]!EM_S_PQ_PCTCHANGE(B944,"2018-01-01","2019-12-31","3")</f>
        <v>-22.352941179999998</v>
      </c>
      <c r="G944" s="11">
        <f>[1]!EM_S_PQ_PCTCHANGE(B944,"2018-12-31","2019-12-30","1")</f>
        <v>29.37365011</v>
      </c>
      <c r="H944" s="11">
        <f>[1]!EM_S_FA_YOY_OR(B944,E944)</f>
        <v>-97.130351450199996</v>
      </c>
      <c r="I944" s="11">
        <f>[1]!EM_S_FA_GROSSPROFITMARGIN(B944,E944)</f>
        <v>14.0486026115</v>
      </c>
      <c r="J944" s="11">
        <f>[1]!EM_S_FA_NETPROFITMARGIN(B944,E944)</f>
        <v>-1522.6500685038</v>
      </c>
      <c r="K944" s="10">
        <f>[1]!EM_S_FA_ASSETSTURN(B944,E944)</f>
        <v>2.7232511998E-2</v>
      </c>
      <c r="L944" s="12">
        <f>[1]!EM_HKS_VAL_MV(B944,"2019-12-31","2")</f>
        <v>1188000000</v>
      </c>
      <c r="M944">
        <f>[1]!EM_S_VAL_PETTMDEDUCTED(B944,E944)</f>
        <v>23.267190281919198</v>
      </c>
      <c r="N944" s="7">
        <f>[1]!EM_S_VAL_PBGOODWILLDEDUCTED(B944,E944)</f>
        <v>7.7735489072895803</v>
      </c>
      <c r="O944" s="7">
        <f>[1]!EM_S_VAL_PS_TTM(B944,E944)</f>
        <v>4.3150479323634796</v>
      </c>
      <c r="P944" s="7">
        <f>[1]!EM_S_VAL_PCF_NCFTTM(B944,E944)</f>
        <v>-11.0280699928384</v>
      </c>
      <c r="Q944" s="7">
        <f>[1]!EM_S_VAL_DIVIDENDYIELD2(B944,E944,"2019-11-29")</f>
        <v>0</v>
      </c>
      <c r="T944"/>
      <c r="U944">
        <f>[1]!EM_S_RATIO_EPS_TTM(B944,E944,"1")</f>
        <v>-0.67940527025000008</v>
      </c>
      <c r="AT944" s="4" t="str">
        <f>[1]!EM_S_IPO_LISTEDDATE(B944)</f>
        <v>2009-12-25</v>
      </c>
    </row>
    <row r="945" spans="1:46">
      <c r="A945">
        <v>325</v>
      </c>
      <c r="B945" t="str">
        <f>"000756"</f>
        <v>000756</v>
      </c>
      <c r="C945" t="s">
        <v>946</v>
      </c>
      <c r="D945" t="str">
        <f>[1]!EM_S_INFO_INDEX_EM(B945,"1")</f>
        <v>医药生物</v>
      </c>
      <c r="E945" s="4">
        <f t="shared" si="14"/>
        <v>43465</v>
      </c>
      <c r="F945" s="11">
        <f>[1]!EM_S_PQ_PCTCHANGE(B945,"2018-01-01","2019-12-31","3")</f>
        <v>-28.703958620000002</v>
      </c>
      <c r="G945" s="11">
        <f>[1]!EM_S_PQ_PCTCHANGE(B945,"2018-12-31","2019-12-30","1")</f>
        <v>29.369369370000001</v>
      </c>
      <c r="H945" s="11">
        <f>[1]!EM_S_FA_YOY_OR(B945,E945)</f>
        <v>15.3276232272</v>
      </c>
      <c r="I945" s="11">
        <f>[1]!EM_S_FA_GROSSPROFITMARGIN(B945,E945)</f>
        <v>29.920116516899999</v>
      </c>
      <c r="J945" s="11">
        <f>[1]!EM_S_FA_NETPROFITMARGIN(B945,E945)</f>
        <v>5.2667223082000003</v>
      </c>
      <c r="K945" s="10">
        <f>[1]!EM_S_FA_ASSETSTURN(B945,E945)</f>
        <v>0.93082400684199995</v>
      </c>
      <c r="L945" s="12">
        <f>[1]!EM_HKS_VAL_MV(B945,"2019-12-31","2")</f>
        <v>4676383041.4399996</v>
      </c>
      <c r="M945">
        <f>[1]!EM_S_VAL_PETTMDEDUCTED(B945,E945)</f>
        <v>15.4542474427508</v>
      </c>
      <c r="N945" s="7">
        <f>[1]!EM_S_VAL_PBGOODWILLDEDUCTED(B945,E945)</f>
        <v>1.28433234387726</v>
      </c>
      <c r="O945" s="7">
        <f>[1]!EM_S_VAL_PS_TTM(B945,E945)</f>
        <v>0.68714374781571397</v>
      </c>
      <c r="P945" s="7">
        <f>[1]!EM_S_VAL_PCF_NCFTTM(B945,E945)</f>
        <v>-37.668721018746702</v>
      </c>
      <c r="Q945" s="7">
        <f>[1]!EM_S_VAL_DIVIDENDYIELD2(B945,E945,"2019-11-29")</f>
        <v>1.4471780028943562</v>
      </c>
      <c r="T945"/>
      <c r="U945">
        <f>[1]!EM_S_RATIO_EPS_TTM(B945,E945,"1")</f>
        <v>0.40336031937776451</v>
      </c>
      <c r="AT945" s="4" t="str">
        <f>[1]!EM_S_IPO_LISTEDDATE(B945)</f>
        <v>1997-08-06</v>
      </c>
    </row>
    <row r="946" spans="1:46">
      <c r="A946">
        <v>1237</v>
      </c>
      <c r="B946" t="str">
        <f>"002727"</f>
        <v>002727</v>
      </c>
      <c r="C946" t="s">
        <v>621</v>
      </c>
      <c r="D946" t="str">
        <f>[1]!EM_S_INFO_INDEX_EM(B946,"1")</f>
        <v>医药生物</v>
      </c>
      <c r="E946" s="4">
        <f t="shared" si="14"/>
        <v>43465</v>
      </c>
      <c r="F946" s="11">
        <f>[1]!EM_S_PQ_PCTCHANGE(B946,"2018-01-01","2019-12-31","3")</f>
        <v>18.174879619999999</v>
      </c>
      <c r="G946" s="11">
        <f>[1]!EM_S_PQ_PCTCHANGE(B946,"2018-12-31","2019-12-30","1")</f>
        <v>29.358830149999999</v>
      </c>
      <c r="H946" s="11">
        <f>[1]!EM_S_FA_YOY_OR(B946,E946)</f>
        <v>18.386074339699999</v>
      </c>
      <c r="I946" s="11">
        <f>[1]!EM_S_FA_GROSSPROFITMARGIN(B946,E946)</f>
        <v>40.531098339300001</v>
      </c>
      <c r="J946" s="11">
        <f>[1]!EM_S_FA_NETPROFITMARGIN(B946,E946)</f>
        <v>5.6643346716999998</v>
      </c>
      <c r="K946" s="10">
        <f>[1]!EM_S_FA_ASSETSTURN(B946,E946)</f>
        <v>1.2654758506949999</v>
      </c>
      <c r="L946" s="12">
        <f>[1]!EM_HKS_VAL_MV(B946,"2019-12-31","2")</f>
        <v>13206331758.42</v>
      </c>
      <c r="M946">
        <f>[1]!EM_S_VAL_PETTMDEDUCTED(B946,E946)</f>
        <v>20.380267171104599</v>
      </c>
      <c r="N946" s="7">
        <f>[1]!EM_S_VAL_PBGOODWILLDEDUCTED(B946,E946)</f>
        <v>3.4007890247738199</v>
      </c>
      <c r="O946" s="7">
        <f>[1]!EM_S_VAL_PS_TTM(B946,E946)</f>
        <v>1.15135696451599</v>
      </c>
      <c r="P946" s="7">
        <f>[1]!EM_S_VAL_PCF_NCFTTM(B946,E946)</f>
        <v>69.645559260104903</v>
      </c>
      <c r="Q946" s="7">
        <f>[1]!EM_S_VAL_DIVIDENDYIELD2(B946,E946,"2019-11-29")</f>
        <v>1.3339261894175189</v>
      </c>
      <c r="T946"/>
      <c r="U946">
        <f>[1]!EM_S_RATIO_EPS_TTM(B946,E946,"1")</f>
        <v>0.9177482392067513</v>
      </c>
      <c r="AT946" s="4" t="str">
        <f>[1]!EM_S_IPO_LISTEDDATE(B946)</f>
        <v>2014-07-02</v>
      </c>
    </row>
    <row r="947" spans="1:46">
      <c r="A947">
        <v>2594</v>
      </c>
      <c r="B947" t="str">
        <f>"600512"</f>
        <v>600512</v>
      </c>
      <c r="C947" t="s">
        <v>3566</v>
      </c>
      <c r="D947" t="str">
        <f>[1]!EM_S_INFO_INDEX_EM(B947,"1")</f>
        <v>建筑</v>
      </c>
      <c r="E947" s="4">
        <f t="shared" si="14"/>
        <v>43465</v>
      </c>
      <c r="F947" s="11">
        <f>[1]!EM_S_PQ_PCTCHANGE(B947,"2018-01-01","2019-12-31","3")</f>
        <v>-35.3452603</v>
      </c>
      <c r="G947" s="11">
        <f>[1]!EM_S_PQ_PCTCHANGE(B947,"2018-12-31","2019-12-30","1")</f>
        <v>29.302325580000002</v>
      </c>
      <c r="H947" s="11">
        <f>[1]!EM_S_FA_YOY_OR(B947,E947)</f>
        <v>-2.1282295649999998</v>
      </c>
      <c r="I947" s="11">
        <f>[1]!EM_S_FA_GROSSPROFITMARGIN(B947,E947)</f>
        <v>10.8261911794</v>
      </c>
      <c r="J947" s="11">
        <f>[1]!EM_S_FA_NETPROFITMARGIN(B947,E947)</f>
        <v>-3.8361167236</v>
      </c>
      <c r="K947" s="10">
        <f>[1]!EM_S_FA_ASSETSTURN(B947,E947)</f>
        <v>0.31588197454099998</v>
      </c>
      <c r="L947" s="12">
        <f>[1]!EM_HKS_VAL_MV(B947,"2019-12-31","2")</f>
        <v>4492916957.9200001</v>
      </c>
      <c r="M947">
        <f>[1]!EM_S_VAL_PETTMDEDUCTED(B947,E947)</f>
        <v>-750.39850447383003</v>
      </c>
      <c r="N947" s="7">
        <f>[1]!EM_S_VAL_PBGOODWILLDEDUCTED(B947,E947)</f>
        <v>0.80107458991898395</v>
      </c>
      <c r="O947" s="7">
        <f>[1]!EM_S_VAL_PS_TTM(B947,E947)</f>
        <v>0.93298222490674898</v>
      </c>
      <c r="P947" s="7">
        <f>[1]!EM_S_VAL_PCF_NCFTTM(B947,E947)</f>
        <v>20.104582338115701</v>
      </c>
      <c r="Q947" s="7">
        <f>[1]!EM_S_VAL_DIVIDENDYIELD2(B947,E947,"2019-11-29")</f>
        <v>0.72992700729927007</v>
      </c>
      <c r="T947"/>
      <c r="U947">
        <f>[1]!EM_S_RATIO_EPS_TTM(B947,E947,"1")</f>
        <v>1.6017228350246614E-2</v>
      </c>
      <c r="AT947" s="4" t="str">
        <f>[1]!EM_S_IPO_LISTEDDATE(B947)</f>
        <v>2002-12-26</v>
      </c>
    </row>
    <row r="948" spans="1:46">
      <c r="A948">
        <v>3273</v>
      </c>
      <c r="B948" t="str">
        <f>"603111"</f>
        <v>603111</v>
      </c>
      <c r="C948" t="s">
        <v>1036</v>
      </c>
      <c r="D948" t="str">
        <f>[1]!EM_S_INFO_INDEX_EM(B948,"1")</f>
        <v>交运设备</v>
      </c>
      <c r="E948" s="4">
        <f t="shared" si="14"/>
        <v>43465</v>
      </c>
      <c r="F948" s="11">
        <f>[1]!EM_S_PQ_PCTCHANGE(B948,"2018-01-01","2019-12-31","3")</f>
        <v>-60.449026289999999</v>
      </c>
      <c r="G948" s="11">
        <f>[1]!EM_S_PQ_PCTCHANGE(B948,"2018-12-31","2019-12-30","1")</f>
        <v>29.29292929</v>
      </c>
      <c r="H948" s="11">
        <f>[1]!EM_S_FA_YOY_OR(B948,E948)</f>
        <v>41.261950685999999</v>
      </c>
      <c r="I948" s="11">
        <f>[1]!EM_S_FA_GROSSPROFITMARGIN(B948,E948)</f>
        <v>29.463853519000001</v>
      </c>
      <c r="J948" s="11">
        <f>[1]!EM_S_FA_NETPROFITMARGIN(B948,E948)</f>
        <v>-93.381905373400002</v>
      </c>
      <c r="K948" s="10">
        <f>[1]!EM_S_FA_ASSETSTURN(B948,E948)</f>
        <v>0.56668210914299999</v>
      </c>
      <c r="L948" s="12">
        <f>[1]!EM_HKS_VAL_MV(B948,"2019-12-31","2")</f>
        <v>5244494555.5200005</v>
      </c>
      <c r="M948">
        <f>[1]!EM_S_VAL_PETTMDEDUCTED(B948,E948)</f>
        <v>34.074801568397298</v>
      </c>
      <c r="N948" s="7">
        <f>[1]!EM_S_VAL_PBGOODWILLDEDUCTED(B948,E948)</f>
        <v>2.3114000288127698</v>
      </c>
      <c r="O948" s="7">
        <f>[1]!EM_S_VAL_PS_TTM(B948,E948)</f>
        <v>1.11388689539671</v>
      </c>
      <c r="P948" s="7">
        <f>[1]!EM_S_VAL_PCF_NCFTTM(B948,E948)</f>
        <v>30.422180208932801</v>
      </c>
      <c r="Q948" s="7">
        <f>[1]!EM_S_VAL_DIVIDENDYIELD2(B948,E948,"2019-11-29")</f>
        <v>0</v>
      </c>
      <c r="T948"/>
      <c r="U948">
        <f>[1]!EM_S_RATIO_EPS_TTM(B948,E948,"1")</f>
        <v>-3.1720283037812296</v>
      </c>
      <c r="AT948" s="4" t="str">
        <f>[1]!EM_S_IPO_LISTEDDATE(B948)</f>
        <v>2014-08-01</v>
      </c>
    </row>
    <row r="949" spans="1:46">
      <c r="A949">
        <v>1729</v>
      </c>
      <c r="B949" t="str">
        <f>"300304"</f>
        <v>300304</v>
      </c>
      <c r="C949" t="s">
        <v>1641</v>
      </c>
      <c r="D949" t="str">
        <f>[1]!EM_S_INFO_INDEX_EM(B949,"1")</f>
        <v>交运设备</v>
      </c>
      <c r="E949" s="4">
        <f t="shared" si="14"/>
        <v>43465</v>
      </c>
      <c r="F949" s="11">
        <f>[1]!EM_S_PQ_PCTCHANGE(B949,"2018-01-01","2019-12-31","3")</f>
        <v>-39.218676969999997</v>
      </c>
      <c r="G949" s="11">
        <f>[1]!EM_S_PQ_PCTCHANGE(B949,"2018-12-31","2019-12-30","1")</f>
        <v>29.239766079999999</v>
      </c>
      <c r="H949" s="11">
        <f>[1]!EM_S_FA_YOY_OR(B949,E949)</f>
        <v>2.6716417050999999</v>
      </c>
      <c r="I949" s="11">
        <f>[1]!EM_S_FA_GROSSPROFITMARGIN(B949,E949)</f>
        <v>35.752538336199997</v>
      </c>
      <c r="J949" s="11">
        <f>[1]!EM_S_FA_NETPROFITMARGIN(B949,E949)</f>
        <v>20.0221625643</v>
      </c>
      <c r="K949" s="10">
        <f>[1]!EM_S_FA_ASSETSTURN(B949,E949)</f>
        <v>0.30675505434900002</v>
      </c>
      <c r="L949" s="12">
        <f>[1]!EM_HKS_VAL_MV(B949,"2019-12-31","2")</f>
        <v>3810558479.1999998</v>
      </c>
      <c r="M949">
        <f>[1]!EM_S_VAL_PETTMDEDUCTED(B949,E949)</f>
        <v>30.983883713842001</v>
      </c>
      <c r="N949" s="7">
        <f>[1]!EM_S_VAL_PBGOODWILLDEDUCTED(B949,E949)</f>
        <v>1.61519174935737</v>
      </c>
      <c r="O949" s="7">
        <f>[1]!EM_S_VAL_PS_TTM(B949,E949)</f>
        <v>4.5715276753928098</v>
      </c>
      <c r="P949" s="7">
        <f>[1]!EM_S_VAL_PCF_NCFTTM(B949,E949)</f>
        <v>-3202.96388973895</v>
      </c>
      <c r="Q949" s="7">
        <f>[1]!EM_S_VAL_DIVIDENDYIELD2(B949,E949,"2019-11-29")</f>
        <v>0.71255185919444064</v>
      </c>
      <c r="T949"/>
      <c r="U949">
        <f>[1]!EM_S_RATIO_EPS_TTM(B949,E949,"1")</f>
        <v>0.15434048589973901</v>
      </c>
      <c r="AT949" s="4" t="str">
        <f>[1]!EM_S_IPO_LISTEDDATE(B949)</f>
        <v>2012-03-21</v>
      </c>
    </row>
    <row r="950" spans="1:46">
      <c r="A950">
        <v>1520</v>
      </c>
      <c r="B950" t="str">
        <f>"300095"</f>
        <v>300095</v>
      </c>
      <c r="C950" t="s">
        <v>2012</v>
      </c>
      <c r="D950" t="str">
        <f>[1]!EM_S_INFO_INDEX_EM(B950,"1")</f>
        <v>机械设备</v>
      </c>
      <c r="E950" s="4">
        <f t="shared" si="14"/>
        <v>43465</v>
      </c>
      <c r="F950" s="11">
        <f>[1]!EM_S_PQ_PCTCHANGE(B950,"2018-01-01","2019-12-31","3")</f>
        <v>-25.81199385</v>
      </c>
      <c r="G950" s="11">
        <f>[1]!EM_S_PQ_PCTCHANGE(B950,"2018-12-31","2019-12-30","1")</f>
        <v>29.193899779999999</v>
      </c>
      <c r="H950" s="11">
        <f>[1]!EM_S_FA_YOY_OR(B950,E950)</f>
        <v>36.085698803699998</v>
      </c>
      <c r="I950" s="11">
        <f>[1]!EM_S_FA_GROSSPROFITMARGIN(B950,E950)</f>
        <v>34.879161142699999</v>
      </c>
      <c r="J950" s="11">
        <f>[1]!EM_S_FA_NETPROFITMARGIN(B950,E950)</f>
        <v>-9.7033261740000007</v>
      </c>
      <c r="K950" s="10">
        <f>[1]!EM_S_FA_ASSETSTURN(B950,E950)</f>
        <v>0.36629418722899998</v>
      </c>
      <c r="L950" s="12">
        <f>[1]!EM_HKS_VAL_MV(B950,"2019-12-31","2")</f>
        <v>2249542472.7600002</v>
      </c>
      <c r="M950">
        <f>[1]!EM_S_VAL_PETTMDEDUCTED(B950,E950)</f>
        <v>41.941079811844403</v>
      </c>
      <c r="N950" s="7">
        <f>[1]!EM_S_VAL_PBGOODWILLDEDUCTED(B950,E950)</f>
        <v>2.2677487691071998</v>
      </c>
      <c r="O950" s="7">
        <f>[1]!EM_S_VAL_PS_TTM(B950,E950)</f>
        <v>1.9961563014218799</v>
      </c>
      <c r="P950" s="7">
        <f>[1]!EM_S_VAL_PCF_NCFTTM(B950,E950)</f>
        <v>-20.7014594759634</v>
      </c>
      <c r="Q950" s="7">
        <f>[1]!EM_S_VAL_DIVIDENDYIELD2(B950,E950,"2019-11-29")</f>
        <v>0</v>
      </c>
      <c r="T950"/>
      <c r="U950">
        <f>[1]!EM_S_RATIO_EPS_TTM(B950,E950,"1")</f>
        <v>-0.26252509435602289</v>
      </c>
      <c r="AT950" s="4" t="str">
        <f>[1]!EM_S_IPO_LISTEDDATE(B950)</f>
        <v>2010-07-28</v>
      </c>
    </row>
    <row r="951" spans="1:46">
      <c r="A951">
        <v>714</v>
      </c>
      <c r="B951" t="str">
        <f>"002203"</f>
        <v>002203</v>
      </c>
      <c r="C951" t="s">
        <v>330</v>
      </c>
      <c r="D951" t="str">
        <f>[1]!EM_S_INFO_INDEX_EM(B951,"1")</f>
        <v>有色金属</v>
      </c>
      <c r="E951" s="4">
        <f t="shared" si="14"/>
        <v>43465</v>
      </c>
      <c r="F951" s="11">
        <f>[1]!EM_S_PQ_PCTCHANGE(B951,"2018-01-01","2019-12-31","3")</f>
        <v>33.107887789999999</v>
      </c>
      <c r="G951" s="11">
        <f>[1]!EM_S_PQ_PCTCHANGE(B951,"2018-12-31","2019-12-30","1")</f>
        <v>29.13486005</v>
      </c>
      <c r="H951" s="11">
        <f>[1]!EM_S_FA_YOY_OR(B951,E951)</f>
        <v>36.053893531</v>
      </c>
      <c r="I951" s="11">
        <f>[1]!EM_S_FA_GROSSPROFITMARGIN(B951,E951)</f>
        <v>5.8329678825000002</v>
      </c>
      <c r="J951" s="11">
        <f>[1]!EM_S_FA_NETPROFITMARGIN(B951,E951)</f>
        <v>2.2765415457999998</v>
      </c>
      <c r="K951" s="10">
        <f>[1]!EM_S_FA_ASSETSTURN(B951,E951)</f>
        <v>2.3594519566300001</v>
      </c>
      <c r="L951" s="12">
        <f>[1]!EM_HKS_VAL_MV(B951,"2019-12-31","2")</f>
        <v>20009101178</v>
      </c>
      <c r="M951">
        <f>[1]!EM_S_VAL_PETTMDEDUCTED(B951,E951)</f>
        <v>17.139453565337899</v>
      </c>
      <c r="N951" s="7">
        <f>[1]!EM_S_VAL_PBGOODWILLDEDUCTED(B951,E951)</f>
        <v>1.9771090951126999</v>
      </c>
      <c r="O951" s="7">
        <f>[1]!EM_S_VAL_PS_TTM(B951,E951)</f>
        <v>0.37494481157335002</v>
      </c>
      <c r="P951" s="7">
        <f>[1]!EM_S_VAL_PCF_NCFTTM(B951,E951)</f>
        <v>7.6557537585597002</v>
      </c>
      <c r="Q951" s="7">
        <f>[1]!EM_S_VAL_DIVIDENDYIELD2(B951,E951,"2019-11-29")</f>
        <v>0.71126321036889328</v>
      </c>
      <c r="T951"/>
      <c r="U951">
        <f>[1]!EM_S_RATIO_EPS_TTM(B951,E951,"1")</f>
        <v>0.4654610238995347</v>
      </c>
      <c r="AT951" s="4" t="str">
        <f>[1]!EM_S_IPO_LISTEDDATE(B951)</f>
        <v>2008-01-16</v>
      </c>
    </row>
    <row r="952" spans="1:46">
      <c r="A952">
        <v>2865</v>
      </c>
      <c r="B952" t="str">
        <f>"600792"</f>
        <v>600792</v>
      </c>
      <c r="C952" t="s">
        <v>3014</v>
      </c>
      <c r="D952" t="str">
        <f>[1]!EM_S_INFO_INDEX_EM(B952,"1")</f>
        <v>化石能源</v>
      </c>
      <c r="E952" s="4">
        <f t="shared" si="14"/>
        <v>43465</v>
      </c>
      <c r="F952" s="11">
        <f>[1]!EM_S_PQ_PCTCHANGE(B952,"2018-01-01","2019-12-31","3")</f>
        <v>-17.41176471</v>
      </c>
      <c r="G952" s="11">
        <f>[1]!EM_S_PQ_PCTCHANGE(B952,"2018-12-31","2019-12-30","1")</f>
        <v>29.10447761</v>
      </c>
      <c r="H952" s="11">
        <f>[1]!EM_S_FA_YOY_OR(B952,E952)</f>
        <v>22.074724596700001</v>
      </c>
      <c r="I952" s="11">
        <f>[1]!EM_S_FA_GROSSPROFITMARGIN(B952,E952)</f>
        <v>11.035825044799999</v>
      </c>
      <c r="J952" s="11">
        <f>[1]!EM_S_FA_NETPROFITMARGIN(B952,E952)</f>
        <v>3.6486823605000001</v>
      </c>
      <c r="K952" s="10">
        <f>[1]!EM_S_FA_ASSETSTURN(B952,E952)</f>
        <v>1.0160616492050001</v>
      </c>
      <c r="L952" s="12">
        <f>[1]!EM_HKS_VAL_MV(B952,"2019-12-31","2")</f>
        <v>3474631836</v>
      </c>
      <c r="M952">
        <f>[1]!EM_S_VAL_PETTMDEDUCTED(B952,E952)</f>
        <v>20.129246746977099</v>
      </c>
      <c r="N952" s="7">
        <f>[1]!EM_S_VAL_PBGOODWILLDEDUCTED(B952,E952)</f>
        <v>0.861422024306429</v>
      </c>
      <c r="O952" s="7">
        <f>[1]!EM_S_VAL_PS_TTM(B952,E952)</f>
        <v>0.50603111637855502</v>
      </c>
      <c r="P952" s="7">
        <f>[1]!EM_S_VAL_PCF_NCFTTM(B952,E952)</f>
        <v>-46.742838341646198</v>
      </c>
      <c r="Q952" s="7">
        <f>[1]!EM_S_VAL_DIVIDENDYIELD2(B952,E952,"2019-11-29")</f>
        <v>0</v>
      </c>
      <c r="T952"/>
      <c r="U952">
        <f>[1]!EM_S_RATIO_EPS_TTM(B952,E952,"1")</f>
        <v>0.19359375100260262</v>
      </c>
      <c r="AT952" s="4" t="str">
        <f>[1]!EM_S_IPO_LISTEDDATE(B952)</f>
        <v>1997-01-23</v>
      </c>
    </row>
    <row r="953" spans="1:46">
      <c r="A953">
        <v>459</v>
      </c>
      <c r="B953" t="str">
        <f>"000936"</f>
        <v>000936</v>
      </c>
      <c r="C953" t="s">
        <v>2869</v>
      </c>
      <c r="D953" t="str">
        <f>[1]!EM_S_INFO_INDEX_EM(B953,"1")</f>
        <v>基础化工</v>
      </c>
      <c r="E953" s="4">
        <f t="shared" si="14"/>
        <v>43465</v>
      </c>
      <c r="F953" s="11">
        <f>[1]!EM_S_PQ_PCTCHANGE(B953,"2018-01-01","2019-12-31","3")</f>
        <v>16.950698719999998</v>
      </c>
      <c r="G953" s="11">
        <f>[1]!EM_S_PQ_PCTCHANGE(B953,"2018-12-31","2019-12-30","1")</f>
        <v>29.084967320000001</v>
      </c>
      <c r="H953" s="11">
        <f>[1]!EM_S_FA_YOY_OR(B953,E953)</f>
        <v>3.1595490335999998</v>
      </c>
      <c r="I953" s="11">
        <f>[1]!EM_S_FA_GROSSPROFITMARGIN(B953,E953)</f>
        <v>9.9440552072999999</v>
      </c>
      <c r="J953" s="11">
        <f>[1]!EM_S_FA_NETPROFITMARGIN(B953,E953)</f>
        <v>11.5508808699</v>
      </c>
      <c r="K953" s="10">
        <f>[1]!EM_S_FA_ASSETSTURN(B953,E953)</f>
        <v>0.25310683219000002</v>
      </c>
      <c r="L953" s="12">
        <f>[1]!EM_HKS_VAL_MV(B953,"2019-12-31","2")</f>
        <v>6919760647.4700003</v>
      </c>
      <c r="M953">
        <f>[1]!EM_S_VAL_PETTMDEDUCTED(B953,E953)</f>
        <v>15.838619298340401</v>
      </c>
      <c r="N953" s="7">
        <f>[1]!EM_S_VAL_PBGOODWILLDEDUCTED(B953,E953)</f>
        <v>1.18208379850629</v>
      </c>
      <c r="O953" s="7">
        <f>[1]!EM_S_VAL_PS_TTM(B953,E953)</f>
        <v>1.9831894741560401</v>
      </c>
      <c r="P953" s="7">
        <f>[1]!EM_S_VAL_PCF_NCFTTM(B953,E953)</f>
        <v>-5.6212941047924403</v>
      </c>
      <c r="Q953" s="7">
        <f>[1]!EM_S_VAL_DIVIDENDYIELD2(B953,E953,"2019-11-29")</f>
        <v>0.81566068515497547</v>
      </c>
      <c r="T953"/>
      <c r="U953">
        <f>[1]!EM_S_RATIO_EPS_TTM(B953,E953,"1")</f>
        <v>0.36227220453510173</v>
      </c>
      <c r="AT953" s="4" t="str">
        <f>[1]!EM_S_IPO_LISTEDDATE(B953)</f>
        <v>1999-08-10</v>
      </c>
    </row>
    <row r="954" spans="1:46">
      <c r="A954">
        <v>2789</v>
      </c>
      <c r="B954" t="str">
        <f>"600716"</f>
        <v>600716</v>
      </c>
      <c r="C954" t="s">
        <v>3459</v>
      </c>
      <c r="D954" t="str">
        <f>[1]!EM_S_INFO_INDEX_EM(B954,"1")</f>
        <v>房地产</v>
      </c>
      <c r="E954" s="4">
        <f t="shared" si="14"/>
        <v>43465</v>
      </c>
      <c r="F954" s="11">
        <f>[1]!EM_S_PQ_PCTCHANGE(B954,"2018-01-01","2019-12-31","3")</f>
        <v>-22.59125032</v>
      </c>
      <c r="G954" s="11">
        <f>[1]!EM_S_PQ_PCTCHANGE(B954,"2018-12-31","2019-12-30","1")</f>
        <v>29.0625</v>
      </c>
      <c r="H954" s="11">
        <f>[1]!EM_S_FA_YOY_OR(B954,E954)</f>
        <v>-22.049082122800002</v>
      </c>
      <c r="I954" s="11">
        <f>[1]!EM_S_FA_GROSSPROFITMARGIN(B954,E954)</f>
        <v>18.8816666345</v>
      </c>
      <c r="J954" s="11">
        <f>[1]!EM_S_FA_NETPROFITMARGIN(B954,E954)</f>
        <v>76.240934167299997</v>
      </c>
      <c r="K954" s="10">
        <f>[1]!EM_S_FA_ASSETSTURN(B954,E954)</f>
        <v>0.11381023227299999</v>
      </c>
      <c r="L954" s="12">
        <f>[1]!EM_HKS_VAL_MV(B954,"2019-12-31","2")</f>
        <v>3903372660.3000002</v>
      </c>
      <c r="M954">
        <f>[1]!EM_S_VAL_PETTMDEDUCTED(B954,E954)</f>
        <v>-33.1722548409141</v>
      </c>
      <c r="N954" s="7">
        <f>[1]!EM_S_VAL_PBGOODWILLDEDUCTED(B954,E954)</f>
        <v>0.62762204612332995</v>
      </c>
      <c r="O954" s="7">
        <f>[1]!EM_S_VAL_PS_TTM(B954,E954)</f>
        <v>1.92700787267416</v>
      </c>
      <c r="P954" s="7">
        <f>[1]!EM_S_VAL_PCF_NCFTTM(B954,E954)</f>
        <v>-3.8527107064691499</v>
      </c>
      <c r="Q954" s="7">
        <f>[1]!EM_S_VAL_DIVIDENDYIELD2(B954,E954,"2019-11-29")</f>
        <v>2.7027027027027026</v>
      </c>
      <c r="T954"/>
      <c r="U954">
        <f>[1]!EM_S_RATIO_EPS_TTM(B954,E954,"1")</f>
        <v>0.60271239489956518</v>
      </c>
      <c r="AT954" s="4" t="str">
        <f>[1]!EM_S_IPO_LISTEDDATE(B954)</f>
        <v>1996-07-02</v>
      </c>
    </row>
    <row r="955" spans="1:46">
      <c r="A955">
        <v>2682</v>
      </c>
      <c r="B955" t="str">
        <f>"600609"</f>
        <v>600609</v>
      </c>
      <c r="C955" t="s">
        <v>150</v>
      </c>
      <c r="D955" t="str">
        <f>[1]!EM_S_INFO_INDEX_EM(B955,"1")</f>
        <v>交运设备</v>
      </c>
      <c r="E955" s="4">
        <f t="shared" si="14"/>
        <v>43465</v>
      </c>
      <c r="F955" s="11">
        <f>[1]!EM_S_PQ_PCTCHANGE(B955,"2018-01-01","2019-12-31","3")</f>
        <v>-31.25</v>
      </c>
      <c r="G955" s="11">
        <f>[1]!EM_S_PQ_PCTCHANGE(B955,"2018-12-31","2019-12-30","1")</f>
        <v>29.03225806</v>
      </c>
      <c r="H955" s="11">
        <f>[1]!EM_S_FA_YOY_OR(B955,E955)</f>
        <v>6.5010281908999996</v>
      </c>
      <c r="I955" s="11">
        <f>[1]!EM_S_FA_GROSSPROFITMARGIN(B955,E955)</f>
        <v>11.838174562800001</v>
      </c>
      <c r="J955" s="11">
        <f>[1]!EM_S_FA_NETPROFITMARGIN(B955,E955)</f>
        <v>4.5490413263000002</v>
      </c>
      <c r="K955" s="10">
        <f>[1]!EM_S_FA_ASSETSTURN(B955,E955)</f>
        <v>1.0556936947090001</v>
      </c>
      <c r="L955" s="12">
        <f>[1]!EM_HKS_VAL_MV(B955,"2019-12-31","2")</f>
        <v>4326961842.7200003</v>
      </c>
      <c r="M955">
        <f>[1]!EM_S_VAL_PETTMDEDUCTED(B955,E955)</f>
        <v>-58.074326928128698</v>
      </c>
      <c r="N955" s="7">
        <f>[1]!EM_S_VAL_PBGOODWILLDEDUCTED(B955,E955)</f>
        <v>9.5193815669034905</v>
      </c>
      <c r="O955" s="7">
        <f>[1]!EM_S_VAL_PS_TTM(B955,E955)</f>
        <v>0.56240648052158704</v>
      </c>
      <c r="P955" s="7">
        <f>[1]!EM_S_VAL_PCF_NCFTTM(B955,E955)</f>
        <v>-1.5511035419399</v>
      </c>
      <c r="Q955" s="7">
        <f>[1]!EM_S_VAL_DIVIDENDYIELD2(B955,E955,"2019-11-29")</f>
        <v>0</v>
      </c>
      <c r="T955"/>
      <c r="U955">
        <f>[1]!EM_S_RATIO_EPS_TTM(B955,E955,"1")</f>
        <v>7.3910286028444391E-2</v>
      </c>
      <c r="AT955" s="4" t="str">
        <f>[1]!EM_S_IPO_LISTEDDATE(B955)</f>
        <v>1992-07-24</v>
      </c>
    </row>
    <row r="956" spans="1:46">
      <c r="A956">
        <v>1535</v>
      </c>
      <c r="B956" t="str">
        <f>"300110"</f>
        <v>300110</v>
      </c>
      <c r="C956" t="s">
        <v>3009</v>
      </c>
      <c r="D956" t="str">
        <f>[1]!EM_S_INFO_INDEX_EM(B956,"1")</f>
        <v>医药生物</v>
      </c>
      <c r="E956" s="4">
        <f t="shared" si="14"/>
        <v>43465</v>
      </c>
      <c r="F956" s="11">
        <f>[1]!EM_S_PQ_PCTCHANGE(B956,"2018-01-01","2019-12-31","3")</f>
        <v>-64.620288700000003</v>
      </c>
      <c r="G956" s="11">
        <f>[1]!EM_S_PQ_PCTCHANGE(B956,"2018-12-31","2019-12-30","1")</f>
        <v>28.971962619999999</v>
      </c>
      <c r="H956" s="11">
        <f>[1]!EM_S_FA_YOY_OR(B956,E956)</f>
        <v>5.4871044897000001</v>
      </c>
      <c r="I956" s="11">
        <f>[1]!EM_S_FA_GROSSPROFITMARGIN(B956,E956)</f>
        <v>57.618428828900001</v>
      </c>
      <c r="J956" s="11">
        <f>[1]!EM_S_FA_NETPROFITMARGIN(B956,E956)</f>
        <v>2.7070075384000001</v>
      </c>
      <c r="K956" s="10">
        <f>[1]!EM_S_FA_ASSETSTURN(B956,E956)</f>
        <v>0.45842340890900002</v>
      </c>
      <c r="L956" s="12">
        <f>[1]!EM_HKS_VAL_MV(B956,"2019-12-31","2")</f>
        <v>4988938784.04</v>
      </c>
      <c r="M956">
        <f>[1]!EM_S_VAL_PETTMDEDUCTED(B956,E956)</f>
        <v>90.991465297740405</v>
      </c>
      <c r="N956" s="7">
        <f>[1]!EM_S_VAL_PBGOODWILLDEDUCTED(B956,E956)</f>
        <v>1.7629061351943101</v>
      </c>
      <c r="O956" s="7">
        <f>[1]!EM_S_VAL_PS_TTM(B956,E956)</f>
        <v>2.70222944588118</v>
      </c>
      <c r="P956" s="7">
        <f>[1]!EM_S_VAL_PCF_NCFTTM(B956,E956)</f>
        <v>7.8171984535379204</v>
      </c>
      <c r="Q956" s="7">
        <f>[1]!EM_S_VAL_DIVIDENDYIELD2(B956,E956,"2019-11-29")</f>
        <v>0.75376884422110557</v>
      </c>
      <c r="T956"/>
      <c r="U956">
        <f>[1]!EM_S_RATIO_EPS_TTM(B956,E956,"1")</f>
        <v>3.2815438656720826E-2</v>
      </c>
      <c r="AT956" s="4" t="str">
        <f>[1]!EM_S_IPO_LISTEDDATE(B956)</f>
        <v>2010-08-25</v>
      </c>
    </row>
    <row r="957" spans="1:46">
      <c r="A957">
        <v>2344</v>
      </c>
      <c r="B957" t="str">
        <f>"600208"</f>
        <v>600208</v>
      </c>
      <c r="C957" t="s">
        <v>1105</v>
      </c>
      <c r="D957" t="str">
        <f>[1]!EM_S_INFO_INDEX_EM(B957,"1")</f>
        <v>房地产</v>
      </c>
      <c r="E957" s="4">
        <f t="shared" si="14"/>
        <v>43465</v>
      </c>
      <c r="F957" s="11">
        <f>[1]!EM_S_PQ_PCTCHANGE(B957,"2018-01-01","2019-12-31","3")</f>
        <v>-24.952532340000001</v>
      </c>
      <c r="G957" s="11">
        <f>[1]!EM_S_PQ_PCTCHANGE(B957,"2018-12-31","2019-12-30","1")</f>
        <v>28.96551724</v>
      </c>
      <c r="H957" s="11">
        <f>[1]!EM_S_FA_YOY_OR(B957,E957)</f>
        <v>-1.5589171073999999</v>
      </c>
      <c r="I957" s="11">
        <f>[1]!EM_S_FA_GROSSPROFITMARGIN(B957,E957)</f>
        <v>28.533180183799999</v>
      </c>
      <c r="J957" s="11">
        <f>[1]!EM_S_FA_NETPROFITMARGIN(B957,E957)</f>
        <v>15.634419042699999</v>
      </c>
      <c r="K957" s="10">
        <f>[1]!EM_S_FA_ASSETSTURN(B957,E957)</f>
        <v>0.13029118063100001</v>
      </c>
      <c r="L957" s="12">
        <f>[1]!EM_HKS_VAL_MV(B957,"2019-12-31","2")</f>
        <v>32505518566.080002</v>
      </c>
      <c r="M957">
        <f>[1]!EM_S_VAL_PETTMDEDUCTED(B957,E957)</f>
        <v>8.4825108981595196</v>
      </c>
      <c r="N957" s="7">
        <f>[1]!EM_S_VAL_PBGOODWILLDEDUCTED(B957,E957)</f>
        <v>0.74178147257946803</v>
      </c>
      <c r="O957" s="7">
        <f>[1]!EM_S_VAL_PS_TTM(B957,E957)</f>
        <v>1.6345063445002199</v>
      </c>
      <c r="P957" s="7">
        <f>[1]!EM_S_VAL_PCF_NCFTTM(B957,E957)</f>
        <v>-7.9767683032134098</v>
      </c>
      <c r="Q957" s="7">
        <f>[1]!EM_S_VAL_DIVIDENDYIELD2(B957,E957,"2019-11-29")</f>
        <v>1.5860215053763442</v>
      </c>
      <c r="T957"/>
      <c r="U957">
        <f>[1]!EM_S_RATIO_EPS_TTM(B957,E957,"1")</f>
        <v>0.29144104536795423</v>
      </c>
      <c r="AT957" s="4" t="str">
        <f>[1]!EM_S_IPO_LISTEDDATE(B957)</f>
        <v>1999-06-23</v>
      </c>
    </row>
    <row r="958" spans="1:46">
      <c r="A958">
        <v>3325</v>
      </c>
      <c r="B958" t="str">
        <f>"603233"</f>
        <v>603233</v>
      </c>
      <c r="C958" t="s">
        <v>276</v>
      </c>
      <c r="D958" t="str">
        <f>[1]!EM_S_INFO_INDEX_EM(B958,"1")</f>
        <v>医药生物</v>
      </c>
      <c r="E958" s="4">
        <f t="shared" si="14"/>
        <v>43465</v>
      </c>
      <c r="F958" s="11">
        <f>[1]!EM_S_PQ_PCTCHANGE(B958,"2018-01-01","2019-12-31","3")</f>
        <v>34.115627689999997</v>
      </c>
      <c r="G958" s="11">
        <f>[1]!EM_S_PQ_PCTCHANGE(B958,"2018-12-31","2019-12-30","1")</f>
        <v>28.951329650000002</v>
      </c>
      <c r="H958" s="11">
        <f>[1]!EM_S_FA_YOY_OR(B958,E958)</f>
        <v>19.377963207200001</v>
      </c>
      <c r="I958" s="11">
        <f>[1]!EM_S_FA_GROSSPROFITMARGIN(B958,E958)</f>
        <v>41.645368211499999</v>
      </c>
      <c r="J958" s="11">
        <f>[1]!EM_S_FA_NETPROFITMARGIN(B958,E958)</f>
        <v>5.9337588167000002</v>
      </c>
      <c r="K958" s="10">
        <f>[1]!EM_S_FA_ASSETSTURN(B958,E958)</f>
        <v>1.4335641664609999</v>
      </c>
      <c r="L958" s="12">
        <f>[1]!EM_HKS_VAL_MV(B958,"2019-12-31","2")</f>
        <v>28191057639.25</v>
      </c>
      <c r="M958">
        <f>[1]!EM_S_VAL_PETTMDEDUCTED(B958,E958)</f>
        <v>31.535544425476999</v>
      </c>
      <c r="N958" s="7">
        <f>[1]!EM_S_VAL_PBGOODWILLDEDUCTED(B958,E958)</f>
        <v>6.36740839946017</v>
      </c>
      <c r="O958" s="7">
        <f>[1]!EM_S_VAL_PS_TTM(B958,E958)</f>
        <v>1.8934682827838201</v>
      </c>
      <c r="P958" s="7">
        <f>[1]!EM_S_VAL_PCF_NCFTTM(B958,E958)</f>
        <v>305.89831295210303</v>
      </c>
      <c r="Q958" s="7">
        <f>[1]!EM_S_VAL_DIVIDENDYIELD2(B958,E958,"2019-11-29")</f>
        <v>0.90373695229775119</v>
      </c>
      <c r="T958"/>
      <c r="U958">
        <f>[1]!EM_S_RATIO_EPS_TTM(B958,E958,"1")</f>
        <v>1.3290515186370342</v>
      </c>
      <c r="AT958" s="4" t="str">
        <f>[1]!EM_S_IPO_LISTEDDATE(B958)</f>
        <v>2017-07-31</v>
      </c>
    </row>
    <row r="959" spans="1:46">
      <c r="A959">
        <v>2919</v>
      </c>
      <c r="B959" t="str">
        <f>"600846"</f>
        <v>600846</v>
      </c>
      <c r="C959" t="s">
        <v>573</v>
      </c>
      <c r="D959" t="str">
        <f>[1]!EM_S_INFO_INDEX_EM(B959,"1")</f>
        <v>建筑</v>
      </c>
      <c r="E959" s="4">
        <f t="shared" si="14"/>
        <v>43465</v>
      </c>
      <c r="F959" s="11">
        <f>[1]!EM_S_PQ_PCTCHANGE(B959,"2018-01-01","2019-12-31","3")</f>
        <v>0.27659664</v>
      </c>
      <c r="G959" s="11">
        <f>[1]!EM_S_PQ_PCTCHANGE(B959,"2018-12-31","2019-12-30","1")</f>
        <v>28.951048950000001</v>
      </c>
      <c r="H959" s="11">
        <f>[1]!EM_S_FA_YOY_OR(B959,E959)</f>
        <v>-9.4583020837999996</v>
      </c>
      <c r="I959" s="11">
        <f>[1]!EM_S_FA_GROSSPROFITMARGIN(B959,E959)</f>
        <v>18.011071682699999</v>
      </c>
      <c r="J959" s="11">
        <f>[1]!EM_S_FA_NETPROFITMARGIN(B959,E959)</f>
        <v>11.5027349449</v>
      </c>
      <c r="K959" s="10">
        <f>[1]!EM_S_FA_ASSETSTURN(B959,E959)</f>
        <v>0.30522872174299998</v>
      </c>
      <c r="L959" s="12">
        <f>[1]!EM_HKS_VAL_MV(B959,"2019-12-31","2")</f>
        <v>5816529713.96</v>
      </c>
      <c r="M959">
        <f>[1]!EM_S_VAL_PETTMDEDUCTED(B959,E959)</f>
        <v>16.276457369525001</v>
      </c>
      <c r="N959" s="7">
        <f>[1]!EM_S_VAL_PBGOODWILLDEDUCTED(B959,E959)</f>
        <v>1.9722955105069</v>
      </c>
      <c r="O959" s="7">
        <f>[1]!EM_S_VAL_PS_TTM(B959,E959)</f>
        <v>1.2950597966467701</v>
      </c>
      <c r="P959" s="7">
        <f>[1]!EM_S_VAL_PCF_NCFTTM(B959,E959)</f>
        <v>2.5769724577403301</v>
      </c>
      <c r="Q959" s="7">
        <f>[1]!EM_S_VAL_DIVIDENDYIELD2(B959,E959,"2019-11-29")</f>
        <v>1.7341040462427744</v>
      </c>
      <c r="T959"/>
      <c r="U959">
        <f>[1]!EM_S_RATIO_EPS_TTM(B959,E959,"1")</f>
        <v>0.48217276979333024</v>
      </c>
      <c r="AT959" s="4" t="str">
        <f>[1]!EM_S_IPO_LISTEDDATE(B959)</f>
        <v>1994-03-11</v>
      </c>
    </row>
    <row r="960" spans="1:46">
      <c r="A960">
        <v>1593</v>
      </c>
      <c r="B960" t="str">
        <f>"300168"</f>
        <v>300168</v>
      </c>
      <c r="C960" t="s">
        <v>2966</v>
      </c>
      <c r="D960" t="str">
        <f>[1]!EM_S_INFO_INDEX_EM(B960,"1")</f>
        <v>信息技术</v>
      </c>
      <c r="E960" s="4">
        <f t="shared" si="14"/>
        <v>43465</v>
      </c>
      <c r="F960" s="11">
        <f>[1]!EM_S_PQ_PCTCHANGE(B960,"2018-01-01","2019-12-31","3")</f>
        <v>14.8269441</v>
      </c>
      <c r="G960" s="11">
        <f>[1]!EM_S_PQ_PCTCHANGE(B960,"2018-12-31","2019-12-30","1")</f>
        <v>28.94078399</v>
      </c>
      <c r="H960" s="11">
        <f>[1]!EM_S_FA_YOY_OR(B960,E960)</f>
        <v>-8.7270682336000007</v>
      </c>
      <c r="I960" s="11">
        <f>[1]!EM_S_FA_GROSSPROFITMARGIN(B960,E960)</f>
        <v>44.495608674499998</v>
      </c>
      <c r="J960" s="11">
        <f>[1]!EM_S_FA_NETPROFITMARGIN(B960,E960)</f>
        <v>10.216651414399999</v>
      </c>
      <c r="K960" s="10">
        <f>[1]!EM_S_FA_ASSETSTURN(B960,E960)</f>
        <v>0.27864916588400002</v>
      </c>
      <c r="L960" s="12">
        <f>[1]!EM_HKS_VAL_MV(B960,"2019-12-31","2")</f>
        <v>17587947544.029999</v>
      </c>
      <c r="M960">
        <f>[1]!EM_S_VAL_PETTMDEDUCTED(B960,E960)</f>
        <v>50.022315976653204</v>
      </c>
      <c r="N960" s="7">
        <f>[1]!EM_S_VAL_PBGOODWILLDEDUCTED(B960,E960)</f>
        <v>4.9745635441670197</v>
      </c>
      <c r="O960" s="7">
        <f>[1]!EM_S_VAL_PS_TTM(B960,E960)</f>
        <v>5.0510472047600796</v>
      </c>
      <c r="P960" s="7">
        <f>[1]!EM_S_VAL_PCF_NCFTTM(B960,E960)</f>
        <v>62.581720166327202</v>
      </c>
      <c r="Q960" s="7">
        <f>[1]!EM_S_VAL_DIVIDENDYIELD2(B960,E960,"2019-11-29")</f>
        <v>0.14926950710748163</v>
      </c>
      <c r="T960"/>
      <c r="U960">
        <f>[1]!EM_S_RATIO_EPS_TTM(B960,E960,"1")</f>
        <v>0.2110139835793923</v>
      </c>
      <c r="AT960" s="4" t="str">
        <f>[1]!EM_S_IPO_LISTEDDATE(B960)</f>
        <v>2011-01-25</v>
      </c>
    </row>
    <row r="961" spans="1:46">
      <c r="A961">
        <v>1313</v>
      </c>
      <c r="B961" t="str">
        <f>"002809"</f>
        <v>002809</v>
      </c>
      <c r="C961" t="s">
        <v>1828</v>
      </c>
      <c r="D961" t="str">
        <f>[1]!EM_S_INFO_INDEX_EM(B961,"1")</f>
        <v>基础化工</v>
      </c>
      <c r="E961" s="4">
        <f t="shared" si="14"/>
        <v>43465</v>
      </c>
      <c r="F961" s="11">
        <f>[1]!EM_S_PQ_PCTCHANGE(B961,"2018-01-01","2019-12-31","3")</f>
        <v>-42.815912189999999</v>
      </c>
      <c r="G961" s="11">
        <f>[1]!EM_S_PQ_PCTCHANGE(B961,"2018-12-31","2019-12-30","1")</f>
        <v>28.874172189999999</v>
      </c>
      <c r="H961" s="11">
        <f>[1]!EM_S_FA_YOY_OR(B961,E961)</f>
        <v>47.663243935200001</v>
      </c>
      <c r="I961" s="11">
        <f>[1]!EM_S_FA_GROSSPROFITMARGIN(B961,E961)</f>
        <v>27.208003453300002</v>
      </c>
      <c r="J961" s="11">
        <f>[1]!EM_S_FA_NETPROFITMARGIN(B961,E961)</f>
        <v>7.3316377252000002</v>
      </c>
      <c r="K961" s="10">
        <f>[1]!EM_S_FA_ASSETSTURN(B961,E961)</f>
        <v>0.69802592941800001</v>
      </c>
      <c r="L961" s="12">
        <f>[1]!EM_HKS_VAL_MV(B961,"2019-12-31","2")</f>
        <v>2290800000</v>
      </c>
      <c r="M961">
        <f>[1]!EM_S_VAL_PETTMDEDUCTED(B961,E961)</f>
        <v>24.750330356817798</v>
      </c>
      <c r="N961" s="7">
        <f>[1]!EM_S_VAL_PBGOODWILLDEDUCTED(B961,E961)</f>
        <v>1.84237846533104</v>
      </c>
      <c r="O961" s="7">
        <f>[1]!EM_S_VAL_PS_TTM(B961,E961)</f>
        <v>2.2507217982956802</v>
      </c>
      <c r="P961" s="7">
        <f>[1]!EM_S_VAL_PCF_NCFTTM(B961,E961)</f>
        <v>-44.334432710499499</v>
      </c>
      <c r="Q961" s="7">
        <f>[1]!EM_S_VAL_DIVIDENDYIELD2(B961,E961,"2019-11-29")</f>
        <v>1.283606540727199</v>
      </c>
      <c r="T961"/>
      <c r="U961">
        <f>[1]!EM_S_RATIO_EPS_TTM(B961,E961,"1")</f>
        <v>0.54050748608010979</v>
      </c>
      <c r="AT961" s="4" t="str">
        <f>[1]!EM_S_IPO_LISTEDDATE(B961)</f>
        <v>2016-08-23</v>
      </c>
    </row>
    <row r="962" spans="1:46">
      <c r="A962">
        <v>615</v>
      </c>
      <c r="B962" t="str">
        <f>"002104"</f>
        <v>002104</v>
      </c>
      <c r="C962" t="s">
        <v>1119</v>
      </c>
      <c r="D962" t="str">
        <f>[1]!EM_S_INFO_INDEX_EM(B962,"1")</f>
        <v>信息技术</v>
      </c>
      <c r="E962" s="4">
        <f t="shared" si="14"/>
        <v>43465</v>
      </c>
      <c r="F962" s="11">
        <f>[1]!EM_S_PQ_PCTCHANGE(B962,"2018-01-01","2019-12-31","3")</f>
        <v>-12.77080958</v>
      </c>
      <c r="G962" s="11">
        <f>[1]!EM_S_PQ_PCTCHANGE(B962,"2018-12-31","2019-12-30","1")</f>
        <v>28.839590439999998</v>
      </c>
      <c r="H962" s="11">
        <f>[1]!EM_S_FA_YOY_OR(B962,E962)</f>
        <v>23.526551982000001</v>
      </c>
      <c r="I962" s="11">
        <f>[1]!EM_S_FA_GROSSPROFITMARGIN(B962,E962)</f>
        <v>20.532001409700001</v>
      </c>
      <c r="J962" s="11">
        <f>[1]!EM_S_FA_NETPROFITMARGIN(B962,E962)</f>
        <v>8.7340591767000006</v>
      </c>
      <c r="K962" s="10">
        <f>[1]!EM_S_FA_ASSETSTURN(B962,E962)</f>
        <v>0.76189858345499994</v>
      </c>
      <c r="L962" s="12">
        <f>[1]!EM_HKS_VAL_MV(B962,"2019-12-31","2")</f>
        <v>5331448358.1000004</v>
      </c>
      <c r="M962">
        <f>[1]!EM_S_VAL_PETTMDEDUCTED(B962,E962)</f>
        <v>45.856358092515002</v>
      </c>
      <c r="N962" s="7">
        <f>[1]!EM_S_VAL_PBGOODWILLDEDUCTED(B962,E962)</f>
        <v>2.2821808409734001</v>
      </c>
      <c r="O962" s="7">
        <f>[1]!EM_S_VAL_PS_TTM(B962,E962)</f>
        <v>2.5769033116789402</v>
      </c>
      <c r="P962" s="7">
        <f>[1]!EM_S_VAL_PCF_NCFTTM(B962,E962)</f>
        <v>11.307697570992801</v>
      </c>
      <c r="Q962" s="7">
        <f>[1]!EM_S_VAL_DIVIDENDYIELD2(B962,E962,"2019-11-29")</f>
        <v>0</v>
      </c>
      <c r="T962"/>
      <c r="U962">
        <f>[1]!EM_S_RATIO_EPS_TTM(B962,E962,"1")</f>
        <v>0.20433586550150781</v>
      </c>
      <c r="AT962" s="4" t="str">
        <f>[1]!EM_S_IPO_LISTEDDATE(B962)</f>
        <v>2007-01-10</v>
      </c>
    </row>
    <row r="963" spans="1:46">
      <c r="A963">
        <v>1158</v>
      </c>
      <c r="B963" t="str">
        <f>"002647"</f>
        <v>002647</v>
      </c>
      <c r="C963" t="s">
        <v>2613</v>
      </c>
      <c r="D963" t="str">
        <f>[1]!EM_S_INFO_INDEX_EM(B963,"1")</f>
        <v>互联网</v>
      </c>
      <c r="E963" s="4">
        <f t="shared" ref="E963:E1026" si="15">$B$1</f>
        <v>43465</v>
      </c>
      <c r="F963" s="11">
        <f>[1]!EM_S_PQ_PCTCHANGE(B963,"2018-01-01","2019-12-31","3")</f>
        <v>-22.71366591</v>
      </c>
      <c r="G963" s="11">
        <f>[1]!EM_S_PQ_PCTCHANGE(B963,"2018-12-31","2019-12-30","1")</f>
        <v>28.808864270000001</v>
      </c>
      <c r="H963" s="11">
        <f>[1]!EM_S_FA_YOY_OR(B963,E963)</f>
        <v>55.843841304000001</v>
      </c>
      <c r="I963" s="11">
        <f>[1]!EM_S_FA_GROSSPROFITMARGIN(B963,E963)</f>
        <v>18.778461501300001</v>
      </c>
      <c r="J963" s="11">
        <f>[1]!EM_S_FA_NETPROFITMARGIN(B963,E963)</f>
        <v>3.9530503194</v>
      </c>
      <c r="K963" s="10">
        <f>[1]!EM_S_FA_ASSETSTURN(B963,E963)</f>
        <v>0.37792110571300003</v>
      </c>
      <c r="L963" s="12">
        <f>[1]!EM_HKS_VAL_MV(B963,"2019-12-31","2")</f>
        <v>9373339521</v>
      </c>
      <c r="M963">
        <f>[1]!EM_S_VAL_PETTMDEDUCTED(B963,E963)</f>
        <v>-40.623416910545103</v>
      </c>
      <c r="N963" s="7">
        <f>[1]!EM_S_VAL_PBGOODWILLDEDUCTED(B963,E963)</f>
        <v>-270.37907224557</v>
      </c>
      <c r="O963" s="7">
        <f>[1]!EM_S_VAL_PS_TTM(B963,E963)</f>
        <v>6.0829744548620202</v>
      </c>
      <c r="P963" s="7">
        <f>[1]!EM_S_VAL_PCF_NCFTTM(B963,E963)</f>
        <v>-29.5135071833135</v>
      </c>
      <c r="Q963" s="7">
        <f>[1]!EM_S_VAL_DIVIDENDYIELD2(B963,E963,"2019-11-29")</f>
        <v>0.11757789535567313</v>
      </c>
      <c r="T963"/>
      <c r="U963">
        <f>[1]!EM_S_RATIO_EPS_TTM(B963,E963,"1")</f>
        <v>9.463025813723748E-2</v>
      </c>
      <c r="AT963" s="4" t="str">
        <f>[1]!EM_S_IPO_LISTEDDATE(B963)</f>
        <v>2011-12-28</v>
      </c>
    </row>
    <row r="964" spans="1:46">
      <c r="A964">
        <v>2800</v>
      </c>
      <c r="B964" t="str">
        <f>"600727"</f>
        <v>600727</v>
      </c>
      <c r="C964" t="s">
        <v>1268</v>
      </c>
      <c r="D964" t="str">
        <f>[1]!EM_S_INFO_INDEX_EM(B964,"1")</f>
        <v>基础化工</v>
      </c>
      <c r="E964" s="4">
        <f t="shared" si="15"/>
        <v>43465</v>
      </c>
      <c r="F964" s="11">
        <f>[1]!EM_S_PQ_PCTCHANGE(B964,"2018-01-01","2019-12-31","3")</f>
        <v>-5.2139037400000001</v>
      </c>
      <c r="G964" s="11">
        <f>[1]!EM_S_PQ_PCTCHANGE(B964,"2018-12-31","2019-12-30","1")</f>
        <v>28.779599269999999</v>
      </c>
      <c r="H964" s="11">
        <f>[1]!EM_S_FA_YOY_OR(B964,E964)</f>
        <v>8.2598031468999995</v>
      </c>
      <c r="I964" s="11">
        <f>[1]!EM_S_FA_GROSSPROFITMARGIN(B964,E964)</f>
        <v>28.396670352299999</v>
      </c>
      <c r="J964" s="11">
        <f>[1]!EM_S_FA_NETPROFITMARGIN(B964,E964)</f>
        <v>14.2980855787</v>
      </c>
      <c r="K964" s="10">
        <f>[1]!EM_S_FA_ASSETSTURN(B964,E964)</f>
        <v>0.39181869025900001</v>
      </c>
      <c r="L964" s="12">
        <f>[1]!EM_HKS_VAL_MV(B964,"2019-12-31","2")</f>
        <v>2488495043.6300001</v>
      </c>
      <c r="M964">
        <f>[1]!EM_S_VAL_PETTMDEDUCTED(B964,E964)</f>
        <v>15.128114281417499</v>
      </c>
      <c r="N964" s="7">
        <f>[1]!EM_S_VAL_PBGOODWILLDEDUCTED(B964,E964)</f>
        <v>1.7804824987202801</v>
      </c>
      <c r="O964" s="7">
        <f>[1]!EM_S_VAL_PS_TTM(B964,E964)</f>
        <v>2.7317754033522301</v>
      </c>
      <c r="P964" s="7">
        <f>[1]!EM_S_VAL_PCF_NCFTTM(B964,E964)</f>
        <v>24.244010547636002</v>
      </c>
      <c r="Q964" s="7">
        <f>[1]!EM_S_VAL_DIVIDENDYIELD2(B964,E964,"2019-11-29")</f>
        <v>0</v>
      </c>
      <c r="T964"/>
      <c r="U964">
        <f>[1]!EM_S_RATIO_EPS_TTM(B964,E964,"1")</f>
        <v>0.26802958114011455</v>
      </c>
      <c r="AT964" s="4" t="str">
        <f>[1]!EM_S_IPO_LISTEDDATE(B964)</f>
        <v>1996-07-02</v>
      </c>
    </row>
    <row r="965" spans="1:46">
      <c r="A965">
        <v>995</v>
      </c>
      <c r="B965" t="str">
        <f>"002484"</f>
        <v>002484</v>
      </c>
      <c r="C965" t="s">
        <v>2175</v>
      </c>
      <c r="D965" t="str">
        <f>[1]!EM_S_INFO_INDEX_EM(B965,"1")</f>
        <v>电子设备</v>
      </c>
      <c r="E965" s="4">
        <f t="shared" si="15"/>
        <v>43465</v>
      </c>
      <c r="F965" s="11">
        <f>[1]!EM_S_PQ_PCTCHANGE(B965,"2018-01-01","2019-12-31","3")</f>
        <v>-13.810202009999999</v>
      </c>
      <c r="G965" s="11">
        <f>[1]!EM_S_PQ_PCTCHANGE(B965,"2018-12-31","2019-12-30","1")</f>
        <v>28.733766230000001</v>
      </c>
      <c r="H965" s="11">
        <f>[1]!EM_S_FA_YOY_OR(B965,E965)</f>
        <v>17.6316995844</v>
      </c>
      <c r="I965" s="11">
        <f>[1]!EM_S_FA_GROSSPROFITMARGIN(B965,E965)</f>
        <v>26.4266726269</v>
      </c>
      <c r="J965" s="11">
        <f>[1]!EM_S_FA_NETPROFITMARGIN(B965,E965)</f>
        <v>13.150932793500001</v>
      </c>
      <c r="K965" s="10">
        <f>[1]!EM_S_FA_ASSETSTURN(B965,E965)</f>
        <v>0.496072840869</v>
      </c>
      <c r="L965" s="12">
        <f>[1]!EM_HKS_VAL_MV(B965,"2019-12-31","2")</f>
        <v>6390818657.4399996</v>
      </c>
      <c r="M965">
        <f>[1]!EM_S_VAL_PETTMDEDUCTED(B965,E965)</f>
        <v>29.069111818468201</v>
      </c>
      <c r="N965" s="7">
        <f>[1]!EM_S_VAL_PBGOODWILLDEDUCTED(B965,E965)</f>
        <v>1.6243579306572999</v>
      </c>
      <c r="O965" s="7">
        <f>[1]!EM_S_VAL_PS_TTM(B965,E965)</f>
        <v>2.6516890686104602</v>
      </c>
      <c r="P965" s="7">
        <f>[1]!EM_S_VAL_PCF_NCFTTM(B965,E965)</f>
        <v>224.90902080408799</v>
      </c>
      <c r="Q965" s="7">
        <f>[1]!EM_S_VAL_DIVIDENDYIELD2(B965,E965,"2019-11-29")</f>
        <v>1.1461318051575931</v>
      </c>
      <c r="T965"/>
      <c r="U965">
        <f>[1]!EM_S_RATIO_EPS_TTM(B965,E965,"1")</f>
        <v>0.29875076240827053</v>
      </c>
      <c r="AT965" s="4" t="str">
        <f>[1]!EM_S_IPO_LISTEDDATE(B965)</f>
        <v>2010-09-29</v>
      </c>
    </row>
    <row r="966" spans="1:46">
      <c r="A966">
        <v>1695</v>
      </c>
      <c r="B966" t="str">
        <f>"300270"</f>
        <v>300270</v>
      </c>
      <c r="C966" t="s">
        <v>858</v>
      </c>
      <c r="D966" t="str">
        <f>[1]!EM_S_INFO_INDEX_EM(B966,"1")</f>
        <v>电子设备</v>
      </c>
      <c r="E966" s="4">
        <f t="shared" si="15"/>
        <v>43465</v>
      </c>
      <c r="F966" s="11">
        <f>[1]!EM_S_PQ_PCTCHANGE(B966,"2018-01-01","2019-12-31","3")</f>
        <v>-37.405447080000002</v>
      </c>
      <c r="G966" s="11">
        <f>[1]!EM_S_PQ_PCTCHANGE(B966,"2018-12-31","2019-12-30","1")</f>
        <v>28.683385579999999</v>
      </c>
      <c r="H966" s="11">
        <f>[1]!EM_S_FA_YOY_OR(B966,E966)</f>
        <v>-24.390588093800002</v>
      </c>
      <c r="I966" s="11">
        <f>[1]!EM_S_FA_GROSSPROFITMARGIN(B966,E966)</f>
        <v>32.674792475099999</v>
      </c>
      <c r="J966" s="11">
        <f>[1]!EM_S_FA_NETPROFITMARGIN(B966,E966)</f>
        <v>-10.677835933400001</v>
      </c>
      <c r="K966" s="10">
        <f>[1]!EM_S_FA_ASSETSTURN(B966,E966)</f>
        <v>0.23615163355499999</v>
      </c>
      <c r="L966" s="12">
        <f>[1]!EM_HKS_VAL_MV(B966,"2019-12-31","2")</f>
        <v>2489065550.1599998</v>
      </c>
      <c r="M966">
        <f>[1]!EM_S_VAL_PETTMDEDUCTED(B966,E966)</f>
        <v>-269.97100734468597</v>
      </c>
      <c r="N966" s="7">
        <f>[1]!EM_S_VAL_PBGOODWILLDEDUCTED(B966,E966)</f>
        <v>1.87282905084066</v>
      </c>
      <c r="O966" s="7">
        <f>[1]!EM_S_VAL_PS_TTM(B966,E966)</f>
        <v>5.0855644596757399</v>
      </c>
      <c r="P966" s="7">
        <f>[1]!EM_S_VAL_PCF_NCFTTM(B966,E966)</f>
        <v>106.80661938541201</v>
      </c>
      <c r="Q966" s="7">
        <f>[1]!EM_S_VAL_DIVIDENDYIELD2(B966,E966,"2019-11-29")</f>
        <v>0</v>
      </c>
      <c r="T966"/>
      <c r="U966">
        <f>[1]!EM_S_RATIO_EPS_TTM(B966,E966,"1")</f>
        <v>-0.10489482702768388</v>
      </c>
      <c r="AT966" s="4" t="str">
        <f>[1]!EM_S_IPO_LISTEDDATE(B966)</f>
        <v>2011-10-12</v>
      </c>
    </row>
    <row r="967" spans="1:46">
      <c r="A967">
        <v>43</v>
      </c>
      <c r="B967" t="str">
        <f>"000045"</f>
        <v>000045</v>
      </c>
      <c r="C967" t="s">
        <v>2922</v>
      </c>
      <c r="D967" t="str">
        <f>[1]!EM_S_INFO_INDEX_EM(B967,"1")</f>
        <v>电子设备</v>
      </c>
      <c r="E967" s="4">
        <f t="shared" si="15"/>
        <v>43465</v>
      </c>
      <c r="F967" s="11">
        <f>[1]!EM_S_PQ_PCTCHANGE(B967,"2018-01-01","2019-12-31","3")</f>
        <v>-23.589743590000001</v>
      </c>
      <c r="G967" s="11">
        <f>[1]!EM_S_PQ_PCTCHANGE(B967,"2019-01-01","2019-12-31","3")</f>
        <v>28.670120900000001</v>
      </c>
      <c r="H967" s="11">
        <f>[1]!EM_S_FA_YOY_OR(B967,E967)</f>
        <v>-13.7704271487</v>
      </c>
      <c r="I967" s="11">
        <f>[1]!EM_S_FA_GROSSPROFITMARGIN(B967,E967)</f>
        <v>10.2256292889</v>
      </c>
      <c r="J967" s="11">
        <f>[1]!EM_S_FA_NETPROFITMARGIN(B967,E967)</f>
        <v>-4.8966381743999996</v>
      </c>
      <c r="K967" s="10">
        <f>[1]!EM_S_FA_ASSETSTURN(B967,E967)</f>
        <v>0.28868156535400002</v>
      </c>
      <c r="L967" s="12">
        <f>[1]!EM_HKS_VAL_MV(B967,"2019-12-31","2")</f>
        <v>3794571296.0500002</v>
      </c>
      <c r="M967">
        <f>[1]!EM_S_VAL_PETTMDEDUCTED(B967,E967)</f>
        <v>-137.88001106383399</v>
      </c>
      <c r="N967" s="7">
        <f>[1]!EM_S_VAL_PBGOODWILLDEDUCTED(B967,E967)</f>
        <v>1.2473096168097599</v>
      </c>
      <c r="O967" s="7">
        <f>[1]!EM_S_VAL_PS_TTM(B967,E967)</f>
        <v>2.0045694703973198</v>
      </c>
      <c r="P967" s="7">
        <f>[1]!EM_S_VAL_PCF_NCFTTM(B967,E967)</f>
        <v>9.0712699175235407</v>
      </c>
      <c r="Q967" s="7">
        <f>[1]!EM_S_VAL_DIVIDENDYIELD2(B967,E967,"2019-11-29")</f>
        <v>0</v>
      </c>
      <c r="T967"/>
      <c r="U967">
        <f>[1]!EM_S_RATIO_EPS_TTM(B967,E967,"1")</f>
        <v>-4.4947754497167036E-2</v>
      </c>
      <c r="AT967" s="4" t="str">
        <f>[1]!EM_S_IPO_LISTEDDATE(B967)</f>
        <v>1994-08-15</v>
      </c>
    </row>
    <row r="968" spans="1:46">
      <c r="A968">
        <v>718</v>
      </c>
      <c r="B968" t="str">
        <f>"002207"</f>
        <v>002207</v>
      </c>
      <c r="C968" t="s">
        <v>80</v>
      </c>
      <c r="D968" t="str">
        <f>[1]!EM_S_INFO_INDEX_EM(B968,"1")</f>
        <v>化石能源</v>
      </c>
      <c r="E968" s="4">
        <f t="shared" si="15"/>
        <v>43465</v>
      </c>
      <c r="F968" s="11">
        <f>[1]!EM_S_PQ_PCTCHANGE(B968,"2018-01-01","2019-12-31","3")</f>
        <v>-36.393805309999998</v>
      </c>
      <c r="G968" s="11">
        <f>[1]!EM_S_PQ_PCTCHANGE(B968,"2018-12-31","2019-12-30","1")</f>
        <v>28.635346760000001</v>
      </c>
      <c r="H968" s="11">
        <f>[1]!EM_S_FA_YOY_OR(B968,E968)</f>
        <v>26.170315668899999</v>
      </c>
      <c r="I968" s="11">
        <f>[1]!EM_S_FA_GROSSPROFITMARGIN(B968,E968)</f>
        <v>6.4709202819999998</v>
      </c>
      <c r="J968" s="11">
        <f>[1]!EM_S_FA_NETPROFITMARGIN(B968,E968)</f>
        <v>-130.60445092449999</v>
      </c>
      <c r="K968" s="10">
        <f>[1]!EM_S_FA_ASSETSTURN(B968,E968)</f>
        <v>0.45168701149099999</v>
      </c>
      <c r="L968" s="12">
        <f>[1]!EM_HKS_VAL_MV(B968,"2019-12-31","2")</f>
        <v>1375269923.5</v>
      </c>
      <c r="M968">
        <f>[1]!EM_S_VAL_PETTMDEDUCTED(B968,E968)</f>
        <v>-12.2109139570296</v>
      </c>
      <c r="N968" s="7">
        <f>[1]!EM_S_VAL_PBGOODWILLDEDUCTED(B968,E968)</f>
        <v>56.2363636264365</v>
      </c>
      <c r="O968" s="7">
        <f>[1]!EM_S_VAL_PS_TTM(B968,E968)</f>
        <v>4.38397998405115</v>
      </c>
      <c r="P968" s="7">
        <f>[1]!EM_S_VAL_PCF_NCFTTM(B968,E968)</f>
        <v>2022.8371547822101</v>
      </c>
      <c r="Q968" s="7">
        <f>[1]!EM_S_VAL_DIVIDENDYIELD2(B968,E968,"2019-11-29")</f>
        <v>0</v>
      </c>
      <c r="T968"/>
      <c r="U968">
        <f>[1]!EM_S_RATIO_EPS_TTM(B968,E968,"1")</f>
        <v>-1.421993780281344</v>
      </c>
      <c r="AT968" s="4" t="str">
        <f>[1]!EM_S_IPO_LISTEDDATE(B968)</f>
        <v>2008-01-28</v>
      </c>
    </row>
    <row r="969" spans="1:46">
      <c r="A969">
        <v>445</v>
      </c>
      <c r="B969" t="str">
        <f>"000920"</f>
        <v>000920</v>
      </c>
      <c r="C969" t="s">
        <v>1965</v>
      </c>
      <c r="D969" t="str">
        <f>[1]!EM_S_INFO_INDEX_EM(B969,"1")</f>
        <v>基础化工</v>
      </c>
      <c r="E969" s="4">
        <f t="shared" si="15"/>
        <v>43465</v>
      </c>
      <c r="F969" s="11">
        <f>[1]!EM_S_PQ_PCTCHANGE(B969,"2018-01-01","2019-12-31","3")</f>
        <v>-30.260473699999999</v>
      </c>
      <c r="G969" s="11">
        <f>[1]!EM_S_PQ_PCTCHANGE(B969,"2018-12-31","2019-12-30","1")</f>
        <v>28.571428569999998</v>
      </c>
      <c r="H969" s="11">
        <f>[1]!EM_S_FA_YOY_OR(B969,E969)</f>
        <v>2.0569584587</v>
      </c>
      <c r="I969" s="11">
        <f>[1]!EM_S_FA_GROSSPROFITMARGIN(B969,E969)</f>
        <v>40.143359869900003</v>
      </c>
      <c r="J969" s="11">
        <f>[1]!EM_S_FA_NETPROFITMARGIN(B969,E969)</f>
        <v>9.4493737446000008</v>
      </c>
      <c r="K969" s="10">
        <f>[1]!EM_S_FA_ASSETSTURN(B969,E969)</f>
        <v>0.576378864213</v>
      </c>
      <c r="L969" s="12">
        <f>[1]!EM_HKS_VAL_MV(B969,"2019-12-31","2")</f>
        <v>2802080000</v>
      </c>
      <c r="M969">
        <f>[1]!EM_S_VAL_PETTMDEDUCTED(B969,E969)</f>
        <v>26.4417227106523</v>
      </c>
      <c r="N969" s="7">
        <f>[1]!EM_S_VAL_PBGOODWILLDEDUCTED(B969,E969)</f>
        <v>2.5427575386421202</v>
      </c>
      <c r="O969" s="7">
        <f>[1]!EM_S_VAL_PS_TTM(B969,E969)</f>
        <v>2.1290732358753699</v>
      </c>
      <c r="P969" s="7">
        <f>[1]!EM_S_VAL_PCF_NCFTTM(B969,E969)</f>
        <v>34.768791831983997</v>
      </c>
      <c r="Q969" s="7">
        <f>[1]!EM_S_VAL_DIVIDENDYIELD2(B969,E969,"2019-11-29")</f>
        <v>0.46511627906976744</v>
      </c>
      <c r="T969"/>
      <c r="U969">
        <f>[1]!EM_S_RATIO_EPS_TTM(B969,E969,"1")</f>
        <v>0.20860350675355449</v>
      </c>
      <c r="AT969" s="4" t="str">
        <f>[1]!EM_S_IPO_LISTEDDATE(B969)</f>
        <v>1999-06-16</v>
      </c>
    </row>
    <row r="970" spans="1:46">
      <c r="A970">
        <v>1643</v>
      </c>
      <c r="B970" t="str">
        <f>"300218"</f>
        <v>300218</v>
      </c>
      <c r="C970" t="s">
        <v>3364</v>
      </c>
      <c r="D970" t="str">
        <f>[1]!EM_S_INFO_INDEX_EM(B970,"1")</f>
        <v>基础化工</v>
      </c>
      <c r="E970" s="4">
        <f t="shared" si="15"/>
        <v>43465</v>
      </c>
      <c r="F970" s="11">
        <f>[1]!EM_S_PQ_PCTCHANGE(B970,"2018-01-01","2019-12-31","3")</f>
        <v>-9.92633133</v>
      </c>
      <c r="G970" s="11">
        <f>[1]!EM_S_PQ_PCTCHANGE(B970,"2018-12-31","2019-12-30","1")</f>
        <v>28.571428569999998</v>
      </c>
      <c r="H970" s="11">
        <f>[1]!EM_S_FA_YOY_OR(B970,E970)</f>
        <v>12.4902575647</v>
      </c>
      <c r="I970" s="11">
        <f>[1]!EM_S_FA_GROSSPROFITMARGIN(B970,E970)</f>
        <v>18.027494495700001</v>
      </c>
      <c r="J970" s="11">
        <f>[1]!EM_S_FA_NETPROFITMARGIN(B970,E970)</f>
        <v>1.2896584824999999</v>
      </c>
      <c r="K970" s="10">
        <f>[1]!EM_S_FA_ASSETSTURN(B970,E970)</f>
        <v>0.83185402710400003</v>
      </c>
      <c r="L970" s="12">
        <f>[1]!EM_HKS_VAL_MV(B970,"2019-12-31","2")</f>
        <v>1722876780</v>
      </c>
      <c r="M970">
        <f>[1]!EM_S_VAL_PETTMDEDUCTED(B970,E970)</f>
        <v>-107.937450740321</v>
      </c>
      <c r="N970" s="7">
        <f>[1]!EM_S_VAL_PBGOODWILLDEDUCTED(B970,E970)</f>
        <v>1.32720103024659</v>
      </c>
      <c r="O970" s="7">
        <f>[1]!EM_S_VAL_PS_TTM(B970,E970)</f>
        <v>0.80859567635282703</v>
      </c>
      <c r="P970" s="7">
        <f>[1]!EM_S_VAL_PCF_NCFTTM(B970,E970)</f>
        <v>-17.2286095711653</v>
      </c>
      <c r="Q970" s="7">
        <f>[1]!EM_S_VAL_DIVIDENDYIELD2(B970,E970,"2019-11-29")</f>
        <v>1.0699001426533523</v>
      </c>
      <c r="T970"/>
      <c r="U970">
        <f>[1]!EM_S_RATIO_EPS_TTM(B970,E970,"1")</f>
        <v>0.106188867720186</v>
      </c>
      <c r="AT970" s="4" t="str">
        <f>[1]!EM_S_IPO_LISTEDDATE(B970)</f>
        <v>2011-05-18</v>
      </c>
    </row>
    <row r="971" spans="1:46">
      <c r="A971">
        <v>1852</v>
      </c>
      <c r="B971" t="str">
        <f>"300427"</f>
        <v>300427</v>
      </c>
      <c r="C971" t="s">
        <v>761</v>
      </c>
      <c r="D971" t="str">
        <f>[1]!EM_S_INFO_INDEX_EM(B971,"1")</f>
        <v>电气设备</v>
      </c>
      <c r="E971" s="4">
        <f t="shared" si="15"/>
        <v>43465</v>
      </c>
      <c r="F971" s="11">
        <f>[1]!EM_S_PQ_PCTCHANGE(B971,"2018-01-01","2019-12-31","3")</f>
        <v>-2.26640014</v>
      </c>
      <c r="G971" s="11">
        <f>[1]!EM_S_PQ_PCTCHANGE(B971,"2018-12-31","2019-12-30","1")</f>
        <v>28.532608700000001</v>
      </c>
      <c r="H971" s="11">
        <f>[1]!EM_S_FA_YOY_OR(B971,E971)</f>
        <v>76.308841125100003</v>
      </c>
      <c r="I971" s="11">
        <f>[1]!EM_S_FA_GROSSPROFITMARGIN(B971,E971)</f>
        <v>44.543703214300002</v>
      </c>
      <c r="J971" s="11">
        <f>[1]!EM_S_FA_NETPROFITMARGIN(B971,E971)</f>
        <v>19.8362963567</v>
      </c>
      <c r="K971" s="10">
        <f>[1]!EM_S_FA_ASSETSTURN(B971,E971)</f>
        <v>0.38302464397899999</v>
      </c>
      <c r="L971" s="12">
        <f>[1]!EM_HKS_VAL_MV(B971,"2019-12-31","2")</f>
        <v>5045437816.3199997</v>
      </c>
      <c r="M971">
        <f>[1]!EM_S_VAL_PETTMDEDUCTED(B971,E971)</f>
        <v>15.360042101783099</v>
      </c>
      <c r="N971" s="7">
        <f>[1]!EM_S_VAL_PBGOODWILLDEDUCTED(B971,E971)</f>
        <v>3.8667564673575598</v>
      </c>
      <c r="O971" s="7">
        <f>[1]!EM_S_VAL_PS_TTM(B971,E971)</f>
        <v>2.8194883636717099</v>
      </c>
      <c r="P971" s="7">
        <f>[1]!EM_S_VAL_PCF_NCFTTM(B971,E971)</f>
        <v>-8.1819903763532604</v>
      </c>
      <c r="Q971" s="7">
        <f>[1]!EM_S_VAL_DIVIDENDYIELD2(B971,E971,"2019-11-29")</f>
        <v>1.0696517412935325</v>
      </c>
      <c r="T971"/>
      <c r="U971">
        <f>[1]!EM_S_RATIO_EPS_TTM(B971,E971,"1")</f>
        <v>0.65061472371797846</v>
      </c>
      <c r="AT971" s="4" t="str">
        <f>[1]!EM_S_IPO_LISTEDDATE(B971)</f>
        <v>2015-02-17</v>
      </c>
    </row>
    <row r="972" spans="1:46">
      <c r="A972">
        <v>2584</v>
      </c>
      <c r="B972" t="str">
        <f>"600501"</f>
        <v>600501</v>
      </c>
      <c r="C972" t="s">
        <v>3049</v>
      </c>
      <c r="D972" t="str">
        <f>[1]!EM_S_INFO_INDEX_EM(B972,"1")</f>
        <v>机械设备</v>
      </c>
      <c r="E972" s="4">
        <f t="shared" si="15"/>
        <v>43465</v>
      </c>
      <c r="F972" s="11">
        <f>[1]!EM_S_PQ_PCTCHANGE(B972,"2018-01-01","2019-12-31","3")</f>
        <v>-36.036036039999999</v>
      </c>
      <c r="G972" s="11">
        <f>[1]!EM_S_PQ_PCTCHANGE(B972,"2018-12-31","2019-12-30","1")</f>
        <v>28.50082372</v>
      </c>
      <c r="H972" s="11">
        <f>[1]!EM_S_FA_YOY_OR(B972,E972)</f>
        <v>-0.14322033419999999</v>
      </c>
      <c r="I972" s="11">
        <f>[1]!EM_S_FA_GROSSPROFITMARGIN(B972,E972)</f>
        <v>21.440014797</v>
      </c>
      <c r="J972" s="11">
        <f>[1]!EM_S_FA_NETPROFITMARGIN(B972,E972)</f>
        <v>-5.4902605886</v>
      </c>
      <c r="K972" s="10">
        <f>[1]!EM_S_FA_ASSETSTURN(B972,E972)</f>
        <v>0.57023192093700004</v>
      </c>
      <c r="L972" s="12">
        <f>[1]!EM_HKS_VAL_MV(B972,"2019-12-31","2")</f>
        <v>3290224916</v>
      </c>
      <c r="M972">
        <f>[1]!EM_S_VAL_PETTMDEDUCTED(B972,E972)</f>
        <v>-25.554731270812599</v>
      </c>
      <c r="N972" s="7">
        <f>[1]!EM_S_VAL_PBGOODWILLDEDUCTED(B972,E972)</f>
        <v>1.25111414873661</v>
      </c>
      <c r="O972" s="7">
        <f>[1]!EM_S_VAL_PS_TTM(B972,E972)</f>
        <v>0.95717293481993904</v>
      </c>
      <c r="P972" s="7">
        <f>[1]!EM_S_VAL_PCF_NCFTTM(B972,E972)</f>
        <v>22.838119728370302</v>
      </c>
      <c r="Q972" s="7">
        <f>[1]!EM_S_VAL_DIVIDENDYIELD2(B972,E972,"2019-11-29")</f>
        <v>0</v>
      </c>
      <c r="T972"/>
      <c r="U972">
        <f>[1]!EM_S_RATIO_EPS_TTM(B972,E972,"1")</f>
        <v>-0.39115624275428718</v>
      </c>
      <c r="AT972" s="4" t="str">
        <f>[1]!EM_S_IPO_LISTEDDATE(B972)</f>
        <v>2001-06-15</v>
      </c>
    </row>
    <row r="973" spans="1:46">
      <c r="A973">
        <v>3015</v>
      </c>
      <c r="B973" t="str">
        <f>"600993"</f>
        <v>600993</v>
      </c>
      <c r="C973" t="s">
        <v>776</v>
      </c>
      <c r="D973" t="str">
        <f>[1]!EM_S_INFO_INDEX_EM(B973,"1")</f>
        <v>医药生物</v>
      </c>
      <c r="E973" s="4">
        <f t="shared" si="15"/>
        <v>43465</v>
      </c>
      <c r="F973" s="11">
        <f>[1]!EM_S_PQ_PCTCHANGE(B973,"2018-01-01","2019-12-31","3")</f>
        <v>-12.564295019999999</v>
      </c>
      <c r="G973" s="11">
        <f>[1]!EM_S_PQ_PCTCHANGE(B973,"2018-12-31","2019-12-30","1")</f>
        <v>28.390461999999999</v>
      </c>
      <c r="H973" s="11">
        <f>[1]!EM_S_FA_YOY_OR(B973,E973)</f>
        <v>25.529363745600001</v>
      </c>
      <c r="I973" s="11">
        <f>[1]!EM_S_FA_GROSSPROFITMARGIN(B973,E973)</f>
        <v>45.098156272700002</v>
      </c>
      <c r="J973" s="11">
        <f>[1]!EM_S_FA_NETPROFITMARGIN(B973,E973)</f>
        <v>7.4883993622</v>
      </c>
      <c r="K973" s="10">
        <f>[1]!EM_S_FA_ASSETSTURN(B973,E973)</f>
        <v>0.77370310359100003</v>
      </c>
      <c r="L973" s="12">
        <f>[1]!EM_HKS_VAL_MV(B973,"2019-12-31","2")</f>
        <v>7539132553.5900002</v>
      </c>
      <c r="M973">
        <f>[1]!EM_S_VAL_PETTMDEDUCTED(B973,E973)</f>
        <v>20.844302095018399</v>
      </c>
      <c r="N973" s="7">
        <f>[1]!EM_S_VAL_PBGOODWILLDEDUCTED(B973,E973)</f>
        <v>2.5642848569212102</v>
      </c>
      <c r="O973" s="7">
        <f>[1]!EM_S_VAL_PS_TTM(B973,E973)</f>
        <v>2.68809741928948</v>
      </c>
      <c r="P973" s="7">
        <f>[1]!EM_S_VAL_PCF_NCFTTM(B973,E973)</f>
        <v>18.391105692723201</v>
      </c>
      <c r="Q973" s="7">
        <f>[1]!EM_S_VAL_DIVIDENDYIELD2(B973,E973,"2019-11-29")</f>
        <v>0.87565674255691772</v>
      </c>
      <c r="T973"/>
      <c r="U973">
        <f>[1]!EM_S_RATIO_EPS_TTM(B973,E973,"1")</f>
        <v>0.40878398348572148</v>
      </c>
      <c r="AT973" s="4" t="str">
        <f>[1]!EM_S_IPO_LISTEDDATE(B973)</f>
        <v>2004-05-17</v>
      </c>
    </row>
    <row r="974" spans="1:46">
      <c r="A974">
        <v>246</v>
      </c>
      <c r="B974" t="str">
        <f>"000657"</f>
        <v>000657</v>
      </c>
      <c r="C974" t="s">
        <v>1493</v>
      </c>
      <c r="D974" t="str">
        <f>[1]!EM_S_INFO_INDEX_EM(B974,"1")</f>
        <v>有色金属</v>
      </c>
      <c r="E974" s="4">
        <f t="shared" si="15"/>
        <v>43465</v>
      </c>
      <c r="F974" s="11">
        <f>[1]!EM_S_PQ_PCTCHANGE(B974,"2018-01-01","2019-12-31","3")</f>
        <v>-22.80098147</v>
      </c>
      <c r="G974" s="11">
        <f>[1]!EM_S_PQ_PCTCHANGE(B974,"2018-12-31","2019-12-30","1")</f>
        <v>28.383458650000001</v>
      </c>
      <c r="H974" s="11">
        <f>[1]!EM_S_FA_YOY_OR(B974,E974)</f>
        <v>21.868707237999999</v>
      </c>
      <c r="I974" s="11">
        <f>[1]!EM_S_FA_GROSSPROFITMARGIN(B974,E974)</f>
        <v>19.199816797299999</v>
      </c>
      <c r="J974" s="11">
        <f>[1]!EM_S_FA_NETPROFITMARGIN(B974,E974)</f>
        <v>2.4857181903000001</v>
      </c>
      <c r="K974" s="10">
        <f>[1]!EM_S_FA_ASSETSTURN(B974,E974)</f>
        <v>1.117250810074</v>
      </c>
      <c r="L974" s="12">
        <f>[1]!EM_HKS_VAL_MV(B974,"2019-12-31","2")</f>
        <v>6028798223.6499996</v>
      </c>
      <c r="M974">
        <f>[1]!EM_S_VAL_PETTMDEDUCTED(B974,E974)</f>
        <v>68.645462512924198</v>
      </c>
      <c r="N974" s="7">
        <f>[1]!EM_S_VAL_PBGOODWILLDEDUCTED(B974,E974)</f>
        <v>1.47157401284898</v>
      </c>
      <c r="O974" s="7">
        <f>[1]!EM_S_VAL_PS_TTM(B974,E974)</f>
        <v>0.61445297075197303</v>
      </c>
      <c r="P974" s="7">
        <f>[1]!EM_S_VAL_PCF_NCFTTM(B974,E974)</f>
        <v>-428.94180308722002</v>
      </c>
      <c r="Q974" s="7">
        <f>[1]!EM_S_VAL_DIVIDENDYIELD2(B974,E974,"2019-11-29")</f>
        <v>0</v>
      </c>
      <c r="T974"/>
      <c r="U974">
        <f>[1]!EM_S_RATIO_EPS_TTM(B974,E974,"1")</f>
        <v>0.15435816939418032</v>
      </c>
      <c r="AT974" s="4" t="str">
        <f>[1]!EM_S_IPO_LISTEDDATE(B974)</f>
        <v>1996-12-05</v>
      </c>
    </row>
    <row r="975" spans="1:46">
      <c r="A975">
        <v>1733</v>
      </c>
      <c r="B975" t="str">
        <f>"300308"</f>
        <v>300308</v>
      </c>
      <c r="C975" t="s">
        <v>586</v>
      </c>
      <c r="D975" t="str">
        <f>[1]!EM_S_INFO_INDEX_EM(B975,"1")</f>
        <v>信息技术</v>
      </c>
      <c r="E975" s="4">
        <f t="shared" si="15"/>
        <v>43465</v>
      </c>
      <c r="F975" s="11">
        <f>[1]!EM_S_PQ_PCTCHANGE(B975,"2018-01-01","2019-12-31","3")</f>
        <v>25.266545000000001</v>
      </c>
      <c r="G975" s="11">
        <f>[1]!EM_S_PQ_PCTCHANGE(B975,"2018-12-31","2019-12-30","1")</f>
        <v>28.287048410000001</v>
      </c>
      <c r="H975" s="11">
        <f>[1]!EM_S_FA_YOY_OR(B975,E975)</f>
        <v>118.7582368193</v>
      </c>
      <c r="I975" s="11">
        <f>[1]!EM_S_FA_GROSSPROFITMARGIN(B975,E975)</f>
        <v>27.274231608600001</v>
      </c>
      <c r="J975" s="11">
        <f>[1]!EM_S_FA_NETPROFITMARGIN(B975,E975)</f>
        <v>12.0845229957</v>
      </c>
      <c r="K975" s="10">
        <f>[1]!EM_S_FA_ASSETSTURN(B975,E975)</f>
        <v>0.64899202598700001</v>
      </c>
      <c r="L975" s="12">
        <f>[1]!EM_HKS_VAL_MV(B975,"2019-12-31","2")</f>
        <v>37222968919.150002</v>
      </c>
      <c r="M975">
        <f>[1]!EM_S_VAL_PETTMDEDUCTED(B975,E975)</f>
        <v>30.5003466804217</v>
      </c>
      <c r="N975" s="7">
        <f>[1]!EM_S_VAL_PBGOODWILLDEDUCTED(B975,E975)</f>
        <v>6.3228910603542898</v>
      </c>
      <c r="O975" s="7">
        <f>[1]!EM_S_VAL_PS_TTM(B975,E975)</f>
        <v>3.5691433907828101</v>
      </c>
      <c r="P975" s="7">
        <f>[1]!EM_S_VAL_PCF_NCFTTM(B975,E975)</f>
        <v>402.645740082705</v>
      </c>
      <c r="Q975" s="7">
        <f>[1]!EM_S_VAL_DIVIDENDYIELD2(B975,E975,"2019-11-29")</f>
        <v>0.19967532484317374</v>
      </c>
      <c r="T975"/>
      <c r="U975">
        <f>[1]!EM_S_RATIO_EPS_TTM(B975,E975,"1")</f>
        <v>1.3105655082693426</v>
      </c>
      <c r="AT975" s="4" t="str">
        <f>[1]!EM_S_IPO_LISTEDDATE(B975)</f>
        <v>2012-04-10</v>
      </c>
    </row>
    <row r="976" spans="1:46">
      <c r="A976">
        <v>927</v>
      </c>
      <c r="B976" t="str">
        <f>"002416"</f>
        <v>002416</v>
      </c>
      <c r="C976" t="s">
        <v>1608</v>
      </c>
      <c r="D976" t="str">
        <f>[1]!EM_S_INFO_INDEX_EM(B976,"1")</f>
        <v>商贸零售</v>
      </c>
      <c r="E976" s="4">
        <f t="shared" si="15"/>
        <v>43465</v>
      </c>
      <c r="F976" s="11">
        <f>[1]!EM_S_PQ_PCTCHANGE(B976,"2018-01-01","2019-12-31","3")</f>
        <v>2.58574284</v>
      </c>
      <c r="G976" s="11">
        <f>[1]!EM_S_PQ_PCTCHANGE(B976,"2018-12-31","2019-12-30","1")</f>
        <v>28.23129252</v>
      </c>
      <c r="H976" s="11">
        <f>[1]!EM_S_FA_YOY_OR(B976,E976)</f>
        <v>0.2605030914</v>
      </c>
      <c r="I976" s="11">
        <f>[1]!EM_S_FA_GROSSPROFITMARGIN(B976,E976)</f>
        <v>2.6244947268000001</v>
      </c>
      <c r="J976" s="11">
        <f>[1]!EM_S_FA_NETPROFITMARGIN(B976,E976)</f>
        <v>-0.1230377101</v>
      </c>
      <c r="K976" s="10">
        <f>[1]!EM_S_FA_ASSETSTURN(B976,E976)</f>
        <v>5.0143619473419996</v>
      </c>
      <c r="L976" s="12">
        <f>[1]!EM_HKS_VAL_MV(B976,"2019-12-31","2")</f>
        <v>9430934543.6599998</v>
      </c>
      <c r="M976">
        <f>[1]!EM_S_VAL_PETTMDEDUCTED(B976,E976)</f>
        <v>29.658697468072798</v>
      </c>
      <c r="N976" s="7">
        <f>[1]!EM_S_VAL_PBGOODWILLDEDUCTED(B976,E976)</f>
        <v>1.48165462220142</v>
      </c>
      <c r="O976" s="7">
        <f>[1]!EM_S_VAL_PS_TTM(B976,E976)</f>
        <v>0.12079114969458001</v>
      </c>
      <c r="P976" s="7">
        <f>[1]!EM_S_VAL_PCF_NCFTTM(B976,E976)</f>
        <v>4.3474462778538197</v>
      </c>
      <c r="Q976" s="7">
        <f>[1]!EM_S_VAL_DIVIDENDYIELD2(B976,E976,"2019-11-29")</f>
        <v>3.3167495854063018</v>
      </c>
      <c r="T976"/>
      <c r="U976">
        <f>[1]!EM_S_RATIO_EPS_TTM(B976,E976,"1")</f>
        <v>-7.4817593981525779E-2</v>
      </c>
      <c r="AT976" s="4" t="str">
        <f>[1]!EM_S_IPO_LISTEDDATE(B976)</f>
        <v>2010-05-28</v>
      </c>
    </row>
    <row r="977" spans="1:46">
      <c r="A977">
        <v>2107</v>
      </c>
      <c r="B977" t="str">
        <f>"300689"</f>
        <v>300689</v>
      </c>
      <c r="C977" t="s">
        <v>1519</v>
      </c>
      <c r="D977" t="str">
        <f>[1]!EM_S_INFO_INDEX_EM(B977,"1")</f>
        <v>信息技术</v>
      </c>
      <c r="E977" s="4">
        <f t="shared" si="15"/>
        <v>43465</v>
      </c>
      <c r="F977" s="11">
        <f>[1]!EM_S_PQ_PCTCHANGE(B977,"2018-01-01","2019-12-31","3")</f>
        <v>-5.3663971200000002</v>
      </c>
      <c r="G977" s="11">
        <f>[1]!EM_S_PQ_PCTCHANGE(B977,"2018-12-31","2019-12-30","1")</f>
        <v>28.20919176</v>
      </c>
      <c r="H977" s="11">
        <f>[1]!EM_S_FA_YOY_OR(B977,E977)</f>
        <v>20.530926057999999</v>
      </c>
      <c r="I977" s="11">
        <f>[1]!EM_S_FA_GROSSPROFITMARGIN(B977,E977)</f>
        <v>29.799214824700002</v>
      </c>
      <c r="J977" s="11">
        <f>[1]!EM_S_FA_NETPROFITMARGIN(B977,E977)</f>
        <v>15.436118035</v>
      </c>
      <c r="K977" s="10">
        <f>[1]!EM_S_FA_ASSETSTURN(B977,E977)</f>
        <v>0.56384906424500003</v>
      </c>
      <c r="L977" s="12">
        <f>[1]!EM_HKS_VAL_MV(B977,"2019-12-31","2")</f>
        <v>2781880000</v>
      </c>
      <c r="M977">
        <f>[1]!EM_S_VAL_PETTMDEDUCTED(B977,E977)</f>
        <v>49.068495631571203</v>
      </c>
      <c r="N977" s="7">
        <f>[1]!EM_S_VAL_PBGOODWILLDEDUCTED(B977,E977)</f>
        <v>3.7511739660554699</v>
      </c>
      <c r="O977" s="7">
        <f>[1]!EM_S_VAL_PS_TTM(B977,E977)</f>
        <v>6.6734788556290399</v>
      </c>
      <c r="P977" s="7">
        <f>[1]!EM_S_VAL_PCF_NCFTTM(B977,E977)</f>
        <v>75.525889321368794</v>
      </c>
      <c r="Q977" s="7">
        <f>[1]!EM_S_VAL_DIVIDENDYIELD2(B977,E977,"2019-11-29")</f>
        <v>0.4230710074339914</v>
      </c>
      <c r="T977"/>
      <c r="U977">
        <f>[1]!EM_S_RATIO_EPS_TTM(B977,E977,"1")</f>
        <v>0.80614558867647057</v>
      </c>
      <c r="AT977" s="4" t="str">
        <f>[1]!EM_S_IPO_LISTEDDATE(B977)</f>
        <v>2017-08-09</v>
      </c>
    </row>
    <row r="978" spans="1:46">
      <c r="A978">
        <v>1928</v>
      </c>
      <c r="B978" t="str">
        <f>"300503"</f>
        <v>300503</v>
      </c>
      <c r="C978" t="s">
        <v>1459</v>
      </c>
      <c r="D978" t="str">
        <f>[1]!EM_S_INFO_INDEX_EM(B978,"1")</f>
        <v>机械设备</v>
      </c>
      <c r="E978" s="4">
        <f t="shared" si="15"/>
        <v>43465</v>
      </c>
      <c r="F978" s="11">
        <f>[1]!EM_S_PQ_PCTCHANGE(B978,"2018-01-01","2019-12-31","3")</f>
        <v>-8.9801852100000001</v>
      </c>
      <c r="G978" s="11">
        <f>[1]!EM_S_PQ_PCTCHANGE(B978,"2018-12-31","2019-12-30","1")</f>
        <v>28.202247190000001</v>
      </c>
      <c r="H978" s="11">
        <f>[1]!EM_S_FA_YOY_OR(B978,E978)</f>
        <v>3.5673396443000001</v>
      </c>
      <c r="I978" s="11">
        <f>[1]!EM_S_FA_GROSSPROFITMARGIN(B978,E978)</f>
        <v>50.2170856933</v>
      </c>
      <c r="J978" s="11">
        <f>[1]!EM_S_FA_NETPROFITMARGIN(B978,E978)</f>
        <v>12.2071934678</v>
      </c>
      <c r="K978" s="10">
        <f>[1]!EM_S_FA_ASSETSTURN(B978,E978)</f>
        <v>0.350459652738</v>
      </c>
      <c r="L978" s="12">
        <f>[1]!EM_HKS_VAL_MV(B978,"2019-12-31","2")</f>
        <v>3342551577.5300002</v>
      </c>
      <c r="M978">
        <f>[1]!EM_S_VAL_PETTMDEDUCTED(B978,E978)</f>
        <v>38.043403513732599</v>
      </c>
      <c r="N978" s="7">
        <f>[1]!EM_S_VAL_PBGOODWILLDEDUCTED(B978,E978)</f>
        <v>2.88927887584479</v>
      </c>
      <c r="O978" s="7">
        <f>[1]!EM_S_VAL_PS_TTM(B978,E978)</f>
        <v>4.8934521586098398</v>
      </c>
      <c r="P978" s="7">
        <f>[1]!EM_S_VAL_PCF_NCFTTM(B978,E978)</f>
        <v>-83.786182707903293</v>
      </c>
      <c r="Q978" s="7">
        <f>[1]!EM_S_VAL_DIVIDENDYIELD2(B978,E978,"2019-11-29")</f>
        <v>0.35259549461312434</v>
      </c>
      <c r="T978"/>
      <c r="U978">
        <f>[1]!EM_S_RATIO_EPS_TTM(B978,E978,"1")</f>
        <v>0.20206290824255702</v>
      </c>
      <c r="AT978" s="4" t="str">
        <f>[1]!EM_S_IPO_LISTEDDATE(B978)</f>
        <v>2016-03-09</v>
      </c>
    </row>
    <row r="979" spans="1:46">
      <c r="A979">
        <v>2206</v>
      </c>
      <c r="B979" t="str">
        <f>"600059"</f>
        <v>600059</v>
      </c>
      <c r="C979" t="s">
        <v>1370</v>
      </c>
      <c r="D979" t="str">
        <f>[1]!EM_S_INFO_INDEX_EM(B979,"1")</f>
        <v>食品饮料</v>
      </c>
      <c r="E979" s="4">
        <f t="shared" si="15"/>
        <v>43465</v>
      </c>
      <c r="F979" s="11">
        <f>[1]!EM_S_PQ_PCTCHANGE(B979,"2018-01-01","2019-12-31","3")</f>
        <v>-7.3194540799999999</v>
      </c>
      <c r="G979" s="11">
        <f>[1]!EM_S_PQ_PCTCHANGE(B979,"2018-12-31","2019-12-30","1")</f>
        <v>28.18181818</v>
      </c>
      <c r="H979" s="11">
        <f>[1]!EM_S_FA_YOY_OR(B979,E979)</f>
        <v>4.8695066485999998</v>
      </c>
      <c r="I979" s="11">
        <f>[1]!EM_S_FA_GROSSPROFITMARGIN(B979,E979)</f>
        <v>37.969692382700003</v>
      </c>
      <c r="J979" s="11">
        <f>[1]!EM_S_FA_NETPROFITMARGIN(B979,E979)</f>
        <v>10.046604242400001</v>
      </c>
      <c r="K979" s="10">
        <f>[1]!EM_S_FA_ASSETSTURN(B979,E979)</f>
        <v>0.36357598530500002</v>
      </c>
      <c r="L979" s="12">
        <f>[1]!EM_HKS_VAL_MV(B979,"2019-12-31","2")</f>
        <v>6880540644.1499996</v>
      </c>
      <c r="M979">
        <f>[1]!EM_S_VAL_PETTMDEDUCTED(B979,E979)</f>
        <v>36.3092731992339</v>
      </c>
      <c r="N979" s="7">
        <f>[1]!EM_S_VAL_PBGOODWILLDEDUCTED(B979,E979)</f>
        <v>1.3182885284079</v>
      </c>
      <c r="O979" s="7">
        <f>[1]!EM_S_VAL_PS_TTM(B979,E979)</f>
        <v>3.0929144524005001</v>
      </c>
      <c r="P979" s="7">
        <f>[1]!EM_S_VAL_PCF_NCFTTM(B979,E979)</f>
        <v>5988.5586261649796</v>
      </c>
      <c r="Q979" s="7">
        <f>[1]!EM_S_VAL_DIVIDENDYIELD2(B979,E979,"2019-11-29")</f>
        <v>1.1976047904191618</v>
      </c>
      <c r="T979"/>
      <c r="U979">
        <f>[1]!EM_S_RATIO_EPS_TTM(B979,E979,"1")</f>
        <v>0.21280020257650553</v>
      </c>
      <c r="AT979" s="4" t="str">
        <f>[1]!EM_S_IPO_LISTEDDATE(B979)</f>
        <v>1997-05-16</v>
      </c>
    </row>
    <row r="980" spans="1:46">
      <c r="A980">
        <v>1402</v>
      </c>
      <c r="B980" t="str">
        <f>"002905"</f>
        <v>002905</v>
      </c>
      <c r="C980" t="s">
        <v>829</v>
      </c>
      <c r="D980" t="str">
        <f>[1]!EM_S_INFO_INDEX_EM(B980,"1")</f>
        <v>文化传媒</v>
      </c>
      <c r="E980" s="4">
        <f t="shared" si="15"/>
        <v>43465</v>
      </c>
      <c r="F980" s="11">
        <f>[1]!EM_S_PQ_PCTCHANGE(B980,"2018-01-01","2019-12-31","3")</f>
        <v>-23.452113730000001</v>
      </c>
      <c r="G980" s="11">
        <f>[1]!EM_S_PQ_PCTCHANGE(B980,"2018-12-31","2019-12-30","1")</f>
        <v>28.165771299999999</v>
      </c>
      <c r="H980" s="11">
        <f>[1]!EM_S_FA_YOY_OR(B980,E980)</f>
        <v>-8.2393403532999994</v>
      </c>
      <c r="I980" s="11">
        <f>[1]!EM_S_FA_GROSSPROFITMARGIN(B980,E980)</f>
        <v>26.866058948799999</v>
      </c>
      <c r="J980" s="11">
        <f>[1]!EM_S_FA_NETPROFITMARGIN(B980,E980)</f>
        <v>7.8205439964999997</v>
      </c>
      <c r="K980" s="10">
        <f>[1]!EM_S_FA_ASSETSTURN(B980,E980)</f>
        <v>0.67471033945400005</v>
      </c>
      <c r="L980" s="12">
        <f>[1]!EM_HKS_VAL_MV(B980,"2019-12-31","2")</f>
        <v>4445952000</v>
      </c>
      <c r="M980">
        <f>[1]!EM_S_VAL_PETTMDEDUCTED(B980,E980)</f>
        <v>23.3346575529505</v>
      </c>
      <c r="N980" s="7">
        <f>[1]!EM_S_VAL_PBGOODWILLDEDUCTED(B980,E980)</f>
        <v>1.80274633177038</v>
      </c>
      <c r="O980" s="7">
        <f>[1]!EM_S_VAL_PS_TTM(B980,E980)</f>
        <v>1.6622524562457801</v>
      </c>
      <c r="P980" s="7">
        <f>[1]!EM_S_VAL_PCF_NCFTTM(B980,E980)</f>
        <v>-8.87348058153305</v>
      </c>
      <c r="Q980" s="7">
        <f>[1]!EM_S_VAL_DIVIDENDYIELD2(B980,E980,"2019-11-29")</f>
        <v>1.9649122807017541</v>
      </c>
      <c r="T980"/>
      <c r="U980">
        <f>[1]!EM_S_RATIO_EPS_TTM(B980,E980,"1")</f>
        <v>0.58792227983630951</v>
      </c>
      <c r="AT980" s="4" t="str">
        <f>[1]!EM_S_IPO_LISTEDDATE(B980)</f>
        <v>2017-10-16</v>
      </c>
    </row>
    <row r="981" spans="1:46">
      <c r="A981">
        <v>1868</v>
      </c>
      <c r="B981" t="str">
        <f>"300443"</f>
        <v>300443</v>
      </c>
      <c r="C981" t="s">
        <v>2411</v>
      </c>
      <c r="D981" t="str">
        <f>[1]!EM_S_INFO_INDEX_EM(B981,"1")</f>
        <v>电气设备</v>
      </c>
      <c r="E981" s="4">
        <f t="shared" si="15"/>
        <v>43465</v>
      </c>
      <c r="F981" s="11">
        <f>[1]!EM_S_PQ_PCTCHANGE(B981,"2018-01-01","2019-12-31","3")</f>
        <v>-16.2705196</v>
      </c>
      <c r="G981" s="11">
        <f>[1]!EM_S_PQ_PCTCHANGE(B981,"2018-12-31","2019-12-30","1")</f>
        <v>28.165137609999999</v>
      </c>
      <c r="H981" s="11">
        <f>[1]!EM_S_FA_YOY_OR(B981,E981)</f>
        <v>32.427347507599997</v>
      </c>
      <c r="I981" s="11">
        <f>[1]!EM_S_FA_GROSSPROFITMARGIN(B981,E981)</f>
        <v>27.2695238654</v>
      </c>
      <c r="J981" s="11">
        <f>[1]!EM_S_FA_NETPROFITMARGIN(B981,E981)</f>
        <v>14.733763103799999</v>
      </c>
      <c r="K981" s="10">
        <f>[1]!EM_S_FA_ASSETSTURN(B981,E981)</f>
        <v>0.441798240605</v>
      </c>
      <c r="L981" s="12">
        <f>[1]!EM_HKS_VAL_MV(B981,"2019-12-31","2")</f>
        <v>3330414659.98</v>
      </c>
      <c r="M981">
        <f>[1]!EM_S_VAL_PETTMDEDUCTED(B981,E981)</f>
        <v>27.072252185192301</v>
      </c>
      <c r="N981" s="7">
        <f>[1]!EM_S_VAL_PBGOODWILLDEDUCTED(B981,E981)</f>
        <v>1.4934644082128901</v>
      </c>
      <c r="O981" s="7">
        <f>[1]!EM_S_VAL_PS_TTM(B981,E981)</f>
        <v>4.1628978793489599</v>
      </c>
      <c r="P981" s="7">
        <f>[1]!EM_S_VAL_PCF_NCFTTM(B981,E981)</f>
        <v>-22.510471184861998</v>
      </c>
      <c r="Q981" s="7">
        <f>[1]!EM_S_VAL_DIVIDENDYIELD2(B981,E981,"2019-11-29")</f>
        <v>0.77399380804953566</v>
      </c>
      <c r="T981"/>
      <c r="U981">
        <f>[1]!EM_S_RATIO_EPS_TTM(B981,E981,"1")</f>
        <v>0.48872232350663941</v>
      </c>
      <c r="AT981" s="4" t="str">
        <f>[1]!EM_S_IPO_LISTEDDATE(B981)</f>
        <v>2015-04-22</v>
      </c>
    </row>
    <row r="982" spans="1:46">
      <c r="A982">
        <v>1026</v>
      </c>
      <c r="B982" t="str">
        <f>"002515"</f>
        <v>002515</v>
      </c>
      <c r="C982" t="s">
        <v>2015</v>
      </c>
      <c r="D982" t="str">
        <f>[1]!EM_S_INFO_INDEX_EM(B982,"1")</f>
        <v>食品饮料</v>
      </c>
      <c r="E982" s="4">
        <f t="shared" si="15"/>
        <v>43465</v>
      </c>
      <c r="F982" s="11">
        <f>[1]!EM_S_PQ_PCTCHANGE(B982,"2018-01-01","2019-12-31","3")</f>
        <v>-33.978234579999999</v>
      </c>
      <c r="G982" s="11">
        <f>[1]!EM_S_PQ_PCTCHANGE(B982,"2018-12-31","2019-12-30","1")</f>
        <v>28.16229117</v>
      </c>
      <c r="H982" s="11">
        <f>[1]!EM_S_FA_YOY_OR(B982,E982)</f>
        <v>14.5778652189</v>
      </c>
      <c r="I982" s="11">
        <f>[1]!EM_S_FA_GROSSPROFITMARGIN(B982,E982)</f>
        <v>42.0865701552</v>
      </c>
      <c r="J982" s="11">
        <f>[1]!EM_S_FA_NETPROFITMARGIN(B982,E982)</f>
        <v>-22.691540825800001</v>
      </c>
      <c r="K982" s="10">
        <f>[1]!EM_S_FA_ASSETSTURN(B982,E982)</f>
        <v>0.22444062772100001</v>
      </c>
      <c r="L982" s="12">
        <f>[1]!EM_HKS_VAL_MV(B982,"2019-12-31","2")</f>
        <v>5341590508.8000002</v>
      </c>
      <c r="M982">
        <f>[1]!EM_S_VAL_PETTMDEDUCTED(B982,E982)</f>
        <v>-205.261744095296</v>
      </c>
      <c r="N982" s="7">
        <f>[1]!EM_S_VAL_PBGOODWILLDEDUCTED(B982,E982)</f>
        <v>2.9739600561594699</v>
      </c>
      <c r="O982" s="7">
        <f>[1]!EM_S_VAL_PS_TTM(B982,E982)</f>
        <v>10.083416697776</v>
      </c>
      <c r="P982" s="7">
        <f>[1]!EM_S_VAL_PCF_NCFTTM(B982,E982)</f>
        <v>108.32612034912199</v>
      </c>
      <c r="Q982" s="7">
        <f>[1]!EM_S_VAL_DIVIDENDYIELD2(B982,E982,"2019-11-29")</f>
        <v>0</v>
      </c>
      <c r="T982"/>
      <c r="U982">
        <f>[1]!EM_S_RATIO_EPS_TTM(B982,E982,"1")</f>
        <v>-8.6168020534281211E-3</v>
      </c>
      <c r="AT982" s="4" t="str">
        <f>[1]!EM_S_IPO_LISTEDDATE(B982)</f>
        <v>2010-12-03</v>
      </c>
    </row>
    <row r="983" spans="1:46">
      <c r="A983">
        <v>2150</v>
      </c>
      <c r="B983" t="str">
        <f>"300737"</f>
        <v>300737</v>
      </c>
      <c r="C983" t="s">
        <v>2268</v>
      </c>
      <c r="D983" t="str">
        <f>[1]!EM_S_INFO_INDEX_EM(B983,"1")</f>
        <v>建材</v>
      </c>
      <c r="E983" s="4">
        <f t="shared" si="15"/>
        <v>43465</v>
      </c>
      <c r="F983" s="11">
        <f>[1]!EM_S_PQ_PCTCHANGE(B983,"2018-01-01","2019-12-31","3")</f>
        <v>14.767600079999999</v>
      </c>
      <c r="G983" s="11">
        <f>[1]!EM_S_PQ_PCTCHANGE(B983,"2018-12-31","2019-12-30","1")</f>
        <v>28.13211845</v>
      </c>
      <c r="H983" s="11">
        <f>[1]!EM_S_FA_YOY_OR(B983,E983)</f>
        <v>51.891667837</v>
      </c>
      <c r="I983" s="11">
        <f>[1]!EM_S_FA_GROSSPROFITMARGIN(B983,E983)</f>
        <v>31.3961532993</v>
      </c>
      <c r="J983" s="11">
        <f>[1]!EM_S_FA_NETPROFITMARGIN(B983,E983)</f>
        <v>5.9826363039999997</v>
      </c>
      <c r="K983" s="10">
        <f>[1]!EM_S_FA_ASSETSTURN(B983,E983)</f>
        <v>0.82921711747000004</v>
      </c>
      <c r="L983" s="12">
        <f>[1]!EM_HKS_VAL_MV(B983,"2019-12-31","2")</f>
        <v>6879431152</v>
      </c>
      <c r="M983">
        <f>[1]!EM_S_VAL_PETTMDEDUCTED(B983,E983)</f>
        <v>28.5535422042453</v>
      </c>
      <c r="N983" s="7">
        <f>[1]!EM_S_VAL_PBGOODWILLDEDUCTED(B983,E983)</f>
        <v>1.8425398832398101</v>
      </c>
      <c r="O983" s="7">
        <f>[1]!EM_S_VAL_PS_TTM(B983,E983)</f>
        <v>2.0292121388951601</v>
      </c>
      <c r="P983" s="7">
        <f>[1]!EM_S_VAL_PCF_NCFTTM(B983,E983)</f>
        <v>41.254212380298803</v>
      </c>
      <c r="Q983" s="7">
        <f>[1]!EM_S_VAL_DIVIDENDYIELD2(B983,E983,"2019-11-29")</f>
        <v>0.46606802505842326</v>
      </c>
      <c r="T983"/>
      <c r="U983">
        <f>[1]!EM_S_RATIO_EPS_TTM(B983,E983,"1")</f>
        <v>0.30338526343179734</v>
      </c>
      <c r="AT983" s="4" t="str">
        <f>[1]!EM_S_IPO_LISTEDDATE(B983)</f>
        <v>2018-01-25</v>
      </c>
    </row>
    <row r="984" spans="1:46">
      <c r="A984">
        <v>1664</v>
      </c>
      <c r="B984" t="str">
        <f>"300239"</f>
        <v>300239</v>
      </c>
      <c r="C984" t="s">
        <v>2285</v>
      </c>
      <c r="D984" t="str">
        <f>[1]!EM_S_INFO_INDEX_EM(B984,"1")</f>
        <v>医药生物</v>
      </c>
      <c r="E984" s="4">
        <f t="shared" si="15"/>
        <v>43465</v>
      </c>
      <c r="F984" s="11">
        <f>[1]!EM_S_PQ_PCTCHANGE(B984,"2018-01-01","2019-12-31","3")</f>
        <v>-3.3582091799999998</v>
      </c>
      <c r="G984" s="11">
        <f>[1]!EM_S_PQ_PCTCHANGE(B984,"2018-12-31","2019-12-30","1")</f>
        <v>28.10810811</v>
      </c>
      <c r="H984" s="11">
        <f>[1]!EM_S_FA_YOY_OR(B984,E984)</f>
        <v>27.089222461599999</v>
      </c>
      <c r="I984" s="11">
        <f>[1]!EM_S_FA_GROSSPROFITMARGIN(B984,E984)</f>
        <v>21.945190775899999</v>
      </c>
      <c r="J984" s="11">
        <f>[1]!EM_S_FA_NETPROFITMARGIN(B984,E984)</f>
        <v>7.5046469591999996</v>
      </c>
      <c r="K984" s="10">
        <f>[1]!EM_S_FA_ASSETSTURN(B984,E984)</f>
        <v>0.41722593575099998</v>
      </c>
      <c r="L984" s="12">
        <f>[1]!EM_HKS_VAL_MV(B984,"2019-12-31","2")</f>
        <v>2634640384.3200002</v>
      </c>
      <c r="M984">
        <f>[1]!EM_S_VAL_PETTMDEDUCTED(B984,E984)</f>
        <v>64.648203993677797</v>
      </c>
      <c r="N984" s="7">
        <f>[1]!EM_S_VAL_PBGOODWILLDEDUCTED(B984,E984)</f>
        <v>2.28635659184551</v>
      </c>
      <c r="O984" s="7">
        <f>[1]!EM_S_VAL_PS_TTM(B984,E984)</f>
        <v>3.9374401209466798</v>
      </c>
      <c r="P984" s="7">
        <f>[1]!EM_S_VAL_PCF_NCFTTM(B984,E984)</f>
        <v>30.8873227625159</v>
      </c>
      <c r="Q984" s="7">
        <f>[1]!EM_S_VAL_DIVIDENDYIELD2(B984,E984,"2019-11-29")</f>
        <v>0.66383271009052436</v>
      </c>
      <c r="T984"/>
      <c r="U984">
        <f>[1]!EM_S_RATIO_EPS_TTM(B984,E984,"1")</f>
        <v>7.3227563225867515E-2</v>
      </c>
      <c r="AT984" s="4" t="str">
        <f>[1]!EM_S_IPO_LISTEDDATE(B984)</f>
        <v>2011-07-06</v>
      </c>
    </row>
    <row r="985" spans="1:46">
      <c r="A985">
        <v>1175</v>
      </c>
      <c r="B985" t="str">
        <f>"002664"</f>
        <v>002664</v>
      </c>
      <c r="C985" t="s">
        <v>833</v>
      </c>
      <c r="D985" t="str">
        <f>[1]!EM_S_INFO_INDEX_EM(B985,"1")</f>
        <v>国防与装备</v>
      </c>
      <c r="E985" s="4">
        <f t="shared" si="15"/>
        <v>43465</v>
      </c>
      <c r="F985" s="11">
        <f>[1]!EM_S_PQ_PCTCHANGE(B985,"2018-01-01","2019-12-31","3")</f>
        <v>-39.477515400000001</v>
      </c>
      <c r="G985" s="11">
        <f>[1]!EM_S_PQ_PCTCHANGE(B985,"2018-12-31","2019-12-30","1")</f>
        <v>28.094462539999999</v>
      </c>
      <c r="H985" s="11">
        <f>[1]!EM_S_FA_YOY_OR(B985,E985)</f>
        <v>8.7698687935000006</v>
      </c>
      <c r="I985" s="11">
        <f>[1]!EM_S_FA_GROSSPROFITMARGIN(B985,E985)</f>
        <v>23.758774621899999</v>
      </c>
      <c r="J985" s="11">
        <f>[1]!EM_S_FA_NETPROFITMARGIN(B985,E985)</f>
        <v>10.8293889932</v>
      </c>
      <c r="K985" s="10">
        <f>[1]!EM_S_FA_ASSETSTURN(B985,E985)</f>
        <v>0.75884923742300003</v>
      </c>
      <c r="L985" s="12">
        <f>[1]!EM_HKS_VAL_MV(B985,"2019-12-31","2")</f>
        <v>6536326800</v>
      </c>
      <c r="M985">
        <f>[1]!EM_S_VAL_PETTMDEDUCTED(B985,E985)</f>
        <v>19.199833189683002</v>
      </c>
      <c r="N985" s="7">
        <f>[1]!EM_S_VAL_PBGOODWILLDEDUCTED(B985,E985)</f>
        <v>2.7759393192132502</v>
      </c>
      <c r="O985" s="7">
        <f>[1]!EM_S_VAL_PS_TTM(B985,E985)</f>
        <v>1.84193188013331</v>
      </c>
      <c r="P985" s="7">
        <f>[1]!EM_S_VAL_PCF_NCFTTM(B985,E985)</f>
        <v>28.874447576848201</v>
      </c>
      <c r="Q985" s="7">
        <f>[1]!EM_S_VAL_DIVIDENDYIELD2(B985,E985,"2019-11-29")</f>
        <v>0.53030303030303028</v>
      </c>
      <c r="T985"/>
      <c r="U985">
        <f>[1]!EM_S_RATIO_EPS_TTM(B985,E985,"1")</f>
        <v>0.6510112647117644</v>
      </c>
      <c r="AT985" s="4" t="str">
        <f>[1]!EM_S_IPO_LISTEDDATE(B985)</f>
        <v>2012-03-16</v>
      </c>
    </row>
    <row r="986" spans="1:46">
      <c r="A986">
        <v>60</v>
      </c>
      <c r="B986" t="str">
        <f>"000069"</f>
        <v>000069</v>
      </c>
      <c r="C986" t="s">
        <v>1339</v>
      </c>
      <c r="D986" t="str">
        <f>[1]!EM_S_INFO_INDEX_EM(B986,"1")</f>
        <v>房地产</v>
      </c>
      <c r="E986" s="4">
        <f t="shared" si="15"/>
        <v>43465</v>
      </c>
      <c r="F986" s="11">
        <f>[1]!EM_S_PQ_PCTCHANGE(B986,"2018-01-01","2019-12-31","3")</f>
        <v>0.24190892</v>
      </c>
      <c r="G986" s="11">
        <f>[1]!EM_S_PQ_PCTCHANGE(B986,"2019-01-01","2019-12-31","3")</f>
        <v>28.04988766</v>
      </c>
      <c r="H986" s="11">
        <f>[1]!EM_S_FA_YOY_OR(B986,E986)</f>
        <v>13.700875460000001</v>
      </c>
      <c r="I986" s="11">
        <f>[1]!EM_S_FA_GROSSPROFITMARGIN(B986,E986)</f>
        <v>60.349218647699999</v>
      </c>
      <c r="J986" s="11">
        <f>[1]!EM_S_FA_NETPROFITMARGIN(B986,E986)</f>
        <v>23.460280709300001</v>
      </c>
      <c r="K986" s="10">
        <f>[1]!EM_S_FA_ASSETSTURN(B986,E986)</f>
        <v>0.188191824285</v>
      </c>
      <c r="L986" s="12">
        <f>[1]!EM_HKS_VAL_MV(B986,"2019-12-31","2")</f>
        <v>63897524972.849998</v>
      </c>
      <c r="M986">
        <f>[1]!EM_S_VAL_PETTMDEDUCTED(B986,E986)</f>
        <v>6.4621678374724203</v>
      </c>
      <c r="N986" s="7">
        <f>[1]!EM_S_VAL_PBGOODWILLDEDUCTED(B986,E986)</f>
        <v>0.88244026692731803</v>
      </c>
      <c r="O986" s="7">
        <f>[1]!EM_S_VAL_PS_TTM(B986,E986)</f>
        <v>1.0962237050867101</v>
      </c>
      <c r="P986" s="7">
        <f>[1]!EM_S_VAL_PCF_NCFTTM(B986,E986)</f>
        <v>6.0930965690698997</v>
      </c>
      <c r="Q986" s="7">
        <f>[1]!EM_S_VAL_DIVIDENDYIELD2(B986,E986,"2019-11-29")</f>
        <v>4.354972486848399</v>
      </c>
      <c r="T986"/>
      <c r="U986">
        <f>[1]!EM_S_RATIO_EPS_TTM(B986,E986,"1")</f>
        <v>1.2906832621455648</v>
      </c>
      <c r="AT986" s="4" t="str">
        <f>[1]!EM_S_IPO_LISTEDDATE(B986)</f>
        <v>1997-09-10</v>
      </c>
    </row>
    <row r="987" spans="1:46">
      <c r="A987">
        <v>1458</v>
      </c>
      <c r="B987" t="str">
        <f>"300032"</f>
        <v>300032</v>
      </c>
      <c r="C987" t="s">
        <v>3292</v>
      </c>
      <c r="D987" t="str">
        <f>[1]!EM_S_INFO_INDEX_EM(B987,"1")</f>
        <v>电子设备</v>
      </c>
      <c r="E987" s="4">
        <f t="shared" si="15"/>
        <v>43465</v>
      </c>
      <c r="F987" s="11">
        <f>[1]!EM_S_PQ_PCTCHANGE(B987,"2018-01-01","2019-12-31","3")</f>
        <v>-73.146148310000001</v>
      </c>
      <c r="G987" s="11">
        <f>[1]!EM_S_PQ_PCTCHANGE(B987,"2018-12-31","2019-12-30","1")</f>
        <v>28.027681659999999</v>
      </c>
      <c r="H987" s="11">
        <f>[1]!EM_S_FA_YOY_OR(B987,E987)</f>
        <v>-9.0617574351000005</v>
      </c>
      <c r="I987" s="11">
        <f>[1]!EM_S_FA_GROSSPROFITMARGIN(B987,E987)</f>
        <v>3.3702996687</v>
      </c>
      <c r="J987" s="11">
        <f>[1]!EM_S_FA_NETPROFITMARGIN(B987,E987)</f>
        <v>-75.570507819499994</v>
      </c>
      <c r="K987" s="10">
        <f>[1]!EM_S_FA_ASSETSTURN(B987,E987)</f>
        <v>0.71175941891399996</v>
      </c>
      <c r="L987" s="12">
        <f>[1]!EM_HKS_VAL_MV(B987,"2019-12-31","2")</f>
        <v>2995822637.8400002</v>
      </c>
      <c r="M987">
        <f>[1]!EM_S_VAL_PETTMDEDUCTED(B987,E987)</f>
        <v>-1.0733716455228699</v>
      </c>
      <c r="N987" s="7">
        <f>[1]!EM_S_VAL_PBGOODWILLDEDUCTED(B987,E987)</f>
        <v>1.63898401058382</v>
      </c>
      <c r="O987" s="7">
        <f>[1]!EM_S_VAL_PS_TTM(B987,E987)</f>
        <v>0.70086322131715395</v>
      </c>
      <c r="P987" s="7">
        <f>[1]!EM_S_VAL_PCF_NCFTTM(B987,E987)</f>
        <v>-1.52638063472295</v>
      </c>
      <c r="Q987" s="7">
        <f>[1]!EM_S_VAL_DIVIDENDYIELD2(B987,E987,"2019-11-29")</f>
        <v>0</v>
      </c>
      <c r="T987"/>
      <c r="U987">
        <f>[1]!EM_S_RATIO_EPS_TTM(B987,E987,"1")</f>
        <v>-2.9882996954361847</v>
      </c>
      <c r="AT987" s="4" t="str">
        <f>[1]!EM_S_IPO_LISTEDDATE(B987)</f>
        <v>2009-12-25</v>
      </c>
    </row>
    <row r="988" spans="1:46">
      <c r="A988">
        <v>703</v>
      </c>
      <c r="B988" t="str">
        <f>"002192"</f>
        <v>002192</v>
      </c>
      <c r="C988" t="s">
        <v>3300</v>
      </c>
      <c r="D988" t="str">
        <f>[1]!EM_S_INFO_INDEX_EM(B988,"1")</f>
        <v>机械设备</v>
      </c>
      <c r="E988" s="4">
        <f t="shared" si="15"/>
        <v>43465</v>
      </c>
      <c r="F988" s="11">
        <f>[1]!EM_S_PQ_PCTCHANGE(B988,"2018-01-01","2019-12-31","3")</f>
        <v>-24.117114399999998</v>
      </c>
      <c r="G988" s="11">
        <f>[1]!EM_S_PQ_PCTCHANGE(B988,"2018-12-31","2019-12-30","1")</f>
        <v>27.96052632</v>
      </c>
      <c r="H988" s="11">
        <f>[1]!EM_S_FA_YOY_OR(B988,E988)</f>
        <v>37.187939438999997</v>
      </c>
      <c r="I988" s="11">
        <f>[1]!EM_S_FA_GROSSPROFITMARGIN(B988,E988)</f>
        <v>20.674531753899998</v>
      </c>
      <c r="J988" s="11">
        <f>[1]!EM_S_FA_NETPROFITMARGIN(B988,E988)</f>
        <v>-1.1345814911000001</v>
      </c>
      <c r="K988" s="10">
        <f>[1]!EM_S_FA_ASSETSTURN(B988,E988)</f>
        <v>0.35521090581199999</v>
      </c>
      <c r="L988" s="12">
        <f>[1]!EM_HKS_VAL_MV(B988,"2019-12-31","2")</f>
        <v>6527731803.4200001</v>
      </c>
      <c r="M988">
        <f>[1]!EM_S_VAL_PETTMDEDUCTED(B988,E988)</f>
        <v>188.98019793743799</v>
      </c>
      <c r="N988" s="7">
        <f>[1]!EM_S_VAL_PBGOODWILLDEDUCTED(B988,E988)</f>
        <v>7.6333829110814104</v>
      </c>
      <c r="O988" s="7">
        <f>[1]!EM_S_VAL_PS_TTM(B988,E988)</f>
        <v>12.7321238829363</v>
      </c>
      <c r="P988" s="7">
        <f>[1]!EM_S_VAL_PCF_NCFTTM(B988,E988)</f>
        <v>148.30717674728601</v>
      </c>
      <c r="Q988" s="7">
        <f>[1]!EM_S_VAL_DIVIDENDYIELD2(B988,E988,"2019-11-29")</f>
        <v>0</v>
      </c>
      <c r="T988"/>
      <c r="U988">
        <f>[1]!EM_S_RATIO_EPS_TTM(B988,E988,"1")</f>
        <v>-2.7098755845073517E-2</v>
      </c>
      <c r="AT988" s="4" t="str">
        <f>[1]!EM_S_IPO_LISTEDDATE(B988)</f>
        <v>2007-12-05</v>
      </c>
    </row>
    <row r="989" spans="1:46">
      <c r="A989">
        <v>2002</v>
      </c>
      <c r="B989" t="str">
        <f>"300581"</f>
        <v>300581</v>
      </c>
      <c r="C989" t="s">
        <v>3243</v>
      </c>
      <c r="D989" t="str">
        <f>[1]!EM_S_INFO_INDEX_EM(B989,"1")</f>
        <v>国防与装备</v>
      </c>
      <c r="E989" s="4">
        <f t="shared" si="15"/>
        <v>43465</v>
      </c>
      <c r="F989" s="11">
        <f>[1]!EM_S_PQ_PCTCHANGE(B989,"2018-01-01","2019-12-31","3")</f>
        <v>-3.77443017</v>
      </c>
      <c r="G989" s="11">
        <f>[1]!EM_S_PQ_PCTCHANGE(B989,"2018-12-31","2019-12-30","1")</f>
        <v>27.924217460000001</v>
      </c>
      <c r="H989" s="11">
        <f>[1]!EM_S_FA_YOY_OR(B989,E989)</f>
        <v>-2.2120823778999998</v>
      </c>
      <c r="I989" s="11">
        <f>[1]!EM_S_FA_GROSSPROFITMARGIN(B989,E989)</f>
        <v>43.883746455400001</v>
      </c>
      <c r="J989" s="11">
        <f>[1]!EM_S_FA_NETPROFITMARGIN(B989,E989)</f>
        <v>37.119396184899998</v>
      </c>
      <c r="K989" s="10">
        <f>[1]!EM_S_FA_ASSETSTURN(B989,E989)</f>
        <v>0.23817205874</v>
      </c>
      <c r="L989" s="12">
        <f>[1]!EM_HKS_VAL_MV(B989,"2019-12-31","2")</f>
        <v>2646821600</v>
      </c>
      <c r="M989">
        <f>[1]!EM_S_VAL_PETTMDEDUCTED(B989,E989)</f>
        <v>64.546456446015796</v>
      </c>
      <c r="N989" s="7">
        <f>[1]!EM_S_VAL_PBGOODWILLDEDUCTED(B989,E989)</f>
        <v>3.3332650899238701</v>
      </c>
      <c r="O989" s="7">
        <f>[1]!EM_S_VAL_PS_TTM(B989,E989)</f>
        <v>14.1181378979649</v>
      </c>
      <c r="P989" s="7">
        <f>[1]!EM_S_VAL_PCF_NCFTTM(B989,E989)</f>
        <v>195.94510094378001</v>
      </c>
      <c r="Q989" s="7">
        <f>[1]!EM_S_VAL_DIVIDENDYIELD2(B989,E989,"2019-11-29")</f>
        <v>0.5066666666666666</v>
      </c>
      <c r="T989"/>
      <c r="U989">
        <f>[1]!EM_S_RATIO_EPS_TTM(B989,E989,"1")</f>
        <v>0.37604470813926411</v>
      </c>
      <c r="AT989" s="4" t="str">
        <f>[1]!EM_S_IPO_LISTEDDATE(B989)</f>
        <v>2016-12-20</v>
      </c>
    </row>
    <row r="990" spans="1:46">
      <c r="A990">
        <v>2808</v>
      </c>
      <c r="B990" t="str">
        <f>"600735"</f>
        <v>600735</v>
      </c>
      <c r="C990" t="s">
        <v>1329</v>
      </c>
      <c r="D990" t="str">
        <f>[1]!EM_S_INFO_INDEX_EM(B990,"1")</f>
        <v>轻工制造</v>
      </c>
      <c r="E990" s="4">
        <f t="shared" si="15"/>
        <v>43465</v>
      </c>
      <c r="F990" s="11">
        <f>[1]!EM_S_PQ_PCTCHANGE(B990,"2018-01-01","2019-12-31","3")</f>
        <v>-39.97600182</v>
      </c>
      <c r="G990" s="11">
        <f>[1]!EM_S_PQ_PCTCHANGE(B990,"2018-12-31","2019-12-30","1")</f>
        <v>27.906976740000001</v>
      </c>
      <c r="H990" s="11">
        <f>[1]!EM_S_FA_YOY_OR(B990,E990)</f>
        <v>0.63088664559999996</v>
      </c>
      <c r="I990" s="11">
        <f>[1]!EM_S_FA_GROSSPROFITMARGIN(B990,E990)</f>
        <v>25.4000329544</v>
      </c>
      <c r="J990" s="11">
        <f>[1]!EM_S_FA_NETPROFITMARGIN(B990,E990)</f>
        <v>8.3801689575000005</v>
      </c>
      <c r="K990" s="10">
        <f>[1]!EM_S_FA_ASSETSTURN(B990,E990)</f>
        <v>1.2065174837699999</v>
      </c>
      <c r="L990" s="12">
        <f>[1]!EM_HKS_VAL_MV(B990,"2019-12-31","2")</f>
        <v>2496588845.4400001</v>
      </c>
      <c r="M990">
        <f>[1]!EM_S_VAL_PETTMDEDUCTED(B990,E990)</f>
        <v>24.7380041322157</v>
      </c>
      <c r="N990" s="7">
        <f>[1]!EM_S_VAL_PBGOODWILLDEDUCTED(B990,E990)</f>
        <v>2.4214899160304699</v>
      </c>
      <c r="O990" s="7">
        <f>[1]!EM_S_VAL_PS_TTM(B990,E990)</f>
        <v>1.4074243030612399</v>
      </c>
      <c r="P990" s="7">
        <f>[1]!EM_S_VAL_PCF_NCFTTM(B990,E990)</f>
        <v>-92.409106135773399</v>
      </c>
      <c r="Q990" s="7">
        <f>[1]!EM_S_VAL_DIVIDENDYIELD2(B990,E990,"2019-11-29")</f>
        <v>0.98705501618122971</v>
      </c>
      <c r="T990"/>
      <c r="U990">
        <f>[1]!EM_S_RATIO_EPS_TTM(B990,E990,"1")</f>
        <v>0.20331061849735346</v>
      </c>
      <c r="AT990" s="4" t="str">
        <f>[1]!EM_S_IPO_LISTEDDATE(B990)</f>
        <v>1996-07-26</v>
      </c>
    </row>
    <row r="991" spans="1:46">
      <c r="A991">
        <v>1238</v>
      </c>
      <c r="B991" t="str">
        <f>"002728"</f>
        <v>002728</v>
      </c>
      <c r="C991" t="s">
        <v>1142</v>
      </c>
      <c r="D991" t="str">
        <f>[1]!EM_S_INFO_INDEX_EM(B991,"1")</f>
        <v>医药生物</v>
      </c>
      <c r="E991" s="4">
        <f t="shared" si="15"/>
        <v>43465</v>
      </c>
      <c r="F991" s="11">
        <f>[1]!EM_S_PQ_PCTCHANGE(B991,"2018-01-01","2019-12-31","3")</f>
        <v>1.0479287900000001</v>
      </c>
      <c r="G991" s="11">
        <f>[1]!EM_S_PQ_PCTCHANGE(B991,"2018-12-31","2019-12-30","1")</f>
        <v>27.896341459999999</v>
      </c>
      <c r="H991" s="11">
        <f>[1]!EM_S_FA_YOY_OR(B991,E991)</f>
        <v>28.827988410900002</v>
      </c>
      <c r="I991" s="11">
        <f>[1]!EM_S_FA_GROSSPROFITMARGIN(B991,E991)</f>
        <v>58.886803597700002</v>
      </c>
      <c r="J991" s="11">
        <f>[1]!EM_S_FA_NETPROFITMARGIN(B991,E991)</f>
        <v>17.576355873299999</v>
      </c>
      <c r="K991" s="10">
        <f>[1]!EM_S_FA_ASSETSTURN(B991,E991)</f>
        <v>0.442866129153</v>
      </c>
      <c r="L991" s="12">
        <f>[1]!EM_HKS_VAL_MV(B991,"2019-12-31","2")</f>
        <v>3431510706.6799998</v>
      </c>
      <c r="M991">
        <f>[1]!EM_S_VAL_PETTMDEDUCTED(B991,E991)</f>
        <v>19.9452102944317</v>
      </c>
      <c r="N991" s="7">
        <f>[1]!EM_S_VAL_PBGOODWILLDEDUCTED(B991,E991)</f>
        <v>5.6847243734272004</v>
      </c>
      <c r="O991" s="7">
        <f>[1]!EM_S_VAL_PS_TTM(B991,E991)</f>
        <v>3.16834682286914</v>
      </c>
      <c r="P991" s="7">
        <f>[1]!EM_S_VAL_PCF_NCFTTM(B991,E991)</f>
        <v>35.394574028099001</v>
      </c>
      <c r="Q991" s="7">
        <f>[1]!EM_S_VAL_DIVIDENDYIELD2(B991,E991,"2019-11-29")</f>
        <v>4.027241055720129</v>
      </c>
      <c r="T991"/>
      <c r="U991">
        <f>[1]!EM_S_RATIO_EPS_TTM(B991,E991,"1")</f>
        <v>0.77424403530965524</v>
      </c>
      <c r="AT991" s="4" t="str">
        <f>[1]!EM_S_IPO_LISTEDDATE(B991)</f>
        <v>2014-07-31</v>
      </c>
    </row>
    <row r="992" spans="1:46">
      <c r="A992">
        <v>1242</v>
      </c>
      <c r="B992" t="str">
        <f>"002732"</f>
        <v>002732</v>
      </c>
      <c r="C992" t="s">
        <v>2246</v>
      </c>
      <c r="D992" t="str">
        <f>[1]!EM_S_INFO_INDEX_EM(B992,"1")</f>
        <v>食品饮料</v>
      </c>
      <c r="E992" s="4">
        <f t="shared" si="15"/>
        <v>43465</v>
      </c>
      <c r="F992" s="11">
        <f>[1]!EM_S_PQ_PCTCHANGE(B992,"2018-01-01","2019-12-31","3")</f>
        <v>-17.711347100000001</v>
      </c>
      <c r="G992" s="11">
        <f>[1]!EM_S_PQ_PCTCHANGE(B992,"2018-12-31","2019-12-30","1")</f>
        <v>27.878433659999999</v>
      </c>
      <c r="H992" s="11">
        <f>[1]!EM_S_FA_YOY_OR(B992,E992)</f>
        <v>4.6784754002</v>
      </c>
      <c r="I992" s="11">
        <f>[1]!EM_S_FA_GROSSPROFITMARGIN(B992,E992)</f>
        <v>31.8506486864</v>
      </c>
      <c r="J992" s="11">
        <f>[1]!EM_S_FA_NETPROFITMARGIN(B992,E992)</f>
        <v>3.4944632905000002</v>
      </c>
      <c r="K992" s="10">
        <f>[1]!EM_S_FA_ASSETSTURN(B992,E992)</f>
        <v>0.97711172302399996</v>
      </c>
      <c r="L992" s="12">
        <f>[1]!EM_HKS_VAL_MV(B992,"2019-12-31","2")</f>
        <v>3458553000</v>
      </c>
      <c r="M992">
        <f>[1]!EM_S_VAL_PETTMDEDUCTED(B992,E992)</f>
        <v>34.9824762561108</v>
      </c>
      <c r="N992" s="7">
        <f>[1]!EM_S_VAL_PBGOODWILLDEDUCTED(B992,E992)</f>
        <v>3.00217775644319</v>
      </c>
      <c r="O992" s="7">
        <f>[1]!EM_S_VAL_PS_TTM(B992,E992)</f>
        <v>2.0873861027873102</v>
      </c>
      <c r="P992" s="7">
        <f>[1]!EM_S_VAL_PCF_NCFTTM(B992,E992)</f>
        <v>-3692.79415613541</v>
      </c>
      <c r="Q992" s="7">
        <f>[1]!EM_S_VAL_DIVIDENDYIELD2(B992,E992,"2019-11-29")</f>
        <v>0.46189376443418012</v>
      </c>
      <c r="T992"/>
      <c r="U992">
        <f>[1]!EM_S_RATIO_EPS_TTM(B992,E992,"1")</f>
        <v>0.26819747429297741</v>
      </c>
      <c r="AT992" s="4" t="str">
        <f>[1]!EM_S_IPO_LISTEDDATE(B992)</f>
        <v>2014-12-05</v>
      </c>
    </row>
    <row r="993" spans="1:46">
      <c r="A993">
        <v>1442</v>
      </c>
      <c r="B993" t="str">
        <f>"300016"</f>
        <v>300016</v>
      </c>
      <c r="C993" t="s">
        <v>984</v>
      </c>
      <c r="D993" t="str">
        <f>[1]!EM_S_INFO_INDEX_EM(B993,"1")</f>
        <v>医药生物</v>
      </c>
      <c r="E993" s="4">
        <f t="shared" si="15"/>
        <v>43465</v>
      </c>
      <c r="F993" s="11">
        <f>[1]!EM_S_PQ_PCTCHANGE(B993,"2018-01-01","2019-12-31","3")</f>
        <v>-0.28903826999999999</v>
      </c>
      <c r="G993" s="11">
        <f>[1]!EM_S_PQ_PCTCHANGE(B993,"2018-12-31","2019-12-30","1")</f>
        <v>27.85714286</v>
      </c>
      <c r="H993" s="11">
        <f>[1]!EM_S_FA_YOY_OR(B993,E993)</f>
        <v>16.365378537400002</v>
      </c>
      <c r="I993" s="11">
        <f>[1]!EM_S_FA_GROSSPROFITMARGIN(B993,E993)</f>
        <v>67.038057343700004</v>
      </c>
      <c r="J993" s="11">
        <f>[1]!EM_S_FA_NETPROFITMARGIN(B993,E993)</f>
        <v>24.300800120600002</v>
      </c>
      <c r="K993" s="10">
        <f>[1]!EM_S_FA_ASSETSTURN(B993,E993)</f>
        <v>0.50053707202499997</v>
      </c>
      <c r="L993" s="12">
        <f>[1]!EM_HKS_VAL_MV(B993,"2019-12-31","2")</f>
        <v>4447261985.2399998</v>
      </c>
      <c r="M993">
        <f>[1]!EM_S_VAL_PETTMDEDUCTED(B993,E993)</f>
        <v>28.858687771175902</v>
      </c>
      <c r="N993" s="7">
        <f>[1]!EM_S_VAL_PBGOODWILLDEDUCTED(B993,E993)</f>
        <v>2.8387409738686</v>
      </c>
      <c r="O993" s="7">
        <f>[1]!EM_S_VAL_PS_TTM(B993,E993)</f>
        <v>6.0225783755177904</v>
      </c>
      <c r="P993" s="7">
        <f>[1]!EM_S_VAL_PCF_NCFTTM(B993,E993)</f>
        <v>32.290318137487198</v>
      </c>
      <c r="Q993" s="7">
        <f>[1]!EM_S_VAL_DIVIDENDYIELD2(B993,E993,"2019-11-29")</f>
        <v>1.2233634029312741</v>
      </c>
      <c r="T993"/>
      <c r="U993">
        <f>[1]!EM_S_RATIO_EPS_TTM(B993,E993,"1")</f>
        <v>0.3021777471319263</v>
      </c>
      <c r="AT993" s="4" t="str">
        <f>[1]!EM_S_IPO_LISTEDDATE(B993)</f>
        <v>2009-10-30</v>
      </c>
    </row>
    <row r="994" spans="1:46">
      <c r="A994">
        <v>1021</v>
      </c>
      <c r="B994" t="str">
        <f>"002510"</f>
        <v>002510</v>
      </c>
      <c r="C994" t="s">
        <v>1970</v>
      </c>
      <c r="D994" t="str">
        <f>[1]!EM_S_INFO_INDEX_EM(B994,"1")</f>
        <v>交运设备</v>
      </c>
      <c r="E994" s="4">
        <f t="shared" si="15"/>
        <v>43465</v>
      </c>
      <c r="F994" s="11">
        <f>[1]!EM_S_PQ_PCTCHANGE(B994,"2018-01-01","2019-12-31","3")</f>
        <v>-25.031747039999999</v>
      </c>
      <c r="G994" s="11">
        <f>[1]!EM_S_PQ_PCTCHANGE(B994,"2018-12-31","2019-12-30","1")</f>
        <v>27.8551532</v>
      </c>
      <c r="H994" s="11">
        <f>[1]!EM_S_FA_YOY_OR(B994,E994)</f>
        <v>15.291613647</v>
      </c>
      <c r="I994" s="11">
        <f>[1]!EM_S_FA_GROSSPROFITMARGIN(B994,E994)</f>
        <v>19.433081330499999</v>
      </c>
      <c r="J994" s="11">
        <f>[1]!EM_S_FA_NETPROFITMARGIN(B994,E994)</f>
        <v>9.7642196931999994</v>
      </c>
      <c r="K994" s="10">
        <f>[1]!EM_S_FA_ASSETSTURN(B994,E994)</f>
        <v>0.42304432293400002</v>
      </c>
      <c r="L994" s="12">
        <f>[1]!EM_HKS_VAL_MV(B994,"2019-12-31","2")</f>
        <v>4300374786.4399996</v>
      </c>
      <c r="M994">
        <f>[1]!EM_S_VAL_PETTMDEDUCTED(B994,E994)</f>
        <v>31.332441254512499</v>
      </c>
      <c r="N994" s="7">
        <f>[1]!EM_S_VAL_PBGOODWILLDEDUCTED(B994,E994)</f>
        <v>1.2855658281671101</v>
      </c>
      <c r="O994" s="7">
        <f>[1]!EM_S_VAL_PS_TTM(B994,E994)</f>
        <v>1.6718049708275</v>
      </c>
      <c r="P994" s="7">
        <f>[1]!EM_S_VAL_PCF_NCFTTM(B994,E994)</f>
        <v>-8.7607791070051206</v>
      </c>
      <c r="Q994" s="7">
        <f>[1]!EM_S_VAL_DIVIDENDYIELD2(B994,E994,"2019-11-29")</f>
        <v>0.83102493074792227</v>
      </c>
      <c r="T994"/>
      <c r="U994">
        <f>[1]!EM_S_RATIO_EPS_TTM(B994,E994,"1")</f>
        <v>0.23038485674576983</v>
      </c>
      <c r="AT994" s="4" t="str">
        <f>[1]!EM_S_IPO_LISTEDDATE(B994)</f>
        <v>2010-11-25</v>
      </c>
    </row>
    <row r="995" spans="1:46">
      <c r="A995">
        <v>2116</v>
      </c>
      <c r="B995" t="str">
        <f>"300699"</f>
        <v>300699</v>
      </c>
      <c r="C995" t="s">
        <v>692</v>
      </c>
      <c r="D995" t="str">
        <f>[1]!EM_S_INFO_INDEX_EM(B995,"1")</f>
        <v>基础化工</v>
      </c>
      <c r="E995" s="4">
        <f t="shared" si="15"/>
        <v>43465</v>
      </c>
      <c r="F995" s="11">
        <f>[1]!EM_S_PQ_PCTCHANGE(B995,"2018-01-01","2019-12-31","3")</f>
        <v>-1.3045893</v>
      </c>
      <c r="G995" s="11">
        <f>[1]!EM_S_PQ_PCTCHANGE(B995,"2018-12-31","2019-12-30","1")</f>
        <v>27.849162010000001</v>
      </c>
      <c r="H995" s="11">
        <f>[1]!EM_S_FA_YOY_OR(B995,E995)</f>
        <v>43.627826429099997</v>
      </c>
      <c r="I995" s="11">
        <f>[1]!EM_S_FA_GROSSPROFITMARGIN(B995,E995)</f>
        <v>46.711292143800001</v>
      </c>
      <c r="J995" s="11">
        <f>[1]!EM_S_FA_NETPROFITMARGIN(B995,E995)</f>
        <v>27.617539563800001</v>
      </c>
      <c r="K995" s="10">
        <f>[1]!EM_S_FA_ASSETSTURN(B995,E995)</f>
        <v>0.40322478101800002</v>
      </c>
      <c r="L995" s="12">
        <f>[1]!EM_HKS_VAL_MV(B995,"2019-12-31","2")</f>
        <v>23584925000</v>
      </c>
      <c r="M995">
        <f>[1]!EM_S_VAL_PETTMDEDUCTED(B995,E995)</f>
        <v>56.381442716459802</v>
      </c>
      <c r="N995" s="7">
        <f>[1]!EM_S_VAL_PBGOODWILLDEDUCTED(B995,E995)</f>
        <v>4.6304115192932196</v>
      </c>
      <c r="O995" s="7">
        <f>[1]!EM_S_VAL_PS_TTM(B995,E995)</f>
        <v>11.080091595430799</v>
      </c>
      <c r="P995" s="7">
        <f>[1]!EM_S_VAL_PCF_NCFTTM(B995,E995)</f>
        <v>-16.936389798322399</v>
      </c>
      <c r="Q995" s="7">
        <f>[1]!EM_S_VAL_DIVIDENDYIELD2(B995,E995,"2019-11-29")</f>
        <v>0.95085957705766011</v>
      </c>
      <c r="T995"/>
      <c r="U995">
        <f>[1]!EM_S_RATIO_EPS_TTM(B995,E995,"1")</f>
        <v>1.0170980200945308</v>
      </c>
      <c r="AT995" s="4" t="str">
        <f>[1]!EM_S_IPO_LISTEDDATE(B995)</f>
        <v>2017-09-01</v>
      </c>
    </row>
    <row r="996" spans="1:46">
      <c r="A996">
        <v>1056</v>
      </c>
      <c r="B996" t="str">
        <f>"002545"</f>
        <v>002545</v>
      </c>
      <c r="C996" t="s">
        <v>2778</v>
      </c>
      <c r="D996" t="str">
        <f>[1]!EM_S_INFO_INDEX_EM(B996,"1")</f>
        <v>基础化工</v>
      </c>
      <c r="E996" s="4">
        <f t="shared" si="15"/>
        <v>43465</v>
      </c>
      <c r="F996" s="11">
        <f>[1]!EM_S_PQ_PCTCHANGE(B996,"2018-01-01","2019-12-31","3")</f>
        <v>-10.59849519</v>
      </c>
      <c r="G996" s="11">
        <f>[1]!EM_S_PQ_PCTCHANGE(B996,"2018-12-31","2019-12-30","1")</f>
        <v>27.81569966</v>
      </c>
      <c r="H996" s="11">
        <f>[1]!EM_S_FA_YOY_OR(B996,E996)</f>
        <v>7.3396858440999999</v>
      </c>
      <c r="I996" s="11">
        <f>[1]!EM_S_FA_GROSSPROFITMARGIN(B996,E996)</f>
        <v>37.919690659399997</v>
      </c>
      <c r="J996" s="11">
        <f>[1]!EM_S_FA_NETPROFITMARGIN(B996,E996)</f>
        <v>20.165814108599999</v>
      </c>
      <c r="K996" s="10">
        <f>[1]!EM_S_FA_ASSETSTURN(B996,E996)</f>
        <v>0.19673016220299999</v>
      </c>
      <c r="L996" s="12">
        <f>[1]!EM_HKS_VAL_MV(B996,"2019-12-31","2")</f>
        <v>9392668726.6499996</v>
      </c>
      <c r="M996">
        <f>[1]!EM_S_VAL_PETTMDEDUCTED(B996,E996)</f>
        <v>70.6174750820405</v>
      </c>
      <c r="N996" s="7">
        <f>[1]!EM_S_VAL_PBGOODWILLDEDUCTED(B996,E996)</f>
        <v>1.06350480687774</v>
      </c>
      <c r="O996" s="7">
        <f>[1]!EM_S_VAL_PS_TTM(B996,E996)</f>
        <v>3.4001220773785898</v>
      </c>
      <c r="P996" s="7">
        <f>[1]!EM_S_VAL_PCF_NCFTTM(B996,E996)</f>
        <v>40.084308176376602</v>
      </c>
      <c r="Q996" s="7">
        <f>[1]!EM_S_VAL_DIVIDENDYIELD2(B996,E996,"2019-11-29")</f>
        <v>1.7957589496512505</v>
      </c>
      <c r="T996"/>
      <c r="U996">
        <f>[1]!EM_S_RATIO_EPS_TTM(B996,E996,"1")</f>
        <v>0.35371762275916208</v>
      </c>
      <c r="AT996" s="4" t="str">
        <f>[1]!EM_S_IPO_LISTEDDATE(B996)</f>
        <v>2011-02-11</v>
      </c>
    </row>
    <row r="997" spans="1:46">
      <c r="A997">
        <v>2479</v>
      </c>
      <c r="B997" t="str">
        <f>"600359"</f>
        <v>600359</v>
      </c>
      <c r="C997" t="s">
        <v>2044</v>
      </c>
      <c r="D997" t="str">
        <f>[1]!EM_S_INFO_INDEX_EM(B997,"1")</f>
        <v>农林牧渔</v>
      </c>
      <c r="E997" s="4">
        <f t="shared" si="15"/>
        <v>43465</v>
      </c>
      <c r="F997" s="11">
        <f>[1]!EM_S_PQ_PCTCHANGE(B997,"2018-01-01","2019-12-31","3")</f>
        <v>-19.440353460000001</v>
      </c>
      <c r="G997" s="11">
        <f>[1]!EM_S_PQ_PCTCHANGE(B997,"2018-12-31","2019-12-30","1")</f>
        <v>27.764705880000001</v>
      </c>
      <c r="H997" s="11">
        <f>[1]!EM_S_FA_YOY_OR(B997,E997)</f>
        <v>-42.236387645900002</v>
      </c>
      <c r="I997" s="11">
        <f>[1]!EM_S_FA_GROSSPROFITMARGIN(B997,E997)</f>
        <v>16.1200572829</v>
      </c>
      <c r="J997" s="11">
        <f>[1]!EM_S_FA_NETPROFITMARGIN(B997,E997)</f>
        <v>-35.3033186782</v>
      </c>
      <c r="K997" s="10">
        <f>[1]!EM_S_FA_ASSETSTURN(B997,E997)</f>
        <v>0.26690793546899999</v>
      </c>
      <c r="L997" s="12">
        <f>[1]!EM_HKS_VAL_MV(B997,"2019-12-31","2")</f>
        <v>2086875125.4000001</v>
      </c>
      <c r="M997">
        <f>[1]!EM_S_VAL_PETTMDEDUCTED(B997,E997)</f>
        <v>-12.6656128256037</v>
      </c>
      <c r="N997" s="7">
        <f>[1]!EM_S_VAL_PBGOODWILLDEDUCTED(B997,E997)</f>
        <v>3.4791660064658498</v>
      </c>
      <c r="O997" s="7">
        <f>[1]!EM_S_VAL_PS_TTM(B997,E997)</f>
        <v>2.6429582649774401</v>
      </c>
      <c r="P997" s="7">
        <f>[1]!EM_S_VAL_PCF_NCFTTM(B997,E997)</f>
        <v>-12.611382891058801</v>
      </c>
      <c r="Q997" s="7">
        <f>[1]!EM_S_VAL_DIVIDENDYIELD2(B997,E997,"2019-11-29")</f>
        <v>0</v>
      </c>
      <c r="T997"/>
      <c r="U997">
        <f>[1]!EM_S_RATIO_EPS_TTM(B997,E997,"1")</f>
        <v>-0.57079345522386382</v>
      </c>
      <c r="AT997" s="4" t="str">
        <f>[1]!EM_S_IPO_LISTEDDATE(B997)</f>
        <v>1999-04-29</v>
      </c>
    </row>
    <row r="998" spans="1:46">
      <c r="A998">
        <v>1184</v>
      </c>
      <c r="B998" t="str">
        <f>"002673"</f>
        <v>002673</v>
      </c>
      <c r="C998" t="s">
        <v>2301</v>
      </c>
      <c r="D998" t="str">
        <f>[1]!EM_S_INFO_INDEX_EM(B998,"1")</f>
        <v>金融</v>
      </c>
      <c r="E998" s="4">
        <f t="shared" si="15"/>
        <v>43465</v>
      </c>
      <c r="F998" s="11">
        <f>[1]!EM_S_PQ_PCTCHANGE(B998,"2018-01-01","2019-12-31","3")</f>
        <v>-19.136777349999999</v>
      </c>
      <c r="G998" s="11">
        <f>[1]!EM_S_PQ_PCTCHANGE(B998,"2018-12-31","2019-12-30","1")</f>
        <v>27.640156449999999</v>
      </c>
      <c r="H998" s="11">
        <f>[1]!EM_S_FA_YOY_OR(B998,E998)</f>
        <v>-29.420171138000001</v>
      </c>
      <c r="I998" s="11">
        <f>[1]!EM_S_FA_GROSSPROFITMARGIN(B998,E998)</f>
        <v>0</v>
      </c>
      <c r="J998" s="11">
        <f>[1]!EM_S_FA_NETPROFITMARGIN(B998,E998)</f>
        <v>9.0198326787000003</v>
      </c>
      <c r="K998" s="10">
        <f>[1]!EM_S_FA_ASSETSTURN(B998,E998)</f>
        <v>0</v>
      </c>
      <c r="L998" s="12">
        <f>[1]!EM_HKS_VAL_MV(B998,"2019-12-31","2")</f>
        <v>34318029746</v>
      </c>
      <c r="M998">
        <f>[1]!EM_S_VAL_PETTMDEDUCTED(B998,E998)</f>
        <v>77.402775391604706</v>
      </c>
      <c r="N998" s="7">
        <f>[1]!EM_S_VAL_PBGOODWILLDEDUCTED(B998,E998)</f>
        <v>1.5478915918155101</v>
      </c>
      <c r="O998" s="7">
        <f>[1]!EM_S_VAL_PS_TTM(B998,E998)</f>
        <v>10.5185509549594</v>
      </c>
      <c r="P998" s="7">
        <f>[1]!EM_S_VAL_PCF_NCFTTM(B998,E998)</f>
        <v>-14.104967708630801</v>
      </c>
      <c r="Q998" s="7">
        <f>[1]!EM_S_VAL_DIVIDENDYIELD2(B998,E998,"2019-11-29")</f>
        <v>0.65759637188208608</v>
      </c>
      <c r="T998"/>
      <c r="U998">
        <f>[1]!EM_S_RATIO_EPS_TTM(B998,E998,"1")</f>
        <v>5.7236746828653443E-2</v>
      </c>
      <c r="AT998" s="4" t="str">
        <f>[1]!EM_S_IPO_LISTEDDATE(B998)</f>
        <v>2012-05-03</v>
      </c>
    </row>
    <row r="999" spans="1:46">
      <c r="A999">
        <v>785</v>
      </c>
      <c r="B999" t="str">
        <f>"002274"</f>
        <v>002274</v>
      </c>
      <c r="C999" t="s">
        <v>3020</v>
      </c>
      <c r="D999" t="str">
        <f>[1]!EM_S_INFO_INDEX_EM(B999,"1")</f>
        <v>基础化工</v>
      </c>
      <c r="E999" s="4">
        <f t="shared" si="15"/>
        <v>43465</v>
      </c>
      <c r="F999" s="11">
        <f>[1]!EM_S_PQ_PCTCHANGE(B999,"2018-01-01","2019-12-31","3")</f>
        <v>37.886688669999998</v>
      </c>
      <c r="G999" s="11">
        <f>[1]!EM_S_PQ_PCTCHANGE(B999,"2018-12-31","2019-12-30","1")</f>
        <v>27.613412230000002</v>
      </c>
      <c r="H999" s="11">
        <f>[1]!EM_S_FA_YOY_OR(B999,E999)</f>
        <v>9.1609341483000009</v>
      </c>
      <c r="I999" s="11">
        <f>[1]!EM_S_FA_GROSSPROFITMARGIN(B999,E999)</f>
        <v>11.286422417400001</v>
      </c>
      <c r="J999" s="11">
        <f>[1]!EM_S_FA_NETPROFITMARGIN(B999,E999)</f>
        <v>2.4651682052999999</v>
      </c>
      <c r="K999" s="10">
        <f>[1]!EM_S_FA_ASSETSTURN(B999,E999)</f>
        <v>0.90680742589100005</v>
      </c>
      <c r="L999" s="12">
        <f>[1]!EM_HKS_VAL_MV(B999,"2019-12-31","2")</f>
        <v>6123704673.7799997</v>
      </c>
      <c r="M999">
        <f>[1]!EM_S_VAL_PETTMDEDUCTED(B999,E999)</f>
        <v>19.085180084328702</v>
      </c>
      <c r="N999" s="7">
        <f>[1]!EM_S_VAL_PBGOODWILLDEDUCTED(B999,E999)</f>
        <v>1.22547856104877</v>
      </c>
      <c r="O999" s="7">
        <f>[1]!EM_S_VAL_PS_TTM(B999,E999)</f>
        <v>0.52862516562900097</v>
      </c>
      <c r="P999" s="7">
        <f>[1]!EM_S_VAL_PCF_NCFTTM(B999,E999)</f>
        <v>34.507749363503798</v>
      </c>
      <c r="Q999" s="7">
        <f>[1]!EM_S_VAL_DIVIDENDYIELD2(B999,E999,"2019-11-29")</f>
        <v>1.6949152542372881</v>
      </c>
      <c r="T999"/>
      <c r="U999">
        <f>[1]!EM_S_RATIO_EPS_TTM(B999,E999,"1")</f>
        <v>0.22369859034015421</v>
      </c>
      <c r="AT999" s="4" t="str">
        <f>[1]!EM_S_IPO_LISTEDDATE(B999)</f>
        <v>2008-09-25</v>
      </c>
    </row>
    <row r="1000" spans="1:46">
      <c r="A1000">
        <v>3188</v>
      </c>
      <c r="B1000" t="str">
        <f>"601968"</f>
        <v>601968</v>
      </c>
      <c r="C1000" t="s">
        <v>3216</v>
      </c>
      <c r="D1000" t="str">
        <f>[1]!EM_S_INFO_INDEX_EM(B1000,"1")</f>
        <v>轻工制造</v>
      </c>
      <c r="E1000" s="4">
        <f t="shared" si="15"/>
        <v>43465</v>
      </c>
      <c r="F1000" s="11">
        <f>[1]!EM_S_PQ_PCTCHANGE(B1000,"2018-01-01","2019-12-31","3")</f>
        <v>-1.2960636999999999</v>
      </c>
      <c r="G1000" s="11">
        <f>[1]!EM_S_PQ_PCTCHANGE(B1000,"2018-12-31","2019-12-30","1")</f>
        <v>27.568922310000001</v>
      </c>
      <c r="H1000" s="11">
        <f>[1]!EM_S_FA_YOY_OR(B1000,E1000)</f>
        <v>9.4810561524000008</v>
      </c>
      <c r="I1000" s="11">
        <f>[1]!EM_S_FA_GROSSPROFITMARGIN(B1000,E1000)</f>
        <v>11.229900966000001</v>
      </c>
      <c r="J1000" s="11">
        <f>[1]!EM_S_FA_NETPROFITMARGIN(B1000,E1000)</f>
        <v>0.88945197369999995</v>
      </c>
      <c r="K1000" s="10">
        <f>[1]!EM_S_FA_ASSETSTURN(B1000,E1000)</f>
        <v>0.88047790336200005</v>
      </c>
      <c r="L1000" s="12">
        <f>[1]!EM_HKS_VAL_MV(B1000,"2019-12-31","2")</f>
        <v>4224999831</v>
      </c>
      <c r="M1000">
        <f>[1]!EM_S_VAL_PETTMDEDUCTED(B1000,E1000)</f>
        <v>81.765178048537805</v>
      </c>
      <c r="N1000" s="7">
        <f>[1]!EM_S_VAL_PBGOODWILLDEDUCTED(B1000,E1000)</f>
        <v>1.6226956730792099</v>
      </c>
      <c r="O1000" s="7">
        <f>[1]!EM_S_VAL_PS_TTM(B1000,E1000)</f>
        <v>0.68135017104242801</v>
      </c>
      <c r="P1000" s="7">
        <f>[1]!EM_S_VAL_PCF_NCFTTM(B1000,E1000)</f>
        <v>-40.152452424239101</v>
      </c>
      <c r="Q1000" s="7">
        <f>[1]!EM_S_VAL_DIVIDENDYIELD2(B1000,E1000,"2019-11-29")</f>
        <v>0.48148148148148151</v>
      </c>
      <c r="T1000"/>
      <c r="U1000">
        <f>[1]!EM_S_RATIO_EPS_TTM(B1000,E1000,"1")</f>
        <v>5.0269897758795909E-2</v>
      </c>
      <c r="AT1000" s="4" t="str">
        <f>[1]!EM_S_IPO_LISTEDDATE(B1000)</f>
        <v>2015-06-11</v>
      </c>
    </row>
    <row r="1001" spans="1:46">
      <c r="A1001">
        <v>773</v>
      </c>
      <c r="B1001" t="str">
        <f>"002262"</f>
        <v>002262</v>
      </c>
      <c r="C1001" t="s">
        <v>461</v>
      </c>
      <c r="D1001" t="str">
        <f>[1]!EM_S_INFO_INDEX_EM(B1001,"1")</f>
        <v>医药生物</v>
      </c>
      <c r="E1001" s="4">
        <f t="shared" si="15"/>
        <v>43465</v>
      </c>
      <c r="F1001" s="11">
        <f>[1]!EM_S_PQ_PCTCHANGE(B1001,"2018-01-01","2019-12-31","3")</f>
        <v>-17.742272249999999</v>
      </c>
      <c r="G1001" s="11">
        <f>[1]!EM_S_PQ_PCTCHANGE(B1001,"2018-12-31","2019-12-30","1")</f>
        <v>27.494456759999998</v>
      </c>
      <c r="H1001" s="11">
        <f>[1]!EM_S_FA_YOY_OR(B1001,E1001)</f>
        <v>13.686972584399999</v>
      </c>
      <c r="I1001" s="11">
        <f>[1]!EM_S_FA_GROSSPROFITMARGIN(B1001,E1001)</f>
        <v>56.1450939964</v>
      </c>
      <c r="J1001" s="11">
        <f>[1]!EM_S_FA_NETPROFITMARGIN(B1001,E1001)</f>
        <v>13.4561650567</v>
      </c>
      <c r="K1001" s="10">
        <f>[1]!EM_S_FA_ASSETSTURN(B1001,E1001)</f>
        <v>1.0524572134179999</v>
      </c>
      <c r="L1001" s="12">
        <f>[1]!EM_HKS_VAL_MV(B1001,"2019-12-31","2")</f>
        <v>11855479078.93</v>
      </c>
      <c r="M1001">
        <f>[1]!EM_S_VAL_PETTMDEDUCTED(B1001,E1001)</f>
        <v>19.8659341212363</v>
      </c>
      <c r="N1001" s="7">
        <f>[1]!EM_S_VAL_PBGOODWILLDEDUCTED(B1001,E1001)</f>
        <v>3.1121283641415101</v>
      </c>
      <c r="O1001" s="7">
        <f>[1]!EM_S_VAL_PS_TTM(B1001,E1001)</f>
        <v>2.4443043251200498</v>
      </c>
      <c r="P1001" s="7">
        <f>[1]!EM_S_VAL_PCF_NCFTTM(B1001,E1001)</f>
        <v>66.543741391475507</v>
      </c>
      <c r="Q1001" s="7">
        <f>[1]!EM_S_VAL_DIVIDENDYIELD2(B1001,E1001,"2019-11-29")</f>
        <v>0.54556905269400657</v>
      </c>
      <c r="T1001"/>
      <c r="U1001">
        <f>[1]!EM_S_RATIO_EPS_TTM(B1001,E1001,"1")</f>
        <v>0.51450957482359794</v>
      </c>
      <c r="AT1001" s="4" t="str">
        <f>[1]!EM_S_IPO_LISTEDDATE(B1001)</f>
        <v>2008-07-23</v>
      </c>
    </row>
    <row r="1002" spans="1:46">
      <c r="A1002">
        <v>809</v>
      </c>
      <c r="B1002" t="str">
        <f>"002298"</f>
        <v>002298</v>
      </c>
      <c r="C1002" t="s">
        <v>2302</v>
      </c>
      <c r="D1002" t="str">
        <f>[1]!EM_S_INFO_INDEX_EM(B1002,"1")</f>
        <v>信息技术</v>
      </c>
      <c r="E1002" s="4">
        <f t="shared" si="15"/>
        <v>43465</v>
      </c>
      <c r="F1002" s="11">
        <f>[1]!EM_S_PQ_PCTCHANGE(B1002,"2018-01-01","2019-12-31","3")</f>
        <v>-14.646095580000001</v>
      </c>
      <c r="G1002" s="11">
        <f>[1]!EM_S_PQ_PCTCHANGE(B1002,"2018-12-31","2019-12-30","1")</f>
        <v>27.457627120000001</v>
      </c>
      <c r="H1002" s="11">
        <f>[1]!EM_S_FA_YOY_OR(B1002,E1002)</f>
        <v>21.247768257699999</v>
      </c>
      <c r="I1002" s="11">
        <f>[1]!EM_S_FA_GROSSPROFITMARGIN(B1002,E1002)</f>
        <v>30.217403288</v>
      </c>
      <c r="J1002" s="11">
        <f>[1]!EM_S_FA_NETPROFITMARGIN(B1002,E1002)</f>
        <v>7.6697360719000001</v>
      </c>
      <c r="K1002" s="10">
        <f>[1]!EM_S_FA_ASSETSTURN(B1002,E1002)</f>
        <v>0.405891753721</v>
      </c>
      <c r="L1002" s="12">
        <f>[1]!EM_HKS_VAL_MV(B1002,"2019-12-31","2")</f>
        <v>5227784717.3999996</v>
      </c>
      <c r="M1002">
        <f>[1]!EM_S_VAL_PETTMDEDUCTED(B1002,E1002)</f>
        <v>26.6681924359997</v>
      </c>
      <c r="N1002" s="7">
        <f>[1]!EM_S_VAL_PBGOODWILLDEDUCTED(B1002,E1002)</f>
        <v>1.5241672910148401</v>
      </c>
      <c r="O1002" s="7">
        <f>[1]!EM_S_VAL_PS_TTM(B1002,E1002)</f>
        <v>1.7462910824231099</v>
      </c>
      <c r="P1002" s="7">
        <f>[1]!EM_S_VAL_PCF_NCFTTM(B1002,E1002)</f>
        <v>-10.202950892429699</v>
      </c>
      <c r="Q1002" s="7">
        <f>[1]!EM_S_VAL_DIVIDENDYIELD2(B1002,E1002,"2019-11-29")</f>
        <v>0.74229691876750703</v>
      </c>
      <c r="T1002"/>
      <c r="U1002">
        <f>[1]!EM_S_RATIO_EPS_TTM(B1002,E1002,"1")</f>
        <v>0.25272765598830776</v>
      </c>
      <c r="AT1002" s="4" t="str">
        <f>[1]!EM_S_IPO_LISTEDDATE(B1002)</f>
        <v>2009-09-29</v>
      </c>
    </row>
    <row r="1003" spans="1:46">
      <c r="A1003">
        <v>2414</v>
      </c>
      <c r="B1003" t="str">
        <f>"600285"</f>
        <v>600285</v>
      </c>
      <c r="C1003" t="s">
        <v>667</v>
      </c>
      <c r="D1003" t="str">
        <f>[1]!EM_S_INFO_INDEX_EM(B1003,"1")</f>
        <v>医药生物</v>
      </c>
      <c r="E1003" s="4">
        <f t="shared" si="15"/>
        <v>43465</v>
      </c>
      <c r="F1003" s="11">
        <f>[1]!EM_S_PQ_PCTCHANGE(B1003,"2018-01-01","2019-12-31","3")</f>
        <v>10.09948747</v>
      </c>
      <c r="G1003" s="11">
        <f>[1]!EM_S_PQ_PCTCHANGE(B1003,"2018-12-31","2019-12-30","1")</f>
        <v>27.393617020000001</v>
      </c>
      <c r="H1003" s="11">
        <f>[1]!EM_S_FA_YOY_OR(B1003,E1003)</f>
        <v>11.0676396695</v>
      </c>
      <c r="I1003" s="11">
        <f>[1]!EM_S_FA_GROSSPROFITMARGIN(B1003,E1003)</f>
        <v>76.069236341700005</v>
      </c>
      <c r="J1003" s="11">
        <f>[1]!EM_S_FA_NETPROFITMARGIN(B1003,E1003)</f>
        <v>11.9703927448</v>
      </c>
      <c r="K1003" s="10">
        <f>[1]!EM_S_FA_ASSETSTURN(B1003,E1003)</f>
        <v>0.63984543809200001</v>
      </c>
      <c r="L1003" s="12">
        <f>[1]!EM_HKS_VAL_MV(B1003,"2019-12-31","2")</f>
        <v>5621309020.8000002</v>
      </c>
      <c r="M1003">
        <f>[1]!EM_S_VAL_PETTMDEDUCTED(B1003,E1003)</f>
        <v>18.619199065315399</v>
      </c>
      <c r="N1003" s="7">
        <f>[1]!EM_S_VAL_PBGOODWILLDEDUCTED(B1003,E1003)</f>
        <v>2.1185780481619401</v>
      </c>
      <c r="O1003" s="7">
        <f>[1]!EM_S_VAL_PS_TTM(B1003,E1003)</f>
        <v>2.0619785075051702</v>
      </c>
      <c r="P1003" s="7">
        <f>[1]!EM_S_VAL_PCF_NCFTTM(B1003,E1003)</f>
        <v>13.450781926233899</v>
      </c>
      <c r="Q1003" s="7">
        <f>[1]!EM_S_VAL_DIVIDENDYIELD2(B1003,E1003,"2019-11-29")</f>
        <v>1.5114558994721017</v>
      </c>
      <c r="T1003"/>
      <c r="U1003">
        <f>[1]!EM_S_RATIO_EPS_TTM(B1003,E1003,"1")</f>
        <v>0.41480807537652142</v>
      </c>
      <c r="AT1003" s="4" t="str">
        <f>[1]!EM_S_IPO_LISTEDDATE(B1003)</f>
        <v>2000-10-18</v>
      </c>
    </row>
    <row r="1004" spans="1:46">
      <c r="A1004">
        <v>743</v>
      </c>
      <c r="B1004" t="str">
        <f>"002232"</f>
        <v>002232</v>
      </c>
      <c r="C1004" t="s">
        <v>3030</v>
      </c>
      <c r="D1004" t="str">
        <f>[1]!EM_S_INFO_INDEX_EM(B1004,"1")</f>
        <v>信息技术</v>
      </c>
      <c r="E1004" s="4">
        <f t="shared" si="15"/>
        <v>43465</v>
      </c>
      <c r="F1004" s="11">
        <f>[1]!EM_S_PQ_PCTCHANGE(B1004,"2018-01-01","2019-12-31","3")</f>
        <v>-17.282926639999999</v>
      </c>
      <c r="G1004" s="11">
        <f>[1]!EM_S_PQ_PCTCHANGE(B1004,"2018-12-31","2019-12-30","1")</f>
        <v>27.39322533</v>
      </c>
      <c r="H1004" s="11">
        <f>[1]!EM_S_FA_YOY_OR(B1004,E1004)</f>
        <v>-7.2514696381999997</v>
      </c>
      <c r="I1004" s="11">
        <f>[1]!EM_S_FA_GROSSPROFITMARGIN(B1004,E1004)</f>
        <v>16.035335480200001</v>
      </c>
      <c r="J1004" s="11">
        <f>[1]!EM_S_FA_NETPROFITMARGIN(B1004,E1004)</f>
        <v>4.9771468252000002</v>
      </c>
      <c r="K1004" s="10">
        <f>[1]!EM_S_FA_ASSETSTURN(B1004,E1004)</f>
        <v>0.83561851075600002</v>
      </c>
      <c r="L1004" s="12">
        <f>[1]!EM_HKS_VAL_MV(B1004,"2019-12-31","2")</f>
        <v>3550286073.9499998</v>
      </c>
      <c r="M1004">
        <f>[1]!EM_S_VAL_PETTMDEDUCTED(B1004,E1004)</f>
        <v>45.038818433487897</v>
      </c>
      <c r="N1004" s="7">
        <f>[1]!EM_S_VAL_PBGOODWILLDEDUCTED(B1004,E1004)</f>
        <v>2.4873526378219601</v>
      </c>
      <c r="O1004" s="7">
        <f>[1]!EM_S_VAL_PS_TTM(B1004,E1004)</f>
        <v>1.62202157319172</v>
      </c>
      <c r="P1004" s="7">
        <f>[1]!EM_S_VAL_PCF_NCFTTM(B1004,E1004)</f>
        <v>-128.77810098133699</v>
      </c>
      <c r="Q1004" s="7">
        <f>[1]!EM_S_VAL_DIVIDENDYIELD2(B1004,E1004,"2019-11-29")</f>
        <v>0.16250000000000001</v>
      </c>
      <c r="T1004"/>
      <c r="U1004">
        <f>[1]!EM_S_RATIO_EPS_TTM(B1004,E1004,"1")</f>
        <v>0.17664343009203157</v>
      </c>
      <c r="AT1004" s="4" t="str">
        <f>[1]!EM_S_IPO_LISTEDDATE(B1004)</f>
        <v>2008-05-09</v>
      </c>
    </row>
    <row r="1005" spans="1:46">
      <c r="A1005">
        <v>851</v>
      </c>
      <c r="B1005" t="str">
        <f>"002340"</f>
        <v>002340</v>
      </c>
      <c r="C1005" t="s">
        <v>1198</v>
      </c>
      <c r="D1005" t="str">
        <f>[1]!EM_S_INFO_INDEX_EM(B1005,"1")</f>
        <v>有色金属</v>
      </c>
      <c r="E1005" s="4">
        <f t="shared" si="15"/>
        <v>43465</v>
      </c>
      <c r="F1005" s="11">
        <f>[1]!EM_S_PQ_PCTCHANGE(B1005,"2018-01-01","2019-12-31","3")</f>
        <v>-31.508686659999999</v>
      </c>
      <c r="G1005" s="11">
        <f>[1]!EM_S_PQ_PCTCHANGE(B1005,"2018-12-31","2019-12-30","1")</f>
        <v>27.34375</v>
      </c>
      <c r="H1005" s="11">
        <f>[1]!EM_S_FA_YOY_OR(B1005,E1005)</f>
        <v>29.074075358000002</v>
      </c>
      <c r="I1005" s="11">
        <f>[1]!EM_S_FA_GROSSPROFITMARGIN(B1005,E1005)</f>
        <v>19.155771660500001</v>
      </c>
      <c r="J1005" s="11">
        <f>[1]!EM_S_FA_NETPROFITMARGIN(B1005,E1005)</f>
        <v>5.6109750899000002</v>
      </c>
      <c r="K1005" s="10">
        <f>[1]!EM_S_FA_ASSETSTURN(B1005,E1005)</f>
        <v>0.58793174400399995</v>
      </c>
      <c r="L1005" s="12">
        <f>[1]!EM_HKS_VAL_MV(B1005,"2019-12-31","2")</f>
        <v>20208716961.509998</v>
      </c>
      <c r="M1005">
        <f>[1]!EM_S_VAL_PETTMDEDUCTED(B1005,E1005)</f>
        <v>21.391632561130098</v>
      </c>
      <c r="N1005" s="7">
        <f>[1]!EM_S_VAL_PBGOODWILLDEDUCTED(B1005,E1005)</f>
        <v>1.64547170181613</v>
      </c>
      <c r="O1005" s="7">
        <f>[1]!EM_S_VAL_PS_TTM(B1005,E1005)</f>
        <v>1.16214919243475</v>
      </c>
      <c r="P1005" s="7">
        <f>[1]!EM_S_VAL_PCF_NCFTTM(B1005,E1005)</f>
        <v>14.2738361739633</v>
      </c>
      <c r="Q1005" s="7">
        <f>[1]!EM_S_VAL_DIVIDENDYIELD2(B1005,E1005,"2019-11-29")</f>
        <v>0.74097140812357021</v>
      </c>
      <c r="T1005"/>
      <c r="U1005">
        <f>[1]!EM_S_RATIO_EPS_TTM(B1005,E1005,"1")</f>
        <v>0.17594022444061003</v>
      </c>
      <c r="AT1005" s="4" t="str">
        <f>[1]!EM_S_IPO_LISTEDDATE(B1005)</f>
        <v>2010-01-22</v>
      </c>
    </row>
    <row r="1006" spans="1:46">
      <c r="A1006">
        <v>1805</v>
      </c>
      <c r="B1006" t="str">
        <f>"300380"</f>
        <v>300380</v>
      </c>
      <c r="C1006" t="s">
        <v>2548</v>
      </c>
      <c r="D1006" t="str">
        <f>[1]!EM_S_INFO_INDEX_EM(B1006,"1")</f>
        <v>信息技术</v>
      </c>
      <c r="E1006" s="4">
        <f t="shared" si="15"/>
        <v>43465</v>
      </c>
      <c r="F1006" s="11">
        <f>[1]!EM_S_PQ_PCTCHANGE(B1006,"2018-01-01","2019-12-31","3")</f>
        <v>-5.9437315399999999</v>
      </c>
      <c r="G1006" s="11">
        <f>[1]!EM_S_PQ_PCTCHANGE(B1006,"2018-12-31","2019-12-30","1")</f>
        <v>27.33720181</v>
      </c>
      <c r="H1006" s="11">
        <f>[1]!EM_S_FA_YOY_OR(B1006,E1006)</f>
        <v>6.5357057468999997</v>
      </c>
      <c r="I1006" s="11">
        <f>[1]!EM_S_FA_GROSSPROFITMARGIN(B1006,E1006)</f>
        <v>36.860624742799999</v>
      </c>
      <c r="J1006" s="11">
        <f>[1]!EM_S_FA_NETPROFITMARGIN(B1006,E1006)</f>
        <v>4.9150386049000003</v>
      </c>
      <c r="K1006" s="10">
        <f>[1]!EM_S_FA_ASSETSTURN(B1006,E1006)</f>
        <v>0.86563371062600003</v>
      </c>
      <c r="L1006" s="12">
        <f>[1]!EM_HKS_VAL_MV(B1006,"2019-12-31","2")</f>
        <v>2710316800</v>
      </c>
      <c r="M1006">
        <f>[1]!EM_S_VAL_PETTMDEDUCTED(B1006,E1006)</f>
        <v>105.985372928063</v>
      </c>
      <c r="N1006" s="7">
        <f>[1]!EM_S_VAL_PBGOODWILLDEDUCTED(B1006,E1006)</f>
        <v>5.00188121288849</v>
      </c>
      <c r="O1006" s="7">
        <f>[1]!EM_S_VAL_PS_TTM(B1006,E1006)</f>
        <v>3.91417267580443</v>
      </c>
      <c r="P1006" s="7">
        <f>[1]!EM_S_VAL_PCF_NCFTTM(B1006,E1006)</f>
        <v>46.836916013003602</v>
      </c>
      <c r="Q1006" s="7">
        <f>[1]!EM_S_VAL_DIVIDENDYIELD2(B1006,E1006,"2019-11-29")</f>
        <v>0.55309734513274333</v>
      </c>
      <c r="T1006"/>
      <c r="U1006">
        <f>[1]!EM_S_RATIO_EPS_TTM(B1006,E1006,"1")</f>
        <v>0.21257919513969731</v>
      </c>
      <c r="AT1006" s="4" t="str">
        <f>[1]!EM_S_IPO_LISTEDDATE(B1006)</f>
        <v>2014-01-28</v>
      </c>
    </row>
    <row r="1007" spans="1:46">
      <c r="A1007">
        <v>3321</v>
      </c>
      <c r="B1007" t="str">
        <f>"603227"</f>
        <v>603227</v>
      </c>
      <c r="C1007" t="s">
        <v>3471</v>
      </c>
      <c r="D1007" t="str">
        <f>[1]!EM_S_INFO_INDEX_EM(B1007,"1")</f>
        <v>基础化工</v>
      </c>
      <c r="E1007" s="4">
        <f t="shared" si="15"/>
        <v>43465</v>
      </c>
      <c r="F1007" s="11">
        <f>[1]!EM_S_PQ_PCTCHANGE(B1007,"2018-01-01","2019-12-31","3")</f>
        <v>-17.982547969999999</v>
      </c>
      <c r="G1007" s="11">
        <f>[1]!EM_S_PQ_PCTCHANGE(B1007,"2018-12-31","2019-12-30","1")</f>
        <v>27.322404370000001</v>
      </c>
      <c r="H1007" s="11">
        <f>[1]!EM_S_FA_YOY_OR(B1007,E1007)</f>
        <v>59.747043253999998</v>
      </c>
      <c r="I1007" s="11">
        <f>[1]!EM_S_FA_GROSSPROFITMARGIN(B1007,E1007)</f>
        <v>17.627527434499999</v>
      </c>
      <c r="J1007" s="11">
        <f>[1]!EM_S_FA_NETPROFITMARGIN(B1007,E1007)</f>
        <v>4.8833025078999999</v>
      </c>
      <c r="K1007" s="10">
        <f>[1]!EM_S_FA_ASSETSTURN(B1007,E1007)</f>
        <v>0.71521761899000003</v>
      </c>
      <c r="L1007" s="12">
        <f>[1]!EM_HKS_VAL_MV(B1007,"2019-12-31","2")</f>
        <v>3062955000</v>
      </c>
      <c r="M1007">
        <f>[1]!EM_S_VAL_PETTMDEDUCTED(B1007,E1007)</f>
        <v>86.694741994762794</v>
      </c>
      <c r="N1007" s="7">
        <f>[1]!EM_S_VAL_PBGOODWILLDEDUCTED(B1007,E1007)</f>
        <v>2.06141020623987</v>
      </c>
      <c r="O1007" s="7">
        <f>[1]!EM_S_VAL_PS_TTM(B1007,E1007)</f>
        <v>1.2976746330828599</v>
      </c>
      <c r="P1007" s="7">
        <f>[1]!EM_S_VAL_PCF_NCFTTM(B1007,E1007)</f>
        <v>-20.4336790057976</v>
      </c>
      <c r="Q1007" s="7">
        <f>[1]!EM_S_VAL_DIVIDENDYIELD2(B1007,E1007,"2019-11-29")</f>
        <v>0.6960556844547563</v>
      </c>
      <c r="T1007"/>
      <c r="U1007">
        <f>[1]!EM_S_RATIO_EPS_TTM(B1007,E1007,"1")</f>
        <v>7.8602386215272504E-2</v>
      </c>
      <c r="AT1007" s="4" t="str">
        <f>[1]!EM_S_IPO_LISTEDDATE(B1007)</f>
        <v>2015-05-15</v>
      </c>
    </row>
    <row r="1008" spans="1:46">
      <c r="A1008">
        <v>1104</v>
      </c>
      <c r="B1008" t="str">
        <f>"002593"</f>
        <v>002593</v>
      </c>
      <c r="C1008" t="s">
        <v>2663</v>
      </c>
      <c r="D1008" t="str">
        <f>[1]!EM_S_INFO_INDEX_EM(B1008,"1")</f>
        <v>交运设备</v>
      </c>
      <c r="E1008" s="4">
        <f t="shared" si="15"/>
        <v>43465</v>
      </c>
      <c r="F1008" s="11">
        <f>[1]!EM_S_PQ_PCTCHANGE(B1008,"2018-01-01","2019-12-31","3")</f>
        <v>-8.7156542100000003</v>
      </c>
      <c r="G1008" s="11">
        <f>[1]!EM_S_PQ_PCTCHANGE(B1008,"2018-12-31","2019-12-30","1")</f>
        <v>27.30263158</v>
      </c>
      <c r="H1008" s="11">
        <f>[1]!EM_S_FA_YOY_OR(B1008,E1008)</f>
        <v>45.752692564999997</v>
      </c>
      <c r="I1008" s="11">
        <f>[1]!EM_S_FA_GROSSPROFITMARGIN(B1008,E1008)</f>
        <v>12.030777152000001</v>
      </c>
      <c r="J1008" s="11">
        <f>[1]!EM_S_FA_NETPROFITMARGIN(B1008,E1008)</f>
        <v>2.7552534640999999</v>
      </c>
      <c r="K1008" s="10">
        <f>[1]!EM_S_FA_ASSETSTURN(B1008,E1008)</f>
        <v>0.75132227221100001</v>
      </c>
      <c r="L1008" s="12">
        <f>[1]!EM_HKS_VAL_MV(B1008,"2019-12-31","2")</f>
        <v>2720306800</v>
      </c>
      <c r="M1008">
        <f>[1]!EM_S_VAL_PETTMDEDUCTED(B1008,E1008)</f>
        <v>30.996440182306699</v>
      </c>
      <c r="N1008" s="7">
        <f>[1]!EM_S_VAL_PBGOODWILLDEDUCTED(B1008,E1008)</f>
        <v>1.1340582655378599</v>
      </c>
      <c r="O1008" s="7">
        <f>[1]!EM_S_VAL_PS_TTM(B1008,E1008)</f>
        <v>0.74632327072104299</v>
      </c>
      <c r="P1008" s="7">
        <f>[1]!EM_S_VAL_PCF_NCFTTM(B1008,E1008)</f>
        <v>-43.6044431222725</v>
      </c>
      <c r="Q1008" s="7">
        <f>[1]!EM_S_VAL_DIVIDENDYIELD2(B1008,E1008,"2019-11-29")</f>
        <v>1.4707982456140352</v>
      </c>
      <c r="T1008"/>
      <c r="U1008">
        <f>[1]!EM_S_RATIO_EPS_TTM(B1008,E1008,"1")</f>
        <v>0.1164007368803885</v>
      </c>
      <c r="AT1008" s="4" t="str">
        <f>[1]!EM_S_IPO_LISTEDDATE(B1008)</f>
        <v>2011-06-28</v>
      </c>
    </row>
    <row r="1009" spans="1:46">
      <c r="A1009">
        <v>3383</v>
      </c>
      <c r="B1009" t="str">
        <f>"603368"</f>
        <v>603368</v>
      </c>
      <c r="C1009" t="s">
        <v>728</v>
      </c>
      <c r="D1009" t="str">
        <f>[1]!EM_S_INFO_INDEX_EM(B1009,"1")</f>
        <v>医药生物</v>
      </c>
      <c r="E1009" s="4">
        <f t="shared" si="15"/>
        <v>43465</v>
      </c>
      <c r="F1009" s="11">
        <f>[1]!EM_S_PQ_PCTCHANGE(B1009,"2018-01-01","2019-12-31","3")</f>
        <v>1.39717636</v>
      </c>
      <c r="G1009" s="11">
        <f>[1]!EM_S_PQ_PCTCHANGE(B1009,"2018-12-31","2019-12-30","1")</f>
        <v>27.290076339999999</v>
      </c>
      <c r="H1009" s="11">
        <f>[1]!EM_S_FA_YOY_OR(B1009,E1009)</f>
        <v>24.002868597900001</v>
      </c>
      <c r="I1009" s="11">
        <f>[1]!EM_S_FA_GROSSPROFITMARGIN(B1009,E1009)</f>
        <v>10.7605724561</v>
      </c>
      <c r="J1009" s="11">
        <f>[1]!EM_S_FA_NETPROFITMARGIN(B1009,E1009)</f>
        <v>4.8501589574999997</v>
      </c>
      <c r="K1009" s="10">
        <f>[1]!EM_S_FA_ASSETSTURN(B1009,E1009)</f>
        <v>1.352195224388</v>
      </c>
      <c r="L1009" s="12">
        <f>[1]!EM_HKS_VAL_MV(B1009,"2019-12-31","2")</f>
        <v>8715230555.2399998</v>
      </c>
      <c r="M1009">
        <f>[1]!EM_S_VAL_PETTMDEDUCTED(B1009,E1009)</f>
        <v>13.5068531839757</v>
      </c>
      <c r="N1009" s="7">
        <f>[1]!EM_S_VAL_PBGOODWILLDEDUCTED(B1009,E1009)</f>
        <v>2.2030891425626198</v>
      </c>
      <c r="O1009" s="7">
        <f>[1]!EM_S_VAL_PS_TTM(B1009,E1009)</f>
        <v>0.60970907010103303</v>
      </c>
      <c r="P1009" s="7">
        <f>[1]!EM_S_VAL_PCF_NCFTTM(B1009,E1009)</f>
        <v>-16.089107766985499</v>
      </c>
      <c r="Q1009" s="7">
        <f>[1]!EM_S_VAL_DIVIDENDYIELD2(B1009,E1009,"2019-11-29")</f>
        <v>1.8414018414018414</v>
      </c>
      <c r="T1009"/>
      <c r="U1009">
        <f>[1]!EM_S_RATIO_EPS_TTM(B1009,E1009,"1")</f>
        <v>2.0387472829760269</v>
      </c>
      <c r="AT1009" s="4" t="str">
        <f>[1]!EM_S_IPO_LISTEDDATE(B1009)</f>
        <v>2014-12-04</v>
      </c>
    </row>
    <row r="1010" spans="1:46">
      <c r="A1010">
        <v>2226</v>
      </c>
      <c r="B1010" t="str">
        <f>"600079"</f>
        <v>600079</v>
      </c>
      <c r="C1010" t="s">
        <v>1918</v>
      </c>
      <c r="D1010" t="str">
        <f>[1]!EM_S_INFO_INDEX_EM(B1010,"1")</f>
        <v>医药生物</v>
      </c>
      <c r="E1010" s="4">
        <f t="shared" si="15"/>
        <v>43465</v>
      </c>
      <c r="F1010" s="11">
        <f>[1]!EM_S_PQ_PCTCHANGE(B1010,"2018-01-01","2019-12-31","3")</f>
        <v>-23.284607009999998</v>
      </c>
      <c r="G1010" s="11">
        <f>[1]!EM_S_PQ_PCTCHANGE(B1010,"2018-12-31","2019-12-30","1")</f>
        <v>27.218934910000002</v>
      </c>
      <c r="H1010" s="11">
        <f>[1]!EM_S_FA_YOY_OR(B1010,E1010)</f>
        <v>20.6409909801</v>
      </c>
      <c r="I1010" s="11">
        <f>[1]!EM_S_FA_GROSSPROFITMARGIN(B1010,E1010)</f>
        <v>39.926235234799996</v>
      </c>
      <c r="J1010" s="11">
        <f>[1]!EM_S_FA_NETPROFITMARGIN(B1010,E1010)</f>
        <v>-10.524742677100001</v>
      </c>
      <c r="K1010" s="10">
        <f>[1]!EM_S_FA_ASSETSTURN(B1010,E1010)</f>
        <v>0.52616021181399997</v>
      </c>
      <c r="L1010" s="12">
        <f>[1]!EM_HKS_VAL_MV(B1010,"2019-12-31","2")</f>
        <v>18288545120.02</v>
      </c>
      <c r="M1010">
        <f>[1]!EM_S_VAL_PETTMDEDUCTED(B1010,E1010)</f>
        <v>27.847300242319101</v>
      </c>
      <c r="N1010" s="7">
        <f>[1]!EM_S_VAL_PBGOODWILLDEDUCTED(B1010,E1010)</f>
        <v>2.72131302313284</v>
      </c>
      <c r="O1010" s="7">
        <f>[1]!EM_S_VAL_PS_TTM(B1010,E1010)</f>
        <v>0.75011960932220501</v>
      </c>
      <c r="P1010" s="7">
        <f>[1]!EM_S_VAL_PCF_NCFTTM(B1010,E1010)</f>
        <v>-8.2477272308142506</v>
      </c>
      <c r="Q1010" s="7">
        <f>[1]!EM_S_VAL_DIVIDENDYIELD2(B1010,E1010,"2019-11-29")</f>
        <v>0</v>
      </c>
      <c r="T1010"/>
      <c r="U1010">
        <f>[1]!EM_S_RATIO_EPS_TTM(B1010,E1010,"1")</f>
        <v>-1.7417003882802169</v>
      </c>
      <c r="AT1010" s="4" t="str">
        <f>[1]!EM_S_IPO_LISTEDDATE(B1010)</f>
        <v>1997-06-06</v>
      </c>
    </row>
    <row r="1011" spans="1:46">
      <c r="A1011">
        <v>2301</v>
      </c>
      <c r="B1011" t="str">
        <f>"600161"</f>
        <v>600161</v>
      </c>
      <c r="C1011" t="s">
        <v>604</v>
      </c>
      <c r="D1011" t="str">
        <f>[1]!EM_S_INFO_INDEX_EM(B1011,"1")</f>
        <v>医药生物</v>
      </c>
      <c r="E1011" s="4">
        <f t="shared" si="15"/>
        <v>43465</v>
      </c>
      <c r="F1011" s="11">
        <f>[1]!EM_S_PQ_PCTCHANGE(B1011,"2018-01-01","2019-12-31","3")</f>
        <v>52.846109400000003</v>
      </c>
      <c r="G1011" s="11">
        <f>[1]!EM_S_PQ_PCTCHANGE(B1011,"2018-12-31","2019-12-30","1")</f>
        <v>27.2</v>
      </c>
      <c r="H1011" s="11">
        <f>[1]!EM_S_FA_YOY_OR(B1011,E1011)</f>
        <v>18.034817716300001</v>
      </c>
      <c r="I1011" s="11">
        <f>[1]!EM_S_FA_GROSSPROFITMARGIN(B1011,E1011)</f>
        <v>47.178343795000004</v>
      </c>
      <c r="J1011" s="11">
        <f>[1]!EM_S_FA_NETPROFITMARGIN(B1011,E1011)</f>
        <v>25.106849382699998</v>
      </c>
      <c r="K1011" s="10">
        <f>[1]!EM_S_FA_ASSETSTURN(B1011,E1011)</f>
        <v>0.67128227568599996</v>
      </c>
      <c r="L1011" s="12">
        <f>[1]!EM_HKS_VAL_MV(B1011,"2019-12-31","2")</f>
        <v>29207548587.580002</v>
      </c>
      <c r="M1011">
        <f>[1]!EM_S_VAL_PETTMDEDUCTED(B1011,E1011)</f>
        <v>35.4497866512678</v>
      </c>
      <c r="N1011" s="7">
        <f>[1]!EM_S_VAL_PBGOODWILLDEDUCTED(B1011,E1011)</f>
        <v>5.6510840669939597</v>
      </c>
      <c r="O1011" s="7">
        <f>[1]!EM_S_VAL_PS_TTM(B1011,E1011)</f>
        <v>8.3726712432946009</v>
      </c>
      <c r="P1011" s="7">
        <f>[1]!EM_S_VAL_PCF_NCFTTM(B1011,E1011)</f>
        <v>-25.8379940377183</v>
      </c>
      <c r="Q1011" s="7">
        <f>[1]!EM_S_VAL_DIVIDENDYIELD2(B1011,E1011,"2019-11-29")</f>
        <v>0.15770880648992563</v>
      </c>
      <c r="T1011"/>
      <c r="U1011">
        <f>[1]!EM_S_RATIO_EPS_TTM(B1011,E1011,"1")</f>
        <v>0.58484244539728492</v>
      </c>
      <c r="AT1011" s="4" t="str">
        <f>[1]!EM_S_IPO_LISTEDDATE(B1011)</f>
        <v>1998-06-16</v>
      </c>
    </row>
    <row r="1012" spans="1:46">
      <c r="A1012">
        <v>1980</v>
      </c>
      <c r="B1012" t="str">
        <f>"300557"</f>
        <v>300557</v>
      </c>
      <c r="C1012" t="s">
        <v>3576</v>
      </c>
      <c r="D1012" t="str">
        <f>[1]!EM_S_INFO_INDEX_EM(B1012,"1")</f>
        <v>机械设备</v>
      </c>
      <c r="E1012" s="4">
        <f t="shared" si="15"/>
        <v>43465</v>
      </c>
      <c r="F1012" s="11">
        <f>[1]!EM_S_PQ_PCTCHANGE(B1012,"2018-01-01","2019-12-31","3")</f>
        <v>-25.975038699999999</v>
      </c>
      <c r="G1012" s="11">
        <f>[1]!EM_S_PQ_PCTCHANGE(B1012,"2018-12-31","2019-12-30","1")</f>
        <v>27.191011240000002</v>
      </c>
      <c r="H1012" s="11">
        <f>[1]!EM_S_FA_YOY_OR(B1012,E1012)</f>
        <v>-8.5501510592999992</v>
      </c>
      <c r="I1012" s="11">
        <f>[1]!EM_S_FA_GROSSPROFITMARGIN(B1012,E1012)</f>
        <v>40.873434230100003</v>
      </c>
      <c r="J1012" s="11">
        <f>[1]!EM_S_FA_NETPROFITMARGIN(B1012,E1012)</f>
        <v>8.8743438763999993</v>
      </c>
      <c r="K1012" s="10">
        <f>[1]!EM_S_FA_ASSETSTURN(B1012,E1012)</f>
        <v>0.33004445806900001</v>
      </c>
      <c r="L1012" s="12">
        <f>[1]!EM_HKS_VAL_MV(B1012,"2019-12-31","2")</f>
        <v>1561502547</v>
      </c>
      <c r="M1012">
        <f>[1]!EM_S_VAL_PETTMDEDUCTED(B1012,E1012)</f>
        <v>-53.221119689459599</v>
      </c>
      <c r="N1012" s="7">
        <f>[1]!EM_S_VAL_PBGOODWILLDEDUCTED(B1012,E1012)</f>
        <v>2.55473918197228</v>
      </c>
      <c r="O1012" s="7">
        <f>[1]!EM_S_VAL_PS_TTM(B1012,E1012)</f>
        <v>9.9153494767024206</v>
      </c>
      <c r="P1012" s="7">
        <f>[1]!EM_S_VAL_PCF_NCFTTM(B1012,E1012)</f>
        <v>31.872213459114501</v>
      </c>
      <c r="Q1012" s="7">
        <f>[1]!EM_S_VAL_DIVIDENDYIELD2(B1012,E1012,"2019-11-29")</f>
        <v>0.39888312724371761</v>
      </c>
      <c r="T1012"/>
      <c r="U1012">
        <f>[1]!EM_S_RATIO_EPS_TTM(B1012,E1012,"1")</f>
        <v>0.3223249307418517</v>
      </c>
      <c r="AT1012" s="4" t="str">
        <f>[1]!EM_S_IPO_LISTEDDATE(B1012)</f>
        <v>2016-11-01</v>
      </c>
    </row>
    <row r="1013" spans="1:46">
      <c r="A1013">
        <v>3140</v>
      </c>
      <c r="B1013" t="str">
        <f>"601688"</f>
        <v>601688</v>
      </c>
      <c r="C1013" t="s">
        <v>1242</v>
      </c>
      <c r="D1013" t="str">
        <f>[1]!EM_S_INFO_INDEX_EM(B1013,"1")</f>
        <v>金融</v>
      </c>
      <c r="E1013" s="4">
        <f t="shared" si="15"/>
        <v>43465</v>
      </c>
      <c r="F1013" s="11">
        <f>[1]!EM_S_PQ_PCTCHANGE(B1013,"2018-01-01","2019-12-31","3")</f>
        <v>21.653426459999999</v>
      </c>
      <c r="G1013" s="11">
        <f>[1]!EM_S_PQ_PCTCHANGE(B1013,"2018-12-31","2019-12-30","1")</f>
        <v>27.16049383</v>
      </c>
      <c r="H1013" s="11">
        <f>[1]!EM_S_FA_YOY_OR(B1013,E1013)</f>
        <v>-23.688389645600001</v>
      </c>
      <c r="I1013" s="11">
        <f>[1]!EM_S_FA_GROSSPROFITMARGIN(B1013,E1013)</f>
        <v>0</v>
      </c>
      <c r="J1013" s="11">
        <f>[1]!EM_S_FA_NETPROFITMARGIN(B1013,E1013)</f>
        <v>32.038755706899998</v>
      </c>
      <c r="K1013" s="10">
        <f>[1]!EM_S_FA_ASSETSTURN(B1013,E1013)</f>
        <v>0</v>
      </c>
      <c r="L1013" s="12">
        <f>[1]!EM_HKS_VAL_MV(B1013,"2019-12-31","2")</f>
        <v>184346761500</v>
      </c>
      <c r="M1013">
        <f>[1]!EM_S_VAL_PETTMDEDUCTED(B1013,E1013)</f>
        <v>23.345999834678899</v>
      </c>
      <c r="N1013" s="7">
        <f>[1]!EM_S_VAL_PBGOODWILLDEDUCTED(B1013,E1013)</f>
        <v>1.3196643679344799</v>
      </c>
      <c r="O1013" s="7">
        <f>[1]!EM_S_VAL_PS_TTM(B1013,E1013)</f>
        <v>6.41925055669339</v>
      </c>
      <c r="P1013" s="7">
        <f>[1]!EM_S_VAL_PCF_NCFTTM(B1013,E1013)</f>
        <v>9.8481765293606696</v>
      </c>
      <c r="Q1013" s="7">
        <f>[1]!EM_S_VAL_DIVIDENDYIELD2(B1013,E1013,"2019-11-29")</f>
        <v>1.7678255745433118</v>
      </c>
      <c r="T1013"/>
      <c r="U1013">
        <f>[1]!EM_S_RATIO_EPS_TTM(B1013,E1013,"1")</f>
        <v>0.60991791828152453</v>
      </c>
      <c r="AT1013" s="4" t="str">
        <f>[1]!EM_S_IPO_LISTEDDATE(B1013)</f>
        <v>2010-02-26</v>
      </c>
    </row>
    <row r="1014" spans="1:46">
      <c r="A1014">
        <v>901</v>
      </c>
      <c r="B1014" t="str">
        <f>"002390"</f>
        <v>002390</v>
      </c>
      <c r="C1014" t="s">
        <v>2107</v>
      </c>
      <c r="D1014" t="str">
        <f>[1]!EM_S_INFO_INDEX_EM(B1014,"1")</f>
        <v>医药生物</v>
      </c>
      <c r="E1014" s="4">
        <f t="shared" si="15"/>
        <v>43465</v>
      </c>
      <c r="F1014" s="11">
        <f>[1]!EM_S_PQ_PCTCHANGE(B1014,"2018-01-01","2019-12-31","3")</f>
        <v>-37.608038290000003</v>
      </c>
      <c r="G1014" s="11">
        <f>[1]!EM_S_PQ_PCTCHANGE(B1014,"2018-12-31","2019-12-30","1")</f>
        <v>27.1393643</v>
      </c>
      <c r="H1014" s="11">
        <f>[1]!EM_S_FA_YOY_OR(B1014,E1014)</f>
        <v>9.6261670253999991</v>
      </c>
      <c r="I1014" s="11">
        <f>[1]!EM_S_FA_GROSSPROFITMARGIN(B1014,E1014)</f>
        <v>21.785264889</v>
      </c>
      <c r="J1014" s="11">
        <f>[1]!EM_S_FA_NETPROFITMARGIN(B1014,E1014)</f>
        <v>-19.5004391467</v>
      </c>
      <c r="K1014" s="10">
        <f>[1]!EM_S_FA_ASSETSTURN(B1014,E1014)</f>
        <v>0.576982948404</v>
      </c>
      <c r="L1014" s="12">
        <f>[1]!EM_HKS_VAL_MV(B1014,"2019-12-31","2")</f>
        <v>8752950207.75</v>
      </c>
      <c r="M1014">
        <f>[1]!EM_S_VAL_PETTMDEDUCTED(B1014,E1014)</f>
        <v>22.251888409189501</v>
      </c>
      <c r="N1014" s="7">
        <f>[1]!EM_S_VAL_PBGOODWILLDEDUCTED(B1014,E1014)</f>
        <v>1.62773230254266</v>
      </c>
      <c r="O1014" s="7">
        <f>[1]!EM_S_VAL_PS_TTM(B1014,E1014)</f>
        <v>1.0252098623474599</v>
      </c>
      <c r="P1014" s="7">
        <f>[1]!EM_S_VAL_PCF_NCFTTM(B1014,E1014)</f>
        <v>-23.745085838443401</v>
      </c>
      <c r="Q1014" s="7">
        <f>[1]!EM_S_VAL_DIVIDENDYIELD2(B1014,E1014,"2019-11-29")</f>
        <v>0</v>
      </c>
      <c r="T1014"/>
      <c r="U1014">
        <f>[1]!EM_S_RATIO_EPS_TTM(B1014,E1014,"1")</f>
        <v>-0.7777010553233602</v>
      </c>
      <c r="AT1014" s="4" t="str">
        <f>[1]!EM_S_IPO_LISTEDDATE(B1014)</f>
        <v>2010-04-16</v>
      </c>
    </row>
    <row r="1015" spans="1:46">
      <c r="A1015">
        <v>2357</v>
      </c>
      <c r="B1015" t="str">
        <f>"600222"</f>
        <v>600222</v>
      </c>
      <c r="C1015" t="s">
        <v>2999</v>
      </c>
      <c r="D1015" t="str">
        <f>[1]!EM_S_INFO_INDEX_EM(B1015,"1")</f>
        <v>医药生物</v>
      </c>
      <c r="E1015" s="4">
        <f t="shared" si="15"/>
        <v>43465</v>
      </c>
      <c r="F1015" s="11">
        <f>[1]!EM_S_PQ_PCTCHANGE(B1015,"2018-01-01","2019-12-31","3")</f>
        <v>-13.93687862</v>
      </c>
      <c r="G1015" s="11">
        <f>[1]!EM_S_PQ_PCTCHANGE(B1015,"2018-12-31","2019-12-30","1")</f>
        <v>27.058823530000002</v>
      </c>
      <c r="H1015" s="11">
        <f>[1]!EM_S_FA_YOY_OR(B1015,E1015)</f>
        <v>2.2598443647000002</v>
      </c>
      <c r="I1015" s="11">
        <f>[1]!EM_S_FA_GROSSPROFITMARGIN(B1015,E1015)</f>
        <v>33.658547844200001</v>
      </c>
      <c r="J1015" s="11">
        <f>[1]!EM_S_FA_NETPROFITMARGIN(B1015,E1015)</f>
        <v>-9.6634317690000007</v>
      </c>
      <c r="K1015" s="10">
        <f>[1]!EM_S_FA_ASSETSTURN(B1015,E1015)</f>
        <v>0.42342174017200002</v>
      </c>
      <c r="L1015" s="12">
        <f>[1]!EM_HKS_VAL_MV(B1015,"2019-12-31","2")</f>
        <v>2622660313.3099999</v>
      </c>
      <c r="M1015">
        <f>[1]!EM_S_VAL_PETTMDEDUCTED(B1015,E1015)</f>
        <v>4096.32650328611</v>
      </c>
      <c r="N1015" s="7">
        <f>[1]!EM_S_VAL_PBGOODWILLDEDUCTED(B1015,E1015)</f>
        <v>1.7703991728422499</v>
      </c>
      <c r="O1015" s="7">
        <f>[1]!EM_S_VAL_PS_TTM(B1015,E1015)</f>
        <v>1.5972930592637899</v>
      </c>
      <c r="P1015" s="7">
        <f>[1]!EM_S_VAL_PCF_NCFTTM(B1015,E1015)</f>
        <v>-40.036804795490603</v>
      </c>
      <c r="Q1015" s="7">
        <f>[1]!EM_S_VAL_DIVIDENDYIELD2(B1015,E1015,"2019-11-29")</f>
        <v>0</v>
      </c>
      <c r="T1015"/>
      <c r="U1015">
        <f>[1]!EM_S_RATIO_EPS_TTM(B1015,E1015,"1")</f>
        <v>-0.20094264648942653</v>
      </c>
      <c r="AT1015" s="4" t="str">
        <f>[1]!EM_S_IPO_LISTEDDATE(B1015)</f>
        <v>1999-11-05</v>
      </c>
    </row>
    <row r="1016" spans="1:46">
      <c r="A1016">
        <v>2022</v>
      </c>
      <c r="B1016" t="str">
        <f>"300602"</f>
        <v>300602</v>
      </c>
      <c r="C1016" t="s">
        <v>697</v>
      </c>
      <c r="D1016" t="str">
        <f>[1]!EM_S_INFO_INDEX_EM(B1016,"1")</f>
        <v>电子设备</v>
      </c>
      <c r="E1016" s="4">
        <f t="shared" si="15"/>
        <v>43465</v>
      </c>
      <c r="F1016" s="11">
        <f>[1]!EM_S_PQ_PCTCHANGE(B1016,"2018-01-01","2019-12-31","3")</f>
        <v>145.10546366</v>
      </c>
      <c r="G1016" s="11">
        <f>[1]!EM_S_PQ_PCTCHANGE(B1016,"2018-12-31","2019-12-30","1")</f>
        <v>27.057767139999999</v>
      </c>
      <c r="H1016" s="11">
        <f>[1]!EM_S_FA_YOY_OR(B1016,E1016)</f>
        <v>27.918714622100001</v>
      </c>
      <c r="I1016" s="11">
        <f>[1]!EM_S_FA_GROSSPROFITMARGIN(B1016,E1016)</f>
        <v>30.935355468299999</v>
      </c>
      <c r="J1016" s="11">
        <f>[1]!EM_S_FA_NETPROFITMARGIN(B1016,E1016)</f>
        <v>12.5231100506</v>
      </c>
      <c r="K1016" s="10">
        <f>[1]!EM_S_FA_ASSETSTURN(B1016,E1016)</f>
        <v>0.79763761919700005</v>
      </c>
      <c r="L1016" s="12">
        <f>[1]!EM_HKS_VAL_MV(B1016,"2019-12-31","2")</f>
        <v>12985084800</v>
      </c>
      <c r="M1016">
        <f>[1]!EM_S_VAL_PETTMDEDUCTED(B1016,E1016)</f>
        <v>47.039280752225999</v>
      </c>
      <c r="N1016" s="7">
        <f>[1]!EM_S_VAL_PBGOODWILLDEDUCTED(B1016,E1016)</f>
        <v>5.95120035342158</v>
      </c>
      <c r="O1016" s="7">
        <f>[1]!EM_S_VAL_PS_TTM(B1016,E1016)</f>
        <v>5.6715865764004896</v>
      </c>
      <c r="P1016" s="7">
        <f>[1]!EM_S_VAL_PCF_NCFTTM(B1016,E1016)</f>
        <v>-204.24272708024901</v>
      </c>
      <c r="Q1016" s="7">
        <f>[1]!EM_S_VAL_DIVIDENDYIELD2(B1016,E1016,"2019-11-29")</f>
        <v>0.14988743694124282</v>
      </c>
      <c r="T1016"/>
      <c r="U1016">
        <f>[1]!EM_S_RATIO_EPS_TTM(B1016,E1016,"1")</f>
        <v>0.79560309986483579</v>
      </c>
      <c r="AT1016" s="4" t="str">
        <f>[1]!EM_S_IPO_LISTEDDATE(B1016)</f>
        <v>2017-01-26</v>
      </c>
    </row>
    <row r="1017" spans="1:46">
      <c r="A1017">
        <v>1923</v>
      </c>
      <c r="B1017" t="str">
        <f>"300498"</f>
        <v>300498</v>
      </c>
      <c r="C1017" t="s">
        <v>433</v>
      </c>
      <c r="D1017" t="str">
        <f>[1]!EM_S_INFO_INDEX_EM(B1017,"1")</f>
        <v>农林牧渔</v>
      </c>
      <c r="E1017" s="4">
        <f t="shared" si="15"/>
        <v>43465</v>
      </c>
      <c r="F1017" s="11">
        <f>[1]!EM_S_PQ_PCTCHANGE(B1017,"2018-01-01","2019-12-31","3")</f>
        <v>45.89408512</v>
      </c>
      <c r="G1017" s="11">
        <f>[1]!EM_S_PQ_PCTCHANGE(B1017,"2018-12-31","2019-12-30","1")</f>
        <v>27.043544690000001</v>
      </c>
      <c r="H1017" s="11">
        <f>[1]!EM_S_FA_YOY_OR(B1017,E1017)</f>
        <v>2.8367183908000002</v>
      </c>
      <c r="I1017" s="11">
        <f>[1]!EM_S_FA_GROSSPROFITMARGIN(B1017,E1017)</f>
        <v>16.853125388999999</v>
      </c>
      <c r="J1017" s="11">
        <f>[1]!EM_S_FA_NETPROFITMARGIN(B1017,E1017)</f>
        <v>7.4360955365999999</v>
      </c>
      <c r="K1017" s="10">
        <f>[1]!EM_S_FA_ASSETSTURN(B1017,E1017)</f>
        <v>1.111647503523</v>
      </c>
      <c r="L1017" s="12">
        <f>[1]!EM_HKS_VAL_MV(B1017,"2019-12-31","2")</f>
        <v>178487394187.20001</v>
      </c>
      <c r="M1017">
        <f>[1]!EM_S_VAL_PETTMDEDUCTED(B1017,E1017)</f>
        <v>24.9964768368168</v>
      </c>
      <c r="N1017" s="7">
        <f>[1]!EM_S_VAL_PBGOODWILLDEDUCTED(B1017,E1017)</f>
        <v>4.0422796378547501</v>
      </c>
      <c r="O1017" s="7">
        <f>[1]!EM_S_VAL_PS_TTM(B1017,E1017)</f>
        <v>2.42883817510153</v>
      </c>
      <c r="P1017" s="7">
        <f>[1]!EM_S_VAL_PCF_NCFTTM(B1017,E1017)</f>
        <v>102.259401436018</v>
      </c>
      <c r="Q1017" s="7">
        <f>[1]!EM_S_VAL_DIVIDENDYIELD2(B1017,E1017,"2019-11-29")</f>
        <v>1.3970987370533618</v>
      </c>
      <c r="T1017"/>
      <c r="U1017">
        <f>[1]!EM_S_RATIO_EPS_TTM(B1017,E1017,"1")</f>
        <v>0.74474127846214111</v>
      </c>
      <c r="AT1017" s="4" t="str">
        <f>[1]!EM_S_IPO_LISTEDDATE(B1017)</f>
        <v>2015-11-02</v>
      </c>
    </row>
    <row r="1018" spans="1:46">
      <c r="A1018">
        <v>2413</v>
      </c>
      <c r="B1018" t="str">
        <f>"600284"</f>
        <v>600284</v>
      </c>
      <c r="C1018" t="s">
        <v>1932</v>
      </c>
      <c r="D1018" t="str">
        <f>[1]!EM_S_INFO_INDEX_EM(B1018,"1")</f>
        <v>建筑</v>
      </c>
      <c r="E1018" s="4">
        <f t="shared" si="15"/>
        <v>43465</v>
      </c>
      <c r="F1018" s="11">
        <f>[1]!EM_S_PQ_PCTCHANGE(B1018,"2018-01-01","2019-12-31","3")</f>
        <v>-0.46698031000000001</v>
      </c>
      <c r="G1018" s="11">
        <f>[1]!EM_S_PQ_PCTCHANGE(B1018,"2018-12-31","2019-12-30","1")</f>
        <v>27.016129029999998</v>
      </c>
      <c r="H1018" s="11">
        <f>[1]!EM_S_FA_YOY_OR(B1018,E1018)</f>
        <v>12.5863141062</v>
      </c>
      <c r="I1018" s="11">
        <f>[1]!EM_S_FA_GROSSPROFITMARGIN(B1018,E1018)</f>
        <v>15.0029063705</v>
      </c>
      <c r="J1018" s="11">
        <f>[1]!EM_S_FA_NETPROFITMARGIN(B1018,E1018)</f>
        <v>12.5681125704</v>
      </c>
      <c r="K1018" s="10">
        <f>[1]!EM_S_FA_ASSETSTURN(B1018,E1018)</f>
        <v>0.31948776974600002</v>
      </c>
      <c r="L1018" s="12">
        <f>[1]!EM_HKS_VAL_MV(B1018,"2019-12-31","2")</f>
        <v>6161125600</v>
      </c>
      <c r="M1018">
        <f>[1]!EM_S_VAL_PETTMDEDUCTED(B1018,E1018)</f>
        <v>18.097196866157098</v>
      </c>
      <c r="N1018" s="7">
        <f>[1]!EM_S_VAL_PBGOODWILLDEDUCTED(B1018,E1018)</f>
        <v>0.82202173589310501</v>
      </c>
      <c r="O1018" s="7">
        <f>[1]!EM_S_VAL_PS_TTM(B1018,E1018)</f>
        <v>1.3701702486354099</v>
      </c>
      <c r="P1018" s="7">
        <f>[1]!EM_S_VAL_PCF_NCFTTM(B1018,E1018)</f>
        <v>2.0765500499178202</v>
      </c>
      <c r="Q1018" s="7">
        <f>[1]!EM_S_VAL_DIVIDENDYIELD2(B1018,E1018,"2019-11-29")</f>
        <v>2.4350649350649354</v>
      </c>
      <c r="T1018"/>
      <c r="U1018">
        <f>[1]!EM_S_RATIO_EPS_TTM(B1018,E1018,"1")</f>
        <v>0.46676885537425178</v>
      </c>
      <c r="AT1018" s="4" t="str">
        <f>[1]!EM_S_IPO_LISTEDDATE(B1018)</f>
        <v>2004-03-16</v>
      </c>
    </row>
    <row r="1019" spans="1:46">
      <c r="A1019">
        <v>3472</v>
      </c>
      <c r="B1019" t="str">
        <f>"603638"</f>
        <v>603638</v>
      </c>
      <c r="C1019" t="s">
        <v>208</v>
      </c>
      <c r="D1019" t="str">
        <f>[1]!EM_S_INFO_INDEX_EM(B1019,"1")</f>
        <v>机械设备</v>
      </c>
      <c r="E1019" s="4">
        <f t="shared" si="15"/>
        <v>43465</v>
      </c>
      <c r="F1019" s="11">
        <f>[1]!EM_S_PQ_PCTCHANGE(B1019,"2018-01-01","2019-12-31","3")</f>
        <v>103.17439693999999</v>
      </c>
      <c r="G1019" s="11">
        <f>[1]!EM_S_PQ_PCTCHANGE(B1019,"2018-12-31","2019-12-30","1")</f>
        <v>27.013630729999999</v>
      </c>
      <c r="H1019" s="11">
        <f>[1]!EM_S_FA_YOY_OR(B1019,E1019)</f>
        <v>59.146471785499998</v>
      </c>
      <c r="I1019" s="11">
        <f>[1]!EM_S_FA_GROSSPROFITMARGIN(B1019,E1019)</f>
        <v>42.847591261300003</v>
      </c>
      <c r="J1019" s="11">
        <f>[1]!EM_S_FA_NETPROFITMARGIN(B1019,E1019)</f>
        <v>22.061772794700001</v>
      </c>
      <c r="K1019" s="10">
        <f>[1]!EM_S_FA_ASSETSTURN(B1019,E1019)</f>
        <v>0.76545553985899994</v>
      </c>
      <c r="L1019" s="12">
        <f>[1]!EM_HKS_VAL_MV(B1019,"2019-12-31","2")</f>
        <v>12579131658.540001</v>
      </c>
      <c r="M1019">
        <f>[1]!EM_S_VAL_PETTMDEDUCTED(B1019,E1019)</f>
        <v>29.945655387737901</v>
      </c>
      <c r="N1019" s="7">
        <f>[1]!EM_S_VAL_PBGOODWILLDEDUCTED(B1019,E1019)</f>
        <v>6.1670113881338304</v>
      </c>
      <c r="O1019" s="7">
        <f>[1]!EM_S_VAL_PS_TTM(B1019,E1019)</f>
        <v>6.84821414888851</v>
      </c>
      <c r="P1019" s="7">
        <f>[1]!EM_S_VAL_PCF_NCFTTM(B1019,E1019)</f>
        <v>-524.20218161585103</v>
      </c>
      <c r="Q1019" s="7">
        <f>[1]!EM_S_VAL_DIVIDENDYIELD2(B1019,E1019,"2019-11-29")</f>
        <v>0.47971293977683754</v>
      </c>
      <c r="T1019"/>
      <c r="U1019">
        <f>[1]!EM_S_RATIO_EPS_TTM(B1019,E1019,"1")</f>
        <v>0.86445843546529488</v>
      </c>
      <c r="AT1019" s="4" t="str">
        <f>[1]!EM_S_IPO_LISTEDDATE(B1019)</f>
        <v>2017-01-20</v>
      </c>
    </row>
    <row r="1020" spans="1:46">
      <c r="A1020">
        <v>2280</v>
      </c>
      <c r="B1020" t="str">
        <f>"600135"</f>
        <v>600135</v>
      </c>
      <c r="C1020" t="s">
        <v>2194</v>
      </c>
      <c r="D1020" t="str">
        <f>[1]!EM_S_INFO_INDEX_EM(B1020,"1")</f>
        <v>基础化工</v>
      </c>
      <c r="E1020" s="4">
        <f t="shared" si="15"/>
        <v>43465</v>
      </c>
      <c r="F1020" s="11">
        <f>[1]!EM_S_PQ_PCTCHANGE(B1020,"2018-01-01","2019-12-31","3")</f>
        <v>-33.955672300000003</v>
      </c>
      <c r="G1020" s="11">
        <f>[1]!EM_S_PQ_PCTCHANGE(B1020,"2018-12-31","2019-12-30","1")</f>
        <v>26.998223800000002</v>
      </c>
      <c r="H1020" s="11">
        <f>[1]!EM_S_FA_YOY_OR(B1020,E1020)</f>
        <v>0.61940550900000002</v>
      </c>
      <c r="I1020" s="11">
        <f>[1]!EM_S_FA_GROSSPROFITMARGIN(B1020,E1020)</f>
        <v>13.639846374899999</v>
      </c>
      <c r="J1020" s="11">
        <f>[1]!EM_S_FA_NETPROFITMARGIN(B1020,E1020)</f>
        <v>1.1483881255999999</v>
      </c>
      <c r="K1020" s="10">
        <f>[1]!EM_S_FA_ASSETSTURN(B1020,E1020)</f>
        <v>0.78943599445500001</v>
      </c>
      <c r="L1020" s="12">
        <f>[1]!EM_HKS_VAL_MV(B1020,"2019-12-31","2")</f>
        <v>3544576860.8699999</v>
      </c>
      <c r="M1020">
        <f>[1]!EM_S_VAL_PETTMDEDUCTED(B1020,E1020)</f>
        <v>557.16356145659904</v>
      </c>
      <c r="N1020" s="7">
        <f>[1]!EM_S_VAL_PBGOODWILLDEDUCTED(B1020,E1020)</f>
        <v>1.2468921131584201</v>
      </c>
      <c r="O1020" s="7">
        <f>[1]!EM_S_VAL_PS_TTM(B1020,E1020)</f>
        <v>1.13675125725335</v>
      </c>
      <c r="P1020" s="7">
        <f>[1]!EM_S_VAL_PCF_NCFTTM(B1020,E1020)</f>
        <v>5.9745672825925498</v>
      </c>
      <c r="Q1020" s="7">
        <f>[1]!EM_S_VAL_DIVIDENDYIELD2(B1020,E1020,"2019-11-29")</f>
        <v>0.13541666965043384</v>
      </c>
      <c r="T1020"/>
      <c r="U1020">
        <f>[1]!EM_S_RATIO_EPS_TTM(B1020,E1020,"1")</f>
        <v>3.9516895568744971E-2</v>
      </c>
      <c r="AT1020" s="4" t="str">
        <f>[1]!EM_S_IPO_LISTEDDATE(B1020)</f>
        <v>1998-01-22</v>
      </c>
    </row>
    <row r="1021" spans="1:46">
      <c r="A1021">
        <v>989</v>
      </c>
      <c r="B1021" t="str">
        <f>"002478"</f>
        <v>002478</v>
      </c>
      <c r="C1021" t="s">
        <v>1990</v>
      </c>
      <c r="D1021" t="str">
        <f>[1]!EM_S_INFO_INDEX_EM(B1021,"1")</f>
        <v>钢铁</v>
      </c>
      <c r="E1021" s="4">
        <f t="shared" si="15"/>
        <v>43465</v>
      </c>
      <c r="F1021" s="11">
        <f>[1]!EM_S_PQ_PCTCHANGE(B1021,"2018-01-01","2019-12-31","3")</f>
        <v>13.229260910000001</v>
      </c>
      <c r="G1021" s="11">
        <f>[1]!EM_S_PQ_PCTCHANGE(B1021,"2018-12-31","2019-12-30","1")</f>
        <v>26.956521739999999</v>
      </c>
      <c r="H1021" s="11">
        <f>[1]!EM_S_FA_YOY_OR(B1021,E1021)</f>
        <v>53.849508251700001</v>
      </c>
      <c r="I1021" s="11">
        <f>[1]!EM_S_FA_GROSSPROFITMARGIN(B1021,E1021)</f>
        <v>21.970668998800001</v>
      </c>
      <c r="J1021" s="11">
        <f>[1]!EM_S_FA_NETPROFITMARGIN(B1021,E1021)</f>
        <v>9.9102040276000007</v>
      </c>
      <c r="K1021" s="10">
        <f>[1]!EM_S_FA_ASSETSTURN(B1021,E1021)</f>
        <v>0.88847202618300003</v>
      </c>
      <c r="L1021" s="12">
        <f>[1]!EM_HKS_VAL_MV(B1021,"2019-12-31","2")</f>
        <v>5683157843.6800003</v>
      </c>
      <c r="M1021">
        <f>[1]!EM_S_VAL_PETTMDEDUCTED(B1021,E1021)</f>
        <v>10.7029248761333</v>
      </c>
      <c r="N1021" s="7">
        <f>[1]!EM_S_VAL_PBGOODWILLDEDUCTED(B1021,E1021)</f>
        <v>1.2613608959792499</v>
      </c>
      <c r="O1021" s="7">
        <f>[1]!EM_S_VAL_PS_TTM(B1021,E1021)</f>
        <v>0.87885991714259304</v>
      </c>
      <c r="P1021" s="7">
        <f>[1]!EM_S_VAL_PCF_NCFTTM(B1021,E1021)</f>
        <v>7.9144940729701796</v>
      </c>
      <c r="Q1021" s="7">
        <f>[1]!EM_S_VAL_DIVIDENDYIELD2(B1021,E1021,"2019-11-29")</f>
        <v>2.0905923344947732</v>
      </c>
      <c r="T1021"/>
      <c r="U1021">
        <f>[1]!EM_S_RATIO_EPS_TTM(B1021,E1021,"1")</f>
        <v>0.5002774152244519</v>
      </c>
      <c r="AT1021" s="4" t="str">
        <f>[1]!EM_S_IPO_LISTEDDATE(B1021)</f>
        <v>2010-09-21</v>
      </c>
    </row>
    <row r="1022" spans="1:46">
      <c r="A1022">
        <v>1704</v>
      </c>
      <c r="B1022" t="str">
        <f>"300279"</f>
        <v>300279</v>
      </c>
      <c r="C1022" t="s">
        <v>1667</v>
      </c>
      <c r="D1022" t="str">
        <f>[1]!EM_S_INFO_INDEX_EM(B1022,"1")</f>
        <v>电子设备</v>
      </c>
      <c r="E1022" s="4">
        <f t="shared" si="15"/>
        <v>43465</v>
      </c>
      <c r="F1022" s="11">
        <f>[1]!EM_S_PQ_PCTCHANGE(B1022,"2018-01-01","2019-12-31","3")</f>
        <v>-52.322534109999999</v>
      </c>
      <c r="G1022" s="11">
        <f>[1]!EM_S_PQ_PCTCHANGE(B1022,"2018-12-31","2019-12-30","1")</f>
        <v>26.938775509999999</v>
      </c>
      <c r="H1022" s="11">
        <f>[1]!EM_S_FA_YOY_OR(B1022,E1022)</f>
        <v>-11.019389133000001</v>
      </c>
      <c r="I1022" s="11">
        <f>[1]!EM_S_FA_GROSSPROFITMARGIN(B1022,E1022)</f>
        <v>17.243908965399999</v>
      </c>
      <c r="J1022" s="11">
        <f>[1]!EM_S_FA_NETPROFITMARGIN(B1022,E1022)</f>
        <v>-65.684719628899998</v>
      </c>
      <c r="K1022" s="10">
        <f>[1]!EM_S_FA_ASSETSTURN(B1022,E1022)</f>
        <v>0.44596934240300001</v>
      </c>
      <c r="L1022" s="12">
        <f>[1]!EM_HKS_VAL_MV(B1022,"2019-12-31","2")</f>
        <v>2693651988</v>
      </c>
      <c r="M1022">
        <f>[1]!EM_S_VAL_PETTMDEDUCTED(B1022,E1022)</f>
        <v>-37.459410829418402</v>
      </c>
      <c r="N1022" s="7">
        <f>[1]!EM_S_VAL_PBGOODWILLDEDUCTED(B1022,E1022)</f>
        <v>2.9257944901722701</v>
      </c>
      <c r="O1022" s="7">
        <f>[1]!EM_S_VAL_PS_TTM(B1022,E1022)</f>
        <v>1.7262111446631501</v>
      </c>
      <c r="P1022" s="7">
        <f>[1]!EM_S_VAL_PCF_NCFTTM(B1022,E1022)</f>
        <v>18.259462340165399</v>
      </c>
      <c r="Q1022" s="7">
        <f>[1]!EM_S_VAL_DIVIDENDYIELD2(B1022,E1022,"2019-11-29")</f>
        <v>0</v>
      </c>
      <c r="T1022"/>
      <c r="U1022">
        <f>[1]!EM_S_RATIO_EPS_TTM(B1022,E1022,"1")</f>
        <v>-1.5861362621502835</v>
      </c>
      <c r="AT1022" s="4" t="str">
        <f>[1]!EM_S_IPO_LISTEDDATE(B1022)</f>
        <v>2011-12-29</v>
      </c>
    </row>
    <row r="1023" spans="1:46">
      <c r="A1023">
        <v>2892</v>
      </c>
      <c r="B1023" t="str">
        <f>"600819"</f>
        <v>600819</v>
      </c>
      <c r="C1023" t="s">
        <v>2299</v>
      </c>
      <c r="D1023" t="str">
        <f>[1]!EM_S_INFO_INDEX_EM(B1023,"1")</f>
        <v>建材</v>
      </c>
      <c r="E1023" s="4">
        <f t="shared" si="15"/>
        <v>43465</v>
      </c>
      <c r="F1023" s="11">
        <f>[1]!EM_S_PQ_PCTCHANGE(B1023,"2018-01-01","2019-12-31","3")</f>
        <v>-6.9878415299999999</v>
      </c>
      <c r="G1023" s="11">
        <f>[1]!EM_S_PQ_PCTCHANGE(B1023,"2018-12-31","2019-12-30","1")</f>
        <v>26.894865530000001</v>
      </c>
      <c r="H1023" s="11">
        <f>[1]!EM_S_FA_YOY_OR(B1023,E1023)</f>
        <v>17.8400994293</v>
      </c>
      <c r="I1023" s="11">
        <f>[1]!EM_S_FA_GROSSPROFITMARGIN(B1023,E1023)</f>
        <v>18.439434371400001</v>
      </c>
      <c r="J1023" s="11">
        <f>[1]!EM_S_FA_NETPROFITMARGIN(B1023,E1023)</f>
        <v>2.7697377926</v>
      </c>
      <c r="K1023" s="10">
        <f>[1]!EM_S_FA_ASSETSTURN(B1023,E1023)</f>
        <v>0.53914260172100004</v>
      </c>
      <c r="L1023" s="12">
        <f>[1]!EM_HKS_VAL_MV(B1023,"2019-12-31","2")</f>
        <v>4758722791.21</v>
      </c>
      <c r="M1023">
        <f>[1]!EM_S_VAL_PETTMDEDUCTED(B1023,E1023)</f>
        <v>-242.317679153992</v>
      </c>
      <c r="N1023" s="7">
        <f>[1]!EM_S_VAL_PBGOODWILLDEDUCTED(B1023,E1023)</f>
        <v>1.2400682745573299</v>
      </c>
      <c r="O1023" s="7">
        <f>[1]!EM_S_VAL_PS_TTM(B1023,E1023)</f>
        <v>1.0238677103287901</v>
      </c>
      <c r="P1023" s="7">
        <f>[1]!EM_S_VAL_PCF_NCFTTM(B1023,E1023)</f>
        <v>-60.5219508583804</v>
      </c>
      <c r="Q1023" s="7">
        <f>[1]!EM_S_VAL_DIVIDENDYIELD2(B1023,E1023,"2019-11-29")</f>
        <v>0.67873303167420806</v>
      </c>
      <c r="T1023"/>
      <c r="U1023">
        <f>[1]!EM_S_RATIO_EPS_TTM(B1023,E1023,"1")</f>
        <v>9.6994645013423128E-2</v>
      </c>
      <c r="AT1023" s="4" t="str">
        <f>[1]!EM_S_IPO_LISTEDDATE(B1023)</f>
        <v>1994-01-28</v>
      </c>
    </row>
    <row r="1024" spans="1:46">
      <c r="A1024">
        <v>183</v>
      </c>
      <c r="B1024" t="str">
        <f>"000576"</f>
        <v>000576</v>
      </c>
      <c r="C1024" t="s">
        <v>2995</v>
      </c>
      <c r="D1024" t="str">
        <f>[1]!EM_S_INFO_INDEX_EM(B1024,"1")</f>
        <v>食品饮料</v>
      </c>
      <c r="E1024" s="4">
        <f t="shared" si="15"/>
        <v>43465</v>
      </c>
      <c r="F1024" s="11">
        <f>[1]!EM_S_PQ_PCTCHANGE(B1024,"2018-01-01","2019-12-31","3")</f>
        <v>-55.287896590000003</v>
      </c>
      <c r="G1024" s="11">
        <f>[1]!EM_S_PQ_PCTCHANGE(B1024,"2018-12-31","2019-12-30","1")</f>
        <v>26.833333329999999</v>
      </c>
      <c r="H1024" s="11">
        <f>[1]!EM_S_FA_YOY_OR(B1024,E1024)</f>
        <v>-13.8489321723</v>
      </c>
      <c r="I1024" s="11">
        <f>[1]!EM_S_FA_GROSSPROFITMARGIN(B1024,E1024)</f>
        <v>8.3162333020000005</v>
      </c>
      <c r="J1024" s="11">
        <f>[1]!EM_S_FA_NETPROFITMARGIN(B1024,E1024)</f>
        <v>26.292836776400001</v>
      </c>
      <c r="K1024" s="10">
        <f>[1]!EM_S_FA_ASSETSTURN(B1024,E1024)</f>
        <v>0.28462981844399998</v>
      </c>
      <c r="L1024" s="12">
        <f>[1]!EM_HKS_VAL_MV(B1024,"2019-12-31","2")</f>
        <v>3370174675.6399999</v>
      </c>
      <c r="M1024">
        <f>[1]!EM_S_VAL_PETTMDEDUCTED(B1024,E1024)</f>
        <v>-9.4832247989566891</v>
      </c>
      <c r="N1024" s="7">
        <f>[1]!EM_S_VAL_PBGOODWILLDEDUCTED(B1024,E1024)</f>
        <v>6.6205932639562004</v>
      </c>
      <c r="O1024" s="7">
        <f>[1]!EM_S_VAL_PS_TTM(B1024,E1024)</f>
        <v>9.5310241718003397</v>
      </c>
      <c r="P1024" s="7">
        <f>[1]!EM_S_VAL_PCF_NCFTTM(B1024,E1024)</f>
        <v>-67.759529367945802</v>
      </c>
      <c r="Q1024" s="7">
        <f>[1]!EM_S_VAL_DIVIDENDYIELD2(B1024,E1024,"2019-11-29")</f>
        <v>0</v>
      </c>
      <c r="T1024"/>
      <c r="U1024">
        <f>[1]!EM_S_RATIO_EPS_TTM(B1024,E1024,"1")</f>
        <v>0.22144893022990644</v>
      </c>
      <c r="AT1024" s="4" t="str">
        <f>[1]!EM_S_IPO_LISTEDDATE(B1024)</f>
        <v>1994-09-07</v>
      </c>
    </row>
    <row r="1025" spans="1:46">
      <c r="A1025">
        <v>1210</v>
      </c>
      <c r="B1025" t="str">
        <f>"002699"</f>
        <v>002699</v>
      </c>
      <c r="C1025" t="s">
        <v>1873</v>
      </c>
      <c r="D1025" t="str">
        <f>[1]!EM_S_INFO_INDEX_EM(B1025,"1")</f>
        <v>文化传媒</v>
      </c>
      <c r="E1025" s="4">
        <f t="shared" si="15"/>
        <v>43465</v>
      </c>
      <c r="F1025" s="11">
        <f>[1]!EM_S_PQ_PCTCHANGE(B1025,"2018-01-01","2019-12-31","3")</f>
        <v>-62.727774709999998</v>
      </c>
      <c r="G1025" s="11">
        <f>[1]!EM_S_PQ_PCTCHANGE(B1025,"2018-12-31","2019-12-30","1")</f>
        <v>26.82481752</v>
      </c>
      <c r="H1025" s="11">
        <f>[1]!EM_S_FA_YOY_OR(B1025,E1025)</f>
        <v>-14.733735278099999</v>
      </c>
      <c r="I1025" s="11">
        <f>[1]!EM_S_FA_GROSSPROFITMARGIN(B1025,E1025)</f>
        <v>32.567097268700003</v>
      </c>
      <c r="J1025" s="11">
        <f>[1]!EM_S_FA_NETPROFITMARGIN(B1025,E1025)</f>
        <v>-30.617242832500001</v>
      </c>
      <c r="K1025" s="10">
        <f>[1]!EM_S_FA_ASSETSTURN(B1025,E1025)</f>
        <v>0.17856810990399999</v>
      </c>
      <c r="L1025" s="12">
        <f>[1]!EM_HKS_VAL_MV(B1025,"2019-12-31","2")</f>
        <v>6139615893.75</v>
      </c>
      <c r="M1025">
        <f>[1]!EM_S_VAL_PETTMDEDUCTED(B1025,E1025)</f>
        <v>-349.77193760686498</v>
      </c>
      <c r="N1025" s="7">
        <f>[1]!EM_S_VAL_PBGOODWILLDEDUCTED(B1025,E1025)</f>
        <v>2.0131480977351299</v>
      </c>
      <c r="O1025" s="7">
        <f>[1]!EM_S_VAL_PS_TTM(B1025,E1025)</f>
        <v>5.8732969373033299</v>
      </c>
      <c r="P1025" s="7">
        <f>[1]!EM_S_VAL_PCF_NCFTTM(B1025,E1025)</f>
        <v>-99.220617407720297</v>
      </c>
      <c r="Q1025" s="7">
        <f>[1]!EM_S_VAL_DIVIDENDYIELD2(B1025,E1025,"2019-11-29")</f>
        <v>0</v>
      </c>
      <c r="T1025"/>
      <c r="U1025">
        <f>[1]!EM_S_RATIO_EPS_TTM(B1025,E1025,"1")</f>
        <v>-0.25233399504146298</v>
      </c>
      <c r="AT1025" s="4" t="str">
        <f>[1]!EM_S_IPO_LISTEDDATE(B1025)</f>
        <v>2012-09-11</v>
      </c>
    </row>
    <row r="1026" spans="1:46">
      <c r="A1026">
        <v>2013</v>
      </c>
      <c r="B1026" t="str">
        <f>"300592"</f>
        <v>300592</v>
      </c>
      <c r="C1026" t="s">
        <v>2763</v>
      </c>
      <c r="D1026" t="str">
        <f>[1]!EM_S_INFO_INDEX_EM(B1026,"1")</f>
        <v>休闲、生活及专业服务</v>
      </c>
      <c r="E1026" s="4">
        <f t="shared" si="15"/>
        <v>43465</v>
      </c>
      <c r="F1026" s="11">
        <f>[1]!EM_S_PQ_PCTCHANGE(B1026,"2018-01-01","2019-12-31","3")</f>
        <v>-33.080126180000001</v>
      </c>
      <c r="G1026" s="11">
        <f>[1]!EM_S_PQ_PCTCHANGE(B1026,"2018-12-31","2019-12-30","1")</f>
        <v>26.799557029999999</v>
      </c>
      <c r="H1026" s="11">
        <f>[1]!EM_S_FA_YOY_OR(B1026,E1026)</f>
        <v>-20.1704842776</v>
      </c>
      <c r="I1026" s="11">
        <f>[1]!EM_S_FA_GROSSPROFITMARGIN(B1026,E1026)</f>
        <v>27.431505904800002</v>
      </c>
      <c r="J1026" s="11">
        <f>[1]!EM_S_FA_NETPROFITMARGIN(B1026,E1026)</f>
        <v>3.4987871099999999</v>
      </c>
      <c r="K1026" s="10">
        <f>[1]!EM_S_FA_ASSETSTURN(B1026,E1026)</f>
        <v>0.42162163744300002</v>
      </c>
      <c r="L1026" s="12">
        <f>[1]!EM_HKS_VAL_MV(B1026,"2019-12-31","2")</f>
        <v>1411054083</v>
      </c>
      <c r="M1026">
        <f>[1]!EM_S_VAL_PETTMDEDUCTED(B1026,E1026)</f>
        <v>45.843740100760201</v>
      </c>
      <c r="N1026" s="7">
        <f>[1]!EM_S_VAL_PBGOODWILLDEDUCTED(B1026,E1026)</f>
        <v>2.1878567555265298</v>
      </c>
      <c r="O1026" s="7">
        <f>[1]!EM_S_VAL_PS_TTM(B1026,E1026)</f>
        <v>2.2042904322086301</v>
      </c>
      <c r="P1026" s="7">
        <f>[1]!EM_S_VAL_PCF_NCFTTM(B1026,E1026)</f>
        <v>-36.062747040451299</v>
      </c>
      <c r="Q1026" s="7">
        <f>[1]!EM_S_VAL_DIVIDENDYIELD2(B1026,E1026,"2019-11-29")</f>
        <v>0</v>
      </c>
      <c r="T1026"/>
      <c r="U1026">
        <f>[1]!EM_S_RATIO_EPS_TTM(B1026,E1026,"1")</f>
        <v>0.12822092962066856</v>
      </c>
      <c r="AT1026" s="4" t="str">
        <f>[1]!EM_S_IPO_LISTEDDATE(B1026)</f>
        <v>2017-01-20</v>
      </c>
    </row>
    <row r="1027" spans="1:46">
      <c r="A1027">
        <v>1829</v>
      </c>
      <c r="B1027" t="str">
        <f>"300404"</f>
        <v>300404</v>
      </c>
      <c r="C1027" t="s">
        <v>2046</v>
      </c>
      <c r="D1027" t="str">
        <f>[1]!EM_S_INFO_INDEX_EM(B1027,"1")</f>
        <v>医药生物</v>
      </c>
      <c r="E1027" s="4">
        <f t="shared" ref="E1027:E1090" si="16">$B$1</f>
        <v>43465</v>
      </c>
      <c r="F1027" s="11">
        <f>[1]!EM_S_PQ_PCTCHANGE(B1027,"2018-01-01","2019-12-31","3")</f>
        <v>-5.1216929699999998</v>
      </c>
      <c r="G1027" s="11">
        <f>[1]!EM_S_PQ_PCTCHANGE(B1027,"2018-12-31","2019-12-30","1")</f>
        <v>26.75438596</v>
      </c>
      <c r="H1027" s="11">
        <f>[1]!EM_S_FA_YOY_OR(B1027,E1027)</f>
        <v>31.5798584291</v>
      </c>
      <c r="I1027" s="11">
        <f>[1]!EM_S_FA_GROSSPROFITMARGIN(B1027,E1027)</f>
        <v>45.6016960639</v>
      </c>
      <c r="J1027" s="11">
        <f>[1]!EM_S_FA_NETPROFITMARGIN(B1027,E1027)</f>
        <v>6.5513508019</v>
      </c>
      <c r="K1027" s="10">
        <f>[1]!EM_S_FA_ASSETSTURN(B1027,E1027)</f>
        <v>0.291414201506</v>
      </c>
      <c r="L1027" s="12">
        <f>[1]!EM_HKS_VAL_MV(B1027,"2019-12-31","2")</f>
        <v>2591462900</v>
      </c>
      <c r="M1027">
        <f>[1]!EM_S_VAL_PETTMDEDUCTED(B1027,E1027)</f>
        <v>-83.037501598624502</v>
      </c>
      <c r="N1027" s="7">
        <f>[1]!EM_S_VAL_PBGOODWILLDEDUCTED(B1027,E1027)</f>
        <v>3.97103041031056</v>
      </c>
      <c r="O1027" s="7">
        <f>[1]!EM_S_VAL_PS_TTM(B1027,E1027)</f>
        <v>9.8778430592874606</v>
      </c>
      <c r="P1027" s="7">
        <f>[1]!EM_S_VAL_PCF_NCFTTM(B1027,E1027)</f>
        <v>-15.999520815316</v>
      </c>
      <c r="Q1027" s="7">
        <f>[1]!EM_S_VAL_DIVIDENDYIELD2(B1027,E1027,"2019-11-29")</f>
        <v>8.792439302979406E-2</v>
      </c>
      <c r="T1027"/>
      <c r="U1027">
        <f>[1]!EM_S_RATIO_EPS_TTM(B1027,E1027,"1")</f>
        <v>5.5257234267366104E-2</v>
      </c>
      <c r="AT1027" s="4" t="str">
        <f>[1]!EM_S_IPO_LISTEDDATE(B1027)</f>
        <v>2015-04-24</v>
      </c>
    </row>
    <row r="1028" spans="1:46">
      <c r="A1028">
        <v>1879</v>
      </c>
      <c r="B1028" t="str">
        <f>"300454"</f>
        <v>300454</v>
      </c>
      <c r="C1028" t="s">
        <v>879</v>
      </c>
      <c r="D1028" t="str">
        <f>[1]!EM_S_INFO_INDEX_EM(B1028,"1")</f>
        <v>信息技术</v>
      </c>
      <c r="E1028" s="4">
        <f t="shared" si="16"/>
        <v>43465</v>
      </c>
      <c r="F1028" s="11">
        <f>[1]!EM_S_PQ_PCTCHANGE(B1028,"2018-01-01","2019-12-31","3")</f>
        <v>281.05459674000002</v>
      </c>
      <c r="G1028" s="11">
        <f>[1]!EM_S_PQ_PCTCHANGE(B1028,"2018-12-31","2019-12-30","1")</f>
        <v>26.741071430000002</v>
      </c>
      <c r="H1028" s="11">
        <f>[1]!EM_S_FA_YOY_OR(B1028,E1028)</f>
        <v>30.4139023665</v>
      </c>
      <c r="I1028" s="11">
        <f>[1]!EM_S_FA_GROSSPROFITMARGIN(B1028,E1028)</f>
        <v>73.323374409899998</v>
      </c>
      <c r="J1028" s="11">
        <f>[1]!EM_S_FA_NETPROFITMARGIN(B1028,E1028)</f>
        <v>18.7094103178</v>
      </c>
      <c r="K1028" s="10">
        <f>[1]!EM_S_FA_ASSETSTURN(B1028,E1028)</f>
        <v>0.80174883075500003</v>
      </c>
      <c r="L1028" s="12">
        <f>[1]!EM_HKS_VAL_MV(B1028,"2019-12-31","2")</f>
        <v>46779052684.5</v>
      </c>
      <c r="M1028">
        <f>[1]!EM_S_VAL_PETTMDEDUCTED(B1028,E1028)</f>
        <v>67.551658700366602</v>
      </c>
      <c r="N1028" s="7">
        <f>[1]!EM_S_VAL_PBGOODWILLDEDUCTED(B1028,E1028)</f>
        <v>10.5081039724553</v>
      </c>
      <c r="O1028" s="7">
        <f>[1]!EM_S_VAL_PS_TTM(B1028,E1028)</f>
        <v>12.1126797784737</v>
      </c>
      <c r="P1028" s="7">
        <f>[1]!EM_S_VAL_PCF_NCFTTM(B1028,E1028)</f>
        <v>126.528365163941</v>
      </c>
      <c r="Q1028" s="7">
        <f>[1]!EM_S_VAL_DIVIDENDYIELD2(B1028,E1028,"2019-11-29")</f>
        <v>0.130162942476163</v>
      </c>
      <c r="T1028"/>
      <c r="U1028">
        <f>[1]!EM_S_RATIO_EPS_TTM(B1028,E1028,"1")</f>
        <v>1.4964681135010034</v>
      </c>
      <c r="AT1028" s="4" t="str">
        <f>[1]!EM_S_IPO_LISTEDDATE(B1028)</f>
        <v>2018-05-16</v>
      </c>
    </row>
    <row r="1029" spans="1:46">
      <c r="A1029">
        <v>3369</v>
      </c>
      <c r="B1029" t="str">
        <f>"603338"</f>
        <v>603338</v>
      </c>
      <c r="C1029" t="s">
        <v>755</v>
      </c>
      <c r="D1029" t="str">
        <f>[1]!EM_S_INFO_INDEX_EM(B1029,"1")</f>
        <v>机械设备</v>
      </c>
      <c r="E1029" s="4">
        <f t="shared" si="16"/>
        <v>43465</v>
      </c>
      <c r="F1029" s="11">
        <f>[1]!EM_S_PQ_PCTCHANGE(B1029,"2018-01-01","2019-12-31","3")</f>
        <v>80.269149639999995</v>
      </c>
      <c r="G1029" s="11">
        <f>[1]!EM_S_PQ_PCTCHANGE(B1029,"2018-12-31","2019-12-30","1")</f>
        <v>26.722301139999999</v>
      </c>
      <c r="H1029" s="11">
        <f>[1]!EM_S_FA_YOY_OR(B1029,E1029)</f>
        <v>49.891375350700002</v>
      </c>
      <c r="I1029" s="11">
        <f>[1]!EM_S_FA_GROSSPROFITMARGIN(B1029,E1029)</f>
        <v>41.520879367200003</v>
      </c>
      <c r="J1029" s="11">
        <f>[1]!EM_S_FA_NETPROFITMARGIN(B1029,E1029)</f>
        <v>28.138078691</v>
      </c>
      <c r="K1029" s="10">
        <f>[1]!EM_S_FA_ASSETSTURN(B1029,E1029)</f>
        <v>0.53259510507399999</v>
      </c>
      <c r="L1029" s="12">
        <f>[1]!EM_HKS_VAL_MV(B1029,"2019-12-31","2")</f>
        <v>24794441672</v>
      </c>
      <c r="M1029">
        <f>[1]!EM_S_VAL_PETTMDEDUCTED(B1029,E1029)</f>
        <v>34.337047603453897</v>
      </c>
      <c r="N1029" s="7">
        <f>[1]!EM_S_VAL_PBGOODWILLDEDUCTED(B1029,E1029)</f>
        <v>5.3626411905266798</v>
      </c>
      <c r="O1029" s="7">
        <f>[1]!EM_S_VAL_PS_TTM(B1029,E1029)</f>
        <v>8.7231353040716701</v>
      </c>
      <c r="P1029" s="7">
        <f>[1]!EM_S_VAL_PCF_NCFTTM(B1029,E1029)</f>
        <v>25.789487794917999</v>
      </c>
      <c r="Q1029" s="7">
        <f>[1]!EM_S_VAL_DIVIDENDYIELD2(B1029,E1029,"2019-11-29")</f>
        <v>0.38532675709001235</v>
      </c>
      <c r="T1029"/>
      <c r="U1029">
        <f>[1]!EM_S_RATIO_EPS_TTM(B1029,E1029,"1")</f>
        <v>1.939744990042662</v>
      </c>
      <c r="AT1029" s="4" t="str">
        <f>[1]!EM_S_IPO_LISTEDDATE(B1029)</f>
        <v>2015-03-25</v>
      </c>
    </row>
    <row r="1030" spans="1:46">
      <c r="A1030">
        <v>2372</v>
      </c>
      <c r="B1030" t="str">
        <f>"600238"</f>
        <v>600238</v>
      </c>
      <c r="C1030" t="s">
        <v>3651</v>
      </c>
      <c r="D1030" t="str">
        <f>[1]!EM_S_INFO_INDEX_EM(B1030,"1")</f>
        <v>食品饮料</v>
      </c>
      <c r="E1030" s="4">
        <f t="shared" si="16"/>
        <v>43465</v>
      </c>
      <c r="F1030" s="11">
        <f>[1]!EM_S_PQ_PCTCHANGE(B1030,"2018-01-01","2019-12-31","3")</f>
        <v>-27.539779679999999</v>
      </c>
      <c r="G1030" s="11">
        <f>[1]!EM_S_PQ_PCTCHANGE(B1030,"2018-12-31","2019-12-30","1")</f>
        <v>26.6384778</v>
      </c>
      <c r="H1030" s="11">
        <f>[1]!EM_S_FA_YOY_OR(B1030,E1030)</f>
        <v>-38.230692587199997</v>
      </c>
      <c r="I1030" s="11">
        <f>[1]!EM_S_FA_GROSSPROFITMARGIN(B1030,E1030)</f>
        <v>31.962185069</v>
      </c>
      <c r="J1030" s="11">
        <f>[1]!EM_S_FA_NETPROFITMARGIN(B1030,E1030)</f>
        <v>5.7366079121000002</v>
      </c>
      <c r="K1030" s="10">
        <f>[1]!EM_S_FA_ASSETSTURN(B1030,E1030)</f>
        <v>0.41615669493200003</v>
      </c>
      <c r="L1030" s="12">
        <f>[1]!EM_HKS_VAL_MV(B1030,"2019-12-31","2")</f>
        <v>2653344000</v>
      </c>
      <c r="M1030">
        <f>[1]!EM_S_VAL_PETTMDEDUCTED(B1030,E1030)</f>
        <v>-7.0912927480955297</v>
      </c>
      <c r="N1030" s="7">
        <f>[1]!EM_S_VAL_PBGOODWILLDEDUCTED(B1030,E1030)</f>
        <v>2.6551984033403802</v>
      </c>
      <c r="O1030" s="7">
        <f>[1]!EM_S_VAL_PS_TTM(B1030,E1030)</f>
        <v>2.64551304526085</v>
      </c>
      <c r="P1030" s="7">
        <f>[1]!EM_S_VAL_PCF_NCFTTM(B1030,E1030)</f>
        <v>-9.8902008809690098</v>
      </c>
      <c r="Q1030" s="7">
        <f>[1]!EM_S_VAL_DIVIDENDYIELD2(B1030,E1030,"2019-11-29")</f>
        <v>0</v>
      </c>
      <c r="T1030"/>
      <c r="U1030">
        <f>[1]!EM_S_RATIO_EPS_TTM(B1030,E1030,"1")</f>
        <v>9.0391030700580105E-2</v>
      </c>
      <c r="AT1030" s="4" t="str">
        <f>[1]!EM_S_IPO_LISTEDDATE(B1030)</f>
        <v>2000-01-20</v>
      </c>
    </row>
    <row r="1031" spans="1:46">
      <c r="A1031">
        <v>854</v>
      </c>
      <c r="B1031" t="str">
        <f>"002343"</f>
        <v>002343</v>
      </c>
      <c r="C1031" t="s">
        <v>737</v>
      </c>
      <c r="D1031" t="str">
        <f>[1]!EM_S_INFO_INDEX_EM(B1031,"1")</f>
        <v>文化传媒</v>
      </c>
      <c r="E1031" s="4">
        <f t="shared" si="16"/>
        <v>43465</v>
      </c>
      <c r="F1031" s="11">
        <f>[1]!EM_S_PQ_PCTCHANGE(B1031,"2018-01-01","2019-12-31","3")</f>
        <v>-52.026460530000001</v>
      </c>
      <c r="G1031" s="11">
        <f>[1]!EM_S_PQ_PCTCHANGE(B1031,"2018-12-31","2019-12-30","1")</f>
        <v>26.6075388</v>
      </c>
      <c r="H1031" s="11">
        <f>[1]!EM_S_FA_YOY_OR(B1031,E1031)</f>
        <v>-13.843193529400001</v>
      </c>
      <c r="I1031" s="11">
        <f>[1]!EM_S_FA_GROSSPROFITMARGIN(B1031,E1031)</f>
        <v>10.1426142532</v>
      </c>
      <c r="J1031" s="11">
        <f>[1]!EM_S_FA_NETPROFITMARGIN(B1031,E1031)</f>
        <v>-76.671987966800003</v>
      </c>
      <c r="K1031" s="10">
        <f>[1]!EM_S_FA_ASSETSTURN(B1031,E1031)</f>
        <v>0.33203355475099999</v>
      </c>
      <c r="L1031" s="12">
        <f>[1]!EM_HKS_VAL_MV(B1031,"2019-12-31","2")</f>
        <v>5751640697.46</v>
      </c>
      <c r="M1031">
        <f>[1]!EM_S_VAL_PETTMDEDUCTED(B1031,E1031)</f>
        <v>8.6009510670949307</v>
      </c>
      <c r="N1031" s="7">
        <f>[1]!EM_S_VAL_PBGOODWILLDEDUCTED(B1031,E1031)</f>
        <v>3.1772508577826102</v>
      </c>
      <c r="O1031" s="7">
        <f>[1]!EM_S_VAL_PS_TTM(B1031,E1031)</f>
        <v>1.7604886656847201</v>
      </c>
      <c r="P1031" s="7">
        <f>[1]!EM_S_VAL_PCF_NCFTTM(B1031,E1031)</f>
        <v>-17.8148157815186</v>
      </c>
      <c r="Q1031" s="7">
        <f>[1]!EM_S_VAL_DIVIDENDYIELD2(B1031,E1031,"2019-11-29")</f>
        <v>0</v>
      </c>
      <c r="T1031"/>
      <c r="U1031">
        <f>[1]!EM_S_RATIO_EPS_TTM(B1031,E1031,"1")</f>
        <v>-2.3040378499165906</v>
      </c>
      <c r="AT1031" s="4" t="str">
        <f>[1]!EM_S_IPO_LISTEDDATE(B1031)</f>
        <v>2010-01-26</v>
      </c>
    </row>
    <row r="1032" spans="1:46">
      <c r="A1032">
        <v>2367</v>
      </c>
      <c r="B1032" t="str">
        <f>"600233"</f>
        <v>600233</v>
      </c>
      <c r="C1032" t="s">
        <v>661</v>
      </c>
      <c r="D1032" t="str">
        <f>[1]!EM_S_INFO_INDEX_EM(B1032,"1")</f>
        <v>交通运输</v>
      </c>
      <c r="E1032" s="4">
        <f t="shared" si="16"/>
        <v>43465</v>
      </c>
      <c r="F1032" s="11">
        <f>[1]!EM_S_PQ_PCTCHANGE(B1032,"2018-01-01","2019-12-31","3")</f>
        <v>-23.0366769</v>
      </c>
      <c r="G1032" s="11">
        <f>[1]!EM_S_PQ_PCTCHANGE(B1032,"2018-12-31","2019-12-30","1")</f>
        <v>26.6</v>
      </c>
      <c r="H1032" s="11">
        <f>[1]!EM_S_FA_YOY_OR(B1032,E1032)</f>
        <v>37.448044862400003</v>
      </c>
      <c r="I1032" s="11">
        <f>[1]!EM_S_FA_GROSSPROFITMARGIN(B1032,E1032)</f>
        <v>13.220308359700001</v>
      </c>
      <c r="J1032" s="11">
        <f>[1]!EM_S_FA_NETPROFITMARGIN(B1032,E1032)</f>
        <v>7.0332360010999997</v>
      </c>
      <c r="K1032" s="10">
        <f>[1]!EM_S_FA_ASSETSTURN(B1032,E1032)</f>
        <v>1.610306456043</v>
      </c>
      <c r="L1032" s="12">
        <f>[1]!EM_HKS_VAL_MV(B1032,"2019-12-31","2")</f>
        <v>35963069484.099998</v>
      </c>
      <c r="M1032">
        <f>[1]!EM_S_VAL_PETTMDEDUCTED(B1032,E1032)</f>
        <v>17.8563645365494</v>
      </c>
      <c r="N1032" s="7">
        <f>[1]!EM_S_VAL_PBGOODWILLDEDUCTED(B1032,E1032)</f>
        <v>2.7959696271691499</v>
      </c>
      <c r="O1032" s="7">
        <f>[1]!EM_S_VAL_PS_TTM(B1032,E1032)</f>
        <v>1.09899456520712</v>
      </c>
      <c r="P1032" s="7">
        <f>[1]!EM_S_VAL_PCF_NCFTTM(B1032,E1032)</f>
        <v>-26.6282508637332</v>
      </c>
      <c r="Q1032" s="7">
        <f>[1]!EM_S_VAL_DIVIDENDYIELD2(B1032,E1032,"2019-11-29")</f>
        <v>1.2026704079736039</v>
      </c>
      <c r="T1032"/>
      <c r="U1032">
        <f>[1]!EM_S_RATIO_EPS_TTM(B1032,E1032,"1")</f>
        <v>0.67310722334391215</v>
      </c>
      <c r="AT1032" s="4" t="str">
        <f>[1]!EM_S_IPO_LISTEDDATE(B1032)</f>
        <v>2000-06-08</v>
      </c>
    </row>
    <row r="1033" spans="1:46">
      <c r="A1033">
        <v>1746</v>
      </c>
      <c r="B1033" t="str">
        <f>"300321"</f>
        <v>300321</v>
      </c>
      <c r="C1033" t="s">
        <v>3066</v>
      </c>
      <c r="D1033" t="str">
        <f>[1]!EM_S_INFO_INDEX_EM(B1033,"1")</f>
        <v>纺织服装</v>
      </c>
      <c r="E1033" s="4">
        <f t="shared" si="16"/>
        <v>43465</v>
      </c>
      <c r="F1033" s="11">
        <f>[1]!EM_S_PQ_PCTCHANGE(B1033,"2018-01-01","2019-12-31","3")</f>
        <v>-30.02337434</v>
      </c>
      <c r="G1033" s="11">
        <f>[1]!EM_S_PQ_PCTCHANGE(B1033,"2018-12-31","2019-12-30","1")</f>
        <v>26.561264820000002</v>
      </c>
      <c r="H1033" s="11">
        <f>[1]!EM_S_FA_YOY_OR(B1033,E1033)</f>
        <v>7.4329046340999998</v>
      </c>
      <c r="I1033" s="11">
        <f>[1]!EM_S_FA_GROSSPROFITMARGIN(B1033,E1033)</f>
        <v>18.680926681300001</v>
      </c>
      <c r="J1033" s="11">
        <f>[1]!EM_S_FA_NETPROFITMARGIN(B1033,E1033)</f>
        <v>6.1375421788000004</v>
      </c>
      <c r="K1033" s="10">
        <f>[1]!EM_S_FA_ASSETSTURN(B1033,E1033)</f>
        <v>0.64443103542299995</v>
      </c>
      <c r="L1033" s="12">
        <f>[1]!EM_HKS_VAL_MV(B1033,"2019-12-31","2")</f>
        <v>1425240000</v>
      </c>
      <c r="M1033">
        <f>[1]!EM_S_VAL_PETTMDEDUCTED(B1033,E1033)</f>
        <v>46.072580407471499</v>
      </c>
      <c r="N1033" s="7">
        <f>[1]!EM_S_VAL_PBGOODWILLDEDUCTED(B1033,E1033)</f>
        <v>1.8226130245255101</v>
      </c>
      <c r="O1033" s="7">
        <f>[1]!EM_S_VAL_PS_TTM(B1033,E1033)</f>
        <v>2.5085286343042199</v>
      </c>
      <c r="P1033" s="7">
        <f>[1]!EM_S_VAL_PCF_NCFTTM(B1033,E1033)</f>
        <v>-77.9413287967445</v>
      </c>
      <c r="Q1033" s="7">
        <f>[1]!EM_S_VAL_DIVIDENDYIELD2(B1033,E1033,"2019-11-29")</f>
        <v>0.41695621959694229</v>
      </c>
      <c r="T1033"/>
      <c r="U1033">
        <f>[1]!EM_S_RATIO_EPS_TTM(B1033,E1033,"1")</f>
        <v>0.32430402319819823</v>
      </c>
      <c r="AT1033" s="4" t="str">
        <f>[1]!EM_S_IPO_LISTEDDATE(B1033)</f>
        <v>2012-05-23</v>
      </c>
    </row>
    <row r="1034" spans="1:46">
      <c r="A1034">
        <v>2751</v>
      </c>
      <c r="B1034" t="str">
        <f>"600678"</f>
        <v>600678</v>
      </c>
      <c r="C1034" t="s">
        <v>55</v>
      </c>
      <c r="D1034" t="str">
        <f>[1]!EM_S_INFO_INDEX_EM(B1034,"1")</f>
        <v>建材</v>
      </c>
      <c r="E1034" s="4">
        <f t="shared" si="16"/>
        <v>43465</v>
      </c>
      <c r="F1034" s="11">
        <f>[1]!EM_S_PQ_PCTCHANGE(B1034,"2018-01-01","2019-12-31","3")</f>
        <v>-29.512635379999999</v>
      </c>
      <c r="G1034" s="11">
        <f>[1]!EM_S_PQ_PCTCHANGE(B1034,"2018-12-31","2019-12-30","1")</f>
        <v>26.559714799999998</v>
      </c>
      <c r="H1034" s="11">
        <f>[1]!EM_S_FA_YOY_OR(B1034,E1034)</f>
        <v>129.24683823320001</v>
      </c>
      <c r="I1034" s="11">
        <f>[1]!EM_S_FA_GROSSPROFITMARGIN(B1034,E1034)</f>
        <v>21.8256160838</v>
      </c>
      <c r="J1034" s="11">
        <f>[1]!EM_S_FA_NETPROFITMARGIN(B1034,E1034)</f>
        <v>7.4176382208999998</v>
      </c>
      <c r="K1034" s="10">
        <f>[1]!EM_S_FA_ASSETSTURN(B1034,E1034)</f>
        <v>0.92867550475000005</v>
      </c>
      <c r="L1034" s="12">
        <f>[1]!EM_HKS_VAL_MV(B1034,"2019-12-31","2")</f>
        <v>2725611900</v>
      </c>
      <c r="M1034">
        <f>[1]!EM_S_VAL_PETTMDEDUCTED(B1034,E1034)</f>
        <v>46.507181314195897</v>
      </c>
      <c r="N1034" s="7">
        <f>[1]!EM_S_VAL_PBGOODWILLDEDUCTED(B1034,E1034)</f>
        <v>28.520137875146901</v>
      </c>
      <c r="O1034" s="7">
        <f>[1]!EM_S_VAL_PS_TTM(B1034,E1034)</f>
        <v>4.7111408301889703</v>
      </c>
      <c r="P1034" s="7">
        <f>[1]!EM_S_VAL_PCF_NCFTTM(B1034,E1034)</f>
        <v>432.47094690140699</v>
      </c>
      <c r="Q1034" s="7">
        <f>[1]!EM_S_VAL_DIVIDENDYIELD2(B1034,E1034,"2019-11-29")</f>
        <v>0</v>
      </c>
      <c r="T1034"/>
      <c r="U1034">
        <f>[1]!EM_S_RATIO_EPS_TTM(B1034,E1034,"1")</f>
        <v>9.0786658328318864E-2</v>
      </c>
      <c r="AT1034" s="4" t="str">
        <f>[1]!EM_S_IPO_LISTEDDATE(B1034)</f>
        <v>1993-10-08</v>
      </c>
    </row>
    <row r="1035" spans="1:46">
      <c r="A1035">
        <v>64</v>
      </c>
      <c r="B1035" t="str">
        <f>"000089"</f>
        <v>000089</v>
      </c>
      <c r="C1035" t="s">
        <v>1876</v>
      </c>
      <c r="D1035" t="str">
        <f>[1]!EM_S_INFO_INDEX_EM(B1035,"1")</f>
        <v>交通运输</v>
      </c>
      <c r="E1035" s="4">
        <f t="shared" si="16"/>
        <v>43465</v>
      </c>
      <c r="F1035" s="11">
        <f>[1]!EM_S_PQ_PCTCHANGE(B1035,"2018-01-01","2019-12-31","3")</f>
        <v>14.807369789999999</v>
      </c>
      <c r="G1035" s="11">
        <f>[1]!EM_S_PQ_PCTCHANGE(B1035,"2019-01-01","2019-12-31","3")</f>
        <v>26.549637300000001</v>
      </c>
      <c r="H1035" s="11">
        <f>[1]!EM_S_FA_YOY_OR(B1035,E1035)</f>
        <v>8.3960506275999993</v>
      </c>
      <c r="I1035" s="11">
        <f>[1]!EM_S_FA_GROSSPROFITMARGIN(B1035,E1035)</f>
        <v>25.884770291500001</v>
      </c>
      <c r="J1035" s="11">
        <f>[1]!EM_S_FA_NETPROFITMARGIN(B1035,E1035)</f>
        <v>18.943159362100001</v>
      </c>
      <c r="K1035" s="10">
        <f>[1]!EM_S_FA_ASSETSTURN(B1035,E1035)</f>
        <v>0.27092153000500002</v>
      </c>
      <c r="L1035" s="12">
        <f>[1]!EM_HKS_VAL_MV(B1035,"2019-12-31","2")</f>
        <v>20036018102.93</v>
      </c>
      <c r="M1035">
        <f>[1]!EM_S_VAL_PETTMDEDUCTED(B1035,E1035)</f>
        <v>23.233158189589702</v>
      </c>
      <c r="N1035" s="7">
        <f>[1]!EM_S_VAL_PBGOODWILLDEDUCTED(B1035,E1035)</f>
        <v>1.37273363520624</v>
      </c>
      <c r="O1035" s="7">
        <f>[1]!EM_S_VAL_PS_TTM(B1035,E1035)</f>
        <v>4.4953038007960799</v>
      </c>
      <c r="P1035" s="7">
        <f>[1]!EM_S_VAL_PCF_NCFTTM(B1035,E1035)</f>
        <v>60.909116122071097</v>
      </c>
      <c r="Q1035" s="7">
        <f>[1]!EM_S_VAL_DIVIDENDYIELD2(B1035,E1035,"2019-11-29")</f>
        <v>0.91101694915254239</v>
      </c>
      <c r="T1035"/>
      <c r="U1035">
        <f>[1]!EM_S_RATIO_EPS_TTM(B1035,E1035,"1")</f>
        <v>0.32573515257486696</v>
      </c>
      <c r="AT1035" s="4" t="str">
        <f>[1]!EM_S_IPO_LISTEDDATE(B1035)</f>
        <v>1998-04-20</v>
      </c>
    </row>
    <row r="1036" spans="1:46">
      <c r="A1036">
        <v>408</v>
      </c>
      <c r="B1036" t="str">
        <f>"000875"</f>
        <v>000875</v>
      </c>
      <c r="C1036" t="s">
        <v>1454</v>
      </c>
      <c r="D1036" t="str">
        <f>[1]!EM_S_INFO_INDEX_EM(B1036,"1")</f>
        <v>公用事业</v>
      </c>
      <c r="E1036" s="4">
        <f t="shared" si="16"/>
        <v>43465</v>
      </c>
      <c r="F1036" s="11">
        <f>[1]!EM_S_PQ_PCTCHANGE(B1036,"2018-01-01","2019-12-31","3")</f>
        <v>-19.28020566</v>
      </c>
      <c r="G1036" s="11">
        <f>[1]!EM_S_PQ_PCTCHANGE(B1036,"2018-12-31","2019-12-30","1")</f>
        <v>26.53061224</v>
      </c>
      <c r="H1036" s="11">
        <f>[1]!EM_S_FA_YOY_OR(B1036,E1036)</f>
        <v>43.093891876699999</v>
      </c>
      <c r="I1036" s="11">
        <f>[1]!EM_S_FA_GROSSPROFITMARGIN(B1036,E1036)</f>
        <v>18.9897652768</v>
      </c>
      <c r="J1036" s="11">
        <f>[1]!EM_S_FA_NETPROFITMARGIN(B1036,E1036)</f>
        <v>3.4487223671999998</v>
      </c>
      <c r="K1036" s="10">
        <f>[1]!EM_S_FA_ASSETSTURN(B1036,E1036)</f>
        <v>0.194867615154</v>
      </c>
      <c r="L1036" s="12">
        <f>[1]!EM_HKS_VAL_MV(B1036,"2019-12-31","2")</f>
        <v>6739425897.1999998</v>
      </c>
      <c r="M1036">
        <f>[1]!EM_S_VAL_PETTMDEDUCTED(B1036,E1036)</f>
        <v>-22.044660352047199</v>
      </c>
      <c r="N1036" s="7">
        <f>[1]!EM_S_VAL_PBGOODWILLDEDUCTED(B1036,E1036)</f>
        <v>0.72445827177647104</v>
      </c>
      <c r="O1036" s="7">
        <f>[1]!EM_S_VAL_PS_TTM(B1036,E1036)</f>
        <v>0.80002167656901602</v>
      </c>
      <c r="P1036" s="7">
        <f>[1]!EM_S_VAL_PCF_NCFTTM(B1036,E1036)</f>
        <v>9.0885400397803906</v>
      </c>
      <c r="Q1036" s="7">
        <f>[1]!EM_S_VAL_DIVIDENDYIELD2(B1036,E1036,"2019-11-29")</f>
        <v>0</v>
      </c>
      <c r="T1036"/>
      <c r="U1036">
        <f>[1]!EM_S_RATIO_EPS_TTM(B1036,E1036,"1")</f>
        <v>5.3397819171824991E-2</v>
      </c>
      <c r="AT1036" s="4" t="str">
        <f>[1]!EM_S_IPO_LISTEDDATE(B1036)</f>
        <v>2002-09-26</v>
      </c>
    </row>
    <row r="1037" spans="1:46">
      <c r="A1037">
        <v>1633</v>
      </c>
      <c r="B1037" t="str">
        <f>"300208"</f>
        <v>300208</v>
      </c>
      <c r="C1037" t="s">
        <v>299</v>
      </c>
      <c r="D1037" t="str">
        <f>[1]!EM_S_INFO_INDEX_EM(B1037,"1")</f>
        <v>电气设备</v>
      </c>
      <c r="E1037" s="4">
        <f t="shared" si="16"/>
        <v>43465</v>
      </c>
      <c r="F1037" s="11">
        <f>[1]!EM_S_PQ_PCTCHANGE(B1037,"2018-01-01","2019-12-31","3")</f>
        <v>-42.783916150000003</v>
      </c>
      <c r="G1037" s="11">
        <f>[1]!EM_S_PQ_PCTCHANGE(B1037,"2018-12-31","2019-12-30","1")</f>
        <v>26.480836239999999</v>
      </c>
      <c r="H1037" s="11">
        <f>[1]!EM_S_FA_YOY_OR(B1037,E1037)</f>
        <v>-14.5966858927</v>
      </c>
      <c r="I1037" s="11">
        <f>[1]!EM_S_FA_GROSSPROFITMARGIN(B1037,E1037)</f>
        <v>35.133828280800003</v>
      </c>
      <c r="J1037" s="11">
        <f>[1]!EM_S_FA_NETPROFITMARGIN(B1037,E1037)</f>
        <v>14.3375521871</v>
      </c>
      <c r="K1037" s="10">
        <f>[1]!EM_S_FA_ASSETSTURN(B1037,E1037)</f>
        <v>0.28945224285400001</v>
      </c>
      <c r="L1037" s="12">
        <f>[1]!EM_HKS_VAL_MV(B1037,"2019-12-31","2")</f>
        <v>5381230500</v>
      </c>
      <c r="M1037">
        <f>[1]!EM_S_VAL_PETTMDEDUCTED(B1037,E1037)</f>
        <v>15.6986895358512</v>
      </c>
      <c r="N1037" s="7">
        <f>[1]!EM_S_VAL_PBGOODWILLDEDUCTED(B1037,E1037)</f>
        <v>2.1113610857078999</v>
      </c>
      <c r="O1037" s="7">
        <f>[1]!EM_S_VAL_PS_TTM(B1037,E1037)</f>
        <v>3.0091823115591398</v>
      </c>
      <c r="P1037" s="7">
        <f>[1]!EM_S_VAL_PCF_NCFTTM(B1037,E1037)</f>
        <v>23.633562553502198</v>
      </c>
      <c r="Q1037" s="7">
        <f>[1]!EM_S_VAL_DIVIDENDYIELD2(B1037,E1037,"2019-11-29")</f>
        <v>0.49027919543680576</v>
      </c>
      <c r="T1037"/>
      <c r="U1037">
        <f>[1]!EM_S_RATIO_EPS_TTM(B1037,E1037,"1")</f>
        <v>0.24561909809607785</v>
      </c>
      <c r="AT1037" s="4" t="str">
        <f>[1]!EM_S_IPO_LISTEDDATE(B1037)</f>
        <v>2011-04-26</v>
      </c>
    </row>
    <row r="1038" spans="1:46">
      <c r="A1038">
        <v>926</v>
      </c>
      <c r="B1038" t="str">
        <f>"002415"</f>
        <v>002415</v>
      </c>
      <c r="C1038" t="s">
        <v>213</v>
      </c>
      <c r="D1038" t="str">
        <f>[1]!EM_S_INFO_INDEX_EM(B1038,"1")</f>
        <v>信息技术</v>
      </c>
      <c r="E1038" s="4">
        <f t="shared" si="16"/>
        <v>43465</v>
      </c>
      <c r="F1038" s="11">
        <f>[1]!EM_S_PQ_PCTCHANGE(B1038,"2018-01-01","2019-12-31","3")</f>
        <v>-12.91230176</v>
      </c>
      <c r="G1038" s="11">
        <f>[1]!EM_S_PQ_PCTCHANGE(B1038,"2018-12-31","2019-12-30","1")</f>
        <v>26.475155279999999</v>
      </c>
      <c r="H1038" s="11">
        <f>[1]!EM_S_FA_YOY_OR(B1038,E1038)</f>
        <v>18.927492438600002</v>
      </c>
      <c r="I1038" s="11">
        <f>[1]!EM_S_FA_GROSSPROFITMARGIN(B1038,E1038)</f>
        <v>44.8534291868</v>
      </c>
      <c r="J1038" s="11">
        <f>[1]!EM_S_FA_NETPROFITMARGIN(B1038,E1038)</f>
        <v>22.8377763686</v>
      </c>
      <c r="K1038" s="10">
        <f>[1]!EM_S_FA_ASSETSTURN(B1038,E1038)</f>
        <v>0.86631603552400005</v>
      </c>
      <c r="L1038" s="12">
        <f>[1]!EM_HKS_VAL_MV(B1038,"2019-12-31","2")</f>
        <v>305955650187.03998</v>
      </c>
      <c r="M1038">
        <f>[1]!EM_S_VAL_PETTMDEDUCTED(B1038,E1038)</f>
        <v>23.032143901765501</v>
      </c>
      <c r="N1038" s="7">
        <f>[1]!EM_S_VAL_PBGOODWILLDEDUCTED(B1038,E1038)</f>
        <v>6.3592278019178901</v>
      </c>
      <c r="O1038" s="7">
        <f>[1]!EM_S_VAL_PS_TTM(B1038,E1038)</f>
        <v>4.9541952312450901</v>
      </c>
      <c r="P1038" s="7">
        <f>[1]!EM_S_VAL_PCF_NCFTTM(B1038,E1038)</f>
        <v>51.545363262245402</v>
      </c>
      <c r="Q1038" s="7">
        <f>[1]!EM_S_VAL_DIVIDENDYIELD2(B1038,E1038,"2019-11-29")</f>
        <v>1.9109259620818324</v>
      </c>
      <c r="T1038"/>
      <c r="U1038">
        <f>[1]!EM_S_RATIO_EPS_TTM(B1038,E1038,"1")</f>
        <v>1.2303605139287652</v>
      </c>
      <c r="AT1038" s="4" t="str">
        <f>[1]!EM_S_IPO_LISTEDDATE(B1038)</f>
        <v>2010-05-28</v>
      </c>
    </row>
    <row r="1039" spans="1:46">
      <c r="A1039">
        <v>2194</v>
      </c>
      <c r="B1039" t="str">
        <f>"600038"</f>
        <v>600038</v>
      </c>
      <c r="C1039" t="s">
        <v>2264</v>
      </c>
      <c r="D1039" t="str">
        <f>[1]!EM_S_INFO_INDEX_EM(B1039,"1")</f>
        <v>国防与装备</v>
      </c>
      <c r="E1039" s="4">
        <f t="shared" si="16"/>
        <v>43465</v>
      </c>
      <c r="F1039" s="11">
        <f>[1]!EM_S_PQ_PCTCHANGE(B1039,"2018-01-01","2019-12-31","3")</f>
        <v>3.7608126999999998</v>
      </c>
      <c r="G1039" s="11">
        <f>[1]!EM_S_PQ_PCTCHANGE(B1039,"2018-12-31","2019-12-30","1")</f>
        <v>26.472162740000002</v>
      </c>
      <c r="H1039" s="11">
        <f>[1]!EM_S_FA_YOY_OR(B1039,E1039)</f>
        <v>8.4445185574000003</v>
      </c>
      <c r="I1039" s="11">
        <f>[1]!EM_S_FA_GROSSPROFITMARGIN(B1039,E1039)</f>
        <v>13.931845724</v>
      </c>
      <c r="J1039" s="11">
        <f>[1]!EM_S_FA_NETPROFITMARGIN(B1039,E1039)</f>
        <v>3.9060409040000001</v>
      </c>
      <c r="K1039" s="10">
        <f>[1]!EM_S_FA_ASSETSTURN(B1039,E1039)</f>
        <v>0.56151688299500002</v>
      </c>
      <c r="L1039" s="12">
        <f>[1]!EM_HKS_VAL_MV(B1039,"2019-12-31","2")</f>
        <v>28123934120.360001</v>
      </c>
      <c r="M1039">
        <f>[1]!EM_S_VAL_PETTMDEDUCTED(B1039,E1039)</f>
        <v>46.338546621036002</v>
      </c>
      <c r="N1039" s="7">
        <f>[1]!EM_S_VAL_PBGOODWILLDEDUCTED(B1039,E1039)</f>
        <v>2.8535292092610902</v>
      </c>
      <c r="O1039" s="7">
        <f>[1]!EM_S_VAL_PS_TTM(B1039,E1039)</f>
        <v>1.7713297572643401</v>
      </c>
      <c r="P1039" s="7">
        <f>[1]!EM_S_VAL_PCF_NCFTTM(B1039,E1039)</f>
        <v>111.923016265095</v>
      </c>
      <c r="Q1039" s="7">
        <f>[1]!EM_S_VAL_DIVIDENDYIELD2(B1039,E1039,"2019-11-29")</f>
        <v>0.5714285714285714</v>
      </c>
      <c r="T1039"/>
      <c r="U1039">
        <f>[1]!EM_S_RATIO_EPS_TTM(B1039,E1039,"1")</f>
        <v>0.86573501993927782</v>
      </c>
      <c r="AT1039" s="4" t="str">
        <f>[1]!EM_S_IPO_LISTEDDATE(B1039)</f>
        <v>2000-12-18</v>
      </c>
    </row>
    <row r="1040" spans="1:46">
      <c r="A1040">
        <v>3543</v>
      </c>
      <c r="B1040" t="str">
        <f>"603803"</f>
        <v>603803</v>
      </c>
      <c r="C1040" t="s">
        <v>1835</v>
      </c>
      <c r="D1040" t="str">
        <f>[1]!EM_S_INFO_INDEX_EM(B1040,"1")</f>
        <v>信息技术</v>
      </c>
      <c r="E1040" s="4">
        <f t="shared" si="16"/>
        <v>43465</v>
      </c>
      <c r="F1040" s="11">
        <f>[1]!EM_S_PQ_PCTCHANGE(B1040,"2018-01-01","2019-12-31","3")</f>
        <v>-28.34357885</v>
      </c>
      <c r="G1040" s="11">
        <f>[1]!EM_S_PQ_PCTCHANGE(B1040,"2018-12-31","2019-12-30","1")</f>
        <v>26.456071080000001</v>
      </c>
      <c r="H1040" s="11">
        <f>[1]!EM_S_FA_YOY_OR(B1040,E1040)</f>
        <v>14.041593111499999</v>
      </c>
      <c r="I1040" s="11">
        <f>[1]!EM_S_FA_GROSSPROFITMARGIN(B1040,E1040)</f>
        <v>39.583074557700002</v>
      </c>
      <c r="J1040" s="11">
        <f>[1]!EM_S_FA_NETPROFITMARGIN(B1040,E1040)</f>
        <v>5.1528746898</v>
      </c>
      <c r="K1040" s="10">
        <f>[1]!EM_S_FA_ASSETSTURN(B1040,E1040)</f>
        <v>0.64729995714999999</v>
      </c>
      <c r="L1040" s="12">
        <f>[1]!EM_HKS_VAL_MV(B1040,"2019-12-31","2")</f>
        <v>5431616685.3000002</v>
      </c>
      <c r="M1040">
        <f>[1]!EM_S_VAL_PETTMDEDUCTED(B1040,E1040)</f>
        <v>30.457209638231902</v>
      </c>
      <c r="N1040" s="7">
        <f>[1]!EM_S_VAL_PBGOODWILLDEDUCTED(B1040,E1040)</f>
        <v>1.72090434074467</v>
      </c>
      <c r="O1040" s="7">
        <f>[1]!EM_S_VAL_PS_TTM(B1040,E1040)</f>
        <v>1.8618149265666399</v>
      </c>
      <c r="P1040" s="7">
        <f>[1]!EM_S_VAL_PCF_NCFTTM(B1040,E1040)</f>
        <v>-33.351230244378399</v>
      </c>
      <c r="Q1040" s="7">
        <f>[1]!EM_S_VAL_DIVIDENDYIELD2(B1040,E1040,"2019-11-29")</f>
        <v>0.96</v>
      </c>
      <c r="T1040"/>
      <c r="U1040">
        <f>[1]!EM_S_RATIO_EPS_TTM(B1040,E1040,"1")</f>
        <v>0.29722205352582487</v>
      </c>
      <c r="AT1040" s="4" t="str">
        <f>[1]!EM_S_IPO_LISTEDDATE(B1040)</f>
        <v>2017-04-20</v>
      </c>
    </row>
    <row r="1041" spans="1:46">
      <c r="A1041">
        <v>733</v>
      </c>
      <c r="B1041" t="str">
        <f>"002222"</f>
        <v>002222</v>
      </c>
      <c r="C1041" t="s">
        <v>305</v>
      </c>
      <c r="D1041" t="str">
        <f>[1]!EM_S_INFO_INDEX_EM(B1041,"1")</f>
        <v>电子设备</v>
      </c>
      <c r="E1041" s="4">
        <f t="shared" si="16"/>
        <v>43465</v>
      </c>
      <c r="F1041" s="11">
        <f>[1]!EM_S_PQ_PCTCHANGE(B1041,"2018-01-01","2019-12-31","3")</f>
        <v>-31.715214450000001</v>
      </c>
      <c r="G1041" s="11">
        <f>[1]!EM_S_PQ_PCTCHANGE(B1041,"2018-12-31","2019-12-30","1")</f>
        <v>26.43442623</v>
      </c>
      <c r="H1041" s="11">
        <f>[1]!EM_S_FA_YOY_OR(B1041,E1041)</f>
        <v>8.2867488002999998</v>
      </c>
      <c r="I1041" s="11">
        <f>[1]!EM_S_FA_GROSSPROFITMARGIN(B1041,E1041)</f>
        <v>60.326569353700002</v>
      </c>
      <c r="J1041" s="11">
        <f>[1]!EM_S_FA_NETPROFITMARGIN(B1041,E1041)</f>
        <v>31.228316749800001</v>
      </c>
      <c r="K1041" s="10">
        <f>[1]!EM_S_FA_ASSETSTURN(B1041,E1041)</f>
        <v>0.52119084841999996</v>
      </c>
      <c r="L1041" s="12">
        <f>[1]!EM_HKS_VAL_MV(B1041,"2019-12-31","2")</f>
        <v>5245425000</v>
      </c>
      <c r="M1041">
        <f>[1]!EM_S_VAL_PETTMDEDUCTED(B1041,E1041)</f>
        <v>26.332390820150501</v>
      </c>
      <c r="N1041" s="7">
        <f>[1]!EM_S_VAL_PBGOODWILLDEDUCTED(B1041,E1041)</f>
        <v>4.7640767590145101</v>
      </c>
      <c r="O1041" s="7">
        <f>[1]!EM_S_VAL_PS_TTM(B1041,E1041)</f>
        <v>8.42234461717789</v>
      </c>
      <c r="P1041" s="7">
        <f>[1]!EM_S_VAL_PCF_NCFTTM(B1041,E1041)</f>
        <v>298.10887599758797</v>
      </c>
      <c r="Q1041" s="7">
        <f>[1]!EM_S_VAL_DIVIDENDYIELD2(B1041,E1041,"2019-11-29")</f>
        <v>0.91074681238615673</v>
      </c>
      <c r="T1041"/>
      <c r="U1041">
        <f>[1]!EM_S_RATIO_EPS_TTM(B1041,E1041,"1")</f>
        <v>0.35182854650292394</v>
      </c>
      <c r="AT1041" s="4" t="str">
        <f>[1]!EM_S_IPO_LISTEDDATE(B1041)</f>
        <v>2008-03-19</v>
      </c>
    </row>
    <row r="1042" spans="1:46">
      <c r="A1042">
        <v>3151</v>
      </c>
      <c r="B1042" t="str">
        <f>"601798"</f>
        <v>601798</v>
      </c>
      <c r="C1042" t="s">
        <v>3199</v>
      </c>
      <c r="D1042" t="str">
        <f>[1]!EM_S_INFO_INDEX_EM(B1042,"1")</f>
        <v>机械设备</v>
      </c>
      <c r="E1042" s="4">
        <f t="shared" si="16"/>
        <v>43465</v>
      </c>
      <c r="F1042" s="11">
        <f>[1]!EM_S_PQ_PCTCHANGE(B1042,"2018-01-01","2019-12-31","3")</f>
        <v>-34.355179700000001</v>
      </c>
      <c r="G1042" s="11">
        <f>[1]!EM_S_PQ_PCTCHANGE(B1042,"2018-12-31","2019-12-30","1")</f>
        <v>26.422764229999999</v>
      </c>
      <c r="H1042" s="11">
        <f>[1]!EM_S_FA_YOY_OR(B1042,E1042)</f>
        <v>6.9054841776</v>
      </c>
      <c r="I1042" s="11">
        <f>[1]!EM_S_FA_GROSSPROFITMARGIN(B1042,E1042)</f>
        <v>12.5403991804</v>
      </c>
      <c r="J1042" s="11">
        <f>[1]!EM_S_FA_NETPROFITMARGIN(B1042,E1042)</f>
        <v>6.9050480744999998</v>
      </c>
      <c r="K1042" s="10">
        <f>[1]!EM_S_FA_ASSETSTURN(B1042,E1042)</f>
        <v>0.25720513929400002</v>
      </c>
      <c r="L1042" s="12">
        <f>[1]!EM_HKS_VAL_MV(B1042,"2019-12-31","2")</f>
        <v>2201620109.5799999</v>
      </c>
      <c r="M1042">
        <f>[1]!EM_S_VAL_PETTMDEDUCTED(B1042,E1042)</f>
        <v>-8.9587274032428503</v>
      </c>
      <c r="N1042" s="7">
        <f>[1]!EM_S_VAL_PBGOODWILLDEDUCTED(B1042,E1042)</f>
        <v>0.96889192053517803</v>
      </c>
      <c r="O1042" s="7">
        <f>[1]!EM_S_VAL_PS_TTM(B1042,E1042)</f>
        <v>2.2801288735829601</v>
      </c>
      <c r="P1042" s="7">
        <f>[1]!EM_S_VAL_PCF_NCFTTM(B1042,E1042)</f>
        <v>-212.65633119588301</v>
      </c>
      <c r="Q1042" s="7">
        <f>[1]!EM_S_VAL_DIVIDENDYIELD2(B1042,E1042,"2019-11-29")</f>
        <v>0</v>
      </c>
      <c r="T1042"/>
      <c r="U1042">
        <f>[1]!EM_S_RATIO_EPS_TTM(B1042,E1042,"1")</f>
        <v>0.1775342681204726</v>
      </c>
      <c r="AT1042" s="4" t="str">
        <f>[1]!EM_S_IPO_LISTEDDATE(B1042)</f>
        <v>2011-06-22</v>
      </c>
    </row>
    <row r="1043" spans="1:46">
      <c r="A1043">
        <v>3017</v>
      </c>
      <c r="B1043" t="str">
        <f>"600996"</f>
        <v>600996</v>
      </c>
      <c r="C1043" t="s">
        <v>1950</v>
      </c>
      <c r="D1043" t="str">
        <f>[1]!EM_S_INFO_INDEX_EM(B1043,"1")</f>
        <v>文化传媒</v>
      </c>
      <c r="E1043" s="4">
        <f t="shared" si="16"/>
        <v>43465</v>
      </c>
      <c r="F1043" s="11">
        <f>[1]!EM_S_PQ_PCTCHANGE(B1043,"2018-01-01","2019-12-31","3")</f>
        <v>-16.503534640000002</v>
      </c>
      <c r="G1043" s="11">
        <f>[1]!EM_S_PQ_PCTCHANGE(B1043,"2018-12-31","2019-12-30","1")</f>
        <v>26.41509434</v>
      </c>
      <c r="H1043" s="11">
        <f>[1]!EM_S_FA_YOY_OR(B1043,E1043)</f>
        <v>25.5530228559</v>
      </c>
      <c r="I1043" s="11">
        <f>[1]!EM_S_FA_GROSSPROFITMARGIN(B1043,E1043)</f>
        <v>32.640982288300002</v>
      </c>
      <c r="J1043" s="11">
        <f>[1]!EM_S_FA_NETPROFITMARGIN(B1043,E1043)</f>
        <v>9.6821009628999999</v>
      </c>
      <c r="K1043" s="10">
        <f>[1]!EM_S_FA_ASSETSTURN(B1043,E1043)</f>
        <v>0.30734464857400001</v>
      </c>
      <c r="L1043" s="12">
        <f>[1]!EM_HKS_VAL_MV(B1043,"2019-12-31","2")</f>
        <v>8466147100.6000004</v>
      </c>
      <c r="M1043">
        <f>[1]!EM_S_VAL_PETTMDEDUCTED(B1043,E1043)</f>
        <v>20.3627928404877</v>
      </c>
      <c r="N1043" s="7">
        <f>[1]!EM_S_VAL_PBGOODWILLDEDUCTED(B1043,E1043)</f>
        <v>1.5149293567220401</v>
      </c>
      <c r="O1043" s="7">
        <f>[1]!EM_S_VAL_PS_TTM(B1043,E1043)</f>
        <v>2.33756860243352</v>
      </c>
      <c r="P1043" s="7">
        <f>[1]!EM_S_VAL_PCF_NCFTTM(B1043,E1043)</f>
        <v>10.2975596899138</v>
      </c>
      <c r="Q1043" s="7">
        <f>[1]!EM_S_VAL_DIVIDENDYIELD2(B1043,E1043,"2019-11-29")</f>
        <v>1.1542092221652538</v>
      </c>
      <c r="T1043"/>
      <c r="U1043">
        <f>[1]!EM_S_RATIO_EPS_TTM(B1043,E1043,"1")</f>
        <v>0.29898253264890451</v>
      </c>
      <c r="AT1043" s="4" t="str">
        <f>[1]!EM_S_IPO_LISTEDDATE(B1043)</f>
        <v>2016-12-26</v>
      </c>
    </row>
    <row r="1044" spans="1:46">
      <c r="A1044">
        <v>1033</v>
      </c>
      <c r="B1044" t="str">
        <f>"002522"</f>
        <v>002522</v>
      </c>
      <c r="C1044" t="s">
        <v>2585</v>
      </c>
      <c r="D1044" t="str">
        <f>[1]!EM_S_INFO_INDEX_EM(B1044,"1")</f>
        <v>基础化工</v>
      </c>
      <c r="E1044" s="4">
        <f t="shared" si="16"/>
        <v>43465</v>
      </c>
      <c r="F1044" s="11">
        <f>[1]!EM_S_PQ_PCTCHANGE(B1044,"2018-01-01","2019-12-31","3")</f>
        <v>-29.448703900000002</v>
      </c>
      <c r="G1044" s="11">
        <f>[1]!EM_S_PQ_PCTCHANGE(B1044,"2018-12-31","2019-12-30","1")</f>
        <v>26.380368099999998</v>
      </c>
      <c r="H1044" s="11">
        <f>[1]!EM_S_FA_YOY_OR(B1044,E1044)</f>
        <v>65.139976693899996</v>
      </c>
      <c r="I1044" s="11">
        <f>[1]!EM_S_FA_GROSSPROFITMARGIN(B1044,E1044)</f>
        <v>17.616829944799999</v>
      </c>
      <c r="J1044" s="11">
        <f>[1]!EM_S_FA_NETPROFITMARGIN(B1044,E1044)</f>
        <v>-2.0956034257999998</v>
      </c>
      <c r="K1044" s="10">
        <f>[1]!EM_S_FA_ASSETSTURN(B1044,E1044)</f>
        <v>0.34711220379199997</v>
      </c>
      <c r="L1044" s="12">
        <f>[1]!EM_HKS_VAL_MV(B1044,"2019-12-31","2")</f>
        <v>5561485436.1800003</v>
      </c>
      <c r="M1044">
        <f>[1]!EM_S_VAL_PETTMDEDUCTED(B1044,E1044)</f>
        <v>235.65688836643699</v>
      </c>
      <c r="N1044" s="7">
        <f>[1]!EM_S_VAL_PBGOODWILLDEDUCTED(B1044,E1044)</f>
        <v>2.4800520326493301</v>
      </c>
      <c r="O1044" s="7">
        <f>[1]!EM_S_VAL_PS_TTM(B1044,E1044)</f>
        <v>4.6683796220374401</v>
      </c>
      <c r="P1044" s="7">
        <f>[1]!EM_S_VAL_PCF_NCFTTM(B1044,E1044)</f>
        <v>37.422623165849799</v>
      </c>
      <c r="Q1044" s="7">
        <f>[1]!EM_S_VAL_DIVIDENDYIELD2(B1044,E1044,"2019-11-29")</f>
        <v>0.5357142857142857</v>
      </c>
      <c r="T1044"/>
      <c r="U1044">
        <f>[1]!EM_S_RATIO_EPS_TTM(B1044,E1044,"1")</f>
        <v>3.9652045029370933E-2</v>
      </c>
      <c r="AT1044" s="4" t="str">
        <f>[1]!EM_S_IPO_LISTEDDATE(B1044)</f>
        <v>2010-12-10</v>
      </c>
    </row>
    <row r="1045" spans="1:46">
      <c r="A1045">
        <v>2508</v>
      </c>
      <c r="B1045" t="str">
        <f>"600391"</f>
        <v>600391</v>
      </c>
      <c r="C1045" t="s">
        <v>3325</v>
      </c>
      <c r="D1045" t="str">
        <f>[1]!EM_S_INFO_INDEX_EM(B1045,"1")</f>
        <v>国防与装备</v>
      </c>
      <c r="E1045" s="4">
        <f t="shared" si="16"/>
        <v>43465</v>
      </c>
      <c r="F1045" s="11">
        <f>[1]!EM_S_PQ_PCTCHANGE(B1045,"2018-01-01","2019-12-31","3")</f>
        <v>-29.795207340000001</v>
      </c>
      <c r="G1045" s="11">
        <f>[1]!EM_S_PQ_PCTCHANGE(B1045,"2018-12-31","2019-12-30","1")</f>
        <v>26.349496800000001</v>
      </c>
      <c r="H1045" s="11">
        <f>[1]!EM_S_FA_YOY_OR(B1045,E1045)</f>
        <v>4.6687741801999998</v>
      </c>
      <c r="I1045" s="11">
        <f>[1]!EM_S_FA_GROSSPROFITMARGIN(B1045,E1045)</f>
        <v>12.378938890100001</v>
      </c>
      <c r="J1045" s="11">
        <f>[1]!EM_S_FA_NETPROFITMARGIN(B1045,E1045)</f>
        <v>-12.291083091899999</v>
      </c>
      <c r="K1045" s="10">
        <f>[1]!EM_S_FA_ASSETSTURN(B1045,E1045)</f>
        <v>0.40437517719900001</v>
      </c>
      <c r="L1045" s="12">
        <f>[1]!EM_HKS_VAL_MV(B1045,"2019-12-31","2")</f>
        <v>4559086558.2700005</v>
      </c>
      <c r="M1045">
        <f>[1]!EM_S_VAL_PETTMDEDUCTED(B1045,E1045)</f>
        <v>-61.011626202137201</v>
      </c>
      <c r="N1045" s="7">
        <f>[1]!EM_S_VAL_PBGOODWILLDEDUCTED(B1045,E1045)</f>
        <v>2.5137936483840901</v>
      </c>
      <c r="O1045" s="7">
        <f>[1]!EM_S_VAL_PS_TTM(B1045,E1045)</f>
        <v>1.54527566643722</v>
      </c>
      <c r="P1045" s="7">
        <f>[1]!EM_S_VAL_PCF_NCFTTM(B1045,E1045)</f>
        <v>-93.113231527412907</v>
      </c>
      <c r="Q1045" s="7">
        <f>[1]!EM_S_VAL_DIVIDENDYIELD2(B1045,E1045,"2019-11-29")</f>
        <v>0</v>
      </c>
      <c r="T1045"/>
      <c r="U1045">
        <f>[1]!EM_S_RATIO_EPS_TTM(B1045,E1045,"1")</f>
        <v>-0.91790264932716503</v>
      </c>
      <c r="AT1045" s="4" t="str">
        <f>[1]!EM_S_IPO_LISTEDDATE(B1045)</f>
        <v>2001-12-12</v>
      </c>
    </row>
    <row r="1046" spans="1:46">
      <c r="A1046">
        <v>1055</v>
      </c>
      <c r="B1046" t="str">
        <f>"002544"</f>
        <v>002544</v>
      </c>
      <c r="C1046" t="s">
        <v>1771</v>
      </c>
      <c r="D1046" t="str">
        <f>[1]!EM_S_INFO_INDEX_EM(B1046,"1")</f>
        <v>信息技术</v>
      </c>
      <c r="E1046" s="4">
        <f t="shared" si="16"/>
        <v>43465</v>
      </c>
      <c r="F1046" s="11">
        <f>[1]!EM_S_PQ_PCTCHANGE(B1046,"2018-01-01","2019-12-31","3")</f>
        <v>-12.48127509</v>
      </c>
      <c r="G1046" s="11">
        <f>[1]!EM_S_PQ_PCTCHANGE(B1046,"2018-12-31","2019-12-30","1")</f>
        <v>26.34011091</v>
      </c>
      <c r="H1046" s="11">
        <f>[1]!EM_S_FA_YOY_OR(B1046,E1046)</f>
        <v>4.8564396109999999</v>
      </c>
      <c r="I1046" s="11">
        <f>[1]!EM_S_FA_GROSSPROFITMARGIN(B1046,E1046)</f>
        <v>15.166226414400001</v>
      </c>
      <c r="J1046" s="11">
        <f>[1]!EM_S_FA_NETPROFITMARGIN(B1046,E1046)</f>
        <v>0.4053768109</v>
      </c>
      <c r="K1046" s="10">
        <f>[1]!EM_S_FA_ASSETSTURN(B1046,E1046)</f>
        <v>0.93524828967600004</v>
      </c>
      <c r="L1046" s="12">
        <f>[1]!EM_HKS_VAL_MV(B1046,"2019-12-31","2")</f>
        <v>7779161336.3999996</v>
      </c>
      <c r="M1046">
        <f>[1]!EM_S_VAL_PETTMDEDUCTED(B1046,E1046)</f>
        <v>70.181731455995603</v>
      </c>
      <c r="N1046" s="7">
        <f>[1]!EM_S_VAL_PBGOODWILLDEDUCTED(B1046,E1046)</f>
        <v>3.0178946390574501</v>
      </c>
      <c r="O1046" s="7">
        <f>[1]!EM_S_VAL_PS_TTM(B1046,E1046)</f>
        <v>1.0668229121805399</v>
      </c>
      <c r="P1046" s="7">
        <f>[1]!EM_S_VAL_PCF_NCFTTM(B1046,E1046)</f>
        <v>-79.463295822658793</v>
      </c>
      <c r="Q1046" s="7">
        <f>[1]!EM_S_VAL_DIVIDENDYIELD2(B1046,E1046,"2019-11-29")</f>
        <v>0.24752475247524752</v>
      </c>
      <c r="T1046"/>
      <c r="U1046">
        <f>[1]!EM_S_RATIO_EPS_TTM(B1046,E1046,"1")</f>
        <v>2.4127613461666475E-2</v>
      </c>
      <c r="AT1046" s="4" t="str">
        <f>[1]!EM_S_IPO_LISTEDDATE(B1046)</f>
        <v>2011-01-28</v>
      </c>
    </row>
    <row r="1047" spans="1:46">
      <c r="A1047">
        <v>1608</v>
      </c>
      <c r="B1047" t="str">
        <f>"300183"</f>
        <v>300183</v>
      </c>
      <c r="C1047" t="s">
        <v>1696</v>
      </c>
      <c r="D1047" t="str">
        <f>[1]!EM_S_INFO_INDEX_EM(B1047,"1")</f>
        <v>电子设备</v>
      </c>
      <c r="E1047" s="4">
        <f t="shared" si="16"/>
        <v>43465</v>
      </c>
      <c r="F1047" s="11">
        <f>[1]!EM_S_PQ_PCTCHANGE(B1047,"2018-01-01","2019-12-31","3")</f>
        <v>-21.119462739999999</v>
      </c>
      <c r="G1047" s="11">
        <f>[1]!EM_S_PQ_PCTCHANGE(B1047,"2018-12-31","2019-12-30","1")</f>
        <v>26.33814783</v>
      </c>
      <c r="H1047" s="11">
        <f>[1]!EM_S_FA_YOY_OR(B1047,E1047)</f>
        <v>10.9319324524</v>
      </c>
      <c r="I1047" s="11">
        <f>[1]!EM_S_FA_GROSSPROFITMARGIN(B1047,E1047)</f>
        <v>50.225323979899997</v>
      </c>
      <c r="J1047" s="11">
        <f>[1]!EM_S_FA_NETPROFITMARGIN(B1047,E1047)</f>
        <v>17.620822036300002</v>
      </c>
      <c r="K1047" s="10">
        <f>[1]!EM_S_FA_ASSETSTURN(B1047,E1047)</f>
        <v>0.32295329493199998</v>
      </c>
      <c r="L1047" s="12">
        <f>[1]!EM_HKS_VAL_MV(B1047,"2019-12-31","2")</f>
        <v>6861875120.8800001</v>
      </c>
      <c r="M1047">
        <f>[1]!EM_S_VAL_PETTMDEDUCTED(B1047,E1047)</f>
        <v>38.890676918172502</v>
      </c>
      <c r="N1047" s="7">
        <f>[1]!EM_S_VAL_PBGOODWILLDEDUCTED(B1047,E1047)</f>
        <v>2.1413133774277</v>
      </c>
      <c r="O1047" s="7">
        <f>[1]!EM_S_VAL_PS_TTM(B1047,E1047)</f>
        <v>5.9609857443565604</v>
      </c>
      <c r="P1047" s="7">
        <f>[1]!EM_S_VAL_PCF_NCFTTM(B1047,E1047)</f>
        <v>34.815267984172699</v>
      </c>
      <c r="Q1047" s="7">
        <f>[1]!EM_S_VAL_DIVIDENDYIELD2(B1047,E1047,"2019-11-29")</f>
        <v>1.5637216575449573</v>
      </c>
      <c r="T1047"/>
      <c r="U1047">
        <f>[1]!EM_S_RATIO_EPS_TTM(B1047,E1047,"1")</f>
        <v>0.38008404772978016</v>
      </c>
      <c r="AT1047" s="4" t="str">
        <f>[1]!EM_S_IPO_LISTEDDATE(B1047)</f>
        <v>2011-02-22</v>
      </c>
    </row>
    <row r="1048" spans="1:46">
      <c r="A1048">
        <v>2995</v>
      </c>
      <c r="B1048" t="str">
        <f>"600970"</f>
        <v>600970</v>
      </c>
      <c r="C1048" t="s">
        <v>1163</v>
      </c>
      <c r="D1048" t="str">
        <f>[1]!EM_S_INFO_INDEX_EM(B1048,"1")</f>
        <v>建筑</v>
      </c>
      <c r="E1048" s="4">
        <f t="shared" si="16"/>
        <v>43465</v>
      </c>
      <c r="F1048" s="11">
        <f>[1]!EM_S_PQ_PCTCHANGE(B1048,"2018-01-01","2019-12-31","3")</f>
        <v>-25.135596020000001</v>
      </c>
      <c r="G1048" s="11">
        <f>[1]!EM_S_PQ_PCTCHANGE(B1048,"2018-12-31","2019-12-30","1")</f>
        <v>26.325411330000001</v>
      </c>
      <c r="H1048" s="11">
        <f>[1]!EM_S_FA_YOY_OR(B1048,E1048)</f>
        <v>9.9609432747</v>
      </c>
      <c r="I1048" s="11">
        <f>[1]!EM_S_FA_GROSSPROFITMARGIN(B1048,E1048)</f>
        <v>18.5603685349</v>
      </c>
      <c r="J1048" s="11">
        <f>[1]!EM_S_FA_NETPROFITMARGIN(B1048,E1048)</f>
        <v>6.5266088527999999</v>
      </c>
      <c r="K1048" s="10">
        <f>[1]!EM_S_FA_ASSETSTURN(B1048,E1048)</f>
        <v>0.70779501184500004</v>
      </c>
      <c r="L1048" s="12">
        <f>[1]!EM_HKS_VAL_MV(B1048,"2019-12-31","2")</f>
        <v>12124829755.41</v>
      </c>
      <c r="M1048">
        <f>[1]!EM_S_VAL_PETTMDEDUCTED(B1048,E1048)</f>
        <v>9.2042144335663103</v>
      </c>
      <c r="N1048" s="7">
        <f>[1]!EM_S_VAL_PBGOODWILLDEDUCTED(B1048,E1048)</f>
        <v>1.2259410865461899</v>
      </c>
      <c r="O1048" s="7">
        <f>[1]!EM_S_VAL_PS_TTM(B1048,E1048)</f>
        <v>0.46568596290180098</v>
      </c>
      <c r="P1048" s="7">
        <f>[1]!EM_S_VAL_PCF_NCFTTM(B1048,E1048)</f>
        <v>-2.4896941303776199</v>
      </c>
      <c r="Q1048" s="7">
        <f>[1]!EM_S_VAL_DIVIDENDYIELD2(B1048,E1048,"2019-11-29")</f>
        <v>4.2604501607717049</v>
      </c>
      <c r="T1048"/>
      <c r="U1048">
        <f>[1]!EM_S_RATIO_EPS_TTM(B1048,E1048,"1")</f>
        <v>0.78612409615241563</v>
      </c>
      <c r="AT1048" s="4" t="str">
        <f>[1]!EM_S_IPO_LISTEDDATE(B1048)</f>
        <v>2005-04-12</v>
      </c>
    </row>
    <row r="1049" spans="1:46">
      <c r="A1049">
        <v>395</v>
      </c>
      <c r="B1049" t="str">
        <f>"000850"</f>
        <v>000850</v>
      </c>
      <c r="C1049" t="s">
        <v>1290</v>
      </c>
      <c r="D1049" t="str">
        <f>[1]!EM_S_INFO_INDEX_EM(B1049,"1")</f>
        <v>纺织服装</v>
      </c>
      <c r="E1049" s="4">
        <f t="shared" si="16"/>
        <v>43465</v>
      </c>
      <c r="F1049" s="11">
        <f>[1]!EM_S_PQ_PCTCHANGE(B1049,"2018-01-01","2019-12-31","3")</f>
        <v>-9.3192544000000002</v>
      </c>
      <c r="G1049" s="11">
        <f>[1]!EM_S_PQ_PCTCHANGE(B1049,"2018-12-31","2019-12-30","1")</f>
        <v>26.25</v>
      </c>
      <c r="H1049" s="11">
        <f>[1]!EM_S_FA_YOY_OR(B1049,E1049)</f>
        <v>18.7221829906</v>
      </c>
      <c r="I1049" s="11">
        <f>[1]!EM_S_FA_GROSSPROFITMARGIN(B1049,E1049)</f>
        <v>13.718666428700001</v>
      </c>
      <c r="J1049" s="11">
        <f>[1]!EM_S_FA_NETPROFITMARGIN(B1049,E1049)</f>
        <v>3.4659338707999998</v>
      </c>
      <c r="K1049" s="10">
        <f>[1]!EM_S_FA_ASSETSTURN(B1049,E1049)</f>
        <v>0.36005344392999999</v>
      </c>
      <c r="L1049" s="12">
        <f>[1]!EM_HKS_VAL_MV(B1049,"2019-12-31","2")</f>
        <v>3812406636.3600001</v>
      </c>
      <c r="M1049">
        <f>[1]!EM_S_VAL_PETTMDEDUCTED(B1049,E1049)</f>
        <v>-31.823064890610901</v>
      </c>
      <c r="N1049" s="7">
        <f>[1]!EM_S_VAL_PBGOODWILLDEDUCTED(B1049,E1049)</f>
        <v>0.73131742737987604</v>
      </c>
      <c r="O1049" s="7">
        <f>[1]!EM_S_VAL_PS_TTM(B1049,E1049)</f>
        <v>1.1237046621271101</v>
      </c>
      <c r="P1049" s="7">
        <f>[1]!EM_S_VAL_PCF_NCFTTM(B1049,E1049)</f>
        <v>-2474.1314078902801</v>
      </c>
      <c r="Q1049" s="7">
        <f>[1]!EM_S_VAL_DIVIDENDYIELD2(B1049,E1049,"2019-11-29")</f>
        <v>1.3297872340425532</v>
      </c>
      <c r="T1049"/>
      <c r="U1049">
        <f>[1]!EM_S_RATIO_EPS_TTM(B1049,E1049,"1")</f>
        <v>0.12575564910026243</v>
      </c>
      <c r="AT1049" s="4" t="str">
        <f>[1]!EM_S_IPO_LISTEDDATE(B1049)</f>
        <v>1998-10-07</v>
      </c>
    </row>
    <row r="1050" spans="1:46">
      <c r="A1050">
        <v>2381</v>
      </c>
      <c r="B1050" t="str">
        <f>"600249"</f>
        <v>600249</v>
      </c>
      <c r="C1050" t="s">
        <v>3237</v>
      </c>
      <c r="D1050" t="str">
        <f>[1]!EM_S_INFO_INDEX_EM(B1050,"1")</f>
        <v>基础化工</v>
      </c>
      <c r="E1050" s="4">
        <f t="shared" si="16"/>
        <v>43465</v>
      </c>
      <c r="F1050" s="11">
        <f>[1]!EM_S_PQ_PCTCHANGE(B1050,"2018-01-01","2019-12-31","3")</f>
        <v>-32.095096580000003</v>
      </c>
      <c r="G1050" s="11">
        <f>[1]!EM_S_PQ_PCTCHANGE(B1050,"2018-12-31","2019-12-30","1")</f>
        <v>26.24309392</v>
      </c>
      <c r="H1050" s="11">
        <f>[1]!EM_S_FA_YOY_OR(B1050,E1050)</f>
        <v>-15.446297189999999</v>
      </c>
      <c r="I1050" s="11">
        <f>[1]!EM_S_FA_GROSSPROFITMARGIN(B1050,E1050)</f>
        <v>20.510784726499999</v>
      </c>
      <c r="J1050" s="11">
        <f>[1]!EM_S_FA_NETPROFITMARGIN(B1050,E1050)</f>
        <v>0.6340919304</v>
      </c>
      <c r="K1050" s="10">
        <f>[1]!EM_S_FA_ASSETSTURN(B1050,E1050)</f>
        <v>0.47534460259099998</v>
      </c>
      <c r="L1050" s="12">
        <f>[1]!EM_HKS_VAL_MV(B1050,"2019-12-31","2")</f>
        <v>2513500000</v>
      </c>
      <c r="M1050">
        <f>[1]!EM_S_VAL_PETTMDEDUCTED(B1050,E1050)</f>
        <v>-20.443705646822899</v>
      </c>
      <c r="N1050" s="7">
        <f>[1]!EM_S_VAL_PBGOODWILLDEDUCTED(B1050,E1050)</f>
        <v>1.1103846515050599</v>
      </c>
      <c r="O1050" s="7">
        <f>[1]!EM_S_VAL_PS_TTM(B1050,E1050)</f>
        <v>1.5443031718801099</v>
      </c>
      <c r="P1050" s="7">
        <f>[1]!EM_S_VAL_PCF_NCFTTM(B1050,E1050)</f>
        <v>-47.522558344424098</v>
      </c>
      <c r="Q1050" s="7">
        <f>[1]!EM_S_VAL_DIVIDENDYIELD2(B1050,E1050,"2019-11-29")</f>
        <v>0</v>
      </c>
      <c r="T1050"/>
      <c r="U1050">
        <f>[1]!EM_S_RATIO_EPS_TTM(B1050,E1050,"1")</f>
        <v>3.9490390436363633E-2</v>
      </c>
      <c r="AT1050" s="4" t="str">
        <f>[1]!EM_S_IPO_LISTEDDATE(B1050)</f>
        <v>2004-01-30</v>
      </c>
    </row>
    <row r="1051" spans="1:46">
      <c r="A1051">
        <v>1853</v>
      </c>
      <c r="B1051" t="str">
        <f>"300428"</f>
        <v>300428</v>
      </c>
      <c r="C1051" t="s">
        <v>721</v>
      </c>
      <c r="D1051" t="str">
        <f>[1]!EM_S_INFO_INDEX_EM(B1051,"1")</f>
        <v>交运设备</v>
      </c>
      <c r="E1051" s="4">
        <f t="shared" si="16"/>
        <v>43465</v>
      </c>
      <c r="F1051" s="11">
        <f>[1]!EM_S_PQ_PCTCHANGE(B1051,"2018-01-01","2019-12-31","3")</f>
        <v>-12.34644392</v>
      </c>
      <c r="G1051" s="11">
        <f>[1]!EM_S_PQ_PCTCHANGE(B1051,"2018-12-31","2019-12-30","1")</f>
        <v>26.22504537</v>
      </c>
      <c r="H1051" s="11">
        <f>[1]!EM_S_FA_YOY_OR(B1051,E1051)</f>
        <v>7.8529159230000003</v>
      </c>
      <c r="I1051" s="11">
        <f>[1]!EM_S_FA_GROSSPROFITMARGIN(B1051,E1051)</f>
        <v>18.994330590400001</v>
      </c>
      <c r="J1051" s="11">
        <f>[1]!EM_S_FA_NETPROFITMARGIN(B1051,E1051)</f>
        <v>6.0045915313</v>
      </c>
      <c r="K1051" s="10">
        <f>[1]!EM_S_FA_ASSETSTURN(B1051,E1051)</f>
        <v>1.80524382167</v>
      </c>
      <c r="L1051" s="12">
        <f>[1]!EM_HKS_VAL_MV(B1051,"2019-12-31","2")</f>
        <v>8131871697.1800003</v>
      </c>
      <c r="M1051">
        <f>[1]!EM_S_VAL_PETTMDEDUCTED(B1051,E1051)</f>
        <v>55.516651149963202</v>
      </c>
      <c r="N1051" s="7">
        <f>[1]!EM_S_VAL_PBGOODWILLDEDUCTED(B1051,E1051)</f>
        <v>1.12113625810211</v>
      </c>
      <c r="O1051" s="7">
        <f>[1]!EM_S_VAL_PS_TTM(B1051,E1051)</f>
        <v>2.5950058001471001</v>
      </c>
      <c r="P1051" s="7">
        <f>[1]!EM_S_VAL_PCF_NCFTTM(B1051,E1051)</f>
        <v>281.47003528173099</v>
      </c>
      <c r="Q1051" s="7">
        <f>[1]!EM_S_VAL_DIVIDENDYIELD2(B1051,E1051,"2019-11-29")</f>
        <v>0.90163934426229519</v>
      </c>
      <c r="T1051"/>
      <c r="U1051">
        <f>[1]!EM_S_RATIO_EPS_TTM(B1051,E1051,"1")</f>
        <v>1.341378893461221</v>
      </c>
      <c r="AT1051" s="4" t="str">
        <f>[1]!EM_S_IPO_LISTEDDATE(B1051)</f>
        <v>2015-03-19</v>
      </c>
    </row>
    <row r="1052" spans="1:46">
      <c r="A1052">
        <v>2721</v>
      </c>
      <c r="B1052" t="str">
        <f>"600648"</f>
        <v>600648</v>
      </c>
      <c r="C1052" t="s">
        <v>578</v>
      </c>
      <c r="D1052" t="str">
        <f>[1]!EM_S_INFO_INDEX_EM(B1052,"1")</f>
        <v>房地产</v>
      </c>
      <c r="E1052" s="4">
        <f t="shared" si="16"/>
        <v>43465</v>
      </c>
      <c r="F1052" s="11">
        <f>[1]!EM_S_PQ_PCTCHANGE(B1052,"2018-01-01","2019-12-31","3")</f>
        <v>-4.0453567499999998</v>
      </c>
      <c r="G1052" s="11">
        <f>[1]!EM_S_PQ_PCTCHANGE(B1052,"2018-12-31","2019-12-30","1")</f>
        <v>26.200873359999999</v>
      </c>
      <c r="H1052" s="11">
        <f>[1]!EM_S_FA_YOY_OR(B1052,E1052)</f>
        <v>-13.864359783499999</v>
      </c>
      <c r="I1052" s="11">
        <f>[1]!EM_S_FA_GROSSPROFITMARGIN(B1052,E1052)</f>
        <v>26.313768190800001</v>
      </c>
      <c r="J1052" s="11">
        <f>[1]!EM_S_FA_NETPROFITMARGIN(B1052,E1052)</f>
        <v>11.4976851027</v>
      </c>
      <c r="K1052" s="10">
        <f>[1]!EM_S_FA_ASSETSTURN(B1052,E1052)</f>
        <v>0.25231139044799999</v>
      </c>
      <c r="L1052" s="12">
        <f>[1]!EM_HKS_VAL_MV(B1052,"2019-12-31","2")</f>
        <v>19721014283.880001</v>
      </c>
      <c r="M1052">
        <f>[1]!EM_S_VAL_PETTMDEDUCTED(B1052,E1052)</f>
        <v>17.057410277496398</v>
      </c>
      <c r="N1052" s="7">
        <f>[1]!EM_S_VAL_PBGOODWILLDEDUCTED(B1052,E1052)</f>
        <v>1.5312318420780799</v>
      </c>
      <c r="O1052" s="7">
        <f>[1]!EM_S_VAL_PS_TTM(B1052,E1052)</f>
        <v>1.7202799920786001</v>
      </c>
      <c r="P1052" s="7">
        <f>[1]!EM_S_VAL_PCF_NCFTTM(B1052,E1052)</f>
        <v>12.306802676314</v>
      </c>
      <c r="Q1052" s="7">
        <f>[1]!EM_S_VAL_DIVIDENDYIELD2(B1052,E1052,"2019-11-29")</f>
        <v>1.3293051359516619</v>
      </c>
      <c r="T1052"/>
      <c r="U1052">
        <f>[1]!EM_S_RATIO_EPS_TTM(B1052,E1052,"1")</f>
        <v>0.7314143179274607</v>
      </c>
      <c r="AT1052" s="4" t="str">
        <f>[1]!EM_S_IPO_LISTEDDATE(B1052)</f>
        <v>1993-05-04</v>
      </c>
    </row>
    <row r="1053" spans="1:46">
      <c r="A1053">
        <v>2624</v>
      </c>
      <c r="B1053" t="str">
        <f>"600548"</f>
        <v>600548</v>
      </c>
      <c r="C1053" t="s">
        <v>873</v>
      </c>
      <c r="D1053" t="str">
        <f>[1]!EM_S_INFO_INDEX_EM(B1053,"1")</f>
        <v>交通运输</v>
      </c>
      <c r="E1053" s="4">
        <f t="shared" si="16"/>
        <v>43465</v>
      </c>
      <c r="F1053" s="11">
        <f>[1]!EM_S_PQ_PCTCHANGE(B1053,"2018-01-01","2019-12-31","3")</f>
        <v>42.24226299</v>
      </c>
      <c r="G1053" s="11">
        <f>[1]!EM_S_PQ_PCTCHANGE(B1053,"2018-12-31","2019-12-30","1")</f>
        <v>26.169265029999998</v>
      </c>
      <c r="H1053" s="11">
        <f>[1]!EM_S_FA_YOY_OR(B1053,E1053)</f>
        <v>11.452282737699999</v>
      </c>
      <c r="I1053" s="11">
        <f>[1]!EM_S_FA_GROSSPROFITMARGIN(B1053,E1053)</f>
        <v>50.780803179199999</v>
      </c>
      <c r="J1053" s="11">
        <f>[1]!EM_S_FA_NETPROFITMARGIN(B1053,E1053)</f>
        <v>61.626726468599998</v>
      </c>
      <c r="K1053" s="10">
        <f>[1]!EM_S_FA_ASSETSTURN(B1053,E1053)</f>
        <v>0.14781118454600001</v>
      </c>
      <c r="L1053" s="12">
        <f>[1]!EM_HKS_VAL_MV(B1053,"2019-12-31","2")</f>
        <v>25078858749</v>
      </c>
      <c r="M1053">
        <f>[1]!EM_S_VAL_PETTMDEDUCTED(B1053,E1053)</f>
        <v>13.629099694256499</v>
      </c>
      <c r="N1053" s="7">
        <f>[1]!EM_S_VAL_PBGOODWILLDEDUCTED(B1053,E1053)</f>
        <v>1.12631363069098</v>
      </c>
      <c r="O1053" s="7">
        <f>[1]!EM_S_VAL_PS_TTM(B1053,E1053)</f>
        <v>3.67899023012545</v>
      </c>
      <c r="P1053" s="7">
        <f>[1]!EM_S_VAL_PCF_NCFTTM(B1053,E1053)</f>
        <v>177.450340610891</v>
      </c>
      <c r="Q1053" s="7">
        <f>[1]!EM_S_VAL_DIVIDENDYIELD2(B1053,E1053,"2019-11-29")</f>
        <v>6.5740740740740735</v>
      </c>
      <c r="T1053"/>
      <c r="U1053">
        <f>[1]!EM_S_RATIO_EPS_TTM(B1053,E1053,"1")</f>
        <v>1.5774474580456117</v>
      </c>
      <c r="AT1053" s="4" t="str">
        <f>[1]!EM_S_IPO_LISTEDDATE(B1053)</f>
        <v>2001-12-25</v>
      </c>
    </row>
    <row r="1054" spans="1:46">
      <c r="A1054">
        <v>2167</v>
      </c>
      <c r="B1054" t="str">
        <f>"600006"</f>
        <v>600006</v>
      </c>
      <c r="C1054" t="s">
        <v>1394</v>
      </c>
      <c r="D1054" t="str">
        <f>[1]!EM_S_INFO_INDEX_EM(B1054,"1")</f>
        <v>交运设备</v>
      </c>
      <c r="E1054" s="4">
        <f t="shared" si="16"/>
        <v>43465</v>
      </c>
      <c r="F1054" s="11">
        <f>[1]!EM_S_PQ_PCTCHANGE(B1054,"2018-01-01","2019-12-31","3")</f>
        <v>-19.867904450000001</v>
      </c>
      <c r="G1054" s="11">
        <f>[1]!EM_S_PQ_PCTCHANGE(B1054,"2018-12-31","2019-12-30","1")</f>
        <v>26.11111111</v>
      </c>
      <c r="H1054" s="11">
        <f>[1]!EM_S_FA_YOY_OR(B1054,E1054)</f>
        <v>-21.202514724299999</v>
      </c>
      <c r="I1054" s="11">
        <f>[1]!EM_S_FA_GROSSPROFITMARGIN(B1054,E1054)</f>
        <v>11.4463804546</v>
      </c>
      <c r="J1054" s="11">
        <f>[1]!EM_S_FA_NETPROFITMARGIN(B1054,E1054)</f>
        <v>3.8065223746000001</v>
      </c>
      <c r="K1054" s="10">
        <f>[1]!EM_S_FA_ASSETSTURN(B1054,E1054)</f>
        <v>0.77079351185300005</v>
      </c>
      <c r="L1054" s="12">
        <f>[1]!EM_HKS_VAL_MV(B1054,"2019-12-31","2")</f>
        <v>9160000000</v>
      </c>
      <c r="M1054">
        <f>[1]!EM_S_VAL_PETTMDEDUCTED(B1054,E1054)</f>
        <v>15.982329851942101</v>
      </c>
      <c r="N1054" s="7">
        <f>[1]!EM_S_VAL_PBGOODWILLDEDUCTED(B1054,E1054)</f>
        <v>1.00795641114292</v>
      </c>
      <c r="O1054" s="7">
        <f>[1]!EM_S_VAL_PS_TTM(B1054,E1054)</f>
        <v>0.49493753535642199</v>
      </c>
      <c r="P1054" s="7">
        <f>[1]!EM_S_VAL_PCF_NCFTTM(B1054,E1054)</f>
        <v>-40.402541594446397</v>
      </c>
      <c r="Q1054" s="7">
        <f>[1]!EM_S_VAL_DIVIDENDYIELD2(B1054,E1054,"2019-11-29")</f>
        <v>1.8974943052391799</v>
      </c>
      <c r="T1054"/>
      <c r="U1054">
        <f>[1]!EM_S_RATIO_EPS_TTM(B1054,E1054,"1")</f>
        <v>0.27692428862000001</v>
      </c>
      <c r="AT1054" s="4" t="str">
        <f>[1]!EM_S_IPO_LISTEDDATE(B1054)</f>
        <v>1999-07-27</v>
      </c>
    </row>
    <row r="1055" spans="1:46">
      <c r="A1055">
        <v>874</v>
      </c>
      <c r="B1055" t="str">
        <f>"002363"</f>
        <v>002363</v>
      </c>
      <c r="C1055" t="s">
        <v>2334</v>
      </c>
      <c r="D1055" t="str">
        <f>[1]!EM_S_INFO_INDEX_EM(B1055,"1")</f>
        <v>交运设备</v>
      </c>
      <c r="E1055" s="4">
        <f t="shared" si="16"/>
        <v>43465</v>
      </c>
      <c r="F1055" s="11">
        <f>[1]!EM_S_PQ_PCTCHANGE(B1055,"2018-01-01","2019-12-31","3")</f>
        <v>-28.270744570000002</v>
      </c>
      <c r="G1055" s="11">
        <f>[1]!EM_S_PQ_PCTCHANGE(B1055,"2018-12-31","2019-12-30","1")</f>
        <v>26.050420169999999</v>
      </c>
      <c r="H1055" s="11">
        <f>[1]!EM_S_FA_YOY_OR(B1055,E1055)</f>
        <v>10.1986694807</v>
      </c>
      <c r="I1055" s="11">
        <f>[1]!EM_S_FA_GROSSPROFITMARGIN(B1055,E1055)</f>
        <v>16.821846470600001</v>
      </c>
      <c r="J1055" s="11">
        <f>[1]!EM_S_FA_NETPROFITMARGIN(B1055,E1055)</f>
        <v>4.0781245045999999</v>
      </c>
      <c r="K1055" s="10">
        <f>[1]!EM_S_FA_ASSETSTURN(B1055,E1055)</f>
        <v>0.56389360850199999</v>
      </c>
      <c r="L1055" s="12">
        <f>[1]!EM_HKS_VAL_MV(B1055,"2019-12-31","2")</f>
        <v>2542372839.1100001</v>
      </c>
      <c r="M1055">
        <f>[1]!EM_S_VAL_PETTMDEDUCTED(B1055,E1055)</f>
        <v>29.640192595380299</v>
      </c>
      <c r="N1055" s="7">
        <f>[1]!EM_S_VAL_PBGOODWILLDEDUCTED(B1055,E1055)</f>
        <v>0.86187460389646597</v>
      </c>
      <c r="O1055" s="7">
        <f>[1]!EM_S_VAL_PS_TTM(B1055,E1055)</f>
        <v>1.07882324007466</v>
      </c>
      <c r="P1055" s="7">
        <f>[1]!EM_S_VAL_PCF_NCFTTM(B1055,E1055)</f>
        <v>13.240005954914</v>
      </c>
      <c r="Q1055" s="7">
        <f>[1]!EM_S_VAL_DIVIDENDYIELD2(B1055,E1055,"2019-11-29")</f>
        <v>0.32894736842105265</v>
      </c>
      <c r="T1055"/>
      <c r="U1055">
        <f>[1]!EM_S_RATIO_EPS_TTM(B1055,E1055,"1")</f>
        <v>0.19481131086708828</v>
      </c>
      <c r="AT1055" s="4" t="str">
        <f>[1]!EM_S_IPO_LISTEDDATE(B1055)</f>
        <v>2010-03-05</v>
      </c>
    </row>
    <row r="1056" spans="1:46">
      <c r="A1056">
        <v>2956</v>
      </c>
      <c r="B1056" t="str">
        <f>"600883"</f>
        <v>600883</v>
      </c>
      <c r="C1056" t="s">
        <v>2857</v>
      </c>
      <c r="D1056" t="str">
        <f>[1]!EM_S_INFO_INDEX_EM(B1056,"1")</f>
        <v>建材</v>
      </c>
      <c r="E1056" s="4">
        <f t="shared" si="16"/>
        <v>43465</v>
      </c>
      <c r="F1056" s="11">
        <f>[1]!EM_S_PQ_PCTCHANGE(B1056,"2018-01-01","2019-12-31","3")</f>
        <v>-18.313929040000001</v>
      </c>
      <c r="G1056" s="11">
        <f>[1]!EM_S_PQ_PCTCHANGE(B1056,"2018-12-31","2019-12-30","1")</f>
        <v>26.02965404</v>
      </c>
      <c r="H1056" s="11">
        <f>[1]!EM_S_FA_YOY_OR(B1056,E1056)</f>
        <v>10.459795859</v>
      </c>
      <c r="I1056" s="11">
        <f>[1]!EM_S_FA_GROSSPROFITMARGIN(B1056,E1056)</f>
        <v>-0.43429928940000001</v>
      </c>
      <c r="J1056" s="11">
        <f>[1]!EM_S_FA_NETPROFITMARGIN(B1056,E1056)</f>
        <v>35.7001166103</v>
      </c>
      <c r="K1056" s="10">
        <f>[1]!EM_S_FA_ASSETSTURN(B1056,E1056)</f>
        <v>4.3151458497999999E-2</v>
      </c>
      <c r="L1056" s="12">
        <f>[1]!EM_HKS_VAL_MV(B1056,"2019-12-31","2")</f>
        <v>1803712320</v>
      </c>
      <c r="M1056">
        <f>[1]!EM_S_VAL_PETTMDEDUCTED(B1056,E1056)</f>
        <v>-111.67674173866099</v>
      </c>
      <c r="N1056" s="7">
        <f>[1]!EM_S_VAL_PBGOODWILLDEDUCTED(B1056,E1056)</f>
        <v>2.1864501268649801</v>
      </c>
      <c r="O1056" s="7">
        <f>[1]!EM_S_VAL_PS_TTM(B1056,E1056)</f>
        <v>39.9323888784511</v>
      </c>
      <c r="P1056" s="7">
        <f>[1]!EM_S_VAL_PCF_NCFTTM(B1056,E1056)</f>
        <v>-30.577114076625602</v>
      </c>
      <c r="Q1056" s="7">
        <f>[1]!EM_S_VAL_DIVIDENDYIELD2(B1056,E1056,"2019-11-29")</f>
        <v>0.32467532467532467</v>
      </c>
      <c r="T1056"/>
      <c r="U1056">
        <f>[1]!EM_S_RATIO_EPS_TTM(B1056,E1056,"1")</f>
        <v>4.5536664802954825E-2</v>
      </c>
      <c r="AT1056" s="4" t="str">
        <f>[1]!EM_S_IPO_LISTEDDATE(B1056)</f>
        <v>1995-12-08</v>
      </c>
    </row>
    <row r="1057" spans="1:46">
      <c r="A1057">
        <v>1693</v>
      </c>
      <c r="B1057" t="str">
        <f>"300268"</f>
        <v>300268</v>
      </c>
      <c r="C1057" t="s">
        <v>2630</v>
      </c>
      <c r="D1057" t="str">
        <f>[1]!EM_S_INFO_INDEX_EM(B1057,"1")</f>
        <v>农林牧渔</v>
      </c>
      <c r="E1057" s="4">
        <f t="shared" si="16"/>
        <v>43465</v>
      </c>
      <c r="F1057" s="11">
        <f>[1]!EM_S_PQ_PCTCHANGE(B1057,"2018-01-01","2019-12-31","3")</f>
        <v>-31.036192360000001</v>
      </c>
      <c r="G1057" s="11">
        <f>[1]!EM_S_PQ_PCTCHANGE(B1057,"2018-12-31","2019-12-30","1")</f>
        <v>26.024955439999999</v>
      </c>
      <c r="H1057" s="11">
        <f>[1]!EM_S_FA_YOY_OR(B1057,E1057)</f>
        <v>235.41291007020001</v>
      </c>
      <c r="I1057" s="11">
        <f>[1]!EM_S_FA_GROSSPROFITMARGIN(B1057,E1057)</f>
        <v>11.2813965463</v>
      </c>
      <c r="J1057" s="11">
        <f>[1]!EM_S_FA_NETPROFITMARGIN(B1057,E1057)</f>
        <v>2.1083713691999999</v>
      </c>
      <c r="K1057" s="10">
        <f>[1]!EM_S_FA_ASSETSTURN(B1057,E1057)</f>
        <v>1.700109098674</v>
      </c>
      <c r="L1057" s="12">
        <f>[1]!EM_HKS_VAL_MV(B1057,"2019-12-31","2")</f>
        <v>1863940000</v>
      </c>
      <c r="M1057">
        <f>[1]!EM_S_VAL_PETTMDEDUCTED(B1057,E1057)</f>
        <v>-146.69842313304099</v>
      </c>
      <c r="N1057" s="7">
        <f>[1]!EM_S_VAL_PBGOODWILLDEDUCTED(B1057,E1057)</f>
        <v>7.7724407976313898</v>
      </c>
      <c r="O1057" s="7">
        <f>[1]!EM_S_VAL_PS_TTM(B1057,E1057)</f>
        <v>0.970473206058035</v>
      </c>
      <c r="P1057" s="7">
        <f>[1]!EM_S_VAL_PCF_NCFTTM(B1057,E1057)</f>
        <v>19.710830113350799</v>
      </c>
      <c r="Q1057" s="7">
        <f>[1]!EM_S_VAL_DIVIDENDYIELD2(B1057,E1057,"2019-11-29")</f>
        <v>0</v>
      </c>
      <c r="T1057"/>
      <c r="U1057">
        <f>[1]!EM_S_RATIO_EPS_TTM(B1057,E1057,"1")</f>
        <v>0.18307705485074627</v>
      </c>
      <c r="AT1057" s="4" t="str">
        <f>[1]!EM_S_IPO_LISTEDDATE(B1057)</f>
        <v>2011-09-27</v>
      </c>
    </row>
    <row r="1058" spans="1:46">
      <c r="A1058">
        <v>1447</v>
      </c>
      <c r="B1058" t="str">
        <f>"300021"</f>
        <v>300021</v>
      </c>
      <c r="C1058" t="s">
        <v>703</v>
      </c>
      <c r="D1058" t="str">
        <f>[1]!EM_S_INFO_INDEX_EM(B1058,"1")</f>
        <v>农林牧渔</v>
      </c>
      <c r="E1058" s="4">
        <f t="shared" si="16"/>
        <v>43465</v>
      </c>
      <c r="F1058" s="11">
        <f>[1]!EM_S_PQ_PCTCHANGE(B1058,"2018-01-01","2019-12-31","3")</f>
        <v>-17.90615262</v>
      </c>
      <c r="G1058" s="11">
        <f>[1]!EM_S_PQ_PCTCHANGE(B1058,"2018-12-31","2019-12-30","1")</f>
        <v>26.02409639</v>
      </c>
      <c r="H1058" s="11">
        <f>[1]!EM_S_FA_YOY_OR(B1058,E1058)</f>
        <v>38.551564548199998</v>
      </c>
      <c r="I1058" s="11">
        <f>[1]!EM_S_FA_GROSSPROFITMARGIN(B1058,E1058)</f>
        <v>28.457458759000001</v>
      </c>
      <c r="J1058" s="11">
        <f>[1]!EM_S_FA_NETPROFITMARGIN(B1058,E1058)</f>
        <v>6.1600677569000002</v>
      </c>
      <c r="K1058" s="10">
        <f>[1]!EM_S_FA_ASSETSTURN(B1058,E1058)</f>
        <v>0.52543904336199998</v>
      </c>
      <c r="L1058" s="12">
        <f>[1]!EM_HKS_VAL_MV(B1058,"2019-12-31","2")</f>
        <v>4226011641.0999999</v>
      </c>
      <c r="M1058">
        <f>[1]!EM_S_VAL_PETTMDEDUCTED(B1058,E1058)</f>
        <v>33.146090295073101</v>
      </c>
      <c r="N1058" s="7">
        <f>[1]!EM_S_VAL_PBGOODWILLDEDUCTED(B1058,E1058)</f>
        <v>2.3296021565128902</v>
      </c>
      <c r="O1058" s="7">
        <f>[1]!EM_S_VAL_PS_TTM(B1058,E1058)</f>
        <v>2.1838735841477401</v>
      </c>
      <c r="P1058" s="7">
        <f>[1]!EM_S_VAL_PCF_NCFTTM(B1058,E1058)</f>
        <v>13.2036663182675</v>
      </c>
      <c r="Q1058" s="7">
        <f>[1]!EM_S_VAL_DIVIDENDYIELD2(B1058,E1058,"2019-11-29")</f>
        <v>1.9646365422396856</v>
      </c>
      <c r="T1058"/>
      <c r="U1058">
        <f>[1]!EM_S_RATIO_EPS_TTM(B1058,E1058,"1")</f>
        <v>0.12566555259577275</v>
      </c>
      <c r="AT1058" s="4" t="str">
        <f>[1]!EM_S_IPO_LISTEDDATE(B1058)</f>
        <v>2009-10-30</v>
      </c>
    </row>
    <row r="1059" spans="1:46">
      <c r="A1059">
        <v>2792</v>
      </c>
      <c r="B1059" t="str">
        <f>"600719"</f>
        <v>600719</v>
      </c>
      <c r="C1059" t="s">
        <v>156</v>
      </c>
      <c r="D1059" t="str">
        <f>[1]!EM_S_INFO_INDEX_EM(B1059,"1")</f>
        <v>公用事业</v>
      </c>
      <c r="E1059" s="4">
        <f t="shared" si="16"/>
        <v>43465</v>
      </c>
      <c r="F1059" s="11">
        <f>[1]!EM_S_PQ_PCTCHANGE(B1059,"2018-01-01","2019-12-31","3")</f>
        <v>-25.96153846</v>
      </c>
      <c r="G1059" s="11">
        <f>[1]!EM_S_PQ_PCTCHANGE(B1059,"2018-12-31","2019-12-30","1")</f>
        <v>25.984251969999999</v>
      </c>
      <c r="H1059" s="11">
        <f>[1]!EM_S_FA_YOY_OR(B1059,E1059)</f>
        <v>-6.5481678057000003</v>
      </c>
      <c r="I1059" s="11">
        <f>[1]!EM_S_FA_GROSSPROFITMARGIN(B1059,E1059)</f>
        <v>12.0537723197</v>
      </c>
      <c r="J1059" s="11">
        <f>[1]!EM_S_FA_NETPROFITMARGIN(B1059,E1059)</f>
        <v>0.37039274319999999</v>
      </c>
      <c r="K1059" s="10">
        <f>[1]!EM_S_FA_ASSETSTURN(B1059,E1059)</f>
        <v>0.401422702114</v>
      </c>
      <c r="L1059" s="12">
        <f>[1]!EM_HKS_VAL_MV(B1059,"2019-12-31","2")</f>
        <v>1869250152</v>
      </c>
      <c r="M1059">
        <f>[1]!EM_S_VAL_PETTMDEDUCTED(B1059,E1059)</f>
        <v>-137.46297121582899</v>
      </c>
      <c r="N1059" s="7">
        <f>[1]!EM_S_VAL_PBGOODWILLDEDUCTED(B1059,E1059)</f>
        <v>2.1164628617105299</v>
      </c>
      <c r="O1059" s="7">
        <f>[1]!EM_S_VAL_PS_TTM(B1059,E1059)</f>
        <v>2.0358198124435098</v>
      </c>
      <c r="P1059" s="7">
        <f>[1]!EM_S_VAL_PCF_NCFTTM(B1059,E1059)</f>
        <v>47.492269276315703</v>
      </c>
      <c r="Q1059" s="7">
        <f>[1]!EM_S_VAL_DIVIDENDYIELD2(B1059,E1059,"2019-11-29")</f>
        <v>0.11210762331838565</v>
      </c>
      <c r="T1059"/>
      <c r="U1059">
        <f>[1]!EM_S_RATIO_EPS_TTM(B1059,E1059,"1")</f>
        <v>6.6902443798758085E-3</v>
      </c>
      <c r="AT1059" s="4" t="str">
        <f>[1]!EM_S_IPO_LISTEDDATE(B1059)</f>
        <v>1996-07-16</v>
      </c>
    </row>
    <row r="1060" spans="1:46">
      <c r="A1060">
        <v>2539</v>
      </c>
      <c r="B1060" t="str">
        <f>"600436"</f>
        <v>600436</v>
      </c>
      <c r="C1060" t="s">
        <v>130</v>
      </c>
      <c r="D1060" t="str">
        <f>[1]!EM_S_INFO_INDEX_EM(B1060,"1")</f>
        <v>医药生物</v>
      </c>
      <c r="E1060" s="4">
        <f t="shared" si="16"/>
        <v>43465</v>
      </c>
      <c r="F1060" s="11">
        <f>[1]!EM_S_PQ_PCTCHANGE(B1060,"2018-01-01","2019-12-31","3")</f>
        <v>75.42392925</v>
      </c>
      <c r="G1060" s="11">
        <f>[1]!EM_S_PQ_PCTCHANGE(B1060,"2018-12-31","2019-12-30","1")</f>
        <v>25.978072709999999</v>
      </c>
      <c r="H1060" s="11">
        <f>[1]!EM_S_FA_YOY_OR(B1060,E1060)</f>
        <v>28.3310704487</v>
      </c>
      <c r="I1060" s="11">
        <f>[1]!EM_S_FA_GROSSPROFITMARGIN(B1060,E1060)</f>
        <v>42.419897710599997</v>
      </c>
      <c r="J1060" s="11">
        <f>[1]!EM_S_FA_NETPROFITMARGIN(B1060,E1060)</f>
        <v>23.6821193143</v>
      </c>
      <c r="K1060" s="10">
        <f>[1]!EM_S_FA_ASSETSTURN(B1060,E1060)</f>
        <v>0.77460477990999999</v>
      </c>
      <c r="L1060" s="12">
        <f>[1]!EM_HKS_VAL_MV(B1060,"2019-12-31","2")</f>
        <v>66286461862.699997</v>
      </c>
      <c r="M1060">
        <f>[1]!EM_S_VAL_PETTMDEDUCTED(B1060,E1060)</f>
        <v>50.675931449299497</v>
      </c>
      <c r="N1060" s="7">
        <f>[1]!EM_S_VAL_PBGOODWILLDEDUCTED(B1060,E1060)</f>
        <v>10.4338035044841</v>
      </c>
      <c r="O1060" s="7">
        <f>[1]!EM_S_VAL_PS_TTM(B1060,E1060)</f>
        <v>11.476594218954499</v>
      </c>
      <c r="P1060" s="7">
        <f>[1]!EM_S_VAL_PCF_NCFTTM(B1060,E1060)</f>
        <v>821.945657665299</v>
      </c>
      <c r="Q1060" s="7">
        <f>[1]!EM_S_VAL_DIVIDENDYIELD2(B1060,E1060,"2019-11-29")</f>
        <v>0.60132291040288632</v>
      </c>
      <c r="T1060"/>
      <c r="U1060">
        <f>[1]!EM_S_RATIO_EPS_TTM(B1060,E1060,"1")</f>
        <v>1.894414577631558</v>
      </c>
      <c r="AT1060" s="4" t="str">
        <f>[1]!EM_S_IPO_LISTEDDATE(B1060)</f>
        <v>2003-06-16</v>
      </c>
    </row>
    <row r="1061" spans="1:46">
      <c r="A1061">
        <v>1591</v>
      </c>
      <c r="B1061" t="str">
        <f>"300166"</f>
        <v>300166</v>
      </c>
      <c r="C1061" t="s">
        <v>2412</v>
      </c>
      <c r="D1061" t="str">
        <f>[1]!EM_S_INFO_INDEX_EM(B1061,"1")</f>
        <v>信息技术</v>
      </c>
      <c r="E1061" s="4">
        <f t="shared" si="16"/>
        <v>43465</v>
      </c>
      <c r="F1061" s="11">
        <f>[1]!EM_S_PQ_PCTCHANGE(B1061,"2018-01-01","2019-12-31","3")</f>
        <v>3.6683930400000002</v>
      </c>
      <c r="G1061" s="11">
        <f>[1]!EM_S_PQ_PCTCHANGE(B1061,"2018-12-31","2019-12-30","1")</f>
        <v>25.96525097</v>
      </c>
      <c r="H1061" s="11">
        <f>[1]!EM_S_FA_YOY_OR(B1061,E1061)</f>
        <v>32.549258471800002</v>
      </c>
      <c r="I1061" s="11">
        <f>[1]!EM_S_FA_GROSSPROFITMARGIN(B1061,E1061)</f>
        <v>49.352317174699998</v>
      </c>
      <c r="J1061" s="11">
        <f>[1]!EM_S_FA_NETPROFITMARGIN(B1061,E1061)</f>
        <v>26.5740261292</v>
      </c>
      <c r="K1061" s="10">
        <f>[1]!EM_S_FA_ASSETSTURN(B1061,E1061)</f>
        <v>0.35478729948600002</v>
      </c>
      <c r="L1061" s="12">
        <f>[1]!EM_HKS_VAL_MV(B1061,"2019-12-31","2")</f>
        <v>13736841222</v>
      </c>
      <c r="M1061">
        <f>[1]!EM_S_VAL_PETTMDEDUCTED(B1061,E1061)</f>
        <v>28.8462795566032</v>
      </c>
      <c r="N1061" s="7">
        <f>[1]!EM_S_VAL_PBGOODWILLDEDUCTED(B1061,E1061)</f>
        <v>2.7799451151763401</v>
      </c>
      <c r="O1061" s="7">
        <f>[1]!EM_S_VAL_PS_TTM(B1061,E1061)</f>
        <v>6.5933557655333503</v>
      </c>
      <c r="P1061" s="7">
        <f>[1]!EM_S_VAL_PCF_NCFTTM(B1061,E1061)</f>
        <v>-71.477588292265196</v>
      </c>
      <c r="Q1061" s="7">
        <f>[1]!EM_S_VAL_DIVIDENDYIELD2(B1061,E1061,"2019-11-29")</f>
        <v>8.4745762711864389E-2</v>
      </c>
      <c r="T1061"/>
      <c r="U1061">
        <f>[1]!EM_S_RATIO_EPS_TTM(B1061,E1061,"1")</f>
        <v>0.49045980678803247</v>
      </c>
      <c r="AT1061" s="4" t="str">
        <f>[1]!EM_S_IPO_LISTEDDATE(B1061)</f>
        <v>2011-01-25</v>
      </c>
    </row>
    <row r="1062" spans="1:46">
      <c r="A1062">
        <v>2161</v>
      </c>
      <c r="B1062" t="str">
        <f>"600000"</f>
        <v>600000</v>
      </c>
      <c r="C1062" t="s">
        <v>630</v>
      </c>
      <c r="D1062" t="str">
        <f>[1]!EM_S_INFO_INDEX_EM(B1062,"1")</f>
        <v>金融</v>
      </c>
      <c r="E1062" s="4">
        <f t="shared" si="16"/>
        <v>43465</v>
      </c>
      <c r="F1062" s="11">
        <f>[1]!EM_S_PQ_PCTCHANGE(B1062,"2018-01-01","2019-12-31","3")</f>
        <v>2.3763776600000002</v>
      </c>
      <c r="G1062" s="11">
        <f>[1]!EM_S_PQ_PCTCHANGE(B1062,"2018-12-31","2019-12-30","1")</f>
        <v>25.91836735</v>
      </c>
      <c r="H1062" s="11">
        <f>[1]!EM_S_FA_YOY_OR(B1062,E1062)</f>
        <v>1.7334938529999999</v>
      </c>
      <c r="I1062" s="11">
        <f>[1]!EM_S_FA_GROSSPROFITMARGIN(B1062,E1062)</f>
        <v>0</v>
      </c>
      <c r="J1062" s="11">
        <f>[1]!EM_S_FA_NETPROFITMARGIN(B1062,E1062)</f>
        <v>32.945284536700001</v>
      </c>
      <c r="K1062" s="10">
        <f>[1]!EM_S_FA_ASSETSTURN(B1062,E1062)</f>
        <v>0</v>
      </c>
      <c r="L1062" s="12">
        <f>[1]!EM_HKS_VAL_MV(B1062,"2019-12-31","2")</f>
        <v>363085234510.89001</v>
      </c>
      <c r="M1062">
        <f>[1]!EM_S_VAL_PETTMDEDUCTED(B1062,E1062)</f>
        <v>5.1573355067790203</v>
      </c>
      <c r="N1062" s="7">
        <f>[1]!EM_S_VAL_PBGOODWILLDEDUCTED(B1062,E1062)</f>
        <v>0.661780992291924</v>
      </c>
      <c r="O1062" s="7">
        <f>[1]!EM_S_VAL_PS_TTM(B1062,E1062)</f>
        <v>1.6895069682339101</v>
      </c>
      <c r="P1062" s="7">
        <f>[1]!EM_S_VAL_PCF_NCFTTM(B1062,E1062)</f>
        <v>2.7683979393734699</v>
      </c>
      <c r="Q1062" s="7">
        <f>[1]!EM_S_VAL_DIVIDENDYIELD2(B1062,E1062,"2019-11-29")</f>
        <v>2.9387069689336687</v>
      </c>
      <c r="T1062"/>
      <c r="U1062">
        <f>[1]!EM_S_RATIO_EPS_TTM(B1062,E1062,"1")</f>
        <v>1.9049416342466419</v>
      </c>
      <c r="AT1062" s="4" t="str">
        <f>[1]!EM_S_IPO_LISTEDDATE(B1062)</f>
        <v>1999-11-10</v>
      </c>
    </row>
    <row r="1063" spans="1:46">
      <c r="A1063">
        <v>2440</v>
      </c>
      <c r="B1063" t="str">
        <f>"600313"</f>
        <v>600313</v>
      </c>
      <c r="C1063" t="s">
        <v>3344</v>
      </c>
      <c r="D1063" t="str">
        <f>[1]!EM_S_INFO_INDEX_EM(B1063,"1")</f>
        <v>基础化工</v>
      </c>
      <c r="E1063" s="4">
        <f t="shared" si="16"/>
        <v>43465</v>
      </c>
      <c r="F1063" s="11">
        <f>[1]!EM_S_PQ_PCTCHANGE(B1063,"2018-01-01","2019-12-31","3")</f>
        <v>-11.59874608</v>
      </c>
      <c r="G1063" s="11">
        <f>[1]!EM_S_PQ_PCTCHANGE(B1063,"2018-12-31","2019-12-30","1")</f>
        <v>25.90909091</v>
      </c>
      <c r="H1063" s="11">
        <f>[1]!EM_S_FA_YOY_OR(B1063,E1063)</f>
        <v>-10.869741342199999</v>
      </c>
      <c r="I1063" s="11">
        <f>[1]!EM_S_FA_GROSSPROFITMARGIN(B1063,E1063)</f>
        <v>7.6578514051999997</v>
      </c>
      <c r="J1063" s="11">
        <f>[1]!EM_S_FA_NETPROFITMARGIN(B1063,E1063)</f>
        <v>1.5978957192000001</v>
      </c>
      <c r="K1063" s="10">
        <f>[1]!EM_S_FA_ASSETSTURN(B1063,E1063)</f>
        <v>1.0352034040339999</v>
      </c>
      <c r="L1063" s="12">
        <f>[1]!EM_HKS_VAL_MV(B1063,"2019-12-31","2")</f>
        <v>3051800229.6599998</v>
      </c>
      <c r="M1063">
        <f>[1]!EM_S_VAL_PETTMDEDUCTED(B1063,E1063)</f>
        <v>-8.3465367234232293</v>
      </c>
      <c r="N1063" s="7">
        <f>[1]!EM_S_VAL_PBGOODWILLDEDUCTED(B1063,E1063)</f>
        <v>1.8467758536187699</v>
      </c>
      <c r="O1063" s="7">
        <f>[1]!EM_S_VAL_PS_TTM(B1063,E1063)</f>
        <v>0.62563850337691596</v>
      </c>
      <c r="P1063" s="7">
        <f>[1]!EM_S_VAL_PCF_NCFTTM(B1063,E1063)</f>
        <v>-67.862003018152706</v>
      </c>
      <c r="Q1063" s="7">
        <f>[1]!EM_S_VAL_DIVIDENDYIELD2(B1063,E1063,"2019-11-29")</f>
        <v>0</v>
      </c>
      <c r="T1063"/>
      <c r="U1063">
        <f>[1]!EM_S_RATIO_EPS_TTM(B1063,E1063,"1")</f>
        <v>2.9294752556906459E-2</v>
      </c>
      <c r="AT1063" s="4" t="str">
        <f>[1]!EM_S_IPO_LISTEDDATE(B1063)</f>
        <v>2001-01-19</v>
      </c>
    </row>
    <row r="1064" spans="1:46">
      <c r="A1064">
        <v>62</v>
      </c>
      <c r="B1064" t="str">
        <f>"000078"</f>
        <v>000078</v>
      </c>
      <c r="C1064" t="s">
        <v>938</v>
      </c>
      <c r="D1064" t="str">
        <f>[1]!EM_S_INFO_INDEX_EM(B1064,"1")</f>
        <v>医药生物</v>
      </c>
      <c r="E1064" s="4">
        <f t="shared" si="16"/>
        <v>43465</v>
      </c>
      <c r="F1064" s="11">
        <f>[1]!EM_S_PQ_PCTCHANGE(B1064,"2018-01-01","2019-12-31","3")</f>
        <v>-35.629955369999998</v>
      </c>
      <c r="G1064" s="11">
        <f>[1]!EM_S_PQ_PCTCHANGE(B1064,"2019-01-01","2019-12-31","3")</f>
        <v>25.88714087</v>
      </c>
      <c r="H1064" s="11">
        <f>[1]!EM_S_FA_YOY_OR(B1064,E1064)</f>
        <v>53.8952080854</v>
      </c>
      <c r="I1064" s="11">
        <f>[1]!EM_S_FA_GROSSPROFITMARGIN(B1064,E1064)</f>
        <v>13.1335904719</v>
      </c>
      <c r="J1064" s="11">
        <f>[1]!EM_S_FA_NETPROFITMARGIN(B1064,E1064)</f>
        <v>1.8064927150000001</v>
      </c>
      <c r="K1064" s="10">
        <f>[1]!EM_S_FA_ASSETSTURN(B1064,E1064)</f>
        <v>1.066267731687</v>
      </c>
      <c r="L1064" s="12">
        <f>[1]!EM_HKS_VAL_MV(B1064,"2019-12-31","2")</f>
        <v>10304435548.610001</v>
      </c>
      <c r="M1064">
        <f>[1]!EM_S_VAL_PETTMDEDUCTED(B1064,E1064)</f>
        <v>11.677909252235301</v>
      </c>
      <c r="N1064" s="7">
        <f>[1]!EM_S_VAL_PBGOODWILLDEDUCTED(B1064,E1064)</f>
        <v>3.8874495279385202</v>
      </c>
      <c r="O1064" s="7">
        <f>[1]!EM_S_VAL_PS_TTM(B1064,E1064)</f>
        <v>0.21544058350557299</v>
      </c>
      <c r="P1064" s="7">
        <f>[1]!EM_S_VAL_PCF_NCFTTM(B1064,E1064)</f>
        <v>-14.872926240635</v>
      </c>
      <c r="Q1064" s="7">
        <f>[1]!EM_S_VAL_DIVIDENDYIELD2(B1064,E1064,"2019-11-29")</f>
        <v>0.61728395061728392</v>
      </c>
      <c r="T1064"/>
      <c r="U1064">
        <f>[1]!EM_S_RATIO_EPS_TTM(B1064,E1064,"1")</f>
        <v>0.15668771630807257</v>
      </c>
      <c r="AT1064" s="4" t="str">
        <f>[1]!EM_S_IPO_LISTEDDATE(B1064)</f>
        <v>1998-12-18</v>
      </c>
    </row>
    <row r="1065" spans="1:46">
      <c r="A1065">
        <v>599</v>
      </c>
      <c r="B1065" t="str">
        <f>"002088"</f>
        <v>002088</v>
      </c>
      <c r="C1065" t="s">
        <v>897</v>
      </c>
      <c r="D1065" t="str">
        <f>[1]!EM_S_INFO_INDEX_EM(B1065,"1")</f>
        <v>建材</v>
      </c>
      <c r="E1065" s="4">
        <f t="shared" si="16"/>
        <v>43465</v>
      </c>
      <c r="F1065" s="11">
        <f>[1]!EM_S_PQ_PCTCHANGE(B1065,"2018-01-01","2019-12-31","3")</f>
        <v>-10.803685679999999</v>
      </c>
      <c r="G1065" s="11">
        <f>[1]!EM_S_PQ_PCTCHANGE(B1065,"2018-12-31","2019-12-30","1")</f>
        <v>25.855962219999999</v>
      </c>
      <c r="H1065" s="11">
        <f>[1]!EM_S_FA_YOY_OR(B1065,E1065)</f>
        <v>15.452654728500001</v>
      </c>
      <c r="I1065" s="11">
        <f>[1]!EM_S_FA_GROSSPROFITMARGIN(B1065,E1065)</f>
        <v>42.105776155100003</v>
      </c>
      <c r="J1065" s="11">
        <f>[1]!EM_S_FA_NETPROFITMARGIN(B1065,E1065)</f>
        <v>16.672645952900002</v>
      </c>
      <c r="K1065" s="10">
        <f>[1]!EM_S_FA_ASSETSTURN(B1065,E1065)</f>
        <v>0.70209378297400005</v>
      </c>
      <c r="L1065" s="12">
        <f>[1]!EM_HKS_VAL_MV(B1065,"2019-12-31","2")</f>
        <v>3862977712.4400001</v>
      </c>
      <c r="M1065">
        <f>[1]!EM_S_VAL_PETTMDEDUCTED(B1065,E1065)</f>
        <v>10.143292222444501</v>
      </c>
      <c r="N1065" s="7">
        <f>[1]!EM_S_VAL_PBGOODWILLDEDUCTED(B1065,E1065)</f>
        <v>1.51046431921804</v>
      </c>
      <c r="O1065" s="7">
        <f>[1]!EM_S_VAL_PS_TTM(B1065,E1065)</f>
        <v>1.7782731749396601</v>
      </c>
      <c r="P1065" s="7">
        <f>[1]!EM_S_VAL_PCF_NCFTTM(B1065,E1065)</f>
        <v>88.866608977633007</v>
      </c>
      <c r="Q1065" s="7">
        <f>[1]!EM_S_VAL_DIVIDENDYIELD2(B1065,E1065,"2019-11-29")</f>
        <v>6.5176357432787633</v>
      </c>
      <c r="T1065"/>
      <c r="U1065">
        <f>[1]!EM_S_RATIO_EPS_TTM(B1065,E1065,"1")</f>
        <v>0.84863942243271062</v>
      </c>
      <c r="AT1065" s="4" t="str">
        <f>[1]!EM_S_IPO_LISTEDDATE(B1065)</f>
        <v>2006-11-30</v>
      </c>
    </row>
    <row r="1066" spans="1:46">
      <c r="A1066">
        <v>2069</v>
      </c>
      <c r="B1066" t="str">
        <f>"300650"</f>
        <v>300650</v>
      </c>
      <c r="C1066" t="s">
        <v>1640</v>
      </c>
      <c r="D1066" t="str">
        <f>[1]!EM_S_INFO_INDEX_EM(B1066,"1")</f>
        <v>家电</v>
      </c>
      <c r="E1066" s="4">
        <f t="shared" si="16"/>
        <v>43465</v>
      </c>
      <c r="F1066" s="11">
        <f>[1]!EM_S_PQ_PCTCHANGE(B1066,"2018-01-01","2019-12-31","3")</f>
        <v>-19.439499789999999</v>
      </c>
      <c r="G1066" s="11">
        <f>[1]!EM_S_PQ_PCTCHANGE(B1066,"2018-12-31","2019-12-30","1")</f>
        <v>25.85438336</v>
      </c>
      <c r="H1066" s="11">
        <f>[1]!EM_S_FA_YOY_OR(B1066,E1066)</f>
        <v>44.1566447035</v>
      </c>
      <c r="I1066" s="11">
        <f>[1]!EM_S_FA_GROSSPROFITMARGIN(B1066,E1066)</f>
        <v>33.318015894600002</v>
      </c>
      <c r="J1066" s="11">
        <f>[1]!EM_S_FA_NETPROFITMARGIN(B1066,E1066)</f>
        <v>12.264790935400001</v>
      </c>
      <c r="K1066" s="10">
        <f>[1]!EM_S_FA_ASSETSTURN(B1066,E1066)</f>
        <v>0.68517658136799997</v>
      </c>
      <c r="L1066" s="12">
        <f>[1]!EM_HKS_VAL_MV(B1066,"2019-12-31","2")</f>
        <v>1816389072</v>
      </c>
      <c r="M1066">
        <f>[1]!EM_S_VAL_PETTMDEDUCTED(B1066,E1066)</f>
        <v>29.571813032858199</v>
      </c>
      <c r="N1066" s="7">
        <f>[1]!EM_S_VAL_PBGOODWILLDEDUCTED(B1066,E1066)</f>
        <v>2.83231201427922</v>
      </c>
      <c r="O1066" s="7">
        <f>[1]!EM_S_VAL_PS_TTM(B1066,E1066)</f>
        <v>3.2972591115327301</v>
      </c>
      <c r="P1066" s="7">
        <f>[1]!EM_S_VAL_PCF_NCFTTM(B1066,E1066)</f>
        <v>-48.439076406927498</v>
      </c>
      <c r="Q1066" s="7">
        <f>[1]!EM_S_VAL_DIVIDENDYIELD2(B1066,E1066,"2019-11-29")</f>
        <v>0.71985602879424115</v>
      </c>
      <c r="T1066"/>
      <c r="U1066">
        <f>[1]!EM_S_RATIO_EPS_TTM(B1066,E1066,"1")</f>
        <v>0.5342300281504887</v>
      </c>
      <c r="AT1066" s="4" t="str">
        <f>[1]!EM_S_IPO_LISTEDDATE(B1066)</f>
        <v>2017-05-03</v>
      </c>
    </row>
    <row r="1067" spans="1:46">
      <c r="A1067">
        <v>3028</v>
      </c>
      <c r="B1067" t="str">
        <f>"601008"</f>
        <v>601008</v>
      </c>
      <c r="C1067" t="s">
        <v>3013</v>
      </c>
      <c r="D1067" t="str">
        <f>[1]!EM_S_INFO_INDEX_EM(B1067,"1")</f>
        <v>交通运输</v>
      </c>
      <c r="E1067" s="4">
        <f t="shared" si="16"/>
        <v>43465</v>
      </c>
      <c r="F1067" s="11">
        <f>[1]!EM_S_PQ_PCTCHANGE(B1067,"2018-01-01","2019-12-31","3")</f>
        <v>-17.489449260000001</v>
      </c>
      <c r="G1067" s="11">
        <f>[1]!EM_S_PQ_PCTCHANGE(B1067,"2018-12-31","2019-12-30","1")</f>
        <v>25.816993459999999</v>
      </c>
      <c r="H1067" s="11">
        <f>[1]!EM_S_FA_YOY_OR(B1067,E1067)</f>
        <v>0.7159536997</v>
      </c>
      <c r="I1067" s="11">
        <f>[1]!EM_S_FA_GROSSPROFITMARGIN(B1067,E1067)</f>
        <v>26.5823403343</v>
      </c>
      <c r="J1067" s="11">
        <f>[1]!EM_S_FA_NETPROFITMARGIN(B1067,E1067)</f>
        <v>1.4083017893000001</v>
      </c>
      <c r="K1067" s="10">
        <f>[1]!EM_S_FA_ASSETSTURN(B1067,E1067)</f>
        <v>0.160056610603</v>
      </c>
      <c r="L1067" s="12">
        <f>[1]!EM_HKS_VAL_MV(B1067,"2019-12-31","2")</f>
        <v>4233107440.4400001</v>
      </c>
      <c r="M1067">
        <f>[1]!EM_S_VAL_PETTMDEDUCTED(B1067,E1067)</f>
        <v>-90.604693662700399</v>
      </c>
      <c r="N1067" s="7">
        <f>[1]!EM_S_VAL_PBGOODWILLDEDUCTED(B1067,E1067)</f>
        <v>0.97280870879593995</v>
      </c>
      <c r="O1067" s="7">
        <f>[1]!EM_S_VAL_PS_TTM(B1067,E1067)</f>
        <v>2.4950770744917601</v>
      </c>
      <c r="P1067" s="7">
        <f>[1]!EM_S_VAL_PCF_NCFTTM(B1067,E1067)</f>
        <v>28.7204815811</v>
      </c>
      <c r="Q1067" s="7">
        <f>[1]!EM_S_VAL_DIVIDENDYIELD2(B1067,E1067,"2019-11-29")</f>
        <v>0.25084648431311291</v>
      </c>
      <c r="T1067"/>
      <c r="U1067">
        <f>[1]!EM_S_RATIO_EPS_TTM(B1067,E1067,"1")</f>
        <v>3.4615890726392966E-3</v>
      </c>
      <c r="AT1067" s="4" t="str">
        <f>[1]!EM_S_IPO_LISTEDDATE(B1067)</f>
        <v>2007-04-26</v>
      </c>
    </row>
    <row r="1068" spans="1:46">
      <c r="A1068">
        <v>2126</v>
      </c>
      <c r="B1068" t="str">
        <f>"300710"</f>
        <v>300710</v>
      </c>
      <c r="C1068" t="s">
        <v>2932</v>
      </c>
      <c r="D1068" t="str">
        <f>[1]!EM_S_INFO_INDEX_EM(B1068,"1")</f>
        <v>信息技术</v>
      </c>
      <c r="E1068" s="4">
        <f t="shared" si="16"/>
        <v>43465</v>
      </c>
      <c r="F1068" s="11">
        <f>[1]!EM_S_PQ_PCTCHANGE(B1068,"2018-01-01","2019-12-31","3")</f>
        <v>-32.516614580000002</v>
      </c>
      <c r="G1068" s="11">
        <f>[1]!EM_S_PQ_PCTCHANGE(B1068,"2018-12-31","2019-12-30","1")</f>
        <v>25.715524720000001</v>
      </c>
      <c r="H1068" s="11">
        <f>[1]!EM_S_FA_YOY_OR(B1068,E1068)</f>
        <v>-17.895017878000001</v>
      </c>
      <c r="I1068" s="11">
        <f>[1]!EM_S_FA_GROSSPROFITMARGIN(B1068,E1068)</f>
        <v>26.629431991899999</v>
      </c>
      <c r="J1068" s="11">
        <f>[1]!EM_S_FA_NETPROFITMARGIN(B1068,E1068)</f>
        <v>4.7597057008999997</v>
      </c>
      <c r="K1068" s="10">
        <f>[1]!EM_S_FA_ASSETSTURN(B1068,E1068)</f>
        <v>0.477717137982</v>
      </c>
      <c r="L1068" s="12">
        <f>[1]!EM_HKS_VAL_MV(B1068,"2019-12-31","2")</f>
        <v>1998725820</v>
      </c>
      <c r="M1068">
        <f>[1]!EM_S_VAL_PETTMDEDUCTED(B1068,E1068)</f>
        <v>351.60889130169102</v>
      </c>
      <c r="N1068" s="7">
        <f>[1]!EM_S_VAL_PBGOODWILLDEDUCTED(B1068,E1068)</f>
        <v>3.3102341730117799</v>
      </c>
      <c r="O1068" s="7">
        <f>[1]!EM_S_VAL_PS_TTM(B1068,E1068)</f>
        <v>4.7237939361311101</v>
      </c>
      <c r="P1068" s="7">
        <f>[1]!EM_S_VAL_PCF_NCFTTM(B1068,E1068)</f>
        <v>80.096152589899802</v>
      </c>
      <c r="Q1068" s="7">
        <f>[1]!EM_S_VAL_DIVIDENDYIELD2(B1068,E1068,"2019-11-29")</f>
        <v>0.1511144692104269</v>
      </c>
      <c r="T1068"/>
      <c r="U1068">
        <f>[1]!EM_S_RATIO_EPS_TTM(B1068,E1068,"1")</f>
        <v>0.21049669790421779</v>
      </c>
      <c r="AT1068" s="4" t="str">
        <f>[1]!EM_S_IPO_LISTEDDATE(B1068)</f>
        <v>2017-10-19</v>
      </c>
    </row>
    <row r="1069" spans="1:46">
      <c r="A1069">
        <v>2384</v>
      </c>
      <c r="B1069" t="str">
        <f>"600252"</f>
        <v>600252</v>
      </c>
      <c r="C1069" t="s">
        <v>1298</v>
      </c>
      <c r="D1069" t="str">
        <f>[1]!EM_S_INFO_INDEX_EM(B1069,"1")</f>
        <v>医药生物</v>
      </c>
      <c r="E1069" s="4">
        <f t="shared" si="16"/>
        <v>43465</v>
      </c>
      <c r="F1069" s="11">
        <f>[1]!EM_S_PQ_PCTCHANGE(B1069,"2018-01-01","2019-12-31","3")</f>
        <v>-23.012412319999999</v>
      </c>
      <c r="G1069" s="11">
        <f>[1]!EM_S_PQ_PCTCHANGE(B1069,"2018-12-31","2019-12-30","1")</f>
        <v>25.680933849999999</v>
      </c>
      <c r="H1069" s="11">
        <f>[1]!EM_S_FA_YOY_OR(B1069,E1069)</f>
        <v>61.095391871899999</v>
      </c>
      <c r="I1069" s="11">
        <f>[1]!EM_S_FA_GROSSPROFITMARGIN(B1069,E1069)</f>
        <v>89.589878933899996</v>
      </c>
      <c r="J1069" s="11">
        <f>[1]!EM_S_FA_NETPROFITMARGIN(B1069,E1069)</f>
        <v>18.593760448200001</v>
      </c>
      <c r="K1069" s="10">
        <f>[1]!EM_S_FA_ASSETSTURN(B1069,E1069)</f>
        <v>0.46779932242900002</v>
      </c>
      <c r="L1069" s="12">
        <f>[1]!EM_HKS_VAL_MV(B1069,"2019-12-31","2")</f>
        <v>11328849299.219999</v>
      </c>
      <c r="M1069">
        <f>[1]!EM_S_VAL_PETTMDEDUCTED(B1069,E1069)</f>
        <v>18.549280450495299</v>
      </c>
      <c r="N1069" s="7">
        <f>[1]!EM_S_VAL_PBGOODWILLDEDUCTED(B1069,E1069)</f>
        <v>1.5070167033936199</v>
      </c>
      <c r="O1069" s="7">
        <f>[1]!EM_S_VAL_PS_TTM(B1069,E1069)</f>
        <v>3.0657122658912499</v>
      </c>
      <c r="P1069" s="7">
        <f>[1]!EM_S_VAL_PCF_NCFTTM(B1069,E1069)</f>
        <v>24.695883633740301</v>
      </c>
      <c r="Q1069" s="7">
        <f>[1]!EM_S_VAL_DIVIDENDYIELD2(B1069,E1069,"2019-11-29")</f>
        <v>2.054794520547945</v>
      </c>
      <c r="T1069"/>
      <c r="U1069">
        <f>[1]!EM_S_RATIO_EPS_TTM(B1069,E1069,"1")</f>
        <v>0.17649872248672857</v>
      </c>
      <c r="AT1069" s="4" t="str">
        <f>[1]!EM_S_IPO_LISTEDDATE(B1069)</f>
        <v>2000-11-30</v>
      </c>
    </row>
    <row r="1070" spans="1:46">
      <c r="A1070">
        <v>1083</v>
      </c>
      <c r="B1070" t="str">
        <f>"002572"</f>
        <v>002572</v>
      </c>
      <c r="C1070" t="s">
        <v>1186</v>
      </c>
      <c r="D1070" t="str">
        <f>[1]!EM_S_INFO_INDEX_EM(B1070,"1")</f>
        <v>轻工制造</v>
      </c>
      <c r="E1070" s="4">
        <f t="shared" si="16"/>
        <v>43465</v>
      </c>
      <c r="F1070" s="11">
        <f>[1]!EM_S_PQ_PCTCHANGE(B1070,"2018-01-01","2019-12-31","3")</f>
        <v>-41.18450756</v>
      </c>
      <c r="G1070" s="11">
        <f>[1]!EM_S_PQ_PCTCHANGE(B1070,"2018-12-31","2019-12-30","1")</f>
        <v>25.671641789999999</v>
      </c>
      <c r="H1070" s="11">
        <f>[1]!EM_S_FA_YOY_OR(B1070,E1070)</f>
        <v>18.655497519000001</v>
      </c>
      <c r="I1070" s="11">
        <f>[1]!EM_S_FA_GROSSPROFITMARGIN(B1070,E1070)</f>
        <v>37.572368941199997</v>
      </c>
      <c r="J1070" s="11">
        <f>[1]!EM_S_FA_NETPROFITMARGIN(B1070,E1070)</f>
        <v>13.1891807416</v>
      </c>
      <c r="K1070" s="10">
        <f>[1]!EM_S_FA_ASSETSTURN(B1070,E1070)</f>
        <v>0.98318096671900002</v>
      </c>
      <c r="L1070" s="12">
        <f>[1]!EM_HKS_VAL_MV(B1070,"2019-12-31","2")</f>
        <v>19114152296.099998</v>
      </c>
      <c r="M1070">
        <f>[1]!EM_S_VAL_PETTMDEDUCTED(B1070,E1070)</f>
        <v>15.5816844431597</v>
      </c>
      <c r="N1070" s="7">
        <f>[1]!EM_S_VAL_PBGOODWILLDEDUCTED(B1070,E1070)</f>
        <v>3.2133986082664601</v>
      </c>
      <c r="O1070" s="7">
        <f>[1]!EM_S_VAL_PS_TTM(B1070,E1070)</f>
        <v>2.20446814560264</v>
      </c>
      <c r="P1070" s="7">
        <f>[1]!EM_S_VAL_PCF_NCFTTM(B1070,E1070)</f>
        <v>-182.101747715176</v>
      </c>
      <c r="Q1070" s="7">
        <f>[1]!EM_S_VAL_DIVIDENDYIELD2(B1070,E1070,"2019-11-29")</f>
        <v>2.8884651495089737</v>
      </c>
      <c r="T1070"/>
      <c r="U1070">
        <f>[1]!EM_S_RATIO_EPS_TTM(B1070,E1070,"1")</f>
        <v>1.0386029594716659</v>
      </c>
      <c r="AT1070" s="4" t="str">
        <f>[1]!EM_S_IPO_LISTEDDATE(B1070)</f>
        <v>2011-04-12</v>
      </c>
    </row>
    <row r="1071" spans="1:46">
      <c r="A1071">
        <v>1968</v>
      </c>
      <c r="B1071" t="str">
        <f>"300545"</f>
        <v>300545</v>
      </c>
      <c r="C1071" t="s">
        <v>1190</v>
      </c>
      <c r="D1071" t="str">
        <f>[1]!EM_S_INFO_INDEX_EM(B1071,"1")</f>
        <v>机械设备</v>
      </c>
      <c r="E1071" s="4">
        <f t="shared" si="16"/>
        <v>43465</v>
      </c>
      <c r="F1071" s="11">
        <f>[1]!EM_S_PQ_PCTCHANGE(B1071,"2018-01-01","2019-12-31","3")</f>
        <v>-18.510696830000001</v>
      </c>
      <c r="G1071" s="11">
        <f>[1]!EM_S_PQ_PCTCHANGE(B1071,"2018-12-31","2019-12-30","1")</f>
        <v>25.61623973</v>
      </c>
      <c r="H1071" s="11">
        <f>[1]!EM_S_FA_YOY_OR(B1071,E1071)</f>
        <v>42.316405508999999</v>
      </c>
      <c r="I1071" s="11">
        <f>[1]!EM_S_FA_GROSSPROFITMARGIN(B1071,E1071)</f>
        <v>34.238672649100003</v>
      </c>
      <c r="J1071" s="11">
        <f>[1]!EM_S_FA_NETPROFITMARGIN(B1071,E1071)</f>
        <v>12.849821459999999</v>
      </c>
      <c r="K1071" s="10">
        <f>[1]!EM_S_FA_ASSETSTURN(B1071,E1071)</f>
        <v>0.60239404867299995</v>
      </c>
      <c r="L1071" s="12">
        <f>[1]!EM_HKS_VAL_MV(B1071,"2019-12-31","2")</f>
        <v>3811113634.4000001</v>
      </c>
      <c r="M1071">
        <f>[1]!EM_S_VAL_PETTMDEDUCTED(B1071,E1071)</f>
        <v>40.444542542264998</v>
      </c>
      <c r="N1071" s="7">
        <f>[1]!EM_S_VAL_PBGOODWILLDEDUCTED(B1071,E1071)</f>
        <v>5.0359627667121796</v>
      </c>
      <c r="O1071" s="7">
        <f>[1]!EM_S_VAL_PS_TTM(B1071,E1071)</f>
        <v>4.8974791620731999</v>
      </c>
      <c r="P1071" s="7">
        <f>[1]!EM_S_VAL_PCF_NCFTTM(B1071,E1071)</f>
        <v>-31.026860034089399</v>
      </c>
      <c r="Q1071" s="7">
        <f>[1]!EM_S_VAL_DIVIDENDYIELD2(B1071,E1071,"2019-11-29")</f>
        <v>0.40429012087394761</v>
      </c>
      <c r="T1071"/>
      <c r="U1071">
        <f>[1]!EM_S_RATIO_EPS_TTM(B1071,E1071,"1")</f>
        <v>0.59166926543498932</v>
      </c>
      <c r="AT1071" s="4" t="str">
        <f>[1]!EM_S_IPO_LISTEDDATE(B1071)</f>
        <v>2016-09-28</v>
      </c>
    </row>
    <row r="1072" spans="1:46">
      <c r="A1072">
        <v>55</v>
      </c>
      <c r="B1072" t="str">
        <f>"000062"</f>
        <v>000062</v>
      </c>
      <c r="C1072" t="s">
        <v>740</v>
      </c>
      <c r="D1072" t="str">
        <f>[1]!EM_S_INFO_INDEX_EM(B1072,"1")</f>
        <v>商贸零售</v>
      </c>
      <c r="E1072" s="4">
        <f t="shared" si="16"/>
        <v>43465</v>
      </c>
      <c r="F1072" s="11">
        <f>[1]!EM_S_PQ_PCTCHANGE(B1072,"2018-01-01","2019-12-31","3")</f>
        <v>-9.5018735000000003</v>
      </c>
      <c r="G1072" s="11">
        <f>[1]!EM_S_PQ_PCTCHANGE(B1072,"2019-01-01","2019-12-31","3")</f>
        <v>25.605363229999998</v>
      </c>
      <c r="H1072" s="11">
        <f>[1]!EM_S_FA_YOY_OR(B1072,E1072)</f>
        <v>38.076458387400002</v>
      </c>
      <c r="I1072" s="11">
        <f>[1]!EM_S_FA_GROSSPROFITMARGIN(B1072,E1072)</f>
        <v>15.7425927659</v>
      </c>
      <c r="J1072" s="11">
        <f>[1]!EM_S_FA_NETPROFITMARGIN(B1072,E1072)</f>
        <v>6.5219275780999997</v>
      </c>
      <c r="K1072" s="10">
        <f>[1]!EM_S_FA_ASSETSTURN(B1072,E1072)</f>
        <v>1.250805125591</v>
      </c>
      <c r="L1072" s="12">
        <f>[1]!EM_HKS_VAL_MV(B1072,"2019-12-31","2")</f>
        <v>14893748745.280001</v>
      </c>
      <c r="M1072">
        <f>[1]!EM_S_VAL_PETTMDEDUCTED(B1072,E1072)</f>
        <v>21.733369624885601</v>
      </c>
      <c r="N1072" s="7">
        <f>[1]!EM_S_VAL_PBGOODWILLDEDUCTED(B1072,E1072)</f>
        <v>4.2357818755845198</v>
      </c>
      <c r="O1072" s="7">
        <f>[1]!EM_S_VAL_PS_TTM(B1072,E1072)</f>
        <v>1.0902105441568899</v>
      </c>
      <c r="P1072" s="7">
        <f>[1]!EM_S_VAL_PCF_NCFTTM(B1072,E1072)</f>
        <v>24.4124235189221</v>
      </c>
      <c r="Q1072" s="7">
        <f>[1]!EM_S_VAL_DIVIDENDYIELD2(B1072,E1072,"2019-11-29")</f>
        <v>1.2992750049201358</v>
      </c>
      <c r="T1072"/>
      <c r="U1072">
        <f>[1]!EM_S_RATIO_EPS_TTM(B1072,E1072,"1")</f>
        <v>0.95044222319721061</v>
      </c>
      <c r="AT1072" s="4" t="str">
        <f>[1]!EM_S_IPO_LISTEDDATE(B1072)</f>
        <v>1997-01-30</v>
      </c>
    </row>
    <row r="1073" spans="1:46">
      <c r="A1073">
        <v>2124</v>
      </c>
      <c r="B1073" t="str">
        <f>"300708"</f>
        <v>300708</v>
      </c>
      <c r="C1073" t="s">
        <v>2815</v>
      </c>
      <c r="D1073" t="str">
        <f>[1]!EM_S_INFO_INDEX_EM(B1073,"1")</f>
        <v>电子设备</v>
      </c>
      <c r="E1073" s="4">
        <f t="shared" si="16"/>
        <v>43465</v>
      </c>
      <c r="F1073" s="11">
        <f>[1]!EM_S_PQ_PCTCHANGE(B1073,"2018-01-01","2019-12-31","3")</f>
        <v>-55.738634390000001</v>
      </c>
      <c r="G1073" s="11">
        <f>[1]!EM_S_PQ_PCTCHANGE(B1073,"2018-12-31","2019-12-30","1")</f>
        <v>25.581395350000001</v>
      </c>
      <c r="H1073" s="11">
        <f>[1]!EM_S_FA_YOY_OR(B1073,E1073)</f>
        <v>-10.021106858</v>
      </c>
      <c r="I1073" s="11">
        <f>[1]!EM_S_FA_GROSSPROFITMARGIN(B1073,E1073)</f>
        <v>7.4328492629999996</v>
      </c>
      <c r="J1073" s="11">
        <f>[1]!EM_S_FA_NETPROFITMARGIN(B1073,E1073)</f>
        <v>3.6461254648999999</v>
      </c>
      <c r="K1073" s="10">
        <f>[1]!EM_S_FA_ASSETSTURN(B1073,E1073)</f>
        <v>0.26478259482099997</v>
      </c>
      <c r="L1073" s="12">
        <f>[1]!EM_HKS_VAL_MV(B1073,"2019-12-31","2")</f>
        <v>3498388600</v>
      </c>
      <c r="M1073">
        <f>[1]!EM_S_VAL_PETTMDEDUCTED(B1073,E1073)</f>
        <v>-32.103558810447097</v>
      </c>
      <c r="N1073" s="7">
        <f>[1]!EM_S_VAL_PBGOODWILLDEDUCTED(B1073,E1073)</f>
        <v>3.8171362275531502</v>
      </c>
      <c r="O1073" s="7">
        <f>[1]!EM_S_VAL_PS_TTM(B1073,E1073)</f>
        <v>5.3143334470106103</v>
      </c>
      <c r="P1073" s="7">
        <f>[1]!EM_S_VAL_PCF_NCFTTM(B1073,E1073)</f>
        <v>43.550725518694598</v>
      </c>
      <c r="Q1073" s="7">
        <f>[1]!EM_S_VAL_DIVIDENDYIELD2(B1073,E1073,"2019-11-29")</f>
        <v>0.16253747068798685</v>
      </c>
      <c r="T1073"/>
      <c r="U1073">
        <f>[1]!EM_S_RATIO_EPS_TTM(B1073,E1073,"1")</f>
        <v>7.8538052894346247E-2</v>
      </c>
      <c r="AT1073" s="4" t="str">
        <f>[1]!EM_S_IPO_LISTEDDATE(B1073)</f>
        <v>2017-10-16</v>
      </c>
    </row>
    <row r="1074" spans="1:46">
      <c r="A1074">
        <v>2049</v>
      </c>
      <c r="B1074" t="str">
        <f>"300630"</f>
        <v>300630</v>
      </c>
      <c r="C1074" t="s">
        <v>460</v>
      </c>
      <c r="D1074" t="str">
        <f>[1]!EM_S_INFO_INDEX_EM(B1074,"1")</f>
        <v>医药生物</v>
      </c>
      <c r="E1074" s="4">
        <f t="shared" si="16"/>
        <v>43465</v>
      </c>
      <c r="F1074" s="11">
        <f>[1]!EM_S_PQ_PCTCHANGE(B1074,"2018-01-01","2019-12-31","3")</f>
        <v>67.161189399999998</v>
      </c>
      <c r="G1074" s="11">
        <f>[1]!EM_S_PQ_PCTCHANGE(B1074,"2018-12-31","2019-12-30","1")</f>
        <v>25.510667269999999</v>
      </c>
      <c r="H1074" s="11">
        <f>[1]!EM_S_FA_YOY_OR(B1074,E1074)</f>
        <v>92.072933447099999</v>
      </c>
      <c r="I1074" s="11">
        <f>[1]!EM_S_FA_GROSSPROFITMARGIN(B1074,E1074)</f>
        <v>83.7552768579</v>
      </c>
      <c r="J1074" s="11">
        <f>[1]!EM_S_FA_NETPROFITMARGIN(B1074,E1074)</f>
        <v>29.079356012400002</v>
      </c>
      <c r="K1074" s="10">
        <f>[1]!EM_S_FA_ASSETSTURN(B1074,E1074)</f>
        <v>0.62909559455899999</v>
      </c>
      <c r="L1074" s="12">
        <f>[1]!EM_HKS_VAL_MV(B1074,"2019-12-31","2")</f>
        <v>15562669492.799999</v>
      </c>
      <c r="M1074">
        <f>[1]!EM_S_VAL_PETTMDEDUCTED(B1074,E1074)</f>
        <v>55.438658584465401</v>
      </c>
      <c r="N1074" s="7">
        <f>[1]!EM_S_VAL_PBGOODWILLDEDUCTED(B1074,E1074)</f>
        <v>9.1374456539185491</v>
      </c>
      <c r="O1074" s="7">
        <f>[1]!EM_S_VAL_PS_TTM(B1074,E1074)</f>
        <v>15.273771933581701</v>
      </c>
      <c r="P1074" s="7">
        <f>[1]!EM_S_VAL_PCF_NCFTTM(B1074,E1074)</f>
        <v>-148.060824739586</v>
      </c>
      <c r="Q1074" s="7">
        <f>[1]!EM_S_VAL_DIVIDENDYIELD2(B1074,E1074,"2019-11-29")</f>
        <v>0.2265738792684901</v>
      </c>
      <c r="T1074"/>
      <c r="U1074">
        <f>[1]!EM_S_RATIO_EPS_TTM(B1074,E1074,"1")</f>
        <v>0.99045117054634157</v>
      </c>
      <c r="AT1074" s="4" t="str">
        <f>[1]!EM_S_IPO_LISTEDDATE(B1074)</f>
        <v>2017-03-28</v>
      </c>
    </row>
    <row r="1075" spans="1:46">
      <c r="A1075">
        <v>813</v>
      </c>
      <c r="B1075" t="str">
        <f>"002302"</f>
        <v>002302</v>
      </c>
      <c r="C1075" t="s">
        <v>3511</v>
      </c>
      <c r="D1075" t="str">
        <f>[1]!EM_S_INFO_INDEX_EM(B1075,"1")</f>
        <v>建材</v>
      </c>
      <c r="E1075" s="4">
        <f t="shared" si="16"/>
        <v>43465</v>
      </c>
      <c r="F1075" s="11">
        <f>[1]!EM_S_PQ_PCTCHANGE(B1075,"2018-01-01","2019-12-31","3")</f>
        <v>-34.796766529999999</v>
      </c>
      <c r="G1075" s="11">
        <f>[1]!EM_S_PQ_PCTCHANGE(B1075,"2018-12-31","2019-12-30","1")</f>
        <v>25.452488689999999</v>
      </c>
      <c r="H1075" s="11">
        <f>[1]!EM_S_FA_YOY_OR(B1075,E1075)</f>
        <v>26.334710640499999</v>
      </c>
      <c r="I1075" s="11">
        <f>[1]!EM_S_FA_GROSSPROFITMARGIN(B1075,E1075)</f>
        <v>9.0855704000999999</v>
      </c>
      <c r="J1075" s="11">
        <f>[1]!EM_S_FA_NETPROFITMARGIN(B1075,E1075)</f>
        <v>1.7948412985</v>
      </c>
      <c r="K1075" s="10">
        <f>[1]!EM_S_FA_ASSETSTURN(B1075,E1075)</f>
        <v>0.991245869266</v>
      </c>
      <c r="L1075" s="12">
        <f>[1]!EM_HKS_VAL_MV(B1075,"2019-12-31","2")</f>
        <v>14251980092.16</v>
      </c>
      <c r="M1075">
        <f>[1]!EM_S_VAL_PETTMDEDUCTED(B1075,E1075)</f>
        <v>53.281249684697499</v>
      </c>
      <c r="N1075" s="7">
        <f>[1]!EM_S_VAL_PBGOODWILLDEDUCTED(B1075,E1075)</f>
        <v>1.71337962537719</v>
      </c>
      <c r="O1075" s="7">
        <f>[1]!EM_S_VAL_PS_TTM(B1075,E1075)</f>
        <v>0.62033897348198896</v>
      </c>
      <c r="P1075" s="7">
        <f>[1]!EM_S_VAL_PCF_NCFTTM(B1075,E1075)</f>
        <v>5.2189351508824302</v>
      </c>
      <c r="Q1075" s="7">
        <f>[1]!EM_S_VAL_DIVIDENDYIELD2(B1075,E1075,"2019-11-29")</f>
        <v>0.63119927862939573</v>
      </c>
      <c r="T1075"/>
      <c r="U1075">
        <f>[1]!EM_S_RATIO_EPS_TTM(B1075,E1075,"1")</f>
        <v>0.24034049752010037</v>
      </c>
      <c r="AT1075" s="4" t="str">
        <f>[1]!EM_S_IPO_LISTEDDATE(B1075)</f>
        <v>2009-11-03</v>
      </c>
    </row>
    <row r="1076" spans="1:46">
      <c r="A1076">
        <v>1112</v>
      </c>
      <c r="B1076" t="str">
        <f>"002601"</f>
        <v>002601</v>
      </c>
      <c r="C1076" t="s">
        <v>364</v>
      </c>
      <c r="D1076" t="str">
        <f>[1]!EM_S_INFO_INDEX_EM(B1076,"1")</f>
        <v>基础化工</v>
      </c>
      <c r="E1076" s="4">
        <f t="shared" si="16"/>
        <v>43465</v>
      </c>
      <c r="F1076" s="11">
        <f>[1]!EM_S_PQ_PCTCHANGE(B1076,"2018-01-01","2019-12-31","3")</f>
        <v>9.9803300000000004</v>
      </c>
      <c r="G1076" s="11">
        <f>[1]!EM_S_PQ_PCTCHANGE(B1076,"2018-12-31","2019-12-30","1")</f>
        <v>25.447154470000001</v>
      </c>
      <c r="H1076" s="11">
        <f>[1]!EM_S_FA_YOY_OR(B1076,E1076)</f>
        <v>1.7848283073</v>
      </c>
      <c r="I1076" s="11">
        <f>[1]!EM_S_FA_GROSSPROFITMARGIN(B1076,E1076)</f>
        <v>41.200082035900003</v>
      </c>
      <c r="J1076" s="11">
        <f>[1]!EM_S_FA_NETPROFITMARGIN(B1076,E1076)</f>
        <v>22.223244035499999</v>
      </c>
      <c r="K1076" s="10">
        <f>[1]!EM_S_FA_ASSETSTURN(B1076,E1076)</f>
        <v>0.50533807003999998</v>
      </c>
      <c r="L1076" s="12">
        <f>[1]!EM_HKS_VAL_MV(B1076,"2019-12-31","2")</f>
        <v>31272801481.709999</v>
      </c>
      <c r="M1076">
        <f>[1]!EM_S_VAL_PETTMDEDUCTED(B1076,E1076)</f>
        <v>10.1620211223516</v>
      </c>
      <c r="N1076" s="7">
        <f>[1]!EM_S_VAL_PBGOODWILLDEDUCTED(B1076,E1076)</f>
        <v>3.36074158137159</v>
      </c>
      <c r="O1076" s="7">
        <f>[1]!EM_S_VAL_PS_TTM(B1076,E1076)</f>
        <v>2.3050436246464101</v>
      </c>
      <c r="P1076" s="7">
        <f>[1]!EM_S_VAL_PCF_NCFTTM(B1076,E1076)</f>
        <v>151.71043572409201</v>
      </c>
      <c r="Q1076" s="7">
        <f>[1]!EM_S_VAL_DIVIDENDYIELD2(B1076,E1076,"2019-11-29")</f>
        <v>0.76923076923076927</v>
      </c>
      <c r="T1076"/>
      <c r="U1076">
        <f>[1]!EM_S_RATIO_EPS_TTM(B1076,E1076,"1")</f>
        <v>1.124854904781444</v>
      </c>
      <c r="AT1076" s="4" t="str">
        <f>[1]!EM_S_IPO_LISTEDDATE(B1076)</f>
        <v>2011-07-15</v>
      </c>
    </row>
    <row r="1077" spans="1:46">
      <c r="A1077">
        <v>3262</v>
      </c>
      <c r="B1077" t="str">
        <f>"603090"</f>
        <v>603090</v>
      </c>
      <c r="C1077" t="s">
        <v>2347</v>
      </c>
      <c r="D1077" t="str">
        <f>[1]!EM_S_INFO_INDEX_EM(B1077,"1")</f>
        <v>机械设备</v>
      </c>
      <c r="E1077" s="4">
        <f t="shared" si="16"/>
        <v>43465</v>
      </c>
      <c r="F1077" s="11">
        <f>[1]!EM_S_PQ_PCTCHANGE(B1077,"2018-01-01","2019-12-31","3")</f>
        <v>-15.91921887</v>
      </c>
      <c r="G1077" s="11">
        <f>[1]!EM_S_PQ_PCTCHANGE(B1077,"2018-12-31","2019-12-30","1")</f>
        <v>25.42372881</v>
      </c>
      <c r="H1077" s="11">
        <f>[1]!EM_S_FA_YOY_OR(B1077,E1077)</f>
        <v>12.8253915435</v>
      </c>
      <c r="I1077" s="11">
        <f>[1]!EM_S_FA_GROSSPROFITMARGIN(B1077,E1077)</f>
        <v>26.693885819999998</v>
      </c>
      <c r="J1077" s="11">
        <f>[1]!EM_S_FA_NETPROFITMARGIN(B1077,E1077)</f>
        <v>8.2339729732000002</v>
      </c>
      <c r="K1077" s="10">
        <f>[1]!EM_S_FA_ASSETSTURN(B1077,E1077)</f>
        <v>0.65659533796299996</v>
      </c>
      <c r="L1077" s="12">
        <f>[1]!EM_HKS_VAL_MV(B1077,"2019-12-31","2")</f>
        <v>1638000000</v>
      </c>
      <c r="M1077">
        <f>[1]!EM_S_VAL_PETTMDEDUCTED(B1077,E1077)</f>
        <v>54.911415438758603</v>
      </c>
      <c r="N1077" s="7">
        <f>[1]!EM_S_VAL_PBGOODWILLDEDUCTED(B1077,E1077)</f>
        <v>3.05785036146955</v>
      </c>
      <c r="O1077" s="7">
        <f>[1]!EM_S_VAL_PS_TTM(B1077,E1077)</f>
        <v>3.08082007908971</v>
      </c>
      <c r="P1077" s="7">
        <f>[1]!EM_S_VAL_PCF_NCFTTM(B1077,E1077)</f>
        <v>-65.318851254975897</v>
      </c>
      <c r="Q1077" s="7">
        <f>[1]!EM_S_VAL_DIVIDENDYIELD2(B1077,E1077,"2019-11-29")</f>
        <v>0.65876152832674573</v>
      </c>
      <c r="T1077"/>
      <c r="U1077">
        <f>[1]!EM_S_RATIO_EPS_TTM(B1077,E1077,"1")</f>
        <v>0.32623930440000004</v>
      </c>
      <c r="AT1077" s="4" t="str">
        <f>[1]!EM_S_IPO_LISTEDDATE(B1077)</f>
        <v>2016-08-31</v>
      </c>
    </row>
    <row r="1078" spans="1:46">
      <c r="A1078">
        <v>1945</v>
      </c>
      <c r="B1078" t="str">
        <f>"300520"</f>
        <v>300520</v>
      </c>
      <c r="C1078" t="s">
        <v>3041</v>
      </c>
      <c r="D1078" t="str">
        <f>[1]!EM_S_INFO_INDEX_EM(B1078,"1")</f>
        <v>信息技术</v>
      </c>
      <c r="E1078" s="4">
        <f t="shared" si="16"/>
        <v>43465</v>
      </c>
      <c r="F1078" s="11">
        <f>[1]!EM_S_PQ_PCTCHANGE(B1078,"2018-01-01","2019-12-31","3")</f>
        <v>-30.051871720000001</v>
      </c>
      <c r="G1078" s="11">
        <f>[1]!EM_S_PQ_PCTCHANGE(B1078,"2018-12-31","2019-12-30","1")</f>
        <v>25.41694463</v>
      </c>
      <c r="H1078" s="11">
        <f>[1]!EM_S_FA_YOY_OR(B1078,E1078)</f>
        <v>61.575198765000003</v>
      </c>
      <c r="I1078" s="11">
        <f>[1]!EM_S_FA_GROSSPROFITMARGIN(B1078,E1078)</f>
        <v>32.376274353100001</v>
      </c>
      <c r="J1078" s="11">
        <f>[1]!EM_S_FA_NETPROFITMARGIN(B1078,E1078)</f>
        <v>5.2160749663999999</v>
      </c>
      <c r="K1078" s="10">
        <f>[1]!EM_S_FA_ASSETSTURN(B1078,E1078)</f>
        <v>0.57964643627099999</v>
      </c>
      <c r="L1078" s="12">
        <f>[1]!EM_HKS_VAL_MV(B1078,"2019-12-31","2")</f>
        <v>4624606554.1400003</v>
      </c>
      <c r="M1078">
        <f>[1]!EM_S_VAL_PETTMDEDUCTED(B1078,E1078)</f>
        <v>94.597664428141996</v>
      </c>
      <c r="N1078" s="7">
        <f>[1]!EM_S_VAL_PBGOODWILLDEDUCTED(B1078,E1078)</f>
        <v>5.0132161127381796</v>
      </c>
      <c r="O1078" s="7">
        <f>[1]!EM_S_VAL_PS_TTM(B1078,E1078)</f>
        <v>4.9248121869565402</v>
      </c>
      <c r="P1078" s="7">
        <f>[1]!EM_S_VAL_PCF_NCFTTM(B1078,E1078)</f>
        <v>-25.877966942317901</v>
      </c>
      <c r="Q1078" s="7">
        <f>[1]!EM_S_VAL_DIVIDENDYIELD2(B1078,E1078,"2019-11-29")</f>
        <v>0.15006002400960386</v>
      </c>
      <c r="T1078"/>
      <c r="U1078">
        <f>[1]!EM_S_RATIO_EPS_TTM(B1078,E1078,"1")</f>
        <v>0.20423855521950662</v>
      </c>
      <c r="AT1078" s="4" t="str">
        <f>[1]!EM_S_IPO_LISTEDDATE(B1078)</f>
        <v>2016-07-08</v>
      </c>
    </row>
    <row r="1079" spans="1:46">
      <c r="A1079">
        <v>3297</v>
      </c>
      <c r="B1079" t="str">
        <f>"603168"</f>
        <v>603168</v>
      </c>
      <c r="C1079" t="s">
        <v>1082</v>
      </c>
      <c r="D1079" t="str">
        <f>[1]!EM_S_INFO_INDEX_EM(B1079,"1")</f>
        <v>医药生物</v>
      </c>
      <c r="E1079" s="4">
        <f t="shared" si="16"/>
        <v>43465</v>
      </c>
      <c r="F1079" s="11">
        <f>[1]!EM_S_PQ_PCTCHANGE(B1079,"2018-01-01","2019-12-31","3")</f>
        <v>-23.015114610000001</v>
      </c>
      <c r="G1079" s="11">
        <f>[1]!EM_S_PQ_PCTCHANGE(B1079,"2018-12-31","2019-12-30","1")</f>
        <v>25.401459849999998</v>
      </c>
      <c r="H1079" s="11">
        <f>[1]!EM_S_FA_YOY_OR(B1079,E1079)</f>
        <v>-35.302093463200002</v>
      </c>
      <c r="I1079" s="11">
        <f>[1]!EM_S_FA_GROSSPROFITMARGIN(B1079,E1079)</f>
        <v>72.119045907499995</v>
      </c>
      <c r="J1079" s="11">
        <f>[1]!EM_S_FA_NETPROFITMARGIN(B1079,E1079)</f>
        <v>-20.820944330900002</v>
      </c>
      <c r="K1079" s="10">
        <f>[1]!EM_S_FA_ASSETSTURN(B1079,E1079)</f>
        <v>0.345331187574</v>
      </c>
      <c r="L1079" s="12">
        <f>[1]!EM_HKS_VAL_MV(B1079,"2019-12-31","2")</f>
        <v>2800102891.3200002</v>
      </c>
      <c r="M1079">
        <f>[1]!EM_S_VAL_PETTMDEDUCTED(B1079,E1079)</f>
        <v>48.837938806118999</v>
      </c>
      <c r="N1079" s="7">
        <f>[1]!EM_S_VAL_PBGOODWILLDEDUCTED(B1079,E1079)</f>
        <v>1.4918915867557001</v>
      </c>
      <c r="O1079" s="7">
        <f>[1]!EM_S_VAL_PS_TTM(B1079,E1079)</f>
        <v>3.0156641415085002</v>
      </c>
      <c r="P1079" s="7">
        <f>[1]!EM_S_VAL_PCF_NCFTTM(B1079,E1079)</f>
        <v>-9.2955511085686293</v>
      </c>
      <c r="Q1079" s="7">
        <f>[1]!EM_S_VAL_DIVIDENDYIELD2(B1079,E1079,"2019-11-29")</f>
        <v>0</v>
      </c>
      <c r="T1079"/>
      <c r="U1079">
        <f>[1]!EM_S_RATIO_EPS_TTM(B1079,E1079,"1")</f>
        <v>-0.39205598952875836</v>
      </c>
      <c r="AT1079" s="4" t="str">
        <f>[1]!EM_S_IPO_LISTEDDATE(B1079)</f>
        <v>2014-07-02</v>
      </c>
    </row>
    <row r="1080" spans="1:46">
      <c r="A1080">
        <v>673</v>
      </c>
      <c r="B1080" t="str">
        <f>"002162"</f>
        <v>002162</v>
      </c>
      <c r="C1080" t="s">
        <v>3453</v>
      </c>
      <c r="D1080" t="str">
        <f>[1]!EM_S_INFO_INDEX_EM(B1080,"1")</f>
        <v>建材</v>
      </c>
      <c r="E1080" s="4">
        <f t="shared" si="16"/>
        <v>43465</v>
      </c>
      <c r="F1080" s="11">
        <f>[1]!EM_S_PQ_PCTCHANGE(B1080,"2018-01-01","2019-12-31","3")</f>
        <v>-28.515625</v>
      </c>
      <c r="G1080" s="11">
        <f>[1]!EM_S_PQ_PCTCHANGE(B1080,"2018-12-31","2019-12-30","1")</f>
        <v>25.352112680000001</v>
      </c>
      <c r="H1080" s="11">
        <f>[1]!EM_S_FA_YOY_OR(B1080,E1080)</f>
        <v>8.6266581876000004</v>
      </c>
      <c r="I1080" s="11">
        <f>[1]!EM_S_FA_GROSSPROFITMARGIN(B1080,E1080)</f>
        <v>34.659209992800001</v>
      </c>
      <c r="J1080" s="11">
        <f>[1]!EM_S_FA_NETPROFITMARGIN(B1080,E1080)</f>
        <v>2.2909347227999999</v>
      </c>
      <c r="K1080" s="10">
        <f>[1]!EM_S_FA_ASSETSTURN(B1080,E1080)</f>
        <v>0.44537182557600002</v>
      </c>
      <c r="L1080" s="12">
        <f>[1]!EM_HKS_VAL_MV(B1080,"2019-12-31","2")</f>
        <v>3124816500</v>
      </c>
      <c r="M1080">
        <f>[1]!EM_S_VAL_PETTMDEDUCTED(B1080,E1080)</f>
        <v>-286.36891846982701</v>
      </c>
      <c r="N1080" s="7">
        <f>[1]!EM_S_VAL_PBGOODWILLDEDUCTED(B1080,E1080)</f>
        <v>2.8077117382913501</v>
      </c>
      <c r="O1080" s="7">
        <f>[1]!EM_S_VAL_PS_TTM(B1080,E1080)</f>
        <v>2.58355719009757</v>
      </c>
      <c r="P1080" s="7">
        <f>[1]!EM_S_VAL_PCF_NCFTTM(B1080,E1080)</f>
        <v>-30.881047889115202</v>
      </c>
      <c r="Q1080" s="7">
        <f>[1]!EM_S_VAL_DIVIDENDYIELD2(B1080,E1080,"2019-11-29")</f>
        <v>0</v>
      </c>
      <c r="T1080"/>
      <c r="U1080">
        <f>[1]!EM_S_RATIO_EPS_TTM(B1080,E1080,"1")</f>
        <v>2.8457777605049382E-2</v>
      </c>
      <c r="AT1080" s="4" t="str">
        <f>[1]!EM_S_IPO_LISTEDDATE(B1080)</f>
        <v>2007-08-23</v>
      </c>
    </row>
    <row r="1081" spans="1:46">
      <c r="A1081">
        <v>2450</v>
      </c>
      <c r="B1081" t="str">
        <f>"600325"</f>
        <v>600325</v>
      </c>
      <c r="C1081" t="s">
        <v>327</v>
      </c>
      <c r="D1081" t="str">
        <f>[1]!EM_S_INFO_INDEX_EM(B1081,"1")</f>
        <v>房地产</v>
      </c>
      <c r="E1081" s="4">
        <f t="shared" si="16"/>
        <v>43465</v>
      </c>
      <c r="F1081" s="11">
        <f>[1]!EM_S_PQ_PCTCHANGE(B1081,"2018-01-01","2019-12-31","3")</f>
        <v>16.666574799999999</v>
      </c>
      <c r="G1081" s="11">
        <f>[1]!EM_S_PQ_PCTCHANGE(B1081,"2018-12-31","2019-12-30","1")</f>
        <v>25.322580649999999</v>
      </c>
      <c r="H1081" s="11">
        <f>[1]!EM_S_FA_YOY_OR(B1081,E1081)</f>
        <v>18.804941448699999</v>
      </c>
      <c r="I1081" s="11">
        <f>[1]!EM_S_FA_GROSSPROFITMARGIN(B1081,E1081)</f>
        <v>27.276532921299999</v>
      </c>
      <c r="J1081" s="11">
        <f>[1]!EM_S_FA_NETPROFITMARGIN(B1081,E1081)</f>
        <v>10.1346011334</v>
      </c>
      <c r="K1081" s="10">
        <f>[1]!EM_S_FA_ASSETSTURN(B1081,E1081)</f>
        <v>0.147247812353</v>
      </c>
      <c r="L1081" s="12">
        <f>[1]!EM_HKS_VAL_MV(B1081,"2019-12-31","2")</f>
        <v>16577829593.280001</v>
      </c>
      <c r="M1081">
        <f>[1]!EM_S_VAL_PETTMDEDUCTED(B1081,E1081)</f>
        <v>5.6123281706276504</v>
      </c>
      <c r="N1081" s="7">
        <f>[1]!EM_S_VAL_PBGOODWILLDEDUCTED(B1081,E1081)</f>
        <v>1.11519074360162</v>
      </c>
      <c r="O1081" s="7">
        <f>[1]!EM_S_VAL_PS_TTM(B1081,E1081)</f>
        <v>0.64798518480449996</v>
      </c>
      <c r="P1081" s="7">
        <f>[1]!EM_S_VAL_PCF_NCFTTM(B1081,E1081)</f>
        <v>-3.27000241497415</v>
      </c>
      <c r="Q1081" s="7">
        <f>[1]!EM_S_VAL_DIVIDENDYIELD2(B1081,E1081,"2019-11-29")</f>
        <v>2.1520803443328549</v>
      </c>
      <c r="T1081"/>
      <c r="U1081">
        <f>[1]!EM_S_RATIO_EPS_TTM(B1081,E1081,"1")</f>
        <v>1.0785714515693745</v>
      </c>
      <c r="AT1081" s="4" t="str">
        <f>[1]!EM_S_IPO_LISTEDDATE(B1081)</f>
        <v>2004-02-25</v>
      </c>
    </row>
    <row r="1082" spans="1:46">
      <c r="A1082">
        <v>1142</v>
      </c>
      <c r="B1082" t="str">
        <f>"002631"</f>
        <v>002631</v>
      </c>
      <c r="C1082" t="s">
        <v>1410</v>
      </c>
      <c r="D1082" t="str">
        <f>[1]!EM_S_INFO_INDEX_EM(B1082,"1")</f>
        <v>轻工制造</v>
      </c>
      <c r="E1082" s="4">
        <f t="shared" si="16"/>
        <v>43465</v>
      </c>
      <c r="F1082" s="11">
        <f>[1]!EM_S_PQ_PCTCHANGE(B1082,"2018-01-01","2019-12-31","3")</f>
        <v>-25.044960830000001</v>
      </c>
      <c r="G1082" s="11">
        <f>[1]!EM_S_PQ_PCTCHANGE(B1082,"2018-12-31","2019-12-30","1")</f>
        <v>25.310559009999999</v>
      </c>
      <c r="H1082" s="11">
        <f>[1]!EM_S_FA_YOY_OR(B1082,E1082)</f>
        <v>10.4938758073</v>
      </c>
      <c r="I1082" s="11">
        <f>[1]!EM_S_FA_GROSSPROFITMARGIN(B1082,E1082)</f>
        <v>33.069401584300003</v>
      </c>
      <c r="J1082" s="11">
        <f>[1]!EM_S_FA_NETPROFITMARGIN(B1082,E1082)</f>
        <v>5.9986529540999998</v>
      </c>
      <c r="K1082" s="10">
        <f>[1]!EM_S_FA_ASSETSTURN(B1082,E1082)</f>
        <v>0.73545165830299997</v>
      </c>
      <c r="L1082" s="12">
        <f>[1]!EM_HKS_VAL_MV(B1082,"2019-12-31","2")</f>
        <v>5385818464.6000004</v>
      </c>
      <c r="M1082">
        <f>[1]!EM_S_VAL_PETTMDEDUCTED(B1082,E1082)</f>
        <v>51.394916746977898</v>
      </c>
      <c r="N1082" s="7">
        <f>[1]!EM_S_VAL_PBGOODWILLDEDUCTED(B1082,E1082)</f>
        <v>2.7397850505687802</v>
      </c>
      <c r="O1082" s="7">
        <f>[1]!EM_S_VAL_PS_TTM(B1082,E1082)</f>
        <v>2.4526990127757</v>
      </c>
      <c r="P1082" s="7">
        <f>[1]!EM_S_VAL_PCF_NCFTTM(B1082,E1082)</f>
        <v>-610.58604601680804</v>
      </c>
      <c r="Q1082" s="7">
        <f>[1]!EM_S_VAL_DIVIDENDYIELD2(B1082,E1082,"2019-11-29")</f>
        <v>0.86785869415750383</v>
      </c>
      <c r="T1082"/>
      <c r="U1082">
        <f>[1]!EM_S_RATIO_EPS_TTM(B1082,E1082,"1")</f>
        <v>0.15544688539317766</v>
      </c>
      <c r="AT1082" s="4" t="str">
        <f>[1]!EM_S_IPO_LISTEDDATE(B1082)</f>
        <v>2011-11-11</v>
      </c>
    </row>
    <row r="1083" spans="1:46">
      <c r="A1083">
        <v>3385</v>
      </c>
      <c r="B1083" t="str">
        <f>"603377"</f>
        <v>603377</v>
      </c>
      <c r="C1083" t="s">
        <v>2419</v>
      </c>
      <c r="D1083" t="str">
        <f>[1]!EM_S_INFO_INDEX_EM(B1083,"1")</f>
        <v>交运设备</v>
      </c>
      <c r="E1083" s="4">
        <f t="shared" si="16"/>
        <v>43465</v>
      </c>
      <c r="F1083" s="11">
        <f>[1]!EM_S_PQ_PCTCHANGE(B1083,"2018-01-01","2019-12-31","3")</f>
        <v>-34.713796000000002</v>
      </c>
      <c r="G1083" s="11">
        <f>[1]!EM_S_PQ_PCTCHANGE(B1083,"2018-12-31","2019-12-30","1")</f>
        <v>25.2739726</v>
      </c>
      <c r="H1083" s="11">
        <f>[1]!EM_S_FA_YOY_OR(B1083,E1083)</f>
        <v>-10.4143602698</v>
      </c>
      <c r="I1083" s="11">
        <f>[1]!EM_S_FA_GROSSPROFITMARGIN(B1083,E1083)</f>
        <v>48.984259633800001</v>
      </c>
      <c r="J1083" s="11">
        <f>[1]!EM_S_FA_NETPROFITMARGIN(B1083,E1083)</f>
        <v>21.5602945666</v>
      </c>
      <c r="K1083" s="10">
        <f>[1]!EM_S_FA_ASSETSTURN(B1083,E1083)</f>
        <v>0.29312431199799999</v>
      </c>
      <c r="L1083" s="12">
        <f>[1]!EM_HKS_VAL_MV(B1083,"2019-12-31","2")</f>
        <v>10736880000</v>
      </c>
      <c r="M1083">
        <f>[1]!EM_S_VAL_PETTMDEDUCTED(B1083,E1083)</f>
        <v>88.666544329392494</v>
      </c>
      <c r="N1083" s="7">
        <f>[1]!EM_S_VAL_PBGOODWILLDEDUCTED(B1083,E1083)</f>
        <v>5.2185100160180804</v>
      </c>
      <c r="O1083" s="7">
        <f>[1]!EM_S_VAL_PS_TTM(B1083,E1083)</f>
        <v>8.2230420604351906</v>
      </c>
      <c r="P1083" s="7">
        <f>[1]!EM_S_VAL_PCF_NCFTTM(B1083,E1083)</f>
        <v>-93.185472910227901</v>
      </c>
      <c r="Q1083" s="7">
        <f>[1]!EM_S_VAL_DIVIDENDYIELD2(B1083,E1083,"2019-11-29")</f>
        <v>1.0816657652785289</v>
      </c>
      <c r="T1083"/>
      <c r="U1083">
        <f>[1]!EM_S_RATIO_EPS_TTM(B1083,E1083,"1")</f>
        <v>0.37970962120748303</v>
      </c>
      <c r="AT1083" s="4" t="str">
        <f>[1]!EM_S_IPO_LISTEDDATE(B1083)</f>
        <v>2016-02-05</v>
      </c>
    </row>
    <row r="1084" spans="1:46">
      <c r="A1084">
        <v>3311</v>
      </c>
      <c r="B1084" t="str">
        <f>"603199"</f>
        <v>603199</v>
      </c>
      <c r="C1084" t="s">
        <v>835</v>
      </c>
      <c r="D1084" t="str">
        <f>[1]!EM_S_INFO_INDEX_EM(B1084,"1")</f>
        <v>休闲、生活及专业服务</v>
      </c>
      <c r="E1084" s="4">
        <f t="shared" si="16"/>
        <v>43465</v>
      </c>
      <c r="F1084" s="11">
        <f>[1]!EM_S_PQ_PCTCHANGE(B1084,"2018-01-01","2019-12-31","3")</f>
        <v>-23.81395049</v>
      </c>
      <c r="G1084" s="11">
        <f>[1]!EM_S_PQ_PCTCHANGE(B1084,"2018-12-31","2019-12-30","1")</f>
        <v>25.263157889999999</v>
      </c>
      <c r="H1084" s="11">
        <f>[1]!EM_S_FA_YOY_OR(B1084,E1084)</f>
        <v>8.7357459383999991</v>
      </c>
      <c r="I1084" s="11">
        <f>[1]!EM_S_FA_GROSSPROFITMARGIN(B1084,E1084)</f>
        <v>47.052707458500002</v>
      </c>
      <c r="J1084" s="11">
        <f>[1]!EM_S_FA_NETPROFITMARGIN(B1084,E1084)</f>
        <v>18.9745401373</v>
      </c>
      <c r="K1084" s="10">
        <f>[1]!EM_S_FA_ASSETSTURN(B1084,E1084)</f>
        <v>0.38782107349299999</v>
      </c>
      <c r="L1084" s="12">
        <f>[1]!EM_HKS_VAL_MV(B1084,"2019-12-31","2")</f>
        <v>2614261600</v>
      </c>
      <c r="M1084">
        <f>[1]!EM_S_VAL_PETTMDEDUCTED(B1084,E1084)</f>
        <v>25.2717026193145</v>
      </c>
      <c r="N1084" s="7">
        <f>[1]!EM_S_VAL_PBGOODWILLDEDUCTED(B1084,E1084)</f>
        <v>1.9111481317816399</v>
      </c>
      <c r="O1084" s="7">
        <f>[1]!EM_S_VAL_PS_TTM(B1084,E1084)</f>
        <v>4.5390610130220601</v>
      </c>
      <c r="P1084" s="7">
        <f>[1]!EM_S_VAL_PCF_NCFTTM(B1084,E1084)</f>
        <v>45.547783974360797</v>
      </c>
      <c r="Q1084" s="7">
        <f>[1]!EM_S_VAL_DIVIDENDYIELD2(B1084,E1084,"2019-11-29")</f>
        <v>0.76957899502037119</v>
      </c>
      <c r="T1084"/>
      <c r="U1084">
        <f>[1]!EM_S_RATIO_EPS_TTM(B1084,E1084,"1")</f>
        <v>0.8320029533791109</v>
      </c>
      <c r="AT1084" s="4" t="str">
        <f>[1]!EM_S_IPO_LISTEDDATE(B1084)</f>
        <v>2015-03-26</v>
      </c>
    </row>
    <row r="1085" spans="1:46">
      <c r="A1085">
        <v>954</v>
      </c>
      <c r="B1085" t="str">
        <f>"002443"</f>
        <v>002443</v>
      </c>
      <c r="C1085" t="s">
        <v>2721</v>
      </c>
      <c r="D1085" t="str">
        <f>[1]!EM_S_INFO_INDEX_EM(B1085,"1")</f>
        <v>钢铁</v>
      </c>
      <c r="E1085" s="4">
        <f t="shared" si="16"/>
        <v>43465</v>
      </c>
      <c r="F1085" s="11">
        <f>[1]!EM_S_PQ_PCTCHANGE(B1085,"2018-01-01","2019-12-31","3")</f>
        <v>-22.084145589999999</v>
      </c>
      <c r="G1085" s="11">
        <f>[1]!EM_S_PQ_PCTCHANGE(B1085,"2018-12-31","2019-12-30","1")</f>
        <v>25.235404899999999</v>
      </c>
      <c r="H1085" s="11">
        <f>[1]!EM_S_FA_YOY_OR(B1085,E1085)</f>
        <v>24.456513644499999</v>
      </c>
      <c r="I1085" s="11">
        <f>[1]!EM_S_FA_GROSSPROFITMARGIN(B1085,E1085)</f>
        <v>13.0153641882</v>
      </c>
      <c r="J1085" s="11">
        <f>[1]!EM_S_FA_NETPROFITMARGIN(B1085,E1085)</f>
        <v>4.2664352551000002</v>
      </c>
      <c r="K1085" s="10">
        <f>[1]!EM_S_FA_ASSETSTURN(B1085,E1085)</f>
        <v>1.371177205153</v>
      </c>
      <c r="L1085" s="12">
        <f>[1]!EM_HKS_VAL_MV(B1085,"2019-12-31","2")</f>
        <v>3497998694.4000001</v>
      </c>
      <c r="M1085">
        <f>[1]!EM_S_VAL_PETTMDEDUCTED(B1085,E1085)</f>
        <v>21.7238892928812</v>
      </c>
      <c r="N1085" s="7">
        <f>[1]!EM_S_VAL_PBGOODWILLDEDUCTED(B1085,E1085)</f>
        <v>1.2203885801629299</v>
      </c>
      <c r="O1085" s="7">
        <f>[1]!EM_S_VAL_PS_TTM(B1085,E1085)</f>
        <v>0.60698978397841696</v>
      </c>
      <c r="P1085" s="7">
        <f>[1]!EM_S_VAL_PCF_NCFTTM(B1085,E1085)</f>
        <v>54.439100672533897</v>
      </c>
      <c r="Q1085" s="7">
        <f>[1]!EM_S_VAL_DIVIDENDYIELD2(B1085,E1085,"2019-11-29")</f>
        <v>2.9239766081871341</v>
      </c>
      <c r="T1085"/>
      <c r="U1085">
        <f>[1]!EM_S_RATIO_EPS_TTM(B1085,E1085,"1")</f>
        <v>0.36694964286010684</v>
      </c>
      <c r="AT1085" s="4" t="str">
        <f>[1]!EM_S_IPO_LISTEDDATE(B1085)</f>
        <v>2010-07-06</v>
      </c>
    </row>
    <row r="1086" spans="1:46">
      <c r="A1086">
        <v>1379</v>
      </c>
      <c r="B1086" t="str">
        <f>"002880"</f>
        <v>002880</v>
      </c>
      <c r="C1086" t="s">
        <v>1346</v>
      </c>
      <c r="D1086" t="str">
        <f>[1]!EM_S_INFO_INDEX_EM(B1086,"1")</f>
        <v>医药生物</v>
      </c>
      <c r="E1086" s="4">
        <f t="shared" si="16"/>
        <v>43465</v>
      </c>
      <c r="F1086" s="11">
        <f>[1]!EM_S_PQ_PCTCHANGE(B1086,"2018-01-01","2019-12-31","3")</f>
        <v>-2.6555676099999999</v>
      </c>
      <c r="G1086" s="11">
        <f>[1]!EM_S_PQ_PCTCHANGE(B1086,"2018-12-31","2019-12-30","1")</f>
        <v>25.205274939999999</v>
      </c>
      <c r="H1086" s="11">
        <f>[1]!EM_S_FA_YOY_OR(B1086,E1086)</f>
        <v>10.3562248924</v>
      </c>
      <c r="I1086" s="11">
        <f>[1]!EM_S_FA_GROSSPROFITMARGIN(B1086,E1086)</f>
        <v>39.773526722900002</v>
      </c>
      <c r="J1086" s="11">
        <f>[1]!EM_S_FA_NETPROFITMARGIN(B1086,E1086)</f>
        <v>22.768665806200001</v>
      </c>
      <c r="K1086" s="10">
        <f>[1]!EM_S_FA_ASSETSTURN(B1086,E1086)</f>
        <v>0.485498326393</v>
      </c>
      <c r="L1086" s="12">
        <f>[1]!EM_HKS_VAL_MV(B1086,"2019-12-31","2")</f>
        <v>5643000000</v>
      </c>
      <c r="M1086">
        <f>[1]!EM_S_VAL_PETTMDEDUCTED(B1086,E1086)</f>
        <v>30.513594207840001</v>
      </c>
      <c r="N1086" s="7">
        <f>[1]!EM_S_VAL_PBGOODWILLDEDUCTED(B1086,E1086)</f>
        <v>3.3737547137354902</v>
      </c>
      <c r="O1086" s="7">
        <f>[1]!EM_S_VAL_PS_TTM(B1086,E1086)</f>
        <v>6.6675536780984102</v>
      </c>
      <c r="P1086" s="7">
        <f>[1]!EM_S_VAL_PCF_NCFTTM(B1086,E1086)</f>
        <v>-37.458332326930297</v>
      </c>
      <c r="Q1086" s="7">
        <f>[1]!EM_S_VAL_DIVIDENDYIELD2(B1086,E1086,"2019-11-29")</f>
        <v>0.62591278948466511</v>
      </c>
      <c r="T1086"/>
      <c r="U1086">
        <f>[1]!EM_S_RATIO_EPS_TTM(B1086,E1086,"1")</f>
        <v>1.4503411814814815</v>
      </c>
      <c r="AT1086" s="4" t="str">
        <f>[1]!EM_S_IPO_LISTEDDATE(B1086)</f>
        <v>2017-06-16</v>
      </c>
    </row>
    <row r="1087" spans="1:46">
      <c r="A1087">
        <v>3107</v>
      </c>
      <c r="B1087" t="str">
        <f>"601375"</f>
        <v>601375</v>
      </c>
      <c r="C1087" t="s">
        <v>2231</v>
      </c>
      <c r="D1087" t="str">
        <f>[1]!EM_S_INFO_INDEX_EM(B1087,"1")</f>
        <v>金融</v>
      </c>
      <c r="E1087" s="4">
        <f t="shared" si="16"/>
        <v>43465</v>
      </c>
      <c r="F1087" s="11">
        <f>[1]!EM_S_PQ_PCTCHANGE(B1087,"2018-01-01","2019-12-31","3")</f>
        <v>-12.087813560000001</v>
      </c>
      <c r="G1087" s="11">
        <f>[1]!EM_S_PQ_PCTCHANGE(B1087,"2018-12-31","2019-12-30","1")</f>
        <v>25.11737089</v>
      </c>
      <c r="H1087" s="11">
        <f>[1]!EM_S_FA_YOY_OR(B1087,E1087)</f>
        <v>-23.186527736199999</v>
      </c>
      <c r="I1087" s="11">
        <f>[1]!EM_S_FA_GROSSPROFITMARGIN(B1087,E1087)</f>
        <v>0</v>
      </c>
      <c r="J1087" s="11">
        <f>[1]!EM_S_FA_NETPROFITMARGIN(B1087,E1087)</f>
        <v>5.8107373782999998</v>
      </c>
      <c r="K1087" s="10">
        <f>[1]!EM_S_FA_ASSETSTURN(B1087,E1087)</f>
        <v>0</v>
      </c>
      <c r="L1087" s="12">
        <f>[1]!EM_HKS_VAL_MV(B1087,"2019-12-31","2")</f>
        <v>20738218952</v>
      </c>
      <c r="M1087">
        <f>[1]!EM_S_VAL_PETTMDEDUCTED(B1087,E1087)</f>
        <v>80.310321650062605</v>
      </c>
      <c r="N1087" s="7">
        <f>[1]!EM_S_VAL_PBGOODWILLDEDUCTED(B1087,E1087)</f>
        <v>1.6600340941310201</v>
      </c>
      <c r="O1087" s="7">
        <f>[1]!EM_S_VAL_PS_TTM(B1087,E1087)</f>
        <v>8.9274367660778804</v>
      </c>
      <c r="P1087" s="7">
        <f>[1]!EM_S_VAL_PCF_NCFTTM(B1087,E1087)</f>
        <v>-11.4088813319342</v>
      </c>
      <c r="Q1087" s="7">
        <f>[1]!EM_S_VAL_DIVIDENDYIELD2(B1087,E1087,"2019-11-29")</f>
        <v>0</v>
      </c>
      <c r="T1087"/>
      <c r="U1087">
        <f>[1]!EM_S_RATIO_EPS_TTM(B1087,E1087,"1")</f>
        <v>1.7003452177805901E-2</v>
      </c>
      <c r="AT1087" s="4" t="str">
        <f>[1]!EM_S_IPO_LISTEDDATE(B1087)</f>
        <v>2017-01-03</v>
      </c>
    </row>
    <row r="1088" spans="1:46">
      <c r="A1088">
        <v>3080</v>
      </c>
      <c r="B1088" t="str">
        <f>"601212"</f>
        <v>601212</v>
      </c>
      <c r="C1088" t="s">
        <v>2823</v>
      </c>
      <c r="D1088" t="str">
        <f>[1]!EM_S_INFO_INDEX_EM(B1088,"1")</f>
        <v>有色金属</v>
      </c>
      <c r="E1088" s="4">
        <f t="shared" si="16"/>
        <v>43465</v>
      </c>
      <c r="F1088" s="11">
        <f>[1]!EM_S_PQ_PCTCHANGE(B1088,"2018-01-01","2019-12-31","3")</f>
        <v>-45.427048480000003</v>
      </c>
      <c r="G1088" s="11">
        <f>[1]!EM_S_PQ_PCTCHANGE(B1088,"2018-12-31","2019-12-30","1")</f>
        <v>25.084745760000001</v>
      </c>
      <c r="H1088" s="11">
        <f>[1]!EM_S_FA_YOY_OR(B1088,E1088)</f>
        <v>9.3800039455000004</v>
      </c>
      <c r="I1088" s="11">
        <f>[1]!EM_S_FA_GROSSPROFITMARGIN(B1088,E1088)</f>
        <v>5.2326518353999996</v>
      </c>
      <c r="J1088" s="11">
        <f>[1]!EM_S_FA_NETPROFITMARGIN(B1088,E1088)</f>
        <v>0.36463349550000002</v>
      </c>
      <c r="K1088" s="10">
        <f>[1]!EM_S_FA_ASSETSTURN(B1088,E1088)</f>
        <v>1.3367868680049999</v>
      </c>
      <c r="L1088" s="12">
        <f>[1]!EM_HKS_VAL_MV(B1088,"2019-12-31","2")</f>
        <v>27249570200.48</v>
      </c>
      <c r="M1088">
        <f>[1]!EM_S_VAL_PETTMDEDUCTED(B1088,E1088)</f>
        <v>-62.827666091547499</v>
      </c>
      <c r="N1088" s="7">
        <f>[1]!EM_S_VAL_PBGOODWILLDEDUCTED(B1088,E1088)</f>
        <v>2.3241346076040101</v>
      </c>
      <c r="O1088" s="7">
        <f>[1]!EM_S_VAL_PS_TTM(B1088,E1088)</f>
        <v>0.42408817672899002</v>
      </c>
      <c r="P1088" s="7">
        <f>[1]!EM_S_VAL_PCF_NCFTTM(B1088,E1088)</f>
        <v>-13.341549806696399</v>
      </c>
      <c r="Q1088" s="7">
        <f>[1]!EM_S_VAL_DIVIDENDYIELD2(B1088,E1088,"2019-11-29")</f>
        <v>0</v>
      </c>
      <c r="T1088"/>
      <c r="U1088">
        <f>[1]!EM_S_RATIO_EPS_TTM(B1088,E1088,"1")</f>
        <v>3.7144457586658652E-3</v>
      </c>
      <c r="AT1088" s="4" t="str">
        <f>[1]!EM_S_IPO_LISTEDDATE(B1088)</f>
        <v>2017-02-15</v>
      </c>
    </row>
    <row r="1089" spans="1:46">
      <c r="A1089">
        <v>892</v>
      </c>
      <c r="B1089" t="str">
        <f>"002381"</f>
        <v>002381</v>
      </c>
      <c r="C1089" t="s">
        <v>2200</v>
      </c>
      <c r="D1089" t="str">
        <f>[1]!EM_S_INFO_INDEX_EM(B1089,"1")</f>
        <v>基础化工</v>
      </c>
      <c r="E1089" s="4">
        <f t="shared" si="16"/>
        <v>43465</v>
      </c>
      <c r="F1089" s="11">
        <f>[1]!EM_S_PQ_PCTCHANGE(B1089,"2018-01-01","2019-12-31","3")</f>
        <v>11.904777470000001</v>
      </c>
      <c r="G1089" s="11">
        <f>[1]!EM_S_PQ_PCTCHANGE(B1089,"2018-12-31","2019-12-30","1")</f>
        <v>25.074626869999999</v>
      </c>
      <c r="H1089" s="11">
        <f>[1]!EM_S_FA_YOY_OR(B1089,E1089)</f>
        <v>19.357686091800002</v>
      </c>
      <c r="I1089" s="11">
        <f>[1]!EM_S_FA_GROSSPROFITMARGIN(B1089,E1089)</f>
        <v>25.590871200799999</v>
      </c>
      <c r="J1089" s="11">
        <f>[1]!EM_S_FA_NETPROFITMARGIN(B1089,E1089)</f>
        <v>11.2654054982</v>
      </c>
      <c r="K1089" s="10">
        <f>[1]!EM_S_FA_ASSETSTURN(B1089,E1089)</f>
        <v>0.64622094057099999</v>
      </c>
      <c r="L1089" s="12">
        <f>[1]!EM_HKS_VAL_MV(B1089,"2019-12-31","2")</f>
        <v>3486017076.0799999</v>
      </c>
      <c r="M1089">
        <f>[1]!EM_S_VAL_PETTMDEDUCTED(B1089,E1089)</f>
        <v>24.076884361976099</v>
      </c>
      <c r="N1089" s="7">
        <f>[1]!EM_S_VAL_PBGOODWILLDEDUCTED(B1089,E1089)</f>
        <v>1.67803132767339</v>
      </c>
      <c r="O1089" s="7">
        <f>[1]!EM_S_VAL_PS_TTM(B1089,E1089)</f>
        <v>2.1578434647502198</v>
      </c>
      <c r="P1089" s="7">
        <f>[1]!EM_S_VAL_PCF_NCFTTM(B1089,E1089)</f>
        <v>24.613457601661299</v>
      </c>
      <c r="Q1089" s="7">
        <f>[1]!EM_S_VAL_DIVIDENDYIELD2(B1089,E1089,"2019-11-29")</f>
        <v>2.7148094868506791</v>
      </c>
      <c r="T1089"/>
      <c r="U1089">
        <f>[1]!EM_S_RATIO_EPS_TTM(B1089,E1089,"1")</f>
        <v>0.3649255677712952</v>
      </c>
      <c r="AT1089" s="4" t="str">
        <f>[1]!EM_S_IPO_LISTEDDATE(B1089)</f>
        <v>2010-04-02</v>
      </c>
    </row>
    <row r="1090" spans="1:46">
      <c r="A1090">
        <v>3202</v>
      </c>
      <c r="B1090" t="str">
        <f>"603002"</f>
        <v>603002</v>
      </c>
      <c r="C1090" t="s">
        <v>1516</v>
      </c>
      <c r="D1090" t="str">
        <f>[1]!EM_S_INFO_INDEX_EM(B1090,"1")</f>
        <v>电子设备</v>
      </c>
      <c r="E1090" s="4">
        <f t="shared" si="16"/>
        <v>43465</v>
      </c>
      <c r="F1090" s="11">
        <f>[1]!EM_S_PQ_PCTCHANGE(B1090,"2018-01-01","2019-12-31","3")</f>
        <v>-30.08822747</v>
      </c>
      <c r="G1090" s="11">
        <f>[1]!EM_S_PQ_PCTCHANGE(B1090,"2018-12-31","2019-12-30","1")</f>
        <v>25.072046109999999</v>
      </c>
      <c r="H1090" s="11">
        <f>[1]!EM_S_FA_YOY_OR(B1090,E1090)</f>
        <v>45.820968958000002</v>
      </c>
      <c r="I1090" s="11">
        <f>[1]!EM_S_FA_GROSSPROFITMARGIN(B1090,E1090)</f>
        <v>8.8630974076999998</v>
      </c>
      <c r="J1090" s="11">
        <f>[1]!EM_S_FA_NETPROFITMARGIN(B1090,E1090)</f>
        <v>2.7721233113000001</v>
      </c>
      <c r="K1090" s="10">
        <f>[1]!EM_S_FA_ASSETSTURN(B1090,E1090)</f>
        <v>0.99913335707999995</v>
      </c>
      <c r="L1090" s="12">
        <f>[1]!EM_HKS_VAL_MV(B1090,"2019-12-31","2")</f>
        <v>2617393842</v>
      </c>
      <c r="M1090">
        <f>[1]!EM_S_VAL_PETTMDEDUCTED(B1090,E1090)</f>
        <v>26.252442045380899</v>
      </c>
      <c r="N1090" s="7">
        <f>[1]!EM_S_VAL_PBGOODWILLDEDUCTED(B1090,E1090)</f>
        <v>1.9205380204945499</v>
      </c>
      <c r="O1090" s="7">
        <f>[1]!EM_S_VAL_PS_TTM(B1090,E1090)</f>
        <v>1.21820540828752</v>
      </c>
      <c r="P1090" s="7">
        <f>[1]!EM_S_VAL_PCF_NCFTTM(B1090,E1090)</f>
        <v>65.701543918883601</v>
      </c>
      <c r="Q1090" s="7">
        <f>[1]!EM_S_VAL_DIVIDENDYIELD2(B1090,E1090,"2019-11-29")</f>
        <v>1.0567010309278349</v>
      </c>
      <c r="T1090"/>
      <c r="U1090">
        <f>[1]!EM_S_RATIO_EPS_TTM(B1090,E1090,"1")</f>
        <v>8.1390923594065662E-2</v>
      </c>
      <c r="AT1090" s="4" t="str">
        <f>[1]!EM_S_IPO_LISTEDDATE(B1090)</f>
        <v>2012-05-18</v>
      </c>
    </row>
    <row r="1091" spans="1:46">
      <c r="A1091">
        <v>2035</v>
      </c>
      <c r="B1091" t="str">
        <f>"300616"</f>
        <v>300616</v>
      </c>
      <c r="C1091" t="s">
        <v>3429</v>
      </c>
      <c r="D1091" t="str">
        <f>[1]!EM_S_INFO_INDEX_EM(B1091,"1")</f>
        <v>轻工制造</v>
      </c>
      <c r="E1091" s="4">
        <f t="shared" ref="E1091:E1154" si="17">$B$1</f>
        <v>43465</v>
      </c>
      <c r="F1091" s="11">
        <f>[1]!EM_S_PQ_PCTCHANGE(B1091,"2018-01-01","2019-12-31","3")</f>
        <v>-14.073189599999999</v>
      </c>
      <c r="G1091" s="11">
        <f>[1]!EM_S_PQ_PCTCHANGE(B1091,"2018-12-31","2019-12-30","1")</f>
        <v>25.061708079999999</v>
      </c>
      <c r="H1091" s="11">
        <f>[1]!EM_S_FA_YOY_OR(B1091,E1091)</f>
        <v>24.8323752258</v>
      </c>
      <c r="I1091" s="11">
        <f>[1]!EM_S_FA_GROSSPROFITMARGIN(B1091,E1091)</f>
        <v>43.681705577099997</v>
      </c>
      <c r="J1091" s="11">
        <f>[1]!EM_S_FA_NETPROFITMARGIN(B1091,E1091)</f>
        <v>7.1791863031999998</v>
      </c>
      <c r="K1091" s="10">
        <f>[1]!EM_S_FA_ASSETSTURN(B1091,E1091)</f>
        <v>1.3441836219629999</v>
      </c>
      <c r="L1091" s="12">
        <f>[1]!EM_HKS_VAL_MV(B1091,"2019-12-31","2")</f>
        <v>14805529272</v>
      </c>
      <c r="M1091">
        <f>[1]!EM_S_VAL_PETTMDEDUCTED(B1091,E1091)</f>
        <v>35.000509941812098</v>
      </c>
      <c r="N1091" s="7">
        <f>[1]!EM_S_VAL_PBGOODWILLDEDUCTED(B1091,E1091)</f>
        <v>3.9627336734190699</v>
      </c>
      <c r="O1091" s="7">
        <f>[1]!EM_S_VAL_PS_TTM(B1091,E1091)</f>
        <v>1.8945504974068399</v>
      </c>
      <c r="P1091" s="7">
        <f>[1]!EM_S_VAL_PCF_NCFTTM(B1091,E1091)</f>
        <v>-16.713010119643702</v>
      </c>
      <c r="Q1091" s="7">
        <f>[1]!EM_S_VAL_DIVIDENDYIELD2(B1091,E1091,"2019-11-29")</f>
        <v>0.9002250562640659</v>
      </c>
      <c r="T1091"/>
      <c r="U1091">
        <f>[1]!EM_S_RATIO_EPS_TTM(B1091,E1091,"1")</f>
        <v>2.401241005372496</v>
      </c>
      <c r="AT1091" s="4" t="str">
        <f>[1]!EM_S_IPO_LISTEDDATE(B1091)</f>
        <v>2017-03-07</v>
      </c>
    </row>
    <row r="1092" spans="1:46">
      <c r="A1092">
        <v>1580</v>
      </c>
      <c r="B1092" t="str">
        <f>"300155"</f>
        <v>300155</v>
      </c>
      <c r="C1092" t="s">
        <v>3254</v>
      </c>
      <c r="D1092" t="str">
        <f>[1]!EM_S_INFO_INDEX_EM(B1092,"1")</f>
        <v>电子设备</v>
      </c>
      <c r="E1092" s="4">
        <f t="shared" si="17"/>
        <v>43465</v>
      </c>
      <c r="F1092" s="11">
        <f>[1]!EM_S_PQ_PCTCHANGE(B1092,"2018-01-01","2019-12-31","3")</f>
        <v>-4.8947582699999996</v>
      </c>
      <c r="G1092" s="11">
        <f>[1]!EM_S_PQ_PCTCHANGE(B1092,"2018-12-31","2019-12-30","1")</f>
        <v>25.059101649999999</v>
      </c>
      <c r="H1092" s="11">
        <f>[1]!EM_S_FA_YOY_OR(B1092,E1092)</f>
        <v>8.7425325469999997</v>
      </c>
      <c r="I1092" s="11">
        <f>[1]!EM_S_FA_GROSSPROFITMARGIN(B1092,E1092)</f>
        <v>35.060377493200001</v>
      </c>
      <c r="J1092" s="11">
        <f>[1]!EM_S_FA_NETPROFITMARGIN(B1092,E1092)</f>
        <v>3.1474622586000001</v>
      </c>
      <c r="K1092" s="10">
        <f>[1]!EM_S_FA_ASSETSTURN(B1092,E1092)</f>
        <v>0.594204305888</v>
      </c>
      <c r="L1092" s="12">
        <f>[1]!EM_HKS_VAL_MV(B1092,"2019-12-31","2")</f>
        <v>2923333838.7600002</v>
      </c>
      <c r="M1092">
        <f>[1]!EM_S_VAL_PETTMDEDUCTED(B1092,E1092)</f>
        <v>109.70251739069801</v>
      </c>
      <c r="N1092" s="7">
        <f>[1]!EM_S_VAL_PBGOODWILLDEDUCTED(B1092,E1092)</f>
        <v>2.0766159095198899</v>
      </c>
      <c r="O1092" s="7">
        <f>[1]!EM_S_VAL_PS_TTM(B1092,E1092)</f>
        <v>2.80500245194292</v>
      </c>
      <c r="P1092" s="7">
        <f>[1]!EM_S_VAL_PCF_NCFTTM(B1092,E1092)</f>
        <v>1974.97354913912</v>
      </c>
      <c r="Q1092" s="7">
        <f>[1]!EM_S_VAL_DIVIDENDYIELD2(B1092,E1092,"2019-11-29")</f>
        <v>0.30991735537190085</v>
      </c>
      <c r="T1092"/>
      <c r="U1092">
        <f>[1]!EM_S_RATIO_EPS_TTM(B1092,E1092,"1")</f>
        <v>5.0196499073757402E-2</v>
      </c>
      <c r="AT1092" s="4" t="str">
        <f>[1]!EM_S_IPO_LISTEDDATE(B1092)</f>
        <v>2011-01-07</v>
      </c>
    </row>
    <row r="1093" spans="1:46">
      <c r="A1093">
        <v>1773</v>
      </c>
      <c r="B1093" t="str">
        <f>"300348"</f>
        <v>300348</v>
      </c>
      <c r="C1093" t="s">
        <v>2840</v>
      </c>
      <c r="D1093" t="str">
        <f>[1]!EM_S_INFO_INDEX_EM(B1093,"1")</f>
        <v>信息技术</v>
      </c>
      <c r="E1093" s="4">
        <f t="shared" si="17"/>
        <v>43465</v>
      </c>
      <c r="F1093" s="11">
        <f>[1]!EM_S_PQ_PCTCHANGE(B1093,"2018-01-01","2019-12-31","3")</f>
        <v>110.38536129000001</v>
      </c>
      <c r="G1093" s="11">
        <f>[1]!EM_S_PQ_PCTCHANGE(B1093,"2018-12-31","2019-12-30","1")</f>
        <v>24.954351800000001</v>
      </c>
      <c r="H1093" s="11">
        <f>[1]!EM_S_FA_YOY_OR(B1093,E1093)</f>
        <v>23.628035432200001</v>
      </c>
      <c r="I1093" s="11">
        <f>[1]!EM_S_FA_GROSSPROFITMARGIN(B1093,E1093)</f>
        <v>50.7480287558</v>
      </c>
      <c r="J1093" s="11">
        <f>[1]!EM_S_FA_NETPROFITMARGIN(B1093,E1093)</f>
        <v>5.3462039808000004</v>
      </c>
      <c r="K1093" s="10">
        <f>[1]!EM_S_FA_ASSETSTURN(B1093,E1093)</f>
        <v>0.66100144090500002</v>
      </c>
      <c r="L1093" s="12">
        <f>[1]!EM_HKS_VAL_MV(B1093,"2019-12-31","2")</f>
        <v>10079470827.48</v>
      </c>
      <c r="M1093">
        <f>[1]!EM_S_VAL_PETTMDEDUCTED(B1093,E1093)</f>
        <v>59.196488375032402</v>
      </c>
      <c r="N1093" s="7">
        <f>[1]!EM_S_VAL_PBGOODWILLDEDUCTED(B1093,E1093)</f>
        <v>4.8012821470574902</v>
      </c>
      <c r="O1093" s="7">
        <f>[1]!EM_S_VAL_PS_TTM(B1093,E1093)</f>
        <v>5.3314440424902596</v>
      </c>
      <c r="P1093" s="7">
        <f>[1]!EM_S_VAL_PCF_NCFTTM(B1093,E1093)</f>
        <v>44.977930965526703</v>
      </c>
      <c r="Q1093" s="7">
        <f>[1]!EM_S_VAL_DIVIDENDYIELD2(B1093,E1093,"2019-11-29")</f>
        <v>0.58360937647543976</v>
      </c>
      <c r="T1093"/>
      <c r="U1093">
        <f>[1]!EM_S_RATIO_EPS_TTM(B1093,E1093,"1")</f>
        <v>0.17558630471364403</v>
      </c>
      <c r="AT1093" s="4" t="str">
        <f>[1]!EM_S_IPO_LISTEDDATE(B1093)</f>
        <v>2012-08-17</v>
      </c>
    </row>
    <row r="1094" spans="1:46">
      <c r="A1094">
        <v>1908</v>
      </c>
      <c r="B1094" t="str">
        <f>"300483"</f>
        <v>300483</v>
      </c>
      <c r="C1094" t="s">
        <v>1841</v>
      </c>
      <c r="D1094" t="str">
        <f>[1]!EM_S_INFO_INDEX_EM(B1094,"1")</f>
        <v>建筑</v>
      </c>
      <c r="E1094" s="4">
        <f t="shared" si="17"/>
        <v>43465</v>
      </c>
      <c r="F1094" s="11">
        <f>[1]!EM_S_PQ_PCTCHANGE(B1094,"2018-01-01","2019-12-31","3")</f>
        <v>17.2153296</v>
      </c>
      <c r="G1094" s="11">
        <f>[1]!EM_S_PQ_PCTCHANGE(B1094,"2018-12-31","2019-12-30","1")</f>
        <v>24.951330299999999</v>
      </c>
      <c r="H1094" s="11">
        <f>[1]!EM_S_FA_YOY_OR(B1094,E1094)</f>
        <v>-12.0275551966</v>
      </c>
      <c r="I1094" s="11">
        <f>[1]!EM_S_FA_GROSSPROFITMARGIN(B1094,E1094)</f>
        <v>20.777297430899999</v>
      </c>
      <c r="J1094" s="11">
        <f>[1]!EM_S_FA_NETPROFITMARGIN(B1094,E1094)</f>
        <v>11.67865937</v>
      </c>
      <c r="K1094" s="10">
        <f>[1]!EM_S_FA_ASSETSTURN(B1094,E1094)</f>
        <v>9.6189615278999996E-2</v>
      </c>
      <c r="L1094" s="12">
        <f>[1]!EM_HKS_VAL_MV(B1094,"2019-12-31","2")</f>
        <v>3956246345.5999999</v>
      </c>
      <c r="M1094">
        <f>[1]!EM_S_VAL_PETTMDEDUCTED(B1094,E1094)</f>
        <v>-321.23131338566998</v>
      </c>
      <c r="N1094" s="7">
        <f>[1]!EM_S_VAL_PBGOODWILLDEDUCTED(B1094,E1094)</f>
        <v>1.82022381262458</v>
      </c>
      <c r="O1094" s="7">
        <f>[1]!EM_S_VAL_PS_TTM(B1094,E1094)</f>
        <v>5.8246968048609</v>
      </c>
      <c r="P1094" s="7">
        <f>[1]!EM_S_VAL_PCF_NCFTTM(B1094,E1094)</f>
        <v>-10.5739867327719</v>
      </c>
      <c r="Q1094" s="7">
        <f>[1]!EM_S_VAL_DIVIDENDYIELD2(B1094,E1094,"2019-11-29")</f>
        <v>0</v>
      </c>
      <c r="T1094"/>
      <c r="U1094">
        <f>[1]!EM_S_RATIO_EPS_TTM(B1094,E1094,"1")</f>
        <v>9.1265758536585376E-2</v>
      </c>
      <c r="AT1094" s="4" t="str">
        <f>[1]!EM_S_IPO_LISTEDDATE(B1094)</f>
        <v>2015-06-30</v>
      </c>
    </row>
    <row r="1095" spans="1:46">
      <c r="A1095">
        <v>3397</v>
      </c>
      <c r="B1095" t="str">
        <f>"603399"</f>
        <v>603399</v>
      </c>
      <c r="C1095" t="s">
        <v>1381</v>
      </c>
      <c r="D1095" t="str">
        <f>[1]!EM_S_INFO_INDEX_EM(B1095,"1")</f>
        <v>有色金属</v>
      </c>
      <c r="E1095" s="4">
        <f t="shared" si="17"/>
        <v>43465</v>
      </c>
      <c r="F1095" s="11">
        <f>[1]!EM_S_PQ_PCTCHANGE(B1095,"2018-01-01","2019-12-31","3")</f>
        <v>-11.03864613</v>
      </c>
      <c r="G1095" s="11">
        <f>[1]!EM_S_PQ_PCTCHANGE(B1095,"2018-12-31","2019-12-30","1")</f>
        <v>24.9490835</v>
      </c>
      <c r="H1095" s="11">
        <f>[1]!EM_S_FA_YOY_OR(B1095,E1095)</f>
        <v>69.646859350100002</v>
      </c>
      <c r="I1095" s="11">
        <f>[1]!EM_S_FA_GROSSPROFITMARGIN(B1095,E1095)</f>
        <v>10.953350933299999</v>
      </c>
      <c r="J1095" s="11">
        <f>[1]!EM_S_FA_NETPROFITMARGIN(B1095,E1095)</f>
        <v>5.0818968214</v>
      </c>
      <c r="K1095" s="10">
        <f>[1]!EM_S_FA_ASSETSTURN(B1095,E1095)</f>
        <v>0.87237509237400002</v>
      </c>
      <c r="L1095" s="12">
        <f>[1]!EM_HKS_VAL_MV(B1095,"2019-12-31","2")</f>
        <v>7381133761.5</v>
      </c>
      <c r="M1095">
        <f>[1]!EM_S_VAL_PETTMDEDUCTED(B1095,E1095)</f>
        <v>49.4269375686603</v>
      </c>
      <c r="N1095" s="7">
        <f>[1]!EM_S_VAL_PBGOODWILLDEDUCTED(B1095,E1095)</f>
        <v>2.2593286792008498</v>
      </c>
      <c r="O1095" s="7">
        <f>[1]!EM_S_VAL_PS_TTM(B1095,E1095)</f>
        <v>1.5993346904399599</v>
      </c>
      <c r="P1095" s="7">
        <f>[1]!EM_S_VAL_PCF_NCFTTM(B1095,E1095)</f>
        <v>-31.162257382349999</v>
      </c>
      <c r="Q1095" s="7">
        <f>[1]!EM_S_VAL_DIVIDENDYIELD2(B1095,E1095,"2019-11-29")</f>
        <v>0.19102196752626555</v>
      </c>
      <c r="T1095"/>
      <c r="U1095">
        <f>[1]!EM_S_RATIO_EPS_TTM(B1095,E1095,"1")</f>
        <v>0.34872446916839417</v>
      </c>
      <c r="AT1095" s="4" t="str">
        <f>[1]!EM_S_IPO_LISTEDDATE(B1095)</f>
        <v>2012-08-24</v>
      </c>
    </row>
    <row r="1096" spans="1:46">
      <c r="A1096">
        <v>3551</v>
      </c>
      <c r="B1096" t="str">
        <f>"603818"</f>
        <v>603818</v>
      </c>
      <c r="C1096" t="s">
        <v>1554</v>
      </c>
      <c r="D1096" t="str">
        <f>[1]!EM_S_INFO_INDEX_EM(B1096,"1")</f>
        <v>轻工制造</v>
      </c>
      <c r="E1096" s="4">
        <f t="shared" si="17"/>
        <v>43465</v>
      </c>
      <c r="F1096" s="11">
        <f>[1]!EM_S_PQ_PCTCHANGE(B1096,"2018-01-01","2019-12-31","3")</f>
        <v>-42.084433480000001</v>
      </c>
      <c r="G1096" s="11">
        <f>[1]!EM_S_PQ_PCTCHANGE(B1096,"2018-12-31","2019-12-30","1")</f>
        <v>24.925373130000001</v>
      </c>
      <c r="H1096" s="11">
        <f>[1]!EM_S_FA_YOY_OR(B1096,E1096)</f>
        <v>37.882294282300002</v>
      </c>
      <c r="I1096" s="11">
        <f>[1]!EM_S_FA_GROSSPROFITMARGIN(B1096,E1096)</f>
        <v>42.4094856846</v>
      </c>
      <c r="J1096" s="11">
        <f>[1]!EM_S_FA_NETPROFITMARGIN(B1096,E1096)</f>
        <v>-1.9632911447000001</v>
      </c>
      <c r="K1096" s="10">
        <f>[1]!EM_S_FA_ASSETSTURN(B1096,E1096)</f>
        <v>0.61587018963399998</v>
      </c>
      <c r="L1096" s="12">
        <f>[1]!EM_HKS_VAL_MV(B1096,"2019-12-31","2")</f>
        <v>4085339720</v>
      </c>
      <c r="M1096">
        <f>[1]!EM_S_VAL_PETTMDEDUCTED(B1096,E1096)</f>
        <v>22.3994071030383</v>
      </c>
      <c r="N1096" s="7">
        <f>[1]!EM_S_VAL_PBGOODWILLDEDUCTED(B1096,E1096)</f>
        <v>43.009011762646502</v>
      </c>
      <c r="O1096" s="7">
        <f>[1]!EM_S_VAL_PS_TTM(B1096,E1096)</f>
        <v>1.3984090279141901</v>
      </c>
      <c r="P1096" s="7">
        <f>[1]!EM_S_VAL_PCF_NCFTTM(B1096,E1096)</f>
        <v>-27.0296423805739</v>
      </c>
      <c r="Q1096" s="7">
        <f>[1]!EM_S_VAL_DIVIDENDYIELD2(B1096,E1096,"2019-11-29")</f>
        <v>0</v>
      </c>
      <c r="T1096"/>
      <c r="U1096">
        <f>[1]!EM_S_RATIO_EPS_TTM(B1096,E1096,"1")</f>
        <v>-0.12020801184491706</v>
      </c>
      <c r="AT1096" s="4" t="str">
        <f>[1]!EM_S_IPO_LISTEDDATE(B1096)</f>
        <v>2015-04-22</v>
      </c>
    </row>
    <row r="1097" spans="1:46">
      <c r="A1097">
        <v>2848</v>
      </c>
      <c r="B1097" t="str">
        <f>"600775"</f>
        <v>600775</v>
      </c>
      <c r="C1097" t="s">
        <v>2442</v>
      </c>
      <c r="D1097" t="str">
        <f>[1]!EM_S_INFO_INDEX_EM(B1097,"1")</f>
        <v>信息技术</v>
      </c>
      <c r="E1097" s="4">
        <f t="shared" si="17"/>
        <v>43465</v>
      </c>
      <c r="F1097" s="11">
        <f>[1]!EM_S_PQ_PCTCHANGE(B1097,"2018-01-01","2019-12-31","3")</f>
        <v>31.473211450000001</v>
      </c>
      <c r="G1097" s="11">
        <f>[1]!EM_S_PQ_PCTCHANGE(B1097,"2018-12-31","2019-12-30","1")</f>
        <v>24.907521580000001</v>
      </c>
      <c r="H1097" s="11">
        <f>[1]!EM_S_FA_YOY_OR(B1097,E1097)</f>
        <v>7.3612112918000001</v>
      </c>
      <c r="I1097" s="11">
        <f>[1]!EM_S_FA_GROSSPROFITMARGIN(B1097,E1097)</f>
        <v>16.067018274399999</v>
      </c>
      <c r="J1097" s="11">
        <f>[1]!EM_S_FA_NETPROFITMARGIN(B1097,E1097)</f>
        <v>4.7224493568000003</v>
      </c>
      <c r="K1097" s="10">
        <f>[1]!EM_S_FA_ASSETSTURN(B1097,E1097)</f>
        <v>0.75957116040399997</v>
      </c>
      <c r="L1097" s="12">
        <f>[1]!EM_HKS_VAL_MV(B1097,"2019-12-31","2")</f>
        <v>9284599454.6399994</v>
      </c>
      <c r="M1097">
        <f>[1]!EM_S_VAL_PETTMDEDUCTED(B1097,E1097)</f>
        <v>67.965246998885405</v>
      </c>
      <c r="N1097" s="7">
        <f>[1]!EM_S_VAL_PBGOODWILLDEDUCTED(B1097,E1097)</f>
        <v>2.13677157995695</v>
      </c>
      <c r="O1097" s="7">
        <f>[1]!EM_S_VAL_PS_TTM(B1097,E1097)</f>
        <v>1.6773413094548399</v>
      </c>
      <c r="P1097" s="7">
        <f>[1]!EM_S_VAL_PCF_NCFTTM(B1097,E1097)</f>
        <v>15.589442866346801</v>
      </c>
      <c r="Q1097" s="7">
        <f>[1]!EM_S_VAL_DIVIDENDYIELD2(B1097,E1097,"2019-11-29")</f>
        <v>0.83420229405630864</v>
      </c>
      <c r="T1097"/>
      <c r="U1097">
        <f>[1]!EM_S_RATIO_EPS_TTM(B1097,E1097,"1")</f>
        <v>0.17722996277824918</v>
      </c>
      <c r="AT1097" s="4" t="str">
        <f>[1]!EM_S_IPO_LISTEDDATE(B1097)</f>
        <v>1996-11-18</v>
      </c>
    </row>
    <row r="1098" spans="1:46">
      <c r="A1098">
        <v>912</v>
      </c>
      <c r="B1098" t="str">
        <f>"002401"</f>
        <v>002401</v>
      </c>
      <c r="C1098" t="s">
        <v>823</v>
      </c>
      <c r="D1098" t="str">
        <f>[1]!EM_S_INFO_INDEX_EM(B1098,"1")</f>
        <v>信息技术</v>
      </c>
      <c r="E1098" s="4">
        <f t="shared" si="17"/>
        <v>43465</v>
      </c>
      <c r="F1098" s="11">
        <f>[1]!EM_S_PQ_PCTCHANGE(B1098,"2018-01-01","2019-12-31","3")</f>
        <v>-4.7976548499999998</v>
      </c>
      <c r="G1098" s="11">
        <f>[1]!EM_S_PQ_PCTCHANGE(B1098,"2018-12-31","2019-12-30","1")</f>
        <v>24.860646599999999</v>
      </c>
      <c r="H1098" s="11">
        <f>[1]!EM_S_FA_YOY_OR(B1098,E1098)</f>
        <v>6.8753167057000004</v>
      </c>
      <c r="I1098" s="11">
        <f>[1]!EM_S_FA_GROSSPROFITMARGIN(B1098,E1098)</f>
        <v>21.616930550100001</v>
      </c>
      <c r="J1098" s="11">
        <f>[1]!EM_S_FA_NETPROFITMARGIN(B1098,E1098)</f>
        <v>9.1884992747999998</v>
      </c>
      <c r="K1098" s="10">
        <f>[1]!EM_S_FA_ASSETSTURN(B1098,E1098)</f>
        <v>0.47986720657900001</v>
      </c>
      <c r="L1098" s="12">
        <f>[1]!EM_HKS_VAL_MV(B1098,"2019-12-31","2")</f>
        <v>3426612000</v>
      </c>
      <c r="M1098">
        <f>[1]!EM_S_VAL_PETTMDEDUCTED(B1098,E1098)</f>
        <v>51.755321222461397</v>
      </c>
      <c r="N1098" s="7">
        <f>[1]!EM_S_VAL_PBGOODWILLDEDUCTED(B1098,E1098)</f>
        <v>3.11424110326494</v>
      </c>
      <c r="O1098" s="7">
        <f>[1]!EM_S_VAL_PS_TTM(B1098,E1098)</f>
        <v>2.7385173066452002</v>
      </c>
      <c r="P1098" s="7">
        <f>[1]!EM_S_VAL_PCF_NCFTTM(B1098,E1098)</f>
        <v>-14.879204612137</v>
      </c>
      <c r="Q1098" s="7">
        <f>[1]!EM_S_VAL_DIVIDENDYIELD2(B1098,E1098,"2019-11-29")</f>
        <v>0.46992481203007519</v>
      </c>
      <c r="T1098"/>
      <c r="U1098">
        <f>[1]!EM_S_RATIO_EPS_TTM(B1098,E1098,"1")</f>
        <v>0.27433733880754518</v>
      </c>
      <c r="AT1098" s="4" t="str">
        <f>[1]!EM_S_IPO_LISTEDDATE(B1098)</f>
        <v>2010-05-06</v>
      </c>
    </row>
    <row r="1099" spans="1:46">
      <c r="A1099">
        <v>960</v>
      </c>
      <c r="B1099" t="str">
        <f>"002449"</f>
        <v>002449</v>
      </c>
      <c r="C1099" t="s">
        <v>1055</v>
      </c>
      <c r="D1099" t="str">
        <f>[1]!EM_S_INFO_INDEX_EM(B1099,"1")</f>
        <v>电子设备</v>
      </c>
      <c r="E1099" s="4">
        <f t="shared" si="17"/>
        <v>43465</v>
      </c>
      <c r="F1099" s="11">
        <f>[1]!EM_S_PQ_PCTCHANGE(B1099,"2018-01-01","2019-12-31","3")</f>
        <v>-4.782231E-2</v>
      </c>
      <c r="G1099" s="11">
        <f>[1]!EM_S_PQ_PCTCHANGE(B1099,"2018-12-31","2019-12-30","1")</f>
        <v>24.85549133</v>
      </c>
      <c r="H1099" s="11">
        <f>[1]!EM_S_FA_YOY_OR(B1099,E1099)</f>
        <v>4.4404029968999996</v>
      </c>
      <c r="I1099" s="11">
        <f>[1]!EM_S_FA_GROSSPROFITMARGIN(B1099,E1099)</f>
        <v>24.442512691699999</v>
      </c>
      <c r="J1099" s="11">
        <f>[1]!EM_S_FA_NETPROFITMARGIN(B1099,E1099)</f>
        <v>11.9589456508</v>
      </c>
      <c r="K1099" s="10">
        <f>[1]!EM_S_FA_ASSETSTURN(B1099,E1099)</f>
        <v>0.58598348446799997</v>
      </c>
      <c r="L1099" s="12">
        <f>[1]!EM_HKS_VAL_MV(B1099,"2019-12-31","2")</f>
        <v>7910322991.5100002</v>
      </c>
      <c r="M1099">
        <f>[1]!EM_S_VAL_PETTMDEDUCTED(B1099,E1099)</f>
        <v>15.2144701862488</v>
      </c>
      <c r="N1099" s="7">
        <f>[1]!EM_S_VAL_PBGOODWILLDEDUCTED(B1099,E1099)</f>
        <v>1.8631429575362199</v>
      </c>
      <c r="O1099" s="7">
        <f>[1]!EM_S_VAL_PS_TTM(B1099,E1099)</f>
        <v>1.7416293330478301</v>
      </c>
      <c r="P1099" s="7">
        <f>[1]!EM_S_VAL_PCF_NCFTTM(B1099,E1099)</f>
        <v>-64.395458400502804</v>
      </c>
      <c r="Q1099" s="7">
        <f>[1]!EM_S_VAL_DIVIDENDYIELD2(B1099,E1099,"2019-11-29")</f>
        <v>2.9041626331074535</v>
      </c>
      <c r="T1099"/>
      <c r="U1099">
        <f>[1]!EM_S_RATIO_EPS_TTM(B1099,E1099,"1")</f>
        <v>0.72037361416327395</v>
      </c>
      <c r="AT1099" s="4" t="str">
        <f>[1]!EM_S_IPO_LISTEDDATE(B1099)</f>
        <v>2010-07-16</v>
      </c>
    </row>
    <row r="1100" spans="1:46">
      <c r="A1100">
        <v>2294</v>
      </c>
      <c r="B1100" t="str">
        <f>"600153"</f>
        <v>600153</v>
      </c>
      <c r="C1100" t="s">
        <v>1092</v>
      </c>
      <c r="D1100" t="str">
        <f>[1]!EM_S_INFO_INDEX_EM(B1100,"1")</f>
        <v>交通运输</v>
      </c>
      <c r="E1100" s="4">
        <f t="shared" si="17"/>
        <v>43465</v>
      </c>
      <c r="F1100" s="11">
        <f>[1]!EM_S_PQ_PCTCHANGE(B1100,"2018-01-01","2019-12-31","3")</f>
        <v>-12.581743919999999</v>
      </c>
      <c r="G1100" s="11">
        <f>[1]!EM_S_PQ_PCTCHANGE(B1100,"2018-12-31","2019-12-30","1")</f>
        <v>24.822695039999999</v>
      </c>
      <c r="H1100" s="11">
        <f>[1]!EM_S_FA_YOY_OR(B1100,E1100)</f>
        <v>28.261554937500001</v>
      </c>
      <c r="I1100" s="11">
        <f>[1]!EM_S_FA_GROSSPROFITMARGIN(B1100,E1100)</f>
        <v>8.1052856004000002</v>
      </c>
      <c r="J1100" s="11">
        <f>[1]!EM_S_FA_NETPROFITMARGIN(B1100,E1100)</f>
        <v>2.7218343291</v>
      </c>
      <c r="K1100" s="10">
        <f>[1]!EM_S_FA_ASSETSTURN(B1100,E1100)</f>
        <v>1.4277909203879999</v>
      </c>
      <c r="L1100" s="12">
        <f>[1]!EM_HKS_VAL_MV(B1100,"2019-12-31","2")</f>
        <v>25488452764.700001</v>
      </c>
      <c r="M1100">
        <f>[1]!EM_S_VAL_PETTMDEDUCTED(B1100,E1100)</f>
        <v>7.6535115495047901</v>
      </c>
      <c r="N1100" s="7">
        <f>[1]!EM_S_VAL_PBGOODWILLDEDUCTED(B1100,E1100)</f>
        <v>0.73135182081137096</v>
      </c>
      <c r="O1100" s="7">
        <f>[1]!EM_S_VAL_PS_TTM(B1100,E1100)</f>
        <v>7.7570188918915997E-2</v>
      </c>
      <c r="P1100" s="7">
        <f>[1]!EM_S_VAL_PCF_NCFTTM(B1100,E1100)</f>
        <v>2.26894625079301</v>
      </c>
      <c r="Q1100" s="7">
        <f>[1]!EM_S_VAL_DIVIDENDYIELD2(B1100,E1100,"2019-11-29")</f>
        <v>6.25</v>
      </c>
      <c r="T1100"/>
      <c r="U1100">
        <f>[1]!EM_S_RATIO_EPS_TTM(B1100,E1100,"1")</f>
        <v>1.647863541052597</v>
      </c>
      <c r="AT1100" s="4" t="str">
        <f>[1]!EM_S_IPO_LISTEDDATE(B1100)</f>
        <v>1998-06-16</v>
      </c>
    </row>
    <row r="1101" spans="1:46">
      <c r="A1101">
        <v>1547</v>
      </c>
      <c r="B1101" t="str">
        <f>"300122"</f>
        <v>300122</v>
      </c>
      <c r="C1101" t="s">
        <v>114</v>
      </c>
      <c r="D1101" t="str">
        <f>[1]!EM_S_INFO_INDEX_EM(B1101,"1")</f>
        <v>医药生物</v>
      </c>
      <c r="E1101" s="4">
        <f t="shared" si="17"/>
        <v>43465</v>
      </c>
      <c r="F1101" s="11">
        <f>[1]!EM_S_PQ_PCTCHANGE(B1101,"2018-01-01","2019-12-31","3")</f>
        <v>79.537829799999997</v>
      </c>
      <c r="G1101" s="11">
        <f>[1]!EM_S_PQ_PCTCHANGE(B1101,"2018-12-31","2019-12-30","1")</f>
        <v>24.793601649999999</v>
      </c>
      <c r="H1101" s="11">
        <f>[1]!EM_S_FA_YOY_OR(B1101,E1101)</f>
        <v>289.4257321819</v>
      </c>
      <c r="I1101" s="11">
        <f>[1]!EM_S_FA_GROSSPROFITMARGIN(B1101,E1101)</f>
        <v>54.766818004699999</v>
      </c>
      <c r="J1101" s="11">
        <f>[1]!EM_S_FA_NETPROFITMARGIN(B1101,E1101)</f>
        <v>27.7597762718</v>
      </c>
      <c r="K1101" s="10">
        <f>[1]!EM_S_FA_ASSETSTURN(B1101,E1101)</f>
        <v>0.95790979705000001</v>
      </c>
      <c r="L1101" s="12">
        <f>[1]!EM_HKS_VAL_MV(B1101,"2019-12-31","2")</f>
        <v>79456000000</v>
      </c>
      <c r="M1101">
        <f>[1]!EM_S_VAL_PETTMDEDUCTED(B1101,E1101)</f>
        <v>49.684959744993698</v>
      </c>
      <c r="N1101" s="7">
        <f>[1]!EM_S_VAL_PBGOODWILLDEDUCTED(B1101,E1101)</f>
        <v>14.9018898883291</v>
      </c>
      <c r="O1101" s="7">
        <f>[1]!EM_S_VAL_PS_TTM(B1101,E1101)</f>
        <v>15.2433647139892</v>
      </c>
      <c r="P1101" s="7">
        <f>[1]!EM_S_VAL_PCF_NCFTTM(B1101,E1101)</f>
        <v>-1040.65904771029</v>
      </c>
      <c r="Q1101" s="7">
        <f>[1]!EM_S_VAL_DIVIDENDYIELD2(B1101,E1101,"2019-11-29")</f>
        <v>1.1286681715575622</v>
      </c>
      <c r="T1101"/>
      <c r="U1101">
        <f>[1]!EM_S_RATIO_EPS_TTM(B1101,E1101,"1")</f>
        <v>0.9071040800875001</v>
      </c>
      <c r="AT1101" s="4" t="str">
        <f>[1]!EM_S_IPO_LISTEDDATE(B1101)</f>
        <v>2010-09-28</v>
      </c>
    </row>
    <row r="1102" spans="1:46">
      <c r="A1102">
        <v>3053</v>
      </c>
      <c r="B1102" t="str">
        <f>"601111"</f>
        <v>601111</v>
      </c>
      <c r="C1102" t="s">
        <v>807</v>
      </c>
      <c r="D1102" t="str">
        <f>[1]!EM_S_INFO_INDEX_EM(B1102,"1")</f>
        <v>交通运输</v>
      </c>
      <c r="E1102" s="4">
        <f t="shared" si="17"/>
        <v>43465</v>
      </c>
      <c r="F1102" s="11">
        <f>[1]!EM_S_PQ_PCTCHANGE(B1102,"2018-01-01","2019-12-31","3")</f>
        <v>-19.384092460000002</v>
      </c>
      <c r="G1102" s="11">
        <f>[1]!EM_S_PQ_PCTCHANGE(B1102,"2018-12-31","2019-12-30","1")</f>
        <v>24.738219900000001</v>
      </c>
      <c r="H1102" s="11">
        <f>[1]!EM_S_FA_YOY_OR(B1102,E1102)</f>
        <v>12.698694680999999</v>
      </c>
      <c r="I1102" s="11">
        <f>[1]!EM_S_FA_GROSSPROFITMARGIN(B1102,E1102)</f>
        <v>15.8235660513</v>
      </c>
      <c r="J1102" s="11">
        <f>[1]!EM_S_FA_NETPROFITMARGIN(B1102,E1102)</f>
        <v>5.9956664552000003</v>
      </c>
      <c r="K1102" s="10">
        <f>[1]!EM_S_FA_ASSETSTURN(B1102,E1102)</f>
        <v>0.57056635024000002</v>
      </c>
      <c r="L1102" s="12">
        <f>[1]!EM_HKS_VAL_MV(B1102,"2019-12-31","2")</f>
        <v>140745459142.64999</v>
      </c>
      <c r="M1102">
        <f>[1]!EM_S_VAL_PETTMDEDUCTED(B1102,E1102)</f>
        <v>19.805713035695</v>
      </c>
      <c r="N1102" s="7">
        <f>[1]!EM_S_VAL_PBGOODWILLDEDUCTED(B1102,E1102)</f>
        <v>1.2046976893818999</v>
      </c>
      <c r="O1102" s="7">
        <f>[1]!EM_S_VAL_PS_TTM(B1102,E1102)</f>
        <v>0.83775344608936197</v>
      </c>
      <c r="P1102" s="7">
        <f>[1]!EM_S_VAL_PCF_NCFTTM(B1102,E1102)</f>
        <v>-34.6880883198831</v>
      </c>
      <c r="Q1102" s="7">
        <f>[1]!EM_S_VAL_DIVIDENDYIELD2(B1102,E1102,"2019-11-29")</f>
        <v>1.2222485207100591</v>
      </c>
      <c r="T1102"/>
      <c r="U1102">
        <f>[1]!EM_S_RATIO_EPS_TTM(B1102,E1102,"1")</f>
        <v>0.505089180589116</v>
      </c>
      <c r="AT1102" s="4" t="str">
        <f>[1]!EM_S_IPO_LISTEDDATE(B1102)</f>
        <v>2006-08-18</v>
      </c>
    </row>
    <row r="1103" spans="1:46">
      <c r="A1103">
        <v>84</v>
      </c>
      <c r="B1103" t="str">
        <f>"000403"</f>
        <v>000403</v>
      </c>
      <c r="C1103" t="s">
        <v>334</v>
      </c>
      <c r="D1103" t="str">
        <f>[1]!EM_S_INFO_INDEX_EM(B1103,"1")</f>
        <v>医药生物</v>
      </c>
      <c r="E1103" s="4">
        <f t="shared" si="17"/>
        <v>43465</v>
      </c>
      <c r="F1103" s="11">
        <f>[1]!EM_S_PQ_PCTCHANGE(B1103,"2018-01-01","2019-12-31","3")</f>
        <v>8.6444668700000005</v>
      </c>
      <c r="G1103" s="11">
        <f>[1]!EM_S_PQ_PCTCHANGE(B1103,"2018-12-31","2019-12-30","1")</f>
        <v>24.702144560000001</v>
      </c>
      <c r="H1103" s="11">
        <f>[1]!EM_S_FA_YOY_OR(B1103,E1103)</f>
        <v>25.455319193400001</v>
      </c>
      <c r="I1103" s="11">
        <f>[1]!EM_S_FA_GROSSPROFITMARGIN(B1103,E1103)</f>
        <v>53.325480173599999</v>
      </c>
      <c r="J1103" s="11">
        <f>[1]!EM_S_FA_NETPROFITMARGIN(B1103,E1103)</f>
        <v>8.7155193318999995</v>
      </c>
      <c r="K1103" s="10">
        <f>[1]!EM_S_FA_ASSETSTURN(B1103,E1103)</f>
        <v>0.65185655534800002</v>
      </c>
      <c r="L1103" s="12">
        <f>[1]!EM_HKS_VAL_MV(B1103,"2019-12-31","2")</f>
        <v>8804256447.7000008</v>
      </c>
      <c r="M1103">
        <f>[1]!EM_S_VAL_PETTMDEDUCTED(B1103,E1103)</f>
        <v>84.174748812349094</v>
      </c>
      <c r="N1103" s="7">
        <f>[1]!EM_S_VAL_PBGOODWILLDEDUCTED(B1103,E1103)</f>
        <v>10.7623777521765</v>
      </c>
      <c r="O1103" s="7">
        <f>[1]!EM_S_VAL_PS_TTM(B1103,E1103)</f>
        <v>8.5287804365607496</v>
      </c>
      <c r="P1103" s="7">
        <f>[1]!EM_S_VAL_PCF_NCFTTM(B1103,E1103)</f>
        <v>-883.911301051588</v>
      </c>
      <c r="Q1103" s="7">
        <f>[1]!EM_S_VAL_DIVIDENDYIELD2(B1103,E1103,"2019-11-29")</f>
        <v>0</v>
      </c>
      <c r="T1103"/>
      <c r="U1103">
        <f>[1]!EM_S_RATIO_EPS_TTM(B1103,E1103,"1")</f>
        <v>0.29343129165210674</v>
      </c>
      <c r="AT1103" s="4" t="str">
        <f>[1]!EM_S_IPO_LISTEDDATE(B1103)</f>
        <v>1996-06-28</v>
      </c>
    </row>
    <row r="1104" spans="1:46">
      <c r="A1104">
        <v>3381</v>
      </c>
      <c r="B1104" t="str">
        <f>"603366"</f>
        <v>603366</v>
      </c>
      <c r="C1104" t="s">
        <v>3283</v>
      </c>
      <c r="D1104" t="str">
        <f>[1]!EM_S_INFO_INDEX_EM(B1104,"1")</f>
        <v>家电</v>
      </c>
      <c r="E1104" s="4">
        <f t="shared" si="17"/>
        <v>43465</v>
      </c>
      <c r="F1104" s="11">
        <f>[1]!EM_S_PQ_PCTCHANGE(B1104,"2018-01-01","2019-12-31","3")</f>
        <v>-2.9484387500000002</v>
      </c>
      <c r="G1104" s="11">
        <f>[1]!EM_S_PQ_PCTCHANGE(B1104,"2018-12-31","2019-12-30","1")</f>
        <v>24.700239809999999</v>
      </c>
      <c r="H1104" s="11">
        <f>[1]!EM_S_FA_YOY_OR(B1104,E1104)</f>
        <v>14.108610348799999</v>
      </c>
      <c r="I1104" s="11">
        <f>[1]!EM_S_FA_GROSSPROFITMARGIN(B1104,E1104)</f>
        <v>32.685510662699997</v>
      </c>
      <c r="J1104" s="11">
        <f>[1]!EM_S_FA_NETPROFITMARGIN(B1104,E1104)</f>
        <v>-15.890079435300001</v>
      </c>
      <c r="K1104" s="10">
        <f>[1]!EM_S_FA_ASSETSTURN(B1104,E1104)</f>
        <v>0.52380988029499997</v>
      </c>
      <c r="L1104" s="12">
        <f>[1]!EM_HKS_VAL_MV(B1104,"2019-12-31","2")</f>
        <v>4576000000</v>
      </c>
      <c r="M1104">
        <f>[1]!EM_S_VAL_PETTMDEDUCTED(B1104,E1104)</f>
        <v>-26.891219015954398</v>
      </c>
      <c r="N1104" s="7">
        <f>[1]!EM_S_VAL_PBGOODWILLDEDUCTED(B1104,E1104)</f>
        <v>1.19027348771337</v>
      </c>
      <c r="O1104" s="7">
        <f>[1]!EM_S_VAL_PS_TTM(B1104,E1104)</f>
        <v>1.0651647403661599</v>
      </c>
      <c r="P1104" s="7">
        <f>[1]!EM_S_VAL_PCF_NCFTTM(B1104,E1104)</f>
        <v>-15.1112579952365</v>
      </c>
      <c r="Q1104" s="7">
        <f>[1]!EM_S_VAL_DIVIDENDYIELD2(B1104,E1104,"2019-11-29")</f>
        <v>0</v>
      </c>
      <c r="T1104"/>
      <c r="U1104">
        <f>[1]!EM_S_RATIO_EPS_TTM(B1104,E1104,"1")</f>
        <v>-0.61460766415000001</v>
      </c>
      <c r="AT1104" s="4" t="str">
        <f>[1]!EM_S_IPO_LISTEDDATE(B1104)</f>
        <v>2012-05-21</v>
      </c>
    </row>
    <row r="1105" spans="1:46">
      <c r="A1105">
        <v>2352</v>
      </c>
      <c r="B1105" t="str">
        <f>"600217"</f>
        <v>600217</v>
      </c>
      <c r="C1105" t="s">
        <v>635</v>
      </c>
      <c r="D1105" t="str">
        <f>[1]!EM_S_INFO_INDEX_EM(B1105,"1")</f>
        <v>公用事业</v>
      </c>
      <c r="E1105" s="4">
        <f t="shared" si="17"/>
        <v>43465</v>
      </c>
      <c r="F1105" s="11">
        <f>[1]!EM_S_PQ_PCTCHANGE(B1105,"2018-01-01","2019-12-31","3")</f>
        <v>-21.23076923</v>
      </c>
      <c r="G1105" s="11">
        <f>[1]!EM_S_PQ_PCTCHANGE(B1105,"2018-12-31","2019-12-30","1")</f>
        <v>24.69437653</v>
      </c>
      <c r="H1105" s="11">
        <f>[1]!EM_S_FA_YOY_OR(B1105,E1105)</f>
        <v>14.606404378700001</v>
      </c>
      <c r="I1105" s="11">
        <f>[1]!EM_S_FA_GROSSPROFITMARGIN(B1105,E1105)</f>
        <v>32.090670371999998</v>
      </c>
      <c r="J1105" s="11">
        <f>[1]!EM_S_FA_NETPROFITMARGIN(B1105,E1105)</f>
        <v>10.2568092768</v>
      </c>
      <c r="K1105" s="10">
        <f>[1]!EM_S_FA_ASSETSTURN(B1105,E1105)</f>
        <v>0.66207043084200001</v>
      </c>
      <c r="L1105" s="12">
        <f>[1]!EM_HKS_VAL_MV(B1105,"2019-12-31","2")</f>
        <v>7109938083.8400002</v>
      </c>
      <c r="M1105">
        <f>[1]!EM_S_VAL_PETTMDEDUCTED(B1105,E1105)</f>
        <v>20.5176389844619</v>
      </c>
      <c r="N1105" s="7">
        <f>[1]!EM_S_VAL_PBGOODWILLDEDUCTED(B1105,E1105)</f>
        <v>4.1112915271350801</v>
      </c>
      <c r="O1105" s="7">
        <f>[1]!EM_S_VAL_PS_TTM(B1105,E1105)</f>
        <v>2.2171322213432298</v>
      </c>
      <c r="P1105" s="7">
        <f>[1]!EM_S_VAL_PCF_NCFTTM(B1105,E1105)</f>
        <v>21.967463957775202</v>
      </c>
      <c r="Q1105" s="7">
        <f>[1]!EM_S_VAL_DIVIDENDYIELD2(B1105,E1105,"2019-11-29")</f>
        <v>0</v>
      </c>
      <c r="T1105"/>
      <c r="U1105">
        <f>[1]!EM_S_RATIO_EPS_TTM(B1105,E1105,"1")</f>
        <v>0.22765698244294658</v>
      </c>
      <c r="AT1105" s="4" t="str">
        <f>[1]!EM_S_IPO_LISTEDDATE(B1105)</f>
        <v>1999-12-16</v>
      </c>
    </row>
    <row r="1106" spans="1:46">
      <c r="A1106">
        <v>3082</v>
      </c>
      <c r="B1106" t="str">
        <f>"601218"</f>
        <v>601218</v>
      </c>
      <c r="C1106" t="s">
        <v>3530</v>
      </c>
      <c r="D1106" t="str">
        <f>[1]!EM_S_INFO_INDEX_EM(B1106,"1")</f>
        <v>电气设备</v>
      </c>
      <c r="E1106" s="4">
        <f t="shared" si="17"/>
        <v>43465</v>
      </c>
      <c r="F1106" s="11">
        <f>[1]!EM_S_PQ_PCTCHANGE(B1106,"2018-01-01","2019-12-31","3")</f>
        <v>-19.933568730000001</v>
      </c>
      <c r="G1106" s="11">
        <f>[1]!EM_S_PQ_PCTCHANGE(B1106,"2018-12-31","2019-12-30","1")</f>
        <v>24.669603519999999</v>
      </c>
      <c r="H1106" s="11">
        <f>[1]!EM_S_FA_YOY_OR(B1106,E1106)</f>
        <v>-5.9495700751999996</v>
      </c>
      <c r="I1106" s="11">
        <f>[1]!EM_S_FA_GROSSPROFITMARGIN(B1106,E1106)</f>
        <v>3.3294944586000002</v>
      </c>
      <c r="J1106" s="11">
        <f>[1]!EM_S_FA_NETPROFITMARGIN(B1106,E1106)</f>
        <v>-5.2242255872000003</v>
      </c>
      <c r="K1106" s="10">
        <f>[1]!EM_S_FA_ASSETSTURN(B1106,E1106)</f>
        <v>0.29612525086199998</v>
      </c>
      <c r="L1106" s="12">
        <f>[1]!EM_HKS_VAL_MV(B1106,"2019-12-31","2")</f>
        <v>2816598400</v>
      </c>
      <c r="M1106">
        <f>[1]!EM_S_VAL_PETTMDEDUCTED(B1106,E1106)</f>
        <v>-18.903848810983</v>
      </c>
      <c r="N1106" s="7">
        <f>[1]!EM_S_VAL_PBGOODWILLDEDUCTED(B1106,E1106)</f>
        <v>0.906656457196657</v>
      </c>
      <c r="O1106" s="7">
        <f>[1]!EM_S_VAL_PS_TTM(B1106,E1106)</f>
        <v>1.78889849901149</v>
      </c>
      <c r="P1106" s="7">
        <f>[1]!EM_S_VAL_PCF_NCFTTM(B1106,E1106)</f>
        <v>-10.736449067765101</v>
      </c>
      <c r="Q1106" s="7">
        <f>[1]!EM_S_VAL_DIVIDENDYIELD2(B1106,E1106,"2019-11-29")</f>
        <v>0</v>
      </c>
      <c r="T1106"/>
      <c r="U1106">
        <f>[1]!EM_S_RATIO_EPS_TTM(B1106,E1106,"1")</f>
        <v>-5.975111264822134E-2</v>
      </c>
      <c r="AT1106" s="4" t="str">
        <f>[1]!EM_S_IPO_LISTEDDATE(B1106)</f>
        <v>2011-05-06</v>
      </c>
    </row>
    <row r="1107" spans="1:46">
      <c r="A1107">
        <v>49</v>
      </c>
      <c r="B1107" t="str">
        <f>"000055"</f>
        <v>000055</v>
      </c>
      <c r="C1107" t="s">
        <v>813</v>
      </c>
      <c r="D1107" t="str">
        <f>[1]!EM_S_INFO_INDEX_EM(B1107,"1")</f>
        <v>建筑</v>
      </c>
      <c r="E1107" s="4">
        <f t="shared" si="17"/>
        <v>43465</v>
      </c>
      <c r="F1107" s="11">
        <f>[1]!EM_S_PQ_PCTCHANGE(B1107,"2018-01-01","2019-12-31","3")</f>
        <v>-15.738670409999999</v>
      </c>
      <c r="G1107" s="11">
        <f>[1]!EM_S_PQ_PCTCHANGE(B1107,"2019-01-01","2019-12-31","3")</f>
        <v>24.645161290000001</v>
      </c>
      <c r="H1107" s="11">
        <f>[1]!EM_S_FA_YOY_OR(B1107,E1107)</f>
        <v>3.4337689795999999</v>
      </c>
      <c r="I1107" s="11">
        <f>[1]!EM_S_FA_GROSSPROFITMARGIN(B1107,E1107)</f>
        <v>23.312781472299999</v>
      </c>
      <c r="J1107" s="11">
        <f>[1]!EM_S_FA_NETPROFITMARGIN(B1107,E1107)</f>
        <v>73.676622657899998</v>
      </c>
      <c r="K1107" s="10">
        <f>[1]!EM_S_FA_ASSETSTURN(B1107,E1107)</f>
        <v>0.33347560657500003</v>
      </c>
      <c r="L1107" s="12">
        <f>[1]!EM_HKS_VAL_MV(B1107,"2019-12-31","2")</f>
        <v>5425945632.8699999</v>
      </c>
      <c r="M1107">
        <f>[1]!EM_S_VAL_PETTMDEDUCTED(B1107,E1107)</f>
        <v>14.635456073277799</v>
      </c>
      <c r="N1107" s="7">
        <f>[1]!EM_S_VAL_PBGOODWILLDEDUCTED(B1107,E1107)</f>
        <v>0.889655404269586</v>
      </c>
      <c r="O1107" s="7">
        <f>[1]!EM_S_VAL_PS_TTM(B1107,E1107)</f>
        <v>1.4766431184515401</v>
      </c>
      <c r="P1107" s="7">
        <f>[1]!EM_S_VAL_PCF_NCFTTM(B1107,E1107)</f>
        <v>-5.8920638959261904</v>
      </c>
      <c r="Q1107" s="7">
        <f>[1]!EM_S_VAL_DIVIDENDYIELD2(B1107,E1107,"2019-11-29")</f>
        <v>4.5146726862302486</v>
      </c>
      <c r="T1107"/>
      <c r="U1107">
        <f>[1]!EM_S_RATIO_EPS_TTM(B1107,E1107,"1")</f>
        <v>1.9994625112887359</v>
      </c>
      <c r="AT1107" s="4" t="str">
        <f>[1]!EM_S_IPO_LISTEDDATE(B1107)</f>
        <v>1996-04-15</v>
      </c>
    </row>
    <row r="1108" spans="1:46">
      <c r="A1108">
        <v>3161</v>
      </c>
      <c r="B1108" t="str">
        <f>"601858"</f>
        <v>601858</v>
      </c>
      <c r="C1108" t="s">
        <v>3214</v>
      </c>
      <c r="D1108" t="str">
        <f>[1]!EM_S_INFO_INDEX_EM(B1108,"1")</f>
        <v>文化传媒</v>
      </c>
      <c r="E1108" s="4">
        <f t="shared" si="17"/>
        <v>43465</v>
      </c>
      <c r="F1108" s="11">
        <f>[1]!EM_S_PQ_PCTCHANGE(B1108,"2018-01-01","2019-12-31","3")</f>
        <v>3.8781566299999999</v>
      </c>
      <c r="G1108" s="11">
        <f>[1]!EM_S_PQ_PCTCHANGE(B1108,"2018-12-31","2019-12-30","1")</f>
        <v>24.599542329999998</v>
      </c>
      <c r="H1108" s="11">
        <f>[1]!EM_S_FA_YOY_OR(B1108,E1108)</f>
        <v>10.6549979268</v>
      </c>
      <c r="I1108" s="11">
        <f>[1]!EM_S_FA_GROSSPROFITMARGIN(B1108,E1108)</f>
        <v>30.442723451100001</v>
      </c>
      <c r="J1108" s="11">
        <f>[1]!EM_S_FA_NETPROFITMARGIN(B1108,E1108)</f>
        <v>19.152941042199998</v>
      </c>
      <c r="K1108" s="10">
        <f>[1]!EM_S_FA_ASSETSTURN(B1108,E1108)</f>
        <v>0.46878002093600002</v>
      </c>
      <c r="L1108" s="12">
        <f>[1]!EM_HKS_VAL_MV(B1108,"2019-12-31","2")</f>
        <v>8663880000</v>
      </c>
      <c r="M1108">
        <f>[1]!EM_S_VAL_PETTMDEDUCTED(B1108,E1108)</f>
        <v>18.567104559132101</v>
      </c>
      <c r="N1108" s="7">
        <f>[1]!EM_S_VAL_PBGOODWILLDEDUCTED(B1108,E1108)</f>
        <v>1.95575615847512</v>
      </c>
      <c r="O1108" s="7">
        <f>[1]!EM_S_VAL_PS_TTM(B1108,E1108)</f>
        <v>3.24649248217451</v>
      </c>
      <c r="P1108" s="7">
        <f>[1]!EM_S_VAL_PCF_NCFTTM(B1108,E1108)</f>
        <v>25.392165162348</v>
      </c>
      <c r="Q1108" s="7">
        <f>[1]!EM_S_VAL_DIVIDENDYIELD2(B1108,E1108,"2019-11-29")</f>
        <v>0.99264705882352955</v>
      </c>
      <c r="T1108"/>
      <c r="U1108">
        <f>[1]!EM_S_RATIO_EPS_TTM(B1108,E1108,"1")</f>
        <v>0.53702606953826693</v>
      </c>
      <c r="AT1108" s="4" t="str">
        <f>[1]!EM_S_IPO_LISTEDDATE(B1108)</f>
        <v>2017-01-18</v>
      </c>
    </row>
    <row r="1109" spans="1:46">
      <c r="A1109">
        <v>880</v>
      </c>
      <c r="B1109" t="str">
        <f>"002369"</f>
        <v>002369</v>
      </c>
      <c r="C1109" t="s">
        <v>2415</v>
      </c>
      <c r="D1109" t="str">
        <f>[1]!EM_S_INFO_INDEX_EM(B1109,"1")</f>
        <v>电子设备</v>
      </c>
      <c r="E1109" s="4">
        <f t="shared" si="17"/>
        <v>43465</v>
      </c>
      <c r="F1109" s="11">
        <f>[1]!EM_S_PQ_PCTCHANGE(B1109,"2018-01-01","2019-12-31","3")</f>
        <v>-10.69684346</v>
      </c>
      <c r="G1109" s="11">
        <f>[1]!EM_S_PQ_PCTCHANGE(B1109,"2018-12-31","2019-12-30","1")</f>
        <v>24.59459459</v>
      </c>
      <c r="H1109" s="11">
        <f>[1]!EM_S_FA_YOY_OR(B1109,E1109)</f>
        <v>13.801399373500001</v>
      </c>
      <c r="I1109" s="11">
        <f>[1]!EM_S_FA_GROSSPROFITMARGIN(B1109,E1109)</f>
        <v>7.4595286871999997</v>
      </c>
      <c r="J1109" s="11">
        <f>[1]!EM_S_FA_NETPROFITMARGIN(B1109,E1109)</f>
        <v>-3.4314047624000001</v>
      </c>
      <c r="K1109" s="10">
        <f>[1]!EM_S_FA_ASSETSTURN(B1109,E1109)</f>
        <v>0.83400837138299999</v>
      </c>
      <c r="L1109" s="12">
        <f>[1]!EM_HKS_VAL_MV(B1109,"2019-12-31","2")</f>
        <v>5305183542.7200003</v>
      </c>
      <c r="M1109">
        <f>[1]!EM_S_VAL_PETTMDEDUCTED(B1109,E1109)</f>
        <v>180.52799408591099</v>
      </c>
      <c r="N1109" s="7">
        <f>[1]!EM_S_VAL_PBGOODWILLDEDUCTED(B1109,E1109)</f>
        <v>2.1620067925378099</v>
      </c>
      <c r="O1109" s="7">
        <f>[1]!EM_S_VAL_PS_TTM(B1109,E1109)</f>
        <v>1.3589391182144701</v>
      </c>
      <c r="P1109" s="7">
        <f>[1]!EM_S_VAL_PCF_NCFTTM(B1109,E1109)</f>
        <v>-19.286814091946098</v>
      </c>
      <c r="Q1109" s="7">
        <f>[1]!EM_S_VAL_DIVIDENDYIELD2(B1109,E1109,"2019-11-29")</f>
        <v>0</v>
      </c>
      <c r="T1109"/>
      <c r="U1109">
        <f>[1]!EM_S_RATIO_EPS_TTM(B1109,E1109,"1")</f>
        <v>-0.17725806855915163</v>
      </c>
      <c r="AT1109" s="4" t="str">
        <f>[1]!EM_S_IPO_LISTEDDATE(B1109)</f>
        <v>2010-03-16</v>
      </c>
    </row>
    <row r="1110" spans="1:46">
      <c r="A1110">
        <v>2449</v>
      </c>
      <c r="B1110" t="str">
        <f>"600323"</f>
        <v>600323</v>
      </c>
      <c r="C1110" t="s">
        <v>232</v>
      </c>
      <c r="D1110" t="str">
        <f>[1]!EM_S_INFO_INDEX_EM(B1110,"1")</f>
        <v>公用事业</v>
      </c>
      <c r="E1110" s="4">
        <f t="shared" si="17"/>
        <v>43465</v>
      </c>
      <c r="F1110" s="11">
        <f>[1]!EM_S_PQ_PCTCHANGE(B1110,"2018-01-01","2019-12-31","3")</f>
        <v>12.75333814</v>
      </c>
      <c r="G1110" s="11">
        <f>[1]!EM_S_PQ_PCTCHANGE(B1110,"2018-12-31","2019-12-30","1")</f>
        <v>24.590163929999999</v>
      </c>
      <c r="H1110" s="11">
        <f>[1]!EM_S_FA_YOY_OR(B1110,E1110)</f>
        <v>15.3831902651</v>
      </c>
      <c r="I1110" s="11">
        <f>[1]!EM_S_FA_GROSSPROFITMARGIN(B1110,E1110)</f>
        <v>29.9542038035</v>
      </c>
      <c r="J1110" s="11">
        <f>[1]!EM_S_FA_NETPROFITMARGIN(B1110,E1110)</f>
        <v>18.124278888500001</v>
      </c>
      <c r="K1110" s="10">
        <f>[1]!EM_S_FA_ASSETSTURN(B1110,E1110)</f>
        <v>0.31684459615400001</v>
      </c>
      <c r="L1110" s="12">
        <f>[1]!EM_HKS_VAL_MV(B1110,"2019-12-31","2")</f>
        <v>13440270875.719999</v>
      </c>
      <c r="M1110">
        <f>[1]!EM_S_VAL_PETTMDEDUCTED(B1110,E1110)</f>
        <v>15.45517056792</v>
      </c>
      <c r="N1110" s="7">
        <f>[1]!EM_S_VAL_PBGOODWILLDEDUCTED(B1110,E1110)</f>
        <v>1.95205351215585</v>
      </c>
      <c r="O1110" s="7">
        <f>[1]!EM_S_VAL_PS_TTM(B1110,E1110)</f>
        <v>2.27424319051305</v>
      </c>
      <c r="P1110" s="7">
        <f>[1]!EM_S_VAL_PCF_NCFTTM(B1110,E1110)</f>
        <v>-125.443850733652</v>
      </c>
      <c r="Q1110" s="7">
        <f>[1]!EM_S_VAL_DIVIDENDYIELD2(B1110,E1110,"2019-11-29")</f>
        <v>1.1709601873536299</v>
      </c>
      <c r="T1110"/>
      <c r="U1110">
        <f>[1]!EM_S_RATIO_EPS_TTM(B1110,E1110,"1")</f>
        <v>1.1425739050688402</v>
      </c>
      <c r="AT1110" s="4" t="str">
        <f>[1]!EM_S_IPO_LISTEDDATE(B1110)</f>
        <v>2000-12-25</v>
      </c>
    </row>
    <row r="1111" spans="1:46">
      <c r="A1111">
        <v>594</v>
      </c>
      <c r="B1111" t="str">
        <f>"002083"</f>
        <v>002083</v>
      </c>
      <c r="C1111" t="s">
        <v>1013</v>
      </c>
      <c r="D1111" t="str">
        <f>[1]!EM_S_INFO_INDEX_EM(B1111,"1")</f>
        <v>纺织服装</v>
      </c>
      <c r="E1111" s="4">
        <f t="shared" si="17"/>
        <v>43465</v>
      </c>
      <c r="F1111" s="11">
        <f>[1]!EM_S_PQ_PCTCHANGE(B1111,"2018-01-01","2019-12-31","3")</f>
        <v>0.15299571000000001</v>
      </c>
      <c r="G1111" s="11">
        <f>[1]!EM_S_PQ_PCTCHANGE(B1111,"2018-12-31","2019-12-30","1")</f>
        <v>24.54361055</v>
      </c>
      <c r="H1111" s="11">
        <f>[1]!EM_S_FA_YOY_OR(B1111,E1111)</f>
        <v>7.2350844095999998</v>
      </c>
      <c r="I1111" s="11">
        <f>[1]!EM_S_FA_GROSSPROFITMARGIN(B1111,E1111)</f>
        <v>19.942179942500001</v>
      </c>
      <c r="J1111" s="11">
        <f>[1]!EM_S_FA_NETPROFITMARGIN(B1111,E1111)</f>
        <v>8.4223545046999995</v>
      </c>
      <c r="K1111" s="10">
        <f>[1]!EM_S_FA_ASSETSTURN(B1111,E1111)</f>
        <v>0.66832650323999998</v>
      </c>
      <c r="L1111" s="12">
        <f>[1]!EM_HKS_VAL_MV(B1111,"2019-12-31","2")</f>
        <v>5647760031.1000004</v>
      </c>
      <c r="M1111">
        <f>[1]!EM_S_VAL_PETTMDEDUCTED(B1111,E1111)</f>
        <v>13.884629041807701</v>
      </c>
      <c r="N1111" s="7">
        <f>[1]!EM_S_VAL_PBGOODWILLDEDUCTED(B1111,E1111)</f>
        <v>1.3027875843622401</v>
      </c>
      <c r="O1111" s="7">
        <f>[1]!EM_S_VAL_PS_TTM(B1111,E1111)</f>
        <v>0.87018980122533496</v>
      </c>
      <c r="P1111" s="7">
        <f>[1]!EM_S_VAL_PCF_NCFTTM(B1111,E1111)</f>
        <v>106.239267698706</v>
      </c>
      <c r="Q1111" s="7">
        <f>[1]!EM_S_VAL_DIVIDENDYIELD2(B1111,E1111,"2019-11-29")</f>
        <v>1.6666666666666667</v>
      </c>
      <c r="T1111"/>
      <c r="U1111">
        <f>[1]!EM_S_RATIO_EPS_TTM(B1111,E1111,"1")</f>
        <v>0.47882006472015387</v>
      </c>
      <c r="AT1111" s="4" t="str">
        <f>[1]!EM_S_IPO_LISTEDDATE(B1111)</f>
        <v>2006-11-24</v>
      </c>
    </row>
    <row r="1112" spans="1:46">
      <c r="A1112">
        <v>2207</v>
      </c>
      <c r="B1112" t="str">
        <f>"600060"</f>
        <v>600060</v>
      </c>
      <c r="C1112" t="s">
        <v>1322</v>
      </c>
      <c r="D1112" t="str">
        <f>[1]!EM_S_INFO_INDEX_EM(B1112,"1")</f>
        <v>家电</v>
      </c>
      <c r="E1112" s="4">
        <f t="shared" si="17"/>
        <v>43465</v>
      </c>
      <c r="F1112" s="11">
        <f>[1]!EM_S_PQ_PCTCHANGE(B1112,"2018-01-01","2019-12-31","3")</f>
        <v>-25.78891591</v>
      </c>
      <c r="G1112" s="11">
        <f>[1]!EM_S_PQ_PCTCHANGE(B1112,"2018-12-31","2019-12-30","1")</f>
        <v>24.539170510000002</v>
      </c>
      <c r="H1112" s="11">
        <f>[1]!EM_S_FA_YOY_OR(B1112,E1112)</f>
        <v>6.8689962433999998</v>
      </c>
      <c r="I1112" s="11">
        <f>[1]!EM_S_FA_GROSSPROFITMARGIN(B1112,E1112)</f>
        <v>14.690013842400001</v>
      </c>
      <c r="J1112" s="11">
        <f>[1]!EM_S_FA_NETPROFITMARGIN(B1112,E1112)</f>
        <v>1.5564876371</v>
      </c>
      <c r="K1112" s="10">
        <f>[1]!EM_S_FA_ASSETSTURN(B1112,E1112)</f>
        <v>1.301837241111</v>
      </c>
      <c r="L1112" s="12">
        <f>[1]!EM_HKS_VAL_MV(B1112,"2019-12-31","2")</f>
        <v>14197021258.700001</v>
      </c>
      <c r="M1112">
        <f>[1]!EM_S_VAL_PETTMDEDUCTED(B1112,E1112)</f>
        <v>30.872384648047301</v>
      </c>
      <c r="N1112" s="7">
        <f>[1]!EM_S_VAL_PBGOODWILLDEDUCTED(B1112,E1112)</f>
        <v>0.83229701748584095</v>
      </c>
      <c r="O1112" s="7">
        <f>[1]!EM_S_VAL_PS_TTM(B1112,E1112)</f>
        <v>0.33786435001781001</v>
      </c>
      <c r="P1112" s="7">
        <f>[1]!EM_S_VAL_PCF_NCFTTM(B1112,E1112)</f>
        <v>8.7901029608195405</v>
      </c>
      <c r="Q1112" s="7">
        <f>[1]!EM_S_VAL_DIVIDENDYIELD2(B1112,E1112,"2019-11-29")</f>
        <v>0.94339622641509435</v>
      </c>
      <c r="T1112"/>
      <c r="U1112">
        <f>[1]!EM_S_RATIO_EPS_TTM(B1112,E1112,"1")</f>
        <v>0.29989245185361935</v>
      </c>
      <c r="AT1112" s="4" t="str">
        <f>[1]!EM_S_IPO_LISTEDDATE(B1112)</f>
        <v>1997-04-22</v>
      </c>
    </row>
    <row r="1113" spans="1:46">
      <c r="A1113">
        <v>504</v>
      </c>
      <c r="B1113" t="str">
        <f>"000996"</f>
        <v>000996</v>
      </c>
      <c r="C1113" t="s">
        <v>2337</v>
      </c>
      <c r="D1113" t="str">
        <f>[1]!EM_S_INFO_INDEX_EM(B1113,"1")</f>
        <v>交运设备</v>
      </c>
      <c r="E1113" s="4">
        <f t="shared" si="17"/>
        <v>43465</v>
      </c>
      <c r="F1113" s="11">
        <f>[1]!EM_S_PQ_PCTCHANGE(B1113,"2018-01-01","2019-12-31","3")</f>
        <v>-30.582842169999999</v>
      </c>
      <c r="G1113" s="11">
        <f>[1]!EM_S_PQ_PCTCHANGE(B1113,"2018-12-31","2019-12-30","1")</f>
        <v>24.521531100000001</v>
      </c>
      <c r="H1113" s="11">
        <f>[1]!EM_S_FA_YOY_OR(B1113,E1113)</f>
        <v>9.2244673519999996</v>
      </c>
      <c r="I1113" s="11">
        <f>[1]!EM_S_FA_GROSSPROFITMARGIN(B1113,E1113)</f>
        <v>9.3648571682000004</v>
      </c>
      <c r="J1113" s="11">
        <f>[1]!EM_S_FA_NETPROFITMARGIN(B1113,E1113)</f>
        <v>22.817307987500001</v>
      </c>
      <c r="K1113" s="10">
        <f>[1]!EM_S_FA_ASSETSTURN(B1113,E1113)</f>
        <v>0.108551247411</v>
      </c>
      <c r="L1113" s="12">
        <f>[1]!EM_HKS_VAL_MV(B1113,"2019-12-31","2")</f>
        <v>3657000000</v>
      </c>
      <c r="M1113">
        <f>[1]!EM_S_VAL_PETTMDEDUCTED(B1113,E1113)</f>
        <v>270.13023947087902</v>
      </c>
      <c r="N1113" s="7">
        <f>[1]!EM_S_VAL_PBGOODWILLDEDUCTED(B1113,E1113)</f>
        <v>5.2839395033190204</v>
      </c>
      <c r="O1113" s="7">
        <f>[1]!EM_S_VAL_PS_TTM(B1113,E1113)</f>
        <v>46.232532198371104</v>
      </c>
      <c r="P1113" s="7">
        <f>[1]!EM_S_VAL_PCF_NCFTTM(B1113,E1113)</f>
        <v>-51.642395825389997</v>
      </c>
      <c r="Q1113" s="7">
        <f>[1]!EM_S_VAL_DIVIDENDYIELD2(B1113,E1113,"2019-11-29")</f>
        <v>0</v>
      </c>
      <c r="T1113"/>
      <c r="U1113">
        <f>[1]!EM_S_RATIO_EPS_TTM(B1113,E1113,"1")</f>
        <v>4.4013540057971014E-2</v>
      </c>
      <c r="AT1113" s="4" t="str">
        <f>[1]!EM_S_IPO_LISTEDDATE(B1113)</f>
        <v>2000-07-18</v>
      </c>
    </row>
    <row r="1114" spans="1:46">
      <c r="A1114">
        <v>1618</v>
      </c>
      <c r="B1114" t="str">
        <f>"300193"</f>
        <v>300193</v>
      </c>
      <c r="C1114" t="s">
        <v>2223</v>
      </c>
      <c r="D1114" t="str">
        <f>[1]!EM_S_INFO_INDEX_EM(B1114,"1")</f>
        <v>机械设备</v>
      </c>
      <c r="E1114" s="4">
        <f t="shared" si="17"/>
        <v>43465</v>
      </c>
      <c r="F1114" s="11">
        <f>[1]!EM_S_PQ_PCTCHANGE(B1114,"2018-01-01","2019-12-31","3")</f>
        <v>25.510668500000001</v>
      </c>
      <c r="G1114" s="11">
        <f>[1]!EM_S_PQ_PCTCHANGE(B1114,"2018-12-31","2019-12-30","1")</f>
        <v>24.512534819999999</v>
      </c>
      <c r="H1114" s="11">
        <f>[1]!EM_S_FA_YOY_OR(B1114,E1114)</f>
        <v>10.7607393717</v>
      </c>
      <c r="I1114" s="11">
        <f>[1]!EM_S_FA_GROSSPROFITMARGIN(B1114,E1114)</f>
        <v>32.061618699</v>
      </c>
      <c r="J1114" s="11">
        <f>[1]!EM_S_FA_NETPROFITMARGIN(B1114,E1114)</f>
        <v>21.909972494000002</v>
      </c>
      <c r="K1114" s="10">
        <f>[1]!EM_S_FA_ASSETSTURN(B1114,E1114)</f>
        <v>0.33076421897699998</v>
      </c>
      <c r="L1114" s="12">
        <f>[1]!EM_HKS_VAL_MV(B1114,"2019-12-31","2")</f>
        <v>4592525868.6000004</v>
      </c>
      <c r="M1114">
        <f>[1]!EM_S_VAL_PETTMDEDUCTED(B1114,E1114)</f>
        <v>34.496639617147501</v>
      </c>
      <c r="N1114" s="7">
        <f>[1]!EM_S_VAL_PBGOODWILLDEDUCTED(B1114,E1114)</f>
        <v>1.51724595288607</v>
      </c>
      <c r="O1114" s="7">
        <f>[1]!EM_S_VAL_PS_TTM(B1114,E1114)</f>
        <v>4.0644528480561304</v>
      </c>
      <c r="P1114" s="7">
        <f>[1]!EM_S_VAL_PCF_NCFTTM(B1114,E1114)</f>
        <v>-24.4234007747018</v>
      </c>
      <c r="Q1114" s="7">
        <f>[1]!EM_S_VAL_DIVIDENDYIELD2(B1114,E1114,"2019-11-29")</f>
        <v>2.5316455696202533</v>
      </c>
      <c r="T1114"/>
      <c r="U1114">
        <f>[1]!EM_S_RATIO_EPS_TTM(B1114,E1114,"1")</f>
        <v>0.37636983605349134</v>
      </c>
      <c r="AT1114" s="4" t="str">
        <f>[1]!EM_S_IPO_LISTEDDATE(B1114)</f>
        <v>2011-03-22</v>
      </c>
    </row>
    <row r="1115" spans="1:46">
      <c r="A1115">
        <v>1528</v>
      </c>
      <c r="B1115" t="str">
        <f>"300103"</f>
        <v>300103</v>
      </c>
      <c r="C1115" t="s">
        <v>2158</v>
      </c>
      <c r="D1115" t="str">
        <f>[1]!EM_S_INFO_INDEX_EM(B1115,"1")</f>
        <v>公用事业</v>
      </c>
      <c r="E1115" s="4">
        <f t="shared" si="17"/>
        <v>43465</v>
      </c>
      <c r="F1115" s="11">
        <f>[1]!EM_S_PQ_PCTCHANGE(B1115,"2018-01-01","2019-12-31","3")</f>
        <v>-20.994581140000001</v>
      </c>
      <c r="G1115" s="11">
        <f>[1]!EM_S_PQ_PCTCHANGE(B1115,"2018-12-31","2019-12-30","1")</f>
        <v>24.500665779999999</v>
      </c>
      <c r="H1115" s="11">
        <f>[1]!EM_S_FA_YOY_OR(B1115,E1115)</f>
        <v>-20.3122251733</v>
      </c>
      <c r="I1115" s="11">
        <f>[1]!EM_S_FA_GROSSPROFITMARGIN(B1115,E1115)</f>
        <v>26.830458095800001</v>
      </c>
      <c r="J1115" s="11">
        <f>[1]!EM_S_FA_NETPROFITMARGIN(B1115,E1115)</f>
        <v>8.0245778461999997</v>
      </c>
      <c r="K1115" s="10">
        <f>[1]!EM_S_FA_ASSETSTURN(B1115,E1115)</f>
        <v>0.22663933566300001</v>
      </c>
      <c r="L1115" s="12">
        <f>[1]!EM_HKS_VAL_MV(B1115,"2019-12-31","2")</f>
        <v>2960041320</v>
      </c>
      <c r="M1115">
        <f>[1]!EM_S_VAL_PETTMDEDUCTED(B1115,E1115)</f>
        <v>53.857256252830901</v>
      </c>
      <c r="N1115" s="7">
        <f>[1]!EM_S_VAL_PBGOODWILLDEDUCTED(B1115,E1115)</f>
        <v>2.6068752852391701</v>
      </c>
      <c r="O1115" s="7">
        <f>[1]!EM_S_VAL_PS_TTM(B1115,E1115)</f>
        <v>9.1437490060862601</v>
      </c>
      <c r="P1115" s="7">
        <f>[1]!EM_S_VAL_PCF_NCFTTM(B1115,E1115)</f>
        <v>20.872851176658799</v>
      </c>
      <c r="Q1115" s="7">
        <f>[1]!EM_S_VAL_DIVIDENDYIELD2(B1115,E1115,"2019-11-29")</f>
        <v>0</v>
      </c>
      <c r="T1115"/>
      <c r="U1115">
        <f>[1]!EM_S_RATIO_EPS_TTM(B1115,E1115,"1")</f>
        <v>6.0497103378137983E-2</v>
      </c>
      <c r="AT1115" s="4" t="str">
        <f>[1]!EM_S_IPO_LISTEDDATE(B1115)</f>
        <v>2010-08-12</v>
      </c>
    </row>
    <row r="1116" spans="1:46">
      <c r="A1116">
        <v>2403</v>
      </c>
      <c r="B1116" t="str">
        <f>"600273"</f>
        <v>600273</v>
      </c>
      <c r="C1116" t="s">
        <v>370</v>
      </c>
      <c r="D1116" t="str">
        <f>[1]!EM_S_INFO_INDEX_EM(B1116,"1")</f>
        <v>基础化工</v>
      </c>
      <c r="E1116" s="4">
        <f t="shared" si="17"/>
        <v>43465</v>
      </c>
      <c r="F1116" s="11">
        <f>[1]!EM_S_PQ_PCTCHANGE(B1116,"2018-01-01","2019-12-31","3")</f>
        <v>25.724782449999999</v>
      </c>
      <c r="G1116" s="11">
        <f>[1]!EM_S_PQ_PCTCHANGE(B1116,"2018-12-31","2019-12-30","1")</f>
        <v>24.471635150000001</v>
      </c>
      <c r="H1116" s="11">
        <f>[1]!EM_S_FA_YOY_OR(B1116,E1116)</f>
        <v>0.49778512070000003</v>
      </c>
      <c r="I1116" s="11">
        <f>[1]!EM_S_FA_GROSSPROFITMARGIN(B1116,E1116)</f>
        <v>30.623068137800001</v>
      </c>
      <c r="J1116" s="11">
        <f>[1]!EM_S_FA_NETPROFITMARGIN(B1116,E1116)</f>
        <v>19.703179227700002</v>
      </c>
      <c r="K1116" s="10">
        <f>[1]!EM_S_FA_ASSETSTURN(B1116,E1116)</f>
        <v>0.667448826843</v>
      </c>
      <c r="L1116" s="12">
        <f>[1]!EM_HKS_VAL_MV(B1116,"2019-12-31","2")</f>
        <v>16118218608.75</v>
      </c>
      <c r="M1116">
        <f>[1]!EM_S_VAL_PETTMDEDUCTED(B1116,E1116)</f>
        <v>11.485349596557</v>
      </c>
      <c r="N1116" s="7">
        <f>[1]!EM_S_VAL_PBGOODWILLDEDUCTED(B1116,E1116)</f>
        <v>2.1272021089378801</v>
      </c>
      <c r="O1116" s="7">
        <f>[1]!EM_S_VAL_PS_TTM(B1116,E1116)</f>
        <v>2.2373462248826201</v>
      </c>
      <c r="P1116" s="7">
        <f>[1]!EM_S_VAL_PCF_NCFTTM(B1116,E1116)</f>
        <v>184.01161819667001</v>
      </c>
      <c r="Q1116" s="7">
        <f>[1]!EM_S_VAL_DIVIDENDYIELD2(B1116,E1116,"2019-11-29")</f>
        <v>1.3691128148959473</v>
      </c>
      <c r="T1116"/>
      <c r="U1116">
        <f>[1]!EM_S_RATIO_EPS_TTM(B1116,E1116,"1")</f>
        <v>0.76788920134719296</v>
      </c>
      <c r="AT1116" s="4" t="str">
        <f>[1]!EM_S_IPO_LISTEDDATE(B1116)</f>
        <v>2003-06-27</v>
      </c>
    </row>
    <row r="1117" spans="1:46">
      <c r="A1117">
        <v>3630</v>
      </c>
      <c r="B1117" t="str">
        <f>"603987"</f>
        <v>603987</v>
      </c>
      <c r="C1117" t="s">
        <v>1390</v>
      </c>
      <c r="D1117" t="str">
        <f>[1]!EM_S_INFO_INDEX_EM(B1117,"1")</f>
        <v>医药生物</v>
      </c>
      <c r="E1117" s="4">
        <f t="shared" si="17"/>
        <v>43465</v>
      </c>
      <c r="F1117" s="11">
        <f>[1]!EM_S_PQ_PCTCHANGE(B1117,"2018-01-01","2019-12-31","3")</f>
        <v>-3.3458160299999999</v>
      </c>
      <c r="G1117" s="11">
        <f>[1]!EM_S_PQ_PCTCHANGE(B1117,"2018-12-31","2019-12-30","1")</f>
        <v>24.45482866</v>
      </c>
      <c r="H1117" s="11">
        <f>[1]!EM_S_FA_YOY_OR(B1117,E1117)</f>
        <v>15.4133761768</v>
      </c>
      <c r="I1117" s="11">
        <f>[1]!EM_S_FA_GROSSPROFITMARGIN(B1117,E1117)</f>
        <v>34.857609949299999</v>
      </c>
      <c r="J1117" s="11">
        <f>[1]!EM_S_FA_NETPROFITMARGIN(B1117,E1117)</f>
        <v>12.444703599</v>
      </c>
      <c r="K1117" s="10">
        <f>[1]!EM_S_FA_ASSETSTURN(B1117,E1117)</f>
        <v>0.76785742351899999</v>
      </c>
      <c r="L1117" s="12">
        <f>[1]!EM_HKS_VAL_MV(B1117,"2019-12-31","2")</f>
        <v>3585865080</v>
      </c>
      <c r="M1117">
        <f>[1]!EM_S_VAL_PETTMDEDUCTED(B1117,E1117)</f>
        <v>21.613112303601199</v>
      </c>
      <c r="N1117" s="7">
        <f>[1]!EM_S_VAL_PBGOODWILLDEDUCTED(B1117,E1117)</f>
        <v>2.0665997396134199</v>
      </c>
      <c r="O1117" s="7">
        <f>[1]!EM_S_VAL_PS_TTM(B1117,E1117)</f>
        <v>2.0415288603045401</v>
      </c>
      <c r="P1117" s="7">
        <f>[1]!EM_S_VAL_PCF_NCFTTM(B1117,E1117)</f>
        <v>-49.694670325430202</v>
      </c>
      <c r="Q1117" s="7">
        <f>[1]!EM_S_VAL_DIVIDENDYIELD2(B1117,E1117,"2019-11-29")</f>
        <v>2.0689655172413794</v>
      </c>
      <c r="T1117"/>
      <c r="U1117">
        <f>[1]!EM_S_RATIO_EPS_TTM(B1117,E1117,"1")</f>
        <v>0.33308815889168925</v>
      </c>
      <c r="AT1117" s="4" t="str">
        <f>[1]!EM_S_IPO_LISTEDDATE(B1117)</f>
        <v>2016-11-21</v>
      </c>
    </row>
    <row r="1118" spans="1:46">
      <c r="A1118">
        <v>2258</v>
      </c>
      <c r="B1118" t="str">
        <f>"600111"</f>
        <v>600111</v>
      </c>
      <c r="C1118" t="s">
        <v>2011</v>
      </c>
      <c r="D1118" t="str">
        <f>[1]!EM_S_INFO_INDEX_EM(B1118,"1")</f>
        <v>有色金属</v>
      </c>
      <c r="E1118" s="4">
        <f t="shared" si="17"/>
        <v>43465</v>
      </c>
      <c r="F1118" s="11">
        <f>[1]!EM_S_PQ_PCTCHANGE(B1118,"2018-01-01","2019-12-31","3")</f>
        <v>-25.234570940000001</v>
      </c>
      <c r="G1118" s="11">
        <f>[1]!EM_S_PQ_PCTCHANGE(B1118,"2018-12-31","2019-12-30","1")</f>
        <v>24.401368300000001</v>
      </c>
      <c r="H1118" s="11">
        <f>[1]!EM_S_FA_YOY_OR(B1118,E1118)</f>
        <v>36.757670553399997</v>
      </c>
      <c r="I1118" s="11">
        <f>[1]!EM_S_FA_GROSSPROFITMARGIN(B1118,E1118)</f>
        <v>14.4956445534</v>
      </c>
      <c r="J1118" s="11">
        <f>[1]!EM_S_FA_NETPROFITMARGIN(B1118,E1118)</f>
        <v>4.1490726265999998</v>
      </c>
      <c r="K1118" s="10">
        <f>[1]!EM_S_FA_ASSETSTURN(B1118,E1118)</f>
        <v>0.629534298273</v>
      </c>
      <c r="L1118" s="12">
        <f>[1]!EM_HKS_VAL_MV(B1118,"2019-12-31","2")</f>
        <v>39382435440</v>
      </c>
      <c r="M1118">
        <f>[1]!EM_S_VAL_PETTMDEDUCTED(B1118,E1118)</f>
        <v>108.08898622898499</v>
      </c>
      <c r="N1118" s="7">
        <f>[1]!EM_S_VAL_PBGOODWILLDEDUCTED(B1118,E1118)</f>
        <v>3.4615722458978202</v>
      </c>
      <c r="O1118" s="7">
        <f>[1]!EM_S_VAL_PS_TTM(B1118,E1118)</f>
        <v>2.5639135377094999</v>
      </c>
      <c r="P1118" s="7">
        <f>[1]!EM_S_VAL_PCF_NCFTTM(B1118,E1118)</f>
        <v>-7.18515254932041</v>
      </c>
      <c r="Q1118" s="7">
        <f>[1]!EM_S_VAL_DIVIDENDYIELD2(B1118,E1118,"2019-11-29")</f>
        <v>0.50301810865191143</v>
      </c>
      <c r="T1118"/>
      <c r="U1118">
        <f>[1]!EM_S_RATIO_EPS_TTM(B1118,E1118,"1")</f>
        <v>0.16068829287989814</v>
      </c>
      <c r="AT1118" s="4" t="str">
        <f>[1]!EM_S_IPO_LISTEDDATE(B1118)</f>
        <v>1997-09-24</v>
      </c>
    </row>
    <row r="1119" spans="1:46">
      <c r="A1119">
        <v>3596</v>
      </c>
      <c r="B1119" t="str">
        <f>"603906"</f>
        <v>603906</v>
      </c>
      <c r="C1119" t="s">
        <v>1210</v>
      </c>
      <c r="D1119" t="str">
        <f>[1]!EM_S_INFO_INDEX_EM(B1119,"1")</f>
        <v>基础化工</v>
      </c>
      <c r="E1119" s="4">
        <f t="shared" si="17"/>
        <v>43465</v>
      </c>
      <c r="F1119" s="11">
        <f>[1]!EM_S_PQ_PCTCHANGE(B1119,"2018-01-01","2019-12-31","3")</f>
        <v>-0.43491721999999999</v>
      </c>
      <c r="G1119" s="11">
        <f>[1]!EM_S_PQ_PCTCHANGE(B1119,"2018-12-31","2019-12-30","1")</f>
        <v>24.381625440000001</v>
      </c>
      <c r="H1119" s="11">
        <f>[1]!EM_S_FA_YOY_OR(B1119,E1119)</f>
        <v>15.4422509053</v>
      </c>
      <c r="I1119" s="11">
        <f>[1]!EM_S_FA_GROSSPROFITMARGIN(B1119,E1119)</f>
        <v>30.137287604400001</v>
      </c>
      <c r="J1119" s="11">
        <f>[1]!EM_S_FA_NETPROFITMARGIN(B1119,E1119)</f>
        <v>6.6448138130999999</v>
      </c>
      <c r="K1119" s="10">
        <f>[1]!EM_S_FA_ASSETSTURN(B1119,E1119)</f>
        <v>0.80674437521700004</v>
      </c>
      <c r="L1119" s="12">
        <f>[1]!EM_HKS_VAL_MV(B1119,"2019-12-31","2")</f>
        <v>3189542284.8000002</v>
      </c>
      <c r="M1119">
        <f>[1]!EM_S_VAL_PETTMDEDUCTED(B1119,E1119)</f>
        <v>43.083755955458599</v>
      </c>
      <c r="N1119" s="7">
        <f>[1]!EM_S_VAL_PBGOODWILLDEDUCTED(B1119,E1119)</f>
        <v>2.0663612570007301</v>
      </c>
      <c r="O1119" s="7">
        <f>[1]!EM_S_VAL_PS_TTM(B1119,E1119)</f>
        <v>1.5135343634543399</v>
      </c>
      <c r="P1119" s="7">
        <f>[1]!EM_S_VAL_PCF_NCFTTM(B1119,E1119)</f>
        <v>86.150306886865096</v>
      </c>
      <c r="Q1119" s="7">
        <f>[1]!EM_S_VAL_DIVIDENDYIELD2(B1119,E1119,"2019-11-29")</f>
        <v>1.0980932462970656</v>
      </c>
      <c r="T1119"/>
      <c r="U1119">
        <f>[1]!EM_S_RATIO_EPS_TTM(B1119,E1119,"1")</f>
        <v>0.32209528642389318</v>
      </c>
      <c r="AT1119" s="4" t="str">
        <f>[1]!EM_S_IPO_LISTEDDATE(B1119)</f>
        <v>2017-04-10</v>
      </c>
    </row>
    <row r="1120" spans="1:46">
      <c r="A1120">
        <v>755</v>
      </c>
      <c r="B1120" t="str">
        <f>"002244"</f>
        <v>002244</v>
      </c>
      <c r="C1120" t="s">
        <v>1114</v>
      </c>
      <c r="D1120" t="str">
        <f>[1]!EM_S_INFO_INDEX_EM(B1120,"1")</f>
        <v>房地产</v>
      </c>
      <c r="E1120" s="4">
        <f t="shared" si="17"/>
        <v>43465</v>
      </c>
      <c r="F1120" s="11">
        <f>[1]!EM_S_PQ_PCTCHANGE(B1120,"2018-01-01","2019-12-31","3")</f>
        <v>-36.49941381</v>
      </c>
      <c r="G1120" s="11">
        <f>[1]!EM_S_PQ_PCTCHANGE(B1120,"2018-12-31","2019-12-30","1")</f>
        <v>24.371859300000001</v>
      </c>
      <c r="H1120" s="11">
        <f>[1]!EM_S_FA_YOY_OR(B1120,E1120)</f>
        <v>53.302804808799998</v>
      </c>
      <c r="I1120" s="11">
        <f>[1]!EM_S_FA_GROSSPROFITMARGIN(B1120,E1120)</f>
        <v>35.744499212199997</v>
      </c>
      <c r="J1120" s="11">
        <f>[1]!EM_S_FA_NETPROFITMARGIN(B1120,E1120)</f>
        <v>14.9284584361</v>
      </c>
      <c r="K1120" s="10">
        <f>[1]!EM_S_FA_ASSETSTURN(B1120,E1120)</f>
        <v>0.285736973432</v>
      </c>
      <c r="L1120" s="12">
        <f>[1]!EM_HKS_VAL_MV(B1120,"2019-12-31","2")</f>
        <v>15308303938.799999</v>
      </c>
      <c r="M1120">
        <f>[1]!EM_S_VAL_PETTMDEDUCTED(B1120,E1120)</f>
        <v>10.511585012116001</v>
      </c>
      <c r="N1120" s="7">
        <f>[1]!EM_S_VAL_PBGOODWILLDEDUCTED(B1120,E1120)</f>
        <v>0.811477585297257</v>
      </c>
      <c r="O1120" s="7">
        <f>[1]!EM_S_VAL_PS_TTM(B1120,E1120)</f>
        <v>0.63465496997701398</v>
      </c>
      <c r="P1120" s="7">
        <f>[1]!EM_S_VAL_PCF_NCFTTM(B1120,E1120)</f>
        <v>-6.0765147924778402</v>
      </c>
      <c r="Q1120" s="7">
        <f>[1]!EM_S_VAL_DIVIDENDYIELD2(B1120,E1120,"2019-11-29")</f>
        <v>1.3986013986013985</v>
      </c>
      <c r="T1120"/>
      <c r="U1120">
        <f>[1]!EM_S_RATIO_EPS_TTM(B1120,E1120,"1")</f>
        <v>0.39114169981063035</v>
      </c>
      <c r="AT1120" s="4" t="str">
        <f>[1]!EM_S_IPO_LISTEDDATE(B1120)</f>
        <v>2008-05-29</v>
      </c>
    </row>
    <row r="1121" spans="1:46">
      <c r="A1121">
        <v>676</v>
      </c>
      <c r="B1121" t="str">
        <f>"002165"</f>
        <v>002165</v>
      </c>
      <c r="C1121" t="s">
        <v>2960</v>
      </c>
      <c r="D1121" t="str">
        <f>[1]!EM_S_INFO_INDEX_EM(B1121,"1")</f>
        <v>基础化工</v>
      </c>
      <c r="E1121" s="4">
        <f t="shared" si="17"/>
        <v>43465</v>
      </c>
      <c r="F1121" s="11">
        <f>[1]!EM_S_PQ_PCTCHANGE(B1121,"2018-01-01","2019-12-31","3")</f>
        <v>-27.695228050000001</v>
      </c>
      <c r="G1121" s="11">
        <f>[1]!EM_S_PQ_PCTCHANGE(B1121,"2018-12-31","2019-12-30","1")</f>
        <v>24.347826090000002</v>
      </c>
      <c r="H1121" s="11">
        <f>[1]!EM_S_FA_YOY_OR(B1121,E1121)</f>
        <v>13.6281830492</v>
      </c>
      <c r="I1121" s="11">
        <f>[1]!EM_S_FA_GROSSPROFITMARGIN(B1121,E1121)</f>
        <v>13.3581556261</v>
      </c>
      <c r="J1121" s="11">
        <f>[1]!EM_S_FA_NETPROFITMARGIN(B1121,E1121)</f>
        <v>1.2562305283999999</v>
      </c>
      <c r="K1121" s="10">
        <f>[1]!EM_S_FA_ASSETSTURN(B1121,E1121)</f>
        <v>0.751305029023</v>
      </c>
      <c r="L1121" s="12">
        <f>[1]!EM_HKS_VAL_MV(B1121,"2019-12-31","2")</f>
        <v>2588849873</v>
      </c>
      <c r="M1121">
        <f>[1]!EM_S_VAL_PETTMDEDUCTED(B1121,E1121)</f>
        <v>-261.55304002980398</v>
      </c>
      <c r="N1121" s="7">
        <f>[1]!EM_S_VAL_PBGOODWILLDEDUCTED(B1121,E1121)</f>
        <v>1.38448313518857</v>
      </c>
      <c r="O1121" s="7">
        <f>[1]!EM_S_VAL_PS_TTM(B1121,E1121)</f>
        <v>0.87177203737047504</v>
      </c>
      <c r="P1121" s="7">
        <f>[1]!EM_S_VAL_PCF_NCFTTM(B1121,E1121)</f>
        <v>12.3522379641283</v>
      </c>
      <c r="Q1121" s="7">
        <f>[1]!EM_S_VAL_DIVIDENDYIELD2(B1121,E1121,"2019-11-29")</f>
        <v>0.98522167487684742</v>
      </c>
      <c r="T1121"/>
      <c r="U1121">
        <f>[1]!EM_S_RATIO_EPS_TTM(B1121,E1121,"1")</f>
        <v>4.8298332564609088E-2</v>
      </c>
      <c r="AT1121" s="4" t="str">
        <f>[1]!EM_S_IPO_LISTEDDATE(B1121)</f>
        <v>2007-09-13</v>
      </c>
    </row>
    <row r="1122" spans="1:46">
      <c r="A1122">
        <v>2513</v>
      </c>
      <c r="B1122" t="str">
        <f>"600397"</f>
        <v>600397</v>
      </c>
      <c r="C1122" t="s">
        <v>1585</v>
      </c>
      <c r="D1122" t="str">
        <f>[1]!EM_S_INFO_INDEX_EM(B1122,"1")</f>
        <v>化石能源</v>
      </c>
      <c r="E1122" s="4">
        <f t="shared" si="17"/>
        <v>43465</v>
      </c>
      <c r="F1122" s="11">
        <f>[1]!EM_S_PQ_PCTCHANGE(B1122,"2018-01-01","2019-12-31","3")</f>
        <v>-27.319587630000001</v>
      </c>
      <c r="G1122" s="11">
        <f>[1]!EM_S_PQ_PCTCHANGE(B1122,"2018-12-31","2019-12-30","1")</f>
        <v>24.31192661</v>
      </c>
      <c r="H1122" s="11">
        <f>[1]!EM_S_FA_YOY_OR(B1122,E1122)</f>
        <v>22.238509030900001</v>
      </c>
      <c r="I1122" s="11">
        <f>[1]!EM_S_FA_GROSSPROFITMARGIN(B1122,E1122)</f>
        <v>13.306342757199999</v>
      </c>
      <c r="J1122" s="11">
        <f>[1]!EM_S_FA_NETPROFITMARGIN(B1122,E1122)</f>
        <v>1.2174897028</v>
      </c>
      <c r="K1122" s="10">
        <f>[1]!EM_S_FA_ASSETSTURN(B1122,E1122)</f>
        <v>0.73544095326500003</v>
      </c>
      <c r="L1122" s="12">
        <f>[1]!EM_HKS_VAL_MV(B1122,"2019-12-31","2")</f>
        <v>2791686867.2399998</v>
      </c>
      <c r="M1122">
        <f>[1]!EM_S_VAL_PETTMDEDUCTED(B1122,E1122)</f>
        <v>-4.4684317209307798</v>
      </c>
      <c r="N1122" s="7">
        <f>[1]!EM_S_VAL_PBGOODWILLDEDUCTED(B1122,E1122)</f>
        <v>2.5187231236805898</v>
      </c>
      <c r="O1122" s="7">
        <f>[1]!EM_S_VAL_PS_TTM(B1122,E1122)</f>
        <v>0.44539587345637599</v>
      </c>
      <c r="P1122" s="7">
        <f>[1]!EM_S_VAL_PCF_NCFTTM(B1122,E1122)</f>
        <v>-42.2413655162635</v>
      </c>
      <c r="Q1122" s="7">
        <f>[1]!EM_S_VAL_DIVIDENDYIELD2(B1122,E1122,"2019-11-29")</f>
        <v>0</v>
      </c>
      <c r="T1122"/>
      <c r="U1122">
        <f>[1]!EM_S_RATIO_EPS_TTM(B1122,E1122,"1")</f>
        <v>6.4921789083166093E-2</v>
      </c>
      <c r="AT1122" s="4" t="str">
        <f>[1]!EM_S_IPO_LISTEDDATE(B1122)</f>
        <v>2002-07-02</v>
      </c>
    </row>
    <row r="1123" spans="1:46">
      <c r="A1123">
        <v>904</v>
      </c>
      <c r="B1123" t="str">
        <f>"002393"</f>
        <v>002393</v>
      </c>
      <c r="C1123" t="s">
        <v>1938</v>
      </c>
      <c r="D1123" t="str">
        <f>[1]!EM_S_INFO_INDEX_EM(B1123,"1")</f>
        <v>医药生物</v>
      </c>
      <c r="E1123" s="4">
        <f t="shared" si="17"/>
        <v>43465</v>
      </c>
      <c r="F1123" s="11">
        <f>[1]!EM_S_PQ_PCTCHANGE(B1123,"2018-01-01","2019-12-31","3")</f>
        <v>-10.658311510000001</v>
      </c>
      <c r="G1123" s="11">
        <f>[1]!EM_S_PQ_PCTCHANGE(B1123,"2018-12-31","2019-12-30","1")</f>
        <v>24.29168602</v>
      </c>
      <c r="H1123" s="11">
        <f>[1]!EM_S_FA_YOY_OR(B1123,E1123)</f>
        <v>46.061645325199997</v>
      </c>
      <c r="I1123" s="11">
        <f>[1]!EM_S_FA_GROSSPROFITMARGIN(B1123,E1123)</f>
        <v>71.5935886842</v>
      </c>
      <c r="J1123" s="11">
        <f>[1]!EM_S_FA_NETPROFITMARGIN(B1123,E1123)</f>
        <v>12.302250964300001</v>
      </c>
      <c r="K1123" s="10">
        <f>[1]!EM_S_FA_ASSETSTURN(B1123,E1123)</f>
        <v>0.39572573607900002</v>
      </c>
      <c r="L1123" s="12">
        <f>[1]!EM_HKS_VAL_MV(B1123,"2019-12-31","2")</f>
        <v>4986494931.3599997</v>
      </c>
      <c r="M1123">
        <f>[1]!EM_S_VAL_PETTMDEDUCTED(B1123,E1123)</f>
        <v>35.028480612279303</v>
      </c>
      <c r="N1123" s="7">
        <f>[1]!EM_S_VAL_PBGOODWILLDEDUCTED(B1123,E1123)</f>
        <v>1.22285849359472</v>
      </c>
      <c r="O1123" s="7">
        <f>[1]!EM_S_VAL_PS_TTM(B1123,E1123)</f>
        <v>2.8759900396231202</v>
      </c>
      <c r="P1123" s="7">
        <f>[1]!EM_S_VAL_PCF_NCFTTM(B1123,E1123)</f>
        <v>-51.095999120470402</v>
      </c>
      <c r="Q1123" s="7">
        <f>[1]!EM_S_VAL_DIVIDENDYIELD2(B1123,E1123,"2019-11-29")</f>
        <v>1.1990407673860912</v>
      </c>
      <c r="T1123"/>
      <c r="U1123">
        <f>[1]!EM_S_RATIO_EPS_TTM(B1123,E1123,"1")</f>
        <v>1.0138256824455645</v>
      </c>
      <c r="AT1123" s="4" t="str">
        <f>[1]!EM_S_IPO_LISTEDDATE(B1123)</f>
        <v>2010-04-23</v>
      </c>
    </row>
    <row r="1124" spans="1:46">
      <c r="A1124">
        <v>669</v>
      </c>
      <c r="B1124" t="str">
        <f>"002158"</f>
        <v>002158</v>
      </c>
      <c r="C1124" t="s">
        <v>1659</v>
      </c>
      <c r="D1124" t="str">
        <f>[1]!EM_S_INFO_INDEX_EM(B1124,"1")</f>
        <v>机械设备</v>
      </c>
      <c r="E1124" s="4">
        <f t="shared" si="17"/>
        <v>43465</v>
      </c>
      <c r="F1124" s="11">
        <f>[1]!EM_S_PQ_PCTCHANGE(B1124,"2018-01-01","2019-12-31","3")</f>
        <v>-19.97225285</v>
      </c>
      <c r="G1124" s="11">
        <f>[1]!EM_S_PQ_PCTCHANGE(B1124,"2018-12-31","2019-12-30","1")</f>
        <v>24.26778243</v>
      </c>
      <c r="H1124" s="11">
        <f>[1]!EM_S_FA_YOY_OR(B1124,E1124)</f>
        <v>7.9241211478000002</v>
      </c>
      <c r="I1124" s="11">
        <f>[1]!EM_S_FA_GROSSPROFITMARGIN(B1124,E1124)</f>
        <v>32.627501135999999</v>
      </c>
      <c r="J1124" s="11">
        <f>[1]!EM_S_FA_NETPROFITMARGIN(B1124,E1124)</f>
        <v>11.708929106799999</v>
      </c>
      <c r="K1124" s="10">
        <f>[1]!EM_S_FA_ASSETSTURN(B1124,E1124)</f>
        <v>0.54417912434100002</v>
      </c>
      <c r="L1124" s="12">
        <f>[1]!EM_HKS_VAL_MV(B1124,"2019-12-31","2")</f>
        <v>4772456735.4399996</v>
      </c>
      <c r="M1124">
        <f>[1]!EM_S_VAL_PETTMDEDUCTED(B1124,E1124)</f>
        <v>21.8101813269483</v>
      </c>
      <c r="N1124" s="7">
        <f>[1]!EM_S_VAL_PBGOODWILLDEDUCTED(B1124,E1124)</f>
        <v>2.07486156768914</v>
      </c>
      <c r="O1124" s="7">
        <f>[1]!EM_S_VAL_PS_TTM(B1124,E1124)</f>
        <v>2.2912990277768599</v>
      </c>
      <c r="P1124" s="7">
        <f>[1]!EM_S_VAL_PCF_NCFTTM(B1124,E1124)</f>
        <v>-86.859380841790099</v>
      </c>
      <c r="Q1124" s="7">
        <f>[1]!EM_S_VAL_DIVIDENDYIELD2(B1124,E1124,"2019-11-29")</f>
        <v>1.8167943487467924</v>
      </c>
      <c r="T1124"/>
      <c r="U1124">
        <f>[1]!EM_S_RATIO_EPS_TTM(B1124,E1124,"1")</f>
        <v>0.3785641116777646</v>
      </c>
      <c r="AT1124" s="4" t="str">
        <f>[1]!EM_S_IPO_LISTEDDATE(B1124)</f>
        <v>2007-08-17</v>
      </c>
    </row>
    <row r="1125" spans="1:46">
      <c r="A1125">
        <v>1531</v>
      </c>
      <c r="B1125" t="str">
        <f>"300106"</f>
        <v>300106</v>
      </c>
      <c r="C1125" t="s">
        <v>3627</v>
      </c>
      <c r="D1125" t="str">
        <f>[1]!EM_S_INFO_INDEX_EM(B1125,"1")</f>
        <v>食品饮料</v>
      </c>
      <c r="E1125" s="4">
        <f t="shared" si="17"/>
        <v>43465</v>
      </c>
      <c r="F1125" s="11">
        <f>[1]!EM_S_PQ_PCTCHANGE(B1125,"2018-01-01","2019-12-31","3")</f>
        <v>-13.520408160000001</v>
      </c>
      <c r="G1125" s="11">
        <f>[1]!EM_S_PQ_PCTCHANGE(B1125,"2018-12-31","2019-12-30","1")</f>
        <v>24.242424239999998</v>
      </c>
      <c r="H1125" s="11">
        <f>[1]!EM_S_FA_YOY_OR(B1125,E1125)</f>
        <v>-2.1291166081999999</v>
      </c>
      <c r="I1125" s="11">
        <f>[1]!EM_S_FA_GROSSPROFITMARGIN(B1125,E1125)</f>
        <v>7.7000810055000004</v>
      </c>
      <c r="J1125" s="11">
        <f>[1]!EM_S_FA_NETPROFITMARGIN(B1125,E1125)</f>
        <v>1.8132374862</v>
      </c>
      <c r="K1125" s="10">
        <f>[1]!EM_S_FA_ASSETSTURN(B1125,E1125)</f>
        <v>0.38075376002599998</v>
      </c>
      <c r="L1125" s="12">
        <f>[1]!EM_HKS_VAL_MV(B1125,"2019-12-31","2")</f>
        <v>1432833061.8</v>
      </c>
      <c r="M1125">
        <f>[1]!EM_S_VAL_PETTMDEDUCTED(B1125,E1125)</f>
        <v>-3.0395264083604898</v>
      </c>
      <c r="N1125" s="7">
        <f>[1]!EM_S_VAL_PBGOODWILLDEDUCTED(B1125,E1125)</f>
        <v>1.7578266949522201</v>
      </c>
      <c r="O1125" s="7">
        <f>[1]!EM_S_VAL_PS_TTM(B1125,E1125)</f>
        <v>1.6200868554869801</v>
      </c>
      <c r="P1125" s="7">
        <f>[1]!EM_S_VAL_PCF_NCFTTM(B1125,E1125)</f>
        <v>-18.995823688764499</v>
      </c>
      <c r="Q1125" s="7">
        <f>[1]!EM_S_VAL_DIVIDENDYIELD2(B1125,E1125,"2019-11-29")</f>
        <v>0</v>
      </c>
      <c r="T1125"/>
      <c r="U1125">
        <f>[1]!EM_S_RATIO_EPS_TTM(B1125,E1125,"1")</f>
        <v>9.3266039300852768E-2</v>
      </c>
      <c r="AT1125" s="4" t="str">
        <f>[1]!EM_S_IPO_LISTEDDATE(B1125)</f>
        <v>2010-08-20</v>
      </c>
    </row>
    <row r="1126" spans="1:46">
      <c r="A1126">
        <v>3564</v>
      </c>
      <c r="B1126" t="str">
        <f>"603855"</f>
        <v>603855</v>
      </c>
      <c r="C1126" t="s">
        <v>1785</v>
      </c>
      <c r="D1126" t="str">
        <f>[1]!EM_S_INFO_INDEX_EM(B1126,"1")</f>
        <v>机械设备</v>
      </c>
      <c r="E1126" s="4">
        <f t="shared" si="17"/>
        <v>43465</v>
      </c>
      <c r="F1126" s="11">
        <f>[1]!EM_S_PQ_PCTCHANGE(B1126,"2018-01-01","2019-12-31","3")</f>
        <v>-11.27282222</v>
      </c>
      <c r="G1126" s="11">
        <f>[1]!EM_S_PQ_PCTCHANGE(B1126,"2018-12-31","2019-12-30","1")</f>
        <v>24.23857868</v>
      </c>
      <c r="H1126" s="11">
        <f>[1]!EM_S_FA_YOY_OR(B1126,E1126)</f>
        <v>10.262367919300001</v>
      </c>
      <c r="I1126" s="11">
        <f>[1]!EM_S_FA_GROSSPROFITMARGIN(B1126,E1126)</f>
        <v>52.874853551199998</v>
      </c>
      <c r="J1126" s="11">
        <f>[1]!EM_S_FA_NETPROFITMARGIN(B1126,E1126)</f>
        <v>9.3431660852</v>
      </c>
      <c r="K1126" s="10">
        <f>[1]!EM_S_FA_ASSETSTURN(B1126,E1126)</f>
        <v>0.66135388730099998</v>
      </c>
      <c r="L1126" s="12">
        <f>[1]!EM_HKS_VAL_MV(B1126,"2019-12-31","2")</f>
        <v>3241175300</v>
      </c>
      <c r="M1126">
        <f>[1]!EM_S_VAL_PETTMDEDUCTED(B1126,E1126)</f>
        <v>18.961232314227999</v>
      </c>
      <c r="N1126" s="7">
        <f>[1]!EM_S_VAL_PBGOODWILLDEDUCTED(B1126,E1126)</f>
        <v>1.80811336049547</v>
      </c>
      <c r="O1126" s="7">
        <f>[1]!EM_S_VAL_PS_TTM(B1126,E1126)</f>
        <v>1.5822961437443299</v>
      </c>
      <c r="P1126" s="7">
        <f>[1]!EM_S_VAL_PCF_NCFTTM(B1126,E1126)</f>
        <v>-1630.5958478699799</v>
      </c>
      <c r="Q1126" s="7">
        <f>[1]!EM_S_VAL_DIVIDENDYIELD2(B1126,E1126,"2019-11-29")</f>
        <v>2.1551724137931036</v>
      </c>
      <c r="T1126"/>
      <c r="U1126">
        <f>[1]!EM_S_RATIO_EPS_TTM(B1126,E1126,"1")</f>
        <v>0.46020075763433721</v>
      </c>
      <c r="AT1126" s="4" t="str">
        <f>[1]!EM_S_IPO_LISTEDDATE(B1126)</f>
        <v>2017-05-24</v>
      </c>
    </row>
    <row r="1127" spans="1:46">
      <c r="A1127">
        <v>51</v>
      </c>
      <c r="B1127" t="str">
        <f>"000058"</f>
        <v>000058</v>
      </c>
      <c r="C1127" t="s">
        <v>1111</v>
      </c>
      <c r="D1127" t="str">
        <f>[1]!EM_S_INFO_INDEX_EM(B1127,"1")</f>
        <v>商贸零售</v>
      </c>
      <c r="E1127" s="4">
        <f t="shared" si="17"/>
        <v>43465</v>
      </c>
      <c r="F1127" s="11">
        <f>[1]!EM_S_PQ_PCTCHANGE(B1127,"2018-01-01","2019-12-31","3")</f>
        <v>0.73774337000000001</v>
      </c>
      <c r="G1127" s="11">
        <f>[1]!EM_S_PQ_PCTCHANGE(B1127,"2019-01-01","2019-12-31","3")</f>
        <v>24.227318350000001</v>
      </c>
      <c r="H1127" s="11">
        <f>[1]!EM_S_FA_YOY_OR(B1127,E1127)</f>
        <v>-18.953144581699998</v>
      </c>
      <c r="I1127" s="11">
        <f>[1]!EM_S_FA_GROSSPROFITMARGIN(B1127,E1127)</f>
        <v>33.839896785699999</v>
      </c>
      <c r="J1127" s="11">
        <f>[1]!EM_S_FA_NETPROFITMARGIN(B1127,E1127)</f>
        <v>1.4662993172000001</v>
      </c>
      <c r="K1127" s="10">
        <f>[1]!EM_S_FA_ASSETSTURN(B1127,E1127)</f>
        <v>0.228356913854</v>
      </c>
      <c r="L1127" s="12">
        <f>[1]!EM_HKS_VAL_MV(B1127,"2019-12-31","2")</f>
        <v>9082073430.1499996</v>
      </c>
      <c r="M1127">
        <f>[1]!EM_S_VAL_PETTMDEDUCTED(B1127,E1127)</f>
        <v>39.379544146212702</v>
      </c>
      <c r="N1127" s="7">
        <f>[1]!EM_S_VAL_PBGOODWILLDEDUCTED(B1127,E1127)</f>
        <v>3.9360932680518599</v>
      </c>
      <c r="O1127" s="7">
        <f>[1]!EM_S_VAL_PS_TTM(B1127,E1127)</f>
        <v>2.8483311311628698</v>
      </c>
      <c r="P1127" s="7">
        <f>[1]!EM_S_VAL_PCF_NCFTTM(B1127,E1127)</f>
        <v>-52.614304603259903</v>
      </c>
      <c r="Q1127" s="7">
        <f>[1]!EM_S_VAL_DIVIDENDYIELD2(B1127,E1127,"2019-11-29")</f>
        <v>0.47297297297297292</v>
      </c>
      <c r="T1127"/>
      <c r="U1127">
        <f>[1]!EM_S_RATIO_EPS_TTM(B1127,E1127,"1")</f>
        <v>2.254084843785709E-2</v>
      </c>
      <c r="AT1127" s="4" t="str">
        <f>[1]!EM_S_IPO_LISTEDDATE(B1127)</f>
        <v>1996-12-26</v>
      </c>
    </row>
    <row r="1128" spans="1:46">
      <c r="A1128">
        <v>585</v>
      </c>
      <c r="B1128" t="str">
        <f>"002074"</f>
        <v>002074</v>
      </c>
      <c r="C1128" t="s">
        <v>1424</v>
      </c>
      <c r="D1128" t="str">
        <f>[1]!EM_S_INFO_INDEX_EM(B1128,"1")</f>
        <v>电气设备</v>
      </c>
      <c r="E1128" s="4">
        <f t="shared" si="17"/>
        <v>43465</v>
      </c>
      <c r="F1128" s="11">
        <f>[1]!EM_S_PQ_PCTCHANGE(B1128,"2018-01-01","2019-12-31","3")</f>
        <v>-33.628323090000002</v>
      </c>
      <c r="G1128" s="11">
        <f>[1]!EM_S_PQ_PCTCHANGE(B1128,"2018-12-31","2019-12-30","1")</f>
        <v>24.134948099999999</v>
      </c>
      <c r="H1128" s="11">
        <f>[1]!EM_S_FA_YOY_OR(B1128,E1128)</f>
        <v>5.9712827889</v>
      </c>
      <c r="I1128" s="11">
        <f>[1]!EM_S_FA_GROSSPROFITMARGIN(B1128,E1128)</f>
        <v>29.1854873586</v>
      </c>
      <c r="J1128" s="11">
        <f>[1]!EM_S_FA_NETPROFITMARGIN(B1128,E1128)</f>
        <v>11.345539888199999</v>
      </c>
      <c r="K1128" s="10">
        <f>[1]!EM_S_FA_ASSETSTURN(B1128,E1128)</f>
        <v>0.2721053229</v>
      </c>
      <c r="L1128" s="12">
        <f>[1]!EM_HKS_VAL_MV(B1128,"2019-12-31","2")</f>
        <v>16538269416.450001</v>
      </c>
      <c r="M1128">
        <f>[1]!EM_S_VAL_PETTMDEDUCTED(B1128,E1128)</f>
        <v>31.709841754425899</v>
      </c>
      <c r="N1128" s="7">
        <f>[1]!EM_S_VAL_PBGOODWILLDEDUCTED(B1128,E1128)</f>
        <v>1.55579603911291</v>
      </c>
      <c r="O1128" s="7">
        <f>[1]!EM_S_VAL_PS_TTM(B1128,E1128)</f>
        <v>2.53656967255949</v>
      </c>
      <c r="P1128" s="7">
        <f>[1]!EM_S_VAL_PCF_NCFTTM(B1128,E1128)</f>
        <v>7.3269799229941102</v>
      </c>
      <c r="Q1128" s="7">
        <f>[1]!EM_S_VAL_DIVIDENDYIELD2(B1128,E1128,"2019-11-29")</f>
        <v>0.83056478405315626</v>
      </c>
      <c r="T1128"/>
      <c r="U1128">
        <f>[1]!EM_S_RATIO_EPS_TTM(B1128,E1128,"1")</f>
        <v>0.51057499617215329</v>
      </c>
      <c r="AT1128" s="4" t="str">
        <f>[1]!EM_S_IPO_LISTEDDATE(B1128)</f>
        <v>2006-10-18</v>
      </c>
    </row>
    <row r="1129" spans="1:46">
      <c r="A1129">
        <v>2265</v>
      </c>
      <c r="B1129" t="str">
        <f>"600118"</f>
        <v>600118</v>
      </c>
      <c r="C1129" t="s">
        <v>2087</v>
      </c>
      <c r="D1129" t="str">
        <f>[1]!EM_S_INFO_INDEX_EM(B1129,"1")</f>
        <v>信息技术</v>
      </c>
      <c r="E1129" s="4">
        <f t="shared" si="17"/>
        <v>43465</v>
      </c>
      <c r="F1129" s="11">
        <f>[1]!EM_S_PQ_PCTCHANGE(B1129,"2018-01-01","2019-12-31","3")</f>
        <v>-14.47728871</v>
      </c>
      <c r="G1129" s="11">
        <f>[1]!EM_S_PQ_PCTCHANGE(B1129,"2018-12-31","2019-12-30","1")</f>
        <v>24.133949189999999</v>
      </c>
      <c r="H1129" s="11">
        <f>[1]!EM_S_FA_YOY_OR(B1129,E1129)</f>
        <v>2.6807747821999999</v>
      </c>
      <c r="I1129" s="11">
        <f>[1]!EM_S_FA_GROSSPROFITMARGIN(B1129,E1129)</f>
        <v>13.6282964386</v>
      </c>
      <c r="J1129" s="11">
        <f>[1]!EM_S_FA_NETPROFITMARGIN(B1129,E1129)</f>
        <v>6.1859485279999999</v>
      </c>
      <c r="K1129" s="10">
        <f>[1]!EM_S_FA_ASSETSTURN(B1129,E1129)</f>
        <v>0.75171610393699995</v>
      </c>
      <c r="L1129" s="12">
        <f>[1]!EM_HKS_VAL_MV(B1129,"2019-12-31","2")</f>
        <v>25269792814.950001</v>
      </c>
      <c r="M1129">
        <f>[1]!EM_S_VAL_PETTMDEDUCTED(B1129,E1129)</f>
        <v>55.470491838586902</v>
      </c>
      <c r="N1129" s="7">
        <f>[1]!EM_S_VAL_PBGOODWILLDEDUCTED(B1129,E1129)</f>
        <v>3.7425971666131299</v>
      </c>
      <c r="O1129" s="7">
        <f>[1]!EM_S_VAL_PS_TTM(B1129,E1129)</f>
        <v>2.5855384665562799</v>
      </c>
      <c r="P1129" s="7">
        <f>[1]!EM_S_VAL_PCF_NCFTTM(B1129,E1129)</f>
        <v>-138.881871076518</v>
      </c>
      <c r="Q1129" s="7">
        <f>[1]!EM_S_VAL_DIVIDENDYIELD2(B1129,E1129,"2019-11-29")</f>
        <v>0.54294175715695969</v>
      </c>
      <c r="T1129"/>
      <c r="U1129">
        <f>[1]!EM_S_RATIO_EPS_TTM(B1129,E1129,"1")</f>
        <v>0.35318722492109828</v>
      </c>
      <c r="AT1129" s="4" t="str">
        <f>[1]!EM_S_IPO_LISTEDDATE(B1129)</f>
        <v>1997-09-08</v>
      </c>
    </row>
    <row r="1130" spans="1:46">
      <c r="A1130">
        <v>2506</v>
      </c>
      <c r="B1130" t="str">
        <f>"600389"</f>
        <v>600389</v>
      </c>
      <c r="C1130" t="s">
        <v>269</v>
      </c>
      <c r="D1130" t="str">
        <f>[1]!EM_S_INFO_INDEX_EM(B1130,"1")</f>
        <v>基础化工</v>
      </c>
      <c r="E1130" s="4">
        <f t="shared" si="17"/>
        <v>43465</v>
      </c>
      <c r="F1130" s="11">
        <f>[1]!EM_S_PQ_PCTCHANGE(B1130,"2018-01-01","2019-12-31","3")</f>
        <v>22.864479410000001</v>
      </c>
      <c r="G1130" s="11">
        <f>[1]!EM_S_PQ_PCTCHANGE(B1130,"2018-12-31","2019-12-30","1")</f>
        <v>24.10926366</v>
      </c>
      <c r="H1130" s="11">
        <f>[1]!EM_S_FA_YOY_OR(B1130,E1130)</f>
        <v>7.6842639019999996</v>
      </c>
      <c r="I1130" s="11">
        <f>[1]!EM_S_FA_GROSSPROFITMARGIN(B1130,E1130)</f>
        <v>20.554112119399999</v>
      </c>
      <c r="J1130" s="11">
        <f>[1]!EM_S_FA_NETPROFITMARGIN(B1130,E1130)</f>
        <v>9.9995486129</v>
      </c>
      <c r="K1130" s="10">
        <f>[1]!EM_S_FA_ASSETSTURN(B1130,E1130)</f>
        <v>1.273265282164</v>
      </c>
      <c r="L1130" s="12">
        <f>[1]!EM_HKS_VAL_MV(B1130,"2019-12-31","2")</f>
        <v>6138990000</v>
      </c>
      <c r="M1130">
        <f>[1]!EM_S_VAL_PETTMDEDUCTED(B1130,E1130)</f>
        <v>12.081621171625301</v>
      </c>
      <c r="N1130" s="7">
        <f>[1]!EM_S_VAL_PBGOODWILLDEDUCTED(B1130,E1130)</f>
        <v>2.74432777714655</v>
      </c>
      <c r="O1130" s="7">
        <f>[1]!EM_S_VAL_PS_TTM(B1130,E1130)</f>
        <v>1.2243969830819299</v>
      </c>
      <c r="P1130" s="7">
        <f>[1]!EM_S_VAL_PCF_NCFTTM(B1130,E1130)</f>
        <v>-335.22211065384602</v>
      </c>
      <c r="Q1130" s="7">
        <f>[1]!EM_S_VAL_DIVIDENDYIELD2(B1130,E1130,"2019-11-29")</f>
        <v>2.1186440677966099</v>
      </c>
      <c r="T1130"/>
      <c r="U1130">
        <f>[1]!EM_S_RATIO_EPS_TTM(B1130,E1130,"1")</f>
        <v>1.3201999262962965</v>
      </c>
      <c r="AT1130" s="4" t="str">
        <f>[1]!EM_S_IPO_LISTEDDATE(B1130)</f>
        <v>2001-01-10</v>
      </c>
    </row>
    <row r="1131" spans="1:46">
      <c r="A1131">
        <v>360</v>
      </c>
      <c r="B1131" t="str">
        <f>"000801"</f>
        <v>000801</v>
      </c>
      <c r="C1131" t="s">
        <v>2969</v>
      </c>
      <c r="D1131" t="str">
        <f>[1]!EM_S_INFO_INDEX_EM(B1131,"1")</f>
        <v>信息技术</v>
      </c>
      <c r="E1131" s="4">
        <f t="shared" si="17"/>
        <v>43465</v>
      </c>
      <c r="F1131" s="11">
        <f>[1]!EM_S_PQ_PCTCHANGE(B1131,"2018-01-01","2019-12-31","3")</f>
        <v>-4.9358046499999997</v>
      </c>
      <c r="G1131" s="11">
        <f>[1]!EM_S_PQ_PCTCHANGE(B1131,"2018-12-31","2019-12-30","1")</f>
        <v>24.01847575</v>
      </c>
      <c r="H1131" s="11">
        <f>[1]!EM_S_FA_YOY_OR(B1131,E1131)</f>
        <v>19.897912759699999</v>
      </c>
      <c r="I1131" s="11">
        <f>[1]!EM_S_FA_GROSSPROFITMARGIN(B1131,E1131)</f>
        <v>19.2737246453</v>
      </c>
      <c r="J1131" s="11">
        <f>[1]!EM_S_FA_NETPROFITMARGIN(B1131,E1131)</f>
        <v>2.3871428615000001</v>
      </c>
      <c r="K1131" s="10">
        <f>[1]!EM_S_FA_ASSETSTURN(B1131,E1131)</f>
        <v>0.72924326366199999</v>
      </c>
      <c r="L1131" s="12">
        <f>[1]!EM_HKS_VAL_MV(B1131,"2019-12-31","2")</f>
        <v>5523155888.3999996</v>
      </c>
      <c r="M1131">
        <f>[1]!EM_S_VAL_PETTMDEDUCTED(B1131,E1131)</f>
        <v>-496.29428367296998</v>
      </c>
      <c r="N1131" s="7">
        <f>[1]!EM_S_VAL_PBGOODWILLDEDUCTED(B1131,E1131)</f>
        <v>1.8405817603293599</v>
      </c>
      <c r="O1131" s="7">
        <f>[1]!EM_S_VAL_PS_TTM(B1131,E1131)</f>
        <v>1.2514261629082499</v>
      </c>
      <c r="P1131" s="7">
        <f>[1]!EM_S_VAL_PCF_NCFTTM(B1131,E1131)</f>
        <v>6322.83086695375</v>
      </c>
      <c r="Q1131" s="7">
        <f>[1]!EM_S_VAL_DIVIDENDYIELD2(B1131,E1131,"2019-11-29")</f>
        <v>0.37174721189591087</v>
      </c>
      <c r="T1131"/>
      <c r="U1131">
        <f>[1]!EM_S_RATIO_EPS_TTM(B1131,E1131,"1")</f>
        <v>8.6800441243906429E-2</v>
      </c>
      <c r="AT1131" s="4" t="str">
        <f>[1]!EM_S_IPO_LISTEDDATE(B1131)</f>
        <v>1998-05-06</v>
      </c>
    </row>
    <row r="1132" spans="1:46">
      <c r="A1132">
        <v>2562</v>
      </c>
      <c r="B1132" t="str">
        <f>"600476"</f>
        <v>600476</v>
      </c>
      <c r="C1132" t="s">
        <v>3577</v>
      </c>
      <c r="D1132" t="str">
        <f>[1]!EM_S_INFO_INDEX_EM(B1132,"1")</f>
        <v>信息技术</v>
      </c>
      <c r="E1132" s="4">
        <f t="shared" si="17"/>
        <v>43465</v>
      </c>
      <c r="F1132" s="11">
        <f>[1]!EM_S_PQ_PCTCHANGE(B1132,"2018-01-01","2019-12-31","3")</f>
        <v>-9.8148148099999997</v>
      </c>
      <c r="G1132" s="11">
        <f>[1]!EM_S_PQ_PCTCHANGE(B1132,"2018-12-31","2019-12-30","1")</f>
        <v>24.01010952</v>
      </c>
      <c r="H1132" s="11">
        <f>[1]!EM_S_FA_YOY_OR(B1132,E1132)</f>
        <v>13.621034001</v>
      </c>
      <c r="I1132" s="11">
        <f>[1]!EM_S_FA_GROSSPROFITMARGIN(B1132,E1132)</f>
        <v>19.456480673000002</v>
      </c>
      <c r="J1132" s="11">
        <f>[1]!EM_S_FA_NETPROFITMARGIN(B1132,E1132)</f>
        <v>0.52160553099999996</v>
      </c>
      <c r="K1132" s="10">
        <f>[1]!EM_S_FA_ASSETSTURN(B1132,E1132)</f>
        <v>0.65699476913900001</v>
      </c>
      <c r="L1132" s="12">
        <f>[1]!EM_HKS_VAL_MV(B1132,"2019-12-31","2")</f>
        <v>2353232700</v>
      </c>
      <c r="M1132">
        <f>[1]!EM_S_VAL_PETTMDEDUCTED(B1132,E1132)</f>
        <v>-101.429236744573</v>
      </c>
      <c r="N1132" s="7">
        <f>[1]!EM_S_VAL_PBGOODWILLDEDUCTED(B1132,E1132)</f>
        <v>8.2541607435510809</v>
      </c>
      <c r="O1132" s="7">
        <f>[1]!EM_S_VAL_PS_TTM(B1132,E1132)</f>
        <v>6.8945135976452097</v>
      </c>
      <c r="P1132" s="7">
        <f>[1]!EM_S_VAL_PCF_NCFTTM(B1132,E1132)</f>
        <v>40.047762448422901</v>
      </c>
      <c r="Q1132" s="7">
        <f>[1]!EM_S_VAL_DIVIDENDYIELD2(B1132,E1132,"2019-11-29")</f>
        <v>0</v>
      </c>
      <c r="T1132"/>
      <c r="U1132">
        <f>[1]!EM_S_RATIO_EPS_TTM(B1132,E1132,"1")</f>
        <v>1.0148636058856398E-2</v>
      </c>
      <c r="AT1132" s="4" t="str">
        <f>[1]!EM_S_IPO_LISTEDDATE(B1132)</f>
        <v>2003-12-10</v>
      </c>
    </row>
    <row r="1133" spans="1:46">
      <c r="A1133">
        <v>951</v>
      </c>
      <c r="B1133" t="str">
        <f>"002440"</f>
        <v>002440</v>
      </c>
      <c r="C1133" t="s">
        <v>412</v>
      </c>
      <c r="D1133" t="str">
        <f>[1]!EM_S_INFO_INDEX_EM(B1133,"1")</f>
        <v>基础化工</v>
      </c>
      <c r="E1133" s="4">
        <f t="shared" si="17"/>
        <v>43465</v>
      </c>
      <c r="F1133" s="11">
        <f>[1]!EM_S_PQ_PCTCHANGE(B1133,"2018-01-01","2019-12-31","3")</f>
        <v>-9.1322064800000007</v>
      </c>
      <c r="G1133" s="11">
        <f>[1]!EM_S_PQ_PCTCHANGE(B1133,"2018-12-31","2019-12-30","1")</f>
        <v>24</v>
      </c>
      <c r="H1133" s="11">
        <f>[1]!EM_S_FA_YOY_OR(B1133,E1133)</f>
        <v>6.7211673265999998</v>
      </c>
      <c r="I1133" s="11">
        <f>[1]!EM_S_FA_GROSSPROFITMARGIN(B1133,E1133)</f>
        <v>38.715779850899999</v>
      </c>
      <c r="J1133" s="11">
        <f>[1]!EM_S_FA_NETPROFITMARGIN(B1133,E1133)</f>
        <v>19.806341977500001</v>
      </c>
      <c r="K1133" s="10">
        <f>[1]!EM_S_FA_ASSETSTURN(B1133,E1133)</f>
        <v>0.67865268595700001</v>
      </c>
      <c r="L1133" s="12">
        <f>[1]!EM_HKS_VAL_MV(B1133,"2019-12-31","2")</f>
        <v>12885600000</v>
      </c>
      <c r="M1133">
        <f>[1]!EM_S_VAL_PETTMDEDUCTED(B1133,E1133)</f>
        <v>8.4541633213798804</v>
      </c>
      <c r="N1133" s="7">
        <f>[1]!EM_S_VAL_PBGOODWILLDEDUCTED(B1133,E1133)</f>
        <v>1.30330319351346</v>
      </c>
      <c r="O1133" s="7">
        <f>[1]!EM_S_VAL_PS_TTM(B1133,E1133)</f>
        <v>1.5657814093149101</v>
      </c>
      <c r="P1133" s="7">
        <f>[1]!EM_S_VAL_PCF_NCFTTM(B1133,E1133)</f>
        <v>-60.442048591828197</v>
      </c>
      <c r="Q1133" s="7">
        <f>[1]!EM_S_VAL_DIVIDENDYIELD2(B1133,E1133,"2019-11-29")</f>
        <v>4.5871559633027523</v>
      </c>
      <c r="T1133"/>
      <c r="U1133">
        <f>[1]!EM_S_RATIO_EPS_TTM(B1133,E1133,"1")</f>
        <v>1.1412732353846153</v>
      </c>
      <c r="AT1133" s="4" t="str">
        <f>[1]!EM_S_IPO_LISTEDDATE(B1133)</f>
        <v>2010-07-06</v>
      </c>
    </row>
    <row r="1134" spans="1:46">
      <c r="A1134">
        <v>3246</v>
      </c>
      <c r="B1134" t="str">
        <f>"603060"</f>
        <v>603060</v>
      </c>
      <c r="C1134" t="s">
        <v>1464</v>
      </c>
      <c r="D1134" t="str">
        <f>[1]!EM_S_INFO_INDEX_EM(B1134,"1")</f>
        <v>休闲、生活及专业服务</v>
      </c>
      <c r="E1134" s="4">
        <f t="shared" si="17"/>
        <v>43465</v>
      </c>
      <c r="F1134" s="11">
        <f>[1]!EM_S_PQ_PCTCHANGE(B1134,"2018-01-01","2019-12-31","3")</f>
        <v>59.260537999999997</v>
      </c>
      <c r="G1134" s="11">
        <f>[1]!EM_S_PQ_PCTCHANGE(B1134,"2018-12-31","2019-12-30","1")</f>
        <v>24</v>
      </c>
      <c r="H1134" s="11">
        <f>[1]!EM_S_FA_YOY_OR(B1134,E1134)</f>
        <v>24.5742192234</v>
      </c>
      <c r="I1134" s="11">
        <f>[1]!EM_S_FA_GROSSPROFITMARGIN(B1134,E1134)</f>
        <v>45.659531656799999</v>
      </c>
      <c r="J1134" s="11">
        <f>[1]!EM_S_FA_NETPROFITMARGIN(B1134,E1134)</f>
        <v>22.106171815</v>
      </c>
      <c r="K1134" s="10">
        <f>[1]!EM_S_FA_ASSETSTURN(B1134,E1134)</f>
        <v>0.64515794806100002</v>
      </c>
      <c r="L1134" s="12">
        <f>[1]!EM_HKS_VAL_MV(B1134,"2019-12-31","2")</f>
        <v>7478240000</v>
      </c>
      <c r="M1134">
        <f>[1]!EM_S_VAL_PETTMDEDUCTED(B1134,E1134)</f>
        <v>32.788200873557997</v>
      </c>
      <c r="N1134" s="7">
        <f>[1]!EM_S_VAL_PBGOODWILLDEDUCTED(B1134,E1134)</f>
        <v>3.9308811087675002</v>
      </c>
      <c r="O1134" s="7">
        <f>[1]!EM_S_VAL_PS_TTM(B1134,E1134)</f>
        <v>5.02762604322883</v>
      </c>
      <c r="P1134" s="7">
        <f>[1]!EM_S_VAL_PCF_NCFTTM(B1134,E1134)</f>
        <v>-79.235973307419698</v>
      </c>
      <c r="Q1134" s="7">
        <f>[1]!EM_S_VAL_DIVIDENDYIELD2(B1134,E1134,"2019-11-29")</f>
        <v>0.9356683850010592</v>
      </c>
      <c r="T1134"/>
      <c r="U1134">
        <f>[1]!EM_S_RATIO_EPS_TTM(B1134,E1134,"1")</f>
        <v>0.86887094445454549</v>
      </c>
      <c r="AT1134" s="4" t="str">
        <f>[1]!EM_S_IPO_LISTEDDATE(B1134)</f>
        <v>2016-11-09</v>
      </c>
    </row>
    <row r="1135" spans="1:46">
      <c r="A1135">
        <v>2416</v>
      </c>
      <c r="B1135" t="str">
        <f>"600287"</f>
        <v>600287</v>
      </c>
      <c r="C1135" t="s">
        <v>2379</v>
      </c>
      <c r="D1135" t="str">
        <f>[1]!EM_S_INFO_INDEX_EM(B1135,"1")</f>
        <v>商贸零售</v>
      </c>
      <c r="E1135" s="4">
        <f t="shared" si="17"/>
        <v>43465</v>
      </c>
      <c r="F1135" s="11">
        <f>[1]!EM_S_PQ_PCTCHANGE(B1135,"2018-01-01","2019-12-31","3")</f>
        <v>-15.361785920000001</v>
      </c>
      <c r="G1135" s="11">
        <f>[1]!EM_S_PQ_PCTCHANGE(B1135,"2018-12-31","2019-12-30","1")</f>
        <v>23.917525770000001</v>
      </c>
      <c r="H1135" s="11">
        <f>[1]!EM_S_FA_YOY_OR(B1135,E1135)</f>
        <v>-2.4542997467999998</v>
      </c>
      <c r="I1135" s="11">
        <f>[1]!EM_S_FA_GROSSPROFITMARGIN(B1135,E1135)</f>
        <v>9.3902587267000008</v>
      </c>
      <c r="J1135" s="11">
        <f>[1]!EM_S_FA_NETPROFITMARGIN(B1135,E1135)</f>
        <v>2.2088902423999999</v>
      </c>
      <c r="K1135" s="10">
        <f>[1]!EM_S_FA_ASSETSTURN(B1135,E1135)</f>
        <v>1.3568023701830001</v>
      </c>
      <c r="L1135" s="12">
        <f>[1]!EM_HKS_VAL_MV(B1135,"2019-12-31","2")</f>
        <v>2633880326.2199998</v>
      </c>
      <c r="M1135">
        <f>[1]!EM_S_VAL_PETTMDEDUCTED(B1135,E1135)</f>
        <v>47.371975823575099</v>
      </c>
      <c r="N1135" s="7">
        <f>[1]!EM_S_VAL_PBGOODWILLDEDUCTED(B1135,E1135)</f>
        <v>1.15970983485323</v>
      </c>
      <c r="O1135" s="7">
        <f>[1]!EM_S_VAL_PS_TTM(B1135,E1135)</f>
        <v>0.38430412612895798</v>
      </c>
      <c r="P1135" s="7">
        <f>[1]!EM_S_VAL_PCF_NCFTTM(B1135,E1135)</f>
        <v>570.01299093905902</v>
      </c>
      <c r="Q1135" s="7">
        <f>[1]!EM_S_VAL_DIVIDENDYIELD2(B1135,E1135,"2019-11-29")</f>
        <v>1.4336917562724014</v>
      </c>
      <c r="T1135"/>
      <c r="U1135">
        <f>[1]!EM_S_RATIO_EPS_TTM(B1135,E1135,"1")</f>
        <v>0.19559928652197547</v>
      </c>
      <c r="AT1135" s="4" t="str">
        <f>[1]!EM_S_IPO_LISTEDDATE(B1135)</f>
        <v>2000-09-01</v>
      </c>
    </row>
    <row r="1136" spans="1:46">
      <c r="A1136">
        <v>618</v>
      </c>
      <c r="B1136" t="str">
        <f>"002107"</f>
        <v>002107</v>
      </c>
      <c r="C1136" t="s">
        <v>770</v>
      </c>
      <c r="D1136" t="str">
        <f>[1]!EM_S_INFO_INDEX_EM(B1136,"1")</f>
        <v>医药生物</v>
      </c>
      <c r="E1136" s="4">
        <f t="shared" si="17"/>
        <v>43465</v>
      </c>
      <c r="F1136" s="11">
        <f>[1]!EM_S_PQ_PCTCHANGE(B1136,"2018-01-01","2019-12-31","3")</f>
        <v>-31.65357852</v>
      </c>
      <c r="G1136" s="11">
        <f>[1]!EM_S_PQ_PCTCHANGE(B1136,"2018-12-31","2019-12-30","1")</f>
        <v>23.903176999999999</v>
      </c>
      <c r="H1136" s="11">
        <f>[1]!EM_S_FA_YOY_OR(B1136,E1136)</f>
        <v>6.5739837924</v>
      </c>
      <c r="I1136" s="11">
        <f>[1]!EM_S_FA_GROSSPROFITMARGIN(B1136,E1136)</f>
        <v>77.109889180400003</v>
      </c>
      <c r="J1136" s="11">
        <f>[1]!EM_S_FA_NETPROFITMARGIN(B1136,E1136)</f>
        <v>5.1646645439999999</v>
      </c>
      <c r="K1136" s="10">
        <f>[1]!EM_S_FA_ASSETSTURN(B1136,E1136)</f>
        <v>0.87117222646100001</v>
      </c>
      <c r="L1136" s="12">
        <f>[1]!EM_HKS_VAL_MV(B1136,"2019-12-31","2")</f>
        <v>3084463800</v>
      </c>
      <c r="M1136">
        <f>[1]!EM_S_VAL_PETTMDEDUCTED(B1136,E1136)</f>
        <v>58.282422591179802</v>
      </c>
      <c r="N1136" s="7">
        <f>[1]!EM_S_VAL_PBGOODWILLDEDUCTED(B1136,E1136)</f>
        <v>4.3514530572866903</v>
      </c>
      <c r="O1136" s="7">
        <f>[1]!EM_S_VAL_PS_TTM(B1136,E1136)</f>
        <v>3.0928953724352399</v>
      </c>
      <c r="P1136" s="7">
        <f>[1]!EM_S_VAL_PCF_NCFTTM(B1136,E1136)</f>
        <v>78.203064183028403</v>
      </c>
      <c r="Q1136" s="7">
        <f>[1]!EM_S_VAL_DIVIDENDYIELD2(B1136,E1136,"2019-11-29")</f>
        <v>0.67294751009421261</v>
      </c>
      <c r="T1136"/>
      <c r="U1136">
        <f>[1]!EM_S_RATIO_EPS_TTM(B1136,E1136,"1")</f>
        <v>0.12654403084078991</v>
      </c>
      <c r="AT1136" s="4" t="str">
        <f>[1]!EM_S_IPO_LISTEDDATE(B1136)</f>
        <v>2007-01-24</v>
      </c>
    </row>
    <row r="1137" spans="1:46">
      <c r="A1137">
        <v>716</v>
      </c>
      <c r="B1137" t="str">
        <f>"002205"</f>
        <v>002205</v>
      </c>
      <c r="C1137" t="s">
        <v>3455</v>
      </c>
      <c r="D1137" t="str">
        <f>[1]!EM_S_INFO_INDEX_EM(B1137,"1")</f>
        <v>建筑</v>
      </c>
      <c r="E1137" s="4">
        <f t="shared" si="17"/>
        <v>43465</v>
      </c>
      <c r="F1137" s="11">
        <f>[1]!EM_S_PQ_PCTCHANGE(B1137,"2018-01-01","2019-12-31","3")</f>
        <v>-18.687273990000001</v>
      </c>
      <c r="G1137" s="11">
        <f>[1]!EM_S_PQ_PCTCHANGE(B1137,"2018-12-31","2019-12-30","1")</f>
        <v>23.84615385</v>
      </c>
      <c r="H1137" s="11">
        <f>[1]!EM_S_FA_YOY_OR(B1137,E1137)</f>
        <v>6.1457096000000003E-3</v>
      </c>
      <c r="I1137" s="11">
        <f>[1]!EM_S_FA_GROSSPROFITMARGIN(B1137,E1137)</f>
        <v>21.636258202499999</v>
      </c>
      <c r="J1137" s="11">
        <f>[1]!EM_S_FA_NETPROFITMARGIN(B1137,E1137)</f>
        <v>0.37526041259999998</v>
      </c>
      <c r="K1137" s="10">
        <f>[1]!EM_S_FA_ASSETSTURN(B1137,E1137)</f>
        <v>0.27195023333000001</v>
      </c>
      <c r="L1137" s="12">
        <f>[1]!EM_HKS_VAL_MV(B1137,"2019-12-31","2")</f>
        <v>1666781458.3</v>
      </c>
      <c r="M1137">
        <f>[1]!EM_S_VAL_PETTMDEDUCTED(B1137,E1137)</f>
        <v>367.05286753222202</v>
      </c>
      <c r="N1137" s="7">
        <f>[1]!EM_S_VAL_PBGOODWILLDEDUCTED(B1137,E1137)</f>
        <v>1.4527915038180701</v>
      </c>
      <c r="O1137" s="7">
        <f>[1]!EM_S_VAL_PS_TTM(B1137,E1137)</f>
        <v>1.79998413590602</v>
      </c>
      <c r="P1137" s="7">
        <f>[1]!EM_S_VAL_PCF_NCFTTM(B1137,E1137)</f>
        <v>-41.171218809834201</v>
      </c>
      <c r="Q1137" s="7">
        <f>[1]!EM_S_VAL_DIVIDENDYIELD2(B1137,E1137,"2019-11-29")</f>
        <v>0</v>
      </c>
      <c r="T1137"/>
      <c r="U1137">
        <f>[1]!EM_S_RATIO_EPS_TTM(B1137,E1137,"1")</f>
        <v>2.8806107096649842E-2</v>
      </c>
      <c r="AT1137" s="4" t="str">
        <f>[1]!EM_S_IPO_LISTEDDATE(B1137)</f>
        <v>2008-01-23</v>
      </c>
    </row>
    <row r="1138" spans="1:46">
      <c r="A1138">
        <v>685</v>
      </c>
      <c r="B1138" t="str">
        <f>"002174"</f>
        <v>002174</v>
      </c>
      <c r="C1138" t="s">
        <v>251</v>
      </c>
      <c r="D1138" t="str">
        <f>[1]!EM_S_INFO_INDEX_EM(B1138,"1")</f>
        <v>互联网</v>
      </c>
      <c r="E1138" s="4">
        <f t="shared" si="17"/>
        <v>43465</v>
      </c>
      <c r="F1138" s="11">
        <f>[1]!EM_S_PQ_PCTCHANGE(B1138,"2018-01-01","2019-12-31","3")</f>
        <v>4.8831928199999997</v>
      </c>
      <c r="G1138" s="11">
        <f>[1]!EM_S_PQ_PCTCHANGE(B1138,"2018-12-31","2019-12-30","1")</f>
        <v>23.830016140000001</v>
      </c>
      <c r="H1138" s="11">
        <f>[1]!EM_S_FA_YOY_OR(B1138,E1138)</f>
        <v>10.6802575069</v>
      </c>
      <c r="I1138" s="11">
        <f>[1]!EM_S_FA_GROSSPROFITMARGIN(B1138,E1138)</f>
        <v>56.078504514199999</v>
      </c>
      <c r="J1138" s="11">
        <f>[1]!EM_S_FA_NETPROFITMARGIN(B1138,E1138)</f>
        <v>28.240368961800002</v>
      </c>
      <c r="K1138" s="10">
        <f>[1]!EM_S_FA_ASSETSTURN(B1138,E1138)</f>
        <v>0.51276057017800003</v>
      </c>
      <c r="L1138" s="12">
        <f>[1]!EM_HKS_VAL_MV(B1138,"2019-12-31","2")</f>
        <v>20674647404.709999</v>
      </c>
      <c r="M1138">
        <f>[1]!EM_S_VAL_PETTMDEDUCTED(B1138,E1138)</f>
        <v>23.083985220574899</v>
      </c>
      <c r="N1138" s="7">
        <f>[1]!EM_S_VAL_PBGOODWILLDEDUCTED(B1138,E1138)</f>
        <v>4.6851493581061998</v>
      </c>
      <c r="O1138" s="7">
        <f>[1]!EM_S_VAL_PS_TTM(B1138,E1138)</f>
        <v>4.8220687144870098</v>
      </c>
      <c r="P1138" s="7">
        <f>[1]!EM_S_VAL_PCF_NCFTTM(B1138,E1138)</f>
        <v>-129.66725132228001</v>
      </c>
      <c r="Q1138" s="7">
        <f>[1]!EM_S_VAL_DIVIDENDYIELD2(B1138,E1138,"2019-11-29")</f>
        <v>0</v>
      </c>
      <c r="T1138"/>
      <c r="U1138">
        <f>[1]!EM_S_RATIO_EPS_TTM(B1138,E1138,"1")</f>
        <v>1.1357944536616913</v>
      </c>
      <c r="AT1138" s="4" t="str">
        <f>[1]!EM_S_IPO_LISTEDDATE(B1138)</f>
        <v>2007-09-25</v>
      </c>
    </row>
    <row r="1139" spans="1:46">
      <c r="A1139">
        <v>2912</v>
      </c>
      <c r="B1139" t="str">
        <f>"600839"</f>
        <v>600839</v>
      </c>
      <c r="C1139" t="s">
        <v>2703</v>
      </c>
      <c r="D1139" t="str">
        <f>[1]!EM_S_INFO_INDEX_EM(B1139,"1")</f>
        <v>家电</v>
      </c>
      <c r="E1139" s="4">
        <f t="shared" si="17"/>
        <v>43465</v>
      </c>
      <c r="F1139" s="11">
        <f>[1]!EM_S_PQ_PCTCHANGE(B1139,"2018-01-01","2019-12-31","3")</f>
        <v>-15.44072266</v>
      </c>
      <c r="G1139" s="11">
        <f>[1]!EM_S_PQ_PCTCHANGE(B1139,"2018-12-31","2019-12-30","1")</f>
        <v>23.809523810000002</v>
      </c>
      <c r="H1139" s="11">
        <f>[1]!EM_S_FA_YOY_OR(B1139,E1139)</f>
        <v>6.6832323841000001</v>
      </c>
      <c r="I1139" s="11">
        <f>[1]!EM_S_FA_GROSSPROFITMARGIN(B1139,E1139)</f>
        <v>12.471599684699999</v>
      </c>
      <c r="J1139" s="11">
        <f>[1]!EM_S_FA_NETPROFITMARGIN(B1139,E1139)</f>
        <v>0.79241844949999996</v>
      </c>
      <c r="K1139" s="10">
        <f>[1]!EM_S_FA_ASSETSTURN(B1139,E1139)</f>
        <v>1.2179464673060001</v>
      </c>
      <c r="L1139" s="12">
        <f>[1]!EM_HKS_VAL_MV(B1139,"2019-12-31","2")</f>
        <v>13433270686.02</v>
      </c>
      <c r="M1139">
        <f>[1]!EM_S_VAL_PETTMDEDUCTED(B1139,E1139)</f>
        <v>42.043909970591699</v>
      </c>
      <c r="N1139" s="7">
        <f>[1]!EM_S_VAL_PBGOODWILLDEDUCTED(B1139,E1139)</f>
        <v>0.84603990951907704</v>
      </c>
      <c r="O1139" s="7">
        <f>[1]!EM_S_VAL_PS_TTM(B1139,E1139)</f>
        <v>0.13224139897915099</v>
      </c>
      <c r="P1139" s="7">
        <f>[1]!EM_S_VAL_PCF_NCFTTM(B1139,E1139)</f>
        <v>-14.0447393988852</v>
      </c>
      <c r="Q1139" s="7">
        <f>[1]!EM_S_VAL_DIVIDENDYIELD2(B1139,E1139,"2019-11-29")</f>
        <v>0.82089552238805963</v>
      </c>
      <c r="T1139"/>
      <c r="U1139">
        <f>[1]!EM_S_RATIO_EPS_TTM(B1139,E1139,"1")</f>
        <v>7.0017658337834798E-2</v>
      </c>
      <c r="AT1139" s="4" t="str">
        <f>[1]!EM_S_IPO_LISTEDDATE(B1139)</f>
        <v>1994-03-11</v>
      </c>
    </row>
    <row r="1140" spans="1:46">
      <c r="A1140">
        <v>1679</v>
      </c>
      <c r="B1140" t="str">
        <f>"300254"</f>
        <v>300254</v>
      </c>
      <c r="C1140" t="s">
        <v>2332</v>
      </c>
      <c r="D1140" t="str">
        <f>[1]!EM_S_INFO_INDEX_EM(B1140,"1")</f>
        <v>医药生物</v>
      </c>
      <c r="E1140" s="4">
        <f t="shared" si="17"/>
        <v>43465</v>
      </c>
      <c r="F1140" s="11">
        <f>[1]!EM_S_PQ_PCTCHANGE(B1140,"2018-01-01","2019-12-31","3")</f>
        <v>-20.678845410000001</v>
      </c>
      <c r="G1140" s="11">
        <f>[1]!EM_S_PQ_PCTCHANGE(B1140,"2018-12-31","2019-12-30","1")</f>
        <v>23.765432100000002</v>
      </c>
      <c r="H1140" s="11">
        <f>[1]!EM_S_FA_YOY_OR(B1140,E1140)</f>
        <v>21.041835414600001</v>
      </c>
      <c r="I1140" s="11">
        <f>[1]!EM_S_FA_GROSSPROFITMARGIN(B1140,E1140)</f>
        <v>76.438503348599994</v>
      </c>
      <c r="J1140" s="11">
        <f>[1]!EM_S_FA_NETPROFITMARGIN(B1140,E1140)</f>
        <v>0.85958605889999995</v>
      </c>
      <c r="K1140" s="10">
        <f>[1]!EM_S_FA_ASSETSTURN(B1140,E1140)</f>
        <v>0.75406851373600003</v>
      </c>
      <c r="L1140" s="12">
        <f>[1]!EM_HKS_VAL_MV(B1140,"2019-12-31","2")</f>
        <v>1689377880</v>
      </c>
      <c r="M1140">
        <f>[1]!EM_S_VAL_PETTMDEDUCTED(B1140,E1140)</f>
        <v>-224.979270139091</v>
      </c>
      <c r="N1140" s="7">
        <f>[1]!EM_S_VAL_PBGOODWILLDEDUCTED(B1140,E1140)</f>
        <v>2.1276439037813302</v>
      </c>
      <c r="O1140" s="7">
        <f>[1]!EM_S_VAL_PS_TTM(B1140,E1140)</f>
        <v>1.2358381550269699</v>
      </c>
      <c r="P1140" s="7">
        <f>[1]!EM_S_VAL_PCF_NCFTTM(B1140,E1140)</f>
        <v>-18.198609348840598</v>
      </c>
      <c r="Q1140" s="7">
        <f>[1]!EM_S_VAL_DIVIDENDYIELD2(B1140,E1140,"2019-11-29")</f>
        <v>0.26315789473684209</v>
      </c>
      <c r="T1140"/>
      <c r="U1140">
        <f>[1]!EM_S_RATIO_EPS_TTM(B1140,E1140,"1")</f>
        <v>3.4761414155961366E-2</v>
      </c>
      <c r="AT1140" s="4" t="str">
        <f>[1]!EM_S_IPO_LISTEDDATE(B1140)</f>
        <v>2011-08-19</v>
      </c>
    </row>
    <row r="1141" spans="1:46">
      <c r="A1141">
        <v>1471</v>
      </c>
      <c r="B1141" t="str">
        <f>"300045"</f>
        <v>300045</v>
      </c>
      <c r="C1141" t="s">
        <v>3304</v>
      </c>
      <c r="D1141" t="str">
        <f>[1]!EM_S_INFO_INDEX_EM(B1141,"1")</f>
        <v>信息技术</v>
      </c>
      <c r="E1141" s="4">
        <f t="shared" si="17"/>
        <v>43465</v>
      </c>
      <c r="F1141" s="11">
        <f>[1]!EM_S_PQ_PCTCHANGE(B1141,"2018-01-01","2019-12-31","3")</f>
        <v>-16.811669970000001</v>
      </c>
      <c r="G1141" s="11">
        <f>[1]!EM_S_PQ_PCTCHANGE(B1141,"2018-12-31","2019-12-30","1")</f>
        <v>23.746701850000001</v>
      </c>
      <c r="H1141" s="11">
        <f>[1]!EM_S_FA_YOY_OR(B1141,E1141)</f>
        <v>18.943642388699999</v>
      </c>
      <c r="I1141" s="11">
        <f>[1]!EM_S_FA_GROSSPROFITMARGIN(B1141,E1141)</f>
        <v>44.075311856500001</v>
      </c>
      <c r="J1141" s="11">
        <f>[1]!EM_S_FA_NETPROFITMARGIN(B1141,E1141)</f>
        <v>17.583409851399999</v>
      </c>
      <c r="K1141" s="10">
        <f>[1]!EM_S_FA_ASSETSTURN(B1141,E1141)</f>
        <v>0.32205066236500002</v>
      </c>
      <c r="L1141" s="12">
        <f>[1]!EM_HKS_VAL_MV(B1141,"2019-12-31","2")</f>
        <v>5731812926.8400002</v>
      </c>
      <c r="M1141">
        <f>[1]!EM_S_VAL_PETTMDEDUCTED(B1141,E1141)</f>
        <v>46.580068430576297</v>
      </c>
      <c r="N1141" s="7">
        <f>[1]!EM_S_VAL_PBGOODWILLDEDUCTED(B1141,E1141)</f>
        <v>3.0263442271329399</v>
      </c>
      <c r="O1141" s="7">
        <f>[1]!EM_S_VAL_PS_TTM(B1141,E1141)</f>
        <v>7.1748952924118701</v>
      </c>
      <c r="P1141" s="7">
        <f>[1]!EM_S_VAL_PCF_NCFTTM(B1141,E1141)</f>
        <v>30.399652503290302</v>
      </c>
      <c r="Q1141" s="7">
        <f>[1]!EM_S_VAL_DIVIDENDYIELD2(B1141,E1141,"2019-11-29")</f>
        <v>0.23658651865095587</v>
      </c>
      <c r="T1141"/>
      <c r="U1141">
        <f>[1]!EM_S_RATIO_EPS_TTM(B1141,E1141,"1")</f>
        <v>0.19183796223483005</v>
      </c>
      <c r="AT1141" s="4" t="str">
        <f>[1]!EM_S_IPO_LISTEDDATE(B1141)</f>
        <v>2010-01-20</v>
      </c>
    </row>
    <row r="1142" spans="1:46">
      <c r="A1142">
        <v>2980</v>
      </c>
      <c r="B1142" t="str">
        <f>"600926"</f>
        <v>600926</v>
      </c>
      <c r="C1142" t="s">
        <v>600</v>
      </c>
      <c r="D1142" t="str">
        <f>[1]!EM_S_INFO_INDEX_EM(B1142,"1")</f>
        <v>金融</v>
      </c>
      <c r="E1142" s="4">
        <f t="shared" si="17"/>
        <v>43465</v>
      </c>
      <c r="F1142" s="11">
        <f>[1]!EM_S_PQ_PCTCHANGE(B1142,"2018-01-01","2019-12-31","3")</f>
        <v>17.765136389999999</v>
      </c>
      <c r="G1142" s="11">
        <f>[1]!EM_S_PQ_PCTCHANGE(B1142,"2018-12-31","2019-12-30","1")</f>
        <v>23.648648649999998</v>
      </c>
      <c r="H1142" s="11">
        <f>[1]!EM_S_FA_YOY_OR(B1142,E1142)</f>
        <v>20.7678664574</v>
      </c>
      <c r="I1142" s="11">
        <f>[1]!EM_S_FA_GROSSPROFITMARGIN(B1142,E1142)</f>
        <v>0</v>
      </c>
      <c r="J1142" s="11">
        <f>[1]!EM_S_FA_NETPROFITMARGIN(B1142,E1142)</f>
        <v>31.734494896800001</v>
      </c>
      <c r="K1142" s="10">
        <f>[1]!EM_S_FA_ASSETSTURN(B1142,E1142)</f>
        <v>0</v>
      </c>
      <c r="L1142" s="12">
        <f>[1]!EM_HKS_VAL_MV(B1142,"2019-12-31","2")</f>
        <v>46992635957.120003</v>
      </c>
      <c r="M1142">
        <f>[1]!EM_S_VAL_PETTMDEDUCTED(B1142,E1142)</f>
        <v>7.1732806579161696</v>
      </c>
      <c r="N1142" s="7">
        <f>[1]!EM_S_VAL_PBGOODWILLDEDUCTED(B1142,E1142)</f>
        <v>0.80456039612613905</v>
      </c>
      <c r="O1142" s="7">
        <f>[1]!EM_S_VAL_PS_TTM(B1142,E1142)</f>
        <v>2.2784535207399501</v>
      </c>
      <c r="P1142" s="7">
        <f>[1]!EM_S_VAL_PCF_NCFTTM(B1142,E1142)</f>
        <v>-1.67708934173215</v>
      </c>
      <c r="Q1142" s="7">
        <f>[1]!EM_S_VAL_DIVIDENDYIELD2(B1142,E1142,"2019-11-29")</f>
        <v>2.8702640642939152</v>
      </c>
      <c r="T1142"/>
      <c r="U1142">
        <f>[1]!EM_S_RATIO_EPS_TTM(B1142,E1142,"1")</f>
        <v>1.0549455273212609</v>
      </c>
      <c r="AT1142" s="4" t="str">
        <f>[1]!EM_S_IPO_LISTEDDATE(B1142)</f>
        <v>2016-10-27</v>
      </c>
    </row>
    <row r="1143" spans="1:46">
      <c r="A1143">
        <v>2717</v>
      </c>
      <c r="B1143" t="str">
        <f>"600644"</f>
        <v>600644</v>
      </c>
      <c r="C1143" t="s">
        <v>1958</v>
      </c>
      <c r="D1143" t="str">
        <f>[1]!EM_S_INFO_INDEX_EM(B1143,"1")</f>
        <v>公用事业</v>
      </c>
      <c r="E1143" s="4">
        <f t="shared" si="17"/>
        <v>43465</v>
      </c>
      <c r="F1143" s="11">
        <f>[1]!EM_S_PQ_PCTCHANGE(B1143,"2018-01-01","2019-12-31","3")</f>
        <v>-20.709219860000001</v>
      </c>
      <c r="G1143" s="11">
        <f>[1]!EM_S_PQ_PCTCHANGE(B1143,"2018-12-31","2019-12-30","1")</f>
        <v>23.608017820000001</v>
      </c>
      <c r="H1143" s="11">
        <f>[1]!EM_S_FA_YOY_OR(B1143,E1143)</f>
        <v>5.4324826987000003</v>
      </c>
      <c r="I1143" s="11">
        <f>[1]!EM_S_FA_GROSSPROFITMARGIN(B1143,E1143)</f>
        <v>23.412796136299999</v>
      </c>
      <c r="J1143" s="11">
        <f>[1]!EM_S_FA_NETPROFITMARGIN(B1143,E1143)</f>
        <v>3.9057898584999999</v>
      </c>
      <c r="K1143" s="10">
        <f>[1]!EM_S_FA_ASSETSTURN(B1143,E1143)</f>
        <v>0.68515091748800006</v>
      </c>
      <c r="L1143" s="12">
        <f>[1]!EM_HKS_VAL_MV(B1143,"2019-12-31","2")</f>
        <v>3009659683.8099999</v>
      </c>
      <c r="M1143">
        <f>[1]!EM_S_VAL_PETTMDEDUCTED(B1143,E1143)</f>
        <v>23.6172056872479</v>
      </c>
      <c r="N1143" s="7">
        <f>[1]!EM_S_VAL_PBGOODWILLDEDUCTED(B1143,E1143)</f>
        <v>1.7908039885604901</v>
      </c>
      <c r="O1143" s="7">
        <f>[1]!EM_S_VAL_PS_TTM(B1143,E1143)</f>
        <v>1.10775724813105</v>
      </c>
      <c r="P1143" s="7">
        <f>[1]!EM_S_VAL_PCF_NCFTTM(B1143,E1143)</f>
        <v>41.8447621950315</v>
      </c>
      <c r="Q1143" s="7">
        <f>[1]!EM_S_VAL_DIVIDENDYIELD2(B1143,E1143,"2019-11-29")</f>
        <v>0</v>
      </c>
      <c r="T1143"/>
      <c r="U1143">
        <f>[1]!EM_S_RATIO_EPS_TTM(B1143,E1143,"1")</f>
        <v>0.15024988366516839</v>
      </c>
      <c r="AT1143" s="4" t="str">
        <f>[1]!EM_S_IPO_LISTEDDATE(B1143)</f>
        <v>1993-04-26</v>
      </c>
    </row>
    <row r="1144" spans="1:46">
      <c r="A1144">
        <v>2211</v>
      </c>
      <c r="B1144" t="str">
        <f>"600064"</f>
        <v>600064</v>
      </c>
      <c r="C1144" t="s">
        <v>1517</v>
      </c>
      <c r="D1144" t="str">
        <f>[1]!EM_S_INFO_INDEX_EM(B1144,"1")</f>
        <v>房地产</v>
      </c>
      <c r="E1144" s="4">
        <f t="shared" si="17"/>
        <v>43465</v>
      </c>
      <c r="F1144" s="11">
        <f>[1]!EM_S_PQ_PCTCHANGE(B1144,"2018-01-01","2019-12-31","3")</f>
        <v>13.28167414</v>
      </c>
      <c r="G1144" s="11">
        <f>[1]!EM_S_PQ_PCTCHANGE(B1144,"2018-12-31","2019-12-30","1")</f>
        <v>23.604060910000001</v>
      </c>
      <c r="H1144" s="11">
        <f>[1]!EM_S_FA_YOY_OR(B1144,E1144)</f>
        <v>-5.4747288538000003</v>
      </c>
      <c r="I1144" s="11">
        <f>[1]!EM_S_FA_GROSSPROFITMARGIN(B1144,E1144)</f>
        <v>48.1096929721</v>
      </c>
      <c r="J1144" s="11">
        <f>[1]!EM_S_FA_NETPROFITMARGIN(B1144,E1144)</f>
        <v>31.4816775695</v>
      </c>
      <c r="K1144" s="10">
        <f>[1]!EM_S_FA_ASSETSTURN(B1144,E1144)</f>
        <v>0.13148793362</v>
      </c>
      <c r="L1144" s="12">
        <f>[1]!EM_HKS_VAL_MV(B1144,"2019-12-31","2")</f>
        <v>12050579658</v>
      </c>
      <c r="M1144">
        <f>[1]!EM_S_VAL_PETTMDEDUCTED(B1144,E1144)</f>
        <v>10.989864440988701</v>
      </c>
      <c r="N1144" s="7">
        <f>[1]!EM_S_VAL_PBGOODWILLDEDUCTED(B1144,E1144)</f>
        <v>1.0438080014745501</v>
      </c>
      <c r="O1144" s="7">
        <f>[1]!EM_S_VAL_PS_TTM(B1144,E1144)</f>
        <v>2.2537177564438902</v>
      </c>
      <c r="P1144" s="7">
        <f>[1]!EM_S_VAL_PCF_NCFTTM(B1144,E1144)</f>
        <v>-28.712074167099001</v>
      </c>
      <c r="Q1144" s="7">
        <f>[1]!EM_S_VAL_DIVIDENDYIELD2(B1144,E1144,"2019-11-29")</f>
        <v>2.7262813522355511</v>
      </c>
      <c r="T1144"/>
      <c r="U1144">
        <f>[1]!EM_S_RATIO_EPS_TTM(B1144,E1144,"1")</f>
        <v>0.77539869622863411</v>
      </c>
      <c r="AT1144" s="4" t="str">
        <f>[1]!EM_S_IPO_LISTEDDATE(B1144)</f>
        <v>1997-05-06</v>
      </c>
    </row>
    <row r="1145" spans="1:46">
      <c r="A1145">
        <v>348</v>
      </c>
      <c r="B1145" t="str">
        <f>"000788"</f>
        <v>000788</v>
      </c>
      <c r="C1145" t="s">
        <v>2007</v>
      </c>
      <c r="D1145" t="str">
        <f>[1]!EM_S_INFO_INDEX_EM(B1145,"1")</f>
        <v>医药生物</v>
      </c>
      <c r="E1145" s="4">
        <f t="shared" si="17"/>
        <v>43465</v>
      </c>
      <c r="F1145" s="11">
        <f>[1]!EM_S_PQ_PCTCHANGE(B1145,"2018-01-01","2019-12-31","3")</f>
        <v>-23.19088146</v>
      </c>
      <c r="G1145" s="11">
        <f>[1]!EM_S_PQ_PCTCHANGE(B1145,"2018-12-31","2019-12-30","1")</f>
        <v>23.563218389999999</v>
      </c>
      <c r="H1145" s="11">
        <f>[1]!EM_S_FA_YOY_OR(B1145,E1145)</f>
        <v>7.9163478676999999</v>
      </c>
      <c r="I1145" s="11">
        <f>[1]!EM_S_FA_GROSSPROFITMARGIN(B1145,E1145)</f>
        <v>35.047941395800002</v>
      </c>
      <c r="J1145" s="11">
        <f>[1]!EM_S_FA_NETPROFITMARGIN(B1145,E1145)</f>
        <v>1.9440404781</v>
      </c>
      <c r="K1145" s="10">
        <f>[1]!EM_S_FA_ASSETSTURN(B1145,E1145)</f>
        <v>1.0979045542000001</v>
      </c>
      <c r="L1145" s="12">
        <f>[1]!EM_HKS_VAL_MV(B1145,"2019-12-31","2")</f>
        <v>3969276250.5</v>
      </c>
      <c r="M1145">
        <f>[1]!EM_S_VAL_PETTMDEDUCTED(B1145,E1145)</f>
        <v>67.128721004438503</v>
      </c>
      <c r="N1145" s="7">
        <f>[1]!EM_S_VAL_PBGOODWILLDEDUCTED(B1145,E1145)</f>
        <v>2.5627035939666301</v>
      </c>
      <c r="O1145" s="7">
        <f>[1]!EM_S_VAL_PS_TTM(B1145,E1145)</f>
        <v>1.44911285661837</v>
      </c>
      <c r="P1145" s="7">
        <f>[1]!EM_S_VAL_PCF_NCFTTM(B1145,E1145)</f>
        <v>-73.012503957629207</v>
      </c>
      <c r="Q1145" s="7">
        <f>[1]!EM_S_VAL_DIVIDENDYIELD2(B1145,E1145,"2019-11-29")</f>
        <v>0.30441400304414001</v>
      </c>
      <c r="T1145"/>
      <c r="U1145">
        <f>[1]!EM_S_RATIO_EPS_TTM(B1145,E1145,"1")</f>
        <v>7.5804531010029277E-2</v>
      </c>
      <c r="AT1145" s="4" t="str">
        <f>[1]!EM_S_IPO_LISTEDDATE(B1145)</f>
        <v>1997-06-16</v>
      </c>
    </row>
    <row r="1146" spans="1:46">
      <c r="A1146">
        <v>66</v>
      </c>
      <c r="B1146" t="str">
        <f>"000096"</f>
        <v>000096</v>
      </c>
      <c r="C1146" t="s">
        <v>2615</v>
      </c>
      <c r="D1146" t="str">
        <f>[1]!EM_S_INFO_INDEX_EM(B1146,"1")</f>
        <v>化石能源</v>
      </c>
      <c r="E1146" s="4">
        <f t="shared" si="17"/>
        <v>43465</v>
      </c>
      <c r="F1146" s="11">
        <f>[1]!EM_S_PQ_PCTCHANGE(B1146,"2018-01-01","2019-12-31","3")</f>
        <v>-13.42286082</v>
      </c>
      <c r="G1146" s="11">
        <f>[1]!EM_S_PQ_PCTCHANGE(B1146,"2019-01-01","2019-12-31","3")</f>
        <v>23.50490568</v>
      </c>
      <c r="H1146" s="11">
        <f>[1]!EM_S_FA_YOY_OR(B1146,E1146)</f>
        <v>33.062328386399997</v>
      </c>
      <c r="I1146" s="11">
        <f>[1]!EM_S_FA_GROSSPROFITMARGIN(B1146,E1146)</f>
        <v>9.1704324281999998</v>
      </c>
      <c r="J1146" s="11">
        <f>[1]!EM_S_FA_NETPROFITMARGIN(B1146,E1146)</f>
        <v>6.7531533160999997</v>
      </c>
      <c r="K1146" s="10">
        <f>[1]!EM_S_FA_ASSETSTURN(B1146,E1146)</f>
        <v>0.63621617278499998</v>
      </c>
      <c r="L1146" s="12">
        <f>[1]!EM_HKS_VAL_MV(B1146,"2019-12-31","2")</f>
        <v>6019200000</v>
      </c>
      <c r="M1146">
        <f>[1]!EM_S_VAL_PETTMDEDUCTED(B1146,E1146)</f>
        <v>40.480868802448498</v>
      </c>
      <c r="N1146" s="7">
        <f>[1]!EM_S_VAL_PBGOODWILLDEDUCTED(B1146,E1146)</f>
        <v>2.08336698810117</v>
      </c>
      <c r="O1146" s="7">
        <f>[1]!EM_S_VAL_PS_TTM(B1146,E1146)</f>
        <v>3.0123761522647499</v>
      </c>
      <c r="P1146" s="7">
        <f>[1]!EM_S_VAL_PCF_NCFTTM(B1146,E1146)</f>
        <v>47.279033111920498</v>
      </c>
      <c r="Q1146" s="7">
        <f>[1]!EM_S_VAL_DIVIDENDYIELD2(B1146,E1146,"2019-11-29")</f>
        <v>0.18975332068311196</v>
      </c>
      <c r="T1146"/>
      <c r="U1146">
        <f>[1]!EM_S_RATIO_EPS_TTM(B1146,E1146,"1")</f>
        <v>0.20403518541666668</v>
      </c>
      <c r="AT1146" s="4" t="str">
        <f>[1]!EM_S_IPO_LISTEDDATE(B1146)</f>
        <v>2000-07-24</v>
      </c>
    </row>
    <row r="1147" spans="1:46">
      <c r="A1147">
        <v>1332</v>
      </c>
      <c r="B1147" t="str">
        <f>"002829"</f>
        <v>002829</v>
      </c>
      <c r="C1147" t="s">
        <v>2701</v>
      </c>
      <c r="D1147" t="str">
        <f>[1]!EM_S_INFO_INDEX_EM(B1147,"1")</f>
        <v>国防与装备</v>
      </c>
      <c r="E1147" s="4">
        <f t="shared" si="17"/>
        <v>43465</v>
      </c>
      <c r="F1147" s="11">
        <f>[1]!EM_S_PQ_PCTCHANGE(B1147,"2018-01-01","2019-12-31","3")</f>
        <v>-19.893188469999998</v>
      </c>
      <c r="G1147" s="11">
        <f>[1]!EM_S_PQ_PCTCHANGE(B1147,"2018-12-31","2019-12-30","1")</f>
        <v>23.5</v>
      </c>
      <c r="H1147" s="11">
        <f>[1]!EM_S_FA_YOY_OR(B1147,E1147)</f>
        <v>-1.7701921592000001</v>
      </c>
      <c r="I1147" s="11">
        <f>[1]!EM_S_FA_GROSSPROFITMARGIN(B1147,E1147)</f>
        <v>48.5013784255</v>
      </c>
      <c r="J1147" s="11">
        <f>[1]!EM_S_FA_NETPROFITMARGIN(B1147,E1147)</f>
        <v>10.8505798883</v>
      </c>
      <c r="K1147" s="10">
        <f>[1]!EM_S_FA_ASSETSTURN(B1147,E1147)</f>
        <v>0.24358000202300001</v>
      </c>
      <c r="L1147" s="12">
        <f>[1]!EM_HKS_VAL_MV(B1147,"2019-12-31","2")</f>
        <v>3417473535</v>
      </c>
      <c r="M1147">
        <f>[1]!EM_S_VAL_PETTMDEDUCTED(B1147,E1147)</f>
        <v>138.65713156790301</v>
      </c>
      <c r="N1147" s="7">
        <f>[1]!EM_S_VAL_PBGOODWILLDEDUCTED(B1147,E1147)</f>
        <v>5.1236366392609201</v>
      </c>
      <c r="O1147" s="7">
        <f>[1]!EM_S_VAL_PS_TTM(B1147,E1147)</f>
        <v>5.9267820279685903</v>
      </c>
      <c r="P1147" s="7">
        <f>[1]!EM_S_VAL_PCF_NCFTTM(B1147,E1147)</f>
        <v>631.28097167392696</v>
      </c>
      <c r="Q1147" s="7">
        <f>[1]!EM_S_VAL_DIVIDENDYIELD2(B1147,E1147,"2019-11-29")</f>
        <v>0</v>
      </c>
      <c r="T1147"/>
      <c r="U1147">
        <f>[1]!EM_S_RATIO_EPS_TTM(B1147,E1147,"1")</f>
        <v>0.11530758306561413</v>
      </c>
      <c r="AT1147" s="4" t="str">
        <f>[1]!EM_S_IPO_LISTEDDATE(B1147)</f>
        <v>2016-12-13</v>
      </c>
    </row>
    <row r="1148" spans="1:46">
      <c r="A1148">
        <v>1342</v>
      </c>
      <c r="B1148" t="str">
        <f>"002840"</f>
        <v>002840</v>
      </c>
      <c r="C1148" t="s">
        <v>502</v>
      </c>
      <c r="D1148" t="str">
        <f>[1]!EM_S_INFO_INDEX_EM(B1148,"1")</f>
        <v>食品饮料</v>
      </c>
      <c r="E1148" s="4">
        <f t="shared" si="17"/>
        <v>43465</v>
      </c>
      <c r="F1148" s="11">
        <f>[1]!EM_S_PQ_PCTCHANGE(B1148,"2018-01-01","2019-12-31","3")</f>
        <v>-38.362610330000003</v>
      </c>
      <c r="G1148" s="11">
        <f>[1]!EM_S_PQ_PCTCHANGE(B1148,"2018-12-31","2019-12-30","1")</f>
        <v>23.488905890000002</v>
      </c>
      <c r="H1148" s="11">
        <f>[1]!EM_S_FA_YOY_OR(B1148,E1148)</f>
        <v>8.5381561753999993</v>
      </c>
      <c r="I1148" s="11">
        <f>[1]!EM_S_FA_GROSSPROFITMARGIN(B1148,E1148)</f>
        <v>6.3347002883999997</v>
      </c>
      <c r="J1148" s="11">
        <f>[1]!EM_S_FA_NETPROFITMARGIN(B1148,E1148)</f>
        <v>3.3812617435000001</v>
      </c>
      <c r="K1148" s="10">
        <f>[1]!EM_S_FA_ASSETSTURN(B1148,E1148)</f>
        <v>2.7264803656250001</v>
      </c>
      <c r="L1148" s="12">
        <f>[1]!EM_HKS_VAL_MV(B1148,"2019-12-31","2")</f>
        <v>4521620815</v>
      </c>
      <c r="M1148">
        <f>[1]!EM_S_VAL_PETTMDEDUCTED(B1148,E1148)</f>
        <v>43.216584057699301</v>
      </c>
      <c r="N1148" s="7">
        <f>[1]!EM_S_VAL_PBGOODWILLDEDUCTED(B1148,E1148)</f>
        <v>2.79333116453597</v>
      </c>
      <c r="O1148" s="7">
        <f>[1]!EM_S_VAL_PS_TTM(B1148,E1148)</f>
        <v>0.68726911076921704</v>
      </c>
      <c r="P1148" s="7">
        <f>[1]!EM_S_VAL_PCF_NCFTTM(B1148,E1148)</f>
        <v>62.468544708921897</v>
      </c>
      <c r="Q1148" s="7">
        <f>[1]!EM_S_VAL_DIVIDENDYIELD2(B1148,E1148,"2019-11-29")</f>
        <v>0</v>
      </c>
      <c r="T1148"/>
      <c r="U1148">
        <f>[1]!EM_S_RATIO_EPS_TTM(B1148,E1148,"1")</f>
        <v>0.56048002297014499</v>
      </c>
      <c r="AT1148" s="4" t="str">
        <f>[1]!EM_S_IPO_LISTEDDATE(B1148)</f>
        <v>2017-01-10</v>
      </c>
    </row>
    <row r="1149" spans="1:46">
      <c r="A1149">
        <v>336</v>
      </c>
      <c r="B1149" t="str">
        <f>"000768"</f>
        <v>000768</v>
      </c>
      <c r="C1149" t="s">
        <v>2971</v>
      </c>
      <c r="D1149" t="str">
        <f>[1]!EM_S_INFO_INDEX_EM(B1149,"1")</f>
        <v>国防与装备</v>
      </c>
      <c r="E1149" s="4">
        <f t="shared" si="17"/>
        <v>43465</v>
      </c>
      <c r="F1149" s="11">
        <f>[1]!EM_S_PQ_PCTCHANGE(B1149,"2018-01-01","2019-12-31","3")</f>
        <v>-1.84276745</v>
      </c>
      <c r="G1149" s="11">
        <f>[1]!EM_S_PQ_PCTCHANGE(B1149,"2018-12-31","2019-12-30","1")</f>
        <v>23.41389728</v>
      </c>
      <c r="H1149" s="11">
        <f>[1]!EM_S_FA_YOY_OR(B1149,E1149)</f>
        <v>7.6883209280000004</v>
      </c>
      <c r="I1149" s="11">
        <f>[1]!EM_S_FA_GROSSPROFITMARGIN(B1149,E1149)</f>
        <v>6.1029696121999999</v>
      </c>
      <c r="J1149" s="11">
        <f>[1]!EM_S_FA_NETPROFITMARGIN(B1149,E1149)</f>
        <v>1.5175971670999999</v>
      </c>
      <c r="K1149" s="10">
        <f>[1]!EM_S_FA_ASSETSTURN(B1149,E1149)</f>
        <v>0.75518362383399995</v>
      </c>
      <c r="L1149" s="12">
        <f>[1]!EM_HKS_VAL_MV(B1149,"2019-12-31","2")</f>
        <v>45350406262.980003</v>
      </c>
      <c r="M1149">
        <f>[1]!EM_S_VAL_PETTMDEDUCTED(B1149,E1149)</f>
        <v>76.298716496337505</v>
      </c>
      <c r="N1149" s="7">
        <f>[1]!EM_S_VAL_PBGOODWILLDEDUCTED(B1149,E1149)</f>
        <v>2.2841995120143399</v>
      </c>
      <c r="O1149" s="7">
        <f>[1]!EM_S_VAL_PS_TTM(B1149,E1149)</f>
        <v>1.1459420119218999</v>
      </c>
      <c r="P1149" s="7">
        <f>[1]!EM_S_VAL_PCF_NCFTTM(B1149,E1149)</f>
        <v>-34.590271593597798</v>
      </c>
      <c r="Q1149" s="7">
        <f>[1]!EM_S_VAL_DIVIDENDYIELD2(B1149,E1149,"2019-11-29")</f>
        <v>0.62893081761006298</v>
      </c>
      <c r="T1149"/>
      <c r="U1149">
        <f>[1]!EM_S_RATIO_EPS_TTM(B1149,E1149,"1")</f>
        <v>0.2015564295962442</v>
      </c>
      <c r="AT1149" s="4" t="str">
        <f>[1]!EM_S_IPO_LISTEDDATE(B1149)</f>
        <v>1997-06-26</v>
      </c>
    </row>
    <row r="1150" spans="1:46">
      <c r="A1150">
        <v>3427</v>
      </c>
      <c r="B1150" t="str">
        <f>"603538"</f>
        <v>603538</v>
      </c>
      <c r="C1150" t="s">
        <v>2516</v>
      </c>
      <c r="D1150" t="str">
        <f>[1]!EM_S_INFO_INDEX_EM(B1150,"1")</f>
        <v>医药生物</v>
      </c>
      <c r="E1150" s="4">
        <f t="shared" si="17"/>
        <v>43465</v>
      </c>
      <c r="F1150" s="11">
        <f>[1]!EM_S_PQ_PCTCHANGE(B1150,"2018-01-01","2019-12-31","3")</f>
        <v>14.543555639999999</v>
      </c>
      <c r="G1150" s="11">
        <f>[1]!EM_S_PQ_PCTCHANGE(B1150,"2018-12-31","2019-12-30","1")</f>
        <v>23.311325549999999</v>
      </c>
      <c r="H1150" s="11">
        <f>[1]!EM_S_FA_YOY_OR(B1150,E1150)</f>
        <v>40.249898486100001</v>
      </c>
      <c r="I1150" s="11">
        <f>[1]!EM_S_FA_GROSSPROFITMARGIN(B1150,E1150)</f>
        <v>32.5648258003</v>
      </c>
      <c r="J1150" s="11">
        <f>[1]!EM_S_FA_NETPROFITMARGIN(B1150,E1150)</f>
        <v>12.3753281959</v>
      </c>
      <c r="K1150" s="10">
        <f>[1]!EM_S_FA_ASSETSTURN(B1150,E1150)</f>
        <v>0.44861769377299998</v>
      </c>
      <c r="L1150" s="12">
        <f>[1]!EM_HKS_VAL_MV(B1150,"2019-12-31","2")</f>
        <v>3695648580</v>
      </c>
      <c r="M1150">
        <f>[1]!EM_S_VAL_PETTMDEDUCTED(B1150,E1150)</f>
        <v>81.663063229909895</v>
      </c>
      <c r="N1150" s="7">
        <f>[1]!EM_S_VAL_PBGOODWILLDEDUCTED(B1150,E1150)</f>
        <v>2.5620052315117898</v>
      </c>
      <c r="O1150" s="7">
        <f>[1]!EM_S_VAL_PS_TTM(B1150,E1150)</f>
        <v>3.9978080855426898</v>
      </c>
      <c r="P1150" s="7">
        <f>[1]!EM_S_VAL_PCF_NCFTTM(B1150,E1150)</f>
        <v>-267.90231630036101</v>
      </c>
      <c r="Q1150" s="7">
        <f>[1]!EM_S_VAL_DIVIDENDYIELD2(B1150,E1150,"2019-11-29")</f>
        <v>0.78410850425474177</v>
      </c>
      <c r="T1150"/>
      <c r="U1150">
        <f>[1]!EM_S_RATIO_EPS_TTM(B1150,E1150,"1")</f>
        <v>0.64605821046843781</v>
      </c>
      <c r="AT1150" s="4" t="str">
        <f>[1]!EM_S_IPO_LISTEDDATE(B1150)</f>
        <v>2017-04-07</v>
      </c>
    </row>
    <row r="1151" spans="1:46">
      <c r="A1151">
        <v>2934</v>
      </c>
      <c r="B1151" t="str">
        <f>"600861"</f>
        <v>600861</v>
      </c>
      <c r="C1151" t="s">
        <v>2470</v>
      </c>
      <c r="D1151" t="str">
        <f>[1]!EM_S_INFO_INDEX_EM(B1151,"1")</f>
        <v>商贸零售</v>
      </c>
      <c r="E1151" s="4">
        <f t="shared" si="17"/>
        <v>43465</v>
      </c>
      <c r="F1151" s="11">
        <f>[1]!EM_S_PQ_PCTCHANGE(B1151,"2018-01-01","2019-12-31","3")</f>
        <v>-8.6236193399999994</v>
      </c>
      <c r="G1151" s="11">
        <f>[1]!EM_S_PQ_PCTCHANGE(B1151,"2018-12-31","2019-12-30","1")</f>
        <v>23.309352520000001</v>
      </c>
      <c r="H1151" s="11">
        <f>[1]!EM_S_FA_YOY_OR(B1151,E1151)</f>
        <v>-13.6619782867</v>
      </c>
      <c r="I1151" s="11">
        <f>[1]!EM_S_FA_GROSSPROFITMARGIN(B1151,E1151)</f>
        <v>30.4799956158</v>
      </c>
      <c r="J1151" s="11">
        <f>[1]!EM_S_FA_NETPROFITMARGIN(B1151,E1151)</f>
        <v>2.3185530955</v>
      </c>
      <c r="K1151" s="10">
        <f>[1]!EM_S_FA_ASSETSTURN(B1151,E1151)</f>
        <v>0.49627508274999999</v>
      </c>
      <c r="L1151" s="12">
        <f>[1]!EM_HKS_VAL_MV(B1151,"2019-12-31","2")</f>
        <v>2696010115.9899998</v>
      </c>
      <c r="M1151">
        <f>[1]!EM_S_VAL_PETTMDEDUCTED(B1151,E1151)</f>
        <v>39.0606106565779</v>
      </c>
      <c r="N1151" s="7">
        <f>[1]!EM_S_VAL_PBGOODWILLDEDUCTED(B1151,E1151)</f>
        <v>0.93825543891754504</v>
      </c>
      <c r="O1151" s="7">
        <f>[1]!EM_S_VAL_PS_TTM(B1151,E1151)</f>
        <v>1.1106181564905999</v>
      </c>
      <c r="P1151" s="7">
        <f>[1]!EM_S_VAL_PCF_NCFTTM(B1151,E1151)</f>
        <v>-18.765401759316902</v>
      </c>
      <c r="Q1151" s="7">
        <f>[1]!EM_S_VAL_DIVIDENDYIELD2(B1151,E1151,"2019-11-29")</f>
        <v>0.60386473429951704</v>
      </c>
      <c r="T1151"/>
      <c r="U1151">
        <f>[1]!EM_S_RATIO_EPS_TTM(B1151,E1151,"1")</f>
        <v>0.12765180742173318</v>
      </c>
      <c r="AT1151" s="4" t="str">
        <f>[1]!EM_S_IPO_LISTEDDATE(B1151)</f>
        <v>1994-05-20</v>
      </c>
    </row>
    <row r="1152" spans="1:46">
      <c r="A1152">
        <v>3561</v>
      </c>
      <c r="B1152" t="str">
        <f>"603839"</f>
        <v>603839</v>
      </c>
      <c r="C1152" t="s">
        <v>616</v>
      </c>
      <c r="D1152" t="str">
        <f>[1]!EM_S_INFO_INDEX_EM(B1152,"1")</f>
        <v>纺织服装</v>
      </c>
      <c r="E1152" s="4">
        <f t="shared" si="17"/>
        <v>43465</v>
      </c>
      <c r="F1152" s="11">
        <f>[1]!EM_S_PQ_PCTCHANGE(B1152,"2018-01-01","2019-12-31","3")</f>
        <v>-21.48040782</v>
      </c>
      <c r="G1152" s="11">
        <f>[1]!EM_S_PQ_PCTCHANGE(B1152,"2018-12-31","2019-12-30","1")</f>
        <v>23.17757009</v>
      </c>
      <c r="H1152" s="11">
        <f>[1]!EM_S_FA_YOY_OR(B1152,E1152)</f>
        <v>16.0901485413</v>
      </c>
      <c r="I1152" s="11">
        <f>[1]!EM_S_FA_GROSSPROFITMARGIN(B1152,E1152)</f>
        <v>63.266955032699997</v>
      </c>
      <c r="J1152" s="11">
        <f>[1]!EM_S_FA_NETPROFITMARGIN(B1152,E1152)</f>
        <v>17.038370632399999</v>
      </c>
      <c r="K1152" s="10">
        <f>[1]!EM_S_FA_ASSETSTURN(B1152,E1152)</f>
        <v>0.48213090224600003</v>
      </c>
      <c r="L1152" s="12">
        <f>[1]!EM_HKS_VAL_MV(B1152,"2019-12-31","2")</f>
        <v>5263945699.6000004</v>
      </c>
      <c r="M1152">
        <f>[1]!EM_S_VAL_PETTMDEDUCTED(B1152,E1152)</f>
        <v>18.9925629363998</v>
      </c>
      <c r="N1152" s="7">
        <f>[1]!EM_S_VAL_PBGOODWILLDEDUCTED(B1152,E1152)</f>
        <v>1.7763817399620501</v>
      </c>
      <c r="O1152" s="7">
        <f>[1]!EM_S_VAL_PS_TTM(B1152,E1152)</f>
        <v>2.72649547846544</v>
      </c>
      <c r="P1152" s="7">
        <f>[1]!EM_S_VAL_PCF_NCFTTM(B1152,E1152)</f>
        <v>-52.712162930222703</v>
      </c>
      <c r="Q1152" s="7">
        <f>[1]!EM_S_VAL_DIVIDENDYIELD2(B1152,E1152,"2019-11-29")</f>
        <v>3.0691421617965253</v>
      </c>
      <c r="T1152"/>
      <c r="U1152">
        <f>[1]!EM_S_RATIO_EPS_TTM(B1152,E1152,"1")</f>
        <v>0.69542459959766212</v>
      </c>
      <c r="AT1152" s="4" t="str">
        <f>[1]!EM_S_IPO_LISTEDDATE(B1152)</f>
        <v>2017-02-14</v>
      </c>
    </row>
    <row r="1153" spans="1:46">
      <c r="A1153">
        <v>500</v>
      </c>
      <c r="B1153" t="str">
        <f>"000990"</f>
        <v>000990</v>
      </c>
      <c r="C1153" t="s">
        <v>2496</v>
      </c>
      <c r="D1153" t="str">
        <f>[1]!EM_S_INFO_INDEX_EM(B1153,"1")</f>
        <v>基础化工</v>
      </c>
      <c r="E1153" s="4">
        <f t="shared" si="17"/>
        <v>43465</v>
      </c>
      <c r="F1153" s="11">
        <f>[1]!EM_S_PQ_PCTCHANGE(B1153,"2018-01-01","2019-12-31","3")</f>
        <v>-11.42477781</v>
      </c>
      <c r="G1153" s="11">
        <f>[1]!EM_S_PQ_PCTCHANGE(B1153,"2018-12-31","2019-12-30","1")</f>
        <v>23.14737719</v>
      </c>
      <c r="H1153" s="11">
        <f>[1]!EM_S_FA_YOY_OR(B1153,E1153)</f>
        <v>3.0492948766999999</v>
      </c>
      <c r="I1153" s="11">
        <f>[1]!EM_S_FA_GROSSPROFITMARGIN(B1153,E1153)</f>
        <v>33.917715264500004</v>
      </c>
      <c r="J1153" s="11">
        <f>[1]!EM_S_FA_NETPROFITMARGIN(B1153,E1153)</f>
        <v>14.3602781121</v>
      </c>
      <c r="K1153" s="10">
        <f>[1]!EM_S_FA_ASSETSTURN(B1153,E1153)</f>
        <v>0.26432544179799999</v>
      </c>
      <c r="L1153" s="12">
        <f>[1]!EM_HKS_VAL_MV(B1153,"2019-12-31","2")</f>
        <v>18569636639.580002</v>
      </c>
      <c r="M1153">
        <f>[1]!EM_S_VAL_PETTMDEDUCTED(B1153,E1153)</f>
        <v>22.656930207704001</v>
      </c>
      <c r="N1153" s="7">
        <f>[1]!EM_S_VAL_PBGOODWILLDEDUCTED(B1153,E1153)</f>
        <v>1.6206996851644999</v>
      </c>
      <c r="O1153" s="7">
        <f>[1]!EM_S_VAL_PS_TTM(B1153,E1153)</f>
        <v>2.5695349868589599</v>
      </c>
      <c r="P1153" s="7">
        <f>[1]!EM_S_VAL_PCF_NCFTTM(B1153,E1153)</f>
        <v>11.0664449396091</v>
      </c>
      <c r="Q1153" s="7">
        <f>[1]!EM_S_VAL_DIVIDENDYIELD2(B1153,E1153,"2019-11-29")</f>
        <v>0</v>
      </c>
      <c r="T1153"/>
      <c r="U1153">
        <f>[1]!EM_S_RATIO_EPS_TTM(B1153,E1153,"1")</f>
        <v>0.67782524292971225</v>
      </c>
      <c r="AT1153" s="4" t="str">
        <f>[1]!EM_S_IPO_LISTEDDATE(B1153)</f>
        <v>2000-07-06</v>
      </c>
    </row>
    <row r="1154" spans="1:46">
      <c r="A1154">
        <v>1904</v>
      </c>
      <c r="B1154" t="str">
        <f>"300479"</f>
        <v>300479</v>
      </c>
      <c r="C1154" t="s">
        <v>2794</v>
      </c>
      <c r="D1154" t="str">
        <f>[1]!EM_S_INFO_INDEX_EM(B1154,"1")</f>
        <v>电子设备</v>
      </c>
      <c r="E1154" s="4">
        <f t="shared" si="17"/>
        <v>43465</v>
      </c>
      <c r="F1154" s="11">
        <f>[1]!EM_S_PQ_PCTCHANGE(B1154,"2018-01-01","2019-12-31","3")</f>
        <v>-24.52964235</v>
      </c>
      <c r="G1154" s="11">
        <f>[1]!EM_S_PQ_PCTCHANGE(B1154,"2018-12-31","2019-12-30","1")</f>
        <v>23.07692308</v>
      </c>
      <c r="H1154" s="11">
        <f>[1]!EM_S_FA_YOY_OR(B1154,E1154)</f>
        <v>14.003103257099999</v>
      </c>
      <c r="I1154" s="11">
        <f>[1]!EM_S_FA_GROSSPROFITMARGIN(B1154,E1154)</f>
        <v>39.431515203700002</v>
      </c>
      <c r="J1154" s="11">
        <f>[1]!EM_S_FA_NETPROFITMARGIN(B1154,E1154)</f>
        <v>5.6531378396000003</v>
      </c>
      <c r="K1154" s="10">
        <f>[1]!EM_S_FA_ASSETSTURN(B1154,E1154)</f>
        <v>0.57583238847399998</v>
      </c>
      <c r="L1154" s="12">
        <f>[1]!EM_HKS_VAL_MV(B1154,"2019-12-31","2")</f>
        <v>2686588451.1900001</v>
      </c>
      <c r="M1154">
        <f>[1]!EM_S_VAL_PETTMDEDUCTED(B1154,E1154)</f>
        <v>2016.8711368504701</v>
      </c>
      <c r="N1154" s="7">
        <f>[1]!EM_S_VAL_PBGOODWILLDEDUCTED(B1154,E1154)</f>
        <v>5.7628111319521897</v>
      </c>
      <c r="O1154" s="7">
        <f>[1]!EM_S_VAL_PS_TTM(B1154,E1154)</f>
        <v>5.5008687641834797</v>
      </c>
      <c r="P1154" s="7">
        <f>[1]!EM_S_VAL_PCF_NCFTTM(B1154,E1154)</f>
        <v>-492.81874306221101</v>
      </c>
      <c r="Q1154" s="7">
        <f>[1]!EM_S_VAL_DIVIDENDYIELD2(B1154,E1154,"2019-11-29")</f>
        <v>0.21398002853067047</v>
      </c>
      <c r="T1154"/>
      <c r="U1154">
        <f>[1]!EM_S_RATIO_EPS_TTM(B1154,E1154,"1")</f>
        <v>6.2617653206072696E-2</v>
      </c>
      <c r="AT1154" s="4" t="str">
        <f>[1]!EM_S_IPO_LISTEDDATE(B1154)</f>
        <v>2015-06-12</v>
      </c>
    </row>
    <row r="1155" spans="1:46">
      <c r="A1155">
        <v>3192</v>
      </c>
      <c r="B1155" t="str">
        <f>"601989"</f>
        <v>601989</v>
      </c>
      <c r="C1155" t="s">
        <v>2792</v>
      </c>
      <c r="D1155" t="str">
        <f>[1]!EM_S_INFO_INDEX_EM(B1155,"1")</f>
        <v>国防与装备</v>
      </c>
      <c r="E1155" s="4">
        <f t="shared" ref="E1155:E1218" si="18">$B$1</f>
        <v>43465</v>
      </c>
      <c r="F1155" s="11">
        <f>[1]!EM_S_PQ_PCTCHANGE(B1155,"2018-01-01","2019-12-31","3")</f>
        <v>-12.74484309</v>
      </c>
      <c r="G1155" s="11">
        <f>[1]!EM_S_PQ_PCTCHANGE(B1155,"2018-12-31","2019-12-30","1")</f>
        <v>23.058823530000002</v>
      </c>
      <c r="H1155" s="11">
        <f>[1]!EM_S_FA_YOY_OR(B1155,E1155)</f>
        <v>14.724332087200001</v>
      </c>
      <c r="I1155" s="11">
        <f>[1]!EM_S_FA_GROSSPROFITMARGIN(B1155,E1155)</f>
        <v>9.8512322398999999</v>
      </c>
      <c r="J1155" s="11">
        <f>[1]!EM_S_FA_NETPROFITMARGIN(B1155,E1155)</f>
        <v>-0.40521107519999999</v>
      </c>
      <c r="K1155" s="10">
        <f>[1]!EM_S_FA_ASSETSTURN(B1155,E1155)</f>
        <v>0.23311350733399999</v>
      </c>
      <c r="L1155" s="12">
        <f>[1]!EM_HKS_VAL_MV(B1155,"2019-12-31","2")</f>
        <v>119482665097.75999</v>
      </c>
      <c r="M1155">
        <f>[1]!EM_S_VAL_PETTMDEDUCTED(B1155,E1155)</f>
        <v>169.24523372596801</v>
      </c>
      <c r="N1155" s="7">
        <f>[1]!EM_S_VAL_PBGOODWILLDEDUCTED(B1155,E1155)</f>
        <v>1.15163127099172</v>
      </c>
      <c r="O1155" s="7">
        <f>[1]!EM_S_VAL_PS_TTM(B1155,E1155)</f>
        <v>2.27457215435986</v>
      </c>
      <c r="P1155" s="7">
        <f>[1]!EM_S_VAL_PCF_NCFTTM(B1155,E1155)</f>
        <v>-11.484899845214301</v>
      </c>
      <c r="Q1155" s="7">
        <f>[1]!EM_S_VAL_DIVIDENDYIELD2(B1155,E1155,"2019-11-29")</f>
        <v>0.17045454545454544</v>
      </c>
      <c r="T1155"/>
      <c r="U1155">
        <f>[1]!EM_S_RATIO_EPS_TTM(B1155,E1155,"1")</f>
        <v>2.9403815493648601E-2</v>
      </c>
      <c r="AT1155" s="4" t="str">
        <f>[1]!EM_S_IPO_LISTEDDATE(B1155)</f>
        <v>2009-12-16</v>
      </c>
    </row>
    <row r="1156" spans="1:46">
      <c r="A1156">
        <v>536</v>
      </c>
      <c r="B1156" t="str">
        <f>"002025"</f>
        <v>002025</v>
      </c>
      <c r="C1156" t="s">
        <v>962</v>
      </c>
      <c r="D1156" t="str">
        <f>[1]!EM_S_INFO_INDEX_EM(B1156,"1")</f>
        <v>电子设备</v>
      </c>
      <c r="E1156" s="4">
        <f t="shared" si="18"/>
        <v>43465</v>
      </c>
      <c r="F1156" s="11">
        <f>[1]!EM_S_PQ_PCTCHANGE(B1156,"2018-01-01","2019-12-31","3")</f>
        <v>19.72574822</v>
      </c>
      <c r="G1156" s="11">
        <f>[1]!EM_S_PQ_PCTCHANGE(B1156,"2018-12-31","2019-12-30","1")</f>
        <v>23.00513299</v>
      </c>
      <c r="H1156" s="11">
        <f>[1]!EM_S_FA_YOY_OR(B1156,E1156)</f>
        <v>8.4971690528000003</v>
      </c>
      <c r="I1156" s="11">
        <f>[1]!EM_S_FA_GROSSPROFITMARGIN(B1156,E1156)</f>
        <v>36.788235453200002</v>
      </c>
      <c r="J1156" s="11">
        <f>[1]!EM_S_FA_NETPROFITMARGIN(B1156,E1156)</f>
        <v>14.2516811552</v>
      </c>
      <c r="K1156" s="10">
        <f>[1]!EM_S_FA_ASSETSTURN(B1156,E1156)</f>
        <v>0.62193730477700004</v>
      </c>
      <c r="L1156" s="12">
        <f>[1]!EM_HKS_VAL_MV(B1156,"2019-12-31","2")</f>
        <v>11398530000</v>
      </c>
      <c r="M1156">
        <f>[1]!EM_S_VAL_PETTMDEDUCTED(B1156,E1156)</f>
        <v>27.473601373093</v>
      </c>
      <c r="N1156" s="7">
        <f>[1]!EM_S_VAL_PBGOODWILLDEDUCTED(B1156,E1156)</f>
        <v>3.4713300557012698</v>
      </c>
      <c r="O1156" s="7">
        <f>[1]!EM_S_VAL_PS_TTM(B1156,E1156)</f>
        <v>3.31658280769209</v>
      </c>
      <c r="P1156" s="7">
        <f>[1]!EM_S_VAL_PCF_NCFTTM(B1156,E1156)</f>
        <v>-44.651133218151898</v>
      </c>
      <c r="Q1156" s="7">
        <f>[1]!EM_S_VAL_DIVIDENDYIELD2(B1156,E1156,"2019-11-29")</f>
        <v>0.60048038430744599</v>
      </c>
      <c r="T1156"/>
      <c r="U1156">
        <f>[1]!EM_S_RATIO_EPS_TTM(B1156,E1156,"1")</f>
        <v>0.83671353100233103</v>
      </c>
      <c r="AT1156" s="4" t="str">
        <f>[1]!EM_S_IPO_LISTEDDATE(B1156)</f>
        <v>2004-07-26</v>
      </c>
    </row>
    <row r="1157" spans="1:46">
      <c r="A1157">
        <v>744</v>
      </c>
      <c r="B1157" t="str">
        <f>"002233"</f>
        <v>002233</v>
      </c>
      <c r="C1157" t="s">
        <v>373</v>
      </c>
      <c r="D1157" t="str">
        <f>[1]!EM_S_INFO_INDEX_EM(B1157,"1")</f>
        <v>建材</v>
      </c>
      <c r="E1157" s="4">
        <f t="shared" si="18"/>
        <v>43465</v>
      </c>
      <c r="F1157" s="11">
        <f>[1]!EM_S_PQ_PCTCHANGE(B1157,"2018-01-01","2019-12-31","3")</f>
        <v>20.14571566</v>
      </c>
      <c r="G1157" s="11">
        <f>[1]!EM_S_PQ_PCTCHANGE(B1157,"2018-12-31","2019-12-30","1")</f>
        <v>22.962226640000001</v>
      </c>
      <c r="H1157" s="11">
        <f>[1]!EM_S_FA_YOY_OR(B1157,E1157)</f>
        <v>45.272186095000002</v>
      </c>
      <c r="I1157" s="11">
        <f>[1]!EM_S_FA_GROSSPROFITMARGIN(B1157,E1157)</f>
        <v>40.345692361200001</v>
      </c>
      <c r="J1157" s="11">
        <f>[1]!EM_S_FA_NETPROFITMARGIN(B1157,E1157)</f>
        <v>26.001695148700001</v>
      </c>
      <c r="K1157" s="10">
        <f>[1]!EM_S_FA_ASSETSTURN(B1157,E1157)</f>
        <v>0.63952670723100002</v>
      </c>
      <c r="L1157" s="12">
        <f>[1]!EM_HKS_VAL_MV(B1157,"2019-12-31","2")</f>
        <v>15022665201.6</v>
      </c>
      <c r="M1157">
        <f>[1]!EM_S_VAL_PETTMDEDUCTED(B1157,E1157)</f>
        <v>8.4869429248812498</v>
      </c>
      <c r="N1157" s="7">
        <f>[1]!EM_S_VAL_PBGOODWILLDEDUCTED(B1157,E1157)</f>
        <v>1.33631085394322</v>
      </c>
      <c r="O1157" s="7">
        <f>[1]!EM_S_VAL_PS_TTM(B1157,E1157)</f>
        <v>1.98415592808984</v>
      </c>
      <c r="P1157" s="7">
        <f>[1]!EM_S_VAL_PCF_NCFTTM(B1157,E1157)</f>
        <v>-5.0736496246308898</v>
      </c>
      <c r="Q1157" s="7">
        <f>[1]!EM_S_VAL_DIVIDENDYIELD2(B1157,E1157,"2019-11-29")</f>
        <v>4.0074557315936632</v>
      </c>
      <c r="T1157"/>
      <c r="U1157">
        <f>[1]!EM_S_RATIO_EPS_TTM(B1157,E1157,"1")</f>
        <v>1.4452310991728439</v>
      </c>
      <c r="AT1157" s="4" t="str">
        <f>[1]!EM_S_IPO_LISTEDDATE(B1157)</f>
        <v>2008-05-16</v>
      </c>
    </row>
    <row r="1158" spans="1:46">
      <c r="A1158">
        <v>3429</v>
      </c>
      <c r="B1158" t="str">
        <f>"603556"</f>
        <v>603556</v>
      </c>
      <c r="C1158" t="s">
        <v>2181</v>
      </c>
      <c r="D1158" t="str">
        <f>[1]!EM_S_INFO_INDEX_EM(B1158,"1")</f>
        <v>机械设备</v>
      </c>
      <c r="E1158" s="4">
        <f t="shared" si="18"/>
        <v>43465</v>
      </c>
      <c r="F1158" s="11">
        <f>[1]!EM_S_PQ_PCTCHANGE(B1158,"2018-01-01","2019-12-31","3")</f>
        <v>-39.427397229999997</v>
      </c>
      <c r="G1158" s="11">
        <f>[1]!EM_S_PQ_PCTCHANGE(B1158,"2018-12-31","2019-12-30","1")</f>
        <v>22.92307692</v>
      </c>
      <c r="H1158" s="11">
        <f>[1]!EM_S_FA_YOY_OR(B1158,E1158)</f>
        <v>-15.6180083433</v>
      </c>
      <c r="I1158" s="11">
        <f>[1]!EM_S_FA_GROSSPROFITMARGIN(B1158,E1158)</f>
        <v>41.213743888000003</v>
      </c>
      <c r="J1158" s="11">
        <f>[1]!EM_S_FA_NETPROFITMARGIN(B1158,E1158)</f>
        <v>12.930779210500001</v>
      </c>
      <c r="K1158" s="10">
        <f>[1]!EM_S_FA_ASSETSTURN(B1158,E1158)</f>
        <v>0.39694872594300001</v>
      </c>
      <c r="L1158" s="12">
        <f>[1]!EM_HKS_VAL_MV(B1158,"2019-12-31","2")</f>
        <v>7993543961</v>
      </c>
      <c r="M1158">
        <f>[1]!EM_S_VAL_PETTMDEDUCTED(B1158,E1158)</f>
        <v>16.332466674696601</v>
      </c>
      <c r="N1158" s="7">
        <f>[1]!EM_S_VAL_PBGOODWILLDEDUCTED(B1158,E1158)</f>
        <v>1.3163087033738801</v>
      </c>
      <c r="O1158" s="7">
        <f>[1]!EM_S_VAL_PS_TTM(B1158,E1158)</f>
        <v>2.2951788791910701</v>
      </c>
      <c r="P1158" s="7">
        <f>[1]!EM_S_VAL_PCF_NCFTTM(B1158,E1158)</f>
        <v>-16.924412441293502</v>
      </c>
      <c r="Q1158" s="7">
        <f>[1]!EM_S_VAL_DIVIDENDYIELD2(B1158,E1158,"2019-11-29")</f>
        <v>2.6495798763866083</v>
      </c>
      <c r="T1158"/>
      <c r="U1158">
        <f>[1]!EM_S_RATIO_EPS_TTM(B1158,E1158,"1")</f>
        <v>0.66629861158094339</v>
      </c>
      <c r="AT1158" s="4" t="str">
        <f>[1]!EM_S_IPO_LISTEDDATE(B1158)</f>
        <v>2016-11-10</v>
      </c>
    </row>
    <row r="1159" spans="1:46">
      <c r="A1159">
        <v>396</v>
      </c>
      <c r="B1159" t="str">
        <f>"000851"</f>
        <v>000851</v>
      </c>
      <c r="C1159" t="s">
        <v>3084</v>
      </c>
      <c r="D1159" t="str">
        <f>[1]!EM_S_INFO_INDEX_EM(B1159,"1")</f>
        <v>信息技术</v>
      </c>
      <c r="E1159" s="4">
        <f t="shared" si="18"/>
        <v>43465</v>
      </c>
      <c r="F1159" s="11">
        <f>[1]!EM_S_PQ_PCTCHANGE(B1159,"2018-01-01","2019-12-31","3")</f>
        <v>-5.2902099099999997</v>
      </c>
      <c r="G1159" s="11">
        <f>[1]!EM_S_PQ_PCTCHANGE(B1159,"2018-12-31","2019-12-30","1")</f>
        <v>22.899159659999999</v>
      </c>
      <c r="H1159" s="11">
        <f>[1]!EM_S_FA_YOY_OR(B1159,E1159)</f>
        <v>3.2190795915999999</v>
      </c>
      <c r="I1159" s="11">
        <f>[1]!EM_S_FA_GROSSPROFITMARGIN(B1159,E1159)</f>
        <v>6.5991538964999998</v>
      </c>
      <c r="J1159" s="11">
        <f>[1]!EM_S_FA_NETPROFITMARGIN(B1159,E1159)</f>
        <v>0.62863364769999996</v>
      </c>
      <c r="K1159" s="10">
        <f>[1]!EM_S_FA_ASSETSTURN(B1159,E1159)</f>
        <v>1.0958879177930001</v>
      </c>
      <c r="L1159" s="12">
        <f>[1]!EM_HKS_VAL_MV(B1159,"2019-12-31","2")</f>
        <v>5246100631.2600002</v>
      </c>
      <c r="M1159">
        <f>[1]!EM_S_VAL_PETTMDEDUCTED(B1159,E1159)</f>
        <v>-60.750102616451599</v>
      </c>
      <c r="N1159" s="7">
        <f>[1]!EM_S_VAL_PBGOODWILLDEDUCTED(B1159,E1159)</f>
        <v>1.4533516209052999</v>
      </c>
      <c r="O1159" s="7">
        <f>[1]!EM_S_VAL_PS_TTM(B1159,E1159)</f>
        <v>0.40271478431352298</v>
      </c>
      <c r="P1159" s="7">
        <f>[1]!EM_S_VAL_PCF_NCFTTM(B1159,E1159)</f>
        <v>14.7012386124367</v>
      </c>
      <c r="Q1159" s="7">
        <f>[1]!EM_S_VAL_DIVIDENDYIELD2(B1159,E1159,"2019-11-29")</f>
        <v>0</v>
      </c>
      <c r="T1159"/>
      <c r="U1159">
        <f>[1]!EM_S_RATIO_EPS_TTM(B1159,E1159,"1")</f>
        <v>3.742154909717179E-2</v>
      </c>
      <c r="AT1159" s="4" t="str">
        <f>[1]!EM_S_IPO_LISTEDDATE(B1159)</f>
        <v>1998-06-09</v>
      </c>
    </row>
    <row r="1160" spans="1:46">
      <c r="A1160">
        <v>153</v>
      </c>
      <c r="B1160" t="str">
        <f>"000544"</f>
        <v>000544</v>
      </c>
      <c r="C1160" t="s">
        <v>2375</v>
      </c>
      <c r="D1160" t="str">
        <f>[1]!EM_S_INFO_INDEX_EM(B1160,"1")</f>
        <v>公用事业</v>
      </c>
      <c r="E1160" s="4">
        <f t="shared" si="18"/>
        <v>43465</v>
      </c>
      <c r="F1160" s="11">
        <f>[1]!EM_S_PQ_PCTCHANGE(B1160,"2018-01-01","2019-12-31","3")</f>
        <v>-30.768576540000002</v>
      </c>
      <c r="G1160" s="11">
        <f>[1]!EM_S_PQ_PCTCHANGE(B1160,"2018-12-31","2019-12-30","1")</f>
        <v>22.87968442</v>
      </c>
      <c r="H1160" s="11">
        <f>[1]!EM_S_FA_YOY_OR(B1160,E1160)</f>
        <v>5.1943918987000002</v>
      </c>
      <c r="I1160" s="11">
        <f>[1]!EM_S_FA_GROSSPROFITMARGIN(B1160,E1160)</f>
        <v>43.408687382700002</v>
      </c>
      <c r="J1160" s="11">
        <f>[1]!EM_S_FA_NETPROFITMARGIN(B1160,E1160)</f>
        <v>40.453084422300002</v>
      </c>
      <c r="K1160" s="10">
        <f>[1]!EM_S_FA_ASSETSTURN(B1160,E1160)</f>
        <v>0.12961036256399999</v>
      </c>
      <c r="L1160" s="12">
        <f>[1]!EM_HKS_VAL_MV(B1160,"2019-12-31","2")</f>
        <v>6101524894.8800001</v>
      </c>
      <c r="M1160">
        <f>[1]!EM_S_VAL_PETTMDEDUCTED(B1160,E1160)</f>
        <v>13.988264575735601</v>
      </c>
      <c r="N1160" s="7">
        <f>[1]!EM_S_VAL_PBGOODWILLDEDUCTED(B1160,E1160)</f>
        <v>0.85407847619964505</v>
      </c>
      <c r="O1160" s="7">
        <f>[1]!EM_S_VAL_PS_TTM(B1160,E1160)</f>
        <v>5.0089933015208699</v>
      </c>
      <c r="P1160" s="7">
        <f>[1]!EM_S_VAL_PCF_NCFTTM(B1160,E1160)</f>
        <v>709.31961872409295</v>
      </c>
      <c r="Q1160" s="7">
        <f>[1]!EM_S_VAL_DIVIDENDYIELD2(B1160,E1160,"2019-11-29")</f>
        <v>4.2087542087542085</v>
      </c>
      <c r="T1160"/>
      <c r="U1160">
        <f>[1]!EM_S_RATIO_EPS_TTM(B1160,E1160,"1")</f>
        <v>0.42508366534094261</v>
      </c>
      <c r="AT1160" s="4" t="str">
        <f>[1]!EM_S_IPO_LISTEDDATE(B1160)</f>
        <v>1993-12-08</v>
      </c>
    </row>
    <row r="1161" spans="1:46">
      <c r="A1161">
        <v>1516</v>
      </c>
      <c r="B1161" t="str">
        <f>"300091"</f>
        <v>300091</v>
      </c>
      <c r="C1161" t="s">
        <v>795</v>
      </c>
      <c r="D1161" t="str">
        <f>[1]!EM_S_INFO_INDEX_EM(B1161,"1")</f>
        <v>机械设备</v>
      </c>
      <c r="E1161" s="4">
        <f t="shared" si="18"/>
        <v>43465</v>
      </c>
      <c r="F1161" s="11">
        <f>[1]!EM_S_PQ_PCTCHANGE(B1161,"2018-01-01","2019-12-31","3")</f>
        <v>-54.001687769999997</v>
      </c>
      <c r="G1161" s="11">
        <f>[1]!EM_S_PQ_PCTCHANGE(B1161,"2018-12-31","2019-12-30","1")</f>
        <v>22.84866469</v>
      </c>
      <c r="H1161" s="11">
        <f>[1]!EM_S_FA_YOY_OR(B1161,E1161)</f>
        <v>32.921603224899997</v>
      </c>
      <c r="I1161" s="11">
        <f>[1]!EM_S_FA_GROSSPROFITMARGIN(B1161,E1161)</f>
        <v>21.977959227700001</v>
      </c>
      <c r="J1161" s="11">
        <f>[1]!EM_S_FA_NETPROFITMARGIN(B1161,E1161)</f>
        <v>4.8048151773000001</v>
      </c>
      <c r="K1161" s="10">
        <f>[1]!EM_S_FA_ASSETSTURN(B1161,E1161)</f>
        <v>0.412290712718</v>
      </c>
      <c r="L1161" s="12">
        <f>[1]!EM_HKS_VAL_MV(B1161,"2019-12-31","2")</f>
        <v>5068689896.5600004</v>
      </c>
      <c r="M1161">
        <f>[1]!EM_S_VAL_PETTMDEDUCTED(B1161,E1161)</f>
        <v>23.809615528240901</v>
      </c>
      <c r="N1161" s="7">
        <f>[1]!EM_S_VAL_PBGOODWILLDEDUCTED(B1161,E1161)</f>
        <v>2.1099865435827199</v>
      </c>
      <c r="O1161" s="7">
        <f>[1]!EM_S_VAL_PS_TTM(B1161,E1161)</f>
        <v>1.9844155513402499</v>
      </c>
      <c r="P1161" s="7">
        <f>[1]!EM_S_VAL_PCF_NCFTTM(B1161,E1161)</f>
        <v>-12.7322049902644</v>
      </c>
      <c r="Q1161" s="7">
        <f>[1]!EM_S_VAL_DIVIDENDYIELD2(B1161,E1161,"2019-11-29")</f>
        <v>0.2040816326530612</v>
      </c>
      <c r="T1161"/>
      <c r="U1161">
        <f>[1]!EM_S_RATIO_EPS_TTM(B1161,E1161,"1")</f>
        <v>8.4103676480885001E-2</v>
      </c>
      <c r="AT1161" s="4" t="str">
        <f>[1]!EM_S_IPO_LISTEDDATE(B1161)</f>
        <v>2010-06-25</v>
      </c>
    </row>
    <row r="1162" spans="1:46">
      <c r="A1162">
        <v>1806</v>
      </c>
      <c r="B1162" t="str">
        <f>"300381"</f>
        <v>300381</v>
      </c>
      <c r="C1162" t="s">
        <v>2611</v>
      </c>
      <c r="D1162" t="str">
        <f>[1]!EM_S_INFO_INDEX_EM(B1162,"1")</f>
        <v>医药生物</v>
      </c>
      <c r="E1162" s="4">
        <f t="shared" si="18"/>
        <v>43465</v>
      </c>
      <c r="F1162" s="11">
        <f>[1]!EM_S_PQ_PCTCHANGE(B1162,"2018-01-01","2019-12-31","3")</f>
        <v>-24.153783659999998</v>
      </c>
      <c r="G1162" s="11">
        <f>[1]!EM_S_PQ_PCTCHANGE(B1162,"2018-12-31","2019-12-30","1")</f>
        <v>22.815533980000001</v>
      </c>
      <c r="H1162" s="11">
        <f>[1]!EM_S_FA_YOY_OR(B1162,E1162)</f>
        <v>17.935774287899999</v>
      </c>
      <c r="I1162" s="11">
        <f>[1]!EM_S_FA_GROSSPROFITMARGIN(B1162,E1162)</f>
        <v>37.4183328648</v>
      </c>
      <c r="J1162" s="11">
        <f>[1]!EM_S_FA_NETPROFITMARGIN(B1162,E1162)</f>
        <v>8.5163241963999994</v>
      </c>
      <c r="K1162" s="10">
        <f>[1]!EM_S_FA_ASSETSTURN(B1162,E1162)</f>
        <v>0.40899551198700002</v>
      </c>
      <c r="L1162" s="12">
        <f>[1]!EM_HKS_VAL_MV(B1162,"2019-12-31","2")</f>
        <v>4358833466.8400002</v>
      </c>
      <c r="M1162">
        <f>[1]!EM_S_VAL_PETTMDEDUCTED(B1162,E1162)</f>
        <v>52.733377953943197</v>
      </c>
      <c r="N1162" s="7">
        <f>[1]!EM_S_VAL_PBGOODWILLDEDUCTED(B1162,E1162)</f>
        <v>2.14988768035</v>
      </c>
      <c r="O1162" s="7">
        <f>[1]!EM_S_VAL_PS_TTM(B1162,E1162)</f>
        <v>1.8984054983543901</v>
      </c>
      <c r="P1162" s="7">
        <f>[1]!EM_S_VAL_PCF_NCFTTM(B1162,E1162)</f>
        <v>410.71585613473201</v>
      </c>
      <c r="Q1162" s="7">
        <f>[1]!EM_S_VAL_DIVIDENDYIELD2(B1162,E1162,"2019-11-29")</f>
        <v>0.66099670324203441</v>
      </c>
      <c r="T1162"/>
      <c r="U1162">
        <f>[1]!EM_S_RATIO_EPS_TTM(B1162,E1162,"1")</f>
        <v>0.27905836312925247</v>
      </c>
      <c r="AT1162" s="4" t="str">
        <f>[1]!EM_S_IPO_LISTEDDATE(B1162)</f>
        <v>2014-01-28</v>
      </c>
    </row>
    <row r="1163" spans="1:46">
      <c r="A1163">
        <v>507</v>
      </c>
      <c r="B1163" t="str">
        <f>"000999"</f>
        <v>000999</v>
      </c>
      <c r="C1163" t="s">
        <v>431</v>
      </c>
      <c r="D1163" t="str">
        <f>[1]!EM_S_INFO_INDEX_EM(B1163,"1")</f>
        <v>医药生物</v>
      </c>
      <c r="E1163" s="4">
        <f t="shared" si="18"/>
        <v>43465</v>
      </c>
      <c r="F1163" s="11">
        <f>[1]!EM_S_PQ_PCTCHANGE(B1163,"2018-01-01","2019-12-31","3")</f>
        <v>20.063714610000002</v>
      </c>
      <c r="G1163" s="11">
        <f>[1]!EM_S_PQ_PCTCHANGE(B1163,"2018-12-31","2019-12-30","1")</f>
        <v>22.807723249999999</v>
      </c>
      <c r="H1163" s="11">
        <f>[1]!EM_S_FA_YOY_OR(B1163,E1163)</f>
        <v>20.7540210214</v>
      </c>
      <c r="I1163" s="11">
        <f>[1]!EM_S_FA_GROSSPROFITMARGIN(B1163,E1163)</f>
        <v>69.016673816500003</v>
      </c>
      <c r="J1163" s="11">
        <f>[1]!EM_S_FA_NETPROFITMARGIN(B1163,E1163)</f>
        <v>10.9837618065</v>
      </c>
      <c r="K1163" s="10">
        <f>[1]!EM_S_FA_ASSETSTURN(B1163,E1163)</f>
        <v>0.78466564483400003</v>
      </c>
      <c r="L1163" s="12">
        <f>[1]!EM_HKS_VAL_MV(B1163,"2019-12-31","2")</f>
        <v>31011552000</v>
      </c>
      <c r="M1163">
        <f>[1]!EM_S_VAL_PETTMDEDUCTED(B1163,E1163)</f>
        <v>19.5409961674542</v>
      </c>
      <c r="N1163" s="7">
        <f>[1]!EM_S_VAL_PBGOODWILLDEDUCTED(B1163,E1163)</f>
        <v>3.3410517022425101</v>
      </c>
      <c r="O1163" s="7">
        <f>[1]!EM_S_VAL_PS_TTM(B1163,E1163)</f>
        <v>1.86044699094628</v>
      </c>
      <c r="P1163" s="7">
        <f>[1]!EM_S_VAL_PCF_NCFTTM(B1163,E1163)</f>
        <v>-232.13358709176501</v>
      </c>
      <c r="Q1163" s="7">
        <f>[1]!EM_S_VAL_DIVIDENDYIELD2(B1163,E1163,"2019-11-29")</f>
        <v>1.3269819666553249</v>
      </c>
      <c r="T1163"/>
      <c r="U1163">
        <f>[1]!EM_S_RATIO_EPS_TTM(B1163,E1163,"1")</f>
        <v>1.4629463700377976</v>
      </c>
      <c r="AT1163" s="4" t="str">
        <f>[1]!EM_S_IPO_LISTEDDATE(B1163)</f>
        <v>2000-03-09</v>
      </c>
    </row>
    <row r="1164" spans="1:46">
      <c r="A1164">
        <v>1411</v>
      </c>
      <c r="B1164" t="str">
        <f>"002915"</f>
        <v>002915</v>
      </c>
      <c r="C1164" t="s">
        <v>2244</v>
      </c>
      <c r="D1164" t="str">
        <f>[1]!EM_S_INFO_INDEX_EM(B1164,"1")</f>
        <v>基础化工</v>
      </c>
      <c r="E1164" s="4">
        <f t="shared" si="18"/>
        <v>43465</v>
      </c>
      <c r="F1164" s="11">
        <f>[1]!EM_S_PQ_PCTCHANGE(B1164,"2018-01-01","2019-12-31","3")</f>
        <v>-23.172073390000001</v>
      </c>
      <c r="G1164" s="11">
        <f>[1]!EM_S_PQ_PCTCHANGE(B1164,"2018-12-31","2019-12-30","1")</f>
        <v>22.799817600000001</v>
      </c>
      <c r="H1164" s="11">
        <f>[1]!EM_S_FA_YOY_OR(B1164,E1164)</f>
        <v>9.6006182629999994</v>
      </c>
      <c r="I1164" s="11">
        <f>[1]!EM_S_FA_GROSSPROFITMARGIN(B1164,E1164)</f>
        <v>24.3727382555</v>
      </c>
      <c r="J1164" s="11">
        <f>[1]!EM_S_FA_NETPROFITMARGIN(B1164,E1164)</f>
        <v>8.2352823013999998</v>
      </c>
      <c r="K1164" s="10">
        <f>[1]!EM_S_FA_ASSETSTURN(B1164,E1164)</f>
        <v>0.63018316811499997</v>
      </c>
      <c r="L1164" s="12">
        <f>[1]!EM_HKS_VAL_MV(B1164,"2019-12-31","2")</f>
        <v>3808504522.1700001</v>
      </c>
      <c r="M1164">
        <f>[1]!EM_S_VAL_PETTMDEDUCTED(B1164,E1164)</f>
        <v>76.580268357226004</v>
      </c>
      <c r="N1164" s="7">
        <f>[1]!EM_S_VAL_PBGOODWILLDEDUCTED(B1164,E1164)</f>
        <v>5.1913547157469697</v>
      </c>
      <c r="O1164" s="7">
        <f>[1]!EM_S_VAL_PS_TTM(B1164,E1164)</f>
        <v>5.4249387274715604</v>
      </c>
      <c r="P1164" s="7">
        <f>[1]!EM_S_VAL_PCF_NCFTTM(B1164,E1164)</f>
        <v>40.671133688563799</v>
      </c>
      <c r="Q1164" s="7">
        <f>[1]!EM_S_VAL_DIVIDENDYIELD2(B1164,E1164,"2019-11-29")</f>
        <v>0.3443067136127298</v>
      </c>
      <c r="T1164"/>
      <c r="U1164">
        <f>[1]!EM_S_RATIO_EPS_TTM(B1164,E1164,"1")</f>
        <v>0.3228274057142857</v>
      </c>
      <c r="AT1164" s="4" t="str">
        <f>[1]!EM_S_IPO_LISTEDDATE(B1164)</f>
        <v>2017-12-05</v>
      </c>
    </row>
    <row r="1165" spans="1:46">
      <c r="A1165">
        <v>1254</v>
      </c>
      <c r="B1165" t="str">
        <f>"002745"</f>
        <v>002745</v>
      </c>
      <c r="C1165" t="s">
        <v>905</v>
      </c>
      <c r="D1165" t="str">
        <f>[1]!EM_S_INFO_INDEX_EM(B1165,"1")</f>
        <v>电子设备</v>
      </c>
      <c r="E1165" s="4">
        <f t="shared" si="18"/>
        <v>43465</v>
      </c>
      <c r="F1165" s="11">
        <f>[1]!EM_S_PQ_PCTCHANGE(B1165,"2018-01-01","2019-12-31","3")</f>
        <v>-38.848244010000002</v>
      </c>
      <c r="G1165" s="11">
        <f>[1]!EM_S_PQ_PCTCHANGE(B1165,"2018-12-31","2019-12-30","1")</f>
        <v>22.763507529999998</v>
      </c>
      <c r="H1165" s="11">
        <f>[1]!EM_S_FA_YOY_OR(B1165,E1165)</f>
        <v>119.7632360609</v>
      </c>
      <c r="I1165" s="11">
        <f>[1]!EM_S_FA_GROSSPROFITMARGIN(B1165,E1165)</f>
        <v>26.005022074300001</v>
      </c>
      <c r="J1165" s="11">
        <f>[1]!EM_S_FA_NETPROFITMARGIN(B1165,E1165)</f>
        <v>4.0547571479000002</v>
      </c>
      <c r="K1165" s="10">
        <f>[1]!EM_S_FA_ASSETSTURN(B1165,E1165)</f>
        <v>0.70486668305900002</v>
      </c>
      <c r="L1165" s="12">
        <f>[1]!EM_HKS_VAL_MV(B1165,"2019-12-31","2")</f>
        <v>17382263829.400002</v>
      </c>
      <c r="M1165">
        <f>[1]!EM_S_VAL_PETTMDEDUCTED(B1165,E1165)</f>
        <v>50.1385899600103</v>
      </c>
      <c r="N1165" s="7">
        <f>[1]!EM_S_VAL_PBGOODWILLDEDUCTED(B1165,E1165)</f>
        <v>1.84740693629476</v>
      </c>
      <c r="O1165" s="7">
        <f>[1]!EM_S_VAL_PS_TTM(B1165,E1165)</f>
        <v>0.98358723482388</v>
      </c>
      <c r="P1165" s="7">
        <f>[1]!EM_S_VAL_PCF_NCFTTM(B1165,E1165)</f>
        <v>5.9964064468139302</v>
      </c>
      <c r="Q1165" s="7">
        <f>[1]!EM_S_VAL_DIVIDENDYIELD2(B1165,E1165,"2019-11-29")</f>
        <v>1.0517799352750812</v>
      </c>
      <c r="T1165"/>
      <c r="U1165">
        <f>[1]!EM_S_RATIO_EPS_TTM(B1165,E1165,"1")</f>
        <v>0.56403241262112525</v>
      </c>
      <c r="AT1165" s="4" t="str">
        <f>[1]!EM_S_IPO_LISTEDDATE(B1165)</f>
        <v>2015-02-17</v>
      </c>
    </row>
    <row r="1166" spans="1:46">
      <c r="A1166">
        <v>1018</v>
      </c>
      <c r="B1166" t="str">
        <f>"002507"</f>
        <v>002507</v>
      </c>
      <c r="C1166" t="s">
        <v>214</v>
      </c>
      <c r="D1166" t="str">
        <f>[1]!EM_S_INFO_INDEX_EM(B1166,"1")</f>
        <v>食品饮料</v>
      </c>
      <c r="E1166" s="4">
        <f t="shared" si="18"/>
        <v>43465</v>
      </c>
      <c r="F1166" s="11">
        <f>[1]!EM_S_PQ_PCTCHANGE(B1166,"2018-01-01","2019-12-31","3")</f>
        <v>61.766949850000003</v>
      </c>
      <c r="G1166" s="11">
        <f>[1]!EM_S_PQ_PCTCHANGE(B1166,"2018-12-31","2019-12-30","1")</f>
        <v>22.731481479999999</v>
      </c>
      <c r="H1166" s="11">
        <f>[1]!EM_S_FA_YOY_OR(B1166,E1166)</f>
        <v>25.9245657397</v>
      </c>
      <c r="I1166" s="11">
        <f>[1]!EM_S_FA_GROSSPROFITMARGIN(B1166,E1166)</f>
        <v>55.762014436000001</v>
      </c>
      <c r="J1166" s="11">
        <f>[1]!EM_S_FA_NETPROFITMARGIN(B1166,E1166)</f>
        <v>34.566212029100001</v>
      </c>
      <c r="K1166" s="10">
        <f>[1]!EM_S_FA_ASSETSTURN(B1166,E1166)</f>
        <v>0.70088640697899995</v>
      </c>
      <c r="L1166" s="12">
        <f>[1]!EM_HKS_VAL_MV(B1166,"2019-12-31","2")</f>
        <v>21099519051.93</v>
      </c>
      <c r="M1166">
        <f>[1]!EM_S_VAL_PETTMDEDUCTED(B1166,E1166)</f>
        <v>28.543233214126602</v>
      </c>
      <c r="N1166" s="7">
        <f>[1]!EM_S_VAL_PBGOODWILLDEDUCTED(B1166,E1166)</f>
        <v>7.0097608987335498</v>
      </c>
      <c r="O1166" s="7">
        <f>[1]!EM_S_VAL_PS_TTM(B1166,E1166)</f>
        <v>9.2739794139074103</v>
      </c>
      <c r="P1166" s="7">
        <f>[1]!EM_S_VAL_PCF_NCFTTM(B1166,E1166)</f>
        <v>26.415293172235099</v>
      </c>
      <c r="Q1166" s="7">
        <f>[1]!EM_S_VAL_DIVIDENDYIELD2(B1166,E1166,"2019-11-29")</f>
        <v>1.0647010647010646</v>
      </c>
      <c r="T1166"/>
      <c r="U1166">
        <f>[1]!EM_S_RATIO_EPS_TTM(B1166,E1166,"1")</f>
        <v>0.83830185339365249</v>
      </c>
      <c r="AT1166" s="4" t="str">
        <f>[1]!EM_S_IPO_LISTEDDATE(B1166)</f>
        <v>2010-11-23</v>
      </c>
    </row>
    <row r="1167" spans="1:46">
      <c r="A1167">
        <v>186</v>
      </c>
      <c r="B1167" t="str">
        <f>"000582"</f>
        <v>000582</v>
      </c>
      <c r="C1167" t="s">
        <v>1327</v>
      </c>
      <c r="D1167" t="str">
        <f>[1]!EM_S_INFO_INDEX_EM(B1167,"1")</f>
        <v>交通运输</v>
      </c>
      <c r="E1167" s="4">
        <f t="shared" si="18"/>
        <v>43465</v>
      </c>
      <c r="F1167" s="11">
        <f>[1]!EM_S_PQ_PCTCHANGE(B1167,"2018-01-01","2019-12-31","3")</f>
        <v>-3.2935484000000002</v>
      </c>
      <c r="G1167" s="11">
        <f>[1]!EM_S_PQ_PCTCHANGE(B1167,"2018-12-31","2019-12-30","1")</f>
        <v>22.727272729999999</v>
      </c>
      <c r="H1167" s="11">
        <f>[1]!EM_S_FA_YOY_OR(B1167,E1167)</f>
        <v>13.457095811</v>
      </c>
      <c r="I1167" s="11">
        <f>[1]!EM_S_FA_GROSSPROFITMARGIN(B1167,E1167)</f>
        <v>36.9505696732</v>
      </c>
      <c r="J1167" s="11">
        <f>[1]!EM_S_FA_NETPROFITMARGIN(B1167,E1167)</f>
        <v>16.887401752700001</v>
      </c>
      <c r="K1167" s="10">
        <f>[1]!EM_S_FA_ASSETSTURN(B1167,E1167)</f>
        <v>0.28111664152600002</v>
      </c>
      <c r="L1167" s="12">
        <f>[1]!EM_HKS_VAL_MV(B1167,"2019-12-31","2")</f>
        <v>14629820843.299999</v>
      </c>
      <c r="M1167">
        <f>[1]!EM_S_VAL_PETTMDEDUCTED(B1167,E1167)</f>
        <v>21.4598318898793</v>
      </c>
      <c r="N1167" s="7">
        <f>[1]!EM_S_VAL_PBGOODWILLDEDUCTED(B1167,E1167)</f>
        <v>1.2571105142496299</v>
      </c>
      <c r="O1167" s="7">
        <f>[1]!EM_S_VAL_PS_TTM(B1167,E1167)</f>
        <v>3.0994354156153698</v>
      </c>
      <c r="P1167" s="7">
        <f>[1]!EM_S_VAL_PCF_NCFTTM(B1167,E1167)</f>
        <v>-12.950197175049899</v>
      </c>
      <c r="Q1167" s="7">
        <f>[1]!EM_S_VAL_DIVIDENDYIELD2(B1167,E1167,"2019-11-29")</f>
        <v>1.2963688989784337</v>
      </c>
      <c r="T1167"/>
      <c r="U1167">
        <f>[1]!EM_S_RATIO_EPS_TTM(B1167,E1167,"1")</f>
        <v>0.39505858263957433</v>
      </c>
      <c r="AT1167" s="4" t="str">
        <f>[1]!EM_S_IPO_LISTEDDATE(B1167)</f>
        <v>1995-11-02</v>
      </c>
    </row>
    <row r="1168" spans="1:46">
      <c r="A1168">
        <v>1403</v>
      </c>
      <c r="B1168" t="str">
        <f>"002906"</f>
        <v>002906</v>
      </c>
      <c r="C1168" t="s">
        <v>2973</v>
      </c>
      <c r="D1168" t="str">
        <f>[1]!EM_S_INFO_INDEX_EM(B1168,"1")</f>
        <v>交运设备</v>
      </c>
      <c r="E1168" s="4">
        <f t="shared" si="18"/>
        <v>43465</v>
      </c>
      <c r="F1168" s="11">
        <f>[1]!EM_S_PQ_PCTCHANGE(B1168,"2018-01-01","2019-12-31","3")</f>
        <v>-46.544640579999999</v>
      </c>
      <c r="G1168" s="11">
        <f>[1]!EM_S_PQ_PCTCHANGE(B1168,"2018-12-31","2019-12-30","1")</f>
        <v>22.643442619999998</v>
      </c>
      <c r="H1168" s="11">
        <f>[1]!EM_S_FA_YOY_OR(B1168,E1168)</f>
        <v>-16.7329070063</v>
      </c>
      <c r="I1168" s="11">
        <f>[1]!EM_S_FA_GROSSPROFITMARGIN(B1168,E1168)</f>
        <v>20.474551276900002</v>
      </c>
      <c r="J1168" s="11">
        <f>[1]!EM_S_FA_NETPROFITMARGIN(B1168,E1168)</f>
        <v>0.51958480910000004</v>
      </c>
      <c r="K1168" s="10">
        <f>[1]!EM_S_FA_ASSETSTURN(B1168,E1168)</f>
        <v>0.74534344185099999</v>
      </c>
      <c r="L1168" s="12">
        <f>[1]!EM_HKS_VAL_MV(B1168,"2019-12-31","2")</f>
        <v>5620428000</v>
      </c>
      <c r="M1168">
        <f>[1]!EM_S_VAL_PETTMDEDUCTED(B1168,E1168)</f>
        <v>55.775456045413399</v>
      </c>
      <c r="N1168" s="7">
        <f>[1]!EM_S_VAL_PBGOODWILLDEDUCTED(B1168,E1168)</f>
        <v>1.3623250523371899</v>
      </c>
      <c r="O1168" s="7">
        <f>[1]!EM_S_VAL_PS_TTM(B1168,E1168)</f>
        <v>1.29722214387615</v>
      </c>
      <c r="P1168" s="7">
        <f>[1]!EM_S_VAL_PCF_NCFTTM(B1168,E1168)</f>
        <v>33.778606338444</v>
      </c>
      <c r="Q1168" s="7">
        <f>[1]!EM_S_VAL_DIVIDENDYIELD2(B1168,E1168,"2019-11-29")</f>
        <v>0</v>
      </c>
      <c r="T1168"/>
      <c r="U1168">
        <f>[1]!EM_S_RATIO_EPS_TTM(B1168,E1168,"1")</f>
        <v>3.5162387338828996E-2</v>
      </c>
      <c r="AT1168" s="4" t="str">
        <f>[1]!EM_S_IPO_LISTEDDATE(B1168)</f>
        <v>2017-10-13</v>
      </c>
    </row>
    <row r="1169" spans="1:46">
      <c r="A1169">
        <v>1640</v>
      </c>
      <c r="B1169" t="str">
        <f>"300215"</f>
        <v>300215</v>
      </c>
      <c r="C1169" t="s">
        <v>2660</v>
      </c>
      <c r="D1169" t="str">
        <f>[1]!EM_S_INFO_INDEX_EM(B1169,"1")</f>
        <v>电气设备</v>
      </c>
      <c r="E1169" s="4">
        <f t="shared" si="18"/>
        <v>43465</v>
      </c>
      <c r="F1169" s="11">
        <f>[1]!EM_S_PQ_PCTCHANGE(B1169,"2018-01-01","2019-12-31","3")</f>
        <v>-25.239836960000002</v>
      </c>
      <c r="G1169" s="11">
        <f>[1]!EM_S_PQ_PCTCHANGE(B1169,"2018-12-31","2019-12-30","1")</f>
        <v>22.641509429999999</v>
      </c>
      <c r="H1169" s="11">
        <f>[1]!EM_S_FA_YOY_OR(B1169,E1169)</f>
        <v>10.272073693199999</v>
      </c>
      <c r="I1169" s="11">
        <f>[1]!EM_S_FA_GROSSPROFITMARGIN(B1169,E1169)</f>
        <v>49.452794715899998</v>
      </c>
      <c r="J1169" s="11">
        <f>[1]!EM_S_FA_NETPROFITMARGIN(B1169,E1169)</f>
        <v>18.126555132099998</v>
      </c>
      <c r="K1169" s="10">
        <f>[1]!EM_S_FA_ASSETSTURN(B1169,E1169)</f>
        <v>0.18942513309199999</v>
      </c>
      <c r="L1169" s="12">
        <f>[1]!EM_HKS_VAL_MV(B1169,"2019-12-31","2")</f>
        <v>5027678088.8100004</v>
      </c>
      <c r="M1169">
        <f>[1]!EM_S_VAL_PETTMDEDUCTED(B1169,E1169)</f>
        <v>33.746236961019001</v>
      </c>
      <c r="N1169" s="7">
        <f>[1]!EM_S_VAL_PBGOODWILLDEDUCTED(B1169,E1169)</f>
        <v>1.9982594710134101</v>
      </c>
      <c r="O1169" s="7">
        <f>[1]!EM_S_VAL_PS_TTM(B1169,E1169)</f>
        <v>5.77661836667163</v>
      </c>
      <c r="P1169" s="7">
        <f>[1]!EM_S_VAL_PCF_NCFTTM(B1169,E1169)</f>
        <v>33.9337267173564</v>
      </c>
      <c r="Q1169" s="7">
        <f>[1]!EM_S_VAL_DIVIDENDYIELD2(B1169,E1169,"2019-11-29")</f>
        <v>1.9639934533551555</v>
      </c>
      <c r="T1169"/>
      <c r="U1169">
        <f>[1]!EM_S_RATIO_EPS_TTM(B1169,E1169,"1")</f>
        <v>0.16870931824285992</v>
      </c>
      <c r="AT1169" s="4" t="str">
        <f>[1]!EM_S_IPO_LISTEDDATE(B1169)</f>
        <v>2011-05-11</v>
      </c>
    </row>
    <row r="1170" spans="1:46">
      <c r="A1170">
        <v>195</v>
      </c>
      <c r="B1170" t="str">
        <f>"000591"</f>
        <v>000591</v>
      </c>
      <c r="C1170" t="s">
        <v>2074</v>
      </c>
      <c r="D1170" t="str">
        <f>[1]!EM_S_INFO_INDEX_EM(B1170,"1")</f>
        <v>电气设备</v>
      </c>
      <c r="E1170" s="4">
        <f t="shared" si="18"/>
        <v>43465</v>
      </c>
      <c r="F1170" s="11">
        <f>[1]!EM_S_PQ_PCTCHANGE(B1170,"2018-01-01","2019-12-31","3")</f>
        <v>-33.578887780000002</v>
      </c>
      <c r="G1170" s="11">
        <f>[1]!EM_S_PQ_PCTCHANGE(B1170,"2018-12-31","2019-12-30","1")</f>
        <v>22.635135139999999</v>
      </c>
      <c r="H1170" s="11">
        <f>[1]!EM_S_FA_YOY_OR(B1170,E1170)</f>
        <v>-3.2237758251000002</v>
      </c>
      <c r="I1170" s="11">
        <f>[1]!EM_S_FA_GROSSPROFITMARGIN(B1170,E1170)</f>
        <v>39.114331129599996</v>
      </c>
      <c r="J1170" s="11">
        <f>[1]!EM_S_FA_NETPROFITMARGIN(B1170,E1170)</f>
        <v>16.982147223399998</v>
      </c>
      <c r="K1170" s="10">
        <f>[1]!EM_S_FA_ASSETSTURN(B1170,E1170)</f>
        <v>0.15317479479000001</v>
      </c>
      <c r="L1170" s="12">
        <f>[1]!EM_HKS_VAL_MV(B1170,"2019-12-31","2")</f>
        <v>11005978797.120001</v>
      </c>
      <c r="M1170">
        <f>[1]!EM_S_VAL_PETTMDEDUCTED(B1170,E1170)</f>
        <v>11.141059088647699</v>
      </c>
      <c r="N1170" s="7">
        <f>[1]!EM_S_VAL_PBGOODWILLDEDUCTED(B1170,E1170)</f>
        <v>0.69909569981427899</v>
      </c>
      <c r="O1170" s="7">
        <f>[1]!EM_S_VAL_PS_TTM(B1170,E1170)</f>
        <v>2.0004090855276599</v>
      </c>
      <c r="P1170" s="7">
        <f>[1]!EM_S_VAL_PCF_NCFTTM(B1170,E1170)</f>
        <v>-60.001728289936203</v>
      </c>
      <c r="Q1170" s="7">
        <f>[1]!EM_S_VAL_DIVIDENDYIELD2(B1170,E1170,"2019-11-29")</f>
        <v>3.0409356725146197</v>
      </c>
      <c r="T1170"/>
      <c r="U1170">
        <f>[1]!EM_S_RATIO_EPS_TTM(B1170,E1170,"1")</f>
        <v>0.28669536804113077</v>
      </c>
      <c r="AT1170" s="4" t="str">
        <f>[1]!EM_S_IPO_LISTEDDATE(B1170)</f>
        <v>1996-02-08</v>
      </c>
    </row>
    <row r="1171" spans="1:46">
      <c r="A1171">
        <v>2331</v>
      </c>
      <c r="B1171" t="str">
        <f>"600193"</f>
        <v>600193</v>
      </c>
      <c r="C1171" t="s">
        <v>3506</v>
      </c>
      <c r="D1171" t="str">
        <f>[1]!EM_S_INFO_INDEX_EM(B1171,"1")</f>
        <v>综合</v>
      </c>
      <c r="E1171" s="4">
        <f t="shared" si="18"/>
        <v>43465</v>
      </c>
      <c r="F1171" s="11">
        <f>[1]!EM_S_PQ_PCTCHANGE(B1171,"2018-01-01","2019-12-31","3")</f>
        <v>-28.333333329999999</v>
      </c>
      <c r="G1171" s="11">
        <f>[1]!EM_S_PQ_PCTCHANGE(B1171,"2018-12-31","2019-12-30","1")</f>
        <v>22.61146497</v>
      </c>
      <c r="H1171" s="11">
        <f>[1]!EM_S_FA_YOY_OR(B1171,E1171)</f>
        <v>798.56772570299995</v>
      </c>
      <c r="I1171" s="11">
        <f>[1]!EM_S_FA_GROSSPROFITMARGIN(B1171,E1171)</f>
        <v>13.519682660499999</v>
      </c>
      <c r="J1171" s="11">
        <f>[1]!EM_S_FA_NETPROFITMARGIN(B1171,E1171)</f>
        <v>12.9392902831</v>
      </c>
      <c r="K1171" s="10">
        <f>[1]!EM_S_FA_ASSETSTURN(B1171,E1171)</f>
        <v>0.72269424811399996</v>
      </c>
      <c r="L1171" s="12">
        <f>[1]!EM_HKS_VAL_MV(B1171,"2019-12-31","2")</f>
        <v>1646193510</v>
      </c>
      <c r="M1171">
        <f>[1]!EM_S_VAL_PETTMDEDUCTED(B1171,E1171)</f>
        <v>4491.5434960060202</v>
      </c>
      <c r="N1171" s="7">
        <f>[1]!EM_S_VAL_PBGOODWILLDEDUCTED(B1171,E1171)</f>
        <v>6.3275341739068098</v>
      </c>
      <c r="O1171" s="7">
        <f>[1]!EM_S_VAL_PS_TTM(B1171,E1171)</f>
        <v>11.8879590520076</v>
      </c>
      <c r="P1171" s="7">
        <f>[1]!EM_S_VAL_PCF_NCFTTM(B1171,E1171)</f>
        <v>-22.248139241311801</v>
      </c>
      <c r="Q1171" s="7">
        <f>[1]!EM_S_VAL_DIVIDENDYIELD2(B1171,E1171,"2019-11-29")</f>
        <v>0</v>
      </c>
      <c r="T1171"/>
      <c r="U1171">
        <f>[1]!EM_S_RATIO_EPS_TTM(B1171,E1171,"1")</f>
        <v>6.7452973837079461E-2</v>
      </c>
      <c r="AT1171" s="4" t="str">
        <f>[1]!EM_S_IPO_LISTEDDATE(B1171)</f>
        <v>1999-05-27</v>
      </c>
    </row>
    <row r="1172" spans="1:46">
      <c r="A1172">
        <v>2262</v>
      </c>
      <c r="B1172" t="str">
        <f>"600115"</f>
        <v>600115</v>
      </c>
      <c r="C1172" t="s">
        <v>579</v>
      </c>
      <c r="D1172" t="str">
        <f>[1]!EM_S_INFO_INDEX_EM(B1172,"1")</f>
        <v>交通运输</v>
      </c>
      <c r="E1172" s="4">
        <f t="shared" si="18"/>
        <v>43465</v>
      </c>
      <c r="F1172" s="11">
        <f>[1]!EM_S_PQ_PCTCHANGE(B1172,"2018-01-01","2019-12-31","3")</f>
        <v>-28.636957970000001</v>
      </c>
      <c r="G1172" s="11">
        <f>[1]!EM_S_PQ_PCTCHANGE(B1172,"2018-12-31","2019-12-30","1")</f>
        <v>22.526315790000002</v>
      </c>
      <c r="H1172" s="11">
        <f>[1]!EM_S_FA_YOY_OR(B1172,E1172)</f>
        <v>12.9855192143</v>
      </c>
      <c r="I1172" s="11">
        <f>[1]!EM_S_FA_GROSSPROFITMARGIN(B1172,E1172)</f>
        <v>10.896197685500001</v>
      </c>
      <c r="J1172" s="11">
        <f>[1]!EM_S_FA_NETPROFITMARGIN(B1172,E1172)</f>
        <v>2.5589489254000002</v>
      </c>
      <c r="K1172" s="10">
        <f>[1]!EM_S_FA_ASSETSTURN(B1172,E1172)</f>
        <v>0.49514356061300002</v>
      </c>
      <c r="L1172" s="12">
        <f>[1]!EM_HKS_VAL_MV(B1172,"2019-12-31","2")</f>
        <v>95164948469.429993</v>
      </c>
      <c r="M1172">
        <f>[1]!EM_S_VAL_PETTMDEDUCTED(B1172,E1172)</f>
        <v>22.355573191119099</v>
      </c>
      <c r="N1172" s="7">
        <f>[1]!EM_S_VAL_PBGOODWILLDEDUCTED(B1172,E1172)</f>
        <v>1.4703774737253099</v>
      </c>
      <c r="O1172" s="7">
        <f>[1]!EM_S_VAL_PS_TTM(B1172,E1172)</f>
        <v>0.61306610513943605</v>
      </c>
      <c r="P1172" s="7">
        <f>[1]!EM_S_VAL_PCF_NCFTTM(B1172,E1172)</f>
        <v>-118.280605833907</v>
      </c>
      <c r="Q1172" s="7">
        <f>[1]!EM_S_VAL_DIVIDENDYIELD2(B1172,E1172,"2019-11-29")</f>
        <v>0</v>
      </c>
      <c r="T1172"/>
      <c r="U1172">
        <f>[1]!EM_S_RATIO_EPS_TTM(B1172,E1172,"1")</f>
        <v>0.18724616944003525</v>
      </c>
      <c r="AT1172" s="4" t="str">
        <f>[1]!EM_S_IPO_LISTEDDATE(B1172)</f>
        <v>1997-11-05</v>
      </c>
    </row>
    <row r="1173" spans="1:46">
      <c r="A1173">
        <v>657</v>
      </c>
      <c r="B1173" t="str">
        <f>"002146"</f>
        <v>002146</v>
      </c>
      <c r="C1173" t="s">
        <v>1248</v>
      </c>
      <c r="D1173" t="str">
        <f>[1]!EM_S_INFO_INDEX_EM(B1173,"1")</f>
        <v>房地产</v>
      </c>
      <c r="E1173" s="4">
        <f t="shared" si="18"/>
        <v>43465</v>
      </c>
      <c r="F1173" s="11">
        <f>[1]!EM_S_PQ_PCTCHANGE(B1173,"2018-01-01","2019-12-31","3")</f>
        <v>14.09614024</v>
      </c>
      <c r="G1173" s="11">
        <f>[1]!EM_S_PQ_PCTCHANGE(B1173,"2018-12-31","2019-12-30","1")</f>
        <v>22.515723269999999</v>
      </c>
      <c r="H1173" s="11">
        <f>[1]!EM_S_FA_YOY_OR(B1173,E1173)</f>
        <v>45.637661035500003</v>
      </c>
      <c r="I1173" s="11">
        <f>[1]!EM_S_FA_GROSSPROFITMARGIN(B1173,E1173)</f>
        <v>31.464170502000002</v>
      </c>
      <c r="J1173" s="11">
        <f>[1]!EM_S_FA_NETPROFITMARGIN(B1173,E1173)</f>
        <v>14.683854735600001</v>
      </c>
      <c r="K1173" s="10">
        <f>[1]!EM_S_FA_ASSETSTURN(B1173,E1173)</f>
        <v>0.268740009833</v>
      </c>
      <c r="L1173" s="12">
        <f>[1]!EM_HKS_VAL_MV(B1173,"2019-12-31","2")</f>
        <v>42742450655.330002</v>
      </c>
      <c r="M1173">
        <f>[1]!EM_S_VAL_PETTMDEDUCTED(B1173,E1173)</f>
        <v>5.3512721587701604</v>
      </c>
      <c r="N1173" s="7">
        <f>[1]!EM_S_VAL_PBGOODWILLDEDUCTED(B1173,E1173)</f>
        <v>1.0343263310178701</v>
      </c>
      <c r="O1173" s="7">
        <f>[1]!EM_S_VAL_PS_TTM(B1173,E1173)</f>
        <v>0.726658795369576</v>
      </c>
      <c r="P1173" s="7">
        <f>[1]!EM_S_VAL_PCF_NCFTTM(B1173,E1173)</f>
        <v>4.4327346616236198</v>
      </c>
      <c r="Q1173" s="7">
        <f>[1]!EM_S_VAL_DIVIDENDYIELD2(B1173,E1173,"2019-11-29")</f>
        <v>5.2143684820393981</v>
      </c>
      <c r="T1173"/>
      <c r="U1173">
        <f>[1]!EM_S_RATIO_EPS_TTM(B1173,E1173,"1")</f>
        <v>1.7397241168131867</v>
      </c>
      <c r="AT1173" s="4" t="str">
        <f>[1]!EM_S_IPO_LISTEDDATE(B1173)</f>
        <v>2007-08-08</v>
      </c>
    </row>
    <row r="1174" spans="1:46">
      <c r="A1174">
        <v>1754</v>
      </c>
      <c r="B1174" t="str">
        <f>"300329"</f>
        <v>300329</v>
      </c>
      <c r="C1174" t="s">
        <v>1606</v>
      </c>
      <c r="D1174" t="str">
        <f>[1]!EM_S_INFO_INDEX_EM(B1174,"1")</f>
        <v>轻工制造</v>
      </c>
      <c r="E1174" s="4">
        <f t="shared" si="18"/>
        <v>43465</v>
      </c>
      <c r="F1174" s="11">
        <f>[1]!EM_S_PQ_PCTCHANGE(B1174,"2018-01-01","2019-12-31","3")</f>
        <v>9.6882592299999999</v>
      </c>
      <c r="G1174" s="11">
        <f>[1]!EM_S_PQ_PCTCHANGE(B1174,"2018-12-31","2019-12-30","1")</f>
        <v>22.4893918</v>
      </c>
      <c r="H1174" s="11">
        <f>[1]!EM_S_FA_YOY_OR(B1174,E1174)</f>
        <v>12.299601755999999</v>
      </c>
      <c r="I1174" s="11">
        <f>[1]!EM_S_FA_GROSSPROFITMARGIN(B1174,E1174)</f>
        <v>28.540200372400001</v>
      </c>
      <c r="J1174" s="11">
        <f>[1]!EM_S_FA_NETPROFITMARGIN(B1174,E1174)</f>
        <v>10.397899669499999</v>
      </c>
      <c r="K1174" s="10">
        <f>[1]!EM_S_FA_ASSETSTURN(B1174,E1174)</f>
        <v>0.49399791535100002</v>
      </c>
      <c r="L1174" s="12">
        <f>[1]!EM_HKS_VAL_MV(B1174,"2019-12-31","2")</f>
        <v>2416611491.4000001</v>
      </c>
      <c r="M1174">
        <f>[1]!EM_S_VAL_PETTMDEDUCTED(B1174,E1174)</f>
        <v>41.823741260292898</v>
      </c>
      <c r="N1174" s="7">
        <f>[1]!EM_S_VAL_PBGOODWILLDEDUCTED(B1174,E1174)</f>
        <v>2.0148754688300601</v>
      </c>
      <c r="O1174" s="7">
        <f>[1]!EM_S_VAL_PS_TTM(B1174,E1174)</f>
        <v>3.4447953334760202</v>
      </c>
      <c r="P1174" s="7">
        <f>[1]!EM_S_VAL_PCF_NCFTTM(B1174,E1174)</f>
        <v>-629.36562020139797</v>
      </c>
      <c r="Q1174" s="7">
        <f>[1]!EM_S_VAL_DIVIDENDYIELD2(B1174,E1174,"2019-11-29")</f>
        <v>0.46608662009400265</v>
      </c>
      <c r="T1174"/>
      <c r="U1174">
        <f>[1]!EM_S_RATIO_EPS_TTM(B1174,E1174,"1")</f>
        <v>0.21492826501148043</v>
      </c>
      <c r="AT1174" s="4" t="str">
        <f>[1]!EM_S_IPO_LISTEDDATE(B1174)</f>
        <v>2012-06-19</v>
      </c>
    </row>
    <row r="1175" spans="1:46">
      <c r="A1175">
        <v>2950</v>
      </c>
      <c r="B1175" t="str">
        <f>"600877"</f>
        <v>600877</v>
      </c>
      <c r="C1175" t="s">
        <v>3098</v>
      </c>
      <c r="D1175" t="str">
        <f>[1]!EM_S_INFO_INDEX_EM(B1175,"1")</f>
        <v>有色金属</v>
      </c>
      <c r="E1175" s="4">
        <f t="shared" si="18"/>
        <v>43465</v>
      </c>
      <c r="F1175" s="11">
        <f>[1]!EM_S_PQ_PCTCHANGE(B1175,"2018-01-01","2019-12-31","3")</f>
        <v>-9.6423017099999999</v>
      </c>
      <c r="G1175" s="11">
        <f>[1]!EM_S_PQ_PCTCHANGE(B1175,"2018-12-31","2019-12-30","1")</f>
        <v>22.478991600000001</v>
      </c>
      <c r="H1175" s="11">
        <f>[1]!EM_S_FA_YOY_OR(B1175,E1175)</f>
        <v>-38.458190406500002</v>
      </c>
      <c r="I1175" s="11">
        <f>[1]!EM_S_FA_GROSSPROFITMARGIN(B1175,E1175)</f>
        <v>1.6595766798</v>
      </c>
      <c r="J1175" s="11">
        <f>[1]!EM_S_FA_NETPROFITMARGIN(B1175,E1175)</f>
        <v>-54.589305885800002</v>
      </c>
      <c r="K1175" s="10">
        <f>[1]!EM_S_FA_ASSETSTURN(B1175,E1175)</f>
        <v>0.27503257465300002</v>
      </c>
      <c r="L1175" s="12">
        <f>[1]!EM_HKS_VAL_MV(B1175,"2019-12-31","2")</f>
        <v>4776759447.9499998</v>
      </c>
      <c r="M1175">
        <f>[1]!EM_S_VAL_PETTMDEDUCTED(B1175,E1175)</f>
        <v>-11.774085057790501</v>
      </c>
      <c r="N1175" s="7">
        <f>[1]!EM_S_VAL_PBGOODWILLDEDUCTED(B1175,E1175)</f>
        <v>-16.973467755221701</v>
      </c>
      <c r="O1175" s="7">
        <f>[1]!EM_S_VAL_PS_TTM(B1175,E1175)</f>
        <v>7.2654450013173903</v>
      </c>
      <c r="P1175" s="7">
        <f>[1]!EM_S_VAL_PCF_NCFTTM(B1175,E1175)</f>
        <v>-59.422493790096603</v>
      </c>
      <c r="Q1175" s="7">
        <f>[1]!EM_S_VAL_DIVIDENDYIELD2(B1175,E1175,"2019-11-29")</f>
        <v>0</v>
      </c>
      <c r="T1175"/>
      <c r="U1175">
        <f>[1]!EM_S_RATIO_EPS_TTM(B1175,E1175,"1")</f>
        <v>-0.2843989746625708</v>
      </c>
      <c r="AT1175" s="4" t="str">
        <f>[1]!EM_S_IPO_LISTEDDATE(B1175)</f>
        <v>1995-10-13</v>
      </c>
    </row>
    <row r="1176" spans="1:46">
      <c r="A1176">
        <v>1631</v>
      </c>
      <c r="B1176" t="str">
        <f>"300206"</f>
        <v>300206</v>
      </c>
      <c r="C1176" t="s">
        <v>1332</v>
      </c>
      <c r="D1176" t="str">
        <f>[1]!EM_S_INFO_INDEX_EM(B1176,"1")</f>
        <v>医药生物</v>
      </c>
      <c r="E1176" s="4">
        <f t="shared" si="18"/>
        <v>43465</v>
      </c>
      <c r="F1176" s="11">
        <f>[1]!EM_S_PQ_PCTCHANGE(B1176,"2018-01-01","2019-12-31","3")</f>
        <v>-11.2791564</v>
      </c>
      <c r="G1176" s="11">
        <f>[1]!EM_S_PQ_PCTCHANGE(B1176,"2018-12-31","2019-12-30","1")</f>
        <v>22.469982850000001</v>
      </c>
      <c r="H1176" s="11">
        <f>[1]!EM_S_FA_YOY_OR(B1176,E1176)</f>
        <v>17.721517176399999</v>
      </c>
      <c r="I1176" s="11">
        <f>[1]!EM_S_FA_GROSSPROFITMARGIN(B1176,E1176)</f>
        <v>54.598754993199996</v>
      </c>
      <c r="J1176" s="11">
        <f>[1]!EM_S_FA_NETPROFITMARGIN(B1176,E1176)</f>
        <v>8.6846059169000007</v>
      </c>
      <c r="K1176" s="10">
        <f>[1]!EM_S_FA_ASSETSTURN(B1176,E1176)</f>
        <v>0.69210768838900005</v>
      </c>
      <c r="L1176" s="12">
        <f>[1]!EM_HKS_VAL_MV(B1176,"2019-12-31","2")</f>
        <v>4200031728.1199999</v>
      </c>
      <c r="M1176">
        <f>[1]!EM_S_VAL_PETTMDEDUCTED(B1176,E1176)</f>
        <v>142.33578763000199</v>
      </c>
      <c r="N1176" s="7">
        <f>[1]!EM_S_VAL_PBGOODWILLDEDUCTED(B1176,E1176)</f>
        <v>2.9303065529292498</v>
      </c>
      <c r="O1176" s="7">
        <f>[1]!EM_S_VAL_PS_TTM(B1176,E1176)</f>
        <v>3.6233596897128399</v>
      </c>
      <c r="P1176" s="7">
        <f>[1]!EM_S_VAL_PCF_NCFTTM(B1176,E1176)</f>
        <v>-41.763139425880397</v>
      </c>
      <c r="Q1176" s="7">
        <f>[1]!EM_S_VAL_DIVIDENDYIELD2(B1176,E1176,"2019-11-29")</f>
        <v>1.4860894089896497</v>
      </c>
      <c r="T1176"/>
      <c r="U1176">
        <f>[1]!EM_S_RATIO_EPS_TTM(B1176,E1176,"1")</f>
        <v>0.15838458788034188</v>
      </c>
      <c r="AT1176" s="4" t="str">
        <f>[1]!EM_S_IPO_LISTEDDATE(B1176)</f>
        <v>2011-04-21</v>
      </c>
    </row>
    <row r="1177" spans="1:46">
      <c r="A1177">
        <v>46</v>
      </c>
      <c r="B1177" t="str">
        <f>"000048"</f>
        <v>000048</v>
      </c>
      <c r="C1177" t="s">
        <v>3633</v>
      </c>
      <c r="D1177" t="str">
        <f>[1]!EM_S_INFO_INDEX_EM(B1177,"1")</f>
        <v>农林牧渔</v>
      </c>
      <c r="E1177" s="4">
        <f t="shared" si="18"/>
        <v>43465</v>
      </c>
      <c r="F1177" s="11">
        <f>[1]!EM_S_PQ_PCTCHANGE(B1177,"2018-01-01","2019-12-31","3")</f>
        <v>11.07511088</v>
      </c>
      <c r="G1177" s="11">
        <f>[1]!EM_S_PQ_PCTCHANGE(B1177,"2019-01-01","2019-12-31","3")</f>
        <v>22.426743089999999</v>
      </c>
      <c r="H1177" s="11">
        <f>[1]!EM_S_FA_YOY_OR(B1177,E1177)</f>
        <v>121.7932903639</v>
      </c>
      <c r="I1177" s="11">
        <f>[1]!EM_S_FA_GROSSPROFITMARGIN(B1177,E1177)</f>
        <v>42.856461360200001</v>
      </c>
      <c r="J1177" s="11">
        <f>[1]!EM_S_FA_NETPROFITMARGIN(B1177,E1177)</f>
        <v>13.079636433399999</v>
      </c>
      <c r="K1177" s="10">
        <f>[1]!EM_S_FA_ASSETSTURN(B1177,E1177)</f>
        <v>0.75642887977200002</v>
      </c>
      <c r="L1177" s="12">
        <f>[1]!EM_HKS_VAL_MV(B1177,"2019-12-31","2")</f>
        <v>8705896141.5300007</v>
      </c>
      <c r="M1177">
        <f>[1]!EM_S_VAL_PETTMDEDUCTED(B1177,E1177)</f>
        <v>16.166743712812998</v>
      </c>
      <c r="N1177" s="7">
        <f>[1]!EM_S_VAL_PBGOODWILLDEDUCTED(B1177,E1177)</f>
        <v>7.0051050037155198</v>
      </c>
      <c r="O1177" s="7">
        <f>[1]!EM_S_VAL_PS_TTM(B1177,E1177)</f>
        <v>3.45027261702386</v>
      </c>
      <c r="P1177" s="7">
        <f>[1]!EM_S_VAL_PCF_NCFTTM(B1177,E1177)</f>
        <v>4.4269356853770496</v>
      </c>
      <c r="Q1177" s="7">
        <f>[1]!EM_S_VAL_DIVIDENDYIELD2(B1177,E1177,"2019-11-29")</f>
        <v>0</v>
      </c>
      <c r="T1177"/>
      <c r="U1177">
        <f>[1]!EM_S_RATIO_EPS_TTM(B1177,E1177,"1")</f>
        <v>1.1193194725428743</v>
      </c>
      <c r="AT1177" s="4" t="str">
        <f>[1]!EM_S_IPO_LISTEDDATE(B1177)</f>
        <v>1994-11-01</v>
      </c>
    </row>
    <row r="1178" spans="1:46">
      <c r="A1178">
        <v>2944</v>
      </c>
      <c r="B1178" t="str">
        <f>"600871"</f>
        <v>600871</v>
      </c>
      <c r="C1178" t="s">
        <v>2232</v>
      </c>
      <c r="D1178" t="str">
        <f>[1]!EM_S_INFO_INDEX_EM(B1178,"1")</f>
        <v>化石能源</v>
      </c>
      <c r="E1178" s="4">
        <f t="shared" si="18"/>
        <v>43465</v>
      </c>
      <c r="F1178" s="11">
        <f>[1]!EM_S_PQ_PCTCHANGE(B1178,"2018-01-01","2019-12-31","3")</f>
        <v>-15.35580524</v>
      </c>
      <c r="G1178" s="11">
        <f>[1]!EM_S_PQ_PCTCHANGE(B1178,"2018-12-31","2019-12-30","1")</f>
        <v>22.404371579999999</v>
      </c>
      <c r="H1178" s="11">
        <f>[1]!EM_S_FA_YOY_OR(B1178,E1178)</f>
        <v>20.198255963899999</v>
      </c>
      <c r="I1178" s="11">
        <f>[1]!EM_S_FA_GROSSPROFITMARGIN(B1178,E1178)</f>
        <v>8.7123135209000004</v>
      </c>
      <c r="J1178" s="11">
        <f>[1]!EM_S_FA_NETPROFITMARGIN(B1178,E1178)</f>
        <v>0.24320876969999999</v>
      </c>
      <c r="K1178" s="10">
        <f>[1]!EM_S_FA_ASSETSTURN(B1178,E1178)</f>
        <v>0.95092129952799997</v>
      </c>
      <c r="L1178" s="12">
        <f>[1]!EM_HKS_VAL_MV(B1178,"2019-12-31","2")</f>
        <v>42904608474.580002</v>
      </c>
      <c r="M1178">
        <f>[1]!EM_S_VAL_PETTMDEDUCTED(B1178,E1178)</f>
        <v>-4.9230791182771503</v>
      </c>
      <c r="N1178" s="7">
        <f>[1]!EM_S_VAL_PBGOODWILLDEDUCTED(B1178,E1178)</f>
        <v>6.0122667412644697</v>
      </c>
      <c r="O1178" s="7">
        <f>[1]!EM_S_VAL_PS_TTM(B1178,E1178)</f>
        <v>0.62439551782557901</v>
      </c>
      <c r="P1178" s="7">
        <f>[1]!EM_S_VAL_PCF_NCFTTM(B1178,E1178)</f>
        <v>290.25375135045499</v>
      </c>
      <c r="Q1178" s="7">
        <f>[1]!EM_S_VAL_DIVIDENDYIELD2(B1178,E1178,"2019-11-29")</f>
        <v>0</v>
      </c>
      <c r="T1178"/>
      <c r="U1178">
        <f>[1]!EM_S_RATIO_EPS_TTM(B1178,E1178,"1")</f>
        <v>7.4827989676263503E-3</v>
      </c>
      <c r="AT1178" s="4" t="str">
        <f>[1]!EM_S_IPO_LISTEDDATE(B1178)</f>
        <v>1995-04-11</v>
      </c>
    </row>
    <row r="1179" spans="1:46">
      <c r="A1179">
        <v>3610</v>
      </c>
      <c r="B1179" t="str">
        <f>"603936"</f>
        <v>603936</v>
      </c>
      <c r="C1179" t="s">
        <v>1689</v>
      </c>
      <c r="D1179" t="str">
        <f>[1]!EM_S_INFO_INDEX_EM(B1179,"1")</f>
        <v>电子设备</v>
      </c>
      <c r="E1179" s="4">
        <f t="shared" si="18"/>
        <v>43465</v>
      </c>
      <c r="F1179" s="11">
        <f>[1]!EM_S_PQ_PCTCHANGE(B1179,"2018-01-01","2019-12-31","3")</f>
        <v>-15.5513931</v>
      </c>
      <c r="G1179" s="11">
        <f>[1]!EM_S_PQ_PCTCHANGE(B1179,"2018-12-31","2019-12-30","1")</f>
        <v>22.292545709999999</v>
      </c>
      <c r="H1179" s="11">
        <f>[1]!EM_S_FA_YOY_OR(B1179,E1179)</f>
        <v>10.749165040399999</v>
      </c>
      <c r="I1179" s="11">
        <f>[1]!EM_S_FA_GROSSPROFITMARGIN(B1179,E1179)</f>
        <v>18.7768834333</v>
      </c>
      <c r="J1179" s="11">
        <f>[1]!EM_S_FA_NETPROFITMARGIN(B1179,E1179)</f>
        <v>6.3999194545</v>
      </c>
      <c r="K1179" s="10">
        <f>[1]!EM_S_FA_ASSETSTURN(B1179,E1179)</f>
        <v>0.62943493612099999</v>
      </c>
      <c r="L1179" s="12">
        <f>[1]!EM_HKS_VAL_MV(B1179,"2019-12-31","2")</f>
        <v>5415508084.7700005</v>
      </c>
      <c r="M1179">
        <f>[1]!EM_S_VAL_PETTMDEDUCTED(B1179,E1179)</f>
        <v>42.309465361492499</v>
      </c>
      <c r="N1179" s="7">
        <f>[1]!EM_S_VAL_PBGOODWILLDEDUCTED(B1179,E1179)</f>
        <v>2.4643963022439399</v>
      </c>
      <c r="O1179" s="7">
        <f>[1]!EM_S_VAL_PS_TTM(B1179,E1179)</f>
        <v>1.53984997820873</v>
      </c>
      <c r="P1179" s="7">
        <f>[1]!EM_S_VAL_PCF_NCFTTM(B1179,E1179)</f>
        <v>42.363016828288103</v>
      </c>
      <c r="Q1179" s="7">
        <f>[1]!EM_S_VAL_DIVIDENDYIELD2(B1179,E1179,"2019-11-29")</f>
        <v>0.41431885979449784</v>
      </c>
      <c r="T1179"/>
      <c r="U1179">
        <f>[1]!EM_S_RATIO_EPS_TTM(B1179,E1179,"1")</f>
        <v>0.57894332696426931</v>
      </c>
      <c r="AT1179" s="4" t="str">
        <f>[1]!EM_S_IPO_LISTEDDATE(B1179)</f>
        <v>2015-12-09</v>
      </c>
    </row>
    <row r="1180" spans="1:46">
      <c r="A1180">
        <v>141</v>
      </c>
      <c r="B1180" t="str">
        <f>"000532"</f>
        <v>000532</v>
      </c>
      <c r="C1180" t="s">
        <v>2624</v>
      </c>
      <c r="D1180" t="str">
        <f>[1]!EM_S_INFO_INDEX_EM(B1180,"1")</f>
        <v>金融</v>
      </c>
      <c r="E1180" s="4">
        <f t="shared" si="18"/>
        <v>43465</v>
      </c>
      <c r="F1180" s="11">
        <f>[1]!EM_S_PQ_PCTCHANGE(B1180,"2018-01-01","2019-12-31","3")</f>
        <v>14.04935429</v>
      </c>
      <c r="G1180" s="11">
        <f>[1]!EM_S_PQ_PCTCHANGE(B1180,"2018-12-31","2019-12-30","1")</f>
        <v>22.188449850000001</v>
      </c>
      <c r="H1180" s="11">
        <f>[1]!EM_S_FA_YOY_OR(B1180,E1180)</f>
        <v>10.7033356156</v>
      </c>
      <c r="I1180" s="11">
        <f>[1]!EM_S_FA_GROSSPROFITMARGIN(B1180,E1180)</f>
        <v>45.508128790500002</v>
      </c>
      <c r="J1180" s="11">
        <f>[1]!EM_S_FA_NETPROFITMARGIN(B1180,E1180)</f>
        <v>12.1815920872</v>
      </c>
      <c r="K1180" s="10">
        <f>[1]!EM_S_FA_ASSETSTURN(B1180,E1180)</f>
        <v>0.21572418751</v>
      </c>
      <c r="L1180" s="12">
        <f>[1]!EM_HKS_VAL_MV(B1180,"2019-12-31","2")</f>
        <v>4098582162.5999999</v>
      </c>
      <c r="M1180">
        <f>[1]!EM_S_VAL_PETTMDEDUCTED(B1180,E1180)</f>
        <v>80.837478524442702</v>
      </c>
      <c r="N1180" s="7">
        <f>[1]!EM_S_VAL_PBGOODWILLDEDUCTED(B1180,E1180)</f>
        <v>4.3180302316369898</v>
      </c>
      <c r="O1180" s="7">
        <f>[1]!EM_S_VAL_PS_TTM(B1180,E1180)</f>
        <v>6.7974789514092899</v>
      </c>
      <c r="P1180" s="7">
        <f>[1]!EM_S_VAL_PCF_NCFTTM(B1180,E1180)</f>
        <v>23.365732470601898</v>
      </c>
      <c r="Q1180" s="7">
        <f>[1]!EM_S_VAL_DIVIDENDYIELD2(B1180,E1180,"2019-11-29")</f>
        <v>0.26109660574412535</v>
      </c>
      <c r="T1180"/>
      <c r="U1180">
        <f>[1]!EM_S_RATIO_EPS_TTM(B1180,E1180,"1")</f>
        <v>0.15859568399186397</v>
      </c>
      <c r="AT1180" s="4" t="str">
        <f>[1]!EM_S_IPO_LISTEDDATE(B1180)</f>
        <v>1994-01-03</v>
      </c>
    </row>
    <row r="1181" spans="1:46">
      <c r="A1181">
        <v>1147</v>
      </c>
      <c r="B1181" t="str">
        <f>"002636"</f>
        <v>002636</v>
      </c>
      <c r="C1181" t="s">
        <v>507</v>
      </c>
      <c r="D1181" t="str">
        <f>[1]!EM_S_INFO_INDEX_EM(B1181,"1")</f>
        <v>电子设备</v>
      </c>
      <c r="E1181" s="4">
        <f t="shared" si="18"/>
        <v>43465</v>
      </c>
      <c r="F1181" s="11">
        <f>[1]!EM_S_PQ_PCTCHANGE(B1181,"2018-01-01","2019-12-31","3")</f>
        <v>-45.8622868</v>
      </c>
      <c r="G1181" s="11">
        <f>[1]!EM_S_PQ_PCTCHANGE(B1181,"2018-12-31","2019-12-30","1")</f>
        <v>22.1598878</v>
      </c>
      <c r="H1181" s="11">
        <f>[1]!EM_S_FA_YOY_OR(B1181,E1181)</f>
        <v>0.20173206839999999</v>
      </c>
      <c r="I1181" s="11">
        <f>[1]!EM_S_FA_GROSSPROFITMARGIN(B1181,E1181)</f>
        <v>18.299934183800001</v>
      </c>
      <c r="J1181" s="11">
        <f>[1]!EM_S_FA_NETPROFITMARGIN(B1181,E1181)</f>
        <v>8.2407282921</v>
      </c>
      <c r="K1181" s="10">
        <f>[1]!EM_S_FA_ASSETSTURN(B1181,E1181)</f>
        <v>0.89155248836099998</v>
      </c>
      <c r="L1181" s="12">
        <f>[1]!EM_HKS_VAL_MV(B1181,"2019-12-31","2")</f>
        <v>6238960000</v>
      </c>
      <c r="M1181">
        <f>[1]!EM_S_VAL_PETTMDEDUCTED(B1181,E1181)</f>
        <v>15.7755976588519</v>
      </c>
      <c r="N1181" s="7">
        <f>[1]!EM_S_VAL_PBGOODWILLDEDUCTED(B1181,E1181)</f>
        <v>2.2089642719931502</v>
      </c>
      <c r="O1181" s="7">
        <f>[1]!EM_S_VAL_PS_TTM(B1181,E1181)</f>
        <v>1.3216559718988501</v>
      </c>
      <c r="P1181" s="7">
        <f>[1]!EM_S_VAL_PCF_NCFTTM(B1181,E1181)</f>
        <v>26.246283497303502</v>
      </c>
      <c r="Q1181" s="7">
        <f>[1]!EM_S_VAL_DIVIDENDYIELD2(B1181,E1181,"2019-11-29")</f>
        <v>0</v>
      </c>
      <c r="T1181"/>
      <c r="U1181">
        <f>[1]!EM_S_RATIO_EPS_TTM(B1181,E1181,"1")</f>
        <v>0.40245264065934061</v>
      </c>
      <c r="AT1181" s="4" t="str">
        <f>[1]!EM_S_IPO_LISTEDDATE(B1181)</f>
        <v>2011-11-25</v>
      </c>
    </row>
    <row r="1182" spans="1:46">
      <c r="A1182">
        <v>245</v>
      </c>
      <c r="B1182" t="str">
        <f>"000656"</f>
        <v>000656</v>
      </c>
      <c r="C1182" t="s">
        <v>2428</v>
      </c>
      <c r="D1182" t="str">
        <f>[1]!EM_S_INFO_INDEX_EM(B1182,"1")</f>
        <v>房地产</v>
      </c>
      <c r="E1182" s="4">
        <f t="shared" si="18"/>
        <v>43465</v>
      </c>
      <c r="F1182" s="11">
        <f>[1]!EM_S_PQ_PCTCHANGE(B1182,"2018-01-01","2019-12-31","3")</f>
        <v>73.292631779999994</v>
      </c>
      <c r="G1182" s="11">
        <f>[1]!EM_S_PQ_PCTCHANGE(B1182,"2018-12-31","2019-12-30","1")</f>
        <v>22.132471729999999</v>
      </c>
      <c r="H1182" s="11">
        <f>[1]!EM_S_FA_YOY_OR(B1182,E1182)</f>
        <v>18.632037308200001</v>
      </c>
      <c r="I1182" s="11">
        <f>[1]!EM_S_FA_GROSSPROFITMARGIN(B1182,E1182)</f>
        <v>28.571566520600001</v>
      </c>
      <c r="J1182" s="11">
        <f>[1]!EM_S_FA_NETPROFITMARGIN(B1182,E1182)</f>
        <v>9.7505348562999998</v>
      </c>
      <c r="K1182" s="10">
        <f>[1]!EM_S_FA_ASSETSTURN(B1182,E1182)</f>
        <v>0.21251038905</v>
      </c>
      <c r="L1182" s="12">
        <f>[1]!EM_HKS_VAL_MV(B1182,"2019-12-31","2")</f>
        <v>41009017466.879997</v>
      </c>
      <c r="M1182">
        <f>[1]!EM_S_VAL_PETTMDEDUCTED(B1182,E1182)</f>
        <v>11.0824918994557</v>
      </c>
      <c r="N1182" s="7">
        <f>[1]!EM_S_VAL_PBGOODWILLDEDUCTED(B1182,E1182)</f>
        <v>1.57448376936303</v>
      </c>
      <c r="O1182" s="7">
        <f>[1]!EM_S_VAL_PS_TTM(B1182,E1182)</f>
        <v>0.75850649525676594</v>
      </c>
      <c r="P1182" s="7">
        <f>[1]!EM_S_VAL_PCF_NCFTTM(B1182,E1182)</f>
        <v>2.41607028041948</v>
      </c>
      <c r="Q1182" s="7">
        <f>[1]!EM_S_VAL_DIVIDENDYIELD2(B1182,E1182,"2019-11-29")</f>
        <v>5.4794520547945202</v>
      </c>
      <c r="T1182"/>
      <c r="U1182">
        <f>[1]!EM_S_RATIO_EPS_TTM(B1182,E1182,"1")</f>
        <v>0.72773881672057883</v>
      </c>
      <c r="AT1182" s="4" t="str">
        <f>[1]!EM_S_IPO_LISTEDDATE(B1182)</f>
        <v>1996-11-28</v>
      </c>
    </row>
    <row r="1183" spans="1:46">
      <c r="A1183">
        <v>2641</v>
      </c>
      <c r="B1183" t="str">
        <f>"600567"</f>
        <v>600567</v>
      </c>
      <c r="C1183" t="s">
        <v>227</v>
      </c>
      <c r="D1183" t="str">
        <f>[1]!EM_S_INFO_INDEX_EM(B1183,"1")</f>
        <v>轻工制造</v>
      </c>
      <c r="E1183" s="4">
        <f t="shared" si="18"/>
        <v>43465</v>
      </c>
      <c r="F1183" s="11">
        <f>[1]!EM_S_PQ_PCTCHANGE(B1183,"2018-01-01","2019-12-31","3")</f>
        <v>-10.379341399999999</v>
      </c>
      <c r="G1183" s="11">
        <f>[1]!EM_S_PQ_PCTCHANGE(B1183,"2018-12-31","2019-12-30","1")</f>
        <v>22.11538462</v>
      </c>
      <c r="H1183" s="11">
        <f>[1]!EM_S_FA_YOY_OR(B1183,E1183)</f>
        <v>39.478985033000001</v>
      </c>
      <c r="I1183" s="11">
        <f>[1]!EM_S_FA_GROSSPROFITMARGIN(B1183,E1183)</f>
        <v>23.053146551600001</v>
      </c>
      <c r="J1183" s="11">
        <f>[1]!EM_S_FA_NETPROFITMARGIN(B1183,E1183)</f>
        <v>14.1041832012</v>
      </c>
      <c r="K1183" s="10">
        <f>[1]!EM_S_FA_ASSETSTURN(B1183,E1183)</f>
        <v>0.77554816700100004</v>
      </c>
      <c r="L1183" s="12">
        <f>[1]!EM_HKS_VAL_MV(B1183,"2019-12-31","2")</f>
        <v>17284407365.029999</v>
      </c>
      <c r="M1183">
        <f>[1]!EM_S_VAL_PETTMDEDUCTED(B1183,E1183)</f>
        <v>5.6246939425447904</v>
      </c>
      <c r="N1183" s="7">
        <f>[1]!EM_S_VAL_PBGOODWILLDEDUCTED(B1183,E1183)</f>
        <v>1.4940348266523999</v>
      </c>
      <c r="O1183" s="7">
        <f>[1]!EM_S_VAL_PS_TTM(B1183,E1183)</f>
        <v>0.61938913661778505</v>
      </c>
      <c r="P1183" s="7">
        <f>[1]!EM_S_VAL_PCF_NCFTTM(B1183,E1183)</f>
        <v>-18.551885991634201</v>
      </c>
      <c r="Q1183" s="7">
        <f>[1]!EM_S_VAL_DIVIDENDYIELD2(B1183,E1183,"2019-11-29")</f>
        <v>0</v>
      </c>
      <c r="T1183"/>
      <c r="U1183">
        <f>[1]!EM_S_RATIO_EPS_TTM(B1183,E1183,"1")</f>
        <v>0.7009635910921902</v>
      </c>
      <c r="AT1183" s="4" t="str">
        <f>[1]!EM_S_IPO_LISTEDDATE(B1183)</f>
        <v>2001-12-18</v>
      </c>
    </row>
    <row r="1184" spans="1:46">
      <c r="A1184">
        <v>3582</v>
      </c>
      <c r="B1184" t="str">
        <f>"603885"</f>
        <v>603885</v>
      </c>
      <c r="C1184" t="s">
        <v>304</v>
      </c>
      <c r="D1184" t="str">
        <f>[1]!EM_S_INFO_INDEX_EM(B1184,"1")</f>
        <v>交通运输</v>
      </c>
      <c r="E1184" s="4">
        <f t="shared" si="18"/>
        <v>43465</v>
      </c>
      <c r="F1184" s="11">
        <f>[1]!EM_S_PQ_PCTCHANGE(B1184,"2018-01-01","2019-12-31","3")</f>
        <v>-0.52082472000000002</v>
      </c>
      <c r="G1184" s="11">
        <f>[1]!EM_S_PQ_PCTCHANGE(B1184,"2018-12-31","2019-12-30","1")</f>
        <v>22.106943340000001</v>
      </c>
      <c r="H1184" s="11">
        <f>[1]!EM_S_FA_YOY_OR(B1184,E1184)</f>
        <v>15.7470576731</v>
      </c>
      <c r="I1184" s="11">
        <f>[1]!EM_S_FA_GROSSPROFITMARGIN(B1184,E1184)</f>
        <v>15.022481579900001</v>
      </c>
      <c r="J1184" s="11">
        <f>[1]!EM_S_FA_NETPROFITMARGIN(B1184,E1184)</f>
        <v>8.6285093546000002</v>
      </c>
      <c r="K1184" s="10">
        <f>[1]!EM_S_FA_ASSETSTURN(B1184,E1184)</f>
        <v>0.68915769767400004</v>
      </c>
      <c r="L1184" s="12">
        <f>[1]!EM_HKS_VAL_MV(B1184,"2019-12-31","2")</f>
        <v>29492162355</v>
      </c>
      <c r="M1184">
        <f>[1]!EM_S_VAL_PETTMDEDUCTED(B1184,E1184)</f>
        <v>17.418147744823202</v>
      </c>
      <c r="N1184" s="7">
        <f>[1]!EM_S_VAL_PBGOODWILLDEDUCTED(B1184,E1184)</f>
        <v>2.3880223247563701</v>
      </c>
      <c r="O1184" s="7">
        <f>[1]!EM_S_VAL_PS_TTM(B1184,E1184)</f>
        <v>1.6265139308602099</v>
      </c>
      <c r="P1184" s="7">
        <f>[1]!EM_S_VAL_PCF_NCFTTM(B1184,E1184)</f>
        <v>37.316483520674403</v>
      </c>
      <c r="Q1184" s="7">
        <f>[1]!EM_S_VAL_DIVIDENDYIELD2(B1184,E1184,"2019-11-29")</f>
        <v>0</v>
      </c>
      <c r="T1184"/>
      <c r="U1184">
        <f>[1]!EM_S_RATIO_EPS_TTM(B1184,E1184,"1")</f>
        <v>0.68609787952080004</v>
      </c>
      <c r="AT1184" s="4" t="str">
        <f>[1]!EM_S_IPO_LISTEDDATE(B1184)</f>
        <v>2015-05-27</v>
      </c>
    </row>
    <row r="1185" spans="1:46">
      <c r="A1185">
        <v>2837</v>
      </c>
      <c r="B1185" t="str">
        <f>"600764"</f>
        <v>600764</v>
      </c>
      <c r="C1185" t="s">
        <v>2873</v>
      </c>
      <c r="D1185" t="str">
        <f>[1]!EM_S_INFO_INDEX_EM(B1185,"1")</f>
        <v>国防与装备</v>
      </c>
      <c r="E1185" s="4">
        <f t="shared" si="18"/>
        <v>43465</v>
      </c>
      <c r="F1185" s="11">
        <f>[1]!EM_S_PQ_PCTCHANGE(B1185,"2018-01-01","2019-12-31","3")</f>
        <v>2.5309255799999999</v>
      </c>
      <c r="G1185" s="11">
        <f>[1]!EM_S_PQ_PCTCHANGE(B1185,"2018-12-31","2019-12-30","1")</f>
        <v>22.1057047</v>
      </c>
      <c r="H1185" s="11">
        <f>[1]!EM_S_FA_YOY_OR(B1185,E1185)</f>
        <v>-3.3609227522</v>
      </c>
      <c r="I1185" s="11">
        <f>[1]!EM_S_FA_GROSSPROFITMARGIN(B1185,E1185)</f>
        <v>49.713459737800001</v>
      </c>
      <c r="J1185" s="11">
        <f>[1]!EM_S_FA_NETPROFITMARGIN(B1185,E1185)</f>
        <v>19.253033793899998</v>
      </c>
      <c r="K1185" s="10">
        <f>[1]!EM_S_FA_ASSETSTURN(B1185,E1185)</f>
        <v>0.22700843107400001</v>
      </c>
      <c r="L1185" s="12">
        <f>[1]!EM_HKS_VAL_MV(B1185,"2019-12-31","2")</f>
        <v>17977275207.48</v>
      </c>
      <c r="M1185">
        <f>[1]!EM_S_VAL_PETTMDEDUCTED(B1185,E1185)</f>
        <v>214.379242174696</v>
      </c>
      <c r="N1185" s="7">
        <f>[1]!EM_S_VAL_PBGOODWILLDEDUCTED(B1185,E1185)</f>
        <v>8.8401850774307196</v>
      </c>
      <c r="O1185" s="7">
        <f>[1]!EM_S_VAL_PS_TTM(B1185,E1185)</f>
        <v>26.529961566463701</v>
      </c>
      <c r="P1185" s="7">
        <f>[1]!EM_S_VAL_PCF_NCFTTM(B1185,E1185)</f>
        <v>18.951121789808401</v>
      </c>
      <c r="Q1185" s="7">
        <f>[1]!EM_S_VAL_DIVIDENDYIELD2(B1185,E1185,"2019-11-29")</f>
        <v>0</v>
      </c>
      <c r="T1185"/>
      <c r="U1185">
        <f>[1]!EM_S_RATIO_EPS_TTM(B1185,E1185,"1")</f>
        <v>0.1709526547431014</v>
      </c>
      <c r="AT1185" s="4" t="str">
        <f>[1]!EM_S_IPO_LISTEDDATE(B1185)</f>
        <v>1996-11-04</v>
      </c>
    </row>
    <row r="1186" spans="1:46">
      <c r="A1186">
        <v>2076</v>
      </c>
      <c r="B1186" t="str">
        <f>"300657"</f>
        <v>300657</v>
      </c>
      <c r="C1186" t="s">
        <v>3589</v>
      </c>
      <c r="D1186" t="str">
        <f>[1]!EM_S_INFO_INDEX_EM(B1186,"1")</f>
        <v>电子设备</v>
      </c>
      <c r="E1186" s="4">
        <f t="shared" si="18"/>
        <v>43465</v>
      </c>
      <c r="F1186" s="11">
        <f>[1]!EM_S_PQ_PCTCHANGE(B1186,"2018-01-01","2019-12-31","3")</f>
        <v>28.730906189999999</v>
      </c>
      <c r="G1186" s="11">
        <f>[1]!EM_S_PQ_PCTCHANGE(B1186,"2018-12-31","2019-12-30","1")</f>
        <v>21.993127149999999</v>
      </c>
      <c r="H1186" s="11">
        <f>[1]!EM_S_FA_YOY_OR(B1186,E1186)</f>
        <v>52.209576480499997</v>
      </c>
      <c r="I1186" s="11">
        <f>[1]!EM_S_FA_GROSSPROFITMARGIN(B1186,E1186)</f>
        <v>11.6355213182</v>
      </c>
      <c r="J1186" s="11">
        <f>[1]!EM_S_FA_NETPROFITMARGIN(B1186,E1186)</f>
        <v>4.7278578988</v>
      </c>
      <c r="K1186" s="10">
        <f>[1]!EM_S_FA_ASSETSTURN(B1186,E1186)</f>
        <v>1.1008994675599999</v>
      </c>
      <c r="L1186" s="12">
        <f>[1]!EM_HKS_VAL_MV(B1186,"2019-12-31","2")</f>
        <v>7360811231.1199999</v>
      </c>
      <c r="M1186">
        <f>[1]!EM_S_VAL_PETTMDEDUCTED(B1186,E1186)</f>
        <v>102.151306687608</v>
      </c>
      <c r="N1186" s="7">
        <f>[1]!EM_S_VAL_PBGOODWILLDEDUCTED(B1186,E1186)</f>
        <v>5.0735027775170298</v>
      </c>
      <c r="O1186" s="7">
        <f>[1]!EM_S_VAL_PS_TTM(B1186,E1186)</f>
        <v>1.5814310751232801</v>
      </c>
      <c r="P1186" s="7">
        <f>[1]!EM_S_VAL_PCF_NCFTTM(B1186,E1186)</f>
        <v>68.660047792534201</v>
      </c>
      <c r="Q1186" s="7">
        <f>[1]!EM_S_VAL_DIVIDENDYIELD2(B1186,E1186,"2019-11-29")</f>
        <v>0.41037945852909175</v>
      </c>
      <c r="T1186"/>
      <c r="U1186">
        <f>[1]!EM_S_RATIO_EPS_TTM(B1186,E1186,"1")</f>
        <v>1.1340738088461539</v>
      </c>
      <c r="AT1186" s="4" t="str">
        <f>[1]!EM_S_IPO_LISTEDDATE(B1186)</f>
        <v>2017-05-23</v>
      </c>
    </row>
    <row r="1187" spans="1:46">
      <c r="A1187">
        <v>531</v>
      </c>
      <c r="B1187" t="str">
        <f>"002020"</f>
        <v>002020</v>
      </c>
      <c r="C1187" t="s">
        <v>1220</v>
      </c>
      <c r="D1187" t="str">
        <f>[1]!EM_S_INFO_INDEX_EM(B1187,"1")</f>
        <v>医药生物</v>
      </c>
      <c r="E1187" s="4">
        <f t="shared" si="18"/>
        <v>43465</v>
      </c>
      <c r="F1187" s="11">
        <f>[1]!EM_S_PQ_PCTCHANGE(B1187,"2018-01-01","2019-12-31","3")</f>
        <v>-2.80478293</v>
      </c>
      <c r="G1187" s="11">
        <f>[1]!EM_S_PQ_PCTCHANGE(B1187,"2018-12-31","2019-12-30","1")</f>
        <v>21.976744190000002</v>
      </c>
      <c r="H1187" s="11">
        <f>[1]!EM_S_FA_YOY_OR(B1187,E1187)</f>
        <v>32.659507887099998</v>
      </c>
      <c r="I1187" s="11">
        <f>[1]!EM_S_FA_GROSSPROFITMARGIN(B1187,E1187)</f>
        <v>64.852231730900002</v>
      </c>
      <c r="J1187" s="11">
        <f>[1]!EM_S_FA_NETPROFITMARGIN(B1187,E1187)</f>
        <v>12.619318642</v>
      </c>
      <c r="K1187" s="10">
        <f>[1]!EM_S_FA_ASSETSTURN(B1187,E1187)</f>
        <v>0.59496208714599996</v>
      </c>
      <c r="L1187" s="12">
        <f>[1]!EM_HKS_VAL_MV(B1187,"2019-12-31","2")</f>
        <v>7785125280</v>
      </c>
      <c r="M1187">
        <f>[1]!EM_S_VAL_PETTMDEDUCTED(B1187,E1187)</f>
        <v>56.888468609319702</v>
      </c>
      <c r="N1187" s="7">
        <f>[1]!EM_S_VAL_PBGOODWILLDEDUCTED(B1187,E1187)</f>
        <v>1.8868379871629899</v>
      </c>
      <c r="O1187" s="7">
        <f>[1]!EM_S_VAL_PS_TTM(B1187,E1187)</f>
        <v>2.1455442252938401</v>
      </c>
      <c r="P1187" s="7">
        <f>[1]!EM_S_VAL_PCF_NCFTTM(B1187,E1187)</f>
        <v>40.080726436946001</v>
      </c>
      <c r="Q1187" s="7">
        <f>[1]!EM_S_VAL_DIVIDENDYIELD2(B1187,E1187,"2019-11-29")</f>
        <v>3.0211480362537766</v>
      </c>
      <c r="T1187"/>
      <c r="U1187">
        <f>[1]!EM_S_RATIO_EPS_TTM(B1187,E1187,"1")</f>
        <v>0.51048551058669667</v>
      </c>
      <c r="AT1187" s="4" t="str">
        <f>[1]!EM_S_IPO_LISTEDDATE(B1187)</f>
        <v>2004-07-15</v>
      </c>
    </row>
    <row r="1188" spans="1:46">
      <c r="A1188">
        <v>3079</v>
      </c>
      <c r="B1188" t="str">
        <f>"601211"</f>
        <v>601211</v>
      </c>
      <c r="C1188" t="s">
        <v>1382</v>
      </c>
      <c r="D1188" t="str">
        <f>[1]!EM_S_INFO_INDEX_EM(B1188,"1")</f>
        <v>金融</v>
      </c>
      <c r="E1188" s="4">
        <f t="shared" si="18"/>
        <v>43465</v>
      </c>
      <c r="F1188" s="11">
        <f>[1]!EM_S_PQ_PCTCHANGE(B1188,"2018-01-01","2019-12-31","3")</f>
        <v>4.29616723</v>
      </c>
      <c r="G1188" s="11">
        <f>[1]!EM_S_PQ_PCTCHANGE(B1188,"2018-12-31","2019-12-30","1")</f>
        <v>21.93211488</v>
      </c>
      <c r="H1188" s="11">
        <f>[1]!EM_S_FA_YOY_OR(B1188,E1188)</f>
        <v>-4.5593320430000004</v>
      </c>
      <c r="I1188" s="11">
        <f>[1]!EM_S_FA_GROSSPROFITMARGIN(B1188,E1188)</f>
        <v>0</v>
      </c>
      <c r="J1188" s="11">
        <f>[1]!EM_S_FA_NETPROFITMARGIN(B1188,E1188)</f>
        <v>31.119738636200001</v>
      </c>
      <c r="K1188" s="10">
        <f>[1]!EM_S_FA_ASSETSTURN(B1188,E1188)</f>
        <v>0</v>
      </c>
      <c r="L1188" s="12">
        <f>[1]!EM_HKS_VAL_MV(B1188,"2019-12-31","2")</f>
        <v>164707961459.91</v>
      </c>
      <c r="M1188">
        <f>[1]!EM_S_VAL_PETTMDEDUCTED(B1188,E1188)</f>
        <v>18.245828705726101</v>
      </c>
      <c r="N1188" s="7">
        <f>[1]!EM_S_VAL_PBGOODWILLDEDUCTED(B1188,E1188)</f>
        <v>1.19472848462541</v>
      </c>
      <c r="O1188" s="7">
        <f>[1]!EM_S_VAL_PS_TTM(B1188,E1188)</f>
        <v>5.5677967705785498</v>
      </c>
      <c r="P1188" s="7">
        <f>[1]!EM_S_VAL_PCF_NCFTTM(B1188,E1188)</f>
        <v>-24.579683683464101</v>
      </c>
      <c r="Q1188" s="7">
        <f>[1]!EM_S_VAL_DIVIDENDYIELD2(B1188,E1188,"2019-11-29")</f>
        <v>1.6457211027410035</v>
      </c>
      <c r="T1188"/>
      <c r="U1188">
        <f>[1]!EM_S_RATIO_EPS_TTM(B1188,E1188,"1")</f>
        <v>0.76981435915174634</v>
      </c>
      <c r="AT1188" s="4" t="str">
        <f>[1]!EM_S_IPO_LISTEDDATE(B1188)</f>
        <v>2015-06-26</v>
      </c>
    </row>
    <row r="1189" spans="1:46">
      <c r="A1189">
        <v>1004</v>
      </c>
      <c r="B1189" t="str">
        <f>"002493"</f>
        <v>002493</v>
      </c>
      <c r="C1189" t="s">
        <v>352</v>
      </c>
      <c r="D1189" t="str">
        <f>[1]!EM_S_INFO_INDEX_EM(B1189,"1")</f>
        <v>基础化工</v>
      </c>
      <c r="E1189" s="4">
        <f t="shared" si="18"/>
        <v>43465</v>
      </c>
      <c r="F1189" s="11">
        <f>[1]!EM_S_PQ_PCTCHANGE(B1189,"2018-01-01","2019-12-31","3")</f>
        <v>31.65024446</v>
      </c>
      <c r="G1189" s="11">
        <f>[1]!EM_S_PQ_PCTCHANGE(B1189,"2018-12-31","2019-12-30","1")</f>
        <v>21.902874130000001</v>
      </c>
      <c r="H1189" s="11">
        <f>[1]!EM_S_FA_YOY_OR(B1189,E1189)</f>
        <v>26.909297803800001</v>
      </c>
      <c r="I1189" s="11">
        <f>[1]!EM_S_FA_GROSSPROFITMARGIN(B1189,E1189)</f>
        <v>5.8268730057000004</v>
      </c>
      <c r="J1189" s="11">
        <f>[1]!EM_S_FA_NETPROFITMARGIN(B1189,E1189)</f>
        <v>2.1521580369</v>
      </c>
      <c r="K1189" s="10">
        <f>[1]!EM_S_FA_ASSETSTURN(B1189,E1189)</f>
        <v>0.99662323852699997</v>
      </c>
      <c r="L1189" s="12">
        <f>[1]!EM_HKS_VAL_MV(B1189,"2019-12-31","2")</f>
        <v>77946825022.5</v>
      </c>
      <c r="M1189">
        <f>[1]!EM_S_VAL_PETTMDEDUCTED(B1189,E1189)</f>
        <v>31.3801075589184</v>
      </c>
      <c r="N1189" s="7">
        <f>[1]!EM_S_VAL_PBGOODWILLDEDUCTED(B1189,E1189)</f>
        <v>3.03261477457374</v>
      </c>
      <c r="O1189" s="7">
        <f>[1]!EM_S_VAL_PS_TTM(B1189,E1189)</f>
        <v>0.79494762393477802</v>
      </c>
      <c r="P1189" s="7">
        <f>[1]!EM_S_VAL_PCF_NCFTTM(B1189,E1189)</f>
        <v>4.4489894341238001</v>
      </c>
      <c r="Q1189" s="7">
        <f>[1]!EM_S_VAL_DIVIDENDYIELD2(B1189,E1189,"2019-11-29")</f>
        <v>0.82304526748971196</v>
      </c>
      <c r="T1189"/>
      <c r="U1189">
        <f>[1]!EM_S_RATIO_EPS_TTM(B1189,E1189,"1")</f>
        <v>0.25552444047393719</v>
      </c>
      <c r="AT1189" s="4" t="str">
        <f>[1]!EM_S_IPO_LISTEDDATE(B1189)</f>
        <v>2010-11-02</v>
      </c>
    </row>
    <row r="1190" spans="1:46">
      <c r="A1190">
        <v>1177</v>
      </c>
      <c r="B1190" t="str">
        <f>"002666"</f>
        <v>002666</v>
      </c>
      <c r="C1190" t="s">
        <v>2506</v>
      </c>
      <c r="D1190" t="str">
        <f>[1]!EM_S_INFO_INDEX_EM(B1190,"1")</f>
        <v>基础化工</v>
      </c>
      <c r="E1190" s="4">
        <f t="shared" si="18"/>
        <v>43465</v>
      </c>
      <c r="F1190" s="11">
        <f>[1]!EM_S_PQ_PCTCHANGE(B1190,"2018-01-01","2019-12-31","3")</f>
        <v>-9.7219014399999999</v>
      </c>
      <c r="G1190" s="11">
        <f>[1]!EM_S_PQ_PCTCHANGE(B1190,"2018-12-31","2019-12-30","1")</f>
        <v>21.81818182</v>
      </c>
      <c r="H1190" s="11">
        <f>[1]!EM_S_FA_YOY_OR(B1190,E1190)</f>
        <v>18.569301359600001</v>
      </c>
      <c r="I1190" s="11">
        <f>[1]!EM_S_FA_GROSSPROFITMARGIN(B1190,E1190)</f>
        <v>14.986188805199999</v>
      </c>
      <c r="J1190" s="11">
        <f>[1]!EM_S_FA_NETPROFITMARGIN(B1190,E1190)</f>
        <v>3.9016735362000001</v>
      </c>
      <c r="K1190" s="10">
        <f>[1]!EM_S_FA_ASSETSTURN(B1190,E1190)</f>
        <v>1.021055082645</v>
      </c>
      <c r="L1190" s="12">
        <f>[1]!EM_HKS_VAL_MV(B1190,"2019-12-31","2")</f>
        <v>3567977437.6399999</v>
      </c>
      <c r="M1190">
        <f>[1]!EM_S_VAL_PETTMDEDUCTED(B1190,E1190)</f>
        <v>20.310672773458801</v>
      </c>
      <c r="N1190" s="7">
        <f>[1]!EM_S_VAL_PBGOODWILLDEDUCTED(B1190,E1190)</f>
        <v>0.97912350127430303</v>
      </c>
      <c r="O1190" s="7">
        <f>[1]!EM_S_VAL_PS_TTM(B1190,E1190)</f>
        <v>0.754133737242766</v>
      </c>
      <c r="P1190" s="7">
        <f>[1]!EM_S_VAL_PCF_NCFTTM(B1190,E1190)</f>
        <v>43.219074169092998</v>
      </c>
      <c r="Q1190" s="7">
        <f>[1]!EM_S_VAL_DIVIDENDYIELD2(B1190,E1190,"2019-11-29")</f>
        <v>6.3788968824940051</v>
      </c>
      <c r="T1190"/>
      <c r="U1190">
        <f>[1]!EM_S_RATIO_EPS_TTM(B1190,E1190,"1")</f>
        <v>0.19199422487475326</v>
      </c>
      <c r="AT1190" s="4" t="str">
        <f>[1]!EM_S_IPO_LISTEDDATE(B1190)</f>
        <v>2012-03-27</v>
      </c>
    </row>
    <row r="1191" spans="1:46">
      <c r="A1191">
        <v>1360</v>
      </c>
      <c r="B1191" t="str">
        <f>"002860"</f>
        <v>002860</v>
      </c>
      <c r="C1191" t="s">
        <v>551</v>
      </c>
      <c r="D1191" t="str">
        <f>[1]!EM_S_INFO_INDEX_EM(B1191,"1")</f>
        <v>家电</v>
      </c>
      <c r="E1191" s="4">
        <f t="shared" si="18"/>
        <v>43465</v>
      </c>
      <c r="F1191" s="11">
        <f>[1]!EM_S_PQ_PCTCHANGE(B1191,"2018-01-01","2019-12-31","3")</f>
        <v>-17.401451850000001</v>
      </c>
      <c r="G1191" s="11">
        <f>[1]!EM_S_PQ_PCTCHANGE(B1191,"2018-12-31","2019-12-30","1")</f>
        <v>21.806520580000001</v>
      </c>
      <c r="H1191" s="11">
        <f>[1]!EM_S_FA_YOY_OR(B1191,E1191)</f>
        <v>15.3271457114</v>
      </c>
      <c r="I1191" s="11">
        <f>[1]!EM_S_FA_GROSSPROFITMARGIN(B1191,E1191)</f>
        <v>39.680949188600003</v>
      </c>
      <c r="J1191" s="11">
        <f>[1]!EM_S_FA_NETPROFITMARGIN(B1191,E1191)</f>
        <v>24.710931662699998</v>
      </c>
      <c r="K1191" s="10">
        <f>[1]!EM_S_FA_ASSETSTURN(B1191,E1191)</f>
        <v>0.47894655351400001</v>
      </c>
      <c r="L1191" s="12">
        <f>[1]!EM_HKS_VAL_MV(B1191,"2019-12-31","2")</f>
        <v>2710096302.5999999</v>
      </c>
      <c r="M1191">
        <f>[1]!EM_S_VAL_PETTMDEDUCTED(B1191,E1191)</f>
        <v>22.238418801966201</v>
      </c>
      <c r="N1191" s="7">
        <f>[1]!EM_S_VAL_PBGOODWILLDEDUCTED(B1191,E1191)</f>
        <v>3.19748630584813</v>
      </c>
      <c r="O1191" s="7">
        <f>[1]!EM_S_VAL_PS_TTM(B1191,E1191)</f>
        <v>5.3172128812798896</v>
      </c>
      <c r="P1191" s="7">
        <f>[1]!EM_S_VAL_PCF_NCFTTM(B1191,E1191)</f>
        <v>-39.292901736986202</v>
      </c>
      <c r="Q1191" s="7">
        <f>[1]!EM_S_VAL_DIVIDENDYIELD2(B1191,E1191,"2019-11-29")</f>
        <v>0.73329747532463596</v>
      </c>
      <c r="T1191"/>
      <c r="U1191">
        <f>[1]!EM_S_RATIO_EPS_TTM(B1191,E1191,"1")</f>
        <v>0.81774085616125469</v>
      </c>
      <c r="AT1191" s="4" t="str">
        <f>[1]!EM_S_IPO_LISTEDDATE(B1191)</f>
        <v>2017-04-12</v>
      </c>
    </row>
    <row r="1192" spans="1:46">
      <c r="A1192">
        <v>858</v>
      </c>
      <c r="B1192" t="str">
        <f>"002347"</f>
        <v>002347</v>
      </c>
      <c r="C1192" t="s">
        <v>2809</v>
      </c>
      <c r="D1192" t="str">
        <f>[1]!EM_S_INFO_INDEX_EM(B1192,"1")</f>
        <v>机械设备</v>
      </c>
      <c r="E1192" s="4">
        <f t="shared" si="18"/>
        <v>43465</v>
      </c>
      <c r="F1192" s="11">
        <f>[1]!EM_S_PQ_PCTCHANGE(B1192,"2018-01-01","2019-12-31","3")</f>
        <v>-28.97637795</v>
      </c>
      <c r="G1192" s="11">
        <f>[1]!EM_S_PQ_PCTCHANGE(B1192,"2018-12-31","2019-12-30","1")</f>
        <v>21.79836512</v>
      </c>
      <c r="H1192" s="11">
        <f>[1]!EM_S_FA_YOY_OR(B1192,E1192)</f>
        <v>70.276824746000003</v>
      </c>
      <c r="I1192" s="11">
        <f>[1]!EM_S_FA_GROSSPROFITMARGIN(B1192,E1192)</f>
        <v>27.473407630899999</v>
      </c>
      <c r="J1192" s="11">
        <f>[1]!EM_S_FA_NETPROFITMARGIN(B1192,E1192)</f>
        <v>3.2081143962000001</v>
      </c>
      <c r="K1192" s="10">
        <f>[1]!EM_S_FA_ASSETSTURN(B1192,E1192)</f>
        <v>0.35364975588199998</v>
      </c>
      <c r="L1192" s="12">
        <f>[1]!EM_HKS_VAL_MV(B1192,"2019-12-31","2")</f>
        <v>2016058675.6199999</v>
      </c>
      <c r="M1192">
        <f>[1]!EM_S_VAL_PETTMDEDUCTED(B1192,E1192)</f>
        <v>-10.7263759311651</v>
      </c>
      <c r="N1192" s="7">
        <f>[1]!EM_S_VAL_PBGOODWILLDEDUCTED(B1192,E1192)</f>
        <v>1.44605986228011</v>
      </c>
      <c r="O1192" s="7">
        <f>[1]!EM_S_VAL_PS_TTM(B1192,E1192)</f>
        <v>2.4676241456536898</v>
      </c>
      <c r="P1192" s="7">
        <f>[1]!EM_S_VAL_PCF_NCFTTM(B1192,E1192)</f>
        <v>546.65808243426204</v>
      </c>
      <c r="Q1192" s="7">
        <f>[1]!EM_S_VAL_DIVIDENDYIELD2(B1192,E1192,"2019-11-29")</f>
        <v>0</v>
      </c>
      <c r="T1192"/>
      <c r="U1192">
        <f>[1]!EM_S_RATIO_EPS_TTM(B1192,E1192,"1")</f>
        <v>4.4642391033662486E-2</v>
      </c>
      <c r="AT1192" s="4" t="str">
        <f>[1]!EM_S_IPO_LISTEDDATE(B1192)</f>
        <v>2010-01-28</v>
      </c>
    </row>
    <row r="1193" spans="1:46">
      <c r="A1193">
        <v>2330</v>
      </c>
      <c r="B1193" t="str">
        <f>"600192"</f>
        <v>600192</v>
      </c>
      <c r="C1193" t="s">
        <v>3012</v>
      </c>
      <c r="D1193" t="str">
        <f>[1]!EM_S_INFO_INDEX_EM(B1193,"1")</f>
        <v>电气设备</v>
      </c>
      <c r="E1193" s="4">
        <f t="shared" si="18"/>
        <v>43465</v>
      </c>
      <c r="F1193" s="11">
        <f>[1]!EM_S_PQ_PCTCHANGE(B1193,"2018-01-01","2019-12-31","3")</f>
        <v>-20.762566979999999</v>
      </c>
      <c r="G1193" s="11">
        <f>[1]!EM_S_PQ_PCTCHANGE(B1193,"2018-12-31","2019-12-30","1")</f>
        <v>21.749408979999998</v>
      </c>
      <c r="H1193" s="11">
        <f>[1]!EM_S_FA_YOY_OR(B1193,E1193)</f>
        <v>-6.3125126869999999</v>
      </c>
      <c r="I1193" s="11">
        <f>[1]!EM_S_FA_GROSSPROFITMARGIN(B1193,E1193)</f>
        <v>22.778770574900001</v>
      </c>
      <c r="J1193" s="11">
        <f>[1]!EM_S_FA_NETPROFITMARGIN(B1193,E1193)</f>
        <v>1.1272191024</v>
      </c>
      <c r="K1193" s="10">
        <f>[1]!EM_S_FA_ASSETSTURN(B1193,E1193)</f>
        <v>0.38156686980400001</v>
      </c>
      <c r="L1193" s="12">
        <f>[1]!EM_HKS_VAL_MV(B1193,"2019-12-31","2")</f>
        <v>2270584720</v>
      </c>
      <c r="M1193">
        <f>[1]!EM_S_VAL_PETTMDEDUCTED(B1193,E1193)</f>
        <v>-55.677558441969097</v>
      </c>
      <c r="N1193" s="7">
        <f>[1]!EM_S_VAL_PBGOODWILLDEDUCTED(B1193,E1193)</f>
        <v>0.96798576095038902</v>
      </c>
      <c r="O1193" s="7">
        <f>[1]!EM_S_VAL_PS_TTM(B1193,E1193)</f>
        <v>1.01276337534279</v>
      </c>
      <c r="P1193" s="7">
        <f>[1]!EM_S_VAL_PCF_NCFTTM(B1193,E1193)</f>
        <v>-7.5180694078404899</v>
      </c>
      <c r="Q1193" s="7">
        <f>[1]!EM_S_VAL_DIVIDENDYIELD2(B1193,E1193,"2019-11-29")</f>
        <v>0.12396694214876033</v>
      </c>
      <c r="T1193"/>
      <c r="U1193">
        <f>[1]!EM_S_RATIO_EPS_TTM(B1193,E1193,"1")</f>
        <v>2.6202279738674537E-2</v>
      </c>
      <c r="AT1193" s="4" t="str">
        <f>[1]!EM_S_IPO_LISTEDDATE(B1193)</f>
        <v>1998-12-24</v>
      </c>
    </row>
    <row r="1194" spans="1:46">
      <c r="A1194">
        <v>651</v>
      </c>
      <c r="B1194" t="str">
        <f>"002140"</f>
        <v>002140</v>
      </c>
      <c r="C1194" t="s">
        <v>1927</v>
      </c>
      <c r="D1194" t="str">
        <f>[1]!EM_S_INFO_INDEX_EM(B1194,"1")</f>
        <v>建筑</v>
      </c>
      <c r="E1194" s="4">
        <f t="shared" si="18"/>
        <v>43465</v>
      </c>
      <c r="F1194" s="11">
        <f>[1]!EM_S_PQ_PCTCHANGE(B1194,"2018-01-01","2019-12-31","3")</f>
        <v>-23.22398535</v>
      </c>
      <c r="G1194" s="11">
        <f>[1]!EM_S_PQ_PCTCHANGE(B1194,"2018-12-31","2019-12-30","1")</f>
        <v>21.70138889</v>
      </c>
      <c r="H1194" s="11">
        <f>[1]!EM_S_FA_YOY_OR(B1194,E1194)</f>
        <v>38.682389047000001</v>
      </c>
      <c r="I1194" s="11">
        <f>[1]!EM_S_FA_GROSSPROFITMARGIN(B1194,E1194)</f>
        <v>11.363869302199999</v>
      </c>
      <c r="J1194" s="11">
        <f>[1]!EM_S_FA_NETPROFITMARGIN(B1194,E1194)</f>
        <v>3.6976093941000001</v>
      </c>
      <c r="K1194" s="10">
        <f>[1]!EM_S_FA_ASSETSTURN(B1194,E1194)</f>
        <v>0.66716871317399995</v>
      </c>
      <c r="L1194" s="12">
        <f>[1]!EM_HKS_VAL_MV(B1194,"2019-12-31","2")</f>
        <v>3757394908.8000002</v>
      </c>
      <c r="M1194">
        <f>[1]!EM_S_VAL_PETTMDEDUCTED(B1194,E1194)</f>
        <v>-57.9612508597207</v>
      </c>
      <c r="N1194" s="7">
        <f>[1]!EM_S_VAL_PBGOODWILLDEDUCTED(B1194,E1194)</f>
        <v>1.22106690855653</v>
      </c>
      <c r="O1194" s="7">
        <f>[1]!EM_S_VAL_PS_TTM(B1194,E1194)</f>
        <v>0.71440786026339398</v>
      </c>
      <c r="P1194" s="7">
        <f>[1]!EM_S_VAL_PCF_NCFTTM(B1194,E1194)</f>
        <v>-5.5554175183147603</v>
      </c>
      <c r="Q1194" s="7">
        <f>[1]!EM_S_VAL_DIVIDENDYIELD2(B1194,E1194,"2019-11-29")</f>
        <v>1.289989682010646</v>
      </c>
      <c r="T1194"/>
      <c r="U1194">
        <f>[1]!EM_S_RATIO_EPS_TTM(B1194,E1194,"1")</f>
        <v>0.33241789813969874</v>
      </c>
      <c r="AT1194" s="4" t="str">
        <f>[1]!EM_S_IPO_LISTEDDATE(B1194)</f>
        <v>2007-07-12</v>
      </c>
    </row>
    <row r="1195" spans="1:46">
      <c r="A1195">
        <v>2398</v>
      </c>
      <c r="B1195" t="str">
        <f>"600268"</f>
        <v>600268</v>
      </c>
      <c r="C1195" t="s">
        <v>3608</v>
      </c>
      <c r="D1195" t="str">
        <f>[1]!EM_S_INFO_INDEX_EM(B1195,"1")</f>
        <v>电气设备</v>
      </c>
      <c r="E1195" s="4">
        <f t="shared" si="18"/>
        <v>43465</v>
      </c>
      <c r="F1195" s="11">
        <f>[1]!EM_S_PQ_PCTCHANGE(B1195,"2018-01-01","2019-12-31","3")</f>
        <v>-4.0153300600000001</v>
      </c>
      <c r="G1195" s="11">
        <f>[1]!EM_S_PQ_PCTCHANGE(B1195,"2018-12-31","2019-12-30","1")</f>
        <v>21.698113209999999</v>
      </c>
      <c r="H1195" s="11">
        <f>[1]!EM_S_FA_YOY_OR(B1195,E1195)</f>
        <v>-18.875174511400001</v>
      </c>
      <c r="I1195" s="11">
        <f>[1]!EM_S_FA_GROSSPROFITMARGIN(B1195,E1195)</f>
        <v>25.832285633600002</v>
      </c>
      <c r="J1195" s="11">
        <f>[1]!EM_S_FA_NETPROFITMARGIN(B1195,E1195)</f>
        <v>3.9971881878</v>
      </c>
      <c r="K1195" s="10">
        <f>[1]!EM_S_FA_ASSETSTURN(B1195,E1195)</f>
        <v>0.52559167835800003</v>
      </c>
      <c r="L1195" s="12">
        <f>[1]!EM_HKS_VAL_MV(B1195,"2019-12-31","2")</f>
        <v>3573663045.7600002</v>
      </c>
      <c r="M1195">
        <f>[1]!EM_S_VAL_PETTMDEDUCTED(B1195,E1195)</f>
        <v>-47.103460580146802</v>
      </c>
      <c r="N1195" s="7">
        <f>[1]!EM_S_VAL_PBGOODWILLDEDUCTED(B1195,E1195)</f>
        <v>1.2663814396088799</v>
      </c>
      <c r="O1195" s="7">
        <f>[1]!EM_S_VAL_PS_TTM(B1195,E1195)</f>
        <v>0.55885832906794697</v>
      </c>
      <c r="P1195" s="7">
        <f>[1]!EM_S_VAL_PCF_NCFTTM(B1195,E1195)</f>
        <v>-24.519150169161399</v>
      </c>
      <c r="Q1195" s="7">
        <f>[1]!EM_S_VAL_DIVIDENDYIELD2(B1195,E1195,"2019-11-29")</f>
        <v>0.79840319361277434</v>
      </c>
      <c r="T1195"/>
      <c r="U1195">
        <f>[1]!EM_S_RATIO_EPS_TTM(B1195,E1195,"1")</f>
        <v>7.5090067245478523E-2</v>
      </c>
      <c r="AT1195" s="4" t="str">
        <f>[1]!EM_S_IPO_LISTEDDATE(B1195)</f>
        <v>1999-11-18</v>
      </c>
    </row>
    <row r="1196" spans="1:46">
      <c r="A1196">
        <v>749</v>
      </c>
      <c r="B1196" t="str">
        <f>"002238"</f>
        <v>002238</v>
      </c>
      <c r="C1196" t="s">
        <v>1319</v>
      </c>
      <c r="D1196" t="str">
        <f>[1]!EM_S_INFO_INDEX_EM(B1196,"1")</f>
        <v>文化传媒</v>
      </c>
      <c r="E1196" s="4">
        <f t="shared" si="18"/>
        <v>43465</v>
      </c>
      <c r="F1196" s="11">
        <f>[1]!EM_S_PQ_PCTCHANGE(B1196,"2018-01-01","2019-12-31","3")</f>
        <v>-14.6564152</v>
      </c>
      <c r="G1196" s="11">
        <f>[1]!EM_S_PQ_PCTCHANGE(B1196,"2018-12-31","2019-12-30","1")</f>
        <v>21.69230769</v>
      </c>
      <c r="H1196" s="11">
        <f>[1]!EM_S_FA_YOY_OR(B1196,E1196)</f>
        <v>-1.9160864137</v>
      </c>
      <c r="I1196" s="11">
        <f>[1]!EM_S_FA_GROSSPROFITMARGIN(B1196,E1196)</f>
        <v>38.337487412800002</v>
      </c>
      <c r="J1196" s="11">
        <f>[1]!EM_S_FA_NETPROFITMARGIN(B1196,E1196)</f>
        <v>12.861012772300001</v>
      </c>
      <c r="K1196" s="10">
        <f>[1]!EM_S_FA_ASSETSTURN(B1196,E1196)</f>
        <v>0.40080802034200003</v>
      </c>
      <c r="L1196" s="12">
        <f>[1]!EM_HKS_VAL_MV(B1196,"2019-12-31","2")</f>
        <v>4833875556</v>
      </c>
      <c r="M1196">
        <f>[1]!EM_S_VAL_PETTMDEDUCTED(B1196,E1196)</f>
        <v>21.236397626028001</v>
      </c>
      <c r="N1196" s="7">
        <f>[1]!EM_S_VAL_PBGOODWILLDEDUCTED(B1196,E1196)</f>
        <v>1.44710243968476</v>
      </c>
      <c r="O1196" s="7">
        <f>[1]!EM_S_VAL_PS_TTM(B1196,E1196)</f>
        <v>2.5657928507216199</v>
      </c>
      <c r="P1196" s="7">
        <f>[1]!EM_S_VAL_PCF_NCFTTM(B1196,E1196)</f>
        <v>-5.7480486575385896</v>
      </c>
      <c r="Q1196" s="7">
        <f>[1]!EM_S_VAL_DIVIDENDYIELD2(B1196,E1196,"2019-11-29")</f>
        <v>6.8681318681318686</v>
      </c>
      <c r="T1196"/>
      <c r="U1196">
        <f>[1]!EM_S_RATIO_EPS_TTM(B1196,E1196,"1")</f>
        <v>0.31946601449542983</v>
      </c>
      <c r="AT1196" s="4" t="str">
        <f>[1]!EM_S_IPO_LISTEDDATE(B1196)</f>
        <v>2008-05-26</v>
      </c>
    </row>
    <row r="1197" spans="1:46">
      <c r="A1197">
        <v>2815</v>
      </c>
      <c r="B1197" t="str">
        <f>"600742"</f>
        <v>600742</v>
      </c>
      <c r="C1197" t="s">
        <v>1068</v>
      </c>
      <c r="D1197" t="str">
        <f>[1]!EM_S_INFO_INDEX_EM(B1197,"1")</f>
        <v>交运设备</v>
      </c>
      <c r="E1197" s="4">
        <f t="shared" si="18"/>
        <v>43465</v>
      </c>
      <c r="F1197" s="11">
        <f>[1]!EM_S_PQ_PCTCHANGE(B1197,"2018-01-01","2019-12-31","3")</f>
        <v>-4.2832876400000002</v>
      </c>
      <c r="G1197" s="11">
        <f>[1]!EM_S_PQ_PCTCHANGE(B1197,"2018-12-31","2019-12-30","1")</f>
        <v>21.643286570000001</v>
      </c>
      <c r="H1197" s="11">
        <f>[1]!EM_S_FA_YOY_OR(B1197,E1197)</f>
        <v>6.8705041317999997</v>
      </c>
      <c r="I1197" s="11">
        <f>[1]!EM_S_FA_GROSSPROFITMARGIN(B1197,E1197)</f>
        <v>7.289728459</v>
      </c>
      <c r="J1197" s="11">
        <f>[1]!EM_S_FA_NETPROFITMARGIN(B1197,E1197)</f>
        <v>4.4721870614999997</v>
      </c>
      <c r="K1197" s="10">
        <f>[1]!EM_S_FA_ASSETSTURN(B1197,E1197)</f>
        <v>1.4957326330309999</v>
      </c>
      <c r="L1197" s="12">
        <f>[1]!EM_HKS_VAL_MV(B1197,"2019-12-31","2")</f>
        <v>6137562974.3999996</v>
      </c>
      <c r="M1197">
        <f>[1]!EM_S_VAL_PETTMDEDUCTED(B1197,E1197)</f>
        <v>11.9266930591362</v>
      </c>
      <c r="N1197" s="7">
        <f>[1]!EM_S_VAL_PBGOODWILLDEDUCTED(B1197,E1197)</f>
        <v>1.04477111039962</v>
      </c>
      <c r="O1197" s="7">
        <f>[1]!EM_S_VAL_PS_TTM(B1197,E1197)</f>
        <v>0.37660165881143298</v>
      </c>
      <c r="P1197" s="7">
        <f>[1]!EM_S_VAL_PCF_NCFTTM(B1197,E1197)</f>
        <v>-26.545809156734499</v>
      </c>
      <c r="Q1197" s="7">
        <f>[1]!EM_S_VAL_DIVIDENDYIELD2(B1197,E1197,"2019-11-29")</f>
        <v>5.1063829787234036</v>
      </c>
      <c r="T1197"/>
      <c r="U1197">
        <f>[1]!EM_S_RATIO_EPS_TTM(B1197,E1197,"1")</f>
        <v>0.9744659242783541</v>
      </c>
      <c r="AT1197" s="4" t="str">
        <f>[1]!EM_S_IPO_LISTEDDATE(B1197)</f>
        <v>1996-08-26</v>
      </c>
    </row>
    <row r="1198" spans="1:46">
      <c r="A1198">
        <v>2334</v>
      </c>
      <c r="B1198" t="str">
        <f>"600197"</f>
        <v>600197</v>
      </c>
      <c r="C1198" t="s">
        <v>250</v>
      </c>
      <c r="D1198" t="str">
        <f>[1]!EM_S_INFO_INDEX_EM(B1198,"1")</f>
        <v>食品饮料</v>
      </c>
      <c r="E1198" s="4">
        <f t="shared" si="18"/>
        <v>43465</v>
      </c>
      <c r="F1198" s="11">
        <f>[1]!EM_S_PQ_PCTCHANGE(B1198,"2018-01-01","2019-12-31","3")</f>
        <v>-29.55000802</v>
      </c>
      <c r="G1198" s="11">
        <f>[1]!EM_S_PQ_PCTCHANGE(B1198,"2018-12-31","2019-12-30","1")</f>
        <v>21.64236378</v>
      </c>
      <c r="H1198" s="11">
        <f>[1]!EM_S_FA_YOY_OR(B1198,E1198)</f>
        <v>10.697392301700001</v>
      </c>
      <c r="I1198" s="11">
        <f>[1]!EM_S_FA_GROSSPROFITMARGIN(B1198,E1198)</f>
        <v>49.011426527899999</v>
      </c>
      <c r="J1198" s="11">
        <f>[1]!EM_S_FA_NETPROFITMARGIN(B1198,E1198)</f>
        <v>20.421785287100001</v>
      </c>
      <c r="K1198" s="10">
        <f>[1]!EM_S_FA_ASSETSTURN(B1198,E1198)</f>
        <v>0.663960106903</v>
      </c>
      <c r="L1198" s="12">
        <f>[1]!EM_HKS_VAL_MV(B1198,"2019-12-31","2")</f>
        <v>7069281744.8400002</v>
      </c>
      <c r="M1198">
        <f>[1]!EM_S_VAL_PETTMDEDUCTED(B1198,E1198)</f>
        <v>16.4525956843971</v>
      </c>
      <c r="N1198" s="7">
        <f>[1]!EM_S_VAL_PBGOODWILLDEDUCTED(B1198,E1198)</f>
        <v>2.3116902187016</v>
      </c>
      <c r="O1198" s="7">
        <f>[1]!EM_S_VAL_PS_TTM(B1198,E1198)</f>
        <v>2.6965593616936001</v>
      </c>
      <c r="P1198" s="7">
        <f>[1]!EM_S_VAL_PCF_NCFTTM(B1198,E1198)</f>
        <v>46.774535209842199</v>
      </c>
      <c r="Q1198" s="7">
        <f>[1]!EM_S_VAL_DIVIDENDYIELD2(B1198,E1198,"2019-11-29")</f>
        <v>2.3680525539236283</v>
      </c>
      <c r="T1198"/>
      <c r="U1198">
        <f>[1]!EM_S_RATIO_EPS_TTM(B1198,E1198,"1")</f>
        <v>0.97026347650793643</v>
      </c>
      <c r="AT1198" s="4" t="str">
        <f>[1]!EM_S_IPO_LISTEDDATE(B1198)</f>
        <v>1999-09-16</v>
      </c>
    </row>
    <row r="1199" spans="1:46">
      <c r="A1199">
        <v>1505</v>
      </c>
      <c r="B1199" t="str">
        <f>"300080"</f>
        <v>300080</v>
      </c>
      <c r="C1199" t="s">
        <v>2806</v>
      </c>
      <c r="D1199" t="str">
        <f>[1]!EM_S_INFO_INDEX_EM(B1199,"1")</f>
        <v>有色金属</v>
      </c>
      <c r="E1199" s="4">
        <f t="shared" si="18"/>
        <v>43465</v>
      </c>
      <c r="F1199" s="11">
        <f>[1]!EM_S_PQ_PCTCHANGE(B1199,"2018-01-01","2019-12-31","3")</f>
        <v>-19.448698319999998</v>
      </c>
      <c r="G1199" s="11">
        <f>[1]!EM_S_PQ_PCTCHANGE(B1199,"2018-12-31","2019-12-30","1")</f>
        <v>21.609195400000001</v>
      </c>
      <c r="H1199" s="11">
        <f>[1]!EM_S_FA_YOY_OR(B1199,E1199)</f>
        <v>52.610732165199998</v>
      </c>
      <c r="I1199" s="11">
        <f>[1]!EM_S_FA_GROSSPROFITMARGIN(B1199,E1199)</f>
        <v>14.1280489754</v>
      </c>
      <c r="J1199" s="11">
        <f>[1]!EM_S_FA_NETPROFITMARGIN(B1199,E1199)</f>
        <v>-9.0382647705999997</v>
      </c>
      <c r="K1199" s="10">
        <f>[1]!EM_S_FA_ASSETSTURN(B1199,E1199)</f>
        <v>0.47608758468899998</v>
      </c>
      <c r="L1199" s="12">
        <f>[1]!EM_HKS_VAL_MV(B1199,"2019-12-31","2")</f>
        <v>10646565057.48</v>
      </c>
      <c r="M1199">
        <f>[1]!EM_S_VAL_PETTMDEDUCTED(B1199,E1199)</f>
        <v>-2.3698675204230999</v>
      </c>
      <c r="N1199" s="7">
        <f>[1]!EM_S_VAL_PBGOODWILLDEDUCTED(B1199,E1199)</f>
        <v>1.4293365672264799</v>
      </c>
      <c r="O1199" s="7">
        <f>[1]!EM_S_VAL_PS_TTM(B1199,E1199)</f>
        <v>0.74667092275648295</v>
      </c>
      <c r="P1199" s="7">
        <f>[1]!EM_S_VAL_PCF_NCFTTM(B1199,E1199)</f>
        <v>-53.673153236064302</v>
      </c>
      <c r="Q1199" s="7">
        <f>[1]!EM_S_VAL_DIVIDENDYIELD2(B1199,E1199,"2019-11-29")</f>
        <v>0</v>
      </c>
      <c r="T1199"/>
      <c r="U1199">
        <f>[1]!EM_S_RATIO_EPS_TTM(B1199,E1199,"1")</f>
        <v>-0.58571836329845106</v>
      </c>
      <c r="AT1199" s="4" t="str">
        <f>[1]!EM_S_IPO_LISTEDDATE(B1199)</f>
        <v>2010-06-25</v>
      </c>
    </row>
    <row r="1200" spans="1:46">
      <c r="A1200">
        <v>602</v>
      </c>
      <c r="B1200" t="str">
        <f>"002091"</f>
        <v>002091</v>
      </c>
      <c r="C1200" t="s">
        <v>749</v>
      </c>
      <c r="D1200" t="str">
        <f>[1]!EM_S_INFO_INDEX_EM(B1200,"1")</f>
        <v>商贸零售</v>
      </c>
      <c r="E1200" s="4">
        <f t="shared" si="18"/>
        <v>43465</v>
      </c>
      <c r="F1200" s="11">
        <f>[1]!EM_S_PQ_PCTCHANGE(B1200,"2018-01-01","2019-12-31","3")</f>
        <v>-18.211532850000001</v>
      </c>
      <c r="G1200" s="11">
        <f>[1]!EM_S_PQ_PCTCHANGE(B1200,"2018-12-31","2019-12-30","1")</f>
        <v>21.60714286</v>
      </c>
      <c r="H1200" s="11">
        <f>[1]!EM_S_FA_YOY_OR(B1200,E1200)</f>
        <v>6.6997042233000004</v>
      </c>
      <c r="I1200" s="11">
        <f>[1]!EM_S_FA_GROSSPROFITMARGIN(B1200,E1200)</f>
        <v>12.5325836364</v>
      </c>
      <c r="J1200" s="11">
        <f>[1]!EM_S_FA_NETPROFITMARGIN(B1200,E1200)</f>
        <v>4.5318108412999996</v>
      </c>
      <c r="K1200" s="10">
        <f>[1]!EM_S_FA_ASSETSTURN(B1200,E1200)</f>
        <v>1.8256499459</v>
      </c>
      <c r="L1200" s="12">
        <f>[1]!EM_HKS_VAL_MV(B1200,"2019-12-31","2")</f>
        <v>10741496428.26</v>
      </c>
      <c r="M1200">
        <f>[1]!EM_S_VAL_PETTMDEDUCTED(B1200,E1200)</f>
        <v>12.9633640702409</v>
      </c>
      <c r="N1200" s="7">
        <f>[1]!EM_S_VAL_PBGOODWILLDEDUCTED(B1200,E1200)</f>
        <v>1.12906176593854</v>
      </c>
      <c r="O1200" s="7">
        <f>[1]!EM_S_VAL_PS_TTM(B1200,E1200)</f>
        <v>0.22903486816955501</v>
      </c>
      <c r="P1200" s="7">
        <f>[1]!EM_S_VAL_PCF_NCFTTM(B1200,E1200)</f>
        <v>-38.733516777445899</v>
      </c>
      <c r="Q1200" s="7">
        <f>[1]!EM_S_VAL_DIVIDENDYIELD2(B1200,E1200,"2019-11-29")</f>
        <v>3.3057851239669422</v>
      </c>
      <c r="T1200"/>
      <c r="U1200">
        <f>[1]!EM_S_RATIO_EPS_TTM(B1200,E1200,"1")</f>
        <v>0.64665279303109435</v>
      </c>
      <c r="AT1200" s="4" t="str">
        <f>[1]!EM_S_IPO_LISTEDDATE(B1200)</f>
        <v>2006-12-08</v>
      </c>
    </row>
    <row r="1201" spans="1:46">
      <c r="A1201">
        <v>1482</v>
      </c>
      <c r="B1201" t="str">
        <f>"300056"</f>
        <v>300056</v>
      </c>
      <c r="C1201" t="s">
        <v>3564</v>
      </c>
      <c r="D1201" t="str">
        <f>[1]!EM_S_INFO_INDEX_EM(B1201,"1")</f>
        <v>公用事业</v>
      </c>
      <c r="E1201" s="4">
        <f t="shared" si="18"/>
        <v>43465</v>
      </c>
      <c r="F1201" s="11">
        <f>[1]!EM_S_PQ_PCTCHANGE(B1201,"2018-01-01","2019-12-31","3")</f>
        <v>-10.49798116</v>
      </c>
      <c r="G1201" s="11">
        <f>[1]!EM_S_PQ_PCTCHANGE(B1201,"2018-12-31","2019-12-30","1")</f>
        <v>21.60148976</v>
      </c>
      <c r="H1201" s="11">
        <f>[1]!EM_S_FA_YOY_OR(B1201,E1201)</f>
        <v>-39.921355441700001</v>
      </c>
      <c r="I1201" s="11">
        <f>[1]!EM_S_FA_GROSSPROFITMARGIN(B1201,E1201)</f>
        <v>18.4304056225</v>
      </c>
      <c r="J1201" s="11">
        <f>[1]!EM_S_FA_NETPROFITMARGIN(B1201,E1201)</f>
        <v>-55.010256183099997</v>
      </c>
      <c r="K1201" s="10">
        <f>[1]!EM_S_FA_ASSETSTURN(B1201,E1201)</f>
        <v>0.29352353471600001</v>
      </c>
      <c r="L1201" s="12">
        <f>[1]!EM_HKS_VAL_MV(B1201,"2019-12-31","2")</f>
        <v>2563511445.9499998</v>
      </c>
      <c r="M1201">
        <f>[1]!EM_S_VAL_PETTMDEDUCTED(B1201,E1201)</f>
        <v>39.867346219225098</v>
      </c>
      <c r="N1201" s="7">
        <f>[1]!EM_S_VAL_PBGOODWILLDEDUCTED(B1201,E1201)</f>
        <v>3.3730543463192002</v>
      </c>
      <c r="O1201" s="7">
        <f>[1]!EM_S_VAL_PS_TTM(B1201,E1201)</f>
        <v>1.54995704157464</v>
      </c>
      <c r="P1201" s="7">
        <f>[1]!EM_S_VAL_PCF_NCFTTM(B1201,E1201)</f>
        <v>-17.598304228197701</v>
      </c>
      <c r="Q1201" s="7">
        <f>[1]!EM_S_VAL_DIVIDENDYIELD2(B1201,E1201,"2019-11-29")</f>
        <v>0</v>
      </c>
      <c r="T1201"/>
      <c r="U1201">
        <f>[1]!EM_S_RATIO_EPS_TTM(B1201,E1201,"1")</f>
        <v>-1.1137995981653948</v>
      </c>
      <c r="AT1201" s="4" t="str">
        <f>[1]!EM_S_IPO_LISTEDDATE(B1201)</f>
        <v>2010-02-26</v>
      </c>
    </row>
    <row r="1202" spans="1:46">
      <c r="A1202">
        <v>3139</v>
      </c>
      <c r="B1202" t="str">
        <f>"601678"</f>
        <v>601678</v>
      </c>
      <c r="C1202" t="s">
        <v>362</v>
      </c>
      <c r="D1202" t="str">
        <f>[1]!EM_S_INFO_INDEX_EM(B1202,"1")</f>
        <v>基础化工</v>
      </c>
      <c r="E1202" s="4">
        <f t="shared" si="18"/>
        <v>43465</v>
      </c>
      <c r="F1202" s="11">
        <f>[1]!EM_S_PQ_PCTCHANGE(B1202,"2018-01-01","2019-12-31","3")</f>
        <v>-14.62574569</v>
      </c>
      <c r="G1202" s="11">
        <f>[1]!EM_S_PQ_PCTCHANGE(B1202,"2018-12-31","2019-12-30","1")</f>
        <v>21.563981040000002</v>
      </c>
      <c r="H1202" s="11">
        <f>[1]!EM_S_FA_YOY_OR(B1202,E1202)</f>
        <v>4.4299328877999997</v>
      </c>
      <c r="I1202" s="11">
        <f>[1]!EM_S_FA_GROSSPROFITMARGIN(B1202,E1202)</f>
        <v>27.981139107499999</v>
      </c>
      <c r="J1202" s="11">
        <f>[1]!EM_S_FA_NETPROFITMARGIN(B1202,E1202)</f>
        <v>10.5370475826</v>
      </c>
      <c r="K1202" s="10">
        <f>[1]!EM_S_FA_ASSETSTURN(B1202,E1202)</f>
        <v>0.72698069285699995</v>
      </c>
      <c r="L1202" s="12">
        <f>[1]!EM_HKS_VAL_MV(B1202,"2019-12-31","2")</f>
        <v>7891884000</v>
      </c>
      <c r="M1202">
        <f>[1]!EM_S_VAL_PETTMDEDUCTED(B1202,E1202)</f>
        <v>7.1572535497510197</v>
      </c>
      <c r="N1202" s="7">
        <f>[1]!EM_S_VAL_PBGOODWILLDEDUCTED(B1202,E1202)</f>
        <v>1.0736476730634901</v>
      </c>
      <c r="O1202" s="7">
        <f>[1]!EM_S_VAL_PS_TTM(B1202,E1202)</f>
        <v>0.92811358481670803</v>
      </c>
      <c r="P1202" s="7">
        <f>[1]!EM_S_VAL_PCF_NCFTTM(B1202,E1202)</f>
        <v>10.819234908276201</v>
      </c>
      <c r="Q1202" s="7">
        <f>[1]!EM_S_VAL_DIVIDENDYIELD2(B1202,E1202,"2019-11-29")</f>
        <v>3.1578947368421053</v>
      </c>
      <c r="T1202"/>
      <c r="U1202">
        <f>[1]!EM_S_RATIO_EPS_TTM(B1202,E1202,"1")</f>
        <v>0.45441330385910389</v>
      </c>
      <c r="AT1202" s="4" t="str">
        <f>[1]!EM_S_IPO_LISTEDDATE(B1202)</f>
        <v>2010-02-23</v>
      </c>
    </row>
    <row r="1203" spans="1:46">
      <c r="A1203">
        <v>774</v>
      </c>
      <c r="B1203" t="str">
        <f>"002263"</f>
        <v>002263</v>
      </c>
      <c r="C1203" t="s">
        <v>3247</v>
      </c>
      <c r="D1203" t="str">
        <f>[1]!EM_S_INFO_INDEX_EM(B1203,"1")</f>
        <v>基础化工</v>
      </c>
      <c r="E1203" s="4">
        <f t="shared" si="18"/>
        <v>43465</v>
      </c>
      <c r="F1203" s="11">
        <f>[1]!EM_S_PQ_PCTCHANGE(B1203,"2018-01-01","2019-12-31","3")</f>
        <v>-26.16487455</v>
      </c>
      <c r="G1203" s="11">
        <f>[1]!EM_S_PQ_PCTCHANGE(B1203,"2018-12-31","2019-12-30","1")</f>
        <v>21.55688623</v>
      </c>
      <c r="H1203" s="11">
        <f>[1]!EM_S_FA_YOY_OR(B1203,E1203)</f>
        <v>39.756187736800001</v>
      </c>
      <c r="I1203" s="11">
        <f>[1]!EM_S_FA_GROSSPROFITMARGIN(B1203,E1203)</f>
        <v>9.0755676556000004</v>
      </c>
      <c r="J1203" s="11">
        <f>[1]!EM_S_FA_NETPROFITMARGIN(B1203,E1203)</f>
        <v>2.4290240416</v>
      </c>
      <c r="K1203" s="10">
        <f>[1]!EM_S_FA_ASSETSTURN(B1203,E1203)</f>
        <v>0.40926548820300002</v>
      </c>
      <c r="L1203" s="12">
        <f>[1]!EM_HKS_VAL_MV(B1203,"2019-12-31","2")</f>
        <v>3869421806</v>
      </c>
      <c r="M1203">
        <f>[1]!EM_S_VAL_PETTMDEDUCTED(B1203,E1203)</f>
        <v>-4.74209156301057</v>
      </c>
      <c r="N1203" s="7">
        <f>[1]!EM_S_VAL_PBGOODWILLDEDUCTED(B1203,E1203)</f>
        <v>1.4556021976198601</v>
      </c>
      <c r="O1203" s="7">
        <f>[1]!EM_S_VAL_PS_TTM(B1203,E1203)</f>
        <v>2.2918229277493598</v>
      </c>
      <c r="P1203" s="7">
        <f>[1]!EM_S_VAL_PCF_NCFTTM(B1203,E1203)</f>
        <v>28.490644312026401</v>
      </c>
      <c r="Q1203" s="7">
        <f>[1]!EM_S_VAL_DIVIDENDYIELD2(B1203,E1203,"2019-11-29")</f>
        <v>0</v>
      </c>
      <c r="T1203"/>
      <c r="U1203">
        <f>[1]!EM_S_RATIO_EPS_TTM(B1203,E1203,"1")</f>
        <v>2.1341816853967459E-2</v>
      </c>
      <c r="AT1203" s="4" t="str">
        <f>[1]!EM_S_IPO_LISTEDDATE(B1203)</f>
        <v>2008-07-28</v>
      </c>
    </row>
    <row r="1204" spans="1:46">
      <c r="A1204">
        <v>1268</v>
      </c>
      <c r="B1204" t="str">
        <f>"002760"</f>
        <v>002760</v>
      </c>
      <c r="C1204" t="s">
        <v>2844</v>
      </c>
      <c r="D1204" t="str">
        <f>[1]!EM_S_INFO_INDEX_EM(B1204,"1")</f>
        <v>机械设备</v>
      </c>
      <c r="E1204" s="4">
        <f t="shared" si="18"/>
        <v>43465</v>
      </c>
      <c r="F1204" s="11">
        <f>[1]!EM_S_PQ_PCTCHANGE(B1204,"2018-01-01","2019-12-31","3")</f>
        <v>-58.952164009999997</v>
      </c>
      <c r="G1204" s="11">
        <f>[1]!EM_S_PQ_PCTCHANGE(B1204,"2018-12-31","2019-12-30","1")</f>
        <v>21.554054050000001</v>
      </c>
      <c r="H1204" s="11">
        <f>[1]!EM_S_FA_YOY_OR(B1204,E1204)</f>
        <v>27.518987647500001</v>
      </c>
      <c r="I1204" s="11">
        <f>[1]!EM_S_FA_GROSSPROFITMARGIN(B1204,E1204)</f>
        <v>22.864804264100002</v>
      </c>
      <c r="J1204" s="11">
        <f>[1]!EM_S_FA_NETPROFITMARGIN(B1204,E1204)</f>
        <v>6.4987358086000002</v>
      </c>
      <c r="K1204" s="10">
        <f>[1]!EM_S_FA_ASSETSTURN(B1204,E1204)</f>
        <v>0.515472725681</v>
      </c>
      <c r="L1204" s="12">
        <f>[1]!EM_HKS_VAL_MV(B1204,"2019-12-31","2")</f>
        <v>1585760000</v>
      </c>
      <c r="M1204">
        <f>[1]!EM_S_VAL_PETTMDEDUCTED(B1204,E1204)</f>
        <v>-16.2264053029065</v>
      </c>
      <c r="N1204" s="7">
        <f>[1]!EM_S_VAL_PBGOODWILLDEDUCTED(B1204,E1204)</f>
        <v>2.53958575805117</v>
      </c>
      <c r="O1204" s="7">
        <f>[1]!EM_S_VAL_PS_TTM(B1204,E1204)</f>
        <v>2.97526795414083</v>
      </c>
      <c r="P1204" s="7">
        <f>[1]!EM_S_VAL_PCF_NCFTTM(B1204,E1204)</f>
        <v>-28.486249579607701</v>
      </c>
      <c r="Q1204" s="7">
        <f>[1]!EM_S_VAL_DIVIDENDYIELD2(B1204,E1204,"2019-11-29")</f>
        <v>0</v>
      </c>
      <c r="T1204"/>
      <c r="U1204">
        <f>[1]!EM_S_RATIO_EPS_TTM(B1204,E1204,"1")</f>
        <v>0.34615863295454546</v>
      </c>
      <c r="AT1204" s="4" t="str">
        <f>[1]!EM_S_IPO_LISTEDDATE(B1204)</f>
        <v>2015-06-11</v>
      </c>
    </row>
    <row r="1205" spans="1:46">
      <c r="A1205">
        <v>3329</v>
      </c>
      <c r="B1205" t="str">
        <f>"603259"</f>
        <v>603259</v>
      </c>
      <c r="C1205" t="s">
        <v>365</v>
      </c>
      <c r="D1205" t="str">
        <f>[1]!EM_S_INFO_INDEX_EM(B1205,"1")</f>
        <v>医药生物</v>
      </c>
      <c r="E1205" s="4">
        <f t="shared" si="18"/>
        <v>43465</v>
      </c>
      <c r="F1205" s="11">
        <f>[1]!EM_S_PQ_PCTCHANGE(B1205,"2018-01-01","2019-12-31","3")</f>
        <v>500.87323207999998</v>
      </c>
      <c r="G1205" s="11">
        <f>[1]!EM_S_PQ_PCTCHANGE(B1205,"2018-12-31","2019-12-30","1")</f>
        <v>21.546887519999999</v>
      </c>
      <c r="H1205" s="11">
        <f>[1]!EM_S_FA_YOY_OR(B1205,E1205)</f>
        <v>23.803758933600001</v>
      </c>
      <c r="I1205" s="11">
        <f>[1]!EM_S_FA_GROSSPROFITMARGIN(B1205,E1205)</f>
        <v>39.451067381900003</v>
      </c>
      <c r="J1205" s="11">
        <f>[1]!EM_S_FA_NETPROFITMARGIN(B1205,E1205)</f>
        <v>24.2745739</v>
      </c>
      <c r="K1205" s="10">
        <f>[1]!EM_S_FA_ASSETSTURN(B1205,E1205)</f>
        <v>0.54549360923500001</v>
      </c>
      <c r="L1205" s="12">
        <f>[1]!EM_HKS_VAL_MV(B1205,"2019-12-31","2")</f>
        <v>152101776035.72</v>
      </c>
      <c r="M1205">
        <f>[1]!EM_S_VAL_PETTMDEDUCTED(B1205,E1205)</f>
        <v>63.524325875255002</v>
      </c>
      <c r="N1205" s="7">
        <f>[1]!EM_S_VAL_PBGOODWILLDEDUCTED(B1205,E1205)</f>
        <v>5.2703583148155797</v>
      </c>
      <c r="O1205" s="7">
        <f>[1]!EM_S_VAL_PS_TTM(B1205,E1205)</f>
        <v>9.6788991667161408</v>
      </c>
      <c r="P1205" s="7">
        <f>[1]!EM_S_VAL_PCF_NCFTTM(B1205,E1205)</f>
        <v>-228.551532725523</v>
      </c>
      <c r="Q1205" s="7">
        <f>[1]!EM_S_VAL_DIVIDENDYIELD2(B1205,E1205,"2019-11-29")</f>
        <v>0.47080389461533823</v>
      </c>
      <c r="T1205"/>
      <c r="U1205">
        <f>[1]!EM_S_RATIO_EPS_TTM(B1205,E1205,"1")</f>
        <v>1.9407945107982565</v>
      </c>
      <c r="AT1205" s="4" t="str">
        <f>[1]!EM_S_IPO_LISTEDDATE(B1205)</f>
        <v>2018-05-08</v>
      </c>
    </row>
    <row r="1206" spans="1:46">
      <c r="A1206">
        <v>2896</v>
      </c>
      <c r="B1206" t="str">
        <f>"600823"</f>
        <v>600823</v>
      </c>
      <c r="C1206" t="s">
        <v>2102</v>
      </c>
      <c r="D1206" t="str">
        <f>[1]!EM_S_INFO_INDEX_EM(B1206,"1")</f>
        <v>房地产</v>
      </c>
      <c r="E1206" s="4">
        <f t="shared" si="18"/>
        <v>43465</v>
      </c>
      <c r="F1206" s="11">
        <f>[1]!EM_S_PQ_PCTCHANGE(B1206,"2018-01-01","2019-12-31","3")</f>
        <v>-1.75825947</v>
      </c>
      <c r="G1206" s="11">
        <f>[1]!EM_S_PQ_PCTCHANGE(B1206,"2018-12-31","2019-12-30","1")</f>
        <v>21.54255319</v>
      </c>
      <c r="H1206" s="11">
        <f>[1]!EM_S_FA_YOY_OR(B1206,E1206)</f>
        <v>10.743423786299999</v>
      </c>
      <c r="I1206" s="11">
        <f>[1]!EM_S_FA_GROSSPROFITMARGIN(B1206,E1206)</f>
        <v>44.560422203800002</v>
      </c>
      <c r="J1206" s="11">
        <f>[1]!EM_S_FA_NETPROFITMARGIN(B1206,E1206)</f>
        <v>22.860344568999999</v>
      </c>
      <c r="K1206" s="10">
        <f>[1]!EM_S_FA_ASSETSTURN(B1206,E1206)</f>
        <v>0.20649644050999999</v>
      </c>
      <c r="L1206" s="12">
        <f>[1]!EM_HKS_VAL_MV(B1206,"2019-12-31","2")</f>
        <v>16880257174.5</v>
      </c>
      <c r="M1206">
        <f>[1]!EM_S_VAL_PETTMDEDUCTED(B1206,E1206)</f>
        <v>7.6077519129634998</v>
      </c>
      <c r="N1206" s="7">
        <f>[1]!EM_S_VAL_PBGOODWILLDEDUCTED(B1206,E1206)</f>
        <v>0.59572068721028903</v>
      </c>
      <c r="O1206" s="7">
        <f>[1]!EM_S_VAL_PS_TTM(B1206,E1206)</f>
        <v>0.65677133640878504</v>
      </c>
      <c r="P1206" s="7">
        <f>[1]!EM_S_VAL_PCF_NCFTTM(B1206,E1206)</f>
        <v>344.839135250808</v>
      </c>
      <c r="Q1206" s="7">
        <f>[1]!EM_S_VAL_DIVIDENDYIELD2(B1206,E1206,"2019-11-29")</f>
        <v>6.6838046272493568</v>
      </c>
      <c r="T1206"/>
      <c r="U1206">
        <f>[1]!EM_S_RATIO_EPS_TTM(B1206,E1206,"1")</f>
        <v>0.64081881259818008</v>
      </c>
      <c r="AT1206" s="4" t="str">
        <f>[1]!EM_S_IPO_LISTEDDATE(B1206)</f>
        <v>1994-02-04</v>
      </c>
    </row>
    <row r="1207" spans="1:46">
      <c r="A1207">
        <v>1590</v>
      </c>
      <c r="B1207" t="str">
        <f>"300165"</f>
        <v>300165</v>
      </c>
      <c r="C1207" t="s">
        <v>1817</v>
      </c>
      <c r="D1207" t="str">
        <f>[1]!EM_S_INFO_INDEX_EM(B1207,"1")</f>
        <v>机械设备</v>
      </c>
      <c r="E1207" s="4">
        <f t="shared" si="18"/>
        <v>43465</v>
      </c>
      <c r="F1207" s="11">
        <f>[1]!EM_S_PQ_PCTCHANGE(B1207,"2018-01-01","2019-12-31","3")</f>
        <v>-23.884697939999999</v>
      </c>
      <c r="G1207" s="11">
        <f>[1]!EM_S_PQ_PCTCHANGE(B1207,"2018-12-31","2019-12-30","1")</f>
        <v>21.53846154</v>
      </c>
      <c r="H1207" s="11">
        <f>[1]!EM_S_FA_YOY_OR(B1207,E1207)</f>
        <v>29.303734999</v>
      </c>
      <c r="I1207" s="11">
        <f>[1]!EM_S_FA_GROSSPROFITMARGIN(B1207,E1207)</f>
        <v>44.274463321100001</v>
      </c>
      <c r="J1207" s="11">
        <f>[1]!EM_S_FA_NETPROFITMARGIN(B1207,E1207)</f>
        <v>4.9036217251999998</v>
      </c>
      <c r="K1207" s="10">
        <f>[1]!EM_S_FA_ASSETSTURN(B1207,E1207)</f>
        <v>0.45712787053499998</v>
      </c>
      <c r="L1207" s="12">
        <f>[1]!EM_HKS_VAL_MV(B1207,"2019-12-31","2")</f>
        <v>2193360000</v>
      </c>
      <c r="M1207">
        <f>[1]!EM_S_VAL_PETTMDEDUCTED(B1207,E1207)</f>
        <v>56.015898954368403</v>
      </c>
      <c r="N1207" s="7">
        <f>[1]!EM_S_VAL_PBGOODWILLDEDUCTED(B1207,E1207)</f>
        <v>1.6140321638250701</v>
      </c>
      <c r="O1207" s="7">
        <f>[1]!EM_S_VAL_PS_TTM(B1207,E1207)</f>
        <v>1.79726888620292</v>
      </c>
      <c r="P1207" s="7">
        <f>[1]!EM_S_VAL_PCF_NCFTTM(B1207,E1207)</f>
        <v>-7.0475508028094502</v>
      </c>
      <c r="Q1207" s="7">
        <f>[1]!EM_S_VAL_DIVIDENDYIELD2(B1207,E1207,"2019-11-29")</f>
        <v>0.92592592592592582</v>
      </c>
      <c r="T1207"/>
      <c r="U1207">
        <f>[1]!EM_S_RATIO_EPS_TTM(B1207,E1207,"1")</f>
        <v>7.8346442437629935E-2</v>
      </c>
      <c r="AT1207" s="4" t="str">
        <f>[1]!EM_S_IPO_LISTEDDATE(B1207)</f>
        <v>2011-01-25</v>
      </c>
    </row>
    <row r="1208" spans="1:46">
      <c r="A1208">
        <v>3407</v>
      </c>
      <c r="B1208" t="str">
        <f>"603488"</f>
        <v>603488</v>
      </c>
      <c r="C1208" t="s">
        <v>2208</v>
      </c>
      <c r="D1208" t="str">
        <f>[1]!EM_S_INFO_INDEX_EM(B1208,"1")</f>
        <v>电气设备</v>
      </c>
      <c r="E1208" s="4">
        <f t="shared" si="18"/>
        <v>43465</v>
      </c>
      <c r="F1208" s="11">
        <f>[1]!EM_S_PQ_PCTCHANGE(B1208,"2018-01-01","2019-12-31","3")</f>
        <v>-47.916716379999997</v>
      </c>
      <c r="G1208" s="11">
        <f>[1]!EM_S_PQ_PCTCHANGE(B1208,"2018-12-31","2019-12-30","1")</f>
        <v>21.525885559999999</v>
      </c>
      <c r="H1208" s="11">
        <f>[1]!EM_S_FA_YOY_OR(B1208,E1208)</f>
        <v>12.6314458614</v>
      </c>
      <c r="I1208" s="11">
        <f>[1]!EM_S_FA_GROSSPROFITMARGIN(B1208,E1208)</f>
        <v>34.488353922899996</v>
      </c>
      <c r="J1208" s="11">
        <f>[1]!EM_S_FA_NETPROFITMARGIN(B1208,E1208)</f>
        <v>23.534190819199999</v>
      </c>
      <c r="K1208" s="10">
        <f>[1]!EM_S_FA_ASSETSTURN(B1208,E1208)</f>
        <v>0.34550870092300001</v>
      </c>
      <c r="L1208" s="12">
        <f>[1]!EM_HKS_VAL_MV(B1208,"2019-12-31","2")</f>
        <v>1836591390</v>
      </c>
      <c r="M1208">
        <f>[1]!EM_S_VAL_PETTMDEDUCTED(B1208,E1208)</f>
        <v>29.2132538957487</v>
      </c>
      <c r="N1208" s="7">
        <f>[1]!EM_S_VAL_PBGOODWILLDEDUCTED(B1208,E1208)</f>
        <v>1.8354854212209</v>
      </c>
      <c r="O1208" s="7">
        <f>[1]!EM_S_VAL_PS_TTM(B1208,E1208)</f>
        <v>5.1466859471433901</v>
      </c>
      <c r="P1208" s="7">
        <f>[1]!EM_S_VAL_PCF_NCFTTM(B1208,E1208)</f>
        <v>239.287088659988</v>
      </c>
      <c r="Q1208" s="7">
        <f>[1]!EM_S_VAL_DIVIDENDYIELD2(B1208,E1208,"2019-11-29")</f>
        <v>2.5031289111389237</v>
      </c>
      <c r="T1208"/>
      <c r="U1208">
        <f>[1]!EM_S_RATIO_EPS_TTM(B1208,E1208,"1")</f>
        <v>0.35420611129457596</v>
      </c>
      <c r="AT1208" s="4" t="str">
        <f>[1]!EM_S_IPO_LISTEDDATE(B1208)</f>
        <v>2017-05-16</v>
      </c>
    </row>
    <row r="1209" spans="1:46">
      <c r="A1209">
        <v>639</v>
      </c>
      <c r="B1209" t="str">
        <f>"002128"</f>
        <v>002128</v>
      </c>
      <c r="C1209" t="s">
        <v>168</v>
      </c>
      <c r="D1209" t="str">
        <f>[1]!EM_S_INFO_INDEX_EM(B1209,"1")</f>
        <v>化石能源</v>
      </c>
      <c r="E1209" s="4">
        <f t="shared" si="18"/>
        <v>43465</v>
      </c>
      <c r="F1209" s="11">
        <f>[1]!EM_S_PQ_PCTCHANGE(B1209,"2018-01-01","2019-12-31","3")</f>
        <v>-15.3025594</v>
      </c>
      <c r="G1209" s="11">
        <f>[1]!EM_S_PQ_PCTCHANGE(B1209,"2018-12-31","2019-12-30","1")</f>
        <v>21.508379890000001</v>
      </c>
      <c r="H1209" s="11">
        <f>[1]!EM_S_FA_YOY_OR(B1209,E1209)</f>
        <v>8.4509150750999993</v>
      </c>
      <c r="I1209" s="11">
        <f>[1]!EM_S_FA_GROSSPROFITMARGIN(B1209,E1209)</f>
        <v>44.540127389299997</v>
      </c>
      <c r="J1209" s="11">
        <f>[1]!EM_S_FA_NETPROFITMARGIN(B1209,E1209)</f>
        <v>24.760146970400001</v>
      </c>
      <c r="K1209" s="10">
        <f>[1]!EM_S_FA_ASSETSTURN(B1209,E1209)</f>
        <v>0.507484353444</v>
      </c>
      <c r="L1209" s="12">
        <f>[1]!EM_HKS_VAL_MV(B1209,"2019-12-31","2")</f>
        <v>16640826449.379999</v>
      </c>
      <c r="M1209">
        <f>[1]!EM_S_VAL_PETTMDEDUCTED(B1209,E1209)</f>
        <v>5.8123474330152796</v>
      </c>
      <c r="N1209" s="7">
        <f>[1]!EM_S_VAL_PBGOODWILLDEDUCTED(B1209,E1209)</f>
        <v>0.95184897835327997</v>
      </c>
      <c r="O1209" s="7">
        <f>[1]!EM_S_VAL_PS_TTM(B1209,E1209)</f>
        <v>1.4447073068812599</v>
      </c>
      <c r="P1209" s="7">
        <f>[1]!EM_S_VAL_PCF_NCFTTM(B1209,E1209)</f>
        <v>11.2496865345732</v>
      </c>
      <c r="Q1209" s="7">
        <f>[1]!EM_S_VAL_DIVIDENDYIELD2(B1209,E1209,"2019-11-29")</f>
        <v>0</v>
      </c>
      <c r="T1209"/>
      <c r="U1209">
        <f>[1]!EM_S_RATIO_EPS_TTM(B1209,E1209,"1")</f>
        <v>1.2402425314800387</v>
      </c>
      <c r="AT1209" s="4" t="str">
        <f>[1]!EM_S_IPO_LISTEDDATE(B1209)</f>
        <v>2007-04-18</v>
      </c>
    </row>
    <row r="1210" spans="1:46">
      <c r="A1210">
        <v>3084</v>
      </c>
      <c r="B1210" t="str">
        <f>"601225"</f>
        <v>601225</v>
      </c>
      <c r="C1210" t="s">
        <v>195</v>
      </c>
      <c r="D1210" t="str">
        <f>[1]!EM_S_INFO_INDEX_EM(B1210,"1")</f>
        <v>化石能源</v>
      </c>
      <c r="E1210" s="4">
        <f t="shared" si="18"/>
        <v>43465</v>
      </c>
      <c r="F1210" s="11">
        <f>[1]!EM_S_PQ_PCTCHANGE(B1210,"2018-01-01","2019-12-31","3")</f>
        <v>20.586236499999998</v>
      </c>
      <c r="G1210" s="11">
        <f>[1]!EM_S_PQ_PCTCHANGE(B1210,"2018-12-31","2019-12-30","1")</f>
        <v>21.505376340000002</v>
      </c>
      <c r="H1210" s="11">
        <f>[1]!EM_S_FA_YOY_OR(B1210,E1210)</f>
        <v>12.3642149574</v>
      </c>
      <c r="I1210" s="11">
        <f>[1]!EM_S_FA_GROSSPROFITMARGIN(B1210,E1210)</f>
        <v>48.690780641099998</v>
      </c>
      <c r="J1210" s="11">
        <f>[1]!EM_S_FA_NETPROFITMARGIN(B1210,E1210)</f>
        <v>27.836631158399999</v>
      </c>
      <c r="K1210" s="10">
        <f>[1]!EM_S_FA_ASSETSTURN(B1210,E1210)</f>
        <v>0.50654621110599996</v>
      </c>
      <c r="L1210" s="12">
        <f>[1]!EM_HKS_VAL_MV(B1210,"2019-12-31","2")</f>
        <v>89900000000</v>
      </c>
      <c r="M1210">
        <f>[1]!EM_S_VAL_PETTMDEDUCTED(B1210,E1210)</f>
        <v>6.62206757558282</v>
      </c>
      <c r="N1210" s="7">
        <f>[1]!EM_S_VAL_PBGOODWILLDEDUCTED(B1210,E1210)</f>
        <v>1.4687394214107601</v>
      </c>
      <c r="O1210" s="7">
        <f>[1]!EM_S_VAL_PS_TTM(B1210,E1210)</f>
        <v>1.41297947080706</v>
      </c>
      <c r="P1210" s="7">
        <f>[1]!EM_S_VAL_PCF_NCFTTM(B1210,E1210)</f>
        <v>52.903302196847399</v>
      </c>
      <c r="Q1210" s="7">
        <f>[1]!EM_S_VAL_DIVIDENDYIELD2(B1210,E1210,"2019-11-29")</f>
        <v>3.8915094339622631</v>
      </c>
      <c r="T1210"/>
      <c r="U1210">
        <f>[1]!EM_S_RATIO_EPS_TTM(B1210,E1210,"1")</f>
        <v>1.099282977413</v>
      </c>
      <c r="AT1210" s="4" t="str">
        <f>[1]!EM_S_IPO_LISTEDDATE(B1210)</f>
        <v>2014-01-28</v>
      </c>
    </row>
    <row r="1211" spans="1:46">
      <c r="A1211">
        <v>213</v>
      </c>
      <c r="B1211" t="str">
        <f>"000610"</f>
        <v>000610</v>
      </c>
      <c r="C1211" t="s">
        <v>3329</v>
      </c>
      <c r="D1211" t="str">
        <f>[1]!EM_S_INFO_INDEX_EM(B1211,"1")</f>
        <v>休闲、生活及专业服务</v>
      </c>
      <c r="E1211" s="4">
        <f t="shared" si="18"/>
        <v>43465</v>
      </c>
      <c r="F1211" s="11">
        <f>[1]!EM_S_PQ_PCTCHANGE(B1211,"2018-01-01","2019-12-31","3")</f>
        <v>-21.62195977</v>
      </c>
      <c r="G1211" s="11">
        <f>[1]!EM_S_PQ_PCTCHANGE(B1211,"2018-12-31","2019-12-30","1")</f>
        <v>21.495327100000001</v>
      </c>
      <c r="H1211" s="11">
        <f>[1]!EM_S_FA_YOY_OR(B1211,E1211)</f>
        <v>21.394349238499998</v>
      </c>
      <c r="I1211" s="11">
        <f>[1]!EM_S_FA_GROSSPROFITMARGIN(B1211,E1211)</f>
        <v>6.3633970444000001</v>
      </c>
      <c r="J1211" s="11">
        <f>[1]!EM_S_FA_NETPROFITMARGIN(B1211,E1211)</f>
        <v>9.7552263511999993</v>
      </c>
      <c r="K1211" s="10">
        <f>[1]!EM_S_FA_ASSETSTURN(B1211,E1211)</f>
        <v>0.67842503436799995</v>
      </c>
      <c r="L1211" s="12">
        <f>[1]!EM_HKS_VAL_MV(B1211,"2019-12-31","2")</f>
        <v>2170978252.1700001</v>
      </c>
      <c r="M1211">
        <f>[1]!EM_S_VAL_PETTMDEDUCTED(B1211,E1211)</f>
        <v>-50.906364702734102</v>
      </c>
      <c r="N1211" s="7">
        <f>[1]!EM_S_VAL_PBGOODWILLDEDUCTED(B1211,E1211)</f>
        <v>2.0379381845891702</v>
      </c>
      <c r="O1211" s="7">
        <f>[1]!EM_S_VAL_PS_TTM(B1211,E1211)</f>
        <v>2.1741522413558498</v>
      </c>
      <c r="P1211" s="7">
        <f>[1]!EM_S_VAL_PCF_NCFTTM(B1211,E1211)</f>
        <v>-11.4906853051742</v>
      </c>
      <c r="Q1211" s="7">
        <f>[1]!EM_S_VAL_DIVIDENDYIELD2(B1211,E1211,"2019-11-29")</f>
        <v>0.27218934911242604</v>
      </c>
      <c r="T1211"/>
      <c r="U1211">
        <f>[1]!EM_S_RATIO_EPS_TTM(B1211,E1211,"1")</f>
        <v>0.40663935444986266</v>
      </c>
      <c r="AT1211" s="4" t="str">
        <f>[1]!EM_S_IPO_LISTEDDATE(B1211)</f>
        <v>1996-09-26</v>
      </c>
    </row>
    <row r="1212" spans="1:46">
      <c r="A1212">
        <v>3532</v>
      </c>
      <c r="B1212" t="str">
        <f>"603777"</f>
        <v>603777</v>
      </c>
      <c r="C1212" t="s">
        <v>1225</v>
      </c>
      <c r="D1212" t="str">
        <f>[1]!EM_S_INFO_INDEX_EM(B1212,"1")</f>
        <v>食品饮料</v>
      </c>
      <c r="E1212" s="4">
        <f t="shared" si="18"/>
        <v>43465</v>
      </c>
      <c r="F1212" s="11">
        <f>[1]!EM_S_PQ_PCTCHANGE(B1212,"2018-01-01","2019-12-31","3")</f>
        <v>-36.813414020000003</v>
      </c>
      <c r="G1212" s="11">
        <f>[1]!EM_S_PQ_PCTCHANGE(B1212,"2018-12-31","2019-12-30","1")</f>
        <v>21.495327100000001</v>
      </c>
      <c r="H1212" s="11">
        <f>[1]!EM_S_FA_YOY_OR(B1212,E1212)</f>
        <v>7.0091386498999997</v>
      </c>
      <c r="I1212" s="11">
        <f>[1]!EM_S_FA_GROSSPROFITMARGIN(B1212,E1212)</f>
        <v>43.905379357000001</v>
      </c>
      <c r="J1212" s="11">
        <f>[1]!EM_S_FA_NETPROFITMARGIN(B1212,E1212)</f>
        <v>0.2597894617</v>
      </c>
      <c r="K1212" s="10">
        <f>[1]!EM_S_FA_ASSETSTURN(B1212,E1212)</f>
        <v>1.331988402106</v>
      </c>
      <c r="L1212" s="12">
        <f>[1]!EM_HKS_VAL_MV(B1212,"2019-12-31","2")</f>
        <v>3990827582.2800002</v>
      </c>
      <c r="M1212">
        <f>[1]!EM_S_VAL_PETTMDEDUCTED(B1212,E1212)</f>
        <v>-82.673997591980594</v>
      </c>
      <c r="N1212" s="7">
        <f>[1]!EM_S_VAL_PBGOODWILLDEDUCTED(B1212,E1212)</f>
        <v>1.7704633023824401</v>
      </c>
      <c r="O1212" s="7">
        <f>[1]!EM_S_VAL_PS_TTM(B1212,E1212)</f>
        <v>0.83859671537103597</v>
      </c>
      <c r="P1212" s="7">
        <f>[1]!EM_S_VAL_PCF_NCFTTM(B1212,E1212)</f>
        <v>-16.350517952130598</v>
      </c>
      <c r="Q1212" s="7">
        <f>[1]!EM_S_VAL_DIVIDENDYIELD2(B1212,E1212,"2019-11-29")</f>
        <v>1.4720314033366046</v>
      </c>
      <c r="T1212"/>
      <c r="U1212">
        <f>[1]!EM_S_RATIO_EPS_TTM(B1212,E1212,"1")</f>
        <v>2.9666318979343478E-2</v>
      </c>
      <c r="AT1212" s="4" t="str">
        <f>[1]!EM_S_IPO_LISTEDDATE(B1212)</f>
        <v>2016-10-12</v>
      </c>
    </row>
    <row r="1213" spans="1:46">
      <c r="A1213">
        <v>3316</v>
      </c>
      <c r="B1213" t="str">
        <f>"603218"</f>
        <v>603218</v>
      </c>
      <c r="C1213" t="s">
        <v>1555</v>
      </c>
      <c r="D1213" t="str">
        <f>[1]!EM_S_INFO_INDEX_EM(B1213,"1")</f>
        <v>电气设备</v>
      </c>
      <c r="E1213" s="4">
        <f t="shared" si="18"/>
        <v>43465</v>
      </c>
      <c r="F1213" s="11">
        <f>[1]!EM_S_PQ_PCTCHANGE(B1213,"2018-01-01","2019-12-31","3")</f>
        <v>23.178049640000001</v>
      </c>
      <c r="G1213" s="11">
        <f>[1]!EM_S_PQ_PCTCHANGE(B1213,"2018-12-31","2019-12-30","1")</f>
        <v>21.48910412</v>
      </c>
      <c r="H1213" s="11">
        <f>[1]!EM_S_FA_YOY_OR(B1213,E1213)</f>
        <v>28.346764946499999</v>
      </c>
      <c r="I1213" s="11">
        <f>[1]!EM_S_FA_GROSSPROFITMARGIN(B1213,E1213)</f>
        <v>21.392545757400001</v>
      </c>
      <c r="J1213" s="11">
        <f>[1]!EM_S_FA_NETPROFITMARGIN(B1213,E1213)</f>
        <v>11.9354948296</v>
      </c>
      <c r="K1213" s="10">
        <f>[1]!EM_S_FA_ASSETSTURN(B1213,E1213)</f>
        <v>0.60556639508900001</v>
      </c>
      <c r="L1213" s="12">
        <f>[1]!EM_HKS_VAL_MV(B1213,"2019-12-31","2")</f>
        <v>11036077190</v>
      </c>
      <c r="M1213">
        <f>[1]!EM_S_VAL_PETTMDEDUCTED(B1213,E1213)</f>
        <v>30.4481309020243</v>
      </c>
      <c r="N1213" s="7">
        <f>[1]!EM_S_VAL_PBGOODWILLDEDUCTED(B1213,E1213)</f>
        <v>2.26566318405657</v>
      </c>
      <c r="O1213" s="7">
        <f>[1]!EM_S_VAL_PS_TTM(B1213,E1213)</f>
        <v>3.1185971452689101</v>
      </c>
      <c r="P1213" s="7">
        <f>[1]!EM_S_VAL_PCF_NCFTTM(B1213,E1213)</f>
        <v>61.967626841949901</v>
      </c>
      <c r="Q1213" s="7">
        <f>[1]!EM_S_VAL_DIVIDENDYIELD2(B1213,E1213,"2019-11-29")</f>
        <v>1.26749280705691</v>
      </c>
      <c r="T1213"/>
      <c r="U1213">
        <f>[1]!EM_S_RATIO_EPS_TTM(B1213,E1213,"1")</f>
        <v>0.68893368204700045</v>
      </c>
      <c r="AT1213" s="4" t="str">
        <f>[1]!EM_S_IPO_LISTEDDATE(B1213)</f>
        <v>2016-12-28</v>
      </c>
    </row>
    <row r="1214" spans="1:46">
      <c r="A1214">
        <v>2752</v>
      </c>
      <c r="B1214" t="str">
        <f>"600679"</f>
        <v>600679</v>
      </c>
      <c r="C1214" t="s">
        <v>2781</v>
      </c>
      <c r="D1214" t="str">
        <f>[1]!EM_S_INFO_INDEX_EM(B1214,"1")</f>
        <v>轻工制造</v>
      </c>
      <c r="E1214" s="4">
        <f t="shared" si="18"/>
        <v>43465</v>
      </c>
      <c r="F1214" s="11">
        <f>[1]!EM_S_PQ_PCTCHANGE(B1214,"2018-01-01","2019-12-31","3")</f>
        <v>-36.685479729999997</v>
      </c>
      <c r="G1214" s="11">
        <f>[1]!EM_S_PQ_PCTCHANGE(B1214,"2018-12-31","2019-12-30","1")</f>
        <v>21.463897129999999</v>
      </c>
      <c r="H1214" s="11">
        <f>[1]!EM_S_FA_YOY_OR(B1214,E1214)</f>
        <v>-46.675207868900003</v>
      </c>
      <c r="I1214" s="11">
        <f>[1]!EM_S_FA_GROSSPROFITMARGIN(B1214,E1214)</f>
        <v>18.320191714300002</v>
      </c>
      <c r="J1214" s="11">
        <f>[1]!EM_S_FA_NETPROFITMARGIN(B1214,E1214)</f>
        <v>1.7024411657</v>
      </c>
      <c r="K1214" s="10">
        <f>[1]!EM_S_FA_ASSETSTURN(B1214,E1214)</f>
        <v>0.41527917208800003</v>
      </c>
      <c r="L1214" s="12">
        <f>[1]!EM_HKS_VAL_MV(B1214,"2019-12-31","2")</f>
        <v>4963135005.9799995</v>
      </c>
      <c r="M1214">
        <f>[1]!EM_S_VAL_PETTMDEDUCTED(B1214,E1214)</f>
        <v>172.50918793217801</v>
      </c>
      <c r="N1214" s="7">
        <f>[1]!EM_S_VAL_PBGOODWILLDEDUCTED(B1214,E1214)</f>
        <v>4.2626731710477603</v>
      </c>
      <c r="O1214" s="7">
        <f>[1]!EM_S_VAL_PS_TTM(B1214,E1214)</f>
        <v>4.2526120366330398</v>
      </c>
      <c r="P1214" s="7">
        <f>[1]!EM_S_VAL_PCF_NCFTTM(B1214,E1214)</f>
        <v>-28.222466488871699</v>
      </c>
      <c r="Q1214" s="7">
        <f>[1]!EM_S_VAL_DIVIDENDYIELD2(B1214,E1214,"2019-11-29")</f>
        <v>0</v>
      </c>
      <c r="T1214"/>
      <c r="U1214">
        <f>[1]!EM_S_RATIO_EPS_TTM(B1214,E1214,"1")</f>
        <v>5.0174599238818993E-2</v>
      </c>
      <c r="AT1214" s="4" t="str">
        <f>[1]!EM_S_IPO_LISTEDDATE(B1214)</f>
        <v>1993-10-08</v>
      </c>
    </row>
    <row r="1215" spans="1:46">
      <c r="A1215">
        <v>1443</v>
      </c>
      <c r="B1215" t="str">
        <f>"300017"</f>
        <v>300017</v>
      </c>
      <c r="C1215" t="s">
        <v>960</v>
      </c>
      <c r="D1215" t="str">
        <f>[1]!EM_S_INFO_INDEX_EM(B1215,"1")</f>
        <v>互联网</v>
      </c>
      <c r="E1215" s="4">
        <f t="shared" si="18"/>
        <v>43465</v>
      </c>
      <c r="F1215" s="11">
        <f>[1]!EM_S_PQ_PCTCHANGE(B1215,"2018-01-01","2019-12-31","3")</f>
        <v>-9.99048582</v>
      </c>
      <c r="G1215" s="11">
        <f>[1]!EM_S_PQ_PCTCHANGE(B1215,"2018-12-31","2019-12-30","1")</f>
        <v>21.455938700000001</v>
      </c>
      <c r="H1215" s="11">
        <f>[1]!EM_S_FA_YOY_OR(B1215,E1215)</f>
        <v>17.957352203199999</v>
      </c>
      <c r="I1215" s="11">
        <f>[1]!EM_S_FA_GROSSPROFITMARGIN(B1215,E1215)</f>
        <v>33.237860671900002</v>
      </c>
      <c r="J1215" s="11">
        <f>[1]!EM_S_FA_NETPROFITMARGIN(B1215,E1215)</f>
        <v>12.5834761002</v>
      </c>
      <c r="K1215" s="10">
        <f>[1]!EM_S_FA_ASSETSTURN(B1215,E1215)</f>
        <v>0.57086928212999999</v>
      </c>
      <c r="L1215" s="12">
        <f>[1]!EM_HKS_VAL_MV(B1215,"2019-12-31","2")</f>
        <v>23196168706.119999</v>
      </c>
      <c r="M1215">
        <f>[1]!EM_S_VAL_PETTMDEDUCTED(B1215,E1215)</f>
        <v>24.7568240255981</v>
      </c>
      <c r="N1215" s="7">
        <f>[1]!EM_S_VAL_PBGOODWILLDEDUCTED(B1215,E1215)</f>
        <v>2.3647455287955301</v>
      </c>
      <c r="O1215" s="7">
        <f>[1]!EM_S_VAL_PS_TTM(B1215,E1215)</f>
        <v>3.06882722999317</v>
      </c>
      <c r="P1215" s="7">
        <f>[1]!EM_S_VAL_PCF_NCFTTM(B1215,E1215)</f>
        <v>74.058991763519998</v>
      </c>
      <c r="Q1215" s="7">
        <f>[1]!EM_S_VAL_DIVIDENDYIELD2(B1215,E1215,"2019-11-29")</f>
        <v>0.34018025048947131</v>
      </c>
      <c r="T1215"/>
      <c r="U1215">
        <f>[1]!EM_S_RATIO_EPS_TTM(B1215,E1215,"1")</f>
        <v>0.33054314807144541</v>
      </c>
      <c r="AT1215" s="4" t="str">
        <f>[1]!EM_S_IPO_LISTEDDATE(B1215)</f>
        <v>2009-10-30</v>
      </c>
    </row>
    <row r="1216" spans="1:46">
      <c r="A1216">
        <v>1240</v>
      </c>
      <c r="B1216" t="str">
        <f>"002730"</f>
        <v>002730</v>
      </c>
      <c r="C1216" t="s">
        <v>2354</v>
      </c>
      <c r="D1216" t="str">
        <f>[1]!EM_S_INFO_INDEX_EM(B1216,"1")</f>
        <v>电气设备</v>
      </c>
      <c r="E1216" s="4">
        <f t="shared" si="18"/>
        <v>43465</v>
      </c>
      <c r="F1216" s="11">
        <f>[1]!EM_S_PQ_PCTCHANGE(B1216,"2018-01-01","2019-12-31","3")</f>
        <v>-37.002610709999999</v>
      </c>
      <c r="G1216" s="11">
        <f>[1]!EM_S_PQ_PCTCHANGE(B1216,"2018-12-31","2019-12-30","1")</f>
        <v>21.449704140000001</v>
      </c>
      <c r="H1216" s="11">
        <f>[1]!EM_S_FA_YOY_OR(B1216,E1216)</f>
        <v>15.6921775693</v>
      </c>
      <c r="I1216" s="11">
        <f>[1]!EM_S_FA_GROSSPROFITMARGIN(B1216,E1216)</f>
        <v>34.6410252461</v>
      </c>
      <c r="J1216" s="11">
        <f>[1]!EM_S_FA_NETPROFITMARGIN(B1216,E1216)</f>
        <v>6.6783767266999998</v>
      </c>
      <c r="K1216" s="10">
        <f>[1]!EM_S_FA_ASSETSTURN(B1216,E1216)</f>
        <v>0.56889883062900004</v>
      </c>
      <c r="L1216" s="12">
        <f>[1]!EM_HKS_VAL_MV(B1216,"2019-12-31","2")</f>
        <v>2613659400</v>
      </c>
      <c r="M1216">
        <f>[1]!EM_S_VAL_PETTMDEDUCTED(B1216,E1216)</f>
        <v>30.045953205355499</v>
      </c>
      <c r="N1216" s="7">
        <f>[1]!EM_S_VAL_PBGOODWILLDEDUCTED(B1216,E1216)</f>
        <v>2.8742789802769999</v>
      </c>
      <c r="O1216" s="7">
        <f>[1]!EM_S_VAL_PS_TTM(B1216,E1216)</f>
        <v>2.3022770557871302</v>
      </c>
      <c r="P1216" s="7">
        <f>[1]!EM_S_VAL_PCF_NCFTTM(B1216,E1216)</f>
        <v>-21.679920419853001</v>
      </c>
      <c r="Q1216" s="7">
        <f>[1]!EM_S_VAL_DIVIDENDYIELD2(B1216,E1216,"2019-11-29")</f>
        <v>0.69252077562326864</v>
      </c>
      <c r="T1216"/>
      <c r="U1216">
        <f>[1]!EM_S_RATIO_EPS_TTM(B1216,E1216,"1")</f>
        <v>0.17717441433149247</v>
      </c>
      <c r="AT1216" s="4" t="str">
        <f>[1]!EM_S_IPO_LISTEDDATE(B1216)</f>
        <v>2014-10-09</v>
      </c>
    </row>
    <row r="1217" spans="1:46">
      <c r="A1217">
        <v>3203</v>
      </c>
      <c r="B1217" t="str">
        <f>"603003"</f>
        <v>603003</v>
      </c>
      <c r="C1217" t="s">
        <v>2744</v>
      </c>
      <c r="D1217" t="str">
        <f>[1]!EM_S_INFO_INDEX_EM(B1217,"1")</f>
        <v>机械设备</v>
      </c>
      <c r="E1217" s="4">
        <f t="shared" si="18"/>
        <v>43465</v>
      </c>
      <c r="F1217" s="11">
        <f>[1]!EM_S_PQ_PCTCHANGE(B1217,"2018-01-01","2019-12-31","3")</f>
        <v>-29.395563589999998</v>
      </c>
      <c r="G1217" s="11">
        <f>[1]!EM_S_PQ_PCTCHANGE(B1217,"2018-12-31","2019-12-30","1")</f>
        <v>21.39673105</v>
      </c>
      <c r="H1217" s="11">
        <f>[1]!EM_S_FA_YOY_OR(B1217,E1217)</f>
        <v>-4.7296175984</v>
      </c>
      <c r="I1217" s="11">
        <f>[1]!EM_S_FA_GROSSPROFITMARGIN(B1217,E1217)</f>
        <v>0.89813686820000005</v>
      </c>
      <c r="J1217" s="11">
        <f>[1]!EM_S_FA_NETPROFITMARGIN(B1217,E1217)</f>
        <v>0.57674755310000003</v>
      </c>
      <c r="K1217" s="10">
        <f>[1]!EM_S_FA_ASSETSTURN(B1217,E1217)</f>
        <v>2.685501542241</v>
      </c>
      <c r="L1217" s="12">
        <f>[1]!EM_HKS_VAL_MV(B1217,"2019-12-31","2")</f>
        <v>3382243104.2399998</v>
      </c>
      <c r="M1217">
        <f>[1]!EM_S_VAL_PETTMDEDUCTED(B1217,E1217)</f>
        <v>78.221573309361801</v>
      </c>
      <c r="N1217" s="7">
        <f>[1]!EM_S_VAL_PBGOODWILLDEDUCTED(B1217,E1217)</f>
        <v>0.73960312862234301</v>
      </c>
      <c r="O1217" s="7">
        <f>[1]!EM_S_VAL_PS_TTM(B1217,E1217)</f>
        <v>0.16728234022278601</v>
      </c>
      <c r="P1217" s="7">
        <f>[1]!EM_S_VAL_PCF_NCFTTM(B1217,E1217)</f>
        <v>-1.4966433806452499</v>
      </c>
      <c r="Q1217" s="7">
        <f>[1]!EM_S_VAL_DIVIDENDYIELD2(B1217,E1217,"2019-11-29")</f>
        <v>0</v>
      </c>
      <c r="T1217"/>
      <c r="U1217">
        <f>[1]!EM_S_RATIO_EPS_TTM(B1217,E1217,"1")</f>
        <v>0.15251806965067749</v>
      </c>
      <c r="AT1217" s="4" t="str">
        <f>[1]!EM_S_IPO_LISTEDDATE(B1217)</f>
        <v>2012-08-17</v>
      </c>
    </row>
    <row r="1218" spans="1:46">
      <c r="A1218">
        <v>3237</v>
      </c>
      <c r="B1218" t="str">
        <f>"603041"</f>
        <v>603041</v>
      </c>
      <c r="C1218" t="s">
        <v>1750</v>
      </c>
      <c r="D1218" t="str">
        <f>[1]!EM_S_INFO_INDEX_EM(B1218,"1")</f>
        <v>基础化工</v>
      </c>
      <c r="E1218" s="4">
        <f t="shared" si="18"/>
        <v>43465</v>
      </c>
      <c r="F1218" s="11">
        <f>[1]!EM_S_PQ_PCTCHANGE(B1218,"2018-01-01","2019-12-31","3")</f>
        <v>-22.077315899999999</v>
      </c>
      <c r="G1218" s="11">
        <f>[1]!EM_S_PQ_PCTCHANGE(B1218,"2018-12-31","2019-12-30","1")</f>
        <v>21.383203949999999</v>
      </c>
      <c r="H1218" s="11">
        <f>[1]!EM_S_FA_YOY_OR(B1218,E1218)</f>
        <v>1.2987443006999999</v>
      </c>
      <c r="I1218" s="11">
        <f>[1]!EM_S_FA_GROSSPROFITMARGIN(B1218,E1218)</f>
        <v>26.2676010508</v>
      </c>
      <c r="J1218" s="11">
        <f>[1]!EM_S_FA_NETPROFITMARGIN(B1218,E1218)</f>
        <v>13.3775136177</v>
      </c>
      <c r="K1218" s="10">
        <f>[1]!EM_S_FA_ASSETSTURN(B1218,E1218)</f>
        <v>0.37403194144000002</v>
      </c>
      <c r="L1218" s="12">
        <f>[1]!EM_HKS_VAL_MV(B1218,"2019-12-31","2")</f>
        <v>1737091276</v>
      </c>
      <c r="M1218">
        <f>[1]!EM_S_VAL_PETTMDEDUCTED(B1218,E1218)</f>
        <v>55.732944518820403</v>
      </c>
      <c r="N1218" s="7">
        <f>[1]!EM_S_VAL_PBGOODWILLDEDUCTED(B1218,E1218)</f>
        <v>1.9473137717133</v>
      </c>
      <c r="O1218" s="7">
        <f>[1]!EM_S_VAL_PS_TTM(B1218,E1218)</f>
        <v>4.8509296207112396</v>
      </c>
      <c r="P1218" s="7">
        <f>[1]!EM_S_VAL_PCF_NCFTTM(B1218,E1218)</f>
        <v>-26.117826977231498</v>
      </c>
      <c r="Q1218" s="7">
        <f>[1]!EM_S_VAL_DIVIDENDYIELD2(B1218,E1218,"2019-11-29")</f>
        <v>0.83479183763853082</v>
      </c>
      <c r="T1218"/>
      <c r="U1218">
        <f>[1]!EM_S_RATIO_EPS_TTM(B1218,E1218,"1")</f>
        <v>0.40440188453461184</v>
      </c>
      <c r="AT1218" s="4" t="str">
        <f>[1]!EM_S_IPO_LISTEDDATE(B1218)</f>
        <v>2017-03-30</v>
      </c>
    </row>
    <row r="1219" spans="1:46">
      <c r="A1219">
        <v>3303</v>
      </c>
      <c r="B1219" t="str">
        <f>"603181"</f>
        <v>603181</v>
      </c>
      <c r="C1219" t="s">
        <v>948</v>
      </c>
      <c r="D1219" t="str">
        <f>[1]!EM_S_INFO_INDEX_EM(B1219,"1")</f>
        <v>基础化工</v>
      </c>
      <c r="E1219" s="4">
        <f t="shared" ref="E1219:E1282" si="19">$B$1</f>
        <v>43465</v>
      </c>
      <c r="F1219" s="11">
        <f>[1]!EM_S_PQ_PCTCHANGE(B1219,"2018-01-01","2019-12-31","3")</f>
        <v>3.50025663</v>
      </c>
      <c r="G1219" s="11">
        <f>[1]!EM_S_PQ_PCTCHANGE(B1219,"2018-12-31","2019-12-30","1")</f>
        <v>21.363316940000001</v>
      </c>
      <c r="H1219" s="11">
        <f>[1]!EM_S_FA_YOY_OR(B1219,E1219)</f>
        <v>2.1481527421000002</v>
      </c>
      <c r="I1219" s="11">
        <f>[1]!EM_S_FA_GROSSPROFITMARGIN(B1219,E1219)</f>
        <v>19.5175573868</v>
      </c>
      <c r="J1219" s="11">
        <f>[1]!EM_S_FA_NETPROFITMARGIN(B1219,E1219)</f>
        <v>11.4627481767</v>
      </c>
      <c r="K1219" s="10">
        <f>[1]!EM_S_FA_ASSETSTURN(B1219,E1219)</f>
        <v>1.006230169053</v>
      </c>
      <c r="L1219" s="12">
        <f>[1]!EM_HKS_VAL_MV(B1219,"2019-12-31","2")</f>
        <v>4844000000</v>
      </c>
      <c r="M1219">
        <f>[1]!EM_S_VAL_PETTMDEDUCTED(B1219,E1219)</f>
        <v>16.641789023297399</v>
      </c>
      <c r="N1219" s="7">
        <f>[1]!EM_S_VAL_PBGOODWILLDEDUCTED(B1219,E1219)</f>
        <v>1.9826897698433601</v>
      </c>
      <c r="O1219" s="7">
        <f>[1]!EM_S_VAL_PS_TTM(B1219,E1219)</f>
        <v>1.63918955620114</v>
      </c>
      <c r="P1219" s="7">
        <f>[1]!EM_S_VAL_PCF_NCFTTM(B1219,E1219)</f>
        <v>343.57647893871598</v>
      </c>
      <c r="Q1219" s="7">
        <f>[1]!EM_S_VAL_DIVIDENDYIELD2(B1219,E1219,"2019-11-29")</f>
        <v>1.3851694523963431</v>
      </c>
      <c r="T1219"/>
      <c r="U1219">
        <f>[1]!EM_S_RATIO_EPS_TTM(B1219,E1219,"1")</f>
        <v>0.98513356544999997</v>
      </c>
      <c r="AT1219" s="4" t="str">
        <f>[1]!EM_S_IPO_LISTEDDATE(B1219)</f>
        <v>2017-08-24</v>
      </c>
    </row>
    <row r="1220" spans="1:46">
      <c r="A1220">
        <v>2561</v>
      </c>
      <c r="B1220" t="str">
        <f>"600475"</f>
        <v>600475</v>
      </c>
      <c r="C1220" t="s">
        <v>623</v>
      </c>
      <c r="D1220" t="str">
        <f>[1]!EM_S_INFO_INDEX_EM(B1220,"1")</f>
        <v>电气设备</v>
      </c>
      <c r="E1220" s="4">
        <f t="shared" si="19"/>
        <v>43465</v>
      </c>
      <c r="F1220" s="11">
        <f>[1]!EM_S_PQ_PCTCHANGE(B1220,"2018-01-01","2019-12-31","3")</f>
        <v>-28.78307152</v>
      </c>
      <c r="G1220" s="11">
        <f>[1]!EM_S_PQ_PCTCHANGE(B1220,"2018-12-31","2019-12-30","1")</f>
        <v>21.341463409999999</v>
      </c>
      <c r="H1220" s="11">
        <f>[1]!EM_S_FA_YOY_OR(B1220,E1220)</f>
        <v>27.4240049058</v>
      </c>
      <c r="I1220" s="11">
        <f>[1]!EM_S_FA_GROSSPROFITMARGIN(B1220,E1220)</f>
        <v>15.3441684272</v>
      </c>
      <c r="J1220" s="11">
        <f>[1]!EM_S_FA_NETPROFITMARGIN(B1220,E1220)</f>
        <v>6.5805171311999997</v>
      </c>
      <c r="K1220" s="10">
        <f>[1]!EM_S_FA_ASSETSTURN(B1220,E1220)</f>
        <v>0.68702818741799998</v>
      </c>
      <c r="L1220" s="12">
        <f>[1]!EM_HKS_VAL_MV(B1220,"2019-12-31","2")</f>
        <v>5588328187.8900003</v>
      </c>
      <c r="M1220">
        <f>[1]!EM_S_VAL_PETTMDEDUCTED(B1220,E1220)</f>
        <v>11.7559850606204</v>
      </c>
      <c r="N1220" s="7">
        <f>[1]!EM_S_VAL_PBGOODWILLDEDUCTED(B1220,E1220)</f>
        <v>0.96542921950149496</v>
      </c>
      <c r="O1220" s="7">
        <f>[1]!EM_S_VAL_PS_TTM(B1220,E1220)</f>
        <v>0.61890292388516799</v>
      </c>
      <c r="P1220" s="7">
        <f>[1]!EM_S_VAL_PCF_NCFTTM(B1220,E1220)</f>
        <v>-8.6501153932518395</v>
      </c>
      <c r="Q1220" s="7">
        <f>[1]!EM_S_VAL_DIVIDENDYIELD2(B1220,E1220,"2019-11-29")</f>
        <v>2.4185068349106205</v>
      </c>
      <c r="T1220"/>
      <c r="U1220">
        <f>[1]!EM_S_RATIO_EPS_TTM(B1220,E1220,"1")</f>
        <v>0.74962461002160785</v>
      </c>
      <c r="AT1220" s="4" t="str">
        <f>[1]!EM_S_IPO_LISTEDDATE(B1220)</f>
        <v>2003-07-21</v>
      </c>
    </row>
    <row r="1221" spans="1:46">
      <c r="A1221">
        <v>1378</v>
      </c>
      <c r="B1221" t="str">
        <f>"002879"</f>
        <v>002879</v>
      </c>
      <c r="C1221" t="s">
        <v>1559</v>
      </c>
      <c r="D1221" t="str">
        <f>[1]!EM_S_INFO_INDEX_EM(B1221,"1")</f>
        <v>电气设备</v>
      </c>
      <c r="E1221" s="4">
        <f t="shared" si="19"/>
        <v>43465</v>
      </c>
      <c r="F1221" s="11">
        <f>[1]!EM_S_PQ_PCTCHANGE(B1221,"2018-01-01","2019-12-31","3")</f>
        <v>-59.225743729999998</v>
      </c>
      <c r="G1221" s="11">
        <f>[1]!EM_S_PQ_PCTCHANGE(B1221,"2018-12-31","2019-12-30","1")</f>
        <v>21.306607280000001</v>
      </c>
      <c r="H1221" s="11">
        <f>[1]!EM_S_FA_YOY_OR(B1221,E1221)</f>
        <v>12.620263963699999</v>
      </c>
      <c r="I1221" s="11">
        <f>[1]!EM_S_FA_GROSSPROFITMARGIN(B1221,E1221)</f>
        <v>53.544467522399998</v>
      </c>
      <c r="J1221" s="11">
        <f>[1]!EM_S_FA_NETPROFITMARGIN(B1221,E1221)</f>
        <v>18.4694011737</v>
      </c>
      <c r="K1221" s="10">
        <f>[1]!EM_S_FA_ASSETSTURN(B1221,E1221)</f>
        <v>0.396129163018</v>
      </c>
      <c r="L1221" s="12">
        <f>[1]!EM_HKS_VAL_MV(B1221,"2019-12-31","2")</f>
        <v>3132205920.8000002</v>
      </c>
      <c r="M1221">
        <f>[1]!EM_S_VAL_PETTMDEDUCTED(B1221,E1221)</f>
        <v>22.315990605634401</v>
      </c>
      <c r="N1221" s="7">
        <f>[1]!EM_S_VAL_PBGOODWILLDEDUCTED(B1221,E1221)</f>
        <v>1.7294446518151101</v>
      </c>
      <c r="O1221" s="7">
        <f>[1]!EM_S_VAL_PS_TTM(B1221,E1221)</f>
        <v>4.0727449329357199</v>
      </c>
      <c r="P1221" s="7">
        <f>[1]!EM_S_VAL_PCF_NCFTTM(B1221,E1221)</f>
        <v>-44.453670956796302</v>
      </c>
      <c r="Q1221" s="7">
        <f>[1]!EM_S_VAL_DIVIDENDYIELD2(B1221,E1221,"2019-11-29")</f>
        <v>1.3175230566534917</v>
      </c>
      <c r="T1221"/>
      <c r="U1221">
        <f>[1]!EM_S_RATIO_EPS_TTM(B1221,E1221,"1")</f>
        <v>0.6644751397717874</v>
      </c>
      <c r="AT1221" s="4" t="str">
        <f>[1]!EM_S_IPO_LISTEDDATE(B1221)</f>
        <v>2017-07-07</v>
      </c>
    </row>
    <row r="1222" spans="1:46">
      <c r="A1222">
        <v>3507</v>
      </c>
      <c r="B1222" t="str">
        <f>"603708"</f>
        <v>603708</v>
      </c>
      <c r="C1222" t="s">
        <v>320</v>
      </c>
      <c r="D1222" t="str">
        <f>[1]!EM_S_INFO_INDEX_EM(B1222,"1")</f>
        <v>商贸零售</v>
      </c>
      <c r="E1222" s="4">
        <f t="shared" si="19"/>
        <v>43465</v>
      </c>
      <c r="F1222" s="11">
        <f>[1]!EM_S_PQ_PCTCHANGE(B1222,"2018-01-01","2019-12-31","3")</f>
        <v>64.054525130000002</v>
      </c>
      <c r="G1222" s="11">
        <f>[1]!EM_S_PQ_PCTCHANGE(B1222,"2018-12-31","2019-12-30","1")</f>
        <v>21.30413141</v>
      </c>
      <c r="H1222" s="11">
        <f>[1]!EM_S_FA_YOY_OR(B1222,E1222)</f>
        <v>12.3590881783</v>
      </c>
      <c r="I1222" s="11">
        <f>[1]!EM_S_FA_GROSSPROFITMARGIN(B1222,E1222)</f>
        <v>21.774821872299999</v>
      </c>
      <c r="J1222" s="11">
        <f>[1]!EM_S_FA_NETPROFITMARGIN(B1222,E1222)</f>
        <v>3.3395999664999998</v>
      </c>
      <c r="K1222" s="10">
        <f>[1]!EM_S_FA_ASSETSTURN(B1222,E1222)</f>
        <v>1.8961690855269999</v>
      </c>
      <c r="L1222" s="12">
        <f>[1]!EM_HKS_VAL_MV(B1222,"2019-12-31","2")</f>
        <v>14808456000</v>
      </c>
      <c r="M1222">
        <f>[1]!EM_S_VAL_PETTMDEDUCTED(B1222,E1222)</f>
        <v>25.7469141280957</v>
      </c>
      <c r="N1222" s="7">
        <f>[1]!EM_S_VAL_PBGOODWILLDEDUCTED(B1222,E1222)</f>
        <v>3.8139370865969102</v>
      </c>
      <c r="O1222" s="7">
        <f>[1]!EM_S_VAL_PS_TTM(B1222,E1222)</f>
        <v>0.75214946337995303</v>
      </c>
      <c r="P1222" s="7">
        <f>[1]!EM_S_VAL_PCF_NCFTTM(B1222,E1222)</f>
        <v>-16.6285250540882</v>
      </c>
      <c r="Q1222" s="7">
        <f>[1]!EM_S_VAL_DIVIDENDYIELD2(B1222,E1222,"2019-11-29")</f>
        <v>1.8551646458623199</v>
      </c>
      <c r="T1222"/>
      <c r="U1222">
        <f>[1]!EM_S_RATIO_EPS_TTM(B1222,E1222,"1")</f>
        <v>0.9186404847649573</v>
      </c>
      <c r="AT1222" s="4" t="str">
        <f>[1]!EM_S_IPO_LISTEDDATE(B1222)</f>
        <v>2016-12-13</v>
      </c>
    </row>
    <row r="1223" spans="1:46">
      <c r="A1223">
        <v>128</v>
      </c>
      <c r="B1223" t="str">
        <f>"000519"</f>
        <v>000519</v>
      </c>
      <c r="C1223" t="s">
        <v>2125</v>
      </c>
      <c r="D1223" t="str">
        <f>[1]!EM_S_INFO_INDEX_EM(B1223,"1")</f>
        <v>有色金属</v>
      </c>
      <c r="E1223" s="4">
        <f t="shared" si="19"/>
        <v>43465</v>
      </c>
      <c r="F1223" s="11">
        <f>[1]!EM_S_PQ_PCTCHANGE(B1223,"2018-01-01","2019-12-31","3")</f>
        <v>-22.22479306</v>
      </c>
      <c r="G1223" s="11">
        <f>[1]!EM_S_PQ_PCTCHANGE(B1223,"2018-12-31","2019-12-30","1")</f>
        <v>21.3036566</v>
      </c>
      <c r="H1223" s="11">
        <f>[1]!EM_S_FA_YOY_OR(B1223,E1223)</f>
        <v>3.7321192472</v>
      </c>
      <c r="I1223" s="11">
        <f>[1]!EM_S_FA_GROSSPROFITMARGIN(B1223,E1223)</f>
        <v>23.130554908299999</v>
      </c>
      <c r="J1223" s="11">
        <f>[1]!EM_S_FA_NETPROFITMARGIN(B1223,E1223)</f>
        <v>7.0184099873000001</v>
      </c>
      <c r="K1223" s="10">
        <f>[1]!EM_S_FA_ASSETSTURN(B1223,E1223)</f>
        <v>0.49164339239400001</v>
      </c>
      <c r="L1223" s="12">
        <f>[1]!EM_HKS_VAL_MV(B1223,"2019-12-31","2")</f>
        <v>10611299442.84</v>
      </c>
      <c r="M1223">
        <f>[1]!EM_S_VAL_PETTMDEDUCTED(B1223,E1223)</f>
        <v>25.145064741279501</v>
      </c>
      <c r="N1223" s="7">
        <f>[1]!EM_S_VAL_PBGOODWILLDEDUCTED(B1223,E1223)</f>
        <v>1.12267123136618</v>
      </c>
      <c r="O1223" s="7">
        <f>[1]!EM_S_VAL_PS_TTM(B1223,E1223)</f>
        <v>1.6872369977039099</v>
      </c>
      <c r="P1223" s="7">
        <f>[1]!EM_S_VAL_PCF_NCFTTM(B1223,E1223)</f>
        <v>12.576852917279</v>
      </c>
      <c r="Q1223" s="7">
        <f>[1]!EM_S_VAL_DIVIDENDYIELD2(B1223,E1223,"2019-11-29")</f>
        <v>0.56473829201101922</v>
      </c>
      <c r="T1223"/>
      <c r="U1223">
        <f>[1]!EM_S_RATIO_EPS_TTM(B1223,E1223,"1")</f>
        <v>0.24737432714620025</v>
      </c>
      <c r="AT1223" s="4" t="str">
        <f>[1]!EM_S_IPO_LISTEDDATE(B1223)</f>
        <v>1993-10-08</v>
      </c>
    </row>
    <row r="1224" spans="1:46">
      <c r="A1224">
        <v>242</v>
      </c>
      <c r="B1224" t="str">
        <f>"000652"</f>
        <v>000652</v>
      </c>
      <c r="C1224" t="s">
        <v>3256</v>
      </c>
      <c r="D1224" t="str">
        <f>[1]!EM_S_INFO_INDEX_EM(B1224,"1")</f>
        <v>综合</v>
      </c>
      <c r="E1224" s="4">
        <f t="shared" si="19"/>
        <v>43465</v>
      </c>
      <c r="F1224" s="11">
        <f>[1]!EM_S_PQ_PCTCHANGE(B1224,"2018-01-01","2019-12-31","3")</f>
        <v>-13.15832496</v>
      </c>
      <c r="G1224" s="11">
        <f>[1]!EM_S_PQ_PCTCHANGE(B1224,"2018-12-31","2019-12-30","1")</f>
        <v>21.262458469999999</v>
      </c>
      <c r="H1224" s="11">
        <f>[1]!EM_S_FA_YOY_OR(B1224,E1224)</f>
        <v>1.0939442830999999</v>
      </c>
      <c r="I1224" s="11">
        <f>[1]!EM_S_FA_GROSSPROFITMARGIN(B1224,E1224)</f>
        <v>5.3973234437000004</v>
      </c>
      <c r="J1224" s="11">
        <f>[1]!EM_S_FA_NETPROFITMARGIN(B1224,E1224)</f>
        <v>2.3366485308999998</v>
      </c>
      <c r="K1224" s="10">
        <f>[1]!EM_S_FA_ASSETSTURN(B1224,E1224)</f>
        <v>0.57045388048699996</v>
      </c>
      <c r="L1224" s="12">
        <f>[1]!EM_HKS_VAL_MV(B1224,"2019-12-31","2")</f>
        <v>5548157683.5200005</v>
      </c>
      <c r="M1224">
        <f>[1]!EM_S_VAL_PETTMDEDUCTED(B1224,E1224)</f>
        <v>14.7306047676979</v>
      </c>
      <c r="N1224" s="7">
        <f>[1]!EM_S_VAL_PBGOODWILLDEDUCTED(B1224,E1224)</f>
        <v>1.1069642968561999</v>
      </c>
      <c r="O1224" s="7">
        <f>[1]!EM_S_VAL_PS_TTM(B1224,E1224)</f>
        <v>0.25097063596925201</v>
      </c>
      <c r="P1224" s="7">
        <f>[1]!EM_S_VAL_PCF_NCFTTM(B1224,E1224)</f>
        <v>-3.8973564167954802</v>
      </c>
      <c r="Q1224" s="7">
        <f>[1]!EM_S_VAL_DIVIDENDYIELD2(B1224,E1224,"2019-11-29")</f>
        <v>1.1976047904191616</v>
      </c>
      <c r="T1224"/>
      <c r="U1224">
        <f>[1]!EM_S_RATIO_EPS_TTM(B1224,E1224,"1")</f>
        <v>0.2097094399650557</v>
      </c>
      <c r="AT1224" s="4" t="str">
        <f>[1]!EM_S_IPO_LISTEDDATE(B1224)</f>
        <v>1996-11-28</v>
      </c>
    </row>
    <row r="1225" spans="1:46">
      <c r="A1225">
        <v>2465</v>
      </c>
      <c r="B1225" t="str">
        <f>"600343"</f>
        <v>600343</v>
      </c>
      <c r="C1225" t="s">
        <v>2983</v>
      </c>
      <c r="D1225" t="str">
        <f>[1]!EM_S_INFO_INDEX_EM(B1225,"1")</f>
        <v>国防与装备</v>
      </c>
      <c r="E1225" s="4">
        <f t="shared" si="19"/>
        <v>43465</v>
      </c>
      <c r="F1225" s="11">
        <f>[1]!EM_S_PQ_PCTCHANGE(B1225,"2018-01-01","2019-12-31","3")</f>
        <v>-28.911208200000001</v>
      </c>
      <c r="G1225" s="11">
        <f>[1]!EM_S_PQ_PCTCHANGE(B1225,"2018-12-31","2019-12-30","1")</f>
        <v>21.184210530000001</v>
      </c>
      <c r="H1225" s="11">
        <f>[1]!EM_S_FA_YOY_OR(B1225,E1225)</f>
        <v>2.5665703029000002</v>
      </c>
      <c r="I1225" s="11">
        <f>[1]!EM_S_FA_GROSSPROFITMARGIN(B1225,E1225)</f>
        <v>12.961280671999999</v>
      </c>
      <c r="J1225" s="11">
        <f>[1]!EM_S_FA_NETPROFITMARGIN(B1225,E1225)</f>
        <v>1.7931181242000001</v>
      </c>
      <c r="K1225" s="10">
        <f>[1]!EM_S_FA_ASSETSTURN(B1225,E1225)</f>
        <v>0.42683090353000003</v>
      </c>
      <c r="L1225" s="12">
        <f>[1]!EM_HKS_VAL_MV(B1225,"2019-12-31","2")</f>
        <v>5839588084.1999998</v>
      </c>
      <c r="M1225">
        <f>[1]!EM_S_VAL_PETTMDEDUCTED(B1225,E1225)</f>
        <v>803.58802826452802</v>
      </c>
      <c r="N1225" s="7">
        <f>[1]!EM_S_VAL_PBGOODWILLDEDUCTED(B1225,E1225)</f>
        <v>2.1980778992027399</v>
      </c>
      <c r="O1225" s="7">
        <f>[1]!EM_S_VAL_PS_TTM(B1225,E1225)</f>
        <v>2.8900445970297199</v>
      </c>
      <c r="P1225" s="7">
        <f>[1]!EM_S_VAL_PCF_NCFTTM(B1225,E1225)</f>
        <v>116.565670653217</v>
      </c>
      <c r="Q1225" s="7">
        <f>[1]!EM_S_VAL_DIVIDENDYIELD2(B1225,E1225,"2019-11-29")</f>
        <v>0.56882821387940841</v>
      </c>
      <c r="T1225"/>
      <c r="U1225">
        <f>[1]!EM_S_RATIO_EPS_TTM(B1225,E1225,"1")</f>
        <v>3.6084005372506889E-2</v>
      </c>
      <c r="AT1225" s="4" t="str">
        <f>[1]!EM_S_IPO_LISTEDDATE(B1225)</f>
        <v>2003-04-08</v>
      </c>
    </row>
    <row r="1226" spans="1:46">
      <c r="A1226">
        <v>795</v>
      </c>
      <c r="B1226" t="str">
        <f>"002284"</f>
        <v>002284</v>
      </c>
      <c r="C1226" t="s">
        <v>2438</v>
      </c>
      <c r="D1226" t="str">
        <f>[1]!EM_S_INFO_INDEX_EM(B1226,"1")</f>
        <v>交运设备</v>
      </c>
      <c r="E1226" s="4">
        <f t="shared" si="19"/>
        <v>43465</v>
      </c>
      <c r="F1226" s="11">
        <f>[1]!EM_S_PQ_PCTCHANGE(B1226,"2018-01-01","2019-12-31","3")</f>
        <v>-42.597930249999997</v>
      </c>
      <c r="G1226" s="11">
        <f>[1]!EM_S_PQ_PCTCHANGE(B1226,"2018-12-31","2019-12-30","1")</f>
        <v>21.176470590000001</v>
      </c>
      <c r="H1226" s="11">
        <f>[1]!EM_S_FA_YOY_OR(B1226,E1226)</f>
        <v>-1.4904383918999999</v>
      </c>
      <c r="I1226" s="11">
        <f>[1]!EM_S_FA_GROSSPROFITMARGIN(B1226,E1226)</f>
        <v>12.982569977000001</v>
      </c>
      <c r="J1226" s="11">
        <f>[1]!EM_S_FA_NETPROFITMARGIN(B1226,E1226)</f>
        <v>0.3247929584</v>
      </c>
      <c r="K1226" s="10">
        <f>[1]!EM_S_FA_ASSETSTURN(B1226,E1226)</f>
        <v>0.64491447758800002</v>
      </c>
      <c r="L1226" s="12">
        <f>[1]!EM_HKS_VAL_MV(B1226,"2019-12-31","2")</f>
        <v>3747044560.7600002</v>
      </c>
      <c r="M1226">
        <f>[1]!EM_S_VAL_PETTMDEDUCTED(B1226,E1226)</f>
        <v>469.34137875250099</v>
      </c>
      <c r="N1226" s="7">
        <f>[1]!EM_S_VAL_PBGOODWILLDEDUCTED(B1226,E1226)</f>
        <v>1.20663238974718</v>
      </c>
      <c r="O1226" s="7">
        <f>[1]!EM_S_VAL_PS_TTM(B1226,E1226)</f>
        <v>0.76343606435924605</v>
      </c>
      <c r="P1226" s="7">
        <f>[1]!EM_S_VAL_PCF_NCFTTM(B1226,E1226)</f>
        <v>-289.068866216228</v>
      </c>
      <c r="Q1226" s="7">
        <f>[1]!EM_S_VAL_DIVIDENDYIELD2(B1226,E1226,"2019-11-29")</f>
        <v>0</v>
      </c>
      <c r="T1226"/>
      <c r="U1226">
        <f>[1]!EM_S_RATIO_EPS_TTM(B1226,E1226,"1")</f>
        <v>1.0800981249466884E-2</v>
      </c>
      <c r="AT1226" s="4" t="str">
        <f>[1]!EM_S_IPO_LISTEDDATE(B1226)</f>
        <v>2009-08-28</v>
      </c>
    </row>
    <row r="1227" spans="1:46">
      <c r="A1227">
        <v>2511</v>
      </c>
      <c r="B1227" t="str">
        <f>"600395"</f>
        <v>600395</v>
      </c>
      <c r="C1227" t="s">
        <v>438</v>
      </c>
      <c r="D1227" t="str">
        <f>[1]!EM_S_INFO_INDEX_EM(B1227,"1")</f>
        <v>化石能源</v>
      </c>
      <c r="E1227" s="4">
        <f t="shared" si="19"/>
        <v>43465</v>
      </c>
      <c r="F1227" s="11">
        <f>[1]!EM_S_PQ_PCTCHANGE(B1227,"2018-01-01","2019-12-31","3")</f>
        <v>0.99875166000000004</v>
      </c>
      <c r="G1227" s="11">
        <f>[1]!EM_S_PQ_PCTCHANGE(B1227,"2018-12-31","2019-12-30","1")</f>
        <v>21.157684629999999</v>
      </c>
      <c r="H1227" s="11">
        <f>[1]!EM_S_FA_YOY_OR(B1227,E1227)</f>
        <v>0.13967956970000001</v>
      </c>
      <c r="I1227" s="11">
        <f>[1]!EM_S_FA_GROSSPROFITMARGIN(B1227,E1227)</f>
        <v>33.901686190699998</v>
      </c>
      <c r="J1227" s="11">
        <f>[1]!EM_S_FA_NETPROFITMARGIN(B1227,E1227)</f>
        <v>15.5070203331</v>
      </c>
      <c r="K1227" s="10">
        <f>[1]!EM_S_FA_ASSETSTURN(B1227,E1227)</f>
        <v>0.48036133301200001</v>
      </c>
      <c r="L1227" s="12">
        <f>[1]!EM_HKS_VAL_MV(B1227,"2019-12-31","2")</f>
        <v>10112366870.709999</v>
      </c>
      <c r="M1227">
        <f>[1]!EM_S_VAL_PETTMDEDUCTED(B1227,E1227)</f>
        <v>9.9226879273109301</v>
      </c>
      <c r="N1227" s="7">
        <f>[1]!EM_S_VAL_PBGOODWILLDEDUCTED(B1227,E1227)</f>
        <v>1.2617933394569001</v>
      </c>
      <c r="O1227" s="7">
        <f>[1]!EM_S_VAL_PS_TTM(B1227,E1227)</f>
        <v>1.3430592724358601</v>
      </c>
      <c r="P1227" s="7">
        <f>[1]!EM_S_VAL_PCF_NCFTTM(B1227,E1227)</f>
        <v>19.727073587597602</v>
      </c>
      <c r="Q1227" s="7">
        <f>[1]!EM_S_VAL_DIVIDENDYIELD2(B1227,E1227,"2019-11-29")</f>
        <v>7.1174377224199299</v>
      </c>
      <c r="T1227"/>
      <c r="U1227">
        <f>[1]!EM_S_RATIO_EPS_TTM(B1227,E1227,"1")</f>
        <v>0.57094560388521864</v>
      </c>
      <c r="AT1227" s="4" t="str">
        <f>[1]!EM_S_IPO_LISTEDDATE(B1227)</f>
        <v>2001-05-31</v>
      </c>
    </row>
    <row r="1228" spans="1:46">
      <c r="A1228">
        <v>2999</v>
      </c>
      <c r="B1228" t="str">
        <f>"600976"</f>
        <v>600976</v>
      </c>
      <c r="C1228" t="s">
        <v>996</v>
      </c>
      <c r="D1228" t="str">
        <f>[1]!EM_S_INFO_INDEX_EM(B1228,"1")</f>
        <v>医药生物</v>
      </c>
      <c r="E1228" s="4">
        <f t="shared" si="19"/>
        <v>43465</v>
      </c>
      <c r="F1228" s="11">
        <f>[1]!EM_S_PQ_PCTCHANGE(B1228,"2018-01-01","2019-12-31","3")</f>
        <v>-22.989995499999999</v>
      </c>
      <c r="G1228" s="11">
        <f>[1]!EM_S_PQ_PCTCHANGE(B1228,"2018-12-31","2019-12-30","1")</f>
        <v>21.148459379999998</v>
      </c>
      <c r="H1228" s="11">
        <f>[1]!EM_S_FA_YOY_OR(B1228,E1228)</f>
        <v>-20.2849202423</v>
      </c>
      <c r="I1228" s="11">
        <f>[1]!EM_S_FA_GROSSPROFITMARGIN(B1228,E1228)</f>
        <v>34.854428394800003</v>
      </c>
      <c r="J1228" s="11">
        <f>[1]!EM_S_FA_NETPROFITMARGIN(B1228,E1228)</f>
        <v>3.7612984673000001</v>
      </c>
      <c r="K1228" s="10">
        <f>[1]!EM_S_FA_ASSETSTURN(B1228,E1228)</f>
        <v>1.1855598398589999</v>
      </c>
      <c r="L1228" s="12">
        <f>[1]!EM_HKS_VAL_MV(B1228,"2019-12-31","2")</f>
        <v>2725893122</v>
      </c>
      <c r="M1228">
        <f>[1]!EM_S_VAL_PETTMDEDUCTED(B1228,E1228)</f>
        <v>29.288364743141798</v>
      </c>
      <c r="N1228" s="7">
        <f>[1]!EM_S_VAL_PBGOODWILLDEDUCTED(B1228,E1228)</f>
        <v>1.9222840558252601</v>
      </c>
      <c r="O1228" s="7">
        <f>[1]!EM_S_VAL_PS_TTM(B1228,E1228)</f>
        <v>1.00120204105028</v>
      </c>
      <c r="P1228" s="7">
        <f>[1]!EM_S_VAL_PCF_NCFTTM(B1228,E1228)</f>
        <v>109.544401091316</v>
      </c>
      <c r="Q1228" s="7">
        <f>[1]!EM_S_VAL_DIVIDENDYIELD2(B1228,E1228,"2019-11-29")</f>
        <v>1.1799410029498525</v>
      </c>
      <c r="T1228"/>
      <c r="U1228">
        <f>[1]!EM_S_RATIO_EPS_TTM(B1228,E1228,"1")</f>
        <v>0.52945551797734791</v>
      </c>
      <c r="AT1228" s="4" t="str">
        <f>[1]!EM_S_IPO_LISTEDDATE(B1228)</f>
        <v>2004-04-19</v>
      </c>
    </row>
    <row r="1229" spans="1:46">
      <c r="A1229">
        <v>2648</v>
      </c>
      <c r="B1229" t="str">
        <f>"600575"</f>
        <v>600575</v>
      </c>
      <c r="C1229" t="s">
        <v>1931</v>
      </c>
      <c r="D1229" t="str">
        <f>[1]!EM_S_INFO_INDEX_EM(B1229,"1")</f>
        <v>化石能源</v>
      </c>
      <c r="E1229" s="4">
        <f t="shared" si="19"/>
        <v>43465</v>
      </c>
      <c r="F1229" s="11">
        <f>[1]!EM_S_PQ_PCTCHANGE(B1229,"2018-01-01","2019-12-31","3")</f>
        <v>-36.543209879999999</v>
      </c>
      <c r="G1229" s="11">
        <f>[1]!EM_S_PQ_PCTCHANGE(B1229,"2018-12-31","2019-12-30","1")</f>
        <v>21.126760560000001</v>
      </c>
      <c r="H1229" s="11">
        <f>[1]!EM_S_FA_YOY_OR(B1229,E1229)</f>
        <v>16.031438425800001</v>
      </c>
      <c r="I1229" s="11">
        <f>[1]!EM_S_FA_GROSSPROFITMARGIN(B1229,E1229)</f>
        <v>9.9105925449000001</v>
      </c>
      <c r="J1229" s="11">
        <f>[1]!EM_S_FA_NETPROFITMARGIN(B1229,E1229)</f>
        <v>5.1391431361000004</v>
      </c>
      <c r="K1229" s="10">
        <f>[1]!EM_S_FA_ASSETSTURN(B1229,E1229)</f>
        <v>0.65145681145199996</v>
      </c>
      <c r="L1229" s="12">
        <f>[1]!EM_HKS_VAL_MV(B1229,"2019-12-31","2")</f>
        <v>9987690937.0499992</v>
      </c>
      <c r="M1229">
        <f>[1]!EM_S_VAL_PETTMDEDUCTED(B1229,E1229)</f>
        <v>37.7914427575556</v>
      </c>
      <c r="N1229" s="7">
        <f>[1]!EM_S_VAL_PBGOODWILLDEDUCTED(B1229,E1229)</f>
        <v>0.96521867352192603</v>
      </c>
      <c r="O1229" s="7">
        <f>[1]!EM_S_VAL_PS_TTM(B1229,E1229)</f>
        <v>0.78081260390992502</v>
      </c>
      <c r="P1229" s="7">
        <f>[1]!EM_S_VAL_PCF_NCFTTM(B1229,E1229)</f>
        <v>24.320728480155001</v>
      </c>
      <c r="Q1229" s="7">
        <f>[1]!EM_S_VAL_DIVIDENDYIELD2(B1229,E1229,"2019-11-29")</f>
        <v>0</v>
      </c>
      <c r="T1229"/>
      <c r="U1229">
        <f>[1]!EM_S_RATIO_EPS_TTM(B1229,E1229,"1")</f>
        <v>0.10706391237769303</v>
      </c>
      <c r="AT1229" s="4" t="str">
        <f>[1]!EM_S_IPO_LISTEDDATE(B1229)</f>
        <v>2003-03-28</v>
      </c>
    </row>
    <row r="1230" spans="1:46">
      <c r="A1230">
        <v>1235</v>
      </c>
      <c r="B1230" t="str">
        <f>"002725"</f>
        <v>002725</v>
      </c>
      <c r="C1230" t="s">
        <v>2707</v>
      </c>
      <c r="D1230" t="str">
        <f>[1]!EM_S_INFO_INDEX_EM(B1230,"1")</f>
        <v>交运设备</v>
      </c>
      <c r="E1230" s="4">
        <f t="shared" si="19"/>
        <v>43465</v>
      </c>
      <c r="F1230" s="11">
        <f>[1]!EM_S_PQ_PCTCHANGE(B1230,"2018-01-01","2019-12-31","3")</f>
        <v>10.23549446</v>
      </c>
      <c r="G1230" s="11">
        <f>[1]!EM_S_PQ_PCTCHANGE(B1230,"2018-12-31","2019-12-30","1")</f>
        <v>21.125</v>
      </c>
      <c r="H1230" s="11">
        <f>[1]!EM_S_FA_YOY_OR(B1230,E1230)</f>
        <v>23.6099292281</v>
      </c>
      <c r="I1230" s="11">
        <f>[1]!EM_S_FA_GROSSPROFITMARGIN(B1230,E1230)</f>
        <v>18.275174497599998</v>
      </c>
      <c r="J1230" s="11">
        <f>[1]!EM_S_FA_NETPROFITMARGIN(B1230,E1230)</f>
        <v>4.8272810216000002</v>
      </c>
      <c r="K1230" s="10">
        <f>[1]!EM_S_FA_ASSETSTURN(B1230,E1230)</f>
        <v>0.83366196485499999</v>
      </c>
      <c r="L1230" s="12">
        <f>[1]!EM_HKS_VAL_MV(B1230,"2019-12-31","2")</f>
        <v>2485760000</v>
      </c>
      <c r="M1230">
        <f>[1]!EM_S_VAL_PETTMDEDUCTED(B1230,E1230)</f>
        <v>58.284656341467098</v>
      </c>
      <c r="N1230" s="7">
        <f>[1]!EM_S_VAL_PBGOODWILLDEDUCTED(B1230,E1230)</f>
        <v>2.1433561193761701</v>
      </c>
      <c r="O1230" s="7">
        <f>[1]!EM_S_VAL_PS_TTM(B1230,E1230)</f>
        <v>2.2829689291503001</v>
      </c>
      <c r="P1230" s="7">
        <f>[1]!EM_S_VAL_PCF_NCFTTM(B1230,E1230)</f>
        <v>-14.9593632789759</v>
      </c>
      <c r="Q1230" s="7">
        <f>[1]!EM_S_VAL_DIVIDENDYIELD2(B1230,E1230,"2019-11-29")</f>
        <v>1.1185682326621924</v>
      </c>
      <c r="T1230"/>
      <c r="U1230">
        <f>[1]!EM_S_RATIO_EPS_TTM(B1230,E1230,"1")</f>
        <v>0.18240043210937498</v>
      </c>
      <c r="AT1230" s="4" t="str">
        <f>[1]!EM_S_IPO_LISTEDDATE(B1230)</f>
        <v>2014-01-29</v>
      </c>
    </row>
    <row r="1231" spans="1:46">
      <c r="A1231">
        <v>2139</v>
      </c>
      <c r="B1231" t="str">
        <f>"300725"</f>
        <v>300725</v>
      </c>
      <c r="C1231" t="s">
        <v>484</v>
      </c>
      <c r="D1231" t="str">
        <f>[1]!EM_S_INFO_INDEX_EM(B1231,"1")</f>
        <v>医药生物</v>
      </c>
      <c r="E1231" s="4">
        <f t="shared" si="19"/>
        <v>43465</v>
      </c>
      <c r="F1231" s="11">
        <f>[1]!EM_S_PQ_PCTCHANGE(B1231,"2018-01-01","2019-12-31","3")</f>
        <v>17.03747353</v>
      </c>
      <c r="G1231" s="11">
        <f>[1]!EM_S_PQ_PCTCHANGE(B1231,"2018-12-31","2019-12-30","1")</f>
        <v>21.0848969</v>
      </c>
      <c r="H1231" s="11">
        <f>[1]!EM_S_FA_YOY_OR(B1231,E1231)</f>
        <v>75.024094626999997</v>
      </c>
      <c r="I1231" s="11">
        <f>[1]!EM_S_FA_GROSSPROFITMARGIN(B1231,E1231)</f>
        <v>57.816558322399999</v>
      </c>
      <c r="J1231" s="11">
        <f>[1]!EM_S_FA_NETPROFITMARGIN(B1231,E1231)</f>
        <v>28.122808222300002</v>
      </c>
      <c r="K1231" s="10">
        <f>[1]!EM_S_FA_ASSETSTURN(B1231,E1231)</f>
        <v>0.71996048944500002</v>
      </c>
      <c r="L1231" s="12">
        <f>[1]!EM_HKS_VAL_MV(B1231,"2019-12-31","2")</f>
        <v>9893466603.3299999</v>
      </c>
      <c r="M1231">
        <f>[1]!EM_S_VAL_PETTMDEDUCTED(B1231,E1231)</f>
        <v>59.206654236239103</v>
      </c>
      <c r="N1231" s="7">
        <f>[1]!EM_S_VAL_PBGOODWILLDEDUCTED(B1231,E1231)</f>
        <v>9.9882178940790496</v>
      </c>
      <c r="O1231" s="7">
        <f>[1]!EM_S_VAL_PS_TTM(B1231,E1231)</f>
        <v>14.2129114304024</v>
      </c>
      <c r="P1231" s="7">
        <f>[1]!EM_S_VAL_PCF_NCFTTM(B1231,E1231)</f>
        <v>735.36931712466799</v>
      </c>
      <c r="Q1231" s="7">
        <f>[1]!EM_S_VAL_DIVIDENDYIELD2(B1231,E1231,"2019-11-29")</f>
        <v>0.23860665841743384</v>
      </c>
      <c r="T1231"/>
      <c r="U1231">
        <f>[1]!EM_S_RATIO_EPS_TTM(B1231,E1231,"1")</f>
        <v>1.2123943057055064</v>
      </c>
      <c r="AT1231" s="4" t="str">
        <f>[1]!EM_S_IPO_LISTEDDATE(B1231)</f>
        <v>2017-11-10</v>
      </c>
    </row>
    <row r="1232" spans="1:46">
      <c r="A1232">
        <v>1867</v>
      </c>
      <c r="B1232" t="str">
        <f>"300442"</f>
        <v>300442</v>
      </c>
      <c r="C1232" t="s">
        <v>2876</v>
      </c>
      <c r="D1232" t="str">
        <f>[1]!EM_S_INFO_INDEX_EM(B1232,"1")</f>
        <v>机械设备</v>
      </c>
      <c r="E1232" s="4">
        <f t="shared" si="19"/>
        <v>43465</v>
      </c>
      <c r="F1232" s="11">
        <f>[1]!EM_S_PQ_PCTCHANGE(B1232,"2018-01-01","2019-12-31","3")</f>
        <v>-29.19644426</v>
      </c>
      <c r="G1232" s="11">
        <f>[1]!EM_S_PQ_PCTCHANGE(B1232,"2018-12-31","2019-12-30","1")</f>
        <v>21.073401740000001</v>
      </c>
      <c r="H1232" s="11">
        <f>[1]!EM_S_FA_YOY_OR(B1232,E1232)</f>
        <v>-16.5185381778</v>
      </c>
      <c r="I1232" s="11">
        <f>[1]!EM_S_FA_GROSSPROFITMARGIN(B1232,E1232)</f>
        <v>17.724556722799999</v>
      </c>
      <c r="J1232" s="11">
        <f>[1]!EM_S_FA_NETPROFITMARGIN(B1232,E1232)</f>
        <v>-44.755082503200001</v>
      </c>
      <c r="K1232" s="10">
        <f>[1]!EM_S_FA_ASSETSTURN(B1232,E1232)</f>
        <v>0.36518481841900002</v>
      </c>
      <c r="L1232" s="12">
        <f>[1]!EM_HKS_VAL_MV(B1232,"2019-12-31","2")</f>
        <v>1519000000</v>
      </c>
      <c r="M1232">
        <f>[1]!EM_S_VAL_PETTMDEDUCTED(B1232,E1232)</f>
        <v>-38.275727870469701</v>
      </c>
      <c r="N1232" s="7">
        <f>[1]!EM_S_VAL_PBGOODWILLDEDUCTED(B1232,E1232)</f>
        <v>1.7513131626448799</v>
      </c>
      <c r="O1232" s="7">
        <f>[1]!EM_S_VAL_PS_TTM(B1232,E1232)</f>
        <v>2.0017003233747599</v>
      </c>
      <c r="P1232" s="7">
        <f>[1]!EM_S_VAL_PCF_NCFTTM(B1232,E1232)</f>
        <v>-70.284658419475207</v>
      </c>
      <c r="Q1232" s="7">
        <f>[1]!EM_S_VAL_DIVIDENDYIELD2(B1232,E1232,"2019-11-29")</f>
        <v>0</v>
      </c>
      <c r="T1232"/>
      <c r="U1232">
        <f>[1]!EM_S_RATIO_EPS_TTM(B1232,E1232,"1")</f>
        <v>-2.4139600950999998</v>
      </c>
      <c r="AT1232" s="4" t="str">
        <f>[1]!EM_S_IPO_LISTEDDATE(B1232)</f>
        <v>2015-04-24</v>
      </c>
    </row>
    <row r="1233" spans="1:46">
      <c r="A1233">
        <v>1181</v>
      </c>
      <c r="B1233" t="str">
        <f>"002670"</f>
        <v>002670</v>
      </c>
      <c r="C1233" t="s">
        <v>3356</v>
      </c>
      <c r="D1233" t="str">
        <f>[1]!EM_S_INFO_INDEX_EM(B1233,"1")</f>
        <v>金融</v>
      </c>
      <c r="E1233" s="4">
        <f t="shared" si="19"/>
        <v>43465</v>
      </c>
      <c r="F1233" s="11">
        <f>[1]!EM_S_PQ_PCTCHANGE(B1233,"2018-01-01","2019-12-31","3")</f>
        <v>-14.913980909999999</v>
      </c>
      <c r="G1233" s="11">
        <f>[1]!EM_S_PQ_PCTCHANGE(B1233,"2018-12-31","2019-12-30","1")</f>
        <v>21.031746030000001</v>
      </c>
      <c r="H1233" s="11">
        <f>[1]!EM_S_FA_YOY_OR(B1233,E1233)</f>
        <v>-35.317278545500002</v>
      </c>
      <c r="I1233" s="11">
        <f>[1]!EM_S_FA_GROSSPROFITMARGIN(B1233,E1233)</f>
        <v>0</v>
      </c>
      <c r="J1233" s="11">
        <f>[1]!EM_S_FA_NETPROFITMARGIN(B1233,E1233)</f>
        <v>-44.9161686733</v>
      </c>
      <c r="K1233" s="10">
        <f>[1]!EM_S_FA_ASSETSTURN(B1233,E1233)</f>
        <v>0</v>
      </c>
      <c r="L1233" s="12">
        <f>[1]!EM_HKS_VAL_MV(B1233,"2019-12-31","2")</f>
        <v>24594925939.630001</v>
      </c>
      <c r="M1233">
        <f>[1]!EM_S_VAL_PETTMDEDUCTED(B1233,E1233)</f>
        <v>697.18011968570602</v>
      </c>
      <c r="N1233" s="7">
        <f>[1]!EM_S_VAL_PBGOODWILLDEDUCTED(B1233,E1233)</f>
        <v>2.3437368393111</v>
      </c>
      <c r="O1233" s="7">
        <f>[1]!EM_S_VAL_PS_TTM(B1233,E1233)</f>
        <v>16.137780043018701</v>
      </c>
      <c r="P1233" s="7">
        <f>[1]!EM_S_VAL_PCF_NCFTTM(B1233,E1233)</f>
        <v>-25.1053125502266</v>
      </c>
      <c r="Q1233" s="7">
        <f>[1]!EM_S_VAL_DIVIDENDYIELD2(B1233,E1233,"2019-11-29")</f>
        <v>0</v>
      </c>
      <c r="T1233"/>
      <c r="U1233">
        <f>[1]!EM_S_RATIO_EPS_TTM(B1233,E1233,"1")</f>
        <v>-0.28126563754521183</v>
      </c>
      <c r="AT1233" s="4" t="str">
        <f>[1]!EM_S_IPO_LISTEDDATE(B1233)</f>
        <v>2012-04-16</v>
      </c>
    </row>
    <row r="1234" spans="1:46">
      <c r="A1234">
        <v>1503</v>
      </c>
      <c r="B1234" t="str">
        <f>"300078"</f>
        <v>300078</v>
      </c>
      <c r="C1234" t="s">
        <v>2145</v>
      </c>
      <c r="D1234" t="str">
        <f>[1]!EM_S_INFO_INDEX_EM(B1234,"1")</f>
        <v>电子设备</v>
      </c>
      <c r="E1234" s="4">
        <f t="shared" si="19"/>
        <v>43465</v>
      </c>
      <c r="F1234" s="11">
        <f>[1]!EM_S_PQ_PCTCHANGE(B1234,"2018-01-01","2019-12-31","3")</f>
        <v>14.32182961</v>
      </c>
      <c r="G1234" s="11">
        <f>[1]!EM_S_PQ_PCTCHANGE(B1234,"2018-12-31","2019-12-30","1")</f>
        <v>21.02615694</v>
      </c>
      <c r="H1234" s="11">
        <f>[1]!EM_S_FA_YOY_OR(B1234,E1234)</f>
        <v>16.397532309900001</v>
      </c>
      <c r="I1234" s="11">
        <f>[1]!EM_S_FA_GROSSPROFITMARGIN(B1234,E1234)</f>
        <v>42.709978025799998</v>
      </c>
      <c r="J1234" s="11">
        <f>[1]!EM_S_FA_NETPROFITMARGIN(B1234,E1234)</f>
        <v>10.888383730299999</v>
      </c>
      <c r="K1234" s="10">
        <f>[1]!EM_S_FA_ASSETSTURN(B1234,E1234)</f>
        <v>0.409318478042</v>
      </c>
      <c r="L1234" s="12">
        <f>[1]!EM_HKS_VAL_MV(B1234,"2019-12-31","2")</f>
        <v>10551902722.48</v>
      </c>
      <c r="M1234">
        <f>[1]!EM_S_VAL_PETTMDEDUCTED(B1234,E1234)</f>
        <v>71.599934375196</v>
      </c>
      <c r="N1234" s="7">
        <f>[1]!EM_S_VAL_PBGOODWILLDEDUCTED(B1234,E1234)</f>
        <v>5.36838607733928</v>
      </c>
      <c r="O1234" s="7">
        <f>[1]!EM_S_VAL_PS_TTM(B1234,E1234)</f>
        <v>6.4007822930598497</v>
      </c>
      <c r="P1234" s="7">
        <f>[1]!EM_S_VAL_PCF_NCFTTM(B1234,E1234)</f>
        <v>74.195845965881503</v>
      </c>
      <c r="Q1234" s="7">
        <f>[1]!EM_S_VAL_DIVIDENDYIELD2(B1234,E1234,"2019-11-29")</f>
        <v>0.13325579246243055</v>
      </c>
      <c r="T1234"/>
      <c r="U1234">
        <f>[1]!EM_S_RATIO_EPS_TTM(B1234,E1234,"1")</f>
        <v>0.17759030876280271</v>
      </c>
      <c r="AT1234" s="4" t="str">
        <f>[1]!EM_S_IPO_LISTEDDATE(B1234)</f>
        <v>2010-04-30</v>
      </c>
    </row>
    <row r="1235" spans="1:46">
      <c r="A1235">
        <v>3296</v>
      </c>
      <c r="B1235" t="str">
        <f>"603167"</f>
        <v>603167</v>
      </c>
      <c r="C1235" t="s">
        <v>337</v>
      </c>
      <c r="D1235" t="str">
        <f>[1]!EM_S_INFO_INDEX_EM(B1235,"1")</f>
        <v>交通运输</v>
      </c>
      <c r="E1235" s="4">
        <f t="shared" si="19"/>
        <v>43465</v>
      </c>
      <c r="F1235" s="11">
        <f>[1]!EM_S_PQ_PCTCHANGE(B1235,"2018-01-01","2019-12-31","3")</f>
        <v>3.0864222300000002</v>
      </c>
      <c r="G1235" s="11">
        <f>[1]!EM_S_PQ_PCTCHANGE(B1235,"2018-12-31","2019-12-30","1")</f>
        <v>21.00456621</v>
      </c>
      <c r="H1235" s="11">
        <f>[1]!EM_S_FA_YOY_OR(B1235,E1235)</f>
        <v>10.4052460236</v>
      </c>
      <c r="I1235" s="11">
        <f>[1]!EM_S_FA_GROSSPROFITMARGIN(B1235,E1235)</f>
        <v>31.2758293871</v>
      </c>
      <c r="J1235" s="11">
        <f>[1]!EM_S_FA_NETPROFITMARGIN(B1235,E1235)</f>
        <v>25.434083191900001</v>
      </c>
      <c r="K1235" s="10">
        <f>[1]!EM_S_FA_ASSETSTURN(B1235,E1235)</f>
        <v>0.355959692085</v>
      </c>
      <c r="L1235" s="12">
        <f>[1]!EM_HKS_VAL_MV(B1235,"2019-12-31","2")</f>
        <v>5101583246.3699999</v>
      </c>
      <c r="M1235">
        <f>[1]!EM_S_VAL_PETTMDEDUCTED(B1235,E1235)</f>
        <v>18.757148115686501</v>
      </c>
      <c r="N1235" s="7">
        <f>[1]!EM_S_VAL_PBGOODWILLDEDUCTED(B1235,E1235)</f>
        <v>1.2595376755790499</v>
      </c>
      <c r="O1235" s="7">
        <f>[1]!EM_S_VAL_PS_TTM(B1235,E1235)</f>
        <v>2.63302428101747</v>
      </c>
      <c r="P1235" s="7">
        <f>[1]!EM_S_VAL_PCF_NCFTTM(B1235,E1235)</f>
        <v>-18.422886394101901</v>
      </c>
      <c r="Q1235" s="7">
        <f>[1]!EM_S_VAL_DIVIDENDYIELD2(B1235,E1235,"2019-11-29")</f>
        <v>6.2959076600209869</v>
      </c>
      <c r="T1235"/>
      <c r="U1235">
        <f>[1]!EM_S_RATIO_EPS_TTM(B1235,E1235,"1")</f>
        <v>0.81248279987916439</v>
      </c>
      <c r="AT1235" s="4" t="str">
        <f>[1]!EM_S_IPO_LISTEDDATE(B1235)</f>
        <v>2012-09-06</v>
      </c>
    </row>
    <row r="1236" spans="1:46">
      <c r="A1236">
        <v>1583</v>
      </c>
      <c r="B1236" t="str">
        <f>"300158"</f>
        <v>300158</v>
      </c>
      <c r="C1236" t="s">
        <v>2322</v>
      </c>
      <c r="D1236" t="str">
        <f>[1]!EM_S_INFO_INDEX_EM(B1236,"1")</f>
        <v>医药生物</v>
      </c>
      <c r="E1236" s="4">
        <f t="shared" si="19"/>
        <v>43465</v>
      </c>
      <c r="F1236" s="11">
        <f>[1]!EM_S_PQ_PCTCHANGE(B1236,"2018-01-01","2019-12-31","3")</f>
        <v>-29.680002389999999</v>
      </c>
      <c r="G1236" s="11">
        <f>[1]!EM_S_PQ_PCTCHANGE(B1236,"2018-12-31","2019-12-30","1")</f>
        <v>20.997375330000001</v>
      </c>
      <c r="H1236" s="11">
        <f>[1]!EM_S_FA_YOY_OR(B1236,E1236)</f>
        <v>-8.3570586775999995</v>
      </c>
      <c r="I1236" s="11">
        <f>[1]!EM_S_FA_GROSSPROFITMARGIN(B1236,E1236)</f>
        <v>65.5571988242</v>
      </c>
      <c r="J1236" s="11">
        <f>[1]!EM_S_FA_NETPROFITMARGIN(B1236,E1236)</f>
        <v>-4.4017086686000004</v>
      </c>
      <c r="K1236" s="10">
        <f>[1]!EM_S_FA_ASSETSTURN(B1236,E1236)</f>
        <v>0.46131754537500003</v>
      </c>
      <c r="L1236" s="12">
        <f>[1]!EM_HKS_VAL_MV(B1236,"2019-12-31","2")</f>
        <v>4999984554.3999996</v>
      </c>
      <c r="M1236">
        <f>[1]!EM_S_VAL_PETTMDEDUCTED(B1236,E1236)</f>
        <v>38.2844539524461</v>
      </c>
      <c r="N1236" s="7">
        <f>[1]!EM_S_VAL_PBGOODWILLDEDUCTED(B1236,E1236)</f>
        <v>1.3108734863075</v>
      </c>
      <c r="O1236" s="7">
        <f>[1]!EM_S_VAL_PS_TTM(B1236,E1236)</f>
        <v>1.05073473425915</v>
      </c>
      <c r="P1236" s="7">
        <f>[1]!EM_S_VAL_PCF_NCFTTM(B1236,E1236)</f>
        <v>40.822704842897203</v>
      </c>
      <c r="Q1236" s="7">
        <f>[1]!EM_S_VAL_DIVIDENDYIELD2(B1236,E1236,"2019-11-29")</f>
        <v>0</v>
      </c>
      <c r="T1236"/>
      <c r="U1236">
        <f>[1]!EM_S_RATIO_EPS_TTM(B1236,E1236,"1")</f>
        <v>-0.14272692088722583</v>
      </c>
      <c r="AT1236" s="4" t="str">
        <f>[1]!EM_S_IPO_LISTEDDATE(B1236)</f>
        <v>2011-01-07</v>
      </c>
    </row>
    <row r="1237" spans="1:46">
      <c r="A1237">
        <v>662</v>
      </c>
      <c r="B1237" t="str">
        <f>"002151"</f>
        <v>002151</v>
      </c>
      <c r="C1237" t="s">
        <v>3047</v>
      </c>
      <c r="D1237" t="str">
        <f>[1]!EM_S_INFO_INDEX_EM(B1237,"1")</f>
        <v>信息技术</v>
      </c>
      <c r="E1237" s="4">
        <f t="shared" si="19"/>
        <v>43465</v>
      </c>
      <c r="F1237" s="11">
        <f>[1]!EM_S_PQ_PCTCHANGE(B1237,"2018-01-01","2019-12-31","3")</f>
        <v>-20.73667785</v>
      </c>
      <c r="G1237" s="11">
        <f>[1]!EM_S_PQ_PCTCHANGE(B1237,"2018-12-31","2019-12-30","1")</f>
        <v>20.99526066</v>
      </c>
      <c r="H1237" s="11">
        <f>[1]!EM_S_FA_YOY_OR(B1237,E1237)</f>
        <v>38.4149565528</v>
      </c>
      <c r="I1237" s="11">
        <f>[1]!EM_S_FA_GROSSPROFITMARGIN(B1237,E1237)</f>
        <v>29.941851592100001</v>
      </c>
      <c r="J1237" s="11">
        <f>[1]!EM_S_FA_NETPROFITMARGIN(B1237,E1237)</f>
        <v>4.3086767893999998</v>
      </c>
      <c r="K1237" s="10">
        <f>[1]!EM_S_FA_ASSETSTURN(B1237,E1237)</f>
        <v>0.46105518603000001</v>
      </c>
      <c r="L1237" s="12">
        <f>[1]!EM_HKS_VAL_MV(B1237,"2019-12-31","2")</f>
        <v>12365707681.48</v>
      </c>
      <c r="M1237">
        <f>[1]!EM_S_VAL_PETTMDEDUCTED(B1237,E1237)</f>
        <v>3334.9894809683601</v>
      </c>
      <c r="N1237" s="7">
        <f>[1]!EM_S_VAL_PBGOODWILLDEDUCTED(B1237,E1237)</f>
        <v>4.2970189079562999</v>
      </c>
      <c r="O1237" s="7">
        <f>[1]!EM_S_VAL_PS_TTM(B1237,E1237)</f>
        <v>3.6166852399179601</v>
      </c>
      <c r="P1237" s="7">
        <f>[1]!EM_S_VAL_PCF_NCFTTM(B1237,E1237)</f>
        <v>19.1273543249483</v>
      </c>
      <c r="Q1237" s="7">
        <f>[1]!EM_S_VAL_DIVIDENDYIELD2(B1237,E1237,"2019-11-29")</f>
        <v>0.33795502369386782</v>
      </c>
      <c r="T1237"/>
      <c r="U1237">
        <f>[1]!EM_S_RATIO_EPS_TTM(B1237,E1237,"1")</f>
        <v>0.20791847338298103</v>
      </c>
      <c r="AT1237" s="4" t="str">
        <f>[1]!EM_S_IPO_LISTEDDATE(B1237)</f>
        <v>2007-08-13</v>
      </c>
    </row>
    <row r="1238" spans="1:46">
      <c r="A1238">
        <v>2254</v>
      </c>
      <c r="B1238" t="str">
        <f>"600107"</f>
        <v>600107</v>
      </c>
      <c r="C1238" t="s">
        <v>3378</v>
      </c>
      <c r="D1238" t="str">
        <f>[1]!EM_S_INFO_INDEX_EM(B1238,"1")</f>
        <v>纺织服装</v>
      </c>
      <c r="E1238" s="4">
        <f t="shared" si="19"/>
        <v>43465</v>
      </c>
      <c r="F1238" s="11">
        <f>[1]!EM_S_PQ_PCTCHANGE(B1238,"2018-01-01","2019-12-31","3")</f>
        <v>-46.080760099999999</v>
      </c>
      <c r="G1238" s="11">
        <f>[1]!EM_S_PQ_PCTCHANGE(B1238,"2018-12-31","2019-12-30","1")</f>
        <v>20.987654320000001</v>
      </c>
      <c r="H1238" s="11">
        <f>[1]!EM_S_FA_YOY_OR(B1238,E1238)</f>
        <v>-5.6805084489000004</v>
      </c>
      <c r="I1238" s="11">
        <f>[1]!EM_S_FA_GROSSPROFITMARGIN(B1238,E1238)</f>
        <v>42.628170244499998</v>
      </c>
      <c r="J1238" s="11">
        <f>[1]!EM_S_FA_NETPROFITMARGIN(B1238,E1238)</f>
        <v>1.3043836039000001</v>
      </c>
      <c r="K1238" s="10">
        <f>[1]!EM_S_FA_ASSETSTURN(B1238,E1238)</f>
        <v>0.33143532495099998</v>
      </c>
      <c r="L1238" s="12">
        <f>[1]!EM_HKS_VAL_MV(B1238,"2019-12-31","2")</f>
        <v>2451600000</v>
      </c>
      <c r="M1238">
        <f>[1]!EM_S_VAL_PETTMDEDUCTED(B1238,E1238)</f>
        <v>4702.1463713295498</v>
      </c>
      <c r="N1238" s="7">
        <f>[1]!EM_S_VAL_PBGOODWILLDEDUCTED(B1238,E1238)</f>
        <v>3.6143332734947999</v>
      </c>
      <c r="O1238" s="7">
        <f>[1]!EM_S_VAL_PS_TTM(B1238,E1238)</f>
        <v>4.4745405513258998</v>
      </c>
      <c r="P1238" s="7">
        <f>[1]!EM_S_VAL_PCF_NCFTTM(B1238,E1238)</f>
        <v>-92.0421289341717</v>
      </c>
      <c r="Q1238" s="7">
        <f>[1]!EM_S_VAL_DIVIDENDYIELD2(B1238,E1238,"2019-11-29")</f>
        <v>0</v>
      </c>
      <c r="T1238"/>
      <c r="U1238">
        <f>[1]!EM_S_RATIO_EPS_TTM(B1238,E1238,"1")</f>
        <v>2.3902594916666665E-2</v>
      </c>
      <c r="AT1238" s="4" t="str">
        <f>[1]!EM_S_IPO_LISTEDDATE(B1238)</f>
        <v>1997-11-06</v>
      </c>
    </row>
    <row r="1239" spans="1:46">
      <c r="A1239">
        <v>2323</v>
      </c>
      <c r="B1239" t="str">
        <f>"600185"</f>
        <v>600185</v>
      </c>
      <c r="C1239" t="s">
        <v>928</v>
      </c>
      <c r="D1239" t="str">
        <f>[1]!EM_S_INFO_INDEX_EM(B1239,"1")</f>
        <v>房地产</v>
      </c>
      <c r="E1239" s="4">
        <f t="shared" si="19"/>
        <v>43465</v>
      </c>
      <c r="F1239" s="11">
        <f>[1]!EM_S_PQ_PCTCHANGE(B1239,"2018-01-01","2019-12-31","3")</f>
        <v>-8.7310594800000008</v>
      </c>
      <c r="G1239" s="11">
        <f>[1]!EM_S_PQ_PCTCHANGE(B1239,"2018-12-31","2019-12-30","1")</f>
        <v>20.987654320000001</v>
      </c>
      <c r="H1239" s="11">
        <f>[1]!EM_S_FA_YOY_OR(B1239,E1239)</f>
        <v>-1.6495618010999999</v>
      </c>
      <c r="I1239" s="11">
        <f>[1]!EM_S_FA_GROSSPROFITMARGIN(B1239,E1239)</f>
        <v>34.283513017399997</v>
      </c>
      <c r="J1239" s="11">
        <f>[1]!EM_S_FA_NETPROFITMARGIN(B1239,E1239)</f>
        <v>16.625560019600002</v>
      </c>
      <c r="K1239" s="10">
        <f>[1]!EM_S_FA_ASSETSTURN(B1239,E1239)</f>
        <v>0.108012751553</v>
      </c>
      <c r="L1239" s="12">
        <f>[1]!EM_HKS_VAL_MV(B1239,"2019-12-31","2")</f>
        <v>9975682521.2000008</v>
      </c>
      <c r="M1239">
        <f>[1]!EM_S_VAL_PETTMDEDUCTED(B1239,E1239)</f>
        <v>13.2142741160495</v>
      </c>
      <c r="N1239" s="7">
        <f>[1]!EM_S_VAL_PBGOODWILLDEDUCTED(B1239,E1239)</f>
        <v>1.0277281569622101</v>
      </c>
      <c r="O1239" s="7">
        <f>[1]!EM_S_VAL_PS_TTM(B1239,E1239)</f>
        <v>3.0318825126551601</v>
      </c>
      <c r="P1239" s="7">
        <f>[1]!EM_S_VAL_PCF_NCFTTM(B1239,E1239)</f>
        <v>-4.7509766760597296</v>
      </c>
      <c r="Q1239" s="7">
        <f>[1]!EM_S_VAL_DIVIDENDYIELD2(B1239,E1239,"2019-11-29")</f>
        <v>0</v>
      </c>
      <c r="T1239"/>
      <c r="U1239">
        <f>[1]!EM_S_RATIO_EPS_TTM(B1239,E1239,"1")</f>
        <v>0.24883437657031082</v>
      </c>
      <c r="AT1239" s="4" t="str">
        <f>[1]!EM_S_IPO_LISTEDDATE(B1239)</f>
        <v>1999-06-11</v>
      </c>
    </row>
    <row r="1240" spans="1:46">
      <c r="A1240">
        <v>2447</v>
      </c>
      <c r="B1240" t="str">
        <f>"600321"</f>
        <v>600321</v>
      </c>
      <c r="C1240" t="s">
        <v>3032</v>
      </c>
      <c r="D1240" t="str">
        <f>[1]!EM_S_INFO_INDEX_EM(B1240,"1")</f>
        <v>建材</v>
      </c>
      <c r="E1240" s="4">
        <f t="shared" si="19"/>
        <v>43465</v>
      </c>
      <c r="F1240" s="11">
        <f>[1]!EM_S_PQ_PCTCHANGE(B1240,"2018-01-01","2019-12-31","3")</f>
        <v>-45.340050380000001</v>
      </c>
      <c r="G1240" s="11">
        <f>[1]!EM_S_PQ_PCTCHANGE(B1240,"2018-12-31","2019-12-30","1")</f>
        <v>20.903954800000001</v>
      </c>
      <c r="H1240" s="11">
        <f>[1]!EM_S_FA_YOY_OR(B1240,E1240)</f>
        <v>69.0417356281</v>
      </c>
      <c r="I1240" s="11">
        <f>[1]!EM_S_FA_GROSSPROFITMARGIN(B1240,E1240)</f>
        <v>8.0253382469000005</v>
      </c>
      <c r="J1240" s="11">
        <f>[1]!EM_S_FA_NETPROFITMARGIN(B1240,E1240)</f>
        <v>1.8454753752999999</v>
      </c>
      <c r="K1240" s="10">
        <f>[1]!EM_S_FA_ASSETSTURN(B1240,E1240)</f>
        <v>0.57817154148000005</v>
      </c>
      <c r="L1240" s="12">
        <f>[1]!EM_HKS_VAL_MV(B1240,"2019-12-31","2")</f>
        <v>3277893500</v>
      </c>
      <c r="M1240">
        <f>[1]!EM_S_VAL_PETTMDEDUCTED(B1240,E1240)</f>
        <v>128.43646419828201</v>
      </c>
      <c r="N1240" s="7">
        <f>[1]!EM_S_VAL_PBGOODWILLDEDUCTED(B1240,E1240)</f>
        <v>0.99368168585271199</v>
      </c>
      <c r="O1240" s="7">
        <f>[1]!EM_S_VAL_PS_TTM(B1240,E1240)</f>
        <v>1.34480299258953</v>
      </c>
      <c r="P1240" s="7">
        <f>[1]!EM_S_VAL_PCF_NCFTTM(B1240,E1240)</f>
        <v>2825.9155160734799</v>
      </c>
      <c r="Q1240" s="7">
        <f>[1]!EM_S_VAL_DIVIDENDYIELD2(B1240,E1240,"2019-11-29")</f>
        <v>0</v>
      </c>
      <c r="T1240"/>
      <c r="U1240">
        <f>[1]!EM_S_RATIO_EPS_TTM(B1240,E1240,"1")</f>
        <v>2.4056355804177285E-2</v>
      </c>
      <c r="AT1240" s="4" t="str">
        <f>[1]!EM_S_IPO_LISTEDDATE(B1240)</f>
        <v>2001-05-24</v>
      </c>
    </row>
    <row r="1241" spans="1:46">
      <c r="A1241">
        <v>811</v>
      </c>
      <c r="B1241" t="str">
        <f>"002300"</f>
        <v>002300</v>
      </c>
      <c r="C1241" t="s">
        <v>2293</v>
      </c>
      <c r="D1241" t="str">
        <f>[1]!EM_S_INFO_INDEX_EM(B1241,"1")</f>
        <v>电气设备</v>
      </c>
      <c r="E1241" s="4">
        <f t="shared" si="19"/>
        <v>43465</v>
      </c>
      <c r="F1241" s="11">
        <f>[1]!EM_S_PQ_PCTCHANGE(B1241,"2018-01-01","2019-12-31","3")</f>
        <v>-14.77767927</v>
      </c>
      <c r="G1241" s="11">
        <f>[1]!EM_S_PQ_PCTCHANGE(B1241,"2018-12-31","2019-12-30","1")</f>
        <v>20.887245839999999</v>
      </c>
      <c r="H1241" s="11">
        <f>[1]!EM_S_FA_YOY_OR(B1241,E1241)</f>
        <v>24.665570730500001</v>
      </c>
      <c r="I1241" s="11">
        <f>[1]!EM_S_FA_GROSSPROFITMARGIN(B1241,E1241)</f>
        <v>9.2367551477000003</v>
      </c>
      <c r="J1241" s="11">
        <f>[1]!EM_S_FA_NETPROFITMARGIN(B1241,E1241)</f>
        <v>2.3903080699000001</v>
      </c>
      <c r="K1241" s="10">
        <f>[1]!EM_S_FA_ASSETSTURN(B1241,E1241)</f>
        <v>1.4469045085459999</v>
      </c>
      <c r="L1241" s="12">
        <f>[1]!EM_HKS_VAL_MV(B1241,"2019-12-31","2")</f>
        <v>3975820200</v>
      </c>
      <c r="M1241">
        <f>[1]!EM_S_VAL_PETTMDEDUCTED(B1241,E1241)</f>
        <v>41.806768042383801</v>
      </c>
      <c r="N1241" s="7">
        <f>[1]!EM_S_VAL_PBGOODWILLDEDUCTED(B1241,E1241)</f>
        <v>2.1957875351611298</v>
      </c>
      <c r="O1241" s="7">
        <f>[1]!EM_S_VAL_PS_TTM(B1241,E1241)</f>
        <v>0.59646376181564398</v>
      </c>
      <c r="P1241" s="7">
        <f>[1]!EM_S_VAL_PCF_NCFTTM(B1241,E1241)</f>
        <v>75.548585637612007</v>
      </c>
      <c r="Q1241" s="7">
        <f>[1]!EM_S_VAL_DIVIDENDYIELD2(B1241,E1241,"2019-11-29")</f>
        <v>1.7152658662092626</v>
      </c>
      <c r="T1241"/>
      <c r="U1241">
        <f>[1]!EM_S_RATIO_EPS_TTM(B1241,E1241,"1")</f>
        <v>0.20793298374792704</v>
      </c>
      <c r="AT1241" s="4" t="str">
        <f>[1]!EM_S_IPO_LISTEDDATE(B1241)</f>
        <v>2009-10-21</v>
      </c>
    </row>
    <row r="1242" spans="1:46">
      <c r="A1242">
        <v>1322</v>
      </c>
      <c r="B1242" t="str">
        <f>"002819"</f>
        <v>002819</v>
      </c>
      <c r="C1242" t="s">
        <v>2089</v>
      </c>
      <c r="D1242" t="str">
        <f>[1]!EM_S_INFO_INDEX_EM(B1242,"1")</f>
        <v>电子设备</v>
      </c>
      <c r="E1242" s="4">
        <f t="shared" si="19"/>
        <v>43465</v>
      </c>
      <c r="F1242" s="11">
        <f>[1]!EM_S_PQ_PCTCHANGE(B1242,"2018-01-01","2019-12-31","3")</f>
        <v>27.226537400000002</v>
      </c>
      <c r="G1242" s="11">
        <f>[1]!EM_S_PQ_PCTCHANGE(B1242,"2018-12-31","2019-12-30","1")</f>
        <v>20.861244020000001</v>
      </c>
      <c r="H1242" s="11">
        <f>[1]!EM_S_FA_YOY_OR(B1242,E1242)</f>
        <v>18.099222541700001</v>
      </c>
      <c r="I1242" s="11">
        <f>[1]!EM_S_FA_GROSSPROFITMARGIN(B1242,E1242)</f>
        <v>18.393024885399999</v>
      </c>
      <c r="J1242" s="11">
        <f>[1]!EM_S_FA_NETPROFITMARGIN(B1242,E1242)</f>
        <v>6.0041905334000001</v>
      </c>
      <c r="K1242" s="10">
        <f>[1]!EM_S_FA_ASSETSTURN(B1242,E1242)</f>
        <v>1.2661330830690001</v>
      </c>
      <c r="L1242" s="12">
        <f>[1]!EM_HKS_VAL_MV(B1242,"2019-12-31","2")</f>
        <v>3995169664.96</v>
      </c>
      <c r="M1242">
        <f>[1]!EM_S_VAL_PETTMDEDUCTED(B1242,E1242)</f>
        <v>82.608413854092902</v>
      </c>
      <c r="N1242" s="7">
        <f>[1]!EM_S_VAL_PBGOODWILLDEDUCTED(B1242,E1242)</f>
        <v>5.0201763447466003</v>
      </c>
      <c r="O1242" s="7">
        <f>[1]!EM_S_VAL_PS_TTM(B1242,E1242)</f>
        <v>2.9381948908851401</v>
      </c>
      <c r="P1242" s="7">
        <f>[1]!EM_S_VAL_PCF_NCFTTM(B1242,E1242)</f>
        <v>-138.758176093407</v>
      </c>
      <c r="Q1242" s="7">
        <f>[1]!EM_S_VAL_DIVIDENDYIELD2(B1242,E1242,"2019-11-29")</f>
        <v>0.12596845074174615</v>
      </c>
      <c r="T1242"/>
      <c r="U1242">
        <f>[1]!EM_S_RATIO_EPS_TTM(B1242,E1242,"1")</f>
        <v>0.41123287810958375</v>
      </c>
      <c r="AT1242" s="4" t="str">
        <f>[1]!EM_S_IPO_LISTEDDATE(B1242)</f>
        <v>2016-11-11</v>
      </c>
    </row>
    <row r="1243" spans="1:46">
      <c r="A1243">
        <v>3300</v>
      </c>
      <c r="B1243" t="str">
        <f>"603178"</f>
        <v>603178</v>
      </c>
      <c r="C1243" t="s">
        <v>1052</v>
      </c>
      <c r="D1243" t="str">
        <f>[1]!EM_S_INFO_INDEX_EM(B1243,"1")</f>
        <v>交运设备</v>
      </c>
      <c r="E1243" s="4">
        <f t="shared" si="19"/>
        <v>43465</v>
      </c>
      <c r="F1243" s="11">
        <f>[1]!EM_S_PQ_PCTCHANGE(B1243,"2018-01-01","2019-12-31","3")</f>
        <v>-18.60874888</v>
      </c>
      <c r="G1243" s="11">
        <f>[1]!EM_S_PQ_PCTCHANGE(B1243,"2018-12-31","2019-12-30","1")</f>
        <v>20.812182740000001</v>
      </c>
      <c r="H1243" s="11">
        <f>[1]!EM_S_FA_YOY_OR(B1243,E1243)</f>
        <v>-16.807356165600002</v>
      </c>
      <c r="I1243" s="11">
        <f>[1]!EM_S_FA_GROSSPROFITMARGIN(B1243,E1243)</f>
        <v>18.6033510394</v>
      </c>
      <c r="J1243" s="11">
        <f>[1]!EM_S_FA_NETPROFITMARGIN(B1243,E1243)</f>
        <v>2.7491691040999999</v>
      </c>
      <c r="K1243" s="10">
        <f>[1]!EM_S_FA_ASSETSTURN(B1243,E1243)</f>
        <v>0.62390438756699995</v>
      </c>
      <c r="L1243" s="12">
        <f>[1]!EM_HKS_VAL_MV(B1243,"2019-12-31","2")</f>
        <v>2412009510</v>
      </c>
      <c r="M1243">
        <f>[1]!EM_S_VAL_PETTMDEDUCTED(B1243,E1243)</f>
        <v>33.744495238169399</v>
      </c>
      <c r="N1243" s="7">
        <f>[1]!EM_S_VAL_PBGOODWILLDEDUCTED(B1243,E1243)</f>
        <v>2.3740459933142199</v>
      </c>
      <c r="O1243" s="7">
        <f>[1]!EM_S_VAL_PS_TTM(B1243,E1243)</f>
        <v>1.3394790187549299</v>
      </c>
      <c r="P1243" s="7">
        <f>[1]!EM_S_VAL_PCF_NCFTTM(B1243,E1243)</f>
        <v>63.872632434104901</v>
      </c>
      <c r="Q1243" s="7">
        <f>[1]!EM_S_VAL_DIVIDENDYIELD2(B1243,E1243,"2019-11-29")</f>
        <v>0.5614006929885289</v>
      </c>
      <c r="T1243"/>
      <c r="U1243">
        <f>[1]!EM_S_RATIO_EPS_TTM(B1243,E1243,"1")</f>
        <v>0.18763625436740317</v>
      </c>
      <c r="AT1243" s="4" t="str">
        <f>[1]!EM_S_IPO_LISTEDDATE(B1243)</f>
        <v>2017-03-28</v>
      </c>
    </row>
    <row r="1244" spans="1:46">
      <c r="A1244">
        <v>1895</v>
      </c>
      <c r="B1244" t="str">
        <f>"300470"</f>
        <v>300470</v>
      </c>
      <c r="C1244" t="s">
        <v>784</v>
      </c>
      <c r="D1244" t="str">
        <f>[1]!EM_S_INFO_INDEX_EM(B1244,"1")</f>
        <v>机械设备</v>
      </c>
      <c r="E1244" s="4">
        <f t="shared" si="19"/>
        <v>43465</v>
      </c>
      <c r="F1244" s="11">
        <f>[1]!EM_S_PQ_PCTCHANGE(B1244,"2018-01-01","2019-12-31","3")</f>
        <v>27.297484959999998</v>
      </c>
      <c r="G1244" s="11">
        <f>[1]!EM_S_PQ_PCTCHANGE(B1244,"2018-12-31","2019-12-30","1")</f>
        <v>20.808988759999998</v>
      </c>
      <c r="H1244" s="11">
        <f>[1]!EM_S_FA_YOY_OR(B1244,E1244)</f>
        <v>42.087444134599998</v>
      </c>
      <c r="I1244" s="11">
        <f>[1]!EM_S_FA_GROSSPROFITMARGIN(B1244,E1244)</f>
        <v>53.334126066400003</v>
      </c>
      <c r="J1244" s="11">
        <f>[1]!EM_S_FA_NETPROFITMARGIN(B1244,E1244)</f>
        <v>24.258471193599998</v>
      </c>
      <c r="K1244" s="10">
        <f>[1]!EM_S_FA_ASSETSTURN(B1244,E1244)</f>
        <v>0.51467604384999999</v>
      </c>
      <c r="L1244" s="12">
        <f>[1]!EM_HKS_VAL_MV(B1244,"2019-12-31","2")</f>
        <v>5316106642</v>
      </c>
      <c r="M1244">
        <f>[1]!EM_S_VAL_PETTMDEDUCTED(B1244,E1244)</f>
        <v>26.262249034609201</v>
      </c>
      <c r="N1244" s="7">
        <f>[1]!EM_S_VAL_PBGOODWILLDEDUCTED(B1244,E1244)</f>
        <v>4.1020634703801502</v>
      </c>
      <c r="O1244" s="7">
        <f>[1]!EM_S_VAL_PS_TTM(B1244,E1244)</f>
        <v>6.5367484217164904</v>
      </c>
      <c r="P1244" s="7">
        <f>[1]!EM_S_VAL_PCF_NCFTTM(B1244,E1244)</f>
        <v>-17.717600447131399</v>
      </c>
      <c r="Q1244" s="7">
        <f>[1]!EM_S_VAL_DIVIDENDYIELD2(B1244,E1244,"2019-11-29")</f>
        <v>0.69958847736625507</v>
      </c>
      <c r="T1244"/>
      <c r="U1244">
        <f>[1]!EM_S_RATIO_EPS_TTM(B1244,E1244,"1")</f>
        <v>0.88765425889472149</v>
      </c>
      <c r="AT1244" s="4" t="str">
        <f>[1]!EM_S_IPO_LISTEDDATE(B1244)</f>
        <v>2015-06-12</v>
      </c>
    </row>
    <row r="1245" spans="1:46">
      <c r="A1245">
        <v>2979</v>
      </c>
      <c r="B1245" t="str">
        <f>"600919"</f>
        <v>600919</v>
      </c>
      <c r="C1245" t="s">
        <v>603</v>
      </c>
      <c r="D1245" t="str">
        <f>[1]!EM_S_INFO_INDEX_EM(B1245,"1")</f>
        <v>金融</v>
      </c>
      <c r="E1245" s="4">
        <f t="shared" si="19"/>
        <v>43465</v>
      </c>
      <c r="F1245" s="11">
        <f>[1]!EM_S_PQ_PCTCHANGE(B1245,"2018-01-01","2019-12-31","3")</f>
        <v>6.3604567699999999</v>
      </c>
      <c r="G1245" s="11">
        <f>[1]!EM_S_PQ_PCTCHANGE(B1245,"2018-12-31","2019-12-30","1")</f>
        <v>20.77051926</v>
      </c>
      <c r="H1245" s="11">
        <f>[1]!EM_S_FA_YOY_OR(B1245,E1245)</f>
        <v>4.0922260273999997</v>
      </c>
      <c r="I1245" s="11">
        <f>[1]!EM_S_FA_GROSSPROFITMARGIN(B1245,E1245)</f>
        <v>0</v>
      </c>
      <c r="J1245" s="11">
        <f>[1]!EM_S_FA_NETPROFITMARGIN(B1245,E1245)</f>
        <v>37.6519206173</v>
      </c>
      <c r="K1245" s="10">
        <f>[1]!EM_S_FA_ASSETSTURN(B1245,E1245)</f>
        <v>0</v>
      </c>
      <c r="L1245" s="12">
        <f>[1]!EM_HKS_VAL_MV(B1245,"2019-12-31","2")</f>
        <v>83582179862.440002</v>
      </c>
      <c r="M1245">
        <f>[1]!EM_S_VAL_PETTMDEDUCTED(B1245,E1245)</f>
        <v>5.3660755502358803</v>
      </c>
      <c r="N1245" s="7">
        <f>[1]!EM_S_VAL_PBGOODWILLDEDUCTED(B1245,E1245)</f>
        <v>0.67143321802123401</v>
      </c>
      <c r="O1245" s="7">
        <f>[1]!EM_S_VAL_PS_TTM(B1245,E1245)</f>
        <v>2.0109670797802899</v>
      </c>
      <c r="P1245" s="7">
        <f>[1]!EM_S_VAL_PCF_NCFTTM(B1245,E1245)</f>
        <v>-1.16727428288085</v>
      </c>
      <c r="Q1245" s="7">
        <f>[1]!EM_S_VAL_DIVIDENDYIELD2(B1245,E1245,"2019-11-29")</f>
        <v>4.9275233642249772</v>
      </c>
      <c r="T1245"/>
      <c r="U1245">
        <f>[1]!EM_S_RATIO_EPS_TTM(B1245,E1245,"1")</f>
        <v>1.1317070107280989</v>
      </c>
      <c r="AT1245" s="4" t="str">
        <f>[1]!EM_S_IPO_LISTEDDATE(B1245)</f>
        <v>2016-08-02</v>
      </c>
    </row>
    <row r="1246" spans="1:46">
      <c r="A1246">
        <v>3009</v>
      </c>
      <c r="B1246" t="str">
        <f>"600986"</f>
        <v>600986</v>
      </c>
      <c r="C1246" t="s">
        <v>1837</v>
      </c>
      <c r="D1246" t="str">
        <f>[1]!EM_S_INFO_INDEX_EM(B1246,"1")</f>
        <v>互联网</v>
      </c>
      <c r="E1246" s="4">
        <f t="shared" si="19"/>
        <v>43465</v>
      </c>
      <c r="F1246" s="11">
        <f>[1]!EM_S_PQ_PCTCHANGE(B1246,"2018-01-01","2019-12-31","3")</f>
        <v>-36.067323610000003</v>
      </c>
      <c r="G1246" s="11">
        <f>[1]!EM_S_PQ_PCTCHANGE(B1246,"2018-12-31","2019-12-30","1")</f>
        <v>20.763723150000001</v>
      </c>
      <c r="H1246" s="11">
        <f>[1]!EM_S_FA_YOY_OR(B1246,E1246)</f>
        <v>50.051182350099999</v>
      </c>
      <c r="I1246" s="11">
        <f>[1]!EM_S_FA_GROSSPROFITMARGIN(B1246,E1246)</f>
        <v>10.0349412971</v>
      </c>
      <c r="J1246" s="11">
        <f>[1]!EM_S_FA_NETPROFITMARGIN(B1246,E1246)</f>
        <v>2.0141039924999999</v>
      </c>
      <c r="K1246" s="10">
        <f>[1]!EM_S_FA_ASSETSTURN(B1246,E1246)</f>
        <v>1.3557912427130001</v>
      </c>
      <c r="L1246" s="12">
        <f>[1]!EM_HKS_VAL_MV(B1246,"2019-12-31","2")</f>
        <v>6572954110.5600004</v>
      </c>
      <c r="M1246">
        <f>[1]!EM_S_VAL_PETTMDEDUCTED(B1246,E1246)</f>
        <v>14.2494045148414</v>
      </c>
      <c r="N1246" s="7">
        <f>[1]!EM_S_VAL_PBGOODWILLDEDUCTED(B1246,E1246)</f>
        <v>2.3110405784082602</v>
      </c>
      <c r="O1246" s="7">
        <f>[1]!EM_S_VAL_PS_TTM(B1246,E1246)</f>
        <v>0.40990247201028701</v>
      </c>
      <c r="P1246" s="7">
        <f>[1]!EM_S_VAL_PCF_NCFTTM(B1246,E1246)</f>
        <v>21.5813023287124</v>
      </c>
      <c r="Q1246" s="7">
        <f>[1]!EM_S_VAL_DIVIDENDYIELD2(B1246,E1246,"2019-11-29")</f>
        <v>0.2088283615438675</v>
      </c>
      <c r="T1246"/>
      <c r="U1246">
        <f>[1]!EM_S_RATIO_EPS_TTM(B1246,E1246,"1")</f>
        <v>0.19830969948546509</v>
      </c>
      <c r="AT1246" s="4" t="str">
        <f>[1]!EM_S_IPO_LISTEDDATE(B1246)</f>
        <v>2004-04-26</v>
      </c>
    </row>
    <row r="1247" spans="1:46">
      <c r="A1247">
        <v>3485</v>
      </c>
      <c r="B1247" t="str">
        <f>"603667"</f>
        <v>603667</v>
      </c>
      <c r="C1247" t="s">
        <v>1502</v>
      </c>
      <c r="D1247" t="str">
        <f>[1]!EM_S_INFO_INDEX_EM(B1247,"1")</f>
        <v>机械设备</v>
      </c>
      <c r="E1247" s="4">
        <f t="shared" si="19"/>
        <v>43465</v>
      </c>
      <c r="F1247" s="11">
        <f>[1]!EM_S_PQ_PCTCHANGE(B1247,"2018-01-01","2019-12-31","3")</f>
        <v>-41.936918060000004</v>
      </c>
      <c r="G1247" s="11">
        <f>[1]!EM_S_PQ_PCTCHANGE(B1247,"2018-12-31","2019-12-30","1")</f>
        <v>20.754716980000001</v>
      </c>
      <c r="H1247" s="11">
        <f>[1]!EM_S_FA_YOY_OR(B1247,E1247)</f>
        <v>19.877837956099999</v>
      </c>
      <c r="I1247" s="11">
        <f>[1]!EM_S_FA_GROSSPROFITMARGIN(B1247,E1247)</f>
        <v>22.9106203284</v>
      </c>
      <c r="J1247" s="11">
        <f>[1]!EM_S_FA_NETPROFITMARGIN(B1247,E1247)</f>
        <v>7.4313746050000002</v>
      </c>
      <c r="K1247" s="10">
        <f>[1]!EM_S_FA_ASSETSTURN(B1247,E1247)</f>
        <v>0.58590883475900002</v>
      </c>
      <c r="L1247" s="12">
        <f>[1]!EM_HKS_VAL_MV(B1247,"2019-12-31","2")</f>
        <v>2791700722.6500001</v>
      </c>
      <c r="M1247">
        <f>[1]!EM_S_VAL_PETTMDEDUCTED(B1247,E1247)</f>
        <v>22.569536955113598</v>
      </c>
      <c r="N1247" s="7">
        <f>[1]!EM_S_VAL_PBGOODWILLDEDUCTED(B1247,E1247)</f>
        <v>1.64657507261105</v>
      </c>
      <c r="O1247" s="7">
        <f>[1]!EM_S_VAL_PS_TTM(B1247,E1247)</f>
        <v>1.62650634058829</v>
      </c>
      <c r="P1247" s="7">
        <f>[1]!EM_S_VAL_PCF_NCFTTM(B1247,E1247)</f>
        <v>-51.6145396870578</v>
      </c>
      <c r="Q1247" s="7">
        <f>[1]!EM_S_VAL_DIVIDENDYIELD2(B1247,E1247,"2019-11-29")</f>
        <v>2.0176544766708702</v>
      </c>
      <c r="T1247"/>
      <c r="U1247">
        <f>[1]!EM_S_RATIO_EPS_TTM(B1247,E1247,"1")</f>
        <v>0.38868678998175737</v>
      </c>
      <c r="AT1247" s="4" t="str">
        <f>[1]!EM_S_IPO_LISTEDDATE(B1247)</f>
        <v>2016-10-25</v>
      </c>
    </row>
    <row r="1248" spans="1:46">
      <c r="A1248">
        <v>2941</v>
      </c>
      <c r="B1248" t="str">
        <f>"600868"</f>
        <v>600868</v>
      </c>
      <c r="C1248" t="s">
        <v>3048</v>
      </c>
      <c r="D1248" t="str">
        <f>[1]!EM_S_INFO_INDEX_EM(B1248,"1")</f>
        <v>公用事业</v>
      </c>
      <c r="E1248" s="4">
        <f t="shared" si="19"/>
        <v>43465</v>
      </c>
      <c r="F1248" s="11">
        <f>[1]!EM_S_PQ_PCTCHANGE(B1248,"2018-01-01","2019-12-31","3")</f>
        <v>-13.549459880000001</v>
      </c>
      <c r="G1248" s="11">
        <f>[1]!EM_S_PQ_PCTCHANGE(B1248,"2018-12-31","2019-12-30","1")</f>
        <v>20.701754390000001</v>
      </c>
      <c r="H1248" s="11">
        <f>[1]!EM_S_FA_YOY_OR(B1248,E1248)</f>
        <v>-8.1899505625</v>
      </c>
      <c r="I1248" s="11">
        <f>[1]!EM_S_FA_GROSSPROFITMARGIN(B1248,E1248)</f>
        <v>32.9021662595</v>
      </c>
      <c r="J1248" s="11">
        <f>[1]!EM_S_FA_NETPROFITMARGIN(B1248,E1248)</f>
        <v>11.970611809799999</v>
      </c>
      <c r="K1248" s="10">
        <f>[1]!EM_S_FA_ASSETSTURN(B1248,E1248)</f>
        <v>9.3835265057000003E-2</v>
      </c>
      <c r="L1248" s="12">
        <f>[1]!EM_HKS_VAL_MV(B1248,"2019-12-31","2")</f>
        <v>6548612942.5500002</v>
      </c>
      <c r="M1248">
        <f>[1]!EM_S_VAL_PETTMDEDUCTED(B1248,E1248)</f>
        <v>1312.2884977834401</v>
      </c>
      <c r="N1248" s="7">
        <f>[1]!EM_S_VAL_PBGOODWILLDEDUCTED(B1248,E1248)</f>
        <v>2.3647476609209899</v>
      </c>
      <c r="O1248" s="7">
        <f>[1]!EM_S_VAL_PS_TTM(B1248,E1248)</f>
        <v>24.227145190148601</v>
      </c>
      <c r="P1248" s="7">
        <f>[1]!EM_S_VAL_PCF_NCFTTM(B1248,E1248)</f>
        <v>275.15269921833402</v>
      </c>
      <c r="Q1248" s="7">
        <f>[1]!EM_S_VAL_DIVIDENDYIELD2(B1248,E1248,"2019-11-29")</f>
        <v>0.11730205278592376</v>
      </c>
      <c r="T1248"/>
      <c r="U1248">
        <f>[1]!EM_S_RATIO_EPS_TTM(B1248,E1248,"1")</f>
        <v>1.1533945871686904E-2</v>
      </c>
      <c r="AT1248" s="4" t="str">
        <f>[1]!EM_S_IPO_LISTEDDATE(B1248)</f>
        <v>1994-09-12</v>
      </c>
    </row>
    <row r="1249" spans="1:46">
      <c r="A1249">
        <v>1327</v>
      </c>
      <c r="B1249" t="str">
        <f>"002824"</f>
        <v>002824</v>
      </c>
      <c r="C1249" t="s">
        <v>2172</v>
      </c>
      <c r="D1249" t="str">
        <f>[1]!EM_S_INFO_INDEX_EM(B1249,"1")</f>
        <v>有色金属</v>
      </c>
      <c r="E1249" s="4">
        <f t="shared" si="19"/>
        <v>43465</v>
      </c>
      <c r="F1249" s="11">
        <f>[1]!EM_S_PQ_PCTCHANGE(B1249,"2018-01-01","2019-12-31","3")</f>
        <v>-45.99011041</v>
      </c>
      <c r="G1249" s="11">
        <f>[1]!EM_S_PQ_PCTCHANGE(B1249,"2018-12-31","2019-12-30","1")</f>
        <v>20.700985759999998</v>
      </c>
      <c r="H1249" s="11">
        <f>[1]!EM_S_FA_YOY_OR(B1249,E1249)</f>
        <v>26.590091248299998</v>
      </c>
      <c r="I1249" s="11">
        <f>[1]!EM_S_FA_GROSSPROFITMARGIN(B1249,E1249)</f>
        <v>14.8894278814</v>
      </c>
      <c r="J1249" s="11">
        <f>[1]!EM_S_FA_NETPROFITMARGIN(B1249,E1249)</f>
        <v>1.7925482732</v>
      </c>
      <c r="K1249" s="10">
        <f>[1]!EM_S_FA_ASSETSTURN(B1249,E1249)</f>
        <v>1.059961627983</v>
      </c>
      <c r="L1249" s="12">
        <f>[1]!EM_HKS_VAL_MV(B1249,"2019-12-31","2")</f>
        <v>1994056728</v>
      </c>
      <c r="M1249">
        <f>[1]!EM_S_VAL_PETTMDEDUCTED(B1249,E1249)</f>
        <v>44.977672284720398</v>
      </c>
      <c r="N1249" s="7">
        <f>[1]!EM_S_VAL_PBGOODWILLDEDUCTED(B1249,E1249)</f>
        <v>2.2609110553298502</v>
      </c>
      <c r="O1249" s="7">
        <f>[1]!EM_S_VAL_PS_TTM(B1249,E1249)</f>
        <v>1.6933970265064899</v>
      </c>
      <c r="P1249" s="7">
        <f>[1]!EM_S_VAL_PCF_NCFTTM(B1249,E1249)</f>
        <v>94.5806652620753</v>
      </c>
      <c r="Q1249" s="7">
        <f>[1]!EM_S_VAL_DIVIDENDYIELD2(B1249,E1249,"2019-11-29")</f>
        <v>0.21234443052279625</v>
      </c>
      <c r="T1249"/>
      <c r="U1249">
        <f>[1]!EM_S_RATIO_EPS_TTM(B1249,E1249,"1")</f>
        <v>0.10202112517433809</v>
      </c>
      <c r="AT1249" s="4" t="str">
        <f>[1]!EM_S_IPO_LISTEDDATE(B1249)</f>
        <v>2017-01-12</v>
      </c>
    </row>
    <row r="1250" spans="1:46">
      <c r="A1250">
        <v>966</v>
      </c>
      <c r="B1250" t="str">
        <f>"002455"</f>
        <v>002455</v>
      </c>
      <c r="C1250" t="s">
        <v>1560</v>
      </c>
      <c r="D1250" t="str">
        <f>[1]!EM_S_INFO_INDEX_EM(B1250,"1")</f>
        <v>基础化工</v>
      </c>
      <c r="E1250" s="4">
        <f t="shared" si="19"/>
        <v>43465</v>
      </c>
      <c r="F1250" s="11">
        <f>[1]!EM_S_PQ_PCTCHANGE(B1250,"2018-01-01","2019-12-31","3")</f>
        <v>-32.10511486</v>
      </c>
      <c r="G1250" s="11">
        <f>[1]!EM_S_PQ_PCTCHANGE(B1250,"2018-12-31","2019-12-30","1")</f>
        <v>20.67594433</v>
      </c>
      <c r="H1250" s="11">
        <f>[1]!EM_S_FA_YOY_OR(B1250,E1250)</f>
        <v>22.834907641099999</v>
      </c>
      <c r="I1250" s="11">
        <f>[1]!EM_S_FA_GROSSPROFITMARGIN(B1250,E1250)</f>
        <v>10.923622376599999</v>
      </c>
      <c r="J1250" s="11">
        <f>[1]!EM_S_FA_NETPROFITMARGIN(B1250,E1250)</f>
        <v>3.4953968005</v>
      </c>
      <c r="K1250" s="10">
        <f>[1]!EM_S_FA_ASSETSTURN(B1250,E1250)</f>
        <v>1.1117265634889999</v>
      </c>
      <c r="L1250" s="12">
        <f>[1]!EM_HKS_VAL_MV(B1250,"2019-12-31","2")</f>
        <v>3272465308.8600001</v>
      </c>
      <c r="M1250">
        <f>[1]!EM_S_VAL_PETTMDEDUCTED(B1250,E1250)</f>
        <v>28.596909209412601</v>
      </c>
      <c r="N1250" s="7">
        <f>[1]!EM_S_VAL_PBGOODWILLDEDUCTED(B1250,E1250)</f>
        <v>1.9388956940375801</v>
      </c>
      <c r="O1250" s="7">
        <f>[1]!EM_S_VAL_PS_TTM(B1250,E1250)</f>
        <v>0.87062384182822306</v>
      </c>
      <c r="P1250" s="7">
        <f>[1]!EM_S_VAL_PCF_NCFTTM(B1250,E1250)</f>
        <v>-6.7297135475889096</v>
      </c>
      <c r="Q1250" s="7">
        <f>[1]!EM_S_VAL_DIVIDENDYIELD2(B1250,E1250,"2019-11-29")</f>
        <v>1.834862385321101</v>
      </c>
      <c r="T1250"/>
      <c r="U1250">
        <f>[1]!EM_S_RATIO_EPS_TTM(B1250,E1250,"1")</f>
        <v>0.2046808216135792</v>
      </c>
      <c r="AT1250" s="4" t="str">
        <f>[1]!EM_S_IPO_LISTEDDATE(B1250)</f>
        <v>2010-08-03</v>
      </c>
    </row>
    <row r="1251" spans="1:46">
      <c r="A1251">
        <v>3577</v>
      </c>
      <c r="B1251" t="str">
        <f>"603879"</f>
        <v>603879</v>
      </c>
      <c r="C1251" t="s">
        <v>1506</v>
      </c>
      <c r="D1251" t="str">
        <f>[1]!EM_S_INFO_INDEX_EM(B1251,"1")</f>
        <v>基础化工</v>
      </c>
      <c r="E1251" s="4">
        <f t="shared" si="19"/>
        <v>43465</v>
      </c>
      <c r="F1251" s="11">
        <f>[1]!EM_S_PQ_PCTCHANGE(B1251,"2018-01-01","2019-12-31","3")</f>
        <v>-3.6028164299999998</v>
      </c>
      <c r="G1251" s="11">
        <f>[1]!EM_S_PQ_PCTCHANGE(B1251,"2018-12-31","2019-12-30","1")</f>
        <v>20.636550310000001</v>
      </c>
      <c r="H1251" s="11">
        <f>[1]!EM_S_FA_YOY_OR(B1251,E1251)</f>
        <v>8.7807189773999994</v>
      </c>
      <c r="I1251" s="11">
        <f>[1]!EM_S_FA_GROSSPROFITMARGIN(B1251,E1251)</f>
        <v>15.8917007968</v>
      </c>
      <c r="J1251" s="11">
        <f>[1]!EM_S_FA_NETPROFITMARGIN(B1251,E1251)</f>
        <v>6.1495053101000003</v>
      </c>
      <c r="K1251" s="10">
        <f>[1]!EM_S_FA_ASSETSTURN(B1251,E1251)</f>
        <v>1.035956875416</v>
      </c>
      <c r="L1251" s="12">
        <f>[1]!EM_HKS_VAL_MV(B1251,"2019-12-31","2")</f>
        <v>2445026400</v>
      </c>
      <c r="M1251">
        <f>[1]!EM_S_VAL_PETTMDEDUCTED(B1251,E1251)</f>
        <v>42.096014679594902</v>
      </c>
      <c r="N1251" s="7">
        <f>[1]!EM_S_VAL_PBGOODWILLDEDUCTED(B1251,E1251)</f>
        <v>2.61366209599348</v>
      </c>
      <c r="O1251" s="7">
        <f>[1]!EM_S_VAL_PS_TTM(B1251,E1251)</f>
        <v>2.3499524535552299</v>
      </c>
      <c r="P1251" s="7">
        <f>[1]!EM_S_VAL_PCF_NCFTTM(B1251,E1251)</f>
        <v>-323187.63436803099</v>
      </c>
      <c r="Q1251" s="7">
        <f>[1]!EM_S_VAL_DIVIDENDYIELD2(B1251,E1251,"2019-11-29")</f>
        <v>0.43061977258354633</v>
      </c>
      <c r="T1251"/>
      <c r="U1251">
        <f>[1]!EM_S_RATIO_EPS_TTM(B1251,E1251,"1")</f>
        <v>0.25982811729166666</v>
      </c>
      <c r="AT1251" s="4" t="str">
        <f>[1]!EM_S_IPO_LISTEDDATE(B1251)</f>
        <v>2017-06-14</v>
      </c>
    </row>
    <row r="1252" spans="1:46">
      <c r="A1252">
        <v>2467</v>
      </c>
      <c r="B1252" t="str">
        <f>"600346"</f>
        <v>600346</v>
      </c>
      <c r="C1252" t="s">
        <v>229</v>
      </c>
      <c r="D1252" t="str">
        <f>[1]!EM_S_INFO_INDEX_EM(B1252,"1")</f>
        <v>基础化工</v>
      </c>
      <c r="E1252" s="4">
        <f t="shared" si="19"/>
        <v>43465</v>
      </c>
      <c r="F1252" s="11">
        <f>[1]!EM_S_PQ_PCTCHANGE(B1252,"2018-01-01","2019-12-31","3")</f>
        <v>87.434932349999997</v>
      </c>
      <c r="G1252" s="11">
        <f>[1]!EM_S_PQ_PCTCHANGE(B1252,"2018-12-31","2019-12-30","1")</f>
        <v>20.603773579999999</v>
      </c>
      <c r="H1252" s="11">
        <f>[1]!EM_S_FA_YOY_OR(B1252,E1252)</f>
        <v>26.509018725000001</v>
      </c>
      <c r="I1252" s="11">
        <f>[1]!EM_S_FA_GROSSPROFITMARGIN(B1252,E1252)</f>
        <v>12.742401324199999</v>
      </c>
      <c r="J1252" s="11">
        <f>[1]!EM_S_FA_NETPROFITMARGIN(B1252,E1252)</f>
        <v>5.6644282617000004</v>
      </c>
      <c r="K1252" s="10">
        <f>[1]!EM_S_FA_ASSETSTURN(B1252,E1252)</f>
        <v>0.82893307622599999</v>
      </c>
      <c r="L1252" s="12">
        <f>[1]!EM_HKS_VAL_MV(B1252,"2019-12-31","2")</f>
        <v>113188724558.88</v>
      </c>
      <c r="M1252">
        <f>[1]!EM_S_VAL_PETTMDEDUCTED(B1252,E1252)</f>
        <v>17.686843049554898</v>
      </c>
      <c r="N1252" s="7">
        <f>[1]!EM_S_VAL_PBGOODWILLDEDUCTED(B1252,E1252)</f>
        <v>2.42678914692037</v>
      </c>
      <c r="O1252" s="7">
        <f>[1]!EM_S_VAL_PS_TTM(B1252,E1252)</f>
        <v>1.99769985547033</v>
      </c>
      <c r="P1252" s="7">
        <f>[1]!EM_S_VAL_PCF_NCFTTM(B1252,E1252)</f>
        <v>5.6936663269238403</v>
      </c>
      <c r="Q1252" s="7">
        <f>[1]!EM_S_VAL_DIVIDENDYIELD2(B1252,E1252,"2019-11-29")</f>
        <v>1.5348915821048688</v>
      </c>
      <c r="T1252"/>
      <c r="U1252">
        <f>[1]!EM_S_RATIO_EPS_TTM(B1252,E1252,"1")</f>
        <v>0.65757945795262807</v>
      </c>
      <c r="AT1252" s="4" t="str">
        <f>[1]!EM_S_IPO_LISTEDDATE(B1252)</f>
        <v>2001-08-20</v>
      </c>
    </row>
    <row r="1253" spans="1:46">
      <c r="A1253">
        <v>1718</v>
      </c>
      <c r="B1253" t="str">
        <f>"300293"</f>
        <v>300293</v>
      </c>
      <c r="C1253" t="s">
        <v>2004</v>
      </c>
      <c r="D1253" t="str">
        <f>[1]!EM_S_INFO_INDEX_EM(B1253,"1")</f>
        <v>机械设备</v>
      </c>
      <c r="E1253" s="4">
        <f t="shared" si="19"/>
        <v>43465</v>
      </c>
      <c r="F1253" s="11">
        <f>[1]!EM_S_PQ_PCTCHANGE(B1253,"2018-01-01","2019-12-31","3")</f>
        <v>-27.2660619</v>
      </c>
      <c r="G1253" s="11">
        <f>[1]!EM_S_PQ_PCTCHANGE(B1253,"2018-12-31","2019-12-30","1")</f>
        <v>20.58823529</v>
      </c>
      <c r="H1253" s="11">
        <f>[1]!EM_S_FA_YOY_OR(B1253,E1253)</f>
        <v>28.090241560900001</v>
      </c>
      <c r="I1253" s="11">
        <f>[1]!EM_S_FA_GROSSPROFITMARGIN(B1253,E1253)</f>
        <v>25.598220794500001</v>
      </c>
      <c r="J1253" s="11">
        <f>[1]!EM_S_FA_NETPROFITMARGIN(B1253,E1253)</f>
        <v>1.3147894687999999</v>
      </c>
      <c r="K1253" s="10">
        <f>[1]!EM_S_FA_ASSETSTURN(B1253,E1253)</f>
        <v>0.70767510524400001</v>
      </c>
      <c r="L1253" s="12">
        <f>[1]!EM_HKS_VAL_MV(B1253,"2019-12-31","2")</f>
        <v>2162700000</v>
      </c>
      <c r="M1253">
        <f>[1]!EM_S_VAL_PETTMDEDUCTED(B1253,E1253)</f>
        <v>-582.01991921329</v>
      </c>
      <c r="N1253" s="7">
        <f>[1]!EM_S_VAL_PBGOODWILLDEDUCTED(B1253,E1253)</f>
        <v>3.8639725419322701</v>
      </c>
      <c r="O1253" s="7">
        <f>[1]!EM_S_VAL_PS_TTM(B1253,E1253)</f>
        <v>1.0807069685823301</v>
      </c>
      <c r="P1253" s="7">
        <f>[1]!EM_S_VAL_PCF_NCFTTM(B1253,E1253)</f>
        <v>15.7399274598764</v>
      </c>
      <c r="Q1253" s="7">
        <f>[1]!EM_S_VAL_DIVIDENDYIELD2(B1253,E1253,"2019-11-29")</f>
        <v>0.26737967914438499</v>
      </c>
      <c r="T1253"/>
      <c r="U1253">
        <f>[1]!EM_S_RATIO_EPS_TTM(B1253,E1253,"1")</f>
        <v>5.9856465592592598E-2</v>
      </c>
      <c r="AT1253" s="4" t="str">
        <f>[1]!EM_S_IPO_LISTEDDATE(B1253)</f>
        <v>2012-03-08</v>
      </c>
    </row>
    <row r="1254" spans="1:46">
      <c r="A1254">
        <v>2819</v>
      </c>
      <c r="B1254" t="str">
        <f>"600746"</f>
        <v>600746</v>
      </c>
      <c r="C1254" t="s">
        <v>3331</v>
      </c>
      <c r="D1254" t="str">
        <f>[1]!EM_S_INFO_INDEX_EM(B1254,"1")</f>
        <v>基础化工</v>
      </c>
      <c r="E1254" s="4">
        <f t="shared" si="19"/>
        <v>43465</v>
      </c>
      <c r="F1254" s="11">
        <f>[1]!EM_S_PQ_PCTCHANGE(B1254,"2018-01-01","2019-12-31","3")</f>
        <v>-9.9489821599999999</v>
      </c>
      <c r="G1254" s="11">
        <f>[1]!EM_S_PQ_PCTCHANGE(B1254,"2018-12-31","2019-12-30","1")</f>
        <v>20.557491290000002</v>
      </c>
      <c r="H1254" s="11">
        <f>[1]!EM_S_FA_YOY_OR(B1254,E1254)</f>
        <v>-38.978129139499998</v>
      </c>
      <c r="I1254" s="11">
        <f>[1]!EM_S_FA_GROSSPROFITMARGIN(B1254,E1254)</f>
        <v>6.9533517961999998</v>
      </c>
      <c r="J1254" s="11">
        <f>[1]!EM_S_FA_NETPROFITMARGIN(B1254,E1254)</f>
        <v>0.75542394800000001</v>
      </c>
      <c r="K1254" s="10">
        <f>[1]!EM_S_FA_ASSETSTURN(B1254,E1254)</f>
        <v>0.80401847843700003</v>
      </c>
      <c r="L1254" s="12">
        <f>[1]!EM_HKS_VAL_MV(B1254,"2019-12-31","2")</f>
        <v>2209298668.9200001</v>
      </c>
      <c r="M1254">
        <f>[1]!EM_S_VAL_PETTMDEDUCTED(B1254,E1254)</f>
        <v>-681.90381535037704</v>
      </c>
      <c r="N1254" s="7">
        <f>[1]!EM_S_VAL_PBGOODWILLDEDUCTED(B1254,E1254)</f>
        <v>3.7408175403694499</v>
      </c>
      <c r="O1254" s="7">
        <f>[1]!EM_S_VAL_PS_TTM(B1254,E1254)</f>
        <v>3.1397830676480001</v>
      </c>
      <c r="P1254" s="7">
        <f>[1]!EM_S_VAL_PCF_NCFTTM(B1254,E1254)</f>
        <v>-21.141879156077302</v>
      </c>
      <c r="Q1254" s="7">
        <f>[1]!EM_S_VAL_DIVIDENDYIELD2(B1254,E1254,"2019-11-29")</f>
        <v>0</v>
      </c>
      <c r="T1254"/>
      <c r="U1254">
        <f>[1]!EM_S_RATIO_EPS_TTM(B1254,E1254,"1")</f>
        <v>1.1693750149059406E-2</v>
      </c>
      <c r="AT1254" s="4" t="str">
        <f>[1]!EM_S_IPO_LISTEDDATE(B1254)</f>
        <v>1996-09-18</v>
      </c>
    </row>
    <row r="1255" spans="1:46">
      <c r="A1255">
        <v>3011</v>
      </c>
      <c r="B1255" t="str">
        <f>"600988"</f>
        <v>600988</v>
      </c>
      <c r="C1255" t="s">
        <v>2117</v>
      </c>
      <c r="D1255" t="str">
        <f>[1]!EM_S_INFO_INDEX_EM(B1255,"1")</f>
        <v>有色金属</v>
      </c>
      <c r="E1255" s="4">
        <f t="shared" si="19"/>
        <v>43465</v>
      </c>
      <c r="F1255" s="11">
        <f>[1]!EM_S_PQ_PCTCHANGE(B1255,"2018-01-01","2019-12-31","3")</f>
        <v>-21.894409939999999</v>
      </c>
      <c r="G1255" s="11">
        <f>[1]!EM_S_PQ_PCTCHANGE(B1255,"2018-12-31","2019-12-30","1")</f>
        <v>20.551378450000001</v>
      </c>
      <c r="H1255" s="11">
        <f>[1]!EM_S_FA_YOY_OR(B1255,E1255)</f>
        <v>-16.772003545</v>
      </c>
      <c r="I1255" s="11">
        <f>[1]!EM_S_FA_GROSSPROFITMARGIN(B1255,E1255)</f>
        <v>19.502397455099999</v>
      </c>
      <c r="J1255" s="11">
        <f>[1]!EM_S_FA_NETPROFITMARGIN(B1255,E1255)</f>
        <v>-5.2761685011999999</v>
      </c>
      <c r="K1255" s="10">
        <f>[1]!EM_S_FA_ASSETSTURN(B1255,E1255)</f>
        <v>0.34357784884999998</v>
      </c>
      <c r="L1255" s="12">
        <f>[1]!EM_HKS_VAL_MV(B1255,"2019-12-31","2")</f>
        <v>7822501951.2200003</v>
      </c>
      <c r="M1255">
        <f>[1]!EM_S_VAL_PETTMDEDUCTED(B1255,E1255)</f>
        <v>31.8761076786652</v>
      </c>
      <c r="N1255" s="7">
        <f>[1]!EM_S_VAL_PBGOODWILLDEDUCTED(B1255,E1255)</f>
        <v>2.6370677708755199</v>
      </c>
      <c r="O1255" s="7">
        <f>[1]!EM_S_VAL_PS_TTM(B1255,E1255)</f>
        <v>2.46357535870913</v>
      </c>
      <c r="P1255" s="7">
        <f>[1]!EM_S_VAL_PCF_NCFTTM(B1255,E1255)</f>
        <v>-17.5171815122374</v>
      </c>
      <c r="Q1255" s="7">
        <f>[1]!EM_S_VAL_DIVIDENDYIELD2(B1255,E1255,"2019-11-29")</f>
        <v>0</v>
      </c>
      <c r="T1255"/>
      <c r="U1255">
        <f>[1]!EM_S_RATIO_EPS_TTM(B1255,E1255,"1")</f>
        <v>-9.3276101592108709E-2</v>
      </c>
      <c r="AT1255" s="4" t="str">
        <f>[1]!EM_S_IPO_LISTEDDATE(B1255)</f>
        <v>2004-04-14</v>
      </c>
    </row>
    <row r="1256" spans="1:46">
      <c r="A1256">
        <v>3456</v>
      </c>
      <c r="B1256" t="str">
        <f>"603607"</f>
        <v>603607</v>
      </c>
      <c r="C1256" t="s">
        <v>641</v>
      </c>
      <c r="D1256" t="str">
        <f>[1]!EM_S_INFO_INDEX_EM(B1256,"1")</f>
        <v>轻工制造</v>
      </c>
      <c r="E1256" s="4">
        <f t="shared" si="19"/>
        <v>43465</v>
      </c>
      <c r="F1256" s="11">
        <f>[1]!EM_S_PQ_PCTCHANGE(B1256,"2018-01-01","2019-12-31","3")</f>
        <v>-22.465798199999998</v>
      </c>
      <c r="G1256" s="11">
        <f>[1]!EM_S_PQ_PCTCHANGE(B1256,"2018-12-31","2019-12-30","1")</f>
        <v>20.538165840000001</v>
      </c>
      <c r="H1256" s="11">
        <f>[1]!EM_S_FA_YOY_OR(B1256,E1256)</f>
        <v>3.5097472645000001</v>
      </c>
      <c r="I1256" s="11">
        <f>[1]!EM_S_FA_GROSSPROFITMARGIN(B1256,E1256)</f>
        <v>30.6960448118</v>
      </c>
      <c r="J1256" s="11">
        <f>[1]!EM_S_FA_NETPROFITMARGIN(B1256,E1256)</f>
        <v>17.255154640200001</v>
      </c>
      <c r="K1256" s="10">
        <f>[1]!EM_S_FA_ASSETSTURN(B1256,E1256)</f>
        <v>0.63382391572399999</v>
      </c>
      <c r="L1256" s="12">
        <f>[1]!EM_HKS_VAL_MV(B1256,"2019-12-31","2")</f>
        <v>2806539120</v>
      </c>
      <c r="M1256">
        <f>[1]!EM_S_VAL_PETTMDEDUCTED(B1256,E1256)</f>
        <v>29.3744847202728</v>
      </c>
      <c r="N1256" s="7">
        <f>[1]!EM_S_VAL_PBGOODWILLDEDUCTED(B1256,E1256)</f>
        <v>3.0303108273660402</v>
      </c>
      <c r="O1256" s="7">
        <f>[1]!EM_S_VAL_PS_TTM(B1256,E1256)</f>
        <v>4.32732357093409</v>
      </c>
      <c r="P1256" s="7">
        <f>[1]!EM_S_VAL_PCF_NCFTTM(B1256,E1256)</f>
        <v>264.82473621945599</v>
      </c>
      <c r="Q1256" s="7">
        <f>[1]!EM_S_VAL_DIVIDENDYIELD2(B1256,E1256,"2019-11-29")</f>
        <v>1.3882461823229986</v>
      </c>
      <c r="T1256"/>
      <c r="U1256">
        <f>[1]!EM_S_RATIO_EPS_TTM(B1256,E1256,"1")</f>
        <v>0.75107294364451971</v>
      </c>
      <c r="AT1256" s="4" t="str">
        <f>[1]!EM_S_IPO_LISTEDDATE(B1256)</f>
        <v>2017-10-25</v>
      </c>
    </row>
    <row r="1257" spans="1:46">
      <c r="A1257">
        <v>711</v>
      </c>
      <c r="B1257" t="str">
        <f>"002200"</f>
        <v>002200</v>
      </c>
      <c r="C1257" t="s">
        <v>3647</v>
      </c>
      <c r="D1257" t="str">
        <f>[1]!EM_S_INFO_INDEX_EM(B1257,"1")</f>
        <v>建筑</v>
      </c>
      <c r="E1257" s="4">
        <f t="shared" si="19"/>
        <v>43465</v>
      </c>
      <c r="F1257" s="11">
        <f>[1]!EM_S_PQ_PCTCHANGE(B1257,"2018-01-01","2019-12-31","3")</f>
        <v>-45.286059629999997</v>
      </c>
      <c r="G1257" s="11">
        <f>[1]!EM_S_PQ_PCTCHANGE(B1257,"2018-12-31","2019-12-30","1")</f>
        <v>20.535714290000001</v>
      </c>
      <c r="H1257" s="11">
        <f>[1]!EM_S_FA_YOY_OR(B1257,E1257)</f>
        <v>12.4802719865</v>
      </c>
      <c r="I1257" s="11">
        <f>[1]!EM_S_FA_GROSSPROFITMARGIN(B1257,E1257)</f>
        <v>13.8023581761</v>
      </c>
      <c r="J1257" s="11">
        <f>[1]!EM_S_FA_NETPROFITMARGIN(B1257,E1257)</f>
        <v>-29.9823516728</v>
      </c>
      <c r="K1257" s="10">
        <f>[1]!EM_S_FA_ASSETSTURN(B1257,E1257)</f>
        <v>0.220716292698</v>
      </c>
      <c r="L1257" s="12">
        <f>[1]!EM_HKS_VAL_MV(B1257,"2019-12-31","2")</f>
        <v>1250262323.0999999</v>
      </c>
      <c r="M1257">
        <f>[1]!EM_S_VAL_PETTMDEDUCTED(B1257,E1257)</f>
        <v>-1.7810519958413999</v>
      </c>
      <c r="N1257" s="7">
        <f>[1]!EM_S_VAL_PBGOODWILLDEDUCTED(B1257,E1257)</f>
        <v>6.5041662989022901</v>
      </c>
      <c r="O1257" s="7">
        <f>[1]!EM_S_VAL_PS_TTM(B1257,E1257)</f>
        <v>2.18293284299649</v>
      </c>
      <c r="P1257" s="7">
        <f>[1]!EM_S_VAL_PCF_NCFTTM(B1257,E1257)</f>
        <v>-22.289907274612698</v>
      </c>
      <c r="Q1257" s="7">
        <f>[1]!EM_S_VAL_DIVIDENDYIELD2(B1257,E1257,"2019-11-29")</f>
        <v>0</v>
      </c>
      <c r="T1257"/>
      <c r="U1257">
        <f>[1]!EM_S_RATIO_EPS_TTM(B1257,E1257,"1")</f>
        <v>-1.3870428191291626</v>
      </c>
      <c r="AT1257" s="4" t="str">
        <f>[1]!EM_S_IPO_LISTEDDATE(B1257)</f>
        <v>2007-12-21</v>
      </c>
    </row>
    <row r="1258" spans="1:46">
      <c r="A1258">
        <v>1946</v>
      </c>
      <c r="B1258" t="str">
        <f>"300521"</f>
        <v>300521</v>
      </c>
      <c r="C1258" t="s">
        <v>2679</v>
      </c>
      <c r="D1258" t="str">
        <f>[1]!EM_S_INFO_INDEX_EM(B1258,"1")</f>
        <v>机械设备</v>
      </c>
      <c r="E1258" s="4">
        <f t="shared" si="19"/>
        <v>43465</v>
      </c>
      <c r="F1258" s="11">
        <f>[1]!EM_S_PQ_PCTCHANGE(B1258,"2018-01-01","2019-12-31","3")</f>
        <v>-36.995904320000001</v>
      </c>
      <c r="G1258" s="11">
        <f>[1]!EM_S_PQ_PCTCHANGE(B1258,"2018-12-31","2019-12-30","1")</f>
        <v>20.501138950000001</v>
      </c>
      <c r="H1258" s="11">
        <f>[1]!EM_S_FA_YOY_OR(B1258,E1258)</f>
        <v>-3.4894160158999998</v>
      </c>
      <c r="I1258" s="11">
        <f>[1]!EM_S_FA_GROSSPROFITMARGIN(B1258,E1258)</f>
        <v>49.849479261900001</v>
      </c>
      <c r="J1258" s="11">
        <f>[1]!EM_S_FA_NETPROFITMARGIN(B1258,E1258)</f>
        <v>14.6290175458</v>
      </c>
      <c r="K1258" s="10">
        <f>[1]!EM_S_FA_ASSETSTURN(B1258,E1258)</f>
        <v>0.30770752646600003</v>
      </c>
      <c r="L1258" s="12">
        <f>[1]!EM_HKS_VAL_MV(B1258,"2019-12-31","2")</f>
        <v>1523520000</v>
      </c>
      <c r="M1258">
        <f>[1]!EM_S_VAL_PETTMDEDUCTED(B1258,E1258)</f>
        <v>60.903844674563402</v>
      </c>
      <c r="N1258" s="7">
        <f>[1]!EM_S_VAL_PBGOODWILLDEDUCTED(B1258,E1258)</f>
        <v>2.46642092743136</v>
      </c>
      <c r="O1258" s="7">
        <f>[1]!EM_S_VAL_PS_TTM(B1258,E1258)</f>
        <v>7.4235535563650696</v>
      </c>
      <c r="P1258" s="7">
        <f>[1]!EM_S_VAL_PCF_NCFTTM(B1258,E1258)</f>
        <v>-39.209118110932501</v>
      </c>
      <c r="Q1258" s="7">
        <f>[1]!EM_S_VAL_DIVIDENDYIELD2(B1258,E1258,"2019-11-29")</f>
        <v>0.36534446764091855</v>
      </c>
      <c r="T1258"/>
      <c r="U1258">
        <f>[1]!EM_S_RATIO_EPS_TTM(B1258,E1258,"1")</f>
        <v>0.17668988249999998</v>
      </c>
      <c r="AT1258" s="4" t="str">
        <f>[1]!EM_S_IPO_LISTEDDATE(B1258)</f>
        <v>2016-07-05</v>
      </c>
    </row>
    <row r="1259" spans="1:46">
      <c r="A1259">
        <v>339</v>
      </c>
      <c r="B1259" t="str">
        <f>"000777"</f>
        <v>000777</v>
      </c>
      <c r="C1259" t="s">
        <v>3423</v>
      </c>
      <c r="D1259" t="str">
        <f>[1]!EM_S_INFO_INDEX_EM(B1259,"1")</f>
        <v>机械设备</v>
      </c>
      <c r="E1259" s="4">
        <f t="shared" si="19"/>
        <v>43465</v>
      </c>
      <c r="F1259" s="11">
        <f>[1]!EM_S_PQ_PCTCHANGE(B1259,"2018-01-01","2019-12-31","3")</f>
        <v>-17.433772189999999</v>
      </c>
      <c r="G1259" s="11">
        <f>[1]!EM_S_PQ_PCTCHANGE(B1259,"2018-12-31","2019-12-30","1")</f>
        <v>20.438683950000001</v>
      </c>
      <c r="H1259" s="11">
        <f>[1]!EM_S_FA_YOY_OR(B1259,E1259)</f>
        <v>40.333666245000003</v>
      </c>
      <c r="I1259" s="11">
        <f>[1]!EM_S_FA_GROSSPROFITMARGIN(B1259,E1259)</f>
        <v>20.408962216900001</v>
      </c>
      <c r="J1259" s="11">
        <f>[1]!EM_S_FA_NETPROFITMARGIN(B1259,E1259)</f>
        <v>8.3980631276000004</v>
      </c>
      <c r="K1259" s="10">
        <f>[1]!EM_S_FA_ASSETSTURN(B1259,E1259)</f>
        <v>0.56749549551099998</v>
      </c>
      <c r="L1259" s="12">
        <f>[1]!EM_HKS_VAL_MV(B1259,"2019-12-31","2")</f>
        <v>4666192106.8100004</v>
      </c>
      <c r="M1259">
        <f>[1]!EM_S_VAL_PETTMDEDUCTED(B1259,E1259)</f>
        <v>46.503906182519998</v>
      </c>
      <c r="N1259" s="7">
        <f>[1]!EM_S_VAL_PBGOODWILLDEDUCTED(B1259,E1259)</f>
        <v>2.8359244432658999</v>
      </c>
      <c r="O1259" s="7">
        <f>[1]!EM_S_VAL_PS_TTM(B1259,E1259)</f>
        <v>3.3103560005735102</v>
      </c>
      <c r="P1259" s="7">
        <f>[1]!EM_S_VAL_PCF_NCFTTM(B1259,E1259)</f>
        <v>-71.035016328280605</v>
      </c>
      <c r="Q1259" s="7">
        <f>[1]!EM_S_VAL_DIVIDENDYIELD2(B1259,E1259,"2019-11-29")</f>
        <v>0.7785467128027681</v>
      </c>
      <c r="T1259"/>
      <c r="U1259">
        <f>[1]!EM_S_RATIO_EPS_TTM(B1259,E1259,"1")</f>
        <v>0.26860094241945748</v>
      </c>
      <c r="AT1259" s="4" t="str">
        <f>[1]!EM_S_IPO_LISTEDDATE(B1259)</f>
        <v>1997-07-10</v>
      </c>
    </row>
    <row r="1260" spans="1:46">
      <c r="A1260">
        <v>3253</v>
      </c>
      <c r="B1260" t="str">
        <f>"603078"</f>
        <v>603078</v>
      </c>
      <c r="C1260" t="s">
        <v>2099</v>
      </c>
      <c r="D1260" t="str">
        <f>[1]!EM_S_INFO_INDEX_EM(B1260,"1")</f>
        <v>电子设备</v>
      </c>
      <c r="E1260" s="4">
        <f t="shared" si="19"/>
        <v>43465</v>
      </c>
      <c r="F1260" s="11">
        <f>[1]!EM_S_PQ_PCTCHANGE(B1260,"2018-01-01","2019-12-31","3")</f>
        <v>-15.776907899999999</v>
      </c>
      <c r="G1260" s="11">
        <f>[1]!EM_S_PQ_PCTCHANGE(B1260,"2018-12-31","2019-12-30","1")</f>
        <v>20.34662045</v>
      </c>
      <c r="H1260" s="11">
        <f>[1]!EM_S_FA_YOY_OR(B1260,E1260)</f>
        <v>8.2970917113000002</v>
      </c>
      <c r="I1260" s="11">
        <f>[1]!EM_S_FA_GROSSPROFITMARGIN(B1260,E1260)</f>
        <v>30.5858555756</v>
      </c>
      <c r="J1260" s="11">
        <f>[1]!EM_S_FA_NETPROFITMARGIN(B1260,E1260)</f>
        <v>10.3354058457</v>
      </c>
      <c r="K1260" s="10">
        <f>[1]!EM_S_FA_ASSETSTURN(B1260,E1260)</f>
        <v>0.40573695601600002</v>
      </c>
      <c r="L1260" s="12">
        <f>[1]!EM_HKS_VAL_MV(B1260,"2019-12-31","2")</f>
        <v>3732456000</v>
      </c>
      <c r="M1260">
        <f>[1]!EM_S_VAL_PETTMDEDUCTED(B1260,E1260)</f>
        <v>81.228770518182003</v>
      </c>
      <c r="N1260" s="7">
        <f>[1]!EM_S_VAL_PBGOODWILLDEDUCTED(B1260,E1260)</f>
        <v>3.1481419200577401</v>
      </c>
      <c r="O1260" s="7">
        <f>[1]!EM_S_VAL_PS_TTM(B1260,E1260)</f>
        <v>6.58918772554469</v>
      </c>
      <c r="P1260" s="7">
        <f>[1]!EM_S_VAL_PCF_NCFTTM(B1260,E1260)</f>
        <v>22.915131378158499</v>
      </c>
      <c r="Q1260" s="7">
        <f>[1]!EM_S_VAL_DIVIDENDYIELD2(B1260,E1260,"2019-11-29")</f>
        <v>0.38359247135842883</v>
      </c>
      <c r="T1260"/>
      <c r="U1260">
        <f>[1]!EM_S_RATIO_EPS_TTM(B1260,E1260,"1")</f>
        <v>0.47527503214285716</v>
      </c>
      <c r="AT1260" s="4" t="str">
        <f>[1]!EM_S_IPO_LISTEDDATE(B1260)</f>
        <v>2017-04-10</v>
      </c>
    </row>
    <row r="1261" spans="1:46">
      <c r="A1261">
        <v>1023</v>
      </c>
      <c r="B1261" t="str">
        <f>"002512"</f>
        <v>002512</v>
      </c>
      <c r="C1261" t="s">
        <v>3554</v>
      </c>
      <c r="D1261" t="str">
        <f>[1]!EM_S_INFO_INDEX_EM(B1261,"1")</f>
        <v>电子设备</v>
      </c>
      <c r="E1261" s="4">
        <f t="shared" si="19"/>
        <v>43465</v>
      </c>
      <c r="F1261" s="11">
        <f>[1]!EM_S_PQ_PCTCHANGE(B1261,"2018-01-01","2019-12-31","3")</f>
        <v>-64.157675339999997</v>
      </c>
      <c r="G1261" s="11">
        <f>[1]!EM_S_PQ_PCTCHANGE(B1261,"2018-12-31","2019-12-30","1")</f>
        <v>20.33898305</v>
      </c>
      <c r="H1261" s="11">
        <f>[1]!EM_S_FA_YOY_OR(B1261,E1261)</f>
        <v>-16.3521293475</v>
      </c>
      <c r="I1261" s="11">
        <f>[1]!EM_S_FA_GROSSPROFITMARGIN(B1261,E1261)</f>
        <v>9.1973429807000002</v>
      </c>
      <c r="J1261" s="11">
        <f>[1]!EM_S_FA_NETPROFITMARGIN(B1261,E1261)</f>
        <v>-63.221404103099999</v>
      </c>
      <c r="K1261" s="10">
        <f>[1]!EM_S_FA_ASSETSTURN(B1261,E1261)</f>
        <v>0.42070181027600001</v>
      </c>
      <c r="L1261" s="12">
        <f>[1]!EM_HKS_VAL_MV(B1261,"2019-12-31","2")</f>
        <v>7065240551.3999996</v>
      </c>
      <c r="M1261">
        <f>[1]!EM_S_VAL_PETTMDEDUCTED(B1261,E1261)</f>
        <v>-18.588384653821102</v>
      </c>
      <c r="N1261" s="7">
        <f>[1]!EM_S_VAL_PBGOODWILLDEDUCTED(B1261,E1261)</f>
        <v>6.9544833491113804</v>
      </c>
      <c r="O1261" s="7">
        <f>[1]!EM_S_VAL_PS_TTM(B1261,E1261)</f>
        <v>1.77447736735476</v>
      </c>
      <c r="P1261" s="7">
        <f>[1]!EM_S_VAL_PCF_NCFTTM(B1261,E1261)</f>
        <v>-15.0229636654225</v>
      </c>
      <c r="Q1261" s="7">
        <f>[1]!EM_S_VAL_DIVIDENDYIELD2(B1261,E1261,"2019-11-29")</f>
        <v>0</v>
      </c>
      <c r="T1261"/>
      <c r="U1261">
        <f>[1]!EM_S_RATIO_EPS_TTM(B1261,E1261,"1")</f>
        <v>-1.5902798482115528</v>
      </c>
      <c r="AT1261" s="4" t="str">
        <f>[1]!EM_S_IPO_LISTEDDATE(B1261)</f>
        <v>2010-12-03</v>
      </c>
    </row>
    <row r="1262" spans="1:46">
      <c r="A1262">
        <v>3150</v>
      </c>
      <c r="B1262" t="str">
        <f>"601789"</f>
        <v>601789</v>
      </c>
      <c r="C1262" t="s">
        <v>1067</v>
      </c>
      <c r="D1262" t="str">
        <f>[1]!EM_S_INFO_INDEX_EM(B1262,"1")</f>
        <v>建筑</v>
      </c>
      <c r="E1262" s="4">
        <f t="shared" si="19"/>
        <v>43465</v>
      </c>
      <c r="F1262" s="11">
        <f>[1]!EM_S_PQ_PCTCHANGE(B1262,"2018-01-01","2019-12-31","3")</f>
        <v>-12.597654240000001</v>
      </c>
      <c r="G1262" s="11">
        <f>[1]!EM_S_PQ_PCTCHANGE(B1262,"2018-12-31","2019-12-30","1")</f>
        <v>20.322580649999999</v>
      </c>
      <c r="H1262" s="11">
        <f>[1]!EM_S_FA_YOY_OR(B1262,E1262)</f>
        <v>5.3952132785</v>
      </c>
      <c r="I1262" s="11">
        <f>[1]!EM_S_FA_GROSSPROFITMARGIN(B1262,E1262)</f>
        <v>8.5484858371999994</v>
      </c>
      <c r="J1262" s="11">
        <f>[1]!EM_S_FA_NETPROFITMARGIN(B1262,E1262)</f>
        <v>1.4143190964000001</v>
      </c>
      <c r="K1262" s="10">
        <f>[1]!EM_S_FA_ASSETSTURN(B1262,E1262)</f>
        <v>1.0904528584269999</v>
      </c>
      <c r="L1262" s="12">
        <f>[1]!EM_HKS_VAL_MV(B1262,"2019-12-31","2")</f>
        <v>3718864800</v>
      </c>
      <c r="M1262">
        <f>[1]!EM_S_VAL_PETTMDEDUCTED(B1262,E1262)</f>
        <v>15.6238920415951</v>
      </c>
      <c r="N1262" s="7">
        <f>[1]!EM_S_VAL_PBGOODWILLDEDUCTED(B1262,E1262)</f>
        <v>1.1757834145853501</v>
      </c>
      <c r="O1262" s="7">
        <f>[1]!EM_S_VAL_PS_TTM(B1262,E1262)</f>
        <v>0.19048629982424101</v>
      </c>
      <c r="P1262" s="7">
        <f>[1]!EM_S_VAL_PCF_NCFTTM(B1262,E1262)</f>
        <v>27.447299384010599</v>
      </c>
      <c r="Q1262" s="7">
        <f>[1]!EM_S_VAL_DIVIDENDYIELD2(B1262,E1262,"2019-11-29")</f>
        <v>1.9444444444444444</v>
      </c>
      <c r="T1262"/>
      <c r="U1262">
        <f>[1]!EM_S_RATIO_EPS_TTM(B1262,E1262,"1")</f>
        <v>0.22493021665232357</v>
      </c>
      <c r="AT1262" s="4" t="str">
        <f>[1]!EM_S_IPO_LISTEDDATE(B1262)</f>
        <v>2011-08-16</v>
      </c>
    </row>
    <row r="1263" spans="1:46">
      <c r="A1263">
        <v>72</v>
      </c>
      <c r="B1263" t="str">
        <f>"000155"</f>
        <v>000155</v>
      </c>
      <c r="C1263" t="s">
        <v>1159</v>
      </c>
      <c r="D1263" t="str">
        <f>[1]!EM_S_INFO_INDEX_EM(B1263,"1")</f>
        <v>公用事业</v>
      </c>
      <c r="E1263" s="4">
        <f t="shared" si="19"/>
        <v>43465</v>
      </c>
      <c r="F1263" s="11">
        <f>[1]!EM_S_PQ_PCTCHANGE(B1263,"2018-01-01","2019-12-31","3")</f>
        <v>-28.192371479999998</v>
      </c>
      <c r="G1263" s="11">
        <f>[1]!EM_S_PQ_PCTCHANGE(B1263,"2019-01-01","2019-12-31","3")</f>
        <v>20.277777780000001</v>
      </c>
      <c r="H1263" s="11">
        <f>[1]!EM_S_FA_YOY_OR(B1263,E1263)</f>
        <v>-34.368374009299998</v>
      </c>
      <c r="I1263" s="11">
        <f>[1]!EM_S_FA_GROSSPROFITMARGIN(B1263,E1263)</f>
        <v>11.9166438518</v>
      </c>
      <c r="J1263" s="11">
        <f>[1]!EM_S_FA_NETPROFITMARGIN(B1263,E1263)</f>
        <v>9.6190916209000008</v>
      </c>
      <c r="K1263" s="10">
        <f>[1]!EM_S_FA_ASSETSTURN(B1263,E1263)</f>
        <v>0.60967154881700003</v>
      </c>
      <c r="L1263" s="12">
        <f>[1]!EM_HKS_VAL_MV(B1263,"2019-12-31","2")</f>
        <v>5499100000</v>
      </c>
      <c r="M1263">
        <f>[1]!EM_S_VAL_PETTMDEDUCTED(B1263,E1263)</f>
        <v>121.724802496237</v>
      </c>
      <c r="N1263" s="7">
        <f>[1]!EM_S_VAL_PBGOODWILLDEDUCTED(B1263,E1263)</f>
        <v>1.40246895060676</v>
      </c>
      <c r="O1263" s="7">
        <f>[1]!EM_S_VAL_PS_TTM(B1263,E1263)</f>
        <v>0.84288225756593504</v>
      </c>
      <c r="P1263" s="7">
        <f>[1]!EM_S_VAL_PCF_NCFTTM(B1263,E1263)</f>
        <v>-16.366014088336701</v>
      </c>
      <c r="Q1263" s="7">
        <f>[1]!EM_S_VAL_DIVIDENDYIELD2(B1263,E1263,"2019-11-29")</f>
        <v>0</v>
      </c>
      <c r="T1263"/>
      <c r="U1263">
        <f>[1]!EM_S_RATIO_EPS_TTM(B1263,E1263,"1")</f>
        <v>0.23696990388976377</v>
      </c>
      <c r="AT1263" s="4" t="str">
        <f>[1]!EM_S_IPO_LISTEDDATE(B1263)</f>
        <v>2000-09-26</v>
      </c>
    </row>
    <row r="1264" spans="1:46">
      <c r="A1264">
        <v>3455</v>
      </c>
      <c r="B1264" t="str">
        <f>"603606"</f>
        <v>603606</v>
      </c>
      <c r="C1264" t="s">
        <v>1972</v>
      </c>
      <c r="D1264" t="str">
        <f>[1]!EM_S_INFO_INDEX_EM(B1264,"1")</f>
        <v>电气设备</v>
      </c>
      <c r="E1264" s="4">
        <f t="shared" si="19"/>
        <v>43465</v>
      </c>
      <c r="F1264" s="11">
        <f>[1]!EM_S_PQ_PCTCHANGE(B1264,"2018-01-01","2019-12-31","3")</f>
        <v>68.796879939999997</v>
      </c>
      <c r="G1264" s="11">
        <f>[1]!EM_S_PQ_PCTCHANGE(B1264,"2018-12-31","2019-12-30","1")</f>
        <v>20.268757000000001</v>
      </c>
      <c r="H1264" s="11">
        <f>[1]!EM_S_FA_YOY_OR(B1264,E1264)</f>
        <v>46.6667599747</v>
      </c>
      <c r="I1264" s="11">
        <f>[1]!EM_S_FA_GROSSPROFITMARGIN(B1264,E1264)</f>
        <v>16.547223877499999</v>
      </c>
      <c r="J1264" s="11">
        <f>[1]!EM_S_FA_NETPROFITMARGIN(B1264,E1264)</f>
        <v>5.6687045961000004</v>
      </c>
      <c r="K1264" s="10">
        <f>[1]!EM_S_FA_ASSETSTURN(B1264,E1264)</f>
        <v>0.94967535481900001</v>
      </c>
      <c r="L1264" s="12">
        <f>[1]!EM_HKS_VAL_MV(B1264,"2019-12-31","2")</f>
        <v>7182067640.5799999</v>
      </c>
      <c r="M1264">
        <f>[1]!EM_S_VAL_PETTMDEDUCTED(B1264,E1264)</f>
        <v>37.024063081425702</v>
      </c>
      <c r="N1264" s="7">
        <f>[1]!EM_S_VAL_PBGOODWILLDEDUCTED(B1264,E1264)</f>
        <v>2.59848808571657</v>
      </c>
      <c r="O1264" s="7">
        <f>[1]!EM_S_VAL_PS_TTM(B1264,E1264)</f>
        <v>1.69428644186043</v>
      </c>
      <c r="P1264" s="7">
        <f>[1]!EM_S_VAL_PCF_NCFTTM(B1264,E1264)</f>
        <v>16.685770655977802</v>
      </c>
      <c r="Q1264" s="7">
        <f>[1]!EM_S_VAL_DIVIDENDYIELD2(B1264,E1264,"2019-11-29")</f>
        <v>0.79107963559184036</v>
      </c>
      <c r="T1264"/>
      <c r="U1264">
        <f>[1]!EM_S_RATIO_EPS_TTM(B1264,E1264,"1")</f>
        <v>0.34071616858746151</v>
      </c>
      <c r="AT1264" s="4" t="str">
        <f>[1]!EM_S_IPO_LISTEDDATE(B1264)</f>
        <v>2014-10-15</v>
      </c>
    </row>
    <row r="1265" spans="1:46">
      <c r="A1265">
        <v>1250</v>
      </c>
      <c r="B1265" t="str">
        <f>"002740"</f>
        <v>002740</v>
      </c>
      <c r="C1265" t="s">
        <v>2597</v>
      </c>
      <c r="D1265" t="str">
        <f>[1]!EM_S_INFO_INDEX_EM(B1265,"1")</f>
        <v>轻工制造</v>
      </c>
      <c r="E1265" s="4">
        <f t="shared" si="19"/>
        <v>43465</v>
      </c>
      <c r="F1265" s="11">
        <f>[1]!EM_S_PQ_PCTCHANGE(B1265,"2018-01-01","2019-12-31","3")</f>
        <v>-31.090616369999999</v>
      </c>
      <c r="G1265" s="11">
        <f>[1]!EM_S_PQ_PCTCHANGE(B1265,"2018-12-31","2019-12-30","1")</f>
        <v>20.26768642</v>
      </c>
      <c r="H1265" s="11">
        <f>[1]!EM_S_FA_YOY_OR(B1265,E1265)</f>
        <v>1.8136919223000001</v>
      </c>
      <c r="I1265" s="11">
        <f>[1]!EM_S_FA_GROSSPROFITMARGIN(B1265,E1265)</f>
        <v>14.182661168499999</v>
      </c>
      <c r="J1265" s="11">
        <f>[1]!EM_S_FA_NETPROFITMARGIN(B1265,E1265)</f>
        <v>2.6538376052000001</v>
      </c>
      <c r="K1265" s="10">
        <f>[1]!EM_S_FA_ASSETSTURN(B1265,E1265)</f>
        <v>0.72103504371299998</v>
      </c>
      <c r="L1265" s="12">
        <f>[1]!EM_HKS_VAL_MV(B1265,"2019-12-31","2")</f>
        <v>2851503563.5599999</v>
      </c>
      <c r="M1265">
        <f>[1]!EM_S_VAL_PETTMDEDUCTED(B1265,E1265)</f>
        <v>50.884044982261997</v>
      </c>
      <c r="N1265" s="7">
        <f>[1]!EM_S_VAL_PBGOODWILLDEDUCTED(B1265,E1265)</f>
        <v>1.3049179353435101</v>
      </c>
      <c r="O1265" s="7">
        <f>[1]!EM_S_VAL_PS_TTM(B1265,E1265)</f>
        <v>0.93362294472738105</v>
      </c>
      <c r="P1265" s="7">
        <f>[1]!EM_S_VAL_PCF_NCFTTM(B1265,E1265)</f>
        <v>-4.6337873283925699</v>
      </c>
      <c r="Q1265" s="7">
        <f>[1]!EM_S_VAL_DIVIDENDYIELD2(B1265,E1265,"2019-11-29")</f>
        <v>0.16207455429497569</v>
      </c>
      <c r="T1265"/>
      <c r="U1265">
        <f>[1]!EM_S_RATIO_EPS_TTM(B1265,E1265,"1")</f>
        <v>8.5148613025517794E-2</v>
      </c>
      <c r="AT1265" s="4" t="str">
        <f>[1]!EM_S_IPO_LISTEDDATE(B1265)</f>
        <v>2015-01-22</v>
      </c>
    </row>
    <row r="1266" spans="1:46">
      <c r="A1266">
        <v>538</v>
      </c>
      <c r="B1266" t="str">
        <f>"002027"</f>
        <v>002027</v>
      </c>
      <c r="C1266" t="s">
        <v>73</v>
      </c>
      <c r="D1266" t="str">
        <f>[1]!EM_S_INFO_INDEX_EM(B1266,"1")</f>
        <v>互联网</v>
      </c>
      <c r="E1266" s="4">
        <f t="shared" si="19"/>
        <v>43465</v>
      </c>
      <c r="F1266" s="11">
        <f>[1]!EM_S_PQ_PCTCHANGE(B1266,"2018-01-01","2019-12-31","3")</f>
        <v>-45.091094499999997</v>
      </c>
      <c r="G1266" s="11">
        <f>[1]!EM_S_PQ_PCTCHANGE(B1266,"2018-12-31","2019-12-30","1")</f>
        <v>20.229007630000002</v>
      </c>
      <c r="H1266" s="11">
        <f>[1]!EM_S_FA_YOY_OR(B1266,E1266)</f>
        <v>21.1239082072</v>
      </c>
      <c r="I1266" s="11">
        <f>[1]!EM_S_FA_GROSSPROFITMARGIN(B1266,E1266)</f>
        <v>66.212660976899997</v>
      </c>
      <c r="J1266" s="11">
        <f>[1]!EM_S_FA_NETPROFITMARGIN(B1266,E1266)</f>
        <v>39.805605633299997</v>
      </c>
      <c r="K1266" s="10">
        <f>[1]!EM_S_FA_ASSETSTURN(B1266,E1266)</f>
        <v>0.84169582849699998</v>
      </c>
      <c r="L1266" s="12">
        <f>[1]!EM_HKS_VAL_MV(B1266,"2019-12-31","2")</f>
        <v>91883530552.800003</v>
      </c>
      <c r="M1266">
        <f>[1]!EM_S_VAL_PETTMDEDUCTED(B1266,E1266)</f>
        <v>13.616477802246299</v>
      </c>
      <c r="N1266" s="7">
        <f>[1]!EM_S_VAL_PBGOODWILLDEDUCTED(B1266,E1266)</f>
        <v>5.4733786417392603</v>
      </c>
      <c r="O1266" s="7">
        <f>[1]!EM_S_VAL_PS_TTM(B1266,E1266)</f>
        <v>5.4314270474630799</v>
      </c>
      <c r="P1266" s="7">
        <f>[1]!EM_S_VAL_PCF_NCFTTM(B1266,E1266)</f>
        <v>-114.11330132030299</v>
      </c>
      <c r="Q1266" s="7">
        <f>[1]!EM_S_VAL_DIVIDENDYIELD2(B1266,E1266,"2019-11-29")</f>
        <v>1.7857142857142856</v>
      </c>
      <c r="U1266">
        <f>[1]!EM_S_RATIO_EPS_TTM(B1266,E1266,"1")</f>
        <v>0.39671769055878958</v>
      </c>
      <c r="AT1266" s="4" t="str">
        <f>[1]!EM_S_IPO_LISTEDDATE(B1266)</f>
        <v>2004-08-04</v>
      </c>
    </row>
    <row r="1267" spans="1:46">
      <c r="A1267">
        <v>1037</v>
      </c>
      <c r="B1267" t="str">
        <f>"002526"</f>
        <v>002526</v>
      </c>
      <c r="C1267" t="s">
        <v>1643</v>
      </c>
      <c r="D1267" t="str">
        <f>[1]!EM_S_INFO_INDEX_EM(B1267,"1")</f>
        <v>机械设备</v>
      </c>
      <c r="E1267" s="4">
        <f t="shared" si="19"/>
        <v>43465</v>
      </c>
      <c r="F1267" s="11">
        <f>[1]!EM_S_PQ_PCTCHANGE(B1267,"2018-01-01","2019-12-31","3")</f>
        <v>4.7094948600000004</v>
      </c>
      <c r="G1267" s="11">
        <f>[1]!EM_S_PQ_PCTCHANGE(B1267,"2018-12-31","2019-12-30","1")</f>
        <v>20.212765959999999</v>
      </c>
      <c r="H1267" s="11">
        <f>[1]!EM_S_FA_YOY_OR(B1267,E1267)</f>
        <v>35.604550199400002</v>
      </c>
      <c r="I1267" s="11">
        <f>[1]!EM_S_FA_GROSSPROFITMARGIN(B1267,E1267)</f>
        <v>25.7421315263</v>
      </c>
      <c r="J1267" s="11">
        <f>[1]!EM_S_FA_NETPROFITMARGIN(B1267,E1267)</f>
        <v>9.2021964037000004</v>
      </c>
      <c r="K1267" s="10">
        <f>[1]!EM_S_FA_ASSETSTURN(B1267,E1267)</f>
        <v>0.60112039379100002</v>
      </c>
      <c r="L1267" s="12">
        <f>[1]!EM_HKS_VAL_MV(B1267,"2019-12-31","2")</f>
        <v>4029114069.3600001</v>
      </c>
      <c r="M1267">
        <f>[1]!EM_S_VAL_PETTMDEDUCTED(B1267,E1267)</f>
        <v>26.9462693590161</v>
      </c>
      <c r="N1267" s="7">
        <f>[1]!EM_S_VAL_PBGOODWILLDEDUCTED(B1267,E1267)</f>
        <v>1.67217742920776</v>
      </c>
      <c r="O1267" s="7">
        <f>[1]!EM_S_VAL_PS_TTM(B1267,E1267)</f>
        <v>1.78284235632026</v>
      </c>
      <c r="P1267" s="7">
        <f>[1]!EM_S_VAL_PCF_NCFTTM(B1267,E1267)</f>
        <v>29.196208628416301</v>
      </c>
      <c r="Q1267" s="7">
        <f>[1]!EM_S_VAL_DIVIDENDYIELD2(B1267,E1267,"2019-11-29")</f>
        <v>0</v>
      </c>
      <c r="T1267"/>
      <c r="U1267">
        <f>[1]!EM_S_RATIO_EPS_TTM(B1267,E1267,"1")</f>
        <v>8.5595691576084182E-2</v>
      </c>
      <c r="AT1267" s="4" t="str">
        <f>[1]!EM_S_IPO_LISTEDDATE(B1267)</f>
        <v>2010-12-17</v>
      </c>
    </row>
    <row r="1268" spans="1:46">
      <c r="A1268">
        <v>2292</v>
      </c>
      <c r="B1268" t="str">
        <f>"600151"</f>
        <v>600151</v>
      </c>
      <c r="C1268" t="s">
        <v>3537</v>
      </c>
      <c r="D1268" t="str">
        <f>[1]!EM_S_INFO_INDEX_EM(B1268,"1")</f>
        <v>电气设备</v>
      </c>
      <c r="E1268" s="4">
        <f t="shared" si="19"/>
        <v>43465</v>
      </c>
      <c r="F1268" s="11">
        <f>[1]!EM_S_PQ_PCTCHANGE(B1268,"2018-01-01","2019-12-31","3")</f>
        <v>-37.549407109999997</v>
      </c>
      <c r="G1268" s="11">
        <f>[1]!EM_S_PQ_PCTCHANGE(B1268,"2018-12-31","2019-12-30","1")</f>
        <v>20.2020202</v>
      </c>
      <c r="H1268" s="11">
        <f>[1]!EM_S_FA_YOY_OR(B1268,E1268)</f>
        <v>0.65707550690000005</v>
      </c>
      <c r="I1268" s="11">
        <f>[1]!EM_S_FA_GROSSPROFITMARGIN(B1268,E1268)</f>
        <v>11.939985318</v>
      </c>
      <c r="J1268" s="11">
        <f>[1]!EM_S_FA_NETPROFITMARGIN(B1268,E1268)</f>
        <v>0.47642333409999998</v>
      </c>
      <c r="K1268" s="10">
        <f>[1]!EM_S_FA_ASSETSTURN(B1268,E1268)</f>
        <v>0.54566498178699996</v>
      </c>
      <c r="L1268" s="12">
        <f>[1]!EM_HKS_VAL_MV(B1268,"2019-12-31","2")</f>
        <v>6798355840.3800001</v>
      </c>
      <c r="M1268">
        <f>[1]!EM_S_VAL_PETTMDEDUCTED(B1268,E1268)</f>
        <v>-11.119066238092101</v>
      </c>
      <c r="N1268" s="7">
        <f>[1]!EM_S_VAL_PBGOODWILLDEDUCTED(B1268,E1268)</f>
        <v>1.0105712777862901</v>
      </c>
      <c r="O1268" s="7">
        <f>[1]!EM_S_VAL_PS_TTM(B1268,E1268)</f>
        <v>0.77564683066018003</v>
      </c>
      <c r="P1268" s="7">
        <f>[1]!EM_S_VAL_PCF_NCFTTM(B1268,E1268)</f>
        <v>-16.982020483484099</v>
      </c>
      <c r="Q1268" s="7">
        <f>[1]!EM_S_VAL_DIVIDENDYIELD2(B1268,E1268,"2019-11-29")</f>
        <v>0</v>
      </c>
      <c r="T1268"/>
      <c r="U1268">
        <f>[1]!EM_S_RATIO_EPS_TTM(B1268,E1268,"1")</f>
        <v>2.6865568337769014E-2</v>
      </c>
      <c r="AT1268" s="4" t="str">
        <f>[1]!EM_S_IPO_LISTEDDATE(B1268)</f>
        <v>1998-06-05</v>
      </c>
    </row>
    <row r="1269" spans="1:46">
      <c r="A1269">
        <v>2205</v>
      </c>
      <c r="B1269" t="str">
        <f>"600058"</f>
        <v>600058</v>
      </c>
      <c r="C1269" t="s">
        <v>2846</v>
      </c>
      <c r="D1269" t="str">
        <f>[1]!EM_S_INFO_INDEX_EM(B1269,"1")</f>
        <v>商贸零售</v>
      </c>
      <c r="E1269" s="4">
        <f t="shared" si="19"/>
        <v>43465</v>
      </c>
      <c r="F1269" s="11">
        <f>[1]!EM_S_PQ_PCTCHANGE(B1269,"2018-01-01","2019-12-31","3")</f>
        <v>-33.60927152</v>
      </c>
      <c r="G1269" s="11">
        <f>[1]!EM_S_PQ_PCTCHANGE(B1269,"2018-12-31","2019-12-30","1")</f>
        <v>20.122887859999999</v>
      </c>
      <c r="H1269" s="11">
        <f>[1]!EM_S_FA_YOY_OR(B1269,E1269)</f>
        <v>-4.2191019719999998</v>
      </c>
      <c r="I1269" s="11">
        <f>[1]!EM_S_FA_GROSSPROFITMARGIN(B1269,E1269)</f>
        <v>3.6344290243000001</v>
      </c>
      <c r="J1269" s="11">
        <f>[1]!EM_S_FA_NETPROFITMARGIN(B1269,E1269)</f>
        <v>-1.4516776944000001</v>
      </c>
      <c r="K1269" s="10">
        <f>[1]!EM_S_FA_ASSETSTURN(B1269,E1269)</f>
        <v>2.6685936101880001</v>
      </c>
      <c r="L1269" s="12">
        <f>[1]!EM_HKS_VAL_MV(B1269,"2019-12-31","2")</f>
        <v>8596723902.2199993</v>
      </c>
      <c r="M1269">
        <f>[1]!EM_S_VAL_PETTMDEDUCTED(B1269,E1269)</f>
        <v>-25.0709752271101</v>
      </c>
      <c r="N1269" s="7">
        <f>[1]!EM_S_VAL_PBGOODWILLDEDUCTED(B1269,E1269)</f>
        <v>1.70944495495652</v>
      </c>
      <c r="O1269" s="7">
        <f>[1]!EM_S_VAL_PS_TTM(B1269,E1269)</f>
        <v>0.124720765236117</v>
      </c>
      <c r="P1269" s="7">
        <f>[1]!EM_S_VAL_PCF_NCFTTM(B1269,E1269)</f>
        <v>-11.077063265647199</v>
      </c>
      <c r="Q1269" s="7">
        <f>[1]!EM_S_VAL_DIVIDENDYIELD2(B1269,E1269,"2019-11-29")</f>
        <v>0</v>
      </c>
      <c r="T1269"/>
      <c r="U1269">
        <f>[1]!EM_S_RATIO_EPS_TTM(B1269,E1269,"1")</f>
        <v>-0.74998415434249732</v>
      </c>
      <c r="AT1269" s="4" t="str">
        <f>[1]!EM_S_IPO_LISTEDDATE(B1269)</f>
        <v>1997-05-28</v>
      </c>
    </row>
    <row r="1270" spans="1:46">
      <c r="A1270">
        <v>3122</v>
      </c>
      <c r="B1270" t="str">
        <f>"601595"</f>
        <v>601595</v>
      </c>
      <c r="C1270" t="s">
        <v>1360</v>
      </c>
      <c r="D1270" t="str">
        <f>[1]!EM_S_INFO_INDEX_EM(B1270,"1")</f>
        <v>文化传媒</v>
      </c>
      <c r="E1270" s="4">
        <f t="shared" si="19"/>
        <v>43465</v>
      </c>
      <c r="F1270" s="11">
        <f>[1]!EM_S_PQ_PCTCHANGE(B1270,"2018-01-01","2019-12-31","3")</f>
        <v>-26.54555633</v>
      </c>
      <c r="G1270" s="11">
        <f>[1]!EM_S_PQ_PCTCHANGE(B1270,"2018-12-31","2019-12-30","1")</f>
        <v>20.11447261</v>
      </c>
      <c r="H1270" s="11">
        <f>[1]!EM_S_FA_YOY_OR(B1270,E1270)</f>
        <v>-5.9284746496</v>
      </c>
      <c r="I1270" s="11">
        <f>[1]!EM_S_FA_GROSSPROFITMARGIN(B1270,E1270)</f>
        <v>15.8239084389</v>
      </c>
      <c r="J1270" s="11">
        <f>[1]!EM_S_FA_NETPROFITMARGIN(B1270,E1270)</f>
        <v>21.8449321901</v>
      </c>
      <c r="K1270" s="10">
        <f>[1]!EM_S_FA_ASSETSTURN(B1270,E1270)</f>
        <v>0.34326799649599998</v>
      </c>
      <c r="L1270" s="12">
        <f>[1]!EM_HKS_VAL_MV(B1270,"2019-12-31","2")</f>
        <v>5419485000</v>
      </c>
      <c r="M1270">
        <f>[1]!EM_S_VAL_PETTMDEDUCTED(B1270,E1270)</f>
        <v>40.160584639045197</v>
      </c>
      <c r="N1270" s="7">
        <f>[1]!EM_S_VAL_PBGOODWILLDEDUCTED(B1270,E1270)</f>
        <v>1.98114090143568</v>
      </c>
      <c r="O1270" s="7">
        <f>[1]!EM_S_VAL_PS_TTM(B1270,E1270)</f>
        <v>4.0596197554017301</v>
      </c>
      <c r="P1270" s="7">
        <f>[1]!EM_S_VAL_PCF_NCFTTM(B1270,E1270)</f>
        <v>-72.122880808500398</v>
      </c>
      <c r="Q1270" s="7">
        <f>[1]!EM_S_VAL_DIVIDENDYIELD2(B1270,E1270,"2019-11-29")</f>
        <v>1.7280240420736288</v>
      </c>
      <c r="T1270"/>
      <c r="U1270">
        <f>[1]!EM_S_RATIO_EPS_TTM(B1270,E1270,"1")</f>
        <v>0.62902266634538151</v>
      </c>
      <c r="AT1270" s="4" t="str">
        <f>[1]!EM_S_IPO_LISTEDDATE(B1270)</f>
        <v>2016-08-17</v>
      </c>
    </row>
    <row r="1271" spans="1:46">
      <c r="A1271">
        <v>2676</v>
      </c>
      <c r="B1271" t="str">
        <f>"600603"</f>
        <v>600603</v>
      </c>
      <c r="C1271" t="s">
        <v>1612</v>
      </c>
      <c r="D1271" t="str">
        <f>[1]!EM_S_INFO_INDEX_EM(B1271,"1")</f>
        <v>房地产</v>
      </c>
      <c r="E1271" s="4">
        <f t="shared" si="19"/>
        <v>43465</v>
      </c>
      <c r="F1271" s="11">
        <f>[1]!EM_S_PQ_PCTCHANGE(B1271,"2018-01-01","2019-12-31","3")</f>
        <v>8.8671679700000006</v>
      </c>
      <c r="G1271" s="11">
        <f>[1]!EM_S_PQ_PCTCHANGE(B1271,"2018-12-31","2019-12-30","1")</f>
        <v>20.09803922</v>
      </c>
      <c r="H1271" s="11">
        <f>[1]!EM_S_FA_YOY_OR(B1271,E1271)</f>
        <v>89.053556331199999</v>
      </c>
      <c r="I1271" s="11">
        <f>[1]!EM_S_FA_GROSSPROFITMARGIN(B1271,E1271)</f>
        <v>58.6867007102</v>
      </c>
      <c r="J1271" s="11">
        <f>[1]!EM_S_FA_NETPROFITMARGIN(B1271,E1271)</f>
        <v>26.789505756200001</v>
      </c>
      <c r="K1271" s="10">
        <f>[1]!EM_S_FA_ASSETSTURN(B1271,E1271)</f>
        <v>0.184209904891</v>
      </c>
      <c r="L1271" s="12">
        <f>[1]!EM_HKS_VAL_MV(B1271,"2019-12-31","2")</f>
        <v>6211095422.3999996</v>
      </c>
      <c r="M1271">
        <f>[1]!EM_S_VAL_PETTMDEDUCTED(B1271,E1271)</f>
        <v>10.521909621321599</v>
      </c>
      <c r="N1271" s="7">
        <f>[1]!EM_S_VAL_PBGOODWILLDEDUCTED(B1271,E1271)</f>
        <v>0.80211267191664104</v>
      </c>
      <c r="O1271" s="7">
        <f>[1]!EM_S_VAL_PS_TTM(B1271,E1271)</f>
        <v>3.0180049541439602</v>
      </c>
      <c r="P1271" s="7">
        <f>[1]!EM_S_VAL_PCF_NCFTTM(B1271,E1271)</f>
        <v>4.61799452312931</v>
      </c>
      <c r="Q1271" s="7">
        <f>[1]!EM_S_VAL_DIVIDENDYIELD2(B1271,E1271,"2019-11-29")</f>
        <v>6.2035833379353669</v>
      </c>
      <c r="T1271"/>
      <c r="U1271">
        <f>[1]!EM_S_RATIO_EPS_TTM(B1271,E1271,"1")</f>
        <v>0.43967262855884814</v>
      </c>
      <c r="AT1271" s="4" t="str">
        <f>[1]!EM_S_IPO_LISTEDDATE(B1271)</f>
        <v>1992-01-13</v>
      </c>
    </row>
    <row r="1272" spans="1:46">
      <c r="A1272">
        <v>1414</v>
      </c>
      <c r="B1272" t="str">
        <f>"002918"</f>
        <v>002918</v>
      </c>
      <c r="C1272" t="s">
        <v>1316</v>
      </c>
      <c r="D1272" t="str">
        <f>[1]!EM_S_INFO_INDEX_EM(B1272,"1")</f>
        <v>建材</v>
      </c>
      <c r="E1272" s="4">
        <f t="shared" si="19"/>
        <v>43465</v>
      </c>
      <c r="F1272" s="11">
        <f>[1]!EM_S_PQ_PCTCHANGE(B1272,"2018-01-01","2019-12-31","3")</f>
        <v>-6.4041957399999996</v>
      </c>
      <c r="G1272" s="11">
        <f>[1]!EM_S_PQ_PCTCHANGE(B1272,"2018-12-31","2019-12-30","1")</f>
        <v>20.060240960000002</v>
      </c>
      <c r="H1272" s="11">
        <f>[1]!EM_S_FA_YOY_OR(B1272,E1272)</f>
        <v>11.0220600287</v>
      </c>
      <c r="I1272" s="11">
        <f>[1]!EM_S_FA_GROSSPROFITMARGIN(B1272,E1272)</f>
        <v>36.773573155900003</v>
      </c>
      <c r="J1272" s="11">
        <f>[1]!EM_S_FA_NETPROFITMARGIN(B1272,E1272)</f>
        <v>11.294852343700001</v>
      </c>
      <c r="K1272" s="10">
        <f>[1]!EM_S_FA_ASSETSTURN(B1272,E1272)</f>
        <v>0.81211226757199995</v>
      </c>
      <c r="L1272" s="12">
        <f>[1]!EM_HKS_VAL_MV(B1272,"2019-12-31","2")</f>
        <v>8051763720</v>
      </c>
      <c r="M1272">
        <f>[1]!EM_S_VAL_PETTMDEDUCTED(B1272,E1272)</f>
        <v>12.789283785196201</v>
      </c>
      <c r="N1272" s="7">
        <f>[1]!EM_S_VAL_PBGOODWILLDEDUCTED(B1272,E1272)</f>
        <v>1.5404438743398501</v>
      </c>
      <c r="O1272" s="7">
        <f>[1]!EM_S_VAL_PS_TTM(B1272,E1272)</f>
        <v>1.26418386181711</v>
      </c>
      <c r="P1272" s="7">
        <f>[1]!EM_S_VAL_PCF_NCFTTM(B1272,E1272)</f>
        <v>4.3369616875266397</v>
      </c>
      <c r="Q1272" s="7">
        <f>[1]!EM_S_VAL_DIVIDENDYIELD2(B1272,E1272,"2019-11-29")</f>
        <v>1.1501807426881365</v>
      </c>
      <c r="T1272"/>
      <c r="U1272">
        <f>[1]!EM_S_RATIO_EPS_TTM(B1272,E1272,"1")</f>
        <v>1.5317611700481868</v>
      </c>
      <c r="AT1272" s="4" t="str">
        <f>[1]!EM_S_IPO_LISTEDDATE(B1272)</f>
        <v>2017-12-19</v>
      </c>
    </row>
    <row r="1273" spans="1:46">
      <c r="A1273">
        <v>2426</v>
      </c>
      <c r="B1273" t="str">
        <f>"600298"</f>
        <v>600298</v>
      </c>
      <c r="C1273" t="s">
        <v>161</v>
      </c>
      <c r="D1273" t="str">
        <f>[1]!EM_S_INFO_INDEX_EM(B1273,"1")</f>
        <v>食品饮料</v>
      </c>
      <c r="E1273" s="4">
        <f t="shared" si="19"/>
        <v>43465</v>
      </c>
      <c r="F1273" s="11">
        <f>[1]!EM_S_PQ_PCTCHANGE(B1273,"2018-01-01","2019-12-31","3")</f>
        <v>-4.2554713900000003</v>
      </c>
      <c r="G1273" s="11">
        <f>[1]!EM_S_PQ_PCTCHANGE(B1273,"2018-12-31","2019-12-30","1")</f>
        <v>20.0554895</v>
      </c>
      <c r="H1273" s="11">
        <f>[1]!EM_S_FA_YOY_OR(B1273,E1273)</f>
        <v>15.7533814606</v>
      </c>
      <c r="I1273" s="11">
        <f>[1]!EM_S_FA_GROSSPROFITMARGIN(B1273,E1273)</f>
        <v>36.3168877417</v>
      </c>
      <c r="J1273" s="11">
        <f>[1]!EM_S_FA_NETPROFITMARGIN(B1273,E1273)</f>
        <v>13.457395824300001</v>
      </c>
      <c r="K1273" s="10">
        <f>[1]!EM_S_FA_ASSETSTURN(B1273,E1273)</f>
        <v>0.78619312008800002</v>
      </c>
      <c r="L1273" s="12">
        <f>[1]!EM_HKS_VAL_MV(B1273,"2019-12-31","2")</f>
        <v>25274562521.810001</v>
      </c>
      <c r="M1273">
        <f>[1]!EM_S_VAL_PETTMDEDUCTED(B1273,E1273)</f>
        <v>24.127526849540899</v>
      </c>
      <c r="N1273" s="7">
        <f>[1]!EM_S_VAL_PBGOODWILLDEDUCTED(B1273,E1273)</f>
        <v>4.8844449123461997</v>
      </c>
      <c r="O1273" s="7">
        <f>[1]!EM_S_VAL_PS_TTM(B1273,E1273)</f>
        <v>3.2027217090798299</v>
      </c>
      <c r="P1273" s="7">
        <f>[1]!EM_S_VAL_PCF_NCFTTM(B1273,E1273)</f>
        <v>852.098987453738</v>
      </c>
      <c r="Q1273" s="7">
        <f>[1]!EM_S_VAL_DIVIDENDYIELD2(B1273,E1273,"2019-11-29")</f>
        <v>1.1562603237528903</v>
      </c>
      <c r="T1273"/>
      <c r="U1273">
        <f>[1]!EM_S_RATIO_EPS_TTM(B1273,E1273,"1")</f>
        <v>1.0395449284403606</v>
      </c>
      <c r="AT1273" s="4" t="str">
        <f>[1]!EM_S_IPO_LISTEDDATE(B1273)</f>
        <v>2000-08-18</v>
      </c>
    </row>
    <row r="1274" spans="1:46">
      <c r="A1274">
        <v>1556</v>
      </c>
      <c r="B1274" t="str">
        <f>"300131"</f>
        <v>300131</v>
      </c>
      <c r="C1274" t="s">
        <v>1415</v>
      </c>
      <c r="D1274" t="str">
        <f>[1]!EM_S_INFO_INDEX_EM(B1274,"1")</f>
        <v>电子设备</v>
      </c>
      <c r="E1274" s="4">
        <f t="shared" si="19"/>
        <v>43465</v>
      </c>
      <c r="F1274" s="11">
        <f>[1]!EM_S_PQ_PCTCHANGE(B1274,"2018-01-01","2019-12-31","3")</f>
        <v>-24.53822916</v>
      </c>
      <c r="G1274" s="11">
        <f>[1]!EM_S_PQ_PCTCHANGE(B1274,"2018-12-31","2019-12-30","1")</f>
        <v>20.046620050000001</v>
      </c>
      <c r="H1274" s="11">
        <f>[1]!EM_S_FA_YOY_OR(B1274,E1274)</f>
        <v>63.706902567199997</v>
      </c>
      <c r="I1274" s="11">
        <f>[1]!EM_S_FA_GROSSPROFITMARGIN(B1274,E1274)</f>
        <v>7.6586981209999996</v>
      </c>
      <c r="J1274" s="11">
        <f>[1]!EM_S_FA_NETPROFITMARGIN(B1274,E1274)</f>
        <v>1.6391015954000001</v>
      </c>
      <c r="K1274" s="10">
        <f>[1]!EM_S_FA_ASSETSTURN(B1274,E1274)</f>
        <v>2.2049608907340001</v>
      </c>
      <c r="L1274" s="12">
        <f>[1]!EM_HKS_VAL_MV(B1274,"2019-12-31","2")</f>
        <v>5486670565.3800001</v>
      </c>
      <c r="M1274">
        <f>[1]!EM_S_VAL_PETTMDEDUCTED(B1274,E1274)</f>
        <v>26.969074462549699</v>
      </c>
      <c r="N1274" s="7">
        <f>[1]!EM_S_VAL_PBGOODWILLDEDUCTED(B1274,E1274)</f>
        <v>5.9418730078506501</v>
      </c>
      <c r="O1274" s="7">
        <f>[1]!EM_S_VAL_PS_TTM(B1274,E1274)</f>
        <v>0.44134833557641701</v>
      </c>
      <c r="P1274" s="7">
        <f>[1]!EM_S_VAL_PCF_NCFTTM(B1274,E1274)</f>
        <v>86.601703129936695</v>
      </c>
      <c r="Q1274" s="7">
        <f>[1]!EM_S_VAL_DIVIDENDYIELD2(B1274,E1274,"2019-11-29")</f>
        <v>0.39840637450199201</v>
      </c>
      <c r="T1274"/>
      <c r="U1274">
        <f>[1]!EM_S_RATIO_EPS_TTM(B1274,E1274,"1")</f>
        <v>0.1314115606994829</v>
      </c>
      <c r="AT1274" s="4" t="str">
        <f>[1]!EM_S_IPO_LISTEDDATE(B1274)</f>
        <v>2010-10-19</v>
      </c>
    </row>
    <row r="1275" spans="1:46">
      <c r="A1275">
        <v>1043</v>
      </c>
      <c r="B1275" t="str">
        <f>"002532"</f>
        <v>002532</v>
      </c>
      <c r="C1275" t="s">
        <v>1544</v>
      </c>
      <c r="D1275" t="str">
        <f>[1]!EM_S_INFO_INDEX_EM(B1275,"1")</f>
        <v>机械设备</v>
      </c>
      <c r="E1275" s="4">
        <f t="shared" si="19"/>
        <v>43465</v>
      </c>
      <c r="F1275" s="11">
        <f>[1]!EM_S_PQ_PCTCHANGE(B1275,"2018-01-01","2019-12-31","3")</f>
        <v>3.2429973300000001</v>
      </c>
      <c r="G1275" s="11">
        <f>[1]!EM_S_PQ_PCTCHANGE(B1275,"2018-12-31","2019-12-30","1")</f>
        <v>20.040485830000001</v>
      </c>
      <c r="H1275" s="11">
        <f>[1]!EM_S_FA_YOY_OR(B1275,E1275)</f>
        <v>-0.5543034376</v>
      </c>
      <c r="I1275" s="11">
        <f>[1]!EM_S_FA_GROSSPROFITMARGIN(B1275,E1275)</f>
        <v>29.182089244299998</v>
      </c>
      <c r="J1275" s="11">
        <f>[1]!EM_S_FA_NETPROFITMARGIN(B1275,E1275)</f>
        <v>8.7882346054999996</v>
      </c>
      <c r="K1275" s="10">
        <f>[1]!EM_S_FA_ASSETSTURN(B1275,E1275)</f>
        <v>0.75615814066599996</v>
      </c>
      <c r="L1275" s="12">
        <f>[1]!EM_HKS_VAL_MV(B1275,"2019-12-31","2")</f>
        <v>3033572538.6900001</v>
      </c>
      <c r="M1275">
        <f>[1]!EM_S_VAL_PETTMDEDUCTED(B1275,E1275)</f>
        <v>21.580465458341401</v>
      </c>
      <c r="N1275" s="7">
        <f>[1]!EM_S_VAL_PBGOODWILLDEDUCTED(B1275,E1275)</f>
        <v>1.91444846105014</v>
      </c>
      <c r="O1275" s="7">
        <f>[1]!EM_S_VAL_PS_TTM(B1275,E1275)</f>
        <v>1.6229543638366699</v>
      </c>
      <c r="P1275" s="7">
        <f>[1]!EM_S_VAL_PCF_NCFTTM(B1275,E1275)</f>
        <v>34.1366665810732</v>
      </c>
      <c r="Q1275" s="7">
        <f>[1]!EM_S_VAL_DIVIDENDYIELD2(B1275,E1275,"2019-11-29")</f>
        <v>3.4482758620689653</v>
      </c>
      <c r="T1275"/>
      <c r="U1275">
        <f>[1]!EM_S_RATIO_EPS_TTM(B1275,E1275,"1")</f>
        <v>0.26007458994252292</v>
      </c>
      <c r="AT1275" s="4" t="str">
        <f>[1]!EM_S_IPO_LISTEDDATE(B1275)</f>
        <v>2010-12-31</v>
      </c>
    </row>
    <row r="1276" spans="1:46">
      <c r="A1276">
        <v>1673</v>
      </c>
      <c r="B1276" t="str">
        <f>"300248"</f>
        <v>300248</v>
      </c>
      <c r="C1276" t="s">
        <v>3369</v>
      </c>
      <c r="D1276" t="str">
        <f>[1]!EM_S_INFO_INDEX_EM(B1276,"1")</f>
        <v>信息技术</v>
      </c>
      <c r="E1276" s="4">
        <f t="shared" si="19"/>
        <v>43465</v>
      </c>
      <c r="F1276" s="11">
        <f>[1]!EM_S_PQ_PCTCHANGE(B1276,"2018-01-01","2019-12-31","3")</f>
        <v>-6.6048414099999997</v>
      </c>
      <c r="G1276" s="11">
        <f>[1]!EM_S_PQ_PCTCHANGE(B1276,"2018-12-31","2019-12-30","1")</f>
        <v>20.029455080000002</v>
      </c>
      <c r="H1276" s="11">
        <f>[1]!EM_S_FA_YOY_OR(B1276,E1276)</f>
        <v>8.8365532872999992</v>
      </c>
      <c r="I1276" s="11">
        <f>[1]!EM_S_FA_GROSSPROFITMARGIN(B1276,E1276)</f>
        <v>55.112145774699997</v>
      </c>
      <c r="J1276" s="11">
        <f>[1]!EM_S_FA_NETPROFITMARGIN(B1276,E1276)</f>
        <v>11.6193869397</v>
      </c>
      <c r="K1276" s="10">
        <f>[1]!EM_S_FA_ASSETSTURN(B1276,E1276)</f>
        <v>0.40393593052600002</v>
      </c>
      <c r="L1276" s="12">
        <f>[1]!EM_HKS_VAL_MV(B1276,"2019-12-31","2")</f>
        <v>3949769383.9499998</v>
      </c>
      <c r="M1276">
        <f>[1]!EM_S_VAL_PETTMDEDUCTED(B1276,E1276)</f>
        <v>40.160107264789502</v>
      </c>
      <c r="N1276" s="7">
        <f>[1]!EM_S_VAL_PBGOODWILLDEDUCTED(B1276,E1276)</f>
        <v>3.3572836897725602</v>
      </c>
      <c r="O1276" s="7">
        <f>[1]!EM_S_VAL_PS_TTM(B1276,E1276)</f>
        <v>4.0346208107377404</v>
      </c>
      <c r="P1276" s="7">
        <f>[1]!EM_S_VAL_PCF_NCFTTM(B1276,E1276)</f>
        <v>-41.852456058774003</v>
      </c>
      <c r="Q1276" s="7">
        <f>[1]!EM_S_VAL_DIVIDENDYIELD2(B1276,E1276,"2019-11-29")</f>
        <v>0.5434782608695653</v>
      </c>
      <c r="T1276"/>
      <c r="U1276">
        <f>[1]!EM_S_RATIO_EPS_TTM(B1276,E1276,"1")</f>
        <v>0.19977989561030257</v>
      </c>
      <c r="AT1276" s="4" t="str">
        <f>[1]!EM_S_IPO_LISTEDDATE(B1276)</f>
        <v>2011-07-29</v>
      </c>
    </row>
    <row r="1277" spans="1:46">
      <c r="A1277">
        <v>873</v>
      </c>
      <c r="B1277" t="str">
        <f>"002362"</f>
        <v>002362</v>
      </c>
      <c r="C1277" t="s">
        <v>2094</v>
      </c>
      <c r="D1277" t="str">
        <f>[1]!EM_S_INFO_INDEX_EM(B1277,"1")</f>
        <v>信息技术</v>
      </c>
      <c r="E1277" s="4">
        <f t="shared" si="19"/>
        <v>43465</v>
      </c>
      <c r="F1277" s="11">
        <f>[1]!EM_S_PQ_PCTCHANGE(B1277,"2018-01-01","2019-12-31","3")</f>
        <v>-34.748877090000001</v>
      </c>
      <c r="G1277" s="11">
        <f>[1]!EM_S_PQ_PCTCHANGE(B1277,"2018-12-31","2019-12-30","1")</f>
        <v>20</v>
      </c>
      <c r="H1277" s="11">
        <f>[1]!EM_S_FA_YOY_OR(B1277,E1277)</f>
        <v>23.6432434922</v>
      </c>
      <c r="I1277" s="11">
        <f>[1]!EM_S_FA_GROSSPROFITMARGIN(B1277,E1277)</f>
        <v>38.3351793362</v>
      </c>
      <c r="J1277" s="11">
        <f>[1]!EM_S_FA_NETPROFITMARGIN(B1277,E1277)</f>
        <v>2.1436894707</v>
      </c>
      <c r="K1277" s="10">
        <f>[1]!EM_S_FA_ASSETSTURN(B1277,E1277)</f>
        <v>0.67085873868400003</v>
      </c>
      <c r="L1277" s="12">
        <f>[1]!EM_HKS_VAL_MV(B1277,"2019-12-31","2")</f>
        <v>3467488886.1599998</v>
      </c>
      <c r="M1277">
        <f>[1]!EM_S_VAL_PETTMDEDUCTED(B1277,E1277)</f>
        <v>86.877797336580898</v>
      </c>
      <c r="N1277" s="7">
        <f>[1]!EM_S_VAL_PBGOODWILLDEDUCTED(B1277,E1277)</f>
        <v>3.4032874926389298</v>
      </c>
      <c r="O1277" s="7">
        <f>[1]!EM_S_VAL_PS_TTM(B1277,E1277)</f>
        <v>4.3283946833782903</v>
      </c>
      <c r="P1277" s="7">
        <f>[1]!EM_S_VAL_PCF_NCFTTM(B1277,E1277)</f>
        <v>67.786499030143901</v>
      </c>
      <c r="Q1277" s="7">
        <f>[1]!EM_S_VAL_DIVIDENDYIELD2(B1277,E1277,"2019-11-29")</f>
        <v>0</v>
      </c>
      <c r="T1277"/>
      <c r="U1277">
        <f>[1]!EM_S_RATIO_EPS_TTM(B1277,E1277,"1")</f>
        <v>7.309803256389405E-2</v>
      </c>
      <c r="AT1277" s="4" t="str">
        <f>[1]!EM_S_IPO_LISTEDDATE(B1277)</f>
        <v>2010-03-03</v>
      </c>
    </row>
    <row r="1278" spans="1:46">
      <c r="A1278">
        <v>1827</v>
      </c>
      <c r="B1278" t="str">
        <f>"300402"</f>
        <v>300402</v>
      </c>
      <c r="C1278" t="s">
        <v>3529</v>
      </c>
      <c r="D1278" t="str">
        <f>[1]!EM_S_INFO_INDEX_EM(B1278,"1")</f>
        <v>机械设备</v>
      </c>
      <c r="E1278" s="4">
        <f t="shared" si="19"/>
        <v>43465</v>
      </c>
      <c r="F1278" s="11">
        <f>[1]!EM_S_PQ_PCTCHANGE(B1278,"2018-01-01","2019-12-31","3")</f>
        <v>-27.139589000000001</v>
      </c>
      <c r="G1278" s="11">
        <f>[1]!EM_S_PQ_PCTCHANGE(B1278,"2018-12-31","2019-12-30","1")</f>
        <v>20</v>
      </c>
      <c r="H1278" s="11">
        <f>[1]!EM_S_FA_YOY_OR(B1278,E1278)</f>
        <v>62.213631066600001</v>
      </c>
      <c r="I1278" s="11">
        <f>[1]!EM_S_FA_GROSSPROFITMARGIN(B1278,E1278)</f>
        <v>18.999642918599999</v>
      </c>
      <c r="J1278" s="11">
        <f>[1]!EM_S_FA_NETPROFITMARGIN(B1278,E1278)</f>
        <v>2.0505714421999999</v>
      </c>
      <c r="K1278" s="10">
        <f>[1]!EM_S_FA_ASSETSTURN(B1278,E1278)</f>
        <v>0.51238557590300005</v>
      </c>
      <c r="L1278" s="12">
        <f>[1]!EM_HKS_VAL_MV(B1278,"2019-12-31","2")</f>
        <v>1860420000</v>
      </c>
      <c r="M1278">
        <f>[1]!EM_S_VAL_PETTMDEDUCTED(B1278,E1278)</f>
        <v>-367.50192438198297</v>
      </c>
      <c r="N1278" s="7">
        <f>[1]!EM_S_VAL_PBGOODWILLDEDUCTED(B1278,E1278)</f>
        <v>2.5163114419881398</v>
      </c>
      <c r="O1278" s="7">
        <f>[1]!EM_S_VAL_PS_TTM(B1278,E1278)</f>
        <v>2.57473669605608</v>
      </c>
      <c r="P1278" s="7">
        <f>[1]!EM_S_VAL_PCF_NCFTTM(B1278,E1278)</f>
        <v>-35.884238044217398</v>
      </c>
      <c r="Q1278" s="7">
        <f>[1]!EM_S_VAL_DIVIDENDYIELD2(B1278,E1278,"2019-11-29")</f>
        <v>0.28901734104046239</v>
      </c>
      <c r="T1278"/>
      <c r="U1278">
        <f>[1]!EM_S_RATIO_EPS_TTM(B1278,E1278,"1")</f>
        <v>7.2463790247524751E-2</v>
      </c>
      <c r="AT1278" s="4" t="str">
        <f>[1]!EM_S_IPO_LISTEDDATE(B1278)</f>
        <v>2014-10-10</v>
      </c>
    </row>
    <row r="1279" spans="1:46">
      <c r="A1279">
        <v>3056</v>
      </c>
      <c r="B1279" t="str">
        <f>"601117"</f>
        <v>601117</v>
      </c>
      <c r="C1279" t="s">
        <v>1867</v>
      </c>
      <c r="D1279" t="str">
        <f>[1]!EM_S_INFO_INDEX_EM(B1279,"1")</f>
        <v>建筑</v>
      </c>
      <c r="E1279" s="4">
        <f t="shared" si="19"/>
        <v>43465</v>
      </c>
      <c r="F1279" s="11">
        <f>[1]!EM_S_PQ_PCTCHANGE(B1279,"2018-01-01","2019-12-31","3")</f>
        <v>-1.3880044899999999</v>
      </c>
      <c r="G1279" s="11">
        <f>[1]!EM_S_PQ_PCTCHANGE(B1279,"2018-12-31","2019-12-30","1")</f>
        <v>19.962686569999999</v>
      </c>
      <c r="H1279" s="11">
        <f>[1]!EM_S_FA_YOY_OR(B1279,E1279)</f>
        <v>39.053256615800002</v>
      </c>
      <c r="I1279" s="11">
        <f>[1]!EM_S_FA_GROSSPROFITMARGIN(B1279,E1279)</f>
        <v>11.636012896</v>
      </c>
      <c r="J1279" s="11">
        <f>[1]!EM_S_FA_NETPROFITMARGIN(B1279,E1279)</f>
        <v>2.5539145888000001</v>
      </c>
      <c r="K1279" s="10">
        <f>[1]!EM_S_FA_ASSETSTURN(B1279,E1279)</f>
        <v>0.88285866192100004</v>
      </c>
      <c r="L1279" s="12">
        <f>[1]!EM_HKS_VAL_MV(B1279,"2019-12-31","2")</f>
        <v>31768520000</v>
      </c>
      <c r="M1279">
        <f>[1]!EM_S_VAL_PETTMDEDUCTED(B1279,E1279)</f>
        <v>15.1177851732274</v>
      </c>
      <c r="N1279" s="7">
        <f>[1]!EM_S_VAL_PBGOODWILLDEDUCTED(B1279,E1279)</f>
        <v>0.885859104197391</v>
      </c>
      <c r="O1279" s="7">
        <f>[1]!EM_S_VAL_PS_TTM(B1279,E1279)</f>
        <v>0.35804431535742398</v>
      </c>
      <c r="P1279" s="7">
        <f>[1]!EM_S_VAL_PCF_NCFTTM(B1279,E1279)</f>
        <v>5.3345763196961302</v>
      </c>
      <c r="Q1279" s="7">
        <f>[1]!EM_S_VAL_DIVIDENDYIELD2(B1279,E1279,"2019-11-29")</f>
        <v>1.8940609951845908</v>
      </c>
      <c r="T1279"/>
      <c r="U1279">
        <f>[1]!EM_S_RATIO_EPS_TTM(B1279,E1279,"1")</f>
        <v>0.39160224083113726</v>
      </c>
      <c r="AT1279" s="4" t="str">
        <f>[1]!EM_S_IPO_LISTEDDATE(B1279)</f>
        <v>2010-01-07</v>
      </c>
    </row>
    <row r="1280" spans="1:46">
      <c r="A1280">
        <v>762</v>
      </c>
      <c r="B1280" t="str">
        <f>"002251"</f>
        <v>002251</v>
      </c>
      <c r="C1280" t="s">
        <v>985</v>
      </c>
      <c r="D1280" t="str">
        <f>[1]!EM_S_INFO_INDEX_EM(B1280,"1")</f>
        <v>商贸零售</v>
      </c>
      <c r="E1280" s="4">
        <f t="shared" si="19"/>
        <v>43465</v>
      </c>
      <c r="F1280" s="11">
        <f>[1]!EM_S_PQ_PCTCHANGE(B1280,"2018-01-01","2019-12-31","3")</f>
        <v>-48.475771139999999</v>
      </c>
      <c r="G1280" s="11">
        <f>[1]!EM_S_PQ_PCTCHANGE(B1280,"2018-12-31","2019-12-30","1")</f>
        <v>19.946091639999999</v>
      </c>
      <c r="H1280" s="11">
        <f>[1]!EM_S_FA_YOY_OR(B1280,E1280)</f>
        <v>6.6517889101999996</v>
      </c>
      <c r="I1280" s="11">
        <f>[1]!EM_S_FA_GROSSPROFITMARGIN(B1280,E1280)</f>
        <v>23.028877729800001</v>
      </c>
      <c r="J1280" s="11">
        <f>[1]!EM_S_FA_NETPROFITMARGIN(B1280,E1280)</f>
        <v>0.87097927129999997</v>
      </c>
      <c r="K1280" s="10">
        <f>[1]!EM_S_FA_ASSETSTURN(B1280,E1280)</f>
        <v>0.99950473817200003</v>
      </c>
      <c r="L1280" s="12">
        <f>[1]!EM_HKS_VAL_MV(B1280,"2019-12-31","2")</f>
        <v>7861525954.1000004</v>
      </c>
      <c r="M1280">
        <f>[1]!EM_S_VAL_PETTMDEDUCTED(B1280,E1280)</f>
        <v>50.6193511378859</v>
      </c>
      <c r="N1280" s="7">
        <f>[1]!EM_S_VAL_PBGOODWILLDEDUCTED(B1280,E1280)</f>
        <v>0.98869961769797798</v>
      </c>
      <c r="O1280" s="7">
        <f>[1]!EM_S_VAL_PS_TTM(B1280,E1280)</f>
        <v>0.34759325446276501</v>
      </c>
      <c r="P1280" s="7">
        <f>[1]!EM_S_VAL_PCF_NCFTTM(B1280,E1280)</f>
        <v>-28.181764582795999</v>
      </c>
      <c r="Q1280" s="7">
        <f>[1]!EM_S_VAL_DIVIDENDYIELD2(B1280,E1280,"2019-11-29")</f>
        <v>1.1111111111111112</v>
      </c>
      <c r="T1280"/>
      <c r="U1280">
        <f>[1]!EM_S_RATIO_EPS_TTM(B1280,E1280,"1")</f>
        <v>0.1800660850780158</v>
      </c>
      <c r="AT1280" s="4" t="str">
        <f>[1]!EM_S_IPO_LISTEDDATE(B1280)</f>
        <v>2008-06-19</v>
      </c>
    </row>
    <row r="1281" spans="1:46">
      <c r="A1281">
        <v>1176</v>
      </c>
      <c r="B1281" t="str">
        <f>"002665"</f>
        <v>002665</v>
      </c>
      <c r="C1281" t="s">
        <v>3241</v>
      </c>
      <c r="D1281" t="str">
        <f>[1]!EM_S_INFO_INDEX_EM(B1281,"1")</f>
        <v>机械设备</v>
      </c>
      <c r="E1281" s="4">
        <f t="shared" si="19"/>
        <v>43465</v>
      </c>
      <c r="F1281" s="11">
        <f>[1]!EM_S_PQ_PCTCHANGE(B1281,"2018-01-01","2019-12-31","3")</f>
        <v>-49.462566029999998</v>
      </c>
      <c r="G1281" s="11">
        <f>[1]!EM_S_PQ_PCTCHANGE(B1281,"2018-12-31","2019-12-30","1")</f>
        <v>19.928825620000001</v>
      </c>
      <c r="H1281" s="11">
        <f>[1]!EM_S_FA_YOY_OR(B1281,E1281)</f>
        <v>-56.8427781141</v>
      </c>
      <c r="I1281" s="11">
        <f>[1]!EM_S_FA_GROSSPROFITMARGIN(B1281,E1281)</f>
        <v>13.4558949422</v>
      </c>
      <c r="J1281" s="11">
        <f>[1]!EM_S_FA_NETPROFITMARGIN(B1281,E1281)</f>
        <v>-130.14827494510001</v>
      </c>
      <c r="K1281" s="10">
        <f>[1]!EM_S_FA_ASSETSTURN(B1281,E1281)</f>
        <v>6.4628556076999993E-2</v>
      </c>
      <c r="L1281" s="12">
        <f>[1]!EM_HKS_VAL_MV(B1281,"2019-12-31","2")</f>
        <v>8530101676.3199997</v>
      </c>
      <c r="M1281">
        <f>[1]!EM_S_VAL_PETTMDEDUCTED(B1281,E1281)</f>
        <v>-138.10494939785301</v>
      </c>
      <c r="N1281" s="7">
        <f>[1]!EM_S_VAL_PBGOODWILLDEDUCTED(B1281,E1281)</f>
        <v>1.0611789616615801</v>
      </c>
      <c r="O1281" s="7">
        <f>[1]!EM_S_VAL_PS_TTM(B1281,E1281)</f>
        <v>10.8601260415371</v>
      </c>
      <c r="P1281" s="7">
        <f>[1]!EM_S_VAL_PCF_NCFTTM(B1281,E1281)</f>
        <v>-4.3064262669804103</v>
      </c>
      <c r="Q1281" s="7">
        <f>[1]!EM_S_VAL_DIVIDENDYIELD2(B1281,E1281,"2019-11-29")</f>
        <v>0</v>
      </c>
      <c r="T1281"/>
      <c r="U1281">
        <f>[1]!EM_S_RATIO_EPS_TTM(B1281,E1281,"1")</f>
        <v>-0.25208353100949993</v>
      </c>
      <c r="AT1281" s="4" t="str">
        <f>[1]!EM_S_IPO_LISTEDDATE(B1281)</f>
        <v>2012-03-27</v>
      </c>
    </row>
    <row r="1282" spans="1:46">
      <c r="A1282">
        <v>677</v>
      </c>
      <c r="B1282" t="str">
        <f>"002166"</f>
        <v>002166</v>
      </c>
      <c r="C1282" t="s">
        <v>1582</v>
      </c>
      <c r="D1282" t="str">
        <f>[1]!EM_S_INFO_INDEX_EM(B1282,"1")</f>
        <v>医药生物</v>
      </c>
      <c r="E1282" s="4">
        <f t="shared" si="19"/>
        <v>43465</v>
      </c>
      <c r="F1282" s="11">
        <f>[1]!EM_S_PQ_PCTCHANGE(B1282,"2018-01-01","2019-12-31","3")</f>
        <v>-9.8267614000000005</v>
      </c>
      <c r="G1282" s="11">
        <f>[1]!EM_S_PQ_PCTCHANGE(B1282,"2018-12-31","2019-12-30","1")</f>
        <v>19.869706839999999</v>
      </c>
      <c r="H1282" s="11">
        <f>[1]!EM_S_FA_YOY_OR(B1282,E1282)</f>
        <v>-22.677517319900002</v>
      </c>
      <c r="I1282" s="11">
        <f>[1]!EM_S_FA_GROSSPROFITMARGIN(B1282,E1282)</f>
        <v>32.843257190700001</v>
      </c>
      <c r="J1282" s="11">
        <f>[1]!EM_S_FA_NETPROFITMARGIN(B1282,E1282)</f>
        <v>13.1630351684</v>
      </c>
      <c r="K1282" s="10">
        <f>[1]!EM_S_FA_ASSETSTURN(B1282,E1282)</f>
        <v>0.24688528636900001</v>
      </c>
      <c r="L1282" s="12">
        <f>[1]!EM_HKS_VAL_MV(B1282,"2019-12-31","2")</f>
        <v>4578239394</v>
      </c>
      <c r="M1282">
        <f>[1]!EM_S_VAL_PETTMDEDUCTED(B1282,E1282)</f>
        <v>36.357217071287202</v>
      </c>
      <c r="N1282" s="7">
        <f>[1]!EM_S_VAL_PBGOODWILLDEDUCTED(B1282,E1282)</f>
        <v>2.4108740794621002</v>
      </c>
      <c r="O1282" s="7">
        <f>[1]!EM_S_VAL_PS_TTM(B1282,E1282)</f>
        <v>3.7713386347795699</v>
      </c>
      <c r="P1282" s="7">
        <f>[1]!EM_S_VAL_PCF_NCFTTM(B1282,E1282)</f>
        <v>-70.791754765457497</v>
      </c>
      <c r="Q1282" s="7">
        <f>[1]!EM_S_VAL_DIVIDENDYIELD2(B1282,E1282,"2019-11-29")</f>
        <v>0.72150072150072153</v>
      </c>
      <c r="T1282"/>
      <c r="U1282">
        <f>[1]!EM_S_RATIO_EPS_TTM(B1282,E1282,"1")</f>
        <v>0.18675461784259628</v>
      </c>
      <c r="AT1282" s="4" t="str">
        <f>[1]!EM_S_IPO_LISTEDDATE(B1282)</f>
        <v>2007-09-13</v>
      </c>
    </row>
    <row r="1283" spans="1:46">
      <c r="A1283">
        <v>1699</v>
      </c>
      <c r="B1283" t="str">
        <f>"300274"</f>
        <v>300274</v>
      </c>
      <c r="C1283" t="s">
        <v>891</v>
      </c>
      <c r="D1283" t="str">
        <f>[1]!EM_S_INFO_INDEX_EM(B1283,"1")</f>
        <v>电气设备</v>
      </c>
      <c r="E1283" s="4">
        <f t="shared" ref="E1283:E1346" si="20">$B$1</f>
        <v>43465</v>
      </c>
      <c r="F1283" s="11">
        <f>[1]!EM_S_PQ_PCTCHANGE(B1283,"2018-01-01","2019-12-31","3")</f>
        <v>-43.109535469999997</v>
      </c>
      <c r="G1283" s="11">
        <f>[1]!EM_S_PQ_PCTCHANGE(B1283,"2018-12-31","2019-12-30","1")</f>
        <v>19.843049329999999</v>
      </c>
      <c r="H1283" s="11">
        <f>[1]!EM_S_FA_YOY_OR(B1283,E1283)</f>
        <v>16.6876199256</v>
      </c>
      <c r="I1283" s="11">
        <f>[1]!EM_S_FA_GROSSPROFITMARGIN(B1283,E1283)</f>
        <v>24.860632365000001</v>
      </c>
      <c r="J1283" s="11">
        <f>[1]!EM_S_FA_NETPROFITMARGIN(B1283,E1283)</f>
        <v>7.8821164198</v>
      </c>
      <c r="K1283" s="10">
        <f>[1]!EM_S_FA_ASSETSTURN(B1283,E1283)</f>
        <v>0.59693357448700002</v>
      </c>
      <c r="L1283" s="12">
        <f>[1]!EM_HKS_VAL_MV(B1283,"2019-12-31","2")</f>
        <v>15343124530.5</v>
      </c>
      <c r="M1283">
        <f>[1]!EM_S_VAL_PETTMDEDUCTED(B1283,E1283)</f>
        <v>16.680788447023701</v>
      </c>
      <c r="N1283" s="7">
        <f>[1]!EM_S_VAL_PBGOODWILLDEDUCTED(B1283,E1283)</f>
        <v>1.68019893265164</v>
      </c>
      <c r="O1283" s="7">
        <f>[1]!EM_S_VAL_PS_TTM(B1283,E1283)</f>
        <v>1.6412142320428</v>
      </c>
      <c r="P1283" s="7">
        <f>[1]!EM_S_VAL_PCF_NCFTTM(B1283,E1283)</f>
        <v>229.87477955481299</v>
      </c>
      <c r="Q1283" s="7">
        <f>[1]!EM_S_VAL_DIVIDENDYIELD2(B1283,E1283,"2019-11-29")</f>
        <v>0.58779982604014414</v>
      </c>
      <c r="T1283"/>
      <c r="U1283">
        <f>[1]!EM_S_RATIO_EPS_TTM(B1283,E1283,"1")</f>
        <v>0.55778202968955992</v>
      </c>
      <c r="AT1283" s="4" t="str">
        <f>[1]!EM_S_IPO_LISTEDDATE(B1283)</f>
        <v>2011-11-02</v>
      </c>
    </row>
    <row r="1284" spans="1:46">
      <c r="A1284">
        <v>2794</v>
      </c>
      <c r="B1284" t="str">
        <f>"600721"</f>
        <v>600721</v>
      </c>
      <c r="C1284" t="s">
        <v>1505</v>
      </c>
      <c r="D1284" t="str">
        <f>[1]!EM_S_INFO_INDEX_EM(B1284,"1")</f>
        <v>医药生物</v>
      </c>
      <c r="E1284" s="4">
        <f t="shared" si="20"/>
        <v>43465</v>
      </c>
      <c r="F1284" s="11">
        <f>[1]!EM_S_PQ_PCTCHANGE(B1284,"2018-01-01","2019-12-31","3")</f>
        <v>-38.52065322</v>
      </c>
      <c r="G1284" s="11">
        <f>[1]!EM_S_PQ_PCTCHANGE(B1284,"2018-12-31","2019-12-30","1")</f>
        <v>19.809523810000002</v>
      </c>
      <c r="H1284" s="11">
        <f>[1]!EM_S_FA_YOY_OR(B1284,E1284)</f>
        <v>-7.4636071999999998E-2</v>
      </c>
      <c r="I1284" s="11">
        <f>[1]!EM_S_FA_GROSSPROFITMARGIN(B1284,E1284)</f>
        <v>44.902206365200001</v>
      </c>
      <c r="J1284" s="11">
        <f>[1]!EM_S_FA_NETPROFITMARGIN(B1284,E1284)</f>
        <v>-193.94086146309999</v>
      </c>
      <c r="K1284" s="10">
        <f>[1]!EM_S_FA_ASSETSTURN(B1284,E1284)</f>
        <v>0.25551795787699999</v>
      </c>
      <c r="L1284" s="12">
        <f>[1]!EM_HKS_VAL_MV(B1284,"2019-12-31","2")</f>
        <v>2562472921.5999999</v>
      </c>
      <c r="M1284">
        <f>[1]!EM_S_VAL_PETTMDEDUCTED(B1284,E1284)</f>
        <v>-3.6864840983179099</v>
      </c>
      <c r="N1284" s="7">
        <f>[1]!EM_S_VAL_PBGOODWILLDEDUCTED(B1284,E1284)</f>
        <v>2.8388421862603099</v>
      </c>
      <c r="O1284" s="7">
        <f>[1]!EM_S_VAL_PS_TTM(B1284,E1284)</f>
        <v>4.6041446754297697</v>
      </c>
      <c r="P1284" s="7">
        <f>[1]!EM_S_VAL_PCF_NCFTTM(B1284,E1284)</f>
        <v>-11.568072398212999</v>
      </c>
      <c r="Q1284" s="7">
        <f>[1]!EM_S_VAL_DIVIDENDYIELD2(B1284,E1284,"2019-11-29")</f>
        <v>0</v>
      </c>
      <c r="T1284"/>
      <c r="U1284">
        <f>[1]!EM_S_RATIO_EPS_TTM(B1284,E1284,"1")</f>
        <v>-2.0177126244204993</v>
      </c>
      <c r="AT1284" s="4" t="str">
        <f>[1]!EM_S_IPO_LISTEDDATE(B1284)</f>
        <v>1996-06-26</v>
      </c>
    </row>
    <row r="1285" spans="1:46">
      <c r="A1285">
        <v>231</v>
      </c>
      <c r="B1285" t="str">
        <f>"000630"</f>
        <v>000630</v>
      </c>
      <c r="C1285" t="s">
        <v>2082</v>
      </c>
      <c r="D1285" t="str">
        <f>[1]!EM_S_INFO_INDEX_EM(B1285,"1")</f>
        <v>有色金属</v>
      </c>
      <c r="E1285" s="4">
        <f t="shared" si="20"/>
        <v>43465</v>
      </c>
      <c r="F1285" s="11">
        <f>[1]!EM_S_PQ_PCTCHANGE(B1285,"2018-01-01","2019-12-31","3")</f>
        <v>-18.55120307</v>
      </c>
      <c r="G1285" s="11">
        <f>[1]!EM_S_PQ_PCTCHANGE(B1285,"2018-12-31","2019-12-30","1")</f>
        <v>19.79695431</v>
      </c>
      <c r="H1285" s="11">
        <f>[1]!EM_S_FA_YOY_OR(B1285,E1285)</f>
        <v>2.6205042321000001</v>
      </c>
      <c r="I1285" s="11">
        <f>[1]!EM_S_FA_GROSSPROFITMARGIN(B1285,E1285)</f>
        <v>5.3133416140999996</v>
      </c>
      <c r="J1285" s="11">
        <f>[1]!EM_S_FA_NETPROFITMARGIN(B1285,E1285)</f>
        <v>1.1585605736</v>
      </c>
      <c r="K1285" s="10">
        <f>[1]!EM_S_FA_ASSETSTURN(B1285,E1285)</f>
        <v>1.784962291042</v>
      </c>
      <c r="L1285" s="12">
        <f>[1]!EM_HKS_VAL_MV(B1285,"2019-12-31","2")</f>
        <v>24526822607.639999</v>
      </c>
      <c r="M1285">
        <f>[1]!EM_S_VAL_PETTMDEDUCTED(B1285,E1285)</f>
        <v>29.046709817863601</v>
      </c>
      <c r="N1285" s="7">
        <f>[1]!EM_S_VAL_PBGOODWILLDEDUCTED(B1285,E1285)</f>
        <v>1.1570031195652599</v>
      </c>
      <c r="O1285" s="7">
        <f>[1]!EM_S_VAL_PS_TTM(B1285,E1285)</f>
        <v>0.24944475440724201</v>
      </c>
      <c r="P1285" s="7">
        <f>[1]!EM_S_VAL_PCF_NCFTTM(B1285,E1285)</f>
        <v>-40.1927091156901</v>
      </c>
      <c r="Q1285" s="7">
        <f>[1]!EM_S_VAL_DIVIDENDYIELD2(B1285,E1285,"2019-11-29")</f>
        <v>1.4084507042253522</v>
      </c>
      <c r="T1285"/>
      <c r="U1285">
        <f>[1]!EM_S_RATIO_EPS_TTM(B1285,E1285,"1")</f>
        <v>6.7331542641996645E-2</v>
      </c>
      <c r="AT1285" s="4" t="str">
        <f>[1]!EM_S_IPO_LISTEDDATE(B1285)</f>
        <v>1996-11-20</v>
      </c>
    </row>
    <row r="1286" spans="1:46">
      <c r="A1286">
        <v>2015</v>
      </c>
      <c r="B1286" t="str">
        <f>"300595"</f>
        <v>300595</v>
      </c>
      <c r="C1286" t="s">
        <v>406</v>
      </c>
      <c r="D1286" t="str">
        <f>[1]!EM_S_INFO_INDEX_EM(B1286,"1")</f>
        <v>医药生物</v>
      </c>
      <c r="E1286" s="4">
        <f t="shared" si="20"/>
        <v>43465</v>
      </c>
      <c r="F1286" s="11">
        <f>[1]!EM_S_PQ_PCTCHANGE(B1286,"2018-01-01","2019-12-31","3")</f>
        <v>204.40237325999999</v>
      </c>
      <c r="G1286" s="11">
        <f>[1]!EM_S_PQ_PCTCHANGE(B1286,"2018-12-31","2019-12-30","1")</f>
        <v>19.77284461</v>
      </c>
      <c r="H1286" s="11">
        <f>[1]!EM_S_FA_YOY_OR(B1286,E1286)</f>
        <v>47.104299048999998</v>
      </c>
      <c r="I1286" s="11">
        <f>[1]!EM_S_FA_GROSSPROFITMARGIN(B1286,E1286)</f>
        <v>77.983571290900002</v>
      </c>
      <c r="J1286" s="11">
        <f>[1]!EM_S_FA_NETPROFITMARGIN(B1286,E1286)</f>
        <v>45.758997447200002</v>
      </c>
      <c r="K1286" s="10">
        <f>[1]!EM_S_FA_ASSETSTURN(B1286,E1286)</f>
        <v>0.42638006151399999</v>
      </c>
      <c r="L1286" s="12">
        <f>[1]!EM_HKS_VAL_MV(B1286,"2019-12-31","2")</f>
        <v>19151548724.400002</v>
      </c>
      <c r="M1286">
        <f>[1]!EM_S_VAL_PETTMDEDUCTED(B1286,E1286)</f>
        <v>49.313796479764399</v>
      </c>
      <c r="N1286" s="7">
        <f>[1]!EM_S_VAL_PBGOODWILLDEDUCTED(B1286,E1286)</f>
        <v>8.8795813375561998</v>
      </c>
      <c r="O1286" s="7">
        <f>[1]!EM_S_VAL_PS_TTM(B1286,E1286)</f>
        <v>20.724884033992499</v>
      </c>
      <c r="P1286" s="7">
        <f>[1]!EM_S_VAL_PCF_NCFTTM(B1286,E1286)</f>
        <v>93.740473183837807</v>
      </c>
      <c r="Q1286" s="7">
        <f>[1]!EM_S_VAL_DIVIDENDYIELD2(B1286,E1286,"2019-11-29")</f>
        <v>0.1600365801066696</v>
      </c>
      <c r="T1286"/>
      <c r="U1286">
        <f>[1]!EM_S_RATIO_EPS_TTM(B1286,E1286,"1")</f>
        <v>0.96376082689309372</v>
      </c>
      <c r="AT1286" s="4" t="str">
        <f>[1]!EM_S_IPO_LISTEDDATE(B1286)</f>
        <v>2017-01-17</v>
      </c>
    </row>
    <row r="1287" spans="1:46">
      <c r="A1287">
        <v>2712</v>
      </c>
      <c r="B1287" t="str">
        <f>"600639"</f>
        <v>600639</v>
      </c>
      <c r="C1287" t="s">
        <v>1164</v>
      </c>
      <c r="D1287" t="str">
        <f>[1]!EM_S_INFO_INDEX_EM(B1287,"1")</f>
        <v>房地产</v>
      </c>
      <c r="E1287" s="4">
        <f t="shared" si="20"/>
        <v>43465</v>
      </c>
      <c r="F1287" s="11">
        <f>[1]!EM_S_PQ_PCTCHANGE(B1287,"2018-01-01","2019-12-31","3")</f>
        <v>-16.93927274</v>
      </c>
      <c r="G1287" s="11">
        <f>[1]!EM_S_PQ_PCTCHANGE(B1287,"2018-12-31","2019-12-30","1")</f>
        <v>19.715808169999999</v>
      </c>
      <c r="H1287" s="11">
        <f>[1]!EM_S_FA_YOY_OR(B1287,E1287)</f>
        <v>64.978842088199997</v>
      </c>
      <c r="I1287" s="11">
        <f>[1]!EM_S_FA_GROSSPROFITMARGIN(B1287,E1287)</f>
        <v>51.933924852499999</v>
      </c>
      <c r="J1287" s="11">
        <f>[1]!EM_S_FA_NETPROFITMARGIN(B1287,E1287)</f>
        <v>35.266432616400003</v>
      </c>
      <c r="K1287" s="10">
        <f>[1]!EM_S_FA_ASSETSTURN(B1287,E1287)</f>
        <v>0.135261059041</v>
      </c>
      <c r="L1287" s="12">
        <f>[1]!EM_HKS_VAL_MV(B1287,"2019-12-31","2")</f>
        <v>15152574055.5</v>
      </c>
      <c r="M1287">
        <f>[1]!EM_S_VAL_PETTMDEDUCTED(B1287,E1287)</f>
        <v>16.9341582094914</v>
      </c>
      <c r="N1287" s="7">
        <f>[1]!EM_S_VAL_PBGOODWILLDEDUCTED(B1287,E1287)</f>
        <v>1.42999184032226</v>
      </c>
      <c r="O1287" s="7">
        <f>[1]!EM_S_VAL_PS_TTM(B1287,E1287)</f>
        <v>7.0324979688132201</v>
      </c>
      <c r="P1287" s="7">
        <f>[1]!EM_S_VAL_PCF_NCFTTM(B1287,E1287)</f>
        <v>-48.7266300021207</v>
      </c>
      <c r="Q1287" s="7">
        <f>[1]!EM_S_VAL_DIVIDENDYIELD2(B1287,E1287,"2019-11-29")</f>
        <v>2.302379125095932</v>
      </c>
      <c r="T1287"/>
      <c r="U1287">
        <f>[1]!EM_S_RATIO_EPS_TTM(B1287,E1287,"1")</f>
        <v>0.87054618861189437</v>
      </c>
      <c r="AT1287" s="4" t="str">
        <f>[1]!EM_S_IPO_LISTEDDATE(B1287)</f>
        <v>1993-03-26</v>
      </c>
    </row>
    <row r="1288" spans="1:46">
      <c r="A1288">
        <v>287</v>
      </c>
      <c r="B1288" t="str">
        <f>"000703"</f>
        <v>000703</v>
      </c>
      <c r="C1288" t="s">
        <v>219</v>
      </c>
      <c r="D1288" t="str">
        <f>[1]!EM_S_INFO_INDEX_EM(B1288,"1")</f>
        <v>基础化工</v>
      </c>
      <c r="E1288" s="4">
        <f t="shared" si="20"/>
        <v>43465</v>
      </c>
      <c r="F1288" s="11">
        <f>[1]!EM_S_PQ_PCTCHANGE(B1288,"2018-01-01","2019-12-31","3")</f>
        <v>-6.70081623</v>
      </c>
      <c r="G1288" s="11">
        <f>[1]!EM_S_PQ_PCTCHANGE(B1288,"2018-12-31","2019-12-30","1")</f>
        <v>19.70486111</v>
      </c>
      <c r="H1288" s="11">
        <f>[1]!EM_S_FA_YOY_OR(B1288,E1288)</f>
        <v>28.787625045199999</v>
      </c>
      <c r="I1288" s="11">
        <f>[1]!EM_S_FA_GROSSPROFITMARGIN(B1288,E1288)</f>
        <v>3.9113457235000002</v>
      </c>
      <c r="J1288" s="11">
        <f>[1]!EM_S_FA_NETPROFITMARGIN(B1288,E1288)</f>
        <v>2.6409448922999998</v>
      </c>
      <c r="K1288" s="10">
        <f>[1]!EM_S_FA_ASSETSTURN(B1288,E1288)</f>
        <v>1.8289438399619999</v>
      </c>
      <c r="L1288" s="12">
        <f>[1]!EM_HKS_VAL_MV(B1288,"2019-12-31","2")</f>
        <v>39556818598.080002</v>
      </c>
      <c r="M1288">
        <f>[1]!EM_S_VAL_PETTMDEDUCTED(B1288,E1288)</f>
        <v>12.9570015081131</v>
      </c>
      <c r="N1288" s="7">
        <f>[1]!EM_S_VAL_PBGOODWILLDEDUCTED(B1288,E1288)</f>
        <v>1.7220729188838</v>
      </c>
      <c r="O1288" s="7">
        <f>[1]!EM_S_VAL_PS_TTM(B1288,E1288)</f>
        <v>0.38801413501508403</v>
      </c>
      <c r="P1288" s="7">
        <f>[1]!EM_S_VAL_PCF_NCFTTM(B1288,E1288)</f>
        <v>6.6563248061123099</v>
      </c>
      <c r="Q1288" s="7">
        <f>[1]!EM_S_VAL_DIVIDENDYIELD2(B1288,E1288,"2019-11-29")</f>
        <v>2.1536252692031583</v>
      </c>
      <c r="T1288"/>
      <c r="U1288">
        <f>[1]!EM_S_RATIO_EPS_TTM(B1288,E1288,"1")</f>
        <v>0.74660754172077115</v>
      </c>
      <c r="AT1288" s="4" t="str">
        <f>[1]!EM_S_IPO_LISTEDDATE(B1288)</f>
        <v>1997-03-28</v>
      </c>
    </row>
    <row r="1289" spans="1:46">
      <c r="A1289">
        <v>1263</v>
      </c>
      <c r="B1289" t="str">
        <f>"002755"</f>
        <v>002755</v>
      </c>
      <c r="C1289" t="s">
        <v>2341</v>
      </c>
      <c r="D1289" t="str">
        <f>[1]!EM_S_INFO_INDEX_EM(B1289,"1")</f>
        <v>医药生物</v>
      </c>
      <c r="E1289" s="4">
        <f t="shared" si="20"/>
        <v>43465</v>
      </c>
      <c r="F1289" s="11">
        <f>[1]!EM_S_PQ_PCTCHANGE(B1289,"2018-01-01","2019-12-31","3")</f>
        <v>0.35414871999999997</v>
      </c>
      <c r="G1289" s="11">
        <f>[1]!EM_S_PQ_PCTCHANGE(B1289,"2018-12-31","2019-12-30","1")</f>
        <v>19.69230769</v>
      </c>
      <c r="H1289" s="11">
        <f>[1]!EM_S_FA_YOY_OR(B1289,E1289)</f>
        <v>15.478559283499999</v>
      </c>
      <c r="I1289" s="11">
        <f>[1]!EM_S_FA_GROSSPROFITMARGIN(B1289,E1289)</f>
        <v>92.935378149000002</v>
      </c>
      <c r="J1289" s="11">
        <f>[1]!EM_S_FA_NETPROFITMARGIN(B1289,E1289)</f>
        <v>17.012304959600002</v>
      </c>
      <c r="K1289" s="10">
        <f>[1]!EM_S_FA_ASSETSTURN(B1289,E1289)</f>
        <v>2.0559779313500002</v>
      </c>
      <c r="L1289" s="12">
        <f>[1]!EM_HKS_VAL_MV(B1289,"2019-12-31","2")</f>
        <v>14999071272.16</v>
      </c>
      <c r="M1289">
        <f>[1]!EM_S_VAL_PETTMDEDUCTED(B1289,E1289)</f>
        <v>164.48848603879799</v>
      </c>
      <c r="N1289" s="7">
        <f>[1]!EM_S_VAL_PBGOODWILLDEDUCTED(B1289,E1289)</f>
        <v>1.2183612948235401</v>
      </c>
      <c r="O1289" s="7">
        <f>[1]!EM_S_VAL_PS_TTM(B1289,E1289)</f>
        <v>4.9314051468909703</v>
      </c>
      <c r="P1289" s="7">
        <f>[1]!EM_S_VAL_PCF_NCFTTM(B1289,E1289)</f>
        <v>168.65537402896501</v>
      </c>
      <c r="Q1289" s="7">
        <f>[1]!EM_S_VAL_DIVIDENDYIELD2(B1289,E1289,"2019-11-29")</f>
        <v>0.76335877862595414</v>
      </c>
      <c r="T1289"/>
      <c r="U1289">
        <f>[1]!EM_S_RATIO_EPS_TTM(B1289,E1289,"1")</f>
        <v>3.8894903809540398</v>
      </c>
      <c r="AT1289" s="4" t="str">
        <f>[1]!EM_S_IPO_LISTEDDATE(B1289)</f>
        <v>2015-05-15</v>
      </c>
    </row>
    <row r="1290" spans="1:46">
      <c r="A1290">
        <v>1813</v>
      </c>
      <c r="B1290" t="str">
        <f>"300388"</f>
        <v>300388</v>
      </c>
      <c r="C1290" t="s">
        <v>1152</v>
      </c>
      <c r="D1290" t="str">
        <f>[1]!EM_S_INFO_INDEX_EM(B1290,"1")</f>
        <v>公用事业</v>
      </c>
      <c r="E1290" s="4">
        <f t="shared" si="20"/>
        <v>43465</v>
      </c>
      <c r="F1290" s="11">
        <f>[1]!EM_S_PQ_PCTCHANGE(B1290,"2018-01-01","2019-12-31","3")</f>
        <v>-18.700653490000001</v>
      </c>
      <c r="G1290" s="11">
        <f>[1]!EM_S_PQ_PCTCHANGE(B1290,"2018-12-31","2019-12-30","1")</f>
        <v>19.66101695</v>
      </c>
      <c r="H1290" s="11">
        <f>[1]!EM_S_FA_YOY_OR(B1290,E1290)</f>
        <v>52.444617052200002</v>
      </c>
      <c r="I1290" s="11">
        <f>[1]!EM_S_FA_GROSSPROFITMARGIN(B1290,E1290)</f>
        <v>22.031516250100001</v>
      </c>
      <c r="J1290" s="11">
        <f>[1]!EM_S_FA_NETPROFITMARGIN(B1290,E1290)</f>
        <v>7.7562069849000004</v>
      </c>
      <c r="K1290" s="10">
        <f>[1]!EM_S_FA_ASSETSTURN(B1290,E1290)</f>
        <v>0.43920116882799998</v>
      </c>
      <c r="L1290" s="12">
        <f>[1]!EM_HKS_VAL_MV(B1290,"2019-12-31","2")</f>
        <v>7061281194.2399998</v>
      </c>
      <c r="M1290">
        <f>[1]!EM_S_VAL_PETTMDEDUCTED(B1290,E1290)</f>
        <v>16.872771653953301</v>
      </c>
      <c r="N1290" s="7">
        <f>[1]!EM_S_VAL_PBGOODWILLDEDUCTED(B1290,E1290)</f>
        <v>2.6160107734681199</v>
      </c>
      <c r="O1290" s="7">
        <f>[1]!EM_S_VAL_PS_TTM(B1290,E1290)</f>
        <v>1.31829934886936</v>
      </c>
      <c r="P1290" s="7">
        <f>[1]!EM_S_VAL_PCF_NCFTTM(B1290,E1290)</f>
        <v>49.098427702334099</v>
      </c>
      <c r="Q1290" s="7">
        <f>[1]!EM_S_VAL_DIVIDENDYIELD2(B1290,E1290,"2019-11-29")</f>
        <v>0.97791443502028441</v>
      </c>
      <c r="T1290"/>
      <c r="U1290">
        <f>[1]!EM_S_RATIO_EPS_TTM(B1290,E1290,"1")</f>
        <v>0.5114898292942387</v>
      </c>
      <c r="AT1290" s="4" t="str">
        <f>[1]!EM_S_IPO_LISTEDDATE(B1290)</f>
        <v>2014-08-01</v>
      </c>
    </row>
    <row r="1291" spans="1:46">
      <c r="A1291">
        <v>433</v>
      </c>
      <c r="B1291" t="str">
        <f>"000906"</f>
        <v>000906</v>
      </c>
      <c r="C1291" t="s">
        <v>1088</v>
      </c>
      <c r="D1291" t="str">
        <f>[1]!EM_S_INFO_INDEX_EM(B1291,"1")</f>
        <v>商贸零售</v>
      </c>
      <c r="E1291" s="4">
        <f t="shared" si="20"/>
        <v>43465</v>
      </c>
      <c r="F1291" s="11">
        <f>[1]!EM_S_PQ_PCTCHANGE(B1291,"2018-01-01","2019-12-31","3")</f>
        <v>8.2950215600000003</v>
      </c>
      <c r="G1291" s="11">
        <f>[1]!EM_S_PQ_PCTCHANGE(B1291,"2018-12-31","2019-12-30","1")</f>
        <v>19.631901840000001</v>
      </c>
      <c r="H1291" s="11">
        <f>[1]!EM_S_FA_YOY_OR(B1291,E1291)</f>
        <v>30.7531936978</v>
      </c>
      <c r="I1291" s="11">
        <f>[1]!EM_S_FA_GROSSPROFITMARGIN(B1291,E1291)</f>
        <v>2.3188052816</v>
      </c>
      <c r="J1291" s="11">
        <f>[1]!EM_S_FA_NETPROFITMARGIN(B1291,E1291)</f>
        <v>0.48605544270000001</v>
      </c>
      <c r="K1291" s="10">
        <f>[1]!EM_S_FA_ASSETSTURN(B1291,E1291)</f>
        <v>5.6516321525700004</v>
      </c>
      <c r="L1291" s="12">
        <f>[1]!EM_HKS_VAL_MV(B1291,"2019-12-31","2")</f>
        <v>3973735472.75</v>
      </c>
      <c r="M1291">
        <f>[1]!EM_S_VAL_PETTMDEDUCTED(B1291,E1291)</f>
        <v>14.111545916642701</v>
      </c>
      <c r="N1291" s="7">
        <f>[1]!EM_S_VAL_PBGOODWILLDEDUCTED(B1291,E1291)</f>
        <v>1.61948588123631</v>
      </c>
      <c r="O1291" s="7">
        <f>[1]!EM_S_VAL_PS_TTM(B1291,E1291)</f>
        <v>5.4076170475214298E-2</v>
      </c>
      <c r="P1291" s="7">
        <f>[1]!EM_S_VAL_PCF_NCFTTM(B1291,E1291)</f>
        <v>5.7799634913683899</v>
      </c>
      <c r="Q1291" s="7">
        <f>[1]!EM_S_VAL_DIVIDENDYIELD2(B1291,E1291,"2019-11-29")</f>
        <v>2.706218018018018</v>
      </c>
      <c r="T1291"/>
      <c r="U1291">
        <f>[1]!EM_S_RATIO_EPS_TTM(B1291,E1291,"1")</f>
        <v>0.45285449563244201</v>
      </c>
      <c r="AT1291" s="4" t="str">
        <f>[1]!EM_S_IPO_LISTEDDATE(B1291)</f>
        <v>1999-07-07</v>
      </c>
    </row>
    <row r="1292" spans="1:46">
      <c r="A1292">
        <v>2179</v>
      </c>
      <c r="B1292" t="str">
        <f>"600020"</f>
        <v>600020</v>
      </c>
      <c r="C1292" t="s">
        <v>904</v>
      </c>
      <c r="D1292" t="str">
        <f>[1]!EM_S_INFO_INDEX_EM(B1292,"1")</f>
        <v>交通运输</v>
      </c>
      <c r="E1292" s="4">
        <f t="shared" si="20"/>
        <v>43465</v>
      </c>
      <c r="F1292" s="11">
        <f>[1]!EM_S_PQ_PCTCHANGE(B1292,"2018-01-01","2019-12-31","3")</f>
        <v>-3.1797211000000001</v>
      </c>
      <c r="G1292" s="11">
        <f>[1]!EM_S_PQ_PCTCHANGE(B1292,"2018-12-31","2019-12-30","1")</f>
        <v>19.618528609999998</v>
      </c>
      <c r="H1292" s="11">
        <f>[1]!EM_S_FA_YOY_OR(B1292,E1292)</f>
        <v>-7.4193850269999997</v>
      </c>
      <c r="I1292" s="11">
        <f>[1]!EM_S_FA_GROSSPROFITMARGIN(B1292,E1292)</f>
        <v>51.722059300399998</v>
      </c>
      <c r="J1292" s="11">
        <f>[1]!EM_S_FA_NETPROFITMARGIN(B1292,E1292)</f>
        <v>13.912084224000001</v>
      </c>
      <c r="K1292" s="10">
        <f>[1]!EM_S_FA_ASSETSTURN(B1292,E1292)</f>
        <v>0.115073235109</v>
      </c>
      <c r="L1292" s="12">
        <f>[1]!EM_HKS_VAL_MV(B1292,"2019-12-31","2")</f>
        <v>9888436060.7999992</v>
      </c>
      <c r="M1292">
        <f>[1]!EM_S_VAL_PETTMDEDUCTED(B1292,E1292)</f>
        <v>7.9495674037671202</v>
      </c>
      <c r="N1292" s="7">
        <f>[1]!EM_S_VAL_PBGOODWILLDEDUCTED(B1292,E1292)</f>
        <v>0.87452443568707405</v>
      </c>
      <c r="O1292" s="7">
        <f>[1]!EM_S_VAL_PS_TTM(B1292,E1292)</f>
        <v>1.49891572614428</v>
      </c>
      <c r="P1292" s="7">
        <f>[1]!EM_S_VAL_PCF_NCFTTM(B1292,E1292)</f>
        <v>-6.2623648441938897</v>
      </c>
      <c r="Q1292" s="7">
        <f>[1]!EM_S_VAL_DIVIDENDYIELD2(B1292,E1292,"2019-11-29")</f>
        <v>2.6328502415458943</v>
      </c>
      <c r="T1292"/>
      <c r="U1292">
        <f>[1]!EM_S_RATIO_EPS_TTM(B1292,E1292,"1")</f>
        <v>0.35543924778087194</v>
      </c>
      <c r="AT1292" s="4" t="str">
        <f>[1]!EM_S_IPO_LISTEDDATE(B1292)</f>
        <v>2003-08-08</v>
      </c>
    </row>
    <row r="1293" spans="1:46">
      <c r="A1293">
        <v>1798</v>
      </c>
      <c r="B1293" t="str">
        <f>"300373"</f>
        <v>300373</v>
      </c>
      <c r="C1293" t="s">
        <v>913</v>
      </c>
      <c r="D1293" t="str">
        <f>[1]!EM_S_INFO_INDEX_EM(B1293,"1")</f>
        <v>电子设备</v>
      </c>
      <c r="E1293" s="4">
        <f t="shared" si="20"/>
        <v>43465</v>
      </c>
      <c r="F1293" s="11">
        <f>[1]!EM_S_PQ_PCTCHANGE(B1293,"2018-01-01","2019-12-31","3")</f>
        <v>-41.459449380000002</v>
      </c>
      <c r="G1293" s="11">
        <f>[1]!EM_S_PQ_PCTCHANGE(B1293,"2018-12-31","2019-12-30","1")</f>
        <v>19.598337950000001</v>
      </c>
      <c r="H1293" s="11">
        <f>[1]!EM_S_FA_YOY_OR(B1293,E1293)</f>
        <v>26.013807953099999</v>
      </c>
      <c r="I1293" s="11">
        <f>[1]!EM_S_FA_GROSSPROFITMARGIN(B1293,E1293)</f>
        <v>31.3629404289</v>
      </c>
      <c r="J1293" s="11">
        <f>[1]!EM_S_FA_NETPROFITMARGIN(B1293,E1293)</f>
        <v>10.1775058359</v>
      </c>
      <c r="K1293" s="10">
        <f>[1]!EM_S_FA_ASSETSTURN(B1293,E1293)</f>
        <v>0.548849146929</v>
      </c>
      <c r="L1293" s="12">
        <f>[1]!EM_HKS_VAL_MV(B1293,"2019-12-31","2")</f>
        <v>8120692639.6000004</v>
      </c>
      <c r="M1293">
        <f>[1]!EM_S_VAL_PETTMDEDUCTED(B1293,E1293)</f>
        <v>26.9894839921086</v>
      </c>
      <c r="N1293" s="7">
        <f>[1]!EM_S_VAL_PBGOODWILLDEDUCTED(B1293,E1293)</f>
        <v>3.0105563635833699</v>
      </c>
      <c r="O1293" s="7">
        <f>[1]!EM_S_VAL_PS_TTM(B1293,E1293)</f>
        <v>3.9132338987022899</v>
      </c>
      <c r="P1293" s="7">
        <f>[1]!EM_S_VAL_PCF_NCFTTM(B1293,E1293)</f>
        <v>-898.74172133954801</v>
      </c>
      <c r="Q1293" s="7">
        <f>[1]!EM_S_VAL_DIVIDENDYIELD2(B1293,E1293,"2019-11-29")</f>
        <v>1.3212738643844635</v>
      </c>
      <c r="T1293"/>
      <c r="U1293">
        <f>[1]!EM_S_RATIO_EPS_TTM(B1293,E1293,"1")</f>
        <v>0.39677619002003828</v>
      </c>
      <c r="AT1293" s="4" t="str">
        <f>[1]!EM_S_IPO_LISTEDDATE(B1293)</f>
        <v>2014-01-23</v>
      </c>
    </row>
    <row r="1294" spans="1:46">
      <c r="A1294">
        <v>3055</v>
      </c>
      <c r="B1294" t="str">
        <f>"601116"</f>
        <v>601116</v>
      </c>
      <c r="C1294" t="s">
        <v>1160</v>
      </c>
      <c r="D1294" t="str">
        <f>[1]!EM_S_INFO_INDEX_EM(B1294,"1")</f>
        <v>商贸零售</v>
      </c>
      <c r="E1294" s="4">
        <f t="shared" si="20"/>
        <v>43465</v>
      </c>
      <c r="F1294" s="11">
        <f>[1]!EM_S_PQ_PCTCHANGE(B1294,"2018-01-01","2019-12-31","3")</f>
        <v>-36.325404859999999</v>
      </c>
      <c r="G1294" s="11">
        <f>[1]!EM_S_PQ_PCTCHANGE(B1294,"2018-12-31","2019-12-30","1")</f>
        <v>19.59145775</v>
      </c>
      <c r="H1294" s="11">
        <f>[1]!EM_S_FA_YOY_OR(B1294,E1294)</f>
        <v>9.6369147686000005</v>
      </c>
      <c r="I1294" s="11">
        <f>[1]!EM_S_FA_GROSSPROFITMARGIN(B1294,E1294)</f>
        <v>24.027302719200001</v>
      </c>
      <c r="J1294" s="11">
        <f>[1]!EM_S_FA_NETPROFITMARGIN(B1294,E1294)</f>
        <v>2.7004311182</v>
      </c>
      <c r="K1294" s="10">
        <f>[1]!EM_S_FA_ASSETSTURN(B1294,E1294)</f>
        <v>1.147601845234</v>
      </c>
      <c r="L1294" s="12">
        <f>[1]!EM_HKS_VAL_MV(B1294,"2019-12-31","2")</f>
        <v>7070528144</v>
      </c>
      <c r="M1294">
        <f>[1]!EM_S_VAL_PETTMDEDUCTED(B1294,E1294)</f>
        <v>75.414213796010998</v>
      </c>
      <c r="N1294" s="7">
        <f>[1]!EM_S_VAL_PBGOODWILLDEDUCTED(B1294,E1294)</f>
        <v>1.89255360030734</v>
      </c>
      <c r="O1294" s="7">
        <f>[1]!EM_S_VAL_PS_TTM(B1294,E1294)</f>
        <v>1.4571703330546699</v>
      </c>
      <c r="P1294" s="7">
        <f>[1]!EM_S_VAL_PCF_NCFTTM(B1294,E1294)</f>
        <v>3.7113310829741502</v>
      </c>
      <c r="Q1294" s="7">
        <f>[1]!EM_S_VAL_DIVIDENDYIELD2(B1294,E1294,"2019-11-29")</f>
        <v>1.518602885345482</v>
      </c>
      <c r="T1294"/>
      <c r="U1294">
        <f>[1]!EM_S_RATIO_EPS_TTM(B1294,E1294,"1")</f>
        <v>0.20379287786408959</v>
      </c>
      <c r="AT1294" s="4" t="str">
        <f>[1]!EM_S_IPO_LISTEDDATE(B1294)</f>
        <v>2011-03-02</v>
      </c>
    </row>
    <row r="1295" spans="1:46">
      <c r="A1295">
        <v>2453</v>
      </c>
      <c r="B1295" t="str">
        <f>"600328"</f>
        <v>600328</v>
      </c>
      <c r="C1295" t="s">
        <v>660</v>
      </c>
      <c r="D1295" t="str">
        <f>[1]!EM_S_INFO_INDEX_EM(B1295,"1")</f>
        <v>基础化工</v>
      </c>
      <c r="E1295" s="4">
        <f t="shared" si="20"/>
        <v>43465</v>
      </c>
      <c r="F1295" s="11">
        <f>[1]!EM_S_PQ_PCTCHANGE(B1295,"2018-01-01","2019-12-31","3")</f>
        <v>-31.817252289999999</v>
      </c>
      <c r="G1295" s="11">
        <f>[1]!EM_S_PQ_PCTCHANGE(B1295,"2018-12-31","2019-12-30","1")</f>
        <v>19.562043800000001</v>
      </c>
      <c r="H1295" s="11">
        <f>[1]!EM_S_FA_YOY_OR(B1295,E1295)</f>
        <v>15.0554633727</v>
      </c>
      <c r="I1295" s="11">
        <f>[1]!EM_S_FA_GROSSPROFITMARGIN(B1295,E1295)</f>
        <v>37.864442102300004</v>
      </c>
      <c r="J1295" s="11">
        <f>[1]!EM_S_FA_NETPROFITMARGIN(B1295,E1295)</f>
        <v>11.8411901343</v>
      </c>
      <c r="K1295" s="10">
        <f>[1]!EM_S_FA_ASSETSTURN(B1295,E1295)</f>
        <v>0.56204699723100005</v>
      </c>
      <c r="L1295" s="12">
        <f>[1]!EM_HKS_VAL_MV(B1295,"2019-12-31","2")</f>
        <v>3618136662.98</v>
      </c>
      <c r="M1295">
        <f>[1]!EM_S_VAL_PETTMDEDUCTED(B1295,E1295)</f>
        <v>11.739780596048201</v>
      </c>
      <c r="N1295" s="7">
        <f>[1]!EM_S_VAL_PBGOODWILLDEDUCTED(B1295,E1295)</f>
        <v>1.24599802598868</v>
      </c>
      <c r="O1295" s="7">
        <f>[1]!EM_S_VAL_PS_TTM(B1295,E1295)</f>
        <v>0.82070829682670998</v>
      </c>
      <c r="P1295" s="7">
        <f>[1]!EM_S_VAL_PCF_NCFTTM(B1295,E1295)</f>
        <v>74.062622083937498</v>
      </c>
      <c r="Q1295" s="7">
        <f>[1]!EM_S_VAL_DIVIDENDYIELD2(B1295,E1295,"2019-11-29")</f>
        <v>2.3680823680823679</v>
      </c>
      <c r="T1295"/>
      <c r="U1295">
        <f>[1]!EM_S_RATIO_EPS_TTM(B1295,E1295,"1")</f>
        <v>0.61082909933195539</v>
      </c>
      <c r="AT1295" s="4" t="str">
        <f>[1]!EM_S_IPO_LISTEDDATE(B1295)</f>
        <v>2000-12-22</v>
      </c>
    </row>
    <row r="1296" spans="1:46">
      <c r="A1296">
        <v>2213</v>
      </c>
      <c r="B1296" t="str">
        <f>"600066"</f>
        <v>600066</v>
      </c>
      <c r="C1296" t="s">
        <v>1457</v>
      </c>
      <c r="D1296" t="str">
        <f>[1]!EM_S_INFO_INDEX_EM(B1296,"1")</f>
        <v>交运设备</v>
      </c>
      <c r="E1296" s="4">
        <f t="shared" si="20"/>
        <v>43465</v>
      </c>
      <c r="F1296" s="11">
        <f>[1]!EM_S_PQ_PCTCHANGE(B1296,"2018-01-01","2019-12-31","3")</f>
        <v>-36.78144614</v>
      </c>
      <c r="G1296" s="11">
        <f>[1]!EM_S_PQ_PCTCHANGE(B1296,"2018-12-31","2019-12-30","1")</f>
        <v>19.493670890000001</v>
      </c>
      <c r="H1296" s="11">
        <f>[1]!EM_S_FA_YOY_OR(B1296,E1296)</f>
        <v>-4.4431595621</v>
      </c>
      <c r="I1296" s="11">
        <f>[1]!EM_S_FA_GROSSPROFITMARGIN(B1296,E1296)</f>
        <v>25.3253740647</v>
      </c>
      <c r="J1296" s="11">
        <f>[1]!EM_S_FA_NETPROFITMARGIN(B1296,E1296)</f>
        <v>7.3344410211</v>
      </c>
      <c r="K1296" s="10">
        <f>[1]!EM_S_FA_ASSETSTURN(B1296,E1296)</f>
        <v>0.87017323731600005</v>
      </c>
      <c r="L1296" s="12">
        <f>[1]!EM_HKS_VAL_MV(B1296,"2019-12-31","2")</f>
        <v>31548633927.75</v>
      </c>
      <c r="M1296">
        <f>[1]!EM_S_VAL_PETTMDEDUCTED(B1296,E1296)</f>
        <v>12.6521161551562</v>
      </c>
      <c r="N1296" s="7">
        <f>[1]!EM_S_VAL_PBGOODWILLDEDUCTED(B1296,E1296)</f>
        <v>1.6773961641983399</v>
      </c>
      <c r="O1296" s="7">
        <f>[1]!EM_S_VAL_PS_TTM(B1296,E1296)</f>
        <v>0.78078056051580802</v>
      </c>
      <c r="P1296" s="7">
        <f>[1]!EM_S_VAL_PCF_NCFTTM(B1296,E1296)</f>
        <v>-43.741188081662401</v>
      </c>
      <c r="Q1296" s="7">
        <f>[1]!EM_S_VAL_DIVIDENDYIELD2(B1296,E1296,"2019-11-29")</f>
        <v>3.5637918745545263</v>
      </c>
      <c r="T1296"/>
      <c r="U1296">
        <f>[1]!EM_S_RATIO_EPS_TTM(B1296,E1296,"1")</f>
        <v>1.0395472151134113</v>
      </c>
      <c r="AT1296" s="4" t="str">
        <f>[1]!EM_S_IPO_LISTEDDATE(B1296)</f>
        <v>1997-05-08</v>
      </c>
    </row>
    <row r="1297" spans="1:46">
      <c r="A1297">
        <v>3626</v>
      </c>
      <c r="B1297" t="str">
        <f>"603979"</f>
        <v>603979</v>
      </c>
      <c r="C1297" t="s">
        <v>1404</v>
      </c>
      <c r="D1297" t="str">
        <f>[1]!EM_S_INFO_INDEX_EM(B1297,"1")</f>
        <v>建筑</v>
      </c>
      <c r="E1297" s="4">
        <f t="shared" si="20"/>
        <v>43465</v>
      </c>
      <c r="F1297" s="11">
        <f>[1]!EM_S_PQ_PCTCHANGE(B1297,"2018-01-01","2019-12-31","3")</f>
        <v>-11.4775077</v>
      </c>
      <c r="G1297" s="11">
        <f>[1]!EM_S_PQ_PCTCHANGE(B1297,"2018-12-31","2019-12-30","1")</f>
        <v>19.492656879999998</v>
      </c>
      <c r="H1297" s="11">
        <f>[1]!EM_S_FA_YOY_OR(B1297,E1297)</f>
        <v>27.243895616</v>
      </c>
      <c r="I1297" s="11">
        <f>[1]!EM_S_FA_GROSSPROFITMARGIN(B1297,E1297)</f>
        <v>25.577751687599999</v>
      </c>
      <c r="J1297" s="11">
        <f>[1]!EM_S_FA_NETPROFITMARGIN(B1297,E1297)</f>
        <v>9.2949620591999995</v>
      </c>
      <c r="K1297" s="10">
        <f>[1]!EM_S_FA_ASSETSTURN(B1297,E1297)</f>
        <v>0.52158453685999995</v>
      </c>
      <c r="L1297" s="12">
        <f>[1]!EM_HKS_VAL_MV(B1297,"2019-12-31","2")</f>
        <v>5209837297.7600002</v>
      </c>
      <c r="M1297">
        <f>[1]!EM_S_VAL_PETTMDEDUCTED(B1297,E1297)</f>
        <v>17.113016122873798</v>
      </c>
      <c r="N1297" s="7">
        <f>[1]!EM_S_VAL_PBGOODWILLDEDUCTED(B1297,E1297)</f>
        <v>1.0811580323324199</v>
      </c>
      <c r="O1297" s="7">
        <f>[1]!EM_S_VAL_PS_TTM(B1297,E1297)</f>
        <v>1.51368834770418</v>
      </c>
      <c r="P1297" s="7">
        <f>[1]!EM_S_VAL_PCF_NCFTTM(B1297,E1297)</f>
        <v>-50.790953770039202</v>
      </c>
      <c r="Q1297" s="7">
        <f>[1]!EM_S_VAL_DIVIDENDYIELD2(B1297,E1297,"2019-11-29")</f>
        <v>0.88235294117647056</v>
      </c>
      <c r="T1297"/>
      <c r="U1297">
        <f>[1]!EM_S_RATIO_EPS_TTM(B1297,E1297,"1")</f>
        <v>0.49816925451282051</v>
      </c>
      <c r="AT1297" s="4" t="str">
        <f>[1]!EM_S_IPO_LISTEDDATE(B1297)</f>
        <v>2015-06-30</v>
      </c>
    </row>
    <row r="1298" spans="1:46">
      <c r="A1298">
        <v>3509</v>
      </c>
      <c r="B1298" t="str">
        <f>"603711"</f>
        <v>603711</v>
      </c>
      <c r="C1298" t="s">
        <v>1812</v>
      </c>
      <c r="D1298" t="str">
        <f>[1]!EM_S_INFO_INDEX_EM(B1298,"1")</f>
        <v>食品饮料</v>
      </c>
      <c r="E1298" s="4">
        <f t="shared" si="20"/>
        <v>43465</v>
      </c>
      <c r="F1298" s="11">
        <f>[1]!EM_S_PQ_PCTCHANGE(B1298,"2018-01-01","2019-12-31","3")</f>
        <v>-2.3951411</v>
      </c>
      <c r="G1298" s="11">
        <f>[1]!EM_S_PQ_PCTCHANGE(B1298,"2018-12-31","2019-12-30","1")</f>
        <v>19.482352939999998</v>
      </c>
      <c r="H1298" s="11">
        <f>[1]!EM_S_FA_YOY_OR(B1298,E1298)</f>
        <v>23.129430364200001</v>
      </c>
      <c r="I1298" s="11">
        <f>[1]!EM_S_FA_GROSSPROFITMARGIN(B1298,E1298)</f>
        <v>40.388247939700001</v>
      </c>
      <c r="J1298" s="11">
        <f>[1]!EM_S_FA_NETPROFITMARGIN(B1298,E1298)</f>
        <v>9.6798155914000006</v>
      </c>
      <c r="K1298" s="10">
        <f>[1]!EM_S_FA_ASSETSTURN(B1298,E1298)</f>
        <v>1.057697013084</v>
      </c>
      <c r="L1298" s="12">
        <f>[1]!EM_HKS_VAL_MV(B1298,"2019-12-31","2")</f>
        <v>10735360000</v>
      </c>
      <c r="M1298">
        <f>[1]!EM_S_VAL_PETTMDEDUCTED(B1298,E1298)</f>
        <v>36.3029789971242</v>
      </c>
      <c r="N1298" s="7">
        <f>[1]!EM_S_VAL_PBGOODWILLDEDUCTED(B1298,E1298)</f>
        <v>4.0229020325954101</v>
      </c>
      <c r="O1298" s="7">
        <f>[1]!EM_S_VAL_PS_TTM(B1298,E1298)</f>
        <v>2.9903079083138802</v>
      </c>
      <c r="P1298" s="7">
        <f>[1]!EM_S_VAL_PCF_NCFTTM(B1298,E1298)</f>
        <v>118.50781217321899</v>
      </c>
      <c r="Q1298" s="7">
        <f>[1]!EM_S_VAL_DIVIDENDYIELD2(B1298,E1298,"2019-11-29")</f>
        <v>1.0300782859497322</v>
      </c>
      <c r="T1298"/>
      <c r="U1298">
        <f>[1]!EM_S_RATIO_EPS_TTM(B1298,E1298,"1")</f>
        <v>0.75044587988553724</v>
      </c>
      <c r="AT1298" s="4" t="str">
        <f>[1]!EM_S_IPO_LISTEDDATE(B1298)</f>
        <v>2017-11-30</v>
      </c>
    </row>
    <row r="1299" spans="1:46">
      <c r="A1299">
        <v>2851</v>
      </c>
      <c r="B1299" t="str">
        <f>"600778"</f>
        <v>600778</v>
      </c>
      <c r="C1299" t="s">
        <v>254</v>
      </c>
      <c r="D1299" t="str">
        <f>[1]!EM_S_INFO_INDEX_EM(B1299,"1")</f>
        <v>商贸零售</v>
      </c>
      <c r="E1299" s="4">
        <f t="shared" si="20"/>
        <v>43465</v>
      </c>
      <c r="F1299" s="11">
        <f>[1]!EM_S_PQ_PCTCHANGE(B1299,"2018-01-01","2019-12-31","3")</f>
        <v>-9.9502487599999991</v>
      </c>
      <c r="G1299" s="11">
        <f>[1]!EM_S_PQ_PCTCHANGE(B1299,"2018-12-31","2019-12-30","1")</f>
        <v>19.469026549999999</v>
      </c>
      <c r="H1299" s="11">
        <f>[1]!EM_S_FA_YOY_OR(B1299,E1299)</f>
        <v>-4.2710573595000003</v>
      </c>
      <c r="I1299" s="11">
        <f>[1]!EM_S_FA_GROSSPROFITMARGIN(B1299,E1299)</f>
        <v>24.252015689099998</v>
      </c>
      <c r="J1299" s="11">
        <f>[1]!EM_S_FA_NETPROFITMARGIN(B1299,E1299)</f>
        <v>0.82613031270000004</v>
      </c>
      <c r="K1299" s="10">
        <f>[1]!EM_S_FA_ASSETSTURN(B1299,E1299)</f>
        <v>1.100167152846</v>
      </c>
      <c r="L1299" s="12">
        <f>[1]!EM_HKS_VAL_MV(B1299,"2019-12-31","2")</f>
        <v>1691398041.3599999</v>
      </c>
      <c r="M1299">
        <f>[1]!EM_S_VAL_PETTMDEDUCTED(B1299,E1299)</f>
        <v>14.659009072542901</v>
      </c>
      <c r="N1299" s="7">
        <f>[1]!EM_S_VAL_PBGOODWILLDEDUCTED(B1299,E1299)</f>
        <v>1.87699905066726</v>
      </c>
      <c r="O1299" s="7">
        <f>[1]!EM_S_VAL_PS_TTM(B1299,E1299)</f>
        <v>0.24132834685065399</v>
      </c>
      <c r="P1299" s="7">
        <f>[1]!EM_S_VAL_PCF_NCFTTM(B1299,E1299)</f>
        <v>249.891808730398</v>
      </c>
      <c r="Q1299" s="7">
        <f>[1]!EM_S_VAL_DIVIDENDYIELD2(B1299,E1299,"2019-11-29")</f>
        <v>0</v>
      </c>
      <c r="T1299"/>
      <c r="U1299">
        <f>[1]!EM_S_RATIO_EPS_TTM(B1299,E1299,"1")</f>
        <v>0.11608771385730156</v>
      </c>
      <c r="AT1299" s="4" t="str">
        <f>[1]!EM_S_IPO_LISTEDDATE(B1299)</f>
        <v>1996-12-03</v>
      </c>
    </row>
    <row r="1300" spans="1:46">
      <c r="A1300">
        <v>908</v>
      </c>
      <c r="B1300" t="str">
        <f>"002397"</f>
        <v>002397</v>
      </c>
      <c r="C1300" t="s">
        <v>1041</v>
      </c>
      <c r="D1300" t="str">
        <f>[1]!EM_S_INFO_INDEX_EM(B1300,"1")</f>
        <v>纺织服装</v>
      </c>
      <c r="E1300" s="4">
        <f t="shared" si="20"/>
        <v>43465</v>
      </c>
      <c r="F1300" s="11">
        <f>[1]!EM_S_PQ_PCTCHANGE(B1300,"2018-01-01","2019-12-31","3")</f>
        <v>-24.575051999999999</v>
      </c>
      <c r="G1300" s="11">
        <f>[1]!EM_S_PQ_PCTCHANGE(B1300,"2018-12-31","2019-12-30","1")</f>
        <v>19.464720190000001</v>
      </c>
      <c r="H1300" s="11">
        <f>[1]!EM_S_FA_YOY_OR(B1300,E1300)</f>
        <v>19.347622152500001</v>
      </c>
      <c r="I1300" s="11">
        <f>[1]!EM_S_FA_GROSSPROFITMARGIN(B1300,E1300)</f>
        <v>42.754539957299997</v>
      </c>
      <c r="J1300" s="11">
        <f>[1]!EM_S_FA_NETPROFITMARGIN(B1300,E1300)</f>
        <v>4.0156636559000001</v>
      </c>
      <c r="K1300" s="10">
        <f>[1]!EM_S_FA_ASSETSTURN(B1300,E1300)</f>
        <v>0.68997318091199999</v>
      </c>
      <c r="L1300" s="12">
        <f>[1]!EM_HKS_VAL_MV(B1300,"2019-12-31","2")</f>
        <v>3743950070.6999998</v>
      </c>
      <c r="M1300">
        <f>[1]!EM_S_VAL_PETTMDEDUCTED(B1300,E1300)</f>
        <v>44.8380289296706</v>
      </c>
      <c r="N1300" s="7">
        <f>[1]!EM_S_VAL_PBGOODWILLDEDUCTED(B1300,E1300)</f>
        <v>1.6735814614873099</v>
      </c>
      <c r="O1300" s="7">
        <f>[1]!EM_S_VAL_PS_TTM(B1300,E1300)</f>
        <v>1.4630402742681401</v>
      </c>
      <c r="P1300" s="7">
        <f>[1]!EM_S_VAL_PCF_NCFTTM(B1300,E1300)</f>
        <v>15.826565144407899</v>
      </c>
      <c r="Q1300" s="7">
        <f>[1]!EM_S_VAL_DIVIDENDYIELD2(B1300,E1300,"2019-11-29")</f>
        <v>2.9068191154729841</v>
      </c>
      <c r="T1300"/>
      <c r="U1300">
        <f>[1]!EM_S_RATIO_EPS_TTM(B1300,E1300,"1")</f>
        <v>0.1082155974450551</v>
      </c>
      <c r="AT1300" s="4" t="str">
        <f>[1]!EM_S_IPO_LISTEDDATE(B1300)</f>
        <v>2010-04-29</v>
      </c>
    </row>
    <row r="1301" spans="1:46">
      <c r="A1301">
        <v>1209</v>
      </c>
      <c r="B1301" t="str">
        <f>"002698"</f>
        <v>002698</v>
      </c>
      <c r="C1301" t="s">
        <v>2160</v>
      </c>
      <c r="D1301" t="str">
        <f>[1]!EM_S_INFO_INDEX_EM(B1301,"1")</f>
        <v>机械设备</v>
      </c>
      <c r="E1301" s="4">
        <f t="shared" si="20"/>
        <v>43465</v>
      </c>
      <c r="F1301" s="11">
        <f>[1]!EM_S_PQ_PCTCHANGE(B1301,"2018-01-01","2019-12-31","3")</f>
        <v>63.190905270000002</v>
      </c>
      <c r="G1301" s="11">
        <f>[1]!EM_S_PQ_PCTCHANGE(B1301,"2018-12-31","2019-12-30","1")</f>
        <v>19.46006749</v>
      </c>
      <c r="H1301" s="11">
        <f>[1]!EM_S_FA_YOY_OR(B1301,E1301)</f>
        <v>16.178961164099999</v>
      </c>
      <c r="I1301" s="11">
        <f>[1]!EM_S_FA_GROSSPROFITMARGIN(B1301,E1301)</f>
        <v>38.706256497200002</v>
      </c>
      <c r="J1301" s="11">
        <f>[1]!EM_S_FA_NETPROFITMARGIN(B1301,E1301)</f>
        <v>17.889544599000001</v>
      </c>
      <c r="K1301" s="10">
        <f>[1]!EM_S_FA_ASSETSTURN(B1301,E1301)</f>
        <v>0.30054227988299997</v>
      </c>
      <c r="L1301" s="12">
        <f>[1]!EM_HKS_VAL_MV(B1301,"2019-12-31","2")</f>
        <v>10757226000</v>
      </c>
      <c r="M1301">
        <f>[1]!EM_S_VAL_PETTMDEDUCTED(B1301,E1301)</f>
        <v>41.021288914238497</v>
      </c>
      <c r="N1301" s="7">
        <f>[1]!EM_S_VAL_PBGOODWILLDEDUCTED(B1301,E1301)</f>
        <v>3.0241308439924901</v>
      </c>
      <c r="O1301" s="7">
        <f>[1]!EM_S_VAL_PS_TTM(B1301,E1301)</f>
        <v>6.7581213279580403</v>
      </c>
      <c r="P1301" s="7">
        <f>[1]!EM_S_VAL_PCF_NCFTTM(B1301,E1301)</f>
        <v>35.461002832269301</v>
      </c>
      <c r="Q1301" s="7">
        <f>[1]!EM_S_VAL_DIVIDENDYIELD2(B1301,E1301,"2019-11-29")</f>
        <v>0.97121054457162659</v>
      </c>
      <c r="T1301"/>
      <c r="U1301">
        <f>[1]!EM_S_RATIO_EPS_TTM(B1301,E1301,"1")</f>
        <v>0.26709086466187471</v>
      </c>
      <c r="AT1301" s="4" t="str">
        <f>[1]!EM_S_IPO_LISTEDDATE(B1301)</f>
        <v>2012-09-11</v>
      </c>
    </row>
    <row r="1302" spans="1:46">
      <c r="A1302">
        <v>931</v>
      </c>
      <c r="B1302" t="str">
        <f>"002420"</f>
        <v>002420</v>
      </c>
      <c r="C1302" t="s">
        <v>3003</v>
      </c>
      <c r="D1302" t="str">
        <f>[1]!EM_S_INFO_INDEX_EM(B1302,"1")</f>
        <v>家电</v>
      </c>
      <c r="E1302" s="4">
        <f t="shared" si="20"/>
        <v>43465</v>
      </c>
      <c r="F1302" s="11">
        <f>[1]!EM_S_PQ_PCTCHANGE(B1302,"2018-01-01","2019-12-31","3")</f>
        <v>-24.66793169</v>
      </c>
      <c r="G1302" s="11">
        <f>[1]!EM_S_PQ_PCTCHANGE(B1302,"2018-12-31","2019-12-30","1")</f>
        <v>19.452887539999999</v>
      </c>
      <c r="H1302" s="11">
        <f>[1]!EM_S_FA_YOY_OR(B1302,E1302)</f>
        <v>-14.016217582099999</v>
      </c>
      <c r="I1302" s="11">
        <f>[1]!EM_S_FA_GROSSPROFITMARGIN(B1302,E1302)</f>
        <v>5.0199376426000004</v>
      </c>
      <c r="J1302" s="11">
        <f>[1]!EM_S_FA_NETPROFITMARGIN(B1302,E1302)</f>
        <v>-16.655264656500002</v>
      </c>
      <c r="K1302" s="10">
        <f>[1]!EM_S_FA_ASSETSTURN(B1302,E1302)</f>
        <v>1.428949158552</v>
      </c>
      <c r="L1302" s="12">
        <f>[1]!EM_HKS_VAL_MV(B1302,"2019-12-31","2")</f>
        <v>1591970000</v>
      </c>
      <c r="M1302">
        <f>[1]!EM_S_VAL_PETTMDEDUCTED(B1302,E1302)</f>
        <v>-1.80699390561244</v>
      </c>
      <c r="N1302" s="7">
        <f>[1]!EM_S_VAL_PBGOODWILLDEDUCTED(B1302,E1302)</f>
        <v>3.5875878909089298</v>
      </c>
      <c r="O1302" s="7">
        <f>[1]!EM_S_VAL_PS_TTM(B1302,E1302)</f>
        <v>0.23550828044208399</v>
      </c>
      <c r="P1302" s="7">
        <f>[1]!EM_S_VAL_PCF_NCFTTM(B1302,E1302)</f>
        <v>-9.8804398795021005</v>
      </c>
      <c r="Q1302" s="7">
        <f>[1]!EM_S_VAL_DIVIDENDYIELD2(B1302,E1302,"2019-11-29")</f>
        <v>0</v>
      </c>
      <c r="T1302"/>
      <c r="U1302">
        <f>[1]!EM_S_RATIO_EPS_TTM(B1302,E1302,"1")</f>
        <v>-2.0291145993017459</v>
      </c>
      <c r="AT1302" s="4" t="str">
        <f>[1]!EM_S_IPO_LISTEDDATE(B1302)</f>
        <v>2010-06-01</v>
      </c>
    </row>
    <row r="1303" spans="1:46">
      <c r="A1303">
        <v>2437</v>
      </c>
      <c r="B1303" t="str">
        <f>"600310"</f>
        <v>600310</v>
      </c>
      <c r="C1303" t="s">
        <v>3590</v>
      </c>
      <c r="D1303" t="str">
        <f>[1]!EM_S_INFO_INDEX_EM(B1303,"1")</f>
        <v>公用事业</v>
      </c>
      <c r="E1303" s="4">
        <f t="shared" si="20"/>
        <v>43465</v>
      </c>
      <c r="F1303" s="11">
        <f>[1]!EM_S_PQ_PCTCHANGE(B1303,"2018-01-01","2019-12-31","3")</f>
        <v>-16.341821599999999</v>
      </c>
      <c r="G1303" s="11">
        <f>[1]!EM_S_PQ_PCTCHANGE(B1303,"2018-12-31","2019-12-30","1")</f>
        <v>19.444444440000002</v>
      </c>
      <c r="H1303" s="11">
        <f>[1]!EM_S_FA_YOY_OR(B1303,E1303)</f>
        <v>16.479965143699999</v>
      </c>
      <c r="I1303" s="11">
        <f>[1]!EM_S_FA_GROSSPROFITMARGIN(B1303,E1303)</f>
        <v>6.3948174402999998</v>
      </c>
      <c r="J1303" s="11">
        <f>[1]!EM_S_FA_NETPROFITMARGIN(B1303,E1303)</f>
        <v>0.84954292050000002</v>
      </c>
      <c r="K1303" s="10">
        <f>[1]!EM_S_FA_ASSETSTURN(B1303,E1303)</f>
        <v>0.87877228360799997</v>
      </c>
      <c r="L1303" s="12">
        <f>[1]!EM_HKS_VAL_MV(B1303,"2019-12-31","2")</f>
        <v>3551154750</v>
      </c>
      <c r="M1303">
        <f>[1]!EM_S_VAL_PETTMDEDUCTED(B1303,E1303)</f>
        <v>-26.701004323630301</v>
      </c>
      <c r="N1303" s="7">
        <f>[1]!EM_S_VAL_PBGOODWILLDEDUCTED(B1303,E1303)</f>
        <v>1.9443236879507699</v>
      </c>
      <c r="O1303" s="7">
        <f>[1]!EM_S_VAL_PS_TTM(B1303,E1303)</f>
        <v>0.238272383154194</v>
      </c>
      <c r="P1303" s="7">
        <f>[1]!EM_S_VAL_PCF_NCFTTM(B1303,E1303)</f>
        <v>14.1953195978626</v>
      </c>
      <c r="Q1303" s="7">
        <f>[1]!EM_S_VAL_DIVIDENDYIELD2(B1303,E1303,"2019-11-29")</f>
        <v>0.63775510204081631</v>
      </c>
      <c r="T1303"/>
      <c r="U1303">
        <f>[1]!EM_S_RATIO_EPS_TTM(B1303,E1303,"1")</f>
        <v>8.2749144127329283E-2</v>
      </c>
      <c r="AT1303" s="4" t="str">
        <f>[1]!EM_S_IPO_LISTEDDATE(B1303)</f>
        <v>2001-02-28</v>
      </c>
    </row>
    <row r="1304" spans="1:46">
      <c r="A1304">
        <v>3444</v>
      </c>
      <c r="B1304" t="str">
        <f>"603588"</f>
        <v>603588</v>
      </c>
      <c r="C1304" t="s">
        <v>1863</v>
      </c>
      <c r="D1304" t="str">
        <f>[1]!EM_S_INFO_INDEX_EM(B1304,"1")</f>
        <v>公用事业</v>
      </c>
      <c r="E1304" s="4">
        <f t="shared" si="20"/>
        <v>43465</v>
      </c>
      <c r="F1304" s="11">
        <f>[1]!EM_S_PQ_PCTCHANGE(B1304,"2018-01-01","2019-12-31","3")</f>
        <v>-24.72808363</v>
      </c>
      <c r="G1304" s="11">
        <f>[1]!EM_S_PQ_PCTCHANGE(B1304,"2018-12-31","2019-12-30","1")</f>
        <v>19.363057319999999</v>
      </c>
      <c r="H1304" s="11">
        <f>[1]!EM_S_FA_YOY_OR(B1304,E1304)</f>
        <v>63.2042729526</v>
      </c>
      <c r="I1304" s="11">
        <f>[1]!EM_S_FA_GROSSPROFITMARGIN(B1304,E1304)</f>
        <v>26.351698548800002</v>
      </c>
      <c r="J1304" s="11">
        <f>[1]!EM_S_FA_NETPROFITMARGIN(B1304,E1304)</f>
        <v>10.546876917000001</v>
      </c>
      <c r="K1304" s="10">
        <f>[1]!EM_S_FA_ASSETSTURN(B1304,E1304)</f>
        <v>0.52082271740399999</v>
      </c>
      <c r="L1304" s="12">
        <f>[1]!EM_HKS_VAL_MV(B1304,"2019-12-31","2")</f>
        <v>6403703921.5</v>
      </c>
      <c r="M1304">
        <f>[1]!EM_S_VAL_PETTMDEDUCTED(B1304,E1304)</f>
        <v>17.4009714582239</v>
      </c>
      <c r="N1304" s="7">
        <f>[1]!EM_S_VAL_PBGOODWILLDEDUCTED(B1304,E1304)</f>
        <v>2.6775718623326199</v>
      </c>
      <c r="O1304" s="7">
        <f>[1]!EM_S_VAL_PS_TTM(B1304,E1304)</f>
        <v>1.71636165001314</v>
      </c>
      <c r="P1304" s="7">
        <f>[1]!EM_S_VAL_PCF_NCFTTM(B1304,E1304)</f>
        <v>10.8359279807812</v>
      </c>
      <c r="Q1304" s="7">
        <f>[1]!EM_S_VAL_DIVIDENDYIELD2(B1304,E1304,"2019-11-29")</f>
        <v>0.54914202798895784</v>
      </c>
      <c r="T1304"/>
      <c r="U1304">
        <f>[1]!EM_S_RATIO_EPS_TTM(B1304,E1304,"1")</f>
        <v>0.49146390891345315</v>
      </c>
      <c r="AT1304" s="4" t="str">
        <f>[1]!EM_S_IPO_LISTEDDATE(B1304)</f>
        <v>2014-12-29</v>
      </c>
    </row>
    <row r="1305" spans="1:46">
      <c r="A1305">
        <v>3199</v>
      </c>
      <c r="B1305" t="str">
        <f>"601999"</f>
        <v>601999</v>
      </c>
      <c r="C1305" t="s">
        <v>2329</v>
      </c>
      <c r="D1305" t="str">
        <f>[1]!EM_S_INFO_INDEX_EM(B1305,"1")</f>
        <v>文化传媒</v>
      </c>
      <c r="E1305" s="4">
        <f t="shared" si="20"/>
        <v>43465</v>
      </c>
      <c r="F1305" s="11">
        <f>[1]!EM_S_PQ_PCTCHANGE(B1305,"2018-01-01","2019-12-31","3")</f>
        <v>-16.747387450000002</v>
      </c>
      <c r="G1305" s="11">
        <f>[1]!EM_S_PQ_PCTCHANGE(B1305,"2018-12-31","2019-12-30","1")</f>
        <v>19.329388560000002</v>
      </c>
      <c r="H1305" s="11">
        <f>[1]!EM_S_FA_YOY_OR(B1305,E1305)</f>
        <v>21.0844749012</v>
      </c>
      <c r="I1305" s="11">
        <f>[1]!EM_S_FA_GROSSPROFITMARGIN(B1305,E1305)</f>
        <v>21.436330084600002</v>
      </c>
      <c r="J1305" s="11">
        <f>[1]!EM_S_FA_NETPROFITMARGIN(B1305,E1305)</f>
        <v>7.5988474442999996</v>
      </c>
      <c r="K1305" s="10">
        <f>[1]!EM_S_FA_ASSETSTURN(B1305,E1305)</f>
        <v>0.695018744681</v>
      </c>
      <c r="L1305" s="12">
        <f>[1]!EM_HKS_VAL_MV(B1305,"2019-12-31","2")</f>
        <v>3283451612</v>
      </c>
      <c r="M1305">
        <f>[1]!EM_S_VAL_PETTMDEDUCTED(B1305,E1305)</f>
        <v>43.159425342737201</v>
      </c>
      <c r="N1305" s="7">
        <f>[1]!EM_S_VAL_PBGOODWILLDEDUCTED(B1305,E1305)</f>
        <v>1.2769728686619399</v>
      </c>
      <c r="O1305" s="7">
        <f>[1]!EM_S_VAL_PS_TTM(B1305,E1305)</f>
        <v>1.31893390217357</v>
      </c>
      <c r="P1305" s="7">
        <f>[1]!EM_S_VAL_PCF_NCFTTM(B1305,E1305)</f>
        <v>-102.77061022407599</v>
      </c>
      <c r="Q1305" s="7">
        <f>[1]!EM_S_VAL_DIVIDENDYIELD2(B1305,E1305,"2019-11-29")</f>
        <v>2.0952380952380953</v>
      </c>
      <c r="T1305"/>
      <c r="U1305">
        <f>[1]!EM_S_RATIO_EPS_TTM(B1305,E1305,"1")</f>
        <v>0.32188039099337884</v>
      </c>
      <c r="AT1305" s="4" t="str">
        <f>[1]!EM_S_IPO_LISTEDDATE(B1305)</f>
        <v>2007-12-21</v>
      </c>
    </row>
    <row r="1306" spans="1:46">
      <c r="A1306">
        <v>1517</v>
      </c>
      <c r="B1306" t="str">
        <f>"300092"</f>
        <v>300092</v>
      </c>
      <c r="C1306" t="s">
        <v>2773</v>
      </c>
      <c r="D1306" t="str">
        <f>[1]!EM_S_INFO_INDEX_EM(B1306,"1")</f>
        <v>机械设备</v>
      </c>
      <c r="E1306" s="4">
        <f t="shared" si="20"/>
        <v>43465</v>
      </c>
      <c r="F1306" s="11">
        <f>[1]!EM_S_PQ_PCTCHANGE(B1306,"2018-01-01","2019-12-31","3")</f>
        <v>-12.14662375</v>
      </c>
      <c r="G1306" s="11">
        <f>[1]!EM_S_PQ_PCTCHANGE(B1306,"2018-12-31","2019-12-30","1")</f>
        <v>19.306930690000002</v>
      </c>
      <c r="H1306" s="11">
        <f>[1]!EM_S_FA_YOY_OR(B1306,E1306)</f>
        <v>42.536287400699997</v>
      </c>
      <c r="I1306" s="11">
        <f>[1]!EM_S_FA_GROSSPROFITMARGIN(B1306,E1306)</f>
        <v>20.217779800999999</v>
      </c>
      <c r="J1306" s="11">
        <f>[1]!EM_S_FA_NETPROFITMARGIN(B1306,E1306)</f>
        <v>1.4381241478</v>
      </c>
      <c r="K1306" s="10">
        <f>[1]!EM_S_FA_ASSETSTURN(B1306,E1306)</f>
        <v>0.62594579660600003</v>
      </c>
      <c r="L1306" s="12">
        <f>[1]!EM_HKS_VAL_MV(B1306,"2019-12-31","2")</f>
        <v>1688356710</v>
      </c>
      <c r="M1306">
        <f>[1]!EM_S_VAL_PETTMDEDUCTED(B1306,E1306)</f>
        <v>239.71392471719801</v>
      </c>
      <c r="N1306" s="7">
        <f>[1]!EM_S_VAL_PBGOODWILLDEDUCTED(B1306,E1306)</f>
        <v>2.5838256256204502</v>
      </c>
      <c r="O1306" s="7">
        <f>[1]!EM_S_VAL_PS_TTM(B1306,E1306)</f>
        <v>2.9346342226130799</v>
      </c>
      <c r="P1306" s="7">
        <f>[1]!EM_S_VAL_PCF_NCFTTM(B1306,E1306)</f>
        <v>49.990318351159402</v>
      </c>
      <c r="Q1306" s="7">
        <f>[1]!EM_S_VAL_DIVIDENDYIELD2(B1306,E1306,"2019-11-29")</f>
        <v>0.22255192878338279</v>
      </c>
      <c r="T1306"/>
      <c r="U1306">
        <f>[1]!EM_S_RATIO_EPS_TTM(B1306,E1306,"1")</f>
        <v>2.9176213658834212E-2</v>
      </c>
      <c r="AT1306" s="4" t="str">
        <f>[1]!EM_S_IPO_LISTEDDATE(B1306)</f>
        <v>2010-07-08</v>
      </c>
    </row>
    <row r="1307" spans="1:46">
      <c r="A1307">
        <v>3280</v>
      </c>
      <c r="B1307" t="str">
        <f>"603127"</f>
        <v>603127</v>
      </c>
      <c r="C1307" t="s">
        <v>1715</v>
      </c>
      <c r="D1307" t="str">
        <f>[1]!EM_S_INFO_INDEX_EM(B1307,"1")</f>
        <v>医药生物</v>
      </c>
      <c r="E1307" s="4">
        <f t="shared" si="20"/>
        <v>43465</v>
      </c>
      <c r="F1307" s="11">
        <f>[1]!EM_S_PQ_PCTCHANGE(B1307,"2018-01-01","2019-12-31","3")</f>
        <v>105.68027092</v>
      </c>
      <c r="G1307" s="11">
        <f>[1]!EM_S_PQ_PCTCHANGE(B1307,"2018-12-31","2019-12-30","1")</f>
        <v>19.285714290000001</v>
      </c>
      <c r="H1307" s="11">
        <f>[1]!EM_S_FA_YOY_OR(B1307,E1307)</f>
        <v>35.687587773700002</v>
      </c>
      <c r="I1307" s="11">
        <f>[1]!EM_S_FA_GROSSPROFITMARGIN(B1307,E1307)</f>
        <v>53.020701406000001</v>
      </c>
      <c r="J1307" s="11">
        <f>[1]!EM_S_FA_NETPROFITMARGIN(B1307,E1307)</f>
        <v>26.464693555299998</v>
      </c>
      <c r="K1307" s="10">
        <f>[1]!EM_S_FA_ASSETSTURN(B1307,E1307)</f>
        <v>0.39264401737499999</v>
      </c>
      <c r="L1307" s="12">
        <f>[1]!EM_HKS_VAL_MV(B1307,"2019-12-31","2")</f>
        <v>9347237976</v>
      </c>
      <c r="M1307">
        <f>[1]!EM_S_VAL_PETTMDEDUCTED(B1307,E1307)</f>
        <v>67.676352533535194</v>
      </c>
      <c r="N1307" s="7">
        <f>[1]!EM_S_VAL_PBGOODWILLDEDUCTED(B1307,E1307)</f>
        <v>8.4040835173797106</v>
      </c>
      <c r="O1307" s="7">
        <f>[1]!EM_S_VAL_PS_TTM(B1307,E1307)</f>
        <v>14.5862233381125</v>
      </c>
      <c r="P1307" s="7">
        <f>[1]!EM_S_VAL_PCF_NCFTTM(B1307,E1307)</f>
        <v>-21.7067189721608</v>
      </c>
      <c r="Q1307" s="7">
        <f>[1]!EM_S_VAL_DIVIDENDYIELD2(B1307,E1307,"2019-11-29")</f>
        <v>0.3648464681437012</v>
      </c>
      <c r="T1307"/>
      <c r="U1307">
        <f>[1]!EM_S_RATIO_EPS_TTM(B1307,E1307,"1")</f>
        <v>0.94211656912585462</v>
      </c>
      <c r="AT1307" s="4" t="str">
        <f>[1]!EM_S_IPO_LISTEDDATE(B1307)</f>
        <v>2017-08-25</v>
      </c>
    </row>
    <row r="1308" spans="1:46">
      <c r="A1308">
        <v>2003</v>
      </c>
      <c r="B1308" t="str">
        <f>"300582"</f>
        <v>300582</v>
      </c>
      <c r="C1308" t="s">
        <v>1733</v>
      </c>
      <c r="D1308" t="str">
        <f>[1]!EM_S_INFO_INDEX_EM(B1308,"1")</f>
        <v>电子设备</v>
      </c>
      <c r="E1308" s="4">
        <f t="shared" si="20"/>
        <v>43465</v>
      </c>
      <c r="F1308" s="11">
        <f>[1]!EM_S_PQ_PCTCHANGE(B1308,"2018-01-01","2019-12-31","3")</f>
        <v>-32.201021349999998</v>
      </c>
      <c r="G1308" s="11">
        <f>[1]!EM_S_PQ_PCTCHANGE(B1308,"2018-12-31","2019-12-30","1")</f>
        <v>19.28071928</v>
      </c>
      <c r="H1308" s="11">
        <f>[1]!EM_S_FA_YOY_OR(B1308,E1308)</f>
        <v>26.466404371300001</v>
      </c>
      <c r="I1308" s="11">
        <f>[1]!EM_S_FA_GROSSPROFITMARGIN(B1308,E1308)</f>
        <v>33.529787203799998</v>
      </c>
      <c r="J1308" s="11">
        <f>[1]!EM_S_FA_NETPROFITMARGIN(B1308,E1308)</f>
        <v>7.2807645532</v>
      </c>
      <c r="K1308" s="10">
        <f>[1]!EM_S_FA_ASSETSTURN(B1308,E1308)</f>
        <v>0.63593034564200002</v>
      </c>
      <c r="L1308" s="12">
        <f>[1]!EM_HKS_VAL_MV(B1308,"2019-12-31","2")</f>
        <v>2350260000</v>
      </c>
      <c r="M1308">
        <f>[1]!EM_S_VAL_PETTMDEDUCTED(B1308,E1308)</f>
        <v>41.693253204355798</v>
      </c>
      <c r="N1308" s="7">
        <f>[1]!EM_S_VAL_PBGOODWILLDEDUCTED(B1308,E1308)</f>
        <v>2.1103471225102499</v>
      </c>
      <c r="O1308" s="7">
        <f>[1]!EM_S_VAL_PS_TTM(B1308,E1308)</f>
        <v>2.1677762509299798</v>
      </c>
      <c r="P1308" s="7">
        <f>[1]!EM_S_VAL_PCF_NCFTTM(B1308,E1308)</f>
        <v>31.9153894872073</v>
      </c>
      <c r="Q1308" s="7">
        <f>[1]!EM_S_VAL_DIVIDENDYIELD2(B1308,E1308,"2019-11-29")</f>
        <v>0.46534653465346532</v>
      </c>
      <c r="T1308"/>
      <c r="U1308">
        <f>[1]!EM_S_RATIO_EPS_TTM(B1308,E1308,"1")</f>
        <v>0.34812685713812463</v>
      </c>
      <c r="AT1308" s="4" t="str">
        <f>[1]!EM_S_IPO_LISTEDDATE(B1308)</f>
        <v>2016-12-28</v>
      </c>
    </row>
    <row r="1309" spans="1:46">
      <c r="A1309">
        <v>1204</v>
      </c>
      <c r="B1309" t="str">
        <f>"002693"</f>
        <v>002693</v>
      </c>
      <c r="C1309" t="s">
        <v>3314</v>
      </c>
      <c r="D1309" t="str">
        <f>[1]!EM_S_INFO_INDEX_EM(B1309,"1")</f>
        <v>医药生物</v>
      </c>
      <c r="E1309" s="4">
        <f t="shared" si="20"/>
        <v>43465</v>
      </c>
      <c r="F1309" s="11">
        <f>[1]!EM_S_PQ_PCTCHANGE(B1309,"2018-01-01","2019-12-31","3")</f>
        <v>-26.84458399</v>
      </c>
      <c r="G1309" s="11">
        <f>[1]!EM_S_PQ_PCTCHANGE(B1309,"2018-12-31","2019-12-30","1")</f>
        <v>19.28020566</v>
      </c>
      <c r="H1309" s="11">
        <f>[1]!EM_S_FA_YOY_OR(B1309,E1309)</f>
        <v>36.663067191700002</v>
      </c>
      <c r="I1309" s="11">
        <f>[1]!EM_S_FA_GROSSPROFITMARGIN(B1309,E1309)</f>
        <v>64.163570335800003</v>
      </c>
      <c r="J1309" s="11">
        <f>[1]!EM_S_FA_NETPROFITMARGIN(B1309,E1309)</f>
        <v>-27.323958370900002</v>
      </c>
      <c r="K1309" s="10">
        <f>[1]!EM_S_FA_ASSETSTURN(B1309,E1309)</f>
        <v>0.27007945491899998</v>
      </c>
      <c r="L1309" s="12">
        <f>[1]!EM_HKS_VAL_MV(B1309,"2019-12-31","2")</f>
        <v>1887300000</v>
      </c>
      <c r="M1309">
        <f>[1]!EM_S_VAL_PETTMDEDUCTED(B1309,E1309)</f>
        <v>-19.992707611517499</v>
      </c>
      <c r="N1309" s="7">
        <f>[1]!EM_S_VAL_PBGOODWILLDEDUCTED(B1309,E1309)</f>
        <v>3.0177952351828998</v>
      </c>
      <c r="O1309" s="7">
        <f>[1]!EM_S_VAL_PS_TTM(B1309,E1309)</f>
        <v>4.5622596844642898</v>
      </c>
      <c r="P1309" s="7">
        <f>[1]!EM_S_VAL_PCF_NCFTTM(B1309,E1309)</f>
        <v>-81.981193409638095</v>
      </c>
      <c r="Q1309" s="7">
        <f>[1]!EM_S_VAL_DIVIDENDYIELD2(B1309,E1309,"2019-11-29")</f>
        <v>0</v>
      </c>
      <c r="T1309"/>
      <c r="U1309">
        <f>[1]!EM_S_RATIO_EPS_TTM(B1309,E1309,"1")</f>
        <v>-0.17149626372839508</v>
      </c>
      <c r="AT1309" s="4" t="str">
        <f>[1]!EM_S_IPO_LISTEDDATE(B1309)</f>
        <v>2012-08-08</v>
      </c>
    </row>
    <row r="1310" spans="1:46">
      <c r="A1310">
        <v>27</v>
      </c>
      <c r="B1310" t="str">
        <f>"000027"</f>
        <v>000027</v>
      </c>
      <c r="C1310" t="s">
        <v>2871</v>
      </c>
      <c r="D1310" t="str">
        <f>[1]!EM_S_INFO_INDEX_EM(B1310,"1")</f>
        <v>公用事业</v>
      </c>
      <c r="E1310" s="4">
        <f t="shared" si="20"/>
        <v>43465</v>
      </c>
      <c r="F1310" s="11">
        <f>[1]!EM_S_PQ_PCTCHANGE(B1310,"2018-01-01","2019-12-31","3")</f>
        <v>5.0330028100000002</v>
      </c>
      <c r="G1310" s="11">
        <f>[1]!EM_S_PQ_PCTCHANGE(B1310,"2019-01-01","2019-12-31","3")</f>
        <v>19.274724800000001</v>
      </c>
      <c r="H1310" s="11">
        <f>[1]!EM_S_FA_YOY_OR(B1310,E1310)</f>
        <v>19.1790075338</v>
      </c>
      <c r="I1310" s="11">
        <f>[1]!EM_S_FA_GROSSPROFITMARGIN(B1310,E1310)</f>
        <v>26.6281665713</v>
      </c>
      <c r="J1310" s="11">
        <f>[1]!EM_S_FA_NETPROFITMARGIN(B1310,E1310)</f>
        <v>3.8666339905</v>
      </c>
      <c r="K1310" s="10">
        <f>[1]!EM_S_FA_ASSETSTURN(B1310,E1310)</f>
        <v>0.228303693334</v>
      </c>
      <c r="L1310" s="12">
        <f>[1]!EM_HKS_VAL_MV(B1310,"2019-12-31","2")</f>
        <v>24619492817.369999</v>
      </c>
      <c r="M1310">
        <f>[1]!EM_S_VAL_PETTMDEDUCTED(B1310,E1310)</f>
        <v>35.418646614914998</v>
      </c>
      <c r="N1310" s="7">
        <f>[1]!EM_S_VAL_PBGOODWILLDEDUCTED(B1310,E1310)</f>
        <v>1.1182379545892001</v>
      </c>
      <c r="O1310" s="7">
        <f>[1]!EM_S_VAL_PS_TTM(B1310,E1310)</f>
        <v>1.1909288705833001</v>
      </c>
      <c r="P1310" s="7">
        <f>[1]!EM_S_VAL_PCF_NCFTTM(B1310,E1310)</f>
        <v>11.098682092662299</v>
      </c>
      <c r="Q1310" s="7">
        <f>[1]!EM_S_VAL_DIVIDENDYIELD2(B1310,E1310,"2019-11-29")</f>
        <v>0.83056478405315626</v>
      </c>
      <c r="T1310"/>
      <c r="U1310">
        <f>[1]!EM_S_RATIO_EPS_TTM(B1310,E1310,"1")</f>
        <v>0.17421573508256322</v>
      </c>
      <c r="AT1310" s="4" t="str">
        <f>[1]!EM_S_IPO_LISTEDDATE(B1310)</f>
        <v>1993-09-03</v>
      </c>
    </row>
    <row r="1311" spans="1:46">
      <c r="A1311">
        <v>849</v>
      </c>
      <c r="B1311" t="str">
        <f>"002338"</f>
        <v>002338</v>
      </c>
      <c r="C1311" t="s">
        <v>2054</v>
      </c>
      <c r="D1311" t="str">
        <f>[1]!EM_S_INFO_INDEX_EM(B1311,"1")</f>
        <v>机械设备</v>
      </c>
      <c r="E1311" s="4">
        <f t="shared" si="20"/>
        <v>43465</v>
      </c>
      <c r="F1311" s="11">
        <f>[1]!EM_S_PQ_PCTCHANGE(B1311,"2018-01-01","2019-12-31","3")</f>
        <v>-8.4391099000000001</v>
      </c>
      <c r="G1311" s="11">
        <f>[1]!EM_S_PQ_PCTCHANGE(B1311,"2018-12-31","2019-12-30","1")</f>
        <v>19.261926190000001</v>
      </c>
      <c r="H1311" s="11">
        <f>[1]!EM_S_FA_YOY_OR(B1311,E1311)</f>
        <v>4.4315976250000002</v>
      </c>
      <c r="I1311" s="11">
        <f>[1]!EM_S_FA_GROSSPROFITMARGIN(B1311,E1311)</f>
        <v>38.224227038099997</v>
      </c>
      <c r="J1311" s="11">
        <f>[1]!EM_S_FA_NETPROFITMARGIN(B1311,E1311)</f>
        <v>11.449340795199999</v>
      </c>
      <c r="K1311" s="10">
        <f>[1]!EM_S_FA_ASSETSTURN(B1311,E1311)</f>
        <v>0.394923322854</v>
      </c>
      <c r="L1311" s="12">
        <f>[1]!EM_HKS_VAL_MV(B1311,"2019-12-31","2")</f>
        <v>3165600000</v>
      </c>
      <c r="M1311">
        <f>[1]!EM_S_VAL_PETTMDEDUCTED(B1311,E1311)</f>
        <v>132.03354815587099</v>
      </c>
      <c r="N1311" s="7">
        <f>[1]!EM_S_VAL_PBGOODWILLDEDUCTED(B1311,E1311)</f>
        <v>3.2644160735709602</v>
      </c>
      <c r="O1311" s="7">
        <f>[1]!EM_S_VAL_PS_TTM(B1311,E1311)</f>
        <v>7.1010244634331396</v>
      </c>
      <c r="P1311" s="7">
        <f>[1]!EM_S_VAL_PCF_NCFTTM(B1311,E1311)</f>
        <v>-59.463924358953399</v>
      </c>
      <c r="Q1311" s="7">
        <f>[1]!EM_S_VAL_DIVIDENDYIELD2(B1311,E1311,"2019-11-29")</f>
        <v>0.41322314049586778</v>
      </c>
      <c r="T1311"/>
      <c r="U1311">
        <f>[1]!EM_S_RATIO_EPS_TTM(B1311,E1311,"1")</f>
        <v>0.17000097791666668</v>
      </c>
      <c r="AT1311" s="4" t="str">
        <f>[1]!EM_S_IPO_LISTEDDATE(B1311)</f>
        <v>2010-01-15</v>
      </c>
    </row>
    <row r="1312" spans="1:46">
      <c r="A1312">
        <v>915</v>
      </c>
      <c r="B1312" t="str">
        <f>"002404"</f>
        <v>002404</v>
      </c>
      <c r="C1312" t="s">
        <v>1280</v>
      </c>
      <c r="D1312" t="str">
        <f>[1]!EM_S_INFO_INDEX_EM(B1312,"1")</f>
        <v>纺织服装</v>
      </c>
      <c r="E1312" s="4">
        <f t="shared" si="20"/>
        <v>43465</v>
      </c>
      <c r="F1312" s="11">
        <f>[1]!EM_S_PQ_PCTCHANGE(B1312,"2018-01-01","2019-12-31","3")</f>
        <v>-2.6076692100000001</v>
      </c>
      <c r="G1312" s="11">
        <f>[1]!EM_S_PQ_PCTCHANGE(B1312,"2018-12-31","2019-12-30","1")</f>
        <v>19.252336450000001</v>
      </c>
      <c r="H1312" s="11">
        <f>[1]!EM_S_FA_YOY_OR(B1312,E1312)</f>
        <v>14.7137598363</v>
      </c>
      <c r="I1312" s="11">
        <f>[1]!EM_S_FA_GROSSPROFITMARGIN(B1312,E1312)</f>
        <v>15.160802432000001</v>
      </c>
      <c r="J1312" s="11">
        <f>[1]!EM_S_FA_NETPROFITMARGIN(B1312,E1312)</f>
        <v>4.8143267983999998</v>
      </c>
      <c r="K1312" s="10">
        <f>[1]!EM_S_FA_ASSETSTURN(B1312,E1312)</f>
        <v>1.147332572092</v>
      </c>
      <c r="L1312" s="12">
        <f>[1]!EM_HKS_VAL_MV(B1312,"2019-12-31","2")</f>
        <v>3662450883.9400001</v>
      </c>
      <c r="M1312">
        <f>[1]!EM_S_VAL_PETTMDEDUCTED(B1312,E1312)</f>
        <v>-130.52972133199199</v>
      </c>
      <c r="N1312" s="7">
        <f>[1]!EM_S_VAL_PBGOODWILLDEDUCTED(B1312,E1312)</f>
        <v>1.76199452777364</v>
      </c>
      <c r="O1312" s="7">
        <f>[1]!EM_S_VAL_PS_TTM(B1312,E1312)</f>
        <v>1.00132129126998</v>
      </c>
      <c r="P1312" s="7">
        <f>[1]!EM_S_VAL_PCF_NCFTTM(B1312,E1312)</f>
        <v>48.2712507708722</v>
      </c>
      <c r="Q1312" s="7">
        <f>[1]!EM_S_VAL_DIVIDENDYIELD2(B1312,E1312,"2019-11-29")</f>
        <v>3.8240917782026771</v>
      </c>
      <c r="T1312"/>
      <c r="U1312">
        <f>[1]!EM_S_RATIO_EPS_TTM(B1312,E1312,"1")</f>
        <v>0.24841884142676332</v>
      </c>
      <c r="AT1312" s="4" t="str">
        <f>[1]!EM_S_IPO_LISTEDDATE(B1312)</f>
        <v>2010-05-11</v>
      </c>
    </row>
    <row r="1313" spans="1:46">
      <c r="A1313">
        <v>1368</v>
      </c>
      <c r="B1313" t="str">
        <f>"002868"</f>
        <v>002868</v>
      </c>
      <c r="C1313" t="s">
        <v>994</v>
      </c>
      <c r="D1313" t="str">
        <f>[1]!EM_S_INFO_INDEX_EM(B1313,"1")</f>
        <v>农林牧渔</v>
      </c>
      <c r="E1313" s="4">
        <f t="shared" si="20"/>
        <v>43465</v>
      </c>
      <c r="F1313" s="11">
        <f>[1]!EM_S_PQ_PCTCHANGE(B1313,"2018-01-01","2019-12-31","3")</f>
        <v>-24.224232140000002</v>
      </c>
      <c r="G1313" s="11">
        <f>[1]!EM_S_PQ_PCTCHANGE(B1313,"2018-12-31","2019-12-30","1")</f>
        <v>19.235924929999999</v>
      </c>
      <c r="H1313" s="11">
        <f>[1]!EM_S_FA_YOY_OR(B1313,E1313)</f>
        <v>-8.2894117519999995</v>
      </c>
      <c r="I1313" s="11">
        <f>[1]!EM_S_FA_GROSSPROFITMARGIN(B1313,E1313)</f>
        <v>34.537561219799997</v>
      </c>
      <c r="J1313" s="11">
        <f>[1]!EM_S_FA_NETPROFITMARGIN(B1313,E1313)</f>
        <v>21.693640681000002</v>
      </c>
      <c r="K1313" s="10">
        <f>[1]!EM_S_FA_ASSETSTURN(B1313,E1313)</f>
        <v>0.441778388129</v>
      </c>
      <c r="L1313" s="12">
        <f>[1]!EM_HKS_VAL_MV(B1313,"2019-12-31","2")</f>
        <v>2154000000</v>
      </c>
      <c r="M1313">
        <f>[1]!EM_S_VAL_PETTMDEDUCTED(B1313,E1313)</f>
        <v>32.373698401433302</v>
      </c>
      <c r="N1313" s="7">
        <f>[1]!EM_S_VAL_PBGOODWILLDEDUCTED(B1313,E1313)</f>
        <v>2.4182517222956998</v>
      </c>
      <c r="O1313" s="7">
        <f>[1]!EM_S_VAL_PS_TTM(B1313,E1313)</f>
        <v>5.2578790605762098</v>
      </c>
      <c r="P1313" s="7">
        <f>[1]!EM_S_VAL_PCF_NCFTTM(B1313,E1313)</f>
        <v>-94.2122021254158</v>
      </c>
      <c r="Q1313" s="7">
        <f>[1]!EM_S_VAL_DIVIDENDYIELD2(B1313,E1313,"2019-11-29")</f>
        <v>1.4925373134328357</v>
      </c>
      <c r="T1313"/>
      <c r="U1313">
        <f>[1]!EM_S_RATIO_EPS_TTM(B1313,E1313,"1")</f>
        <v>0.62241205291666657</v>
      </c>
      <c r="AT1313" s="4" t="str">
        <f>[1]!EM_S_IPO_LISTEDDATE(B1313)</f>
        <v>2017-05-03</v>
      </c>
    </row>
    <row r="1314" spans="1:46">
      <c r="A1314">
        <v>1318</v>
      </c>
      <c r="B1314" t="str">
        <f>"002815"</f>
        <v>002815</v>
      </c>
      <c r="C1314" t="s">
        <v>298</v>
      </c>
      <c r="D1314" t="str">
        <f>[1]!EM_S_INFO_INDEX_EM(B1314,"1")</f>
        <v>电子设备</v>
      </c>
      <c r="E1314" s="4">
        <f t="shared" si="20"/>
        <v>43465</v>
      </c>
      <c r="F1314" s="11">
        <f>[1]!EM_S_PQ_PCTCHANGE(B1314,"2018-01-01","2019-12-31","3")</f>
        <v>13.484853770000001</v>
      </c>
      <c r="G1314" s="11">
        <f>[1]!EM_S_PQ_PCTCHANGE(B1314,"2018-12-31","2019-12-30","1")</f>
        <v>19.233401780000001</v>
      </c>
      <c r="H1314" s="11">
        <f>[1]!EM_S_FA_YOY_OR(B1314,E1314)</f>
        <v>17.8378822514</v>
      </c>
      <c r="I1314" s="11">
        <f>[1]!EM_S_FA_GROSSPROFITMARGIN(B1314,E1314)</f>
        <v>32.937085062000001</v>
      </c>
      <c r="J1314" s="11">
        <f>[1]!EM_S_FA_NETPROFITMARGIN(B1314,E1314)</f>
        <v>15.3324848217</v>
      </c>
      <c r="K1314" s="10">
        <f>[1]!EM_S_FA_ASSETSTURN(B1314,E1314)</f>
        <v>0.73840551660099996</v>
      </c>
      <c r="L1314" s="12">
        <f>[1]!EM_HKS_VAL_MV(B1314,"2019-12-31","2")</f>
        <v>15284822300.02</v>
      </c>
      <c r="M1314">
        <f>[1]!EM_S_VAL_PETTMDEDUCTED(B1314,E1314)</f>
        <v>23.2364624062409</v>
      </c>
      <c r="N1314" s="7">
        <f>[1]!EM_S_VAL_PBGOODWILLDEDUCTED(B1314,E1314)</f>
        <v>4.41212148692789</v>
      </c>
      <c r="O1314" s="7">
        <f>[1]!EM_S_VAL_PS_TTM(B1314,E1314)</f>
        <v>3.3928278778158401</v>
      </c>
      <c r="P1314" s="7">
        <f>[1]!EM_S_VAL_PCF_NCFTTM(B1314,E1314)</f>
        <v>-154.896510461937</v>
      </c>
      <c r="Q1314" s="7">
        <f>[1]!EM_S_VAL_DIVIDENDYIELD2(B1314,E1314,"2019-11-29")</f>
        <v>2.0904693308455231</v>
      </c>
      <c r="T1314"/>
      <c r="U1314">
        <f>[1]!EM_S_RATIO_EPS_TTM(B1314,E1314,"1")</f>
        <v>0.67437680896575947</v>
      </c>
      <c r="AT1314" s="4" t="str">
        <f>[1]!EM_S_IPO_LISTEDDATE(B1314)</f>
        <v>2016-10-12</v>
      </c>
    </row>
    <row r="1315" spans="1:46">
      <c r="A1315">
        <v>872</v>
      </c>
      <c r="B1315" t="str">
        <f>"002361"</f>
        <v>002361</v>
      </c>
      <c r="C1315" t="s">
        <v>2323</v>
      </c>
      <c r="D1315" t="str">
        <f>[1]!EM_S_INFO_INDEX_EM(B1315,"1")</f>
        <v>基础化工</v>
      </c>
      <c r="E1315" s="4">
        <f t="shared" si="20"/>
        <v>43465</v>
      </c>
      <c r="F1315" s="11">
        <f>[1]!EM_S_PQ_PCTCHANGE(B1315,"2018-01-01","2019-12-31","3")</f>
        <v>-19.65044747</v>
      </c>
      <c r="G1315" s="11">
        <f>[1]!EM_S_PQ_PCTCHANGE(B1315,"2018-12-31","2019-12-30","1")</f>
        <v>19.23076923</v>
      </c>
      <c r="H1315" s="11">
        <f>[1]!EM_S_FA_YOY_OR(B1315,E1315)</f>
        <v>6.0111328902999999</v>
      </c>
      <c r="I1315" s="11">
        <f>[1]!EM_S_FA_GROSSPROFITMARGIN(B1315,E1315)</f>
        <v>16.7898960307</v>
      </c>
      <c r="J1315" s="11">
        <f>[1]!EM_S_FA_NETPROFITMARGIN(B1315,E1315)</f>
        <v>4.1044951165999999</v>
      </c>
      <c r="K1315" s="10">
        <f>[1]!EM_S_FA_ASSETSTURN(B1315,E1315)</f>
        <v>0.59087310883199995</v>
      </c>
      <c r="L1315" s="12">
        <f>[1]!EM_HKS_VAL_MV(B1315,"2019-12-31","2")</f>
        <v>3660198886.9200001</v>
      </c>
      <c r="M1315">
        <f>[1]!EM_S_VAL_PETTMDEDUCTED(B1315,E1315)</f>
        <v>31.416298366160099</v>
      </c>
      <c r="N1315" s="7">
        <f>[1]!EM_S_VAL_PBGOODWILLDEDUCTED(B1315,E1315)</f>
        <v>2.0575785099956798</v>
      </c>
      <c r="O1315" s="7">
        <f>[1]!EM_S_VAL_PS_TTM(B1315,E1315)</f>
        <v>1.5788337300578099</v>
      </c>
      <c r="P1315" s="7">
        <f>[1]!EM_S_VAL_PCF_NCFTTM(B1315,E1315)</f>
        <v>-49.141413044100098</v>
      </c>
      <c r="Q1315" s="7">
        <f>[1]!EM_S_VAL_DIVIDENDYIELD2(B1315,E1315,"2019-11-29")</f>
        <v>2.392344497607656</v>
      </c>
      <c r="T1315"/>
      <c r="U1315">
        <f>[1]!EM_S_RATIO_EPS_TTM(B1315,E1315,"1")</f>
        <v>9.232326749696261E-2</v>
      </c>
      <c r="AT1315" s="4" t="str">
        <f>[1]!EM_S_IPO_LISTEDDATE(B1315)</f>
        <v>2010-03-03</v>
      </c>
    </row>
    <row r="1316" spans="1:46">
      <c r="A1316">
        <v>918</v>
      </c>
      <c r="B1316" t="str">
        <f>"002407"</f>
        <v>002407</v>
      </c>
      <c r="C1316" t="s">
        <v>979</v>
      </c>
      <c r="D1316" t="str">
        <f>[1]!EM_S_INFO_INDEX_EM(B1316,"1")</f>
        <v>基础化工</v>
      </c>
      <c r="E1316" s="4">
        <f t="shared" si="20"/>
        <v>43465</v>
      </c>
      <c r="F1316" s="11">
        <f>[1]!EM_S_PQ_PCTCHANGE(B1316,"2018-01-01","2019-12-31","3")</f>
        <v>-33.02367023</v>
      </c>
      <c r="G1316" s="11">
        <f>[1]!EM_S_PQ_PCTCHANGE(B1316,"2018-12-31","2019-12-30","1")</f>
        <v>19.160583939999999</v>
      </c>
      <c r="H1316" s="11">
        <f>[1]!EM_S_FA_YOY_OR(B1316,E1316)</f>
        <v>4.7357513193000003</v>
      </c>
      <c r="I1316" s="11">
        <f>[1]!EM_S_FA_GROSSPROFITMARGIN(B1316,E1316)</f>
        <v>25.259821799200001</v>
      </c>
      <c r="J1316" s="11">
        <f>[1]!EM_S_FA_NETPROFITMARGIN(B1316,E1316)</f>
        <v>3.3657912237000001</v>
      </c>
      <c r="K1316" s="10">
        <f>[1]!EM_S_FA_ASSETSTURN(B1316,E1316)</f>
        <v>0.51930450666399997</v>
      </c>
      <c r="L1316" s="12">
        <f>[1]!EM_HKS_VAL_MV(B1316,"2019-12-31","2")</f>
        <v>8966197505.9099998</v>
      </c>
      <c r="M1316">
        <f>[1]!EM_S_VAL_PETTMDEDUCTED(B1316,E1316)</f>
        <v>51.0266973801061</v>
      </c>
      <c r="N1316" s="7">
        <f>[1]!EM_S_VAL_PBGOODWILLDEDUCTED(B1316,E1316)</f>
        <v>2.2237911407566</v>
      </c>
      <c r="O1316" s="7">
        <f>[1]!EM_S_VAL_PS_TTM(B1316,E1316)</f>
        <v>1.94374281124124</v>
      </c>
      <c r="P1316" s="7">
        <f>[1]!EM_S_VAL_PCF_NCFTTM(B1316,E1316)</f>
        <v>-47.628475616950197</v>
      </c>
      <c r="Q1316" s="7">
        <f>[1]!EM_S_VAL_DIVIDENDYIELD2(B1316,E1316,"2019-11-29")</f>
        <v>1.666666666666667</v>
      </c>
      <c r="T1316"/>
      <c r="U1316">
        <f>[1]!EM_S_RATIO_EPS_TTM(B1316,E1316,"1")</f>
        <v>9.3806783603411492E-2</v>
      </c>
      <c r="AT1316" s="4" t="str">
        <f>[1]!EM_S_IPO_LISTEDDATE(B1316)</f>
        <v>2010-05-18</v>
      </c>
    </row>
    <row r="1317" spans="1:46">
      <c r="A1317">
        <v>147</v>
      </c>
      <c r="B1317" t="str">
        <f>"000538"</f>
        <v>000538</v>
      </c>
      <c r="C1317" t="s">
        <v>398</v>
      </c>
      <c r="D1317" t="str">
        <f>[1]!EM_S_INFO_INDEX_EM(B1317,"1")</f>
        <v>医药生物</v>
      </c>
      <c r="E1317" s="4">
        <f t="shared" si="20"/>
        <v>43465</v>
      </c>
      <c r="F1317" s="11">
        <f>[1]!EM_S_PQ_PCTCHANGE(B1317,"2018-01-01","2019-12-31","3")</f>
        <v>-8.4746263299999995</v>
      </c>
      <c r="G1317" s="11">
        <f>[1]!EM_S_PQ_PCTCHANGE(B1317,"2018-12-31","2019-12-30","1")</f>
        <v>19.118442399999999</v>
      </c>
      <c r="H1317" s="11">
        <f>[1]!EM_S_FA_YOY_OR(B1317,E1317)</f>
        <v>9.8442831096999992</v>
      </c>
      <c r="I1317" s="11">
        <f>[1]!EM_S_FA_GROSSPROFITMARGIN(B1317,E1317)</f>
        <v>30.547830935099999</v>
      </c>
      <c r="J1317" s="11">
        <f>[1]!EM_S_FA_NETPROFITMARGIN(B1317,E1317)</f>
        <v>12.3173570071</v>
      </c>
      <c r="K1317" s="10">
        <f>[1]!EM_S_FA_ASSETSTURN(B1317,E1317)</f>
        <v>0.91970241109600004</v>
      </c>
      <c r="L1317" s="12">
        <f>[1]!EM_HKS_VAL_MV(B1317,"2019-12-31","2")</f>
        <v>114238178639.31</v>
      </c>
      <c r="M1317">
        <f>[1]!EM_S_VAL_PETTMDEDUCTED(B1317,E1317)</f>
        <v>27.618607519738902</v>
      </c>
      <c r="N1317" s="7">
        <f>[1]!EM_S_VAL_PBGOODWILLDEDUCTED(B1317,E1317)</f>
        <v>3.8962075406165</v>
      </c>
      <c r="O1317" s="7">
        <f>[1]!EM_S_VAL_PS_TTM(B1317,E1317)</f>
        <v>2.9589123176041299</v>
      </c>
      <c r="P1317" s="7">
        <f>[1]!EM_S_VAL_PCF_NCFTTM(B1317,E1317)</f>
        <v>-341.259535682148</v>
      </c>
      <c r="Q1317" s="7">
        <f>[1]!EM_S_VAL_DIVIDENDYIELD2(B1317,E1317,"2019-11-29")</f>
        <v>1.8550591679614787</v>
      </c>
      <c r="T1317"/>
      <c r="U1317">
        <f>[1]!EM_S_RATIO_EPS_TTM(B1317,E1317,"1")</f>
        <v>3.1751154335246325</v>
      </c>
      <c r="AT1317" s="4" t="str">
        <f>[1]!EM_S_IPO_LISTEDDATE(B1317)</f>
        <v>1993-12-15</v>
      </c>
    </row>
    <row r="1318" spans="1:46">
      <c r="A1318">
        <v>1564</v>
      </c>
      <c r="B1318" t="str">
        <f>"300139"</f>
        <v>300139</v>
      </c>
      <c r="C1318" t="s">
        <v>3541</v>
      </c>
      <c r="D1318" t="str">
        <f>[1]!EM_S_INFO_INDEX_EM(B1318,"1")</f>
        <v>电气设备</v>
      </c>
      <c r="E1318" s="4">
        <f t="shared" si="20"/>
        <v>43465</v>
      </c>
      <c r="F1318" s="11">
        <f>[1]!EM_S_PQ_PCTCHANGE(B1318,"2018-01-01","2019-12-31","3")</f>
        <v>10</v>
      </c>
      <c r="G1318" s="11">
        <f>[1]!EM_S_PQ_PCTCHANGE(B1318,"2018-12-31","2019-12-30","1")</f>
        <v>19.105691060000002</v>
      </c>
      <c r="H1318" s="11">
        <f>[1]!EM_S_FA_YOY_OR(B1318,E1318)</f>
        <v>19.175920247099999</v>
      </c>
      <c r="I1318" s="11">
        <f>[1]!EM_S_FA_GROSSPROFITMARGIN(B1318,E1318)</f>
        <v>60.516526132999999</v>
      </c>
      <c r="J1318" s="11">
        <f>[1]!EM_S_FA_NETPROFITMARGIN(B1318,E1318)</f>
        <v>1.6508812004</v>
      </c>
      <c r="K1318" s="10">
        <f>[1]!EM_S_FA_ASSETSTURN(B1318,E1318)</f>
        <v>0.11112841774399999</v>
      </c>
      <c r="L1318" s="12">
        <f>[1]!EM_HKS_VAL_MV(B1318,"2019-12-31","2")</f>
        <v>2381060000</v>
      </c>
      <c r="M1318">
        <f>[1]!EM_S_VAL_PETTMDEDUCTED(B1318,E1318)</f>
        <v>-26.552866169118399</v>
      </c>
      <c r="N1318" s="7">
        <f>[1]!EM_S_VAL_PBGOODWILLDEDUCTED(B1318,E1318)</f>
        <v>1.7925588196472999</v>
      </c>
      <c r="O1318" s="7">
        <f>[1]!EM_S_VAL_PS_TTM(B1318,E1318)</f>
        <v>15.327567301139601</v>
      </c>
      <c r="P1318" s="7">
        <f>[1]!EM_S_VAL_PCF_NCFTTM(B1318,E1318)</f>
        <v>-8.9087499007644197</v>
      </c>
      <c r="Q1318" s="7">
        <f>[1]!EM_S_VAL_DIVIDENDYIELD2(B1318,E1318,"2019-11-29")</f>
        <v>0</v>
      </c>
      <c r="T1318"/>
      <c r="U1318">
        <f>[1]!EM_S_RATIO_EPS_TTM(B1318,E1318,"1")</f>
        <v>1.5758618321167882E-2</v>
      </c>
      <c r="AT1318" s="4" t="str">
        <f>[1]!EM_S_IPO_LISTEDDATE(B1318)</f>
        <v>2010-11-12</v>
      </c>
    </row>
    <row r="1319" spans="1:46">
      <c r="A1319">
        <v>3619</v>
      </c>
      <c r="B1319" t="str">
        <f>"603966"</f>
        <v>603966</v>
      </c>
      <c r="C1319" t="s">
        <v>2905</v>
      </c>
      <c r="D1319" t="str">
        <f>[1]!EM_S_INFO_INDEX_EM(B1319,"1")</f>
        <v>机械设备</v>
      </c>
      <c r="E1319" s="4">
        <f t="shared" si="20"/>
        <v>43465</v>
      </c>
      <c r="F1319" s="11">
        <f>[1]!EM_S_PQ_PCTCHANGE(B1319,"2018-01-01","2019-12-31","3")</f>
        <v>-17.01185821</v>
      </c>
      <c r="G1319" s="11">
        <f>[1]!EM_S_PQ_PCTCHANGE(B1319,"2018-12-31","2019-12-30","1")</f>
        <v>19.097222219999999</v>
      </c>
      <c r="H1319" s="11">
        <f>[1]!EM_S_FA_YOY_OR(B1319,E1319)</f>
        <v>19.968978243799999</v>
      </c>
      <c r="I1319" s="11">
        <f>[1]!EM_S_FA_GROSSPROFITMARGIN(B1319,E1319)</f>
        <v>25.564247046399998</v>
      </c>
      <c r="J1319" s="11">
        <f>[1]!EM_S_FA_NETPROFITMARGIN(B1319,E1319)</f>
        <v>8.6321780409999995</v>
      </c>
      <c r="K1319" s="10">
        <f>[1]!EM_S_FA_ASSETSTURN(B1319,E1319)</f>
        <v>0.51192856504999995</v>
      </c>
      <c r="L1319" s="12">
        <f>[1]!EM_HKS_VAL_MV(B1319,"2019-12-31","2")</f>
        <v>2177309472</v>
      </c>
      <c r="M1319">
        <f>[1]!EM_S_VAL_PETTMDEDUCTED(B1319,E1319)</f>
        <v>29.362393229361299</v>
      </c>
      <c r="N1319" s="7">
        <f>[1]!EM_S_VAL_PBGOODWILLDEDUCTED(B1319,E1319)</f>
        <v>3.4096960675936701</v>
      </c>
      <c r="O1319" s="7">
        <f>[1]!EM_S_VAL_PS_TTM(B1319,E1319)</f>
        <v>2.5003658254453698</v>
      </c>
      <c r="P1319" s="7">
        <f>[1]!EM_S_VAL_PCF_NCFTTM(B1319,E1319)</f>
        <v>-27.858498395350001</v>
      </c>
      <c r="Q1319" s="7">
        <f>[1]!EM_S_VAL_DIVIDENDYIELD2(B1319,E1319,"2019-11-29")</f>
        <v>0.80889787664307389</v>
      </c>
      <c r="T1319"/>
      <c r="U1319">
        <f>[1]!EM_S_RATIO_EPS_TTM(B1319,E1319,"1")</f>
        <v>0.31247895929274683</v>
      </c>
      <c r="AT1319" s="4" t="str">
        <f>[1]!EM_S_IPO_LISTEDDATE(B1319)</f>
        <v>2017-01-25</v>
      </c>
    </row>
    <row r="1320" spans="1:46">
      <c r="A1320">
        <v>760</v>
      </c>
      <c r="B1320" t="str">
        <f>"002249"</f>
        <v>002249</v>
      </c>
      <c r="C1320" t="s">
        <v>2820</v>
      </c>
      <c r="D1320" t="str">
        <f>[1]!EM_S_INFO_INDEX_EM(B1320,"1")</f>
        <v>电气设备</v>
      </c>
      <c r="E1320" s="4">
        <f t="shared" si="20"/>
        <v>43465</v>
      </c>
      <c r="F1320" s="11">
        <f>[1]!EM_S_PQ_PCTCHANGE(B1320,"2018-01-01","2019-12-31","3")</f>
        <v>-43.425324439999997</v>
      </c>
      <c r="G1320" s="11">
        <f>[1]!EM_S_PQ_PCTCHANGE(B1320,"2018-12-31","2019-12-30","1")</f>
        <v>19.09090909</v>
      </c>
      <c r="H1320" s="11">
        <f>[1]!EM_S_FA_YOY_OR(B1320,E1320)</f>
        <v>0.3752251935</v>
      </c>
      <c r="I1320" s="11">
        <f>[1]!EM_S_FA_GROSSPROFITMARGIN(B1320,E1320)</f>
        <v>17.950926699899998</v>
      </c>
      <c r="J1320" s="11">
        <f>[1]!EM_S_FA_NETPROFITMARGIN(B1320,E1320)</f>
        <v>-27.749040408700001</v>
      </c>
      <c r="K1320" s="10">
        <f>[1]!EM_S_FA_ASSETSTURN(B1320,E1320)</f>
        <v>0.54615032082500004</v>
      </c>
      <c r="L1320" s="12">
        <f>[1]!EM_HKS_VAL_MV(B1320,"2019-12-31","2")</f>
        <v>9130946433.0400009</v>
      </c>
      <c r="M1320">
        <f>[1]!EM_S_VAL_PETTMDEDUCTED(B1320,E1320)</f>
        <v>32.526780975037603</v>
      </c>
      <c r="N1320" s="7">
        <f>[1]!EM_S_VAL_PBGOODWILLDEDUCTED(B1320,E1320)</f>
        <v>1.5048173357747301</v>
      </c>
      <c r="O1320" s="7">
        <f>[1]!EM_S_VAL_PS_TTM(B1320,E1320)</f>
        <v>0.87561273060393396</v>
      </c>
      <c r="P1320" s="7">
        <f>[1]!EM_S_VAL_PCF_NCFTTM(B1320,E1320)</f>
        <v>-25.344934211975598</v>
      </c>
      <c r="Q1320" s="7">
        <f>[1]!EM_S_VAL_DIVIDENDYIELD2(B1320,E1320,"2019-11-29")</f>
        <v>0</v>
      </c>
      <c r="T1320"/>
      <c r="U1320">
        <f>[1]!EM_S_RATIO_EPS_TTM(B1320,E1320,"1")</f>
        <v>-1.0022022941639619</v>
      </c>
      <c r="AT1320" s="4" t="str">
        <f>[1]!EM_S_IPO_LISTEDDATE(B1320)</f>
        <v>2008-06-19</v>
      </c>
    </row>
    <row r="1321" spans="1:46">
      <c r="A1321">
        <v>3081</v>
      </c>
      <c r="B1321" t="str">
        <f>"601216"</f>
        <v>601216</v>
      </c>
      <c r="C1321" t="s">
        <v>309</v>
      </c>
      <c r="D1321" t="str">
        <f>[1]!EM_S_INFO_INDEX_EM(B1321,"1")</f>
        <v>基础化工</v>
      </c>
      <c r="E1321" s="4">
        <f t="shared" si="20"/>
        <v>43465</v>
      </c>
      <c r="F1321" s="11">
        <f>[1]!EM_S_PQ_PCTCHANGE(B1321,"2018-01-01","2019-12-31","3")</f>
        <v>-28.920555740000001</v>
      </c>
      <c r="G1321" s="11">
        <f>[1]!EM_S_PQ_PCTCHANGE(B1321,"2018-12-31","2019-12-30","1")</f>
        <v>19.08396947</v>
      </c>
      <c r="H1321" s="11">
        <f>[1]!EM_S_FA_YOY_OR(B1321,E1321)</f>
        <v>9.3669063164999997</v>
      </c>
      <c r="I1321" s="11">
        <f>[1]!EM_S_FA_GROSSPROFITMARGIN(B1321,E1321)</f>
        <v>44.675499779299997</v>
      </c>
      <c r="J1321" s="11">
        <f>[1]!EM_S_FA_NETPROFITMARGIN(B1321,E1321)</f>
        <v>26.903231939299999</v>
      </c>
      <c r="K1321" s="10">
        <f>[1]!EM_S_FA_ASSETSTURN(B1321,E1321)</f>
        <v>0.36104317978099998</v>
      </c>
      <c r="L1321" s="12">
        <f>[1]!EM_HKS_VAL_MV(B1321,"2019-12-31","2")</f>
        <v>26410994430.700001</v>
      </c>
      <c r="M1321">
        <f>[1]!EM_S_VAL_PETTMDEDUCTED(B1321,E1321)</f>
        <v>9.1651842949334394</v>
      </c>
      <c r="N1321" s="7">
        <f>[1]!EM_S_VAL_PBGOODWILLDEDUCTED(B1321,E1321)</f>
        <v>1.3482088687153899</v>
      </c>
      <c r="O1321" s="7">
        <f>[1]!EM_S_VAL_PS_TTM(B1321,E1321)</f>
        <v>2.5949742839127601</v>
      </c>
      <c r="P1321" s="7">
        <f>[1]!EM_S_VAL_PCF_NCFTTM(B1321,E1321)</f>
        <v>488.11743792168801</v>
      </c>
      <c r="Q1321" s="7">
        <f>[1]!EM_S_VAL_DIVIDENDYIELD2(B1321,E1321,"2019-11-29")</f>
        <v>0</v>
      </c>
      <c r="T1321"/>
      <c r="U1321">
        <f>[1]!EM_S_RATIO_EPS_TTM(B1321,E1321,"1")</f>
        <v>0.27077654126640766</v>
      </c>
      <c r="AT1321" s="4" t="str">
        <f>[1]!EM_S_IPO_LISTEDDATE(B1321)</f>
        <v>2011-02-22</v>
      </c>
    </row>
    <row r="1322" spans="1:46">
      <c r="A1322">
        <v>2423</v>
      </c>
      <c r="B1322" t="str">
        <f>"600295"</f>
        <v>600295</v>
      </c>
      <c r="C1322" t="s">
        <v>997</v>
      </c>
      <c r="D1322" t="str">
        <f>[1]!EM_S_INFO_INDEX_EM(B1322,"1")</f>
        <v>钢铁</v>
      </c>
      <c r="E1322" s="4">
        <f t="shared" si="20"/>
        <v>43465</v>
      </c>
      <c r="F1322" s="11">
        <f>[1]!EM_S_PQ_PCTCHANGE(B1322,"2018-01-01","2019-12-31","3")</f>
        <v>-35.76142926</v>
      </c>
      <c r="G1322" s="11">
        <f>[1]!EM_S_PQ_PCTCHANGE(B1322,"2018-12-31","2019-12-30","1")</f>
        <v>19.06666667</v>
      </c>
      <c r="H1322" s="11">
        <f>[1]!EM_S_FA_YOY_OR(B1322,E1322)</f>
        <v>7.8241347220000002</v>
      </c>
      <c r="I1322" s="11">
        <f>[1]!EM_S_FA_GROSSPROFITMARGIN(B1322,E1322)</f>
        <v>29.728346888499999</v>
      </c>
      <c r="J1322" s="11">
        <f>[1]!EM_S_FA_NETPROFITMARGIN(B1322,E1322)</f>
        <v>6.5000998253000004</v>
      </c>
      <c r="K1322" s="10">
        <f>[1]!EM_S_FA_ASSETSTURN(B1322,E1322)</f>
        <v>0.50935131299600001</v>
      </c>
      <c r="L1322" s="12">
        <f>[1]!EM_HKS_VAL_MV(B1322,"2019-12-31","2")</f>
        <v>12880082562.379999</v>
      </c>
      <c r="M1322">
        <f>[1]!EM_S_VAL_PETTMDEDUCTED(B1322,E1322)</f>
        <v>10.548188258445499</v>
      </c>
      <c r="N1322" s="7">
        <f>[1]!EM_S_VAL_PBGOODWILLDEDUCTED(B1322,E1322)</f>
        <v>0.85046532241414996</v>
      </c>
      <c r="O1322" s="7">
        <f>[1]!EM_S_VAL_PS_TTM(B1322,E1322)</f>
        <v>0.31205267224298899</v>
      </c>
      <c r="P1322" s="7">
        <f>[1]!EM_S_VAL_PCF_NCFTTM(B1322,E1322)</f>
        <v>3.5716537422944401</v>
      </c>
      <c r="Q1322" s="7">
        <f>[1]!EM_S_VAL_DIVIDENDYIELD2(B1322,E1322,"2019-11-29")</f>
        <v>1.6502921523666816</v>
      </c>
      <c r="T1322"/>
      <c r="U1322">
        <f>[1]!EM_S_RATIO_EPS_TTM(B1322,E1322,"1")</f>
        <v>0.89473605403100775</v>
      </c>
      <c r="AT1322" s="4" t="str">
        <f>[1]!EM_S_IPO_LISTEDDATE(B1322)</f>
        <v>2001-04-26</v>
      </c>
    </row>
    <row r="1323" spans="1:46">
      <c r="A1323">
        <v>439</v>
      </c>
      <c r="B1323" t="str">
        <f>"000913"</f>
        <v>000913</v>
      </c>
      <c r="C1323" t="s">
        <v>2416</v>
      </c>
      <c r="D1323" t="str">
        <f>[1]!EM_S_INFO_INDEX_EM(B1323,"1")</f>
        <v>交运设备</v>
      </c>
      <c r="E1323" s="4">
        <f t="shared" si="20"/>
        <v>43465</v>
      </c>
      <c r="F1323" s="11">
        <f>[1]!EM_S_PQ_PCTCHANGE(B1323,"2018-01-01","2019-12-31","3")</f>
        <v>-44.673366829999999</v>
      </c>
      <c r="G1323" s="11">
        <f>[1]!EM_S_PQ_PCTCHANGE(B1323,"2018-12-31","2019-12-30","1")</f>
        <v>18.99563319</v>
      </c>
      <c r="H1323" s="11">
        <f>[1]!EM_S_FA_YOY_OR(B1323,E1323)</f>
        <v>13.723843239500001</v>
      </c>
      <c r="I1323" s="11">
        <f>[1]!EM_S_FA_GROSSPROFITMARGIN(B1323,E1323)</f>
        <v>21.258903546700001</v>
      </c>
      <c r="J1323" s="11">
        <f>[1]!EM_S_FA_NETPROFITMARGIN(B1323,E1323)</f>
        <v>1.1914301899999999</v>
      </c>
      <c r="K1323" s="10">
        <f>[1]!EM_S_FA_ASSETSTURN(B1323,E1323)</f>
        <v>0.74558797316299996</v>
      </c>
      <c r="L1323" s="12">
        <f>[1]!EM_HKS_VAL_MV(B1323,"2019-12-31","2")</f>
        <v>4993431360</v>
      </c>
      <c r="M1323">
        <f>[1]!EM_S_VAL_PETTMDEDUCTED(B1323,E1323)</f>
        <v>55.3211182526817</v>
      </c>
      <c r="N1323" s="7">
        <f>[1]!EM_S_VAL_PBGOODWILLDEDUCTED(B1323,E1323)</f>
        <v>1.6734187431507599</v>
      </c>
      <c r="O1323" s="7">
        <f>[1]!EM_S_VAL_PS_TTM(B1323,E1323)</f>
        <v>1.1950650452520299</v>
      </c>
      <c r="P1323" s="7">
        <f>[1]!EM_S_VAL_PCF_NCFTTM(B1323,E1323)</f>
        <v>-30.245983047602099</v>
      </c>
      <c r="Q1323" s="7">
        <f>[1]!EM_S_VAL_DIVIDENDYIELD2(B1323,E1323,"2019-11-29")</f>
        <v>0</v>
      </c>
      <c r="T1323"/>
      <c r="U1323">
        <f>[1]!EM_S_RATIO_EPS_TTM(B1323,E1323,"1")</f>
        <v>0.13969758316870104</v>
      </c>
      <c r="AT1323" s="4" t="str">
        <f>[1]!EM_S_IPO_LISTEDDATE(B1323)</f>
        <v>1999-05-14</v>
      </c>
    </row>
    <row r="1324" spans="1:46">
      <c r="A1324">
        <v>2595</v>
      </c>
      <c r="B1324" t="str">
        <f>"600513"</f>
        <v>600513</v>
      </c>
      <c r="C1324" t="s">
        <v>1528</v>
      </c>
      <c r="D1324" t="str">
        <f>[1]!EM_S_INFO_INDEX_EM(B1324,"1")</f>
        <v>医药生物</v>
      </c>
      <c r="E1324" s="4">
        <f t="shared" si="20"/>
        <v>43465</v>
      </c>
      <c r="F1324" s="11">
        <f>[1]!EM_S_PQ_PCTCHANGE(B1324,"2018-01-01","2019-12-31","3")</f>
        <v>-8.5001498200000007</v>
      </c>
      <c r="G1324" s="11">
        <f>[1]!EM_S_PQ_PCTCHANGE(B1324,"2018-12-31","2019-12-30","1")</f>
        <v>18.991596640000001</v>
      </c>
      <c r="H1324" s="11">
        <f>[1]!EM_S_FA_YOY_OR(B1324,E1324)</f>
        <v>47.908822323499997</v>
      </c>
      <c r="I1324" s="11">
        <f>[1]!EM_S_FA_GROSSPROFITMARGIN(B1324,E1324)</f>
        <v>68.596765106299998</v>
      </c>
      <c r="J1324" s="11">
        <f>[1]!EM_S_FA_NETPROFITMARGIN(B1324,E1324)</f>
        <v>7.2769788466999996</v>
      </c>
      <c r="K1324" s="10">
        <f>[1]!EM_S_FA_ASSETSTURN(B1324,E1324)</f>
        <v>0.78872817971200004</v>
      </c>
      <c r="L1324" s="12">
        <f>[1]!EM_HKS_VAL_MV(B1324,"2019-12-31","2")</f>
        <v>2244340832.3000002</v>
      </c>
      <c r="M1324">
        <f>[1]!EM_S_VAL_PETTMDEDUCTED(B1324,E1324)</f>
        <v>23.918750187954799</v>
      </c>
      <c r="N1324" s="7">
        <f>[1]!EM_S_VAL_PBGOODWILLDEDUCTED(B1324,E1324)</f>
        <v>1.82582929863243</v>
      </c>
      <c r="O1324" s="7">
        <f>[1]!EM_S_VAL_PS_TTM(B1324,E1324)</f>
        <v>1.81505180031361</v>
      </c>
      <c r="P1324" s="7">
        <f>[1]!EM_S_VAL_PCF_NCFTTM(B1324,E1324)</f>
        <v>-14.354381498452099</v>
      </c>
      <c r="Q1324" s="7">
        <f>[1]!EM_S_VAL_DIVIDENDYIELD2(B1324,E1324,"2019-11-29")</f>
        <v>1.1381855348753227</v>
      </c>
      <c r="T1324"/>
      <c r="U1324">
        <f>[1]!EM_S_RATIO_EPS_TTM(B1324,E1324,"1")</f>
        <v>0.25768156302890105</v>
      </c>
      <c r="AT1324" s="4" t="str">
        <f>[1]!EM_S_IPO_LISTEDDATE(B1324)</f>
        <v>2003-03-19</v>
      </c>
    </row>
    <row r="1325" spans="1:46">
      <c r="A1325">
        <v>3353</v>
      </c>
      <c r="B1325" t="str">
        <f>"603316"</f>
        <v>603316</v>
      </c>
      <c r="C1325" t="s">
        <v>1593</v>
      </c>
      <c r="D1325" t="str">
        <f>[1]!EM_S_INFO_INDEX_EM(B1325,"1")</f>
        <v>建筑</v>
      </c>
      <c r="E1325" s="4">
        <f t="shared" si="20"/>
        <v>43465</v>
      </c>
      <c r="F1325" s="11">
        <f>[1]!EM_S_PQ_PCTCHANGE(B1325,"2018-01-01","2019-12-31","3")</f>
        <v>-34.477947819999997</v>
      </c>
      <c r="G1325" s="11">
        <f>[1]!EM_S_PQ_PCTCHANGE(B1325,"2018-12-31","2019-12-30","1")</f>
        <v>18.863049100000001</v>
      </c>
      <c r="H1325" s="11">
        <f>[1]!EM_S_FA_YOY_OR(B1325,E1325)</f>
        <v>3.8866758814</v>
      </c>
      <c r="I1325" s="11">
        <f>[1]!EM_S_FA_GROSSPROFITMARGIN(B1325,E1325)</f>
        <v>23.704657958599999</v>
      </c>
      <c r="J1325" s="11">
        <f>[1]!EM_S_FA_NETPROFITMARGIN(B1325,E1325)</f>
        <v>7.2733351443999998</v>
      </c>
      <c r="K1325" s="10">
        <f>[1]!EM_S_FA_ASSETSTURN(B1325,E1325)</f>
        <v>0.52397976159399995</v>
      </c>
      <c r="L1325" s="12">
        <f>[1]!EM_HKS_VAL_MV(B1325,"2019-12-31","2")</f>
        <v>1888471200</v>
      </c>
      <c r="M1325">
        <f>[1]!EM_S_VAL_PETTMDEDUCTED(B1325,E1325)</f>
        <v>27.430707446929102</v>
      </c>
      <c r="N1325" s="7">
        <f>[1]!EM_S_VAL_PBGOODWILLDEDUCTED(B1325,E1325)</f>
        <v>1.9366976913993901</v>
      </c>
      <c r="O1325" s="7">
        <f>[1]!EM_S_VAL_PS_TTM(B1325,E1325)</f>
        <v>2.08878402239973</v>
      </c>
      <c r="P1325" s="7">
        <f>[1]!EM_S_VAL_PCF_NCFTTM(B1325,E1325)</f>
        <v>13.905949536115299</v>
      </c>
      <c r="Q1325" s="7">
        <f>[1]!EM_S_VAL_DIVIDENDYIELD2(B1325,E1325,"2019-11-29")</f>
        <v>0.55888223552894223</v>
      </c>
      <c r="T1325"/>
      <c r="U1325">
        <f>[1]!EM_S_RATIO_EPS_TTM(B1325,E1325,"1")</f>
        <v>0.27599304269972452</v>
      </c>
      <c r="AT1325" s="4" t="str">
        <f>[1]!EM_S_IPO_LISTEDDATE(B1325)</f>
        <v>2017-06-19</v>
      </c>
    </row>
    <row r="1326" spans="1:46">
      <c r="A1326">
        <v>3334</v>
      </c>
      <c r="B1326" t="str">
        <f>"603277"</f>
        <v>603277</v>
      </c>
      <c r="C1326" t="s">
        <v>1368</v>
      </c>
      <c r="D1326" t="str">
        <f>[1]!EM_S_INFO_INDEX_EM(B1326,"1")</f>
        <v>机械设备</v>
      </c>
      <c r="E1326" s="4">
        <f t="shared" si="20"/>
        <v>43465</v>
      </c>
      <c r="F1326" s="11">
        <f>[1]!EM_S_PQ_PCTCHANGE(B1326,"2018-01-01","2019-12-31","3")</f>
        <v>-40.240797020000002</v>
      </c>
      <c r="G1326" s="11">
        <f>[1]!EM_S_PQ_PCTCHANGE(B1326,"2018-12-31","2019-12-30","1")</f>
        <v>18.835616439999999</v>
      </c>
      <c r="H1326" s="11">
        <f>[1]!EM_S_FA_YOY_OR(B1326,E1326)</f>
        <v>9.2578589587</v>
      </c>
      <c r="I1326" s="11">
        <f>[1]!EM_S_FA_GROSSPROFITMARGIN(B1326,E1326)</f>
        <v>42.835762150299999</v>
      </c>
      <c r="J1326" s="11">
        <f>[1]!EM_S_FA_NETPROFITMARGIN(B1326,E1326)</f>
        <v>16.718056482600002</v>
      </c>
      <c r="K1326" s="10">
        <f>[1]!EM_S_FA_ASSETSTURN(B1326,E1326)</f>
        <v>0.71142771197800003</v>
      </c>
      <c r="L1326" s="12">
        <f>[1]!EM_HKS_VAL_MV(B1326,"2019-12-31","2")</f>
        <v>4404151800</v>
      </c>
      <c r="M1326">
        <f>[1]!EM_S_VAL_PETTMDEDUCTED(B1326,E1326)</f>
        <v>20.002973476741399</v>
      </c>
      <c r="N1326" s="7">
        <f>[1]!EM_S_VAL_PBGOODWILLDEDUCTED(B1326,E1326)</f>
        <v>2.0436213717194298</v>
      </c>
      <c r="O1326" s="7">
        <f>[1]!EM_S_VAL_PS_TTM(B1326,E1326)</f>
        <v>2.5272895885061</v>
      </c>
      <c r="P1326" s="7">
        <f>[1]!EM_S_VAL_PCF_NCFTTM(B1326,E1326)</f>
        <v>-7.43435653140215</v>
      </c>
      <c r="Q1326" s="7">
        <f>[1]!EM_S_VAL_DIVIDENDYIELD2(B1326,E1326,"2019-11-29")</f>
        <v>2.0920502092050208</v>
      </c>
      <c r="T1326"/>
      <c r="U1326">
        <f>[1]!EM_S_RATIO_EPS_TTM(B1326,E1326,"1")</f>
        <v>0.60578228729281769</v>
      </c>
      <c r="AT1326" s="4" t="str">
        <f>[1]!EM_S_IPO_LISTEDDATE(B1326)</f>
        <v>2017-09-11</v>
      </c>
    </row>
    <row r="1327" spans="1:46">
      <c r="A1327">
        <v>965</v>
      </c>
      <c r="B1327" t="str">
        <f>"002454"</f>
        <v>002454</v>
      </c>
      <c r="C1327" t="s">
        <v>1991</v>
      </c>
      <c r="D1327" t="str">
        <f>[1]!EM_S_INFO_INDEX_EM(B1327,"1")</f>
        <v>交运设备</v>
      </c>
      <c r="E1327" s="4">
        <f t="shared" si="20"/>
        <v>43465</v>
      </c>
      <c r="F1327" s="11">
        <f>[1]!EM_S_PQ_PCTCHANGE(B1327,"2018-01-01","2019-12-31","3")</f>
        <v>-34.884116229999997</v>
      </c>
      <c r="G1327" s="11">
        <f>[1]!EM_S_PQ_PCTCHANGE(B1327,"2018-12-31","2019-12-30","1")</f>
        <v>18.826405869999999</v>
      </c>
      <c r="H1327" s="11">
        <f>[1]!EM_S_FA_YOY_OR(B1327,E1327)</f>
        <v>-11.615421492599999</v>
      </c>
      <c r="I1327" s="11">
        <f>[1]!EM_S_FA_GROSSPROFITMARGIN(B1327,E1327)</f>
        <v>24.916664871199998</v>
      </c>
      <c r="J1327" s="11">
        <f>[1]!EM_S_FA_NETPROFITMARGIN(B1327,E1327)</f>
        <v>5.3265944405000001</v>
      </c>
      <c r="K1327" s="10">
        <f>[1]!EM_S_FA_ASSETSTURN(B1327,E1327)</f>
        <v>0.61178502500999998</v>
      </c>
      <c r="L1327" s="12">
        <f>[1]!EM_HKS_VAL_MV(B1327,"2019-12-31","2")</f>
        <v>3061192392</v>
      </c>
      <c r="M1327">
        <f>[1]!EM_S_VAL_PETTMDEDUCTED(B1327,E1327)</f>
        <v>11.4481116078128</v>
      </c>
      <c r="N1327" s="7">
        <f>[1]!EM_S_VAL_PBGOODWILLDEDUCTED(B1327,E1327)</f>
        <v>0.81934790623710796</v>
      </c>
      <c r="O1327" s="7">
        <f>[1]!EM_S_VAL_PS_TTM(B1327,E1327)</f>
        <v>0.60953021834949594</v>
      </c>
      <c r="P1327" s="7">
        <f>[1]!EM_S_VAL_PCF_NCFTTM(B1327,E1327)</f>
        <v>-14.5819331201611</v>
      </c>
      <c r="Q1327" s="7">
        <f>[1]!EM_S_VAL_DIVIDENDYIELD2(B1327,E1327,"2019-11-29")</f>
        <v>1.3333333333333335</v>
      </c>
      <c r="T1327"/>
      <c r="U1327">
        <f>[1]!EM_S_RATIO_EPS_TTM(B1327,E1327,"1")</f>
        <v>0.27992720976878738</v>
      </c>
      <c r="AT1327" s="4" t="str">
        <f>[1]!EM_S_IPO_LISTEDDATE(B1327)</f>
        <v>2010-07-20</v>
      </c>
    </row>
    <row r="1328" spans="1:46">
      <c r="A1328">
        <v>2899</v>
      </c>
      <c r="B1328" t="str">
        <f>"600826"</f>
        <v>600826</v>
      </c>
      <c r="C1328" t="s">
        <v>2471</v>
      </c>
      <c r="D1328" t="str">
        <f>[1]!EM_S_INFO_INDEX_EM(B1328,"1")</f>
        <v>商贸零售</v>
      </c>
      <c r="E1328" s="4">
        <f t="shared" si="20"/>
        <v>43465</v>
      </c>
      <c r="F1328" s="11">
        <f>[1]!EM_S_PQ_PCTCHANGE(B1328,"2018-01-01","2019-12-31","3")</f>
        <v>-10.95581975</v>
      </c>
      <c r="G1328" s="11">
        <f>[1]!EM_S_PQ_PCTCHANGE(B1328,"2018-12-31","2019-12-30","1")</f>
        <v>18.822292319999999</v>
      </c>
      <c r="H1328" s="11">
        <f>[1]!EM_S_FA_YOY_OR(B1328,E1328)</f>
        <v>-0.8786981412</v>
      </c>
      <c r="I1328" s="11">
        <f>[1]!EM_S_FA_GROSSPROFITMARGIN(B1328,E1328)</f>
        <v>5.0908434481000002</v>
      </c>
      <c r="J1328" s="11">
        <f>[1]!EM_S_FA_NETPROFITMARGIN(B1328,E1328)</f>
        <v>7.3126403107</v>
      </c>
      <c r="K1328" s="10">
        <f>[1]!EM_S_FA_ASSETSTURN(B1328,E1328)</f>
        <v>0.75122985243600005</v>
      </c>
      <c r="L1328" s="12">
        <f>[1]!EM_HKS_VAL_MV(B1328,"2019-12-31","2")</f>
        <v>4791115660.3199997</v>
      </c>
      <c r="M1328">
        <f>[1]!EM_S_VAL_PETTMDEDUCTED(B1328,E1328)</f>
        <v>39.469331671234897</v>
      </c>
      <c r="N1328" s="7">
        <f>[1]!EM_S_VAL_PBGOODWILLDEDUCTED(B1328,E1328)</f>
        <v>1.3767802121993999</v>
      </c>
      <c r="O1328" s="7">
        <f>[1]!EM_S_VAL_PS_TTM(B1328,E1328)</f>
        <v>1.2513548269456201</v>
      </c>
      <c r="P1328" s="7">
        <f>[1]!EM_S_VAL_PCF_NCFTTM(B1328,E1328)</f>
        <v>-13.713968926495699</v>
      </c>
      <c r="Q1328" s="7">
        <f>[1]!EM_S_VAL_DIVIDENDYIELD2(B1328,E1328,"2019-11-29")</f>
        <v>1.5755329008341052</v>
      </c>
      <c r="T1328"/>
      <c r="U1328">
        <f>[1]!EM_S_RATIO_EPS_TTM(B1328,E1328,"1")</f>
        <v>0.54426757651622504</v>
      </c>
      <c r="AT1328" s="4" t="str">
        <f>[1]!EM_S_IPO_LISTEDDATE(B1328)</f>
        <v>1994-02-04</v>
      </c>
    </row>
    <row r="1329" spans="1:46">
      <c r="A1329">
        <v>2326</v>
      </c>
      <c r="B1329" t="str">
        <f>"600188"</f>
        <v>600188</v>
      </c>
      <c r="C1329" t="s">
        <v>473</v>
      </c>
      <c r="D1329" t="str">
        <f>[1]!EM_S_INFO_INDEX_EM(B1329,"1")</f>
        <v>化石能源</v>
      </c>
      <c r="E1329" s="4">
        <f t="shared" si="20"/>
        <v>43465</v>
      </c>
      <c r="F1329" s="11">
        <f>[1]!EM_S_PQ_PCTCHANGE(B1329,"2018-01-01","2019-12-31","3")</f>
        <v>-12.17366399</v>
      </c>
      <c r="G1329" s="11">
        <f>[1]!EM_S_PQ_PCTCHANGE(B1329,"2018-12-31","2019-12-30","1")</f>
        <v>18.792710710000001</v>
      </c>
      <c r="H1329" s="11">
        <f>[1]!EM_S_FA_YOY_OR(B1329,E1329)</f>
        <v>7.790035263</v>
      </c>
      <c r="I1329" s="11">
        <f>[1]!EM_S_FA_GROSSPROFITMARGIN(B1329,E1329)</f>
        <v>19.489492546099999</v>
      </c>
      <c r="J1329" s="11">
        <f>[1]!EM_S_FA_NETPROFITMARGIN(B1329,E1329)</f>
        <v>6.5370442832000002</v>
      </c>
      <c r="K1329" s="10">
        <f>[1]!EM_S_FA_ASSETSTURN(B1329,E1329)</f>
        <v>0.81797235538099999</v>
      </c>
      <c r="L1329" s="12">
        <f>[1]!EM_HKS_VAL_MV(B1329,"2019-12-31","2")</f>
        <v>51870888960</v>
      </c>
      <c r="M1329">
        <f>[1]!EM_S_VAL_PETTMDEDUCTED(B1329,E1329)</f>
        <v>5.9290320517605801</v>
      </c>
      <c r="N1329" s="7">
        <f>[1]!EM_S_VAL_PBGOODWILLDEDUCTED(B1329,E1329)</f>
        <v>0.85655940443724699</v>
      </c>
      <c r="O1329" s="7">
        <f>[1]!EM_S_VAL_PS_TTM(B1329,E1329)</f>
        <v>0.285656660323657</v>
      </c>
      <c r="P1329" s="7">
        <f>[1]!EM_S_VAL_PCF_NCFTTM(B1329,E1329)</f>
        <v>-29.700273935999899</v>
      </c>
      <c r="Q1329" s="7">
        <f>[1]!EM_S_VAL_DIVIDENDYIELD2(B1329,E1329,"2019-11-29")</f>
        <v>5.7507987220447285</v>
      </c>
      <c r="T1329"/>
      <c r="U1329">
        <f>[1]!EM_S_RATIO_EPS_TTM(B1329,E1329,"1")</f>
        <v>1.6101136478382807</v>
      </c>
      <c r="AT1329" s="4" t="str">
        <f>[1]!EM_S_IPO_LISTEDDATE(B1329)</f>
        <v>1998-07-01</v>
      </c>
    </row>
    <row r="1330" spans="1:46">
      <c r="A1330">
        <v>1972</v>
      </c>
      <c r="B1330" t="str">
        <f>"300549"</f>
        <v>300549</v>
      </c>
      <c r="C1330" t="s">
        <v>745</v>
      </c>
      <c r="D1330" t="str">
        <f>[1]!EM_S_INFO_INDEX_EM(B1330,"1")</f>
        <v>机械设备</v>
      </c>
      <c r="E1330" s="4">
        <f t="shared" si="20"/>
        <v>43465</v>
      </c>
      <c r="F1330" s="11">
        <f>[1]!EM_S_PQ_PCTCHANGE(B1330,"2018-01-01","2019-12-31","3")</f>
        <v>-34.422561780000002</v>
      </c>
      <c r="G1330" s="11">
        <f>[1]!EM_S_PQ_PCTCHANGE(B1330,"2018-12-31","2019-12-30","1")</f>
        <v>18.788410890000002</v>
      </c>
      <c r="H1330" s="11">
        <f>[1]!EM_S_FA_YOY_OR(B1330,E1330)</f>
        <v>-17.3304663483</v>
      </c>
      <c r="I1330" s="11">
        <f>[1]!EM_S_FA_GROSSPROFITMARGIN(B1330,E1330)</f>
        <v>34.9984595564</v>
      </c>
      <c r="J1330" s="11">
        <f>[1]!EM_S_FA_NETPROFITMARGIN(B1330,E1330)</f>
        <v>12.866395560899999</v>
      </c>
      <c r="K1330" s="10">
        <f>[1]!EM_S_FA_ASSETSTURN(B1330,E1330)</f>
        <v>0.50332650051200001</v>
      </c>
      <c r="L1330" s="12">
        <f>[1]!EM_HKS_VAL_MV(B1330,"2019-12-31","2")</f>
        <v>1806757000</v>
      </c>
      <c r="M1330">
        <f>[1]!EM_S_VAL_PETTMDEDUCTED(B1330,E1330)</f>
        <v>31.942750034692601</v>
      </c>
      <c r="N1330" s="7">
        <f>[1]!EM_S_VAL_PBGOODWILLDEDUCTED(B1330,E1330)</f>
        <v>2.9495182412480498</v>
      </c>
      <c r="O1330" s="7">
        <f>[1]!EM_S_VAL_PS_TTM(B1330,E1330)</f>
        <v>3.8228449608858202</v>
      </c>
      <c r="P1330" s="7">
        <f>[1]!EM_S_VAL_PCF_NCFTTM(B1330,E1330)</f>
        <v>-613.24196926302795</v>
      </c>
      <c r="Q1330" s="7">
        <f>[1]!EM_S_VAL_DIVIDENDYIELD2(B1330,E1330,"2019-11-29")</f>
        <v>1.5810276679841897</v>
      </c>
      <c r="T1330"/>
      <c r="U1330">
        <f>[1]!EM_S_RATIO_EPS_TTM(B1330,E1330,"1")</f>
        <v>0.36758401222438875</v>
      </c>
      <c r="AT1330" s="4" t="str">
        <f>[1]!EM_S_IPO_LISTEDDATE(B1330)</f>
        <v>2016-09-30</v>
      </c>
    </row>
    <row r="1331" spans="1:46">
      <c r="A1331">
        <v>1285</v>
      </c>
      <c r="B1331" t="str">
        <f>"002778"</f>
        <v>002778</v>
      </c>
      <c r="C1331" t="s">
        <v>2237</v>
      </c>
      <c r="D1331" t="str">
        <f>[1]!EM_S_INFO_INDEX_EM(B1331,"1")</f>
        <v>化石能源</v>
      </c>
      <c r="E1331" s="4">
        <f t="shared" si="20"/>
        <v>43465</v>
      </c>
      <c r="F1331" s="11">
        <f>[1]!EM_S_PQ_PCTCHANGE(B1331,"2018-01-01","2019-12-31","3")</f>
        <v>-9.9420221299999998</v>
      </c>
      <c r="G1331" s="11">
        <f>[1]!EM_S_PQ_PCTCHANGE(B1331,"2018-12-31","2019-12-30","1")</f>
        <v>18.78579611</v>
      </c>
      <c r="H1331" s="11">
        <f>[1]!EM_S_FA_YOY_OR(B1331,E1331)</f>
        <v>19.901165259599999</v>
      </c>
      <c r="I1331" s="11">
        <f>[1]!EM_S_FA_GROSSPROFITMARGIN(B1331,E1331)</f>
        <v>11.9557611401</v>
      </c>
      <c r="J1331" s="11">
        <f>[1]!EM_S_FA_NETPROFITMARGIN(B1331,E1331)</f>
        <v>2.6317626785999999</v>
      </c>
      <c r="K1331" s="10">
        <f>[1]!EM_S_FA_ASSETSTURN(B1331,E1331)</f>
        <v>0.91362967746900003</v>
      </c>
      <c r="L1331" s="12">
        <f>[1]!EM_HKS_VAL_MV(B1331,"2019-12-31","2")</f>
        <v>1876646070</v>
      </c>
      <c r="M1331">
        <f>[1]!EM_S_VAL_PETTMDEDUCTED(B1331,E1331)</f>
        <v>56.000026217418203</v>
      </c>
      <c r="N1331" s="7">
        <f>[1]!EM_S_VAL_PBGOODWILLDEDUCTED(B1331,E1331)</f>
        <v>2.4671952297157902</v>
      </c>
      <c r="O1331" s="7">
        <f>[1]!EM_S_VAL_PS_TTM(B1331,E1331)</f>
        <v>2.43314988055646</v>
      </c>
      <c r="P1331" s="7">
        <f>[1]!EM_S_VAL_PCF_NCFTTM(B1331,E1331)</f>
        <v>-29.771445743938799</v>
      </c>
      <c r="Q1331" s="7">
        <f>[1]!EM_S_VAL_DIVIDENDYIELD2(B1331,E1331,"2019-11-29")</f>
        <v>0.23486430062630478</v>
      </c>
      <c r="T1331"/>
      <c r="U1331">
        <f>[1]!EM_S_RATIO_EPS_TTM(B1331,E1331,"1")</f>
        <v>0.20346662241399624</v>
      </c>
      <c r="AT1331" s="4" t="str">
        <f>[1]!EM_S_IPO_LISTEDDATE(B1331)</f>
        <v>2016-01-06</v>
      </c>
    </row>
    <row r="1332" spans="1:46">
      <c r="A1332">
        <v>1050</v>
      </c>
      <c r="B1332" t="str">
        <f>"002539"</f>
        <v>002539</v>
      </c>
      <c r="C1332" t="s">
        <v>1649</v>
      </c>
      <c r="D1332" t="str">
        <f>[1]!EM_S_INFO_INDEX_EM(B1332,"1")</f>
        <v>基础化工</v>
      </c>
      <c r="E1332" s="4">
        <f t="shared" si="20"/>
        <v>43465</v>
      </c>
      <c r="F1332" s="11">
        <f>[1]!EM_S_PQ_PCTCHANGE(B1332,"2018-01-01","2019-12-31","3")</f>
        <v>-19.462472429999998</v>
      </c>
      <c r="G1332" s="11">
        <f>[1]!EM_S_PQ_PCTCHANGE(B1332,"2018-12-31","2019-12-30","1")</f>
        <v>18.7804878</v>
      </c>
      <c r="H1332" s="11">
        <f>[1]!EM_S_FA_YOY_OR(B1332,E1332)</f>
        <v>1.6372221165</v>
      </c>
      <c r="I1332" s="11">
        <f>[1]!EM_S_FA_GROSSPROFITMARGIN(B1332,E1332)</f>
        <v>14.511340089300001</v>
      </c>
      <c r="J1332" s="11">
        <f>[1]!EM_S_FA_NETPROFITMARGIN(B1332,E1332)</f>
        <v>2.1379154156000002</v>
      </c>
      <c r="K1332" s="10">
        <f>[1]!EM_S_FA_ASSETSTURN(B1332,E1332)</f>
        <v>0.79993400124000003</v>
      </c>
      <c r="L1332" s="12">
        <f>[1]!EM_HKS_VAL_MV(B1332,"2019-12-31","2")</f>
        <v>4959591000</v>
      </c>
      <c r="M1332">
        <f>[1]!EM_S_VAL_PETTMDEDUCTED(B1332,E1332)</f>
        <v>39.872345156639703</v>
      </c>
      <c r="N1332" s="7">
        <f>[1]!EM_S_VAL_PBGOODWILLDEDUCTED(B1332,E1332)</f>
        <v>1.3503546396650401</v>
      </c>
      <c r="O1332" s="7">
        <f>[1]!EM_S_VAL_PS_TTM(B1332,E1332)</f>
        <v>0.51612577114178904</v>
      </c>
      <c r="P1332" s="7">
        <f>[1]!EM_S_VAL_PCF_NCFTTM(B1332,E1332)</f>
        <v>-480.45341866916101</v>
      </c>
      <c r="Q1332" s="7">
        <f>[1]!EM_S_VAL_DIVIDENDYIELD2(B1332,E1332,"2019-11-29")</f>
        <v>2.1551724137931036</v>
      </c>
      <c r="T1332"/>
      <c r="U1332">
        <f>[1]!EM_S_RATIO_EPS_TTM(B1332,E1332,"1")</f>
        <v>0.17396626568656567</v>
      </c>
      <c r="AT1332" s="4" t="str">
        <f>[1]!EM_S_IPO_LISTEDDATE(B1332)</f>
        <v>2011-01-18</v>
      </c>
    </row>
    <row r="1333" spans="1:46">
      <c r="A1333">
        <v>2898</v>
      </c>
      <c r="B1333" t="str">
        <f>"600825"</f>
        <v>600825</v>
      </c>
      <c r="C1333" t="s">
        <v>2824</v>
      </c>
      <c r="D1333" t="str">
        <f>[1]!EM_S_INFO_INDEX_EM(B1333,"1")</f>
        <v>文化传媒</v>
      </c>
      <c r="E1333" s="4">
        <f t="shared" si="20"/>
        <v>43465</v>
      </c>
      <c r="F1333" s="11">
        <f>[1]!EM_S_PQ_PCTCHANGE(B1333,"2018-01-01","2019-12-31","3")</f>
        <v>-6.7212016099999996</v>
      </c>
      <c r="G1333" s="11">
        <f>[1]!EM_S_PQ_PCTCHANGE(B1333,"2018-12-31","2019-12-30","1")</f>
        <v>18.775510199999999</v>
      </c>
      <c r="H1333" s="11">
        <f>[1]!EM_S_FA_YOY_OR(B1333,E1333)</f>
        <v>-2.5169953038999999</v>
      </c>
      <c r="I1333" s="11">
        <f>[1]!EM_S_FA_GROSSPROFITMARGIN(B1333,E1333)</f>
        <v>35.763608870100001</v>
      </c>
      <c r="J1333" s="11">
        <f>[1]!EM_S_FA_NETPROFITMARGIN(B1333,E1333)</f>
        <v>2.1737698425</v>
      </c>
      <c r="K1333" s="10">
        <f>[1]!EM_S_FA_ASSETSTURN(B1333,E1333)</f>
        <v>0.35838396086699997</v>
      </c>
      <c r="L1333" s="12">
        <f>[1]!EM_HKS_VAL_MV(B1333,"2019-12-31","2")</f>
        <v>5987207380.5</v>
      </c>
      <c r="M1333">
        <f>[1]!EM_S_VAL_PETTMDEDUCTED(B1333,E1333)</f>
        <v>-48.510617252761499</v>
      </c>
      <c r="N1333" s="7">
        <f>[1]!EM_S_VAL_PBGOODWILLDEDUCTED(B1333,E1333)</f>
        <v>2.18841828018873</v>
      </c>
      <c r="O1333" s="7">
        <f>[1]!EM_S_VAL_PS_TTM(B1333,E1333)</f>
        <v>3.9125152372749601</v>
      </c>
      <c r="P1333" s="7">
        <f>[1]!EM_S_VAL_PCF_NCFTTM(B1333,E1333)</f>
        <v>74.622482299097896</v>
      </c>
      <c r="Q1333" s="7">
        <f>[1]!EM_S_VAL_DIVIDENDYIELD2(B1333,E1333,"2019-11-29")</f>
        <v>0.19646365422396855</v>
      </c>
      <c r="T1333"/>
      <c r="U1333">
        <f>[1]!EM_S_RATIO_EPS_TTM(B1333,E1333,"1")</f>
        <v>3.0295863283317917E-2</v>
      </c>
      <c r="AT1333" s="4" t="str">
        <f>[1]!EM_S_IPO_LISTEDDATE(B1333)</f>
        <v>1994-02-04</v>
      </c>
    </row>
    <row r="1334" spans="1:46">
      <c r="A1334">
        <v>1871</v>
      </c>
      <c r="B1334" t="str">
        <f>"300446"</f>
        <v>300446</v>
      </c>
      <c r="C1334" t="s">
        <v>267</v>
      </c>
      <c r="D1334" t="str">
        <f>[1]!EM_S_INFO_INDEX_EM(B1334,"1")</f>
        <v>有色金属</v>
      </c>
      <c r="E1334" s="4">
        <f t="shared" si="20"/>
        <v>43465</v>
      </c>
      <c r="F1334" s="11">
        <f>[1]!EM_S_PQ_PCTCHANGE(B1334,"2018-01-01","2019-12-31","3")</f>
        <v>21.750267709999999</v>
      </c>
      <c r="G1334" s="11">
        <f>[1]!EM_S_PQ_PCTCHANGE(B1334,"2018-12-31","2019-12-30","1")</f>
        <v>18.774445889999999</v>
      </c>
      <c r="H1334" s="11">
        <f>[1]!EM_S_FA_YOY_OR(B1334,E1334)</f>
        <v>2.4111776399</v>
      </c>
      <c r="I1334" s="11">
        <f>[1]!EM_S_FA_GROSSPROFITMARGIN(B1334,E1334)</f>
        <v>59.733233955199999</v>
      </c>
      <c r="J1334" s="11">
        <f>[1]!EM_S_FA_NETPROFITMARGIN(B1334,E1334)</f>
        <v>38.971087380299998</v>
      </c>
      <c r="K1334" s="10">
        <f>[1]!EM_S_FA_ASSETSTURN(B1334,E1334)</f>
        <v>0.41462010717600001</v>
      </c>
      <c r="L1334" s="12">
        <f>[1]!EM_HKS_VAL_MV(B1334,"2019-12-31","2")</f>
        <v>3205080000</v>
      </c>
      <c r="M1334">
        <f>[1]!EM_S_VAL_PETTMDEDUCTED(B1334,E1334)</f>
        <v>19.022577971119301</v>
      </c>
      <c r="N1334" s="7">
        <f>[1]!EM_S_VAL_PBGOODWILLDEDUCTED(B1334,E1334)</f>
        <v>3.04410811611318</v>
      </c>
      <c r="O1334" s="7">
        <f>[1]!EM_S_VAL_PS_TTM(B1334,E1334)</f>
        <v>7.1625223968120801</v>
      </c>
      <c r="P1334" s="7">
        <f>[1]!EM_S_VAL_PCF_NCFTTM(B1334,E1334)</f>
        <v>41.0051900638978</v>
      </c>
      <c r="Q1334" s="7">
        <f>[1]!EM_S_VAL_DIVIDENDYIELD2(B1334,E1334,"2019-11-29")</f>
        <v>1.2903225806451613</v>
      </c>
      <c r="T1334"/>
      <c r="U1334">
        <f>[1]!EM_S_RATIO_EPS_TTM(B1334,E1334,"1")</f>
        <v>0.8392734543973942</v>
      </c>
      <c r="AT1334" s="4" t="str">
        <f>[1]!EM_S_IPO_LISTEDDATE(B1334)</f>
        <v>2015-04-23</v>
      </c>
    </row>
    <row r="1335" spans="1:46">
      <c r="A1335">
        <v>2638</v>
      </c>
      <c r="B1335" t="str">
        <f>"600563"</f>
        <v>600563</v>
      </c>
      <c r="C1335" t="s">
        <v>442</v>
      </c>
      <c r="D1335" t="str">
        <f>[1]!EM_S_INFO_INDEX_EM(B1335,"1")</f>
        <v>电子设备</v>
      </c>
      <c r="E1335" s="4">
        <f t="shared" si="20"/>
        <v>43465</v>
      </c>
      <c r="F1335" s="11">
        <f>[1]!EM_S_PQ_PCTCHANGE(B1335,"2018-01-01","2019-12-31","3")</f>
        <v>2.8460667700000002</v>
      </c>
      <c r="G1335" s="11">
        <f>[1]!EM_S_PQ_PCTCHANGE(B1335,"2018-12-31","2019-12-30","1")</f>
        <v>18.770764119999999</v>
      </c>
      <c r="H1335" s="11">
        <f>[1]!EM_S_FA_YOY_OR(B1335,E1335)</f>
        <v>1.4012300535</v>
      </c>
      <c r="I1335" s="11">
        <f>[1]!EM_S_FA_GROSSPROFITMARGIN(B1335,E1335)</f>
        <v>43.236615837400002</v>
      </c>
      <c r="J1335" s="11">
        <f>[1]!EM_S_FA_NETPROFITMARGIN(B1335,E1335)</f>
        <v>26.726225984100001</v>
      </c>
      <c r="K1335" s="10">
        <f>[1]!EM_S_FA_ASSETSTURN(B1335,E1335)</f>
        <v>0.60743849573300002</v>
      </c>
      <c r="L1335" s="12">
        <f>[1]!EM_HKS_VAL_MV(B1335,"2019-12-31","2")</f>
        <v>11126250000</v>
      </c>
      <c r="M1335">
        <f>[1]!EM_S_VAL_PETTMDEDUCTED(B1335,E1335)</f>
        <v>21.7119293676237</v>
      </c>
      <c r="N1335" s="7">
        <f>[1]!EM_S_VAL_PBGOODWILLDEDUCTED(B1335,E1335)</f>
        <v>3.8911295586192698</v>
      </c>
      <c r="O1335" s="7">
        <f>[1]!EM_S_VAL_PS_TTM(B1335,E1335)</f>
        <v>5.4818476896224997</v>
      </c>
      <c r="P1335" s="7">
        <f>[1]!EM_S_VAL_PCF_NCFTTM(B1335,E1335)</f>
        <v>-30.193595867366401</v>
      </c>
      <c r="Q1335" s="7">
        <f>[1]!EM_S_VAL_DIVIDENDYIELD2(B1335,E1335,"2019-11-29")</f>
        <v>3.1026252983293556</v>
      </c>
      <c r="T1335"/>
      <c r="U1335">
        <f>[1]!EM_S_RATIO_EPS_TTM(B1335,E1335,"1")</f>
        <v>2.0082495228444444</v>
      </c>
      <c r="AT1335" s="4" t="str">
        <f>[1]!EM_S_IPO_LISTEDDATE(B1335)</f>
        <v>2002-12-10</v>
      </c>
    </row>
    <row r="1336" spans="1:46">
      <c r="A1336">
        <v>1678</v>
      </c>
      <c r="B1336" t="str">
        <f>"300253"</f>
        <v>300253</v>
      </c>
      <c r="C1336" t="s">
        <v>1730</v>
      </c>
      <c r="D1336" t="str">
        <f>[1]!EM_S_INFO_INDEX_EM(B1336,"1")</f>
        <v>信息技术</v>
      </c>
      <c r="E1336" s="4">
        <f t="shared" si="20"/>
        <v>43465</v>
      </c>
      <c r="F1336" s="11">
        <f>[1]!EM_S_PQ_PCTCHANGE(B1336,"2018-01-01","2019-12-31","3")</f>
        <v>123.73772682000001</v>
      </c>
      <c r="G1336" s="11">
        <f>[1]!EM_S_PQ_PCTCHANGE(B1336,"2018-12-31","2019-12-30","1")</f>
        <v>18.699839489999999</v>
      </c>
      <c r="H1336" s="11">
        <f>[1]!EM_S_FA_YOY_OR(B1336,E1336)</f>
        <v>19.522645508299998</v>
      </c>
      <c r="I1336" s="11">
        <f>[1]!EM_S_FA_GROSSPROFITMARGIN(B1336,E1336)</f>
        <v>51.9995977532</v>
      </c>
      <c r="J1336" s="11">
        <f>[1]!EM_S_FA_NETPROFITMARGIN(B1336,E1336)</f>
        <v>21.325916070800002</v>
      </c>
      <c r="K1336" s="10">
        <f>[1]!EM_S_FA_ASSETSTURN(B1336,E1336)</f>
        <v>0.36196980999700001</v>
      </c>
      <c r="L1336" s="12">
        <f>[1]!EM_HKS_VAL_MV(B1336,"2019-12-31","2")</f>
        <v>24583735613.080002</v>
      </c>
      <c r="M1336">
        <f>[1]!EM_S_VAL_PETTMDEDUCTED(B1336,E1336)</f>
        <v>78.470347617478396</v>
      </c>
      <c r="N1336" s="7">
        <f>[1]!EM_S_VAL_PBGOODWILLDEDUCTED(B1336,E1336)</f>
        <v>7.6008324484785597</v>
      </c>
      <c r="O1336" s="7">
        <f>[1]!EM_S_VAL_PS_TTM(B1336,E1336)</f>
        <v>14.0421968777454</v>
      </c>
      <c r="P1336" s="7">
        <f>[1]!EM_S_VAL_PCF_NCFTTM(B1336,E1336)</f>
        <v>-287.40261799901702</v>
      </c>
      <c r="Q1336" s="7">
        <f>[1]!EM_S_VAL_DIVIDENDYIELD2(B1336,E1336,"2019-11-29")</f>
        <v>0.12986794883597733</v>
      </c>
      <c r="T1336"/>
      <c r="U1336">
        <f>[1]!EM_S_RATIO_EPS_TTM(B1336,E1336,"1")</f>
        <v>0.18695782183093376</v>
      </c>
      <c r="AT1336" s="4" t="str">
        <f>[1]!EM_S_IPO_LISTEDDATE(B1336)</f>
        <v>2011-08-18</v>
      </c>
    </row>
    <row r="1337" spans="1:46">
      <c r="A1337">
        <v>1490</v>
      </c>
      <c r="B1337" t="str">
        <f>"300065"</f>
        <v>300065</v>
      </c>
      <c r="C1337" t="s">
        <v>1117</v>
      </c>
      <c r="D1337" t="str">
        <f>[1]!EM_S_INFO_INDEX_EM(B1337,"1")</f>
        <v>国防与装备</v>
      </c>
      <c r="E1337" s="4">
        <f t="shared" si="20"/>
        <v>43465</v>
      </c>
      <c r="F1337" s="11">
        <f>[1]!EM_S_PQ_PCTCHANGE(B1337,"2018-01-01","2019-12-31","3")</f>
        <v>-32.790414980000001</v>
      </c>
      <c r="G1337" s="11">
        <f>[1]!EM_S_PQ_PCTCHANGE(B1337,"2018-12-31","2019-12-30","1")</f>
        <v>18.688845400000002</v>
      </c>
      <c r="H1337" s="11">
        <f>[1]!EM_S_FA_YOY_OR(B1337,E1337)</f>
        <v>-4.4145182014</v>
      </c>
      <c r="I1337" s="11">
        <f>[1]!EM_S_FA_GROSSPROFITMARGIN(B1337,E1337)</f>
        <v>39.738754081099998</v>
      </c>
      <c r="J1337" s="11">
        <f>[1]!EM_S_FA_NETPROFITMARGIN(B1337,E1337)</f>
        <v>17.843141932799998</v>
      </c>
      <c r="K1337" s="10">
        <f>[1]!EM_S_FA_ASSETSTURN(B1337,E1337)</f>
        <v>0.35135532918000001</v>
      </c>
      <c r="L1337" s="12">
        <f>[1]!EM_HKS_VAL_MV(B1337,"2019-12-31","2")</f>
        <v>4853741486.6499996</v>
      </c>
      <c r="M1337">
        <f>[1]!EM_S_VAL_PETTMDEDUCTED(B1337,E1337)</f>
        <v>43.813474603490697</v>
      </c>
      <c r="N1337" s="7">
        <f>[1]!EM_S_VAL_PBGOODWILLDEDUCTED(B1337,E1337)</f>
        <v>2.9219478493320898</v>
      </c>
      <c r="O1337" s="7">
        <f>[1]!EM_S_VAL_PS_TTM(B1337,E1337)</f>
        <v>4.8782752752004503</v>
      </c>
      <c r="P1337" s="7">
        <f>[1]!EM_S_VAL_PCF_NCFTTM(B1337,E1337)</f>
        <v>42.474764980530601</v>
      </c>
      <c r="Q1337" s="7">
        <f>[1]!EM_S_VAL_DIVIDENDYIELD2(B1337,E1337,"2019-11-29")</f>
        <v>0.26690391459074736</v>
      </c>
      <c r="T1337"/>
      <c r="U1337">
        <f>[1]!EM_S_RATIO_EPS_TTM(B1337,E1337,"1")</f>
        <v>0.26538256807729815</v>
      </c>
      <c r="AT1337" s="4" t="str">
        <f>[1]!EM_S_IPO_LISTEDDATE(B1337)</f>
        <v>2010-03-26</v>
      </c>
    </row>
    <row r="1338" spans="1:46">
      <c r="A1338">
        <v>1061</v>
      </c>
      <c r="B1338" t="str">
        <f>"002550"</f>
        <v>002550</v>
      </c>
      <c r="C1338" t="s">
        <v>651</v>
      </c>
      <c r="D1338" t="str">
        <f>[1]!EM_S_INFO_INDEX_EM(B1338,"1")</f>
        <v>医药生物</v>
      </c>
      <c r="E1338" s="4">
        <f t="shared" si="20"/>
        <v>43465</v>
      </c>
      <c r="F1338" s="11">
        <f>[1]!EM_S_PQ_PCTCHANGE(B1338,"2018-01-01","2019-12-31","3")</f>
        <v>-12.187564719999999</v>
      </c>
      <c r="G1338" s="11">
        <f>[1]!EM_S_PQ_PCTCHANGE(B1338,"2018-12-31","2019-12-30","1")</f>
        <v>18.684210530000001</v>
      </c>
      <c r="H1338" s="11">
        <f>[1]!EM_S_FA_YOY_OR(B1338,E1338)</f>
        <v>24.046989515300002</v>
      </c>
      <c r="I1338" s="11">
        <f>[1]!EM_S_FA_GROSSPROFITMARGIN(B1338,E1338)</f>
        <v>48.892363204500001</v>
      </c>
      <c r="J1338" s="11">
        <f>[1]!EM_S_FA_NETPROFITMARGIN(B1338,E1338)</f>
        <v>15.9679427243</v>
      </c>
      <c r="K1338" s="10">
        <f>[1]!EM_S_FA_ASSETSTURN(B1338,E1338)</f>
        <v>0.424797832918</v>
      </c>
      <c r="L1338" s="12">
        <f>[1]!EM_HKS_VAL_MV(B1338,"2019-12-31","2")</f>
        <v>5862285500</v>
      </c>
      <c r="M1338">
        <f>[1]!EM_S_VAL_PETTMDEDUCTED(B1338,E1338)</f>
        <v>43.199516261195797</v>
      </c>
      <c r="N1338" s="7">
        <f>[1]!EM_S_VAL_PBGOODWILLDEDUCTED(B1338,E1338)</f>
        <v>1.9311923177902299</v>
      </c>
      <c r="O1338" s="7">
        <f>[1]!EM_S_VAL_PS_TTM(B1338,E1338)</f>
        <v>3.7060611741200402</v>
      </c>
      <c r="P1338" s="7">
        <f>[1]!EM_S_VAL_PCF_NCFTTM(B1338,E1338)</f>
        <v>32.509792454779401</v>
      </c>
      <c r="Q1338" s="7">
        <f>[1]!EM_S_VAL_DIVIDENDYIELD2(B1338,E1338,"2019-11-29")</f>
        <v>2.7273259953585742</v>
      </c>
      <c r="T1338"/>
      <c r="U1338">
        <f>[1]!EM_S_RATIO_EPS_TTM(B1338,E1338,"1")</f>
        <v>0.17292894078124998</v>
      </c>
      <c r="AT1338" s="4" t="str">
        <f>[1]!EM_S_IPO_LISTEDDATE(B1338)</f>
        <v>2011-02-18</v>
      </c>
    </row>
    <row r="1339" spans="1:46">
      <c r="A1339">
        <v>1984</v>
      </c>
      <c r="B1339" t="str">
        <f>"300561"</f>
        <v>300561</v>
      </c>
      <c r="C1339" t="s">
        <v>1887</v>
      </c>
      <c r="D1339" t="str">
        <f>[1]!EM_S_INFO_INDEX_EM(B1339,"1")</f>
        <v>信息技术</v>
      </c>
      <c r="E1339" s="4">
        <f t="shared" si="20"/>
        <v>43465</v>
      </c>
      <c r="F1339" s="11">
        <f>[1]!EM_S_PQ_PCTCHANGE(B1339,"2018-01-01","2019-12-31","3")</f>
        <v>43.65830072</v>
      </c>
      <c r="G1339" s="11">
        <f>[1]!EM_S_PQ_PCTCHANGE(B1339,"2018-12-31","2019-12-30","1")</f>
        <v>18.683001529999999</v>
      </c>
      <c r="H1339" s="11">
        <f>[1]!EM_S_FA_YOY_OR(B1339,E1339)</f>
        <v>1.0584641239999999</v>
      </c>
      <c r="I1339" s="11">
        <f>[1]!EM_S_FA_GROSSPROFITMARGIN(B1339,E1339)</f>
        <v>50.877293878099998</v>
      </c>
      <c r="J1339" s="11">
        <f>[1]!EM_S_FA_NETPROFITMARGIN(B1339,E1339)</f>
        <v>10.604205996199999</v>
      </c>
      <c r="K1339" s="10">
        <f>[1]!EM_S_FA_ASSETSTURN(B1339,E1339)</f>
        <v>0.31390720320799997</v>
      </c>
      <c r="L1339" s="12">
        <f>[1]!EM_HKS_VAL_MV(B1339,"2019-12-31","2")</f>
        <v>3940533249.4400001</v>
      </c>
      <c r="M1339">
        <f>[1]!EM_S_VAL_PETTMDEDUCTED(B1339,E1339)</f>
        <v>74.214823285346696</v>
      </c>
      <c r="N1339" s="7">
        <f>[1]!EM_S_VAL_PBGOODWILLDEDUCTED(B1339,E1339)</f>
        <v>3.24720182313128</v>
      </c>
      <c r="O1339" s="7">
        <f>[1]!EM_S_VAL_PS_TTM(B1339,E1339)</f>
        <v>9.2109482304260304</v>
      </c>
      <c r="P1339" s="7">
        <f>[1]!EM_S_VAL_PCF_NCFTTM(B1339,E1339)</f>
        <v>-67.815474671226795</v>
      </c>
      <c r="Q1339" s="7">
        <f>[1]!EM_S_VAL_DIVIDENDYIELD2(B1339,E1339,"2019-11-29")</f>
        <v>1.0243538646606618</v>
      </c>
      <c r="T1339"/>
      <c r="U1339">
        <f>[1]!EM_S_RATIO_EPS_TTM(B1339,E1339,"1")</f>
        <v>0.15279319599499805</v>
      </c>
      <c r="AT1339" s="4" t="str">
        <f>[1]!EM_S_IPO_LISTEDDATE(B1339)</f>
        <v>2016-11-17</v>
      </c>
    </row>
    <row r="1340" spans="1:46">
      <c r="A1340">
        <v>533</v>
      </c>
      <c r="B1340" t="str">
        <f>"002022"</f>
        <v>002022</v>
      </c>
      <c r="C1340" t="s">
        <v>1109</v>
      </c>
      <c r="D1340" t="str">
        <f>[1]!EM_S_INFO_INDEX_EM(B1340,"1")</f>
        <v>医药生物</v>
      </c>
      <c r="E1340" s="4">
        <f t="shared" si="20"/>
        <v>43465</v>
      </c>
      <c r="F1340" s="11">
        <f>[1]!EM_S_PQ_PCTCHANGE(B1340,"2018-01-01","2019-12-31","3")</f>
        <v>-13.314123</v>
      </c>
      <c r="G1340" s="11">
        <f>[1]!EM_S_PQ_PCTCHANGE(B1340,"2018-12-31","2019-12-30","1")</f>
        <v>18.656716419999999</v>
      </c>
      <c r="H1340" s="11">
        <f>[1]!EM_S_FA_YOY_OR(B1340,E1340)</f>
        <v>24.847457339399998</v>
      </c>
      <c r="I1340" s="11">
        <f>[1]!EM_S_FA_GROSSPROFITMARGIN(B1340,E1340)</f>
        <v>40.8597863002</v>
      </c>
      <c r="J1340" s="11">
        <f>[1]!EM_S_FA_NETPROFITMARGIN(B1340,E1340)</f>
        <v>12.401436352299999</v>
      </c>
      <c r="K1340" s="10">
        <f>[1]!EM_S_FA_ASSETSTURN(B1340,E1340)</f>
        <v>0.64000298225499996</v>
      </c>
      <c r="L1340" s="12">
        <f>[1]!EM_HKS_VAL_MV(B1340,"2019-12-31","2")</f>
        <v>6009670606.2399998</v>
      </c>
      <c r="M1340">
        <f>[1]!EM_S_VAL_PETTMDEDUCTED(B1340,E1340)</f>
        <v>21.9200371747168</v>
      </c>
      <c r="N1340" s="7">
        <f>[1]!EM_S_VAL_PBGOODWILLDEDUCTED(B1340,E1340)</f>
        <v>3.6578011178675398</v>
      </c>
      <c r="O1340" s="7">
        <f>[1]!EM_S_VAL_PS_TTM(B1340,E1340)</f>
        <v>2.50969632354898</v>
      </c>
      <c r="P1340" s="7">
        <f>[1]!EM_S_VAL_PCF_NCFTTM(B1340,E1340)</f>
        <v>-21.2275214759925</v>
      </c>
      <c r="Q1340" s="7">
        <f>[1]!EM_S_VAL_DIVIDENDYIELD2(B1340,E1340,"2019-11-29")</f>
        <v>0.59633027522935778</v>
      </c>
      <c r="T1340"/>
      <c r="U1340">
        <f>[1]!EM_S_RATIO_EPS_TTM(B1340,E1340,"1")</f>
        <v>0.40327851959001465</v>
      </c>
      <c r="AT1340" s="4" t="str">
        <f>[1]!EM_S_IPO_LISTEDDATE(B1340)</f>
        <v>2004-07-21</v>
      </c>
    </row>
    <row r="1341" spans="1:46">
      <c r="A1341">
        <v>35</v>
      </c>
      <c r="B1341" t="str">
        <f>"000035"</f>
        <v>000035</v>
      </c>
      <c r="C1341" t="s">
        <v>2479</v>
      </c>
      <c r="D1341" t="str">
        <f>[1]!EM_S_INFO_INDEX_EM(B1341,"1")</f>
        <v>公用事业</v>
      </c>
      <c r="E1341" s="4">
        <f t="shared" si="20"/>
        <v>43465</v>
      </c>
      <c r="F1341" s="11">
        <f>[1]!EM_S_PQ_PCTCHANGE(B1341,"2018-01-01","2019-12-31","3")</f>
        <v>-8.18452381</v>
      </c>
      <c r="G1341" s="11">
        <f>[1]!EM_S_PQ_PCTCHANGE(B1341,"2019-01-01","2019-12-31","3")</f>
        <v>18.65384615</v>
      </c>
      <c r="H1341" s="11">
        <f>[1]!EM_S_FA_YOY_OR(B1341,E1341)</f>
        <v>14.584121250100001</v>
      </c>
      <c r="I1341" s="11">
        <f>[1]!EM_S_FA_GROSSPROFITMARGIN(B1341,E1341)</f>
        <v>36.382687655799998</v>
      </c>
      <c r="J1341" s="11">
        <f>[1]!EM_S_FA_NETPROFITMARGIN(B1341,E1341)</f>
        <v>12.0363664802</v>
      </c>
      <c r="K1341" s="10">
        <f>[1]!EM_S_FA_ASSETSTURN(B1341,E1341)</f>
        <v>0.21806056226500001</v>
      </c>
      <c r="L1341" s="12">
        <f>[1]!EM_HKS_VAL_MV(B1341,"2019-12-31","2")</f>
        <v>15571705922.49</v>
      </c>
      <c r="M1341">
        <f>[1]!EM_S_VAL_PETTMDEDUCTED(B1341,E1341)</f>
        <v>29.271424654690499</v>
      </c>
      <c r="N1341" s="7">
        <f>[1]!EM_S_VAL_PBGOODWILLDEDUCTED(B1341,E1341)</f>
        <v>2.1902339724803301</v>
      </c>
      <c r="O1341" s="7">
        <f>[1]!EM_S_VAL_PS_TTM(B1341,E1341)</f>
        <v>3.5391791187455501</v>
      </c>
      <c r="P1341" s="7">
        <f>[1]!EM_S_VAL_PCF_NCFTTM(B1341,E1341)</f>
        <v>-92.823721938699194</v>
      </c>
      <c r="Q1341" s="7">
        <f>[1]!EM_S_VAL_DIVIDENDYIELD2(B1341,E1341,"2019-11-29")</f>
        <v>0</v>
      </c>
      <c r="T1341"/>
      <c r="U1341">
        <f>[1]!EM_S_RATIO_EPS_TTM(B1341,E1341,"1")</f>
        <v>0.16018429029370998</v>
      </c>
      <c r="AT1341" s="4" t="str">
        <f>[1]!EM_S_IPO_LISTEDDATE(B1341)</f>
        <v>1994-04-08</v>
      </c>
    </row>
    <row r="1342" spans="1:46">
      <c r="A1342">
        <v>3157</v>
      </c>
      <c r="B1342" t="str">
        <f>"601818"</f>
        <v>601818</v>
      </c>
      <c r="C1342" t="s">
        <v>671</v>
      </c>
      <c r="D1342" t="str">
        <f>[1]!EM_S_INFO_INDEX_EM(B1342,"1")</f>
        <v>金融</v>
      </c>
      <c r="E1342" s="4">
        <f t="shared" si="20"/>
        <v>43465</v>
      </c>
      <c r="F1342" s="11">
        <f>[1]!EM_S_PQ_PCTCHANGE(B1342,"2018-01-01","2019-12-31","3")</f>
        <v>19.056831630000001</v>
      </c>
      <c r="G1342" s="11">
        <f>[1]!EM_S_PQ_PCTCHANGE(B1342,"2018-12-31","2019-12-30","1")</f>
        <v>18.648648649999998</v>
      </c>
      <c r="H1342" s="11">
        <f>[1]!EM_S_FA_YOY_OR(B1342,E1342)</f>
        <v>20.026129559099999</v>
      </c>
      <c r="I1342" s="11">
        <f>[1]!EM_S_FA_GROSSPROFITMARGIN(B1342,E1342)</f>
        <v>0</v>
      </c>
      <c r="J1342" s="11">
        <f>[1]!EM_S_FA_NETPROFITMARGIN(B1342,E1342)</f>
        <v>30.587605674700001</v>
      </c>
      <c r="K1342" s="10">
        <f>[1]!EM_S_FA_ASSETSTURN(B1342,E1342)</f>
        <v>0</v>
      </c>
      <c r="L1342" s="12">
        <f>[1]!EM_HKS_VAL_MV(B1342,"2019-12-31","2")</f>
        <v>231477914875.41</v>
      </c>
      <c r="M1342">
        <f>[1]!EM_S_VAL_PETTMDEDUCTED(B1342,E1342)</f>
        <v>5.7501193726069602</v>
      </c>
      <c r="N1342" s="7">
        <f>[1]!EM_S_VAL_PBGOODWILLDEDUCTED(B1342,E1342)</f>
        <v>0.68120295690198895</v>
      </c>
      <c r="O1342" s="7">
        <f>[1]!EM_S_VAL_PS_TTM(B1342,E1342)</f>
        <v>1.8600023158752701</v>
      </c>
      <c r="P1342" s="7">
        <f>[1]!EM_S_VAL_PCF_NCFTTM(B1342,E1342)</f>
        <v>6.8492428781449499</v>
      </c>
      <c r="Q1342" s="7">
        <f>[1]!EM_S_VAL_DIVIDENDYIELD2(B1342,E1342,"2019-11-29")</f>
        <v>3.8983033096279756</v>
      </c>
      <c r="T1342"/>
      <c r="U1342">
        <f>[1]!EM_S_RATIO_EPS_TTM(B1342,E1342,"1")</f>
        <v>0.64125492656442717</v>
      </c>
      <c r="AT1342" s="4" t="str">
        <f>[1]!EM_S_IPO_LISTEDDATE(B1342)</f>
        <v>2010-08-18</v>
      </c>
    </row>
    <row r="1343" spans="1:46">
      <c r="A1343">
        <v>2715</v>
      </c>
      <c r="B1343" t="str">
        <f>"600642"</f>
        <v>600642</v>
      </c>
      <c r="C1343" t="s">
        <v>1941</v>
      </c>
      <c r="D1343" t="str">
        <f>[1]!EM_S_INFO_INDEX_EM(B1343,"1")</f>
        <v>化石能源</v>
      </c>
      <c r="E1343" s="4">
        <f t="shared" si="20"/>
        <v>43465</v>
      </c>
      <c r="F1343" s="11">
        <f>[1]!EM_S_PQ_PCTCHANGE(B1343,"2018-01-01","2019-12-31","3")</f>
        <v>6.6188050499999997</v>
      </c>
      <c r="G1343" s="11">
        <f>[1]!EM_S_PQ_PCTCHANGE(B1343,"2018-12-31","2019-12-30","1")</f>
        <v>18.647540979999999</v>
      </c>
      <c r="H1343" s="11">
        <f>[1]!EM_S_FA_YOY_OR(B1343,E1343)</f>
        <v>11.780121256699999</v>
      </c>
      <c r="I1343" s="11">
        <f>[1]!EM_S_FA_GROSSPROFITMARGIN(B1343,E1343)</f>
        <v>7.7232999147000001</v>
      </c>
      <c r="J1343" s="11">
        <f>[1]!EM_S_FA_NETPROFITMARGIN(B1343,E1343)</f>
        <v>6.5360770993999999</v>
      </c>
      <c r="K1343" s="10">
        <f>[1]!EM_S_FA_ASSETSTURN(B1343,E1343)</f>
        <v>0.63708412109900003</v>
      </c>
      <c r="L1343" s="12">
        <f>[1]!EM_HKS_VAL_MV(B1343,"2019-12-31","2")</f>
        <v>28538942615.959999</v>
      </c>
      <c r="M1343">
        <f>[1]!EM_S_VAL_PETTMDEDUCTED(B1343,E1343)</f>
        <v>17.532368604599</v>
      </c>
      <c r="N1343" s="7">
        <f>[1]!EM_S_VAL_PBGOODWILLDEDUCTED(B1343,E1343)</f>
        <v>0.85592435430041403</v>
      </c>
      <c r="O1343" s="7">
        <f>[1]!EM_S_VAL_PS_TTM(B1343,E1343)</f>
        <v>0.62123250726388102</v>
      </c>
      <c r="P1343" s="7">
        <f>[1]!EM_S_VAL_PCF_NCFTTM(B1343,E1343)</f>
        <v>-78.396365874263395</v>
      </c>
      <c r="Q1343" s="7">
        <f>[1]!EM_S_VAL_DIVIDENDYIELD2(B1343,E1343,"2019-11-29")</f>
        <v>3.1254997282039039</v>
      </c>
      <c r="T1343"/>
      <c r="U1343">
        <f>[1]!EM_S_RATIO_EPS_TTM(B1343,E1343,"1")</f>
        <v>0.4011245212242629</v>
      </c>
      <c r="AT1343" s="4" t="str">
        <f>[1]!EM_S_IPO_LISTEDDATE(B1343)</f>
        <v>1993-04-16</v>
      </c>
    </row>
    <row r="1344" spans="1:46">
      <c r="A1344">
        <v>2936</v>
      </c>
      <c r="B1344" t="str">
        <f>"600863"</f>
        <v>600863</v>
      </c>
      <c r="C1344" t="s">
        <v>3068</v>
      </c>
      <c r="D1344" t="str">
        <f>[1]!EM_S_INFO_INDEX_EM(B1344,"1")</f>
        <v>公用事业</v>
      </c>
      <c r="E1344" s="4">
        <f t="shared" si="20"/>
        <v>43465</v>
      </c>
      <c r="F1344" s="11">
        <f>[1]!EM_S_PQ_PCTCHANGE(B1344,"2018-01-01","2019-12-31","3")</f>
        <v>-3.2738098</v>
      </c>
      <c r="G1344" s="11">
        <f>[1]!EM_S_PQ_PCTCHANGE(B1344,"2018-12-31","2019-12-30","1")</f>
        <v>18.614718610000001</v>
      </c>
      <c r="H1344" s="11">
        <f>[1]!EM_S_FA_YOY_OR(B1344,E1344)</f>
        <v>16.638910990999999</v>
      </c>
      <c r="I1344" s="11">
        <f>[1]!EM_S_FA_GROSSPROFITMARGIN(B1344,E1344)</f>
        <v>21.429559909599998</v>
      </c>
      <c r="J1344" s="11">
        <f>[1]!EM_S_FA_NETPROFITMARGIN(B1344,E1344)</f>
        <v>7.9567642368999998</v>
      </c>
      <c r="K1344" s="10">
        <f>[1]!EM_S_FA_ASSETSTURN(B1344,E1344)</f>
        <v>0.31938811250400001</v>
      </c>
      <c r="L1344" s="12">
        <f>[1]!EM_HKS_VAL_MV(B1344,"2019-12-31","2")</f>
        <v>15973355156</v>
      </c>
      <c r="M1344">
        <f>[1]!EM_S_VAL_PETTMDEDUCTED(B1344,E1344)</f>
        <v>29.528130062707099</v>
      </c>
      <c r="N1344" s="7">
        <f>[1]!EM_S_VAL_PBGOODWILLDEDUCTED(B1344,E1344)</f>
        <v>1.24632589054899</v>
      </c>
      <c r="O1344" s="7">
        <f>[1]!EM_S_VAL_PS_TTM(B1344,E1344)</f>
        <v>1.0221452292614499</v>
      </c>
      <c r="P1344" s="7">
        <f>[1]!EM_S_VAL_PCF_NCFTTM(B1344,E1344)</f>
        <v>31.429149791042601</v>
      </c>
      <c r="Q1344" s="7">
        <f>[1]!EM_S_VAL_DIVIDENDYIELD2(B1344,E1344,"2019-11-29")</f>
        <v>3.7065519464596819</v>
      </c>
      <c r="T1344"/>
      <c r="U1344">
        <f>[1]!EM_S_RATIO_EPS_TTM(B1344,E1344,"1")</f>
        <v>0.13475897967913097</v>
      </c>
      <c r="AT1344" s="4" t="str">
        <f>[1]!EM_S_IPO_LISTEDDATE(B1344)</f>
        <v>1994-05-20</v>
      </c>
    </row>
    <row r="1345" spans="1:46">
      <c r="A1345">
        <v>3410</v>
      </c>
      <c r="B1345" t="str">
        <f>"603500"</f>
        <v>603500</v>
      </c>
      <c r="C1345" t="s">
        <v>1847</v>
      </c>
      <c r="D1345" t="str">
        <f>[1]!EM_S_INFO_INDEX_EM(B1345,"1")</f>
        <v>交运设备</v>
      </c>
      <c r="E1345" s="4">
        <f t="shared" si="20"/>
        <v>43465</v>
      </c>
      <c r="F1345" s="11">
        <f>[1]!EM_S_PQ_PCTCHANGE(B1345,"2018-01-01","2019-12-31","3")</f>
        <v>-30.908042869999999</v>
      </c>
      <c r="G1345" s="11">
        <f>[1]!EM_S_PQ_PCTCHANGE(B1345,"2018-12-31","2019-12-30","1")</f>
        <v>18.60019175</v>
      </c>
      <c r="H1345" s="11">
        <f>[1]!EM_S_FA_YOY_OR(B1345,E1345)</f>
        <v>13.430280783600001</v>
      </c>
      <c r="I1345" s="11">
        <f>[1]!EM_S_FA_GROSSPROFITMARGIN(B1345,E1345)</f>
        <v>39.875909801600002</v>
      </c>
      <c r="J1345" s="11">
        <f>[1]!EM_S_FA_NETPROFITMARGIN(B1345,E1345)</f>
        <v>24.232737246599999</v>
      </c>
      <c r="K1345" s="10">
        <f>[1]!EM_S_FA_ASSETSTURN(B1345,E1345)</f>
        <v>0.38070731537800001</v>
      </c>
      <c r="L1345" s="12">
        <f>[1]!EM_HKS_VAL_MV(B1345,"2019-12-31","2")</f>
        <v>2194416000</v>
      </c>
      <c r="M1345">
        <f>[1]!EM_S_VAL_PETTMDEDUCTED(B1345,E1345)</f>
        <v>31.684785754058598</v>
      </c>
      <c r="N1345" s="7">
        <f>[1]!EM_S_VAL_PBGOODWILLDEDUCTED(B1345,E1345)</f>
        <v>2.1835386078963399</v>
      </c>
      <c r="O1345" s="7">
        <f>[1]!EM_S_VAL_PS_TTM(B1345,E1345)</f>
        <v>6.1500477592147096</v>
      </c>
      <c r="P1345" s="7">
        <f>[1]!EM_S_VAL_PCF_NCFTTM(B1345,E1345)</f>
        <v>-66.598335452746696</v>
      </c>
      <c r="Q1345" s="7">
        <f>[1]!EM_S_VAL_DIVIDENDYIELD2(B1345,E1345,"2019-11-29")</f>
        <v>1.7050298380221656</v>
      </c>
      <c r="T1345"/>
      <c r="U1345">
        <f>[1]!EM_S_RATIO_EPS_TTM(B1345,E1345,"1")</f>
        <v>0.4669765473356009</v>
      </c>
      <c r="AT1345" s="4" t="str">
        <f>[1]!EM_S_IPO_LISTEDDATE(B1345)</f>
        <v>2017-09-04</v>
      </c>
    </row>
    <row r="1346" spans="1:46">
      <c r="A1346">
        <v>1943</v>
      </c>
      <c r="B1346" t="str">
        <f>"300518"</f>
        <v>300518</v>
      </c>
      <c r="C1346" t="s">
        <v>2817</v>
      </c>
      <c r="D1346" t="str">
        <f>[1]!EM_S_INFO_INDEX_EM(B1346,"1")</f>
        <v>信息技术</v>
      </c>
      <c r="E1346" s="4">
        <f t="shared" si="20"/>
        <v>43465</v>
      </c>
      <c r="F1346" s="11">
        <f>[1]!EM_S_PQ_PCTCHANGE(B1346,"2018-01-01","2019-12-31","3")</f>
        <v>-47.678263880000003</v>
      </c>
      <c r="G1346" s="11">
        <f>[1]!EM_S_PQ_PCTCHANGE(B1346,"2018-12-31","2019-12-30","1")</f>
        <v>18.57758621</v>
      </c>
      <c r="H1346" s="11">
        <f>[1]!EM_S_FA_YOY_OR(B1346,E1346)</f>
        <v>68.826068214399996</v>
      </c>
      <c r="I1346" s="11">
        <f>[1]!EM_S_FA_GROSSPROFITMARGIN(B1346,E1346)</f>
        <v>29.131522761700001</v>
      </c>
      <c r="J1346" s="11">
        <f>[1]!EM_S_FA_NETPROFITMARGIN(B1346,E1346)</f>
        <v>4.9123464609000003</v>
      </c>
      <c r="K1346" s="10">
        <f>[1]!EM_S_FA_ASSETSTURN(B1346,E1346)</f>
        <v>0.25269807801100003</v>
      </c>
      <c r="L1346" s="12">
        <f>[1]!EM_HKS_VAL_MV(B1346,"2019-12-31","2")</f>
        <v>2546315200</v>
      </c>
      <c r="M1346">
        <f>[1]!EM_S_VAL_PETTMDEDUCTED(B1346,E1346)</f>
        <v>-3515.31482866546</v>
      </c>
      <c r="N1346" s="7">
        <f>[1]!EM_S_VAL_PBGOODWILLDEDUCTED(B1346,E1346)</f>
        <v>2.92346700892212</v>
      </c>
      <c r="O1346" s="7">
        <f>[1]!EM_S_VAL_PS_TTM(B1346,E1346)</f>
        <v>5.6027441087790004</v>
      </c>
      <c r="P1346" s="7">
        <f>[1]!EM_S_VAL_PCF_NCFTTM(B1346,E1346)</f>
        <v>-12.797201163801599</v>
      </c>
      <c r="Q1346" s="7">
        <f>[1]!EM_S_VAL_DIVIDENDYIELD2(B1346,E1346,"2019-11-29")</f>
        <v>8.133387555917039E-2</v>
      </c>
      <c r="T1346"/>
      <c r="U1346">
        <f>[1]!EM_S_RATIO_EPS_TTM(B1346,E1346,"1")</f>
        <v>0.10884285279622885</v>
      </c>
      <c r="AT1346" s="4" t="str">
        <f>[1]!EM_S_IPO_LISTEDDATE(B1346)</f>
        <v>2016-06-24</v>
      </c>
    </row>
    <row r="1347" spans="1:46">
      <c r="A1347">
        <v>3295</v>
      </c>
      <c r="B1347" t="str">
        <f>"603166"</f>
        <v>603166</v>
      </c>
      <c r="C1347" t="s">
        <v>1503</v>
      </c>
      <c r="D1347" t="str">
        <f>[1]!EM_S_INFO_INDEX_EM(B1347,"1")</f>
        <v>交运设备</v>
      </c>
      <c r="E1347" s="4">
        <f t="shared" ref="E1347:E1410" si="21">$B$1</f>
        <v>43465</v>
      </c>
      <c r="F1347" s="11">
        <f>[1]!EM_S_PQ_PCTCHANGE(B1347,"2018-01-01","2019-12-31","3")</f>
        <v>-22.085701190000002</v>
      </c>
      <c r="G1347" s="11">
        <f>[1]!EM_S_PQ_PCTCHANGE(B1347,"2018-12-31","2019-12-30","1")</f>
        <v>18.5546875</v>
      </c>
      <c r="H1347" s="11">
        <f>[1]!EM_S_FA_YOY_OR(B1347,E1347)</f>
        <v>5.3451719744000004</v>
      </c>
      <c r="I1347" s="11">
        <f>[1]!EM_S_FA_GROSSPROFITMARGIN(B1347,E1347)</f>
        <v>22.5612794203</v>
      </c>
      <c r="J1347" s="11">
        <f>[1]!EM_S_FA_NETPROFITMARGIN(B1347,E1347)</f>
        <v>7.9811362709999996</v>
      </c>
      <c r="K1347" s="10">
        <f>[1]!EM_S_FA_ASSETSTURN(B1347,E1347)</f>
        <v>0.44137820587600002</v>
      </c>
      <c r="L1347" s="12">
        <f>[1]!EM_HKS_VAL_MV(B1347,"2019-12-31","2")</f>
        <v>3529884150.3000002</v>
      </c>
      <c r="M1347">
        <f>[1]!EM_S_VAL_PETTMDEDUCTED(B1347,E1347)</f>
        <v>39.0623244369094</v>
      </c>
      <c r="N1347" s="7">
        <f>[1]!EM_S_VAL_PBGOODWILLDEDUCTED(B1347,E1347)</f>
        <v>1.4529753405189201</v>
      </c>
      <c r="O1347" s="7">
        <f>[1]!EM_S_VAL_PS_TTM(B1347,E1347)</f>
        <v>2.1443389487225</v>
      </c>
      <c r="P1347" s="7">
        <f>[1]!EM_S_VAL_PCF_NCFTTM(B1347,E1347)</f>
        <v>17.660402595528101</v>
      </c>
      <c r="Q1347" s="7">
        <f>[1]!EM_S_VAL_DIVIDENDYIELD2(B1347,E1347,"2019-11-29")</f>
        <v>2.9077200488644426</v>
      </c>
      <c r="T1347"/>
      <c r="U1347">
        <f>[1]!EM_S_RATIO_EPS_TTM(B1347,E1347,"1")</f>
        <v>0.18757950986677327</v>
      </c>
      <c r="AT1347" s="4" t="str">
        <f>[1]!EM_S_IPO_LISTEDDATE(B1347)</f>
        <v>2014-11-27</v>
      </c>
    </row>
    <row r="1348" spans="1:46">
      <c r="A1348">
        <v>1844</v>
      </c>
      <c r="B1348" t="str">
        <f>"300419"</f>
        <v>300419</v>
      </c>
      <c r="C1348" t="s">
        <v>2680</v>
      </c>
      <c r="D1348" t="str">
        <f>[1]!EM_S_INFO_INDEX_EM(B1348,"1")</f>
        <v>信息技术</v>
      </c>
      <c r="E1348" s="4">
        <f t="shared" si="21"/>
        <v>43465</v>
      </c>
      <c r="F1348" s="11">
        <f>[1]!EM_S_PQ_PCTCHANGE(B1348,"2018-01-01","2019-12-31","3")</f>
        <v>-35.633854650000004</v>
      </c>
      <c r="G1348" s="11">
        <f>[1]!EM_S_PQ_PCTCHANGE(B1348,"2018-12-31","2019-12-30","1")</f>
        <v>18.497109829999999</v>
      </c>
      <c r="H1348" s="11">
        <f>[1]!EM_S_FA_YOY_OR(B1348,E1348)</f>
        <v>0.97248316170000004</v>
      </c>
      <c r="I1348" s="11">
        <f>[1]!EM_S_FA_GROSSPROFITMARGIN(B1348,E1348)</f>
        <v>18.4569596923</v>
      </c>
      <c r="J1348" s="11">
        <f>[1]!EM_S_FA_NETPROFITMARGIN(B1348,E1348)</f>
        <v>-115.4554126697</v>
      </c>
      <c r="K1348" s="10">
        <f>[1]!EM_S_FA_ASSETSTURN(B1348,E1348)</f>
        <v>0.36187494423700001</v>
      </c>
      <c r="L1348" s="12">
        <f>[1]!EM_HKS_VAL_MV(B1348,"2019-12-31","2")</f>
        <v>2258008147.8000002</v>
      </c>
      <c r="M1348">
        <f>[1]!EM_S_VAL_PETTMDEDUCTED(B1348,E1348)</f>
        <v>77.221858570147106</v>
      </c>
      <c r="N1348" s="7">
        <f>[1]!EM_S_VAL_PBGOODWILLDEDUCTED(B1348,E1348)</f>
        <v>2.4776870113559601</v>
      </c>
      <c r="O1348" s="7">
        <f>[1]!EM_S_VAL_PS_TTM(B1348,E1348)</f>
        <v>3.4927074798439599</v>
      </c>
      <c r="P1348" s="7">
        <f>[1]!EM_S_VAL_PCF_NCFTTM(B1348,E1348)</f>
        <v>-12.6852830817419</v>
      </c>
      <c r="Q1348" s="7">
        <f>[1]!EM_S_VAL_DIVIDENDYIELD2(B1348,E1348,"2019-11-29")</f>
        <v>0</v>
      </c>
      <c r="T1348"/>
      <c r="U1348">
        <f>[1]!EM_S_RATIO_EPS_TTM(B1348,E1348,"1")</f>
        <v>-1.7374467087856096</v>
      </c>
      <c r="AT1348" s="4" t="str">
        <f>[1]!EM_S_IPO_LISTEDDATE(B1348)</f>
        <v>2015-01-22</v>
      </c>
    </row>
    <row r="1349" spans="1:46">
      <c r="A1349">
        <v>1954</v>
      </c>
      <c r="B1349" t="str">
        <f>"300530"</f>
        <v>300530</v>
      </c>
      <c r="C1349" t="s">
        <v>1371</v>
      </c>
      <c r="D1349" t="str">
        <f>[1]!EM_S_INFO_INDEX_EM(B1349,"1")</f>
        <v>基础化工</v>
      </c>
      <c r="E1349" s="4">
        <f t="shared" si="21"/>
        <v>43465</v>
      </c>
      <c r="F1349" s="11">
        <f>[1]!EM_S_PQ_PCTCHANGE(B1349,"2018-01-01","2019-12-31","3")</f>
        <v>48.545111630000001</v>
      </c>
      <c r="G1349" s="11">
        <f>[1]!EM_S_PQ_PCTCHANGE(B1349,"2018-12-31","2019-12-30","1")</f>
        <v>18.395303330000001</v>
      </c>
      <c r="H1349" s="11">
        <f>[1]!EM_S_FA_YOY_OR(B1349,E1349)</f>
        <v>30.827050271400001</v>
      </c>
      <c r="I1349" s="11">
        <f>[1]!EM_S_FA_GROSSPROFITMARGIN(B1349,E1349)</f>
        <v>40.809311235700001</v>
      </c>
      <c r="J1349" s="11">
        <f>[1]!EM_S_FA_NETPROFITMARGIN(B1349,E1349)</f>
        <v>31.021960795199998</v>
      </c>
      <c r="K1349" s="10">
        <f>[1]!EM_S_FA_ASSETSTURN(B1349,E1349)</f>
        <v>0.33219117183899999</v>
      </c>
      <c r="L1349" s="12">
        <f>[1]!EM_HKS_VAL_MV(B1349,"2019-12-31","2")</f>
        <v>3779746110</v>
      </c>
      <c r="M1349">
        <f>[1]!EM_S_VAL_PETTMDEDUCTED(B1349,E1349)</f>
        <v>62.508068175026899</v>
      </c>
      <c r="N1349" s="7">
        <f>[1]!EM_S_VAL_PBGOODWILLDEDUCTED(B1349,E1349)</f>
        <v>4.2613516592840304</v>
      </c>
      <c r="O1349" s="7">
        <f>[1]!EM_S_VAL_PS_TTM(B1349,E1349)</f>
        <v>14.633998398877001</v>
      </c>
      <c r="P1349" s="7">
        <f>[1]!EM_S_VAL_PCF_NCFTTM(B1349,E1349)</f>
        <v>117.246597178746</v>
      </c>
      <c r="Q1349" s="7">
        <f>[1]!EM_S_VAL_DIVIDENDYIELD2(B1349,E1349,"2019-11-29")</f>
        <v>0.34100011442956857</v>
      </c>
      <c r="T1349"/>
      <c r="U1349">
        <f>[1]!EM_S_RATIO_EPS_TTM(B1349,E1349,"1")</f>
        <v>0.78364264324063282</v>
      </c>
      <c r="AT1349" s="4" t="str">
        <f>[1]!EM_S_IPO_LISTEDDATE(B1349)</f>
        <v>2016-08-09</v>
      </c>
    </row>
    <row r="1350" spans="1:46">
      <c r="A1350">
        <v>2016</v>
      </c>
      <c r="B1350" t="str">
        <f>"300596"</f>
        <v>300596</v>
      </c>
      <c r="C1350" t="s">
        <v>518</v>
      </c>
      <c r="D1350" t="str">
        <f>[1]!EM_S_INFO_INDEX_EM(B1350,"1")</f>
        <v>基础化工</v>
      </c>
      <c r="E1350" s="4">
        <f t="shared" si="21"/>
        <v>43465</v>
      </c>
      <c r="F1350" s="11">
        <f>[1]!EM_S_PQ_PCTCHANGE(B1350,"2018-01-01","2019-12-31","3")</f>
        <v>99.065742990000004</v>
      </c>
      <c r="G1350" s="11">
        <f>[1]!EM_S_PQ_PCTCHANGE(B1350,"2018-12-31","2019-12-30","1")</f>
        <v>18.387096769999999</v>
      </c>
      <c r="H1350" s="11">
        <f>[1]!EM_S_FA_YOY_OR(B1350,E1350)</f>
        <v>30.2290280448</v>
      </c>
      <c r="I1350" s="11">
        <f>[1]!EM_S_FA_GROSSPROFITMARGIN(B1350,E1350)</f>
        <v>31.124588026600001</v>
      </c>
      <c r="J1350" s="11">
        <f>[1]!EM_S_FA_NETPROFITMARGIN(B1350,E1350)</f>
        <v>13.178673696600001</v>
      </c>
      <c r="K1350" s="10">
        <f>[1]!EM_S_FA_ASSETSTURN(B1350,E1350)</f>
        <v>0.84816768238100004</v>
      </c>
      <c r="L1350" s="12">
        <f>[1]!EM_HKS_VAL_MV(B1350,"2019-12-31","2")</f>
        <v>7525932518.1999998</v>
      </c>
      <c r="M1350">
        <f>[1]!EM_S_VAL_PETTMDEDUCTED(B1350,E1350)</f>
        <v>32.337343238846501</v>
      </c>
      <c r="N1350" s="7">
        <f>[1]!EM_S_VAL_PBGOODWILLDEDUCTED(B1350,E1350)</f>
        <v>5.3419017208708599</v>
      </c>
      <c r="O1350" s="7">
        <f>[1]!EM_S_VAL_PS_TTM(B1350,E1350)</f>
        <v>3.9818015892302001</v>
      </c>
      <c r="P1350" s="7">
        <f>[1]!EM_S_VAL_PCF_NCFTTM(B1350,E1350)</f>
        <v>-114.014845416962</v>
      </c>
      <c r="Q1350" s="7">
        <f>[1]!EM_S_VAL_DIVIDENDYIELD2(B1350,E1350,"2019-11-29")</f>
        <v>0.4232295464097301</v>
      </c>
      <c r="T1350"/>
      <c r="U1350">
        <f>[1]!EM_S_RATIO_EPS_TTM(B1350,E1350,"1")</f>
        <v>1.0726306722777776</v>
      </c>
      <c r="AT1350" s="4" t="str">
        <f>[1]!EM_S_IPO_LISTEDDATE(B1350)</f>
        <v>2017-01-19</v>
      </c>
    </row>
    <row r="1351" spans="1:46">
      <c r="A1351">
        <v>3186</v>
      </c>
      <c r="B1351" t="str">
        <f>"601965"</f>
        <v>601965</v>
      </c>
      <c r="C1351" t="s">
        <v>1349</v>
      </c>
      <c r="D1351" t="str">
        <f>[1]!EM_S_INFO_INDEX_EM(B1351,"1")</f>
        <v>交运设备</v>
      </c>
      <c r="E1351" s="4">
        <f t="shared" si="21"/>
        <v>43465</v>
      </c>
      <c r="F1351" s="11">
        <f>[1]!EM_S_PQ_PCTCHANGE(B1351,"2018-01-01","2019-12-31","3")</f>
        <v>4.7397039599999999</v>
      </c>
      <c r="G1351" s="11">
        <f>[1]!EM_S_PQ_PCTCHANGE(B1351,"2018-12-31","2019-12-30","1")</f>
        <v>18.361581919999999</v>
      </c>
      <c r="H1351" s="11">
        <f>[1]!EM_S_FA_YOY_OR(B1351,E1351)</f>
        <v>14.913589098399999</v>
      </c>
      <c r="I1351" s="11">
        <f>[1]!EM_S_FA_GROSSPROFITMARGIN(B1351,E1351)</f>
        <v>25.924173096499999</v>
      </c>
      <c r="J1351" s="11">
        <f>[1]!EM_S_FA_NETPROFITMARGIN(B1351,E1351)</f>
        <v>14.6594858626</v>
      </c>
      <c r="K1351" s="10">
        <f>[1]!EM_S_FA_ASSETSTURN(B1351,E1351)</f>
        <v>0.50705872139800001</v>
      </c>
      <c r="L1351" s="12">
        <f>[1]!EM_HKS_VAL_MV(B1351,"2019-12-31","2")</f>
        <v>8030086142.7600002</v>
      </c>
      <c r="M1351">
        <f>[1]!EM_S_VAL_PETTMDEDUCTED(B1351,E1351)</f>
        <v>20.378553821185498</v>
      </c>
      <c r="N1351" s="7">
        <f>[1]!EM_S_VAL_PBGOODWILLDEDUCTED(B1351,E1351)</f>
        <v>1.5389972702379999</v>
      </c>
      <c r="O1351" s="7">
        <f>[1]!EM_S_VAL_PS_TTM(B1351,E1351)</f>
        <v>2.49046477085817</v>
      </c>
      <c r="P1351" s="7">
        <f>[1]!EM_S_VAL_PCF_NCFTTM(B1351,E1351)</f>
        <v>-24.627437950862198</v>
      </c>
      <c r="Q1351" s="7">
        <f>[1]!EM_S_VAL_DIVIDENDYIELD2(B1351,E1351,"2019-11-29")</f>
        <v>3.5161744022503516</v>
      </c>
      <c r="T1351"/>
      <c r="U1351">
        <f>[1]!EM_S_RATIO_EPS_TTM(B1351,E1351,"1")</f>
        <v>0.4156603416263504</v>
      </c>
      <c r="AT1351" s="4" t="str">
        <f>[1]!EM_S_IPO_LISTEDDATE(B1351)</f>
        <v>2012-06-11</v>
      </c>
    </row>
    <row r="1352" spans="1:46">
      <c r="A1352">
        <v>1449</v>
      </c>
      <c r="B1352" t="str">
        <f>"300023"</f>
        <v>300023</v>
      </c>
      <c r="C1352" t="s">
        <v>3355</v>
      </c>
      <c r="D1352" t="str">
        <f>[1]!EM_S_INFO_INDEX_EM(B1352,"1")</f>
        <v>金融</v>
      </c>
      <c r="E1352" s="4">
        <f t="shared" si="21"/>
        <v>43465</v>
      </c>
      <c r="F1352" s="11">
        <f>[1]!EM_S_PQ_PCTCHANGE(B1352,"2018-01-01","2019-12-31","3")</f>
        <v>-32.219127210000003</v>
      </c>
      <c r="G1352" s="11">
        <f>[1]!EM_S_PQ_PCTCHANGE(B1352,"2018-12-31","2019-12-30","1")</f>
        <v>18.286655679999999</v>
      </c>
      <c r="H1352" s="11">
        <f>[1]!EM_S_FA_YOY_OR(B1352,E1352)</f>
        <v>-42.035443770000001</v>
      </c>
      <c r="I1352" s="11">
        <f>[1]!EM_S_FA_GROSSPROFITMARGIN(B1352,E1352)</f>
        <v>-25.991430991600001</v>
      </c>
      <c r="J1352" s="11">
        <f>[1]!EM_S_FA_NETPROFITMARGIN(B1352,E1352)</f>
        <v>-145.40153509340001</v>
      </c>
      <c r="K1352" s="10">
        <f>[1]!EM_S_FA_ASSETSTURN(B1352,E1352)</f>
        <v>7.1673934401999997E-2</v>
      </c>
      <c r="L1352" s="12">
        <f>[1]!EM_HKS_VAL_MV(B1352,"2019-12-31","2")</f>
        <v>2307579457.5</v>
      </c>
      <c r="M1352">
        <f>[1]!EM_S_VAL_PETTMDEDUCTED(B1352,E1352)</f>
        <v>-14.788496644441</v>
      </c>
      <c r="N1352" s="7">
        <f>[1]!EM_S_VAL_PBGOODWILLDEDUCTED(B1352,E1352)</f>
        <v>3.8606001112585799</v>
      </c>
      <c r="O1352" s="7">
        <f>[1]!EM_S_VAL_PS_TTM(B1352,E1352)</f>
        <v>3.34814165709839</v>
      </c>
      <c r="P1352" s="7">
        <f>[1]!EM_S_VAL_PCF_NCFTTM(B1352,E1352)</f>
        <v>-4.5449548026645399</v>
      </c>
      <c r="Q1352" s="7">
        <f>[1]!EM_S_VAL_DIVIDENDYIELD2(B1352,E1352,"2019-11-29")</f>
        <v>0</v>
      </c>
      <c r="T1352"/>
      <c r="U1352">
        <f>[1]!EM_S_RATIO_EPS_TTM(B1352,E1352,"1")</f>
        <v>-1.8209321699289742</v>
      </c>
      <c r="AT1352" s="4" t="str">
        <f>[1]!EM_S_IPO_LISTEDDATE(B1352)</f>
        <v>2009-10-30</v>
      </c>
    </row>
    <row r="1353" spans="1:46">
      <c r="A1353">
        <v>271</v>
      </c>
      <c r="B1353" t="str">
        <f>"000685"</f>
        <v>000685</v>
      </c>
      <c r="C1353" t="s">
        <v>1713</v>
      </c>
      <c r="D1353" t="str">
        <f>[1]!EM_S_INFO_INDEX_EM(B1353,"1")</f>
        <v>公用事业</v>
      </c>
      <c r="E1353" s="4">
        <f t="shared" si="21"/>
        <v>43465</v>
      </c>
      <c r="F1353" s="11">
        <f>[1]!EM_S_PQ_PCTCHANGE(B1353,"2018-01-01","2019-12-31","3")</f>
        <v>-15.93435833</v>
      </c>
      <c r="G1353" s="11">
        <f>[1]!EM_S_PQ_PCTCHANGE(B1353,"2018-12-31","2019-12-30","1")</f>
        <v>18.285714290000001</v>
      </c>
      <c r="H1353" s="11">
        <f>[1]!EM_S_FA_YOY_OR(B1353,E1353)</f>
        <v>14.8809603037</v>
      </c>
      <c r="I1353" s="11">
        <f>[1]!EM_S_FA_GROSSPROFITMARGIN(B1353,E1353)</f>
        <v>29.966033595500001</v>
      </c>
      <c r="J1353" s="11">
        <f>[1]!EM_S_FA_NETPROFITMARGIN(B1353,E1353)</f>
        <v>35.803465748800001</v>
      </c>
      <c r="K1353" s="10">
        <f>[1]!EM_S_FA_ASSETSTURN(B1353,E1353)</f>
        <v>0.12349465938699999</v>
      </c>
      <c r="L1353" s="12">
        <f>[1]!EM_HKS_VAL_MV(B1353,"2019-12-31","2")</f>
        <v>12154917532.24</v>
      </c>
      <c r="M1353">
        <f>[1]!EM_S_VAL_PETTMDEDUCTED(B1353,E1353)</f>
        <v>13.336906979939499</v>
      </c>
      <c r="N1353" s="7">
        <f>[1]!EM_S_VAL_PBGOODWILLDEDUCTED(B1353,E1353)</f>
        <v>0.84082905284127896</v>
      </c>
      <c r="O1353" s="7">
        <f>[1]!EM_S_VAL_PS_TTM(B1353,E1353)</f>
        <v>5.8527502659791502</v>
      </c>
      <c r="P1353" s="7">
        <f>[1]!EM_S_VAL_PCF_NCFTTM(B1353,E1353)</f>
        <v>33.568184261797398</v>
      </c>
      <c r="Q1353" s="7">
        <f>[1]!EM_S_VAL_DIVIDENDYIELD2(B1353,E1353,"2019-11-29")</f>
        <v>1.7729591836734691</v>
      </c>
      <c r="T1353"/>
      <c r="U1353">
        <f>[1]!EM_S_RATIO_EPS_TTM(B1353,E1353,"1")</f>
        <v>0.46536369132719119</v>
      </c>
      <c r="AT1353" s="4" t="str">
        <f>[1]!EM_S_IPO_LISTEDDATE(B1353)</f>
        <v>1997-01-23</v>
      </c>
    </row>
    <row r="1354" spans="1:46">
      <c r="A1354">
        <v>1106</v>
      </c>
      <c r="B1354" t="str">
        <f>"002595"</f>
        <v>002595</v>
      </c>
      <c r="C1354" t="s">
        <v>922</v>
      </c>
      <c r="D1354" t="str">
        <f>[1]!EM_S_INFO_INDEX_EM(B1354,"1")</f>
        <v>机械设备</v>
      </c>
      <c r="E1354" s="4">
        <f t="shared" si="21"/>
        <v>43465</v>
      </c>
      <c r="F1354" s="11">
        <f>[1]!EM_S_PQ_PCTCHANGE(B1354,"2018-01-01","2019-12-31","3")</f>
        <v>2.1092248200000001</v>
      </c>
      <c r="G1354" s="11">
        <f>[1]!EM_S_PQ_PCTCHANGE(B1354,"2018-12-31","2019-12-30","1")</f>
        <v>18.25</v>
      </c>
      <c r="H1354" s="11">
        <f>[1]!EM_S_FA_YOY_OR(B1354,E1354)</f>
        <v>24.3572053595</v>
      </c>
      <c r="I1354" s="11">
        <f>[1]!EM_S_FA_GROSSPROFITMARGIN(B1354,E1354)</f>
        <v>34.237476442099997</v>
      </c>
      <c r="J1354" s="11">
        <f>[1]!EM_S_FA_NETPROFITMARGIN(B1354,E1354)</f>
        <v>19.8384337432</v>
      </c>
      <c r="K1354" s="10">
        <f>[1]!EM_S_FA_ASSETSTURN(B1354,E1354)</f>
        <v>0.73231398975200002</v>
      </c>
      <c r="L1354" s="12">
        <f>[1]!EM_HKS_VAL_MV(B1354,"2019-12-31","2")</f>
        <v>15120000000</v>
      </c>
      <c r="M1354">
        <f>[1]!EM_S_VAL_PETTMDEDUCTED(B1354,E1354)</f>
        <v>18.690679969838701</v>
      </c>
      <c r="N1354" s="7">
        <f>[1]!EM_S_VAL_PBGOODWILLDEDUCTED(B1354,E1354)</f>
        <v>2.94746604087582</v>
      </c>
      <c r="O1354" s="7">
        <f>[1]!EM_S_VAL_PS_TTM(B1354,E1354)</f>
        <v>3.73762316934542</v>
      </c>
      <c r="P1354" s="7">
        <f>[1]!EM_S_VAL_PCF_NCFTTM(B1354,E1354)</f>
        <v>74.336295442284097</v>
      </c>
      <c r="Q1354" s="7">
        <f>[1]!EM_S_VAL_DIVIDENDYIELD2(B1354,E1354,"2019-11-29")</f>
        <v>1.982029598308668</v>
      </c>
      <c r="T1354"/>
      <c r="U1354">
        <f>[1]!EM_S_RATIO_EPS_TTM(B1354,E1354,"1")</f>
        <v>0.9238778848625</v>
      </c>
      <c r="AT1354" s="4" t="str">
        <f>[1]!EM_S_IPO_LISTEDDATE(B1354)</f>
        <v>2011-06-28</v>
      </c>
    </row>
    <row r="1355" spans="1:46">
      <c r="A1355">
        <v>979</v>
      </c>
      <c r="B1355" t="str">
        <f>"002468"</f>
        <v>002468</v>
      </c>
      <c r="C1355" t="s">
        <v>249</v>
      </c>
      <c r="D1355" t="str">
        <f>[1]!EM_S_INFO_INDEX_EM(B1355,"1")</f>
        <v>交通运输</v>
      </c>
      <c r="E1355" s="4">
        <f t="shared" si="21"/>
        <v>43465</v>
      </c>
      <c r="F1355" s="11">
        <f>[1]!EM_S_PQ_PCTCHANGE(B1355,"2018-01-01","2019-12-31","3")</f>
        <v>-18.704139529999999</v>
      </c>
      <c r="G1355" s="11">
        <f>[1]!EM_S_PQ_PCTCHANGE(B1355,"2018-12-31","2019-12-30","1")</f>
        <v>18.23708207</v>
      </c>
      <c r="H1355" s="11">
        <f>[1]!EM_S_FA_YOY_OR(B1355,E1355)</f>
        <v>34.413202084600002</v>
      </c>
      <c r="I1355" s="11">
        <f>[1]!EM_S_FA_GROSSPROFITMARGIN(B1355,E1355)</f>
        <v>16.240098593500001</v>
      </c>
      <c r="J1355" s="11">
        <f>[1]!EM_S_FA_NETPROFITMARGIN(B1355,E1355)</f>
        <v>12.0592389548</v>
      </c>
      <c r="K1355" s="10">
        <f>[1]!EM_S_FA_ASSETSTURN(B1355,E1355)</f>
        <v>1.6457773728030001</v>
      </c>
      <c r="L1355" s="12">
        <f>[1]!EM_HKS_VAL_MV(B1355,"2019-12-31","2")</f>
        <v>29850642237</v>
      </c>
      <c r="M1355">
        <f>[1]!EM_S_VAL_PETTMDEDUCTED(B1355,E1355)</f>
        <v>16.000191471793201</v>
      </c>
      <c r="N1355" s="7">
        <f>[1]!EM_S_VAL_PBGOODWILLDEDUCTED(B1355,E1355)</f>
        <v>3.50293310305134</v>
      </c>
      <c r="O1355" s="7">
        <f>[1]!EM_S_VAL_PS_TTM(B1355,E1355)</f>
        <v>1.6571337597173701</v>
      </c>
      <c r="P1355" s="7">
        <f>[1]!EM_S_VAL_PCF_NCFTTM(B1355,E1355)</f>
        <v>154.90417211346801</v>
      </c>
      <c r="Q1355" s="7">
        <f>[1]!EM_S_VAL_DIVIDENDYIELD2(B1355,E1355,"2019-11-29")</f>
        <v>2.7472527472527473</v>
      </c>
      <c r="T1355"/>
      <c r="U1355">
        <f>[1]!EM_S_RATIO_EPS_TTM(B1355,E1355,"1")</f>
        <v>1.3386373620208216</v>
      </c>
      <c r="AT1355" s="4" t="str">
        <f>[1]!EM_S_IPO_LISTEDDATE(B1355)</f>
        <v>2010-09-08</v>
      </c>
    </row>
    <row r="1356" spans="1:46">
      <c r="A1356">
        <v>1465</v>
      </c>
      <c r="B1356" t="str">
        <f>"300039"</f>
        <v>300039</v>
      </c>
      <c r="C1356" t="s">
        <v>450</v>
      </c>
      <c r="D1356" t="str">
        <f>[1]!EM_S_INFO_INDEX_EM(B1356,"1")</f>
        <v>医药生物</v>
      </c>
      <c r="E1356" s="4">
        <f t="shared" si="21"/>
        <v>43465</v>
      </c>
      <c r="F1356" s="11">
        <f>[1]!EM_S_PQ_PCTCHANGE(B1356,"2018-01-01","2019-12-31","3")</f>
        <v>-18.298320870000001</v>
      </c>
      <c r="G1356" s="11">
        <f>[1]!EM_S_PQ_PCTCHANGE(B1356,"2018-12-31","2019-12-30","1")</f>
        <v>18.226600990000001</v>
      </c>
      <c r="H1356" s="11">
        <f>[1]!EM_S_FA_YOY_OR(B1356,E1356)</f>
        <v>-4.4104000866000002</v>
      </c>
      <c r="I1356" s="11">
        <f>[1]!EM_S_FA_GROSSPROFITMARGIN(B1356,E1356)</f>
        <v>82.431184124200001</v>
      </c>
      <c r="J1356" s="11">
        <f>[1]!EM_S_FA_NETPROFITMARGIN(B1356,E1356)</f>
        <v>15.1140131744</v>
      </c>
      <c r="K1356" s="10">
        <f>[1]!EM_S_FA_ASSETSTURN(B1356,E1356)</f>
        <v>0.55302940686000002</v>
      </c>
      <c r="L1356" s="12">
        <f>[1]!EM_HKS_VAL_MV(B1356,"2019-12-31","2")</f>
        <v>5240460000</v>
      </c>
      <c r="M1356">
        <f>[1]!EM_S_VAL_PETTMDEDUCTED(B1356,E1356)</f>
        <v>19.977989574548001</v>
      </c>
      <c r="N1356" s="7">
        <f>[1]!EM_S_VAL_PBGOODWILLDEDUCTED(B1356,E1356)</f>
        <v>1.7505187217076701</v>
      </c>
      <c r="O1356" s="7">
        <f>[1]!EM_S_VAL_PS_TTM(B1356,E1356)</f>
        <v>2.9666445606290499</v>
      </c>
      <c r="P1356" s="7">
        <f>[1]!EM_S_VAL_PCF_NCFTTM(B1356,E1356)</f>
        <v>23.095428337878701</v>
      </c>
      <c r="Q1356" s="7">
        <f>[1]!EM_S_VAL_DIVIDENDYIELD2(B1356,E1356,"2019-11-29")</f>
        <v>2.1739130434782608</v>
      </c>
      <c r="T1356"/>
      <c r="U1356">
        <f>[1]!EM_S_RATIO_EPS_TTM(B1356,E1356,"1")</f>
        <v>0.21167872099679905</v>
      </c>
      <c r="AT1356" s="4" t="str">
        <f>[1]!EM_S_IPO_LISTEDDATE(B1356)</f>
        <v>2010-01-08</v>
      </c>
    </row>
    <row r="1357" spans="1:46">
      <c r="A1357">
        <v>3266</v>
      </c>
      <c r="B1357" t="str">
        <f>"603100"</f>
        <v>603100</v>
      </c>
      <c r="C1357" t="s">
        <v>1923</v>
      </c>
      <c r="D1357" t="str">
        <f>[1]!EM_S_INFO_INDEX_EM(B1357,"1")</f>
        <v>电气设备</v>
      </c>
      <c r="E1357" s="4">
        <f t="shared" si="21"/>
        <v>43465</v>
      </c>
      <c r="F1357" s="11">
        <f>[1]!EM_S_PQ_PCTCHANGE(B1357,"2018-01-01","2019-12-31","3")</f>
        <v>-7.8392819999999999</v>
      </c>
      <c r="G1357" s="11">
        <f>[1]!EM_S_PQ_PCTCHANGE(B1357,"2018-12-31","2019-12-30","1")</f>
        <v>18.218085110000001</v>
      </c>
      <c r="H1357" s="11">
        <f>[1]!EM_S_FA_YOY_OR(B1357,E1357)</f>
        <v>13.7457078426</v>
      </c>
      <c r="I1357" s="11">
        <f>[1]!EM_S_FA_GROSSPROFITMARGIN(B1357,E1357)</f>
        <v>31.264286572300001</v>
      </c>
      <c r="J1357" s="11">
        <f>[1]!EM_S_FA_NETPROFITMARGIN(B1357,E1357)</f>
        <v>10.904523813799999</v>
      </c>
      <c r="K1357" s="10">
        <f>[1]!EM_S_FA_ASSETSTURN(B1357,E1357)</f>
        <v>0.73029109764599998</v>
      </c>
      <c r="L1357" s="12">
        <f>[1]!EM_HKS_VAL_MV(B1357,"2019-12-31","2")</f>
        <v>3507600000</v>
      </c>
      <c r="M1357">
        <f>[1]!EM_S_VAL_PETTMDEDUCTED(B1357,E1357)</f>
        <v>23.404327405298101</v>
      </c>
      <c r="N1357" s="7">
        <f>[1]!EM_S_VAL_PBGOODWILLDEDUCTED(B1357,E1357)</f>
        <v>1.31130813756414</v>
      </c>
      <c r="O1357" s="7">
        <f>[1]!EM_S_VAL_PS_TTM(B1357,E1357)</f>
        <v>0.89900023284309405</v>
      </c>
      <c r="P1357" s="7">
        <f>[1]!EM_S_VAL_PCF_NCFTTM(B1357,E1357)</f>
        <v>-45.953419110652099</v>
      </c>
      <c r="Q1357" s="7">
        <f>[1]!EM_S_VAL_DIVIDENDYIELD2(B1357,E1357,"2019-11-29")</f>
        <v>2.4906600249066</v>
      </c>
      <c r="T1357"/>
      <c r="U1357">
        <f>[1]!EM_S_RATIO_EPS_TTM(B1357,E1357,"1")</f>
        <v>0.97861745967088609</v>
      </c>
      <c r="AT1357" s="4" t="str">
        <f>[1]!EM_S_IPO_LISTEDDATE(B1357)</f>
        <v>2014-08-05</v>
      </c>
    </row>
    <row r="1358" spans="1:46">
      <c r="A1358">
        <v>1017</v>
      </c>
      <c r="B1358" t="str">
        <f>"002506"</f>
        <v>002506</v>
      </c>
      <c r="C1358" t="s">
        <v>3586</v>
      </c>
      <c r="D1358" t="str">
        <f>[1]!EM_S_INFO_INDEX_EM(B1358,"1")</f>
        <v>电气设备</v>
      </c>
      <c r="E1358" s="4">
        <f t="shared" si="21"/>
        <v>43465</v>
      </c>
      <c r="F1358" s="11">
        <f>[1]!EM_S_PQ_PCTCHANGE(B1358,"2018-01-01","2019-12-31","3")</f>
        <v>38.407494149999998</v>
      </c>
      <c r="G1358" s="11">
        <f>[1]!EM_S_PQ_PCTCHANGE(B1358,"2018-12-31","2019-12-30","1")</f>
        <v>18.2</v>
      </c>
      <c r="H1358" s="11">
        <f>[1]!EM_S_FA_YOY_OR(B1358,E1358)</f>
        <v>-22.537020774799998</v>
      </c>
      <c r="I1358" s="11">
        <f>[1]!EM_S_FA_GROSSPROFITMARGIN(B1358,E1358)</f>
        <v>13.116944913699999</v>
      </c>
      <c r="J1358" s="11">
        <f>[1]!EM_S_FA_NETPROFITMARGIN(B1358,E1358)</f>
        <v>0.50474722999999999</v>
      </c>
      <c r="K1358" s="10">
        <f>[1]!EM_S_FA_ASSETSTURN(B1358,E1358)</f>
        <v>0.57182866073700001</v>
      </c>
      <c r="L1358" s="12">
        <f>[1]!EM_HKS_VAL_MV(B1358,"2019-12-31","2")</f>
        <v>30031906128</v>
      </c>
      <c r="M1358">
        <f>[1]!EM_S_VAL_PETTMDEDUCTED(B1358,E1358)</f>
        <v>-89.203120677321905</v>
      </c>
      <c r="N1358" s="7">
        <f>[1]!EM_S_VAL_PBGOODWILLDEDUCTED(B1358,E1358)</f>
        <v>6.70795079808543</v>
      </c>
      <c r="O1358" s="7">
        <f>[1]!EM_S_VAL_PS_TTM(B1358,E1358)</f>
        <v>1.9122910315185699</v>
      </c>
      <c r="P1358" s="7">
        <f>[1]!EM_S_VAL_PCF_NCFTTM(B1358,E1358)</f>
        <v>-237.94918912112601</v>
      </c>
      <c r="Q1358" s="7">
        <f>[1]!EM_S_VAL_DIVIDENDYIELD2(B1358,E1358,"2019-11-29")</f>
        <v>0</v>
      </c>
      <c r="T1358"/>
      <c r="U1358">
        <f>[1]!EM_S_RATIO_EPS_TTM(B1358,E1358,"1")</f>
        <v>8.9129134619943106E-3</v>
      </c>
      <c r="AT1358" s="4" t="str">
        <f>[1]!EM_S_IPO_LISTEDDATE(B1358)</f>
        <v>2010-11-18</v>
      </c>
    </row>
    <row r="1359" spans="1:46">
      <c r="A1359">
        <v>1521</v>
      </c>
      <c r="B1359" t="str">
        <f>"300096"</f>
        <v>300096</v>
      </c>
      <c r="C1359" t="s">
        <v>3559</v>
      </c>
      <c r="D1359" t="str">
        <f>[1]!EM_S_INFO_INDEX_EM(B1359,"1")</f>
        <v>信息技术</v>
      </c>
      <c r="E1359" s="4">
        <f t="shared" si="21"/>
        <v>43465</v>
      </c>
      <c r="F1359" s="11">
        <f>[1]!EM_S_PQ_PCTCHANGE(B1359,"2018-01-01","2019-12-31","3")</f>
        <v>-12.522522520000001</v>
      </c>
      <c r="G1359" s="11">
        <f>[1]!EM_S_PQ_PCTCHANGE(B1359,"2018-12-31","2019-12-30","1")</f>
        <v>18.1598063</v>
      </c>
      <c r="H1359" s="11">
        <f>[1]!EM_S_FA_YOY_OR(B1359,E1359)</f>
        <v>16.668102000899999</v>
      </c>
      <c r="I1359" s="11">
        <f>[1]!EM_S_FA_GROSSPROFITMARGIN(B1359,E1359)</f>
        <v>52.869615999200001</v>
      </c>
      <c r="J1359" s="11">
        <f>[1]!EM_S_FA_NETPROFITMARGIN(B1359,E1359)</f>
        <v>5.2249495289999999</v>
      </c>
      <c r="K1359" s="10">
        <f>[1]!EM_S_FA_ASSETSTURN(B1359,E1359)</f>
        <v>0.381578416305</v>
      </c>
      <c r="L1359" s="12">
        <f>[1]!EM_HKS_VAL_MV(B1359,"2019-12-31","2")</f>
        <v>4175300000</v>
      </c>
      <c r="M1359">
        <f>[1]!EM_S_VAL_PETTMDEDUCTED(B1359,E1359)</f>
        <v>-367.59890402826198</v>
      </c>
      <c r="N1359" s="7">
        <f>[1]!EM_S_VAL_PBGOODWILLDEDUCTED(B1359,E1359)</f>
        <v>4.8630030474927803</v>
      </c>
      <c r="O1359" s="7">
        <f>[1]!EM_S_VAL_PS_TTM(B1359,E1359)</f>
        <v>4.7252908024910996</v>
      </c>
      <c r="P1359" s="7">
        <f>[1]!EM_S_VAL_PCF_NCFTTM(B1359,E1359)</f>
        <v>137.718912578089</v>
      </c>
      <c r="Q1359" s="7">
        <f>[1]!EM_S_VAL_DIVIDENDYIELD2(B1359,E1359,"2019-11-29")</f>
        <v>5.2798310454065467E-2</v>
      </c>
      <c r="T1359"/>
      <c r="U1359">
        <f>[1]!EM_S_RATIO_EPS_TTM(B1359,E1359,"1")</f>
        <v>3.4104128790697678E-2</v>
      </c>
      <c r="AT1359" s="4" t="str">
        <f>[1]!EM_S_IPO_LISTEDDATE(B1359)</f>
        <v>2010-07-28</v>
      </c>
    </row>
    <row r="1360" spans="1:46">
      <c r="A1360">
        <v>2284</v>
      </c>
      <c r="B1360" t="str">
        <f>"600139"</f>
        <v>600139</v>
      </c>
      <c r="C1360" t="s">
        <v>3637</v>
      </c>
      <c r="D1360" t="str">
        <f>[1]!EM_S_INFO_INDEX_EM(B1360,"1")</f>
        <v>金融</v>
      </c>
      <c r="E1360" s="4">
        <f t="shared" si="21"/>
        <v>43465</v>
      </c>
      <c r="F1360" s="11">
        <f>[1]!EM_S_PQ_PCTCHANGE(B1360,"2018-01-01","2019-12-31","3")</f>
        <v>-52.949061659999998</v>
      </c>
      <c r="G1360" s="11">
        <f>[1]!EM_S_PQ_PCTCHANGE(B1360,"2018-12-31","2019-12-30","1")</f>
        <v>18.15181518</v>
      </c>
      <c r="H1360" s="11">
        <f>[1]!EM_S_FA_YOY_OR(B1360,E1360)</f>
        <v>-36.2753804524</v>
      </c>
      <c r="I1360" s="11">
        <f>[1]!EM_S_FA_GROSSPROFITMARGIN(B1360,E1360)</f>
        <v>35.468282410599997</v>
      </c>
      <c r="J1360" s="11">
        <f>[1]!EM_S_FA_NETPROFITMARGIN(B1360,E1360)</f>
        <v>-1.4907118887999999</v>
      </c>
      <c r="K1360" s="10">
        <f>[1]!EM_S_FA_ASSETSTURN(B1360,E1360)</f>
        <v>4.3371549271000003E-2</v>
      </c>
      <c r="L1360" s="12">
        <f>[1]!EM_HKS_VAL_MV(B1360,"2019-12-31","2")</f>
        <v>2323235683.0799999</v>
      </c>
      <c r="M1360">
        <f>[1]!EM_S_VAL_PETTMDEDUCTED(B1360,E1360)</f>
        <v>-10.7281781524417</v>
      </c>
      <c r="N1360" s="7">
        <f>[1]!EM_S_VAL_PBGOODWILLDEDUCTED(B1360,E1360)</f>
        <v>7.2136540531539399</v>
      </c>
      <c r="O1360" s="7">
        <f>[1]!EM_S_VAL_PS_TTM(B1360,E1360)</f>
        <v>6.3406741277503702</v>
      </c>
      <c r="P1360" s="7">
        <f>[1]!EM_S_VAL_PCF_NCFTTM(B1360,E1360)</f>
        <v>-23.840609509700698</v>
      </c>
      <c r="Q1360" s="7">
        <f>[1]!EM_S_VAL_DIVIDENDYIELD2(B1360,E1360,"2019-11-29")</f>
        <v>0</v>
      </c>
      <c r="T1360"/>
      <c r="U1360">
        <f>[1]!EM_S_RATIO_EPS_TTM(B1360,E1360,"1")</f>
        <v>4.4086906742587702E-3</v>
      </c>
      <c r="AT1360" s="4" t="str">
        <f>[1]!EM_S_IPO_LISTEDDATE(B1360)</f>
        <v>1998-02-25</v>
      </c>
    </row>
    <row r="1361" spans="1:46">
      <c r="A1361">
        <v>3121</v>
      </c>
      <c r="B1361" t="str">
        <f>"601588"</f>
        <v>601588</v>
      </c>
      <c r="C1361" t="s">
        <v>1852</v>
      </c>
      <c r="D1361" t="str">
        <f>[1]!EM_S_INFO_INDEX_EM(B1361,"1")</f>
        <v>房地产</v>
      </c>
      <c r="E1361" s="4">
        <f t="shared" si="21"/>
        <v>43465</v>
      </c>
      <c r="F1361" s="11">
        <f>[1]!EM_S_PQ_PCTCHANGE(B1361,"2018-01-01","2019-12-31","3")</f>
        <v>-39.730611029999999</v>
      </c>
      <c r="G1361" s="11">
        <f>[1]!EM_S_PQ_PCTCHANGE(B1361,"2018-12-31","2019-12-30","1")</f>
        <v>18.081180809999999</v>
      </c>
      <c r="H1361" s="11">
        <f>[1]!EM_S_FA_YOY_OR(B1361,E1361)</f>
        <v>15.576916431400001</v>
      </c>
      <c r="I1361" s="11">
        <f>[1]!EM_S_FA_GROSSPROFITMARGIN(B1361,E1361)</f>
        <v>33.485621628799997</v>
      </c>
      <c r="J1361" s="11">
        <f>[1]!EM_S_FA_NETPROFITMARGIN(B1361,E1361)</f>
        <v>11.157206489</v>
      </c>
      <c r="K1361" s="10">
        <f>[1]!EM_S_FA_ASSETSTURN(B1361,E1361)</f>
        <v>0.20787459431300001</v>
      </c>
      <c r="L1361" s="12">
        <f>[1]!EM_HKS_VAL_MV(B1361,"2019-12-31","2")</f>
        <v>11043825600</v>
      </c>
      <c r="M1361">
        <f>[1]!EM_S_VAL_PETTMDEDUCTED(B1361,E1361)</f>
        <v>5.9105632237492101</v>
      </c>
      <c r="N1361" s="7">
        <f>[1]!EM_S_VAL_PBGOODWILLDEDUCTED(B1361,E1361)</f>
        <v>0.67073044005271898</v>
      </c>
      <c r="O1361" s="7">
        <f>[1]!EM_S_VAL_PS_TTM(B1361,E1361)</f>
        <v>0.56577209144623897</v>
      </c>
      <c r="P1361" s="7">
        <f>[1]!EM_S_VAL_PCF_NCFTTM(B1361,E1361)</f>
        <v>6.1533275214846199</v>
      </c>
      <c r="Q1361" s="7">
        <f>[1]!EM_S_VAL_DIVIDENDYIELD2(B1361,E1361,"2019-11-29")</f>
        <v>3.9473684210526314</v>
      </c>
      <c r="T1361"/>
      <c r="U1361">
        <f>[1]!EM_S_RATIO_EPS_TTM(B1361,E1361,"1")</f>
        <v>0.35328321839490112</v>
      </c>
      <c r="AT1361" s="4" t="str">
        <f>[1]!EM_S_IPO_LISTEDDATE(B1361)</f>
        <v>2006-10-16</v>
      </c>
    </row>
    <row r="1362" spans="1:46">
      <c r="A1362">
        <v>3553</v>
      </c>
      <c r="B1362" t="str">
        <f>"603822"</f>
        <v>603822</v>
      </c>
      <c r="C1362" t="s">
        <v>2042</v>
      </c>
      <c r="D1362" t="str">
        <f>[1]!EM_S_INFO_INDEX_EM(B1362,"1")</f>
        <v>基础化工</v>
      </c>
      <c r="E1362" s="4">
        <f t="shared" si="21"/>
        <v>43465</v>
      </c>
      <c r="F1362" s="11">
        <f>[1]!EM_S_PQ_PCTCHANGE(B1362,"2018-01-01","2019-12-31","3")</f>
        <v>-20.471909579999998</v>
      </c>
      <c r="G1362" s="11">
        <f>[1]!EM_S_PQ_PCTCHANGE(B1362,"2018-12-31","2019-12-30","1")</f>
        <v>18.076427649999999</v>
      </c>
      <c r="H1362" s="11">
        <f>[1]!EM_S_FA_YOY_OR(B1362,E1362)</f>
        <v>17.778798438900001</v>
      </c>
      <c r="I1362" s="11">
        <f>[1]!EM_S_FA_GROSSPROFITMARGIN(B1362,E1362)</f>
        <v>14.017822755799999</v>
      </c>
      <c r="J1362" s="11">
        <f>[1]!EM_S_FA_NETPROFITMARGIN(B1362,E1362)</f>
        <v>5.4112600147999999</v>
      </c>
      <c r="K1362" s="10">
        <f>[1]!EM_S_FA_ASSETSTURN(B1362,E1362)</f>
        <v>0.74965016070799995</v>
      </c>
      <c r="L1362" s="12">
        <f>[1]!EM_HKS_VAL_MV(B1362,"2019-12-31","2")</f>
        <v>2002592127.9000001</v>
      </c>
      <c r="M1362">
        <f>[1]!EM_S_VAL_PETTMDEDUCTED(B1362,E1362)</f>
        <v>36.946424686249202</v>
      </c>
      <c r="N1362" s="7">
        <f>[1]!EM_S_VAL_PBGOODWILLDEDUCTED(B1362,E1362)</f>
        <v>2.6990624253382598</v>
      </c>
      <c r="O1362" s="7">
        <f>[1]!EM_S_VAL_PS_TTM(B1362,E1362)</f>
        <v>1.65892742791551</v>
      </c>
      <c r="P1362" s="7">
        <f>[1]!EM_S_VAL_PCF_NCFTTM(B1362,E1362)</f>
        <v>-82.695423658450693</v>
      </c>
      <c r="Q1362" s="7">
        <f>[1]!EM_S_VAL_DIVIDENDYIELD2(B1362,E1362,"2019-11-29")</f>
        <v>1.0420465944272106</v>
      </c>
      <c r="T1362"/>
      <c r="U1362">
        <f>[1]!EM_S_RATIO_EPS_TTM(B1362,E1362,"1")</f>
        <v>0.73273033259452824</v>
      </c>
      <c r="AT1362" s="4" t="str">
        <f>[1]!EM_S_IPO_LISTEDDATE(B1362)</f>
        <v>2016-04-28</v>
      </c>
    </row>
    <row r="1363" spans="1:46">
      <c r="A1363">
        <v>1115</v>
      </c>
      <c r="B1363" t="str">
        <f>"002604"</f>
        <v>002604</v>
      </c>
      <c r="C1363" t="s">
        <v>278</v>
      </c>
      <c r="D1363" t="str">
        <f>[1]!EM_S_INFO_INDEX_EM(B1363,"1")</f>
        <v>农林牧渔</v>
      </c>
      <c r="E1363" s="4">
        <f t="shared" si="21"/>
        <v>43465</v>
      </c>
      <c r="F1363" s="11">
        <f>[1]!EM_S_PQ_PCTCHANGE(B1363,"2018-01-01","2019-12-31","3")</f>
        <v>-77.574370709999997</v>
      </c>
      <c r="G1363" s="11">
        <f>[1]!EM_S_PQ_PCTCHANGE(B1363,"2018-12-31","2019-12-30","1")</f>
        <v>18.07228916</v>
      </c>
      <c r="H1363" s="11">
        <f>[1]!EM_S_FA_YOY_OR(B1363,E1363)</f>
        <v>-56.474159632899998</v>
      </c>
      <c r="I1363" s="11">
        <f>[1]!EM_S_FA_GROSSPROFITMARGIN(B1363,E1363)</f>
        <v>18.8101771943</v>
      </c>
      <c r="J1363" s="11">
        <f>[1]!EM_S_FA_NETPROFITMARGIN(B1363,E1363)</f>
        <v>-328.11234171519999</v>
      </c>
      <c r="K1363" s="10">
        <f>[1]!EM_S_FA_ASSETSTURN(B1363,E1363)</f>
        <v>0.30857700670499999</v>
      </c>
      <c r="L1363" s="12">
        <f>[1]!EM_HKS_VAL_MV(B1363,"2019-12-31","2")</f>
        <v>1175140347.9200001</v>
      </c>
      <c r="M1363">
        <f>[1]!EM_S_VAL_PETTMDEDUCTED(B1363,E1363)</f>
        <v>-0.64693036388512204</v>
      </c>
      <c r="N1363" s="7">
        <f>[1]!EM_S_VAL_PBGOODWILLDEDUCTED(B1363,E1363)</f>
        <v>-0.29469061358249798</v>
      </c>
      <c r="O1363" s="7">
        <f>[1]!EM_S_VAL_PS_TTM(B1363,E1363)</f>
        <v>0.63772520489368001</v>
      </c>
      <c r="P1363" s="7">
        <f>[1]!EM_S_VAL_PCF_NCFTTM(B1363,E1363)</f>
        <v>-1.12895619524275</v>
      </c>
      <c r="Q1363" s="7">
        <f>[1]!EM_S_VAL_DIVIDENDYIELD2(B1363,E1363,"2019-11-29")</f>
        <v>0</v>
      </c>
      <c r="T1363"/>
      <c r="U1363">
        <f>[1]!EM_S_RATIO_EPS_TTM(B1363,E1363,"1")</f>
        <v>-4.6792335344162126</v>
      </c>
      <c r="AT1363" s="4" t="str">
        <f>[1]!EM_S_IPO_LISTEDDATE(B1363)</f>
        <v>2011-07-28</v>
      </c>
    </row>
    <row r="1364" spans="1:46">
      <c r="A1364">
        <v>1534</v>
      </c>
      <c r="B1364" t="str">
        <f>"300109"</f>
        <v>300109</v>
      </c>
      <c r="C1364" t="s">
        <v>1484</v>
      </c>
      <c r="D1364" t="str">
        <f>[1]!EM_S_INFO_INDEX_EM(B1364,"1")</f>
        <v>医药生物</v>
      </c>
      <c r="E1364" s="4">
        <f t="shared" si="21"/>
        <v>43465</v>
      </c>
      <c r="F1364" s="11">
        <f>[1]!EM_S_PQ_PCTCHANGE(B1364,"2018-01-01","2019-12-31","3")</f>
        <v>-53.602014259999997</v>
      </c>
      <c r="G1364" s="11">
        <f>[1]!EM_S_PQ_PCTCHANGE(B1364,"2018-12-31","2019-12-30","1")</f>
        <v>18.036363640000001</v>
      </c>
      <c r="H1364" s="11">
        <f>[1]!EM_S_FA_YOY_OR(B1364,E1364)</f>
        <v>42.9205217222</v>
      </c>
      <c r="I1364" s="11">
        <f>[1]!EM_S_FA_GROSSPROFITMARGIN(B1364,E1364)</f>
        <v>45.330821089399997</v>
      </c>
      <c r="J1364" s="11">
        <f>[1]!EM_S_FA_NETPROFITMARGIN(B1364,E1364)</f>
        <v>12.972043083699999</v>
      </c>
      <c r="K1364" s="10">
        <f>[1]!EM_S_FA_ASSETSTURN(B1364,E1364)</f>
        <v>0.32769869039499999</v>
      </c>
      <c r="L1364" s="12">
        <f>[1]!EM_HKS_VAL_MV(B1364,"2019-12-31","2")</f>
        <v>5288639251.71</v>
      </c>
      <c r="M1364">
        <f>[1]!EM_S_VAL_PETTMDEDUCTED(B1364,E1364)</f>
        <v>31.268854083317699</v>
      </c>
      <c r="N1364" s="7">
        <f>[1]!EM_S_VAL_PBGOODWILLDEDUCTED(B1364,E1364)</f>
        <v>3.5995409599088699</v>
      </c>
      <c r="O1364" s="7">
        <f>[1]!EM_S_VAL_PS_TTM(B1364,E1364)</f>
        <v>4.8263726549760397</v>
      </c>
      <c r="P1364" s="7">
        <f>[1]!EM_S_VAL_PCF_NCFTTM(B1364,E1364)</f>
        <v>-16.266504821904999</v>
      </c>
      <c r="Q1364" s="7">
        <f>[1]!EM_S_VAL_DIVIDENDYIELD2(B1364,E1364,"2019-11-29")</f>
        <v>0.37085237255821463</v>
      </c>
      <c r="T1364"/>
      <c r="U1364">
        <f>[1]!EM_S_RATIO_EPS_TTM(B1364,E1364,"1")</f>
        <v>0.41088282049743724</v>
      </c>
      <c r="AT1364" s="4" t="str">
        <f>[1]!EM_S_IPO_LISTEDDATE(B1364)</f>
        <v>2010-08-25</v>
      </c>
    </row>
    <row r="1365" spans="1:46">
      <c r="A1365">
        <v>3320</v>
      </c>
      <c r="B1365" t="str">
        <f>"603226"</f>
        <v>603226</v>
      </c>
      <c r="C1365" t="s">
        <v>1147</v>
      </c>
      <c r="D1365" t="str">
        <f>[1]!EM_S_INFO_INDEX_EM(B1365,"1")</f>
        <v>轻工制造</v>
      </c>
      <c r="E1365" s="4">
        <f t="shared" si="21"/>
        <v>43465</v>
      </c>
      <c r="F1365" s="11">
        <f>[1]!EM_S_PQ_PCTCHANGE(B1365,"2018-01-01","2019-12-31","3")</f>
        <v>9.6205469099999998</v>
      </c>
      <c r="G1365" s="11">
        <f>[1]!EM_S_PQ_PCTCHANGE(B1365,"2018-12-31","2019-12-30","1")</f>
        <v>18.00623053</v>
      </c>
      <c r="H1365" s="11">
        <f>[1]!EM_S_FA_YOY_OR(B1365,E1365)</f>
        <v>4.8327895451999998</v>
      </c>
      <c r="I1365" s="11">
        <f>[1]!EM_S_FA_GROSSPROFITMARGIN(B1365,E1365)</f>
        <v>30.3472299998</v>
      </c>
      <c r="J1365" s="11">
        <f>[1]!EM_S_FA_NETPROFITMARGIN(B1365,E1365)</f>
        <v>11.8359840431</v>
      </c>
      <c r="K1365" s="10">
        <f>[1]!EM_S_FA_ASSETSTURN(B1365,E1365)</f>
        <v>0.81592916212400002</v>
      </c>
      <c r="L1365" s="12">
        <f>[1]!EM_HKS_VAL_MV(B1365,"2019-12-31","2")</f>
        <v>2878316571</v>
      </c>
      <c r="M1365">
        <f>[1]!EM_S_VAL_PETTMDEDUCTED(B1365,E1365)</f>
        <v>23.091709915066399</v>
      </c>
      <c r="N1365" s="7">
        <f>[1]!EM_S_VAL_PBGOODWILLDEDUCTED(B1365,E1365)</f>
        <v>2.2628725168489798</v>
      </c>
      <c r="O1365" s="7">
        <f>[1]!EM_S_VAL_PS_TTM(B1365,E1365)</f>
        <v>2.2559586642067901</v>
      </c>
      <c r="P1365" s="7">
        <f>[1]!EM_S_VAL_PCF_NCFTTM(B1365,E1365)</f>
        <v>62.6342289496597</v>
      </c>
      <c r="Q1365" s="7">
        <f>[1]!EM_S_VAL_DIVIDENDYIELD2(B1365,E1365,"2019-11-29")</f>
        <v>1.2645374050792475</v>
      </c>
      <c r="T1365"/>
      <c r="U1365">
        <f>[1]!EM_S_RATIO_EPS_TTM(B1365,E1365,"1")</f>
        <v>0.84828685762946987</v>
      </c>
      <c r="AT1365" s="4" t="str">
        <f>[1]!EM_S_IPO_LISTEDDATE(B1365)</f>
        <v>2017-06-15</v>
      </c>
    </row>
    <row r="1366" spans="1:46">
      <c r="A1366">
        <v>1964</v>
      </c>
      <c r="B1366" t="str">
        <f>"300540"</f>
        <v>300540</v>
      </c>
      <c r="C1366" t="s">
        <v>3327</v>
      </c>
      <c r="D1366" t="str">
        <f>[1]!EM_S_INFO_INDEX_EM(B1366,"1")</f>
        <v>机械设备</v>
      </c>
      <c r="E1366" s="4">
        <f t="shared" si="21"/>
        <v>43465</v>
      </c>
      <c r="F1366" s="11">
        <f>[1]!EM_S_PQ_PCTCHANGE(B1366,"2018-01-01","2019-12-31","3")</f>
        <v>-14.530070090000001</v>
      </c>
      <c r="G1366" s="11">
        <f>[1]!EM_S_PQ_PCTCHANGE(B1366,"2018-12-31","2019-12-30","1")</f>
        <v>17.995069839999999</v>
      </c>
      <c r="H1366" s="11">
        <f>[1]!EM_S_FA_YOY_OR(B1366,E1366)</f>
        <v>43.113352060899999</v>
      </c>
      <c r="I1366" s="11">
        <f>[1]!EM_S_FA_GROSSPROFITMARGIN(B1366,E1366)</f>
        <v>26.7891691347</v>
      </c>
      <c r="J1366" s="11">
        <f>[1]!EM_S_FA_NETPROFITMARGIN(B1366,E1366)</f>
        <v>-33.781305633000002</v>
      </c>
      <c r="K1366" s="10">
        <f>[1]!EM_S_FA_ASSETSTURN(B1366,E1366)</f>
        <v>0.343119469944</v>
      </c>
      <c r="L1366" s="12">
        <f>[1]!EM_HKS_VAL_MV(B1366,"2019-12-31","2")</f>
        <v>1768387800</v>
      </c>
      <c r="M1366">
        <f>[1]!EM_S_VAL_PETTMDEDUCTED(B1366,E1366)</f>
        <v>247.70468313076199</v>
      </c>
      <c r="N1366" s="7">
        <f>[1]!EM_S_VAL_PBGOODWILLDEDUCTED(B1366,E1366)</f>
        <v>2.82707356811621</v>
      </c>
      <c r="O1366" s="7">
        <f>[1]!EM_S_VAL_PS_TTM(B1366,E1366)</f>
        <v>5.3129929261758502</v>
      </c>
      <c r="P1366" s="7">
        <f>[1]!EM_S_VAL_PCF_NCFTTM(B1366,E1366)</f>
        <v>17.610300736388599</v>
      </c>
      <c r="Q1366" s="7">
        <f>[1]!EM_S_VAL_DIVIDENDYIELD2(B1366,E1366,"2019-11-29")</f>
        <v>0</v>
      </c>
      <c r="T1366"/>
      <c r="U1366">
        <f>[1]!EM_S_RATIO_EPS_TTM(B1366,E1366,"1")</f>
        <v>-0.93617451872343838</v>
      </c>
      <c r="AT1366" s="4" t="str">
        <f>[1]!EM_S_IPO_LISTEDDATE(B1366)</f>
        <v>2016-08-23</v>
      </c>
    </row>
    <row r="1367" spans="1:46">
      <c r="A1367">
        <v>341</v>
      </c>
      <c r="B1367" t="str">
        <f>"000779"</f>
        <v>000779</v>
      </c>
      <c r="C1367" t="s">
        <v>2970</v>
      </c>
      <c r="D1367" t="str">
        <f>[1]!EM_S_INFO_INDEX_EM(B1367,"1")</f>
        <v>休闲、生活及专业服务</v>
      </c>
      <c r="E1367" s="4">
        <f t="shared" si="21"/>
        <v>43465</v>
      </c>
      <c r="F1367" s="11">
        <f>[1]!EM_S_PQ_PCTCHANGE(B1367,"2018-01-01","2019-12-31","3")</f>
        <v>-26.594982080000001</v>
      </c>
      <c r="G1367" s="11">
        <f>[1]!EM_S_PQ_PCTCHANGE(B1367,"2018-12-31","2019-12-30","1")</f>
        <v>17.99307958</v>
      </c>
      <c r="H1367" s="11">
        <f>[1]!EM_S_FA_YOY_OR(B1367,E1367)</f>
        <v>10.4003613842</v>
      </c>
      <c r="I1367" s="11">
        <f>[1]!EM_S_FA_GROSSPROFITMARGIN(B1367,E1367)</f>
        <v>29.956945141999999</v>
      </c>
      <c r="J1367" s="11">
        <f>[1]!EM_S_FA_NETPROFITMARGIN(B1367,E1367)</f>
        <v>11.288395466800001</v>
      </c>
      <c r="K1367" s="10">
        <f>[1]!EM_S_FA_ASSETSTURN(B1367,E1367)</f>
        <v>0.84999178530300001</v>
      </c>
      <c r="L1367" s="12">
        <f>[1]!EM_HKS_VAL_MV(B1367,"2019-12-31","2")</f>
        <v>3894584504.3200002</v>
      </c>
      <c r="M1367">
        <f>[1]!EM_S_VAL_PETTMDEDUCTED(B1367,E1367)</f>
        <v>-70.148914182192797</v>
      </c>
      <c r="N1367" s="7">
        <f>[1]!EM_S_VAL_PBGOODWILLDEDUCTED(B1367,E1367)</f>
        <v>0.978976819178767</v>
      </c>
      <c r="O1367" s="7">
        <f>[1]!EM_S_VAL_PS_TTM(B1367,E1367)</f>
        <v>5.5527015007226899</v>
      </c>
      <c r="P1367" s="7">
        <f>[1]!EM_S_VAL_PCF_NCFTTM(B1367,E1367)</f>
        <v>137.50656024648401</v>
      </c>
      <c r="Q1367" s="7">
        <f>[1]!EM_S_VAL_DIVIDENDYIELD2(B1367,E1367,"2019-11-29")</f>
        <v>0</v>
      </c>
      <c r="T1367"/>
      <c r="U1367">
        <f>[1]!EM_S_RATIO_EPS_TTM(B1367,E1367,"1")</f>
        <v>1.2730147792047051</v>
      </c>
      <c r="AT1367" s="4" t="str">
        <f>[1]!EM_S_IPO_LISTEDDATE(B1367)</f>
        <v>1997-05-28</v>
      </c>
    </row>
    <row r="1368" spans="1:46">
      <c r="A1368">
        <v>1156</v>
      </c>
      <c r="B1368" t="str">
        <f>"002645"</f>
        <v>002645</v>
      </c>
      <c r="C1368" t="s">
        <v>1589</v>
      </c>
      <c r="D1368" t="str">
        <f>[1]!EM_S_INFO_INDEX_EM(B1368,"1")</f>
        <v>机械设备</v>
      </c>
      <c r="E1368" s="4">
        <f t="shared" si="21"/>
        <v>43465</v>
      </c>
      <c r="F1368" s="11">
        <f>[1]!EM_S_PQ_PCTCHANGE(B1368,"2018-01-01","2019-12-31","3")</f>
        <v>3.59885711</v>
      </c>
      <c r="G1368" s="11">
        <f>[1]!EM_S_PQ_PCTCHANGE(B1368,"2018-12-31","2019-12-30","1")</f>
        <v>17.97752809</v>
      </c>
      <c r="H1368" s="11">
        <f>[1]!EM_S_FA_YOY_OR(B1368,E1368)</f>
        <v>47.384785079700002</v>
      </c>
      <c r="I1368" s="11">
        <f>[1]!EM_S_FA_GROSSPROFITMARGIN(B1368,E1368)</f>
        <v>20.574925187600002</v>
      </c>
      <c r="J1368" s="11">
        <f>[1]!EM_S_FA_NETPROFITMARGIN(B1368,E1368)</f>
        <v>8.3560007562000003</v>
      </c>
      <c r="K1368" s="10">
        <f>[1]!EM_S_FA_ASSETSTURN(B1368,E1368)</f>
        <v>0.80036349380600003</v>
      </c>
      <c r="L1368" s="12">
        <f>[1]!EM_HKS_VAL_MV(B1368,"2019-12-31","2")</f>
        <v>3925167203.6799998</v>
      </c>
      <c r="M1368">
        <f>[1]!EM_S_VAL_PETTMDEDUCTED(B1368,E1368)</f>
        <v>17.497123251941002</v>
      </c>
      <c r="N1368" s="7">
        <f>[1]!EM_S_VAL_PBGOODWILLDEDUCTED(B1368,E1368)</f>
        <v>2.0993548995183899</v>
      </c>
      <c r="O1368" s="7">
        <f>[1]!EM_S_VAL_PS_TTM(B1368,E1368)</f>
        <v>1.4337975923141499</v>
      </c>
      <c r="P1368" s="7">
        <f>[1]!EM_S_VAL_PCF_NCFTTM(B1368,E1368)</f>
        <v>-34.491776186750499</v>
      </c>
      <c r="Q1368" s="7">
        <f>[1]!EM_S_VAL_DIVIDENDYIELD2(B1368,E1368,"2019-11-29")</f>
        <v>1.1655011670119471</v>
      </c>
      <c r="T1368"/>
      <c r="U1368">
        <f>[1]!EM_S_RATIO_EPS_TTM(B1368,E1368,"1")</f>
        <v>0.44114420990316228</v>
      </c>
      <c r="AT1368" s="4" t="str">
        <f>[1]!EM_S_IPO_LISTEDDATE(B1368)</f>
        <v>2011-12-20</v>
      </c>
    </row>
    <row r="1369" spans="1:46">
      <c r="A1369">
        <v>2041</v>
      </c>
      <c r="B1369" t="str">
        <f>"300622"</f>
        <v>300622</v>
      </c>
      <c r="C1369" t="s">
        <v>1016</v>
      </c>
      <c r="D1369" t="str">
        <f>[1]!EM_S_INFO_INDEX_EM(B1369,"1")</f>
        <v>商贸零售</v>
      </c>
      <c r="E1369" s="4">
        <f t="shared" si="21"/>
        <v>43465</v>
      </c>
      <c r="F1369" s="11">
        <f>[1]!EM_S_PQ_PCTCHANGE(B1369,"2018-01-01","2019-12-31","3")</f>
        <v>7.5220466899999998</v>
      </c>
      <c r="G1369" s="11">
        <f>[1]!EM_S_PQ_PCTCHANGE(B1369,"2018-12-31","2019-12-30","1")</f>
        <v>17.962628089999999</v>
      </c>
      <c r="H1369" s="11">
        <f>[1]!EM_S_FA_YOY_OR(B1369,E1369)</f>
        <v>20.099589835700002</v>
      </c>
      <c r="I1369" s="11">
        <f>[1]!EM_S_FA_GROSSPROFITMARGIN(B1369,E1369)</f>
        <v>74.120344380500001</v>
      </c>
      <c r="J1369" s="11">
        <f>[1]!EM_S_FA_NETPROFITMARGIN(B1369,E1369)</f>
        <v>10.3892035997</v>
      </c>
      <c r="K1369" s="10">
        <f>[1]!EM_S_FA_ASSETSTURN(B1369,E1369)</f>
        <v>1.0166338029399999</v>
      </c>
      <c r="L1369" s="12">
        <f>[1]!EM_HKS_VAL_MV(B1369,"2019-12-31","2")</f>
        <v>2373507321.1199999</v>
      </c>
      <c r="M1369">
        <f>[1]!EM_S_VAL_PETTMDEDUCTED(B1369,E1369)</f>
        <v>31.034512848353501</v>
      </c>
      <c r="N1369" s="7">
        <f>[1]!EM_S_VAL_PBGOODWILLDEDUCTED(B1369,E1369)</f>
        <v>2.8660378061557501</v>
      </c>
      <c r="O1369" s="7">
        <f>[1]!EM_S_VAL_PS_TTM(B1369,E1369)</f>
        <v>2.68709029846588</v>
      </c>
      <c r="P1369" s="7">
        <f>[1]!EM_S_VAL_PCF_NCFTTM(B1369,E1369)</f>
        <v>13.890930875694799</v>
      </c>
      <c r="Q1369" s="7">
        <f>[1]!EM_S_VAL_DIVIDENDYIELD2(B1369,E1369,"2019-11-29")</f>
        <v>1.7222029271208539</v>
      </c>
      <c r="T1369"/>
      <c r="U1369">
        <f>[1]!EM_S_RATIO_EPS_TTM(B1369,E1369,"1")</f>
        <v>0.68170387162395119</v>
      </c>
      <c r="AT1369" s="4" t="str">
        <f>[1]!EM_S_IPO_LISTEDDATE(B1369)</f>
        <v>2017-03-15</v>
      </c>
    </row>
    <row r="1370" spans="1:46">
      <c r="A1370">
        <v>7</v>
      </c>
      <c r="B1370" t="str">
        <f>"000007"</f>
        <v>000007</v>
      </c>
      <c r="C1370" t="s">
        <v>3518</v>
      </c>
      <c r="D1370" t="str">
        <f>[1]!EM_S_INFO_INDEX_EM(B1370,"1")</f>
        <v>商贸零售</v>
      </c>
      <c r="E1370" s="4">
        <f t="shared" si="21"/>
        <v>43465</v>
      </c>
      <c r="F1370" s="11">
        <f>[1]!EM_S_PQ_PCTCHANGE(B1370,"2018-01-01","2019-12-31","3")</f>
        <v>-42.977190880000002</v>
      </c>
      <c r="G1370" s="11">
        <f>[1]!EM_S_PQ_PCTCHANGE(B1370,"2019-01-01","2019-12-31","3")</f>
        <v>17.866004960000001</v>
      </c>
      <c r="H1370" s="11">
        <f>[1]!EM_S_FA_YOY_OR(B1370,E1370)</f>
        <v>7.0624288821999999</v>
      </c>
      <c r="I1370" s="11">
        <f>[1]!EM_S_FA_GROSSPROFITMARGIN(B1370,E1370)</f>
        <v>69.373978657799995</v>
      </c>
      <c r="J1370" s="11">
        <f>[1]!EM_S_FA_NETPROFITMARGIN(B1370,E1370)</f>
        <v>-462.25834369030002</v>
      </c>
      <c r="K1370" s="10">
        <f>[1]!EM_S_FA_ASSETSTURN(B1370,E1370)</f>
        <v>0.102473637139</v>
      </c>
      <c r="L1370" s="12">
        <f>[1]!EM_HKS_VAL_MV(B1370,"2019-12-31","2")</f>
        <v>3291256418</v>
      </c>
      <c r="M1370">
        <f>[1]!EM_S_VAL_PETTMDEDUCTED(B1370,E1370)</f>
        <v>123.273529661946</v>
      </c>
      <c r="N1370" s="7">
        <f>[1]!EM_S_VAL_PBGOODWILLDEDUCTED(B1370,E1370)</f>
        <v>14.6418048896358</v>
      </c>
      <c r="O1370" s="7">
        <f>[1]!EM_S_VAL_PS_TTM(B1370,E1370)</f>
        <v>73.783270425700607</v>
      </c>
      <c r="P1370" s="7">
        <f>[1]!EM_S_VAL_PCF_NCFTTM(B1370,E1370)</f>
        <v>-162.07572067036301</v>
      </c>
      <c r="Q1370" s="7">
        <f>[1]!EM_S_VAL_DIVIDENDYIELD2(B1370,E1370,"2019-11-29")</f>
        <v>0</v>
      </c>
      <c r="T1370"/>
      <c r="U1370">
        <f>[1]!EM_S_RATIO_EPS_TTM(B1370,E1370,"1")</f>
        <v>-0.56635351914412879</v>
      </c>
      <c r="V1370">
        <f>[1]!EM_S_FA_BPS(B1370,E1370)</f>
        <v>0.55047858243900005</v>
      </c>
      <c r="AT1370" s="4" t="str">
        <f>[1]!EM_S_IPO_LISTEDDATE(B1370)</f>
        <v>1992-04-13</v>
      </c>
    </row>
    <row r="1371" spans="1:46">
      <c r="A1371">
        <v>3205</v>
      </c>
      <c r="B1371" t="str">
        <f>"603006"</f>
        <v>603006</v>
      </c>
      <c r="C1371" t="s">
        <v>925</v>
      </c>
      <c r="D1371" t="str">
        <f>[1]!EM_S_INFO_INDEX_EM(B1371,"1")</f>
        <v>交运设备</v>
      </c>
      <c r="E1371" s="4">
        <f t="shared" si="21"/>
        <v>43465</v>
      </c>
      <c r="F1371" s="11">
        <f>[1]!EM_S_PQ_PCTCHANGE(B1371,"2018-01-01","2019-12-31","3")</f>
        <v>-27.868852459999999</v>
      </c>
      <c r="G1371" s="11">
        <f>[1]!EM_S_PQ_PCTCHANGE(B1371,"2018-12-31","2019-12-30","1")</f>
        <v>17.864923749999999</v>
      </c>
      <c r="H1371" s="11">
        <f>[1]!EM_S_FA_YOY_OR(B1371,E1371)</f>
        <v>0.98444396050000005</v>
      </c>
      <c r="I1371" s="11">
        <f>[1]!EM_S_FA_GROSSPROFITMARGIN(B1371,E1371)</f>
        <v>20.800730672899999</v>
      </c>
      <c r="J1371" s="11">
        <f>[1]!EM_S_FA_NETPROFITMARGIN(B1371,E1371)</f>
        <v>10.127709451399999</v>
      </c>
      <c r="K1371" s="10">
        <f>[1]!EM_S_FA_ASSETSTURN(B1371,E1371)</f>
        <v>0.55454665133900005</v>
      </c>
      <c r="L1371" s="12">
        <f>[1]!EM_HKS_VAL_MV(B1371,"2019-12-31","2")</f>
        <v>2101860046</v>
      </c>
      <c r="M1371">
        <f>[1]!EM_S_VAL_PETTMDEDUCTED(B1371,E1371)</f>
        <v>19.7859634351586</v>
      </c>
      <c r="N1371" s="7">
        <f>[1]!EM_S_VAL_PBGOODWILLDEDUCTED(B1371,E1371)</f>
        <v>1.90867125197524</v>
      </c>
      <c r="O1371" s="7">
        <f>[1]!EM_S_VAL_PS_TTM(B1371,E1371)</f>
        <v>1.6985560928986301</v>
      </c>
      <c r="P1371" s="7">
        <f>[1]!EM_S_VAL_PCF_NCFTTM(B1371,E1371)</f>
        <v>8.8812426871577994</v>
      </c>
      <c r="Q1371" s="7">
        <f>[1]!EM_S_VAL_DIVIDENDYIELD2(B1371,E1371,"2019-11-29")</f>
        <v>0</v>
      </c>
      <c r="T1371"/>
      <c r="U1371">
        <f>[1]!EM_S_RATIO_EPS_TTM(B1371,E1371,"1")</f>
        <v>0.52554912942851728</v>
      </c>
      <c r="AT1371" s="4" t="str">
        <f>[1]!EM_S_IPO_LISTEDDATE(B1371)</f>
        <v>2014-06-30</v>
      </c>
    </row>
    <row r="1372" spans="1:46">
      <c r="A1372">
        <v>330</v>
      </c>
      <c r="B1372" t="str">
        <f>"000761"</f>
        <v>000761</v>
      </c>
      <c r="C1372" t="s">
        <v>1272</v>
      </c>
      <c r="D1372" t="str">
        <f>[1]!EM_S_INFO_INDEX_EM(B1372,"1")</f>
        <v>钢铁</v>
      </c>
      <c r="E1372" s="4">
        <f t="shared" si="21"/>
        <v>43465</v>
      </c>
      <c r="F1372" s="11">
        <f>[1]!EM_S_PQ_PCTCHANGE(B1372,"2018-01-01","2019-12-31","3")</f>
        <v>-22.38052111</v>
      </c>
      <c r="G1372" s="11">
        <f>[1]!EM_S_PQ_PCTCHANGE(B1372,"2018-12-31","2019-12-30","1")</f>
        <v>17.85714286</v>
      </c>
      <c r="H1372" s="11">
        <f>[1]!EM_S_FA_YOY_OR(B1372,E1372)</f>
        <v>23.881821627699999</v>
      </c>
      <c r="I1372" s="11">
        <f>[1]!EM_S_FA_GROSSPROFITMARGIN(B1372,E1372)</f>
        <v>9.8404753441999997</v>
      </c>
      <c r="J1372" s="11">
        <f>[1]!EM_S_FA_NETPROFITMARGIN(B1372,E1372)</f>
        <v>2.0648454592999999</v>
      </c>
      <c r="K1372" s="10">
        <f>[1]!EM_S_FA_ASSETSTURN(B1372,E1372)</f>
        <v>0.81842296953399996</v>
      </c>
      <c r="L1372" s="12">
        <f>[1]!EM_HKS_VAL_MV(B1372,"2019-12-31","2")</f>
        <v>15268963836.08</v>
      </c>
      <c r="M1372">
        <f>[1]!EM_S_VAL_PETTMDEDUCTED(B1372,E1372)</f>
        <v>12.150489740854701</v>
      </c>
      <c r="N1372" s="7">
        <f>[1]!EM_S_VAL_PBGOODWILLDEDUCTED(B1372,E1372)</f>
        <v>0.68080480081835704</v>
      </c>
      <c r="O1372" s="7">
        <f>[1]!EM_S_VAL_PS_TTM(B1372,E1372)</f>
        <v>0.27772540392664502</v>
      </c>
      <c r="P1372" s="7">
        <f>[1]!EM_S_VAL_PCF_NCFTTM(B1372,E1372)</f>
        <v>7.9400845935954703</v>
      </c>
      <c r="Q1372" s="7">
        <f>[1]!EM_S_VAL_DIVIDENDYIELD2(B1372,E1372,"2019-11-29")</f>
        <v>1.3774104683195594</v>
      </c>
      <c r="T1372"/>
      <c r="U1372">
        <f>[1]!EM_S_RATIO_EPS_TTM(B1372,E1372,"1")</f>
        <v>0.26745648191699622</v>
      </c>
      <c r="AT1372" s="4" t="str">
        <f>[1]!EM_S_IPO_LISTEDDATE(B1372)</f>
        <v>1998-01-15</v>
      </c>
    </row>
    <row r="1373" spans="1:46">
      <c r="A1373">
        <v>3016</v>
      </c>
      <c r="B1373" t="str">
        <f>"600995"</f>
        <v>600995</v>
      </c>
      <c r="C1373" t="s">
        <v>82</v>
      </c>
      <c r="D1373" t="str">
        <f>[1]!EM_S_INFO_INDEX_EM(B1373,"1")</f>
        <v>公用事业</v>
      </c>
      <c r="E1373" s="4">
        <f t="shared" si="21"/>
        <v>43465</v>
      </c>
      <c r="F1373" s="11">
        <f>[1]!EM_S_PQ_PCTCHANGE(B1373,"2018-01-01","2019-12-31","3")</f>
        <v>-10.931712539999999</v>
      </c>
      <c r="G1373" s="11">
        <f>[1]!EM_S_PQ_PCTCHANGE(B1373,"2018-12-31","2019-12-30","1")</f>
        <v>17.85173979</v>
      </c>
      <c r="H1373" s="11">
        <f>[1]!EM_S_FA_YOY_OR(B1373,E1373)</f>
        <v>-0.45835624940000003</v>
      </c>
      <c r="I1373" s="11">
        <f>[1]!EM_S_FA_GROSSPROFITMARGIN(B1373,E1373)</f>
        <v>29.8801094887</v>
      </c>
      <c r="J1373" s="11">
        <f>[1]!EM_S_FA_NETPROFITMARGIN(B1373,E1373)</f>
        <v>14.6221059046</v>
      </c>
      <c r="K1373" s="10">
        <f>[1]!EM_S_FA_ASSETSTURN(B1373,E1373)</f>
        <v>0.75129491505500001</v>
      </c>
      <c r="L1373" s="12">
        <f>[1]!EM_HKS_VAL_MV(B1373,"2019-12-31","2")</f>
        <v>3732505920</v>
      </c>
      <c r="M1373">
        <f>[1]!EM_S_VAL_PETTMDEDUCTED(B1373,E1373)</f>
        <v>12.138548794750401</v>
      </c>
      <c r="N1373" s="7">
        <f>[1]!EM_S_VAL_PBGOODWILLDEDUCTED(B1373,E1373)</f>
        <v>1.62197610065917</v>
      </c>
      <c r="O1373" s="7">
        <f>[1]!EM_S_VAL_PS_TTM(B1373,E1373)</f>
        <v>1.5510200315162701</v>
      </c>
      <c r="P1373" s="7">
        <f>[1]!EM_S_VAL_PCF_NCFTTM(B1373,E1373)</f>
        <v>18.1857120880344</v>
      </c>
      <c r="Q1373" s="7">
        <f>[1]!EM_S_VAL_DIVIDENDYIELD2(B1373,E1373,"2019-11-29")</f>
        <v>2.7063599458728009</v>
      </c>
      <c r="T1373"/>
      <c r="U1373">
        <f>[1]!EM_S_RATIO_EPS_TTM(B1373,E1373,"1")</f>
        <v>0.61887151764249571</v>
      </c>
      <c r="AT1373" s="4" t="str">
        <f>[1]!EM_S_IPO_LISTEDDATE(B1373)</f>
        <v>2004-06-15</v>
      </c>
    </row>
    <row r="1374" spans="1:46">
      <c r="A1374">
        <v>2693</v>
      </c>
      <c r="B1374" t="str">
        <f>"600620"</f>
        <v>600620</v>
      </c>
      <c r="C1374" t="s">
        <v>3225</v>
      </c>
      <c r="D1374" t="str">
        <f>[1]!EM_S_INFO_INDEX_EM(B1374,"1")</f>
        <v>交通运输</v>
      </c>
      <c r="E1374" s="4">
        <f t="shared" si="21"/>
        <v>43465</v>
      </c>
      <c r="F1374" s="11">
        <f>[1]!EM_S_PQ_PCTCHANGE(B1374,"2018-01-01","2019-12-31","3")</f>
        <v>-38.238583089999999</v>
      </c>
      <c r="G1374" s="11">
        <f>[1]!EM_S_PQ_PCTCHANGE(B1374,"2018-12-31","2019-12-30","1")</f>
        <v>17.777777780000001</v>
      </c>
      <c r="H1374" s="11">
        <f>[1]!EM_S_FA_YOY_OR(B1374,E1374)</f>
        <v>-4.6713290406999999</v>
      </c>
      <c r="I1374" s="11">
        <f>[1]!EM_S_FA_GROSSPROFITMARGIN(B1374,E1374)</f>
        <v>42.204751253200001</v>
      </c>
      <c r="J1374" s="11">
        <f>[1]!EM_S_FA_NETPROFITMARGIN(B1374,E1374)</f>
        <v>133.22970303779999</v>
      </c>
      <c r="K1374" s="10">
        <f>[1]!EM_S_FA_ASSETSTURN(B1374,E1374)</f>
        <v>1.6757229027000001E-2</v>
      </c>
      <c r="L1374" s="12">
        <f>[1]!EM_HKS_VAL_MV(B1374,"2019-12-31","2")</f>
        <v>4442800921.1099997</v>
      </c>
      <c r="M1374">
        <f>[1]!EM_S_VAL_PETTMDEDUCTED(B1374,E1374)</f>
        <v>69.906233554133607</v>
      </c>
      <c r="N1374" s="7">
        <f>[1]!EM_S_VAL_PBGOODWILLDEDUCTED(B1374,E1374)</f>
        <v>1.62356766897699</v>
      </c>
      <c r="O1374" s="7">
        <f>[1]!EM_S_VAL_PS_TTM(B1374,E1374)</f>
        <v>75.645885152874897</v>
      </c>
      <c r="P1374" s="7">
        <f>[1]!EM_S_VAL_PCF_NCFTTM(B1374,E1374)</f>
        <v>25.686471547054801</v>
      </c>
      <c r="Q1374" s="7">
        <f>[1]!EM_S_VAL_DIVIDENDYIELD2(B1374,E1374,"2019-11-29")</f>
        <v>0.5</v>
      </c>
      <c r="T1374"/>
      <c r="U1374">
        <f>[1]!EM_S_RATIO_EPS_TTM(B1374,E1374,"1")</f>
        <v>9.853408982046559E-2</v>
      </c>
      <c r="AT1374" s="4" t="str">
        <f>[1]!EM_S_IPO_LISTEDDATE(B1374)</f>
        <v>1992-11-17</v>
      </c>
    </row>
    <row r="1375" spans="1:46">
      <c r="A1375">
        <v>3141</v>
      </c>
      <c r="B1375" t="str">
        <f>"601689"</f>
        <v>601689</v>
      </c>
      <c r="C1375" t="s">
        <v>792</v>
      </c>
      <c r="D1375" t="str">
        <f>[1]!EM_S_INFO_INDEX_EM(B1375,"1")</f>
        <v>交运设备</v>
      </c>
      <c r="E1375" s="4">
        <f t="shared" si="21"/>
        <v>43465</v>
      </c>
      <c r="F1375" s="11">
        <f>[1]!EM_S_PQ_PCTCHANGE(B1375,"2018-01-01","2019-12-31","3")</f>
        <v>4.8278678199999998</v>
      </c>
      <c r="G1375" s="11">
        <f>[1]!EM_S_PQ_PCTCHANGE(B1375,"2018-12-31","2019-12-30","1")</f>
        <v>17.72665765</v>
      </c>
      <c r="H1375" s="11">
        <f>[1]!EM_S_FA_YOY_OR(B1375,E1375)</f>
        <v>17.559123101099999</v>
      </c>
      <c r="I1375" s="11">
        <f>[1]!EM_S_FA_GROSSPROFITMARGIN(B1375,E1375)</f>
        <v>26.887892361199999</v>
      </c>
      <c r="J1375" s="11">
        <f>[1]!EM_S_FA_NETPROFITMARGIN(B1375,E1375)</f>
        <v>12.622316675900001</v>
      </c>
      <c r="K1375" s="10">
        <f>[1]!EM_S_FA_ASSETSTURN(B1375,E1375)</f>
        <v>0.55316890358299997</v>
      </c>
      <c r="L1375" s="12">
        <f>[1]!EM_HKS_VAL_MV(B1375,"2019-12-31","2")</f>
        <v>18388436465.07</v>
      </c>
      <c r="M1375">
        <f>[1]!EM_S_VAL_PETTMDEDUCTED(B1375,E1375)</f>
        <v>14.3873597724841</v>
      </c>
      <c r="N1375" s="7">
        <f>[1]!EM_S_VAL_PBGOODWILLDEDUCTED(B1375,E1375)</f>
        <v>1.5508393857551099</v>
      </c>
      <c r="O1375" s="7">
        <f>[1]!EM_S_VAL_PS_TTM(B1375,E1375)</f>
        <v>1.7904060298701501</v>
      </c>
      <c r="P1375" s="7">
        <f>[1]!EM_S_VAL_PCF_NCFTTM(B1375,E1375)</f>
        <v>-13.039636394822599</v>
      </c>
      <c r="Q1375" s="7">
        <f>[1]!EM_S_VAL_DIVIDENDYIELD2(B1375,E1375,"2019-11-29")</f>
        <v>2.0281080018659212</v>
      </c>
      <c r="T1375"/>
      <c r="U1375">
        <f>[1]!EM_S_RATIO_EPS_TTM(B1375,E1375,"1")</f>
        <v>1.0353754006454936</v>
      </c>
      <c r="AT1375" s="4" t="str">
        <f>[1]!EM_S_IPO_LISTEDDATE(B1375)</f>
        <v>2015-03-19</v>
      </c>
    </row>
    <row r="1376" spans="1:46">
      <c r="A1376">
        <v>2293</v>
      </c>
      <c r="B1376" t="str">
        <f>"600152"</f>
        <v>600152</v>
      </c>
      <c r="C1376" t="s">
        <v>3270</v>
      </c>
      <c r="D1376" t="str">
        <f>[1]!EM_S_INFO_INDEX_EM(B1376,"1")</f>
        <v>电气设备</v>
      </c>
      <c r="E1376" s="4">
        <f t="shared" si="21"/>
        <v>43465</v>
      </c>
      <c r="F1376" s="11">
        <f>[1]!EM_S_PQ_PCTCHANGE(B1376,"2018-01-01","2019-12-31","3")</f>
        <v>-12.54851229</v>
      </c>
      <c r="G1376" s="11">
        <f>[1]!EM_S_PQ_PCTCHANGE(B1376,"2018-12-31","2019-12-30","1")</f>
        <v>17.708333329999999</v>
      </c>
      <c r="H1376" s="11">
        <f>[1]!EM_S_FA_YOY_OR(B1376,E1376)</f>
        <v>0.34171771159999997</v>
      </c>
      <c r="I1376" s="11">
        <f>[1]!EM_S_FA_GROSSPROFITMARGIN(B1376,E1376)</f>
        <v>14.204081668500001</v>
      </c>
      <c r="J1376" s="11">
        <f>[1]!EM_S_FA_NETPROFITMARGIN(B1376,E1376)</f>
        <v>3.5194490969999999</v>
      </c>
      <c r="K1376" s="10">
        <f>[1]!EM_S_FA_ASSETSTURN(B1376,E1376)</f>
        <v>0.61765511954800001</v>
      </c>
      <c r="L1376" s="12">
        <f>[1]!EM_HKS_VAL_MV(B1376,"2019-12-31","2")</f>
        <v>2845419788.1199999</v>
      </c>
      <c r="M1376">
        <f>[1]!EM_S_VAL_PETTMDEDUCTED(B1376,E1376)</f>
        <v>-25.811094268199199</v>
      </c>
      <c r="N1376" s="7">
        <f>[1]!EM_S_VAL_PBGOODWILLDEDUCTED(B1376,E1376)</f>
        <v>1.8164352492870901</v>
      </c>
      <c r="O1376" s="7">
        <f>[1]!EM_S_VAL_PS_TTM(B1376,E1376)</f>
        <v>1.5960864446462799</v>
      </c>
      <c r="P1376" s="7">
        <f>[1]!EM_S_VAL_PCF_NCFTTM(B1376,E1376)</f>
        <v>-7.6996749543870404</v>
      </c>
      <c r="Q1376" s="7">
        <f>[1]!EM_S_VAL_DIVIDENDYIELD2(B1376,E1376,"2019-11-29")</f>
        <v>0</v>
      </c>
      <c r="T1376"/>
      <c r="U1376">
        <f>[1]!EM_S_RATIO_EPS_TTM(B1376,E1376,"1")</f>
        <v>0.12378242164703808</v>
      </c>
      <c r="AT1376" s="4" t="str">
        <f>[1]!EM_S_IPO_LISTEDDATE(B1376)</f>
        <v>1998-06-09</v>
      </c>
    </row>
    <row r="1377" spans="1:46">
      <c r="A1377">
        <v>3470</v>
      </c>
      <c r="B1377" t="str">
        <f>"603636"</f>
        <v>603636</v>
      </c>
      <c r="C1377" t="s">
        <v>3023</v>
      </c>
      <c r="D1377" t="str">
        <f>[1]!EM_S_INFO_INDEX_EM(B1377,"1")</f>
        <v>信息技术</v>
      </c>
      <c r="E1377" s="4">
        <f t="shared" si="21"/>
        <v>43465</v>
      </c>
      <c r="F1377" s="11">
        <f>[1]!EM_S_PQ_PCTCHANGE(B1377,"2018-01-01","2019-12-31","3")</f>
        <v>14.612942090000001</v>
      </c>
      <c r="G1377" s="11">
        <f>[1]!EM_S_PQ_PCTCHANGE(B1377,"2018-12-31","2019-12-30","1")</f>
        <v>17.708333329999999</v>
      </c>
      <c r="H1377" s="11">
        <f>[1]!EM_S_FA_YOY_OR(B1377,E1377)</f>
        <v>21.271890897199999</v>
      </c>
      <c r="I1377" s="11">
        <f>[1]!EM_S_FA_GROSSPROFITMARGIN(B1377,E1377)</f>
        <v>45.286599471499997</v>
      </c>
      <c r="J1377" s="11">
        <f>[1]!EM_S_FA_NETPROFITMARGIN(B1377,E1377)</f>
        <v>17.347781724200001</v>
      </c>
      <c r="K1377" s="10">
        <f>[1]!EM_S_FA_ASSETSTURN(B1377,E1377)</f>
        <v>0.39463647405699998</v>
      </c>
      <c r="L1377" s="12">
        <f>[1]!EM_HKS_VAL_MV(B1377,"2019-12-31","2")</f>
        <v>5965108042.96</v>
      </c>
      <c r="M1377">
        <f>[1]!EM_S_VAL_PETTMDEDUCTED(B1377,E1377)</f>
        <v>29.766984899681098</v>
      </c>
      <c r="N1377" s="7">
        <f>[1]!EM_S_VAL_PBGOODWILLDEDUCTED(B1377,E1377)</f>
        <v>3.22211861334887</v>
      </c>
      <c r="O1377" s="7">
        <f>[1]!EM_S_VAL_PS_TTM(B1377,E1377)</f>
        <v>4.8348415214614198</v>
      </c>
      <c r="P1377" s="7">
        <f>[1]!EM_S_VAL_PCF_NCFTTM(B1377,E1377)</f>
        <v>15.5096326326914</v>
      </c>
      <c r="Q1377" s="7">
        <f>[1]!EM_S_VAL_DIVIDENDYIELD2(B1377,E1377,"2019-11-29")</f>
        <v>1.1661807580174928</v>
      </c>
      <c r="T1377"/>
      <c r="U1377">
        <f>[1]!EM_S_RATIO_EPS_TTM(B1377,E1377,"1")</f>
        <v>0.32756484195341917</v>
      </c>
      <c r="AT1377" s="4" t="str">
        <f>[1]!EM_S_IPO_LISTEDDATE(B1377)</f>
        <v>2014-12-30</v>
      </c>
    </row>
    <row r="1378" spans="1:46">
      <c r="A1378">
        <v>3541</v>
      </c>
      <c r="B1378" t="str">
        <f>"603800"</f>
        <v>603800</v>
      </c>
      <c r="C1378" t="s">
        <v>3215</v>
      </c>
      <c r="D1378" t="str">
        <f>[1]!EM_S_INFO_INDEX_EM(B1378,"1")</f>
        <v>化石能源</v>
      </c>
      <c r="E1378" s="4">
        <f t="shared" si="21"/>
        <v>43465</v>
      </c>
      <c r="F1378" s="11">
        <f>[1]!EM_S_PQ_PCTCHANGE(B1378,"2018-01-01","2019-12-31","3")</f>
        <v>-15.67706997</v>
      </c>
      <c r="G1378" s="11">
        <f>[1]!EM_S_PQ_PCTCHANGE(B1378,"2018-12-31","2019-12-30","1")</f>
        <v>17.70462633</v>
      </c>
      <c r="H1378" s="11">
        <f>[1]!EM_S_FA_YOY_OR(B1378,E1378)</f>
        <v>40.796902883500003</v>
      </c>
      <c r="I1378" s="11">
        <f>[1]!EM_S_FA_GROSSPROFITMARGIN(B1378,E1378)</f>
        <v>21.9183821612</v>
      </c>
      <c r="J1378" s="11">
        <f>[1]!EM_S_FA_NETPROFITMARGIN(B1378,E1378)</f>
        <v>7.4509265452999998</v>
      </c>
      <c r="K1378" s="10">
        <f>[1]!EM_S_FA_ASSETSTURN(B1378,E1378)</f>
        <v>0.77560712850500002</v>
      </c>
      <c r="L1378" s="12">
        <f>[1]!EM_HKS_VAL_MV(B1378,"2019-12-31","2")</f>
        <v>2739360000</v>
      </c>
      <c r="M1378">
        <f>[1]!EM_S_VAL_PETTMDEDUCTED(B1378,E1378)</f>
        <v>45.885106584874897</v>
      </c>
      <c r="N1378" s="7">
        <f>[1]!EM_S_VAL_PBGOODWILLDEDUCTED(B1378,E1378)</f>
        <v>2.3271646615364601</v>
      </c>
      <c r="O1378" s="7">
        <f>[1]!EM_S_VAL_PS_TTM(B1378,E1378)</f>
        <v>2.19842771027619</v>
      </c>
      <c r="P1378" s="7">
        <f>[1]!EM_S_VAL_PCF_NCFTTM(B1378,E1378)</f>
        <v>96.531986123941493</v>
      </c>
      <c r="Q1378" s="7">
        <f>[1]!EM_S_VAL_DIVIDENDYIELD2(B1378,E1378,"2019-11-29")</f>
        <v>4.1390728476821197</v>
      </c>
      <c r="T1378"/>
      <c r="U1378">
        <f>[1]!EM_S_RATIO_EPS_TTM(B1378,E1378,"1")</f>
        <v>0.42821214985576922</v>
      </c>
      <c r="AT1378" s="4" t="str">
        <f>[1]!EM_S_IPO_LISTEDDATE(B1378)</f>
        <v>2015-12-10</v>
      </c>
    </row>
    <row r="1379" spans="1:46">
      <c r="A1379">
        <v>2617</v>
      </c>
      <c r="B1379" t="str">
        <f>"600538"</f>
        <v>600538</v>
      </c>
      <c r="C1379" t="s">
        <v>3083</v>
      </c>
      <c r="D1379" t="str">
        <f>[1]!EM_S_INFO_INDEX_EM(B1379,"1")</f>
        <v>医药生物</v>
      </c>
      <c r="E1379" s="4">
        <f t="shared" si="21"/>
        <v>43465</v>
      </c>
      <c r="F1379" s="11">
        <f>[1]!EM_S_PQ_PCTCHANGE(B1379,"2018-01-01","2019-12-31","3")</f>
        <v>-9.3189964199999995</v>
      </c>
      <c r="G1379" s="11">
        <f>[1]!EM_S_PQ_PCTCHANGE(B1379,"2018-12-31","2019-12-30","1")</f>
        <v>17.674418599999999</v>
      </c>
      <c r="H1379" s="11">
        <f>[1]!EM_S_FA_YOY_OR(B1379,E1379)</f>
        <v>-48.324492997</v>
      </c>
      <c r="I1379" s="11">
        <f>[1]!EM_S_FA_GROSSPROFITMARGIN(B1379,E1379)</f>
        <v>19.766713729599999</v>
      </c>
      <c r="J1379" s="11">
        <f>[1]!EM_S_FA_NETPROFITMARGIN(B1379,E1379)</f>
        <v>-9.6253116717000005</v>
      </c>
      <c r="K1379" s="10">
        <f>[1]!EM_S_FA_ASSETSTURN(B1379,E1379)</f>
        <v>0.29156456758299998</v>
      </c>
      <c r="L1379" s="12">
        <f>[1]!EM_HKS_VAL_MV(B1379,"2019-12-31","2")</f>
        <v>2349869996.0999999</v>
      </c>
      <c r="M1379">
        <f>[1]!EM_S_VAL_PETTMDEDUCTED(B1379,E1379)</f>
        <v>-121.082149853161</v>
      </c>
      <c r="N1379" s="7">
        <f>[1]!EM_S_VAL_PBGOODWILLDEDUCTED(B1379,E1379)</f>
        <v>3.1321154131995299</v>
      </c>
      <c r="O1379" s="7">
        <f>[1]!EM_S_VAL_PS_TTM(B1379,E1379)</f>
        <v>6.8725550818924601</v>
      </c>
      <c r="P1379" s="7">
        <f>[1]!EM_S_VAL_PCF_NCFTTM(B1379,E1379)</f>
        <v>39.2051877157894</v>
      </c>
      <c r="Q1379" s="7">
        <f>[1]!EM_S_VAL_DIVIDENDYIELD2(B1379,E1379,"2019-11-29")</f>
        <v>0</v>
      </c>
      <c r="T1379"/>
      <c r="U1379">
        <f>[1]!EM_S_RATIO_EPS_TTM(B1379,E1379,"1")</f>
        <v>-4.6535440924854662E-2</v>
      </c>
      <c r="AT1379" s="4" t="str">
        <f>[1]!EM_S_IPO_LISTEDDATE(B1379)</f>
        <v>2003-01-14</v>
      </c>
    </row>
    <row r="1380" spans="1:46">
      <c r="A1380">
        <v>3281</v>
      </c>
      <c r="B1380" t="str">
        <f>"603128"</f>
        <v>603128</v>
      </c>
      <c r="C1380" t="s">
        <v>1353</v>
      </c>
      <c r="D1380" t="str">
        <f>[1]!EM_S_INFO_INDEX_EM(B1380,"1")</f>
        <v>交通运输</v>
      </c>
      <c r="E1380" s="4">
        <f t="shared" si="21"/>
        <v>43465</v>
      </c>
      <c r="F1380" s="11">
        <f>[1]!EM_S_PQ_PCTCHANGE(B1380,"2018-01-01","2019-12-31","3")</f>
        <v>-21.215753679999999</v>
      </c>
      <c r="G1380" s="11">
        <f>[1]!EM_S_PQ_PCTCHANGE(B1380,"2018-12-31","2019-12-30","1")</f>
        <v>17.669172929999998</v>
      </c>
      <c r="H1380" s="11">
        <f>[1]!EM_S_FA_YOY_OR(B1380,E1380)</f>
        <v>8.3771321938999996</v>
      </c>
      <c r="I1380" s="11">
        <f>[1]!EM_S_FA_GROSSPROFITMARGIN(B1380,E1380)</f>
        <v>11.3988218591</v>
      </c>
      <c r="J1380" s="11">
        <f>[1]!EM_S_FA_NETPROFITMARGIN(B1380,E1380)</f>
        <v>3.5651339089</v>
      </c>
      <c r="K1380" s="10">
        <f>[1]!EM_S_FA_ASSETSTURN(B1380,E1380)</f>
        <v>1.723681446834</v>
      </c>
      <c r="L1380" s="12">
        <f>[1]!EM_HKS_VAL_MV(B1380,"2019-12-31","2")</f>
        <v>6385962007.4300003</v>
      </c>
      <c r="M1380">
        <f>[1]!EM_S_VAL_PETTMDEDUCTED(B1380,E1380)</f>
        <v>19.359829544705601</v>
      </c>
      <c r="N1380" s="7">
        <f>[1]!EM_S_VAL_PBGOODWILLDEDUCTED(B1380,E1380)</f>
        <v>1.6858992930255401</v>
      </c>
      <c r="O1380" s="7">
        <f>[1]!EM_S_VAL_PS_TTM(B1380,E1380)</f>
        <v>0.58031706366024005</v>
      </c>
      <c r="P1380" s="7">
        <f>[1]!EM_S_VAL_PCF_NCFTTM(B1380,E1380)</f>
        <v>624.24585166632801</v>
      </c>
      <c r="Q1380" s="7">
        <f>[1]!EM_S_VAL_DIVIDENDYIELD2(B1380,E1380,"2019-11-29")</f>
        <v>1.6333333333333331</v>
      </c>
      <c r="T1380"/>
      <c r="U1380">
        <f>[1]!EM_S_RATIO_EPS_TTM(B1380,E1380,"1")</f>
        <v>0.31915297480825811</v>
      </c>
      <c r="AT1380" s="4" t="str">
        <f>[1]!EM_S_IPO_LISTEDDATE(B1380)</f>
        <v>2012-05-29</v>
      </c>
    </row>
    <row r="1381" spans="1:46">
      <c r="A1381">
        <v>155</v>
      </c>
      <c r="B1381" t="str">
        <f>"000546"</f>
        <v>000546</v>
      </c>
      <c r="C1381" t="s">
        <v>2974</v>
      </c>
      <c r="D1381" t="str">
        <f>[1]!EM_S_INFO_INDEX_EM(B1381,"1")</f>
        <v>公用事业</v>
      </c>
      <c r="E1381" s="4">
        <f t="shared" si="21"/>
        <v>43465</v>
      </c>
      <c r="F1381" s="11">
        <f>[1]!EM_S_PQ_PCTCHANGE(B1381,"2018-01-01","2019-12-31","3")</f>
        <v>-42.875402469999997</v>
      </c>
      <c r="G1381" s="11">
        <f>[1]!EM_S_PQ_PCTCHANGE(B1381,"2018-12-31","2019-12-30","1")</f>
        <v>17.66743649</v>
      </c>
      <c r="H1381" s="11">
        <f>[1]!EM_S_FA_YOY_OR(B1381,E1381)</f>
        <v>57.174242648400003</v>
      </c>
      <c r="I1381" s="11">
        <f>[1]!EM_S_FA_GROSSPROFITMARGIN(B1381,E1381)</f>
        <v>14.9445176735</v>
      </c>
      <c r="J1381" s="11">
        <f>[1]!EM_S_FA_NETPROFITMARGIN(B1381,E1381)</f>
        <v>5.5834900261999998</v>
      </c>
      <c r="K1381" s="10">
        <f>[1]!EM_S_FA_ASSETSTURN(B1381,E1381)</f>
        <v>0.97209075567100001</v>
      </c>
      <c r="L1381" s="12">
        <f>[1]!EM_HKS_VAL_MV(B1381,"2019-12-31","2")</f>
        <v>7217908399.6000004</v>
      </c>
      <c r="M1381">
        <f>[1]!EM_S_VAL_PETTMDEDUCTED(B1381,E1381)</f>
        <v>14.297209625714199</v>
      </c>
      <c r="N1381" s="7">
        <f>[1]!EM_S_VAL_PBGOODWILLDEDUCTED(B1381,E1381)</f>
        <v>1.9341006042675899</v>
      </c>
      <c r="O1381" s="7">
        <f>[1]!EM_S_VAL_PS_TTM(B1381,E1381)</f>
        <v>0.77913785953382197</v>
      </c>
      <c r="P1381" s="7">
        <f>[1]!EM_S_VAL_PCF_NCFTTM(B1381,E1381)</f>
        <v>-31.258704408241201</v>
      </c>
      <c r="Q1381" s="7">
        <f>[1]!EM_S_VAL_DIVIDENDYIELD2(B1381,E1381,"2019-11-29")</f>
        <v>0.47664442326024786</v>
      </c>
      <c r="T1381"/>
      <c r="U1381">
        <f>[1]!EM_S_RATIO_EPS_TTM(B1381,E1381,"1")</f>
        <v>0.52420367005858393</v>
      </c>
      <c r="AT1381" s="4" t="str">
        <f>[1]!EM_S_IPO_LISTEDDATE(B1381)</f>
        <v>1993-12-15</v>
      </c>
    </row>
    <row r="1382" spans="1:46">
      <c r="A1382">
        <v>3624</v>
      </c>
      <c r="B1382" t="str">
        <f>"603977"</f>
        <v>603977</v>
      </c>
      <c r="C1382" t="s">
        <v>2084</v>
      </c>
      <c r="D1382" t="str">
        <f>[1]!EM_S_INFO_INDEX_EM(B1382,"1")</f>
        <v>基础化工</v>
      </c>
      <c r="E1382" s="4">
        <f t="shared" si="21"/>
        <v>43465</v>
      </c>
      <c r="F1382" s="11">
        <f>[1]!EM_S_PQ_PCTCHANGE(B1382,"2018-01-01","2019-12-31","3")</f>
        <v>-12.661826810000001</v>
      </c>
      <c r="G1382" s="11">
        <f>[1]!EM_S_PQ_PCTCHANGE(B1382,"2018-12-31","2019-12-30","1")</f>
        <v>17.655571640000002</v>
      </c>
      <c r="H1382" s="11">
        <f>[1]!EM_S_FA_YOY_OR(B1382,E1382)</f>
        <v>53.599756292099997</v>
      </c>
      <c r="I1382" s="11">
        <f>[1]!EM_S_FA_GROSSPROFITMARGIN(B1382,E1382)</f>
        <v>37.839767531100001</v>
      </c>
      <c r="J1382" s="11">
        <f>[1]!EM_S_FA_NETPROFITMARGIN(B1382,E1382)</f>
        <v>8.8102654699999992</v>
      </c>
      <c r="K1382" s="10">
        <f>[1]!EM_S_FA_ASSETSTURN(B1382,E1382)</f>
        <v>0.42744575543500002</v>
      </c>
      <c r="L1382" s="12">
        <f>[1]!EM_HKS_VAL_MV(B1382,"2019-12-31","2")</f>
        <v>3212030975.8000002</v>
      </c>
      <c r="M1382">
        <f>[1]!EM_S_VAL_PETTMDEDUCTED(B1382,E1382)</f>
        <v>58.896901269235698</v>
      </c>
      <c r="N1382" s="7">
        <f>[1]!EM_S_VAL_PBGOODWILLDEDUCTED(B1382,E1382)</f>
        <v>1.8290318115272299</v>
      </c>
      <c r="O1382" s="7">
        <f>[1]!EM_S_VAL_PS_TTM(B1382,E1382)</f>
        <v>4.0679190173611497</v>
      </c>
      <c r="P1382" s="7">
        <f>[1]!EM_S_VAL_PCF_NCFTTM(B1382,E1382)</f>
        <v>31.2772451761581</v>
      </c>
      <c r="Q1382" s="7">
        <f>[1]!EM_S_VAL_DIVIDENDYIELD2(B1382,E1382,"2019-11-29")</f>
        <v>1.2987012987012987</v>
      </c>
      <c r="T1382"/>
      <c r="U1382">
        <f>[1]!EM_S_RATIO_EPS_TTM(B1382,E1382,"1")</f>
        <v>0.17978385686233081</v>
      </c>
      <c r="AT1382" s="4" t="str">
        <f>[1]!EM_S_IPO_LISTEDDATE(B1382)</f>
        <v>2016-11-11</v>
      </c>
    </row>
    <row r="1383" spans="1:46">
      <c r="A1383">
        <v>1162</v>
      </c>
      <c r="B1383" t="str">
        <f>"002651"</f>
        <v>002651</v>
      </c>
      <c r="C1383" t="s">
        <v>1475</v>
      </c>
      <c r="D1383" t="str">
        <f>[1]!EM_S_INFO_INDEX_EM(B1383,"1")</f>
        <v>机械设备</v>
      </c>
      <c r="E1383" s="4">
        <f t="shared" si="21"/>
        <v>43465</v>
      </c>
      <c r="F1383" s="11">
        <f>[1]!EM_S_PQ_PCTCHANGE(B1383,"2018-01-01","2019-12-31","3")</f>
        <v>-29.18343453</v>
      </c>
      <c r="G1383" s="11">
        <f>[1]!EM_S_PQ_PCTCHANGE(B1383,"2018-12-31","2019-12-30","1")</f>
        <v>17.603911979999999</v>
      </c>
      <c r="H1383" s="11">
        <f>[1]!EM_S_FA_YOY_OR(B1383,E1383)</f>
        <v>-1.6491563532</v>
      </c>
      <c r="I1383" s="11">
        <f>[1]!EM_S_FA_GROSSPROFITMARGIN(B1383,E1383)</f>
        <v>42.769136233300003</v>
      </c>
      <c r="J1383" s="11">
        <f>[1]!EM_S_FA_NETPROFITMARGIN(B1383,E1383)</f>
        <v>23.047056265599998</v>
      </c>
      <c r="K1383" s="10">
        <f>[1]!EM_S_FA_ASSETSTURN(B1383,E1383)</f>
        <v>0.207751676917</v>
      </c>
      <c r="L1383" s="12">
        <f>[1]!EM_HKS_VAL_MV(B1383,"2019-12-31","2")</f>
        <v>4934875000</v>
      </c>
      <c r="M1383">
        <f>[1]!EM_S_VAL_PETTMDEDUCTED(B1383,E1383)</f>
        <v>30.724056212803401</v>
      </c>
      <c r="N1383" s="7">
        <f>[1]!EM_S_VAL_PBGOODWILLDEDUCTED(B1383,E1383)</f>
        <v>2.43730090382304</v>
      </c>
      <c r="O1383" s="7">
        <f>[1]!EM_S_VAL_PS_TTM(B1383,E1383)</f>
        <v>7.39496539053133</v>
      </c>
      <c r="P1383" s="7">
        <f>[1]!EM_S_VAL_PCF_NCFTTM(B1383,E1383)</f>
        <v>-27.9640570405078</v>
      </c>
      <c r="Q1383" s="7">
        <f>[1]!EM_S_VAL_DIVIDENDYIELD2(B1383,E1383,"2019-11-29")</f>
        <v>1.3129102844638949</v>
      </c>
      <c r="T1383"/>
      <c r="U1383">
        <f>[1]!EM_S_RATIO_EPS_TTM(B1383,E1383,"1")</f>
        <v>0.11701423838820639</v>
      </c>
      <c r="AT1383" s="4" t="str">
        <f>[1]!EM_S_IPO_LISTEDDATE(B1383)</f>
        <v>2012-01-06</v>
      </c>
    </row>
    <row r="1384" spans="1:46">
      <c r="A1384">
        <v>917</v>
      </c>
      <c r="B1384" t="str">
        <f>"002406"</f>
        <v>002406</v>
      </c>
      <c r="C1384" t="s">
        <v>1438</v>
      </c>
      <c r="D1384" t="str">
        <f>[1]!EM_S_INFO_INDEX_EM(B1384,"1")</f>
        <v>交运设备</v>
      </c>
      <c r="E1384" s="4">
        <f t="shared" si="21"/>
        <v>43465</v>
      </c>
      <c r="F1384" s="11">
        <f>[1]!EM_S_PQ_PCTCHANGE(B1384,"2018-01-01","2019-12-31","3")</f>
        <v>-10.344219020000001</v>
      </c>
      <c r="G1384" s="11">
        <f>[1]!EM_S_PQ_PCTCHANGE(B1384,"2018-12-31","2019-12-30","1")</f>
        <v>17.58034026</v>
      </c>
      <c r="H1384" s="11">
        <f>[1]!EM_S_FA_YOY_OR(B1384,E1384)</f>
        <v>12.9385532229</v>
      </c>
      <c r="I1384" s="11">
        <f>[1]!EM_S_FA_GROSSPROFITMARGIN(B1384,E1384)</f>
        <v>30.8176087483</v>
      </c>
      <c r="J1384" s="11">
        <f>[1]!EM_S_FA_NETPROFITMARGIN(B1384,E1384)</f>
        <v>15.784904664400001</v>
      </c>
      <c r="K1384" s="10">
        <f>[1]!EM_S_FA_ASSETSTURN(B1384,E1384)</f>
        <v>0.62173096054300003</v>
      </c>
      <c r="L1384" s="12">
        <f>[1]!EM_HKS_VAL_MV(B1384,"2019-12-31","2")</f>
        <v>3371610000</v>
      </c>
      <c r="M1384">
        <f>[1]!EM_S_VAL_PETTMDEDUCTED(B1384,E1384)</f>
        <v>14.433466001232301</v>
      </c>
      <c r="N1384" s="7">
        <f>[1]!EM_S_VAL_PBGOODWILLDEDUCTED(B1384,E1384)</f>
        <v>1.21677957560441</v>
      </c>
      <c r="O1384" s="7">
        <f>[1]!EM_S_VAL_PS_TTM(B1384,E1384)</f>
        <v>1.6758805820196301</v>
      </c>
      <c r="P1384" s="7">
        <f>[1]!EM_S_VAL_PCF_NCFTTM(B1384,E1384)</f>
        <v>-31.817795258059999</v>
      </c>
      <c r="Q1384" s="7">
        <f>[1]!EM_S_VAL_DIVIDENDYIELD2(B1384,E1384,"2019-11-29")</f>
        <v>0.96899224806201545</v>
      </c>
      <c r="T1384"/>
      <c r="U1384">
        <f>[1]!EM_S_RATIO_EPS_TTM(B1384,E1384,"1")</f>
        <v>0.48367058418894832</v>
      </c>
      <c r="AT1384" s="4" t="str">
        <f>[1]!EM_S_IPO_LISTEDDATE(B1384)</f>
        <v>2010-05-18</v>
      </c>
    </row>
    <row r="1385" spans="1:46">
      <c r="A1385">
        <v>1933</v>
      </c>
      <c r="B1385" t="str">
        <f>"300508"</f>
        <v>300508</v>
      </c>
      <c r="C1385" t="s">
        <v>1734</v>
      </c>
      <c r="D1385" t="str">
        <f>[1]!EM_S_INFO_INDEX_EM(B1385,"1")</f>
        <v>信息技术</v>
      </c>
      <c r="E1385" s="4">
        <f t="shared" si="21"/>
        <v>43465</v>
      </c>
      <c r="F1385" s="11">
        <f>[1]!EM_S_PQ_PCTCHANGE(B1385,"2018-01-01","2019-12-31","3")</f>
        <v>-36.362112009999997</v>
      </c>
      <c r="G1385" s="11">
        <f>[1]!EM_S_PQ_PCTCHANGE(B1385,"2018-12-31","2019-12-30","1")</f>
        <v>17.548859929999999</v>
      </c>
      <c r="H1385" s="11">
        <f>[1]!EM_S_FA_YOY_OR(B1385,E1385)</f>
        <v>15.434773122099999</v>
      </c>
      <c r="I1385" s="11">
        <f>[1]!EM_S_FA_GROSSPROFITMARGIN(B1385,E1385)</f>
        <v>62.944355355600003</v>
      </c>
      <c r="J1385" s="11">
        <f>[1]!EM_S_FA_NETPROFITMARGIN(B1385,E1385)</f>
        <v>-11.959833310900001</v>
      </c>
      <c r="K1385" s="10">
        <f>[1]!EM_S_FA_ASSETSTURN(B1385,E1385)</f>
        <v>0.41751561050500002</v>
      </c>
      <c r="L1385" s="12">
        <f>[1]!EM_HKS_VAL_MV(B1385,"2019-12-31","2")</f>
        <v>2610992640</v>
      </c>
      <c r="M1385">
        <f>[1]!EM_S_VAL_PETTMDEDUCTED(B1385,E1385)</f>
        <v>97.914259618281307</v>
      </c>
      <c r="N1385" s="7">
        <f>[1]!EM_S_VAL_PBGOODWILLDEDUCTED(B1385,E1385)</f>
        <v>4.7492988692450497</v>
      </c>
      <c r="O1385" s="7">
        <f>[1]!EM_S_VAL_PS_TTM(B1385,E1385)</f>
        <v>10.148166555445</v>
      </c>
      <c r="P1385" s="7">
        <f>[1]!EM_S_VAL_PCF_NCFTTM(B1385,E1385)</f>
        <v>182.82238216087501</v>
      </c>
      <c r="Q1385" s="7">
        <f>[1]!EM_S_VAL_DIVIDENDYIELD2(B1385,E1385,"2019-11-29")</f>
        <v>0</v>
      </c>
      <c r="T1385"/>
      <c r="U1385">
        <f>[1]!EM_S_RATIO_EPS_TTM(B1385,E1385,"1")</f>
        <v>-0.30163652950105596</v>
      </c>
      <c r="AT1385" s="4" t="str">
        <f>[1]!EM_S_IPO_LISTEDDATE(B1385)</f>
        <v>2016-04-19</v>
      </c>
    </row>
    <row r="1386" spans="1:46">
      <c r="A1386">
        <v>1468</v>
      </c>
      <c r="B1386" t="str">
        <f>"300042"</f>
        <v>300042</v>
      </c>
      <c r="C1386" t="s">
        <v>1657</v>
      </c>
      <c r="D1386" t="str">
        <f>[1]!EM_S_INFO_INDEX_EM(B1386,"1")</f>
        <v>信息技术</v>
      </c>
      <c r="E1386" s="4">
        <f t="shared" si="21"/>
        <v>43465</v>
      </c>
      <c r="F1386" s="11">
        <f>[1]!EM_S_PQ_PCTCHANGE(B1386,"2018-01-01","2019-12-31","3")</f>
        <v>-24.08129542</v>
      </c>
      <c r="G1386" s="11">
        <f>[1]!EM_S_PQ_PCTCHANGE(B1386,"2018-12-31","2019-12-30","1")</f>
        <v>17.42482652</v>
      </c>
      <c r="H1386" s="11">
        <f>[1]!EM_S_FA_YOY_OR(B1386,E1386)</f>
        <v>4.0999320362000002</v>
      </c>
      <c r="I1386" s="11">
        <f>[1]!EM_S_FA_GROSSPROFITMARGIN(B1386,E1386)</f>
        <v>12.3611681969</v>
      </c>
      <c r="J1386" s="11">
        <f>[1]!EM_S_FA_NETPROFITMARGIN(B1386,E1386)</f>
        <v>6.6703912735999999</v>
      </c>
      <c r="K1386" s="10">
        <f>[1]!EM_S_FA_ASSETSTURN(B1386,E1386)</f>
        <v>0.991469102991</v>
      </c>
      <c r="L1386" s="12">
        <f>[1]!EM_HKS_VAL_MV(B1386,"2019-12-31","2")</f>
        <v>3186360000</v>
      </c>
      <c r="M1386">
        <f>[1]!EM_S_VAL_PETTMDEDUCTED(B1386,E1386)</f>
        <v>37.8592410859547</v>
      </c>
      <c r="N1386" s="7">
        <f>[1]!EM_S_VAL_PBGOODWILLDEDUCTED(B1386,E1386)</f>
        <v>1.8144799404080401</v>
      </c>
      <c r="O1386" s="7">
        <f>[1]!EM_S_VAL_PS_TTM(B1386,E1386)</f>
        <v>1.9384808572249399</v>
      </c>
      <c r="P1386" s="7">
        <f>[1]!EM_S_VAL_PCF_NCFTTM(B1386,E1386)</f>
        <v>43.726709510004099</v>
      </c>
      <c r="Q1386" s="7">
        <f>[1]!EM_S_VAL_DIVIDENDYIELD2(B1386,E1386,"2019-11-29")</f>
        <v>0.92915214866434381</v>
      </c>
      <c r="T1386"/>
      <c r="U1386">
        <f>[1]!EM_S_RATIO_EPS_TTM(B1386,E1386,"1")</f>
        <v>0.4827593145209581</v>
      </c>
      <c r="AT1386" s="4" t="str">
        <f>[1]!EM_S_IPO_LISTEDDATE(B1386)</f>
        <v>2010-01-08</v>
      </c>
    </row>
    <row r="1387" spans="1:46">
      <c r="A1387">
        <v>2699</v>
      </c>
      <c r="B1387" t="str">
        <f>"600626"</f>
        <v>600626</v>
      </c>
      <c r="C1387" t="s">
        <v>1759</v>
      </c>
      <c r="D1387" t="str">
        <f>[1]!EM_S_INFO_INDEX_EM(B1387,"1")</f>
        <v>交运设备</v>
      </c>
      <c r="E1387" s="4">
        <f t="shared" si="21"/>
        <v>43465</v>
      </c>
      <c r="F1387" s="11">
        <f>[1]!EM_S_PQ_PCTCHANGE(B1387,"2018-01-01","2019-12-31","3")</f>
        <v>-20.026139690000001</v>
      </c>
      <c r="G1387" s="11">
        <f>[1]!EM_S_PQ_PCTCHANGE(B1387,"2018-12-31","2019-12-30","1")</f>
        <v>17.40890688</v>
      </c>
      <c r="H1387" s="11">
        <f>[1]!EM_S_FA_YOY_OR(B1387,E1387)</f>
        <v>46.782434578199997</v>
      </c>
      <c r="I1387" s="11">
        <f>[1]!EM_S_FA_GROSSPROFITMARGIN(B1387,E1387)</f>
        <v>10.7844003516</v>
      </c>
      <c r="J1387" s="11">
        <f>[1]!EM_S_FA_NETPROFITMARGIN(B1387,E1387)</f>
        <v>0.79983657320000001</v>
      </c>
      <c r="K1387" s="10">
        <f>[1]!EM_S_FA_ASSETSTURN(B1387,E1387)</f>
        <v>1.4871293489820001</v>
      </c>
      <c r="L1387" s="12">
        <f>[1]!EM_HKS_VAL_MV(B1387,"2019-12-31","2")</f>
        <v>5096702069.6800003</v>
      </c>
      <c r="M1387">
        <f>[1]!EM_S_VAL_PETTMDEDUCTED(B1387,E1387)</f>
        <v>32.285319136763697</v>
      </c>
      <c r="N1387" s="7">
        <f>[1]!EM_S_VAL_PBGOODWILLDEDUCTED(B1387,E1387)</f>
        <v>2.0067941574629802</v>
      </c>
      <c r="O1387" s="7">
        <f>[1]!EM_S_VAL_PS_TTM(B1387,E1387)</f>
        <v>0.25237922772070798</v>
      </c>
      <c r="P1387" s="7">
        <f>[1]!EM_S_VAL_PCF_NCFTTM(B1387,E1387)</f>
        <v>-83.964162557304206</v>
      </c>
      <c r="Q1387" s="7">
        <f>[1]!EM_S_VAL_DIVIDENDYIELD2(B1387,E1387,"2019-11-29")</f>
        <v>0.88809946714031984</v>
      </c>
      <c r="T1387"/>
      <c r="U1387">
        <f>[1]!EM_S_RATIO_EPS_TTM(B1387,E1387,"1")</f>
        <v>0.14690740874567354</v>
      </c>
      <c r="AT1387" s="4" t="str">
        <f>[1]!EM_S_IPO_LISTEDDATE(B1387)</f>
        <v>1993-01-07</v>
      </c>
    </row>
    <row r="1388" spans="1:46">
      <c r="A1388">
        <v>958</v>
      </c>
      <c r="B1388" t="str">
        <f>"002447"</f>
        <v>002447</v>
      </c>
      <c r="C1388" t="s">
        <v>971</v>
      </c>
      <c r="D1388" t="str">
        <f>[1]!EM_S_INFO_INDEX_EM(B1388,"1")</f>
        <v>互联网</v>
      </c>
      <c r="E1388" s="4">
        <f t="shared" si="21"/>
        <v>43465</v>
      </c>
      <c r="F1388" s="11">
        <f>[1]!EM_S_PQ_PCTCHANGE(B1388,"2018-01-01","2019-12-31","3")</f>
        <v>-35.673624289999999</v>
      </c>
      <c r="G1388" s="11">
        <f>[1]!EM_S_PQ_PCTCHANGE(B1388,"2018-12-31","2019-12-30","1")</f>
        <v>17.40614334</v>
      </c>
      <c r="H1388" s="11">
        <f>[1]!EM_S_FA_YOY_OR(B1388,E1388)</f>
        <v>-37.610274270300003</v>
      </c>
      <c r="I1388" s="11">
        <f>[1]!EM_S_FA_GROSSPROFITMARGIN(B1388,E1388)</f>
        <v>69.442754480000005</v>
      </c>
      <c r="J1388" s="11">
        <f>[1]!EM_S_FA_NETPROFITMARGIN(B1388,E1388)</f>
        <v>-260.75825550040003</v>
      </c>
      <c r="K1388" s="10">
        <f>[1]!EM_S_FA_ASSETSTURN(B1388,E1388)</f>
        <v>0.10328844276</v>
      </c>
      <c r="L1388" s="12">
        <f>[1]!EM_HKS_VAL_MV(B1388,"2019-12-31","2")</f>
        <v>4838184270</v>
      </c>
      <c r="M1388">
        <f>[1]!EM_S_VAL_PETTMDEDUCTED(B1388,E1388)</f>
        <v>43.912590337125799</v>
      </c>
      <c r="N1388" s="7">
        <f>[1]!EM_S_VAL_PBGOODWILLDEDUCTED(B1388,E1388)</f>
        <v>4.0129469848745396</v>
      </c>
      <c r="O1388" s="7">
        <f>[1]!EM_S_VAL_PS_TTM(B1388,E1388)</f>
        <v>11.1918765140276</v>
      </c>
      <c r="P1388" s="7">
        <f>[1]!EM_S_VAL_PCF_NCFTTM(B1388,E1388)</f>
        <v>826.99106489228097</v>
      </c>
      <c r="Q1388" s="7">
        <f>[1]!EM_S_VAL_DIVIDENDYIELD2(B1388,E1388,"2019-11-29")</f>
        <v>0</v>
      </c>
      <c r="T1388"/>
      <c r="U1388">
        <f>[1]!EM_S_RATIO_EPS_TTM(B1388,E1388,"1")</f>
        <v>-0.44542724770931474</v>
      </c>
      <c r="AT1388" s="4" t="str">
        <f>[1]!EM_S_IPO_LISTEDDATE(B1388)</f>
        <v>2010-07-13</v>
      </c>
    </row>
    <row r="1389" spans="1:46">
      <c r="A1389">
        <v>2507</v>
      </c>
      <c r="B1389" t="str">
        <f>"600390"</f>
        <v>600390</v>
      </c>
      <c r="C1389" t="s">
        <v>1586</v>
      </c>
      <c r="D1389" t="str">
        <f>[1]!EM_S_INFO_INDEX_EM(B1389,"1")</f>
        <v>金融</v>
      </c>
      <c r="E1389" s="4">
        <f t="shared" si="21"/>
        <v>43465</v>
      </c>
      <c r="F1389" s="11">
        <f>[1]!EM_S_PQ_PCTCHANGE(B1389,"2018-01-01","2019-12-31","3")</f>
        <v>-12.076022890000001</v>
      </c>
      <c r="G1389" s="11">
        <f>[1]!EM_S_PQ_PCTCHANGE(B1389,"2018-12-31","2019-12-30","1")</f>
        <v>17.38505747</v>
      </c>
      <c r="H1389" s="11">
        <f>[1]!EM_S_FA_YOY_OR(B1389,E1389)</f>
        <v>-16.889980622300001</v>
      </c>
      <c r="I1389" s="11">
        <f>[1]!EM_S_FA_GROSSPROFITMARGIN(B1389,E1389)</f>
        <v>39.468855881099998</v>
      </c>
      <c r="J1389" s="11">
        <f>[1]!EM_S_FA_NETPROFITMARGIN(B1389,E1389)</f>
        <v>32.495808709800002</v>
      </c>
      <c r="K1389" s="10">
        <f>[1]!EM_S_FA_ASSETSTURN(B1389,E1389)</f>
        <v>0.10826463448400001</v>
      </c>
      <c r="L1389" s="12">
        <f>[1]!EM_HKS_VAL_MV(B1389,"2019-12-31","2")</f>
        <v>37154020691.339996</v>
      </c>
      <c r="M1389">
        <f>[1]!EM_S_VAL_PETTMDEDUCTED(B1389,E1389)</f>
        <v>17.523672012061599</v>
      </c>
      <c r="N1389" s="7">
        <f>[1]!EM_S_VAL_PBGOODWILLDEDUCTED(B1389,E1389)</f>
        <v>0.83917117851168899</v>
      </c>
      <c r="O1389" s="7">
        <f>[1]!EM_S_VAL_PS_TTM(B1389,E1389)</f>
        <v>1.99458882268046</v>
      </c>
      <c r="P1389" s="7">
        <f>[1]!EM_S_VAL_PCF_NCFTTM(B1389,E1389)</f>
        <v>-8.0943750674036501</v>
      </c>
      <c r="Q1389" s="7">
        <f>[1]!EM_S_VAL_DIVIDENDYIELD2(B1389,E1389,"2019-11-29")</f>
        <v>0</v>
      </c>
      <c r="T1389"/>
      <c r="U1389">
        <f>[1]!EM_S_RATIO_EPS_TTM(B1389,E1389,"1")</f>
        <v>0.60008746565198712</v>
      </c>
      <c r="AT1389" s="4" t="str">
        <f>[1]!EM_S_IPO_LISTEDDATE(B1389)</f>
        <v>2001-01-15</v>
      </c>
    </row>
    <row r="1390" spans="1:46">
      <c r="A1390">
        <v>2832</v>
      </c>
      <c r="B1390" t="str">
        <f>"600759"</f>
        <v>600759</v>
      </c>
      <c r="C1390" t="s">
        <v>2443</v>
      </c>
      <c r="D1390" t="str">
        <f>[1]!EM_S_INFO_INDEX_EM(B1390,"1")</f>
        <v>化石能源</v>
      </c>
      <c r="E1390" s="4">
        <f t="shared" si="21"/>
        <v>43465</v>
      </c>
      <c r="F1390" s="11">
        <f>[1]!EM_S_PQ_PCTCHANGE(B1390,"2018-01-01","2019-12-31","3")</f>
        <v>-34.976525819999999</v>
      </c>
      <c r="G1390" s="11">
        <f>[1]!EM_S_PQ_PCTCHANGE(B1390,"2018-12-31","2019-12-30","1")</f>
        <v>17.372881360000001</v>
      </c>
      <c r="H1390" s="11">
        <f>[1]!EM_S_FA_YOY_OR(B1390,E1390)</f>
        <v>16.667306169100002</v>
      </c>
      <c r="I1390" s="11">
        <f>[1]!EM_S_FA_GROSSPROFITMARGIN(B1390,E1390)</f>
        <v>67.220746289000004</v>
      </c>
      <c r="J1390" s="11">
        <f>[1]!EM_S_FA_NETPROFITMARGIN(B1390,E1390)</f>
        <v>6.2079943544000002</v>
      </c>
      <c r="K1390" s="10">
        <f>[1]!EM_S_FA_ASSETSTURN(B1390,E1390)</f>
        <v>0.21391324370299999</v>
      </c>
      <c r="L1390" s="12">
        <f>[1]!EM_HKS_VAL_MV(B1390,"2019-12-31","2")</f>
        <v>6269915824.8599997</v>
      </c>
      <c r="M1390">
        <f>[1]!EM_S_VAL_PETTMDEDUCTED(B1390,E1390)</f>
        <v>-54.93476137359</v>
      </c>
      <c r="N1390" s="7">
        <f>[1]!EM_S_VAL_PBGOODWILLDEDUCTED(B1390,E1390)</f>
        <v>1.0126856950769101</v>
      </c>
      <c r="O1390" s="7">
        <f>[1]!EM_S_VAL_PS_TTM(B1390,E1390)</f>
        <v>1.54645393174398</v>
      </c>
      <c r="P1390" s="7">
        <f>[1]!EM_S_VAL_PCF_NCFTTM(B1390,E1390)</f>
        <v>51.925745129321299</v>
      </c>
      <c r="Q1390" s="7">
        <f>[1]!EM_S_VAL_DIVIDENDYIELD2(B1390,E1390,"2019-11-29")</f>
        <v>0</v>
      </c>
      <c r="T1390"/>
      <c r="U1390">
        <f>[1]!EM_S_RATIO_EPS_TTM(B1390,E1390,"1")</f>
        <v>3.0759820701421674E-2</v>
      </c>
      <c r="AT1390" s="4" t="str">
        <f>[1]!EM_S_IPO_LISTEDDATE(B1390)</f>
        <v>1996-10-08</v>
      </c>
    </row>
    <row r="1391" spans="1:46">
      <c r="A1391">
        <v>2478</v>
      </c>
      <c r="B1391" t="str">
        <f>"600358"</f>
        <v>600358</v>
      </c>
      <c r="C1391" t="s">
        <v>2888</v>
      </c>
      <c r="D1391" t="str">
        <f>[1]!EM_S_INFO_INDEX_EM(B1391,"1")</f>
        <v>文化传媒</v>
      </c>
      <c r="E1391" s="4">
        <f t="shared" si="21"/>
        <v>43465</v>
      </c>
      <c r="F1391" s="11">
        <f>[1]!EM_S_PQ_PCTCHANGE(B1391,"2018-01-01","2019-12-31","3")</f>
        <v>-35.779816510000003</v>
      </c>
      <c r="G1391" s="11">
        <f>[1]!EM_S_PQ_PCTCHANGE(B1391,"2018-12-31","2019-12-30","1")</f>
        <v>17.329545450000001</v>
      </c>
      <c r="H1391" s="11">
        <f>[1]!EM_S_FA_YOY_OR(B1391,E1391)</f>
        <v>-4.2907134333999997</v>
      </c>
      <c r="I1391" s="11">
        <f>[1]!EM_S_FA_GROSSPROFITMARGIN(B1391,E1391)</f>
        <v>26.076456526299999</v>
      </c>
      <c r="J1391" s="11">
        <f>[1]!EM_S_FA_NETPROFITMARGIN(B1391,E1391)</f>
        <v>-23.702887367199999</v>
      </c>
      <c r="K1391" s="10">
        <f>[1]!EM_S_FA_ASSETSTURN(B1391,E1391)</f>
        <v>0.33762164129900002</v>
      </c>
      <c r="L1391" s="12">
        <f>[1]!EM_HKS_VAL_MV(B1391,"2019-12-31","2")</f>
        <v>2120733972</v>
      </c>
      <c r="M1391">
        <f>[1]!EM_S_VAL_PETTMDEDUCTED(B1391,E1391)</f>
        <v>-118.708322904033</v>
      </c>
      <c r="N1391" s="7">
        <f>[1]!EM_S_VAL_PBGOODWILLDEDUCTED(B1391,E1391)</f>
        <v>4.7762204750385102</v>
      </c>
      <c r="O1391" s="7">
        <f>[1]!EM_S_VAL_PS_TTM(B1391,E1391)</f>
        <v>5.5932058830878804</v>
      </c>
      <c r="P1391" s="7">
        <f>[1]!EM_S_VAL_PCF_NCFTTM(B1391,E1391)</f>
        <v>-11.266752482044801</v>
      </c>
      <c r="Q1391" s="7">
        <f>[1]!EM_S_VAL_DIVIDENDYIELD2(B1391,E1391,"2019-11-29")</f>
        <v>0</v>
      </c>
      <c r="T1391"/>
      <c r="U1391">
        <f>[1]!EM_S_RATIO_EPS_TTM(B1391,E1391,"1")</f>
        <v>-0.16554661968889325</v>
      </c>
      <c r="AT1391" s="4" t="str">
        <f>[1]!EM_S_IPO_LISTEDDATE(B1391)</f>
        <v>2000-09-22</v>
      </c>
    </row>
    <row r="1392" spans="1:46">
      <c r="A1392">
        <v>1594</v>
      </c>
      <c r="B1392" t="str">
        <f>"300169"</f>
        <v>300169</v>
      </c>
      <c r="C1392" t="s">
        <v>3271</v>
      </c>
      <c r="D1392" t="str">
        <f>[1]!EM_S_INFO_INDEX_EM(B1392,"1")</f>
        <v>基础化工</v>
      </c>
      <c r="E1392" s="4">
        <f t="shared" si="21"/>
        <v>43465</v>
      </c>
      <c r="F1392" s="11">
        <f>[1]!EM_S_PQ_PCTCHANGE(B1392,"2018-01-01","2019-12-31","3")</f>
        <v>-5.9504132199999997</v>
      </c>
      <c r="G1392" s="11">
        <f>[1]!EM_S_PQ_PCTCHANGE(B1392,"2018-12-31","2019-12-30","1")</f>
        <v>17.319587630000001</v>
      </c>
      <c r="H1392" s="11">
        <f>[1]!EM_S_FA_YOY_OR(B1392,E1392)</f>
        <v>17.118609512100001</v>
      </c>
      <c r="I1392" s="11">
        <f>[1]!EM_S_FA_GROSSPROFITMARGIN(B1392,E1392)</f>
        <v>25.770052370799998</v>
      </c>
      <c r="J1392" s="11">
        <f>[1]!EM_S_FA_NETPROFITMARGIN(B1392,E1392)</f>
        <v>1.7425286987999999</v>
      </c>
      <c r="K1392" s="10">
        <f>[1]!EM_S_FA_ASSETSTURN(B1392,E1392)</f>
        <v>0.43768525828999999</v>
      </c>
      <c r="L1392" s="12">
        <f>[1]!EM_HKS_VAL_MV(B1392,"2019-12-31","2")</f>
        <v>1854850894.5999999</v>
      </c>
      <c r="M1392">
        <f>[1]!EM_S_VAL_PETTMDEDUCTED(B1392,E1392)</f>
        <v>-38.511902406405497</v>
      </c>
      <c r="N1392" s="7">
        <f>[1]!EM_S_VAL_PBGOODWILLDEDUCTED(B1392,E1392)</f>
        <v>1.7510449928179099</v>
      </c>
      <c r="O1392" s="7">
        <f>[1]!EM_S_VAL_PS_TTM(B1392,E1392)</f>
        <v>1.8479122527249601</v>
      </c>
      <c r="P1392" s="7">
        <f>[1]!EM_S_VAL_PCF_NCFTTM(B1392,E1392)</f>
        <v>56.185811148173201</v>
      </c>
      <c r="Q1392" s="7">
        <f>[1]!EM_S_VAL_DIVIDENDYIELD2(B1392,E1392,"2019-11-29")</f>
        <v>0</v>
      </c>
      <c r="T1392"/>
      <c r="U1392">
        <f>[1]!EM_S_RATIO_EPS_TTM(B1392,E1392,"1")</f>
        <v>4.9676581335164748E-2</v>
      </c>
      <c r="AT1392" s="4" t="str">
        <f>[1]!EM_S_IPO_LISTEDDATE(B1392)</f>
        <v>2011-01-25</v>
      </c>
    </row>
    <row r="1393" spans="1:46">
      <c r="A1393">
        <v>2895</v>
      </c>
      <c r="B1393" t="str">
        <f>"600822"</f>
        <v>600822</v>
      </c>
      <c r="C1393" t="s">
        <v>872</v>
      </c>
      <c r="D1393" t="str">
        <f>[1]!EM_S_INFO_INDEX_EM(B1393,"1")</f>
        <v>商贸零售</v>
      </c>
      <c r="E1393" s="4">
        <f t="shared" si="21"/>
        <v>43465</v>
      </c>
      <c r="F1393" s="11">
        <f>[1]!EM_S_PQ_PCTCHANGE(B1393,"2018-01-01","2019-12-31","3")</f>
        <v>-22.103658540000001</v>
      </c>
      <c r="G1393" s="11">
        <f>[1]!EM_S_PQ_PCTCHANGE(B1393,"2018-12-31","2019-12-30","1")</f>
        <v>17.26535342</v>
      </c>
      <c r="H1393" s="11">
        <f>[1]!EM_S_FA_YOY_OR(B1393,E1393)</f>
        <v>1.3338868189999999</v>
      </c>
      <c r="I1393" s="11">
        <f>[1]!EM_S_FA_GROSSPROFITMARGIN(B1393,E1393)</f>
        <v>5.9967264297999998</v>
      </c>
      <c r="J1393" s="11">
        <f>[1]!EM_S_FA_NETPROFITMARGIN(B1393,E1393)</f>
        <v>0.82539267709999997</v>
      </c>
      <c r="K1393" s="10">
        <f>[1]!EM_S_FA_ASSETSTURN(B1393,E1393)</f>
        <v>3.2984065386519998</v>
      </c>
      <c r="L1393" s="12">
        <f>[1]!EM_HKS_VAL_MV(B1393,"2019-12-31","2")</f>
        <v>5068843181.0799999</v>
      </c>
      <c r="M1393">
        <f>[1]!EM_S_VAL_PETTMDEDUCTED(B1393,E1393)</f>
        <v>99.504202035158499</v>
      </c>
      <c r="N1393" s="7">
        <f>[1]!EM_S_VAL_PBGOODWILLDEDUCTED(B1393,E1393)</f>
        <v>7.0925273933649704</v>
      </c>
      <c r="O1393" s="7">
        <f>[1]!EM_S_VAL_PS_TTM(B1393,E1393)</f>
        <v>0.66404090860013598</v>
      </c>
      <c r="P1393" s="7">
        <f>[1]!EM_S_VAL_PCF_NCFTTM(B1393,E1393)</f>
        <v>176.23552822929801</v>
      </c>
      <c r="Q1393" s="7">
        <f>[1]!EM_S_VAL_DIVIDENDYIELD2(B1393,E1393,"2019-11-29")</f>
        <v>0</v>
      </c>
      <c r="T1393"/>
      <c r="U1393">
        <f>[1]!EM_S_RATIO_EPS_TTM(B1393,E1393,"1")</f>
        <v>8.8881001312099875E-2</v>
      </c>
      <c r="AT1393" s="4" t="str">
        <f>[1]!EM_S_IPO_LISTEDDATE(B1393)</f>
        <v>1994-02-04</v>
      </c>
    </row>
    <row r="1394" spans="1:46">
      <c r="A1394">
        <v>1260</v>
      </c>
      <c r="B1394" t="str">
        <f>"002751"</f>
        <v>002751</v>
      </c>
      <c r="C1394" t="s">
        <v>2253</v>
      </c>
      <c r="D1394" t="str">
        <f>[1]!EM_S_INFO_INDEX_EM(B1394,"1")</f>
        <v>轻工制造</v>
      </c>
      <c r="E1394" s="4">
        <f t="shared" si="21"/>
        <v>43465</v>
      </c>
      <c r="F1394" s="11">
        <f>[1]!EM_S_PQ_PCTCHANGE(B1394,"2018-01-01","2019-12-31","3")</f>
        <v>-35.291891579999998</v>
      </c>
      <c r="G1394" s="11">
        <f>[1]!EM_S_PQ_PCTCHANGE(B1394,"2018-12-31","2019-12-30","1")</f>
        <v>17.22532588</v>
      </c>
      <c r="H1394" s="11">
        <f>[1]!EM_S_FA_YOY_OR(B1394,E1394)</f>
        <v>53.466976842599998</v>
      </c>
      <c r="I1394" s="11">
        <f>[1]!EM_S_FA_GROSSPROFITMARGIN(B1394,E1394)</f>
        <v>33.481804594700002</v>
      </c>
      <c r="J1394" s="11">
        <f>[1]!EM_S_FA_NETPROFITMARGIN(B1394,E1394)</f>
        <v>9.6518392390999992</v>
      </c>
      <c r="K1394" s="10">
        <f>[1]!EM_S_FA_ASSETSTURN(B1394,E1394)</f>
        <v>0.42843591661399999</v>
      </c>
      <c r="L1394" s="12">
        <f>[1]!EM_HKS_VAL_MV(B1394,"2019-12-31","2")</f>
        <v>3889751423.0799999</v>
      </c>
      <c r="M1394">
        <f>[1]!EM_S_VAL_PETTMDEDUCTED(B1394,E1394)</f>
        <v>59.209559319281603</v>
      </c>
      <c r="N1394" s="7">
        <f>[1]!EM_S_VAL_PBGOODWILLDEDUCTED(B1394,E1394)</f>
        <v>3.29501504278528</v>
      </c>
      <c r="O1394" s="7">
        <f>[1]!EM_S_VAL_PS_TTM(B1394,E1394)</f>
        <v>3.9403791750473198</v>
      </c>
      <c r="P1394" s="7">
        <f>[1]!EM_S_VAL_PCF_NCFTTM(B1394,E1394)</f>
        <v>62.937443175394598</v>
      </c>
      <c r="Q1394" s="7">
        <f>[1]!EM_S_VAL_DIVIDENDYIELD2(B1394,E1394,"2019-11-29")</f>
        <v>8.9847259658580425E-2</v>
      </c>
      <c r="T1394"/>
      <c r="U1394">
        <f>[1]!EM_S_RATIO_EPS_TTM(B1394,E1394,"1")</f>
        <v>0.52134773469494589</v>
      </c>
      <c r="AT1394" s="4" t="str">
        <f>[1]!EM_S_IPO_LISTEDDATE(B1394)</f>
        <v>2015-04-24</v>
      </c>
    </row>
    <row r="1395" spans="1:46">
      <c r="A1395">
        <v>3502</v>
      </c>
      <c r="B1395" t="str">
        <f>"603699"</f>
        <v>603699</v>
      </c>
      <c r="C1395" t="s">
        <v>1646</v>
      </c>
      <c r="D1395" t="str">
        <f>[1]!EM_S_INFO_INDEX_EM(B1395,"1")</f>
        <v>机械设备</v>
      </c>
      <c r="E1395" s="4">
        <f t="shared" si="21"/>
        <v>43465</v>
      </c>
      <c r="F1395" s="11">
        <f>[1]!EM_S_PQ_PCTCHANGE(B1395,"2018-01-01","2019-12-31","3")</f>
        <v>-23.07237868</v>
      </c>
      <c r="G1395" s="11">
        <f>[1]!EM_S_PQ_PCTCHANGE(B1395,"2018-12-31","2019-12-30","1")</f>
        <v>17.154811720000001</v>
      </c>
      <c r="H1395" s="11">
        <f>[1]!EM_S_FA_YOY_OR(B1395,E1395)</f>
        <v>16.104411578200001</v>
      </c>
      <c r="I1395" s="11">
        <f>[1]!EM_S_FA_GROSSPROFITMARGIN(B1395,E1395)</f>
        <v>34.5192271031</v>
      </c>
      <c r="J1395" s="11">
        <f>[1]!EM_S_FA_NETPROFITMARGIN(B1395,E1395)</f>
        <v>9.7632644842000005</v>
      </c>
      <c r="K1395" s="10">
        <f>[1]!EM_S_FA_ASSETSTURN(B1395,E1395)</f>
        <v>0.60427978024100004</v>
      </c>
      <c r="L1395" s="12">
        <f>[1]!EM_HKS_VAL_MV(B1395,"2019-12-31","2")</f>
        <v>10365000000</v>
      </c>
      <c r="M1395">
        <f>[1]!EM_S_VAL_PETTMDEDUCTED(B1395,E1395)</f>
        <v>38.872081673746202</v>
      </c>
      <c r="N1395" s="7">
        <f>[1]!EM_S_VAL_PBGOODWILLDEDUCTED(B1395,E1395)</f>
        <v>3.2793956108168398</v>
      </c>
      <c r="O1395" s="7">
        <f>[1]!EM_S_VAL_PS_TTM(B1395,E1395)</f>
        <v>3.2905365608042501</v>
      </c>
      <c r="P1395" s="7">
        <f>[1]!EM_S_VAL_PCF_NCFTTM(B1395,E1395)</f>
        <v>150.334067987954</v>
      </c>
      <c r="Q1395" s="7">
        <f>[1]!EM_S_VAL_DIVIDENDYIELD2(B1395,E1395,"2019-11-29")</f>
        <v>5.1897753679318361</v>
      </c>
      <c r="T1395"/>
      <c r="U1395">
        <f>[1]!EM_S_RATIO_EPS_TTM(B1395,E1395,"1")</f>
        <v>0.36542239075999999</v>
      </c>
      <c r="AT1395" s="4" t="str">
        <f>[1]!EM_S_IPO_LISTEDDATE(B1395)</f>
        <v>2014-01-17</v>
      </c>
    </row>
    <row r="1396" spans="1:46">
      <c r="A1396">
        <v>3278</v>
      </c>
      <c r="B1396" t="str">
        <f>"603123"</f>
        <v>603123</v>
      </c>
      <c r="C1396" t="s">
        <v>1758</v>
      </c>
      <c r="D1396" t="str">
        <f>[1]!EM_S_INFO_INDEX_EM(B1396,"1")</f>
        <v>商贸零售</v>
      </c>
      <c r="E1396" s="4">
        <f t="shared" si="21"/>
        <v>43465</v>
      </c>
      <c r="F1396" s="11">
        <f>[1]!EM_S_PQ_PCTCHANGE(B1396,"2018-01-01","2019-12-31","3")</f>
        <v>-7.1073066999999996</v>
      </c>
      <c r="G1396" s="11">
        <f>[1]!EM_S_PQ_PCTCHANGE(B1396,"2018-12-31","2019-12-30","1")</f>
        <v>17.118644069999998</v>
      </c>
      <c r="H1396" s="11">
        <f>[1]!EM_S_FA_YOY_OR(B1396,E1396)</f>
        <v>-1.4275026045000001</v>
      </c>
      <c r="I1396" s="11">
        <f>[1]!EM_S_FA_GROSSPROFITMARGIN(B1396,E1396)</f>
        <v>20.1492690016</v>
      </c>
      <c r="J1396" s="11">
        <f>[1]!EM_S_FA_NETPROFITMARGIN(B1396,E1396)</f>
        <v>3.5024341931</v>
      </c>
      <c r="K1396" s="10">
        <f>[1]!EM_S_FA_ASSETSTURN(B1396,E1396)</f>
        <v>0.93753302287700002</v>
      </c>
      <c r="L1396" s="12">
        <f>[1]!EM_HKS_VAL_MV(B1396,"2019-12-31","2")</f>
        <v>3579905036.2600002</v>
      </c>
      <c r="M1396">
        <f>[1]!EM_S_VAL_PETTMDEDUCTED(B1396,E1396)</f>
        <v>21.517874950206402</v>
      </c>
      <c r="N1396" s="7">
        <f>[1]!EM_S_VAL_PBGOODWILLDEDUCTED(B1396,E1396)</f>
        <v>0.98703824957170905</v>
      </c>
      <c r="O1396" s="7">
        <f>[1]!EM_S_VAL_PS_TTM(B1396,E1396)</f>
        <v>0.61258807493586498</v>
      </c>
      <c r="P1396" s="7">
        <f>[1]!EM_S_VAL_PCF_NCFTTM(B1396,E1396)</f>
        <v>-159.52631362078299</v>
      </c>
      <c r="Q1396" s="7">
        <f>[1]!EM_S_VAL_DIVIDENDYIELD2(B1396,E1396,"2019-11-29")</f>
        <v>1.7216642754662841</v>
      </c>
      <c r="T1396"/>
      <c r="U1396">
        <f>[1]!EM_S_RATIO_EPS_TTM(B1396,E1396,"1")</f>
        <v>0.33317860800533639</v>
      </c>
      <c r="AT1396" s="4" t="str">
        <f>[1]!EM_S_IPO_LISTEDDATE(B1396)</f>
        <v>2012-05-03</v>
      </c>
    </row>
    <row r="1397" spans="1:46">
      <c r="A1397">
        <v>2252</v>
      </c>
      <c r="B1397" t="str">
        <f>"600105"</f>
        <v>600105</v>
      </c>
      <c r="C1397" t="s">
        <v>1694</v>
      </c>
      <c r="D1397" t="str">
        <f>[1]!EM_S_INFO_INDEX_EM(B1397,"1")</f>
        <v>信息技术</v>
      </c>
      <c r="E1397" s="4">
        <f t="shared" si="21"/>
        <v>43465</v>
      </c>
      <c r="F1397" s="11">
        <f>[1]!EM_S_PQ_PCTCHANGE(B1397,"2018-01-01","2019-12-31","3")</f>
        <v>-5.68525671</v>
      </c>
      <c r="G1397" s="11">
        <f>[1]!EM_S_PQ_PCTCHANGE(B1397,"2018-12-31","2019-12-30","1")</f>
        <v>17.098445600000002</v>
      </c>
      <c r="H1397" s="11">
        <f>[1]!EM_S_FA_YOY_OR(B1397,E1397)</f>
        <v>12.1891281444</v>
      </c>
      <c r="I1397" s="11">
        <f>[1]!EM_S_FA_GROSSPROFITMARGIN(B1397,E1397)</f>
        <v>14.1348902977</v>
      </c>
      <c r="J1397" s="11">
        <f>[1]!EM_S_FA_NETPROFITMARGIN(B1397,E1397)</f>
        <v>7.6000598024999997</v>
      </c>
      <c r="K1397" s="10">
        <f>[1]!EM_S_FA_ASSETSTURN(B1397,E1397)</f>
        <v>0.633103414403</v>
      </c>
      <c r="L1397" s="12">
        <f>[1]!EM_HKS_VAL_MV(B1397,"2019-12-31","2")</f>
        <v>5604513300</v>
      </c>
      <c r="M1397">
        <f>[1]!EM_S_VAL_PETTMDEDUCTED(B1397,E1397)</f>
        <v>25.926120201710301</v>
      </c>
      <c r="N1397" s="7">
        <f>[1]!EM_S_VAL_PBGOODWILLDEDUCTED(B1397,E1397)</f>
        <v>1.96213170338652</v>
      </c>
      <c r="O1397" s="7">
        <f>[1]!EM_S_VAL_PS_TTM(B1397,E1397)</f>
        <v>1.4152149341864999</v>
      </c>
      <c r="P1397" s="7">
        <f>[1]!EM_S_VAL_PCF_NCFTTM(B1397,E1397)</f>
        <v>152.21619207855699</v>
      </c>
      <c r="Q1397" s="7">
        <f>[1]!EM_S_VAL_DIVIDENDYIELD2(B1397,E1397,"2019-11-29")</f>
        <v>3.4647673370366623</v>
      </c>
      <c r="T1397"/>
      <c r="U1397">
        <f>[1]!EM_S_RATIO_EPS_TTM(B1397,E1397,"1")</f>
        <v>0.15444635629514283</v>
      </c>
      <c r="AT1397" s="4" t="str">
        <f>[1]!EM_S_IPO_LISTEDDATE(B1397)</f>
        <v>1997-09-29</v>
      </c>
    </row>
    <row r="1398" spans="1:46">
      <c r="A1398">
        <v>2034</v>
      </c>
      <c r="B1398" t="str">
        <f>"300615"</f>
        <v>300615</v>
      </c>
      <c r="C1398" t="s">
        <v>2593</v>
      </c>
      <c r="D1398" t="str">
        <f>[1]!EM_S_INFO_INDEX_EM(B1398,"1")</f>
        <v>信息技术</v>
      </c>
      <c r="E1398" s="4">
        <f t="shared" si="21"/>
        <v>43465</v>
      </c>
      <c r="F1398" s="11">
        <f>[1]!EM_S_PQ_PCTCHANGE(B1398,"2018-01-01","2019-12-31","3")</f>
        <v>48.254332769999998</v>
      </c>
      <c r="G1398" s="11">
        <f>[1]!EM_S_PQ_PCTCHANGE(B1398,"2018-12-31","2019-12-30","1")</f>
        <v>17.088607589999999</v>
      </c>
      <c r="H1398" s="11">
        <f>[1]!EM_S_FA_YOY_OR(B1398,E1398)</f>
        <v>1.8154970636000001</v>
      </c>
      <c r="I1398" s="11">
        <f>[1]!EM_S_FA_GROSSPROFITMARGIN(B1398,E1398)</f>
        <v>30.995497451999999</v>
      </c>
      <c r="J1398" s="11">
        <f>[1]!EM_S_FA_NETPROFITMARGIN(B1398,E1398)</f>
        <v>6.5729311389999996</v>
      </c>
      <c r="K1398" s="10">
        <f>[1]!EM_S_FA_ASSETSTURN(B1398,E1398)</f>
        <v>0.44314507967900002</v>
      </c>
      <c r="L1398" s="12">
        <f>[1]!EM_HKS_VAL_MV(B1398,"2019-12-31","2")</f>
        <v>3823263204.8000002</v>
      </c>
      <c r="M1398">
        <f>[1]!EM_S_VAL_PETTMDEDUCTED(B1398,E1398)</f>
        <v>98.730417155823901</v>
      </c>
      <c r="N1398" s="7">
        <f>[1]!EM_S_VAL_PBGOODWILLDEDUCTED(B1398,E1398)</f>
        <v>5.4681051566301102</v>
      </c>
      <c r="O1398" s="7">
        <f>[1]!EM_S_VAL_PS_TTM(B1398,E1398)</f>
        <v>10.589019579625701</v>
      </c>
      <c r="P1398" s="7">
        <f>[1]!EM_S_VAL_PCF_NCFTTM(B1398,E1398)</f>
        <v>-47.695706540632003</v>
      </c>
      <c r="Q1398" s="7">
        <f>[1]!EM_S_VAL_DIVIDENDYIELD2(B1398,E1398,"2019-11-29")</f>
        <v>0.19411889611672689</v>
      </c>
      <c r="T1398"/>
      <c r="U1398">
        <f>[1]!EM_S_RATIO_EPS_TTM(B1398,E1398,"1")</f>
        <v>0.10574408868667663</v>
      </c>
      <c r="AT1398" s="4" t="str">
        <f>[1]!EM_S_IPO_LISTEDDATE(B1398)</f>
        <v>2017-02-15</v>
      </c>
    </row>
    <row r="1399" spans="1:46">
      <c r="A1399">
        <v>2081</v>
      </c>
      <c r="B1399" t="str">
        <f>"300662"</f>
        <v>300662</v>
      </c>
      <c r="C1399" t="s">
        <v>1106</v>
      </c>
      <c r="D1399" t="str">
        <f>[1]!EM_S_INFO_INDEX_EM(B1399,"1")</f>
        <v>休闲、生活及专业服务</v>
      </c>
      <c r="E1399" s="4">
        <f t="shared" si="21"/>
        <v>43465</v>
      </c>
      <c r="F1399" s="11">
        <f>[1]!EM_S_PQ_PCTCHANGE(B1399,"2018-01-01","2019-12-31","3")</f>
        <v>29.329476719999999</v>
      </c>
      <c r="G1399" s="11">
        <f>[1]!EM_S_PQ_PCTCHANGE(B1399,"2018-12-31","2019-12-30","1")</f>
        <v>17.030075190000002</v>
      </c>
      <c r="H1399" s="11">
        <f>[1]!EM_S_FA_YOY_OR(B1399,E1399)</f>
        <v>93.537075732199995</v>
      </c>
      <c r="I1399" s="11">
        <f>[1]!EM_S_FA_GROSSPROFITMARGIN(B1399,E1399)</f>
        <v>18.118829760899999</v>
      </c>
      <c r="J1399" s="11">
        <f>[1]!EM_S_FA_NETPROFITMARGIN(B1399,E1399)</f>
        <v>6.2383434672</v>
      </c>
      <c r="K1399" s="10">
        <f>[1]!EM_S_FA_ASSETSTURN(B1399,E1399)</f>
        <v>1.9094034403789999</v>
      </c>
      <c r="L1399" s="12">
        <f>[1]!EM_HKS_VAL_MV(B1399,"2019-12-31","2")</f>
        <v>5722200000</v>
      </c>
      <c r="M1399">
        <f>[1]!EM_S_VAL_PETTMDEDUCTED(B1399,E1399)</f>
        <v>48.763952669598801</v>
      </c>
      <c r="N1399" s="7">
        <f>[1]!EM_S_VAL_PBGOODWILLDEDUCTED(B1399,E1399)</f>
        <v>8.1965418706102096</v>
      </c>
      <c r="O1399" s="7">
        <f>[1]!EM_S_VAL_PS_TTM(B1399,E1399)</f>
        <v>2.7171719294290599</v>
      </c>
      <c r="P1399" s="7">
        <f>[1]!EM_S_VAL_PCF_NCFTTM(B1399,E1399)</f>
        <v>-25.705236787580301</v>
      </c>
      <c r="Q1399" s="7">
        <f>[1]!EM_S_VAL_DIVIDENDYIELD2(B1399,E1399,"2019-11-29")</f>
        <v>0.44986263736263732</v>
      </c>
      <c r="T1399"/>
      <c r="U1399">
        <f>[1]!EM_S_RATIO_EPS_TTM(B1399,E1399,"1")</f>
        <v>0.65374975800000001</v>
      </c>
      <c r="AT1399" s="4" t="str">
        <f>[1]!EM_S_IPO_LISTEDDATE(B1399)</f>
        <v>2017-06-08</v>
      </c>
    </row>
    <row r="1400" spans="1:46">
      <c r="A1400">
        <v>815</v>
      </c>
      <c r="B1400" t="str">
        <f>"002304"</f>
        <v>002304</v>
      </c>
      <c r="C1400" t="s">
        <v>71</v>
      </c>
      <c r="D1400" t="str">
        <f>[1]!EM_S_INFO_INDEX_EM(B1400,"1")</f>
        <v>食品饮料</v>
      </c>
      <c r="E1400" s="4">
        <f t="shared" si="21"/>
        <v>43465</v>
      </c>
      <c r="F1400" s="11">
        <f>[1]!EM_S_PQ_PCTCHANGE(B1400,"2018-01-01","2019-12-31","3")</f>
        <v>0.49167759</v>
      </c>
      <c r="G1400" s="11">
        <f>[1]!EM_S_PQ_PCTCHANGE(B1400,"2018-12-31","2019-12-30","1")</f>
        <v>16.98690878</v>
      </c>
      <c r="H1400" s="11">
        <f>[1]!EM_S_FA_YOY_OR(B1400,E1400)</f>
        <v>21.296676663700001</v>
      </c>
      <c r="I1400" s="11">
        <f>[1]!EM_S_FA_GROSSPROFITMARGIN(B1400,E1400)</f>
        <v>73.703252205200002</v>
      </c>
      <c r="J1400" s="11">
        <f>[1]!EM_S_FA_NETPROFITMARGIN(B1400,E1400)</f>
        <v>33.590216907799999</v>
      </c>
      <c r="K1400" s="10">
        <f>[1]!EM_S_FA_ASSETSTURN(B1400,E1400)</f>
        <v>0.520562491771</v>
      </c>
      <c r="L1400" s="12">
        <f>[1]!EM_HKS_VAL_MV(B1400,"2019-12-31","2")</f>
        <v>166522174000</v>
      </c>
      <c r="M1400">
        <f>[1]!EM_S_VAL_PETTMDEDUCTED(B1400,E1400)</f>
        <v>19.3685980230883</v>
      </c>
      <c r="N1400" s="7">
        <f>[1]!EM_S_VAL_PBGOODWILLDEDUCTED(B1400,E1400)</f>
        <v>4.2777404558614602</v>
      </c>
      <c r="O1400" s="7">
        <f>[1]!EM_S_VAL_PS_TTM(B1400,E1400)</f>
        <v>5.9462719106145201</v>
      </c>
      <c r="P1400" s="7">
        <f>[1]!EM_S_VAL_PCF_NCFTTM(B1400,E1400)</f>
        <v>-314.18304340012702</v>
      </c>
      <c r="Q1400" s="7">
        <f>[1]!EM_S_VAL_DIVIDENDYIELD2(B1400,E1400,"2019-11-29")</f>
        <v>3.2589876769528465</v>
      </c>
      <c r="U1400">
        <f>[1]!EM_S_RATIO_EPS_TTM(B1400,E1400,"1")</f>
        <v>5.3850394261201808</v>
      </c>
      <c r="AT1400" s="4" t="str">
        <f>[1]!EM_S_IPO_LISTEDDATE(B1400)</f>
        <v>2009-11-06</v>
      </c>
    </row>
    <row r="1401" spans="1:46">
      <c r="A1401">
        <v>2246</v>
      </c>
      <c r="B1401" t="str">
        <f>"600099"</f>
        <v>600099</v>
      </c>
      <c r="C1401" t="s">
        <v>3088</v>
      </c>
      <c r="D1401" t="str">
        <f>[1]!EM_S_INFO_INDEX_EM(B1401,"1")</f>
        <v>机械设备</v>
      </c>
      <c r="E1401" s="4">
        <f t="shared" si="21"/>
        <v>43465</v>
      </c>
      <c r="F1401" s="11">
        <f>[1]!EM_S_PQ_PCTCHANGE(B1401,"2018-01-01","2019-12-31","3")</f>
        <v>-31.6872428</v>
      </c>
      <c r="G1401" s="11">
        <f>[1]!EM_S_PQ_PCTCHANGE(B1401,"2018-12-31","2019-12-30","1")</f>
        <v>16.931216930000001</v>
      </c>
      <c r="H1401" s="11">
        <f>[1]!EM_S_FA_YOY_OR(B1401,E1401)</f>
        <v>16.3214547794</v>
      </c>
      <c r="I1401" s="11">
        <f>[1]!EM_S_FA_GROSSPROFITMARGIN(B1401,E1401)</f>
        <v>11.8312179135</v>
      </c>
      <c r="J1401" s="11">
        <f>[1]!EM_S_FA_NETPROFITMARGIN(B1401,E1401)</f>
        <v>0.50329576949999999</v>
      </c>
      <c r="K1401" s="10">
        <f>[1]!EM_S_FA_ASSETSTURN(B1401,E1401)</f>
        <v>0.91754720692299996</v>
      </c>
      <c r="L1401" s="12">
        <f>[1]!EM_HKS_VAL_MV(B1401,"2019-12-31","2")</f>
        <v>1454956800</v>
      </c>
      <c r="M1401">
        <f>[1]!EM_S_VAL_PETTMDEDUCTED(B1401,E1401)</f>
        <v>-587.73207736582197</v>
      </c>
      <c r="N1401" s="7">
        <f>[1]!EM_S_VAL_PBGOODWILLDEDUCTED(B1401,E1401)</f>
        <v>2.6252898638856799</v>
      </c>
      <c r="O1401" s="7">
        <f>[1]!EM_S_VAL_PS_TTM(B1401,E1401)</f>
        <v>2.4957633042459899</v>
      </c>
      <c r="P1401" s="7">
        <f>[1]!EM_S_VAL_PCF_NCFTTM(B1401,E1401)</f>
        <v>-174.39264413492799</v>
      </c>
      <c r="Q1401" s="7">
        <f>[1]!EM_S_VAL_DIVIDENDYIELD2(B1401,E1401,"2019-11-29")</f>
        <v>0</v>
      </c>
      <c r="T1401"/>
      <c r="U1401">
        <f>[1]!EM_S_RATIO_EPS_TTM(B1401,E1401,"1")</f>
        <v>1.2083771038700257E-2</v>
      </c>
      <c r="AT1401" s="4" t="str">
        <f>[1]!EM_S_IPO_LISTEDDATE(B1401)</f>
        <v>1997-07-04</v>
      </c>
    </row>
    <row r="1402" spans="1:46">
      <c r="A1402">
        <v>2001</v>
      </c>
      <c r="B1402" t="str">
        <f>"300580"</f>
        <v>300580</v>
      </c>
      <c r="C1402" t="s">
        <v>1069</v>
      </c>
      <c r="D1402" t="str">
        <f>[1]!EM_S_INFO_INDEX_EM(B1402,"1")</f>
        <v>交运设备</v>
      </c>
      <c r="E1402" s="4">
        <f t="shared" si="21"/>
        <v>43465</v>
      </c>
      <c r="F1402" s="11">
        <f>[1]!EM_S_PQ_PCTCHANGE(B1402,"2018-01-01","2019-12-31","3")</f>
        <v>-29.51294824</v>
      </c>
      <c r="G1402" s="11">
        <f>[1]!EM_S_PQ_PCTCHANGE(B1402,"2018-12-31","2019-12-30","1")</f>
        <v>16.92307692</v>
      </c>
      <c r="H1402" s="11">
        <f>[1]!EM_S_FA_YOY_OR(B1402,E1402)</f>
        <v>11.041711550800001</v>
      </c>
      <c r="I1402" s="11">
        <f>[1]!EM_S_FA_GROSSPROFITMARGIN(B1402,E1402)</f>
        <v>39.667241762499998</v>
      </c>
      <c r="J1402" s="11">
        <f>[1]!EM_S_FA_NETPROFITMARGIN(B1402,E1402)</f>
        <v>21.319507344000002</v>
      </c>
      <c r="K1402" s="10">
        <f>[1]!EM_S_FA_ASSETSTURN(B1402,E1402)</f>
        <v>0.46514644459600002</v>
      </c>
      <c r="L1402" s="12">
        <f>[1]!EM_HKS_VAL_MV(B1402,"2019-12-31","2")</f>
        <v>3004000000</v>
      </c>
      <c r="M1402">
        <f>[1]!EM_S_VAL_PETTMDEDUCTED(B1402,E1402)</f>
        <v>19.0114884450403</v>
      </c>
      <c r="N1402" s="7">
        <f>[1]!EM_S_VAL_PBGOODWILLDEDUCTED(B1402,E1402)</f>
        <v>1.87827489783984</v>
      </c>
      <c r="O1402" s="7">
        <f>[1]!EM_S_VAL_PS_TTM(B1402,E1402)</f>
        <v>3.6291574683591401</v>
      </c>
      <c r="P1402" s="7">
        <f>[1]!EM_S_VAL_PCF_NCFTTM(B1402,E1402)</f>
        <v>-210.95207789151701</v>
      </c>
      <c r="Q1402" s="7">
        <f>[1]!EM_S_VAL_DIVIDENDYIELD2(B1402,E1402,"2019-11-29")</f>
        <v>1.1569052783803326</v>
      </c>
      <c r="T1402"/>
      <c r="U1402">
        <f>[1]!EM_S_RATIO_EPS_TTM(B1402,E1402,"1")</f>
        <v>0.79389277200000008</v>
      </c>
      <c r="AT1402" s="4" t="str">
        <f>[1]!EM_S_IPO_LISTEDDATE(B1402)</f>
        <v>2017-01-11</v>
      </c>
    </row>
    <row r="1403" spans="1:46">
      <c r="A1403">
        <v>1536</v>
      </c>
      <c r="B1403" t="str">
        <f>"300111"</f>
        <v>300111</v>
      </c>
      <c r="C1403" t="s">
        <v>3569</v>
      </c>
      <c r="D1403" t="str">
        <f>[1]!EM_S_INFO_INDEX_EM(B1403,"1")</f>
        <v>有色金属</v>
      </c>
      <c r="E1403" s="4">
        <f t="shared" si="21"/>
        <v>43465</v>
      </c>
      <c r="F1403" s="11">
        <f>[1]!EM_S_PQ_PCTCHANGE(B1403,"2018-01-01","2019-12-31","3")</f>
        <v>-34.818941500000001</v>
      </c>
      <c r="G1403" s="11">
        <f>[1]!EM_S_PQ_PCTCHANGE(B1403,"2018-12-31","2019-12-30","1")</f>
        <v>16.915422889999999</v>
      </c>
      <c r="H1403" s="11">
        <f>[1]!EM_S_FA_YOY_OR(B1403,E1403)</f>
        <v>-57.035109902899997</v>
      </c>
      <c r="I1403" s="11">
        <f>[1]!EM_S_FA_GROSSPROFITMARGIN(B1403,E1403)</f>
        <v>-1.6260977302999999</v>
      </c>
      <c r="J1403" s="11">
        <f>[1]!EM_S_FA_NETPROFITMARGIN(B1403,E1403)</f>
        <v>-177.33086010950001</v>
      </c>
      <c r="K1403" s="10">
        <f>[1]!EM_S_FA_ASSETSTURN(B1403,E1403)</f>
        <v>0.31664879920599998</v>
      </c>
      <c r="L1403" s="12">
        <f>[1]!EM_HKS_VAL_MV(B1403,"2019-12-31","2")</f>
        <v>2620332000</v>
      </c>
      <c r="M1403">
        <f>[1]!EM_S_VAL_PETTMDEDUCTED(B1403,E1403)</f>
        <v>-6.2791363222885703</v>
      </c>
      <c r="N1403" s="7">
        <f>[1]!EM_S_VAL_PBGOODWILLDEDUCTED(B1403,E1403)</f>
        <v>11.391115540923799</v>
      </c>
      <c r="O1403" s="7">
        <f>[1]!EM_S_VAL_PS_TTM(B1403,E1403)</f>
        <v>2.0371213871366201</v>
      </c>
      <c r="P1403" s="7">
        <f>[1]!EM_S_VAL_PCF_NCFTTM(B1403,E1403)</f>
        <v>-48.674298403513198</v>
      </c>
      <c r="Q1403" s="7">
        <f>[1]!EM_S_VAL_DIVIDENDYIELD2(B1403,E1403,"2019-11-29")</f>
        <v>0</v>
      </c>
      <c r="T1403"/>
      <c r="U1403">
        <f>[1]!EM_S_RATIO_EPS_TTM(B1403,E1403,"1")</f>
        <v>-1.0236807312466512</v>
      </c>
      <c r="AT1403" s="4" t="str">
        <f>[1]!EM_S_IPO_LISTEDDATE(B1403)</f>
        <v>2010-08-27</v>
      </c>
    </row>
    <row r="1404" spans="1:46">
      <c r="A1404">
        <v>728</v>
      </c>
      <c r="B1404" t="str">
        <f>"002217"</f>
        <v>002217</v>
      </c>
      <c r="C1404" t="s">
        <v>877</v>
      </c>
      <c r="D1404" t="str">
        <f>[1]!EM_S_INFO_INDEX_EM(B1404,"1")</f>
        <v>电子设备</v>
      </c>
      <c r="E1404" s="4">
        <f t="shared" si="21"/>
        <v>43465</v>
      </c>
      <c r="F1404" s="11">
        <f>[1]!EM_S_PQ_PCTCHANGE(B1404,"2018-01-01","2019-12-31","3")</f>
        <v>-43.787548209999997</v>
      </c>
      <c r="G1404" s="11">
        <f>[1]!EM_S_PQ_PCTCHANGE(B1404,"2018-12-31","2019-12-30","1")</f>
        <v>16.88034188</v>
      </c>
      <c r="H1404" s="11">
        <f>[1]!EM_S_FA_YOY_OR(B1404,E1404)</f>
        <v>11.868528578099999</v>
      </c>
      <c r="I1404" s="11">
        <f>[1]!EM_S_FA_GROSSPROFITMARGIN(B1404,E1404)</f>
        <v>19.2492096838</v>
      </c>
      <c r="J1404" s="11">
        <f>[1]!EM_S_FA_NETPROFITMARGIN(B1404,E1404)</f>
        <v>7.7180455776999999</v>
      </c>
      <c r="K1404" s="10">
        <f>[1]!EM_S_FA_ASSETSTURN(B1404,E1404)</f>
        <v>0.69454049307499999</v>
      </c>
      <c r="L1404" s="12">
        <f>[1]!EM_HKS_VAL_MV(B1404,"2019-12-31","2")</f>
        <v>17296110021</v>
      </c>
      <c r="M1404">
        <f>[1]!EM_S_VAL_PETTMDEDUCTED(B1404,E1404)</f>
        <v>13.4960039426075</v>
      </c>
      <c r="N1404" s="7">
        <f>[1]!EM_S_VAL_PBGOODWILLDEDUCTED(B1404,E1404)</f>
        <v>1.62439558806531</v>
      </c>
      <c r="O1404" s="7">
        <f>[1]!EM_S_VAL_PS_TTM(B1404,E1404)</f>
        <v>0.81431639980551696</v>
      </c>
      <c r="P1404" s="7">
        <f>[1]!EM_S_VAL_PCF_NCFTTM(B1404,E1404)</f>
        <v>-34.147790150593998</v>
      </c>
      <c r="Q1404" s="7">
        <f>[1]!EM_S_VAL_DIVIDENDYIELD2(B1404,E1404,"2019-11-29")</f>
        <v>0.90163934426229497</v>
      </c>
      <c r="T1404"/>
      <c r="U1404">
        <f>[1]!EM_S_RATIO_EPS_TTM(B1404,E1404,"1")</f>
        <v>0.43587319097575483</v>
      </c>
      <c r="AT1404" s="4" t="str">
        <f>[1]!EM_S_IPO_LISTEDDATE(B1404)</f>
        <v>2008-02-20</v>
      </c>
    </row>
    <row r="1405" spans="1:46">
      <c r="A1405">
        <v>3620</v>
      </c>
      <c r="B1405" t="str">
        <f>"603968"</f>
        <v>603968</v>
      </c>
      <c r="C1405" t="s">
        <v>606</v>
      </c>
      <c r="D1405" t="str">
        <f>[1]!EM_S_INFO_INDEX_EM(B1405,"1")</f>
        <v>基础化工</v>
      </c>
      <c r="E1405" s="4">
        <f t="shared" si="21"/>
        <v>43465</v>
      </c>
      <c r="F1405" s="11">
        <f>[1]!EM_S_PQ_PCTCHANGE(B1405,"2018-01-01","2019-12-31","3")</f>
        <v>-22.235448330000001</v>
      </c>
      <c r="G1405" s="11">
        <f>[1]!EM_S_PQ_PCTCHANGE(B1405,"2018-12-31","2019-12-30","1")</f>
        <v>16.851265819999998</v>
      </c>
      <c r="H1405" s="11">
        <f>[1]!EM_S_FA_YOY_OR(B1405,E1405)</f>
        <v>22.106311734199998</v>
      </c>
      <c r="I1405" s="11">
        <f>[1]!EM_S_FA_GROSSPROFITMARGIN(B1405,E1405)</f>
        <v>19.143858287499999</v>
      </c>
      <c r="J1405" s="11">
        <f>[1]!EM_S_FA_NETPROFITMARGIN(B1405,E1405)</f>
        <v>9.9041926319000009</v>
      </c>
      <c r="K1405" s="10">
        <f>[1]!EM_S_FA_ASSETSTURN(B1405,E1405)</f>
        <v>1.0740845675070001</v>
      </c>
      <c r="L1405" s="12">
        <f>[1]!EM_HKS_VAL_MV(B1405,"2019-12-31","2")</f>
        <v>3018124800</v>
      </c>
      <c r="M1405">
        <f>[1]!EM_S_VAL_PETTMDEDUCTED(B1405,E1405)</f>
        <v>13.580933396854601</v>
      </c>
      <c r="N1405" s="7">
        <f>[1]!EM_S_VAL_PBGOODWILLDEDUCTED(B1405,E1405)</f>
        <v>1.7879231981738399</v>
      </c>
      <c r="O1405" s="7">
        <f>[1]!EM_S_VAL_PS_TTM(B1405,E1405)</f>
        <v>1.2910580163847301</v>
      </c>
      <c r="P1405" s="7">
        <f>[1]!EM_S_VAL_PCF_NCFTTM(B1405,E1405)</f>
        <v>68.353271000781604</v>
      </c>
      <c r="Q1405" s="7">
        <f>[1]!EM_S_VAL_DIVIDENDYIELD2(B1405,E1405,"2019-11-29")</f>
        <v>3.6023054755043229</v>
      </c>
      <c r="T1405"/>
      <c r="U1405">
        <f>[1]!EM_S_RATIO_EPS_TTM(B1405,E1405,"1")</f>
        <v>0.98237221591353685</v>
      </c>
      <c r="AT1405" s="4" t="str">
        <f>[1]!EM_S_IPO_LISTEDDATE(B1405)</f>
        <v>2015-05-18</v>
      </c>
    </row>
    <row r="1406" spans="1:46">
      <c r="A1406">
        <v>3068</v>
      </c>
      <c r="B1406" t="str">
        <f>"601168"</f>
        <v>601168</v>
      </c>
      <c r="C1406" t="s">
        <v>824</v>
      </c>
      <c r="D1406" t="str">
        <f>[1]!EM_S_INFO_INDEX_EM(B1406,"1")</f>
        <v>有色金属</v>
      </c>
      <c r="E1406" s="4">
        <f t="shared" si="21"/>
        <v>43465</v>
      </c>
      <c r="F1406" s="11">
        <f>[1]!EM_S_PQ_PCTCHANGE(B1406,"2018-01-01","2019-12-31","3")</f>
        <v>-18.128014050000001</v>
      </c>
      <c r="G1406" s="11">
        <f>[1]!EM_S_PQ_PCTCHANGE(B1406,"2018-12-31","2019-12-30","1")</f>
        <v>16.838487969999999</v>
      </c>
      <c r="H1406" s="11">
        <f>[1]!EM_S_FA_YOY_OR(B1406,E1406)</f>
        <v>1.8494481156</v>
      </c>
      <c r="I1406" s="11">
        <f>[1]!EM_S_FA_GROSSPROFITMARGIN(B1406,E1406)</f>
        <v>11.944921903299999</v>
      </c>
      <c r="J1406" s="11">
        <f>[1]!EM_S_FA_NETPROFITMARGIN(B1406,E1406)</f>
        <v>-6.3173011911000003</v>
      </c>
      <c r="K1406" s="10">
        <f>[1]!EM_S_FA_ASSETSTURN(B1406,E1406)</f>
        <v>0.799700862613</v>
      </c>
      <c r="L1406" s="12">
        <f>[1]!EM_HKS_VAL_MV(B1406,"2019-12-31","2")</f>
        <v>15775460000</v>
      </c>
      <c r="M1406">
        <f>[1]!EM_S_VAL_PETTMDEDUCTED(B1406,E1406)</f>
        <v>22.517160664013002</v>
      </c>
      <c r="N1406" s="7">
        <f>[1]!EM_S_VAL_PBGOODWILLDEDUCTED(B1406,E1406)</f>
        <v>1.58264020373118</v>
      </c>
      <c r="O1406" s="7">
        <f>[1]!EM_S_VAL_PS_TTM(B1406,E1406)</f>
        <v>0.54257998456046297</v>
      </c>
      <c r="P1406" s="7">
        <f>[1]!EM_S_VAL_PCF_NCFTTM(B1406,E1406)</f>
        <v>-20.121501891884499</v>
      </c>
      <c r="Q1406" s="7">
        <f>[1]!EM_S_VAL_DIVIDENDYIELD2(B1406,E1406,"2019-11-29")</f>
        <v>0</v>
      </c>
      <c r="T1406"/>
      <c r="U1406">
        <f>[1]!EM_S_RATIO_EPS_TTM(B1406,E1406,"1")</f>
        <v>-0.86575469702056229</v>
      </c>
      <c r="AT1406" s="4" t="str">
        <f>[1]!EM_S_IPO_LISTEDDATE(B1406)</f>
        <v>2007-07-12</v>
      </c>
    </row>
    <row r="1407" spans="1:46">
      <c r="A1407">
        <v>3144</v>
      </c>
      <c r="B1407" t="str">
        <f>"601717"</f>
        <v>601717</v>
      </c>
      <c r="C1407" t="s">
        <v>1859</v>
      </c>
      <c r="D1407" t="str">
        <f>[1]!EM_S_INFO_INDEX_EM(B1407,"1")</f>
        <v>交运设备</v>
      </c>
      <c r="E1407" s="4">
        <f t="shared" si="21"/>
        <v>43465</v>
      </c>
      <c r="F1407" s="11">
        <f>[1]!EM_S_PQ_PCTCHANGE(B1407,"2018-01-01","2019-12-31","3")</f>
        <v>1.5539961099999999</v>
      </c>
      <c r="G1407" s="11">
        <f>[1]!EM_S_PQ_PCTCHANGE(B1407,"2018-12-31","2019-12-30","1")</f>
        <v>16.81735986</v>
      </c>
      <c r="H1407" s="11">
        <f>[1]!EM_S_FA_YOY_OR(B1407,E1407)</f>
        <v>244.63252410850001</v>
      </c>
      <c r="I1407" s="11">
        <f>[1]!EM_S_FA_GROSSPROFITMARGIN(B1407,E1407)</f>
        <v>18.878755688199998</v>
      </c>
      <c r="J1407" s="11">
        <f>[1]!EM_S_FA_NETPROFITMARGIN(B1407,E1407)</f>
        <v>3.6095537653999998</v>
      </c>
      <c r="K1407" s="10">
        <f>[1]!EM_S_FA_ASSETSTURN(B1407,E1407)</f>
        <v>1.1105340604509999</v>
      </c>
      <c r="L1407" s="12">
        <f>[1]!EM_HKS_VAL_MV(B1407,"2019-12-31","2")</f>
        <v>11209089763.9</v>
      </c>
      <c r="M1407">
        <f>[1]!EM_S_VAL_PETTMDEDUCTED(B1407,E1407)</f>
        <v>15.868499656439701</v>
      </c>
      <c r="N1407" s="7">
        <f>[1]!EM_S_VAL_PBGOODWILLDEDUCTED(B1407,E1407)</f>
        <v>0.90353695262961997</v>
      </c>
      <c r="O1407" s="7">
        <f>[1]!EM_S_VAL_PS_TTM(B1407,E1407)</f>
        <v>0.44902631789029601</v>
      </c>
      <c r="P1407" s="7">
        <f>[1]!EM_S_VAL_PCF_NCFTTM(B1407,E1407)</f>
        <v>21.493176682741399</v>
      </c>
      <c r="Q1407" s="7">
        <f>[1]!EM_S_VAL_DIVIDENDYIELD2(B1407,E1407,"2019-11-29")</f>
        <v>2.3462783171521031</v>
      </c>
      <c r="T1407"/>
      <c r="U1407">
        <f>[1]!EM_S_RATIO_EPS_TTM(B1407,E1407,"1")</f>
        <v>0.48043716357055877</v>
      </c>
      <c r="AT1407" s="4" t="str">
        <f>[1]!EM_S_IPO_LISTEDDATE(B1407)</f>
        <v>2010-08-03</v>
      </c>
    </row>
    <row r="1408" spans="1:46">
      <c r="A1408">
        <v>713</v>
      </c>
      <c r="B1408" t="str">
        <f>"002202"</f>
        <v>002202</v>
      </c>
      <c r="C1408" t="s">
        <v>2202</v>
      </c>
      <c r="D1408" t="str">
        <f>[1]!EM_S_INFO_INDEX_EM(B1408,"1")</f>
        <v>电气设备</v>
      </c>
      <c r="E1408" s="4">
        <f t="shared" si="21"/>
        <v>43465</v>
      </c>
      <c r="F1408" s="11">
        <f>[1]!EM_S_PQ_PCTCHANGE(B1408,"2018-01-01","2019-12-31","3")</f>
        <v>-27.768576670000002</v>
      </c>
      <c r="G1408" s="11">
        <f>[1]!EM_S_PQ_PCTCHANGE(B1408,"2018-12-31","2019-12-30","1")</f>
        <v>16.81681682</v>
      </c>
      <c r="H1408" s="11">
        <f>[1]!EM_S_FA_YOY_OR(B1408,E1408)</f>
        <v>14.3303990038</v>
      </c>
      <c r="I1408" s="11">
        <f>[1]!EM_S_FA_GROSSPROFITMARGIN(B1408,E1408)</f>
        <v>25.963175199399998</v>
      </c>
      <c r="J1408" s="11">
        <f>[1]!EM_S_FA_NETPROFITMARGIN(B1408,E1408)</f>
        <v>11.4254387558</v>
      </c>
      <c r="K1408" s="10">
        <f>[1]!EM_S_FA_ASSETSTURN(B1408,E1408)</f>
        <v>0.37275711505199999</v>
      </c>
      <c r="L1408" s="12">
        <f>[1]!EM_HKS_VAL_MV(B1408,"2019-12-31","2")</f>
        <v>50489558381.650002</v>
      </c>
      <c r="M1408">
        <f>[1]!EM_S_VAL_PETTMDEDUCTED(B1408,E1408)</f>
        <v>11.7364674468086</v>
      </c>
      <c r="N1408" s="7">
        <f>[1]!EM_S_VAL_PBGOODWILLDEDUCTED(B1408,E1408)</f>
        <v>1.58036955555245</v>
      </c>
      <c r="O1408" s="7">
        <f>[1]!EM_S_VAL_PS_TTM(B1408,E1408)</f>
        <v>1.3696511965663001</v>
      </c>
      <c r="P1408" s="7">
        <f>[1]!EM_S_VAL_PCF_NCFTTM(B1408,E1408)</f>
        <v>13.960268410154599</v>
      </c>
      <c r="Q1408" s="7">
        <f>[1]!EM_S_VAL_DIVIDENDYIELD2(B1408,E1408,"2019-11-29")</f>
        <v>2.1570319240724762</v>
      </c>
      <c r="T1408"/>
      <c r="U1408">
        <f>[1]!EM_S_RATIO_EPS_TTM(B1408,E1408,"1")</f>
        <v>0.90450505308850027</v>
      </c>
      <c r="AT1408" s="4" t="str">
        <f>[1]!EM_S_IPO_LISTEDDATE(B1408)</f>
        <v>2007-12-26</v>
      </c>
    </row>
    <row r="1409" spans="1:46">
      <c r="A1409">
        <v>2043</v>
      </c>
      <c r="B1409" t="str">
        <f>"300624"</f>
        <v>300624</v>
      </c>
      <c r="C1409" t="s">
        <v>300</v>
      </c>
      <c r="D1409" t="str">
        <f>[1]!EM_S_INFO_INDEX_EM(B1409,"1")</f>
        <v>信息技术</v>
      </c>
      <c r="E1409" s="4">
        <f t="shared" si="21"/>
        <v>43465</v>
      </c>
      <c r="F1409" s="11">
        <f>[1]!EM_S_PQ_PCTCHANGE(B1409,"2018-01-01","2019-12-31","3")</f>
        <v>283.84049836000003</v>
      </c>
      <c r="G1409" s="11">
        <f>[1]!EM_S_PQ_PCTCHANGE(B1409,"2018-12-31","2019-12-30","1")</f>
        <v>16.722160559999999</v>
      </c>
      <c r="H1409" s="11">
        <f>[1]!EM_S_FA_YOY_OR(B1409,E1409)</f>
        <v>16.9077135701</v>
      </c>
      <c r="I1409" s="11">
        <f>[1]!EM_S_FA_GROSSPROFITMARGIN(B1409,E1409)</f>
        <v>94.574608374600004</v>
      </c>
      <c r="J1409" s="11">
        <f>[1]!EM_S_FA_NETPROFITMARGIN(B1409,E1409)</f>
        <v>13.147724779800001</v>
      </c>
      <c r="K1409" s="10">
        <f>[1]!EM_S_FA_ASSETSTURN(B1409,E1409)</f>
        <v>1.079341729926</v>
      </c>
      <c r="L1409" s="12">
        <f>[1]!EM_HKS_VAL_MV(B1409,"2019-12-31","2")</f>
        <v>5138075250</v>
      </c>
      <c r="M1409">
        <f>[1]!EM_S_VAL_PETTMDEDUCTED(B1409,E1409)</f>
        <v>56.6556269187613</v>
      </c>
      <c r="N1409" s="7">
        <f>[1]!EM_S_VAL_PBGOODWILLDEDUCTED(B1409,E1409)</f>
        <v>6.93376696756299</v>
      </c>
      <c r="O1409" s="7">
        <f>[1]!EM_S_VAL_PS_TTM(B1409,E1409)</f>
        <v>8.5476684461246109</v>
      </c>
      <c r="P1409" s="7">
        <f>[1]!EM_S_VAL_PCF_NCFTTM(B1409,E1409)</f>
        <v>210.87918276079699</v>
      </c>
      <c r="Q1409" s="7">
        <f>[1]!EM_S_VAL_DIVIDENDYIELD2(B1409,E1409,"2019-11-29")</f>
        <v>0.40311238410804617</v>
      </c>
      <c r="T1409"/>
      <c r="U1409">
        <f>[1]!EM_S_RATIO_EPS_TTM(B1409,E1409,"1")</f>
        <v>1.0188020501096844</v>
      </c>
      <c r="AT1409" s="4" t="str">
        <f>[1]!EM_S_IPO_LISTEDDATE(B1409)</f>
        <v>2018-01-18</v>
      </c>
    </row>
    <row r="1410" spans="1:46">
      <c r="A1410">
        <v>1782</v>
      </c>
      <c r="B1410" t="str">
        <f>"300357"</f>
        <v>300357</v>
      </c>
      <c r="C1410" t="s">
        <v>189</v>
      </c>
      <c r="D1410" t="str">
        <f>[1]!EM_S_INFO_INDEX_EM(B1410,"1")</f>
        <v>医药生物</v>
      </c>
      <c r="E1410" s="4">
        <f t="shared" si="21"/>
        <v>43465</v>
      </c>
      <c r="F1410" s="11">
        <f>[1]!EM_S_PQ_PCTCHANGE(B1410,"2018-01-01","2019-12-31","3")</f>
        <v>194.09122672000001</v>
      </c>
      <c r="G1410" s="11">
        <f>[1]!EM_S_PQ_PCTCHANGE(B1410,"2018-12-31","2019-12-30","1")</f>
        <v>16.707218170000001</v>
      </c>
      <c r="H1410" s="11">
        <f>[1]!EM_S_FA_YOY_OR(B1410,E1410)</f>
        <v>29.8689749919</v>
      </c>
      <c r="I1410" s="11">
        <f>[1]!EM_S_FA_GROSSPROFITMARGIN(B1410,E1410)</f>
        <v>94.304845181299996</v>
      </c>
      <c r="J1410" s="11">
        <f>[1]!EM_S_FA_NETPROFITMARGIN(B1410,E1410)</f>
        <v>46.303883558199999</v>
      </c>
      <c r="K1410" s="10">
        <f>[1]!EM_S_FA_ASSETSTURN(B1410,E1410)</f>
        <v>0.52538423836699999</v>
      </c>
      <c r="L1410" s="12">
        <f>[1]!EM_HKS_VAL_MV(B1410,"2019-12-31","2")</f>
        <v>23116233600</v>
      </c>
      <c r="M1410">
        <f>[1]!EM_S_VAL_PETTMDEDUCTED(B1410,E1410)</f>
        <v>49.582853666690397</v>
      </c>
      <c r="N1410" s="7">
        <f>[1]!EM_S_VAL_PBGOODWILLDEDUCTED(B1410,E1410)</f>
        <v>11.0979466852984</v>
      </c>
      <c r="O1410" s="7">
        <f>[1]!EM_S_VAL_PS_TTM(B1410,E1410)</f>
        <v>22.526311783613799</v>
      </c>
      <c r="P1410" s="7">
        <f>[1]!EM_S_VAL_PCF_NCFTTM(B1410,E1410)</f>
        <v>42.589641718717701</v>
      </c>
      <c r="Q1410" s="7">
        <f>[1]!EM_S_VAL_DIVIDENDYIELD2(B1410,E1410,"2019-11-29")</f>
        <v>0.30245838172667444</v>
      </c>
      <c r="T1410"/>
      <c r="U1410">
        <f>[1]!EM_S_RATIO_EPS_TTM(B1410,E1410,"1")</f>
        <v>0.80061914710533555</v>
      </c>
      <c r="AT1410" s="4" t="str">
        <f>[1]!EM_S_IPO_LISTEDDATE(B1410)</f>
        <v>2014-01-21</v>
      </c>
    </row>
    <row r="1411" spans="1:46">
      <c r="A1411">
        <v>2649</v>
      </c>
      <c r="B1411" t="str">
        <f>"600576"</f>
        <v>600576</v>
      </c>
      <c r="C1411" t="s">
        <v>1973</v>
      </c>
      <c r="D1411" t="str">
        <f>[1]!EM_S_INFO_INDEX_EM(B1411,"1")</f>
        <v>文化传媒</v>
      </c>
      <c r="E1411" s="4">
        <f t="shared" ref="E1411:E1474" si="22">$B$1</f>
        <v>43465</v>
      </c>
      <c r="F1411" s="11">
        <f>[1]!EM_S_PQ_PCTCHANGE(B1411,"2018-01-01","2019-12-31","3")</f>
        <v>-35.317460320000002</v>
      </c>
      <c r="G1411" s="11">
        <f>[1]!EM_S_PQ_PCTCHANGE(B1411,"2018-12-31","2019-12-30","1")</f>
        <v>16.666666670000001</v>
      </c>
      <c r="H1411" s="11">
        <f>[1]!EM_S_FA_YOY_OR(B1411,E1411)</f>
        <v>-8.9837470633999992</v>
      </c>
      <c r="I1411" s="11">
        <f>[1]!EM_S_FA_GROSSPROFITMARGIN(B1411,E1411)</f>
        <v>36.017951032200003</v>
      </c>
      <c r="J1411" s="11">
        <f>[1]!EM_S_FA_NETPROFITMARGIN(B1411,E1411)</f>
        <v>1.7664116140999999</v>
      </c>
      <c r="K1411" s="10">
        <f>[1]!EM_S_FA_ASSETSTURN(B1411,E1411)</f>
        <v>0.34742391338299999</v>
      </c>
      <c r="L1411" s="12">
        <f>[1]!EM_HKS_VAL_MV(B1411,"2019-12-31","2")</f>
        <v>3028877780.0100002</v>
      </c>
      <c r="M1411">
        <f>[1]!EM_S_VAL_PETTMDEDUCTED(B1411,E1411)</f>
        <v>186.15070833977799</v>
      </c>
      <c r="N1411" s="7">
        <f>[1]!EM_S_VAL_PBGOODWILLDEDUCTED(B1411,E1411)</f>
        <v>2.69619278053242</v>
      </c>
      <c r="O1411" s="7">
        <f>[1]!EM_S_VAL_PS_TTM(B1411,E1411)</f>
        <v>3.87752302195545</v>
      </c>
      <c r="P1411" s="7">
        <f>[1]!EM_S_VAL_PCF_NCFTTM(B1411,E1411)</f>
        <v>17.5792660100884</v>
      </c>
      <c r="Q1411" s="7">
        <f>[1]!EM_S_VAL_DIVIDENDYIELD2(B1411,E1411,"2019-11-29")</f>
        <v>0</v>
      </c>
      <c r="T1411"/>
      <c r="U1411">
        <f>[1]!EM_S_RATIO_EPS_TTM(B1411,E1411,"1")</f>
        <v>2.2007904757629992E-2</v>
      </c>
      <c r="AT1411" s="4" t="str">
        <f>[1]!EM_S_IPO_LISTEDDATE(B1411)</f>
        <v>2003-02-20</v>
      </c>
    </row>
    <row r="1412" spans="1:46">
      <c r="A1412">
        <v>903</v>
      </c>
      <c r="B1412" t="str">
        <f>"002392"</f>
        <v>002392</v>
      </c>
      <c r="C1412" t="s">
        <v>1486</v>
      </c>
      <c r="D1412" t="str">
        <f>[1]!EM_S_INFO_INDEX_EM(B1412,"1")</f>
        <v>建材</v>
      </c>
      <c r="E1412" s="4">
        <f t="shared" si="22"/>
        <v>43465</v>
      </c>
      <c r="F1412" s="11">
        <f>[1]!EM_S_PQ_PCTCHANGE(B1412,"2018-01-01","2019-12-31","3")</f>
        <v>-22.754079990000001</v>
      </c>
      <c r="G1412" s="11">
        <f>[1]!EM_S_PQ_PCTCHANGE(B1412,"2018-12-31","2019-12-30","1")</f>
        <v>16.5625</v>
      </c>
      <c r="H1412" s="11">
        <f>[1]!EM_S_FA_YOY_OR(B1412,E1412)</f>
        <v>39.7379782836</v>
      </c>
      <c r="I1412" s="11">
        <f>[1]!EM_S_FA_GROSSPROFITMARGIN(B1412,E1412)</f>
        <v>35.115357215400003</v>
      </c>
      <c r="J1412" s="11">
        <f>[1]!EM_S_FA_NETPROFITMARGIN(B1412,E1412)</f>
        <v>10.4392594957</v>
      </c>
      <c r="K1412" s="10">
        <f>[1]!EM_S_FA_ASSETSTURN(B1412,E1412)</f>
        <v>0.61015883873300003</v>
      </c>
      <c r="L1412" s="12">
        <f>[1]!EM_HKS_VAL_MV(B1412,"2019-12-31","2")</f>
        <v>4583389730.1499996</v>
      </c>
      <c r="M1412">
        <f>[1]!EM_S_VAL_PETTMDEDUCTED(B1412,E1412)</f>
        <v>16.4868457812128</v>
      </c>
      <c r="N1412" s="7">
        <f>[1]!EM_S_VAL_PBGOODWILLDEDUCTED(B1412,E1412)</f>
        <v>1.10750407759446</v>
      </c>
      <c r="O1412" s="7">
        <f>[1]!EM_S_VAL_PS_TTM(B1412,E1412)</f>
        <v>1.2271980356232099</v>
      </c>
      <c r="P1412" s="7">
        <f>[1]!EM_S_VAL_PCF_NCFTTM(B1412,E1412)</f>
        <v>416.84429743284898</v>
      </c>
      <c r="Q1412" s="7">
        <f>[1]!EM_S_VAL_DIVIDENDYIELD2(B1412,E1412,"2019-11-29")</f>
        <v>0.77994428969359342</v>
      </c>
      <c r="T1412"/>
      <c r="U1412">
        <f>[1]!EM_S_RATIO_EPS_TTM(B1412,E1412,"1")</f>
        <v>0.27978333007567141</v>
      </c>
      <c r="AT1412" s="4" t="str">
        <f>[1]!EM_S_IPO_LISTEDDATE(B1412)</f>
        <v>2010-04-23</v>
      </c>
    </row>
    <row r="1413" spans="1:46">
      <c r="A1413">
        <v>3537</v>
      </c>
      <c r="B1413" t="str">
        <f>"603789"</f>
        <v>603789</v>
      </c>
      <c r="C1413" t="s">
        <v>3433</v>
      </c>
      <c r="D1413" t="str">
        <f>[1]!EM_S_INFO_INDEX_EM(B1413,"1")</f>
        <v>机械设备</v>
      </c>
      <c r="E1413" s="4">
        <f t="shared" si="22"/>
        <v>43465</v>
      </c>
      <c r="F1413" s="11">
        <f>[1]!EM_S_PQ_PCTCHANGE(B1413,"2018-01-01","2019-12-31","3")</f>
        <v>-1.7832647500000001</v>
      </c>
      <c r="G1413" s="11">
        <f>[1]!EM_S_PQ_PCTCHANGE(B1413,"2018-12-31","2019-12-30","1")</f>
        <v>16.558441559999999</v>
      </c>
      <c r="H1413" s="11">
        <f>[1]!EM_S_FA_YOY_OR(B1413,E1413)</f>
        <v>-6.6711154019999999</v>
      </c>
      <c r="I1413" s="11">
        <f>[1]!EM_S_FA_GROSSPROFITMARGIN(B1413,E1413)</f>
        <v>21.599496616100001</v>
      </c>
      <c r="J1413" s="11">
        <f>[1]!EM_S_FA_NETPROFITMARGIN(B1413,E1413)</f>
        <v>-7.2451183066000002</v>
      </c>
      <c r="K1413" s="10">
        <f>[1]!EM_S_FA_ASSETSTURN(B1413,E1413)</f>
        <v>0.386767198619</v>
      </c>
      <c r="L1413" s="12">
        <f>[1]!EM_HKS_VAL_MV(B1413,"2019-12-31","2")</f>
        <v>3723200000</v>
      </c>
      <c r="M1413">
        <f>[1]!EM_S_VAL_PETTMDEDUCTED(B1413,E1413)</f>
        <v>-119.209311269897</v>
      </c>
      <c r="N1413" s="7">
        <f>[1]!EM_S_VAL_PBGOODWILLDEDUCTED(B1413,E1413)</f>
        <v>3.6269474442051401</v>
      </c>
      <c r="O1413" s="7">
        <f>[1]!EM_S_VAL_PS_TTM(B1413,E1413)</f>
        <v>5.2237176199284603</v>
      </c>
      <c r="P1413" s="7">
        <f>[1]!EM_S_VAL_PCF_NCFTTM(B1413,E1413)</f>
        <v>-60.464249274054701</v>
      </c>
      <c r="Q1413" s="7">
        <f>[1]!EM_S_VAL_DIVIDENDYIELD2(B1413,E1413,"2019-11-29")</f>
        <v>0</v>
      </c>
      <c r="T1413"/>
      <c r="U1413">
        <f>[1]!EM_S_RATIO_EPS_TTM(B1413,E1413,"1")</f>
        <v>-0.22518812584615383</v>
      </c>
      <c r="AT1413" s="4" t="str">
        <f>[1]!EM_S_IPO_LISTEDDATE(B1413)</f>
        <v>2015-04-27</v>
      </c>
    </row>
    <row r="1414" spans="1:46">
      <c r="A1414">
        <v>2309</v>
      </c>
      <c r="B1414" t="str">
        <f>"600170"</f>
        <v>600170</v>
      </c>
      <c r="C1414" t="s">
        <v>1305</v>
      </c>
      <c r="D1414" t="str">
        <f>[1]!EM_S_INFO_INDEX_EM(B1414,"1")</f>
        <v>建筑</v>
      </c>
      <c r="E1414" s="4">
        <f t="shared" si="22"/>
        <v>43465</v>
      </c>
      <c r="F1414" s="11">
        <f>[1]!EM_S_PQ_PCTCHANGE(B1414,"2018-01-01","2019-12-31","3")</f>
        <v>2.32076094</v>
      </c>
      <c r="G1414" s="11">
        <f>[1]!EM_S_PQ_PCTCHANGE(B1414,"2018-12-31","2019-12-30","1")</f>
        <v>16.501650170000001</v>
      </c>
      <c r="H1414" s="11">
        <f>[1]!EM_S_FA_YOY_OR(B1414,E1414)</f>
        <v>20.032809658600002</v>
      </c>
      <c r="I1414" s="11">
        <f>[1]!EM_S_FA_GROSSPROFITMARGIN(B1414,E1414)</f>
        <v>11.247244374599999</v>
      </c>
      <c r="J1414" s="11">
        <f>[1]!EM_S_FA_NETPROFITMARGIN(B1414,E1414)</f>
        <v>2.0108668003000001</v>
      </c>
      <c r="K1414" s="10">
        <f>[1]!EM_S_FA_ASSETSTURN(B1414,E1414)</f>
        <v>0.82869092781800002</v>
      </c>
      <c r="L1414" s="12">
        <f>[1]!EM_HKS_VAL_MV(B1414,"2019-12-31","2")</f>
        <v>31521567957.119999</v>
      </c>
      <c r="M1414">
        <f>[1]!EM_S_VAL_PETTMDEDUCTED(B1414,E1414)</f>
        <v>11.86600443088</v>
      </c>
      <c r="N1414" s="7">
        <f>[1]!EM_S_VAL_PBGOODWILLDEDUCTED(B1414,E1414)</f>
        <v>1.10300212188075</v>
      </c>
      <c r="O1414" s="7">
        <f>[1]!EM_S_VAL_PS_TTM(B1414,E1414)</f>
        <v>0.17083340446600501</v>
      </c>
      <c r="P1414" s="7">
        <f>[1]!EM_S_VAL_PCF_NCFTTM(B1414,E1414)</f>
        <v>-12.1905939995835</v>
      </c>
      <c r="Q1414" s="7">
        <f>[1]!EM_S_VAL_DIVIDENDYIELD2(B1414,E1414,"2019-11-29")</f>
        <v>3.8793103448275863</v>
      </c>
      <c r="T1414"/>
      <c r="U1414">
        <f>[1]!EM_S_RATIO_EPS_TTM(B1414,E1414,"1")</f>
        <v>0.31219032266367336</v>
      </c>
      <c r="AT1414" s="4" t="str">
        <f>[1]!EM_S_IPO_LISTEDDATE(B1414)</f>
        <v>1998-06-23</v>
      </c>
    </row>
    <row r="1415" spans="1:46">
      <c r="A1415">
        <v>3635</v>
      </c>
      <c r="B1415" t="str">
        <f>"603993"</f>
        <v>603993</v>
      </c>
      <c r="C1415" t="s">
        <v>470</v>
      </c>
      <c r="D1415" t="str">
        <f>[1]!EM_S_INFO_INDEX_EM(B1415,"1")</f>
        <v>有色金属</v>
      </c>
      <c r="E1415" s="4">
        <f t="shared" si="22"/>
        <v>43465</v>
      </c>
      <c r="F1415" s="11">
        <f>[1]!EM_S_PQ_PCTCHANGE(B1415,"2018-01-01","2019-12-31","3")</f>
        <v>-34.040558849999996</v>
      </c>
      <c r="G1415" s="11">
        <f>[1]!EM_S_PQ_PCTCHANGE(B1415,"2018-12-31","2019-12-30","1")</f>
        <v>16.4893617</v>
      </c>
      <c r="H1415" s="11">
        <f>[1]!EM_S_FA_YOY_OR(B1415,E1415)</f>
        <v>7.5175511636000003</v>
      </c>
      <c r="I1415" s="11">
        <f>[1]!EM_S_FA_GROSSPROFITMARGIN(B1415,E1415)</f>
        <v>37.679264180300002</v>
      </c>
      <c r="J1415" s="11">
        <f>[1]!EM_S_FA_NETPROFITMARGIN(B1415,E1415)</f>
        <v>19.8361850583</v>
      </c>
      <c r="K1415" s="10">
        <f>[1]!EM_S_FA_ASSETSTURN(B1415,E1415)</f>
        <v>0.26086334168699998</v>
      </c>
      <c r="L1415" s="12">
        <f>[1]!EM_HKS_VAL_MV(B1415,"2019-12-31","2")</f>
        <v>94172688941.880005</v>
      </c>
      <c r="M1415">
        <f>[1]!EM_S_VAL_PETTMDEDUCTED(B1415,E1415)</f>
        <v>15.350841144203301</v>
      </c>
      <c r="N1415" s="7">
        <f>[1]!EM_S_VAL_PBGOODWILLDEDUCTED(B1415,E1415)</f>
        <v>2.0165161383335599</v>
      </c>
      <c r="O1415" s="7">
        <f>[1]!EM_S_VAL_PS_TTM(B1415,E1415)</f>
        <v>3.0617770103176198</v>
      </c>
      <c r="P1415" s="7">
        <f>[1]!EM_S_VAL_PCF_NCFTTM(B1415,E1415)</f>
        <v>16.4939933841639</v>
      </c>
      <c r="Q1415" s="7">
        <f>[1]!EM_S_VAL_DIVIDENDYIELD2(B1415,E1415,"2019-11-29")</f>
        <v>3.0898876404494384</v>
      </c>
      <c r="T1415"/>
      <c r="U1415">
        <f>[1]!EM_S_RATIO_EPS_TTM(B1415,E1415,"1")</f>
        <v>0.21461791378019579</v>
      </c>
      <c r="AT1415" s="4" t="str">
        <f>[1]!EM_S_IPO_LISTEDDATE(B1415)</f>
        <v>2012-10-09</v>
      </c>
    </row>
    <row r="1416" spans="1:46">
      <c r="A1416">
        <v>2202</v>
      </c>
      <c r="B1416" t="str">
        <f>"600055"</f>
        <v>600055</v>
      </c>
      <c r="C1416" t="s">
        <v>2956</v>
      </c>
      <c r="D1416" t="str">
        <f>[1]!EM_S_INFO_INDEX_EM(B1416,"1")</f>
        <v>医药生物</v>
      </c>
      <c r="E1416" s="4">
        <f t="shared" si="22"/>
        <v>43465</v>
      </c>
      <c r="F1416" s="11">
        <f>[1]!EM_S_PQ_PCTCHANGE(B1416,"2018-01-01","2019-12-31","3")</f>
        <v>-34.33061112</v>
      </c>
      <c r="G1416" s="11">
        <f>[1]!EM_S_PQ_PCTCHANGE(B1416,"2018-12-31","2019-12-30","1")</f>
        <v>16.47465438</v>
      </c>
      <c r="H1416" s="11">
        <f>[1]!EM_S_FA_YOY_OR(B1416,E1416)</f>
        <v>7.9835349015999997</v>
      </c>
      <c r="I1416" s="11">
        <f>[1]!EM_S_FA_GROSSPROFITMARGIN(B1416,E1416)</f>
        <v>43.602969495000004</v>
      </c>
      <c r="J1416" s="11">
        <f>[1]!EM_S_FA_NETPROFITMARGIN(B1416,E1416)</f>
        <v>15.6321338676</v>
      </c>
      <c r="K1416" s="10">
        <f>[1]!EM_S_FA_ASSETSTURN(B1416,E1416)</f>
        <v>0.40096736569800001</v>
      </c>
      <c r="L1416" s="12">
        <f>[1]!EM_HKS_VAL_MV(B1416,"2019-12-31","2")</f>
        <v>5581223173.6800003</v>
      </c>
      <c r="M1416">
        <f>[1]!EM_S_VAL_PETTMDEDUCTED(B1416,E1416)</f>
        <v>45.242414576776298</v>
      </c>
      <c r="N1416" s="7">
        <f>[1]!EM_S_VAL_PBGOODWILLDEDUCTED(B1416,E1416)</f>
        <v>2.38952914152528</v>
      </c>
      <c r="O1416" s="7">
        <f>[1]!EM_S_VAL_PS_TTM(B1416,E1416)</f>
        <v>4.8491540099220201</v>
      </c>
      <c r="P1416" s="7">
        <f>[1]!EM_S_VAL_PCF_NCFTTM(B1416,E1416)</f>
        <v>-15.417754973074</v>
      </c>
      <c r="Q1416" s="7">
        <f>[1]!EM_S_VAL_DIVIDENDYIELD2(B1416,E1416,"2019-11-29")</f>
        <v>1.0090817356205852</v>
      </c>
      <c r="T1416"/>
      <c r="U1416">
        <f>[1]!EM_S_RATIO_EPS_TTM(B1416,E1416,"1")</f>
        <v>0.28352172542819859</v>
      </c>
      <c r="AT1416" s="4" t="str">
        <f>[1]!EM_S_IPO_LISTEDDATE(B1416)</f>
        <v>1997-05-19</v>
      </c>
    </row>
    <row r="1417" spans="1:46">
      <c r="A1417">
        <v>2921</v>
      </c>
      <c r="B1417" t="str">
        <f>"600848"</f>
        <v>600848</v>
      </c>
      <c r="C1417" t="s">
        <v>2209</v>
      </c>
      <c r="D1417" t="str">
        <f>[1]!EM_S_INFO_INDEX_EM(B1417,"1")</f>
        <v>房地产</v>
      </c>
      <c r="E1417" s="4">
        <f t="shared" si="22"/>
        <v>43465</v>
      </c>
      <c r="F1417" s="11">
        <f>[1]!EM_S_PQ_PCTCHANGE(B1417,"2018-01-01","2019-12-31","3")</f>
        <v>11.03808795</v>
      </c>
      <c r="G1417" s="11">
        <f>[1]!EM_S_PQ_PCTCHANGE(B1417,"2018-12-31","2019-12-30","1")</f>
        <v>16.441005799999999</v>
      </c>
      <c r="H1417" s="11">
        <f>[1]!EM_S_FA_YOY_OR(B1417,E1417)</f>
        <v>-6.8953578000000002</v>
      </c>
      <c r="I1417" s="11">
        <f>[1]!EM_S_FA_GROSSPROFITMARGIN(B1417,E1417)</f>
        <v>56.588449907899999</v>
      </c>
      <c r="J1417" s="11">
        <f>[1]!EM_S_FA_NETPROFITMARGIN(B1417,E1417)</f>
        <v>22.166154420600002</v>
      </c>
      <c r="K1417" s="10">
        <f>[1]!EM_S_FA_ASSETSTURN(B1417,E1417)</f>
        <v>0.134775295845</v>
      </c>
      <c r="L1417" s="12">
        <f>[1]!EM_HKS_VAL_MV(B1417,"2019-12-31","2")</f>
        <v>51605774604.599998</v>
      </c>
      <c r="M1417">
        <f>[1]!EM_S_VAL_PETTMDEDUCTED(B1417,E1417)</f>
        <v>55.264541910923199</v>
      </c>
      <c r="N1417" s="7">
        <f>[1]!EM_S_VAL_PBGOODWILLDEDUCTED(B1417,E1417)</f>
        <v>3.4011087446825798</v>
      </c>
      <c r="O1417" s="7">
        <f>[1]!EM_S_VAL_PS_TTM(B1417,E1417)</f>
        <v>11.671037126211701</v>
      </c>
      <c r="P1417" s="7">
        <f>[1]!EM_S_VAL_PCF_NCFTTM(B1417,E1417)</f>
        <v>43.466658979235902</v>
      </c>
      <c r="Q1417" s="7">
        <f>[1]!EM_S_VAL_DIVIDENDYIELD2(B1417,E1417,"2019-11-29")</f>
        <v>0.29102406334859976</v>
      </c>
      <c r="T1417"/>
      <c r="U1417">
        <f>[1]!EM_S_RATIO_EPS_TTM(B1417,E1417,"1")</f>
        <v>0.38869830921751336</v>
      </c>
      <c r="AT1417" s="4" t="str">
        <f>[1]!EM_S_IPO_LISTEDDATE(B1417)</f>
        <v>1994-03-24</v>
      </c>
    </row>
    <row r="1418" spans="1:46">
      <c r="A1418">
        <v>2096</v>
      </c>
      <c r="B1418" t="str">
        <f>"300678"</f>
        <v>300678</v>
      </c>
      <c r="C1418" t="s">
        <v>3027</v>
      </c>
      <c r="D1418" t="str">
        <f>[1]!EM_S_INFO_INDEX_EM(B1418,"1")</f>
        <v>信息技术</v>
      </c>
      <c r="E1418" s="4">
        <f t="shared" si="22"/>
        <v>43465</v>
      </c>
      <c r="F1418" s="11">
        <f>[1]!EM_S_PQ_PCTCHANGE(B1418,"2018-01-01","2019-12-31","3")</f>
        <v>-32.373390739999998</v>
      </c>
      <c r="G1418" s="11">
        <f>[1]!EM_S_PQ_PCTCHANGE(B1418,"2018-12-31","2019-12-30","1")</f>
        <v>16.41870351</v>
      </c>
      <c r="H1418" s="11">
        <f>[1]!EM_S_FA_YOY_OR(B1418,E1418)</f>
        <v>18.498168187299999</v>
      </c>
      <c r="I1418" s="11">
        <f>[1]!EM_S_FA_GROSSPROFITMARGIN(B1418,E1418)</f>
        <v>30.2443126617</v>
      </c>
      <c r="J1418" s="11">
        <f>[1]!EM_S_FA_NETPROFITMARGIN(B1418,E1418)</f>
        <v>13.4377706155</v>
      </c>
      <c r="K1418" s="10">
        <f>[1]!EM_S_FA_ASSETSTURN(B1418,E1418)</f>
        <v>0.48512526974800002</v>
      </c>
      <c r="L1418" s="12">
        <f>[1]!EM_HKS_VAL_MV(B1418,"2019-12-31","2")</f>
        <v>3880800000</v>
      </c>
      <c r="M1418">
        <f>[1]!EM_S_VAL_PETTMDEDUCTED(B1418,E1418)</f>
        <v>96.662871279321493</v>
      </c>
      <c r="N1418" s="7">
        <f>[1]!EM_S_VAL_PBGOODWILLDEDUCTED(B1418,E1418)</f>
        <v>5.9783339038983003</v>
      </c>
      <c r="O1418" s="7">
        <f>[1]!EM_S_VAL_PS_TTM(B1418,E1418)</f>
        <v>10.738760872467299</v>
      </c>
      <c r="P1418" s="7">
        <f>[1]!EM_S_VAL_PCF_NCFTTM(B1418,E1418)</f>
        <v>-30.1433109958787</v>
      </c>
      <c r="Q1418" s="7">
        <f>[1]!EM_S_VAL_DIVIDENDYIELD2(B1418,E1418,"2019-11-29")</f>
        <v>0.24606299212598426</v>
      </c>
      <c r="T1418"/>
      <c r="U1418">
        <f>[1]!EM_S_RATIO_EPS_TTM(B1418,E1418,"1")</f>
        <v>0.2600399986111111</v>
      </c>
      <c r="AT1418" s="4" t="str">
        <f>[1]!EM_S_IPO_LISTEDDATE(B1418)</f>
        <v>2017-07-28</v>
      </c>
    </row>
    <row r="1419" spans="1:46">
      <c r="A1419">
        <v>1565</v>
      </c>
      <c r="B1419" t="str">
        <f>"300140"</f>
        <v>300140</v>
      </c>
      <c r="C1419" t="s">
        <v>3508</v>
      </c>
      <c r="D1419" t="str">
        <f>[1]!EM_S_INFO_INDEX_EM(B1419,"1")</f>
        <v>公用事业</v>
      </c>
      <c r="E1419" s="4">
        <f t="shared" si="22"/>
        <v>43465</v>
      </c>
      <c r="F1419" s="11">
        <f>[1]!EM_S_PQ_PCTCHANGE(B1419,"2018-01-01","2019-12-31","3")</f>
        <v>-37.69286022</v>
      </c>
      <c r="G1419" s="11">
        <f>[1]!EM_S_PQ_PCTCHANGE(B1419,"2018-12-31","2019-12-30","1")</f>
        <v>16.413043479999999</v>
      </c>
      <c r="H1419" s="11">
        <f>[1]!EM_S_FA_YOY_OR(B1419,E1419)</f>
        <v>-3.9815222952</v>
      </c>
      <c r="I1419" s="11">
        <f>[1]!EM_S_FA_GROSSPROFITMARGIN(B1419,E1419)</f>
        <v>24.748577669100001</v>
      </c>
      <c r="J1419" s="11">
        <f>[1]!EM_S_FA_NETPROFITMARGIN(B1419,E1419)</f>
        <v>1.9106626121000001</v>
      </c>
      <c r="K1419" s="10">
        <f>[1]!EM_S_FA_ASSETSTURN(B1419,E1419)</f>
        <v>0.39458988307499998</v>
      </c>
      <c r="L1419" s="12">
        <f>[1]!EM_HKS_VAL_MV(B1419,"2019-12-31","2")</f>
        <v>4580056237.4399996</v>
      </c>
      <c r="M1419">
        <f>[1]!EM_S_VAL_PETTMDEDUCTED(B1419,E1419)</f>
        <v>339.56349317533397</v>
      </c>
      <c r="N1419" s="7">
        <f>[1]!EM_S_VAL_PBGOODWILLDEDUCTED(B1419,E1419)</f>
        <v>2.2437094448765298</v>
      </c>
      <c r="O1419" s="7">
        <f>[1]!EM_S_VAL_PS_TTM(B1419,E1419)</f>
        <v>2.0888260602900299</v>
      </c>
      <c r="P1419" s="7">
        <f>[1]!EM_S_VAL_PCF_NCFTTM(B1419,E1419)</f>
        <v>-46.207466939256904</v>
      </c>
      <c r="Q1419" s="7">
        <f>[1]!EM_S_VAL_DIVIDENDYIELD2(B1419,E1419,"2019-11-29")</f>
        <v>0</v>
      </c>
      <c r="T1419"/>
      <c r="U1419">
        <f>[1]!EM_S_RATIO_EPS_TTM(B1419,E1419,"1")</f>
        <v>7.9481983239489212E-2</v>
      </c>
      <c r="AT1419" s="4" t="str">
        <f>[1]!EM_S_IPO_LISTEDDATE(B1419)</f>
        <v>2010-11-12</v>
      </c>
    </row>
    <row r="1420" spans="1:46">
      <c r="A1420">
        <v>3617</v>
      </c>
      <c r="B1420" t="str">
        <f>"603960"</f>
        <v>603960</v>
      </c>
      <c r="C1420" t="s">
        <v>674</v>
      </c>
      <c r="D1420" t="str">
        <f>[1]!EM_S_INFO_INDEX_EM(B1420,"1")</f>
        <v>机械设备</v>
      </c>
      <c r="E1420" s="4">
        <f t="shared" si="22"/>
        <v>43465</v>
      </c>
      <c r="F1420" s="11">
        <f>[1]!EM_S_PQ_PCTCHANGE(B1420,"2018-01-01","2019-12-31","3")</f>
        <v>101.41076786000001</v>
      </c>
      <c r="G1420" s="11">
        <f>[1]!EM_S_PQ_PCTCHANGE(B1420,"2018-12-31","2019-12-30","1")</f>
        <v>16.378689699999999</v>
      </c>
      <c r="H1420" s="11">
        <f>[1]!EM_S_FA_YOY_OR(B1420,E1420)</f>
        <v>131.51401467380001</v>
      </c>
      <c r="I1420" s="11">
        <f>[1]!EM_S_FA_GROSSPROFITMARGIN(B1420,E1420)</f>
        <v>28.010770244300002</v>
      </c>
      <c r="J1420" s="11">
        <f>[1]!EM_S_FA_NETPROFITMARGIN(B1420,E1420)</f>
        <v>13.3760428647</v>
      </c>
      <c r="K1420" s="10">
        <f>[1]!EM_S_FA_ASSETSTURN(B1420,E1420)</f>
        <v>0.72457992830700002</v>
      </c>
      <c r="L1420" s="12">
        <f>[1]!EM_HKS_VAL_MV(B1420,"2019-12-31","2")</f>
        <v>5662987200</v>
      </c>
      <c r="M1420">
        <f>[1]!EM_S_VAL_PETTMDEDUCTED(B1420,E1420)</f>
        <v>59.8191923780712</v>
      </c>
      <c r="N1420" s="7">
        <f>[1]!EM_S_VAL_PBGOODWILLDEDUCTED(B1420,E1420)</f>
        <v>10.2476629959954</v>
      </c>
      <c r="O1420" s="7">
        <f>[1]!EM_S_VAL_PS_TTM(B1420,E1420)</f>
        <v>8.0853898707617606</v>
      </c>
      <c r="P1420" s="7">
        <f>[1]!EM_S_VAL_PCF_NCFTTM(B1420,E1420)</f>
        <v>-216.60924298494899</v>
      </c>
      <c r="Q1420" s="7">
        <f>[1]!EM_S_VAL_DIVIDENDYIELD2(B1420,E1420,"2019-11-29")</f>
        <v>0.25579494211650539</v>
      </c>
      <c r="T1420"/>
      <c r="U1420">
        <f>[1]!EM_S_RATIO_EPS_TTM(B1420,E1420,"1")</f>
        <v>0.48186656797337279</v>
      </c>
      <c r="AT1420" s="4" t="str">
        <f>[1]!EM_S_IPO_LISTEDDATE(B1420)</f>
        <v>2017-03-14</v>
      </c>
    </row>
    <row r="1421" spans="1:46">
      <c r="A1421">
        <v>2322</v>
      </c>
      <c r="B1421" t="str">
        <f>"600184"</f>
        <v>600184</v>
      </c>
      <c r="C1421" t="s">
        <v>3000</v>
      </c>
      <c r="D1421" t="str">
        <f>[1]!EM_S_INFO_INDEX_EM(B1421,"1")</f>
        <v>国防与装备</v>
      </c>
      <c r="E1421" s="4">
        <f t="shared" si="22"/>
        <v>43465</v>
      </c>
      <c r="F1421" s="11">
        <f>[1]!EM_S_PQ_PCTCHANGE(B1421,"2018-01-01","2019-12-31","3")</f>
        <v>-37.779796689999998</v>
      </c>
      <c r="G1421" s="11">
        <f>[1]!EM_S_PQ_PCTCHANGE(B1421,"2018-12-31","2019-12-30","1")</f>
        <v>16.37666325</v>
      </c>
      <c r="H1421" s="11">
        <f>[1]!EM_S_FA_YOY_OR(B1421,E1421)</f>
        <v>28.434236863599999</v>
      </c>
      <c r="I1421" s="11">
        <f>[1]!EM_S_FA_GROSSPROFITMARGIN(B1421,E1421)</f>
        <v>11.3706011058</v>
      </c>
      <c r="J1421" s="11">
        <f>[1]!EM_S_FA_NETPROFITMARGIN(B1421,E1421)</f>
        <v>2.3883446998000002</v>
      </c>
      <c r="K1421" s="10">
        <f>[1]!EM_S_FA_ASSETSTURN(B1421,E1421)</f>
        <v>0.65672921998099998</v>
      </c>
      <c r="L1421" s="12">
        <f>[1]!EM_HKS_VAL_MV(B1421,"2019-12-31","2")</f>
        <v>5769347766.8400002</v>
      </c>
      <c r="M1421">
        <f>[1]!EM_S_VAL_PETTMDEDUCTED(B1421,E1421)</f>
        <v>72.818794126441006</v>
      </c>
      <c r="N1421" s="7">
        <f>[1]!EM_S_VAL_PBGOODWILLDEDUCTED(B1421,E1421)</f>
        <v>2.14095086515636</v>
      </c>
      <c r="O1421" s="7">
        <f>[1]!EM_S_VAL_PS_TTM(B1421,E1421)</f>
        <v>2.2367979783224401</v>
      </c>
      <c r="P1421" s="7">
        <f>[1]!EM_S_VAL_PCF_NCFTTM(B1421,E1421)</f>
        <v>802.46953108294701</v>
      </c>
      <c r="Q1421" s="7">
        <f>[1]!EM_S_VAL_DIVIDENDYIELD2(B1421,E1421,"2019-11-29")</f>
        <v>0.32618825722273992</v>
      </c>
      <c r="T1421"/>
      <c r="U1421">
        <f>[1]!EM_S_RATIO_EPS_TTM(B1421,E1421,"1")</f>
        <v>0.11390998828592985</v>
      </c>
      <c r="AT1421" s="4" t="str">
        <f>[1]!EM_S_IPO_LISTEDDATE(B1421)</f>
        <v>2003-11-06</v>
      </c>
    </row>
    <row r="1422" spans="1:46">
      <c r="A1422">
        <v>1882</v>
      </c>
      <c r="B1422" t="str">
        <f>"300457"</f>
        <v>300457</v>
      </c>
      <c r="C1422" t="s">
        <v>333</v>
      </c>
      <c r="D1422" t="str">
        <f>[1]!EM_S_INFO_INDEX_EM(B1422,"1")</f>
        <v>机械设备</v>
      </c>
      <c r="E1422" s="4">
        <f t="shared" si="22"/>
        <v>43465</v>
      </c>
      <c r="F1422" s="11">
        <f>[1]!EM_S_PQ_PCTCHANGE(B1422,"2018-01-01","2019-12-31","3")</f>
        <v>27.478835409999999</v>
      </c>
      <c r="G1422" s="11">
        <f>[1]!EM_S_PQ_PCTCHANGE(B1422,"2018-12-31","2019-12-30","1")</f>
        <v>16.373429080000001</v>
      </c>
      <c r="H1422" s="11">
        <f>[1]!EM_S_FA_YOY_OR(B1422,E1422)</f>
        <v>31.5793999214</v>
      </c>
      <c r="I1422" s="11">
        <f>[1]!EM_S_FA_GROSSPROFITMARGIN(B1422,E1422)</f>
        <v>32.800756923400002</v>
      </c>
      <c r="J1422" s="11">
        <f>[1]!EM_S_FA_NETPROFITMARGIN(B1422,E1422)</f>
        <v>15.833585524</v>
      </c>
      <c r="K1422" s="10">
        <f>[1]!EM_S_FA_ASSETSTURN(B1422,E1422)</f>
        <v>0.50333027177199996</v>
      </c>
      <c r="L1422" s="12">
        <f>[1]!EM_HKS_VAL_MV(B1422,"2019-12-31","2")</f>
        <v>12765317806.5</v>
      </c>
      <c r="M1422">
        <f>[1]!EM_S_VAL_PETTMDEDUCTED(B1422,E1422)</f>
        <v>43.404384560565099</v>
      </c>
      <c r="N1422" s="7">
        <f>[1]!EM_S_VAL_PBGOODWILLDEDUCTED(B1422,E1422)</f>
        <v>3.9293327136677698</v>
      </c>
      <c r="O1422" s="7">
        <f>[1]!EM_S_VAL_PS_TTM(B1422,E1422)</f>
        <v>5.9325753031388597</v>
      </c>
      <c r="P1422" s="7">
        <f>[1]!EM_S_VAL_PCF_NCFTTM(B1422,E1422)</f>
        <v>18.017702470949502</v>
      </c>
      <c r="Q1422" s="7">
        <f>[1]!EM_S_VAL_DIVIDENDYIELD2(B1422,E1422,"2019-11-29")</f>
        <v>0.1295816364309515</v>
      </c>
      <c r="T1422"/>
      <c r="U1422">
        <f>[1]!EM_S_RATIO_EPS_TTM(B1422,E1422,"1")</f>
        <v>0.86259094660978108</v>
      </c>
      <c r="AT1422" s="4" t="str">
        <f>[1]!EM_S_IPO_LISTEDDATE(B1422)</f>
        <v>2015-05-14</v>
      </c>
    </row>
    <row r="1423" spans="1:46">
      <c r="A1423">
        <v>3437</v>
      </c>
      <c r="B1423" t="str">
        <f>"603577"</f>
        <v>603577</v>
      </c>
      <c r="C1423" t="s">
        <v>2207</v>
      </c>
      <c r="D1423" t="str">
        <f>[1]!EM_S_INFO_INDEX_EM(B1423,"1")</f>
        <v>电气设备</v>
      </c>
      <c r="E1423" s="4">
        <f t="shared" si="22"/>
        <v>43465</v>
      </c>
      <c r="F1423" s="11">
        <f>[1]!EM_S_PQ_PCTCHANGE(B1423,"2018-01-01","2019-12-31","3")</f>
        <v>-21.152978470000001</v>
      </c>
      <c r="G1423" s="11">
        <f>[1]!EM_S_PQ_PCTCHANGE(B1423,"2018-12-31","2019-12-30","1")</f>
        <v>16.33554084</v>
      </c>
      <c r="H1423" s="11">
        <f>[1]!EM_S_FA_YOY_OR(B1423,E1423)</f>
        <v>19.376139240400001</v>
      </c>
      <c r="I1423" s="11">
        <f>[1]!EM_S_FA_GROSSPROFITMARGIN(B1423,E1423)</f>
        <v>18.737613225800001</v>
      </c>
      <c r="J1423" s="11">
        <f>[1]!EM_S_FA_NETPROFITMARGIN(B1423,E1423)</f>
        <v>3.2713790528</v>
      </c>
      <c r="K1423" s="10">
        <f>[1]!EM_S_FA_ASSETSTURN(B1423,E1423)</f>
        <v>0.53475461562799997</v>
      </c>
      <c r="L1423" s="12">
        <f>[1]!EM_HKS_VAL_MV(B1423,"2019-12-31","2")</f>
        <v>2184661408.02</v>
      </c>
      <c r="M1423">
        <f>[1]!EM_S_VAL_PETTMDEDUCTED(B1423,E1423)</f>
        <v>54.0748578430089</v>
      </c>
      <c r="N1423" s="7">
        <f>[1]!EM_S_VAL_PBGOODWILLDEDUCTED(B1423,E1423)</f>
        <v>1.79245380510844</v>
      </c>
      <c r="O1423" s="7">
        <f>[1]!EM_S_VAL_PS_TTM(B1423,E1423)</f>
        <v>1.8026162573059299</v>
      </c>
      <c r="P1423" s="7">
        <f>[1]!EM_S_VAL_PCF_NCFTTM(B1423,E1423)</f>
        <v>-16.599696167459602</v>
      </c>
      <c r="Q1423" s="7">
        <f>[1]!EM_S_VAL_DIVIDENDYIELD2(B1423,E1423,"2019-11-29")</f>
        <v>0.47222222303165368</v>
      </c>
      <c r="T1423"/>
      <c r="U1423">
        <f>[1]!EM_S_RATIO_EPS_TTM(B1423,E1423,"1")</f>
        <v>0.18140665883898982</v>
      </c>
      <c r="AT1423" s="4" t="str">
        <f>[1]!EM_S_IPO_LISTEDDATE(B1423)</f>
        <v>2016-12-22</v>
      </c>
    </row>
    <row r="1424" spans="1:46">
      <c r="A1424">
        <v>1530</v>
      </c>
      <c r="B1424" t="str">
        <f>"300105"</f>
        <v>300105</v>
      </c>
      <c r="C1424" t="s">
        <v>3277</v>
      </c>
      <c r="D1424" t="str">
        <f>[1]!EM_S_INFO_INDEX_EM(B1424,"1")</f>
        <v>机械设备</v>
      </c>
      <c r="E1424" s="4">
        <f t="shared" si="22"/>
        <v>43465</v>
      </c>
      <c r="F1424" s="11">
        <f>[1]!EM_S_PQ_PCTCHANGE(B1424,"2018-01-01","2019-12-31","3")</f>
        <v>-20.18181818</v>
      </c>
      <c r="G1424" s="11">
        <f>[1]!EM_S_PQ_PCTCHANGE(B1424,"2018-12-31","2019-12-30","1")</f>
        <v>16.31016043</v>
      </c>
      <c r="H1424" s="11">
        <f>[1]!EM_S_FA_YOY_OR(B1424,E1424)</f>
        <v>-22.169586027499999</v>
      </c>
      <c r="I1424" s="11">
        <f>[1]!EM_S_FA_GROSSPROFITMARGIN(B1424,E1424)</f>
        <v>22.674102725600001</v>
      </c>
      <c r="J1424" s="11">
        <f>[1]!EM_S_FA_NETPROFITMARGIN(B1424,E1424)</f>
        <v>1.5444393845</v>
      </c>
      <c r="K1424" s="10">
        <f>[1]!EM_S_FA_ASSETSTURN(B1424,E1424)</f>
        <v>0.197372625834</v>
      </c>
      <c r="L1424" s="12">
        <f>[1]!EM_HKS_VAL_MV(B1424,"2019-12-31","2")</f>
        <v>2253018240</v>
      </c>
      <c r="M1424">
        <f>[1]!EM_S_VAL_PETTMDEDUCTED(B1424,E1424)</f>
        <v>-53.967628890734602</v>
      </c>
      <c r="N1424" s="7">
        <f>[1]!EM_S_VAL_PBGOODWILLDEDUCTED(B1424,E1424)</f>
        <v>0.98846694397663204</v>
      </c>
      <c r="O1424" s="7">
        <f>[1]!EM_S_VAL_PS_TTM(B1424,E1424)</f>
        <v>3.8958310406882499</v>
      </c>
      <c r="P1424" s="7">
        <f>[1]!EM_S_VAL_PCF_NCFTTM(B1424,E1424)</f>
        <v>3.5335635154348601</v>
      </c>
      <c r="Q1424" s="7">
        <f>[1]!EM_S_VAL_DIVIDENDYIELD2(B1424,E1424,"2019-11-29")</f>
        <v>0</v>
      </c>
      <c r="T1424"/>
      <c r="U1424">
        <f>[1]!EM_S_RATIO_EPS_TTM(B1424,E1424,"1")</f>
        <v>1.6251222019578501E-2</v>
      </c>
      <c r="AT1424" s="4" t="str">
        <f>[1]!EM_S_IPO_LISTEDDATE(B1424)</f>
        <v>2010-08-20</v>
      </c>
    </row>
    <row r="1425" spans="1:46">
      <c r="A1425">
        <v>2948</v>
      </c>
      <c r="B1425" t="str">
        <f>"600875"</f>
        <v>600875</v>
      </c>
      <c r="C1425" t="s">
        <v>2260</v>
      </c>
      <c r="D1425" t="str">
        <f>[1]!EM_S_INFO_INDEX_EM(B1425,"1")</f>
        <v>电气设备</v>
      </c>
      <c r="E1425" s="4">
        <f t="shared" si="22"/>
        <v>43465</v>
      </c>
      <c r="F1425" s="11">
        <f>[1]!EM_S_PQ_PCTCHANGE(B1425,"2018-01-01","2019-12-31","3")</f>
        <v>-17.203898909999999</v>
      </c>
      <c r="G1425" s="11">
        <f>[1]!EM_S_PQ_PCTCHANGE(B1425,"2018-12-31","2019-12-30","1")</f>
        <v>16.22306717</v>
      </c>
      <c r="H1425" s="11">
        <f>[1]!EM_S_FA_YOY_OR(B1425,E1425)</f>
        <v>-9.2853548373999999</v>
      </c>
      <c r="I1425" s="11">
        <f>[1]!EM_S_FA_GROSSPROFITMARGIN(B1425,E1425)</f>
        <v>20.724656680900001</v>
      </c>
      <c r="J1425" s="11">
        <f>[1]!EM_S_FA_NETPROFITMARGIN(B1425,E1425)</f>
        <v>3.8959943146999998</v>
      </c>
      <c r="K1425" s="10">
        <f>[1]!EM_S_FA_ASSETSTURN(B1425,E1425)</f>
        <v>0.36073081223199999</v>
      </c>
      <c r="L1425" s="12">
        <f>[1]!EM_HKS_VAL_MV(B1425,"2019-12-31","2")</f>
        <v>28404483530.889999</v>
      </c>
      <c r="M1425">
        <f>[1]!EM_S_VAL_PETTMDEDUCTED(B1425,E1425)</f>
        <v>31.0298370010496</v>
      </c>
      <c r="N1425" s="7">
        <f>[1]!EM_S_VAL_PBGOODWILLDEDUCTED(B1425,E1425)</f>
        <v>0.85314845940392503</v>
      </c>
      <c r="O1425" s="7">
        <f>[1]!EM_S_VAL_PS_TTM(B1425,E1425)</f>
        <v>0.78873207589191896</v>
      </c>
      <c r="P1425" s="7">
        <f>[1]!EM_S_VAL_PCF_NCFTTM(B1425,E1425)</f>
        <v>6.4480622947239601</v>
      </c>
      <c r="Q1425" s="7">
        <f>[1]!EM_S_VAL_DIVIDENDYIELD2(B1425,E1425,"2019-11-29")</f>
        <v>1.2373453318335208</v>
      </c>
      <c r="T1425"/>
      <c r="U1425">
        <f>[1]!EM_S_RATIO_EPS_TTM(B1425,E1425,"1")</f>
        <v>0.36522356135238804</v>
      </c>
      <c r="AT1425" s="4" t="str">
        <f>[1]!EM_S_IPO_LISTEDDATE(B1425)</f>
        <v>1995-10-10</v>
      </c>
    </row>
    <row r="1426" spans="1:46">
      <c r="A1426">
        <v>39</v>
      </c>
      <c r="B1426" t="str">
        <f>"000039"</f>
        <v>000039</v>
      </c>
      <c r="C1426" t="s">
        <v>1905</v>
      </c>
      <c r="D1426" t="str">
        <f>[1]!EM_S_INFO_INDEX_EM(B1426,"1")</f>
        <v>机械设备</v>
      </c>
      <c r="E1426" s="4">
        <f t="shared" si="22"/>
        <v>43465</v>
      </c>
      <c r="F1426" s="11">
        <f>[1]!EM_S_PQ_PCTCHANGE(B1426,"2018-01-01","2019-12-31","3")</f>
        <v>-45.003741929999997</v>
      </c>
      <c r="G1426" s="11">
        <f>[1]!EM_S_PQ_PCTCHANGE(B1426,"2019-01-01","2019-12-31","3")</f>
        <v>16.172172100000001</v>
      </c>
      <c r="H1426" s="11">
        <f>[1]!EM_S_FA_YOY_OR(B1426,E1426)</f>
        <v>22.539590796500001</v>
      </c>
      <c r="I1426" s="11">
        <f>[1]!EM_S_FA_GROSSPROFITMARGIN(B1426,E1426)</f>
        <v>14.8786821551</v>
      </c>
      <c r="J1426" s="11">
        <f>[1]!EM_S_FA_NETPROFITMARGIN(B1426,E1426)</f>
        <v>4.3513994398999998</v>
      </c>
      <c r="K1426" s="10">
        <f>[1]!EM_S_FA_ASSETSTURN(B1426,E1426)</f>
        <v>0.64595086181399997</v>
      </c>
      <c r="L1426" s="12">
        <f>[1]!EM_HKS_VAL_MV(B1426,"2019-12-31","2")</f>
        <v>35199833031.239998</v>
      </c>
      <c r="M1426">
        <f>[1]!EM_S_VAL_PETTMDEDUCTED(B1426,E1426)</f>
        <v>27.749711345146402</v>
      </c>
      <c r="N1426" s="7">
        <f>[1]!EM_S_VAL_PBGOODWILLDEDUCTED(B1426,E1426)</f>
        <v>1.0069644705867999</v>
      </c>
      <c r="O1426" s="7">
        <f>[1]!EM_S_VAL_PS_TTM(B1426,E1426)</f>
        <v>0.35387381313599198</v>
      </c>
      <c r="P1426" s="7">
        <f>[1]!EM_S_VAL_PCF_NCFTTM(B1426,E1426)</f>
        <v>-55.424909955282203</v>
      </c>
      <c r="Q1426" s="7">
        <f>[1]!EM_S_VAL_DIVIDENDYIELD2(B1426,E1426,"2019-11-29")</f>
        <v>4.752566215627815</v>
      </c>
      <c r="T1426"/>
      <c r="U1426">
        <f>[1]!EM_S_RATIO_EPS_TTM(B1426,E1426,"1")</f>
        <v>1.1324785694281045</v>
      </c>
      <c r="AT1426" s="4" t="str">
        <f>[1]!EM_S_IPO_LISTEDDATE(B1426)</f>
        <v>1994-04-08</v>
      </c>
    </row>
    <row r="1427" spans="1:46">
      <c r="A1427">
        <v>3101</v>
      </c>
      <c r="B1427" t="str">
        <f>"601336"</f>
        <v>601336</v>
      </c>
      <c r="C1427" t="s">
        <v>465</v>
      </c>
      <c r="D1427" t="str">
        <f>[1]!EM_S_INFO_INDEX_EM(B1427,"1")</f>
        <v>金融</v>
      </c>
      <c r="E1427" s="4">
        <f t="shared" si="22"/>
        <v>43465</v>
      </c>
      <c r="F1427" s="11">
        <f>[1]!EM_S_PQ_PCTCHANGE(B1427,"2018-01-01","2019-12-31","3")</f>
        <v>-28.095559819999998</v>
      </c>
      <c r="G1427" s="11">
        <f>[1]!EM_S_PQ_PCTCHANGE(B1427,"2018-12-31","2019-12-30","1")</f>
        <v>16.169507580000001</v>
      </c>
      <c r="H1427" s="11">
        <f>[1]!EM_S_FA_YOY_OR(B1427,E1427)</f>
        <v>6.9623678294999998</v>
      </c>
      <c r="I1427" s="11">
        <f>[1]!EM_S_FA_GROSSPROFITMARGIN(B1427,E1427)</f>
        <v>0</v>
      </c>
      <c r="J1427" s="11">
        <f>[1]!EM_S_FA_NETPROFITMARGIN(B1427,E1427)</f>
        <v>5.1392321314</v>
      </c>
      <c r="K1427" s="10">
        <f>[1]!EM_S_FA_ASSETSTURN(B1427,E1427)</f>
        <v>0</v>
      </c>
      <c r="L1427" s="12">
        <f>[1]!EM_HKS_VAL_MV(B1427,"2019-12-31","2")</f>
        <v>153325715390</v>
      </c>
      <c r="M1427">
        <f>[1]!EM_S_VAL_PETTMDEDUCTED(B1427,E1427)</f>
        <v>16.2237932016745</v>
      </c>
      <c r="N1427" s="7">
        <f>[1]!EM_S_VAL_PBGOODWILLDEDUCTED(B1427,E1427)</f>
        <v>2.0090818056017201</v>
      </c>
      <c r="O1427" s="7">
        <f>[1]!EM_S_VAL_PS_TTM(B1427,E1427)</f>
        <v>0.86668890924637298</v>
      </c>
      <c r="P1427" s="7">
        <f>[1]!EM_S_VAL_PCF_NCFTTM(B1427,E1427)</f>
        <v>17.288067224350598</v>
      </c>
      <c r="Q1427" s="7">
        <f>[1]!EM_S_VAL_DIVIDENDYIELD2(B1427,E1427,"2019-11-29")</f>
        <v>1.729559748427673</v>
      </c>
      <c r="T1427"/>
      <c r="U1427">
        <f>[1]!EM_S_RATIO_EPS_TTM(B1427,E1427,"1")</f>
        <v>2.5394716014179752</v>
      </c>
      <c r="AT1427" s="4" t="str">
        <f>[1]!EM_S_IPO_LISTEDDATE(B1427)</f>
        <v>2011-12-16</v>
      </c>
    </row>
    <row r="1428" spans="1:46">
      <c r="A1428">
        <v>2546</v>
      </c>
      <c r="B1428" t="str">
        <f>"600452"</f>
        <v>600452</v>
      </c>
      <c r="C1428" t="s">
        <v>263</v>
      </c>
      <c r="D1428" t="str">
        <f>[1]!EM_S_INFO_INDEX_EM(B1428,"1")</f>
        <v>公用事业</v>
      </c>
      <c r="E1428" s="4">
        <f t="shared" si="22"/>
        <v>43465</v>
      </c>
      <c r="F1428" s="11">
        <f>[1]!EM_S_PQ_PCTCHANGE(B1428,"2018-01-01","2019-12-31","3")</f>
        <v>7.5724937900000002</v>
      </c>
      <c r="G1428" s="11">
        <f>[1]!EM_S_PQ_PCTCHANGE(B1428,"2018-12-31","2019-12-30","1")</f>
        <v>16.08832808</v>
      </c>
      <c r="H1428" s="11">
        <f>[1]!EM_S_FA_YOY_OR(B1428,E1428)</f>
        <v>18.806274096700001</v>
      </c>
      <c r="I1428" s="11">
        <f>[1]!EM_S_FA_GROSSPROFITMARGIN(B1428,E1428)</f>
        <v>19.349447919999999</v>
      </c>
      <c r="J1428" s="11">
        <f>[1]!EM_S_FA_NETPROFITMARGIN(B1428,E1428)</f>
        <v>14.2462435152</v>
      </c>
      <c r="K1428" s="10">
        <f>[1]!EM_S_FA_ASSETSTURN(B1428,E1428)</f>
        <v>0.55318629534399999</v>
      </c>
      <c r="L1428" s="12">
        <f>[1]!EM_HKS_VAL_MV(B1428,"2019-12-31","2")</f>
        <v>5785920000</v>
      </c>
      <c r="M1428">
        <f>[1]!EM_S_VAL_PETTMDEDUCTED(B1428,E1428)</f>
        <v>13.942374894025599</v>
      </c>
      <c r="N1428" s="7">
        <f>[1]!EM_S_VAL_PBGOODWILLDEDUCTED(B1428,E1428)</f>
        <v>2.4211362513324701</v>
      </c>
      <c r="O1428" s="7">
        <f>[1]!EM_S_VAL_PS_TTM(B1428,E1428)</f>
        <v>1.5259692518954</v>
      </c>
      <c r="P1428" s="7">
        <f>[1]!EM_S_VAL_PCF_NCFTTM(B1428,E1428)</f>
        <v>-37.255002172342103</v>
      </c>
      <c r="Q1428" s="7">
        <f>[1]!EM_S_VAL_DIVIDENDYIELD2(B1428,E1428,"2019-11-29")</f>
        <v>0.85729872963915521</v>
      </c>
      <c r="T1428"/>
      <c r="U1428">
        <f>[1]!EM_S_RATIO_EPS_TTM(B1428,E1428,"1")</f>
        <v>1.5567862534374999</v>
      </c>
      <c r="AT1428" s="4" t="str">
        <f>[1]!EM_S_IPO_LISTEDDATE(B1428)</f>
        <v>2004-03-03</v>
      </c>
    </row>
    <row r="1429" spans="1:46">
      <c r="A1429">
        <v>2677</v>
      </c>
      <c r="B1429" t="str">
        <f>"600604"</f>
        <v>600604</v>
      </c>
      <c r="C1429" t="s">
        <v>3071</v>
      </c>
      <c r="D1429" t="str">
        <f>[1]!EM_S_INFO_INDEX_EM(B1429,"1")</f>
        <v>房地产</v>
      </c>
      <c r="E1429" s="4">
        <f t="shared" si="22"/>
        <v>43465</v>
      </c>
      <c r="F1429" s="11">
        <f>[1]!EM_S_PQ_PCTCHANGE(B1429,"2018-01-01","2019-12-31","3")</f>
        <v>23.448306339999998</v>
      </c>
      <c r="G1429" s="11">
        <f>[1]!EM_S_PQ_PCTCHANGE(B1429,"2018-12-31","2019-12-30","1")</f>
        <v>16.08300908</v>
      </c>
      <c r="H1429" s="11">
        <f>[1]!EM_S_FA_YOY_OR(B1429,E1429)</f>
        <v>-76.824983941100001</v>
      </c>
      <c r="I1429" s="11">
        <f>[1]!EM_S_FA_GROSSPROFITMARGIN(B1429,E1429)</f>
        <v>42.517312037000003</v>
      </c>
      <c r="J1429" s="11">
        <f>[1]!EM_S_FA_NETPROFITMARGIN(B1429,E1429)</f>
        <v>53.001469784400001</v>
      </c>
      <c r="K1429" s="10">
        <f>[1]!EM_S_FA_ASSETSTURN(B1429,E1429)</f>
        <v>3.4988569405000003E-2</v>
      </c>
      <c r="L1429" s="12">
        <f>[1]!EM_HKS_VAL_MV(B1429,"2019-12-31","2")</f>
        <v>16597480563.440001</v>
      </c>
      <c r="M1429">
        <f>[1]!EM_S_VAL_PETTMDEDUCTED(B1429,E1429)</f>
        <v>73.3807643710782</v>
      </c>
      <c r="N1429" s="7">
        <f>[1]!EM_S_VAL_PBGOODWILLDEDUCTED(B1429,E1429)</f>
        <v>2.36470693537898</v>
      </c>
      <c r="O1429" s="7">
        <f>[1]!EM_S_VAL_PS_TTM(B1429,E1429)</f>
        <v>7.1963458542783396</v>
      </c>
      <c r="P1429" s="7">
        <f>[1]!EM_S_VAL_PCF_NCFTTM(B1429,E1429)</f>
        <v>-69.297783210826793</v>
      </c>
      <c r="Q1429" s="7">
        <f>[1]!EM_S_VAL_DIVIDENDYIELD2(B1429,E1429,"2019-11-29")</f>
        <v>0.32051282051282048</v>
      </c>
      <c r="T1429"/>
      <c r="U1429">
        <f>[1]!EM_S_RATIO_EPS_TTM(B1429,E1429,"1")</f>
        <v>0.12684975329300441</v>
      </c>
      <c r="AT1429" s="4" t="str">
        <f>[1]!EM_S_IPO_LISTEDDATE(B1429)</f>
        <v>1992-03-27</v>
      </c>
    </row>
    <row r="1430" spans="1:46">
      <c r="A1430">
        <v>1506</v>
      </c>
      <c r="B1430" t="str">
        <f>"300081"</f>
        <v>300081</v>
      </c>
      <c r="C1430" t="s">
        <v>180</v>
      </c>
      <c r="D1430" t="str">
        <f>[1]!EM_S_INFO_INDEX_EM(B1430,"1")</f>
        <v>文化传媒</v>
      </c>
      <c r="E1430" s="4">
        <f t="shared" si="22"/>
        <v>43465</v>
      </c>
      <c r="F1430" s="11">
        <f>[1]!EM_S_PQ_PCTCHANGE(B1430,"2018-01-01","2019-12-31","3")</f>
        <v>-0.20316095000000001</v>
      </c>
      <c r="G1430" s="11">
        <f>[1]!EM_S_PQ_PCTCHANGE(B1430,"2018-12-31","2019-12-30","1")</f>
        <v>16.06741573</v>
      </c>
      <c r="H1430" s="11">
        <f>[1]!EM_S_FA_YOY_OR(B1430,E1430)</f>
        <v>68.370802855199997</v>
      </c>
      <c r="I1430" s="11">
        <f>[1]!EM_S_FA_GROSSPROFITMARGIN(B1430,E1430)</f>
        <v>45.7751862175</v>
      </c>
      <c r="J1430" s="11">
        <f>[1]!EM_S_FA_NETPROFITMARGIN(B1430,E1430)</f>
        <v>27.9914039881</v>
      </c>
      <c r="K1430" s="10">
        <f>[1]!EM_S_FA_ASSETSTURN(B1430,E1430)</f>
        <v>0.25654754994399998</v>
      </c>
      <c r="L1430" s="12">
        <f>[1]!EM_HKS_VAL_MV(B1430,"2019-12-31","2")</f>
        <v>5349786126.3599997</v>
      </c>
      <c r="M1430">
        <f>[1]!EM_S_VAL_PETTMDEDUCTED(B1430,E1430)</f>
        <v>37.493420992439802</v>
      </c>
      <c r="N1430" s="7">
        <f>[1]!EM_S_VAL_PBGOODWILLDEDUCTED(B1430,E1430)</f>
        <v>2.4176937749073</v>
      </c>
      <c r="O1430" s="7">
        <f>[1]!EM_S_VAL_PS_TTM(B1430,E1430)</f>
        <v>7.4473266779815503</v>
      </c>
      <c r="P1430" s="7">
        <f>[1]!EM_S_VAL_PCF_NCFTTM(B1430,E1430)</f>
        <v>-10.433671467395</v>
      </c>
      <c r="Q1430" s="7">
        <f>[1]!EM_S_VAL_DIVIDENDYIELD2(B1430,E1430,"2019-11-29")</f>
        <v>0</v>
      </c>
      <c r="T1430"/>
      <c r="U1430">
        <f>[1]!EM_S_RATIO_EPS_TTM(B1430,E1430,"1")</f>
        <v>0.37442604665431239</v>
      </c>
      <c r="AT1430" s="4" t="str">
        <f>[1]!EM_S_IPO_LISTEDDATE(B1430)</f>
        <v>2010-05-20</v>
      </c>
    </row>
    <row r="1431" spans="1:46">
      <c r="A1431">
        <v>3556</v>
      </c>
      <c r="B1431" t="str">
        <f>"603826"</f>
        <v>603826</v>
      </c>
      <c r="C1431" t="s">
        <v>1073</v>
      </c>
      <c r="D1431" t="str">
        <f>[1]!EM_S_INFO_INDEX_EM(B1431,"1")</f>
        <v>有色金属</v>
      </c>
      <c r="E1431" s="4">
        <f t="shared" si="22"/>
        <v>43465</v>
      </c>
      <c r="F1431" s="11">
        <f>[1]!EM_S_PQ_PCTCHANGE(B1431,"2018-01-01","2019-12-31","3")</f>
        <v>40.003129029999997</v>
      </c>
      <c r="G1431" s="11">
        <f>[1]!EM_S_PQ_PCTCHANGE(B1431,"2018-12-31","2019-12-30","1")</f>
        <v>16.057347669999999</v>
      </c>
      <c r="H1431" s="11">
        <f>[1]!EM_S_FA_YOY_OR(B1431,E1431)</f>
        <v>25.068237469900001</v>
      </c>
      <c r="I1431" s="11">
        <f>[1]!EM_S_FA_GROSSPROFITMARGIN(B1431,E1431)</f>
        <v>46.133679791500001</v>
      </c>
      <c r="J1431" s="11">
        <f>[1]!EM_S_FA_NETPROFITMARGIN(B1431,E1431)</f>
        <v>30.680736648700002</v>
      </c>
      <c r="K1431" s="10">
        <f>[1]!EM_S_FA_ASSETSTURN(B1431,E1431)</f>
        <v>0.43476895155500001</v>
      </c>
      <c r="L1431" s="12">
        <f>[1]!EM_HKS_VAL_MV(B1431,"2019-12-31","2")</f>
        <v>7670520000</v>
      </c>
      <c r="M1431">
        <f>[1]!EM_S_VAL_PETTMDEDUCTED(B1431,E1431)</f>
        <v>41.516551674258203</v>
      </c>
      <c r="N1431" s="7">
        <f>[1]!EM_S_VAL_PBGOODWILLDEDUCTED(B1431,E1431)</f>
        <v>5.0320841184375702</v>
      </c>
      <c r="O1431" s="7">
        <f>[1]!EM_S_VAL_PS_TTM(B1431,E1431)</f>
        <v>11.504870580281301</v>
      </c>
      <c r="P1431" s="7">
        <f>[1]!EM_S_VAL_PCF_NCFTTM(B1431,E1431)</f>
        <v>-206.518343283582</v>
      </c>
      <c r="Q1431" s="7">
        <f>[1]!EM_S_VAL_DIVIDENDYIELD2(B1431,E1431,"2019-11-29")</f>
        <v>0.77569489334195219</v>
      </c>
      <c r="T1431"/>
      <c r="U1431">
        <f>[1]!EM_S_RATIO_EPS_TTM(B1431,E1431,"1")</f>
        <v>0.38505693455128204</v>
      </c>
      <c r="AT1431" s="4" t="str">
        <f>[1]!EM_S_IPO_LISTEDDATE(B1431)</f>
        <v>2017-04-14</v>
      </c>
    </row>
    <row r="1432" spans="1:46">
      <c r="A1432">
        <v>2026</v>
      </c>
      <c r="B1432" t="str">
        <f>"300606"</f>
        <v>300606</v>
      </c>
      <c r="C1432" t="s">
        <v>783</v>
      </c>
      <c r="D1432" t="str">
        <f>[1]!EM_S_INFO_INDEX_EM(B1432,"1")</f>
        <v>机械设备</v>
      </c>
      <c r="E1432" s="4">
        <f t="shared" si="22"/>
        <v>43465</v>
      </c>
      <c r="F1432" s="11">
        <f>[1]!EM_S_PQ_PCTCHANGE(B1432,"2018-01-01","2019-12-31","3")</f>
        <v>-37.227981710000002</v>
      </c>
      <c r="G1432" s="11">
        <f>[1]!EM_S_PQ_PCTCHANGE(B1432,"2018-12-31","2019-12-30","1")</f>
        <v>16.048699500000001</v>
      </c>
      <c r="H1432" s="11">
        <f>[1]!EM_S_FA_YOY_OR(B1432,E1432)</f>
        <v>46.6394176855</v>
      </c>
      <c r="I1432" s="11">
        <f>[1]!EM_S_FA_GROSSPROFITMARGIN(B1432,E1432)</f>
        <v>31.056890921699999</v>
      </c>
      <c r="J1432" s="11">
        <f>[1]!EM_S_FA_NETPROFITMARGIN(B1432,E1432)</f>
        <v>16.5597175463</v>
      </c>
      <c r="K1432" s="10">
        <f>[1]!EM_S_FA_ASSETSTURN(B1432,E1432)</f>
        <v>0.58785207407200002</v>
      </c>
      <c r="L1432" s="12">
        <f>[1]!EM_HKS_VAL_MV(B1432,"2019-12-31","2")</f>
        <v>1876768000</v>
      </c>
      <c r="M1432">
        <f>[1]!EM_S_VAL_PETTMDEDUCTED(B1432,E1432)</f>
        <v>32.734507468526402</v>
      </c>
      <c r="N1432" s="7">
        <f>[1]!EM_S_VAL_PBGOODWILLDEDUCTED(B1432,E1432)</f>
        <v>3.15918376305348</v>
      </c>
      <c r="O1432" s="7">
        <f>[1]!EM_S_VAL_PS_TTM(B1432,E1432)</f>
        <v>4.3844439478383999</v>
      </c>
      <c r="P1432" s="7">
        <f>[1]!EM_S_VAL_PCF_NCFTTM(B1432,E1432)</f>
        <v>41.384107204756297</v>
      </c>
      <c r="Q1432" s="7">
        <f>[1]!EM_S_VAL_DIVIDENDYIELD2(B1432,E1432,"2019-11-29")</f>
        <v>0.26497085320614733</v>
      </c>
      <c r="T1432"/>
      <c r="U1432">
        <f>[1]!EM_S_RATIO_EPS_TTM(B1432,E1432,"1")</f>
        <v>0.60093621457399105</v>
      </c>
      <c r="AT1432" s="4" t="str">
        <f>[1]!EM_S_IPO_LISTEDDATE(B1432)</f>
        <v>2017-02-08</v>
      </c>
    </row>
    <row r="1433" spans="1:46">
      <c r="A1433">
        <v>1579</v>
      </c>
      <c r="B1433" t="str">
        <f>"300154"</f>
        <v>300154</v>
      </c>
      <c r="C1433" t="s">
        <v>2540</v>
      </c>
      <c r="D1433" t="str">
        <f>[1]!EM_S_INFO_INDEX_EM(B1433,"1")</f>
        <v>机械设备</v>
      </c>
      <c r="E1433" s="4">
        <f t="shared" si="22"/>
        <v>43465</v>
      </c>
      <c r="F1433" s="11">
        <f>[1]!EM_S_PQ_PCTCHANGE(B1433,"2018-01-01","2019-12-31","3")</f>
        <v>-9.1489833699999998</v>
      </c>
      <c r="G1433" s="11">
        <f>[1]!EM_S_PQ_PCTCHANGE(B1433,"2018-12-31","2019-12-30","1")</f>
        <v>16.041666670000001</v>
      </c>
      <c r="H1433" s="11">
        <f>[1]!EM_S_FA_YOY_OR(B1433,E1433)</f>
        <v>-10.879541678700001</v>
      </c>
      <c r="I1433" s="11">
        <f>[1]!EM_S_FA_GROSSPROFITMARGIN(B1433,E1433)</f>
        <v>32.672823959900001</v>
      </c>
      <c r="J1433" s="11">
        <f>[1]!EM_S_FA_NETPROFITMARGIN(B1433,E1433)</f>
        <v>18.025944398099998</v>
      </c>
      <c r="K1433" s="10">
        <f>[1]!EM_S_FA_ASSETSTURN(B1433,E1433)</f>
        <v>0.30606214604900001</v>
      </c>
      <c r="L1433" s="12">
        <f>[1]!EM_HKS_VAL_MV(B1433,"2019-12-31","2")</f>
        <v>2579658200</v>
      </c>
      <c r="M1433">
        <f>[1]!EM_S_VAL_PETTMDEDUCTED(B1433,E1433)</f>
        <v>25.187162259511201</v>
      </c>
      <c r="N1433" s="7">
        <f>[1]!EM_S_VAL_PBGOODWILLDEDUCTED(B1433,E1433)</f>
        <v>1.36004016521176</v>
      </c>
      <c r="O1433" s="7">
        <f>[1]!EM_S_VAL_PS_TTM(B1433,E1433)</f>
        <v>3.51808512825176</v>
      </c>
      <c r="P1433" s="7">
        <f>[1]!EM_S_VAL_PCF_NCFTTM(B1433,E1433)</f>
        <v>-4.0937663554128001</v>
      </c>
      <c r="Q1433" s="7">
        <f>[1]!EM_S_VAL_DIVIDENDYIELD2(B1433,E1433,"2019-11-29")</f>
        <v>3.7383177570093453</v>
      </c>
      <c r="T1433"/>
      <c r="U1433">
        <f>[1]!EM_S_RATIO_EPS_TTM(B1433,E1433,"1")</f>
        <v>0.23496676562431471</v>
      </c>
      <c r="AT1433" s="4" t="str">
        <f>[1]!EM_S_IPO_LISTEDDATE(B1433)</f>
        <v>2010-12-29</v>
      </c>
    </row>
    <row r="1434" spans="1:46">
      <c r="A1434">
        <v>2257</v>
      </c>
      <c r="B1434" t="str">
        <f>"600110"</f>
        <v>600110</v>
      </c>
      <c r="C1434" t="s">
        <v>2096</v>
      </c>
      <c r="D1434" t="str">
        <f>[1]!EM_S_INFO_INDEX_EM(B1434,"1")</f>
        <v>电气设备</v>
      </c>
      <c r="E1434" s="4">
        <f t="shared" si="22"/>
        <v>43465</v>
      </c>
      <c r="F1434" s="11">
        <f>[1]!EM_S_PQ_PCTCHANGE(B1434,"2018-01-01","2019-12-31","3")</f>
        <v>-50.046722940000002</v>
      </c>
      <c r="G1434" s="11">
        <f>[1]!EM_S_PQ_PCTCHANGE(B1434,"2018-12-31","2019-12-30","1")</f>
        <v>16.009852219999999</v>
      </c>
      <c r="H1434" s="11">
        <f>[1]!EM_S_FA_YOY_OR(B1434,E1434)</f>
        <v>-8.5236689313999996</v>
      </c>
      <c r="I1434" s="11">
        <f>[1]!EM_S_FA_GROSSPROFITMARGIN(B1434,E1434)</f>
        <v>26.436305056999998</v>
      </c>
      <c r="J1434" s="11">
        <f>[1]!EM_S_FA_NETPROFITMARGIN(B1434,E1434)</f>
        <v>5.4242236966000004</v>
      </c>
      <c r="K1434" s="10">
        <f>[1]!EM_S_FA_ASSETSTURN(B1434,E1434)</f>
        <v>0.34392246497000001</v>
      </c>
      <c r="L1434" s="12">
        <f>[1]!EM_HKS_VAL_MV(B1434,"2019-12-31","2")</f>
        <v>5383460613.96</v>
      </c>
      <c r="M1434">
        <f>[1]!EM_S_VAL_PETTMDEDUCTED(B1434,E1434)</f>
        <v>101.648070755123</v>
      </c>
      <c r="N1434" s="7">
        <f>[1]!EM_S_VAL_PBGOODWILLDEDUCTED(B1434,E1434)</f>
        <v>2.1869282380372499</v>
      </c>
      <c r="O1434" s="7">
        <f>[1]!EM_S_VAL_PS_TTM(B1434,E1434)</f>
        <v>1.9454334062984699</v>
      </c>
      <c r="P1434" s="7">
        <f>[1]!EM_S_VAL_PCF_NCFTTM(B1434,E1434)</f>
        <v>-41.041716200038799</v>
      </c>
      <c r="Q1434" s="7">
        <f>[1]!EM_S_VAL_DIVIDENDYIELD2(B1434,E1434,"2019-11-29")</f>
        <v>0</v>
      </c>
      <c r="T1434"/>
      <c r="U1434">
        <f>[1]!EM_S_RATIO_EPS_TTM(B1434,E1434,"1")</f>
        <v>8.451322058903811E-2</v>
      </c>
      <c r="AT1434" s="4" t="str">
        <f>[1]!EM_S_IPO_LISTEDDATE(B1434)</f>
        <v>1997-10-07</v>
      </c>
    </row>
    <row r="1435" spans="1:46">
      <c r="A1435">
        <v>2720</v>
      </c>
      <c r="B1435" t="str">
        <f>"600647"</f>
        <v>600647</v>
      </c>
      <c r="C1435" t="s">
        <v>2000</v>
      </c>
      <c r="D1435" t="str">
        <f>[1]!EM_S_INFO_INDEX_EM(B1435,"1")</f>
        <v>房地产</v>
      </c>
      <c r="E1435" s="4">
        <f t="shared" si="22"/>
        <v>43465</v>
      </c>
      <c r="F1435" s="11">
        <f>[1]!EM_S_PQ_PCTCHANGE(B1435,"2018-01-01","2019-12-31","3")</f>
        <v>-25.848872350000001</v>
      </c>
      <c r="G1435" s="11">
        <f>[1]!EM_S_PQ_PCTCHANGE(B1435,"2018-12-31","2019-12-30","1")</f>
        <v>15.993265989999999</v>
      </c>
      <c r="H1435" s="11">
        <f>[1]!EM_S_FA_YOY_OR(B1435,E1435)</f>
        <v>-13.889813461199999</v>
      </c>
      <c r="I1435" s="11">
        <f>[1]!EM_S_FA_GROSSPROFITMARGIN(B1435,E1435)</f>
        <v>57.6045815823</v>
      </c>
      <c r="J1435" s="11">
        <f>[1]!EM_S_FA_NETPROFITMARGIN(B1435,E1435)</f>
        <v>-293.55257290319997</v>
      </c>
      <c r="K1435" s="10">
        <f>[1]!EM_S_FA_ASSETSTURN(B1435,E1435)</f>
        <v>3.9802153238000001E-2</v>
      </c>
      <c r="L1435" s="12">
        <f>[1]!EM_HKS_VAL_MV(B1435,"2019-12-31","2")</f>
        <v>1899309457.5</v>
      </c>
      <c r="M1435">
        <f>[1]!EM_S_VAL_PETTMDEDUCTED(B1435,E1435)</f>
        <v>-42.422979691737702</v>
      </c>
      <c r="N1435" s="7">
        <f>[1]!EM_S_VAL_PBGOODWILLDEDUCTED(B1435,E1435)</f>
        <v>6.1469662881603897</v>
      </c>
      <c r="O1435" s="7">
        <f>[1]!EM_S_VAL_PS_TTM(B1435,E1435)</f>
        <v>81.278034649602205</v>
      </c>
      <c r="P1435" s="7">
        <f>[1]!EM_S_VAL_PCF_NCFTTM(B1435,E1435)</f>
        <v>-102.823793685897</v>
      </c>
      <c r="Q1435" s="7">
        <f>[1]!EM_S_VAL_DIVIDENDYIELD2(B1435,E1435,"2019-11-29")</f>
        <v>0</v>
      </c>
      <c r="T1435"/>
      <c r="U1435">
        <f>[1]!EM_S_RATIO_EPS_TTM(B1435,E1435,"1")</f>
        <v>-0.4046217913083287</v>
      </c>
      <c r="AT1435" s="4" t="str">
        <f>[1]!EM_S_IPO_LISTEDDATE(B1435)</f>
        <v>1993-05-04</v>
      </c>
    </row>
    <row r="1436" spans="1:46">
      <c r="A1436">
        <v>25</v>
      </c>
      <c r="B1436" t="str">
        <f>"000025"</f>
        <v>000025</v>
      </c>
      <c r="C1436" t="s">
        <v>1635</v>
      </c>
      <c r="D1436" t="str">
        <f>[1]!EM_S_INFO_INDEX_EM(B1436,"1")</f>
        <v>交运设备</v>
      </c>
      <c r="E1436" s="4">
        <f t="shared" si="22"/>
        <v>43465</v>
      </c>
      <c r="F1436" s="11">
        <f>[1]!EM_S_PQ_PCTCHANGE(B1436,"2018-01-01","2019-12-31","3")</f>
        <v>-20.161743049999998</v>
      </c>
      <c r="G1436" s="11">
        <f>[1]!EM_S_PQ_PCTCHANGE(B1436,"2019-01-01","2019-12-31","3")</f>
        <v>15.93406016</v>
      </c>
      <c r="H1436" s="11">
        <f>[1]!EM_S_FA_YOY_OR(B1436,E1436)</f>
        <v>19.2955915531</v>
      </c>
      <c r="I1436" s="11">
        <f>[1]!EM_S_FA_GROSSPROFITMARGIN(B1436,E1436)</f>
        <v>19.7691350978</v>
      </c>
      <c r="J1436" s="11">
        <f>[1]!EM_S_FA_NETPROFITMARGIN(B1436,E1436)</f>
        <v>20.794764695000001</v>
      </c>
      <c r="K1436" s="10">
        <f>[1]!EM_S_FA_ASSETSTURN(B1436,E1436)</f>
        <v>0.27060191336599998</v>
      </c>
      <c r="L1436" s="12">
        <f>[1]!EM_HKS_VAL_MV(B1436,"2019-12-31","2")</f>
        <v>9138436384</v>
      </c>
      <c r="M1436">
        <f>[1]!EM_S_VAL_PETTMDEDUCTED(B1436,E1436)</f>
        <v>150.16205128501301</v>
      </c>
      <c r="N1436" s="7">
        <f>[1]!EM_S_VAL_PBGOODWILLDEDUCTED(B1436,E1436)</f>
        <v>7.5069857505708004</v>
      </c>
      <c r="O1436" s="7">
        <f>[1]!EM_S_VAL_PS_TTM(B1436,E1436)</f>
        <v>19.7370061779583</v>
      </c>
      <c r="P1436" s="7">
        <f>[1]!EM_S_VAL_PCF_NCFTTM(B1436,E1436)</f>
        <v>171.704167037205</v>
      </c>
      <c r="Q1436" s="7">
        <f>[1]!EM_S_VAL_DIVIDENDYIELD2(B1436,E1436,"2019-11-29")</f>
        <v>0</v>
      </c>
      <c r="T1436"/>
      <c r="U1436">
        <f>[1]!EM_S_RATIO_EPS_TTM(B1436,E1436,"1")</f>
        <v>0.29239636331343749</v>
      </c>
      <c r="AT1436" s="4" t="str">
        <f>[1]!EM_S_IPO_LISTEDDATE(B1436)</f>
        <v>1993-06-21</v>
      </c>
    </row>
    <row r="1437" spans="1:46">
      <c r="A1437">
        <v>1638</v>
      </c>
      <c r="B1437" t="str">
        <f>"300213"</f>
        <v>300213</v>
      </c>
      <c r="C1437" t="s">
        <v>2563</v>
      </c>
      <c r="D1437" t="str">
        <f>[1]!EM_S_INFO_INDEX_EM(B1437,"1")</f>
        <v>信息技术</v>
      </c>
      <c r="E1437" s="4">
        <f t="shared" si="22"/>
        <v>43465</v>
      </c>
      <c r="F1437" s="11">
        <f>[1]!EM_S_PQ_PCTCHANGE(B1437,"2018-01-01","2019-12-31","3")</f>
        <v>-14.353477010000001</v>
      </c>
      <c r="G1437" s="11">
        <f>[1]!EM_S_PQ_PCTCHANGE(B1437,"2018-12-31","2019-12-30","1")</f>
        <v>15.92128801</v>
      </c>
      <c r="H1437" s="11">
        <f>[1]!EM_S_FA_YOY_OR(B1437,E1437)</f>
        <v>3.7376902738000002</v>
      </c>
      <c r="I1437" s="11">
        <f>[1]!EM_S_FA_GROSSPROFITMARGIN(B1437,E1437)</f>
        <v>37.280975587999997</v>
      </c>
      <c r="J1437" s="11">
        <f>[1]!EM_S_FA_NETPROFITMARGIN(B1437,E1437)</f>
        <v>10.7961787632</v>
      </c>
      <c r="K1437" s="10">
        <f>[1]!EM_S_FA_ASSETSTURN(B1437,E1437)</f>
        <v>0.40463312509900001</v>
      </c>
      <c r="L1437" s="12">
        <f>[1]!EM_HKS_VAL_MV(B1437,"2019-12-31","2")</f>
        <v>3890818564.4400001</v>
      </c>
      <c r="M1437">
        <f>[1]!EM_S_VAL_PETTMDEDUCTED(B1437,E1437)</f>
        <v>29.430110799225201</v>
      </c>
      <c r="N1437" s="7">
        <f>[1]!EM_S_VAL_PBGOODWILLDEDUCTED(B1437,E1437)</f>
        <v>2.2293267157216698</v>
      </c>
      <c r="O1437" s="7">
        <f>[1]!EM_S_VAL_PS_TTM(B1437,E1437)</f>
        <v>2.6055026607712399</v>
      </c>
      <c r="P1437" s="7">
        <f>[1]!EM_S_VAL_PCF_NCFTTM(B1437,E1437)</f>
        <v>1298.7011025628401</v>
      </c>
      <c r="Q1437" s="7">
        <f>[1]!EM_S_VAL_DIVIDENDYIELD2(B1437,E1437,"2019-11-29")</f>
        <v>0.81300813008130068</v>
      </c>
      <c r="T1437"/>
      <c r="U1437">
        <f>[1]!EM_S_RATIO_EPS_TTM(B1437,E1437,"1")</f>
        <v>0.21869229846194785</v>
      </c>
      <c r="AT1437" s="4" t="str">
        <f>[1]!EM_S_IPO_LISTEDDATE(B1437)</f>
        <v>2011-05-05</v>
      </c>
    </row>
    <row r="1438" spans="1:46">
      <c r="A1438">
        <v>1978</v>
      </c>
      <c r="B1438" t="str">
        <f>"300555"</f>
        <v>300555</v>
      </c>
      <c r="C1438" t="s">
        <v>2393</v>
      </c>
      <c r="D1438" t="str">
        <f>[1]!EM_S_INFO_INDEX_EM(B1438,"1")</f>
        <v>信息技术</v>
      </c>
      <c r="E1438" s="4">
        <f t="shared" si="22"/>
        <v>43465</v>
      </c>
      <c r="F1438" s="11">
        <f>[1]!EM_S_PQ_PCTCHANGE(B1438,"2018-01-01","2019-12-31","3")</f>
        <v>-23.81525791</v>
      </c>
      <c r="G1438" s="11">
        <f>[1]!EM_S_PQ_PCTCHANGE(B1438,"2018-12-31","2019-12-30","1")</f>
        <v>15.92039801</v>
      </c>
      <c r="H1438" s="11">
        <f>[1]!EM_S_FA_YOY_OR(B1438,E1438)</f>
        <v>-10.1896459822</v>
      </c>
      <c r="I1438" s="11">
        <f>[1]!EM_S_FA_GROSSPROFITMARGIN(B1438,E1438)</f>
        <v>22.958405647700001</v>
      </c>
      <c r="J1438" s="11">
        <f>[1]!EM_S_FA_NETPROFITMARGIN(B1438,E1438)</f>
        <v>2.8153328593000002</v>
      </c>
      <c r="K1438" s="10">
        <f>[1]!EM_S_FA_ASSETSTURN(B1438,E1438)</f>
        <v>0.41331475285000002</v>
      </c>
      <c r="L1438" s="12">
        <f>[1]!EM_HKS_VAL_MV(B1438,"2019-12-31","2")</f>
        <v>1872000000</v>
      </c>
      <c r="M1438">
        <f>[1]!EM_S_VAL_PETTMDEDUCTED(B1438,E1438)</f>
        <v>67.689684042226602</v>
      </c>
      <c r="N1438" s="7">
        <f>[1]!EM_S_VAL_PBGOODWILLDEDUCTED(B1438,E1438)</f>
        <v>2.57480753203372</v>
      </c>
      <c r="O1438" s="7">
        <f>[1]!EM_S_VAL_PS_TTM(B1438,E1438)</f>
        <v>4.4967275661205601</v>
      </c>
      <c r="P1438" s="7">
        <f>[1]!EM_S_VAL_PCF_NCFTTM(B1438,E1438)</f>
        <v>426.57630436435699</v>
      </c>
      <c r="Q1438" s="7">
        <f>[1]!EM_S_VAL_DIVIDENDYIELD2(B1438,E1438,"2019-11-29")</f>
        <v>0</v>
      </c>
      <c r="T1438"/>
      <c r="U1438">
        <f>[1]!EM_S_RATIO_EPS_TTM(B1438,E1438,"1")</f>
        <v>5.1282940450000002E-2</v>
      </c>
      <c r="AT1438" s="4" t="str">
        <f>[1]!EM_S_IPO_LISTEDDATE(B1438)</f>
        <v>2016-10-18</v>
      </c>
    </row>
    <row r="1439" spans="1:46">
      <c r="A1439">
        <v>2010</v>
      </c>
      <c r="B1439" t="str">
        <f>"300589"</f>
        <v>300589</v>
      </c>
      <c r="C1439" t="s">
        <v>3309</v>
      </c>
      <c r="D1439" t="str">
        <f>[1]!EM_S_INFO_INDEX_EM(B1439,"1")</f>
        <v>国防与装备</v>
      </c>
      <c r="E1439" s="4">
        <f t="shared" si="22"/>
        <v>43465</v>
      </c>
      <c r="F1439" s="11">
        <f>[1]!EM_S_PQ_PCTCHANGE(B1439,"2018-01-01","2019-12-31","3")</f>
        <v>-6.1505731700000004</v>
      </c>
      <c r="G1439" s="11">
        <f>[1]!EM_S_PQ_PCTCHANGE(B1439,"2018-12-31","2019-12-30","1")</f>
        <v>15.90909091</v>
      </c>
      <c r="H1439" s="11">
        <f>[1]!EM_S_FA_YOY_OR(B1439,E1439)</f>
        <v>10.9657188081</v>
      </c>
      <c r="I1439" s="11">
        <f>[1]!EM_S_FA_GROSSPROFITMARGIN(B1439,E1439)</f>
        <v>20.0663829951</v>
      </c>
      <c r="J1439" s="11">
        <f>[1]!EM_S_FA_NETPROFITMARGIN(B1439,E1439)</f>
        <v>6.6327512554999997</v>
      </c>
      <c r="K1439" s="10">
        <f>[1]!EM_S_FA_ASSETSTURN(B1439,E1439)</f>
        <v>0.58197384423700005</v>
      </c>
      <c r="L1439" s="12">
        <f>[1]!EM_HKS_VAL_MV(B1439,"2019-12-31","2")</f>
        <v>2604052152</v>
      </c>
      <c r="M1439">
        <f>[1]!EM_S_VAL_PETTMDEDUCTED(B1439,E1439)</f>
        <v>86.745279602634099</v>
      </c>
      <c r="N1439" s="7">
        <f>[1]!EM_S_VAL_PBGOODWILLDEDUCTED(B1439,E1439)</f>
        <v>6.5986370783569299</v>
      </c>
      <c r="O1439" s="7">
        <f>[1]!EM_S_VAL_PS_TTM(B1439,E1439)</f>
        <v>5.3231258780505097</v>
      </c>
      <c r="P1439" s="7">
        <f>[1]!EM_S_VAL_PCF_NCFTTM(B1439,E1439)</f>
        <v>53.658731496367203</v>
      </c>
      <c r="Q1439" s="7">
        <f>[1]!EM_S_VAL_DIVIDENDYIELD2(B1439,E1439,"2019-11-29")</f>
        <v>0.2786624203821656</v>
      </c>
      <c r="T1439"/>
      <c r="U1439">
        <f>[1]!EM_S_RATIO_EPS_TTM(B1439,E1439,"1")</f>
        <v>0.15349986598148593</v>
      </c>
      <c r="AT1439" s="4" t="str">
        <f>[1]!EM_S_IPO_LISTEDDATE(B1439)</f>
        <v>2017-01-13</v>
      </c>
    </row>
    <row r="1440" spans="1:46">
      <c r="A1440">
        <v>2122</v>
      </c>
      <c r="B1440" t="str">
        <f>"300706"</f>
        <v>300706</v>
      </c>
      <c r="C1440" t="s">
        <v>716</v>
      </c>
      <c r="D1440" t="str">
        <f>[1]!EM_S_INFO_INDEX_EM(B1440,"1")</f>
        <v>电子设备</v>
      </c>
      <c r="E1440" s="4">
        <f t="shared" si="22"/>
        <v>43465</v>
      </c>
      <c r="F1440" s="11">
        <f>[1]!EM_S_PQ_PCTCHANGE(B1440,"2018-01-01","2019-12-31","3")</f>
        <v>-43.636639860000002</v>
      </c>
      <c r="G1440" s="11">
        <f>[1]!EM_S_PQ_PCTCHANGE(B1440,"2018-12-31","2019-12-30","1")</f>
        <v>15.90720795</v>
      </c>
      <c r="H1440" s="11">
        <f>[1]!EM_S_FA_YOY_OR(B1440,E1440)</f>
        <v>8.6885949519000008</v>
      </c>
      <c r="I1440" s="11">
        <f>[1]!EM_S_FA_GROSSPROFITMARGIN(B1440,E1440)</f>
        <v>22.006894597900001</v>
      </c>
      <c r="J1440" s="11">
        <f>[1]!EM_S_FA_NETPROFITMARGIN(B1440,E1440)</f>
        <v>10.8339341153</v>
      </c>
      <c r="K1440" s="10">
        <f>[1]!EM_S_FA_ASSETSTURN(B1440,E1440)</f>
        <v>0.43955702593099999</v>
      </c>
      <c r="L1440" s="12">
        <f>[1]!EM_HKS_VAL_MV(B1440,"2019-12-31","2")</f>
        <v>3855398400</v>
      </c>
      <c r="M1440">
        <f>[1]!EM_S_VAL_PETTMDEDUCTED(B1440,E1440)</f>
        <v>165.22988090759401</v>
      </c>
      <c r="N1440" s="7">
        <f>[1]!EM_S_VAL_PBGOODWILLDEDUCTED(B1440,E1440)</f>
        <v>7.9000088627583001</v>
      </c>
      <c r="O1440" s="7">
        <f>[1]!EM_S_VAL_PS_TTM(B1440,E1440)</f>
        <v>14.2063434132584</v>
      </c>
      <c r="P1440" s="7">
        <f>[1]!EM_S_VAL_PCF_NCFTTM(B1440,E1440)</f>
        <v>-32.849896764948298</v>
      </c>
      <c r="Q1440" s="7">
        <f>[1]!EM_S_VAL_DIVIDENDYIELD2(B1440,E1440,"2019-11-29")</f>
        <v>0.14388489208633093</v>
      </c>
      <c r="T1440"/>
      <c r="U1440">
        <f>[1]!EM_S_RATIO_EPS_TTM(B1440,E1440,"1")</f>
        <v>0.19651220436507938</v>
      </c>
      <c r="AT1440" s="4" t="str">
        <f>[1]!EM_S_IPO_LISTEDDATE(B1440)</f>
        <v>2017-09-26</v>
      </c>
    </row>
    <row r="1441" spans="1:46">
      <c r="A1441">
        <v>1444</v>
      </c>
      <c r="B1441" t="str">
        <f>"300018"</f>
        <v>300018</v>
      </c>
      <c r="C1441" t="s">
        <v>2797</v>
      </c>
      <c r="D1441" t="str">
        <f>[1]!EM_S_INFO_INDEX_EM(B1441,"1")</f>
        <v>电气设备</v>
      </c>
      <c r="E1441" s="4">
        <f t="shared" si="22"/>
        <v>43465</v>
      </c>
      <c r="F1441" s="11">
        <f>[1]!EM_S_PQ_PCTCHANGE(B1441,"2018-01-01","2019-12-31","3")</f>
        <v>-17.23993454</v>
      </c>
      <c r="G1441" s="11">
        <f>[1]!EM_S_PQ_PCTCHANGE(B1441,"2018-12-31","2019-12-30","1")</f>
        <v>15.8836689</v>
      </c>
      <c r="H1441" s="11">
        <f>[1]!EM_S_FA_YOY_OR(B1441,E1441)</f>
        <v>-6.8847726943999996</v>
      </c>
      <c r="I1441" s="11">
        <f>[1]!EM_S_FA_GROSSPROFITMARGIN(B1441,E1441)</f>
        <v>50.300115271099997</v>
      </c>
      <c r="J1441" s="11">
        <f>[1]!EM_S_FA_NETPROFITMARGIN(B1441,E1441)</f>
        <v>-116.6200201103</v>
      </c>
      <c r="K1441" s="10">
        <f>[1]!EM_S_FA_ASSETSTURN(B1441,E1441)</f>
        <v>0.25487498154900001</v>
      </c>
      <c r="L1441" s="12">
        <f>[1]!EM_HKS_VAL_MV(B1441,"2019-12-31","2")</f>
        <v>2499440836.48</v>
      </c>
      <c r="M1441">
        <f>[1]!EM_S_VAL_PETTMDEDUCTED(B1441,E1441)</f>
        <v>42.137701031159303</v>
      </c>
      <c r="N1441" s="7">
        <f>[1]!EM_S_VAL_PBGOODWILLDEDUCTED(B1441,E1441)</f>
        <v>2.2878956295861101</v>
      </c>
      <c r="O1441" s="7">
        <f>[1]!EM_S_VAL_PS_TTM(B1441,E1441)</f>
        <v>5.2745639100760897</v>
      </c>
      <c r="P1441" s="7">
        <f>[1]!EM_S_VAL_PCF_NCFTTM(B1441,E1441)</f>
        <v>-44.079120133081503</v>
      </c>
      <c r="Q1441" s="7">
        <f>[1]!EM_S_VAL_DIVIDENDYIELD2(B1441,E1441,"2019-11-29")</f>
        <v>0</v>
      </c>
      <c r="T1441"/>
      <c r="U1441">
        <f>[1]!EM_S_RATIO_EPS_TTM(B1441,E1441,"1")</f>
        <v>-0.92165786844552577</v>
      </c>
      <c r="AT1441" s="4" t="str">
        <f>[1]!EM_S_IPO_LISTEDDATE(B1441)</f>
        <v>2009-10-30</v>
      </c>
    </row>
    <row r="1442" spans="1:46">
      <c r="A1442">
        <v>1387</v>
      </c>
      <c r="B1442" t="str">
        <f>"002888"</f>
        <v>002888</v>
      </c>
      <c r="C1442" t="s">
        <v>542</v>
      </c>
      <c r="D1442" t="str">
        <f>[1]!EM_S_INFO_INDEX_EM(B1442,"1")</f>
        <v>电子设备</v>
      </c>
      <c r="E1442" s="4">
        <f t="shared" si="22"/>
        <v>43465</v>
      </c>
      <c r="F1442" s="11">
        <f>[1]!EM_S_PQ_PCTCHANGE(B1442,"2018-01-01","2019-12-31","3")</f>
        <v>23.578043000000001</v>
      </c>
      <c r="G1442" s="11">
        <f>[1]!EM_S_PQ_PCTCHANGE(B1442,"2018-12-31","2019-12-30","1")</f>
        <v>15.877287409999999</v>
      </c>
      <c r="H1442" s="11">
        <f>[1]!EM_S_FA_YOY_OR(B1442,E1442)</f>
        <v>1.0476299849999999</v>
      </c>
      <c r="I1442" s="11">
        <f>[1]!EM_S_FA_GROSSPROFITMARGIN(B1442,E1442)</f>
        <v>36.049341749100002</v>
      </c>
      <c r="J1442" s="11">
        <f>[1]!EM_S_FA_NETPROFITMARGIN(B1442,E1442)</f>
        <v>10.5866609414</v>
      </c>
      <c r="K1442" s="10">
        <f>[1]!EM_S_FA_ASSETSTURN(B1442,E1442)</f>
        <v>0.54761493639000003</v>
      </c>
      <c r="L1442" s="12">
        <f>[1]!EM_HKS_VAL_MV(B1442,"2019-12-31","2")</f>
        <v>2710464936</v>
      </c>
      <c r="M1442">
        <f>[1]!EM_S_VAL_PETTMDEDUCTED(B1442,E1442)</f>
        <v>109.16758716551401</v>
      </c>
      <c r="N1442" s="7">
        <f>[1]!EM_S_VAL_PBGOODWILLDEDUCTED(B1442,E1442)</f>
        <v>5.2026652161294002</v>
      </c>
      <c r="O1442" s="7">
        <f>[1]!EM_S_VAL_PS_TTM(B1442,E1442)</f>
        <v>8.7153969166621703</v>
      </c>
      <c r="P1442" s="7">
        <f>[1]!EM_S_VAL_PCF_NCFTTM(B1442,E1442)</f>
        <v>-13.781352580900499</v>
      </c>
      <c r="Q1442" s="7">
        <f>[1]!EM_S_VAL_DIVIDENDYIELD2(B1442,E1442,"2019-11-29")</f>
        <v>1.8501387604070305</v>
      </c>
      <c r="T1442"/>
      <c r="U1442">
        <f>[1]!EM_S_RATIO_EPS_TTM(B1442,E1442,"1")</f>
        <v>0.22639498317243681</v>
      </c>
      <c r="AT1442" s="4" t="str">
        <f>[1]!EM_S_IPO_LISTEDDATE(B1442)</f>
        <v>2017-07-21</v>
      </c>
    </row>
    <row r="1443" spans="1:46">
      <c r="A1443">
        <v>2307</v>
      </c>
      <c r="B1443" t="str">
        <f>"600168"</f>
        <v>600168</v>
      </c>
      <c r="C1443" t="s">
        <v>1693</v>
      </c>
      <c r="D1443" t="str">
        <f>[1]!EM_S_INFO_INDEX_EM(B1443,"1")</f>
        <v>公用事业</v>
      </c>
      <c r="E1443" s="4">
        <f t="shared" si="22"/>
        <v>43465</v>
      </c>
      <c r="F1443" s="11">
        <f>[1]!EM_S_PQ_PCTCHANGE(B1443,"2018-01-01","2019-12-31","3")</f>
        <v>-17.36724701</v>
      </c>
      <c r="G1443" s="11">
        <f>[1]!EM_S_PQ_PCTCHANGE(B1443,"2018-12-31","2019-12-30","1")</f>
        <v>15.82608696</v>
      </c>
      <c r="H1443" s="11">
        <f>[1]!EM_S_FA_YOY_OR(B1443,E1443)</f>
        <v>16.022744604500001</v>
      </c>
      <c r="I1443" s="11">
        <f>[1]!EM_S_FA_GROSSPROFITMARGIN(B1443,E1443)</f>
        <v>28.9286737985</v>
      </c>
      <c r="J1443" s="11">
        <f>[1]!EM_S_FA_NETPROFITMARGIN(B1443,E1443)</f>
        <v>19.381729307299999</v>
      </c>
      <c r="K1443" s="10">
        <f>[1]!EM_S_FA_ASSETSTURN(B1443,E1443)</f>
        <v>0.12423983833</v>
      </c>
      <c r="L1443" s="12">
        <f>[1]!EM_HKS_VAL_MV(B1443,"2019-12-31","2")</f>
        <v>4747021239.4799995</v>
      </c>
      <c r="M1443">
        <f>[1]!EM_S_VAL_PETTMDEDUCTED(B1443,E1443)</f>
        <v>15.580704685926699</v>
      </c>
      <c r="N1443" s="7">
        <f>[1]!EM_S_VAL_PBGOODWILLDEDUCTED(B1443,E1443)</f>
        <v>0.81674388836994904</v>
      </c>
      <c r="O1443" s="7">
        <f>[1]!EM_S_VAL_PS_TTM(B1443,E1443)</f>
        <v>2.8983516852457201</v>
      </c>
      <c r="P1443" s="7">
        <f>[1]!EM_S_VAL_PCF_NCFTTM(B1443,E1443)</f>
        <v>6.7591724342225401</v>
      </c>
      <c r="Q1443" s="7">
        <f>[1]!EM_S_VAL_DIVIDENDYIELD2(B1443,E1443,"2019-11-29")</f>
        <v>1.8858954041204432</v>
      </c>
      <c r="T1443"/>
      <c r="U1443">
        <f>[1]!EM_S_RATIO_EPS_TTM(B1443,E1443,"1")</f>
        <v>0.39450165757643441</v>
      </c>
      <c r="AT1443" s="4" t="str">
        <f>[1]!EM_S_IPO_LISTEDDATE(B1443)</f>
        <v>1998-04-27</v>
      </c>
    </row>
    <row r="1444" spans="1:46">
      <c r="A1444">
        <v>1179</v>
      </c>
      <c r="B1444" t="str">
        <f>"002668"</f>
        <v>002668</v>
      </c>
      <c r="C1444" t="s">
        <v>1054</v>
      </c>
      <c r="D1444" t="str">
        <f>[1]!EM_S_INFO_INDEX_EM(B1444,"1")</f>
        <v>家电</v>
      </c>
      <c r="E1444" s="4">
        <f t="shared" si="22"/>
        <v>43465</v>
      </c>
      <c r="F1444" s="11">
        <f>[1]!EM_S_PQ_PCTCHANGE(B1444,"2018-01-01","2019-12-31","3")</f>
        <v>-49.779376480000003</v>
      </c>
      <c r="G1444" s="11">
        <f>[1]!EM_S_PQ_PCTCHANGE(B1444,"2018-12-31","2019-12-30","1")</f>
        <v>15.8110883</v>
      </c>
      <c r="H1444" s="11">
        <f>[1]!EM_S_FA_YOY_OR(B1444,E1444)</f>
        <v>12.040255828499999</v>
      </c>
      <c r="I1444" s="11">
        <f>[1]!EM_S_FA_GROSSPROFITMARGIN(B1444,E1444)</f>
        <v>30.583623355899999</v>
      </c>
      <c r="J1444" s="11">
        <f>[1]!EM_S_FA_NETPROFITMARGIN(B1444,E1444)</f>
        <v>-24.5364448268</v>
      </c>
      <c r="K1444" s="10">
        <f>[1]!EM_S_FA_ASSETSTURN(B1444,E1444)</f>
        <v>0.781662529577</v>
      </c>
      <c r="L1444" s="12">
        <f>[1]!EM_HKS_VAL_MV(B1444,"2019-12-31","2")</f>
        <v>6125229568.1999998</v>
      </c>
      <c r="M1444">
        <f>[1]!EM_S_VAL_PETTMDEDUCTED(B1444,E1444)</f>
        <v>8.9923989309841694</v>
      </c>
      <c r="N1444" s="7">
        <f>[1]!EM_S_VAL_PBGOODWILLDEDUCTED(B1444,E1444)</f>
        <v>2.2490489038472199</v>
      </c>
      <c r="O1444" s="7">
        <f>[1]!EM_S_VAL_PS_TTM(B1444,E1444)</f>
        <v>0.67176907879819403</v>
      </c>
      <c r="P1444" s="7">
        <f>[1]!EM_S_VAL_PCF_NCFTTM(B1444,E1444)</f>
        <v>-15.8356191417089</v>
      </c>
      <c r="Q1444" s="7">
        <f>[1]!EM_S_VAL_DIVIDENDYIELD2(B1444,E1444,"2019-11-29")</f>
        <v>0</v>
      </c>
      <c r="T1444"/>
      <c r="U1444">
        <f>[1]!EM_S_RATIO_EPS_TTM(B1444,E1444,"1")</f>
        <v>-1.7549354858936144</v>
      </c>
      <c r="AT1444" s="4" t="str">
        <f>[1]!EM_S_IPO_LISTEDDATE(B1444)</f>
        <v>2012-04-16</v>
      </c>
    </row>
    <row r="1445" spans="1:46">
      <c r="A1445">
        <v>3301</v>
      </c>
      <c r="B1445" t="str">
        <f>"603179"</f>
        <v>603179</v>
      </c>
      <c r="C1445" t="s">
        <v>239</v>
      </c>
      <c r="D1445" t="str">
        <f>[1]!EM_S_INFO_INDEX_EM(B1445,"1")</f>
        <v>交运设备</v>
      </c>
      <c r="E1445" s="4">
        <f t="shared" si="22"/>
        <v>43465</v>
      </c>
      <c r="F1445" s="11">
        <f>[1]!EM_S_PQ_PCTCHANGE(B1445,"2018-01-01","2019-12-31","3")</f>
        <v>-24.83487774</v>
      </c>
      <c r="G1445" s="11">
        <f>[1]!EM_S_PQ_PCTCHANGE(B1445,"2018-12-31","2019-12-30","1")</f>
        <v>15.809051459999999</v>
      </c>
      <c r="H1445" s="11">
        <f>[1]!EM_S_FA_YOY_OR(B1445,E1445)</f>
        <v>10.013389006400001</v>
      </c>
      <c r="I1445" s="11">
        <f>[1]!EM_S_FA_GROSSPROFITMARGIN(B1445,E1445)</f>
        <v>22.4513798626</v>
      </c>
      <c r="J1445" s="11">
        <f>[1]!EM_S_FA_NETPROFITMARGIN(B1445,E1445)</f>
        <v>8.2832192648999996</v>
      </c>
      <c r="K1445" s="10">
        <f>[1]!EM_S_FA_ASSETSTURN(B1445,E1445)</f>
        <v>0.96912124571900005</v>
      </c>
      <c r="L1445" s="12">
        <f>[1]!EM_HKS_VAL_MV(B1445,"2019-12-31","2")</f>
        <v>4286206561.9099998</v>
      </c>
      <c r="M1445">
        <f>[1]!EM_S_VAL_PETTMDEDUCTED(B1445,E1445)</f>
        <v>12.0903754451152</v>
      </c>
      <c r="N1445" s="7">
        <f>[1]!EM_S_VAL_PBGOODWILLDEDUCTED(B1445,E1445)</f>
        <v>2.4063199406094098</v>
      </c>
      <c r="O1445" s="7">
        <f>[1]!EM_S_VAL_PS_TTM(B1445,E1445)</f>
        <v>1.0532891777073901</v>
      </c>
      <c r="P1445" s="7">
        <f>[1]!EM_S_VAL_PCF_NCFTTM(B1445,E1445)</f>
        <v>12.084545942313101</v>
      </c>
      <c r="Q1445" s="7">
        <f>[1]!EM_S_VAL_DIVIDENDYIELD2(B1445,E1445,"2019-11-29")</f>
        <v>2.8486341670908297</v>
      </c>
      <c r="T1445"/>
      <c r="U1445">
        <f>[1]!EM_S_RATIO_EPS_TTM(B1445,E1445,"1")</f>
        <v>1.23853153309882</v>
      </c>
      <c r="AT1445" s="4" t="str">
        <f>[1]!EM_S_IPO_LISTEDDATE(B1445)</f>
        <v>2017-03-17</v>
      </c>
    </row>
    <row r="1446" spans="1:46">
      <c r="A1446">
        <v>1675</v>
      </c>
      <c r="B1446" t="str">
        <f>"300250"</f>
        <v>300250</v>
      </c>
      <c r="C1446" t="s">
        <v>3055</v>
      </c>
      <c r="D1446" t="str">
        <f>[1]!EM_S_INFO_INDEX_EM(B1446,"1")</f>
        <v>信息技术</v>
      </c>
      <c r="E1446" s="4">
        <f t="shared" si="22"/>
        <v>43465</v>
      </c>
      <c r="F1446" s="11">
        <f>[1]!EM_S_PQ_PCTCHANGE(B1446,"2018-01-01","2019-12-31","3")</f>
        <v>-15.660593710000001</v>
      </c>
      <c r="G1446" s="11">
        <f>[1]!EM_S_PQ_PCTCHANGE(B1446,"2018-12-31","2019-12-30","1")</f>
        <v>15.76576577</v>
      </c>
      <c r="H1446" s="11">
        <f>[1]!EM_S_FA_YOY_OR(B1446,E1446)</f>
        <v>-6.7540565172000004</v>
      </c>
      <c r="I1446" s="11">
        <f>[1]!EM_S_FA_GROSSPROFITMARGIN(B1446,E1446)</f>
        <v>53.780997243500003</v>
      </c>
      <c r="J1446" s="11">
        <f>[1]!EM_S_FA_NETPROFITMARGIN(B1446,E1446)</f>
        <v>-72.553186313799998</v>
      </c>
      <c r="K1446" s="10">
        <f>[1]!EM_S_FA_ASSETSTURN(B1446,E1446)</f>
        <v>0.246919151798</v>
      </c>
      <c r="L1446" s="12">
        <f>[1]!EM_HKS_VAL_MV(B1446,"2019-12-31","2")</f>
        <v>2804871250.5</v>
      </c>
      <c r="M1446">
        <f>[1]!EM_S_VAL_PETTMDEDUCTED(B1446,E1446)</f>
        <v>78.745752781169202</v>
      </c>
      <c r="N1446" s="7">
        <f>[1]!EM_S_VAL_PBGOODWILLDEDUCTED(B1446,E1446)</f>
        <v>2.88555145299821</v>
      </c>
      <c r="O1446" s="7">
        <f>[1]!EM_S_VAL_PS_TTM(B1446,E1446)</f>
        <v>5.2965198054839799</v>
      </c>
      <c r="P1446" s="7">
        <f>[1]!EM_S_VAL_PCF_NCFTTM(B1446,E1446)</f>
        <v>-19.604489105784101</v>
      </c>
      <c r="Q1446" s="7">
        <f>[1]!EM_S_VAL_DIVIDENDYIELD2(B1446,E1446,"2019-11-29")</f>
        <v>0</v>
      </c>
      <c r="T1446"/>
      <c r="U1446">
        <f>[1]!EM_S_RATIO_EPS_TTM(B1446,E1446,"1")</f>
        <v>-1.3260395644494938</v>
      </c>
      <c r="AT1446" s="4" t="str">
        <f>[1]!EM_S_IPO_LISTEDDATE(B1446)</f>
        <v>2011-08-03</v>
      </c>
    </row>
    <row r="1447" spans="1:46">
      <c r="A1447">
        <v>2973</v>
      </c>
      <c r="B1447" t="str">
        <f>"600900"</f>
        <v>600900</v>
      </c>
      <c r="C1447" t="s">
        <v>1303</v>
      </c>
      <c r="D1447" t="str">
        <f>[1]!EM_S_INFO_INDEX_EM(B1447,"1")</f>
        <v>公用事业</v>
      </c>
      <c r="E1447" s="4">
        <f t="shared" si="22"/>
        <v>43465</v>
      </c>
      <c r="F1447" s="11">
        <f>[1]!EM_S_PQ_PCTCHANGE(B1447,"2018-01-01","2019-12-31","3")</f>
        <v>27.409571360000001</v>
      </c>
      <c r="G1447" s="11">
        <f>[1]!EM_S_PQ_PCTCHANGE(B1447,"2018-12-31","2019-12-30","1")</f>
        <v>15.68010076</v>
      </c>
      <c r="H1447" s="11">
        <f>[1]!EM_S_FA_YOY_OR(B1447,E1447)</f>
        <v>2.1307233880999998</v>
      </c>
      <c r="I1447" s="11">
        <f>[1]!EM_S_FA_GROSSPROFITMARGIN(B1447,E1447)</f>
        <v>62.890677812900002</v>
      </c>
      <c r="J1447" s="11">
        <f>[1]!EM_S_FA_NETPROFITMARGIN(B1447,E1447)</f>
        <v>44.213625992799997</v>
      </c>
      <c r="K1447" s="10">
        <f>[1]!EM_S_FA_ASSETSTURN(B1447,E1447)</f>
        <v>0.17217810798399999</v>
      </c>
      <c r="L1447" s="12">
        <f>[1]!EM_HKS_VAL_MV(B1447,"2019-12-31","2")</f>
        <v>404360000000</v>
      </c>
      <c r="M1447">
        <f>[1]!EM_S_VAL_PETTMDEDUCTED(B1447,E1447)</f>
        <v>15.7025344615999</v>
      </c>
      <c r="N1447" s="7">
        <f>[1]!EM_S_VAL_PBGOODWILLDEDUCTED(B1447,E1447)</f>
        <v>2.45676247909915</v>
      </c>
      <c r="O1447" s="7">
        <f>[1]!EM_S_VAL_PS_TTM(B1447,E1447)</f>
        <v>6.7210187389673202</v>
      </c>
      <c r="P1447" s="7">
        <f>[1]!EM_S_VAL_PCF_NCFTTM(B1447,E1447)</f>
        <v>406.29182472169299</v>
      </c>
      <c r="Q1447" s="7">
        <f>[1]!EM_S_VAL_DIVIDENDYIELD2(B1447,E1447,"2019-11-29")</f>
        <v>3.7506894649751787</v>
      </c>
      <c r="T1447"/>
      <c r="U1447">
        <f>[1]!EM_S_RATIO_EPS_TTM(B1447,E1447,"1")</f>
        <v>1.0277698372904545</v>
      </c>
      <c r="AT1447" s="4" t="str">
        <f>[1]!EM_S_IPO_LISTEDDATE(B1447)</f>
        <v>2003-11-18</v>
      </c>
    </row>
    <row r="1448" spans="1:46">
      <c r="A1448">
        <v>2903</v>
      </c>
      <c r="B1448" t="str">
        <f>"600830"</f>
        <v>600830</v>
      </c>
      <c r="C1448" t="s">
        <v>2431</v>
      </c>
      <c r="D1448" t="str">
        <f>[1]!EM_S_INFO_INDEX_EM(B1448,"1")</f>
        <v>商贸零售</v>
      </c>
      <c r="E1448" s="4">
        <f t="shared" si="22"/>
        <v>43465</v>
      </c>
      <c r="F1448" s="11">
        <f>[1]!EM_S_PQ_PCTCHANGE(B1448,"2018-01-01","2019-12-31","3")</f>
        <v>-41.374269169999998</v>
      </c>
      <c r="G1448" s="11">
        <f>[1]!EM_S_PQ_PCTCHANGE(B1448,"2018-12-31","2019-12-30","1")</f>
        <v>15.657620039999999</v>
      </c>
      <c r="H1448" s="11">
        <f>[1]!EM_S_FA_YOY_OR(B1448,E1448)</f>
        <v>-29.2995228849</v>
      </c>
      <c r="I1448" s="11">
        <f>[1]!EM_S_FA_GROSSPROFITMARGIN(B1448,E1448)</f>
        <v>20.421605191499999</v>
      </c>
      <c r="J1448" s="11">
        <f>[1]!EM_S_FA_NETPROFITMARGIN(B1448,E1448)</f>
        <v>5.0703766967000004</v>
      </c>
      <c r="K1448" s="10">
        <f>[1]!EM_S_FA_ASSETSTURN(B1448,E1448)</f>
        <v>0.30329670697099997</v>
      </c>
      <c r="L1448" s="12">
        <f>[1]!EM_HKS_VAL_MV(B1448,"2019-12-31","2")</f>
        <v>2503318335.9699998</v>
      </c>
      <c r="M1448">
        <f>[1]!EM_S_VAL_PETTMDEDUCTED(B1448,E1448)</f>
        <v>70.014200062491796</v>
      </c>
      <c r="N1448" s="7">
        <f>[1]!EM_S_VAL_PBGOODWILLDEDUCTED(B1448,E1448)</f>
        <v>1.04301741943098</v>
      </c>
      <c r="O1448" s="7">
        <f>[1]!EM_S_VAL_PS_TTM(B1448,E1448)</f>
        <v>1.9861655906799101</v>
      </c>
      <c r="P1448" s="7">
        <f>[1]!EM_S_VAL_PCF_NCFTTM(B1448,E1448)</f>
        <v>25.219584095138501</v>
      </c>
      <c r="Q1448" s="7">
        <f>[1]!EM_S_VAL_DIVIDENDYIELD2(B1448,E1448,"2019-11-29")</f>
        <v>1.1928429423459246</v>
      </c>
      <c r="T1448"/>
      <c r="U1448">
        <f>[1]!EM_S_RATIO_EPS_TTM(B1448,E1448,"1")</f>
        <v>6.7689580794861676E-2</v>
      </c>
      <c r="AT1448" s="4" t="str">
        <f>[1]!EM_S_IPO_LISTEDDATE(B1448)</f>
        <v>1994-02-24</v>
      </c>
    </row>
    <row r="1449" spans="1:46">
      <c r="A1449">
        <v>2875</v>
      </c>
      <c r="B1449" t="str">
        <f>"600802"</f>
        <v>600802</v>
      </c>
      <c r="C1449" t="s">
        <v>63</v>
      </c>
      <c r="D1449" t="str">
        <f>[1]!EM_S_INFO_INDEX_EM(B1449,"1")</f>
        <v>建材</v>
      </c>
      <c r="E1449" s="4">
        <f t="shared" si="22"/>
        <v>43465</v>
      </c>
      <c r="F1449" s="11">
        <f>[1]!EM_S_PQ_PCTCHANGE(B1449,"2018-01-01","2019-12-31","3")</f>
        <v>22.03457135</v>
      </c>
      <c r="G1449" s="11">
        <f>[1]!EM_S_PQ_PCTCHANGE(B1449,"2018-12-31","2019-12-30","1")</f>
        <v>15.625</v>
      </c>
      <c r="H1449" s="11">
        <f>[1]!EM_S_FA_YOY_OR(B1449,E1449)</f>
        <v>60.677440947500003</v>
      </c>
      <c r="I1449" s="11">
        <f>[1]!EM_S_FA_GROSSPROFITMARGIN(B1449,E1449)</f>
        <v>32.982210056299998</v>
      </c>
      <c r="J1449" s="11">
        <f>[1]!EM_S_FA_NETPROFITMARGIN(B1449,E1449)</f>
        <v>13.952129680000001</v>
      </c>
      <c r="K1449" s="10">
        <f>[1]!EM_S_FA_ASSETSTURN(B1449,E1449)</f>
        <v>0.72992874552499998</v>
      </c>
      <c r="L1449" s="12">
        <f>[1]!EM_HKS_VAL_MV(B1449,"2019-12-31","2")</f>
        <v>3375763207.4400001</v>
      </c>
      <c r="M1449">
        <f>[1]!EM_S_VAL_PETTMDEDUCTED(B1449,E1449)</f>
        <v>12.7178024308008</v>
      </c>
      <c r="N1449" s="7">
        <f>[1]!EM_S_VAL_PBGOODWILLDEDUCTED(B1449,E1449)</f>
        <v>3.2854159543852699</v>
      </c>
      <c r="O1449" s="7">
        <f>[1]!EM_S_VAL_PS_TTM(B1449,E1449)</f>
        <v>1.0570478569717301</v>
      </c>
      <c r="P1449" s="7">
        <f>[1]!EM_S_VAL_PCF_NCFTTM(B1449,E1449)</f>
        <v>20.741947513759801</v>
      </c>
      <c r="Q1449" s="7">
        <f>[1]!EM_S_VAL_DIVIDENDYIELD2(B1449,E1449,"2019-11-29")</f>
        <v>0.43650793650793651</v>
      </c>
      <c r="T1449"/>
      <c r="U1449">
        <f>[1]!EM_S_RATIO_EPS_TTM(B1449,E1449,"1")</f>
        <v>0.88379398769539663</v>
      </c>
      <c r="AT1449" s="4" t="str">
        <f>[1]!EM_S_IPO_LISTEDDATE(B1449)</f>
        <v>1994-01-03</v>
      </c>
    </row>
    <row r="1450" spans="1:46">
      <c r="A1450">
        <v>2593</v>
      </c>
      <c r="B1450" t="str">
        <f>"600511"</f>
        <v>600511</v>
      </c>
      <c r="C1450" t="s">
        <v>777</v>
      </c>
      <c r="D1450" t="str">
        <f>[1]!EM_S_INFO_INDEX_EM(B1450,"1")</f>
        <v>医药生物</v>
      </c>
      <c r="E1450" s="4">
        <f t="shared" si="22"/>
        <v>43465</v>
      </c>
      <c r="F1450" s="11">
        <f>[1]!EM_S_PQ_PCTCHANGE(B1450,"2018-01-01","2019-12-31","3")</f>
        <v>1.5230931700000001</v>
      </c>
      <c r="G1450" s="11">
        <f>[1]!EM_S_PQ_PCTCHANGE(B1450,"2018-12-31","2019-12-30","1")</f>
        <v>15.612903230000001</v>
      </c>
      <c r="H1450" s="11">
        <f>[1]!EM_S_FA_YOY_OR(B1450,E1450)</f>
        <v>6.7661511348000003</v>
      </c>
      <c r="I1450" s="11">
        <f>[1]!EM_S_FA_GROSSPROFITMARGIN(B1450,E1450)</f>
        <v>8.8257903755000005</v>
      </c>
      <c r="J1450" s="11">
        <f>[1]!EM_S_FA_NETPROFITMARGIN(B1450,E1450)</f>
        <v>4.1111602610000002</v>
      </c>
      <c r="K1450" s="10">
        <f>[1]!EM_S_FA_ASSETSTURN(B1450,E1450)</f>
        <v>1.8591076217419999</v>
      </c>
      <c r="L1450" s="12">
        <f>[1]!EM_HKS_VAL_MV(B1450,"2019-12-31","2")</f>
        <v>20590386815.419998</v>
      </c>
      <c r="M1450">
        <f>[1]!EM_S_VAL_PETTMDEDUCTED(B1450,E1450)</f>
        <v>14.5686199104066</v>
      </c>
      <c r="N1450" s="7">
        <f>[1]!EM_S_VAL_PBGOODWILLDEDUCTED(B1450,E1450)</f>
        <v>1.9585315944457999</v>
      </c>
      <c r="O1450" s="7">
        <f>[1]!EM_S_VAL_PS_TTM(B1450,E1450)</f>
        <v>0.46776611126259199</v>
      </c>
      <c r="P1450" s="7">
        <f>[1]!EM_S_VAL_PCF_NCFTTM(B1450,E1450)</f>
        <v>23.302026774655001</v>
      </c>
      <c r="Q1450" s="7">
        <f>[1]!EM_S_VAL_DIVIDENDYIELD2(B1450,E1450,"2019-11-29")</f>
        <v>1.6588179557547267</v>
      </c>
      <c r="T1450"/>
      <c r="U1450">
        <f>[1]!EM_S_RATIO_EPS_TTM(B1450,E1450,"1")</f>
        <v>1.8368489469862295</v>
      </c>
      <c r="AT1450" s="4" t="str">
        <f>[1]!EM_S_IPO_LISTEDDATE(B1450)</f>
        <v>2002-11-27</v>
      </c>
    </row>
    <row r="1451" spans="1:46">
      <c r="A1451">
        <v>3339</v>
      </c>
      <c r="B1451" t="str">
        <f>"603289"</f>
        <v>603289</v>
      </c>
      <c r="C1451" t="s">
        <v>1188</v>
      </c>
      <c r="D1451" t="str">
        <f>[1]!EM_S_INFO_INDEX_EM(B1451,"1")</f>
        <v>机械设备</v>
      </c>
      <c r="E1451" s="4">
        <f t="shared" si="22"/>
        <v>43465</v>
      </c>
      <c r="F1451" s="11">
        <f>[1]!EM_S_PQ_PCTCHANGE(B1451,"2018-01-01","2019-12-31","3")</f>
        <v>-35.33325791</v>
      </c>
      <c r="G1451" s="11">
        <f>[1]!EM_S_PQ_PCTCHANGE(B1451,"2018-12-31","2019-12-30","1")</f>
        <v>15.59748428</v>
      </c>
      <c r="H1451" s="11">
        <f>[1]!EM_S_FA_YOY_OR(B1451,E1451)</f>
        <v>12.680724962499999</v>
      </c>
      <c r="I1451" s="11">
        <f>[1]!EM_S_FA_GROSSPROFITMARGIN(B1451,E1451)</f>
        <v>28.912091463500001</v>
      </c>
      <c r="J1451" s="11">
        <f>[1]!EM_S_FA_NETPROFITMARGIN(B1451,E1451)</f>
        <v>12.693062701900001</v>
      </c>
      <c r="K1451" s="10">
        <f>[1]!EM_S_FA_ASSETSTURN(B1451,E1451)</f>
        <v>0.61220939418200004</v>
      </c>
      <c r="L1451" s="12">
        <f>[1]!EM_HKS_VAL_MV(B1451,"2019-12-31","2")</f>
        <v>2467900000</v>
      </c>
      <c r="M1451">
        <f>[1]!EM_S_VAL_PETTMDEDUCTED(B1451,E1451)</f>
        <v>24.9101936416581</v>
      </c>
      <c r="N1451" s="7">
        <f>[1]!EM_S_VAL_PBGOODWILLDEDUCTED(B1451,E1451)</f>
        <v>2.2023285603869698</v>
      </c>
      <c r="O1451" s="7">
        <f>[1]!EM_S_VAL_PS_TTM(B1451,E1451)</f>
        <v>2.8043213145287602</v>
      </c>
      <c r="P1451" s="7">
        <f>[1]!EM_S_VAL_PCF_NCFTTM(B1451,E1451)</f>
        <v>9.1818638060737694</v>
      </c>
      <c r="Q1451" s="7">
        <f>[1]!EM_S_VAL_DIVIDENDYIELD2(B1451,E1451,"2019-11-29")</f>
        <v>2.2831050228310499</v>
      </c>
      <c r="T1451"/>
      <c r="U1451">
        <f>[1]!EM_S_RATIO_EPS_TTM(B1451,E1451,"1")</f>
        <v>0.37737850320634286</v>
      </c>
      <c r="AT1451" s="4" t="str">
        <f>[1]!EM_S_IPO_LISTEDDATE(B1451)</f>
        <v>2017-10-31</v>
      </c>
    </row>
    <row r="1452" spans="1:46">
      <c r="A1452">
        <v>2191</v>
      </c>
      <c r="B1452" t="str">
        <f>"600035"</f>
        <v>600035</v>
      </c>
      <c r="C1452" t="s">
        <v>931</v>
      </c>
      <c r="D1452" t="str">
        <f>[1]!EM_S_INFO_INDEX_EM(B1452,"1")</f>
        <v>交通运输</v>
      </c>
      <c r="E1452" s="4">
        <f t="shared" si="22"/>
        <v>43465</v>
      </c>
      <c r="F1452" s="11">
        <f>[1]!EM_S_PQ_PCTCHANGE(B1452,"2018-01-01","2019-12-31","3")</f>
        <v>-29.991933790000001</v>
      </c>
      <c r="G1452" s="11">
        <f>[1]!EM_S_PQ_PCTCHANGE(B1452,"2018-12-31","2019-12-30","1")</f>
        <v>15.59322034</v>
      </c>
      <c r="H1452" s="11">
        <f>[1]!EM_S_FA_YOY_OR(B1452,E1452)</f>
        <v>14.207532822399999</v>
      </c>
      <c r="I1452" s="11">
        <f>[1]!EM_S_FA_GROSSPROFITMARGIN(B1452,E1452)</f>
        <v>35.384218621599999</v>
      </c>
      <c r="J1452" s="11">
        <f>[1]!EM_S_FA_NETPROFITMARGIN(B1452,E1452)</f>
        <v>14.353288173699999</v>
      </c>
      <c r="K1452" s="10">
        <f>[1]!EM_S_FA_ASSETSTURN(B1452,E1452)</f>
        <v>0.285190841152</v>
      </c>
      <c r="L1452" s="12">
        <f>[1]!EM_HKS_VAL_MV(B1452,"2019-12-31","2")</f>
        <v>5772882164.6099997</v>
      </c>
      <c r="M1452">
        <f>[1]!EM_S_VAL_PETTMDEDUCTED(B1452,E1452)</f>
        <v>8.9413562216905405</v>
      </c>
      <c r="N1452" s="7">
        <f>[1]!EM_S_VAL_PBGOODWILLDEDUCTED(B1452,E1452)</f>
        <v>0.91351296576589702</v>
      </c>
      <c r="O1452" s="7">
        <f>[1]!EM_S_VAL_PS_TTM(B1452,E1452)</f>
        <v>1.6621594277804801</v>
      </c>
      <c r="P1452" s="7">
        <f>[1]!EM_S_VAL_PCF_NCFTTM(B1452,E1452)</f>
        <v>39.210271806427798</v>
      </c>
      <c r="Q1452" s="7">
        <f>[1]!EM_S_VAL_DIVIDENDYIELD2(B1452,E1452,"2019-11-29")</f>
        <v>3.4129036768138103</v>
      </c>
      <c r="T1452"/>
      <c r="U1452">
        <f>[1]!EM_S_RATIO_EPS_TTM(B1452,E1452,"1")</f>
        <v>0.2571630291468805</v>
      </c>
      <c r="AT1452" s="4" t="str">
        <f>[1]!EM_S_IPO_LISTEDDATE(B1452)</f>
        <v>2004-03-10</v>
      </c>
    </row>
    <row r="1453" spans="1:46">
      <c r="A1453">
        <v>690</v>
      </c>
      <c r="B1453" t="str">
        <f>"002179"</f>
        <v>002179</v>
      </c>
      <c r="C1453" t="s">
        <v>665</v>
      </c>
      <c r="D1453" t="str">
        <f>[1]!EM_S_INFO_INDEX_EM(B1453,"1")</f>
        <v>电子设备</v>
      </c>
      <c r="E1453" s="4">
        <f t="shared" si="22"/>
        <v>43465</v>
      </c>
      <c r="F1453" s="11">
        <f>[1]!EM_S_PQ_PCTCHANGE(B1453,"2018-01-01","2019-12-31","3")</f>
        <v>29.682759579999999</v>
      </c>
      <c r="G1453" s="11">
        <f>[1]!EM_S_PQ_PCTCHANGE(B1453,"2018-12-31","2019-12-30","1")</f>
        <v>15.58788599</v>
      </c>
      <c r="H1453" s="11">
        <f>[1]!EM_S_FA_YOY_OR(B1453,E1453)</f>
        <v>22.858349859499999</v>
      </c>
      <c r="I1453" s="11">
        <f>[1]!EM_S_FA_GROSSPROFITMARGIN(B1453,E1453)</f>
        <v>32.561807094499997</v>
      </c>
      <c r="J1453" s="11">
        <f>[1]!EM_S_FA_NETPROFITMARGIN(B1453,E1453)</f>
        <v>12.9160397358</v>
      </c>
      <c r="K1453" s="10">
        <f>[1]!EM_S_FA_ASSETSTURN(B1453,E1453)</f>
        <v>0.670437576526</v>
      </c>
      <c r="L1453" s="12">
        <f>[1]!EM_HKS_VAL_MV(B1453,"2019-12-31","2")</f>
        <v>41800540453.559998</v>
      </c>
      <c r="M1453">
        <f>[1]!EM_S_VAL_PETTMDEDUCTED(B1453,E1453)</f>
        <v>31.1222263093245</v>
      </c>
      <c r="N1453" s="7">
        <f>[1]!EM_S_VAL_PBGOODWILLDEDUCTED(B1453,E1453)</f>
        <v>4.6635559271113403</v>
      </c>
      <c r="O1453" s="7">
        <f>[1]!EM_S_VAL_PS_TTM(B1453,E1453)</f>
        <v>3.4880247913990101</v>
      </c>
      <c r="P1453" s="7">
        <f>[1]!EM_S_VAL_PCF_NCFTTM(B1453,E1453)</f>
        <v>-693.28332168147199</v>
      </c>
      <c r="Q1453" s="7">
        <f>[1]!EM_S_VAL_DIVIDENDYIELD2(B1453,E1453,"2019-11-29")</f>
        <v>0.24943178517658604</v>
      </c>
      <c r="T1453"/>
      <c r="U1453">
        <f>[1]!EM_S_RATIO_EPS_TTM(B1453,E1453,"1")</f>
        <v>1.2058558168724081</v>
      </c>
      <c r="AT1453" s="4" t="str">
        <f>[1]!EM_S_IPO_LISTEDDATE(B1453)</f>
        <v>2007-11-01</v>
      </c>
    </row>
    <row r="1454" spans="1:46">
      <c r="A1454">
        <v>780</v>
      </c>
      <c r="B1454" t="str">
        <f>"002269"</f>
        <v>002269</v>
      </c>
      <c r="C1454" t="s">
        <v>1552</v>
      </c>
      <c r="D1454" t="str">
        <f>[1]!EM_S_INFO_INDEX_EM(B1454,"1")</f>
        <v>纺织服装</v>
      </c>
      <c r="E1454" s="4">
        <f t="shared" si="22"/>
        <v>43465</v>
      </c>
      <c r="F1454" s="11">
        <f>[1]!EM_S_PQ_PCTCHANGE(B1454,"2018-01-01","2019-12-31","3")</f>
        <v>-22.492401220000001</v>
      </c>
      <c r="G1454" s="11">
        <f>[1]!EM_S_PQ_PCTCHANGE(B1454,"2018-12-31","2019-12-30","1")</f>
        <v>15.58441558</v>
      </c>
      <c r="H1454" s="11">
        <f>[1]!EM_S_FA_YOY_OR(B1454,E1454)</f>
        <v>18.617783822500002</v>
      </c>
      <c r="I1454" s="11">
        <f>[1]!EM_S_FA_GROSSPROFITMARGIN(B1454,E1454)</f>
        <v>44.661162211600001</v>
      </c>
      <c r="J1454" s="11">
        <f>[1]!EM_S_FA_NETPROFITMARGIN(B1454,E1454)</f>
        <v>0.52572138629999998</v>
      </c>
      <c r="K1454" s="10">
        <f>[1]!EM_S_FA_ASSETSTURN(B1454,E1454)</f>
        <v>1.1106847074820001</v>
      </c>
      <c r="L1454" s="12">
        <f>[1]!EM_HKS_VAL_MV(B1454,"2019-12-31","2")</f>
        <v>6406875000</v>
      </c>
      <c r="M1454">
        <f>[1]!EM_S_VAL_PETTMDEDUCTED(B1454,E1454)</f>
        <v>-33.142498894650402</v>
      </c>
      <c r="N1454" s="7">
        <f>[1]!EM_S_VAL_PBGOODWILLDEDUCTED(B1454,E1454)</f>
        <v>2.0168483866334799</v>
      </c>
      <c r="O1454" s="7">
        <f>[1]!EM_S_VAL_PS_TTM(B1454,E1454)</f>
        <v>0.76602166963463003</v>
      </c>
      <c r="P1454" s="7">
        <f>[1]!EM_S_VAL_PCF_NCFTTM(B1454,E1454)</f>
        <v>-42.769787779317802</v>
      </c>
      <c r="Q1454" s="7">
        <f>[1]!EM_S_VAL_DIVIDENDYIELD2(B1454,E1454,"2019-11-29")</f>
        <v>0</v>
      </c>
      <c r="T1454"/>
      <c r="U1454">
        <f>[1]!EM_S_RATIO_EPS_TTM(B1454,E1454,"1")</f>
        <v>1.6064306865671642E-2</v>
      </c>
      <c r="AT1454" s="4" t="str">
        <f>[1]!EM_S_IPO_LISTEDDATE(B1454)</f>
        <v>2008-08-28</v>
      </c>
    </row>
    <row r="1455" spans="1:46">
      <c r="A1455">
        <v>2245</v>
      </c>
      <c r="B1455" t="str">
        <f>"600098"</f>
        <v>600098</v>
      </c>
      <c r="C1455" t="s">
        <v>2553</v>
      </c>
      <c r="D1455" t="str">
        <f>[1]!EM_S_INFO_INDEX_EM(B1455,"1")</f>
        <v>公用事业</v>
      </c>
      <c r="E1455" s="4">
        <f t="shared" si="22"/>
        <v>43465</v>
      </c>
      <c r="F1455" s="11">
        <f>[1]!EM_S_PQ_PCTCHANGE(B1455,"2018-01-01","2019-12-31","3")</f>
        <v>-4.5172838300000002</v>
      </c>
      <c r="G1455" s="11">
        <f>[1]!EM_S_PQ_PCTCHANGE(B1455,"2018-12-31","2019-12-30","1")</f>
        <v>15.547703179999999</v>
      </c>
      <c r="H1455" s="11">
        <f>[1]!EM_S_FA_YOY_OR(B1455,E1455)</f>
        <v>5.3943101548000003</v>
      </c>
      <c r="I1455" s="11">
        <f>[1]!EM_S_FA_GROSSPROFITMARGIN(B1455,E1455)</f>
        <v>10.0381226943</v>
      </c>
      <c r="J1455" s="11">
        <f>[1]!EM_S_FA_NETPROFITMARGIN(B1455,E1455)</f>
        <v>3.0558770490999998</v>
      </c>
      <c r="K1455" s="10">
        <f>[1]!EM_S_FA_ASSETSTURN(B1455,E1455)</f>
        <v>0.67951254832499997</v>
      </c>
      <c r="L1455" s="12">
        <f>[1]!EM_HKS_VAL_MV(B1455,"2019-12-31","2")</f>
        <v>17829325489.32</v>
      </c>
      <c r="M1455">
        <f>[1]!EM_S_VAL_PETTMDEDUCTED(B1455,E1455)</f>
        <v>21.615229701864202</v>
      </c>
      <c r="N1455" s="7">
        <f>[1]!EM_S_VAL_PBGOODWILLDEDUCTED(B1455,E1455)</f>
        <v>0.94913935023974905</v>
      </c>
      <c r="O1455" s="7">
        <f>[1]!EM_S_VAL_PS_TTM(B1455,E1455)</f>
        <v>0.59244137788990403</v>
      </c>
      <c r="P1455" s="7">
        <f>[1]!EM_S_VAL_PCF_NCFTTM(B1455,E1455)</f>
        <v>-50.899948895219602</v>
      </c>
      <c r="Q1455" s="7">
        <f>[1]!EM_S_VAL_DIVIDENDYIELD2(B1455,E1455,"2019-11-29")</f>
        <v>1.5432098765432101</v>
      </c>
      <c r="T1455"/>
      <c r="U1455">
        <f>[1]!EM_S_RATIO_EPS_TTM(B1455,E1455,"1")</f>
        <v>0.25713841828568546</v>
      </c>
      <c r="AT1455" s="4" t="str">
        <f>[1]!EM_S_IPO_LISTEDDATE(B1455)</f>
        <v>1997-07-18</v>
      </c>
    </row>
    <row r="1456" spans="1:46">
      <c r="A1456">
        <v>2784</v>
      </c>
      <c r="B1456" t="str">
        <f>"600711"</f>
        <v>600711</v>
      </c>
      <c r="C1456" t="s">
        <v>679</v>
      </c>
      <c r="D1456" t="str">
        <f>[1]!EM_S_INFO_INDEX_EM(B1456,"1")</f>
        <v>有色金属</v>
      </c>
      <c r="E1456" s="4">
        <f t="shared" si="22"/>
        <v>43465</v>
      </c>
      <c r="F1456" s="11">
        <f>[1]!EM_S_PQ_PCTCHANGE(B1456,"2018-01-01","2019-12-31","3")</f>
        <v>-36.903876850000003</v>
      </c>
      <c r="G1456" s="11">
        <f>[1]!EM_S_PQ_PCTCHANGE(B1456,"2018-12-31","2019-12-30","1")</f>
        <v>15.53610503</v>
      </c>
      <c r="H1456" s="11">
        <f>[1]!EM_S_FA_YOY_OR(B1456,E1456)</f>
        <v>48.519120925499998</v>
      </c>
      <c r="I1456" s="11">
        <f>[1]!EM_S_FA_GROSSPROFITMARGIN(B1456,E1456)</f>
        <v>4.3519149625000004</v>
      </c>
      <c r="J1456" s="11">
        <f>[1]!EM_S_FA_NETPROFITMARGIN(B1456,E1456)</f>
        <v>1.6439552745999999</v>
      </c>
      <c r="K1456" s="10">
        <f>[1]!EM_S_FA_ASSETSTURN(B1456,E1456)</f>
        <v>2.322165934604</v>
      </c>
      <c r="L1456" s="12">
        <f>[1]!EM_HKS_VAL_MV(B1456,"2019-12-31","2")</f>
        <v>12209500891.549999</v>
      </c>
      <c r="M1456">
        <f>[1]!EM_S_VAL_PETTMDEDUCTED(B1456,E1456)</f>
        <v>13.637711552068501</v>
      </c>
      <c r="N1456" s="7">
        <f>[1]!EM_S_VAL_PBGOODWILLDEDUCTED(B1456,E1456)</f>
        <v>1.2321726388735399</v>
      </c>
      <c r="O1456" s="7">
        <f>[1]!EM_S_VAL_PS_TTM(B1456,E1456)</f>
        <v>0.26992509721070801</v>
      </c>
      <c r="P1456" s="7">
        <f>[1]!EM_S_VAL_PCF_NCFTTM(B1456,E1456)</f>
        <v>263.72875837099599</v>
      </c>
      <c r="Q1456" s="7">
        <f>[1]!EM_S_VAL_DIVIDENDYIELD2(B1456,E1456,"2019-11-29")</f>
        <v>0.39149559451599192</v>
      </c>
      <c r="T1456"/>
      <c r="U1456">
        <f>[1]!EM_S_RATIO_EPS_TTM(B1456,E1456,"1")</f>
        <v>0.2703292768698452</v>
      </c>
      <c r="AT1456" s="4" t="str">
        <f>[1]!EM_S_IPO_LISTEDDATE(B1456)</f>
        <v>1996-05-31</v>
      </c>
    </row>
    <row r="1457" spans="1:46">
      <c r="A1457">
        <v>1849</v>
      </c>
      <c r="B1457" t="str">
        <f>"300424"</f>
        <v>300424</v>
      </c>
      <c r="C1457" t="s">
        <v>2927</v>
      </c>
      <c r="D1457" t="str">
        <f>[1]!EM_S_INFO_INDEX_EM(B1457,"1")</f>
        <v>国防与装备</v>
      </c>
      <c r="E1457" s="4">
        <f t="shared" si="22"/>
        <v>43465</v>
      </c>
      <c r="F1457" s="11">
        <f>[1]!EM_S_PQ_PCTCHANGE(B1457,"2018-01-01","2019-12-31","3")</f>
        <v>-31.625222019999999</v>
      </c>
      <c r="G1457" s="11">
        <f>[1]!EM_S_PQ_PCTCHANGE(B1457,"2018-12-31","2019-12-30","1")</f>
        <v>15.49497848</v>
      </c>
      <c r="H1457" s="11">
        <f>[1]!EM_S_FA_YOY_OR(B1457,E1457)</f>
        <v>59.404371307600002</v>
      </c>
      <c r="I1457" s="11">
        <f>[1]!EM_S_FA_GROSSPROFITMARGIN(B1457,E1457)</f>
        <v>32.602952576500002</v>
      </c>
      <c r="J1457" s="11">
        <f>[1]!EM_S_FA_NETPROFITMARGIN(B1457,E1457)</f>
        <v>6.5717237188000004</v>
      </c>
      <c r="K1457" s="10">
        <f>[1]!EM_S_FA_ASSETSTURN(B1457,E1457)</f>
        <v>0.445408850523</v>
      </c>
      <c r="L1457" s="12">
        <f>[1]!EM_HKS_VAL_MV(B1457,"2019-12-31","2")</f>
        <v>3841631039.6999998</v>
      </c>
      <c r="M1457">
        <f>[1]!EM_S_VAL_PETTMDEDUCTED(B1457,E1457)</f>
        <v>59.886229707210198</v>
      </c>
      <c r="N1457" s="7">
        <f>[1]!EM_S_VAL_PBGOODWILLDEDUCTED(B1457,E1457)</f>
        <v>4.9287865579371601</v>
      </c>
      <c r="O1457" s="7">
        <f>[1]!EM_S_VAL_PS_TTM(B1457,E1457)</f>
        <v>5.0322077174578297</v>
      </c>
      <c r="P1457" s="7">
        <f>[1]!EM_S_VAL_PCF_NCFTTM(B1457,E1457)</f>
        <v>533.01203312985297</v>
      </c>
      <c r="Q1457" s="7">
        <f>[1]!EM_S_VAL_DIVIDENDYIELD2(B1457,E1457,"2019-11-29")</f>
        <v>8.8375254928620001E-2</v>
      </c>
      <c r="T1457"/>
      <c r="U1457">
        <f>[1]!EM_S_RATIO_EPS_TTM(B1457,E1457,"1")</f>
        <v>0.20963283618800879</v>
      </c>
      <c r="AT1457" s="4" t="str">
        <f>[1]!EM_S_IPO_LISTEDDATE(B1457)</f>
        <v>2015-04-22</v>
      </c>
    </row>
    <row r="1458" spans="1:46">
      <c r="A1458">
        <v>3302</v>
      </c>
      <c r="B1458" t="str">
        <f>"603180"</f>
        <v>603180</v>
      </c>
      <c r="C1458" t="s">
        <v>1273</v>
      </c>
      <c r="D1458" t="str">
        <f>[1]!EM_S_INFO_INDEX_EM(B1458,"1")</f>
        <v>轻工制造</v>
      </c>
      <c r="E1458" s="4">
        <f t="shared" si="22"/>
        <v>43465</v>
      </c>
      <c r="F1458" s="11">
        <f>[1]!EM_S_PQ_PCTCHANGE(B1458,"2018-01-01","2019-12-31","3")</f>
        <v>-48.23482688</v>
      </c>
      <c r="G1458" s="11">
        <f>[1]!EM_S_PQ_PCTCHANGE(B1458,"2018-12-31","2019-12-30","1")</f>
        <v>15.47742158</v>
      </c>
      <c r="H1458" s="11">
        <f>[1]!EM_S_FA_YOY_OR(B1458,E1458)</f>
        <v>18.010873281799999</v>
      </c>
      <c r="I1458" s="11">
        <f>[1]!EM_S_FA_GROSSPROFITMARGIN(B1458,E1458)</f>
        <v>38.995756884099997</v>
      </c>
      <c r="J1458" s="11">
        <f>[1]!EM_S_FA_NETPROFITMARGIN(B1458,E1458)</f>
        <v>12.347917924300001</v>
      </c>
      <c r="K1458" s="10">
        <f>[1]!EM_S_FA_ASSETSTURN(B1458,E1458)</f>
        <v>0.99115761953500003</v>
      </c>
      <c r="L1458" s="12">
        <f>[1]!EM_HKS_VAL_MV(B1458,"2019-12-31","2")</f>
        <v>4488676533.1800003</v>
      </c>
      <c r="M1458">
        <f>[1]!EM_S_VAL_PETTMDEDUCTED(B1458,E1458)</f>
        <v>26.347587410818701</v>
      </c>
      <c r="N1458" s="7">
        <f>[1]!EM_S_VAL_PBGOODWILLDEDUCTED(B1458,E1458)</f>
        <v>3.9852973770314102</v>
      </c>
      <c r="O1458" s="7">
        <f>[1]!EM_S_VAL_PS_TTM(B1458,E1458)</f>
        <v>2.4405465452427899</v>
      </c>
      <c r="P1458" s="7">
        <f>[1]!EM_S_VAL_PCF_NCFTTM(B1458,E1458)</f>
        <v>-48.810131415564797</v>
      </c>
      <c r="Q1458" s="7">
        <f>[1]!EM_S_VAL_DIVIDENDYIELD2(B1458,E1458,"2019-11-29")</f>
        <v>1.6598792766531514</v>
      </c>
      <c r="T1458"/>
      <c r="U1458">
        <f>[1]!EM_S_RATIO_EPS_TTM(B1458,E1458,"1")</f>
        <v>3.1139339517037037</v>
      </c>
      <c r="AT1458" s="4" t="str">
        <f>[1]!EM_S_IPO_LISTEDDATE(B1458)</f>
        <v>2017-05-12</v>
      </c>
    </row>
    <row r="1459" spans="1:46">
      <c r="A1459">
        <v>1248</v>
      </c>
      <c r="B1459" t="str">
        <f>"002738"</f>
        <v>002738</v>
      </c>
      <c r="C1459" t="s">
        <v>3034</v>
      </c>
      <c r="D1459" t="str">
        <f>[1]!EM_S_INFO_INDEX_EM(B1459,"1")</f>
        <v>建筑</v>
      </c>
      <c r="E1459" s="4">
        <f t="shared" si="22"/>
        <v>43465</v>
      </c>
      <c r="F1459" s="11">
        <f>[1]!EM_S_PQ_PCTCHANGE(B1459,"2018-01-01","2019-12-31","3")</f>
        <v>-40.850853379999997</v>
      </c>
      <c r="G1459" s="11">
        <f>[1]!EM_S_PQ_PCTCHANGE(B1459,"2018-12-31","2019-12-30","1")</f>
        <v>15.47455296</v>
      </c>
      <c r="H1459" s="11">
        <f>[1]!EM_S_FA_YOY_OR(B1459,E1459)</f>
        <v>60.363673241199997</v>
      </c>
      <c r="I1459" s="11">
        <f>[1]!EM_S_FA_GROSSPROFITMARGIN(B1459,E1459)</f>
        <v>30.822589260299999</v>
      </c>
      <c r="J1459" s="11">
        <f>[1]!EM_S_FA_NETPROFITMARGIN(B1459,E1459)</f>
        <v>12.692456483400001</v>
      </c>
      <c r="K1459" s="10">
        <f>[1]!EM_S_FA_ASSETSTURN(B1459,E1459)</f>
        <v>0.40503237863699998</v>
      </c>
      <c r="L1459" s="12">
        <f>[1]!EM_HKS_VAL_MV(B1459,"2019-12-31","2")</f>
        <v>4685840385.3599997</v>
      </c>
      <c r="M1459">
        <f>[1]!EM_S_VAL_PETTMDEDUCTED(B1459,E1459)</f>
        <v>42.372989203857202</v>
      </c>
      <c r="N1459" s="7">
        <f>[1]!EM_S_VAL_PBGOODWILLDEDUCTED(B1459,E1459)</f>
        <v>3.9338377476198501</v>
      </c>
      <c r="O1459" s="7">
        <f>[1]!EM_S_VAL_PS_TTM(B1459,E1459)</f>
        <v>5.4162841990963502</v>
      </c>
      <c r="P1459" s="7">
        <f>[1]!EM_S_VAL_PCF_NCFTTM(B1459,E1459)</f>
        <v>29.424817768497601</v>
      </c>
      <c r="Q1459" s="7">
        <f>[1]!EM_S_VAL_DIVIDENDYIELD2(B1459,E1459,"2019-11-29")</f>
        <v>0.36764705882352944</v>
      </c>
      <c r="T1459"/>
      <c r="U1459">
        <f>[1]!EM_S_RATIO_EPS_TTM(B1459,E1459,"1")</f>
        <v>0.44148841727674631</v>
      </c>
      <c r="AT1459" s="4" t="str">
        <f>[1]!EM_S_IPO_LISTEDDATE(B1459)</f>
        <v>2014-12-30</v>
      </c>
    </row>
    <row r="1460" spans="1:46">
      <c r="A1460">
        <v>54</v>
      </c>
      <c r="B1460" t="str">
        <f>"000061"</f>
        <v>000061</v>
      </c>
      <c r="C1460" t="s">
        <v>3064</v>
      </c>
      <c r="D1460" t="str">
        <f>[1]!EM_S_INFO_INDEX_EM(B1460,"1")</f>
        <v>商贸零售</v>
      </c>
      <c r="E1460" s="4">
        <f t="shared" si="22"/>
        <v>43465</v>
      </c>
      <c r="F1460" s="11">
        <f>[1]!EM_S_PQ_PCTCHANGE(B1460,"2018-01-01","2019-12-31","3")</f>
        <v>-26.224708530000001</v>
      </c>
      <c r="G1460" s="11">
        <f>[1]!EM_S_PQ_PCTCHANGE(B1460,"2019-01-01","2019-12-31","3")</f>
        <v>15.46960251</v>
      </c>
      <c r="H1460" s="11">
        <f>[1]!EM_S_FA_YOY_OR(B1460,E1460)</f>
        <v>-5.8957133167000002</v>
      </c>
      <c r="I1460" s="11">
        <f>[1]!EM_S_FA_GROSSPROFITMARGIN(B1460,E1460)</f>
        <v>37.0658283653</v>
      </c>
      <c r="J1460" s="11">
        <f>[1]!EM_S_FA_NETPROFITMARGIN(B1460,E1460)</f>
        <v>4.353757163</v>
      </c>
      <c r="K1460" s="10">
        <f>[1]!EM_S_FA_ASSETSTURN(B1460,E1460)</f>
        <v>0.1216631006</v>
      </c>
      <c r="L1460" s="12">
        <f>[1]!EM_HKS_VAL_MV(B1460,"2019-12-31","2")</f>
        <v>9486029492.2900009</v>
      </c>
      <c r="M1460">
        <f>[1]!EM_S_VAL_PETTMDEDUCTED(B1460,E1460)</f>
        <v>-89.011857170203101</v>
      </c>
      <c r="N1460" s="7">
        <f>[1]!EM_S_VAL_PBGOODWILLDEDUCTED(B1460,E1460)</f>
        <v>1.6733407953306001</v>
      </c>
      <c r="O1460" s="7">
        <f>[1]!EM_S_VAL_PS_TTM(B1460,E1460)</f>
        <v>3.3699733678287802</v>
      </c>
      <c r="P1460" s="7">
        <f>[1]!EM_S_VAL_PCF_NCFTTM(B1460,E1460)</f>
        <v>11.9669714835441</v>
      </c>
      <c r="Q1460" s="7">
        <f>[1]!EM_S_VAL_DIVIDENDYIELD2(B1460,E1460,"2019-11-29")</f>
        <v>0.18691588785046728</v>
      </c>
      <c r="T1460"/>
      <c r="U1460">
        <f>[1]!EM_S_RATIO_EPS_TTM(B1460,E1460,"1")</f>
        <v>2.5202125041262877E-2</v>
      </c>
      <c r="AT1460" s="4" t="str">
        <f>[1]!EM_S_IPO_LISTEDDATE(B1460)</f>
        <v>1997-01-10</v>
      </c>
    </row>
    <row r="1461" spans="1:46">
      <c r="A1461">
        <v>643</v>
      </c>
      <c r="B1461" t="str">
        <f>"002132"</f>
        <v>002132</v>
      </c>
      <c r="C1461" t="s">
        <v>3021</v>
      </c>
      <c r="D1461" t="str">
        <f>[1]!EM_S_INFO_INDEX_EM(B1461,"1")</f>
        <v>机械设备</v>
      </c>
      <c r="E1461" s="4">
        <f t="shared" si="22"/>
        <v>43465</v>
      </c>
      <c r="F1461" s="11">
        <f>[1]!EM_S_PQ_PCTCHANGE(B1461,"2018-01-01","2019-12-31","3")</f>
        <v>-41.98152855</v>
      </c>
      <c r="G1461" s="11">
        <f>[1]!EM_S_PQ_PCTCHANGE(B1461,"2018-12-31","2019-12-30","1")</f>
        <v>15.44117647</v>
      </c>
      <c r="H1461" s="11">
        <f>[1]!EM_S_FA_YOY_OR(B1461,E1461)</f>
        <v>-1.0453527578999999</v>
      </c>
      <c r="I1461" s="11">
        <f>[1]!EM_S_FA_GROSSPROFITMARGIN(B1461,E1461)</f>
        <v>14.0047845873</v>
      </c>
      <c r="J1461" s="11">
        <f>[1]!EM_S_FA_NETPROFITMARGIN(B1461,E1461)</f>
        <v>-7.1538569283999998</v>
      </c>
      <c r="K1461" s="10">
        <f>[1]!EM_S_FA_ASSETSTURN(B1461,E1461)</f>
        <v>0.50533940209399997</v>
      </c>
      <c r="L1461" s="12">
        <f>[1]!EM_HKS_VAL_MV(B1461,"2019-12-31","2")</f>
        <v>3907710033.3299999</v>
      </c>
      <c r="M1461">
        <f>[1]!EM_S_VAL_PETTMDEDUCTED(B1461,E1461)</f>
        <v>-36.639257385160299</v>
      </c>
      <c r="N1461" s="7">
        <f>[1]!EM_S_VAL_PBGOODWILLDEDUCTED(B1461,E1461)</f>
        <v>1.2136536870167101</v>
      </c>
      <c r="O1461" s="7">
        <f>[1]!EM_S_VAL_PS_TTM(B1461,E1461)</f>
        <v>1.07949421377651</v>
      </c>
      <c r="P1461" s="7">
        <f>[1]!EM_S_VAL_PCF_NCFTTM(B1461,E1461)</f>
        <v>-10.633719628383799</v>
      </c>
      <c r="Q1461" s="7">
        <f>[1]!EM_S_VAL_DIVIDENDYIELD2(B1461,E1461,"2019-11-29")</f>
        <v>0</v>
      </c>
      <c r="T1461"/>
      <c r="U1461">
        <f>[1]!EM_S_RATIO_EPS_TTM(B1461,E1461,"1")</f>
        <v>-0.1104858175852373</v>
      </c>
      <c r="AT1461" s="4" t="str">
        <f>[1]!EM_S_IPO_LISTEDDATE(B1461)</f>
        <v>2007-04-27</v>
      </c>
    </row>
    <row r="1462" spans="1:46">
      <c r="A1462">
        <v>1499</v>
      </c>
      <c r="B1462" t="str">
        <f>"300074"</f>
        <v>300074</v>
      </c>
      <c r="C1462" t="s">
        <v>3347</v>
      </c>
      <c r="D1462" t="str">
        <f>[1]!EM_S_INFO_INDEX_EM(B1462,"1")</f>
        <v>信息技术</v>
      </c>
      <c r="E1462" s="4">
        <f t="shared" si="22"/>
        <v>43465</v>
      </c>
      <c r="F1462" s="11">
        <f>[1]!EM_S_PQ_PCTCHANGE(B1462,"2018-01-01","2019-12-31","3")</f>
        <v>-46.63461538</v>
      </c>
      <c r="G1462" s="11">
        <f>[1]!EM_S_PQ_PCTCHANGE(B1462,"2018-12-31","2019-12-30","1")</f>
        <v>15.40469974</v>
      </c>
      <c r="H1462" s="11">
        <f>[1]!EM_S_FA_YOY_OR(B1462,E1462)</f>
        <v>-1.4812944299999999</v>
      </c>
      <c r="I1462" s="11">
        <f>[1]!EM_S_FA_GROSSPROFITMARGIN(B1462,E1462)</f>
        <v>36.723965843800002</v>
      </c>
      <c r="J1462" s="11">
        <f>[1]!EM_S_FA_NETPROFITMARGIN(B1462,E1462)</f>
        <v>2.3411050924999999</v>
      </c>
      <c r="K1462" s="10">
        <f>[1]!EM_S_FA_ASSETSTURN(B1462,E1462)</f>
        <v>0.28553508391400001</v>
      </c>
      <c r="L1462" s="12">
        <f>[1]!EM_HKS_VAL_MV(B1462,"2019-12-31","2")</f>
        <v>2407990044</v>
      </c>
      <c r="M1462">
        <f>[1]!EM_S_VAL_PETTMDEDUCTED(B1462,E1462)</f>
        <v>241.913103289937</v>
      </c>
      <c r="N1462" s="7">
        <f>[1]!EM_S_VAL_PBGOODWILLDEDUCTED(B1462,E1462)</f>
        <v>1.72262264306802</v>
      </c>
      <c r="O1462" s="7">
        <f>[1]!EM_S_VAL_PS_TTM(B1462,E1462)</f>
        <v>4.8788889368341799</v>
      </c>
      <c r="P1462" s="7">
        <f>[1]!EM_S_VAL_PCF_NCFTTM(B1462,E1462)</f>
        <v>204.374020399925</v>
      </c>
      <c r="Q1462" s="7">
        <f>[1]!EM_S_VAL_DIVIDENDYIELD2(B1462,E1462,"2019-11-29")</f>
        <v>0</v>
      </c>
      <c r="T1462"/>
      <c r="U1462">
        <f>[1]!EM_S_RATIO_EPS_TTM(B1462,E1462,"1")</f>
        <v>2.7347305279473155E-2</v>
      </c>
      <c r="AT1462" s="4" t="str">
        <f>[1]!EM_S_IPO_LISTEDDATE(B1462)</f>
        <v>2010-04-27</v>
      </c>
    </row>
    <row r="1463" spans="1:46">
      <c r="A1463">
        <v>3210</v>
      </c>
      <c r="B1463" t="str">
        <f>"603011"</f>
        <v>603011</v>
      </c>
      <c r="C1463" t="s">
        <v>2508</v>
      </c>
      <c r="D1463" t="str">
        <f>[1]!EM_S_INFO_INDEX_EM(B1463,"1")</f>
        <v>机械设备</v>
      </c>
      <c r="E1463" s="4">
        <f t="shared" si="22"/>
        <v>43465</v>
      </c>
      <c r="F1463" s="11">
        <f>[1]!EM_S_PQ_PCTCHANGE(B1463,"2018-01-01","2019-12-31","3")</f>
        <v>-52.951782180000002</v>
      </c>
      <c r="G1463" s="11">
        <f>[1]!EM_S_PQ_PCTCHANGE(B1463,"2018-12-31","2019-12-30","1")</f>
        <v>15.402298849999999</v>
      </c>
      <c r="H1463" s="11">
        <f>[1]!EM_S_FA_YOY_OR(B1463,E1463)</f>
        <v>9.5342620214</v>
      </c>
      <c r="I1463" s="11">
        <f>[1]!EM_S_FA_GROSSPROFITMARGIN(B1463,E1463)</f>
        <v>33.6989188059</v>
      </c>
      <c r="J1463" s="11">
        <f>[1]!EM_S_FA_NETPROFITMARGIN(B1463,E1463)</f>
        <v>6.4251613035000004</v>
      </c>
      <c r="K1463" s="10">
        <f>[1]!EM_S_FA_ASSETSTURN(B1463,E1463)</f>
        <v>0.35892614093500003</v>
      </c>
      <c r="L1463" s="12">
        <f>[1]!EM_HKS_VAL_MV(B1463,"2019-12-31","2")</f>
        <v>2278966213.8200002</v>
      </c>
      <c r="M1463">
        <f>[1]!EM_S_VAL_PETTMDEDUCTED(B1463,E1463)</f>
        <v>90.496919587845497</v>
      </c>
      <c r="N1463" s="7">
        <f>[1]!EM_S_VAL_PBGOODWILLDEDUCTED(B1463,E1463)</f>
        <v>1.6229923179492101</v>
      </c>
      <c r="O1463" s="7">
        <f>[1]!EM_S_VAL_PS_TTM(B1463,E1463)</f>
        <v>2.5791417697104699</v>
      </c>
      <c r="P1463" s="7">
        <f>[1]!EM_S_VAL_PCF_NCFTTM(B1463,E1463)</f>
        <v>301.154275820875</v>
      </c>
      <c r="Q1463" s="7">
        <f>[1]!EM_S_VAL_DIVIDENDYIELD2(B1463,E1463,"2019-11-29")</f>
        <v>2.2916666666666674</v>
      </c>
      <c r="T1463"/>
      <c r="U1463">
        <f>[1]!EM_S_RATIO_EPS_TTM(B1463,E1463,"1")</f>
        <v>0.11354115162299681</v>
      </c>
      <c r="AT1463" s="4" t="str">
        <f>[1]!EM_S_IPO_LISTEDDATE(B1463)</f>
        <v>2014-11-07</v>
      </c>
    </row>
    <row r="1464" spans="1:46">
      <c r="A1464">
        <v>3361</v>
      </c>
      <c r="B1464" t="str">
        <f>"603328"</f>
        <v>603328</v>
      </c>
      <c r="C1464" t="s">
        <v>1490</v>
      </c>
      <c r="D1464" t="str">
        <f>[1]!EM_S_INFO_INDEX_EM(B1464,"1")</f>
        <v>电子设备</v>
      </c>
      <c r="E1464" s="4">
        <f t="shared" si="22"/>
        <v>43465</v>
      </c>
      <c r="F1464" s="11">
        <f>[1]!EM_S_PQ_PCTCHANGE(B1464,"2018-01-01","2019-12-31","3")</f>
        <v>-2.8051481200000001</v>
      </c>
      <c r="G1464" s="11">
        <f>[1]!EM_S_PQ_PCTCHANGE(B1464,"2018-12-31","2019-12-30","1")</f>
        <v>15.35353535</v>
      </c>
      <c r="H1464" s="11">
        <f>[1]!EM_S_FA_YOY_OR(B1464,E1464)</f>
        <v>1.3041659970999999</v>
      </c>
      <c r="I1464" s="11">
        <f>[1]!EM_S_FA_GROSSPROFITMARGIN(B1464,E1464)</f>
        <v>30.5467847446</v>
      </c>
      <c r="J1464" s="11">
        <f>[1]!EM_S_FA_NETPROFITMARGIN(B1464,E1464)</f>
        <v>19.6481138569</v>
      </c>
      <c r="K1464" s="10">
        <f>[1]!EM_S_FA_ASSETSTURN(B1464,E1464)</f>
        <v>0.60695684115100001</v>
      </c>
      <c r="L1464" s="12">
        <f>[1]!EM_HKS_VAL_MV(B1464,"2019-12-31","2")</f>
        <v>11300666628.6</v>
      </c>
      <c r="M1464">
        <f>[1]!EM_S_VAL_PETTMDEDUCTED(B1464,E1464)</f>
        <v>16.358464301228999</v>
      </c>
      <c r="N1464" s="7">
        <f>[1]!EM_S_VAL_PBGOODWILLDEDUCTED(B1464,E1464)</f>
        <v>2.2106800306221199</v>
      </c>
      <c r="O1464" s="7">
        <f>[1]!EM_S_VAL_PS_TTM(B1464,E1464)</f>
        <v>3.0491342046265002</v>
      </c>
      <c r="P1464" s="7">
        <f>[1]!EM_S_VAL_PCF_NCFTTM(B1464,E1464)</f>
        <v>-6.4133914394148199</v>
      </c>
      <c r="Q1464" s="7">
        <f>[1]!EM_S_VAL_DIVIDENDYIELD2(B1464,E1464,"2019-11-29")</f>
        <v>7.1383762117928766</v>
      </c>
      <c r="T1464"/>
      <c r="U1464">
        <f>[1]!EM_S_RATIO_EPS_TTM(B1464,E1464,"1")</f>
        <v>0.65546643872388677</v>
      </c>
      <c r="AT1464" s="4" t="str">
        <f>[1]!EM_S_IPO_LISTEDDATE(B1464)</f>
        <v>2014-07-01</v>
      </c>
    </row>
    <row r="1465" spans="1:46">
      <c r="A1465">
        <v>2044</v>
      </c>
      <c r="B1465" t="str">
        <f>"300625"</f>
        <v>300625</v>
      </c>
      <c r="C1465" t="s">
        <v>1672</v>
      </c>
      <c r="D1465" t="str">
        <f>[1]!EM_S_INFO_INDEX_EM(B1465,"1")</f>
        <v>电子设备</v>
      </c>
      <c r="E1465" s="4">
        <f t="shared" si="22"/>
        <v>43465</v>
      </c>
      <c r="F1465" s="11">
        <f>[1]!EM_S_PQ_PCTCHANGE(B1465,"2018-01-01","2019-12-31","3")</f>
        <v>-30.804732009999999</v>
      </c>
      <c r="G1465" s="11">
        <f>[1]!EM_S_PQ_PCTCHANGE(B1465,"2018-12-31","2019-12-30","1")</f>
        <v>15.351812369999999</v>
      </c>
      <c r="H1465" s="11">
        <f>[1]!EM_S_FA_YOY_OR(B1465,E1465)</f>
        <v>7.3660778357999996</v>
      </c>
      <c r="I1465" s="11">
        <f>[1]!EM_S_FA_GROSSPROFITMARGIN(B1465,E1465)</f>
        <v>31.6339516876</v>
      </c>
      <c r="J1465" s="11">
        <f>[1]!EM_S_FA_NETPROFITMARGIN(B1465,E1465)</f>
        <v>7.4107725847000001</v>
      </c>
      <c r="K1465" s="10">
        <f>[1]!EM_S_FA_ASSETSTURN(B1465,E1465)</f>
        <v>0.87219056879000001</v>
      </c>
      <c r="L1465" s="12">
        <f>[1]!EM_HKS_VAL_MV(B1465,"2019-12-31","2")</f>
        <v>4569600000</v>
      </c>
      <c r="M1465">
        <f>[1]!EM_S_VAL_PETTMDEDUCTED(B1465,E1465)</f>
        <v>25.180510160038899</v>
      </c>
      <c r="N1465" s="7">
        <f>[1]!EM_S_VAL_PBGOODWILLDEDUCTED(B1465,E1465)</f>
        <v>1.88533689291594</v>
      </c>
      <c r="O1465" s="7">
        <f>[1]!EM_S_VAL_PS_TTM(B1465,E1465)</f>
        <v>1.6175146936499101</v>
      </c>
      <c r="P1465" s="7">
        <f>[1]!EM_S_VAL_PCF_NCFTTM(B1465,E1465)</f>
        <v>-30.319993039035701</v>
      </c>
      <c r="Q1465" s="7">
        <f>[1]!EM_S_VAL_DIVIDENDYIELD2(B1465,E1465,"2019-11-29")</f>
        <v>0.86028905712319337</v>
      </c>
      <c r="T1465"/>
      <c r="U1465">
        <f>[1]!EM_S_RATIO_EPS_TTM(B1465,E1465,"1")</f>
        <v>0.64381212642857144</v>
      </c>
      <c r="AT1465" s="4" t="str">
        <f>[1]!EM_S_IPO_LISTEDDATE(B1465)</f>
        <v>2017-03-17</v>
      </c>
    </row>
    <row r="1466" spans="1:46">
      <c r="A1466">
        <v>5</v>
      </c>
      <c r="B1466" t="str">
        <f>"000005"</f>
        <v>000005</v>
      </c>
      <c r="C1466" t="s">
        <v>2041</v>
      </c>
      <c r="D1466" t="str">
        <f>[1]!EM_S_INFO_INDEX_EM(B1466,"1")</f>
        <v>公用事业</v>
      </c>
      <c r="E1466" s="4">
        <f t="shared" si="22"/>
        <v>43465</v>
      </c>
      <c r="F1466" s="11">
        <f>[1]!EM_S_PQ_PCTCHANGE(B1466,"2018-01-01","2019-12-31","3")</f>
        <v>-25.36231884</v>
      </c>
      <c r="G1466" s="11">
        <f>[1]!EM_S_PQ_PCTCHANGE(B1466,"2019-01-01","2019-12-31","3")</f>
        <v>15.29850746</v>
      </c>
      <c r="H1466" s="11">
        <f>[1]!EM_S_FA_YOY_OR(B1466,E1466)</f>
        <v>-8.4270825758000001</v>
      </c>
      <c r="I1466" s="11">
        <f>[1]!EM_S_FA_GROSSPROFITMARGIN(B1466,E1466)</f>
        <v>29.7082103917</v>
      </c>
      <c r="J1466" s="11">
        <f>[1]!EM_S_FA_NETPROFITMARGIN(B1466,E1466)</f>
        <v>32.2407979535</v>
      </c>
      <c r="K1466" s="10">
        <f>[1]!EM_S_FA_ASSETSTURN(B1466,E1466)</f>
        <v>0.16115988834100001</v>
      </c>
      <c r="L1466" s="12">
        <f>[1]!EM_HKS_VAL_MV(B1466,"2019-12-31","2")</f>
        <v>3270878841.7800002</v>
      </c>
      <c r="M1466">
        <f>[1]!EM_S_VAL_PETTMDEDUCTED(B1466,E1466)</f>
        <v>-80.347433816999995</v>
      </c>
      <c r="N1466" s="7">
        <f>[1]!EM_S_VAL_PBGOODWILLDEDUCTED(B1466,E1466)</f>
        <v>2.2393632970200601</v>
      </c>
      <c r="O1466" s="7">
        <f>[1]!EM_S_VAL_PS_TTM(B1466,E1466)</f>
        <v>4.7305357582951997</v>
      </c>
      <c r="P1466" s="7">
        <f>[1]!EM_S_VAL_PCF_NCFTTM(B1466,E1466)</f>
        <v>1097.45014318275</v>
      </c>
      <c r="Q1466" s="7">
        <f>[1]!EM_S_VAL_DIVIDENDYIELD2(B1466,E1466,"2019-11-29")</f>
        <v>0</v>
      </c>
      <c r="T1466"/>
      <c r="U1466">
        <f>[1]!EM_S_RATIO_EPS_TTM(B1466,E1466,"1")</f>
        <v>0.14057998533035471</v>
      </c>
      <c r="V1466">
        <f>[1]!EM_S_FA_BPS(B1466,E1466)</f>
        <v>1.406904103457</v>
      </c>
      <c r="AT1466" s="4" t="str">
        <f>[1]!EM_S_IPO_LISTEDDATE(B1466)</f>
        <v>1990-12-10</v>
      </c>
    </row>
    <row r="1467" spans="1:46">
      <c r="A1467">
        <v>2843</v>
      </c>
      <c r="B1467" t="str">
        <f>"600770"</f>
        <v>600770</v>
      </c>
      <c r="C1467" t="s">
        <v>3039</v>
      </c>
      <c r="D1467" t="str">
        <f>[1]!EM_S_INFO_INDEX_EM(B1467,"1")</f>
        <v>综合</v>
      </c>
      <c r="E1467" s="4">
        <f t="shared" si="22"/>
        <v>43465</v>
      </c>
      <c r="F1467" s="11">
        <f>[1]!EM_S_PQ_PCTCHANGE(B1467,"2018-01-01","2019-12-31","3")</f>
        <v>-29.078947370000002</v>
      </c>
      <c r="G1467" s="11">
        <f>[1]!EM_S_PQ_PCTCHANGE(B1467,"2018-12-31","2019-12-30","1")</f>
        <v>15.2866242</v>
      </c>
      <c r="H1467" s="11">
        <f>[1]!EM_S_FA_YOY_OR(B1467,E1467)</f>
        <v>-37.286107421200001</v>
      </c>
      <c r="I1467" s="11">
        <f>[1]!EM_S_FA_GROSSPROFITMARGIN(B1467,E1467)</f>
        <v>23.753963596599998</v>
      </c>
      <c r="J1467" s="11">
        <f>[1]!EM_S_FA_NETPROFITMARGIN(B1467,E1467)</f>
        <v>6.5544485042999998</v>
      </c>
      <c r="K1467" s="10">
        <f>[1]!EM_S_FA_ASSETSTURN(B1467,E1467)</f>
        <v>7.6512813127999998E-2</v>
      </c>
      <c r="L1467" s="12">
        <f>[1]!EM_HKS_VAL_MV(B1467,"2019-12-31","2")</f>
        <v>7007000000</v>
      </c>
      <c r="M1467">
        <f>[1]!EM_S_VAL_PETTMDEDUCTED(B1467,E1467)</f>
        <v>-176.86899388928401</v>
      </c>
      <c r="N1467" s="7">
        <f>[1]!EM_S_VAL_PBGOODWILLDEDUCTED(B1467,E1467)</f>
        <v>1.90263314116162</v>
      </c>
      <c r="O1467" s="7">
        <f>[1]!EM_S_VAL_PS_TTM(B1467,E1467)</f>
        <v>10.842991043107601</v>
      </c>
      <c r="P1467" s="7">
        <f>[1]!EM_S_VAL_PCF_NCFTTM(B1467,E1467)</f>
        <v>-11.193056786074299</v>
      </c>
      <c r="Q1467" s="7">
        <f>[1]!EM_S_VAL_DIVIDENDYIELD2(B1467,E1467,"2019-11-29")</f>
        <v>0</v>
      </c>
      <c r="T1467"/>
      <c r="U1467">
        <f>[1]!EM_S_RATIO_EPS_TTM(B1467,E1467,"1")</f>
        <v>4.1359344669230767E-2</v>
      </c>
      <c r="AT1467" s="4" t="str">
        <f>[1]!EM_S_IPO_LISTEDDATE(B1467)</f>
        <v>1996-11-20</v>
      </c>
    </row>
    <row r="1468" spans="1:46">
      <c r="A1468">
        <v>2518</v>
      </c>
      <c r="B1468" t="str">
        <f>"600403"</f>
        <v>600403</v>
      </c>
      <c r="C1468" t="s">
        <v>463</v>
      </c>
      <c r="D1468" t="str">
        <f>[1]!EM_S_INFO_INDEX_EM(B1468,"1")</f>
        <v>化石能源</v>
      </c>
      <c r="E1468" s="4">
        <f t="shared" si="22"/>
        <v>43465</v>
      </c>
      <c r="F1468" s="11">
        <f>[1]!EM_S_PQ_PCTCHANGE(B1468,"2018-01-01","2019-12-31","3")</f>
        <v>-9.26355723</v>
      </c>
      <c r="G1468" s="11">
        <f>[1]!EM_S_PQ_PCTCHANGE(B1468,"2018-12-31","2019-12-30","1")</f>
        <v>15.25885559</v>
      </c>
      <c r="H1468" s="11">
        <f>[1]!EM_S_FA_YOY_OR(B1468,E1468)</f>
        <v>15.0267522972</v>
      </c>
      <c r="I1468" s="11">
        <f>[1]!EM_S_FA_GROSSPROFITMARGIN(B1468,E1468)</f>
        <v>33.580336303599999</v>
      </c>
      <c r="J1468" s="11">
        <f>[1]!EM_S_FA_NETPROFITMARGIN(B1468,E1468)</f>
        <v>7.8768723302000003</v>
      </c>
      <c r="K1468" s="10">
        <f>[1]!EM_S_FA_ASSETSTURN(B1468,E1468)</f>
        <v>0.46498799865000001</v>
      </c>
      <c r="L1468" s="12">
        <f>[1]!EM_HKS_VAL_MV(B1468,"2019-12-31","2")</f>
        <v>9802330848.2000008</v>
      </c>
      <c r="M1468">
        <f>[1]!EM_S_VAL_PETTMDEDUCTED(B1468,E1468)</f>
        <v>11.203432309762899</v>
      </c>
      <c r="N1468" s="7">
        <f>[1]!EM_S_VAL_PBGOODWILLDEDUCTED(B1468,E1468)</f>
        <v>1.0298162610063899</v>
      </c>
      <c r="O1468" s="7">
        <f>[1]!EM_S_VAL_PS_TTM(B1468,E1468)</f>
        <v>1.20249870066566</v>
      </c>
      <c r="P1468" s="7">
        <f>[1]!EM_S_VAL_PCF_NCFTTM(B1468,E1468)</f>
        <v>3.80338927143693</v>
      </c>
      <c r="Q1468" s="7">
        <f>[1]!EM_S_VAL_DIVIDENDYIELD2(B1468,E1468,"2019-11-29")</f>
        <v>1.9664268585131892</v>
      </c>
      <c r="T1468"/>
      <c r="U1468">
        <f>[1]!EM_S_RATIO_EPS_TTM(B1468,E1468,"1")</f>
        <v>0.27240833169728557</v>
      </c>
      <c r="AT1468" s="4" t="str">
        <f>[1]!EM_S_IPO_LISTEDDATE(B1468)</f>
        <v>2003-10-09</v>
      </c>
    </row>
    <row r="1469" spans="1:46">
      <c r="A1469">
        <v>309</v>
      </c>
      <c r="B1469" t="str">
        <f>"000729"</f>
        <v>000729</v>
      </c>
      <c r="C1469" t="s">
        <v>2754</v>
      </c>
      <c r="D1469" t="str">
        <f>[1]!EM_S_INFO_INDEX_EM(B1469,"1")</f>
        <v>食品饮料</v>
      </c>
      <c r="E1469" s="4">
        <f t="shared" si="22"/>
        <v>43465</v>
      </c>
      <c r="F1469" s="11">
        <f>[1]!EM_S_PQ_PCTCHANGE(B1469,"2018-01-01","2019-12-31","3")</f>
        <v>-2.66870874</v>
      </c>
      <c r="G1469" s="11">
        <f>[1]!EM_S_PQ_PCTCHANGE(B1469,"2018-12-31","2019-12-30","1")</f>
        <v>15.248226949999999</v>
      </c>
      <c r="H1469" s="11">
        <f>[1]!EM_S_FA_YOY_OR(B1469,E1469)</f>
        <v>1.3236797760000001</v>
      </c>
      <c r="I1469" s="11">
        <f>[1]!EM_S_FA_GROSSPROFITMARGIN(B1469,E1469)</f>
        <v>38.529981624000001</v>
      </c>
      <c r="J1469" s="11">
        <f>[1]!EM_S_FA_NETPROFITMARGIN(B1469,E1469)</f>
        <v>1.9750543537</v>
      </c>
      <c r="K1469" s="10">
        <f>[1]!EM_S_FA_ASSETSTURN(B1469,E1469)</f>
        <v>0.63396892767799995</v>
      </c>
      <c r="L1469" s="12">
        <f>[1]!EM_HKS_VAL_MV(B1469,"2019-12-31","2")</f>
        <v>18376876503.32</v>
      </c>
      <c r="M1469">
        <f>[1]!EM_S_VAL_PETTMDEDUCTED(B1469,E1469)</f>
        <v>243.474989841428</v>
      </c>
      <c r="N1469" s="7">
        <f>[1]!EM_S_VAL_PBGOODWILLDEDUCTED(B1469,E1469)</f>
        <v>1.2445027918387901</v>
      </c>
      <c r="O1469" s="7">
        <f>[1]!EM_S_VAL_PS_TTM(B1469,E1469)</f>
        <v>1.41481228019482</v>
      </c>
      <c r="P1469" s="7">
        <f>[1]!EM_S_VAL_PCF_NCFTTM(B1469,E1469)</f>
        <v>35.477898836211303</v>
      </c>
      <c r="Q1469" s="7">
        <f>[1]!EM_S_VAL_DIVIDENDYIELD2(B1469,E1469,"2019-11-29")</f>
        <v>0.35947712418300654</v>
      </c>
      <c r="T1469"/>
      <c r="U1469">
        <f>[1]!EM_S_RATIO_EPS_TTM(B1469,E1469,"1")</f>
        <v>6.3810044200479379E-2</v>
      </c>
      <c r="AT1469" s="4" t="str">
        <f>[1]!EM_S_IPO_LISTEDDATE(B1469)</f>
        <v>1997-07-16</v>
      </c>
    </row>
    <row r="1470" spans="1:46">
      <c r="A1470">
        <v>1267</v>
      </c>
      <c r="B1470" t="str">
        <f>"002759"</f>
        <v>002759</v>
      </c>
      <c r="C1470" t="s">
        <v>2894</v>
      </c>
      <c r="D1470" t="str">
        <f>[1]!EM_S_INFO_INDEX_EM(B1470,"1")</f>
        <v>家电</v>
      </c>
      <c r="E1470" s="4">
        <f t="shared" si="22"/>
        <v>43465</v>
      </c>
      <c r="F1470" s="11">
        <f>[1]!EM_S_PQ_PCTCHANGE(B1470,"2018-01-01","2019-12-31","3")</f>
        <v>-48.315629860000001</v>
      </c>
      <c r="G1470" s="11">
        <f>[1]!EM_S_PQ_PCTCHANGE(B1470,"2018-12-31","2019-12-30","1")</f>
        <v>15.239294709999999</v>
      </c>
      <c r="H1470" s="11">
        <f>[1]!EM_S_FA_YOY_OR(B1470,E1470)</f>
        <v>0.8514190371</v>
      </c>
      <c r="I1470" s="11">
        <f>[1]!EM_S_FA_GROSSPROFITMARGIN(B1470,E1470)</f>
        <v>26.1993316107</v>
      </c>
      <c r="J1470" s="11">
        <f>[1]!EM_S_FA_NETPROFITMARGIN(B1470,E1470)</f>
        <v>9.7371179174000009</v>
      </c>
      <c r="K1470" s="10">
        <f>[1]!EM_S_FA_ASSETSTURN(B1470,E1470)</f>
        <v>0.22255358372799999</v>
      </c>
      <c r="L1470" s="12">
        <f>[1]!EM_HKS_VAL_MV(B1470,"2019-12-31","2")</f>
        <v>3659588359.6999998</v>
      </c>
      <c r="M1470">
        <f>[1]!EM_S_VAL_PETTMDEDUCTED(B1470,E1470)</f>
        <v>-40.709332603499099</v>
      </c>
      <c r="N1470" s="7">
        <f>[1]!EM_S_VAL_PBGOODWILLDEDUCTED(B1470,E1470)</f>
        <v>2.2066312329613602</v>
      </c>
      <c r="O1470" s="7">
        <f>[1]!EM_S_VAL_PS_TTM(B1470,E1470)</f>
        <v>4.3503831118699701</v>
      </c>
      <c r="P1470" s="7">
        <f>[1]!EM_S_VAL_PCF_NCFTTM(B1470,E1470)</f>
        <v>218.425252025909</v>
      </c>
      <c r="Q1470" s="7">
        <f>[1]!EM_S_VAL_DIVIDENDYIELD2(B1470,E1470,"2019-11-29")</f>
        <v>0</v>
      </c>
      <c r="T1470"/>
      <c r="U1470">
        <f>[1]!EM_S_RATIO_EPS_TTM(B1470,E1470,"1")</f>
        <v>0.18532730379619655</v>
      </c>
      <c r="AT1470" s="4" t="str">
        <f>[1]!EM_S_IPO_LISTEDDATE(B1470)</f>
        <v>2015-05-28</v>
      </c>
    </row>
    <row r="1471" spans="1:46">
      <c r="A1471">
        <v>2520</v>
      </c>
      <c r="B1471" t="str">
        <f>"600406"</f>
        <v>600406</v>
      </c>
      <c r="C1471" t="s">
        <v>2688</v>
      </c>
      <c r="D1471" t="str">
        <f>[1]!EM_S_INFO_INDEX_EM(B1471,"1")</f>
        <v>电气设备</v>
      </c>
      <c r="E1471" s="4">
        <f t="shared" si="22"/>
        <v>43465</v>
      </c>
      <c r="F1471" s="11">
        <f>[1]!EM_S_PQ_PCTCHANGE(B1471,"2018-01-01","2019-12-31","3")</f>
        <v>21.021715360000002</v>
      </c>
      <c r="G1471" s="11">
        <f>[1]!EM_S_PQ_PCTCHANGE(B1471,"2018-12-31","2019-12-30","1")</f>
        <v>15.164597949999999</v>
      </c>
      <c r="H1471" s="11">
        <f>[1]!EM_S_FA_YOY_OR(B1471,E1471)</f>
        <v>17.9622398815</v>
      </c>
      <c r="I1471" s="11">
        <f>[1]!EM_S_FA_GROSSPROFITMARGIN(B1471,E1471)</f>
        <v>28.742496399699998</v>
      </c>
      <c r="J1471" s="11">
        <f>[1]!EM_S_FA_NETPROFITMARGIN(B1471,E1471)</f>
        <v>15.5915425328</v>
      </c>
      <c r="K1471" s="10">
        <f>[1]!EM_S_FA_ASSETSTURN(B1471,E1471)</f>
        <v>0.580574436448</v>
      </c>
      <c r="L1471" s="12">
        <f>[1]!EM_HKS_VAL_MV(B1471,"2019-12-31","2")</f>
        <v>97896398347.5</v>
      </c>
      <c r="M1471">
        <f>[1]!EM_S_VAL_PETTMDEDUCTED(B1471,E1471)</f>
        <v>36.411539403494203</v>
      </c>
      <c r="N1471" s="7">
        <f>[1]!EM_S_VAL_PBGOODWILLDEDUCTED(B1471,E1471)</f>
        <v>3.0571137260596801</v>
      </c>
      <c r="O1471" s="7">
        <f>[1]!EM_S_VAL_PS_TTM(B1471,E1471)</f>
        <v>3.0711787628162002</v>
      </c>
      <c r="P1471" s="7">
        <f>[1]!EM_S_VAL_PCF_NCFTTM(B1471,E1471)</f>
        <v>844.29717989877599</v>
      </c>
      <c r="Q1471" s="7">
        <f>[1]!EM_S_VAL_DIVIDENDYIELD2(B1471,E1471,"2019-11-29")</f>
        <v>1.6114982578397212</v>
      </c>
      <c r="T1471"/>
      <c r="U1471">
        <f>[1]!EM_S_RATIO_EPS_TTM(B1471,E1471,"1")</f>
        <v>0.90802346078095331</v>
      </c>
      <c r="AT1471" s="4" t="str">
        <f>[1]!EM_S_IPO_LISTEDDATE(B1471)</f>
        <v>2003-10-16</v>
      </c>
    </row>
    <row r="1472" spans="1:46">
      <c r="A1472">
        <v>2519</v>
      </c>
      <c r="B1472" t="str">
        <f>"600405"</f>
        <v>600405</v>
      </c>
      <c r="C1472" t="s">
        <v>3536</v>
      </c>
      <c r="D1472" t="str">
        <f>[1]!EM_S_INFO_INDEX_EM(B1472,"1")</f>
        <v>电气设备</v>
      </c>
      <c r="E1472" s="4">
        <f t="shared" si="22"/>
        <v>43465</v>
      </c>
      <c r="F1472" s="11">
        <f>[1]!EM_S_PQ_PCTCHANGE(B1472,"2018-01-01","2019-12-31","3")</f>
        <v>-27.453987730000001</v>
      </c>
      <c r="G1472" s="11">
        <f>[1]!EM_S_PQ_PCTCHANGE(B1472,"2018-12-31","2019-12-30","1")</f>
        <v>15.15892421</v>
      </c>
      <c r="H1472" s="11">
        <f>[1]!EM_S_FA_YOY_OR(B1472,E1472)</f>
        <v>-25.560695173300001</v>
      </c>
      <c r="I1472" s="11">
        <f>[1]!EM_S_FA_GROSSPROFITMARGIN(B1472,E1472)</f>
        <v>30.818520654699999</v>
      </c>
      <c r="J1472" s="11">
        <f>[1]!EM_S_FA_NETPROFITMARGIN(B1472,E1472)</f>
        <v>-30.572602925000002</v>
      </c>
      <c r="K1472" s="10">
        <f>[1]!EM_S_FA_ASSETSTURN(B1472,E1472)</f>
        <v>0.33208051344900003</v>
      </c>
      <c r="L1472" s="12">
        <f>[1]!EM_HKS_VAL_MV(B1472,"2019-12-31","2")</f>
        <v>2648530144.04</v>
      </c>
      <c r="M1472">
        <f>[1]!EM_S_VAL_PETTMDEDUCTED(B1472,E1472)</f>
        <v>-163.07647768733599</v>
      </c>
      <c r="N1472" s="7">
        <f>[1]!EM_S_VAL_PBGOODWILLDEDUCTED(B1472,E1472)</f>
        <v>2.1435454662291198</v>
      </c>
      <c r="O1472" s="7">
        <f>[1]!EM_S_VAL_PS_TTM(B1472,E1472)</f>
        <v>2.11067553602973</v>
      </c>
      <c r="P1472" s="7">
        <f>[1]!EM_S_VAL_PCF_NCFTTM(B1472,E1472)</f>
        <v>-8.7772743966979299</v>
      </c>
      <c r="Q1472" s="7">
        <f>[1]!EM_S_VAL_DIVIDENDYIELD2(B1472,E1472,"2019-11-29")</f>
        <v>0</v>
      </c>
      <c r="T1472"/>
      <c r="U1472">
        <f>[1]!EM_S_RATIO_EPS_TTM(B1472,E1472,"1")</f>
        <v>-0.49857815855986226</v>
      </c>
      <c r="AT1472" s="4" t="str">
        <f>[1]!EM_S_IPO_LISTEDDATE(B1472)</f>
        <v>2004-04-01</v>
      </c>
    </row>
    <row r="1473" spans="1:46">
      <c r="A1473">
        <v>511</v>
      </c>
      <c r="B1473" t="str">
        <f>"001979"</f>
        <v>001979</v>
      </c>
      <c r="C1473" t="s">
        <v>121</v>
      </c>
      <c r="D1473" t="str">
        <f>[1]!EM_S_INFO_INDEX_EM(B1473,"1")</f>
        <v>房地产</v>
      </c>
      <c r="E1473" s="4">
        <f t="shared" si="22"/>
        <v>43465</v>
      </c>
      <c r="F1473" s="11">
        <f>[1]!EM_S_PQ_PCTCHANGE(B1473,"2018-01-01","2019-12-31","3")</f>
        <v>8.2028682899999996</v>
      </c>
      <c r="G1473" s="11">
        <f>[1]!EM_S_PQ_PCTCHANGE(B1473,"2018-12-31","2019-12-30","1")</f>
        <v>15.15850144</v>
      </c>
      <c r="H1473" s="11">
        <f>[1]!EM_S_FA_YOY_OR(B1473,E1473)</f>
        <v>16.250001014999999</v>
      </c>
      <c r="I1473" s="11">
        <f>[1]!EM_S_FA_GROSSPROFITMARGIN(B1473,E1473)</f>
        <v>39.492493804799999</v>
      </c>
      <c r="J1473" s="11">
        <f>[1]!EM_S_FA_NETPROFITMARGIN(B1473,E1473)</f>
        <v>22.044917925899998</v>
      </c>
      <c r="K1473" s="10">
        <f>[1]!EM_S_FA_ASSETSTURN(B1473,E1473)</f>
        <v>0.233588003012</v>
      </c>
      <c r="L1473" s="12">
        <f>[1]!EM_HKS_VAL_MV(B1473,"2019-12-31","2")</f>
        <v>157252745140.03</v>
      </c>
      <c r="M1473">
        <f>[1]!EM_S_VAL_PETTMDEDUCTED(B1473,E1473)</f>
        <v>9.00561728825509</v>
      </c>
      <c r="N1473" s="7">
        <f>[1]!EM_S_VAL_PBGOODWILLDEDUCTED(B1473,E1473)</f>
        <v>1.99552275946308</v>
      </c>
      <c r="O1473" s="7">
        <f>[1]!EM_S_VAL_PS_TTM(B1473,E1473)</f>
        <v>1.6648142955766301</v>
      </c>
      <c r="P1473" s="7">
        <f>[1]!EM_S_VAL_PCF_NCFTTM(B1473,E1473)</f>
        <v>24.097498806720999</v>
      </c>
      <c r="Q1473" s="7">
        <f>[1]!EM_S_VAL_DIVIDENDYIELD2(B1473,E1473,"2019-11-29")</f>
        <v>4.3612584207620095</v>
      </c>
      <c r="U1473">
        <f>[1]!EM_S_RATIO_EPS_TTM(B1473,E1473,"1")</f>
        <v>1.9281217684328678</v>
      </c>
      <c r="AT1473" s="4" t="str">
        <f>[1]!EM_S_IPO_LISTEDDATE(B1473)</f>
        <v>2015-12-30</v>
      </c>
    </row>
    <row r="1474" spans="1:46">
      <c r="A1474">
        <v>708</v>
      </c>
      <c r="B1474" t="str">
        <f>"002197"</f>
        <v>002197</v>
      </c>
      <c r="C1474" t="s">
        <v>2992</v>
      </c>
      <c r="D1474" t="str">
        <f>[1]!EM_S_INFO_INDEX_EM(B1474,"1")</f>
        <v>信息技术</v>
      </c>
      <c r="E1474" s="4">
        <f t="shared" si="22"/>
        <v>43465</v>
      </c>
      <c r="F1474" s="11">
        <f>[1]!EM_S_PQ_PCTCHANGE(B1474,"2018-01-01","2019-12-31","3")</f>
        <v>-35.130423319999998</v>
      </c>
      <c r="G1474" s="11">
        <f>[1]!EM_S_PQ_PCTCHANGE(B1474,"2018-12-31","2019-12-30","1")</f>
        <v>15.14285714</v>
      </c>
      <c r="H1474" s="11">
        <f>[1]!EM_S_FA_YOY_OR(B1474,E1474)</f>
        <v>-20.8127945566</v>
      </c>
      <c r="I1474" s="11">
        <f>[1]!EM_S_FA_GROSSPROFITMARGIN(B1474,E1474)</f>
        <v>22.508237175000001</v>
      </c>
      <c r="J1474" s="11">
        <f>[1]!EM_S_FA_NETPROFITMARGIN(B1474,E1474)</f>
        <v>-19.092710999800001</v>
      </c>
      <c r="K1474" s="10">
        <f>[1]!EM_S_FA_ASSETSTURN(B1474,E1474)</f>
        <v>0.252670395612</v>
      </c>
      <c r="L1474" s="12">
        <f>[1]!EM_HKS_VAL_MV(B1474,"2019-12-31","2")</f>
        <v>4121255584</v>
      </c>
      <c r="M1474">
        <f>[1]!EM_S_VAL_PETTMDEDUCTED(B1474,E1474)</f>
        <v>209.325119439861</v>
      </c>
      <c r="N1474" s="7">
        <f>[1]!EM_S_VAL_PBGOODWILLDEDUCTED(B1474,E1474)</f>
        <v>1.4978640958202301</v>
      </c>
      <c r="O1474" s="7">
        <f>[1]!EM_S_VAL_PS_TTM(B1474,E1474)</f>
        <v>2.33558073032584</v>
      </c>
      <c r="P1474" s="7">
        <f>[1]!EM_S_VAL_PCF_NCFTTM(B1474,E1474)</f>
        <v>-10.7863361986758</v>
      </c>
      <c r="Q1474" s="7">
        <f>[1]!EM_S_VAL_DIVIDENDYIELD2(B1474,E1474,"2019-11-29")</f>
        <v>0</v>
      </c>
      <c r="T1474"/>
      <c r="U1474">
        <f>[1]!EM_S_RATIO_EPS_TTM(B1474,E1474,"1")</f>
        <v>-0.46820875282070346</v>
      </c>
      <c r="AT1474" s="4" t="str">
        <f>[1]!EM_S_IPO_LISTEDDATE(B1474)</f>
        <v>2007-12-18</v>
      </c>
    </row>
    <row r="1475" spans="1:46">
      <c r="A1475">
        <v>863</v>
      </c>
      <c r="B1475" t="str">
        <f>"002352"</f>
        <v>002352</v>
      </c>
      <c r="C1475" t="s">
        <v>810</v>
      </c>
      <c r="D1475" t="str">
        <f>[1]!EM_S_INFO_INDEX_EM(B1475,"1")</f>
        <v>交通运输</v>
      </c>
      <c r="E1475" s="4">
        <f t="shared" ref="E1475:E1538" si="23">$B$1</f>
        <v>43465</v>
      </c>
      <c r="F1475" s="11">
        <f>[1]!EM_S_PQ_PCTCHANGE(B1475,"2018-01-01","2019-12-31","3")</f>
        <v>-25.375485900000001</v>
      </c>
      <c r="G1475" s="11">
        <f>[1]!EM_S_PQ_PCTCHANGE(B1475,"2018-12-31","2019-12-30","1")</f>
        <v>15.114503819999999</v>
      </c>
      <c r="H1475" s="11">
        <f>[1]!EM_S_FA_YOY_OR(B1475,E1475)</f>
        <v>27.598336493600002</v>
      </c>
      <c r="I1475" s="11">
        <f>[1]!EM_S_FA_GROSSPROFITMARGIN(B1475,E1475)</f>
        <v>17.923937169799999</v>
      </c>
      <c r="J1475" s="11">
        <f>[1]!EM_S_FA_NETPROFITMARGIN(B1475,E1475)</f>
        <v>4.9088809934000004</v>
      </c>
      <c r="K1475" s="10">
        <f>[1]!EM_S_FA_ASSETSTURN(B1475,E1475)</f>
        <v>1.4069678120239999</v>
      </c>
      <c r="L1475" s="12">
        <f>[1]!EM_HKS_VAL_MV(B1475,"2019-12-31","2")</f>
        <v>164178426005.35001</v>
      </c>
      <c r="M1475">
        <f>[1]!EM_S_VAL_PETTMDEDUCTED(B1475,E1475)</f>
        <v>37.350271455524798</v>
      </c>
      <c r="N1475" s="7">
        <f>[1]!EM_S_VAL_PBGOODWILLDEDUCTED(B1475,E1475)</f>
        <v>4.0231311236060998</v>
      </c>
      <c r="O1475" s="7">
        <f>[1]!EM_S_VAL_PS_TTM(B1475,E1475)</f>
        <v>1.6703721289179601</v>
      </c>
      <c r="P1475" s="7">
        <f>[1]!EM_S_VAL_PCF_NCFTTM(B1475,E1475)</f>
        <v>-32.719127838614902</v>
      </c>
      <c r="Q1475" s="7">
        <f>[1]!EM_S_VAL_DIVIDENDYIELD2(B1475,E1475,"2019-11-29")</f>
        <v>0.55382866189097779</v>
      </c>
      <c r="T1475"/>
      <c r="U1475">
        <f>[1]!EM_S_RATIO_EPS_TTM(B1475,E1475,"1")</f>
        <v>1.0310677194621325</v>
      </c>
      <c r="AT1475" s="4" t="str">
        <f>[1]!EM_S_IPO_LISTEDDATE(B1475)</f>
        <v>2010-02-05</v>
      </c>
    </row>
    <row r="1476" spans="1:46">
      <c r="A1476">
        <v>2706</v>
      </c>
      <c r="B1476" t="str">
        <f>"600633"</f>
        <v>600633</v>
      </c>
      <c r="C1476" t="s">
        <v>2118</v>
      </c>
      <c r="D1476" t="str">
        <f>[1]!EM_S_INFO_INDEX_EM(B1476,"1")</f>
        <v>互联网</v>
      </c>
      <c r="E1476" s="4">
        <f t="shared" si="23"/>
        <v>43465</v>
      </c>
      <c r="F1476" s="11">
        <f>[1]!EM_S_PQ_PCTCHANGE(B1476,"2018-01-01","2019-12-31","3")</f>
        <v>-37.757288780000003</v>
      </c>
      <c r="G1476" s="11">
        <f>[1]!EM_S_PQ_PCTCHANGE(B1476,"2018-12-31","2019-12-30","1")</f>
        <v>15.092024540000001</v>
      </c>
      <c r="H1476" s="11">
        <f>[1]!EM_S_FA_YOY_OR(B1476,E1476)</f>
        <v>17.416235765900002</v>
      </c>
      <c r="I1476" s="11">
        <f>[1]!EM_S_FA_GROSSPROFITMARGIN(B1476,E1476)</f>
        <v>66.647803362000005</v>
      </c>
      <c r="J1476" s="11">
        <f>[1]!EM_S_FA_NETPROFITMARGIN(B1476,E1476)</f>
        <v>29.984096618999999</v>
      </c>
      <c r="K1476" s="10">
        <f>[1]!EM_S_FA_ASSETSTURN(B1476,E1476)</f>
        <v>0.19188254807999999</v>
      </c>
      <c r="L1476" s="12">
        <f>[1]!EM_HKS_VAL_MV(B1476,"2019-12-31","2")</f>
        <v>11912604169.950001</v>
      </c>
      <c r="M1476">
        <f>[1]!EM_S_VAL_PETTMDEDUCTED(B1476,E1476)</f>
        <v>55.665857993471597</v>
      </c>
      <c r="N1476" s="7">
        <f>[1]!EM_S_VAL_PBGOODWILLDEDUCTED(B1476,E1476)</f>
        <v>2.7571492950984098</v>
      </c>
      <c r="O1476" s="7">
        <f>[1]!EM_S_VAL_PS_TTM(B1476,E1476)</f>
        <v>5.9479728462269197</v>
      </c>
      <c r="P1476" s="7">
        <f>[1]!EM_S_VAL_PCF_NCFTTM(B1476,E1476)</f>
        <v>-13.1345804387754</v>
      </c>
      <c r="Q1476" s="7">
        <f>[1]!EM_S_VAL_DIVIDENDYIELD2(B1476,E1476,"2019-11-29")</f>
        <v>0.96618357487922713</v>
      </c>
      <c r="T1476"/>
      <c r="U1476">
        <f>[1]!EM_S_RATIO_EPS_TTM(B1476,E1476,"1")</f>
        <v>0.36741762042072207</v>
      </c>
      <c r="AT1476" s="4" t="str">
        <f>[1]!EM_S_IPO_LISTEDDATE(B1476)</f>
        <v>1993-03-04</v>
      </c>
    </row>
    <row r="1477" spans="1:46">
      <c r="A1477">
        <v>2534</v>
      </c>
      <c r="B1477" t="str">
        <f>"600428"</f>
        <v>600428</v>
      </c>
      <c r="C1477" t="s">
        <v>2931</v>
      </c>
      <c r="D1477" t="str">
        <f>[1]!EM_S_INFO_INDEX_EM(B1477,"1")</f>
        <v>交通运输</v>
      </c>
      <c r="E1477" s="4">
        <f t="shared" si="23"/>
        <v>43465</v>
      </c>
      <c r="F1477" s="11">
        <f>[1]!EM_S_PQ_PCTCHANGE(B1477,"2018-01-01","2019-12-31","3")</f>
        <v>-32.991453049999997</v>
      </c>
      <c r="G1477" s="11">
        <f>[1]!EM_S_PQ_PCTCHANGE(B1477,"2018-12-31","2019-12-30","1")</f>
        <v>15.07692308</v>
      </c>
      <c r="H1477" s="11">
        <f>[1]!EM_S_FA_YOY_OR(B1477,E1477)</f>
        <v>16.399976351999999</v>
      </c>
      <c r="I1477" s="11">
        <f>[1]!EM_S_FA_GROSSPROFITMARGIN(B1477,E1477)</f>
        <v>14.710743731499999</v>
      </c>
      <c r="J1477" s="11">
        <f>[1]!EM_S_FA_NETPROFITMARGIN(B1477,E1477)</f>
        <v>1.1449134668000001</v>
      </c>
      <c r="K1477" s="10">
        <f>[1]!EM_S_FA_ASSETSTURN(B1477,E1477)</f>
        <v>0.35305739829900001</v>
      </c>
      <c r="L1477" s="12">
        <f>[1]!EM_HKS_VAL_MV(B1477,"2019-12-31","2")</f>
        <v>8028473883.54</v>
      </c>
      <c r="M1477">
        <f>[1]!EM_S_VAL_PETTMDEDUCTED(B1477,E1477)</f>
        <v>46.476721518083103</v>
      </c>
      <c r="N1477" s="7">
        <f>[1]!EM_S_VAL_PBGOODWILLDEDUCTED(B1477,E1477)</f>
        <v>0.72839462242461095</v>
      </c>
      <c r="O1477" s="7">
        <f>[1]!EM_S_VAL_PS_TTM(B1477,E1477)</f>
        <v>0.98904001449569301</v>
      </c>
      <c r="P1477" s="7">
        <f>[1]!EM_S_VAL_PCF_NCFTTM(B1477,E1477)</f>
        <v>-11.8677532031893</v>
      </c>
      <c r="Q1477" s="7">
        <f>[1]!EM_S_VAL_DIVIDENDYIELD2(B1477,E1477,"2019-11-29")</f>
        <v>0</v>
      </c>
      <c r="T1477"/>
      <c r="U1477">
        <f>[1]!EM_S_RATIO_EPS_TTM(B1477,E1477,"1")</f>
        <v>4.0093413727425531E-2</v>
      </c>
      <c r="AT1477" s="4" t="str">
        <f>[1]!EM_S_IPO_LISTEDDATE(B1477)</f>
        <v>2002-04-18</v>
      </c>
    </row>
    <row r="1478" spans="1:46">
      <c r="A1478">
        <v>994</v>
      </c>
      <c r="B1478" t="str">
        <f>"002483"</f>
        <v>002483</v>
      </c>
      <c r="C1478" t="s">
        <v>2070</v>
      </c>
      <c r="D1478" t="str">
        <f>[1]!EM_S_INFO_INDEX_EM(B1478,"1")</f>
        <v>机械设备</v>
      </c>
      <c r="E1478" s="4">
        <f t="shared" si="23"/>
        <v>43465</v>
      </c>
      <c r="F1478" s="11">
        <f>[1]!EM_S_PQ_PCTCHANGE(B1478,"2018-01-01","2019-12-31","3")</f>
        <v>-20.288195160000001</v>
      </c>
      <c r="G1478" s="11">
        <f>[1]!EM_S_PQ_PCTCHANGE(B1478,"2018-12-31","2019-12-30","1")</f>
        <v>15.06849315</v>
      </c>
      <c r="H1478" s="11">
        <f>[1]!EM_S_FA_YOY_OR(B1478,E1478)</f>
        <v>6.3791141991</v>
      </c>
      <c r="I1478" s="11">
        <f>[1]!EM_S_FA_GROSSPROFITMARGIN(B1478,E1478)</f>
        <v>23.0145290665</v>
      </c>
      <c r="J1478" s="11">
        <f>[1]!EM_S_FA_NETPROFITMARGIN(B1478,E1478)</f>
        <v>4.6238905414999998</v>
      </c>
      <c r="K1478" s="10">
        <f>[1]!EM_S_FA_ASSETSTURN(B1478,E1478)</f>
        <v>0.44041947816400001</v>
      </c>
      <c r="L1478" s="12">
        <f>[1]!EM_HKS_VAL_MV(B1478,"2019-12-31","2")</f>
        <v>2851178502.4000001</v>
      </c>
      <c r="M1478">
        <f>[1]!EM_S_VAL_PETTMDEDUCTED(B1478,E1478)</f>
        <v>81.162459578108098</v>
      </c>
      <c r="N1478" s="7">
        <f>[1]!EM_S_VAL_PBGOODWILLDEDUCTED(B1478,E1478)</f>
        <v>1.0251635582398699</v>
      </c>
      <c r="O1478" s="7">
        <f>[1]!EM_S_VAL_PS_TTM(B1478,E1478)</f>
        <v>1.3836627227033</v>
      </c>
      <c r="P1478" s="7">
        <f>[1]!EM_S_VAL_PCF_NCFTTM(B1478,E1478)</f>
        <v>-13.3970300132749</v>
      </c>
      <c r="Q1478" s="7">
        <f>[1]!EM_S_VAL_DIVIDENDYIELD2(B1478,E1478,"2019-11-29")</f>
        <v>1.2345679012345678</v>
      </c>
      <c r="T1478"/>
      <c r="U1478">
        <f>[1]!EM_S_RATIO_EPS_TTM(B1478,E1478,"1")</f>
        <v>9.7371512249516595E-2</v>
      </c>
      <c r="AT1478" s="4" t="str">
        <f>[1]!EM_S_IPO_LISTEDDATE(B1478)</f>
        <v>2010-09-29</v>
      </c>
    </row>
    <row r="1479" spans="1:46">
      <c r="A1479">
        <v>3103</v>
      </c>
      <c r="B1479" t="str">
        <f>"601360"</f>
        <v>601360</v>
      </c>
      <c r="C1479" t="s">
        <v>880</v>
      </c>
      <c r="D1479" t="str">
        <f>[1]!EM_S_INFO_INDEX_EM(B1479,"1")</f>
        <v>信息技术</v>
      </c>
      <c r="E1479" s="4">
        <f t="shared" si="23"/>
        <v>43465</v>
      </c>
      <c r="F1479" s="11">
        <f>[1]!EM_S_PQ_PCTCHANGE(B1479,"2018-01-01","2019-12-31","3")</f>
        <v>-48.731736580000003</v>
      </c>
      <c r="G1479" s="11">
        <f>[1]!EM_S_PQ_PCTCHANGE(B1479,"2018-12-31","2019-12-30","1")</f>
        <v>15.02209131</v>
      </c>
      <c r="H1479" s="11">
        <f>[1]!EM_S_FA_YOY_OR(B1479,E1479)</f>
        <v>7.2817598595000002</v>
      </c>
      <c r="I1479" s="11">
        <f>[1]!EM_S_FA_GROSSPROFITMARGIN(B1479,E1479)</f>
        <v>69.551527758999995</v>
      </c>
      <c r="J1479" s="11">
        <f>[1]!EM_S_FA_NETPROFITMARGIN(B1479,E1479)</f>
        <v>26.721210474599999</v>
      </c>
      <c r="K1479" s="10">
        <f>[1]!EM_S_FA_ASSETSTURN(B1479,E1479)</f>
        <v>0.521024364415</v>
      </c>
      <c r="L1479" s="12">
        <f>[1]!EM_HKS_VAL_MV(B1479,"2019-12-31","2")</f>
        <v>159022936976.17001</v>
      </c>
      <c r="M1479">
        <f>[1]!EM_S_VAL_PETTMDEDUCTED(B1479,E1479)</f>
        <v>-1873.5486528215199</v>
      </c>
      <c r="N1479" s="7">
        <f>[1]!EM_S_VAL_PBGOODWILLDEDUCTED(B1479,E1479)</f>
        <v>6.0043467233566004</v>
      </c>
      <c r="O1479" s="7">
        <f>[1]!EM_S_VAL_PS_TTM(B1479,E1479)</f>
        <v>43.337499261853502</v>
      </c>
      <c r="P1479" s="7">
        <f>[1]!EM_S_VAL_PCF_NCFTTM(B1479,E1479)</f>
        <v>-119.46607107401201</v>
      </c>
      <c r="Q1479" s="7">
        <f>[1]!EM_S_VAL_DIVIDENDYIELD2(B1479,E1479,"2019-11-29")</f>
        <v>0.25554484088717455</v>
      </c>
      <c r="T1479"/>
      <c r="U1479">
        <f>[1]!EM_S_RATIO_EPS_TTM(B1479,E1479,"1")</f>
        <v>0.52259109553770444</v>
      </c>
      <c r="AT1479" s="4" t="str">
        <f>[1]!EM_S_IPO_LISTEDDATE(B1479)</f>
        <v>2012-01-16</v>
      </c>
    </row>
    <row r="1480" spans="1:46">
      <c r="A1480">
        <v>1720</v>
      </c>
      <c r="B1480" t="str">
        <f>"300295"</f>
        <v>300295</v>
      </c>
      <c r="C1480" t="s">
        <v>1594</v>
      </c>
      <c r="D1480" t="str">
        <f>[1]!EM_S_INFO_INDEX_EM(B1480,"1")</f>
        <v>房地产</v>
      </c>
      <c r="E1480" s="4">
        <f t="shared" si="23"/>
        <v>43465</v>
      </c>
      <c r="F1480" s="11">
        <f>[1]!EM_S_PQ_PCTCHANGE(B1480,"2018-01-01","2019-12-31","3")</f>
        <v>-27.894403969999999</v>
      </c>
      <c r="G1480" s="11">
        <f>[1]!EM_S_PQ_PCTCHANGE(B1480,"2018-12-31","2019-12-30","1")</f>
        <v>15.02145923</v>
      </c>
      <c r="H1480" s="11">
        <f>[1]!EM_S_FA_YOY_OR(B1480,E1480)</f>
        <v>9.4153042612999993</v>
      </c>
      <c r="I1480" s="11">
        <f>[1]!EM_S_FA_GROSSPROFITMARGIN(B1480,E1480)</f>
        <v>93.896901591599999</v>
      </c>
      <c r="J1480" s="11">
        <f>[1]!EM_S_FA_NETPROFITMARGIN(B1480,E1480)</f>
        <v>23.340728050999999</v>
      </c>
      <c r="K1480" s="10">
        <f>[1]!EM_S_FA_ASSETSTURN(B1480,E1480)</f>
        <v>0.28360638362200002</v>
      </c>
      <c r="L1480" s="12">
        <f>[1]!EM_HKS_VAL_MV(B1480,"2019-12-31","2")</f>
        <v>2546513076</v>
      </c>
      <c r="M1480">
        <f>[1]!EM_S_VAL_PETTMDEDUCTED(B1480,E1480)</f>
        <v>29.440989419724499</v>
      </c>
      <c r="N1480" s="7">
        <f>[1]!EM_S_VAL_PBGOODWILLDEDUCTED(B1480,E1480)</f>
        <v>1.8918373020206301</v>
      </c>
      <c r="O1480" s="7">
        <f>[1]!EM_S_VAL_PS_TTM(B1480,E1480)</f>
        <v>4.6756531841743501</v>
      </c>
      <c r="P1480" s="7">
        <f>[1]!EM_S_VAL_PCF_NCFTTM(B1480,E1480)</f>
        <v>5.2739174621718599</v>
      </c>
      <c r="Q1480" s="7">
        <f>[1]!EM_S_VAL_DIVIDENDYIELD2(B1480,E1480,"2019-11-29")</f>
        <v>0.89312321477144929</v>
      </c>
      <c r="T1480"/>
      <c r="U1480">
        <f>[1]!EM_S_RATIO_EPS_TTM(B1480,E1480,"1")</f>
        <v>0.50424991979108369</v>
      </c>
      <c r="AT1480" s="4" t="str">
        <f>[1]!EM_S_IPO_LISTEDDATE(B1480)</f>
        <v>2012-03-15</v>
      </c>
    </row>
    <row r="1481" spans="1:46">
      <c r="A1481">
        <v>2123</v>
      </c>
      <c r="B1481" t="str">
        <f>"300707"</f>
        <v>300707</v>
      </c>
      <c r="C1481" t="s">
        <v>277</v>
      </c>
      <c r="D1481" t="str">
        <f>[1]!EM_S_INFO_INDEX_EM(B1481,"1")</f>
        <v>交运设备</v>
      </c>
      <c r="E1481" s="4">
        <f t="shared" si="23"/>
        <v>43465</v>
      </c>
      <c r="F1481" s="11">
        <f>[1]!EM_S_PQ_PCTCHANGE(B1481,"2018-01-01","2019-12-31","3")</f>
        <v>-20.412863779999999</v>
      </c>
      <c r="G1481" s="11">
        <f>[1]!EM_S_PQ_PCTCHANGE(B1481,"2018-12-31","2019-12-30","1")</f>
        <v>15.0060024</v>
      </c>
      <c r="H1481" s="11">
        <f>[1]!EM_S_FA_YOY_OR(B1481,E1481)</f>
        <v>16.48948145</v>
      </c>
      <c r="I1481" s="11">
        <f>[1]!EM_S_FA_GROSSPROFITMARGIN(B1481,E1481)</f>
        <v>42.055479204800001</v>
      </c>
      <c r="J1481" s="11">
        <f>[1]!EM_S_FA_NETPROFITMARGIN(B1481,E1481)</f>
        <v>16.611550239100001</v>
      </c>
      <c r="K1481" s="10">
        <f>[1]!EM_S_FA_ASSETSTURN(B1481,E1481)</f>
        <v>0.62644221080700002</v>
      </c>
      <c r="L1481" s="12">
        <f>[1]!EM_HKS_VAL_MV(B1481,"2019-12-31","2")</f>
        <v>2892480000</v>
      </c>
      <c r="M1481">
        <f>[1]!EM_S_VAL_PETTMDEDUCTED(B1481,E1481)</f>
        <v>29.651732913551701</v>
      </c>
      <c r="N1481" s="7">
        <f>[1]!EM_S_VAL_PBGOODWILLDEDUCTED(B1481,E1481)</f>
        <v>4.1138864521809202</v>
      </c>
      <c r="O1481" s="7">
        <f>[1]!EM_S_VAL_PS_TTM(B1481,E1481)</f>
        <v>5.1571522172657804</v>
      </c>
      <c r="P1481" s="7">
        <f>[1]!EM_S_VAL_PCF_NCFTTM(B1481,E1481)</f>
        <v>-14.0437022133562</v>
      </c>
      <c r="Q1481" s="7">
        <f>[1]!EM_S_VAL_DIVIDENDYIELD2(B1481,E1481,"2019-11-29")</f>
        <v>0.89525514771709935</v>
      </c>
      <c r="T1481"/>
      <c r="U1481">
        <f>[1]!EM_S_RATIO_EPS_TTM(B1481,E1481,"1")</f>
        <v>0.52637020127226464</v>
      </c>
      <c r="AT1481" s="4" t="str">
        <f>[1]!EM_S_IPO_LISTEDDATE(B1481)</f>
        <v>2017-10-10</v>
      </c>
    </row>
    <row r="1482" spans="1:46">
      <c r="A1482">
        <v>3027</v>
      </c>
      <c r="B1482" t="str">
        <f>"601007"</f>
        <v>601007</v>
      </c>
      <c r="C1482" t="s">
        <v>2156</v>
      </c>
      <c r="D1482" t="str">
        <f>[1]!EM_S_INFO_INDEX_EM(B1482,"1")</f>
        <v>休闲、生活及专业服务</v>
      </c>
      <c r="E1482" s="4">
        <f t="shared" si="23"/>
        <v>43465</v>
      </c>
      <c r="F1482" s="11">
        <f>[1]!EM_S_PQ_PCTCHANGE(B1482,"2018-01-01","2019-12-31","3")</f>
        <v>-9.7735749900000002</v>
      </c>
      <c r="G1482" s="11">
        <f>[1]!EM_S_PQ_PCTCHANGE(B1482,"2018-12-31","2019-12-30","1")</f>
        <v>14.99380421</v>
      </c>
      <c r="H1482" s="11">
        <f>[1]!EM_S_FA_YOY_OR(B1482,E1482)</f>
        <v>10.377600403300001</v>
      </c>
      <c r="I1482" s="11">
        <f>[1]!EM_S_FA_GROSSPROFITMARGIN(B1482,E1482)</f>
        <v>59.890856951899998</v>
      </c>
      <c r="J1482" s="11">
        <f>[1]!EM_S_FA_NETPROFITMARGIN(B1482,E1482)</f>
        <v>11.203214876700001</v>
      </c>
      <c r="K1482" s="10">
        <f>[1]!EM_S_FA_ASSETSTURN(B1482,E1482)</f>
        <v>0.34254633000899998</v>
      </c>
      <c r="L1482" s="12">
        <f>[1]!EM_HKS_VAL_MV(B1482,"2019-12-31","2")</f>
        <v>2781000000</v>
      </c>
      <c r="M1482">
        <f>[1]!EM_S_VAL_PETTMDEDUCTED(B1482,E1482)</f>
        <v>33.063567508490699</v>
      </c>
      <c r="N1482" s="7">
        <f>[1]!EM_S_VAL_PBGOODWILLDEDUCTED(B1482,E1482)</f>
        <v>1.6446406914041001</v>
      </c>
      <c r="O1482" s="7">
        <f>[1]!EM_S_VAL_PS_TTM(B1482,E1482)</f>
        <v>2.3218150628093999</v>
      </c>
      <c r="P1482" s="7">
        <f>[1]!EM_S_VAL_PCF_NCFTTM(B1482,E1482)</f>
        <v>-45.670392956283898</v>
      </c>
      <c r="Q1482" s="7">
        <f>[1]!EM_S_VAL_DIVIDENDYIELD2(B1482,E1482,"2019-11-29")</f>
        <v>2.2753128555176336</v>
      </c>
      <c r="T1482"/>
      <c r="U1482">
        <f>[1]!EM_S_RATIO_EPS_TTM(B1482,E1482,"1")</f>
        <v>0.25805197670000002</v>
      </c>
      <c r="AT1482" s="4" t="str">
        <f>[1]!EM_S_IPO_LISTEDDATE(B1482)</f>
        <v>2007-04-06</v>
      </c>
    </row>
    <row r="1483" spans="1:46">
      <c r="A1483">
        <v>3357</v>
      </c>
      <c r="B1483" t="str">
        <f>"603321"</f>
        <v>603321</v>
      </c>
      <c r="C1483" t="s">
        <v>2499</v>
      </c>
      <c r="D1483" t="str">
        <f>[1]!EM_S_INFO_INDEX_EM(B1483,"1")</f>
        <v>机械设备</v>
      </c>
      <c r="E1483" s="4">
        <f t="shared" si="23"/>
        <v>43465</v>
      </c>
      <c r="F1483" s="11">
        <f>[1]!EM_S_PQ_PCTCHANGE(B1483,"2018-01-01","2019-12-31","3")</f>
        <v>-30.236388439999999</v>
      </c>
      <c r="G1483" s="11">
        <f>[1]!EM_S_PQ_PCTCHANGE(B1483,"2018-12-31","2019-12-30","1")</f>
        <v>14.97175141</v>
      </c>
      <c r="H1483" s="11">
        <f>[1]!EM_S_FA_YOY_OR(B1483,E1483)</f>
        <v>0.78129179010000005</v>
      </c>
      <c r="I1483" s="11">
        <f>[1]!EM_S_FA_GROSSPROFITMARGIN(B1483,E1483)</f>
        <v>23.422788495900001</v>
      </c>
      <c r="J1483" s="11">
        <f>[1]!EM_S_FA_NETPROFITMARGIN(B1483,E1483)</f>
        <v>6.7978173056999998</v>
      </c>
      <c r="K1483" s="10">
        <f>[1]!EM_S_FA_ASSETSTURN(B1483,E1483)</f>
        <v>0.48491765404100001</v>
      </c>
      <c r="L1483" s="12">
        <f>[1]!EM_HKS_VAL_MV(B1483,"2019-12-31","2")</f>
        <v>2529680000</v>
      </c>
      <c r="M1483">
        <f>[1]!EM_S_VAL_PETTMDEDUCTED(B1483,E1483)</f>
        <v>61.670976976797299</v>
      </c>
      <c r="N1483" s="7">
        <f>[1]!EM_S_VAL_PBGOODWILLDEDUCTED(B1483,E1483)</f>
        <v>2.1187784469902402</v>
      </c>
      <c r="O1483" s="7">
        <f>[1]!EM_S_VAL_PS_TTM(B1483,E1483)</f>
        <v>3.1709992794848199</v>
      </c>
      <c r="P1483" s="7">
        <f>[1]!EM_S_VAL_PCF_NCFTTM(B1483,E1483)</f>
        <v>-5.1420560220790703</v>
      </c>
      <c r="Q1483" s="7">
        <f>[1]!EM_S_VAL_DIVIDENDYIELD2(B1483,E1483,"2019-11-29")</f>
        <v>0.63938618925831203</v>
      </c>
      <c r="T1483"/>
      <c r="U1483">
        <f>[1]!EM_S_RATIO_EPS_TTM(B1483,E1483,"1")</f>
        <v>0.16332892700325735</v>
      </c>
      <c r="AT1483" s="4" t="str">
        <f>[1]!EM_S_IPO_LISTEDDATE(B1483)</f>
        <v>2017-09-15</v>
      </c>
    </row>
    <row r="1484" spans="1:46">
      <c r="A1484">
        <v>2810</v>
      </c>
      <c r="B1484" t="str">
        <f>"600737"</f>
        <v>600737</v>
      </c>
      <c r="C1484" t="s">
        <v>331</v>
      </c>
      <c r="D1484" t="str">
        <f>[1]!EM_S_INFO_INDEX_EM(B1484,"1")</f>
        <v>农林牧渔</v>
      </c>
      <c r="E1484" s="4">
        <f t="shared" si="23"/>
        <v>43465</v>
      </c>
      <c r="F1484" s="11">
        <f>[1]!EM_S_PQ_PCTCHANGE(B1484,"2018-01-01","2019-12-31","3")</f>
        <v>8.9034800500000006</v>
      </c>
      <c r="G1484" s="11">
        <f>[1]!EM_S_PQ_PCTCHANGE(B1484,"2018-12-31","2019-12-30","1")</f>
        <v>14.945652170000001</v>
      </c>
      <c r="H1484" s="11">
        <f>[1]!EM_S_FA_YOY_OR(B1484,E1484)</f>
        <v>-8.5728077389999999</v>
      </c>
      <c r="I1484" s="11">
        <f>[1]!EM_S_FA_GROSSPROFITMARGIN(B1484,E1484)</f>
        <v>14.5705224398</v>
      </c>
      <c r="J1484" s="11">
        <f>[1]!EM_S_FA_NETPROFITMARGIN(B1484,E1484)</f>
        <v>3.1784825207999998</v>
      </c>
      <c r="K1484" s="10">
        <f>[1]!EM_S_FA_ASSETSTURN(B1484,E1484)</f>
        <v>1.072643464689</v>
      </c>
      <c r="L1484" s="12">
        <f>[1]!EM_HKS_VAL_MV(B1484,"2019-12-31","2")</f>
        <v>18094656008.880001</v>
      </c>
      <c r="M1484">
        <f>[1]!EM_S_VAL_PETTMDEDUCTED(B1484,E1484)</f>
        <v>19.162764191586898</v>
      </c>
      <c r="N1484" s="7">
        <f>[1]!EM_S_VAL_PBGOODWILLDEDUCTED(B1484,E1484)</f>
        <v>2.16682262817895</v>
      </c>
      <c r="O1484" s="7">
        <f>[1]!EM_S_VAL_PS_TTM(B1484,E1484)</f>
        <v>0.81740291544152899</v>
      </c>
      <c r="P1484" s="7">
        <f>[1]!EM_S_VAL_PCF_NCFTTM(B1484,E1484)</f>
        <v>-26.9508946306585</v>
      </c>
      <c r="Q1484" s="7">
        <f>[1]!EM_S_VAL_DIVIDENDYIELD2(B1484,E1484,"2019-11-29")</f>
        <v>0</v>
      </c>
      <c r="T1484"/>
      <c r="U1484">
        <f>[1]!EM_S_RATIO_EPS_TTM(B1484,E1484,"1")</f>
        <v>0.24553266427524717</v>
      </c>
      <c r="AT1484" s="4" t="str">
        <f>[1]!EM_S_IPO_LISTEDDATE(B1484)</f>
        <v>1996-07-31</v>
      </c>
    </row>
    <row r="1485" spans="1:46">
      <c r="A1485">
        <v>2902</v>
      </c>
      <c r="B1485" t="str">
        <f>"600829"</f>
        <v>600829</v>
      </c>
      <c r="C1485" t="s">
        <v>424</v>
      </c>
      <c r="D1485" t="str">
        <f>[1]!EM_S_INFO_INDEX_EM(B1485,"1")</f>
        <v>医药生物</v>
      </c>
      <c r="E1485" s="4">
        <f t="shared" si="23"/>
        <v>43465</v>
      </c>
      <c r="F1485" s="11">
        <f>[1]!EM_S_PQ_PCTCHANGE(B1485,"2018-01-01","2019-12-31","3")</f>
        <v>-41.684635800000002</v>
      </c>
      <c r="G1485" s="11">
        <f>[1]!EM_S_PQ_PCTCHANGE(B1485,"2018-12-31","2019-12-30","1")</f>
        <v>14.922813039999999</v>
      </c>
      <c r="H1485" s="11">
        <f>[1]!EM_S_FA_YOY_OR(B1485,E1485)</f>
        <v>-11.9075320713</v>
      </c>
      <c r="I1485" s="11">
        <f>[1]!EM_S_FA_GROSSPROFITMARGIN(B1485,E1485)</f>
        <v>12.8151087257</v>
      </c>
      <c r="J1485" s="11">
        <f>[1]!EM_S_FA_NETPROFITMARGIN(B1485,E1485)</f>
        <v>3.6548080404999999</v>
      </c>
      <c r="K1485" s="10">
        <f>[1]!EM_S_FA_ASSETSTURN(B1485,E1485)</f>
        <v>1.5248347354409999</v>
      </c>
      <c r="L1485" s="12">
        <f>[1]!EM_HKS_VAL_MV(B1485,"2019-12-31","2")</f>
        <v>3954840231.54</v>
      </c>
      <c r="M1485">
        <f>[1]!EM_S_VAL_PETTMDEDUCTED(B1485,E1485)</f>
        <v>14.001165054003501</v>
      </c>
      <c r="N1485" s="7">
        <f>[1]!EM_S_VAL_PBGOODWILLDEDUCTED(B1485,E1485)</f>
        <v>2.13979220667296</v>
      </c>
      <c r="O1485" s="7">
        <f>[1]!EM_S_VAL_PS_TTM(B1485,E1485)</f>
        <v>0.47505254278787401</v>
      </c>
      <c r="P1485" s="7">
        <f>[1]!EM_S_VAL_PCF_NCFTTM(B1485,E1485)</f>
        <v>861.92418081637402</v>
      </c>
      <c r="Q1485" s="7">
        <f>[1]!EM_S_VAL_DIVIDENDYIELD2(B1485,E1485,"2019-11-29")</f>
        <v>0</v>
      </c>
      <c r="T1485"/>
      <c r="U1485">
        <f>[1]!EM_S_RATIO_EPS_TTM(B1485,E1485,"1")</f>
        <v>0.44467064483421809</v>
      </c>
      <c r="AT1485" s="4" t="str">
        <f>[1]!EM_S_IPO_LISTEDDATE(B1485)</f>
        <v>1994-02-24</v>
      </c>
    </row>
    <row r="1486" spans="1:46">
      <c r="A1486">
        <v>3085</v>
      </c>
      <c r="B1486" t="str">
        <f>"601226"</f>
        <v>601226</v>
      </c>
      <c r="C1486" t="s">
        <v>3377</v>
      </c>
      <c r="D1486" t="str">
        <f>[1]!EM_S_INFO_INDEX_EM(B1486,"1")</f>
        <v>建筑</v>
      </c>
      <c r="E1486" s="4">
        <f t="shared" si="23"/>
        <v>43465</v>
      </c>
      <c r="F1486" s="11">
        <f>[1]!EM_S_PQ_PCTCHANGE(B1486,"2018-01-01","2019-12-31","3")</f>
        <v>-21.830243979999999</v>
      </c>
      <c r="G1486" s="11">
        <f>[1]!EM_S_PQ_PCTCHANGE(B1486,"2018-12-31","2019-12-30","1")</f>
        <v>14.90514905</v>
      </c>
      <c r="H1486" s="11">
        <f>[1]!EM_S_FA_YOY_OR(B1486,E1486)</f>
        <v>21.0479504252</v>
      </c>
      <c r="I1486" s="11">
        <f>[1]!EM_S_FA_GROSSPROFITMARGIN(B1486,E1486)</f>
        <v>10.342770678400001</v>
      </c>
      <c r="J1486" s="11">
        <f>[1]!EM_S_FA_NETPROFITMARGIN(B1486,E1486)</f>
        <v>1.0000783455</v>
      </c>
      <c r="K1486" s="10">
        <f>[1]!EM_S_FA_ASSETSTURN(B1486,E1486)</f>
        <v>0.73248216163099999</v>
      </c>
      <c r="L1486" s="12">
        <f>[1]!EM_HKS_VAL_MV(B1486,"2019-12-31","2")</f>
        <v>4897200000</v>
      </c>
      <c r="M1486">
        <f>[1]!EM_S_VAL_PETTMDEDUCTED(B1486,E1486)</f>
        <v>74.500027634817698</v>
      </c>
      <c r="N1486" s="7">
        <f>[1]!EM_S_VAL_PBGOODWILLDEDUCTED(B1486,E1486)</f>
        <v>1.19676308778051</v>
      </c>
      <c r="O1486" s="7">
        <f>[1]!EM_S_VAL_PS_TTM(B1486,E1486)</f>
        <v>0.74325706044469897</v>
      </c>
      <c r="P1486" s="7">
        <f>[1]!EM_S_VAL_PCF_NCFTTM(B1486,E1486)</f>
        <v>-42.6452387513391</v>
      </c>
      <c r="Q1486" s="7">
        <f>[1]!EM_S_VAL_DIVIDENDYIELD2(B1486,E1486,"2019-11-29")</f>
        <v>0.37593984962406013</v>
      </c>
      <c r="T1486"/>
      <c r="U1486">
        <f>[1]!EM_S_RATIO_EPS_TTM(B1486,E1486,"1")</f>
        <v>4.9387634363636364E-2</v>
      </c>
      <c r="AT1486" s="4" t="str">
        <f>[1]!EM_S_IPO_LISTEDDATE(B1486)</f>
        <v>2014-12-11</v>
      </c>
    </row>
    <row r="1487" spans="1:46">
      <c r="A1487">
        <v>447</v>
      </c>
      <c r="B1487" t="str">
        <f>"000922"</f>
        <v>000922</v>
      </c>
      <c r="C1487" t="s">
        <v>1124</v>
      </c>
      <c r="D1487" t="str">
        <f>[1]!EM_S_INFO_INDEX_EM(B1487,"1")</f>
        <v>电气设备</v>
      </c>
      <c r="E1487" s="4">
        <f t="shared" si="23"/>
        <v>43465</v>
      </c>
      <c r="F1487" s="11">
        <f>[1]!EM_S_PQ_PCTCHANGE(B1487,"2018-01-01","2019-12-31","3")</f>
        <v>-9.8360655700000006</v>
      </c>
      <c r="G1487" s="11">
        <f>[1]!EM_S_PQ_PCTCHANGE(B1487,"2018-12-31","2019-12-30","1")</f>
        <v>14.903129659999999</v>
      </c>
      <c r="H1487" s="11">
        <f>[1]!EM_S_FA_YOY_OR(B1487,E1487)</f>
        <v>22.660077174400001</v>
      </c>
      <c r="I1487" s="11">
        <f>[1]!EM_S_FA_GROSSPROFITMARGIN(B1487,E1487)</f>
        <v>38.034159929099999</v>
      </c>
      <c r="J1487" s="11">
        <f>[1]!EM_S_FA_NETPROFITMARGIN(B1487,E1487)</f>
        <v>14.306141888399999</v>
      </c>
      <c r="K1487" s="10">
        <f>[1]!EM_S_FA_ASSETSTURN(B1487,E1487)</f>
        <v>0.65132301586499997</v>
      </c>
      <c r="L1487" s="12">
        <f>[1]!EM_HKS_VAL_MV(B1487,"2019-12-31","2")</f>
        <v>3772179010.5999999</v>
      </c>
      <c r="M1487">
        <f>[1]!EM_S_VAL_PETTMDEDUCTED(B1487,E1487)</f>
        <v>11.894704518469901</v>
      </c>
      <c r="N1487" s="7">
        <f>[1]!EM_S_VAL_PBGOODWILLDEDUCTED(B1487,E1487)</f>
        <v>1.7935619133901199</v>
      </c>
      <c r="O1487" s="7">
        <f>[1]!EM_S_VAL_PS_TTM(B1487,E1487)</f>
        <v>1.7003642231504501</v>
      </c>
      <c r="P1487" s="7">
        <f>[1]!EM_S_VAL_PCF_NCFTTM(B1487,E1487)</f>
        <v>27.0875542541458</v>
      </c>
      <c r="Q1487" s="7">
        <f>[1]!EM_S_VAL_DIVIDENDYIELD2(B1487,E1487,"2019-11-29")</f>
        <v>0</v>
      </c>
      <c r="T1487"/>
      <c r="U1487">
        <f>[1]!EM_S_RATIO_EPS_TTM(B1487,E1487,"1")</f>
        <v>0.56887698739214221</v>
      </c>
      <c r="AT1487" s="4" t="str">
        <f>[1]!EM_S_IPO_LISTEDDATE(B1487)</f>
        <v>1999-06-18</v>
      </c>
    </row>
    <row r="1488" spans="1:46">
      <c r="A1488">
        <v>2678</v>
      </c>
      <c r="B1488" t="str">
        <f>"600605"</f>
        <v>600605</v>
      </c>
      <c r="C1488" t="s">
        <v>1738</v>
      </c>
      <c r="D1488" t="str">
        <f>[1]!EM_S_INFO_INDEX_EM(B1488,"1")</f>
        <v>商贸零售</v>
      </c>
      <c r="E1488" s="4">
        <f t="shared" si="23"/>
        <v>43465</v>
      </c>
      <c r="F1488" s="11">
        <f>[1]!EM_S_PQ_PCTCHANGE(B1488,"2018-01-01","2019-12-31","3")</f>
        <v>-17.27650083</v>
      </c>
      <c r="G1488" s="11">
        <f>[1]!EM_S_PQ_PCTCHANGE(B1488,"2018-12-31","2019-12-30","1")</f>
        <v>14.90236382</v>
      </c>
      <c r="H1488" s="11">
        <f>[1]!EM_S_FA_YOY_OR(B1488,E1488)</f>
        <v>-18.749242710099999</v>
      </c>
      <c r="I1488" s="11">
        <f>[1]!EM_S_FA_GROSSPROFITMARGIN(B1488,E1488)</f>
        <v>4.4885565560999998</v>
      </c>
      <c r="J1488" s="11">
        <f>[1]!EM_S_FA_NETPROFITMARGIN(B1488,E1488)</f>
        <v>0.88495551569999997</v>
      </c>
      <c r="K1488" s="10">
        <f>[1]!EM_S_FA_ASSETSTURN(B1488,E1488)</f>
        <v>1.6529924475840001</v>
      </c>
      <c r="L1488" s="12">
        <f>[1]!EM_HKS_VAL_MV(B1488,"2019-12-31","2")</f>
        <v>1639945308.96</v>
      </c>
      <c r="M1488">
        <f>[1]!EM_S_VAL_PETTMDEDUCTED(B1488,E1488)</f>
        <v>45.128126551190697</v>
      </c>
      <c r="N1488" s="7">
        <f>[1]!EM_S_VAL_PBGOODWILLDEDUCTED(B1488,E1488)</f>
        <v>2.0639723372726499</v>
      </c>
      <c r="O1488" s="7">
        <f>[1]!EM_S_VAL_PS_TTM(B1488,E1488)</f>
        <v>0.60894096685903798</v>
      </c>
      <c r="P1488" s="7">
        <f>[1]!EM_S_VAL_PCF_NCFTTM(B1488,E1488)</f>
        <v>-25.4833150598818</v>
      </c>
      <c r="Q1488" s="7">
        <f>[1]!EM_S_VAL_DIVIDENDYIELD2(B1488,E1488,"2019-11-29")</f>
        <v>0.36697247706422015</v>
      </c>
      <c r="T1488"/>
      <c r="U1488">
        <f>[1]!EM_S_RATIO_EPS_TTM(B1488,E1488,"1")</f>
        <v>0.12070505906317891</v>
      </c>
      <c r="AT1488" s="4" t="str">
        <f>[1]!EM_S_IPO_LISTEDDATE(B1488)</f>
        <v>1992-03-27</v>
      </c>
    </row>
    <row r="1489" spans="1:46">
      <c r="A1489">
        <v>225</v>
      </c>
      <c r="B1489" t="str">
        <f>"000623"</f>
        <v>000623</v>
      </c>
      <c r="C1489" t="s">
        <v>1688</v>
      </c>
      <c r="D1489" t="str">
        <f>[1]!EM_S_INFO_INDEX_EM(B1489,"1")</f>
        <v>医药生物</v>
      </c>
      <c r="E1489" s="4">
        <f t="shared" si="23"/>
        <v>43465</v>
      </c>
      <c r="F1489" s="11">
        <f>[1]!EM_S_PQ_PCTCHANGE(B1489,"2018-01-01","2019-12-31","3")</f>
        <v>-24.316214680000002</v>
      </c>
      <c r="G1489" s="11">
        <f>[1]!EM_S_PQ_PCTCHANGE(B1489,"2018-12-31","2019-12-30","1")</f>
        <v>14.8995149</v>
      </c>
      <c r="H1489" s="11">
        <f>[1]!EM_S_FA_YOY_OR(B1489,E1489)</f>
        <v>11.667224186</v>
      </c>
      <c r="I1489" s="11">
        <f>[1]!EM_S_FA_GROSSPROFITMARGIN(B1489,E1489)</f>
        <v>72.001277145900005</v>
      </c>
      <c r="J1489" s="11">
        <f>[1]!EM_S_FA_NETPROFITMARGIN(B1489,E1489)</f>
        <v>27.816918297899999</v>
      </c>
      <c r="K1489" s="10">
        <f>[1]!EM_S_FA_ASSETSTURN(B1489,E1489)</f>
        <v>0.14293074389800001</v>
      </c>
      <c r="L1489" s="12">
        <f>[1]!EM_HKS_VAL_MV(B1489,"2019-12-31","2")</f>
        <v>19224934531.259998</v>
      </c>
      <c r="M1489">
        <f>[1]!EM_S_VAL_PETTMDEDUCTED(B1489,E1489)</f>
        <v>12.825889443948199</v>
      </c>
      <c r="N1489" s="7">
        <f>[1]!EM_S_VAL_PBGOODWILLDEDUCTED(B1489,E1489)</f>
        <v>0.82174138040108102</v>
      </c>
      <c r="O1489" s="7">
        <f>[1]!EM_S_VAL_PS_TTM(B1489,E1489)</f>
        <v>4.9550898156077903</v>
      </c>
      <c r="P1489" s="7">
        <f>[1]!EM_S_VAL_PCF_NCFTTM(B1489,E1489)</f>
        <v>27.3290326442511</v>
      </c>
      <c r="Q1489" s="7">
        <f>[1]!EM_S_VAL_DIVIDENDYIELD2(B1489,E1489,"2019-11-29")</f>
        <v>1.2944969471721766</v>
      </c>
      <c r="T1489"/>
      <c r="U1489">
        <f>[1]!EM_S_RATIO_EPS_TTM(B1489,E1489,"1")</f>
        <v>0.80427024557317517</v>
      </c>
      <c r="AT1489" s="4" t="str">
        <f>[1]!EM_S_IPO_LISTEDDATE(B1489)</f>
        <v>1996-10-28</v>
      </c>
    </row>
    <row r="1490" spans="1:46">
      <c r="A1490">
        <v>2134</v>
      </c>
      <c r="B1490" t="str">
        <f>"300719"</f>
        <v>300719</v>
      </c>
      <c r="C1490" t="s">
        <v>3383</v>
      </c>
      <c r="D1490" t="str">
        <f>[1]!EM_S_INFO_INDEX_EM(B1490,"1")</f>
        <v>国防与装备</v>
      </c>
      <c r="E1490" s="4">
        <f t="shared" si="23"/>
        <v>43465</v>
      </c>
      <c r="F1490" s="11">
        <f>[1]!EM_S_PQ_PCTCHANGE(B1490,"2018-01-01","2019-12-31","3")</f>
        <v>-30.563693019999999</v>
      </c>
      <c r="G1490" s="11">
        <f>[1]!EM_S_PQ_PCTCHANGE(B1490,"2018-12-31","2019-12-30","1")</f>
        <v>14.88326848</v>
      </c>
      <c r="H1490" s="11">
        <f>[1]!EM_S_FA_YOY_OR(B1490,E1490)</f>
        <v>13.541935495700001</v>
      </c>
      <c r="I1490" s="11">
        <f>[1]!EM_S_FA_GROSSPROFITMARGIN(B1490,E1490)</f>
        <v>50.221091428400001</v>
      </c>
      <c r="J1490" s="11">
        <f>[1]!EM_S_FA_NETPROFITMARGIN(B1490,E1490)</f>
        <v>11.102017162099999</v>
      </c>
      <c r="K1490" s="10">
        <f>[1]!EM_S_FA_ASSETSTURN(B1490,E1490)</f>
        <v>0.438690035338</v>
      </c>
      <c r="L1490" s="12">
        <f>[1]!EM_HKS_VAL_MV(B1490,"2019-12-31","2")</f>
        <v>2980173320</v>
      </c>
      <c r="M1490">
        <f>[1]!EM_S_VAL_PETTMDEDUCTED(B1490,E1490)</f>
        <v>46.699530631706601</v>
      </c>
      <c r="N1490" s="7">
        <f>[1]!EM_S_VAL_PBGOODWILLDEDUCTED(B1490,E1490)</f>
        <v>2.7520232101664699</v>
      </c>
      <c r="O1490" s="7">
        <f>[1]!EM_S_VAL_PS_TTM(B1490,E1490)</f>
        <v>5.8268596912140804</v>
      </c>
      <c r="P1490" s="7">
        <f>[1]!EM_S_VAL_PCF_NCFTTM(B1490,E1490)</f>
        <v>32.823651028285902</v>
      </c>
      <c r="Q1490" s="7">
        <f>[1]!EM_S_VAL_DIVIDENDYIELD2(B1490,E1490,"2019-11-29")</f>
        <v>1.801536907153797</v>
      </c>
      <c r="T1490"/>
      <c r="U1490">
        <f>[1]!EM_S_RATIO_EPS_TTM(B1490,E1490,"1")</f>
        <v>0.21884992229426334</v>
      </c>
      <c r="AT1490" s="4" t="str">
        <f>[1]!EM_S_IPO_LISTEDDATE(B1490)</f>
        <v>2017-11-09</v>
      </c>
    </row>
    <row r="1491" spans="1:46">
      <c r="A1491">
        <v>886</v>
      </c>
      <c r="B1491" t="str">
        <f>"002375"</f>
        <v>002375</v>
      </c>
      <c r="C1491" t="s">
        <v>2140</v>
      </c>
      <c r="D1491" t="str">
        <f>[1]!EM_S_INFO_INDEX_EM(B1491,"1")</f>
        <v>建筑</v>
      </c>
      <c r="E1491" s="4">
        <f t="shared" si="23"/>
        <v>43465</v>
      </c>
      <c r="F1491" s="11">
        <f>[1]!EM_S_PQ_PCTCHANGE(B1491,"2018-01-01","2019-12-31","3")</f>
        <v>-21.687180850000001</v>
      </c>
      <c r="G1491" s="11">
        <f>[1]!EM_S_PQ_PCTCHANGE(B1491,"2018-12-31","2019-12-30","1")</f>
        <v>14.88095238</v>
      </c>
      <c r="H1491" s="11">
        <f>[1]!EM_S_FA_YOY_OR(B1491,E1491)</f>
        <v>1.4409415457000001</v>
      </c>
      <c r="I1491" s="11">
        <f>[1]!EM_S_FA_GROSSPROFITMARGIN(B1491,E1491)</f>
        <v>13.5332302221</v>
      </c>
      <c r="J1491" s="11">
        <f>[1]!EM_S_FA_NETPROFITMARGIN(B1491,E1491)</f>
        <v>4.0586860195999996</v>
      </c>
      <c r="K1491" s="10">
        <f>[1]!EM_S_FA_ASSETSTURN(B1491,E1491)</f>
        <v>0.450381697415</v>
      </c>
      <c r="L1491" s="12">
        <f>[1]!EM_HKS_VAL_MV(B1491,"2019-12-31","2")</f>
        <v>7771979688.3999996</v>
      </c>
      <c r="M1491">
        <f>[1]!EM_S_VAL_PETTMDEDUCTED(B1491,E1491)</f>
        <v>25.450746813603999</v>
      </c>
      <c r="N1491" s="7">
        <f>[1]!EM_S_VAL_PBGOODWILLDEDUCTED(B1491,E1491)</f>
        <v>0.89409054574921698</v>
      </c>
      <c r="O1491" s="7">
        <f>[1]!EM_S_VAL_PS_TTM(B1491,E1491)</f>
        <v>0.72266986560524304</v>
      </c>
      <c r="P1491" s="7">
        <f>[1]!EM_S_VAL_PCF_NCFTTM(B1491,E1491)</f>
        <v>-80.025135005069799</v>
      </c>
      <c r="Q1491" s="7">
        <f>[1]!EM_S_VAL_DIVIDENDYIELD2(B1491,E1491,"2019-11-29")</f>
        <v>0.75134168157423964</v>
      </c>
      <c r="T1491"/>
      <c r="U1491">
        <f>[1]!EM_S_RATIO_EPS_TTM(B1491,E1491,"1")</f>
        <v>0.27525451959800568</v>
      </c>
      <c r="AT1491" s="4" t="str">
        <f>[1]!EM_S_IPO_LISTEDDATE(B1491)</f>
        <v>2010-03-23</v>
      </c>
    </row>
    <row r="1492" spans="1:46">
      <c r="A1492">
        <v>130</v>
      </c>
      <c r="B1492" t="str">
        <f>"000521"</f>
        <v>000521</v>
      </c>
      <c r="C1492" t="s">
        <v>2132</v>
      </c>
      <c r="D1492" t="str">
        <f>[1]!EM_S_INFO_INDEX_EM(B1492,"1")</f>
        <v>家电</v>
      </c>
      <c r="E1492" s="4">
        <f t="shared" si="23"/>
        <v>43465</v>
      </c>
      <c r="F1492" s="11">
        <f>[1]!EM_S_PQ_PCTCHANGE(B1492,"2018-01-01","2019-12-31","3")</f>
        <v>-30.134410899999999</v>
      </c>
      <c r="G1492" s="11">
        <f>[1]!EM_S_PQ_PCTCHANGE(B1492,"2018-12-31","2019-12-30","1")</f>
        <v>14.864864860000001</v>
      </c>
      <c r="H1492" s="11">
        <f>[1]!EM_S_FA_YOY_OR(B1492,E1492)</f>
        <v>4.1240708487999997</v>
      </c>
      <c r="I1492" s="11">
        <f>[1]!EM_S_FA_GROSSPROFITMARGIN(B1492,E1492)</f>
        <v>18.660607678000002</v>
      </c>
      <c r="J1492" s="11">
        <f>[1]!EM_S_FA_NETPROFITMARGIN(B1492,E1492)</f>
        <v>0.19940214689999999</v>
      </c>
      <c r="K1492" s="10">
        <f>[1]!EM_S_FA_ASSETSTURN(B1492,E1492)</f>
        <v>1.1096657177210001</v>
      </c>
      <c r="L1492" s="12">
        <f>[1]!EM_HKS_VAL_MV(B1492,"2019-12-31","2")</f>
        <v>3582970731.8299999</v>
      </c>
      <c r="M1492">
        <f>[1]!EM_S_VAL_PETTMDEDUCTED(B1492,E1492)</f>
        <v>-16.1029353706889</v>
      </c>
      <c r="N1492" s="7">
        <f>[1]!EM_S_VAL_PBGOODWILLDEDUCTED(B1492,E1492)</f>
        <v>0.61646249455370306</v>
      </c>
      <c r="O1492" s="7">
        <f>[1]!EM_S_VAL_PS_TTM(B1492,E1492)</f>
        <v>0.18331800350786601</v>
      </c>
      <c r="P1492" s="7">
        <f>[1]!EM_S_VAL_PCF_NCFTTM(B1492,E1492)</f>
        <v>-6.4334529634621704</v>
      </c>
      <c r="Q1492" s="7">
        <f>[1]!EM_S_VAL_DIVIDENDYIELD2(B1492,E1492,"2019-11-29")</f>
        <v>1.8404907975460123</v>
      </c>
      <c r="T1492"/>
      <c r="U1492">
        <f>[1]!EM_S_RATIO_EPS_TTM(B1492,E1492,"1")</f>
        <v>3.700778804279424E-2</v>
      </c>
      <c r="AT1492" s="4" t="str">
        <f>[1]!EM_S_IPO_LISTEDDATE(B1492)</f>
        <v>1993-10-18</v>
      </c>
    </row>
    <row r="1493" spans="1:46">
      <c r="A1493">
        <v>278</v>
      </c>
      <c r="B1493" t="str">
        <f>"000692"</f>
        <v>000692</v>
      </c>
      <c r="C1493" t="s">
        <v>3615</v>
      </c>
      <c r="D1493" t="str">
        <f>[1]!EM_S_INFO_INDEX_EM(B1493,"1")</f>
        <v>公用事业</v>
      </c>
      <c r="E1493" s="4">
        <f t="shared" si="23"/>
        <v>43465</v>
      </c>
      <c r="F1493" s="11">
        <f>[1]!EM_S_PQ_PCTCHANGE(B1493,"2018-01-01","2019-12-31","3")</f>
        <v>-44.423440450000001</v>
      </c>
      <c r="G1493" s="11">
        <f>[1]!EM_S_PQ_PCTCHANGE(B1493,"2018-12-31","2019-12-30","1")</f>
        <v>14.84375</v>
      </c>
      <c r="H1493" s="11">
        <f>[1]!EM_S_FA_YOY_OR(B1493,E1493)</f>
        <v>8.0526522313999997</v>
      </c>
      <c r="I1493" s="11">
        <f>[1]!EM_S_FA_GROSSPROFITMARGIN(B1493,E1493)</f>
        <v>3.7621341126000001</v>
      </c>
      <c r="J1493" s="11">
        <f>[1]!EM_S_FA_NETPROFITMARGIN(B1493,E1493)</f>
        <v>1.2032943652000001</v>
      </c>
      <c r="K1493" s="10">
        <f>[1]!EM_S_FA_ASSETSTURN(B1493,E1493)</f>
        <v>0.32519294368500001</v>
      </c>
      <c r="L1493" s="12">
        <f>[1]!EM_HKS_VAL_MV(B1493,"2019-12-31","2")</f>
        <v>1566528949.4400001</v>
      </c>
      <c r="M1493">
        <f>[1]!EM_S_VAL_PETTMDEDUCTED(B1493,E1493)</f>
        <v>-3.7026386048668001</v>
      </c>
      <c r="N1493" s="7">
        <f>[1]!EM_S_VAL_PBGOODWILLDEDUCTED(B1493,E1493)</f>
        <v>0.96821639887637601</v>
      </c>
      <c r="O1493" s="7">
        <f>[1]!EM_S_VAL_PS_TTM(B1493,E1493)</f>
        <v>0.75217521942018795</v>
      </c>
      <c r="P1493" s="7">
        <f>[1]!EM_S_VAL_PCF_NCFTTM(B1493,E1493)</f>
        <v>21.440340528431999</v>
      </c>
      <c r="Q1493" s="7">
        <f>[1]!EM_S_VAL_DIVIDENDYIELD2(B1493,E1493,"2019-11-29")</f>
        <v>0</v>
      </c>
      <c r="T1493"/>
      <c r="U1493">
        <f>[1]!EM_S_RATIO_EPS_TTM(B1493,E1493,"1")</f>
        <v>1.121944254441189E-2</v>
      </c>
      <c r="AT1493" s="4" t="str">
        <f>[1]!EM_S_IPO_LISTEDDATE(B1493)</f>
        <v>1997-02-27</v>
      </c>
    </row>
    <row r="1494" spans="1:46">
      <c r="A1494">
        <v>2230</v>
      </c>
      <c r="B1494" t="str">
        <f>"600083"</f>
        <v>600083</v>
      </c>
      <c r="C1494" t="s">
        <v>108</v>
      </c>
      <c r="D1494" t="str">
        <f>[1]!EM_S_INFO_INDEX_EM(B1494,"1")</f>
        <v>建筑</v>
      </c>
      <c r="E1494" s="4">
        <f t="shared" si="23"/>
        <v>43465</v>
      </c>
      <c r="F1494" s="11">
        <f>[1]!EM_S_PQ_PCTCHANGE(B1494,"2018-01-01","2019-12-31","3")</f>
        <v>5.08140109</v>
      </c>
      <c r="G1494" s="11">
        <f>[1]!EM_S_PQ_PCTCHANGE(B1494,"2018-12-31","2019-12-30","1")</f>
        <v>14.777777779999999</v>
      </c>
      <c r="H1494" s="11">
        <f>[1]!EM_S_FA_YOY_OR(B1494,E1494)</f>
        <v>1685.0049348903999</v>
      </c>
      <c r="I1494" s="11">
        <f>[1]!EM_S_FA_GROSSPROFITMARGIN(B1494,E1494)</f>
        <v>3.9009356608000001</v>
      </c>
      <c r="J1494" s="11">
        <f>[1]!EM_S_FA_NETPROFITMARGIN(B1494,E1494)</f>
        <v>-3.3487819815000002</v>
      </c>
      <c r="K1494" s="10">
        <f>[1]!EM_S_FA_ASSETSTURN(B1494,E1494)</f>
        <v>4.9559285876230001</v>
      </c>
      <c r="L1494" s="12">
        <f>[1]!EM_HKS_VAL_MV(B1494,"2019-12-31","2")</f>
        <v>4899000000</v>
      </c>
      <c r="M1494">
        <f>[1]!EM_S_VAL_PETTMDEDUCTED(B1494,E1494)</f>
        <v>485.74727046816997</v>
      </c>
      <c r="N1494" s="7">
        <f>[1]!EM_S_VAL_PBGOODWILLDEDUCTED(B1494,E1494)</f>
        <v>348.62833017170402</v>
      </c>
      <c r="O1494" s="7">
        <f>[1]!EM_S_VAL_PS_TTM(B1494,E1494)</f>
        <v>3.02920545801449</v>
      </c>
      <c r="P1494" s="7">
        <f>[1]!EM_S_VAL_PCF_NCFTTM(B1494,E1494)</f>
        <v>330.94222460044398</v>
      </c>
      <c r="Q1494" s="7">
        <f>[1]!EM_S_VAL_DIVIDENDYIELD2(B1494,E1494,"2019-11-29")</f>
        <v>0</v>
      </c>
      <c r="T1494"/>
      <c r="U1494">
        <f>[1]!EM_S_RATIO_EPS_TTM(B1494,E1494,"1")</f>
        <v>-0.22803055591304347</v>
      </c>
      <c r="AT1494" s="4" t="str">
        <f>[1]!EM_S_IPO_LISTEDDATE(B1494)</f>
        <v>1997-06-06</v>
      </c>
    </row>
    <row r="1495" spans="1:46">
      <c r="A1495">
        <v>2377</v>
      </c>
      <c r="B1495" t="str">
        <f>"600243"</f>
        <v>600243</v>
      </c>
      <c r="C1495" t="s">
        <v>3480</v>
      </c>
      <c r="D1495" t="str">
        <f>[1]!EM_S_INFO_INDEX_EM(B1495,"1")</f>
        <v>机械设备</v>
      </c>
      <c r="E1495" s="4">
        <f t="shared" si="23"/>
        <v>43465</v>
      </c>
      <c r="F1495" s="11">
        <f>[1]!EM_S_PQ_PCTCHANGE(B1495,"2018-01-01","2019-12-31","3")</f>
        <v>-35.603010279999999</v>
      </c>
      <c r="G1495" s="11">
        <f>[1]!EM_S_PQ_PCTCHANGE(B1495,"2018-12-31","2019-12-30","1")</f>
        <v>14.728682170000001</v>
      </c>
      <c r="H1495" s="11">
        <f>[1]!EM_S_FA_YOY_OR(B1495,E1495)</f>
        <v>-16.840508867200001</v>
      </c>
      <c r="I1495" s="11">
        <f>[1]!EM_S_FA_GROSSPROFITMARGIN(B1495,E1495)</f>
        <v>4.1951033581999999</v>
      </c>
      <c r="J1495" s="11">
        <f>[1]!EM_S_FA_NETPROFITMARGIN(B1495,E1495)</f>
        <v>-31.5113096756</v>
      </c>
      <c r="K1495" s="10">
        <f>[1]!EM_S_FA_ASSETSTURN(B1495,E1495)</f>
        <v>0.28282979539800002</v>
      </c>
      <c r="L1495" s="12">
        <f>[1]!EM_HKS_VAL_MV(B1495,"2019-12-31","2")</f>
        <v>1926551500</v>
      </c>
      <c r="M1495">
        <f>[1]!EM_S_VAL_PETTMDEDUCTED(B1495,E1495)</f>
        <v>-12.9544492707555</v>
      </c>
      <c r="N1495" s="7">
        <f>[1]!EM_S_VAL_PBGOODWILLDEDUCTED(B1495,E1495)</f>
        <v>1.10282440719417</v>
      </c>
      <c r="O1495" s="7">
        <f>[1]!EM_S_VAL_PS_TTM(B1495,E1495)</f>
        <v>2.1620216912013599</v>
      </c>
      <c r="P1495" s="7">
        <f>[1]!EM_S_VAL_PCF_NCFTTM(B1495,E1495)</f>
        <v>-77.669596985072303</v>
      </c>
      <c r="Q1495" s="7">
        <f>[1]!EM_S_VAL_DIVIDENDYIELD2(B1495,E1495,"2019-11-29")</f>
        <v>0</v>
      </c>
      <c r="T1495"/>
      <c r="U1495">
        <f>[1]!EM_S_RATIO_EPS_TTM(B1495,E1495,"1")</f>
        <v>-0.47214295258060845</v>
      </c>
      <c r="AT1495" s="4" t="str">
        <f>[1]!EM_S_IPO_LISTEDDATE(B1495)</f>
        <v>2000-11-20</v>
      </c>
    </row>
    <row r="1496" spans="1:46">
      <c r="A1496">
        <v>957</v>
      </c>
      <c r="B1496" t="str">
        <f>"002446"</f>
        <v>002446</v>
      </c>
      <c r="C1496" t="s">
        <v>1143</v>
      </c>
      <c r="D1496" t="str">
        <f>[1]!EM_S_INFO_INDEX_EM(B1496,"1")</f>
        <v>信息技术</v>
      </c>
      <c r="E1496" s="4">
        <f t="shared" si="23"/>
        <v>43465</v>
      </c>
      <c r="F1496" s="11">
        <f>[1]!EM_S_PQ_PCTCHANGE(B1496,"2018-01-01","2019-12-31","3")</f>
        <v>-11.431298979999999</v>
      </c>
      <c r="G1496" s="11">
        <f>[1]!EM_S_PQ_PCTCHANGE(B1496,"2018-12-31","2019-12-30","1")</f>
        <v>14.664981040000001</v>
      </c>
      <c r="H1496" s="11">
        <f>[1]!EM_S_FA_YOY_OR(B1496,E1496)</f>
        <v>47.929160606899998</v>
      </c>
      <c r="I1496" s="11">
        <f>[1]!EM_S_FA_GROSSPROFITMARGIN(B1496,E1496)</f>
        <v>31.9681139592</v>
      </c>
      <c r="J1496" s="11">
        <f>[1]!EM_S_FA_NETPROFITMARGIN(B1496,E1496)</f>
        <v>8.4108850153999999</v>
      </c>
      <c r="K1496" s="10">
        <f>[1]!EM_S_FA_ASSETSTURN(B1496,E1496)</f>
        <v>0.32225501146500002</v>
      </c>
      <c r="L1496" s="12">
        <f>[1]!EM_HKS_VAL_MV(B1496,"2019-12-31","2")</f>
        <v>8118718981</v>
      </c>
      <c r="M1496">
        <f>[1]!EM_S_VAL_PETTMDEDUCTED(B1496,E1496)</f>
        <v>66.213823779383802</v>
      </c>
      <c r="N1496" s="7">
        <f>[1]!EM_S_VAL_PBGOODWILLDEDUCTED(B1496,E1496)</f>
        <v>5.7611449464345199</v>
      </c>
      <c r="O1496" s="7">
        <f>[1]!EM_S_VAL_PS_TTM(B1496,E1496)</f>
        <v>4.9420008319488504</v>
      </c>
      <c r="P1496" s="7">
        <f>[1]!EM_S_VAL_PCF_NCFTTM(B1496,E1496)</f>
        <v>7.0859631781521601</v>
      </c>
      <c r="Q1496" s="7">
        <f>[1]!EM_S_VAL_DIVIDENDYIELD2(B1496,E1496,"2019-11-29")</f>
        <v>0.30703157127964292</v>
      </c>
      <c r="T1496"/>
      <c r="U1496">
        <f>[1]!EM_S_RATIO_EPS_TTM(B1496,E1496,"1")</f>
        <v>0.15894222007980841</v>
      </c>
      <c r="AT1496" s="4" t="str">
        <f>[1]!EM_S_IPO_LISTEDDATE(B1496)</f>
        <v>2010-07-13</v>
      </c>
    </row>
    <row r="1497" spans="1:46">
      <c r="A1497">
        <v>1551</v>
      </c>
      <c r="B1497" t="str">
        <f>"300126"</f>
        <v>300126</v>
      </c>
      <c r="C1497" t="s">
        <v>3427</v>
      </c>
      <c r="D1497" t="str">
        <f>[1]!EM_S_INFO_INDEX_EM(B1497,"1")</f>
        <v>机械设备</v>
      </c>
      <c r="E1497" s="4">
        <f t="shared" si="23"/>
        <v>43465</v>
      </c>
      <c r="F1497" s="11">
        <f>[1]!EM_S_PQ_PCTCHANGE(B1497,"2018-01-01","2019-12-31","3")</f>
        <v>-13.21112342</v>
      </c>
      <c r="G1497" s="11">
        <f>[1]!EM_S_PQ_PCTCHANGE(B1497,"2018-12-31","2019-12-30","1")</f>
        <v>14.65863454</v>
      </c>
      <c r="H1497" s="11">
        <f>[1]!EM_S_FA_YOY_OR(B1497,E1497)</f>
        <v>6.2014615378000002</v>
      </c>
      <c r="I1497" s="11">
        <f>[1]!EM_S_FA_GROSSPROFITMARGIN(B1497,E1497)</f>
        <v>11.026745765199999</v>
      </c>
      <c r="J1497" s="11">
        <f>[1]!EM_S_FA_NETPROFITMARGIN(B1497,E1497)</f>
        <v>-7.7097933984999996</v>
      </c>
      <c r="K1497" s="10">
        <f>[1]!EM_S_FA_ASSETSTURN(B1497,E1497)</f>
        <v>0.46768744133399998</v>
      </c>
      <c r="L1497" s="12">
        <f>[1]!EM_HKS_VAL_MV(B1497,"2019-12-31","2")</f>
        <v>1808547720</v>
      </c>
      <c r="M1497">
        <f>[1]!EM_S_VAL_PETTMDEDUCTED(B1497,E1497)</f>
        <v>-69.645247687106703</v>
      </c>
      <c r="N1497" s="7">
        <f>[1]!EM_S_VAL_PBGOODWILLDEDUCTED(B1497,E1497)</f>
        <v>1.5641267263155401</v>
      </c>
      <c r="O1497" s="7">
        <f>[1]!EM_S_VAL_PS_TTM(B1497,E1497)</f>
        <v>2.4267269604464201</v>
      </c>
      <c r="P1497" s="7">
        <f>[1]!EM_S_VAL_PCF_NCFTTM(B1497,E1497)</f>
        <v>-17.835578811646499</v>
      </c>
      <c r="Q1497" s="7">
        <f>[1]!EM_S_VAL_DIVIDENDYIELD2(B1497,E1497,"2019-11-29")</f>
        <v>0</v>
      </c>
      <c r="T1497"/>
      <c r="U1497">
        <f>[1]!EM_S_RATIO_EPS_TTM(B1497,E1497,"1")</f>
        <v>-0.14734490224952426</v>
      </c>
      <c r="AT1497" s="4" t="str">
        <f>[1]!EM_S_IPO_LISTEDDATE(B1497)</f>
        <v>2010-10-13</v>
      </c>
    </row>
    <row r="1498" spans="1:46">
      <c r="A1498">
        <v>3051</v>
      </c>
      <c r="B1498" t="str">
        <f>"601107"</f>
        <v>601107</v>
      </c>
      <c r="C1498" t="s">
        <v>887</v>
      </c>
      <c r="D1498" t="str">
        <f>[1]!EM_S_INFO_INDEX_EM(B1498,"1")</f>
        <v>交通运输</v>
      </c>
      <c r="E1498" s="4">
        <f t="shared" si="23"/>
        <v>43465</v>
      </c>
      <c r="F1498" s="11">
        <f>[1]!EM_S_PQ_PCTCHANGE(B1498,"2018-01-01","2019-12-31","3")</f>
        <v>7.6794801899999996</v>
      </c>
      <c r="G1498" s="11">
        <f>[1]!EM_S_PQ_PCTCHANGE(B1498,"2018-12-31","2019-12-30","1")</f>
        <v>14.65517241</v>
      </c>
      <c r="H1498" s="11">
        <f>[1]!EM_S_FA_YOY_OR(B1498,E1498)</f>
        <v>-25.241166380100001</v>
      </c>
      <c r="I1498" s="11">
        <f>[1]!EM_S_FA_GROSSPROFITMARGIN(B1498,E1498)</f>
        <v>37.660160191199999</v>
      </c>
      <c r="J1498" s="11">
        <f>[1]!EM_S_FA_NETPROFITMARGIN(B1498,E1498)</f>
        <v>15.0912949677</v>
      </c>
      <c r="K1498" s="10">
        <f>[1]!EM_S_FA_ASSETSTURN(B1498,E1498)</f>
        <v>0.16936137523600001</v>
      </c>
      <c r="L1498" s="12">
        <f>[1]!EM_HKS_VAL_MV(B1498,"2019-12-31","2")</f>
        <v>12874432600</v>
      </c>
      <c r="M1498">
        <f>[1]!EM_S_VAL_PETTMDEDUCTED(B1498,E1498)</f>
        <v>14.5218541940443</v>
      </c>
      <c r="N1498" s="7">
        <f>[1]!EM_S_VAL_PBGOODWILLDEDUCTED(B1498,E1498)</f>
        <v>0.73435951594892701</v>
      </c>
      <c r="O1498" s="7">
        <f>[1]!EM_S_VAL_PS_TTM(B1498,E1498)</f>
        <v>1.63148829189561</v>
      </c>
      <c r="P1498" s="7">
        <f>[1]!EM_S_VAL_PCF_NCFTTM(B1498,E1498)</f>
        <v>-16.770436668701901</v>
      </c>
      <c r="Q1498" s="7">
        <f>[1]!EM_S_VAL_DIVIDENDYIELD2(B1498,E1498,"2019-11-29")</f>
        <v>2.5839793281653747</v>
      </c>
      <c r="T1498"/>
      <c r="U1498">
        <f>[1]!EM_S_RATIO_EPS_TTM(B1498,E1498,"1")</f>
        <v>0.27769320355061705</v>
      </c>
      <c r="AT1498" s="4" t="str">
        <f>[1]!EM_S_IPO_LISTEDDATE(B1498)</f>
        <v>2009-07-27</v>
      </c>
    </row>
    <row r="1499" spans="1:46">
      <c r="A1499">
        <v>175</v>
      </c>
      <c r="B1499" t="str">
        <f>"000566"</f>
        <v>000566</v>
      </c>
      <c r="C1499" t="s">
        <v>1765</v>
      </c>
      <c r="D1499" t="str">
        <f>[1]!EM_S_INFO_INDEX_EM(B1499,"1")</f>
        <v>医药生物</v>
      </c>
      <c r="E1499" s="4">
        <f t="shared" si="23"/>
        <v>43465</v>
      </c>
      <c r="F1499" s="11">
        <f>[1]!EM_S_PQ_PCTCHANGE(B1499,"2018-01-01","2019-12-31","3")</f>
        <v>-52.929194039999999</v>
      </c>
      <c r="G1499" s="11">
        <f>[1]!EM_S_PQ_PCTCHANGE(B1499,"2018-12-31","2019-12-30","1")</f>
        <v>14.6484375</v>
      </c>
      <c r="H1499" s="11">
        <f>[1]!EM_S_FA_YOY_OR(B1499,E1499)</f>
        <v>35.474977621699999</v>
      </c>
      <c r="I1499" s="11">
        <f>[1]!EM_S_FA_GROSSPROFITMARGIN(B1499,E1499)</f>
        <v>53.395718615100002</v>
      </c>
      <c r="J1499" s="11">
        <f>[1]!EM_S_FA_NETPROFITMARGIN(B1499,E1499)</f>
        <v>4.1390804921999997</v>
      </c>
      <c r="K1499" s="10">
        <f>[1]!EM_S_FA_ASSETSTURN(B1499,E1499)</f>
        <v>0.23671686082400001</v>
      </c>
      <c r="L1499" s="12">
        <f>[1]!EM_HKS_VAL_MV(B1499,"2019-12-31","2")</f>
        <v>7989155998.7200003</v>
      </c>
      <c r="M1499">
        <f>[1]!EM_S_VAL_PETTMDEDUCTED(B1499,E1499)</f>
        <v>-1524.2952140395901</v>
      </c>
      <c r="N1499" s="7">
        <f>[1]!EM_S_VAL_PBGOODWILLDEDUCTED(B1499,E1499)</f>
        <v>1.58745138694473</v>
      </c>
      <c r="O1499" s="7">
        <f>[1]!EM_S_VAL_PS_TTM(B1499,E1499)</f>
        <v>2.6142911429820899</v>
      </c>
      <c r="P1499" s="7">
        <f>[1]!EM_S_VAL_PCF_NCFTTM(B1499,E1499)</f>
        <v>11.4494166238142</v>
      </c>
      <c r="Q1499" s="7">
        <f>[1]!EM_S_VAL_DIVIDENDYIELD2(B1499,E1499,"2019-11-29")</f>
        <v>0</v>
      </c>
      <c r="T1499"/>
      <c r="U1499">
        <f>[1]!EM_S_RATIO_EPS_TTM(B1499,E1499,"1")</f>
        <v>8.9499296030989897E-2</v>
      </c>
      <c r="AT1499" s="4" t="str">
        <f>[1]!EM_S_IPO_LISTEDDATE(B1499)</f>
        <v>1994-05-25</v>
      </c>
    </row>
    <row r="1500" spans="1:46">
      <c r="A1500">
        <v>735</v>
      </c>
      <c r="B1500" t="str">
        <f>"002224"</f>
        <v>002224</v>
      </c>
      <c r="C1500" t="s">
        <v>2123</v>
      </c>
      <c r="D1500" t="str">
        <f>[1]!EM_S_INFO_INDEX_EM(B1500,"1")</f>
        <v>基础化工</v>
      </c>
      <c r="E1500" s="4">
        <f t="shared" si="23"/>
        <v>43465</v>
      </c>
      <c r="F1500" s="11">
        <f>[1]!EM_S_PQ_PCTCHANGE(B1500,"2018-01-01","2019-12-31","3")</f>
        <v>-28.563607229999999</v>
      </c>
      <c r="G1500" s="11">
        <f>[1]!EM_S_PQ_PCTCHANGE(B1500,"2018-12-31","2019-12-30","1")</f>
        <v>14.62962963</v>
      </c>
      <c r="H1500" s="11">
        <f>[1]!EM_S_FA_YOY_OR(B1500,E1500)</f>
        <v>1.8935346678</v>
      </c>
      <c r="I1500" s="11">
        <f>[1]!EM_S_FA_GROSSPROFITMARGIN(B1500,E1500)</f>
        <v>32.264943436199999</v>
      </c>
      <c r="J1500" s="11">
        <f>[1]!EM_S_FA_NETPROFITMARGIN(B1500,E1500)</f>
        <v>8.5979692672999999</v>
      </c>
      <c r="K1500" s="10">
        <f>[1]!EM_S_FA_ASSETSTURN(B1500,E1500)</f>
        <v>0.39808672893500002</v>
      </c>
      <c r="L1500" s="12">
        <f>[1]!EM_HKS_VAL_MV(B1500,"2019-12-31","2")</f>
        <v>4427736306.4499998</v>
      </c>
      <c r="M1500">
        <f>[1]!EM_S_VAL_PETTMDEDUCTED(B1500,E1500)</f>
        <v>28.561353440920399</v>
      </c>
      <c r="N1500" s="7">
        <f>[1]!EM_S_VAL_PBGOODWILLDEDUCTED(B1500,E1500)</f>
        <v>2.0410507097233901</v>
      </c>
      <c r="O1500" s="7">
        <f>[1]!EM_S_VAL_PS_TTM(B1500,E1500)</f>
        <v>3.8099747086889</v>
      </c>
      <c r="P1500" s="7">
        <f>[1]!EM_S_VAL_PCF_NCFTTM(B1500,E1500)</f>
        <v>31.822696760805201</v>
      </c>
      <c r="Q1500" s="7">
        <f>[1]!EM_S_VAL_DIVIDENDYIELD2(B1500,E1500,"2019-11-29")</f>
        <v>0.26639047759421508</v>
      </c>
      <c r="T1500"/>
      <c r="U1500">
        <f>[1]!EM_S_RATIO_EPS_TTM(B1500,E1500,"1")</f>
        <v>0.1253198534657341</v>
      </c>
      <c r="AT1500" s="4" t="str">
        <f>[1]!EM_S_IPO_LISTEDDATE(B1500)</f>
        <v>2008-04-25</v>
      </c>
    </row>
    <row r="1501" spans="1:46">
      <c r="A1501">
        <v>2778</v>
      </c>
      <c r="B1501" t="str">
        <f>"600705"</f>
        <v>600705</v>
      </c>
      <c r="C1501" t="s">
        <v>899</v>
      </c>
      <c r="D1501" t="str">
        <f>[1]!EM_S_INFO_INDEX_EM(B1501,"1")</f>
        <v>金融</v>
      </c>
      <c r="E1501" s="4">
        <f t="shared" si="23"/>
        <v>43465</v>
      </c>
      <c r="F1501" s="11">
        <f>[1]!EM_S_PQ_PCTCHANGE(B1501,"2018-01-01","2019-12-31","3")</f>
        <v>-9.6348920800000002</v>
      </c>
      <c r="G1501" s="11">
        <f>[1]!EM_S_PQ_PCTCHANGE(B1501,"2018-12-31","2019-12-30","1")</f>
        <v>14.622641509999999</v>
      </c>
      <c r="H1501" s="11">
        <f>[1]!EM_S_FA_YOY_OR(B1501,E1501)</f>
        <v>30.517784435900001</v>
      </c>
      <c r="I1501" s="11">
        <f>[1]!EM_S_FA_GROSSPROFITMARGIN(B1501,E1501)</f>
        <v>45.097111255800002</v>
      </c>
      <c r="J1501" s="11">
        <f>[1]!EM_S_FA_NETPROFITMARGIN(B1501,E1501)</f>
        <v>52.882657768000001</v>
      </c>
      <c r="K1501" s="10">
        <f>[1]!EM_S_FA_ASSETSTURN(B1501,E1501)</f>
        <v>5.1863672919999999E-2</v>
      </c>
      <c r="L1501" s="12">
        <f>[1]!EM_HKS_VAL_MV(B1501,"2019-12-31","2")</f>
        <v>43535179965.099998</v>
      </c>
      <c r="M1501">
        <f>[1]!EM_S_VAL_PETTMDEDUCTED(B1501,E1501)</f>
        <v>14.533394136394</v>
      </c>
      <c r="N1501" s="7">
        <f>[1]!EM_S_VAL_PBGOODWILLDEDUCTED(B1501,E1501)</f>
        <v>1.3740226697242399</v>
      </c>
      <c r="O1501" s="7">
        <f>[1]!EM_S_VAL_PS_TTM(B1501,E1501)</f>
        <v>2.8375698152280999</v>
      </c>
      <c r="P1501" s="7">
        <f>[1]!EM_S_VAL_PCF_NCFTTM(B1501,E1501)</f>
        <v>1.2647416133251901</v>
      </c>
      <c r="Q1501" s="7">
        <f>[1]!EM_S_VAL_DIVIDENDYIELD2(B1501,E1501,"2019-11-29")</f>
        <v>0</v>
      </c>
      <c r="T1501"/>
      <c r="U1501">
        <f>[1]!EM_S_RATIO_EPS_TTM(B1501,E1501,"1")</f>
        <v>0.35270163517147024</v>
      </c>
      <c r="AT1501" s="4" t="str">
        <f>[1]!EM_S_IPO_LISTEDDATE(B1501)</f>
        <v>1996-05-16</v>
      </c>
    </row>
    <row r="1502" spans="1:46">
      <c r="A1502">
        <v>2484</v>
      </c>
      <c r="B1502" t="str">
        <f>"600365"</f>
        <v>600365</v>
      </c>
      <c r="C1502" t="s">
        <v>2770</v>
      </c>
      <c r="D1502" t="str">
        <f>[1]!EM_S_INFO_INDEX_EM(B1502,"1")</f>
        <v>食品饮料</v>
      </c>
      <c r="E1502" s="4">
        <f t="shared" si="23"/>
        <v>43465</v>
      </c>
      <c r="F1502" s="11">
        <f>[1]!EM_S_PQ_PCTCHANGE(B1502,"2018-01-01","2019-12-31","3")</f>
        <v>-50</v>
      </c>
      <c r="G1502" s="11">
        <f>[1]!EM_S_PQ_PCTCHANGE(B1502,"2018-12-31","2019-12-30","1")</f>
        <v>14.60055096</v>
      </c>
      <c r="H1502" s="11">
        <f>[1]!EM_S_FA_YOY_OR(B1502,E1502)</f>
        <v>9.0618411847000004</v>
      </c>
      <c r="I1502" s="11">
        <f>[1]!EM_S_FA_GROSSPROFITMARGIN(B1502,E1502)</f>
        <v>18.604939210000001</v>
      </c>
      <c r="J1502" s="11">
        <f>[1]!EM_S_FA_NETPROFITMARGIN(B1502,E1502)</f>
        <v>3.2302569554999998</v>
      </c>
      <c r="K1502" s="10">
        <f>[1]!EM_S_FA_ASSETSTURN(B1502,E1502)</f>
        <v>0.88634983112099996</v>
      </c>
      <c r="L1502" s="12">
        <f>[1]!EM_HKS_VAL_MV(B1502,"2019-12-31","2")</f>
        <v>1676000000</v>
      </c>
      <c r="M1502">
        <f>[1]!EM_S_VAL_PETTMDEDUCTED(B1502,E1502)</f>
        <v>234.50152377701201</v>
      </c>
      <c r="N1502" s="7">
        <f>[1]!EM_S_VAL_PBGOODWILLDEDUCTED(B1502,E1502)</f>
        <v>2.2093227280218</v>
      </c>
      <c r="O1502" s="7">
        <f>[1]!EM_S_VAL_PS_TTM(B1502,E1502)</f>
        <v>1.43634762466698</v>
      </c>
      <c r="P1502" s="7">
        <f>[1]!EM_S_VAL_PCF_NCFTTM(B1502,E1502)</f>
        <v>117.57228372748899</v>
      </c>
      <c r="Q1502" s="7">
        <f>[1]!EM_S_VAL_DIVIDENDYIELD2(B1502,E1502,"2019-11-29")</f>
        <v>0</v>
      </c>
      <c r="T1502"/>
      <c r="U1502">
        <f>[1]!EM_S_RATIO_EPS_TTM(B1502,E1502,"1")</f>
        <v>1.0494591225000001E-2</v>
      </c>
      <c r="AT1502" s="4" t="str">
        <f>[1]!EM_S_IPO_LISTEDDATE(B1502)</f>
        <v>2001-01-15</v>
      </c>
    </row>
    <row r="1503" spans="1:46">
      <c r="A1503">
        <v>2410</v>
      </c>
      <c r="B1503" t="str">
        <f>"600281"</f>
        <v>600281</v>
      </c>
      <c r="C1503" t="s">
        <v>3527</v>
      </c>
      <c r="D1503" t="str">
        <f>[1]!EM_S_INFO_INDEX_EM(B1503,"1")</f>
        <v>商贸零售</v>
      </c>
      <c r="E1503" s="4">
        <f t="shared" si="23"/>
        <v>43465</v>
      </c>
      <c r="F1503" s="11">
        <f>[1]!EM_S_PQ_PCTCHANGE(B1503,"2018-01-01","2019-12-31","3")</f>
        <v>-26.29695886</v>
      </c>
      <c r="G1503" s="11">
        <f>[1]!EM_S_PQ_PCTCHANGE(B1503,"2018-12-31","2019-12-30","1")</f>
        <v>14.525139660000001</v>
      </c>
      <c r="H1503" s="11">
        <f>[1]!EM_S_FA_YOY_OR(B1503,E1503)</f>
        <v>-19.044993853499999</v>
      </c>
      <c r="I1503" s="11">
        <f>[1]!EM_S_FA_GROSSPROFITMARGIN(B1503,E1503)</f>
        <v>2.8163572075999999</v>
      </c>
      <c r="J1503" s="11">
        <f>[1]!EM_S_FA_NETPROFITMARGIN(B1503,E1503)</f>
        <v>-16.773663845400002</v>
      </c>
      <c r="K1503" s="10">
        <f>[1]!EM_S_FA_ASSETSTURN(B1503,E1503)</f>
        <v>0.493319973696</v>
      </c>
      <c r="L1503" s="12">
        <f>[1]!EM_HKS_VAL_MV(B1503,"2019-12-31","2")</f>
        <v>2119336343</v>
      </c>
      <c r="M1503">
        <f>[1]!EM_S_VAL_PETTMDEDUCTED(B1503,E1503)</f>
        <v>-65.639662969784496</v>
      </c>
      <c r="N1503" s="7">
        <f>[1]!EM_S_VAL_PBGOODWILLDEDUCTED(B1503,E1503)</f>
        <v>4.2163525678388902</v>
      </c>
      <c r="O1503" s="7">
        <f>[1]!EM_S_VAL_PS_TTM(B1503,E1503)</f>
        <v>2.5972996664528201</v>
      </c>
      <c r="P1503" s="7">
        <f>[1]!EM_S_VAL_PCF_NCFTTM(B1503,E1503)</f>
        <v>-162.88210107721801</v>
      </c>
      <c r="Q1503" s="7">
        <f>[1]!EM_S_VAL_DIVIDENDYIELD2(B1503,E1503,"2019-11-29")</f>
        <v>0</v>
      </c>
      <c r="T1503"/>
      <c r="U1503">
        <f>[1]!EM_S_RATIO_EPS_TTM(B1503,E1503,"1")</f>
        <v>-0.22352840181762504</v>
      </c>
      <c r="AT1503" s="4" t="str">
        <f>[1]!EM_S_IPO_LISTEDDATE(B1503)</f>
        <v>2000-11-09</v>
      </c>
    </row>
    <row r="1504" spans="1:46">
      <c r="A1504">
        <v>2446</v>
      </c>
      <c r="B1504" t="str">
        <f>"600320"</f>
        <v>600320</v>
      </c>
      <c r="C1504" t="s">
        <v>2626</v>
      </c>
      <c r="D1504" t="str">
        <f>[1]!EM_S_INFO_INDEX_EM(B1504,"1")</f>
        <v>机械设备</v>
      </c>
      <c r="E1504" s="4">
        <f t="shared" si="23"/>
        <v>43465</v>
      </c>
      <c r="F1504" s="11">
        <f>[1]!EM_S_PQ_PCTCHANGE(B1504,"2018-01-01","2019-12-31","3")</f>
        <v>-26.891500820000001</v>
      </c>
      <c r="G1504" s="11">
        <f>[1]!EM_S_PQ_PCTCHANGE(B1504,"2018-12-31","2019-12-30","1")</f>
        <v>14.51104101</v>
      </c>
      <c r="H1504" s="11">
        <f>[1]!EM_S_FA_YOY_OR(B1504,E1504)</f>
        <v>-0.2123827761</v>
      </c>
      <c r="I1504" s="11">
        <f>[1]!EM_S_FA_GROSSPROFITMARGIN(B1504,E1504)</f>
        <v>17.100849347</v>
      </c>
      <c r="J1504" s="11">
        <f>[1]!EM_S_FA_NETPROFITMARGIN(B1504,E1504)</f>
        <v>1.8055905173</v>
      </c>
      <c r="K1504" s="10">
        <f>[1]!EM_S_FA_ASSETSTURN(B1504,E1504)</f>
        <v>0.31585078486099999</v>
      </c>
      <c r="L1504" s="12">
        <f>[1]!EM_HKS_VAL_MV(B1504,"2019-12-31","2")</f>
        <v>19124123208.630001</v>
      </c>
      <c r="M1504">
        <f>[1]!EM_S_VAL_PETTMDEDUCTED(B1504,E1504)</f>
        <v>67.561353699629905</v>
      </c>
      <c r="N1504" s="7">
        <f>[1]!EM_S_VAL_PBGOODWILLDEDUCTED(B1504,E1504)</f>
        <v>1.1194032985301801</v>
      </c>
      <c r="O1504" s="7">
        <f>[1]!EM_S_VAL_PS_TTM(B1504,E1504)</f>
        <v>0.77889377840068696</v>
      </c>
      <c r="P1504" s="7">
        <f>[1]!EM_S_VAL_PCF_NCFTTM(B1504,E1504)</f>
        <v>-125.63824806069999</v>
      </c>
      <c r="Q1504" s="7">
        <f>[1]!EM_S_VAL_DIVIDENDYIELD2(B1504,E1504,"2019-11-29")</f>
        <v>1.4409221902017293</v>
      </c>
      <c r="T1504"/>
      <c r="U1504">
        <f>[1]!EM_S_RATIO_EPS_TTM(B1504,E1504,"1")</f>
        <v>8.4087958774199958E-2</v>
      </c>
      <c r="AT1504" s="4" t="str">
        <f>[1]!EM_S_IPO_LISTEDDATE(B1504)</f>
        <v>2000-12-21</v>
      </c>
    </row>
    <row r="1505" spans="1:46">
      <c r="A1505">
        <v>160</v>
      </c>
      <c r="B1505" t="str">
        <f>"000551"</f>
        <v>000551</v>
      </c>
      <c r="C1505" t="s">
        <v>2083</v>
      </c>
      <c r="D1505" t="str">
        <f>[1]!EM_S_INFO_INDEX_EM(B1505,"1")</f>
        <v>机械设备</v>
      </c>
      <c r="E1505" s="4">
        <f t="shared" si="23"/>
        <v>43465</v>
      </c>
      <c r="F1505" s="11">
        <f>[1]!EM_S_PQ_PCTCHANGE(B1505,"2018-01-01","2019-12-31","3")</f>
        <v>-17.76909307</v>
      </c>
      <c r="G1505" s="11">
        <f>[1]!EM_S_PQ_PCTCHANGE(B1505,"2018-12-31","2019-12-30","1")</f>
        <v>14.457831329999999</v>
      </c>
      <c r="H1505" s="11">
        <f>[1]!EM_S_FA_YOY_OR(B1505,E1505)</f>
        <v>15.1793028845</v>
      </c>
      <c r="I1505" s="11">
        <f>[1]!EM_S_FA_GROSSPROFITMARGIN(B1505,E1505)</f>
        <v>23.1911573366</v>
      </c>
      <c r="J1505" s="11">
        <f>[1]!EM_S_FA_NETPROFITMARGIN(B1505,E1505)</f>
        <v>5.2290227654999999</v>
      </c>
      <c r="K1505" s="10">
        <f>[1]!EM_S_FA_ASSETSTURN(B1505,E1505)</f>
        <v>0.69410977915799998</v>
      </c>
      <c r="L1505" s="12">
        <f>[1]!EM_HKS_VAL_MV(B1505,"2019-12-31","2")</f>
        <v>2672537105.4000001</v>
      </c>
      <c r="M1505">
        <f>[1]!EM_S_VAL_PETTMDEDUCTED(B1505,E1505)</f>
        <v>39.5185120332767</v>
      </c>
      <c r="N1505" s="7">
        <f>[1]!EM_S_VAL_PBGOODWILLDEDUCTED(B1505,E1505)</f>
        <v>1.4354172328085599</v>
      </c>
      <c r="O1505" s="7">
        <f>[1]!EM_S_VAL_PS_TTM(B1505,E1505)</f>
        <v>0.79893657733234602</v>
      </c>
      <c r="P1505" s="7">
        <f>[1]!EM_S_VAL_PCF_NCFTTM(B1505,E1505)</f>
        <v>-84.909724170375597</v>
      </c>
      <c r="Q1505" s="7">
        <f>[1]!EM_S_VAL_DIVIDENDYIELD2(B1505,E1505,"2019-11-29")</f>
        <v>0</v>
      </c>
      <c r="T1505"/>
      <c r="U1505">
        <f>[1]!EM_S_RATIO_EPS_TTM(B1505,E1505,"1")</f>
        <v>0.21522283222043828</v>
      </c>
      <c r="AT1505" s="4" t="str">
        <f>[1]!EM_S_IPO_LISTEDDATE(B1505)</f>
        <v>1994-01-06</v>
      </c>
    </row>
    <row r="1506" spans="1:46">
      <c r="A1506">
        <v>1991</v>
      </c>
      <c r="B1506" t="str">
        <f>"300569"</f>
        <v>300569</v>
      </c>
      <c r="C1506" t="s">
        <v>2119</v>
      </c>
      <c r="D1506" t="str">
        <f>[1]!EM_S_INFO_INDEX_EM(B1506,"1")</f>
        <v>电气设备</v>
      </c>
      <c r="E1506" s="4">
        <f t="shared" si="23"/>
        <v>43465</v>
      </c>
      <c r="F1506" s="11">
        <f>[1]!EM_S_PQ_PCTCHANGE(B1506,"2018-01-01","2019-12-31","3")</f>
        <v>0.59513364999999996</v>
      </c>
      <c r="G1506" s="11">
        <f>[1]!EM_S_PQ_PCTCHANGE(B1506,"2018-12-31","2019-12-30","1")</f>
        <v>14.39688716</v>
      </c>
      <c r="H1506" s="11">
        <f>[1]!EM_S_FA_YOY_OR(B1506,E1506)</f>
        <v>88.828698763999995</v>
      </c>
      <c r="I1506" s="11">
        <f>[1]!EM_S_FA_GROSSPROFITMARGIN(B1506,E1506)</f>
        <v>23.408209895100001</v>
      </c>
      <c r="J1506" s="11">
        <f>[1]!EM_S_FA_NETPROFITMARGIN(B1506,E1506)</f>
        <v>8.3071458573000001</v>
      </c>
      <c r="K1506" s="10">
        <f>[1]!EM_S_FA_ASSETSTURN(B1506,E1506)</f>
        <v>0.48556735445299998</v>
      </c>
      <c r="L1506" s="12">
        <f>[1]!EM_HKS_VAL_MV(B1506,"2019-12-31","2")</f>
        <v>3357268560</v>
      </c>
      <c r="M1506">
        <f>[1]!EM_S_VAL_PETTMDEDUCTED(B1506,E1506)</f>
        <v>27.073804050809098</v>
      </c>
      <c r="N1506" s="7">
        <f>[1]!EM_S_VAL_PBGOODWILLDEDUCTED(B1506,E1506)</f>
        <v>1.0960526840020499</v>
      </c>
      <c r="O1506" s="7">
        <f>[1]!EM_S_VAL_PS_TTM(B1506,E1506)</f>
        <v>1.8523199939782</v>
      </c>
      <c r="P1506" s="7">
        <f>[1]!EM_S_VAL_PCF_NCFTTM(B1506,E1506)</f>
        <v>-5.7273702098095303</v>
      </c>
      <c r="Q1506" s="7">
        <f>[1]!EM_S_VAL_DIVIDENDYIELD2(B1506,E1506,"2019-11-29")</f>
        <v>0.72085508327119063</v>
      </c>
      <c r="T1506"/>
      <c r="U1506">
        <f>[1]!EM_S_RATIO_EPS_TTM(B1506,E1506,"1")</f>
        <v>0.68219264692157955</v>
      </c>
      <c r="AT1506" s="4" t="str">
        <f>[1]!EM_S_IPO_LISTEDDATE(B1506)</f>
        <v>2016-11-25</v>
      </c>
    </row>
    <row r="1507" spans="1:46">
      <c r="A1507">
        <v>202</v>
      </c>
      <c r="B1507" t="str">
        <f>"000598"</f>
        <v>000598</v>
      </c>
      <c r="C1507" t="s">
        <v>1132</v>
      </c>
      <c r="D1507" t="str">
        <f>[1]!EM_S_INFO_INDEX_EM(B1507,"1")</f>
        <v>公用事业</v>
      </c>
      <c r="E1507" s="4">
        <f t="shared" si="23"/>
        <v>43465</v>
      </c>
      <c r="F1507" s="11">
        <f>[1]!EM_S_PQ_PCTCHANGE(B1507,"2018-01-01","2019-12-31","3")</f>
        <v>-11.660227689999999</v>
      </c>
      <c r="G1507" s="11">
        <f>[1]!EM_S_PQ_PCTCHANGE(B1507,"2018-12-31","2019-12-30","1")</f>
        <v>14.392059550000001</v>
      </c>
      <c r="H1507" s="11">
        <f>[1]!EM_S_FA_YOY_OR(B1507,E1507)</f>
        <v>11.484545127900001</v>
      </c>
      <c r="I1507" s="11">
        <f>[1]!EM_S_FA_GROSSPROFITMARGIN(B1507,E1507)</f>
        <v>40.794392256000002</v>
      </c>
      <c r="J1507" s="11">
        <f>[1]!EM_S_FA_NETPROFITMARGIN(B1507,E1507)</f>
        <v>24.249996743400001</v>
      </c>
      <c r="K1507" s="10">
        <f>[1]!EM_S_FA_ASSETSTURN(B1507,E1507)</f>
        <v>0.20967882115600001</v>
      </c>
      <c r="L1507" s="12">
        <f>[1]!EM_HKS_VAL_MV(B1507,"2019-12-31","2")</f>
        <v>13826192127.26</v>
      </c>
      <c r="M1507">
        <f>[1]!EM_S_VAL_PETTMDEDUCTED(B1507,E1507)</f>
        <v>12.110012448881401</v>
      </c>
      <c r="N1507" s="7">
        <f>[1]!EM_S_VAL_PBGOODWILLDEDUCTED(B1507,E1507)</f>
        <v>1.1524438001764801</v>
      </c>
      <c r="O1507" s="7">
        <f>[1]!EM_S_VAL_PS_TTM(B1507,E1507)</f>
        <v>2.9987427462278</v>
      </c>
      <c r="P1507" s="7">
        <f>[1]!EM_S_VAL_PCF_NCFTTM(B1507,E1507)</f>
        <v>-250.76704486901599</v>
      </c>
      <c r="Q1507" s="7">
        <f>[1]!EM_S_VAL_DIVIDENDYIELD2(B1507,E1507,"2019-11-29")</f>
        <v>1.4634146341463417</v>
      </c>
      <c r="T1507"/>
      <c r="U1507">
        <f>[1]!EM_S_RATIO_EPS_TTM(B1507,E1507,"1")</f>
        <v>0.33086320571718147</v>
      </c>
      <c r="AT1507" s="4" t="str">
        <f>[1]!EM_S_IPO_LISTEDDATE(B1507)</f>
        <v>1996-05-29</v>
      </c>
    </row>
    <row r="1508" spans="1:46">
      <c r="A1508">
        <v>2430</v>
      </c>
      <c r="B1508" t="str">
        <f>"600302"</f>
        <v>600302</v>
      </c>
      <c r="C1508" t="s">
        <v>3374</v>
      </c>
      <c r="D1508" t="str">
        <f>[1]!EM_S_INFO_INDEX_EM(B1508,"1")</f>
        <v>机械设备</v>
      </c>
      <c r="E1508" s="4">
        <f t="shared" si="23"/>
        <v>43465</v>
      </c>
      <c r="F1508" s="11">
        <f>[1]!EM_S_PQ_PCTCHANGE(B1508,"2018-01-01","2019-12-31","3")</f>
        <v>-15.71906355</v>
      </c>
      <c r="G1508" s="11">
        <f>[1]!EM_S_PQ_PCTCHANGE(B1508,"2018-12-31","2019-12-30","1")</f>
        <v>14.38356164</v>
      </c>
      <c r="H1508" s="11">
        <f>[1]!EM_S_FA_YOY_OR(B1508,E1508)</f>
        <v>6.1218121219999997</v>
      </c>
      <c r="I1508" s="11">
        <f>[1]!EM_S_FA_GROSSPROFITMARGIN(B1508,E1508)</f>
        <v>29.590252739899999</v>
      </c>
      <c r="J1508" s="11">
        <f>[1]!EM_S_FA_NETPROFITMARGIN(B1508,E1508)</f>
        <v>4.0534139999000001</v>
      </c>
      <c r="K1508" s="10">
        <f>[1]!EM_S_FA_ASSETSTURN(B1508,E1508)</f>
        <v>0.44482353316700002</v>
      </c>
      <c r="L1508" s="12">
        <f>[1]!EM_HKS_VAL_MV(B1508,"2019-12-31","2")</f>
        <v>1743889412.1600001</v>
      </c>
      <c r="M1508">
        <f>[1]!EM_S_VAL_PETTMDEDUCTED(B1508,E1508)</f>
        <v>-30.696651219935799</v>
      </c>
      <c r="N1508" s="7">
        <f>[1]!EM_S_VAL_PBGOODWILLDEDUCTED(B1508,E1508)</f>
        <v>1.2233909087330099</v>
      </c>
      <c r="O1508" s="7">
        <f>[1]!EM_S_VAL_PS_TTM(B1508,E1508)</f>
        <v>2.1738903661070901</v>
      </c>
      <c r="P1508" s="7">
        <f>[1]!EM_S_VAL_PCF_NCFTTM(B1508,E1508)</f>
        <v>-1330.43292652171</v>
      </c>
      <c r="Q1508" s="7">
        <f>[1]!EM_S_VAL_DIVIDENDYIELD2(B1508,E1508,"2019-11-29")</f>
        <v>0</v>
      </c>
      <c r="T1508"/>
      <c r="U1508">
        <f>[1]!EM_S_RATIO_EPS_TTM(B1508,E1508,"1")</f>
        <v>8.199679596361957E-2</v>
      </c>
      <c r="AT1508" s="4" t="str">
        <f>[1]!EM_S_IPO_LISTEDDATE(B1508)</f>
        <v>2000-12-13</v>
      </c>
    </row>
    <row r="1509" spans="1:46">
      <c r="A1509">
        <v>2130</v>
      </c>
      <c r="B1509" t="str">
        <f>"300715"</f>
        <v>300715</v>
      </c>
      <c r="C1509" t="s">
        <v>988</v>
      </c>
      <c r="D1509" t="str">
        <f>[1]!EM_S_INFO_INDEX_EM(B1509,"1")</f>
        <v>建材</v>
      </c>
      <c r="E1509" s="4">
        <f t="shared" si="23"/>
        <v>43465</v>
      </c>
      <c r="F1509" s="11">
        <f>[1]!EM_S_PQ_PCTCHANGE(B1509,"2018-01-01","2019-12-31","3")</f>
        <v>26.307765329999999</v>
      </c>
      <c r="G1509" s="11">
        <f>[1]!EM_S_PQ_PCTCHANGE(B1509,"2018-12-31","2019-12-30","1")</f>
        <v>14.3808995</v>
      </c>
      <c r="H1509" s="11">
        <f>[1]!EM_S_FA_YOY_OR(B1509,E1509)</f>
        <v>57.093793952600002</v>
      </c>
      <c r="I1509" s="11">
        <f>[1]!EM_S_FA_GROSSPROFITMARGIN(B1509,E1509)</f>
        <v>36.759172468700001</v>
      </c>
      <c r="J1509" s="11">
        <f>[1]!EM_S_FA_NETPROFITMARGIN(B1509,E1509)</f>
        <v>10.512194175299999</v>
      </c>
      <c r="K1509" s="10">
        <f>[1]!EM_S_FA_ASSETSTURN(B1509,E1509)</f>
        <v>0.78617076378200001</v>
      </c>
      <c r="L1509" s="12">
        <f>[1]!EM_HKS_VAL_MV(B1509,"2019-12-31","2")</f>
        <v>3556585075</v>
      </c>
      <c r="M1509">
        <f>[1]!EM_S_VAL_PETTMDEDUCTED(B1509,E1509)</f>
        <v>45.9866336240908</v>
      </c>
      <c r="N1509" s="7">
        <f>[1]!EM_S_VAL_PBGOODWILLDEDUCTED(B1509,E1509)</f>
        <v>5.46983048870033</v>
      </c>
      <c r="O1509" s="7">
        <f>[1]!EM_S_VAL_PS_TTM(B1509,E1509)</f>
        <v>4.4293180745789602</v>
      </c>
      <c r="P1509" s="7">
        <f>[1]!EM_S_VAL_PCF_NCFTTM(B1509,E1509)</f>
        <v>15.7972683823917</v>
      </c>
      <c r="Q1509" s="7">
        <f>[1]!EM_S_VAL_DIVIDENDYIELD2(B1509,E1509,"2019-11-29")</f>
        <v>0.22037899753191872</v>
      </c>
      <c r="T1509"/>
      <c r="U1509">
        <f>[1]!EM_S_RATIO_EPS_TTM(B1509,E1509,"1")</f>
        <v>0.49487915668969923</v>
      </c>
      <c r="AT1509" s="4" t="str">
        <f>[1]!EM_S_IPO_LISTEDDATE(B1509)</f>
        <v>2017-10-26</v>
      </c>
    </row>
    <row r="1510" spans="1:46">
      <c r="A1510">
        <v>1133</v>
      </c>
      <c r="B1510" t="str">
        <f>"002622"</f>
        <v>002622</v>
      </c>
      <c r="C1510" t="s">
        <v>3330</v>
      </c>
      <c r="D1510" t="str">
        <f>[1]!EM_S_INFO_INDEX_EM(B1510,"1")</f>
        <v>电气设备</v>
      </c>
      <c r="E1510" s="4">
        <f t="shared" si="23"/>
        <v>43465</v>
      </c>
      <c r="F1510" s="11">
        <f>[1]!EM_S_PQ_PCTCHANGE(B1510,"2018-01-01","2019-12-31","3")</f>
        <v>-75.604551920000006</v>
      </c>
      <c r="G1510" s="11">
        <f>[1]!EM_S_PQ_PCTCHANGE(B1510,"2018-12-31","2019-12-30","1")</f>
        <v>14.379084969999999</v>
      </c>
      <c r="H1510" s="11">
        <f>[1]!EM_S_FA_YOY_OR(B1510,E1510)</f>
        <v>116.696719958</v>
      </c>
      <c r="I1510" s="11">
        <f>[1]!EM_S_FA_GROSSPROFITMARGIN(B1510,E1510)</f>
        <v>43.6492197938</v>
      </c>
      <c r="J1510" s="11">
        <f>[1]!EM_S_FA_NETPROFITMARGIN(B1510,E1510)</f>
        <v>8.4775893081000007</v>
      </c>
      <c r="K1510" s="10">
        <f>[1]!EM_S_FA_ASSETSTURN(B1510,E1510)</f>
        <v>0.23487034690200001</v>
      </c>
      <c r="L1510" s="12">
        <f>[1]!EM_HKS_VAL_MV(B1510,"2019-12-31","2")</f>
        <v>2881200000</v>
      </c>
      <c r="M1510">
        <f>[1]!EM_S_VAL_PETTMDEDUCTED(B1510,E1510)</f>
        <v>49.821358236016401</v>
      </c>
      <c r="N1510" s="7">
        <f>[1]!EM_S_VAL_PBGOODWILLDEDUCTED(B1510,E1510)</f>
        <v>2.4354763831767099</v>
      </c>
      <c r="O1510" s="7">
        <f>[1]!EM_S_VAL_PS_TTM(B1510,E1510)</f>
        <v>6.7408610544360403</v>
      </c>
      <c r="P1510" s="7">
        <f>[1]!EM_S_VAL_PCF_NCFTTM(B1510,E1510)</f>
        <v>-54.684628200710598</v>
      </c>
      <c r="Q1510" s="7">
        <f>[1]!EM_S_VAL_DIVIDENDYIELD2(B1510,E1510,"2019-11-29")</f>
        <v>0</v>
      </c>
      <c r="T1510"/>
      <c r="U1510">
        <f>[1]!EM_S_RATIO_EPS_TTM(B1510,E1510,"1")</f>
        <v>4.3860998571428569E-2</v>
      </c>
      <c r="AT1510" s="4" t="str">
        <f>[1]!EM_S_IPO_LISTEDDATE(B1510)</f>
        <v>2011-10-18</v>
      </c>
    </row>
    <row r="1511" spans="1:46">
      <c r="A1511">
        <v>2969</v>
      </c>
      <c r="B1511" t="str">
        <f>"600896"</f>
        <v>600896</v>
      </c>
      <c r="C1511" t="s">
        <v>3275</v>
      </c>
      <c r="D1511" t="str">
        <f>[1]!EM_S_INFO_INDEX_EM(B1511,"1")</f>
        <v>医药生物</v>
      </c>
      <c r="E1511" s="4">
        <f t="shared" si="23"/>
        <v>43465</v>
      </c>
      <c r="F1511" s="11">
        <f>[1]!EM_S_PQ_PCTCHANGE(B1511,"2018-01-01","2019-12-31","3")</f>
        <v>-40.139860140000003</v>
      </c>
      <c r="G1511" s="11">
        <f>[1]!EM_S_PQ_PCTCHANGE(B1511,"2018-12-31","2019-12-30","1")</f>
        <v>14.323607429999999</v>
      </c>
      <c r="H1511" s="11">
        <f>[1]!EM_S_FA_YOY_OR(B1511,E1511)</f>
        <v>20.2662320423</v>
      </c>
      <c r="I1511" s="11">
        <f>[1]!EM_S_FA_GROSSPROFITMARGIN(B1511,E1511)</f>
        <v>-101.06857167059999</v>
      </c>
      <c r="J1511" s="11">
        <f>[1]!EM_S_FA_NETPROFITMARGIN(B1511,E1511)</f>
        <v>222.203584302</v>
      </c>
      <c r="K1511" s="10">
        <f>[1]!EM_S_FA_ASSETSTURN(B1511,E1511)</f>
        <v>1.6122085864000001E-2</v>
      </c>
      <c r="L1511" s="12">
        <f>[1]!EM_HKS_VAL_MV(B1511,"2019-12-31","2")</f>
        <v>3719744041</v>
      </c>
      <c r="M1511">
        <f>[1]!EM_S_VAL_PETTMDEDUCTED(B1511,E1511)</f>
        <v>-13.8833740746713</v>
      </c>
      <c r="N1511" s="7">
        <f>[1]!EM_S_VAL_PBGOODWILLDEDUCTED(B1511,E1511)</f>
        <v>1.84696773346231</v>
      </c>
      <c r="O1511" s="7">
        <f>[1]!EM_S_VAL_PS_TTM(B1511,E1511)</f>
        <v>64.379873331240702</v>
      </c>
      <c r="P1511" s="7">
        <f>[1]!EM_S_VAL_PCF_NCFTTM(B1511,E1511)</f>
        <v>-134.710327244213</v>
      </c>
      <c r="Q1511" s="7">
        <f>[1]!EM_S_VAL_DIVIDENDYIELD2(B1511,E1511,"2019-11-29")</f>
        <v>0</v>
      </c>
      <c r="T1511"/>
      <c r="U1511">
        <f>[1]!EM_S_RATIO_EPS_TTM(B1511,E1511,"1")</f>
        <v>0.13166896489908242</v>
      </c>
      <c r="AT1511" s="4" t="str">
        <f>[1]!EM_S_IPO_LISTEDDATE(B1511)</f>
        <v>1996-05-03</v>
      </c>
    </row>
    <row r="1512" spans="1:46">
      <c r="A1512">
        <v>1942</v>
      </c>
      <c r="B1512" t="str">
        <f>"300517"</f>
        <v>300517</v>
      </c>
      <c r="C1512" t="s">
        <v>2575</v>
      </c>
      <c r="D1512" t="str">
        <f>[1]!EM_S_INFO_INDEX_EM(B1512,"1")</f>
        <v>建筑</v>
      </c>
      <c r="E1512" s="4">
        <f t="shared" si="23"/>
        <v>43465</v>
      </c>
      <c r="F1512" s="11">
        <f>[1]!EM_S_PQ_PCTCHANGE(B1512,"2018-01-01","2019-12-31","3")</f>
        <v>-22.993623469999999</v>
      </c>
      <c r="G1512" s="11">
        <f>[1]!EM_S_PQ_PCTCHANGE(B1512,"2018-12-31","2019-12-30","1")</f>
        <v>14.31818182</v>
      </c>
      <c r="H1512" s="11">
        <f>[1]!EM_S_FA_YOY_OR(B1512,E1512)</f>
        <v>24.907479904900001</v>
      </c>
      <c r="I1512" s="11">
        <f>[1]!EM_S_FA_GROSSPROFITMARGIN(B1512,E1512)</f>
        <v>21.029560781600001</v>
      </c>
      <c r="J1512" s="11">
        <f>[1]!EM_S_FA_NETPROFITMARGIN(B1512,E1512)</f>
        <v>4.8056936964999997</v>
      </c>
      <c r="K1512" s="10">
        <f>[1]!EM_S_FA_ASSETSTURN(B1512,E1512)</f>
        <v>0.43292011279100001</v>
      </c>
      <c r="L1512" s="12">
        <f>[1]!EM_HKS_VAL_MV(B1512,"2019-12-31","2")</f>
        <v>1613878560</v>
      </c>
      <c r="M1512">
        <f>[1]!EM_S_VAL_PETTMDEDUCTED(B1512,E1512)</f>
        <v>43.171009419528502</v>
      </c>
      <c r="N1512" s="7">
        <f>[1]!EM_S_VAL_PBGOODWILLDEDUCTED(B1512,E1512)</f>
        <v>2.1389509812902601</v>
      </c>
      <c r="O1512" s="7">
        <f>[1]!EM_S_VAL_PS_TTM(B1512,E1512)</f>
        <v>3.0785603357223401</v>
      </c>
      <c r="P1512" s="7">
        <f>[1]!EM_S_VAL_PCF_NCFTTM(B1512,E1512)</f>
        <v>-22.085949714345301</v>
      </c>
      <c r="Q1512" s="7">
        <f>[1]!EM_S_VAL_DIVIDENDYIELD2(B1512,E1512,"2019-11-29")</f>
        <v>0.19629152416086448</v>
      </c>
      <c r="T1512"/>
      <c r="U1512">
        <f>[1]!EM_S_RATIO_EPS_TTM(B1512,E1512,"1")</f>
        <v>0.22687897093230014</v>
      </c>
      <c r="AT1512" s="4" t="str">
        <f>[1]!EM_S_IPO_LISTEDDATE(B1512)</f>
        <v>2016-07-19</v>
      </c>
    </row>
    <row r="1513" spans="1:46">
      <c r="A1513">
        <v>2397</v>
      </c>
      <c r="B1513" t="str">
        <f>"600267"</f>
        <v>600267</v>
      </c>
      <c r="C1513" t="s">
        <v>2977</v>
      </c>
      <c r="D1513" t="str">
        <f>[1]!EM_S_INFO_INDEX_EM(B1513,"1")</f>
        <v>医药生物</v>
      </c>
      <c r="E1513" s="4">
        <f t="shared" si="23"/>
        <v>43465</v>
      </c>
      <c r="F1513" s="11">
        <f>[1]!EM_S_PQ_PCTCHANGE(B1513,"2018-01-01","2019-12-31","3")</f>
        <v>-34.33932008</v>
      </c>
      <c r="G1513" s="11">
        <f>[1]!EM_S_PQ_PCTCHANGE(B1513,"2018-12-31","2019-12-30","1")</f>
        <v>14.302741360000001</v>
      </c>
      <c r="H1513" s="11">
        <f>[1]!EM_S_FA_YOY_OR(B1513,E1513)</f>
        <v>-3.6332099238</v>
      </c>
      <c r="I1513" s="11">
        <f>[1]!EM_S_FA_GROSSPROFITMARGIN(B1513,E1513)</f>
        <v>41.776353948699999</v>
      </c>
      <c r="J1513" s="11">
        <f>[1]!EM_S_FA_NETPROFITMARGIN(B1513,E1513)</f>
        <v>-2.3261149635999998</v>
      </c>
      <c r="K1513" s="10">
        <f>[1]!EM_S_FA_ASSETSTURN(B1513,E1513)</f>
        <v>0.46849508860099998</v>
      </c>
      <c r="L1513" s="12">
        <f>[1]!EM_HKS_VAL_MV(B1513,"2019-12-31","2")</f>
        <v>9568420554.2199993</v>
      </c>
      <c r="M1513">
        <f>[1]!EM_S_VAL_PETTMDEDUCTED(B1513,E1513)</f>
        <v>-34.848913691580996</v>
      </c>
      <c r="N1513" s="7">
        <f>[1]!EM_S_VAL_PBGOODWILLDEDUCTED(B1513,E1513)</f>
        <v>1.3157022250305399</v>
      </c>
      <c r="O1513" s="7">
        <f>[1]!EM_S_VAL_PS_TTM(B1513,E1513)</f>
        <v>0.79420423686845498</v>
      </c>
      <c r="P1513" s="7">
        <f>[1]!EM_S_VAL_PCF_NCFTTM(B1513,E1513)</f>
        <v>-22.194171240473899</v>
      </c>
      <c r="Q1513" s="7">
        <f>[1]!EM_S_VAL_DIVIDENDYIELD2(B1513,E1513,"2019-11-29")</f>
        <v>0</v>
      </c>
      <c r="T1513"/>
      <c r="U1513">
        <f>[1]!EM_S_RATIO_EPS_TTM(B1513,E1513,"1")</f>
        <v>-0.51005461348627379</v>
      </c>
      <c r="AT1513" s="4" t="str">
        <f>[1]!EM_S_IPO_LISTEDDATE(B1513)</f>
        <v>2000-07-25</v>
      </c>
    </row>
    <row r="1514" spans="1:46">
      <c r="A1514">
        <v>1077</v>
      </c>
      <c r="B1514" t="str">
        <f>"002566"</f>
        <v>002566</v>
      </c>
      <c r="C1514" t="s">
        <v>2122</v>
      </c>
      <c r="D1514" t="str">
        <f>[1]!EM_S_INFO_INDEX_EM(B1514,"1")</f>
        <v>医药生物</v>
      </c>
      <c r="E1514" s="4">
        <f t="shared" si="23"/>
        <v>43465</v>
      </c>
      <c r="F1514" s="11">
        <f>[1]!EM_S_PQ_PCTCHANGE(B1514,"2018-01-01","2019-12-31","3")</f>
        <v>-23.130395</v>
      </c>
      <c r="G1514" s="11">
        <f>[1]!EM_S_PQ_PCTCHANGE(B1514,"2018-12-31","2019-12-30","1")</f>
        <v>14.28571429</v>
      </c>
      <c r="H1514" s="11">
        <f>[1]!EM_S_FA_YOY_OR(B1514,E1514)</f>
        <v>-5.7377943380999996</v>
      </c>
      <c r="I1514" s="11">
        <f>[1]!EM_S_FA_GROSSPROFITMARGIN(B1514,E1514)</f>
        <v>77.147113669800007</v>
      </c>
      <c r="J1514" s="11">
        <f>[1]!EM_S_FA_NETPROFITMARGIN(B1514,E1514)</f>
        <v>8.7078329281000002</v>
      </c>
      <c r="K1514" s="10">
        <f>[1]!EM_S_FA_ASSETSTURN(B1514,E1514)</f>
        <v>0.37455944616499998</v>
      </c>
      <c r="L1514" s="12">
        <f>[1]!EM_HKS_VAL_MV(B1514,"2019-12-31","2")</f>
        <v>2207447172</v>
      </c>
      <c r="M1514">
        <f>[1]!EM_S_VAL_PETTMDEDUCTED(B1514,E1514)</f>
        <v>31.900937007694498</v>
      </c>
      <c r="N1514" s="7">
        <f>[1]!EM_S_VAL_PBGOODWILLDEDUCTED(B1514,E1514)</f>
        <v>1.02479435438</v>
      </c>
      <c r="O1514" s="7">
        <f>[1]!EM_S_VAL_PS_TTM(B1514,E1514)</f>
        <v>1.8318675380329801</v>
      </c>
      <c r="P1514" s="7">
        <f>[1]!EM_S_VAL_PCF_NCFTTM(B1514,E1514)</f>
        <v>-133.15818936243599</v>
      </c>
      <c r="Q1514" s="7">
        <f>[1]!EM_S_VAL_DIVIDENDYIELD2(B1514,E1514,"2019-11-29")</f>
        <v>0</v>
      </c>
      <c r="T1514"/>
      <c r="U1514">
        <f>[1]!EM_S_RATIO_EPS_TTM(B1514,E1514,"1")</f>
        <v>0.20872925844745877</v>
      </c>
      <c r="AT1514" s="4" t="str">
        <f>[1]!EM_S_IPO_LISTEDDATE(B1514)</f>
        <v>2011-03-18</v>
      </c>
    </row>
    <row r="1515" spans="1:46">
      <c r="A1515">
        <v>2305</v>
      </c>
      <c r="B1515" t="str">
        <f>"600166"</f>
        <v>600166</v>
      </c>
      <c r="C1515" t="s">
        <v>3579</v>
      </c>
      <c r="D1515" t="str">
        <f>[1]!EM_S_INFO_INDEX_EM(B1515,"1")</f>
        <v>交运设备</v>
      </c>
      <c r="E1515" s="4">
        <f t="shared" si="23"/>
        <v>43465</v>
      </c>
      <c r="F1515" s="11">
        <f>[1]!EM_S_PQ_PCTCHANGE(B1515,"2018-01-01","2019-12-31","3")</f>
        <v>-25.249020909999999</v>
      </c>
      <c r="G1515" s="11">
        <f>[1]!EM_S_PQ_PCTCHANGE(B1515,"2018-12-31","2019-12-30","1")</f>
        <v>14.28571429</v>
      </c>
      <c r="H1515" s="11">
        <f>[1]!EM_S_FA_YOY_OR(B1515,E1515)</f>
        <v>-20.6078198411</v>
      </c>
      <c r="I1515" s="11">
        <f>[1]!EM_S_FA_GROSSPROFITMARGIN(B1515,E1515)</f>
        <v>13.348379789199999</v>
      </c>
      <c r="J1515" s="11">
        <f>[1]!EM_S_FA_NETPROFITMARGIN(B1515,E1515)</f>
        <v>-8.8637576635999995</v>
      </c>
      <c r="K1515" s="10">
        <f>[1]!EM_S_FA_ASSETSTURN(B1515,E1515)</f>
        <v>0.67673360478</v>
      </c>
      <c r="L1515" s="12">
        <f>[1]!EM_HKS_VAL_MV(B1515,"2019-12-31","2")</f>
        <v>13742151378.23</v>
      </c>
      <c r="M1515">
        <f>[1]!EM_S_VAL_PETTMDEDUCTED(B1515,E1515)</f>
        <v>-4.8029084690054402</v>
      </c>
      <c r="N1515" s="7">
        <f>[1]!EM_S_VAL_PBGOODWILLDEDUCTED(B1515,E1515)</f>
        <v>0.800465988106417</v>
      </c>
      <c r="O1515" s="7">
        <f>[1]!EM_S_VAL_PS_TTM(B1515,E1515)</f>
        <v>0.26138904910470501</v>
      </c>
      <c r="P1515" s="7">
        <f>[1]!EM_S_VAL_PCF_NCFTTM(B1515,E1515)</f>
        <v>10.406459298504499</v>
      </c>
      <c r="Q1515" s="7">
        <f>[1]!EM_S_VAL_DIVIDENDYIELD2(B1515,E1515,"2019-11-29")</f>
        <v>0</v>
      </c>
      <c r="T1515"/>
      <c r="U1515">
        <f>[1]!EM_S_RATIO_EPS_TTM(B1515,E1515,"1")</f>
        <v>-0.53590922220063231</v>
      </c>
      <c r="AT1515" s="4" t="str">
        <f>[1]!EM_S_IPO_LISTEDDATE(B1515)</f>
        <v>1998-06-02</v>
      </c>
    </row>
    <row r="1516" spans="1:46">
      <c r="A1516">
        <v>2894</v>
      </c>
      <c r="B1516" t="str">
        <f>"600821"</f>
        <v>600821</v>
      </c>
      <c r="C1516" t="s">
        <v>3636</v>
      </c>
      <c r="D1516" t="str">
        <f>[1]!EM_S_INFO_INDEX_EM(B1516,"1")</f>
        <v>商贸零售</v>
      </c>
      <c r="E1516" s="4">
        <f t="shared" si="23"/>
        <v>43465</v>
      </c>
      <c r="F1516" s="11">
        <f>[1]!EM_S_PQ_PCTCHANGE(B1516,"2018-01-01","2019-12-31","3")</f>
        <v>-33.956834530000002</v>
      </c>
      <c r="G1516" s="11">
        <f>[1]!EM_S_PQ_PCTCHANGE(B1516,"2018-12-31","2019-12-30","1")</f>
        <v>14.28571429</v>
      </c>
      <c r="H1516" s="11">
        <f>[1]!EM_S_FA_YOY_OR(B1516,E1516)</f>
        <v>-22.9666045986</v>
      </c>
      <c r="I1516" s="11">
        <f>[1]!EM_S_FA_GROSSPROFITMARGIN(B1516,E1516)</f>
        <v>21.032462687399999</v>
      </c>
      <c r="J1516" s="11">
        <f>[1]!EM_S_FA_NETPROFITMARGIN(B1516,E1516)</f>
        <v>-172.69350115520001</v>
      </c>
      <c r="K1516" s="10">
        <f>[1]!EM_S_FA_ASSETSTURN(B1516,E1516)</f>
        <v>0.114899956628</v>
      </c>
      <c r="L1516" s="12">
        <f>[1]!EM_HKS_VAL_MV(B1516,"2019-12-31","2")</f>
        <v>1910671152.75</v>
      </c>
      <c r="M1516">
        <f>[1]!EM_S_VAL_PETTMDEDUCTED(B1516,E1516)</f>
        <v>-7.2145462471194097</v>
      </c>
      <c r="N1516" s="7">
        <f>[1]!EM_S_VAL_PBGOODWILLDEDUCTED(B1516,E1516)</f>
        <v>6.9316810297335296</v>
      </c>
      <c r="O1516" s="7">
        <f>[1]!EM_S_VAL_PS_TTM(B1516,E1516)</f>
        <v>9.2486128439293598</v>
      </c>
      <c r="P1516" s="7">
        <f>[1]!EM_S_VAL_PCF_NCFTTM(B1516,E1516)</f>
        <v>-34.407884223724302</v>
      </c>
      <c r="Q1516" s="7">
        <f>[1]!EM_S_VAL_DIVIDENDYIELD2(B1516,E1516,"2019-11-29")</f>
        <v>0</v>
      </c>
      <c r="T1516"/>
      <c r="U1516">
        <f>[1]!EM_S_RATIO_EPS_TTM(B1516,E1516,"1")</f>
        <v>-0.65820879090639217</v>
      </c>
      <c r="AT1516" s="4" t="str">
        <f>[1]!EM_S_IPO_LISTEDDATE(B1516)</f>
        <v>1994-01-28</v>
      </c>
    </row>
    <row r="1517" spans="1:46">
      <c r="A1517">
        <v>2338</v>
      </c>
      <c r="B1517" t="str">
        <f>"600201"</f>
        <v>600201</v>
      </c>
      <c r="C1517" t="s">
        <v>183</v>
      </c>
      <c r="D1517" t="str">
        <f>[1]!EM_S_INFO_INDEX_EM(B1517,"1")</f>
        <v>农林牧渔</v>
      </c>
      <c r="E1517" s="4">
        <f t="shared" si="23"/>
        <v>43465</v>
      </c>
      <c r="F1517" s="11">
        <f>[1]!EM_S_PQ_PCTCHANGE(B1517,"2018-01-01","2019-12-31","3")</f>
        <v>-20.55619862</v>
      </c>
      <c r="G1517" s="11">
        <f>[1]!EM_S_PQ_PCTCHANGE(B1517,"2018-12-31","2019-12-30","1")</f>
        <v>14.27710843</v>
      </c>
      <c r="H1517" s="11">
        <f>[1]!EM_S_FA_YOY_OR(B1517,E1517)</f>
        <v>-0.23154183349999999</v>
      </c>
      <c r="I1517" s="11">
        <f>[1]!EM_S_FA_GROSSPROFITMARGIN(B1517,E1517)</f>
        <v>72.5011529776</v>
      </c>
      <c r="J1517" s="11">
        <f>[1]!EM_S_FA_NETPROFITMARGIN(B1517,E1517)</f>
        <v>39.523335821499998</v>
      </c>
      <c r="K1517" s="10">
        <f>[1]!EM_S_FA_ASSETSTURN(B1517,E1517)</f>
        <v>0.31618608423299999</v>
      </c>
      <c r="L1517" s="12">
        <f>[1]!EM_HKS_VAL_MV(B1517,"2019-12-31","2")</f>
        <v>21083217311.52</v>
      </c>
      <c r="M1517">
        <f>[1]!EM_S_VAL_PETTMDEDUCTED(B1517,E1517)</f>
        <v>22.505315392034898</v>
      </c>
      <c r="N1517" s="7">
        <f>[1]!EM_S_VAL_PBGOODWILLDEDUCTED(B1517,E1517)</f>
        <v>3.9772019115565</v>
      </c>
      <c r="O1517" s="7">
        <f>[1]!EM_S_VAL_PS_TTM(B1517,E1517)</f>
        <v>9.6757609314602</v>
      </c>
      <c r="P1517" s="7">
        <f>[1]!EM_S_VAL_PCF_NCFTTM(B1517,E1517)</f>
        <v>-12.835421787633299</v>
      </c>
      <c r="Q1517" s="7">
        <f>[1]!EM_S_VAL_DIVIDENDYIELD2(B1517,E1517,"2019-11-29")</f>
        <v>1.9179584452791449</v>
      </c>
      <c r="T1517"/>
      <c r="U1517">
        <f>[1]!EM_S_RATIO_EPS_TTM(B1517,E1517,"1")</f>
        <v>0.64454628012581983</v>
      </c>
      <c r="AT1517" s="4" t="str">
        <f>[1]!EM_S_IPO_LISTEDDATE(B1517)</f>
        <v>1999-01-15</v>
      </c>
    </row>
    <row r="1518" spans="1:46">
      <c r="A1518">
        <v>3422</v>
      </c>
      <c r="B1518" t="str">
        <f>"603527"</f>
        <v>603527</v>
      </c>
      <c r="C1518" t="s">
        <v>992</v>
      </c>
      <c r="D1518" t="str">
        <f>[1]!EM_S_INFO_INDEX_EM(B1518,"1")</f>
        <v>有色金属</v>
      </c>
      <c r="E1518" s="4">
        <f t="shared" si="23"/>
        <v>43465</v>
      </c>
      <c r="F1518" s="11">
        <f>[1]!EM_S_PQ_PCTCHANGE(B1518,"2018-01-01","2019-12-31","3")</f>
        <v>-43.143418330000003</v>
      </c>
      <c r="G1518" s="11">
        <f>[1]!EM_S_PQ_PCTCHANGE(B1518,"2018-12-31","2019-12-30","1")</f>
        <v>14.271938280000001</v>
      </c>
      <c r="H1518" s="11">
        <f>[1]!EM_S_FA_YOY_OR(B1518,E1518)</f>
        <v>7.5424061329000001</v>
      </c>
      <c r="I1518" s="11">
        <f>[1]!EM_S_FA_GROSSPROFITMARGIN(B1518,E1518)</f>
        <v>6.5634460343000001</v>
      </c>
      <c r="J1518" s="11">
        <f>[1]!EM_S_FA_NETPROFITMARGIN(B1518,E1518)</f>
        <v>2.9154413583999998</v>
      </c>
      <c r="K1518" s="10">
        <f>[1]!EM_S_FA_ASSETSTURN(B1518,E1518)</f>
        <v>2.8974742391250001</v>
      </c>
      <c r="L1518" s="12">
        <f>[1]!EM_HKS_VAL_MV(B1518,"2019-12-31","2")</f>
        <v>2060312800</v>
      </c>
      <c r="M1518">
        <f>[1]!EM_S_VAL_PETTMDEDUCTED(B1518,E1518)</f>
        <v>20.396897521099302</v>
      </c>
      <c r="N1518" s="7">
        <f>[1]!EM_S_VAL_PBGOODWILLDEDUCTED(B1518,E1518)</f>
        <v>2.0791556129797399</v>
      </c>
      <c r="O1518" s="7">
        <f>[1]!EM_S_VAL_PS_TTM(B1518,E1518)</f>
        <v>0.55969691918002196</v>
      </c>
      <c r="P1518" s="7">
        <f>[1]!EM_S_VAL_PCF_NCFTTM(B1518,E1518)</f>
        <v>-95.521096802783106</v>
      </c>
      <c r="Q1518" s="7">
        <f>[1]!EM_S_VAL_DIVIDENDYIELD2(B1518,E1518,"2019-11-29")</f>
        <v>2.0242914979757085</v>
      </c>
      <c r="T1518"/>
      <c r="U1518">
        <f>[1]!EM_S_RATIO_EPS_TTM(B1518,E1518,"1")</f>
        <v>0.5372295761368856</v>
      </c>
      <c r="AT1518" s="4" t="str">
        <f>[1]!EM_S_IPO_LISTEDDATE(B1518)</f>
        <v>2017-09-07</v>
      </c>
    </row>
    <row r="1519" spans="1:46">
      <c r="A1519">
        <v>1891</v>
      </c>
      <c r="B1519" t="str">
        <f>"300466"</f>
        <v>300466</v>
      </c>
      <c r="C1519" t="s">
        <v>2757</v>
      </c>
      <c r="D1519" t="str">
        <f>[1]!EM_S_INFO_INDEX_EM(B1519,"1")</f>
        <v>电气设备</v>
      </c>
      <c r="E1519" s="4">
        <f t="shared" si="23"/>
        <v>43465</v>
      </c>
      <c r="F1519" s="11">
        <f>[1]!EM_S_PQ_PCTCHANGE(B1519,"2018-01-01","2019-12-31","3")</f>
        <v>-46.757652149999998</v>
      </c>
      <c r="G1519" s="11">
        <f>[1]!EM_S_PQ_PCTCHANGE(B1519,"2018-12-31","2019-12-30","1")</f>
        <v>14.2578125</v>
      </c>
      <c r="H1519" s="11">
        <f>[1]!EM_S_FA_YOY_OR(B1519,E1519)</f>
        <v>-5.7781048658999996</v>
      </c>
      <c r="I1519" s="11">
        <f>[1]!EM_S_FA_GROSSPROFITMARGIN(B1519,E1519)</f>
        <v>42.845760164200001</v>
      </c>
      <c r="J1519" s="11">
        <f>[1]!EM_S_FA_NETPROFITMARGIN(B1519,E1519)</f>
        <v>-50.113330964500001</v>
      </c>
      <c r="K1519" s="10">
        <f>[1]!EM_S_FA_ASSETSTURN(B1519,E1519)</f>
        <v>0.252073533056</v>
      </c>
      <c r="L1519" s="12">
        <f>[1]!EM_HKS_VAL_MV(B1519,"2019-12-31","2")</f>
        <v>3157797743.0999999</v>
      </c>
      <c r="M1519">
        <f>[1]!EM_S_VAL_PETTMDEDUCTED(B1519,E1519)</f>
        <v>112.234364273004</v>
      </c>
      <c r="N1519" s="7">
        <f>[1]!EM_S_VAL_PBGOODWILLDEDUCTED(B1519,E1519)</f>
        <v>3.43486912836737</v>
      </c>
      <c r="O1519" s="7">
        <f>[1]!EM_S_VAL_PS_TTM(B1519,E1519)</f>
        <v>5.4595081278578297</v>
      </c>
      <c r="P1519" s="7">
        <f>[1]!EM_S_VAL_PCF_NCFTTM(B1519,E1519)</f>
        <v>907.83982712324098</v>
      </c>
      <c r="Q1519" s="7">
        <f>[1]!EM_S_VAL_DIVIDENDYIELD2(B1519,E1519,"2019-11-29")</f>
        <v>0</v>
      </c>
      <c r="T1519"/>
      <c r="U1519">
        <f>[1]!EM_S_RATIO_EPS_TTM(B1519,E1519,"1")</f>
        <v>-0.38484893092386202</v>
      </c>
      <c r="AT1519" s="4" t="str">
        <f>[1]!EM_S_IPO_LISTEDDATE(B1519)</f>
        <v>2015-05-28</v>
      </c>
    </row>
    <row r="1520" spans="1:46">
      <c r="A1520">
        <v>362</v>
      </c>
      <c r="B1520" t="str">
        <f>"000803"</f>
        <v>000803</v>
      </c>
      <c r="C1520" t="s">
        <v>3629</v>
      </c>
      <c r="D1520" t="str">
        <f>[1]!EM_S_INFO_INDEX_EM(B1520,"1")</f>
        <v>电气设备</v>
      </c>
      <c r="E1520" s="4">
        <f t="shared" si="23"/>
        <v>43465</v>
      </c>
      <c r="F1520" s="11">
        <f>[1]!EM_S_PQ_PCTCHANGE(B1520,"2018-01-01","2019-12-31","3")</f>
        <v>-40.70758738</v>
      </c>
      <c r="G1520" s="11">
        <f>[1]!EM_S_PQ_PCTCHANGE(B1520,"2018-12-31","2019-12-30","1")</f>
        <v>14.25061425</v>
      </c>
      <c r="H1520" s="11">
        <f>[1]!EM_S_FA_YOY_OR(B1520,E1520)</f>
        <v>64.177655515699996</v>
      </c>
      <c r="I1520" s="11">
        <f>[1]!EM_S_FA_GROSSPROFITMARGIN(B1520,E1520)</f>
        <v>18.500946147200001</v>
      </c>
      <c r="J1520" s="11">
        <f>[1]!EM_S_FA_NETPROFITMARGIN(B1520,E1520)</f>
        <v>1.3071554869999999</v>
      </c>
      <c r="K1520" s="10">
        <f>[1]!EM_S_FA_ASSETSTURN(B1520,E1520)</f>
        <v>0.375950993347</v>
      </c>
      <c r="L1520" s="12">
        <f>[1]!EM_HKS_VAL_MV(B1520,"2019-12-31","2")</f>
        <v>1776736721.6300001</v>
      </c>
      <c r="M1520">
        <f>[1]!EM_S_VAL_PETTMDEDUCTED(B1520,E1520)</f>
        <v>53.154917222513802</v>
      </c>
      <c r="N1520" s="7">
        <f>[1]!EM_S_VAL_PBGOODWILLDEDUCTED(B1520,E1520)</f>
        <v>-36.433556327009804</v>
      </c>
      <c r="O1520" s="7">
        <f>[1]!EM_S_VAL_PS_TTM(B1520,E1520)</f>
        <v>3.2496162848633001</v>
      </c>
      <c r="P1520" s="7">
        <f>[1]!EM_S_VAL_PCF_NCFTTM(B1520,E1520)</f>
        <v>86.158974253888005</v>
      </c>
      <c r="Q1520" s="7">
        <f>[1]!EM_S_VAL_DIVIDENDYIELD2(B1520,E1520,"2019-11-29")</f>
        <v>0</v>
      </c>
      <c r="T1520"/>
      <c r="U1520">
        <f>[1]!EM_S_RATIO_EPS_TTM(B1520,E1520,"1")</f>
        <v>6.3725046766877291E-2</v>
      </c>
      <c r="AT1520" s="4" t="str">
        <f>[1]!EM_S_IPO_LISTEDDATE(B1520)</f>
        <v>1998-03-03</v>
      </c>
    </row>
    <row r="1521" spans="1:46">
      <c r="A1521">
        <v>476</v>
      </c>
      <c r="B1521" t="str">
        <f>"000962"</f>
        <v>000962</v>
      </c>
      <c r="C1521" t="s">
        <v>3551</v>
      </c>
      <c r="D1521" t="str">
        <f>[1]!EM_S_INFO_INDEX_EM(B1521,"1")</f>
        <v>有色金属</v>
      </c>
      <c r="E1521" s="4">
        <f t="shared" si="23"/>
        <v>43465</v>
      </c>
      <c r="F1521" s="11">
        <f>[1]!EM_S_PQ_PCTCHANGE(B1521,"2018-01-01","2019-12-31","3")</f>
        <v>-18.128654969999999</v>
      </c>
      <c r="G1521" s="11">
        <f>[1]!EM_S_PQ_PCTCHANGE(B1521,"2018-12-31","2019-12-30","1")</f>
        <v>14.192495920000001</v>
      </c>
      <c r="H1521" s="11">
        <f>[1]!EM_S_FA_YOY_OR(B1521,E1521)</f>
        <v>15.9145574495</v>
      </c>
      <c r="I1521" s="11">
        <f>[1]!EM_S_FA_GROSSPROFITMARGIN(B1521,E1521)</f>
        <v>15.1905182045</v>
      </c>
      <c r="J1521" s="11">
        <f>[1]!EM_S_FA_NETPROFITMARGIN(B1521,E1521)</f>
        <v>2.7607728323999998</v>
      </c>
      <c r="K1521" s="10">
        <f>[1]!EM_S_FA_ASSETSTURN(B1521,E1521)</f>
        <v>0.56885271044999997</v>
      </c>
      <c r="L1521" s="12">
        <f>[1]!EM_HKS_VAL_MV(B1521,"2019-12-31","2")</f>
        <v>3085828508</v>
      </c>
      <c r="M1521">
        <f>[1]!EM_S_VAL_PETTMDEDUCTED(B1521,E1521)</f>
        <v>-10.731395881154601</v>
      </c>
      <c r="N1521" s="7">
        <f>[1]!EM_S_VAL_PBGOODWILLDEDUCTED(B1521,E1521)</f>
        <v>2.3932624007587799</v>
      </c>
      <c r="O1521" s="7">
        <f>[1]!EM_S_VAL_PS_TTM(B1521,E1521)</f>
        <v>2.5600615946984502</v>
      </c>
      <c r="P1521" s="7">
        <f>[1]!EM_S_VAL_PCF_NCFTTM(B1521,E1521)</f>
        <v>-59.999534194902701</v>
      </c>
      <c r="Q1521" s="7">
        <f>[1]!EM_S_VAL_DIVIDENDYIELD2(B1521,E1521,"2019-11-29")</f>
        <v>0</v>
      </c>
      <c r="T1521"/>
      <c r="U1521">
        <f>[1]!EM_S_RATIO_EPS_TTM(B1521,E1521,"1")</f>
        <v>6.7792843195160477E-2</v>
      </c>
      <c r="AT1521" s="4" t="str">
        <f>[1]!EM_S_IPO_LISTEDDATE(B1521)</f>
        <v>2000-01-20</v>
      </c>
    </row>
    <row r="1522" spans="1:46">
      <c r="A1522">
        <v>2777</v>
      </c>
      <c r="B1522" t="str">
        <f>"600704"</f>
        <v>600704</v>
      </c>
      <c r="C1522" t="s">
        <v>420</v>
      </c>
      <c r="D1522" t="str">
        <f>[1]!EM_S_INFO_INDEX_EM(B1522,"1")</f>
        <v>交通运输</v>
      </c>
      <c r="E1522" s="4">
        <f t="shared" si="23"/>
        <v>43465</v>
      </c>
      <c r="F1522" s="11">
        <f>[1]!EM_S_PQ_PCTCHANGE(B1522,"2018-01-01","2019-12-31","3")</f>
        <v>-16.856587909999998</v>
      </c>
      <c r="G1522" s="11">
        <f>[1]!EM_S_PQ_PCTCHANGE(B1522,"2018-12-31","2019-12-30","1")</f>
        <v>14.19213974</v>
      </c>
      <c r="H1522" s="11">
        <f>[1]!EM_S_FA_YOY_OR(B1522,E1522)</f>
        <v>8.6553718503999999</v>
      </c>
      <c r="I1522" s="11">
        <f>[1]!EM_S_FA_GROSSPROFITMARGIN(B1522,E1522)</f>
        <v>2.7508733076</v>
      </c>
      <c r="J1522" s="11">
        <f>[1]!EM_S_FA_NETPROFITMARGIN(B1522,E1522)</f>
        <v>1.1415204787</v>
      </c>
      <c r="K1522" s="10">
        <f>[1]!EM_S_FA_ASSETSTURN(B1522,E1522)</f>
        <v>3.4946998693559999</v>
      </c>
      <c r="L1522" s="12">
        <f>[1]!EM_HKS_VAL_MV(B1522,"2019-12-31","2")</f>
        <v>26576455710</v>
      </c>
      <c r="M1522">
        <f>[1]!EM_S_VAL_PETTMDEDUCTED(B1522,E1522)</f>
        <v>13.092267570396601</v>
      </c>
      <c r="N1522" s="7">
        <f>[1]!EM_S_VAL_PBGOODWILLDEDUCTED(B1522,E1522)</f>
        <v>1.17406422787353</v>
      </c>
      <c r="O1522" s="7">
        <f>[1]!EM_S_VAL_PS_TTM(B1522,E1522)</f>
        <v>6.6494716025096198E-2</v>
      </c>
      <c r="P1522" s="7">
        <f>[1]!EM_S_VAL_PCF_NCFTTM(B1522,E1522)</f>
        <v>21.861772260889001</v>
      </c>
      <c r="Q1522" s="7">
        <f>[1]!EM_S_VAL_DIVIDENDYIELD2(B1522,E1522,"2019-11-29")</f>
        <v>4.1867919932147908</v>
      </c>
      <c r="T1522"/>
      <c r="U1522">
        <f>[1]!EM_S_RATIO_EPS_TTM(B1522,E1522,"1")</f>
        <v>0.55663148698340614</v>
      </c>
      <c r="AT1522" s="4" t="str">
        <f>[1]!EM_S_IPO_LISTEDDATE(B1522)</f>
        <v>1996-06-06</v>
      </c>
    </row>
    <row r="1523" spans="1:46">
      <c r="A1523">
        <v>449</v>
      </c>
      <c r="B1523" t="str">
        <f>"000925"</f>
        <v>000925</v>
      </c>
      <c r="C1523" t="s">
        <v>3073</v>
      </c>
      <c r="D1523" t="str">
        <f>[1]!EM_S_INFO_INDEX_EM(B1523,"1")</f>
        <v>交运设备</v>
      </c>
      <c r="E1523" s="4">
        <f t="shared" si="23"/>
        <v>43465</v>
      </c>
      <c r="F1523" s="11">
        <f>[1]!EM_S_PQ_PCTCHANGE(B1523,"2018-01-01","2019-12-31","3")</f>
        <v>-39.432076019999997</v>
      </c>
      <c r="G1523" s="11">
        <f>[1]!EM_S_PQ_PCTCHANGE(B1523,"2018-12-31","2019-12-30","1")</f>
        <v>14.18803419</v>
      </c>
      <c r="H1523" s="11">
        <f>[1]!EM_S_FA_YOY_OR(B1523,E1523)</f>
        <v>0.1319198684</v>
      </c>
      <c r="I1523" s="11">
        <f>[1]!EM_S_FA_GROSSPROFITMARGIN(B1523,E1523)</f>
        <v>29.823942193400001</v>
      </c>
      <c r="J1523" s="11">
        <f>[1]!EM_S_FA_NETPROFITMARGIN(B1523,E1523)</f>
        <v>1.2649647572</v>
      </c>
      <c r="K1523" s="10">
        <f>[1]!EM_S_FA_ASSETSTURN(B1523,E1523)</f>
        <v>0.334764991658</v>
      </c>
      <c r="L1523" s="12">
        <f>[1]!EM_HKS_VAL_MV(B1523,"2019-12-31","2")</f>
        <v>3682084850.0999999</v>
      </c>
      <c r="M1523">
        <f>[1]!EM_S_VAL_PETTMDEDUCTED(B1523,E1523)</f>
        <v>66.055638747571706</v>
      </c>
      <c r="N1523" s="7">
        <f>[1]!EM_S_VAL_PBGOODWILLDEDUCTED(B1523,E1523)</f>
        <v>1.8912805220407001</v>
      </c>
      <c r="O1523" s="7">
        <f>[1]!EM_S_VAL_PS_TTM(B1523,E1523)</f>
        <v>1.43441774389821</v>
      </c>
      <c r="P1523" s="7">
        <f>[1]!EM_S_VAL_PCF_NCFTTM(B1523,E1523)</f>
        <v>-23.513038692225901</v>
      </c>
      <c r="Q1523" s="7">
        <f>[1]!EM_S_VAL_DIVIDENDYIELD2(B1523,E1523,"2019-11-29")</f>
        <v>0</v>
      </c>
      <c r="T1523"/>
      <c r="U1523">
        <f>[1]!EM_S_RATIO_EPS_TTM(B1523,E1523,"1")</f>
        <v>4.9102246341259696E-2</v>
      </c>
      <c r="AT1523" s="4" t="str">
        <f>[1]!EM_S_IPO_LISTEDDATE(B1523)</f>
        <v>1999-06-11</v>
      </c>
    </row>
    <row r="1524" spans="1:46">
      <c r="A1524">
        <v>1174</v>
      </c>
      <c r="B1524" t="str">
        <f>"002663"</f>
        <v>002663</v>
      </c>
      <c r="C1524" t="s">
        <v>2948</v>
      </c>
      <c r="D1524" t="str">
        <f>[1]!EM_S_INFO_INDEX_EM(B1524,"1")</f>
        <v>建筑</v>
      </c>
      <c r="E1524" s="4">
        <f t="shared" si="23"/>
        <v>43465</v>
      </c>
      <c r="F1524" s="11">
        <f>[1]!EM_S_PQ_PCTCHANGE(B1524,"2018-01-01","2019-12-31","3")</f>
        <v>-47.2379198</v>
      </c>
      <c r="G1524" s="11">
        <f>[1]!EM_S_PQ_PCTCHANGE(B1524,"2018-12-31","2019-12-30","1")</f>
        <v>14.17004049</v>
      </c>
      <c r="H1524" s="11">
        <f>[1]!EM_S_FA_YOY_OR(B1524,E1524)</f>
        <v>6.4155643614000004</v>
      </c>
      <c r="I1524" s="11">
        <f>[1]!EM_S_FA_GROSSPROFITMARGIN(B1524,E1524)</f>
        <v>11.2297457554</v>
      </c>
      <c r="J1524" s="11">
        <f>[1]!EM_S_FA_NETPROFITMARGIN(B1524,E1524)</f>
        <v>1.2689290518</v>
      </c>
      <c r="K1524" s="10">
        <f>[1]!EM_S_FA_ASSETSTURN(B1524,E1524)</f>
        <v>0.40118847091100002</v>
      </c>
      <c r="L1524" s="12">
        <f>[1]!EM_HKS_VAL_MV(B1524,"2019-12-31","2")</f>
        <v>5244000119.8400002</v>
      </c>
      <c r="M1524">
        <f>[1]!EM_S_VAL_PETTMDEDUCTED(B1524,E1524)</f>
        <v>29.1683578317189</v>
      </c>
      <c r="N1524" s="7">
        <f>[1]!EM_S_VAL_PBGOODWILLDEDUCTED(B1524,E1524)</f>
        <v>1.0791308649155</v>
      </c>
      <c r="O1524" s="7">
        <f>[1]!EM_S_VAL_PS_TTM(B1524,E1524)</f>
        <v>1.2066346653972999</v>
      </c>
      <c r="P1524" s="7">
        <f>[1]!EM_S_VAL_PCF_NCFTTM(B1524,E1524)</f>
        <v>-53.867344105337999</v>
      </c>
      <c r="Q1524" s="7">
        <f>[1]!EM_S_VAL_DIVIDENDYIELD2(B1524,E1524,"2019-11-29")</f>
        <v>0.10600706713780918</v>
      </c>
      <c r="T1524"/>
      <c r="U1524">
        <f>[1]!EM_S_RATIO_EPS_TTM(B1524,E1524,"1")</f>
        <v>2.3816689488140339E-2</v>
      </c>
      <c r="AT1524" s="4" t="str">
        <f>[1]!EM_S_IPO_LISTEDDATE(B1524)</f>
        <v>2012-03-16</v>
      </c>
    </row>
    <row r="1525" spans="1:46">
      <c r="A1525">
        <v>2916</v>
      </c>
      <c r="B1525" t="str">
        <f>"600843"</f>
        <v>600843</v>
      </c>
      <c r="C1525" t="s">
        <v>1297</v>
      </c>
      <c r="D1525" t="str">
        <f>[1]!EM_S_INFO_INDEX_EM(B1525,"1")</f>
        <v>机械设备</v>
      </c>
      <c r="E1525" s="4">
        <f t="shared" si="23"/>
        <v>43465</v>
      </c>
      <c r="F1525" s="11">
        <f>[1]!EM_S_PQ_PCTCHANGE(B1525,"2018-01-01","2019-12-31","3")</f>
        <v>-27.10900474</v>
      </c>
      <c r="G1525" s="11">
        <f>[1]!EM_S_PQ_PCTCHANGE(B1525,"2018-12-31","2019-12-30","1")</f>
        <v>14.156626510000001</v>
      </c>
      <c r="H1525" s="11">
        <f>[1]!EM_S_FA_YOY_OR(B1525,E1525)</f>
        <v>4.4227569575999999</v>
      </c>
      <c r="I1525" s="11">
        <f>[1]!EM_S_FA_GROSSPROFITMARGIN(B1525,E1525)</f>
        <v>27.444692915000001</v>
      </c>
      <c r="J1525" s="11">
        <f>[1]!EM_S_FA_NETPROFITMARGIN(B1525,E1525)</f>
        <v>4.9507349026999998</v>
      </c>
      <c r="K1525" s="10">
        <f>[1]!EM_S_FA_ASSETSTURN(B1525,E1525)</f>
        <v>0.81566606779499995</v>
      </c>
      <c r="L1525" s="12">
        <f>[1]!EM_HKS_VAL_MV(B1525,"2019-12-31","2")</f>
        <v>4218654024</v>
      </c>
      <c r="M1525">
        <f>[1]!EM_S_VAL_PETTMDEDUCTED(B1525,E1525)</f>
        <v>33.052463186712501</v>
      </c>
      <c r="N1525" s="7">
        <f>[1]!EM_S_VAL_PBGOODWILLDEDUCTED(B1525,E1525)</f>
        <v>1.7573635166683499</v>
      </c>
      <c r="O1525" s="7">
        <f>[1]!EM_S_VAL_PS_TTM(B1525,E1525)</f>
        <v>1.1810214619951001</v>
      </c>
      <c r="P1525" s="7">
        <f>[1]!EM_S_VAL_PCF_NCFTTM(B1525,E1525)</f>
        <v>-21.438875315708501</v>
      </c>
      <c r="Q1525" s="7">
        <f>[1]!EM_S_VAL_DIVIDENDYIELD2(B1525,E1525,"2019-11-29")</f>
        <v>0</v>
      </c>
      <c r="T1525"/>
      <c r="U1525">
        <f>[1]!EM_S_RATIO_EPS_TTM(B1525,E1525,"1")</f>
        <v>0.25670929087973959</v>
      </c>
      <c r="AT1525" s="4" t="str">
        <f>[1]!EM_S_IPO_LISTEDDATE(B1525)</f>
        <v>1994-03-11</v>
      </c>
    </row>
    <row r="1526" spans="1:46">
      <c r="A1526">
        <v>2132</v>
      </c>
      <c r="B1526" t="str">
        <f>"300717"</f>
        <v>300717</v>
      </c>
      <c r="C1526" t="s">
        <v>1099</v>
      </c>
      <c r="D1526" t="str">
        <f>[1]!EM_S_INFO_INDEX_EM(B1526,"1")</f>
        <v>基础化工</v>
      </c>
      <c r="E1526" s="4">
        <f t="shared" si="23"/>
        <v>43465</v>
      </c>
      <c r="F1526" s="11">
        <f>[1]!EM_S_PQ_PCTCHANGE(B1526,"2018-01-01","2019-12-31","3")</f>
        <v>-28.396124749999998</v>
      </c>
      <c r="G1526" s="11">
        <f>[1]!EM_S_PQ_PCTCHANGE(B1526,"2018-12-31","2019-12-30","1")</f>
        <v>14.15620642</v>
      </c>
      <c r="H1526" s="11">
        <f>[1]!EM_S_FA_YOY_OR(B1526,E1526)</f>
        <v>8.0182960170000008</v>
      </c>
      <c r="I1526" s="11">
        <f>[1]!EM_S_FA_GROSSPROFITMARGIN(B1526,E1526)</f>
        <v>26.9937526109</v>
      </c>
      <c r="J1526" s="11">
        <f>[1]!EM_S_FA_NETPROFITMARGIN(B1526,E1526)</f>
        <v>15.226391101999999</v>
      </c>
      <c r="K1526" s="10">
        <f>[1]!EM_S_FA_ASSETSTURN(B1526,E1526)</f>
        <v>0.52831825481600003</v>
      </c>
      <c r="L1526" s="12">
        <f>[1]!EM_HKS_VAL_MV(B1526,"2019-12-31","2")</f>
        <v>1667072000</v>
      </c>
      <c r="M1526">
        <f>[1]!EM_S_VAL_PETTMDEDUCTED(B1526,E1526)</f>
        <v>37.678442552733898</v>
      </c>
      <c r="N1526" s="7">
        <f>[1]!EM_S_VAL_PBGOODWILLDEDUCTED(B1526,E1526)</f>
        <v>2.72170140829332</v>
      </c>
      <c r="O1526" s="7">
        <f>[1]!EM_S_VAL_PS_TTM(B1526,E1526)</f>
        <v>4.6668491137739299</v>
      </c>
      <c r="P1526" s="7">
        <f>[1]!EM_S_VAL_PCF_NCFTTM(B1526,E1526)</f>
        <v>24.349722814325698</v>
      </c>
      <c r="Q1526" s="7">
        <f>[1]!EM_S_VAL_DIVIDENDYIELD2(B1526,E1526,"2019-11-29")</f>
        <v>0.39551746868820042</v>
      </c>
      <c r="T1526"/>
      <c r="U1526">
        <f>[1]!EM_S_RATIO_EPS_TTM(B1526,E1526,"1")</f>
        <v>0.45589631259765623</v>
      </c>
      <c r="AT1526" s="4" t="str">
        <f>[1]!EM_S_IPO_LISTEDDATE(B1526)</f>
        <v>2017-11-06</v>
      </c>
    </row>
    <row r="1527" spans="1:46">
      <c r="A1527">
        <v>2716</v>
      </c>
      <c r="B1527" t="str">
        <f>"600643"</f>
        <v>600643</v>
      </c>
      <c r="C1527" t="s">
        <v>1258</v>
      </c>
      <c r="D1527" t="str">
        <f>[1]!EM_S_INFO_INDEX_EM(B1527,"1")</f>
        <v>金融</v>
      </c>
      <c r="E1527" s="4">
        <f t="shared" si="23"/>
        <v>43465</v>
      </c>
      <c r="F1527" s="11">
        <f>[1]!EM_S_PQ_PCTCHANGE(B1527,"2018-01-01","2019-12-31","3")</f>
        <v>-11.122525980000001</v>
      </c>
      <c r="G1527" s="11">
        <f>[1]!EM_S_PQ_PCTCHANGE(B1527,"2018-12-31","2019-12-30","1")</f>
        <v>14.13427562</v>
      </c>
      <c r="H1527" s="11">
        <f>[1]!EM_S_FA_YOY_OR(B1527,E1527)</f>
        <v>41.409890425299999</v>
      </c>
      <c r="I1527" s="11">
        <f>[1]!EM_S_FA_GROSSPROFITMARGIN(B1527,E1527)</f>
        <v>41.978721439600001</v>
      </c>
      <c r="J1527" s="11">
        <f>[1]!EM_S_FA_NETPROFITMARGIN(B1527,E1527)</f>
        <v>122.1212895809</v>
      </c>
      <c r="K1527" s="10">
        <f>[1]!EM_S_FA_ASSETSTURN(B1527,E1527)</f>
        <v>0.12386192912299999</v>
      </c>
      <c r="L1527" s="12">
        <f>[1]!EM_HKS_VAL_MV(B1527,"2019-12-31","2")</f>
        <v>15570455539.200001</v>
      </c>
      <c r="M1527">
        <f>[1]!EM_S_VAL_PETTMDEDUCTED(B1527,E1527)</f>
        <v>13.204233693787399</v>
      </c>
      <c r="N1527" s="7">
        <f>[1]!EM_S_VAL_PBGOODWILLDEDUCTED(B1527,E1527)</f>
        <v>1.43659375219701</v>
      </c>
      <c r="O1527" s="7">
        <f>[1]!EM_S_VAL_PS_TTM(B1527,E1527)</f>
        <v>5.1652106121347403</v>
      </c>
      <c r="P1527" s="7">
        <f>[1]!EM_S_VAL_PCF_NCFTTM(B1527,E1527)</f>
        <v>202.00354920387301</v>
      </c>
      <c r="Q1527" s="7">
        <f>[1]!EM_S_VAL_DIVIDENDYIELD2(B1527,E1527,"2019-11-29")</f>
        <v>1.3888888888888886</v>
      </c>
      <c r="T1527"/>
      <c r="U1527">
        <f>[1]!EM_S_RATIO_EPS_TTM(B1527,E1527,"1")</f>
        <v>0.71401975709871979</v>
      </c>
      <c r="AT1527" s="4" t="str">
        <f>[1]!EM_S_IPO_LISTEDDATE(B1527)</f>
        <v>1993-04-26</v>
      </c>
    </row>
    <row r="1528" spans="1:46">
      <c r="A1528">
        <v>2095</v>
      </c>
      <c r="B1528" t="str">
        <f>"300677"</f>
        <v>300677</v>
      </c>
      <c r="C1528" t="s">
        <v>1331</v>
      </c>
      <c r="D1528" t="str">
        <f>[1]!EM_S_INFO_INDEX_EM(B1528,"1")</f>
        <v>医药生物</v>
      </c>
      <c r="E1528" s="4">
        <f t="shared" si="23"/>
        <v>43465</v>
      </c>
      <c r="F1528" s="11">
        <f>[1]!EM_S_PQ_PCTCHANGE(B1528,"2018-01-01","2019-12-31","3")</f>
        <v>-36.088612840000003</v>
      </c>
      <c r="G1528" s="11">
        <f>[1]!EM_S_PQ_PCTCHANGE(B1528,"2018-12-31","2019-12-30","1")</f>
        <v>14.07205982</v>
      </c>
      <c r="H1528" s="11">
        <f>[1]!EM_S_FA_YOY_OR(B1528,E1528)</f>
        <v>8.1156523063999995</v>
      </c>
      <c r="I1528" s="11">
        <f>[1]!EM_S_FA_GROSSPROFITMARGIN(B1528,E1528)</f>
        <v>24.942066439000001</v>
      </c>
      <c r="J1528" s="11">
        <f>[1]!EM_S_FA_NETPROFITMARGIN(B1528,E1528)</f>
        <v>9.4760830498999997</v>
      </c>
      <c r="K1528" s="10">
        <f>[1]!EM_S_FA_ASSETSTURN(B1528,E1528)</f>
        <v>0.92707069633700001</v>
      </c>
      <c r="L1528" s="12">
        <f>[1]!EM_HKS_VAL_MV(B1528,"2019-12-31","2")</f>
        <v>3289780642.2600002</v>
      </c>
      <c r="M1528">
        <f>[1]!EM_S_VAL_PETTMDEDUCTED(B1528,E1528)</f>
        <v>18.870828979877501</v>
      </c>
      <c r="N1528" s="7">
        <f>[1]!EM_S_VAL_PBGOODWILLDEDUCTED(B1528,E1528)</f>
        <v>2.2701265587149799</v>
      </c>
      <c r="O1528" s="7">
        <f>[1]!EM_S_VAL_PS_TTM(B1528,E1528)</f>
        <v>1.5898469094746699</v>
      </c>
      <c r="P1528" s="7">
        <f>[1]!EM_S_VAL_PCF_NCFTTM(B1528,E1528)</f>
        <v>9.73331200280197</v>
      </c>
      <c r="Q1528" s="7">
        <f>[1]!EM_S_VAL_DIVIDENDYIELD2(B1528,E1528,"2019-11-29")</f>
        <v>0.98482078260601091</v>
      </c>
      <c r="T1528"/>
      <c r="U1528">
        <f>[1]!EM_S_RATIO_EPS_TTM(B1528,E1528,"1")</f>
        <v>0.91281089334706667</v>
      </c>
      <c r="AT1528" s="4" t="str">
        <f>[1]!EM_S_IPO_LISTEDDATE(B1528)</f>
        <v>2017-07-21</v>
      </c>
    </row>
    <row r="1529" spans="1:46">
      <c r="A1529">
        <v>3035</v>
      </c>
      <c r="B1529" t="str">
        <f>"601018"</f>
        <v>601018</v>
      </c>
      <c r="C1529" t="s">
        <v>1341</v>
      </c>
      <c r="D1529" t="str">
        <f>[1]!EM_S_INFO_INDEX_EM(B1529,"1")</f>
        <v>交通运输</v>
      </c>
      <c r="E1529" s="4">
        <f t="shared" si="23"/>
        <v>43465</v>
      </c>
      <c r="F1529" s="11">
        <f>[1]!EM_S_PQ_PCTCHANGE(B1529,"2018-01-01","2019-12-31","3")</f>
        <v>-26.02324299</v>
      </c>
      <c r="G1529" s="11">
        <f>[1]!EM_S_PQ_PCTCHANGE(B1529,"2018-12-31","2019-12-30","1")</f>
        <v>14.071856289999999</v>
      </c>
      <c r="H1529" s="11">
        <f>[1]!EM_S_FA_YOY_OR(B1529,E1529)</f>
        <v>20.3305773216</v>
      </c>
      <c r="I1529" s="11">
        <f>[1]!EM_S_FA_GROSSPROFITMARGIN(B1529,E1529)</f>
        <v>24.5019872156</v>
      </c>
      <c r="J1529" s="11">
        <f>[1]!EM_S_FA_NETPROFITMARGIN(B1529,E1529)</f>
        <v>14.6555863955</v>
      </c>
      <c r="K1529" s="10">
        <f>[1]!EM_S_FA_ASSETSTURN(B1529,E1529)</f>
        <v>0.32216598417699999</v>
      </c>
      <c r="L1529" s="12">
        <f>[1]!EM_HKS_VAL_MV(B1529,"2019-12-31","2")</f>
        <v>50056821674.199997</v>
      </c>
      <c r="M1529">
        <f>[1]!EM_S_VAL_PETTMDEDUCTED(B1529,E1529)</f>
        <v>17.525108914077901</v>
      </c>
      <c r="N1529" s="7">
        <f>[1]!EM_S_VAL_PBGOODWILLDEDUCTED(B1529,E1529)</f>
        <v>1.1515960390334301</v>
      </c>
      <c r="O1529" s="7">
        <f>[1]!EM_S_VAL_PS_TTM(B1529,E1529)</f>
        <v>2.03696303042969</v>
      </c>
      <c r="P1529" s="7">
        <f>[1]!EM_S_VAL_PCF_NCFTTM(B1529,E1529)</f>
        <v>6.9410207019220502</v>
      </c>
      <c r="Q1529" s="7">
        <f>[1]!EM_S_VAL_DIVIDENDYIELD2(B1529,E1529,"2019-11-29")</f>
        <v>2.569060773480663</v>
      </c>
      <c r="T1529"/>
      <c r="U1529">
        <f>[1]!EM_S_RATIO_EPS_TTM(B1529,E1529,"1")</f>
        <v>0.21895052928717854</v>
      </c>
      <c r="AT1529" s="4" t="str">
        <f>[1]!EM_S_IPO_LISTEDDATE(B1529)</f>
        <v>2010-09-28</v>
      </c>
    </row>
    <row r="1530" spans="1:46">
      <c r="A1530">
        <v>1719</v>
      </c>
      <c r="B1530" t="str">
        <f>"300294"</f>
        <v>300294</v>
      </c>
      <c r="C1530" t="s">
        <v>825</v>
      </c>
      <c r="D1530" t="str">
        <f>[1]!EM_S_INFO_INDEX_EM(B1530,"1")</f>
        <v>医药生物</v>
      </c>
      <c r="E1530" s="4">
        <f t="shared" si="23"/>
        <v>43465</v>
      </c>
      <c r="F1530" s="11">
        <f>[1]!EM_S_PQ_PCTCHANGE(B1530,"2018-01-01","2019-12-31","3")</f>
        <v>5.3601912399999998</v>
      </c>
      <c r="G1530" s="11">
        <f>[1]!EM_S_PQ_PCTCHANGE(B1530,"2018-12-31","2019-12-30","1")</f>
        <v>14.042237869999999</v>
      </c>
      <c r="H1530" s="11">
        <f>[1]!EM_S_FA_YOY_OR(B1530,E1530)</f>
        <v>67.837600726299996</v>
      </c>
      <c r="I1530" s="11">
        <f>[1]!EM_S_FA_GROSSPROFITMARGIN(B1530,E1530)</f>
        <v>62.180068676600001</v>
      </c>
      <c r="J1530" s="11">
        <f>[1]!EM_S_FA_NETPROFITMARGIN(B1530,E1530)</f>
        <v>19.7886296175</v>
      </c>
      <c r="K1530" s="10">
        <f>[1]!EM_S_FA_ASSETSTURN(B1530,E1530)</f>
        <v>0.56076062021100004</v>
      </c>
      <c r="L1530" s="12">
        <f>[1]!EM_HKS_VAL_MV(B1530,"2019-12-31","2")</f>
        <v>13532735471.49</v>
      </c>
      <c r="M1530">
        <f>[1]!EM_S_VAL_PETTMDEDUCTED(B1530,E1530)</f>
        <v>28.663282566511398</v>
      </c>
      <c r="N1530" s="7">
        <f>[1]!EM_S_VAL_PBGOODWILLDEDUCTED(B1530,E1530)</f>
        <v>3.84614911063121</v>
      </c>
      <c r="O1530" s="7">
        <f>[1]!EM_S_VAL_PS_TTM(B1530,E1530)</f>
        <v>5.06859530524705</v>
      </c>
      <c r="P1530" s="7">
        <f>[1]!EM_S_VAL_PCF_NCFTTM(B1530,E1530)</f>
        <v>37.200421668101797</v>
      </c>
      <c r="Q1530" s="7">
        <f>[1]!EM_S_VAL_DIVIDENDYIELD2(B1530,E1530,"2019-11-29")</f>
        <v>0.50346618277796107</v>
      </c>
      <c r="T1530"/>
      <c r="U1530">
        <f>[1]!EM_S_RATIO_EPS_TTM(B1530,E1530,"1")</f>
        <v>1.0827322601611253</v>
      </c>
      <c r="AT1530" s="4" t="str">
        <f>[1]!EM_S_IPO_LISTEDDATE(B1530)</f>
        <v>2012-03-08</v>
      </c>
    </row>
    <row r="1531" spans="1:46">
      <c r="A1531">
        <v>321</v>
      </c>
      <c r="B1531" t="str">
        <f>"000751"</f>
        <v>000751</v>
      </c>
      <c r="C1531" t="s">
        <v>1862</v>
      </c>
      <c r="D1531" t="str">
        <f>[1]!EM_S_INFO_INDEX_EM(B1531,"1")</f>
        <v>有色金属</v>
      </c>
      <c r="E1531" s="4">
        <f t="shared" si="23"/>
        <v>43465</v>
      </c>
      <c r="F1531" s="11">
        <f>[1]!EM_S_PQ_PCTCHANGE(B1531,"2018-01-01","2019-12-31","3")</f>
        <v>-37.037037040000001</v>
      </c>
      <c r="G1531" s="11">
        <f>[1]!EM_S_PQ_PCTCHANGE(B1531,"2018-12-31","2019-12-30","1")</f>
        <v>14.03508772</v>
      </c>
      <c r="H1531" s="11">
        <f>[1]!EM_S_FA_YOY_OR(B1531,E1531)</f>
        <v>24.749636666299999</v>
      </c>
      <c r="I1531" s="11">
        <f>[1]!EM_S_FA_GROSSPROFITMARGIN(B1531,E1531)</f>
        <v>5.6763049763</v>
      </c>
      <c r="J1531" s="11">
        <f>[1]!EM_S_FA_NETPROFITMARGIN(B1531,E1531)</f>
        <v>0.63502307840000005</v>
      </c>
      <c r="K1531" s="10">
        <f>[1]!EM_S_FA_ASSETSTURN(B1531,E1531)</f>
        <v>1.8929670623099999</v>
      </c>
      <c r="L1531" s="12">
        <f>[1]!EM_HKS_VAL_MV(B1531,"2019-12-31","2")</f>
        <v>4553877771.1700001</v>
      </c>
      <c r="M1531">
        <f>[1]!EM_S_VAL_PETTMDEDUCTED(B1531,E1531)</f>
        <v>55.510968678907297</v>
      </c>
      <c r="N1531" s="7">
        <f>[1]!EM_S_VAL_PBGOODWILLDEDUCTED(B1531,E1531)</f>
        <v>1.6543078708250301</v>
      </c>
      <c r="O1531" s="7">
        <f>[1]!EM_S_VAL_PS_TTM(B1531,E1531)</f>
        <v>0.51264078445414996</v>
      </c>
      <c r="P1531" s="7">
        <f>[1]!EM_S_VAL_PCF_NCFTTM(B1531,E1531)</f>
        <v>395.94685013444501</v>
      </c>
      <c r="Q1531" s="7">
        <f>[1]!EM_S_VAL_DIVIDENDYIELD2(B1531,E1531,"2019-11-29")</f>
        <v>0</v>
      </c>
      <c r="T1531"/>
      <c r="U1531">
        <f>[1]!EM_S_RATIO_EPS_TTM(B1531,E1531,"1")</f>
        <v>3.7643857718244529E-2</v>
      </c>
      <c r="AT1531" s="4" t="str">
        <f>[1]!EM_S_IPO_LISTEDDATE(B1531)</f>
        <v>1997-06-26</v>
      </c>
    </row>
    <row r="1532" spans="1:46">
      <c r="A1532">
        <v>1288</v>
      </c>
      <c r="B1532" t="str">
        <f>"002781"</f>
        <v>002781</v>
      </c>
      <c r="C1532" t="s">
        <v>1172</v>
      </c>
      <c r="D1532" t="str">
        <f>[1]!EM_S_INFO_INDEX_EM(B1532,"1")</f>
        <v>建筑</v>
      </c>
      <c r="E1532" s="4">
        <f t="shared" si="23"/>
        <v>43465</v>
      </c>
      <c r="F1532" s="11">
        <f>[1]!EM_S_PQ_PCTCHANGE(B1532,"2018-01-01","2019-12-31","3")</f>
        <v>-30.54512909</v>
      </c>
      <c r="G1532" s="11">
        <f>[1]!EM_S_PQ_PCTCHANGE(B1532,"2018-12-31","2019-12-30","1")</f>
        <v>14.018043029999999</v>
      </c>
      <c r="H1532" s="11">
        <f>[1]!EM_S_FA_YOY_OR(B1532,E1532)</f>
        <v>27.662608388300001</v>
      </c>
      <c r="I1532" s="11">
        <f>[1]!EM_S_FA_GROSSPROFITMARGIN(B1532,E1532)</f>
        <v>14.529744725400001</v>
      </c>
      <c r="J1532" s="11">
        <f>[1]!EM_S_FA_NETPROFITMARGIN(B1532,E1532)</f>
        <v>3.1926931588</v>
      </c>
      <c r="K1532" s="10">
        <f>[1]!EM_S_FA_ASSETSTURN(B1532,E1532)</f>
        <v>1.0773372144960001</v>
      </c>
      <c r="L1532" s="12">
        <f>[1]!EM_HKS_VAL_MV(B1532,"2019-12-31","2")</f>
        <v>3658500000</v>
      </c>
      <c r="M1532">
        <f>[1]!EM_S_VAL_PETTMDEDUCTED(B1532,E1532)</f>
        <v>20.855386305636902</v>
      </c>
      <c r="N1532" s="7">
        <f>[1]!EM_S_VAL_PBGOODWILLDEDUCTED(B1532,E1532)</f>
        <v>1.69651632061302</v>
      </c>
      <c r="O1532" s="7">
        <f>[1]!EM_S_VAL_PS_TTM(B1532,E1532)</f>
        <v>0.68429578249258605</v>
      </c>
      <c r="P1532" s="7">
        <f>[1]!EM_S_VAL_PCF_NCFTTM(B1532,E1532)</f>
        <v>-7.9752030455511598</v>
      </c>
      <c r="Q1532" s="7">
        <f>[1]!EM_S_VAL_DIVIDENDYIELD2(B1532,E1532,"2019-11-29")</f>
        <v>0.45399515738498786</v>
      </c>
      <c r="T1532"/>
      <c r="U1532">
        <f>[1]!EM_S_RATIO_EPS_TTM(B1532,E1532,"1")</f>
        <v>0.7490380523111112</v>
      </c>
      <c r="AT1532" s="4" t="str">
        <f>[1]!EM_S_IPO_LISTEDDATE(B1532)</f>
        <v>2015-12-22</v>
      </c>
    </row>
    <row r="1533" spans="1:46">
      <c r="A1533">
        <v>2421</v>
      </c>
      <c r="B1533" t="str">
        <f>"600292"</f>
        <v>600292</v>
      </c>
      <c r="C1533" t="s">
        <v>2689</v>
      </c>
      <c r="D1533" t="str">
        <f>[1]!EM_S_INFO_INDEX_EM(B1533,"1")</f>
        <v>公用事业</v>
      </c>
      <c r="E1533" s="4">
        <f t="shared" si="23"/>
        <v>43465</v>
      </c>
      <c r="F1533" s="11">
        <f>[1]!EM_S_PQ_PCTCHANGE(B1533,"2018-01-01","2019-12-31","3")</f>
        <v>-35.578540230000002</v>
      </c>
      <c r="G1533" s="11">
        <f>[1]!EM_S_PQ_PCTCHANGE(B1533,"2018-12-31","2019-12-30","1")</f>
        <v>13.995943199999999</v>
      </c>
      <c r="H1533" s="11">
        <f>[1]!EM_S_FA_YOY_OR(B1533,E1533)</f>
        <v>12.1974690259</v>
      </c>
      <c r="I1533" s="11">
        <f>[1]!EM_S_FA_GROSSPROFITMARGIN(B1533,E1533)</f>
        <v>17.249395638700001</v>
      </c>
      <c r="J1533" s="11">
        <f>[1]!EM_S_FA_NETPROFITMARGIN(B1533,E1533)</f>
        <v>3.6842104839999998</v>
      </c>
      <c r="K1533" s="10">
        <f>[1]!EM_S_FA_ASSETSTURN(B1533,E1533)</f>
        <v>0.41053072087699999</v>
      </c>
      <c r="L1533" s="12">
        <f>[1]!EM_HKS_VAL_MV(B1533,"2019-12-31","2")</f>
        <v>4427231766.3000002</v>
      </c>
      <c r="M1533">
        <f>[1]!EM_S_VAL_PETTMDEDUCTED(B1533,E1533)</f>
        <v>32.567248963997301</v>
      </c>
      <c r="N1533" s="7">
        <f>[1]!EM_S_VAL_PBGOODWILLDEDUCTED(B1533,E1533)</f>
        <v>0.78399724956750905</v>
      </c>
      <c r="O1533" s="7">
        <f>[1]!EM_S_VAL_PS_TTM(B1533,E1533)</f>
        <v>1.0853408187198901</v>
      </c>
      <c r="P1533" s="7">
        <f>[1]!EM_S_VAL_PCF_NCFTTM(B1533,E1533)</f>
        <v>176.24434218073799</v>
      </c>
      <c r="Q1533" s="7">
        <f>[1]!EM_S_VAL_DIVIDENDYIELD2(B1533,E1533,"2019-11-29")</f>
        <v>0.92592592592592582</v>
      </c>
      <c r="T1533"/>
      <c r="U1533">
        <f>[1]!EM_S_RATIO_EPS_TTM(B1533,E1533,"1")</f>
        <v>0.16090875837739627</v>
      </c>
      <c r="AT1533" s="4" t="str">
        <f>[1]!EM_S_IPO_LISTEDDATE(B1533)</f>
        <v>2000-11-01</v>
      </c>
    </row>
    <row r="1534" spans="1:46">
      <c r="A1534">
        <v>1986</v>
      </c>
      <c r="B1534" t="str">
        <f>"300563"</f>
        <v>300563</v>
      </c>
      <c r="C1534" t="s">
        <v>774</v>
      </c>
      <c r="D1534" t="str">
        <f>[1]!EM_S_INFO_INDEX_EM(B1534,"1")</f>
        <v>电气设备</v>
      </c>
      <c r="E1534" s="4">
        <f t="shared" si="23"/>
        <v>43465</v>
      </c>
      <c r="F1534" s="11">
        <f>[1]!EM_S_PQ_PCTCHANGE(B1534,"2018-01-01","2019-12-31","3")</f>
        <v>-10.418834650000001</v>
      </c>
      <c r="G1534" s="11">
        <f>[1]!EM_S_PQ_PCTCHANGE(B1534,"2018-12-31","2019-12-30","1")</f>
        <v>13.99511798</v>
      </c>
      <c r="H1534" s="11">
        <f>[1]!EM_S_FA_YOY_OR(B1534,E1534)</f>
        <v>14.115750523799999</v>
      </c>
      <c r="I1534" s="11">
        <f>[1]!EM_S_FA_GROSSPROFITMARGIN(B1534,E1534)</f>
        <v>24.372237866100001</v>
      </c>
      <c r="J1534" s="11">
        <f>[1]!EM_S_FA_NETPROFITMARGIN(B1534,E1534)</f>
        <v>11.923643629800001</v>
      </c>
      <c r="K1534" s="10">
        <f>[1]!EM_S_FA_ASSETSTURN(B1534,E1534)</f>
        <v>0.57980258739599999</v>
      </c>
      <c r="L1534" s="12">
        <f>[1]!EM_HKS_VAL_MV(B1534,"2019-12-31","2")</f>
        <v>2240000000</v>
      </c>
      <c r="M1534">
        <f>[1]!EM_S_VAL_PETTMDEDUCTED(B1534,E1534)</f>
        <v>49.006925117398197</v>
      </c>
      <c r="N1534" s="7">
        <f>[1]!EM_S_VAL_PBGOODWILLDEDUCTED(B1534,E1534)</f>
        <v>4.0689027119482102</v>
      </c>
      <c r="O1534" s="7">
        <f>[1]!EM_S_VAL_PS_TTM(B1534,E1534)</f>
        <v>5.4009106547965198</v>
      </c>
      <c r="P1534" s="7">
        <f>[1]!EM_S_VAL_PCF_NCFTTM(B1534,E1534)</f>
        <v>-27.256555695274699</v>
      </c>
      <c r="Q1534" s="7">
        <f>[1]!EM_S_VAL_DIVIDENDYIELD2(B1534,E1534,"2019-11-29")</f>
        <v>0.43330821401657871</v>
      </c>
      <c r="T1534"/>
      <c r="U1534">
        <f>[1]!EM_S_RATIO_EPS_TTM(B1534,E1534,"1")</f>
        <v>0.55173102112499994</v>
      </c>
      <c r="AT1534" s="4" t="str">
        <f>[1]!EM_S_IPO_LISTEDDATE(B1534)</f>
        <v>2016-11-14</v>
      </c>
    </row>
    <row r="1535" spans="1:46">
      <c r="A1535">
        <v>2613</v>
      </c>
      <c r="B1535" t="str">
        <f>"600533"</f>
        <v>600533</v>
      </c>
      <c r="C1535" t="s">
        <v>3261</v>
      </c>
      <c r="D1535" t="str">
        <f>[1]!EM_S_INFO_INDEX_EM(B1535,"1")</f>
        <v>房地产</v>
      </c>
      <c r="E1535" s="4">
        <f t="shared" si="23"/>
        <v>43465</v>
      </c>
      <c r="F1535" s="11">
        <f>[1]!EM_S_PQ_PCTCHANGE(B1535,"2018-01-01","2019-12-31","3")</f>
        <v>-27.791668349999998</v>
      </c>
      <c r="G1535" s="11">
        <f>[1]!EM_S_PQ_PCTCHANGE(B1535,"2018-12-31","2019-12-30","1")</f>
        <v>13.945578230000001</v>
      </c>
      <c r="H1535" s="11">
        <f>[1]!EM_S_FA_YOY_OR(B1535,E1535)</f>
        <v>36.9390965053</v>
      </c>
      <c r="I1535" s="11">
        <f>[1]!EM_S_FA_GROSSPROFITMARGIN(B1535,E1535)</f>
        <v>41.492357648400002</v>
      </c>
      <c r="J1535" s="11">
        <f>[1]!EM_S_FA_NETPROFITMARGIN(B1535,E1535)</f>
        <v>9.3878575195000007</v>
      </c>
      <c r="K1535" s="10">
        <f>[1]!EM_S_FA_ASSETSTURN(B1535,E1535)</f>
        <v>0.14791991227699999</v>
      </c>
      <c r="L1535" s="12">
        <f>[1]!EM_HKS_VAL_MV(B1535,"2019-12-31","2")</f>
        <v>3517500000</v>
      </c>
      <c r="M1535">
        <f>[1]!EM_S_VAL_PETTMDEDUCTED(B1535,E1535)</f>
        <v>22.5671389951947</v>
      </c>
      <c r="N1535" s="7">
        <f>[1]!EM_S_VAL_PBGOODWILLDEDUCTED(B1535,E1535)</f>
        <v>0.85073396331344797</v>
      </c>
      <c r="O1535" s="7">
        <f>[1]!EM_S_VAL_PS_TTM(B1535,E1535)</f>
        <v>1.93044747442799</v>
      </c>
      <c r="P1535" s="7">
        <f>[1]!EM_S_VAL_PCF_NCFTTM(B1535,E1535)</f>
        <v>-7.5365664521712397</v>
      </c>
      <c r="Q1535" s="7">
        <f>[1]!EM_S_VAL_DIVIDENDYIELD2(B1535,E1535,"2019-11-29")</f>
        <v>3.1948881789137378</v>
      </c>
      <c r="T1535"/>
      <c r="U1535">
        <f>[1]!EM_S_RATIO_EPS_TTM(B1535,E1535,"1")</f>
        <v>0.20725559913333333</v>
      </c>
      <c r="AT1535" s="4" t="str">
        <f>[1]!EM_S_IPO_LISTEDDATE(B1535)</f>
        <v>2002-03-28</v>
      </c>
    </row>
    <row r="1536" spans="1:46">
      <c r="A1536">
        <v>2197</v>
      </c>
      <c r="B1536" t="str">
        <f>"600050"</f>
        <v>600050</v>
      </c>
      <c r="C1536" t="s">
        <v>2274</v>
      </c>
      <c r="D1536" t="str">
        <f>[1]!EM_S_INFO_INDEX_EM(B1536,"1")</f>
        <v>信息技术</v>
      </c>
      <c r="E1536" s="4">
        <f t="shared" si="23"/>
        <v>43465</v>
      </c>
      <c r="F1536" s="11">
        <f>[1]!EM_S_PQ_PCTCHANGE(B1536,"2018-01-01","2019-12-31","3")</f>
        <v>-5.7999512400000004</v>
      </c>
      <c r="G1536" s="11">
        <f>[1]!EM_S_PQ_PCTCHANGE(B1536,"2018-12-31","2019-12-30","1")</f>
        <v>13.92649903</v>
      </c>
      <c r="H1536" s="11">
        <f>[1]!EM_S_FA_YOY_OR(B1536,E1536)</f>
        <v>5.8392068276</v>
      </c>
      <c r="I1536" s="11">
        <f>[1]!EM_S_FA_GROSSPROFITMARGIN(B1536,E1536)</f>
        <v>26.571780733299999</v>
      </c>
      <c r="J1536" s="11">
        <f>[1]!EM_S_FA_NETPROFITMARGIN(B1536,E1536)</f>
        <v>3.1974583586000001</v>
      </c>
      <c r="K1536" s="10">
        <f>[1]!EM_S_FA_ASSETSTURN(B1536,E1536)</f>
        <v>0.52157448672200002</v>
      </c>
      <c r="L1536" s="12">
        <f>[1]!EM_HKS_VAL_MV(B1536,"2019-12-31","2")</f>
        <v>182788526496.42999</v>
      </c>
      <c r="M1536">
        <f>[1]!EM_S_VAL_PETTMDEDUCTED(B1536,E1536)</f>
        <v>41.538568464257303</v>
      </c>
      <c r="N1536" s="7">
        <f>[1]!EM_S_VAL_PBGOODWILLDEDUCTED(B1536,E1536)</f>
        <v>1.14463246674615</v>
      </c>
      <c r="O1536" s="7">
        <f>[1]!EM_S_VAL_PS_TTM(B1536,E1536)</f>
        <v>0.555520740943383</v>
      </c>
      <c r="P1536" s="7">
        <f>[1]!EM_S_VAL_PCF_NCFTTM(B1536,E1536)</f>
        <v>30.893344372156498</v>
      </c>
      <c r="Q1536" s="7">
        <f>[1]!EM_S_VAL_DIVIDENDYIELD2(B1536,E1536,"2019-11-29")</f>
        <v>0.93366851828111208</v>
      </c>
      <c r="T1536"/>
      <c r="U1536">
        <f>[1]!EM_S_RATIO_EPS_TTM(B1536,E1536,"1")</f>
        <v>0.13151980449558281</v>
      </c>
      <c r="AT1536" s="4" t="str">
        <f>[1]!EM_S_IPO_LISTEDDATE(B1536)</f>
        <v>2002-10-09</v>
      </c>
    </row>
    <row r="1537" spans="1:46">
      <c r="A1537">
        <v>2908</v>
      </c>
      <c r="B1537" t="str">
        <f>"600835"</f>
        <v>600835</v>
      </c>
      <c r="C1537" t="s">
        <v>1149</v>
      </c>
      <c r="D1537" t="str">
        <f>[1]!EM_S_INFO_INDEX_EM(B1537,"1")</f>
        <v>机械设备</v>
      </c>
      <c r="E1537" s="4">
        <f t="shared" si="23"/>
        <v>43465</v>
      </c>
      <c r="F1537" s="11">
        <f>[1]!EM_S_PQ_PCTCHANGE(B1537,"2018-01-01","2019-12-31","3")</f>
        <v>-28.711017729999998</v>
      </c>
      <c r="G1537" s="11">
        <f>[1]!EM_S_PQ_PCTCHANGE(B1537,"2018-12-31","2019-12-30","1")</f>
        <v>13.883161510000001</v>
      </c>
      <c r="H1537" s="11">
        <f>[1]!EM_S_FA_YOY_OR(B1537,E1537)</f>
        <v>9.0523486127999995</v>
      </c>
      <c r="I1537" s="11">
        <f>[1]!EM_S_FA_GROSSPROFITMARGIN(B1537,E1537)</f>
        <v>19.098078541</v>
      </c>
      <c r="J1537" s="11">
        <f>[1]!EM_S_FA_NETPROFITMARGIN(B1537,E1537)</f>
        <v>10.058129188500001</v>
      </c>
      <c r="K1537" s="10">
        <f>[1]!EM_S_FA_ASSETSTURN(B1537,E1537)</f>
        <v>0.63212628897300005</v>
      </c>
      <c r="L1537" s="12">
        <f>[1]!EM_HKS_VAL_MV(B1537,"2019-12-31","2")</f>
        <v>16946790333.559999</v>
      </c>
      <c r="M1537">
        <f>[1]!EM_S_VAL_PETTMDEDUCTED(B1537,E1537)</f>
        <v>11.6644975180301</v>
      </c>
      <c r="N1537" s="7">
        <f>[1]!EM_S_VAL_PBGOODWILLDEDUCTED(B1537,E1537)</f>
        <v>1.3773319155085499</v>
      </c>
      <c r="O1537" s="7">
        <f>[1]!EM_S_VAL_PS_TTM(B1537,E1537)</f>
        <v>0.71931836616845501</v>
      </c>
      <c r="P1537" s="7">
        <f>[1]!EM_S_VAL_PCF_NCFTTM(B1537,E1537)</f>
        <v>43.582700066266298</v>
      </c>
      <c r="Q1537" s="7">
        <f>[1]!EM_S_VAL_DIVIDENDYIELD2(B1537,E1537,"2019-11-29")</f>
        <v>2.8985507246376816</v>
      </c>
      <c r="T1537"/>
      <c r="U1537">
        <f>[1]!EM_S_RATIO_EPS_TTM(B1537,E1537,"1")</f>
        <v>1.2402871073182609</v>
      </c>
      <c r="AT1537" s="4" t="str">
        <f>[1]!EM_S_IPO_LISTEDDATE(B1537)</f>
        <v>1994-02-24</v>
      </c>
    </row>
    <row r="1538" spans="1:46">
      <c r="A1538">
        <v>2086</v>
      </c>
      <c r="B1538" t="str">
        <f>"300667"</f>
        <v>300667</v>
      </c>
      <c r="C1538" t="s">
        <v>2331</v>
      </c>
      <c r="D1538" t="str">
        <f>[1]!EM_S_INFO_INDEX_EM(B1538,"1")</f>
        <v>电气设备</v>
      </c>
      <c r="E1538" s="4">
        <f t="shared" si="23"/>
        <v>43465</v>
      </c>
      <c r="F1538" s="11">
        <f>[1]!EM_S_PQ_PCTCHANGE(B1538,"2018-01-01","2019-12-31","3")</f>
        <v>14.386346</v>
      </c>
      <c r="G1538" s="11">
        <f>[1]!EM_S_PQ_PCTCHANGE(B1538,"2018-12-31","2019-12-30","1")</f>
        <v>13.877397520000001</v>
      </c>
      <c r="H1538" s="11">
        <f>[1]!EM_S_FA_YOY_OR(B1538,E1538)</f>
        <v>21.423047601699999</v>
      </c>
      <c r="I1538" s="11">
        <f>[1]!EM_S_FA_GROSSPROFITMARGIN(B1538,E1538)</f>
        <v>50.146099318399997</v>
      </c>
      <c r="J1538" s="11">
        <f>[1]!EM_S_FA_NETPROFITMARGIN(B1538,E1538)</f>
        <v>22.495897659899999</v>
      </c>
      <c r="K1538" s="10">
        <f>[1]!EM_S_FA_ASSETSTURN(B1538,E1538)</f>
        <v>0.43560935068899997</v>
      </c>
      <c r="L1538" s="12">
        <f>[1]!EM_HKS_VAL_MV(B1538,"2019-12-31","2")</f>
        <v>3657906163.8400002</v>
      </c>
      <c r="M1538">
        <f>[1]!EM_S_VAL_PETTMDEDUCTED(B1538,E1538)</f>
        <v>67.666835038289307</v>
      </c>
      <c r="N1538" s="7">
        <f>[1]!EM_S_VAL_PBGOODWILLDEDUCTED(B1538,E1538)</f>
        <v>6.77244542833688</v>
      </c>
      <c r="O1538" s="7">
        <f>[1]!EM_S_VAL_PS_TTM(B1538,E1538)</f>
        <v>14.9194339156933</v>
      </c>
      <c r="P1538" s="7">
        <f>[1]!EM_S_VAL_PCF_NCFTTM(B1538,E1538)</f>
        <v>-147.51037659285299</v>
      </c>
      <c r="Q1538" s="7">
        <f>[1]!EM_S_VAL_DIVIDENDYIELD2(B1538,E1538,"2019-11-29")</f>
        <v>0.22081108385048348</v>
      </c>
      <c r="T1538"/>
      <c r="U1538">
        <f>[1]!EM_S_RATIO_EPS_TTM(B1538,E1538,"1")</f>
        <v>0.46406301470588235</v>
      </c>
      <c r="AT1538" s="4" t="str">
        <f>[1]!EM_S_IPO_LISTEDDATE(B1538)</f>
        <v>2017-06-19</v>
      </c>
    </row>
    <row r="1539" spans="1:46">
      <c r="A1539">
        <v>1122</v>
      </c>
      <c r="B1539" t="str">
        <f>"002611"</f>
        <v>002611</v>
      </c>
      <c r="C1539" t="s">
        <v>2979</v>
      </c>
      <c r="D1539" t="str">
        <f>[1]!EM_S_INFO_INDEX_EM(B1539,"1")</f>
        <v>交运设备</v>
      </c>
      <c r="E1539" s="4">
        <f t="shared" ref="E1539:E1602" si="24">$B$1</f>
        <v>43465</v>
      </c>
      <c r="F1539" s="11">
        <f>[1]!EM_S_PQ_PCTCHANGE(B1539,"2018-01-01","2019-12-31","3")</f>
        <v>-48.010852630000002</v>
      </c>
      <c r="G1539" s="11">
        <f>[1]!EM_S_PQ_PCTCHANGE(B1539,"2018-12-31","2019-12-30","1")</f>
        <v>13.866666670000001</v>
      </c>
      <c r="H1539" s="11">
        <f>[1]!EM_S_FA_YOY_OR(B1539,E1539)</f>
        <v>41.335498944900003</v>
      </c>
      <c r="I1539" s="11">
        <f>[1]!EM_S_FA_GROSSPROFITMARGIN(B1539,E1539)</f>
        <v>17.308469212599999</v>
      </c>
      <c r="J1539" s="11">
        <f>[1]!EM_S_FA_NETPROFITMARGIN(B1539,E1539)</f>
        <v>-58.432749464399997</v>
      </c>
      <c r="K1539" s="10">
        <f>[1]!EM_S_FA_ASSETSTURN(B1539,E1539)</f>
        <v>0.61810219917700004</v>
      </c>
      <c r="L1539" s="12">
        <f>[1]!EM_HKS_VAL_MV(B1539,"2019-12-31","2")</f>
        <v>7814250158</v>
      </c>
      <c r="M1539">
        <f>[1]!EM_S_VAL_PETTMDEDUCTED(B1539,E1539)</f>
        <v>12.5452149666307</v>
      </c>
      <c r="N1539" s="7">
        <f>[1]!EM_S_VAL_PBGOODWILLDEDUCTED(B1539,E1539)</f>
        <v>2.0543368649961899</v>
      </c>
      <c r="O1539" s="7">
        <f>[1]!EM_S_VAL_PS_TTM(B1539,E1539)</f>
        <v>1.1581799102743</v>
      </c>
      <c r="P1539" s="7">
        <f>[1]!EM_S_VAL_PCF_NCFTTM(B1539,E1539)</f>
        <v>302.34622779817602</v>
      </c>
      <c r="Q1539" s="7">
        <f>[1]!EM_S_VAL_DIVIDENDYIELD2(B1539,E1539,"2019-11-29")</f>
        <v>0</v>
      </c>
      <c r="T1539"/>
      <c r="U1539">
        <f>[1]!EM_S_RATIO_EPS_TTM(B1539,E1539,"1")</f>
        <v>-2.1080691495079598</v>
      </c>
      <c r="AT1539" s="4" t="str">
        <f>[1]!EM_S_IPO_LISTEDDATE(B1539)</f>
        <v>2011-08-30</v>
      </c>
    </row>
    <row r="1540" spans="1:46">
      <c r="A1540">
        <v>2559</v>
      </c>
      <c r="B1540" t="str">
        <f>"600470"</f>
        <v>600470</v>
      </c>
      <c r="C1540" t="s">
        <v>3382</v>
      </c>
      <c r="D1540" t="str">
        <f>[1]!EM_S_INFO_INDEX_EM(B1540,"1")</f>
        <v>基础化工</v>
      </c>
      <c r="E1540" s="4">
        <f t="shared" si="24"/>
        <v>43465</v>
      </c>
      <c r="F1540" s="11">
        <f>[1]!EM_S_PQ_PCTCHANGE(B1540,"2018-01-01","2019-12-31","3")</f>
        <v>-23.562121659999999</v>
      </c>
      <c r="G1540" s="11">
        <f>[1]!EM_S_PQ_PCTCHANGE(B1540,"2018-12-31","2019-12-30","1")</f>
        <v>13.866666670000001</v>
      </c>
      <c r="H1540" s="11">
        <f>[1]!EM_S_FA_YOY_OR(B1540,E1540)</f>
        <v>-12.5957646183</v>
      </c>
      <c r="I1540" s="11">
        <f>[1]!EM_S_FA_GROSSPROFITMARGIN(B1540,E1540)</f>
        <v>13.5551589556</v>
      </c>
      <c r="J1540" s="11">
        <f>[1]!EM_S_FA_NETPROFITMARGIN(B1540,E1540)</f>
        <v>-12.625894108800001</v>
      </c>
      <c r="K1540" s="10">
        <f>[1]!EM_S_FA_ASSETSTURN(B1540,E1540)</f>
        <v>0.73892845797399997</v>
      </c>
      <c r="L1540" s="12">
        <f>[1]!EM_HKS_VAL_MV(B1540,"2019-12-31","2")</f>
        <v>2232448000</v>
      </c>
      <c r="M1540">
        <f>[1]!EM_S_VAL_PETTMDEDUCTED(B1540,E1540)</f>
        <v>27.866211339554699</v>
      </c>
      <c r="N1540" s="7">
        <f>[1]!EM_S_VAL_PBGOODWILLDEDUCTED(B1540,E1540)</f>
        <v>1.36200494767223</v>
      </c>
      <c r="O1540" s="7">
        <f>[1]!EM_S_VAL_PS_TTM(B1540,E1540)</f>
        <v>0.44330614001964203</v>
      </c>
      <c r="P1540" s="7">
        <f>[1]!EM_S_VAL_PCF_NCFTTM(B1540,E1540)</f>
        <v>17.4861055887737</v>
      </c>
      <c r="Q1540" s="7">
        <f>[1]!EM_S_VAL_DIVIDENDYIELD2(B1540,E1540,"2019-11-29")</f>
        <v>0</v>
      </c>
      <c r="T1540"/>
      <c r="U1540">
        <f>[1]!EM_S_RATIO_EPS_TTM(B1540,E1540,"1")</f>
        <v>-1.1579289852377301</v>
      </c>
      <c r="AT1540" s="4" t="str">
        <f>[1]!EM_S_IPO_LISTEDDATE(B1540)</f>
        <v>2004-03-05</v>
      </c>
    </row>
    <row r="1541" spans="1:46">
      <c r="A1541">
        <v>2328</v>
      </c>
      <c r="B1541" t="str">
        <f>"600190"</f>
        <v>600190</v>
      </c>
      <c r="C1541" t="s">
        <v>2503</v>
      </c>
      <c r="D1541" t="str">
        <f>[1]!EM_S_INFO_INDEX_EM(B1541,"1")</f>
        <v>交通运输</v>
      </c>
      <c r="E1541" s="4">
        <f t="shared" si="24"/>
        <v>43465</v>
      </c>
      <c r="F1541" s="11">
        <f>[1]!EM_S_PQ_PCTCHANGE(B1541,"2018-01-01","2019-12-31","3")</f>
        <v>-25.340046560000001</v>
      </c>
      <c r="G1541" s="11">
        <f>[1]!EM_S_PQ_PCTCHANGE(B1541,"2018-12-31","2019-12-30","1")</f>
        <v>13.857677900000001</v>
      </c>
      <c r="H1541" s="11">
        <f>[1]!EM_S_FA_YOY_OR(B1541,E1541)</f>
        <v>30.677602564600001</v>
      </c>
      <c r="I1541" s="11">
        <f>[1]!EM_S_FA_GROSSPROFITMARGIN(B1541,E1541)</f>
        <v>12.035546141499999</v>
      </c>
      <c r="J1541" s="11">
        <f>[1]!EM_S_FA_NETPROFITMARGIN(B1541,E1541)</f>
        <v>4.1622848375999997</v>
      </c>
      <c r="K1541" s="10">
        <f>[1]!EM_S_FA_ASSETSTURN(B1541,E1541)</f>
        <v>0.36920631997600001</v>
      </c>
      <c r="L1541" s="12">
        <f>[1]!EM_HKS_VAL_MV(B1541,"2019-12-31","2")</f>
        <v>6127011990</v>
      </c>
      <c r="M1541">
        <f>[1]!EM_S_VAL_PETTMDEDUCTED(B1541,E1541)</f>
        <v>38.591918604838803</v>
      </c>
      <c r="N1541" s="7">
        <f>[1]!EM_S_VAL_PBGOODWILLDEDUCTED(B1541,E1541)</f>
        <v>0.85860467432185195</v>
      </c>
      <c r="O1541" s="7">
        <f>[1]!EM_S_VAL_PS_TTM(B1541,E1541)</f>
        <v>0.92871784108411803</v>
      </c>
      <c r="P1541" s="7">
        <f>[1]!EM_S_VAL_PCF_NCFTTM(B1541,E1541)</f>
        <v>380.04692804622101</v>
      </c>
      <c r="Q1541" s="7">
        <f>[1]!EM_S_VAL_DIVIDENDYIELD2(B1541,E1541,"2019-11-29")</f>
        <v>0.67567567567567566</v>
      </c>
      <c r="T1541"/>
      <c r="U1541">
        <f>[1]!EM_S_RATIO_EPS_TTM(B1541,E1541,"1")</f>
        <v>0.12080253515035148</v>
      </c>
      <c r="AT1541" s="4" t="str">
        <f>[1]!EM_S_IPO_LISTEDDATE(B1541)</f>
        <v>1999-06-09</v>
      </c>
    </row>
    <row r="1542" spans="1:46">
      <c r="A1542">
        <v>137</v>
      </c>
      <c r="B1542" t="str">
        <f>"000528"</f>
        <v>000528</v>
      </c>
      <c r="C1542" t="s">
        <v>816</v>
      </c>
      <c r="D1542" t="str">
        <f>[1]!EM_S_INFO_INDEX_EM(B1542,"1")</f>
        <v>机械设备</v>
      </c>
      <c r="E1542" s="4">
        <f t="shared" si="24"/>
        <v>43465</v>
      </c>
      <c r="F1542" s="11">
        <f>[1]!EM_S_PQ_PCTCHANGE(B1542,"2018-01-01","2019-12-31","3")</f>
        <v>9.7027771499999993</v>
      </c>
      <c r="G1542" s="11">
        <f>[1]!EM_S_PQ_PCTCHANGE(B1542,"2018-12-31","2019-12-30","1")</f>
        <v>13.838550250000001</v>
      </c>
      <c r="H1542" s="11">
        <f>[1]!EM_S_FA_YOY_OR(B1542,E1542)</f>
        <v>51.4829345558</v>
      </c>
      <c r="I1542" s="11">
        <f>[1]!EM_S_FA_GROSSPROFITMARGIN(B1542,E1542)</f>
        <v>22.8120591916</v>
      </c>
      <c r="J1542" s="11">
        <f>[1]!EM_S_FA_NETPROFITMARGIN(B1542,E1542)</f>
        <v>4.6501185980999997</v>
      </c>
      <c r="K1542" s="10">
        <f>[1]!EM_S_FA_ASSETSTURN(B1542,E1542)</f>
        <v>0.75558083700599998</v>
      </c>
      <c r="L1542" s="12">
        <f>[1]!EM_HKS_VAL_MV(B1542,"2019-12-31","2")</f>
        <v>10242894349.440001</v>
      </c>
      <c r="M1542">
        <f>[1]!EM_S_VAL_PETTMDEDUCTED(B1542,E1542)</f>
        <v>13.745612965148799</v>
      </c>
      <c r="N1542" s="7">
        <f>[1]!EM_S_VAL_PBGOODWILLDEDUCTED(B1542,E1542)</f>
        <v>0.92617155064714896</v>
      </c>
      <c r="O1542" s="7">
        <f>[1]!EM_S_VAL_PS_TTM(B1542,E1542)</f>
        <v>0.55408655184598099</v>
      </c>
      <c r="P1542" s="7">
        <f>[1]!EM_S_VAL_PCF_NCFTTM(B1542,E1542)</f>
        <v>-7.1478932715748398</v>
      </c>
      <c r="Q1542" s="7">
        <f>[1]!EM_S_VAL_DIVIDENDYIELD2(B1542,E1542,"2019-11-29")</f>
        <v>2.3589823825791458</v>
      </c>
      <c r="T1542"/>
      <c r="U1542">
        <f>[1]!EM_S_RATIO_EPS_TTM(B1542,E1542,"1")</f>
        <v>0.54015195681889938</v>
      </c>
      <c r="AT1542" s="4" t="str">
        <f>[1]!EM_S_IPO_LISTEDDATE(B1542)</f>
        <v>1993-11-18</v>
      </c>
    </row>
    <row r="1543" spans="1:46">
      <c r="A1543">
        <v>2368</v>
      </c>
      <c r="B1543" t="str">
        <f>"600234"</f>
        <v>600234</v>
      </c>
      <c r="C1543" t="s">
        <v>1465</v>
      </c>
      <c r="D1543" t="str">
        <f>[1]!EM_S_INFO_INDEX_EM(B1543,"1")</f>
        <v>房地产</v>
      </c>
      <c r="E1543" s="4">
        <f t="shared" si="24"/>
        <v>43465</v>
      </c>
      <c r="F1543" s="11">
        <f>[1]!EM_S_PQ_PCTCHANGE(B1543,"2018-01-01","2019-12-31","3")</f>
        <v>-34.804630969999998</v>
      </c>
      <c r="G1543" s="11">
        <f>[1]!EM_S_PQ_PCTCHANGE(B1543,"2018-12-31","2019-12-30","1")</f>
        <v>13.814955640000001</v>
      </c>
      <c r="H1543" s="11">
        <f>[1]!EM_S_FA_YOY_OR(B1543,E1543)</f>
        <v>910.82939095170002</v>
      </c>
      <c r="I1543" s="11">
        <f>[1]!EM_S_FA_GROSSPROFITMARGIN(B1543,E1543)</f>
        <v>34.767601714999998</v>
      </c>
      <c r="J1543" s="11">
        <f>[1]!EM_S_FA_NETPROFITMARGIN(B1543,E1543)</f>
        <v>-7.1001903980999996</v>
      </c>
      <c r="K1543" s="10">
        <f>[1]!EM_S_FA_ASSETSTURN(B1543,E1543)</f>
        <v>0.298176672393</v>
      </c>
      <c r="L1543" s="12">
        <f>[1]!EM_HKS_VAL_MV(B1543,"2019-12-31","2")</f>
        <v>1824037378.8</v>
      </c>
      <c r="M1543">
        <f>[1]!EM_S_VAL_PETTMDEDUCTED(B1543,E1543)</f>
        <v>-106.87026753232399</v>
      </c>
      <c r="N1543" s="7">
        <f>[1]!EM_S_VAL_PBGOODWILLDEDUCTED(B1543,E1543)</f>
        <v>29.546846347984101</v>
      </c>
      <c r="O1543" s="7">
        <f>[1]!EM_S_VAL_PS_TTM(B1543,E1543)</f>
        <v>13.424552791934699</v>
      </c>
      <c r="P1543" s="7">
        <f>[1]!EM_S_VAL_PCF_NCFTTM(B1543,E1543)</f>
        <v>165.46724721830901</v>
      </c>
      <c r="Q1543" s="7">
        <f>[1]!EM_S_VAL_DIVIDENDYIELD2(B1543,E1543,"2019-11-29")</f>
        <v>0</v>
      </c>
      <c r="T1543"/>
      <c r="U1543">
        <f>[1]!EM_S_RATIO_EPS_TTM(B1543,E1543,"1")</f>
        <v>-8.3769319434902803E-2</v>
      </c>
      <c r="AT1543" s="4" t="str">
        <f>[1]!EM_S_IPO_LISTEDDATE(B1543)</f>
        <v>2000-06-15</v>
      </c>
    </row>
    <row r="1544" spans="1:46">
      <c r="A1544">
        <v>2606</v>
      </c>
      <c r="B1544" t="str">
        <f>"600526"</f>
        <v>600526</v>
      </c>
      <c r="C1544" t="s">
        <v>2863</v>
      </c>
      <c r="D1544" t="str">
        <f>[1]!EM_S_INFO_INDEX_EM(B1544,"1")</f>
        <v>机械设备</v>
      </c>
      <c r="E1544" s="4">
        <f t="shared" si="24"/>
        <v>43465</v>
      </c>
      <c r="F1544" s="11">
        <f>[1]!EM_S_PQ_PCTCHANGE(B1544,"2018-01-01","2019-12-31","3")</f>
        <v>-49.198396789999997</v>
      </c>
      <c r="G1544" s="11">
        <f>[1]!EM_S_PQ_PCTCHANGE(B1544,"2018-12-31","2019-12-30","1")</f>
        <v>13.80090498</v>
      </c>
      <c r="H1544" s="11">
        <f>[1]!EM_S_FA_YOY_OR(B1544,E1544)</f>
        <v>-7.4680883046000002</v>
      </c>
      <c r="I1544" s="11">
        <f>[1]!EM_S_FA_GROSSPROFITMARGIN(B1544,E1544)</f>
        <v>7.3171836484000004</v>
      </c>
      <c r="J1544" s="11">
        <f>[1]!EM_S_FA_NETPROFITMARGIN(B1544,E1544)</f>
        <v>-12.1291470666</v>
      </c>
      <c r="K1544" s="10">
        <f>[1]!EM_S_FA_ASSETSTURN(B1544,E1544)</f>
        <v>0.42876209571000001</v>
      </c>
      <c r="L1544" s="12">
        <f>[1]!EM_HKS_VAL_MV(B1544,"2019-12-31","2")</f>
        <v>2775341687.04</v>
      </c>
      <c r="M1544">
        <f>[1]!EM_S_VAL_PETTMDEDUCTED(B1544,E1544)</f>
        <v>-11.0241407498551</v>
      </c>
      <c r="N1544" s="7">
        <f>[1]!EM_S_VAL_PBGOODWILLDEDUCTED(B1544,E1544)</f>
        <v>1.29344989888179</v>
      </c>
      <c r="O1544" s="7">
        <f>[1]!EM_S_VAL_PS_TTM(B1544,E1544)</f>
        <v>0.59289850599069105</v>
      </c>
      <c r="P1544" s="7">
        <f>[1]!EM_S_VAL_PCF_NCFTTM(B1544,E1544)</f>
        <v>64.364215661851901</v>
      </c>
      <c r="Q1544" s="7">
        <f>[1]!EM_S_VAL_DIVIDENDYIELD2(B1544,E1544,"2019-11-29")</f>
        <v>0</v>
      </c>
      <c r="T1544"/>
      <c r="U1544">
        <f>[1]!EM_S_RATIO_EPS_TTM(B1544,E1544,"1")</f>
        <v>-0.77031326522912835</v>
      </c>
      <c r="AT1544" s="4" t="str">
        <f>[1]!EM_S_IPO_LISTEDDATE(B1544)</f>
        <v>2002-07-22</v>
      </c>
    </row>
    <row r="1545" spans="1:46">
      <c r="A1545">
        <v>3227</v>
      </c>
      <c r="B1545" t="str">
        <f>"603030"</f>
        <v>603030</v>
      </c>
      <c r="C1545" t="s">
        <v>1310</v>
      </c>
      <c r="D1545" t="str">
        <f>[1]!EM_S_INFO_INDEX_EM(B1545,"1")</f>
        <v>建筑</v>
      </c>
      <c r="E1545" s="4">
        <f t="shared" si="24"/>
        <v>43465</v>
      </c>
      <c r="F1545" s="11">
        <f>[1]!EM_S_PQ_PCTCHANGE(B1545,"2018-01-01","2019-12-31","3")</f>
        <v>-28.928312380000001</v>
      </c>
      <c r="G1545" s="11">
        <f>[1]!EM_S_PQ_PCTCHANGE(B1545,"2018-12-31","2019-12-30","1")</f>
        <v>13.725490199999999</v>
      </c>
      <c r="H1545" s="11">
        <f>[1]!EM_S_FA_YOY_OR(B1545,E1545)</f>
        <v>40.983763677399999</v>
      </c>
      <c r="I1545" s="11">
        <f>[1]!EM_S_FA_GROSSPROFITMARGIN(B1545,E1545)</f>
        <v>14.492646325999999</v>
      </c>
      <c r="J1545" s="11">
        <f>[1]!EM_S_FA_NETPROFITMARGIN(B1545,E1545)</f>
        <v>4.4046458796000003</v>
      </c>
      <c r="K1545" s="10">
        <f>[1]!EM_S_FA_ASSETSTURN(B1545,E1545)</f>
        <v>0.97143627691400003</v>
      </c>
      <c r="L1545" s="12">
        <f>[1]!EM_HKS_VAL_MV(B1545,"2019-12-31","2")</f>
        <v>3105493816.4099998</v>
      </c>
      <c r="M1545">
        <f>[1]!EM_S_VAL_PETTMDEDUCTED(B1545,E1545)</f>
        <v>11.803021915807101</v>
      </c>
      <c r="N1545" s="7">
        <f>[1]!EM_S_VAL_PBGOODWILLDEDUCTED(B1545,E1545)</f>
        <v>1.8309781706625201</v>
      </c>
      <c r="O1545" s="7">
        <f>[1]!EM_S_VAL_PS_TTM(B1545,E1545)</f>
        <v>0.44521308395400899</v>
      </c>
      <c r="P1545" s="7">
        <f>[1]!EM_S_VAL_PCF_NCFTTM(B1545,E1545)</f>
        <v>-7.0188522511772202</v>
      </c>
      <c r="Q1545" s="7">
        <f>[1]!EM_S_VAL_DIVIDENDYIELD2(B1545,E1545,"2019-11-29")</f>
        <v>0.27936308403463728</v>
      </c>
      <c r="T1545"/>
      <c r="U1545">
        <f>[1]!EM_S_RATIO_EPS_TTM(B1545,E1545,"1")</f>
        <v>0.48380341459844828</v>
      </c>
      <c r="AT1545" s="4" t="str">
        <f>[1]!EM_S_IPO_LISTEDDATE(B1545)</f>
        <v>2015-03-20</v>
      </c>
    </row>
    <row r="1546" spans="1:46">
      <c r="A1546">
        <v>627</v>
      </c>
      <c r="B1546" t="str">
        <f>"002116"</f>
        <v>002116</v>
      </c>
      <c r="C1546" t="s">
        <v>748</v>
      </c>
      <c r="D1546" t="str">
        <f>[1]!EM_S_INFO_INDEX_EM(B1546,"1")</f>
        <v>建筑</v>
      </c>
      <c r="E1546" s="4">
        <f t="shared" si="24"/>
        <v>43465</v>
      </c>
      <c r="F1546" s="11">
        <f>[1]!EM_S_PQ_PCTCHANGE(B1546,"2018-01-01","2019-12-31","3")</f>
        <v>-25.0102151</v>
      </c>
      <c r="G1546" s="11">
        <f>[1]!EM_S_PQ_PCTCHANGE(B1546,"2018-12-31","2019-12-30","1")</f>
        <v>13.72262774</v>
      </c>
      <c r="H1546" s="11">
        <f>[1]!EM_S_FA_YOY_OR(B1546,E1546)</f>
        <v>24.433762642800001</v>
      </c>
      <c r="I1546" s="11">
        <f>[1]!EM_S_FA_GROSSPROFITMARGIN(B1546,E1546)</f>
        <v>11.4979435885</v>
      </c>
      <c r="J1546" s="11">
        <f>[1]!EM_S_FA_NETPROFITMARGIN(B1546,E1546)</f>
        <v>4.0609489664999998</v>
      </c>
      <c r="K1546" s="10">
        <f>[1]!EM_S_FA_ASSETSTURN(B1546,E1546)</f>
        <v>1.2691831705029999</v>
      </c>
      <c r="L1546" s="12">
        <f>[1]!EM_HKS_VAL_MV(B1546,"2019-12-31","2")</f>
        <v>3261682005.7800002</v>
      </c>
      <c r="M1546">
        <f>[1]!EM_S_VAL_PETTMDEDUCTED(B1546,E1546)</f>
        <v>20.3280398479125</v>
      </c>
      <c r="N1546" s="7">
        <f>[1]!EM_S_VAL_PBGOODWILLDEDUCTED(B1546,E1546)</f>
        <v>1.99675249785917</v>
      </c>
      <c r="O1546" s="7">
        <f>[1]!EM_S_VAL_PS_TTM(B1546,E1546)</f>
        <v>0.61384905604359297</v>
      </c>
      <c r="P1546" s="7">
        <f>[1]!EM_S_VAL_PCF_NCFTTM(B1546,E1546)</f>
        <v>370.12730106847403</v>
      </c>
      <c r="Q1546" s="7">
        <f>[1]!EM_S_VAL_DIVIDENDYIELD2(B1546,E1546,"2019-11-29")</f>
        <v>3.4059945504087188</v>
      </c>
      <c r="T1546"/>
      <c r="U1546">
        <f>[1]!EM_S_RATIO_EPS_TTM(B1546,E1546,"1")</f>
        <v>0.50810368535812522</v>
      </c>
      <c r="AT1546" s="4" t="str">
        <f>[1]!EM_S_IPO_LISTEDDATE(B1546)</f>
        <v>2007-02-15</v>
      </c>
    </row>
    <row r="1547" spans="1:46">
      <c r="A1547">
        <v>3614</v>
      </c>
      <c r="B1547" t="str">
        <f>"603955"</f>
        <v>603955</v>
      </c>
      <c r="C1547" t="s">
        <v>2942</v>
      </c>
      <c r="D1547" t="str">
        <f>[1]!EM_S_INFO_INDEX_EM(B1547,"1")</f>
        <v>建筑</v>
      </c>
      <c r="E1547" s="4">
        <f t="shared" si="24"/>
        <v>43465</v>
      </c>
      <c r="F1547" s="11">
        <f>[1]!EM_S_PQ_PCTCHANGE(B1547,"2018-01-01","2019-12-31","3")</f>
        <v>-51.690564989999999</v>
      </c>
      <c r="G1547" s="11">
        <f>[1]!EM_S_PQ_PCTCHANGE(B1547,"2018-12-31","2019-12-30","1")</f>
        <v>13.66906475</v>
      </c>
      <c r="H1547" s="11">
        <f>[1]!EM_S_FA_YOY_OR(B1547,E1547)</f>
        <v>18.249516228699999</v>
      </c>
      <c r="I1547" s="11">
        <f>[1]!EM_S_FA_GROSSPROFITMARGIN(B1547,E1547)</f>
        <v>27.6020970822</v>
      </c>
      <c r="J1547" s="11">
        <f>[1]!EM_S_FA_NETPROFITMARGIN(B1547,E1547)</f>
        <v>11.2659644895</v>
      </c>
      <c r="K1547" s="10">
        <f>[1]!EM_S_FA_ASSETSTURN(B1547,E1547)</f>
        <v>0.31571262671799999</v>
      </c>
      <c r="L1547" s="12">
        <f>[1]!EM_HKS_VAL_MV(B1547,"2019-12-31","2")</f>
        <v>1810731000</v>
      </c>
      <c r="M1547">
        <f>[1]!EM_S_VAL_PETTMDEDUCTED(B1547,E1547)</f>
        <v>20.804223099360801</v>
      </c>
      <c r="N1547" s="7">
        <f>[1]!EM_S_VAL_PBGOODWILLDEDUCTED(B1547,E1547)</f>
        <v>1.39725317514429</v>
      </c>
      <c r="O1547" s="7">
        <f>[1]!EM_S_VAL_PS_TTM(B1547,E1547)</f>
        <v>2.0540426700828398</v>
      </c>
      <c r="P1547" s="7">
        <f>[1]!EM_S_VAL_PCF_NCFTTM(B1547,E1547)</f>
        <v>52.259296758661499</v>
      </c>
      <c r="Q1547" s="7">
        <f>[1]!EM_S_VAL_DIVIDENDYIELD2(B1547,E1547,"2019-11-29")</f>
        <v>0</v>
      </c>
      <c r="T1547"/>
      <c r="U1547">
        <f>[1]!EM_S_RATIO_EPS_TTM(B1547,E1547,"1")</f>
        <v>0.79683632077807243</v>
      </c>
      <c r="AT1547" s="4" t="str">
        <f>[1]!EM_S_IPO_LISTEDDATE(B1547)</f>
        <v>2017-03-10</v>
      </c>
    </row>
    <row r="1548" spans="1:46">
      <c r="A1548">
        <v>2959</v>
      </c>
      <c r="B1548" t="str">
        <f>"600886"</f>
        <v>600886</v>
      </c>
      <c r="C1548" t="s">
        <v>730</v>
      </c>
      <c r="D1548" t="str">
        <f>[1]!EM_S_INFO_INDEX_EM(B1548,"1")</f>
        <v>公用事业</v>
      </c>
      <c r="E1548" s="4">
        <f t="shared" si="24"/>
        <v>43465</v>
      </c>
      <c r="F1548" s="11">
        <f>[1]!EM_S_PQ_PCTCHANGE(B1548,"2018-01-01","2019-12-31","3")</f>
        <v>31.256830900000001</v>
      </c>
      <c r="G1548" s="11">
        <f>[1]!EM_S_PQ_PCTCHANGE(B1548,"2018-12-31","2019-12-30","1")</f>
        <v>13.664596270000001</v>
      </c>
      <c r="H1548" s="11">
        <f>[1]!EM_S_FA_YOY_OR(B1548,E1548)</f>
        <v>29.606197127200002</v>
      </c>
      <c r="I1548" s="11">
        <f>[1]!EM_S_FA_GROSSPROFITMARGIN(B1548,E1548)</f>
        <v>40.406170937100001</v>
      </c>
      <c r="J1548" s="11">
        <f>[1]!EM_S_FA_NETPROFITMARGIN(B1548,E1548)</f>
        <v>20.4256811602</v>
      </c>
      <c r="K1548" s="10">
        <f>[1]!EM_S_FA_ASSETSTURN(B1548,E1548)</f>
        <v>0.19119688372800001</v>
      </c>
      <c r="L1548" s="12">
        <f>[1]!EM_HKS_VAL_MV(B1548,"2019-12-31","2")</f>
        <v>62295694325.459999</v>
      </c>
      <c r="M1548">
        <f>[1]!EM_S_VAL_PETTMDEDUCTED(B1548,E1548)</f>
        <v>14.208349632667501</v>
      </c>
      <c r="N1548" s="7">
        <f>[1]!EM_S_VAL_PBGOODWILLDEDUCTED(B1548,E1548)</f>
        <v>1.6412961067438701</v>
      </c>
      <c r="O1548" s="7">
        <f>[1]!EM_S_VAL_PS_TTM(B1548,E1548)</f>
        <v>1.4479483141235101</v>
      </c>
      <c r="P1548" s="7">
        <f>[1]!EM_S_VAL_PCF_NCFTTM(B1548,E1548)</f>
        <v>20.518919799059201</v>
      </c>
      <c r="Q1548" s="7">
        <f>[1]!EM_S_VAL_DIVIDENDYIELD2(B1548,E1548,"2019-11-29")</f>
        <v>2.6881720430107525</v>
      </c>
      <c r="T1548"/>
      <c r="U1548">
        <f>[1]!EM_S_RATIO_EPS_TTM(B1548,E1548,"1")</f>
        <v>0.64310100371660273</v>
      </c>
      <c r="AT1548" s="4" t="str">
        <f>[1]!EM_S_IPO_LISTEDDATE(B1548)</f>
        <v>1996-01-18</v>
      </c>
    </row>
    <row r="1549" spans="1:46">
      <c r="A1549">
        <v>57</v>
      </c>
      <c r="B1549" t="str">
        <f>"000065"</f>
        <v>000065</v>
      </c>
      <c r="C1549" t="s">
        <v>1447</v>
      </c>
      <c r="D1549" t="str">
        <f>[1]!EM_S_INFO_INDEX_EM(B1549,"1")</f>
        <v>建筑</v>
      </c>
      <c r="E1549" s="4">
        <f t="shared" si="24"/>
        <v>43465</v>
      </c>
      <c r="F1549" s="11">
        <f>[1]!EM_S_PQ_PCTCHANGE(B1549,"2018-01-01","2019-12-31","3")</f>
        <v>-27.460391810000001</v>
      </c>
      <c r="G1549" s="11">
        <f>[1]!EM_S_PQ_PCTCHANGE(B1549,"2019-01-01","2019-12-31","3")</f>
        <v>13.64147885</v>
      </c>
      <c r="H1549" s="11">
        <f>[1]!EM_S_FA_YOY_OR(B1549,E1549)</f>
        <v>2.5835288976999999</v>
      </c>
      <c r="I1549" s="11">
        <f>[1]!EM_S_FA_GROSSPROFITMARGIN(B1549,E1549)</f>
        <v>14.8075470445</v>
      </c>
      <c r="J1549" s="11">
        <f>[1]!EM_S_FA_NETPROFITMARGIN(B1549,E1549)</f>
        <v>6.1895525261</v>
      </c>
      <c r="K1549" s="10">
        <f>[1]!EM_S_FA_ASSETSTURN(B1549,E1549)</f>
        <v>0.87126060687100004</v>
      </c>
      <c r="L1549" s="12">
        <f>[1]!EM_HKS_VAL_MV(B1549,"2019-12-31","2")</f>
        <v>6656221796.5</v>
      </c>
      <c r="M1549">
        <f>[1]!EM_S_VAL_PETTMDEDUCTED(B1549,E1549)</f>
        <v>10.3539641990072</v>
      </c>
      <c r="N1549" s="7">
        <f>[1]!EM_S_VAL_PBGOODWILLDEDUCTED(B1549,E1549)</f>
        <v>1.4165035258062599</v>
      </c>
      <c r="O1549" s="7">
        <f>[1]!EM_S_VAL_PS_TTM(B1549,E1549)</f>
        <v>0.62038688657887298</v>
      </c>
      <c r="P1549" s="7">
        <f>[1]!EM_S_VAL_PCF_NCFTTM(B1549,E1549)</f>
        <v>-5.4370583791337204</v>
      </c>
      <c r="Q1549" s="7">
        <f>[1]!EM_S_VAL_DIVIDENDYIELD2(B1549,E1549,"2019-11-29")</f>
        <v>1.0050251256281406</v>
      </c>
      <c r="T1549"/>
      <c r="U1549">
        <f>[1]!EM_S_RATIO_EPS_TTM(B1549,E1549,"1")</f>
        <v>0.76565553741850889</v>
      </c>
      <c r="AT1549" s="4" t="str">
        <f>[1]!EM_S_IPO_LISTEDDATE(B1549)</f>
        <v>1998-06-05</v>
      </c>
    </row>
    <row r="1550" spans="1:46">
      <c r="A1550">
        <v>2316</v>
      </c>
      <c r="B1550" t="str">
        <f>"600178"</f>
        <v>600178</v>
      </c>
      <c r="C1550" t="s">
        <v>2945</v>
      </c>
      <c r="D1550" t="str">
        <f>[1]!EM_S_INFO_INDEX_EM(B1550,"1")</f>
        <v>交运设备</v>
      </c>
      <c r="E1550" s="4">
        <f t="shared" si="24"/>
        <v>43465</v>
      </c>
      <c r="F1550" s="11">
        <f>[1]!EM_S_PQ_PCTCHANGE(B1550,"2018-01-01","2019-12-31","3")</f>
        <v>-28.130511420000001</v>
      </c>
      <c r="G1550" s="11">
        <f>[1]!EM_S_PQ_PCTCHANGE(B1550,"2018-12-31","2019-12-30","1")</f>
        <v>13.57142857</v>
      </c>
      <c r="H1550" s="11">
        <f>[1]!EM_S_FA_YOY_OR(B1550,E1550)</f>
        <v>-28.6221409294</v>
      </c>
      <c r="I1550" s="11">
        <f>[1]!EM_S_FA_GROSSPROFITMARGIN(B1550,E1550)</f>
        <v>11.349779774</v>
      </c>
      <c r="J1550" s="11">
        <f>[1]!EM_S_FA_NETPROFITMARGIN(B1550,E1550)</f>
        <v>0.43075325549999999</v>
      </c>
      <c r="K1550" s="10">
        <f>[1]!EM_S_FA_ASSETSTURN(B1550,E1550)</f>
        <v>0.35565692814200001</v>
      </c>
      <c r="L1550" s="12">
        <f>[1]!EM_HKS_VAL_MV(B1550,"2019-12-31","2")</f>
        <v>2217984000</v>
      </c>
      <c r="M1550">
        <f>[1]!EM_S_VAL_PETTMDEDUCTED(B1550,E1550)</f>
        <v>-73.128541466396399</v>
      </c>
      <c r="N1550" s="7">
        <f>[1]!EM_S_VAL_PBGOODWILLDEDUCTED(B1550,E1550)</f>
        <v>1.03704573545276</v>
      </c>
      <c r="O1550" s="7">
        <f>[1]!EM_S_VAL_PS_TTM(B1550,E1550)</f>
        <v>1.3190920372694701</v>
      </c>
      <c r="P1550" s="7">
        <f>[1]!EM_S_VAL_PCF_NCFTTM(B1550,E1550)</f>
        <v>-26.106388117295801</v>
      </c>
      <c r="Q1550" s="7">
        <f>[1]!EM_S_VAL_DIVIDENDYIELD2(B1550,E1550,"2019-11-29")</f>
        <v>0</v>
      </c>
      <c r="T1550"/>
      <c r="U1550">
        <f>[1]!EM_S_RATIO_EPS_TTM(B1550,E1550,"1")</f>
        <v>1.2053503700657895E-2</v>
      </c>
      <c r="AT1550" s="4" t="str">
        <f>[1]!EM_S_IPO_LISTEDDATE(B1550)</f>
        <v>1998-10-14</v>
      </c>
    </row>
    <row r="1551" spans="1:46">
      <c r="A1551">
        <v>2224</v>
      </c>
      <c r="B1551" t="str">
        <f>"600077"</f>
        <v>600077</v>
      </c>
      <c r="C1551" t="s">
        <v>2699</v>
      </c>
      <c r="D1551" t="str">
        <f>[1]!EM_S_INFO_INDEX_EM(B1551,"1")</f>
        <v>房地产</v>
      </c>
      <c r="E1551" s="4">
        <f t="shared" si="24"/>
        <v>43465</v>
      </c>
      <c r="F1551" s="11">
        <f>[1]!EM_S_PQ_PCTCHANGE(B1551,"2018-01-01","2019-12-31","3")</f>
        <v>-14.875444549999999</v>
      </c>
      <c r="G1551" s="11">
        <f>[1]!EM_S_PQ_PCTCHANGE(B1551,"2018-12-31","2019-12-30","1")</f>
        <v>13.56589147</v>
      </c>
      <c r="H1551" s="11">
        <f>[1]!EM_S_FA_YOY_OR(B1551,E1551)</f>
        <v>67.032321066400002</v>
      </c>
      <c r="I1551" s="11">
        <f>[1]!EM_S_FA_GROSSPROFITMARGIN(B1551,E1551)</f>
        <v>42.7379286173</v>
      </c>
      <c r="J1551" s="11">
        <f>[1]!EM_S_FA_NETPROFITMARGIN(B1551,E1551)</f>
        <v>8.7055834654000002</v>
      </c>
      <c r="K1551" s="10">
        <f>[1]!EM_S_FA_ASSETSTURN(B1551,E1551)</f>
        <v>0.22019333554699999</v>
      </c>
      <c r="L1551" s="12">
        <f>[1]!EM_HKS_VAL_MV(B1551,"2019-12-31","2")</f>
        <v>4006965754.7399998</v>
      </c>
      <c r="M1551">
        <f>[1]!EM_S_VAL_PETTMDEDUCTED(B1551,E1551)</f>
        <v>13.747666920734</v>
      </c>
      <c r="N1551" s="7">
        <f>[1]!EM_S_VAL_PBGOODWILLDEDUCTED(B1551,E1551)</f>
        <v>0.83919488885285598</v>
      </c>
      <c r="O1551" s="7">
        <f>[1]!EM_S_VAL_PS_TTM(B1551,E1551)</f>
        <v>1.03427998511551</v>
      </c>
      <c r="P1551" s="7">
        <f>[1]!EM_S_VAL_PCF_NCFTTM(B1551,E1551)</f>
        <v>-6.1524393190806999</v>
      </c>
      <c r="Q1551" s="7">
        <f>[1]!EM_S_VAL_DIVIDENDYIELD2(B1551,E1551,"2019-11-29")</f>
        <v>1.2204724409448819</v>
      </c>
      <c r="T1551"/>
      <c r="U1551">
        <f>[1]!EM_S_RATIO_EPS_TTM(B1551,E1551,"1")</f>
        <v>0.30689922132526282</v>
      </c>
      <c r="AT1551" s="4" t="str">
        <f>[1]!EM_S_IPO_LISTEDDATE(B1551)</f>
        <v>1997-05-20</v>
      </c>
    </row>
    <row r="1552" spans="1:46">
      <c r="A1552">
        <v>889</v>
      </c>
      <c r="B1552" t="str">
        <f>"002378"</f>
        <v>002378</v>
      </c>
      <c r="C1552" t="s">
        <v>2819</v>
      </c>
      <c r="D1552" t="str">
        <f>[1]!EM_S_INFO_INDEX_EM(B1552,"1")</f>
        <v>有色金属</v>
      </c>
      <c r="E1552" s="4">
        <f t="shared" si="24"/>
        <v>43465</v>
      </c>
      <c r="F1552" s="11">
        <f>[1]!EM_S_PQ_PCTCHANGE(B1552,"2018-01-01","2019-12-31","3")</f>
        <v>-47.840897179999999</v>
      </c>
      <c r="G1552" s="11">
        <f>[1]!EM_S_PQ_PCTCHANGE(B1552,"2018-12-31","2019-12-30","1")</f>
        <v>13.559322030000001</v>
      </c>
      <c r="H1552" s="11">
        <f>[1]!EM_S_FA_YOY_OR(B1552,E1552)</f>
        <v>2.1113210969999998</v>
      </c>
      <c r="I1552" s="11">
        <f>[1]!EM_S_FA_GROSSPROFITMARGIN(B1552,E1552)</f>
        <v>18.257853297899999</v>
      </c>
      <c r="J1552" s="11">
        <f>[1]!EM_S_FA_NETPROFITMARGIN(B1552,E1552)</f>
        <v>2.5682815510000001</v>
      </c>
      <c r="K1552" s="10">
        <f>[1]!EM_S_FA_ASSETSTURN(B1552,E1552)</f>
        <v>0.491749863008</v>
      </c>
      <c r="L1552" s="12">
        <f>[1]!EM_HKS_VAL_MV(B1552,"2019-12-31","2")</f>
        <v>4879604062.0799999</v>
      </c>
      <c r="M1552">
        <f>[1]!EM_S_VAL_PETTMDEDUCTED(B1552,E1552)</f>
        <v>193.26527253560599</v>
      </c>
      <c r="N1552" s="7">
        <f>[1]!EM_S_VAL_PBGOODWILLDEDUCTED(B1552,E1552)</f>
        <v>2.2116696128822002</v>
      </c>
      <c r="O1552" s="7">
        <f>[1]!EM_S_VAL_PS_TTM(B1552,E1552)</f>
        <v>2.4211420379425999</v>
      </c>
      <c r="P1552" s="7">
        <f>[1]!EM_S_VAL_PCF_NCFTTM(B1552,E1552)</f>
        <v>376.89314735300098</v>
      </c>
      <c r="Q1552" s="7">
        <f>[1]!EM_S_VAL_DIVIDENDYIELD2(B1552,E1552,"2019-11-29")</f>
        <v>0.40983606557377045</v>
      </c>
      <c r="T1552"/>
      <c r="U1552">
        <f>[1]!EM_S_RATIO_EPS_TTM(B1552,E1552,"1")</f>
        <v>5.0080593880609314E-2</v>
      </c>
      <c r="AT1552" s="4" t="str">
        <f>[1]!EM_S_IPO_LISTEDDATE(B1552)</f>
        <v>2010-03-31</v>
      </c>
    </row>
    <row r="1553" spans="1:46">
      <c r="A1553">
        <v>1336</v>
      </c>
      <c r="B1553" t="str">
        <f>"002833"</f>
        <v>002833</v>
      </c>
      <c r="C1553" t="s">
        <v>144</v>
      </c>
      <c r="D1553" t="str">
        <f>[1]!EM_S_INFO_INDEX_EM(B1553,"1")</f>
        <v>机械设备</v>
      </c>
      <c r="E1553" s="4">
        <f t="shared" si="24"/>
        <v>43465</v>
      </c>
      <c r="F1553" s="11">
        <f>[1]!EM_S_PQ_PCTCHANGE(B1553,"2018-01-01","2019-12-31","3")</f>
        <v>-34.588394839999999</v>
      </c>
      <c r="G1553" s="11">
        <f>[1]!EM_S_PQ_PCTCHANGE(B1553,"2018-12-31","2019-12-30","1")</f>
        <v>13.52941176</v>
      </c>
      <c r="H1553" s="11">
        <f>[1]!EM_S_FA_YOY_OR(B1553,E1553)</f>
        <v>45.587505503999999</v>
      </c>
      <c r="I1553" s="11">
        <f>[1]!EM_S_FA_GROSSPROFITMARGIN(B1553,E1553)</f>
        <v>37.556092328799998</v>
      </c>
      <c r="J1553" s="11">
        <f>[1]!EM_S_FA_NETPROFITMARGIN(B1553,E1553)</f>
        <v>22.860304764799999</v>
      </c>
      <c r="K1553" s="10">
        <f>[1]!EM_S_FA_ASSETSTURN(B1553,E1553)</f>
        <v>0.91031143419500005</v>
      </c>
      <c r="L1553" s="12">
        <f>[1]!EM_HKS_VAL_MV(B1553,"2019-12-31","2")</f>
        <v>5380137301</v>
      </c>
      <c r="M1553">
        <f>[1]!EM_S_VAL_PETTMDEDUCTED(B1553,E1553)</f>
        <v>18.338227271120299</v>
      </c>
      <c r="N1553" s="7">
        <f>[1]!EM_S_VAL_PBGOODWILLDEDUCTED(B1553,E1553)</f>
        <v>4.2831956998731604</v>
      </c>
      <c r="O1553" s="7">
        <f>[1]!EM_S_VAL_PS_TTM(B1553,E1553)</f>
        <v>4.0931312392202202</v>
      </c>
      <c r="P1553" s="7">
        <f>[1]!EM_S_VAL_PCF_NCFTTM(B1553,E1553)</f>
        <v>-43.963880345931699</v>
      </c>
      <c r="Q1553" s="7">
        <f>[1]!EM_S_VAL_DIVIDENDYIELD2(B1553,E1553,"2019-11-29")</f>
        <v>0.91998360258875778</v>
      </c>
      <c r="T1553"/>
      <c r="U1553">
        <f>[1]!EM_S_RATIO_EPS_TTM(B1553,E1553,"1")</f>
        <v>1.9986428043756741</v>
      </c>
      <c r="AT1553" s="4" t="str">
        <f>[1]!EM_S_IPO_LISTEDDATE(B1553)</f>
        <v>2016-12-28</v>
      </c>
    </row>
    <row r="1554" spans="1:46">
      <c r="A1554">
        <v>3182</v>
      </c>
      <c r="B1554" t="str">
        <f>"601939"</f>
        <v>601939</v>
      </c>
      <c r="C1554" t="s">
        <v>413</v>
      </c>
      <c r="D1554" t="str">
        <f>[1]!EM_S_INFO_INDEX_EM(B1554,"1")</f>
        <v>金融</v>
      </c>
      <c r="E1554" s="4">
        <f t="shared" si="24"/>
        <v>43465</v>
      </c>
      <c r="F1554" s="11">
        <f>[1]!EM_S_PQ_PCTCHANGE(B1554,"2018-01-01","2019-12-31","3")</f>
        <v>2.6338176799999999</v>
      </c>
      <c r="G1554" s="11">
        <f>[1]!EM_S_PQ_PCTCHANGE(B1554,"2018-12-31","2019-12-30","1")</f>
        <v>13.50078493</v>
      </c>
      <c r="H1554" s="11">
        <f>[1]!EM_S_FA_YOY_OR(B1554,E1554)</f>
        <v>5.9891355228999998</v>
      </c>
      <c r="I1554" s="11">
        <f>[1]!EM_S_FA_GROSSPROFITMARGIN(B1554,E1554)</f>
        <v>0</v>
      </c>
      <c r="J1554" s="11">
        <f>[1]!EM_S_FA_NETPROFITMARGIN(B1554,E1554)</f>
        <v>38.796401832800001</v>
      </c>
      <c r="K1554" s="10">
        <f>[1]!EM_S_FA_ASSETSTURN(B1554,E1554)</f>
        <v>0</v>
      </c>
      <c r="L1554" s="12">
        <f>[1]!EM_HKS_VAL_MV(B1554,"2019-12-31","2")</f>
        <v>1807579367223.78</v>
      </c>
      <c r="M1554">
        <f>[1]!EM_S_VAL_PETTMDEDUCTED(B1554,E1554)</f>
        <v>6.25147664419696</v>
      </c>
      <c r="N1554" s="7">
        <f>[1]!EM_S_VAL_PBGOODWILLDEDUCTED(B1554,E1554)</f>
        <v>0.84082293367838701</v>
      </c>
      <c r="O1554" s="7">
        <f>[1]!EM_S_VAL_PS_TTM(B1554,E1554)</f>
        <v>2.45119364670165</v>
      </c>
      <c r="P1554" s="7">
        <f>[1]!EM_S_VAL_PCF_NCFTTM(B1554,E1554)</f>
        <v>4.4587071201399304</v>
      </c>
      <c r="Q1554" s="7">
        <f>[1]!EM_S_VAL_DIVIDENDYIELD2(B1554,E1554,"2019-11-29")</f>
        <v>4.3098591549295771</v>
      </c>
      <c r="T1554"/>
      <c r="U1554">
        <f>[1]!EM_S_RATIO_EPS_TTM(B1554,E1554,"1")</f>
        <v>1.0185752744167407</v>
      </c>
      <c r="AT1554" s="4" t="str">
        <f>[1]!EM_S_IPO_LISTEDDATE(B1554)</f>
        <v>2007-09-25</v>
      </c>
    </row>
    <row r="1555" spans="1:46">
      <c r="A1555">
        <v>3486</v>
      </c>
      <c r="B1555" t="str">
        <f>"603668"</f>
        <v>603668</v>
      </c>
      <c r="C1555" t="s">
        <v>1309</v>
      </c>
      <c r="D1555" t="str">
        <f>[1]!EM_S_INFO_INDEX_EM(B1555,"1")</f>
        <v>农林牧渔</v>
      </c>
      <c r="E1555" s="4">
        <f t="shared" si="24"/>
        <v>43465</v>
      </c>
      <c r="F1555" s="11">
        <f>[1]!EM_S_PQ_PCTCHANGE(B1555,"2018-01-01","2019-12-31","3")</f>
        <v>-28.746334489999999</v>
      </c>
      <c r="G1555" s="11">
        <f>[1]!EM_S_PQ_PCTCHANGE(B1555,"2018-12-31","2019-12-30","1")</f>
        <v>13.49862259</v>
      </c>
      <c r="H1555" s="11">
        <f>[1]!EM_S_FA_YOY_OR(B1555,E1555)</f>
        <v>32.545515023599997</v>
      </c>
      <c r="I1555" s="11">
        <f>[1]!EM_S_FA_GROSSPROFITMARGIN(B1555,E1555)</f>
        <v>17.438752852299999</v>
      </c>
      <c r="J1555" s="11">
        <f>[1]!EM_S_FA_NETPROFITMARGIN(B1555,E1555)</f>
        <v>4.8887528392000004</v>
      </c>
      <c r="K1555" s="10">
        <f>[1]!EM_S_FA_ASSETSTURN(B1555,E1555)</f>
        <v>0.79426731794299998</v>
      </c>
      <c r="L1555" s="12">
        <f>[1]!EM_HKS_VAL_MV(B1555,"2019-12-31","2")</f>
        <v>2813653376.52</v>
      </c>
      <c r="M1555">
        <f>[1]!EM_S_VAL_PETTMDEDUCTED(B1555,E1555)</f>
        <v>26.688059744592099</v>
      </c>
      <c r="N1555" s="7">
        <f>[1]!EM_S_VAL_PBGOODWILLDEDUCTED(B1555,E1555)</f>
        <v>2.5086697870760699</v>
      </c>
      <c r="O1555" s="7">
        <f>[1]!EM_S_VAL_PS_TTM(B1555,E1555)</f>
        <v>1.58951564795148</v>
      </c>
      <c r="P1555" s="7">
        <f>[1]!EM_S_VAL_PCF_NCFTTM(B1555,E1555)</f>
        <v>15.436116586017301</v>
      </c>
      <c r="Q1555" s="7">
        <f>[1]!EM_S_VAL_DIVIDENDYIELD2(B1555,E1555,"2019-11-29")</f>
        <v>0.56883247001437276</v>
      </c>
      <c r="T1555"/>
      <c r="U1555">
        <f>[1]!EM_S_RATIO_EPS_TTM(B1555,E1555,"1")</f>
        <v>0.24534432129555456</v>
      </c>
      <c r="AT1555" s="4" t="str">
        <f>[1]!EM_S_IPO_LISTEDDATE(B1555)</f>
        <v>2017-01-17</v>
      </c>
    </row>
    <row r="1556" spans="1:46">
      <c r="A1556">
        <v>2585</v>
      </c>
      <c r="B1556" t="str">
        <f>"600502"</f>
        <v>600502</v>
      </c>
      <c r="C1556" t="s">
        <v>1893</v>
      </c>
      <c r="D1556" t="str">
        <f>[1]!EM_S_INFO_INDEX_EM(B1556,"1")</f>
        <v>建筑</v>
      </c>
      <c r="E1556" s="4">
        <f t="shared" si="24"/>
        <v>43465</v>
      </c>
      <c r="F1556" s="11">
        <f>[1]!EM_S_PQ_PCTCHANGE(B1556,"2018-01-01","2019-12-31","3")</f>
        <v>-26.13643034</v>
      </c>
      <c r="G1556" s="11">
        <f>[1]!EM_S_PQ_PCTCHANGE(B1556,"2018-12-31","2019-12-30","1")</f>
        <v>13.48314607</v>
      </c>
      <c r="H1556" s="11">
        <f>[1]!EM_S_FA_YOY_OR(B1556,E1556)</f>
        <v>9.5069795448000001</v>
      </c>
      <c r="I1556" s="11">
        <f>[1]!EM_S_FA_GROSSPROFITMARGIN(B1556,E1556)</f>
        <v>10.7190601049</v>
      </c>
      <c r="J1556" s="11">
        <f>[1]!EM_S_FA_NETPROFITMARGIN(B1556,E1556)</f>
        <v>2.1114520319999999</v>
      </c>
      <c r="K1556" s="10">
        <f>[1]!EM_S_FA_ASSETSTURN(B1556,E1556)</f>
        <v>0.55846134036700001</v>
      </c>
      <c r="L1556" s="12">
        <f>[1]!EM_HKS_VAL_MV(B1556,"2019-12-31","2")</f>
        <v>6987910704.3199997</v>
      </c>
      <c r="M1556">
        <f>[1]!EM_S_VAL_PETTMDEDUCTED(B1556,E1556)</f>
        <v>8.7168656746001503</v>
      </c>
      <c r="N1556" s="7">
        <f>[1]!EM_S_VAL_PBGOODWILLDEDUCTED(B1556,E1556)</f>
        <v>0.88731522584492895</v>
      </c>
      <c r="O1556" s="7">
        <f>[1]!EM_S_VAL_PS_TTM(B1556,E1556)</f>
        <v>0.16499553814277901</v>
      </c>
      <c r="P1556" s="7">
        <f>[1]!EM_S_VAL_PCF_NCFTTM(B1556,E1556)</f>
        <v>5.9358236369510502</v>
      </c>
      <c r="Q1556" s="7">
        <f>[1]!EM_S_VAL_DIVIDENDYIELD2(B1556,E1556,"2019-11-29")</f>
        <v>3.8759689922480614</v>
      </c>
      <c r="T1556"/>
      <c r="U1556">
        <f>[1]!EM_S_RATIO_EPS_TTM(B1556,E1556,"1")</f>
        <v>0.46476593089176299</v>
      </c>
      <c r="AT1556" s="4" t="str">
        <f>[1]!EM_S_IPO_LISTEDDATE(B1556)</f>
        <v>2003-04-15</v>
      </c>
    </row>
    <row r="1557" spans="1:46">
      <c r="A1557">
        <v>757</v>
      </c>
      <c r="B1557" t="str">
        <f>"002246"</f>
        <v>002246</v>
      </c>
      <c r="C1557" t="s">
        <v>3218</v>
      </c>
      <c r="D1557" t="str">
        <f>[1]!EM_S_INFO_INDEX_EM(B1557,"1")</f>
        <v>基础化工</v>
      </c>
      <c r="E1557" s="4">
        <f t="shared" si="24"/>
        <v>43465</v>
      </c>
      <c r="F1557" s="11">
        <f>[1]!EM_S_PQ_PCTCHANGE(B1557,"2018-01-01","2019-12-31","3")</f>
        <v>-38.772955469999999</v>
      </c>
      <c r="G1557" s="11">
        <f>[1]!EM_S_PQ_PCTCHANGE(B1557,"2018-12-31","2019-12-30","1")</f>
        <v>13.464447809999999</v>
      </c>
      <c r="H1557" s="11">
        <f>[1]!EM_S_FA_YOY_OR(B1557,E1557)</f>
        <v>8.2449603182000004</v>
      </c>
      <c r="I1557" s="11">
        <f>[1]!EM_S_FA_GROSSPROFITMARGIN(B1557,E1557)</f>
        <v>24.0869422345</v>
      </c>
      <c r="J1557" s="11">
        <f>[1]!EM_S_FA_NETPROFITMARGIN(B1557,E1557)</f>
        <v>5.2613604741</v>
      </c>
      <c r="K1557" s="10">
        <f>[1]!EM_S_FA_ASSETSTURN(B1557,E1557)</f>
        <v>0.66564713370299999</v>
      </c>
      <c r="L1557" s="12">
        <f>[1]!EM_HKS_VAL_MV(B1557,"2019-12-31","2")</f>
        <v>4128741650.8800001</v>
      </c>
      <c r="M1557">
        <f>[1]!EM_S_VAL_PETTMDEDUCTED(B1557,E1557)</f>
        <v>61.932685623311599</v>
      </c>
      <c r="N1557" s="7">
        <f>[1]!EM_S_VAL_PBGOODWILLDEDUCTED(B1557,E1557)</f>
        <v>1.50712034301918</v>
      </c>
      <c r="O1557" s="7">
        <f>[1]!EM_S_VAL_PS_TTM(B1557,E1557)</f>
        <v>1.58376288339988</v>
      </c>
      <c r="P1557" s="7">
        <f>[1]!EM_S_VAL_PCF_NCFTTM(B1557,E1557)</f>
        <v>-24.890668128707201</v>
      </c>
      <c r="Q1557" s="7">
        <f>[1]!EM_S_VAL_DIVIDENDYIELD2(B1557,E1557,"2019-11-29")</f>
        <v>0.77030812324929998</v>
      </c>
      <c r="T1557"/>
      <c r="U1557">
        <f>[1]!EM_S_RATIO_EPS_TTM(B1557,E1557,"1")</f>
        <v>0.22526755222365744</v>
      </c>
      <c r="AT1557" s="4" t="str">
        <f>[1]!EM_S_IPO_LISTEDDATE(B1557)</f>
        <v>2008-06-05</v>
      </c>
    </row>
    <row r="1558" spans="1:46">
      <c r="A1558">
        <v>3294</v>
      </c>
      <c r="B1558" t="str">
        <f>"603165"</f>
        <v>603165</v>
      </c>
      <c r="C1558" t="s">
        <v>242</v>
      </c>
      <c r="D1558" t="str">
        <f>[1]!EM_S_INFO_INDEX_EM(B1558,"1")</f>
        <v>轻工制造</v>
      </c>
      <c r="E1558" s="4">
        <f t="shared" si="24"/>
        <v>43465</v>
      </c>
      <c r="F1558" s="11">
        <f>[1]!EM_S_PQ_PCTCHANGE(B1558,"2018-01-01","2019-12-31","3")</f>
        <v>-56.898744129999997</v>
      </c>
      <c r="G1558" s="11">
        <f>[1]!EM_S_PQ_PCTCHANGE(B1558,"2018-12-31","2019-12-30","1")</f>
        <v>13.42192691</v>
      </c>
      <c r="H1558" s="11">
        <f>[1]!EM_S_FA_YOY_OR(B1558,E1558)</f>
        <v>2.6811629086000002</v>
      </c>
      <c r="I1558" s="11">
        <f>[1]!EM_S_FA_GROSSPROFITMARGIN(B1558,E1558)</f>
        <v>13.432927768700001</v>
      </c>
      <c r="J1558" s="11">
        <f>[1]!EM_S_FA_NETPROFITMARGIN(B1558,E1558)</f>
        <v>9.9557959260000004</v>
      </c>
      <c r="K1558" s="10">
        <f>[1]!EM_S_FA_ASSETSTURN(B1558,E1558)</f>
        <v>1.4933135333159999</v>
      </c>
      <c r="L1558" s="12">
        <f>[1]!EM_HKS_VAL_MV(B1558,"2019-12-31","2")</f>
        <v>3000795840</v>
      </c>
      <c r="M1558">
        <f>[1]!EM_S_VAL_PETTMDEDUCTED(B1558,E1558)</f>
        <v>10.626943672393001</v>
      </c>
      <c r="N1558" s="7">
        <f>[1]!EM_S_VAL_PBGOODWILLDEDUCTED(B1558,E1558)</f>
        <v>2.1632965690821999</v>
      </c>
      <c r="O1558" s="7">
        <f>[1]!EM_S_VAL_PS_TTM(B1558,E1558)</f>
        <v>1.2686642494411999</v>
      </c>
      <c r="P1558" s="7">
        <f>[1]!EM_S_VAL_PCF_NCFTTM(B1558,E1558)</f>
        <v>17.812399188997301</v>
      </c>
      <c r="Q1558" s="7">
        <f>[1]!EM_S_VAL_DIVIDENDYIELD2(B1558,E1558,"2019-11-29")</f>
        <v>2.9048207663782448</v>
      </c>
      <c r="T1558"/>
      <c r="U1558">
        <f>[1]!EM_S_RATIO_EPS_TTM(B1558,E1558,"1")</f>
        <v>1.1726545303689837</v>
      </c>
      <c r="AT1558" s="4" t="str">
        <f>[1]!EM_S_IPO_LISTEDDATE(B1558)</f>
        <v>2017-01-17</v>
      </c>
    </row>
    <row r="1559" spans="1:46">
      <c r="A1559">
        <v>916</v>
      </c>
      <c r="B1559" t="str">
        <f>"002405"</f>
        <v>002405</v>
      </c>
      <c r="C1559" t="s">
        <v>2139</v>
      </c>
      <c r="D1559" t="str">
        <f>[1]!EM_S_INFO_INDEX_EM(B1559,"1")</f>
        <v>信息技术</v>
      </c>
      <c r="E1559" s="4">
        <f t="shared" si="24"/>
        <v>43465</v>
      </c>
      <c r="F1559" s="11">
        <f>[1]!EM_S_PQ_PCTCHANGE(B1559,"2018-01-01","2019-12-31","3")</f>
        <v>-8.2286618800000007</v>
      </c>
      <c r="G1559" s="11">
        <f>[1]!EM_S_PQ_PCTCHANGE(B1559,"2018-12-31","2019-12-30","1")</f>
        <v>13.39475549</v>
      </c>
      <c r="H1559" s="11">
        <f>[1]!EM_S_FA_YOY_OR(B1559,E1559)</f>
        <v>-1.0586037693000001</v>
      </c>
      <c r="I1559" s="11">
        <f>[1]!EM_S_FA_GROSSPROFITMARGIN(B1559,E1559)</f>
        <v>70.6520681688</v>
      </c>
      <c r="J1559" s="11">
        <f>[1]!EM_S_FA_NETPROFITMARGIN(B1559,E1559)</f>
        <v>17.688778060099999</v>
      </c>
      <c r="K1559" s="10">
        <f>[1]!EM_S_FA_ASSETSTURN(B1559,E1559)</f>
        <v>0.22443006188</v>
      </c>
      <c r="L1559" s="12">
        <f>[1]!EM_HKS_VAL_MV(B1559,"2019-12-31","2")</f>
        <v>31581167037</v>
      </c>
      <c r="M1559">
        <f>[1]!EM_S_VAL_PETTMDEDUCTED(B1559,E1559)</f>
        <v>76.117072782732805</v>
      </c>
      <c r="N1559" s="7">
        <f>[1]!EM_S_VAL_PBGOODWILLDEDUCTED(B1559,E1559)</f>
        <v>3.7183735715400199</v>
      </c>
      <c r="O1559" s="7">
        <f>[1]!EM_S_VAL_PS_TTM(B1559,E1559)</f>
        <v>7.8464151282067496</v>
      </c>
      <c r="P1559" s="7">
        <f>[1]!EM_S_VAL_PCF_NCFTTM(B1559,E1559)</f>
        <v>2000.1509821746899</v>
      </c>
      <c r="Q1559" s="7">
        <f>[1]!EM_S_VAL_DIVIDENDYIELD2(B1559,E1559,"2019-11-29")</f>
        <v>5.7863194874974169E-2</v>
      </c>
      <c r="T1559"/>
      <c r="U1559">
        <f>[1]!EM_S_RATIO_EPS_TTM(B1559,E1559,"1")</f>
        <v>0.36585057510652041</v>
      </c>
      <c r="AT1559" s="4" t="str">
        <f>[1]!EM_S_IPO_LISTEDDATE(B1559)</f>
        <v>2010-05-18</v>
      </c>
    </row>
    <row r="1560" spans="1:46">
      <c r="A1560">
        <v>2031</v>
      </c>
      <c r="B1560" t="str">
        <f>"300611"</f>
        <v>300611</v>
      </c>
      <c r="C1560" t="s">
        <v>1988</v>
      </c>
      <c r="D1560" t="str">
        <f>[1]!EM_S_INFO_INDEX_EM(B1560,"1")</f>
        <v>交运设备</v>
      </c>
      <c r="E1560" s="4">
        <f t="shared" si="24"/>
        <v>43465</v>
      </c>
      <c r="F1560" s="11">
        <f>[1]!EM_S_PQ_PCTCHANGE(B1560,"2018-01-01","2019-12-31","3")</f>
        <v>-33.35412737</v>
      </c>
      <c r="G1560" s="11">
        <f>[1]!EM_S_PQ_PCTCHANGE(B1560,"2018-12-31","2019-12-30","1")</f>
        <v>13.38028169</v>
      </c>
      <c r="H1560" s="11">
        <f>[1]!EM_S_FA_YOY_OR(B1560,E1560)</f>
        <v>35.763380858799998</v>
      </c>
      <c r="I1560" s="11">
        <f>[1]!EM_S_FA_GROSSPROFITMARGIN(B1560,E1560)</f>
        <v>26.1575730261</v>
      </c>
      <c r="J1560" s="11">
        <f>[1]!EM_S_FA_NETPROFITMARGIN(B1560,E1560)</f>
        <v>3.3753863352</v>
      </c>
      <c r="K1560" s="10">
        <f>[1]!EM_S_FA_ASSETSTURN(B1560,E1560)</f>
        <v>0.58198955583900003</v>
      </c>
      <c r="L1560" s="12">
        <f>[1]!EM_HKS_VAL_MV(B1560,"2019-12-31","2")</f>
        <v>1721504291</v>
      </c>
      <c r="M1560">
        <f>[1]!EM_S_VAL_PETTMDEDUCTED(B1560,E1560)</f>
        <v>47.563841225335899</v>
      </c>
      <c r="N1560" s="7">
        <f>[1]!EM_S_VAL_PBGOODWILLDEDUCTED(B1560,E1560)</f>
        <v>2.5435634658974302</v>
      </c>
      <c r="O1560" s="7">
        <f>[1]!EM_S_VAL_PS_TTM(B1560,E1560)</f>
        <v>2.9564710647162</v>
      </c>
      <c r="P1560" s="7">
        <f>[1]!EM_S_VAL_PCF_NCFTTM(B1560,E1560)</f>
        <v>219.03704510855701</v>
      </c>
      <c r="Q1560" s="7">
        <f>[1]!EM_S_VAL_DIVIDENDYIELD2(B1560,E1560,"2019-11-29")</f>
        <v>0.57772632794457268</v>
      </c>
      <c r="T1560"/>
      <c r="U1560">
        <f>[1]!EM_S_RATIO_EPS_TTM(B1560,E1560,"1")</f>
        <v>0.11132103187165392</v>
      </c>
      <c r="AT1560" s="4" t="str">
        <f>[1]!EM_S_IPO_LISTEDDATE(B1560)</f>
        <v>2017-02-20</v>
      </c>
    </row>
    <row r="1561" spans="1:46">
      <c r="A1561">
        <v>952</v>
      </c>
      <c r="B1561" t="str">
        <f>"002441"</f>
        <v>002441</v>
      </c>
      <c r="C1561" t="s">
        <v>1579</v>
      </c>
      <c r="D1561" t="str">
        <f>[1]!EM_S_INFO_INDEX_EM(B1561,"1")</f>
        <v>电气设备</v>
      </c>
      <c r="E1561" s="4">
        <f t="shared" si="24"/>
        <v>43465</v>
      </c>
      <c r="F1561" s="11">
        <f>[1]!EM_S_PQ_PCTCHANGE(B1561,"2018-01-01","2019-12-31","3")</f>
        <v>-21.829138690000001</v>
      </c>
      <c r="G1561" s="11">
        <f>[1]!EM_S_PQ_PCTCHANGE(B1561,"2018-12-31","2019-12-30","1")</f>
        <v>13.363363359999999</v>
      </c>
      <c r="H1561" s="11">
        <f>[1]!EM_S_FA_YOY_OR(B1561,E1561)</f>
        <v>12.5475554838</v>
      </c>
      <c r="I1561" s="11">
        <f>[1]!EM_S_FA_GROSSPROFITMARGIN(B1561,E1561)</f>
        <v>11.068301337299999</v>
      </c>
      <c r="J1561" s="11">
        <f>[1]!EM_S_FA_NETPROFITMARGIN(B1561,E1561)</f>
        <v>2.2817104119999998</v>
      </c>
      <c r="K1561" s="10">
        <f>[1]!EM_S_FA_ASSETSTURN(B1561,E1561)</f>
        <v>1.624809363</v>
      </c>
      <c r="L1561" s="12">
        <f>[1]!EM_HKS_VAL_MV(B1561,"2019-12-31","2")</f>
        <v>4059106492.0500002</v>
      </c>
      <c r="M1561">
        <f>[1]!EM_S_VAL_PETTMDEDUCTED(B1561,E1561)</f>
        <v>18.972251461901401</v>
      </c>
      <c r="N1561" s="7">
        <f>[1]!EM_S_VAL_PBGOODWILLDEDUCTED(B1561,E1561)</f>
        <v>1.02664013472563</v>
      </c>
      <c r="O1561" s="7">
        <f>[1]!EM_S_VAL_PS_TTM(B1561,E1561)</f>
        <v>0.43313285948162999</v>
      </c>
      <c r="P1561" s="7">
        <f>[1]!EM_S_VAL_PCF_NCFTTM(B1561,E1561)</f>
        <v>-40.1204209977857</v>
      </c>
      <c r="Q1561" s="7">
        <f>[1]!EM_S_VAL_DIVIDENDYIELD2(B1561,E1561,"2019-11-29")</f>
        <v>3.0973451327433632</v>
      </c>
      <c r="T1561"/>
      <c r="U1561">
        <f>[1]!EM_S_RATIO_EPS_TTM(B1561,E1561,"1")</f>
        <v>0.37778304919032435</v>
      </c>
      <c r="AT1561" s="4" t="str">
        <f>[1]!EM_S_IPO_LISTEDDATE(B1561)</f>
        <v>2010-07-06</v>
      </c>
    </row>
    <row r="1562" spans="1:46">
      <c r="A1562">
        <v>415</v>
      </c>
      <c r="B1562" t="str">
        <f>"000883"</f>
        <v>000883</v>
      </c>
      <c r="C1562" t="s">
        <v>923</v>
      </c>
      <c r="D1562" t="str">
        <f>[1]!EM_S_INFO_INDEX_EM(B1562,"1")</f>
        <v>公用事业</v>
      </c>
      <c r="E1562" s="4">
        <f t="shared" si="24"/>
        <v>43465</v>
      </c>
      <c r="F1562" s="11">
        <f>[1]!EM_S_PQ_PCTCHANGE(B1562,"2018-01-01","2019-12-31","3")</f>
        <v>-5.4340543600000002</v>
      </c>
      <c r="G1562" s="11">
        <f>[1]!EM_S_PQ_PCTCHANGE(B1562,"2018-12-31","2019-12-30","1")</f>
        <v>13.351498640000001</v>
      </c>
      <c r="H1562" s="11">
        <f>[1]!EM_S_FA_YOY_OR(B1562,E1562)</f>
        <v>6.2343420528999998</v>
      </c>
      <c r="I1562" s="11">
        <f>[1]!EM_S_FA_GROSSPROFITMARGIN(B1562,E1562)</f>
        <v>20.215650870000001</v>
      </c>
      <c r="J1562" s="11">
        <f>[1]!EM_S_FA_NETPROFITMARGIN(B1562,E1562)</f>
        <v>15.509935948300001</v>
      </c>
      <c r="K1562" s="10">
        <f>[1]!EM_S_FA_ASSETSTURN(B1562,E1562)</f>
        <v>0.26030241669800003</v>
      </c>
      <c r="L1562" s="12">
        <f>[1]!EM_HKS_VAL_MV(B1562,"2019-12-31","2")</f>
        <v>27136064356.619999</v>
      </c>
      <c r="M1562">
        <f>[1]!EM_S_VAL_PETTMDEDUCTED(B1562,E1562)</f>
        <v>14.279776133900199</v>
      </c>
      <c r="N1562" s="7">
        <f>[1]!EM_S_VAL_PBGOODWILLDEDUCTED(B1562,E1562)</f>
        <v>0.91435556694373799</v>
      </c>
      <c r="O1562" s="7">
        <f>[1]!EM_S_VAL_PS_TTM(B1562,E1562)</f>
        <v>2.01461857759899</v>
      </c>
      <c r="P1562" s="7">
        <f>[1]!EM_S_VAL_PCF_NCFTTM(B1562,E1562)</f>
        <v>138.87359109379599</v>
      </c>
      <c r="Q1562" s="7">
        <f>[1]!EM_S_VAL_DIVIDENDYIELD2(B1562,E1562,"2019-11-29")</f>
        <v>2.6634382566585959</v>
      </c>
      <c r="T1562"/>
      <c r="U1562">
        <f>[1]!EM_S_RATIO_EPS_TTM(B1562,E1562,"1")</f>
        <v>0.27829072801042409</v>
      </c>
      <c r="AT1562" s="4" t="str">
        <f>[1]!EM_S_IPO_LISTEDDATE(B1562)</f>
        <v>1998-05-19</v>
      </c>
    </row>
    <row r="1563" spans="1:46">
      <c r="A1563">
        <v>2938</v>
      </c>
      <c r="B1563" t="str">
        <f>"600865"</f>
        <v>600865</v>
      </c>
      <c r="C1563" t="s">
        <v>1526</v>
      </c>
      <c r="D1563" t="str">
        <f>[1]!EM_S_INFO_INDEX_EM(B1563,"1")</f>
        <v>商贸零售</v>
      </c>
      <c r="E1563" s="4">
        <f t="shared" si="24"/>
        <v>43465</v>
      </c>
      <c r="F1563" s="11">
        <f>[1]!EM_S_PQ_PCTCHANGE(B1563,"2018-01-01","2019-12-31","3")</f>
        <v>-15.74635114</v>
      </c>
      <c r="G1563" s="11">
        <f>[1]!EM_S_PQ_PCTCHANGE(B1563,"2018-12-31","2019-12-30","1")</f>
        <v>13.33333333</v>
      </c>
      <c r="H1563" s="11">
        <f>[1]!EM_S_FA_YOY_OR(B1563,E1563)</f>
        <v>-15.087519369200001</v>
      </c>
      <c r="I1563" s="11">
        <f>[1]!EM_S_FA_GROSSPROFITMARGIN(B1563,E1563)</f>
        <v>29.669111222200002</v>
      </c>
      <c r="J1563" s="11">
        <f>[1]!EM_S_FA_NETPROFITMARGIN(B1563,E1563)</f>
        <v>14.3427113966</v>
      </c>
      <c r="K1563" s="10">
        <f>[1]!EM_S_FA_ASSETSTURN(B1563,E1563)</f>
        <v>0.38368049964200002</v>
      </c>
      <c r="L1563" s="12">
        <f>[1]!EM_HKS_VAL_MV(B1563,"2019-12-31","2")</f>
        <v>2370313990.8000002</v>
      </c>
      <c r="M1563">
        <f>[1]!EM_S_VAL_PETTMDEDUCTED(B1563,E1563)</f>
        <v>33.1803302268682</v>
      </c>
      <c r="N1563" s="7">
        <f>[1]!EM_S_VAL_PBGOODWILLDEDUCTED(B1563,E1563)</f>
        <v>1.1795170165420099</v>
      </c>
      <c r="O1563" s="7">
        <f>[1]!EM_S_VAL_PS_TTM(B1563,E1563)</f>
        <v>2.5846864462959398</v>
      </c>
      <c r="P1563" s="7">
        <f>[1]!EM_S_VAL_PCF_NCFTTM(B1563,E1563)</f>
        <v>-19.032166700179001</v>
      </c>
      <c r="Q1563" s="7">
        <f>[1]!EM_S_VAL_DIVIDENDYIELD2(B1563,E1563,"2019-11-29")</f>
        <v>3.3333333333333335</v>
      </c>
      <c r="T1563"/>
      <c r="U1563">
        <f>[1]!EM_S_RATIO_EPS_TTM(B1563,E1563,"1")</f>
        <v>0.30947637139981565</v>
      </c>
      <c r="AT1563" s="4" t="str">
        <f>[1]!EM_S_IPO_LISTEDDATE(B1563)</f>
        <v>1994-08-09</v>
      </c>
    </row>
    <row r="1564" spans="1:46">
      <c r="A1564">
        <v>2538</v>
      </c>
      <c r="B1564" t="str">
        <f>"600435"</f>
        <v>600435</v>
      </c>
      <c r="C1564" t="s">
        <v>3289</v>
      </c>
      <c r="D1564" t="str">
        <f>[1]!EM_S_INFO_INDEX_EM(B1564,"1")</f>
        <v>国防与装备</v>
      </c>
      <c r="E1564" s="4">
        <f t="shared" si="24"/>
        <v>43465</v>
      </c>
      <c r="F1564" s="11">
        <f>[1]!EM_S_PQ_PCTCHANGE(B1564,"2018-01-01","2019-12-31","3")</f>
        <v>-32.37734605</v>
      </c>
      <c r="G1564" s="11">
        <f>[1]!EM_S_PQ_PCTCHANGE(B1564,"2018-12-31","2019-12-30","1")</f>
        <v>13.22537112</v>
      </c>
      <c r="H1564" s="11">
        <f>[1]!EM_S_FA_YOY_OR(B1564,E1564)</f>
        <v>2.2212452298000001</v>
      </c>
      <c r="I1564" s="11">
        <f>[1]!EM_S_FA_GROSSPROFITMARGIN(B1564,E1564)</f>
        <v>26.706345019099999</v>
      </c>
      <c r="J1564" s="11">
        <f>[1]!EM_S_FA_NETPROFITMARGIN(B1564,E1564)</f>
        <v>6.3974380769000003</v>
      </c>
      <c r="K1564" s="10">
        <f>[1]!EM_S_FA_ASSETSTURN(B1564,E1564)</f>
        <v>0.40416136590200002</v>
      </c>
      <c r="L1564" s="12">
        <f>[1]!EM_HKS_VAL_MV(B1564,"2019-12-31","2")</f>
        <v>12391142400</v>
      </c>
      <c r="M1564">
        <f>[1]!EM_S_VAL_PETTMDEDUCTED(B1564,E1564)</f>
        <v>1183.01487943137</v>
      </c>
      <c r="N1564" s="7">
        <f>[1]!EM_S_VAL_PBGOODWILLDEDUCTED(B1564,E1564)</f>
        <v>5.3452406882582002</v>
      </c>
      <c r="O1564" s="7">
        <f>[1]!EM_S_VAL_PS_TTM(B1564,E1564)</f>
        <v>6.6829004961941401</v>
      </c>
      <c r="P1564" s="7">
        <f>[1]!EM_S_VAL_PCF_NCFTTM(B1564,E1564)</f>
        <v>307.46634601791698</v>
      </c>
      <c r="Q1564" s="7">
        <f>[1]!EM_S_VAL_DIVIDENDYIELD2(B1564,E1564,"2019-11-29")</f>
        <v>0</v>
      </c>
      <c r="T1564"/>
      <c r="U1564">
        <f>[1]!EM_S_RATIO_EPS_TTM(B1564,E1564,"1")</f>
        <v>3.3257983932264389E-2</v>
      </c>
      <c r="AT1564" s="4" t="str">
        <f>[1]!EM_S_IPO_LISTEDDATE(B1564)</f>
        <v>2003-07-04</v>
      </c>
    </row>
    <row r="1565" spans="1:46">
      <c r="A1565">
        <v>2441</v>
      </c>
      <c r="B1565" t="str">
        <f>"600315"</f>
        <v>600315</v>
      </c>
      <c r="C1565" t="s">
        <v>927</v>
      </c>
      <c r="D1565" t="str">
        <f>[1]!EM_S_INFO_INDEX_EM(B1565,"1")</f>
        <v>基础化工</v>
      </c>
      <c r="E1565" s="4">
        <f t="shared" si="24"/>
        <v>43465</v>
      </c>
      <c r="F1565" s="11">
        <f>[1]!EM_S_PQ_PCTCHANGE(B1565,"2018-01-01","2019-12-31","3")</f>
        <v>-15.07461567</v>
      </c>
      <c r="G1565" s="11">
        <f>[1]!EM_S_PQ_PCTCHANGE(B1565,"2018-12-31","2019-12-30","1")</f>
        <v>13.22344322</v>
      </c>
      <c r="H1565" s="11">
        <f>[1]!EM_S_FA_YOY_OR(B1565,E1565)</f>
        <v>10.0135097183</v>
      </c>
      <c r="I1565" s="11">
        <f>[1]!EM_S_FA_GROSSPROFITMARGIN(B1565,E1565)</f>
        <v>62.791649999900002</v>
      </c>
      <c r="J1565" s="11">
        <f>[1]!EM_S_FA_NETPROFITMARGIN(B1565,E1565)</f>
        <v>7.5705236933000002</v>
      </c>
      <c r="K1565" s="10">
        <f>[1]!EM_S_FA_ASSETSTURN(B1565,E1565)</f>
        <v>0.72231694499099997</v>
      </c>
      <c r="L1565" s="12">
        <f>[1]!EM_HKS_VAL_MV(B1565,"2019-12-31","2")</f>
        <v>20768427383.34</v>
      </c>
      <c r="M1565">
        <f>[1]!EM_S_VAL_PETTMDEDUCTED(B1565,E1565)</f>
        <v>48.205670431972401</v>
      </c>
      <c r="N1565" s="7">
        <f>[1]!EM_S_VAL_PBGOODWILLDEDUCTED(B1565,E1565)</f>
        <v>4.7293253786046296</v>
      </c>
      <c r="O1565" s="7">
        <f>[1]!EM_S_VAL_PS_TTM(B1565,E1565)</f>
        <v>2.6334319926603902</v>
      </c>
      <c r="P1565" s="7">
        <f>[1]!EM_S_VAL_PCF_NCFTTM(B1565,E1565)</f>
        <v>-34.092306528698899</v>
      </c>
      <c r="Q1565" s="7">
        <f>[1]!EM_S_VAL_DIVIDENDYIELD2(B1565,E1565,"2019-11-29")</f>
        <v>0.83333333333333337</v>
      </c>
      <c r="T1565"/>
      <c r="U1565">
        <f>[1]!EM_S_RATIO_EPS_TTM(B1565,E1565,"1")</f>
        <v>0.80503722361607022</v>
      </c>
      <c r="AT1565" s="4" t="str">
        <f>[1]!EM_S_IPO_LISTEDDATE(B1565)</f>
        <v>2001-03-15</v>
      </c>
    </row>
    <row r="1566" spans="1:46">
      <c r="A1566">
        <v>63</v>
      </c>
      <c r="B1566" t="str">
        <f>"000088"</f>
        <v>000088</v>
      </c>
      <c r="C1566" t="s">
        <v>2327</v>
      </c>
      <c r="D1566" t="str">
        <f>[1]!EM_S_INFO_INDEX_EM(B1566,"1")</f>
        <v>交通运输</v>
      </c>
      <c r="E1566" s="4">
        <f t="shared" si="24"/>
        <v>43465</v>
      </c>
      <c r="F1566" s="11">
        <f>[1]!EM_S_PQ_PCTCHANGE(B1566,"2018-01-01","2019-12-31","3")</f>
        <v>-25.927397580000001</v>
      </c>
      <c r="G1566" s="11">
        <f>[1]!EM_S_PQ_PCTCHANGE(B1566,"2019-01-01","2019-12-31","3")</f>
        <v>13.216423799999999</v>
      </c>
      <c r="H1566" s="11">
        <f>[1]!EM_S_FA_YOY_OR(B1566,E1566)</f>
        <v>17.3760070471</v>
      </c>
      <c r="I1566" s="11">
        <f>[1]!EM_S_FA_GROSSPROFITMARGIN(B1566,E1566)</f>
        <v>56.412236764799999</v>
      </c>
      <c r="J1566" s="11">
        <f>[1]!EM_S_FA_NETPROFITMARGIN(B1566,E1566)</f>
        <v>120.3818242052</v>
      </c>
      <c r="K1566" s="10">
        <f>[1]!EM_S_FA_ASSETSTURN(B1566,E1566)</f>
        <v>4.1162907552E-2</v>
      </c>
      <c r="L1566" s="12">
        <f>[1]!EM_HKS_VAL_MV(B1566,"2019-12-31","2")</f>
        <v>10934586000</v>
      </c>
      <c r="M1566">
        <f>[1]!EM_S_VAL_PETTMDEDUCTED(B1566,E1566)</f>
        <v>23.7622117382897</v>
      </c>
      <c r="N1566" s="7">
        <f>[1]!EM_S_VAL_PBGOODWILLDEDUCTED(B1566,E1566)</f>
        <v>1.44687873342717</v>
      </c>
      <c r="O1566" s="7">
        <f>[1]!EM_S_VAL_PS_TTM(B1566,E1566)</f>
        <v>25.175611876596399</v>
      </c>
      <c r="P1566" s="7">
        <f>[1]!EM_S_VAL_PCF_NCFTTM(B1566,E1566)</f>
        <v>-42.035579726043402</v>
      </c>
      <c r="Q1566" s="7">
        <f>[1]!EM_S_VAL_DIVIDENDYIELD2(B1566,E1566,"2019-11-29")</f>
        <v>0.5027932960893855</v>
      </c>
      <c r="T1566"/>
      <c r="U1566">
        <f>[1]!EM_S_RATIO_EPS_TTM(B1566,E1566,"1")</f>
        <v>0.23093751193491915</v>
      </c>
      <c r="AT1566" s="4" t="str">
        <f>[1]!EM_S_IPO_LISTEDDATE(B1566)</f>
        <v>1997-07-28</v>
      </c>
    </row>
    <row r="1567" spans="1:46">
      <c r="A1567">
        <v>3198</v>
      </c>
      <c r="B1567" t="str">
        <f>"601998"</f>
        <v>601998</v>
      </c>
      <c r="C1567" t="s">
        <v>654</v>
      </c>
      <c r="D1567" t="str">
        <f>[1]!EM_S_INFO_INDEX_EM(B1567,"1")</f>
        <v>金融</v>
      </c>
      <c r="E1567" s="4">
        <f t="shared" si="24"/>
        <v>43465</v>
      </c>
      <c r="F1567" s="11">
        <f>[1]!EM_S_PQ_PCTCHANGE(B1567,"2018-01-01","2019-12-31","3")</f>
        <v>8.0640352899999996</v>
      </c>
      <c r="G1567" s="11">
        <f>[1]!EM_S_PQ_PCTCHANGE(B1567,"2018-12-31","2019-12-30","1")</f>
        <v>13.211009170000001</v>
      </c>
      <c r="H1567" s="11">
        <f>[1]!EM_S_FA_YOY_OR(B1567,E1567)</f>
        <v>5.1982030272999999</v>
      </c>
      <c r="I1567" s="11">
        <f>[1]!EM_S_FA_GROSSPROFITMARGIN(B1567,E1567)</f>
        <v>0</v>
      </c>
      <c r="J1567" s="11">
        <f>[1]!EM_S_FA_NETPROFITMARGIN(B1567,E1567)</f>
        <v>27.5249614811</v>
      </c>
      <c r="K1567" s="10">
        <f>[1]!EM_S_FA_ASSETSTURN(B1567,E1567)</f>
        <v>0</v>
      </c>
      <c r="L1567" s="12">
        <f>[1]!EM_HKS_VAL_MV(B1567,"2019-12-31","2")</f>
        <v>301927784524.02002</v>
      </c>
      <c r="M1567">
        <f>[1]!EM_S_VAL_PETTMDEDUCTED(B1567,E1567)</f>
        <v>5.9970461946628104</v>
      </c>
      <c r="N1567" s="7">
        <f>[1]!EM_S_VAL_PBGOODWILLDEDUCTED(B1567,E1567)</f>
        <v>0.66538919019697595</v>
      </c>
      <c r="O1567" s="7">
        <f>[1]!EM_S_VAL_PS_TTM(B1567,E1567)</f>
        <v>1.63834455270421</v>
      </c>
      <c r="P1567" s="7">
        <f>[1]!EM_S_VAL_PCF_NCFTTM(B1567,E1567)</f>
        <v>-3.6821527471434101</v>
      </c>
      <c r="Q1567" s="7">
        <f>[1]!EM_S_VAL_DIVIDENDYIELD2(B1567,E1567,"2019-11-29")</f>
        <v>3.8333317284116375</v>
      </c>
      <c r="T1567"/>
      <c r="U1567">
        <f>[1]!EM_S_RATIO_EPS_TTM(B1567,E1567,"1")</f>
        <v>0.90963901185522156</v>
      </c>
      <c r="AT1567" s="4" t="str">
        <f>[1]!EM_S_IPO_LISTEDDATE(B1567)</f>
        <v>2007-04-27</v>
      </c>
    </row>
    <row r="1568" spans="1:46">
      <c r="A1568">
        <v>1253</v>
      </c>
      <c r="B1568" t="str">
        <f>"002743"</f>
        <v>002743</v>
      </c>
      <c r="C1568" t="s">
        <v>2662</v>
      </c>
      <c r="D1568" t="str">
        <f>[1]!EM_S_INFO_INDEX_EM(B1568,"1")</f>
        <v>建筑</v>
      </c>
      <c r="E1568" s="4">
        <f t="shared" si="24"/>
        <v>43465</v>
      </c>
      <c r="F1568" s="11">
        <f>[1]!EM_S_PQ_PCTCHANGE(B1568,"2018-01-01","2019-12-31","3")</f>
        <v>-37.697362740000003</v>
      </c>
      <c r="G1568" s="11">
        <f>[1]!EM_S_PQ_PCTCHANGE(B1568,"2018-12-31","2019-12-30","1")</f>
        <v>13.20754717</v>
      </c>
      <c r="H1568" s="11">
        <f>[1]!EM_S_FA_YOY_OR(B1568,E1568)</f>
        <v>25.551446976899999</v>
      </c>
      <c r="I1568" s="11">
        <f>[1]!EM_S_FA_GROSSPROFITMARGIN(B1568,E1568)</f>
        <v>15.1374487624</v>
      </c>
      <c r="J1568" s="11">
        <f>[1]!EM_S_FA_NETPROFITMARGIN(B1568,E1568)</f>
        <v>2.5517055303</v>
      </c>
      <c r="K1568" s="10">
        <f>[1]!EM_S_FA_ASSETSTURN(B1568,E1568)</f>
        <v>0.54056707182999997</v>
      </c>
      <c r="L1568" s="12">
        <f>[1]!EM_HKS_VAL_MV(B1568,"2019-12-31","2")</f>
        <v>2186118220</v>
      </c>
      <c r="M1568">
        <f>[1]!EM_S_VAL_PETTMDEDUCTED(B1568,E1568)</f>
        <v>25.251054925535399</v>
      </c>
      <c r="N1568" s="7">
        <f>[1]!EM_S_VAL_PBGOODWILLDEDUCTED(B1568,E1568)</f>
        <v>0.97700851356735197</v>
      </c>
      <c r="O1568" s="7">
        <f>[1]!EM_S_VAL_PS_TTM(B1568,E1568)</f>
        <v>0.61541482869999597</v>
      </c>
      <c r="P1568" s="7">
        <f>[1]!EM_S_VAL_PCF_NCFTTM(B1568,E1568)</f>
        <v>-25.665292178822298</v>
      </c>
      <c r="Q1568" s="7">
        <f>[1]!EM_S_VAL_DIVIDENDYIELD2(B1568,E1568,"2019-11-29")</f>
        <v>0.86956521739130432</v>
      </c>
      <c r="T1568"/>
      <c r="U1568">
        <f>[1]!EM_S_RATIO_EPS_TTM(B1568,E1568,"1")</f>
        <v>0.24450179875572223</v>
      </c>
      <c r="AT1568" s="4" t="str">
        <f>[1]!EM_S_IPO_LISTEDDATE(B1568)</f>
        <v>2015-02-17</v>
      </c>
    </row>
    <row r="1569" spans="1:46">
      <c r="A1569">
        <v>2671</v>
      </c>
      <c r="B1569" t="str">
        <f>"600598"</f>
        <v>600598</v>
      </c>
      <c r="C1569" t="s">
        <v>343</v>
      </c>
      <c r="D1569" t="str">
        <f>[1]!EM_S_INFO_INDEX_EM(B1569,"1")</f>
        <v>农林牧渔</v>
      </c>
      <c r="E1569" s="4">
        <f t="shared" si="24"/>
        <v>43465</v>
      </c>
      <c r="F1569" s="11">
        <f>[1]!EM_S_PQ_PCTCHANGE(B1569,"2018-01-01","2019-12-31","3")</f>
        <v>-3.8710858400000001</v>
      </c>
      <c r="G1569" s="11">
        <f>[1]!EM_S_PQ_PCTCHANGE(B1569,"2018-12-31","2019-12-30","1")</f>
        <v>13.20093458</v>
      </c>
      <c r="H1569" s="11">
        <f>[1]!EM_S_FA_YOY_OR(B1569,E1569)</f>
        <v>9.1018210678999996</v>
      </c>
      <c r="I1569" s="11">
        <f>[1]!EM_S_FA_GROSSPROFITMARGIN(B1569,E1569)</f>
        <v>84.666330411900006</v>
      </c>
      <c r="J1569" s="11">
        <f>[1]!EM_S_FA_NETPROFITMARGIN(B1569,E1569)</f>
        <v>28.035470291199999</v>
      </c>
      <c r="K1569" s="10">
        <f>[1]!EM_S_FA_ASSETSTURN(B1569,E1569)</f>
        <v>0.41801408893800002</v>
      </c>
      <c r="L1569" s="12">
        <f>[1]!EM_HKS_VAL_MV(B1569,"2019-12-31","2")</f>
        <v>17314602313.66</v>
      </c>
      <c r="M1569">
        <f>[1]!EM_S_VAL_PETTMDEDUCTED(B1569,E1569)</f>
        <v>15.562004865948801</v>
      </c>
      <c r="N1569" s="7">
        <f>[1]!EM_S_VAL_PBGOODWILLDEDUCTED(B1569,E1569)</f>
        <v>2.3370329033937001</v>
      </c>
      <c r="O1569" s="7">
        <f>[1]!EM_S_VAL_PS_TTM(B1569,E1569)</f>
        <v>4.5874792702989797</v>
      </c>
      <c r="P1569" s="7">
        <f>[1]!EM_S_VAL_PCF_NCFTTM(B1569,E1569)</f>
        <v>-166.51230632390201</v>
      </c>
      <c r="Q1569" s="7">
        <f>[1]!EM_S_VAL_DIVIDENDYIELD2(B1569,E1569,"2019-11-29")</f>
        <v>4.3103448275862073</v>
      </c>
      <c r="T1569"/>
      <c r="U1569">
        <f>[1]!EM_S_RATIO_EPS_TTM(B1569,E1569,"1")</f>
        <v>0.54929774981779356</v>
      </c>
      <c r="AT1569" s="4" t="str">
        <f>[1]!EM_S_IPO_LISTEDDATE(B1569)</f>
        <v>2002-03-29</v>
      </c>
    </row>
    <row r="1570" spans="1:46">
      <c r="A1570">
        <v>1722</v>
      </c>
      <c r="B1570" t="str">
        <f>"300297"</f>
        <v>300297</v>
      </c>
      <c r="C1570" t="s">
        <v>1706</v>
      </c>
      <c r="D1570" t="str">
        <f>[1]!EM_S_INFO_INDEX_EM(B1570,"1")</f>
        <v>信息技术</v>
      </c>
      <c r="E1570" s="4">
        <f t="shared" si="24"/>
        <v>43465</v>
      </c>
      <c r="F1570" s="11">
        <f>[1]!EM_S_PQ_PCTCHANGE(B1570,"2018-01-01","2019-12-31","3")</f>
        <v>-40.274588250000001</v>
      </c>
      <c r="G1570" s="11">
        <f>[1]!EM_S_PQ_PCTCHANGE(B1570,"2018-12-31","2019-12-30","1")</f>
        <v>13.2</v>
      </c>
      <c r="H1570" s="11">
        <f>[1]!EM_S_FA_YOY_OR(B1570,E1570)</f>
        <v>2.9532972142</v>
      </c>
      <c r="I1570" s="11">
        <f>[1]!EM_S_FA_GROSSPROFITMARGIN(B1570,E1570)</f>
        <v>59.366165753499999</v>
      </c>
      <c r="J1570" s="11">
        <f>[1]!EM_S_FA_NETPROFITMARGIN(B1570,E1570)</f>
        <v>18.486132309799999</v>
      </c>
      <c r="K1570" s="10">
        <f>[1]!EM_S_FA_ASSETSTURN(B1570,E1570)</f>
        <v>0.25106353894299999</v>
      </c>
      <c r="L1570" s="12">
        <f>[1]!EM_HKS_VAL_MV(B1570,"2019-12-31","2")</f>
        <v>7048850534.1599998</v>
      </c>
      <c r="M1570">
        <f>[1]!EM_S_VAL_PETTMDEDUCTED(B1570,E1570)</f>
        <v>15.3589339427489</v>
      </c>
      <c r="N1570" s="7">
        <f>[1]!EM_S_VAL_PBGOODWILLDEDUCTED(B1570,E1570)</f>
        <v>1.8910308810781999</v>
      </c>
      <c r="O1570" s="7">
        <f>[1]!EM_S_VAL_PS_TTM(B1570,E1570)</f>
        <v>2.77249772325764</v>
      </c>
      <c r="P1570" s="7">
        <f>[1]!EM_S_VAL_PCF_NCFTTM(B1570,E1570)</f>
        <v>-32.617872607557302</v>
      </c>
      <c r="Q1570" s="7">
        <f>[1]!EM_S_VAL_DIVIDENDYIELD2(B1570,E1570,"2019-11-29")</f>
        <v>0.61048194336520101</v>
      </c>
      <c r="T1570"/>
      <c r="U1570">
        <f>[1]!EM_S_RATIO_EPS_TTM(B1570,E1570,"1")</f>
        <v>0.33865714641532618</v>
      </c>
      <c r="AT1570" s="4" t="str">
        <f>[1]!EM_S_IPO_LISTEDDATE(B1570)</f>
        <v>2012-03-15</v>
      </c>
    </row>
    <row r="1571" spans="1:46">
      <c r="A1571">
        <v>97</v>
      </c>
      <c r="B1571" t="str">
        <f>"000417"</f>
        <v>000417</v>
      </c>
      <c r="C1571" t="s">
        <v>791</v>
      </c>
      <c r="D1571" t="str">
        <f>[1]!EM_S_INFO_INDEX_EM(B1571,"1")</f>
        <v>商贸零售</v>
      </c>
      <c r="E1571" s="4">
        <f t="shared" si="24"/>
        <v>43465</v>
      </c>
      <c r="F1571" s="11">
        <f>[1]!EM_S_PQ_PCTCHANGE(B1571,"2018-01-01","2019-12-31","3")</f>
        <v>-35.513365139999998</v>
      </c>
      <c r="G1571" s="11">
        <f>[1]!EM_S_PQ_PCTCHANGE(B1571,"2018-12-31","2019-12-30","1")</f>
        <v>13.16397229</v>
      </c>
      <c r="H1571" s="11">
        <f>[1]!EM_S_FA_YOY_OR(B1571,E1571)</f>
        <v>2.8106676492</v>
      </c>
      <c r="I1571" s="11">
        <f>[1]!EM_S_FA_GROSSPROFITMARGIN(B1571,E1571)</f>
        <v>19.4867014951</v>
      </c>
      <c r="J1571" s="11">
        <f>[1]!EM_S_FA_NETPROFITMARGIN(B1571,E1571)</f>
        <v>2.9375139013</v>
      </c>
      <c r="K1571" s="10">
        <f>[1]!EM_S_FA_ASSETSTURN(B1571,E1571)</f>
        <v>1.0366788572850001</v>
      </c>
      <c r="L1571" s="12">
        <f>[1]!EM_HKS_VAL_MV(B1571,"2019-12-31","2")</f>
        <v>3844829106</v>
      </c>
      <c r="M1571">
        <f>[1]!EM_S_VAL_PETTMDEDUCTED(B1571,E1571)</f>
        <v>27.972753885490601</v>
      </c>
      <c r="N1571" s="7">
        <f>[1]!EM_S_VAL_PBGOODWILLDEDUCTED(B1571,E1571)</f>
        <v>0.89646579627468703</v>
      </c>
      <c r="O1571" s="7">
        <f>[1]!EM_S_VAL_PS_TTM(B1571,E1571)</f>
        <v>0.32321303122689998</v>
      </c>
      <c r="P1571" s="7">
        <f>[1]!EM_S_VAL_PCF_NCFTTM(B1571,E1571)</f>
        <v>-62.323873348114503</v>
      </c>
      <c r="Q1571" s="7">
        <f>[1]!EM_S_VAL_DIVIDENDYIELD2(B1571,E1571,"2019-11-29")</f>
        <v>3.4562211981566824</v>
      </c>
      <c r="T1571"/>
      <c r="U1571">
        <f>[1]!EM_S_RATIO_EPS_TTM(B1571,E1571,"1")</f>
        <v>0.28785791327738142</v>
      </c>
      <c r="AT1571" s="4" t="str">
        <f>[1]!EM_S_IPO_LISTEDDATE(B1571)</f>
        <v>1996-08-12</v>
      </c>
    </row>
    <row r="1572" spans="1:46">
      <c r="A1572">
        <v>674</v>
      </c>
      <c r="B1572" t="str">
        <f>"002163"</f>
        <v>002163</v>
      </c>
      <c r="C1572" t="s">
        <v>3399</v>
      </c>
      <c r="D1572" t="str">
        <f>[1]!EM_S_INFO_INDEX_EM(B1572,"1")</f>
        <v>建材</v>
      </c>
      <c r="E1572" s="4">
        <f t="shared" si="24"/>
        <v>43465</v>
      </c>
      <c r="F1572" s="11">
        <f>[1]!EM_S_PQ_PCTCHANGE(B1572,"2018-01-01","2019-12-31","3")</f>
        <v>-27.356020940000001</v>
      </c>
      <c r="G1572" s="11">
        <f>[1]!EM_S_PQ_PCTCHANGE(B1572,"2018-12-31","2019-12-30","1")</f>
        <v>13.14741036</v>
      </c>
      <c r="H1572" s="11">
        <f>[1]!EM_S_FA_YOY_OR(B1572,E1572)</f>
        <v>3.7488937864</v>
      </c>
      <c r="I1572" s="11">
        <f>[1]!EM_S_FA_GROSSPROFITMARGIN(B1572,E1572)</f>
        <v>9.9395605745999998</v>
      </c>
      <c r="J1572" s="11">
        <f>[1]!EM_S_FA_NETPROFITMARGIN(B1572,E1572)</f>
        <v>-1.2869131594000001</v>
      </c>
      <c r="K1572" s="10">
        <f>[1]!EM_S_FA_ASSETSTURN(B1572,E1572)</f>
        <v>0.83754259799099995</v>
      </c>
      <c r="L1572" s="12">
        <f>[1]!EM_HKS_VAL_MV(B1572,"2019-12-31","2")</f>
        <v>4459702500</v>
      </c>
      <c r="M1572">
        <f>[1]!EM_S_VAL_PETTMDEDUCTED(B1572,E1572)</f>
        <v>-114.349551105071</v>
      </c>
      <c r="N1572" s="7">
        <f>[1]!EM_S_VAL_PBGOODWILLDEDUCTED(B1572,E1572)</f>
        <v>5.9265811667511796</v>
      </c>
      <c r="O1572" s="7">
        <f>[1]!EM_S_VAL_PS_TTM(B1572,E1572)</f>
        <v>0.82530787417285001</v>
      </c>
      <c r="P1572" s="7">
        <f>[1]!EM_S_VAL_PCF_NCFTTM(B1572,E1572)</f>
        <v>-44.818932184953297</v>
      </c>
      <c r="Q1572" s="7">
        <f>[1]!EM_S_VAL_DIVIDENDYIELD2(B1572,E1572,"2019-11-29")</f>
        <v>0</v>
      </c>
      <c r="T1572"/>
      <c r="U1572">
        <f>[1]!EM_S_RATIO_EPS_TTM(B1572,E1572,"1")</f>
        <v>4.0629703440980644E-2</v>
      </c>
      <c r="AT1572" s="4" t="str">
        <f>[1]!EM_S_IPO_LISTEDDATE(B1572)</f>
        <v>2007-08-23</v>
      </c>
    </row>
    <row r="1573" spans="1:46">
      <c r="A1573">
        <v>3558</v>
      </c>
      <c r="B1573" t="str">
        <f>"603829"</f>
        <v>603829</v>
      </c>
      <c r="C1573" t="s">
        <v>2115</v>
      </c>
      <c r="D1573" t="str">
        <f>[1]!EM_S_INFO_INDEX_EM(B1573,"1")</f>
        <v>电气设备</v>
      </c>
      <c r="E1573" s="4">
        <f t="shared" si="24"/>
        <v>43465</v>
      </c>
      <c r="F1573" s="11">
        <f>[1]!EM_S_PQ_PCTCHANGE(B1573,"2018-01-01","2019-12-31","3")</f>
        <v>-39.571955539999998</v>
      </c>
      <c r="G1573" s="11">
        <f>[1]!EM_S_PQ_PCTCHANGE(B1573,"2018-12-31","2019-12-30","1")</f>
        <v>13.14405889</v>
      </c>
      <c r="H1573" s="11">
        <f>[1]!EM_S_FA_YOY_OR(B1573,E1573)</f>
        <v>15.220842575200001</v>
      </c>
      <c r="I1573" s="11">
        <f>[1]!EM_S_FA_GROSSPROFITMARGIN(B1573,E1573)</f>
        <v>22.574396055200001</v>
      </c>
      <c r="J1573" s="11">
        <f>[1]!EM_S_FA_NETPROFITMARGIN(B1573,E1573)</f>
        <v>10.808972148100001</v>
      </c>
      <c r="K1573" s="10">
        <f>[1]!EM_S_FA_ASSETSTURN(B1573,E1573)</f>
        <v>0.62068136328599999</v>
      </c>
      <c r="L1573" s="12">
        <f>[1]!EM_HKS_VAL_MV(B1573,"2019-12-31","2")</f>
        <v>1718400000</v>
      </c>
      <c r="M1573">
        <f>[1]!EM_S_VAL_PETTMDEDUCTED(B1573,E1573)</f>
        <v>38.220017524691897</v>
      </c>
      <c r="N1573" s="7">
        <f>[1]!EM_S_VAL_PBGOODWILLDEDUCTED(B1573,E1573)</f>
        <v>2.3262242325583999</v>
      </c>
      <c r="O1573" s="7">
        <f>[1]!EM_S_VAL_PS_TTM(B1573,E1573)</f>
        <v>2.9383608581895699</v>
      </c>
      <c r="P1573" s="7">
        <f>[1]!EM_S_VAL_PCF_NCFTTM(B1573,E1573)</f>
        <v>10.8014426981014</v>
      </c>
      <c r="Q1573" s="7">
        <f>[1]!EM_S_VAL_DIVIDENDYIELD2(B1573,E1573,"2019-11-29")</f>
        <v>1.0960232783705142</v>
      </c>
      <c r="T1573"/>
      <c r="U1573">
        <f>[1]!EM_S_RATIO_EPS_TTM(B1573,E1573,"1")</f>
        <v>0.37611857237500002</v>
      </c>
      <c r="AT1573" s="4" t="str">
        <f>[1]!EM_S_IPO_LISTEDDATE(B1573)</f>
        <v>2017-10-17</v>
      </c>
    </row>
    <row r="1574" spans="1:46">
      <c r="A1574">
        <v>3443</v>
      </c>
      <c r="B1574" t="str">
        <f>"603587"</f>
        <v>603587</v>
      </c>
      <c r="C1574" t="s">
        <v>86</v>
      </c>
      <c r="D1574" t="str">
        <f>[1]!EM_S_INFO_INDEX_EM(B1574,"1")</f>
        <v>纺织服装</v>
      </c>
      <c r="E1574" s="4">
        <f t="shared" si="24"/>
        <v>43465</v>
      </c>
      <c r="F1574" s="11">
        <f>[1]!EM_S_PQ_PCTCHANGE(B1574,"2018-01-01","2019-12-31","3")</f>
        <v>-0.85264552000000005</v>
      </c>
      <c r="G1574" s="11">
        <f>[1]!EM_S_PQ_PCTCHANGE(B1574,"2018-12-31","2019-12-30","1")</f>
        <v>13.14233743</v>
      </c>
      <c r="H1574" s="11">
        <f>[1]!EM_S_FA_YOY_OR(B1574,E1574)</f>
        <v>7.9421099216000002</v>
      </c>
      <c r="I1574" s="11">
        <f>[1]!EM_S_FA_GROSSPROFITMARGIN(B1574,E1574)</f>
        <v>73.898966528100004</v>
      </c>
      <c r="J1574" s="11">
        <f>[1]!EM_S_FA_NETPROFITMARGIN(B1574,E1574)</f>
        <v>27.332811787600001</v>
      </c>
      <c r="K1574" s="10">
        <f>[1]!EM_S_FA_ASSETSTURN(B1574,E1574)</f>
        <v>0.78841201161899999</v>
      </c>
      <c r="L1574" s="12">
        <f>[1]!EM_HKS_VAL_MV(B1574,"2019-12-31","2")</f>
        <v>10177380000</v>
      </c>
      <c r="M1574">
        <f>[1]!EM_S_VAL_PETTMDEDUCTED(B1574,E1574)</f>
        <v>18.430499756398302</v>
      </c>
      <c r="N1574" s="7">
        <f>[1]!EM_S_VAL_PBGOODWILLDEDUCTED(B1574,E1574)</f>
        <v>2.85703171111457</v>
      </c>
      <c r="O1574" s="7">
        <f>[1]!EM_S_VAL_PS_TTM(B1574,E1574)</f>
        <v>4.3353246755533998</v>
      </c>
      <c r="P1574" s="7">
        <f>[1]!EM_S_VAL_PCF_NCFTTM(B1574,E1574)</f>
        <v>15.334579271248201</v>
      </c>
      <c r="Q1574" s="7">
        <f>[1]!EM_S_VAL_DIVIDENDYIELD2(B1574,E1574,"2019-11-29")</f>
        <v>4.3744531933508313</v>
      </c>
      <c r="T1574"/>
      <c r="U1574">
        <f>[1]!EM_S_RATIO_EPS_TTM(B1574,E1574,"1")</f>
        <v>1.4316909910972568</v>
      </c>
      <c r="AT1574" s="4" t="str">
        <f>[1]!EM_S_IPO_LISTEDDATE(B1574)</f>
        <v>2018-06-22</v>
      </c>
    </row>
    <row r="1575" spans="1:46">
      <c r="A1575">
        <v>534</v>
      </c>
      <c r="B1575" t="str">
        <f>"002023"</f>
        <v>002023</v>
      </c>
      <c r="C1575" t="s">
        <v>2219</v>
      </c>
      <c r="D1575" t="str">
        <f>[1]!EM_S_INFO_INDEX_EM(B1575,"1")</f>
        <v>国防与装备</v>
      </c>
      <c r="E1575" s="4">
        <f t="shared" si="24"/>
        <v>43465</v>
      </c>
      <c r="F1575" s="11">
        <f>[1]!EM_S_PQ_PCTCHANGE(B1575,"2018-01-01","2019-12-31","3")</f>
        <v>16.876818620000002</v>
      </c>
      <c r="G1575" s="11">
        <f>[1]!EM_S_PQ_PCTCHANGE(B1575,"2018-12-31","2019-12-30","1")</f>
        <v>13.14009662</v>
      </c>
      <c r="H1575" s="11">
        <f>[1]!EM_S_FA_YOY_OR(B1575,E1575)</f>
        <v>21.016755795000002</v>
      </c>
      <c r="I1575" s="11">
        <f>[1]!EM_S_FA_GROSSPROFITMARGIN(B1575,E1575)</f>
        <v>42.224828455999997</v>
      </c>
      <c r="J1575" s="11">
        <f>[1]!EM_S_FA_NETPROFITMARGIN(B1575,E1575)</f>
        <v>8.5395672241000007</v>
      </c>
      <c r="K1575" s="10">
        <f>[1]!EM_S_FA_ASSETSTURN(B1575,E1575)</f>
        <v>8.2900763781000003E-2</v>
      </c>
      <c r="L1575" s="12">
        <f>[1]!EM_HKS_VAL_MV(B1575,"2019-12-31","2")</f>
        <v>9119331586.1499996</v>
      </c>
      <c r="M1575">
        <f>[1]!EM_S_VAL_PETTMDEDUCTED(B1575,E1575)</f>
        <v>-208.22224770393501</v>
      </c>
      <c r="N1575" s="7">
        <f>[1]!EM_S_VAL_PBGOODWILLDEDUCTED(B1575,E1575)</f>
        <v>2.3271550287318998</v>
      </c>
      <c r="O1575" s="7">
        <f>[1]!EM_S_VAL_PS_TTM(B1575,E1575)</f>
        <v>16.4925813785811</v>
      </c>
      <c r="P1575" s="7">
        <f>[1]!EM_S_VAL_PCF_NCFTTM(B1575,E1575)</f>
        <v>-55.873909160908298</v>
      </c>
      <c r="Q1575" s="7">
        <f>[1]!EM_S_VAL_DIVIDENDYIELD2(B1575,E1575,"2019-11-29")</f>
        <v>0</v>
      </c>
      <c r="T1575"/>
      <c r="U1575">
        <f>[1]!EM_S_RATIO_EPS_TTM(B1575,E1575,"1")</f>
        <v>8.4632280479158925E-2</v>
      </c>
      <c r="AT1575" s="4" t="str">
        <f>[1]!EM_S_IPO_LISTEDDATE(B1575)</f>
        <v>2004-07-21</v>
      </c>
    </row>
    <row r="1576" spans="1:46">
      <c r="A1576">
        <v>1060</v>
      </c>
      <c r="B1576" t="str">
        <f>"002549"</f>
        <v>002549</v>
      </c>
      <c r="C1576" t="s">
        <v>1271</v>
      </c>
      <c r="D1576" t="str">
        <f>[1]!EM_S_INFO_INDEX_EM(B1576,"1")</f>
        <v>基础化工</v>
      </c>
      <c r="E1576" s="4">
        <f t="shared" si="24"/>
        <v>43465</v>
      </c>
      <c r="F1576" s="11">
        <f>[1]!EM_S_PQ_PCTCHANGE(B1576,"2018-01-01","2019-12-31","3")</f>
        <v>-3.8249853800000002</v>
      </c>
      <c r="G1576" s="11">
        <f>[1]!EM_S_PQ_PCTCHANGE(B1576,"2018-12-31","2019-12-30","1")</f>
        <v>13.12384473</v>
      </c>
      <c r="H1576" s="11">
        <f>[1]!EM_S_FA_YOY_OR(B1576,E1576)</f>
        <v>17.809125567300001</v>
      </c>
      <c r="I1576" s="11">
        <f>[1]!EM_S_FA_GROSSPROFITMARGIN(B1576,E1576)</f>
        <v>46.872350852300002</v>
      </c>
      <c r="J1576" s="11">
        <f>[1]!EM_S_FA_NETPROFITMARGIN(B1576,E1576)</f>
        <v>19.217116899699999</v>
      </c>
      <c r="K1576" s="10">
        <f>[1]!EM_S_FA_ASSETSTURN(B1576,E1576)</f>
        <v>0.385645826335</v>
      </c>
      <c r="L1576" s="12">
        <f>[1]!EM_HKS_VAL_MV(B1576,"2019-12-31","2")</f>
        <v>3829518000</v>
      </c>
      <c r="M1576">
        <f>[1]!EM_S_VAL_PETTMDEDUCTED(B1576,E1576)</f>
        <v>36.363953321230397</v>
      </c>
      <c r="N1576" s="7">
        <f>[1]!EM_S_VAL_PBGOODWILLDEDUCTED(B1576,E1576)</f>
        <v>3.58734097545821</v>
      </c>
      <c r="O1576" s="7">
        <f>[1]!EM_S_VAL_PS_TTM(B1576,E1576)</f>
        <v>6.7824638325380002</v>
      </c>
      <c r="P1576" s="7">
        <f>[1]!EM_S_VAL_PCF_NCFTTM(B1576,E1576)</f>
        <v>50.489373734892197</v>
      </c>
      <c r="Q1576" s="7">
        <f>[1]!EM_S_VAL_DIVIDENDYIELD2(B1576,E1576,"2019-11-29")</f>
        <v>1.9379844961240309</v>
      </c>
      <c r="T1576"/>
      <c r="U1576">
        <f>[1]!EM_S_RATIO_EPS_TTM(B1576,E1576,"1")</f>
        <v>0.15047949565496233</v>
      </c>
      <c r="AT1576" s="4" t="str">
        <f>[1]!EM_S_IPO_LISTEDDATE(B1576)</f>
        <v>2011-02-18</v>
      </c>
    </row>
    <row r="1577" spans="1:46">
      <c r="A1577">
        <v>1452</v>
      </c>
      <c r="B1577" t="str">
        <f>"300026"</f>
        <v>300026</v>
      </c>
      <c r="C1577" t="s">
        <v>1012</v>
      </c>
      <c r="D1577" t="str">
        <f>[1]!EM_S_INFO_INDEX_EM(B1577,"1")</f>
        <v>医药生物</v>
      </c>
      <c r="E1577" s="4">
        <f t="shared" si="24"/>
        <v>43465</v>
      </c>
      <c r="F1577" s="11">
        <f>[1]!EM_S_PQ_PCTCHANGE(B1577,"2018-01-01","2019-12-31","3")</f>
        <v>-16.72934085</v>
      </c>
      <c r="G1577" s="11">
        <f>[1]!EM_S_PQ_PCTCHANGE(B1577,"2018-12-31","2019-12-30","1")</f>
        <v>13.114754100000001</v>
      </c>
      <c r="H1577" s="11">
        <f>[1]!EM_S_FA_YOY_OR(B1577,E1577)</f>
        <v>25.190900867500002</v>
      </c>
      <c r="I1577" s="11">
        <f>[1]!EM_S_FA_GROSSPROFITMARGIN(B1577,E1577)</f>
        <v>71.006034290000002</v>
      </c>
      <c r="J1577" s="11">
        <f>[1]!EM_S_FA_NETPROFITMARGIN(B1577,E1577)</f>
        <v>5.111594964</v>
      </c>
      <c r="K1577" s="10">
        <f>[1]!EM_S_FA_ASSETSTURN(B1577,E1577)</f>
        <v>0.56652445576499999</v>
      </c>
      <c r="L1577" s="12">
        <f>[1]!EM_HKS_VAL_MV(B1577,"2019-12-31","2")</f>
        <v>10550023977.870001</v>
      </c>
      <c r="M1577">
        <f>[1]!EM_S_VAL_PETTMDEDUCTED(B1577,E1577)</f>
        <v>22.670720255077999</v>
      </c>
      <c r="N1577" s="7">
        <f>[1]!EM_S_VAL_PBGOODWILLDEDUCTED(B1577,E1577)</f>
        <v>1.6739575385468</v>
      </c>
      <c r="O1577" s="7">
        <f>[1]!EM_S_VAL_PS_TTM(B1577,E1577)</f>
        <v>2.28736443914126</v>
      </c>
      <c r="P1577" s="7">
        <f>[1]!EM_S_VAL_PCF_NCFTTM(B1577,E1577)</f>
        <v>76.262122455521805</v>
      </c>
      <c r="Q1577" s="7">
        <f>[1]!EM_S_VAL_DIVIDENDYIELD2(B1577,E1577,"2019-11-29")</f>
        <v>0.57573559420825715</v>
      </c>
      <c r="T1577"/>
      <c r="U1577">
        <f>[1]!EM_S_RATIO_EPS_TTM(B1577,E1577,"1")</f>
        <v>7.0007142490415647E-2</v>
      </c>
      <c r="AT1577" s="4" t="str">
        <f>[1]!EM_S_IPO_LISTEDDATE(B1577)</f>
        <v>2009-10-30</v>
      </c>
    </row>
    <row r="1578" spans="1:46">
      <c r="A1578">
        <v>2503</v>
      </c>
      <c r="B1578" t="str">
        <f>"600386"</f>
        <v>600386</v>
      </c>
      <c r="C1578" t="s">
        <v>2400</v>
      </c>
      <c r="D1578" t="str">
        <f>[1]!EM_S_INFO_INDEX_EM(B1578,"1")</f>
        <v>交运设备</v>
      </c>
      <c r="E1578" s="4">
        <f t="shared" si="24"/>
        <v>43465</v>
      </c>
      <c r="F1578" s="11">
        <f>[1]!EM_S_PQ_PCTCHANGE(B1578,"2018-01-01","2019-12-31","3")</f>
        <v>-22.763450299999999</v>
      </c>
      <c r="G1578" s="11">
        <f>[1]!EM_S_PQ_PCTCHANGE(B1578,"2018-12-31","2019-12-30","1")</f>
        <v>12.95180723</v>
      </c>
      <c r="H1578" s="11">
        <f>[1]!EM_S_FA_YOY_OR(B1578,E1578)</f>
        <v>17.2379977252</v>
      </c>
      <c r="I1578" s="11">
        <f>[1]!EM_S_FA_GROSSPROFITMARGIN(B1578,E1578)</f>
        <v>17.518378786700001</v>
      </c>
      <c r="J1578" s="11">
        <f>[1]!EM_S_FA_NETPROFITMARGIN(B1578,E1578)</f>
        <v>2.7274811581999998</v>
      </c>
      <c r="K1578" s="10">
        <f>[1]!EM_S_FA_ASSETSTURN(B1578,E1578)</f>
        <v>1.1176073066709999</v>
      </c>
      <c r="L1578" s="12">
        <f>[1]!EM_HKS_VAL_MV(B1578,"2019-12-31","2")</f>
        <v>2999808000</v>
      </c>
      <c r="M1578">
        <f>[1]!EM_S_VAL_PETTMDEDUCTED(B1578,E1578)</f>
        <v>45.486481901125003</v>
      </c>
      <c r="N1578" s="7">
        <f>[1]!EM_S_VAL_PBGOODWILLDEDUCTED(B1578,E1578)</f>
        <v>1.50836894146878</v>
      </c>
      <c r="O1578" s="7">
        <f>[1]!EM_S_VAL_PS_TTM(B1578,E1578)</f>
        <v>0.58896422713386598</v>
      </c>
      <c r="P1578" s="7">
        <f>[1]!EM_S_VAL_PCF_NCFTTM(B1578,E1578)</f>
        <v>18.156330288470599</v>
      </c>
      <c r="Q1578" s="7">
        <f>[1]!EM_S_VAL_DIVIDENDYIELD2(B1578,E1578,"2019-11-29")</f>
        <v>3.197674418604652</v>
      </c>
      <c r="T1578"/>
      <c r="U1578">
        <f>[1]!EM_S_RATIO_EPS_TTM(B1578,E1578,"1")</f>
        <v>0.1274748956845238</v>
      </c>
      <c r="AT1578" s="4" t="str">
        <f>[1]!EM_S_IPO_LISTEDDATE(B1578)</f>
        <v>2001-02-16</v>
      </c>
    </row>
    <row r="1579" spans="1:46">
      <c r="A1579">
        <v>465</v>
      </c>
      <c r="B1579" t="str">
        <f>"000950"</f>
        <v>000950</v>
      </c>
      <c r="C1579" t="s">
        <v>1358</v>
      </c>
      <c r="D1579" t="str">
        <f>[1]!EM_S_INFO_INDEX_EM(B1579,"1")</f>
        <v>医药生物</v>
      </c>
      <c r="E1579" s="4">
        <f t="shared" si="24"/>
        <v>43465</v>
      </c>
      <c r="F1579" s="11">
        <f>[1]!EM_S_PQ_PCTCHANGE(B1579,"2018-01-01","2019-12-31","3")</f>
        <v>-46.268656720000003</v>
      </c>
      <c r="G1579" s="11">
        <f>[1]!EM_S_PQ_PCTCHANGE(B1579,"2018-12-31","2019-12-30","1")</f>
        <v>12.94820717</v>
      </c>
      <c r="H1579" s="11">
        <f>[1]!EM_S_FA_YOY_OR(B1579,E1579)</f>
        <v>11.9686968838</v>
      </c>
      <c r="I1579" s="11">
        <f>[1]!EM_S_FA_GROSSPROFITMARGIN(B1579,E1579)</f>
        <v>8.9604699509000003</v>
      </c>
      <c r="J1579" s="11">
        <f>[1]!EM_S_FA_NETPROFITMARGIN(B1579,E1579)</f>
        <v>2.9102102445</v>
      </c>
      <c r="K1579" s="10">
        <f>[1]!EM_S_FA_ASSETSTURN(B1579,E1579)</f>
        <v>1.4610931845770001</v>
      </c>
      <c r="L1579" s="12">
        <f>[1]!EM_HKS_VAL_MV(B1579,"2019-12-31","2")</f>
        <v>9954343848.9599991</v>
      </c>
      <c r="M1579">
        <f>[1]!EM_S_VAL_PETTMDEDUCTED(B1579,E1579)</f>
        <v>13.517291946951101</v>
      </c>
      <c r="N1579" s="7">
        <f>[1]!EM_S_VAL_PBGOODWILLDEDUCTED(B1579,E1579)</f>
        <v>1.31686565517805</v>
      </c>
      <c r="O1579" s="7">
        <f>[1]!EM_S_VAL_PS_TTM(B1579,E1579)</f>
        <v>0.36335312949061299</v>
      </c>
      <c r="P1579" s="7">
        <f>[1]!EM_S_VAL_PCF_NCFTTM(B1579,E1579)</f>
        <v>-81.437841281610901</v>
      </c>
      <c r="Q1579" s="7">
        <f>[1]!EM_S_VAL_DIVIDENDYIELD2(B1579,E1579,"2019-11-29")</f>
        <v>0</v>
      </c>
      <c r="T1579"/>
      <c r="U1579">
        <f>[1]!EM_S_RATIO_EPS_TTM(B1579,E1579,"1")</f>
        <v>0.39964899594852105</v>
      </c>
      <c r="AT1579" s="4" t="str">
        <f>[1]!EM_S_IPO_LISTEDDATE(B1579)</f>
        <v>1999-09-16</v>
      </c>
    </row>
    <row r="1580" spans="1:46">
      <c r="A1580">
        <v>1255</v>
      </c>
      <c r="B1580" t="str">
        <f>"002746"</f>
        <v>002746</v>
      </c>
      <c r="C1580" t="s">
        <v>1843</v>
      </c>
      <c r="D1580" t="str">
        <f>[1]!EM_S_INFO_INDEX_EM(B1580,"1")</f>
        <v>农林牧渔</v>
      </c>
      <c r="E1580" s="4">
        <f t="shared" si="24"/>
        <v>43465</v>
      </c>
      <c r="F1580" s="11">
        <f>[1]!EM_S_PQ_PCTCHANGE(B1580,"2018-01-01","2019-12-31","3")</f>
        <v>74.965445459999998</v>
      </c>
      <c r="G1580" s="11">
        <f>[1]!EM_S_PQ_PCTCHANGE(B1580,"2018-12-31","2019-12-30","1")</f>
        <v>12.93859649</v>
      </c>
      <c r="H1580" s="11">
        <f>[1]!EM_S_FA_YOY_OR(B1580,E1580)</f>
        <v>19.121888003799999</v>
      </c>
      <c r="I1580" s="11">
        <f>[1]!EM_S_FA_GROSSPROFITMARGIN(B1580,E1580)</f>
        <v>17.0851824352</v>
      </c>
      <c r="J1580" s="11">
        <f>[1]!EM_S_FA_NETPROFITMARGIN(B1580,E1580)</f>
        <v>16.379933665300001</v>
      </c>
      <c r="K1580" s="10">
        <f>[1]!EM_S_FA_ASSETSTURN(B1580,E1580)</f>
        <v>0.90793060730800002</v>
      </c>
      <c r="L1580" s="12">
        <f>[1]!EM_HKS_VAL_MV(B1580,"2019-12-31","2")</f>
        <v>7219692396.2700005</v>
      </c>
      <c r="M1580">
        <f>[1]!EM_S_VAL_PETTMDEDUCTED(B1580,E1580)</f>
        <v>20.042393831572799</v>
      </c>
      <c r="N1580" s="7">
        <f>[1]!EM_S_VAL_PBGOODWILLDEDUCTED(B1580,E1580)</f>
        <v>1.72744743724665</v>
      </c>
      <c r="O1580" s="7">
        <f>[1]!EM_S_VAL_PS_TTM(B1580,E1580)</f>
        <v>1.79312747560241</v>
      </c>
      <c r="P1580" s="7">
        <f>[1]!EM_S_VAL_PCF_NCFTTM(B1580,E1580)</f>
        <v>-51.971839406626003</v>
      </c>
      <c r="Q1580" s="7">
        <f>[1]!EM_S_VAL_DIVIDENDYIELD2(B1580,E1580,"2019-11-29")</f>
        <v>2.1123785405118309</v>
      </c>
      <c r="T1580"/>
      <c r="U1580">
        <f>[1]!EM_S_RATIO_EPS_TTM(B1580,E1580,"1")</f>
        <v>1.3002970380189114</v>
      </c>
      <c r="AT1580" s="4" t="str">
        <f>[1]!EM_S_IPO_LISTEDDATE(B1580)</f>
        <v>2015-02-16</v>
      </c>
    </row>
    <row r="1581" spans="1:46">
      <c r="A1581">
        <v>2036</v>
      </c>
      <c r="B1581" t="str">
        <f>"300617"</f>
        <v>300617</v>
      </c>
      <c r="C1581" t="s">
        <v>772</v>
      </c>
      <c r="D1581" t="str">
        <f>[1]!EM_S_INFO_INDEX_EM(B1581,"1")</f>
        <v>电气设备</v>
      </c>
      <c r="E1581" s="4">
        <f t="shared" si="24"/>
        <v>43465</v>
      </c>
      <c r="F1581" s="11">
        <f>[1]!EM_S_PQ_PCTCHANGE(B1581,"2018-01-01","2019-12-31","3")</f>
        <v>-23.85333636</v>
      </c>
      <c r="G1581" s="11">
        <f>[1]!EM_S_PQ_PCTCHANGE(B1581,"2018-12-31","2019-12-30","1")</f>
        <v>12.92984869</v>
      </c>
      <c r="H1581" s="11">
        <f>[1]!EM_S_FA_YOY_OR(B1581,E1581)</f>
        <v>-11.0074036449</v>
      </c>
      <c r="I1581" s="11">
        <f>[1]!EM_S_FA_GROSSPROFITMARGIN(B1581,E1581)</f>
        <v>50.483760875900003</v>
      </c>
      <c r="J1581" s="11">
        <f>[1]!EM_S_FA_NETPROFITMARGIN(B1581,E1581)</f>
        <v>23.691458091699999</v>
      </c>
      <c r="K1581" s="10">
        <f>[1]!EM_S_FA_ASSETSTURN(B1581,E1581)</f>
        <v>0.30788994967900002</v>
      </c>
      <c r="L1581" s="12">
        <f>[1]!EM_HKS_VAL_MV(B1581,"2019-12-31","2")</f>
        <v>2493124650</v>
      </c>
      <c r="M1581">
        <f>[1]!EM_S_VAL_PETTMDEDUCTED(B1581,E1581)</f>
        <v>29.434820964451799</v>
      </c>
      <c r="N1581" s="7">
        <f>[1]!EM_S_VAL_PBGOODWILLDEDUCTED(B1581,E1581)</f>
        <v>2.55181503233803</v>
      </c>
      <c r="O1581" s="7">
        <f>[1]!EM_S_VAL_PS_TTM(B1581,E1581)</f>
        <v>5.6634499084276602</v>
      </c>
      <c r="P1581" s="7">
        <f>[1]!EM_S_VAL_PCF_NCFTTM(B1581,E1581)</f>
        <v>193.86725582134</v>
      </c>
      <c r="Q1581" s="7">
        <f>[1]!EM_S_VAL_DIVIDENDYIELD2(B1581,E1581,"2019-11-29")</f>
        <v>2.4354603019970775</v>
      </c>
      <c r="T1581"/>
      <c r="U1581">
        <f>[1]!EM_S_RATIO_EPS_TTM(B1581,E1581,"1")</f>
        <v>0.75271522513874312</v>
      </c>
      <c r="AT1581" s="4" t="str">
        <f>[1]!EM_S_IPO_LISTEDDATE(B1581)</f>
        <v>2017-02-28</v>
      </c>
    </row>
    <row r="1582" spans="1:46">
      <c r="A1582">
        <v>1044</v>
      </c>
      <c r="B1582" t="str">
        <f>"002533"</f>
        <v>002533</v>
      </c>
      <c r="C1582" t="s">
        <v>2128</v>
      </c>
      <c r="D1582" t="str">
        <f>[1]!EM_S_INFO_INDEX_EM(B1582,"1")</f>
        <v>电气设备</v>
      </c>
      <c r="E1582" s="4">
        <f t="shared" si="24"/>
        <v>43465</v>
      </c>
      <c r="F1582" s="11">
        <f>[1]!EM_S_PQ_PCTCHANGE(B1582,"2018-01-01","2019-12-31","3")</f>
        <v>-21.982769909999998</v>
      </c>
      <c r="G1582" s="11">
        <f>[1]!EM_S_PQ_PCTCHANGE(B1582,"2018-12-31","2019-12-30","1")</f>
        <v>12.92517007</v>
      </c>
      <c r="H1582" s="11">
        <f>[1]!EM_S_FA_YOY_OR(B1582,E1582)</f>
        <v>19.628968292</v>
      </c>
      <c r="I1582" s="11">
        <f>[1]!EM_S_FA_GROSSPROFITMARGIN(B1582,E1582)</f>
        <v>15.3514898545</v>
      </c>
      <c r="J1582" s="11">
        <f>[1]!EM_S_FA_NETPROFITMARGIN(B1582,E1582)</f>
        <v>2.9391253111000002</v>
      </c>
      <c r="K1582" s="10">
        <f>[1]!EM_S_FA_ASSETSTURN(B1582,E1582)</f>
        <v>1.2337499231139999</v>
      </c>
      <c r="L1582" s="12">
        <f>[1]!EM_HKS_VAL_MV(B1582,"2019-12-31","2")</f>
        <v>2837204001.5999999</v>
      </c>
      <c r="M1582">
        <f>[1]!EM_S_VAL_PETTMDEDUCTED(B1582,E1582)</f>
        <v>21.818064158328799</v>
      </c>
      <c r="N1582" s="7">
        <f>[1]!EM_S_VAL_PBGOODWILLDEDUCTED(B1582,E1582)</f>
        <v>1.03981799392064</v>
      </c>
      <c r="O1582" s="7">
        <f>[1]!EM_S_VAL_PS_TTM(B1582,E1582)</f>
        <v>0.51812933210789802</v>
      </c>
      <c r="P1582" s="7">
        <f>[1]!EM_S_VAL_PCF_NCFTTM(B1582,E1582)</f>
        <v>53.104666087213502</v>
      </c>
      <c r="Q1582" s="7">
        <f>[1]!EM_S_VAL_DIVIDENDYIELD2(B1582,E1582,"2019-11-29")</f>
        <v>3.0583243485863831</v>
      </c>
      <c r="T1582"/>
      <c r="U1582">
        <f>[1]!EM_S_RATIO_EPS_TTM(B1582,E1582,"1")</f>
        <v>0.23969839072183227</v>
      </c>
      <c r="AT1582" s="4" t="str">
        <f>[1]!EM_S_IPO_LISTEDDATE(B1582)</f>
        <v>2010-12-31</v>
      </c>
    </row>
    <row r="1583" spans="1:46">
      <c r="A1583">
        <v>3090</v>
      </c>
      <c r="B1583" t="str">
        <f>"601238"</f>
        <v>601238</v>
      </c>
      <c r="C1583" t="s">
        <v>246</v>
      </c>
      <c r="D1583" t="str">
        <f>[1]!EM_S_INFO_INDEX_EM(B1583,"1")</f>
        <v>交运设备</v>
      </c>
      <c r="E1583" s="4">
        <f t="shared" si="24"/>
        <v>43465</v>
      </c>
      <c r="F1583" s="11">
        <f>[1]!EM_S_PQ_PCTCHANGE(B1583,"2018-01-01","2019-12-31","3")</f>
        <v>-29.387715839999998</v>
      </c>
      <c r="G1583" s="11">
        <f>[1]!EM_S_PQ_PCTCHANGE(B1583,"2018-12-31","2019-12-30","1")</f>
        <v>12.92517007</v>
      </c>
      <c r="H1583" s="11">
        <f>[1]!EM_S_FA_YOY_OR(B1583,E1583)</f>
        <v>0.53089818789999998</v>
      </c>
      <c r="I1583" s="11">
        <f>[1]!EM_S_FA_GROSSPROFITMARGIN(B1583,E1583)</f>
        <v>18.560990731099999</v>
      </c>
      <c r="J1583" s="11">
        <f>[1]!EM_S_FA_NETPROFITMARGIN(B1583,E1583)</f>
        <v>15.306436291600001</v>
      </c>
      <c r="K1583" s="10">
        <f>[1]!EM_S_FA_ASSETSTURN(B1583,E1583)</f>
        <v>0.57507675624599996</v>
      </c>
      <c r="L1583" s="12">
        <f>[1]!EM_HKS_VAL_MV(B1583,"2019-12-31","2")</f>
        <v>119678801154.28999</v>
      </c>
      <c r="M1583">
        <f>[1]!EM_S_VAL_PETTMDEDUCTED(B1583,E1583)</f>
        <v>9.9015396456404492</v>
      </c>
      <c r="N1583" s="7">
        <f>[1]!EM_S_VAL_PBGOODWILLDEDUCTED(B1583,E1583)</f>
        <v>1.3815317354366099</v>
      </c>
      <c r="O1583" s="7">
        <f>[1]!EM_S_VAL_PS_TTM(B1583,E1583)</f>
        <v>1.43330187352256</v>
      </c>
      <c r="P1583" s="7">
        <f>[1]!EM_S_VAL_PCF_NCFTTM(B1583,E1583)</f>
        <v>7.6902422399700896</v>
      </c>
      <c r="Q1583" s="7">
        <f>[1]!EM_S_VAL_DIVIDENDYIELD2(B1583,E1583,"2019-11-29")</f>
        <v>2.3702038720001628</v>
      </c>
      <c r="T1583"/>
      <c r="U1583">
        <f>[1]!EM_S_RATIO_EPS_TTM(B1583,E1583,"1")</f>
        <v>1.0654921144944114</v>
      </c>
      <c r="AT1583" s="4" t="str">
        <f>[1]!EM_S_IPO_LISTEDDATE(B1583)</f>
        <v>2012-03-29</v>
      </c>
    </row>
    <row r="1584" spans="1:46">
      <c r="A1584">
        <v>606</v>
      </c>
      <c r="B1584" t="str">
        <f>"002095"</f>
        <v>002095</v>
      </c>
      <c r="C1584" t="s">
        <v>1722</v>
      </c>
      <c r="D1584" t="str">
        <f>[1]!EM_S_INFO_INDEX_EM(B1584,"1")</f>
        <v>互联网</v>
      </c>
      <c r="E1584" s="4">
        <f t="shared" si="24"/>
        <v>43465</v>
      </c>
      <c r="F1584" s="11">
        <f>[1]!EM_S_PQ_PCTCHANGE(B1584,"2018-01-01","2019-12-31","3")</f>
        <v>-35.850396420000003</v>
      </c>
      <c r="G1584" s="11">
        <f>[1]!EM_S_PQ_PCTCHANGE(B1584,"2018-12-31","2019-12-30","1")</f>
        <v>12.90650407</v>
      </c>
      <c r="H1584" s="11">
        <f>[1]!EM_S_FA_YOY_OR(B1584,E1584)</f>
        <v>16.202576051299999</v>
      </c>
      <c r="I1584" s="11">
        <f>[1]!EM_S_FA_GROSSPROFITMARGIN(B1584,E1584)</f>
        <v>34.308919269800001</v>
      </c>
      <c r="J1584" s="11">
        <f>[1]!EM_S_FA_NETPROFITMARGIN(B1584,E1584)</f>
        <v>8.9778527227999998</v>
      </c>
      <c r="K1584" s="10">
        <f>[1]!EM_S_FA_ASSETSTURN(B1584,E1584)</f>
        <v>0.30614883202499998</v>
      </c>
      <c r="L1584" s="12">
        <f>[1]!EM_HKS_VAL_MV(B1584,"2019-12-31","2")</f>
        <v>5630601600</v>
      </c>
      <c r="M1584">
        <f>[1]!EM_S_VAL_PETTMDEDUCTED(B1584,E1584)</f>
        <v>171.32403616641099</v>
      </c>
      <c r="N1584" s="7">
        <f>[1]!EM_S_VAL_PBGOODWILLDEDUCTED(B1584,E1584)</f>
        <v>5.8492998042560398</v>
      </c>
      <c r="O1584" s="7">
        <f>[1]!EM_S_VAL_PS_TTM(B1584,E1584)</f>
        <v>11.6892511271383</v>
      </c>
      <c r="P1584" s="7">
        <f>[1]!EM_S_VAL_PCF_NCFTTM(B1584,E1584)</f>
        <v>-380.10899909757501</v>
      </c>
      <c r="Q1584" s="7">
        <f>[1]!EM_S_VAL_DIVIDENDYIELD2(B1584,E1584,"2019-11-29")</f>
        <v>0.22603978300180833</v>
      </c>
      <c r="T1584"/>
      <c r="U1584">
        <f>[1]!EM_S_RATIO_EPS_TTM(B1584,E1584,"1")</f>
        <v>0.13788582648781261</v>
      </c>
      <c r="AT1584" s="4" t="str">
        <f>[1]!EM_S_IPO_LISTEDDATE(B1584)</f>
        <v>2006-12-15</v>
      </c>
    </row>
    <row r="1585" spans="1:46">
      <c r="A1585">
        <v>2755</v>
      </c>
      <c r="B1585" t="str">
        <f>"600682"</f>
        <v>600682</v>
      </c>
      <c r="C1585" t="s">
        <v>2103</v>
      </c>
      <c r="D1585" t="str">
        <f>[1]!EM_S_INFO_INDEX_EM(B1585,"1")</f>
        <v>商贸零售</v>
      </c>
      <c r="E1585" s="4">
        <f t="shared" si="24"/>
        <v>43465</v>
      </c>
      <c r="F1585" s="11">
        <f>[1]!EM_S_PQ_PCTCHANGE(B1585,"2018-01-01","2019-12-31","3")</f>
        <v>-73.061961350000004</v>
      </c>
      <c r="G1585" s="11">
        <f>[1]!EM_S_PQ_PCTCHANGE(B1585,"2018-12-31","2019-12-30","1")</f>
        <v>12.870159449999999</v>
      </c>
      <c r="H1585" s="11">
        <f>[1]!EM_S_FA_YOY_OR(B1585,E1585)</f>
        <v>-24.006406685599998</v>
      </c>
      <c r="I1585" s="11">
        <f>[1]!EM_S_FA_GROSSPROFITMARGIN(B1585,E1585)</f>
        <v>44.107147832700001</v>
      </c>
      <c r="J1585" s="11">
        <f>[1]!EM_S_FA_NETPROFITMARGIN(B1585,E1585)</f>
        <v>-5.5024603387999997</v>
      </c>
      <c r="K1585" s="10">
        <f>[1]!EM_S_FA_ASSETSTURN(B1585,E1585)</f>
        <v>0.62483759732199995</v>
      </c>
      <c r="L1585" s="12">
        <f>[1]!EM_HKS_VAL_MV(B1585,"2019-12-31","2")</f>
        <v>13609396754.309999</v>
      </c>
      <c r="M1585">
        <f>[1]!EM_S_VAL_PETTMDEDUCTED(B1585,E1585)</f>
        <v>-10.745590551196999</v>
      </c>
      <c r="N1585" s="7">
        <f>[1]!EM_S_VAL_PBGOODWILLDEDUCTED(B1585,E1585)</f>
        <v>1.5732717612049301</v>
      </c>
      <c r="O1585" s="7">
        <f>[1]!EM_S_VAL_PS_TTM(B1585,E1585)</f>
        <v>0.70159667524451397</v>
      </c>
      <c r="P1585" s="7">
        <f>[1]!EM_S_VAL_PCF_NCFTTM(B1585,E1585)</f>
        <v>52.077496716345003</v>
      </c>
      <c r="Q1585" s="7">
        <f>[1]!EM_S_VAL_DIVIDENDYIELD2(B1585,E1585,"2019-11-29")</f>
        <v>0</v>
      </c>
      <c r="T1585"/>
      <c r="U1585">
        <f>[1]!EM_S_RATIO_EPS_TTM(B1585,E1585,"1")</f>
        <v>-0.68529485220366149</v>
      </c>
      <c r="AT1585" s="4" t="str">
        <f>[1]!EM_S_IPO_LISTEDDATE(B1585)</f>
        <v>1993-10-18</v>
      </c>
    </row>
    <row r="1586" spans="1:46">
      <c r="A1586">
        <v>1126</v>
      </c>
      <c r="B1586" t="str">
        <f>"002615"</f>
        <v>002615</v>
      </c>
      <c r="C1586" t="s">
        <v>1803</v>
      </c>
      <c r="D1586" t="str">
        <f>[1]!EM_S_INFO_INDEX_EM(B1586,"1")</f>
        <v>轻工制造</v>
      </c>
      <c r="E1586" s="4">
        <f t="shared" si="24"/>
        <v>43465</v>
      </c>
      <c r="F1586" s="11">
        <f>[1]!EM_S_PQ_PCTCHANGE(B1586,"2018-01-01","2019-12-31","3")</f>
        <v>-37.04876703</v>
      </c>
      <c r="G1586" s="11">
        <f>[1]!EM_S_PQ_PCTCHANGE(B1586,"2018-12-31","2019-12-30","1")</f>
        <v>12.836438920000001</v>
      </c>
      <c r="H1586" s="11">
        <f>[1]!EM_S_FA_YOY_OR(B1586,E1586)</f>
        <v>24.677461785999999</v>
      </c>
      <c r="I1586" s="11">
        <f>[1]!EM_S_FA_GROSSPROFITMARGIN(B1586,E1586)</f>
        <v>31.6009812044</v>
      </c>
      <c r="J1586" s="11">
        <f>[1]!EM_S_FA_NETPROFITMARGIN(B1586,E1586)</f>
        <v>5.1377098995999999</v>
      </c>
      <c r="K1586" s="10">
        <f>[1]!EM_S_FA_ASSETSTURN(B1586,E1586)</f>
        <v>1.0442431559759999</v>
      </c>
      <c r="L1586" s="12">
        <f>[1]!EM_HKS_VAL_MV(B1586,"2019-12-31","2")</f>
        <v>2269512000</v>
      </c>
      <c r="M1586">
        <f>[1]!EM_S_VAL_PETTMDEDUCTED(B1586,E1586)</f>
        <v>21.1196108867228</v>
      </c>
      <c r="N1586" s="7">
        <f>[1]!EM_S_VAL_PBGOODWILLDEDUCTED(B1586,E1586)</f>
        <v>2.4931350838575699</v>
      </c>
      <c r="O1586" s="7">
        <f>[1]!EM_S_VAL_PS_TTM(B1586,E1586)</f>
        <v>1.10910380027997</v>
      </c>
      <c r="P1586" s="7">
        <f>[1]!EM_S_VAL_PCF_NCFTTM(B1586,E1586)</f>
        <v>205.79372982312901</v>
      </c>
      <c r="Q1586" s="7">
        <f>[1]!EM_S_VAL_DIVIDENDYIELD2(B1586,E1586,"2019-11-29")</f>
        <v>1.5384615384615385</v>
      </c>
      <c r="T1586"/>
      <c r="U1586">
        <f>[1]!EM_S_RATIO_EPS_TTM(B1586,E1586,"1")</f>
        <v>0.24212384390838207</v>
      </c>
      <c r="AT1586" s="4" t="str">
        <f>[1]!EM_S_IPO_LISTEDDATE(B1586)</f>
        <v>2011-09-09</v>
      </c>
    </row>
    <row r="1587" spans="1:46">
      <c r="A1587">
        <v>1976</v>
      </c>
      <c r="B1587" t="str">
        <f>"300553"</f>
        <v>300553</v>
      </c>
      <c r="C1587" t="s">
        <v>2530</v>
      </c>
      <c r="D1587" t="str">
        <f>[1]!EM_S_INFO_INDEX_EM(B1587,"1")</f>
        <v>机械设备</v>
      </c>
      <c r="E1587" s="4">
        <f t="shared" si="24"/>
        <v>43465</v>
      </c>
      <c r="F1587" s="11">
        <f>[1]!EM_S_PQ_PCTCHANGE(B1587,"2018-01-01","2019-12-31","3")</f>
        <v>-9.4017342199999998</v>
      </c>
      <c r="G1587" s="11">
        <f>[1]!EM_S_PQ_PCTCHANGE(B1587,"2018-12-31","2019-12-30","1")</f>
        <v>12.826020249999999</v>
      </c>
      <c r="H1587" s="11">
        <f>[1]!EM_S_FA_YOY_OR(B1587,E1587)</f>
        <v>21.749227042800001</v>
      </c>
      <c r="I1587" s="11">
        <f>[1]!EM_S_FA_GROSSPROFITMARGIN(B1587,E1587)</f>
        <v>48.110967562500001</v>
      </c>
      <c r="J1587" s="11">
        <f>[1]!EM_S_FA_NETPROFITMARGIN(B1587,E1587)</f>
        <v>8.5472588971000008</v>
      </c>
      <c r="K1587" s="10">
        <f>[1]!EM_S_FA_ASSETSTURN(B1587,E1587)</f>
        <v>0.389672124211</v>
      </c>
      <c r="L1587" s="12">
        <f>[1]!EM_HKS_VAL_MV(B1587,"2019-12-31","2")</f>
        <v>1765920000</v>
      </c>
      <c r="M1587">
        <f>[1]!EM_S_VAL_PETTMDEDUCTED(B1587,E1587)</f>
        <v>83.153728917456306</v>
      </c>
      <c r="N1587" s="7">
        <f>[1]!EM_S_VAL_PBGOODWILLDEDUCTED(B1587,E1587)</f>
        <v>4.7916309322677302</v>
      </c>
      <c r="O1587" s="7">
        <f>[1]!EM_S_VAL_PS_TTM(B1587,E1587)</f>
        <v>11.2113949762081</v>
      </c>
      <c r="P1587" s="7">
        <f>[1]!EM_S_VAL_PCF_NCFTTM(B1587,E1587)</f>
        <v>-51.876896236656698</v>
      </c>
      <c r="Q1587" s="7">
        <f>[1]!EM_S_VAL_DIVIDENDYIELD2(B1587,E1587,"2019-11-29")</f>
        <v>0.56996295240809347</v>
      </c>
      <c r="T1587"/>
      <c r="U1587">
        <f>[1]!EM_S_RATIO_EPS_TTM(B1587,E1587,"1")</f>
        <v>0.34104490625</v>
      </c>
      <c r="AT1587" s="4" t="str">
        <f>[1]!EM_S_IPO_LISTEDDATE(B1587)</f>
        <v>2016-10-21</v>
      </c>
    </row>
    <row r="1588" spans="1:46">
      <c r="A1588">
        <v>689</v>
      </c>
      <c r="B1588" t="str">
        <f>"002178"</f>
        <v>002178</v>
      </c>
      <c r="C1588" t="s">
        <v>2911</v>
      </c>
      <c r="D1588" t="str">
        <f>[1]!EM_S_INFO_INDEX_EM(B1588,"1")</f>
        <v>建筑</v>
      </c>
      <c r="E1588" s="4">
        <f t="shared" si="24"/>
        <v>43465</v>
      </c>
      <c r="F1588" s="11">
        <f>[1]!EM_S_PQ_PCTCHANGE(B1588,"2018-01-01","2019-12-31","3")</f>
        <v>-69.834413249999997</v>
      </c>
      <c r="G1588" s="11">
        <f>[1]!EM_S_PQ_PCTCHANGE(B1588,"2018-12-31","2019-12-30","1")</f>
        <v>12.80653951</v>
      </c>
      <c r="H1588" s="11">
        <f>[1]!EM_S_FA_YOY_OR(B1588,E1588)</f>
        <v>-4.6242903409</v>
      </c>
      <c r="I1588" s="11">
        <f>[1]!EM_S_FA_GROSSPROFITMARGIN(B1588,E1588)</f>
        <v>11.929654672</v>
      </c>
      <c r="J1588" s="11">
        <f>[1]!EM_S_FA_NETPROFITMARGIN(B1588,E1588)</f>
        <v>-26.386745837599999</v>
      </c>
      <c r="K1588" s="10">
        <f>[1]!EM_S_FA_ASSETSTURN(B1588,E1588)</f>
        <v>0.53638533249099996</v>
      </c>
      <c r="L1588" s="12">
        <f>[1]!EM_HKS_VAL_MV(B1588,"2019-12-31","2")</f>
        <v>2983921074.1900001</v>
      </c>
      <c r="M1588">
        <f>[1]!EM_S_VAL_PETTMDEDUCTED(B1588,E1588)</f>
        <v>620.57894917073099</v>
      </c>
      <c r="N1588" s="7">
        <f>[1]!EM_S_VAL_PBGOODWILLDEDUCTED(B1588,E1588)</f>
        <v>3.4352515135683701</v>
      </c>
      <c r="O1588" s="7">
        <f>[1]!EM_S_VAL_PS_TTM(B1588,E1588)</f>
        <v>2.0845127547675899</v>
      </c>
      <c r="P1588" s="7">
        <f>[1]!EM_S_VAL_PCF_NCFTTM(B1588,E1588)</f>
        <v>359.17070523492799</v>
      </c>
      <c r="Q1588" s="7">
        <f>[1]!EM_S_VAL_DIVIDENDYIELD2(B1588,E1588,"2019-11-29")</f>
        <v>0</v>
      </c>
      <c r="T1588"/>
      <c r="U1588">
        <f>[1]!EM_S_RATIO_EPS_TTM(B1588,E1588,"1")</f>
        <v>-0.40118359702032624</v>
      </c>
      <c r="AT1588" s="4" t="str">
        <f>[1]!EM_S_IPO_LISTEDDATE(B1588)</f>
        <v>2007-11-01</v>
      </c>
    </row>
    <row r="1589" spans="1:46">
      <c r="A1589">
        <v>2747</v>
      </c>
      <c r="B1589" t="str">
        <f>"600674"</f>
        <v>600674</v>
      </c>
      <c r="C1589" t="s">
        <v>582</v>
      </c>
      <c r="D1589" t="str">
        <f>[1]!EM_S_INFO_INDEX_EM(B1589,"1")</f>
        <v>公用事业</v>
      </c>
      <c r="E1589" s="4">
        <f t="shared" si="24"/>
        <v>43465</v>
      </c>
      <c r="F1589" s="11">
        <f>[1]!EM_S_PQ_PCTCHANGE(B1589,"2018-01-01","2019-12-31","3")</f>
        <v>3.3317526499999999</v>
      </c>
      <c r="G1589" s="11">
        <f>[1]!EM_S_PQ_PCTCHANGE(B1589,"2018-12-31","2019-12-30","1")</f>
        <v>12.80276817</v>
      </c>
      <c r="H1589" s="11">
        <f>[1]!EM_S_FA_YOY_OR(B1589,E1589)</f>
        <v>8.1503328260999997</v>
      </c>
      <c r="I1589" s="11">
        <f>[1]!EM_S_FA_GROSSPROFITMARGIN(B1589,E1589)</f>
        <v>49.873473687100002</v>
      </c>
      <c r="J1589" s="11">
        <f>[1]!EM_S_FA_NETPROFITMARGIN(B1589,E1589)</f>
        <v>417.52197199810001</v>
      </c>
      <c r="K1589" s="10">
        <f>[1]!EM_S_FA_ASSETSTURN(B1589,E1589)</f>
        <v>2.8280961096999999E-2</v>
      </c>
      <c r="L1589" s="12">
        <f>[1]!EM_HKS_VAL_MV(B1589,"2019-12-31","2")</f>
        <v>43361083728</v>
      </c>
      <c r="M1589">
        <f>[1]!EM_S_VAL_PETTMDEDUCTED(B1589,E1589)</f>
        <v>12.060882328883601</v>
      </c>
      <c r="N1589" s="7">
        <f>[1]!EM_S_VAL_PBGOODWILLDEDUCTED(B1589,E1589)</f>
        <v>1.5369703551087801</v>
      </c>
      <c r="O1589" s="7">
        <f>[1]!EM_S_VAL_PS_TTM(B1589,E1589)</f>
        <v>45.040379827969097</v>
      </c>
      <c r="P1589" s="7">
        <f>[1]!EM_S_VAL_PCF_NCFTTM(B1589,E1589)</f>
        <v>-34.740490985710998</v>
      </c>
      <c r="Q1589" s="7">
        <f>[1]!EM_S_VAL_DIVIDENDYIELD2(B1589,E1589,"2019-11-29")</f>
        <v>3.1413612565445024</v>
      </c>
      <c r="T1589"/>
      <c r="U1589">
        <f>[1]!EM_S_RATIO_EPS_TTM(B1589,E1589,"1")</f>
        <v>0.81097935903899188</v>
      </c>
      <c r="AT1589" s="4" t="str">
        <f>[1]!EM_S_IPO_LISTEDDATE(B1589)</f>
        <v>1993-09-24</v>
      </c>
    </row>
    <row r="1590" spans="1:46">
      <c r="A1590">
        <v>3135</v>
      </c>
      <c r="B1590" t="str">
        <f>"601666"</f>
        <v>601666</v>
      </c>
      <c r="C1590" t="s">
        <v>2646</v>
      </c>
      <c r="D1590" t="str">
        <f>[1]!EM_S_INFO_INDEX_EM(B1590,"1")</f>
        <v>化石能源</v>
      </c>
      <c r="E1590" s="4">
        <f t="shared" si="24"/>
        <v>43465</v>
      </c>
      <c r="F1590" s="11">
        <f>[1]!EM_S_PQ_PCTCHANGE(B1590,"2018-01-01","2019-12-31","3")</f>
        <v>-36.190476189999998</v>
      </c>
      <c r="G1590" s="11">
        <f>[1]!EM_S_PQ_PCTCHANGE(B1590,"2018-12-31","2019-12-30","1")</f>
        <v>12.78409091</v>
      </c>
      <c r="H1590" s="11">
        <f>[1]!EM_S_FA_YOY_OR(B1590,E1590)</f>
        <v>-2.8352935874999998</v>
      </c>
      <c r="I1590" s="11">
        <f>[1]!EM_S_FA_GROSSPROFITMARGIN(B1590,E1590)</f>
        <v>19.809927289200001</v>
      </c>
      <c r="J1590" s="11">
        <f>[1]!EM_S_FA_NETPROFITMARGIN(B1590,E1590)</f>
        <v>4.3799529171999998</v>
      </c>
      <c r="K1590" s="10">
        <f>[1]!EM_S_FA_ASSETSTURN(B1590,E1590)</f>
        <v>0.438056933988</v>
      </c>
      <c r="L1590" s="12">
        <f>[1]!EM_HKS_VAL_MV(B1590,"2019-12-31","2")</f>
        <v>9491883227.6399994</v>
      </c>
      <c r="M1590">
        <f>[1]!EM_S_VAL_PETTMDEDUCTED(B1590,E1590)</f>
        <v>9.3272589685792404</v>
      </c>
      <c r="N1590" s="7">
        <f>[1]!EM_S_VAL_PBGOODWILLDEDUCTED(B1590,E1590)</f>
        <v>0.645859943663742</v>
      </c>
      <c r="O1590" s="7">
        <f>[1]!EM_S_VAL_PS_TTM(B1590,E1590)</f>
        <v>0.44304721629302501</v>
      </c>
      <c r="P1590" s="7">
        <f>[1]!EM_S_VAL_PCF_NCFTTM(B1590,E1590)</f>
        <v>5.6411952546287596</v>
      </c>
      <c r="Q1590" s="7">
        <f>[1]!EM_S_VAL_DIVIDENDYIELD2(B1590,E1590,"2019-11-29")</f>
        <v>0</v>
      </c>
      <c r="T1590"/>
      <c r="U1590">
        <f>[1]!EM_S_RATIO_EPS_TTM(B1590,E1590,"1")</f>
        <v>0.30288469712702187</v>
      </c>
      <c r="AT1590" s="4" t="str">
        <f>[1]!EM_S_IPO_LISTEDDATE(B1590)</f>
        <v>2006-11-23</v>
      </c>
    </row>
    <row r="1591" spans="1:46">
      <c r="A1591">
        <v>2679</v>
      </c>
      <c r="B1591" t="str">
        <f>"600606"</f>
        <v>600606</v>
      </c>
      <c r="C1591" t="s">
        <v>248</v>
      </c>
      <c r="D1591" t="str">
        <f>[1]!EM_S_INFO_INDEX_EM(B1591,"1")</f>
        <v>房地产</v>
      </c>
      <c r="E1591" s="4">
        <f t="shared" si="24"/>
        <v>43465</v>
      </c>
      <c r="F1591" s="11">
        <f>[1]!EM_S_PQ_PCTCHANGE(B1591,"2018-01-01","2019-12-31","3")</f>
        <v>3.6801486099999998</v>
      </c>
      <c r="G1591" s="11">
        <f>[1]!EM_S_PQ_PCTCHANGE(B1591,"2018-12-31","2019-12-30","1")</f>
        <v>12.76595745</v>
      </c>
      <c r="H1591" s="11">
        <f>[1]!EM_S_FA_YOY_OR(B1591,E1591)</f>
        <v>20.074946377700002</v>
      </c>
      <c r="I1591" s="11">
        <f>[1]!EM_S_FA_GROSSPROFITMARGIN(B1591,E1591)</f>
        <v>15.3527201517</v>
      </c>
      <c r="J1591" s="11">
        <f>[1]!EM_S_FA_NETPROFITMARGIN(B1591,E1591)</f>
        <v>4.5987634248000004</v>
      </c>
      <c r="K1591" s="10">
        <f>[1]!EM_S_FA_ASSETSTURN(B1591,E1591)</f>
        <v>0.36999249266799999</v>
      </c>
      <c r="L1591" s="12">
        <f>[1]!EM_HKS_VAL_MV(B1591,"2019-12-31","2")</f>
        <v>84568672975.75</v>
      </c>
      <c r="M1591">
        <f>[1]!EM_S_VAL_PETTMDEDUCTED(B1591,E1591)</f>
        <v>6.03642656000219</v>
      </c>
      <c r="N1591" s="7">
        <f>[1]!EM_S_VAL_PBGOODWILLDEDUCTED(B1591,E1591)</f>
        <v>1.1241479708365001</v>
      </c>
      <c r="O1591" s="7">
        <f>[1]!EM_S_VAL_PS_TTM(B1591,E1591)</f>
        <v>0.216660719668822</v>
      </c>
      <c r="P1591" s="7">
        <f>[1]!EM_S_VAL_PCF_NCFTTM(B1591,E1591)</f>
        <v>42.473989338201498</v>
      </c>
      <c r="Q1591" s="7">
        <f>[1]!EM_S_VAL_DIVIDENDYIELD2(B1591,E1591,"2019-11-29")</f>
        <v>4.5801526717557248</v>
      </c>
      <c r="T1591"/>
      <c r="U1591">
        <f>[1]!EM_S_RATIO_EPS_TTM(B1591,E1591,"1")</f>
        <v>0.93479950853121918</v>
      </c>
      <c r="AT1591" s="4" t="str">
        <f>[1]!EM_S_IPO_LISTEDDATE(B1591)</f>
        <v>1992-03-27</v>
      </c>
    </row>
    <row r="1592" spans="1:46">
      <c r="A1592">
        <v>219</v>
      </c>
      <c r="B1592" t="str">
        <f>"000617"</f>
        <v>000617</v>
      </c>
      <c r="C1592" t="s">
        <v>972</v>
      </c>
      <c r="D1592" t="str">
        <f>[1]!EM_S_INFO_INDEX_EM(B1592,"1")</f>
        <v>金融</v>
      </c>
      <c r="E1592" s="4">
        <f t="shared" si="24"/>
        <v>43465</v>
      </c>
      <c r="F1592" s="11">
        <f>[1]!EM_S_PQ_PCTCHANGE(B1592,"2018-01-01","2019-12-31","3")</f>
        <v>-15.527606410000001</v>
      </c>
      <c r="G1592" s="11">
        <f>[1]!EM_S_PQ_PCTCHANGE(B1592,"2018-12-31","2019-12-30","1")</f>
        <v>12.74418605</v>
      </c>
      <c r="H1592" s="11">
        <f>[1]!EM_S_FA_YOY_OR(B1592,E1592)</f>
        <v>67.356805898900006</v>
      </c>
      <c r="I1592" s="11">
        <f>[1]!EM_S_FA_GROSSPROFITMARGIN(B1592,E1592)</f>
        <v>26.155024313599998</v>
      </c>
      <c r="J1592" s="11">
        <f>[1]!EM_S_FA_NETPROFITMARGIN(B1592,E1592)</f>
        <v>2271.5708637934999</v>
      </c>
      <c r="K1592" s="10">
        <f>[1]!EM_S_FA_ASSETSTURN(B1592,E1592)</f>
        <v>3.8569847566000001E-2</v>
      </c>
      <c r="L1592" s="12">
        <f>[1]!EM_HKS_VAL_MV(B1592,"2019-12-31","2")</f>
        <v>109895787422.45</v>
      </c>
      <c r="M1592">
        <f>[1]!EM_S_VAL_PETTMDEDUCTED(B1592,E1592)</f>
        <v>12.839049037535</v>
      </c>
      <c r="N1592" s="7">
        <f>[1]!EM_S_VAL_PBGOODWILLDEDUCTED(B1592,E1592)</f>
        <v>1.25494039988349</v>
      </c>
      <c r="O1592" s="7">
        <f>[1]!EM_S_VAL_PS_TTM(B1592,E1592)</f>
        <v>2.90115481766431</v>
      </c>
      <c r="P1592" s="7">
        <f>[1]!EM_S_VAL_PCF_NCFTTM(B1592,E1592)</f>
        <v>2.1853658782530299</v>
      </c>
      <c r="Q1592" s="7">
        <f>[1]!EM_S_VAL_DIVIDENDYIELD2(B1592,E1592,"2019-11-29")</f>
        <v>2.0938314509122504</v>
      </c>
      <c r="T1592"/>
      <c r="U1592">
        <f>[1]!EM_S_RATIO_EPS_TTM(B1592,E1592,"1")</f>
        <v>0.80152665271174106</v>
      </c>
      <c r="AT1592" s="4" t="str">
        <f>[1]!EM_S_IPO_LISTEDDATE(B1592)</f>
        <v>1996-10-22</v>
      </c>
    </row>
    <row r="1593" spans="1:46">
      <c r="A1593">
        <v>2032</v>
      </c>
      <c r="B1593" t="str">
        <f>"300612"</f>
        <v>300612</v>
      </c>
      <c r="C1593" t="s">
        <v>2539</v>
      </c>
      <c r="D1593" t="str">
        <f>[1]!EM_S_INFO_INDEX_EM(B1593,"1")</f>
        <v>文化传媒</v>
      </c>
      <c r="E1593" s="4">
        <f t="shared" si="24"/>
        <v>43465</v>
      </c>
      <c r="F1593" s="11">
        <f>[1]!EM_S_PQ_PCTCHANGE(B1593,"2018-01-01","2019-12-31","3")</f>
        <v>-27.499177880000001</v>
      </c>
      <c r="G1593" s="11">
        <f>[1]!EM_S_PQ_PCTCHANGE(B1593,"2018-12-31","2019-12-30","1")</f>
        <v>12.73458445</v>
      </c>
      <c r="H1593" s="11">
        <f>[1]!EM_S_FA_YOY_OR(B1593,E1593)</f>
        <v>-26.804023911000002</v>
      </c>
      <c r="I1593" s="11">
        <f>[1]!EM_S_FA_GROSSPROFITMARGIN(B1593,E1593)</f>
        <v>40.106081815400003</v>
      </c>
      <c r="J1593" s="11">
        <f>[1]!EM_S_FA_NETPROFITMARGIN(B1593,E1593)</f>
        <v>5.8337379490999997</v>
      </c>
      <c r="K1593" s="10">
        <f>[1]!EM_S_FA_ASSETSTURN(B1593,E1593)</f>
        <v>0.65994431871299997</v>
      </c>
      <c r="L1593" s="12">
        <f>[1]!EM_HKS_VAL_MV(B1593,"2019-12-31","2")</f>
        <v>2765340000</v>
      </c>
      <c r="M1593">
        <f>[1]!EM_S_VAL_PETTMDEDUCTED(B1593,E1593)</f>
        <v>55.599708387691003</v>
      </c>
      <c r="N1593" s="7">
        <f>[1]!EM_S_VAL_PBGOODWILLDEDUCTED(B1593,E1593)</f>
        <v>5.9163421564433101</v>
      </c>
      <c r="O1593" s="7">
        <f>[1]!EM_S_VAL_PS_TTM(B1593,E1593)</f>
        <v>5.12855375223024</v>
      </c>
      <c r="P1593" s="7">
        <f>[1]!EM_S_VAL_PCF_NCFTTM(B1593,E1593)</f>
        <v>87.347957359755895</v>
      </c>
      <c r="Q1593" s="7">
        <f>[1]!EM_S_VAL_DIVIDENDYIELD2(B1593,E1593,"2019-11-29")</f>
        <v>0</v>
      </c>
      <c r="T1593"/>
      <c r="U1593">
        <f>[1]!EM_S_RATIO_EPS_TTM(B1593,E1593,"1")</f>
        <v>0.13001285932098766</v>
      </c>
      <c r="AT1593" s="4" t="str">
        <f>[1]!EM_S_IPO_LISTEDDATE(B1593)</f>
        <v>2017-02-15</v>
      </c>
    </row>
    <row r="1594" spans="1:46">
      <c r="A1594">
        <v>2767</v>
      </c>
      <c r="B1594" t="str">
        <f>"600694"</f>
        <v>600694</v>
      </c>
      <c r="C1594" t="s">
        <v>340</v>
      </c>
      <c r="D1594" t="str">
        <f>[1]!EM_S_INFO_INDEX_EM(B1594,"1")</f>
        <v>商贸零售</v>
      </c>
      <c r="E1594" s="4">
        <f t="shared" si="24"/>
        <v>43465</v>
      </c>
      <c r="F1594" s="11">
        <f>[1]!EM_S_PQ_PCTCHANGE(B1594,"2018-01-01","2019-12-31","3")</f>
        <v>-16.548298469999999</v>
      </c>
      <c r="G1594" s="11">
        <f>[1]!EM_S_PQ_PCTCHANGE(B1594,"2018-12-31","2019-12-30","1")</f>
        <v>12.73253411</v>
      </c>
      <c r="H1594" s="11">
        <f>[1]!EM_S_FA_YOY_OR(B1594,E1594)</f>
        <v>-10.7549473675</v>
      </c>
      <c r="I1594" s="11">
        <f>[1]!EM_S_FA_GROSSPROFITMARGIN(B1594,E1594)</f>
        <v>25.891353644900001</v>
      </c>
      <c r="J1594" s="11">
        <f>[1]!EM_S_FA_NETPROFITMARGIN(B1594,E1594)</f>
        <v>4.4035203374999998</v>
      </c>
      <c r="K1594" s="10">
        <f>[1]!EM_S_FA_ASSETSTURN(B1594,E1594)</f>
        <v>1.351866795636</v>
      </c>
      <c r="L1594" s="12">
        <f>[1]!EM_HKS_VAL_MV(B1594,"2019-12-31","2")</f>
        <v>8044953905.6700001</v>
      </c>
      <c r="M1594">
        <f>[1]!EM_S_VAL_PETTMDEDUCTED(B1594,E1594)</f>
        <v>7.0633128137875199</v>
      </c>
      <c r="N1594" s="7">
        <f>[1]!EM_S_VAL_PBGOODWILLDEDUCTED(B1594,E1594)</f>
        <v>0.88575950107383905</v>
      </c>
      <c r="O1594" s="7">
        <f>[1]!EM_S_VAL_PS_TTM(B1594,E1594)</f>
        <v>0.28641151167894402</v>
      </c>
      <c r="P1594" s="7">
        <f>[1]!EM_S_VAL_PCF_NCFTTM(B1594,E1594)</f>
        <v>-159.326327307517</v>
      </c>
      <c r="Q1594" s="7">
        <f>[1]!EM_S_VAL_DIVIDENDYIELD2(B1594,E1594,"2019-11-29")</f>
        <v>0</v>
      </c>
      <c r="T1594"/>
      <c r="U1594">
        <f>[1]!EM_S_RATIO_EPS_TTM(B1594,E1594,"1")</f>
        <v>3.3630476521353243</v>
      </c>
      <c r="AT1594" s="4" t="str">
        <f>[1]!EM_S_IPO_LISTEDDATE(B1594)</f>
        <v>1993-11-22</v>
      </c>
    </row>
    <row r="1595" spans="1:46">
      <c r="A1595">
        <v>1936</v>
      </c>
      <c r="B1595" t="str">
        <f>"300511"</f>
        <v>300511</v>
      </c>
      <c r="C1595" t="s">
        <v>128</v>
      </c>
      <c r="D1595" t="str">
        <f>[1]!EM_S_INFO_INDEX_EM(B1595,"1")</f>
        <v>农林牧渔</v>
      </c>
      <c r="E1595" s="4">
        <f t="shared" si="24"/>
        <v>43465</v>
      </c>
      <c r="F1595" s="11">
        <f>[1]!EM_S_PQ_PCTCHANGE(B1595,"2018-01-01","2019-12-31","3")</f>
        <v>-45.762319269999999</v>
      </c>
      <c r="G1595" s="11">
        <f>[1]!EM_S_PQ_PCTCHANGE(B1595,"2018-12-31","2019-12-30","1")</f>
        <v>12.730318260000001</v>
      </c>
      <c r="H1595" s="11">
        <f>[1]!EM_S_FA_YOY_OR(B1595,E1595)</f>
        <v>38.814402678999997</v>
      </c>
      <c r="I1595" s="11">
        <f>[1]!EM_S_FA_GROSSPROFITMARGIN(B1595,E1595)</f>
        <v>14.269498841900001</v>
      </c>
      <c r="J1595" s="11">
        <f>[1]!EM_S_FA_NETPROFITMARGIN(B1595,E1595)</f>
        <v>6.7566829458999997</v>
      </c>
      <c r="K1595" s="10">
        <f>[1]!EM_S_FA_ASSETSTURN(B1595,E1595)</f>
        <v>0.47785082420199998</v>
      </c>
      <c r="L1595" s="12">
        <f>[1]!EM_HKS_VAL_MV(B1595,"2019-12-31","2")</f>
        <v>2905954292.25</v>
      </c>
      <c r="M1595">
        <f>[1]!EM_S_VAL_PETTMDEDUCTED(B1595,E1595)</f>
        <v>42.807761820855397</v>
      </c>
      <c r="N1595" s="7">
        <f>[1]!EM_S_VAL_PBGOODWILLDEDUCTED(B1595,E1595)</f>
        <v>1.6523211828019599</v>
      </c>
      <c r="O1595" s="7">
        <f>[1]!EM_S_VAL_PS_TTM(B1595,E1595)</f>
        <v>1.4085196086074101</v>
      </c>
      <c r="P1595" s="7">
        <f>[1]!EM_S_VAL_PCF_NCFTTM(B1595,E1595)</f>
        <v>-7.7989991238572696</v>
      </c>
      <c r="Q1595" s="7">
        <f>[1]!EM_S_VAL_DIVIDENDYIELD2(B1595,E1595,"2019-11-29")</f>
        <v>1.9448946515397085</v>
      </c>
      <c r="T1595"/>
      <c r="U1595">
        <f>[1]!EM_S_RATIO_EPS_TTM(B1595,E1595,"1")</f>
        <v>0.34879625066494724</v>
      </c>
      <c r="AT1595" s="4" t="str">
        <f>[1]!EM_S_IPO_LISTEDDATE(B1595)</f>
        <v>2016-05-04</v>
      </c>
    </row>
    <row r="1596" spans="1:46">
      <c r="A1596">
        <v>2314</v>
      </c>
      <c r="B1596" t="str">
        <f>"600176"</f>
        <v>600176</v>
      </c>
      <c r="C1596" t="s">
        <v>310</v>
      </c>
      <c r="D1596" t="str">
        <f>[1]!EM_S_INFO_INDEX_EM(B1596,"1")</f>
        <v>基础化工</v>
      </c>
      <c r="E1596" s="4">
        <f t="shared" si="24"/>
        <v>43465</v>
      </c>
      <c r="F1596" s="11">
        <f>[1]!EM_S_PQ_PCTCHANGE(B1596,"2018-01-01","2019-12-31","3")</f>
        <v>-16.465698379999999</v>
      </c>
      <c r="G1596" s="11">
        <f>[1]!EM_S_PQ_PCTCHANGE(B1596,"2018-12-31","2019-12-30","1")</f>
        <v>12.71975181</v>
      </c>
      <c r="H1596" s="11">
        <f>[1]!EM_S_FA_YOY_OR(B1596,E1596)</f>
        <v>15.9610038789</v>
      </c>
      <c r="I1596" s="11">
        <f>[1]!EM_S_FA_GROSSPROFITMARGIN(B1596,E1596)</f>
        <v>45.109544477100002</v>
      </c>
      <c r="J1596" s="11">
        <f>[1]!EM_S_FA_NETPROFITMARGIN(B1596,E1596)</f>
        <v>23.7712723295</v>
      </c>
      <c r="K1596" s="10">
        <f>[1]!EM_S_FA_ASSETSTURN(B1596,E1596)</f>
        <v>0.363742234798</v>
      </c>
      <c r="L1596" s="12">
        <f>[1]!EM_HKS_VAL_MV(B1596,"2019-12-31","2")</f>
        <v>38175144654.099998</v>
      </c>
      <c r="M1596">
        <f>[1]!EM_S_VAL_PETTMDEDUCTED(B1596,E1596)</f>
        <v>13.604217673492601</v>
      </c>
      <c r="N1596" s="7">
        <f>[1]!EM_S_VAL_PBGOODWILLDEDUCTED(B1596,E1596)</f>
        <v>2.4602620169903799</v>
      </c>
      <c r="O1596" s="7">
        <f>[1]!EM_S_VAL_PS_TTM(B1596,E1596)</f>
        <v>3.4412462681029701</v>
      </c>
      <c r="P1596" s="7">
        <f>[1]!EM_S_VAL_PCF_NCFTTM(B1596,E1596)</f>
        <v>285.39007348502298</v>
      </c>
      <c r="Q1596" s="7">
        <f>[1]!EM_S_VAL_DIVIDENDYIELD2(B1596,E1596,"2019-11-29")</f>
        <v>2.4916943521594681</v>
      </c>
      <c r="T1596"/>
      <c r="U1596">
        <f>[1]!EM_S_RATIO_EPS_TTM(B1596,E1596,"1")</f>
        <v>0.67783276340216525</v>
      </c>
      <c r="AT1596" s="4" t="str">
        <f>[1]!EM_S_IPO_LISTEDDATE(B1596)</f>
        <v>1999-04-22</v>
      </c>
    </row>
    <row r="1597" spans="1:46">
      <c r="A1597">
        <v>3162</v>
      </c>
      <c r="B1597" t="str">
        <f>"601866"</f>
        <v>601866</v>
      </c>
      <c r="C1597" t="s">
        <v>1602</v>
      </c>
      <c r="D1597" t="str">
        <f>[1]!EM_S_INFO_INDEX_EM(B1597,"1")</f>
        <v>交通运输</v>
      </c>
      <c r="E1597" s="4">
        <f t="shared" si="24"/>
        <v>43465</v>
      </c>
      <c r="F1597" s="11">
        <f>[1]!EM_S_PQ_PCTCHANGE(B1597,"2018-01-01","2019-12-31","3")</f>
        <v>-23.22432396</v>
      </c>
      <c r="G1597" s="11">
        <f>[1]!EM_S_PQ_PCTCHANGE(B1597,"2018-12-31","2019-12-30","1")</f>
        <v>12.71929825</v>
      </c>
      <c r="H1597" s="11">
        <f>[1]!EM_S_FA_YOY_OR(B1597,E1597)</f>
        <v>2.4938252914999999</v>
      </c>
      <c r="I1597" s="11">
        <f>[1]!EM_S_FA_GROSSPROFITMARGIN(B1597,E1597)</f>
        <v>24.1235667453</v>
      </c>
      <c r="J1597" s="11">
        <f>[1]!EM_S_FA_NETPROFITMARGIN(B1597,E1597)</f>
        <v>8.8027984829000001</v>
      </c>
      <c r="K1597" s="10">
        <f>[1]!EM_S_FA_ASSETSTURN(B1597,E1597)</f>
        <v>0.120514546939</v>
      </c>
      <c r="L1597" s="12">
        <f>[1]!EM_HKS_VAL_MV(B1597,"2019-12-31","2")</f>
        <v>30065043750</v>
      </c>
      <c r="M1597">
        <f>[1]!EM_S_VAL_PETTMDEDUCTED(B1597,E1597)</f>
        <v>26.075517353879999</v>
      </c>
      <c r="N1597" s="7">
        <f>[1]!EM_S_VAL_PBGOODWILLDEDUCTED(B1597,E1597)</f>
        <v>1.66067943231781</v>
      </c>
      <c r="O1597" s="7">
        <f>[1]!EM_S_VAL_PS_TTM(B1597,E1597)</f>
        <v>1.51221499835773</v>
      </c>
      <c r="P1597" s="7">
        <f>[1]!EM_S_VAL_PCF_NCFTTM(B1597,E1597)</f>
        <v>32.366810279886302</v>
      </c>
      <c r="Q1597" s="7">
        <f>[1]!EM_S_VAL_DIVIDENDYIELD2(B1597,E1597,"2019-11-29")</f>
        <v>1.32</v>
      </c>
      <c r="T1597"/>
      <c r="U1597">
        <f>[1]!EM_S_RATIO_EPS_TTM(B1597,E1597,"1")</f>
        <v>0.11864731127587867</v>
      </c>
      <c r="AT1597" s="4" t="str">
        <f>[1]!EM_S_IPO_LISTEDDATE(B1597)</f>
        <v>2007-12-12</v>
      </c>
    </row>
    <row r="1598" spans="1:46">
      <c r="A1598">
        <v>1073</v>
      </c>
      <c r="B1598" t="str">
        <f>"002562"</f>
        <v>002562</v>
      </c>
      <c r="C1598" t="s">
        <v>669</v>
      </c>
      <c r="D1598" t="str">
        <f>[1]!EM_S_INFO_INDEX_EM(B1598,"1")</f>
        <v>基础化工</v>
      </c>
      <c r="E1598" s="4">
        <f t="shared" si="24"/>
        <v>43465</v>
      </c>
      <c r="F1598" s="11">
        <f>[1]!EM_S_PQ_PCTCHANGE(B1598,"2018-01-01","2019-12-31","3")</f>
        <v>-50.360080750000002</v>
      </c>
      <c r="G1598" s="11">
        <f>[1]!EM_S_PQ_PCTCHANGE(B1598,"2018-12-31","2019-12-30","1")</f>
        <v>12.70588235</v>
      </c>
      <c r="H1598" s="11">
        <f>[1]!EM_S_FA_YOY_OR(B1598,E1598)</f>
        <v>-9.5562511531999998</v>
      </c>
      <c r="I1598" s="11">
        <f>[1]!EM_S_FA_GROSSPROFITMARGIN(B1598,E1598)</f>
        <v>23.2419976881</v>
      </c>
      <c r="J1598" s="11">
        <f>[1]!EM_S_FA_NETPROFITMARGIN(B1598,E1598)</f>
        <v>1.5418379205999999</v>
      </c>
      <c r="K1598" s="10">
        <f>[1]!EM_S_FA_ASSETSTURN(B1598,E1598)</f>
        <v>0.40159469646399998</v>
      </c>
      <c r="L1598" s="12">
        <f>[1]!EM_HKS_VAL_MV(B1598,"2019-12-31","2")</f>
        <v>4401912802.5600004</v>
      </c>
      <c r="M1598">
        <f>[1]!EM_S_VAL_PETTMDEDUCTED(B1598,E1598)</f>
        <v>18.366979231993401</v>
      </c>
      <c r="N1598" s="7">
        <f>[1]!EM_S_VAL_PBGOODWILLDEDUCTED(B1598,E1598)</f>
        <v>1.76694627045315</v>
      </c>
      <c r="O1598" s="7">
        <f>[1]!EM_S_VAL_PS_TTM(B1598,E1598)</f>
        <v>2.3905515702243099</v>
      </c>
      <c r="P1598" s="7">
        <f>[1]!EM_S_VAL_PCF_NCFTTM(B1598,E1598)</f>
        <v>30.472303573691899</v>
      </c>
      <c r="Q1598" s="7">
        <f>[1]!EM_S_VAL_DIVIDENDYIELD2(B1598,E1598,"2019-11-29")</f>
        <v>2.1833171366963451</v>
      </c>
      <c r="T1598"/>
      <c r="U1598">
        <f>[1]!EM_S_RATIO_EPS_TTM(B1598,E1598,"1")</f>
        <v>2.4859274644013385E-2</v>
      </c>
      <c r="AT1598" s="4" t="str">
        <f>[1]!EM_S_IPO_LISTEDDATE(B1598)</f>
        <v>2011-03-10</v>
      </c>
    </row>
    <row r="1599" spans="1:46">
      <c r="A1599">
        <v>2989</v>
      </c>
      <c r="B1599" t="str">
        <f>"600962"</f>
        <v>600962</v>
      </c>
      <c r="C1599" t="s">
        <v>2872</v>
      </c>
      <c r="D1599" t="str">
        <f>[1]!EM_S_INFO_INDEX_EM(B1599,"1")</f>
        <v>食品饮料</v>
      </c>
      <c r="E1599" s="4">
        <f t="shared" si="24"/>
        <v>43465</v>
      </c>
      <c r="F1599" s="11">
        <f>[1]!EM_S_PQ_PCTCHANGE(B1599,"2018-01-01","2019-12-31","3")</f>
        <v>-19.882468169999999</v>
      </c>
      <c r="G1599" s="11">
        <f>[1]!EM_S_PQ_PCTCHANGE(B1599,"2018-12-31","2019-12-30","1")</f>
        <v>12.68758527</v>
      </c>
      <c r="H1599" s="11">
        <f>[1]!EM_S_FA_YOY_OR(B1599,E1599)</f>
        <v>-2.2899867411999999</v>
      </c>
      <c r="I1599" s="11">
        <f>[1]!EM_S_FA_GROSSPROFITMARGIN(B1599,E1599)</f>
        <v>26.026999262</v>
      </c>
      <c r="J1599" s="11">
        <f>[1]!EM_S_FA_NETPROFITMARGIN(B1599,E1599)</f>
        <v>1.0579222557000001</v>
      </c>
      <c r="K1599" s="10">
        <f>[1]!EM_S_FA_ASSETSTURN(B1599,E1599)</f>
        <v>0.50733983044200004</v>
      </c>
      <c r="L1599" s="12">
        <f>[1]!EM_HKS_VAL_MV(B1599,"2019-12-31","2")</f>
        <v>2144877800</v>
      </c>
      <c r="M1599">
        <f>[1]!EM_S_VAL_PETTMDEDUCTED(B1599,E1599)</f>
        <v>-133.325419544206</v>
      </c>
      <c r="N1599" s="7">
        <f>[1]!EM_S_VAL_PBGOODWILLDEDUCTED(B1599,E1599)</f>
        <v>2.50961368156426</v>
      </c>
      <c r="O1599" s="7">
        <f>[1]!EM_S_VAL_PS_TTM(B1599,E1599)</f>
        <v>2.04302825652938</v>
      </c>
      <c r="P1599" s="7">
        <f>[1]!EM_S_VAL_PCF_NCFTTM(B1599,E1599)</f>
        <v>-40.070402045833198</v>
      </c>
      <c r="Q1599" s="7">
        <f>[1]!EM_S_VAL_DIVIDENDYIELD2(B1599,E1599,"2019-11-29")</f>
        <v>0</v>
      </c>
      <c r="T1599"/>
      <c r="U1599">
        <f>[1]!EM_S_RATIO_EPS_TTM(B1599,E1599,"1")</f>
        <v>2.0303439151824875E-2</v>
      </c>
      <c r="AT1599" s="4" t="str">
        <f>[1]!EM_S_IPO_LISTEDDATE(B1599)</f>
        <v>2004-06-22</v>
      </c>
    </row>
    <row r="1600" spans="1:46">
      <c r="A1600">
        <v>2495</v>
      </c>
      <c r="B1600" t="str">
        <f>"600377"</f>
        <v>600377</v>
      </c>
      <c r="C1600" t="s">
        <v>443</v>
      </c>
      <c r="D1600" t="str">
        <f>[1]!EM_S_INFO_INDEX_EM(B1600,"1")</f>
        <v>交通运输</v>
      </c>
      <c r="E1600" s="4">
        <f t="shared" si="24"/>
        <v>43465</v>
      </c>
      <c r="F1600" s="11">
        <f>[1]!EM_S_PQ_PCTCHANGE(B1600,"2018-01-01","2019-12-31","3")</f>
        <v>24.772316750000002</v>
      </c>
      <c r="G1600" s="11">
        <f>[1]!EM_S_PQ_PCTCHANGE(B1600,"2018-12-31","2019-12-30","1")</f>
        <v>12.65306122</v>
      </c>
      <c r="H1600" s="11">
        <f>[1]!EM_S_FA_YOY_OR(B1600,E1600)</f>
        <v>5.428808718</v>
      </c>
      <c r="I1600" s="11">
        <f>[1]!EM_S_FA_GROSSPROFITMARGIN(B1600,E1600)</f>
        <v>54.113856436799999</v>
      </c>
      <c r="J1600" s="11">
        <f>[1]!EM_S_FA_NETPROFITMARGIN(B1600,E1600)</f>
        <v>44.896237589899997</v>
      </c>
      <c r="K1600" s="10">
        <f>[1]!EM_S_FA_ASSETSTURN(B1600,E1600)</f>
        <v>0.21983542588499999</v>
      </c>
      <c r="L1600" s="12">
        <f>[1]!EM_HKS_VAL_MV(B1600,"2019-12-31","2")</f>
        <v>56523526950</v>
      </c>
      <c r="M1600">
        <f>[1]!EM_S_VAL_PETTMDEDUCTED(B1600,E1600)</f>
        <v>12.729188629744399</v>
      </c>
      <c r="N1600" s="7">
        <f>[1]!EM_S_VAL_PBGOODWILLDEDUCTED(B1600,E1600)</f>
        <v>1.8888759998764499</v>
      </c>
      <c r="O1600" s="7">
        <f>[1]!EM_S_VAL_PS_TTM(B1600,E1600)</f>
        <v>4.8846961189894902</v>
      </c>
      <c r="P1600" s="7">
        <f>[1]!EM_S_VAL_PCF_NCFTTM(B1600,E1600)</f>
        <v>288.19159681069698</v>
      </c>
      <c r="Q1600" s="7">
        <f>[1]!EM_S_VAL_DIVIDENDYIELD2(B1600,E1600,"2019-11-29")</f>
        <v>4.2790697674418601</v>
      </c>
      <c r="T1600"/>
      <c r="U1600">
        <f>[1]!EM_S_RATIO_EPS_TTM(B1600,E1600,"1")</f>
        <v>0.86876206578436099</v>
      </c>
      <c r="AT1600" s="4" t="str">
        <f>[1]!EM_S_IPO_LISTEDDATE(B1600)</f>
        <v>2001-01-16</v>
      </c>
    </row>
    <row r="1601" spans="1:46">
      <c r="A1601">
        <v>2691</v>
      </c>
      <c r="B1601" t="str">
        <f>"600618"</f>
        <v>600618</v>
      </c>
      <c r="C1601" t="s">
        <v>228</v>
      </c>
      <c r="D1601" t="str">
        <f>[1]!EM_S_INFO_INDEX_EM(B1601,"1")</f>
        <v>基础化工</v>
      </c>
      <c r="E1601" s="4">
        <f t="shared" si="24"/>
        <v>43465</v>
      </c>
      <c r="F1601" s="11">
        <f>[1]!EM_S_PQ_PCTCHANGE(B1601,"2018-01-01","2019-12-31","3")</f>
        <v>-30.519040499999999</v>
      </c>
      <c r="G1601" s="11">
        <f>[1]!EM_S_PQ_PCTCHANGE(B1601,"2018-12-31","2019-12-30","1")</f>
        <v>12.6348228</v>
      </c>
      <c r="H1601" s="11">
        <f>[1]!EM_S_FA_YOY_OR(B1601,E1601)</f>
        <v>-0.77639413420000003</v>
      </c>
      <c r="I1601" s="11">
        <f>[1]!EM_S_FA_GROSSPROFITMARGIN(B1601,E1601)</f>
        <v>17.827238566799998</v>
      </c>
      <c r="J1601" s="11">
        <f>[1]!EM_S_FA_NETPROFITMARGIN(B1601,E1601)</f>
        <v>14.6824551778</v>
      </c>
      <c r="K1601" s="10">
        <f>[1]!EM_S_FA_ASSETSTURN(B1601,E1601)</f>
        <v>1.492340529022</v>
      </c>
      <c r="L1601" s="12">
        <f>[1]!EM_HKS_VAL_MV(B1601,"2019-12-31","2")</f>
        <v>8545795822.6400003</v>
      </c>
      <c r="M1601">
        <f>[1]!EM_S_VAL_PETTMDEDUCTED(B1601,E1601)</f>
        <v>7.0628400883187101</v>
      </c>
      <c r="N1601" s="7">
        <f>[1]!EM_S_VAL_PBGOODWILLDEDUCTED(B1601,E1601)</f>
        <v>1.91689157546311</v>
      </c>
      <c r="O1601" s="7">
        <f>[1]!EM_S_VAL_PS_TTM(B1601,E1601)</f>
        <v>1.0680479507148</v>
      </c>
      <c r="P1601" s="7">
        <f>[1]!EM_S_VAL_PCF_NCFTTM(B1601,E1601)</f>
        <v>11.0572481800238</v>
      </c>
      <c r="Q1601" s="7">
        <f>[1]!EM_S_VAL_DIVIDENDYIELD2(B1601,E1601,"2019-11-29")</f>
        <v>1.7416545718432506</v>
      </c>
      <c r="T1601"/>
      <c r="U1601">
        <f>[1]!EM_S_RATIO_EPS_TTM(B1601,E1601,"1")</f>
        <v>0.91064055364525531</v>
      </c>
      <c r="AT1601" s="4" t="str">
        <f>[1]!EM_S_IPO_LISTEDDATE(B1601)</f>
        <v>1992-11-13</v>
      </c>
    </row>
    <row r="1602" spans="1:46">
      <c r="A1602">
        <v>2005</v>
      </c>
      <c r="B1602" t="str">
        <f>"300584"</f>
        <v>300584</v>
      </c>
      <c r="C1602" t="s">
        <v>717</v>
      </c>
      <c r="D1602" t="str">
        <f>[1]!EM_S_INFO_INDEX_EM(B1602,"1")</f>
        <v>医药生物</v>
      </c>
      <c r="E1602" s="4">
        <f t="shared" si="24"/>
        <v>43465</v>
      </c>
      <c r="F1602" s="11">
        <f>[1]!EM_S_PQ_PCTCHANGE(B1602,"2018-01-01","2019-12-31","3")</f>
        <v>31.95227504</v>
      </c>
      <c r="G1602" s="11">
        <f>[1]!EM_S_PQ_PCTCHANGE(B1602,"2018-12-31","2019-12-30","1")</f>
        <v>12.63463132</v>
      </c>
      <c r="H1602" s="11">
        <f>[1]!EM_S_FA_YOY_OR(B1602,E1602)</f>
        <v>56.451367813399997</v>
      </c>
      <c r="I1602" s="11">
        <f>[1]!EM_S_FA_GROSSPROFITMARGIN(B1602,E1602)</f>
        <v>86.227179374200006</v>
      </c>
      <c r="J1602" s="11">
        <f>[1]!EM_S_FA_NETPROFITMARGIN(B1602,E1602)</f>
        <v>11.6901666106</v>
      </c>
      <c r="K1602" s="10">
        <f>[1]!EM_S_FA_ASSETSTURN(B1602,E1602)</f>
        <v>0.99812693910100003</v>
      </c>
      <c r="L1602" s="12">
        <f>[1]!EM_HKS_VAL_MV(B1602,"2019-12-31","2")</f>
        <v>3379200000</v>
      </c>
      <c r="M1602">
        <f>[1]!EM_S_VAL_PETTMDEDUCTED(B1602,E1602)</f>
        <v>37.3840326333398</v>
      </c>
      <c r="N1602" s="7">
        <f>[1]!EM_S_VAL_PBGOODWILLDEDUCTED(B1602,E1602)</f>
        <v>4.9865196498101598</v>
      </c>
      <c r="O1602" s="7">
        <f>[1]!EM_S_VAL_PS_TTM(B1602,E1602)</f>
        <v>4.2669006129517904</v>
      </c>
      <c r="P1602" s="7">
        <f>[1]!EM_S_VAL_PCF_NCFTTM(B1602,E1602)</f>
        <v>37.021074347022797</v>
      </c>
      <c r="Q1602" s="7">
        <f>[1]!EM_S_VAL_DIVIDENDYIELD2(B1602,E1602,"2019-11-29")</f>
        <v>0.74294205052005935</v>
      </c>
      <c r="T1602"/>
      <c r="U1602">
        <f>[1]!EM_S_RATIO_EPS_TTM(B1602,E1602,"1")</f>
        <v>0.69352676499999999</v>
      </c>
      <c r="AT1602" s="4" t="str">
        <f>[1]!EM_S_IPO_LISTEDDATE(B1602)</f>
        <v>2017-01-12</v>
      </c>
    </row>
    <row r="1603" spans="1:46">
      <c r="A1603">
        <v>100</v>
      </c>
      <c r="B1603" t="str">
        <f>"000420"</f>
        <v>000420</v>
      </c>
      <c r="C1603" t="s">
        <v>2788</v>
      </c>
      <c r="D1603" t="str">
        <f>[1]!EM_S_INFO_INDEX_EM(B1603,"1")</f>
        <v>基础化工</v>
      </c>
      <c r="E1603" s="4">
        <f t="shared" ref="E1603:E1666" si="25">$B$1</f>
        <v>43465</v>
      </c>
      <c r="F1603" s="11">
        <f>[1]!EM_S_PQ_PCTCHANGE(B1603,"2018-01-01","2019-12-31","3")</f>
        <v>-30.990415339999998</v>
      </c>
      <c r="G1603" s="11">
        <f>[1]!EM_S_PQ_PCTCHANGE(B1603,"2018-12-31","2019-12-30","1")</f>
        <v>12.63157895</v>
      </c>
      <c r="H1603" s="11">
        <f>[1]!EM_S_FA_YOY_OR(B1603,E1603)</f>
        <v>16.5881907793</v>
      </c>
      <c r="I1603" s="11">
        <f>[1]!EM_S_FA_GROSSPROFITMARGIN(B1603,E1603)</f>
        <v>17.719898421500002</v>
      </c>
      <c r="J1603" s="11">
        <f>[1]!EM_S_FA_NETPROFITMARGIN(B1603,E1603)</f>
        <v>5.4940779001999998</v>
      </c>
      <c r="K1603" s="10">
        <f>[1]!EM_S_FA_ASSETSTURN(B1603,E1603)</f>
        <v>0.38473375912500002</v>
      </c>
      <c r="L1603" s="12">
        <f>[1]!EM_HKS_VAL_MV(B1603,"2019-12-31","2")</f>
        <v>4256726376.96</v>
      </c>
      <c r="M1603">
        <f>[1]!EM_S_VAL_PETTMDEDUCTED(B1603,E1603)</f>
        <v>29.295141594507601</v>
      </c>
      <c r="N1603" s="7">
        <f>[1]!EM_S_VAL_PBGOODWILLDEDUCTED(B1603,E1603)</f>
        <v>1.28263163236254</v>
      </c>
      <c r="O1603" s="7">
        <f>[1]!EM_S_VAL_PS_TTM(B1603,E1603)</f>
        <v>1.4763984266571399</v>
      </c>
      <c r="P1603" s="7">
        <f>[1]!EM_S_VAL_PCF_NCFTTM(B1603,E1603)</f>
        <v>9.7386345504968208</v>
      </c>
      <c r="Q1603" s="7">
        <f>[1]!EM_S_VAL_DIVIDENDYIELD2(B1603,E1603,"2019-11-29")</f>
        <v>0</v>
      </c>
      <c r="T1603"/>
      <c r="U1603">
        <f>[1]!EM_S_RATIO_EPS_TTM(B1603,E1603,"1")</f>
        <v>6.7191049437446054E-2</v>
      </c>
      <c r="AT1603" s="4" t="str">
        <f>[1]!EM_S_IPO_LISTEDDATE(B1603)</f>
        <v>1996-08-02</v>
      </c>
    </row>
    <row r="1604" spans="1:46">
      <c r="A1604">
        <v>2333</v>
      </c>
      <c r="B1604" t="str">
        <f>"600196"</f>
        <v>600196</v>
      </c>
      <c r="C1604" t="s">
        <v>850</v>
      </c>
      <c r="D1604" t="str">
        <f>[1]!EM_S_INFO_INDEX_EM(B1604,"1")</f>
        <v>医药生物</v>
      </c>
      <c r="E1604" s="4">
        <f t="shared" si="25"/>
        <v>43465</v>
      </c>
      <c r="F1604" s="11">
        <f>[1]!EM_S_PQ_PCTCHANGE(B1604,"2018-01-01","2019-12-31","3")</f>
        <v>-38.829030019999998</v>
      </c>
      <c r="G1604" s="11">
        <f>[1]!EM_S_PQ_PCTCHANGE(B1604,"2018-12-31","2019-12-30","1")</f>
        <v>12.5913193</v>
      </c>
      <c r="H1604" s="11">
        <f>[1]!EM_S_FA_YOY_OR(B1604,E1604)</f>
        <v>34.449505229000003</v>
      </c>
      <c r="I1604" s="11">
        <f>[1]!EM_S_FA_GROSSPROFITMARGIN(B1604,E1604)</f>
        <v>58.402781578999999</v>
      </c>
      <c r="J1604" s="11">
        <f>[1]!EM_S_FA_NETPROFITMARGIN(B1604,E1604)</f>
        <v>12.1191467227</v>
      </c>
      <c r="K1604" s="10">
        <f>[1]!EM_S_FA_ASSETSTURN(B1604,E1604)</f>
        <v>0.37606139290500001</v>
      </c>
      <c r="L1604" s="12">
        <f>[1]!EM_HKS_VAL_MV(B1604,"2019-12-31","2")</f>
        <v>68173101297</v>
      </c>
      <c r="M1604">
        <f>[1]!EM_S_VAL_PETTMDEDUCTED(B1604,E1604)</f>
        <v>28.646460348009999</v>
      </c>
      <c r="N1604" s="7">
        <f>[1]!EM_S_VAL_PBGOODWILLDEDUCTED(B1604,E1604)</f>
        <v>3.1187502092589501</v>
      </c>
      <c r="O1604" s="7">
        <f>[1]!EM_S_VAL_PS_TTM(B1604,E1604)</f>
        <v>2.5148467999810098</v>
      </c>
      <c r="P1604" s="7">
        <f>[1]!EM_S_VAL_PCF_NCFTTM(B1604,E1604)</f>
        <v>-9.0973280784718593</v>
      </c>
      <c r="Q1604" s="7">
        <f>[1]!EM_S_VAL_DIVIDENDYIELD2(B1604,E1604,"2019-11-29")</f>
        <v>1.2723658051689859</v>
      </c>
      <c r="T1604"/>
      <c r="U1604">
        <f>[1]!EM_S_RATIO_EPS_TTM(B1604,E1604,"1")</f>
        <v>1.0565193451402566</v>
      </c>
      <c r="AT1604" s="4" t="str">
        <f>[1]!EM_S_IPO_LISTEDDATE(B1604)</f>
        <v>1998-08-07</v>
      </c>
    </row>
    <row r="1605" spans="1:46">
      <c r="A1605">
        <v>3589</v>
      </c>
      <c r="B1605" t="str">
        <f>"603896"</f>
        <v>603896</v>
      </c>
      <c r="C1605" t="s">
        <v>454</v>
      </c>
      <c r="D1605" t="str">
        <f>[1]!EM_S_INFO_INDEX_EM(B1605,"1")</f>
        <v>医药生物</v>
      </c>
      <c r="E1605" s="4">
        <f t="shared" si="25"/>
        <v>43465</v>
      </c>
      <c r="F1605" s="11">
        <f>[1]!EM_S_PQ_PCTCHANGE(B1605,"2018-01-01","2019-12-31","3")</f>
        <v>-46.497887069999997</v>
      </c>
      <c r="G1605" s="11">
        <f>[1]!EM_S_PQ_PCTCHANGE(B1605,"2018-12-31","2019-12-30","1")</f>
        <v>12.580279559999999</v>
      </c>
      <c r="H1605" s="11">
        <f>[1]!EM_S_FA_YOY_OR(B1605,E1605)</f>
        <v>38.243956194200003</v>
      </c>
      <c r="I1605" s="11">
        <f>[1]!EM_S_FA_GROSSPROFITMARGIN(B1605,E1605)</f>
        <v>85.9100891434</v>
      </c>
      <c r="J1605" s="11">
        <f>[1]!EM_S_FA_NETPROFITMARGIN(B1605,E1605)</f>
        <v>21.048488168999999</v>
      </c>
      <c r="K1605" s="10">
        <f>[1]!EM_S_FA_ASSETSTURN(B1605,E1605)</f>
        <v>0.482986780896</v>
      </c>
      <c r="L1605" s="12">
        <f>[1]!EM_HKS_VAL_MV(B1605,"2019-12-31","2")</f>
        <v>4347799872.8800001</v>
      </c>
      <c r="M1605">
        <f>[1]!EM_S_VAL_PETTMDEDUCTED(B1605,E1605)</f>
        <v>46.5326026297966</v>
      </c>
      <c r="N1605" s="7">
        <f>[1]!EM_S_VAL_PBGOODWILLDEDUCTED(B1605,E1605)</f>
        <v>3.8528675136037398</v>
      </c>
      <c r="O1605" s="7">
        <f>[1]!EM_S_VAL_PS_TTM(B1605,E1605)</f>
        <v>8.2343748159842196</v>
      </c>
      <c r="P1605" s="7">
        <f>[1]!EM_S_VAL_PCF_NCFTTM(B1605,E1605)</f>
        <v>-107.310453603705</v>
      </c>
      <c r="Q1605" s="7">
        <f>[1]!EM_S_VAL_DIVIDENDYIELD2(B1605,E1605,"2019-11-29")</f>
        <v>0.80167305681422085</v>
      </c>
      <c r="T1605"/>
      <c r="U1605">
        <f>[1]!EM_S_RATIO_EPS_TTM(B1605,E1605,"1")</f>
        <v>0.75106008912014266</v>
      </c>
      <c r="AT1605" s="4" t="str">
        <f>[1]!EM_S_IPO_LISTEDDATE(B1605)</f>
        <v>2017-05-10</v>
      </c>
    </row>
    <row r="1606" spans="1:46">
      <c r="A1606">
        <v>3211</v>
      </c>
      <c r="B1606" t="str">
        <f>"603012"</f>
        <v>603012</v>
      </c>
      <c r="C1606" t="s">
        <v>1953</v>
      </c>
      <c r="D1606" t="str">
        <f>[1]!EM_S_INFO_INDEX_EM(B1606,"1")</f>
        <v>机械设备</v>
      </c>
      <c r="E1606" s="4">
        <f t="shared" si="25"/>
        <v>43465</v>
      </c>
      <c r="F1606" s="11">
        <f>[1]!EM_S_PQ_PCTCHANGE(B1606,"2018-01-01","2019-12-31","3")</f>
        <v>20.847846579999999</v>
      </c>
      <c r="G1606" s="11">
        <f>[1]!EM_S_PQ_PCTCHANGE(B1606,"2018-12-31","2019-12-30","1")</f>
        <v>12.57783313</v>
      </c>
      <c r="H1606" s="11">
        <f>[1]!EM_S_FA_YOY_OR(B1606,E1606)</f>
        <v>28.234776500500001</v>
      </c>
      <c r="I1606" s="11">
        <f>[1]!EM_S_FA_GROSSPROFITMARGIN(B1606,E1606)</f>
        <v>37.157986456899998</v>
      </c>
      <c r="J1606" s="11">
        <f>[1]!EM_S_FA_NETPROFITMARGIN(B1606,E1606)</f>
        <v>12.5291637192</v>
      </c>
      <c r="K1606" s="10">
        <f>[1]!EM_S_FA_ASSETSTURN(B1606,E1606)</f>
        <v>0.37954821704300001</v>
      </c>
      <c r="L1606" s="12">
        <f>[1]!EM_HKS_VAL_MV(B1606,"2019-12-31","2")</f>
        <v>5678115200</v>
      </c>
      <c r="M1606">
        <f>[1]!EM_S_VAL_PETTMDEDUCTED(B1606,E1606)</f>
        <v>29.050440821685001</v>
      </c>
      <c r="N1606" s="7">
        <f>[1]!EM_S_VAL_PBGOODWILLDEDUCTED(B1606,E1606)</f>
        <v>1.9118021876998601</v>
      </c>
      <c r="O1606" s="7">
        <f>[1]!EM_S_VAL_PS_TTM(B1606,E1606)</f>
        <v>3.66000604113461</v>
      </c>
      <c r="P1606" s="7">
        <f>[1]!EM_S_VAL_PCF_NCFTTM(B1606,E1606)</f>
        <v>-31.389825666900201</v>
      </c>
      <c r="Q1606" s="7">
        <f>[1]!EM_S_VAL_DIVIDENDYIELD2(B1606,E1606,"2019-11-29")</f>
        <v>0.29002320185614849</v>
      </c>
      <c r="T1606"/>
      <c r="U1606">
        <f>[1]!EM_S_RATIO_EPS_TTM(B1606,E1606,"1")</f>
        <v>0.32595056263353023</v>
      </c>
      <c r="AT1606" s="4" t="str">
        <f>[1]!EM_S_IPO_LISTEDDATE(B1606)</f>
        <v>2015-03-20</v>
      </c>
    </row>
    <row r="1607" spans="1:46">
      <c r="A1607">
        <v>868</v>
      </c>
      <c r="B1607" t="str">
        <f>"002357"</f>
        <v>002357</v>
      </c>
      <c r="C1607" t="s">
        <v>803</v>
      </c>
      <c r="D1607" t="str">
        <f>[1]!EM_S_INFO_INDEX_EM(B1607,"1")</f>
        <v>交通运输</v>
      </c>
      <c r="E1607" s="4">
        <f t="shared" si="25"/>
        <v>43465</v>
      </c>
      <c r="F1607" s="11">
        <f>[1]!EM_S_PQ_PCTCHANGE(B1607,"2018-01-01","2019-12-31","3")</f>
        <v>-36.82951164</v>
      </c>
      <c r="G1607" s="11">
        <f>[1]!EM_S_PQ_PCTCHANGE(B1607,"2018-12-31","2019-12-30","1")</f>
        <v>12.568306010000001</v>
      </c>
      <c r="H1607" s="11">
        <f>[1]!EM_S_FA_YOY_OR(B1607,E1607)</f>
        <v>-10.711302311300001</v>
      </c>
      <c r="I1607" s="11">
        <f>[1]!EM_S_FA_GROSSPROFITMARGIN(B1607,E1607)</f>
        <v>24.386522210100001</v>
      </c>
      <c r="J1607" s="11">
        <f>[1]!EM_S_FA_NETPROFITMARGIN(B1607,E1607)</f>
        <v>4.3709431091999997</v>
      </c>
      <c r="K1607" s="10">
        <f>[1]!EM_S_FA_ASSETSTURN(B1607,E1607)</f>
        <v>0.36049813647399997</v>
      </c>
      <c r="L1607" s="12">
        <f>[1]!EM_HKS_VAL_MV(B1607,"2019-12-31","2")</f>
        <v>1956171584.6400001</v>
      </c>
      <c r="M1607">
        <f>[1]!EM_S_VAL_PETTMDEDUCTED(B1607,E1607)</f>
        <v>52.193015835409902</v>
      </c>
      <c r="N1607" s="7">
        <f>[1]!EM_S_VAL_PBGOODWILLDEDUCTED(B1607,E1607)</f>
        <v>1.84454004755861</v>
      </c>
      <c r="O1607" s="7">
        <f>[1]!EM_S_VAL_PS_TTM(B1607,E1607)</f>
        <v>1.7915565019486199</v>
      </c>
      <c r="P1607" s="7">
        <f>[1]!EM_S_VAL_PCF_NCFTTM(B1607,E1607)</f>
        <v>84.323591620949301</v>
      </c>
      <c r="Q1607" s="7">
        <f>[1]!EM_S_VAL_DIVIDENDYIELD2(B1607,E1607,"2019-11-29")</f>
        <v>1.7241379310344827</v>
      </c>
      <c r="T1607"/>
      <c r="U1607">
        <f>[1]!EM_S_RATIO_EPS_TTM(B1607,E1607,"1")</f>
        <v>0.11996483583559842</v>
      </c>
      <c r="AT1607" s="4" t="str">
        <f>[1]!EM_S_IPO_LISTEDDATE(B1607)</f>
        <v>2010-02-10</v>
      </c>
    </row>
    <row r="1608" spans="1:46">
      <c r="A1608">
        <v>695</v>
      </c>
      <c r="B1608" t="str">
        <f>"002184"</f>
        <v>002184</v>
      </c>
      <c r="C1608" t="s">
        <v>3510</v>
      </c>
      <c r="D1608" t="str">
        <f>[1]!EM_S_INFO_INDEX_EM(B1608,"1")</f>
        <v>电气设备</v>
      </c>
      <c r="E1608" s="4">
        <f t="shared" si="25"/>
        <v>43465</v>
      </c>
      <c r="F1608" s="11">
        <f>[1]!EM_S_PQ_PCTCHANGE(B1608,"2018-01-01","2019-12-31","3")</f>
        <v>-11.963399750000001</v>
      </c>
      <c r="G1608" s="11">
        <f>[1]!EM_S_PQ_PCTCHANGE(B1608,"2018-12-31","2019-12-30","1")</f>
        <v>12.54019293</v>
      </c>
      <c r="H1608" s="11">
        <f>[1]!EM_S_FA_YOY_OR(B1608,E1608)</f>
        <v>-17.5670996825</v>
      </c>
      <c r="I1608" s="11">
        <f>[1]!EM_S_FA_GROSSPROFITMARGIN(B1608,E1608)</f>
        <v>19.235272245899999</v>
      </c>
      <c r="J1608" s="11">
        <f>[1]!EM_S_FA_NETPROFITMARGIN(B1608,E1608)</f>
        <v>-9.5937976153999998</v>
      </c>
      <c r="K1608" s="10">
        <f>[1]!EM_S_FA_ASSETSTURN(B1608,E1608)</f>
        <v>0.78988242804700004</v>
      </c>
      <c r="L1608" s="12">
        <f>[1]!EM_HKS_VAL_MV(B1608,"2019-12-31","2")</f>
        <v>2551502673.1799998</v>
      </c>
      <c r="M1608">
        <f>[1]!EM_S_VAL_PETTMDEDUCTED(B1608,E1608)</f>
        <v>-48.0892508498832</v>
      </c>
      <c r="N1608" s="7">
        <f>[1]!EM_S_VAL_PBGOODWILLDEDUCTED(B1608,E1608)</f>
        <v>2.4585658221366198</v>
      </c>
      <c r="O1608" s="7">
        <f>[1]!EM_S_VAL_PS_TTM(B1608,E1608)</f>
        <v>1.1864518766399601</v>
      </c>
      <c r="P1608" s="7">
        <f>[1]!EM_S_VAL_PCF_NCFTTM(B1608,E1608)</f>
        <v>-178.99830732442399</v>
      </c>
      <c r="Q1608" s="7">
        <f>[1]!EM_S_VAL_DIVIDENDYIELD2(B1608,E1608,"2019-11-29")</f>
        <v>0</v>
      </c>
      <c r="T1608"/>
      <c r="U1608">
        <f>[1]!EM_S_RATIO_EPS_TTM(B1608,E1608,"1")</f>
        <v>-0.66095020825386008</v>
      </c>
      <c r="AT1608" s="4" t="str">
        <f>[1]!EM_S_IPO_LISTEDDATE(B1608)</f>
        <v>2007-11-16</v>
      </c>
    </row>
    <row r="1609" spans="1:46">
      <c r="A1609">
        <v>3423</v>
      </c>
      <c r="B1609" t="str">
        <f>"603528"</f>
        <v>603528</v>
      </c>
      <c r="C1609" t="s">
        <v>935</v>
      </c>
      <c r="D1609" t="str">
        <f>[1]!EM_S_INFO_INDEX_EM(B1609,"1")</f>
        <v>信息技术</v>
      </c>
      <c r="E1609" s="4">
        <f t="shared" si="25"/>
        <v>43465</v>
      </c>
      <c r="F1609" s="11">
        <f>[1]!EM_S_PQ_PCTCHANGE(B1609,"2018-01-01","2019-12-31","3")</f>
        <v>-20.97683769</v>
      </c>
      <c r="G1609" s="11">
        <f>[1]!EM_S_PQ_PCTCHANGE(B1609,"2018-12-31","2019-12-30","1")</f>
        <v>12.5</v>
      </c>
      <c r="H1609" s="11">
        <f>[1]!EM_S_FA_YOY_OR(B1609,E1609)</f>
        <v>8.1277501473000004</v>
      </c>
      <c r="I1609" s="11">
        <f>[1]!EM_S_FA_GROSSPROFITMARGIN(B1609,E1609)</f>
        <v>59.873736391100003</v>
      </c>
      <c r="J1609" s="11">
        <f>[1]!EM_S_FA_NETPROFITMARGIN(B1609,E1609)</f>
        <v>24.21711792</v>
      </c>
      <c r="K1609" s="10">
        <f>[1]!EM_S_FA_ASSETSTURN(B1609,E1609)</f>
        <v>0.26587858187399999</v>
      </c>
      <c r="L1609" s="12">
        <f>[1]!EM_HKS_VAL_MV(B1609,"2019-12-31","2")</f>
        <v>4313037600</v>
      </c>
      <c r="M1609">
        <f>[1]!EM_S_VAL_PETTMDEDUCTED(B1609,E1609)</f>
        <v>34.353501101994503</v>
      </c>
      <c r="N1609" s="7">
        <f>[1]!EM_S_VAL_PBGOODWILLDEDUCTED(B1609,E1609)</f>
        <v>2.6233162615809702</v>
      </c>
      <c r="O1609" s="7">
        <f>[1]!EM_S_VAL_PS_TTM(B1609,E1609)</f>
        <v>7.1602133087801896</v>
      </c>
      <c r="P1609" s="7">
        <f>[1]!EM_S_VAL_PCF_NCFTTM(B1609,E1609)</f>
        <v>-13.7621500410339</v>
      </c>
      <c r="Q1609" s="7">
        <f>[1]!EM_S_VAL_DIVIDENDYIELD2(B1609,E1609,"2019-11-29")</f>
        <v>1.03125</v>
      </c>
      <c r="T1609"/>
      <c r="U1609">
        <f>[1]!EM_S_RATIO_EPS_TTM(B1609,E1609,"1")</f>
        <v>0.21526459873383405</v>
      </c>
      <c r="AT1609" s="4" t="str">
        <f>[1]!EM_S_IPO_LISTEDDATE(B1609)</f>
        <v>2016-05-03</v>
      </c>
    </row>
    <row r="1610" spans="1:46">
      <c r="A1610">
        <v>3430</v>
      </c>
      <c r="B1610" t="str">
        <f>"603557"</f>
        <v>603557</v>
      </c>
      <c r="C1610" t="s">
        <v>1203</v>
      </c>
      <c r="D1610" t="str">
        <f>[1]!EM_S_INFO_INDEX_EM(B1610,"1")</f>
        <v>纺织服装</v>
      </c>
      <c r="E1610" s="4">
        <f t="shared" si="25"/>
        <v>43465</v>
      </c>
      <c r="F1610" s="11">
        <f>[1]!EM_S_PQ_PCTCHANGE(B1610,"2018-01-01","2019-12-31","3")</f>
        <v>-47.776349269999997</v>
      </c>
      <c r="G1610" s="11">
        <f>[1]!EM_S_PQ_PCTCHANGE(B1610,"2018-12-31","2019-12-30","1")</f>
        <v>12.483221479999999</v>
      </c>
      <c r="H1610" s="11">
        <f>[1]!EM_S_FA_YOY_OR(B1610,E1610)</f>
        <v>4.4258486544000002</v>
      </c>
      <c r="I1610" s="11">
        <f>[1]!EM_S_FA_GROSSPROFITMARGIN(B1610,E1610)</f>
        <v>35.603801447999999</v>
      </c>
      <c r="J1610" s="11">
        <f>[1]!EM_S_FA_NETPROFITMARGIN(B1610,E1610)</f>
        <v>12.8988894488</v>
      </c>
      <c r="K1610" s="10">
        <f>[1]!EM_S_FA_ASSETSTURN(B1610,E1610)</f>
        <v>0.68848986905099996</v>
      </c>
      <c r="L1610" s="12">
        <f>[1]!EM_HKS_VAL_MV(B1610,"2019-12-31","2")</f>
        <v>3921961971.6599998</v>
      </c>
      <c r="M1610">
        <f>[1]!EM_S_VAL_PETTMDEDUCTED(B1610,E1610)</f>
        <v>21.7134175056832</v>
      </c>
      <c r="N1610" s="7">
        <f>[1]!EM_S_VAL_PBGOODWILLDEDUCTED(B1610,E1610)</f>
        <v>2.2575814139717401</v>
      </c>
      <c r="O1610" s="7">
        <f>[1]!EM_S_VAL_PS_TTM(B1610,E1610)</f>
        <v>2.5501249841118798</v>
      </c>
      <c r="P1610" s="7">
        <f>[1]!EM_S_VAL_PCF_NCFTTM(B1610,E1610)</f>
        <v>-20.366959206982099</v>
      </c>
      <c r="Q1610" s="7">
        <f>[1]!EM_S_VAL_DIVIDENDYIELD2(B1610,E1610,"2019-11-29")</f>
        <v>0.43620501635768816</v>
      </c>
      <c r="T1610"/>
      <c r="U1610">
        <f>[1]!EM_S_RATIO_EPS_TTM(B1610,E1610,"1")</f>
        <v>0.38451339866288425</v>
      </c>
      <c r="AT1610" s="4" t="str">
        <f>[1]!EM_S_IPO_LISTEDDATE(B1610)</f>
        <v>2017-08-18</v>
      </c>
    </row>
    <row r="1611" spans="1:46">
      <c r="A1611">
        <v>814</v>
      </c>
      <c r="B1611" t="str">
        <f>"002303"</f>
        <v>002303</v>
      </c>
      <c r="C1611" t="s">
        <v>1453</v>
      </c>
      <c r="D1611" t="str">
        <f>[1]!EM_S_INFO_INDEX_EM(B1611,"1")</f>
        <v>轻工制造</v>
      </c>
      <c r="E1611" s="4">
        <f t="shared" si="25"/>
        <v>43465</v>
      </c>
      <c r="F1611" s="11">
        <f>[1]!EM_S_PQ_PCTCHANGE(B1611,"2018-01-01","2019-12-31","3")</f>
        <v>-19.472099610000001</v>
      </c>
      <c r="G1611" s="11">
        <f>[1]!EM_S_PQ_PCTCHANGE(B1611,"2018-12-31","2019-12-30","1")</f>
        <v>12.47311828</v>
      </c>
      <c r="H1611" s="11">
        <f>[1]!EM_S_FA_YOY_OR(B1611,E1611)</f>
        <v>13.702092863100001</v>
      </c>
      <c r="I1611" s="11">
        <f>[1]!EM_S_FA_GROSSPROFITMARGIN(B1611,E1611)</f>
        <v>32.402374047800002</v>
      </c>
      <c r="J1611" s="11">
        <f>[1]!EM_S_FA_NETPROFITMARGIN(B1611,E1611)</f>
        <v>12.0794860301</v>
      </c>
      <c r="K1611" s="10">
        <f>[1]!EM_S_FA_ASSETSTURN(B1611,E1611)</f>
        <v>0.528235332931</v>
      </c>
      <c r="L1611" s="12">
        <f>[1]!EM_HKS_VAL_MV(B1611,"2019-12-31","2")</f>
        <v>8131328767.3500004</v>
      </c>
      <c r="M1611">
        <f>[1]!EM_S_VAL_PETTMDEDUCTED(B1611,E1611)</f>
        <v>19.123302535722502</v>
      </c>
      <c r="N1611" s="7">
        <f>[1]!EM_S_VAL_PBGOODWILLDEDUCTED(B1611,E1611)</f>
        <v>1.5906796437264901</v>
      </c>
      <c r="O1611" s="7">
        <f>[1]!EM_S_VAL_PS_TTM(B1611,E1611)</f>
        <v>2.2383218528647801</v>
      </c>
      <c r="P1611" s="7">
        <f>[1]!EM_S_VAL_PCF_NCFTTM(B1611,E1611)</f>
        <v>-13.5644784929667</v>
      </c>
      <c r="Q1611" s="7">
        <f>[1]!EM_S_VAL_DIVIDENDYIELD2(B1611,E1611,"2019-11-29")</f>
        <v>4.1666666666666661</v>
      </c>
      <c r="T1611"/>
      <c r="U1611">
        <f>[1]!EM_S_RATIO_EPS_TTM(B1611,E1611,"1")</f>
        <v>0.26199919239151581</v>
      </c>
      <c r="AT1611" s="4" t="str">
        <f>[1]!EM_S_IPO_LISTEDDATE(B1611)</f>
        <v>2009-11-03</v>
      </c>
    </row>
    <row r="1612" spans="1:46">
      <c r="A1612">
        <v>1553</v>
      </c>
      <c r="B1612" t="str">
        <f>"300128"</f>
        <v>300128</v>
      </c>
      <c r="C1612" t="s">
        <v>2947</v>
      </c>
      <c r="D1612" t="str">
        <f>[1]!EM_S_INFO_INDEX_EM(B1612,"1")</f>
        <v>电子设备</v>
      </c>
      <c r="E1612" s="4">
        <f t="shared" si="25"/>
        <v>43465</v>
      </c>
      <c r="F1612" s="11">
        <f>[1]!EM_S_PQ_PCTCHANGE(B1612,"2018-01-01","2019-12-31","3")</f>
        <v>-49.082887409999998</v>
      </c>
      <c r="G1612" s="11">
        <f>[1]!EM_S_PQ_PCTCHANGE(B1612,"2018-12-31","2019-12-30","1")</f>
        <v>12.465373960000001</v>
      </c>
      <c r="H1612" s="11">
        <f>[1]!EM_S_FA_YOY_OR(B1612,E1612)</f>
        <v>-15.1322407618</v>
      </c>
      <c r="I1612" s="11">
        <f>[1]!EM_S_FA_GROSSPROFITMARGIN(B1612,E1612)</f>
        <v>8.7771174133999992</v>
      </c>
      <c r="J1612" s="11">
        <f>[1]!EM_S_FA_NETPROFITMARGIN(B1612,E1612)</f>
        <v>-34.219194547000001</v>
      </c>
      <c r="K1612" s="10">
        <f>[1]!EM_S_FA_ASSETSTURN(B1612,E1612)</f>
        <v>0.73910620712499997</v>
      </c>
      <c r="L1612" s="12">
        <f>[1]!EM_HKS_VAL_MV(B1612,"2019-12-31","2")</f>
        <v>4398343956.2399998</v>
      </c>
      <c r="M1612">
        <f>[1]!EM_S_VAL_PETTMDEDUCTED(B1612,E1612)</f>
        <v>580.54324241996198</v>
      </c>
      <c r="N1612" s="7">
        <f>[1]!EM_S_VAL_PBGOODWILLDEDUCTED(B1612,E1612)</f>
        <v>4.4567559448196699</v>
      </c>
      <c r="O1612" s="7">
        <f>[1]!EM_S_VAL_PS_TTM(B1612,E1612)</f>
        <v>1.31149209748801</v>
      </c>
      <c r="P1612" s="7">
        <f>[1]!EM_S_VAL_PCF_NCFTTM(B1612,E1612)</f>
        <v>-63.798144430352203</v>
      </c>
      <c r="Q1612" s="7">
        <f>[1]!EM_S_VAL_DIVIDENDYIELD2(B1612,E1612,"2019-11-29")</f>
        <v>0</v>
      </c>
      <c r="T1612"/>
      <c r="U1612">
        <f>[1]!EM_S_RATIO_EPS_TTM(B1612,E1612,"1")</f>
        <v>-0.75262760867680745</v>
      </c>
      <c r="AT1612" s="4" t="str">
        <f>[1]!EM_S_IPO_LISTEDDATE(B1612)</f>
        <v>2010-10-13</v>
      </c>
    </row>
    <row r="1613" spans="1:46">
      <c r="A1613">
        <v>3503</v>
      </c>
      <c r="B1613" t="str">
        <f>"603701"</f>
        <v>603701</v>
      </c>
      <c r="C1613" t="s">
        <v>713</v>
      </c>
      <c r="D1613" t="str">
        <f>[1]!EM_S_INFO_INDEX_EM(B1613,"1")</f>
        <v>交运设备</v>
      </c>
      <c r="E1613" s="4">
        <f t="shared" si="25"/>
        <v>43465</v>
      </c>
      <c r="F1613" s="11">
        <f>[1]!EM_S_PQ_PCTCHANGE(B1613,"2018-01-01","2019-12-31","3")</f>
        <v>15.7088997</v>
      </c>
      <c r="G1613" s="11">
        <f>[1]!EM_S_PQ_PCTCHANGE(B1613,"2018-12-31","2019-12-30","1")</f>
        <v>12.45614035</v>
      </c>
      <c r="H1613" s="11">
        <f>[1]!EM_S_FA_YOY_OR(B1613,E1613)</f>
        <v>-9.8372875636000003</v>
      </c>
      <c r="I1613" s="11">
        <f>[1]!EM_S_FA_GROSSPROFITMARGIN(B1613,E1613)</f>
        <v>31.3571973775</v>
      </c>
      <c r="J1613" s="11">
        <f>[1]!EM_S_FA_NETPROFITMARGIN(B1613,E1613)</f>
        <v>24.082095991399999</v>
      </c>
      <c r="K1613" s="10">
        <f>[1]!EM_S_FA_ASSETSTURN(B1613,E1613)</f>
        <v>0.52162486555999998</v>
      </c>
      <c r="L1613" s="12">
        <f>[1]!EM_HKS_VAL_MV(B1613,"2019-12-31","2")</f>
        <v>2610684518.4000001</v>
      </c>
      <c r="M1613">
        <f>[1]!EM_S_VAL_PETTMDEDUCTED(B1613,E1613)</f>
        <v>26.088161073388498</v>
      </c>
      <c r="N1613" s="7">
        <f>[1]!EM_S_VAL_PBGOODWILLDEDUCTED(B1613,E1613)</f>
        <v>2.39268159445162</v>
      </c>
      <c r="O1613" s="7">
        <f>[1]!EM_S_VAL_PS_TTM(B1613,E1613)</f>
        <v>3.4603130861298999</v>
      </c>
      <c r="P1613" s="7">
        <f>[1]!EM_S_VAL_PCF_NCFTTM(B1613,E1613)</f>
        <v>60.768628873599397</v>
      </c>
      <c r="Q1613" s="7">
        <f>[1]!EM_S_VAL_DIVIDENDYIELD2(B1613,E1613,"2019-11-29")</f>
        <v>3.1465625001336983</v>
      </c>
      <c r="T1613"/>
      <c r="U1613">
        <f>[1]!EM_S_RATIO_EPS_TTM(B1613,E1613,"1")</f>
        <v>0.75884263314792455</v>
      </c>
      <c r="AT1613" s="4" t="str">
        <f>[1]!EM_S_IPO_LISTEDDATE(B1613)</f>
        <v>2016-04-12</v>
      </c>
    </row>
    <row r="1614" spans="1:46">
      <c r="A1614">
        <v>933</v>
      </c>
      <c r="B1614" t="str">
        <f>"002422"</f>
        <v>002422</v>
      </c>
      <c r="C1614" t="s">
        <v>727</v>
      </c>
      <c r="D1614" t="str">
        <f>[1]!EM_S_INFO_INDEX_EM(B1614,"1")</f>
        <v>医药生物</v>
      </c>
      <c r="E1614" s="4">
        <f t="shared" si="25"/>
        <v>43465</v>
      </c>
      <c r="F1614" s="11">
        <f>[1]!EM_S_PQ_PCTCHANGE(B1614,"2018-01-01","2019-12-31","3")</f>
        <v>-4.33735757</v>
      </c>
      <c r="G1614" s="11">
        <f>[1]!EM_S_PQ_PCTCHANGE(B1614,"2018-12-31","2019-12-30","1")</f>
        <v>12.44552058</v>
      </c>
      <c r="H1614" s="11">
        <f>[1]!EM_S_FA_YOY_OR(B1614,E1614)</f>
        <v>42.998368128899997</v>
      </c>
      <c r="I1614" s="11">
        <f>[1]!EM_S_FA_GROSSPROFITMARGIN(B1614,E1614)</f>
        <v>59.563131171800002</v>
      </c>
      <c r="J1614" s="11">
        <f>[1]!EM_S_FA_NETPROFITMARGIN(B1614,E1614)</f>
        <v>7.7513472559999999</v>
      </c>
      <c r="K1614" s="10">
        <f>[1]!EM_S_FA_ASSETSTURN(B1614,E1614)</f>
        <v>0.57025502978700005</v>
      </c>
      <c r="L1614" s="12">
        <f>[1]!EM_HKS_VAL_MV(B1614,"2019-12-31","2")</f>
        <v>33820574549.400002</v>
      </c>
      <c r="M1614">
        <f>[1]!EM_S_VAL_PETTMDEDUCTED(B1614,E1614)</f>
        <v>43.364058474306802</v>
      </c>
      <c r="N1614" s="7">
        <f>[1]!EM_S_VAL_PBGOODWILLDEDUCTED(B1614,E1614)</f>
        <v>2.3588053089736398</v>
      </c>
      <c r="O1614" s="7">
        <f>[1]!EM_S_VAL_PS_TTM(B1614,E1614)</f>
        <v>1.88701708299822</v>
      </c>
      <c r="P1614" s="7">
        <f>[1]!EM_S_VAL_PCF_NCFTTM(B1614,E1614)</f>
        <v>42.097108678491601</v>
      </c>
      <c r="Q1614" s="7">
        <f>[1]!EM_S_VAL_DIVIDENDYIELD2(B1614,E1614,"2019-11-29")</f>
        <v>0.90267011197243763</v>
      </c>
      <c r="T1614"/>
      <c r="U1614">
        <f>[1]!EM_S_RATIO_EPS_TTM(B1614,E1614,"1")</f>
        <v>0.84241277900997014</v>
      </c>
      <c r="AT1614" s="4" t="str">
        <f>[1]!EM_S_IPO_LISTEDDATE(B1614)</f>
        <v>2010-06-03</v>
      </c>
    </row>
    <row r="1615" spans="1:46">
      <c r="A1615">
        <v>1940</v>
      </c>
      <c r="B1615" t="str">
        <f>"300515"</f>
        <v>300515</v>
      </c>
      <c r="C1615" t="s">
        <v>1961</v>
      </c>
      <c r="D1615" t="str">
        <f>[1]!EM_S_INFO_INDEX_EM(B1615,"1")</f>
        <v>机械设备</v>
      </c>
      <c r="E1615" s="4">
        <f t="shared" si="25"/>
        <v>43465</v>
      </c>
      <c r="F1615" s="11">
        <f>[1]!EM_S_PQ_PCTCHANGE(B1615,"2018-01-01","2019-12-31","3")</f>
        <v>-14.48555002</v>
      </c>
      <c r="G1615" s="11">
        <f>[1]!EM_S_PQ_PCTCHANGE(B1615,"2018-12-31","2019-12-30","1")</f>
        <v>12.42807825</v>
      </c>
      <c r="H1615" s="11">
        <f>[1]!EM_S_FA_YOY_OR(B1615,E1615)</f>
        <v>23.2464258605</v>
      </c>
      <c r="I1615" s="11">
        <f>[1]!EM_S_FA_GROSSPROFITMARGIN(B1615,E1615)</f>
        <v>56.016513756800002</v>
      </c>
      <c r="J1615" s="11">
        <f>[1]!EM_S_FA_NETPROFITMARGIN(B1615,E1615)</f>
        <v>13.6922078444</v>
      </c>
      <c r="K1615" s="10">
        <f>[1]!EM_S_FA_ASSETSTURN(B1615,E1615)</f>
        <v>0.44072624495099999</v>
      </c>
      <c r="L1615" s="12">
        <f>[1]!EM_HKS_VAL_MV(B1615,"2019-12-31","2")</f>
        <v>1959109000</v>
      </c>
      <c r="M1615">
        <f>[1]!EM_S_VAL_PETTMDEDUCTED(B1615,E1615)</f>
        <v>72.015664614716798</v>
      </c>
      <c r="N1615" s="7">
        <f>[1]!EM_S_VAL_PBGOODWILLDEDUCTED(B1615,E1615)</f>
        <v>3.71309740580657</v>
      </c>
      <c r="O1615" s="7">
        <f>[1]!EM_S_VAL_PS_TTM(B1615,E1615)</f>
        <v>7.1940227170134596</v>
      </c>
      <c r="P1615" s="7">
        <f>[1]!EM_S_VAL_PCF_NCFTTM(B1615,E1615)</f>
        <v>117.770677318498</v>
      </c>
      <c r="Q1615" s="7">
        <f>[1]!EM_S_VAL_DIVIDENDYIELD2(B1615,E1615,"2019-11-29")</f>
        <v>1.1086474501108647</v>
      </c>
      <c r="T1615"/>
      <c r="U1615">
        <f>[1]!EM_S_RATIO_EPS_TTM(B1615,E1615,"1")</f>
        <v>0.17353266183311886</v>
      </c>
      <c r="AT1615" s="4" t="str">
        <f>[1]!EM_S_IPO_LISTEDDATE(B1615)</f>
        <v>2016-06-08</v>
      </c>
    </row>
    <row r="1616" spans="1:46">
      <c r="A1616">
        <v>240</v>
      </c>
      <c r="B1616" t="str">
        <f>"000650"</f>
        <v>000650</v>
      </c>
      <c r="C1616" t="s">
        <v>626</v>
      </c>
      <c r="D1616" t="str">
        <f>[1]!EM_S_INFO_INDEX_EM(B1616,"1")</f>
        <v>医药生物</v>
      </c>
      <c r="E1616" s="4">
        <f t="shared" si="25"/>
        <v>43465</v>
      </c>
      <c r="F1616" s="11">
        <f>[1]!EM_S_PQ_PCTCHANGE(B1616,"2018-01-01","2019-12-31","3")</f>
        <v>25.128829060000001</v>
      </c>
      <c r="G1616" s="11">
        <f>[1]!EM_S_PQ_PCTCHANGE(B1616,"2018-12-31","2019-12-30","1")</f>
        <v>12.408759119999999</v>
      </c>
      <c r="H1616" s="11">
        <f>[1]!EM_S_FA_YOY_OR(B1616,E1616)</f>
        <v>14.5599743579</v>
      </c>
      <c r="I1616" s="11">
        <f>[1]!EM_S_FA_GROSSPROFITMARGIN(B1616,E1616)</f>
        <v>42.984946408500001</v>
      </c>
      <c r="J1616" s="11">
        <f>[1]!EM_S_FA_NETPROFITMARGIN(B1616,E1616)</f>
        <v>13.2643604942</v>
      </c>
      <c r="K1616" s="10">
        <f>[1]!EM_S_FA_ASSETSTURN(B1616,E1616)</f>
        <v>1.0025952726859999</v>
      </c>
      <c r="L1616" s="12">
        <f>[1]!EM_HKS_VAL_MV(B1616,"2019-12-31","2")</f>
        <v>7826309280.3199997</v>
      </c>
      <c r="M1616">
        <f>[1]!EM_S_VAL_PETTMDEDUCTED(B1616,E1616)</f>
        <v>13.3799771090593</v>
      </c>
      <c r="N1616" s="7">
        <f>[1]!EM_S_VAL_PBGOODWILLDEDUCTED(B1616,E1616)</f>
        <v>2.2517459467530601</v>
      </c>
      <c r="O1616" s="7">
        <f>[1]!EM_S_VAL_PS_TTM(B1616,E1616)</f>
        <v>1.5198168219649599</v>
      </c>
      <c r="P1616" s="7">
        <f>[1]!EM_S_VAL_PCF_NCFTTM(B1616,E1616)</f>
        <v>15.546229012427901</v>
      </c>
      <c r="Q1616" s="7">
        <f>[1]!EM_S_VAL_DIVIDENDYIELD2(B1616,E1616,"2019-11-29")</f>
        <v>1.6891891891891893</v>
      </c>
      <c r="T1616"/>
      <c r="U1616">
        <f>[1]!EM_S_RATIO_EPS_TTM(B1616,E1616,"1")</f>
        <v>0.40898619888483689</v>
      </c>
      <c r="AT1616" s="4" t="str">
        <f>[1]!EM_S_IPO_LISTEDDATE(B1616)</f>
        <v>1996-12-10</v>
      </c>
    </row>
    <row r="1617" spans="1:46">
      <c r="A1617">
        <v>2797</v>
      </c>
      <c r="B1617" t="str">
        <f>"600724"</f>
        <v>600724</v>
      </c>
      <c r="C1617" t="s">
        <v>700</v>
      </c>
      <c r="D1617" t="str">
        <f>[1]!EM_S_INFO_INDEX_EM(B1617,"1")</f>
        <v>房地产</v>
      </c>
      <c r="E1617" s="4">
        <f t="shared" si="25"/>
        <v>43465</v>
      </c>
      <c r="F1617" s="11">
        <f>[1]!EM_S_PQ_PCTCHANGE(B1617,"2018-01-01","2019-12-31","3")</f>
        <v>0.52631558000000001</v>
      </c>
      <c r="G1617" s="11">
        <f>[1]!EM_S_PQ_PCTCHANGE(B1617,"2018-12-31","2019-12-30","1")</f>
        <v>12.386706950000001</v>
      </c>
      <c r="H1617" s="11">
        <f>[1]!EM_S_FA_YOY_OR(B1617,E1617)</f>
        <v>24.200119881100001</v>
      </c>
      <c r="I1617" s="11">
        <f>[1]!EM_S_FA_GROSSPROFITMARGIN(B1617,E1617)</f>
        <v>28.106681412499999</v>
      </c>
      <c r="J1617" s="11">
        <f>[1]!EM_S_FA_NETPROFITMARGIN(B1617,E1617)</f>
        <v>17.742497180099999</v>
      </c>
      <c r="K1617" s="10">
        <f>[1]!EM_S_FA_ASSETSTURN(B1617,E1617)</f>
        <v>0.46513059519400002</v>
      </c>
      <c r="L1617" s="12">
        <f>[1]!EM_HKS_VAL_MV(B1617,"2019-12-31","2")</f>
        <v>5448558837.6700001</v>
      </c>
      <c r="M1617">
        <f>[1]!EM_S_VAL_PETTMDEDUCTED(B1617,E1617)</f>
        <v>-6.6475342739083896</v>
      </c>
      <c r="N1617" s="7">
        <f>[1]!EM_S_VAL_PBGOODWILLDEDUCTED(B1617,E1617)</f>
        <v>1.94477388670718</v>
      </c>
      <c r="O1617" s="7">
        <f>[1]!EM_S_VAL_PS_TTM(B1617,E1617)</f>
        <v>0.92232463725867797</v>
      </c>
      <c r="P1617" s="7">
        <f>[1]!EM_S_VAL_PCF_NCFTTM(B1617,E1617)</f>
        <v>-9.5372384632857194</v>
      </c>
      <c r="Q1617" s="7">
        <f>[1]!EM_S_VAL_DIVIDENDYIELD2(B1617,E1617,"2019-11-29")</f>
        <v>0.57471264367816099</v>
      </c>
      <c r="T1617"/>
      <c r="U1617">
        <f>[1]!EM_S_RATIO_EPS_TTM(B1617,E1617,"1")</f>
        <v>0.5170203345265989</v>
      </c>
      <c r="AT1617" s="4" t="str">
        <f>[1]!EM_S_IPO_LISTEDDATE(B1617)</f>
        <v>1996-07-16</v>
      </c>
    </row>
    <row r="1618" spans="1:46">
      <c r="A1618">
        <v>2592</v>
      </c>
      <c r="B1618" t="str">
        <f>"600510"</f>
        <v>600510</v>
      </c>
      <c r="C1618" t="s">
        <v>2557</v>
      </c>
      <c r="D1618" t="str">
        <f>[1]!EM_S_INFO_INDEX_EM(B1618,"1")</f>
        <v>房地产</v>
      </c>
      <c r="E1618" s="4">
        <f t="shared" si="25"/>
        <v>43465</v>
      </c>
      <c r="F1618" s="11">
        <f>[1]!EM_S_PQ_PCTCHANGE(B1618,"2018-01-01","2019-12-31","3")</f>
        <v>6.5134567199999998</v>
      </c>
      <c r="G1618" s="11">
        <f>[1]!EM_S_PQ_PCTCHANGE(B1618,"2018-12-31","2019-12-30","1")</f>
        <v>12.376237619999999</v>
      </c>
      <c r="H1618" s="11">
        <f>[1]!EM_S_FA_YOY_OR(B1618,E1618)</f>
        <v>7.4586789439999999</v>
      </c>
      <c r="I1618" s="11">
        <f>[1]!EM_S_FA_GROSSPROFITMARGIN(B1618,E1618)</f>
        <v>32.847159066700002</v>
      </c>
      <c r="J1618" s="11">
        <f>[1]!EM_S_FA_NETPROFITMARGIN(B1618,E1618)</f>
        <v>11.2383993064</v>
      </c>
      <c r="K1618" s="10">
        <f>[1]!EM_S_FA_ASSETSTURN(B1618,E1618)</f>
        <v>0.27428243436299998</v>
      </c>
      <c r="L1618" s="12">
        <f>[1]!EM_HKS_VAL_MV(B1618,"2019-12-31","2")</f>
        <v>7015536667.5</v>
      </c>
      <c r="M1618">
        <f>[1]!EM_S_VAL_PETTMDEDUCTED(B1618,E1618)</f>
        <v>48.4024268669883</v>
      </c>
      <c r="N1618" s="7">
        <f>[1]!EM_S_VAL_PBGOODWILLDEDUCTED(B1618,E1618)</f>
        <v>0.81441256012875796</v>
      </c>
      <c r="O1618" s="7">
        <f>[1]!EM_S_VAL_PS_TTM(B1618,E1618)</f>
        <v>1.40228251470722</v>
      </c>
      <c r="P1618" s="7">
        <f>[1]!EM_S_VAL_PCF_NCFTTM(B1618,E1618)</f>
        <v>11.9287545476863</v>
      </c>
      <c r="Q1618" s="7">
        <f>[1]!EM_S_VAL_DIVIDENDYIELD2(B1618,E1618,"2019-11-29")</f>
        <v>3.1655844155844153</v>
      </c>
      <c r="T1618"/>
      <c r="U1618">
        <f>[1]!EM_S_RATIO_EPS_TTM(B1618,E1618,"1")</f>
        <v>0.63202829587505682</v>
      </c>
      <c r="AT1618" s="4" t="str">
        <f>[1]!EM_S_IPO_LISTEDDATE(B1618)</f>
        <v>2002-06-18</v>
      </c>
    </row>
    <row r="1619" spans="1:46">
      <c r="A1619">
        <v>2050</v>
      </c>
      <c r="B1619" t="str">
        <f>"300631"</f>
        <v>300631</v>
      </c>
      <c r="C1619" t="s">
        <v>2648</v>
      </c>
      <c r="D1619" t="str">
        <f>[1]!EM_S_INFO_INDEX_EM(B1619,"1")</f>
        <v>机械设备</v>
      </c>
      <c r="E1619" s="4">
        <f t="shared" si="25"/>
        <v>43465</v>
      </c>
      <c r="F1619" s="11">
        <f>[1]!EM_S_PQ_PCTCHANGE(B1619,"2018-01-01","2019-12-31","3")</f>
        <v>-27.93248736</v>
      </c>
      <c r="G1619" s="11">
        <f>[1]!EM_S_PQ_PCTCHANGE(B1619,"2018-12-31","2019-12-30","1")</f>
        <v>12.374581940000001</v>
      </c>
      <c r="H1619" s="11">
        <f>[1]!EM_S_FA_YOY_OR(B1619,E1619)</f>
        <v>60.934739632599999</v>
      </c>
      <c r="I1619" s="11">
        <f>[1]!EM_S_FA_GROSSPROFITMARGIN(B1619,E1619)</f>
        <v>33.2571760254</v>
      </c>
      <c r="J1619" s="11">
        <f>[1]!EM_S_FA_NETPROFITMARGIN(B1619,E1619)</f>
        <v>12.1945932009</v>
      </c>
      <c r="K1619" s="10">
        <f>[1]!EM_S_FA_ASSETSTURN(B1619,E1619)</f>
        <v>0.55987045441200001</v>
      </c>
      <c r="L1619" s="12">
        <f>[1]!EM_HKS_VAL_MV(B1619,"2019-12-31","2")</f>
        <v>1772251660</v>
      </c>
      <c r="M1619">
        <f>[1]!EM_S_VAL_PETTMDEDUCTED(B1619,E1619)</f>
        <v>38.442862113679197</v>
      </c>
      <c r="N1619" s="7">
        <f>[1]!EM_S_VAL_PBGOODWILLDEDUCTED(B1619,E1619)</f>
        <v>2.58106730471121</v>
      </c>
      <c r="O1619" s="7">
        <f>[1]!EM_S_VAL_PS_TTM(B1619,E1619)</f>
        <v>4.17285684902944</v>
      </c>
      <c r="P1619" s="7">
        <f>[1]!EM_S_VAL_PCF_NCFTTM(B1619,E1619)</f>
        <v>124.49682890977</v>
      </c>
      <c r="Q1619" s="7">
        <f>[1]!EM_S_VAL_DIVIDENDYIELD2(B1619,E1619,"2019-11-29")</f>
        <v>0.97783572359843551</v>
      </c>
      <c r="T1619"/>
      <c r="U1619">
        <f>[1]!EM_S_RATIO_EPS_TTM(B1619,E1619,"1")</f>
        <v>0.52113781978892315</v>
      </c>
      <c r="AT1619" s="4" t="str">
        <f>[1]!EM_S_IPO_LISTEDDATE(B1619)</f>
        <v>2017-03-23</v>
      </c>
    </row>
    <row r="1620" spans="1:46">
      <c r="A1620">
        <v>2668</v>
      </c>
      <c r="B1620" t="str">
        <f>"600595"</f>
        <v>600595</v>
      </c>
      <c r="C1620" t="s">
        <v>3581</v>
      </c>
      <c r="D1620" t="str">
        <f>[1]!EM_S_INFO_INDEX_EM(B1620,"1")</f>
        <v>有色金属</v>
      </c>
      <c r="E1620" s="4">
        <f t="shared" si="25"/>
        <v>43465</v>
      </c>
      <c r="F1620" s="11">
        <f>[1]!EM_S_PQ_PCTCHANGE(B1620,"2018-01-01","2019-12-31","3")</f>
        <v>-58.878504669999998</v>
      </c>
      <c r="G1620" s="11">
        <f>[1]!EM_S_PQ_PCTCHANGE(B1620,"2018-12-31","2019-12-30","1")</f>
        <v>12.37113402</v>
      </c>
      <c r="H1620" s="11">
        <f>[1]!EM_S_FA_YOY_OR(B1620,E1620)</f>
        <v>1.9842267385000001</v>
      </c>
      <c r="I1620" s="11">
        <f>[1]!EM_S_FA_GROSSPROFITMARGIN(B1620,E1620)</f>
        <v>1.5017251490000001</v>
      </c>
      <c r="J1620" s="11">
        <f>[1]!EM_S_FA_NETPROFITMARGIN(B1620,E1620)</f>
        <v>-35.446551053999997</v>
      </c>
      <c r="K1620" s="10">
        <f>[1]!EM_S_FA_ASSETSTURN(B1620,E1620)</f>
        <v>0.484842241003</v>
      </c>
      <c r="L1620" s="12">
        <f>[1]!EM_HKS_VAL_MV(B1620,"2019-12-31","2")</f>
        <v>4314692925.3999996</v>
      </c>
      <c r="M1620">
        <f>[1]!EM_S_VAL_PETTMDEDUCTED(B1620,E1620)</f>
        <v>-4.9366675629106096</v>
      </c>
      <c r="N1620" s="7">
        <f>[1]!EM_S_VAL_PBGOODWILLDEDUCTED(B1620,E1620)</f>
        <v>1.1526672959987401</v>
      </c>
      <c r="O1620" s="7">
        <f>[1]!EM_S_VAL_PS_TTM(B1620,E1620)</f>
        <v>0.281755693393827</v>
      </c>
      <c r="P1620" s="7">
        <f>[1]!EM_S_VAL_PCF_NCFTTM(B1620,E1620)</f>
        <v>-7.6610672398319997</v>
      </c>
      <c r="Q1620" s="7">
        <f>[1]!EM_S_VAL_DIVIDENDYIELD2(B1620,E1620,"2019-11-29")</f>
        <v>0</v>
      </c>
      <c r="T1620"/>
      <c r="U1620">
        <f>[1]!EM_S_RATIO_EPS_TTM(B1620,E1620,"1")</f>
        <v>-1.2972025891022405</v>
      </c>
      <c r="AT1620" s="4" t="str">
        <f>[1]!EM_S_IPO_LISTEDDATE(B1620)</f>
        <v>2002-06-26</v>
      </c>
    </row>
    <row r="1621" spans="1:46">
      <c r="A1621">
        <v>3364</v>
      </c>
      <c r="B1621" t="str">
        <f>"603331"</f>
        <v>603331</v>
      </c>
      <c r="C1621" t="s">
        <v>894</v>
      </c>
      <c r="D1621" t="str">
        <f>[1]!EM_S_INFO_INDEX_EM(B1621,"1")</f>
        <v>机械设备</v>
      </c>
      <c r="E1621" s="4">
        <f t="shared" si="25"/>
        <v>43465</v>
      </c>
      <c r="F1621" s="11">
        <f>[1]!EM_S_PQ_PCTCHANGE(B1621,"2018-01-01","2019-12-31","3")</f>
        <v>-15.362916029999999</v>
      </c>
      <c r="G1621" s="11">
        <f>[1]!EM_S_PQ_PCTCHANGE(B1621,"2018-12-31","2019-12-30","1")</f>
        <v>12.346521149999999</v>
      </c>
      <c r="H1621" s="11">
        <f>[1]!EM_S_FA_YOY_OR(B1621,E1621)</f>
        <v>6.4512701779999997</v>
      </c>
      <c r="I1621" s="11">
        <f>[1]!EM_S_FA_GROSSPROFITMARGIN(B1621,E1621)</f>
        <v>26.276954065599998</v>
      </c>
      <c r="J1621" s="11">
        <f>[1]!EM_S_FA_NETPROFITMARGIN(B1621,E1621)</f>
        <v>9.1413158026999994</v>
      </c>
      <c r="K1621" s="10">
        <f>[1]!EM_S_FA_ASSETSTURN(B1621,E1621)</f>
        <v>0.73168822532400002</v>
      </c>
      <c r="L1621" s="12">
        <f>[1]!EM_HKS_VAL_MV(B1621,"2019-12-31","2")</f>
        <v>2099868105</v>
      </c>
      <c r="M1621">
        <f>[1]!EM_S_VAL_PETTMDEDUCTED(B1621,E1621)</f>
        <v>28.6544897359767</v>
      </c>
      <c r="N1621" s="7">
        <f>[1]!EM_S_VAL_PBGOODWILLDEDUCTED(B1621,E1621)</f>
        <v>2.6373850665615302</v>
      </c>
      <c r="O1621" s="7">
        <f>[1]!EM_S_VAL_PS_TTM(B1621,E1621)</f>
        <v>2.4101095444935101</v>
      </c>
      <c r="P1621" s="7">
        <f>[1]!EM_S_VAL_PCF_NCFTTM(B1621,E1621)</f>
        <v>137.032620888781</v>
      </c>
      <c r="Q1621" s="7">
        <f>[1]!EM_S_VAL_DIVIDENDYIELD2(B1621,E1621,"2019-11-29")</f>
        <v>1.581037767841778</v>
      </c>
      <c r="T1621"/>
      <c r="U1621">
        <f>[1]!EM_S_RATIO_EPS_TTM(B1621,E1621,"1")</f>
        <v>0.54532714014112471</v>
      </c>
      <c r="AT1621" s="4" t="str">
        <f>[1]!EM_S_IPO_LISTEDDATE(B1621)</f>
        <v>2017-07-05</v>
      </c>
    </row>
    <row r="1622" spans="1:46">
      <c r="A1622">
        <v>1661</v>
      </c>
      <c r="B1622" t="str">
        <f>"300236"</f>
        <v>300236</v>
      </c>
      <c r="C1622" t="s">
        <v>2035</v>
      </c>
      <c r="D1622" t="str">
        <f>[1]!EM_S_INFO_INDEX_EM(B1622,"1")</f>
        <v>基础化工</v>
      </c>
      <c r="E1622" s="4">
        <f t="shared" si="25"/>
        <v>43465</v>
      </c>
      <c r="F1622" s="11">
        <f>[1]!EM_S_PQ_PCTCHANGE(B1622,"2018-01-01","2019-12-31","3")</f>
        <v>22.418529289999999</v>
      </c>
      <c r="G1622" s="11">
        <f>[1]!EM_S_PQ_PCTCHANGE(B1622,"2018-12-31","2019-12-30","1")</f>
        <v>12.333736399999999</v>
      </c>
      <c r="H1622" s="11">
        <f>[1]!EM_S_FA_YOY_OR(B1622,E1622)</f>
        <v>18.503943768799999</v>
      </c>
      <c r="I1622" s="11">
        <f>[1]!EM_S_FA_GROSSPROFITMARGIN(B1622,E1622)</f>
        <v>33.9480262549</v>
      </c>
      <c r="J1622" s="11">
        <f>[1]!EM_S_FA_NETPROFITMARGIN(B1622,E1622)</f>
        <v>1.0968702079999999</v>
      </c>
      <c r="K1622" s="10">
        <f>[1]!EM_S_FA_ASSETSTURN(B1622,E1622)</f>
        <v>0.36733893196599998</v>
      </c>
      <c r="L1622" s="12">
        <f>[1]!EM_HKS_VAL_MV(B1622,"2019-12-31","2")</f>
        <v>8042255505.7200003</v>
      </c>
      <c r="M1622">
        <f>[1]!EM_S_VAL_PETTMDEDUCTED(B1622,E1622)</f>
        <v>2291.45003381073</v>
      </c>
      <c r="N1622" s="7">
        <f>[1]!EM_S_VAL_PBGOODWILLDEDUCTED(B1622,E1622)</f>
        <v>4.0028987719513696</v>
      </c>
      <c r="O1622" s="7">
        <f>[1]!EM_S_VAL_PS_TTM(B1622,E1622)</f>
        <v>9.5702452578145305</v>
      </c>
      <c r="P1622" s="7">
        <f>[1]!EM_S_VAL_PCF_NCFTTM(B1622,E1622)</f>
        <v>28.0750630742223</v>
      </c>
      <c r="Q1622" s="7">
        <f>[1]!EM_S_VAL_DIVIDENDYIELD2(B1622,E1622,"2019-11-29")</f>
        <v>0</v>
      </c>
      <c r="T1622"/>
      <c r="U1622">
        <f>[1]!EM_S_RATIO_EPS_TTM(B1622,E1622,"1")</f>
        <v>3.4350897854372182E-2</v>
      </c>
      <c r="AT1622" s="4" t="str">
        <f>[1]!EM_S_IPO_LISTEDDATE(B1622)</f>
        <v>2011-06-29</v>
      </c>
    </row>
    <row r="1623" spans="1:46">
      <c r="A1623">
        <v>221</v>
      </c>
      <c r="B1623" t="str">
        <f>"000619"</f>
        <v>000619</v>
      </c>
      <c r="C1623" t="s">
        <v>3323</v>
      </c>
      <c r="D1623" t="str">
        <f>[1]!EM_S_INFO_INDEX_EM(B1623,"1")</f>
        <v>建材</v>
      </c>
      <c r="E1623" s="4">
        <f t="shared" si="25"/>
        <v>43465</v>
      </c>
      <c r="F1623" s="11">
        <f>[1]!EM_S_PQ_PCTCHANGE(B1623,"2018-01-01","2019-12-31","3")</f>
        <v>-30.32490975</v>
      </c>
      <c r="G1623" s="11">
        <f>[1]!EM_S_PQ_PCTCHANGE(B1623,"2018-12-31","2019-12-30","1")</f>
        <v>12.331406550000001</v>
      </c>
      <c r="H1623" s="11">
        <f>[1]!EM_S_FA_YOY_OR(B1623,E1623)</f>
        <v>8.6872912400000002E-2</v>
      </c>
      <c r="I1623" s="11">
        <f>[1]!EM_S_FA_GROSSPROFITMARGIN(B1623,E1623)</f>
        <v>11.2556860149</v>
      </c>
      <c r="J1623" s="11">
        <f>[1]!EM_S_FA_NETPROFITMARGIN(B1623,E1623)</f>
        <v>0.1013474085</v>
      </c>
      <c r="K1623" s="10">
        <f>[1]!EM_S_FA_ASSETSTURN(B1623,E1623)</f>
        <v>0.84578807327000005</v>
      </c>
      <c r="L1623" s="12">
        <f>[1]!EM_HKS_VAL_MV(B1623,"2019-12-31","2")</f>
        <v>2084400000</v>
      </c>
      <c r="M1623">
        <f>[1]!EM_S_VAL_PETTMDEDUCTED(B1623,E1623)</f>
        <v>-36.353115539508003</v>
      </c>
      <c r="N1623" s="7">
        <f>[1]!EM_S_VAL_PBGOODWILLDEDUCTED(B1623,E1623)</f>
        <v>0.762235921883197</v>
      </c>
      <c r="O1623" s="7">
        <f>[1]!EM_S_VAL_PS_TTM(B1623,E1623)</f>
        <v>0.61635926566271904</v>
      </c>
      <c r="P1623" s="7">
        <f>[1]!EM_S_VAL_PCF_NCFTTM(B1623,E1623)</f>
        <v>-71.107776395064903</v>
      </c>
      <c r="Q1623" s="7">
        <f>[1]!EM_S_VAL_DIVIDENDYIELD2(B1623,E1623,"2019-11-29")</f>
        <v>0</v>
      </c>
      <c r="T1623"/>
      <c r="U1623">
        <f>[1]!EM_S_RATIO_EPS_TTM(B1623,E1623,"1")</f>
        <v>2.6952040194444447E-2</v>
      </c>
      <c r="AT1623" s="4" t="str">
        <f>[1]!EM_S_IPO_LISTEDDATE(B1623)</f>
        <v>1996-10-23</v>
      </c>
    </row>
    <row r="1624" spans="1:46">
      <c r="A1624">
        <v>955</v>
      </c>
      <c r="B1624" t="str">
        <f>"002444"</f>
        <v>002444</v>
      </c>
      <c r="C1624" t="s">
        <v>1416</v>
      </c>
      <c r="D1624" t="str">
        <f>[1]!EM_S_INFO_INDEX_EM(B1624,"1")</f>
        <v>机械设备</v>
      </c>
      <c r="E1624" s="4">
        <f t="shared" si="25"/>
        <v>43465</v>
      </c>
      <c r="F1624" s="11">
        <f>[1]!EM_S_PQ_PCTCHANGE(B1624,"2018-01-01","2019-12-31","3")</f>
        <v>-20.8462952</v>
      </c>
      <c r="G1624" s="11">
        <f>[1]!EM_S_PQ_PCTCHANGE(B1624,"2018-12-31","2019-12-30","1")</f>
        <v>12.23628692</v>
      </c>
      <c r="H1624" s="11">
        <f>[1]!EM_S_FA_YOY_OR(B1624,E1624)</f>
        <v>38.640835910699998</v>
      </c>
      <c r="I1624" s="11">
        <f>[1]!EM_S_FA_GROSSPROFITMARGIN(B1624,E1624)</f>
        <v>29.439291584599999</v>
      </c>
      <c r="J1624" s="11">
        <f>[1]!EM_S_FA_NETPROFITMARGIN(B1624,E1624)</f>
        <v>12.392704077799999</v>
      </c>
      <c r="K1624" s="10">
        <f>[1]!EM_S_FA_ASSETSTURN(B1624,E1624)</f>
        <v>0.68995005085500005</v>
      </c>
      <c r="L1624" s="12">
        <f>[1]!EM_HKS_VAL_MV(B1624,"2019-12-31","2")</f>
        <v>11548160298</v>
      </c>
      <c r="M1624">
        <f>[1]!EM_S_VAL_PETTMDEDUCTED(B1624,E1624)</f>
        <v>14.1675550722811</v>
      </c>
      <c r="N1624" s="7">
        <f>[1]!EM_S_VAL_PBGOODWILLDEDUCTED(B1624,E1624)</f>
        <v>2.0993376707399301</v>
      </c>
      <c r="O1624" s="7">
        <f>[1]!EM_S_VAL_PS_TTM(B1624,E1624)</f>
        <v>1.8805364258135899</v>
      </c>
      <c r="P1624" s="7">
        <f>[1]!EM_S_VAL_PCF_NCFTTM(B1624,E1624)</f>
        <v>-20.020100789673201</v>
      </c>
      <c r="Q1624" s="7">
        <f>[1]!EM_S_VAL_DIVIDENDYIELD2(B1624,E1624,"2019-11-29")</f>
        <v>0</v>
      </c>
      <c r="T1624"/>
      <c r="U1624">
        <f>[1]!EM_S_RATIO_EPS_TTM(B1624,E1624,"1")</f>
        <v>0.66682261588655334</v>
      </c>
      <c r="AT1624" s="4" t="str">
        <f>[1]!EM_S_IPO_LISTEDDATE(B1624)</f>
        <v>2010-07-13</v>
      </c>
    </row>
    <row r="1625" spans="1:46">
      <c r="A1625">
        <v>3265</v>
      </c>
      <c r="B1625" t="str">
        <f>"603099"</f>
        <v>603099</v>
      </c>
      <c r="C1625" t="s">
        <v>3584</v>
      </c>
      <c r="D1625" t="str">
        <f>[1]!EM_S_INFO_INDEX_EM(B1625,"1")</f>
        <v>休闲、生活及专业服务</v>
      </c>
      <c r="E1625" s="4">
        <f t="shared" si="25"/>
        <v>43465</v>
      </c>
      <c r="F1625" s="11">
        <f>[1]!EM_S_PQ_PCTCHANGE(B1625,"2018-01-01","2019-12-31","3")</f>
        <v>-16.61212295</v>
      </c>
      <c r="G1625" s="11">
        <f>[1]!EM_S_PQ_PCTCHANGE(B1625,"2018-12-31","2019-12-30","1")</f>
        <v>12.200684150000001</v>
      </c>
      <c r="H1625" s="11">
        <f>[1]!EM_S_FA_YOY_OR(B1625,E1625)</f>
        <v>19.446049493299999</v>
      </c>
      <c r="I1625" s="11">
        <f>[1]!EM_S_FA_GROSSPROFITMARGIN(B1625,E1625)</f>
        <v>34.418121313999997</v>
      </c>
      <c r="J1625" s="11">
        <f>[1]!EM_S_FA_NETPROFITMARGIN(B1625,E1625)</f>
        <v>14.570987200399999</v>
      </c>
      <c r="K1625" s="10">
        <f>[1]!EM_S_FA_ASSETSTURN(B1625,E1625)</f>
        <v>0.38834053461899998</v>
      </c>
      <c r="L1625" s="12">
        <f>[1]!EM_HKS_VAL_MV(B1625,"2019-12-31","2")</f>
        <v>2650699800</v>
      </c>
      <c r="M1625">
        <f>[1]!EM_S_VAL_PETTMDEDUCTED(B1625,E1625)</f>
        <v>32.028645418900403</v>
      </c>
      <c r="N1625" s="7">
        <f>[1]!EM_S_VAL_PBGOODWILLDEDUCTED(B1625,E1625)</f>
        <v>2.31309681400381</v>
      </c>
      <c r="O1625" s="7">
        <f>[1]!EM_S_VAL_PS_TTM(B1625,E1625)</f>
        <v>5.1317876440860797</v>
      </c>
      <c r="P1625" s="7">
        <f>[1]!EM_S_VAL_PCF_NCFTTM(B1625,E1625)</f>
        <v>-442.14140093974498</v>
      </c>
      <c r="Q1625" s="7">
        <f>[1]!EM_S_VAL_DIVIDENDYIELD2(B1625,E1625,"2019-11-29")</f>
        <v>0.3066037735849057</v>
      </c>
      <c r="T1625"/>
      <c r="U1625">
        <f>[1]!EM_S_RATIO_EPS_TTM(B1625,E1625,"1")</f>
        <v>0.25360905992425098</v>
      </c>
      <c r="AT1625" s="4" t="str">
        <f>[1]!EM_S_IPO_LISTEDDATE(B1625)</f>
        <v>2014-08-22</v>
      </c>
    </row>
    <row r="1626" spans="1:46">
      <c r="A1626">
        <v>1466</v>
      </c>
      <c r="B1626" t="str">
        <f>"300040"</f>
        <v>300040</v>
      </c>
      <c r="C1626" t="s">
        <v>1935</v>
      </c>
      <c r="D1626" t="str">
        <f>[1]!EM_S_INFO_INDEX_EM(B1626,"1")</f>
        <v>公用事业</v>
      </c>
      <c r="E1626" s="4">
        <f t="shared" si="25"/>
        <v>43465</v>
      </c>
      <c r="F1626" s="11">
        <f>[1]!EM_S_PQ_PCTCHANGE(B1626,"2018-01-01","2019-12-31","3")</f>
        <v>-41.750586169999998</v>
      </c>
      <c r="G1626" s="11">
        <f>[1]!EM_S_PQ_PCTCHANGE(B1626,"2018-12-31","2019-12-30","1")</f>
        <v>12.195121950000001</v>
      </c>
      <c r="H1626" s="11">
        <f>[1]!EM_S_FA_YOY_OR(B1626,E1626)</f>
        <v>-28.317030447699999</v>
      </c>
      <c r="I1626" s="11">
        <f>[1]!EM_S_FA_GROSSPROFITMARGIN(B1626,E1626)</f>
        <v>27.5798052695</v>
      </c>
      <c r="J1626" s="11">
        <f>[1]!EM_S_FA_NETPROFITMARGIN(B1626,E1626)</f>
        <v>4.4334738169000003</v>
      </c>
      <c r="K1626" s="10">
        <f>[1]!EM_S_FA_ASSETSTURN(B1626,E1626)</f>
        <v>0.27258039275899998</v>
      </c>
      <c r="L1626" s="12">
        <f>[1]!EM_HKS_VAL_MV(B1626,"2019-12-31","2")</f>
        <v>1900397302.1600001</v>
      </c>
      <c r="M1626">
        <f>[1]!EM_S_VAL_PETTMDEDUCTED(B1626,E1626)</f>
        <v>37.674420366192997</v>
      </c>
      <c r="N1626" s="7">
        <f>[1]!EM_S_VAL_PBGOODWILLDEDUCTED(B1626,E1626)</f>
        <v>0.93677911950549297</v>
      </c>
      <c r="O1626" s="7">
        <f>[1]!EM_S_VAL_PS_TTM(B1626,E1626)</f>
        <v>1.4666291392667701</v>
      </c>
      <c r="P1626" s="7">
        <f>[1]!EM_S_VAL_PCF_NCFTTM(B1626,E1626)</f>
        <v>-23.8562019855922</v>
      </c>
      <c r="Q1626" s="7">
        <f>[1]!EM_S_VAL_DIVIDENDYIELD2(B1626,E1626,"2019-11-29")</f>
        <v>0.95238095238095233</v>
      </c>
      <c r="T1626"/>
      <c r="U1626">
        <f>[1]!EM_S_RATIO_EPS_TTM(B1626,E1626,"1")</f>
        <v>0.1315395968709672</v>
      </c>
      <c r="AT1626" s="4" t="str">
        <f>[1]!EM_S_IPO_LISTEDDATE(B1626)</f>
        <v>2010-01-08</v>
      </c>
    </row>
    <row r="1627" spans="1:46">
      <c r="A1627">
        <v>3568</v>
      </c>
      <c r="B1627" t="str">
        <f>"603860"</f>
        <v>603860</v>
      </c>
      <c r="C1627" t="s">
        <v>2775</v>
      </c>
      <c r="D1627" t="str">
        <f>[1]!EM_S_INFO_INDEX_EM(B1627,"1")</f>
        <v>休闲、生活及专业服务</v>
      </c>
      <c r="E1627" s="4">
        <f t="shared" si="25"/>
        <v>43465</v>
      </c>
      <c r="F1627" s="11">
        <f>[1]!EM_S_PQ_PCTCHANGE(B1627,"2018-01-01","2019-12-31","3")</f>
        <v>-24.256566329999998</v>
      </c>
      <c r="G1627" s="11">
        <f>[1]!EM_S_PQ_PCTCHANGE(B1627,"2018-12-31","2019-12-30","1")</f>
        <v>12.172829249999999</v>
      </c>
      <c r="H1627" s="11">
        <f>[1]!EM_S_FA_YOY_OR(B1627,E1627)</f>
        <v>8.5222271302999992</v>
      </c>
      <c r="I1627" s="11">
        <f>[1]!EM_S_FA_GROSSPROFITMARGIN(B1627,E1627)</f>
        <v>51.536729258900003</v>
      </c>
      <c r="J1627" s="11">
        <f>[1]!EM_S_FA_NETPROFITMARGIN(B1627,E1627)</f>
        <v>22.976432678999998</v>
      </c>
      <c r="K1627" s="10">
        <f>[1]!EM_S_FA_ASSETSTURN(B1627,E1627)</f>
        <v>0.29914626746900003</v>
      </c>
      <c r="L1627" s="12">
        <f>[1]!EM_HKS_VAL_MV(B1627,"2019-12-31","2")</f>
        <v>1824364800</v>
      </c>
      <c r="M1627">
        <f>[1]!EM_S_VAL_PETTMDEDUCTED(B1627,E1627)</f>
        <v>41.233569382698001</v>
      </c>
      <c r="N1627" s="7">
        <f>[1]!EM_S_VAL_PBGOODWILLDEDUCTED(B1627,E1627)</f>
        <v>2.6858902925263899</v>
      </c>
      <c r="O1627" s="7">
        <f>[1]!EM_S_VAL_PS_TTM(B1627,E1627)</f>
        <v>7.9001765875732799</v>
      </c>
      <c r="P1627" s="7">
        <f>[1]!EM_S_VAL_PCF_NCFTTM(B1627,E1627)</f>
        <v>-9.8965354270685193</v>
      </c>
      <c r="Q1627" s="7">
        <f>[1]!EM_S_VAL_DIVIDENDYIELD2(B1627,E1627,"2019-11-29")</f>
        <v>0.56809184481393515</v>
      </c>
      <c r="T1627"/>
      <c r="U1627">
        <f>[1]!EM_S_RATIO_EPS_TTM(B1627,E1627,"1")</f>
        <v>0.71746990011997602</v>
      </c>
      <c r="AT1627" s="4" t="str">
        <f>[1]!EM_S_IPO_LISTEDDATE(B1627)</f>
        <v>2017-08-02</v>
      </c>
    </row>
    <row r="1628" spans="1:46">
      <c r="A1628">
        <v>2048</v>
      </c>
      <c r="B1628" t="str">
        <f>"300629"</f>
        <v>300629</v>
      </c>
      <c r="C1628" t="s">
        <v>2433</v>
      </c>
      <c r="D1628" t="str">
        <f>[1]!EM_S_INFO_INDEX_EM(B1628,"1")</f>
        <v>机械设备</v>
      </c>
      <c r="E1628" s="4">
        <f t="shared" si="25"/>
        <v>43465</v>
      </c>
      <c r="F1628" s="11">
        <f>[1]!EM_S_PQ_PCTCHANGE(B1628,"2018-01-01","2019-12-31","3")</f>
        <v>-48.959577199999998</v>
      </c>
      <c r="G1628" s="11">
        <f>[1]!EM_S_PQ_PCTCHANGE(B1628,"2018-12-31","2019-12-30","1")</f>
        <v>12.150747239999999</v>
      </c>
      <c r="H1628" s="11">
        <f>[1]!EM_S_FA_YOY_OR(B1628,E1628)</f>
        <v>-15.621686604900001</v>
      </c>
      <c r="I1628" s="11">
        <f>[1]!EM_S_FA_GROSSPROFITMARGIN(B1628,E1628)</f>
        <v>29.637753062000002</v>
      </c>
      <c r="J1628" s="11">
        <f>[1]!EM_S_FA_NETPROFITMARGIN(B1628,E1628)</f>
        <v>3.8758774549999999</v>
      </c>
      <c r="K1628" s="10">
        <f>[1]!EM_S_FA_ASSETSTURN(B1628,E1628)</f>
        <v>0.43823300651399999</v>
      </c>
      <c r="L1628" s="12">
        <f>[1]!EM_HKS_VAL_MV(B1628,"2019-12-31","2")</f>
        <v>2090449526.52</v>
      </c>
      <c r="M1628">
        <f>[1]!EM_S_VAL_PETTMDEDUCTED(B1628,E1628)</f>
        <v>79.9806019801388</v>
      </c>
      <c r="N1628" s="7">
        <f>[1]!EM_S_VAL_PBGOODWILLDEDUCTED(B1628,E1628)</f>
        <v>4.3830907501122898</v>
      </c>
      <c r="O1628" s="7">
        <f>[1]!EM_S_VAL_PS_TTM(B1628,E1628)</f>
        <v>6.1475283049865102</v>
      </c>
      <c r="P1628" s="7">
        <f>[1]!EM_S_VAL_PCF_NCFTTM(B1628,E1628)</f>
        <v>-54.1246902340284</v>
      </c>
      <c r="Q1628" s="7">
        <f>[1]!EM_S_VAL_DIVIDENDYIELD2(B1628,E1628,"2019-11-29")</f>
        <v>5.2163403815770559E-2</v>
      </c>
      <c r="T1628"/>
      <c r="U1628">
        <f>[1]!EM_S_RATIO_EPS_TTM(B1628,E1628,"1")</f>
        <v>8.1891195554402232E-2</v>
      </c>
      <c r="AT1628" s="4" t="str">
        <f>[1]!EM_S_IPO_LISTEDDATE(B1628)</f>
        <v>2017-03-24</v>
      </c>
    </row>
    <row r="1629" spans="1:46">
      <c r="A1629">
        <v>1339</v>
      </c>
      <c r="B1629" t="str">
        <f>"002837"</f>
        <v>002837</v>
      </c>
      <c r="C1629" t="s">
        <v>2787</v>
      </c>
      <c r="D1629" t="str">
        <f>[1]!EM_S_INFO_INDEX_EM(B1629,"1")</f>
        <v>机械设备</v>
      </c>
      <c r="E1629" s="4">
        <f t="shared" si="25"/>
        <v>43465</v>
      </c>
      <c r="F1629" s="11">
        <f>[1]!EM_S_PQ_PCTCHANGE(B1629,"2018-01-01","2019-12-31","3")</f>
        <v>-14.67461177</v>
      </c>
      <c r="G1629" s="11">
        <f>[1]!EM_S_PQ_PCTCHANGE(B1629,"2018-12-31","2019-12-30","1")</f>
        <v>12.12516297</v>
      </c>
      <c r="H1629" s="11">
        <f>[1]!EM_S_FA_YOY_OR(B1629,E1629)</f>
        <v>36.006406753199997</v>
      </c>
      <c r="I1629" s="11">
        <f>[1]!EM_S_FA_GROSSPROFITMARGIN(B1629,E1629)</f>
        <v>35.8741984312</v>
      </c>
      <c r="J1629" s="11">
        <f>[1]!EM_S_FA_NETPROFITMARGIN(B1629,E1629)</f>
        <v>10.1367189169</v>
      </c>
      <c r="K1629" s="10">
        <f>[1]!EM_S_FA_ASSETSTURN(B1629,E1629)</f>
        <v>0.62800838995599995</v>
      </c>
      <c r="L1629" s="12">
        <f>[1]!EM_HKS_VAL_MV(B1629,"2019-12-31","2")</f>
        <v>3686381676.1199999</v>
      </c>
      <c r="M1629">
        <f>[1]!EM_S_VAL_PETTMDEDUCTED(B1629,E1629)</f>
        <v>37.537070156827397</v>
      </c>
      <c r="N1629" s="7">
        <f>[1]!EM_S_VAL_PBGOODWILLDEDUCTED(B1629,E1629)</f>
        <v>3.9649221808808699</v>
      </c>
      <c r="O1629" s="7">
        <f>[1]!EM_S_VAL_PS_TTM(B1629,E1629)</f>
        <v>3.2880585435304601</v>
      </c>
      <c r="P1629" s="7">
        <f>[1]!EM_S_VAL_PCF_NCFTTM(B1629,E1629)</f>
        <v>-52.3100056146463</v>
      </c>
      <c r="Q1629" s="7">
        <f>[1]!EM_S_VAL_DIVIDENDYIELD2(B1629,E1629,"2019-11-29")</f>
        <v>0.93307280746179033</v>
      </c>
      <c r="T1629"/>
      <c r="U1629">
        <f>[1]!EM_S_RATIO_EPS_TTM(B1629,E1629,"1")</f>
        <v>0.50134027756196331</v>
      </c>
      <c r="AT1629" s="4" t="str">
        <f>[1]!EM_S_IPO_LISTEDDATE(B1629)</f>
        <v>2016-12-29</v>
      </c>
    </row>
    <row r="1630" spans="1:46">
      <c r="A1630">
        <v>3259</v>
      </c>
      <c r="B1630" t="str">
        <f>"603086"</f>
        <v>603086</v>
      </c>
      <c r="C1630" t="s">
        <v>1022</v>
      </c>
      <c r="D1630" t="str">
        <f>[1]!EM_S_INFO_INDEX_EM(B1630,"1")</f>
        <v>基础化工</v>
      </c>
      <c r="E1630" s="4">
        <f t="shared" si="25"/>
        <v>43465</v>
      </c>
      <c r="F1630" s="11">
        <f>[1]!EM_S_PQ_PCTCHANGE(B1630,"2018-01-01","2019-12-31","3")</f>
        <v>-8.4889831299999994</v>
      </c>
      <c r="G1630" s="11">
        <f>[1]!EM_S_PQ_PCTCHANGE(B1630,"2018-12-31","2019-12-30","1")</f>
        <v>12.11849192</v>
      </c>
      <c r="H1630" s="11">
        <f>[1]!EM_S_FA_YOY_OR(B1630,E1630)</f>
        <v>46.207742397600001</v>
      </c>
      <c r="I1630" s="11">
        <f>[1]!EM_S_FA_GROSSPROFITMARGIN(B1630,E1630)</f>
        <v>36.556960988</v>
      </c>
      <c r="J1630" s="11">
        <f>[1]!EM_S_FA_NETPROFITMARGIN(B1630,E1630)</f>
        <v>15.346225501199999</v>
      </c>
      <c r="K1630" s="10">
        <f>[1]!EM_S_FA_ASSETSTURN(B1630,E1630)</f>
        <v>1.0540972522159999</v>
      </c>
      <c r="L1630" s="12">
        <f>[1]!EM_HKS_VAL_MV(B1630,"2019-12-31","2")</f>
        <v>2797760000</v>
      </c>
      <c r="M1630">
        <f>[1]!EM_S_VAL_PETTMDEDUCTED(B1630,E1630)</f>
        <v>12.6714090228767</v>
      </c>
      <c r="N1630" s="7">
        <f>[1]!EM_S_VAL_PBGOODWILLDEDUCTED(B1630,E1630)</f>
        <v>1.8385326528327799</v>
      </c>
      <c r="O1630" s="7">
        <f>[1]!EM_S_VAL_PS_TTM(B1630,E1630)</f>
        <v>1.7678508832449</v>
      </c>
      <c r="P1630" s="7">
        <f>[1]!EM_S_VAL_PCF_NCFTTM(B1630,E1630)</f>
        <v>-36.605887140302997</v>
      </c>
      <c r="Q1630" s="7">
        <f>[1]!EM_S_VAL_DIVIDENDYIELD2(B1630,E1630,"2019-11-29")</f>
        <v>0</v>
      </c>
      <c r="T1630"/>
      <c r="U1630">
        <f>[1]!EM_S_RATIO_EPS_TTM(B1630,E1630,"1")</f>
        <v>2.2414976566964286</v>
      </c>
      <c r="AT1630" s="4" t="str">
        <f>[1]!EM_S_IPO_LISTEDDATE(B1630)</f>
        <v>2017-05-11</v>
      </c>
    </row>
    <row r="1631" spans="1:46">
      <c r="A1631">
        <v>2688</v>
      </c>
      <c r="B1631" t="str">
        <f>"600615"</f>
        <v>600615</v>
      </c>
      <c r="C1631" t="s">
        <v>2466</v>
      </c>
      <c r="D1631" t="str">
        <f>[1]!EM_S_INFO_INDEX_EM(B1631,"1")</f>
        <v>机械设备</v>
      </c>
      <c r="E1631" s="4">
        <f t="shared" si="25"/>
        <v>43465</v>
      </c>
      <c r="F1631" s="11">
        <f>[1]!EM_S_PQ_PCTCHANGE(B1631,"2018-01-01","2019-12-31","3")</f>
        <v>-13.725490199999999</v>
      </c>
      <c r="G1631" s="11">
        <f>[1]!EM_S_PQ_PCTCHANGE(B1631,"2018-12-31","2019-12-30","1")</f>
        <v>12.11832061</v>
      </c>
      <c r="H1631" s="11">
        <f>[1]!EM_S_FA_YOY_OR(B1631,E1631)</f>
        <v>-11.8509039193</v>
      </c>
      <c r="I1631" s="11">
        <f>[1]!EM_S_FA_GROSSPROFITMARGIN(B1631,E1631)</f>
        <v>15.596041082599999</v>
      </c>
      <c r="J1631" s="11">
        <f>[1]!EM_S_FA_NETPROFITMARGIN(B1631,E1631)</f>
        <v>11.3276099595</v>
      </c>
      <c r="K1631" s="10">
        <f>[1]!EM_S_FA_ASSETSTURN(B1631,E1631)</f>
        <v>0.12852523620799999</v>
      </c>
      <c r="L1631" s="12">
        <f>[1]!EM_HKS_VAL_MV(B1631,"2019-12-31","2")</f>
        <v>2150954611.52</v>
      </c>
      <c r="M1631">
        <f>[1]!EM_S_VAL_PETTMDEDUCTED(B1631,E1631)</f>
        <v>1871.0906546260801</v>
      </c>
      <c r="N1631" s="7">
        <f>[1]!EM_S_VAL_PBGOODWILLDEDUCTED(B1631,E1631)</f>
        <v>3.2908278270541098</v>
      </c>
      <c r="O1631" s="7">
        <f>[1]!EM_S_VAL_PS_TTM(B1631,E1631)</f>
        <v>22.704679867437001</v>
      </c>
      <c r="P1631" s="7">
        <f>[1]!EM_S_VAL_PCF_NCFTTM(B1631,E1631)</f>
        <v>-9.3890340468955191</v>
      </c>
      <c r="Q1631" s="7">
        <f>[1]!EM_S_VAL_DIVIDENDYIELD2(B1631,E1631,"2019-11-29")</f>
        <v>0</v>
      </c>
      <c r="T1631"/>
      <c r="U1631">
        <f>[1]!EM_S_RATIO_EPS_TTM(B1631,E1631,"1")</f>
        <v>4.9630638057844199E-2</v>
      </c>
      <c r="AT1631" s="4" t="str">
        <f>[1]!EM_S_IPO_LISTEDDATE(B1631)</f>
        <v>1992-09-10</v>
      </c>
    </row>
    <row r="1632" spans="1:46">
      <c r="A1632">
        <v>428</v>
      </c>
      <c r="B1632" t="str">
        <f>"000900"</f>
        <v>000900</v>
      </c>
      <c r="C1632" t="s">
        <v>847</v>
      </c>
      <c r="D1632" t="str">
        <f>[1]!EM_S_INFO_INDEX_EM(B1632,"1")</f>
        <v>交通运输</v>
      </c>
      <c r="E1632" s="4">
        <f t="shared" si="25"/>
        <v>43465</v>
      </c>
      <c r="F1632" s="11">
        <f>[1]!EM_S_PQ_PCTCHANGE(B1632,"2018-01-01","2019-12-31","3")</f>
        <v>-26.35801816</v>
      </c>
      <c r="G1632" s="11">
        <f>[1]!EM_S_PQ_PCTCHANGE(B1632,"2018-12-31","2019-12-30","1")</f>
        <v>12.08226221</v>
      </c>
      <c r="H1632" s="11">
        <f>[1]!EM_S_FA_YOY_OR(B1632,E1632)</f>
        <v>11.9716147466</v>
      </c>
      <c r="I1632" s="11">
        <f>[1]!EM_S_FA_GROSSPROFITMARGIN(B1632,E1632)</f>
        <v>14.558289656099999</v>
      </c>
      <c r="J1632" s="11">
        <f>[1]!EM_S_FA_NETPROFITMARGIN(B1632,E1632)</f>
        <v>8.0609606394999993</v>
      </c>
      <c r="K1632" s="10">
        <f>[1]!EM_S_FA_ASSETSTURN(B1632,E1632)</f>
        <v>0.49726263111699998</v>
      </c>
      <c r="L1632" s="12">
        <f>[1]!EM_HKS_VAL_MV(B1632,"2019-12-31","2")</f>
        <v>6617731536.2399998</v>
      </c>
      <c r="M1632">
        <f>[1]!EM_S_VAL_PETTMDEDUCTED(B1632,E1632)</f>
        <v>6.6325424832788196</v>
      </c>
      <c r="N1632" s="7">
        <f>[1]!EM_S_VAL_PBGOODWILLDEDUCTED(B1632,E1632)</f>
        <v>0.63529553911843795</v>
      </c>
      <c r="O1632" s="7">
        <f>[1]!EM_S_VAL_PS_TTM(B1632,E1632)</f>
        <v>0.49444166420514701</v>
      </c>
      <c r="P1632" s="7">
        <f>[1]!EM_S_VAL_PCF_NCFTTM(B1632,E1632)</f>
        <v>21.740968825721101</v>
      </c>
      <c r="Q1632" s="7">
        <f>[1]!EM_S_VAL_DIVIDENDYIELD2(B1632,E1632,"2019-11-29")</f>
        <v>3.6057692307692313</v>
      </c>
      <c r="T1632"/>
      <c r="U1632">
        <f>[1]!EM_S_RATIO_EPS_TTM(B1632,E1632,"1")</f>
        <v>0.63489415243713587</v>
      </c>
      <c r="AT1632" s="4" t="str">
        <f>[1]!EM_S_IPO_LISTEDDATE(B1632)</f>
        <v>1999-01-28</v>
      </c>
    </row>
    <row r="1633" spans="1:46">
      <c r="A1633">
        <v>1093</v>
      </c>
      <c r="B1633" t="str">
        <f>"002582"</f>
        <v>002582</v>
      </c>
      <c r="C1633" t="s">
        <v>590</v>
      </c>
      <c r="D1633" t="str">
        <f>[1]!EM_S_INFO_INDEX_EM(B1633,"1")</f>
        <v>食品饮料</v>
      </c>
      <c r="E1633" s="4">
        <f t="shared" si="25"/>
        <v>43465</v>
      </c>
      <c r="F1633" s="11">
        <f>[1]!EM_S_PQ_PCTCHANGE(B1633,"2018-01-01","2019-12-31","3")</f>
        <v>-27.425837229999999</v>
      </c>
      <c r="G1633" s="11">
        <f>[1]!EM_S_PQ_PCTCHANGE(B1633,"2018-12-31","2019-12-30","1")</f>
        <v>11.968085110000001</v>
      </c>
      <c r="H1633" s="11">
        <f>[1]!EM_S_FA_YOY_OR(B1633,E1633)</f>
        <v>21.5943459778</v>
      </c>
      <c r="I1633" s="11">
        <f>[1]!EM_S_FA_GROSSPROFITMARGIN(B1633,E1633)</f>
        <v>28.475900140899999</v>
      </c>
      <c r="J1633" s="11">
        <f>[1]!EM_S_FA_NETPROFITMARGIN(B1633,E1633)</f>
        <v>2.2020876057000001</v>
      </c>
      <c r="K1633" s="10">
        <f>[1]!EM_S_FA_ASSETSTURN(B1633,E1633)</f>
        <v>0.92578767329</v>
      </c>
      <c r="L1633" s="12">
        <f>[1]!EM_HKS_VAL_MV(B1633,"2019-12-31","2")</f>
        <v>4326590102.3999996</v>
      </c>
      <c r="M1633">
        <f>[1]!EM_S_VAL_PETTMDEDUCTED(B1633,E1633)</f>
        <v>44.950617856855203</v>
      </c>
      <c r="N1633" s="7">
        <f>[1]!EM_S_VAL_PBGOODWILLDEDUCTED(B1633,E1633)</f>
        <v>1.5268202838182601</v>
      </c>
      <c r="O1633" s="7">
        <f>[1]!EM_S_VAL_PS_TTM(B1633,E1633)</f>
        <v>0.80398243086126298</v>
      </c>
      <c r="P1633" s="7">
        <f>[1]!EM_S_VAL_PCF_NCFTTM(B1633,E1633)</f>
        <v>-16.1553410002359</v>
      </c>
      <c r="Q1633" s="7">
        <f>[1]!EM_S_VAL_DIVIDENDYIELD2(B1633,E1633,"2019-11-29")</f>
        <v>1.0063694267515924</v>
      </c>
      <c r="T1633"/>
      <c r="U1633">
        <f>[1]!EM_S_RATIO_EPS_TTM(B1633,E1633,"1")</f>
        <v>0.25126143554612962</v>
      </c>
      <c r="AT1633" s="4" t="str">
        <f>[1]!EM_S_IPO_LISTEDDATE(B1633)</f>
        <v>2011-05-20</v>
      </c>
    </row>
    <row r="1634" spans="1:46">
      <c r="A1634">
        <v>2443</v>
      </c>
      <c r="B1634" t="str">
        <f>"600317"</f>
        <v>600317</v>
      </c>
      <c r="C1634" t="s">
        <v>1546</v>
      </c>
      <c r="D1634" t="str">
        <f>[1]!EM_S_INFO_INDEX_EM(B1634,"1")</f>
        <v>交通运输</v>
      </c>
      <c r="E1634" s="4">
        <f t="shared" si="25"/>
        <v>43465</v>
      </c>
      <c r="F1634" s="11">
        <f>[1]!EM_S_PQ_PCTCHANGE(B1634,"2018-01-01","2019-12-31","3")</f>
        <v>-22.603892519999999</v>
      </c>
      <c r="G1634" s="11">
        <f>[1]!EM_S_PQ_PCTCHANGE(B1634,"2018-12-31","2019-12-30","1")</f>
        <v>11.94690265</v>
      </c>
      <c r="H1634" s="11">
        <f>[1]!EM_S_FA_YOY_OR(B1634,E1634)</f>
        <v>26.0648537169</v>
      </c>
      <c r="I1634" s="11">
        <f>[1]!EM_S_FA_GROSSPROFITMARGIN(B1634,E1634)</f>
        <v>36.829364640100003</v>
      </c>
      <c r="J1634" s="11">
        <f>[1]!EM_S_FA_NETPROFITMARGIN(B1634,E1634)</f>
        <v>21.515655380599998</v>
      </c>
      <c r="K1634" s="10">
        <f>[1]!EM_S_FA_ASSETSTURN(B1634,E1634)</f>
        <v>0.29622599445999998</v>
      </c>
      <c r="L1634" s="12">
        <f>[1]!EM_HKS_VAL_MV(B1634,"2019-12-31","2")</f>
        <v>16506106657.65</v>
      </c>
      <c r="M1634">
        <f>[1]!EM_S_VAL_PETTMDEDUCTED(B1634,E1634)</f>
        <v>21.222462244091499</v>
      </c>
      <c r="N1634" s="7">
        <f>[1]!EM_S_VAL_PBGOODWILLDEDUCTED(B1634,E1634)</f>
        <v>1.25685116515875</v>
      </c>
      <c r="O1634" s="7">
        <f>[1]!EM_S_VAL_PS_TTM(B1634,E1634)</f>
        <v>3.4825629581603201</v>
      </c>
      <c r="P1634" s="7">
        <f>[1]!EM_S_VAL_PCF_NCFTTM(B1634,E1634)</f>
        <v>29.2195975086793</v>
      </c>
      <c r="Q1634" s="7">
        <f>[1]!EM_S_VAL_DIVIDENDYIELD2(B1634,E1634,"2019-11-29")</f>
        <v>1.8799999999999997</v>
      </c>
      <c r="T1634"/>
      <c r="U1634">
        <f>[1]!EM_S_RATIO_EPS_TTM(B1634,E1634,"1")</f>
        <v>0.15462816771125701</v>
      </c>
      <c r="AT1634" s="4" t="str">
        <f>[1]!EM_S_IPO_LISTEDDATE(B1634)</f>
        <v>2002-01-31</v>
      </c>
    </row>
    <row r="1635" spans="1:46">
      <c r="A1635">
        <v>2042</v>
      </c>
      <c r="B1635" t="str">
        <f>"300623"</f>
        <v>300623</v>
      </c>
      <c r="C1635" t="s">
        <v>976</v>
      </c>
      <c r="D1635" t="str">
        <f>[1]!EM_S_INFO_INDEX_EM(B1635,"1")</f>
        <v>电子设备</v>
      </c>
      <c r="E1635" s="4">
        <f t="shared" si="25"/>
        <v>43465</v>
      </c>
      <c r="F1635" s="11">
        <f>[1]!EM_S_PQ_PCTCHANGE(B1635,"2018-01-01","2019-12-31","3")</f>
        <v>5.8131404399999997</v>
      </c>
      <c r="G1635" s="11">
        <f>[1]!EM_S_PQ_PCTCHANGE(B1635,"2018-12-31","2019-12-30","1")</f>
        <v>11.88245315</v>
      </c>
      <c r="H1635" s="11">
        <f>[1]!EM_S_FA_YOY_OR(B1635,E1635)</f>
        <v>24.759116118000001</v>
      </c>
      <c r="I1635" s="11">
        <f>[1]!EM_S_FA_GROSSPROFITMARGIN(B1635,E1635)</f>
        <v>48.8631772723</v>
      </c>
      <c r="J1635" s="11">
        <f>[1]!EM_S_FA_NETPROFITMARGIN(B1635,E1635)</f>
        <v>30.823752362699999</v>
      </c>
      <c r="K1635" s="10">
        <f>[1]!EM_S_FA_ASSETSTURN(B1635,E1635)</f>
        <v>0.36788962812699999</v>
      </c>
      <c r="L1635" s="12">
        <f>[1]!EM_HKS_VAL_MV(B1635,"2019-12-31","2")</f>
        <v>7095565108.8000002</v>
      </c>
      <c r="M1635">
        <f>[1]!EM_S_VAL_PETTMDEDUCTED(B1635,E1635)</f>
        <v>28.2597423983451</v>
      </c>
      <c r="N1635" s="7">
        <f>[1]!EM_S_VAL_PBGOODWILLDEDUCTED(B1635,E1635)</f>
        <v>3.1255507754613401</v>
      </c>
      <c r="O1635" s="7">
        <f>[1]!EM_S_VAL_PS_TTM(B1635,E1635)</f>
        <v>8.1473777979649498</v>
      </c>
      <c r="P1635" s="7">
        <f>[1]!EM_S_VAL_PCF_NCFTTM(B1635,E1635)</f>
        <v>-32.635083923378502</v>
      </c>
      <c r="Q1635" s="7">
        <f>[1]!EM_S_VAL_DIVIDENDYIELD2(B1635,E1635,"2019-11-29")</f>
        <v>0.82278498154217061</v>
      </c>
      <c r="T1635"/>
      <c r="U1635">
        <f>[1]!EM_S_RATIO_EPS_TTM(B1635,E1635,"1")</f>
        <v>0.92169933915521218</v>
      </c>
      <c r="AT1635" s="4" t="str">
        <f>[1]!EM_S_IPO_LISTEDDATE(B1635)</f>
        <v>2017-03-14</v>
      </c>
    </row>
    <row r="1636" spans="1:46">
      <c r="A1636">
        <v>2429</v>
      </c>
      <c r="B1636" t="str">
        <f>"600301"</f>
        <v>600301</v>
      </c>
      <c r="C1636" t="s">
        <v>3462</v>
      </c>
      <c r="D1636" t="str">
        <f>[1]!EM_S_INFO_INDEX_EM(B1636,"1")</f>
        <v>商贸零售</v>
      </c>
      <c r="E1636" s="4">
        <f t="shared" si="25"/>
        <v>43465</v>
      </c>
      <c r="F1636" s="11">
        <f>[1]!EM_S_PQ_PCTCHANGE(B1636,"2018-01-01","2019-12-31","3")</f>
        <v>-12.911392409999999</v>
      </c>
      <c r="G1636" s="11">
        <f>[1]!EM_S_PQ_PCTCHANGE(B1636,"2018-12-31","2019-12-30","1")</f>
        <v>11.84210526</v>
      </c>
      <c r="H1636" s="11">
        <f>[1]!EM_S_FA_YOY_OR(B1636,E1636)</f>
        <v>28.6170801506</v>
      </c>
      <c r="I1636" s="11">
        <f>[1]!EM_S_FA_GROSSPROFITMARGIN(B1636,E1636)</f>
        <v>2.9521276075</v>
      </c>
      <c r="J1636" s="11">
        <f>[1]!EM_S_FA_NETPROFITMARGIN(B1636,E1636)</f>
        <v>16.2926096578</v>
      </c>
      <c r="K1636" s="10">
        <f>[1]!EM_S_FA_ASSETSTURN(B1636,E1636)</f>
        <v>0.47879784457699998</v>
      </c>
      <c r="L1636" s="12">
        <f>[1]!EM_HKS_VAL_MV(B1636,"2019-12-31","2")</f>
        <v>1617819203.2</v>
      </c>
      <c r="M1636">
        <f>[1]!EM_S_VAL_PETTMDEDUCTED(B1636,E1636)</f>
        <v>-32.530366946343598</v>
      </c>
      <c r="N1636" s="7">
        <f>[1]!EM_S_VAL_PBGOODWILLDEDUCTED(B1636,E1636)</f>
        <v>4.7162413595516304</v>
      </c>
      <c r="O1636" s="7">
        <f>[1]!EM_S_VAL_PS_TTM(B1636,E1636)</f>
        <v>10.7064267210678</v>
      </c>
      <c r="P1636" s="7">
        <f>[1]!EM_S_VAL_PCF_NCFTTM(B1636,E1636)</f>
        <v>-9.7443708077042501</v>
      </c>
      <c r="Q1636" s="7">
        <f>[1]!EM_S_VAL_DIVIDENDYIELD2(B1636,E1636,"2019-11-29")</f>
        <v>0</v>
      </c>
      <c r="T1636"/>
      <c r="U1636">
        <f>[1]!EM_S_RATIO_EPS_TTM(B1636,E1636,"1")</f>
        <v>0.23016135445511071</v>
      </c>
      <c r="AT1636" s="4" t="str">
        <f>[1]!EM_S_IPO_LISTEDDATE(B1636)</f>
        <v>2000-07-12</v>
      </c>
    </row>
    <row r="1637" spans="1:46">
      <c r="A1637">
        <v>2094</v>
      </c>
      <c r="B1637" t="str">
        <f>"300676"</f>
        <v>300676</v>
      </c>
      <c r="C1637" t="s">
        <v>1100</v>
      </c>
      <c r="D1637" t="str">
        <f>[1]!EM_S_INFO_INDEX_EM(B1637,"1")</f>
        <v>医药生物</v>
      </c>
      <c r="E1637" s="4">
        <f t="shared" si="25"/>
        <v>43465</v>
      </c>
      <c r="F1637" s="11">
        <f>[1]!EM_S_PQ_PCTCHANGE(B1637,"2018-01-01","2019-12-31","3")</f>
        <v>-66.733626619999995</v>
      </c>
      <c r="G1637" s="11">
        <f>[1]!EM_S_PQ_PCTCHANGE(B1637,"2018-12-31","2019-12-30","1")</f>
        <v>11.83333333</v>
      </c>
      <c r="H1637" s="11">
        <f>[1]!EM_S_FA_YOY_OR(B1637,E1637)</f>
        <v>21.0380587129</v>
      </c>
      <c r="I1637" s="11">
        <f>[1]!EM_S_FA_GROSSPROFITMARGIN(B1637,E1637)</f>
        <v>55.347904538999998</v>
      </c>
      <c r="J1637" s="11">
        <f>[1]!EM_S_FA_NETPROFITMARGIN(B1637,E1637)</f>
        <v>16.079610766399998</v>
      </c>
      <c r="K1637" s="10">
        <f>[1]!EM_S_FA_ASSETSTURN(B1637,E1637)</f>
        <v>0.489501855406</v>
      </c>
      <c r="L1637" s="12">
        <f>[1]!EM_HKS_VAL_MV(B1637,"2019-12-31","2")</f>
        <v>27486870000</v>
      </c>
      <c r="M1637">
        <f>[1]!EM_S_VAL_PETTMDEDUCTED(B1637,E1637)</f>
        <v>74.532971464229902</v>
      </c>
      <c r="N1637" s="7">
        <f>[1]!EM_S_VAL_PBGOODWILLDEDUCTED(B1637,E1637)</f>
        <v>5.8297409739155901</v>
      </c>
      <c r="O1637" s="7">
        <f>[1]!EM_S_VAL_PS_TTM(B1637,E1637)</f>
        <v>9.7474339114728004</v>
      </c>
      <c r="P1637" s="7">
        <f>[1]!EM_S_VAL_PCF_NCFTTM(B1637,E1637)</f>
        <v>124.863196636653</v>
      </c>
      <c r="Q1637" s="7">
        <f>[1]!EM_S_VAL_DIVIDENDYIELD2(B1637,E1637,"2019-11-29")</f>
        <v>0.16866250632484397</v>
      </c>
      <c r="T1637"/>
      <c r="U1637">
        <f>[1]!EM_S_RATIO_EPS_TTM(B1637,E1637,"1")</f>
        <v>0.96637219965008747</v>
      </c>
      <c r="AT1637" s="4" t="str">
        <f>[1]!EM_S_IPO_LISTEDDATE(B1637)</f>
        <v>2017-07-14</v>
      </c>
    </row>
    <row r="1638" spans="1:46">
      <c r="A1638">
        <v>3550</v>
      </c>
      <c r="B1638" t="str">
        <f>"603817"</f>
        <v>603817</v>
      </c>
      <c r="C1638" t="s">
        <v>1597</v>
      </c>
      <c r="D1638" t="str">
        <f>[1]!EM_S_INFO_INDEX_EM(B1638,"1")</f>
        <v>公用事业</v>
      </c>
      <c r="E1638" s="4">
        <f t="shared" si="25"/>
        <v>43465</v>
      </c>
      <c r="F1638" s="11">
        <f>[1]!EM_S_PQ_PCTCHANGE(B1638,"2018-01-01","2019-12-31","3")</f>
        <v>-47.549734430000001</v>
      </c>
      <c r="G1638" s="11">
        <f>[1]!EM_S_PQ_PCTCHANGE(B1638,"2018-12-31","2019-12-30","1")</f>
        <v>11.81364393</v>
      </c>
      <c r="H1638" s="11">
        <f>[1]!EM_S_FA_YOY_OR(B1638,E1638)</f>
        <v>38.375574241700001</v>
      </c>
      <c r="I1638" s="11">
        <f>[1]!EM_S_FA_GROSSPROFITMARGIN(B1638,E1638)</f>
        <v>43.558673993799999</v>
      </c>
      <c r="J1638" s="11">
        <f>[1]!EM_S_FA_NETPROFITMARGIN(B1638,E1638)</f>
        <v>24.531567206199998</v>
      </c>
      <c r="K1638" s="10">
        <f>[1]!EM_S_FA_ASSETSTURN(B1638,E1638)</f>
        <v>0.184561283203</v>
      </c>
      <c r="L1638" s="12">
        <f>[1]!EM_HKS_VAL_MV(B1638,"2019-12-31","2")</f>
        <v>3033024344.8800001</v>
      </c>
      <c r="M1638">
        <f>[1]!EM_S_VAL_PETTMDEDUCTED(B1638,E1638)</f>
        <v>27.120888737907801</v>
      </c>
      <c r="N1638" s="7">
        <f>[1]!EM_S_VAL_PBGOODWILLDEDUCTED(B1638,E1638)</f>
        <v>1.77762876429661</v>
      </c>
      <c r="O1638" s="7">
        <f>[1]!EM_S_VAL_PS_TTM(B1638,E1638)</f>
        <v>6.6732415189358196</v>
      </c>
      <c r="P1638" s="7">
        <f>[1]!EM_S_VAL_PCF_NCFTTM(B1638,E1638)</f>
        <v>-32.228967147683903</v>
      </c>
      <c r="Q1638" s="7">
        <f>[1]!EM_S_VAL_DIVIDENDYIELD2(B1638,E1638,"2019-11-29")</f>
        <v>0.83067092651757202</v>
      </c>
      <c r="T1638"/>
      <c r="U1638">
        <f>[1]!EM_S_RATIO_EPS_TTM(B1638,E1638,"1")</f>
        <v>0.25919096926666668</v>
      </c>
      <c r="AT1638" s="4" t="str">
        <f>[1]!EM_S_IPO_LISTEDDATE(B1638)</f>
        <v>2017-02-20</v>
      </c>
    </row>
    <row r="1639" spans="1:46">
      <c r="A1639">
        <v>2833</v>
      </c>
      <c r="B1639" t="str">
        <f>"600760"</f>
        <v>600760</v>
      </c>
      <c r="C1639" t="s">
        <v>3248</v>
      </c>
      <c r="D1639" t="str">
        <f>[1]!EM_S_INFO_INDEX_EM(B1639,"1")</f>
        <v>国防与装备</v>
      </c>
      <c r="E1639" s="4">
        <f t="shared" si="25"/>
        <v>43465</v>
      </c>
      <c r="F1639" s="11">
        <f>[1]!EM_S_PQ_PCTCHANGE(B1639,"2018-01-01","2019-12-31","3")</f>
        <v>-9.4296360000000004</v>
      </c>
      <c r="G1639" s="11">
        <f>[1]!EM_S_PQ_PCTCHANGE(B1639,"2018-12-31","2019-12-30","1")</f>
        <v>11.80079394</v>
      </c>
      <c r="H1639" s="11">
        <f>[1]!EM_S_FA_YOY_OR(B1639,E1639)</f>
        <v>3.5579462872000001</v>
      </c>
      <c r="I1639" s="11">
        <f>[1]!EM_S_FA_GROSSPROFITMARGIN(B1639,E1639)</f>
        <v>9.0906335048999996</v>
      </c>
      <c r="J1639" s="11">
        <f>[1]!EM_S_FA_NETPROFITMARGIN(B1639,E1639)</f>
        <v>3.6996162830000001</v>
      </c>
      <c r="K1639" s="10">
        <f>[1]!EM_S_FA_ASSETSTURN(B1639,E1639)</f>
        <v>0.73505176858800003</v>
      </c>
      <c r="L1639" s="12">
        <f>[1]!EM_HKS_VAL_MV(B1639,"2019-12-31","2")</f>
        <v>44252301406</v>
      </c>
      <c r="M1639">
        <f>[1]!EM_S_VAL_PETTMDEDUCTED(B1639,E1639)</f>
        <v>55.502508387697802</v>
      </c>
      <c r="N1639" s="7">
        <f>[1]!EM_S_VAL_PBGOODWILLDEDUCTED(B1639,E1639)</f>
        <v>4.9352144119993602</v>
      </c>
      <c r="O1639" s="7">
        <f>[1]!EM_S_VAL_PS_TTM(B1639,E1639)</f>
        <v>1.37780454339346</v>
      </c>
      <c r="P1639" s="7">
        <f>[1]!EM_S_VAL_PCF_NCFTTM(B1639,E1639)</f>
        <v>6.5180262959921702</v>
      </c>
      <c r="Q1639" s="7">
        <f>[1]!EM_S_VAL_DIVIDENDYIELD2(B1639,E1639,"2019-11-29")</f>
        <v>0</v>
      </c>
      <c r="T1639"/>
      <c r="U1639">
        <f>[1]!EM_S_RATIO_EPS_TTM(B1639,E1639,"1")</f>
        <v>0.53073767860198962</v>
      </c>
      <c r="AT1639" s="4" t="str">
        <f>[1]!EM_S_IPO_LISTEDDATE(B1639)</f>
        <v>1996-10-11</v>
      </c>
    </row>
    <row r="1640" spans="1:46">
      <c r="A1640">
        <v>783</v>
      </c>
      <c r="B1640" t="str">
        <f>"002272"</f>
        <v>002272</v>
      </c>
      <c r="C1640" t="s">
        <v>3282</v>
      </c>
      <c r="D1640" t="str">
        <f>[1]!EM_S_INFO_INDEX_EM(B1640,"1")</f>
        <v>机械设备</v>
      </c>
      <c r="E1640" s="4">
        <f t="shared" si="25"/>
        <v>43465</v>
      </c>
      <c r="F1640" s="11">
        <f>[1]!EM_S_PQ_PCTCHANGE(B1640,"2018-01-01","2019-12-31","3")</f>
        <v>-21.777003480000001</v>
      </c>
      <c r="G1640" s="11">
        <f>[1]!EM_S_PQ_PCTCHANGE(B1640,"2018-12-31","2019-12-30","1")</f>
        <v>11.75</v>
      </c>
      <c r="H1640" s="11">
        <f>[1]!EM_S_FA_YOY_OR(B1640,E1640)</f>
        <v>9.0413672041000002</v>
      </c>
      <c r="I1640" s="11">
        <f>[1]!EM_S_FA_GROSSPROFITMARGIN(B1640,E1640)</f>
        <v>18.240865570699999</v>
      </c>
      <c r="J1640" s="11">
        <f>[1]!EM_S_FA_NETPROFITMARGIN(B1640,E1640)</f>
        <v>6.7153021543999998</v>
      </c>
      <c r="K1640" s="10">
        <f>[1]!EM_S_FA_ASSETSTURN(B1640,E1640)</f>
        <v>0.39284687929099998</v>
      </c>
      <c r="L1640" s="12">
        <f>[1]!EM_HKS_VAL_MV(B1640,"2019-12-31","2")</f>
        <v>1931598000</v>
      </c>
      <c r="M1640">
        <f>[1]!EM_S_VAL_PETTMDEDUCTED(B1640,E1640)</f>
        <v>-35.014284362650997</v>
      </c>
      <c r="N1640" s="7">
        <f>[1]!EM_S_VAL_PBGOODWILLDEDUCTED(B1640,E1640)</f>
        <v>1.39928315561752</v>
      </c>
      <c r="O1640" s="7">
        <f>[1]!EM_S_VAL_PS_TTM(B1640,E1640)</f>
        <v>3.16256040410715</v>
      </c>
      <c r="P1640" s="7">
        <f>[1]!EM_S_VAL_PCF_NCFTTM(B1640,E1640)</f>
        <v>34.172678164481503</v>
      </c>
      <c r="Q1640" s="7">
        <f>[1]!EM_S_VAL_DIVIDENDYIELD2(B1640,E1640,"2019-11-29")</f>
        <v>0</v>
      </c>
      <c r="T1640"/>
      <c r="U1640">
        <f>[1]!EM_S_RATIO_EPS_TTM(B1640,E1640,"1")</f>
        <v>0.10452326122211897</v>
      </c>
      <c r="AT1640" s="4" t="str">
        <f>[1]!EM_S_IPO_LISTEDDATE(B1640)</f>
        <v>2008-09-19</v>
      </c>
    </row>
    <row r="1641" spans="1:46">
      <c r="A1641">
        <v>2464</v>
      </c>
      <c r="B1641" t="str">
        <f>"600340"</f>
        <v>600340</v>
      </c>
      <c r="C1641" t="s">
        <v>134</v>
      </c>
      <c r="D1641" t="str">
        <f>[1]!EM_S_INFO_INDEX_EM(B1641,"1")</f>
        <v>房地产</v>
      </c>
      <c r="E1641" s="4">
        <f t="shared" si="25"/>
        <v>43465</v>
      </c>
      <c r="F1641" s="11">
        <f>[1]!EM_S_PQ_PCTCHANGE(B1641,"2018-01-01","2019-12-31","3")</f>
        <v>-1.94791241</v>
      </c>
      <c r="G1641" s="11">
        <f>[1]!EM_S_PQ_PCTCHANGE(B1641,"2018-12-31","2019-12-30","1")</f>
        <v>11.74852652</v>
      </c>
      <c r="H1641" s="11">
        <f>[1]!EM_S_FA_YOY_OR(B1641,E1641)</f>
        <v>40.518151294200003</v>
      </c>
      <c r="I1641" s="11">
        <f>[1]!EM_S_FA_GROSSPROFITMARGIN(B1641,E1641)</f>
        <v>41.623311638099999</v>
      </c>
      <c r="J1641" s="11">
        <f>[1]!EM_S_FA_NETPROFITMARGIN(B1641,E1641)</f>
        <v>14.084659415499999</v>
      </c>
      <c r="K1641" s="10">
        <f>[1]!EM_S_FA_ASSETSTURN(B1641,E1641)</f>
        <v>0.21334290178900001</v>
      </c>
      <c r="L1641" s="12">
        <f>[1]!EM_HKS_VAL_MV(B1641,"2019-12-31","2")</f>
        <v>86481305588.300003</v>
      </c>
      <c r="M1641">
        <f>[1]!EM_S_VAL_PETTMDEDUCTED(B1641,E1641)</f>
        <v>7.9742720748115898</v>
      </c>
      <c r="N1641" s="7">
        <f>[1]!EM_S_VAL_PBGOODWILLDEDUCTED(B1641,E1641)</f>
        <v>2.2300166216245199</v>
      </c>
      <c r="O1641" s="7">
        <f>[1]!EM_S_VAL_PS_TTM(B1641,E1641)</f>
        <v>1.0344553884119601</v>
      </c>
      <c r="P1641" s="7">
        <f>[1]!EM_S_VAL_PCF_NCFTTM(B1641,E1641)</f>
        <v>-9.8606938514010292</v>
      </c>
      <c r="Q1641" s="7">
        <f>[1]!EM_S_VAL_DIVIDENDYIELD2(B1641,E1641,"2019-11-29")</f>
        <v>4.280614853073466</v>
      </c>
      <c r="T1641"/>
      <c r="U1641">
        <f>[1]!EM_S_RATIO_EPS_TTM(B1641,E1641,"1")</f>
        <v>3.9110249850522933</v>
      </c>
      <c r="AT1641" s="4" t="str">
        <f>[1]!EM_S_IPO_LISTEDDATE(B1641)</f>
        <v>2003-12-30</v>
      </c>
    </row>
    <row r="1642" spans="1:46">
      <c r="A1642">
        <v>2290</v>
      </c>
      <c r="B1642" t="str">
        <f>"600149"</f>
        <v>600149</v>
      </c>
      <c r="C1642" t="s">
        <v>3457</v>
      </c>
      <c r="D1642" t="str">
        <f>[1]!EM_S_INFO_INDEX_EM(B1642,"1")</f>
        <v>商贸零售</v>
      </c>
      <c r="E1642" s="4">
        <f t="shared" si="25"/>
        <v>43465</v>
      </c>
      <c r="F1642" s="11">
        <f>[1]!EM_S_PQ_PCTCHANGE(B1642,"2018-01-01","2019-12-31","3")</f>
        <v>-48.999046710000002</v>
      </c>
      <c r="G1642" s="11">
        <f>[1]!EM_S_PQ_PCTCHANGE(B1642,"2018-12-31","2019-12-30","1")</f>
        <v>11.74004193</v>
      </c>
      <c r="H1642" s="11">
        <f>[1]!EM_S_FA_YOY_OR(B1642,E1642)</f>
        <v>43.298685292899997</v>
      </c>
      <c r="I1642" s="11">
        <f>[1]!EM_S_FA_GROSSPROFITMARGIN(B1642,E1642)</f>
        <v>8.2788078301999999</v>
      </c>
      <c r="J1642" s="11">
        <f>[1]!EM_S_FA_NETPROFITMARGIN(B1642,E1642)</f>
        <v>5.7791772135999997</v>
      </c>
      <c r="K1642" s="10">
        <f>[1]!EM_S_FA_ASSETSTURN(B1642,E1642)</f>
        <v>0.142444132424</v>
      </c>
      <c r="L1642" s="12">
        <f>[1]!EM_HKS_VAL_MV(B1642,"2019-12-31","2")</f>
        <v>2033856000</v>
      </c>
      <c r="M1642">
        <f>[1]!EM_S_VAL_PETTMDEDUCTED(B1642,E1642)</f>
        <v>-118.254342822363</v>
      </c>
      <c r="N1642" s="7">
        <f>[1]!EM_S_VAL_PBGOODWILLDEDUCTED(B1642,E1642)</f>
        <v>10.9252908981838</v>
      </c>
      <c r="O1642" s="7">
        <f>[1]!EM_S_VAL_PS_TTM(B1642,E1642)</f>
        <v>28.903261386164299</v>
      </c>
      <c r="P1642" s="7">
        <f>[1]!EM_S_VAL_PCF_NCFTTM(B1642,E1642)</f>
        <v>13.8836755673815</v>
      </c>
      <c r="Q1642" s="7">
        <f>[1]!EM_S_VAL_DIVIDENDYIELD2(B1642,E1642,"2019-11-29")</f>
        <v>0</v>
      </c>
      <c r="T1642"/>
      <c r="U1642">
        <f>[1]!EM_S_RATIO_EPS_TTM(B1642,E1642,"1")</f>
        <v>5.4100944076178447E-3</v>
      </c>
      <c r="AT1642" s="4" t="str">
        <f>[1]!EM_S_IPO_LISTEDDATE(B1642)</f>
        <v>1999-10-14</v>
      </c>
    </row>
    <row r="1643" spans="1:46">
      <c r="A1643">
        <v>2451</v>
      </c>
      <c r="B1643" t="str">
        <f>"600326"</f>
        <v>600326</v>
      </c>
      <c r="C1643" t="s">
        <v>2444</v>
      </c>
      <c r="D1643" t="str">
        <f>[1]!EM_S_INFO_INDEX_EM(B1643,"1")</f>
        <v>建材</v>
      </c>
      <c r="E1643" s="4">
        <f t="shared" si="25"/>
        <v>43465</v>
      </c>
      <c r="F1643" s="11">
        <f>[1]!EM_S_PQ_PCTCHANGE(B1643,"2018-01-01","2019-12-31","3")</f>
        <v>-27.072866690000001</v>
      </c>
      <c r="G1643" s="11">
        <f>[1]!EM_S_PQ_PCTCHANGE(B1643,"2018-12-31","2019-12-30","1")</f>
        <v>11.72839506</v>
      </c>
      <c r="H1643" s="11">
        <f>[1]!EM_S_FA_YOY_OR(B1643,E1643)</f>
        <v>39.834336889900001</v>
      </c>
      <c r="I1643" s="11">
        <f>[1]!EM_S_FA_GROSSPROFITMARGIN(B1643,E1643)</f>
        <v>32.5893849522</v>
      </c>
      <c r="J1643" s="11">
        <f>[1]!EM_S_FA_NETPROFITMARGIN(B1643,E1643)</f>
        <v>17.088292171700001</v>
      </c>
      <c r="K1643" s="10">
        <f>[1]!EM_S_FA_ASSETSTURN(B1643,E1643)</f>
        <v>0.59030729181599995</v>
      </c>
      <c r="L1643" s="12">
        <f>[1]!EM_HKS_VAL_MV(B1643,"2019-12-31","2")</f>
        <v>6343268458.3000002</v>
      </c>
      <c r="M1643">
        <f>[1]!EM_S_VAL_PETTMDEDUCTED(B1643,E1643)</f>
        <v>13.8369490384678</v>
      </c>
      <c r="N1643" s="7">
        <f>[1]!EM_S_VAL_PBGOODWILLDEDUCTED(B1643,E1643)</f>
        <v>1.84184524594485</v>
      </c>
      <c r="O1643" s="7">
        <f>[1]!EM_S_VAL_PS_TTM(B1643,E1643)</f>
        <v>1.1982884053398799</v>
      </c>
      <c r="P1643" s="7">
        <f>[1]!EM_S_VAL_PCF_NCFTTM(B1643,E1643)</f>
        <v>4.1344648719406401</v>
      </c>
      <c r="Q1643" s="7">
        <f>[1]!EM_S_VAL_DIVIDENDYIELD2(B1643,E1643,"2019-11-29")</f>
        <v>1.1851851851851851</v>
      </c>
      <c r="T1643"/>
      <c r="U1643">
        <f>[1]!EM_S_RATIO_EPS_TTM(B1643,E1643,"1")</f>
        <v>0.51949629678488241</v>
      </c>
      <c r="AT1643" s="4" t="str">
        <f>[1]!EM_S_IPO_LISTEDDATE(B1643)</f>
        <v>2001-01-16</v>
      </c>
    </row>
    <row r="1644" spans="1:46">
      <c r="A1644">
        <v>2298</v>
      </c>
      <c r="B1644" t="str">
        <f>"600158"</f>
        <v>600158</v>
      </c>
      <c r="C1644" t="s">
        <v>3326</v>
      </c>
      <c r="D1644" t="str">
        <f>[1]!EM_S_INFO_INDEX_EM(B1644,"1")</f>
        <v>房地产</v>
      </c>
      <c r="E1644" s="4">
        <f t="shared" si="25"/>
        <v>43465</v>
      </c>
      <c r="F1644" s="11">
        <f>[1]!EM_S_PQ_PCTCHANGE(B1644,"2018-01-01","2019-12-31","3")</f>
        <v>-1.9758236499999999</v>
      </c>
      <c r="G1644" s="11">
        <f>[1]!EM_S_PQ_PCTCHANGE(B1644,"2018-12-31","2019-12-30","1")</f>
        <v>11.698537679999999</v>
      </c>
      <c r="H1644" s="11">
        <f>[1]!EM_S_FA_YOY_OR(B1644,E1644)</f>
        <v>32.745365108100003</v>
      </c>
      <c r="I1644" s="11">
        <f>[1]!EM_S_FA_GROSSPROFITMARGIN(B1644,E1644)</f>
        <v>24.063156713400002</v>
      </c>
      <c r="J1644" s="11">
        <f>[1]!EM_S_FA_NETPROFITMARGIN(B1644,E1644)</f>
        <v>6.3101265287999997</v>
      </c>
      <c r="K1644" s="10">
        <f>[1]!EM_S_FA_ASSETSTURN(B1644,E1644)</f>
        <v>0.35748055349399999</v>
      </c>
      <c r="L1644" s="12">
        <f>[1]!EM_HKS_VAL_MV(B1644,"2019-12-31","2")</f>
        <v>8462665791.1899996</v>
      </c>
      <c r="M1644">
        <f>[1]!EM_S_VAL_PETTMDEDUCTED(B1644,E1644)</f>
        <v>123.135763019641</v>
      </c>
      <c r="N1644" s="7">
        <f>[1]!EM_S_VAL_PBGOODWILLDEDUCTED(B1644,E1644)</f>
        <v>4.5219068847732302</v>
      </c>
      <c r="O1644" s="7">
        <f>[1]!EM_S_VAL_PS_TTM(B1644,E1644)</f>
        <v>6.5417521767149198</v>
      </c>
      <c r="P1644" s="7">
        <f>[1]!EM_S_VAL_PCF_NCFTTM(B1644,E1644)</f>
        <v>31.6069119680669</v>
      </c>
      <c r="Q1644" s="7">
        <f>[1]!EM_S_VAL_DIVIDENDYIELD2(B1644,E1644,"2019-11-29")</f>
        <v>0.32432432432432429</v>
      </c>
      <c r="T1644"/>
      <c r="U1644">
        <f>[1]!EM_S_RATIO_EPS_TTM(B1644,E1644,"1")</f>
        <v>9.9446476436872114E-2</v>
      </c>
      <c r="AT1644" s="4" t="str">
        <f>[1]!EM_S_IPO_LISTEDDATE(B1644)</f>
        <v>1998-03-27</v>
      </c>
    </row>
    <row r="1645" spans="1:46">
      <c r="A1645">
        <v>1359</v>
      </c>
      <c r="B1645" t="str">
        <f>"002859"</f>
        <v>002859</v>
      </c>
      <c r="C1645" t="s">
        <v>1245</v>
      </c>
      <c r="D1645" t="str">
        <f>[1]!EM_S_INFO_INDEX_EM(B1645,"1")</f>
        <v>电子设备</v>
      </c>
      <c r="E1645" s="4">
        <f t="shared" si="25"/>
        <v>43465</v>
      </c>
      <c r="F1645" s="11">
        <f>[1]!EM_S_PQ_PCTCHANGE(B1645,"2018-01-01","2019-12-31","3")</f>
        <v>-1.2024948799999999</v>
      </c>
      <c r="G1645" s="11">
        <f>[1]!EM_S_PQ_PCTCHANGE(B1645,"2018-12-31","2019-12-30","1")</f>
        <v>11.674796750000001</v>
      </c>
      <c r="H1645" s="11">
        <f>[1]!EM_S_FA_YOY_OR(B1645,E1645)</f>
        <v>31.582586521500001</v>
      </c>
      <c r="I1645" s="11">
        <f>[1]!EM_S_FA_GROSSPROFITMARGIN(B1645,E1645)</f>
        <v>37.054471417199998</v>
      </c>
      <c r="J1645" s="11">
        <f>[1]!EM_S_FA_NETPROFITMARGIN(B1645,E1645)</f>
        <v>20.997441694500001</v>
      </c>
      <c r="K1645" s="10">
        <f>[1]!EM_S_FA_ASSETSTURN(B1645,E1645)</f>
        <v>0.71308649849399997</v>
      </c>
      <c r="L1645" s="12">
        <f>[1]!EM_HKS_VAL_MV(B1645,"2019-12-31","2")</f>
        <v>8945646700</v>
      </c>
      <c r="M1645">
        <f>[1]!EM_S_VAL_PETTMDEDUCTED(B1645,E1645)</f>
        <v>30.3422926921073</v>
      </c>
      <c r="N1645" s="7">
        <f>[1]!EM_S_VAL_PBGOODWILLDEDUCTED(B1645,E1645)</f>
        <v>5.1068978283658</v>
      </c>
      <c r="O1645" s="7">
        <f>[1]!EM_S_VAL_PS_TTM(B1645,E1645)</f>
        <v>6.09395095795057</v>
      </c>
      <c r="P1645" s="7">
        <f>[1]!EM_S_VAL_PCF_NCFTTM(B1645,E1645)</f>
        <v>169.18657919865501</v>
      </c>
      <c r="Q1645" s="7">
        <f>[1]!EM_S_VAL_DIVIDENDYIELD2(B1645,E1645,"2019-11-29")</f>
        <v>0.73800738007380084</v>
      </c>
      <c r="T1645"/>
      <c r="U1645">
        <f>[1]!EM_S_RATIO_EPS_TTM(B1645,E1645,"1")</f>
        <v>1.0651073362479204</v>
      </c>
      <c r="AT1645" s="4" t="str">
        <f>[1]!EM_S_IPO_LISTEDDATE(B1645)</f>
        <v>2017-04-07</v>
      </c>
    </row>
    <row r="1646" spans="1:46">
      <c r="A1646">
        <v>1670</v>
      </c>
      <c r="B1646" t="str">
        <f>"300245"</f>
        <v>300245</v>
      </c>
      <c r="C1646" t="s">
        <v>2710</v>
      </c>
      <c r="D1646" t="str">
        <f>[1]!EM_S_INFO_INDEX_EM(B1646,"1")</f>
        <v>信息技术</v>
      </c>
      <c r="E1646" s="4">
        <f t="shared" si="25"/>
        <v>43465</v>
      </c>
      <c r="F1646" s="11">
        <f>[1]!EM_S_PQ_PCTCHANGE(B1646,"2018-01-01","2019-12-31","3")</f>
        <v>-29.54520003</v>
      </c>
      <c r="G1646" s="11">
        <f>[1]!EM_S_PQ_PCTCHANGE(B1646,"2018-12-31","2019-12-30","1")</f>
        <v>11.65501166</v>
      </c>
      <c r="H1646" s="11">
        <f>[1]!EM_S_FA_YOY_OR(B1646,E1646)</f>
        <v>7.7988803695</v>
      </c>
      <c r="I1646" s="11">
        <f>[1]!EM_S_FA_GROSSPROFITMARGIN(B1646,E1646)</f>
        <v>31.5252392015</v>
      </c>
      <c r="J1646" s="11">
        <f>[1]!EM_S_FA_NETPROFITMARGIN(B1646,E1646)</f>
        <v>14.6126320879</v>
      </c>
      <c r="K1646" s="10">
        <f>[1]!EM_S_FA_ASSETSTURN(B1646,E1646)</f>
        <v>0.25216726901800002</v>
      </c>
      <c r="L1646" s="12">
        <f>[1]!EM_HKS_VAL_MV(B1646,"2019-12-31","2")</f>
        <v>3031133957.3099999</v>
      </c>
      <c r="M1646">
        <f>[1]!EM_S_VAL_PETTMDEDUCTED(B1646,E1646)</f>
        <v>126.62886089841101</v>
      </c>
      <c r="N1646" s="7">
        <f>[1]!EM_S_VAL_PBGOODWILLDEDUCTED(B1646,E1646)</f>
        <v>1.9238052322802699</v>
      </c>
      <c r="O1646" s="7">
        <f>[1]!EM_S_VAL_PS_TTM(B1646,E1646)</f>
        <v>7.7504105288745002</v>
      </c>
      <c r="P1646" s="7">
        <f>[1]!EM_S_VAL_PCF_NCFTTM(B1646,E1646)</f>
        <v>44.609176319975099</v>
      </c>
      <c r="Q1646" s="7">
        <f>[1]!EM_S_VAL_DIVIDENDYIELD2(B1646,E1646,"2019-11-29")</f>
        <v>0.43859649122807026</v>
      </c>
      <c r="T1646"/>
      <c r="U1646">
        <f>[1]!EM_S_RATIO_EPS_TTM(B1646,E1646,"1")</f>
        <v>0.18704366508794865</v>
      </c>
      <c r="AT1646" s="4" t="str">
        <f>[1]!EM_S_IPO_LISTEDDATE(B1646)</f>
        <v>2011-07-19</v>
      </c>
    </row>
    <row r="1647" spans="1:46">
      <c r="A1647">
        <v>2891</v>
      </c>
      <c r="B1647" t="str">
        <f>"600818"</f>
        <v>600818</v>
      </c>
      <c r="C1647" t="s">
        <v>2789</v>
      </c>
      <c r="D1647" t="str">
        <f>[1]!EM_S_INFO_INDEX_EM(B1647,"1")</f>
        <v>轻工制造</v>
      </c>
      <c r="E1647" s="4">
        <f t="shared" si="25"/>
        <v>43465</v>
      </c>
      <c r="F1647" s="11">
        <f>[1]!EM_S_PQ_PCTCHANGE(B1647,"2018-01-01","2019-12-31","3")</f>
        <v>-47.528753029999997</v>
      </c>
      <c r="G1647" s="11">
        <f>[1]!EM_S_PQ_PCTCHANGE(B1647,"2018-12-31","2019-12-30","1")</f>
        <v>11.60377358</v>
      </c>
      <c r="H1647" s="11">
        <f>[1]!EM_S_FA_YOY_OR(B1647,E1647)</f>
        <v>-12.514821816</v>
      </c>
      <c r="I1647" s="11">
        <f>[1]!EM_S_FA_GROSSPROFITMARGIN(B1647,E1647)</f>
        <v>13.189287199300001</v>
      </c>
      <c r="J1647" s="11">
        <f>[1]!EM_S_FA_NETPROFITMARGIN(B1647,E1647)</f>
        <v>-0.86541277520000004</v>
      </c>
      <c r="K1647" s="10">
        <f>[1]!EM_S_FA_ASSETSTURN(B1647,E1647)</f>
        <v>0.50695181982600002</v>
      </c>
      <c r="L1647" s="12">
        <f>[1]!EM_HKS_VAL_MV(B1647,"2019-12-31","2")</f>
        <v>3831659087.1999998</v>
      </c>
      <c r="M1647">
        <f>[1]!EM_S_VAL_PETTMDEDUCTED(B1647,E1647)</f>
        <v>-64.595516530943499</v>
      </c>
      <c r="N1647" s="7">
        <f>[1]!EM_S_VAL_PBGOODWILLDEDUCTED(B1647,E1647)</f>
        <v>5.3681103687295</v>
      </c>
      <c r="O1647" s="7">
        <f>[1]!EM_S_VAL_PS_TTM(B1647,E1647)</f>
        <v>6.3959656944178001</v>
      </c>
      <c r="P1647" s="7">
        <f>[1]!EM_S_VAL_PCF_NCFTTM(B1647,E1647)</f>
        <v>-346.22413115345603</v>
      </c>
      <c r="Q1647" s="7">
        <f>[1]!EM_S_VAL_DIVIDENDYIELD2(B1647,E1647,"2019-11-29")</f>
        <v>0.40192926045016075</v>
      </c>
      <c r="T1647"/>
      <c r="U1647">
        <f>[1]!EM_S_RATIO_EPS_TTM(B1647,E1647,"1")</f>
        <v>1.576575395994953E-2</v>
      </c>
      <c r="AT1647" s="4" t="str">
        <f>[1]!EM_S_IPO_LISTEDDATE(B1647)</f>
        <v>1994-01-28</v>
      </c>
    </row>
    <row r="1648" spans="1:46">
      <c r="A1648">
        <v>1434</v>
      </c>
      <c r="B1648" t="str">
        <f>"300008"</f>
        <v>300008</v>
      </c>
      <c r="C1648" t="s">
        <v>2898</v>
      </c>
      <c r="D1648" t="str">
        <f>[1]!EM_S_INFO_INDEX_EM(B1648,"1")</f>
        <v>国防与装备</v>
      </c>
      <c r="E1648" s="4">
        <f t="shared" si="25"/>
        <v>43465</v>
      </c>
      <c r="F1648" s="11">
        <f>[1]!EM_S_PQ_PCTCHANGE(B1648,"2018-01-01","2019-12-31","3")</f>
        <v>-57.978842120000003</v>
      </c>
      <c r="G1648" s="11">
        <f>[1]!EM_S_PQ_PCTCHANGE(B1648,"2018-12-31","2019-12-30","1")</f>
        <v>11.583011580000001</v>
      </c>
      <c r="H1648" s="11">
        <f>[1]!EM_S_FA_YOY_OR(B1648,E1648)</f>
        <v>-30.682169645399998</v>
      </c>
      <c r="I1648" s="11">
        <f>[1]!EM_S_FA_GROSSPROFITMARGIN(B1648,E1648)</f>
        <v>2.3497082845000001</v>
      </c>
      <c r="J1648" s="11">
        <f>[1]!EM_S_FA_NETPROFITMARGIN(B1648,E1648)</f>
        <v>-182.8264698337</v>
      </c>
      <c r="K1648" s="10">
        <f>[1]!EM_S_FA_ASSETSTURN(B1648,E1648)</f>
        <v>0.30255560775399998</v>
      </c>
      <c r="L1648" s="12">
        <f>[1]!EM_HKS_VAL_MV(B1648,"2019-12-31","2")</f>
        <v>2774446774.6500001</v>
      </c>
      <c r="M1648">
        <f>[1]!EM_S_VAL_PETTMDEDUCTED(B1648,E1648)</f>
        <v>-1.80107005083098</v>
      </c>
      <c r="N1648" s="7">
        <f>[1]!EM_S_VAL_PBGOODWILLDEDUCTED(B1648,E1648)</f>
        <v>3.30465865931783</v>
      </c>
      <c r="O1648" s="7">
        <f>[1]!EM_S_VAL_PS_TTM(B1648,E1648)</f>
        <v>1.79605175475904</v>
      </c>
      <c r="P1648" s="7">
        <f>[1]!EM_S_VAL_PCF_NCFTTM(B1648,E1648)</f>
        <v>-9.2375367832195607</v>
      </c>
      <c r="Q1648" s="7">
        <f>[1]!EM_S_VAL_DIVIDENDYIELD2(B1648,E1648,"2019-11-29")</f>
        <v>0</v>
      </c>
      <c r="T1648"/>
      <c r="U1648">
        <f>[1]!EM_S_RATIO_EPS_TTM(B1648,E1648,"1")</f>
        <v>-1.9566456447190002</v>
      </c>
      <c r="AT1648" s="4" t="str">
        <f>[1]!EM_S_IPO_LISTEDDATE(B1648)</f>
        <v>2009-10-30</v>
      </c>
    </row>
    <row r="1649" spans="1:46">
      <c r="A1649">
        <v>2494</v>
      </c>
      <c r="B1649" t="str">
        <f>"600376"</f>
        <v>600376</v>
      </c>
      <c r="C1649" t="s">
        <v>2198</v>
      </c>
      <c r="D1649" t="str">
        <f>[1]!EM_S_INFO_INDEX_EM(B1649,"1")</f>
        <v>房地产</v>
      </c>
      <c r="E1649" s="4">
        <f t="shared" si="25"/>
        <v>43465</v>
      </c>
      <c r="F1649" s="11">
        <f>[1]!EM_S_PQ_PCTCHANGE(B1649,"2018-01-01","2019-12-31","3")</f>
        <v>-3.6369545400000001</v>
      </c>
      <c r="G1649" s="11">
        <f>[1]!EM_S_PQ_PCTCHANGE(B1649,"2018-12-31","2019-12-30","1")</f>
        <v>11.54381085</v>
      </c>
      <c r="H1649" s="11">
        <f>[1]!EM_S_FA_YOY_OR(B1649,E1649)</f>
        <v>8.3137293069999991</v>
      </c>
      <c r="I1649" s="11">
        <f>[1]!EM_S_FA_GROSSPROFITMARGIN(B1649,E1649)</f>
        <v>32.743882167800002</v>
      </c>
      <c r="J1649" s="11">
        <f>[1]!EM_S_FA_NETPROFITMARGIN(B1649,E1649)</f>
        <v>10.0259477922</v>
      </c>
      <c r="K1649" s="10">
        <f>[1]!EM_S_FA_ASSETSTURN(B1649,E1649)</f>
        <v>0.149418844193</v>
      </c>
      <c r="L1649" s="12">
        <f>[1]!EM_HKS_VAL_MV(B1649,"2019-12-31","2")</f>
        <v>20559134978.740002</v>
      </c>
      <c r="M1649">
        <f>[1]!EM_S_VAL_PETTMDEDUCTED(B1649,E1649)</f>
        <v>7.8558420234832003</v>
      </c>
      <c r="N1649" s="7">
        <f>[1]!EM_S_VAL_PBGOODWILLDEDUCTED(B1649,E1649)</f>
        <v>0.81053291058112198</v>
      </c>
      <c r="O1649" s="7">
        <f>[1]!EM_S_VAL_PS_TTM(B1649,E1649)</f>
        <v>0.43975577535795601</v>
      </c>
      <c r="P1649" s="7">
        <f>[1]!EM_S_VAL_PCF_NCFTTM(B1649,E1649)</f>
        <v>-38.666115603580103</v>
      </c>
      <c r="Q1649" s="7">
        <f>[1]!EM_S_VAL_DIVIDENDYIELD2(B1649,E1649,"2019-11-29")</f>
        <v>5.2151238591916558</v>
      </c>
      <c r="T1649"/>
      <c r="U1649">
        <f>[1]!EM_S_RATIO_EPS_TTM(B1649,E1649,"1")</f>
        <v>1.2275559329156134</v>
      </c>
      <c r="AT1649" s="4" t="str">
        <f>[1]!EM_S_IPO_LISTEDDATE(B1649)</f>
        <v>2001-03-12</v>
      </c>
    </row>
    <row r="1650" spans="1:46">
      <c r="A1650">
        <v>3315</v>
      </c>
      <c r="B1650" t="str">
        <f>"603214"</f>
        <v>603214</v>
      </c>
      <c r="C1650" t="s">
        <v>729</v>
      </c>
      <c r="D1650" t="str">
        <f>[1]!EM_S_INFO_INDEX_EM(B1650,"1")</f>
        <v>商贸零售</v>
      </c>
      <c r="E1650" s="4">
        <f t="shared" si="25"/>
        <v>43465</v>
      </c>
      <c r="F1650" s="11">
        <f>[1]!EM_S_PQ_PCTCHANGE(B1650,"2018-01-01","2019-12-31","3")</f>
        <v>113.68254245999999</v>
      </c>
      <c r="G1650" s="11">
        <f>[1]!EM_S_PQ_PCTCHANGE(B1650,"2018-12-31","2019-12-30","1")</f>
        <v>11.54054054</v>
      </c>
      <c r="H1650" s="11">
        <f>[1]!EM_S_FA_YOY_OR(B1650,E1650)</f>
        <v>18.118459378600001</v>
      </c>
      <c r="I1650" s="11">
        <f>[1]!EM_S_FA_GROSSPROFITMARGIN(B1650,E1650)</f>
        <v>28.770423762299998</v>
      </c>
      <c r="J1650" s="11">
        <f>[1]!EM_S_FA_NETPROFITMARGIN(B1650,E1650)</f>
        <v>6.1227678674000003</v>
      </c>
      <c r="K1650" s="10">
        <f>[1]!EM_S_FA_ASSETSTURN(B1650,E1650)</f>
        <v>1.979490705818</v>
      </c>
      <c r="L1650" s="12">
        <f>[1]!EM_HKS_VAL_MV(B1650,"2019-12-31","2")</f>
        <v>4296683900</v>
      </c>
      <c r="M1650">
        <f>[1]!EM_S_VAL_PETTMDEDUCTED(B1650,E1650)</f>
        <v>39.128492515968098</v>
      </c>
      <c r="N1650" s="7">
        <f>[1]!EM_S_VAL_PBGOODWILLDEDUCTED(B1650,E1650)</f>
        <v>4.21054126391771</v>
      </c>
      <c r="O1650" s="7">
        <f>[1]!EM_S_VAL_PS_TTM(B1650,E1650)</f>
        <v>1.8167835063478699</v>
      </c>
      <c r="P1650" s="7">
        <f>[1]!EM_S_VAL_PCF_NCFTTM(B1650,E1650)</f>
        <v>288.89782485431198</v>
      </c>
      <c r="Q1650" s="7">
        <f>[1]!EM_S_VAL_DIVIDENDYIELD2(B1650,E1650,"2019-11-29")</f>
        <v>0.83985033866964909</v>
      </c>
      <c r="T1650"/>
      <c r="U1650">
        <f>[1]!EM_S_RATIO_EPS_TTM(B1650,E1650,"1")</f>
        <v>1.1999311072000001</v>
      </c>
      <c r="AT1650" s="4" t="str">
        <f>[1]!EM_S_IPO_LISTEDDATE(B1650)</f>
        <v>2018-03-30</v>
      </c>
    </row>
    <row r="1651" spans="1:46">
      <c r="A1651">
        <v>474</v>
      </c>
      <c r="B1651" t="str">
        <f>"000960"</f>
        <v>000960</v>
      </c>
      <c r="C1651" t="s">
        <v>1687</v>
      </c>
      <c r="D1651" t="str">
        <f>[1]!EM_S_INFO_INDEX_EM(B1651,"1")</f>
        <v>有色金属</v>
      </c>
      <c r="E1651" s="4">
        <f t="shared" si="25"/>
        <v>43465</v>
      </c>
      <c r="F1651" s="11">
        <f>[1]!EM_S_PQ_PCTCHANGE(B1651,"2018-01-01","2019-12-31","3")</f>
        <v>-20.90909091</v>
      </c>
      <c r="G1651" s="11">
        <f>[1]!EM_S_PQ_PCTCHANGE(B1651,"2018-12-31","2019-12-30","1")</f>
        <v>11.53039832</v>
      </c>
      <c r="H1651" s="11">
        <f>[1]!EM_S_FA_YOY_OR(B1651,E1651)</f>
        <v>15.085764190900001</v>
      </c>
      <c r="I1651" s="11">
        <f>[1]!EM_S_FA_GROSSPROFITMARGIN(B1651,E1651)</f>
        <v>8.8436921067000007</v>
      </c>
      <c r="J1651" s="11">
        <f>[1]!EM_S_FA_NETPROFITMARGIN(B1651,E1651)</f>
        <v>2.8358798165999999</v>
      </c>
      <c r="K1651" s="10">
        <f>[1]!EM_S_FA_ASSETSTURN(B1651,E1651)</f>
        <v>1.222159902025</v>
      </c>
      <c r="L1651" s="12">
        <f>[1]!EM_HKS_VAL_MV(B1651,"2019-12-31","2")</f>
        <v>17422025396.759998</v>
      </c>
      <c r="M1651">
        <f>[1]!EM_S_VAL_PETTMDEDUCTED(B1651,E1651)</f>
        <v>14.8526953177967</v>
      </c>
      <c r="N1651" s="7">
        <f>[1]!EM_S_VAL_PBGOODWILLDEDUCTED(B1651,E1651)</f>
        <v>1.33197706124469</v>
      </c>
      <c r="O1651" s="7">
        <f>[1]!EM_S_VAL_PS_TTM(B1651,E1651)</f>
        <v>0.41727909885237402</v>
      </c>
      <c r="P1651" s="7">
        <f>[1]!EM_S_VAL_PCF_NCFTTM(B1651,E1651)</f>
        <v>13.2492618778105</v>
      </c>
      <c r="Q1651" s="7">
        <f>[1]!EM_S_VAL_DIVIDENDYIELD2(B1651,E1651,"2019-11-29")</f>
        <v>0</v>
      </c>
      <c r="T1651"/>
      <c r="U1651">
        <f>[1]!EM_S_RATIO_EPS_TTM(B1651,E1651,"1")</f>
        <v>0.52805860843264008</v>
      </c>
      <c r="AT1651" s="4" t="str">
        <f>[1]!EM_S_IPO_LISTEDDATE(B1651)</f>
        <v>2000-02-21</v>
      </c>
    </row>
    <row r="1652" spans="1:46">
      <c r="A1652">
        <v>2924</v>
      </c>
      <c r="B1652" t="str">
        <f>"600851"</f>
        <v>600851</v>
      </c>
      <c r="C1652" t="s">
        <v>2687</v>
      </c>
      <c r="D1652" t="str">
        <f>[1]!EM_S_INFO_INDEX_EM(B1652,"1")</f>
        <v>医药生物</v>
      </c>
      <c r="E1652" s="4">
        <f t="shared" si="25"/>
        <v>43465</v>
      </c>
      <c r="F1652" s="11">
        <f>[1]!EM_S_PQ_PCTCHANGE(B1652,"2018-01-01","2019-12-31","3")</f>
        <v>-24.565466950000001</v>
      </c>
      <c r="G1652" s="11">
        <f>[1]!EM_S_PQ_PCTCHANGE(B1652,"2018-12-31","2019-12-30","1")</f>
        <v>11.52737752</v>
      </c>
      <c r="H1652" s="11">
        <f>[1]!EM_S_FA_YOY_OR(B1652,E1652)</f>
        <v>9.8196078133999993</v>
      </c>
      <c r="I1652" s="11">
        <f>[1]!EM_S_FA_GROSSPROFITMARGIN(B1652,E1652)</f>
        <v>40.477081735600002</v>
      </c>
      <c r="J1652" s="11">
        <f>[1]!EM_S_FA_NETPROFITMARGIN(B1652,E1652)</f>
        <v>14.200116965799999</v>
      </c>
      <c r="K1652" s="10">
        <f>[1]!EM_S_FA_ASSETSTURN(B1652,E1652)</f>
        <v>0.23372138841500001</v>
      </c>
      <c r="L1652" s="12">
        <f>[1]!EM_HKS_VAL_MV(B1652,"2019-12-31","2")</f>
        <v>9704735803.6800003</v>
      </c>
      <c r="M1652">
        <f>[1]!EM_S_VAL_PETTMDEDUCTED(B1652,E1652)</f>
        <v>81.276347353513401</v>
      </c>
      <c r="N1652" s="7">
        <f>[1]!EM_S_VAL_PBGOODWILLDEDUCTED(B1652,E1652)</f>
        <v>2.44891737266776</v>
      </c>
      <c r="O1652" s="7">
        <f>[1]!EM_S_VAL_PS_TTM(B1652,E1652)</f>
        <v>7.8599796755218696</v>
      </c>
      <c r="P1652" s="7">
        <f>[1]!EM_S_VAL_PCF_NCFTTM(B1652,E1652)</f>
        <v>-52.268406210896003</v>
      </c>
      <c r="Q1652" s="7">
        <f>[1]!EM_S_VAL_DIVIDENDYIELD2(B1652,E1652,"2019-11-29")</f>
        <v>0.45336787564766834</v>
      </c>
      <c r="T1652"/>
      <c r="U1652">
        <f>[1]!EM_S_RATIO_EPS_TTM(B1652,E1652,"1")</f>
        <v>0.11204971276527249</v>
      </c>
      <c r="AT1652" s="4" t="str">
        <f>[1]!EM_S_IPO_LISTEDDATE(B1652)</f>
        <v>1994-04-04</v>
      </c>
    </row>
    <row r="1653" spans="1:46">
      <c r="A1653">
        <v>2408</v>
      </c>
      <c r="B1653" t="str">
        <f>"600279"</f>
        <v>600279</v>
      </c>
      <c r="C1653" t="s">
        <v>2636</v>
      </c>
      <c r="D1653" t="str">
        <f>[1]!EM_S_INFO_INDEX_EM(B1653,"1")</f>
        <v>交通运输</v>
      </c>
      <c r="E1653" s="4">
        <f t="shared" si="25"/>
        <v>43465</v>
      </c>
      <c r="F1653" s="11">
        <f>[1]!EM_S_PQ_PCTCHANGE(B1653,"2018-01-01","2019-12-31","3")</f>
        <v>-17.268665250000002</v>
      </c>
      <c r="G1653" s="11">
        <f>[1]!EM_S_PQ_PCTCHANGE(B1653,"2018-12-31","2019-12-30","1")</f>
        <v>11.50895141</v>
      </c>
      <c r="H1653" s="11">
        <f>[1]!EM_S_FA_YOY_OR(B1653,E1653)</f>
        <v>0.72861755189999999</v>
      </c>
      <c r="I1653" s="11">
        <f>[1]!EM_S_FA_GROSSPROFITMARGIN(B1653,E1653)</f>
        <v>7.2731901795000002</v>
      </c>
      <c r="J1653" s="11">
        <f>[1]!EM_S_FA_NETPROFITMARGIN(B1653,E1653)</f>
        <v>2.7872448476999998</v>
      </c>
      <c r="K1653" s="10">
        <f>[1]!EM_S_FA_ASSETSTURN(B1653,E1653)</f>
        <v>0.76523886247299999</v>
      </c>
      <c r="L1653" s="12">
        <f>[1]!EM_HKS_VAL_MV(B1653,"2019-12-31","2")</f>
        <v>5459584901.8000002</v>
      </c>
      <c r="M1653">
        <f>[1]!EM_S_VAL_PETTMDEDUCTED(B1653,E1653)</f>
        <v>31.7039386502985</v>
      </c>
      <c r="N1653" s="7">
        <f>[1]!EM_S_VAL_PBGOODWILLDEDUCTED(B1653,E1653)</f>
        <v>0.74910452240983105</v>
      </c>
      <c r="O1653" s="7">
        <f>[1]!EM_S_VAL_PS_TTM(B1653,E1653)</f>
        <v>0.40699078568632802</v>
      </c>
      <c r="P1653" s="7">
        <f>[1]!EM_S_VAL_PCF_NCFTTM(B1653,E1653)</f>
        <v>18.0754212959203</v>
      </c>
      <c r="Q1653" s="7">
        <f>[1]!EM_S_VAL_DIVIDENDYIELD2(B1653,E1653,"2019-11-29")</f>
        <v>1.4742014742014742</v>
      </c>
      <c r="T1653"/>
      <c r="U1653">
        <f>[1]!EM_S_RATIO_EPS_TTM(B1653,E1653,"1")</f>
        <v>0.19608266991753151</v>
      </c>
      <c r="AT1653" s="4" t="str">
        <f>[1]!EM_S_IPO_LISTEDDATE(B1653)</f>
        <v>2000-07-31</v>
      </c>
    </row>
    <row r="1654" spans="1:46">
      <c r="A1654">
        <v>1969</v>
      </c>
      <c r="B1654" t="str">
        <f>"300546"</f>
        <v>300546</v>
      </c>
      <c r="C1654" t="s">
        <v>3316</v>
      </c>
      <c r="D1654" t="str">
        <f>[1]!EM_S_INFO_INDEX_EM(B1654,"1")</f>
        <v>电子设备</v>
      </c>
      <c r="E1654" s="4">
        <f t="shared" si="25"/>
        <v>43465</v>
      </c>
      <c r="F1654" s="11">
        <f>[1]!EM_S_PQ_PCTCHANGE(B1654,"2018-01-01","2019-12-31","3")</f>
        <v>38.439784600000003</v>
      </c>
      <c r="G1654" s="11">
        <f>[1]!EM_S_PQ_PCTCHANGE(B1654,"2018-12-31","2019-12-30","1")</f>
        <v>11.50579151</v>
      </c>
      <c r="H1654" s="11">
        <f>[1]!EM_S_FA_YOY_OR(B1654,E1654)</f>
        <v>57.9709035001</v>
      </c>
      <c r="I1654" s="11">
        <f>[1]!EM_S_FA_GROSSPROFITMARGIN(B1654,E1654)</f>
        <v>47.522433552899997</v>
      </c>
      <c r="J1654" s="11">
        <f>[1]!EM_S_FA_NETPROFITMARGIN(B1654,E1654)</f>
        <v>17.959917882900001</v>
      </c>
      <c r="K1654" s="10">
        <f>[1]!EM_S_FA_ASSETSTURN(B1654,E1654)</f>
        <v>0.59028866011900005</v>
      </c>
      <c r="L1654" s="12">
        <f>[1]!EM_HKS_VAL_MV(B1654,"2019-12-31","2")</f>
        <v>3950305765</v>
      </c>
      <c r="M1654">
        <f>[1]!EM_S_VAL_PETTMDEDUCTED(B1654,E1654)</f>
        <v>40.454248358078701</v>
      </c>
      <c r="N1654" s="7">
        <f>[1]!EM_S_VAL_PBGOODWILLDEDUCTED(B1654,E1654)</f>
        <v>4.75341429981217</v>
      </c>
      <c r="O1654" s="7">
        <f>[1]!EM_S_VAL_PS_TTM(B1654,E1654)</f>
        <v>6.8485615969542497</v>
      </c>
      <c r="P1654" s="7">
        <f>[1]!EM_S_VAL_PCF_NCFTTM(B1654,E1654)</f>
        <v>12.778859687707801</v>
      </c>
      <c r="Q1654" s="7">
        <f>[1]!EM_S_VAL_DIVIDENDYIELD2(B1654,E1654,"2019-11-29")</f>
        <v>0.56535010098082017</v>
      </c>
      <c r="T1654"/>
      <c r="U1654">
        <f>[1]!EM_S_RATIO_EPS_TTM(B1654,E1654,"1")</f>
        <v>0.79802053975054854</v>
      </c>
      <c r="AT1654" s="4" t="str">
        <f>[1]!EM_S_IPO_LISTEDDATE(B1654)</f>
        <v>2016-09-28</v>
      </c>
    </row>
    <row r="1655" spans="1:46">
      <c r="A1655">
        <v>495</v>
      </c>
      <c r="B1655" t="str">
        <f>"000983"</f>
        <v>000983</v>
      </c>
      <c r="C1655" t="s">
        <v>893</v>
      </c>
      <c r="D1655" t="str">
        <f>[1]!EM_S_INFO_INDEX_EM(B1655,"1")</f>
        <v>化石能源</v>
      </c>
      <c r="E1655" s="4">
        <f t="shared" si="25"/>
        <v>43465</v>
      </c>
      <c r="F1655" s="11">
        <f>[1]!EM_S_PQ_PCTCHANGE(B1655,"2018-01-01","2019-12-31","3")</f>
        <v>-36.22102503</v>
      </c>
      <c r="G1655" s="11">
        <f>[1]!EM_S_PQ_PCTCHANGE(B1655,"2018-12-31","2019-12-30","1")</f>
        <v>11.475409839999999</v>
      </c>
      <c r="H1655" s="11">
        <f>[1]!EM_S_FA_YOY_OR(B1655,E1655)</f>
        <v>12.618032596600001</v>
      </c>
      <c r="I1655" s="11">
        <f>[1]!EM_S_FA_GROSSPROFITMARGIN(B1655,E1655)</f>
        <v>31.779589013700001</v>
      </c>
      <c r="J1655" s="11">
        <f>[1]!EM_S_FA_NETPROFITMARGIN(B1655,E1655)</f>
        <v>6.6594736366999996</v>
      </c>
      <c r="K1655" s="10">
        <f>[1]!EM_S_FA_ASSETSTURN(B1655,E1655)</f>
        <v>0.52510431522900003</v>
      </c>
      <c r="L1655" s="12">
        <f>[1]!EM_HKS_VAL_MV(B1655,"2019-12-31","2")</f>
        <v>19316856000</v>
      </c>
      <c r="M1655">
        <f>[1]!EM_S_VAL_PETTMDEDUCTED(B1655,E1655)</f>
        <v>9.5897916925325006</v>
      </c>
      <c r="N1655" s="7">
        <f>[1]!EM_S_VAL_PBGOODWILLDEDUCTED(B1655,E1655)</f>
        <v>0.92660865027012596</v>
      </c>
      <c r="O1655" s="7">
        <f>[1]!EM_S_VAL_PS_TTM(B1655,E1655)</f>
        <v>0.55816825787820001</v>
      </c>
      <c r="P1655" s="7">
        <f>[1]!EM_S_VAL_PCF_NCFTTM(B1655,E1655)</f>
        <v>4.0928128270322599</v>
      </c>
      <c r="Q1655" s="7">
        <f>[1]!EM_S_VAL_DIVIDENDYIELD2(B1655,E1655,"2019-11-29")</f>
        <v>5.1903114186851207</v>
      </c>
      <c r="T1655"/>
      <c r="U1655">
        <f>[1]!EM_S_RATIO_EPS_TTM(B1655,E1655,"1")</f>
        <v>0.57197900735275453</v>
      </c>
      <c r="AT1655" s="4" t="str">
        <f>[1]!EM_S_IPO_LISTEDDATE(B1655)</f>
        <v>2000-07-26</v>
      </c>
    </row>
    <row r="1656" spans="1:46">
      <c r="A1656">
        <v>1065</v>
      </c>
      <c r="B1656" t="str">
        <f>"002554"</f>
        <v>002554</v>
      </c>
      <c r="C1656" t="s">
        <v>1632</v>
      </c>
      <c r="D1656" t="str">
        <f>[1]!EM_S_INFO_INDEX_EM(B1656,"1")</f>
        <v>化石能源</v>
      </c>
      <c r="E1656" s="4">
        <f t="shared" si="25"/>
        <v>43465</v>
      </c>
      <c r="F1656" s="11">
        <f>[1]!EM_S_PQ_PCTCHANGE(B1656,"2018-01-01","2019-12-31","3")</f>
        <v>-35.384107159999999</v>
      </c>
      <c r="G1656" s="11">
        <f>[1]!EM_S_PQ_PCTCHANGE(B1656,"2018-12-31","2019-12-30","1")</f>
        <v>11.43911439</v>
      </c>
      <c r="H1656" s="11">
        <f>[1]!EM_S_FA_YOY_OR(B1656,E1656)</f>
        <v>11.8859244353</v>
      </c>
      <c r="I1656" s="11">
        <f>[1]!EM_S_FA_GROSSPROFITMARGIN(B1656,E1656)</f>
        <v>17.497258691199999</v>
      </c>
      <c r="J1656" s="11">
        <f>[1]!EM_S_FA_NETPROFITMARGIN(B1656,E1656)</f>
        <v>-29.9527715384</v>
      </c>
      <c r="K1656" s="10">
        <f>[1]!EM_S_FA_ASSETSTURN(B1656,E1656)</f>
        <v>0.38662967800199999</v>
      </c>
      <c r="L1656" s="12">
        <f>[1]!EM_HKS_VAL_MV(B1656,"2019-12-31","2")</f>
        <v>3255262400</v>
      </c>
      <c r="M1656">
        <f>[1]!EM_S_VAL_PETTMDEDUCTED(B1656,E1656)</f>
        <v>53.318459084199901</v>
      </c>
      <c r="N1656" s="7">
        <f>[1]!EM_S_VAL_PBGOODWILLDEDUCTED(B1656,E1656)</f>
        <v>1.7637713527681</v>
      </c>
      <c r="O1656" s="7">
        <f>[1]!EM_S_VAL_PS_TTM(B1656,E1656)</f>
        <v>1.85328678594322</v>
      </c>
      <c r="P1656" s="7">
        <f>[1]!EM_S_VAL_PCF_NCFTTM(B1656,E1656)</f>
        <v>-9.2737065694566301</v>
      </c>
      <c r="Q1656" s="7">
        <f>[1]!EM_S_VAL_DIVIDENDYIELD2(B1656,E1656,"2019-11-29")</f>
        <v>0</v>
      </c>
      <c r="T1656"/>
      <c r="U1656">
        <f>[1]!EM_S_RATIO_EPS_TTM(B1656,E1656,"1")</f>
        <v>-0.46167821936664766</v>
      </c>
      <c r="AT1656" s="4" t="str">
        <f>[1]!EM_S_IPO_LISTEDDATE(B1656)</f>
        <v>2011-02-25</v>
      </c>
    </row>
    <row r="1657" spans="1:46">
      <c r="A1657">
        <v>2091</v>
      </c>
      <c r="B1657" t="str">
        <f>"300672"</f>
        <v>300672</v>
      </c>
      <c r="C1657" t="s">
        <v>3600</v>
      </c>
      <c r="D1657" t="str">
        <f>[1]!EM_S_INFO_INDEX_EM(B1657,"1")</f>
        <v>电子设备</v>
      </c>
      <c r="E1657" s="4">
        <f t="shared" si="25"/>
        <v>43465</v>
      </c>
      <c r="F1657" s="11">
        <f>[1]!EM_S_PQ_PCTCHANGE(B1657,"2018-01-01","2019-12-31","3")</f>
        <v>0.37694287999999998</v>
      </c>
      <c r="G1657" s="11">
        <f>[1]!EM_S_PQ_PCTCHANGE(B1657,"2018-12-31","2019-12-30","1")</f>
        <v>11.429358300000001</v>
      </c>
      <c r="H1657" s="11">
        <f>[1]!EM_S_FA_YOY_OR(B1657,E1657)</f>
        <v>-2.8279227227999999</v>
      </c>
      <c r="I1657" s="11">
        <f>[1]!EM_S_FA_GROSSPROFITMARGIN(B1657,E1657)</f>
        <v>41.6602825111</v>
      </c>
      <c r="J1657" s="11">
        <f>[1]!EM_S_FA_NETPROFITMARGIN(B1657,E1657)</f>
        <v>11.2147955079</v>
      </c>
      <c r="K1657" s="10">
        <f>[1]!EM_S_FA_ASSETSTURN(B1657,E1657)</f>
        <v>0.29491293962999998</v>
      </c>
      <c r="L1657" s="12">
        <f>[1]!EM_HKS_VAL_MV(B1657,"2019-12-31","2")</f>
        <v>7318574824.9200001</v>
      </c>
      <c r="M1657">
        <f>[1]!EM_S_VAL_PETTMDEDUCTED(B1657,E1657)</f>
        <v>3202.4291761064701</v>
      </c>
      <c r="N1657" s="7">
        <f>[1]!EM_S_VAL_PBGOODWILLDEDUCTED(B1657,E1657)</f>
        <v>5.5918933255984697</v>
      </c>
      <c r="O1657" s="7">
        <f>[1]!EM_S_VAL_PS_TTM(B1657,E1657)</f>
        <v>9.9900671784464503</v>
      </c>
      <c r="P1657" s="7">
        <f>[1]!EM_S_VAL_PCF_NCFTTM(B1657,E1657)</f>
        <v>1145.2455587766799</v>
      </c>
      <c r="Q1657" s="7">
        <f>[1]!EM_S_VAL_DIVIDENDYIELD2(B1657,E1657,"2019-11-29")</f>
        <v>0.16970039900044118</v>
      </c>
      <c r="T1657"/>
      <c r="U1657">
        <f>[1]!EM_S_RATIO_EPS_TTM(B1657,E1657,"1")</f>
        <v>0.502583145596603</v>
      </c>
      <c r="AT1657" s="4" t="str">
        <f>[1]!EM_S_IPO_LISTEDDATE(B1657)</f>
        <v>2017-07-12</v>
      </c>
    </row>
    <row r="1658" spans="1:46">
      <c r="A1658">
        <v>1745</v>
      </c>
      <c r="B1658" t="str">
        <f>"300320"</f>
        <v>300320</v>
      </c>
      <c r="C1658" t="s">
        <v>400</v>
      </c>
      <c r="D1658" t="str">
        <f>[1]!EM_S_INFO_INDEX_EM(B1658,"1")</f>
        <v>基础化工</v>
      </c>
      <c r="E1658" s="4">
        <f t="shared" si="25"/>
        <v>43465</v>
      </c>
      <c r="F1658" s="11">
        <f>[1]!EM_S_PQ_PCTCHANGE(B1658,"2018-01-01","2019-12-31","3")</f>
        <v>-61.899078539999998</v>
      </c>
      <c r="G1658" s="11">
        <f>[1]!EM_S_PQ_PCTCHANGE(B1658,"2018-12-31","2019-12-30","1")</f>
        <v>11.38952164</v>
      </c>
      <c r="H1658" s="11">
        <f>[1]!EM_S_FA_YOY_OR(B1658,E1658)</f>
        <v>64.910320866500001</v>
      </c>
      <c r="I1658" s="11">
        <f>[1]!EM_S_FA_GROSSPROFITMARGIN(B1658,E1658)</f>
        <v>24.181476744499999</v>
      </c>
      <c r="J1658" s="11">
        <f>[1]!EM_S_FA_NETPROFITMARGIN(B1658,E1658)</f>
        <v>8.2611085380000002</v>
      </c>
      <c r="K1658" s="10">
        <f>[1]!EM_S_FA_ASSETSTURN(B1658,E1658)</f>
        <v>0.99296398932800001</v>
      </c>
      <c r="L1658" s="12">
        <f>[1]!EM_HKS_VAL_MV(B1658,"2019-12-31","2")</f>
        <v>2921998168.2600002</v>
      </c>
      <c r="M1658">
        <f>[1]!EM_S_VAL_PETTMDEDUCTED(B1658,E1658)</f>
        <v>16.7038460493564</v>
      </c>
      <c r="N1658" s="7">
        <f>[1]!EM_S_VAL_PBGOODWILLDEDUCTED(B1658,E1658)</f>
        <v>2.0228912777460901</v>
      </c>
      <c r="O1658" s="7">
        <f>[1]!EM_S_VAL_PS_TTM(B1658,E1658)</f>
        <v>1.3357014299613399</v>
      </c>
      <c r="P1658" s="7">
        <f>[1]!EM_S_VAL_PCF_NCFTTM(B1658,E1658)</f>
        <v>42.174739325027097</v>
      </c>
      <c r="Q1658" s="7">
        <f>[1]!EM_S_VAL_DIVIDENDYIELD2(B1658,E1658,"2019-11-29")</f>
        <v>1.2669683257918554</v>
      </c>
      <c r="T1658"/>
      <c r="U1658">
        <f>[1]!EM_S_RATIO_EPS_TTM(B1658,E1658,"1")</f>
        <v>0.27773655251086676</v>
      </c>
      <c r="AT1658" s="4" t="str">
        <f>[1]!EM_S_IPO_LISTEDDATE(B1658)</f>
        <v>2012-06-01</v>
      </c>
    </row>
    <row r="1659" spans="1:46">
      <c r="A1659">
        <v>3257</v>
      </c>
      <c r="B1659" t="str">
        <f>"603083"</f>
        <v>603083</v>
      </c>
      <c r="C1659" t="s">
        <v>3595</v>
      </c>
      <c r="D1659" t="str">
        <f>[1]!EM_S_INFO_INDEX_EM(B1659,"1")</f>
        <v>信息技术</v>
      </c>
      <c r="E1659" s="4">
        <f t="shared" si="25"/>
        <v>43465</v>
      </c>
      <c r="F1659" s="11">
        <f>[1]!EM_S_PQ_PCTCHANGE(B1659,"2018-01-01","2019-12-31","3")</f>
        <v>3.09095472</v>
      </c>
      <c r="G1659" s="11">
        <f>[1]!EM_S_PQ_PCTCHANGE(B1659,"2018-12-31","2019-12-30","1")</f>
        <v>11.382113820000001</v>
      </c>
      <c r="H1659" s="11">
        <f>[1]!EM_S_FA_YOY_OR(B1659,E1659)</f>
        <v>26.936380374900001</v>
      </c>
      <c r="I1659" s="11">
        <f>[1]!EM_S_FA_GROSSPROFITMARGIN(B1659,E1659)</f>
        <v>11.6307453937</v>
      </c>
      <c r="J1659" s="11">
        <f>[1]!EM_S_FA_NETPROFITMARGIN(B1659,E1659)</f>
        <v>2.4324977256000002</v>
      </c>
      <c r="K1659" s="10">
        <f>[1]!EM_S_FA_ASSETSTURN(B1659,E1659)</f>
        <v>1.238898399665</v>
      </c>
      <c r="L1659" s="12">
        <f>[1]!EM_HKS_VAL_MV(B1659,"2019-12-31","2")</f>
        <v>4830989279.3999996</v>
      </c>
      <c r="M1659">
        <f>[1]!EM_S_VAL_PETTMDEDUCTED(B1659,E1659)</f>
        <v>110.372086840083</v>
      </c>
      <c r="N1659" s="7">
        <f>[1]!EM_S_VAL_PBGOODWILLDEDUCTED(B1659,E1659)</f>
        <v>2.80977111385761</v>
      </c>
      <c r="O1659" s="7">
        <f>[1]!EM_S_VAL_PS_TTM(B1659,E1659)</f>
        <v>1.08653564573962</v>
      </c>
      <c r="P1659" s="7">
        <f>[1]!EM_S_VAL_PCF_NCFTTM(B1659,E1659)</f>
        <v>117.879721219866</v>
      </c>
      <c r="Q1659" s="7">
        <f>[1]!EM_S_VAL_DIVIDENDYIELD2(B1659,E1659,"2019-11-29")</f>
        <v>0.56514913522740506</v>
      </c>
      <c r="T1659"/>
      <c r="U1659">
        <f>[1]!EM_S_RATIO_EPS_TTM(B1659,E1659,"1")</f>
        <v>0.59619119299420531</v>
      </c>
      <c r="AT1659" s="4" t="str">
        <f>[1]!EM_S_IPO_LISTEDDATE(B1659)</f>
        <v>2017-11-10</v>
      </c>
    </row>
    <row r="1660" spans="1:46">
      <c r="A1660">
        <v>1435</v>
      </c>
      <c r="B1660" t="str">
        <f>"300009"</f>
        <v>300009</v>
      </c>
      <c r="C1660" t="s">
        <v>620</v>
      </c>
      <c r="D1660" t="str">
        <f>[1]!EM_S_INFO_INDEX_EM(B1660,"1")</f>
        <v>医药生物</v>
      </c>
      <c r="E1660" s="4">
        <f t="shared" si="25"/>
        <v>43465</v>
      </c>
      <c r="F1660" s="11">
        <f>[1]!EM_S_PQ_PCTCHANGE(B1660,"2018-01-01","2019-12-31","3")</f>
        <v>-17.233162050000001</v>
      </c>
      <c r="G1660" s="11">
        <f>[1]!EM_S_PQ_PCTCHANGE(B1660,"2018-12-31","2019-12-30","1")</f>
        <v>11.37724551</v>
      </c>
      <c r="H1660" s="11">
        <f>[1]!EM_S_FA_YOY_OR(B1660,E1660)</f>
        <v>33.320482155900002</v>
      </c>
      <c r="I1660" s="11">
        <f>[1]!EM_S_FA_GROSSPROFITMARGIN(B1660,E1660)</f>
        <v>80.078175723599998</v>
      </c>
      <c r="J1660" s="11">
        <f>[1]!EM_S_FA_NETPROFITMARGIN(B1660,E1660)</f>
        <v>18.114459580399998</v>
      </c>
      <c r="K1660" s="10">
        <f>[1]!EM_S_FA_ASSETSTURN(B1660,E1660)</f>
        <v>0.61138540757600002</v>
      </c>
      <c r="L1660" s="12">
        <f>[1]!EM_HKS_VAL_MV(B1660,"2019-12-31","2")</f>
        <v>15849326053.620001</v>
      </c>
      <c r="M1660">
        <f>[1]!EM_S_VAL_PETTMDEDUCTED(B1660,E1660)</f>
        <v>44.566928658965502</v>
      </c>
      <c r="N1660" s="7">
        <f>[1]!EM_S_VAL_PBGOODWILLDEDUCTED(B1660,E1660)</f>
        <v>9.8180982473152802</v>
      </c>
      <c r="O1660" s="7">
        <f>[1]!EM_S_VAL_PS_TTM(B1660,E1660)</f>
        <v>9.6392067925361999</v>
      </c>
      <c r="P1660" s="7">
        <f>[1]!EM_S_VAL_PCF_NCFTTM(B1660,E1660)</f>
        <v>-1345.8981091401499</v>
      </c>
      <c r="Q1660" s="7">
        <f>[1]!EM_S_VAL_DIVIDENDYIELD2(B1660,E1660,"2019-11-29")</f>
        <v>1.0033444816053509</v>
      </c>
      <c r="T1660"/>
      <c r="U1660">
        <f>[1]!EM_S_RATIO_EPS_TTM(B1660,E1660,"1")</f>
        <v>0.26386652105210978</v>
      </c>
      <c r="AT1660" s="4" t="str">
        <f>[1]!EM_S_IPO_LISTEDDATE(B1660)</f>
        <v>2009-10-30</v>
      </c>
    </row>
    <row r="1661" spans="1:46">
      <c r="A1661">
        <v>1127</v>
      </c>
      <c r="B1661" t="str">
        <f>"002616"</f>
        <v>002616</v>
      </c>
      <c r="C1661" t="s">
        <v>2269</v>
      </c>
      <c r="D1661" t="str">
        <f>[1]!EM_S_INFO_INDEX_EM(B1661,"1")</f>
        <v>家电</v>
      </c>
      <c r="E1661" s="4">
        <f t="shared" si="25"/>
        <v>43465</v>
      </c>
      <c r="F1661" s="11">
        <f>[1]!EM_S_PQ_PCTCHANGE(B1661,"2018-01-01","2019-12-31","3")</f>
        <v>-7.2562357200000003</v>
      </c>
      <c r="G1661" s="11">
        <f>[1]!EM_S_PQ_PCTCHANGE(B1661,"2018-12-31","2019-12-30","1")</f>
        <v>11.36986301</v>
      </c>
      <c r="H1661" s="11">
        <f>[1]!EM_S_FA_YOY_OR(B1661,E1661)</f>
        <v>6.0488081359999999</v>
      </c>
      <c r="I1661" s="11">
        <f>[1]!EM_S_FA_GROSSPROFITMARGIN(B1661,E1661)</f>
        <v>21.914302751400001</v>
      </c>
      <c r="J1661" s="11">
        <f>[1]!EM_S_FA_NETPROFITMARGIN(B1661,E1661)</f>
        <v>8.1980999881999992</v>
      </c>
      <c r="K1661" s="10">
        <f>[1]!EM_S_FA_ASSETSTURN(B1661,E1661)</f>
        <v>0.43964841472299998</v>
      </c>
      <c r="L1661" s="12">
        <f>[1]!EM_HKS_VAL_MV(B1661,"2019-12-31","2")</f>
        <v>6068604117.9200001</v>
      </c>
      <c r="M1661">
        <f>[1]!EM_S_VAL_PETTMDEDUCTED(B1661,E1661)</f>
        <v>48.669130276737</v>
      </c>
      <c r="N1661" s="7">
        <f>[1]!EM_S_VAL_PBGOODWILLDEDUCTED(B1661,E1661)</f>
        <v>2.5606572402321799</v>
      </c>
      <c r="O1661" s="7">
        <f>[1]!EM_S_VAL_PS_TTM(B1661,E1661)</f>
        <v>2.7398978842936499</v>
      </c>
      <c r="P1661" s="7">
        <f>[1]!EM_S_VAL_PCF_NCFTTM(B1661,E1661)</f>
        <v>11.6764272648601</v>
      </c>
      <c r="Q1661" s="7">
        <f>[1]!EM_S_VAL_DIVIDENDYIELD2(B1661,E1661,"2019-11-29")</f>
        <v>0</v>
      </c>
      <c r="T1661"/>
      <c r="U1661">
        <f>[1]!EM_S_RATIO_EPS_TTM(B1661,E1661,"1")</f>
        <v>0.22485042541955905</v>
      </c>
      <c r="AT1661" s="4" t="str">
        <f>[1]!EM_S_IPO_LISTEDDATE(B1661)</f>
        <v>2011-09-20</v>
      </c>
    </row>
    <row r="1662" spans="1:46">
      <c r="A1662">
        <v>3111</v>
      </c>
      <c r="B1662" t="str">
        <f>"601398"</f>
        <v>601398</v>
      </c>
      <c r="C1662" t="s">
        <v>524</v>
      </c>
      <c r="D1662" t="str">
        <f>[1]!EM_S_INFO_INDEX_EM(B1662,"1")</f>
        <v>金融</v>
      </c>
      <c r="E1662" s="4">
        <f t="shared" si="25"/>
        <v>43465</v>
      </c>
      <c r="F1662" s="11">
        <f>[1]!EM_S_PQ_PCTCHANGE(B1662,"2018-01-01","2019-12-31","3")</f>
        <v>3.3972855700000002</v>
      </c>
      <c r="G1662" s="11">
        <f>[1]!EM_S_PQ_PCTCHANGE(B1662,"2018-12-31","2019-12-30","1")</f>
        <v>11.342155010000001</v>
      </c>
      <c r="H1662" s="11">
        <f>[1]!EM_S_FA_YOY_OR(B1662,E1662)</f>
        <v>6.5088602647</v>
      </c>
      <c r="I1662" s="11">
        <f>[1]!EM_S_FA_GROSSPROFITMARGIN(B1662,E1662)</f>
        <v>0</v>
      </c>
      <c r="J1662" s="11">
        <f>[1]!EM_S_FA_NETPROFITMARGIN(B1662,E1662)</f>
        <v>38.605227006299998</v>
      </c>
      <c r="K1662" s="10">
        <f>[1]!EM_S_FA_ASSETSTURN(B1662,E1662)</f>
        <v>0</v>
      </c>
      <c r="L1662" s="12">
        <f>[1]!EM_HKS_VAL_MV(B1662,"2019-12-31","2")</f>
        <v>2095668791683.3201</v>
      </c>
      <c r="M1662">
        <f>[1]!EM_S_VAL_PETTMDEDUCTED(B1662,E1662)</f>
        <v>6.3814367285074898</v>
      </c>
      <c r="N1662" s="7">
        <f>[1]!EM_S_VAL_PBGOODWILLDEDUCTED(B1662,E1662)</f>
        <v>0.84020994228962798</v>
      </c>
      <c r="O1662" s="7">
        <f>[1]!EM_S_VAL_PS_TTM(B1662,E1662)</f>
        <v>2.4556243683129799</v>
      </c>
      <c r="P1662" s="7">
        <f>[1]!EM_S_VAL_PCF_NCFTTM(B1662,E1662)</f>
        <v>6.61762944711485</v>
      </c>
      <c r="Q1662" s="7">
        <f>[1]!EM_S_VAL_DIVIDENDYIELD2(B1662,E1662,"2019-11-29")</f>
        <v>4.328151986183074</v>
      </c>
      <c r="T1662"/>
      <c r="U1662">
        <f>[1]!EM_S_RATIO_EPS_TTM(B1662,E1662,"1")</f>
        <v>0.83521541521552423</v>
      </c>
      <c r="AT1662" s="4" t="str">
        <f>[1]!EM_S_IPO_LISTEDDATE(B1662)</f>
        <v>2006-10-27</v>
      </c>
    </row>
    <row r="1663" spans="1:46">
      <c r="A1663">
        <v>3159</v>
      </c>
      <c r="B1663" t="str">
        <f>"601838"</f>
        <v>601838</v>
      </c>
      <c r="C1663" t="s">
        <v>533</v>
      </c>
      <c r="D1663" t="str">
        <f>[1]!EM_S_INFO_INDEX_EM(B1663,"1")</f>
        <v>金融</v>
      </c>
      <c r="E1663" s="4">
        <f t="shared" si="25"/>
        <v>43465</v>
      </c>
      <c r="F1663" s="11">
        <f>[1]!EM_S_PQ_PCTCHANGE(B1663,"2018-01-01","2019-12-31","3")</f>
        <v>38.63489508</v>
      </c>
      <c r="G1663" s="11">
        <f>[1]!EM_S_PQ_PCTCHANGE(B1663,"2018-12-31","2019-12-30","1")</f>
        <v>11.304347829999999</v>
      </c>
      <c r="H1663" s="11">
        <f>[1]!EM_S_FA_YOY_OR(B1663,E1663)</f>
        <v>20.053763585700001</v>
      </c>
      <c r="I1663" s="11">
        <f>[1]!EM_S_FA_GROSSPROFITMARGIN(B1663,E1663)</f>
        <v>0</v>
      </c>
      <c r="J1663" s="11">
        <f>[1]!EM_S_FA_NETPROFITMARGIN(B1663,E1663)</f>
        <v>40.150759283799999</v>
      </c>
      <c r="K1663" s="10">
        <f>[1]!EM_S_FA_ASSETSTURN(B1663,E1663)</f>
        <v>0</v>
      </c>
      <c r="L1663" s="12">
        <f>[1]!EM_HKS_VAL_MV(B1663,"2019-12-31","2")</f>
        <v>32763119599.380001</v>
      </c>
      <c r="M1663">
        <f>[1]!EM_S_VAL_PETTMDEDUCTED(B1663,E1663)</f>
        <v>6.5202376274315004</v>
      </c>
      <c r="N1663" s="7">
        <f>[1]!EM_S_VAL_PBGOODWILLDEDUCTED(B1663,E1663)</f>
        <v>0.93202376422797795</v>
      </c>
      <c r="O1663" s="7">
        <f>[1]!EM_S_VAL_PS_TTM(B1663,E1663)</f>
        <v>2.5229436266932099</v>
      </c>
      <c r="P1663" s="7">
        <f>[1]!EM_S_VAL_PCF_NCFTTM(B1663,E1663)</f>
        <v>-0.60186904168163202</v>
      </c>
      <c r="Q1663" s="7">
        <f>[1]!EM_S_VAL_DIVIDENDYIELD2(B1663,E1663,"2019-11-29")</f>
        <v>4.0983606557377046</v>
      </c>
      <c r="T1663"/>
      <c r="U1663">
        <f>[1]!EM_S_RATIO_EPS_TTM(B1663,E1663,"1")</f>
        <v>1.2870449949704412</v>
      </c>
      <c r="AT1663" s="4" t="str">
        <f>[1]!EM_S_IPO_LISTEDDATE(B1663)</f>
        <v>2018-01-31</v>
      </c>
    </row>
    <row r="1664" spans="1:46">
      <c r="A1664">
        <v>661</v>
      </c>
      <c r="B1664" t="str">
        <f>"002150"</f>
        <v>002150</v>
      </c>
      <c r="C1664" t="s">
        <v>2131</v>
      </c>
      <c r="D1664" t="str">
        <f>[1]!EM_S_INFO_INDEX_EM(B1664,"1")</f>
        <v>机械设备</v>
      </c>
      <c r="E1664" s="4">
        <f t="shared" si="25"/>
        <v>43465</v>
      </c>
      <c r="F1664" s="11">
        <f>[1]!EM_S_PQ_PCTCHANGE(B1664,"2018-01-01","2019-12-31","3")</f>
        <v>3.5338456100000002</v>
      </c>
      <c r="G1664" s="11">
        <f>[1]!EM_S_PQ_PCTCHANGE(B1664,"2018-12-31","2019-12-30","1")</f>
        <v>11.29032258</v>
      </c>
      <c r="H1664" s="11">
        <f>[1]!EM_S_FA_YOY_OR(B1664,E1664)</f>
        <v>10.552222674299999</v>
      </c>
      <c r="I1664" s="11">
        <f>[1]!EM_S_FA_GROSSPROFITMARGIN(B1664,E1664)</f>
        <v>24.9674986952</v>
      </c>
      <c r="J1664" s="11">
        <f>[1]!EM_S_FA_NETPROFITMARGIN(B1664,E1664)</f>
        <v>10.5316135559</v>
      </c>
      <c r="K1664" s="10">
        <f>[1]!EM_S_FA_ASSETSTURN(B1664,E1664)</f>
        <v>0.89208987595699996</v>
      </c>
      <c r="L1664" s="12">
        <f>[1]!EM_HKS_VAL_MV(B1664,"2019-12-31","2")</f>
        <v>2438576642.52</v>
      </c>
      <c r="M1664">
        <f>[1]!EM_S_VAL_PETTMDEDUCTED(B1664,E1664)</f>
        <v>17.256294865617999</v>
      </c>
      <c r="N1664" s="7">
        <f>[1]!EM_S_VAL_PBGOODWILLDEDUCTED(B1664,E1664)</f>
        <v>1.4236860488521801</v>
      </c>
      <c r="O1664" s="7">
        <f>[1]!EM_S_VAL_PS_TTM(B1664,E1664)</f>
        <v>1.35058150759039</v>
      </c>
      <c r="P1664" s="7">
        <f>[1]!EM_S_VAL_PCF_NCFTTM(B1664,E1664)</f>
        <v>13.3969244206495</v>
      </c>
      <c r="Q1664" s="7">
        <f>[1]!EM_S_VAL_DIVIDENDYIELD2(B1664,E1664,"2019-11-29")</f>
        <v>2.0385974455296783</v>
      </c>
      <c r="T1664"/>
      <c r="U1664">
        <f>[1]!EM_S_RATIO_EPS_TTM(B1664,E1664,"1")</f>
        <v>0.4418335574422485</v>
      </c>
      <c r="AT1664" s="4" t="str">
        <f>[1]!EM_S_IPO_LISTEDDATE(B1664)</f>
        <v>2007-08-10</v>
      </c>
    </row>
    <row r="1665" spans="1:46">
      <c r="A1665">
        <v>303</v>
      </c>
      <c r="B1665" t="str">
        <f>"000722"</f>
        <v>000722</v>
      </c>
      <c r="C1665" t="s">
        <v>2534</v>
      </c>
      <c r="D1665" t="str">
        <f>[1]!EM_S_INFO_INDEX_EM(B1665,"1")</f>
        <v>公用事业</v>
      </c>
      <c r="E1665" s="4">
        <f t="shared" si="25"/>
        <v>43465</v>
      </c>
      <c r="F1665" s="11">
        <f>[1]!EM_S_PQ_PCTCHANGE(B1665,"2018-01-01","2019-12-31","3")</f>
        <v>-26.967795750000001</v>
      </c>
      <c r="G1665" s="11">
        <f>[1]!EM_S_PQ_PCTCHANGE(B1665,"2018-12-31","2019-12-30","1")</f>
        <v>11.27694859</v>
      </c>
      <c r="H1665" s="11">
        <f>[1]!EM_S_FA_YOY_OR(B1665,E1665)</f>
        <v>9.0898847029999992</v>
      </c>
      <c r="I1665" s="11">
        <f>[1]!EM_S_FA_GROSSPROFITMARGIN(B1665,E1665)</f>
        <v>43.465867241399998</v>
      </c>
      <c r="J1665" s="11">
        <f>[1]!EM_S_FA_NETPROFITMARGIN(B1665,E1665)</f>
        <v>27.7705571469</v>
      </c>
      <c r="K1665" s="10">
        <f>[1]!EM_S_FA_ASSETSTURN(B1665,E1665)</f>
        <v>8.4141418740000001E-2</v>
      </c>
      <c r="L1665" s="12">
        <f>[1]!EM_HKS_VAL_MV(B1665,"2019-12-31","2")</f>
        <v>3137709986.3200002</v>
      </c>
      <c r="M1665">
        <f>[1]!EM_S_VAL_PETTMDEDUCTED(B1665,E1665)</f>
        <v>38.8191216500446</v>
      </c>
      <c r="N1665" s="7">
        <f>[1]!EM_S_VAL_PBGOODWILLDEDUCTED(B1665,E1665)</f>
        <v>0.98846785448335905</v>
      </c>
      <c r="O1665" s="7">
        <f>[1]!EM_S_VAL_PS_TTM(B1665,E1665)</f>
        <v>12.152330068696999</v>
      </c>
      <c r="P1665" s="7">
        <f>[1]!EM_S_VAL_PCF_NCFTTM(B1665,E1665)</f>
        <v>36.134074102224403</v>
      </c>
      <c r="Q1665" s="7">
        <f>[1]!EM_S_VAL_DIVIDENDYIELD2(B1665,E1665,"2019-11-29")</f>
        <v>0.76219512195121963</v>
      </c>
      <c r="T1665"/>
      <c r="U1665">
        <f>[1]!EM_S_RATIO_EPS_TTM(B1665,E1665,"1")</f>
        <v>0.20384214085832042</v>
      </c>
      <c r="AT1665" s="4" t="str">
        <f>[1]!EM_S_IPO_LISTEDDATE(B1665)</f>
        <v>1997-05-22</v>
      </c>
    </row>
    <row r="1666" spans="1:46">
      <c r="A1666">
        <v>566</v>
      </c>
      <c r="B1666" t="str">
        <f>"002055"</f>
        <v>002055</v>
      </c>
      <c r="C1666" t="s">
        <v>1898</v>
      </c>
      <c r="D1666" t="str">
        <f>[1]!EM_S_INFO_INDEX_EM(B1666,"1")</f>
        <v>电子设备</v>
      </c>
      <c r="E1666" s="4">
        <f t="shared" si="25"/>
        <v>43465</v>
      </c>
      <c r="F1666" s="11">
        <f>[1]!EM_S_PQ_PCTCHANGE(B1666,"2018-01-01","2019-12-31","3")</f>
        <v>-46.991591800000002</v>
      </c>
      <c r="G1666" s="11">
        <f>[1]!EM_S_PQ_PCTCHANGE(B1666,"2018-12-31","2019-12-30","1")</f>
        <v>11.27197518</v>
      </c>
      <c r="H1666" s="11">
        <f>[1]!EM_S_FA_YOY_OR(B1666,E1666)</f>
        <v>27.398126833100001</v>
      </c>
      <c r="I1666" s="11">
        <f>[1]!EM_S_FA_GROSSPROFITMARGIN(B1666,E1666)</f>
        <v>14.023933574599999</v>
      </c>
      <c r="J1666" s="11">
        <f>[1]!EM_S_FA_NETPROFITMARGIN(B1666,E1666)</f>
        <v>3.2998362804000001</v>
      </c>
      <c r="K1666" s="10">
        <f>[1]!EM_S_FA_ASSETSTURN(B1666,E1666)</f>
        <v>0.754834846354</v>
      </c>
      <c r="L1666" s="12">
        <f>[1]!EM_HKS_VAL_MV(B1666,"2019-12-31","2")</f>
        <v>5151914591.04</v>
      </c>
      <c r="M1666">
        <f>[1]!EM_S_VAL_PETTMDEDUCTED(B1666,E1666)</f>
        <v>43.964773095416099</v>
      </c>
      <c r="N1666" s="7">
        <f>[1]!EM_S_VAL_PBGOODWILLDEDUCTED(B1666,E1666)</f>
        <v>2.1291338235172299</v>
      </c>
      <c r="O1666" s="7">
        <f>[1]!EM_S_VAL_PS_TTM(B1666,E1666)</f>
        <v>0.62690878051804999</v>
      </c>
      <c r="P1666" s="7">
        <f>[1]!EM_S_VAL_PCF_NCFTTM(B1666,E1666)</f>
        <v>1438.24415605186</v>
      </c>
      <c r="Q1666" s="7">
        <f>[1]!EM_S_VAL_DIVIDENDYIELD2(B1666,E1666,"2019-11-29")</f>
        <v>0.62499999999999989</v>
      </c>
      <c r="T1666"/>
      <c r="U1666">
        <f>[1]!EM_S_RATIO_EPS_TTM(B1666,E1666,"1")</f>
        <v>0.54414759668003088</v>
      </c>
      <c r="AT1666" s="4" t="str">
        <f>[1]!EM_S_IPO_LISTEDDATE(B1666)</f>
        <v>2006-07-25</v>
      </c>
    </row>
    <row r="1667" spans="1:46">
      <c r="A1667">
        <v>2619</v>
      </c>
      <c r="B1667" t="str">
        <f>"600540"</f>
        <v>600540</v>
      </c>
      <c r="C1667" t="s">
        <v>2747</v>
      </c>
      <c r="D1667" t="str">
        <f>[1]!EM_S_INFO_INDEX_EM(B1667,"1")</f>
        <v>农林牧渔</v>
      </c>
      <c r="E1667" s="4">
        <f t="shared" ref="E1667:E1730" si="26">$B$1</f>
        <v>43465</v>
      </c>
      <c r="F1667" s="11">
        <f>[1]!EM_S_PQ_PCTCHANGE(B1667,"2018-01-01","2019-12-31","3")</f>
        <v>-20.325203250000001</v>
      </c>
      <c r="G1667" s="11">
        <f>[1]!EM_S_PQ_PCTCHANGE(B1667,"2018-12-31","2019-12-30","1")</f>
        <v>11.26760563</v>
      </c>
      <c r="H1667" s="11">
        <f>[1]!EM_S_FA_YOY_OR(B1667,E1667)</f>
        <v>16.4073627655</v>
      </c>
      <c r="I1667" s="11">
        <f>[1]!EM_S_FA_GROSSPROFITMARGIN(B1667,E1667)</f>
        <v>6.9570605532999998</v>
      </c>
      <c r="J1667" s="11">
        <f>[1]!EM_S_FA_NETPROFITMARGIN(B1667,E1667)</f>
        <v>2.4671322388000001</v>
      </c>
      <c r="K1667" s="10">
        <f>[1]!EM_S_FA_ASSETSTURN(B1667,E1667)</f>
        <v>0.61669836582500004</v>
      </c>
      <c r="L1667" s="12">
        <f>[1]!EM_HKS_VAL_MV(B1667,"2019-12-31","2")</f>
        <v>1846019386.96</v>
      </c>
      <c r="M1667">
        <f>[1]!EM_S_VAL_PETTMDEDUCTED(B1667,E1667)</f>
        <v>-36.5633151466972</v>
      </c>
      <c r="N1667" s="7">
        <f>[1]!EM_S_VAL_PBGOODWILLDEDUCTED(B1667,E1667)</f>
        <v>2.5899022584701901</v>
      </c>
      <c r="O1667" s="7">
        <f>[1]!EM_S_VAL_PS_TTM(B1667,E1667)</f>
        <v>2.5522482427096902</v>
      </c>
      <c r="P1667" s="7">
        <f>[1]!EM_S_VAL_PCF_NCFTTM(B1667,E1667)</f>
        <v>-38.690404047283202</v>
      </c>
      <c r="Q1667" s="7">
        <f>[1]!EM_S_VAL_DIVIDENDYIELD2(B1667,E1667,"2019-11-29")</f>
        <v>0</v>
      </c>
      <c r="T1667"/>
      <c r="U1667">
        <f>[1]!EM_S_RATIO_EPS_TTM(B1667,E1667,"1")</f>
        <v>4.3242671848781458E-2</v>
      </c>
      <c r="AT1667" s="4" t="str">
        <f>[1]!EM_S_IPO_LISTEDDATE(B1667)</f>
        <v>2004-01-07</v>
      </c>
    </row>
    <row r="1668" spans="1:46">
      <c r="A1668">
        <v>2145</v>
      </c>
      <c r="B1668" t="str">
        <f>"300731"</f>
        <v>300731</v>
      </c>
      <c r="C1668" t="s">
        <v>875</v>
      </c>
      <c r="D1668" t="str">
        <f>[1]!EM_S_INFO_INDEX_EM(B1668,"1")</f>
        <v>基础化工</v>
      </c>
      <c r="E1668" s="4">
        <f t="shared" si="26"/>
        <v>43465</v>
      </c>
      <c r="F1668" s="11">
        <f>[1]!EM_S_PQ_PCTCHANGE(B1668,"2018-01-01","2019-12-31","3")</f>
        <v>11.242458129999999</v>
      </c>
      <c r="G1668" s="11">
        <f>[1]!EM_S_PQ_PCTCHANGE(B1668,"2018-12-31","2019-12-30","1")</f>
        <v>11.23809524</v>
      </c>
      <c r="H1668" s="11">
        <f>[1]!EM_S_FA_YOY_OR(B1668,E1668)</f>
        <v>12.6623772839</v>
      </c>
      <c r="I1668" s="11">
        <f>[1]!EM_S_FA_GROSSPROFITMARGIN(B1668,E1668)</f>
        <v>40.3635949942</v>
      </c>
      <c r="J1668" s="11">
        <f>[1]!EM_S_FA_NETPROFITMARGIN(B1668,E1668)</f>
        <v>12.4159034513</v>
      </c>
      <c r="K1668" s="10">
        <f>[1]!EM_S_FA_ASSETSTURN(B1668,E1668)</f>
        <v>0.50873093383300005</v>
      </c>
      <c r="L1668" s="12">
        <f>[1]!EM_HKS_VAL_MV(B1668,"2019-12-31","2")</f>
        <v>3745996410</v>
      </c>
      <c r="M1668">
        <f>[1]!EM_S_VAL_PETTMDEDUCTED(B1668,E1668)</f>
        <v>44.165737649559603</v>
      </c>
      <c r="N1668" s="7">
        <f>[1]!EM_S_VAL_PBGOODWILLDEDUCTED(B1668,E1668)</f>
        <v>4.7522707717703696</v>
      </c>
      <c r="O1668" s="7">
        <f>[1]!EM_S_VAL_PS_TTM(B1668,E1668)</f>
        <v>8.0236720305675107</v>
      </c>
      <c r="P1668" s="7">
        <f>[1]!EM_S_VAL_PCF_NCFTTM(B1668,E1668)</f>
        <v>13.358065109098799</v>
      </c>
      <c r="Q1668" s="7">
        <f>[1]!EM_S_VAL_DIVIDENDYIELD2(B1668,E1668,"2019-11-29")</f>
        <v>0.2628719390459453</v>
      </c>
      <c r="T1668"/>
      <c r="U1668">
        <f>[1]!EM_S_RATIO_EPS_TTM(B1668,E1668,"1")</f>
        <v>0.50798699390125079</v>
      </c>
      <c r="AT1668" s="4" t="str">
        <f>[1]!EM_S_IPO_LISTEDDATE(B1668)</f>
        <v>2017-12-08</v>
      </c>
    </row>
    <row r="1669" spans="1:46">
      <c r="A1669">
        <v>1457</v>
      </c>
      <c r="B1669" t="str">
        <f>"300031"</f>
        <v>300031</v>
      </c>
      <c r="C1669" t="s">
        <v>1192</v>
      </c>
      <c r="D1669" t="str">
        <f>[1]!EM_S_INFO_INDEX_EM(B1669,"1")</f>
        <v>互联网</v>
      </c>
      <c r="E1669" s="4">
        <f t="shared" si="26"/>
        <v>43465</v>
      </c>
      <c r="F1669" s="11">
        <f>[1]!EM_S_PQ_PCTCHANGE(B1669,"2018-01-01","2019-12-31","3")</f>
        <v>1.8714269800000001</v>
      </c>
      <c r="G1669" s="11">
        <f>[1]!EM_S_PQ_PCTCHANGE(B1669,"2018-12-31","2019-12-30","1")</f>
        <v>11.220621680000001</v>
      </c>
      <c r="H1669" s="11">
        <f>[1]!EM_S_FA_YOY_OR(B1669,E1669)</f>
        <v>37.11884044</v>
      </c>
      <c r="I1669" s="11">
        <f>[1]!EM_S_FA_GROSSPROFITMARGIN(B1669,E1669)</f>
        <v>54.605907178800003</v>
      </c>
      <c r="J1669" s="11">
        <f>[1]!EM_S_FA_NETPROFITMARGIN(B1669,E1669)</f>
        <v>13.3413383861</v>
      </c>
      <c r="K1669" s="10">
        <f>[1]!EM_S_FA_ASSETSTURN(B1669,E1669)</f>
        <v>0.67260568358700001</v>
      </c>
      <c r="L1669" s="12">
        <f>[1]!EM_HKS_VAL_MV(B1669,"2019-12-31","2")</f>
        <v>5951518290</v>
      </c>
      <c r="M1669">
        <f>[1]!EM_S_VAL_PETTMDEDUCTED(B1669,E1669)</f>
        <v>18.877418614681101</v>
      </c>
      <c r="N1669" s="7">
        <f>[1]!EM_S_VAL_PBGOODWILLDEDUCTED(B1669,E1669)</f>
        <v>5.1067259778298597</v>
      </c>
      <c r="O1669" s="7">
        <f>[1]!EM_S_VAL_PS_TTM(B1669,E1669)</f>
        <v>2.6745810517932802</v>
      </c>
      <c r="P1669" s="7">
        <f>[1]!EM_S_VAL_PCF_NCFTTM(B1669,E1669)</f>
        <v>-4.2492120812583103</v>
      </c>
      <c r="Q1669" s="7">
        <f>[1]!EM_S_VAL_DIVIDENDYIELD2(B1669,E1669,"2019-11-29")</f>
        <v>0</v>
      </c>
      <c r="T1669"/>
      <c r="U1669">
        <f>[1]!EM_S_RATIO_EPS_TTM(B1669,E1669,"1")</f>
        <v>0.68490067696658297</v>
      </c>
      <c r="AT1669" s="4" t="str">
        <f>[1]!EM_S_IPO_LISTEDDATE(B1669)</f>
        <v>2009-12-25</v>
      </c>
    </row>
    <row r="1670" spans="1:46">
      <c r="A1670">
        <v>1214</v>
      </c>
      <c r="B1670" t="str">
        <f>"002703"</f>
        <v>002703</v>
      </c>
      <c r="C1670" t="s">
        <v>3264</v>
      </c>
      <c r="D1670" t="str">
        <f>[1]!EM_S_INFO_INDEX_EM(B1670,"1")</f>
        <v>交运设备</v>
      </c>
      <c r="E1670" s="4">
        <f t="shared" si="26"/>
        <v>43465</v>
      </c>
      <c r="F1670" s="11">
        <f>[1]!EM_S_PQ_PCTCHANGE(B1670,"2018-01-01","2019-12-31","3")</f>
        <v>-44.444444439999998</v>
      </c>
      <c r="G1670" s="11">
        <f>[1]!EM_S_PQ_PCTCHANGE(B1670,"2018-12-31","2019-12-30","1")</f>
        <v>11.21718377</v>
      </c>
      <c r="H1670" s="11">
        <f>[1]!EM_S_FA_YOY_OR(B1670,E1670)</f>
        <v>-1.8330884307999999</v>
      </c>
      <c r="I1670" s="11">
        <f>[1]!EM_S_FA_GROSSPROFITMARGIN(B1670,E1670)</f>
        <v>17.141965115000001</v>
      </c>
      <c r="J1670" s="11">
        <f>[1]!EM_S_FA_NETPROFITMARGIN(B1670,E1670)</f>
        <v>0.1734867618</v>
      </c>
      <c r="K1670" s="10">
        <f>[1]!EM_S_FA_ASSETSTURN(B1670,E1670)</f>
        <v>0.54613675852999999</v>
      </c>
      <c r="L1670" s="12">
        <f>[1]!EM_HKS_VAL_MV(B1670,"2019-12-31","2")</f>
        <v>3632365330.1999998</v>
      </c>
      <c r="M1670">
        <f>[1]!EM_S_VAL_PETTMDEDUCTED(B1670,E1670)</f>
        <v>-107.416649458611</v>
      </c>
      <c r="N1670" s="7">
        <f>[1]!EM_S_VAL_PBGOODWILLDEDUCTED(B1670,E1670)</f>
        <v>2.2448730123515199</v>
      </c>
      <c r="O1670" s="7">
        <f>[1]!EM_S_VAL_PS_TTM(B1670,E1670)</f>
        <v>2.6308838840095601</v>
      </c>
      <c r="P1670" s="7">
        <f>[1]!EM_S_VAL_PCF_NCFTTM(B1670,E1670)</f>
        <v>90.931334663598307</v>
      </c>
      <c r="Q1670" s="7">
        <f>[1]!EM_S_VAL_DIVIDENDYIELD2(B1670,E1670,"2019-11-29")</f>
        <v>0</v>
      </c>
      <c r="T1670"/>
      <c r="U1670">
        <f>[1]!EM_S_RATIO_EPS_TTM(B1670,E1670,"1")</f>
        <v>9.2172706543690482E-3</v>
      </c>
      <c r="AT1670" s="4" t="str">
        <f>[1]!EM_S_IPO_LISTEDDATE(B1670)</f>
        <v>2012-11-02</v>
      </c>
    </row>
    <row r="1671" spans="1:46">
      <c r="A1671">
        <v>1030</v>
      </c>
      <c r="B1671" t="str">
        <f>"002519"</f>
        <v>002519</v>
      </c>
      <c r="C1671" t="s">
        <v>2147</v>
      </c>
      <c r="D1671" t="str">
        <f>[1]!EM_S_INFO_INDEX_EM(B1671,"1")</f>
        <v>家电</v>
      </c>
      <c r="E1671" s="4">
        <f t="shared" si="26"/>
        <v>43465</v>
      </c>
      <c r="F1671" s="11">
        <f>[1]!EM_S_PQ_PCTCHANGE(B1671,"2018-01-01","2019-12-31","3")</f>
        <v>-35.737704919999999</v>
      </c>
      <c r="G1671" s="11">
        <f>[1]!EM_S_PQ_PCTCHANGE(B1671,"2018-12-31","2019-12-30","1")</f>
        <v>11.174785099999999</v>
      </c>
      <c r="H1671" s="11">
        <f>[1]!EM_S_FA_YOY_OR(B1671,E1671)</f>
        <v>-6.474787933</v>
      </c>
      <c r="I1671" s="11">
        <f>[1]!EM_S_FA_GROSSPROFITMARGIN(B1671,E1671)</f>
        <v>30.4709695811</v>
      </c>
      <c r="J1671" s="11">
        <f>[1]!EM_S_FA_NETPROFITMARGIN(B1671,E1671)</f>
        <v>-76.915332605700002</v>
      </c>
      <c r="K1671" s="10">
        <f>[1]!EM_S_FA_ASSETSTURN(B1671,E1671)</f>
        <v>0.34491158919600001</v>
      </c>
      <c r="L1671" s="12">
        <f>[1]!EM_HKS_VAL_MV(B1671,"2019-12-31","2")</f>
        <v>4415609120.1599998</v>
      </c>
      <c r="M1671">
        <f>[1]!EM_S_VAL_PETTMDEDUCTED(B1671,E1671)</f>
        <v>43.780123820563098</v>
      </c>
      <c r="N1671" s="7">
        <f>[1]!EM_S_VAL_PBGOODWILLDEDUCTED(B1671,E1671)</f>
        <v>1.7700793086916</v>
      </c>
      <c r="O1671" s="7">
        <f>[1]!EM_S_VAL_PS_TTM(B1671,E1671)</f>
        <v>2.4677808244828499</v>
      </c>
      <c r="P1671" s="7">
        <f>[1]!EM_S_VAL_PCF_NCFTTM(B1671,E1671)</f>
        <v>-32.587441008129197</v>
      </c>
      <c r="Q1671" s="7">
        <f>[1]!EM_S_VAL_DIVIDENDYIELD2(B1671,E1671,"2019-11-29")</f>
        <v>0</v>
      </c>
      <c r="T1671"/>
      <c r="U1671">
        <f>[1]!EM_S_RATIO_EPS_TTM(B1671,E1671,"1")</f>
        <v>-1.0356874643277052</v>
      </c>
      <c r="AT1671" s="4" t="str">
        <f>[1]!EM_S_IPO_LISTEDDATE(B1671)</f>
        <v>2010-12-07</v>
      </c>
    </row>
    <row r="1672" spans="1:46">
      <c r="A1672">
        <v>3239</v>
      </c>
      <c r="B1672" t="str">
        <f>"603043"</f>
        <v>603043</v>
      </c>
      <c r="C1672" t="s">
        <v>472</v>
      </c>
      <c r="D1672" t="str">
        <f>[1]!EM_S_INFO_INDEX_EM(B1672,"1")</f>
        <v>食品饮料</v>
      </c>
      <c r="E1672" s="4">
        <f t="shared" si="26"/>
        <v>43465</v>
      </c>
      <c r="F1672" s="11">
        <f>[1]!EM_S_PQ_PCTCHANGE(B1672,"2018-01-01","2019-12-31","3")</f>
        <v>59.424483070000001</v>
      </c>
      <c r="G1672" s="11">
        <f>[1]!EM_S_PQ_PCTCHANGE(B1672,"2018-12-31","2019-12-30","1")</f>
        <v>11.152141800000001</v>
      </c>
      <c r="H1672" s="11">
        <f>[1]!EM_S_FA_YOY_OR(B1672,E1672)</f>
        <v>15.8923121234</v>
      </c>
      <c r="I1672" s="11">
        <f>[1]!EM_S_FA_GROSSPROFITMARGIN(B1672,E1672)</f>
        <v>54.655921644300001</v>
      </c>
      <c r="J1672" s="11">
        <f>[1]!EM_S_FA_NETPROFITMARGIN(B1672,E1672)</f>
        <v>15.1100504588</v>
      </c>
      <c r="K1672" s="10">
        <f>[1]!EM_S_FA_ASSETSTURN(B1672,E1672)</f>
        <v>1.0967143234750001</v>
      </c>
      <c r="L1672" s="12">
        <f>[1]!EM_HKS_VAL_MV(B1672,"2019-12-31","2")</f>
        <v>12269364108.08</v>
      </c>
      <c r="M1672">
        <f>[1]!EM_S_VAL_PETTMDEDUCTED(B1672,E1672)</f>
        <v>25.937175908605901</v>
      </c>
      <c r="N1672" s="7">
        <f>[1]!EM_S_VAL_PBGOODWILLDEDUCTED(B1672,E1672)</f>
        <v>5.6118182975745103</v>
      </c>
      <c r="O1672" s="7">
        <f>[1]!EM_S_VAL_PS_TTM(B1672,E1672)</f>
        <v>4.3536730085929003</v>
      </c>
      <c r="P1672" s="7">
        <f>[1]!EM_S_VAL_PCF_NCFTTM(B1672,E1672)</f>
        <v>8352.9101712616393</v>
      </c>
      <c r="Q1672" s="7">
        <f>[1]!EM_S_VAL_DIVIDENDYIELD2(B1672,E1672,"2019-11-29")</f>
        <v>1.343183344526528</v>
      </c>
      <c r="T1672"/>
      <c r="U1672">
        <f>[1]!EM_S_RATIO_EPS_TTM(B1672,E1672,"1")</f>
        <v>0.95027881119787994</v>
      </c>
      <c r="AT1672" s="4" t="str">
        <f>[1]!EM_S_IPO_LISTEDDATE(B1672)</f>
        <v>2017-06-27</v>
      </c>
    </row>
    <row r="1673" spans="1:46">
      <c r="A1673">
        <v>526</v>
      </c>
      <c r="B1673" t="str">
        <f>"002015"</f>
        <v>002015</v>
      </c>
      <c r="C1673" t="s">
        <v>3395</v>
      </c>
      <c r="D1673" t="str">
        <f>[1]!EM_S_INFO_INDEX_EM(B1673,"1")</f>
        <v>公用事业</v>
      </c>
      <c r="E1673" s="4">
        <f t="shared" si="26"/>
        <v>43465</v>
      </c>
      <c r="F1673" s="11">
        <f>[1]!EM_S_PQ_PCTCHANGE(B1673,"2018-01-01","2019-12-31","3")</f>
        <v>-37.336504159999997</v>
      </c>
      <c r="G1673" s="11">
        <f>[1]!EM_S_PQ_PCTCHANGE(B1673,"2018-12-31","2019-12-30","1")</f>
        <v>11.134453779999999</v>
      </c>
      <c r="H1673" s="11">
        <f>[1]!EM_S_FA_YOY_OR(B1673,E1673)</f>
        <v>15.104836753800001</v>
      </c>
      <c r="I1673" s="11">
        <f>[1]!EM_S_FA_GROSSPROFITMARGIN(B1673,E1673)</f>
        <v>7.0674209822999998</v>
      </c>
      <c r="J1673" s="11">
        <f>[1]!EM_S_FA_NETPROFITMARGIN(B1673,E1673)</f>
        <v>1.2574092699999999</v>
      </c>
      <c r="K1673" s="10">
        <f>[1]!EM_S_FA_ASSETSTURN(B1673,E1673)</f>
        <v>0.96290406114100002</v>
      </c>
      <c r="L1673" s="12">
        <f>[1]!EM_HKS_VAL_MV(B1673,"2019-12-31","2")</f>
        <v>7127471114.2399998</v>
      </c>
      <c r="M1673">
        <f>[1]!EM_S_VAL_PETTMDEDUCTED(B1673,E1673)</f>
        <v>169.77437561602599</v>
      </c>
      <c r="N1673" s="7">
        <f>[1]!EM_S_VAL_PBGOODWILLDEDUCTED(B1673,E1673)</f>
        <v>3.5708379521085698</v>
      </c>
      <c r="O1673" s="7">
        <f>[1]!EM_S_VAL_PS_TTM(B1673,E1673)</f>
        <v>4.0150447609184301</v>
      </c>
      <c r="P1673" s="7">
        <f>[1]!EM_S_VAL_PCF_NCFTTM(B1673,E1673)</f>
        <v>8.1602417361187491</v>
      </c>
      <c r="Q1673" s="7">
        <f>[1]!EM_S_VAL_DIVIDENDYIELD2(B1673,E1673,"2019-11-29")</f>
        <v>0</v>
      </c>
      <c r="T1673"/>
      <c r="U1673">
        <f>[1]!EM_S_RATIO_EPS_TTM(B1673,E1673,"1")</f>
        <v>1.3423157166019066E-2</v>
      </c>
      <c r="AT1673" s="4" t="str">
        <f>[1]!EM_S_IPO_LISTEDDATE(B1673)</f>
        <v>2004-07-08</v>
      </c>
    </row>
    <row r="1674" spans="1:46">
      <c r="A1674">
        <v>2952</v>
      </c>
      <c r="B1674" t="str">
        <f>"600879"</f>
        <v>600879</v>
      </c>
      <c r="C1674" t="s">
        <v>2344</v>
      </c>
      <c r="D1674" t="str">
        <f>[1]!EM_S_INFO_INDEX_EM(B1674,"1")</f>
        <v>国防与装备</v>
      </c>
      <c r="E1674" s="4">
        <f t="shared" si="26"/>
        <v>43465</v>
      </c>
      <c r="F1674" s="11">
        <f>[1]!EM_S_PQ_PCTCHANGE(B1674,"2018-01-01","2019-12-31","3")</f>
        <v>-23.724489800000001</v>
      </c>
      <c r="G1674" s="11">
        <f>[1]!EM_S_PQ_PCTCHANGE(B1674,"2018-12-31","2019-12-30","1")</f>
        <v>11.09057301</v>
      </c>
      <c r="H1674" s="11">
        <f>[1]!EM_S_FA_YOY_OR(B1674,E1674)</f>
        <v>3.6452585535000002</v>
      </c>
      <c r="I1674" s="11">
        <f>[1]!EM_S_FA_GROSSPROFITMARGIN(B1674,E1674)</f>
        <v>17.623643920300001</v>
      </c>
      <c r="J1674" s="11">
        <f>[1]!EM_S_FA_NETPROFITMARGIN(B1674,E1674)</f>
        <v>3.6855641826999999</v>
      </c>
      <c r="K1674" s="10">
        <f>[1]!EM_S_FA_ASSETSTURN(B1674,E1674)</f>
        <v>0.56126071673199995</v>
      </c>
      <c r="L1674" s="12">
        <f>[1]!EM_HKS_VAL_MV(B1674,"2019-12-31","2")</f>
        <v>16261242278.32</v>
      </c>
      <c r="M1674">
        <f>[1]!EM_S_VAL_PETTMDEDUCTED(B1674,E1674)</f>
        <v>29.0403884714306</v>
      </c>
      <c r="N1674" s="7">
        <f>[1]!EM_S_VAL_PBGOODWILLDEDUCTED(B1674,E1674)</f>
        <v>1.23875758805406</v>
      </c>
      <c r="O1674" s="7">
        <f>[1]!EM_S_VAL_PS_TTM(B1674,E1674)</f>
        <v>1.0543521658050199</v>
      </c>
      <c r="P1674" s="7">
        <f>[1]!EM_S_VAL_PCF_NCFTTM(B1674,E1674)</f>
        <v>-127.873598337266</v>
      </c>
      <c r="Q1674" s="7">
        <f>[1]!EM_S_VAL_DIVIDENDYIELD2(B1674,E1674,"2019-11-29")</f>
        <v>0</v>
      </c>
      <c r="T1674"/>
      <c r="U1674">
        <f>[1]!EM_S_RATIO_EPS_TTM(B1674,E1674,"1")</f>
        <v>0.16796775412496873</v>
      </c>
      <c r="AT1674" s="4" t="str">
        <f>[1]!EM_S_IPO_LISTEDDATE(B1674)</f>
        <v>1995-11-15</v>
      </c>
    </row>
    <row r="1675" spans="1:46">
      <c r="A1675">
        <v>2014</v>
      </c>
      <c r="B1675" t="str">
        <f>"300593"</f>
        <v>300593</v>
      </c>
      <c r="C1675" t="s">
        <v>2243</v>
      </c>
      <c r="D1675" t="str">
        <f>[1]!EM_S_INFO_INDEX_EM(B1675,"1")</f>
        <v>电气设备</v>
      </c>
      <c r="E1675" s="4">
        <f t="shared" si="26"/>
        <v>43465</v>
      </c>
      <c r="F1675" s="11">
        <f>[1]!EM_S_PQ_PCTCHANGE(B1675,"2018-01-01","2019-12-31","3")</f>
        <v>19.506317889999998</v>
      </c>
      <c r="G1675" s="11">
        <f>[1]!EM_S_PQ_PCTCHANGE(B1675,"2018-12-31","2019-12-30","1")</f>
        <v>11.04294479</v>
      </c>
      <c r="H1675" s="11">
        <f>[1]!EM_S_FA_YOY_OR(B1675,E1675)</f>
        <v>37.645814614000003</v>
      </c>
      <c r="I1675" s="11">
        <f>[1]!EM_S_FA_GROSSPROFITMARGIN(B1675,E1675)</f>
        <v>42.714647101099999</v>
      </c>
      <c r="J1675" s="11">
        <f>[1]!EM_S_FA_NETPROFITMARGIN(B1675,E1675)</f>
        <v>7.8435259508000001</v>
      </c>
      <c r="K1675" s="10">
        <f>[1]!EM_S_FA_ASSETSTURN(B1675,E1675)</f>
        <v>0.45375800232800001</v>
      </c>
      <c r="L1675" s="12">
        <f>[1]!EM_HKS_VAL_MV(B1675,"2019-12-31","2")</f>
        <v>3006947328</v>
      </c>
      <c r="M1675">
        <f>[1]!EM_S_VAL_PETTMDEDUCTED(B1675,E1675)</f>
        <v>58.639250695350697</v>
      </c>
      <c r="N1675" s="7">
        <f>[1]!EM_S_VAL_PBGOODWILLDEDUCTED(B1675,E1675)</f>
        <v>3.90844500985347</v>
      </c>
      <c r="O1675" s="7">
        <f>[1]!EM_S_VAL_PS_TTM(B1675,E1675)</f>
        <v>4.7037187400141098</v>
      </c>
      <c r="P1675" s="7">
        <f>[1]!EM_S_VAL_PCF_NCFTTM(B1675,E1675)</f>
        <v>-62.660023665602701</v>
      </c>
      <c r="Q1675" s="7">
        <f>[1]!EM_S_VAL_DIVIDENDYIELD2(B1675,E1675,"2019-11-29")</f>
        <v>0.18739450552828849</v>
      </c>
      <c r="T1675"/>
      <c r="U1675">
        <f>[1]!EM_S_RATIO_EPS_TTM(B1675,E1675,"1")</f>
        <v>0.30342174041297937</v>
      </c>
      <c r="AT1675" s="4" t="str">
        <f>[1]!EM_S_IPO_LISTEDDATE(B1675)</f>
        <v>2017-01-13</v>
      </c>
    </row>
    <row r="1676" spans="1:46">
      <c r="A1676">
        <v>2489</v>
      </c>
      <c r="B1676" t="str">
        <f>"600370"</f>
        <v>600370</v>
      </c>
      <c r="C1676" t="s">
        <v>2527</v>
      </c>
      <c r="D1676" t="str">
        <f>[1]!EM_S_INFO_INDEX_EM(B1676,"1")</f>
        <v>纺织服装</v>
      </c>
      <c r="E1676" s="4">
        <f t="shared" si="26"/>
        <v>43465</v>
      </c>
      <c r="F1676" s="11">
        <f>[1]!EM_S_PQ_PCTCHANGE(B1676,"2018-01-01","2019-12-31","3")</f>
        <v>-1.57069685</v>
      </c>
      <c r="G1676" s="11">
        <f>[1]!EM_S_PQ_PCTCHANGE(B1676,"2018-12-31","2019-12-30","1")</f>
        <v>11.03448276</v>
      </c>
      <c r="H1676" s="11">
        <f>[1]!EM_S_FA_YOY_OR(B1676,E1676)</f>
        <v>10.9010959721</v>
      </c>
      <c r="I1676" s="11">
        <f>[1]!EM_S_FA_GROSSPROFITMARGIN(B1676,E1676)</f>
        <v>12.071588595</v>
      </c>
      <c r="J1676" s="11">
        <f>[1]!EM_S_FA_NETPROFITMARGIN(B1676,E1676)</f>
        <v>6.1136394306000001</v>
      </c>
      <c r="K1676" s="10">
        <f>[1]!EM_S_FA_ASSETSTURN(B1676,E1676)</f>
        <v>0.67221459304800002</v>
      </c>
      <c r="L1676" s="12">
        <f>[1]!EM_HKS_VAL_MV(B1676,"2019-12-31","2")</f>
        <v>2431594901.5</v>
      </c>
      <c r="M1676">
        <f>[1]!EM_S_VAL_PETTMDEDUCTED(B1676,E1676)</f>
        <v>45.875095413582201</v>
      </c>
      <c r="N1676" s="7">
        <f>[1]!EM_S_VAL_PBGOODWILLDEDUCTED(B1676,E1676)</f>
        <v>1.76751513017255</v>
      </c>
      <c r="O1676" s="7">
        <f>[1]!EM_S_VAL_PS_TTM(B1676,E1676)</f>
        <v>1.9733015574775801</v>
      </c>
      <c r="P1676" s="7">
        <f>[1]!EM_S_VAL_PCF_NCFTTM(B1676,E1676)</f>
        <v>49.764566828616999</v>
      </c>
      <c r="Q1676" s="7">
        <f>[1]!EM_S_VAL_DIVIDENDYIELD2(B1676,E1676,"2019-11-29")</f>
        <v>0.89605734767025103</v>
      </c>
      <c r="T1676"/>
      <c r="U1676">
        <f>[1]!EM_S_RATIO_EPS_TTM(B1676,E1676,"1")</f>
        <v>6.7263921533806517E-2</v>
      </c>
      <c r="AT1676" s="4" t="str">
        <f>[1]!EM_S_IPO_LISTEDDATE(B1676)</f>
        <v>2003-03-06</v>
      </c>
    </row>
    <row r="1677" spans="1:46">
      <c r="A1677">
        <v>571</v>
      </c>
      <c r="B1677" t="str">
        <f>"002060"</f>
        <v>002060</v>
      </c>
      <c r="C1677" t="s">
        <v>2484</v>
      </c>
      <c r="D1677" t="str">
        <f>[1]!EM_S_INFO_INDEX_EM(B1677,"1")</f>
        <v>建筑</v>
      </c>
      <c r="E1677" s="4">
        <f t="shared" si="26"/>
        <v>43465</v>
      </c>
      <c r="F1677" s="11">
        <f>[1]!EM_S_PQ_PCTCHANGE(B1677,"2018-01-01","2019-12-31","3")</f>
        <v>-19.200233539999999</v>
      </c>
      <c r="G1677" s="11">
        <f>[1]!EM_S_PQ_PCTCHANGE(B1677,"2018-12-31","2019-12-30","1")</f>
        <v>11.02941176</v>
      </c>
      <c r="H1677" s="11">
        <f>[1]!EM_S_FA_YOY_OR(B1677,E1677)</f>
        <v>25.306401464899999</v>
      </c>
      <c r="I1677" s="11">
        <f>[1]!EM_S_FA_GROSSPROFITMARGIN(B1677,E1677)</f>
        <v>11.8480216474</v>
      </c>
      <c r="J1677" s="11">
        <f>[1]!EM_S_FA_NETPROFITMARGIN(B1677,E1677)</f>
        <v>2.4549281199999999</v>
      </c>
      <c r="K1677" s="10">
        <f>[1]!EM_S_FA_ASSETSTURN(B1677,E1677)</f>
        <v>0.43999408126</v>
      </c>
      <c r="L1677" s="12">
        <f>[1]!EM_HKS_VAL_MV(B1677,"2019-12-31","2")</f>
        <v>3642854035.7399998</v>
      </c>
      <c r="M1677">
        <f>[1]!EM_S_VAL_PETTMDEDUCTED(B1677,E1677)</f>
        <v>18.330747623468099</v>
      </c>
      <c r="N1677" s="7">
        <f>[1]!EM_S_VAL_PBGOODWILLDEDUCTED(B1677,E1677)</f>
        <v>1.0827509933114601</v>
      </c>
      <c r="O1677" s="7">
        <f>[1]!EM_S_VAL_PS_TTM(B1677,E1677)</f>
        <v>0.46309429546019698</v>
      </c>
      <c r="P1677" s="7">
        <f>[1]!EM_S_VAL_PCF_NCFTTM(B1677,E1677)</f>
        <v>27.657333947172798</v>
      </c>
      <c r="Q1677" s="7">
        <f>[1]!EM_S_VAL_DIVIDENDYIELD2(B1677,E1677,"2019-11-29")</f>
        <v>1.2027491408934705</v>
      </c>
      <c r="T1677"/>
      <c r="U1677">
        <f>[1]!EM_S_RATIO_EPS_TTM(B1677,E1677,"1")</f>
        <v>0.16697571406682452</v>
      </c>
      <c r="AT1677" s="4" t="str">
        <f>[1]!EM_S_IPO_LISTEDDATE(B1677)</f>
        <v>2006-08-10</v>
      </c>
    </row>
    <row r="1678" spans="1:46">
      <c r="A1678">
        <v>1739</v>
      </c>
      <c r="B1678" t="str">
        <f>"300314"</f>
        <v>300314</v>
      </c>
      <c r="C1678" t="s">
        <v>1442</v>
      </c>
      <c r="D1678" t="str">
        <f>[1]!EM_S_INFO_INDEX_EM(B1678,"1")</f>
        <v>医药生物</v>
      </c>
      <c r="E1678" s="4">
        <f t="shared" si="26"/>
        <v>43465</v>
      </c>
      <c r="F1678" s="11">
        <f>[1]!EM_S_PQ_PCTCHANGE(B1678,"2018-01-01","2019-12-31","3")</f>
        <v>-28.38259803</v>
      </c>
      <c r="G1678" s="11">
        <f>[1]!EM_S_PQ_PCTCHANGE(B1678,"2018-12-31","2019-12-30","1")</f>
        <v>11.01796407</v>
      </c>
      <c r="H1678" s="11">
        <f>[1]!EM_S_FA_YOY_OR(B1678,E1678)</f>
        <v>-1.1869569016999999</v>
      </c>
      <c r="I1678" s="11">
        <f>[1]!EM_S_FA_GROSSPROFITMARGIN(B1678,E1678)</f>
        <v>50.697606830700003</v>
      </c>
      <c r="J1678" s="11">
        <f>[1]!EM_S_FA_NETPROFITMARGIN(B1678,E1678)</f>
        <v>9.5946766366999992</v>
      </c>
      <c r="K1678" s="10">
        <f>[1]!EM_S_FA_ASSETSTURN(B1678,E1678)</f>
        <v>0.34257744371600002</v>
      </c>
      <c r="L1678" s="12">
        <f>[1]!EM_HKS_VAL_MV(B1678,"2019-12-31","2")</f>
        <v>2692800000</v>
      </c>
      <c r="M1678">
        <f>[1]!EM_S_VAL_PETTMDEDUCTED(B1678,E1678)</f>
        <v>108.445991445312</v>
      </c>
      <c r="N1678" s="7">
        <f>[1]!EM_S_VAL_PBGOODWILLDEDUCTED(B1678,E1678)</f>
        <v>3.0415039191173299</v>
      </c>
      <c r="O1678" s="7">
        <f>[1]!EM_S_VAL_PS_TTM(B1678,E1678)</f>
        <v>8.3832381306292891</v>
      </c>
      <c r="P1678" s="7">
        <f>[1]!EM_S_VAL_PCF_NCFTTM(B1678,E1678)</f>
        <v>141.623395997036</v>
      </c>
      <c r="Q1678" s="7">
        <f>[1]!EM_S_VAL_DIVIDENDYIELD2(B1678,E1678,"2019-11-29")</f>
        <v>1.0650887573964496</v>
      </c>
      <c r="T1678"/>
      <c r="U1678">
        <f>[1]!EM_S_RATIO_EPS_TTM(B1678,E1678,"1")</f>
        <v>0.10004388503472222</v>
      </c>
      <c r="AT1678" s="4" t="str">
        <f>[1]!EM_S_IPO_LISTEDDATE(B1678)</f>
        <v>2012-05-08</v>
      </c>
    </row>
    <row r="1679" spans="1:46">
      <c r="A1679">
        <v>3164</v>
      </c>
      <c r="B1679" t="str">
        <f>"601877"</f>
        <v>601877</v>
      </c>
      <c r="C1679" t="s">
        <v>801</v>
      </c>
      <c r="D1679" t="str">
        <f>[1]!EM_S_INFO_INDEX_EM(B1679,"1")</f>
        <v>电气设备</v>
      </c>
      <c r="E1679" s="4">
        <f t="shared" si="26"/>
        <v>43465</v>
      </c>
      <c r="F1679" s="11">
        <f>[1]!EM_S_PQ_PCTCHANGE(B1679,"2018-01-01","2019-12-31","3")</f>
        <v>9.2801764799999997</v>
      </c>
      <c r="G1679" s="11">
        <f>[1]!EM_S_PQ_PCTCHANGE(B1679,"2018-12-31","2019-12-30","1")</f>
        <v>11.01485149</v>
      </c>
      <c r="H1679" s="11">
        <f>[1]!EM_S_FA_YOY_OR(B1679,E1679)</f>
        <v>17.100224913800002</v>
      </c>
      <c r="I1679" s="11">
        <f>[1]!EM_S_FA_GROSSPROFITMARGIN(B1679,E1679)</f>
        <v>29.667981408700001</v>
      </c>
      <c r="J1679" s="11">
        <f>[1]!EM_S_FA_NETPROFITMARGIN(B1679,E1679)</f>
        <v>13.718610152</v>
      </c>
      <c r="K1679" s="10">
        <f>[1]!EM_S_FA_ASSETSTURN(B1679,E1679)</f>
        <v>0.59780784822199995</v>
      </c>
      <c r="L1679" s="12">
        <f>[1]!EM_HKS_VAL_MV(B1679,"2019-12-31","2")</f>
        <v>57653229748.800003</v>
      </c>
      <c r="M1679">
        <f>[1]!EM_S_VAL_PETTMDEDUCTED(B1679,E1679)</f>
        <v>14.5862514851413</v>
      </c>
      <c r="N1679" s="7">
        <f>[1]!EM_S_VAL_PBGOODWILLDEDUCTED(B1679,E1679)</f>
        <v>2.41221690225463</v>
      </c>
      <c r="O1679" s="7">
        <f>[1]!EM_S_VAL_PS_TTM(B1679,E1679)</f>
        <v>1.96123043624414</v>
      </c>
      <c r="P1679" s="7">
        <f>[1]!EM_S_VAL_PCF_NCFTTM(B1679,E1679)</f>
        <v>-19.295054600842398</v>
      </c>
      <c r="Q1679" s="7">
        <f>[1]!EM_S_VAL_DIVIDENDYIELD2(B1679,E1679,"2019-11-29")</f>
        <v>2.5125628140703515</v>
      </c>
      <c r="T1679"/>
      <c r="U1679">
        <f>[1]!EM_S_RATIO_EPS_TTM(B1679,E1679,"1")</f>
        <v>1.6693991750797736</v>
      </c>
      <c r="AT1679" s="4" t="str">
        <f>[1]!EM_S_IPO_LISTEDDATE(B1679)</f>
        <v>2010-01-21</v>
      </c>
    </row>
    <row r="1680" spans="1:46">
      <c r="A1680">
        <v>3299</v>
      </c>
      <c r="B1680" t="str">
        <f>"603177"</f>
        <v>603177</v>
      </c>
      <c r="C1680" t="s">
        <v>3446</v>
      </c>
      <c r="D1680" t="str">
        <f>[1]!EM_S_INFO_INDEX_EM(B1680,"1")</f>
        <v>公用事业</v>
      </c>
      <c r="E1680" s="4">
        <f t="shared" si="26"/>
        <v>43465</v>
      </c>
      <c r="F1680" s="11">
        <f>[1]!EM_S_PQ_PCTCHANGE(B1680,"2018-01-01","2019-12-31","3")</f>
        <v>-50.900787739999998</v>
      </c>
      <c r="G1680" s="11">
        <f>[1]!EM_S_PQ_PCTCHANGE(B1680,"2018-12-31","2019-12-30","1")</f>
        <v>10.99020675</v>
      </c>
      <c r="H1680" s="11">
        <f>[1]!EM_S_FA_YOY_OR(B1680,E1680)</f>
        <v>-6.5949198418000003</v>
      </c>
      <c r="I1680" s="11">
        <f>[1]!EM_S_FA_GROSSPROFITMARGIN(B1680,E1680)</f>
        <v>23.409295493799998</v>
      </c>
      <c r="J1680" s="11">
        <f>[1]!EM_S_FA_NETPROFITMARGIN(B1680,E1680)</f>
        <v>1.7226334992000001</v>
      </c>
      <c r="K1680" s="10">
        <f>[1]!EM_S_FA_ASSETSTURN(B1680,E1680)</f>
        <v>0.59350256136799995</v>
      </c>
      <c r="L1680" s="12">
        <f>[1]!EM_HKS_VAL_MV(B1680,"2019-12-31","2")</f>
        <v>2048280000</v>
      </c>
      <c r="M1680">
        <f>[1]!EM_S_VAL_PETTMDEDUCTED(B1680,E1680)</f>
        <v>122.89830292278501</v>
      </c>
      <c r="N1680" s="7">
        <f>[1]!EM_S_VAL_PBGOODWILLDEDUCTED(B1680,E1680)</f>
        <v>3.5116122274538601</v>
      </c>
      <c r="O1680" s="7">
        <f>[1]!EM_S_VAL_PS_TTM(B1680,E1680)</f>
        <v>2.4962522362250898</v>
      </c>
      <c r="P1680" s="7">
        <f>[1]!EM_S_VAL_PCF_NCFTTM(B1680,E1680)</f>
        <v>193.62889568033</v>
      </c>
      <c r="Q1680" s="7">
        <f>[1]!EM_S_VAL_DIVIDENDYIELD2(B1680,E1680,"2019-11-29")</f>
        <v>0</v>
      </c>
      <c r="T1680"/>
      <c r="U1680">
        <f>[1]!EM_S_RATIO_EPS_TTM(B1680,E1680,"1")</f>
        <v>6.365262658415842E-2</v>
      </c>
      <c r="AT1680" s="4" t="str">
        <f>[1]!EM_S_IPO_LISTEDDATE(B1680)</f>
        <v>2017-02-07</v>
      </c>
    </row>
    <row r="1681" spans="1:46">
      <c r="A1681">
        <v>2994</v>
      </c>
      <c r="B1681" t="str">
        <f>"600969"</f>
        <v>600969</v>
      </c>
      <c r="C1681" t="s">
        <v>2667</v>
      </c>
      <c r="D1681" t="str">
        <f>[1]!EM_S_INFO_INDEX_EM(B1681,"1")</f>
        <v>公用事业</v>
      </c>
      <c r="E1681" s="4">
        <f t="shared" si="26"/>
        <v>43465</v>
      </c>
      <c r="F1681" s="11">
        <f>[1]!EM_S_PQ_PCTCHANGE(B1681,"2018-01-01","2019-12-31","3")</f>
        <v>-24.384360999999998</v>
      </c>
      <c r="G1681" s="11">
        <f>[1]!EM_S_PQ_PCTCHANGE(B1681,"2018-12-31","2019-12-30","1")</f>
        <v>10.96121417</v>
      </c>
      <c r="H1681" s="11">
        <f>[1]!EM_S_FA_YOY_OR(B1681,E1681)</f>
        <v>8.7885546343000005</v>
      </c>
      <c r="I1681" s="11">
        <f>[1]!EM_S_FA_GROSSPROFITMARGIN(B1681,E1681)</f>
        <v>15.5317106124</v>
      </c>
      <c r="J1681" s="11">
        <f>[1]!EM_S_FA_NETPROFITMARGIN(B1681,E1681)</f>
        <v>4.0365373843999999</v>
      </c>
      <c r="K1681" s="10">
        <f>[1]!EM_S_FA_ASSETSTURN(B1681,E1681)</f>
        <v>0.21251997064100001</v>
      </c>
      <c r="L1681" s="12">
        <f>[1]!EM_HKS_VAL_MV(B1681,"2019-12-31","2")</f>
        <v>2449734204.0799999</v>
      </c>
      <c r="M1681">
        <f>[1]!EM_S_VAL_PETTMDEDUCTED(B1681,E1681)</f>
        <v>481.81379437241401</v>
      </c>
      <c r="N1681" s="7">
        <f>[1]!EM_S_VAL_PBGOODWILLDEDUCTED(B1681,E1681)</f>
        <v>0.64136245513884604</v>
      </c>
      <c r="O1681" s="7">
        <f>[1]!EM_S_VAL_PS_TTM(B1681,E1681)</f>
        <v>0.79325421200202595</v>
      </c>
      <c r="P1681" s="7">
        <f>[1]!EM_S_VAL_PCF_NCFTTM(B1681,E1681)</f>
        <v>-1.26235238483173</v>
      </c>
      <c r="Q1681" s="7">
        <f>[1]!EM_S_VAL_DIVIDENDYIELD2(B1681,E1681,"2019-11-29")</f>
        <v>0.41812400635930042</v>
      </c>
      <c r="T1681"/>
      <c r="U1681">
        <f>[1]!EM_S_RATIO_EPS_TTM(B1681,E1681,"1")</f>
        <v>0.10388540370075561</v>
      </c>
      <c r="AT1681" s="4" t="str">
        <f>[1]!EM_S_IPO_LISTEDDATE(B1681)</f>
        <v>2004-04-08</v>
      </c>
    </row>
    <row r="1682" spans="1:46">
      <c r="A1682">
        <v>2637</v>
      </c>
      <c r="B1682" t="str">
        <f>"600562"</f>
        <v>600562</v>
      </c>
      <c r="C1682" t="s">
        <v>2247</v>
      </c>
      <c r="D1682" t="str">
        <f>[1]!EM_S_INFO_INDEX_EM(B1682,"1")</f>
        <v>电子设备</v>
      </c>
      <c r="E1682" s="4">
        <f t="shared" si="26"/>
        <v>43465</v>
      </c>
      <c r="F1682" s="11">
        <f>[1]!EM_S_PQ_PCTCHANGE(B1682,"2018-01-01","2019-12-31","3")</f>
        <v>-21.88479135</v>
      </c>
      <c r="G1682" s="11">
        <f>[1]!EM_S_PQ_PCTCHANGE(B1682,"2018-12-31","2019-12-30","1")</f>
        <v>10.955710959999999</v>
      </c>
      <c r="H1682" s="11">
        <f>[1]!EM_S_FA_YOY_OR(B1682,E1682)</f>
        <v>-9.6281045234999993</v>
      </c>
      <c r="I1682" s="11">
        <f>[1]!EM_S_FA_GROSSPROFITMARGIN(B1682,E1682)</f>
        <v>18.381027222</v>
      </c>
      <c r="J1682" s="11">
        <f>[1]!EM_S_FA_NETPROFITMARGIN(B1682,E1682)</f>
        <v>3.6234941104999998</v>
      </c>
      <c r="K1682" s="10">
        <f>[1]!EM_S_FA_ASSETSTURN(B1682,E1682)</f>
        <v>0.37574338864599999</v>
      </c>
      <c r="L1682" s="12">
        <f>[1]!EM_HKS_VAL_MV(B1682,"2019-12-31","2")</f>
        <v>8924509310.4599991</v>
      </c>
      <c r="M1682">
        <f>[1]!EM_S_VAL_PETTMDEDUCTED(B1682,E1682)</f>
        <v>125.627703207618</v>
      </c>
      <c r="N1682" s="7">
        <f>[1]!EM_S_VAL_PBGOODWILLDEDUCTED(B1682,E1682)</f>
        <v>4.5117153149162101</v>
      </c>
      <c r="O1682" s="7">
        <f>[1]!EM_S_VAL_PS_TTM(B1682,E1682)</f>
        <v>7.1231315641562096</v>
      </c>
      <c r="P1682" s="7">
        <f>[1]!EM_S_VAL_PCF_NCFTTM(B1682,E1682)</f>
        <v>-60.017525059125198</v>
      </c>
      <c r="Q1682" s="7">
        <f>[1]!EM_S_VAL_DIVIDENDYIELD2(B1682,E1682,"2019-11-29")</f>
        <v>0.1395007342143906</v>
      </c>
      <c r="T1682"/>
      <c r="U1682">
        <f>[1]!EM_S_RATIO_EPS_TTM(B1682,E1682,"1")</f>
        <v>6.0743553636032677E-2</v>
      </c>
      <c r="AT1682" s="4" t="str">
        <f>[1]!EM_S_IPO_LISTEDDATE(B1682)</f>
        <v>2003-01-28</v>
      </c>
    </row>
    <row r="1683" spans="1:46">
      <c r="A1683">
        <v>2565</v>
      </c>
      <c r="B1683" t="str">
        <f>"600479"</f>
        <v>600479</v>
      </c>
      <c r="C1683" t="s">
        <v>1529</v>
      </c>
      <c r="D1683" t="str">
        <f>[1]!EM_S_INFO_INDEX_EM(B1683,"1")</f>
        <v>医药生物</v>
      </c>
      <c r="E1683" s="4">
        <f t="shared" si="26"/>
        <v>43465</v>
      </c>
      <c r="F1683" s="11">
        <f>[1]!EM_S_PQ_PCTCHANGE(B1683,"2018-01-01","2019-12-31","3")</f>
        <v>-20.151466809999999</v>
      </c>
      <c r="G1683" s="11">
        <f>[1]!EM_S_PQ_PCTCHANGE(B1683,"2018-12-31","2019-12-30","1")</f>
        <v>10.95360825</v>
      </c>
      <c r="H1683" s="11">
        <f>[1]!EM_S_FA_YOY_OR(B1683,E1683)</f>
        <v>4.5812726490999998</v>
      </c>
      <c r="I1683" s="11">
        <f>[1]!EM_S_FA_GROSSPROFITMARGIN(B1683,E1683)</f>
        <v>46.635341735099999</v>
      </c>
      <c r="J1683" s="11">
        <f>[1]!EM_S_FA_NETPROFITMARGIN(B1683,E1683)</f>
        <v>9.0897313363999999</v>
      </c>
      <c r="K1683" s="10">
        <f>[1]!EM_S_FA_ASSETSTURN(B1683,E1683)</f>
        <v>0.98487100510199999</v>
      </c>
      <c r="L1683" s="12">
        <f>[1]!EM_HKS_VAL_MV(B1683,"2019-12-31","2")</f>
        <v>3670307416.0900002</v>
      </c>
      <c r="M1683">
        <f>[1]!EM_S_VAL_PETTMDEDUCTED(B1683,E1683)</f>
        <v>16.0865131238555</v>
      </c>
      <c r="N1683" s="7">
        <f>[1]!EM_S_VAL_PBGOODWILLDEDUCTED(B1683,E1683)</f>
        <v>1.6119117315345399</v>
      </c>
      <c r="O1683" s="7">
        <f>[1]!EM_S_VAL_PS_TTM(B1683,E1683)</f>
        <v>1.0170872901477499</v>
      </c>
      <c r="P1683" s="7">
        <f>[1]!EM_S_VAL_PCF_NCFTTM(B1683,E1683)</f>
        <v>-29.315923812090698</v>
      </c>
      <c r="Q1683" s="7">
        <f>[1]!EM_S_VAL_DIVIDENDYIELD2(B1683,E1683,"2019-11-29")</f>
        <v>4.7114252061248525</v>
      </c>
      <c r="T1683"/>
      <c r="U1683">
        <f>[1]!EM_S_RATIO_EPS_TTM(B1683,E1683,"1")</f>
        <v>0.61015761901607046</v>
      </c>
      <c r="AT1683" s="4" t="str">
        <f>[1]!EM_S_IPO_LISTEDDATE(B1683)</f>
        <v>2004-03-12</v>
      </c>
    </row>
    <row r="1684" spans="1:46">
      <c r="A1684">
        <v>292</v>
      </c>
      <c r="B1684" t="str">
        <f>"000710"</f>
        <v>000710</v>
      </c>
      <c r="C1684" t="s">
        <v>440</v>
      </c>
      <c r="D1684" t="str">
        <f>[1]!EM_S_INFO_INDEX_EM(B1684,"1")</f>
        <v>医药生物</v>
      </c>
      <c r="E1684" s="4">
        <f t="shared" si="26"/>
        <v>43465</v>
      </c>
      <c r="F1684" s="11">
        <f>[1]!EM_S_PQ_PCTCHANGE(B1684,"2018-01-01","2019-12-31","3")</f>
        <v>-35.071846729999997</v>
      </c>
      <c r="G1684" s="11">
        <f>[1]!EM_S_PQ_PCTCHANGE(B1684,"2018-12-31","2019-12-30","1")</f>
        <v>10.90909091</v>
      </c>
      <c r="H1684" s="11">
        <f>[1]!EM_S_FA_YOY_OR(B1684,E1684)</f>
        <v>22.933716635100001</v>
      </c>
      <c r="I1684" s="11">
        <f>[1]!EM_S_FA_GROSSPROFITMARGIN(B1684,E1684)</f>
        <v>58.238016359299998</v>
      </c>
      <c r="J1684" s="11">
        <f>[1]!EM_S_FA_NETPROFITMARGIN(B1684,E1684)</f>
        <v>18.042290361999999</v>
      </c>
      <c r="K1684" s="10">
        <f>[1]!EM_S_FA_ASSETSTURN(B1684,E1684)</f>
        <v>0.722714007617</v>
      </c>
      <c r="L1684" s="12">
        <f>[1]!EM_HKS_VAL_MV(B1684,"2019-12-31","2")</f>
        <v>12978574659</v>
      </c>
      <c r="M1684">
        <f>[1]!EM_S_VAL_PETTMDEDUCTED(B1684,E1684)</f>
        <v>37.082444206697403</v>
      </c>
      <c r="N1684" s="7">
        <f>[1]!EM_S_VAL_PBGOODWILLDEDUCTED(B1684,E1684)</f>
        <v>5.9851279812741103</v>
      </c>
      <c r="O1684" s="7">
        <f>[1]!EM_S_VAL_PS_TTM(B1684,E1684)</f>
        <v>8.1552300206607402</v>
      </c>
      <c r="P1684" s="7">
        <f>[1]!EM_S_VAL_PCF_NCFTTM(B1684,E1684)</f>
        <v>-1985.2560641175401</v>
      </c>
      <c r="Q1684" s="7">
        <f>[1]!EM_S_VAL_DIVIDENDYIELD2(B1684,E1684,"2019-11-29")</f>
        <v>0</v>
      </c>
      <c r="T1684"/>
      <c r="U1684">
        <f>[1]!EM_S_RATIO_EPS_TTM(B1684,E1684,"1")</f>
        <v>0.75602796045124632</v>
      </c>
      <c r="AT1684" s="4" t="str">
        <f>[1]!EM_S_IPO_LISTEDDATE(B1684)</f>
        <v>1997-04-22</v>
      </c>
    </row>
    <row r="1685" spans="1:46">
      <c r="A1685">
        <v>2524</v>
      </c>
      <c r="B1685" t="str">
        <f>"600415"</f>
        <v>600415</v>
      </c>
      <c r="C1685" t="s">
        <v>190</v>
      </c>
      <c r="D1685" t="str">
        <f>[1]!EM_S_INFO_INDEX_EM(B1685,"1")</f>
        <v>房地产</v>
      </c>
      <c r="E1685" s="4">
        <f t="shared" si="26"/>
        <v>43465</v>
      </c>
      <c r="F1685" s="11">
        <f>[1]!EM_S_PQ_PCTCHANGE(B1685,"2018-01-01","2019-12-31","3")</f>
        <v>-30.80439582</v>
      </c>
      <c r="G1685" s="11">
        <f>[1]!EM_S_PQ_PCTCHANGE(B1685,"2018-12-31","2019-12-30","1")</f>
        <v>10.88825215</v>
      </c>
      <c r="H1685" s="11">
        <f>[1]!EM_S_FA_YOY_OR(B1685,E1685)</f>
        <v>-64.123851214699997</v>
      </c>
      <c r="I1685" s="11">
        <f>[1]!EM_S_FA_GROSSPROFITMARGIN(B1685,E1685)</f>
        <v>49.3565848788</v>
      </c>
      <c r="J1685" s="11">
        <f>[1]!EM_S_FA_NETPROFITMARGIN(B1685,E1685)</f>
        <v>28.988396786100001</v>
      </c>
      <c r="K1685" s="10">
        <f>[1]!EM_S_FA_ASSETSTURN(B1685,E1685)</f>
        <v>0.141655742389</v>
      </c>
      <c r="L1685" s="12">
        <f>[1]!EM_HKS_VAL_MV(B1685,"2019-12-31","2")</f>
        <v>21065238861.119999</v>
      </c>
      <c r="M1685">
        <f>[1]!EM_S_VAL_PETTMDEDUCTED(B1685,E1685)</f>
        <v>16.4743109956325</v>
      </c>
      <c r="N1685" s="7">
        <f>[1]!EM_S_VAL_PBGOODWILLDEDUCTED(B1685,E1685)</f>
        <v>1.6150975173117099</v>
      </c>
      <c r="O1685" s="7">
        <f>[1]!EM_S_VAL_PS_TTM(B1685,E1685)</f>
        <v>5.1352938271444302</v>
      </c>
      <c r="P1685" s="7">
        <f>[1]!EM_S_VAL_PCF_NCFTTM(B1685,E1685)</f>
        <v>12.688799101306699</v>
      </c>
      <c r="Q1685" s="7">
        <f>[1]!EM_S_VAL_DIVIDENDYIELD2(B1685,E1685,"2019-11-29")</f>
        <v>1.5748031496062991</v>
      </c>
      <c r="T1685"/>
      <c r="U1685">
        <f>[1]!EM_S_RATIO_EPS_TTM(B1685,E1685,"1")</f>
        <v>0.19889560828113187</v>
      </c>
      <c r="AT1685" s="4" t="str">
        <f>[1]!EM_S_IPO_LISTEDDATE(B1685)</f>
        <v>2002-05-09</v>
      </c>
    </row>
    <row r="1686" spans="1:46">
      <c r="A1686">
        <v>1886</v>
      </c>
      <c r="B1686" t="str">
        <f>"300461"</f>
        <v>300461</v>
      </c>
      <c r="C1686" t="s">
        <v>2187</v>
      </c>
      <c r="D1686" t="str">
        <f>[1]!EM_S_INFO_INDEX_EM(B1686,"1")</f>
        <v>机械设备</v>
      </c>
      <c r="E1686" s="4">
        <f t="shared" si="26"/>
        <v>43465</v>
      </c>
      <c r="F1686" s="11">
        <f>[1]!EM_S_PQ_PCTCHANGE(B1686,"2018-01-01","2019-12-31","3")</f>
        <v>-39.171772050000001</v>
      </c>
      <c r="G1686" s="11">
        <f>[1]!EM_S_PQ_PCTCHANGE(B1686,"2018-12-31","2019-12-30","1")</f>
        <v>10.886644220000001</v>
      </c>
      <c r="H1686" s="11">
        <f>[1]!EM_S_FA_YOY_OR(B1686,E1686)</f>
        <v>59.296943478199999</v>
      </c>
      <c r="I1686" s="11">
        <f>[1]!EM_S_FA_GROSSPROFITMARGIN(B1686,E1686)</f>
        <v>39.0322557195</v>
      </c>
      <c r="J1686" s="11">
        <f>[1]!EM_S_FA_NETPROFITMARGIN(B1686,E1686)</f>
        <v>-10.5496149182</v>
      </c>
      <c r="K1686" s="10">
        <f>[1]!EM_S_FA_ASSETSTURN(B1686,E1686)</f>
        <v>0.60498937885500004</v>
      </c>
      <c r="L1686" s="12">
        <f>[1]!EM_HKS_VAL_MV(B1686,"2019-12-31","2")</f>
        <v>2368377138.5999999</v>
      </c>
      <c r="M1686">
        <f>[1]!EM_S_VAL_PETTMDEDUCTED(B1686,E1686)</f>
        <v>28.702637733801598</v>
      </c>
      <c r="N1686" s="7">
        <f>[1]!EM_S_VAL_PBGOODWILLDEDUCTED(B1686,E1686)</f>
        <v>11.2319141258992</v>
      </c>
      <c r="O1686" s="7">
        <f>[1]!EM_S_VAL_PS_TTM(B1686,E1686)</f>
        <v>2.5800142804833799</v>
      </c>
      <c r="P1686" s="7">
        <f>[1]!EM_S_VAL_PCF_NCFTTM(B1686,E1686)</f>
        <v>24.585322363512802</v>
      </c>
      <c r="Q1686" s="7">
        <f>[1]!EM_S_VAL_DIVIDENDYIELD2(B1686,E1686,"2019-11-29")</f>
        <v>0</v>
      </c>
      <c r="T1686"/>
      <c r="U1686">
        <f>[1]!EM_S_RATIO_EPS_TTM(B1686,E1686,"1")</f>
        <v>-0.71259515243256732</v>
      </c>
      <c r="AT1686" s="4" t="str">
        <f>[1]!EM_S_IPO_LISTEDDATE(B1686)</f>
        <v>2015-05-19</v>
      </c>
    </row>
    <row r="1687" spans="1:46">
      <c r="A1687">
        <v>2461</v>
      </c>
      <c r="B1687" t="str">
        <f>"600337"</f>
        <v>600337</v>
      </c>
      <c r="C1687" t="s">
        <v>1974</v>
      </c>
      <c r="D1687" t="str">
        <f>[1]!EM_S_INFO_INDEX_EM(B1687,"1")</f>
        <v>轻工制造</v>
      </c>
      <c r="E1687" s="4">
        <f t="shared" si="26"/>
        <v>43465</v>
      </c>
      <c r="F1687" s="11">
        <f>[1]!EM_S_PQ_PCTCHANGE(B1687,"2018-01-01","2019-12-31","3")</f>
        <v>-21.986352700000001</v>
      </c>
      <c r="G1687" s="11">
        <f>[1]!EM_S_PQ_PCTCHANGE(B1687,"2018-12-31","2019-12-30","1")</f>
        <v>10.88607595</v>
      </c>
      <c r="H1687" s="11">
        <f>[1]!EM_S_FA_YOY_OR(B1687,E1687)</f>
        <v>25.879316204199998</v>
      </c>
      <c r="I1687" s="11">
        <f>[1]!EM_S_FA_GROSSPROFITMARGIN(B1687,E1687)</f>
        <v>52.159068190799999</v>
      </c>
      <c r="J1687" s="11">
        <f>[1]!EM_S_FA_NETPROFITMARGIN(B1687,E1687)</f>
        <v>8.4645708245000009</v>
      </c>
      <c r="K1687" s="10">
        <f>[1]!EM_S_FA_ASSETSTURN(B1687,E1687)</f>
        <v>0.67073600814500001</v>
      </c>
      <c r="L1687" s="12">
        <f>[1]!EM_HKS_VAL_MV(B1687,"2019-12-31","2")</f>
        <v>7845143420.4799995</v>
      </c>
      <c r="M1687">
        <f>[1]!EM_S_VAL_PETTMDEDUCTED(B1687,E1687)</f>
        <v>17.176738544171599</v>
      </c>
      <c r="N1687" s="7">
        <f>[1]!EM_S_VAL_PBGOODWILLDEDUCTED(B1687,E1687)</f>
        <v>1.47961011877541</v>
      </c>
      <c r="O1687" s="7">
        <f>[1]!EM_S_VAL_PS_TTM(B1687,E1687)</f>
        <v>1.3353532080177699</v>
      </c>
      <c r="P1687" s="7">
        <f>[1]!EM_S_VAL_PCF_NCFTTM(B1687,E1687)</f>
        <v>-54.826272114614298</v>
      </c>
      <c r="Q1687" s="7">
        <f>[1]!EM_S_VAL_DIVIDENDYIELD2(B1687,E1687,"2019-11-29")</f>
        <v>5.141388174807199</v>
      </c>
      <c r="T1687"/>
      <c r="U1687">
        <f>[1]!EM_S_RATIO_EPS_TTM(B1687,E1687,"1")</f>
        <v>0.25419432019624233</v>
      </c>
      <c r="AT1687" s="4" t="str">
        <f>[1]!EM_S_IPO_LISTEDDATE(B1687)</f>
        <v>2000-11-27</v>
      </c>
    </row>
    <row r="1688" spans="1:46">
      <c r="A1688">
        <v>1391</v>
      </c>
      <c r="B1688" t="str">
        <f>"002892"</f>
        <v>002892</v>
      </c>
      <c r="C1688" t="s">
        <v>1799</v>
      </c>
      <c r="D1688" t="str">
        <f>[1]!EM_S_INFO_INDEX_EM(B1688,"1")</f>
        <v>电气设备</v>
      </c>
      <c r="E1688" s="4">
        <f t="shared" si="26"/>
        <v>43465</v>
      </c>
      <c r="F1688" s="11">
        <f>[1]!EM_S_PQ_PCTCHANGE(B1688,"2018-01-01","2019-12-31","3")</f>
        <v>36.607648730000001</v>
      </c>
      <c r="G1688" s="11">
        <f>[1]!EM_S_PQ_PCTCHANGE(B1688,"2018-12-31","2019-12-30","1")</f>
        <v>10.882572919999999</v>
      </c>
      <c r="H1688" s="11">
        <f>[1]!EM_S_FA_YOY_OR(B1688,E1688)</f>
        <v>21.847242986200001</v>
      </c>
      <c r="I1688" s="11">
        <f>[1]!EM_S_FA_GROSSPROFITMARGIN(B1688,E1688)</f>
        <v>22.0382410241</v>
      </c>
      <c r="J1688" s="11">
        <f>[1]!EM_S_FA_NETPROFITMARGIN(B1688,E1688)</f>
        <v>9.6483751729999998</v>
      </c>
      <c r="K1688" s="10">
        <f>[1]!EM_S_FA_ASSETSTURN(B1688,E1688)</f>
        <v>1.013443765011</v>
      </c>
      <c r="L1688" s="12">
        <f>[1]!EM_HKS_VAL_MV(B1688,"2019-12-31","2")</f>
        <v>4168379600</v>
      </c>
      <c r="M1688">
        <f>[1]!EM_S_VAL_PETTMDEDUCTED(B1688,E1688)</f>
        <v>44.998871470316303</v>
      </c>
      <c r="N1688" s="7">
        <f>[1]!EM_S_VAL_PBGOODWILLDEDUCTED(B1688,E1688)</f>
        <v>3.5719491969148698</v>
      </c>
      <c r="O1688" s="7">
        <f>[1]!EM_S_VAL_PS_TTM(B1688,E1688)</f>
        <v>3.2709855808728001</v>
      </c>
      <c r="P1688" s="7">
        <f>[1]!EM_S_VAL_PCF_NCFTTM(B1688,E1688)</f>
        <v>-12.881346872938501</v>
      </c>
      <c r="Q1688" s="7">
        <f>[1]!EM_S_VAL_DIVIDENDYIELD2(B1688,E1688,"2019-11-29")</f>
        <v>0.79215988049702379</v>
      </c>
      <c r="T1688"/>
      <c r="U1688">
        <f>[1]!EM_S_RATIO_EPS_TTM(B1688,E1688,"1")</f>
        <v>0.83202315191387555</v>
      </c>
      <c r="AT1688" s="4" t="str">
        <f>[1]!EM_S_IPO_LISTEDDATE(B1688)</f>
        <v>2017-08-17</v>
      </c>
    </row>
    <row r="1689" spans="1:46">
      <c r="A1689">
        <v>2380</v>
      </c>
      <c r="B1689" t="str">
        <f>"600248"</f>
        <v>600248</v>
      </c>
      <c r="C1689" t="s">
        <v>2150</v>
      </c>
      <c r="D1689" t="str">
        <f>[1]!EM_S_INFO_INDEX_EM(B1689,"1")</f>
        <v>建筑</v>
      </c>
      <c r="E1689" s="4">
        <f t="shared" si="26"/>
        <v>43465</v>
      </c>
      <c r="F1689" s="11">
        <f>[1]!EM_S_PQ_PCTCHANGE(B1689,"2018-01-01","2019-12-31","3")</f>
        <v>-17.852415570000002</v>
      </c>
      <c r="G1689" s="11">
        <f>[1]!EM_S_PQ_PCTCHANGE(B1689,"2018-12-31","2019-12-30","1")</f>
        <v>10.74168798</v>
      </c>
      <c r="H1689" s="11">
        <f>[1]!EM_S_FA_YOY_OR(B1689,E1689)</f>
        <v>-4.1985345549000002</v>
      </c>
      <c r="I1689" s="11">
        <f>[1]!EM_S_FA_GROSSPROFITMARGIN(B1689,E1689)</f>
        <v>9.6718874066999998</v>
      </c>
      <c r="J1689" s="11">
        <f>[1]!EM_S_FA_NETPROFITMARGIN(B1689,E1689)</f>
        <v>4.5963918963000001</v>
      </c>
      <c r="K1689" s="10">
        <f>[1]!EM_S_FA_ASSETSTURN(B1689,E1689)</f>
        <v>1.094327356905</v>
      </c>
      <c r="L1689" s="12">
        <f>[1]!EM_HKS_VAL_MV(B1689,"2019-12-31","2")</f>
        <v>4038991756.8000002</v>
      </c>
      <c r="M1689">
        <f>[1]!EM_S_VAL_PETTMDEDUCTED(B1689,E1689)</f>
        <v>26.577622501990099</v>
      </c>
      <c r="N1689" s="7">
        <f>[1]!EM_S_VAL_PBGOODWILLDEDUCTED(B1689,E1689)</f>
        <v>1.3120956089614499</v>
      </c>
      <c r="O1689" s="7">
        <f>[1]!EM_S_VAL_PS_TTM(B1689,E1689)</f>
        <v>0.81926550071057103</v>
      </c>
      <c r="P1689" s="7">
        <f>[1]!EM_S_VAL_PCF_NCFTTM(B1689,E1689)</f>
        <v>12.965300001305399</v>
      </c>
      <c r="Q1689" s="7">
        <f>[1]!EM_S_VAL_DIVIDENDYIELD2(B1689,E1689,"2019-11-29")</f>
        <v>2.4096385542168677</v>
      </c>
      <c r="T1689"/>
      <c r="U1689">
        <f>[1]!EM_S_RATIO_EPS_TTM(B1689,E1689,"1")</f>
        <v>0.30651007023813098</v>
      </c>
      <c r="AT1689" s="4" t="str">
        <f>[1]!EM_S_IPO_LISTEDDATE(B1689)</f>
        <v>2000-06-22</v>
      </c>
    </row>
    <row r="1690" spans="1:46">
      <c r="A1690">
        <v>427</v>
      </c>
      <c r="B1690" t="str">
        <f>"000899"</f>
        <v>000899</v>
      </c>
      <c r="C1690" t="s">
        <v>2684</v>
      </c>
      <c r="D1690" t="str">
        <f>[1]!EM_S_INFO_INDEX_EM(B1690,"1")</f>
        <v>公用事业</v>
      </c>
      <c r="E1690" s="4">
        <f t="shared" si="26"/>
        <v>43465</v>
      </c>
      <c r="F1690" s="11">
        <f>[1]!EM_S_PQ_PCTCHANGE(B1690,"2018-01-01","2019-12-31","3")</f>
        <v>-15.961623339999999</v>
      </c>
      <c r="G1690" s="11">
        <f>[1]!EM_S_PQ_PCTCHANGE(B1690,"2018-12-31","2019-12-30","1")</f>
        <v>10.73059361</v>
      </c>
      <c r="H1690" s="11">
        <f>[1]!EM_S_FA_YOY_OR(B1690,E1690)</f>
        <v>20.757993224100002</v>
      </c>
      <c r="I1690" s="11">
        <f>[1]!EM_S_FA_GROSSPROFITMARGIN(B1690,E1690)</f>
        <v>11.7657107439</v>
      </c>
      <c r="J1690" s="11">
        <f>[1]!EM_S_FA_NETPROFITMARGIN(B1690,E1690)</f>
        <v>7.3415058596999998</v>
      </c>
      <c r="K1690" s="10">
        <f>[1]!EM_S_FA_ASSETSTURN(B1690,E1690)</f>
        <v>0.34466437903399999</v>
      </c>
      <c r="L1690" s="12">
        <f>[1]!EM_HKS_VAL_MV(B1690,"2019-12-31","2")</f>
        <v>4751550691.1999998</v>
      </c>
      <c r="M1690">
        <f>[1]!EM_S_VAL_PETTMDEDUCTED(B1690,E1690)</f>
        <v>24.638251857073602</v>
      </c>
      <c r="N1690" s="7">
        <f>[1]!EM_S_VAL_PBGOODWILLDEDUCTED(B1690,E1690)</f>
        <v>0.91762793375745699</v>
      </c>
      <c r="O1690" s="7">
        <f>[1]!EM_S_VAL_PS_TTM(B1690,E1690)</f>
        <v>1.79229199837758</v>
      </c>
      <c r="P1690" s="7">
        <f>[1]!EM_S_VAL_PCF_NCFTTM(B1690,E1690)</f>
        <v>-5.1868170064414301</v>
      </c>
      <c r="Q1690" s="7">
        <f>[1]!EM_S_VAL_DIVIDENDYIELD2(B1690,E1690,"2019-11-29")</f>
        <v>2.5641025641025639</v>
      </c>
      <c r="T1690"/>
      <c r="U1690">
        <f>[1]!EM_S_RATIO_EPS_TTM(B1690,E1690,"1")</f>
        <v>0.19320244728136471</v>
      </c>
      <c r="AT1690" s="4" t="str">
        <f>[1]!EM_S_IPO_LISTEDDATE(B1690)</f>
        <v>1997-11-26</v>
      </c>
    </row>
    <row r="1691" spans="1:46">
      <c r="A1691">
        <v>1998</v>
      </c>
      <c r="B1691" t="str">
        <f>"300577"</f>
        <v>300577</v>
      </c>
      <c r="C1691" t="s">
        <v>165</v>
      </c>
      <c r="D1691" t="str">
        <f>[1]!EM_S_INFO_INDEX_EM(B1691,"1")</f>
        <v>纺织服装</v>
      </c>
      <c r="E1691" s="4">
        <f t="shared" si="26"/>
        <v>43465</v>
      </c>
      <c r="F1691" s="11">
        <f>[1]!EM_S_PQ_PCTCHANGE(B1691,"2018-01-01","2019-12-31","3")</f>
        <v>3.9659723499999999</v>
      </c>
      <c r="G1691" s="11">
        <f>[1]!EM_S_PQ_PCTCHANGE(B1691,"2018-12-31","2019-12-30","1")</f>
        <v>10.71199487</v>
      </c>
      <c r="H1691" s="11">
        <f>[1]!EM_S_FA_YOY_OR(B1691,E1691)</f>
        <v>76.187690992300006</v>
      </c>
      <c r="I1691" s="11">
        <f>[1]!EM_S_FA_GROSSPROFITMARGIN(B1691,E1691)</f>
        <v>25.984719550099999</v>
      </c>
      <c r="J1691" s="11">
        <f>[1]!EM_S_FA_NETPROFITMARGIN(B1691,E1691)</f>
        <v>9.0028652390000001</v>
      </c>
      <c r="K1691" s="10">
        <f>[1]!EM_S_FA_ASSETSTURN(B1691,E1691)</f>
        <v>1.707044466118</v>
      </c>
      <c r="L1691" s="12">
        <f>[1]!EM_HKS_VAL_MV(B1691,"2019-12-31","2")</f>
        <v>7653000432</v>
      </c>
      <c r="M1691">
        <f>[1]!EM_S_VAL_PETTMDEDUCTED(B1691,E1691)</f>
        <v>48.507235797110901</v>
      </c>
      <c r="N1691" s="7">
        <f>[1]!EM_S_VAL_PBGOODWILLDEDUCTED(B1691,E1691)</f>
        <v>10.6637811033817</v>
      </c>
      <c r="O1691" s="7">
        <f>[1]!EM_S_VAL_PS_TTM(B1691,E1691)</f>
        <v>3.7468846224549202</v>
      </c>
      <c r="P1691" s="7">
        <f>[1]!EM_S_VAL_PCF_NCFTTM(B1691,E1691)</f>
        <v>37.0771157572606</v>
      </c>
      <c r="Q1691" s="7">
        <f>[1]!EM_S_VAL_DIVIDENDYIELD2(B1691,E1691,"2019-11-29")</f>
        <v>0.67266173048329114</v>
      </c>
      <c r="T1691"/>
      <c r="U1691">
        <f>[1]!EM_S_RATIO_EPS_TTM(B1691,E1691,"1")</f>
        <v>0.79834948154228136</v>
      </c>
      <c r="AT1691" s="4" t="str">
        <f>[1]!EM_S_IPO_LISTEDDATE(B1691)</f>
        <v>2016-12-21</v>
      </c>
    </row>
    <row r="1692" spans="1:46">
      <c r="A1692">
        <v>1200</v>
      </c>
      <c r="B1692" t="str">
        <f>"002689"</f>
        <v>002689</v>
      </c>
      <c r="C1692" t="s">
        <v>3585</v>
      </c>
      <c r="D1692" t="str">
        <f>[1]!EM_S_INFO_INDEX_EM(B1692,"1")</f>
        <v>机械设备</v>
      </c>
      <c r="E1692" s="4">
        <f t="shared" si="26"/>
        <v>43465</v>
      </c>
      <c r="F1692" s="11">
        <f>[1]!EM_S_PQ_PCTCHANGE(B1692,"2018-01-01","2019-12-31","3")</f>
        <v>-27.177207660000001</v>
      </c>
      <c r="G1692" s="11">
        <f>[1]!EM_S_PQ_PCTCHANGE(B1692,"2018-12-31","2019-12-30","1")</f>
        <v>10.70336391</v>
      </c>
      <c r="H1692" s="11">
        <f>[1]!EM_S_FA_YOY_OR(B1692,E1692)</f>
        <v>4.7057940805999996</v>
      </c>
      <c r="I1692" s="11">
        <f>[1]!EM_S_FA_GROSSPROFITMARGIN(B1692,E1692)</f>
        <v>26.043243549900001</v>
      </c>
      <c r="J1692" s="11">
        <f>[1]!EM_S_FA_NETPROFITMARGIN(B1692,E1692)</f>
        <v>0.67903146079999999</v>
      </c>
      <c r="K1692" s="10">
        <f>[1]!EM_S_FA_ASSETSTURN(B1692,E1692)</f>
        <v>0.50459004473699998</v>
      </c>
      <c r="L1692" s="12">
        <f>[1]!EM_HKS_VAL_MV(B1692,"2019-12-31","2")</f>
        <v>3776784824.5</v>
      </c>
      <c r="M1692">
        <f>[1]!EM_S_VAL_PETTMDEDUCTED(B1692,E1692)</f>
        <v>-120.502104383488</v>
      </c>
      <c r="N1692" s="7">
        <f>[1]!EM_S_VAL_PBGOODWILLDEDUCTED(B1692,E1692)</f>
        <v>2.4889720030834499</v>
      </c>
      <c r="O1692" s="7">
        <f>[1]!EM_S_VAL_PS_TTM(B1692,E1692)</f>
        <v>3.2525515223607702</v>
      </c>
      <c r="P1692" s="7">
        <f>[1]!EM_S_VAL_PCF_NCFTTM(B1692,E1692)</f>
        <v>-19.517383523712802</v>
      </c>
      <c r="Q1692" s="7">
        <f>[1]!EM_S_VAL_DIVIDENDYIELD2(B1692,E1692,"2019-11-29")</f>
        <v>0</v>
      </c>
      <c r="T1692"/>
      <c r="U1692">
        <f>[1]!EM_S_RATIO_EPS_TTM(B1692,E1692,"1")</f>
        <v>8.9657322845981477E-3</v>
      </c>
      <c r="AT1692" s="4" t="str">
        <f>[1]!EM_S_IPO_LISTEDDATE(B1692)</f>
        <v>2012-07-17</v>
      </c>
    </row>
    <row r="1693" spans="1:46">
      <c r="A1693">
        <v>1225</v>
      </c>
      <c r="B1693" t="str">
        <f>"002715"</f>
        <v>002715</v>
      </c>
      <c r="C1693" t="s">
        <v>2720</v>
      </c>
      <c r="D1693" t="str">
        <f>[1]!EM_S_INFO_INDEX_EM(B1693,"1")</f>
        <v>交运设备</v>
      </c>
      <c r="E1693" s="4">
        <f t="shared" si="26"/>
        <v>43465</v>
      </c>
      <c r="F1693" s="11">
        <f>[1]!EM_S_PQ_PCTCHANGE(B1693,"2018-01-01","2019-12-31","3")</f>
        <v>-37.198067629999997</v>
      </c>
      <c r="G1693" s="11">
        <f>[1]!EM_S_PQ_PCTCHANGE(B1693,"2018-12-31","2019-12-30","1")</f>
        <v>10.69486405</v>
      </c>
      <c r="H1693" s="11">
        <f>[1]!EM_S_FA_YOY_OR(B1693,E1693)</f>
        <v>3.7224017051999998</v>
      </c>
      <c r="I1693" s="11">
        <f>[1]!EM_S_FA_GROSSPROFITMARGIN(B1693,E1693)</f>
        <v>25.886234048399999</v>
      </c>
      <c r="J1693" s="11">
        <f>[1]!EM_S_FA_NETPROFITMARGIN(B1693,E1693)</f>
        <v>2.8961889581000002</v>
      </c>
      <c r="K1693" s="10">
        <f>[1]!EM_S_FA_ASSETSTURN(B1693,E1693)</f>
        <v>0.47872932741300001</v>
      </c>
      <c r="L1693" s="12">
        <f>[1]!EM_HKS_VAL_MV(B1693,"2019-12-31","2")</f>
        <v>1674400000</v>
      </c>
      <c r="M1693">
        <f>[1]!EM_S_VAL_PETTMDEDUCTED(B1693,E1693)</f>
        <v>401.27116887260797</v>
      </c>
      <c r="N1693" s="7">
        <f>[1]!EM_S_VAL_PBGOODWILLDEDUCTED(B1693,E1693)</f>
        <v>3.1219423093486398</v>
      </c>
      <c r="O1693" s="7">
        <f>[1]!EM_S_VAL_PS_TTM(B1693,E1693)</f>
        <v>4.1944467974679096</v>
      </c>
      <c r="P1693" s="7">
        <f>[1]!EM_S_VAL_PCF_NCFTTM(B1693,E1693)</f>
        <v>94.114551876052204</v>
      </c>
      <c r="Q1693" s="7">
        <f>[1]!EM_S_VAL_DIVIDENDYIELD2(B1693,E1693,"2019-11-29")</f>
        <v>0</v>
      </c>
      <c r="T1693"/>
      <c r="U1693">
        <f>[1]!EM_S_RATIO_EPS_TTM(B1693,E1693,"1")</f>
        <v>0.1115886547826087</v>
      </c>
      <c r="AT1693" s="4" t="str">
        <f>[1]!EM_S_IPO_LISTEDDATE(B1693)</f>
        <v>2014-02-19</v>
      </c>
    </row>
    <row r="1694" spans="1:46">
      <c r="A1694">
        <v>2821</v>
      </c>
      <c r="B1694" t="str">
        <f>"600748"</f>
        <v>600748</v>
      </c>
      <c r="C1694" t="s">
        <v>1940</v>
      </c>
      <c r="D1694" t="str">
        <f>[1]!EM_S_INFO_INDEX_EM(B1694,"1")</f>
        <v>房地产</v>
      </c>
      <c r="E1694" s="4">
        <f t="shared" si="26"/>
        <v>43465</v>
      </c>
      <c r="F1694" s="11">
        <f>[1]!EM_S_PQ_PCTCHANGE(B1694,"2018-01-01","2019-12-31","3")</f>
        <v>-6.0042670600000001</v>
      </c>
      <c r="G1694" s="11">
        <f>[1]!EM_S_PQ_PCTCHANGE(B1694,"2018-12-31","2019-12-30","1")</f>
        <v>10.674157299999999</v>
      </c>
      <c r="H1694" s="11">
        <f>[1]!EM_S_FA_YOY_OR(B1694,E1694)</f>
        <v>18.014384167999999</v>
      </c>
      <c r="I1694" s="11">
        <f>[1]!EM_S_FA_GROSSPROFITMARGIN(B1694,E1694)</f>
        <v>30.0321628839</v>
      </c>
      <c r="J1694" s="11">
        <f>[1]!EM_S_FA_NETPROFITMARGIN(B1694,E1694)</f>
        <v>10.6709237655</v>
      </c>
      <c r="K1694" s="10">
        <f>[1]!EM_S_FA_ASSETSTURN(B1694,E1694)</f>
        <v>0.226555849674</v>
      </c>
      <c r="L1694" s="12">
        <f>[1]!EM_HKS_VAL_MV(B1694,"2019-12-31","2")</f>
        <v>10956703578.48</v>
      </c>
      <c r="M1694">
        <f>[1]!EM_S_VAL_PETTMDEDUCTED(B1694,E1694)</f>
        <v>15.726336789398699</v>
      </c>
      <c r="N1694" s="7">
        <f>[1]!EM_S_VAL_PBGOODWILLDEDUCTED(B1694,E1694)</f>
        <v>1.01255778288148</v>
      </c>
      <c r="O1694" s="7">
        <f>[1]!EM_S_VAL_PS_TTM(B1694,E1694)</f>
        <v>1.2120702710285101</v>
      </c>
      <c r="P1694" s="7">
        <f>[1]!EM_S_VAL_PCF_NCFTTM(B1694,E1694)</f>
        <v>-49.324670557591602</v>
      </c>
      <c r="Q1694" s="7">
        <f>[1]!EM_S_VAL_DIVIDENDYIELD2(B1694,E1694,"2019-11-29")</f>
        <v>0.51546391752577314</v>
      </c>
      <c r="T1694"/>
      <c r="U1694">
        <f>[1]!EM_S_RATIO_EPS_TTM(B1694,E1694,"1")</f>
        <v>0.35651640012500041</v>
      </c>
      <c r="AT1694" s="4" t="str">
        <f>[1]!EM_S_IPO_LISTEDDATE(B1694)</f>
        <v>1996-09-25</v>
      </c>
    </row>
    <row r="1695" spans="1:46">
      <c r="A1695">
        <v>3226</v>
      </c>
      <c r="B1695" t="str">
        <f>"603029"</f>
        <v>603029</v>
      </c>
      <c r="C1695" t="s">
        <v>3007</v>
      </c>
      <c r="D1695" t="str">
        <f>[1]!EM_S_INFO_INDEX_EM(B1695,"1")</f>
        <v>机械设备</v>
      </c>
      <c r="E1695" s="4">
        <f t="shared" si="26"/>
        <v>43465</v>
      </c>
      <c r="F1695" s="11">
        <f>[1]!EM_S_PQ_PCTCHANGE(B1695,"2018-01-01","2019-12-31","3")</f>
        <v>-28.075002900000001</v>
      </c>
      <c r="G1695" s="11">
        <f>[1]!EM_S_PQ_PCTCHANGE(B1695,"2018-12-31","2019-12-30","1")</f>
        <v>10.665658090000001</v>
      </c>
      <c r="H1695" s="11">
        <f>[1]!EM_S_FA_YOY_OR(B1695,E1695)</f>
        <v>8.1890149910000005</v>
      </c>
      <c r="I1695" s="11">
        <f>[1]!EM_S_FA_GROSSPROFITMARGIN(B1695,E1695)</f>
        <v>37.003757925599999</v>
      </c>
      <c r="J1695" s="11">
        <f>[1]!EM_S_FA_NETPROFITMARGIN(B1695,E1695)</f>
        <v>7.4698708041000002</v>
      </c>
      <c r="K1695" s="10">
        <f>[1]!EM_S_FA_ASSETSTURN(B1695,E1695)</f>
        <v>0.31883599747300001</v>
      </c>
      <c r="L1695" s="12">
        <f>[1]!EM_HKS_VAL_MV(B1695,"2019-12-31","2")</f>
        <v>1363697400</v>
      </c>
      <c r="M1695">
        <f>[1]!EM_S_VAL_PETTMDEDUCTED(B1695,E1695)</f>
        <v>-1692.7429970824501</v>
      </c>
      <c r="N1695" s="7">
        <f>[1]!EM_S_VAL_PBGOODWILLDEDUCTED(B1695,E1695)</f>
        <v>2.0784735464785999</v>
      </c>
      <c r="O1695" s="7">
        <f>[1]!EM_S_VAL_PS_TTM(B1695,E1695)</f>
        <v>3.7316360401778699</v>
      </c>
      <c r="P1695" s="7">
        <f>[1]!EM_S_VAL_PCF_NCFTTM(B1695,E1695)</f>
        <v>-37.256303434961197</v>
      </c>
      <c r="Q1695" s="7">
        <f>[1]!EM_S_VAL_DIVIDENDYIELD2(B1695,E1695,"2019-11-29")</f>
        <v>0.75187969924812026</v>
      </c>
      <c r="T1695"/>
      <c r="U1695">
        <f>[1]!EM_S_RATIO_EPS_TTM(B1695,E1695,"1")</f>
        <v>0.16176722134133276</v>
      </c>
      <c r="AT1695" s="4" t="str">
        <f>[1]!EM_S_IPO_LISTEDDATE(B1695)</f>
        <v>2016-04-27</v>
      </c>
    </row>
    <row r="1696" spans="1:46">
      <c r="A1696">
        <v>577</v>
      </c>
      <c r="B1696" t="str">
        <f>"002066"</f>
        <v>002066</v>
      </c>
      <c r="C1696" t="s">
        <v>1830</v>
      </c>
      <c r="D1696" t="str">
        <f>[1]!EM_S_INFO_INDEX_EM(B1696,"1")</f>
        <v>建材</v>
      </c>
      <c r="E1696" s="4">
        <f t="shared" si="26"/>
        <v>43465</v>
      </c>
      <c r="F1696" s="11">
        <f>[1]!EM_S_PQ_PCTCHANGE(B1696,"2018-01-01","2019-12-31","3")</f>
        <v>-23.860329780000001</v>
      </c>
      <c r="G1696" s="11">
        <f>[1]!EM_S_PQ_PCTCHANGE(B1696,"2018-12-31","2019-12-30","1")</f>
        <v>10.62068966</v>
      </c>
      <c r="H1696" s="11">
        <f>[1]!EM_S_FA_YOY_OR(B1696,E1696)</f>
        <v>73.959716517700002</v>
      </c>
      <c r="I1696" s="11">
        <f>[1]!EM_S_FA_GROSSPROFITMARGIN(B1696,E1696)</f>
        <v>18.165139126100001</v>
      </c>
      <c r="J1696" s="11">
        <f>[1]!EM_S_FA_NETPROFITMARGIN(B1696,E1696)</f>
        <v>1.8718667684999999</v>
      </c>
      <c r="K1696" s="10">
        <f>[1]!EM_S_FA_ASSETSTURN(B1696,E1696)</f>
        <v>1.0301272845609999</v>
      </c>
      <c r="L1696" s="12">
        <f>[1]!EM_HKS_VAL_MV(B1696,"2019-12-31","2")</f>
        <v>1813350000</v>
      </c>
      <c r="M1696">
        <f>[1]!EM_S_VAL_PETTMDEDUCTED(B1696,E1696)</f>
        <v>-55.136971009879403</v>
      </c>
      <c r="N1696" s="7">
        <f>[1]!EM_S_VAL_PBGOODWILLDEDUCTED(B1696,E1696)</f>
        <v>3.9747333012410002</v>
      </c>
      <c r="O1696" s="7">
        <f>[1]!EM_S_VAL_PS_TTM(B1696,E1696)</f>
        <v>0.47214116625744701</v>
      </c>
      <c r="P1696" s="7">
        <f>[1]!EM_S_VAL_PCF_NCFTTM(B1696,E1696)</f>
        <v>37.990469353467397</v>
      </c>
      <c r="Q1696" s="7">
        <f>[1]!EM_S_VAL_DIVIDENDYIELD2(B1696,E1696,"2019-11-29")</f>
        <v>0</v>
      </c>
      <c r="T1696"/>
      <c r="U1696">
        <f>[1]!EM_S_RATIO_EPS_TTM(B1696,E1696,"1")</f>
        <v>7.4828245584415587E-2</v>
      </c>
      <c r="AT1696" s="4" t="str">
        <f>[1]!EM_S_IPO_LISTEDDATE(B1696)</f>
        <v>2006-08-23</v>
      </c>
    </row>
    <row r="1697" spans="1:46">
      <c r="A1697">
        <v>934</v>
      </c>
      <c r="B1697" t="str">
        <f>"002423"</f>
        <v>002423</v>
      </c>
      <c r="C1697" t="s">
        <v>3526</v>
      </c>
      <c r="D1697" t="str">
        <f>[1]!EM_S_INFO_INDEX_EM(B1697,"1")</f>
        <v>金融</v>
      </c>
      <c r="E1697" s="4">
        <f t="shared" si="26"/>
        <v>43465</v>
      </c>
      <c r="F1697" s="11">
        <f>[1]!EM_S_PQ_PCTCHANGE(B1697,"2018-01-01","2019-12-31","3")</f>
        <v>-32.522585130000003</v>
      </c>
      <c r="G1697" s="11">
        <f>[1]!EM_S_PQ_PCTCHANGE(B1697,"2018-12-31","2019-12-30","1")</f>
        <v>10.61643836</v>
      </c>
      <c r="H1697" s="11">
        <f>[1]!EM_S_FA_YOY_OR(B1697,E1697)</f>
        <v>5.4097771176</v>
      </c>
      <c r="I1697" s="11">
        <f>[1]!EM_S_FA_GROSSPROFITMARGIN(B1697,E1697)</f>
        <v>8.7703090706999998</v>
      </c>
      <c r="J1697" s="11">
        <f>[1]!EM_S_FA_NETPROFITMARGIN(B1697,E1697)</f>
        <v>-10.989599141699999</v>
      </c>
      <c r="K1697" s="10">
        <f>[1]!EM_S_FA_ASSETSTURN(B1697,E1697)</f>
        <v>0.30796913458000003</v>
      </c>
      <c r="L1697" s="12">
        <f>[1]!EM_HKS_VAL_MV(B1697,"2019-12-31","2")</f>
        <v>22372865133.25</v>
      </c>
      <c r="M1697">
        <f>[1]!EM_S_VAL_PETTMDEDUCTED(B1697,E1697)</f>
        <v>-22.184883159959799</v>
      </c>
      <c r="N1697" s="7">
        <f>[1]!EM_S_VAL_PBGOODWILLDEDUCTED(B1697,E1697)</f>
        <v>3.0284544909223099</v>
      </c>
      <c r="O1697" s="7">
        <f>[1]!EM_S_VAL_PS_TTM(B1697,E1697)</f>
        <v>4.5078986023534098</v>
      </c>
      <c r="P1697" s="7">
        <f>[1]!EM_S_VAL_PCF_NCFTTM(B1697,E1697)</f>
        <v>50.002225783262197</v>
      </c>
      <c r="Q1697" s="7">
        <f>[1]!EM_S_VAL_DIVIDENDYIELD2(B1697,E1697,"2019-11-29")</f>
        <v>0</v>
      </c>
      <c r="T1697"/>
      <c r="U1697">
        <f>[1]!EM_S_RATIO_EPS_TTM(B1697,E1697,"1")</f>
        <v>-0.22407124940035925</v>
      </c>
      <c r="AT1697" s="4" t="str">
        <f>[1]!EM_S_IPO_LISTEDDATE(B1697)</f>
        <v>2010-06-03</v>
      </c>
    </row>
    <row r="1698" spans="1:46">
      <c r="A1698">
        <v>681</v>
      </c>
      <c r="B1698" t="str">
        <f>"002170"</f>
        <v>002170</v>
      </c>
      <c r="C1698" t="s">
        <v>3458</v>
      </c>
      <c r="D1698" t="str">
        <f>[1]!EM_S_INFO_INDEX_EM(B1698,"1")</f>
        <v>基础化工</v>
      </c>
      <c r="E1698" s="4">
        <f t="shared" si="26"/>
        <v>43465</v>
      </c>
      <c r="F1698" s="11">
        <f>[1]!EM_S_PQ_PCTCHANGE(B1698,"2018-01-01","2019-12-31","3")</f>
        <v>-49.149922719999999</v>
      </c>
      <c r="G1698" s="11">
        <f>[1]!EM_S_PQ_PCTCHANGE(B1698,"2018-12-31","2019-12-30","1")</f>
        <v>10.61643836</v>
      </c>
      <c r="H1698" s="11">
        <f>[1]!EM_S_FA_YOY_OR(B1698,E1698)</f>
        <v>10.1697696105</v>
      </c>
      <c r="I1698" s="11">
        <f>[1]!EM_S_FA_GROSSPROFITMARGIN(B1698,E1698)</f>
        <v>15.8066974555</v>
      </c>
      <c r="J1698" s="11">
        <f>[1]!EM_S_FA_NETPROFITMARGIN(B1698,E1698)</f>
        <v>0.34065038110000001</v>
      </c>
      <c r="K1698" s="10">
        <f>[1]!EM_S_FA_ASSETSTURN(B1698,E1698)</f>
        <v>0.56308749386800006</v>
      </c>
      <c r="L1698" s="12">
        <f>[1]!EM_HKS_VAL_MV(B1698,"2019-12-31","2")</f>
        <v>2917778042.8299999</v>
      </c>
      <c r="M1698">
        <f>[1]!EM_S_VAL_PETTMDEDUCTED(B1698,E1698)</f>
        <v>-20.423898668918198</v>
      </c>
      <c r="N1698" s="7">
        <f>[1]!EM_S_VAL_PBGOODWILLDEDUCTED(B1698,E1698)</f>
        <v>1.43079644088334</v>
      </c>
      <c r="O1698" s="7">
        <f>[1]!EM_S_VAL_PS_TTM(B1698,E1698)</f>
        <v>1.17725593307267</v>
      </c>
      <c r="P1698" s="7">
        <f>[1]!EM_S_VAL_PCF_NCFTTM(B1698,E1698)</f>
        <v>-5.1212784801560298</v>
      </c>
      <c r="Q1698" s="7">
        <f>[1]!EM_S_VAL_DIVIDENDYIELD2(B1698,E1698,"2019-11-29")</f>
        <v>0</v>
      </c>
      <c r="T1698"/>
      <c r="U1698">
        <f>[1]!EM_S_RATIO_EPS_TTM(B1698,E1698,"1")</f>
        <v>1.0416323327603701E-2</v>
      </c>
      <c r="AT1698" s="4" t="str">
        <f>[1]!EM_S_IPO_LISTEDDATE(B1698)</f>
        <v>2007-09-19</v>
      </c>
    </row>
    <row r="1699" spans="1:46">
      <c r="A1699">
        <v>1349</v>
      </c>
      <c r="B1699" t="str">
        <f>"002848"</f>
        <v>002848</v>
      </c>
      <c r="C1699" t="s">
        <v>3594</v>
      </c>
      <c r="D1699" t="str">
        <f>[1]!EM_S_INFO_INDEX_EM(B1699,"1")</f>
        <v>家电</v>
      </c>
      <c r="E1699" s="4">
        <f t="shared" si="26"/>
        <v>43465</v>
      </c>
      <c r="F1699" s="11">
        <f>[1]!EM_S_PQ_PCTCHANGE(B1699,"2018-01-01","2019-12-31","3")</f>
        <v>-17.688831499999999</v>
      </c>
      <c r="G1699" s="11">
        <f>[1]!EM_S_PQ_PCTCHANGE(B1699,"2018-12-31","2019-12-30","1")</f>
        <v>10.60735672</v>
      </c>
      <c r="H1699" s="11">
        <f>[1]!EM_S_FA_YOY_OR(B1699,E1699)</f>
        <v>-26.636333201399999</v>
      </c>
      <c r="I1699" s="11">
        <f>[1]!EM_S_FA_GROSSPROFITMARGIN(B1699,E1699)</f>
        <v>13.787869815900001</v>
      </c>
      <c r="J1699" s="11">
        <f>[1]!EM_S_FA_NETPROFITMARGIN(B1699,E1699)</f>
        <v>-9.4036104731000005</v>
      </c>
      <c r="K1699" s="10">
        <f>[1]!EM_S_FA_ASSETSTURN(B1699,E1699)</f>
        <v>0.63520869848899997</v>
      </c>
      <c r="L1699" s="12">
        <f>[1]!EM_HKS_VAL_MV(B1699,"2019-12-31","2")</f>
        <v>2131162500</v>
      </c>
      <c r="M1699">
        <f>[1]!EM_S_VAL_PETTMDEDUCTED(B1699,E1699)</f>
        <v>-56.949142553193703</v>
      </c>
      <c r="N1699" s="7">
        <f>[1]!EM_S_VAL_PBGOODWILLDEDUCTED(B1699,E1699)</f>
        <v>3.24240459713271</v>
      </c>
      <c r="O1699" s="7">
        <f>[1]!EM_S_VAL_PS_TTM(B1699,E1699)</f>
        <v>2.04658900513774</v>
      </c>
      <c r="P1699" s="7">
        <f>[1]!EM_S_VAL_PCF_NCFTTM(B1699,E1699)</f>
        <v>-15.8289598841972</v>
      </c>
      <c r="Q1699" s="7">
        <f>[1]!EM_S_VAL_DIVIDENDYIELD2(B1699,E1699,"2019-11-29")</f>
        <v>0</v>
      </c>
      <c r="T1699"/>
      <c r="U1699">
        <f>[1]!EM_S_RATIO_EPS_TTM(B1699,E1699,"1")</f>
        <v>-0.44498067532156743</v>
      </c>
      <c r="AT1699" s="4" t="str">
        <f>[1]!EM_S_IPO_LISTEDDATE(B1699)</f>
        <v>2017-02-13</v>
      </c>
    </row>
    <row r="1700" spans="1:46">
      <c r="A1700">
        <v>1588</v>
      </c>
      <c r="B1700" t="str">
        <f>"300163"</f>
        <v>300163</v>
      </c>
      <c r="C1700" t="s">
        <v>3489</v>
      </c>
      <c r="D1700" t="str">
        <f>[1]!EM_S_INFO_INDEX_EM(B1700,"1")</f>
        <v>基础化工</v>
      </c>
      <c r="E1700" s="4">
        <f t="shared" si="26"/>
        <v>43465</v>
      </c>
      <c r="F1700" s="11">
        <f>[1]!EM_S_PQ_PCTCHANGE(B1700,"2018-01-01","2019-12-31","3")</f>
        <v>-36.769759450000002</v>
      </c>
      <c r="G1700" s="11">
        <f>[1]!EM_S_PQ_PCTCHANGE(B1700,"2018-12-31","2019-12-30","1")</f>
        <v>10.60606061</v>
      </c>
      <c r="H1700" s="11">
        <f>[1]!EM_S_FA_YOY_OR(B1700,E1700)</f>
        <v>-14.784161989499999</v>
      </c>
      <c r="I1700" s="11">
        <f>[1]!EM_S_FA_GROSSPROFITMARGIN(B1700,E1700)</f>
        <v>41.071182976199999</v>
      </c>
      <c r="J1700" s="11">
        <f>[1]!EM_S_FA_NETPROFITMARGIN(B1700,E1700)</f>
        <v>-36.615057197399999</v>
      </c>
      <c r="K1700" s="10">
        <f>[1]!EM_S_FA_ASSETSTURN(B1700,E1700)</f>
        <v>0.61837883840100005</v>
      </c>
      <c r="L1700" s="12">
        <f>[1]!EM_HKS_VAL_MV(B1700,"2019-12-31","2")</f>
        <v>1744320000</v>
      </c>
      <c r="M1700">
        <f>[1]!EM_S_VAL_PETTMDEDUCTED(B1700,E1700)</f>
        <v>-8.3094509604368092</v>
      </c>
      <c r="N1700" s="7">
        <f>[1]!EM_S_VAL_PBGOODWILLDEDUCTED(B1700,E1700)</f>
        <v>3.2166779750932402</v>
      </c>
      <c r="O1700" s="7">
        <f>[1]!EM_S_VAL_PS_TTM(B1700,E1700)</f>
        <v>2.6050134861390801</v>
      </c>
      <c r="P1700" s="7">
        <f>[1]!EM_S_VAL_PCF_NCFTTM(B1700,E1700)</f>
        <v>-55.162811953292604</v>
      </c>
      <c r="Q1700" s="7">
        <f>[1]!EM_S_VAL_DIVIDENDYIELD2(B1700,E1700,"2019-11-29")</f>
        <v>0</v>
      </c>
      <c r="T1700"/>
      <c r="U1700">
        <f>[1]!EM_S_RATIO_EPS_TTM(B1700,E1700,"1")</f>
        <v>-0.42517466229957807</v>
      </c>
      <c r="AT1700" s="4" t="str">
        <f>[1]!EM_S_IPO_LISTEDDATE(B1700)</f>
        <v>2011-01-13</v>
      </c>
    </row>
    <row r="1701" spans="1:46">
      <c r="A1701">
        <v>2930</v>
      </c>
      <c r="B1701" t="str">
        <f>"600857"</f>
        <v>600857</v>
      </c>
      <c r="C1701" t="s">
        <v>174</v>
      </c>
      <c r="D1701" t="str">
        <f>[1]!EM_S_INFO_INDEX_EM(B1701,"1")</f>
        <v>商贸零售</v>
      </c>
      <c r="E1701" s="4">
        <f t="shared" si="26"/>
        <v>43465</v>
      </c>
      <c r="F1701" s="11">
        <f>[1]!EM_S_PQ_PCTCHANGE(B1701,"2018-01-01","2019-12-31","3")</f>
        <v>-0.43243242999999998</v>
      </c>
      <c r="G1701" s="11">
        <f>[1]!EM_S_PQ_PCTCHANGE(B1701,"2018-12-31","2019-12-30","1")</f>
        <v>10.58965102</v>
      </c>
      <c r="H1701" s="11">
        <f>[1]!EM_S_FA_YOY_OR(B1701,E1701)</f>
        <v>2.1052721321000001</v>
      </c>
      <c r="I1701" s="11">
        <f>[1]!EM_S_FA_GROSSPROFITMARGIN(B1701,E1701)</f>
        <v>12.3137509959</v>
      </c>
      <c r="J1701" s="11">
        <f>[1]!EM_S_FA_NETPROFITMARGIN(B1701,E1701)</f>
        <v>3.6686188294000002</v>
      </c>
      <c r="K1701" s="10">
        <f>[1]!EM_S_FA_ASSETSTURN(B1701,E1701)</f>
        <v>1.211220440837</v>
      </c>
      <c r="L1701" s="12">
        <f>[1]!EM_HKS_VAL_MV(B1701,"2019-12-31","2")</f>
        <v>2065986453.99</v>
      </c>
      <c r="M1701">
        <f>[1]!EM_S_VAL_PETTMDEDUCTED(B1701,E1701)</f>
        <v>72.797144592406099</v>
      </c>
      <c r="N1701" s="7">
        <f>[1]!EM_S_VAL_PBGOODWILLDEDUCTED(B1701,E1701)</f>
        <v>9.1961555897752891</v>
      </c>
      <c r="O1701" s="7">
        <f>[1]!EM_S_VAL_PS_TTM(B1701,E1701)</f>
        <v>1.84030700584192</v>
      </c>
      <c r="P1701" s="7">
        <f>[1]!EM_S_VAL_PCF_NCFTTM(B1701,E1701)</f>
        <v>-184.321079946456</v>
      </c>
      <c r="Q1701" s="7">
        <f>[1]!EM_S_VAL_DIVIDENDYIELD2(B1701,E1701,"2019-11-29")</f>
        <v>0</v>
      </c>
      <c r="T1701"/>
      <c r="U1701">
        <f>[1]!EM_S_RATIO_EPS_TTM(B1701,E1701,"1")</f>
        <v>0.1632835484841629</v>
      </c>
      <c r="AT1701" s="4" t="str">
        <f>[1]!EM_S_IPO_LISTEDDATE(B1701)</f>
        <v>1994-04-25</v>
      </c>
    </row>
    <row r="1702" spans="1:46">
      <c r="A1702">
        <v>2542</v>
      </c>
      <c r="B1702" t="str">
        <f>"600444"</f>
        <v>600444</v>
      </c>
      <c r="C1702" t="s">
        <v>3313</v>
      </c>
      <c r="D1702" t="str">
        <f>[1]!EM_S_INFO_INDEX_EM(B1702,"1")</f>
        <v>机械设备</v>
      </c>
      <c r="E1702" s="4">
        <f t="shared" si="26"/>
        <v>43465</v>
      </c>
      <c r="F1702" s="11">
        <f>[1]!EM_S_PQ_PCTCHANGE(B1702,"2018-01-01","2019-12-31","3")</f>
        <v>-31.321710190000001</v>
      </c>
      <c r="G1702" s="11">
        <f>[1]!EM_S_PQ_PCTCHANGE(B1702,"2018-12-31","2019-12-30","1")</f>
        <v>10.575916230000001</v>
      </c>
      <c r="H1702" s="11">
        <f>[1]!EM_S_FA_YOY_OR(B1702,E1702)</f>
        <v>-2.6161762814</v>
      </c>
      <c r="I1702" s="11">
        <f>[1]!EM_S_FA_GROSSPROFITMARGIN(B1702,E1702)</f>
        <v>18.629538698800001</v>
      </c>
      <c r="J1702" s="11">
        <f>[1]!EM_S_FA_NETPROFITMARGIN(B1702,E1702)</f>
        <v>7.9213060720000001</v>
      </c>
      <c r="K1702" s="10">
        <f>[1]!EM_S_FA_ASSETSTURN(B1702,E1702)</f>
        <v>0.71508342422600002</v>
      </c>
      <c r="L1702" s="12">
        <f>[1]!EM_HKS_VAL_MV(B1702,"2019-12-31","2")</f>
        <v>1544751382.5999999</v>
      </c>
      <c r="M1702">
        <f>[1]!EM_S_VAL_PETTMDEDUCTED(B1702,E1702)</f>
        <v>-24.712177305580401</v>
      </c>
      <c r="N1702" s="7">
        <f>[1]!EM_S_VAL_PBGOODWILLDEDUCTED(B1702,E1702)</f>
        <v>2.5070671536465601</v>
      </c>
      <c r="O1702" s="7">
        <f>[1]!EM_S_VAL_PS_TTM(B1702,E1702)</f>
        <v>2.3974353923895699</v>
      </c>
      <c r="P1702" s="7">
        <f>[1]!EM_S_VAL_PCF_NCFTTM(B1702,E1702)</f>
        <v>10.9122181799716</v>
      </c>
      <c r="Q1702" s="7">
        <f>[1]!EM_S_VAL_DIVIDENDYIELD2(B1702,E1702,"2019-11-29")</f>
        <v>0</v>
      </c>
      <c r="T1702"/>
      <c r="U1702">
        <f>[1]!EM_S_RATIO_EPS_TTM(B1702,E1702,"1")</f>
        <v>0.32233558030090737</v>
      </c>
      <c r="AT1702" s="4" t="str">
        <f>[1]!EM_S_IPO_LISTEDDATE(B1702)</f>
        <v>2004-02-19</v>
      </c>
    </row>
    <row r="1703" spans="1:46">
      <c r="A1703">
        <v>2198</v>
      </c>
      <c r="B1703" t="str">
        <f>"600051"</f>
        <v>600051</v>
      </c>
      <c r="C1703" t="s">
        <v>3017</v>
      </c>
      <c r="D1703" t="str">
        <f>[1]!EM_S_INFO_INDEX_EM(B1703,"1")</f>
        <v>综合</v>
      </c>
      <c r="E1703" s="4">
        <f t="shared" si="26"/>
        <v>43465</v>
      </c>
      <c r="F1703" s="11">
        <f>[1]!EM_S_PQ_PCTCHANGE(B1703,"2018-01-01","2019-12-31","3")</f>
        <v>-33.387535589999999</v>
      </c>
      <c r="G1703" s="11">
        <f>[1]!EM_S_PQ_PCTCHANGE(B1703,"2018-12-31","2019-12-30","1")</f>
        <v>10.57513915</v>
      </c>
      <c r="H1703" s="11">
        <f>[1]!EM_S_FA_YOY_OR(B1703,E1703)</f>
        <v>-42.849431467800002</v>
      </c>
      <c r="I1703" s="11">
        <f>[1]!EM_S_FA_GROSSPROFITMARGIN(B1703,E1703)</f>
        <v>11.181229740599999</v>
      </c>
      <c r="J1703" s="11">
        <f>[1]!EM_S_FA_NETPROFITMARGIN(B1703,E1703)</f>
        <v>9.0699115999999993</v>
      </c>
      <c r="K1703" s="10">
        <f>[1]!EM_S_FA_ASSETSTURN(B1703,E1703)</f>
        <v>0.60310531021699998</v>
      </c>
      <c r="L1703" s="12">
        <f>[1]!EM_HKS_VAL_MV(B1703,"2019-12-31","2")</f>
        <v>1865280000</v>
      </c>
      <c r="M1703">
        <f>[1]!EM_S_VAL_PETTMDEDUCTED(B1703,E1703)</f>
        <v>20.542930254482101</v>
      </c>
      <c r="N1703" s="7">
        <f>[1]!EM_S_VAL_PBGOODWILLDEDUCTED(B1703,E1703)</f>
        <v>0.70194080825360705</v>
      </c>
      <c r="O1703" s="7">
        <f>[1]!EM_S_VAL_PS_TTM(B1703,E1703)</f>
        <v>0.30153727319461998</v>
      </c>
      <c r="P1703" s="7">
        <f>[1]!EM_S_VAL_PCF_NCFTTM(B1703,E1703)</f>
        <v>8.7101056116325903</v>
      </c>
      <c r="Q1703" s="7">
        <f>[1]!EM_S_VAL_DIVIDENDYIELD2(B1703,E1703,"2019-11-29")</f>
        <v>2.5684931506849313</v>
      </c>
      <c r="T1703"/>
      <c r="U1703">
        <f>[1]!EM_S_RATIO_EPS_TTM(B1703,E1703,"1")</f>
        <v>0.7991941621847658</v>
      </c>
      <c r="AT1703" s="4" t="str">
        <f>[1]!EM_S_IPO_LISTEDDATE(B1703)</f>
        <v>1997-04-10</v>
      </c>
    </row>
    <row r="1704" spans="1:46">
      <c r="A1704">
        <v>28</v>
      </c>
      <c r="B1704" t="str">
        <f>"000028"</f>
        <v>000028</v>
      </c>
      <c r="C1704" t="s">
        <v>781</v>
      </c>
      <c r="D1704" t="str">
        <f>[1]!EM_S_INFO_INDEX_EM(B1704,"1")</f>
        <v>医药生物</v>
      </c>
      <c r="E1704" s="4">
        <f t="shared" si="26"/>
        <v>43465</v>
      </c>
      <c r="F1704" s="11">
        <f>[1]!EM_S_PQ_PCTCHANGE(B1704,"2018-01-01","2019-12-31","3")</f>
        <v>-23.517977599999998</v>
      </c>
      <c r="G1704" s="11">
        <f>[1]!EM_S_PQ_PCTCHANGE(B1704,"2019-01-01","2019-12-31","3")</f>
        <v>10.5598305</v>
      </c>
      <c r="H1704" s="11">
        <f>[1]!EM_S_FA_YOY_OR(B1704,E1704)</f>
        <v>4.5051847156000004</v>
      </c>
      <c r="I1704" s="11">
        <f>[1]!EM_S_FA_GROSSPROFITMARGIN(B1704,E1704)</f>
        <v>11.8228081041</v>
      </c>
      <c r="J1704" s="11">
        <f>[1]!EM_S_FA_NETPROFITMARGIN(B1704,E1704)</f>
        <v>3.1269863564999998</v>
      </c>
      <c r="K1704" s="10">
        <f>[1]!EM_S_FA_ASSETSTURN(B1704,E1704)</f>
        <v>1.6820389506640001</v>
      </c>
      <c r="L1704" s="12">
        <f>[1]!EM_HKS_VAL_MV(B1704,"2019-12-31","2")</f>
        <v>19419839948.880001</v>
      </c>
      <c r="M1704">
        <f>[1]!EM_S_VAL_PETTMDEDUCTED(B1704,E1704)</f>
        <v>15.428792680855199</v>
      </c>
      <c r="N1704" s="7">
        <f>[1]!EM_S_VAL_PBGOODWILLDEDUCTED(B1704,E1704)</f>
        <v>1.64504141677167</v>
      </c>
      <c r="O1704" s="7">
        <f>[1]!EM_S_VAL_PS_TTM(B1704,E1704)</f>
        <v>0.42493161411049502</v>
      </c>
      <c r="P1704" s="7">
        <f>[1]!EM_S_VAL_PCF_NCFTTM(B1704,E1704)</f>
        <v>4.9778165148165501</v>
      </c>
      <c r="Q1704" s="7">
        <f>[1]!EM_S_VAL_DIVIDENDYIELD2(B1704,E1704,"2019-11-29")</f>
        <v>0.91721805629338216</v>
      </c>
      <c r="T1704"/>
      <c r="U1704">
        <f>[1]!EM_S_RATIO_EPS_TTM(B1704,E1704,"1")</f>
        <v>2.8279984300358847</v>
      </c>
      <c r="AT1704" s="4" t="str">
        <f>[1]!EM_S_IPO_LISTEDDATE(B1704)</f>
        <v>1993-08-09</v>
      </c>
    </row>
    <row r="1705" spans="1:46">
      <c r="A1705">
        <v>1610</v>
      </c>
      <c r="B1705" t="str">
        <f>"300185"</f>
        <v>300185</v>
      </c>
      <c r="C1705" t="s">
        <v>2749</v>
      </c>
      <c r="D1705" t="str">
        <f>[1]!EM_S_INFO_INDEX_EM(B1705,"1")</f>
        <v>机械设备</v>
      </c>
      <c r="E1705" s="4">
        <f t="shared" si="26"/>
        <v>43465</v>
      </c>
      <c r="F1705" s="11">
        <f>[1]!EM_S_PQ_PCTCHANGE(B1705,"2018-01-01","2019-12-31","3")</f>
        <v>-18.496693019999999</v>
      </c>
      <c r="G1705" s="11">
        <f>[1]!EM_S_PQ_PCTCHANGE(B1705,"2018-12-31","2019-12-30","1")</f>
        <v>10.55900621</v>
      </c>
      <c r="H1705" s="11">
        <f>[1]!EM_S_FA_YOY_OR(B1705,E1705)</f>
        <v>11.491075568799999</v>
      </c>
      <c r="I1705" s="11">
        <f>[1]!EM_S_FA_GROSSPROFITMARGIN(B1705,E1705)</f>
        <v>23.214169276900002</v>
      </c>
      <c r="J1705" s="11">
        <f>[1]!EM_S_FA_NETPROFITMARGIN(B1705,E1705)</f>
        <v>6.8039260747999997</v>
      </c>
      <c r="K1705" s="10">
        <f>[1]!EM_S_FA_ASSETSTURN(B1705,E1705)</f>
        <v>0.34564814519600001</v>
      </c>
      <c r="L1705" s="12">
        <f>[1]!EM_HKS_VAL_MV(B1705,"2019-12-31","2")</f>
        <v>5849261631.1199999</v>
      </c>
      <c r="M1705">
        <f>[1]!EM_S_VAL_PETTMDEDUCTED(B1705,E1705)</f>
        <v>25.274521815270301</v>
      </c>
      <c r="N1705" s="7">
        <f>[1]!EM_S_VAL_PBGOODWILLDEDUCTED(B1705,E1705)</f>
        <v>1.0347295212982499</v>
      </c>
      <c r="O1705" s="7">
        <f>[1]!EM_S_VAL_PS_TTM(B1705,E1705)</f>
        <v>1.4952344482922799</v>
      </c>
      <c r="P1705" s="7">
        <f>[1]!EM_S_VAL_PCF_NCFTTM(B1705,E1705)</f>
        <v>918.64931325937198</v>
      </c>
      <c r="Q1705" s="7">
        <f>[1]!EM_S_VAL_DIVIDENDYIELD2(B1705,E1705,"2019-11-29")</f>
        <v>1.1695906432748537</v>
      </c>
      <c r="T1705"/>
      <c r="U1705">
        <f>[1]!EM_S_RATIO_EPS_TTM(B1705,E1705,"1")</f>
        <v>6.6460806506010897E-2</v>
      </c>
      <c r="AT1705" s="4" t="str">
        <f>[1]!EM_S_IPO_LISTEDDATE(B1705)</f>
        <v>2011-03-08</v>
      </c>
    </row>
    <row r="1706" spans="1:46">
      <c r="A1706">
        <v>1101</v>
      </c>
      <c r="B1706" t="str">
        <f>"002590"</f>
        <v>002590</v>
      </c>
      <c r="C1706" t="s">
        <v>1578</v>
      </c>
      <c r="D1706" t="str">
        <f>[1]!EM_S_INFO_INDEX_EM(B1706,"1")</f>
        <v>交运设备</v>
      </c>
      <c r="E1706" s="4">
        <f t="shared" si="26"/>
        <v>43465</v>
      </c>
      <c r="F1706" s="11">
        <f>[1]!EM_S_PQ_PCTCHANGE(B1706,"2018-01-01","2019-12-31","3")</f>
        <v>-47.328162390000003</v>
      </c>
      <c r="G1706" s="11">
        <f>[1]!EM_S_PQ_PCTCHANGE(B1706,"2018-12-31","2019-12-30","1")</f>
        <v>10.53459119</v>
      </c>
      <c r="H1706" s="11">
        <f>[1]!EM_S_FA_YOY_OR(B1706,E1706)</f>
        <v>-0.86614692879999999</v>
      </c>
      <c r="I1706" s="11">
        <f>[1]!EM_S_FA_GROSSPROFITMARGIN(B1706,E1706)</f>
        <v>23.7422467514</v>
      </c>
      <c r="J1706" s="11">
        <f>[1]!EM_S_FA_NETPROFITMARGIN(B1706,E1706)</f>
        <v>-1.5469184365999999</v>
      </c>
      <c r="K1706" s="10">
        <f>[1]!EM_S_FA_ASSETSTURN(B1706,E1706)</f>
        <v>0.64743740957499996</v>
      </c>
      <c r="L1706" s="12">
        <f>[1]!EM_HKS_VAL_MV(B1706,"2019-12-31","2")</f>
        <v>3309563789.4000001</v>
      </c>
      <c r="M1706">
        <f>[1]!EM_S_VAL_PETTMDEDUCTED(B1706,E1706)</f>
        <v>31.302377001201702</v>
      </c>
      <c r="N1706" s="7">
        <f>[1]!EM_S_VAL_PBGOODWILLDEDUCTED(B1706,E1706)</f>
        <v>1.7159325167900701</v>
      </c>
      <c r="O1706" s="7">
        <f>[1]!EM_S_VAL_PS_TTM(B1706,E1706)</f>
        <v>1.30491381697479</v>
      </c>
      <c r="P1706" s="7">
        <f>[1]!EM_S_VAL_PCF_NCFTTM(B1706,E1706)</f>
        <v>89.160367632057302</v>
      </c>
      <c r="Q1706" s="7">
        <f>[1]!EM_S_VAL_DIVIDENDYIELD2(B1706,E1706,"2019-11-29")</f>
        <v>0</v>
      </c>
      <c r="T1706"/>
      <c r="U1706">
        <f>[1]!EM_S_RATIO_EPS_TTM(B1706,E1706,"1")</f>
        <v>-6.7150675494999409E-2</v>
      </c>
      <c r="AT1706" s="4" t="str">
        <f>[1]!EM_S_IPO_LISTEDDATE(B1706)</f>
        <v>2011-06-10</v>
      </c>
    </row>
    <row r="1707" spans="1:46">
      <c r="A1707">
        <v>388</v>
      </c>
      <c r="B1707" t="str">
        <f>"000833"</f>
        <v>000833</v>
      </c>
      <c r="C1707" t="s">
        <v>2065</v>
      </c>
      <c r="D1707" t="str">
        <f>[1]!EM_S_INFO_INDEX_EM(B1707,"1")</f>
        <v>综合</v>
      </c>
      <c r="E1707" s="4">
        <f t="shared" si="26"/>
        <v>43465</v>
      </c>
      <c r="F1707" s="11">
        <f>[1]!EM_S_PQ_PCTCHANGE(B1707,"2018-01-01","2019-12-31","3")</f>
        <v>-25.629392249999999</v>
      </c>
      <c r="G1707" s="11">
        <f>[1]!EM_S_PQ_PCTCHANGE(B1707,"2018-12-31","2019-12-30","1")</f>
        <v>10.52631579</v>
      </c>
      <c r="H1707" s="11">
        <f>[1]!EM_S_FA_YOY_OR(B1707,E1707)</f>
        <v>60.553001208600001</v>
      </c>
      <c r="I1707" s="11">
        <f>[1]!EM_S_FA_GROSSPROFITMARGIN(B1707,E1707)</f>
        <v>13.8048779743</v>
      </c>
      <c r="J1707" s="11">
        <f>[1]!EM_S_FA_NETPROFITMARGIN(B1707,E1707)</f>
        <v>2.6292904127000001</v>
      </c>
      <c r="K1707" s="10">
        <f>[1]!EM_S_FA_ASSETSTURN(B1707,E1707)</f>
        <v>0.85918572803500004</v>
      </c>
      <c r="L1707" s="12">
        <f>[1]!EM_HKS_VAL_MV(B1707,"2019-12-31","2")</f>
        <v>3362061310.5300002</v>
      </c>
      <c r="M1707">
        <f>[1]!EM_S_VAL_PETTMDEDUCTED(B1707,E1707)</f>
        <v>31.597344001653401</v>
      </c>
      <c r="N1707" s="7">
        <f>[1]!EM_S_VAL_PBGOODWILLDEDUCTED(B1707,E1707)</f>
        <v>1.11622507413656</v>
      </c>
      <c r="O1707" s="7">
        <f>[1]!EM_S_VAL_PS_TTM(B1707,E1707)</f>
        <v>1.0632926081859899</v>
      </c>
      <c r="P1707" s="7">
        <f>[1]!EM_S_VAL_PCF_NCFTTM(B1707,E1707)</f>
        <v>123.038780900871</v>
      </c>
      <c r="Q1707" s="7">
        <f>[1]!EM_S_VAL_DIVIDENDYIELD2(B1707,E1707,"2019-11-29")</f>
        <v>0.31578947368421045</v>
      </c>
      <c r="T1707"/>
      <c r="U1707">
        <f>[1]!EM_S_RATIO_EPS_TTM(B1707,E1707,"1")</f>
        <v>0.13236948305518681</v>
      </c>
      <c r="AT1707" s="4" t="str">
        <f>[1]!EM_S_IPO_LISTEDDATE(B1707)</f>
        <v>1998-11-11</v>
      </c>
    </row>
    <row r="1708" spans="1:46">
      <c r="A1708">
        <v>2296</v>
      </c>
      <c r="B1708" t="str">
        <f>"600156"</f>
        <v>600156</v>
      </c>
      <c r="C1708" t="s">
        <v>3490</v>
      </c>
      <c r="D1708" t="str">
        <f>[1]!EM_S_INFO_INDEX_EM(B1708,"1")</f>
        <v>纺织服装</v>
      </c>
      <c r="E1708" s="4">
        <f t="shared" si="26"/>
        <v>43465</v>
      </c>
      <c r="F1708" s="11">
        <f>[1]!EM_S_PQ_PCTCHANGE(B1708,"2018-01-01","2019-12-31","3")</f>
        <v>-15.81920904</v>
      </c>
      <c r="G1708" s="11">
        <f>[1]!EM_S_PQ_PCTCHANGE(B1708,"2018-12-31","2019-12-30","1")</f>
        <v>10.513447429999999</v>
      </c>
      <c r="H1708" s="11">
        <f>[1]!EM_S_FA_YOY_OR(B1708,E1708)</f>
        <v>42.726420506499998</v>
      </c>
      <c r="I1708" s="11">
        <f>[1]!EM_S_FA_GROSSPROFITMARGIN(B1708,E1708)</f>
        <v>5.1036895652999998</v>
      </c>
      <c r="J1708" s="11">
        <f>[1]!EM_S_FA_NETPROFITMARGIN(B1708,E1708)</f>
        <v>1.3546600257000001</v>
      </c>
      <c r="K1708" s="10">
        <f>[1]!EM_S_FA_ASSETSTURN(B1708,E1708)</f>
        <v>0.97789820936500005</v>
      </c>
      <c r="L1708" s="12">
        <f>[1]!EM_HKS_VAL_MV(B1708,"2019-12-31","2")</f>
        <v>1797434837.9400001</v>
      </c>
      <c r="M1708">
        <f>[1]!EM_S_VAL_PETTMDEDUCTED(B1708,E1708)</f>
        <v>-16.1879838491441</v>
      </c>
      <c r="N1708" s="7">
        <f>[1]!EM_S_VAL_PBGOODWILLDEDUCTED(B1708,E1708)</f>
        <v>2.5302883522709498</v>
      </c>
      <c r="O1708" s="7">
        <f>[1]!EM_S_VAL_PS_TTM(B1708,E1708)</f>
        <v>1.8896204555751299</v>
      </c>
      <c r="P1708" s="7">
        <f>[1]!EM_S_VAL_PCF_NCFTTM(B1708,E1708)</f>
        <v>15.8207508938871</v>
      </c>
      <c r="Q1708" s="7">
        <f>[1]!EM_S_VAL_DIVIDENDYIELD2(B1708,E1708,"2019-11-29")</f>
        <v>0</v>
      </c>
      <c r="T1708"/>
      <c r="U1708">
        <f>[1]!EM_S_RATIO_EPS_TTM(B1708,E1708,"1")</f>
        <v>6.8661847851042776E-2</v>
      </c>
      <c r="AT1708" s="4" t="str">
        <f>[1]!EM_S_IPO_LISTEDDATE(B1708)</f>
        <v>1998-05-27</v>
      </c>
    </row>
    <row r="1709" spans="1:46">
      <c r="A1709">
        <v>3039</v>
      </c>
      <c r="B1709" t="str">
        <f>"601028"</f>
        <v>601028</v>
      </c>
      <c r="C1709" t="s">
        <v>2954</v>
      </c>
      <c r="D1709" t="str">
        <f>[1]!EM_S_INFO_INDEX_EM(B1709,"1")</f>
        <v>机械设备</v>
      </c>
      <c r="E1709" s="4">
        <f t="shared" si="26"/>
        <v>43465</v>
      </c>
      <c r="F1709" s="11">
        <f>[1]!EM_S_PQ_PCTCHANGE(B1709,"2018-01-01","2019-12-31","3")</f>
        <v>-43.598233999999998</v>
      </c>
      <c r="G1709" s="11">
        <f>[1]!EM_S_PQ_PCTCHANGE(B1709,"2018-12-31","2019-12-30","1")</f>
        <v>10.49250535</v>
      </c>
      <c r="H1709" s="11">
        <f>[1]!EM_S_FA_YOY_OR(B1709,E1709)</f>
        <v>9.9839656363000007</v>
      </c>
      <c r="I1709" s="11">
        <f>[1]!EM_S_FA_GROSSPROFITMARGIN(B1709,E1709)</f>
        <v>5.1023286452000001</v>
      </c>
      <c r="J1709" s="11">
        <f>[1]!EM_S_FA_NETPROFITMARGIN(B1709,E1709)</f>
        <v>0.60281676819999996</v>
      </c>
      <c r="K1709" s="10">
        <f>[1]!EM_S_FA_ASSETSTURN(B1709,E1709)</f>
        <v>0.56453231706600004</v>
      </c>
      <c r="L1709" s="12">
        <f>[1]!EM_HKS_VAL_MV(B1709,"2019-12-31","2")</f>
        <v>4001261633.5999999</v>
      </c>
      <c r="M1709">
        <f>[1]!EM_S_VAL_PETTMDEDUCTED(B1709,E1709)</f>
        <v>-186.498654669464</v>
      </c>
      <c r="N1709" s="7">
        <f>[1]!EM_S_VAL_PBGOODWILLDEDUCTED(B1709,E1709)</f>
        <v>2.58951608499653</v>
      </c>
      <c r="O1709" s="7">
        <f>[1]!EM_S_VAL_PS_TTM(B1709,E1709)</f>
        <v>2.29672852471503</v>
      </c>
      <c r="P1709" s="7">
        <f>[1]!EM_S_VAL_PCF_NCFTTM(B1709,E1709)</f>
        <v>-5.5282672989919996</v>
      </c>
      <c r="Q1709" s="7">
        <f>[1]!EM_S_VAL_DIVIDENDYIELD2(B1709,E1709,"2019-11-29")</f>
        <v>0</v>
      </c>
      <c r="T1709"/>
      <c r="U1709">
        <f>[1]!EM_S_RATIO_EPS_TTM(B1709,E1709,"1")</f>
        <v>2.7943108129673794E-2</v>
      </c>
      <c r="AT1709" s="4" t="str">
        <f>[1]!EM_S_IPO_LISTEDDATE(B1709)</f>
        <v>2011-11-07</v>
      </c>
    </row>
    <row r="1710" spans="1:46">
      <c r="A1710">
        <v>53</v>
      </c>
      <c r="B1710" t="str">
        <f>"000060"</f>
        <v>000060</v>
      </c>
      <c r="C1710" t="s">
        <v>786</v>
      </c>
      <c r="D1710" t="str">
        <f>[1]!EM_S_INFO_INDEX_EM(B1710,"1")</f>
        <v>有色金属</v>
      </c>
      <c r="E1710" s="4">
        <f t="shared" si="26"/>
        <v>43465</v>
      </c>
      <c r="F1710" s="11">
        <f>[1]!EM_S_PQ_PCTCHANGE(B1710,"2018-01-01","2019-12-31","3")</f>
        <v>-39.690419439999999</v>
      </c>
      <c r="G1710" s="11">
        <f>[1]!EM_S_PQ_PCTCHANGE(B1710,"2019-01-01","2019-12-31","3")</f>
        <v>10.478422460000001</v>
      </c>
      <c r="H1710" s="11">
        <f>[1]!EM_S_FA_YOY_OR(B1710,E1710)</f>
        <v>5.2556690164999997</v>
      </c>
      <c r="I1710" s="11">
        <f>[1]!EM_S_FA_GROSSPROFITMARGIN(B1710,E1710)</f>
        <v>13.496376381699999</v>
      </c>
      <c r="J1710" s="11">
        <f>[1]!EM_S_FA_NETPROFITMARGIN(B1710,E1710)</f>
        <v>4.5562255833999998</v>
      </c>
      <c r="K1710" s="10">
        <f>[1]!EM_S_FA_ASSETSTURN(B1710,E1710)</f>
        <v>1.0427660621579999</v>
      </c>
      <c r="L1710" s="12">
        <f>[1]!EM_HKS_VAL_MV(B1710,"2019-12-31","2")</f>
        <v>15349646906.1</v>
      </c>
      <c r="M1710">
        <f>[1]!EM_S_VAL_PETTMDEDUCTED(B1710,E1710)</f>
        <v>17.689089920939299</v>
      </c>
      <c r="N1710" s="7">
        <f>[1]!EM_S_VAL_PBGOODWILLDEDUCTED(B1710,E1710)</f>
        <v>1.3881327493123601</v>
      </c>
      <c r="O1710" s="7">
        <f>[1]!EM_S_VAL_PS_TTM(B1710,E1710)</f>
        <v>0.667055394030309</v>
      </c>
      <c r="P1710" s="7">
        <f>[1]!EM_S_VAL_PCF_NCFTTM(B1710,E1710)</f>
        <v>33.326674214725202</v>
      </c>
      <c r="Q1710" s="7">
        <f>[1]!EM_S_VAL_DIVIDENDYIELD2(B1710,E1710,"2019-11-29")</f>
        <v>2.0100502512562817</v>
      </c>
      <c r="T1710"/>
      <c r="U1710">
        <f>[1]!EM_S_RATIO_EPS_TTM(B1710,E1710,"1")</f>
        <v>0.25770893288880642</v>
      </c>
      <c r="AT1710" s="4" t="str">
        <f>[1]!EM_S_IPO_LISTEDDATE(B1710)</f>
        <v>1997-01-23</v>
      </c>
    </row>
    <row r="1711" spans="1:46">
      <c r="A1711">
        <v>383</v>
      </c>
      <c r="B1711" t="str">
        <f>"000828"</f>
        <v>000828</v>
      </c>
      <c r="C1711" t="s">
        <v>525</v>
      </c>
      <c r="D1711" t="str">
        <f>[1]!EM_S_INFO_INDEX_EM(B1711,"1")</f>
        <v>交通运输</v>
      </c>
      <c r="E1711" s="4">
        <f t="shared" si="26"/>
        <v>43465</v>
      </c>
      <c r="F1711" s="11">
        <f>[1]!EM_S_PQ_PCTCHANGE(B1711,"2018-01-01","2019-12-31","3")</f>
        <v>-21.152457259999998</v>
      </c>
      <c r="G1711" s="11">
        <f>[1]!EM_S_PQ_PCTCHANGE(B1711,"2018-12-31","2019-12-30","1")</f>
        <v>10.441767069999999</v>
      </c>
      <c r="H1711" s="11">
        <f>[1]!EM_S_FA_YOY_OR(B1711,E1711)</f>
        <v>11.7894516651</v>
      </c>
      <c r="I1711" s="11">
        <f>[1]!EM_S_FA_GROSSPROFITMARGIN(B1711,E1711)</f>
        <v>65.240755538900004</v>
      </c>
      <c r="J1711" s="11">
        <f>[1]!EM_S_FA_NETPROFITMARGIN(B1711,E1711)</f>
        <v>64.794991233299996</v>
      </c>
      <c r="K1711" s="10">
        <f>[1]!EM_S_FA_ASSETSTURN(B1711,E1711)</f>
        <v>0.15297459594000001</v>
      </c>
      <c r="L1711" s="12">
        <f>[1]!EM_HKS_VAL_MV(B1711,"2019-12-31","2")</f>
        <v>8565620014.0799999</v>
      </c>
      <c r="M1711">
        <f>[1]!EM_S_VAL_PETTMDEDUCTED(B1711,E1711)</f>
        <v>8.8355147753473293</v>
      </c>
      <c r="N1711" s="7">
        <f>[1]!EM_S_VAL_PBGOODWILLDEDUCTED(B1711,E1711)</f>
        <v>1.19662804304807</v>
      </c>
      <c r="O1711" s="7">
        <f>[1]!EM_S_VAL_PS_TTM(B1711,E1711)</f>
        <v>4.8740202763704197</v>
      </c>
      <c r="P1711" s="7">
        <f>[1]!EM_S_VAL_PCF_NCFTTM(B1711,E1711)</f>
        <v>5.8613615514424202</v>
      </c>
      <c r="Q1711" s="7">
        <f>[1]!EM_S_VAL_DIVIDENDYIELD2(B1711,E1711,"2019-11-29")</f>
        <v>3.4482758620689662</v>
      </c>
      <c r="T1711"/>
      <c r="U1711">
        <f>[1]!EM_S_RATIO_EPS_TTM(B1711,E1711,"1")</f>
        <v>1.0089877597402468</v>
      </c>
      <c r="AT1711" s="4" t="str">
        <f>[1]!EM_S_IPO_LISTEDDATE(B1711)</f>
        <v>1997-06-17</v>
      </c>
    </row>
    <row r="1712" spans="1:46">
      <c r="A1712">
        <v>1585</v>
      </c>
      <c r="B1712" t="str">
        <f>"300160"</f>
        <v>300160</v>
      </c>
      <c r="C1712" t="s">
        <v>1200</v>
      </c>
      <c r="D1712" t="str">
        <f>[1]!EM_S_INFO_INDEX_EM(B1712,"1")</f>
        <v>建材</v>
      </c>
      <c r="E1712" s="4">
        <f t="shared" si="26"/>
        <v>43465</v>
      </c>
      <c r="F1712" s="11">
        <f>[1]!EM_S_PQ_PCTCHANGE(B1712,"2018-01-01","2019-12-31","3")</f>
        <v>-49.725312760000001</v>
      </c>
      <c r="G1712" s="11">
        <f>[1]!EM_S_PQ_PCTCHANGE(B1712,"2018-12-31","2019-12-30","1")</f>
        <v>10.434782609999999</v>
      </c>
      <c r="H1712" s="11">
        <f>[1]!EM_S_FA_YOY_OR(B1712,E1712)</f>
        <v>1.6621741769</v>
      </c>
      <c r="I1712" s="11">
        <f>[1]!EM_S_FA_GROSSPROFITMARGIN(B1712,E1712)</f>
        <v>29.189883478799999</v>
      </c>
      <c r="J1712" s="11">
        <f>[1]!EM_S_FA_NETPROFITMARGIN(B1712,E1712)</f>
        <v>-16.3991070941</v>
      </c>
      <c r="K1712" s="10">
        <f>[1]!EM_S_FA_ASSETSTURN(B1712,E1712)</f>
        <v>0.72695787214200003</v>
      </c>
      <c r="L1712" s="12">
        <f>[1]!EM_HKS_VAL_MV(B1712,"2019-12-31","2")</f>
        <v>2319384086.25</v>
      </c>
      <c r="M1712">
        <f>[1]!EM_S_VAL_PETTMDEDUCTED(B1712,E1712)</f>
        <v>-235.163914456578</v>
      </c>
      <c r="N1712" s="7">
        <f>[1]!EM_S_VAL_PBGOODWILLDEDUCTED(B1712,E1712)</f>
        <v>2.97871339218334</v>
      </c>
      <c r="O1712" s="7">
        <f>[1]!EM_S_VAL_PS_TTM(B1712,E1712)</f>
        <v>1.48109511048314</v>
      </c>
      <c r="P1712" s="7">
        <f>[1]!EM_S_VAL_PCF_NCFTTM(B1712,E1712)</f>
        <v>-51.747146552954803</v>
      </c>
      <c r="Q1712" s="7">
        <f>[1]!EM_S_VAL_DIVIDENDYIELD2(B1712,E1712,"2019-11-29")</f>
        <v>0</v>
      </c>
      <c r="T1712"/>
      <c r="U1712">
        <f>[1]!EM_S_RATIO_EPS_TTM(B1712,E1712,"1")</f>
        <v>-0.39316419919579282</v>
      </c>
      <c r="AT1712" s="4" t="str">
        <f>[1]!EM_S_IPO_LISTEDDATE(B1712)</f>
        <v>2011-01-13</v>
      </c>
    </row>
    <row r="1713" spans="1:46">
      <c r="A1713">
        <v>407</v>
      </c>
      <c r="B1713" t="str">
        <f>"000869"</f>
        <v>000869</v>
      </c>
      <c r="C1713" t="s">
        <v>273</v>
      </c>
      <c r="D1713" t="str">
        <f>[1]!EM_S_INFO_INDEX_EM(B1713,"1")</f>
        <v>食品饮料</v>
      </c>
      <c r="E1713" s="4">
        <f t="shared" si="26"/>
        <v>43465</v>
      </c>
      <c r="F1713" s="11">
        <f>[1]!EM_S_PQ_PCTCHANGE(B1713,"2018-01-01","2019-12-31","3")</f>
        <v>-21.0414183</v>
      </c>
      <c r="G1713" s="11">
        <f>[1]!EM_S_PQ_PCTCHANGE(B1713,"2018-12-31","2019-12-30","1")</f>
        <v>10.42307692</v>
      </c>
      <c r="H1713" s="11">
        <f>[1]!EM_S_FA_YOY_OR(B1713,E1713)</f>
        <v>4.2513449196000002</v>
      </c>
      <c r="I1713" s="11">
        <f>[1]!EM_S_FA_GROSSPROFITMARGIN(B1713,E1713)</f>
        <v>63.0198171587</v>
      </c>
      <c r="J1713" s="11">
        <f>[1]!EM_S_FA_NETPROFITMARGIN(B1713,E1713)</f>
        <v>20.253492952199998</v>
      </c>
      <c r="K1713" s="10">
        <f>[1]!EM_S_FA_ASSETSTURN(B1713,E1713)</f>
        <v>0.40088467091199997</v>
      </c>
      <c r="L1713" s="12">
        <f>[1]!EM_HKS_VAL_MV(B1713,"2019-12-31","2")</f>
        <v>19672816800</v>
      </c>
      <c r="M1713">
        <f>[1]!EM_S_VAL_PETTMDEDUCTED(B1713,E1713)</f>
        <v>19.5241512335718</v>
      </c>
      <c r="N1713" s="7">
        <f>[1]!EM_S_VAL_PBGOODWILLDEDUCTED(B1713,E1713)</f>
        <v>1.88775048147013</v>
      </c>
      <c r="O1713" s="7">
        <f>[1]!EM_S_VAL_PS_TTM(B1713,E1713)</f>
        <v>3.56790494976471</v>
      </c>
      <c r="P1713" s="7">
        <f>[1]!EM_S_VAL_PCF_NCFTTM(B1713,E1713)</f>
        <v>225.41745304362701</v>
      </c>
      <c r="Q1713" s="7">
        <f>[1]!EM_S_VAL_DIVIDENDYIELD2(B1713,E1713,"2019-11-29")</f>
        <v>2.1937842778793417</v>
      </c>
      <c r="T1713"/>
      <c r="U1713">
        <f>[1]!EM_S_RATIO_EPS_TTM(B1713,E1713,"1")</f>
        <v>1.5210615422545897</v>
      </c>
      <c r="AT1713" s="4" t="str">
        <f>[1]!EM_S_IPO_LISTEDDATE(B1713)</f>
        <v>2000-10-26</v>
      </c>
    </row>
    <row r="1714" spans="1:46">
      <c r="A1714">
        <v>2222</v>
      </c>
      <c r="B1714" t="str">
        <f>"600075"</f>
        <v>600075</v>
      </c>
      <c r="C1714" t="s">
        <v>597</v>
      </c>
      <c r="D1714" t="str">
        <f>[1]!EM_S_INFO_INDEX_EM(B1714,"1")</f>
        <v>基础化工</v>
      </c>
      <c r="E1714" s="4">
        <f t="shared" si="26"/>
        <v>43465</v>
      </c>
      <c r="F1714" s="11">
        <f>[1]!EM_S_PQ_PCTCHANGE(B1714,"2018-01-01","2019-12-31","3")</f>
        <v>-33.136555970000003</v>
      </c>
      <c r="G1714" s="11">
        <f>[1]!EM_S_PQ_PCTCHANGE(B1714,"2018-12-31","2019-12-30","1")</f>
        <v>10.39823009</v>
      </c>
      <c r="H1714" s="11">
        <f>[1]!EM_S_FA_YOY_OR(B1714,E1714)</f>
        <v>-3.0017585993</v>
      </c>
      <c r="I1714" s="11">
        <f>[1]!EM_S_FA_GROSSPROFITMARGIN(B1714,E1714)</f>
        <v>27.093964757999998</v>
      </c>
      <c r="J1714" s="11">
        <f>[1]!EM_S_FA_NETPROFITMARGIN(B1714,E1714)</f>
        <v>9.5834723212000004</v>
      </c>
      <c r="K1714" s="10">
        <f>[1]!EM_S_FA_ASSETSTURN(B1714,E1714)</f>
        <v>0.55005237847099997</v>
      </c>
      <c r="L1714" s="12">
        <f>[1]!EM_HKS_VAL_MV(B1714,"2019-12-31","2")</f>
        <v>4920963101.1199999</v>
      </c>
      <c r="M1714">
        <f>[1]!EM_S_VAL_PETTMDEDUCTED(B1714,E1714)</f>
        <v>13.0379126530208</v>
      </c>
      <c r="N1714" s="7">
        <f>[1]!EM_S_VAL_PBGOODWILLDEDUCTED(B1714,E1714)</f>
        <v>0.91646860390192797</v>
      </c>
      <c r="O1714" s="7">
        <f>[1]!EM_S_VAL_PS_TTM(B1714,E1714)</f>
        <v>0.87276878046620798</v>
      </c>
      <c r="P1714" s="7">
        <f>[1]!EM_S_VAL_PCF_NCFTTM(B1714,E1714)</f>
        <v>23.148489352675298</v>
      </c>
      <c r="Q1714" s="7">
        <f>[1]!EM_S_VAL_DIVIDENDYIELD2(B1714,E1714,"2019-11-29")</f>
        <v>2.0202020202020203</v>
      </c>
      <c r="T1714"/>
      <c r="U1714">
        <f>[1]!EM_S_RATIO_EPS_TTM(B1714,E1714,"1")</f>
        <v>0.50754031985477699</v>
      </c>
      <c r="AT1714" s="4" t="str">
        <f>[1]!EM_S_IPO_LISTEDDATE(B1714)</f>
        <v>1997-06-17</v>
      </c>
    </row>
    <row r="1715" spans="1:46">
      <c r="A1715">
        <v>842</v>
      </c>
      <c r="B1715" t="str">
        <f>"002331"</f>
        <v>002331</v>
      </c>
      <c r="C1715" t="s">
        <v>2426</v>
      </c>
      <c r="D1715" t="str">
        <f>[1]!EM_S_INFO_INDEX_EM(B1715,"1")</f>
        <v>信息技术</v>
      </c>
      <c r="E1715" s="4">
        <f t="shared" si="26"/>
        <v>43465</v>
      </c>
      <c r="F1715" s="11">
        <f>[1]!EM_S_PQ_PCTCHANGE(B1715,"2018-01-01","2019-12-31","3")</f>
        <v>-3.5291652500000001</v>
      </c>
      <c r="G1715" s="11">
        <f>[1]!EM_S_PQ_PCTCHANGE(B1715,"2018-12-31","2019-12-30","1")</f>
        <v>10.37946429</v>
      </c>
      <c r="H1715" s="11">
        <f>[1]!EM_S_FA_YOY_OR(B1715,E1715)</f>
        <v>25.4618008367</v>
      </c>
      <c r="I1715" s="11">
        <f>[1]!EM_S_FA_GROSSPROFITMARGIN(B1715,E1715)</f>
        <v>29.6933868134</v>
      </c>
      <c r="J1715" s="11">
        <f>[1]!EM_S_FA_NETPROFITMARGIN(B1715,E1715)</f>
        <v>8.2697303192000007</v>
      </c>
      <c r="K1715" s="10">
        <f>[1]!EM_S_FA_ASSETSTURN(B1715,E1715)</f>
        <v>0.512959736753</v>
      </c>
      <c r="L1715" s="12">
        <f>[1]!EM_HKS_VAL_MV(B1715,"2019-12-31","2")</f>
        <v>4067155269.0300002</v>
      </c>
      <c r="M1715">
        <f>[1]!EM_S_VAL_PETTMDEDUCTED(B1715,E1715)</f>
        <v>50.313516203227898</v>
      </c>
      <c r="N1715" s="7">
        <f>[1]!EM_S_VAL_PBGOODWILLDEDUCTED(B1715,E1715)</f>
        <v>2.1703398266636098</v>
      </c>
      <c r="O1715" s="7">
        <f>[1]!EM_S_VAL_PS_TTM(B1715,E1715)</f>
        <v>3.52042654022567</v>
      </c>
      <c r="P1715" s="7">
        <f>[1]!EM_S_VAL_PCF_NCFTTM(B1715,E1715)</f>
        <v>974.92792827767505</v>
      </c>
      <c r="Q1715" s="7">
        <f>[1]!EM_S_VAL_DIVIDENDYIELD2(B1715,E1715,"2019-11-29")</f>
        <v>0.33117645222828723</v>
      </c>
      <c r="T1715"/>
      <c r="U1715">
        <f>[1]!EM_S_RATIO_EPS_TTM(B1715,E1715,"1")</f>
        <v>0.25676223778254814</v>
      </c>
      <c r="AT1715" s="4" t="str">
        <f>[1]!EM_S_IPO_LISTEDDATE(B1715)</f>
        <v>2010-01-06</v>
      </c>
    </row>
    <row r="1716" spans="1:46">
      <c r="A1716">
        <v>463</v>
      </c>
      <c r="B1716" t="str">
        <f>"000948"</f>
        <v>000948</v>
      </c>
      <c r="C1716" t="s">
        <v>3591</v>
      </c>
      <c r="D1716" t="str">
        <f>[1]!EM_S_INFO_INDEX_EM(B1716,"1")</f>
        <v>信息技术</v>
      </c>
      <c r="E1716" s="4">
        <f t="shared" si="26"/>
        <v>43465</v>
      </c>
      <c r="F1716" s="11">
        <f>[1]!EM_S_PQ_PCTCHANGE(B1716,"2018-01-01","2019-12-31","3")</f>
        <v>34.47030273</v>
      </c>
      <c r="G1716" s="11">
        <f>[1]!EM_S_PQ_PCTCHANGE(B1716,"2018-12-31","2019-12-30","1")</f>
        <v>10.377358490000001</v>
      </c>
      <c r="H1716" s="11">
        <f>[1]!EM_S_FA_YOY_OR(B1716,E1716)</f>
        <v>20.035901259300001</v>
      </c>
      <c r="I1716" s="11">
        <f>[1]!EM_S_FA_GROSSPROFITMARGIN(B1716,E1716)</f>
        <v>23.287050089299999</v>
      </c>
      <c r="J1716" s="11">
        <f>[1]!EM_S_FA_NETPROFITMARGIN(B1716,E1716)</f>
        <v>3.5533192807999998</v>
      </c>
      <c r="K1716" s="10">
        <f>[1]!EM_S_FA_ASSETSTURN(B1716,E1716)</f>
        <v>0.94679417999299997</v>
      </c>
      <c r="L1716" s="12">
        <f>[1]!EM_HKS_VAL_MV(B1716,"2019-12-31","2")</f>
        <v>3382201912.4499998</v>
      </c>
      <c r="M1716">
        <f>[1]!EM_S_VAL_PETTMDEDUCTED(B1716,E1716)</f>
        <v>84.848827272935097</v>
      </c>
      <c r="N1716" s="7">
        <f>[1]!EM_S_VAL_PBGOODWILLDEDUCTED(B1716,E1716)</f>
        <v>1.5806218703880499</v>
      </c>
      <c r="O1716" s="7">
        <f>[1]!EM_S_VAL_PS_TTM(B1716,E1716)</f>
        <v>0.88117676016248303</v>
      </c>
      <c r="P1716" s="7">
        <f>[1]!EM_S_VAL_PCF_NCFTTM(B1716,E1716)</f>
        <v>18.383696142892099</v>
      </c>
      <c r="Q1716" s="7">
        <f>[1]!EM_S_VAL_DIVIDENDYIELD2(B1716,E1716,"2019-11-29")</f>
        <v>0.37125037217679535</v>
      </c>
      <c r="T1716"/>
      <c r="U1716">
        <f>[1]!EM_S_RATIO_EPS_TTM(B1716,E1716,"1")</f>
        <v>0.30320164328006782</v>
      </c>
      <c r="AT1716" s="4" t="str">
        <f>[1]!EM_S_IPO_LISTEDDATE(B1716)</f>
        <v>1999-10-14</v>
      </c>
    </row>
    <row r="1717" spans="1:46">
      <c r="A1717">
        <v>3218</v>
      </c>
      <c r="B1717" t="str">
        <f>"603020"</f>
        <v>603020</v>
      </c>
      <c r="C1717" t="s">
        <v>1882</v>
      </c>
      <c r="D1717" t="str">
        <f>[1]!EM_S_INFO_INDEX_EM(B1717,"1")</f>
        <v>食品饮料</v>
      </c>
      <c r="E1717" s="4">
        <f t="shared" si="26"/>
        <v>43465</v>
      </c>
      <c r="F1717" s="11">
        <f>[1]!EM_S_PQ_PCTCHANGE(B1717,"2018-01-01","2019-12-31","3")</f>
        <v>-31.74874354</v>
      </c>
      <c r="G1717" s="11">
        <f>[1]!EM_S_PQ_PCTCHANGE(B1717,"2018-12-31","2019-12-30","1")</f>
        <v>10.36339166</v>
      </c>
      <c r="H1717" s="11">
        <f>[1]!EM_S_FA_YOY_OR(B1717,E1717)</f>
        <v>7.5200643712000002</v>
      </c>
      <c r="I1717" s="11">
        <f>[1]!EM_S_FA_GROSSPROFITMARGIN(B1717,E1717)</f>
        <v>17.591642928300001</v>
      </c>
      <c r="J1717" s="11">
        <f>[1]!EM_S_FA_NETPROFITMARGIN(B1717,E1717)</f>
        <v>5.1332409818000002</v>
      </c>
      <c r="K1717" s="10">
        <f>[1]!EM_S_FA_ASSETSTURN(B1717,E1717)</f>
        <v>1.0868504024779999</v>
      </c>
      <c r="L1717" s="12">
        <f>[1]!EM_HKS_VAL_MV(B1717,"2019-12-31","2")</f>
        <v>2630400000</v>
      </c>
      <c r="M1717">
        <f>[1]!EM_S_VAL_PETTMDEDUCTED(B1717,E1717)</f>
        <v>23.1210189161683</v>
      </c>
      <c r="N1717" s="7">
        <f>[1]!EM_S_VAL_PBGOODWILLDEDUCTED(B1717,E1717)</f>
        <v>1.25700379544074</v>
      </c>
      <c r="O1717" s="7">
        <f>[1]!EM_S_VAL_PS_TTM(B1717,E1717)</f>
        <v>0.978181180525308</v>
      </c>
      <c r="P1717" s="7">
        <f>[1]!EM_S_VAL_PCF_NCFTTM(B1717,E1717)</f>
        <v>-12.8570241261188</v>
      </c>
      <c r="Q1717" s="7">
        <f>[1]!EM_S_VAL_DIVIDENDYIELD2(B1717,E1717,"2019-11-29")</f>
        <v>1.4304291287386219</v>
      </c>
      <c r="T1717"/>
      <c r="U1717">
        <f>[1]!EM_S_RATIO_EPS_TTM(B1717,E1717,"1")</f>
        <v>0.34423507440625001</v>
      </c>
      <c r="AT1717" s="4" t="str">
        <f>[1]!EM_S_IPO_LISTEDDATE(B1717)</f>
        <v>2015-03-25</v>
      </c>
    </row>
    <row r="1718" spans="1:46">
      <c r="A1718">
        <v>2360</v>
      </c>
      <c r="B1718" t="str">
        <f>"600226"</f>
        <v>600226</v>
      </c>
      <c r="C1718" t="s">
        <v>1869</v>
      </c>
      <c r="D1718" t="str">
        <f>[1]!EM_S_INFO_INDEX_EM(B1718,"1")</f>
        <v>基础化工</v>
      </c>
      <c r="E1718" s="4">
        <f t="shared" si="26"/>
        <v>43465</v>
      </c>
      <c r="F1718" s="11">
        <f>[1]!EM_S_PQ_PCTCHANGE(B1718,"2018-01-01","2019-12-31","3")</f>
        <v>-30.681286839999999</v>
      </c>
      <c r="G1718" s="11">
        <f>[1]!EM_S_PQ_PCTCHANGE(B1718,"2018-12-31","2019-12-30","1")</f>
        <v>10.35714286</v>
      </c>
      <c r="H1718" s="11">
        <f>[1]!EM_S_FA_YOY_OR(B1718,E1718)</f>
        <v>-25.4559695202</v>
      </c>
      <c r="I1718" s="11">
        <f>[1]!EM_S_FA_GROSSPROFITMARGIN(B1718,E1718)</f>
        <v>40.472054936399999</v>
      </c>
      <c r="J1718" s="11">
        <f>[1]!EM_S_FA_NETPROFITMARGIN(B1718,E1718)</f>
        <v>14.033733335100001</v>
      </c>
      <c r="K1718" s="10">
        <f>[1]!EM_S_FA_ASSETSTURN(B1718,E1718)</f>
        <v>0.18665287992999999</v>
      </c>
      <c r="L1718" s="12">
        <f>[1]!EM_HKS_VAL_MV(B1718,"2019-12-31","2")</f>
        <v>9855330067.8600006</v>
      </c>
      <c r="M1718">
        <f>[1]!EM_S_VAL_PETTMDEDUCTED(B1718,E1718)</f>
        <v>37.638851291549102</v>
      </c>
      <c r="N1718" s="7">
        <f>[1]!EM_S_VAL_PBGOODWILLDEDUCTED(B1718,E1718)</f>
        <v>2.7881701876334399</v>
      </c>
      <c r="O1718" s="7">
        <f>[1]!EM_S_VAL_PS_TTM(B1718,E1718)</f>
        <v>8.4450720178443195</v>
      </c>
      <c r="P1718" s="7">
        <f>[1]!EM_S_VAL_PCF_NCFTTM(B1718,E1718)</f>
        <v>-12.572605810337301</v>
      </c>
      <c r="Q1718" s="7">
        <f>[1]!EM_S_VAL_DIVIDENDYIELD2(B1718,E1718,"2019-11-29")</f>
        <v>0.76923076923076927</v>
      </c>
      <c r="T1718"/>
      <c r="U1718">
        <f>[1]!EM_S_RATIO_EPS_TTM(B1718,E1718,"1")</f>
        <v>4.5153170125333798E-2</v>
      </c>
      <c r="AT1718" s="4" t="str">
        <f>[1]!EM_S_IPO_LISTEDDATE(B1718)</f>
        <v>1999-11-16</v>
      </c>
    </row>
    <row r="1719" spans="1:46">
      <c r="A1719">
        <v>2481</v>
      </c>
      <c r="B1719" t="str">
        <f>"600361"</f>
        <v>600361</v>
      </c>
      <c r="C1719" t="s">
        <v>2109</v>
      </c>
      <c r="D1719" t="str">
        <f>[1]!EM_S_INFO_INDEX_EM(B1719,"1")</f>
        <v>商贸零售</v>
      </c>
      <c r="E1719" s="4">
        <f t="shared" si="26"/>
        <v>43465</v>
      </c>
      <c r="F1719" s="11">
        <f>[1]!EM_S_PQ_PCTCHANGE(B1719,"2018-01-01","2019-12-31","3")</f>
        <v>-28.406834839999998</v>
      </c>
      <c r="G1719" s="11">
        <f>[1]!EM_S_PQ_PCTCHANGE(B1719,"2018-12-31","2019-12-30","1")</f>
        <v>10.32448378</v>
      </c>
      <c r="H1719" s="11">
        <f>[1]!EM_S_FA_YOY_OR(B1719,E1719)</f>
        <v>-1.4714136725</v>
      </c>
      <c r="I1719" s="11">
        <f>[1]!EM_S_FA_GROSSPROFITMARGIN(B1719,E1719)</f>
        <v>22.185706209300001</v>
      </c>
      <c r="J1719" s="11">
        <f>[1]!EM_S_FA_NETPROFITMARGIN(B1719,E1719)</f>
        <v>0.69725592420000004</v>
      </c>
      <c r="K1719" s="10">
        <f>[1]!EM_S_FA_ASSETSTURN(B1719,E1719)</f>
        <v>1.169871861766</v>
      </c>
      <c r="L1719" s="12">
        <f>[1]!EM_HKS_VAL_MV(B1719,"2019-12-31","2")</f>
        <v>2516753930.04</v>
      </c>
      <c r="M1719">
        <f>[1]!EM_S_VAL_PETTMDEDUCTED(B1719,E1719)</f>
        <v>33.332894529326097</v>
      </c>
      <c r="N1719" s="7">
        <f>[1]!EM_S_VAL_PBGOODWILLDEDUCTED(B1719,E1719)</f>
        <v>0.87152044513251503</v>
      </c>
      <c r="O1719" s="7">
        <f>[1]!EM_S_VAL_PS_TTM(B1719,E1719)</f>
        <v>0.19095817522769601</v>
      </c>
      <c r="P1719" s="7">
        <f>[1]!EM_S_VAL_PCF_NCFTTM(B1719,E1719)</f>
        <v>-26.468800484640401</v>
      </c>
      <c r="Q1719" s="7">
        <f>[1]!EM_S_VAL_DIVIDENDYIELD2(B1719,E1719,"2019-11-29")</f>
        <v>1.9498607242339834</v>
      </c>
      <c r="T1719"/>
      <c r="U1719">
        <f>[1]!EM_S_RATIO_EPS_TTM(B1719,E1719,"1")</f>
        <v>0.12525938734780864</v>
      </c>
      <c r="AT1719" s="4" t="str">
        <f>[1]!EM_S_IPO_LISTEDDATE(B1719)</f>
        <v>2001-11-29</v>
      </c>
    </row>
    <row r="1720" spans="1:46">
      <c r="A1720">
        <v>2084</v>
      </c>
      <c r="B1720" t="str">
        <f>"300665"</f>
        <v>300665</v>
      </c>
      <c r="C1720" t="s">
        <v>3291</v>
      </c>
      <c r="D1720" t="str">
        <f>[1]!EM_S_INFO_INDEX_EM(B1720,"1")</f>
        <v>基础化工</v>
      </c>
      <c r="E1720" s="4">
        <f t="shared" si="26"/>
        <v>43465</v>
      </c>
      <c r="F1720" s="11">
        <f>[1]!EM_S_PQ_PCTCHANGE(B1720,"2018-01-01","2019-12-31","3")</f>
        <v>-39.52063167</v>
      </c>
      <c r="G1720" s="11">
        <f>[1]!EM_S_PQ_PCTCHANGE(B1720,"2018-12-31","2019-12-30","1")</f>
        <v>10.32325339</v>
      </c>
      <c r="H1720" s="11">
        <f>[1]!EM_S_FA_YOY_OR(B1720,E1720)</f>
        <v>35.195672736399999</v>
      </c>
      <c r="I1720" s="11">
        <f>[1]!EM_S_FA_GROSSPROFITMARGIN(B1720,E1720)</f>
        <v>26.363238731399999</v>
      </c>
      <c r="J1720" s="11">
        <f>[1]!EM_S_FA_NETPROFITMARGIN(B1720,E1720)</f>
        <v>6.9037991465999999</v>
      </c>
      <c r="K1720" s="10">
        <f>[1]!EM_S_FA_ASSETSTURN(B1720,E1720)</f>
        <v>0.529890632827</v>
      </c>
      <c r="L1720" s="12">
        <f>[1]!EM_HKS_VAL_MV(B1720,"2019-12-31","2")</f>
        <v>1297472000</v>
      </c>
      <c r="M1720">
        <f>[1]!EM_S_VAL_PETTMDEDUCTED(B1720,E1720)</f>
        <v>35.9467839721896</v>
      </c>
      <c r="N1720" s="7">
        <f>[1]!EM_S_VAL_PBGOODWILLDEDUCTED(B1720,E1720)</f>
        <v>2.7272390510500699</v>
      </c>
      <c r="O1720" s="7">
        <f>[1]!EM_S_VAL_PS_TTM(B1720,E1720)</f>
        <v>3.2459531338085501</v>
      </c>
      <c r="P1720" s="7">
        <f>[1]!EM_S_VAL_PCF_NCFTTM(B1720,E1720)</f>
        <v>-25.151534933142202</v>
      </c>
      <c r="Q1720" s="7">
        <f>[1]!EM_S_VAL_DIVIDENDYIELD2(B1720,E1720,"2019-11-29")</f>
        <v>0.50454086781029261</v>
      </c>
      <c r="T1720"/>
      <c r="U1720">
        <f>[1]!EM_S_RATIO_EPS_TTM(B1720,E1720,"1")</f>
        <v>0.20784853133223685</v>
      </c>
      <c r="AT1720" s="4" t="str">
        <f>[1]!EM_S_IPO_LISTEDDATE(B1720)</f>
        <v>2017-06-13</v>
      </c>
    </row>
    <row r="1721" spans="1:46">
      <c r="A1721">
        <v>1989</v>
      </c>
      <c r="B1721" t="str">
        <f>"300567"</f>
        <v>300567</v>
      </c>
      <c r="C1721" t="s">
        <v>550</v>
      </c>
      <c r="D1721" t="str">
        <f>[1]!EM_S_INFO_INDEX_EM(B1721,"1")</f>
        <v>机械设备</v>
      </c>
      <c r="E1721" s="4">
        <f t="shared" si="26"/>
        <v>43465</v>
      </c>
      <c r="F1721" s="11">
        <f>[1]!EM_S_PQ_PCTCHANGE(B1721,"2018-01-01","2019-12-31","3")</f>
        <v>24.738231039999999</v>
      </c>
      <c r="G1721" s="11">
        <f>[1]!EM_S_PQ_PCTCHANGE(B1721,"2018-12-31","2019-12-30","1")</f>
        <v>10.301109350000001</v>
      </c>
      <c r="H1721" s="11">
        <f>[1]!EM_S_FA_YOY_OR(B1721,E1721)</f>
        <v>55.238388713500001</v>
      </c>
      <c r="I1721" s="11">
        <f>[1]!EM_S_FA_GROSSPROFITMARGIN(B1721,E1721)</f>
        <v>51.213470309599998</v>
      </c>
      <c r="J1721" s="11">
        <f>[1]!EM_S_FA_NETPROFITMARGIN(B1721,E1721)</f>
        <v>21.8122120088</v>
      </c>
      <c r="K1721" s="10">
        <f>[1]!EM_S_FA_ASSETSTURN(B1721,E1721)</f>
        <v>0.71331809367700005</v>
      </c>
      <c r="L1721" s="12">
        <f>[1]!EM_HKS_VAL_MV(B1721,"2019-12-31","2")</f>
        <v>13457824895.639999</v>
      </c>
      <c r="M1721">
        <f>[1]!EM_S_VAL_PETTMDEDUCTED(B1721,E1721)</f>
        <v>36.862209975500697</v>
      </c>
      <c r="N1721" s="7">
        <f>[1]!EM_S_VAL_PBGOODWILLDEDUCTED(B1721,E1721)</f>
        <v>7.19152620960591</v>
      </c>
      <c r="O1721" s="7">
        <f>[1]!EM_S_VAL_PS_TTM(B1721,E1721)</f>
        <v>6.5658184797191996</v>
      </c>
      <c r="P1721" s="7">
        <f>[1]!EM_S_VAL_PCF_NCFTTM(B1721,E1721)</f>
        <v>59.441602776403499</v>
      </c>
      <c r="Q1721" s="7">
        <f>[1]!EM_S_VAL_DIVIDENDYIELD2(B1721,E1721,"2019-11-29")</f>
        <v>0.82311110068163629</v>
      </c>
      <c r="T1721"/>
      <c r="U1721">
        <f>[1]!EM_S_RATIO_EPS_TTM(B1721,E1721,"1")</f>
        <v>1.7661070366227829</v>
      </c>
      <c r="AT1721" s="4" t="str">
        <f>[1]!EM_S_IPO_LISTEDDATE(B1721)</f>
        <v>2016-11-22</v>
      </c>
    </row>
    <row r="1722" spans="1:46">
      <c r="A1722">
        <v>1341</v>
      </c>
      <c r="B1722" t="str">
        <f>"002839"</f>
        <v>002839</v>
      </c>
      <c r="C1722" t="s">
        <v>953</v>
      </c>
      <c r="D1722" t="str">
        <f>[1]!EM_S_INFO_INDEX_EM(B1722,"1")</f>
        <v>金融</v>
      </c>
      <c r="E1722" s="4">
        <f t="shared" si="26"/>
        <v>43465</v>
      </c>
      <c r="F1722" s="11">
        <f>[1]!EM_S_PQ_PCTCHANGE(B1722,"2018-01-01","2019-12-31","3")</f>
        <v>-47.315772719999998</v>
      </c>
      <c r="G1722" s="11">
        <f>[1]!EM_S_PQ_PCTCHANGE(B1722,"2018-12-31","2019-12-30","1")</f>
        <v>10.28037383</v>
      </c>
      <c r="H1722" s="11">
        <f>[1]!EM_S_FA_YOY_OR(B1722,E1722)</f>
        <v>23.983543785999998</v>
      </c>
      <c r="I1722" s="11">
        <f>[1]!EM_S_FA_GROSSPROFITMARGIN(B1722,E1722)</f>
        <v>0</v>
      </c>
      <c r="J1722" s="11">
        <f>[1]!EM_S_FA_NETPROFITMARGIN(B1722,E1722)</f>
        <v>27.3269265279</v>
      </c>
      <c r="K1722" s="10">
        <f>[1]!EM_S_FA_ASSETSTURN(B1722,E1722)</f>
        <v>0</v>
      </c>
      <c r="L1722" s="12">
        <f>[1]!EM_HKS_VAL_MV(B1722,"2019-12-31","2")</f>
        <v>10736928223.559999</v>
      </c>
      <c r="M1722">
        <f>[1]!EM_S_VAL_PETTMDEDUCTED(B1722,E1722)</f>
        <v>11.4452494641539</v>
      </c>
      <c r="N1722" s="7">
        <f>[1]!EM_S_VAL_PBGOODWILLDEDUCTED(B1722,E1722)</f>
        <v>1.02142408557283</v>
      </c>
      <c r="O1722" s="7">
        <f>[1]!EM_S_VAL_PS_TTM(B1722,E1722)</f>
        <v>3.5502535386717202</v>
      </c>
      <c r="P1722" s="7">
        <f>[1]!EM_S_VAL_PCF_NCFTTM(B1722,E1722)</f>
        <v>-12.695928743994401</v>
      </c>
      <c r="Q1722" s="7">
        <f>[1]!EM_S_VAL_DIVIDENDYIELD2(B1722,E1722,"2019-11-29")</f>
        <v>2.6929893906986311</v>
      </c>
      <c r="T1722"/>
      <c r="U1722">
        <f>[1]!EM_S_RATIO_EPS_TTM(B1722,E1722,"1")</f>
        <v>0.46202290391660694</v>
      </c>
      <c r="AT1722" s="4" t="str">
        <f>[1]!EM_S_IPO_LISTEDDATE(B1722)</f>
        <v>2017-01-24</v>
      </c>
    </row>
    <row r="1723" spans="1:46">
      <c r="A1723">
        <v>1881</v>
      </c>
      <c r="B1723" t="str">
        <f>"300456"</f>
        <v>300456</v>
      </c>
      <c r="C1723" t="s">
        <v>2728</v>
      </c>
      <c r="D1723" t="str">
        <f>[1]!EM_S_INFO_INDEX_EM(B1723,"1")</f>
        <v>电子设备</v>
      </c>
      <c r="E1723" s="4">
        <f t="shared" si="26"/>
        <v>43465</v>
      </c>
      <c r="F1723" s="11">
        <f>[1]!EM_S_PQ_PCTCHANGE(B1723,"2018-01-01","2019-12-31","3")</f>
        <v>56.433167859999998</v>
      </c>
      <c r="G1723" s="11">
        <f>[1]!EM_S_PQ_PCTCHANGE(B1723,"2018-12-31","2019-12-30","1")</f>
        <v>10.262206150000001</v>
      </c>
      <c r="H1723" s="11">
        <f>[1]!EM_S_FA_YOY_OR(B1723,E1723)</f>
        <v>18.650627768</v>
      </c>
      <c r="I1723" s="11">
        <f>[1]!EM_S_FA_GROSSPROFITMARGIN(B1723,E1723)</f>
        <v>40.728113593099998</v>
      </c>
      <c r="J1723" s="11">
        <f>[1]!EM_S_FA_NETPROFITMARGIN(B1723,E1723)</f>
        <v>14.001815861900001</v>
      </c>
      <c r="K1723" s="10">
        <f>[1]!EM_S_FA_ASSETSTURN(B1723,E1723)</f>
        <v>0.22305671760199999</v>
      </c>
      <c r="L1723" s="12">
        <f>[1]!EM_HKS_VAL_MV(B1723,"2019-12-31","2")</f>
        <v>15803543039.6</v>
      </c>
      <c r="M1723">
        <f>[1]!EM_S_VAL_PETTMDEDUCTED(B1723,E1723)</f>
        <v>63.441210824122898</v>
      </c>
      <c r="N1723" s="7">
        <f>[1]!EM_S_VAL_PBGOODWILLDEDUCTED(B1723,E1723)</f>
        <v>7.19515596629964</v>
      </c>
      <c r="O1723" s="7">
        <f>[1]!EM_S_VAL_PS_TTM(B1723,E1723)</f>
        <v>8.3238269750979796</v>
      </c>
      <c r="P1723" s="7">
        <f>[1]!EM_S_VAL_PCF_NCFTTM(B1723,E1723)</f>
        <v>15.5593724528684</v>
      </c>
      <c r="Q1723" s="7">
        <f>[1]!EM_S_VAL_DIVIDENDYIELD2(B1723,E1723,"2019-11-29")</f>
        <v>0.3794634388159131</v>
      </c>
      <c r="T1723"/>
      <c r="U1723">
        <f>[1]!EM_S_RATIO_EPS_TTM(B1723,E1723,"1")</f>
        <v>0.33443809533388469</v>
      </c>
      <c r="AT1723" s="4" t="str">
        <f>[1]!EM_S_IPO_LISTEDDATE(B1723)</f>
        <v>2015-05-14</v>
      </c>
    </row>
    <row r="1724" spans="1:46">
      <c r="A1724">
        <v>3057</v>
      </c>
      <c r="B1724" t="str">
        <f>"601118"</f>
        <v>601118</v>
      </c>
      <c r="C1724" t="s">
        <v>3572</v>
      </c>
      <c r="D1724" t="str">
        <f>[1]!EM_S_INFO_INDEX_EM(B1724,"1")</f>
        <v>农林牧渔</v>
      </c>
      <c r="E1724" s="4">
        <f t="shared" si="26"/>
        <v>43465</v>
      </c>
      <c r="F1724" s="11">
        <f>[1]!EM_S_PQ_PCTCHANGE(B1724,"2018-01-01","2019-12-31","3")</f>
        <v>-11.18217471</v>
      </c>
      <c r="G1724" s="11">
        <f>[1]!EM_S_PQ_PCTCHANGE(B1724,"2018-12-31","2019-12-30","1")</f>
        <v>10.244988859999999</v>
      </c>
      <c r="H1724" s="11">
        <f>[1]!EM_S_FA_YOY_OR(B1724,E1724)</f>
        <v>-37.580027219999998</v>
      </c>
      <c r="I1724" s="11">
        <f>[1]!EM_S_FA_GROSSPROFITMARGIN(B1724,E1724)</f>
        <v>3.6045623077000002</v>
      </c>
      <c r="J1724" s="11">
        <f>[1]!EM_S_FA_NETPROFITMARGIN(B1724,E1724)</f>
        <v>3.2790317148999999</v>
      </c>
      <c r="K1724" s="10">
        <f>[1]!EM_S_FA_ASSETSTURN(B1724,E1724)</f>
        <v>0.47733606737399997</v>
      </c>
      <c r="L1724" s="12">
        <f>[1]!EM_HKS_VAL_MV(B1724,"2019-12-31","2")</f>
        <v>21054784761.240002</v>
      </c>
      <c r="M1724">
        <f>[1]!EM_S_VAL_PETTMDEDUCTED(B1724,E1724)</f>
        <v>-20.635829445047701</v>
      </c>
      <c r="N1724" s="7">
        <f>[1]!EM_S_VAL_PBGOODWILLDEDUCTED(B1724,E1724)</f>
        <v>1.96595537737889</v>
      </c>
      <c r="O1724" s="7">
        <f>[1]!EM_S_VAL_PS_TTM(B1724,E1724)</f>
        <v>3.0076428369491701</v>
      </c>
      <c r="P1724" s="7">
        <f>[1]!EM_S_VAL_PCF_NCFTTM(B1724,E1724)</f>
        <v>13.354051593781801</v>
      </c>
      <c r="Q1724" s="7">
        <f>[1]!EM_S_VAL_DIVIDENDYIELD2(B1724,E1724,"2019-11-29")</f>
        <v>0.23965141612200436</v>
      </c>
      <c r="T1724"/>
      <c r="U1724">
        <f>[1]!EM_S_RATIO_EPS_TTM(B1724,E1724,"1")</f>
        <v>5.3427386257172547E-2</v>
      </c>
      <c r="AT1724" s="4" t="str">
        <f>[1]!EM_S_IPO_LISTEDDATE(B1724)</f>
        <v>2011-01-07</v>
      </c>
    </row>
    <row r="1725" spans="1:46">
      <c r="A1725">
        <v>2177</v>
      </c>
      <c r="B1725" t="str">
        <f>"600018"</f>
        <v>600018</v>
      </c>
      <c r="C1725" t="s">
        <v>1146</v>
      </c>
      <c r="D1725" t="str">
        <f>[1]!EM_S_INFO_INDEX_EM(B1725,"1")</f>
        <v>交通运输</v>
      </c>
      <c r="E1725" s="4">
        <f t="shared" si="26"/>
        <v>43465</v>
      </c>
      <c r="F1725" s="11">
        <f>[1]!EM_S_PQ_PCTCHANGE(B1725,"2018-01-01","2019-12-31","3")</f>
        <v>-9.0166695200000007</v>
      </c>
      <c r="G1725" s="11">
        <f>[1]!EM_S_PQ_PCTCHANGE(B1725,"2018-12-31","2019-12-30","1")</f>
        <v>10.231660229999999</v>
      </c>
      <c r="H1725" s="11">
        <f>[1]!EM_S_FA_YOY_OR(B1725,E1725)</f>
        <v>1.6529480635</v>
      </c>
      <c r="I1725" s="11">
        <f>[1]!EM_S_FA_GROSSPROFITMARGIN(B1725,E1725)</f>
        <v>31.743317365199999</v>
      </c>
      <c r="J1725" s="11">
        <f>[1]!EM_S_FA_NETPROFITMARGIN(B1725,E1725)</f>
        <v>30.1557669639</v>
      </c>
      <c r="K1725" s="10">
        <f>[1]!EM_S_FA_ASSETSTURN(B1725,E1725)</f>
        <v>0.26575577181299997</v>
      </c>
      <c r="L1725" s="12">
        <f>[1]!EM_HKS_VAL_MV(B1725,"2019-12-31","2")</f>
        <v>133712102730.5</v>
      </c>
      <c r="M1725">
        <f>[1]!EM_S_VAL_PETTMDEDUCTED(B1725,E1725)</f>
        <v>15.795761666737199</v>
      </c>
      <c r="N1725" s="7">
        <f>[1]!EM_S_VAL_PBGOODWILLDEDUCTED(B1725,E1725)</f>
        <v>1.59272402829103</v>
      </c>
      <c r="O1725" s="7">
        <f>[1]!EM_S_VAL_PS_TTM(B1725,E1725)</f>
        <v>3.1348090207327699</v>
      </c>
      <c r="P1725" s="7">
        <f>[1]!EM_S_VAL_PCF_NCFTTM(B1725,E1725)</f>
        <v>22.211856317403601</v>
      </c>
      <c r="Q1725" s="7">
        <f>[1]!EM_S_VAL_DIVIDENDYIELD2(B1725,E1725,"2019-11-29")</f>
        <v>2.7648114901256728</v>
      </c>
      <c r="T1725"/>
      <c r="U1725">
        <f>[1]!EM_S_RATIO_EPS_TTM(B1725,E1725,"1")</f>
        <v>0.44344898638119096</v>
      </c>
      <c r="AT1725" s="4" t="str">
        <f>[1]!EM_S_IPO_LISTEDDATE(B1725)</f>
        <v>2006-10-26</v>
      </c>
    </row>
    <row r="1726" spans="1:46">
      <c r="A1726">
        <v>3632</v>
      </c>
      <c r="B1726" t="str">
        <f>"603989"</f>
        <v>603989</v>
      </c>
      <c r="C1726" t="s">
        <v>924</v>
      </c>
      <c r="D1726" t="str">
        <f>[1]!EM_S_INFO_INDEX_EM(B1726,"1")</f>
        <v>电子设备</v>
      </c>
      <c r="E1726" s="4">
        <f t="shared" si="26"/>
        <v>43465</v>
      </c>
      <c r="F1726" s="11">
        <f>[1]!EM_S_PQ_PCTCHANGE(B1726,"2018-01-01","2019-12-31","3")</f>
        <v>-22.899056479999999</v>
      </c>
      <c r="G1726" s="11">
        <f>[1]!EM_S_PQ_PCTCHANGE(B1726,"2018-12-31","2019-12-30","1")</f>
        <v>10.22840119</v>
      </c>
      <c r="H1726" s="11">
        <f>[1]!EM_S_FA_YOY_OR(B1726,E1726)</f>
        <v>20.812848595199998</v>
      </c>
      <c r="I1726" s="11">
        <f>[1]!EM_S_FA_GROSSPROFITMARGIN(B1726,E1726)</f>
        <v>30.3366408847</v>
      </c>
      <c r="J1726" s="11">
        <f>[1]!EM_S_FA_NETPROFITMARGIN(B1726,E1726)</f>
        <v>13.823167179</v>
      </c>
      <c r="K1726" s="10">
        <f>[1]!EM_S_FA_ASSETSTURN(B1726,E1726)</f>
        <v>0.76726798013499997</v>
      </c>
      <c r="L1726" s="12">
        <f>[1]!EM_HKS_VAL_MV(B1726,"2019-12-31","2")</f>
        <v>8509847174.8400002</v>
      </c>
      <c r="M1726">
        <f>[1]!EM_S_VAL_PETTMDEDUCTED(B1726,E1726)</f>
        <v>28.2474931680438</v>
      </c>
      <c r="N1726" s="7">
        <f>[1]!EM_S_VAL_PBGOODWILLDEDUCTED(B1726,E1726)</f>
        <v>4.1511444532055499</v>
      </c>
      <c r="O1726" s="7">
        <f>[1]!EM_S_VAL_PS_TTM(B1726,E1726)</f>
        <v>3.6780140221928699</v>
      </c>
      <c r="P1726" s="7">
        <f>[1]!EM_S_VAL_PCF_NCFTTM(B1726,E1726)</f>
        <v>-20.313149033618998</v>
      </c>
      <c r="Q1726" s="7">
        <f>[1]!EM_S_VAL_DIVIDENDYIELD2(B1726,E1726,"2019-11-29")</f>
        <v>1.5906680805938493</v>
      </c>
      <c r="T1726"/>
      <c r="U1726">
        <f>[1]!EM_S_RATIO_EPS_TTM(B1726,E1726,"1")</f>
        <v>0.76587298252354807</v>
      </c>
      <c r="AT1726" s="4" t="str">
        <f>[1]!EM_S_IPO_LISTEDDATE(B1726)</f>
        <v>2015-05-15</v>
      </c>
    </row>
    <row r="1727" spans="1:46">
      <c r="A1727">
        <v>2990</v>
      </c>
      <c r="B1727" t="str">
        <f>"600963"</f>
        <v>600963</v>
      </c>
      <c r="C1727" t="s">
        <v>1419</v>
      </c>
      <c r="D1727" t="str">
        <f>[1]!EM_S_INFO_INDEX_EM(B1727,"1")</f>
        <v>轻工制造</v>
      </c>
      <c r="E1727" s="4">
        <f t="shared" si="26"/>
        <v>43465</v>
      </c>
      <c r="F1727" s="11">
        <f>[1]!EM_S_PQ_PCTCHANGE(B1727,"2018-01-01","2019-12-31","3")</f>
        <v>-30.213828710000001</v>
      </c>
      <c r="G1727" s="11">
        <f>[1]!EM_S_PQ_PCTCHANGE(B1727,"2018-12-31","2019-12-30","1")</f>
        <v>10.224438900000001</v>
      </c>
      <c r="H1727" s="11">
        <f>[1]!EM_S_FA_YOY_OR(B1727,E1727)</f>
        <v>14.147016175999999</v>
      </c>
      <c r="I1727" s="11">
        <f>[1]!EM_S_FA_GROSSPROFITMARGIN(B1727,E1727)</f>
        <v>20.789366943099999</v>
      </c>
      <c r="J1727" s="11">
        <f>[1]!EM_S_FA_NETPROFITMARGIN(B1727,E1727)</f>
        <v>5.2170483644000001</v>
      </c>
      <c r="K1727" s="10">
        <f>[1]!EM_S_FA_ASSETSTURN(B1727,E1727)</f>
        <v>0.46282397551900001</v>
      </c>
      <c r="L1727" s="12">
        <f>[1]!EM_HKS_VAL_MV(B1727,"2019-12-31","2")</f>
        <v>6191957845.6400003</v>
      </c>
      <c r="M1727">
        <f>[1]!EM_S_VAL_PETTMDEDUCTED(B1727,E1727)</f>
        <v>14.3000851839353</v>
      </c>
      <c r="N1727" s="7">
        <f>[1]!EM_S_VAL_PBGOODWILLDEDUCTED(B1727,E1727)</f>
        <v>0.73248230576981899</v>
      </c>
      <c r="O1727" s="7">
        <f>[1]!EM_S_VAL_PS_TTM(B1727,E1727)</f>
        <v>0.79039771681044801</v>
      </c>
      <c r="P1727" s="7">
        <f>[1]!EM_S_VAL_PCF_NCFTTM(B1727,E1727)</f>
        <v>174.64740505890001</v>
      </c>
      <c r="Q1727" s="7">
        <f>[1]!EM_S_VAL_DIVIDENDYIELD2(B1727,E1727,"2019-11-29")</f>
        <v>0.65217391304347827</v>
      </c>
      <c r="T1727"/>
      <c r="U1727">
        <f>[1]!EM_S_RATIO_EPS_TTM(B1727,E1727,"1")</f>
        <v>0.26175859036720789</v>
      </c>
      <c r="AT1727" s="4" t="str">
        <f>[1]!EM_S_IPO_LISTEDDATE(B1727)</f>
        <v>2004-05-25</v>
      </c>
    </row>
    <row r="1728" spans="1:46">
      <c r="A1728">
        <v>2798</v>
      </c>
      <c r="B1728" t="str">
        <f>"600725"</f>
        <v>600725</v>
      </c>
      <c r="C1728" t="s">
        <v>1669</v>
      </c>
      <c r="D1728" t="str">
        <f>[1]!EM_S_INFO_INDEX_EM(B1728,"1")</f>
        <v>化石能源</v>
      </c>
      <c r="E1728" s="4">
        <f t="shared" si="26"/>
        <v>43465</v>
      </c>
      <c r="F1728" s="11">
        <f>[1]!EM_S_PQ_PCTCHANGE(B1728,"2018-01-01","2019-12-31","3")</f>
        <v>-15.80645161</v>
      </c>
      <c r="G1728" s="11">
        <f>[1]!EM_S_PQ_PCTCHANGE(B1728,"2018-12-31","2019-12-30","1")</f>
        <v>10.21276596</v>
      </c>
      <c r="H1728" s="11">
        <f>[1]!EM_S_FA_YOY_OR(B1728,E1728)</f>
        <v>105.8583925466</v>
      </c>
      <c r="I1728" s="11">
        <f>[1]!EM_S_FA_GROSSPROFITMARGIN(B1728,E1728)</f>
        <v>4.5107977570999997</v>
      </c>
      <c r="J1728" s="11">
        <f>[1]!EM_S_FA_NETPROFITMARGIN(B1728,E1728)</f>
        <v>1.2912702773</v>
      </c>
      <c r="K1728" s="10">
        <f>[1]!EM_S_FA_ASSETSTURN(B1728,E1728)</f>
        <v>2.980060980388</v>
      </c>
      <c r="L1728" s="12">
        <f>[1]!EM_HKS_VAL_MV(B1728,"2019-12-31","2")</f>
        <v>3216746700</v>
      </c>
      <c r="M1728">
        <f>[1]!EM_S_VAL_PETTMDEDUCTED(B1728,E1728)</f>
        <v>111.880762275705</v>
      </c>
      <c r="N1728" s="7">
        <f>[1]!EM_S_VAL_PBGOODWILLDEDUCTED(B1728,E1728)</f>
        <v>10.0397292468462</v>
      </c>
      <c r="O1728" s="7">
        <f>[1]!EM_S_VAL_PS_TTM(B1728,E1728)</f>
        <v>3.2152275002101298</v>
      </c>
      <c r="P1728" s="7">
        <f>[1]!EM_S_VAL_PCF_NCFTTM(B1728,E1728)</f>
        <v>-87.637696874907107</v>
      </c>
      <c r="Q1728" s="7">
        <f>[1]!EM_S_VAL_DIVIDENDYIELD2(B1728,E1728,"2019-11-29")</f>
        <v>0</v>
      </c>
      <c r="T1728"/>
      <c r="U1728">
        <f>[1]!EM_S_RATIO_EPS_TTM(B1728,E1728,"1")</f>
        <v>1.0554205408650919E-2</v>
      </c>
      <c r="AT1728" s="4" t="str">
        <f>[1]!EM_S_IPO_LISTEDDATE(B1728)</f>
        <v>1996-07-02</v>
      </c>
    </row>
    <row r="1729" spans="1:46">
      <c r="A1729">
        <v>2873</v>
      </c>
      <c r="B1729" t="str">
        <f>"600800"</f>
        <v>600800</v>
      </c>
      <c r="C1729" t="s">
        <v>3661</v>
      </c>
      <c r="D1729" t="str">
        <f>[1]!EM_S_INFO_INDEX_EM(B1729,"1")</f>
        <v>电子设备</v>
      </c>
      <c r="E1729" s="4">
        <f t="shared" si="26"/>
        <v>43465</v>
      </c>
      <c r="F1729" s="11">
        <f>[1]!EM_S_PQ_PCTCHANGE(B1729,"2018-01-01","2019-12-31","3")</f>
        <v>-14.76923077</v>
      </c>
      <c r="G1729" s="11">
        <f>[1]!EM_S_PQ_PCTCHANGE(B1729,"2018-12-31","2019-12-30","1")</f>
        <v>10.17964072</v>
      </c>
      <c r="H1729" s="11">
        <f>[1]!EM_S_FA_YOY_OR(B1729,E1729)</f>
        <v>2.5839038254000002</v>
      </c>
      <c r="I1729" s="11">
        <f>[1]!EM_S_FA_GROSSPROFITMARGIN(B1729,E1729)</f>
        <v>19.312638867</v>
      </c>
      <c r="J1729" s="11">
        <f>[1]!EM_S_FA_NETPROFITMARGIN(B1729,E1729)</f>
        <v>49.399693714400001</v>
      </c>
      <c r="K1729" s="10">
        <f>[1]!EM_S_FA_ASSETSTURN(B1729,E1729)</f>
        <v>0.25947019865600002</v>
      </c>
      <c r="L1729" s="12">
        <f>[1]!EM_HKS_VAL_MV(B1729,"2019-12-31","2")</f>
        <v>3386441600.3800001</v>
      </c>
      <c r="M1729">
        <f>[1]!EM_S_VAL_PETTMDEDUCTED(B1729,E1729)</f>
        <v>-55.4136647189898</v>
      </c>
      <c r="N1729" s="7">
        <f>[1]!EM_S_VAL_PBGOODWILLDEDUCTED(B1729,E1729)</f>
        <v>20.0154729262144</v>
      </c>
      <c r="O1729" s="7">
        <f>[1]!EM_S_VAL_PS_TTM(B1729,E1729)</f>
        <v>19.6532703039532</v>
      </c>
      <c r="P1729" s="7">
        <f>[1]!EM_S_VAL_PCF_NCFTTM(B1729,E1729)</f>
        <v>-97.114972430392697</v>
      </c>
      <c r="Q1729" s="7">
        <f>[1]!EM_S_VAL_DIVIDENDYIELD2(B1729,E1729,"2019-11-29")</f>
        <v>0</v>
      </c>
      <c r="T1729"/>
      <c r="U1729">
        <f>[1]!EM_S_RATIO_EPS_TTM(B1729,E1729,"1")</f>
        <v>0.11857740104939078</v>
      </c>
      <c r="AT1729" s="4" t="str">
        <f>[1]!EM_S_IPO_LISTEDDATE(B1729)</f>
        <v>1993-12-06</v>
      </c>
    </row>
    <row r="1730" spans="1:46">
      <c r="A1730">
        <v>2175</v>
      </c>
      <c r="B1730" t="str">
        <f>"600016"</f>
        <v>600016</v>
      </c>
      <c r="C1730" t="s">
        <v>455</v>
      </c>
      <c r="D1730" t="str">
        <f>[1]!EM_S_INFO_INDEX_EM(B1730,"1")</f>
        <v>金融</v>
      </c>
      <c r="E1730" s="4">
        <f t="shared" si="26"/>
        <v>43465</v>
      </c>
      <c r="F1730" s="11">
        <f>[1]!EM_S_PQ_PCTCHANGE(B1730,"2018-01-01","2019-12-31","3")</f>
        <v>-3.4125863600000002</v>
      </c>
      <c r="G1730" s="11">
        <f>[1]!EM_S_PQ_PCTCHANGE(B1730,"2018-12-31","2019-12-30","1")</f>
        <v>10.12216405</v>
      </c>
      <c r="H1730" s="11">
        <f>[1]!EM_S_FA_YOY_OR(B1730,E1730)</f>
        <v>8.6553323028999998</v>
      </c>
      <c r="I1730" s="11">
        <f>[1]!EM_S_FA_GROSSPROFITMARGIN(B1730,E1730)</f>
        <v>0</v>
      </c>
      <c r="J1730" s="11">
        <f>[1]!EM_S_FA_NETPROFITMARGIN(B1730,E1730)</f>
        <v>32.104561488599998</v>
      </c>
      <c r="K1730" s="10">
        <f>[1]!EM_S_FA_ASSETSTURN(B1730,E1730)</f>
        <v>0</v>
      </c>
      <c r="L1730" s="12">
        <f>[1]!EM_HKS_VAL_MV(B1730,"2019-12-31","2")</f>
        <v>276267060747.62</v>
      </c>
      <c r="M1730">
        <f>[1]!EM_S_VAL_PETTMDEDUCTED(B1730,E1730)</f>
        <v>4.7769914126180097</v>
      </c>
      <c r="N1730" s="7">
        <f>[1]!EM_S_VAL_PBGOODWILLDEDUCTED(B1730,E1730)</f>
        <v>0.61161449799469503</v>
      </c>
      <c r="O1730" s="7">
        <f>[1]!EM_S_VAL_PS_TTM(B1730,E1730)</f>
        <v>1.63161109026171</v>
      </c>
      <c r="P1730" s="7">
        <f>[1]!EM_S_VAL_PCF_NCFTTM(B1730,E1730)</f>
        <v>-62.112715527719701</v>
      </c>
      <c r="Q1730" s="7">
        <f>[1]!EM_S_VAL_DIVIDENDYIELD2(B1730,E1730,"2019-11-29")</f>
        <v>5.5915721231766611</v>
      </c>
      <c r="T1730"/>
      <c r="U1730">
        <f>[1]!EM_S_RATIO_EPS_TTM(B1730,E1730,"1")</f>
        <v>1.1494796706513835</v>
      </c>
      <c r="AT1730" s="4" t="str">
        <f>[1]!EM_S_IPO_LISTEDDATE(B1730)</f>
        <v>2000-12-19</v>
      </c>
    </row>
    <row r="1731" spans="1:46">
      <c r="A1731">
        <v>2383</v>
      </c>
      <c r="B1731" t="str">
        <f>"600251"</f>
        <v>600251</v>
      </c>
      <c r="C1731" t="s">
        <v>558</v>
      </c>
      <c r="D1731" t="str">
        <f>[1]!EM_S_INFO_INDEX_EM(B1731,"1")</f>
        <v>农林牧渔</v>
      </c>
      <c r="E1731" s="4">
        <f t="shared" ref="E1731:E1794" si="27">$B$1</f>
        <v>43465</v>
      </c>
      <c r="F1731" s="11">
        <f>[1]!EM_S_PQ_PCTCHANGE(B1731,"2018-01-01","2019-12-31","3")</f>
        <v>-29.517532719999998</v>
      </c>
      <c r="G1731" s="11">
        <f>[1]!EM_S_PQ_PCTCHANGE(B1731,"2018-12-31","2019-12-30","1")</f>
        <v>10.121457489999999</v>
      </c>
      <c r="H1731" s="11">
        <f>[1]!EM_S_FA_YOY_OR(B1731,E1731)</f>
        <v>35.726153326499997</v>
      </c>
      <c r="I1731" s="11">
        <f>[1]!EM_S_FA_GROSSPROFITMARGIN(B1731,E1731)</f>
        <v>11.112626225</v>
      </c>
      <c r="J1731" s="11">
        <f>[1]!EM_S_FA_NETPROFITMARGIN(B1731,E1731)</f>
        <v>4.1550479917000001</v>
      </c>
      <c r="K1731" s="10">
        <f>[1]!EM_S_FA_ASSETSTURN(B1731,E1731)</f>
        <v>0.386329003467</v>
      </c>
      <c r="L1731" s="12">
        <f>[1]!EM_HKS_VAL_MV(B1731,"2019-12-31","2")</f>
        <v>4285237363.6799998</v>
      </c>
      <c r="M1731">
        <f>[1]!EM_S_VAL_PETTMDEDUCTED(B1731,E1731)</f>
        <v>36.319325664488503</v>
      </c>
      <c r="N1731" s="7">
        <f>[1]!EM_S_VAL_PBGOODWILLDEDUCTED(B1731,E1731)</f>
        <v>1.9622537582589099</v>
      </c>
      <c r="O1731" s="7">
        <f>[1]!EM_S_VAL_PS_TTM(B1731,E1731)</f>
        <v>1.75572132646134</v>
      </c>
      <c r="P1731" s="7">
        <f>[1]!EM_S_VAL_PCF_NCFTTM(B1731,E1731)</f>
        <v>20.8899369951605</v>
      </c>
      <c r="Q1731" s="7">
        <f>[1]!EM_S_VAL_DIVIDENDYIELD2(B1731,E1731,"2019-11-29")</f>
        <v>0.24574669187145556</v>
      </c>
      <c r="T1731"/>
      <c r="U1731">
        <f>[1]!EM_S_RATIO_EPS_TTM(B1731,E1731,"1")</f>
        <v>0.11896358390388298</v>
      </c>
      <c r="AT1731" s="4" t="str">
        <f>[1]!EM_S_IPO_LISTEDDATE(B1731)</f>
        <v>2003-06-09</v>
      </c>
    </row>
    <row r="1732" spans="1:46">
      <c r="A1732">
        <v>1646</v>
      </c>
      <c r="B1732" t="str">
        <f>"300221"</f>
        <v>300221</v>
      </c>
      <c r="C1732" t="s">
        <v>1218</v>
      </c>
      <c r="D1732" t="str">
        <f>[1]!EM_S_INFO_INDEX_EM(B1732,"1")</f>
        <v>基础化工</v>
      </c>
      <c r="E1732" s="4">
        <f t="shared" si="27"/>
        <v>43465</v>
      </c>
      <c r="F1732" s="11">
        <f>[1]!EM_S_PQ_PCTCHANGE(B1732,"2018-01-01","2019-12-31","3")</f>
        <v>-62.551777260000001</v>
      </c>
      <c r="G1732" s="11">
        <f>[1]!EM_S_PQ_PCTCHANGE(B1732,"2018-12-31","2019-12-30","1")</f>
        <v>10.09708738</v>
      </c>
      <c r="H1732" s="11">
        <f>[1]!EM_S_FA_YOY_OR(B1732,E1732)</f>
        <v>-11.729930901099999</v>
      </c>
      <c r="I1732" s="11">
        <f>[1]!EM_S_FA_GROSSPROFITMARGIN(B1732,E1732)</f>
        <v>12.9537114863</v>
      </c>
      <c r="J1732" s="11">
        <f>[1]!EM_S_FA_NETPROFITMARGIN(B1732,E1732)</f>
        <v>-35.945907123300003</v>
      </c>
      <c r="K1732" s="10">
        <f>[1]!EM_S_FA_ASSETSTURN(B1732,E1732)</f>
        <v>0.78755424184099998</v>
      </c>
      <c r="L1732" s="12">
        <f>[1]!EM_HKS_VAL_MV(B1732,"2019-12-31","2")</f>
        <v>2582726432.73</v>
      </c>
      <c r="M1732">
        <f>[1]!EM_S_VAL_PETTMDEDUCTED(B1732,E1732)</f>
        <v>31.7006153630802</v>
      </c>
      <c r="N1732" s="7">
        <f>[1]!EM_S_VAL_PBGOODWILLDEDUCTED(B1732,E1732)</f>
        <v>1.9449278519367199</v>
      </c>
      <c r="O1732" s="7">
        <f>[1]!EM_S_VAL_PS_TTM(B1732,E1732)</f>
        <v>1.00841317773171</v>
      </c>
      <c r="P1732" s="7">
        <f>[1]!EM_S_VAL_PCF_NCFTTM(B1732,E1732)</f>
        <v>-395.05438642919199</v>
      </c>
      <c r="Q1732" s="7">
        <f>[1]!EM_S_VAL_DIVIDENDYIELD2(B1732,E1732,"2019-11-29")</f>
        <v>0</v>
      </c>
      <c r="T1732"/>
      <c r="U1732">
        <f>[1]!EM_S_RATIO_EPS_TTM(B1732,E1732,"1")</f>
        <v>-1.5957720285834183</v>
      </c>
      <c r="AT1732" s="4" t="str">
        <f>[1]!EM_S_IPO_LISTEDDATE(B1732)</f>
        <v>2011-05-25</v>
      </c>
    </row>
    <row r="1733" spans="1:46">
      <c r="A1733">
        <v>3461</v>
      </c>
      <c r="B1733" t="str">
        <f>"603615"</f>
        <v>603615</v>
      </c>
      <c r="C1733" t="s">
        <v>1636</v>
      </c>
      <c r="D1733" t="str">
        <f>[1]!EM_S_INFO_INDEX_EM(B1733,"1")</f>
        <v>基础化工</v>
      </c>
      <c r="E1733" s="4">
        <f t="shared" si="27"/>
        <v>43465</v>
      </c>
      <c r="F1733" s="11">
        <f>[1]!EM_S_PQ_PCTCHANGE(B1733,"2018-01-01","2019-12-31","3")</f>
        <v>-29.632708619999999</v>
      </c>
      <c r="G1733" s="11">
        <f>[1]!EM_S_PQ_PCTCHANGE(B1733,"2018-12-31","2019-12-30","1")</f>
        <v>10.082063310000001</v>
      </c>
      <c r="H1733" s="11">
        <f>[1]!EM_S_FA_YOY_OR(B1733,E1733)</f>
        <v>5.8921734762</v>
      </c>
      <c r="I1733" s="11">
        <f>[1]!EM_S_FA_GROSSPROFITMARGIN(B1733,E1733)</f>
        <v>25.796866539300002</v>
      </c>
      <c r="J1733" s="11">
        <f>[1]!EM_S_FA_NETPROFITMARGIN(B1733,E1733)</f>
        <v>8.9674478686000008</v>
      </c>
      <c r="K1733" s="10">
        <f>[1]!EM_S_FA_ASSETSTURN(B1733,E1733)</f>
        <v>0.52712938727799996</v>
      </c>
      <c r="L1733" s="12">
        <f>[1]!EM_HKS_VAL_MV(B1733,"2019-12-31","2")</f>
        <v>2309590400</v>
      </c>
      <c r="M1733">
        <f>[1]!EM_S_VAL_PETTMDEDUCTED(B1733,E1733)</f>
        <v>26.830010591496599</v>
      </c>
      <c r="N1733" s="7">
        <f>[1]!EM_S_VAL_PBGOODWILLDEDUCTED(B1733,E1733)</f>
        <v>1.5200904843757199</v>
      </c>
      <c r="O1733" s="7">
        <f>[1]!EM_S_VAL_PS_TTM(B1733,E1733)</f>
        <v>2.7257585629804302</v>
      </c>
      <c r="P1733" s="7">
        <f>[1]!EM_S_VAL_PCF_NCFTTM(B1733,E1733)</f>
        <v>-4.6169738147024297</v>
      </c>
      <c r="Q1733" s="7">
        <f>[1]!EM_S_VAL_DIVIDENDYIELD2(B1733,E1733,"2019-11-29")</f>
        <v>2.1630720165085657</v>
      </c>
      <c r="T1733"/>
      <c r="U1733">
        <f>[1]!EM_S_RATIO_EPS_TTM(B1733,E1733,"1")</f>
        <v>0.28492474133333334</v>
      </c>
      <c r="AT1733" s="4" t="str">
        <f>[1]!EM_S_IPO_LISTEDDATE(B1733)</f>
        <v>2017-02-13</v>
      </c>
    </row>
    <row r="1734" spans="1:46">
      <c r="A1734">
        <v>2961</v>
      </c>
      <c r="B1734" t="str">
        <f>"600888"</f>
        <v>600888</v>
      </c>
      <c r="C1734" t="s">
        <v>1892</v>
      </c>
      <c r="D1734" t="str">
        <f>[1]!EM_S_INFO_INDEX_EM(B1734,"1")</f>
        <v>有色金属</v>
      </c>
      <c r="E1734" s="4">
        <f t="shared" si="27"/>
        <v>43465</v>
      </c>
      <c r="F1734" s="11">
        <f>[1]!EM_S_PQ_PCTCHANGE(B1734,"2018-01-01","2019-12-31","3")</f>
        <v>-30.29821832</v>
      </c>
      <c r="G1734" s="11">
        <f>[1]!EM_S_PQ_PCTCHANGE(B1734,"2018-12-31","2019-12-30","1")</f>
        <v>10.047846890000001</v>
      </c>
      <c r="H1734" s="11">
        <f>[1]!EM_S_FA_YOY_OR(B1734,E1734)</f>
        <v>-18.899864557099999</v>
      </c>
      <c r="I1734" s="11">
        <f>[1]!EM_S_FA_GROSSPROFITMARGIN(B1734,E1734)</f>
        <v>14.3958227468</v>
      </c>
      <c r="J1734" s="11">
        <f>[1]!EM_S_FA_NETPROFITMARGIN(B1734,E1734)</f>
        <v>3.7900483390000002</v>
      </c>
      <c r="K1734" s="10">
        <f>[1]!EM_S_FA_ASSETSTURN(B1734,E1734)</f>
        <v>0.47382011607800001</v>
      </c>
      <c r="L1734" s="12">
        <f>[1]!EM_HKS_VAL_MV(B1734,"2019-12-31","2")</f>
        <v>4752822171.6000004</v>
      </c>
      <c r="M1734">
        <f>[1]!EM_S_VAL_PETTMDEDUCTED(B1734,E1734)</f>
        <v>34.695834501202597</v>
      </c>
      <c r="N1734" s="7">
        <f>[1]!EM_S_VAL_PBGOODWILLDEDUCTED(B1734,E1734)</f>
        <v>1.0066195706768899</v>
      </c>
      <c r="O1734" s="7">
        <f>[1]!EM_S_VAL_PS_TTM(B1734,E1734)</f>
        <v>0.62967225708216701</v>
      </c>
      <c r="P1734" s="7">
        <f>[1]!EM_S_VAL_PCF_NCFTTM(B1734,E1734)</f>
        <v>2.21391129406017</v>
      </c>
      <c r="Q1734" s="7">
        <f>[1]!EM_S_VAL_DIVIDENDYIELD2(B1734,E1734,"2019-11-29")</f>
        <v>1.3517282952615941</v>
      </c>
      <c r="T1734"/>
      <c r="U1734">
        <f>[1]!EM_S_RATIO_EPS_TTM(B1734,E1734,"1")</f>
        <v>0.21046895346501351</v>
      </c>
      <c r="AT1734" s="4" t="str">
        <f>[1]!EM_S_IPO_LISTEDDATE(B1734)</f>
        <v>1996-02-15</v>
      </c>
    </row>
    <row r="1735" spans="1:46">
      <c r="A1735">
        <v>3536</v>
      </c>
      <c r="B1735" t="str">
        <f>"603788"</f>
        <v>603788</v>
      </c>
      <c r="C1735" t="s">
        <v>394</v>
      </c>
      <c r="D1735" t="str">
        <f>[1]!EM_S_INFO_INDEX_EM(B1735,"1")</f>
        <v>交运设备</v>
      </c>
      <c r="E1735" s="4">
        <f t="shared" si="27"/>
        <v>43465</v>
      </c>
      <c r="F1735" s="11">
        <f>[1]!EM_S_PQ_PCTCHANGE(B1735,"2018-01-01","2019-12-31","3")</f>
        <v>-29.661142030000001</v>
      </c>
      <c r="G1735" s="11">
        <f>[1]!EM_S_PQ_PCTCHANGE(B1735,"2018-12-31","2019-12-30","1")</f>
        <v>10.034602080000001</v>
      </c>
      <c r="H1735" s="11">
        <f>[1]!EM_S_FA_YOY_OR(B1735,E1735)</f>
        <v>6.7133846605</v>
      </c>
      <c r="I1735" s="11">
        <f>[1]!EM_S_FA_GROSSPROFITMARGIN(B1735,E1735)</f>
        <v>33.700810075500002</v>
      </c>
      <c r="J1735" s="11">
        <f>[1]!EM_S_FA_NETPROFITMARGIN(B1735,E1735)</f>
        <v>16.884130535899999</v>
      </c>
      <c r="K1735" s="10">
        <f>[1]!EM_S_FA_ASSETSTURN(B1735,E1735)</f>
        <v>0.569358183174</v>
      </c>
      <c r="L1735" s="12">
        <f>[1]!EM_HKS_VAL_MV(B1735,"2019-12-31","2")</f>
        <v>3689496224.7199998</v>
      </c>
      <c r="M1735">
        <f>[1]!EM_S_VAL_PETTMDEDUCTED(B1735,E1735)</f>
        <v>14.046214293792399</v>
      </c>
      <c r="N1735" s="7">
        <f>[1]!EM_S_VAL_PBGOODWILLDEDUCTED(B1735,E1735)</f>
        <v>1.7581208287051999</v>
      </c>
      <c r="O1735" s="7">
        <f>[1]!EM_S_VAL_PS_TTM(B1735,E1735)</f>
        <v>2.4343322403352099</v>
      </c>
      <c r="P1735" s="7">
        <f>[1]!EM_S_VAL_PCF_NCFTTM(B1735,E1735)</f>
        <v>29.330543143878799</v>
      </c>
      <c r="Q1735" s="7">
        <f>[1]!EM_S_VAL_DIVIDENDYIELD2(B1735,E1735,"2019-11-29")</f>
        <v>3.9893617021276597</v>
      </c>
      <c r="T1735"/>
      <c r="U1735">
        <f>[1]!EM_S_RATIO_EPS_TTM(B1735,E1735,"1")</f>
        <v>0.93483279250338691</v>
      </c>
      <c r="AT1735" s="4" t="str">
        <f>[1]!EM_S_IPO_LISTEDDATE(B1735)</f>
        <v>2015-01-20</v>
      </c>
    </row>
    <row r="1736" spans="1:46">
      <c r="A1736">
        <v>2491</v>
      </c>
      <c r="B1736" t="str">
        <f>"600372"</f>
        <v>600372</v>
      </c>
      <c r="C1736" t="s">
        <v>3351</v>
      </c>
      <c r="D1736" t="str">
        <f>[1]!EM_S_INFO_INDEX_EM(B1736,"1")</f>
        <v>国防与装备</v>
      </c>
      <c r="E1736" s="4">
        <f t="shared" si="27"/>
        <v>43465</v>
      </c>
      <c r="F1736" s="11">
        <f>[1]!EM_S_PQ_PCTCHANGE(B1736,"2018-01-01","2019-12-31","3")</f>
        <v>4.8510391400000001</v>
      </c>
      <c r="G1736" s="11">
        <f>[1]!EM_S_PQ_PCTCHANGE(B1736,"2018-12-31","2019-12-30","1")</f>
        <v>10.015408320000001</v>
      </c>
      <c r="H1736" s="11">
        <f>[1]!EM_S_FA_YOY_OR(B1736,E1736)</f>
        <v>8.8324814219000007</v>
      </c>
      <c r="I1736" s="11">
        <f>[1]!EM_S_FA_GROSSPROFITMARGIN(B1736,E1736)</f>
        <v>29.679566483599999</v>
      </c>
      <c r="J1736" s="11">
        <f>[1]!EM_S_FA_NETPROFITMARGIN(B1736,E1736)</f>
        <v>6.3129042394999999</v>
      </c>
      <c r="K1736" s="10">
        <f>[1]!EM_S_FA_ASSETSTURN(B1736,E1736)</f>
        <v>0.35682352832199998</v>
      </c>
      <c r="L1736" s="12">
        <f>[1]!EM_HKS_VAL_MV(B1736,"2019-12-31","2")</f>
        <v>25055606152.959999</v>
      </c>
      <c r="M1736">
        <f>[1]!EM_S_VAL_PETTMDEDUCTED(B1736,E1736)</f>
        <v>58.426054863503801</v>
      </c>
      <c r="N1736" s="7">
        <f>[1]!EM_S_VAL_PBGOODWILLDEDUCTED(B1736,E1736)</f>
        <v>3.2087116497042198</v>
      </c>
      <c r="O1736" s="7">
        <f>[1]!EM_S_VAL_PS_TTM(B1736,E1736)</f>
        <v>3.0091342072332901</v>
      </c>
      <c r="P1736" s="7">
        <f>[1]!EM_S_VAL_PCF_NCFTTM(B1736,E1736)</f>
        <v>14.1018240054114</v>
      </c>
      <c r="Q1736" s="7">
        <f>[1]!EM_S_VAL_DIVIDENDYIELD2(B1736,E1736,"2019-11-29")</f>
        <v>0.36549660843386778</v>
      </c>
      <c r="T1736"/>
      <c r="U1736">
        <f>[1]!EM_S_RATIO_EPS_TTM(B1736,E1736,"1")</f>
        <v>0.272472454120816</v>
      </c>
      <c r="AT1736" s="4" t="str">
        <f>[1]!EM_S_IPO_LISTEDDATE(B1736)</f>
        <v>2001-07-06</v>
      </c>
    </row>
    <row r="1737" spans="1:46">
      <c r="A1737">
        <v>792</v>
      </c>
      <c r="B1737" t="str">
        <f>"002281"</f>
        <v>002281</v>
      </c>
      <c r="C1737" t="s">
        <v>1071</v>
      </c>
      <c r="D1737" t="str">
        <f>[1]!EM_S_INFO_INDEX_EM(B1737,"1")</f>
        <v>信息技术</v>
      </c>
      <c r="E1737" s="4">
        <f t="shared" si="27"/>
        <v>43465</v>
      </c>
      <c r="F1737" s="11">
        <f>[1]!EM_S_PQ_PCTCHANGE(B1737,"2018-01-01","2019-12-31","3")</f>
        <v>2.6756795699999998</v>
      </c>
      <c r="G1737" s="11">
        <f>[1]!EM_S_PQ_PCTCHANGE(B1737,"2018-12-31","2019-12-30","1")</f>
        <v>10.01489203</v>
      </c>
      <c r="H1737" s="11">
        <f>[1]!EM_S_FA_YOY_OR(B1737,E1737)</f>
        <v>8.2577813007999996</v>
      </c>
      <c r="I1737" s="11">
        <f>[1]!EM_S_FA_GROSSPROFITMARGIN(B1737,E1737)</f>
        <v>19.824285917800001</v>
      </c>
      <c r="J1737" s="11">
        <f>[1]!EM_S_FA_NETPROFITMARGIN(B1737,E1737)</f>
        <v>6.2837809884000002</v>
      </c>
      <c r="K1737" s="10">
        <f>[1]!EM_S_FA_ASSETSTURN(B1737,E1737)</f>
        <v>0.876715629316</v>
      </c>
      <c r="L1737" s="12">
        <f>[1]!EM_HKS_VAL_MV(B1737,"2019-12-31","2")</f>
        <v>20162010518.040001</v>
      </c>
      <c r="M1737">
        <f>[1]!EM_S_VAL_PETTMDEDUCTED(B1737,E1737)</f>
        <v>68.769711680423995</v>
      </c>
      <c r="N1737" s="7">
        <f>[1]!EM_S_VAL_PBGOODWILLDEDUCTED(B1737,E1737)</f>
        <v>5.1608682365239904</v>
      </c>
      <c r="O1737" s="7">
        <f>[1]!EM_S_VAL_PS_TTM(B1737,E1737)</f>
        <v>3.61029170371883</v>
      </c>
      <c r="P1737" s="7">
        <f>[1]!EM_S_VAL_PCF_NCFTTM(B1737,E1737)</f>
        <v>97.109644319886996</v>
      </c>
      <c r="Q1737" s="7">
        <f>[1]!EM_S_VAL_DIVIDENDYIELD2(B1737,E1737,"2019-11-29")</f>
        <v>0.60931899641577048</v>
      </c>
      <c r="T1737"/>
      <c r="U1737">
        <f>[1]!EM_S_RATIO_EPS_TTM(B1737,E1737,"1")</f>
        <v>0.51462745771203156</v>
      </c>
      <c r="AT1737" s="4" t="str">
        <f>[1]!EM_S_IPO_LISTEDDATE(B1737)</f>
        <v>2009-08-21</v>
      </c>
    </row>
    <row r="1738" spans="1:46">
      <c r="A1738">
        <v>2300</v>
      </c>
      <c r="B1738" t="str">
        <f>"600160"</f>
        <v>600160</v>
      </c>
      <c r="C1738" t="s">
        <v>522</v>
      </c>
      <c r="D1738" t="str">
        <f>[1]!EM_S_INFO_INDEX_EM(B1738,"1")</f>
        <v>基础化工</v>
      </c>
      <c r="E1738" s="4">
        <f t="shared" si="27"/>
        <v>43465</v>
      </c>
      <c r="F1738" s="11">
        <f>[1]!EM_S_PQ_PCTCHANGE(B1738,"2018-01-01","2019-12-31","3")</f>
        <v>-8.2913172900000003</v>
      </c>
      <c r="G1738" s="11">
        <f>[1]!EM_S_PQ_PCTCHANGE(B1738,"2018-12-31","2019-12-30","1")</f>
        <v>9.95475113</v>
      </c>
      <c r="H1738" s="11">
        <f>[1]!EM_S_FA_YOY_OR(B1738,E1738)</f>
        <v>13.4150660438</v>
      </c>
      <c r="I1738" s="11">
        <f>[1]!EM_S_FA_GROSSPROFITMARGIN(B1738,E1738)</f>
        <v>24.620362443400001</v>
      </c>
      <c r="J1738" s="11">
        <f>[1]!EM_S_FA_NETPROFITMARGIN(B1738,E1738)</f>
        <v>13.942917275699999</v>
      </c>
      <c r="K1738" s="10">
        <f>[1]!EM_S_FA_ASSETSTURN(B1738,E1738)</f>
        <v>1.109761030329</v>
      </c>
      <c r="L1738" s="12">
        <f>[1]!EM_HKS_VAL_MV(B1738,"2019-12-31","2")</f>
        <v>19984809229.84</v>
      </c>
      <c r="M1738">
        <f>[1]!EM_S_VAL_PETTMDEDUCTED(B1738,E1738)</f>
        <v>11.400832387623501</v>
      </c>
      <c r="N1738" s="7">
        <f>[1]!EM_S_VAL_PBGOODWILLDEDUCTED(B1738,E1738)</f>
        <v>1.4505742417583201</v>
      </c>
      <c r="O1738" s="7">
        <f>[1]!EM_S_VAL_PS_TTM(B1738,E1738)</f>
        <v>1.15780771527326</v>
      </c>
      <c r="P1738" s="7">
        <f>[1]!EM_S_VAL_PCF_NCFTTM(B1738,E1738)</f>
        <v>15.6175918271543</v>
      </c>
      <c r="Q1738" s="7">
        <f>[1]!EM_S_VAL_DIVIDENDYIELD2(B1738,E1738,"2019-11-29")</f>
        <v>2.2796352583586623</v>
      </c>
      <c r="T1738"/>
      <c r="U1738">
        <f>[1]!EM_S_RATIO_EPS_TTM(B1738,E1738,"1")</f>
        <v>0.78412573034747257</v>
      </c>
      <c r="AT1738" s="4" t="str">
        <f>[1]!EM_S_IPO_LISTEDDATE(B1738)</f>
        <v>1998-06-26</v>
      </c>
    </row>
    <row r="1739" spans="1:46">
      <c r="A1739">
        <v>1877</v>
      </c>
      <c r="B1739" t="str">
        <f>"300452"</f>
        <v>300452</v>
      </c>
      <c r="C1739" t="s">
        <v>613</v>
      </c>
      <c r="D1739" t="str">
        <f>[1]!EM_S_INFO_INDEX_EM(B1739,"1")</f>
        <v>医药生物</v>
      </c>
      <c r="E1739" s="4">
        <f t="shared" si="27"/>
        <v>43465</v>
      </c>
      <c r="F1739" s="11">
        <f>[1]!EM_S_PQ_PCTCHANGE(B1739,"2018-01-01","2019-12-31","3")</f>
        <v>-22.249366120000001</v>
      </c>
      <c r="G1739" s="11">
        <f>[1]!EM_S_PQ_PCTCHANGE(B1739,"2018-12-31","2019-12-30","1")</f>
        <v>9.9415204700000004</v>
      </c>
      <c r="H1739" s="11">
        <f>[1]!EM_S_FA_YOY_OR(B1739,E1739)</f>
        <v>26.284202587799999</v>
      </c>
      <c r="I1739" s="11">
        <f>[1]!EM_S_FA_GROSSPROFITMARGIN(B1739,E1739)</f>
        <v>33.916242958200002</v>
      </c>
      <c r="J1739" s="11">
        <f>[1]!EM_S_FA_NETPROFITMARGIN(B1739,E1739)</f>
        <v>18.0135881221</v>
      </c>
      <c r="K1739" s="10">
        <f>[1]!EM_S_FA_ASSETSTURN(B1739,E1739)</f>
        <v>0.62283348180499998</v>
      </c>
      <c r="L1739" s="12">
        <f>[1]!EM_HKS_VAL_MV(B1739,"2019-12-31","2")</f>
        <v>2126976000</v>
      </c>
      <c r="M1739">
        <f>[1]!EM_S_VAL_PETTMDEDUCTED(B1739,E1739)</f>
        <v>33.388447894783901</v>
      </c>
      <c r="N1739" s="7">
        <f>[1]!EM_S_VAL_PBGOODWILLDEDUCTED(B1739,E1739)</f>
        <v>4.2521607229021399</v>
      </c>
      <c r="O1739" s="7">
        <f>[1]!EM_S_VAL_PS_TTM(B1739,E1739)</f>
        <v>4.5140867628303303</v>
      </c>
      <c r="P1739" s="7">
        <f>[1]!EM_S_VAL_PCF_NCFTTM(B1739,E1739)</f>
        <v>-23.354815165883998</v>
      </c>
      <c r="Q1739" s="7">
        <f>[1]!EM_S_VAL_DIVIDENDYIELD2(B1739,E1739,"2019-11-29")</f>
        <v>1.3333333333333335</v>
      </c>
      <c r="T1739"/>
      <c r="U1739">
        <f>[1]!EM_S_RATIO_EPS_TTM(B1739,E1739,"1")</f>
        <v>0.50365989985632187</v>
      </c>
      <c r="AT1739" s="4" t="str">
        <f>[1]!EM_S_IPO_LISTEDDATE(B1739)</f>
        <v>2015-05-15</v>
      </c>
    </row>
    <row r="1740" spans="1:46">
      <c r="A1740">
        <v>818</v>
      </c>
      <c r="B1740" t="str">
        <f>"002307"</f>
        <v>002307</v>
      </c>
      <c r="C1740" t="s">
        <v>2834</v>
      </c>
      <c r="D1740" t="str">
        <f>[1]!EM_S_INFO_INDEX_EM(B1740,"1")</f>
        <v>建筑</v>
      </c>
      <c r="E1740" s="4">
        <f t="shared" si="27"/>
        <v>43465</v>
      </c>
      <c r="F1740" s="11">
        <f>[1]!EM_S_PQ_PCTCHANGE(B1740,"2018-01-01","2019-12-31","3")</f>
        <v>-16.503399420000001</v>
      </c>
      <c r="G1740" s="11">
        <f>[1]!EM_S_PQ_PCTCHANGE(B1740,"2018-12-31","2019-12-30","1")</f>
        <v>9.9250936299999992</v>
      </c>
      <c r="H1740" s="11">
        <f>[1]!EM_S_FA_YOY_OR(B1740,E1740)</f>
        <v>4.5508678697000002</v>
      </c>
      <c r="I1740" s="11">
        <f>[1]!EM_S_FA_GROSSPROFITMARGIN(B1740,E1740)</f>
        <v>10.2530475914</v>
      </c>
      <c r="J1740" s="11">
        <f>[1]!EM_S_FA_NETPROFITMARGIN(B1740,E1740)</f>
        <v>0.62319959400000002</v>
      </c>
      <c r="K1740" s="10">
        <f>[1]!EM_S_FA_ASSETSTURN(B1740,E1740)</f>
        <v>0.48386524311200002</v>
      </c>
      <c r="L1740" s="12">
        <f>[1]!EM_HKS_VAL_MV(B1740,"2019-12-31","2")</f>
        <v>5299417972.3999996</v>
      </c>
      <c r="M1740">
        <f>[1]!EM_S_VAL_PETTMDEDUCTED(B1740,E1740)</f>
        <v>119.071531541927</v>
      </c>
      <c r="N1740" s="7">
        <f>[1]!EM_S_VAL_PBGOODWILLDEDUCTED(B1740,E1740)</f>
        <v>2.5033347374556798</v>
      </c>
      <c r="O1740" s="7">
        <f>[1]!EM_S_VAL_PS_TTM(B1740,E1740)</f>
        <v>0.47792825345334999</v>
      </c>
      <c r="P1740" s="7">
        <f>[1]!EM_S_VAL_PCF_NCFTTM(B1740,E1740)</f>
        <v>33.509439869165</v>
      </c>
      <c r="Q1740" s="7">
        <f>[1]!EM_S_VAL_DIVIDENDYIELD2(B1740,E1740,"2019-11-29")</f>
        <v>0</v>
      </c>
      <c r="T1740"/>
      <c r="U1740">
        <f>[1]!EM_S_RATIO_EPS_TTM(B1740,E1740,"1")</f>
        <v>5.9153085349301596E-2</v>
      </c>
      <c r="AT1740" s="4" t="str">
        <f>[1]!EM_S_IPO_LISTEDDATE(B1740)</f>
        <v>2009-11-11</v>
      </c>
    </row>
    <row r="1741" spans="1:46">
      <c r="A1741">
        <v>2468</v>
      </c>
      <c r="B1741" t="str">
        <f>"600348"</f>
        <v>600348</v>
      </c>
      <c r="C1741" t="s">
        <v>857</v>
      </c>
      <c r="D1741" t="str">
        <f>[1]!EM_S_INFO_INDEX_EM(B1741,"1")</f>
        <v>化石能源</v>
      </c>
      <c r="E1741" s="4">
        <f t="shared" si="27"/>
        <v>43465</v>
      </c>
      <c r="F1741" s="11">
        <f>[1]!EM_S_PQ_PCTCHANGE(B1741,"2018-01-01","2019-12-31","3")</f>
        <v>-18.856423289999999</v>
      </c>
      <c r="G1741" s="11">
        <f>[1]!EM_S_PQ_PCTCHANGE(B1741,"2018-12-31","2019-12-30","1")</f>
        <v>9.9206349199999995</v>
      </c>
      <c r="H1741" s="11">
        <f>[1]!EM_S_FA_YOY_OR(B1741,E1741)</f>
        <v>16.1204112462</v>
      </c>
      <c r="I1741" s="11">
        <f>[1]!EM_S_FA_GROSSPROFITMARGIN(B1741,E1741)</f>
        <v>18.763717809999999</v>
      </c>
      <c r="J1741" s="11">
        <f>[1]!EM_S_FA_NETPROFITMARGIN(B1741,E1741)</f>
        <v>6.3977256973000003</v>
      </c>
      <c r="K1741" s="10">
        <f>[1]!EM_S_FA_ASSETSTURN(B1741,E1741)</f>
        <v>0.74200462081899998</v>
      </c>
      <c r="L1741" s="12">
        <f>[1]!EM_HKS_VAL_MV(B1741,"2019-12-31","2")</f>
        <v>13299650000</v>
      </c>
      <c r="M1741">
        <f>[1]!EM_S_VAL_PETTMDEDUCTED(B1741,E1741)</f>
        <v>7.25640560406646</v>
      </c>
      <c r="N1741" s="7">
        <f>[1]!EM_S_VAL_PBGOODWILLDEDUCTED(B1741,E1741)</f>
        <v>0.74829318693178903</v>
      </c>
      <c r="O1741" s="7">
        <f>[1]!EM_S_VAL_PS_TTM(B1741,E1741)</f>
        <v>0.39079914033441798</v>
      </c>
      <c r="P1741" s="7">
        <f>[1]!EM_S_VAL_PCF_NCFTTM(B1741,E1741)</f>
        <v>63.803620918168498</v>
      </c>
      <c r="Q1741" s="7">
        <f>[1]!EM_S_VAL_DIVIDENDYIELD2(B1741,E1741,"2019-11-29")</f>
        <v>5.3846153846153832</v>
      </c>
      <c r="T1741"/>
      <c r="U1741">
        <f>[1]!EM_S_RATIO_EPS_TTM(B1741,E1741,"1")</f>
        <v>0.81965662718918919</v>
      </c>
      <c r="AT1741" s="4" t="str">
        <f>[1]!EM_S_IPO_LISTEDDATE(B1741)</f>
        <v>2003-08-21</v>
      </c>
    </row>
    <row r="1742" spans="1:46">
      <c r="A1742">
        <v>3287</v>
      </c>
      <c r="B1742" t="str">
        <f>"603139"</f>
        <v>603139</v>
      </c>
      <c r="C1742" t="s">
        <v>2116</v>
      </c>
      <c r="D1742" t="str">
        <f>[1]!EM_S_INFO_INDEX_EM(B1742,"1")</f>
        <v>医药生物</v>
      </c>
      <c r="E1742" s="4">
        <f t="shared" si="27"/>
        <v>43465</v>
      </c>
      <c r="F1742" s="11">
        <f>[1]!EM_S_PQ_PCTCHANGE(B1742,"2018-01-01","2019-12-31","3")</f>
        <v>-30.15644906</v>
      </c>
      <c r="G1742" s="11">
        <f>[1]!EM_S_PQ_PCTCHANGE(B1742,"2018-12-31","2019-12-30","1")</f>
        <v>9.9157485399999992</v>
      </c>
      <c r="H1742" s="11">
        <f>[1]!EM_S_FA_YOY_OR(B1742,E1742)</f>
        <v>2.3323638361999999</v>
      </c>
      <c r="I1742" s="11">
        <f>[1]!EM_S_FA_GROSSPROFITMARGIN(B1742,E1742)</f>
        <v>51.2831023074</v>
      </c>
      <c r="J1742" s="11">
        <f>[1]!EM_S_FA_NETPROFITMARGIN(B1742,E1742)</f>
        <v>15.378591850799999</v>
      </c>
      <c r="K1742" s="10">
        <f>[1]!EM_S_FA_ASSETSTURN(B1742,E1742)</f>
        <v>0.35071798107300001</v>
      </c>
      <c r="L1742" s="12">
        <f>[1]!EM_HKS_VAL_MV(B1742,"2019-12-31","2")</f>
        <v>1719933600</v>
      </c>
      <c r="M1742">
        <f>[1]!EM_S_VAL_PETTMDEDUCTED(B1742,E1742)</f>
        <v>31.242372519514799</v>
      </c>
      <c r="N1742" s="7">
        <f>[1]!EM_S_VAL_PBGOODWILLDEDUCTED(B1742,E1742)</f>
        <v>1.6547253500310799</v>
      </c>
      <c r="O1742" s="7">
        <f>[1]!EM_S_VAL_PS_TTM(B1742,E1742)</f>
        <v>4.0266534609672604</v>
      </c>
      <c r="P1742" s="7">
        <f>[1]!EM_S_VAL_PCF_NCFTTM(B1742,E1742)</f>
        <v>-12.0145927193897</v>
      </c>
      <c r="Q1742" s="7">
        <f>[1]!EM_S_VAL_DIVIDENDYIELD2(B1742,E1742,"2019-11-29")</f>
        <v>0.69667077681874212</v>
      </c>
      <c r="T1742"/>
      <c r="U1742">
        <f>[1]!EM_S_RATIO_EPS_TTM(B1742,E1742,"1")</f>
        <v>0.55696016539847815</v>
      </c>
      <c r="AT1742" s="4" t="str">
        <f>[1]!EM_S_IPO_LISTEDDATE(B1742)</f>
        <v>2017-04-21</v>
      </c>
    </row>
    <row r="1743" spans="1:46">
      <c r="A1743">
        <v>1682</v>
      </c>
      <c r="B1743" t="str">
        <f>"300257"</f>
        <v>300257</v>
      </c>
      <c r="C1743" t="s">
        <v>2424</v>
      </c>
      <c r="D1743" t="str">
        <f>[1]!EM_S_INFO_INDEX_EM(B1743,"1")</f>
        <v>机械设备</v>
      </c>
      <c r="E1743" s="4">
        <f t="shared" si="27"/>
        <v>43465</v>
      </c>
      <c r="F1743" s="11">
        <f>[1]!EM_S_PQ_PCTCHANGE(B1743,"2018-01-01","2019-12-31","3")</f>
        <v>-21.12662508</v>
      </c>
      <c r="G1743" s="11">
        <f>[1]!EM_S_PQ_PCTCHANGE(B1743,"2018-12-31","2019-12-30","1")</f>
        <v>9.9099099099999997</v>
      </c>
      <c r="H1743" s="11">
        <f>[1]!EM_S_FA_YOY_OR(B1743,E1743)</f>
        <v>17.040680514999998</v>
      </c>
      <c r="I1743" s="11">
        <f>[1]!EM_S_FA_GROSSPROFITMARGIN(B1743,E1743)</f>
        <v>25.858034109199998</v>
      </c>
      <c r="J1743" s="11">
        <f>[1]!EM_S_FA_NETPROFITMARGIN(B1743,E1743)</f>
        <v>4.5607784376999998</v>
      </c>
      <c r="K1743" s="10">
        <f>[1]!EM_S_FA_ASSETSTURN(B1743,E1743)</f>
        <v>0.383223378281</v>
      </c>
      <c r="L1743" s="12">
        <f>[1]!EM_HKS_VAL_MV(B1743,"2019-12-31","2")</f>
        <v>9335040000</v>
      </c>
      <c r="M1743">
        <f>[1]!EM_S_VAL_PETTMDEDUCTED(B1743,E1743)</f>
        <v>72.543450106083696</v>
      </c>
      <c r="N1743" s="7">
        <f>[1]!EM_S_VAL_PBGOODWILLDEDUCTED(B1743,E1743)</f>
        <v>2.6178106570387101</v>
      </c>
      <c r="O1743" s="7">
        <f>[1]!EM_S_VAL_PS_TTM(B1743,E1743)</f>
        <v>3.4367060327444201</v>
      </c>
      <c r="P1743" s="7">
        <f>[1]!EM_S_VAL_PCF_NCFTTM(B1743,E1743)</f>
        <v>-49.360128344557097</v>
      </c>
      <c r="Q1743" s="7">
        <f>[1]!EM_S_VAL_DIVIDENDYIELD2(B1743,E1743,"2019-11-29")</f>
        <v>1.0266940451745379</v>
      </c>
      <c r="T1743"/>
      <c r="U1743">
        <f>[1]!EM_S_RATIO_EPS_TTM(B1743,E1743,"1")</f>
        <v>0.14074723638694639</v>
      </c>
      <c r="AT1743" s="4" t="str">
        <f>[1]!EM_S_IPO_LISTEDDATE(B1743)</f>
        <v>2011-08-19</v>
      </c>
    </row>
    <row r="1744" spans="1:46">
      <c r="A1744">
        <v>2616</v>
      </c>
      <c r="B1744" t="str">
        <f>"600537"</f>
        <v>600537</v>
      </c>
      <c r="C1744" t="s">
        <v>2986</v>
      </c>
      <c r="D1744" t="str">
        <f>[1]!EM_S_INFO_INDEX_EM(B1744,"1")</f>
        <v>电气设备</v>
      </c>
      <c r="E1744" s="4">
        <f t="shared" si="27"/>
        <v>43465</v>
      </c>
      <c r="F1744" s="11">
        <f>[1]!EM_S_PQ_PCTCHANGE(B1744,"2018-01-01","2019-12-31","3")</f>
        <v>-34.67760586</v>
      </c>
      <c r="G1744" s="11">
        <f>[1]!EM_S_PQ_PCTCHANGE(B1744,"2018-12-31","2019-12-30","1")</f>
        <v>9.8939929299999996</v>
      </c>
      <c r="H1744" s="11">
        <f>[1]!EM_S_FA_YOY_OR(B1744,E1744)</f>
        <v>-14.196632338300001</v>
      </c>
      <c r="I1744" s="11">
        <f>[1]!EM_S_FA_GROSSPROFITMARGIN(B1744,E1744)</f>
        <v>14.0692819586</v>
      </c>
      <c r="J1744" s="11">
        <f>[1]!EM_S_FA_NETPROFITMARGIN(B1744,E1744)</f>
        <v>1.9323191977</v>
      </c>
      <c r="K1744" s="10">
        <f>[1]!EM_S_FA_ASSETSTURN(B1744,E1744)</f>
        <v>0.53476588953199999</v>
      </c>
      <c r="L1744" s="12">
        <f>[1]!EM_HKS_VAL_MV(B1744,"2019-12-31","2")</f>
        <v>3658477323.48</v>
      </c>
      <c r="M1744">
        <f>[1]!EM_S_VAL_PETTMDEDUCTED(B1744,E1744)</f>
        <v>116.999499588104</v>
      </c>
      <c r="N1744" s="7">
        <f>[1]!EM_S_VAL_PBGOODWILLDEDUCTED(B1744,E1744)</f>
        <v>0.91205030426604095</v>
      </c>
      <c r="O1744" s="7">
        <f>[1]!EM_S_VAL_PS_TTM(B1744,E1744)</f>
        <v>1.0379050740187299</v>
      </c>
      <c r="P1744" s="7">
        <f>[1]!EM_S_VAL_PCF_NCFTTM(B1744,E1744)</f>
        <v>68.762706906519199</v>
      </c>
      <c r="Q1744" s="7">
        <f>[1]!EM_S_VAL_DIVIDENDYIELD2(B1744,E1744,"2019-11-29")</f>
        <v>0.68965517241379315</v>
      </c>
      <c r="T1744"/>
      <c r="U1744">
        <f>[1]!EM_S_RATIO_EPS_TTM(B1744,E1744,"1")</f>
        <v>5.8316720389880082E-2</v>
      </c>
      <c r="AT1744" s="4" t="str">
        <f>[1]!EM_S_IPO_LISTEDDATE(B1744)</f>
        <v>2003-01-23</v>
      </c>
    </row>
    <row r="1745" spans="1:46">
      <c r="A1745">
        <v>1003</v>
      </c>
      <c r="B1745" t="str">
        <f>"002492"</f>
        <v>002492</v>
      </c>
      <c r="C1745" t="s">
        <v>2312</v>
      </c>
      <c r="D1745" t="str">
        <f>[1]!EM_S_INFO_INDEX_EM(B1745,"1")</f>
        <v>交通运输</v>
      </c>
      <c r="E1745" s="4">
        <f t="shared" si="27"/>
        <v>43465</v>
      </c>
      <c r="F1745" s="11">
        <f>[1]!EM_S_PQ_PCTCHANGE(B1745,"2018-01-01","2019-12-31","3")</f>
        <v>-20.065587369999999</v>
      </c>
      <c r="G1745" s="11">
        <f>[1]!EM_S_PQ_PCTCHANGE(B1745,"2018-12-31","2019-12-30","1")</f>
        <v>9.8513011200000005</v>
      </c>
      <c r="H1745" s="11">
        <f>[1]!EM_S_FA_YOY_OR(B1745,E1745)</f>
        <v>12.3933679284</v>
      </c>
      <c r="I1745" s="11">
        <f>[1]!EM_S_FA_GROSSPROFITMARGIN(B1745,E1745)</f>
        <v>45.2100835683</v>
      </c>
      <c r="J1745" s="11">
        <f>[1]!EM_S_FA_NETPROFITMARGIN(B1745,E1745)</f>
        <v>20.635780673500001</v>
      </c>
      <c r="K1745" s="10">
        <f>[1]!EM_S_FA_ASSETSTURN(B1745,E1745)</f>
        <v>0.162596819147</v>
      </c>
      <c r="L1745" s="12">
        <f>[1]!EM_HKS_VAL_MV(B1745,"2019-12-31","2")</f>
        <v>2385450000</v>
      </c>
      <c r="M1745">
        <f>[1]!EM_S_VAL_PETTMDEDUCTED(B1745,E1745)</f>
        <v>37.879532036320299</v>
      </c>
      <c r="N1745" s="7">
        <f>[1]!EM_S_VAL_PBGOODWILLDEDUCTED(B1745,E1745)</f>
        <v>1.77592094564165</v>
      </c>
      <c r="O1745" s="7">
        <f>[1]!EM_S_VAL_PS_TTM(B1745,E1745)</f>
        <v>8.5330279978515104</v>
      </c>
      <c r="P1745" s="7">
        <f>[1]!EM_S_VAL_PCF_NCFTTM(B1745,E1745)</f>
        <v>16.498301592303299</v>
      </c>
      <c r="Q1745" s="7">
        <f>[1]!EM_S_VAL_DIVIDENDYIELD2(B1745,E1745,"2019-11-29")</f>
        <v>0.667779632721202</v>
      </c>
      <c r="T1745"/>
      <c r="U1745">
        <f>[1]!EM_S_RATIO_EPS_TTM(B1745,E1745,"1")</f>
        <v>0.14218116933333333</v>
      </c>
      <c r="AT1745" s="4" t="str">
        <f>[1]!EM_S_IPO_LISTEDDATE(B1745)</f>
        <v>2010-11-02</v>
      </c>
    </row>
    <row r="1746" spans="1:46">
      <c r="A1746">
        <v>794</v>
      </c>
      <c r="B1746" t="str">
        <f>"002283"</f>
        <v>002283</v>
      </c>
      <c r="C1746" t="s">
        <v>1261</v>
      </c>
      <c r="D1746" t="str">
        <f>[1]!EM_S_INFO_INDEX_EM(B1746,"1")</f>
        <v>交运设备</v>
      </c>
      <c r="E1746" s="4">
        <f t="shared" si="27"/>
        <v>43465</v>
      </c>
      <c r="F1746" s="11">
        <f>[1]!EM_S_PQ_PCTCHANGE(B1746,"2018-01-01","2019-12-31","3")</f>
        <v>-34.645828809999998</v>
      </c>
      <c r="G1746" s="11">
        <f>[1]!EM_S_PQ_PCTCHANGE(B1746,"2018-12-31","2019-12-30","1")</f>
        <v>9.8507462700000001</v>
      </c>
      <c r="H1746" s="11">
        <f>[1]!EM_S_FA_YOY_OR(B1746,E1746)</f>
        <v>12.706692846399999</v>
      </c>
      <c r="I1746" s="11">
        <f>[1]!EM_S_FA_GROSSPROFITMARGIN(B1746,E1746)</f>
        <v>25.726853904399999</v>
      </c>
      <c r="J1746" s="11">
        <f>[1]!EM_S_FA_NETPROFITMARGIN(B1746,E1746)</f>
        <v>10.1161191836</v>
      </c>
      <c r="K1746" s="10">
        <f>[1]!EM_S_FA_ASSETSTURN(B1746,E1746)</f>
        <v>0.53850091689000001</v>
      </c>
      <c r="L1746" s="12">
        <f>[1]!EM_HKS_VAL_MV(B1746,"2019-12-31","2")</f>
        <v>4149398639.04</v>
      </c>
      <c r="M1746">
        <f>[1]!EM_S_VAL_PETTMDEDUCTED(B1746,E1746)</f>
        <v>11.9577852995562</v>
      </c>
      <c r="N1746" s="7">
        <f>[1]!EM_S_VAL_PBGOODWILLDEDUCTED(B1746,E1746)</f>
        <v>0.89402213563329103</v>
      </c>
      <c r="O1746" s="7">
        <f>[1]!EM_S_VAL_PS_TTM(B1746,E1746)</f>
        <v>1.1040596763752599</v>
      </c>
      <c r="P1746" s="7">
        <f>[1]!EM_S_VAL_PCF_NCFTTM(B1746,E1746)</f>
        <v>-63.860622003199701</v>
      </c>
      <c r="Q1746" s="7">
        <f>[1]!EM_S_VAL_DIVIDENDYIELD2(B1746,E1746,"2019-11-29")</f>
        <v>0.86834733893557414</v>
      </c>
      <c r="T1746"/>
      <c r="U1746">
        <f>[1]!EM_S_RATIO_EPS_TTM(B1746,E1746,"1")</f>
        <v>0.30357779433065862</v>
      </c>
      <c r="AT1746" s="4" t="str">
        <f>[1]!EM_S_IPO_LISTEDDATE(B1746)</f>
        <v>2009-08-21</v>
      </c>
    </row>
    <row r="1747" spans="1:46">
      <c r="A1747">
        <v>1845</v>
      </c>
      <c r="B1747" t="str">
        <f>"300420"</f>
        <v>300420</v>
      </c>
      <c r="C1747" t="s">
        <v>2458</v>
      </c>
      <c r="D1747" t="str">
        <f>[1]!EM_S_INFO_INDEX_EM(B1747,"1")</f>
        <v>机械设备</v>
      </c>
      <c r="E1747" s="4">
        <f t="shared" si="27"/>
        <v>43465</v>
      </c>
      <c r="F1747" s="11">
        <f>[1]!EM_S_PQ_PCTCHANGE(B1747,"2018-01-01","2019-12-31","3")</f>
        <v>10.59975348</v>
      </c>
      <c r="G1747" s="11">
        <f>[1]!EM_S_PQ_PCTCHANGE(B1747,"2018-12-31","2019-12-30","1")</f>
        <v>9.8393574299999997</v>
      </c>
      <c r="H1747" s="11">
        <f>[1]!EM_S_FA_YOY_OR(B1747,E1747)</f>
        <v>32.800506139600003</v>
      </c>
      <c r="I1747" s="11">
        <f>[1]!EM_S_FA_GROSSPROFITMARGIN(B1747,E1747)</f>
        <v>34.998787125699998</v>
      </c>
      <c r="J1747" s="11">
        <f>[1]!EM_S_FA_NETPROFITMARGIN(B1747,E1747)</f>
        <v>12.9015012012</v>
      </c>
      <c r="K1747" s="10">
        <f>[1]!EM_S_FA_ASSETSTURN(B1747,E1747)</f>
        <v>0.47843293641899998</v>
      </c>
      <c r="L1747" s="12">
        <f>[1]!EM_HKS_VAL_MV(B1747,"2019-12-31","2")</f>
        <v>3928811384.6100001</v>
      </c>
      <c r="M1747">
        <f>[1]!EM_S_VAL_PETTMDEDUCTED(B1747,E1747)</f>
        <v>43.711950359151402</v>
      </c>
      <c r="N1747" s="7">
        <f>[1]!EM_S_VAL_PBGOODWILLDEDUCTED(B1747,E1747)</f>
        <v>3.4065041626878698</v>
      </c>
      <c r="O1747" s="7">
        <f>[1]!EM_S_VAL_PS_TTM(B1747,E1747)</f>
        <v>3.71460443830783</v>
      </c>
      <c r="P1747" s="7">
        <f>[1]!EM_S_VAL_PCF_NCFTTM(B1747,E1747)</f>
        <v>-83.9826265519077</v>
      </c>
      <c r="Q1747" s="7">
        <f>[1]!EM_S_VAL_DIVIDENDYIELD2(B1747,E1747,"2019-11-29")</f>
        <v>0.68518518518518523</v>
      </c>
      <c r="T1747"/>
      <c r="U1747">
        <f>[1]!EM_S_RATIO_EPS_TTM(B1747,E1747,"1")</f>
        <v>0.18304851663467905</v>
      </c>
      <c r="AT1747" s="4" t="str">
        <f>[1]!EM_S_IPO_LISTEDDATE(B1747)</f>
        <v>2015-02-17</v>
      </c>
    </row>
    <row r="1748" spans="1:46">
      <c r="A1748">
        <v>729</v>
      </c>
      <c r="B1748" t="str">
        <f>"002218"</f>
        <v>002218</v>
      </c>
      <c r="C1748" t="s">
        <v>2950</v>
      </c>
      <c r="D1748" t="str">
        <f>[1]!EM_S_INFO_INDEX_EM(B1748,"1")</f>
        <v>电气设备</v>
      </c>
      <c r="E1748" s="4">
        <f t="shared" si="27"/>
        <v>43465</v>
      </c>
      <c r="F1748" s="11">
        <f>[1]!EM_S_PQ_PCTCHANGE(B1748,"2018-01-01","2019-12-31","3")</f>
        <v>-42.285714290000001</v>
      </c>
      <c r="G1748" s="11">
        <f>[1]!EM_S_PQ_PCTCHANGE(B1748,"2018-12-31","2019-12-30","1")</f>
        <v>9.8181818199999995</v>
      </c>
      <c r="H1748" s="11">
        <f>[1]!EM_S_FA_YOY_OR(B1748,E1748)</f>
        <v>-26.016714517800001</v>
      </c>
      <c r="I1748" s="11">
        <f>[1]!EM_S_FA_GROSSPROFITMARGIN(B1748,E1748)</f>
        <v>27.827606129700001</v>
      </c>
      <c r="J1748" s="11">
        <f>[1]!EM_S_FA_NETPROFITMARGIN(B1748,E1748)</f>
        <v>7.9333336949</v>
      </c>
      <c r="K1748" s="10">
        <f>[1]!EM_S_FA_ASSETSTURN(B1748,E1748)</f>
        <v>0.185509784264</v>
      </c>
      <c r="L1748" s="12">
        <f>[1]!EM_HKS_VAL_MV(B1748,"2019-12-31","2")</f>
        <v>3709026312</v>
      </c>
      <c r="M1748">
        <f>[1]!EM_S_VAL_PETTMDEDUCTED(B1748,E1748)</f>
        <v>41.647453286975598</v>
      </c>
      <c r="N1748" s="7">
        <f>[1]!EM_S_VAL_PBGOODWILLDEDUCTED(B1748,E1748)</f>
        <v>1.1855155297702</v>
      </c>
      <c r="O1748" s="7">
        <f>[1]!EM_S_VAL_PS_TTM(B1748,E1748)</f>
        <v>3.1666179684591098</v>
      </c>
      <c r="P1748" s="7">
        <f>[1]!EM_S_VAL_PCF_NCFTTM(B1748,E1748)</f>
        <v>40.0715397637221</v>
      </c>
      <c r="Q1748" s="7">
        <f>[1]!EM_S_VAL_DIVIDENDYIELD2(B1748,E1748,"2019-11-29")</f>
        <v>0</v>
      </c>
      <c r="T1748"/>
      <c r="U1748">
        <f>[1]!EM_S_RATIO_EPS_TTM(B1748,E1748,"1")</f>
        <v>7.1915703851172894E-2</v>
      </c>
      <c r="AT1748" s="4" t="str">
        <f>[1]!EM_S_IPO_LISTEDDATE(B1748)</f>
        <v>2008-02-28</v>
      </c>
    </row>
    <row r="1749" spans="1:46">
      <c r="A1749">
        <v>1187</v>
      </c>
      <c r="B1749" t="str">
        <f>"002676"</f>
        <v>002676</v>
      </c>
      <c r="C1749" t="s">
        <v>3477</v>
      </c>
      <c r="D1749" t="str">
        <f>[1]!EM_S_INFO_INDEX_EM(B1749,"1")</f>
        <v>基础化工</v>
      </c>
      <c r="E1749" s="4">
        <f t="shared" si="27"/>
        <v>43465</v>
      </c>
      <c r="F1749" s="11">
        <f>[1]!EM_S_PQ_PCTCHANGE(B1749,"2018-01-01","2019-12-31","3")</f>
        <v>-80.350438049999994</v>
      </c>
      <c r="G1749" s="11">
        <f>[1]!EM_S_PQ_PCTCHANGE(B1749,"2018-12-31","2019-12-30","1")</f>
        <v>9.7902097900000005</v>
      </c>
      <c r="H1749" s="11">
        <f>[1]!EM_S_FA_YOY_OR(B1749,E1749)</f>
        <v>4.0310333089999997</v>
      </c>
      <c r="I1749" s="11">
        <f>[1]!EM_S_FA_GROSSPROFITMARGIN(B1749,E1749)</f>
        <v>18.125715770900001</v>
      </c>
      <c r="J1749" s="11">
        <f>[1]!EM_S_FA_NETPROFITMARGIN(B1749,E1749)</f>
        <v>0.429134022</v>
      </c>
      <c r="K1749" s="10">
        <f>[1]!EM_S_FA_ASSETSTURN(B1749,E1749)</f>
        <v>0.82013370110200001</v>
      </c>
      <c r="L1749" s="12">
        <f>[1]!EM_HKS_VAL_MV(B1749,"2019-12-31","2")</f>
        <v>2260800000</v>
      </c>
      <c r="M1749">
        <f>[1]!EM_S_VAL_PETTMDEDUCTED(B1749,E1749)</f>
        <v>-28.323016714153699</v>
      </c>
      <c r="N1749" s="7">
        <f>[1]!EM_S_VAL_PBGOODWILLDEDUCTED(B1749,E1749)</f>
        <v>1.9872047535880399</v>
      </c>
      <c r="O1749" s="7">
        <f>[1]!EM_S_VAL_PS_TTM(B1749,E1749)</f>
        <v>1.2683055197004101</v>
      </c>
      <c r="P1749" s="7">
        <f>[1]!EM_S_VAL_PCF_NCFTTM(B1749,E1749)</f>
        <v>-36.944735991503698</v>
      </c>
      <c r="Q1749" s="7">
        <f>[1]!EM_S_VAL_DIVIDENDYIELD2(B1749,E1749,"2019-11-29")</f>
        <v>0</v>
      </c>
      <c r="T1749"/>
      <c r="U1749">
        <f>[1]!EM_S_RATIO_EPS_TTM(B1749,E1749,"1")</f>
        <v>7.9409458750000009E-3</v>
      </c>
      <c r="AT1749" s="4" t="str">
        <f>[1]!EM_S_IPO_LISTEDDATE(B1749)</f>
        <v>2012-05-25</v>
      </c>
    </row>
    <row r="1750" spans="1:46">
      <c r="A1750">
        <v>2522</v>
      </c>
      <c r="B1750" t="str">
        <f>"600409"</f>
        <v>600409</v>
      </c>
      <c r="C1750" t="s">
        <v>409</v>
      </c>
      <c r="D1750" t="str">
        <f>[1]!EM_S_INFO_INDEX_EM(B1750,"1")</f>
        <v>基础化工</v>
      </c>
      <c r="E1750" s="4">
        <f t="shared" si="27"/>
        <v>43465</v>
      </c>
      <c r="F1750" s="11">
        <f>[1]!EM_S_PQ_PCTCHANGE(B1750,"2018-01-01","2019-12-31","3")</f>
        <v>-29.604942279999999</v>
      </c>
      <c r="G1750" s="11">
        <f>[1]!EM_S_PQ_PCTCHANGE(B1750,"2018-12-31","2019-12-30","1")</f>
        <v>9.7902097900000005</v>
      </c>
      <c r="H1750" s="11">
        <f>[1]!EM_S_FA_YOY_OR(B1750,E1750)</f>
        <v>-0.1087996363</v>
      </c>
      <c r="I1750" s="11">
        <f>[1]!EM_S_FA_GROSSPROFITMARGIN(B1750,E1750)</f>
        <v>26.689252657699999</v>
      </c>
      <c r="J1750" s="11">
        <f>[1]!EM_S_FA_NETPROFITMARGIN(B1750,E1750)</f>
        <v>8.4343391205000007</v>
      </c>
      <c r="K1750" s="10">
        <f>[1]!EM_S_FA_ASSETSTURN(B1750,E1750)</f>
        <v>0.81630309028500003</v>
      </c>
      <c r="L1750" s="12">
        <f>[1]!EM_HKS_VAL_MV(B1750,"2019-12-31","2")</f>
        <v>13046688511.360001</v>
      </c>
      <c r="M1750">
        <f>[1]!EM_S_VAL_PETTMDEDUCTED(B1750,E1750)</f>
        <v>5.8303921378612298</v>
      </c>
      <c r="N1750" s="7">
        <f>[1]!EM_S_VAL_PBGOODWILLDEDUCTED(B1750,E1750)</f>
        <v>1.06890955539654</v>
      </c>
      <c r="O1750" s="7">
        <f>[1]!EM_S_VAL_PS_TTM(B1750,E1750)</f>
        <v>0.583685267063621</v>
      </c>
      <c r="P1750" s="7">
        <f>[1]!EM_S_VAL_PCF_NCFTTM(B1750,E1750)</f>
        <v>19.541640553922502</v>
      </c>
      <c r="Q1750" s="7">
        <f>[1]!EM_S_VAL_DIVIDENDYIELD2(B1750,E1750,"2019-11-29")</f>
        <v>4.1250000000000009</v>
      </c>
      <c r="T1750"/>
      <c r="U1750">
        <f>[1]!EM_S_RATIO_EPS_TTM(B1750,E1750,"1")</f>
        <v>0.76831912575975858</v>
      </c>
      <c r="AT1750" s="4" t="str">
        <f>[1]!EM_S_IPO_LISTEDDATE(B1750)</f>
        <v>2003-06-18</v>
      </c>
    </row>
    <row r="1751" spans="1:46">
      <c r="A1751">
        <v>3346</v>
      </c>
      <c r="B1751" t="str">
        <f>"603305"</f>
        <v>603305</v>
      </c>
      <c r="C1751" t="s">
        <v>345</v>
      </c>
      <c r="D1751" t="str">
        <f>[1]!EM_S_INFO_INDEX_EM(B1751,"1")</f>
        <v>交运设备</v>
      </c>
      <c r="E1751" s="4">
        <f t="shared" si="27"/>
        <v>43465</v>
      </c>
      <c r="F1751" s="11">
        <f>[1]!EM_S_PQ_PCTCHANGE(B1751,"2018-01-01","2019-12-31","3")</f>
        <v>-9.5719093799999992</v>
      </c>
      <c r="G1751" s="11">
        <f>[1]!EM_S_PQ_PCTCHANGE(B1751,"2018-12-31","2019-12-30","1")</f>
        <v>9.7633136100000009</v>
      </c>
      <c r="H1751" s="11">
        <f>[1]!EM_S_FA_YOY_OR(B1751,E1751)</f>
        <v>48.274931364300002</v>
      </c>
      <c r="I1751" s="11">
        <f>[1]!EM_S_FA_GROSSPROFITMARGIN(B1751,E1751)</f>
        <v>39.647797688399997</v>
      </c>
      <c r="J1751" s="11">
        <f>[1]!EM_S_FA_NETPROFITMARGIN(B1751,E1751)</f>
        <v>26.808957766900001</v>
      </c>
      <c r="K1751" s="10">
        <f>[1]!EM_S_FA_ASSETSTURN(B1751,E1751)</f>
        <v>0.570568110244</v>
      </c>
      <c r="L1751" s="12">
        <f>[1]!EM_HKS_VAL_MV(B1751,"2019-12-31","2")</f>
        <v>13600452260.85</v>
      </c>
      <c r="M1751">
        <f>[1]!EM_S_VAL_PETTMDEDUCTED(B1751,E1751)</f>
        <v>43.805609236525299</v>
      </c>
      <c r="N1751" s="7">
        <f>[1]!EM_S_VAL_PBGOODWILLDEDUCTED(B1751,E1751)</f>
        <v>8.6614305472347795</v>
      </c>
      <c r="O1751" s="7">
        <f>[1]!EM_S_VAL_PS_TTM(B1751,E1751)</f>
        <v>11.8819372969106</v>
      </c>
      <c r="P1751" s="7">
        <f>[1]!EM_S_VAL_PCF_NCFTTM(B1751,E1751)</f>
        <v>74.9808614385976</v>
      </c>
      <c r="Q1751" s="7">
        <f>[1]!EM_S_VAL_DIVIDENDYIELD2(B1751,E1751,"2019-11-29")</f>
        <v>0.85808206009457455</v>
      </c>
      <c r="T1751"/>
      <c r="U1751">
        <f>[1]!EM_S_RATIO_EPS_TTM(B1751,E1751,"1")</f>
        <v>0.73319361273090367</v>
      </c>
      <c r="AT1751" s="4" t="str">
        <f>[1]!EM_S_IPO_LISTEDDATE(B1751)</f>
        <v>2017-07-10</v>
      </c>
    </row>
    <row r="1752" spans="1:46">
      <c r="A1752">
        <v>1182</v>
      </c>
      <c r="B1752" t="str">
        <f>"002671"</f>
        <v>002671</v>
      </c>
      <c r="C1752" t="s">
        <v>2990</v>
      </c>
      <c r="D1752" t="str">
        <f>[1]!EM_S_INFO_INDEX_EM(B1752,"1")</f>
        <v>建材</v>
      </c>
      <c r="E1752" s="4">
        <f t="shared" si="27"/>
        <v>43465</v>
      </c>
      <c r="F1752" s="11">
        <f>[1]!EM_S_PQ_PCTCHANGE(B1752,"2018-01-01","2019-12-31","3")</f>
        <v>-33.586254420000003</v>
      </c>
      <c r="G1752" s="11">
        <f>[1]!EM_S_PQ_PCTCHANGE(B1752,"2018-12-31","2019-12-30","1")</f>
        <v>9.7560975600000006</v>
      </c>
      <c r="H1752" s="11">
        <f>[1]!EM_S_FA_YOY_OR(B1752,E1752)</f>
        <v>3.6019867426999999</v>
      </c>
      <c r="I1752" s="11">
        <f>[1]!EM_S_FA_GROSSPROFITMARGIN(B1752,E1752)</f>
        <v>40.315139374899999</v>
      </c>
      <c r="J1752" s="11">
        <f>[1]!EM_S_FA_NETPROFITMARGIN(B1752,E1752)</f>
        <v>-9.7974039338000001</v>
      </c>
      <c r="K1752" s="10">
        <f>[1]!EM_S_FA_ASSETSTURN(B1752,E1752)</f>
        <v>0.28629214983000001</v>
      </c>
      <c r="L1752" s="12">
        <f>[1]!EM_HKS_VAL_MV(B1752,"2019-12-31","2")</f>
        <v>2144886561.96</v>
      </c>
      <c r="M1752">
        <f>[1]!EM_S_VAL_PETTMDEDUCTED(B1752,E1752)</f>
        <v>20.153314646300601</v>
      </c>
      <c r="N1752" s="7">
        <f>[1]!EM_S_VAL_PBGOODWILLDEDUCTED(B1752,E1752)</f>
        <v>1.0805461614404299</v>
      </c>
      <c r="O1752" s="7">
        <f>[1]!EM_S_VAL_PS_TTM(B1752,E1752)</f>
        <v>1.60311645932588</v>
      </c>
      <c r="P1752" s="7">
        <f>[1]!EM_S_VAL_PCF_NCFTTM(B1752,E1752)</f>
        <v>-20.411284578303398</v>
      </c>
      <c r="Q1752" s="7">
        <f>[1]!EM_S_VAL_DIVIDENDYIELD2(B1752,E1752,"2019-11-29")</f>
        <v>0</v>
      </c>
      <c r="T1752"/>
      <c r="U1752">
        <f>[1]!EM_S_RATIO_EPS_TTM(B1752,E1752,"1")</f>
        <v>-0.20026870247985204</v>
      </c>
      <c r="AT1752" s="4" t="str">
        <f>[1]!EM_S_IPO_LISTEDDATE(B1752)</f>
        <v>2012-04-26</v>
      </c>
    </row>
    <row r="1753" spans="1:46">
      <c r="A1753">
        <v>480</v>
      </c>
      <c r="B1753" t="str">
        <f>"000967"</f>
        <v>000967</v>
      </c>
      <c r="C1753" t="s">
        <v>1326</v>
      </c>
      <c r="D1753" t="str">
        <f>[1]!EM_S_INFO_INDEX_EM(B1753,"1")</f>
        <v>公用事业</v>
      </c>
      <c r="E1753" s="4">
        <f t="shared" si="27"/>
        <v>43465</v>
      </c>
      <c r="F1753" s="11">
        <f>[1]!EM_S_PQ_PCTCHANGE(B1753,"2018-01-01","2019-12-31","3")</f>
        <v>-31.132891560000001</v>
      </c>
      <c r="G1753" s="11">
        <f>[1]!EM_S_PQ_PCTCHANGE(B1753,"2018-12-31","2019-12-30","1")</f>
        <v>9.7345132700000008</v>
      </c>
      <c r="H1753" s="11">
        <f>[1]!EM_S_FA_YOY_OR(B1753,E1753)</f>
        <v>46.805430670699998</v>
      </c>
      <c r="I1753" s="11">
        <f>[1]!EM_S_FA_GROSSPROFITMARGIN(B1753,E1753)</f>
        <v>25.077220822099999</v>
      </c>
      <c r="J1753" s="11">
        <f>[1]!EM_S_FA_NETPROFITMARGIN(B1753,E1753)</f>
        <v>10.411683141399999</v>
      </c>
      <c r="K1753" s="10">
        <f>[1]!EM_S_FA_ASSETSTURN(B1753,E1753)</f>
        <v>0.80009714997100001</v>
      </c>
      <c r="L1753" s="12">
        <f>[1]!EM_HKS_VAL_MV(B1753,"2019-12-31","2")</f>
        <v>19516093440.82</v>
      </c>
      <c r="M1753">
        <f>[1]!EM_S_VAL_PETTMDEDUCTED(B1753,E1753)</f>
        <v>37.213204762158803</v>
      </c>
      <c r="N1753" s="7">
        <f>[1]!EM_S_VAL_PBGOODWILLDEDUCTED(B1753,E1753)</f>
        <v>0.80163905049838702</v>
      </c>
      <c r="O1753" s="7">
        <f>[1]!EM_S_VAL_PS_TTM(B1753,E1753)</f>
        <v>1.24144525923004</v>
      </c>
      <c r="P1753" s="7">
        <f>[1]!EM_S_VAL_PCF_NCFTTM(B1753,E1753)</f>
        <v>16.016771385842102</v>
      </c>
      <c r="Q1753" s="7">
        <f>[1]!EM_S_VAL_DIVIDENDYIELD2(B1753,E1753,"2019-11-29")</f>
        <v>1.7217882960413082</v>
      </c>
      <c r="T1753"/>
      <c r="U1753">
        <f>[1]!EM_S_RATIO_EPS_TTM(B1753,E1753,"1")</f>
        <v>0.7957040581223993</v>
      </c>
      <c r="AT1753" s="4" t="str">
        <f>[1]!EM_S_IPO_LISTEDDATE(B1753)</f>
        <v>2000-03-30</v>
      </c>
    </row>
    <row r="1754" spans="1:46">
      <c r="A1754">
        <v>1232</v>
      </c>
      <c r="B1754" t="str">
        <f>"002722"</f>
        <v>002722</v>
      </c>
      <c r="C1754" t="s">
        <v>2026</v>
      </c>
      <c r="D1754" t="str">
        <f>[1]!EM_S_INFO_INDEX_EM(B1754,"1")</f>
        <v>机械设备</v>
      </c>
      <c r="E1754" s="4">
        <f t="shared" si="27"/>
        <v>43465</v>
      </c>
      <c r="F1754" s="11">
        <f>[1]!EM_S_PQ_PCTCHANGE(B1754,"2018-01-01","2019-12-31","3")</f>
        <v>-41.830464069999998</v>
      </c>
      <c r="G1754" s="11">
        <f>[1]!EM_S_PQ_PCTCHANGE(B1754,"2018-12-31","2019-12-30","1")</f>
        <v>9.7183098599999997</v>
      </c>
      <c r="H1754" s="11">
        <f>[1]!EM_S_FA_YOY_OR(B1754,E1754)</f>
        <v>8.8603231553999997</v>
      </c>
      <c r="I1754" s="11">
        <f>[1]!EM_S_FA_GROSSPROFITMARGIN(B1754,E1754)</f>
        <v>18.333344592500001</v>
      </c>
      <c r="J1754" s="11">
        <f>[1]!EM_S_FA_NETPROFITMARGIN(B1754,E1754)</f>
        <v>5.1779652644</v>
      </c>
      <c r="K1754" s="10">
        <f>[1]!EM_S_FA_ASSETSTURN(B1754,E1754)</f>
        <v>0.84918962166400003</v>
      </c>
      <c r="L1754" s="12">
        <f>[1]!EM_HKS_VAL_MV(B1754,"2019-12-31","2")</f>
        <v>2746051382.3000002</v>
      </c>
      <c r="M1754">
        <f>[1]!EM_S_VAL_PETTMDEDUCTED(B1754,E1754)</f>
        <v>29.598428117173398</v>
      </c>
      <c r="N1754" s="7">
        <f>[1]!EM_S_VAL_PBGOODWILLDEDUCTED(B1754,E1754)</f>
        <v>1.9308019180551701</v>
      </c>
      <c r="O1754" s="7">
        <f>[1]!EM_S_VAL_PS_TTM(B1754,E1754)</f>
        <v>1.07664195993262</v>
      </c>
      <c r="P1754" s="7">
        <f>[1]!EM_S_VAL_PCF_NCFTTM(B1754,E1754)</f>
        <v>20.8133109592398</v>
      </c>
      <c r="Q1754" s="7">
        <f>[1]!EM_S_VAL_DIVIDENDYIELD2(B1754,E1754,"2019-11-29")</f>
        <v>1.3486176668914363</v>
      </c>
      <c r="T1754"/>
      <c r="U1754">
        <f>[1]!EM_S_RATIO_EPS_TTM(B1754,E1754,"1")</f>
        <v>0.69269807220569712</v>
      </c>
      <c r="AT1754" s="4" t="str">
        <f>[1]!EM_S_IPO_LISTEDDATE(B1754)</f>
        <v>2014-01-28</v>
      </c>
    </row>
    <row r="1755" spans="1:46">
      <c r="A1755">
        <v>797</v>
      </c>
      <c r="B1755" t="str">
        <f>"002286"</f>
        <v>002286</v>
      </c>
      <c r="C1755" t="s">
        <v>2286</v>
      </c>
      <c r="D1755" t="str">
        <f>[1]!EM_S_INFO_INDEX_EM(B1755,"1")</f>
        <v>农林牧渔</v>
      </c>
      <c r="E1755" s="4">
        <f t="shared" si="27"/>
        <v>43465</v>
      </c>
      <c r="F1755" s="11">
        <f>[1]!EM_S_PQ_PCTCHANGE(B1755,"2018-01-01","2019-12-31","3")</f>
        <v>-37.232390979999998</v>
      </c>
      <c r="G1755" s="11">
        <f>[1]!EM_S_PQ_PCTCHANGE(B1755,"2018-12-31","2019-12-30","1")</f>
        <v>9.7069597099999996</v>
      </c>
      <c r="H1755" s="11">
        <f>[1]!EM_S_FA_YOY_OR(B1755,E1755)</f>
        <v>8.6011674079000002</v>
      </c>
      <c r="I1755" s="11">
        <f>[1]!EM_S_FA_GROSSPROFITMARGIN(B1755,E1755)</f>
        <v>13.998915887600001</v>
      </c>
      <c r="J1755" s="11">
        <f>[1]!EM_S_FA_NETPROFITMARGIN(B1755,E1755)</f>
        <v>2.4648283093000001</v>
      </c>
      <c r="K1755" s="10">
        <f>[1]!EM_S_FA_ASSETSTURN(B1755,E1755)</f>
        <v>0.73834769863799998</v>
      </c>
      <c r="L1755" s="12">
        <f>[1]!EM_HKS_VAL_MV(B1755,"2019-12-31","2")</f>
        <v>2222921120</v>
      </c>
      <c r="M1755">
        <f>[1]!EM_S_VAL_PETTMDEDUCTED(B1755,E1755)</f>
        <v>62.707664726339701</v>
      </c>
      <c r="N1755" s="7">
        <f>[1]!EM_S_VAL_PBGOODWILLDEDUCTED(B1755,E1755)</f>
        <v>1.3091634732427899</v>
      </c>
      <c r="O1755" s="7">
        <f>[1]!EM_S_VAL_PS_TTM(B1755,E1755)</f>
        <v>1.2225438063114</v>
      </c>
      <c r="P1755" s="7">
        <f>[1]!EM_S_VAL_PCF_NCFTTM(B1755,E1755)</f>
        <v>47.734817669247803</v>
      </c>
      <c r="Q1755" s="7">
        <f>[1]!EM_S_VAL_DIVIDENDYIELD2(B1755,E1755,"2019-11-29")</f>
        <v>0.51020408163265307</v>
      </c>
      <c r="T1755"/>
      <c r="U1755">
        <f>[1]!EM_S_RATIO_EPS_TTM(B1755,E1755,"1")</f>
        <v>0.11632307946248674</v>
      </c>
      <c r="AT1755" s="4" t="str">
        <f>[1]!EM_S_IPO_LISTEDDATE(B1755)</f>
        <v>2009-08-28</v>
      </c>
    </row>
    <row r="1756" spans="1:46">
      <c r="A1756">
        <v>646</v>
      </c>
      <c r="B1756" t="str">
        <f>"002135"</f>
        <v>002135</v>
      </c>
      <c r="C1756" t="s">
        <v>1897</v>
      </c>
      <c r="D1756" t="str">
        <f>[1]!EM_S_INFO_INDEX_EM(B1756,"1")</f>
        <v>建筑</v>
      </c>
      <c r="E1756" s="4">
        <f t="shared" si="27"/>
        <v>43465</v>
      </c>
      <c r="F1756" s="11">
        <f>[1]!EM_S_PQ_PCTCHANGE(B1756,"2018-01-01","2019-12-31","3")</f>
        <v>-23.928672330000001</v>
      </c>
      <c r="G1756" s="11">
        <f>[1]!EM_S_PQ_PCTCHANGE(B1756,"2018-12-31","2019-12-30","1")</f>
        <v>9.6774193499999992</v>
      </c>
      <c r="H1756" s="11">
        <f>[1]!EM_S_FA_YOY_OR(B1756,E1756)</f>
        <v>11.59094198</v>
      </c>
      <c r="I1756" s="11">
        <f>[1]!EM_S_FA_GROSSPROFITMARGIN(B1756,E1756)</f>
        <v>10.760478471200001</v>
      </c>
      <c r="J1756" s="11">
        <f>[1]!EM_S_FA_NETPROFITMARGIN(B1756,E1756)</f>
        <v>2.0843313751000001</v>
      </c>
      <c r="K1756" s="10">
        <f>[1]!EM_S_FA_ASSETSTURN(B1756,E1756)</f>
        <v>0.85194467377799998</v>
      </c>
      <c r="L1756" s="12">
        <f>[1]!EM_HKS_VAL_MV(B1756,"2019-12-31","2")</f>
        <v>5637491990</v>
      </c>
      <c r="M1756">
        <f>[1]!EM_S_VAL_PETTMDEDUCTED(B1756,E1756)</f>
        <v>32.577052098147703</v>
      </c>
      <c r="N1756" s="7">
        <f>[1]!EM_S_VAL_PBGOODWILLDEDUCTED(B1756,E1756)</f>
        <v>1.2720662227428701</v>
      </c>
      <c r="O1756" s="7">
        <f>[1]!EM_S_VAL_PS_TTM(B1756,E1756)</f>
        <v>0.59688526301728095</v>
      </c>
      <c r="P1756" s="7">
        <f>[1]!EM_S_VAL_PCF_NCFTTM(B1756,E1756)</f>
        <v>-9.7080190581620496</v>
      </c>
      <c r="Q1756" s="7">
        <f>[1]!EM_S_VAL_DIVIDENDYIELD2(B1756,E1756,"2019-11-29")</f>
        <v>0.32692307692307693</v>
      </c>
      <c r="T1756"/>
      <c r="U1756">
        <f>[1]!EM_S_RATIO_EPS_TTM(B1756,E1756,"1")</f>
        <v>0.16504054939171628</v>
      </c>
      <c r="AT1756" s="4" t="str">
        <f>[1]!EM_S_IPO_LISTEDDATE(B1756)</f>
        <v>2007-05-30</v>
      </c>
    </row>
    <row r="1757" spans="1:46">
      <c r="A1757">
        <v>3350</v>
      </c>
      <c r="B1757" t="str">
        <f>"603311"</f>
        <v>603311</v>
      </c>
      <c r="C1757" t="s">
        <v>885</v>
      </c>
      <c r="D1757" t="str">
        <f>[1]!EM_S_INFO_INDEX_EM(B1757,"1")</f>
        <v>机械设备</v>
      </c>
      <c r="E1757" s="4">
        <f t="shared" si="27"/>
        <v>43465</v>
      </c>
      <c r="F1757" s="11">
        <f>[1]!EM_S_PQ_PCTCHANGE(B1757,"2018-01-01","2019-12-31","3")</f>
        <v>-27.539324969999999</v>
      </c>
      <c r="G1757" s="11">
        <f>[1]!EM_S_PQ_PCTCHANGE(B1757,"2018-12-31","2019-12-30","1")</f>
        <v>9.6742349500000007</v>
      </c>
      <c r="H1757" s="11">
        <f>[1]!EM_S_FA_YOY_OR(B1757,E1757)</f>
        <v>8.2617082229999994</v>
      </c>
      <c r="I1757" s="11">
        <f>[1]!EM_S_FA_GROSSPROFITMARGIN(B1757,E1757)</f>
        <v>31.1592714644</v>
      </c>
      <c r="J1757" s="11">
        <f>[1]!EM_S_FA_NETPROFITMARGIN(B1757,E1757)</f>
        <v>11.507933915200001</v>
      </c>
      <c r="K1757" s="10">
        <f>[1]!EM_S_FA_ASSETSTURN(B1757,E1757)</f>
        <v>0.59145961752499998</v>
      </c>
      <c r="L1757" s="12">
        <f>[1]!EM_HKS_VAL_MV(B1757,"2019-12-31","2")</f>
        <v>2347800000</v>
      </c>
      <c r="M1757">
        <f>[1]!EM_S_VAL_PETTMDEDUCTED(B1757,E1757)</f>
        <v>31.373539038662599</v>
      </c>
      <c r="N1757" s="7">
        <f>[1]!EM_S_VAL_PBGOODWILLDEDUCTED(B1757,E1757)</f>
        <v>2.82336712229819</v>
      </c>
      <c r="O1757" s="7">
        <f>[1]!EM_S_VAL_PS_TTM(B1757,E1757)</f>
        <v>3.8699746609564198</v>
      </c>
      <c r="P1757" s="7">
        <f>[1]!EM_S_VAL_PCF_NCFTTM(B1757,E1757)</f>
        <v>-17.403214544887099</v>
      </c>
      <c r="Q1757" s="7">
        <f>[1]!EM_S_VAL_DIVIDENDYIELD2(B1757,E1757,"2019-11-29")</f>
        <v>1.3501350135013501</v>
      </c>
      <c r="T1757"/>
      <c r="U1757">
        <f>[1]!EM_S_RATIO_EPS_TTM(B1757,E1757,"1")</f>
        <v>0.30972840204761903</v>
      </c>
      <c r="AT1757" s="4" t="str">
        <f>[1]!EM_S_IPO_LISTEDDATE(B1757)</f>
        <v>2015-05-18</v>
      </c>
    </row>
    <row r="1758" spans="1:46">
      <c r="A1758">
        <v>1074</v>
      </c>
      <c r="B1758" t="str">
        <f>"002563"</f>
        <v>002563</v>
      </c>
      <c r="C1758" t="s">
        <v>790</v>
      </c>
      <c r="D1758" t="str">
        <f>[1]!EM_S_INFO_INDEX_EM(B1758,"1")</f>
        <v>纺织服装</v>
      </c>
      <c r="E1758" s="4">
        <f t="shared" si="27"/>
        <v>43465</v>
      </c>
      <c r="F1758" s="11">
        <f>[1]!EM_S_PQ_PCTCHANGE(B1758,"2018-01-01","2019-12-31","3")</f>
        <v>32.197177430000004</v>
      </c>
      <c r="G1758" s="11">
        <f>[1]!EM_S_PQ_PCTCHANGE(B1758,"2018-12-31","2019-12-30","1")</f>
        <v>9.64125561</v>
      </c>
      <c r="H1758" s="11">
        <f>[1]!EM_S_FA_YOY_OR(B1758,E1758)</f>
        <v>30.706297732300001</v>
      </c>
      <c r="I1758" s="11">
        <f>[1]!EM_S_FA_GROSSPROFITMARGIN(B1758,E1758)</f>
        <v>39.781301692</v>
      </c>
      <c r="J1758" s="11">
        <f>[1]!EM_S_FA_NETPROFITMARGIN(B1758,E1758)</f>
        <v>10.697493812999999</v>
      </c>
      <c r="K1758" s="10">
        <f>[1]!EM_S_FA_ASSETSTURN(B1758,E1758)</f>
        <v>1.0406256627120001</v>
      </c>
      <c r="L1758" s="12">
        <f>[1]!EM_HKS_VAL_MV(B1758,"2019-12-31","2")</f>
        <v>26634551307</v>
      </c>
      <c r="M1758">
        <f>[1]!EM_S_VAL_PETTMDEDUCTED(B1758,E1758)</f>
        <v>18.9207182016183</v>
      </c>
      <c r="N1758" s="7">
        <f>[1]!EM_S_VAL_PBGOODWILLDEDUCTED(B1758,E1758)</f>
        <v>2.1606854800303901</v>
      </c>
      <c r="O1758" s="7">
        <f>[1]!EM_S_VAL_PS_TTM(B1758,E1758)</f>
        <v>1.7516974136990799</v>
      </c>
      <c r="P1758" s="7">
        <f>[1]!EM_S_VAL_PCF_NCFTTM(B1758,E1758)</f>
        <v>33.076870570815601</v>
      </c>
      <c r="Q1758" s="7">
        <f>[1]!EM_S_VAL_DIVIDENDYIELD2(B1758,E1758,"2019-11-29")</f>
        <v>3.7331568705304892</v>
      </c>
      <c r="T1758"/>
      <c r="U1758">
        <f>[1]!EM_S_RATIO_EPS_TTM(B1758,E1758,"1")</f>
        <v>0.62730518158116844</v>
      </c>
      <c r="AT1758" s="4" t="str">
        <f>[1]!EM_S_IPO_LISTEDDATE(B1758)</f>
        <v>2011-03-11</v>
      </c>
    </row>
    <row r="1759" spans="1:46">
      <c r="A1759">
        <v>1381</v>
      </c>
      <c r="B1759" t="str">
        <f>"002882"</f>
        <v>002882</v>
      </c>
      <c r="C1759" t="s">
        <v>746</v>
      </c>
      <c r="D1759" t="str">
        <f>[1]!EM_S_INFO_INDEX_EM(B1759,"1")</f>
        <v>电气设备</v>
      </c>
      <c r="E1759" s="4">
        <f t="shared" si="27"/>
        <v>43465</v>
      </c>
      <c r="F1759" s="11">
        <f>[1]!EM_S_PQ_PCTCHANGE(B1759,"2018-01-01","2019-12-31","3")</f>
        <v>-20.36403778</v>
      </c>
      <c r="G1759" s="11">
        <f>[1]!EM_S_PQ_PCTCHANGE(B1759,"2018-12-31","2019-12-30","1")</f>
        <v>9.6410256400000005</v>
      </c>
      <c r="H1759" s="11">
        <f>[1]!EM_S_FA_YOY_OR(B1759,E1759)</f>
        <v>40.278002858599997</v>
      </c>
      <c r="I1759" s="11">
        <f>[1]!EM_S_FA_GROSSPROFITMARGIN(B1759,E1759)</f>
        <v>15.910073521399999</v>
      </c>
      <c r="J1759" s="11">
        <f>[1]!EM_S_FA_NETPROFITMARGIN(B1759,E1759)</f>
        <v>7.3195840267000003</v>
      </c>
      <c r="K1759" s="10">
        <f>[1]!EM_S_FA_ASSETSTURN(B1759,E1759)</f>
        <v>1.668568202056</v>
      </c>
      <c r="L1759" s="12">
        <f>[1]!EM_HKS_VAL_MV(B1759,"2019-12-31","2")</f>
        <v>4614714000</v>
      </c>
      <c r="M1759">
        <f>[1]!EM_S_VAL_PETTMDEDUCTED(B1759,E1759)</f>
        <v>17.613419194265699</v>
      </c>
      <c r="N1759" s="7">
        <f>[1]!EM_S_VAL_PBGOODWILLDEDUCTED(B1759,E1759)</f>
        <v>2.64337540396077</v>
      </c>
      <c r="O1759" s="7">
        <f>[1]!EM_S_VAL_PS_TTM(B1759,E1759)</f>
        <v>1.34396797704764</v>
      </c>
      <c r="P1759" s="7">
        <f>[1]!EM_S_VAL_PCF_NCFTTM(B1759,E1759)</f>
        <v>41.796446662338703</v>
      </c>
      <c r="Q1759" s="7">
        <f>[1]!EM_S_VAL_DIVIDENDYIELD2(B1759,E1759,"2019-11-29")</f>
        <v>1.513622603430878</v>
      </c>
      <c r="T1759"/>
      <c r="U1759">
        <f>[1]!EM_S_RATIO_EPS_TTM(B1759,E1759,"1")</f>
        <v>0.56108019434049428</v>
      </c>
      <c r="AT1759" s="4" t="str">
        <f>[1]!EM_S_IPO_LISTEDDATE(B1759)</f>
        <v>2017-07-17</v>
      </c>
    </row>
    <row r="1760" spans="1:46">
      <c r="A1760">
        <v>836</v>
      </c>
      <c r="B1760" t="str">
        <f>"002325"</f>
        <v>002325</v>
      </c>
      <c r="C1760" t="s">
        <v>1736</v>
      </c>
      <c r="D1760" t="str">
        <f>[1]!EM_S_INFO_INDEX_EM(B1760,"1")</f>
        <v>建筑</v>
      </c>
      <c r="E1760" s="4">
        <f t="shared" si="27"/>
        <v>43465</v>
      </c>
      <c r="F1760" s="11">
        <f>[1]!EM_S_PQ_PCTCHANGE(B1760,"2018-01-01","2019-12-31","3")</f>
        <v>-32.103726899999998</v>
      </c>
      <c r="G1760" s="11">
        <f>[1]!EM_S_PQ_PCTCHANGE(B1760,"2018-12-31","2019-12-30","1")</f>
        <v>9.6219931299999999</v>
      </c>
      <c r="H1760" s="11">
        <f>[1]!EM_S_FA_YOY_OR(B1760,E1760)</f>
        <v>17.859907176099998</v>
      </c>
      <c r="I1760" s="11">
        <f>[1]!EM_S_FA_GROSSPROFITMARGIN(B1760,E1760)</f>
        <v>20.207149184999999</v>
      </c>
      <c r="J1760" s="11">
        <f>[1]!EM_S_FA_NETPROFITMARGIN(B1760,E1760)</f>
        <v>-10.668334656300001</v>
      </c>
      <c r="K1760" s="10">
        <f>[1]!EM_S_FA_ASSETSTURN(B1760,E1760)</f>
        <v>0.34029087102599997</v>
      </c>
      <c r="L1760" s="12">
        <f>[1]!EM_HKS_VAL_MV(B1760,"2019-12-31","2")</f>
        <v>4010708887.4099998</v>
      </c>
      <c r="M1760">
        <f>[1]!EM_S_VAL_PETTMDEDUCTED(B1760,E1760)</f>
        <v>69.191193450644306</v>
      </c>
      <c r="N1760" s="7">
        <f>[1]!EM_S_VAL_PBGOODWILLDEDUCTED(B1760,E1760)</f>
        <v>1.2785635280627099</v>
      </c>
      <c r="O1760" s="7">
        <f>[1]!EM_S_VAL_PS_TTM(B1760,E1760)</f>
        <v>0.94904889297124395</v>
      </c>
      <c r="P1760" s="7">
        <f>[1]!EM_S_VAL_PCF_NCFTTM(B1760,E1760)</f>
        <v>-19.5753155885699</v>
      </c>
      <c r="Q1760" s="7">
        <f>[1]!EM_S_VAL_DIVIDENDYIELD2(B1760,E1760,"2019-11-29")</f>
        <v>0.32467532467532467</v>
      </c>
      <c r="T1760"/>
      <c r="U1760">
        <f>[1]!EM_S_RATIO_EPS_TTM(B1760,E1760,"1")</f>
        <v>-0.33771748535006091</v>
      </c>
      <c r="AT1760" s="4" t="str">
        <f>[1]!EM_S_IPO_LISTEDDATE(B1760)</f>
        <v>2009-12-22</v>
      </c>
    </row>
    <row r="1761" spans="1:46">
      <c r="A1761">
        <v>2834</v>
      </c>
      <c r="B1761" t="str">
        <f>"600761"</f>
        <v>600761</v>
      </c>
      <c r="C1761" t="s">
        <v>820</v>
      </c>
      <c r="D1761" t="str">
        <f>[1]!EM_S_INFO_INDEX_EM(B1761,"1")</f>
        <v>机械设备</v>
      </c>
      <c r="E1761" s="4">
        <f t="shared" si="27"/>
        <v>43465</v>
      </c>
      <c r="F1761" s="11">
        <f>[1]!EM_S_PQ_PCTCHANGE(B1761,"2018-01-01","2019-12-31","3")</f>
        <v>0.87648017</v>
      </c>
      <c r="G1761" s="11">
        <f>[1]!EM_S_PQ_PCTCHANGE(B1761,"2018-12-31","2019-12-30","1")</f>
        <v>9.6</v>
      </c>
      <c r="H1761" s="11">
        <f>[1]!EM_S_FA_YOY_OR(B1761,E1761)</f>
        <v>13.8220854146</v>
      </c>
      <c r="I1761" s="11">
        <f>[1]!EM_S_FA_GROSSPROFITMARGIN(B1761,E1761)</f>
        <v>20.3107819813</v>
      </c>
      <c r="J1761" s="11">
        <f>[1]!EM_S_FA_NETPROFITMARGIN(B1761,E1761)</f>
        <v>7.3624640265999997</v>
      </c>
      <c r="K1761" s="10">
        <f>[1]!EM_S_FA_ASSETSTURN(B1761,E1761)</f>
        <v>1.33079840299</v>
      </c>
      <c r="L1761" s="12">
        <f>[1]!EM_HKS_VAL_MV(B1761,"2019-12-31","2")</f>
        <v>7201959203.46</v>
      </c>
      <c r="M1761">
        <f>[1]!EM_S_VAL_PETTMDEDUCTED(B1761,E1761)</f>
        <v>15.5265356256703</v>
      </c>
      <c r="N1761" s="7">
        <f>[1]!EM_S_VAL_PBGOODWILLDEDUCTED(B1761,E1761)</f>
        <v>1.41366671025832</v>
      </c>
      <c r="O1761" s="7">
        <f>[1]!EM_S_VAL_PS_TTM(B1761,E1761)</f>
        <v>0.68245664423937002</v>
      </c>
      <c r="P1761" s="7">
        <f>[1]!EM_S_VAL_PCF_NCFTTM(B1761,E1761)</f>
        <v>-54.5317696381397</v>
      </c>
      <c r="Q1761" s="7">
        <f>[1]!EM_S_VAL_DIVIDENDYIELD2(B1761,E1761,"2019-11-29")</f>
        <v>3.914988814317673</v>
      </c>
      <c r="T1761"/>
      <c r="U1761">
        <f>[1]!EM_S_RATIO_EPS_TTM(B1761,E1761,"1")</f>
        <v>0.78716085676050807</v>
      </c>
      <c r="AT1761" s="4" t="str">
        <f>[1]!EM_S_IPO_LISTEDDATE(B1761)</f>
        <v>1996-10-09</v>
      </c>
    </row>
    <row r="1762" spans="1:46">
      <c r="A1762">
        <v>2878</v>
      </c>
      <c r="B1762" t="str">
        <f>"600805"</f>
        <v>600805</v>
      </c>
      <c r="C1762" t="s">
        <v>2546</v>
      </c>
      <c r="D1762" t="str">
        <f>[1]!EM_S_INFO_INDEX_EM(B1762,"1")</f>
        <v>综合</v>
      </c>
      <c r="E1762" s="4">
        <f t="shared" si="27"/>
        <v>43465</v>
      </c>
      <c r="F1762" s="11">
        <f>[1]!EM_S_PQ_PCTCHANGE(B1762,"2018-01-01","2019-12-31","3")</f>
        <v>-16.885245900000001</v>
      </c>
      <c r="G1762" s="11">
        <f>[1]!EM_S_PQ_PCTCHANGE(B1762,"2018-12-31","2019-12-30","1")</f>
        <v>9.5652173900000008</v>
      </c>
      <c r="H1762" s="11">
        <f>[1]!EM_S_FA_YOY_OR(B1762,E1762)</f>
        <v>23.8845950151</v>
      </c>
      <c r="I1762" s="11">
        <f>[1]!EM_S_FA_GROSSPROFITMARGIN(B1762,E1762)</f>
        <v>14.8487562606</v>
      </c>
      <c r="J1762" s="11">
        <f>[1]!EM_S_FA_NETPROFITMARGIN(B1762,E1762)</f>
        <v>2.2587618577000002</v>
      </c>
      <c r="K1762" s="10">
        <f>[1]!EM_S_FA_ASSETSTURN(B1762,E1762)</f>
        <v>0.20490147774699999</v>
      </c>
      <c r="L1762" s="12">
        <f>[1]!EM_HKS_VAL_MV(B1762,"2019-12-31","2")</f>
        <v>4314035084.5799999</v>
      </c>
      <c r="M1762">
        <f>[1]!EM_S_VAL_PETTMDEDUCTED(B1762,E1762)</f>
        <v>84.162983587703707</v>
      </c>
      <c r="N1762" s="7">
        <f>[1]!EM_S_VAL_PBGOODWILLDEDUCTED(B1762,E1762)</f>
        <v>0.64696066070889802</v>
      </c>
      <c r="O1762" s="7">
        <f>[1]!EM_S_VAL_PS_TTM(B1762,E1762)</f>
        <v>2.0804454955423202</v>
      </c>
      <c r="P1762" s="7">
        <f>[1]!EM_S_VAL_PCF_NCFTTM(B1762,E1762)</f>
        <v>-19.905624016278399</v>
      </c>
      <c r="Q1762" s="7">
        <f>[1]!EM_S_VAL_DIVIDENDYIELD2(B1762,E1762,"2019-11-29")</f>
        <v>0</v>
      </c>
      <c r="T1762"/>
      <c r="U1762">
        <f>[1]!EM_S_RATIO_EPS_TTM(B1762,E1762,"1")</f>
        <v>9.5510008541670036E-2</v>
      </c>
      <c r="AT1762" s="4" t="str">
        <f>[1]!EM_S_IPO_LISTEDDATE(B1762)</f>
        <v>1994-01-03</v>
      </c>
    </row>
    <row r="1763" spans="1:46">
      <c r="A1763">
        <v>1057</v>
      </c>
      <c r="B1763" t="str">
        <f>"002546"</f>
        <v>002546</v>
      </c>
      <c r="C1763" t="s">
        <v>2359</v>
      </c>
      <c r="D1763" t="str">
        <f>[1]!EM_S_INFO_INDEX_EM(B1763,"1")</f>
        <v>电气设备</v>
      </c>
      <c r="E1763" s="4">
        <f t="shared" si="27"/>
        <v>43465</v>
      </c>
      <c r="F1763" s="11">
        <f>[1]!EM_S_PQ_PCTCHANGE(B1763,"2018-01-01","2019-12-31","3")</f>
        <v>-13.95934394</v>
      </c>
      <c r="G1763" s="11">
        <f>[1]!EM_S_PQ_PCTCHANGE(B1763,"2018-12-31","2019-12-30","1")</f>
        <v>9.5490716199999994</v>
      </c>
      <c r="H1763" s="11">
        <f>[1]!EM_S_FA_YOY_OR(B1763,E1763)</f>
        <v>13.792835205599999</v>
      </c>
      <c r="I1763" s="11">
        <f>[1]!EM_S_FA_GROSSPROFITMARGIN(B1763,E1763)</f>
        <v>30.710761959500001</v>
      </c>
      <c r="J1763" s="11">
        <f>[1]!EM_S_FA_NETPROFITMARGIN(B1763,E1763)</f>
        <v>22.0518641886</v>
      </c>
      <c r="K1763" s="10">
        <f>[1]!EM_S_FA_ASSETSTURN(B1763,E1763)</f>
        <v>0.208766148964</v>
      </c>
      <c r="L1763" s="12">
        <f>[1]!EM_HKS_VAL_MV(B1763,"2019-12-31","2")</f>
        <v>3461303748.4000001</v>
      </c>
      <c r="M1763">
        <f>[1]!EM_S_VAL_PETTMDEDUCTED(B1763,E1763)</f>
        <v>46.681790556726099</v>
      </c>
      <c r="N1763" s="7">
        <f>[1]!EM_S_VAL_PBGOODWILLDEDUCTED(B1763,E1763)</f>
        <v>1.08287982565372</v>
      </c>
      <c r="O1763" s="7">
        <f>[1]!EM_S_VAL_PS_TTM(B1763,E1763)</f>
        <v>4.47106902291039</v>
      </c>
      <c r="P1763" s="7">
        <f>[1]!EM_S_VAL_PCF_NCFTTM(B1763,E1763)</f>
        <v>-33.1262581135814</v>
      </c>
      <c r="Q1763" s="7">
        <f>[1]!EM_S_VAL_DIVIDENDYIELD2(B1763,E1763,"2019-11-29")</f>
        <v>3.0303030303030303</v>
      </c>
      <c r="T1763"/>
      <c r="U1763">
        <f>[1]!EM_S_RATIO_EPS_TTM(B1763,E1763,"1")</f>
        <v>0.18731420072182417</v>
      </c>
      <c r="AT1763" s="4" t="str">
        <f>[1]!EM_S_IPO_LISTEDDATE(B1763)</f>
        <v>2011-02-11</v>
      </c>
    </row>
    <row r="1764" spans="1:46">
      <c r="A1764">
        <v>2809</v>
      </c>
      <c r="B1764" t="str">
        <f>"600736"</f>
        <v>600736</v>
      </c>
      <c r="C1764" t="s">
        <v>1432</v>
      </c>
      <c r="D1764" t="str">
        <f>[1]!EM_S_INFO_INDEX_EM(B1764,"1")</f>
        <v>房地产</v>
      </c>
      <c r="E1764" s="4">
        <f t="shared" si="27"/>
        <v>43465</v>
      </c>
      <c r="F1764" s="11">
        <f>[1]!EM_S_PQ_PCTCHANGE(B1764,"2018-01-01","2019-12-31","3")</f>
        <v>0.70455782</v>
      </c>
      <c r="G1764" s="11">
        <f>[1]!EM_S_PQ_PCTCHANGE(B1764,"2018-12-31","2019-12-30","1")</f>
        <v>9.5057034199999997</v>
      </c>
      <c r="H1764" s="11">
        <f>[1]!EM_S_FA_YOY_OR(B1764,E1764)</f>
        <v>16.6442753613</v>
      </c>
      <c r="I1764" s="11">
        <f>[1]!EM_S_FA_GROSSPROFITMARGIN(B1764,E1764)</f>
        <v>34.098127593100003</v>
      </c>
      <c r="J1764" s="11">
        <f>[1]!EM_S_FA_NETPROFITMARGIN(B1764,E1764)</f>
        <v>14.759662738099999</v>
      </c>
      <c r="K1764" s="10">
        <f>[1]!EM_S_FA_ASSETSTURN(B1764,E1764)</f>
        <v>0.22953582249400001</v>
      </c>
      <c r="L1764" s="12">
        <f>[1]!EM_HKS_VAL_MV(B1764,"2019-12-31","2")</f>
        <v>6712037647.8100004</v>
      </c>
      <c r="M1764">
        <f>[1]!EM_S_VAL_PETTMDEDUCTED(B1764,E1764)</f>
        <v>16.184612384687</v>
      </c>
      <c r="N1764" s="7">
        <f>[1]!EM_S_VAL_PBGOODWILLDEDUCTED(B1764,E1764)</f>
        <v>1.0278943774137901</v>
      </c>
      <c r="O1764" s="7">
        <f>[1]!EM_S_VAL_PS_TTM(B1764,E1764)</f>
        <v>0.79465517711598199</v>
      </c>
      <c r="P1764" s="7">
        <f>[1]!EM_S_VAL_PCF_NCFTTM(B1764,E1764)</f>
        <v>132.86991013912399</v>
      </c>
      <c r="Q1764" s="7">
        <f>[1]!EM_S_VAL_DIVIDENDYIELD2(B1764,E1764,"2019-11-29")</f>
        <v>0</v>
      </c>
      <c r="T1764"/>
      <c r="U1764">
        <f>[1]!EM_S_RATIO_EPS_TTM(B1764,E1764,"1")</f>
        <v>0.53099565390616965</v>
      </c>
      <c r="AT1764" s="4" t="str">
        <f>[1]!EM_S_IPO_LISTEDDATE(B1764)</f>
        <v>1996-08-15</v>
      </c>
    </row>
    <row r="1765" spans="1:46">
      <c r="A1765">
        <v>2610</v>
      </c>
      <c r="B1765" t="str">
        <f>"600530"</f>
        <v>600530</v>
      </c>
      <c r="C1765" t="s">
        <v>1436</v>
      </c>
      <c r="D1765" t="str">
        <f>[1]!EM_S_INFO_INDEX_EM(B1765,"1")</f>
        <v>医药生物</v>
      </c>
      <c r="E1765" s="4">
        <f t="shared" si="27"/>
        <v>43465</v>
      </c>
      <c r="F1765" s="11">
        <f>[1]!EM_S_PQ_PCTCHANGE(B1765,"2018-01-01","2019-12-31","3")</f>
        <v>-32.494198709999999</v>
      </c>
      <c r="G1765" s="11">
        <f>[1]!EM_S_PQ_PCTCHANGE(B1765,"2018-12-31","2019-12-30","1")</f>
        <v>9.5022624400000009</v>
      </c>
      <c r="H1765" s="11">
        <f>[1]!EM_S_FA_YOY_OR(B1765,E1765)</f>
        <v>-7.7466998477000004</v>
      </c>
      <c r="I1765" s="11">
        <f>[1]!EM_S_FA_GROSSPROFITMARGIN(B1765,E1765)</f>
        <v>56.928170964700001</v>
      </c>
      <c r="J1765" s="11">
        <f>[1]!EM_S_FA_NETPROFITMARGIN(B1765,E1765)</f>
        <v>-211.0245509099</v>
      </c>
      <c r="K1765" s="10">
        <f>[1]!EM_S_FA_ASSETSTURN(B1765,E1765)</f>
        <v>0.14078992877999999</v>
      </c>
      <c r="L1765" s="12">
        <f>[1]!EM_HKS_VAL_MV(B1765,"2019-12-31","2")</f>
        <v>3837600000</v>
      </c>
      <c r="M1765">
        <f>[1]!EM_S_VAL_PETTMDEDUCTED(B1765,E1765)</f>
        <v>75.666155978128302</v>
      </c>
      <c r="N1765" s="7">
        <f>[1]!EM_S_VAL_PBGOODWILLDEDUCTED(B1765,E1765)</f>
        <v>3.8169527728013901</v>
      </c>
      <c r="O1765" s="7">
        <f>[1]!EM_S_VAL_PS_TTM(B1765,E1765)</f>
        <v>12.488092561543301</v>
      </c>
      <c r="P1765" s="7">
        <f>[1]!EM_S_VAL_PCF_NCFTTM(B1765,E1765)</f>
        <v>-117.56511908962599</v>
      </c>
      <c r="Q1765" s="7">
        <f>[1]!EM_S_VAL_DIVIDENDYIELD2(B1765,E1765,"2019-11-29")</f>
        <v>0</v>
      </c>
      <c r="T1765"/>
      <c r="U1765">
        <f>[1]!EM_S_RATIO_EPS_TTM(B1765,E1765,"1")</f>
        <v>-0.64876810708974353</v>
      </c>
      <c r="AT1765" s="4" t="str">
        <f>[1]!EM_S_IPO_LISTEDDATE(B1765)</f>
        <v>2001-07-02</v>
      </c>
    </row>
    <row r="1766" spans="1:46">
      <c r="A1766">
        <v>2927</v>
      </c>
      <c r="B1766" t="str">
        <f>"600854"</f>
        <v>600854</v>
      </c>
      <c r="C1766" t="s">
        <v>1921</v>
      </c>
      <c r="D1766" t="str">
        <f>[1]!EM_S_INFO_INDEX_EM(B1766,"1")</f>
        <v>家电</v>
      </c>
      <c r="E1766" s="4">
        <f t="shared" si="27"/>
        <v>43465</v>
      </c>
      <c r="F1766" s="11">
        <f>[1]!EM_S_PQ_PCTCHANGE(B1766,"2018-01-01","2019-12-31","3")</f>
        <v>-30.254212540000001</v>
      </c>
      <c r="G1766" s="11">
        <f>[1]!EM_S_PQ_PCTCHANGE(B1766,"2018-12-31","2019-12-30","1")</f>
        <v>9.4827586200000002</v>
      </c>
      <c r="H1766" s="11">
        <f>[1]!EM_S_FA_YOY_OR(B1766,E1766)</f>
        <v>-19.401423151199999</v>
      </c>
      <c r="I1766" s="11">
        <f>[1]!EM_S_FA_GROSSPROFITMARGIN(B1766,E1766)</f>
        <v>26.004256849099999</v>
      </c>
      <c r="J1766" s="11">
        <f>[1]!EM_S_FA_NETPROFITMARGIN(B1766,E1766)</f>
        <v>2.4077341995000001</v>
      </c>
      <c r="K1766" s="10">
        <f>[1]!EM_S_FA_ASSETSTURN(B1766,E1766)</f>
        <v>0.27795801328199998</v>
      </c>
      <c r="L1766" s="12">
        <f>[1]!EM_HKS_VAL_MV(B1766,"2019-12-31","2")</f>
        <v>1979137029.78</v>
      </c>
      <c r="M1766">
        <f>[1]!EM_S_VAL_PETTMDEDUCTED(B1766,E1766)</f>
        <v>27.545986722111099</v>
      </c>
      <c r="N1766" s="7">
        <f>[1]!EM_S_VAL_PBGOODWILLDEDUCTED(B1766,E1766)</f>
        <v>0.91176716251956103</v>
      </c>
      <c r="O1766" s="7">
        <f>[1]!EM_S_VAL_PS_TTM(B1766,E1766)</f>
        <v>1.86881339071109</v>
      </c>
      <c r="P1766" s="7">
        <f>[1]!EM_S_VAL_PCF_NCFTTM(B1766,E1766)</f>
        <v>-913.17653962211398</v>
      </c>
      <c r="Q1766" s="7">
        <f>[1]!EM_S_VAL_DIVIDENDYIELD2(B1766,E1766,"2019-11-29")</f>
        <v>1.6483516483516485</v>
      </c>
      <c r="T1766"/>
      <c r="U1766">
        <f>[1]!EM_S_RATIO_EPS_TTM(B1766,E1766,"1")</f>
        <v>7.8599650199608434E-2</v>
      </c>
      <c r="AT1766" s="4" t="str">
        <f>[1]!EM_S_IPO_LISTEDDATE(B1766)</f>
        <v>1994-04-25</v>
      </c>
    </row>
    <row r="1767" spans="1:46">
      <c r="A1767">
        <v>267</v>
      </c>
      <c r="B1767" t="str">
        <f>"000680"</f>
        <v>000680</v>
      </c>
      <c r="C1767" t="s">
        <v>1992</v>
      </c>
      <c r="D1767" t="str">
        <f>[1]!EM_S_INFO_INDEX_EM(B1767,"1")</f>
        <v>机械设备</v>
      </c>
      <c r="E1767" s="4">
        <f t="shared" si="27"/>
        <v>43465</v>
      </c>
      <c r="F1767" s="11">
        <f>[1]!EM_S_PQ_PCTCHANGE(B1767,"2018-01-01","2019-12-31","3")</f>
        <v>-27.930418299999999</v>
      </c>
      <c r="G1767" s="11">
        <f>[1]!EM_S_PQ_PCTCHANGE(B1767,"2018-12-31","2019-12-30","1")</f>
        <v>9.4801223199999995</v>
      </c>
      <c r="H1767" s="11">
        <f>[1]!EM_S_FA_YOY_OR(B1767,E1767)</f>
        <v>25.995567373</v>
      </c>
      <c r="I1767" s="11">
        <f>[1]!EM_S_FA_GROSSPROFITMARGIN(B1767,E1767)</f>
        <v>15.961306695499999</v>
      </c>
      <c r="J1767" s="11">
        <f>[1]!EM_S_FA_NETPROFITMARGIN(B1767,E1767)</f>
        <v>1.0627119216000001</v>
      </c>
      <c r="K1767" s="10">
        <f>[1]!EM_S_FA_ASSETSTURN(B1767,E1767)</f>
        <v>0.84527292709599999</v>
      </c>
      <c r="L1767" s="12">
        <f>[1]!EM_HKS_VAL_MV(B1767,"2019-12-31","2")</f>
        <v>4528874780.1499996</v>
      </c>
      <c r="M1767">
        <f>[1]!EM_S_VAL_PETTMDEDUCTED(B1767,E1767)</f>
        <v>387.02734756490599</v>
      </c>
      <c r="N1767" s="7">
        <f>[1]!EM_S_VAL_PBGOODWILLDEDUCTED(B1767,E1767)</f>
        <v>1.2087176114315801</v>
      </c>
      <c r="O1767" s="7">
        <f>[1]!EM_S_VAL_PS_TTM(B1767,E1767)</f>
        <v>0.53117610548150695</v>
      </c>
      <c r="P1767" s="7">
        <f>[1]!EM_S_VAL_PCF_NCFTTM(B1767,E1767)</f>
        <v>-56.047917275005503</v>
      </c>
      <c r="Q1767" s="7">
        <f>[1]!EM_S_VAL_DIVIDENDYIELD2(B1767,E1767,"2019-11-29")</f>
        <v>0.59171597633136097</v>
      </c>
      <c r="T1767"/>
      <c r="U1767">
        <f>[1]!EM_S_RATIO_EPS_TTM(B1767,E1767,"1")</f>
        <v>6.4856470177956996E-2</v>
      </c>
      <c r="AT1767" s="4" t="str">
        <f>[1]!EM_S_IPO_LISTEDDATE(B1767)</f>
        <v>1997-01-22</v>
      </c>
    </row>
    <row r="1768" spans="1:46">
      <c r="A1768">
        <v>1100</v>
      </c>
      <c r="B1768" t="str">
        <f>"002589"</f>
        <v>002589</v>
      </c>
      <c r="C1768" t="s">
        <v>609</v>
      </c>
      <c r="D1768" t="str">
        <f>[1]!EM_S_INFO_INDEX_EM(B1768,"1")</f>
        <v>医药生物</v>
      </c>
      <c r="E1768" s="4">
        <f t="shared" si="27"/>
        <v>43465</v>
      </c>
      <c r="F1768" s="11">
        <f>[1]!EM_S_PQ_PCTCHANGE(B1768,"2018-01-01","2019-12-31","3")</f>
        <v>-42.155459860000001</v>
      </c>
      <c r="G1768" s="11">
        <f>[1]!EM_S_PQ_PCTCHANGE(B1768,"2018-12-31","2019-12-30","1")</f>
        <v>9.4691535200000008</v>
      </c>
      <c r="H1768" s="11">
        <f>[1]!EM_S_FA_YOY_OR(B1768,E1768)</f>
        <v>45.6129772285</v>
      </c>
      <c r="I1768" s="11">
        <f>[1]!EM_S_FA_GROSSPROFITMARGIN(B1768,E1768)</f>
        <v>19.145538305500001</v>
      </c>
      <c r="J1768" s="11">
        <f>[1]!EM_S_FA_NETPROFITMARGIN(B1768,E1768)</f>
        <v>3.7672791238999999</v>
      </c>
      <c r="K1768" s="10">
        <f>[1]!EM_S_FA_ASSETSTURN(B1768,E1768)</f>
        <v>1.097348779367</v>
      </c>
      <c r="L1768" s="12">
        <f>[1]!EM_HKS_VAL_MV(B1768,"2019-12-31","2")</f>
        <v>11571223521.99</v>
      </c>
      <c r="M1768">
        <f>[1]!EM_S_VAL_PETTMDEDUCTED(B1768,E1768)</f>
        <v>9.6647610148098604</v>
      </c>
      <c r="N1768" s="7">
        <f>[1]!EM_S_VAL_PBGOODWILLDEDUCTED(B1768,E1768)</f>
        <v>2.0392517354177002</v>
      </c>
      <c r="O1768" s="7">
        <f>[1]!EM_S_VAL_PS_TTM(B1768,E1768)</f>
        <v>0.33618941893210802</v>
      </c>
      <c r="P1768" s="7">
        <f>[1]!EM_S_VAL_PCF_NCFTTM(B1768,E1768)</f>
        <v>34.331210984558503</v>
      </c>
      <c r="Q1768" s="7">
        <f>[1]!EM_S_VAL_DIVIDENDYIELD2(B1768,E1768,"2019-11-29")</f>
        <v>0.72222222222222232</v>
      </c>
      <c r="T1768"/>
      <c r="U1768">
        <f>[1]!EM_S_RATIO_EPS_TTM(B1768,E1768,"1")</f>
        <v>0.5174799387037694</v>
      </c>
      <c r="AT1768" s="4" t="str">
        <f>[1]!EM_S_IPO_LISTEDDATE(B1768)</f>
        <v>2011-06-10</v>
      </c>
    </row>
    <row r="1769" spans="1:46">
      <c r="A1769">
        <v>3373</v>
      </c>
      <c r="B1769" t="str">
        <f>"603355"</f>
        <v>603355</v>
      </c>
      <c r="C1769" t="s">
        <v>1212</v>
      </c>
      <c r="D1769" t="str">
        <f>[1]!EM_S_INFO_INDEX_EM(B1769,"1")</f>
        <v>家电</v>
      </c>
      <c r="E1769" s="4">
        <f t="shared" si="27"/>
        <v>43465</v>
      </c>
      <c r="F1769" s="11">
        <f>[1]!EM_S_PQ_PCTCHANGE(B1769,"2018-01-01","2019-12-31","3")</f>
        <v>-47.377518340000002</v>
      </c>
      <c r="G1769" s="11">
        <f>[1]!EM_S_PQ_PCTCHANGE(B1769,"2018-12-31","2019-12-30","1")</f>
        <v>9.4418604699999999</v>
      </c>
      <c r="H1769" s="11">
        <f>[1]!EM_S_FA_YOY_OR(B1769,E1769)</f>
        <v>2.7013634221</v>
      </c>
      <c r="I1769" s="11">
        <f>[1]!EM_S_FA_GROSSPROFITMARGIN(B1769,E1769)</f>
        <v>25.045760100300001</v>
      </c>
      <c r="J1769" s="11">
        <f>[1]!EM_S_FA_NETPROFITMARGIN(B1769,E1769)</f>
        <v>7.2107166824000002</v>
      </c>
      <c r="K1769" s="10">
        <f>[1]!EM_S_FA_ASSETSTURN(B1769,E1769)</f>
        <v>1.2163904238309999</v>
      </c>
      <c r="L1769" s="12">
        <f>[1]!EM_HKS_VAL_MV(B1769,"2019-12-31","2")</f>
        <v>9491670000</v>
      </c>
      <c r="M1769">
        <f>[1]!EM_S_VAL_PETTMDEDUCTED(B1769,E1769)</f>
        <v>20.683125839405601</v>
      </c>
      <c r="N1769" s="7">
        <f>[1]!EM_S_VAL_PBGOODWILLDEDUCTED(B1769,E1769)</f>
        <v>3.0992870078558798</v>
      </c>
      <c r="O1769" s="7">
        <f>[1]!EM_S_VAL_PS_TTM(B1769,E1769)</f>
        <v>1.44993067258429</v>
      </c>
      <c r="P1769" s="7">
        <f>[1]!EM_S_VAL_PCF_NCFTTM(B1769,E1769)</f>
        <v>68.756624483250306</v>
      </c>
      <c r="Q1769" s="7">
        <f>[1]!EM_S_VAL_DIVIDENDYIELD2(B1769,E1769,"2019-11-29")</f>
        <v>1.0352941176470591</v>
      </c>
      <c r="T1769"/>
      <c r="U1769">
        <f>[1]!EM_S_RATIO_EPS_TTM(B1769,E1769,"1")</f>
        <v>1.0549658867830425</v>
      </c>
      <c r="AT1769" s="4" t="str">
        <f>[1]!EM_S_IPO_LISTEDDATE(B1769)</f>
        <v>2015-05-13</v>
      </c>
    </row>
    <row r="1770" spans="1:46">
      <c r="A1770">
        <v>648</v>
      </c>
      <c r="B1770" t="str">
        <f>"002137"</f>
        <v>002137</v>
      </c>
      <c r="C1770" t="s">
        <v>1462</v>
      </c>
      <c r="D1770" t="str">
        <f>[1]!EM_S_INFO_INDEX_EM(B1770,"1")</f>
        <v>文化传媒</v>
      </c>
      <c r="E1770" s="4">
        <f t="shared" si="27"/>
        <v>43465</v>
      </c>
      <c r="F1770" s="11">
        <f>[1]!EM_S_PQ_PCTCHANGE(B1770,"2018-01-01","2019-12-31","3")</f>
        <v>4.1487839800000001</v>
      </c>
      <c r="G1770" s="11">
        <f>[1]!EM_S_PQ_PCTCHANGE(B1770,"2018-12-31","2019-12-30","1")</f>
        <v>9.4395280199999991</v>
      </c>
      <c r="H1770" s="11">
        <f>[1]!EM_S_FA_YOY_OR(B1770,E1770)</f>
        <v>10.6380506423</v>
      </c>
      <c r="I1770" s="11">
        <f>[1]!EM_S_FA_GROSSPROFITMARGIN(B1770,E1770)</f>
        <v>18.965912674399998</v>
      </c>
      <c r="J1770" s="11">
        <f>[1]!EM_S_FA_NETPROFITMARGIN(B1770,E1770)</f>
        <v>-35.478064569499999</v>
      </c>
      <c r="K1770" s="10">
        <f>[1]!EM_S_FA_ASSETSTURN(B1770,E1770)</f>
        <v>0.553091779058</v>
      </c>
      <c r="L1770" s="12">
        <f>[1]!EM_HKS_VAL_MV(B1770,"2019-12-31","2")</f>
        <v>4204235337.1199999</v>
      </c>
      <c r="M1770">
        <f>[1]!EM_S_VAL_PETTMDEDUCTED(B1770,E1770)</f>
        <v>134.97151360346501</v>
      </c>
      <c r="N1770" s="7">
        <f>[1]!EM_S_VAL_PBGOODWILLDEDUCTED(B1770,E1770)</f>
        <v>3.2415718789227399</v>
      </c>
      <c r="O1770" s="7">
        <f>[1]!EM_S_VAL_PS_TTM(B1770,E1770)</f>
        <v>3.5345322816058</v>
      </c>
      <c r="P1770" s="7">
        <f>[1]!EM_S_VAL_PCF_NCFTTM(B1770,E1770)</f>
        <v>-987.39256691967296</v>
      </c>
      <c r="Q1770" s="7">
        <f>[1]!EM_S_VAL_DIVIDENDYIELD2(B1770,E1770,"2019-11-29")</f>
        <v>0</v>
      </c>
      <c r="T1770"/>
      <c r="U1770">
        <f>[1]!EM_S_RATIO_EPS_TTM(B1770,E1770,"1")</f>
        <v>-0.63812668005748319</v>
      </c>
      <c r="AT1770" s="4" t="str">
        <f>[1]!EM_S_IPO_LISTEDDATE(B1770)</f>
        <v>2007-06-13</v>
      </c>
    </row>
    <row r="1771" spans="1:46">
      <c r="A1771">
        <v>2850</v>
      </c>
      <c r="B1771" t="str">
        <f>"600777"</f>
        <v>600777</v>
      </c>
      <c r="C1771" t="s">
        <v>2580</v>
      </c>
      <c r="D1771" t="str">
        <f>[1]!EM_S_INFO_INDEX_EM(B1771,"1")</f>
        <v>化石能源</v>
      </c>
      <c r="E1771" s="4">
        <f t="shared" si="27"/>
        <v>43465</v>
      </c>
      <c r="F1771" s="11">
        <f>[1]!EM_S_PQ_PCTCHANGE(B1771,"2018-01-01","2019-12-31","3")</f>
        <v>-43.243243239999998</v>
      </c>
      <c r="G1771" s="11">
        <f>[1]!EM_S_PQ_PCTCHANGE(B1771,"2018-12-31","2019-12-30","1")</f>
        <v>9.4240837699999993</v>
      </c>
      <c r="H1771" s="11">
        <f>[1]!EM_S_FA_YOY_OR(B1771,E1771)</f>
        <v>213.9857233832</v>
      </c>
      <c r="I1771" s="11">
        <f>[1]!EM_S_FA_GROSSPROFITMARGIN(B1771,E1771)</f>
        <v>55.327168499800003</v>
      </c>
      <c r="J1771" s="11">
        <f>[1]!EM_S_FA_NETPROFITMARGIN(B1771,E1771)</f>
        <v>12.566521679199999</v>
      </c>
      <c r="K1771" s="10">
        <f>[1]!EM_S_FA_ASSETSTURN(B1771,E1771)</f>
        <v>0.21410723195199999</v>
      </c>
      <c r="L1771" s="12">
        <f>[1]!EM_HKS_VAL_MV(B1771,"2019-12-31","2")</f>
        <v>14281041232.5</v>
      </c>
      <c r="M1771">
        <f>[1]!EM_S_VAL_PETTMDEDUCTED(B1771,E1771)</f>
        <v>14.837557604344299</v>
      </c>
      <c r="N1771" s="7">
        <f>[1]!EM_S_VAL_PBGOODWILLDEDUCTED(B1771,E1771)</f>
        <v>0.876392656864875</v>
      </c>
      <c r="O1771" s="7">
        <f>[1]!EM_S_VAL_PS_TTM(B1771,E1771)</f>
        <v>2.8889561914921602</v>
      </c>
      <c r="P1771" s="7">
        <f>[1]!EM_S_VAL_PCF_NCFTTM(B1771,E1771)</f>
        <v>-8.6903964966292193</v>
      </c>
      <c r="Q1771" s="7">
        <f>[1]!EM_S_VAL_DIVIDENDYIELD2(B1771,E1771,"2019-11-29")</f>
        <v>0</v>
      </c>
      <c r="T1771"/>
      <c r="U1771">
        <f>[1]!EM_S_RATIO_EPS_TTM(B1771,E1771,"1")</f>
        <v>8.8338567189694586E-2</v>
      </c>
      <c r="AT1771" s="4" t="str">
        <f>[1]!EM_S_IPO_LISTEDDATE(B1771)</f>
        <v>1996-11-21</v>
      </c>
    </row>
    <row r="1772" spans="1:46">
      <c r="A1772">
        <v>1487</v>
      </c>
      <c r="B1772" t="str">
        <f>"300062"</f>
        <v>300062</v>
      </c>
      <c r="C1772" t="s">
        <v>2897</v>
      </c>
      <c r="D1772" t="str">
        <f>[1]!EM_S_INFO_INDEX_EM(B1772,"1")</f>
        <v>电气设备</v>
      </c>
      <c r="E1772" s="4">
        <f t="shared" si="27"/>
        <v>43465</v>
      </c>
      <c r="F1772" s="11">
        <f>[1]!EM_S_PQ_PCTCHANGE(B1772,"2018-01-01","2019-12-31","3")</f>
        <v>-21.274777669999999</v>
      </c>
      <c r="G1772" s="11">
        <f>[1]!EM_S_PQ_PCTCHANGE(B1772,"2018-12-31","2019-12-30","1")</f>
        <v>9.3877550999999997</v>
      </c>
      <c r="H1772" s="11">
        <f>[1]!EM_S_FA_YOY_OR(B1772,E1772)</f>
        <v>23.5434558569</v>
      </c>
      <c r="I1772" s="11">
        <f>[1]!EM_S_FA_GROSSPROFITMARGIN(B1772,E1772)</f>
        <v>29.5960340285</v>
      </c>
      <c r="J1772" s="11">
        <f>[1]!EM_S_FA_NETPROFITMARGIN(B1772,E1772)</f>
        <v>2.0186797106999999</v>
      </c>
      <c r="K1772" s="10">
        <f>[1]!EM_S_FA_ASSETSTURN(B1772,E1772)</f>
        <v>0.468964126546</v>
      </c>
      <c r="L1772" s="12">
        <f>[1]!EM_HKS_VAL_MV(B1772,"2019-12-31","2")</f>
        <v>1669360000</v>
      </c>
      <c r="M1772">
        <f>[1]!EM_S_VAL_PETTMDEDUCTED(B1772,E1772)</f>
        <v>-19.482575161917701</v>
      </c>
      <c r="N1772" s="7">
        <f>[1]!EM_S_VAL_PBGOODWILLDEDUCTED(B1772,E1772)</f>
        <v>2.0170904436324699</v>
      </c>
      <c r="O1772" s="7">
        <f>[1]!EM_S_VAL_PS_TTM(B1772,E1772)</f>
        <v>1.5635821030888899</v>
      </c>
      <c r="P1772" s="7">
        <f>[1]!EM_S_VAL_PCF_NCFTTM(B1772,E1772)</f>
        <v>-8.5112792517097002</v>
      </c>
      <c r="Q1772" s="7">
        <f>[1]!EM_S_VAL_DIVIDENDYIELD2(B1772,E1772,"2019-11-29")</f>
        <v>0.77821011673151752</v>
      </c>
      <c r="T1772"/>
      <c r="U1772">
        <f>[1]!EM_S_RATIO_EPS_TTM(B1772,E1772,"1")</f>
        <v>5.4288476753246752E-2</v>
      </c>
      <c r="AT1772" s="4" t="str">
        <f>[1]!EM_S_IPO_LISTEDDATE(B1772)</f>
        <v>2010-03-19</v>
      </c>
    </row>
    <row r="1773" spans="1:46">
      <c r="A1773">
        <v>764</v>
      </c>
      <c r="B1773" t="str">
        <f>"002253"</f>
        <v>002253</v>
      </c>
      <c r="C1773" t="s">
        <v>2639</v>
      </c>
      <c r="D1773" t="str">
        <f>[1]!EM_S_INFO_INDEX_EM(B1773,"1")</f>
        <v>信息技术</v>
      </c>
      <c r="E1773" s="4">
        <f t="shared" si="27"/>
        <v>43465</v>
      </c>
      <c r="F1773" s="11">
        <f>[1]!EM_S_PQ_PCTCHANGE(B1773,"2018-01-01","2019-12-31","3")</f>
        <v>-28.355814670000001</v>
      </c>
      <c r="G1773" s="11">
        <f>[1]!EM_S_PQ_PCTCHANGE(B1773,"2018-12-31","2019-12-30","1")</f>
        <v>9.3797276899999993</v>
      </c>
      <c r="H1773" s="11">
        <f>[1]!EM_S_FA_YOY_OR(B1773,E1773)</f>
        <v>27.4813518546</v>
      </c>
      <c r="I1773" s="11">
        <f>[1]!EM_S_FA_GROSSPROFITMARGIN(B1773,E1773)</f>
        <v>25.554846256699999</v>
      </c>
      <c r="J1773" s="11">
        <f>[1]!EM_S_FA_NETPROFITMARGIN(B1773,E1773)</f>
        <v>15.9606909687</v>
      </c>
      <c r="K1773" s="10">
        <f>[1]!EM_S_FA_ASSETSTURN(B1773,E1773)</f>
        <v>0.216974750863</v>
      </c>
      <c r="L1773" s="12">
        <f>[1]!EM_HKS_VAL_MV(B1773,"2019-12-31","2")</f>
        <v>3260297072.75</v>
      </c>
      <c r="M1773">
        <f>[1]!EM_S_VAL_PETTMDEDUCTED(B1773,E1773)</f>
        <v>78.603809239253096</v>
      </c>
      <c r="N1773" s="7">
        <f>[1]!EM_S_VAL_PBGOODWILLDEDUCTED(B1773,E1773)</f>
        <v>2.2106621292081199</v>
      </c>
      <c r="O1773" s="7">
        <f>[1]!EM_S_VAL_PS_TTM(B1773,E1773)</f>
        <v>9.8682455853334492</v>
      </c>
      <c r="P1773" s="7">
        <f>[1]!EM_S_VAL_PCF_NCFTTM(B1773,E1773)</f>
        <v>-27.708247386096801</v>
      </c>
      <c r="Q1773" s="7">
        <f>[1]!EM_S_VAL_DIVIDENDYIELD2(B1773,E1773,"2019-11-29")</f>
        <v>0.89619118745332338</v>
      </c>
      <c r="T1773"/>
      <c r="U1773">
        <f>[1]!EM_S_RATIO_EPS_TTM(B1773,E1773,"1")</f>
        <v>0.2435031411149495</v>
      </c>
      <c r="AT1773" s="4" t="str">
        <f>[1]!EM_S_IPO_LISTEDDATE(B1773)</f>
        <v>2008-06-23</v>
      </c>
    </row>
    <row r="1774" spans="1:46">
      <c r="A1774">
        <v>914</v>
      </c>
      <c r="B1774" t="str">
        <f>"002403"</f>
        <v>002403</v>
      </c>
      <c r="C1774" t="s">
        <v>1422</v>
      </c>
      <c r="D1774" t="str">
        <f>[1]!EM_S_INFO_INDEX_EM(B1774,"1")</f>
        <v>家电</v>
      </c>
      <c r="E1774" s="4">
        <f t="shared" si="27"/>
        <v>43465</v>
      </c>
      <c r="F1774" s="11">
        <f>[1]!EM_S_PQ_PCTCHANGE(B1774,"2018-01-01","2019-12-31","3")</f>
        <v>-28.86464595</v>
      </c>
      <c r="G1774" s="11">
        <f>[1]!EM_S_PQ_PCTCHANGE(B1774,"2018-12-31","2019-12-30","1")</f>
        <v>9.3709884500000005</v>
      </c>
      <c r="H1774" s="11">
        <f>[1]!EM_S_FA_YOY_OR(B1774,E1774)</f>
        <v>6.0614284057000001</v>
      </c>
      <c r="I1774" s="11">
        <f>[1]!EM_S_FA_GROSSPROFITMARGIN(B1774,E1774)</f>
        <v>37.123291134200002</v>
      </c>
      <c r="J1774" s="11">
        <f>[1]!EM_S_FA_NETPROFITMARGIN(B1774,E1774)</f>
        <v>4.0893612706000004</v>
      </c>
      <c r="K1774" s="10">
        <f>[1]!EM_S_FA_ASSETSTURN(B1774,E1774)</f>
        <v>0.72398400574499999</v>
      </c>
      <c r="L1774" s="12">
        <f>[1]!EM_HKS_VAL_MV(B1774,"2019-12-31","2")</f>
        <v>2977726808.5</v>
      </c>
      <c r="M1774">
        <f>[1]!EM_S_VAL_PETTMDEDUCTED(B1774,E1774)</f>
        <v>16.361644565301301</v>
      </c>
      <c r="N1774" s="7">
        <f>[1]!EM_S_VAL_PBGOODWILLDEDUCTED(B1774,E1774)</f>
        <v>1.28902213388368</v>
      </c>
      <c r="O1774" s="7">
        <f>[1]!EM_S_VAL_PS_TTM(B1774,E1774)</f>
        <v>0.85522484230795304</v>
      </c>
      <c r="P1774" s="7">
        <f>[1]!EM_S_VAL_PCF_NCFTTM(B1774,E1774)</f>
        <v>111.597374854484</v>
      </c>
      <c r="Q1774" s="7">
        <f>[1]!EM_S_VAL_DIVIDENDYIELD2(B1774,E1774,"2019-11-29")</f>
        <v>1.7772511848341233</v>
      </c>
      <c r="T1774"/>
      <c r="U1774">
        <f>[1]!EM_S_RATIO_EPS_TTM(B1774,E1774,"1")</f>
        <v>0.42445947179139959</v>
      </c>
      <c r="AT1774" s="4" t="str">
        <f>[1]!EM_S_IPO_LISTEDDATE(B1774)</f>
        <v>2010-05-11</v>
      </c>
    </row>
    <row r="1775" spans="1:46">
      <c r="A1775">
        <v>2544</v>
      </c>
      <c r="B1775" t="str">
        <f>"600448"</f>
        <v>600448</v>
      </c>
      <c r="C1775" t="s">
        <v>3015</v>
      </c>
      <c r="D1775" t="str">
        <f>[1]!EM_S_INFO_INDEX_EM(B1775,"1")</f>
        <v>纺织服装</v>
      </c>
      <c r="E1775" s="4">
        <f t="shared" si="27"/>
        <v>43465</v>
      </c>
      <c r="F1775" s="11">
        <f>[1]!EM_S_PQ_PCTCHANGE(B1775,"2018-01-01","2019-12-31","3")</f>
        <v>-2.1699819200000001</v>
      </c>
      <c r="G1775" s="11">
        <f>[1]!EM_S_PQ_PCTCHANGE(B1775,"2018-12-31","2019-12-30","1")</f>
        <v>9.3555093599999992</v>
      </c>
      <c r="H1775" s="11">
        <f>[1]!EM_S_FA_YOY_OR(B1775,E1775)</f>
        <v>14.520165460699999</v>
      </c>
      <c r="I1775" s="11">
        <f>[1]!EM_S_FA_GROSSPROFITMARGIN(B1775,E1775)</f>
        <v>8.6874658579999995</v>
      </c>
      <c r="J1775" s="11">
        <f>[1]!EM_S_FA_NETPROFITMARGIN(B1775,E1775)</f>
        <v>0.64250710079999995</v>
      </c>
      <c r="K1775" s="10">
        <f>[1]!EM_S_FA_ASSETSTURN(B1775,E1775)</f>
        <v>0.92091837730000004</v>
      </c>
      <c r="L1775" s="12">
        <f>[1]!EM_HKS_VAL_MV(B1775,"2019-12-31","2")</f>
        <v>2839436974.3800001</v>
      </c>
      <c r="M1775">
        <f>[1]!EM_S_VAL_PETTMDEDUCTED(B1775,E1775)</f>
        <v>720.926499467947</v>
      </c>
      <c r="N1775" s="7">
        <f>[1]!EM_S_VAL_PBGOODWILLDEDUCTED(B1775,E1775)</f>
        <v>1.71802100990464</v>
      </c>
      <c r="O1775" s="7">
        <f>[1]!EM_S_VAL_PS_TTM(B1775,E1775)</f>
        <v>0.78585627759754895</v>
      </c>
      <c r="P1775" s="7">
        <f>[1]!EM_S_VAL_PCF_NCFTTM(B1775,E1775)</f>
        <v>9.4990152163186092</v>
      </c>
      <c r="Q1775" s="7">
        <f>[1]!EM_S_VAL_DIVIDENDYIELD2(B1775,E1775,"2019-11-29")</f>
        <v>0</v>
      </c>
      <c r="T1775"/>
      <c r="U1775">
        <f>[1]!EM_S_RATIO_EPS_TTM(B1775,E1775,"1")</f>
        <v>4.0037477204093688E-2</v>
      </c>
      <c r="AT1775" s="4" t="str">
        <f>[1]!EM_S_IPO_LISTEDDATE(B1775)</f>
        <v>2001-09-03</v>
      </c>
    </row>
    <row r="1776" spans="1:46">
      <c r="A1776">
        <v>897</v>
      </c>
      <c r="B1776" t="str">
        <f>"002386"</f>
        <v>002386</v>
      </c>
      <c r="C1776" t="s">
        <v>2854</v>
      </c>
      <c r="D1776" t="str">
        <f>[1]!EM_S_INFO_INDEX_EM(B1776,"1")</f>
        <v>基础化工</v>
      </c>
      <c r="E1776" s="4">
        <f t="shared" si="27"/>
        <v>43465</v>
      </c>
      <c r="F1776" s="11">
        <f>[1]!EM_S_PQ_PCTCHANGE(B1776,"2018-01-01","2019-12-31","3")</f>
        <v>-29.033235049999998</v>
      </c>
      <c r="G1776" s="11">
        <f>[1]!EM_S_PQ_PCTCHANGE(B1776,"2018-12-31","2019-12-30","1")</f>
        <v>9.34579439</v>
      </c>
      <c r="H1776" s="11">
        <f>[1]!EM_S_FA_YOY_OR(B1776,E1776)</f>
        <v>18.563894191799999</v>
      </c>
      <c r="I1776" s="11">
        <f>[1]!EM_S_FA_GROSSPROFITMARGIN(B1776,E1776)</f>
        <v>8.1707542959000001</v>
      </c>
      <c r="J1776" s="11">
        <f>[1]!EM_S_FA_NETPROFITMARGIN(B1776,E1776)</f>
        <v>0.68255328540000004</v>
      </c>
      <c r="K1776" s="10">
        <f>[1]!EM_S_FA_ASSETSTURN(B1776,E1776)</f>
        <v>1.323731328124</v>
      </c>
      <c r="L1776" s="12">
        <f>[1]!EM_HKS_VAL_MV(B1776,"2019-12-31","2")</f>
        <v>4568013549.4499998</v>
      </c>
      <c r="M1776">
        <f>[1]!EM_S_VAL_PETTMDEDUCTED(B1776,E1776)</f>
        <v>27.391124909884098</v>
      </c>
      <c r="N1776" s="7">
        <f>[1]!EM_S_VAL_PBGOODWILLDEDUCTED(B1776,E1776)</f>
        <v>0.85745461566158598</v>
      </c>
      <c r="O1776" s="7">
        <f>[1]!EM_S_VAL_PS_TTM(B1776,E1776)</f>
        <v>0.219616166344274</v>
      </c>
      <c r="P1776" s="7">
        <f>[1]!EM_S_VAL_PCF_NCFTTM(B1776,E1776)</f>
        <v>3.4824118741607002</v>
      </c>
      <c r="Q1776" s="7">
        <f>[1]!EM_S_VAL_DIVIDENDYIELD2(B1776,E1776,"2019-11-29")</f>
        <v>1.8148820326678767</v>
      </c>
      <c r="T1776"/>
      <c r="U1776">
        <f>[1]!EM_S_RATIO_EPS_TTM(B1776,E1776,"1")</f>
        <v>0.19873513667867826</v>
      </c>
      <c r="AT1776" s="4" t="str">
        <f>[1]!EM_S_IPO_LISTEDDATE(B1776)</f>
        <v>2010-04-09</v>
      </c>
    </row>
    <row r="1777" spans="1:46">
      <c r="A1777">
        <v>3106</v>
      </c>
      <c r="B1777" t="str">
        <f>"601369"</f>
        <v>601369</v>
      </c>
      <c r="C1777" t="s">
        <v>1949</v>
      </c>
      <c r="D1777" t="str">
        <f>[1]!EM_S_INFO_INDEX_EM(B1777,"1")</f>
        <v>机械设备</v>
      </c>
      <c r="E1777" s="4">
        <f t="shared" si="27"/>
        <v>43465</v>
      </c>
      <c r="F1777" s="11">
        <f>[1]!EM_S_PQ_PCTCHANGE(B1777,"2018-01-01","2019-12-31","3")</f>
        <v>-7.6353594300000003</v>
      </c>
      <c r="G1777" s="11">
        <f>[1]!EM_S_PQ_PCTCHANGE(B1777,"2018-12-31","2019-12-30","1")</f>
        <v>9.25619835</v>
      </c>
      <c r="H1777" s="11">
        <f>[1]!EM_S_FA_YOY_OR(B1777,E1777)</f>
        <v>27.3107465107</v>
      </c>
      <c r="I1777" s="11">
        <f>[1]!EM_S_FA_GROSSPROFITMARGIN(B1777,E1777)</f>
        <v>22.038377860699999</v>
      </c>
      <c r="J1777" s="11">
        <f>[1]!EM_S_FA_NETPROFITMARGIN(B1777,E1777)</f>
        <v>7.4283195956999997</v>
      </c>
      <c r="K1777" s="10">
        <f>[1]!EM_S_FA_ASSETSTURN(B1777,E1777)</f>
        <v>0.296320184918</v>
      </c>
      <c r="L1777" s="12">
        <f>[1]!EM_HKS_VAL_MV(B1777,"2019-12-31","2")</f>
        <v>11160896049.450001</v>
      </c>
      <c r="M1777">
        <f>[1]!EM_S_VAL_PETTMDEDUCTED(B1777,E1777)</f>
        <v>153.90895075157201</v>
      </c>
      <c r="N1777" s="7">
        <f>[1]!EM_S_VAL_PBGOODWILLDEDUCTED(B1777,E1777)</f>
        <v>1.61655897855988</v>
      </c>
      <c r="O1777" s="7">
        <f>[1]!EM_S_VAL_PS_TTM(B1777,E1777)</f>
        <v>2.1008464314581001</v>
      </c>
      <c r="P1777" s="7">
        <f>[1]!EM_S_VAL_PCF_NCFTTM(B1777,E1777)</f>
        <v>-155.243438349841</v>
      </c>
      <c r="Q1777" s="7">
        <f>[1]!EM_S_VAL_DIVIDENDYIELD2(B1777,E1777,"2019-11-29")</f>
        <v>3.171576735002974</v>
      </c>
      <c r="T1777"/>
      <c r="U1777">
        <f>[1]!EM_S_RATIO_EPS_TTM(B1777,E1777,"1")</f>
        <v>0.21375055236922894</v>
      </c>
      <c r="AT1777" s="4" t="str">
        <f>[1]!EM_S_IPO_LISTEDDATE(B1777)</f>
        <v>2010-04-28</v>
      </c>
    </row>
    <row r="1778" spans="1:46">
      <c r="A1778">
        <v>1314</v>
      </c>
      <c r="B1778" t="str">
        <f>"002810"</f>
        <v>002810</v>
      </c>
      <c r="C1778" t="s">
        <v>1720</v>
      </c>
      <c r="D1778" t="str">
        <f>[1]!EM_S_INFO_INDEX_EM(B1778,"1")</f>
        <v>基础化工</v>
      </c>
      <c r="E1778" s="4">
        <f t="shared" si="27"/>
        <v>43465</v>
      </c>
      <c r="F1778" s="11">
        <f>[1]!EM_S_PQ_PCTCHANGE(B1778,"2018-01-01","2019-12-31","3")</f>
        <v>57.754688510000001</v>
      </c>
      <c r="G1778" s="11">
        <f>[1]!EM_S_PQ_PCTCHANGE(B1778,"2018-12-31","2019-12-30","1")</f>
        <v>9.2540661800000006</v>
      </c>
      <c r="H1778" s="11">
        <f>[1]!EM_S_FA_YOY_OR(B1778,E1778)</f>
        <v>40.176893503700001</v>
      </c>
      <c r="I1778" s="11">
        <f>[1]!EM_S_FA_GROSSPROFITMARGIN(B1778,E1778)</f>
        <v>25.3468584821</v>
      </c>
      <c r="J1778" s="11">
        <f>[1]!EM_S_FA_NETPROFITMARGIN(B1778,E1778)</f>
        <v>8.4006264632000001</v>
      </c>
      <c r="K1778" s="10">
        <f>[1]!EM_S_FA_ASSETSTURN(B1778,E1778)</f>
        <v>0.75138993128200005</v>
      </c>
      <c r="L1778" s="12">
        <f>[1]!EM_HKS_VAL_MV(B1778,"2019-12-31","2")</f>
        <v>3691761024</v>
      </c>
      <c r="M1778">
        <f>[1]!EM_S_VAL_PETTMDEDUCTED(B1778,E1778)</f>
        <v>32.576143350842699</v>
      </c>
      <c r="N1778" s="7">
        <f>[1]!EM_S_VAL_PBGOODWILLDEDUCTED(B1778,E1778)</f>
        <v>2.8058660663273698</v>
      </c>
      <c r="O1778" s="7">
        <f>[1]!EM_S_VAL_PS_TTM(B1778,E1778)</f>
        <v>2.5347641593004302</v>
      </c>
      <c r="P1778" s="7">
        <f>[1]!EM_S_VAL_PCF_NCFTTM(B1778,E1778)</f>
        <v>-27.4166416554888</v>
      </c>
      <c r="Q1778" s="7">
        <f>[1]!EM_S_VAL_DIVIDENDYIELD2(B1778,E1778,"2019-11-29")</f>
        <v>0.71696116472885263</v>
      </c>
      <c r="T1778"/>
      <c r="U1778">
        <f>[1]!EM_S_RATIO_EPS_TTM(B1778,E1778,"1")</f>
        <v>0.61653210508634015</v>
      </c>
      <c r="AT1778" s="4" t="str">
        <f>[1]!EM_S_IPO_LISTEDDATE(B1778)</f>
        <v>2016-08-26</v>
      </c>
    </row>
    <row r="1779" spans="1:46">
      <c r="A1779">
        <v>738</v>
      </c>
      <c r="B1779" t="str">
        <f>"002227"</f>
        <v>002227</v>
      </c>
      <c r="C1779" t="s">
        <v>3421</v>
      </c>
      <c r="D1779" t="str">
        <f>[1]!EM_S_INFO_INDEX_EM(B1779,"1")</f>
        <v>电气设备</v>
      </c>
      <c r="E1779" s="4">
        <f t="shared" si="27"/>
        <v>43465</v>
      </c>
      <c r="F1779" s="11">
        <f>[1]!EM_S_PQ_PCTCHANGE(B1779,"2018-01-01","2019-12-31","3")</f>
        <v>-38.945115540000003</v>
      </c>
      <c r="G1779" s="11">
        <f>[1]!EM_S_PQ_PCTCHANGE(B1779,"2018-12-31","2019-12-30","1")</f>
        <v>9.2428711900000007</v>
      </c>
      <c r="H1779" s="11">
        <f>[1]!EM_S_FA_YOY_OR(B1779,E1779)</f>
        <v>-3.8176342407999999</v>
      </c>
      <c r="I1779" s="11">
        <f>[1]!EM_S_FA_GROSSPROFITMARGIN(B1779,E1779)</f>
        <v>31.785477040499998</v>
      </c>
      <c r="J1779" s="11">
        <f>[1]!EM_S_FA_NETPROFITMARGIN(B1779,E1779)</f>
        <v>2.9442455242999999</v>
      </c>
      <c r="K1779" s="10">
        <f>[1]!EM_S_FA_ASSETSTURN(B1779,E1779)</f>
        <v>0.321046804937</v>
      </c>
      <c r="L1779" s="12">
        <f>[1]!EM_HKS_VAL_MV(B1779,"2019-12-31","2")</f>
        <v>2444219192</v>
      </c>
      <c r="M1779">
        <f>[1]!EM_S_VAL_PETTMDEDUCTED(B1779,E1779)</f>
        <v>1013.60126209664</v>
      </c>
      <c r="N1779" s="7">
        <f>[1]!EM_S_VAL_PBGOODWILLDEDUCTED(B1779,E1779)</f>
        <v>2.7616951283605999</v>
      </c>
      <c r="O1779" s="7">
        <f>[1]!EM_S_VAL_PS_TTM(B1779,E1779)</f>
        <v>6.3799399660571297</v>
      </c>
      <c r="P1779" s="7">
        <f>[1]!EM_S_VAL_PCF_NCFTTM(B1779,E1779)</f>
        <v>-86.961688371833205</v>
      </c>
      <c r="Q1779" s="7">
        <f>[1]!EM_S_VAL_DIVIDENDYIELD2(B1779,E1779,"2019-11-29")</f>
        <v>0.19900497512437809</v>
      </c>
      <c r="T1779"/>
      <c r="U1779">
        <f>[1]!EM_S_RATIO_EPS_TTM(B1779,E1779,"1")</f>
        <v>4.7153827379651805E-2</v>
      </c>
      <c r="AT1779" s="4" t="str">
        <f>[1]!EM_S_IPO_LISTEDDATE(B1779)</f>
        <v>2008-05-06</v>
      </c>
    </row>
    <row r="1780" spans="1:46">
      <c r="A1780">
        <v>452</v>
      </c>
      <c r="B1780" t="str">
        <f>"000928"</f>
        <v>000928</v>
      </c>
      <c r="C1780" t="s">
        <v>1388</v>
      </c>
      <c r="D1780" t="str">
        <f>[1]!EM_S_INFO_INDEX_EM(B1780,"1")</f>
        <v>建筑</v>
      </c>
      <c r="E1780" s="4">
        <f t="shared" si="27"/>
        <v>43465</v>
      </c>
      <c r="F1780" s="11">
        <f>[1]!EM_S_PQ_PCTCHANGE(B1780,"2018-01-01","2019-12-31","3")</f>
        <v>-22.20974094</v>
      </c>
      <c r="G1780" s="11">
        <f>[1]!EM_S_PQ_PCTCHANGE(B1780,"2018-12-31","2019-12-30","1")</f>
        <v>9.1954022999999996</v>
      </c>
      <c r="H1780" s="11">
        <f>[1]!EM_S_FA_YOY_OR(B1780,E1780)</f>
        <v>3.9858724557</v>
      </c>
      <c r="I1780" s="11">
        <f>[1]!EM_S_FA_GROSSPROFITMARGIN(B1780,E1780)</f>
        <v>11.635545466</v>
      </c>
      <c r="J1780" s="11">
        <f>[1]!EM_S_FA_NETPROFITMARGIN(B1780,E1780)</f>
        <v>5.0949405499999996</v>
      </c>
      <c r="K1780" s="10">
        <f>[1]!EM_S_FA_ASSETSTURN(B1780,E1780)</f>
        <v>0.57472711640999996</v>
      </c>
      <c r="L1780" s="12">
        <f>[1]!EM_HKS_VAL_MV(B1780,"2019-12-31","2")</f>
        <v>6094815268.6999998</v>
      </c>
      <c r="M1780">
        <f>[1]!EM_S_VAL_PETTMDEDUCTED(B1780,E1780)</f>
        <v>19.378647421436199</v>
      </c>
      <c r="N1780" s="7">
        <f>[1]!EM_S_VAL_PBGOODWILLDEDUCTED(B1780,E1780)</f>
        <v>1.2057845059972701</v>
      </c>
      <c r="O1780" s="7">
        <f>[1]!EM_S_VAL_PS_TTM(B1780,E1780)</f>
        <v>0.73433942360142102</v>
      </c>
      <c r="P1780" s="7">
        <f>[1]!EM_S_VAL_PCF_NCFTTM(B1780,E1780)</f>
        <v>9.7284091472482697</v>
      </c>
      <c r="Q1780" s="7">
        <f>[1]!EM_S_VAL_DIVIDENDYIELD2(B1780,E1780,"2019-11-29")</f>
        <v>2.5974025974025974</v>
      </c>
      <c r="T1780"/>
      <c r="U1780">
        <f>[1]!EM_S_RATIO_EPS_TTM(B1780,E1780,"1")</f>
        <v>0.35089601105624069</v>
      </c>
      <c r="AT1780" s="4" t="str">
        <f>[1]!EM_S_IPO_LISTEDDATE(B1780)</f>
        <v>1999-03-12</v>
      </c>
    </row>
    <row r="1781" spans="1:46">
      <c r="A1781">
        <v>3166</v>
      </c>
      <c r="B1781" t="str">
        <f>"601880"</f>
        <v>601880</v>
      </c>
      <c r="C1781" t="s">
        <v>3253</v>
      </c>
      <c r="D1781" t="str">
        <f>[1]!EM_S_INFO_INDEX_EM(B1781,"1")</f>
        <v>交通运输</v>
      </c>
      <c r="E1781" s="4">
        <f t="shared" si="27"/>
        <v>43465</v>
      </c>
      <c r="F1781" s="11">
        <f>[1]!EM_S_PQ_PCTCHANGE(B1781,"2018-01-01","2019-12-31","3")</f>
        <v>-25.788387610000001</v>
      </c>
      <c r="G1781" s="11">
        <f>[1]!EM_S_PQ_PCTCHANGE(B1781,"2018-12-31","2019-12-30","1")</f>
        <v>9.1891891900000005</v>
      </c>
      <c r="H1781" s="11">
        <f>[1]!EM_S_FA_YOY_OR(B1781,E1781)</f>
        <v>-25.2135559337</v>
      </c>
      <c r="I1781" s="11">
        <f>[1]!EM_S_FA_GROSSPROFITMARGIN(B1781,E1781)</f>
        <v>23.8762732273</v>
      </c>
      <c r="J1781" s="11">
        <f>[1]!EM_S_FA_NETPROFITMARGIN(B1781,E1781)</f>
        <v>10.096778652799999</v>
      </c>
      <c r="K1781" s="10">
        <f>[1]!EM_S_FA_ASSETSTURN(B1781,E1781)</f>
        <v>0.18788217549299999</v>
      </c>
      <c r="L1781" s="12">
        <f>[1]!EM_HKS_VAL_MV(B1781,"2019-12-31","2")</f>
        <v>26175908077.970001</v>
      </c>
      <c r="M1781">
        <f>[1]!EM_S_VAL_PETTMDEDUCTED(B1781,E1781)</f>
        <v>56.345686838818501</v>
      </c>
      <c r="N1781" s="7">
        <f>[1]!EM_S_VAL_PBGOODWILLDEDUCTED(B1781,E1781)</f>
        <v>1.30669257800395</v>
      </c>
      <c r="O1781" s="7">
        <f>[1]!EM_S_VAL_PS_TTM(B1781,E1781)</f>
        <v>2.90653827137425</v>
      </c>
      <c r="P1781" s="7">
        <f>[1]!EM_S_VAL_PCF_NCFTTM(B1781,E1781)</f>
        <v>180.41213929767801</v>
      </c>
      <c r="Q1781" s="7">
        <f>[1]!EM_S_VAL_DIVIDENDYIELD2(B1781,E1781,"2019-11-29")</f>
        <v>0.95</v>
      </c>
      <c r="T1781"/>
      <c r="U1781">
        <f>[1]!EM_S_RATIO_EPS_TTM(B1781,E1781,"1")</f>
        <v>4.0584290906674286E-2</v>
      </c>
      <c r="AT1781" s="4" t="str">
        <f>[1]!EM_S_IPO_LISTEDDATE(B1781)</f>
        <v>2010-12-06</v>
      </c>
    </row>
    <row r="1782" spans="1:46">
      <c r="A1782">
        <v>2735</v>
      </c>
      <c r="B1782" t="str">
        <f>"600662"</f>
        <v>600662</v>
      </c>
      <c r="C1782" t="s">
        <v>2825</v>
      </c>
      <c r="D1782" t="str">
        <f>[1]!EM_S_INFO_INDEX_EM(B1782,"1")</f>
        <v>交通运输</v>
      </c>
      <c r="E1782" s="4">
        <f t="shared" si="27"/>
        <v>43465</v>
      </c>
      <c r="F1782" s="11">
        <f>[1]!EM_S_PQ_PCTCHANGE(B1782,"2018-01-01","2019-12-31","3")</f>
        <v>-16.719052390000002</v>
      </c>
      <c r="G1782" s="11">
        <f>[1]!EM_S_PQ_PCTCHANGE(B1782,"2018-12-31","2019-12-30","1")</f>
        <v>9.1787439600000003</v>
      </c>
      <c r="H1782" s="11">
        <f>[1]!EM_S_FA_YOY_OR(B1782,E1782)</f>
        <v>0.39799589089999998</v>
      </c>
      <c r="I1782" s="11">
        <f>[1]!EM_S_FA_GROSSPROFITMARGIN(B1782,E1782)</f>
        <v>12.8767349084</v>
      </c>
      <c r="J1782" s="11">
        <f>[1]!EM_S_FA_NETPROFITMARGIN(B1782,E1782)</f>
        <v>1.6076441126000001</v>
      </c>
      <c r="K1782" s="10">
        <f>[1]!EM_S_FA_ASSETSTURN(B1782,E1782)</f>
        <v>0.66508950533699995</v>
      </c>
      <c r="L1782" s="12">
        <f>[1]!EM_HKS_VAL_MV(B1782,"2019-12-31","2")</f>
        <v>4782264347.1400003</v>
      </c>
      <c r="M1782">
        <f>[1]!EM_S_VAL_PETTMDEDUCTED(B1782,E1782)</f>
        <v>87.197416221384401</v>
      </c>
      <c r="N1782" s="7">
        <f>[1]!EM_S_VAL_PBGOODWILLDEDUCTED(B1782,E1782)</f>
        <v>1.3414128388886799</v>
      </c>
      <c r="O1782" s="7">
        <f>[1]!EM_S_VAL_PS_TTM(B1782,E1782)</f>
        <v>1.0451482909857801</v>
      </c>
      <c r="P1782" s="7">
        <f>[1]!EM_S_VAL_PCF_NCFTTM(B1782,E1782)</f>
        <v>-14.8489029213716</v>
      </c>
      <c r="Q1782" s="7">
        <f>[1]!EM_S_VAL_DIVIDENDYIELD2(B1782,E1782,"2019-11-29")</f>
        <v>0.89686098654708535</v>
      </c>
      <c r="T1782"/>
      <c r="U1782">
        <f>[1]!EM_S_RATIO_EPS_TTM(B1782,E1782,"1")</f>
        <v>6.1460614870312923E-2</v>
      </c>
      <c r="AT1782" s="4" t="str">
        <f>[1]!EM_S_IPO_LISTEDDATE(B1782)</f>
        <v>1993-06-14</v>
      </c>
    </row>
    <row r="1783" spans="1:46">
      <c r="A1783">
        <v>1966</v>
      </c>
      <c r="B1783" t="str">
        <f>"300542"</f>
        <v>300542</v>
      </c>
      <c r="C1783" t="s">
        <v>3424</v>
      </c>
      <c r="D1783" t="str">
        <f>[1]!EM_S_INFO_INDEX_EM(B1783,"1")</f>
        <v>信息技术</v>
      </c>
      <c r="E1783" s="4">
        <f t="shared" si="27"/>
        <v>43465</v>
      </c>
      <c r="F1783" s="11">
        <f>[1]!EM_S_PQ_PCTCHANGE(B1783,"2018-01-01","2019-12-31","3")</f>
        <v>31.811038580000002</v>
      </c>
      <c r="G1783" s="11">
        <f>[1]!EM_S_PQ_PCTCHANGE(B1783,"2018-12-31","2019-12-30","1")</f>
        <v>9.1763005799999995</v>
      </c>
      <c r="H1783" s="11">
        <f>[1]!EM_S_FA_YOY_OR(B1783,E1783)</f>
        <v>35.079117562599997</v>
      </c>
      <c r="I1783" s="11">
        <f>[1]!EM_S_FA_GROSSPROFITMARGIN(B1783,E1783)</f>
        <v>22.533483862499999</v>
      </c>
      <c r="J1783" s="11">
        <f>[1]!EM_S_FA_NETPROFITMARGIN(B1783,E1783)</f>
        <v>5.9435740457000001</v>
      </c>
      <c r="K1783" s="10">
        <f>[1]!EM_S_FA_ASSETSTURN(B1783,E1783)</f>
        <v>0.81550448364999994</v>
      </c>
      <c r="L1783" s="12">
        <f>[1]!EM_HKS_VAL_MV(B1783,"2019-12-31","2")</f>
        <v>3429605539.1999998</v>
      </c>
      <c r="M1783">
        <f>[1]!EM_S_VAL_PETTMDEDUCTED(B1783,E1783)</f>
        <v>63.0245228268383</v>
      </c>
      <c r="N1783" s="7">
        <f>[1]!EM_S_VAL_PBGOODWILLDEDUCTED(B1783,E1783)</f>
        <v>4.4261741438302797</v>
      </c>
      <c r="O1783" s="7">
        <f>[1]!EM_S_VAL_PS_TTM(B1783,E1783)</f>
        <v>3.69067602550381</v>
      </c>
      <c r="P1783" s="7">
        <f>[1]!EM_S_VAL_PCF_NCFTTM(B1783,E1783)</f>
        <v>19.447649482676201</v>
      </c>
      <c r="Q1783" s="7">
        <f>[1]!EM_S_VAL_DIVIDENDYIELD2(B1783,E1783,"2019-11-29")</f>
        <v>0.22284871611915513</v>
      </c>
      <c r="T1783"/>
      <c r="U1783">
        <f>[1]!EM_S_RATIO_EPS_TTM(B1783,E1783,"1")</f>
        <v>0.24749810150649362</v>
      </c>
      <c r="AT1783" s="4" t="str">
        <f>[1]!EM_S_IPO_LISTEDDATE(B1783)</f>
        <v>2016-09-20</v>
      </c>
    </row>
    <row r="1784" spans="1:46">
      <c r="A1784">
        <v>1353</v>
      </c>
      <c r="B1784" t="str">
        <f>"002852"</f>
        <v>002852</v>
      </c>
      <c r="C1784" t="s">
        <v>921</v>
      </c>
      <c r="D1784" t="str">
        <f>[1]!EM_S_INFO_INDEX_EM(B1784,"1")</f>
        <v>农林牧渔</v>
      </c>
      <c r="E1784" s="4">
        <f t="shared" si="27"/>
        <v>43465</v>
      </c>
      <c r="F1784" s="11">
        <f>[1]!EM_S_PQ_PCTCHANGE(B1784,"2018-01-01","2019-12-31","3")</f>
        <v>-28.464232899999999</v>
      </c>
      <c r="G1784" s="11">
        <f>[1]!EM_S_PQ_PCTCHANGE(B1784,"2018-12-31","2019-12-30","1")</f>
        <v>9.1728091700000007</v>
      </c>
      <c r="H1784" s="11">
        <f>[1]!EM_S_FA_YOY_OR(B1784,E1784)</f>
        <v>9.0419739816</v>
      </c>
      <c r="I1784" s="11">
        <f>[1]!EM_S_FA_GROSSPROFITMARGIN(B1784,E1784)</f>
        <v>12.482798019100001</v>
      </c>
      <c r="J1784" s="11">
        <f>[1]!EM_S_FA_NETPROFITMARGIN(B1784,E1784)</f>
        <v>6.1520746745999997</v>
      </c>
      <c r="K1784" s="10">
        <f>[1]!EM_S_FA_ASSETSTURN(B1784,E1784)</f>
        <v>1.331907877595</v>
      </c>
      <c r="L1784" s="12">
        <f>[1]!EM_HKS_VAL_MV(B1784,"2019-12-31","2")</f>
        <v>3895720000</v>
      </c>
      <c r="M1784">
        <f>[1]!EM_S_VAL_PETTMDEDUCTED(B1784,E1784)</f>
        <v>23.867971573497702</v>
      </c>
      <c r="N1784" s="7">
        <f>[1]!EM_S_VAL_PBGOODWILLDEDUCTED(B1784,E1784)</f>
        <v>1.6806382932745101</v>
      </c>
      <c r="O1784" s="7">
        <f>[1]!EM_S_VAL_PS_TTM(B1784,E1784)</f>
        <v>1.01085621192942</v>
      </c>
      <c r="P1784" s="7">
        <f>[1]!EM_S_VAL_PCF_NCFTTM(B1784,E1784)</f>
        <v>46.3372635632604</v>
      </c>
      <c r="Q1784" s="7">
        <f>[1]!EM_S_VAL_DIVIDENDYIELD2(B1784,E1784,"2019-11-29")</f>
        <v>3.1801609642301707</v>
      </c>
      <c r="T1784"/>
      <c r="U1784">
        <f>[1]!EM_S_RATIO_EPS_TTM(B1784,E1784,"1")</f>
        <v>0.75971176110726646</v>
      </c>
      <c r="AT1784" s="4" t="str">
        <f>[1]!EM_S_IPO_LISTEDDATE(B1784)</f>
        <v>2017-03-10</v>
      </c>
    </row>
    <row r="1785" spans="1:46">
      <c r="A1785">
        <v>2786</v>
      </c>
      <c r="B1785" t="str">
        <f>"600713"</f>
        <v>600713</v>
      </c>
      <c r="C1785" t="s">
        <v>1403</v>
      </c>
      <c r="D1785" t="str">
        <f>[1]!EM_S_INFO_INDEX_EM(B1785,"1")</f>
        <v>医药生物</v>
      </c>
      <c r="E1785" s="4">
        <f t="shared" si="27"/>
        <v>43465</v>
      </c>
      <c r="F1785" s="11">
        <f>[1]!EM_S_PQ_PCTCHANGE(B1785,"2018-01-01","2019-12-31","3")</f>
        <v>-21.720392060000002</v>
      </c>
      <c r="G1785" s="11">
        <f>[1]!EM_S_PQ_PCTCHANGE(B1785,"2018-12-31","2019-12-30","1")</f>
        <v>9.1549295799999992</v>
      </c>
      <c r="H1785" s="11">
        <f>[1]!EM_S_FA_YOY_OR(B1785,E1785)</f>
        <v>8.6524012329000008</v>
      </c>
      <c r="I1785" s="11">
        <f>[1]!EM_S_FA_GROSSPROFITMARGIN(B1785,E1785)</f>
        <v>6.6061588139999996</v>
      </c>
      <c r="J1785" s="11">
        <f>[1]!EM_S_FA_NETPROFITMARGIN(B1785,E1785)</f>
        <v>1.1047870086</v>
      </c>
      <c r="K1785" s="10">
        <f>[1]!EM_S_FA_ASSETSTURN(B1785,E1785)</f>
        <v>1.764544898994</v>
      </c>
      <c r="L1785" s="12">
        <f>[1]!EM_HKS_VAL_MV(B1785,"2019-12-31","2")</f>
        <v>4874740621.9200001</v>
      </c>
      <c r="M1785">
        <f>[1]!EM_S_VAL_PETTMDEDUCTED(B1785,E1785)</f>
        <v>19.1943151548343</v>
      </c>
      <c r="N1785" s="7">
        <f>[1]!EM_S_VAL_PBGOODWILLDEDUCTED(B1785,E1785)</f>
        <v>1.2138121845319501</v>
      </c>
      <c r="O1785" s="7">
        <f>[1]!EM_S_VAL_PS_TTM(B1785,E1785)</f>
        <v>0.14982428224215599</v>
      </c>
      <c r="P1785" s="7">
        <f>[1]!EM_S_VAL_PCF_NCFTTM(B1785,E1785)</f>
        <v>7.2684588578308702</v>
      </c>
      <c r="Q1785" s="7">
        <f>[1]!EM_S_VAL_DIVIDENDYIELD2(B1785,E1785,"2019-11-29")</f>
        <v>2.2935779816513762</v>
      </c>
      <c r="T1785"/>
      <c r="U1785">
        <f>[1]!EM_S_RATIO_EPS_TTM(B1785,E1785,"1")</f>
        <v>0.25373553154539485</v>
      </c>
      <c r="AT1785" s="4" t="str">
        <f>[1]!EM_S_IPO_LISTEDDATE(B1785)</f>
        <v>1996-07-01</v>
      </c>
    </row>
    <row r="1786" spans="1:46">
      <c r="A1786">
        <v>631</v>
      </c>
      <c r="B1786" t="str">
        <f>"002120"</f>
        <v>002120</v>
      </c>
      <c r="C1786" t="s">
        <v>138</v>
      </c>
      <c r="D1786" t="str">
        <f>[1]!EM_S_INFO_INDEX_EM(B1786,"1")</f>
        <v>交通运输</v>
      </c>
      <c r="E1786" s="4">
        <f t="shared" si="27"/>
        <v>43465</v>
      </c>
      <c r="F1786" s="11">
        <f>[1]!EM_S_PQ_PCTCHANGE(B1786,"2018-01-01","2019-12-31","3")</f>
        <v>25.151528840000001</v>
      </c>
      <c r="G1786" s="11">
        <f>[1]!EM_S_PQ_PCTCHANGE(B1786,"2018-12-31","2019-12-30","1")</f>
        <v>9.1419141899999996</v>
      </c>
      <c r="H1786" s="11">
        <f>[1]!EM_S_FA_YOY_OR(B1786,E1786)</f>
        <v>38.760074555099997</v>
      </c>
      <c r="I1786" s="11">
        <f>[1]!EM_S_FA_GROSSPROFITMARGIN(B1786,E1786)</f>
        <v>28.017880608700001</v>
      </c>
      <c r="J1786" s="11">
        <f>[1]!EM_S_FA_NETPROFITMARGIN(B1786,E1786)</f>
        <v>18.780889929000001</v>
      </c>
      <c r="K1786" s="10">
        <f>[1]!EM_S_FA_ASSETSTURN(B1786,E1786)</f>
        <v>1.0084239061339999</v>
      </c>
      <c r="L1786" s="12">
        <f>[1]!EM_HKS_VAL_MV(B1786,"2019-12-31","2")</f>
        <v>74135339384.399994</v>
      </c>
      <c r="M1786">
        <f>[1]!EM_S_VAL_PETTMDEDUCTED(B1786,E1786)</f>
        <v>28.631618837883799</v>
      </c>
      <c r="N1786" s="7">
        <f>[1]!EM_S_VAL_PBGOODWILLDEDUCTED(B1786,E1786)</f>
        <v>4.5348214547306602</v>
      </c>
      <c r="O1786" s="7">
        <f>[1]!EM_S_VAL_PS_TTM(B1786,E1786)</f>
        <v>4.1870262929430204</v>
      </c>
      <c r="P1786" s="7">
        <f>[1]!EM_S_VAL_PCF_NCFTTM(B1786,E1786)</f>
        <v>45.012196926110001</v>
      </c>
      <c r="Q1786" s="7">
        <f>[1]!EM_S_VAL_DIVIDENDYIELD2(B1786,E1786,"2019-11-29")</f>
        <v>1.2597331167496055</v>
      </c>
      <c r="T1786"/>
      <c r="U1786">
        <f>[1]!EM_S_RATIO_EPS_TTM(B1786,E1786,"1")</f>
        <v>1.5752274134375839</v>
      </c>
      <c r="AT1786" s="4" t="str">
        <f>[1]!EM_S_IPO_LISTEDDATE(B1786)</f>
        <v>2007-03-06</v>
      </c>
    </row>
    <row r="1787" spans="1:46">
      <c r="A1787">
        <v>2573</v>
      </c>
      <c r="B1787" t="str">
        <f>"600488"</f>
        <v>600488</v>
      </c>
      <c r="C1787" t="s">
        <v>2248</v>
      </c>
      <c r="D1787" t="str">
        <f>[1]!EM_S_INFO_INDEX_EM(B1787,"1")</f>
        <v>医药生物</v>
      </c>
      <c r="E1787" s="4">
        <f t="shared" si="27"/>
        <v>43465</v>
      </c>
      <c r="F1787" s="11">
        <f>[1]!EM_S_PQ_PCTCHANGE(B1787,"2018-01-01","2019-12-31","3")</f>
        <v>-11.72600008</v>
      </c>
      <c r="G1787" s="11">
        <f>[1]!EM_S_PQ_PCTCHANGE(B1787,"2018-12-31","2019-12-30","1")</f>
        <v>9.1152815</v>
      </c>
      <c r="H1787" s="11">
        <f>[1]!EM_S_FA_YOY_OR(B1787,E1787)</f>
        <v>23.134565998199999</v>
      </c>
      <c r="I1787" s="11">
        <f>[1]!EM_S_FA_GROSSPROFITMARGIN(B1787,E1787)</f>
        <v>50.198358427099997</v>
      </c>
      <c r="J1787" s="11">
        <f>[1]!EM_S_FA_NETPROFITMARGIN(B1787,E1787)</f>
        <v>8.1126173595999997</v>
      </c>
      <c r="K1787" s="10">
        <f>[1]!EM_S_FA_ASSETSTURN(B1787,E1787)</f>
        <v>0.53456557594099996</v>
      </c>
      <c r="L1787" s="12">
        <f>[1]!EM_HKS_VAL_MV(B1787,"2019-12-31","2")</f>
        <v>4542248588.8000002</v>
      </c>
      <c r="M1787">
        <f>[1]!EM_S_VAL_PETTMDEDUCTED(B1787,E1787)</f>
        <v>27.6873746142081</v>
      </c>
      <c r="N1787" s="7">
        <f>[1]!EM_S_VAL_PBGOODWILLDEDUCTED(B1787,E1787)</f>
        <v>1.4350962499381099</v>
      </c>
      <c r="O1787" s="7">
        <f>[1]!EM_S_VAL_PS_TTM(B1787,E1787)</f>
        <v>1.69745825845745</v>
      </c>
      <c r="P1787" s="7">
        <f>[1]!EM_S_VAL_PCF_NCFTTM(B1787,E1787)</f>
        <v>127.659322689478</v>
      </c>
      <c r="Q1787" s="7">
        <f>[1]!EM_S_VAL_DIVIDENDYIELD2(B1787,E1787,"2019-11-29")</f>
        <v>1.3827160493827162</v>
      </c>
      <c r="T1787"/>
      <c r="U1787">
        <f>[1]!EM_S_RATIO_EPS_TTM(B1787,E1787,"1")</f>
        <v>0.14053688287506172</v>
      </c>
      <c r="AT1787" s="4" t="str">
        <f>[1]!EM_S_IPO_LISTEDDATE(B1787)</f>
        <v>2001-06-18</v>
      </c>
    </row>
    <row r="1788" spans="1:46">
      <c r="A1788">
        <v>2625</v>
      </c>
      <c r="B1788" t="str">
        <f>"600549"</f>
        <v>600549</v>
      </c>
      <c r="C1788" t="s">
        <v>2736</v>
      </c>
      <c r="D1788" t="str">
        <f>[1]!EM_S_INFO_INDEX_EM(B1788,"1")</f>
        <v>有色金属</v>
      </c>
      <c r="E1788" s="4">
        <f t="shared" si="27"/>
        <v>43465</v>
      </c>
      <c r="F1788" s="11">
        <f>[1]!EM_S_PQ_PCTCHANGE(B1788,"2018-01-01","2019-12-31","3")</f>
        <v>-32.749253549999999</v>
      </c>
      <c r="G1788" s="11">
        <f>[1]!EM_S_PQ_PCTCHANGE(B1788,"2018-12-31","2019-12-30","1")</f>
        <v>9.1059602599999998</v>
      </c>
      <c r="H1788" s="11">
        <f>[1]!EM_S_FA_YOY_OR(B1788,E1788)</f>
        <v>37.837237357500001</v>
      </c>
      <c r="I1788" s="11">
        <f>[1]!EM_S_FA_GROSSPROFITMARGIN(B1788,E1788)</f>
        <v>16.899270925300002</v>
      </c>
      <c r="J1788" s="11">
        <f>[1]!EM_S_FA_NETPROFITMARGIN(B1788,E1788)</f>
        <v>4.0994849336000003</v>
      </c>
      <c r="K1788" s="10">
        <f>[1]!EM_S_FA_ASSETSTURN(B1788,E1788)</f>
        <v>0.94578395955299999</v>
      </c>
      <c r="L1788" s="12">
        <f>[1]!EM_HKS_VAL_MV(B1788,"2019-12-31","2")</f>
        <v>18334842448</v>
      </c>
      <c r="M1788">
        <f>[1]!EM_S_VAL_PETTMDEDUCTED(B1788,E1788)</f>
        <v>54.488317805321103</v>
      </c>
      <c r="N1788" s="7">
        <f>[1]!EM_S_VAL_PBGOODWILLDEDUCTED(B1788,E1788)</f>
        <v>2.37938800007591</v>
      </c>
      <c r="O1788" s="7">
        <f>[1]!EM_S_VAL_PS_TTM(B1788,E1788)</f>
        <v>0.93880515948604604</v>
      </c>
      <c r="P1788" s="7">
        <f>[1]!EM_S_VAL_PCF_NCFTTM(B1788,E1788)</f>
        <v>159.104616494157</v>
      </c>
      <c r="Q1788" s="7">
        <f>[1]!EM_S_VAL_DIVIDENDYIELD2(B1788,E1788,"2019-11-29")</f>
        <v>1.2450414862162755</v>
      </c>
      <c r="T1788"/>
      <c r="U1788">
        <f>[1]!EM_S_RATIO_EPS_TTM(B1788,E1788,"1")</f>
        <v>0.35310923241402636</v>
      </c>
      <c r="AT1788" s="4" t="str">
        <f>[1]!EM_S_IPO_LISTEDDATE(B1788)</f>
        <v>2002-11-07</v>
      </c>
    </row>
    <row r="1789" spans="1:46">
      <c r="A1789">
        <v>3467</v>
      </c>
      <c r="B1789" t="str">
        <f>"603628"</f>
        <v>603628</v>
      </c>
      <c r="C1789" t="s">
        <v>3058</v>
      </c>
      <c r="D1789" t="str">
        <f>[1]!EM_S_INFO_INDEX_EM(B1789,"1")</f>
        <v>电气设备</v>
      </c>
      <c r="E1789" s="4">
        <f t="shared" si="27"/>
        <v>43465</v>
      </c>
      <c r="F1789" s="11">
        <f>[1]!EM_S_PQ_PCTCHANGE(B1789,"2018-01-01","2019-12-31","3")</f>
        <v>-43.334915410000001</v>
      </c>
      <c r="G1789" s="11">
        <f>[1]!EM_S_PQ_PCTCHANGE(B1789,"2018-12-31","2019-12-30","1")</f>
        <v>9.1034482800000003</v>
      </c>
      <c r="H1789" s="11">
        <f>[1]!EM_S_FA_YOY_OR(B1789,E1789)</f>
        <v>22.839145825500001</v>
      </c>
      <c r="I1789" s="11">
        <f>[1]!EM_S_FA_GROSSPROFITMARGIN(B1789,E1789)</f>
        <v>25.7500068748</v>
      </c>
      <c r="J1789" s="11">
        <f>[1]!EM_S_FA_NETPROFITMARGIN(B1789,E1789)</f>
        <v>3.0956398009999999</v>
      </c>
      <c r="K1789" s="10">
        <f>[1]!EM_S_FA_ASSETSTURN(B1789,E1789)</f>
        <v>0.37881994639099997</v>
      </c>
      <c r="L1789" s="12">
        <f>[1]!EM_HKS_VAL_MV(B1789,"2019-12-31","2")</f>
        <v>2179448000</v>
      </c>
      <c r="M1789">
        <f>[1]!EM_S_VAL_PETTMDEDUCTED(B1789,E1789)</f>
        <v>284.47940146284901</v>
      </c>
      <c r="N1789" s="7">
        <f>[1]!EM_S_VAL_PBGOODWILLDEDUCTED(B1789,E1789)</f>
        <v>2.0830017584776401</v>
      </c>
      <c r="O1789" s="7">
        <f>[1]!EM_S_VAL_PS_TTM(B1789,E1789)</f>
        <v>2.55936159765997</v>
      </c>
      <c r="P1789" s="7">
        <f>[1]!EM_S_VAL_PCF_NCFTTM(B1789,E1789)</f>
        <v>96.711887704215798</v>
      </c>
      <c r="Q1789" s="7">
        <f>[1]!EM_S_VAL_DIVIDENDYIELD2(B1789,E1789,"2019-11-29")</f>
        <v>0.26560424966799467</v>
      </c>
      <c r="T1789"/>
      <c r="U1789">
        <f>[1]!EM_S_RATIO_EPS_TTM(B1789,E1789,"1")</f>
        <v>9.0827737874360839E-2</v>
      </c>
      <c r="AT1789" s="4" t="str">
        <f>[1]!EM_S_IPO_LISTEDDATE(B1789)</f>
        <v>2017-01-12</v>
      </c>
    </row>
    <row r="1790" spans="1:46">
      <c r="A1790">
        <v>2255</v>
      </c>
      <c r="B1790" t="str">
        <f>"600108"</f>
        <v>600108</v>
      </c>
      <c r="C1790" t="s">
        <v>2642</v>
      </c>
      <c r="D1790" t="str">
        <f>[1]!EM_S_INFO_INDEX_EM(B1790,"1")</f>
        <v>农林牧渔</v>
      </c>
      <c r="E1790" s="4">
        <f t="shared" si="27"/>
        <v>43465</v>
      </c>
      <c r="F1790" s="11">
        <f>[1]!EM_S_PQ_PCTCHANGE(B1790,"2018-01-01","2019-12-31","3")</f>
        <v>-29.197080289999999</v>
      </c>
      <c r="G1790" s="11">
        <f>[1]!EM_S_PQ_PCTCHANGE(B1790,"2018-12-31","2019-12-30","1")</f>
        <v>9.0909090900000002</v>
      </c>
      <c r="H1790" s="11">
        <f>[1]!EM_S_FA_YOY_OR(B1790,E1790)</f>
        <v>21.350193263800001</v>
      </c>
      <c r="I1790" s="11">
        <f>[1]!EM_S_FA_GROSSPROFITMARGIN(B1790,E1790)</f>
        <v>20.660442076500001</v>
      </c>
      <c r="J1790" s="11">
        <f>[1]!EM_S_FA_NETPROFITMARGIN(B1790,E1790)</f>
        <v>3.2940176642000001</v>
      </c>
      <c r="K1790" s="10">
        <f>[1]!EM_S_FA_ASSETSTURN(B1790,E1790)</f>
        <v>0.30210354670599998</v>
      </c>
      <c r="L1790" s="12">
        <f>[1]!EM_HKS_VAL_MV(B1790,"2019-12-31","2")</f>
        <v>5665523002.1099997</v>
      </c>
      <c r="M1790">
        <f>[1]!EM_S_VAL_PETTMDEDUCTED(B1790,E1790)</f>
        <v>65.103203185244993</v>
      </c>
      <c r="N1790" s="7">
        <f>[1]!EM_S_VAL_PBGOODWILLDEDUCTED(B1790,E1790)</f>
        <v>1.0801089860549</v>
      </c>
      <c r="O1790" s="7">
        <f>[1]!EM_S_VAL_PS_TTM(B1790,E1790)</f>
        <v>2.3160657256343198</v>
      </c>
      <c r="P1790" s="7">
        <f>[1]!EM_S_VAL_PCF_NCFTTM(B1790,E1790)</f>
        <v>77.7311647193971</v>
      </c>
      <c r="Q1790" s="7">
        <f>[1]!EM_S_VAL_DIVIDENDYIELD2(B1790,E1790,"2019-11-29")</f>
        <v>0.16245487364620936</v>
      </c>
      <c r="T1790"/>
      <c r="U1790">
        <f>[1]!EM_S_RATIO_EPS_TTM(B1790,E1790,"1")</f>
        <v>4.3521225813110319E-2</v>
      </c>
      <c r="AT1790" s="4" t="str">
        <f>[1]!EM_S_IPO_LISTEDDATE(B1790)</f>
        <v>1997-08-18</v>
      </c>
    </row>
    <row r="1791" spans="1:46">
      <c r="A1791">
        <v>2454</v>
      </c>
      <c r="B1791" t="str">
        <f>"600329"</f>
        <v>600329</v>
      </c>
      <c r="C1791" t="s">
        <v>534</v>
      </c>
      <c r="D1791" t="str">
        <f>[1]!EM_S_INFO_INDEX_EM(B1791,"1")</f>
        <v>医药生物</v>
      </c>
      <c r="E1791" s="4">
        <f t="shared" si="27"/>
        <v>43465</v>
      </c>
      <c r="F1791" s="11">
        <f>[1]!EM_S_PQ_PCTCHANGE(B1791,"2018-01-01","2019-12-31","3")</f>
        <v>-4.4711821799999996</v>
      </c>
      <c r="G1791" s="11">
        <f>[1]!EM_S_PQ_PCTCHANGE(B1791,"2018-12-31","2019-12-30","1")</f>
        <v>9.0836012900000007</v>
      </c>
      <c r="H1791" s="11">
        <f>[1]!EM_S_FA_YOY_OR(B1791,E1791)</f>
        <v>11.765710865799999</v>
      </c>
      <c r="I1791" s="11">
        <f>[1]!EM_S_FA_GROSSPROFITMARGIN(B1791,E1791)</f>
        <v>41.452195688899998</v>
      </c>
      <c r="J1791" s="11">
        <f>[1]!EM_S_FA_NETPROFITMARGIN(B1791,E1791)</f>
        <v>8.9294155814000007</v>
      </c>
      <c r="K1791" s="10">
        <f>[1]!EM_S_FA_ASSETSTURN(B1791,E1791)</f>
        <v>0.92643271001399996</v>
      </c>
      <c r="L1791" s="12">
        <f>[1]!EM_HKS_VAL_MV(B1791,"2019-12-31","2")</f>
        <v>10656580833.360001</v>
      </c>
      <c r="M1791">
        <f>[1]!EM_S_VAL_PETTMDEDUCTED(B1791,E1791)</f>
        <v>19.244721450942301</v>
      </c>
      <c r="N1791" s="7">
        <f>[1]!EM_S_VAL_PBGOODWILLDEDUCTED(B1791,E1791)</f>
        <v>1.9413029333121601</v>
      </c>
      <c r="O1791" s="7">
        <f>[1]!EM_S_VAL_PS_TTM(B1791,E1791)</f>
        <v>1.57199693848789</v>
      </c>
      <c r="P1791" s="7">
        <f>[1]!EM_S_VAL_PCF_NCFTTM(B1791,E1791)</f>
        <v>20.107113711265502</v>
      </c>
      <c r="Q1791" s="7">
        <f>[1]!EM_S_VAL_DIVIDENDYIELD2(B1791,E1791,"2019-11-29")</f>
        <v>1.6442451420029895</v>
      </c>
      <c r="T1791"/>
      <c r="U1791">
        <f>[1]!EM_S_RATIO_EPS_TTM(B1791,E1791,"1")</f>
        <v>0.73052331247192748</v>
      </c>
      <c r="AT1791" s="4" t="str">
        <f>[1]!EM_S_IPO_LISTEDDATE(B1791)</f>
        <v>2001-06-06</v>
      </c>
    </row>
    <row r="1792" spans="1:46">
      <c r="A1792">
        <v>1024</v>
      </c>
      <c r="B1792" t="str">
        <f>"002513"</f>
        <v>002513</v>
      </c>
      <c r="C1792" t="s">
        <v>2174</v>
      </c>
      <c r="D1792" t="str">
        <f>[1]!EM_S_INFO_INDEX_EM(B1792,"1")</f>
        <v>基础化工</v>
      </c>
      <c r="E1792" s="4">
        <f t="shared" si="27"/>
        <v>43465</v>
      </c>
      <c r="F1792" s="11">
        <f>[1]!EM_S_PQ_PCTCHANGE(B1792,"2018-01-01","2019-12-31","3")</f>
        <v>-29.112662010000001</v>
      </c>
      <c r="G1792" s="11">
        <f>[1]!EM_S_PQ_PCTCHANGE(B1792,"2018-12-31","2019-12-30","1")</f>
        <v>9.0769230800000003</v>
      </c>
      <c r="H1792" s="11">
        <f>[1]!EM_S_FA_YOY_OR(B1792,E1792)</f>
        <v>-19.952480150900001</v>
      </c>
      <c r="I1792" s="11">
        <f>[1]!EM_S_FA_GROSSPROFITMARGIN(B1792,E1792)</f>
        <v>24.336018353699998</v>
      </c>
      <c r="J1792" s="11">
        <f>[1]!EM_S_FA_NETPROFITMARGIN(B1792,E1792)</f>
        <v>-59.062776285299996</v>
      </c>
      <c r="K1792" s="10">
        <f>[1]!EM_S_FA_ASSETSTURN(B1792,E1792)</f>
        <v>0.39194034449999998</v>
      </c>
      <c r="L1792" s="12">
        <f>[1]!EM_HKS_VAL_MV(B1792,"2019-12-31","2")</f>
        <v>2418013436.5799999</v>
      </c>
      <c r="M1792">
        <f>[1]!EM_S_VAL_PETTMDEDUCTED(B1792,E1792)</f>
        <v>-26.055200100385498</v>
      </c>
      <c r="N1792" s="7">
        <f>[1]!EM_S_VAL_PBGOODWILLDEDUCTED(B1792,E1792)</f>
        <v>1.5486290527361599</v>
      </c>
      <c r="O1792" s="7">
        <f>[1]!EM_S_VAL_PS_TTM(B1792,E1792)</f>
        <v>1.30309205009896</v>
      </c>
      <c r="P1792" s="7">
        <f>[1]!EM_S_VAL_PCF_NCFTTM(B1792,E1792)</f>
        <v>-8.5112923518502797</v>
      </c>
      <c r="Q1792" s="7">
        <f>[1]!EM_S_VAL_DIVIDENDYIELD2(B1792,E1792,"2019-11-29")</f>
        <v>0</v>
      </c>
      <c r="T1792"/>
      <c r="U1792">
        <f>[1]!EM_S_RATIO_EPS_TTM(B1792,E1792,"1")</f>
        <v>-2.5727333867025353</v>
      </c>
      <c r="AT1792" s="4" t="str">
        <f>[1]!EM_S_IPO_LISTEDDATE(B1792)</f>
        <v>2010-12-03</v>
      </c>
    </row>
    <row r="1793" spans="1:46">
      <c r="A1793">
        <v>3058</v>
      </c>
      <c r="B1793" t="str">
        <f>"601126"</f>
        <v>601126</v>
      </c>
      <c r="C1793" t="s">
        <v>3284</v>
      </c>
      <c r="D1793" t="str">
        <f>[1]!EM_S_INFO_INDEX_EM(B1793,"1")</f>
        <v>电气设备</v>
      </c>
      <c r="E1793" s="4">
        <f t="shared" si="27"/>
        <v>43465</v>
      </c>
      <c r="F1793" s="11">
        <f>[1]!EM_S_PQ_PCTCHANGE(B1793,"2018-01-01","2019-12-31","3")</f>
        <v>-25.041857</v>
      </c>
      <c r="G1793" s="11">
        <f>[1]!EM_S_PQ_PCTCHANGE(B1793,"2018-12-31","2019-12-30","1")</f>
        <v>9.0373280900000008</v>
      </c>
      <c r="H1793" s="11">
        <f>[1]!EM_S_FA_YOY_OR(B1793,E1793)</f>
        <v>10.8810498456</v>
      </c>
      <c r="I1793" s="11">
        <f>[1]!EM_S_FA_GROSSPROFITMARGIN(B1793,E1793)</f>
        <v>42.570480729800003</v>
      </c>
      <c r="J1793" s="11">
        <f>[1]!EM_S_FA_NETPROFITMARGIN(B1793,E1793)</f>
        <v>5.6909596511</v>
      </c>
      <c r="K1793" s="10">
        <f>[1]!EM_S_FA_ASSETSTURN(B1793,E1793)</f>
        <v>0.63368209619299998</v>
      </c>
      <c r="L1793" s="12">
        <f>[1]!EM_HKS_VAL_MV(B1793,"2019-12-31","2")</f>
        <v>4504972880</v>
      </c>
      <c r="M1793">
        <f>[1]!EM_S_VAL_PETTMDEDUCTED(B1793,E1793)</f>
        <v>18.469823622176602</v>
      </c>
      <c r="N1793" s="7">
        <f>[1]!EM_S_VAL_PBGOODWILLDEDUCTED(B1793,E1793)</f>
        <v>1.05388323074871</v>
      </c>
      <c r="O1793" s="7">
        <f>[1]!EM_S_VAL_PS_TTM(B1793,E1793)</f>
        <v>1.2361962907897901</v>
      </c>
      <c r="P1793" s="7">
        <f>[1]!EM_S_VAL_PCF_NCFTTM(B1793,E1793)</f>
        <v>-428.43531738075399</v>
      </c>
      <c r="Q1793" s="7">
        <f>[1]!EM_S_VAL_DIVIDENDYIELD2(B1793,E1793,"2019-11-29")</f>
        <v>3.2541133455210236</v>
      </c>
      <c r="T1793"/>
      <c r="U1793">
        <f>[1]!EM_S_RATIO_EPS_TTM(B1793,E1793,"1")</f>
        <v>0.26685270376992815</v>
      </c>
      <c r="AT1793" s="4" t="str">
        <f>[1]!EM_S_IPO_LISTEDDATE(B1793)</f>
        <v>2010-12-31</v>
      </c>
    </row>
    <row r="1794" spans="1:46">
      <c r="A1794">
        <v>1860</v>
      </c>
      <c r="B1794" t="str">
        <f>"300435"</f>
        <v>300435</v>
      </c>
      <c r="C1794" t="s">
        <v>998</v>
      </c>
      <c r="D1794" t="str">
        <f>[1]!EM_S_INFO_INDEX_EM(B1794,"1")</f>
        <v>机械设备</v>
      </c>
      <c r="E1794" s="4">
        <f t="shared" si="27"/>
        <v>43465</v>
      </c>
      <c r="F1794" s="11">
        <f>[1]!EM_S_PQ_PCTCHANGE(B1794,"2018-01-01","2019-12-31","3")</f>
        <v>-32.231285649999997</v>
      </c>
      <c r="G1794" s="11">
        <f>[1]!EM_S_PQ_PCTCHANGE(B1794,"2018-12-31","2019-12-30","1")</f>
        <v>9.0355329900000001</v>
      </c>
      <c r="H1794" s="11">
        <f>[1]!EM_S_FA_YOY_OR(B1794,E1794)</f>
        <v>22.478777642099999</v>
      </c>
      <c r="I1794" s="11">
        <f>[1]!EM_S_FA_GROSSPROFITMARGIN(B1794,E1794)</f>
        <v>25.428235644600001</v>
      </c>
      <c r="J1794" s="11">
        <f>[1]!EM_S_FA_NETPROFITMARGIN(B1794,E1794)</f>
        <v>10.8488379654</v>
      </c>
      <c r="K1794" s="10">
        <f>[1]!EM_S_FA_ASSETSTURN(B1794,E1794)</f>
        <v>0.43605300654700002</v>
      </c>
      <c r="L1794" s="12">
        <f>[1]!EM_HKS_VAL_MV(B1794,"2019-12-31","2")</f>
        <v>4069989368</v>
      </c>
      <c r="M1794">
        <f>[1]!EM_S_VAL_PETTMDEDUCTED(B1794,E1794)</f>
        <v>45.528711701500299</v>
      </c>
      <c r="N1794" s="7">
        <f>[1]!EM_S_VAL_PBGOODWILLDEDUCTED(B1794,E1794)</f>
        <v>3.0208467166899999</v>
      </c>
      <c r="O1794" s="7">
        <f>[1]!EM_S_VAL_PS_TTM(B1794,E1794)</f>
        <v>4.1632755578007803</v>
      </c>
      <c r="P1794" s="7">
        <f>[1]!EM_S_VAL_PCF_NCFTTM(B1794,E1794)</f>
        <v>-18.6415275314849</v>
      </c>
      <c r="Q1794" s="7">
        <f>[1]!EM_S_VAL_DIVIDENDYIELD2(B1794,E1794,"2019-11-29")</f>
        <v>0.33161191736008211</v>
      </c>
      <c r="T1794"/>
      <c r="U1794">
        <f>[1]!EM_S_RATIO_EPS_TTM(B1794,E1794,"1")</f>
        <v>0.27104975786672653</v>
      </c>
      <c r="AT1794" s="4" t="str">
        <f>[1]!EM_S_IPO_LISTEDDATE(B1794)</f>
        <v>2015-03-26</v>
      </c>
    </row>
    <row r="1795" spans="1:46">
      <c r="A1795">
        <v>973</v>
      </c>
      <c r="B1795" t="str">
        <f>"002462"</f>
        <v>002462</v>
      </c>
      <c r="C1795" t="s">
        <v>512</v>
      </c>
      <c r="D1795" t="str">
        <f>[1]!EM_S_INFO_INDEX_EM(B1795,"1")</f>
        <v>医药生物</v>
      </c>
      <c r="E1795" s="4">
        <f t="shared" ref="E1795:E1858" si="28">$B$1</f>
        <v>43465</v>
      </c>
      <c r="F1795" s="11">
        <f>[1]!EM_S_PQ_PCTCHANGE(B1795,"2018-01-01","2019-12-31","3")</f>
        <v>-37.348054329999997</v>
      </c>
      <c r="G1795" s="11">
        <f>[1]!EM_S_PQ_PCTCHANGE(B1795,"2018-12-31","2019-12-30","1")</f>
        <v>8.9965397899999999</v>
      </c>
      <c r="H1795" s="11">
        <f>[1]!EM_S_FA_YOY_OR(B1795,E1795)</f>
        <v>26.1325370922</v>
      </c>
      <c r="I1795" s="11">
        <f>[1]!EM_S_FA_GROSSPROFITMARGIN(B1795,E1795)</f>
        <v>10.2316696269</v>
      </c>
      <c r="J1795" s="11">
        <f>[1]!EM_S_FA_NETPROFITMARGIN(B1795,E1795)</f>
        <v>3.1771481351999999</v>
      </c>
      <c r="K1795" s="10">
        <f>[1]!EM_S_FA_ASSETSTURN(B1795,E1795)</f>
        <v>1.7910679228999999</v>
      </c>
      <c r="L1795" s="12">
        <f>[1]!EM_HKS_VAL_MV(B1795,"2019-12-31","2")</f>
        <v>4678982204.8000002</v>
      </c>
      <c r="M1795">
        <f>[1]!EM_S_VAL_PETTMDEDUCTED(B1795,E1795)</f>
        <v>11.5195630886319</v>
      </c>
      <c r="N1795" s="7">
        <f>[1]!EM_S_VAL_PBGOODWILLDEDUCTED(B1795,E1795)</f>
        <v>1.9659160924529899</v>
      </c>
      <c r="O1795" s="7">
        <f>[1]!EM_S_VAL_PS_TTM(B1795,E1795)</f>
        <v>0.21070458725597699</v>
      </c>
      <c r="P1795" s="7">
        <f>[1]!EM_S_VAL_PCF_NCFTTM(B1795,E1795)</f>
        <v>-81.470509294333894</v>
      </c>
      <c r="Q1795" s="7">
        <f>[1]!EM_S_VAL_DIVIDENDYIELD2(B1795,E1795,"2019-11-29")</f>
        <v>0.80264322307475466</v>
      </c>
      <c r="T1795"/>
      <c r="U1795">
        <f>[1]!EM_S_RATIO_EPS_TTM(B1795,E1795,"1")</f>
        <v>1.3077797253354404</v>
      </c>
      <c r="AT1795" s="4" t="str">
        <f>[1]!EM_S_IPO_LISTEDDATE(B1795)</f>
        <v>2010-08-18</v>
      </c>
    </row>
    <row r="1796" spans="1:46">
      <c r="A1796">
        <v>2871</v>
      </c>
      <c r="B1796" t="str">
        <f>"600798"</f>
        <v>600798</v>
      </c>
      <c r="C1796" t="s">
        <v>2348</v>
      </c>
      <c r="D1796" t="str">
        <f>[1]!EM_S_INFO_INDEX_EM(B1796,"1")</f>
        <v>交通运输</v>
      </c>
      <c r="E1796" s="4">
        <f t="shared" si="28"/>
        <v>43465</v>
      </c>
      <c r="F1796" s="11">
        <f>[1]!EM_S_PQ_PCTCHANGE(B1796,"2018-01-01","2019-12-31","3")</f>
        <v>-27.449472650000001</v>
      </c>
      <c r="G1796" s="11">
        <f>[1]!EM_S_PQ_PCTCHANGE(B1796,"2018-12-31","2019-12-30","1")</f>
        <v>8.9783281699999993</v>
      </c>
      <c r="H1796" s="11">
        <f>[1]!EM_S_FA_YOY_OR(B1796,E1796)</f>
        <v>20.2618260466</v>
      </c>
      <c r="I1796" s="11">
        <f>[1]!EM_S_FA_GROSSPROFITMARGIN(B1796,E1796)</f>
        <v>26.001800062200001</v>
      </c>
      <c r="J1796" s="11">
        <f>[1]!EM_S_FA_NETPROFITMARGIN(B1796,E1796)</f>
        <v>14.572285109099999</v>
      </c>
      <c r="K1796" s="10">
        <f>[1]!EM_S_FA_ASSETSTURN(B1796,E1796)</f>
        <v>0.37395413065799998</v>
      </c>
      <c r="L1796" s="12">
        <f>[1]!EM_HKS_VAL_MV(B1796,"2019-12-31","2")</f>
        <v>4295261755.5600004</v>
      </c>
      <c r="M1796">
        <f>[1]!EM_S_VAL_PETTMDEDUCTED(B1796,E1796)</f>
        <v>23.733297117131599</v>
      </c>
      <c r="N1796" s="7">
        <f>[1]!EM_S_VAL_PBGOODWILLDEDUCTED(B1796,E1796)</f>
        <v>1.1317545908938</v>
      </c>
      <c r="O1796" s="7">
        <f>[1]!EM_S_VAL_PS_TTM(B1796,E1796)</f>
        <v>2.07178767630286</v>
      </c>
      <c r="P1796" s="7">
        <f>[1]!EM_S_VAL_PCF_NCFTTM(B1796,E1796)</f>
        <v>25.830032072195301</v>
      </c>
      <c r="Q1796" s="7">
        <f>[1]!EM_S_VAL_DIVIDENDYIELD2(B1796,E1796,"2019-11-29")</f>
        <v>1.7647058823529411</v>
      </c>
      <c r="T1796"/>
      <c r="U1796">
        <f>[1]!EM_S_RATIO_EPS_TTM(B1796,E1796,"1")</f>
        <v>0.19529286171474222</v>
      </c>
      <c r="AT1796" s="4" t="str">
        <f>[1]!EM_S_IPO_LISTEDDATE(B1796)</f>
        <v>1997-04-23</v>
      </c>
    </row>
    <row r="1797" spans="1:46">
      <c r="A1797">
        <v>2564</v>
      </c>
      <c r="B1797" t="str">
        <f>"600478"</f>
        <v>600478</v>
      </c>
      <c r="C1797" t="s">
        <v>3288</v>
      </c>
      <c r="D1797" t="str">
        <f>[1]!EM_S_INFO_INDEX_EM(B1797,"1")</f>
        <v>有色金属</v>
      </c>
      <c r="E1797" s="4">
        <f t="shared" si="28"/>
        <v>43465</v>
      </c>
      <c r="F1797" s="11">
        <f>[1]!EM_S_PQ_PCTCHANGE(B1797,"2018-01-01","2019-12-31","3")</f>
        <v>-40.379403789999998</v>
      </c>
      <c r="G1797" s="11">
        <f>[1]!EM_S_PQ_PCTCHANGE(B1797,"2018-12-31","2019-12-30","1")</f>
        <v>8.9743589700000008</v>
      </c>
      <c r="H1797" s="11">
        <f>[1]!EM_S_FA_YOY_OR(B1797,E1797)</f>
        <v>20.9304279409</v>
      </c>
      <c r="I1797" s="11">
        <f>[1]!EM_S_FA_GROSSPROFITMARGIN(B1797,E1797)</f>
        <v>17.605808016299999</v>
      </c>
      <c r="J1797" s="11">
        <f>[1]!EM_S_FA_NETPROFITMARGIN(B1797,E1797)</f>
        <v>0.28091469000000002</v>
      </c>
      <c r="K1797" s="10">
        <f>[1]!EM_S_FA_ASSETSTURN(B1797,E1797)</f>
        <v>0.28922888333300001</v>
      </c>
      <c r="L1797" s="12">
        <f>[1]!EM_HKS_VAL_MV(B1797,"2019-12-31","2")</f>
        <v>7274438098.3999996</v>
      </c>
      <c r="M1797">
        <f>[1]!EM_S_VAL_PETTMDEDUCTED(B1797,E1797)</f>
        <v>-134.24647118702001</v>
      </c>
      <c r="N1797" s="7">
        <f>[1]!EM_S_VAL_PBGOODWILLDEDUCTED(B1797,E1797)</f>
        <v>2.7320354211868798</v>
      </c>
      <c r="O1797" s="7">
        <f>[1]!EM_S_VAL_PS_TTM(B1797,E1797)</f>
        <v>3.3803676666957401</v>
      </c>
      <c r="P1797" s="7">
        <f>[1]!EM_S_VAL_PCF_NCFTTM(B1797,E1797)</f>
        <v>14.5252845264152</v>
      </c>
      <c r="Q1797" s="7">
        <f>[1]!EM_S_VAL_DIVIDENDYIELD2(B1797,E1797,"2019-11-29")</f>
        <v>0</v>
      </c>
      <c r="T1797"/>
      <c r="U1797">
        <f>[1]!EM_S_RATIO_EPS_TTM(B1797,E1797,"1")</f>
        <v>1.4779139870819269E-2</v>
      </c>
      <c r="AT1797" s="4" t="str">
        <f>[1]!EM_S_IPO_LISTEDDATE(B1797)</f>
        <v>2003-09-18</v>
      </c>
    </row>
    <row r="1798" spans="1:46">
      <c r="A1798">
        <v>1462</v>
      </c>
      <c r="B1798" t="str">
        <f>"300036"</f>
        <v>300036</v>
      </c>
      <c r="C1798" t="s">
        <v>2518</v>
      </c>
      <c r="D1798" t="str">
        <f>[1]!EM_S_INFO_INDEX_EM(B1798,"1")</f>
        <v>信息技术</v>
      </c>
      <c r="E1798" s="4">
        <f t="shared" si="28"/>
        <v>43465</v>
      </c>
      <c r="F1798" s="11">
        <f>[1]!EM_S_PQ_PCTCHANGE(B1798,"2018-01-01","2019-12-31","3")</f>
        <v>30.282294019999998</v>
      </c>
      <c r="G1798" s="11">
        <f>[1]!EM_S_PQ_PCTCHANGE(B1798,"2018-12-31","2019-12-30","1")</f>
        <v>8.9470812899999999</v>
      </c>
      <c r="H1798" s="11">
        <f>[1]!EM_S_FA_YOY_OR(B1798,E1798)</f>
        <v>21.446516945199999</v>
      </c>
      <c r="I1798" s="11">
        <f>[1]!EM_S_FA_GROSSPROFITMARGIN(B1798,E1798)</f>
        <v>55.072030438699997</v>
      </c>
      <c r="J1798" s="11">
        <f>[1]!EM_S_FA_NETPROFITMARGIN(B1798,E1798)</f>
        <v>10.291458221699999</v>
      </c>
      <c r="K1798" s="10">
        <f>[1]!EM_S_FA_ASSETSTURN(B1798,E1798)</f>
        <v>0.55672892546300001</v>
      </c>
      <c r="L1798" s="12">
        <f>[1]!EM_HKS_VAL_MV(B1798,"2019-12-31","2")</f>
        <v>8959279724.3099995</v>
      </c>
      <c r="M1798">
        <f>[1]!EM_S_VAL_PETTMDEDUCTED(B1798,E1798)</f>
        <v>40.485625520135201</v>
      </c>
      <c r="N1798" s="7">
        <f>[1]!EM_S_VAL_PBGOODWILLDEDUCTED(B1798,E1798)</f>
        <v>6.7108446650215203</v>
      </c>
      <c r="O1798" s="7">
        <f>[1]!EM_S_VAL_PS_TTM(B1798,E1798)</f>
        <v>5.6905293403367398</v>
      </c>
      <c r="P1798" s="7">
        <f>[1]!EM_S_VAL_PCF_NCFTTM(B1798,E1798)</f>
        <v>-299.51616751937098</v>
      </c>
      <c r="Q1798" s="7">
        <f>[1]!EM_S_VAL_DIVIDENDYIELD2(B1798,E1798,"2019-11-29")</f>
        <v>0.41118421052631576</v>
      </c>
      <c r="T1798"/>
      <c r="U1798">
        <f>[1]!EM_S_RATIO_EPS_TTM(B1798,E1798,"1")</f>
        <v>0.37285541624396268</v>
      </c>
      <c r="AT1798" s="4" t="str">
        <f>[1]!EM_S_IPO_LISTEDDATE(B1798)</f>
        <v>2009-12-25</v>
      </c>
    </row>
    <row r="1799" spans="1:46">
      <c r="A1799">
        <v>1757</v>
      </c>
      <c r="B1799" t="str">
        <f>"300332"</f>
        <v>300332</v>
      </c>
      <c r="C1799" t="s">
        <v>3286</v>
      </c>
      <c r="D1799" t="str">
        <f>[1]!EM_S_INFO_INDEX_EM(B1799,"1")</f>
        <v>公用事业</v>
      </c>
      <c r="E1799" s="4">
        <f t="shared" si="28"/>
        <v>43465</v>
      </c>
      <c r="F1799" s="11">
        <f>[1]!EM_S_PQ_PCTCHANGE(B1799,"2018-01-01","2019-12-31","3")</f>
        <v>-37.579757540000003</v>
      </c>
      <c r="G1799" s="11">
        <f>[1]!EM_S_PQ_PCTCHANGE(B1799,"2018-12-31","2019-12-30","1")</f>
        <v>8.9430894300000006</v>
      </c>
      <c r="H1799" s="11">
        <f>[1]!EM_S_FA_YOY_OR(B1799,E1799)</f>
        <v>-0.48840322860000002</v>
      </c>
      <c r="I1799" s="11">
        <f>[1]!EM_S_FA_GROSSPROFITMARGIN(B1799,E1799)</f>
        <v>23.359169717</v>
      </c>
      <c r="J1799" s="11">
        <f>[1]!EM_S_FA_NETPROFITMARGIN(B1799,E1799)</f>
        <v>0.98434520280000004</v>
      </c>
      <c r="K1799" s="10">
        <f>[1]!EM_S_FA_ASSETSTURN(B1799,E1799)</f>
        <v>0.23952961479400001</v>
      </c>
      <c r="L1799" s="12">
        <f>[1]!EM_HKS_VAL_MV(B1799,"2019-12-31","2")</f>
        <v>3582417496.1300001</v>
      </c>
      <c r="M1799">
        <f>[1]!EM_S_VAL_PETTMDEDUCTED(B1799,E1799)</f>
        <v>85.5730747336289</v>
      </c>
      <c r="N1799" s="7">
        <f>[1]!EM_S_VAL_PBGOODWILLDEDUCTED(B1799,E1799)</f>
        <v>1.40682303601421</v>
      </c>
      <c r="O1799" s="7">
        <f>[1]!EM_S_VAL_PS_TTM(B1799,E1799)</f>
        <v>1.62520392523299</v>
      </c>
      <c r="P1799" s="7">
        <f>[1]!EM_S_VAL_PCF_NCFTTM(B1799,E1799)</f>
        <v>-17.9267345537293</v>
      </c>
      <c r="Q1799" s="7">
        <f>[1]!EM_S_VAL_DIVIDENDYIELD2(B1799,E1799,"2019-11-29")</f>
        <v>0.53475935828877008</v>
      </c>
      <c r="T1799"/>
      <c r="U1799">
        <f>[1]!EM_S_RATIO_EPS_TTM(B1799,E1799,"1")</f>
        <v>9.5882124798062712E-2</v>
      </c>
      <c r="AT1799" s="4" t="str">
        <f>[1]!EM_S_IPO_LISTEDDATE(B1799)</f>
        <v>2012-06-28</v>
      </c>
    </row>
    <row r="1800" spans="1:46">
      <c r="A1800">
        <v>2320</v>
      </c>
      <c r="B1800" t="str">
        <f>"600182"</f>
        <v>600182</v>
      </c>
      <c r="C1800" t="s">
        <v>1038</v>
      </c>
      <c r="D1800" t="str">
        <f>[1]!EM_S_INFO_INDEX_EM(B1800,"1")</f>
        <v>基础化工</v>
      </c>
      <c r="E1800" s="4">
        <f t="shared" si="28"/>
        <v>43465</v>
      </c>
      <c r="F1800" s="11">
        <f>[1]!EM_S_PQ_PCTCHANGE(B1800,"2018-01-01","2019-12-31","3")</f>
        <v>-31.51715664</v>
      </c>
      <c r="G1800" s="11">
        <f>[1]!EM_S_PQ_PCTCHANGE(B1800,"2018-12-31","2019-12-30","1")</f>
        <v>8.9249492900000007</v>
      </c>
      <c r="H1800" s="11">
        <f>[1]!EM_S_FA_YOY_OR(B1800,E1800)</f>
        <v>-2.5565481628</v>
      </c>
      <c r="I1800" s="11">
        <f>[1]!EM_S_FA_GROSSPROFITMARGIN(B1800,E1800)</f>
        <v>16.590901218399999</v>
      </c>
      <c r="J1800" s="11">
        <f>[1]!EM_S_FA_NETPROFITMARGIN(B1800,E1800)</f>
        <v>5.4678073474</v>
      </c>
      <c r="K1800" s="10">
        <f>[1]!EM_S_FA_ASSETSTURN(B1800,E1800)</f>
        <v>1.228070274649</v>
      </c>
      <c r="L1800" s="12">
        <f>[1]!EM_HKS_VAL_MV(B1800,"2019-12-31","2")</f>
        <v>5514800000</v>
      </c>
      <c r="M1800">
        <f>[1]!EM_S_VAL_PETTMDEDUCTED(B1800,E1800)</f>
        <v>53.364028452108201</v>
      </c>
      <c r="N1800" s="7">
        <f>[1]!EM_S_VAL_PBGOODWILLDEDUCTED(B1800,E1800)</f>
        <v>5.5006859548783797</v>
      </c>
      <c r="O1800" s="7">
        <f>[1]!EM_S_VAL_PS_TTM(B1800,E1800)</f>
        <v>1.4856148463622101</v>
      </c>
      <c r="P1800" s="7">
        <f>[1]!EM_S_VAL_PCF_NCFTTM(B1800,E1800)</f>
        <v>48.099152659611903</v>
      </c>
      <c r="Q1800" s="7">
        <f>[1]!EM_S_VAL_DIVIDENDYIELD2(B1800,E1800,"2019-11-29")</f>
        <v>0.52185257664709717</v>
      </c>
      <c r="T1800"/>
      <c r="U1800">
        <f>[1]!EM_S_RATIO_EPS_TTM(B1800,E1800,"1")</f>
        <v>0.26130277902941179</v>
      </c>
      <c r="AT1800" s="4" t="str">
        <f>[1]!EM_S_IPO_LISTEDDATE(B1800)</f>
        <v>1999-05-07</v>
      </c>
    </row>
    <row r="1801" spans="1:46">
      <c r="A1801">
        <v>1570</v>
      </c>
      <c r="B1801" t="str">
        <f>"300145"</f>
        <v>300145</v>
      </c>
      <c r="C1801" t="s">
        <v>999</v>
      </c>
      <c r="D1801" t="str">
        <f>[1]!EM_S_INFO_INDEX_EM(B1801,"1")</f>
        <v>机械设备</v>
      </c>
      <c r="E1801" s="4">
        <f t="shared" si="28"/>
        <v>43465</v>
      </c>
      <c r="F1801" s="11">
        <f>[1]!EM_S_PQ_PCTCHANGE(B1801,"2018-01-01","2019-12-31","3")</f>
        <v>-53.236544430000002</v>
      </c>
      <c r="G1801" s="11">
        <f>[1]!EM_S_PQ_PCTCHANGE(B1801,"2018-12-31","2019-12-30","1")</f>
        <v>8.9230769199999997</v>
      </c>
      <c r="H1801" s="11">
        <f>[1]!EM_S_FA_YOY_OR(B1801,E1801)</f>
        <v>14.3633913017</v>
      </c>
      <c r="I1801" s="11">
        <f>[1]!EM_S_FA_GROSSPROFITMARGIN(B1801,E1801)</f>
        <v>38.564075021800001</v>
      </c>
      <c r="J1801" s="11">
        <f>[1]!EM_S_FA_NETPROFITMARGIN(B1801,E1801)</f>
        <v>10.273310304500001</v>
      </c>
      <c r="K1801" s="10">
        <f>[1]!EM_S_FA_ASSETSTURN(B1801,E1801)</f>
        <v>0.44183116056900001</v>
      </c>
      <c r="L1801" s="12">
        <f>[1]!EM_HKS_VAL_MV(B1801,"2019-12-31","2")</f>
        <v>6674330678.9200001</v>
      </c>
      <c r="M1801">
        <f>[1]!EM_S_VAL_PETTMDEDUCTED(B1801,E1801)</f>
        <v>10.750190301396</v>
      </c>
      <c r="N1801" s="7">
        <f>[1]!EM_S_VAL_PBGOODWILLDEDUCTED(B1801,E1801)</f>
        <v>3.3459774892008598</v>
      </c>
      <c r="O1801" s="7">
        <f>[1]!EM_S_VAL_PS_TTM(B1801,E1801)</f>
        <v>1.4314923381892699</v>
      </c>
      <c r="P1801" s="7">
        <f>[1]!EM_S_VAL_PCF_NCFTTM(B1801,E1801)</f>
        <v>25.0833974606326</v>
      </c>
      <c r="Q1801" s="7">
        <f>[1]!EM_S_VAL_DIVIDENDYIELD2(B1801,E1801,"2019-11-29")</f>
        <v>0</v>
      </c>
      <c r="T1801"/>
      <c r="U1801">
        <f>[1]!EM_S_RATIO_EPS_TTM(B1801,E1801,"1")</f>
        <v>0.22368091501327522</v>
      </c>
      <c r="AT1801" s="4" t="str">
        <f>[1]!EM_S_IPO_LISTEDDATE(B1801)</f>
        <v>2010-12-09</v>
      </c>
    </row>
    <row r="1802" spans="1:46">
      <c r="A1802">
        <v>2681</v>
      </c>
      <c r="B1802" t="str">
        <f>"600608"</f>
        <v>600608</v>
      </c>
      <c r="C1802" t="s">
        <v>3499</v>
      </c>
      <c r="D1802" t="str">
        <f>[1]!EM_S_INFO_INDEX_EM(B1802,"1")</f>
        <v>钢铁</v>
      </c>
      <c r="E1802" s="4">
        <f t="shared" si="28"/>
        <v>43465</v>
      </c>
      <c r="F1802" s="11">
        <f>[1]!EM_S_PQ_PCTCHANGE(B1802,"2018-01-01","2019-12-31","3")</f>
        <v>-42.676767679999998</v>
      </c>
      <c r="G1802" s="11">
        <f>[1]!EM_S_PQ_PCTCHANGE(B1802,"2018-12-31","2019-12-30","1")</f>
        <v>8.9156626499999998</v>
      </c>
      <c r="H1802" s="11">
        <f>[1]!EM_S_FA_YOY_OR(B1802,E1802)</f>
        <v>113.5596985494</v>
      </c>
      <c r="I1802" s="11">
        <f>[1]!EM_S_FA_GROSSPROFITMARGIN(B1802,E1802)</f>
        <v>0.98483144300000003</v>
      </c>
      <c r="J1802" s="11">
        <f>[1]!EM_S_FA_NETPROFITMARGIN(B1802,E1802)</f>
        <v>-0.25937601069999999</v>
      </c>
      <c r="K1802" s="10">
        <f>[1]!EM_S_FA_ASSETSTURN(B1802,E1802)</f>
        <v>5.5425994151599998</v>
      </c>
      <c r="L1802" s="12">
        <f>[1]!EM_HKS_VAL_MV(B1802,"2019-12-31","2")</f>
        <v>1493030942.1400001</v>
      </c>
      <c r="M1802">
        <f>[1]!EM_S_VAL_PETTMDEDUCTED(B1802,E1802)</f>
        <v>-101.14865813035701</v>
      </c>
      <c r="N1802" s="7">
        <f>[1]!EM_S_VAL_PBGOODWILLDEDUCTED(B1802,E1802)</f>
        <v>24.250210465852099</v>
      </c>
      <c r="O1802" s="7">
        <f>[1]!EM_S_VAL_PS_TTM(B1802,E1802)</f>
        <v>1.4160974873838399</v>
      </c>
      <c r="P1802" s="7">
        <f>[1]!EM_S_VAL_PCF_NCFTTM(B1802,E1802)</f>
        <v>-41.301929218763199</v>
      </c>
      <c r="Q1802" s="7">
        <f>[1]!EM_S_VAL_DIVIDENDYIELD2(B1802,E1802,"2019-11-29")</f>
        <v>0</v>
      </c>
      <c r="T1802"/>
      <c r="U1802">
        <f>[1]!EM_S_RATIO_EPS_TTM(B1802,E1802,"1")</f>
        <v>-7.6820828319608316E-3</v>
      </c>
      <c r="AT1802" s="4" t="str">
        <f>[1]!EM_S_IPO_LISTEDDATE(B1802)</f>
        <v>1992-03-27</v>
      </c>
    </row>
    <row r="1803" spans="1:46">
      <c r="A1803">
        <v>2988</v>
      </c>
      <c r="B1803" t="str">
        <f>"600961"</f>
        <v>600961</v>
      </c>
      <c r="C1803" t="s">
        <v>3224</v>
      </c>
      <c r="D1803" t="str">
        <f>[1]!EM_S_INFO_INDEX_EM(B1803,"1")</f>
        <v>有色金属</v>
      </c>
      <c r="E1803" s="4">
        <f t="shared" si="28"/>
        <v>43465</v>
      </c>
      <c r="F1803" s="11">
        <f>[1]!EM_S_PQ_PCTCHANGE(B1803,"2018-01-01","2019-12-31","3")</f>
        <v>-2.5791324699999998</v>
      </c>
      <c r="G1803" s="11">
        <f>[1]!EM_S_PQ_PCTCHANGE(B1803,"2018-12-31","2019-12-30","1")</f>
        <v>8.8977423600000005</v>
      </c>
      <c r="H1803" s="11">
        <f>[1]!EM_S_FA_YOY_OR(B1803,E1803)</f>
        <v>-5.7143535751999996</v>
      </c>
      <c r="I1803" s="11">
        <f>[1]!EM_S_FA_GROSSPROFITMARGIN(B1803,E1803)</f>
        <v>-2.5348003066999998</v>
      </c>
      <c r="J1803" s="11">
        <f>[1]!EM_S_FA_NETPROFITMARGIN(B1803,E1803)</f>
        <v>-12.5443176472</v>
      </c>
      <c r="K1803" s="10">
        <f>[1]!EM_S_FA_ASSETSTURN(B1803,E1803)</f>
        <v>2.211823309023</v>
      </c>
      <c r="L1803" s="12">
        <f>[1]!EM_HKS_VAL_MV(B1803,"2019-12-31","2")</f>
        <v>4383175265.3400002</v>
      </c>
      <c r="M1803">
        <f>[1]!EM_S_VAL_PETTMDEDUCTED(B1803,E1803)</f>
        <v>-5.7263615779328196</v>
      </c>
      <c r="N1803" s="7">
        <f>[1]!EM_S_VAL_PBGOODWILLDEDUCTED(B1803,E1803)</f>
        <v>-2.7404666188795699</v>
      </c>
      <c r="O1803" s="7">
        <f>[1]!EM_S_VAL_PS_TTM(B1803,E1803)</f>
        <v>0.31362673631854199</v>
      </c>
      <c r="P1803" s="7">
        <f>[1]!EM_S_VAL_PCF_NCFTTM(B1803,E1803)</f>
        <v>-25.940060033962901</v>
      </c>
      <c r="Q1803" s="7">
        <f>[1]!EM_S_VAL_DIVIDENDYIELD2(B1803,E1803,"2019-11-29")</f>
        <v>0</v>
      </c>
      <c r="T1803"/>
      <c r="U1803">
        <f>[1]!EM_S_RATIO_EPS_TTM(B1803,E1803,"1")</f>
        <v>-3.0937419858866693</v>
      </c>
      <c r="AT1803" s="4" t="str">
        <f>[1]!EM_S_IPO_LISTEDDATE(B1803)</f>
        <v>2004-08-30</v>
      </c>
    </row>
    <row r="1804" spans="1:46">
      <c r="A1804">
        <v>392</v>
      </c>
      <c r="B1804" t="str">
        <f>"000838"</f>
        <v>000838</v>
      </c>
      <c r="C1804" t="s">
        <v>2427</v>
      </c>
      <c r="D1804" t="str">
        <f>[1]!EM_S_INFO_INDEX_EM(B1804,"1")</f>
        <v>房地产</v>
      </c>
      <c r="E1804" s="4">
        <f t="shared" si="28"/>
        <v>43465</v>
      </c>
      <c r="F1804" s="11">
        <f>[1]!EM_S_PQ_PCTCHANGE(B1804,"2018-01-01","2019-12-31","3")</f>
        <v>-44.305755840000003</v>
      </c>
      <c r="G1804" s="11">
        <f>[1]!EM_S_PQ_PCTCHANGE(B1804,"2018-12-31","2019-12-30","1")</f>
        <v>8.8737201399999996</v>
      </c>
      <c r="H1804" s="11">
        <f>[1]!EM_S_FA_YOY_OR(B1804,E1804)</f>
        <v>68.999207944600002</v>
      </c>
      <c r="I1804" s="11">
        <f>[1]!EM_S_FA_GROSSPROFITMARGIN(B1804,E1804)</f>
        <v>30.199278393099998</v>
      </c>
      <c r="J1804" s="11">
        <f>[1]!EM_S_FA_NETPROFITMARGIN(B1804,E1804)</f>
        <v>1.6958124724999999</v>
      </c>
      <c r="K1804" s="10">
        <f>[1]!EM_S_FA_ASSETSTURN(B1804,E1804)</f>
        <v>0.28902507104800002</v>
      </c>
      <c r="L1804" s="12">
        <f>[1]!EM_HKS_VAL_MV(B1804,"2019-12-31","2")</f>
        <v>3532483565.6999998</v>
      </c>
      <c r="M1804">
        <f>[1]!EM_S_VAL_PETTMDEDUCTED(B1804,E1804)</f>
        <v>44.241399030806498</v>
      </c>
      <c r="N1804" s="7">
        <f>[1]!EM_S_VAL_PBGOODWILLDEDUCTED(B1804,E1804)</f>
        <v>1.7099517762392999</v>
      </c>
      <c r="O1804" s="7">
        <f>[1]!EM_S_VAL_PS_TTM(B1804,E1804)</f>
        <v>1.6022332422308001</v>
      </c>
      <c r="P1804" s="7">
        <f>[1]!EM_S_VAL_PCF_NCFTTM(B1804,E1804)</f>
        <v>-4.2374413502631096</v>
      </c>
      <c r="Q1804" s="7">
        <f>[1]!EM_S_VAL_DIVIDENDYIELD2(B1804,E1804,"2019-11-29")</f>
        <v>0.6885245901639343</v>
      </c>
      <c r="T1804"/>
      <c r="U1804">
        <f>[1]!EM_S_RATIO_EPS_TTM(B1804,E1804,"1")</f>
        <v>0.10334127664742895</v>
      </c>
      <c r="AT1804" s="4" t="str">
        <f>[1]!EM_S_IPO_LISTEDDATE(B1804)</f>
        <v>1997-06-26</v>
      </c>
    </row>
    <row r="1805" spans="1:46">
      <c r="A1805">
        <v>2371</v>
      </c>
      <c r="B1805" t="str">
        <f>"600237"</f>
        <v>600237</v>
      </c>
      <c r="C1805" t="s">
        <v>2913</v>
      </c>
      <c r="D1805" t="str">
        <f>[1]!EM_S_INFO_INDEX_EM(B1805,"1")</f>
        <v>电子设备</v>
      </c>
      <c r="E1805" s="4">
        <f t="shared" si="28"/>
        <v>43465</v>
      </c>
      <c r="F1805" s="11">
        <f>[1]!EM_S_PQ_PCTCHANGE(B1805,"2018-01-01","2019-12-31","3")</f>
        <v>-34.572490709999997</v>
      </c>
      <c r="G1805" s="11">
        <f>[1]!EM_S_PQ_PCTCHANGE(B1805,"2018-12-31","2019-12-30","1")</f>
        <v>8.8145896700000002</v>
      </c>
      <c r="H1805" s="11">
        <f>[1]!EM_S_FA_YOY_OR(B1805,E1805)</f>
        <v>8.8541878486000005</v>
      </c>
      <c r="I1805" s="11">
        <f>[1]!EM_S_FA_GROSSPROFITMARGIN(B1805,E1805)</f>
        <v>18.324845930999999</v>
      </c>
      <c r="J1805" s="11">
        <f>[1]!EM_S_FA_NETPROFITMARGIN(B1805,E1805)</f>
        <v>1.1761379246000001</v>
      </c>
      <c r="K1805" s="10">
        <f>[1]!EM_S_FA_ASSETSTURN(B1805,E1805)</f>
        <v>0.45171416266100001</v>
      </c>
      <c r="L1805" s="12">
        <f>[1]!EM_HKS_VAL_MV(B1805,"2019-12-31","2")</f>
        <v>1986580868.8</v>
      </c>
      <c r="M1805">
        <f>[1]!EM_S_VAL_PETTMDEDUCTED(B1805,E1805)</f>
        <v>-81.939920926992798</v>
      </c>
      <c r="N1805" s="7">
        <f>[1]!EM_S_VAL_PBGOODWILLDEDUCTED(B1805,E1805)</f>
        <v>1.4913907306476</v>
      </c>
      <c r="O1805" s="7">
        <f>[1]!EM_S_VAL_PS_TTM(B1805,E1805)</f>
        <v>2.1412282437824302</v>
      </c>
      <c r="P1805" s="7">
        <f>[1]!EM_S_VAL_PCF_NCFTTM(B1805,E1805)</f>
        <v>-52.609176209842801</v>
      </c>
      <c r="Q1805" s="7">
        <f>[1]!EM_S_VAL_DIVIDENDYIELD2(B1805,E1805,"2019-11-29")</f>
        <v>0</v>
      </c>
      <c r="T1805"/>
      <c r="U1805">
        <f>[1]!EM_S_RATIO_EPS_TTM(B1805,E1805,"1")</f>
        <v>1.6886294586066136E-2</v>
      </c>
      <c r="AT1805" s="4" t="str">
        <f>[1]!EM_S_IPO_LISTEDDATE(B1805)</f>
        <v>2000-06-09</v>
      </c>
    </row>
    <row r="1806" spans="1:46">
      <c r="A1806">
        <v>715</v>
      </c>
      <c r="B1806" t="str">
        <f>"002204"</f>
        <v>002204</v>
      </c>
      <c r="C1806" t="s">
        <v>3380</v>
      </c>
      <c r="D1806" t="str">
        <f>[1]!EM_S_INFO_INDEX_EM(B1806,"1")</f>
        <v>机械设备</v>
      </c>
      <c r="E1806" s="4">
        <f t="shared" si="28"/>
        <v>43465</v>
      </c>
      <c r="F1806" s="11">
        <f>[1]!EM_S_PQ_PCTCHANGE(B1806,"2018-01-01","2019-12-31","3")</f>
        <v>-24.90164979</v>
      </c>
      <c r="G1806" s="11">
        <f>[1]!EM_S_PQ_PCTCHANGE(B1806,"2018-12-31","2019-12-30","1")</f>
        <v>8.7837837800000003</v>
      </c>
      <c r="H1806" s="11">
        <f>[1]!EM_S_FA_YOY_OR(B1806,E1806)</f>
        <v>2.1415620927000001</v>
      </c>
      <c r="I1806" s="11">
        <f>[1]!EM_S_FA_GROSSPROFITMARGIN(B1806,E1806)</f>
        <v>19.844903947999999</v>
      </c>
      <c r="J1806" s="11">
        <f>[1]!EM_S_FA_NETPROFITMARGIN(B1806,E1806)</f>
        <v>3.5222504299999999E-2</v>
      </c>
      <c r="K1806" s="10">
        <f>[1]!EM_S_FA_ASSETSTURN(B1806,E1806)</f>
        <v>0.427268886056</v>
      </c>
      <c r="L1806" s="12">
        <f>[1]!EM_HKS_VAL_MV(B1806,"2019-12-31","2")</f>
        <v>6199697802.7200003</v>
      </c>
      <c r="M1806">
        <f>[1]!EM_S_VAL_PETTMDEDUCTED(B1806,E1806)</f>
        <v>-29.609809335955401</v>
      </c>
      <c r="N1806" s="7">
        <f>[1]!EM_S_VAL_PBGOODWILLDEDUCTED(B1806,E1806)</f>
        <v>0.86728877443961205</v>
      </c>
      <c r="O1806" s="7">
        <f>[1]!EM_S_VAL_PS_TTM(B1806,E1806)</f>
        <v>0.896046445030101</v>
      </c>
      <c r="P1806" s="7">
        <f>[1]!EM_S_VAL_PCF_NCFTTM(B1806,E1806)</f>
        <v>-29.794313020010399</v>
      </c>
      <c r="Q1806" s="7">
        <f>[1]!EM_S_VAL_DIVIDENDYIELD2(B1806,E1806,"2019-11-29")</f>
        <v>0.80906148867313932</v>
      </c>
      <c r="T1806"/>
      <c r="U1806">
        <f>[1]!EM_S_RATIO_EPS_TTM(B1806,E1806,"1")</f>
        <v>7.9698980697449281E-3</v>
      </c>
      <c r="AT1806" s="4" t="str">
        <f>[1]!EM_S_IPO_LISTEDDATE(B1806)</f>
        <v>2008-01-16</v>
      </c>
    </row>
    <row r="1807" spans="1:46">
      <c r="A1807">
        <v>2343</v>
      </c>
      <c r="B1807" t="str">
        <f>"600207"</f>
        <v>600207</v>
      </c>
      <c r="C1807" t="s">
        <v>3308</v>
      </c>
      <c r="D1807" t="str">
        <f>[1]!EM_S_INFO_INDEX_EM(B1807,"1")</f>
        <v>综合</v>
      </c>
      <c r="E1807" s="4">
        <f t="shared" si="28"/>
        <v>43465</v>
      </c>
      <c r="F1807" s="11">
        <f>[1]!EM_S_PQ_PCTCHANGE(B1807,"2018-01-01","2019-12-31","3")</f>
        <v>-31.019202360000001</v>
      </c>
      <c r="G1807" s="11">
        <f>[1]!EM_S_PQ_PCTCHANGE(B1807,"2018-12-31","2019-12-30","1")</f>
        <v>8.7557603700000008</v>
      </c>
      <c r="H1807" s="11">
        <f>[1]!EM_S_FA_YOY_OR(B1807,E1807)</f>
        <v>7.5610334978999996</v>
      </c>
      <c r="I1807" s="11">
        <f>[1]!EM_S_FA_GROSSPROFITMARGIN(B1807,E1807)</f>
        <v>6.3184658774000004</v>
      </c>
      <c r="J1807" s="11">
        <f>[1]!EM_S_FA_NETPROFITMARGIN(B1807,E1807)</f>
        <v>-15.3643417301</v>
      </c>
      <c r="K1807" s="10">
        <f>[1]!EM_S_FA_ASSETSTURN(B1807,E1807)</f>
        <v>0.99228597272200003</v>
      </c>
      <c r="L1807" s="12">
        <f>[1]!EM_HKS_VAL_MV(B1807,"2019-12-31","2")</f>
        <v>4030004398.5799999</v>
      </c>
      <c r="M1807">
        <f>[1]!EM_S_VAL_PETTMDEDUCTED(B1807,E1807)</f>
        <v>-158.07310721588701</v>
      </c>
      <c r="N1807" s="7">
        <f>[1]!EM_S_VAL_PBGOODWILLDEDUCTED(B1807,E1807)</f>
        <v>2.3852545432809502</v>
      </c>
      <c r="O1807" s="7">
        <f>[1]!EM_S_VAL_PS_TTM(B1807,E1807)</f>
        <v>1.7198982039017701</v>
      </c>
      <c r="P1807" s="7">
        <f>[1]!EM_S_VAL_PCF_NCFTTM(B1807,E1807)</f>
        <v>794.73993666099602</v>
      </c>
      <c r="Q1807" s="7">
        <f>[1]!EM_S_VAL_DIVIDENDYIELD2(B1807,E1807,"2019-11-29")</f>
        <v>0</v>
      </c>
      <c r="T1807"/>
      <c r="U1807">
        <f>[1]!EM_S_RATIO_EPS_TTM(B1807,E1807,"1")</f>
        <v>-0.38539157072919228</v>
      </c>
      <c r="AT1807" s="4" t="str">
        <f>[1]!EM_S_IPO_LISTEDDATE(B1807)</f>
        <v>1999-07-14</v>
      </c>
    </row>
    <row r="1808" spans="1:46">
      <c r="A1808">
        <v>510</v>
      </c>
      <c r="B1808" t="str">
        <f>"001965"</f>
        <v>001965</v>
      </c>
      <c r="C1808" t="s">
        <v>1365</v>
      </c>
      <c r="D1808" t="str">
        <f>[1]!EM_S_INFO_INDEX_EM(B1808,"1")</f>
        <v>交通运输</v>
      </c>
      <c r="E1808" s="4">
        <f t="shared" si="28"/>
        <v>43465</v>
      </c>
      <c r="F1808" s="11">
        <f>[1]!EM_S_PQ_PCTCHANGE(B1808,"2018-01-01","2019-12-31","3")</f>
        <v>-33.022398449999997</v>
      </c>
      <c r="G1808" s="11">
        <f>[1]!EM_S_PQ_PCTCHANGE(B1808,"2018-12-31","2019-12-30","1")</f>
        <v>8.7173100899999998</v>
      </c>
      <c r="H1808" s="11">
        <f>[1]!EM_S_FA_YOY_OR(B1808,E1808)</f>
        <v>26.563659192199999</v>
      </c>
      <c r="I1808" s="11">
        <f>[1]!EM_S_FA_GROSSPROFITMARGIN(B1808,E1808)</f>
        <v>44.931799731700004</v>
      </c>
      <c r="J1808" s="11">
        <f>[1]!EM_S_FA_NETPROFITMARGIN(B1808,E1808)</f>
        <v>64.6668323902</v>
      </c>
      <c r="K1808" s="10">
        <f>[1]!EM_S_FA_ASSETSTURN(B1808,E1808)</f>
        <v>9.0574546564999997E-2</v>
      </c>
      <c r="L1808" s="12">
        <f>[1]!EM_HKS_VAL_MV(B1808,"2019-12-31","2")</f>
        <v>54182966054.260002</v>
      </c>
      <c r="M1808">
        <f>[1]!EM_S_VAL_PETTMDEDUCTED(B1808,E1808)</f>
        <v>13.8857333561179</v>
      </c>
      <c r="N1808" s="7">
        <f>[1]!EM_S_VAL_PBGOODWILLDEDUCTED(B1808,E1808)</f>
        <v>1.09124828369541</v>
      </c>
      <c r="O1808" s="7">
        <f>[1]!EM_S_VAL_PS_TTM(B1808,E1808)</f>
        <v>8.0958661995134005</v>
      </c>
      <c r="P1808" s="7">
        <f>[1]!EM_S_VAL_PCF_NCFTTM(B1808,E1808)</f>
        <v>-46.3473666652445</v>
      </c>
      <c r="Q1808" s="7">
        <f>[1]!EM_S_VAL_DIVIDENDYIELD2(B1808,E1808,"2019-11-29")</f>
        <v>3.1474591894114181</v>
      </c>
      <c r="T1808"/>
      <c r="U1808">
        <f>[1]!EM_S_RATIO_EPS_TTM(B1808,E1808,"1")</f>
        <v>0.63287845992624814</v>
      </c>
      <c r="AT1808" s="4" t="str">
        <f>[1]!EM_S_IPO_LISTEDDATE(B1808)</f>
        <v>2017-12-25</v>
      </c>
    </row>
    <row r="1809" spans="1:46">
      <c r="A1809">
        <v>3142</v>
      </c>
      <c r="B1809" t="str">
        <f>"601699"</f>
        <v>601699</v>
      </c>
      <c r="C1809" t="s">
        <v>691</v>
      </c>
      <c r="D1809" t="str">
        <f>[1]!EM_S_INFO_INDEX_EM(B1809,"1")</f>
        <v>化石能源</v>
      </c>
      <c r="E1809" s="4">
        <f t="shared" si="28"/>
        <v>43465</v>
      </c>
      <c r="F1809" s="11">
        <f>[1]!EM_S_PQ_PCTCHANGE(B1809,"2018-01-01","2019-12-31","3")</f>
        <v>-32.101954720000002</v>
      </c>
      <c r="G1809" s="11">
        <f>[1]!EM_S_PQ_PCTCHANGE(B1809,"2018-12-31","2019-12-30","1")</f>
        <v>8.7087087099999998</v>
      </c>
      <c r="H1809" s="11">
        <f>[1]!EM_S_FA_YOY_OR(B1809,E1809)</f>
        <v>6.7790075837000003</v>
      </c>
      <c r="I1809" s="11">
        <f>[1]!EM_S_FA_GROSSPROFITMARGIN(B1809,E1809)</f>
        <v>40.148649515400002</v>
      </c>
      <c r="J1809" s="11">
        <f>[1]!EM_S_FA_NETPROFITMARGIN(B1809,E1809)</f>
        <v>7.7223735377000002</v>
      </c>
      <c r="K1809" s="10">
        <f>[1]!EM_S_FA_ASSETSTURN(B1809,E1809)</f>
        <v>0.38165601967099999</v>
      </c>
      <c r="L1809" s="12">
        <f>[1]!EM_HKS_VAL_MV(B1809,"2019-12-31","2")</f>
        <v>21717630792</v>
      </c>
      <c r="M1809">
        <f>[1]!EM_S_VAL_PETTMDEDUCTED(B1809,E1809)</f>
        <v>6.4414972068605696</v>
      </c>
      <c r="N1809" s="7">
        <f>[1]!EM_S_VAL_PBGOODWILLDEDUCTED(B1809,E1809)</f>
        <v>0.83355682750395499</v>
      </c>
      <c r="O1809" s="7">
        <f>[1]!EM_S_VAL_PS_TTM(B1809,E1809)</f>
        <v>0.83334648844005399</v>
      </c>
      <c r="P1809" s="7">
        <f>[1]!EM_S_VAL_PCF_NCFTTM(B1809,E1809)</f>
        <v>4.3177545609437198</v>
      </c>
      <c r="Q1809" s="7">
        <f>[1]!EM_S_VAL_DIVIDENDYIELD2(B1809,E1809,"2019-11-29")</f>
        <v>3.8728323699421967</v>
      </c>
      <c r="T1809"/>
      <c r="U1809">
        <f>[1]!EM_S_RATIO_EPS_TTM(B1809,E1809,"1")</f>
        <v>0.89020161619145921</v>
      </c>
      <c r="AT1809" s="4" t="str">
        <f>[1]!EM_S_IPO_LISTEDDATE(B1809)</f>
        <v>2006-09-22</v>
      </c>
    </row>
    <row r="1810" spans="1:46">
      <c r="A1810">
        <v>1107</v>
      </c>
      <c r="B1810" t="str">
        <f>"002596"</f>
        <v>002596</v>
      </c>
      <c r="C1810" t="s">
        <v>1989</v>
      </c>
      <c r="D1810" t="str">
        <f>[1]!EM_S_INFO_INDEX_EM(B1810,"1")</f>
        <v>建材</v>
      </c>
      <c r="E1810" s="4">
        <f t="shared" si="28"/>
        <v>43465</v>
      </c>
      <c r="F1810" s="11">
        <f>[1]!EM_S_PQ_PCTCHANGE(B1810,"2018-01-01","2019-12-31","3")</f>
        <v>-42.623702209999998</v>
      </c>
      <c r="G1810" s="11">
        <f>[1]!EM_S_PQ_PCTCHANGE(B1810,"2018-12-31","2019-12-30","1")</f>
        <v>8.6811352300000006</v>
      </c>
      <c r="H1810" s="11">
        <f>[1]!EM_S_FA_YOY_OR(B1810,E1810)</f>
        <v>8.4595722066000008</v>
      </c>
      <c r="I1810" s="11">
        <f>[1]!EM_S_FA_GROSSPROFITMARGIN(B1810,E1810)</f>
        <v>22.798367404299999</v>
      </c>
      <c r="J1810" s="11">
        <f>[1]!EM_S_FA_NETPROFITMARGIN(B1810,E1810)</f>
        <v>3.9530902390999998</v>
      </c>
      <c r="K1810" s="10">
        <f>[1]!EM_S_FA_ASSETSTURN(B1810,E1810)</f>
        <v>0.54050307372899997</v>
      </c>
      <c r="L1810" s="12">
        <f>[1]!EM_HKS_VAL_MV(B1810,"2019-12-31","2")</f>
        <v>7479307667</v>
      </c>
      <c r="M1810">
        <f>[1]!EM_S_VAL_PETTMDEDUCTED(B1810,E1810)</f>
        <v>37.710004852566399</v>
      </c>
      <c r="N1810" s="7">
        <f>[1]!EM_S_VAL_PBGOODWILLDEDUCTED(B1810,E1810)</f>
        <v>3.6705768659220501</v>
      </c>
      <c r="O1810" s="7">
        <f>[1]!EM_S_VAL_PS_TTM(B1810,E1810)</f>
        <v>2.0387870716567802</v>
      </c>
      <c r="P1810" s="7">
        <f>[1]!EM_S_VAL_PCF_NCFTTM(B1810,E1810)</f>
        <v>-55.751966755804098</v>
      </c>
      <c r="Q1810" s="7">
        <f>[1]!EM_S_VAL_DIVIDENDYIELD2(B1810,E1810,"2019-11-29")</f>
        <v>0.15672574486114535</v>
      </c>
      <c r="T1810"/>
      <c r="U1810">
        <f>[1]!EM_S_RATIO_EPS_TTM(B1810,E1810,"1")</f>
        <v>0.11407129995209445</v>
      </c>
      <c r="AT1810" s="4" t="str">
        <f>[1]!EM_S_IPO_LISTEDDATE(B1810)</f>
        <v>2011-07-07</v>
      </c>
    </row>
    <row r="1811" spans="1:46">
      <c r="A1811">
        <v>2040</v>
      </c>
      <c r="B1811" t="str">
        <f>"300621"</f>
        <v>300621</v>
      </c>
      <c r="C1811" t="s">
        <v>385</v>
      </c>
      <c r="D1811" t="str">
        <f>[1]!EM_S_INFO_INDEX_EM(B1811,"1")</f>
        <v>建筑</v>
      </c>
      <c r="E1811" s="4">
        <f t="shared" si="28"/>
        <v>43465</v>
      </c>
      <c r="F1811" s="11">
        <f>[1]!EM_S_PQ_PCTCHANGE(B1811,"2018-01-01","2019-12-31","3")</f>
        <v>-19.431570529999998</v>
      </c>
      <c r="G1811" s="11">
        <f>[1]!EM_S_PQ_PCTCHANGE(B1811,"2018-12-31","2019-12-30","1")</f>
        <v>8.6458333300000003</v>
      </c>
      <c r="H1811" s="11">
        <f>[1]!EM_S_FA_YOY_OR(B1811,E1811)</f>
        <v>22.308409074299998</v>
      </c>
      <c r="I1811" s="11">
        <f>[1]!EM_S_FA_GROSSPROFITMARGIN(B1811,E1811)</f>
        <v>12.6460572109</v>
      </c>
      <c r="J1811" s="11">
        <f>[1]!EM_S_FA_NETPROFITMARGIN(B1811,E1811)</f>
        <v>2.8029457511000002</v>
      </c>
      <c r="K1811" s="10">
        <f>[1]!EM_S_FA_ASSETSTURN(B1811,E1811)</f>
        <v>1.0632112251920001</v>
      </c>
      <c r="L1811" s="12">
        <f>[1]!EM_HKS_VAL_MV(B1811,"2019-12-31","2")</f>
        <v>2165727200</v>
      </c>
      <c r="M1811">
        <f>[1]!EM_S_VAL_PETTMDEDUCTED(B1811,E1811)</f>
        <v>21.716632266974099</v>
      </c>
      <c r="N1811" s="7">
        <f>[1]!EM_S_VAL_PBGOODWILLDEDUCTED(B1811,E1811)</f>
        <v>2.47278437114658</v>
      </c>
      <c r="O1811" s="7">
        <f>[1]!EM_S_VAL_PS_TTM(B1811,E1811)</f>
        <v>0.85927046190188605</v>
      </c>
      <c r="P1811" s="7">
        <f>[1]!EM_S_VAL_PCF_NCFTTM(B1811,E1811)</f>
        <v>13.9773296500858</v>
      </c>
      <c r="Q1811" s="7">
        <f>[1]!EM_S_VAL_DIVIDENDYIELD2(B1811,E1811,"2019-11-29")</f>
        <v>0.79286422200198214</v>
      </c>
      <c r="T1811"/>
      <c r="U1811">
        <f>[1]!EM_S_RATIO_EPS_TTM(B1811,E1811,"1")</f>
        <v>0.32992935900787357</v>
      </c>
      <c r="AT1811" s="4" t="str">
        <f>[1]!EM_S_IPO_LISTEDDATE(B1811)</f>
        <v>2017-03-16</v>
      </c>
    </row>
    <row r="1812" spans="1:46">
      <c r="A1812">
        <v>3337</v>
      </c>
      <c r="B1812" t="str">
        <f>"603286"</f>
        <v>603286</v>
      </c>
      <c r="C1812" t="s">
        <v>1598</v>
      </c>
      <c r="D1812" t="str">
        <f>[1]!EM_S_INFO_INDEX_EM(B1812,"1")</f>
        <v>交运设备</v>
      </c>
      <c r="E1812" s="4">
        <f t="shared" si="28"/>
        <v>43465</v>
      </c>
      <c r="F1812" s="11">
        <f>[1]!EM_S_PQ_PCTCHANGE(B1812,"2018-01-01","2019-12-31","3")</f>
        <v>-58.634566939999999</v>
      </c>
      <c r="G1812" s="11">
        <f>[1]!EM_S_PQ_PCTCHANGE(B1812,"2018-12-31","2019-12-30","1")</f>
        <v>8.6350974899999997</v>
      </c>
      <c r="H1812" s="11">
        <f>[1]!EM_S_FA_YOY_OR(B1812,E1812)</f>
        <v>12.136212197300001</v>
      </c>
      <c r="I1812" s="11">
        <f>[1]!EM_S_FA_GROSSPROFITMARGIN(B1812,E1812)</f>
        <v>26.169398857299999</v>
      </c>
      <c r="J1812" s="11">
        <f>[1]!EM_S_FA_NETPROFITMARGIN(B1812,E1812)</f>
        <v>6.2012718743999997</v>
      </c>
      <c r="K1812" s="10">
        <f>[1]!EM_S_FA_ASSETSTURN(B1812,E1812)</f>
        <v>0.59247296737099997</v>
      </c>
      <c r="L1812" s="12">
        <f>[1]!EM_HKS_VAL_MV(B1812,"2019-12-31","2")</f>
        <v>1373104840</v>
      </c>
      <c r="M1812">
        <f>[1]!EM_S_VAL_PETTMDEDUCTED(B1812,E1812)</f>
        <v>52.3612979143128</v>
      </c>
      <c r="N1812" s="7">
        <f>[1]!EM_S_VAL_PBGOODWILLDEDUCTED(B1812,E1812)</f>
        <v>2.9089206835813002</v>
      </c>
      <c r="O1812" s="7">
        <f>[1]!EM_S_VAL_PS_TTM(B1812,E1812)</f>
        <v>3.6252073070815198</v>
      </c>
      <c r="P1812" s="7">
        <f>[1]!EM_S_VAL_PCF_NCFTTM(B1812,E1812)</f>
        <v>459.593094066395</v>
      </c>
      <c r="Q1812" s="7">
        <f>[1]!EM_S_VAL_DIVIDENDYIELD2(B1812,E1812,"2019-11-29")</f>
        <v>0.53408292340126495</v>
      </c>
      <c r="T1812"/>
      <c r="U1812">
        <f>[1]!EM_S_RATIO_EPS_TTM(B1812,E1812,"1")</f>
        <v>0.25077984740451426</v>
      </c>
      <c r="AT1812" s="4" t="str">
        <f>[1]!EM_S_IPO_LISTEDDATE(B1812)</f>
        <v>2017-06-27</v>
      </c>
    </row>
    <row r="1813" spans="1:46">
      <c r="A1813">
        <v>3071</v>
      </c>
      <c r="B1813" t="str">
        <f>"601179"</f>
        <v>601179</v>
      </c>
      <c r="C1813" t="s">
        <v>2316</v>
      </c>
      <c r="D1813" t="str">
        <f>[1]!EM_S_INFO_INDEX_EM(B1813,"1")</f>
        <v>电气设备</v>
      </c>
      <c r="E1813" s="4">
        <f t="shared" si="28"/>
        <v>43465</v>
      </c>
      <c r="F1813" s="11">
        <f>[1]!EM_S_PQ_PCTCHANGE(B1813,"2018-01-01","2019-12-31","3")</f>
        <v>-14.901243729999999</v>
      </c>
      <c r="G1813" s="11">
        <f>[1]!EM_S_PQ_PCTCHANGE(B1813,"2018-12-31","2019-12-30","1")</f>
        <v>8.6309523800000001</v>
      </c>
      <c r="H1813" s="11">
        <f>[1]!EM_S_FA_YOY_OR(B1813,E1813)</f>
        <v>-3.2252375619999998</v>
      </c>
      <c r="I1813" s="11">
        <f>[1]!EM_S_FA_GROSSPROFITMARGIN(B1813,E1813)</f>
        <v>24.547791362200002</v>
      </c>
      <c r="J1813" s="11">
        <f>[1]!EM_S_FA_NETPROFITMARGIN(B1813,E1813)</f>
        <v>3.9357590077000002</v>
      </c>
      <c r="K1813" s="10">
        <f>[1]!EM_S_FA_ASSETSTURN(B1813,E1813)</f>
        <v>0.40760820196500003</v>
      </c>
      <c r="L1813" s="12">
        <f>[1]!EM_HKS_VAL_MV(B1813,"2019-12-31","2")</f>
        <v>18658211761.279999</v>
      </c>
      <c r="M1813">
        <f>[1]!EM_S_VAL_PETTMDEDUCTED(B1813,E1813)</f>
        <v>51.049171735279799</v>
      </c>
      <c r="N1813" s="7">
        <f>[1]!EM_S_VAL_PBGOODWILLDEDUCTED(B1813,E1813)</f>
        <v>0.87704304904657804</v>
      </c>
      <c r="O1813" s="7">
        <f>[1]!EM_S_VAL_PS_TTM(B1813,E1813)</f>
        <v>1.2467125041331999</v>
      </c>
      <c r="P1813" s="7">
        <f>[1]!EM_S_VAL_PCF_NCFTTM(B1813,E1813)</f>
        <v>-7.6568486721944797</v>
      </c>
      <c r="Q1813" s="7">
        <f>[1]!EM_S_VAL_DIVIDENDYIELD2(B1813,E1813,"2019-11-29")</f>
        <v>0.9577464788732396</v>
      </c>
      <c r="T1813"/>
      <c r="U1813">
        <f>[1]!EM_S_RATIO_EPS_TTM(B1813,E1813,"1")</f>
        <v>0.11104475838738484</v>
      </c>
      <c r="AT1813" s="4" t="str">
        <f>[1]!EM_S_IPO_LISTEDDATE(B1813)</f>
        <v>2010-01-28</v>
      </c>
    </row>
    <row r="1814" spans="1:46">
      <c r="A1814">
        <v>505</v>
      </c>
      <c r="B1814" t="str">
        <f>"000997"</f>
        <v>000997</v>
      </c>
      <c r="C1814" t="s">
        <v>496</v>
      </c>
      <c r="D1814" t="str">
        <f>[1]!EM_S_INFO_INDEX_EM(B1814,"1")</f>
        <v>信息技术</v>
      </c>
      <c r="E1814" s="4">
        <f t="shared" si="28"/>
        <v>43465</v>
      </c>
      <c r="F1814" s="11">
        <f>[1]!EM_S_PQ_PCTCHANGE(B1814,"2018-01-01","2019-12-31","3")</f>
        <v>-9.3918274799999999</v>
      </c>
      <c r="G1814" s="11">
        <f>[1]!EM_S_PQ_PCTCHANGE(B1814,"2018-12-31","2019-12-30","1")</f>
        <v>8.6065573799999999</v>
      </c>
      <c r="H1814" s="11">
        <f>[1]!EM_S_FA_YOY_OR(B1814,E1814)</f>
        <v>18.612112050499999</v>
      </c>
      <c r="I1814" s="11">
        <f>[1]!EM_S_FA_GROSSPROFITMARGIN(B1814,E1814)</f>
        <v>29.194749285099999</v>
      </c>
      <c r="J1814" s="11">
        <f>[1]!EM_S_FA_NETPROFITMARGIN(B1814,E1814)</f>
        <v>10.5177091546</v>
      </c>
      <c r="K1814" s="10">
        <f>[1]!EM_S_FA_ASSETSTURN(B1814,E1814)</f>
        <v>0.60580451173500005</v>
      </c>
      <c r="L1814" s="12">
        <f>[1]!EM_HKS_VAL_MV(B1814,"2019-12-31","2")</f>
        <v>16577445105.959999</v>
      </c>
      <c r="M1814">
        <f>[1]!EM_S_VAL_PETTMDEDUCTED(B1814,E1814)</f>
        <v>28.504544450394</v>
      </c>
      <c r="N1814" s="7">
        <f>[1]!EM_S_VAL_PBGOODWILLDEDUCTED(B1814,E1814)</f>
        <v>3.24939489635462</v>
      </c>
      <c r="O1814" s="7">
        <f>[1]!EM_S_VAL_PS_TTM(B1814,E1814)</f>
        <v>2.7741617340647502</v>
      </c>
      <c r="P1814" s="7">
        <f>[1]!EM_S_VAL_PCF_NCFTTM(B1814,E1814)</f>
        <v>211.061879179957</v>
      </c>
      <c r="Q1814" s="7">
        <f>[1]!EM_S_VAL_DIVIDENDYIELD2(B1814,E1814,"2019-11-29")</f>
        <v>2.0070830272663565</v>
      </c>
      <c r="T1814"/>
      <c r="U1814">
        <f>[1]!EM_S_RATIO_EPS_TTM(B1814,E1814,"1")</f>
        <v>0.56107908606285783</v>
      </c>
      <c r="AT1814" s="4" t="str">
        <f>[1]!EM_S_IPO_LISTEDDATE(B1814)</f>
        <v>2000-08-07</v>
      </c>
    </row>
    <row r="1815" spans="1:46">
      <c r="A1815">
        <v>3023</v>
      </c>
      <c r="B1815" t="str">
        <f>"601002"</f>
        <v>601002</v>
      </c>
      <c r="C1815" t="s">
        <v>2378</v>
      </c>
      <c r="D1815" t="str">
        <f>[1]!EM_S_INFO_INDEX_EM(B1815,"1")</f>
        <v>机械设备</v>
      </c>
      <c r="E1815" s="4">
        <f t="shared" si="28"/>
        <v>43465</v>
      </c>
      <c r="F1815" s="11">
        <f>[1]!EM_S_PQ_PCTCHANGE(B1815,"2018-01-01","2019-12-31","3")</f>
        <v>-44.382468039999999</v>
      </c>
      <c r="G1815" s="11">
        <f>[1]!EM_S_PQ_PCTCHANGE(B1815,"2018-12-31","2019-12-30","1")</f>
        <v>8.5981308399999996</v>
      </c>
      <c r="H1815" s="11">
        <f>[1]!EM_S_FA_YOY_OR(B1815,E1815)</f>
        <v>17.000608906899998</v>
      </c>
      <c r="I1815" s="11">
        <f>[1]!EM_S_FA_GROSSPROFITMARGIN(B1815,E1815)</f>
        <v>20.893694666799998</v>
      </c>
      <c r="J1815" s="11">
        <f>[1]!EM_S_FA_NETPROFITMARGIN(B1815,E1815)</f>
        <v>5.5428655171000001</v>
      </c>
      <c r="K1815" s="10">
        <f>[1]!EM_S_FA_ASSETSTURN(B1815,E1815)</f>
        <v>0.755370253248</v>
      </c>
      <c r="L1815" s="12">
        <f>[1]!EM_HKS_VAL_MV(B1815,"2019-12-31","2")</f>
        <v>4661017200</v>
      </c>
      <c r="M1815">
        <f>[1]!EM_S_VAL_PETTMDEDUCTED(B1815,E1815)</f>
        <v>34.237950601598698</v>
      </c>
      <c r="N1815" s="7">
        <f>[1]!EM_S_VAL_PBGOODWILLDEDUCTED(B1815,E1815)</f>
        <v>1.65166643208794</v>
      </c>
      <c r="O1815" s="7">
        <f>[1]!EM_S_VAL_PS_TTM(B1815,E1815)</f>
        <v>1.2835195535280901</v>
      </c>
      <c r="P1815" s="7">
        <f>[1]!EM_S_VAL_PCF_NCFTTM(B1815,E1815)</f>
        <v>31.2278165985947</v>
      </c>
      <c r="Q1815" s="7">
        <f>[1]!EM_S_VAL_DIVIDENDYIELD2(B1815,E1815,"2019-11-29")</f>
        <v>0</v>
      </c>
      <c r="T1815"/>
      <c r="U1815">
        <f>[1]!EM_S_RATIO_EPS_TTM(B1815,E1815,"1")</f>
        <v>0.22429337284436537</v>
      </c>
      <c r="AT1815" s="4" t="str">
        <f>[1]!EM_S_IPO_LISTEDDATE(B1815)</f>
        <v>2007-01-26</v>
      </c>
    </row>
    <row r="1816" spans="1:46">
      <c r="A1816">
        <v>1358</v>
      </c>
      <c r="B1816" t="str">
        <f>"002858"</f>
        <v>002858</v>
      </c>
      <c r="C1816" t="s">
        <v>3422</v>
      </c>
      <c r="D1816" t="str">
        <f>[1]!EM_S_INFO_INDEX_EM(B1816,"1")</f>
        <v>文化传媒</v>
      </c>
      <c r="E1816" s="4">
        <f t="shared" si="28"/>
        <v>43465</v>
      </c>
      <c r="F1816" s="11">
        <f>[1]!EM_S_PQ_PCTCHANGE(B1816,"2018-01-01","2019-12-31","3")</f>
        <v>-22.11412004</v>
      </c>
      <c r="G1816" s="11">
        <f>[1]!EM_S_PQ_PCTCHANGE(B1816,"2018-12-31","2019-12-30","1")</f>
        <v>8.5818181800000009</v>
      </c>
      <c r="H1816" s="11">
        <f>[1]!EM_S_FA_YOY_OR(B1816,E1816)</f>
        <v>32.869198791899997</v>
      </c>
      <c r="I1816" s="11">
        <f>[1]!EM_S_FA_GROSSPROFITMARGIN(B1816,E1816)</f>
        <v>28.6932028063</v>
      </c>
      <c r="J1816" s="11">
        <f>[1]!EM_S_FA_NETPROFITMARGIN(B1816,E1816)</f>
        <v>11.2297559743</v>
      </c>
      <c r="K1816" s="10">
        <f>[1]!EM_S_FA_ASSETSTURN(B1816,E1816)</f>
        <v>0.70412169553199999</v>
      </c>
      <c r="L1816" s="12">
        <f>[1]!EM_HKS_VAL_MV(B1816,"2019-12-31","2")</f>
        <v>1901116000</v>
      </c>
      <c r="M1816">
        <f>[1]!EM_S_VAL_PETTMDEDUCTED(B1816,E1816)</f>
        <v>47.4359732745896</v>
      </c>
      <c r="N1816" s="7">
        <f>[1]!EM_S_VAL_PBGOODWILLDEDUCTED(B1816,E1816)</f>
        <v>4.3094356795225703</v>
      </c>
      <c r="O1816" s="7">
        <f>[1]!EM_S_VAL_PS_TTM(B1816,E1816)</f>
        <v>4.50890474713069</v>
      </c>
      <c r="P1816" s="7">
        <f>[1]!EM_S_VAL_PCF_NCFTTM(B1816,E1816)</f>
        <v>-15.9181190184391</v>
      </c>
      <c r="Q1816" s="7">
        <f>[1]!EM_S_VAL_DIVIDENDYIELD2(B1816,E1816,"2019-11-29")</f>
        <v>0.21244067796610164</v>
      </c>
      <c r="T1816"/>
      <c r="U1816">
        <f>[1]!EM_S_RATIO_EPS_TTM(B1816,E1816,"1")</f>
        <v>0.3033756718651045</v>
      </c>
      <c r="AT1816" s="4" t="str">
        <f>[1]!EM_S_IPO_LISTEDDATE(B1816)</f>
        <v>2017-03-24</v>
      </c>
    </row>
    <row r="1817" spans="1:46">
      <c r="A1817">
        <v>288</v>
      </c>
      <c r="B1817" t="str">
        <f>"000705"</f>
        <v>000705</v>
      </c>
      <c r="C1817" t="s">
        <v>2192</v>
      </c>
      <c r="D1817" t="str">
        <f>[1]!EM_S_INFO_INDEX_EM(B1817,"1")</f>
        <v>医药生物</v>
      </c>
      <c r="E1817" s="4">
        <f t="shared" si="28"/>
        <v>43465</v>
      </c>
      <c r="F1817" s="11">
        <f>[1]!EM_S_PQ_PCTCHANGE(B1817,"2018-01-01","2019-12-31","3")</f>
        <v>-18.61639765</v>
      </c>
      <c r="G1817" s="11">
        <f>[1]!EM_S_PQ_PCTCHANGE(B1817,"2018-12-31","2019-12-30","1")</f>
        <v>8.5808580899999995</v>
      </c>
      <c r="H1817" s="11">
        <f>[1]!EM_S_FA_YOY_OR(B1817,E1817)</f>
        <v>10.8670171621</v>
      </c>
      <c r="I1817" s="11">
        <f>[1]!EM_S_FA_GROSSPROFITMARGIN(B1817,E1817)</f>
        <v>20.667333511599999</v>
      </c>
      <c r="J1817" s="11">
        <f>[1]!EM_S_FA_NETPROFITMARGIN(B1817,E1817)</f>
        <v>2.5133927170999999</v>
      </c>
      <c r="K1817" s="10">
        <f>[1]!EM_S_FA_ASSETSTURN(B1817,E1817)</f>
        <v>1.37030079568</v>
      </c>
      <c r="L1817" s="12">
        <f>[1]!EM_HKS_VAL_MV(B1817,"2019-12-31","2")</f>
        <v>2225261084.7600002</v>
      </c>
      <c r="M1817">
        <f>[1]!EM_S_VAL_PETTMDEDUCTED(B1817,E1817)</f>
        <v>41.358795395847402</v>
      </c>
      <c r="N1817" s="7">
        <f>[1]!EM_S_VAL_PBGOODWILLDEDUCTED(B1817,E1817)</f>
        <v>1.4230336430570401</v>
      </c>
      <c r="O1817" s="7">
        <f>[1]!EM_S_VAL_PS_TTM(B1817,E1817)</f>
        <v>0.73639134478384705</v>
      </c>
      <c r="P1817" s="7">
        <f>[1]!EM_S_VAL_PCF_NCFTTM(B1817,E1817)</f>
        <v>-19.894107946862501</v>
      </c>
      <c r="Q1817" s="7">
        <f>[1]!EM_S_VAL_DIVIDENDYIELD2(B1817,E1817,"2019-11-29")</f>
        <v>0.48231511254019288</v>
      </c>
      <c r="T1817"/>
      <c r="U1817">
        <f>[1]!EM_S_RATIO_EPS_TTM(B1817,E1817,"1")</f>
        <v>0.21214955290485199</v>
      </c>
      <c r="AT1817" s="4" t="str">
        <f>[1]!EM_S_IPO_LISTEDDATE(B1817)</f>
        <v>1997-04-10</v>
      </c>
    </row>
    <row r="1818" spans="1:46">
      <c r="A1818">
        <v>2660</v>
      </c>
      <c r="B1818" t="str">
        <f>"600587"</f>
        <v>600587</v>
      </c>
      <c r="C1818" t="s">
        <v>2367</v>
      </c>
      <c r="D1818" t="str">
        <f>[1]!EM_S_INFO_INDEX_EM(B1818,"1")</f>
        <v>医药生物</v>
      </c>
      <c r="E1818" s="4">
        <f t="shared" si="28"/>
        <v>43465</v>
      </c>
      <c r="F1818" s="11">
        <f>[1]!EM_S_PQ_PCTCHANGE(B1818,"2018-01-01","2019-12-31","3")</f>
        <v>-14.417394</v>
      </c>
      <c r="G1818" s="11">
        <f>[1]!EM_S_PQ_PCTCHANGE(B1818,"2018-12-31","2019-12-30","1")</f>
        <v>8.5758039799999999</v>
      </c>
      <c r="H1818" s="11">
        <f>[1]!EM_S_FA_YOY_OR(B1818,E1818)</f>
        <v>3.0089697369000001</v>
      </c>
      <c r="I1818" s="11">
        <f>[1]!EM_S_FA_GROSSPROFITMARGIN(B1818,E1818)</f>
        <v>19.9951228109</v>
      </c>
      <c r="J1818" s="11">
        <f>[1]!EM_S_FA_NETPROFITMARGIN(B1818,E1818)</f>
        <v>1.1884280006000001</v>
      </c>
      <c r="K1818" s="10">
        <f>[1]!EM_S_FA_ASSETSTURN(B1818,E1818)</f>
        <v>0.82917041673400005</v>
      </c>
      <c r="L1818" s="12">
        <f>[1]!EM_HKS_VAL_MV(B1818,"2019-12-31","2")</f>
        <v>5803793139.4799995</v>
      </c>
      <c r="M1818">
        <f>[1]!EM_S_VAL_PETTMDEDUCTED(B1818,E1818)</f>
        <v>113.737203443037</v>
      </c>
      <c r="N1818" s="7">
        <f>[1]!EM_S_VAL_PBGOODWILLDEDUCTED(B1818,E1818)</f>
        <v>1.89718392674987</v>
      </c>
      <c r="O1818" s="7">
        <f>[1]!EM_S_VAL_PS_TTM(B1818,E1818)</f>
        <v>0.52325421920995197</v>
      </c>
      <c r="P1818" s="7">
        <f>[1]!EM_S_VAL_PCF_NCFTTM(B1818,E1818)</f>
        <v>-80.070275701575099</v>
      </c>
      <c r="Q1818" s="7">
        <f>[1]!EM_S_VAL_DIVIDENDYIELD2(B1818,E1818,"2019-11-29")</f>
        <v>0.34695451040863523</v>
      </c>
      <c r="T1818"/>
      <c r="U1818">
        <f>[1]!EM_S_RATIO_EPS_TTM(B1818,E1818,"1")</f>
        <v>5.6059461672397046E-2</v>
      </c>
      <c r="AT1818" s="4" t="str">
        <f>[1]!EM_S_IPO_LISTEDDATE(B1818)</f>
        <v>2002-09-27</v>
      </c>
    </row>
    <row r="1819" spans="1:46">
      <c r="A1819">
        <v>3128</v>
      </c>
      <c r="B1819" t="str">
        <f>"601611"</f>
        <v>601611</v>
      </c>
      <c r="C1819" t="s">
        <v>1883</v>
      </c>
      <c r="D1819" t="str">
        <f>[1]!EM_S_INFO_INDEX_EM(B1819,"1")</f>
        <v>建筑</v>
      </c>
      <c r="E1819" s="4">
        <f t="shared" si="28"/>
        <v>43465</v>
      </c>
      <c r="F1819" s="11">
        <f>[1]!EM_S_PQ_PCTCHANGE(B1819,"2018-01-01","2019-12-31","3")</f>
        <v>-29.57638833</v>
      </c>
      <c r="G1819" s="11">
        <f>[1]!EM_S_PQ_PCTCHANGE(B1819,"2018-12-31","2019-12-30","1")</f>
        <v>8.5758039799999999</v>
      </c>
      <c r="H1819" s="11">
        <f>[1]!EM_S_FA_YOY_OR(B1819,E1819)</f>
        <v>13.2826802872</v>
      </c>
      <c r="I1819" s="11">
        <f>[1]!EM_S_FA_GROSSPROFITMARGIN(B1819,E1819)</f>
        <v>10.289408954800001</v>
      </c>
      <c r="J1819" s="11">
        <f>[1]!EM_S_FA_NETPROFITMARGIN(B1819,E1819)</f>
        <v>2.1849684278999999</v>
      </c>
      <c r="K1819" s="10">
        <f>[1]!EM_S_FA_ASSETSTURN(B1819,E1819)</f>
        <v>0.59700200572600004</v>
      </c>
      <c r="L1819" s="12">
        <f>[1]!EM_HKS_VAL_MV(B1819,"2019-12-31","2")</f>
        <v>18716250000</v>
      </c>
      <c r="M1819">
        <f>[1]!EM_S_VAL_PETTMDEDUCTED(B1819,E1819)</f>
        <v>18.859530406447099</v>
      </c>
      <c r="N1819" s="7">
        <f>[1]!EM_S_VAL_PBGOODWILLDEDUCTED(B1819,E1819)</f>
        <v>1.95716462508825</v>
      </c>
      <c r="O1819" s="7">
        <f>[1]!EM_S_VAL_PS_TTM(B1819,E1819)</f>
        <v>0.32659127473955002</v>
      </c>
      <c r="P1819" s="7">
        <f>[1]!EM_S_VAL_PCF_NCFTTM(B1819,E1819)</f>
        <v>16.123730919862702</v>
      </c>
      <c r="Q1819" s="7">
        <f>[1]!EM_S_VAL_DIVIDENDYIELD2(B1819,E1819,"2019-11-29")</f>
        <v>0.80229226361031525</v>
      </c>
      <c r="T1819"/>
      <c r="U1819">
        <f>[1]!EM_S_RATIO_EPS_TTM(B1819,E1819,"1")</f>
        <v>0.36602881985904762</v>
      </c>
      <c r="AT1819" s="4" t="str">
        <f>[1]!EM_S_IPO_LISTEDDATE(B1819)</f>
        <v>2016-06-06</v>
      </c>
    </row>
    <row r="1820" spans="1:46">
      <c r="A1820">
        <v>1941</v>
      </c>
      <c r="B1820" t="str">
        <f>"300516"</f>
        <v>300516</v>
      </c>
      <c r="C1820" t="s">
        <v>2602</v>
      </c>
      <c r="D1820" t="str">
        <f>[1]!EM_S_INFO_INDEX_EM(B1820,"1")</f>
        <v>电子设备</v>
      </c>
      <c r="E1820" s="4">
        <f t="shared" si="28"/>
        <v>43465</v>
      </c>
      <c r="F1820" s="11">
        <f>[1]!EM_S_PQ_PCTCHANGE(B1820,"2018-01-01","2019-12-31","3")</f>
        <v>-1.4980745</v>
      </c>
      <c r="G1820" s="11">
        <f>[1]!EM_S_PQ_PCTCHANGE(B1820,"2018-12-31","2019-12-30","1")</f>
        <v>8.5755814000000008</v>
      </c>
      <c r="H1820" s="11">
        <f>[1]!EM_S_FA_YOY_OR(B1820,E1820)</f>
        <v>50.084094879699997</v>
      </c>
      <c r="I1820" s="11">
        <f>[1]!EM_S_FA_GROSSPROFITMARGIN(B1820,E1820)</f>
        <v>29.774359469099998</v>
      </c>
      <c r="J1820" s="11">
        <f>[1]!EM_S_FA_NETPROFITMARGIN(B1820,E1820)</f>
        <v>9.8014658109999999</v>
      </c>
      <c r="K1820" s="10">
        <f>[1]!EM_S_FA_ASSETSTURN(B1820,E1820)</f>
        <v>0.35146967029999998</v>
      </c>
      <c r="L1820" s="12">
        <f>[1]!EM_HKS_VAL_MV(B1820,"2019-12-31","2")</f>
        <v>5344200000</v>
      </c>
      <c r="M1820">
        <f>[1]!EM_S_VAL_PETTMDEDUCTED(B1820,E1820)</f>
        <v>86.254257064439898</v>
      </c>
      <c r="N1820" s="7">
        <f>[1]!EM_S_VAL_PBGOODWILLDEDUCTED(B1820,E1820)</f>
        <v>2.7515701206637599</v>
      </c>
      <c r="O1820" s="7">
        <f>[1]!EM_S_VAL_PS_TTM(B1820,E1820)</f>
        <v>7.5746020012010202</v>
      </c>
      <c r="P1820" s="7">
        <f>[1]!EM_S_VAL_PCF_NCFTTM(B1820,E1820)</f>
        <v>21.9373468748826</v>
      </c>
      <c r="Q1820" s="7">
        <f>[1]!EM_S_VAL_DIVIDENDYIELD2(B1820,E1820,"2019-11-29")</f>
        <v>0.16997792494481237</v>
      </c>
      <c r="T1820"/>
      <c r="U1820">
        <f>[1]!EM_S_RATIO_EPS_TTM(B1820,E1820,"1")</f>
        <v>0.38143318066666665</v>
      </c>
      <c r="AT1820" s="4" t="str">
        <f>[1]!EM_S_IPO_LISTEDDATE(B1820)</f>
        <v>2016-06-02</v>
      </c>
    </row>
    <row r="1821" spans="1:46">
      <c r="A1821">
        <v>3528</v>
      </c>
      <c r="B1821" t="str">
        <f>"603767"</f>
        <v>603767</v>
      </c>
      <c r="C1821" t="s">
        <v>1998</v>
      </c>
      <c r="D1821" t="str">
        <f>[1]!EM_S_INFO_INDEX_EM(B1821,"1")</f>
        <v>交运设备</v>
      </c>
      <c r="E1821" s="4">
        <f t="shared" si="28"/>
        <v>43465</v>
      </c>
      <c r="F1821" s="11">
        <f>[1]!EM_S_PQ_PCTCHANGE(B1821,"2018-01-01","2019-12-31","3")</f>
        <v>-30.43920391</v>
      </c>
      <c r="G1821" s="11">
        <f>[1]!EM_S_PQ_PCTCHANGE(B1821,"2018-12-31","2019-12-30","1")</f>
        <v>8.5545722699999995</v>
      </c>
      <c r="H1821" s="11">
        <f>[1]!EM_S_FA_YOY_OR(B1821,E1821)</f>
        <v>0.38566095090000002</v>
      </c>
      <c r="I1821" s="11">
        <f>[1]!EM_S_FA_GROSSPROFITMARGIN(B1821,E1821)</f>
        <v>18.264409028399999</v>
      </c>
      <c r="J1821" s="11">
        <f>[1]!EM_S_FA_NETPROFITMARGIN(B1821,E1821)</f>
        <v>6.3399401737999996</v>
      </c>
      <c r="K1821" s="10">
        <f>[1]!EM_S_FA_ASSETSTURN(B1821,E1821)</f>
        <v>0.488000495087</v>
      </c>
      <c r="L1821" s="12">
        <f>[1]!EM_HKS_VAL_MV(B1821,"2019-12-31","2")</f>
        <v>2274308140</v>
      </c>
      <c r="M1821">
        <f>[1]!EM_S_VAL_PETTMDEDUCTED(B1821,E1821)</f>
        <v>39.856267265242202</v>
      </c>
      <c r="N1821" s="7">
        <f>[1]!EM_S_VAL_PBGOODWILLDEDUCTED(B1821,E1821)</f>
        <v>1.4327973555895701</v>
      </c>
      <c r="O1821" s="7">
        <f>[1]!EM_S_VAL_PS_TTM(B1821,E1821)</f>
        <v>2.2577986830008001</v>
      </c>
      <c r="P1821" s="7">
        <f>[1]!EM_S_VAL_PCF_NCFTTM(B1821,E1821)</f>
        <v>-23.466867642342201</v>
      </c>
      <c r="Q1821" s="7">
        <f>[1]!EM_S_VAL_DIVIDENDYIELD2(B1821,E1821,"2019-11-29")</f>
        <v>2.1707670043415339</v>
      </c>
      <c r="T1821"/>
      <c r="U1821">
        <f>[1]!EM_S_RATIO_EPS_TTM(B1821,E1821,"1")</f>
        <v>0.18767186306287001</v>
      </c>
      <c r="AT1821" s="4" t="str">
        <f>[1]!EM_S_IPO_LISTEDDATE(B1821)</f>
        <v>2017-06-13</v>
      </c>
    </row>
    <row r="1822" spans="1:46">
      <c r="A1822">
        <v>1801</v>
      </c>
      <c r="B1822" t="str">
        <f>"300376"</f>
        <v>300376</v>
      </c>
      <c r="C1822" t="s">
        <v>1421</v>
      </c>
      <c r="D1822" t="str">
        <f>[1]!EM_S_INFO_INDEX_EM(B1822,"1")</f>
        <v>公用事业</v>
      </c>
      <c r="E1822" s="4">
        <f t="shared" si="28"/>
        <v>43465</v>
      </c>
      <c r="F1822" s="11">
        <f>[1]!EM_S_PQ_PCTCHANGE(B1822,"2018-01-01","2019-12-31","3")</f>
        <v>-38.848408810000002</v>
      </c>
      <c r="G1822" s="11">
        <f>[1]!EM_S_PQ_PCTCHANGE(B1822,"2018-12-31","2019-12-30","1")</f>
        <v>8.5510688800000008</v>
      </c>
      <c r="H1822" s="11">
        <f>[1]!EM_S_FA_YOY_OR(B1822,E1822)</f>
        <v>-36.426332456600001</v>
      </c>
      <c r="I1822" s="11">
        <f>[1]!EM_S_FA_GROSSPROFITMARGIN(B1822,E1822)</f>
        <v>25.518230193299999</v>
      </c>
      <c r="J1822" s="11">
        <f>[1]!EM_S_FA_NETPROFITMARGIN(B1822,E1822)</f>
        <v>12.4632186739</v>
      </c>
      <c r="K1822" s="10">
        <f>[1]!EM_S_FA_ASSETSTURN(B1822,E1822)</f>
        <v>0.409794598826</v>
      </c>
      <c r="L1822" s="12">
        <f>[1]!EM_HKS_VAL_MV(B1822,"2019-12-31","2")</f>
        <v>10624798664.879999</v>
      </c>
      <c r="M1822">
        <f>[1]!EM_S_VAL_PETTMDEDUCTED(B1822,E1822)</f>
        <v>16.522378936397999</v>
      </c>
      <c r="N1822" s="7">
        <f>[1]!EM_S_VAL_PBGOODWILLDEDUCTED(B1822,E1822)</f>
        <v>2.0246860400786901</v>
      </c>
      <c r="O1822" s="7">
        <f>[1]!EM_S_VAL_PS_TTM(B1822,E1822)</f>
        <v>1.6414765178211901</v>
      </c>
      <c r="P1822" s="7">
        <f>[1]!EM_S_VAL_PCF_NCFTTM(B1822,E1822)</f>
        <v>-11.992441241061799</v>
      </c>
      <c r="Q1822" s="7">
        <f>[1]!EM_S_VAL_DIVIDENDYIELD2(B1822,E1822,"2019-11-29")</f>
        <v>0.58477562293888896</v>
      </c>
      <c r="T1822"/>
      <c r="U1822">
        <f>[1]!EM_S_RATIO_EPS_TTM(B1822,E1822,"1")</f>
        <v>0.24255061384534357</v>
      </c>
      <c r="AT1822" s="4" t="str">
        <f>[1]!EM_S_IPO_LISTEDDATE(B1822)</f>
        <v>2014-01-27</v>
      </c>
    </row>
    <row r="1823" spans="1:46">
      <c r="A1823">
        <v>3174</v>
      </c>
      <c r="B1823" t="str">
        <f>"601900"</f>
        <v>601900</v>
      </c>
      <c r="C1823" t="s">
        <v>659</v>
      </c>
      <c r="D1823" t="str">
        <f>[1]!EM_S_INFO_INDEX_EM(B1823,"1")</f>
        <v>文化传媒</v>
      </c>
      <c r="E1823" s="4">
        <f t="shared" si="28"/>
        <v>43465</v>
      </c>
      <c r="F1823" s="11">
        <f>[1]!EM_S_PQ_PCTCHANGE(B1823,"2018-01-01","2019-12-31","3")</f>
        <v>-16.665290450000001</v>
      </c>
      <c r="G1823" s="11">
        <f>[1]!EM_S_PQ_PCTCHANGE(B1823,"2018-12-31","2019-12-30","1")</f>
        <v>8.5510688800000008</v>
      </c>
      <c r="H1823" s="11">
        <f>[1]!EM_S_FA_YOY_OR(B1823,E1823)</f>
        <v>6.5962574532999998</v>
      </c>
      <c r="I1823" s="11">
        <f>[1]!EM_S_FA_GROSSPROFITMARGIN(B1823,E1823)</f>
        <v>31.507704498599999</v>
      </c>
      <c r="J1823" s="11">
        <f>[1]!EM_S_FA_NETPROFITMARGIN(B1823,E1823)</f>
        <v>11.841220248300001</v>
      </c>
      <c r="K1823" s="10">
        <f>[1]!EM_S_FA_ASSETSTURN(B1823,E1823)</f>
        <v>0.607744650356</v>
      </c>
      <c r="L1823" s="12">
        <f>[1]!EM_HKS_VAL_MV(B1823,"2019-12-31","2")</f>
        <v>8295817001.1599998</v>
      </c>
      <c r="M1823">
        <f>[1]!EM_S_VAL_PETTMDEDUCTED(B1823,E1823)</f>
        <v>15.2723570274294</v>
      </c>
      <c r="N1823" s="7">
        <f>[1]!EM_S_VAL_PBGOODWILLDEDUCTED(B1823,E1823)</f>
        <v>1.38161149705383</v>
      </c>
      <c r="O1823" s="7">
        <f>[1]!EM_S_VAL_PS_TTM(B1823,E1823)</f>
        <v>1.39851999974303</v>
      </c>
      <c r="P1823" s="7">
        <f>[1]!EM_S_VAL_PCF_NCFTTM(B1823,E1823)</f>
        <v>30.497955684467801</v>
      </c>
      <c r="Q1823" s="7">
        <f>[1]!EM_S_VAL_DIVIDENDYIELD2(B1823,E1823,"2019-11-29")</f>
        <v>2.5142857142857147</v>
      </c>
      <c r="T1823"/>
      <c r="U1823">
        <f>[1]!EM_S_RATIO_EPS_TTM(B1823,E1823,"1")</f>
        <v>0.73145546241467374</v>
      </c>
      <c r="AT1823" s="4" t="str">
        <f>[1]!EM_S_IPO_LISTEDDATE(B1823)</f>
        <v>2016-02-15</v>
      </c>
    </row>
    <row r="1824" spans="1:46">
      <c r="A1824">
        <v>317</v>
      </c>
      <c r="B1824" t="str">
        <f>"000738"</f>
        <v>000738</v>
      </c>
      <c r="C1824" t="s">
        <v>2114</v>
      </c>
      <c r="D1824" t="str">
        <f>[1]!EM_S_INFO_INDEX_EM(B1824,"1")</f>
        <v>国防与装备</v>
      </c>
      <c r="E1824" s="4">
        <f t="shared" si="28"/>
        <v>43465</v>
      </c>
      <c r="F1824" s="11">
        <f>[1]!EM_S_PQ_PCTCHANGE(B1824,"2018-01-01","2019-12-31","3")</f>
        <v>-14.07633828</v>
      </c>
      <c r="G1824" s="11">
        <f>[1]!EM_S_PQ_PCTCHANGE(B1824,"2018-12-31","2019-12-30","1")</f>
        <v>8.5406301800000008</v>
      </c>
      <c r="H1824" s="11">
        <f>[1]!EM_S_FA_YOY_OR(B1824,E1824)</f>
        <v>7.5645674099000004</v>
      </c>
      <c r="I1824" s="11">
        <f>[1]!EM_S_FA_GROSSPROFITMARGIN(B1824,E1824)</f>
        <v>27.296473867900001</v>
      </c>
      <c r="J1824" s="11">
        <f>[1]!EM_S_FA_NETPROFITMARGIN(B1824,E1824)</f>
        <v>9.3713276260999994</v>
      </c>
      <c r="K1824" s="10">
        <f>[1]!EM_S_FA_ASSETSTURN(B1824,E1824)</f>
        <v>0.38054258330700003</v>
      </c>
      <c r="L1824" s="12">
        <f>[1]!EM_HKS_VAL_MV(B1824,"2019-12-31","2")</f>
        <v>14973545501.43</v>
      </c>
      <c r="M1824">
        <f>[1]!EM_S_VAL_PETTMDEDUCTED(B1824,E1824)</f>
        <v>55.132719169180099</v>
      </c>
      <c r="N1824" s="7">
        <f>[1]!EM_S_VAL_PBGOODWILLDEDUCTED(B1824,E1824)</f>
        <v>2.5791178027360999</v>
      </c>
      <c r="O1824" s="7">
        <f>[1]!EM_S_VAL_PS_TTM(B1824,E1824)</f>
        <v>5.3651733309219303</v>
      </c>
      <c r="P1824" s="7">
        <f>[1]!EM_S_VAL_PCF_NCFTTM(B1824,E1824)</f>
        <v>48.552820753097997</v>
      </c>
      <c r="Q1824" s="7">
        <f>[1]!EM_S_VAL_DIVIDENDYIELD2(B1824,E1824,"2019-11-29")</f>
        <v>0.31225604996096801</v>
      </c>
      <c r="T1824"/>
      <c r="U1824">
        <f>[1]!EM_S_RATIO_EPS_TTM(B1824,E1824,"1")</f>
        <v>0.22635260885419661</v>
      </c>
      <c r="AT1824" s="4" t="str">
        <f>[1]!EM_S_IPO_LISTEDDATE(B1824)</f>
        <v>1997-06-26</v>
      </c>
    </row>
    <row r="1825" spans="1:46">
      <c r="A1825">
        <v>754</v>
      </c>
      <c r="B1825" t="str">
        <f>"002243"</f>
        <v>002243</v>
      </c>
      <c r="C1825" t="s">
        <v>2394</v>
      </c>
      <c r="D1825" t="str">
        <f>[1]!EM_S_INFO_INDEX_EM(B1825,"1")</f>
        <v>轻工制造</v>
      </c>
      <c r="E1825" s="4">
        <f t="shared" si="28"/>
        <v>43465</v>
      </c>
      <c r="F1825" s="11">
        <f>[1]!EM_S_PQ_PCTCHANGE(B1825,"2018-01-01","2019-12-31","3")</f>
        <v>89.777225430000001</v>
      </c>
      <c r="G1825" s="11">
        <f>[1]!EM_S_PQ_PCTCHANGE(B1825,"2018-12-31","2019-12-30","1")</f>
        <v>8.5383502199999999</v>
      </c>
      <c r="H1825" s="11">
        <f>[1]!EM_S_FA_YOY_OR(B1825,E1825)</f>
        <v>10.8853925164</v>
      </c>
      <c r="I1825" s="11">
        <f>[1]!EM_S_FA_GROSSPROFITMARGIN(B1825,E1825)</f>
        <v>22.756473172100002</v>
      </c>
      <c r="J1825" s="11">
        <f>[1]!EM_S_FA_NETPROFITMARGIN(B1825,E1825)</f>
        <v>6.6625520485000003</v>
      </c>
      <c r="K1825" s="10">
        <f>[1]!EM_S_FA_ASSETSTURN(B1825,E1825)</f>
        <v>0.70253867318300001</v>
      </c>
      <c r="L1825" s="12">
        <f>[1]!EM_HKS_VAL_MV(B1825,"2019-12-31","2")</f>
        <v>17469090885</v>
      </c>
      <c r="M1825">
        <f>[1]!EM_S_VAL_PETTMDEDUCTED(B1825,E1825)</f>
        <v>93.211120447707998</v>
      </c>
      <c r="N1825" s="7">
        <f>[1]!EM_S_VAL_PBGOODWILLDEDUCTED(B1825,E1825)</f>
        <v>3.24813111807403</v>
      </c>
      <c r="O1825" s="7">
        <f>[1]!EM_S_VAL_PS_TTM(B1825,E1825)</f>
        <v>3.7910366910556399</v>
      </c>
      <c r="P1825" s="7">
        <f>[1]!EM_S_VAL_PCF_NCFTTM(B1825,E1825)</f>
        <v>-396.09054348367198</v>
      </c>
      <c r="Q1825" s="7">
        <f>[1]!EM_S_VAL_DIVIDENDYIELD2(B1825,E1825,"2019-11-29")</f>
        <v>0.34153005464480873</v>
      </c>
      <c r="T1825"/>
      <c r="U1825">
        <f>[1]!EM_S_RATIO_EPS_TTM(B1825,E1825,"1")</f>
        <v>0.22496709885094177</v>
      </c>
      <c r="AT1825" s="4" t="str">
        <f>[1]!EM_S_IPO_LISTEDDATE(B1825)</f>
        <v>2008-05-28</v>
      </c>
    </row>
    <row r="1826" spans="1:46">
      <c r="A1826">
        <v>3037</v>
      </c>
      <c r="B1826" t="str">
        <f>"601020"</f>
        <v>601020</v>
      </c>
      <c r="C1826" t="s">
        <v>1236</v>
      </c>
      <c r="D1826" t="str">
        <f>[1]!EM_S_INFO_INDEX_EM(B1826,"1")</f>
        <v>有色金属</v>
      </c>
      <c r="E1826" s="4">
        <f t="shared" si="28"/>
        <v>43465</v>
      </c>
      <c r="F1826" s="11">
        <f>[1]!EM_S_PQ_PCTCHANGE(B1826,"2018-01-01","2019-12-31","3")</f>
        <v>-54.716287639999997</v>
      </c>
      <c r="G1826" s="11">
        <f>[1]!EM_S_PQ_PCTCHANGE(B1826,"2018-12-31","2019-12-30","1")</f>
        <v>8.5106383000000001</v>
      </c>
      <c r="H1826" s="11">
        <f>[1]!EM_S_FA_YOY_OR(B1826,E1826)</f>
        <v>26.570342938</v>
      </c>
      <c r="I1826" s="11">
        <f>[1]!EM_S_FA_GROSSPROFITMARGIN(B1826,E1826)</f>
        <v>43.666386776400003</v>
      </c>
      <c r="J1826" s="11">
        <f>[1]!EM_S_FA_NETPROFITMARGIN(B1826,E1826)</f>
        <v>18.994243258899999</v>
      </c>
      <c r="K1826" s="10">
        <f>[1]!EM_S_FA_ASSETSTURN(B1826,E1826)</f>
        <v>0.33399246003100003</v>
      </c>
      <c r="L1826" s="12">
        <f>[1]!EM_HKS_VAL_MV(B1826,"2019-12-31","2")</f>
        <v>4801620292.6999998</v>
      </c>
      <c r="M1826">
        <f>[1]!EM_S_VAL_PETTMDEDUCTED(B1826,E1826)</f>
        <v>18.1510651341978</v>
      </c>
      <c r="N1826" s="7">
        <f>[1]!EM_S_VAL_PBGOODWILLDEDUCTED(B1826,E1826)</f>
        <v>2.2405313228135699</v>
      </c>
      <c r="O1826" s="7">
        <f>[1]!EM_S_VAL_PS_TTM(B1826,E1826)</f>
        <v>3.6614480531453202</v>
      </c>
      <c r="P1826" s="7">
        <f>[1]!EM_S_VAL_PCF_NCFTTM(B1826,E1826)</f>
        <v>-23.465739282860799</v>
      </c>
      <c r="Q1826" s="7">
        <f>[1]!EM_S_VAL_DIVIDENDYIELD2(B1826,E1826,"2019-11-29")</f>
        <v>1.0404624277456647</v>
      </c>
      <c r="T1826"/>
      <c r="U1826">
        <f>[1]!EM_S_RATIO_EPS_TTM(B1826,E1826,"1")</f>
        <v>0.42708298596183464</v>
      </c>
      <c r="AT1826" s="4" t="str">
        <f>[1]!EM_S_IPO_LISTEDDATE(B1826)</f>
        <v>2016-03-16</v>
      </c>
    </row>
    <row r="1827" spans="1:46">
      <c r="A1827">
        <v>846</v>
      </c>
      <c r="B1827" t="str">
        <f>"002335"</f>
        <v>002335</v>
      </c>
      <c r="C1827" t="s">
        <v>2425</v>
      </c>
      <c r="D1827" t="str">
        <f>[1]!EM_S_INFO_INDEX_EM(B1827,"1")</f>
        <v>电气设备</v>
      </c>
      <c r="E1827" s="4">
        <f t="shared" si="28"/>
        <v>43465</v>
      </c>
      <c r="F1827" s="11">
        <f>[1]!EM_S_PQ_PCTCHANGE(B1827,"2018-01-01","2019-12-31","3")</f>
        <v>-41.658969249999998</v>
      </c>
      <c r="G1827" s="11">
        <f>[1]!EM_S_PQ_PCTCHANGE(B1827,"2018-12-31","2019-12-30","1")</f>
        <v>8.4936960799999994</v>
      </c>
      <c r="H1827" s="11">
        <f>[1]!EM_S_FA_YOY_OR(B1827,E1827)</f>
        <v>42.627278269500003</v>
      </c>
      <c r="I1827" s="11">
        <f>[1]!EM_S_FA_GROSSPROFITMARGIN(B1827,E1827)</f>
        <v>29.9637200992</v>
      </c>
      <c r="J1827" s="11">
        <f>[1]!EM_S_FA_NETPROFITMARGIN(B1827,E1827)</f>
        <v>2.6477097658000002</v>
      </c>
      <c r="K1827" s="10">
        <f>[1]!EM_S_FA_ASSETSTURN(B1827,E1827)</f>
        <v>0.49895789001000002</v>
      </c>
      <c r="L1827" s="12">
        <f>[1]!EM_HKS_VAL_MV(B1827,"2019-12-31","2")</f>
        <v>4417471442.1000004</v>
      </c>
      <c r="M1827">
        <f>[1]!EM_S_VAL_PETTMDEDUCTED(B1827,E1827)</f>
        <v>25.916593664087799</v>
      </c>
      <c r="N1827" s="7">
        <f>[1]!EM_S_VAL_PBGOODWILLDEDUCTED(B1827,E1827)</f>
        <v>1.6718568035600601</v>
      </c>
      <c r="O1827" s="7">
        <f>[1]!EM_S_VAL_PS_TTM(B1827,E1827)</f>
        <v>1.3412931360332301</v>
      </c>
      <c r="P1827" s="7">
        <f>[1]!EM_S_VAL_PCF_NCFTTM(B1827,E1827)</f>
        <v>-8.4309099058786394</v>
      </c>
      <c r="Q1827" s="7">
        <f>[1]!EM_S_VAL_DIVIDENDYIELD2(B1827,E1827,"2019-11-29")</f>
        <v>6.6137566137566131</v>
      </c>
      <c r="T1827"/>
      <c r="U1827">
        <f>[1]!EM_S_RATIO_EPS_TTM(B1827,E1827,"1")</f>
        <v>0.26759496507805591</v>
      </c>
      <c r="AT1827" s="4" t="str">
        <f>[1]!EM_S_IPO_LISTEDDATE(B1827)</f>
        <v>2010-01-13</v>
      </c>
    </row>
    <row r="1828" spans="1:46">
      <c r="A1828">
        <v>2824</v>
      </c>
      <c r="B1828" t="str">
        <f>"600751"</f>
        <v>600751</v>
      </c>
      <c r="C1828" t="s">
        <v>3265</v>
      </c>
      <c r="D1828" t="str">
        <f>[1]!EM_S_INFO_INDEX_EM(B1828,"1")</f>
        <v>互联网</v>
      </c>
      <c r="E1828" s="4">
        <f t="shared" si="28"/>
        <v>43465</v>
      </c>
      <c r="F1828" s="11">
        <f>[1]!EM_S_PQ_PCTCHANGE(B1828,"2018-01-01","2019-12-31","3")</f>
        <v>-52.045826509999998</v>
      </c>
      <c r="G1828" s="11">
        <f>[1]!EM_S_PQ_PCTCHANGE(B1828,"2018-12-31","2019-12-30","1")</f>
        <v>8.4870848700000003</v>
      </c>
      <c r="H1828" s="11">
        <f>[1]!EM_S_FA_YOY_OR(B1828,E1828)</f>
        <v>6.6607486211999998</v>
      </c>
      <c r="I1828" s="11">
        <f>[1]!EM_S_FA_GROSSPROFITMARGIN(B1828,E1828)</f>
        <v>6.4690633221000002</v>
      </c>
      <c r="J1828" s="11">
        <f>[1]!EM_S_FA_NETPROFITMARGIN(B1828,E1828)</f>
        <v>6.1959389599999998E-2</v>
      </c>
      <c r="K1828" s="10">
        <f>[1]!EM_S_FA_ASSETSTURN(B1828,E1828)</f>
        <v>2.6725655347239998</v>
      </c>
      <c r="L1828" s="12">
        <f>[1]!EM_HKS_VAL_MV(B1828,"2019-12-31","2")</f>
        <v>8495059704.1899996</v>
      </c>
      <c r="M1828">
        <f>[1]!EM_S_VAL_PETTMDEDUCTED(B1828,E1828)</f>
        <v>15.605360524514699</v>
      </c>
      <c r="N1828" s="7">
        <f>[1]!EM_S_VAL_PBGOODWILLDEDUCTED(B1828,E1828)</f>
        <v>-3.9122085858858502</v>
      </c>
      <c r="O1828" s="7">
        <f>[1]!EM_S_VAL_PS_TTM(B1828,E1828)</f>
        <v>2.42390718136428E-2</v>
      </c>
      <c r="P1828" s="7">
        <f>[1]!EM_S_VAL_PCF_NCFTTM(B1828,E1828)</f>
        <v>-2.55062250894902</v>
      </c>
      <c r="Q1828" s="7">
        <f>[1]!EM_S_VAL_DIVIDENDYIELD2(B1828,E1828,"2019-11-29")</f>
        <v>0</v>
      </c>
      <c r="T1828"/>
      <c r="U1828">
        <f>[1]!EM_S_RATIO_EPS_TTM(B1828,E1828,"1")</f>
        <v>2.0778192990561252E-2</v>
      </c>
      <c r="AT1828" s="4" t="str">
        <f>[1]!EM_S_IPO_LISTEDDATE(B1828)</f>
        <v>1996-09-09</v>
      </c>
    </row>
    <row r="1829" spans="1:46">
      <c r="A1829">
        <v>2726</v>
      </c>
      <c r="B1829" t="str">
        <f>"600653"</f>
        <v>600653</v>
      </c>
      <c r="C1829" t="s">
        <v>3638</v>
      </c>
      <c r="D1829" t="str">
        <f>[1]!EM_S_INFO_INDEX_EM(B1829,"1")</f>
        <v>交运设备</v>
      </c>
      <c r="E1829" s="4">
        <f t="shared" si="28"/>
        <v>43465</v>
      </c>
      <c r="F1829" s="11">
        <f>[1]!EM_S_PQ_PCTCHANGE(B1829,"2018-01-01","2019-12-31","3")</f>
        <v>-23.880597009999999</v>
      </c>
      <c r="G1829" s="11">
        <f>[1]!EM_S_PQ_PCTCHANGE(B1829,"2018-12-31","2019-12-30","1")</f>
        <v>8.4656084699999994</v>
      </c>
      <c r="H1829" s="11">
        <f>[1]!EM_S_FA_YOY_OR(B1829,E1829)</f>
        <v>23.156916769999999</v>
      </c>
      <c r="I1829" s="11">
        <f>[1]!EM_S_FA_GROSSPROFITMARGIN(B1829,E1829)</f>
        <v>4.1721314450999998</v>
      </c>
      <c r="J1829" s="11">
        <f>[1]!EM_S_FA_NETPROFITMARGIN(B1829,E1829)</f>
        <v>4.9920017743000002</v>
      </c>
      <c r="K1829" s="10">
        <f>[1]!EM_S_FA_ASSETSTURN(B1829,E1829)</f>
        <v>0.781491429934</v>
      </c>
      <c r="L1829" s="12">
        <f>[1]!EM_HKS_VAL_MV(B1829,"2019-12-31","2")</f>
        <v>3970615846.6799998</v>
      </c>
      <c r="M1829">
        <f>[1]!EM_S_VAL_PETTMDEDUCTED(B1829,E1829)</f>
        <v>-5.7547290508701101</v>
      </c>
      <c r="N1829" s="7">
        <f>[1]!EM_S_VAL_PBGOODWILLDEDUCTED(B1829,E1829)</f>
        <v>1.78268273143883</v>
      </c>
      <c r="O1829" s="7">
        <f>[1]!EM_S_VAL_PS_TTM(B1829,E1829)</f>
        <v>0.50687105224557305</v>
      </c>
      <c r="P1829" s="7">
        <f>[1]!EM_S_VAL_PCF_NCFTTM(B1829,E1829)</f>
        <v>67.015905706276598</v>
      </c>
      <c r="Q1829" s="7">
        <f>[1]!EM_S_VAL_DIVIDENDYIELD2(B1829,E1829,"2019-11-29")</f>
        <v>0</v>
      </c>
      <c r="T1829"/>
      <c r="U1829">
        <f>[1]!EM_S_RATIO_EPS_TTM(B1829,E1829,"1")</f>
        <v>0.17523479653026106</v>
      </c>
      <c r="AT1829" s="4" t="str">
        <f>[1]!EM_S_IPO_LISTEDDATE(B1829)</f>
        <v>1990-12-19</v>
      </c>
    </row>
    <row r="1830" spans="1:46">
      <c r="A1830">
        <v>1025</v>
      </c>
      <c r="B1830" t="str">
        <f>"002514"</f>
        <v>002514</v>
      </c>
      <c r="C1830" t="s">
        <v>238</v>
      </c>
      <c r="D1830" t="str">
        <f>[1]!EM_S_INFO_INDEX_EM(B1830,"1")</f>
        <v>机械设备</v>
      </c>
      <c r="E1830" s="4">
        <f t="shared" si="28"/>
        <v>43465</v>
      </c>
      <c r="F1830" s="11">
        <f>[1]!EM_S_PQ_PCTCHANGE(B1830,"2018-01-01","2019-12-31","3")</f>
        <v>-24.083769629999999</v>
      </c>
      <c r="G1830" s="11">
        <f>[1]!EM_S_PQ_PCTCHANGE(B1830,"2018-12-31","2019-12-30","1")</f>
        <v>8.4427767399999993</v>
      </c>
      <c r="H1830" s="11">
        <f>[1]!EM_S_FA_YOY_OR(B1830,E1830)</f>
        <v>47.195056107200003</v>
      </c>
      <c r="I1830" s="11">
        <f>[1]!EM_S_FA_GROSSPROFITMARGIN(B1830,E1830)</f>
        <v>35.190592219499997</v>
      </c>
      <c r="J1830" s="11">
        <f>[1]!EM_S_FA_NETPROFITMARGIN(B1830,E1830)</f>
        <v>11.684996180400001</v>
      </c>
      <c r="K1830" s="10">
        <f>[1]!EM_S_FA_ASSETSTURN(B1830,E1830)</f>
        <v>0.46523438694399999</v>
      </c>
      <c r="L1830" s="12">
        <f>[1]!EM_HKS_VAL_MV(B1830,"2019-12-31","2")</f>
        <v>3213398731.1999998</v>
      </c>
      <c r="M1830">
        <f>[1]!EM_S_VAL_PETTMDEDUCTED(B1830,E1830)</f>
        <v>-62.890619741986498</v>
      </c>
      <c r="N1830" s="7">
        <f>[1]!EM_S_VAL_PBGOODWILLDEDUCTED(B1830,E1830)</f>
        <v>4.3538333408257799</v>
      </c>
      <c r="O1830" s="7">
        <f>[1]!EM_S_VAL_PS_TTM(B1830,E1830)</f>
        <v>4.07424665699968</v>
      </c>
      <c r="P1830" s="7">
        <f>[1]!EM_S_VAL_PCF_NCFTTM(B1830,E1830)</f>
        <v>-118.72089173000499</v>
      </c>
      <c r="Q1830" s="7">
        <f>[1]!EM_S_VAL_DIVIDENDYIELD2(B1830,E1830,"2019-11-29")</f>
        <v>0</v>
      </c>
      <c r="T1830"/>
      <c r="U1830">
        <f>[1]!EM_S_RATIO_EPS_TTM(B1830,E1830,"1")</f>
        <v>0.17022753338230359</v>
      </c>
      <c r="AT1830" s="4" t="str">
        <f>[1]!EM_S_IPO_LISTEDDATE(B1830)</f>
        <v>2010-12-03</v>
      </c>
    </row>
    <row r="1831" spans="1:46">
      <c r="A1831">
        <v>2579</v>
      </c>
      <c r="B1831" t="str">
        <f>"600496"</f>
        <v>600496</v>
      </c>
      <c r="C1831" t="s">
        <v>2572</v>
      </c>
      <c r="D1831" t="str">
        <f>[1]!EM_S_INFO_INDEX_EM(B1831,"1")</f>
        <v>建筑</v>
      </c>
      <c r="E1831" s="4">
        <f t="shared" si="28"/>
        <v>43465</v>
      </c>
      <c r="F1831" s="11">
        <f>[1]!EM_S_PQ_PCTCHANGE(B1831,"2018-01-01","2019-12-31","3")</f>
        <v>-31.12810966</v>
      </c>
      <c r="G1831" s="11">
        <f>[1]!EM_S_PQ_PCTCHANGE(B1831,"2018-12-31","2019-12-30","1")</f>
        <v>8.4291187700000005</v>
      </c>
      <c r="H1831" s="11">
        <f>[1]!EM_S_FA_YOY_OR(B1831,E1831)</f>
        <v>32.112130023600002</v>
      </c>
      <c r="I1831" s="11">
        <f>[1]!EM_S_FA_GROSSPROFITMARGIN(B1831,E1831)</f>
        <v>13.669151706299999</v>
      </c>
      <c r="J1831" s="11">
        <f>[1]!EM_S_FA_NETPROFITMARGIN(B1831,E1831)</f>
        <v>2.0989813517</v>
      </c>
      <c r="K1831" s="10">
        <f>[1]!EM_S_FA_ASSETSTURN(B1831,E1831)</f>
        <v>0.69411909209099998</v>
      </c>
      <c r="L1831" s="12">
        <f>[1]!EM_HKS_VAL_MV(B1831,"2019-12-31","2")</f>
        <v>5232186628</v>
      </c>
      <c r="M1831">
        <f>[1]!EM_S_VAL_PETTMDEDUCTED(B1831,E1831)</f>
        <v>40.425005079819698</v>
      </c>
      <c r="N1831" s="7">
        <f>[1]!EM_S_VAL_PBGOODWILLDEDUCTED(B1831,E1831)</f>
        <v>1.0360043011492099</v>
      </c>
      <c r="O1831" s="7">
        <f>[1]!EM_S_VAL_PS_TTM(B1831,E1831)</f>
        <v>0.63234013440260906</v>
      </c>
      <c r="P1831" s="7">
        <f>[1]!EM_S_VAL_PCF_NCFTTM(B1831,E1831)</f>
        <v>7.6353537464651797</v>
      </c>
      <c r="Q1831" s="7">
        <f>[1]!EM_S_VAL_DIVIDENDYIELD2(B1831,E1831,"2019-11-29")</f>
        <v>0.48148148148148151</v>
      </c>
      <c r="T1831"/>
      <c r="U1831">
        <f>[1]!EM_S_RATIO_EPS_TTM(B1831,E1831,"1")</f>
        <v>0.10036885272197137</v>
      </c>
      <c r="AT1831" s="4" t="str">
        <f>[1]!EM_S_IPO_LISTEDDATE(B1831)</f>
        <v>2002-06-05</v>
      </c>
    </row>
    <row r="1832" spans="1:46">
      <c r="A1832">
        <v>133</v>
      </c>
      <c r="B1832" t="str">
        <f>"000524"</f>
        <v>000524</v>
      </c>
      <c r="C1832" t="s">
        <v>1782</v>
      </c>
      <c r="D1832" t="str">
        <f>[1]!EM_S_INFO_INDEX_EM(B1832,"1")</f>
        <v>休闲、生活及专业服务</v>
      </c>
      <c r="E1832" s="4">
        <f t="shared" si="28"/>
        <v>43465</v>
      </c>
      <c r="F1832" s="11">
        <f>[1]!EM_S_PQ_PCTCHANGE(B1832,"2018-01-01","2019-12-31","3")</f>
        <v>-30.553844250000001</v>
      </c>
      <c r="G1832" s="11">
        <f>[1]!EM_S_PQ_PCTCHANGE(B1832,"2018-12-31","2019-12-30","1")</f>
        <v>8.4057970999999991</v>
      </c>
      <c r="H1832" s="11">
        <f>[1]!EM_S_FA_YOY_OR(B1832,E1832)</f>
        <v>10.7296524799</v>
      </c>
      <c r="I1832" s="11">
        <f>[1]!EM_S_FA_GROSSPROFITMARGIN(B1832,E1832)</f>
        <v>15.3841996745</v>
      </c>
      <c r="J1832" s="11">
        <f>[1]!EM_S_FA_NETPROFITMARGIN(B1832,E1832)</f>
        <v>3.0796999623999999</v>
      </c>
      <c r="K1832" s="10">
        <f>[1]!EM_S_FA_ASSETSTURN(B1832,E1832)</f>
        <v>1.5691476199300001</v>
      </c>
      <c r="L1832" s="12">
        <f>[1]!EM_HKS_VAL_MV(B1832,"2019-12-31","2")</f>
        <v>5019862391.5299997</v>
      </c>
      <c r="M1832">
        <f>[1]!EM_S_VAL_PETTMDEDUCTED(B1832,E1832)</f>
        <v>28.6416311716298</v>
      </c>
      <c r="N1832" s="7">
        <f>[1]!EM_S_VAL_PBGOODWILLDEDUCTED(B1832,E1832)</f>
        <v>1.84157558273444</v>
      </c>
      <c r="O1832" s="7">
        <f>[1]!EM_S_VAL_PS_TTM(B1832,E1832)</f>
        <v>0.67356083928388299</v>
      </c>
      <c r="P1832" s="7">
        <f>[1]!EM_S_VAL_PCF_NCFTTM(B1832,E1832)</f>
        <v>-32.407868290151498</v>
      </c>
      <c r="Q1832" s="7">
        <f>[1]!EM_S_VAL_DIVIDENDYIELD2(B1832,E1832,"2019-11-29")</f>
        <v>3.228120516499283</v>
      </c>
      <c r="T1832"/>
      <c r="U1832">
        <f>[1]!EM_S_RATIO_EPS_TTM(B1832,E1832,"1")</f>
        <v>0.30567998933024726</v>
      </c>
      <c r="AT1832" s="4" t="str">
        <f>[1]!EM_S_IPO_LISTEDDATE(B1832)</f>
        <v>1993-11-18</v>
      </c>
    </row>
    <row r="1833" spans="1:46">
      <c r="A1833">
        <v>3021</v>
      </c>
      <c r="B1833" t="str">
        <f>"601000"</f>
        <v>601000</v>
      </c>
      <c r="C1833" t="s">
        <v>1032</v>
      </c>
      <c r="D1833" t="str">
        <f>[1]!EM_S_INFO_INDEX_EM(B1833,"1")</f>
        <v>交通运输</v>
      </c>
      <c r="E1833" s="4">
        <f t="shared" si="28"/>
        <v>43465</v>
      </c>
      <c r="F1833" s="11">
        <f>[1]!EM_S_PQ_PCTCHANGE(B1833,"2018-01-01","2019-12-31","3")</f>
        <v>-25.074338340000001</v>
      </c>
      <c r="G1833" s="11">
        <f>[1]!EM_S_PQ_PCTCHANGE(B1833,"2018-12-31","2019-12-30","1")</f>
        <v>8.40336134</v>
      </c>
      <c r="H1833" s="11">
        <f>[1]!EM_S_FA_YOY_OR(B1833,E1833)</f>
        <v>33.182931804399999</v>
      </c>
      <c r="I1833" s="11">
        <f>[1]!EM_S_FA_GROSSPROFITMARGIN(B1833,E1833)</f>
        <v>20.722167250599998</v>
      </c>
      <c r="J1833" s="11">
        <f>[1]!EM_S_FA_NETPROFITMARGIN(B1833,E1833)</f>
        <v>15.1711160486</v>
      </c>
      <c r="K1833" s="10">
        <f>[1]!EM_S_FA_ASSETSTURN(B1833,E1833)</f>
        <v>0.44699438082600002</v>
      </c>
      <c r="L1833" s="12">
        <f>[1]!EM_HKS_VAL_MV(B1833,"2019-12-31","2")</f>
        <v>15407414396.4</v>
      </c>
      <c r="M1833">
        <f>[1]!EM_S_VAL_PETTMDEDUCTED(B1833,E1833)</f>
        <v>9.2890754632401293</v>
      </c>
      <c r="N1833" s="7">
        <f>[1]!EM_S_VAL_PBGOODWILLDEDUCTED(B1833,E1833)</f>
        <v>0.895138517876513</v>
      </c>
      <c r="O1833" s="7">
        <f>[1]!EM_S_VAL_PS_TTM(B1833,E1833)</f>
        <v>1.42812093705951</v>
      </c>
      <c r="P1833" s="7">
        <f>[1]!EM_S_VAL_PCF_NCFTTM(B1833,E1833)</f>
        <v>499.99216056586198</v>
      </c>
      <c r="Q1833" s="7">
        <f>[1]!EM_S_VAL_DIVIDENDYIELD2(B1833,E1833,"2019-11-29")</f>
        <v>2.7667984189723316</v>
      </c>
      <c r="T1833"/>
      <c r="U1833">
        <f>[1]!EM_S_RATIO_EPS_TTM(B1833,E1833,"1")</f>
        <v>0.27168147191420083</v>
      </c>
      <c r="AT1833" s="4" t="str">
        <f>[1]!EM_S_IPO_LISTEDDATE(B1833)</f>
        <v>2010-07-05</v>
      </c>
    </row>
    <row r="1834" spans="1:46">
      <c r="A1834">
        <v>1451</v>
      </c>
      <c r="B1834" t="str">
        <f>"300025"</f>
        <v>300025</v>
      </c>
      <c r="C1834" t="s">
        <v>3481</v>
      </c>
      <c r="D1834" t="str">
        <f>[1]!EM_S_INFO_INDEX_EM(B1834,"1")</f>
        <v>信息技术</v>
      </c>
      <c r="E1834" s="4">
        <f t="shared" si="28"/>
        <v>43465</v>
      </c>
      <c r="F1834" s="11">
        <f>[1]!EM_S_PQ_PCTCHANGE(B1834,"2018-01-01","2019-12-31","3")</f>
        <v>-16.0130719</v>
      </c>
      <c r="G1834" s="11">
        <f>[1]!EM_S_PQ_PCTCHANGE(B1834,"2018-12-31","2019-12-30","1")</f>
        <v>8.3507306900000007</v>
      </c>
      <c r="H1834" s="11">
        <f>[1]!EM_S_FA_YOY_OR(B1834,E1834)</f>
        <v>-3.6369293358000001</v>
      </c>
      <c r="I1834" s="11">
        <f>[1]!EM_S_FA_GROSSPROFITMARGIN(B1834,E1834)</f>
        <v>15.4546837765</v>
      </c>
      <c r="J1834" s="11">
        <f>[1]!EM_S_FA_NETPROFITMARGIN(B1834,E1834)</f>
        <v>-1.1285444765999999</v>
      </c>
      <c r="K1834" s="10">
        <f>[1]!EM_S_FA_ASSETSTURN(B1834,E1834)</f>
        <v>0.54575588948599996</v>
      </c>
      <c r="L1834" s="12">
        <f>[1]!EM_HKS_VAL_MV(B1834,"2019-12-31","2")</f>
        <v>2202647088.6799998</v>
      </c>
      <c r="M1834">
        <f>[1]!EM_S_VAL_PETTMDEDUCTED(B1834,E1834)</f>
        <v>-6.7336858790075098</v>
      </c>
      <c r="N1834" s="7">
        <f>[1]!EM_S_VAL_PBGOODWILLDEDUCTED(B1834,E1834)</f>
        <v>2.97830980860026</v>
      </c>
      <c r="O1834" s="7">
        <f>[1]!EM_S_VAL_PS_TTM(B1834,E1834)</f>
        <v>1.42467553797891</v>
      </c>
      <c r="P1834" s="7">
        <f>[1]!EM_S_VAL_PCF_NCFTTM(B1834,E1834)</f>
        <v>-120.689550144256</v>
      </c>
      <c r="Q1834" s="7">
        <f>[1]!EM_S_VAL_DIVIDENDYIELD2(B1834,E1834,"2019-11-29")</f>
        <v>0</v>
      </c>
      <c r="T1834"/>
      <c r="U1834">
        <f>[1]!EM_S_RATIO_EPS_TTM(B1834,E1834,"1")</f>
        <v>2.5516102956502782E-2</v>
      </c>
      <c r="AT1834" s="4" t="str">
        <f>[1]!EM_S_IPO_LISTEDDATE(B1834)</f>
        <v>2009-10-30</v>
      </c>
    </row>
    <row r="1835" spans="1:46">
      <c r="A1835">
        <v>2663</v>
      </c>
      <c r="B1835" t="str">
        <f>"600590"</f>
        <v>600590</v>
      </c>
      <c r="C1835" t="s">
        <v>2031</v>
      </c>
      <c r="D1835" t="str">
        <f>[1]!EM_S_INFO_INDEX_EM(B1835,"1")</f>
        <v>电气设备</v>
      </c>
      <c r="E1835" s="4">
        <f t="shared" si="28"/>
        <v>43465</v>
      </c>
      <c r="F1835" s="11">
        <f>[1]!EM_S_PQ_PCTCHANGE(B1835,"2018-01-01","2019-12-31","3")</f>
        <v>-28.387316819999999</v>
      </c>
      <c r="G1835" s="11">
        <f>[1]!EM_S_PQ_PCTCHANGE(B1835,"2018-12-31","2019-12-30","1")</f>
        <v>8.3487940599999995</v>
      </c>
      <c r="H1835" s="11">
        <f>[1]!EM_S_FA_YOY_OR(B1835,E1835)</f>
        <v>20.1302454074</v>
      </c>
      <c r="I1835" s="11">
        <f>[1]!EM_S_FA_GROSSPROFITMARGIN(B1835,E1835)</f>
        <v>20.886177556900002</v>
      </c>
      <c r="J1835" s="11">
        <f>[1]!EM_S_FA_NETPROFITMARGIN(B1835,E1835)</f>
        <v>4.4744068214999997</v>
      </c>
      <c r="K1835" s="10">
        <f>[1]!EM_S_FA_ASSETSTURN(B1835,E1835)</f>
        <v>0.51795556949699995</v>
      </c>
      <c r="L1835" s="12">
        <f>[1]!EM_HKS_VAL_MV(B1835,"2019-12-31","2")</f>
        <v>5041858922.8800001</v>
      </c>
      <c r="M1835">
        <f>[1]!EM_S_VAL_PETTMDEDUCTED(B1835,E1835)</f>
        <v>17.5864056530143</v>
      </c>
      <c r="N1835" s="7">
        <f>[1]!EM_S_VAL_PBGOODWILLDEDUCTED(B1835,E1835)</f>
        <v>1.7074010052616999</v>
      </c>
      <c r="O1835" s="7">
        <f>[1]!EM_S_VAL_PS_TTM(B1835,E1835)</f>
        <v>0.764485269733719</v>
      </c>
      <c r="P1835" s="7">
        <f>[1]!EM_S_VAL_PCF_NCFTTM(B1835,E1835)</f>
        <v>-172.430512679922</v>
      </c>
      <c r="Q1835" s="7">
        <f>[1]!EM_S_VAL_DIVIDENDYIELD2(B1835,E1835,"2019-11-29")</f>
        <v>0</v>
      </c>
      <c r="T1835"/>
      <c r="U1835">
        <f>[1]!EM_S_RATIO_EPS_TTM(B1835,E1835,"1")</f>
        <v>0.30264248205385913</v>
      </c>
      <c r="AT1835" s="4" t="str">
        <f>[1]!EM_S_IPO_LISTEDDATE(B1835)</f>
        <v>2002-07-03</v>
      </c>
    </row>
    <row r="1836" spans="1:46">
      <c r="A1836">
        <v>637</v>
      </c>
      <c r="B1836" t="str">
        <f>"002126"</f>
        <v>002126</v>
      </c>
      <c r="C1836" t="s">
        <v>809</v>
      </c>
      <c r="D1836" t="str">
        <f>[1]!EM_S_INFO_INDEX_EM(B1836,"1")</f>
        <v>交运设备</v>
      </c>
      <c r="E1836" s="4">
        <f t="shared" si="28"/>
        <v>43465</v>
      </c>
      <c r="F1836" s="11">
        <f>[1]!EM_S_PQ_PCTCHANGE(B1836,"2018-01-01","2019-12-31","3")</f>
        <v>-16.517763630000001</v>
      </c>
      <c r="G1836" s="11">
        <f>[1]!EM_S_PQ_PCTCHANGE(B1836,"2018-12-31","2019-12-30","1")</f>
        <v>8.3333333300000003</v>
      </c>
      <c r="H1836" s="11">
        <f>[1]!EM_S_FA_YOY_OR(B1836,E1836)</f>
        <v>16.098450868699999</v>
      </c>
      <c r="I1836" s="11">
        <f>[1]!EM_S_FA_GROSSPROFITMARGIN(B1836,E1836)</f>
        <v>25.533451778</v>
      </c>
      <c r="J1836" s="11">
        <f>[1]!EM_S_FA_NETPROFITMARGIN(B1836,E1836)</f>
        <v>7.9361634618999997</v>
      </c>
      <c r="K1836" s="10">
        <f>[1]!EM_S_FA_ASSETSTURN(B1836,E1836)</f>
        <v>0.69055040423900005</v>
      </c>
      <c r="L1836" s="12">
        <f>[1]!EM_HKS_VAL_MV(B1836,"2019-12-31","2")</f>
        <v>6408049391.3599997</v>
      </c>
      <c r="M1836">
        <f>[1]!EM_S_VAL_PETTMDEDUCTED(B1836,E1836)</f>
        <v>18.3738200931286</v>
      </c>
      <c r="N1836" s="7">
        <f>[1]!EM_S_VAL_PBGOODWILLDEDUCTED(B1836,E1836)</f>
        <v>1.7616731570642901</v>
      </c>
      <c r="O1836" s="7">
        <f>[1]!EM_S_VAL_PS_TTM(B1836,E1836)</f>
        <v>1.1809176553573599</v>
      </c>
      <c r="P1836" s="7">
        <f>[1]!EM_S_VAL_PCF_NCFTTM(B1836,E1836)</f>
        <v>43.958935282128898</v>
      </c>
      <c r="Q1836" s="7">
        <f>[1]!EM_S_VAL_DIVIDENDYIELD2(B1836,E1836,"2019-11-29")</f>
        <v>0.73928750315303871</v>
      </c>
      <c r="T1836"/>
      <c r="U1836">
        <f>[1]!EM_S_RATIO_EPS_TTM(B1836,E1836,"1")</f>
        <v>0.43581400725956448</v>
      </c>
      <c r="AT1836" s="4" t="str">
        <f>[1]!EM_S_IPO_LISTEDDATE(B1836)</f>
        <v>2007-04-18</v>
      </c>
    </row>
    <row r="1837" spans="1:46">
      <c r="A1837">
        <v>1947</v>
      </c>
      <c r="B1837" t="str">
        <f>"300522"</f>
        <v>300522</v>
      </c>
      <c r="C1837" t="s">
        <v>970</v>
      </c>
      <c r="D1837" t="str">
        <f>[1]!EM_S_INFO_INDEX_EM(B1837,"1")</f>
        <v>基础化工</v>
      </c>
      <c r="E1837" s="4">
        <f t="shared" si="28"/>
        <v>43465</v>
      </c>
      <c r="F1837" s="11">
        <f>[1]!EM_S_PQ_PCTCHANGE(B1837,"2018-01-01","2019-12-31","3")</f>
        <v>-11.447645140000001</v>
      </c>
      <c r="G1837" s="11">
        <f>[1]!EM_S_PQ_PCTCHANGE(B1837,"2018-12-31","2019-12-30","1")</f>
        <v>8.3333333300000003</v>
      </c>
      <c r="H1837" s="11">
        <f>[1]!EM_S_FA_YOY_OR(B1837,E1837)</f>
        <v>17.8399466244</v>
      </c>
      <c r="I1837" s="11">
        <f>[1]!EM_S_FA_GROSSPROFITMARGIN(B1837,E1837)</f>
        <v>41.661815958699997</v>
      </c>
      <c r="J1837" s="11">
        <f>[1]!EM_S_FA_NETPROFITMARGIN(B1837,E1837)</f>
        <v>20.110468549299998</v>
      </c>
      <c r="K1837" s="10">
        <f>[1]!EM_S_FA_ASSETSTURN(B1837,E1837)</f>
        <v>0.49445619365600002</v>
      </c>
      <c r="L1837" s="12">
        <f>[1]!EM_HKS_VAL_MV(B1837,"2019-12-31","2")</f>
        <v>2213952300</v>
      </c>
      <c r="M1837">
        <f>[1]!EM_S_VAL_PETTMDEDUCTED(B1837,E1837)</f>
        <v>35.409505740305399</v>
      </c>
      <c r="N1837" s="7">
        <f>[1]!EM_S_VAL_PBGOODWILLDEDUCTED(B1837,E1837)</f>
        <v>3.2800332648139499</v>
      </c>
      <c r="O1837" s="7">
        <f>[1]!EM_S_VAL_PS_TTM(B1837,E1837)</f>
        <v>6.4985963302981302</v>
      </c>
      <c r="P1837" s="7">
        <f>[1]!EM_S_VAL_PCF_NCFTTM(B1837,E1837)</f>
        <v>48.576604412733701</v>
      </c>
      <c r="Q1837" s="7">
        <f>[1]!EM_S_VAL_DIVIDENDYIELD2(B1837,E1837,"2019-11-29")</f>
        <v>1.2995451591942819</v>
      </c>
      <c r="T1837"/>
      <c r="U1837">
        <f>[1]!EM_S_RATIO_EPS_TTM(B1837,E1837,"1")</f>
        <v>0.55562625897794049</v>
      </c>
      <c r="AT1837" s="4" t="str">
        <f>[1]!EM_S_IPO_LISTEDDATE(B1837)</f>
        <v>2016-07-05</v>
      </c>
    </row>
    <row r="1838" spans="1:46">
      <c r="A1838">
        <v>1796</v>
      </c>
      <c r="B1838" t="str">
        <f>"300371"</f>
        <v>300371</v>
      </c>
      <c r="C1838" t="s">
        <v>2381</v>
      </c>
      <c r="D1838" t="str">
        <f>[1]!EM_S_INFO_INDEX_EM(B1838,"1")</f>
        <v>机械设备</v>
      </c>
      <c r="E1838" s="4">
        <f t="shared" si="28"/>
        <v>43465</v>
      </c>
      <c r="F1838" s="11">
        <f>[1]!EM_S_PQ_PCTCHANGE(B1838,"2018-01-01","2019-12-31","3")</f>
        <v>1.2995575699999999</v>
      </c>
      <c r="G1838" s="11">
        <f>[1]!EM_S_PQ_PCTCHANGE(B1838,"2018-12-31","2019-12-30","1")</f>
        <v>8.3265966000000002</v>
      </c>
      <c r="H1838" s="11">
        <f>[1]!EM_S_FA_YOY_OR(B1838,E1838)</f>
        <v>13.4173301503</v>
      </c>
      <c r="I1838" s="11">
        <f>[1]!EM_S_FA_GROSSPROFITMARGIN(B1838,E1838)</f>
        <v>62.658090338699999</v>
      </c>
      <c r="J1838" s="11">
        <f>[1]!EM_S_FA_NETPROFITMARGIN(B1838,E1838)</f>
        <v>29.1553122921</v>
      </c>
      <c r="K1838" s="10">
        <f>[1]!EM_S_FA_ASSETSTURN(B1838,E1838)</f>
        <v>0.410732208559</v>
      </c>
      <c r="L1838" s="12">
        <f>[1]!EM_HKS_VAL_MV(B1838,"2019-12-31","2")</f>
        <v>2258886812</v>
      </c>
      <c r="M1838">
        <f>[1]!EM_S_VAL_PETTMDEDUCTED(B1838,E1838)</f>
        <v>19.801190498156199</v>
      </c>
      <c r="N1838" s="7">
        <f>[1]!EM_S_VAL_PBGOODWILLDEDUCTED(B1838,E1838)</f>
        <v>2.3909143385698299</v>
      </c>
      <c r="O1838" s="7">
        <f>[1]!EM_S_VAL_PS_TTM(B1838,E1838)</f>
        <v>5.6198622643903997</v>
      </c>
      <c r="P1838" s="7">
        <f>[1]!EM_S_VAL_PCF_NCFTTM(B1838,E1838)</f>
        <v>-22.747620126864899</v>
      </c>
      <c r="Q1838" s="7">
        <f>[1]!EM_S_VAL_DIVIDENDYIELD2(B1838,E1838,"2019-11-29")</f>
        <v>1.195723189906164</v>
      </c>
      <c r="T1838"/>
      <c r="U1838">
        <f>[1]!EM_S_RATIO_EPS_TTM(B1838,E1838,"1")</f>
        <v>0.67972054783333324</v>
      </c>
      <c r="AT1838" s="4" t="str">
        <f>[1]!EM_S_IPO_LISTEDDATE(B1838)</f>
        <v>2014-01-23</v>
      </c>
    </row>
    <row r="1839" spans="1:46">
      <c r="A1839">
        <v>1715</v>
      </c>
      <c r="B1839" t="str">
        <f>"300290"</f>
        <v>300290</v>
      </c>
      <c r="C1839" t="s">
        <v>2459</v>
      </c>
      <c r="D1839" t="str">
        <f>[1]!EM_S_INFO_INDEX_EM(B1839,"1")</f>
        <v>信息技术</v>
      </c>
      <c r="E1839" s="4">
        <f t="shared" si="28"/>
        <v>43465</v>
      </c>
      <c r="F1839" s="11">
        <f>[1]!EM_S_PQ_PCTCHANGE(B1839,"2018-01-01","2019-12-31","3")</f>
        <v>16.14240659</v>
      </c>
      <c r="G1839" s="11">
        <f>[1]!EM_S_PQ_PCTCHANGE(B1839,"2018-12-31","2019-12-30","1")</f>
        <v>8.3050847500000007</v>
      </c>
      <c r="H1839" s="11">
        <f>[1]!EM_S_FA_YOY_OR(B1839,E1839)</f>
        <v>49.695182582100003</v>
      </c>
      <c r="I1839" s="11">
        <f>[1]!EM_S_FA_GROSSPROFITMARGIN(B1839,E1839)</f>
        <v>35.5778560308</v>
      </c>
      <c r="J1839" s="11">
        <f>[1]!EM_S_FA_NETPROFITMARGIN(B1839,E1839)</f>
        <v>3.4317611841</v>
      </c>
      <c r="K1839" s="10">
        <f>[1]!EM_S_FA_ASSETSTURN(B1839,E1839)</f>
        <v>0.49663918125099998</v>
      </c>
      <c r="L1839" s="12">
        <f>[1]!EM_HKS_VAL_MV(B1839,"2019-12-31","2")</f>
        <v>3521892681.96</v>
      </c>
      <c r="M1839">
        <f>[1]!EM_S_VAL_PETTMDEDUCTED(B1839,E1839)</f>
        <v>328.68931565483598</v>
      </c>
      <c r="N1839" s="7">
        <f>[1]!EM_S_VAL_PBGOODWILLDEDUCTED(B1839,E1839)</f>
        <v>3.5684796700061798</v>
      </c>
      <c r="O1839" s="7">
        <f>[1]!EM_S_VAL_PS_TTM(B1839,E1839)</f>
        <v>3.73073871711743</v>
      </c>
      <c r="P1839" s="7">
        <f>[1]!EM_S_VAL_PCF_NCFTTM(B1839,E1839)</f>
        <v>40.267313511162598</v>
      </c>
      <c r="Q1839" s="7">
        <f>[1]!EM_S_VAL_DIVIDENDYIELD2(B1839,E1839,"2019-11-29")</f>
        <v>0.14897579156840574</v>
      </c>
      <c r="T1839"/>
      <c r="U1839">
        <f>[1]!EM_S_RATIO_EPS_TTM(B1839,E1839,"1")</f>
        <v>6.0321874658298816E-2</v>
      </c>
      <c r="AT1839" s="4" t="str">
        <f>[1]!EM_S_IPO_LISTEDDATE(B1839)</f>
        <v>2012-02-16</v>
      </c>
    </row>
    <row r="1840" spans="1:46">
      <c r="A1840">
        <v>769</v>
      </c>
      <c r="B1840" t="str">
        <f>"002258"</f>
        <v>002258</v>
      </c>
      <c r="C1840" t="s">
        <v>328</v>
      </c>
      <c r="D1840" t="str">
        <f>[1]!EM_S_INFO_INDEX_EM(B1840,"1")</f>
        <v>基础化工</v>
      </c>
      <c r="E1840" s="4">
        <f t="shared" si="28"/>
        <v>43465</v>
      </c>
      <c r="F1840" s="11">
        <f>[1]!EM_S_PQ_PCTCHANGE(B1840,"2018-01-01","2019-12-31","3")</f>
        <v>-11.77579965</v>
      </c>
      <c r="G1840" s="11">
        <f>[1]!EM_S_PQ_PCTCHANGE(B1840,"2018-12-31","2019-12-30","1")</f>
        <v>8.2952815799999993</v>
      </c>
      <c r="H1840" s="11">
        <f>[1]!EM_S_FA_YOY_OR(B1840,E1840)</f>
        <v>30.598566351100001</v>
      </c>
      <c r="I1840" s="11">
        <f>[1]!EM_S_FA_GROSSPROFITMARGIN(B1840,E1840)</f>
        <v>33.066686005500003</v>
      </c>
      <c r="J1840" s="11">
        <f>[1]!EM_S_FA_NETPROFITMARGIN(B1840,E1840)</f>
        <v>16.177142781699999</v>
      </c>
      <c r="K1840" s="10">
        <f>[1]!EM_S_FA_ASSETSTURN(B1840,E1840)</f>
        <v>0.72642452850600003</v>
      </c>
      <c r="L1840" s="12">
        <f>[1]!EM_HKS_VAL_MV(B1840,"2019-12-31","2")</f>
        <v>7409438616.7799997</v>
      </c>
      <c r="M1840">
        <f>[1]!EM_S_VAL_PETTMDEDUCTED(B1840,E1840)</f>
        <v>11.5117717717654</v>
      </c>
      <c r="N1840" s="7">
        <f>[1]!EM_S_VAL_PBGOODWILLDEDUCTED(B1840,E1840)</f>
        <v>2.3485344336363201</v>
      </c>
      <c r="O1840" s="7">
        <f>[1]!EM_S_VAL_PS_TTM(B1840,E1840)</f>
        <v>1.76062556951347</v>
      </c>
      <c r="P1840" s="7">
        <f>[1]!EM_S_VAL_PCF_NCFTTM(B1840,E1840)</f>
        <v>24.320856603923598</v>
      </c>
      <c r="Q1840" s="7">
        <f>[1]!EM_S_VAL_DIVIDENDYIELD2(B1840,E1840,"2019-11-29")</f>
        <v>1.7360999338135743</v>
      </c>
      <c r="T1840"/>
      <c r="U1840">
        <f>[1]!EM_S_RATIO_EPS_TTM(B1840,E1840,"1")</f>
        <v>1.1019081547157374</v>
      </c>
      <c r="AT1840" s="4" t="str">
        <f>[1]!EM_S_IPO_LISTEDDATE(B1840)</f>
        <v>2008-07-08</v>
      </c>
    </row>
    <row r="1841" spans="1:46">
      <c r="A1841">
        <v>3008</v>
      </c>
      <c r="B1841" t="str">
        <f>"600985"</f>
        <v>600985</v>
      </c>
      <c r="C1841" t="s">
        <v>2468</v>
      </c>
      <c r="D1841" t="str">
        <f>[1]!EM_S_INFO_INDEX_EM(B1841,"1")</f>
        <v>化石能源</v>
      </c>
      <c r="E1841" s="4">
        <f t="shared" si="28"/>
        <v>43465</v>
      </c>
      <c r="F1841" s="11">
        <f>[1]!EM_S_PQ_PCTCHANGE(B1841,"2018-01-01","2019-12-31","3")</f>
        <v>-18.574460340000002</v>
      </c>
      <c r="G1841" s="11">
        <f>[1]!EM_S_PQ_PCTCHANGE(B1841,"2018-12-31","2019-12-30","1")</f>
        <v>8.2795698899999994</v>
      </c>
      <c r="H1841" s="11">
        <f>[1]!EM_S_FA_YOY_OR(B1841,E1841)</f>
        <v>9.5827564936999998</v>
      </c>
      <c r="I1841" s="11">
        <f>[1]!EM_S_FA_GROSSPROFITMARGIN(B1841,E1841)</f>
        <v>20.346350967599999</v>
      </c>
      <c r="J1841" s="11">
        <f>[1]!EM_S_FA_NETPROFITMARGIN(B1841,E1841)</f>
        <v>7.2177090137000004</v>
      </c>
      <c r="K1841" s="10">
        <f>[1]!EM_S_FA_ASSETSTURN(B1841,E1841)</f>
        <v>1.782052787469</v>
      </c>
      <c r="L1841" s="12">
        <f>[1]!EM_HKS_VAL_MV(B1841,"2019-12-31","2")</f>
        <v>21702398227.650002</v>
      </c>
      <c r="M1841">
        <f>[1]!EM_S_VAL_PETTMDEDUCTED(B1841,E1841)</f>
        <v>53.9430905832752</v>
      </c>
      <c r="N1841" s="7">
        <f>[1]!EM_S_VAL_PBGOODWILLDEDUCTED(B1841,E1841)</f>
        <v>1.24063522277046</v>
      </c>
      <c r="O1841" s="7">
        <f>[1]!EM_S_VAL_PS_TTM(B1841,E1841)</f>
        <v>3.1865493650210399</v>
      </c>
      <c r="P1841" s="7">
        <f>[1]!EM_S_VAL_PCF_NCFTTM(B1841,E1841)</f>
        <v>89.372035453695403</v>
      </c>
      <c r="Q1841" s="7">
        <f>[1]!EM_S_VAL_DIVIDENDYIELD2(B1841,E1841,"2019-11-29")</f>
        <v>5.5248618784530388</v>
      </c>
      <c r="T1841"/>
      <c r="U1841">
        <f>[1]!EM_S_RATIO_EPS_TTM(B1841,E1841,"1")</f>
        <v>1.6802410391626663</v>
      </c>
      <c r="AT1841" s="4" t="str">
        <f>[1]!EM_S_IPO_LISTEDDATE(B1841)</f>
        <v>2004-04-28</v>
      </c>
    </row>
    <row r="1842" spans="1:46">
      <c r="A1842">
        <v>1388</v>
      </c>
      <c r="B1842" t="str">
        <f>"002889"</f>
        <v>002889</v>
      </c>
      <c r="C1842" t="s">
        <v>445</v>
      </c>
      <c r="D1842" t="str">
        <f>[1]!EM_S_INFO_INDEX_EM(B1842,"1")</f>
        <v>交通运输</v>
      </c>
      <c r="E1842" s="4">
        <f t="shared" si="28"/>
        <v>43465</v>
      </c>
      <c r="F1842" s="11">
        <f>[1]!EM_S_PQ_PCTCHANGE(B1842,"2018-01-01","2019-12-31","3")</f>
        <v>-8.5674157300000005</v>
      </c>
      <c r="G1842" s="11">
        <f>[1]!EM_S_PQ_PCTCHANGE(B1842,"2018-12-31","2019-12-30","1")</f>
        <v>8.2512315300000001</v>
      </c>
      <c r="H1842" s="11">
        <f>[1]!EM_S_FA_YOY_OR(B1842,E1842)</f>
        <v>27.235080666799998</v>
      </c>
      <c r="I1842" s="11">
        <f>[1]!EM_S_FA_GROSSPROFITMARGIN(B1842,E1842)</f>
        <v>1.625507713</v>
      </c>
      <c r="J1842" s="11">
        <f>[1]!EM_S_FA_NETPROFITMARGIN(B1842,E1842)</f>
        <v>1.0573235136000001</v>
      </c>
      <c r="K1842" s="10">
        <f>[1]!EM_S_FA_ASSETSTURN(B1842,E1842)</f>
        <v>1.77524868199</v>
      </c>
      <c r="L1842" s="12">
        <f>[1]!EM_HKS_VAL_MV(B1842,"2019-12-31","2")</f>
        <v>3596161211.1599998</v>
      </c>
      <c r="M1842">
        <f>[1]!EM_S_VAL_PETTMDEDUCTED(B1842,E1842)</f>
        <v>33.526131242814799</v>
      </c>
      <c r="N1842" s="7">
        <f>[1]!EM_S_VAL_PBGOODWILLDEDUCTED(B1842,E1842)</f>
        <v>2.3538521683326801</v>
      </c>
      <c r="O1842" s="7">
        <f>[1]!EM_S_VAL_PS_TTM(B1842,E1842)</f>
        <v>0.26876974140978199</v>
      </c>
      <c r="P1842" s="7">
        <f>[1]!EM_S_VAL_PCF_NCFTTM(B1842,E1842)</f>
        <v>33.621156814726199</v>
      </c>
      <c r="Q1842" s="7">
        <f>[1]!EM_S_VAL_DIVIDENDYIELD2(B1842,E1842,"2019-11-29")</f>
        <v>0</v>
      </c>
      <c r="T1842"/>
      <c r="U1842">
        <f>[1]!EM_S_RATIO_EPS_TTM(B1842,E1842,"1")</f>
        <v>0.97561933859496841</v>
      </c>
      <c r="AT1842" s="4" t="str">
        <f>[1]!EM_S_IPO_LISTEDDATE(B1842)</f>
        <v>2017-07-31</v>
      </c>
    </row>
    <row r="1843" spans="1:46">
      <c r="A1843">
        <v>2866</v>
      </c>
      <c r="B1843" t="str">
        <f>"600793"</f>
        <v>600793</v>
      </c>
      <c r="C1843" t="s">
        <v>2075</v>
      </c>
      <c r="D1843" t="str">
        <f>[1]!EM_S_INFO_INDEX_EM(B1843,"1")</f>
        <v>轻工制造</v>
      </c>
      <c r="E1843" s="4">
        <f t="shared" si="28"/>
        <v>43465</v>
      </c>
      <c r="F1843" s="11">
        <f>[1]!EM_S_PQ_PCTCHANGE(B1843,"2018-01-01","2019-12-31","3")</f>
        <v>-31.594571670000001</v>
      </c>
      <c r="G1843" s="11">
        <f>[1]!EM_S_PQ_PCTCHANGE(B1843,"2018-12-31","2019-12-30","1")</f>
        <v>8.2488167699999995</v>
      </c>
      <c r="H1843" s="11">
        <f>[1]!EM_S_FA_YOY_OR(B1843,E1843)</f>
        <v>11.6440191965</v>
      </c>
      <c r="I1843" s="11">
        <f>[1]!EM_S_FA_GROSSPROFITMARGIN(B1843,E1843)</f>
        <v>16.218821306900001</v>
      </c>
      <c r="J1843" s="11">
        <f>[1]!EM_S_FA_NETPROFITMARGIN(B1843,E1843)</f>
        <v>13.494952617299999</v>
      </c>
      <c r="K1843" s="10">
        <f>[1]!EM_S_FA_ASSETSTURN(B1843,E1843)</f>
        <v>0.35987401779200001</v>
      </c>
      <c r="L1843" s="12">
        <f>[1]!EM_HKS_VAL_MV(B1843,"2019-12-31","2")</f>
        <v>2038186800</v>
      </c>
      <c r="M1843">
        <f>[1]!EM_S_VAL_PETTMDEDUCTED(B1843,E1843)</f>
        <v>-116.980220403256</v>
      </c>
      <c r="N1843" s="7">
        <f>[1]!EM_S_VAL_PBGOODWILLDEDUCTED(B1843,E1843)</f>
        <v>4.8643067032337797</v>
      </c>
      <c r="O1843" s="7">
        <f>[1]!EM_S_VAL_PS_TTM(B1843,E1843)</f>
        <v>1.07989658845416</v>
      </c>
      <c r="P1843" s="7">
        <f>[1]!EM_S_VAL_PCF_NCFTTM(B1843,E1843)</f>
        <v>-32.630584392033398</v>
      </c>
      <c r="Q1843" s="7">
        <f>[1]!EM_S_VAL_DIVIDENDYIELD2(B1843,E1843,"2019-11-29")</f>
        <v>0</v>
      </c>
      <c r="T1843"/>
      <c r="U1843">
        <f>[1]!EM_S_RATIO_EPS_TTM(B1843,E1843,"1")</f>
        <v>1.6568142629629627</v>
      </c>
      <c r="AT1843" s="4" t="str">
        <f>[1]!EM_S_IPO_LISTEDDATE(B1843)</f>
        <v>1997-02-20</v>
      </c>
    </row>
    <row r="1844" spans="1:46">
      <c r="A1844">
        <v>3050</v>
      </c>
      <c r="B1844" t="str">
        <f>"601106"</f>
        <v>601106</v>
      </c>
      <c r="C1844" t="s">
        <v>2903</v>
      </c>
      <c r="D1844" t="str">
        <f>[1]!EM_S_INFO_INDEX_EM(B1844,"1")</f>
        <v>机械设备</v>
      </c>
      <c r="E1844" s="4">
        <f t="shared" si="28"/>
        <v>43465</v>
      </c>
      <c r="F1844" s="11">
        <f>[1]!EM_S_PQ_PCTCHANGE(B1844,"2018-01-01","2019-12-31","3")</f>
        <v>-22.811671090000001</v>
      </c>
      <c r="G1844" s="11">
        <f>[1]!EM_S_PQ_PCTCHANGE(B1844,"2018-12-31","2019-12-30","1")</f>
        <v>8.2397003699999996</v>
      </c>
      <c r="H1844" s="11">
        <f>[1]!EM_S_FA_YOY_OR(B1844,E1844)</f>
        <v>2.5318252778999999</v>
      </c>
      <c r="I1844" s="11">
        <f>[1]!EM_S_FA_GROSSPROFITMARGIN(B1844,E1844)</f>
        <v>15.762667350999999</v>
      </c>
      <c r="J1844" s="11">
        <f>[1]!EM_S_FA_NETPROFITMARGIN(B1844,E1844)</f>
        <v>0.62798597639999998</v>
      </c>
      <c r="K1844" s="10">
        <f>[1]!EM_S_FA_ASSETSTURN(B1844,E1844)</f>
        <v>0.31178628259500002</v>
      </c>
      <c r="L1844" s="12">
        <f>[1]!EM_HKS_VAL_MV(B1844,"2019-12-31","2")</f>
        <v>19956148317.57</v>
      </c>
      <c r="M1844">
        <f>[1]!EM_S_VAL_PETTMDEDUCTED(B1844,E1844)</f>
        <v>225.81777209362099</v>
      </c>
      <c r="N1844" s="7">
        <f>[1]!EM_S_VAL_PBGOODWILLDEDUCTED(B1844,E1844)</f>
        <v>1.6755192987016101</v>
      </c>
      <c r="O1844" s="7">
        <f>[1]!EM_S_VAL_PS_TTM(B1844,E1844)</f>
        <v>1.7580750294128999</v>
      </c>
      <c r="P1844" s="7">
        <f>[1]!EM_S_VAL_PCF_NCFTTM(B1844,E1844)</f>
        <v>-20.8084848529599</v>
      </c>
      <c r="Q1844" s="7">
        <f>[1]!EM_S_VAL_DIVIDENDYIELD2(B1844,E1844,"2019-11-29")</f>
        <v>0</v>
      </c>
      <c r="T1844"/>
      <c r="U1844">
        <f>[1]!EM_S_RATIO_EPS_TTM(B1844,E1844,"1")</f>
        <v>1.8768535277377991E-2</v>
      </c>
      <c r="AT1844" s="4" t="str">
        <f>[1]!EM_S_IPO_LISTEDDATE(B1844)</f>
        <v>2010-02-09</v>
      </c>
    </row>
    <row r="1845" spans="1:46">
      <c r="A1845">
        <v>3248</v>
      </c>
      <c r="B1845" t="str">
        <f>"603066"</f>
        <v>603066</v>
      </c>
      <c r="C1845" t="s">
        <v>1825</v>
      </c>
      <c r="D1845" t="str">
        <f>[1]!EM_S_INFO_INDEX_EM(B1845,"1")</f>
        <v>机械设备</v>
      </c>
      <c r="E1845" s="4">
        <f t="shared" si="28"/>
        <v>43465</v>
      </c>
      <c r="F1845" s="11">
        <f>[1]!EM_S_PQ_PCTCHANGE(B1845,"2018-01-01","2019-12-31","3")</f>
        <v>-41.90040175</v>
      </c>
      <c r="G1845" s="11">
        <f>[1]!EM_S_PQ_PCTCHANGE(B1845,"2018-12-31","2019-12-30","1")</f>
        <v>8.2269503499999992</v>
      </c>
      <c r="H1845" s="11">
        <f>[1]!EM_S_FA_YOY_OR(B1845,E1845)</f>
        <v>15.110308616199999</v>
      </c>
      <c r="I1845" s="11">
        <f>[1]!EM_S_FA_GROSSPROFITMARGIN(B1845,E1845)</f>
        <v>32.718800197199997</v>
      </c>
      <c r="J1845" s="11">
        <f>[1]!EM_S_FA_NETPROFITMARGIN(B1845,E1845)</f>
        <v>13.304565588399999</v>
      </c>
      <c r="K1845" s="10">
        <f>[1]!EM_S_FA_ASSETSTURN(B1845,E1845)</f>
        <v>0.56212298811000005</v>
      </c>
      <c r="L1845" s="12">
        <f>[1]!EM_HKS_VAL_MV(B1845,"2019-12-31","2")</f>
        <v>2309398272</v>
      </c>
      <c r="M1845">
        <f>[1]!EM_S_VAL_PETTMDEDUCTED(B1845,E1845)</f>
        <v>37.554746411427303</v>
      </c>
      <c r="N1845" s="7">
        <f>[1]!EM_S_VAL_PBGOODWILLDEDUCTED(B1845,E1845)</f>
        <v>2.26583614295869</v>
      </c>
      <c r="O1845" s="7">
        <f>[1]!EM_S_VAL_PS_TTM(B1845,E1845)</f>
        <v>3.2032932456324401</v>
      </c>
      <c r="P1845" s="7">
        <f>[1]!EM_S_VAL_PCF_NCFTTM(B1845,E1845)</f>
        <v>24.855985127321301</v>
      </c>
      <c r="Q1845" s="7">
        <f>[1]!EM_S_VAL_DIVIDENDYIELD2(B1845,E1845,"2019-11-29")</f>
        <v>0.86821572292886573</v>
      </c>
      <c r="T1845"/>
      <c r="U1845">
        <f>[1]!EM_S_RATIO_EPS_TTM(B1845,E1845,"1")</f>
        <v>0.30627926959603391</v>
      </c>
      <c r="AT1845" s="4" t="str">
        <f>[1]!EM_S_IPO_LISTEDDATE(B1845)</f>
        <v>2015-06-11</v>
      </c>
    </row>
    <row r="1846" spans="1:46">
      <c r="A1846">
        <v>1067</v>
      </c>
      <c r="B1846" t="str">
        <f>"002556"</f>
        <v>002556</v>
      </c>
      <c r="C1846" t="s">
        <v>1255</v>
      </c>
      <c r="D1846" t="str">
        <f>[1]!EM_S_INFO_INDEX_EM(B1846,"1")</f>
        <v>基础化工</v>
      </c>
      <c r="E1846" s="4">
        <f t="shared" si="28"/>
        <v>43465</v>
      </c>
      <c r="F1846" s="11">
        <f>[1]!EM_S_PQ_PCTCHANGE(B1846,"2018-01-01","2019-12-31","3")</f>
        <v>-23.60762428</v>
      </c>
      <c r="G1846" s="11">
        <f>[1]!EM_S_PQ_PCTCHANGE(B1846,"2018-12-31","2019-12-30","1")</f>
        <v>8.2191780800000007</v>
      </c>
      <c r="H1846" s="11">
        <f>[1]!EM_S_FA_YOY_OR(B1846,E1846)</f>
        <v>17.4320984951</v>
      </c>
      <c r="I1846" s="11">
        <f>[1]!EM_S_FA_GROSSPROFITMARGIN(B1846,E1846)</f>
        <v>4.8809813266999997</v>
      </c>
      <c r="J1846" s="11">
        <f>[1]!EM_S_FA_NETPROFITMARGIN(B1846,E1846)</f>
        <v>0.94772096419999996</v>
      </c>
      <c r="K1846" s="10">
        <f>[1]!EM_S_FA_ASSETSTURN(B1846,E1846)</f>
        <v>2.1152713580200002</v>
      </c>
      <c r="L1846" s="12">
        <f>[1]!EM_HKS_VAL_MV(B1846,"2019-12-31","2")</f>
        <v>4075968000</v>
      </c>
      <c r="M1846">
        <f>[1]!EM_S_VAL_PETTMDEDUCTED(B1846,E1846)</f>
        <v>26.323494212645301</v>
      </c>
      <c r="N1846" s="7">
        <f>[1]!EM_S_VAL_PBGOODWILLDEDUCTED(B1846,E1846)</f>
        <v>1.54860883730523</v>
      </c>
      <c r="O1846" s="7">
        <f>[1]!EM_S_VAL_PS_TTM(B1846,E1846)</f>
        <v>0.22120401480909799</v>
      </c>
      <c r="P1846" s="7">
        <f>[1]!EM_S_VAL_PCF_NCFTTM(B1846,E1846)</f>
        <v>69.859304290929799</v>
      </c>
      <c r="Q1846" s="7">
        <f>[1]!EM_S_VAL_DIVIDENDYIELD2(B1846,E1846,"2019-11-29")</f>
        <v>1.2367491166077735</v>
      </c>
      <c r="T1846"/>
      <c r="U1846">
        <f>[1]!EM_S_RATIO_EPS_TTM(B1846,E1846,"1")</f>
        <v>0.19306369222408026</v>
      </c>
      <c r="AT1846" s="4" t="str">
        <f>[1]!EM_S_IPO_LISTEDDATE(B1846)</f>
        <v>2011-03-02</v>
      </c>
    </row>
    <row r="1847" spans="1:46">
      <c r="A1847">
        <v>1293</v>
      </c>
      <c r="B1847" t="str">
        <f>"002787"</f>
        <v>002787</v>
      </c>
      <c r="C1847" t="s">
        <v>2049</v>
      </c>
      <c r="D1847" t="str">
        <f>[1]!EM_S_INFO_INDEX_EM(B1847,"1")</f>
        <v>机械设备</v>
      </c>
      <c r="E1847" s="4">
        <f t="shared" si="28"/>
        <v>43465</v>
      </c>
      <c r="F1847" s="11">
        <f>[1]!EM_S_PQ_PCTCHANGE(B1847,"2018-01-01","2019-12-31","3")</f>
        <v>-29.881173090000001</v>
      </c>
      <c r="G1847" s="11">
        <f>[1]!EM_S_PQ_PCTCHANGE(B1847,"2018-12-31","2019-12-30","1")</f>
        <v>8.1818181800000005</v>
      </c>
      <c r="H1847" s="11">
        <f>[1]!EM_S_FA_YOY_OR(B1847,E1847)</f>
        <v>20.3912723601</v>
      </c>
      <c r="I1847" s="11">
        <f>[1]!EM_S_FA_GROSSPROFITMARGIN(B1847,E1847)</f>
        <v>18.9286846348</v>
      </c>
      <c r="J1847" s="11">
        <f>[1]!EM_S_FA_NETPROFITMARGIN(B1847,E1847)</f>
        <v>3.8963140856999998</v>
      </c>
      <c r="K1847" s="10">
        <f>[1]!EM_S_FA_ASSETSTURN(B1847,E1847)</f>
        <v>0.75518204780099996</v>
      </c>
      <c r="L1847" s="12">
        <f>[1]!EM_HKS_VAL_MV(B1847,"2019-12-31","2")</f>
        <v>2267363523.8699999</v>
      </c>
      <c r="M1847">
        <f>[1]!EM_S_VAL_PETTMDEDUCTED(B1847,E1847)</f>
        <v>28.9862539505509</v>
      </c>
      <c r="N1847" s="7">
        <f>[1]!EM_S_VAL_PBGOODWILLDEDUCTED(B1847,E1847)</f>
        <v>1.6293331645478399</v>
      </c>
      <c r="O1847" s="7">
        <f>[1]!EM_S_VAL_PS_TTM(B1847,E1847)</f>
        <v>1.5978945368522299</v>
      </c>
      <c r="P1847" s="7">
        <f>[1]!EM_S_VAL_PCF_NCFTTM(B1847,E1847)</f>
        <v>52.852674484105997</v>
      </c>
      <c r="Q1847" s="7">
        <f>[1]!EM_S_VAL_DIVIDENDYIELD2(B1847,E1847,"2019-11-29")</f>
        <v>0.81034888133075866</v>
      </c>
      <c r="T1847"/>
      <c r="U1847">
        <f>[1]!EM_S_RATIO_EPS_TTM(B1847,E1847,"1")</f>
        <v>0.17460032525969521</v>
      </c>
      <c r="AT1847" s="4" t="str">
        <f>[1]!EM_S_IPO_LISTEDDATE(B1847)</f>
        <v>2015-12-31</v>
      </c>
    </row>
    <row r="1848" spans="1:46">
      <c r="A1848">
        <v>1008</v>
      </c>
      <c r="B1848" t="str">
        <f>"002497"</f>
        <v>002497</v>
      </c>
      <c r="C1848" t="s">
        <v>1317</v>
      </c>
      <c r="D1848" t="str">
        <f>[1]!EM_S_INFO_INDEX_EM(B1848,"1")</f>
        <v>基础化工</v>
      </c>
      <c r="E1848" s="4">
        <f t="shared" si="28"/>
        <v>43465</v>
      </c>
      <c r="F1848" s="11">
        <f>[1]!EM_S_PQ_PCTCHANGE(B1848,"2018-01-01","2019-12-31","3")</f>
        <v>-41.434107869999998</v>
      </c>
      <c r="G1848" s="11">
        <f>[1]!EM_S_PQ_PCTCHANGE(B1848,"2018-12-31","2019-12-30","1")</f>
        <v>8.1325301200000002</v>
      </c>
      <c r="H1848" s="11">
        <f>[1]!EM_S_FA_YOY_OR(B1848,E1848)</f>
        <v>30.0256275586</v>
      </c>
      <c r="I1848" s="11">
        <f>[1]!EM_S_FA_GROSSPROFITMARGIN(B1848,E1848)</f>
        <v>31.9823771133</v>
      </c>
      <c r="J1848" s="11">
        <f>[1]!EM_S_FA_NETPROFITMARGIN(B1848,E1848)</f>
        <v>7.4628600216000001</v>
      </c>
      <c r="K1848" s="10">
        <f>[1]!EM_S_FA_ASSETSTURN(B1848,E1848)</f>
        <v>0.67525048293900003</v>
      </c>
      <c r="L1848" s="12">
        <f>[1]!EM_HKS_VAL_MV(B1848,"2019-12-31","2")</f>
        <v>7449174392.3100004</v>
      </c>
      <c r="M1848">
        <f>[1]!EM_S_VAL_PETTMDEDUCTED(B1848,E1848)</f>
        <v>28.447021009571301</v>
      </c>
      <c r="N1848" s="7">
        <f>[1]!EM_S_VAL_PBGOODWILLDEDUCTED(B1848,E1848)</f>
        <v>2.8677075998473498</v>
      </c>
      <c r="O1848" s="7">
        <f>[1]!EM_S_VAL_PS_TTM(B1848,E1848)</f>
        <v>2.2840696652015802</v>
      </c>
      <c r="P1848" s="7">
        <f>[1]!EM_S_VAL_PCF_NCFTTM(B1848,E1848)</f>
        <v>84.638522884228493</v>
      </c>
      <c r="Q1848" s="7">
        <f>[1]!EM_S_VAL_DIVIDENDYIELD2(B1848,E1848,"2019-11-29")</f>
        <v>0.33222591362126247</v>
      </c>
      <c r="T1848"/>
      <c r="U1848">
        <f>[1]!EM_S_RATIO_EPS_TTM(B1848,E1848,"1")</f>
        <v>0.19102894344791668</v>
      </c>
      <c r="AT1848" s="4" t="str">
        <f>[1]!EM_S_IPO_LISTEDDATE(B1848)</f>
        <v>2010-11-09</v>
      </c>
    </row>
    <row r="1849" spans="1:46">
      <c r="A1849">
        <v>350</v>
      </c>
      <c r="B1849" t="str">
        <f>"000790"</f>
        <v>000790</v>
      </c>
      <c r="C1849" t="s">
        <v>2259</v>
      </c>
      <c r="D1849" t="str">
        <f>[1]!EM_S_INFO_INDEX_EM(B1849,"1")</f>
        <v>医药生物</v>
      </c>
      <c r="E1849" s="4">
        <f t="shared" si="28"/>
        <v>43465</v>
      </c>
      <c r="F1849" s="11">
        <f>[1]!EM_S_PQ_PCTCHANGE(B1849,"2018-01-01","2019-12-31","3")</f>
        <v>-10.779101170000001</v>
      </c>
      <c r="G1849" s="11">
        <f>[1]!EM_S_PQ_PCTCHANGE(B1849,"2018-12-31","2019-12-30","1")</f>
        <v>8.1280788200000007</v>
      </c>
      <c r="H1849" s="11">
        <f>[1]!EM_S_FA_YOY_OR(B1849,E1849)</f>
        <v>7.1865445103000001</v>
      </c>
      <c r="I1849" s="11">
        <f>[1]!EM_S_FA_GROSSPROFITMARGIN(B1849,E1849)</f>
        <v>65.363937985600003</v>
      </c>
      <c r="J1849" s="11">
        <f>[1]!EM_S_FA_NETPROFITMARGIN(B1849,E1849)</f>
        <v>4.9208213293999998</v>
      </c>
      <c r="K1849" s="10">
        <f>[1]!EM_S_FA_ASSETSTURN(B1849,E1849)</f>
        <v>0.52562239206200001</v>
      </c>
      <c r="L1849" s="12">
        <f>[1]!EM_HKS_VAL_MV(B1849,"2019-12-31","2")</f>
        <v>2792113354.9200001</v>
      </c>
      <c r="M1849">
        <f>[1]!EM_S_VAL_PETTMDEDUCTED(B1849,E1849)</f>
        <v>91.304951571598906</v>
      </c>
      <c r="N1849" s="7">
        <f>[1]!EM_S_VAL_PBGOODWILLDEDUCTED(B1849,E1849)</f>
        <v>2.7226710974135</v>
      </c>
      <c r="O1849" s="7">
        <f>[1]!EM_S_VAL_PS_TTM(B1849,E1849)</f>
        <v>3.6952556862853898</v>
      </c>
      <c r="P1849" s="7">
        <f>[1]!EM_S_VAL_PCF_NCFTTM(B1849,E1849)</f>
        <v>16.7188090601441</v>
      </c>
      <c r="Q1849" s="7">
        <f>[1]!EM_S_VAL_DIVIDENDYIELD2(B1849,E1849,"2019-11-29")</f>
        <v>0.65245759089177213</v>
      </c>
      <c r="T1849"/>
      <c r="U1849">
        <f>[1]!EM_S_RATIO_EPS_TTM(B1849,E1849,"1")</f>
        <v>5.5626998569012605E-2</v>
      </c>
      <c r="AT1849" s="4" t="str">
        <f>[1]!EM_S_IPO_LISTEDDATE(B1849)</f>
        <v>1998-03-27</v>
      </c>
    </row>
    <row r="1850" spans="1:46">
      <c r="A1850">
        <v>2807</v>
      </c>
      <c r="B1850" t="str">
        <f>"600734"</f>
        <v>600734</v>
      </c>
      <c r="C1850" t="s">
        <v>3387</v>
      </c>
      <c r="D1850" t="str">
        <f>[1]!EM_S_INFO_INDEX_EM(B1850,"1")</f>
        <v>电子设备</v>
      </c>
      <c r="E1850" s="4">
        <f t="shared" si="28"/>
        <v>43465</v>
      </c>
      <c r="F1850" s="11">
        <f>[1]!EM_S_PQ_PCTCHANGE(B1850,"2018-01-01","2019-12-31","3")</f>
        <v>-27.765957449999998</v>
      </c>
      <c r="G1850" s="11">
        <f>[1]!EM_S_PQ_PCTCHANGE(B1850,"2018-12-31","2019-12-30","1")</f>
        <v>8.1210191100000007</v>
      </c>
      <c r="H1850" s="11">
        <f>[1]!EM_S_FA_YOY_OR(B1850,E1850)</f>
        <v>4.4037801697000001</v>
      </c>
      <c r="I1850" s="11">
        <f>[1]!EM_S_FA_GROSSPROFITMARGIN(B1850,E1850)</f>
        <v>9.5116861044000007</v>
      </c>
      <c r="J1850" s="11">
        <f>[1]!EM_S_FA_NETPROFITMARGIN(B1850,E1850)</f>
        <v>-3.9522616907999999</v>
      </c>
      <c r="K1850" s="10">
        <f>[1]!EM_S_FA_ASSETSTURN(B1850,E1850)</f>
        <v>0.86874354446099999</v>
      </c>
      <c r="L1850" s="12">
        <f>[1]!EM_HKS_VAL_MV(B1850,"2019-12-31","2")</f>
        <v>4225908025.6399999</v>
      </c>
      <c r="M1850">
        <f>[1]!EM_S_VAL_PETTMDEDUCTED(B1850,E1850)</f>
        <v>24.028805200331199</v>
      </c>
      <c r="N1850" s="7">
        <f>[1]!EM_S_VAL_PBGOODWILLDEDUCTED(B1850,E1850)</f>
        <v>2.47525457942006</v>
      </c>
      <c r="O1850" s="7">
        <f>[1]!EM_S_VAL_PS_TTM(B1850,E1850)</f>
        <v>0.58207589951777805</v>
      </c>
      <c r="P1850" s="7">
        <f>[1]!EM_S_VAL_PCF_NCFTTM(B1850,E1850)</f>
        <v>-28.193723091020001</v>
      </c>
      <c r="Q1850" s="7">
        <f>[1]!EM_S_VAL_DIVIDENDYIELD2(B1850,E1850,"2019-11-29")</f>
        <v>0</v>
      </c>
      <c r="T1850"/>
      <c r="U1850">
        <f>[1]!EM_S_RATIO_EPS_TTM(B1850,E1850,"1")</f>
        <v>-0.42846665213733709</v>
      </c>
      <c r="AT1850" s="4" t="str">
        <f>[1]!EM_S_IPO_LISTEDDATE(B1850)</f>
        <v>1996-08-08</v>
      </c>
    </row>
    <row r="1851" spans="1:46">
      <c r="A1851">
        <v>911</v>
      </c>
      <c r="B1851" t="str">
        <f>"002400"</f>
        <v>002400</v>
      </c>
      <c r="C1851" t="s">
        <v>1710</v>
      </c>
      <c r="D1851" t="str">
        <f>[1]!EM_S_INFO_INDEX_EM(B1851,"1")</f>
        <v>文化传媒</v>
      </c>
      <c r="E1851" s="4">
        <f t="shared" si="28"/>
        <v>43465</v>
      </c>
      <c r="F1851" s="11">
        <f>[1]!EM_S_PQ_PCTCHANGE(B1851,"2018-01-01","2019-12-31","3")</f>
        <v>-37.882640369999997</v>
      </c>
      <c r="G1851" s="11">
        <f>[1]!EM_S_PQ_PCTCHANGE(B1851,"2018-12-31","2019-12-30","1")</f>
        <v>8.1081081099999999</v>
      </c>
      <c r="H1851" s="11">
        <f>[1]!EM_S_FA_YOY_OR(B1851,E1851)</f>
        <v>7.2557827994000004</v>
      </c>
      <c r="I1851" s="11">
        <f>[1]!EM_S_FA_GROSSPROFITMARGIN(B1851,E1851)</f>
        <v>14.3350517685</v>
      </c>
      <c r="J1851" s="11">
        <f>[1]!EM_S_FA_NETPROFITMARGIN(B1851,E1851)</f>
        <v>2.0851650571000002</v>
      </c>
      <c r="K1851" s="10">
        <f>[1]!EM_S_FA_ASSETSTURN(B1851,E1851)</f>
        <v>1.258036145922</v>
      </c>
      <c r="L1851" s="12">
        <f>[1]!EM_HKS_VAL_MV(B1851,"2019-12-31","2")</f>
        <v>5753012522.3999996</v>
      </c>
      <c r="M1851">
        <f>[1]!EM_S_VAL_PETTMDEDUCTED(B1851,E1851)</f>
        <v>-12.996658733849801</v>
      </c>
      <c r="N1851" s="7">
        <f>[1]!EM_S_VAL_PBGOODWILLDEDUCTED(B1851,E1851)</f>
        <v>1.52550657731731</v>
      </c>
      <c r="O1851" s="7">
        <f>[1]!EM_S_VAL_PS_TTM(B1851,E1851)</f>
        <v>0.41171501581562198</v>
      </c>
      <c r="P1851" s="7">
        <f>[1]!EM_S_VAL_PCF_NCFTTM(B1851,E1851)</f>
        <v>-1512.66260199765</v>
      </c>
      <c r="Q1851" s="7">
        <f>[1]!EM_S_VAL_DIVIDENDYIELD2(B1851,E1851,"2019-11-29")</f>
        <v>0.36101083032490977</v>
      </c>
      <c r="T1851"/>
      <c r="U1851">
        <f>[1]!EM_S_RATIO_EPS_TTM(B1851,E1851,"1")</f>
        <v>0.10665233326574343</v>
      </c>
      <c r="AT1851" s="4" t="str">
        <f>[1]!EM_S_IPO_LISTEDDATE(B1851)</f>
        <v>2010-05-06</v>
      </c>
    </row>
    <row r="1852" spans="1:46">
      <c r="A1852">
        <v>2953</v>
      </c>
      <c r="B1852" t="str">
        <f>"600880"</f>
        <v>600880</v>
      </c>
      <c r="C1852" t="s">
        <v>2859</v>
      </c>
      <c r="D1852" t="str">
        <f>[1]!EM_S_INFO_INDEX_EM(B1852,"1")</f>
        <v>文化传媒</v>
      </c>
      <c r="E1852" s="4">
        <f t="shared" si="28"/>
        <v>43465</v>
      </c>
      <c r="F1852" s="11">
        <f>[1]!EM_S_PQ_PCTCHANGE(B1852,"2018-01-01","2019-12-31","3")</f>
        <v>-24.079853419999999</v>
      </c>
      <c r="G1852" s="11">
        <f>[1]!EM_S_PQ_PCTCHANGE(B1852,"2018-12-31","2019-12-30","1")</f>
        <v>8.0862533699999997</v>
      </c>
      <c r="H1852" s="11">
        <f>[1]!EM_S_FA_YOY_OR(B1852,E1852)</f>
        <v>-37.256544555799998</v>
      </c>
      <c r="I1852" s="11">
        <f>[1]!EM_S_FA_GROSSPROFITMARGIN(B1852,E1852)</f>
        <v>29.844566772</v>
      </c>
      <c r="J1852" s="11">
        <f>[1]!EM_S_FA_NETPROFITMARGIN(B1852,E1852)</f>
        <v>-154.35346755270001</v>
      </c>
      <c r="K1852" s="10">
        <f>[1]!EM_S_FA_ASSETSTURN(B1852,E1852)</f>
        <v>0.15680558838200001</v>
      </c>
      <c r="L1852" s="12">
        <f>[1]!EM_HKS_VAL_MV(B1852,"2019-12-31","2")</f>
        <v>4362395047.0799999</v>
      </c>
      <c r="M1852">
        <f>[1]!EM_S_VAL_PETTMDEDUCTED(B1852,E1852)</f>
        <v>-136.11374687830499</v>
      </c>
      <c r="N1852" s="7">
        <f>[1]!EM_S_VAL_PBGOODWILLDEDUCTED(B1852,E1852)</f>
        <v>1.5927474901362</v>
      </c>
      <c r="O1852" s="7">
        <f>[1]!EM_S_VAL_PS_TTM(B1852,E1852)</f>
        <v>5.6587887189253196</v>
      </c>
      <c r="P1852" s="7">
        <f>[1]!EM_S_VAL_PCF_NCFTTM(B1852,E1852)</f>
        <v>-140.42366323530899</v>
      </c>
      <c r="Q1852" s="7">
        <f>[1]!EM_S_VAL_DIVIDENDYIELD2(B1852,E1852,"2019-11-29")</f>
        <v>0</v>
      </c>
      <c r="T1852"/>
      <c r="U1852">
        <f>[1]!EM_S_RATIO_EPS_TTM(B1852,E1852,"1")</f>
        <v>-0.76946487005706588</v>
      </c>
      <c r="AT1852" s="4" t="str">
        <f>[1]!EM_S_IPO_LISTEDDATE(B1852)</f>
        <v>1995-11-15</v>
      </c>
    </row>
    <row r="1853" spans="1:46">
      <c r="A1853">
        <v>2853</v>
      </c>
      <c r="B1853" t="str">
        <f>"600780"</f>
        <v>600780</v>
      </c>
      <c r="C1853" t="s">
        <v>1610</v>
      </c>
      <c r="D1853" t="str">
        <f>[1]!EM_S_INFO_INDEX_EM(B1853,"1")</f>
        <v>公用事业</v>
      </c>
      <c r="E1853" s="4">
        <f t="shared" si="28"/>
        <v>43465</v>
      </c>
      <c r="F1853" s="11">
        <f>[1]!EM_S_PQ_PCTCHANGE(B1853,"2018-01-01","2019-12-31","3")</f>
        <v>-25.89473684</v>
      </c>
      <c r="G1853" s="11">
        <f>[1]!EM_S_PQ_PCTCHANGE(B1853,"2018-12-31","2019-12-30","1")</f>
        <v>8.0495356000000005</v>
      </c>
      <c r="H1853" s="11">
        <f>[1]!EM_S_FA_YOY_OR(B1853,E1853)</f>
        <v>18.247502642299999</v>
      </c>
      <c r="I1853" s="11">
        <f>[1]!EM_S_FA_GROSSPROFITMARGIN(B1853,E1853)</f>
        <v>14.2590902072</v>
      </c>
      <c r="J1853" s="11">
        <f>[1]!EM_S_FA_NETPROFITMARGIN(B1853,E1853)</f>
        <v>3.648982341</v>
      </c>
      <c r="K1853" s="10">
        <f>[1]!EM_S_FA_ASSETSTURN(B1853,E1853)</f>
        <v>0.50235725169000001</v>
      </c>
      <c r="L1853" s="12">
        <f>[1]!EM_HKS_VAL_MV(B1853,"2019-12-31","2")</f>
        <v>4035688880.96</v>
      </c>
      <c r="M1853">
        <f>[1]!EM_S_VAL_PETTMDEDUCTED(B1853,E1853)</f>
        <v>15.8914383079691</v>
      </c>
      <c r="N1853" s="7">
        <f>[1]!EM_S_VAL_PBGOODWILLDEDUCTED(B1853,E1853)</f>
        <v>0.72585303714957905</v>
      </c>
      <c r="O1853" s="7">
        <f>[1]!EM_S_VAL_PS_TTM(B1853,E1853)</f>
        <v>0.63943582248861797</v>
      </c>
      <c r="P1853" s="7">
        <f>[1]!EM_S_VAL_PCF_NCFTTM(B1853,E1853)</f>
        <v>-5.72346921123596</v>
      </c>
      <c r="Q1853" s="7">
        <f>[1]!EM_S_VAL_DIVIDENDYIELD2(B1853,E1853,"2019-11-29")</f>
        <v>0</v>
      </c>
      <c r="T1853"/>
      <c r="U1853">
        <f>[1]!EM_S_RATIO_EPS_TTM(B1853,E1853,"1")</f>
        <v>0.19535104566010625</v>
      </c>
      <c r="AT1853" s="4" t="str">
        <f>[1]!EM_S_IPO_LISTEDDATE(B1853)</f>
        <v>1996-12-05</v>
      </c>
    </row>
    <row r="1854" spans="1:46">
      <c r="A1854">
        <v>2580</v>
      </c>
      <c r="B1854" t="str">
        <f>"600497"</f>
        <v>600497</v>
      </c>
      <c r="C1854" t="s">
        <v>856</v>
      </c>
      <c r="D1854" t="str">
        <f>[1]!EM_S_INFO_INDEX_EM(B1854,"1")</f>
        <v>有色金属</v>
      </c>
      <c r="E1854" s="4">
        <f t="shared" si="28"/>
        <v>43465</v>
      </c>
      <c r="F1854" s="11">
        <f>[1]!EM_S_PQ_PCTCHANGE(B1854,"2018-01-01","2019-12-31","3")</f>
        <v>-37.06572147</v>
      </c>
      <c r="G1854" s="11">
        <f>[1]!EM_S_PQ_PCTCHANGE(B1854,"2018-12-31","2019-12-30","1")</f>
        <v>8.0487804900000004</v>
      </c>
      <c r="H1854" s="11">
        <f>[1]!EM_S_FA_YOY_OR(B1854,E1854)</f>
        <v>2.6055122523000001</v>
      </c>
      <c r="I1854" s="11">
        <f>[1]!EM_S_FA_GROSSPROFITMARGIN(B1854,E1854)</f>
        <v>18.989573155900001</v>
      </c>
      <c r="J1854" s="11">
        <f>[1]!EM_S_FA_NETPROFITMARGIN(B1854,E1854)</f>
        <v>3.2208354953999998</v>
      </c>
      <c r="K1854" s="10">
        <f>[1]!EM_S_FA_ASSETSTURN(B1854,E1854)</f>
        <v>0.58625855953999995</v>
      </c>
      <c r="L1854" s="12">
        <f>[1]!EM_HKS_VAL_MV(B1854,"2019-12-31","2")</f>
        <v>22299857067.84</v>
      </c>
      <c r="M1854">
        <f>[1]!EM_S_VAL_PETTMDEDUCTED(B1854,E1854)</f>
        <v>17.8188927206083</v>
      </c>
      <c r="N1854" s="7">
        <f>[1]!EM_S_VAL_PBGOODWILLDEDUCTED(B1854,E1854)</f>
        <v>1.4575595727642601</v>
      </c>
      <c r="O1854" s="7">
        <f>[1]!EM_S_VAL_PS_TTM(B1854,E1854)</f>
        <v>1.0422601370175599</v>
      </c>
      <c r="P1854" s="7">
        <f>[1]!EM_S_VAL_PCF_NCFTTM(B1854,E1854)</f>
        <v>269.019231814877</v>
      </c>
      <c r="Q1854" s="7">
        <f>[1]!EM_S_VAL_DIVIDENDYIELD2(B1854,E1854,"2019-11-29")</f>
        <v>1.7073170731707319</v>
      </c>
      <c r="T1854"/>
      <c r="U1854">
        <f>[1]!EM_S_RATIO_EPS_TTM(B1854,E1854,"1")</f>
        <v>0.12232504768621022</v>
      </c>
      <c r="AT1854" s="4" t="str">
        <f>[1]!EM_S_IPO_LISTEDDATE(B1854)</f>
        <v>2004-04-20</v>
      </c>
    </row>
    <row r="1855" spans="1:46">
      <c r="A1855">
        <v>1114</v>
      </c>
      <c r="B1855" t="str">
        <f>"002603"</f>
        <v>002603</v>
      </c>
      <c r="C1855" t="s">
        <v>416</v>
      </c>
      <c r="D1855" t="str">
        <f>[1]!EM_S_INFO_INDEX_EM(B1855,"1")</f>
        <v>医药生物</v>
      </c>
      <c r="E1855" s="4">
        <f t="shared" si="28"/>
        <v>43465</v>
      </c>
      <c r="F1855" s="11">
        <f>[1]!EM_S_PQ_PCTCHANGE(B1855,"2018-01-01","2019-12-31","3")</f>
        <v>-18.839276269999999</v>
      </c>
      <c r="G1855" s="11">
        <f>[1]!EM_S_PQ_PCTCHANGE(B1855,"2018-12-31","2019-12-30","1")</f>
        <v>8.0305927300000004</v>
      </c>
      <c r="H1855" s="11">
        <f>[1]!EM_S_FA_YOY_OR(B1855,E1855)</f>
        <v>17.967244725499999</v>
      </c>
      <c r="I1855" s="11">
        <f>[1]!EM_S_FA_GROSSPROFITMARGIN(B1855,E1855)</f>
        <v>66.127213401600002</v>
      </c>
      <c r="J1855" s="11">
        <f>[1]!EM_S_FA_NETPROFITMARGIN(B1855,E1855)</f>
        <v>12.315883482</v>
      </c>
      <c r="K1855" s="10">
        <f>[1]!EM_S_FA_ASSETSTURN(B1855,E1855)</f>
        <v>0.58554919454700005</v>
      </c>
      <c r="L1855" s="12">
        <f>[1]!EM_HKS_VAL_MV(B1855,"2019-12-31","2")</f>
        <v>14962208065.09</v>
      </c>
      <c r="M1855">
        <f>[1]!EM_S_VAL_PETTMDEDUCTED(B1855,E1855)</f>
        <v>21.0039166397702</v>
      </c>
      <c r="N1855" s="7">
        <f>[1]!EM_S_VAL_PBGOODWILLDEDUCTED(B1855,E1855)</f>
        <v>1.6687946209014799</v>
      </c>
      <c r="O1855" s="7">
        <f>[1]!EM_S_VAL_PS_TTM(B1855,E1855)</f>
        <v>2.60286451083162</v>
      </c>
      <c r="P1855" s="7">
        <f>[1]!EM_S_VAL_PCF_NCFTTM(B1855,E1855)</f>
        <v>117.661505177828</v>
      </c>
      <c r="Q1855" s="7">
        <f>[1]!EM_S_VAL_DIVIDENDYIELD2(B1855,E1855,"2019-11-29")</f>
        <v>0.8876447623063265</v>
      </c>
      <c r="T1855"/>
      <c r="U1855">
        <f>[1]!EM_S_RATIO_EPS_TTM(B1855,E1855,"1")</f>
        <v>0.49674095201385471</v>
      </c>
      <c r="AT1855" s="4" t="str">
        <f>[1]!EM_S_IPO_LISTEDDATE(B1855)</f>
        <v>2011-07-28</v>
      </c>
    </row>
    <row r="1856" spans="1:46">
      <c r="A1856">
        <v>592</v>
      </c>
      <c r="B1856" t="str">
        <f>"002081"</f>
        <v>002081</v>
      </c>
      <c r="C1856" t="s">
        <v>332</v>
      </c>
      <c r="D1856" t="str">
        <f>[1]!EM_S_INFO_INDEX_EM(B1856,"1")</f>
        <v>建筑</v>
      </c>
      <c r="E1856" s="4">
        <f t="shared" si="28"/>
        <v>43465</v>
      </c>
      <c r="F1856" s="11">
        <f>[1]!EM_S_PQ_PCTCHANGE(B1856,"2018-01-01","2019-12-31","3")</f>
        <v>-40.506647020000003</v>
      </c>
      <c r="G1856" s="11">
        <f>[1]!EM_S_PQ_PCTCHANGE(B1856,"2018-12-31","2019-12-30","1")</f>
        <v>8.0246913600000003</v>
      </c>
      <c r="H1856" s="11">
        <f>[1]!EM_S_FA_YOY_OR(B1856,E1856)</f>
        <v>19.489955482500001</v>
      </c>
      <c r="I1856" s="11">
        <f>[1]!EM_S_FA_GROSSPROFITMARGIN(B1856,E1856)</f>
        <v>19.509081508800001</v>
      </c>
      <c r="J1856" s="11">
        <f>[1]!EM_S_FA_NETPROFITMARGIN(B1856,E1856)</f>
        <v>8.6555539756000002</v>
      </c>
      <c r="K1856" s="10">
        <f>[1]!EM_S_FA_ASSETSTURN(B1856,E1856)</f>
        <v>0.81605021070799999</v>
      </c>
      <c r="L1856" s="12">
        <f>[1]!EM_HKS_VAL_MV(B1856,"2019-12-31","2")</f>
        <v>23605924636.98</v>
      </c>
      <c r="M1856">
        <f>[1]!EM_S_VAL_PETTMDEDUCTED(B1856,E1856)</f>
        <v>10.560152539178301</v>
      </c>
      <c r="N1856" s="7">
        <f>[1]!EM_S_VAL_PBGOODWILLDEDUCTED(B1856,E1856)</f>
        <v>1.6721493796678999</v>
      </c>
      <c r="O1856" s="7">
        <f>[1]!EM_S_VAL_PS_TTM(B1856,E1856)</f>
        <v>0.89945496134701997</v>
      </c>
      <c r="P1856" s="7">
        <f>[1]!EM_S_VAL_PCF_NCFTTM(B1856,E1856)</f>
        <v>-51.007003876237</v>
      </c>
      <c r="Q1856" s="7">
        <f>[1]!EM_S_VAL_DIVIDENDYIELD2(B1856,E1856,"2019-11-29")</f>
        <v>2.4844720496894408</v>
      </c>
      <c r="T1856"/>
      <c r="U1856">
        <f>[1]!EM_S_RATIO_EPS_TTM(B1856,E1856,"1")</f>
        <v>0.8033157849503062</v>
      </c>
      <c r="AT1856" s="4" t="str">
        <f>[1]!EM_S_IPO_LISTEDDATE(B1856)</f>
        <v>2006-11-20</v>
      </c>
    </row>
    <row r="1857" spans="1:46">
      <c r="A1857">
        <v>3123</v>
      </c>
      <c r="B1857" t="str">
        <f>"601599"</f>
        <v>601599</v>
      </c>
      <c r="C1857" t="s">
        <v>2545</v>
      </c>
      <c r="D1857" t="str">
        <f>[1]!EM_S_INFO_INDEX_EM(B1857,"1")</f>
        <v>纺织服装</v>
      </c>
      <c r="E1857" s="4">
        <f t="shared" si="28"/>
        <v>43465</v>
      </c>
      <c r="F1857" s="11">
        <f>[1]!EM_S_PQ_PCTCHANGE(B1857,"2018-01-01","2019-12-31","3")</f>
        <v>-48.324345409999999</v>
      </c>
      <c r="G1857" s="11">
        <f>[1]!EM_S_PQ_PCTCHANGE(B1857,"2018-12-31","2019-12-30","1")</f>
        <v>8.0128205099999992</v>
      </c>
      <c r="H1857" s="11">
        <f>[1]!EM_S_FA_YOY_OR(B1857,E1857)</f>
        <v>16.265690039399999</v>
      </c>
      <c r="I1857" s="11">
        <f>[1]!EM_S_FA_GROSSPROFITMARGIN(B1857,E1857)</f>
        <v>15.381923718099999</v>
      </c>
      <c r="J1857" s="11">
        <f>[1]!EM_S_FA_NETPROFITMARGIN(B1857,E1857)</f>
        <v>1.4854677234</v>
      </c>
      <c r="K1857" s="10">
        <f>[1]!EM_S_FA_ASSETSTURN(B1857,E1857)</f>
        <v>0.72984210436399999</v>
      </c>
      <c r="L1857" s="12">
        <f>[1]!EM_HKS_VAL_MV(B1857,"2019-12-31","2")</f>
        <v>2963846880.48</v>
      </c>
      <c r="M1857">
        <f>[1]!EM_S_VAL_PETTMDEDUCTED(B1857,E1857)</f>
        <v>12.707638811071099</v>
      </c>
      <c r="N1857" s="7">
        <f>[1]!EM_S_VAL_PBGOODWILLDEDUCTED(B1857,E1857)</f>
        <v>1.3135910892440299</v>
      </c>
      <c r="O1857" s="7">
        <f>[1]!EM_S_VAL_PS_TTM(B1857,E1857)</f>
        <v>0.60632131903798503</v>
      </c>
      <c r="P1857" s="7">
        <f>[1]!EM_S_VAL_PCF_NCFTTM(B1857,E1857)</f>
        <v>-15.9764543091355</v>
      </c>
      <c r="Q1857" s="7">
        <f>[1]!EM_S_VAL_DIVIDENDYIELD2(B1857,E1857,"2019-11-29")</f>
        <v>0.672782874617737</v>
      </c>
      <c r="T1857"/>
      <c r="U1857">
        <f>[1]!EM_S_RATIO_EPS_TTM(B1857,E1857,"1")</f>
        <v>6.2834752406453365E-2</v>
      </c>
      <c r="AT1857" s="4" t="str">
        <f>[1]!EM_S_IPO_LISTEDDATE(B1857)</f>
        <v>2011-05-27</v>
      </c>
    </row>
    <row r="1858" spans="1:46">
      <c r="A1858">
        <v>2552</v>
      </c>
      <c r="B1858" t="str">
        <f>"600461"</f>
        <v>600461</v>
      </c>
      <c r="C1858" t="s">
        <v>881</v>
      </c>
      <c r="D1858" t="str">
        <f>[1]!EM_S_INFO_INDEX_EM(B1858,"1")</f>
        <v>公用事业</v>
      </c>
      <c r="E1858" s="4">
        <f t="shared" si="28"/>
        <v>43465</v>
      </c>
      <c r="F1858" s="11">
        <f>[1]!EM_S_PQ_PCTCHANGE(B1858,"2018-01-01","2019-12-31","3")</f>
        <v>-4.5833104000000002</v>
      </c>
      <c r="G1858" s="11">
        <f>[1]!EM_S_PQ_PCTCHANGE(B1858,"2018-12-31","2019-12-30","1")</f>
        <v>8</v>
      </c>
      <c r="H1858" s="11">
        <f>[1]!EM_S_FA_YOY_OR(B1858,E1858)</f>
        <v>23.5197614631</v>
      </c>
      <c r="I1858" s="11">
        <f>[1]!EM_S_FA_GROSSPROFITMARGIN(B1858,E1858)</f>
        <v>24.752548778400001</v>
      </c>
      <c r="J1858" s="11">
        <f>[1]!EM_S_FA_NETPROFITMARGIN(B1858,E1858)</f>
        <v>9.5497096424999999</v>
      </c>
      <c r="K1858" s="10">
        <f>[1]!EM_S_FA_ASSETSTURN(B1858,E1858)</f>
        <v>0.47503521129300003</v>
      </c>
      <c r="L1858" s="12">
        <f>[1]!EM_HKS_VAL_MV(B1858,"2019-12-31","2")</f>
        <v>5624655505.4700003</v>
      </c>
      <c r="M1858">
        <f>[1]!EM_S_VAL_PETTMDEDUCTED(B1858,E1858)</f>
        <v>15.5023111144839</v>
      </c>
      <c r="N1858" s="7">
        <f>[1]!EM_S_VAL_PBGOODWILLDEDUCTED(B1858,E1858)</f>
        <v>1.23060782919224</v>
      </c>
      <c r="O1858" s="7">
        <f>[1]!EM_S_VAL_PS_TTM(B1858,E1858)</f>
        <v>0.97742412881598395</v>
      </c>
      <c r="P1858" s="7">
        <f>[1]!EM_S_VAL_PCF_NCFTTM(B1858,E1858)</f>
        <v>5.08239531463121</v>
      </c>
      <c r="Q1858" s="7">
        <f>[1]!EM_S_VAL_DIVIDENDYIELD2(B1858,E1858,"2019-11-29")</f>
        <v>2.4437816687616838</v>
      </c>
      <c r="T1858"/>
      <c r="U1858">
        <f>[1]!EM_S_RATIO_EPS_TTM(B1858,E1858,"1")</f>
        <v>0.42554375183816867</v>
      </c>
      <c r="AT1858" s="4" t="str">
        <f>[1]!EM_S_IPO_LISTEDDATE(B1858)</f>
        <v>2004-06-01</v>
      </c>
    </row>
    <row r="1859" spans="1:46">
      <c r="A1859">
        <v>2187</v>
      </c>
      <c r="B1859" t="str">
        <f>"600029"</f>
        <v>600029</v>
      </c>
      <c r="C1859" t="s">
        <v>294</v>
      </c>
      <c r="D1859" t="str">
        <f>[1]!EM_S_INFO_INDEX_EM(B1859,"1")</f>
        <v>交通运输</v>
      </c>
      <c r="E1859" s="4">
        <f t="shared" ref="E1859:E1922" si="29">$B$1</f>
        <v>43465</v>
      </c>
      <c r="F1859" s="11">
        <f>[1]!EM_S_PQ_PCTCHANGE(B1859,"2018-01-01","2019-12-31","3")</f>
        <v>-38.540288519999997</v>
      </c>
      <c r="G1859" s="11">
        <f>[1]!EM_S_PQ_PCTCHANGE(B1859,"2018-12-31","2019-12-30","1")</f>
        <v>7.9819277099999999</v>
      </c>
      <c r="H1859" s="11">
        <f>[1]!EM_S_FA_YOY_OR(B1859,E1859)</f>
        <v>12.655209469100001</v>
      </c>
      <c r="I1859" s="11">
        <f>[1]!EM_S_FA_GROSSPROFITMARGIN(B1859,E1859)</f>
        <v>10.4509723373</v>
      </c>
      <c r="J1859" s="11">
        <f>[1]!EM_S_FA_NETPROFITMARGIN(B1859,E1859)</f>
        <v>2.4062998266000002</v>
      </c>
      <c r="K1859" s="10">
        <f>[1]!EM_S_FA_ASSETSTURN(B1859,E1859)</f>
        <v>0.61775458940500005</v>
      </c>
      <c r="L1859" s="12">
        <f>[1]!EM_HKS_VAL_MV(B1859,"2019-12-31","2")</f>
        <v>88078297013.479996</v>
      </c>
      <c r="M1859">
        <f>[1]!EM_S_VAL_PETTMDEDUCTED(B1859,E1859)</f>
        <v>34.928826749159498</v>
      </c>
      <c r="N1859" s="7">
        <f>[1]!EM_S_VAL_PBGOODWILLDEDUCTED(B1859,E1859)</f>
        <v>1.2530809959392599</v>
      </c>
      <c r="O1859" s="7">
        <f>[1]!EM_S_VAL_PS_TTM(B1859,E1859)</f>
        <v>0.58079806038746495</v>
      </c>
      <c r="P1859" s="7">
        <f>[1]!EM_S_VAL_PCF_NCFTTM(B1859,E1859)</f>
        <v>8.5533995567615193</v>
      </c>
      <c r="Q1859" s="7">
        <f>[1]!EM_S_VAL_DIVIDENDYIELD2(B1859,E1859,"2019-11-29")</f>
        <v>0.75642965204236012</v>
      </c>
      <c r="T1859"/>
      <c r="U1859">
        <f>[1]!EM_S_RATIO_EPS_TTM(B1859,E1859,"1")</f>
        <v>0.24316932463762414</v>
      </c>
      <c r="AT1859" s="4" t="str">
        <f>[1]!EM_S_IPO_LISTEDDATE(B1859)</f>
        <v>2003-07-25</v>
      </c>
    </row>
    <row r="1860" spans="1:46">
      <c r="A1860">
        <v>3172</v>
      </c>
      <c r="B1860" t="str">
        <f>"601898"</f>
        <v>601898</v>
      </c>
      <c r="C1860" t="s">
        <v>1704</v>
      </c>
      <c r="D1860" t="str">
        <f>[1]!EM_S_INFO_INDEX_EM(B1860,"1")</f>
        <v>化石能源</v>
      </c>
      <c r="E1860" s="4">
        <f t="shared" si="29"/>
        <v>43465</v>
      </c>
      <c r="F1860" s="11">
        <f>[1]!EM_S_PQ_PCTCHANGE(B1860,"2018-01-01","2019-12-31","3")</f>
        <v>-9.7691647899999996</v>
      </c>
      <c r="G1860" s="11">
        <f>[1]!EM_S_PQ_PCTCHANGE(B1860,"2018-12-31","2019-12-30","1")</f>
        <v>7.9569892500000003</v>
      </c>
      <c r="H1860" s="11">
        <f>[1]!EM_S_FA_YOY_OR(B1860,E1860)</f>
        <v>27.759533009399998</v>
      </c>
      <c r="I1860" s="11">
        <f>[1]!EM_S_FA_GROSSPROFITMARGIN(B1860,E1860)</f>
        <v>28.640282405800001</v>
      </c>
      <c r="J1860" s="11">
        <f>[1]!EM_S_FA_NETPROFITMARGIN(B1860,E1860)</f>
        <v>5.9800096534999998</v>
      </c>
      <c r="K1860" s="10">
        <f>[1]!EM_S_FA_ASSETSTURN(B1860,E1860)</f>
        <v>0.40561086758300002</v>
      </c>
      <c r="L1860" s="12">
        <f>[1]!EM_HKS_VAL_MV(B1860,"2019-12-31","2")</f>
        <v>66558490268</v>
      </c>
      <c r="M1860">
        <f>[1]!EM_S_VAL_PETTMDEDUCTED(B1860,E1860)</f>
        <v>15.6542441677562</v>
      </c>
      <c r="N1860" s="7">
        <f>[1]!EM_S_VAL_PBGOODWILLDEDUCTED(B1860,E1860)</f>
        <v>0.66915227120861298</v>
      </c>
      <c r="O1860" s="7">
        <f>[1]!EM_S_VAL_PS_TTM(B1860,E1860)</f>
        <v>0.62729593484198498</v>
      </c>
      <c r="P1860" s="7">
        <f>[1]!EM_S_VAL_PCF_NCFTTM(B1860,E1860)</f>
        <v>-5905.4391580459796</v>
      </c>
      <c r="Q1860" s="7">
        <f>[1]!EM_S_VAL_DIVIDENDYIELD2(B1860,E1860,"2019-11-29")</f>
        <v>1.5983606557377052</v>
      </c>
      <c r="T1860"/>
      <c r="U1860">
        <f>[1]!EM_S_RATIO_EPS_TTM(B1860,E1860,"1")</f>
        <v>0.25904406020293114</v>
      </c>
      <c r="AT1860" s="4" t="str">
        <f>[1]!EM_S_IPO_LISTEDDATE(B1860)</f>
        <v>2008-02-01</v>
      </c>
    </row>
    <row r="1861" spans="1:46">
      <c r="A1861">
        <v>665</v>
      </c>
      <c r="B1861" t="str">
        <f>"002154"</f>
        <v>002154</v>
      </c>
      <c r="C1861" t="s">
        <v>1857</v>
      </c>
      <c r="D1861" t="str">
        <f>[1]!EM_S_INFO_INDEX_EM(B1861,"1")</f>
        <v>纺织服装</v>
      </c>
      <c r="E1861" s="4">
        <f t="shared" si="29"/>
        <v>43465</v>
      </c>
      <c r="F1861" s="11">
        <f>[1]!EM_S_PQ_PCTCHANGE(B1861,"2018-01-01","2019-12-31","3")</f>
        <v>-4.3793496000000003</v>
      </c>
      <c r="G1861" s="11">
        <f>[1]!EM_S_PQ_PCTCHANGE(B1861,"2018-12-31","2019-12-30","1")</f>
        <v>7.92079208</v>
      </c>
      <c r="H1861" s="11">
        <f>[1]!EM_S_FA_YOY_OR(B1861,E1861)</f>
        <v>19.545115838400001</v>
      </c>
      <c r="I1861" s="11">
        <f>[1]!EM_S_FA_GROSSPROFITMARGIN(B1861,E1861)</f>
        <v>61.055625619200001</v>
      </c>
      <c r="J1861" s="11">
        <f>[1]!EM_S_FA_NETPROFITMARGIN(B1861,E1861)</f>
        <v>1.6378169086000001</v>
      </c>
      <c r="K1861" s="10">
        <f>[1]!EM_S_FA_ASSETSTURN(B1861,E1861)</f>
        <v>0.73580986023399997</v>
      </c>
      <c r="L1861" s="12">
        <f>[1]!EM_HKS_VAL_MV(B1861,"2019-12-31","2")</f>
        <v>3920710234.2800002</v>
      </c>
      <c r="M1861">
        <f>[1]!EM_S_VAL_PETTMDEDUCTED(B1861,E1861)</f>
        <v>49.251216555516201</v>
      </c>
      <c r="N1861" s="7">
        <f>[1]!EM_S_VAL_PBGOODWILLDEDUCTED(B1861,E1861)</f>
        <v>1.4035833318319</v>
      </c>
      <c r="O1861" s="7">
        <f>[1]!EM_S_VAL_PS_TTM(B1861,E1861)</f>
        <v>1.2643284712455201</v>
      </c>
      <c r="P1861" s="7">
        <f>[1]!EM_S_VAL_PCF_NCFTTM(B1861,E1861)</f>
        <v>74.352678020368103</v>
      </c>
      <c r="Q1861" s="7">
        <f>[1]!EM_S_VAL_DIVIDENDYIELD2(B1861,E1861,"2019-11-29")</f>
        <v>3.2894736842105261</v>
      </c>
      <c r="T1861"/>
      <c r="U1861">
        <f>[1]!EM_S_RATIO_EPS_TTM(B1861,E1861,"1")</f>
        <v>4.1199574187356917E-2</v>
      </c>
      <c r="AT1861" s="4" t="str">
        <f>[1]!EM_S_IPO_LISTEDDATE(B1861)</f>
        <v>2007-08-16</v>
      </c>
    </row>
    <row r="1862" spans="1:46">
      <c r="A1862">
        <v>1486</v>
      </c>
      <c r="B1862" t="str">
        <f>"300061"</f>
        <v>300061</v>
      </c>
      <c r="C1862" t="s">
        <v>2504</v>
      </c>
      <c r="D1862" t="str">
        <f>[1]!EM_S_INFO_INDEX_EM(B1862,"1")</f>
        <v>轻工制造</v>
      </c>
      <c r="E1862" s="4">
        <f t="shared" si="29"/>
        <v>43465</v>
      </c>
      <c r="F1862" s="11">
        <f>[1]!EM_S_PQ_PCTCHANGE(B1862,"2018-01-01","2019-12-31","3")</f>
        <v>-47.440180429999998</v>
      </c>
      <c r="G1862" s="11">
        <f>[1]!EM_S_PQ_PCTCHANGE(B1862,"2018-12-31","2019-12-30","1")</f>
        <v>7.8991596599999996</v>
      </c>
      <c r="H1862" s="11">
        <f>[1]!EM_S_FA_YOY_OR(B1862,E1862)</f>
        <v>16.0007350407</v>
      </c>
      <c r="I1862" s="11">
        <f>[1]!EM_S_FA_GROSSPROFITMARGIN(B1862,E1862)</f>
        <v>50.924089408299999</v>
      </c>
      <c r="J1862" s="11">
        <f>[1]!EM_S_FA_NETPROFITMARGIN(B1862,E1862)</f>
        <v>-31.8353194705</v>
      </c>
      <c r="K1862" s="10">
        <f>[1]!EM_S_FA_ASSETSTURN(B1862,E1862)</f>
        <v>0.62390411907499999</v>
      </c>
      <c r="L1862" s="12">
        <f>[1]!EM_HKS_VAL_MV(B1862,"2019-12-31","2")</f>
        <v>4318711402.9399996</v>
      </c>
      <c r="M1862">
        <f>[1]!EM_S_VAL_PETTMDEDUCTED(B1862,E1862)</f>
        <v>13.1402655095411</v>
      </c>
      <c r="N1862" s="7">
        <f>[1]!EM_S_VAL_PBGOODWILLDEDUCTED(B1862,E1862)</f>
        <v>3.5577384078362999</v>
      </c>
      <c r="O1862" s="7">
        <f>[1]!EM_S_VAL_PS_TTM(B1862,E1862)</f>
        <v>1.8747318501194601</v>
      </c>
      <c r="P1862" s="7">
        <f>[1]!EM_S_VAL_PCF_NCFTTM(B1862,E1862)</f>
        <v>-43.042220989734197</v>
      </c>
      <c r="Q1862" s="7">
        <f>[1]!EM_S_VAL_DIVIDENDYIELD2(B1862,E1862,"2019-11-29")</f>
        <v>0</v>
      </c>
      <c r="T1862"/>
      <c r="U1862">
        <f>[1]!EM_S_RATIO_EPS_TTM(B1862,E1862,"1")</f>
        <v>-1.1586088617713433</v>
      </c>
      <c r="AT1862" s="4" t="str">
        <f>[1]!EM_S_IPO_LISTEDDATE(B1862)</f>
        <v>2010-03-19</v>
      </c>
    </row>
    <row r="1863" spans="1:46">
      <c r="A1863">
        <v>1994</v>
      </c>
      <c r="B1863" t="str">
        <f>"300572"</f>
        <v>300572</v>
      </c>
      <c r="C1863" t="s">
        <v>1040</v>
      </c>
      <c r="D1863" t="str">
        <f>[1]!EM_S_INFO_INDEX_EM(B1863,"1")</f>
        <v>机械设备</v>
      </c>
      <c r="E1863" s="4">
        <f t="shared" si="29"/>
        <v>43465</v>
      </c>
      <c r="F1863" s="11">
        <f>[1]!EM_S_PQ_PCTCHANGE(B1863,"2018-01-01","2019-12-31","3")</f>
        <v>119.57133472</v>
      </c>
      <c r="G1863" s="11">
        <f>[1]!EM_S_PQ_PCTCHANGE(B1863,"2018-12-31","2019-12-30","1")</f>
        <v>7.8431372499999998</v>
      </c>
      <c r="H1863" s="11">
        <f>[1]!EM_S_FA_YOY_OR(B1863,E1863)</f>
        <v>28.170558715999999</v>
      </c>
      <c r="I1863" s="11">
        <f>[1]!EM_S_FA_GROSSPROFITMARGIN(B1863,E1863)</f>
        <v>49.036192267499999</v>
      </c>
      <c r="J1863" s="11">
        <f>[1]!EM_S_FA_NETPROFITMARGIN(B1863,E1863)</f>
        <v>23.6859644536</v>
      </c>
      <c r="K1863" s="10">
        <f>[1]!EM_S_FA_ASSETSTURN(B1863,E1863)</f>
        <v>0.47582195129600002</v>
      </c>
      <c r="L1863" s="12">
        <f>[1]!EM_HKS_VAL_MV(B1863,"2019-12-31","2")</f>
        <v>9310652766.7199993</v>
      </c>
      <c r="M1863">
        <f>[1]!EM_S_VAL_PETTMDEDUCTED(B1863,E1863)</f>
        <v>52.923201790637997</v>
      </c>
      <c r="N1863" s="7">
        <f>[1]!EM_S_VAL_PBGOODWILLDEDUCTED(B1863,E1863)</f>
        <v>7.7797617141039703</v>
      </c>
      <c r="O1863" s="7">
        <f>[1]!EM_S_VAL_PS_TTM(B1863,E1863)</f>
        <v>10.822124603193499</v>
      </c>
      <c r="P1863" s="7">
        <f>[1]!EM_S_VAL_PCF_NCFTTM(B1863,E1863)</f>
        <v>-38.489844397642202</v>
      </c>
      <c r="Q1863" s="7">
        <f>[1]!EM_S_VAL_DIVIDENDYIELD2(B1863,E1863,"2019-11-29")</f>
        <v>0.28643446379468379</v>
      </c>
      <c r="T1863"/>
      <c r="U1863">
        <f>[1]!EM_S_RATIO_EPS_TTM(B1863,E1863,"1")</f>
        <v>1.0350284638171046</v>
      </c>
      <c r="AT1863" s="4" t="str">
        <f>[1]!EM_S_IPO_LISTEDDATE(B1863)</f>
        <v>2016-12-06</v>
      </c>
    </row>
    <row r="1864" spans="1:46">
      <c r="A1864">
        <v>2974</v>
      </c>
      <c r="B1864" t="str">
        <f>"600901"</f>
        <v>600901</v>
      </c>
      <c r="C1864" t="s">
        <v>430</v>
      </c>
      <c r="D1864" t="str">
        <f>[1]!EM_S_INFO_INDEX_EM(B1864,"1")</f>
        <v>金融</v>
      </c>
      <c r="E1864" s="4">
        <f t="shared" si="29"/>
        <v>43465</v>
      </c>
      <c r="F1864" s="11">
        <f>[1]!EM_S_PQ_PCTCHANGE(B1864,"2018-01-01","2019-12-31","3")</f>
        <v>5.71167874</v>
      </c>
      <c r="G1864" s="11">
        <f>[1]!EM_S_PQ_PCTCHANGE(B1864,"2018-12-31","2019-12-30","1")</f>
        <v>7.7834179399999996</v>
      </c>
      <c r="H1864" s="11">
        <f>[1]!EM_S_FA_YOY_OR(B1864,E1864)</f>
        <v>25.424646584600001</v>
      </c>
      <c r="I1864" s="11">
        <f>[1]!EM_S_FA_GROSSPROFITMARGIN(B1864,E1864)</f>
        <v>0</v>
      </c>
      <c r="J1864" s="11">
        <f>[1]!EM_S_FA_NETPROFITMARGIN(B1864,E1864)</f>
        <v>51.343313468200002</v>
      </c>
      <c r="K1864" s="10">
        <f>[1]!EM_S_FA_ASSETSTURN(B1864,E1864)</f>
        <v>0</v>
      </c>
      <c r="L1864" s="12">
        <f>[1]!EM_HKS_VAL_MV(B1864,"2019-12-31","2")</f>
        <v>18875627797.759998</v>
      </c>
      <c r="M1864">
        <f>[1]!EM_S_VAL_PETTMDEDUCTED(B1864,E1864)</f>
        <v>16.7926908602183</v>
      </c>
      <c r="N1864" s="7">
        <f>[1]!EM_S_VAL_PBGOODWILLDEDUCTED(B1864,E1864)</f>
        <v>1.6020693849710399</v>
      </c>
      <c r="O1864" s="7">
        <f>[1]!EM_S_VAL_PS_TTM(B1864,E1864)</f>
        <v>7.9941802074222901</v>
      </c>
      <c r="P1864" s="7">
        <f>[1]!EM_S_VAL_PCF_NCFTTM(B1864,E1864)</f>
        <v>-55.073638647156301</v>
      </c>
      <c r="Q1864" s="7">
        <f>[1]!EM_S_VAL_DIVIDENDYIELD2(B1864,E1864,"2019-11-29")</f>
        <v>3.3333333333333335</v>
      </c>
      <c r="T1864"/>
      <c r="U1864">
        <f>[1]!EM_S_RATIO_EPS_TTM(B1864,E1864,"1")</f>
        <v>0.41887559259840257</v>
      </c>
      <c r="AT1864" s="4" t="str">
        <f>[1]!EM_S_IPO_LISTEDDATE(B1864)</f>
        <v>2018-03-01</v>
      </c>
    </row>
    <row r="1865" spans="1:46">
      <c r="A1865">
        <v>412</v>
      </c>
      <c r="B1865" t="str">
        <f>"000880"</f>
        <v>000880</v>
      </c>
      <c r="C1865" t="s">
        <v>1944</v>
      </c>
      <c r="D1865" t="str">
        <f>[1]!EM_S_INFO_INDEX_EM(B1865,"1")</f>
        <v>机械设备</v>
      </c>
      <c r="E1865" s="4">
        <f t="shared" si="29"/>
        <v>43465</v>
      </c>
      <c r="F1865" s="11">
        <f>[1]!EM_S_PQ_PCTCHANGE(B1865,"2018-01-01","2019-12-31","3")</f>
        <v>-14.44125938</v>
      </c>
      <c r="G1865" s="11">
        <f>[1]!EM_S_PQ_PCTCHANGE(B1865,"2018-12-31","2019-12-30","1")</f>
        <v>7.7777777800000001</v>
      </c>
      <c r="H1865" s="11">
        <f>[1]!EM_S_FA_YOY_OR(B1865,E1865)</f>
        <v>19.815407167299998</v>
      </c>
      <c r="I1865" s="11">
        <f>[1]!EM_S_FA_GROSSPROFITMARGIN(B1865,E1865)</f>
        <v>15.397456826399999</v>
      </c>
      <c r="J1865" s="11">
        <f>[1]!EM_S_FA_NETPROFITMARGIN(B1865,E1865)</f>
        <v>1.7559249595999999</v>
      </c>
      <c r="K1865" s="10">
        <f>[1]!EM_S_FA_ASSETSTURN(B1865,E1865)</f>
        <v>0.63119431399500003</v>
      </c>
      <c r="L1865" s="12">
        <f>[1]!EM_HKS_VAL_MV(B1865,"2019-12-31","2")</f>
        <v>2161866915</v>
      </c>
      <c r="M1865">
        <f>[1]!EM_S_VAL_PETTMDEDUCTED(B1865,E1865)</f>
        <v>33.829368846398097</v>
      </c>
      <c r="N1865" s="7">
        <f>[1]!EM_S_VAL_PBGOODWILLDEDUCTED(B1865,E1865)</f>
        <v>1.4484197512521799</v>
      </c>
      <c r="O1865" s="7">
        <f>[1]!EM_S_VAL_PS_TTM(B1865,E1865)</f>
        <v>0.83889223227809995</v>
      </c>
      <c r="P1865" s="7">
        <f>[1]!EM_S_VAL_PCF_NCFTTM(B1865,E1865)</f>
        <v>25.6572787214531</v>
      </c>
      <c r="Q1865" s="7">
        <f>[1]!EM_S_VAL_DIVIDENDYIELD2(B1865,E1865,"2019-11-29")</f>
        <v>0.2743484224965706</v>
      </c>
      <c r="T1865"/>
      <c r="U1865">
        <f>[1]!EM_S_RATIO_EPS_TTM(B1865,E1865,"1")</f>
        <v>0.1505446449752898</v>
      </c>
      <c r="AT1865" s="4" t="str">
        <f>[1]!EM_S_IPO_LISTEDDATE(B1865)</f>
        <v>1998-04-02</v>
      </c>
    </row>
    <row r="1866" spans="1:46">
      <c r="A1866">
        <v>2272</v>
      </c>
      <c r="B1866" t="str">
        <f>"600126"</f>
        <v>600126</v>
      </c>
      <c r="C1866" t="s">
        <v>812</v>
      </c>
      <c r="D1866" t="str">
        <f>[1]!EM_S_INFO_INDEX_EM(B1866,"1")</f>
        <v>钢铁</v>
      </c>
      <c r="E1866" s="4">
        <f t="shared" si="29"/>
        <v>43465</v>
      </c>
      <c r="F1866" s="11">
        <f>[1]!EM_S_PQ_PCTCHANGE(B1866,"2018-01-01","2019-12-31","3")</f>
        <v>-4.7586663299999996</v>
      </c>
      <c r="G1866" s="11">
        <f>[1]!EM_S_PQ_PCTCHANGE(B1866,"2018-12-31","2019-12-30","1")</f>
        <v>7.7605321500000004</v>
      </c>
      <c r="H1866" s="11">
        <f>[1]!EM_S_FA_YOY_OR(B1866,E1866)</f>
        <v>-5.0475579979000003</v>
      </c>
      <c r="I1866" s="11">
        <f>[1]!EM_S_FA_GROSSPROFITMARGIN(B1866,E1866)</f>
        <v>12.672452100599999</v>
      </c>
      <c r="J1866" s="11">
        <f>[1]!EM_S_FA_NETPROFITMARGIN(B1866,E1866)</f>
        <v>7.3995753429000004</v>
      </c>
      <c r="K1866" s="10">
        <f>[1]!EM_S_FA_ASSETSTURN(B1866,E1866)</f>
        <v>1.052413416259</v>
      </c>
      <c r="L1866" s="12">
        <f>[1]!EM_HKS_VAL_MV(B1866,"2019-12-31","2")</f>
        <v>16514454615.870001</v>
      </c>
      <c r="M1866">
        <f>[1]!EM_S_VAL_PETTMDEDUCTED(B1866,E1866)</f>
        <v>7.0437714732150702</v>
      </c>
      <c r="N1866" s="7">
        <f>[1]!EM_S_VAL_PBGOODWILLDEDUCTED(B1866,E1866)</f>
        <v>0.82366610401474805</v>
      </c>
      <c r="O1866" s="7">
        <f>[1]!EM_S_VAL_PS_TTM(B1866,E1866)</f>
        <v>0.56105092813011903</v>
      </c>
      <c r="P1866" s="7">
        <f>[1]!EM_S_VAL_PCF_NCFTTM(B1866,E1866)</f>
        <v>3.88455300517324</v>
      </c>
      <c r="Q1866" s="7">
        <f>[1]!EM_S_VAL_DIVIDENDYIELD2(B1866,E1866,"2019-11-29")</f>
        <v>0</v>
      </c>
      <c r="T1866"/>
      <c r="U1866">
        <f>[1]!EM_S_RATIO_EPS_TTM(B1866,E1866,"1")</f>
        <v>0.57375010338146348</v>
      </c>
      <c r="AT1866" s="4" t="str">
        <f>[1]!EM_S_IPO_LISTEDDATE(B1866)</f>
        <v>1998-03-11</v>
      </c>
    </row>
    <row r="1867" spans="1:46">
      <c r="A1867">
        <v>2101</v>
      </c>
      <c r="B1867" t="str">
        <f>"300683"</f>
        <v>300683</v>
      </c>
      <c r="C1867" t="s">
        <v>1840</v>
      </c>
      <c r="D1867" t="str">
        <f>[1]!EM_S_INFO_INDEX_EM(B1867,"1")</f>
        <v>医药生物</v>
      </c>
      <c r="E1867" s="4">
        <f t="shared" si="29"/>
        <v>43465</v>
      </c>
      <c r="F1867" s="11">
        <f>[1]!EM_S_PQ_PCTCHANGE(B1867,"2018-01-01","2019-12-31","3")</f>
        <v>-44.163519819999998</v>
      </c>
      <c r="G1867" s="11">
        <f>[1]!EM_S_PQ_PCTCHANGE(B1867,"2018-12-31","2019-12-30","1")</f>
        <v>7.7431192700000002</v>
      </c>
      <c r="H1867" s="11">
        <f>[1]!EM_S_FA_YOY_OR(B1867,E1867)</f>
        <v>-21.244042799300001</v>
      </c>
      <c r="I1867" s="11">
        <f>[1]!EM_S_FA_GROSSPROFITMARGIN(B1867,E1867)</f>
        <v>92.517627993199994</v>
      </c>
      <c r="J1867" s="11">
        <f>[1]!EM_S_FA_NETPROFITMARGIN(B1867,E1867)</f>
        <v>15.4794599795</v>
      </c>
      <c r="K1867" s="10">
        <f>[1]!EM_S_FA_ASSETSTURN(B1867,E1867)</f>
        <v>0.290776435078</v>
      </c>
      <c r="L1867" s="12">
        <f>[1]!EM_HKS_VAL_MV(B1867,"2019-12-31","2")</f>
        <v>3109953153.5999999</v>
      </c>
      <c r="M1867">
        <f>[1]!EM_S_VAL_PETTMDEDUCTED(B1867,E1867)</f>
        <v>42.958250610500897</v>
      </c>
      <c r="N1867" s="7">
        <f>[1]!EM_S_VAL_PBGOODWILLDEDUCTED(B1867,E1867)</f>
        <v>1.9776135935322401</v>
      </c>
      <c r="O1867" s="7">
        <f>[1]!EM_S_VAL_PS_TTM(B1867,E1867)</f>
        <v>4.8117994563284601</v>
      </c>
      <c r="P1867" s="7">
        <f>[1]!EM_S_VAL_PCF_NCFTTM(B1867,E1867)</f>
        <v>13.5160696280054</v>
      </c>
      <c r="Q1867" s="7">
        <f>[1]!EM_S_VAL_DIVIDENDYIELD2(B1867,E1867,"2019-11-29")</f>
        <v>0.69954529555788736</v>
      </c>
      <c r="T1867"/>
      <c r="U1867">
        <f>[1]!EM_S_RATIO_EPS_TTM(B1867,E1867,"1")</f>
        <v>0.91081910809574451</v>
      </c>
      <c r="AT1867" s="4" t="str">
        <f>[1]!EM_S_IPO_LISTEDDATE(B1867)</f>
        <v>2017-08-08</v>
      </c>
    </row>
    <row r="1868" spans="1:46">
      <c r="A1868">
        <v>3477</v>
      </c>
      <c r="B1868" t="str">
        <f>"603656"</f>
        <v>603656</v>
      </c>
      <c r="C1868" t="s">
        <v>1757</v>
      </c>
      <c r="D1868" t="str">
        <f>[1]!EM_S_INFO_INDEX_EM(B1868,"1")</f>
        <v>机械设备</v>
      </c>
      <c r="E1868" s="4">
        <f t="shared" si="29"/>
        <v>43465</v>
      </c>
      <c r="F1868" s="11">
        <f>[1]!EM_S_PQ_PCTCHANGE(B1868,"2018-01-01","2019-12-31","3")</f>
        <v>-33.132004610000003</v>
      </c>
      <c r="G1868" s="11">
        <f>[1]!EM_S_PQ_PCTCHANGE(B1868,"2018-12-31","2019-12-30","1")</f>
        <v>7.72532189</v>
      </c>
      <c r="H1868" s="11">
        <f>[1]!EM_S_FA_YOY_OR(B1868,E1868)</f>
        <v>5.7635426264999996</v>
      </c>
      <c r="I1868" s="11">
        <f>[1]!EM_S_FA_GROSSPROFITMARGIN(B1868,E1868)</f>
        <v>53.344225238500002</v>
      </c>
      <c r="J1868" s="11">
        <f>[1]!EM_S_FA_NETPROFITMARGIN(B1868,E1868)</f>
        <v>19.735317333400001</v>
      </c>
      <c r="K1868" s="10">
        <f>[1]!EM_S_FA_ASSETSTURN(B1868,E1868)</f>
        <v>0.41750300159499998</v>
      </c>
      <c r="L1868" s="12">
        <f>[1]!EM_HKS_VAL_MV(B1868,"2019-12-31","2")</f>
        <v>2230246368</v>
      </c>
      <c r="M1868">
        <f>[1]!EM_S_VAL_PETTMDEDUCTED(B1868,E1868)</f>
        <v>31.2535824043579</v>
      </c>
      <c r="N1868" s="7">
        <f>[1]!EM_S_VAL_PBGOODWILLDEDUCTED(B1868,E1868)</f>
        <v>2.3587889474171799</v>
      </c>
      <c r="O1868" s="7">
        <f>[1]!EM_S_VAL_PS_TTM(B1868,E1868)</f>
        <v>5.1175626770583298</v>
      </c>
      <c r="P1868" s="7">
        <f>[1]!EM_S_VAL_PCF_NCFTTM(B1868,E1868)</f>
        <v>522.10418249830195</v>
      </c>
      <c r="Q1868" s="7">
        <f>[1]!EM_S_VAL_DIVIDENDYIELD2(B1868,E1868,"2019-11-29")</f>
        <v>0.78403421240199578</v>
      </c>
      <c r="T1868"/>
      <c r="U1868">
        <f>[1]!EM_S_RATIO_EPS_TTM(B1868,E1868,"1")</f>
        <v>0.54226380210852121</v>
      </c>
      <c r="AT1868" s="4" t="str">
        <f>[1]!EM_S_IPO_LISTEDDATE(B1868)</f>
        <v>2017-03-21</v>
      </c>
    </row>
    <row r="1869" spans="1:46">
      <c r="A1869">
        <v>3438</v>
      </c>
      <c r="B1869" t="str">
        <f>"603578"</f>
        <v>603578</v>
      </c>
      <c r="C1869" t="s">
        <v>639</v>
      </c>
      <c r="D1869" t="str">
        <f>[1]!EM_S_INFO_INDEX_EM(B1869,"1")</f>
        <v>家电</v>
      </c>
      <c r="E1869" s="4">
        <f t="shared" si="29"/>
        <v>43465</v>
      </c>
      <c r="F1869" s="11">
        <f>[1]!EM_S_PQ_PCTCHANGE(B1869,"2018-01-01","2019-12-31","3")</f>
        <v>-37.103909250000001</v>
      </c>
      <c r="G1869" s="11">
        <f>[1]!EM_S_PQ_PCTCHANGE(B1869,"2018-12-31","2019-12-30","1")</f>
        <v>7.7168706800000004</v>
      </c>
      <c r="H1869" s="11">
        <f>[1]!EM_S_FA_YOY_OR(B1869,E1869)</f>
        <v>9.2872743187999998</v>
      </c>
      <c r="I1869" s="11">
        <f>[1]!EM_S_FA_GROSSPROFITMARGIN(B1869,E1869)</f>
        <v>29.418192575599999</v>
      </c>
      <c r="J1869" s="11">
        <f>[1]!EM_S_FA_NETPROFITMARGIN(B1869,E1869)</f>
        <v>18.380739367</v>
      </c>
      <c r="K1869" s="10">
        <f>[1]!EM_S_FA_ASSETSTURN(B1869,E1869)</f>
        <v>0.52810359091400005</v>
      </c>
      <c r="L1869" s="12">
        <f>[1]!EM_HKS_VAL_MV(B1869,"2019-12-31","2")</f>
        <v>1792807076.0599999</v>
      </c>
      <c r="M1869">
        <f>[1]!EM_S_VAL_PETTMDEDUCTED(B1869,E1869)</f>
        <v>29.556005713817001</v>
      </c>
      <c r="N1869" s="7">
        <f>[1]!EM_S_VAL_PBGOODWILLDEDUCTED(B1869,E1869)</f>
        <v>3.11769863706626</v>
      </c>
      <c r="O1869" s="7">
        <f>[1]!EM_S_VAL_PS_TTM(B1869,E1869)</f>
        <v>5.0212817730401902</v>
      </c>
      <c r="P1869" s="7">
        <f>[1]!EM_S_VAL_PCF_NCFTTM(B1869,E1869)</f>
        <v>-17.928122836180499</v>
      </c>
      <c r="Q1869" s="7">
        <f>[1]!EM_S_VAL_DIVIDENDYIELD2(B1869,E1869,"2019-11-29")</f>
        <v>1.1260053619302948</v>
      </c>
      <c r="T1869"/>
      <c r="U1869">
        <f>[1]!EM_S_RATIO_EPS_TTM(B1869,E1869,"1")</f>
        <v>0.6706015185929648</v>
      </c>
      <c r="AT1869" s="4" t="str">
        <f>[1]!EM_S_IPO_LISTEDDATE(B1869)</f>
        <v>2017-03-06</v>
      </c>
    </row>
    <row r="1870" spans="1:46">
      <c r="A1870">
        <v>3612</v>
      </c>
      <c r="B1870" t="str">
        <f>"603938"</f>
        <v>603938</v>
      </c>
      <c r="C1870" t="s">
        <v>399</v>
      </c>
      <c r="D1870" t="str">
        <f>[1]!EM_S_INFO_INDEX_EM(B1870,"1")</f>
        <v>基础化工</v>
      </c>
      <c r="E1870" s="4">
        <f t="shared" si="29"/>
        <v>43465</v>
      </c>
      <c r="F1870" s="11">
        <f>[1]!EM_S_PQ_PCTCHANGE(B1870,"2018-01-01","2019-12-31","3")</f>
        <v>-47.284376330000001</v>
      </c>
      <c r="G1870" s="11">
        <f>[1]!EM_S_PQ_PCTCHANGE(B1870,"2018-12-31","2019-12-30","1")</f>
        <v>7.7167019000000003</v>
      </c>
      <c r="H1870" s="11">
        <f>[1]!EM_S_FA_YOY_OR(B1870,E1870)</f>
        <v>2.7636303726999998</v>
      </c>
      <c r="I1870" s="11">
        <f>[1]!EM_S_FA_GROSSPROFITMARGIN(B1870,E1870)</f>
        <v>26.940815708100001</v>
      </c>
      <c r="J1870" s="11">
        <f>[1]!EM_S_FA_NETPROFITMARGIN(B1870,E1870)</f>
        <v>10.241420765999999</v>
      </c>
      <c r="K1870" s="10">
        <f>[1]!EM_S_FA_ASSETSTURN(B1870,E1870)</f>
        <v>1.0075386025299999</v>
      </c>
      <c r="L1870" s="12">
        <f>[1]!EM_HKS_VAL_MV(B1870,"2019-12-31","2")</f>
        <v>3194043582</v>
      </c>
      <c r="M1870">
        <f>[1]!EM_S_VAL_PETTMDEDUCTED(B1870,E1870)</f>
        <v>23.176247740644001</v>
      </c>
      <c r="N1870" s="7">
        <f>[1]!EM_S_VAL_PBGOODWILLDEDUCTED(B1870,E1870)</f>
        <v>2.6804105415356698</v>
      </c>
      <c r="O1870" s="7">
        <f>[1]!EM_S_VAL_PS_TTM(B1870,E1870)</f>
        <v>2.5662310059972002</v>
      </c>
      <c r="P1870" s="7">
        <f>[1]!EM_S_VAL_PCF_NCFTTM(B1870,E1870)</f>
        <v>50.702287152548898</v>
      </c>
      <c r="Q1870" s="7">
        <f>[1]!EM_S_VAL_DIVIDENDYIELD2(B1870,E1870,"2019-11-29")</f>
        <v>0.98826436071649171</v>
      </c>
      <c r="T1870"/>
      <c r="U1870">
        <f>[1]!EM_S_RATIO_EPS_TTM(B1870,E1870,"1")</f>
        <v>0.75283167129042017</v>
      </c>
      <c r="AT1870" s="4" t="str">
        <f>[1]!EM_S_IPO_LISTEDDATE(B1870)</f>
        <v>2017-06-28</v>
      </c>
    </row>
    <row r="1871" spans="1:46">
      <c r="A1871">
        <v>1776</v>
      </c>
      <c r="B1871" t="str">
        <f>"300351"</f>
        <v>300351</v>
      </c>
      <c r="C1871" t="s">
        <v>1576</v>
      </c>
      <c r="D1871" t="str">
        <f>[1]!EM_S_INFO_INDEX_EM(B1871,"1")</f>
        <v>交运设备</v>
      </c>
      <c r="E1871" s="4">
        <f t="shared" si="29"/>
        <v>43465</v>
      </c>
      <c r="F1871" s="11">
        <f>[1]!EM_S_PQ_PCTCHANGE(B1871,"2018-01-01","2019-12-31","3")</f>
        <v>-37.60694213</v>
      </c>
      <c r="G1871" s="11">
        <f>[1]!EM_S_PQ_PCTCHANGE(B1871,"2018-12-31","2019-12-30","1")</f>
        <v>7.6923076899999998</v>
      </c>
      <c r="H1871" s="11">
        <f>[1]!EM_S_FA_YOY_OR(B1871,E1871)</f>
        <v>3.1390673997</v>
      </c>
      <c r="I1871" s="11">
        <f>[1]!EM_S_FA_GROSSPROFITMARGIN(B1871,E1871)</f>
        <v>35.531358596700002</v>
      </c>
      <c r="J1871" s="11">
        <f>[1]!EM_S_FA_NETPROFITMARGIN(B1871,E1871)</f>
        <v>-37.0549931157</v>
      </c>
      <c r="K1871" s="10">
        <f>[1]!EM_S_FA_ASSETSTURN(B1871,E1871)</f>
        <v>0.41905226845799998</v>
      </c>
      <c r="L1871" s="12">
        <f>[1]!EM_HKS_VAL_MV(B1871,"2019-12-31","2")</f>
        <v>3379884760.1700001</v>
      </c>
      <c r="M1871">
        <f>[1]!EM_S_VAL_PETTMDEDUCTED(B1871,E1871)</f>
        <v>19.023424202941001</v>
      </c>
      <c r="N1871" s="7">
        <f>[1]!EM_S_VAL_PBGOODWILLDEDUCTED(B1871,E1871)</f>
        <v>1.4964715027208</v>
      </c>
      <c r="O1871" s="7">
        <f>[1]!EM_S_VAL_PS_TTM(B1871,E1871)</f>
        <v>2.3742331578909899</v>
      </c>
      <c r="P1871" s="7">
        <f>[1]!EM_S_VAL_PCF_NCFTTM(B1871,E1871)</f>
        <v>-311.80981995082101</v>
      </c>
      <c r="Q1871" s="7">
        <f>[1]!EM_S_VAL_DIVIDENDYIELD2(B1871,E1871,"2019-11-29")</f>
        <v>0</v>
      </c>
      <c r="T1871"/>
      <c r="U1871">
        <f>[1]!EM_S_RATIO_EPS_TTM(B1871,E1871,"1")</f>
        <v>-1.1926780524657503</v>
      </c>
      <c r="AT1871" s="4" t="str">
        <f>[1]!EM_S_IPO_LISTEDDATE(B1871)</f>
        <v>2012-09-20</v>
      </c>
    </row>
    <row r="1872" spans="1:46">
      <c r="A1872">
        <v>2576</v>
      </c>
      <c r="B1872" t="str">
        <f>"600491"</f>
        <v>600491</v>
      </c>
      <c r="C1872" t="s">
        <v>592</v>
      </c>
      <c r="D1872" t="str">
        <f>[1]!EM_S_INFO_INDEX_EM(B1872,"1")</f>
        <v>建筑</v>
      </c>
      <c r="E1872" s="4">
        <f t="shared" si="29"/>
        <v>43465</v>
      </c>
      <c r="F1872" s="11">
        <f>[1]!EM_S_PQ_PCTCHANGE(B1872,"2018-01-01","2019-12-31","3")</f>
        <v>-21.601117420000001</v>
      </c>
      <c r="G1872" s="11">
        <f>[1]!EM_S_PQ_PCTCHANGE(B1872,"2018-12-31","2019-12-30","1")</f>
        <v>7.68094535</v>
      </c>
      <c r="H1872" s="11">
        <f>[1]!EM_S_FA_YOY_OR(B1872,E1872)</f>
        <v>13.0886678209</v>
      </c>
      <c r="I1872" s="11">
        <f>[1]!EM_S_FA_GROSSPROFITMARGIN(B1872,E1872)</f>
        <v>9.4549523222000005</v>
      </c>
      <c r="J1872" s="11">
        <f>[1]!EM_S_FA_NETPROFITMARGIN(B1872,E1872)</f>
        <v>4.6649730473000002</v>
      </c>
      <c r="K1872" s="10">
        <f>[1]!EM_S_FA_ASSETSTURN(B1872,E1872)</f>
        <v>0.45536505024899998</v>
      </c>
      <c r="L1872" s="12">
        <f>[1]!EM_HKS_VAL_MV(B1872,"2019-12-31","2")</f>
        <v>11182530651.049999</v>
      </c>
      <c r="M1872">
        <f>[1]!EM_S_VAL_PETTMDEDUCTED(B1872,E1872)</f>
        <v>14.4971974135744</v>
      </c>
      <c r="N1872" s="7">
        <f>[1]!EM_S_VAL_PBGOODWILLDEDUCTED(B1872,E1872)</f>
        <v>1.07423886715759</v>
      </c>
      <c r="O1872" s="7">
        <f>[1]!EM_S_VAL_PS_TTM(B1872,E1872)</f>
        <v>0.50651404342823103</v>
      </c>
      <c r="P1872" s="7">
        <f>[1]!EM_S_VAL_PCF_NCFTTM(B1872,E1872)</f>
        <v>9.47606278900078</v>
      </c>
      <c r="Q1872" s="7">
        <f>[1]!EM_S_VAL_DIVIDENDYIELD2(B1872,E1872,"2019-11-29")</f>
        <v>0.80753701211305517</v>
      </c>
      <c r="T1872"/>
      <c r="U1872">
        <f>[1]!EM_S_RATIO_EPS_TTM(B1872,E1872,"1")</f>
        <v>0.60283043432187933</v>
      </c>
      <c r="AT1872" s="4" t="str">
        <f>[1]!EM_S_IPO_LISTEDDATE(B1872)</f>
        <v>2004-05-24</v>
      </c>
    </row>
    <row r="1873" spans="1:46">
      <c r="A1873">
        <v>2355</v>
      </c>
      <c r="B1873" t="str">
        <f>"600220"</f>
        <v>600220</v>
      </c>
      <c r="C1873" t="s">
        <v>3320</v>
      </c>
      <c r="D1873" t="str">
        <f>[1]!EM_S_INFO_INDEX_EM(B1873,"1")</f>
        <v>纺织服装</v>
      </c>
      <c r="E1873" s="4">
        <f t="shared" si="29"/>
        <v>43465</v>
      </c>
      <c r="F1873" s="11">
        <f>[1]!EM_S_PQ_PCTCHANGE(B1873,"2018-01-01","2019-12-31","3")</f>
        <v>-24.613609919999998</v>
      </c>
      <c r="G1873" s="11">
        <f>[1]!EM_S_PQ_PCTCHANGE(B1873,"2018-12-31","2019-12-30","1")</f>
        <v>7.6190476199999999</v>
      </c>
      <c r="H1873" s="11">
        <f>[1]!EM_S_FA_YOY_OR(B1873,E1873)</f>
        <v>12.5281851401</v>
      </c>
      <c r="I1873" s="11">
        <f>[1]!EM_S_FA_GROSSPROFITMARGIN(B1873,E1873)</f>
        <v>21.476820286199999</v>
      </c>
      <c r="J1873" s="11">
        <f>[1]!EM_S_FA_NETPROFITMARGIN(B1873,E1873)</f>
        <v>6.2384987496999997</v>
      </c>
      <c r="K1873" s="10">
        <f>[1]!EM_S_FA_ASSETSTURN(B1873,E1873)</f>
        <v>0.50442312661900002</v>
      </c>
      <c r="L1873" s="12">
        <f>[1]!EM_HKS_VAL_MV(B1873,"2019-12-31","2")</f>
        <v>4066015943.2800002</v>
      </c>
      <c r="M1873">
        <f>[1]!EM_S_VAL_PETTMDEDUCTED(B1873,E1873)</f>
        <v>29.812623329353801</v>
      </c>
      <c r="N1873" s="7">
        <f>[1]!EM_S_VAL_PBGOODWILLDEDUCTED(B1873,E1873)</f>
        <v>1.7087339693128201</v>
      </c>
      <c r="O1873" s="7">
        <f>[1]!EM_S_VAL_PS_TTM(B1873,E1873)</f>
        <v>1.60829201638787</v>
      </c>
      <c r="P1873" s="7">
        <f>[1]!EM_S_VAL_PCF_NCFTTM(B1873,E1873)</f>
        <v>-10.835101852578401</v>
      </c>
      <c r="Q1873" s="7">
        <f>[1]!EM_S_VAL_DIVIDENDYIELD2(B1873,E1873,"2019-11-29")</f>
        <v>1.4018691588785048</v>
      </c>
      <c r="T1873"/>
      <c r="U1873">
        <f>[1]!EM_S_RATIO_EPS_TTM(B1873,E1873,"1")</f>
        <v>7.6253723536334139E-2</v>
      </c>
      <c r="AT1873" s="4" t="str">
        <f>[1]!EM_S_IPO_LISTEDDATE(B1873)</f>
        <v>1999-09-27</v>
      </c>
    </row>
    <row r="1874" spans="1:46">
      <c r="A1874">
        <v>1470</v>
      </c>
      <c r="B1874" t="str">
        <f>"300044"</f>
        <v>300044</v>
      </c>
      <c r="C1874" t="s">
        <v>1498</v>
      </c>
      <c r="D1874" t="str">
        <f>[1]!EM_S_INFO_INDEX_EM(B1874,"1")</f>
        <v>信息技术</v>
      </c>
      <c r="E1874" s="4">
        <f t="shared" si="29"/>
        <v>43465</v>
      </c>
      <c r="F1874" s="11">
        <f>[1]!EM_S_PQ_PCTCHANGE(B1874,"2018-01-01","2019-12-31","3")</f>
        <v>-21.846311050000001</v>
      </c>
      <c r="G1874" s="11">
        <f>[1]!EM_S_PQ_PCTCHANGE(B1874,"2018-12-31","2019-12-30","1")</f>
        <v>7.6033057900000003</v>
      </c>
      <c r="H1874" s="11">
        <f>[1]!EM_S_FA_YOY_OR(B1874,E1874)</f>
        <v>-15.3946570815</v>
      </c>
      <c r="I1874" s="11">
        <f>[1]!EM_S_FA_GROSSPROFITMARGIN(B1874,E1874)</f>
        <v>34.621885361300002</v>
      </c>
      <c r="J1874" s="11">
        <f>[1]!EM_S_FA_NETPROFITMARGIN(B1874,E1874)</f>
        <v>5.8329843706000002</v>
      </c>
      <c r="K1874" s="10">
        <f>[1]!EM_S_FA_ASSETSTURN(B1874,E1874)</f>
        <v>0.27982219350900001</v>
      </c>
      <c r="L1874" s="12">
        <f>[1]!EM_HKS_VAL_MV(B1874,"2019-12-31","2")</f>
        <v>5147150906.9200001</v>
      </c>
      <c r="M1874">
        <f>[1]!EM_S_VAL_PETTMDEDUCTED(B1874,E1874)</f>
        <v>30.969151175271499</v>
      </c>
      <c r="N1874" s="7">
        <f>[1]!EM_S_VAL_PBGOODWILLDEDUCTED(B1874,E1874)</f>
        <v>3.5380789530532102</v>
      </c>
      <c r="O1874" s="7">
        <f>[1]!EM_S_VAL_PS_TTM(B1874,E1874)</f>
        <v>3.34728681086257</v>
      </c>
      <c r="P1874" s="7">
        <f>[1]!EM_S_VAL_PCF_NCFTTM(B1874,E1874)</f>
        <v>144.88415999220101</v>
      </c>
      <c r="Q1874" s="7">
        <f>[1]!EM_S_VAL_DIVIDENDYIELD2(B1874,E1874,"2019-11-29")</f>
        <v>0.16393786222548701</v>
      </c>
      <c r="T1874"/>
      <c r="U1874">
        <f>[1]!EM_S_RATIO_EPS_TTM(B1874,E1874,"1")</f>
        <v>9.6821048524077663E-2</v>
      </c>
      <c r="AT1874" s="4" t="str">
        <f>[1]!EM_S_IPO_LISTEDDATE(B1874)</f>
        <v>2010-01-20</v>
      </c>
    </row>
    <row r="1875" spans="1:46">
      <c r="A1875">
        <v>3208</v>
      </c>
      <c r="B1875" t="str">
        <f>"603009"</f>
        <v>603009</v>
      </c>
      <c r="C1875" t="s">
        <v>1601</v>
      </c>
      <c r="D1875" t="str">
        <f>[1]!EM_S_INFO_INDEX_EM(B1875,"1")</f>
        <v>交运设备</v>
      </c>
      <c r="E1875" s="4">
        <f t="shared" si="29"/>
        <v>43465</v>
      </c>
      <c r="F1875" s="11">
        <f>[1]!EM_S_PQ_PCTCHANGE(B1875,"2018-01-01","2019-12-31","3")</f>
        <v>-39.141745350000001</v>
      </c>
      <c r="G1875" s="11">
        <f>[1]!EM_S_PQ_PCTCHANGE(B1875,"2018-12-31","2019-12-30","1")</f>
        <v>7.5993091499999998</v>
      </c>
      <c r="H1875" s="11">
        <f>[1]!EM_S_FA_YOY_OR(B1875,E1875)</f>
        <v>36.746494785099998</v>
      </c>
      <c r="I1875" s="11">
        <f>[1]!EM_S_FA_GROSSPROFITMARGIN(B1875,E1875)</f>
        <v>24.9398566614</v>
      </c>
      <c r="J1875" s="11">
        <f>[1]!EM_S_FA_NETPROFITMARGIN(B1875,E1875)</f>
        <v>4.1983849405999996</v>
      </c>
      <c r="K1875" s="10">
        <f>[1]!EM_S_FA_ASSETSTURN(B1875,E1875)</f>
        <v>0.499608820698</v>
      </c>
      <c r="L1875" s="12">
        <f>[1]!EM_HKS_VAL_MV(B1875,"2019-12-31","2")</f>
        <v>2229403370.1300001</v>
      </c>
      <c r="M1875">
        <f>[1]!EM_S_VAL_PETTMDEDUCTED(B1875,E1875)</f>
        <v>31.583269318700602</v>
      </c>
      <c r="N1875" s="7">
        <f>[1]!EM_S_VAL_PBGOODWILLDEDUCTED(B1875,E1875)</f>
        <v>1.4117069490981899</v>
      </c>
      <c r="O1875" s="7">
        <f>[1]!EM_S_VAL_PS_TTM(B1875,E1875)</f>
        <v>1.77640271227657</v>
      </c>
      <c r="P1875" s="7">
        <f>[1]!EM_S_VAL_PCF_NCFTTM(B1875,E1875)</f>
        <v>24.126002563802398</v>
      </c>
      <c r="Q1875" s="7">
        <f>[1]!EM_S_VAL_DIVIDENDYIELD2(B1875,E1875,"2019-11-29")</f>
        <v>0.65828622521619562</v>
      </c>
      <c r="T1875"/>
      <c r="U1875">
        <f>[1]!EM_S_RATIO_EPS_TTM(B1875,E1875,"1")</f>
        <v>0.15635846212602189</v>
      </c>
      <c r="AT1875" s="4" t="str">
        <f>[1]!EM_S_IPO_LISTEDDATE(B1875)</f>
        <v>2014-07-18</v>
      </c>
    </row>
    <row r="1876" spans="1:46">
      <c r="A1876">
        <v>2037</v>
      </c>
      <c r="B1876" t="str">
        <f>"300618"</f>
        <v>300618</v>
      </c>
      <c r="C1876" t="s">
        <v>49</v>
      </c>
      <c r="D1876" t="str">
        <f>[1]!EM_S_INFO_INDEX_EM(B1876,"1")</f>
        <v>有色金属</v>
      </c>
      <c r="E1876" s="4">
        <f t="shared" si="29"/>
        <v>43465</v>
      </c>
      <c r="F1876" s="11">
        <f>[1]!EM_S_PQ_PCTCHANGE(B1876,"2018-01-01","2019-12-31","3")</f>
        <v>-20.245955550000001</v>
      </c>
      <c r="G1876" s="11">
        <f>[1]!EM_S_PQ_PCTCHANGE(B1876,"2018-12-31","2019-12-30","1")</f>
        <v>7.5863930899999996</v>
      </c>
      <c r="H1876" s="11">
        <f>[1]!EM_S_FA_YOY_OR(B1876,E1876)</f>
        <v>89.942924235999996</v>
      </c>
      <c r="I1876" s="11">
        <f>[1]!EM_S_FA_GROSSPROFITMARGIN(B1876,E1876)</f>
        <v>45.299460147600001</v>
      </c>
      <c r="J1876" s="11">
        <f>[1]!EM_S_FA_NETPROFITMARGIN(B1876,E1876)</f>
        <v>25.307023174600001</v>
      </c>
      <c r="K1876" s="10">
        <f>[1]!EM_S_FA_ASSETSTURN(B1876,E1876)</f>
        <v>0.98942386177700004</v>
      </c>
      <c r="L1876" s="12">
        <f>[1]!EM_HKS_VAL_MV(B1876,"2019-12-31","2")</f>
        <v>22150159900.330002</v>
      </c>
      <c r="M1876">
        <f>[1]!EM_S_VAL_PETTMDEDUCTED(B1876,E1876)</f>
        <v>16.969324231584199</v>
      </c>
      <c r="N1876" s="7">
        <f>[1]!EM_S_VAL_PBGOODWILLDEDUCTED(B1876,E1876)</f>
        <v>8.0091778186799605</v>
      </c>
      <c r="O1876" s="7">
        <f>[1]!EM_S_VAL_PS_TTM(B1876,E1876)</f>
        <v>5.3250536057416102</v>
      </c>
      <c r="P1876" s="7">
        <f>[1]!EM_S_VAL_PCF_NCFTTM(B1876,E1876)</f>
        <v>120.616651122785</v>
      </c>
      <c r="Q1876" s="7">
        <f>[1]!EM_S_VAL_DIVIDENDYIELD2(B1876,E1876,"2019-11-29")</f>
        <v>1.0911311743987231</v>
      </c>
      <c r="U1876">
        <f>[1]!EM_S_RATIO_EPS_TTM(B1876,E1876,"1")</f>
        <v>3.6855652652604163</v>
      </c>
      <c r="AT1876" s="4" t="str">
        <f>[1]!EM_S_IPO_LISTEDDATE(B1876)</f>
        <v>2017-03-06</v>
      </c>
    </row>
    <row r="1877" spans="1:46">
      <c r="A1877">
        <v>1213</v>
      </c>
      <c r="B1877" t="str">
        <f>"002702"</f>
        <v>002702</v>
      </c>
      <c r="C1877" t="s">
        <v>1685</v>
      </c>
      <c r="D1877" t="str">
        <f>[1]!EM_S_INFO_INDEX_EM(B1877,"1")</f>
        <v>食品饮料</v>
      </c>
      <c r="E1877" s="4">
        <f t="shared" si="29"/>
        <v>43465</v>
      </c>
      <c r="F1877" s="11">
        <f>[1]!EM_S_PQ_PCTCHANGE(B1877,"2018-01-01","2019-12-31","3")</f>
        <v>-17.488706140000001</v>
      </c>
      <c r="G1877" s="11">
        <f>[1]!EM_S_PQ_PCTCHANGE(B1877,"2018-12-31","2019-12-30","1")</f>
        <v>7.5187969900000002</v>
      </c>
      <c r="H1877" s="11">
        <f>[1]!EM_S_FA_YOY_OR(B1877,E1877)</f>
        <v>18.239750200300001</v>
      </c>
      <c r="I1877" s="11">
        <f>[1]!EM_S_FA_GROSSPROFITMARGIN(B1877,E1877)</f>
        <v>33.276844425999997</v>
      </c>
      <c r="J1877" s="11">
        <f>[1]!EM_S_FA_NETPROFITMARGIN(B1877,E1877)</f>
        <v>3.0488511495999999</v>
      </c>
      <c r="K1877" s="10">
        <f>[1]!EM_S_FA_ASSETSTURN(B1877,E1877)</f>
        <v>1.0274676978899999</v>
      </c>
      <c r="L1877" s="12">
        <f>[1]!EM_HKS_VAL_MV(B1877,"2019-12-31","2")</f>
        <v>2072075600</v>
      </c>
      <c r="M1877">
        <f>[1]!EM_S_VAL_PETTMDEDUCTED(B1877,E1877)</f>
        <v>107.647462333768</v>
      </c>
      <c r="N1877" s="7">
        <f>[1]!EM_S_VAL_PBGOODWILLDEDUCTED(B1877,E1877)</f>
        <v>2.5241187112230201</v>
      </c>
      <c r="O1877" s="7">
        <f>[1]!EM_S_VAL_PS_TTM(B1877,E1877)</f>
        <v>1.7535100728031501</v>
      </c>
      <c r="P1877" s="7">
        <f>[1]!EM_S_VAL_PCF_NCFTTM(B1877,E1877)</f>
        <v>-3205.7472920775399</v>
      </c>
      <c r="Q1877" s="7">
        <f>[1]!EM_S_VAL_DIVIDENDYIELD2(B1877,E1877,"2019-11-29")</f>
        <v>1.2315270935960592</v>
      </c>
      <c r="T1877"/>
      <c r="U1877">
        <f>[1]!EM_S_RATIO_EPS_TTM(B1877,E1877,"1")</f>
        <v>7.2581949455029549E-2</v>
      </c>
      <c r="AT1877" s="4" t="str">
        <f>[1]!EM_S_IPO_LISTEDDATE(B1877)</f>
        <v>2012-10-11</v>
      </c>
    </row>
    <row r="1878" spans="1:46">
      <c r="A1878">
        <v>2723</v>
      </c>
      <c r="B1878" t="str">
        <f>"600650"</f>
        <v>600650</v>
      </c>
      <c r="C1878" t="s">
        <v>1185</v>
      </c>
      <c r="D1878" t="str">
        <f>[1]!EM_S_INFO_INDEX_EM(B1878,"1")</f>
        <v>交通运输</v>
      </c>
      <c r="E1878" s="4">
        <f t="shared" si="29"/>
        <v>43465</v>
      </c>
      <c r="F1878" s="11">
        <f>[1]!EM_S_PQ_PCTCHANGE(B1878,"2018-01-01","2019-12-31","3")</f>
        <v>-26.929045599999998</v>
      </c>
      <c r="G1878" s="11">
        <f>[1]!EM_S_PQ_PCTCHANGE(B1878,"2018-12-31","2019-12-30","1")</f>
        <v>7.5132275100000001</v>
      </c>
      <c r="H1878" s="11">
        <f>[1]!EM_S_FA_YOY_OR(B1878,E1878)</f>
        <v>2.8142901048</v>
      </c>
      <c r="I1878" s="11">
        <f>[1]!EM_S_FA_GROSSPROFITMARGIN(B1878,E1878)</f>
        <v>17.597963733899999</v>
      </c>
      <c r="J1878" s="11">
        <f>[1]!EM_S_FA_NETPROFITMARGIN(B1878,E1878)</f>
        <v>13.0430570359</v>
      </c>
      <c r="K1878" s="10">
        <f>[1]!EM_S_FA_ASSETSTURN(B1878,E1878)</f>
        <v>0.53796365375999999</v>
      </c>
      <c r="L1878" s="12">
        <f>[1]!EM_HKS_VAL_MV(B1878,"2019-12-31","2")</f>
        <v>5598842586.0500002</v>
      </c>
      <c r="M1878">
        <f>[1]!EM_S_VAL_PETTMDEDUCTED(B1878,E1878)</f>
        <v>22.785037661778301</v>
      </c>
      <c r="N1878" s="7">
        <f>[1]!EM_S_VAL_PBGOODWILLDEDUCTED(B1878,E1878)</f>
        <v>1.60744315423869</v>
      </c>
      <c r="O1878" s="7">
        <f>[1]!EM_S_VAL_PS_TTM(B1878,E1878)</f>
        <v>2.21572027506501</v>
      </c>
      <c r="P1878" s="7">
        <f>[1]!EM_S_VAL_PCF_NCFTTM(B1878,E1878)</f>
        <v>-1037.2817911560801</v>
      </c>
      <c r="Q1878" s="7">
        <f>[1]!EM_S_VAL_DIVIDENDYIELD2(B1878,E1878,"2019-11-29")</f>
        <v>2.5826446280991737</v>
      </c>
      <c r="T1878"/>
      <c r="U1878">
        <f>[1]!EM_S_RATIO_EPS_TTM(B1878,E1878,"1")</f>
        <v>0.48420699401724343</v>
      </c>
      <c r="AT1878" s="4" t="str">
        <f>[1]!EM_S_IPO_LISTEDDATE(B1878)</f>
        <v>1993-06-07</v>
      </c>
    </row>
    <row r="1879" spans="1:46">
      <c r="A1879">
        <v>1750</v>
      </c>
      <c r="B1879" t="str">
        <f>"300325"</f>
        <v>300325</v>
      </c>
      <c r="C1879" t="s">
        <v>2105</v>
      </c>
      <c r="D1879" t="str">
        <f>[1]!EM_S_INFO_INDEX_EM(B1879,"1")</f>
        <v>基础化工</v>
      </c>
      <c r="E1879" s="4">
        <f t="shared" si="29"/>
        <v>43465</v>
      </c>
      <c r="F1879" s="11">
        <f>[1]!EM_S_PQ_PCTCHANGE(B1879,"2018-01-01","2019-12-31","3")</f>
        <v>-49.125731940000001</v>
      </c>
      <c r="G1879" s="11">
        <f>[1]!EM_S_PQ_PCTCHANGE(B1879,"2018-12-31","2019-12-30","1")</f>
        <v>7.4433657000000002</v>
      </c>
      <c r="H1879" s="11">
        <f>[1]!EM_S_FA_YOY_OR(B1879,E1879)</f>
        <v>22.744827238700001</v>
      </c>
      <c r="I1879" s="11">
        <f>[1]!EM_S_FA_GROSSPROFITMARGIN(B1879,E1879)</f>
        <v>13.353974863199999</v>
      </c>
      <c r="J1879" s="11">
        <f>[1]!EM_S_FA_NETPROFITMARGIN(B1879,E1879)</f>
        <v>-4.0620274833999996</v>
      </c>
      <c r="K1879" s="10">
        <f>[1]!EM_S_FA_ASSETSTURN(B1879,E1879)</f>
        <v>0.50095996588199998</v>
      </c>
      <c r="L1879" s="12">
        <f>[1]!EM_HKS_VAL_MV(B1879,"2019-12-31","2")</f>
        <v>3168090717.75</v>
      </c>
      <c r="M1879">
        <f>[1]!EM_S_VAL_PETTMDEDUCTED(B1879,E1879)</f>
        <v>242.212076129986</v>
      </c>
      <c r="N1879" s="7">
        <f>[1]!EM_S_VAL_PBGOODWILLDEDUCTED(B1879,E1879)</f>
        <v>2.8554253898658799</v>
      </c>
      <c r="O1879" s="7">
        <f>[1]!EM_S_VAL_PS_TTM(B1879,E1879)</f>
        <v>1.39656222918438</v>
      </c>
      <c r="P1879" s="7">
        <f>[1]!EM_S_VAL_PCF_NCFTTM(B1879,E1879)</f>
        <v>-11.404302824587001</v>
      </c>
      <c r="Q1879" s="7">
        <f>[1]!EM_S_VAL_DIVIDENDYIELD2(B1879,E1879,"2019-11-29")</f>
        <v>0</v>
      </c>
      <c r="T1879"/>
      <c r="U1879">
        <f>[1]!EM_S_RATIO_EPS_TTM(B1879,E1879,"1")</f>
        <v>-0.10014356135493589</v>
      </c>
      <c r="AT1879" s="4" t="str">
        <f>[1]!EM_S_IPO_LISTEDDATE(B1879)</f>
        <v>2012-06-01</v>
      </c>
    </row>
    <row r="1880" spans="1:46">
      <c r="A1880">
        <v>3623</v>
      </c>
      <c r="B1880" t="str">
        <f>"603976"</f>
        <v>603976</v>
      </c>
      <c r="C1880" t="s">
        <v>1249</v>
      </c>
      <c r="D1880" t="str">
        <f>[1]!EM_S_INFO_INDEX_EM(B1880,"1")</f>
        <v>医药生物</v>
      </c>
      <c r="E1880" s="4">
        <f t="shared" si="29"/>
        <v>43465</v>
      </c>
      <c r="F1880" s="11">
        <f>[1]!EM_S_PQ_PCTCHANGE(B1880,"2018-01-01","2019-12-31","3")</f>
        <v>-9.7544831100000007</v>
      </c>
      <c r="G1880" s="11">
        <f>[1]!EM_S_PQ_PCTCHANGE(B1880,"2018-12-31","2019-12-30","1")</f>
        <v>7.4233128800000001</v>
      </c>
      <c r="H1880" s="11">
        <f>[1]!EM_S_FA_YOY_OR(B1880,E1880)</f>
        <v>17.122638455800001</v>
      </c>
      <c r="I1880" s="11">
        <f>[1]!EM_S_FA_GROSSPROFITMARGIN(B1880,E1880)</f>
        <v>28.6680789485</v>
      </c>
      <c r="J1880" s="11">
        <f>[1]!EM_S_FA_NETPROFITMARGIN(B1880,E1880)</f>
        <v>13.8921156114</v>
      </c>
      <c r="K1880" s="10">
        <f>[1]!EM_S_FA_ASSETSTURN(B1880,E1880)</f>
        <v>0.54454528901099997</v>
      </c>
      <c r="L1880" s="12">
        <f>[1]!EM_HKS_VAL_MV(B1880,"2019-12-31","2")</f>
        <v>2636928000</v>
      </c>
      <c r="M1880">
        <f>[1]!EM_S_VAL_PETTMDEDUCTED(B1880,E1880)</f>
        <v>30.036312707220901</v>
      </c>
      <c r="N1880" s="7">
        <f>[1]!EM_S_VAL_PBGOODWILLDEDUCTED(B1880,E1880)</f>
        <v>2.4969725172242301</v>
      </c>
      <c r="O1880" s="7">
        <f>[1]!EM_S_VAL_PS_TTM(B1880,E1880)</f>
        <v>4.2427419109801896</v>
      </c>
      <c r="P1880" s="7">
        <f>[1]!EM_S_VAL_PCF_NCFTTM(B1880,E1880)</f>
        <v>-40.805343306124598</v>
      </c>
      <c r="Q1880" s="7">
        <f>[1]!EM_S_VAL_DIVIDENDYIELD2(B1880,E1880,"2019-11-29")</f>
        <v>0.32867707477403452</v>
      </c>
      <c r="T1880"/>
      <c r="U1880">
        <f>[1]!EM_S_RATIO_EPS_TTM(B1880,E1880,"1")</f>
        <v>0.54739833597883603</v>
      </c>
      <c r="AT1880" s="4" t="str">
        <f>[1]!EM_S_IPO_LISTEDDATE(B1880)</f>
        <v>2017-08-22</v>
      </c>
    </row>
    <row r="1881" spans="1:46">
      <c r="A1881">
        <v>1123</v>
      </c>
      <c r="B1881" t="str">
        <f>"002612"</f>
        <v>002612</v>
      </c>
      <c r="C1881" t="s">
        <v>1207</v>
      </c>
      <c r="D1881" t="str">
        <f>[1]!EM_S_INFO_INDEX_EM(B1881,"1")</f>
        <v>纺织服装</v>
      </c>
      <c r="E1881" s="4">
        <f t="shared" si="29"/>
        <v>43465</v>
      </c>
      <c r="F1881" s="11">
        <f>[1]!EM_S_PQ_PCTCHANGE(B1881,"2018-01-01","2019-12-31","3")</f>
        <v>-7.5593175600000002</v>
      </c>
      <c r="G1881" s="11">
        <f>[1]!EM_S_PQ_PCTCHANGE(B1881,"2018-12-31","2019-12-30","1")</f>
        <v>7.4031890699999998</v>
      </c>
      <c r="H1881" s="11">
        <f>[1]!EM_S_FA_YOY_OR(B1881,E1881)</f>
        <v>13.1002597134</v>
      </c>
      <c r="I1881" s="11">
        <f>[1]!EM_S_FA_GROSSPROFITMARGIN(B1881,E1881)</f>
        <v>57.947746661399997</v>
      </c>
      <c r="J1881" s="11">
        <f>[1]!EM_S_FA_NETPROFITMARGIN(B1881,E1881)</f>
        <v>7.6774320484</v>
      </c>
      <c r="K1881" s="10">
        <f>[1]!EM_S_FA_ASSETSTURN(B1881,E1881)</f>
        <v>0.37433872760499998</v>
      </c>
      <c r="L1881" s="12">
        <f>[1]!EM_HKS_VAL_MV(B1881,"2019-12-31","2")</f>
        <v>4228887631.6799998</v>
      </c>
      <c r="M1881">
        <f>[1]!EM_S_VAL_PETTMDEDUCTED(B1881,E1881)</f>
        <v>14.8557045355646</v>
      </c>
      <c r="N1881" s="7">
        <f>[1]!EM_S_VAL_PBGOODWILLDEDUCTED(B1881,E1881)</f>
        <v>1.5748763833778101</v>
      </c>
      <c r="O1881" s="7">
        <f>[1]!EM_S_VAL_PS_TTM(B1881,E1881)</f>
        <v>1.2984822615438001</v>
      </c>
      <c r="P1881" s="7">
        <f>[1]!EM_S_VAL_PCF_NCFTTM(B1881,E1881)</f>
        <v>26.974024436973199</v>
      </c>
      <c r="Q1881" s="7">
        <f>[1]!EM_S_VAL_DIVIDENDYIELD2(B1881,E1881,"2019-11-29")</f>
        <v>1.6756817305218445</v>
      </c>
      <c r="T1881"/>
      <c r="U1881">
        <f>[1]!EM_S_RATIO_EPS_TTM(B1881,E1881,"1")</f>
        <v>0.52613272412500001</v>
      </c>
      <c r="AT1881" s="4" t="str">
        <f>[1]!EM_S_IPO_LISTEDDATE(B1881)</f>
        <v>2011-08-30</v>
      </c>
    </row>
    <row r="1882" spans="1:46">
      <c r="A1882">
        <v>1178</v>
      </c>
      <c r="B1882" t="str">
        <f>"002667"</f>
        <v>002667</v>
      </c>
      <c r="C1882" t="s">
        <v>2027</v>
      </c>
      <c r="D1882" t="str">
        <f>[1]!EM_S_INFO_INDEX_EM(B1882,"1")</f>
        <v>机械设备</v>
      </c>
      <c r="E1882" s="4">
        <f t="shared" si="29"/>
        <v>43465</v>
      </c>
      <c r="F1882" s="11">
        <f>[1]!EM_S_PQ_PCTCHANGE(B1882,"2018-01-01","2019-12-31","3")</f>
        <v>-28.896651030000001</v>
      </c>
      <c r="G1882" s="11">
        <f>[1]!EM_S_PQ_PCTCHANGE(B1882,"2018-12-31","2019-12-30","1")</f>
        <v>7.3170731699999996</v>
      </c>
      <c r="H1882" s="11">
        <f>[1]!EM_S_FA_YOY_OR(B1882,E1882)</f>
        <v>2.5119143658</v>
      </c>
      <c r="I1882" s="11">
        <f>[1]!EM_S_FA_GROSSPROFITMARGIN(B1882,E1882)</f>
        <v>41.054527359300003</v>
      </c>
      <c r="J1882" s="11">
        <f>[1]!EM_S_FA_NETPROFITMARGIN(B1882,E1882)</f>
        <v>6.1265131951000003</v>
      </c>
      <c r="K1882" s="10">
        <f>[1]!EM_S_FA_ASSETSTURN(B1882,E1882)</f>
        <v>0.20409740725700001</v>
      </c>
      <c r="L1882" s="12">
        <f>[1]!EM_HKS_VAL_MV(B1882,"2019-12-31","2")</f>
        <v>1620235320</v>
      </c>
      <c r="M1882">
        <f>[1]!EM_S_VAL_PETTMDEDUCTED(B1882,E1882)</f>
        <v>264.06888169705201</v>
      </c>
      <c r="N1882" s="7">
        <f>[1]!EM_S_VAL_PBGOODWILLDEDUCTED(B1882,E1882)</f>
        <v>1.9741784026581899</v>
      </c>
      <c r="O1882" s="7">
        <f>[1]!EM_S_VAL_PS_TTM(B1882,E1882)</f>
        <v>7.8913653285749401</v>
      </c>
      <c r="P1882" s="7">
        <f>[1]!EM_S_VAL_PCF_NCFTTM(B1882,E1882)</f>
        <v>-42.613045549750602</v>
      </c>
      <c r="Q1882" s="7">
        <f>[1]!EM_S_VAL_DIVIDENDYIELD2(B1882,E1882,"2019-11-29")</f>
        <v>0.15060240963855423</v>
      </c>
      <c r="T1882"/>
      <c r="U1882">
        <f>[1]!EM_S_RATIO_EPS_TTM(B1882,E1882,"1")</f>
        <v>5.4519098783379197E-2</v>
      </c>
      <c r="AT1882" s="4" t="str">
        <f>[1]!EM_S_IPO_LISTEDDATE(B1882)</f>
        <v>2012-03-29</v>
      </c>
    </row>
    <row r="1883" spans="1:46">
      <c r="A1883">
        <v>2635</v>
      </c>
      <c r="B1883" t="str">
        <f>"600560"</f>
        <v>600560</v>
      </c>
      <c r="C1883" t="s">
        <v>2610</v>
      </c>
      <c r="D1883" t="str">
        <f>[1]!EM_S_INFO_INDEX_EM(B1883,"1")</f>
        <v>机械设备</v>
      </c>
      <c r="E1883" s="4">
        <f t="shared" si="29"/>
        <v>43465</v>
      </c>
      <c r="F1883" s="11">
        <f>[1]!EM_S_PQ_PCTCHANGE(B1883,"2018-01-01","2019-12-31","3")</f>
        <v>-15.808143469999999</v>
      </c>
      <c r="G1883" s="11">
        <f>[1]!EM_S_PQ_PCTCHANGE(B1883,"2018-12-31","2019-12-30","1")</f>
        <v>7.3019802</v>
      </c>
      <c r="H1883" s="11">
        <f>[1]!EM_S_FA_YOY_OR(B1883,E1883)</f>
        <v>4.0507824434000002</v>
      </c>
      <c r="I1883" s="11">
        <f>[1]!EM_S_FA_GROSSPROFITMARGIN(B1883,E1883)</f>
        <v>26.177821698100001</v>
      </c>
      <c r="J1883" s="11">
        <f>[1]!EM_S_FA_NETPROFITMARGIN(B1883,E1883)</f>
        <v>4.1648303562000004</v>
      </c>
      <c r="K1883" s="10">
        <f>[1]!EM_S_FA_ASSETSTURN(B1883,E1883)</f>
        <v>0.339286699563</v>
      </c>
      <c r="L1883" s="12">
        <f>[1]!EM_HKS_VAL_MV(B1883,"2019-12-31","2")</f>
        <v>1945715850</v>
      </c>
      <c r="M1883">
        <f>[1]!EM_S_VAL_PETTMDEDUCTED(B1883,E1883)</f>
        <v>115.12518356948</v>
      </c>
      <c r="N1883" s="7">
        <f>[1]!EM_S_VAL_PBGOODWILLDEDUCTED(B1883,E1883)</f>
        <v>2.3865875163472001</v>
      </c>
      <c r="O1883" s="7">
        <f>[1]!EM_S_VAL_PS_TTM(B1883,E1883)</f>
        <v>3.1797983118014801</v>
      </c>
      <c r="P1883" s="7">
        <f>[1]!EM_S_VAL_PCF_NCFTTM(B1883,E1883)</f>
        <v>-54.032711939500302</v>
      </c>
      <c r="Q1883" s="7">
        <f>[1]!EM_S_VAL_DIVIDENDYIELD2(B1883,E1883,"2019-11-29")</f>
        <v>0.35626535626535627</v>
      </c>
      <c r="T1883"/>
      <c r="U1883">
        <f>[1]!EM_S_RATIO_EPS_TTM(B1883,E1883,"1")</f>
        <v>9.3925444732847294E-2</v>
      </c>
      <c r="AT1883" s="4" t="str">
        <f>[1]!EM_S_IPO_LISTEDDATE(B1883)</f>
        <v>2002-09-19</v>
      </c>
    </row>
    <row r="1884" spans="1:46">
      <c r="A1884">
        <v>2529</v>
      </c>
      <c r="B1884" t="str">
        <f>"600421"</f>
        <v>600421</v>
      </c>
      <c r="C1884" t="s">
        <v>3664</v>
      </c>
      <c r="D1884" t="str">
        <f>[1]!EM_S_INFO_INDEX_EM(B1884,"1")</f>
        <v>休闲、生活及专业服务</v>
      </c>
      <c r="E1884" s="4">
        <f t="shared" si="29"/>
        <v>43465</v>
      </c>
      <c r="F1884" s="11">
        <f>[1]!EM_S_PQ_PCTCHANGE(B1884,"2018-01-01","2019-12-31","3")</f>
        <v>-30.017152660000001</v>
      </c>
      <c r="G1884" s="11">
        <f>[1]!EM_S_PQ_PCTCHANGE(B1884,"2018-12-31","2019-12-30","1")</f>
        <v>7.1801566599999997</v>
      </c>
      <c r="H1884" s="11">
        <f>[1]!EM_S_FA_YOY_OR(B1884,E1884)</f>
        <v>-96.514431588099995</v>
      </c>
      <c r="I1884" s="11">
        <f>[1]!EM_S_FA_GROSSPROFITMARGIN(B1884,E1884)</f>
        <v>68.307596864299995</v>
      </c>
      <c r="J1884" s="11">
        <f>[1]!EM_S_FA_NETPROFITMARGIN(B1884,E1884)</f>
        <v>-1107.4332716495001</v>
      </c>
      <c r="K1884" s="10">
        <f>[1]!EM_S_FA_ASSETSTURN(B1884,E1884)</f>
        <v>1.9971662074000002E-2</v>
      </c>
      <c r="L1884" s="12">
        <f>[1]!EM_HKS_VAL_MV(B1884,"2019-12-31","2")</f>
        <v>1596096000</v>
      </c>
      <c r="M1884">
        <f>[1]!EM_S_VAL_PETTMDEDUCTED(B1884,E1884)</f>
        <v>-151.814031957049</v>
      </c>
      <c r="N1884" s="7">
        <f>[1]!EM_S_VAL_PBGOODWILLDEDUCTED(B1884,E1884)</f>
        <v>702.62515772061204</v>
      </c>
      <c r="O1884" s="7">
        <f>[1]!EM_S_VAL_PS_TTM(B1884,E1884)</f>
        <v>429.21252477517999</v>
      </c>
      <c r="P1884" s="7">
        <f>[1]!EM_S_VAL_PCF_NCFTTM(B1884,E1884)</f>
        <v>-827.53060672896697</v>
      </c>
      <c r="Q1884" s="7">
        <f>[1]!EM_S_VAL_DIVIDENDYIELD2(B1884,E1884,"2019-11-29")</f>
        <v>0</v>
      </c>
      <c r="T1884"/>
      <c r="U1884">
        <f>[1]!EM_S_RATIO_EPS_TTM(B1884,E1884,"1")</f>
        <v>-4.5654463496932515E-2</v>
      </c>
      <c r="AT1884" s="4" t="str">
        <f>[1]!EM_S_IPO_LISTEDDATE(B1884)</f>
        <v>2004-06-07</v>
      </c>
    </row>
    <row r="1885" spans="1:46">
      <c r="A1885">
        <v>2582</v>
      </c>
      <c r="B1885" t="str">
        <f>"600499"</f>
        <v>600499</v>
      </c>
      <c r="C1885" t="s">
        <v>715</v>
      </c>
      <c r="D1885" t="str">
        <f>[1]!EM_S_INFO_INDEX_EM(B1885,"1")</f>
        <v>机械设备</v>
      </c>
      <c r="E1885" s="4">
        <f t="shared" si="29"/>
        <v>43465</v>
      </c>
      <c r="F1885" s="11">
        <f>[1]!EM_S_PQ_PCTCHANGE(B1885,"2018-01-01","2019-12-31","3")</f>
        <v>-60.705532689999998</v>
      </c>
      <c r="G1885" s="11">
        <f>[1]!EM_S_PQ_PCTCHANGE(B1885,"2018-12-31","2019-12-30","1")</f>
        <v>7.1782178200000004</v>
      </c>
      <c r="H1885" s="11">
        <f>[1]!EM_S_FA_YOY_OR(B1885,E1885)</f>
        <v>5.9758005256000004</v>
      </c>
      <c r="I1885" s="11">
        <f>[1]!EM_S_FA_GROSSPROFITMARGIN(B1885,E1885)</f>
        <v>20.570523399599999</v>
      </c>
      <c r="J1885" s="11">
        <f>[1]!EM_S_FA_NETPROFITMARGIN(B1885,E1885)</f>
        <v>-8.4726047585999993</v>
      </c>
      <c r="K1885" s="10">
        <f>[1]!EM_S_FA_ASSETSTURN(B1885,E1885)</f>
        <v>0.49681805336099999</v>
      </c>
      <c r="L1885" s="12">
        <f>[1]!EM_HKS_VAL_MV(B1885,"2019-12-31","2")</f>
        <v>6829300689.6599998</v>
      </c>
      <c r="M1885">
        <f>[1]!EM_S_VAL_PETTMDEDUCTED(B1885,E1885)</f>
        <v>31.9586750109465</v>
      </c>
      <c r="N1885" s="7">
        <f>[1]!EM_S_VAL_PBGOODWILLDEDUCTED(B1885,E1885)</f>
        <v>1.72039932241868</v>
      </c>
      <c r="O1885" s="7">
        <f>[1]!EM_S_VAL_PS_TTM(B1885,E1885)</f>
        <v>1.0190377003018201</v>
      </c>
      <c r="P1885" s="7">
        <f>[1]!EM_S_VAL_PCF_NCFTTM(B1885,E1885)</f>
        <v>21.592929816845899</v>
      </c>
      <c r="Q1885" s="7">
        <f>[1]!EM_S_VAL_DIVIDENDYIELD2(B1885,E1885,"2019-11-29")</f>
        <v>0</v>
      </c>
      <c r="T1885"/>
      <c r="U1885">
        <f>[1]!EM_S_RATIO_EPS_TTM(B1885,E1885,"1")</f>
        <v>-0.37317806671231524</v>
      </c>
      <c r="AT1885" s="4" t="str">
        <f>[1]!EM_S_IPO_LISTEDDATE(B1885)</f>
        <v>2002-10-10</v>
      </c>
    </row>
    <row r="1886" spans="1:46">
      <c r="A1886">
        <v>2143</v>
      </c>
      <c r="B1886" t="str">
        <f>"300729"</f>
        <v>300729</v>
      </c>
      <c r="C1886" t="s">
        <v>1384</v>
      </c>
      <c r="D1886" t="str">
        <f>[1]!EM_S_INFO_INDEX_EM(B1886,"1")</f>
        <v>轻工制造</v>
      </c>
      <c r="E1886" s="4">
        <f t="shared" si="29"/>
        <v>43465</v>
      </c>
      <c r="F1886" s="11">
        <f>[1]!EM_S_PQ_PCTCHANGE(B1886,"2018-01-01","2019-12-31","3")</f>
        <v>-25.096048710000002</v>
      </c>
      <c r="G1886" s="11">
        <f>[1]!EM_S_PQ_PCTCHANGE(B1886,"2018-12-31","2019-12-30","1")</f>
        <v>7.1428571400000003</v>
      </c>
      <c r="H1886" s="11">
        <f>[1]!EM_S_FA_YOY_OR(B1886,E1886)</f>
        <v>26.602957162199999</v>
      </c>
      <c r="I1886" s="11">
        <f>[1]!EM_S_FA_GROSSPROFITMARGIN(B1886,E1886)</f>
        <v>44.198310981299997</v>
      </c>
      <c r="J1886" s="11">
        <f>[1]!EM_S_FA_NETPROFITMARGIN(B1886,E1886)</f>
        <v>6.0828063915000001</v>
      </c>
      <c r="K1886" s="10">
        <f>[1]!EM_S_FA_ASSETSTURN(B1886,E1886)</f>
        <v>0.83648815119999997</v>
      </c>
      <c r="L1886" s="12">
        <f>[1]!EM_HKS_VAL_MV(B1886,"2019-12-31","2")</f>
        <v>2064753746.0999999</v>
      </c>
      <c r="M1886">
        <f>[1]!EM_S_VAL_PETTMDEDUCTED(B1886,E1886)</f>
        <v>39.749929375032202</v>
      </c>
      <c r="N1886" s="7">
        <f>[1]!EM_S_VAL_PBGOODWILLDEDUCTED(B1886,E1886)</f>
        <v>2.64981159982923</v>
      </c>
      <c r="O1886" s="7">
        <f>[1]!EM_S_VAL_PS_TTM(B1886,E1886)</f>
        <v>2.1797212451077401</v>
      </c>
      <c r="P1886" s="7">
        <f>[1]!EM_S_VAL_PCF_NCFTTM(B1886,E1886)</f>
        <v>178.091104061583</v>
      </c>
      <c r="Q1886" s="7">
        <f>[1]!EM_S_VAL_DIVIDENDYIELD2(B1886,E1886,"2019-11-29")</f>
        <v>0.88024327692802706</v>
      </c>
      <c r="T1886"/>
      <c r="U1886">
        <f>[1]!EM_S_RATIO_EPS_TTM(B1886,E1886,"1")</f>
        <v>0.6589665370647102</v>
      </c>
      <c r="AT1886" s="4" t="str">
        <f>[1]!EM_S_IPO_LISTEDDATE(B1886)</f>
        <v>2017-12-01</v>
      </c>
    </row>
    <row r="1887" spans="1:46">
      <c r="A1887">
        <v>1374</v>
      </c>
      <c r="B1887" t="str">
        <f>"002875"</f>
        <v>002875</v>
      </c>
      <c r="C1887" t="s">
        <v>371</v>
      </c>
      <c r="D1887" t="str">
        <f>[1]!EM_S_INFO_INDEX_EM(B1887,"1")</f>
        <v>纺织服装</v>
      </c>
      <c r="E1887" s="4">
        <f t="shared" si="29"/>
        <v>43465</v>
      </c>
      <c r="F1887" s="11">
        <f>[1]!EM_S_PQ_PCTCHANGE(B1887,"2018-01-01","2019-12-31","3")</f>
        <v>-22.519106229999998</v>
      </c>
      <c r="G1887" s="11">
        <f>[1]!EM_S_PQ_PCTCHANGE(B1887,"2018-12-31","2019-12-30","1")</f>
        <v>7.1179344000000002</v>
      </c>
      <c r="H1887" s="11">
        <f>[1]!EM_S_FA_YOY_OR(B1887,E1887)</f>
        <v>17.560038687999999</v>
      </c>
      <c r="I1887" s="11">
        <f>[1]!EM_S_FA_GROSSPROFITMARGIN(B1887,E1887)</f>
        <v>55.252773819399998</v>
      </c>
      <c r="J1887" s="11">
        <f>[1]!EM_S_FA_NETPROFITMARGIN(B1887,E1887)</f>
        <v>6.8769391136999998</v>
      </c>
      <c r="K1887" s="10">
        <f>[1]!EM_S_FA_ASSETSTURN(B1887,E1887)</f>
        <v>1.0439025162069999</v>
      </c>
      <c r="L1887" s="12">
        <f>[1]!EM_HKS_VAL_MV(B1887,"2019-12-31","2")</f>
        <v>2066589569.0699999</v>
      </c>
      <c r="M1887">
        <f>[1]!EM_S_VAL_PETTMDEDUCTED(B1887,E1887)</f>
        <v>29.791079852395299</v>
      </c>
      <c r="N1887" s="7">
        <f>[1]!EM_S_VAL_PBGOODWILLDEDUCTED(B1887,E1887)</f>
        <v>2.1994818958035101</v>
      </c>
      <c r="O1887" s="7">
        <f>[1]!EM_S_VAL_PS_TTM(B1887,E1887)</f>
        <v>1.6339734526479099</v>
      </c>
      <c r="P1887" s="7">
        <f>[1]!EM_S_VAL_PCF_NCFTTM(B1887,E1887)</f>
        <v>17.807904230575598</v>
      </c>
      <c r="Q1887" s="7">
        <f>[1]!EM_S_VAL_DIVIDENDYIELD2(B1887,E1887,"2019-11-29")</f>
        <v>1.0941236001504631</v>
      </c>
      <c r="T1887"/>
      <c r="U1887">
        <f>[1]!EM_S_RATIO_EPS_TTM(B1887,E1887,"1")</f>
        <v>0.63154551469437148</v>
      </c>
      <c r="AT1887" s="4" t="str">
        <f>[1]!EM_S_IPO_LISTEDDATE(B1887)</f>
        <v>2017-06-01</v>
      </c>
    </row>
    <row r="1888" spans="1:46">
      <c r="A1888">
        <v>978</v>
      </c>
      <c r="B1888" t="str">
        <f>"002467"</f>
        <v>002467</v>
      </c>
      <c r="C1888" t="s">
        <v>2463</v>
      </c>
      <c r="D1888" t="str">
        <f>[1]!EM_S_INFO_INDEX_EM(B1888,"1")</f>
        <v>信息技术</v>
      </c>
      <c r="E1888" s="4">
        <f t="shared" si="29"/>
        <v>43465</v>
      </c>
      <c r="F1888" s="11">
        <f>[1]!EM_S_PQ_PCTCHANGE(B1888,"2018-01-01","2019-12-31","3")</f>
        <v>20.79819723</v>
      </c>
      <c r="G1888" s="11">
        <f>[1]!EM_S_PQ_PCTCHANGE(B1888,"2018-12-31","2019-12-30","1")</f>
        <v>7.1146245099999996</v>
      </c>
      <c r="H1888" s="11">
        <f>[1]!EM_S_FA_YOY_OR(B1888,E1888)</f>
        <v>11.112232561600001</v>
      </c>
      <c r="I1888" s="11">
        <f>[1]!EM_S_FA_GROSSPROFITMARGIN(B1888,E1888)</f>
        <v>58.801592832300003</v>
      </c>
      <c r="J1888" s="11">
        <f>[1]!EM_S_FA_NETPROFITMARGIN(B1888,E1888)</f>
        <v>8.0055638940999998</v>
      </c>
      <c r="K1888" s="10">
        <f>[1]!EM_S_FA_ASSETSTURN(B1888,E1888)</f>
        <v>0.377883920072</v>
      </c>
      <c r="L1888" s="12">
        <f>[1]!EM_HKS_VAL_MV(B1888,"2019-12-31","2")</f>
        <v>7296470909.4200001</v>
      </c>
      <c r="M1888">
        <f>[1]!EM_S_VAL_PETTMDEDUCTED(B1888,E1888)</f>
        <v>127.530972356147</v>
      </c>
      <c r="N1888" s="7">
        <f>[1]!EM_S_VAL_PBGOODWILLDEDUCTED(B1888,E1888)</f>
        <v>5.0487470926334197</v>
      </c>
      <c r="O1888" s="7">
        <f>[1]!EM_S_VAL_PS_TTM(B1888,E1888)</f>
        <v>4.5503528790159402</v>
      </c>
      <c r="P1888" s="7">
        <f>[1]!EM_S_VAL_PCF_NCFTTM(B1888,E1888)</f>
        <v>-16.1371789501469</v>
      </c>
      <c r="Q1888" s="7">
        <f>[1]!EM_S_VAL_DIVIDENDYIELD2(B1888,E1888,"2019-11-29")</f>
        <v>1.1329630234804462</v>
      </c>
      <c r="T1888"/>
      <c r="U1888">
        <f>[1]!EM_S_RATIO_EPS_TTM(B1888,E1888,"1")</f>
        <v>0.108231904210145</v>
      </c>
      <c r="AT1888" s="4" t="str">
        <f>[1]!EM_S_IPO_LISTEDDATE(B1888)</f>
        <v>2010-09-08</v>
      </c>
    </row>
    <row r="1889" spans="1:46">
      <c r="A1889">
        <v>6</v>
      </c>
      <c r="B1889" t="str">
        <f>"000006"</f>
        <v>000006</v>
      </c>
      <c r="C1889" t="s">
        <v>289</v>
      </c>
      <c r="D1889" t="str">
        <f>[1]!EM_S_INFO_INDEX_EM(B1889,"1")</f>
        <v>房地产</v>
      </c>
      <c r="E1889" s="4">
        <f t="shared" si="29"/>
        <v>43465</v>
      </c>
      <c r="F1889" s="11">
        <f>[1]!EM_S_PQ_PCTCHANGE(B1889,"2018-01-01","2019-12-31","3")</f>
        <v>-41.969393109999999</v>
      </c>
      <c r="G1889" s="11">
        <f>[1]!EM_S_PQ_PCTCHANGE(B1889,"2019-01-01","2019-12-31","3")</f>
        <v>7.1022521899999997</v>
      </c>
      <c r="H1889" s="11">
        <f>[1]!EM_S_FA_YOY_OR(B1889,E1889)</f>
        <v>-15.1246271263</v>
      </c>
      <c r="I1889" s="11">
        <f>[1]!EM_S_FA_GROSSPROFITMARGIN(B1889,E1889)</f>
        <v>38.786578021799997</v>
      </c>
      <c r="J1889" s="11">
        <f>[1]!EM_S_FA_NETPROFITMARGIN(B1889,E1889)</f>
        <v>36.750978100399998</v>
      </c>
      <c r="K1889" s="10">
        <f>[1]!EM_S_FA_ASSETSTURN(B1889,E1889)</f>
        <v>0.18831776369299999</v>
      </c>
      <c r="L1889" s="12">
        <f>[1]!EM_HKS_VAL_MV(B1889,"2019-12-31","2")</f>
        <v>7235973446.5600004</v>
      </c>
      <c r="M1889">
        <f>[1]!EM_S_VAL_PETTMDEDUCTED(B1889,E1889)</f>
        <v>7.23564930586892</v>
      </c>
      <c r="N1889" s="7">
        <f>[1]!EM_S_VAL_PBGOODWILLDEDUCTED(B1889,E1889)</f>
        <v>1.1283232666882099</v>
      </c>
      <c r="O1889" s="7">
        <f>[1]!EM_S_VAL_PS_TTM(B1889,E1889)</f>
        <v>3.1301336617361999</v>
      </c>
      <c r="P1889" s="7">
        <f>[1]!EM_S_VAL_PCF_NCFTTM(B1889,E1889)</f>
        <v>-5.3290317769800097</v>
      </c>
      <c r="Q1889" s="7">
        <f>[1]!EM_S_VAL_DIVIDENDYIELD2(B1889,E1889,"2019-11-29")</f>
        <v>3.80859375</v>
      </c>
      <c r="T1889"/>
      <c r="U1889">
        <f>[1]!EM_S_RATIO_EPS_TTM(B1889,E1889,"1")</f>
        <v>0.64759002028219292</v>
      </c>
      <c r="V1889">
        <f>[1]!EM_S_FA_BPS(B1889,E1889)</f>
        <v>4.5908829082329996</v>
      </c>
      <c r="AT1889" s="4" t="str">
        <f>[1]!EM_S_IPO_LISTEDDATE(B1889)</f>
        <v>1992-04-27</v>
      </c>
    </row>
    <row r="1890" spans="1:46">
      <c r="A1890">
        <v>2112</v>
      </c>
      <c r="B1890" t="str">
        <f>"300695"</f>
        <v>300695</v>
      </c>
      <c r="C1890" t="s">
        <v>1566</v>
      </c>
      <c r="D1890" t="str">
        <f>[1]!EM_S_INFO_INDEX_EM(B1890,"1")</f>
        <v>交运设备</v>
      </c>
      <c r="E1890" s="4">
        <f t="shared" si="29"/>
        <v>43465</v>
      </c>
      <c r="F1890" s="11">
        <f>[1]!EM_S_PQ_PCTCHANGE(B1890,"2018-01-01","2019-12-31","3")</f>
        <v>-30.667428300000001</v>
      </c>
      <c r="G1890" s="11">
        <f>[1]!EM_S_PQ_PCTCHANGE(B1890,"2018-12-31","2019-12-30","1")</f>
        <v>7.0921985799999998</v>
      </c>
      <c r="H1890" s="11">
        <f>[1]!EM_S_FA_YOY_OR(B1890,E1890)</f>
        <v>-18.256553596</v>
      </c>
      <c r="I1890" s="11">
        <f>[1]!EM_S_FA_GROSSPROFITMARGIN(B1890,E1890)</f>
        <v>44.151090542299997</v>
      </c>
      <c r="J1890" s="11">
        <f>[1]!EM_S_FA_NETPROFITMARGIN(B1890,E1890)</f>
        <v>39.394024701799999</v>
      </c>
      <c r="K1890" s="10">
        <f>[1]!EM_S_FA_ASSETSTURN(B1890,E1890)</f>
        <v>0.24937933812999999</v>
      </c>
      <c r="L1890" s="12">
        <f>[1]!EM_HKS_VAL_MV(B1890,"2019-12-31","2")</f>
        <v>3994661007</v>
      </c>
      <c r="M1890">
        <f>[1]!EM_S_VAL_PETTMDEDUCTED(B1890,E1890)</f>
        <v>21.168343368519899</v>
      </c>
      <c r="N1890" s="7">
        <f>[1]!EM_S_VAL_PBGOODWILLDEDUCTED(B1890,E1890)</f>
        <v>2.18143044091841</v>
      </c>
      <c r="O1890" s="7">
        <f>[1]!EM_S_VAL_PS_TTM(B1890,E1890)</f>
        <v>7.3126652891985104</v>
      </c>
      <c r="P1890" s="7">
        <f>[1]!EM_S_VAL_PCF_NCFTTM(B1890,E1890)</f>
        <v>-4.0690440830782704</v>
      </c>
      <c r="Q1890" s="7">
        <f>[1]!EM_S_VAL_DIVIDENDYIELD2(B1890,E1890,"2019-11-29")</f>
        <v>1.8008283810552854</v>
      </c>
      <c r="T1890"/>
      <c r="U1890">
        <f>[1]!EM_S_RATIO_EPS_TTM(B1890,E1890,"1")</f>
        <v>2.9386280111641523</v>
      </c>
      <c r="AT1890" s="4" t="str">
        <f>[1]!EM_S_IPO_LISTEDDATE(B1890)</f>
        <v>2017-09-08</v>
      </c>
    </row>
    <row r="1891" spans="1:46">
      <c r="A1891">
        <v>1143</v>
      </c>
      <c r="B1891" t="str">
        <f>"002632"</f>
        <v>002632</v>
      </c>
      <c r="C1891" t="s">
        <v>1081</v>
      </c>
      <c r="D1891" t="str">
        <f>[1]!EM_S_INFO_INDEX_EM(B1891,"1")</f>
        <v>基础化工</v>
      </c>
      <c r="E1891" s="4">
        <f t="shared" si="29"/>
        <v>43465</v>
      </c>
      <c r="F1891" s="11">
        <f>[1]!EM_S_PQ_PCTCHANGE(B1891,"2018-01-01","2019-12-31","3")</f>
        <v>-3.6813626300000002</v>
      </c>
      <c r="G1891" s="11">
        <f>[1]!EM_S_PQ_PCTCHANGE(B1891,"2018-12-31","2019-12-30","1")</f>
        <v>7.0707070700000001</v>
      </c>
      <c r="H1891" s="11">
        <f>[1]!EM_S_FA_YOY_OR(B1891,E1891)</f>
        <v>48.408225849700003</v>
      </c>
      <c r="I1891" s="11">
        <f>[1]!EM_S_FA_GROSSPROFITMARGIN(B1891,E1891)</f>
        <v>37.414809499599997</v>
      </c>
      <c r="J1891" s="11">
        <f>[1]!EM_S_FA_NETPROFITMARGIN(B1891,E1891)</f>
        <v>17.150170208799999</v>
      </c>
      <c r="K1891" s="10">
        <f>[1]!EM_S_FA_ASSETSTURN(B1891,E1891)</f>
        <v>0.52595590964799999</v>
      </c>
      <c r="L1891" s="12">
        <f>[1]!EM_HKS_VAL_MV(B1891,"2019-12-31","2")</f>
        <v>4615787275.1000004</v>
      </c>
      <c r="M1891">
        <f>[1]!EM_S_VAL_PETTMDEDUCTED(B1891,E1891)</f>
        <v>22.392320074763401</v>
      </c>
      <c r="N1891" s="7">
        <f>[1]!EM_S_VAL_PBGOODWILLDEDUCTED(B1891,E1891)</f>
        <v>2.4379639079898001</v>
      </c>
      <c r="O1891" s="7">
        <f>[1]!EM_S_VAL_PS_TTM(B1891,E1891)</f>
        <v>3.81717575274486</v>
      </c>
      <c r="P1891" s="7">
        <f>[1]!EM_S_VAL_PCF_NCFTTM(B1891,E1891)</f>
        <v>-36.666957920447999</v>
      </c>
      <c r="Q1891" s="7">
        <f>[1]!EM_S_VAL_DIVIDENDYIELD2(B1891,E1891,"2019-11-29")</f>
        <v>5.5717584289859339</v>
      </c>
      <c r="T1891"/>
      <c r="U1891">
        <f>[1]!EM_S_RATIO_EPS_TTM(B1891,E1891,"1")</f>
        <v>0.32793322696861393</v>
      </c>
      <c r="AT1891" s="4" t="str">
        <f>[1]!EM_S_IPO_LISTEDDATE(B1891)</f>
        <v>2011-11-22</v>
      </c>
    </row>
    <row r="1892" spans="1:46">
      <c r="A1892">
        <v>2569</v>
      </c>
      <c r="B1892" t="str">
        <f>"600483"</f>
        <v>600483</v>
      </c>
      <c r="C1892" t="s">
        <v>1377</v>
      </c>
      <c r="D1892" t="str">
        <f>[1]!EM_S_INFO_INDEX_EM(B1892,"1")</f>
        <v>公用事业</v>
      </c>
      <c r="E1892" s="4">
        <f t="shared" si="29"/>
        <v>43465</v>
      </c>
      <c r="F1892" s="11">
        <f>[1]!EM_S_PQ_PCTCHANGE(B1892,"2018-01-01","2019-12-31","3")</f>
        <v>27.951970370000002</v>
      </c>
      <c r="G1892" s="11">
        <f>[1]!EM_S_PQ_PCTCHANGE(B1892,"2018-12-31","2019-12-30","1")</f>
        <v>7.0588235299999997</v>
      </c>
      <c r="H1892" s="11">
        <f>[1]!EM_S_FA_YOY_OR(B1892,E1892)</f>
        <v>37.567874152400002</v>
      </c>
      <c r="I1892" s="11">
        <f>[1]!EM_S_FA_GROSSPROFITMARGIN(B1892,E1892)</f>
        <v>19.596099689700001</v>
      </c>
      <c r="J1892" s="11">
        <f>[1]!EM_S_FA_NETPROFITMARGIN(B1892,E1892)</f>
        <v>11.569541580799999</v>
      </c>
      <c r="K1892" s="10">
        <f>[1]!EM_S_FA_ASSETSTURN(B1892,E1892)</f>
        <v>0.398277080329</v>
      </c>
      <c r="L1892" s="12">
        <f>[1]!EM_HKS_VAL_MV(B1892,"2019-12-31","2")</f>
        <v>14276871015.200001</v>
      </c>
      <c r="M1892">
        <f>[1]!EM_S_VAL_PETTMDEDUCTED(B1892,E1892)</f>
        <v>12.234015930238099</v>
      </c>
      <c r="N1892" s="7">
        <f>[1]!EM_S_VAL_PBGOODWILLDEDUCTED(B1892,E1892)</f>
        <v>1.2234720135417101</v>
      </c>
      <c r="O1892" s="7">
        <f>[1]!EM_S_VAL_PS_TTM(B1892,E1892)</f>
        <v>1.52007766273156</v>
      </c>
      <c r="P1892" s="7">
        <f>[1]!EM_S_VAL_PCF_NCFTTM(B1892,E1892)</f>
        <v>54.826951612339201</v>
      </c>
      <c r="Q1892" s="7">
        <f>[1]!EM_S_VAL_DIVIDENDYIELD2(B1892,E1892,"2019-11-29")</f>
        <v>2.3595489485542496</v>
      </c>
      <c r="T1892"/>
      <c r="U1892">
        <f>[1]!EM_S_RATIO_EPS_TTM(B1892,E1892,"1")</f>
        <v>0.67688292138559636</v>
      </c>
      <c r="AT1892" s="4" t="str">
        <f>[1]!EM_S_IPO_LISTEDDATE(B1892)</f>
        <v>2004-05-31</v>
      </c>
    </row>
    <row r="1893" spans="1:46">
      <c r="A1893">
        <v>2332</v>
      </c>
      <c r="B1893" t="str">
        <f>"600195"</f>
        <v>600195</v>
      </c>
      <c r="C1893" t="s">
        <v>672</v>
      </c>
      <c r="D1893" t="str">
        <f>[1]!EM_S_INFO_INDEX_EM(B1893,"1")</f>
        <v>农林牧渔</v>
      </c>
      <c r="E1893" s="4">
        <f t="shared" si="29"/>
        <v>43465</v>
      </c>
      <c r="F1893" s="11">
        <f>[1]!EM_S_PQ_PCTCHANGE(B1893,"2018-01-01","2019-12-31","3")</f>
        <v>18.737899509999998</v>
      </c>
      <c r="G1893" s="11">
        <f>[1]!EM_S_PQ_PCTCHANGE(B1893,"2018-12-31","2019-12-30","1")</f>
        <v>7.04887218</v>
      </c>
      <c r="H1893" s="11">
        <f>[1]!EM_S_FA_YOY_OR(B1893,E1893)</f>
        <v>8.9565828249999999</v>
      </c>
      <c r="I1893" s="11">
        <f>[1]!EM_S_FA_GROSSPROFITMARGIN(B1893,E1893)</f>
        <v>29.498017593899998</v>
      </c>
      <c r="J1893" s="11">
        <f>[1]!EM_S_FA_NETPROFITMARGIN(B1893,E1893)</f>
        <v>10.1490208807</v>
      </c>
      <c r="K1893" s="10">
        <f>[1]!EM_S_FA_ASSETSTURN(B1893,E1893)</f>
        <v>0.67565672174699998</v>
      </c>
      <c r="L1893" s="12">
        <f>[1]!EM_HKS_VAL_MV(B1893,"2019-12-31","2")</f>
        <v>9729812400</v>
      </c>
      <c r="M1893">
        <f>[1]!EM_S_VAL_PETTMDEDUCTED(B1893,E1893)</f>
        <v>14.585097528001</v>
      </c>
      <c r="N1893" s="7">
        <f>[1]!EM_S_VAL_PBGOODWILLDEDUCTED(B1893,E1893)</f>
        <v>1.60245591157205</v>
      </c>
      <c r="O1893" s="7">
        <f>[1]!EM_S_VAL_PS_TTM(B1893,E1893)</f>
        <v>1.3789483302535701</v>
      </c>
      <c r="P1893" s="7">
        <f>[1]!EM_S_VAL_PCF_NCFTTM(B1893,E1893)</f>
        <v>-12.2403135150533</v>
      </c>
      <c r="Q1893" s="7">
        <f>[1]!EM_S_VAL_DIVIDENDYIELD2(B1893,E1893,"2019-11-29")</f>
        <v>1.4168618266978923</v>
      </c>
      <c r="T1893"/>
      <c r="U1893">
        <f>[1]!EM_S_RATIO_EPS_TTM(B1893,E1893,"1")</f>
        <v>0.69073480652130559</v>
      </c>
      <c r="AT1893" s="4" t="str">
        <f>[1]!EM_S_IPO_LISTEDDATE(B1893)</f>
        <v>1999-01-07</v>
      </c>
    </row>
    <row r="1894" spans="1:46">
      <c r="A1894">
        <v>808</v>
      </c>
      <c r="B1894" t="str">
        <f>"002297"</f>
        <v>002297</v>
      </c>
      <c r="C1894" t="s">
        <v>2653</v>
      </c>
      <c r="D1894" t="str">
        <f>[1]!EM_S_INFO_INDEX_EM(B1894,"1")</f>
        <v>有色金属</v>
      </c>
      <c r="E1894" s="4">
        <f t="shared" si="29"/>
        <v>43465</v>
      </c>
      <c r="F1894" s="11">
        <f>[1]!EM_S_PQ_PCTCHANGE(B1894,"2018-01-01","2019-12-31","3")</f>
        <v>-43.085106379999999</v>
      </c>
      <c r="G1894" s="11">
        <f>[1]!EM_S_PQ_PCTCHANGE(B1894,"2018-12-31","2019-12-30","1")</f>
        <v>7.0469798700000004</v>
      </c>
      <c r="H1894" s="11">
        <f>[1]!EM_S_FA_YOY_OR(B1894,E1894)</f>
        <v>-6.4825715194000004</v>
      </c>
      <c r="I1894" s="11">
        <f>[1]!EM_S_FA_GROSSPROFITMARGIN(B1894,E1894)</f>
        <v>26.874982948500001</v>
      </c>
      <c r="J1894" s="11">
        <f>[1]!EM_S_FA_NETPROFITMARGIN(B1894,E1894)</f>
        <v>5.4364349313</v>
      </c>
      <c r="K1894" s="10">
        <f>[1]!EM_S_FA_ASSETSTURN(B1894,E1894)</f>
        <v>0.229146030438</v>
      </c>
      <c r="L1894" s="12">
        <f>[1]!EM_HKS_VAL_MV(B1894,"2019-12-31","2")</f>
        <v>3025842588.9000001</v>
      </c>
      <c r="M1894">
        <f>[1]!EM_S_VAL_PETTMDEDUCTED(B1894,E1894)</f>
        <v>-59.402885348252802</v>
      </c>
      <c r="N1894" s="7">
        <f>[1]!EM_S_VAL_PBGOODWILLDEDUCTED(B1894,E1894)</f>
        <v>1.9614535314249599</v>
      </c>
      <c r="O1894" s="7">
        <f>[1]!EM_S_VAL_PS_TTM(B1894,E1894)</f>
        <v>5.0287161107141998</v>
      </c>
      <c r="P1894" s="7">
        <f>[1]!EM_S_VAL_PCF_NCFTTM(B1894,E1894)</f>
        <v>-9.5685323021683804</v>
      </c>
      <c r="Q1894" s="7">
        <f>[1]!EM_S_VAL_DIVIDENDYIELD2(B1894,E1894,"2019-11-29")</f>
        <v>0</v>
      </c>
      <c r="T1894"/>
      <c r="U1894">
        <f>[1]!EM_S_RATIO_EPS_TTM(B1894,E1894,"1")</f>
        <v>5.7430791626861814E-2</v>
      </c>
      <c r="AT1894" s="4" t="str">
        <f>[1]!EM_S_IPO_LISTEDDATE(B1894)</f>
        <v>2009-09-29</v>
      </c>
    </row>
    <row r="1895" spans="1:46">
      <c r="A1895">
        <v>1274</v>
      </c>
      <c r="B1895" t="str">
        <f>"002767"</f>
        <v>002767</v>
      </c>
      <c r="C1895" t="s">
        <v>2245</v>
      </c>
      <c r="D1895" t="str">
        <f>[1]!EM_S_INFO_INDEX_EM(B1895,"1")</f>
        <v>电气设备</v>
      </c>
      <c r="E1895" s="4">
        <f t="shared" si="29"/>
        <v>43465</v>
      </c>
      <c r="F1895" s="11">
        <f>[1]!EM_S_PQ_PCTCHANGE(B1895,"2018-01-01","2019-12-31","3")</f>
        <v>-27.46310566</v>
      </c>
      <c r="G1895" s="11">
        <f>[1]!EM_S_PQ_PCTCHANGE(B1895,"2018-12-31","2019-12-30","1")</f>
        <v>7.0212766000000002</v>
      </c>
      <c r="H1895" s="11">
        <f>[1]!EM_S_FA_YOY_OR(B1895,E1895)</f>
        <v>-6.7097088081000003</v>
      </c>
      <c r="I1895" s="11">
        <f>[1]!EM_S_FA_GROSSPROFITMARGIN(B1895,E1895)</f>
        <v>33.538034602400003</v>
      </c>
      <c r="J1895" s="11">
        <f>[1]!EM_S_FA_NETPROFITMARGIN(B1895,E1895)</f>
        <v>8.9337310042000002</v>
      </c>
      <c r="K1895" s="10">
        <f>[1]!EM_S_FA_ASSETSTURN(B1895,E1895)</f>
        <v>0.35011809972300001</v>
      </c>
      <c r="L1895" s="12">
        <f>[1]!EM_HKS_VAL_MV(B1895,"2019-12-31","2")</f>
        <v>2227500000</v>
      </c>
      <c r="M1895">
        <f>[1]!EM_S_VAL_PETTMDEDUCTED(B1895,E1895)</f>
        <v>79.710754989144505</v>
      </c>
      <c r="N1895" s="7">
        <f>[1]!EM_S_VAL_PBGOODWILLDEDUCTED(B1895,E1895)</f>
        <v>2.9587848956043699</v>
      </c>
      <c r="O1895" s="7">
        <f>[1]!EM_S_VAL_PS_TTM(B1895,E1895)</f>
        <v>6.9442576535811602</v>
      </c>
      <c r="P1895" s="7">
        <f>[1]!EM_S_VAL_PCF_NCFTTM(B1895,E1895)</f>
        <v>197.760414822695</v>
      </c>
      <c r="Q1895" s="7">
        <f>[1]!EM_S_VAL_DIVIDENDYIELD2(B1895,E1895,"2019-11-29")</f>
        <v>0.22048364153627312</v>
      </c>
      <c r="T1895"/>
      <c r="U1895">
        <f>[1]!EM_S_RATIO_EPS_TTM(B1895,E1895,"1")</f>
        <v>0.17213666193333332</v>
      </c>
      <c r="AT1895" s="4" t="str">
        <f>[1]!EM_S_IPO_LISTEDDATE(B1895)</f>
        <v>2015-06-12</v>
      </c>
    </row>
    <row r="1896" spans="1:46">
      <c r="A1896">
        <v>2470</v>
      </c>
      <c r="B1896" t="str">
        <f>"600350"</f>
        <v>600350</v>
      </c>
      <c r="C1896" t="s">
        <v>1456</v>
      </c>
      <c r="D1896" t="str">
        <f>[1]!EM_S_INFO_INDEX_EM(B1896,"1")</f>
        <v>交通运输</v>
      </c>
      <c r="E1896" s="4">
        <f t="shared" si="29"/>
        <v>43465</v>
      </c>
      <c r="F1896" s="11">
        <f>[1]!EM_S_PQ_PCTCHANGE(B1896,"2018-01-01","2019-12-31","3")</f>
        <v>-10.41678666</v>
      </c>
      <c r="G1896" s="11">
        <f>[1]!EM_S_PQ_PCTCHANGE(B1896,"2018-12-31","2019-12-30","1")</f>
        <v>7.01754386</v>
      </c>
      <c r="H1896" s="11">
        <f>[1]!EM_S_FA_YOY_OR(B1896,E1896)</f>
        <v>-15.9776365996</v>
      </c>
      <c r="I1896" s="11">
        <f>[1]!EM_S_FA_GROSSPROFITMARGIN(B1896,E1896)</f>
        <v>49.479723982300001</v>
      </c>
      <c r="J1896" s="11">
        <f>[1]!EM_S_FA_NETPROFITMARGIN(B1896,E1896)</f>
        <v>53.104680643800002</v>
      </c>
      <c r="K1896" s="10">
        <f>[1]!EM_S_FA_ASSETSTURN(B1896,E1896)</f>
        <v>0.11435138220299999</v>
      </c>
      <c r="L1896" s="12">
        <f>[1]!EM_HKS_VAL_MV(B1896,"2019-12-31","2")</f>
        <v>23622824357.869999</v>
      </c>
      <c r="M1896">
        <f>[1]!EM_S_VAL_PETTMDEDUCTED(B1896,E1896)</f>
        <v>11.2808553068253</v>
      </c>
      <c r="N1896" s="7">
        <f>[1]!EM_S_VAL_PBGOODWILLDEDUCTED(B1896,E1896)</f>
        <v>0.80476902945207496</v>
      </c>
      <c r="O1896" s="7">
        <f>[1]!EM_S_VAL_PS_TTM(B1896,E1896)</f>
        <v>3.3639151621391199</v>
      </c>
      <c r="P1896" s="7">
        <f>[1]!EM_S_VAL_PCF_NCFTTM(B1896,E1896)</f>
        <v>127.603213284723</v>
      </c>
      <c r="Q1896" s="7">
        <f>[1]!EM_S_VAL_DIVIDENDYIELD2(B1896,E1896,"2019-11-29")</f>
        <v>4.6428571428571432</v>
      </c>
      <c r="T1896"/>
      <c r="U1896">
        <f>[1]!EM_S_RATIO_EPS_TTM(B1896,E1896,"1")</f>
        <v>0.61188718044645873</v>
      </c>
      <c r="AT1896" s="4" t="str">
        <f>[1]!EM_S_IPO_LISTEDDATE(B1896)</f>
        <v>2002-03-18</v>
      </c>
    </row>
    <row r="1897" spans="1:46">
      <c r="A1897">
        <v>832</v>
      </c>
      <c r="B1897" t="str">
        <f>"002321"</f>
        <v>002321</v>
      </c>
      <c r="C1897" t="s">
        <v>2672</v>
      </c>
      <c r="D1897" t="str">
        <f>[1]!EM_S_INFO_INDEX_EM(B1897,"1")</f>
        <v>农林牧渔</v>
      </c>
      <c r="E1897" s="4">
        <f t="shared" si="29"/>
        <v>43465</v>
      </c>
      <c r="F1897" s="11">
        <f>[1]!EM_S_PQ_PCTCHANGE(B1897,"2018-01-01","2019-12-31","3")</f>
        <v>-54.508244079999997</v>
      </c>
      <c r="G1897" s="11">
        <f>[1]!EM_S_PQ_PCTCHANGE(B1897,"2018-12-31","2019-12-30","1")</f>
        <v>6.9767441899999998</v>
      </c>
      <c r="H1897" s="11">
        <f>[1]!EM_S_FA_YOY_OR(B1897,E1897)</f>
        <v>29.765277147799999</v>
      </c>
      <c r="I1897" s="11">
        <f>[1]!EM_S_FA_GROSSPROFITMARGIN(B1897,E1897)</f>
        <v>11.075175416800001</v>
      </c>
      <c r="J1897" s="11">
        <f>[1]!EM_S_FA_NETPROFITMARGIN(B1897,E1897)</f>
        <v>3.5844045127999999</v>
      </c>
      <c r="K1897" s="10">
        <f>[1]!EM_S_FA_ASSETSTURN(B1897,E1897)</f>
        <v>0.62461790573499998</v>
      </c>
      <c r="L1897" s="12">
        <f>[1]!EM_HKS_VAL_MV(B1897,"2019-12-31","2")</f>
        <v>2986687249</v>
      </c>
      <c r="M1897">
        <f>[1]!EM_S_VAL_PETTMDEDUCTED(B1897,E1897)</f>
        <v>45.167960698805899</v>
      </c>
      <c r="N1897" s="7">
        <f>[1]!EM_S_VAL_PBGOODWILLDEDUCTED(B1897,E1897)</f>
        <v>1.1156577262598699</v>
      </c>
      <c r="O1897" s="7">
        <f>[1]!EM_S_VAL_PS_TTM(B1897,E1897)</f>
        <v>0.512017677243922</v>
      </c>
      <c r="P1897" s="7">
        <f>[1]!EM_S_VAL_PCF_NCFTTM(B1897,E1897)</f>
        <v>-11.2124305553589</v>
      </c>
      <c r="Q1897" s="7">
        <f>[1]!EM_S_VAL_DIVIDENDYIELD2(B1897,E1897,"2019-11-29")</f>
        <v>0</v>
      </c>
      <c r="T1897"/>
      <c r="U1897">
        <f>[1]!EM_S_RATIO_EPS_TTM(B1897,E1897,"1")</f>
        <v>0.22251222893287947</v>
      </c>
      <c r="AT1897" s="4" t="str">
        <f>[1]!EM_S_IPO_LISTEDDATE(B1897)</f>
        <v>2009-12-16</v>
      </c>
    </row>
    <row r="1898" spans="1:46">
      <c r="A1898">
        <v>2876</v>
      </c>
      <c r="B1898" t="str">
        <f>"600803"</f>
        <v>600803</v>
      </c>
      <c r="C1898" t="s">
        <v>224</v>
      </c>
      <c r="D1898" t="str">
        <f>[1]!EM_S_INFO_INDEX_EM(B1898,"1")</f>
        <v>公用事业</v>
      </c>
      <c r="E1898" s="4">
        <f t="shared" si="29"/>
        <v>43465</v>
      </c>
      <c r="F1898" s="11">
        <f>[1]!EM_S_PQ_PCTCHANGE(B1898,"2018-01-01","2019-12-31","3")</f>
        <v>-21.431956599999999</v>
      </c>
      <c r="G1898" s="11">
        <f>[1]!EM_S_PQ_PCTCHANGE(B1898,"2018-12-31","2019-12-30","1")</f>
        <v>6.9416498999999998</v>
      </c>
      <c r="H1898" s="11">
        <f>[1]!EM_S_FA_YOY_OR(B1898,E1898)</f>
        <v>35.840750179300002</v>
      </c>
      <c r="I1898" s="11">
        <f>[1]!EM_S_FA_GROSSPROFITMARGIN(B1898,E1898)</f>
        <v>21.533903048799999</v>
      </c>
      <c r="J1898" s="11">
        <f>[1]!EM_S_FA_NETPROFITMARGIN(B1898,E1898)</f>
        <v>10.311591629300001</v>
      </c>
      <c r="K1898" s="10">
        <f>[1]!EM_S_FA_ASSETSTURN(B1898,E1898)</f>
        <v>0.60495912260600004</v>
      </c>
      <c r="L1898" s="12">
        <f>[1]!EM_HKS_VAL_MV(B1898,"2019-12-31","2")</f>
        <v>13080345531.120001</v>
      </c>
      <c r="M1898">
        <f>[1]!EM_S_VAL_PETTMDEDUCTED(B1898,E1898)</f>
        <v>9.55493621408724</v>
      </c>
      <c r="N1898" s="7">
        <f>[1]!EM_S_VAL_PBGOODWILLDEDUCTED(B1898,E1898)</f>
        <v>1.4305719221333699</v>
      </c>
      <c r="O1898" s="7">
        <f>[1]!EM_S_VAL_PS_TTM(B1898,E1898)</f>
        <v>0.95318165114373599</v>
      </c>
      <c r="P1898" s="7">
        <f>[1]!EM_S_VAL_PCF_NCFTTM(B1898,E1898)</f>
        <v>-74.644788971536201</v>
      </c>
      <c r="Q1898" s="7">
        <f>[1]!EM_S_VAL_DIVIDENDYIELD2(B1898,E1898,"2019-11-29")</f>
        <v>2.0689655172413794</v>
      </c>
      <c r="T1898"/>
      <c r="U1898">
        <f>[1]!EM_S_RATIO_EPS_TTM(B1898,E1898,"1")</f>
        <v>1.074733409530803</v>
      </c>
      <c r="AT1898" s="4" t="str">
        <f>[1]!EM_S_IPO_LISTEDDATE(B1898)</f>
        <v>1994-01-03</v>
      </c>
    </row>
    <row r="1899" spans="1:46">
      <c r="A1899">
        <v>1346</v>
      </c>
      <c r="B1899" t="str">
        <f>"002845"</f>
        <v>002845</v>
      </c>
      <c r="C1899" t="s">
        <v>599</v>
      </c>
      <c r="D1899" t="str">
        <f>[1]!EM_S_INFO_INDEX_EM(B1899,"1")</f>
        <v>电子设备</v>
      </c>
      <c r="E1899" s="4">
        <f t="shared" si="29"/>
        <v>43465</v>
      </c>
      <c r="F1899" s="11">
        <f>[1]!EM_S_PQ_PCTCHANGE(B1899,"2018-01-01","2019-12-31","3")</f>
        <v>-30.21229855</v>
      </c>
      <c r="G1899" s="11">
        <f>[1]!EM_S_PQ_PCTCHANGE(B1899,"2018-12-31","2019-12-30","1")</f>
        <v>6.9404279899999999</v>
      </c>
      <c r="H1899" s="11">
        <f>[1]!EM_S_FA_YOY_OR(B1899,E1899)</f>
        <v>11.784376994300001</v>
      </c>
      <c r="I1899" s="11">
        <f>[1]!EM_S_FA_GROSSPROFITMARGIN(B1899,E1899)</f>
        <v>8.3777522868999998</v>
      </c>
      <c r="J1899" s="11">
        <f>[1]!EM_S_FA_NETPROFITMARGIN(B1899,E1899)</f>
        <v>2.3950440601</v>
      </c>
      <c r="K1899" s="10">
        <f>[1]!EM_S_FA_ASSETSTURN(B1899,E1899)</f>
        <v>1.0687277411189999</v>
      </c>
      <c r="L1899" s="12">
        <f>[1]!EM_HKS_VAL_MV(B1899,"2019-12-31","2")</f>
        <v>3994922969.5999999</v>
      </c>
      <c r="M1899">
        <f>[1]!EM_S_VAL_PETTMDEDUCTED(B1899,E1899)</f>
        <v>43.325370168302697</v>
      </c>
      <c r="N1899" s="7">
        <f>[1]!EM_S_VAL_PBGOODWILLDEDUCTED(B1899,E1899)</f>
        <v>3.05877350174555</v>
      </c>
      <c r="O1899" s="7">
        <f>[1]!EM_S_VAL_PS_TTM(B1899,E1899)</f>
        <v>0.89877432123698997</v>
      </c>
      <c r="P1899" s="7">
        <f>[1]!EM_S_VAL_PCF_NCFTTM(B1899,E1899)</f>
        <v>-76.029400669117905</v>
      </c>
      <c r="Q1899" s="7">
        <f>[1]!EM_S_VAL_DIVIDENDYIELD2(B1899,E1899,"2019-11-29")</f>
        <v>0.28885037550548814</v>
      </c>
      <c r="T1899"/>
      <c r="U1899">
        <f>[1]!EM_S_RATIO_EPS_TTM(B1899,E1899,"1")</f>
        <v>0.48368946223673387</v>
      </c>
      <c r="AT1899" s="4" t="str">
        <f>[1]!EM_S_IPO_LISTEDDATE(B1899)</f>
        <v>2017-01-25</v>
      </c>
    </row>
    <row r="1900" spans="1:46">
      <c r="A1900">
        <v>999</v>
      </c>
      <c r="B1900" t="str">
        <f>"002488"</f>
        <v>002488</v>
      </c>
      <c r="C1900" t="s">
        <v>2343</v>
      </c>
      <c r="D1900" t="str">
        <f>[1]!EM_S_INFO_INDEX_EM(B1900,"1")</f>
        <v>交运设备</v>
      </c>
      <c r="E1900" s="4">
        <f t="shared" si="29"/>
        <v>43465</v>
      </c>
      <c r="F1900" s="11">
        <f>[1]!EM_S_PQ_PCTCHANGE(B1900,"2018-01-01","2019-12-31","3")</f>
        <v>-9.3295598599999998</v>
      </c>
      <c r="G1900" s="11">
        <f>[1]!EM_S_PQ_PCTCHANGE(B1900,"2018-12-31","2019-12-30","1")</f>
        <v>6.9381598799999997</v>
      </c>
      <c r="H1900" s="11">
        <f>[1]!EM_S_FA_YOY_OR(B1900,E1900)</f>
        <v>-9.7456608971000005</v>
      </c>
      <c r="I1900" s="11">
        <f>[1]!EM_S_FA_GROSSPROFITMARGIN(B1900,E1900)</f>
        <v>14.7654451942</v>
      </c>
      <c r="J1900" s="11">
        <f>[1]!EM_S_FA_NETPROFITMARGIN(B1900,E1900)</f>
        <v>5.9890472048000003</v>
      </c>
      <c r="K1900" s="10">
        <f>[1]!EM_S_FA_ASSETSTURN(B1900,E1900)</f>
        <v>0.378339076592</v>
      </c>
      <c r="L1900" s="12">
        <f>[1]!EM_HKS_VAL_MV(B1900,"2019-12-31","2")</f>
        <v>7210667137.3199997</v>
      </c>
      <c r="M1900">
        <f>[1]!EM_S_VAL_PETTMDEDUCTED(B1900,E1900)</f>
        <v>77.936501897487901</v>
      </c>
      <c r="N1900" s="7">
        <f>[1]!EM_S_VAL_PBGOODWILLDEDUCTED(B1900,E1900)</f>
        <v>1.68868090006706</v>
      </c>
      <c r="O1900" s="7">
        <f>[1]!EM_S_VAL_PS_TTM(B1900,E1900)</f>
        <v>2.0965061686258202</v>
      </c>
      <c r="P1900" s="7">
        <f>[1]!EM_S_VAL_PCF_NCFTTM(B1900,E1900)</f>
        <v>-13.514872240547501</v>
      </c>
      <c r="Q1900" s="7">
        <f>[1]!EM_S_VAL_DIVIDENDYIELD2(B1900,E1900,"2019-11-29")</f>
        <v>0</v>
      </c>
      <c r="T1900"/>
      <c r="U1900">
        <f>[1]!EM_S_RATIO_EPS_TTM(B1900,E1900,"1")</f>
        <v>0.16239864809983121</v>
      </c>
      <c r="AT1900" s="4" t="str">
        <f>[1]!EM_S_IPO_LISTEDDATE(B1900)</f>
        <v>2010-10-21</v>
      </c>
    </row>
    <row r="1901" spans="1:46">
      <c r="A1901">
        <v>2083</v>
      </c>
      <c r="B1901" t="str">
        <f>"300664"</f>
        <v>300664</v>
      </c>
      <c r="C1901" t="s">
        <v>1510</v>
      </c>
      <c r="D1901" t="str">
        <f>[1]!EM_S_INFO_INDEX_EM(B1901,"1")</f>
        <v>公用事业</v>
      </c>
      <c r="E1901" s="4">
        <f t="shared" si="29"/>
        <v>43465</v>
      </c>
      <c r="F1901" s="11">
        <f>[1]!EM_S_PQ_PCTCHANGE(B1901,"2018-01-01","2019-12-31","3")</f>
        <v>46.789194090000002</v>
      </c>
      <c r="G1901" s="11">
        <f>[1]!EM_S_PQ_PCTCHANGE(B1901,"2018-12-31","2019-12-30","1")</f>
        <v>6.9166666699999997</v>
      </c>
      <c r="H1901" s="11">
        <f>[1]!EM_S_FA_YOY_OR(B1901,E1901)</f>
        <v>-4.4490434593000003</v>
      </c>
      <c r="I1901" s="11">
        <f>[1]!EM_S_FA_GROSSPROFITMARGIN(B1901,E1901)</f>
        <v>50.189212691599998</v>
      </c>
      <c r="J1901" s="11">
        <f>[1]!EM_S_FA_NETPROFITMARGIN(B1901,E1901)</f>
        <v>21.429572112900001</v>
      </c>
      <c r="K1901" s="10">
        <f>[1]!EM_S_FA_ASSETSTURN(B1901,E1901)</f>
        <v>0.160527288489</v>
      </c>
      <c r="L1901" s="12">
        <f>[1]!EM_HKS_VAL_MV(B1901,"2019-12-31","2")</f>
        <v>6220800000</v>
      </c>
      <c r="M1901">
        <f>[1]!EM_S_VAL_PETTMDEDUCTED(B1901,E1901)</f>
        <v>35.301507513658599</v>
      </c>
      <c r="N1901" s="7">
        <f>[1]!EM_S_VAL_PBGOODWILLDEDUCTED(B1901,E1901)</f>
        <v>1.90439278080568</v>
      </c>
      <c r="O1901" s="7">
        <f>[1]!EM_S_VAL_PS_TTM(B1901,E1901)</f>
        <v>7.8784043421319598</v>
      </c>
      <c r="P1901" s="7">
        <f>[1]!EM_S_VAL_PCF_NCFTTM(B1901,E1901)</f>
        <v>6.8185266312672699</v>
      </c>
      <c r="Q1901" s="7">
        <f>[1]!EM_S_VAL_DIVIDENDYIELD2(B1901,E1901,"2019-11-29")</f>
        <v>0.29686174724342662</v>
      </c>
      <c r="T1901"/>
      <c r="U1901">
        <f>[1]!EM_S_RATIO_EPS_TTM(B1901,E1901,"1")</f>
        <v>0.35050658020833331</v>
      </c>
      <c r="AT1901" s="4" t="str">
        <f>[1]!EM_S_IPO_LISTEDDATE(B1901)</f>
        <v>2018-01-05</v>
      </c>
    </row>
    <row r="1902" spans="1:46">
      <c r="A1902">
        <v>2061</v>
      </c>
      <c r="B1902" t="str">
        <f>"300642"</f>
        <v>300642</v>
      </c>
      <c r="C1902" t="s">
        <v>1871</v>
      </c>
      <c r="D1902" t="str">
        <f>[1]!EM_S_INFO_INDEX_EM(B1902,"1")</f>
        <v>医药生物</v>
      </c>
      <c r="E1902" s="4">
        <f t="shared" si="29"/>
        <v>43465</v>
      </c>
      <c r="F1902" s="11">
        <f>[1]!EM_S_PQ_PCTCHANGE(B1902,"2018-01-01","2019-12-31","3")</f>
        <v>-31.921375640000001</v>
      </c>
      <c r="G1902" s="11">
        <f>[1]!EM_S_PQ_PCTCHANGE(B1902,"2018-12-31","2019-12-30","1")</f>
        <v>6.8938193300000004</v>
      </c>
      <c r="H1902" s="11">
        <f>[1]!EM_S_FA_YOY_OR(B1902,E1902)</f>
        <v>20.455786969999998</v>
      </c>
      <c r="I1902" s="11">
        <f>[1]!EM_S_FA_GROSSPROFITMARGIN(B1902,E1902)</f>
        <v>78.430844247300001</v>
      </c>
      <c r="J1902" s="11">
        <f>[1]!EM_S_FA_NETPROFITMARGIN(B1902,E1902)</f>
        <v>38.835755660099998</v>
      </c>
      <c r="K1902" s="10">
        <f>[1]!EM_S_FA_ASSETSTURN(B1902,E1902)</f>
        <v>0.35804371672000002</v>
      </c>
      <c r="L1902" s="12">
        <f>[1]!EM_HKS_VAL_MV(B1902,"2019-12-31","2")</f>
        <v>3738955239.9000001</v>
      </c>
      <c r="M1902">
        <f>[1]!EM_S_VAL_PETTMDEDUCTED(B1902,E1902)</f>
        <v>28.750671644496499</v>
      </c>
      <c r="N1902" s="7">
        <f>[1]!EM_S_VAL_PBGOODWILLDEDUCTED(B1902,E1902)</f>
        <v>3.3582149001436798</v>
      </c>
      <c r="O1902" s="7">
        <f>[1]!EM_S_VAL_PS_TTM(B1902,E1902)</f>
        <v>9.8666258503223307</v>
      </c>
      <c r="P1902" s="7">
        <f>[1]!EM_S_VAL_PCF_NCFTTM(B1902,E1902)</f>
        <v>-10.620280534558299</v>
      </c>
      <c r="Q1902" s="7">
        <f>[1]!EM_S_VAL_DIVIDENDYIELD2(B1902,E1902,"2019-11-29")</f>
        <v>0.738373325556412</v>
      </c>
      <c r="T1902"/>
      <c r="U1902">
        <f>[1]!EM_S_RATIO_EPS_TTM(B1902,E1902,"1")</f>
        <v>1.559730721909137</v>
      </c>
      <c r="AT1902" s="4" t="str">
        <f>[1]!EM_S_IPO_LISTEDDATE(B1902)</f>
        <v>2017-04-21</v>
      </c>
    </row>
    <row r="1903" spans="1:46">
      <c r="A1903">
        <v>1089</v>
      </c>
      <c r="B1903" t="str">
        <f>"002578"</f>
        <v>002578</v>
      </c>
      <c r="C1903" t="s">
        <v>2879</v>
      </c>
      <c r="D1903" t="str">
        <f>[1]!EM_S_INFO_INDEX_EM(B1903,"1")</f>
        <v>有色金属</v>
      </c>
      <c r="E1903" s="4">
        <f t="shared" si="29"/>
        <v>43465</v>
      </c>
      <c r="F1903" s="11">
        <f>[1]!EM_S_PQ_PCTCHANGE(B1903,"2018-01-01","2019-12-31","3")</f>
        <v>-23.04107321</v>
      </c>
      <c r="G1903" s="11">
        <f>[1]!EM_S_PQ_PCTCHANGE(B1903,"2018-12-31","2019-12-30","1")</f>
        <v>6.8862275400000001</v>
      </c>
      <c r="H1903" s="11">
        <f>[1]!EM_S_FA_YOY_OR(B1903,E1903)</f>
        <v>16.071970065199999</v>
      </c>
      <c r="I1903" s="11">
        <f>[1]!EM_S_FA_GROSSPROFITMARGIN(B1903,E1903)</f>
        <v>9.5740733858000002</v>
      </c>
      <c r="J1903" s="11">
        <f>[1]!EM_S_FA_NETPROFITMARGIN(B1903,E1903)</f>
        <v>2.3716078644</v>
      </c>
      <c r="K1903" s="10">
        <f>[1]!EM_S_FA_ASSETSTURN(B1903,E1903)</f>
        <v>0.83681001502100005</v>
      </c>
      <c r="L1903" s="12">
        <f>[1]!EM_HKS_VAL_MV(B1903,"2019-12-31","2")</f>
        <v>3517612133.7600002</v>
      </c>
      <c r="M1903">
        <f>[1]!EM_S_VAL_PETTMDEDUCTED(B1903,E1903)</f>
        <v>93.913689843570197</v>
      </c>
      <c r="N1903" s="7">
        <f>[1]!EM_S_VAL_PBGOODWILLDEDUCTED(B1903,E1903)</f>
        <v>2.1966890132518202</v>
      </c>
      <c r="O1903" s="7">
        <f>[1]!EM_S_VAL_PS_TTM(B1903,E1903)</f>
        <v>2.41212585683799</v>
      </c>
      <c r="P1903" s="7">
        <f>[1]!EM_S_VAL_PCF_NCFTTM(B1903,E1903)</f>
        <v>-64.517454118834905</v>
      </c>
      <c r="Q1903" s="7">
        <f>[1]!EM_S_VAL_DIVIDENDYIELD2(B1903,E1903,"2019-11-29")</f>
        <v>0</v>
      </c>
      <c r="T1903"/>
      <c r="U1903">
        <f>[1]!EM_S_RATIO_EPS_TTM(B1903,E1903,"1")</f>
        <v>3.6237815259906388E-2</v>
      </c>
      <c r="AT1903" s="4" t="str">
        <f>[1]!EM_S_IPO_LISTEDDATE(B1903)</f>
        <v>2011-04-28</v>
      </c>
    </row>
    <row r="1904" spans="1:46">
      <c r="A1904">
        <v>1032</v>
      </c>
      <c r="B1904" t="str">
        <f>"002521"</f>
        <v>002521</v>
      </c>
      <c r="C1904" t="s">
        <v>2564</v>
      </c>
      <c r="D1904" t="str">
        <f>[1]!EM_S_INFO_INDEX_EM(B1904,"1")</f>
        <v>轻工制造</v>
      </c>
      <c r="E1904" s="4">
        <f t="shared" si="29"/>
        <v>43465</v>
      </c>
      <c r="F1904" s="11">
        <f>[1]!EM_S_PQ_PCTCHANGE(B1904,"2018-01-01","2019-12-31","3")</f>
        <v>-32.356630150000001</v>
      </c>
      <c r="G1904" s="11">
        <f>[1]!EM_S_PQ_PCTCHANGE(B1904,"2018-12-31","2019-12-30","1")</f>
        <v>6.8222621200000004</v>
      </c>
      <c r="H1904" s="11">
        <f>[1]!EM_S_FA_YOY_OR(B1904,E1904)</f>
        <v>2.9603237005</v>
      </c>
      <c r="I1904" s="11">
        <f>[1]!EM_S_FA_GROSSPROFITMARGIN(B1904,E1904)</f>
        <v>11.2925163766</v>
      </c>
      <c r="J1904" s="11">
        <f>[1]!EM_S_FA_NETPROFITMARGIN(B1904,E1904)</f>
        <v>1.5860851389999999</v>
      </c>
      <c r="K1904" s="10">
        <f>[1]!EM_S_FA_ASSETSTURN(B1904,E1904)</f>
        <v>0.83424573335300001</v>
      </c>
      <c r="L1904" s="12">
        <f>[1]!EM_HKS_VAL_MV(B1904,"2019-12-31","2")</f>
        <v>2948327481.2399998</v>
      </c>
      <c r="M1904">
        <f>[1]!EM_S_VAL_PETTMDEDUCTED(B1904,E1904)</f>
        <v>38.984096413177099</v>
      </c>
      <c r="N1904" s="7">
        <f>[1]!EM_S_VAL_PBGOODWILLDEDUCTED(B1904,E1904)</f>
        <v>0.81670357061638799</v>
      </c>
      <c r="O1904" s="7">
        <f>[1]!EM_S_VAL_PS_TTM(B1904,E1904)</f>
        <v>0.71638965443462599</v>
      </c>
      <c r="P1904" s="7">
        <f>[1]!EM_S_VAL_PCF_NCFTTM(B1904,E1904)</f>
        <v>-19.347894679089901</v>
      </c>
      <c r="Q1904" s="7">
        <f>[1]!EM_S_VAL_DIVIDENDYIELD2(B1904,E1904,"2019-11-29")</f>
        <v>0.89285714285714302</v>
      </c>
      <c r="T1904"/>
      <c r="U1904">
        <f>[1]!EM_S_RATIO_EPS_TTM(B1904,E1904,"1")</f>
        <v>0.11796080115650132</v>
      </c>
      <c r="AT1904" s="4" t="str">
        <f>[1]!EM_S_IPO_LISTEDDATE(B1904)</f>
        <v>2010-12-10</v>
      </c>
    </row>
    <row r="1905" spans="1:46">
      <c r="A1905">
        <v>2434</v>
      </c>
      <c r="B1905" t="str">
        <f>"600307"</f>
        <v>600307</v>
      </c>
      <c r="C1905" t="s">
        <v>1975</v>
      </c>
      <c r="D1905" t="str">
        <f>[1]!EM_S_INFO_INDEX_EM(B1905,"1")</f>
        <v>钢铁</v>
      </c>
      <c r="E1905" s="4">
        <f t="shared" si="29"/>
        <v>43465</v>
      </c>
      <c r="F1905" s="11">
        <f>[1]!EM_S_PQ_PCTCHANGE(B1905,"2018-01-01","2019-12-31","3")</f>
        <v>-27.972027969999999</v>
      </c>
      <c r="G1905" s="11">
        <f>[1]!EM_S_PQ_PCTCHANGE(B1905,"2018-12-31","2019-12-30","1")</f>
        <v>6.8062827199999996</v>
      </c>
      <c r="H1905" s="11">
        <f>[1]!EM_S_FA_YOY_OR(B1905,E1905)</f>
        <v>10.8417990414</v>
      </c>
      <c r="I1905" s="11">
        <f>[1]!EM_S_FA_GROSSPROFITMARGIN(B1905,E1905)</f>
        <v>11.039541531499999</v>
      </c>
      <c r="J1905" s="11">
        <f>[1]!EM_S_FA_NETPROFITMARGIN(B1905,E1905)</f>
        <v>2.4188553135999999</v>
      </c>
      <c r="K1905" s="10">
        <f>[1]!EM_S_FA_ASSETSTURN(B1905,E1905)</f>
        <v>1.140930786155</v>
      </c>
      <c r="L1905" s="12">
        <f>[1]!EM_HKS_VAL_MV(B1905,"2019-12-31","2")</f>
        <v>12902516293.440001</v>
      </c>
      <c r="M1905">
        <f>[1]!EM_S_VAL_PETTMDEDUCTED(B1905,E1905)</f>
        <v>13.255042338120401</v>
      </c>
      <c r="N1905" s="7">
        <f>[1]!EM_S_VAL_PBGOODWILLDEDUCTED(B1905,E1905)</f>
        <v>1.1354558269089701</v>
      </c>
      <c r="O1905" s="7">
        <f>[1]!EM_S_VAL_PS_TTM(B1905,E1905)</f>
        <v>0.25595355656138902</v>
      </c>
      <c r="P1905" s="7">
        <f>[1]!EM_S_VAL_PCF_NCFTTM(B1905,E1905)</f>
        <v>221.77438435501301</v>
      </c>
      <c r="Q1905" s="7">
        <f>[1]!EM_S_VAL_DIVIDENDYIELD2(B1905,E1905,"2019-11-29")</f>
        <v>0</v>
      </c>
      <c r="T1905"/>
      <c r="U1905">
        <f>[1]!EM_S_RATIO_EPS_TTM(B1905,E1905,"1")</f>
        <v>0.17445389840808165</v>
      </c>
      <c r="AT1905" s="4" t="str">
        <f>[1]!EM_S_IPO_LISTEDDATE(B1905)</f>
        <v>2000-12-20</v>
      </c>
    </row>
    <row r="1906" spans="1:46">
      <c r="A1906">
        <v>1279</v>
      </c>
      <c r="B1906" t="str">
        <f>"002772"</f>
        <v>002772</v>
      </c>
      <c r="C1906" t="s">
        <v>695</v>
      </c>
      <c r="D1906" t="str">
        <f>[1]!EM_S_INFO_INDEX_EM(B1906,"1")</f>
        <v>农林牧渔</v>
      </c>
      <c r="E1906" s="4">
        <f t="shared" si="29"/>
        <v>43465</v>
      </c>
      <c r="F1906" s="11">
        <f>[1]!EM_S_PQ_PCTCHANGE(B1906,"2018-01-01","2019-12-31","3")</f>
        <v>-36.142209620000003</v>
      </c>
      <c r="G1906" s="11">
        <f>[1]!EM_S_PQ_PCTCHANGE(B1906,"2018-12-31","2019-12-30","1")</f>
        <v>6.8006182400000004</v>
      </c>
      <c r="H1906" s="11">
        <f>[1]!EM_S_FA_YOY_OR(B1906,E1906)</f>
        <v>25.228588149899998</v>
      </c>
      <c r="I1906" s="11">
        <f>[1]!EM_S_FA_GROSSPROFITMARGIN(B1906,E1906)</f>
        <v>27.8455162966</v>
      </c>
      <c r="J1906" s="11">
        <f>[1]!EM_S_FA_NETPROFITMARGIN(B1906,E1906)</f>
        <v>12.1699216435</v>
      </c>
      <c r="K1906" s="10">
        <f>[1]!EM_S_FA_ASSETSTURN(B1906,E1906)</f>
        <v>0.22593298217999999</v>
      </c>
      <c r="L1906" s="12">
        <f>[1]!EM_HKS_VAL_MV(B1906,"2019-12-31","2")</f>
        <v>2540796006.1900001</v>
      </c>
      <c r="M1906">
        <f>[1]!EM_S_VAL_PETTMDEDUCTED(B1906,E1906)</f>
        <v>22.516182552490601</v>
      </c>
      <c r="N1906" s="7">
        <f>[1]!EM_S_VAL_PBGOODWILLDEDUCTED(B1906,E1906)</f>
        <v>0.99271095284752897</v>
      </c>
      <c r="O1906" s="7">
        <f>[1]!EM_S_VAL_PS_TTM(B1906,E1906)</f>
        <v>2.65430934876552</v>
      </c>
      <c r="P1906" s="7">
        <f>[1]!EM_S_VAL_PCF_NCFTTM(B1906,E1906)</f>
        <v>8.5351290671757702</v>
      </c>
      <c r="Q1906" s="7">
        <f>[1]!EM_S_VAL_DIVIDENDYIELD2(B1906,E1906,"2019-11-29")</f>
        <v>1.4925219411824147</v>
      </c>
      <c r="T1906"/>
      <c r="U1906">
        <f>[1]!EM_S_RATIO_EPS_TTM(B1906,E1906,"1")</f>
        <v>0.29983671854722793</v>
      </c>
      <c r="AT1906" s="4" t="str">
        <f>[1]!EM_S_IPO_LISTEDDATE(B1906)</f>
        <v>2015-06-26</v>
      </c>
    </row>
    <row r="1907" spans="1:46">
      <c r="A1907">
        <v>162</v>
      </c>
      <c r="B1907" t="str">
        <f>"000553"</f>
        <v>000553</v>
      </c>
      <c r="C1907" t="s">
        <v>83</v>
      </c>
      <c r="D1907" t="str">
        <f>[1]!EM_S_INFO_INDEX_EM(B1907,"1")</f>
        <v>基础化工</v>
      </c>
      <c r="E1907" s="4">
        <f t="shared" si="29"/>
        <v>43465</v>
      </c>
      <c r="F1907" s="11">
        <f>[1]!EM_S_PQ_PCTCHANGE(B1907,"2018-01-01","2019-12-31","3")</f>
        <v>-36.006411249999999</v>
      </c>
      <c r="G1907" s="11">
        <f>[1]!EM_S_PQ_PCTCHANGE(B1907,"2018-12-31","2019-12-30","1")</f>
        <v>6.79079956</v>
      </c>
      <c r="H1907" s="11">
        <f>[1]!EM_S_FA_YOY_OR(B1907,E1907)</f>
        <v>7.5381341929000003</v>
      </c>
      <c r="I1907" s="11">
        <f>[1]!EM_S_FA_GROSSPROFITMARGIN(B1907,E1907)</f>
        <v>33.301332701200003</v>
      </c>
      <c r="J1907" s="11">
        <f>[1]!EM_S_FA_NETPROFITMARGIN(B1907,E1907)</f>
        <v>9.3790780358999992</v>
      </c>
      <c r="K1907" s="10">
        <f>[1]!EM_S_FA_ASSETSTURN(B1907,E1907)</f>
        <v>0.62152685570099997</v>
      </c>
      <c r="L1907" s="12">
        <f>[1]!EM_HKS_VAL_MV(B1907,"2019-12-31","2")</f>
        <v>24465535820</v>
      </c>
      <c r="M1907">
        <f>[1]!EM_S_VAL_PETTMDEDUCTED(B1907,E1907)</f>
        <v>24.494242105929199</v>
      </c>
      <c r="N1907" s="7">
        <f>[1]!EM_S_VAL_PBGOODWILLDEDUCTED(B1907,E1907)</f>
        <v>1.22770209902056</v>
      </c>
      <c r="O1907" s="7">
        <f>[1]!EM_S_VAL_PS_TTM(B1907,E1907)</f>
        <v>0.91619516562323899</v>
      </c>
      <c r="P1907" s="7">
        <f>[1]!EM_S_VAL_PCF_NCFTTM(B1907,E1907)</f>
        <v>10.978425661501101</v>
      </c>
      <c r="Q1907" s="7">
        <f>[1]!EM_S_VAL_DIVIDENDYIELD2(B1907,E1907,"2019-11-29")</f>
        <v>0.98577235772357741</v>
      </c>
      <c r="T1907"/>
      <c r="U1907">
        <f>[1]!EM_S_RATIO_EPS_TTM(B1907,E1907,"1")</f>
        <v>0.98197808446772039</v>
      </c>
      <c r="AT1907" s="4" t="str">
        <f>[1]!EM_S_IPO_LISTEDDATE(B1907)</f>
        <v>1993-12-03</v>
      </c>
    </row>
    <row r="1908" spans="1:46">
      <c r="A1908">
        <v>3439</v>
      </c>
      <c r="B1908" t="str">
        <f>"603579"</f>
        <v>603579</v>
      </c>
      <c r="C1908" t="s">
        <v>441</v>
      </c>
      <c r="D1908" t="str">
        <f>[1]!EM_S_INFO_INDEX_EM(B1908,"1")</f>
        <v>家电</v>
      </c>
      <c r="E1908" s="4">
        <f t="shared" si="29"/>
        <v>43465</v>
      </c>
      <c r="F1908" s="11">
        <f>[1]!EM_S_PQ_PCTCHANGE(B1908,"2018-01-01","2019-12-31","3")</f>
        <v>-49.382994089999997</v>
      </c>
      <c r="G1908" s="11">
        <f>[1]!EM_S_PQ_PCTCHANGE(B1908,"2018-12-31","2019-12-30","1")</f>
        <v>6.77009873</v>
      </c>
      <c r="H1908" s="11">
        <f>[1]!EM_S_FA_YOY_OR(B1908,E1908)</f>
        <v>19.702664935400001</v>
      </c>
      <c r="I1908" s="11">
        <f>[1]!EM_S_FA_GROSSPROFITMARGIN(B1908,E1908)</f>
        <v>34.066346340700001</v>
      </c>
      <c r="J1908" s="11">
        <f>[1]!EM_S_FA_NETPROFITMARGIN(B1908,E1908)</f>
        <v>10.8875406877</v>
      </c>
      <c r="K1908" s="10">
        <f>[1]!EM_S_FA_ASSETSTURN(B1908,E1908)</f>
        <v>1.054512023269</v>
      </c>
      <c r="L1908" s="12">
        <f>[1]!EM_HKS_VAL_MV(B1908,"2019-12-31","2")</f>
        <v>4354000000</v>
      </c>
      <c r="M1908">
        <f>[1]!EM_S_VAL_PETTMDEDUCTED(B1908,E1908)</f>
        <v>15.159655761307301</v>
      </c>
      <c r="N1908" s="7">
        <f>[1]!EM_S_VAL_PBGOODWILLDEDUCTED(B1908,E1908)</f>
        <v>2.6662099593338699</v>
      </c>
      <c r="O1908" s="7">
        <f>[1]!EM_S_VAL_PS_TTM(B1908,E1908)</f>
        <v>1.6553276979582301</v>
      </c>
      <c r="P1908" s="7">
        <f>[1]!EM_S_VAL_PCF_NCFTTM(B1908,E1908)</f>
        <v>-6.3357462880411699</v>
      </c>
      <c r="Q1908" s="7">
        <f>[1]!EM_S_VAL_DIVIDENDYIELD2(B1908,E1908,"2019-11-29")</f>
        <v>1.0779734099892202</v>
      </c>
      <c r="T1908"/>
      <c r="U1908">
        <f>[1]!EM_S_RATIO_EPS_TTM(B1908,E1908,"1")</f>
        <v>1.7800734205714286</v>
      </c>
      <c r="AT1908" s="4" t="str">
        <f>[1]!EM_S_IPO_LISTEDDATE(B1908)</f>
        <v>2017-01-11</v>
      </c>
    </row>
    <row r="1909" spans="1:46">
      <c r="A1909">
        <v>2826</v>
      </c>
      <c r="B1909" t="str">
        <f>"600753"</f>
        <v>600753</v>
      </c>
      <c r="C1909" t="s">
        <v>1103</v>
      </c>
      <c r="D1909" t="str">
        <f>[1]!EM_S_INFO_INDEX_EM(B1909,"1")</f>
        <v>商贸零售</v>
      </c>
      <c r="E1909" s="4">
        <f t="shared" si="29"/>
        <v>43465</v>
      </c>
      <c r="F1909" s="11">
        <f>[1]!EM_S_PQ_PCTCHANGE(B1909,"2018-01-01","2019-12-31","3")</f>
        <v>-48.305647839999999</v>
      </c>
      <c r="G1909" s="11">
        <f>[1]!EM_S_PQ_PCTCHANGE(B1909,"2018-12-31","2019-12-30","1")</f>
        <v>6.7438692099999997</v>
      </c>
      <c r="H1909" s="11">
        <f>[1]!EM_S_FA_YOY_OR(B1909,E1909)</f>
        <v>457.51836550209998</v>
      </c>
      <c r="I1909" s="11">
        <f>[1]!EM_S_FA_GROSSPROFITMARGIN(B1909,E1909)</f>
        <v>1.4985926708999999</v>
      </c>
      <c r="J1909" s="11">
        <f>[1]!EM_S_FA_NETPROFITMARGIN(B1909,E1909)</f>
        <v>1.0654068753999999</v>
      </c>
      <c r="K1909" s="10">
        <f>[1]!EM_S_FA_ASSETSTURN(B1909,E1909)</f>
        <v>8.5143537927710007</v>
      </c>
      <c r="L1909" s="12">
        <f>[1]!EM_HKS_VAL_MV(B1909,"2019-12-31","2")</f>
        <v>1991680000</v>
      </c>
      <c r="M1909">
        <f>[1]!EM_S_VAL_PETTMDEDUCTED(B1909,E1909)</f>
        <v>230.67116243662301</v>
      </c>
      <c r="N1909" s="7">
        <f>[1]!EM_S_VAL_PBGOODWILLDEDUCTED(B1909,E1909)</f>
        <v>10.296894834190599</v>
      </c>
      <c r="O1909" s="7">
        <f>[1]!EM_S_VAL_PS_TTM(B1909,E1909)</f>
        <v>1.1007331688367401</v>
      </c>
      <c r="P1909" s="7">
        <f>[1]!EM_S_VAL_PCF_NCFTTM(B1909,E1909)</f>
        <v>15.187597119357701</v>
      </c>
      <c r="Q1909" s="7">
        <f>[1]!EM_S_VAL_DIVIDENDYIELD2(B1909,E1909,"2019-11-29")</f>
        <v>0</v>
      </c>
      <c r="T1909"/>
      <c r="U1909">
        <f>[1]!EM_S_RATIO_EPS_TTM(B1909,E1909,"1")</f>
        <v>0.1635203290625</v>
      </c>
      <c r="AT1909" s="4" t="str">
        <f>[1]!EM_S_IPO_LISTEDDATE(B1909)</f>
        <v>1996-09-27</v>
      </c>
    </row>
    <row r="1910" spans="1:46">
      <c r="A1910">
        <v>827</v>
      </c>
      <c r="B1910" t="str">
        <f>"002316"</f>
        <v>002316</v>
      </c>
      <c r="C1910" t="s">
        <v>1318</v>
      </c>
      <c r="D1910" t="str">
        <f>[1]!EM_S_INFO_INDEX_EM(B1910,"1")</f>
        <v>信息技术</v>
      </c>
      <c r="E1910" s="4">
        <f t="shared" si="29"/>
        <v>43465</v>
      </c>
      <c r="F1910" s="11">
        <f>[1]!EM_S_PQ_PCTCHANGE(B1910,"2018-01-01","2019-12-31","3")</f>
        <v>-34.818231740000002</v>
      </c>
      <c r="G1910" s="11">
        <f>[1]!EM_S_PQ_PCTCHANGE(B1910,"2018-12-31","2019-12-30","1")</f>
        <v>6.7238912700000002</v>
      </c>
      <c r="H1910" s="11">
        <f>[1]!EM_S_FA_YOY_OR(B1910,E1910)</f>
        <v>279.20432145180001</v>
      </c>
      <c r="I1910" s="11">
        <f>[1]!EM_S_FA_GROSSPROFITMARGIN(B1910,E1910)</f>
        <v>34.853986054099998</v>
      </c>
      <c r="J1910" s="11">
        <f>[1]!EM_S_FA_NETPROFITMARGIN(B1910,E1910)</f>
        <v>8.1063970841999993</v>
      </c>
      <c r="K1910" s="10">
        <f>[1]!EM_S_FA_ASSETSTURN(B1910,E1910)</f>
        <v>1.2663662785580001</v>
      </c>
      <c r="L1910" s="12">
        <f>[1]!EM_HKS_VAL_MV(B1910,"2019-12-31","2")</f>
        <v>2940537600</v>
      </c>
      <c r="M1910">
        <f>[1]!EM_S_VAL_PETTMDEDUCTED(B1910,E1910)</f>
        <v>35.358467475092901</v>
      </c>
      <c r="N1910" s="7">
        <f>[1]!EM_S_VAL_PBGOODWILLDEDUCTED(B1910,E1910)</f>
        <v>140.196728568411</v>
      </c>
      <c r="O1910" s="7">
        <f>[1]!EM_S_VAL_PS_TTM(B1910,E1910)</f>
        <v>0.78829205284839199</v>
      </c>
      <c r="P1910" s="7">
        <f>[1]!EM_S_VAL_PCF_NCFTTM(B1910,E1910)</f>
        <v>-11.5091126109466</v>
      </c>
      <c r="Q1910" s="7">
        <f>[1]!EM_S_VAL_DIVIDENDYIELD2(B1910,E1910,"2019-11-29")</f>
        <v>0.19354838709677419</v>
      </c>
      <c r="T1910"/>
      <c r="U1910">
        <f>[1]!EM_S_RATIO_EPS_TTM(B1910,E1910,"1")</f>
        <v>0.2544424975071225</v>
      </c>
      <c r="AT1910" s="4" t="str">
        <f>[1]!EM_S_IPO_LISTEDDATE(B1910)</f>
        <v>2009-12-09</v>
      </c>
    </row>
    <row r="1911" spans="1:46">
      <c r="A1911">
        <v>2214</v>
      </c>
      <c r="B1911" t="str">
        <f>"600067"</f>
        <v>600067</v>
      </c>
      <c r="C1911" t="s">
        <v>3274</v>
      </c>
      <c r="D1911" t="str">
        <f>[1]!EM_S_INFO_INDEX_EM(B1911,"1")</f>
        <v>房地产</v>
      </c>
      <c r="E1911" s="4">
        <f t="shared" si="29"/>
        <v>43465</v>
      </c>
      <c r="F1911" s="11">
        <f>[1]!EM_S_PQ_PCTCHANGE(B1911,"2018-01-01","2019-12-31","3")</f>
        <v>-36.141801389999998</v>
      </c>
      <c r="G1911" s="11">
        <f>[1]!EM_S_PQ_PCTCHANGE(B1911,"2018-12-31","2019-12-30","1")</f>
        <v>6.7204301099999997</v>
      </c>
      <c r="H1911" s="11">
        <f>[1]!EM_S_FA_YOY_OR(B1911,E1911)</f>
        <v>17.580174921800001</v>
      </c>
      <c r="I1911" s="11">
        <f>[1]!EM_S_FA_GROSSPROFITMARGIN(B1911,E1911)</f>
        <v>37.955510979099998</v>
      </c>
      <c r="J1911" s="11">
        <f>[1]!EM_S_FA_NETPROFITMARGIN(B1911,E1911)</f>
        <v>10.744962018700001</v>
      </c>
      <c r="K1911" s="10">
        <f>[1]!EM_S_FA_ASSETSTURN(B1911,E1911)</f>
        <v>0.357851465333</v>
      </c>
      <c r="L1911" s="12">
        <f>[1]!EM_HKS_VAL_MV(B1911,"2019-12-31","2")</f>
        <v>5938600685.5</v>
      </c>
      <c r="M1911">
        <f>[1]!EM_S_VAL_PETTMDEDUCTED(B1911,E1911)</f>
        <v>15.0747187618319</v>
      </c>
      <c r="N1911" s="7">
        <f>[1]!EM_S_VAL_PBGOODWILLDEDUCTED(B1911,E1911)</f>
        <v>0.71034452208758403</v>
      </c>
      <c r="O1911" s="7">
        <f>[1]!EM_S_VAL_PS_TTM(B1911,E1911)</f>
        <v>0.79307613453232195</v>
      </c>
      <c r="P1911" s="7">
        <f>[1]!EM_S_VAL_PCF_NCFTTM(B1911,E1911)</f>
        <v>20.229989192676399</v>
      </c>
      <c r="Q1911" s="7">
        <f>[1]!EM_S_VAL_DIVIDENDYIELD2(B1911,E1911,"2019-11-29")</f>
        <v>2.6455026455026456</v>
      </c>
      <c r="T1911"/>
      <c r="U1911">
        <f>[1]!EM_S_RATIO_EPS_TTM(B1911,E1911,"1")</f>
        <v>0.50863654858455631</v>
      </c>
      <c r="AT1911" s="4" t="str">
        <f>[1]!EM_S_IPO_LISTEDDATE(B1911)</f>
        <v>1997-05-08</v>
      </c>
    </row>
    <row r="1912" spans="1:46">
      <c r="A1912">
        <v>2297</v>
      </c>
      <c r="B1912" t="str">
        <f>"600157"</f>
        <v>600157</v>
      </c>
      <c r="C1912" t="s">
        <v>1306</v>
      </c>
      <c r="D1912" t="str">
        <f>[1]!EM_S_INFO_INDEX_EM(B1912,"1")</f>
        <v>化石能源</v>
      </c>
      <c r="E1912" s="4">
        <f t="shared" si="29"/>
        <v>43465</v>
      </c>
      <c r="F1912" s="11">
        <f>[1]!EM_S_PQ_PCTCHANGE(B1912,"2018-01-01","2019-12-31","3")</f>
        <v>-57.440476189999998</v>
      </c>
      <c r="G1912" s="11">
        <f>[1]!EM_S_PQ_PCTCHANGE(B1912,"2018-12-31","2019-12-30","1")</f>
        <v>6.7164179099999997</v>
      </c>
      <c r="H1912" s="11">
        <f>[1]!EM_S_FA_YOY_OR(B1912,E1912)</f>
        <v>-0.27230722010000002</v>
      </c>
      <c r="I1912" s="11">
        <f>[1]!EM_S_FA_GROSSPROFITMARGIN(B1912,E1912)</f>
        <v>26.531217666300002</v>
      </c>
      <c r="J1912" s="11">
        <f>[1]!EM_S_FA_NETPROFITMARGIN(B1912,E1912)</f>
        <v>0.71316208130000003</v>
      </c>
      <c r="K1912" s="10">
        <f>[1]!EM_S_FA_ASSETSTURN(B1912,E1912)</f>
        <v>0.20895719428599999</v>
      </c>
      <c r="L1912" s="12">
        <f>[1]!EM_HKS_VAL_MV(B1912,"2019-12-31","2")</f>
        <v>17768887316.18</v>
      </c>
      <c r="M1912">
        <f>[1]!EM_S_VAL_PETTMDEDUCTED(B1912,E1912)</f>
        <v>-46.401332935259099</v>
      </c>
      <c r="N1912" s="7">
        <f>[1]!EM_S_VAL_PBGOODWILLDEDUCTED(B1912,E1912)</f>
        <v>0.85670555917958802</v>
      </c>
      <c r="O1912" s="7">
        <f>[1]!EM_S_VAL_PS_TTM(B1912,E1912)</f>
        <v>0.76139765974223395</v>
      </c>
      <c r="P1912" s="7">
        <f>[1]!EM_S_VAL_PCF_NCFTTM(B1912,E1912)</f>
        <v>-4.6168613778183101</v>
      </c>
      <c r="Q1912" s="7">
        <f>[1]!EM_S_VAL_DIVIDENDYIELD2(B1912,E1912,"2019-11-29")</f>
        <v>0</v>
      </c>
      <c r="T1912"/>
      <c r="U1912">
        <f>[1]!EM_S_RATIO_EPS_TTM(B1912,E1912,"1")</f>
        <v>5.3049727305640318E-3</v>
      </c>
      <c r="AT1912" s="4" t="str">
        <f>[1]!EM_S_IPO_LISTEDDATE(B1912)</f>
        <v>1998-05-13</v>
      </c>
    </row>
    <row r="1913" spans="1:46">
      <c r="A1913">
        <v>3231</v>
      </c>
      <c r="B1913" t="str">
        <f>"603035"</f>
        <v>603035</v>
      </c>
      <c r="C1913" t="s">
        <v>517</v>
      </c>
      <c r="D1913" t="str">
        <f>[1]!EM_S_INFO_INDEX_EM(B1913,"1")</f>
        <v>交运设备</v>
      </c>
      <c r="E1913" s="4">
        <f t="shared" si="29"/>
        <v>43465</v>
      </c>
      <c r="F1913" s="11">
        <f>[1]!EM_S_PQ_PCTCHANGE(B1913,"2018-01-01","2019-12-31","3")</f>
        <v>-12.01819631</v>
      </c>
      <c r="G1913" s="11">
        <f>[1]!EM_S_PQ_PCTCHANGE(B1913,"2018-12-31","2019-12-30","1")</f>
        <v>6.6942148799999996</v>
      </c>
      <c r="H1913" s="11">
        <f>[1]!EM_S_FA_YOY_OR(B1913,E1913)</f>
        <v>9.2943859676000002</v>
      </c>
      <c r="I1913" s="11">
        <f>[1]!EM_S_FA_GROSSPROFITMARGIN(B1913,E1913)</f>
        <v>20.935047682499999</v>
      </c>
      <c r="J1913" s="11">
        <f>[1]!EM_S_FA_NETPROFITMARGIN(B1913,E1913)</f>
        <v>23.004554745899998</v>
      </c>
      <c r="K1913" s="10">
        <f>[1]!EM_S_FA_ASSETSTURN(B1913,E1913)</f>
        <v>0.37875471165000002</v>
      </c>
      <c r="L1913" s="12">
        <f>[1]!EM_HKS_VAL_MV(B1913,"2019-12-31","2")</f>
        <v>3640000000</v>
      </c>
      <c r="M1913">
        <f>[1]!EM_S_VAL_PETTMDEDUCTED(B1913,E1913)</f>
        <v>14.918629547832699</v>
      </c>
      <c r="N1913" s="7">
        <f>[1]!EM_S_VAL_PBGOODWILLDEDUCTED(B1913,E1913)</f>
        <v>1.34995528070938</v>
      </c>
      <c r="O1913" s="7">
        <f>[1]!EM_S_VAL_PS_TTM(B1913,E1913)</f>
        <v>2.2822313632464799</v>
      </c>
      <c r="P1913" s="7">
        <f>[1]!EM_S_VAL_PCF_NCFTTM(B1913,E1913)</f>
        <v>-37.2218391062015</v>
      </c>
      <c r="Q1913" s="7">
        <f>[1]!EM_S_VAL_DIVIDENDYIELD2(B1913,E1913,"2019-11-29")</f>
        <v>3.894080996884735</v>
      </c>
      <c r="T1913"/>
      <c r="U1913">
        <f>[1]!EM_S_RATIO_EPS_TTM(B1913,E1913,"1")</f>
        <v>1.2145853752857143</v>
      </c>
      <c r="AT1913" s="4" t="str">
        <f>[1]!EM_S_IPO_LISTEDDATE(B1913)</f>
        <v>2017-01-05</v>
      </c>
    </row>
    <row r="1914" spans="1:46">
      <c r="A1914">
        <v>3637</v>
      </c>
      <c r="B1914" t="str">
        <f>"603997"</f>
        <v>603997</v>
      </c>
      <c r="C1914" t="s">
        <v>369</v>
      </c>
      <c r="D1914" t="str">
        <f>[1]!EM_S_INFO_INDEX_EM(B1914,"1")</f>
        <v>交运设备</v>
      </c>
      <c r="E1914" s="4">
        <f t="shared" si="29"/>
        <v>43465</v>
      </c>
      <c r="F1914" s="11">
        <f>[1]!EM_S_PQ_PCTCHANGE(B1914,"2018-01-01","2019-12-31","3")</f>
        <v>-23.782974119999999</v>
      </c>
      <c r="G1914" s="11">
        <f>[1]!EM_S_PQ_PCTCHANGE(B1914,"2018-12-31","2019-12-30","1")</f>
        <v>6.6666666699999997</v>
      </c>
      <c r="H1914" s="11">
        <f>[1]!EM_S_FA_YOY_OR(B1914,E1914)</f>
        <v>13.1054462464</v>
      </c>
      <c r="I1914" s="11">
        <f>[1]!EM_S_FA_GROSSPROFITMARGIN(B1914,E1914)</f>
        <v>33.155799791900002</v>
      </c>
      <c r="J1914" s="11">
        <f>[1]!EM_S_FA_NETPROFITMARGIN(B1914,E1914)</f>
        <v>14.676887237900001</v>
      </c>
      <c r="K1914" s="10">
        <f>[1]!EM_S_FA_ASSETSTURN(B1914,E1914)</f>
        <v>0.91052914470299995</v>
      </c>
      <c r="L1914" s="12">
        <f>[1]!EM_HKS_VAL_MV(B1914,"2019-12-31","2")</f>
        <v>8270711601.6800003</v>
      </c>
      <c r="M1914">
        <f>[1]!EM_S_VAL_PETTMDEDUCTED(B1914,E1914)</f>
        <v>15.893003783073199</v>
      </c>
      <c r="N1914" s="7">
        <f>[1]!EM_S_VAL_PBGOODWILLDEDUCTED(B1914,E1914)</f>
        <v>2.6221378633978198</v>
      </c>
      <c r="O1914" s="7">
        <f>[1]!EM_S_VAL_PS_TTM(B1914,E1914)</f>
        <v>2.2719862656950198</v>
      </c>
      <c r="P1914" s="7">
        <f>[1]!EM_S_VAL_PCF_NCFTTM(B1914,E1914)</f>
        <v>516.899895350826</v>
      </c>
      <c r="Q1914" s="7">
        <f>[1]!EM_S_VAL_DIVIDENDYIELD2(B1914,E1914,"2019-11-29")</f>
        <v>3.9745222929936306</v>
      </c>
      <c r="T1914"/>
      <c r="U1914">
        <f>[1]!EM_S_RATIO_EPS_TTM(B1914,E1914,"1")</f>
        <v>0.47273677335538705</v>
      </c>
      <c r="AT1914" s="4" t="str">
        <f>[1]!EM_S_IPO_LISTEDDATE(B1914)</f>
        <v>2015-03-02</v>
      </c>
    </row>
    <row r="1915" spans="1:46">
      <c r="A1915">
        <v>3177</v>
      </c>
      <c r="B1915" t="str">
        <f>"601918"</f>
        <v>601918</v>
      </c>
      <c r="C1915" t="s">
        <v>153</v>
      </c>
      <c r="D1915" t="str">
        <f>[1]!EM_S_INFO_INDEX_EM(B1915,"1")</f>
        <v>化石能源</v>
      </c>
      <c r="E1915" s="4">
        <f t="shared" si="29"/>
        <v>43465</v>
      </c>
      <c r="F1915" s="11">
        <f>[1]!EM_S_PQ_PCTCHANGE(B1915,"2018-01-01","2019-12-31","3")</f>
        <v>-16.220157230000002</v>
      </c>
      <c r="G1915" s="11">
        <f>[1]!EM_S_PQ_PCTCHANGE(B1915,"2018-12-31","2019-12-30","1")</f>
        <v>6.6445182699999998</v>
      </c>
      <c r="H1915" s="11">
        <f>[1]!EM_S_FA_YOY_OR(B1915,E1915)</f>
        <v>17.1782940903</v>
      </c>
      <c r="I1915" s="11">
        <f>[1]!EM_S_FA_GROSSPROFITMARGIN(B1915,E1915)</f>
        <v>41.659808311500001</v>
      </c>
      <c r="J1915" s="11">
        <f>[1]!EM_S_FA_NETPROFITMARGIN(B1915,E1915)</f>
        <v>4.6504001854999997</v>
      </c>
      <c r="K1915" s="10">
        <f>[1]!EM_S_FA_ASSETSTURN(B1915,E1915)</f>
        <v>0.29244458459799999</v>
      </c>
      <c r="L1915" s="12">
        <f>[1]!EM_HKS_VAL_MV(B1915,"2019-12-31","2")</f>
        <v>8393355432</v>
      </c>
      <c r="M1915">
        <f>[1]!EM_S_VAL_PETTMDEDUCTED(B1915,E1915)</f>
        <v>11.022490525084701</v>
      </c>
      <c r="N1915" s="7">
        <f>[1]!EM_S_VAL_PBGOODWILLDEDUCTED(B1915,E1915)</f>
        <v>1.4706722985521801</v>
      </c>
      <c r="O1915" s="7">
        <f>[1]!EM_S_VAL_PS_TTM(B1915,E1915)</f>
        <v>0.88937801998501798</v>
      </c>
      <c r="P1915" s="7">
        <f>[1]!EM_S_VAL_PCF_NCFTTM(B1915,E1915)</f>
        <v>29.6923207784066</v>
      </c>
      <c r="Q1915" s="7">
        <f>[1]!EM_S_VAL_DIVIDENDYIELD2(B1915,E1915,"2019-11-29")</f>
        <v>0.29585798816568049</v>
      </c>
      <c r="T1915"/>
      <c r="U1915">
        <f>[1]!EM_S_RATIO_EPS_TTM(B1915,E1915,"1")</f>
        <v>0.10087844355570715</v>
      </c>
      <c r="AT1915" s="4" t="str">
        <f>[1]!EM_S_IPO_LISTEDDATE(B1915)</f>
        <v>2007-12-19</v>
      </c>
    </row>
    <row r="1916" spans="1:46">
      <c r="A1916">
        <v>2354</v>
      </c>
      <c r="B1916" t="str">
        <f>"600219"</f>
        <v>600219</v>
      </c>
      <c r="C1916" t="s">
        <v>2308</v>
      </c>
      <c r="D1916" t="str">
        <f>[1]!EM_S_INFO_INDEX_EM(B1916,"1")</f>
        <v>有色金属</v>
      </c>
      <c r="E1916" s="4">
        <f t="shared" si="29"/>
        <v>43465</v>
      </c>
      <c r="F1916" s="11">
        <f>[1]!EM_S_PQ_PCTCHANGE(B1916,"2018-01-01","2019-12-31","3")</f>
        <v>-30.84241716</v>
      </c>
      <c r="G1916" s="11">
        <f>[1]!EM_S_PQ_PCTCHANGE(B1916,"2018-12-31","2019-12-30","1")</f>
        <v>6.6350710900000003</v>
      </c>
      <c r="H1916" s="11">
        <f>[1]!EM_S_FA_YOY_OR(B1916,E1916)</f>
        <v>18.481973207399999</v>
      </c>
      <c r="I1916" s="11">
        <f>[1]!EM_S_FA_GROSSPROFITMARGIN(B1916,E1916)</f>
        <v>17.381724089999999</v>
      </c>
      <c r="J1916" s="11">
        <f>[1]!EM_S_FA_NETPROFITMARGIN(B1916,E1916)</f>
        <v>7.5288691231999998</v>
      </c>
      <c r="K1916" s="10">
        <f>[1]!EM_S_FA_ASSETSTURN(B1916,E1916)</f>
        <v>0.41127499493500003</v>
      </c>
      <c r="L1916" s="12">
        <f>[1]!EM_HKS_VAL_MV(B1916,"2019-12-31","2")</f>
        <v>26769078604.799999</v>
      </c>
      <c r="M1916">
        <f>[1]!EM_S_VAL_PETTMDEDUCTED(B1916,E1916)</f>
        <v>15.077034497675101</v>
      </c>
      <c r="N1916" s="7">
        <f>[1]!EM_S_VAL_PBGOODWILLDEDUCTED(B1916,E1916)</f>
        <v>0.65961315999077397</v>
      </c>
      <c r="O1916" s="7">
        <f>[1]!EM_S_VAL_PS_TTM(B1916,E1916)</f>
        <v>1.25651578226355</v>
      </c>
      <c r="P1916" s="7">
        <f>[1]!EM_S_VAL_PCF_NCFTTM(B1916,E1916)</f>
        <v>-44.974698004986998</v>
      </c>
      <c r="Q1916" s="7">
        <f>[1]!EM_S_VAL_DIVIDENDYIELD2(B1916,E1916,"2019-11-29")</f>
        <v>2.3148148148148149</v>
      </c>
      <c r="T1916"/>
      <c r="U1916">
        <f>[1]!EM_S_RATIO_EPS_TTM(B1916,E1916,"1")</f>
        <v>0.1203279635446857</v>
      </c>
      <c r="AT1916" s="4" t="str">
        <f>[1]!EM_S_IPO_LISTEDDATE(B1916)</f>
        <v>1999-12-23</v>
      </c>
    </row>
    <row r="1917" spans="1:46">
      <c r="A1917">
        <v>1448</v>
      </c>
      <c r="B1917" t="str">
        <f>"300022"</f>
        <v>300022</v>
      </c>
      <c r="C1917" t="s">
        <v>2919</v>
      </c>
      <c r="D1917" t="str">
        <f>[1]!EM_S_INFO_INDEX_EM(B1917,"1")</f>
        <v>机械设备</v>
      </c>
      <c r="E1917" s="4">
        <f t="shared" si="29"/>
        <v>43465</v>
      </c>
      <c r="F1917" s="11">
        <f>[1]!EM_S_PQ_PCTCHANGE(B1917,"2018-01-01","2019-12-31","3")</f>
        <v>-37.802907920000003</v>
      </c>
      <c r="G1917" s="11">
        <f>[1]!EM_S_PQ_PCTCHANGE(B1917,"2018-12-31","2019-12-30","1")</f>
        <v>6.62983425</v>
      </c>
      <c r="H1917" s="11">
        <f>[1]!EM_S_FA_YOY_OR(B1917,E1917)</f>
        <v>-4.0162698954999998</v>
      </c>
      <c r="I1917" s="11">
        <f>[1]!EM_S_FA_GROSSPROFITMARGIN(B1917,E1917)</f>
        <v>16.298363955500001</v>
      </c>
      <c r="J1917" s="11">
        <f>[1]!EM_S_FA_NETPROFITMARGIN(B1917,E1917)</f>
        <v>1.0776500813000001</v>
      </c>
      <c r="K1917" s="10">
        <f>[1]!EM_S_FA_ASSETSTURN(B1917,E1917)</f>
        <v>1.5120843175550001</v>
      </c>
      <c r="L1917" s="12">
        <f>[1]!EM_HKS_VAL_MV(B1917,"2019-12-31","2")</f>
        <v>1463925463</v>
      </c>
      <c r="M1917">
        <f>[1]!EM_S_VAL_PETTMDEDUCTED(B1917,E1917)</f>
        <v>-23.5350956219484</v>
      </c>
      <c r="N1917" s="7">
        <f>[1]!EM_S_VAL_PBGOODWILLDEDUCTED(B1917,E1917)</f>
        <v>11.9204148715861</v>
      </c>
      <c r="O1917" s="7">
        <f>[1]!EM_S_VAL_PS_TTM(B1917,E1917)</f>
        <v>0.47743595445582399</v>
      </c>
      <c r="P1917" s="7">
        <f>[1]!EM_S_VAL_PCF_NCFTTM(B1917,E1917)</f>
        <v>58.693063084017801</v>
      </c>
      <c r="Q1917" s="7">
        <f>[1]!EM_S_VAL_DIVIDENDYIELD2(B1917,E1917,"2019-11-29")</f>
        <v>0</v>
      </c>
      <c r="T1917"/>
      <c r="U1917">
        <f>[1]!EM_S_RATIO_EPS_TTM(B1917,E1917,"1")</f>
        <v>2.7523849886747959E-2</v>
      </c>
      <c r="AT1917" s="4" t="str">
        <f>[1]!EM_S_IPO_LISTEDDATE(B1917)</f>
        <v>2009-10-30</v>
      </c>
    </row>
    <row r="1918" spans="1:46">
      <c r="A1918">
        <v>825</v>
      </c>
      <c r="B1918" t="str">
        <f>"002314"</f>
        <v>002314</v>
      </c>
      <c r="C1918" t="s">
        <v>3319</v>
      </c>
      <c r="D1918" t="str">
        <f>[1]!EM_S_INFO_INDEX_EM(B1918,"1")</f>
        <v>房地产</v>
      </c>
      <c r="E1918" s="4">
        <f t="shared" si="29"/>
        <v>43465</v>
      </c>
      <c r="F1918" s="11">
        <f>[1]!EM_S_PQ_PCTCHANGE(B1918,"2018-01-01","2019-12-31","3")</f>
        <v>-50.483870969999998</v>
      </c>
      <c r="G1918" s="11">
        <f>[1]!EM_S_PQ_PCTCHANGE(B1918,"2018-12-31","2019-12-30","1")</f>
        <v>6.6202090599999996</v>
      </c>
      <c r="H1918" s="11">
        <f>[1]!EM_S_FA_YOY_OR(B1918,E1918)</f>
        <v>-4.1693450909000003</v>
      </c>
      <c r="I1918" s="11">
        <f>[1]!EM_S_FA_GROSSPROFITMARGIN(B1918,E1918)</f>
        <v>42.885234966299997</v>
      </c>
      <c r="J1918" s="11">
        <f>[1]!EM_S_FA_NETPROFITMARGIN(B1918,E1918)</f>
        <v>10.6874824195</v>
      </c>
      <c r="K1918" s="10">
        <f>[1]!EM_S_FA_ASSETSTURN(B1918,E1918)</f>
        <v>0.29347270704200001</v>
      </c>
      <c r="L1918" s="12">
        <f>[1]!EM_HKS_VAL_MV(B1918,"2019-12-31","2")</f>
        <v>8312892314.9099998</v>
      </c>
      <c r="M1918">
        <f>[1]!EM_S_VAL_PETTMDEDUCTED(B1918,E1918)</f>
        <v>10.258522669828899</v>
      </c>
      <c r="N1918" s="7">
        <f>[1]!EM_S_VAL_PBGOODWILLDEDUCTED(B1918,E1918)</f>
        <v>0.963013424032927</v>
      </c>
      <c r="O1918" s="7">
        <f>[1]!EM_S_VAL_PS_TTM(B1918,E1918)</f>
        <v>1.02046026998397</v>
      </c>
      <c r="P1918" s="7">
        <f>[1]!EM_S_VAL_PCF_NCFTTM(B1918,E1918)</f>
        <v>-9.5890118246850093</v>
      </c>
      <c r="Q1918" s="7">
        <f>[1]!EM_S_VAL_DIVIDENDYIELD2(B1918,E1918,"2019-11-29")</f>
        <v>0</v>
      </c>
      <c r="T1918"/>
      <c r="U1918">
        <f>[1]!EM_S_RATIO_EPS_TTM(B1918,E1918,"1")</f>
        <v>0.18633930964085518</v>
      </c>
      <c r="AT1918" s="4" t="str">
        <f>[1]!EM_S_IPO_LISTEDDATE(B1918)</f>
        <v>2009-12-03</v>
      </c>
    </row>
    <row r="1919" spans="1:46">
      <c r="A1919">
        <v>2402</v>
      </c>
      <c r="B1919" t="str">
        <f>"600272"</f>
        <v>600272</v>
      </c>
      <c r="C1919" t="s">
        <v>1670</v>
      </c>
      <c r="D1919" t="str">
        <f>[1]!EM_S_INFO_INDEX_EM(B1919,"1")</f>
        <v>医药生物</v>
      </c>
      <c r="E1919" s="4">
        <f t="shared" si="29"/>
        <v>43465</v>
      </c>
      <c r="F1919" s="11">
        <f>[1]!EM_S_PQ_PCTCHANGE(B1919,"2018-01-01","2019-12-31","3")</f>
        <v>-27.890640810000001</v>
      </c>
      <c r="G1919" s="11">
        <f>[1]!EM_S_PQ_PCTCHANGE(B1919,"2018-12-31","2019-12-30","1")</f>
        <v>6.6197183099999997</v>
      </c>
      <c r="H1919" s="11">
        <f>[1]!EM_S_FA_YOY_OR(B1919,E1919)</f>
        <v>-8.7862365239999995</v>
      </c>
      <c r="I1919" s="11">
        <f>[1]!EM_S_FA_GROSSPROFITMARGIN(B1919,E1919)</f>
        <v>24.133815565399999</v>
      </c>
      <c r="J1919" s="11">
        <f>[1]!EM_S_FA_NETPROFITMARGIN(B1919,E1919)</f>
        <v>4.0044847124</v>
      </c>
      <c r="K1919" s="10">
        <f>[1]!EM_S_FA_ASSETSTURN(B1919,E1919)</f>
        <v>0.85233954148500002</v>
      </c>
      <c r="L1919" s="12">
        <f>[1]!EM_HKS_VAL_MV(B1919,"2019-12-31","2")</f>
        <v>1849230000</v>
      </c>
      <c r="M1919">
        <f>[1]!EM_S_VAL_PETTMDEDUCTED(B1919,E1919)</f>
        <v>53.634997391328703</v>
      </c>
      <c r="N1919" s="7">
        <f>[1]!EM_S_VAL_PBGOODWILLDEDUCTED(B1919,E1919)</f>
        <v>3.4827996778307999</v>
      </c>
      <c r="O1919" s="7">
        <f>[1]!EM_S_VAL_PS_TTM(B1919,E1919)</f>
        <v>1.9414123938174801</v>
      </c>
      <c r="P1919" s="7">
        <f>[1]!EM_S_VAL_PCF_NCFTTM(B1919,E1919)</f>
        <v>-42.608056857416003</v>
      </c>
      <c r="Q1919" s="7">
        <f>[1]!EM_S_VAL_DIVIDENDYIELD2(B1919,E1919,"2019-11-29")</f>
        <v>0.62326869806094187</v>
      </c>
      <c r="T1919"/>
      <c r="U1919">
        <f>[1]!EM_S_RATIO_EPS_TTM(B1919,E1919,"1")</f>
        <v>0.14499717781893004</v>
      </c>
      <c r="AT1919" s="4" t="str">
        <f>[1]!EM_S_IPO_LISTEDDATE(B1919)</f>
        <v>2001-02-28</v>
      </c>
    </row>
    <row r="1920" spans="1:46">
      <c r="A1920">
        <v>3095</v>
      </c>
      <c r="B1920" t="str">
        <f>"601311"</f>
        <v>601311</v>
      </c>
      <c r="C1920" t="s">
        <v>1138</v>
      </c>
      <c r="D1920" t="str">
        <f>[1]!EM_S_INFO_INDEX_EM(B1920,"1")</f>
        <v>交运设备</v>
      </c>
      <c r="E1920" s="4">
        <f t="shared" si="29"/>
        <v>43465</v>
      </c>
      <c r="F1920" s="11">
        <f>[1]!EM_S_PQ_PCTCHANGE(B1920,"2018-01-01","2019-12-31","3")</f>
        <v>-27.821707350000001</v>
      </c>
      <c r="G1920" s="11">
        <f>[1]!EM_S_PQ_PCTCHANGE(B1920,"2018-12-31","2019-12-30","1")</f>
        <v>6.5685164199999999</v>
      </c>
      <c r="H1920" s="11">
        <f>[1]!EM_S_FA_YOY_OR(B1920,E1920)</f>
        <v>21.0789560656</v>
      </c>
      <c r="I1920" s="11">
        <f>[1]!EM_S_FA_GROSSPROFITMARGIN(B1920,E1920)</f>
        <v>18.566389883599999</v>
      </c>
      <c r="J1920" s="11">
        <f>[1]!EM_S_FA_NETPROFITMARGIN(B1920,E1920)</f>
        <v>6.2211252120999996</v>
      </c>
      <c r="K1920" s="10">
        <f>[1]!EM_S_FA_ASSETSTURN(B1920,E1920)</f>
        <v>0.91416219737100002</v>
      </c>
      <c r="L1920" s="12">
        <f>[1]!EM_HKS_VAL_MV(B1920,"2019-12-31","2")</f>
        <v>8102666474.8400002</v>
      </c>
      <c r="M1920">
        <f>[1]!EM_S_VAL_PETTMDEDUCTED(B1920,E1920)</f>
        <v>16.224476299964799</v>
      </c>
      <c r="N1920" s="7">
        <f>[1]!EM_S_VAL_PBGOODWILLDEDUCTED(B1920,E1920)</f>
        <v>1.4034377872572299</v>
      </c>
      <c r="O1920" s="7">
        <f>[1]!EM_S_VAL_PS_TTM(B1920,E1920)</f>
        <v>0.83901170667406499</v>
      </c>
      <c r="P1920" s="7">
        <f>[1]!EM_S_VAL_PCF_NCFTTM(B1920,E1920)</f>
        <v>86.162160471782499</v>
      </c>
      <c r="Q1920" s="7">
        <f>[1]!EM_S_VAL_DIVIDENDYIELD2(B1920,E1920,"2019-11-29")</f>
        <v>1.6648168701442838</v>
      </c>
      <c r="T1920"/>
      <c r="U1920">
        <f>[1]!EM_S_RATIO_EPS_TTM(B1920,E1920,"1")</f>
        <v>0.65943706240661837</v>
      </c>
      <c r="AT1920" s="4" t="str">
        <f>[1]!EM_S_IPO_LISTEDDATE(B1920)</f>
        <v>2011-06-02</v>
      </c>
    </row>
    <row r="1921" spans="1:46">
      <c r="A1921">
        <v>1071</v>
      </c>
      <c r="B1921" t="str">
        <f>"002560"</f>
        <v>002560</v>
      </c>
      <c r="C1921" t="s">
        <v>2766</v>
      </c>
      <c r="D1921" t="str">
        <f>[1]!EM_S_INFO_INDEX_EM(B1921,"1")</f>
        <v>电气设备</v>
      </c>
      <c r="E1921" s="4">
        <f t="shared" si="29"/>
        <v>43465</v>
      </c>
      <c r="F1921" s="11">
        <f>[1]!EM_S_PQ_PCTCHANGE(B1921,"2018-01-01","2019-12-31","3")</f>
        <v>-20.464431059999999</v>
      </c>
      <c r="G1921" s="11">
        <f>[1]!EM_S_PQ_PCTCHANGE(B1921,"2018-12-31","2019-12-30","1")</f>
        <v>6.51769088</v>
      </c>
      <c r="H1921" s="11">
        <f>[1]!EM_S_FA_YOY_OR(B1921,E1921)</f>
        <v>46.196373956099997</v>
      </c>
      <c r="I1921" s="11">
        <f>[1]!EM_S_FA_GROSSPROFITMARGIN(B1921,E1921)</f>
        <v>8.8731300828999995</v>
      </c>
      <c r="J1921" s="11">
        <f>[1]!EM_S_FA_NETPROFITMARGIN(B1921,E1921)</f>
        <v>-0.89317272810000004</v>
      </c>
      <c r="K1921" s="10">
        <f>[1]!EM_S_FA_ASSETSTURN(B1921,E1921)</f>
        <v>0.90311519651500005</v>
      </c>
      <c r="L1921" s="12">
        <f>[1]!EM_HKS_VAL_MV(B1921,"2019-12-31","2")</f>
        <v>2556611153.2800002</v>
      </c>
      <c r="M1921">
        <f>[1]!EM_S_VAL_PETTMDEDUCTED(B1921,E1921)</f>
        <v>79.852171458010901</v>
      </c>
      <c r="N1921" s="7">
        <f>[1]!EM_S_VAL_PBGOODWILLDEDUCTED(B1921,E1921)</f>
        <v>1.8377985253944999</v>
      </c>
      <c r="O1921" s="7">
        <f>[1]!EM_S_VAL_PS_TTM(B1921,E1921)</f>
        <v>1.09307633955229</v>
      </c>
      <c r="P1921" s="7">
        <f>[1]!EM_S_VAL_PCF_NCFTTM(B1921,E1921)</f>
        <v>304.41067897362899</v>
      </c>
      <c r="Q1921" s="7">
        <f>[1]!EM_S_VAL_DIVIDENDYIELD2(B1921,E1921,"2019-11-29")</f>
        <v>0</v>
      </c>
      <c r="T1921"/>
      <c r="U1921">
        <f>[1]!EM_S_RATIO_EPS_TTM(B1921,E1921,"1")</f>
        <v>-2.6927765019782494E-2</v>
      </c>
      <c r="AT1921" s="4" t="str">
        <f>[1]!EM_S_IPO_LISTEDDATE(B1921)</f>
        <v>2011-03-03</v>
      </c>
    </row>
    <row r="1922" spans="1:46">
      <c r="A1922">
        <v>980</v>
      </c>
      <c r="B1922" t="str">
        <f>"002469"</f>
        <v>002469</v>
      </c>
      <c r="C1922" t="s">
        <v>2437</v>
      </c>
      <c r="D1922" t="str">
        <f>[1]!EM_S_INFO_INDEX_EM(B1922,"1")</f>
        <v>建筑</v>
      </c>
      <c r="E1922" s="4">
        <f t="shared" si="29"/>
        <v>43465</v>
      </c>
      <c r="F1922" s="11">
        <f>[1]!EM_S_PQ_PCTCHANGE(B1922,"2018-01-01","2019-12-31","3")</f>
        <v>-35.950331130000002</v>
      </c>
      <c r="G1922" s="11">
        <f>[1]!EM_S_PQ_PCTCHANGE(B1922,"2018-12-31","2019-12-30","1")</f>
        <v>6.5104166699999997</v>
      </c>
      <c r="H1922" s="11">
        <f>[1]!EM_S_FA_YOY_OR(B1922,E1922)</f>
        <v>-30.590642228299998</v>
      </c>
      <c r="I1922" s="11">
        <f>[1]!EM_S_FA_GROSSPROFITMARGIN(B1922,E1922)</f>
        <v>31.919232167000001</v>
      </c>
      <c r="J1922" s="11">
        <f>[1]!EM_S_FA_NETPROFITMARGIN(B1922,E1922)</f>
        <v>9.8363901913999996</v>
      </c>
      <c r="K1922" s="10">
        <f>[1]!EM_S_FA_ASSETSTURN(B1922,E1922)</f>
        <v>0.31067059206100001</v>
      </c>
      <c r="L1922" s="12">
        <f>[1]!EM_HKS_VAL_MV(B1922,"2019-12-31","2")</f>
        <v>2063377680.9000001</v>
      </c>
      <c r="M1922">
        <f>[1]!EM_S_VAL_PETTMDEDUCTED(B1922,E1922)</f>
        <v>49.098535375985001</v>
      </c>
      <c r="N1922" s="7">
        <f>[1]!EM_S_VAL_PBGOODWILLDEDUCTED(B1922,E1922)</f>
        <v>1.63296253026708</v>
      </c>
      <c r="O1922" s="7">
        <f>[1]!EM_S_VAL_PS_TTM(B1922,E1922)</f>
        <v>3.3915629081654002</v>
      </c>
      <c r="P1922" s="7">
        <f>[1]!EM_S_VAL_PCF_NCFTTM(B1922,E1922)</f>
        <v>22.022458700287199</v>
      </c>
      <c r="Q1922" s="7">
        <f>[1]!EM_S_VAL_DIVIDENDYIELD2(B1922,E1922,"2019-11-29")</f>
        <v>2.6385224274406336</v>
      </c>
      <c r="T1922"/>
      <c r="U1922">
        <f>[1]!EM_S_RATIO_EPS_TTM(B1922,E1922,"1")</f>
        <v>7.9463139072282279E-2</v>
      </c>
      <c r="AT1922" s="4" t="str">
        <f>[1]!EM_S_IPO_LISTEDDATE(B1922)</f>
        <v>2010-09-08</v>
      </c>
    </row>
    <row r="1923" spans="1:46">
      <c r="A1923">
        <v>52</v>
      </c>
      <c r="B1923" t="str">
        <f>"000059"</f>
        <v>000059</v>
      </c>
      <c r="C1923" t="s">
        <v>1051</v>
      </c>
      <c r="D1923" t="str">
        <f>[1]!EM_S_INFO_INDEX_EM(B1923,"1")</f>
        <v>化石能源</v>
      </c>
      <c r="E1923" s="4">
        <f t="shared" ref="E1923:E1986" si="30">$B$1</f>
        <v>43465</v>
      </c>
      <c r="F1923" s="11">
        <f>[1]!EM_S_PQ_PCTCHANGE(B1923,"2018-01-01","2019-12-31","3")</f>
        <v>-33.631126049999999</v>
      </c>
      <c r="G1923" s="11">
        <f>[1]!EM_S_PQ_PCTCHANGE(B1923,"2019-01-01","2019-12-31","3")</f>
        <v>6.4807018000000003</v>
      </c>
      <c r="H1923" s="11">
        <f>[1]!EM_S_FA_YOY_OR(B1923,E1923)</f>
        <v>8.8080005416000002</v>
      </c>
      <c r="I1923" s="11">
        <f>[1]!EM_S_FA_GROSSPROFITMARGIN(B1923,E1923)</f>
        <v>17.213537097</v>
      </c>
      <c r="J1923" s="11">
        <f>[1]!EM_S_FA_NETPROFITMARGIN(B1923,E1923)</f>
        <v>3.0633442390000001</v>
      </c>
      <c r="K1923" s="10">
        <f>[1]!EM_S_FA_ASSETSTURN(B1923,E1923)</f>
        <v>1.156675682658</v>
      </c>
      <c r="L1923" s="12">
        <f>[1]!EM_HKS_VAL_MV(B1923,"2019-12-31","2")</f>
        <v>9740605050.3299999</v>
      </c>
      <c r="M1923">
        <f>[1]!EM_S_VAL_PETTMDEDUCTED(B1923,E1923)</f>
        <v>5.5850024687215898</v>
      </c>
      <c r="N1923" s="7">
        <f>[1]!EM_S_VAL_PBGOODWILLDEDUCTED(B1923,E1923)</f>
        <v>0.72114327062880101</v>
      </c>
      <c r="O1923" s="7">
        <f>[1]!EM_S_VAL_PS_TTM(B1923,E1923)</f>
        <v>0.26792958559846303</v>
      </c>
      <c r="P1923" s="7">
        <f>[1]!EM_S_VAL_PCF_NCFTTM(B1923,E1923)</f>
        <v>-485.687096237297</v>
      </c>
      <c r="Q1923" s="7">
        <f>[1]!EM_S_VAL_DIVIDENDYIELD2(B1923,E1923,"2019-11-29")</f>
        <v>4.3327556325823222</v>
      </c>
      <c r="T1923"/>
      <c r="U1923">
        <f>[1]!EM_S_RATIO_EPS_TTM(B1923,E1923,"1")</f>
        <v>0.65983551577883293</v>
      </c>
      <c r="AT1923" s="4" t="str">
        <f>[1]!EM_S_IPO_LISTEDDATE(B1923)</f>
        <v>1997-01-30</v>
      </c>
    </row>
    <row r="1924" spans="1:46">
      <c r="A1924">
        <v>3075</v>
      </c>
      <c r="B1924" t="str">
        <f>"601199"</f>
        <v>601199</v>
      </c>
      <c r="C1924" t="s">
        <v>1900</v>
      </c>
      <c r="D1924" t="str">
        <f>[1]!EM_S_INFO_INDEX_EM(B1924,"1")</f>
        <v>公用事业</v>
      </c>
      <c r="E1924" s="4">
        <f t="shared" si="30"/>
        <v>43465</v>
      </c>
      <c r="F1924" s="11">
        <f>[1]!EM_S_PQ_PCTCHANGE(B1924,"2018-01-01","2019-12-31","3")</f>
        <v>-30.388448879999999</v>
      </c>
      <c r="G1924" s="11">
        <f>[1]!EM_S_PQ_PCTCHANGE(B1924,"2018-12-31","2019-12-30","1")</f>
        <v>6.4606741599999999</v>
      </c>
      <c r="H1924" s="11">
        <f>[1]!EM_S_FA_YOY_OR(B1924,E1924)</f>
        <v>-18.3850774786</v>
      </c>
      <c r="I1924" s="11">
        <f>[1]!EM_S_FA_GROSSPROFITMARGIN(B1924,E1924)</f>
        <v>49.3742554998</v>
      </c>
      <c r="J1924" s="11">
        <f>[1]!EM_S_FA_NETPROFITMARGIN(B1924,E1924)</f>
        <v>21.497072427399999</v>
      </c>
      <c r="K1924" s="10">
        <f>[1]!EM_S_FA_ASSETSTURN(B1924,E1924)</f>
        <v>0.19492250303299999</v>
      </c>
      <c r="L1924" s="12">
        <f>[1]!EM_HKS_VAL_MV(B1924,"2019-12-31","2")</f>
        <v>3544447006.6799998</v>
      </c>
      <c r="M1924">
        <f>[1]!EM_S_VAL_PETTMDEDUCTED(B1924,E1924)</f>
        <v>19.557321372952298</v>
      </c>
      <c r="N1924" s="7">
        <f>[1]!EM_S_VAL_PBGOODWILLDEDUCTED(B1924,E1924)</f>
        <v>1.2182572692769</v>
      </c>
      <c r="O1924" s="7">
        <f>[1]!EM_S_VAL_PS_TTM(B1924,E1924)</f>
        <v>3.5655322861114298</v>
      </c>
      <c r="P1924" s="7">
        <f>[1]!EM_S_VAL_PCF_NCFTTM(B1924,E1924)</f>
        <v>8.9123379254767094</v>
      </c>
      <c r="Q1924" s="7">
        <f>[1]!EM_S_VAL_DIVIDENDYIELD2(B1924,E1924,"2019-11-29")</f>
        <v>1.9178082191780819</v>
      </c>
      <c r="T1924"/>
      <c r="U1924">
        <f>[1]!EM_S_RATIO_EPS_TTM(B1924,E1924,"1")</f>
        <v>0.20831663406135917</v>
      </c>
      <c r="AT1924" s="4" t="str">
        <f>[1]!EM_S_IPO_LISTEDDATE(B1924)</f>
        <v>2011-03-17</v>
      </c>
    </row>
    <row r="1925" spans="1:46">
      <c r="A1925">
        <v>524</v>
      </c>
      <c r="B1925" t="str">
        <f>"002013"</f>
        <v>002013</v>
      </c>
      <c r="C1925" t="s">
        <v>2993</v>
      </c>
      <c r="D1925" t="str">
        <f>[1]!EM_S_INFO_INDEX_EM(B1925,"1")</f>
        <v>国防与装备</v>
      </c>
      <c r="E1925" s="4">
        <f t="shared" si="30"/>
        <v>43465</v>
      </c>
      <c r="F1925" s="11">
        <f>[1]!EM_S_PQ_PCTCHANGE(B1925,"2018-01-01","2019-12-31","3")</f>
        <v>-2.9150992800000002</v>
      </c>
      <c r="G1925" s="11">
        <f>[1]!EM_S_PQ_PCTCHANGE(B1925,"2018-12-31","2019-12-30","1")</f>
        <v>6.4516128999999998</v>
      </c>
      <c r="H1925" s="11">
        <f>[1]!EM_S_FA_YOY_OR(B1925,E1925)</f>
        <v>4.0834807072999997</v>
      </c>
      <c r="I1925" s="11">
        <f>[1]!EM_S_FA_GROSSPROFITMARGIN(B1925,E1925)</f>
        <v>26.2988775032</v>
      </c>
      <c r="J1925" s="11">
        <f>[1]!EM_S_FA_NETPROFITMARGIN(B1925,E1925)</f>
        <v>7.7971465858000002</v>
      </c>
      <c r="K1925" s="10">
        <f>[1]!EM_S_FA_ASSETSTURN(B1925,E1925)</f>
        <v>0.47599618685299999</v>
      </c>
      <c r="L1925" s="12">
        <f>[1]!EM_HKS_VAL_MV(B1925,"2019-12-31","2")</f>
        <v>25044131331.580002</v>
      </c>
      <c r="M1925">
        <f>[1]!EM_S_VAL_PETTMDEDUCTED(B1925,E1925)</f>
        <v>36.622156787263101</v>
      </c>
      <c r="N1925" s="7">
        <f>[1]!EM_S_VAL_PBGOODWILLDEDUCTED(B1925,E1925)</f>
        <v>2.75067216168951</v>
      </c>
      <c r="O1925" s="7">
        <f>[1]!EM_S_VAL_PS_TTM(B1925,E1925)</f>
        <v>2.3771614573010198</v>
      </c>
      <c r="P1925" s="7">
        <f>[1]!EM_S_VAL_PCF_NCFTTM(B1925,E1925)</f>
        <v>10.955740193606999</v>
      </c>
      <c r="Q1925" s="7">
        <f>[1]!EM_S_VAL_DIVIDENDYIELD2(B1925,E1925,"2019-11-29")</f>
        <v>0.46948287646891007</v>
      </c>
      <c r="T1925"/>
      <c r="U1925">
        <f>[1]!EM_S_RATIO_EPS_TTM(B1925,E1925,"1")</f>
        <v>0.23186304189588716</v>
      </c>
      <c r="AT1925" s="4" t="str">
        <f>[1]!EM_S_IPO_LISTEDDATE(B1925)</f>
        <v>2004-07-05</v>
      </c>
    </row>
    <row r="1926" spans="1:46">
      <c r="A1926">
        <v>1081</v>
      </c>
      <c r="B1926" t="str">
        <f>"002570"</f>
        <v>002570</v>
      </c>
      <c r="C1926" t="s">
        <v>2751</v>
      </c>
      <c r="D1926" t="str">
        <f>[1]!EM_S_INFO_INDEX_EM(B1926,"1")</f>
        <v>食品饮料</v>
      </c>
      <c r="E1926" s="4">
        <f t="shared" si="30"/>
        <v>43465</v>
      </c>
      <c r="F1926" s="11">
        <f>[1]!EM_S_PQ_PCTCHANGE(B1926,"2018-01-01","2019-12-31","3")</f>
        <v>-25.555555559999998</v>
      </c>
      <c r="G1926" s="11">
        <f>[1]!EM_S_PQ_PCTCHANGE(B1926,"2018-12-31","2019-12-30","1")</f>
        <v>6.4516128999999998</v>
      </c>
      <c r="H1926" s="11">
        <f>[1]!EM_S_FA_YOY_OR(B1926,E1926)</f>
        <v>-6.3758682670000004</v>
      </c>
      <c r="I1926" s="11">
        <f>[1]!EM_S_FA_GROSSPROFITMARGIN(B1926,E1926)</f>
        <v>52.513444124499998</v>
      </c>
      <c r="J1926" s="11">
        <f>[1]!EM_S_FA_NETPROFITMARGIN(B1926,E1926)</f>
        <v>2.0310937859</v>
      </c>
      <c r="K1926" s="10">
        <f>[1]!EM_S_FA_ASSETSTURN(B1926,E1926)</f>
        <v>0.49313638559900003</v>
      </c>
      <c r="L1926" s="12">
        <f>[1]!EM_HKS_VAL_MV(B1926,"2019-12-31","2")</f>
        <v>5480707200</v>
      </c>
      <c r="M1926">
        <f>[1]!EM_S_VAL_PETTMDEDUCTED(B1926,E1926)</f>
        <v>-6.0950901004934996</v>
      </c>
      <c r="N1926" s="7">
        <f>[1]!EM_S_VAL_PBGOODWILLDEDUCTED(B1926,E1926)</f>
        <v>2.8122834479524199</v>
      </c>
      <c r="O1926" s="7">
        <f>[1]!EM_S_VAL_PS_TTM(B1926,E1926)</f>
        <v>2.0587406843754499</v>
      </c>
      <c r="P1926" s="7">
        <f>[1]!EM_S_VAL_PCF_NCFTTM(B1926,E1926)</f>
        <v>188.58270898711899</v>
      </c>
      <c r="Q1926" s="7">
        <f>[1]!EM_S_VAL_DIVIDENDYIELD2(B1926,E1926,"2019-11-29")</f>
        <v>0</v>
      </c>
      <c r="T1926"/>
      <c r="U1926">
        <f>[1]!EM_S_RATIO_EPS_TTM(B1926,E1926,"1")</f>
        <v>4.0208086873606386E-2</v>
      </c>
      <c r="AT1926" s="4" t="str">
        <f>[1]!EM_S_IPO_LISTEDDATE(B1926)</f>
        <v>2011-04-12</v>
      </c>
    </row>
    <row r="1927" spans="1:46">
      <c r="A1927">
        <v>2636</v>
      </c>
      <c r="B1927" t="str">
        <f>"600561"</f>
        <v>600561</v>
      </c>
      <c r="C1927" t="s">
        <v>2874</v>
      </c>
      <c r="D1927" t="str">
        <f>[1]!EM_S_INFO_INDEX_EM(B1927,"1")</f>
        <v>交通运输</v>
      </c>
      <c r="E1927" s="4">
        <f t="shared" si="30"/>
        <v>43465</v>
      </c>
      <c r="F1927" s="11">
        <f>[1]!EM_S_PQ_PCTCHANGE(B1927,"2018-01-01","2019-12-31","3")</f>
        <v>-28.09992991</v>
      </c>
      <c r="G1927" s="11">
        <f>[1]!EM_S_PQ_PCTCHANGE(B1927,"2018-12-31","2019-12-30","1")</f>
        <v>6.4338235299999997</v>
      </c>
      <c r="H1927" s="11">
        <f>[1]!EM_S_FA_YOY_OR(B1927,E1927)</f>
        <v>-7.1184987808000004</v>
      </c>
      <c r="I1927" s="11">
        <f>[1]!EM_S_FA_GROSSPROFITMARGIN(B1927,E1927)</f>
        <v>8.4753874587000002</v>
      </c>
      <c r="J1927" s="11">
        <f>[1]!EM_S_FA_NETPROFITMARGIN(B1927,E1927)</f>
        <v>1.7094142766</v>
      </c>
      <c r="K1927" s="10">
        <f>[1]!EM_S_FA_ASSETSTURN(B1927,E1927)</f>
        <v>0.40156272805799997</v>
      </c>
      <c r="L1927" s="12">
        <f>[1]!EM_HKS_VAL_MV(B1927,"2019-12-31","2")</f>
        <v>1384453760</v>
      </c>
      <c r="M1927">
        <f>[1]!EM_S_VAL_PETTMDEDUCTED(B1927,E1927)</f>
        <v>-20.371899140387601</v>
      </c>
      <c r="N1927" s="7">
        <f>[1]!EM_S_VAL_PBGOODWILLDEDUCTED(B1927,E1927)</f>
        <v>1.11101406843335</v>
      </c>
      <c r="O1927" s="7">
        <f>[1]!EM_S_VAL_PS_TTM(B1927,E1927)</f>
        <v>0.47256156709597502</v>
      </c>
      <c r="P1927" s="7">
        <f>[1]!EM_S_VAL_PCF_NCFTTM(B1927,E1927)</f>
        <v>-3.29099175110583</v>
      </c>
      <c r="Q1927" s="7">
        <f>[1]!EM_S_VAL_DIVIDENDYIELD2(B1927,E1927,"2019-11-29")</f>
        <v>0.53511705685618727</v>
      </c>
      <c r="T1927"/>
      <c r="U1927">
        <f>[1]!EM_S_RATIO_EPS_TTM(B1927,E1927,"1")</f>
        <v>0.1061067878716296</v>
      </c>
      <c r="AT1927" s="4" t="str">
        <f>[1]!EM_S_IPO_LISTEDDATE(B1927)</f>
        <v>2002-07-16</v>
      </c>
    </row>
    <row r="1928" spans="1:46">
      <c r="A1928">
        <v>799</v>
      </c>
      <c r="B1928" t="str">
        <f>"002288"</f>
        <v>002288</v>
      </c>
      <c r="C1928" t="s">
        <v>2324</v>
      </c>
      <c r="D1928" t="str">
        <f>[1]!EM_S_INFO_INDEX_EM(B1928,"1")</f>
        <v>电子设备</v>
      </c>
      <c r="E1928" s="4">
        <f t="shared" si="30"/>
        <v>43465</v>
      </c>
      <c r="F1928" s="11">
        <f>[1]!EM_S_PQ_PCTCHANGE(B1928,"2018-01-01","2019-12-31","3")</f>
        <v>-14.78873239</v>
      </c>
      <c r="G1928" s="11">
        <f>[1]!EM_S_PQ_PCTCHANGE(B1928,"2018-12-31","2019-12-30","1")</f>
        <v>6.4301552099999997</v>
      </c>
      <c r="H1928" s="11">
        <f>[1]!EM_S_FA_YOY_OR(B1928,E1928)</f>
        <v>-3.1400759099000002</v>
      </c>
      <c r="I1928" s="11">
        <f>[1]!EM_S_FA_GROSSPROFITMARGIN(B1928,E1928)</f>
        <v>16.880006489500001</v>
      </c>
      <c r="J1928" s="11">
        <f>[1]!EM_S_FA_NETPROFITMARGIN(B1928,E1928)</f>
        <v>2.4682352547000002</v>
      </c>
      <c r="K1928" s="10">
        <f>[1]!EM_S_FA_ASSETSTURN(B1928,E1928)</f>
        <v>0.50795369489800002</v>
      </c>
      <c r="L1928" s="12">
        <f>[1]!EM_HKS_VAL_MV(B1928,"2019-12-31","2")</f>
        <v>4509155720.96</v>
      </c>
      <c r="M1928">
        <f>[1]!EM_S_VAL_PETTMDEDUCTED(B1928,E1928)</f>
        <v>73.708971542370193</v>
      </c>
      <c r="N1928" s="7">
        <f>[1]!EM_S_VAL_PBGOODWILLDEDUCTED(B1928,E1928)</f>
        <v>2.7379180591402199</v>
      </c>
      <c r="O1928" s="7">
        <f>[1]!EM_S_VAL_PS_TTM(B1928,E1928)</f>
        <v>2.8803749180759501</v>
      </c>
      <c r="P1928" s="7">
        <f>[1]!EM_S_VAL_PCF_NCFTTM(B1928,E1928)</f>
        <v>-39.3464231576774</v>
      </c>
      <c r="Q1928" s="7">
        <f>[1]!EM_S_VAL_DIVIDENDYIELD2(B1928,E1928,"2019-11-29")</f>
        <v>0</v>
      </c>
      <c r="T1928"/>
      <c r="U1928">
        <f>[1]!EM_S_RATIO_EPS_TTM(B1928,E1928,"1")</f>
        <v>3.7047100012512942E-2</v>
      </c>
      <c r="AT1928" s="4" t="str">
        <f>[1]!EM_S_IPO_LISTEDDATE(B1928)</f>
        <v>2009-09-03</v>
      </c>
    </row>
    <row r="1929" spans="1:46">
      <c r="A1929">
        <v>2618</v>
      </c>
      <c r="B1929" t="str">
        <f>"600539"</f>
        <v>600539</v>
      </c>
      <c r="C1929" t="s">
        <v>2768</v>
      </c>
      <c r="D1929" t="str">
        <f>[1]!EM_S_INFO_INDEX_EM(B1929,"1")</f>
        <v>家电</v>
      </c>
      <c r="E1929" s="4">
        <f t="shared" si="30"/>
        <v>43465</v>
      </c>
      <c r="F1929" s="11">
        <f>[1]!EM_S_PQ_PCTCHANGE(B1929,"2018-01-01","2019-12-31","3")</f>
        <v>-59.583333330000002</v>
      </c>
      <c r="G1929" s="11">
        <f>[1]!EM_S_PQ_PCTCHANGE(B1929,"2018-12-31","2019-12-30","1")</f>
        <v>6.4263322900000004</v>
      </c>
      <c r="H1929" s="11">
        <f>[1]!EM_S_FA_YOY_OR(B1929,E1929)</f>
        <v>20.832160482500001</v>
      </c>
      <c r="I1929" s="11">
        <f>[1]!EM_S_FA_GROSSPROFITMARGIN(B1929,E1929)</f>
        <v>30.421215402400001</v>
      </c>
      <c r="J1929" s="11">
        <f>[1]!EM_S_FA_NETPROFITMARGIN(B1929,E1929)</f>
        <v>15.589101595700001</v>
      </c>
      <c r="K1929" s="10">
        <f>[1]!EM_S_FA_ASSETSTURN(B1929,E1929)</f>
        <v>0.18970574593100001</v>
      </c>
      <c r="L1929" s="12">
        <f>[1]!EM_HKS_VAL_MV(B1929,"2019-12-31","2")</f>
        <v>1561700000</v>
      </c>
      <c r="M1929">
        <f>[1]!EM_S_VAL_PETTMDEDUCTED(B1929,E1929)</f>
        <v>-24.454945389032201</v>
      </c>
      <c r="N1929" s="7">
        <f>[1]!EM_S_VAL_PBGOODWILLDEDUCTED(B1929,E1929)</f>
        <v>3.6222248825160901</v>
      </c>
      <c r="O1929" s="7">
        <f>[1]!EM_S_VAL_PS_TTM(B1929,E1929)</f>
        <v>18.924918885187999</v>
      </c>
      <c r="P1929" s="7">
        <f>[1]!EM_S_VAL_PCF_NCFTTM(B1929,E1929)</f>
        <v>53.662507261617101</v>
      </c>
      <c r="Q1929" s="7">
        <f>[1]!EM_S_VAL_DIVIDENDYIELD2(B1929,E1929,"2019-11-29")</f>
        <v>0</v>
      </c>
      <c r="T1929"/>
      <c r="U1929">
        <f>[1]!EM_S_RATIO_EPS_TTM(B1929,E1929,"1")</f>
        <v>4.3688792130434778E-2</v>
      </c>
      <c r="AT1929" s="4" t="str">
        <f>[1]!EM_S_IPO_LISTEDDATE(B1929)</f>
        <v>2001-08-24</v>
      </c>
    </row>
    <row r="1930" spans="1:46">
      <c r="A1930">
        <v>2996</v>
      </c>
      <c r="B1930" t="str">
        <f>"600971"</f>
        <v>600971</v>
      </c>
      <c r="C1930" t="s">
        <v>863</v>
      </c>
      <c r="D1930" t="str">
        <f>[1]!EM_S_INFO_INDEX_EM(B1930,"1")</f>
        <v>化石能源</v>
      </c>
      <c r="E1930" s="4">
        <f t="shared" si="30"/>
        <v>43465</v>
      </c>
      <c r="F1930" s="11">
        <f>[1]!EM_S_PQ_PCTCHANGE(B1930,"2018-01-01","2019-12-31","3")</f>
        <v>-23.365856279999999</v>
      </c>
      <c r="G1930" s="11">
        <f>[1]!EM_S_PQ_PCTCHANGE(B1930,"2018-12-31","2019-12-30","1")</f>
        <v>6.3943161599999998</v>
      </c>
      <c r="H1930" s="11">
        <f>[1]!EM_S_FA_YOY_OR(B1930,E1930)</f>
        <v>-9.7281036174000004</v>
      </c>
      <c r="I1930" s="11">
        <f>[1]!EM_S_FA_GROSSPROFITMARGIN(B1930,E1930)</f>
        <v>45.8213871942</v>
      </c>
      <c r="J1930" s="11">
        <f>[1]!EM_S_FA_NETPROFITMARGIN(B1930,E1930)</f>
        <v>20.7305953943</v>
      </c>
      <c r="K1930" s="10">
        <f>[1]!EM_S_FA_ASSETSTURN(B1930,E1930)</f>
        <v>0.41121969407300002</v>
      </c>
      <c r="L1930" s="12">
        <f>[1]!EM_HKS_VAL_MV(B1930,"2019-12-31","2")</f>
        <v>7176029206.3199997</v>
      </c>
      <c r="M1930">
        <f>[1]!EM_S_VAL_PETTMDEDUCTED(B1930,E1930)</f>
        <v>6.7647558881565004</v>
      </c>
      <c r="N1930" s="7">
        <f>[1]!EM_S_VAL_PBGOODWILLDEDUCTED(B1930,E1930)</f>
        <v>0.71915673929204504</v>
      </c>
      <c r="O1930" s="7">
        <f>[1]!EM_S_VAL_PS_TTM(B1930,E1930)</f>
        <v>0.92549584520114903</v>
      </c>
      <c r="P1930" s="7">
        <f>[1]!EM_S_VAL_PCF_NCFTTM(B1930,E1930)</f>
        <v>3.4264509507862</v>
      </c>
      <c r="Q1930" s="7">
        <f>[1]!EM_S_VAL_DIVIDENDYIELD2(B1930,E1930,"2019-11-29")</f>
        <v>5.9836544074722706</v>
      </c>
      <c r="T1930"/>
      <c r="U1930">
        <f>[1]!EM_S_RATIO_EPS_TTM(B1930,E1930,"1")</f>
        <v>1.2207550872567949</v>
      </c>
      <c r="AT1930" s="4" t="str">
        <f>[1]!EM_S_IPO_LISTEDDATE(B1930)</f>
        <v>2004-08-17</v>
      </c>
    </row>
    <row r="1931" spans="1:46">
      <c r="A1931">
        <v>2869</v>
      </c>
      <c r="B1931" t="str">
        <f>"600796"</f>
        <v>600796</v>
      </c>
      <c r="C1931" t="s">
        <v>3353</v>
      </c>
      <c r="D1931" t="str">
        <f>[1]!EM_S_INFO_INDEX_EM(B1931,"1")</f>
        <v>基础化工</v>
      </c>
      <c r="E1931" s="4">
        <f t="shared" si="30"/>
        <v>43465</v>
      </c>
      <c r="F1931" s="11">
        <f>[1]!EM_S_PQ_PCTCHANGE(B1931,"2018-01-01","2019-12-31","3")</f>
        <v>-25.99533422</v>
      </c>
      <c r="G1931" s="11">
        <f>[1]!EM_S_PQ_PCTCHANGE(B1931,"2018-12-31","2019-12-30","1")</f>
        <v>6.3829787199999997</v>
      </c>
      <c r="H1931" s="11">
        <f>[1]!EM_S_FA_YOY_OR(B1931,E1931)</f>
        <v>-5.3148628281999999</v>
      </c>
      <c r="I1931" s="11">
        <f>[1]!EM_S_FA_GROSSPROFITMARGIN(B1931,E1931)</f>
        <v>15.4870713232</v>
      </c>
      <c r="J1931" s="11">
        <f>[1]!EM_S_FA_NETPROFITMARGIN(B1931,E1931)</f>
        <v>-8.8288934142999995</v>
      </c>
      <c r="K1931" s="10">
        <f>[1]!EM_S_FA_ASSETSTURN(B1931,E1931)</f>
        <v>0.44346811975099998</v>
      </c>
      <c r="L1931" s="12">
        <f>[1]!EM_HKS_VAL_MV(B1931,"2019-12-31","2")</f>
        <v>1633599620.48</v>
      </c>
      <c r="M1931">
        <f>[1]!EM_S_VAL_PETTMDEDUCTED(B1931,E1931)</f>
        <v>-62.354045958363002</v>
      </c>
      <c r="N1931" s="7">
        <f>[1]!EM_S_VAL_PBGOODWILLDEDUCTED(B1931,E1931)</f>
        <v>2.6961664136924099</v>
      </c>
      <c r="O1931" s="7">
        <f>[1]!EM_S_VAL_PS_TTM(B1931,E1931)</f>
        <v>3.41391921571946</v>
      </c>
      <c r="P1931" s="7">
        <f>[1]!EM_S_VAL_PCF_NCFTTM(B1931,E1931)</f>
        <v>23.6843485667648</v>
      </c>
      <c r="Q1931" s="7">
        <f>[1]!EM_S_VAL_DIVIDENDYIELD2(B1931,E1931,"2019-11-29")</f>
        <v>0</v>
      </c>
      <c r="T1931"/>
      <c r="U1931">
        <f>[1]!EM_S_RATIO_EPS_TTM(B1931,E1931,"1")</f>
        <v>-0.1481253651599771</v>
      </c>
      <c r="AT1931" s="4" t="str">
        <f>[1]!EM_S_IPO_LISTEDDATE(B1931)</f>
        <v>1997-04-08</v>
      </c>
    </row>
    <row r="1932" spans="1:46">
      <c r="A1932">
        <v>2914</v>
      </c>
      <c r="B1932" t="str">
        <f>"600841"</f>
        <v>600841</v>
      </c>
      <c r="C1932" t="s">
        <v>2018</v>
      </c>
      <c r="D1932" t="str">
        <f>[1]!EM_S_INFO_INDEX_EM(B1932,"1")</f>
        <v>机械设备</v>
      </c>
      <c r="E1932" s="4">
        <f t="shared" si="30"/>
        <v>43465</v>
      </c>
      <c r="F1932" s="11">
        <f>[1]!EM_S_PQ_PCTCHANGE(B1932,"2018-01-01","2019-12-31","3")</f>
        <v>-41.535715240000002</v>
      </c>
      <c r="G1932" s="11">
        <f>[1]!EM_S_PQ_PCTCHANGE(B1932,"2018-12-31","2019-12-30","1")</f>
        <v>6.3829787199999997</v>
      </c>
      <c r="H1932" s="11">
        <f>[1]!EM_S_FA_YOY_OR(B1932,E1932)</f>
        <v>12.363926706699999</v>
      </c>
      <c r="I1932" s="11">
        <f>[1]!EM_S_FA_GROSSPROFITMARGIN(B1932,E1932)</f>
        <v>15.522708167099999</v>
      </c>
      <c r="J1932" s="11">
        <f>[1]!EM_S_FA_NETPROFITMARGIN(B1932,E1932)</f>
        <v>3.1561338608999998</v>
      </c>
      <c r="K1932" s="10">
        <f>[1]!EM_S_FA_ASSETSTURN(B1932,E1932)</f>
        <v>0.60246341995899999</v>
      </c>
      <c r="L1932" s="12">
        <f>[1]!EM_HKS_VAL_MV(B1932,"2019-12-31","2")</f>
        <v>6127497098.1000004</v>
      </c>
      <c r="M1932">
        <f>[1]!EM_S_VAL_PETTMDEDUCTED(B1932,E1932)</f>
        <v>51.079422301179797</v>
      </c>
      <c r="N1932" s="7">
        <f>[1]!EM_S_VAL_PBGOODWILLDEDUCTED(B1932,E1932)</f>
        <v>1.53224970802542</v>
      </c>
      <c r="O1932" s="7">
        <f>[1]!EM_S_VAL_PS_TTM(B1932,E1932)</f>
        <v>1.3437553300932901</v>
      </c>
      <c r="P1932" s="7">
        <f>[1]!EM_S_VAL_PCF_NCFTTM(B1932,E1932)</f>
        <v>46.317182847507198</v>
      </c>
      <c r="Q1932" s="7">
        <f>[1]!EM_S_VAL_DIVIDENDYIELD2(B1932,E1932,"2019-11-29")</f>
        <v>0.69321533923303835</v>
      </c>
      <c r="T1932"/>
      <c r="U1932">
        <f>[1]!EM_S_RATIO_EPS_TTM(B1932,E1932,"1")</f>
        <v>0.15399265820391594</v>
      </c>
      <c r="AT1932" s="4" t="str">
        <f>[1]!EM_S_IPO_LISTEDDATE(B1932)</f>
        <v>1994-03-11</v>
      </c>
    </row>
    <row r="1933" spans="1:46">
      <c r="A1933">
        <v>3213</v>
      </c>
      <c r="B1933" t="str">
        <f>"603015"</f>
        <v>603015</v>
      </c>
      <c r="C1933" t="s">
        <v>1241</v>
      </c>
      <c r="D1933" t="str">
        <f>[1]!EM_S_INFO_INDEX_EM(B1933,"1")</f>
        <v>机械设备</v>
      </c>
      <c r="E1933" s="4">
        <f t="shared" si="30"/>
        <v>43465</v>
      </c>
      <c r="F1933" s="11">
        <f>[1]!EM_S_PQ_PCTCHANGE(B1933,"2018-01-01","2019-12-31","3")</f>
        <v>-21.056465630000002</v>
      </c>
      <c r="G1933" s="11">
        <f>[1]!EM_S_PQ_PCTCHANGE(B1933,"2018-12-31","2019-12-30","1")</f>
        <v>6.3651591300000003</v>
      </c>
      <c r="H1933" s="11">
        <f>[1]!EM_S_FA_YOY_OR(B1933,E1933)</f>
        <v>-6.4448837058999997</v>
      </c>
      <c r="I1933" s="11">
        <f>[1]!EM_S_FA_GROSSPROFITMARGIN(B1933,E1933)</f>
        <v>36.300305149000003</v>
      </c>
      <c r="J1933" s="11">
        <f>[1]!EM_S_FA_NETPROFITMARGIN(B1933,E1933)</f>
        <v>7.1622089747000004</v>
      </c>
      <c r="K1933" s="10">
        <f>[1]!EM_S_FA_ASSETSTURN(B1933,E1933)</f>
        <v>0.433597487206</v>
      </c>
      <c r="L1933" s="12">
        <f>[1]!EM_HKS_VAL_MV(B1933,"2019-12-31","2")</f>
        <v>2601292320</v>
      </c>
      <c r="M1933">
        <f>[1]!EM_S_VAL_PETTMDEDUCTED(B1933,E1933)</f>
        <v>35.933733276771299</v>
      </c>
      <c r="N1933" s="7">
        <f>[1]!EM_S_VAL_PBGOODWILLDEDUCTED(B1933,E1933)</f>
        <v>2.0857189761786801</v>
      </c>
      <c r="O1933" s="7">
        <f>[1]!EM_S_VAL_PS_TTM(B1933,E1933)</f>
        <v>3.3101830647139598</v>
      </c>
      <c r="P1933" s="7">
        <f>[1]!EM_S_VAL_PCF_NCFTTM(B1933,E1933)</f>
        <v>163.731063757371</v>
      </c>
      <c r="Q1933" s="7">
        <f>[1]!EM_S_VAL_DIVIDENDYIELD2(B1933,E1933,"2019-11-29")</f>
        <v>2.0307710816115092</v>
      </c>
      <c r="T1933"/>
      <c r="U1933">
        <f>[1]!EM_S_RATIO_EPS_TTM(B1933,E1933,"1")</f>
        <v>0.14443240952848721</v>
      </c>
      <c r="AT1933" s="4" t="str">
        <f>[1]!EM_S_IPO_LISTEDDATE(B1933)</f>
        <v>2015-03-03</v>
      </c>
    </row>
    <row r="1934" spans="1:46">
      <c r="A1934">
        <v>1730</v>
      </c>
      <c r="B1934" t="str">
        <f>"300305"</f>
        <v>300305</v>
      </c>
      <c r="C1934" t="s">
        <v>2169</v>
      </c>
      <c r="D1934" t="str">
        <f>[1]!EM_S_INFO_INDEX_EM(B1934,"1")</f>
        <v>基础化工</v>
      </c>
      <c r="E1934" s="4">
        <f t="shared" si="30"/>
        <v>43465</v>
      </c>
      <c r="F1934" s="11">
        <f>[1]!EM_S_PQ_PCTCHANGE(B1934,"2018-01-01","2019-12-31","3")</f>
        <v>11.76963091</v>
      </c>
      <c r="G1934" s="11">
        <f>[1]!EM_S_PQ_PCTCHANGE(B1934,"2018-12-31","2019-12-30","1")</f>
        <v>6.3131313100000002</v>
      </c>
      <c r="H1934" s="11">
        <f>[1]!EM_S_FA_YOY_OR(B1934,E1934)</f>
        <v>25.0569188626</v>
      </c>
      <c r="I1934" s="11">
        <f>[1]!EM_S_FA_GROSSPROFITMARGIN(B1934,E1934)</f>
        <v>14.403551095699999</v>
      </c>
      <c r="J1934" s="11">
        <f>[1]!EM_S_FA_NETPROFITMARGIN(B1934,E1934)</f>
        <v>10.320090581200001</v>
      </c>
      <c r="K1934" s="10">
        <f>[1]!EM_S_FA_ASSETSTURN(B1934,E1934)</f>
        <v>0.45915673635100002</v>
      </c>
      <c r="L1934" s="12">
        <f>[1]!EM_HKS_VAL_MV(B1934,"2019-12-31","2")</f>
        <v>2425525200</v>
      </c>
      <c r="M1934">
        <f>[1]!EM_S_VAL_PETTMDEDUCTED(B1934,E1934)</f>
        <v>46.454880892385397</v>
      </c>
      <c r="N1934" s="7">
        <f>[1]!EM_S_VAL_PBGOODWILLDEDUCTED(B1934,E1934)</f>
        <v>1.5425237602364901</v>
      </c>
      <c r="O1934" s="7">
        <f>[1]!EM_S_VAL_PS_TTM(B1934,E1934)</f>
        <v>3.3704553208358798</v>
      </c>
      <c r="P1934" s="7">
        <f>[1]!EM_S_VAL_PCF_NCFTTM(B1934,E1934)</f>
        <v>73.968224721899801</v>
      </c>
      <c r="Q1934" s="7">
        <f>[1]!EM_S_VAL_DIVIDENDYIELD2(B1934,E1934,"2019-11-29")</f>
        <v>0.81037888198757768</v>
      </c>
      <c r="T1934"/>
      <c r="U1934">
        <f>[1]!EM_S_RATIO_EPS_TTM(B1934,E1934,"1")</f>
        <v>0.26393474287713031</v>
      </c>
      <c r="AT1934" s="4" t="str">
        <f>[1]!EM_S_IPO_LISTEDDATE(B1934)</f>
        <v>2012-03-29</v>
      </c>
    </row>
    <row r="1935" spans="1:46">
      <c r="A1935">
        <v>751</v>
      </c>
      <c r="B1935" t="str">
        <f>"002240"</f>
        <v>002240</v>
      </c>
      <c r="C1935" t="s">
        <v>2949</v>
      </c>
      <c r="D1935" t="str">
        <f>[1]!EM_S_INFO_INDEX_EM(B1935,"1")</f>
        <v>轻工制造</v>
      </c>
      <c r="E1935" s="4">
        <f t="shared" si="30"/>
        <v>43465</v>
      </c>
      <c r="F1935" s="11">
        <f>[1]!EM_S_PQ_PCTCHANGE(B1935,"2018-01-01","2019-12-31","3")</f>
        <v>-46.3562753</v>
      </c>
      <c r="G1935" s="11">
        <f>[1]!EM_S_PQ_PCTCHANGE(B1935,"2018-12-31","2019-12-30","1")</f>
        <v>6.3100137199999997</v>
      </c>
      <c r="H1935" s="11">
        <f>[1]!EM_S_FA_YOY_OR(B1935,E1935)</f>
        <v>25.042319390399999</v>
      </c>
      <c r="I1935" s="11">
        <f>[1]!EM_S_FA_GROSSPROFITMARGIN(B1935,E1935)</f>
        <v>13.8657493124</v>
      </c>
      <c r="J1935" s="11">
        <f>[1]!EM_S_FA_NETPROFITMARGIN(B1935,E1935)</f>
        <v>6.0774300999999999</v>
      </c>
      <c r="K1935" s="10">
        <f>[1]!EM_S_FA_ASSETSTURN(B1935,E1935)</f>
        <v>0.76241226786299998</v>
      </c>
      <c r="L1935" s="12">
        <f>[1]!EM_HKS_VAL_MV(B1935,"2019-12-31","2")</f>
        <v>5224788248.5500002</v>
      </c>
      <c r="M1935">
        <f>[1]!EM_S_VAL_PETTMDEDUCTED(B1935,E1935)</f>
        <v>39.310508298105297</v>
      </c>
      <c r="N1935" s="7">
        <f>[1]!EM_S_VAL_PBGOODWILLDEDUCTED(B1935,E1935)</f>
        <v>1.80797706804972</v>
      </c>
      <c r="O1935" s="7">
        <f>[1]!EM_S_VAL_PS_TTM(B1935,E1935)</f>
        <v>1.6291295634326901</v>
      </c>
      <c r="P1935" s="7">
        <f>[1]!EM_S_VAL_PCF_NCFTTM(B1935,E1935)</f>
        <v>80.698012209621197</v>
      </c>
      <c r="Q1935" s="7">
        <f>[1]!EM_S_VAL_DIVIDENDYIELD2(B1935,E1935,"2019-11-29")</f>
        <v>0</v>
      </c>
      <c r="T1935"/>
      <c r="U1935">
        <f>[1]!EM_S_RATIO_EPS_TTM(B1935,E1935,"1")</f>
        <v>0.29889998407134732</v>
      </c>
      <c r="AT1935" s="4" t="str">
        <f>[1]!EM_S_IPO_LISTEDDATE(B1935)</f>
        <v>2008-05-23</v>
      </c>
    </row>
    <row r="1936" spans="1:46">
      <c r="A1936">
        <v>1698</v>
      </c>
      <c r="B1936" t="str">
        <f>"300273"</f>
        <v>300273</v>
      </c>
      <c r="C1936" t="s">
        <v>1191</v>
      </c>
      <c r="D1936" t="str">
        <f>[1]!EM_S_INFO_INDEX_EM(B1936,"1")</f>
        <v>医药生物</v>
      </c>
      <c r="E1936" s="4">
        <f t="shared" si="30"/>
        <v>43465</v>
      </c>
      <c r="F1936" s="11">
        <f>[1]!EM_S_PQ_PCTCHANGE(B1936,"2018-01-01","2019-12-31","3")</f>
        <v>-44.689225589999999</v>
      </c>
      <c r="G1936" s="11">
        <f>[1]!EM_S_PQ_PCTCHANGE(B1936,"2018-12-31","2019-12-30","1")</f>
        <v>6.3043478300000002</v>
      </c>
      <c r="H1936" s="11">
        <f>[1]!EM_S_FA_YOY_OR(B1936,E1936)</f>
        <v>7.5736005860000004</v>
      </c>
      <c r="I1936" s="11">
        <f>[1]!EM_S_FA_GROSSPROFITMARGIN(B1936,E1936)</f>
        <v>51.465093020899999</v>
      </c>
      <c r="J1936" s="11">
        <f>[1]!EM_S_FA_NETPROFITMARGIN(B1936,E1936)</f>
        <v>9.0810120585000007</v>
      </c>
      <c r="K1936" s="10">
        <f>[1]!EM_S_FA_ASSETSTURN(B1936,E1936)</f>
        <v>0.20897640428299999</v>
      </c>
      <c r="L1936" s="12">
        <f>[1]!EM_HKS_VAL_MV(B1936,"2019-12-31","2")</f>
        <v>3957012264.48</v>
      </c>
      <c r="M1936">
        <f>[1]!EM_S_VAL_PETTMDEDUCTED(B1936,E1936)</f>
        <v>47.293278897776197</v>
      </c>
      <c r="N1936" s="7">
        <f>[1]!EM_S_VAL_PBGOODWILLDEDUCTED(B1936,E1936)</f>
        <v>1.47071908464448</v>
      </c>
      <c r="O1936" s="7">
        <f>[1]!EM_S_VAL_PS_TTM(B1936,E1936)</f>
        <v>3.0654746501929502</v>
      </c>
      <c r="P1936" s="7">
        <f>[1]!EM_S_VAL_PCF_NCFTTM(B1936,E1936)</f>
        <v>-10.1628578314977</v>
      </c>
      <c r="Q1936" s="7">
        <f>[1]!EM_S_VAL_DIVIDENDYIELD2(B1936,E1936,"2019-11-29")</f>
        <v>0.3289473684210526</v>
      </c>
      <c r="T1936"/>
      <c r="U1936">
        <f>[1]!EM_S_RATIO_EPS_TTM(B1936,E1936,"1")</f>
        <v>0.12679660199833478</v>
      </c>
      <c r="AT1936" s="4" t="str">
        <f>[1]!EM_S_IPO_LISTEDDATE(B1936)</f>
        <v>2011-10-26</v>
      </c>
    </row>
    <row r="1937" spans="1:46">
      <c r="A1937">
        <v>2347</v>
      </c>
      <c r="B1937" t="str">
        <f>"600211"</f>
        <v>600211</v>
      </c>
      <c r="C1937" t="s">
        <v>668</v>
      </c>
      <c r="D1937" t="str">
        <f>[1]!EM_S_INFO_INDEX_EM(B1937,"1")</f>
        <v>医药生物</v>
      </c>
      <c r="E1937" s="4">
        <f t="shared" si="30"/>
        <v>43465</v>
      </c>
      <c r="F1937" s="11">
        <f>[1]!EM_S_PQ_PCTCHANGE(B1937,"2018-01-01","2019-12-31","3")</f>
        <v>-2.8764331799999998</v>
      </c>
      <c r="G1937" s="11">
        <f>[1]!EM_S_PQ_PCTCHANGE(B1937,"2018-12-31","2019-12-30","1")</f>
        <v>6.3029481499999997</v>
      </c>
      <c r="H1937" s="11">
        <f>[1]!EM_S_FA_YOY_OR(B1937,E1937)</f>
        <v>12.259757496200001</v>
      </c>
      <c r="I1937" s="11">
        <f>[1]!EM_S_FA_GROSSPROFITMARGIN(B1937,E1937)</f>
        <v>79.922407012799994</v>
      </c>
      <c r="J1937" s="11">
        <f>[1]!EM_S_FA_NETPROFITMARGIN(B1937,E1937)</f>
        <v>21.217219098099999</v>
      </c>
      <c r="K1937" s="10">
        <f>[1]!EM_S_FA_ASSETSTURN(B1937,E1937)</f>
        <v>0.42281315733199998</v>
      </c>
      <c r="L1937" s="12">
        <f>[1]!EM_HKS_VAL_MV(B1937,"2019-12-31","2")</f>
        <v>5665379703.4099998</v>
      </c>
      <c r="M1937">
        <f>[1]!EM_S_VAL_PETTMDEDUCTED(B1937,E1937)</f>
        <v>21.4080800242733</v>
      </c>
      <c r="N1937" s="7">
        <f>[1]!EM_S_VAL_PBGOODWILLDEDUCTED(B1937,E1937)</f>
        <v>2.3625267212815402</v>
      </c>
      <c r="O1937" s="7">
        <f>[1]!EM_S_VAL_PS_TTM(B1937,E1937)</f>
        <v>5.2261457654476304</v>
      </c>
      <c r="P1937" s="7">
        <f>[1]!EM_S_VAL_PCF_NCFTTM(B1937,E1937)</f>
        <v>30.4370625896569</v>
      </c>
      <c r="Q1937" s="7">
        <f>[1]!EM_S_VAL_DIVIDENDYIELD2(B1937,E1937,"2019-11-29")</f>
        <v>1.200519143413368</v>
      </c>
      <c r="T1937"/>
      <c r="U1937">
        <f>[1]!EM_S_RATIO_EPS_TTM(B1937,E1937,"1")</f>
        <v>1.2003516606701381</v>
      </c>
      <c r="AT1937" s="4" t="str">
        <f>[1]!EM_S_IPO_LISTEDDATE(B1937)</f>
        <v>1999-07-21</v>
      </c>
    </row>
    <row r="1938" spans="1:46">
      <c r="A1938">
        <v>2209</v>
      </c>
      <c r="B1938" t="str">
        <f>"600062"</f>
        <v>600062</v>
      </c>
      <c r="C1938" t="s">
        <v>490</v>
      </c>
      <c r="D1938" t="str">
        <f>[1]!EM_S_INFO_INDEX_EM(B1938,"1")</f>
        <v>医药生物</v>
      </c>
      <c r="E1938" s="4">
        <f t="shared" si="30"/>
        <v>43465</v>
      </c>
      <c r="F1938" s="11">
        <f>[1]!EM_S_PQ_PCTCHANGE(B1938,"2018-01-01","2019-12-31","3")</f>
        <v>-35.071978799999997</v>
      </c>
      <c r="G1938" s="11">
        <f>[1]!EM_S_PQ_PCTCHANGE(B1938,"2018-12-31","2019-12-30","1")</f>
        <v>6.2861869300000004</v>
      </c>
      <c r="H1938" s="11">
        <f>[1]!EM_S_FA_YOY_OR(B1938,E1938)</f>
        <v>28.079719269000002</v>
      </c>
      <c r="I1938" s="11">
        <f>[1]!EM_S_FA_GROSSPROFITMARGIN(B1938,E1938)</f>
        <v>63.350813649499997</v>
      </c>
      <c r="J1938" s="11">
        <f>[1]!EM_S_FA_NETPROFITMARGIN(B1938,E1938)</f>
        <v>12.029696313200001</v>
      </c>
      <c r="K1938" s="10">
        <f>[1]!EM_S_FA_ASSETSTURN(B1938,E1938)</f>
        <v>0.83317010597600005</v>
      </c>
      <c r="L1938" s="12">
        <f>[1]!EM_HKS_VAL_MV(B1938,"2019-12-31","2")</f>
        <v>13614252115.5</v>
      </c>
      <c r="M1938">
        <f>[1]!EM_S_VAL_PETTMDEDUCTED(B1938,E1938)</f>
        <v>13.581839639830299</v>
      </c>
      <c r="N1938" s="7">
        <f>[1]!EM_S_VAL_PBGOODWILLDEDUCTED(B1938,E1938)</f>
        <v>1.8081369021461</v>
      </c>
      <c r="O1938" s="7">
        <f>[1]!EM_S_VAL_PS_TTM(B1938,E1938)</f>
        <v>1.5814723361927201</v>
      </c>
      <c r="P1938" s="7">
        <f>[1]!EM_S_VAL_PCF_NCFTTM(B1938,E1938)</f>
        <v>191.04563586839899</v>
      </c>
      <c r="Q1938" s="7">
        <f>[1]!EM_S_VAL_DIVIDENDYIELD2(B1938,E1938,"2019-11-29")</f>
        <v>2.2536348949919227</v>
      </c>
      <c r="T1938"/>
      <c r="U1938">
        <f>[1]!EM_S_RATIO_EPS_TTM(B1938,E1938,"1")</f>
        <v>0.92844936324243876</v>
      </c>
      <c r="AT1938" s="4" t="str">
        <f>[1]!EM_S_IPO_LISTEDDATE(B1938)</f>
        <v>1997-05-22</v>
      </c>
    </row>
    <row r="1939" spans="1:46">
      <c r="A1939">
        <v>3340</v>
      </c>
      <c r="B1939" t="str">
        <f>"603298"</f>
        <v>603298</v>
      </c>
      <c r="C1939" t="s">
        <v>653</v>
      </c>
      <c r="D1939" t="str">
        <f>[1]!EM_S_INFO_INDEX_EM(B1939,"1")</f>
        <v>机械设备</v>
      </c>
      <c r="E1939" s="4">
        <f t="shared" si="30"/>
        <v>43465</v>
      </c>
      <c r="F1939" s="11">
        <f>[1]!EM_S_PQ_PCTCHANGE(B1939,"2018-01-01","2019-12-31","3")</f>
        <v>-15.84788668</v>
      </c>
      <c r="G1939" s="11">
        <f>[1]!EM_S_PQ_PCTCHANGE(B1939,"2018-12-31","2019-12-30","1")</f>
        <v>6.2605753000000002</v>
      </c>
      <c r="H1939" s="11">
        <f>[1]!EM_S_FA_YOY_OR(B1939,E1939)</f>
        <v>20.5445894715</v>
      </c>
      <c r="I1939" s="11">
        <f>[1]!EM_S_FA_GROSSPROFITMARGIN(B1939,E1939)</f>
        <v>20.5823459886</v>
      </c>
      <c r="J1939" s="11">
        <f>[1]!EM_S_FA_NETPROFITMARGIN(B1939,E1939)</f>
        <v>7.2506203916</v>
      </c>
      <c r="K1939" s="10">
        <f>[1]!EM_S_FA_ASSETSTURN(B1939,E1939)</f>
        <v>1.5660386090109999</v>
      </c>
      <c r="L1939" s="12">
        <f>[1]!EM_HKS_VAL_MV(B1939,"2019-12-31","2")</f>
        <v>7970841838.3999996</v>
      </c>
      <c r="M1939">
        <f>[1]!EM_S_VAL_PETTMDEDUCTED(B1939,E1939)</f>
        <v>15.7995219899605</v>
      </c>
      <c r="N1939" s="7">
        <f>[1]!EM_S_VAL_PBGOODWILLDEDUCTED(B1939,E1939)</f>
        <v>1.90057364902555</v>
      </c>
      <c r="O1939" s="7">
        <f>[1]!EM_S_VAL_PS_TTM(B1939,E1939)</f>
        <v>0.88166141286093802</v>
      </c>
      <c r="P1939" s="7">
        <f>[1]!EM_S_VAL_PCF_NCFTTM(B1939,E1939)</f>
        <v>-35.528093165671301</v>
      </c>
      <c r="Q1939" s="7">
        <f>[1]!EM_S_VAL_DIVIDENDYIELD2(B1939,E1939,"2019-11-29")</f>
        <v>2.3734177215189876</v>
      </c>
      <c r="T1939"/>
      <c r="U1939">
        <f>[1]!EM_S_RATIO_EPS_TTM(B1939,E1939,"1")</f>
        <v>0.88316205103438095</v>
      </c>
      <c r="AT1939" s="4" t="str">
        <f>[1]!EM_S_IPO_LISTEDDATE(B1939)</f>
        <v>2016-12-27</v>
      </c>
    </row>
    <row r="1940" spans="1:46">
      <c r="A1940">
        <v>431</v>
      </c>
      <c r="B1940" t="str">
        <f>"000903"</f>
        <v>000903</v>
      </c>
      <c r="C1940" t="s">
        <v>1180</v>
      </c>
      <c r="D1940" t="str">
        <f>[1]!EM_S_INFO_INDEX_EM(B1940,"1")</f>
        <v>交运设备</v>
      </c>
      <c r="E1940" s="4">
        <f t="shared" si="30"/>
        <v>43465</v>
      </c>
      <c r="F1940" s="11">
        <f>[1]!EM_S_PQ_PCTCHANGE(B1940,"2018-01-01","2019-12-31","3")</f>
        <v>-24.46608088</v>
      </c>
      <c r="G1940" s="11">
        <f>[1]!EM_S_PQ_PCTCHANGE(B1940,"2018-12-31","2019-12-30","1")</f>
        <v>6.25</v>
      </c>
      <c r="H1940" s="11">
        <f>[1]!EM_S_FA_YOY_OR(B1940,E1940)</f>
        <v>10.5525653268</v>
      </c>
      <c r="I1940" s="11">
        <f>[1]!EM_S_FA_GROSSPROFITMARGIN(B1940,E1940)</f>
        <v>12.2190373857</v>
      </c>
      <c r="J1940" s="11">
        <f>[1]!EM_S_FA_NETPROFITMARGIN(B1940,E1940)</f>
        <v>3.5145533205000001</v>
      </c>
      <c r="K1940" s="10">
        <f>[1]!EM_S_FA_ASSETSTURN(B1940,E1940)</f>
        <v>0.56527999849800004</v>
      </c>
      <c r="L1940" s="12">
        <f>[1]!EM_HKS_VAL_MV(B1940,"2019-12-31","2")</f>
        <v>5025542185.3500004</v>
      </c>
      <c r="M1940">
        <f>[1]!EM_S_VAL_PETTMDEDUCTED(B1940,E1940)</f>
        <v>22.420752540476101</v>
      </c>
      <c r="N1940" s="7">
        <f>[1]!EM_S_VAL_PBGOODWILLDEDUCTED(B1940,E1940)</f>
        <v>0.95553595158913796</v>
      </c>
      <c r="O1940" s="7">
        <f>[1]!EM_S_VAL_PS_TTM(B1940,E1940)</f>
        <v>0.73598269033906505</v>
      </c>
      <c r="P1940" s="7">
        <f>[1]!EM_S_VAL_PCF_NCFTTM(B1940,E1940)</f>
        <v>11.7276747329205</v>
      </c>
      <c r="Q1940" s="7">
        <f>[1]!EM_S_VAL_DIVIDENDYIELD2(B1940,E1940,"2019-11-29")</f>
        <v>1.7441860465116279</v>
      </c>
      <c r="T1940"/>
      <c r="U1940">
        <f>[1]!EM_S_RATIO_EPS_TTM(B1940,E1940,"1")</f>
        <v>0.11783718792040286</v>
      </c>
      <c r="AT1940" s="4" t="str">
        <f>[1]!EM_S_IPO_LISTEDDATE(B1940)</f>
        <v>1999-04-15</v>
      </c>
    </row>
    <row r="1941" spans="1:46">
      <c r="A1941">
        <v>1377</v>
      </c>
      <c r="B1941" t="str">
        <f>"002878"</f>
        <v>002878</v>
      </c>
      <c r="C1941" t="s">
        <v>546</v>
      </c>
      <c r="D1941" t="str">
        <f>[1]!EM_S_INFO_INDEX_EM(B1941,"1")</f>
        <v>文化传媒</v>
      </c>
      <c r="E1941" s="4">
        <f t="shared" si="30"/>
        <v>43465</v>
      </c>
      <c r="F1941" s="11">
        <f>[1]!EM_S_PQ_PCTCHANGE(B1941,"2018-01-01","2019-12-31","3")</f>
        <v>39.324529859999998</v>
      </c>
      <c r="G1941" s="11">
        <f>[1]!EM_S_PQ_PCTCHANGE(B1941,"2018-12-31","2019-12-30","1")</f>
        <v>6.1859732100000002</v>
      </c>
      <c r="H1941" s="11">
        <f>[1]!EM_S_FA_YOY_OR(B1941,E1941)</f>
        <v>28.356891814000001</v>
      </c>
      <c r="I1941" s="11">
        <f>[1]!EM_S_FA_GROSSPROFITMARGIN(B1941,E1941)</f>
        <v>24.3416110995</v>
      </c>
      <c r="J1941" s="11">
        <f>[1]!EM_S_FA_NETPROFITMARGIN(B1941,E1941)</f>
        <v>9.3601589275000006</v>
      </c>
      <c r="K1941" s="10">
        <f>[1]!EM_S_FA_ASSETSTURN(B1941,E1941)</f>
        <v>1.22266723721</v>
      </c>
      <c r="L1941" s="12">
        <f>[1]!EM_HKS_VAL_MV(B1941,"2019-12-31","2")</f>
        <v>3866550056.5</v>
      </c>
      <c r="M1941">
        <f>[1]!EM_S_VAL_PETTMDEDUCTED(B1941,E1941)</f>
        <v>42.220689764245698</v>
      </c>
      <c r="N1941" s="7">
        <f>[1]!EM_S_VAL_PBGOODWILLDEDUCTED(B1941,E1941)</f>
        <v>7.6194902440446102</v>
      </c>
      <c r="O1941" s="7">
        <f>[1]!EM_S_VAL_PS_TTM(B1941,E1941)</f>
        <v>3.5836490258312401</v>
      </c>
      <c r="P1941" s="7">
        <f>[1]!EM_S_VAL_PCF_NCFTTM(B1941,E1941)</f>
        <v>169.92786517374199</v>
      </c>
      <c r="Q1941" s="7">
        <f>[1]!EM_S_VAL_DIVIDENDYIELD2(B1941,E1941,"2019-11-29")</f>
        <v>1.3083296990841691</v>
      </c>
      <c r="T1941"/>
      <c r="U1941">
        <f>[1]!EM_S_RATIO_EPS_TTM(B1941,E1941,"1")</f>
        <v>0.71733227377396547</v>
      </c>
      <c r="AT1941" s="4" t="str">
        <f>[1]!EM_S_IPO_LISTEDDATE(B1941)</f>
        <v>2017-06-06</v>
      </c>
    </row>
    <row r="1942" spans="1:46">
      <c r="A1942">
        <v>2623</v>
      </c>
      <c r="B1942" t="str">
        <f>"600547"</f>
        <v>600547</v>
      </c>
      <c r="C1942" t="s">
        <v>1292</v>
      </c>
      <c r="D1942" t="str">
        <f>[1]!EM_S_INFO_INDEX_EM(B1942,"1")</f>
        <v>有色金属</v>
      </c>
      <c r="E1942" s="4">
        <f t="shared" si="30"/>
        <v>43465</v>
      </c>
      <c r="F1942" s="11">
        <f>[1]!EM_S_PQ_PCTCHANGE(B1942,"2018-01-01","2019-12-31","3")</f>
        <v>47.380256320000001</v>
      </c>
      <c r="G1942" s="11">
        <f>[1]!EM_S_PQ_PCTCHANGE(B1942,"2018-12-31","2019-12-30","1")</f>
        <v>6.1818181799999996</v>
      </c>
      <c r="H1942" s="11">
        <f>[1]!EM_S_FA_YOY_OR(B1942,E1942)</f>
        <v>7.3402787910000002</v>
      </c>
      <c r="I1942" s="11">
        <f>[1]!EM_S_FA_GROSSPROFITMARGIN(B1942,E1942)</f>
        <v>8.7088160758999997</v>
      </c>
      <c r="J1942" s="11">
        <f>[1]!EM_S_FA_NETPROFITMARGIN(B1942,E1942)</f>
        <v>1.7103704120000001</v>
      </c>
      <c r="K1942" s="10">
        <f>[1]!EM_S_FA_ASSETSTURN(B1942,E1942)</f>
        <v>1.2585907474760001</v>
      </c>
      <c r="L1942" s="12">
        <f>[1]!EM_HKS_VAL_MV(B1942,"2019-12-31","2")</f>
        <v>101109331435.84</v>
      </c>
      <c r="M1942">
        <f>[1]!EM_S_VAL_PETTMDEDUCTED(B1942,E1942)</f>
        <v>66.275941501589799</v>
      </c>
      <c r="N1942" s="7">
        <f>[1]!EM_S_VAL_PBGOODWILLDEDUCTED(B1942,E1942)</f>
        <v>3.5508017756854899</v>
      </c>
      <c r="O1942" s="7">
        <f>[1]!EM_S_VAL_PS_TTM(B1942,E1942)</f>
        <v>1.34490558028205</v>
      </c>
      <c r="P1942" s="7">
        <f>[1]!EM_S_VAL_PCF_NCFTTM(B1942,E1942)</f>
        <v>18.315436871474599</v>
      </c>
      <c r="Q1942" s="7">
        <f>[1]!EM_S_VAL_DIVIDENDYIELD2(B1942,E1942,"2019-11-29")</f>
        <v>0.23738308888353327</v>
      </c>
      <c r="T1942"/>
      <c r="U1942">
        <f>[1]!EM_S_RATIO_EPS_TTM(B1942,E1942,"1")</f>
        <v>0.3955409135820005</v>
      </c>
      <c r="AT1942" s="4" t="str">
        <f>[1]!EM_S_IPO_LISTEDDATE(B1942)</f>
        <v>2003-08-28</v>
      </c>
    </row>
    <row r="1943" spans="1:46">
      <c r="A1943">
        <v>2900</v>
      </c>
      <c r="B1943" t="str">
        <f>"600827"</f>
        <v>600827</v>
      </c>
      <c r="C1943" t="s">
        <v>1469</v>
      </c>
      <c r="D1943" t="str">
        <f>[1]!EM_S_INFO_INDEX_EM(B1943,"1")</f>
        <v>商贸零售</v>
      </c>
      <c r="E1943" s="4">
        <f t="shared" si="30"/>
        <v>43465</v>
      </c>
      <c r="F1943" s="11">
        <f>[1]!EM_S_PQ_PCTCHANGE(B1943,"2018-01-01","2019-12-31","3")</f>
        <v>-30.868172749999999</v>
      </c>
      <c r="G1943" s="11">
        <f>[1]!EM_S_PQ_PCTCHANGE(B1943,"2018-12-31","2019-12-30","1")</f>
        <v>6.1538461499999997</v>
      </c>
      <c r="H1943" s="11">
        <f>[1]!EM_S_FA_YOY_OR(B1943,E1943)</f>
        <v>2.6400212553000002</v>
      </c>
      <c r="I1943" s="11">
        <f>[1]!EM_S_FA_GROSSPROFITMARGIN(B1943,E1943)</f>
        <v>20.928316892000002</v>
      </c>
      <c r="J1943" s="11">
        <f>[1]!EM_S_FA_NETPROFITMARGIN(B1943,E1943)</f>
        <v>1.8723008032999999</v>
      </c>
      <c r="K1943" s="10">
        <f>[1]!EM_S_FA_ASSETSTURN(B1943,E1943)</f>
        <v>1.0748604395329999</v>
      </c>
      <c r="L1943" s="12">
        <f>[1]!EM_HKS_VAL_MV(B1943,"2019-12-31","2")</f>
        <v>16021829690.66</v>
      </c>
      <c r="M1943">
        <f>[1]!EM_S_VAL_PETTMDEDUCTED(B1943,E1943)</f>
        <v>22.928421197220501</v>
      </c>
      <c r="N1943" s="7">
        <f>[1]!EM_S_VAL_PBGOODWILLDEDUCTED(B1943,E1943)</f>
        <v>0.93206150659154197</v>
      </c>
      <c r="O1943" s="7">
        <f>[1]!EM_S_VAL_PS_TTM(B1943,E1943)</f>
        <v>0.31499034065834902</v>
      </c>
      <c r="P1943" s="7">
        <f>[1]!EM_S_VAL_PCF_NCFTTM(B1943,E1943)</f>
        <v>32.409616157590399</v>
      </c>
      <c r="Q1943" s="7">
        <f>[1]!EM_S_VAL_DIVIDENDYIELD2(B1943,E1943,"2019-11-29")</f>
        <v>2.045454545454545</v>
      </c>
      <c r="T1943"/>
      <c r="U1943">
        <f>[1]!EM_S_RATIO_EPS_TTM(B1943,E1943,"1")</f>
        <v>0.48879871924087298</v>
      </c>
      <c r="AT1943" s="4" t="str">
        <f>[1]!EM_S_IPO_LISTEDDATE(B1943)</f>
        <v>1994-02-04</v>
      </c>
    </row>
    <row r="1944" spans="1:46">
      <c r="A1944">
        <v>3000</v>
      </c>
      <c r="B1944" t="str">
        <f>"600977"</f>
        <v>600977</v>
      </c>
      <c r="C1944" t="s">
        <v>708</v>
      </c>
      <c r="D1944" t="str">
        <f>[1]!EM_S_INFO_INDEX_EM(B1944,"1")</f>
        <v>文化传媒</v>
      </c>
      <c r="E1944" s="4">
        <f t="shared" si="30"/>
        <v>43465</v>
      </c>
      <c r="F1944" s="11">
        <f>[1]!EM_S_PQ_PCTCHANGE(B1944,"2018-01-01","2019-12-31","3")</f>
        <v>2.9634976100000001</v>
      </c>
      <c r="G1944" s="11">
        <f>[1]!EM_S_PQ_PCTCHANGE(B1944,"2018-12-31","2019-12-30","1")</f>
        <v>6.1452514000000003</v>
      </c>
      <c r="H1944" s="11">
        <f>[1]!EM_S_FA_YOY_OR(B1944,E1944)</f>
        <v>0.5527440307</v>
      </c>
      <c r="I1944" s="11">
        <f>[1]!EM_S_FA_GROSSPROFITMARGIN(B1944,E1944)</f>
        <v>22.284997629399999</v>
      </c>
      <c r="J1944" s="11">
        <f>[1]!EM_S_FA_NETPROFITMARGIN(B1944,E1944)</f>
        <v>17.944546946500001</v>
      </c>
      <c r="K1944" s="10">
        <f>[1]!EM_S_FA_ASSETSTURN(B1944,E1944)</f>
        <v>0.57125735888100004</v>
      </c>
      <c r="L1944" s="12">
        <f>[1]!EM_HKS_VAL_MV(B1944,"2019-12-31","2")</f>
        <v>28415740000</v>
      </c>
      <c r="M1944">
        <f>[1]!EM_S_VAL_PETTMDEDUCTED(B1944,E1944)</f>
        <v>28.609633985798698</v>
      </c>
      <c r="N1944" s="7">
        <f>[1]!EM_S_VAL_PBGOODWILLDEDUCTED(B1944,E1944)</f>
        <v>2.5036447472558399</v>
      </c>
      <c r="O1944" s="7">
        <f>[1]!EM_S_VAL_PS_TTM(B1944,E1944)</f>
        <v>2.8966024416209</v>
      </c>
      <c r="P1944" s="7">
        <f>[1]!EM_S_VAL_PCF_NCFTTM(B1944,E1944)</f>
        <v>-81.871973575363597</v>
      </c>
      <c r="Q1944" s="7">
        <f>[1]!EM_S_VAL_DIVIDENDYIELD2(B1944,E1944,"2019-11-29")</f>
        <v>1.9914953933380584</v>
      </c>
      <c r="T1944"/>
      <c r="U1944">
        <f>[1]!EM_S_RATIO_EPS_TTM(B1944,E1944,"1")</f>
        <v>0.80063682015532944</v>
      </c>
      <c r="AT1944" s="4" t="str">
        <f>[1]!EM_S_IPO_LISTEDDATE(B1944)</f>
        <v>2016-08-09</v>
      </c>
    </row>
    <row r="1945" spans="1:46">
      <c r="A1945">
        <v>3215</v>
      </c>
      <c r="B1945" t="str">
        <f>"603017"</f>
        <v>603017</v>
      </c>
      <c r="C1945" t="s">
        <v>2052</v>
      </c>
      <c r="D1945" t="str">
        <f>[1]!EM_S_INFO_INDEX_EM(B1945,"1")</f>
        <v>建筑</v>
      </c>
      <c r="E1945" s="4">
        <f t="shared" si="30"/>
        <v>43465</v>
      </c>
      <c r="F1945" s="11">
        <f>[1]!EM_S_PQ_PCTCHANGE(B1945,"2018-01-01","2019-12-31","3")</f>
        <v>-32.870667189999999</v>
      </c>
      <c r="G1945" s="11">
        <f>[1]!EM_S_PQ_PCTCHANGE(B1945,"2018-12-31","2019-12-30","1")</f>
        <v>6.1430010099999999</v>
      </c>
      <c r="H1945" s="11">
        <f>[1]!EM_S_FA_YOY_OR(B1945,E1945)</f>
        <v>28.318255312400002</v>
      </c>
      <c r="I1945" s="11">
        <f>[1]!EM_S_FA_GROSSPROFITMARGIN(B1945,E1945)</f>
        <v>25.105418309000001</v>
      </c>
      <c r="J1945" s="11">
        <f>[1]!EM_S_FA_NETPROFITMARGIN(B1945,E1945)</f>
        <v>9.5957488931999997</v>
      </c>
      <c r="K1945" s="10">
        <f>[1]!EM_S_FA_ASSETSTURN(B1945,E1945)</f>
        <v>0.62300005837500005</v>
      </c>
      <c r="L1945" s="12">
        <f>[1]!EM_HKS_VAL_MV(B1945,"2019-12-31","2")</f>
        <v>2894206938.5599999</v>
      </c>
      <c r="M1945">
        <f>[1]!EM_S_VAL_PETTMDEDUCTED(B1945,E1945)</f>
        <v>17.676128485839001</v>
      </c>
      <c r="N1945" s="7">
        <f>[1]!EM_S_VAL_PBGOODWILLDEDUCTED(B1945,E1945)</f>
        <v>2.46197431532112</v>
      </c>
      <c r="O1945" s="7">
        <f>[1]!EM_S_VAL_PS_TTM(B1945,E1945)</f>
        <v>1.6390765620972301</v>
      </c>
      <c r="P1945" s="7">
        <f>[1]!EM_S_VAL_PCF_NCFTTM(B1945,E1945)</f>
        <v>-76.429647327205601</v>
      </c>
      <c r="Q1945" s="7">
        <f>[1]!EM_S_VAL_DIVIDENDYIELD2(B1945,E1945,"2019-11-29")</f>
        <v>3.012048192771084</v>
      </c>
      <c r="T1945"/>
      <c r="U1945">
        <f>[1]!EM_S_RATIO_EPS_TTM(B1945,E1945,"1")</f>
        <v>0.61124024270509747</v>
      </c>
      <c r="AT1945" s="4" t="str">
        <f>[1]!EM_S_IPO_LISTEDDATE(B1945)</f>
        <v>2014-12-31</v>
      </c>
    </row>
    <row r="1946" spans="1:46">
      <c r="A1946">
        <v>608</v>
      </c>
      <c r="B1946" t="str">
        <f>"002097"</f>
        <v>002097</v>
      </c>
      <c r="C1946" t="s">
        <v>1028</v>
      </c>
      <c r="D1946" t="str">
        <f>[1]!EM_S_INFO_INDEX_EM(B1946,"1")</f>
        <v>机械设备</v>
      </c>
      <c r="E1946" s="4">
        <f t="shared" si="30"/>
        <v>43465</v>
      </c>
      <c r="F1946" s="11">
        <f>[1]!EM_S_PQ_PCTCHANGE(B1946,"2018-01-01","2019-12-31","3")</f>
        <v>-20.0684799</v>
      </c>
      <c r="G1946" s="11">
        <f>[1]!EM_S_PQ_PCTCHANGE(B1946,"2018-12-31","2019-12-30","1")</f>
        <v>6.1261261300000003</v>
      </c>
      <c r="H1946" s="11">
        <f>[1]!EM_S_FA_YOY_OR(B1946,E1946)</f>
        <v>45.641196179399998</v>
      </c>
      <c r="I1946" s="11">
        <f>[1]!EM_S_FA_GROSSPROFITMARGIN(B1946,E1946)</f>
        <v>30.821147751000002</v>
      </c>
      <c r="J1946" s="11">
        <f>[1]!EM_S_FA_NETPROFITMARGIN(B1946,E1946)</f>
        <v>8.0030946887999992</v>
      </c>
      <c r="K1946" s="10">
        <f>[1]!EM_S_FA_ASSETSTURN(B1946,E1946)</f>
        <v>0.43315063725699998</v>
      </c>
      <c r="L1946" s="12">
        <f>[1]!EM_HKS_VAL_MV(B1946,"2019-12-31","2")</f>
        <v>6395896294.1999998</v>
      </c>
      <c r="M1946">
        <f>[1]!EM_S_VAL_PETTMDEDUCTED(B1946,E1946)</f>
        <v>14.9576259718266</v>
      </c>
      <c r="N1946" s="7">
        <f>[1]!EM_S_VAL_PBGOODWILLDEDUCTED(B1946,E1946)</f>
        <v>1.28723133257782</v>
      </c>
      <c r="O1946" s="7">
        <f>[1]!EM_S_VAL_PS_TTM(B1946,E1946)</f>
        <v>1.1008346771225099</v>
      </c>
      <c r="P1946" s="7">
        <f>[1]!EM_S_VAL_PCF_NCFTTM(B1946,E1946)</f>
        <v>-3.8000537417245899</v>
      </c>
      <c r="Q1946" s="7">
        <f>[1]!EM_S_VAL_DIVIDENDYIELD2(B1946,E1946,"2019-11-29")</f>
        <v>1.8050541516245486</v>
      </c>
      <c r="T1946"/>
      <c r="U1946">
        <f>[1]!EM_S_RATIO_EPS_TTM(B1946,E1946,"1")</f>
        <v>0.40648394709901692</v>
      </c>
      <c r="AT1946" s="4" t="str">
        <f>[1]!EM_S_IPO_LISTEDDATE(B1946)</f>
        <v>2006-12-22</v>
      </c>
    </row>
    <row r="1947" spans="1:46">
      <c r="A1947">
        <v>3258</v>
      </c>
      <c r="B1947" t="str">
        <f>"603085"</f>
        <v>603085</v>
      </c>
      <c r="C1947" t="s">
        <v>2085</v>
      </c>
      <c r="D1947" t="str">
        <f>[1]!EM_S_INFO_INDEX_EM(B1947,"1")</f>
        <v>交运设备</v>
      </c>
      <c r="E1947" s="4">
        <f t="shared" si="30"/>
        <v>43465</v>
      </c>
      <c r="F1947" s="11">
        <f>[1]!EM_S_PQ_PCTCHANGE(B1947,"2018-01-01","2019-12-31","3")</f>
        <v>-59.334150749999999</v>
      </c>
      <c r="G1947" s="11">
        <f>[1]!EM_S_PQ_PCTCHANGE(B1947,"2018-12-31","2019-12-30","1")</f>
        <v>6.0880828999999999</v>
      </c>
      <c r="H1947" s="11">
        <f>[1]!EM_S_FA_YOY_OR(B1947,E1947)</f>
        <v>22.331273892599999</v>
      </c>
      <c r="I1947" s="11">
        <f>[1]!EM_S_FA_GROSSPROFITMARGIN(B1947,E1947)</f>
        <v>26.650449339800002</v>
      </c>
      <c r="J1947" s="11">
        <f>[1]!EM_S_FA_NETPROFITMARGIN(B1947,E1947)</f>
        <v>3.8149473898999999</v>
      </c>
      <c r="K1947" s="10">
        <f>[1]!EM_S_FA_ASSETSTURN(B1947,E1947)</f>
        <v>0.49761332659800001</v>
      </c>
      <c r="L1947" s="12">
        <f>[1]!EM_HKS_VAL_MV(B1947,"2019-12-31","2")</f>
        <v>2374446837.1199999</v>
      </c>
      <c r="M1947">
        <f>[1]!EM_S_VAL_PETTMDEDUCTED(B1947,E1947)</f>
        <v>41.007774129961199</v>
      </c>
      <c r="N1947" s="7">
        <f>[1]!EM_S_VAL_PBGOODWILLDEDUCTED(B1947,E1947)</f>
        <v>4.1751390498498404</v>
      </c>
      <c r="O1947" s="7">
        <f>[1]!EM_S_VAL_PS_TTM(B1947,E1947)</f>
        <v>2.50358670907625</v>
      </c>
      <c r="P1947" s="7">
        <f>[1]!EM_S_VAL_PCF_NCFTTM(B1947,E1947)</f>
        <v>-9.9709382120985701</v>
      </c>
      <c r="Q1947" s="7">
        <f>[1]!EM_S_VAL_DIVIDENDYIELD2(B1947,E1947,"2019-11-29")</f>
        <v>0.49566294919454773</v>
      </c>
      <c r="T1947"/>
      <c r="U1947">
        <f>[1]!EM_S_RATIO_EPS_TTM(B1947,E1947,"1")</f>
        <v>0.12559347659908413</v>
      </c>
      <c r="AT1947" s="4" t="str">
        <f>[1]!EM_S_IPO_LISTEDDATE(B1947)</f>
        <v>2015-06-30</v>
      </c>
    </row>
    <row r="1948" spans="1:46">
      <c r="A1948">
        <v>1959</v>
      </c>
      <c r="B1948" t="str">
        <f>"300535"</f>
        <v>300535</v>
      </c>
      <c r="C1948" t="s">
        <v>2032</v>
      </c>
      <c r="D1948" t="str">
        <f>[1]!EM_S_INFO_INDEX_EM(B1948,"1")</f>
        <v>基础化工</v>
      </c>
      <c r="E1948" s="4">
        <f t="shared" si="30"/>
        <v>43465</v>
      </c>
      <c r="F1948" s="11">
        <f>[1]!EM_S_PQ_PCTCHANGE(B1948,"2018-01-01","2019-12-31","3")</f>
        <v>-37.854797660000003</v>
      </c>
      <c r="G1948" s="11">
        <f>[1]!EM_S_PQ_PCTCHANGE(B1948,"2018-12-31","2019-12-30","1")</f>
        <v>6.0606060599999996</v>
      </c>
      <c r="H1948" s="11">
        <f>[1]!EM_S_FA_YOY_OR(B1948,E1948)</f>
        <v>7.0510996305999996</v>
      </c>
      <c r="I1948" s="11">
        <f>[1]!EM_S_FA_GROSSPROFITMARGIN(B1948,E1948)</f>
        <v>47.826877910100002</v>
      </c>
      <c r="J1948" s="11">
        <f>[1]!EM_S_FA_NETPROFITMARGIN(B1948,E1948)</f>
        <v>11.579376677100001</v>
      </c>
      <c r="K1948" s="10">
        <f>[1]!EM_S_FA_ASSETSTURN(B1948,E1948)</f>
        <v>0.473344847565</v>
      </c>
      <c r="L1948" s="12">
        <f>[1]!EM_HKS_VAL_MV(B1948,"2019-12-31","2")</f>
        <v>1421871744.24</v>
      </c>
      <c r="M1948">
        <f>[1]!EM_S_VAL_PETTMDEDUCTED(B1948,E1948)</f>
        <v>36.5248548381973</v>
      </c>
      <c r="N1948" s="7">
        <f>[1]!EM_S_VAL_PBGOODWILLDEDUCTED(B1948,E1948)</f>
        <v>1.89973834344378</v>
      </c>
      <c r="O1948" s="7">
        <f>[1]!EM_S_VAL_PS_TTM(B1948,E1948)</f>
        <v>3.6957468836498899</v>
      </c>
      <c r="P1948" s="7">
        <f>[1]!EM_S_VAL_PCF_NCFTTM(B1948,E1948)</f>
        <v>-33.677911441609602</v>
      </c>
      <c r="Q1948" s="7">
        <f>[1]!EM_S_VAL_DIVIDENDYIELD2(B1948,E1948,"2019-11-29")</f>
        <v>0.76388315629742043</v>
      </c>
      <c r="T1948"/>
      <c r="U1948">
        <f>[1]!EM_S_RATIO_EPS_TTM(B1948,E1948,"1")</f>
        <v>0.41547311497731626</v>
      </c>
      <c r="AT1948" s="4" t="str">
        <f>[1]!EM_S_IPO_LISTEDDATE(B1948)</f>
        <v>2016-08-12</v>
      </c>
    </row>
    <row r="1949" spans="1:46">
      <c r="A1949">
        <v>2509</v>
      </c>
      <c r="B1949" t="str">
        <f>"600392"</f>
        <v>600392</v>
      </c>
      <c r="C1949" t="s">
        <v>1907</v>
      </c>
      <c r="D1949" t="str">
        <f>[1]!EM_S_INFO_INDEX_EM(B1949,"1")</f>
        <v>有色金属</v>
      </c>
      <c r="E1949" s="4">
        <f t="shared" si="30"/>
        <v>43465</v>
      </c>
      <c r="F1949" s="11">
        <f>[1]!EM_S_PQ_PCTCHANGE(B1949,"2018-01-01","2019-12-31","3")</f>
        <v>-37.66495724</v>
      </c>
      <c r="G1949" s="11">
        <f>[1]!EM_S_PQ_PCTCHANGE(B1949,"2018-12-31","2019-12-30","1")</f>
        <v>6.0394889699999998</v>
      </c>
      <c r="H1949" s="11">
        <f>[1]!EM_S_FA_YOY_OR(B1949,E1949)</f>
        <v>19.667541788099999</v>
      </c>
      <c r="I1949" s="11">
        <f>[1]!EM_S_FA_GROSSPROFITMARGIN(B1949,E1949)</f>
        <v>14.7208303488</v>
      </c>
      <c r="J1949" s="11">
        <f>[1]!EM_S_FA_NETPROFITMARGIN(B1949,E1949)</f>
        <v>4.3730396343000004</v>
      </c>
      <c r="K1949" s="10">
        <f>[1]!EM_S_FA_ASSETSTURN(B1949,E1949)</f>
        <v>0.72649008330700005</v>
      </c>
      <c r="L1949" s="12">
        <f>[1]!EM_HKS_VAL_MV(B1949,"2019-12-31","2")</f>
        <v>15919365297.690001</v>
      </c>
      <c r="M1949">
        <f>[1]!EM_S_VAL_PETTMDEDUCTED(B1949,E1949)</f>
        <v>57.169175373157799</v>
      </c>
      <c r="N1949" s="7">
        <f>[1]!EM_S_VAL_PBGOODWILLDEDUCTED(B1949,E1949)</f>
        <v>3.3832398276517601</v>
      </c>
      <c r="O1949" s="7">
        <f>[1]!EM_S_VAL_PS_TTM(B1949,E1949)</f>
        <v>2.3084777858626699</v>
      </c>
      <c r="P1949" s="7">
        <f>[1]!EM_S_VAL_PCF_NCFTTM(B1949,E1949)</f>
        <v>-137.19243471282499</v>
      </c>
      <c r="Q1949" s="7">
        <f>[1]!EM_S_VAL_DIVIDENDYIELD2(B1949,E1949,"2019-11-29")</f>
        <v>0.36855036855036855</v>
      </c>
      <c r="T1949"/>
      <c r="U1949">
        <f>[1]!EM_S_RATIO_EPS_TTM(B1949,E1949,"1")</f>
        <v>0.16319722903620318</v>
      </c>
      <c r="AT1949" s="4" t="str">
        <f>[1]!EM_S_IPO_LISTEDDATE(B1949)</f>
        <v>2003-05-29</v>
      </c>
    </row>
    <row r="1950" spans="1:46">
      <c r="A1950">
        <v>521</v>
      </c>
      <c r="B1950" t="str">
        <f>"002010"</f>
        <v>002010</v>
      </c>
      <c r="C1950" t="s">
        <v>2363</v>
      </c>
      <c r="D1950" t="str">
        <f>[1]!EM_S_INFO_INDEX_EM(B1950,"1")</f>
        <v>交通运输</v>
      </c>
      <c r="E1950" s="4">
        <f t="shared" si="30"/>
        <v>43465</v>
      </c>
      <c r="F1950" s="11">
        <f>[1]!EM_S_PQ_PCTCHANGE(B1950,"2018-01-01","2019-12-31","3")</f>
        <v>-56.13157382</v>
      </c>
      <c r="G1950" s="11">
        <f>[1]!EM_S_PQ_PCTCHANGE(B1950,"2018-12-31","2019-12-30","1")</f>
        <v>6</v>
      </c>
      <c r="H1950" s="11">
        <f>[1]!EM_S_FA_YOY_OR(B1950,E1950)</f>
        <v>4.8539935751999996</v>
      </c>
      <c r="I1950" s="11">
        <f>[1]!EM_S_FA_GROSSPROFITMARGIN(B1950,E1950)</f>
        <v>12.006801449999999</v>
      </c>
      <c r="J1950" s="11">
        <f>[1]!EM_S_FA_NETPROFITMARGIN(B1950,E1950)</f>
        <v>4.4609873135999996</v>
      </c>
      <c r="K1950" s="10">
        <f>[1]!EM_S_FA_ASSETSTURN(B1950,E1950)</f>
        <v>0.75038659844199995</v>
      </c>
      <c r="L1950" s="12">
        <f>[1]!EM_HKS_VAL_MV(B1950,"2019-12-31","2")</f>
        <v>22739546452.439999</v>
      </c>
      <c r="M1950">
        <f>[1]!EM_S_VAL_PETTMDEDUCTED(B1950,E1950)</f>
        <v>38.720168983597297</v>
      </c>
      <c r="N1950" s="7">
        <f>[1]!EM_S_VAL_PBGOODWILLDEDUCTED(B1950,E1950)</f>
        <v>1.7932523033727299</v>
      </c>
      <c r="O1950" s="7">
        <f>[1]!EM_S_VAL_PS_TTM(B1950,E1950)</f>
        <v>0.85068598158778796</v>
      </c>
      <c r="P1950" s="7">
        <f>[1]!EM_S_VAL_PCF_NCFTTM(B1950,E1950)</f>
        <v>34.332013389582499</v>
      </c>
      <c r="Q1950" s="7">
        <f>[1]!EM_S_VAL_DIVIDENDYIELD2(B1950,E1950,"2019-11-29")</f>
        <v>1.4513788098693761</v>
      </c>
      <c r="T1950"/>
      <c r="U1950">
        <f>[1]!EM_S_RATIO_EPS_TTM(B1950,E1950,"1")</f>
        <v>0.2513910103759438</v>
      </c>
      <c r="AT1950" s="4" t="str">
        <f>[1]!EM_S_IPO_LISTEDDATE(B1950)</f>
        <v>2004-06-29</v>
      </c>
    </row>
    <row r="1951" spans="1:46">
      <c r="A1951">
        <v>196</v>
      </c>
      <c r="B1951" t="str">
        <f>"000592"</f>
        <v>000592</v>
      </c>
      <c r="C1951" t="s">
        <v>3223</v>
      </c>
      <c r="D1951" t="str">
        <f>[1]!EM_S_INFO_INDEX_EM(B1951,"1")</f>
        <v>农林牧渔</v>
      </c>
      <c r="E1951" s="4">
        <f t="shared" si="30"/>
        <v>43465</v>
      </c>
      <c r="F1951" s="11">
        <f>[1]!EM_S_PQ_PCTCHANGE(B1951,"2018-01-01","2019-12-31","3")</f>
        <v>-49.565217390000001</v>
      </c>
      <c r="G1951" s="11">
        <f>[1]!EM_S_PQ_PCTCHANGE(B1951,"2018-12-31","2019-12-30","1")</f>
        <v>5.9925093599999997</v>
      </c>
      <c r="H1951" s="11">
        <f>[1]!EM_S_FA_YOY_OR(B1951,E1951)</f>
        <v>10.259573145899999</v>
      </c>
      <c r="I1951" s="11">
        <f>[1]!EM_S_FA_GROSSPROFITMARGIN(B1951,E1951)</f>
        <v>14.488166464400001</v>
      </c>
      <c r="J1951" s="11">
        <f>[1]!EM_S_FA_NETPROFITMARGIN(B1951,E1951)</f>
        <v>3.3580930081</v>
      </c>
      <c r="K1951" s="10">
        <f>[1]!EM_S_FA_ASSETSTURN(B1951,E1951)</f>
        <v>0.21631932064699999</v>
      </c>
      <c r="L1951" s="12">
        <f>[1]!EM_HKS_VAL_MV(B1951,"2019-12-31","2")</f>
        <v>5602164586.8000002</v>
      </c>
      <c r="M1951">
        <f>[1]!EM_S_VAL_PETTMDEDUCTED(B1951,E1951)</f>
        <v>-194.48349343790599</v>
      </c>
      <c r="N1951" s="7">
        <f>[1]!EM_S_VAL_PBGOODWILLDEDUCTED(B1951,E1951)</f>
        <v>1.6221003339706099</v>
      </c>
      <c r="O1951" s="7">
        <f>[1]!EM_S_VAL_PS_TTM(B1951,E1951)</f>
        <v>5.0478281532443603</v>
      </c>
      <c r="P1951" s="7">
        <f>[1]!EM_S_VAL_PCF_NCFTTM(B1951,E1951)</f>
        <v>-58.986925318552402</v>
      </c>
      <c r="Q1951" s="7">
        <f>[1]!EM_S_VAL_DIVIDENDYIELD2(B1951,E1951,"2019-11-29")</f>
        <v>0</v>
      </c>
      <c r="T1951"/>
      <c r="U1951">
        <f>[1]!EM_S_RATIO_EPS_TTM(B1951,E1951,"1")</f>
        <v>1.3639497558504684E-2</v>
      </c>
      <c r="AT1951" s="4" t="str">
        <f>[1]!EM_S_IPO_LISTEDDATE(B1951)</f>
        <v>1996-03-27</v>
      </c>
    </row>
    <row r="1952" spans="1:46">
      <c r="A1952">
        <v>557</v>
      </c>
      <c r="B1952" t="str">
        <f>"002046"</f>
        <v>002046</v>
      </c>
      <c r="C1952" t="s">
        <v>2856</v>
      </c>
      <c r="D1952" t="str">
        <f>[1]!EM_S_INFO_INDEX_EM(B1952,"1")</f>
        <v>机械设备</v>
      </c>
      <c r="E1952" s="4">
        <f t="shared" si="30"/>
        <v>43465</v>
      </c>
      <c r="F1952" s="11">
        <f>[1]!EM_S_PQ_PCTCHANGE(B1952,"2018-01-01","2019-12-31","3")</f>
        <v>-27.29781702</v>
      </c>
      <c r="G1952" s="11">
        <f>[1]!EM_S_PQ_PCTCHANGE(B1952,"2018-12-31","2019-12-30","1")</f>
        <v>5.9842519699999999</v>
      </c>
      <c r="H1952" s="11">
        <f>[1]!EM_S_FA_YOY_OR(B1952,E1952)</f>
        <v>38.2801453127</v>
      </c>
      <c r="I1952" s="11">
        <f>[1]!EM_S_FA_GROSSPROFITMARGIN(B1952,E1952)</f>
        <v>24.3330697717</v>
      </c>
      <c r="J1952" s="11">
        <f>[1]!EM_S_FA_NETPROFITMARGIN(B1952,E1952)</f>
        <v>2.4878415576999999</v>
      </c>
      <c r="K1952" s="10">
        <f>[1]!EM_S_FA_ASSETSTURN(B1952,E1952)</f>
        <v>0.49664856503100002</v>
      </c>
      <c r="L1952" s="12">
        <f>[1]!EM_HKS_VAL_MV(B1952,"2019-12-31","2")</f>
        <v>3539356276.5</v>
      </c>
      <c r="M1952">
        <f>[1]!EM_S_VAL_PETTMDEDUCTED(B1952,E1952)</f>
        <v>-43.6663357790638</v>
      </c>
      <c r="N1952" s="7">
        <f>[1]!EM_S_VAL_PBGOODWILLDEDUCTED(B1952,E1952)</f>
        <v>1.27138388202255</v>
      </c>
      <c r="O1952" s="7">
        <f>[1]!EM_S_VAL_PS_TTM(B1952,E1952)</f>
        <v>1.73950530176852</v>
      </c>
      <c r="P1952" s="7">
        <f>[1]!EM_S_VAL_PCF_NCFTTM(B1952,E1952)</f>
        <v>8.8286429952069891</v>
      </c>
      <c r="Q1952" s="7">
        <f>[1]!EM_S_VAL_DIVIDENDYIELD2(B1952,E1952,"2019-11-29")</f>
        <v>0.21439509954058195</v>
      </c>
      <c r="T1952"/>
      <c r="U1952">
        <f>[1]!EM_S_RATIO_EPS_TTM(B1952,E1952,"1")</f>
        <v>4.3685886122603233E-2</v>
      </c>
      <c r="AT1952" s="4" t="str">
        <f>[1]!EM_S_IPO_LISTEDDATE(B1952)</f>
        <v>2005-05-26</v>
      </c>
    </row>
    <row r="1953" spans="1:46">
      <c r="A1953">
        <v>1450</v>
      </c>
      <c r="B1953" t="str">
        <f>"300024"</f>
        <v>300024</v>
      </c>
      <c r="C1953" t="s">
        <v>2217</v>
      </c>
      <c r="D1953" t="str">
        <f>[1]!EM_S_INFO_INDEX_EM(B1953,"1")</f>
        <v>机械设备</v>
      </c>
      <c r="E1953" s="4">
        <f t="shared" si="30"/>
        <v>43465</v>
      </c>
      <c r="F1953" s="11">
        <f>[1]!EM_S_PQ_PCTCHANGE(B1953,"2018-01-01","2019-12-31","3")</f>
        <v>-25.404416340000001</v>
      </c>
      <c r="G1953" s="11">
        <f>[1]!EM_S_PQ_PCTCHANGE(B1953,"2018-12-31","2019-12-30","1")</f>
        <v>5.9757942499999999</v>
      </c>
      <c r="H1953" s="11">
        <f>[1]!EM_S_FA_YOY_OR(B1953,E1953)</f>
        <v>26.0548393093</v>
      </c>
      <c r="I1953" s="11">
        <f>[1]!EM_S_FA_GROSSPROFITMARGIN(B1953,E1953)</f>
        <v>31.467054971300001</v>
      </c>
      <c r="J1953" s="11">
        <f>[1]!EM_S_FA_NETPROFITMARGIN(B1953,E1953)</f>
        <v>14.7020136922</v>
      </c>
      <c r="K1953" s="10">
        <f>[1]!EM_S_FA_ASSETSTURN(B1953,E1953)</f>
        <v>0.34499946771899997</v>
      </c>
      <c r="L1953" s="12">
        <f>[1]!EM_HKS_VAL_MV(B1953,"2019-12-31","2")</f>
        <v>21843354638</v>
      </c>
      <c r="M1953">
        <f>[1]!EM_S_VAL_PETTMDEDUCTED(B1953,E1953)</f>
        <v>56.064375663382599</v>
      </c>
      <c r="N1953" s="7">
        <f>[1]!EM_S_VAL_PBGOODWILLDEDUCTED(B1953,E1953)</f>
        <v>3.3164995585037902</v>
      </c>
      <c r="O1953" s="7">
        <f>[1]!EM_S_VAL_PS_TTM(B1953,E1953)</f>
        <v>7.2314848080357503</v>
      </c>
      <c r="P1953" s="7">
        <f>[1]!EM_S_VAL_PCF_NCFTTM(B1953,E1953)</f>
        <v>48.647954811621098</v>
      </c>
      <c r="Q1953" s="7">
        <f>[1]!EM_S_VAL_DIVIDENDYIELD2(B1953,E1953,"2019-11-29")</f>
        <v>0</v>
      </c>
      <c r="T1953"/>
      <c r="U1953">
        <f>[1]!EM_S_RATIO_EPS_TTM(B1953,E1953,"1")</f>
        <v>0.28800118066095742</v>
      </c>
      <c r="AT1953" s="4" t="str">
        <f>[1]!EM_S_IPO_LISTEDDATE(B1953)</f>
        <v>2009-10-30</v>
      </c>
    </row>
    <row r="1954" spans="1:46">
      <c r="A1954">
        <v>1094</v>
      </c>
      <c r="B1954" t="str">
        <f>"002583"</f>
        <v>002583</v>
      </c>
      <c r="C1954" t="s">
        <v>3495</v>
      </c>
      <c r="D1954" t="str">
        <f>[1]!EM_S_INFO_INDEX_EM(B1954,"1")</f>
        <v>信息技术</v>
      </c>
      <c r="E1954" s="4">
        <f t="shared" si="30"/>
        <v>43465</v>
      </c>
      <c r="F1954" s="11">
        <f>[1]!EM_S_PQ_PCTCHANGE(B1954,"2018-01-01","2019-12-31","3")</f>
        <v>-54.286936869999998</v>
      </c>
      <c r="G1954" s="11">
        <f>[1]!EM_S_PQ_PCTCHANGE(B1954,"2018-12-31","2019-12-30","1")</f>
        <v>5.9569074799999999</v>
      </c>
      <c r="H1954" s="11">
        <f>[1]!EM_S_FA_YOY_OR(B1954,E1954)</f>
        <v>29.580340694299998</v>
      </c>
      <c r="I1954" s="11">
        <f>[1]!EM_S_FA_GROSSPROFITMARGIN(B1954,E1954)</f>
        <v>47.3042149431</v>
      </c>
      <c r="J1954" s="11">
        <f>[1]!EM_S_FA_NETPROFITMARGIN(B1954,E1954)</f>
        <v>6.8758019628999998</v>
      </c>
      <c r="K1954" s="10">
        <f>[1]!EM_S_FA_ASSETSTURN(B1954,E1954)</f>
        <v>0.479900775527</v>
      </c>
      <c r="L1954" s="12">
        <f>[1]!EM_HKS_VAL_MV(B1954,"2019-12-31","2")</f>
        <v>15470817264.309999</v>
      </c>
      <c r="M1954">
        <f>[1]!EM_S_VAL_PETTMDEDUCTED(B1954,E1954)</f>
        <v>58.688884743418697</v>
      </c>
      <c r="N1954" s="7">
        <f>[1]!EM_S_VAL_PBGOODWILLDEDUCTED(B1954,E1954)</f>
        <v>2.4762127374873901</v>
      </c>
      <c r="O1954" s="7">
        <f>[1]!EM_S_VAL_PS_TTM(B1954,E1954)</f>
        <v>2.16066801854832</v>
      </c>
      <c r="P1954" s="7">
        <f>[1]!EM_S_VAL_PCF_NCFTTM(B1954,E1954)</f>
        <v>122.70375400829199</v>
      </c>
      <c r="Q1954" s="7">
        <f>[1]!EM_S_VAL_DIVIDENDYIELD2(B1954,E1954,"2019-11-29")</f>
        <v>0.39363988704560848</v>
      </c>
      <c r="T1954"/>
      <c r="U1954">
        <f>[1]!EM_S_RATIO_EPS_TTM(B1954,E1954,"1")</f>
        <v>0.25952551679329161</v>
      </c>
      <c r="AT1954" s="4" t="str">
        <f>[1]!EM_S_IPO_LISTEDDATE(B1954)</f>
        <v>2011-05-27</v>
      </c>
    </row>
    <row r="1955" spans="1:46">
      <c r="A1955">
        <v>3276</v>
      </c>
      <c r="B1955" t="str">
        <f>"603117"</f>
        <v>603117</v>
      </c>
      <c r="C1955" t="s">
        <v>1946</v>
      </c>
      <c r="D1955" t="str">
        <f>[1]!EM_S_INFO_INDEX_EM(B1955,"1")</f>
        <v>交通运输</v>
      </c>
      <c r="E1955" s="4">
        <f t="shared" si="30"/>
        <v>43465</v>
      </c>
      <c r="F1955" s="11">
        <f>[1]!EM_S_PQ_PCTCHANGE(B1955,"2018-01-01","2019-12-31","3")</f>
        <v>-44.077594040000001</v>
      </c>
      <c r="G1955" s="11">
        <f>[1]!EM_S_PQ_PCTCHANGE(B1955,"2018-12-31","2019-12-30","1")</f>
        <v>5.9322033899999997</v>
      </c>
      <c r="H1955" s="11">
        <f>[1]!EM_S_FA_YOY_OR(B1955,E1955)</f>
        <v>39.4547020057</v>
      </c>
      <c r="I1955" s="11">
        <f>[1]!EM_S_FA_GROSSPROFITMARGIN(B1955,E1955)</f>
        <v>48.525764420999998</v>
      </c>
      <c r="J1955" s="11">
        <f>[1]!EM_S_FA_NETPROFITMARGIN(B1955,E1955)</f>
        <v>13.8193459238</v>
      </c>
      <c r="K1955" s="10">
        <f>[1]!EM_S_FA_ASSETSTURN(B1955,E1955)</f>
        <v>0.16403978905300001</v>
      </c>
      <c r="L1955" s="12">
        <f>[1]!EM_HKS_VAL_MV(B1955,"2019-12-31","2")</f>
        <v>2443464163</v>
      </c>
      <c r="M1955">
        <f>[1]!EM_S_VAL_PETTMDEDUCTED(B1955,E1955)</f>
        <v>24.096583484879499</v>
      </c>
      <c r="N1955" s="7">
        <f>[1]!EM_S_VAL_PBGOODWILLDEDUCTED(B1955,E1955)</f>
        <v>1.0619881508870801</v>
      </c>
      <c r="O1955" s="7">
        <f>[1]!EM_S_VAL_PS_TTM(B1955,E1955)</f>
        <v>2.5360698218083901</v>
      </c>
      <c r="P1955" s="7">
        <f>[1]!EM_S_VAL_PCF_NCFTTM(B1955,E1955)</f>
        <v>18.725223995667498</v>
      </c>
      <c r="Q1955" s="7">
        <f>[1]!EM_S_VAL_DIVIDENDYIELD2(B1955,E1955,"2019-11-29")</f>
        <v>1.3850415512465375</v>
      </c>
      <c r="T1955"/>
      <c r="U1955">
        <f>[1]!EM_S_RATIO_EPS_TTM(B1955,E1955,"1")</f>
        <v>0.151862233705855</v>
      </c>
      <c r="AT1955" s="4" t="str">
        <f>[1]!EM_S_IPO_LISTEDDATE(B1955)</f>
        <v>2015-06-29</v>
      </c>
    </row>
    <row r="1956" spans="1:46">
      <c r="A1956">
        <v>698</v>
      </c>
      <c r="B1956" t="str">
        <f>"002187"</f>
        <v>002187</v>
      </c>
      <c r="C1956" t="s">
        <v>1352</v>
      </c>
      <c r="D1956" t="str">
        <f>[1]!EM_S_INFO_INDEX_EM(B1956,"1")</f>
        <v>商贸零售</v>
      </c>
      <c r="E1956" s="4">
        <f t="shared" si="30"/>
        <v>43465</v>
      </c>
      <c r="F1956" s="11">
        <f>[1]!EM_S_PQ_PCTCHANGE(B1956,"2018-01-01","2019-12-31","3")</f>
        <v>-9.44549226</v>
      </c>
      <c r="G1956" s="11">
        <f>[1]!EM_S_PQ_PCTCHANGE(B1956,"2018-12-31","2019-12-30","1")</f>
        <v>5.8895705500000002</v>
      </c>
      <c r="H1956" s="11">
        <f>[1]!EM_S_FA_YOY_OR(B1956,E1956)</f>
        <v>10.4978252059</v>
      </c>
      <c r="I1956" s="11">
        <f>[1]!EM_S_FA_GROSSPROFITMARGIN(B1956,E1956)</f>
        <v>16.639145919800001</v>
      </c>
      <c r="J1956" s="11">
        <f>[1]!EM_S_FA_NETPROFITMARGIN(B1956,E1956)</f>
        <v>2.6590593971000001</v>
      </c>
      <c r="K1956" s="10">
        <f>[1]!EM_S_FA_ASSETSTURN(B1956,E1956)</f>
        <v>1.7631023397059999</v>
      </c>
      <c r="L1956" s="12">
        <f>[1]!EM_HKS_VAL_MV(B1956,"2019-12-31","2")</f>
        <v>2951682536.1599998</v>
      </c>
      <c r="M1956">
        <f>[1]!EM_S_VAL_PETTMDEDUCTED(B1956,E1956)</f>
        <v>18.539661649424499</v>
      </c>
      <c r="N1956" s="7">
        <f>[1]!EM_S_VAL_PBGOODWILLDEDUCTED(B1956,E1956)</f>
        <v>1.0167211280102799</v>
      </c>
      <c r="O1956" s="7">
        <f>[1]!EM_S_VAL_PS_TTM(B1956,E1956)</f>
        <v>0.38790716154122001</v>
      </c>
      <c r="P1956" s="7">
        <f>[1]!EM_S_VAL_PCF_NCFTTM(B1956,E1956)</f>
        <v>4.0820575469850704</v>
      </c>
      <c r="Q1956" s="7">
        <f>[1]!EM_S_VAL_DIVIDENDYIELD2(B1956,E1956,"2019-11-29")</f>
        <v>3.7082818294190356</v>
      </c>
      <c r="T1956"/>
      <c r="U1956">
        <f>[1]!EM_S_RATIO_EPS_TTM(B1956,E1956,"1")</f>
        <v>0.58725647536759318</v>
      </c>
      <c r="AT1956" s="4" t="str">
        <f>[1]!EM_S_IPO_LISTEDDATE(B1956)</f>
        <v>2007-11-22</v>
      </c>
    </row>
    <row r="1957" spans="1:46">
      <c r="A1957">
        <v>3327</v>
      </c>
      <c r="B1957" t="str">
        <f>"603239"</f>
        <v>603239</v>
      </c>
      <c r="C1957" t="s">
        <v>530</v>
      </c>
      <c r="D1957" t="str">
        <f>[1]!EM_S_INFO_INDEX_EM(B1957,"1")</f>
        <v>交运设备</v>
      </c>
      <c r="E1957" s="4">
        <f t="shared" si="30"/>
        <v>43465</v>
      </c>
      <c r="F1957" s="11">
        <f>[1]!EM_S_PQ_PCTCHANGE(B1957,"2018-01-01","2019-12-31","3")</f>
        <v>-37.169307410000002</v>
      </c>
      <c r="G1957" s="11">
        <f>[1]!EM_S_PQ_PCTCHANGE(B1957,"2018-12-31","2019-12-30","1")</f>
        <v>5.8597502400000003</v>
      </c>
      <c r="H1957" s="11">
        <f>[1]!EM_S_FA_YOY_OR(B1957,E1957)</f>
        <v>-3.7744801602</v>
      </c>
      <c r="I1957" s="11">
        <f>[1]!EM_S_FA_GROSSPROFITMARGIN(B1957,E1957)</f>
        <v>39.472866616399997</v>
      </c>
      <c r="J1957" s="11">
        <f>[1]!EM_S_FA_NETPROFITMARGIN(B1957,E1957)</f>
        <v>17.376308835100001</v>
      </c>
      <c r="K1957" s="10">
        <f>[1]!EM_S_FA_ASSETSTURN(B1957,E1957)</f>
        <v>0.59554792652999999</v>
      </c>
      <c r="L1957" s="12">
        <f>[1]!EM_HKS_VAL_MV(B1957,"2019-12-31","2")</f>
        <v>3034771200</v>
      </c>
      <c r="M1957">
        <f>[1]!EM_S_VAL_PETTMDEDUCTED(B1957,E1957)</f>
        <v>18.971817752886899</v>
      </c>
      <c r="N1957" s="7">
        <f>[1]!EM_S_VAL_PBGOODWILLDEDUCTED(B1957,E1957)</f>
        <v>2.8738381592092099</v>
      </c>
      <c r="O1957" s="7">
        <f>[1]!EM_S_VAL_PS_TTM(B1957,E1957)</f>
        <v>3.6491823493267699</v>
      </c>
      <c r="P1957" s="7">
        <f>[1]!EM_S_VAL_PCF_NCFTTM(B1957,E1957)</f>
        <v>144.339789411156</v>
      </c>
      <c r="Q1957" s="7">
        <f>[1]!EM_S_VAL_DIVIDENDYIELD2(B1957,E1957,"2019-11-29")</f>
        <v>3.1120331950207469</v>
      </c>
      <c r="T1957"/>
      <c r="U1957">
        <f>[1]!EM_S_RATIO_EPS_TTM(B1957,E1957,"1")</f>
        <v>0.45217990288859339</v>
      </c>
      <c r="AT1957" s="4" t="str">
        <f>[1]!EM_S_IPO_LISTEDDATE(B1957)</f>
        <v>2016-12-30</v>
      </c>
    </row>
    <row r="1958" spans="1:46">
      <c r="A1958">
        <v>515</v>
      </c>
      <c r="B1958" t="str">
        <f>"002004"</f>
        <v>002004</v>
      </c>
      <c r="C1958" t="s">
        <v>2229</v>
      </c>
      <c r="D1958" t="str">
        <f>[1]!EM_S_INFO_INDEX_EM(B1958,"1")</f>
        <v>基础化工</v>
      </c>
      <c r="E1958" s="4">
        <f t="shared" si="30"/>
        <v>43465</v>
      </c>
      <c r="F1958" s="11">
        <f>[1]!EM_S_PQ_PCTCHANGE(B1958,"2018-01-01","2019-12-31","3")</f>
        <v>-20.546698259999999</v>
      </c>
      <c r="G1958" s="11">
        <f>[1]!EM_S_PQ_PCTCHANGE(B1958,"2018-12-31","2019-12-30","1")</f>
        <v>5.8568329700000001</v>
      </c>
      <c r="H1958" s="11">
        <f>[1]!EM_S_FA_YOY_OR(B1958,E1958)</f>
        <v>15.1451563451</v>
      </c>
      <c r="I1958" s="11">
        <f>[1]!EM_S_FA_GROSSPROFITMARGIN(B1958,E1958)</f>
        <v>40.5912170398</v>
      </c>
      <c r="J1958" s="11">
        <f>[1]!EM_S_FA_NETPROFITMARGIN(B1958,E1958)</f>
        <v>7.781789764</v>
      </c>
      <c r="K1958" s="10">
        <f>[1]!EM_S_FA_ASSETSTURN(B1958,E1958)</f>
        <v>0.38006237030000001</v>
      </c>
      <c r="L1958" s="12">
        <f>[1]!EM_HKS_VAL_MV(B1958,"2019-12-31","2")</f>
        <v>9780800803.5400009</v>
      </c>
      <c r="M1958">
        <f>[1]!EM_S_VAL_PETTMDEDUCTED(B1958,E1958)</f>
        <v>18.777382331431301</v>
      </c>
      <c r="N1958" s="7">
        <f>[1]!EM_S_VAL_PBGOODWILLDEDUCTED(B1958,E1958)</f>
        <v>1.6951637707295699</v>
      </c>
      <c r="O1958" s="7">
        <f>[1]!EM_S_VAL_PS_TTM(B1958,E1958)</f>
        <v>0.87167620808544299</v>
      </c>
      <c r="P1958" s="7">
        <f>[1]!EM_S_VAL_PCF_NCFTTM(B1958,E1958)</f>
        <v>41.077281097751502</v>
      </c>
      <c r="Q1958" s="7">
        <f>[1]!EM_S_VAL_DIVIDENDYIELD2(B1958,E1958,"2019-11-29")</f>
        <v>4.731182795698925</v>
      </c>
      <c r="T1958"/>
      <c r="U1958">
        <f>[1]!EM_S_RATIO_EPS_TTM(B1958,E1958,"1")</f>
        <v>0.2512928488733433</v>
      </c>
      <c r="AT1958" s="4" t="str">
        <f>[1]!EM_S_IPO_LISTEDDATE(B1958)</f>
        <v>2004-06-25</v>
      </c>
    </row>
    <row r="1959" spans="1:46">
      <c r="A1959">
        <v>1072</v>
      </c>
      <c r="B1959" t="str">
        <f>"002561"</f>
        <v>002561</v>
      </c>
      <c r="C1959" t="s">
        <v>726</v>
      </c>
      <c r="D1959" t="str">
        <f>[1]!EM_S_INFO_INDEX_EM(B1959,"1")</f>
        <v>商贸零售</v>
      </c>
      <c r="E1959" s="4">
        <f t="shared" si="30"/>
        <v>43465</v>
      </c>
      <c r="F1959" s="11">
        <f>[1]!EM_S_PQ_PCTCHANGE(B1959,"2018-01-01","2019-12-31","3")</f>
        <v>-24.92445292</v>
      </c>
      <c r="G1959" s="11">
        <f>[1]!EM_S_PQ_PCTCHANGE(B1959,"2018-12-31","2019-12-30","1")</f>
        <v>5.84415584</v>
      </c>
      <c r="H1959" s="11">
        <f>[1]!EM_S_FA_YOY_OR(B1959,E1959)</f>
        <v>-1.5664580380999999</v>
      </c>
      <c r="I1959" s="11">
        <f>[1]!EM_S_FA_GROSSPROFITMARGIN(B1959,E1959)</f>
        <v>28.833905818400002</v>
      </c>
      <c r="J1959" s="11">
        <f>[1]!EM_S_FA_NETPROFITMARGIN(B1959,E1959)</f>
        <v>11.7740442205</v>
      </c>
      <c r="K1959" s="10">
        <f>[1]!EM_S_FA_ASSETSTURN(B1959,E1959)</f>
        <v>0.76974630287699997</v>
      </c>
      <c r="L1959" s="12">
        <f>[1]!EM_HKS_VAL_MV(B1959,"2019-12-31","2")</f>
        <v>3400941340</v>
      </c>
      <c r="M1959">
        <f>[1]!EM_S_VAL_PETTMDEDUCTED(B1959,E1959)</f>
        <v>15.173672442258299</v>
      </c>
      <c r="N1959" s="7">
        <f>[1]!EM_S_VAL_PBGOODWILLDEDUCTED(B1959,E1959)</f>
        <v>1.4681158120173801</v>
      </c>
      <c r="O1959" s="7">
        <f>[1]!EM_S_VAL_PS_TTM(B1959,E1959)</f>
        <v>1.5193977995637999</v>
      </c>
      <c r="P1959" s="7">
        <f>[1]!EM_S_VAL_PCF_NCFTTM(B1959,E1959)</f>
        <v>30.558641622561598</v>
      </c>
      <c r="Q1959" s="7">
        <f>[1]!EM_S_VAL_DIVIDENDYIELD2(B1959,E1959,"2019-11-29")</f>
        <v>4.5512010113780024</v>
      </c>
      <c r="T1959"/>
      <c r="U1959">
        <f>[1]!EM_S_RATIO_EPS_TTM(B1959,E1959,"1")</f>
        <v>0.55629615273605393</v>
      </c>
      <c r="AT1959" s="4" t="str">
        <f>[1]!EM_S_IPO_LISTEDDATE(B1959)</f>
        <v>2011-03-03</v>
      </c>
    </row>
    <row r="1960" spans="1:46">
      <c r="A1960">
        <v>1872</v>
      </c>
      <c r="B1960" t="str">
        <f>"300447"</f>
        <v>300447</v>
      </c>
      <c r="C1960" t="s">
        <v>1357</v>
      </c>
      <c r="D1960" t="str">
        <f>[1]!EM_S_INFO_INDEX_EM(B1960,"1")</f>
        <v>电气设备</v>
      </c>
      <c r="E1960" s="4">
        <f t="shared" si="30"/>
        <v>43465</v>
      </c>
      <c r="F1960" s="11">
        <f>[1]!EM_S_PQ_PCTCHANGE(B1960,"2018-01-01","2019-12-31","3")</f>
        <v>-47.95625742</v>
      </c>
      <c r="G1960" s="11">
        <f>[1]!EM_S_PQ_PCTCHANGE(B1960,"2018-12-31","2019-12-30","1")</f>
        <v>5.8189655199999999</v>
      </c>
      <c r="H1960" s="11">
        <f>[1]!EM_S_FA_YOY_OR(B1960,E1960)</f>
        <v>14.333505888299999</v>
      </c>
      <c r="I1960" s="11">
        <f>[1]!EM_S_FA_GROSSPROFITMARGIN(B1960,E1960)</f>
        <v>50.1677744363</v>
      </c>
      <c r="J1960" s="11">
        <f>[1]!EM_S_FA_NETPROFITMARGIN(B1960,E1960)</f>
        <v>-38.317180330200003</v>
      </c>
      <c r="K1960" s="10">
        <f>[1]!EM_S_FA_ASSETSTURN(B1960,E1960)</f>
        <v>0.390637953117</v>
      </c>
      <c r="L1960" s="12">
        <f>[1]!EM_HKS_VAL_MV(B1960,"2019-12-31","2")</f>
        <v>2840835928.8000002</v>
      </c>
      <c r="M1960">
        <f>[1]!EM_S_VAL_PETTMDEDUCTED(B1960,E1960)</f>
        <v>24.0860863607097</v>
      </c>
      <c r="N1960" s="7">
        <f>[1]!EM_S_VAL_PBGOODWILLDEDUCTED(B1960,E1960)</f>
        <v>2.3664811432354398</v>
      </c>
      <c r="O1960" s="7">
        <f>[1]!EM_S_VAL_PS_TTM(B1960,E1960)</f>
        <v>4.9046545726078898</v>
      </c>
      <c r="P1960" s="7">
        <f>[1]!EM_S_VAL_PCF_NCFTTM(B1960,E1960)</f>
        <v>219.258920456543</v>
      </c>
      <c r="Q1960" s="7">
        <f>[1]!EM_S_VAL_DIVIDENDYIELD2(B1960,E1960,"2019-11-29")</f>
        <v>0</v>
      </c>
      <c r="T1960"/>
      <c r="U1960">
        <f>[1]!EM_S_RATIO_EPS_TTM(B1960,E1960,"1")</f>
        <v>-0.80735238095432982</v>
      </c>
      <c r="AT1960" s="4" t="str">
        <f>[1]!EM_S_IPO_LISTEDDATE(B1960)</f>
        <v>2015-04-22</v>
      </c>
    </row>
    <row r="1961" spans="1:46">
      <c r="A1961">
        <v>2299</v>
      </c>
      <c r="B1961" t="str">
        <f>"600159"</f>
        <v>600159</v>
      </c>
      <c r="C1961" t="s">
        <v>3410</v>
      </c>
      <c r="D1961" t="str">
        <f>[1]!EM_S_INFO_INDEX_EM(B1961,"1")</f>
        <v>房地产</v>
      </c>
      <c r="E1961" s="4">
        <f t="shared" si="30"/>
        <v>43465</v>
      </c>
      <c r="F1961" s="11">
        <f>[1]!EM_S_PQ_PCTCHANGE(B1961,"2018-01-01","2019-12-31","3")</f>
        <v>-31.534991699999999</v>
      </c>
      <c r="G1961" s="11">
        <f>[1]!EM_S_PQ_PCTCHANGE(B1961,"2018-12-31","2019-12-30","1")</f>
        <v>5.80912863</v>
      </c>
      <c r="H1961" s="11">
        <f>[1]!EM_S_FA_YOY_OR(B1961,E1961)</f>
        <v>40.995877049000001</v>
      </c>
      <c r="I1961" s="11">
        <f>[1]!EM_S_FA_GROSSPROFITMARGIN(B1961,E1961)</f>
        <v>26.854793978899998</v>
      </c>
      <c r="J1961" s="11">
        <f>[1]!EM_S_FA_NETPROFITMARGIN(B1961,E1961)</f>
        <v>10.3036189047</v>
      </c>
      <c r="K1961" s="10">
        <f>[1]!EM_S_FA_ASSETSTURN(B1961,E1961)</f>
        <v>0.23956135671600001</v>
      </c>
      <c r="L1961" s="12">
        <f>[1]!EM_HKS_VAL_MV(B1961,"2019-12-31","2")</f>
        <v>2116508241.5999999</v>
      </c>
      <c r="M1961">
        <f>[1]!EM_S_VAL_PETTMDEDUCTED(B1961,E1961)</f>
        <v>71.432987266099502</v>
      </c>
      <c r="N1961" s="7">
        <f>[1]!EM_S_VAL_PBGOODWILLDEDUCTED(B1961,E1961)</f>
        <v>0.87413087138471801</v>
      </c>
      <c r="O1961" s="7">
        <f>[1]!EM_S_VAL_PS_TTM(B1961,E1961)</f>
        <v>2.8549101408183799</v>
      </c>
      <c r="P1961" s="7">
        <f>[1]!EM_S_VAL_PCF_NCFTTM(B1961,E1961)</f>
        <v>-90.207855181682206</v>
      </c>
      <c r="Q1961" s="7">
        <f>[1]!EM_S_VAL_DIVIDENDYIELD2(B1961,E1961,"2019-11-29")</f>
        <v>1.9920318725099602</v>
      </c>
      <c r="T1961"/>
      <c r="U1961">
        <f>[1]!EM_S_RATIO_EPS_TTM(B1961,E1961,"1")</f>
        <v>0.1097512880046231</v>
      </c>
      <c r="AT1961" s="4" t="str">
        <f>[1]!EM_S_IPO_LISTEDDATE(B1961)</f>
        <v>1998-05-26</v>
      </c>
    </row>
    <row r="1962" spans="1:46">
      <c r="A1962">
        <v>2651</v>
      </c>
      <c r="B1962" t="str">
        <f>"600578"</f>
        <v>600578</v>
      </c>
      <c r="C1962" t="s">
        <v>2555</v>
      </c>
      <c r="D1962" t="str">
        <f>[1]!EM_S_INFO_INDEX_EM(B1962,"1")</f>
        <v>公用事业</v>
      </c>
      <c r="E1962" s="4">
        <f t="shared" si="30"/>
        <v>43465</v>
      </c>
      <c r="F1962" s="11">
        <f>[1]!EM_S_PQ_PCTCHANGE(B1962,"2018-01-01","2019-12-31","3")</f>
        <v>-11.87661209</v>
      </c>
      <c r="G1962" s="11">
        <f>[1]!EM_S_PQ_PCTCHANGE(B1962,"2018-12-31","2019-12-30","1")</f>
        <v>5.8020477799999997</v>
      </c>
      <c r="H1962" s="11">
        <f>[1]!EM_S_FA_YOY_OR(B1962,E1962)</f>
        <v>3.8826837599999999</v>
      </c>
      <c r="I1962" s="11">
        <f>[1]!EM_S_FA_GROSSPROFITMARGIN(B1962,E1962)</f>
        <v>10.705157932400001</v>
      </c>
      <c r="J1962" s="11">
        <f>[1]!EM_S_FA_NETPROFITMARGIN(B1962,E1962)</f>
        <v>6.3640382671999998</v>
      </c>
      <c r="K1962" s="10">
        <f>[1]!EM_S_FA_ASSETSTURN(B1962,E1962)</f>
        <v>0.19604315483599999</v>
      </c>
      <c r="L1962" s="12">
        <f>[1]!EM_HKS_VAL_MV(B1962,"2019-12-31","2")</f>
        <v>21049811505.84</v>
      </c>
      <c r="M1962">
        <f>[1]!EM_S_VAL_PETTMDEDUCTED(B1962,E1962)</f>
        <v>23.115743817923601</v>
      </c>
      <c r="N1962" s="7">
        <f>[1]!EM_S_VAL_PBGOODWILLDEDUCTED(B1962,E1962)</f>
        <v>0.87651709746543005</v>
      </c>
      <c r="O1962" s="7">
        <f>[1]!EM_S_VAL_PS_TTM(B1962,E1962)</f>
        <v>1.5564888948584099</v>
      </c>
      <c r="P1962" s="7">
        <f>[1]!EM_S_VAL_PCF_NCFTTM(B1962,E1962)</f>
        <v>48.587460132138297</v>
      </c>
      <c r="Q1962" s="7">
        <f>[1]!EM_S_VAL_DIVIDENDYIELD2(B1962,E1962,"2019-11-29")</f>
        <v>2.6315789473684217</v>
      </c>
      <c r="T1962"/>
      <c r="U1962">
        <f>[1]!EM_S_RATIO_EPS_TTM(B1962,E1962,"1")</f>
        <v>0.13216002066079241</v>
      </c>
      <c r="AT1962" s="4" t="str">
        <f>[1]!EM_S_IPO_LISTEDDATE(B1962)</f>
        <v>2002-05-10</v>
      </c>
    </row>
    <row r="1963" spans="1:46">
      <c r="A1963">
        <v>3382</v>
      </c>
      <c r="B1963" t="str">
        <f>"603367"</f>
        <v>603367</v>
      </c>
      <c r="C1963" t="s">
        <v>741</v>
      </c>
      <c r="D1963" t="str">
        <f>[1]!EM_S_INFO_INDEX_EM(B1963,"1")</f>
        <v>医药生物</v>
      </c>
      <c r="E1963" s="4">
        <f t="shared" si="30"/>
        <v>43465</v>
      </c>
      <c r="F1963" s="11">
        <f>[1]!EM_S_PQ_PCTCHANGE(B1963,"2018-01-01","2019-12-31","3")</f>
        <v>-14.615441799999999</v>
      </c>
      <c r="G1963" s="11">
        <f>[1]!EM_S_PQ_PCTCHANGE(B1963,"2018-12-31","2019-12-30","1")</f>
        <v>5.7312253000000002</v>
      </c>
      <c r="H1963" s="11">
        <f>[1]!EM_S_FA_YOY_OR(B1963,E1963)</f>
        <v>28.5420146383</v>
      </c>
      <c r="I1963" s="11">
        <f>[1]!EM_S_FA_GROSSPROFITMARGIN(B1963,E1963)</f>
        <v>57.413096944599999</v>
      </c>
      <c r="J1963" s="11">
        <f>[1]!EM_S_FA_NETPROFITMARGIN(B1963,E1963)</f>
        <v>13.2101874991</v>
      </c>
      <c r="K1963" s="10">
        <f>[1]!EM_S_FA_ASSETSTURN(B1963,E1963)</f>
        <v>0.76235679734100004</v>
      </c>
      <c r="L1963" s="12">
        <f>[1]!EM_HKS_VAL_MV(B1963,"2019-12-31","2")</f>
        <v>7502992150</v>
      </c>
      <c r="M1963">
        <f>[1]!EM_S_VAL_PETTMDEDUCTED(B1963,E1963)</f>
        <v>13.480524006293001</v>
      </c>
      <c r="N1963" s="7">
        <f>[1]!EM_S_VAL_PBGOODWILLDEDUCTED(B1963,E1963)</f>
        <v>1.65669498530489</v>
      </c>
      <c r="O1963" s="7">
        <f>[1]!EM_S_VAL_PS_TTM(B1963,E1963)</f>
        <v>1.8158817714236299</v>
      </c>
      <c r="P1963" s="7">
        <f>[1]!EM_S_VAL_PCF_NCFTTM(B1963,E1963)</f>
        <v>-6.4638691694650001</v>
      </c>
      <c r="Q1963" s="7">
        <f>[1]!EM_S_VAL_DIVIDENDYIELD2(B1963,E1963,"2019-11-29")</f>
        <v>1.631382316313823</v>
      </c>
      <c r="T1963"/>
      <c r="U1963">
        <f>[1]!EM_S_RATIO_EPS_TTM(B1963,E1963,"1")</f>
        <v>1.1107125411103489</v>
      </c>
      <c r="AT1963" s="4" t="str">
        <f>[1]!EM_S_IPO_LISTEDDATE(B1963)</f>
        <v>2017-09-29</v>
      </c>
    </row>
    <row r="1964" spans="1:46">
      <c r="A1964">
        <v>2486</v>
      </c>
      <c r="B1964" t="str">
        <f>"600367"</f>
        <v>600367</v>
      </c>
      <c r="C1964" t="s">
        <v>1509</v>
      </c>
      <c r="D1964" t="str">
        <f>[1]!EM_S_INFO_INDEX_EM(B1964,"1")</f>
        <v>基础化工</v>
      </c>
      <c r="E1964" s="4">
        <f t="shared" si="30"/>
        <v>43465</v>
      </c>
      <c r="F1964" s="11">
        <f>[1]!EM_S_PQ_PCTCHANGE(B1964,"2018-01-01","2019-12-31","3")</f>
        <v>-32.790891369999997</v>
      </c>
      <c r="G1964" s="11">
        <f>[1]!EM_S_PQ_PCTCHANGE(B1964,"2018-12-31","2019-12-30","1")</f>
        <v>5.7262569799999996</v>
      </c>
      <c r="H1964" s="11">
        <f>[1]!EM_S_FA_YOY_OR(B1964,E1964)</f>
        <v>19.321319611500002</v>
      </c>
      <c r="I1964" s="11">
        <f>[1]!EM_S_FA_GROSSPROFITMARGIN(B1964,E1964)</f>
        <v>27.569571180899999</v>
      </c>
      <c r="J1964" s="11">
        <f>[1]!EM_S_FA_NETPROFITMARGIN(B1964,E1964)</f>
        <v>8.0427582353999991</v>
      </c>
      <c r="K1964" s="10">
        <f>[1]!EM_S_FA_ASSETSTURN(B1964,E1964)</f>
        <v>0.87468706802399998</v>
      </c>
      <c r="L1964" s="12">
        <f>[1]!EM_HKS_VAL_MV(B1964,"2019-12-31","2")</f>
        <v>2253220200</v>
      </c>
      <c r="M1964">
        <f>[1]!EM_S_VAL_PETTMDEDUCTED(B1964,E1964)</f>
        <v>17.4313560593924</v>
      </c>
      <c r="N1964" s="7">
        <f>[1]!EM_S_VAL_PBGOODWILLDEDUCTED(B1964,E1964)</f>
        <v>1.6741918920841701</v>
      </c>
      <c r="O1964" s="7">
        <f>[1]!EM_S_VAL_PS_TTM(B1964,E1964)</f>
        <v>1.4328793080973099</v>
      </c>
      <c r="P1964" s="7">
        <f>[1]!EM_S_VAL_PCF_NCFTTM(B1964,E1964)</f>
        <v>-31.015982513935</v>
      </c>
      <c r="Q1964" s="7">
        <f>[1]!EM_S_VAL_DIVIDENDYIELD2(B1964,E1964,"2019-11-29")</f>
        <v>0.57306590257879653</v>
      </c>
      <c r="T1964"/>
      <c r="U1964">
        <f>[1]!EM_S_RATIO_EPS_TTM(B1964,E1964,"1")</f>
        <v>0.38898479914106926</v>
      </c>
      <c r="AT1964" s="4" t="str">
        <f>[1]!EM_S_IPO_LISTEDDATE(B1964)</f>
        <v>2001-03-20</v>
      </c>
    </row>
    <row r="1965" spans="1:46">
      <c r="A1965">
        <v>2976</v>
      </c>
      <c r="B1965" t="str">
        <f>"600908"</f>
        <v>600908</v>
      </c>
      <c r="C1965" t="s">
        <v>940</v>
      </c>
      <c r="D1965" t="str">
        <f>[1]!EM_S_INFO_INDEX_EM(B1965,"1")</f>
        <v>金融</v>
      </c>
      <c r="E1965" s="4">
        <f t="shared" si="30"/>
        <v>43465</v>
      </c>
      <c r="F1965" s="11">
        <f>[1]!EM_S_PQ_PCTCHANGE(B1965,"2018-01-01","2019-12-31","3")</f>
        <v>-25.53714265</v>
      </c>
      <c r="G1965" s="11">
        <f>[1]!EM_S_PQ_PCTCHANGE(B1965,"2018-12-31","2019-12-30","1")</f>
        <v>5.7251908399999998</v>
      </c>
      <c r="H1965" s="11">
        <f>[1]!EM_S_FA_YOY_OR(B1965,E1965)</f>
        <v>11.9488445234</v>
      </c>
      <c r="I1965" s="11">
        <f>[1]!EM_S_FA_GROSSPROFITMARGIN(B1965,E1965)</f>
        <v>0</v>
      </c>
      <c r="J1965" s="11">
        <f>[1]!EM_S_FA_NETPROFITMARGIN(B1965,E1965)</f>
        <v>33.699624175399997</v>
      </c>
      <c r="K1965" s="10">
        <f>[1]!EM_S_FA_ASSETSTURN(B1965,E1965)</f>
        <v>0</v>
      </c>
      <c r="L1965" s="12">
        <f>[1]!EM_HKS_VAL_MV(B1965,"2019-12-31","2")</f>
        <v>10257836889.450001</v>
      </c>
      <c r="M1965">
        <f>[1]!EM_S_VAL_PETTMDEDUCTED(B1965,E1965)</f>
        <v>8.8049917779274907</v>
      </c>
      <c r="N1965" s="7">
        <f>[1]!EM_S_VAL_PBGOODWILLDEDUCTED(B1965,E1965)</f>
        <v>0.94604127233582003</v>
      </c>
      <c r="O1965" s="7">
        <f>[1]!EM_S_VAL_PS_TTM(B1965,E1965)</f>
        <v>3.1228381590229102</v>
      </c>
      <c r="P1965" s="7">
        <f>[1]!EM_S_VAL_PCF_NCFTTM(B1965,E1965)</f>
        <v>2.9020913776151902</v>
      </c>
      <c r="Q1965" s="7">
        <f>[1]!EM_S_VAL_DIVIDENDYIELD2(B1965,E1965,"2019-11-29")</f>
        <v>3.4416474826188423</v>
      </c>
      <c r="T1965"/>
      <c r="U1965">
        <f>[1]!EM_S_RATIO_EPS_TTM(B1965,E1965,"1")</f>
        <v>0.59274915746275691</v>
      </c>
      <c r="AT1965" s="4" t="str">
        <f>[1]!EM_S_IPO_LISTEDDATE(B1965)</f>
        <v>2016-09-23</v>
      </c>
    </row>
    <row r="1966" spans="1:46">
      <c r="A1966">
        <v>707</v>
      </c>
      <c r="B1966" t="str">
        <f>"002196"</f>
        <v>002196</v>
      </c>
      <c r="C1966" t="s">
        <v>2483</v>
      </c>
      <c r="D1966" t="str">
        <f>[1]!EM_S_INFO_INDEX_EM(B1966,"1")</f>
        <v>电气设备</v>
      </c>
      <c r="E1966" s="4">
        <f t="shared" si="30"/>
        <v>43465</v>
      </c>
      <c r="F1966" s="11">
        <f>[1]!EM_S_PQ_PCTCHANGE(B1966,"2018-01-01","2019-12-31","3")</f>
        <v>-42.554172540000003</v>
      </c>
      <c r="G1966" s="11">
        <f>[1]!EM_S_PQ_PCTCHANGE(B1966,"2018-12-31","2019-12-30","1")</f>
        <v>5.7199210999999996</v>
      </c>
      <c r="H1966" s="11">
        <f>[1]!EM_S_FA_YOY_OR(B1966,E1966)</f>
        <v>3.4546653959000002</v>
      </c>
      <c r="I1966" s="11">
        <f>[1]!EM_S_FA_GROSSPROFITMARGIN(B1966,E1966)</f>
        <v>18.623089420399999</v>
      </c>
      <c r="J1966" s="11">
        <f>[1]!EM_S_FA_NETPROFITMARGIN(B1966,E1966)</f>
        <v>-32.608622774300002</v>
      </c>
      <c r="K1966" s="10">
        <f>[1]!EM_S_FA_ASSETSTURN(B1966,E1966)</f>
        <v>0.44262429940800002</v>
      </c>
      <c r="L1966" s="12">
        <f>[1]!EM_HKS_VAL_MV(B1966,"2019-12-31","2")</f>
        <v>2502830926.1999998</v>
      </c>
      <c r="M1966">
        <f>[1]!EM_S_VAL_PETTMDEDUCTED(B1966,E1966)</f>
        <v>50.823581087709101</v>
      </c>
      <c r="N1966" s="7">
        <f>[1]!EM_S_VAL_PBGOODWILLDEDUCTED(B1966,E1966)</f>
        <v>1.6845646779599901</v>
      </c>
      <c r="O1966" s="7">
        <f>[1]!EM_S_VAL_PS_TTM(B1966,E1966)</f>
        <v>1.6407391214731599</v>
      </c>
      <c r="P1966" s="7">
        <f>[1]!EM_S_VAL_PCF_NCFTTM(B1966,E1966)</f>
        <v>-172.42461196102801</v>
      </c>
      <c r="Q1966" s="7">
        <f>[1]!EM_S_VAL_DIVIDENDYIELD2(B1966,E1966,"2019-11-29")</f>
        <v>0</v>
      </c>
      <c r="T1966"/>
      <c r="U1966">
        <f>[1]!EM_S_RATIO_EPS_TTM(B1966,E1966,"1")</f>
        <v>-1.0019420742424621</v>
      </c>
      <c r="AT1966" s="4" t="str">
        <f>[1]!EM_S_IPO_LISTEDDATE(B1966)</f>
        <v>2007-12-12</v>
      </c>
    </row>
    <row r="1967" spans="1:46">
      <c r="A1967">
        <v>1956</v>
      </c>
      <c r="B1967" t="str">
        <f>"300532"</f>
        <v>300532</v>
      </c>
      <c r="C1967" t="s">
        <v>760</v>
      </c>
      <c r="D1967" t="str">
        <f>[1]!EM_S_INFO_INDEX_EM(B1967,"1")</f>
        <v>信息技术</v>
      </c>
      <c r="E1967" s="4">
        <f t="shared" si="30"/>
        <v>43465</v>
      </c>
      <c r="F1967" s="11">
        <f>[1]!EM_S_PQ_PCTCHANGE(B1967,"2018-01-01","2019-12-31","3")</f>
        <v>-15.70834271</v>
      </c>
      <c r="G1967" s="11">
        <f>[1]!EM_S_PQ_PCTCHANGE(B1967,"2018-12-31","2019-12-30","1")</f>
        <v>5.6772908400000004</v>
      </c>
      <c r="H1967" s="11">
        <f>[1]!EM_S_FA_YOY_OR(B1967,E1967)</f>
        <v>-26.942706312199999</v>
      </c>
      <c r="I1967" s="11">
        <f>[1]!EM_S_FA_GROSSPROFITMARGIN(B1967,E1967)</f>
        <v>34.535037645700001</v>
      </c>
      <c r="J1967" s="11">
        <f>[1]!EM_S_FA_NETPROFITMARGIN(B1967,E1967)</f>
        <v>4.1741481608999997</v>
      </c>
      <c r="K1967" s="10">
        <f>[1]!EM_S_FA_ASSETSTURN(B1967,E1967)</f>
        <v>0.295959722694</v>
      </c>
      <c r="L1967" s="12">
        <f>[1]!EM_HKS_VAL_MV(B1967,"2019-12-31","2")</f>
        <v>2926369676.1599998</v>
      </c>
      <c r="M1967">
        <f>[1]!EM_S_VAL_PETTMDEDUCTED(B1967,E1967)</f>
        <v>60.549097096891998</v>
      </c>
      <c r="N1967" s="7">
        <f>[1]!EM_S_VAL_PBGOODWILLDEDUCTED(B1967,E1967)</f>
        <v>3.6218706578508799</v>
      </c>
      <c r="O1967" s="7">
        <f>[1]!EM_S_VAL_PS_TTM(B1967,E1967)</f>
        <v>5.5071028187304503</v>
      </c>
      <c r="P1967" s="7">
        <f>[1]!EM_S_VAL_PCF_NCFTTM(B1967,E1967)</f>
        <v>-68.989697711246805</v>
      </c>
      <c r="Q1967" s="7">
        <f>[1]!EM_S_VAL_DIVIDENDYIELD2(B1967,E1967,"2019-11-29")</f>
        <v>0.59642147117296218</v>
      </c>
      <c r="T1967"/>
      <c r="U1967">
        <f>[1]!EM_S_RATIO_EPS_TTM(B1967,E1967,"1")</f>
        <v>6.571553732385059E-2</v>
      </c>
      <c r="AT1967" s="4" t="str">
        <f>[1]!EM_S_IPO_LISTEDDATE(B1967)</f>
        <v>2016-08-18</v>
      </c>
    </row>
    <row r="1968" spans="1:46">
      <c r="A1968">
        <v>2303</v>
      </c>
      <c r="B1968" t="str">
        <f>"600163"</f>
        <v>600163</v>
      </c>
      <c r="C1968" t="s">
        <v>561</v>
      </c>
      <c r="D1968" t="str">
        <f>[1]!EM_S_INFO_INDEX_EM(B1968,"1")</f>
        <v>公用事业</v>
      </c>
      <c r="E1968" s="4">
        <f t="shared" si="30"/>
        <v>43465</v>
      </c>
      <c r="F1968" s="11">
        <f>[1]!EM_S_PQ_PCTCHANGE(B1968,"2018-01-01","2019-12-31","3")</f>
        <v>-14.56790123</v>
      </c>
      <c r="G1968" s="11">
        <f>[1]!EM_S_PQ_PCTCHANGE(B1968,"2018-12-31","2019-12-30","1")</f>
        <v>5.66037736</v>
      </c>
      <c r="H1968" s="11">
        <f>[1]!EM_S_FA_YOY_OR(B1968,E1968)</f>
        <v>3.4340746504999999</v>
      </c>
      <c r="I1968" s="11">
        <f>[1]!EM_S_FA_GROSSPROFITMARGIN(B1968,E1968)</f>
        <v>52.414011151300002</v>
      </c>
      <c r="J1968" s="11">
        <f>[1]!EM_S_FA_NETPROFITMARGIN(B1968,E1968)</f>
        <v>27.607706950200001</v>
      </c>
      <c r="K1968" s="10">
        <f>[1]!EM_S_FA_ASSETSTURN(B1968,E1968)</f>
        <v>0.13638112300999999</v>
      </c>
      <c r="L1968" s="12">
        <f>[1]!EM_HKS_VAL_MV(B1968,"2019-12-31","2")</f>
        <v>3458149695.8000002</v>
      </c>
      <c r="M1968">
        <f>[1]!EM_S_VAL_PETTMDEDUCTED(B1968,E1968)</f>
        <v>18.445685073482501</v>
      </c>
      <c r="N1968" s="7">
        <f>[1]!EM_S_VAL_PBGOODWILLDEDUCTED(B1968,E1968)</f>
        <v>1.70492827713846</v>
      </c>
      <c r="O1968" s="7">
        <f>[1]!EM_S_VAL_PS_TTM(B1968,E1968)</f>
        <v>5.4479417063589404</v>
      </c>
      <c r="P1968" s="7">
        <f>[1]!EM_S_VAL_PCF_NCFTTM(B1968,E1968)</f>
        <v>126.9268814899</v>
      </c>
      <c r="Q1968" s="7">
        <f>[1]!EM_S_VAL_DIVIDENDYIELD2(B1968,E1968,"2019-11-29")</f>
        <v>0</v>
      </c>
      <c r="T1968"/>
      <c r="U1968">
        <f>[1]!EM_S_RATIO_EPS_TTM(B1968,E1968,"1")</f>
        <v>0.13042207738432282</v>
      </c>
      <c r="AT1968" s="4" t="str">
        <f>[1]!EM_S_IPO_LISTEDDATE(B1968)</f>
        <v>1998-06-02</v>
      </c>
    </row>
    <row r="1969" spans="1:46">
      <c r="A1969">
        <v>254</v>
      </c>
      <c r="B1969" t="str">
        <f>"000666"</f>
        <v>000666</v>
      </c>
      <c r="C1969" t="s">
        <v>1563</v>
      </c>
      <c r="D1969" t="str">
        <f>[1]!EM_S_INFO_INDEX_EM(B1969,"1")</f>
        <v>机械设备</v>
      </c>
      <c r="E1969" s="4">
        <f t="shared" si="30"/>
        <v>43465</v>
      </c>
      <c r="F1969" s="11">
        <f>[1]!EM_S_PQ_PCTCHANGE(B1969,"2018-01-01","2019-12-31","3")</f>
        <v>-41.15420795</v>
      </c>
      <c r="G1969" s="11">
        <f>[1]!EM_S_PQ_PCTCHANGE(B1969,"2018-12-31","2019-12-30","1")</f>
        <v>5.6586270900000004</v>
      </c>
      <c r="H1969" s="11">
        <f>[1]!EM_S_FA_YOY_OR(B1969,E1969)</f>
        <v>18.284775955299999</v>
      </c>
      <c r="I1969" s="11">
        <f>[1]!EM_S_FA_GROSSPROFITMARGIN(B1969,E1969)</f>
        <v>50.631906267600002</v>
      </c>
      <c r="J1969" s="11">
        <f>[1]!EM_S_FA_NETPROFITMARGIN(B1969,E1969)</f>
        <v>27.6630373564</v>
      </c>
      <c r="K1969" s="10">
        <f>[1]!EM_S_FA_ASSETSTURN(B1969,E1969)</f>
        <v>0.26937863693800002</v>
      </c>
      <c r="L1969" s="12">
        <f>[1]!EM_HKS_VAL_MV(B1969,"2019-12-31","2")</f>
        <v>7921462500</v>
      </c>
      <c r="M1969">
        <f>[1]!EM_S_VAL_PETTMDEDUCTED(B1969,E1969)</f>
        <v>17.076994440077499</v>
      </c>
      <c r="N1969" s="7">
        <f>[1]!EM_S_VAL_PBGOODWILLDEDUCTED(B1969,E1969)</f>
        <v>1.0174991957173101</v>
      </c>
      <c r="O1969" s="7">
        <f>[1]!EM_S_VAL_PS_TTM(B1969,E1969)</f>
        <v>0.76855644736977902</v>
      </c>
      <c r="P1969" s="7">
        <f>[1]!EM_S_VAL_PCF_NCFTTM(B1969,E1969)</f>
        <v>-1.12066834183755</v>
      </c>
      <c r="Q1969" s="7">
        <f>[1]!EM_S_VAL_DIVIDENDYIELD2(B1969,E1969,"2019-11-29")</f>
        <v>0.47619047619047622</v>
      </c>
      <c r="T1969"/>
      <c r="U1969">
        <f>[1]!EM_S_RATIO_EPS_TTM(B1969,E1969,"1")</f>
        <v>1.0750968789570108</v>
      </c>
      <c r="AT1969" s="4" t="str">
        <f>[1]!EM_S_IPO_LISTEDDATE(B1969)</f>
        <v>1996-12-10</v>
      </c>
    </row>
    <row r="1970" spans="1:46">
      <c r="A1970">
        <v>2911</v>
      </c>
      <c r="B1970" t="str">
        <f>"600838"</f>
        <v>600838</v>
      </c>
      <c r="C1970" t="s">
        <v>1573</v>
      </c>
      <c r="D1970" t="str">
        <f>[1]!EM_S_INFO_INDEX_EM(B1970,"1")</f>
        <v>商贸零售</v>
      </c>
      <c r="E1970" s="4">
        <f t="shared" si="30"/>
        <v>43465</v>
      </c>
      <c r="F1970" s="11">
        <f>[1]!EM_S_PQ_PCTCHANGE(B1970,"2018-01-01","2019-12-31","3")</f>
        <v>-33.803330469999999</v>
      </c>
      <c r="G1970" s="11">
        <f>[1]!EM_S_PQ_PCTCHANGE(B1970,"2018-12-31","2019-12-30","1")</f>
        <v>5.6572379399999999</v>
      </c>
      <c r="H1970" s="11">
        <f>[1]!EM_S_FA_YOY_OR(B1970,E1970)</f>
        <v>-21.926915838199999</v>
      </c>
      <c r="I1970" s="11">
        <f>[1]!EM_S_FA_GROSSPROFITMARGIN(B1970,E1970)</f>
        <v>60.582346164599997</v>
      </c>
      <c r="J1970" s="11">
        <f>[1]!EM_S_FA_NETPROFITMARGIN(B1970,E1970)</f>
        <v>139.18993839570001</v>
      </c>
      <c r="K1970" s="10">
        <f>[1]!EM_S_FA_ASSETSTURN(B1970,E1970)</f>
        <v>5.1840350425999999E-2</v>
      </c>
      <c r="L1970" s="12">
        <f>[1]!EM_HKS_VAL_MV(B1970,"2019-12-31","2")</f>
        <v>2557627038.7800002</v>
      </c>
      <c r="M1970">
        <f>[1]!EM_S_VAL_PETTMDEDUCTED(B1970,E1970)</f>
        <v>25.003361432951898</v>
      </c>
      <c r="N1970" s="7">
        <f>[1]!EM_S_VAL_PBGOODWILLDEDUCTED(B1970,E1970)</f>
        <v>1.9914552097256499</v>
      </c>
      <c r="O1970" s="7">
        <f>[1]!EM_S_VAL_PS_TTM(B1970,E1970)</f>
        <v>30.1014289623281</v>
      </c>
      <c r="P1970" s="7">
        <f>[1]!EM_S_VAL_PCF_NCFTTM(B1970,E1970)</f>
        <v>38.331403099798997</v>
      </c>
      <c r="Q1970" s="7">
        <f>[1]!EM_S_VAL_DIVIDENDYIELD2(B1970,E1970,"2019-11-29")</f>
        <v>1.25</v>
      </c>
      <c r="T1970"/>
      <c r="U1970">
        <f>[1]!EM_S_RATIO_EPS_TTM(B1970,E1970,"1")</f>
        <v>0.24593814871414738</v>
      </c>
      <c r="AT1970" s="4" t="str">
        <f>[1]!EM_S_IPO_LISTEDDATE(B1970)</f>
        <v>1994-02-24</v>
      </c>
    </row>
    <row r="1971" spans="1:46">
      <c r="A1971">
        <v>1218</v>
      </c>
      <c r="B1971" t="str">
        <f>"002708"</f>
        <v>002708</v>
      </c>
      <c r="C1971" t="s">
        <v>2355</v>
      </c>
      <c r="D1971" t="str">
        <f>[1]!EM_S_INFO_INDEX_EM(B1971,"1")</f>
        <v>交运设备</v>
      </c>
      <c r="E1971" s="4">
        <f t="shared" si="30"/>
        <v>43465</v>
      </c>
      <c r="F1971" s="11">
        <f>[1]!EM_S_PQ_PCTCHANGE(B1971,"2018-01-01","2019-12-31","3")</f>
        <v>18.69827373</v>
      </c>
      <c r="G1971" s="11">
        <f>[1]!EM_S_PQ_PCTCHANGE(B1971,"2018-12-31","2019-12-30","1")</f>
        <v>5.6430446200000004</v>
      </c>
      <c r="H1971" s="11">
        <f>[1]!EM_S_FA_YOY_OR(B1971,E1971)</f>
        <v>-7.2441705225000002</v>
      </c>
      <c r="I1971" s="11">
        <f>[1]!EM_S_FA_GROSSPROFITMARGIN(B1971,E1971)</f>
        <v>20.306520994100001</v>
      </c>
      <c r="J1971" s="11">
        <f>[1]!EM_S_FA_NETPROFITMARGIN(B1971,E1971)</f>
        <v>-6.6727882107000003</v>
      </c>
      <c r="K1971" s="10">
        <f>[1]!EM_S_FA_ASSETSTURN(B1971,E1971)</f>
        <v>0.59888091884899997</v>
      </c>
      <c r="L1971" s="12">
        <f>[1]!EM_HKS_VAL_MV(B1971,"2019-12-31","2")</f>
        <v>3802463326.3600001</v>
      </c>
      <c r="M1971">
        <f>[1]!EM_S_VAL_PETTMDEDUCTED(B1971,E1971)</f>
        <v>-46542.626679876499</v>
      </c>
      <c r="N1971" s="7">
        <f>[1]!EM_S_VAL_PBGOODWILLDEDUCTED(B1971,E1971)</f>
        <v>2.5332655865996401</v>
      </c>
      <c r="O1971" s="7">
        <f>[1]!EM_S_VAL_PS_TTM(B1971,E1971)</f>
        <v>2.4818359962605001</v>
      </c>
      <c r="P1971" s="7">
        <f>[1]!EM_S_VAL_PCF_NCFTTM(B1971,E1971)</f>
        <v>54.871017491524498</v>
      </c>
      <c r="Q1971" s="7">
        <f>[1]!EM_S_VAL_DIVIDENDYIELD2(B1971,E1971,"2019-11-29")</f>
        <v>0</v>
      </c>
      <c r="T1971"/>
      <c r="U1971">
        <f>[1]!EM_S_RATIO_EPS_TTM(B1971,E1971,"1")</f>
        <v>-0.19281524372050882</v>
      </c>
      <c r="AT1971" s="4" t="str">
        <f>[1]!EM_S_IPO_LISTEDDATE(B1971)</f>
        <v>2014-01-21</v>
      </c>
    </row>
    <row r="1972" spans="1:46">
      <c r="A1972">
        <v>2399</v>
      </c>
      <c r="B1972" t="str">
        <f>"600269"</f>
        <v>600269</v>
      </c>
      <c r="C1972" t="s">
        <v>1565</v>
      </c>
      <c r="D1972" t="str">
        <f>[1]!EM_S_INFO_INDEX_EM(B1972,"1")</f>
        <v>交通运输</v>
      </c>
      <c r="E1972" s="4">
        <f t="shared" si="30"/>
        <v>43465</v>
      </c>
      <c r="F1972" s="11">
        <f>[1]!EM_S_PQ_PCTCHANGE(B1972,"2018-01-01","2019-12-31","3")</f>
        <v>-14.06092396</v>
      </c>
      <c r="G1972" s="11">
        <f>[1]!EM_S_PQ_PCTCHANGE(B1972,"2018-12-31","2019-12-30","1")</f>
        <v>5.6410256399999996</v>
      </c>
      <c r="H1972" s="11">
        <f>[1]!EM_S_FA_YOY_OR(B1972,E1972)</f>
        <v>4.1502790566999996</v>
      </c>
      <c r="I1972" s="11">
        <f>[1]!EM_S_FA_GROSSPROFITMARGIN(B1972,E1972)</f>
        <v>37.093864992500002</v>
      </c>
      <c r="J1972" s="11">
        <f>[1]!EM_S_FA_NETPROFITMARGIN(B1972,E1972)</f>
        <v>24.483627909300001</v>
      </c>
      <c r="K1972" s="10">
        <f>[1]!EM_S_FA_ASSETSTURN(B1972,E1972)</f>
        <v>0.13441361972400001</v>
      </c>
      <c r="L1972" s="12">
        <f>[1]!EM_HKS_VAL_MV(B1972,"2019-12-31","2")</f>
        <v>9645230967.8199997</v>
      </c>
      <c r="M1972">
        <f>[1]!EM_S_VAL_PETTMDEDUCTED(B1972,E1972)</f>
        <v>16.000921465255999</v>
      </c>
      <c r="N1972" s="7">
        <f>[1]!EM_S_VAL_PBGOODWILLDEDUCTED(B1972,E1972)</f>
        <v>0.61372642321848503</v>
      </c>
      <c r="O1972" s="7">
        <f>[1]!EM_S_VAL_PS_TTM(B1972,E1972)</f>
        <v>2.1590313944424899</v>
      </c>
      <c r="P1972" s="7">
        <f>[1]!EM_S_VAL_PCF_NCFTTM(B1972,E1972)</f>
        <v>-12.2826115249062</v>
      </c>
      <c r="Q1972" s="7">
        <f>[1]!EM_S_VAL_DIVIDENDYIELD2(B1972,E1972,"2019-11-29")</f>
        <v>2.481389578163772</v>
      </c>
      <c r="T1972"/>
      <c r="U1972">
        <f>[1]!EM_S_RATIO_EPS_TTM(B1972,E1972,"1")</f>
        <v>0.500323265861357</v>
      </c>
      <c r="AT1972" s="4" t="str">
        <f>[1]!EM_S_IPO_LISTEDDATE(B1972)</f>
        <v>2000-05-18</v>
      </c>
    </row>
    <row r="1973" spans="1:46">
      <c r="A1973">
        <v>2220</v>
      </c>
      <c r="B1973" t="str">
        <f>"600073"</f>
        <v>600073</v>
      </c>
      <c r="C1973" t="s">
        <v>353</v>
      </c>
      <c r="D1973" t="str">
        <f>[1]!EM_S_INFO_INDEX_EM(B1973,"1")</f>
        <v>食品饮料</v>
      </c>
      <c r="E1973" s="4">
        <f t="shared" si="30"/>
        <v>43465</v>
      </c>
      <c r="F1973" s="11">
        <f>[1]!EM_S_PQ_PCTCHANGE(B1973,"2018-01-01","2019-12-31","3")</f>
        <v>-0.35696665999999999</v>
      </c>
      <c r="G1973" s="11">
        <f>[1]!EM_S_PQ_PCTCHANGE(B1973,"2018-12-31","2019-12-30","1")</f>
        <v>5.6375838900000002</v>
      </c>
      <c r="H1973" s="11">
        <f>[1]!EM_S_FA_YOY_OR(B1973,E1973)</f>
        <v>-0.18889622249999999</v>
      </c>
      <c r="I1973" s="11">
        <f>[1]!EM_S_FA_GROSSPROFITMARGIN(B1973,E1973)</f>
        <v>12.9271707323</v>
      </c>
      <c r="J1973" s="11">
        <f>[1]!EM_S_FA_NETPROFITMARGIN(B1973,E1973)</f>
        <v>1.7526300646999999</v>
      </c>
      <c r="K1973" s="10">
        <f>[1]!EM_S_FA_ASSETSTURN(B1973,E1973)</f>
        <v>1.9430034688510001</v>
      </c>
      <c r="L1973" s="12">
        <f>[1]!EM_HKS_VAL_MV(B1973,"2019-12-31","2")</f>
        <v>7473703891.8400002</v>
      </c>
      <c r="M1973">
        <f>[1]!EM_S_VAL_PETTMDEDUCTED(B1973,E1973)</f>
        <v>37.799670696901998</v>
      </c>
      <c r="N1973" s="7">
        <f>[1]!EM_S_VAL_PBGOODWILLDEDUCTED(B1973,E1973)</f>
        <v>2.0266717159743202</v>
      </c>
      <c r="O1973" s="7">
        <f>[1]!EM_S_VAL_PS_TTM(B1973,E1973)</f>
        <v>0.31577898007548</v>
      </c>
      <c r="P1973" s="7">
        <f>[1]!EM_S_VAL_PCF_NCFTTM(B1973,E1973)</f>
        <v>-12.5786461059683</v>
      </c>
      <c r="Q1973" s="7">
        <f>[1]!EM_S_VAL_DIVIDENDYIELD2(B1973,E1973,"2019-11-29")</f>
        <v>1.2903225806451613</v>
      </c>
      <c r="T1973"/>
      <c r="U1973">
        <f>[1]!EM_S_RATIO_EPS_TTM(B1973,E1973,"1")</f>
        <v>0.32632247520956664</v>
      </c>
      <c r="AT1973" s="4" t="str">
        <f>[1]!EM_S_IPO_LISTEDDATE(B1973)</f>
        <v>1997-07-04</v>
      </c>
    </row>
    <row r="1974" spans="1:46">
      <c r="A1974">
        <v>1280</v>
      </c>
      <c r="B1974" t="str">
        <f>"002773"</f>
        <v>002773</v>
      </c>
      <c r="C1974" t="s">
        <v>231</v>
      </c>
      <c r="D1974" t="str">
        <f>[1]!EM_S_INFO_INDEX_EM(B1974,"1")</f>
        <v>医药生物</v>
      </c>
      <c r="E1974" s="4">
        <f t="shared" si="30"/>
        <v>43465</v>
      </c>
      <c r="F1974" s="11">
        <f>[1]!EM_S_PQ_PCTCHANGE(B1974,"2018-01-01","2019-12-31","3")</f>
        <v>-21.216360940000001</v>
      </c>
      <c r="G1974" s="11">
        <f>[1]!EM_S_PQ_PCTCHANGE(B1974,"2018-12-31","2019-12-30","1")</f>
        <v>5.6061050799999999</v>
      </c>
      <c r="H1974" s="11">
        <f>[1]!EM_S_FA_YOY_OR(B1974,E1974)</f>
        <v>4.6993817331000001</v>
      </c>
      <c r="I1974" s="11">
        <f>[1]!EM_S_FA_GROSSPROFITMARGIN(B1974,E1974)</f>
        <v>92.167617340899994</v>
      </c>
      <c r="J1974" s="11">
        <f>[1]!EM_S_FA_NETPROFITMARGIN(B1974,E1974)</f>
        <v>23.820286942100001</v>
      </c>
      <c r="K1974" s="10">
        <f>[1]!EM_S_FA_ASSETSTURN(B1974,E1974)</f>
        <v>0.59655101777200004</v>
      </c>
      <c r="L1974" s="12">
        <f>[1]!EM_HKS_VAL_MV(B1974,"2019-12-31","2")</f>
        <v>32370846377.48</v>
      </c>
      <c r="M1974">
        <f>[1]!EM_S_VAL_PETTMDEDUCTED(B1974,E1974)</f>
        <v>34.6118695553386</v>
      </c>
      <c r="N1974" s="7">
        <f>[1]!EM_S_VAL_PBGOODWILLDEDUCTED(B1974,E1974)</f>
        <v>5.9309147112617104</v>
      </c>
      <c r="O1974" s="7">
        <f>[1]!EM_S_VAL_PS_TTM(B1974,E1974)</f>
        <v>7.9969618209558098</v>
      </c>
      <c r="P1974" s="7">
        <f>[1]!EM_S_VAL_PCF_NCFTTM(B1974,E1974)</f>
        <v>-48.669815984461501</v>
      </c>
      <c r="Q1974" s="7">
        <f>[1]!EM_S_VAL_DIVIDENDYIELD2(B1974,E1974,"2019-11-29")</f>
        <v>0.54143945546660477</v>
      </c>
      <c r="T1974"/>
      <c r="U1974">
        <f>[1]!EM_S_RATIO_EPS_TTM(B1974,E1974,"1")</f>
        <v>1.0317831565461291</v>
      </c>
      <c r="AT1974" s="4" t="str">
        <f>[1]!EM_S_IPO_LISTEDDATE(B1974)</f>
        <v>2015-06-26</v>
      </c>
    </row>
    <row r="1975" spans="1:46">
      <c r="A1975">
        <v>1016</v>
      </c>
      <c r="B1975" t="str">
        <f>"002505"</f>
        <v>002505</v>
      </c>
      <c r="C1975" t="s">
        <v>2831</v>
      </c>
      <c r="D1975" t="str">
        <f>[1]!EM_S_INFO_INDEX_EM(B1975,"1")</f>
        <v>商贸零售</v>
      </c>
      <c r="E1975" s="4">
        <f t="shared" si="30"/>
        <v>43465</v>
      </c>
      <c r="F1975" s="11">
        <f>[1]!EM_S_PQ_PCTCHANGE(B1975,"2018-01-01","2019-12-31","3")</f>
        <v>-38.380281689999997</v>
      </c>
      <c r="G1975" s="11">
        <f>[1]!EM_S_PQ_PCTCHANGE(B1975,"2018-12-31","2019-12-30","1")</f>
        <v>5.5555555600000002</v>
      </c>
      <c r="H1975" s="11">
        <f>[1]!EM_S_FA_YOY_OR(B1975,E1975)</f>
        <v>8.2148286859000006</v>
      </c>
      <c r="I1975" s="11">
        <f>[1]!EM_S_FA_GROSSPROFITMARGIN(B1975,E1975)</f>
        <v>7.9804429925999996</v>
      </c>
      <c r="J1975" s="11">
        <f>[1]!EM_S_FA_NETPROFITMARGIN(B1975,E1975)</f>
        <v>-4.6018422823999998</v>
      </c>
      <c r="K1975" s="10">
        <f>[1]!EM_S_FA_ASSETSTURN(B1975,E1975)</f>
        <v>0.912416651814</v>
      </c>
      <c r="L1975" s="12">
        <f>[1]!EM_HKS_VAL_MV(B1975,"2019-12-31","2")</f>
        <v>9599401350</v>
      </c>
      <c r="M1975">
        <f>[1]!EM_S_VAL_PETTMDEDUCTED(B1975,E1975)</f>
        <v>-87.0758683395037</v>
      </c>
      <c r="N1975" s="7">
        <f>[1]!EM_S_VAL_PBGOODWILLDEDUCTED(B1975,E1975)</f>
        <v>2.1698797985878402</v>
      </c>
      <c r="O1975" s="7">
        <f>[1]!EM_S_VAL_PS_TTM(B1975,E1975)</f>
        <v>0.63838755839012495</v>
      </c>
      <c r="P1975" s="7">
        <f>[1]!EM_S_VAL_PCF_NCFTTM(B1975,E1975)</f>
        <v>-16.621042765231799</v>
      </c>
      <c r="Q1975" s="7">
        <f>[1]!EM_S_VAL_DIVIDENDYIELD2(B1975,E1975,"2019-11-29")</f>
        <v>0</v>
      </c>
      <c r="T1975"/>
      <c r="U1975">
        <f>[1]!EM_S_RATIO_EPS_TTM(B1975,E1975,"1")</f>
        <v>-0.12491482157400367</v>
      </c>
      <c r="AT1975" s="4" t="str">
        <f>[1]!EM_S_IPO_LISTEDDATE(B1975)</f>
        <v>2010-11-18</v>
      </c>
    </row>
    <row r="1976" spans="1:46">
      <c r="A1976">
        <v>1657</v>
      </c>
      <c r="B1976" t="str">
        <f>"300232"</f>
        <v>300232</v>
      </c>
      <c r="C1976" t="s">
        <v>859</v>
      </c>
      <c r="D1976" t="str">
        <f>[1]!EM_S_INFO_INDEX_EM(B1976,"1")</f>
        <v>电子设备</v>
      </c>
      <c r="E1976" s="4">
        <f t="shared" si="30"/>
        <v>43465</v>
      </c>
      <c r="F1976" s="11">
        <f>[1]!EM_S_PQ_PCTCHANGE(B1976,"2018-01-01","2019-12-31","3")</f>
        <v>0.87039105000000005</v>
      </c>
      <c r="G1976" s="11">
        <f>[1]!EM_S_PQ_PCTCHANGE(B1976,"2018-12-31","2019-12-30","1")</f>
        <v>5.5555555600000002</v>
      </c>
      <c r="H1976" s="11">
        <f>[1]!EM_S_FA_YOY_OR(B1976,E1976)</f>
        <v>49.292066698500001</v>
      </c>
      <c r="I1976" s="11">
        <f>[1]!EM_S_FA_GROSSPROFITMARGIN(B1976,E1976)</f>
        <v>31.476378928900001</v>
      </c>
      <c r="J1976" s="11">
        <f>[1]!EM_S_FA_NETPROFITMARGIN(B1976,E1976)</f>
        <v>9.4237724265999994</v>
      </c>
      <c r="K1976" s="10">
        <f>[1]!EM_S_FA_ASSETSTURN(B1976,E1976)</f>
        <v>0.80012240373400001</v>
      </c>
      <c r="L1976" s="12">
        <f>[1]!EM_HKS_VAL_MV(B1976,"2019-12-31","2")</f>
        <v>9162185513.4599991</v>
      </c>
      <c r="M1976">
        <f>[1]!EM_S_VAL_PETTMDEDUCTED(B1976,E1976)</f>
        <v>20.023590763913301</v>
      </c>
      <c r="N1976" s="7">
        <f>[1]!EM_S_VAL_PBGOODWILLDEDUCTED(B1976,E1976)</f>
        <v>3.9769498358728499</v>
      </c>
      <c r="O1976" s="7">
        <f>[1]!EM_S_VAL_PS_TTM(B1976,E1976)</f>
        <v>1.70802573190484</v>
      </c>
      <c r="P1976" s="7">
        <f>[1]!EM_S_VAL_PCF_NCFTTM(B1976,E1976)</f>
        <v>147.20931796370201</v>
      </c>
      <c r="Q1976" s="7">
        <f>[1]!EM_S_VAL_DIVIDENDYIELD2(B1976,E1976,"2019-11-29")</f>
        <v>0.61574724464637431</v>
      </c>
      <c r="T1976"/>
      <c r="U1976">
        <f>[1]!EM_S_RATIO_EPS_TTM(B1976,E1976,"1")</f>
        <v>0.54153705393693019</v>
      </c>
      <c r="AT1976" s="4" t="str">
        <f>[1]!EM_S_IPO_LISTEDDATE(B1976)</f>
        <v>2011-06-22</v>
      </c>
    </row>
    <row r="1977" spans="1:46">
      <c r="A1977">
        <v>1091</v>
      </c>
      <c r="B1977" t="str">
        <f>"002580"</f>
        <v>002580</v>
      </c>
      <c r="C1977" t="s">
        <v>2830</v>
      </c>
      <c r="D1977" t="str">
        <f>[1]!EM_S_INFO_INDEX_EM(B1977,"1")</f>
        <v>电气设备</v>
      </c>
      <c r="E1977" s="4">
        <f t="shared" si="30"/>
        <v>43465</v>
      </c>
      <c r="F1977" s="11">
        <f>[1]!EM_S_PQ_PCTCHANGE(B1977,"2018-01-01","2019-12-31","3")</f>
        <v>-35.483870969999998</v>
      </c>
      <c r="G1977" s="11">
        <f>[1]!EM_S_PQ_PCTCHANGE(B1977,"2018-12-31","2019-12-30","1")</f>
        <v>5.5335968400000004</v>
      </c>
      <c r="H1977" s="11">
        <f>[1]!EM_S_FA_YOY_OR(B1977,E1977)</f>
        <v>7.5648237962999998</v>
      </c>
      <c r="I1977" s="11">
        <f>[1]!EM_S_FA_GROSSPROFITMARGIN(B1977,E1977)</f>
        <v>16.059744413800001</v>
      </c>
      <c r="J1977" s="11">
        <f>[1]!EM_S_FA_NETPROFITMARGIN(B1977,E1977)</f>
        <v>0.95859487980000002</v>
      </c>
      <c r="K1977" s="10">
        <f>[1]!EM_S_FA_ASSETSTURN(B1977,E1977)</f>
        <v>0.93068580469399997</v>
      </c>
      <c r="L1977" s="12">
        <f>[1]!EM_HKS_VAL_MV(B1977,"2019-12-31","2")</f>
        <v>1885301973</v>
      </c>
      <c r="M1977">
        <f>[1]!EM_S_VAL_PETTMDEDUCTED(B1977,E1977)</f>
        <v>456.457848640235</v>
      </c>
      <c r="N1977" s="7">
        <f>[1]!EM_S_VAL_PBGOODWILLDEDUCTED(B1977,E1977)</f>
        <v>1.5112241446781101</v>
      </c>
      <c r="O1977" s="7">
        <f>[1]!EM_S_VAL_PS_TTM(B1977,E1977)</f>
        <v>0.98724982586596499</v>
      </c>
      <c r="P1977" s="7">
        <f>[1]!EM_S_VAL_PCF_NCFTTM(B1977,E1977)</f>
        <v>-53.976217293146597</v>
      </c>
      <c r="Q1977" s="7">
        <f>[1]!EM_S_VAL_DIVIDENDYIELD2(B1977,E1977,"2019-11-29")</f>
        <v>0</v>
      </c>
      <c r="T1977"/>
      <c r="U1977">
        <f>[1]!EM_S_RATIO_EPS_TTM(B1977,E1977,"1")</f>
        <v>4.5640617357035333E-2</v>
      </c>
      <c r="AT1977" s="4" t="str">
        <f>[1]!EM_S_IPO_LISTEDDATE(B1977)</f>
        <v>2011-05-06</v>
      </c>
    </row>
    <row r="1978" spans="1:46">
      <c r="A1978">
        <v>1742</v>
      </c>
      <c r="B1978" t="str">
        <f>"300317"</f>
        <v>300317</v>
      </c>
      <c r="C1978" t="s">
        <v>2659</v>
      </c>
      <c r="D1978" t="str">
        <f>[1]!EM_S_INFO_INDEX_EM(B1978,"1")</f>
        <v>电气设备</v>
      </c>
      <c r="E1978" s="4">
        <f t="shared" si="30"/>
        <v>43465</v>
      </c>
      <c r="F1978" s="11">
        <f>[1]!EM_S_PQ_PCTCHANGE(B1978,"2018-01-01","2019-12-31","3")</f>
        <v>-69.269964920000007</v>
      </c>
      <c r="G1978" s="11">
        <f>[1]!EM_S_PQ_PCTCHANGE(B1978,"2018-12-31","2019-12-30","1")</f>
        <v>5.5319148900000004</v>
      </c>
      <c r="H1978" s="11">
        <f>[1]!EM_S_FA_YOY_OR(B1978,E1978)</f>
        <v>-48.9587968835</v>
      </c>
      <c r="I1978" s="11">
        <f>[1]!EM_S_FA_GROSSPROFITMARGIN(B1978,E1978)</f>
        <v>22.8169830177</v>
      </c>
      <c r="J1978" s="11">
        <f>[1]!EM_S_FA_NETPROFITMARGIN(B1978,E1978)</f>
        <v>-118.060956514</v>
      </c>
      <c r="K1978" s="10">
        <f>[1]!EM_S_FA_ASSETSTURN(B1978,E1978)</f>
        <v>0.212607096882</v>
      </c>
      <c r="L1978" s="12">
        <f>[1]!EM_HKS_VAL_MV(B1978,"2019-12-31","2")</f>
        <v>4030729924.8000002</v>
      </c>
      <c r="M1978">
        <f>[1]!EM_S_VAL_PETTMDEDUCTED(B1978,E1978)</f>
        <v>697.72941223314399</v>
      </c>
      <c r="N1978" s="7">
        <f>[1]!EM_S_VAL_PBGOODWILLDEDUCTED(B1978,E1978)</f>
        <v>1.41631188381439</v>
      </c>
      <c r="O1978" s="7">
        <f>[1]!EM_S_VAL_PS_TTM(B1978,E1978)</f>
        <v>1.87607986967455</v>
      </c>
      <c r="P1978" s="7">
        <f>[1]!EM_S_VAL_PCF_NCFTTM(B1978,E1978)</f>
        <v>-11.038739941199699</v>
      </c>
      <c r="Q1978" s="7">
        <f>[1]!EM_S_VAL_DIVIDENDYIELD2(B1978,E1978,"2019-11-29")</f>
        <v>0</v>
      </c>
      <c r="T1978"/>
      <c r="U1978">
        <f>[1]!EM_S_RATIO_EPS_TTM(B1978,E1978,"1")</f>
        <v>-2.369427035659772</v>
      </c>
      <c r="AT1978" s="4" t="str">
        <f>[1]!EM_S_IPO_LISTEDDATE(B1978)</f>
        <v>2012-05-11</v>
      </c>
    </row>
    <row r="1979" spans="1:46">
      <c r="A1979">
        <v>3126</v>
      </c>
      <c r="B1979" t="str">
        <f>"601607"</f>
        <v>601607</v>
      </c>
      <c r="C1979" t="s">
        <v>886</v>
      </c>
      <c r="D1979" t="str">
        <f>[1]!EM_S_INFO_INDEX_EM(B1979,"1")</f>
        <v>医药生物</v>
      </c>
      <c r="E1979" s="4">
        <f t="shared" si="30"/>
        <v>43465</v>
      </c>
      <c r="F1979" s="11">
        <f>[1]!EM_S_PQ_PCTCHANGE(B1979,"2018-01-01","2019-12-31","3")</f>
        <v>-21.070520649999999</v>
      </c>
      <c r="G1979" s="11">
        <f>[1]!EM_S_PQ_PCTCHANGE(B1979,"2018-12-31","2019-12-30","1")</f>
        <v>5.5294117600000003</v>
      </c>
      <c r="H1979" s="11">
        <f>[1]!EM_S_FA_YOY_OR(B1979,E1979)</f>
        <v>21.580300513200001</v>
      </c>
      <c r="I1979" s="11">
        <f>[1]!EM_S_FA_GROSSPROFITMARGIN(B1979,E1979)</f>
        <v>14.182992668500001</v>
      </c>
      <c r="J1979" s="11">
        <f>[1]!EM_S_FA_NETPROFITMARGIN(B1979,E1979)</f>
        <v>2.8011929571</v>
      </c>
      <c r="K1979" s="10">
        <f>[1]!EM_S_FA_ASSETSTURN(B1979,E1979)</f>
        <v>1.438221294339</v>
      </c>
      <c r="L1979" s="12">
        <f>[1]!EM_HKS_VAL_MV(B1979,"2019-12-31","2")</f>
        <v>52209180845.139999</v>
      </c>
      <c r="M1979">
        <f>[1]!EM_S_VAL_PETTMDEDUCTED(B1979,E1979)</f>
        <v>16.345193872579301</v>
      </c>
      <c r="N1979" s="7">
        <f>[1]!EM_S_VAL_PBGOODWILLDEDUCTED(B1979,E1979)</f>
        <v>1.7462419375701399</v>
      </c>
      <c r="O1979" s="7">
        <f>[1]!EM_S_VAL_PS_TTM(B1979,E1979)</f>
        <v>0.32335958504816598</v>
      </c>
      <c r="P1979" s="7">
        <f>[1]!EM_S_VAL_PCF_NCFTTM(B1979,E1979)</f>
        <v>12.589454339632001</v>
      </c>
      <c r="Q1979" s="7">
        <f>[1]!EM_S_VAL_DIVIDENDYIELD2(B1979,E1979,"2019-11-29")</f>
        <v>2.3046655424395728</v>
      </c>
      <c r="T1979"/>
      <c r="U1979">
        <f>[1]!EM_S_RATIO_EPS_TTM(B1979,E1979,"1")</f>
        <v>1.3655668142544044</v>
      </c>
      <c r="AT1979" s="4" t="str">
        <f>[1]!EM_S_IPO_LISTEDDATE(B1979)</f>
        <v>1994-03-24</v>
      </c>
    </row>
    <row r="1980" spans="1:46">
      <c r="A1980">
        <v>3387</v>
      </c>
      <c r="B1980" t="str">
        <f>"603380"</f>
        <v>603380</v>
      </c>
      <c r="C1980" t="s">
        <v>787</v>
      </c>
      <c r="D1980" t="str">
        <f>[1]!EM_S_INFO_INDEX_EM(B1980,"1")</f>
        <v>电子设备</v>
      </c>
      <c r="E1980" s="4">
        <f t="shared" si="30"/>
        <v>43465</v>
      </c>
      <c r="F1980" s="11">
        <f>[1]!EM_S_PQ_PCTCHANGE(B1980,"2018-01-01","2019-12-31","3")</f>
        <v>-16.416938729999998</v>
      </c>
      <c r="G1980" s="11">
        <f>[1]!EM_S_PQ_PCTCHANGE(B1980,"2018-12-31","2019-12-30","1")</f>
        <v>5.5194805200000001</v>
      </c>
      <c r="H1980" s="11">
        <f>[1]!EM_S_FA_YOY_OR(B1980,E1980)</f>
        <v>10.2416156038</v>
      </c>
      <c r="I1980" s="11">
        <f>[1]!EM_S_FA_GROSSPROFITMARGIN(B1980,E1980)</f>
        <v>25.879550206600001</v>
      </c>
      <c r="J1980" s="11">
        <f>[1]!EM_S_FA_NETPROFITMARGIN(B1980,E1980)</f>
        <v>10.722020670899999</v>
      </c>
      <c r="K1980" s="10">
        <f>[1]!EM_S_FA_ASSETSTURN(B1980,E1980)</f>
        <v>0.96534957852600001</v>
      </c>
      <c r="L1980" s="12">
        <f>[1]!EM_HKS_VAL_MV(B1980,"2019-12-31","2")</f>
        <v>2672000000</v>
      </c>
      <c r="M1980">
        <f>[1]!EM_S_VAL_PETTMDEDUCTED(B1980,E1980)</f>
        <v>25.9897343388824</v>
      </c>
      <c r="N1980" s="7">
        <f>[1]!EM_S_VAL_PBGOODWILLDEDUCTED(B1980,E1980)</f>
        <v>3.2257742689569699</v>
      </c>
      <c r="O1980" s="7">
        <f>[1]!EM_S_VAL_PS_TTM(B1980,E1980)</f>
        <v>2.6245058633670699</v>
      </c>
      <c r="P1980" s="7">
        <f>[1]!EM_S_VAL_PCF_NCFTTM(B1980,E1980)</f>
        <v>-34.180666052049503</v>
      </c>
      <c r="Q1980" s="7">
        <f>[1]!EM_S_VAL_DIVIDENDYIELD2(B1980,E1980,"2019-11-29")</f>
        <v>1.5099519560741252</v>
      </c>
      <c r="T1980"/>
      <c r="U1980">
        <f>[1]!EM_S_RATIO_EPS_TTM(B1980,E1980,"1")</f>
        <v>0.63480687168749994</v>
      </c>
      <c r="AT1980" s="4" t="str">
        <f>[1]!EM_S_IPO_LISTEDDATE(B1980)</f>
        <v>2017-06-22</v>
      </c>
    </row>
    <row r="1981" spans="1:46">
      <c r="A1981">
        <v>3030</v>
      </c>
      <c r="B1981" t="str">
        <f>"601010"</f>
        <v>601010</v>
      </c>
      <c r="C1981" t="s">
        <v>1428</v>
      </c>
      <c r="D1981" t="str">
        <f>[1]!EM_S_INFO_INDEX_EM(B1981,"1")</f>
        <v>商贸零售</v>
      </c>
      <c r="E1981" s="4">
        <f t="shared" si="30"/>
        <v>43465</v>
      </c>
      <c r="F1981" s="11">
        <f>[1]!EM_S_PQ_PCTCHANGE(B1981,"2018-01-01","2019-12-31","3")</f>
        <v>-22.53382569</v>
      </c>
      <c r="G1981" s="11">
        <f>[1]!EM_S_PQ_PCTCHANGE(B1981,"2018-12-31","2019-12-30","1")</f>
        <v>5.5172413799999998</v>
      </c>
      <c r="H1981" s="11">
        <f>[1]!EM_S_FA_YOY_OR(B1981,E1981)</f>
        <v>-5.2074857024999996</v>
      </c>
      <c r="I1981" s="11">
        <f>[1]!EM_S_FA_GROSSPROFITMARGIN(B1981,E1981)</f>
        <v>19.869798779500002</v>
      </c>
      <c r="J1981" s="11">
        <f>[1]!EM_S_FA_NETPROFITMARGIN(B1981,E1981)</f>
        <v>3.7996760131</v>
      </c>
      <c r="K1981" s="10">
        <f>[1]!EM_S_FA_ASSETSTURN(B1981,E1981)</f>
        <v>0.99528420438200005</v>
      </c>
      <c r="L1981" s="12">
        <f>[1]!EM_HKS_VAL_MV(B1981,"2019-12-31","2")</f>
        <v>5654880000</v>
      </c>
      <c r="M1981">
        <f>[1]!EM_S_VAL_PETTMDEDUCTED(B1981,E1981)</f>
        <v>19.702585209428999</v>
      </c>
      <c r="N1981" s="7">
        <f>[1]!EM_S_VAL_PBGOODWILLDEDUCTED(B1981,E1981)</f>
        <v>1.1884932356685101</v>
      </c>
      <c r="O1981" s="7">
        <f>[1]!EM_S_VAL_PS_TTM(B1981,E1981)</f>
        <v>0.81288170981934305</v>
      </c>
      <c r="P1981" s="7">
        <f>[1]!EM_S_VAL_PCF_NCFTTM(B1981,E1981)</f>
        <v>-67.213488074093803</v>
      </c>
      <c r="Q1981" s="7">
        <f>[1]!EM_S_VAL_DIVIDENDYIELD2(B1981,E1981,"2019-11-29")</f>
        <v>1.3605442176870748</v>
      </c>
      <c r="T1981"/>
      <c r="U1981">
        <f>[1]!EM_S_RATIO_EPS_TTM(B1981,E1981,"1")</f>
        <v>0.13110066814935065</v>
      </c>
      <c r="AT1981" s="4" t="str">
        <f>[1]!EM_S_IPO_LISTEDDATE(B1981)</f>
        <v>2011-06-03</v>
      </c>
    </row>
    <row r="1982" spans="1:46">
      <c r="A1982">
        <v>2864</v>
      </c>
      <c r="B1982" t="str">
        <f>"600791"</f>
        <v>600791</v>
      </c>
      <c r="C1982" t="s">
        <v>2955</v>
      </c>
      <c r="D1982" t="str">
        <f>[1]!EM_S_INFO_INDEX_EM(B1982,"1")</f>
        <v>房地产</v>
      </c>
      <c r="E1982" s="4">
        <f t="shared" si="30"/>
        <v>43465</v>
      </c>
      <c r="F1982" s="11">
        <f>[1]!EM_S_PQ_PCTCHANGE(B1982,"2018-01-01","2019-12-31","3")</f>
        <v>-44.13380669</v>
      </c>
      <c r="G1982" s="11">
        <f>[1]!EM_S_PQ_PCTCHANGE(B1982,"2018-12-31","2019-12-30","1")</f>
        <v>5.4945054899999999</v>
      </c>
      <c r="H1982" s="11">
        <f>[1]!EM_S_FA_YOY_OR(B1982,E1982)</f>
        <v>36.659821133599998</v>
      </c>
      <c r="I1982" s="11">
        <f>[1]!EM_S_FA_GROSSPROFITMARGIN(B1982,E1982)</f>
        <v>20.826873744299998</v>
      </c>
      <c r="J1982" s="11">
        <f>[1]!EM_S_FA_NETPROFITMARGIN(B1982,E1982)</f>
        <v>3.6961139208999998</v>
      </c>
      <c r="K1982" s="10">
        <f>[1]!EM_S_FA_ASSETSTURN(B1982,E1982)</f>
        <v>0.15545157735099999</v>
      </c>
      <c r="L1982" s="12">
        <f>[1]!EM_HKS_VAL_MV(B1982,"2019-12-31","2")</f>
        <v>1739059200</v>
      </c>
      <c r="M1982">
        <f>[1]!EM_S_VAL_PETTMDEDUCTED(B1982,E1982)</f>
        <v>643.37219795038902</v>
      </c>
      <c r="N1982" s="7">
        <f>[1]!EM_S_VAL_PBGOODWILLDEDUCTED(B1982,E1982)</f>
        <v>0.99510212445705903</v>
      </c>
      <c r="O1982" s="7">
        <f>[1]!EM_S_VAL_PS_TTM(B1982,E1982)</f>
        <v>2.05954599116951</v>
      </c>
      <c r="P1982" s="7">
        <f>[1]!EM_S_VAL_PCF_NCFTTM(B1982,E1982)</f>
        <v>-11.9541503837834</v>
      </c>
      <c r="Q1982" s="7">
        <f>[1]!EM_S_VAL_DIVIDENDYIELD2(B1982,E1982,"2019-11-29")</f>
        <v>0.43243243243243246</v>
      </c>
      <c r="T1982"/>
      <c r="U1982">
        <f>[1]!EM_S_RATIO_EPS_TTM(B1982,E1982,"1")</f>
        <v>0.11116998745804628</v>
      </c>
      <c r="AT1982" s="4" t="str">
        <f>[1]!EM_S_IPO_LISTEDDATE(B1982)</f>
        <v>1997-01-30</v>
      </c>
    </row>
    <row r="1983" spans="1:46">
      <c r="A1983">
        <v>11</v>
      </c>
      <c r="B1983" t="str">
        <f>"000011"</f>
        <v>000011</v>
      </c>
      <c r="C1983" t="s">
        <v>1514</v>
      </c>
      <c r="D1983" t="str">
        <f>[1]!EM_S_INFO_INDEX_EM(B1983,"1")</f>
        <v>房地产</v>
      </c>
      <c r="E1983" s="4">
        <f t="shared" si="30"/>
        <v>43465</v>
      </c>
      <c r="F1983" s="11">
        <f>[1]!EM_S_PQ_PCTCHANGE(B1983,"2018-01-01","2019-12-31","3")</f>
        <v>-40.725197119999997</v>
      </c>
      <c r="G1983" s="11">
        <f>[1]!EM_S_PQ_PCTCHANGE(B1983,"2019-01-01","2019-12-31","3")</f>
        <v>5.4794926000000004</v>
      </c>
      <c r="H1983" s="11">
        <f>[1]!EM_S_FA_YOY_OR(B1983,E1983)</f>
        <v>-4.0434617834999997</v>
      </c>
      <c r="I1983" s="11">
        <f>[1]!EM_S_FA_GROSSPROFITMARGIN(B1983,E1983)</f>
        <v>52.813905750000004</v>
      </c>
      <c r="J1983" s="11">
        <f>[1]!EM_S_FA_NETPROFITMARGIN(B1983,E1983)</f>
        <v>21.263386630599999</v>
      </c>
      <c r="K1983" s="10">
        <f>[1]!EM_S_FA_ASSETSTURN(B1983,E1983)</f>
        <v>0.49712083817199998</v>
      </c>
      <c r="L1983" s="12">
        <f>[1]!EM_HKS_VAL_MV(B1983,"2019-12-31","2")</f>
        <v>5608163255.7200003</v>
      </c>
      <c r="M1983">
        <f>[1]!EM_S_VAL_PETTMDEDUCTED(B1983,E1983)</f>
        <v>43.888146074422103</v>
      </c>
      <c r="N1983" s="7">
        <f>[1]!EM_S_VAL_PBGOODWILLDEDUCTED(B1983,E1983)</f>
        <v>1.63905665798269</v>
      </c>
      <c r="O1983" s="7">
        <f>[1]!EM_S_VAL_PS_TTM(B1983,E1983)</f>
        <v>3.7706506917723601</v>
      </c>
      <c r="P1983" s="7">
        <f>[1]!EM_S_VAL_PCF_NCFTTM(B1983,E1983)</f>
        <v>-75.969282145394402</v>
      </c>
      <c r="Q1983" s="7">
        <f>[1]!EM_S_VAL_DIVIDENDYIELD2(B1983,E1983,"2019-11-29")</f>
        <v>3.3296337402885676</v>
      </c>
      <c r="T1983"/>
      <c r="U1983">
        <f>[1]!EM_S_RATIO_EPS_TTM(B1983,E1983,"1")</f>
        <v>0.994537997500758</v>
      </c>
      <c r="AT1983" s="4" t="str">
        <f>[1]!EM_S_IPO_LISTEDDATE(B1983)</f>
        <v>1992-03-30</v>
      </c>
    </row>
    <row r="1984" spans="1:46">
      <c r="A1984">
        <v>2504</v>
      </c>
      <c r="B1984" t="str">
        <f>"600387"</f>
        <v>600387</v>
      </c>
      <c r="C1984" t="s">
        <v>449</v>
      </c>
      <c r="D1984" t="str">
        <f>[1]!EM_S_INFO_INDEX_EM(B1984,"1")</f>
        <v>化石能源</v>
      </c>
      <c r="E1984" s="4">
        <f t="shared" si="30"/>
        <v>43465</v>
      </c>
      <c r="F1984" s="11">
        <f>[1]!EM_S_PQ_PCTCHANGE(B1984,"2018-01-01","2019-12-31","3")</f>
        <v>-21.333490019999999</v>
      </c>
      <c r="G1984" s="11">
        <f>[1]!EM_S_PQ_PCTCHANGE(B1984,"2018-12-31","2019-12-30","1")</f>
        <v>5.4707379100000004</v>
      </c>
      <c r="H1984" s="11">
        <f>[1]!EM_S_FA_YOY_OR(B1984,E1984)</f>
        <v>86.156374867099998</v>
      </c>
      <c r="I1984" s="11">
        <f>[1]!EM_S_FA_GROSSPROFITMARGIN(B1984,E1984)</f>
        <v>5.1497540365000001</v>
      </c>
      <c r="J1984" s="11">
        <f>[1]!EM_S_FA_NETPROFITMARGIN(B1984,E1984)</f>
        <v>1.9433952144</v>
      </c>
      <c r="K1984" s="10">
        <f>[1]!EM_S_FA_ASSETSTURN(B1984,E1984)</f>
        <v>2.1883634887999999</v>
      </c>
      <c r="L1984" s="12">
        <f>[1]!EM_HKS_VAL_MV(B1984,"2019-12-31","2")</f>
        <v>3915728051.1999998</v>
      </c>
      <c r="M1984">
        <f>[1]!EM_S_VAL_PETTMDEDUCTED(B1984,E1984)</f>
        <v>20.6212538268625</v>
      </c>
      <c r="N1984" s="7">
        <f>[1]!EM_S_VAL_PBGOODWILLDEDUCTED(B1984,E1984)</f>
        <v>1.43211209128418</v>
      </c>
      <c r="O1984" s="7">
        <f>[1]!EM_S_VAL_PS_TTM(B1984,E1984)</f>
        <v>0.180041430765112</v>
      </c>
      <c r="P1984" s="7">
        <f>[1]!EM_S_VAL_PCF_NCFTTM(B1984,E1984)</f>
        <v>4.5666493076683103</v>
      </c>
      <c r="Q1984" s="7">
        <f>[1]!EM_S_VAL_DIVIDENDYIELD2(B1984,E1984,"2019-11-29")</f>
        <v>0.77216562902372543</v>
      </c>
      <c r="T1984"/>
      <c r="U1984">
        <f>[1]!EM_S_RATIO_EPS_TTM(B1984,E1984,"1")</f>
        <v>0.65058867077511273</v>
      </c>
      <c r="AT1984" s="4" t="str">
        <f>[1]!EM_S_IPO_LISTEDDATE(B1984)</f>
        <v>2004-02-18</v>
      </c>
    </row>
    <row r="1985" spans="1:46">
      <c r="A1985">
        <v>168</v>
      </c>
      <c r="B1985" t="str">
        <f>"000559"</f>
        <v>000559</v>
      </c>
      <c r="C1985" t="s">
        <v>325</v>
      </c>
      <c r="D1985" t="str">
        <f>[1]!EM_S_INFO_INDEX_EM(B1985,"1")</f>
        <v>交运设备</v>
      </c>
      <c r="E1985" s="4">
        <f t="shared" si="30"/>
        <v>43465</v>
      </c>
      <c r="F1985" s="11">
        <f>[1]!EM_S_PQ_PCTCHANGE(B1985,"2018-01-01","2019-12-31","3")</f>
        <v>-44.111753559999997</v>
      </c>
      <c r="G1985" s="11">
        <f>[1]!EM_S_PQ_PCTCHANGE(B1985,"2018-12-31","2019-12-30","1")</f>
        <v>5.46875</v>
      </c>
      <c r="H1985" s="11">
        <f>[1]!EM_S_FA_YOY_OR(B1985,E1985)</f>
        <v>1.8632856997</v>
      </c>
      <c r="I1985" s="11">
        <f>[1]!EM_S_FA_GROSSPROFITMARGIN(B1985,E1985)</f>
        <v>18.597205188</v>
      </c>
      <c r="J1985" s="11">
        <f>[1]!EM_S_FA_NETPROFITMARGIN(B1985,E1985)</f>
        <v>6.5877317494999996</v>
      </c>
      <c r="K1985" s="10">
        <f>[1]!EM_S_FA_ASSETSTURN(B1985,E1985)</f>
        <v>0.96379662560199997</v>
      </c>
      <c r="L1985" s="12">
        <f>[1]!EM_HKS_VAL_MV(B1985,"2019-12-31","2")</f>
        <v>14784466267.98</v>
      </c>
      <c r="M1985">
        <f>[1]!EM_S_VAL_PETTMDEDUCTED(B1985,E1985)</f>
        <v>19.6680516311228</v>
      </c>
      <c r="N1985" s="7">
        <f>[1]!EM_S_VAL_PBGOODWILLDEDUCTED(B1985,E1985)</f>
        <v>2.7108077040790199</v>
      </c>
      <c r="O1985" s="7">
        <f>[1]!EM_S_VAL_PS_TTM(B1985,E1985)</f>
        <v>1.2061889880752801</v>
      </c>
      <c r="P1985" s="7">
        <f>[1]!EM_S_VAL_PCF_NCFTTM(B1985,E1985)</f>
        <v>-1141.34107278127</v>
      </c>
      <c r="Q1985" s="7">
        <f>[1]!EM_S_VAL_DIVIDENDYIELD2(B1985,E1985,"2019-11-29")</f>
        <v>3.9370078740157486</v>
      </c>
      <c r="T1985"/>
      <c r="U1985">
        <f>[1]!EM_S_RATIO_EPS_TTM(B1985,E1985,"1")</f>
        <v>0.2624606563997437</v>
      </c>
      <c r="AT1985" s="4" t="str">
        <f>[1]!EM_S_IPO_LISTEDDATE(B1985)</f>
        <v>1994-01-10</v>
      </c>
    </row>
    <row r="1986" spans="1:46">
      <c r="A1986">
        <v>2176</v>
      </c>
      <c r="B1986" t="str">
        <f>"600017"</f>
        <v>600017</v>
      </c>
      <c r="C1986" t="s">
        <v>1681</v>
      </c>
      <c r="D1986" t="str">
        <f>[1]!EM_S_INFO_INDEX_EM(B1986,"1")</f>
        <v>交通运输</v>
      </c>
      <c r="E1986" s="4">
        <f t="shared" si="30"/>
        <v>43465</v>
      </c>
      <c r="F1986" s="11">
        <f>[1]!EM_S_PQ_PCTCHANGE(B1986,"2018-01-01","2019-12-31","3")</f>
        <v>-24.09014217</v>
      </c>
      <c r="G1986" s="11">
        <f>[1]!EM_S_PQ_PCTCHANGE(B1986,"2018-12-31","2019-12-30","1")</f>
        <v>5.4347826100000001</v>
      </c>
      <c r="H1986" s="11">
        <f>[1]!EM_S_FA_YOY_OR(B1986,E1986)</f>
        <v>6.7816239664999998</v>
      </c>
      <c r="I1986" s="11">
        <f>[1]!EM_S_FA_GROSSPROFITMARGIN(B1986,E1986)</f>
        <v>27.457391757300002</v>
      </c>
      <c r="J1986" s="11">
        <f>[1]!EM_S_FA_NETPROFITMARGIN(B1986,E1986)</f>
        <v>14.332602040199999</v>
      </c>
      <c r="K1986" s="10">
        <f>[1]!EM_S_FA_ASSETSTURN(B1986,E1986)</f>
        <v>0.24622089872</v>
      </c>
      <c r="L1986" s="12">
        <f>[1]!EM_HKS_VAL_MV(B1986,"2019-12-31","2")</f>
        <v>8950152814.0799999</v>
      </c>
      <c r="M1986">
        <f>[1]!EM_S_VAL_PETTMDEDUCTED(B1986,E1986)</f>
        <v>15.006359288361701</v>
      </c>
      <c r="N1986" s="7">
        <f>[1]!EM_S_VAL_PBGOODWILLDEDUCTED(B1986,E1986)</f>
        <v>0.76529718725306195</v>
      </c>
      <c r="O1986" s="7">
        <f>[1]!EM_S_VAL_PS_TTM(B1986,E1986)</f>
        <v>1.6533588328805899</v>
      </c>
      <c r="P1986" s="7">
        <f>[1]!EM_S_VAL_PCF_NCFTTM(B1986,E1986)</f>
        <v>-16.2314345694748</v>
      </c>
      <c r="Q1986" s="7">
        <f>[1]!EM_S_VAL_DIVIDENDYIELD2(B1986,E1986,"2019-11-29")</f>
        <v>0.70921985815602839</v>
      </c>
      <c r="T1986"/>
      <c r="U1986">
        <f>[1]!EM_S_RATIO_EPS_TTM(B1986,E1986,"1")</f>
        <v>0.20950731553510876</v>
      </c>
      <c r="AT1986" s="4" t="str">
        <f>[1]!EM_S_IPO_LISTEDDATE(B1986)</f>
        <v>2006-10-17</v>
      </c>
    </row>
    <row r="1987" spans="1:46">
      <c r="A1987">
        <v>2957</v>
      </c>
      <c r="B1987" t="str">
        <f>"600884"</f>
        <v>600884</v>
      </c>
      <c r="C1987" t="s">
        <v>1891</v>
      </c>
      <c r="D1987" t="str">
        <f>[1]!EM_S_INFO_INDEX_EM(B1987,"1")</f>
        <v>有色金属</v>
      </c>
      <c r="E1987" s="4">
        <f t="shared" ref="E1987:E2050" si="31">$B$1</f>
        <v>43465</v>
      </c>
      <c r="F1987" s="11">
        <f>[1]!EM_S_PQ_PCTCHANGE(B1987,"2018-01-01","2019-12-31","3")</f>
        <v>-29.558271980000001</v>
      </c>
      <c r="G1987" s="11">
        <f>[1]!EM_S_PQ_PCTCHANGE(B1987,"2018-12-31","2019-12-30","1")</f>
        <v>5.4179566599999998</v>
      </c>
      <c r="H1987" s="11">
        <f>[1]!EM_S_FA_YOY_OR(B1987,E1987)</f>
        <v>7.0476878665999996</v>
      </c>
      <c r="I1987" s="11">
        <f>[1]!EM_S_FA_GROSSPROFITMARGIN(B1987,E1987)</f>
        <v>22.095617956000002</v>
      </c>
      <c r="J1987" s="11">
        <f>[1]!EM_S_FA_NETPROFITMARGIN(B1987,E1987)</f>
        <v>14.0910170757</v>
      </c>
      <c r="K1987" s="10">
        <f>[1]!EM_S_FA_ASSETSTURN(B1987,E1987)</f>
        <v>0.38897326834500001</v>
      </c>
      <c r="L1987" s="12">
        <f>[1]!EM_HKS_VAL_MV(B1987,"2019-12-31","2")</f>
        <v>15168554960.860001</v>
      </c>
      <c r="M1987">
        <f>[1]!EM_S_VAL_PETTMDEDUCTED(B1987,E1987)</f>
        <v>32.019993485268898</v>
      </c>
      <c r="N1987" s="7">
        <f>[1]!EM_S_VAL_PBGOODWILLDEDUCTED(B1987,E1987)</f>
        <v>1.3713748046868699</v>
      </c>
      <c r="O1987" s="7">
        <f>[1]!EM_S_VAL_PS_TTM(B1987,E1987)</f>
        <v>1.81130649928594</v>
      </c>
      <c r="P1987" s="7">
        <f>[1]!EM_S_VAL_PCF_NCFTTM(B1987,E1987)</f>
        <v>15.254808743859</v>
      </c>
      <c r="Q1987" s="7">
        <f>[1]!EM_S_VAL_DIVIDENDYIELD2(B1987,E1987,"2019-11-29")</f>
        <v>0.6962576153176675</v>
      </c>
      <c r="T1987"/>
      <c r="U1987">
        <f>[1]!EM_S_RATIO_EPS_TTM(B1987,E1987,"1")</f>
        <v>0.99333138880054095</v>
      </c>
      <c r="AT1987" s="4" t="str">
        <f>[1]!EM_S_IPO_LISTEDDATE(B1987)</f>
        <v>1996-01-30</v>
      </c>
    </row>
    <row r="1988" spans="1:46">
      <c r="A1988">
        <v>2248</v>
      </c>
      <c r="B1988" t="str">
        <f>"600101"</f>
        <v>600101</v>
      </c>
      <c r="C1988" t="s">
        <v>1952</v>
      </c>
      <c r="D1988" t="str">
        <f>[1]!EM_S_INFO_INDEX_EM(B1988,"1")</f>
        <v>公用事业</v>
      </c>
      <c r="E1988" s="4">
        <f t="shared" si="31"/>
        <v>43465</v>
      </c>
      <c r="F1988" s="11">
        <f>[1]!EM_S_PQ_PCTCHANGE(B1988,"2018-01-01","2019-12-31","3")</f>
        <v>-0.67624245999999999</v>
      </c>
      <c r="G1988" s="11">
        <f>[1]!EM_S_PQ_PCTCHANGE(B1988,"2018-12-31","2019-12-30","1")</f>
        <v>5.4135338300000004</v>
      </c>
      <c r="H1988" s="11">
        <f>[1]!EM_S_FA_YOY_OR(B1988,E1988)</f>
        <v>5.7367529601999996</v>
      </c>
      <c r="I1988" s="11">
        <f>[1]!EM_S_FA_GROSSPROFITMARGIN(B1988,E1988)</f>
        <v>14.1048213725</v>
      </c>
      <c r="J1988" s="11">
        <f>[1]!EM_S_FA_NETPROFITMARGIN(B1988,E1988)</f>
        <v>6.0261816893000004</v>
      </c>
      <c r="K1988" s="10">
        <f>[1]!EM_S_FA_ASSETSTURN(B1988,E1988)</f>
        <v>0.51856640185299996</v>
      </c>
      <c r="L1988" s="12">
        <f>[1]!EM_HKS_VAL_MV(B1988,"2019-12-31","2")</f>
        <v>2933171383.1999998</v>
      </c>
      <c r="M1988">
        <f>[1]!EM_S_VAL_PETTMDEDUCTED(B1988,E1988)</f>
        <v>21.949672660898901</v>
      </c>
      <c r="N1988" s="7">
        <f>[1]!EM_S_VAL_PBGOODWILLDEDUCTED(B1988,E1988)</f>
        <v>0.96789283131025505</v>
      </c>
      <c r="O1988" s="7">
        <f>[1]!EM_S_VAL_PS_TTM(B1988,E1988)</f>
        <v>1.3393451480751299</v>
      </c>
      <c r="P1988" s="7">
        <f>[1]!EM_S_VAL_PCF_NCFTTM(B1988,E1988)</f>
        <v>9.0567922617583196</v>
      </c>
      <c r="Q1988" s="7">
        <f>[1]!EM_S_VAL_DIVIDENDYIELD2(B1988,E1988,"2019-11-29")</f>
        <v>0.55822261931298744</v>
      </c>
      <c r="T1988"/>
      <c r="U1988">
        <f>[1]!EM_S_RATIO_EPS_TTM(B1988,E1988,"1")</f>
        <v>0.31396549662750034</v>
      </c>
      <c r="AT1988" s="4" t="str">
        <f>[1]!EM_S_IPO_LISTEDDATE(B1988)</f>
        <v>1997-06-27</v>
      </c>
    </row>
    <row r="1989" spans="1:46">
      <c r="A1989">
        <v>850</v>
      </c>
      <c r="B1989" t="str">
        <f>"002339"</f>
        <v>002339</v>
      </c>
      <c r="C1989" t="s">
        <v>3571</v>
      </c>
      <c r="D1989" t="str">
        <f>[1]!EM_S_INFO_INDEX_EM(B1989,"1")</f>
        <v>电气设备</v>
      </c>
      <c r="E1989" s="4">
        <f t="shared" si="31"/>
        <v>43465</v>
      </c>
      <c r="F1989" s="11">
        <f>[1]!EM_S_PQ_PCTCHANGE(B1989,"2018-01-01","2019-12-31","3")</f>
        <v>-6.33873789</v>
      </c>
      <c r="G1989" s="11">
        <f>[1]!EM_S_PQ_PCTCHANGE(B1989,"2018-12-31","2019-12-30","1")</f>
        <v>5.3921568600000001</v>
      </c>
      <c r="H1989" s="11">
        <f>[1]!EM_S_FA_YOY_OR(B1989,E1989)</f>
        <v>21.215349772700002</v>
      </c>
      <c r="I1989" s="11">
        <f>[1]!EM_S_FA_GROSSPROFITMARGIN(B1989,E1989)</f>
        <v>31.590294036500001</v>
      </c>
      <c r="J1989" s="11">
        <f>[1]!EM_S_FA_NETPROFITMARGIN(B1989,E1989)</f>
        <v>4.6380057022000001</v>
      </c>
      <c r="K1989" s="10">
        <f>[1]!EM_S_FA_ASSETSTURN(B1989,E1989)</f>
        <v>0.53362282443499998</v>
      </c>
      <c r="L1989" s="12">
        <f>[1]!EM_HKS_VAL_MV(B1989,"2019-12-31","2")</f>
        <v>3296022912</v>
      </c>
      <c r="M1989">
        <f>[1]!EM_S_VAL_PETTMDEDUCTED(B1989,E1989)</f>
        <v>35.832465441759098</v>
      </c>
      <c r="N1989" s="7">
        <f>[1]!EM_S_VAL_PBGOODWILLDEDUCTED(B1989,E1989)</f>
        <v>1.3434805197747599</v>
      </c>
      <c r="O1989" s="7">
        <f>[1]!EM_S_VAL_PS_TTM(B1989,E1989)</f>
        <v>1.2492332989116099</v>
      </c>
      <c r="P1989" s="7">
        <f>[1]!EM_S_VAL_PCF_NCFTTM(B1989,E1989)</f>
        <v>461.24755552645098</v>
      </c>
      <c r="Q1989" s="7">
        <f>[1]!EM_S_VAL_DIVIDENDYIELD2(B1989,E1989,"2019-11-29")</f>
        <v>0.76035990368774553</v>
      </c>
      <c r="T1989"/>
      <c r="U1989">
        <f>[1]!EM_S_RATIO_EPS_TTM(B1989,E1989,"1")</f>
        <v>0.18643542771580104</v>
      </c>
      <c r="AT1989" s="4" t="str">
        <f>[1]!EM_S_IPO_LISTEDDATE(B1989)</f>
        <v>2010-01-22</v>
      </c>
    </row>
    <row r="1990" spans="1:46">
      <c r="A1990">
        <v>2907</v>
      </c>
      <c r="B1990" t="str">
        <f>"600834"</f>
        <v>600834</v>
      </c>
      <c r="C1990" t="s">
        <v>1838</v>
      </c>
      <c r="D1990" t="str">
        <f>[1]!EM_S_INFO_INDEX_EM(B1990,"1")</f>
        <v>交通运输</v>
      </c>
      <c r="E1990" s="4">
        <f t="shared" si="31"/>
        <v>43465</v>
      </c>
      <c r="F1990" s="11">
        <f>[1]!EM_S_PQ_PCTCHANGE(B1990,"2018-01-01","2019-12-31","3")</f>
        <v>-23.214187129999999</v>
      </c>
      <c r="G1990" s="11">
        <f>[1]!EM_S_PQ_PCTCHANGE(B1990,"2018-12-31","2019-12-30","1")</f>
        <v>5.3811659199999999</v>
      </c>
      <c r="H1990" s="11">
        <f>[1]!EM_S_FA_YOY_OR(B1990,E1990)</f>
        <v>-2.7681569499999999E-2</v>
      </c>
      <c r="I1990" s="11">
        <f>[1]!EM_S_FA_GROSSPROFITMARGIN(B1990,E1990)</f>
        <v>5.9481038907999997</v>
      </c>
      <c r="J1990" s="11">
        <f>[1]!EM_S_FA_NETPROFITMARGIN(B1990,E1990)</f>
        <v>4.0751612967000002</v>
      </c>
      <c r="K1990" s="10">
        <f>[1]!EM_S_FA_ASSETSTURN(B1990,E1990)</f>
        <v>0.28320625682</v>
      </c>
      <c r="L1990" s="12">
        <f>[1]!EM_HKS_VAL_MV(B1990,"2019-12-31","2")</f>
        <v>3446697354.0999999</v>
      </c>
      <c r="M1990">
        <f>[1]!EM_S_VAL_PETTMDEDUCTED(B1990,E1990)</f>
        <v>336.83058735025401</v>
      </c>
      <c r="N1990" s="7">
        <f>[1]!EM_S_VAL_PBGOODWILLDEDUCTED(B1990,E1990)</f>
        <v>2.1618138222274701</v>
      </c>
      <c r="O1990" s="7">
        <f>[1]!EM_S_VAL_PS_TTM(B1990,E1990)</f>
        <v>4.2723098635514898</v>
      </c>
      <c r="P1990" s="7">
        <f>[1]!EM_S_VAL_PCF_NCFTTM(B1990,E1990)</f>
        <v>-162.682158264739</v>
      </c>
      <c r="Q1990" s="7">
        <f>[1]!EM_S_VAL_DIVIDENDYIELD2(B1990,E1990,"2019-11-29")</f>
        <v>0.29940119760479039</v>
      </c>
      <c r="T1990"/>
      <c r="U1990">
        <f>[1]!EM_S_RATIO_EPS_TTM(B1990,E1990,"1")</f>
        <v>6.418938424153299E-2</v>
      </c>
      <c r="AT1990" s="4" t="str">
        <f>[1]!EM_S_IPO_LISTEDDATE(B1990)</f>
        <v>1994-02-24</v>
      </c>
    </row>
    <row r="1991" spans="1:46">
      <c r="A1991">
        <v>1653</v>
      </c>
      <c r="B1991" t="str">
        <f>"300228"</f>
        <v>300228</v>
      </c>
      <c r="C1991" t="s">
        <v>3208</v>
      </c>
      <c r="D1991" t="str">
        <f>[1]!EM_S_INFO_INDEX_EM(B1991,"1")</f>
        <v>机械设备</v>
      </c>
      <c r="E1991" s="4">
        <f t="shared" si="31"/>
        <v>43465</v>
      </c>
      <c r="F1991" s="11">
        <f>[1]!EM_S_PQ_PCTCHANGE(B1991,"2018-01-01","2019-12-31","3")</f>
        <v>-51.704218060000002</v>
      </c>
      <c r="G1991" s="11">
        <f>[1]!EM_S_PQ_PCTCHANGE(B1991,"2018-12-31","2019-12-30","1")</f>
        <v>5.3719008300000004</v>
      </c>
      <c r="H1991" s="11">
        <f>[1]!EM_S_FA_YOY_OR(B1991,E1991)</f>
        <v>-17.1948682234</v>
      </c>
      <c r="I1991" s="11">
        <f>[1]!EM_S_FA_GROSSPROFITMARGIN(B1991,E1991)</f>
        <v>31.1009802148</v>
      </c>
      <c r="J1991" s="11">
        <f>[1]!EM_S_FA_NETPROFITMARGIN(B1991,E1991)</f>
        <v>0.99203870859999999</v>
      </c>
      <c r="K1991" s="10">
        <f>[1]!EM_S_FA_ASSETSTURN(B1991,E1991)</f>
        <v>0.35587369135300001</v>
      </c>
      <c r="L1991" s="12">
        <f>[1]!EM_HKS_VAL_MV(B1991,"2019-12-31","2")</f>
        <v>2401527541.3600001</v>
      </c>
      <c r="M1991">
        <f>[1]!EM_S_VAL_PETTMDEDUCTED(B1991,E1991)</f>
        <v>-41.687643670971298</v>
      </c>
      <c r="N1991" s="7">
        <f>[1]!EM_S_VAL_PBGOODWILLDEDUCTED(B1991,E1991)</f>
        <v>1.3257869174216701</v>
      </c>
      <c r="O1991" s="7">
        <f>[1]!EM_S_VAL_PS_TTM(B1991,E1991)</f>
        <v>1.56468088400655</v>
      </c>
      <c r="P1991" s="7">
        <f>[1]!EM_S_VAL_PCF_NCFTTM(B1991,E1991)</f>
        <v>67.561739964199703</v>
      </c>
      <c r="Q1991" s="7">
        <f>[1]!EM_S_VAL_DIVIDENDYIELD2(B1991,E1991,"2019-11-29")</f>
        <v>0.10266940451745381</v>
      </c>
      <c r="T1991"/>
      <c r="U1991">
        <f>[1]!EM_S_RATIO_EPS_TTM(B1991,E1991,"1")</f>
        <v>2.7029777109799435E-2</v>
      </c>
      <c r="AT1991" s="4" t="str">
        <f>[1]!EM_S_IPO_LISTEDDATE(B1991)</f>
        <v>2011-06-08</v>
      </c>
    </row>
    <row r="1992" spans="1:46">
      <c r="A1992">
        <v>948</v>
      </c>
      <c r="B1992" t="str">
        <f>"002437"</f>
        <v>002437</v>
      </c>
      <c r="C1992" t="s">
        <v>1158</v>
      </c>
      <c r="D1992" t="str">
        <f>[1]!EM_S_INFO_INDEX_EM(B1992,"1")</f>
        <v>医药生物</v>
      </c>
      <c r="E1992" s="4">
        <f t="shared" si="31"/>
        <v>43465</v>
      </c>
      <c r="F1992" s="11">
        <f>[1]!EM_S_PQ_PCTCHANGE(B1992,"2018-01-01","2019-12-31","3")</f>
        <v>-55.844216719999999</v>
      </c>
      <c r="G1992" s="11">
        <f>[1]!EM_S_PQ_PCTCHANGE(B1992,"2018-12-31","2019-12-30","1")</f>
        <v>5.3571428599999997</v>
      </c>
      <c r="H1992" s="11">
        <f>[1]!EM_S_FA_YOY_OR(B1992,E1992)</f>
        <v>80.195589729299996</v>
      </c>
      <c r="I1992" s="11">
        <f>[1]!EM_S_FA_GROSSPROFITMARGIN(B1992,E1992)</f>
        <v>74.547546716499994</v>
      </c>
      <c r="J1992" s="11">
        <f>[1]!EM_S_FA_NETPROFITMARGIN(B1992,E1992)</f>
        <v>2.3492874772999999</v>
      </c>
      <c r="K1992" s="10">
        <f>[1]!EM_S_FA_ASSETSTURN(B1992,E1992)</f>
        <v>0.59125677137699995</v>
      </c>
      <c r="L1992" s="12">
        <f>[1]!EM_HKS_VAL_MV(B1992,"2019-12-31","2")</f>
        <v>6660312538.5</v>
      </c>
      <c r="M1992">
        <f>[1]!EM_S_VAL_PETTMDEDUCTED(B1992,E1992)</f>
        <v>23.273516492344601</v>
      </c>
      <c r="N1992" s="7">
        <f>[1]!EM_S_VAL_PBGOODWILLDEDUCTED(B1992,E1992)</f>
        <v>6.3860629028425002</v>
      </c>
      <c r="O1992" s="7">
        <f>[1]!EM_S_VAL_PS_TTM(B1992,E1992)</f>
        <v>1.22736608680897</v>
      </c>
      <c r="P1992" s="7">
        <f>[1]!EM_S_VAL_PCF_NCFTTM(B1992,E1992)</f>
        <v>-13.213385839140701</v>
      </c>
      <c r="Q1992" s="7">
        <f>[1]!EM_S_VAL_DIVIDENDYIELD2(B1992,E1992,"2019-11-29")</f>
        <v>0.38461538461538464</v>
      </c>
      <c r="T1992"/>
      <c r="U1992">
        <f>[1]!EM_S_RATIO_EPS_TTM(B1992,E1992,"1")</f>
        <v>5.7273245020256942E-2</v>
      </c>
      <c r="AT1992" s="4" t="str">
        <f>[1]!EM_S_IPO_LISTEDDATE(B1992)</f>
        <v>2010-06-23</v>
      </c>
    </row>
    <row r="1993" spans="1:46">
      <c r="A1993">
        <v>120</v>
      </c>
      <c r="B1993" t="str">
        <f>"000510"</f>
        <v>000510</v>
      </c>
      <c r="C1993" t="s">
        <v>1009</v>
      </c>
      <c r="D1993" t="str">
        <f>[1]!EM_S_INFO_INDEX_EM(B1993,"1")</f>
        <v>基础化工</v>
      </c>
      <c r="E1993" s="4">
        <f t="shared" si="31"/>
        <v>43465</v>
      </c>
      <c r="F1993" s="11">
        <f>[1]!EM_S_PQ_PCTCHANGE(B1993,"2018-01-01","2019-12-31","3")</f>
        <v>-52.617748059999997</v>
      </c>
      <c r="G1993" s="11">
        <f>[1]!EM_S_PQ_PCTCHANGE(B1993,"2018-12-31","2019-12-30","1")</f>
        <v>5.3435114500000003</v>
      </c>
      <c r="H1993" s="11">
        <f>[1]!EM_S_FA_YOY_OR(B1993,E1993)</f>
        <v>19.746131803699999</v>
      </c>
      <c r="I1993" s="11">
        <f>[1]!EM_S_FA_GROSSPROFITMARGIN(B1993,E1993)</f>
        <v>16.892070648200001</v>
      </c>
      <c r="J1993" s="11">
        <f>[1]!EM_S_FA_NETPROFITMARGIN(B1993,E1993)</f>
        <v>4.9708322912999998</v>
      </c>
      <c r="K1993" s="10">
        <f>[1]!EM_S_FA_ASSETSTURN(B1993,E1993)</f>
        <v>1.3864123366400001</v>
      </c>
      <c r="L1993" s="12">
        <f>[1]!EM_HKS_VAL_MV(B1993,"2019-12-31","2")</f>
        <v>2534198176.6399999</v>
      </c>
      <c r="M1993">
        <f>[1]!EM_S_VAL_PETTMDEDUCTED(B1993,E1993)</f>
        <v>21.639911063481001</v>
      </c>
      <c r="N1993" s="7">
        <f>[1]!EM_S_VAL_PBGOODWILLDEDUCTED(B1993,E1993)</f>
        <v>2.5703003860766702</v>
      </c>
      <c r="O1993" s="7">
        <f>[1]!EM_S_VAL_PS_TTM(B1993,E1993)</f>
        <v>1.1389425054476401</v>
      </c>
      <c r="P1993" s="7">
        <f>[1]!EM_S_VAL_PCF_NCFTTM(B1993,E1993)</f>
        <v>194.68368286959901</v>
      </c>
      <c r="Q1993" s="7">
        <f>[1]!EM_S_VAL_DIVIDENDYIELD2(B1993,E1993,"2019-11-29")</f>
        <v>0</v>
      </c>
      <c r="T1993"/>
      <c r="U1993">
        <f>[1]!EM_S_RATIO_EPS_TTM(B1993,E1993,"1")</f>
        <v>0.1643217981198776</v>
      </c>
      <c r="AT1993" s="4" t="str">
        <f>[1]!EM_S_IPO_LISTEDDATE(B1993)</f>
        <v>1993-05-07</v>
      </c>
    </row>
    <row r="1994" spans="1:46">
      <c r="A1994">
        <v>542</v>
      </c>
      <c r="B1994" t="str">
        <f>"002031"</f>
        <v>002031</v>
      </c>
      <c r="C1994" t="s">
        <v>2868</v>
      </c>
      <c r="D1994" t="str">
        <f>[1]!EM_S_INFO_INDEX_EM(B1994,"1")</f>
        <v>机械设备</v>
      </c>
      <c r="E1994" s="4">
        <f t="shared" si="31"/>
        <v>43465</v>
      </c>
      <c r="F1994" s="11">
        <f>[1]!EM_S_PQ_PCTCHANGE(B1994,"2018-01-01","2019-12-31","3")</f>
        <v>-26.394052039999998</v>
      </c>
      <c r="G1994" s="11">
        <f>[1]!EM_S_PQ_PCTCHANGE(B1994,"2018-12-31","2019-12-30","1")</f>
        <v>5.3191489399999998</v>
      </c>
      <c r="H1994" s="11">
        <f>[1]!EM_S_FA_YOY_OR(B1994,E1994)</f>
        <v>21.408476890599999</v>
      </c>
      <c r="I1994" s="11">
        <f>[1]!EM_S_FA_GROSSPROFITMARGIN(B1994,E1994)</f>
        <v>34.298532529200003</v>
      </c>
      <c r="J1994" s="11">
        <f>[1]!EM_S_FA_NETPROFITMARGIN(B1994,E1994)</f>
        <v>10.048487247600001</v>
      </c>
      <c r="K1994" s="10">
        <f>[1]!EM_S_FA_ASSETSTURN(B1994,E1994)</f>
        <v>0.19859593363399999</v>
      </c>
      <c r="L1994" s="12">
        <f>[1]!EM_HKS_VAL_MV(B1994,"2019-12-31","2")</f>
        <v>4354803426.6000004</v>
      </c>
      <c r="M1994">
        <f>[1]!EM_S_VAL_PETTMDEDUCTED(B1994,E1994)</f>
        <v>189.84467123459601</v>
      </c>
      <c r="N1994" s="7">
        <f>[1]!EM_S_VAL_PBGOODWILLDEDUCTED(B1994,E1994)</f>
        <v>1.58246088166147</v>
      </c>
      <c r="O1994" s="7">
        <f>[1]!EM_S_VAL_PS_TTM(B1994,E1994)</f>
        <v>3.1348989772392599</v>
      </c>
      <c r="P1994" s="7">
        <f>[1]!EM_S_VAL_PCF_NCFTTM(B1994,E1994)</f>
        <v>21.816827077402699</v>
      </c>
      <c r="Q1994" s="7">
        <f>[1]!EM_S_VAL_DIVIDENDYIELD2(B1994,E1994,"2019-11-29")</f>
        <v>5.2631578947368418E-2</v>
      </c>
      <c r="T1994"/>
      <c r="U1994">
        <f>[1]!EM_S_RATIO_EPS_TTM(B1994,E1994,"1")</f>
        <v>2.4789077119534386E-2</v>
      </c>
      <c r="AT1994" s="4" t="str">
        <f>[1]!EM_S_IPO_LISTEDDATE(B1994)</f>
        <v>2004-08-16</v>
      </c>
    </row>
    <row r="1995" spans="1:46">
      <c r="A1995">
        <v>2428</v>
      </c>
      <c r="B1995" t="str">
        <f>"600300"</f>
        <v>600300</v>
      </c>
      <c r="C1995" t="s">
        <v>1530</v>
      </c>
      <c r="D1995" t="str">
        <f>[1]!EM_S_INFO_INDEX_EM(B1995,"1")</f>
        <v>食品饮料</v>
      </c>
      <c r="E1995" s="4">
        <f t="shared" si="31"/>
        <v>43465</v>
      </c>
      <c r="F1995" s="11">
        <f>[1]!EM_S_PQ_PCTCHANGE(B1995,"2018-01-01","2019-12-31","3")</f>
        <v>-31.84932023</v>
      </c>
      <c r="G1995" s="11">
        <f>[1]!EM_S_PQ_PCTCHANGE(B1995,"2018-12-31","2019-12-30","1")</f>
        <v>5.3191489399999998</v>
      </c>
      <c r="H1995" s="11">
        <f>[1]!EM_S_FA_YOY_OR(B1995,E1995)</f>
        <v>8.3152904168999999</v>
      </c>
      <c r="I1995" s="11">
        <f>[1]!EM_S_FA_GROSSPROFITMARGIN(B1995,E1995)</f>
        <v>23.0551862879</v>
      </c>
      <c r="J1995" s="11">
        <f>[1]!EM_S_FA_NETPROFITMARGIN(B1995,E1995)</f>
        <v>0.78929616940000003</v>
      </c>
      <c r="K1995" s="10">
        <f>[1]!EM_S_FA_ASSETSTURN(B1995,E1995)</f>
        <v>0.60745837001900005</v>
      </c>
      <c r="L1995" s="12">
        <f>[1]!EM_HKS_VAL_MV(B1995,"2019-12-31","2")</f>
        <v>4932400000</v>
      </c>
      <c r="M1995">
        <f>[1]!EM_S_VAL_PETTMDEDUCTED(B1995,E1995)</f>
        <v>-49.500525400890901</v>
      </c>
      <c r="N1995" s="7">
        <f>[1]!EM_S_VAL_PBGOODWILLDEDUCTED(B1995,E1995)</f>
        <v>1.7968684824487</v>
      </c>
      <c r="O1995" s="7">
        <f>[1]!EM_S_VAL_PS_TTM(B1995,E1995)</f>
        <v>0.95088997584942703</v>
      </c>
      <c r="P1995" s="7">
        <f>[1]!EM_S_VAL_PCF_NCFTTM(B1995,E1995)</f>
        <v>18.001888970711299</v>
      </c>
      <c r="Q1995" s="7">
        <f>[1]!EM_S_VAL_DIVIDENDYIELD2(B1995,E1995,"2019-11-29")</f>
        <v>0</v>
      </c>
      <c r="T1995"/>
      <c r="U1995">
        <f>[1]!EM_S_RATIO_EPS_TTM(B1995,E1995,"1")</f>
        <v>3.8706724407894737E-2</v>
      </c>
      <c r="AT1995" s="4" t="str">
        <f>[1]!EM_S_IPO_LISTEDDATE(B1995)</f>
        <v>2000-06-30</v>
      </c>
    </row>
    <row r="1996" spans="1:46">
      <c r="A1996">
        <v>804</v>
      </c>
      <c r="B1996" t="str">
        <f>"002293"</f>
        <v>002293</v>
      </c>
      <c r="C1996" t="s">
        <v>350</v>
      </c>
      <c r="D1996" t="str">
        <f>[1]!EM_S_INFO_INDEX_EM(B1996,"1")</f>
        <v>纺织服装</v>
      </c>
      <c r="E1996" s="4">
        <f t="shared" si="31"/>
        <v>43465</v>
      </c>
      <c r="F1996" s="11">
        <f>[1]!EM_S_PQ_PCTCHANGE(B1996,"2018-01-01","2019-12-31","3")</f>
        <v>-28.4088773</v>
      </c>
      <c r="G1996" s="11">
        <f>[1]!EM_S_PQ_PCTCHANGE(B1996,"2018-12-31","2019-12-30","1")</f>
        <v>5.3179190800000002</v>
      </c>
      <c r="H1996" s="11">
        <f>[1]!EM_S_FA_YOY_OR(B1996,E1996)</f>
        <v>3.2381496708999999</v>
      </c>
      <c r="I1996" s="11">
        <f>[1]!EM_S_FA_GROSSPROFITMARGIN(B1996,E1996)</f>
        <v>45.501199792199998</v>
      </c>
      <c r="J1996" s="11">
        <f>[1]!EM_S_FA_NETPROFITMARGIN(B1996,E1996)</f>
        <v>11.3210103341</v>
      </c>
      <c r="K1996" s="10">
        <f>[1]!EM_S_FA_ASSETSTURN(B1996,E1996)</f>
        <v>1.003142476446</v>
      </c>
      <c r="L1996" s="12">
        <f>[1]!EM_HKS_VAL_MV(B1996,"2019-12-31","2")</f>
        <v>7546967857.8800001</v>
      </c>
      <c r="M1996">
        <f>[1]!EM_S_VAL_PETTMDEDUCTED(B1996,E1996)</f>
        <v>17.7166855720047</v>
      </c>
      <c r="N1996" s="7">
        <f>[1]!EM_S_VAL_PBGOODWILLDEDUCTED(B1996,E1996)</f>
        <v>1.8451815363258</v>
      </c>
      <c r="O1996" s="7">
        <f>[1]!EM_S_VAL_PS_TTM(B1996,E1996)</f>
        <v>1.3234275610939601</v>
      </c>
      <c r="P1996" s="7">
        <f>[1]!EM_S_VAL_PCF_NCFTTM(B1996,E1996)</f>
        <v>18.2478661519098</v>
      </c>
      <c r="Q1996" s="7">
        <f>[1]!EM_S_VAL_DIVIDENDYIELD2(B1996,E1996,"2019-11-29")</f>
        <v>4.2118511949596105</v>
      </c>
      <c r="T1996"/>
      <c r="U1996">
        <f>[1]!EM_S_RATIO_EPS_TTM(B1996,E1996,"1")</f>
        <v>0.70853361555278171</v>
      </c>
      <c r="AT1996" s="4" t="str">
        <f>[1]!EM_S_IPO_LISTEDDATE(B1996)</f>
        <v>2009-09-10</v>
      </c>
    </row>
    <row r="1997" spans="1:46">
      <c r="A1997">
        <v>737</v>
      </c>
      <c r="B1997" t="str">
        <f>"002226"</f>
        <v>002226</v>
      </c>
      <c r="C1997" t="s">
        <v>2959</v>
      </c>
      <c r="D1997" t="str">
        <f>[1]!EM_S_INFO_INDEX_EM(B1997,"1")</f>
        <v>基础化工</v>
      </c>
      <c r="E1997" s="4">
        <f t="shared" si="31"/>
        <v>43465</v>
      </c>
      <c r="F1997" s="11">
        <f>[1]!EM_S_PQ_PCTCHANGE(B1997,"2018-01-01","2019-12-31","3")</f>
        <v>-11.905958160000001</v>
      </c>
      <c r="G1997" s="11">
        <f>[1]!EM_S_PQ_PCTCHANGE(B1997,"2018-12-31","2019-12-30","1")</f>
        <v>5.3045186600000003</v>
      </c>
      <c r="H1997" s="11">
        <f>[1]!EM_S_FA_YOY_OR(B1997,E1997)</f>
        <v>27.151169103600001</v>
      </c>
      <c r="I1997" s="11">
        <f>[1]!EM_S_FA_GROSSPROFITMARGIN(B1997,E1997)</f>
        <v>41.579670166500001</v>
      </c>
      <c r="J1997" s="11">
        <f>[1]!EM_S_FA_NETPROFITMARGIN(B1997,E1997)</f>
        <v>9.5027230695</v>
      </c>
      <c r="K1997" s="10">
        <f>[1]!EM_S_FA_ASSETSTURN(B1997,E1997)</f>
        <v>0.33611402711600002</v>
      </c>
      <c r="L1997" s="12">
        <f>[1]!EM_HKS_VAL_MV(B1997,"2019-12-31","2")</f>
        <v>6844419661.1999998</v>
      </c>
      <c r="M1997">
        <f>[1]!EM_S_VAL_PETTMDEDUCTED(B1997,E1997)</f>
        <v>65.406475725541497</v>
      </c>
      <c r="N1997" s="7">
        <f>[1]!EM_S_VAL_PBGOODWILLDEDUCTED(B1997,E1997)</f>
        <v>1.35765164476783</v>
      </c>
      <c r="O1997" s="7">
        <f>[1]!EM_S_VAL_PS_TTM(B1997,E1997)</f>
        <v>2.9585946847150302</v>
      </c>
      <c r="P1997" s="7">
        <f>[1]!EM_S_VAL_PCF_NCFTTM(B1997,E1997)</f>
        <v>-13.361067217800599</v>
      </c>
      <c r="Q1997" s="7">
        <f>[1]!EM_S_VAL_DIVIDENDYIELD2(B1997,E1997,"2019-11-29")</f>
        <v>0</v>
      </c>
      <c r="T1997"/>
      <c r="U1997">
        <f>[1]!EM_S_RATIO_EPS_TTM(B1997,E1997,"1")</f>
        <v>0.17568868403507179</v>
      </c>
      <c r="AT1997" s="4" t="str">
        <f>[1]!EM_S_IPO_LISTEDDATE(B1997)</f>
        <v>2008-05-06</v>
      </c>
    </row>
    <row r="1998" spans="1:46">
      <c r="A1998">
        <v>2828</v>
      </c>
      <c r="B1998" t="str">
        <f>"600755"</f>
        <v>600755</v>
      </c>
      <c r="C1998" t="s">
        <v>802</v>
      </c>
      <c r="D1998" t="str">
        <f>[1]!EM_S_INFO_INDEX_EM(B1998,"1")</f>
        <v>商贸零售</v>
      </c>
      <c r="E1998" s="4">
        <f t="shared" si="31"/>
        <v>43465</v>
      </c>
      <c r="F1998" s="11">
        <f>[1]!EM_S_PQ_PCTCHANGE(B1998,"2018-01-01","2019-12-31","3")</f>
        <v>-22.798515909999999</v>
      </c>
      <c r="G1998" s="11">
        <f>[1]!EM_S_PQ_PCTCHANGE(B1998,"2018-12-31","2019-12-30","1")</f>
        <v>5.3008595999999999</v>
      </c>
      <c r="H1998" s="11">
        <f>[1]!EM_S_FA_YOY_OR(B1998,E1998)</f>
        <v>24.845018654</v>
      </c>
      <c r="I1998" s="11">
        <f>[1]!EM_S_FA_GROSSPROFITMARGIN(B1998,E1998)</f>
        <v>3.4253565706</v>
      </c>
      <c r="J1998" s="11">
        <f>[1]!EM_S_FA_NETPROFITMARGIN(B1998,E1998)</f>
        <v>1.1940970825999999</v>
      </c>
      <c r="K1998" s="10">
        <f>[1]!EM_S_FA_ASSETSTURN(B1998,E1998)</f>
        <v>2.8040710545700001</v>
      </c>
      <c r="L1998" s="12">
        <f>[1]!EM_HKS_VAL_MV(B1998,"2019-12-31","2")</f>
        <v>13579517697.540001</v>
      </c>
      <c r="M1998">
        <f>[1]!EM_S_VAL_PETTMDEDUCTED(B1998,E1998)</f>
        <v>8.5871406248443005</v>
      </c>
      <c r="N1998" s="7">
        <f>[1]!EM_S_VAL_PBGOODWILLDEDUCTED(B1998,E1998)</f>
        <v>1.0383960830777199</v>
      </c>
      <c r="O1998" s="7">
        <f>[1]!EM_S_VAL_PS_TTM(B1998,E1998)</f>
        <v>6.3194359989215604E-2</v>
      </c>
      <c r="P1998" s="7">
        <f>[1]!EM_S_VAL_PCF_NCFTTM(B1998,E1998)</f>
        <v>26.393684347333799</v>
      </c>
      <c r="Q1998" s="7">
        <f>[1]!EM_S_VAL_DIVIDENDYIELD2(B1998,E1998,"2019-11-29")</f>
        <v>3.7975600729405681</v>
      </c>
      <c r="T1998"/>
      <c r="U1998">
        <f>[1]!EM_S_RATIO_EPS_TTM(B1998,E1998,"1")</f>
        <v>1.2068598725908375</v>
      </c>
      <c r="AT1998" s="4" t="str">
        <f>[1]!EM_S_IPO_LISTEDDATE(B1998)</f>
        <v>1996-10-03</v>
      </c>
    </row>
    <row r="1999" spans="1:46">
      <c r="A1999">
        <v>2435</v>
      </c>
      <c r="B1999" t="str">
        <f>"600308"</f>
        <v>600308</v>
      </c>
      <c r="C1999" t="s">
        <v>1161</v>
      </c>
      <c r="D1999" t="str">
        <f>[1]!EM_S_INFO_INDEX_EM(B1999,"1")</f>
        <v>轻工制造</v>
      </c>
      <c r="E1999" s="4">
        <f t="shared" si="31"/>
        <v>43465</v>
      </c>
      <c r="F1999" s="11">
        <f>[1]!EM_S_PQ_PCTCHANGE(B1999,"2018-01-01","2019-12-31","3")</f>
        <v>-21.418231129999999</v>
      </c>
      <c r="G1999" s="11">
        <f>[1]!EM_S_PQ_PCTCHANGE(B1999,"2018-12-31","2019-12-30","1")</f>
        <v>5.2873563199999998</v>
      </c>
      <c r="H1999" s="11">
        <f>[1]!EM_S_FA_YOY_OR(B1999,E1999)</f>
        <v>8.0857846857000002</v>
      </c>
      <c r="I1999" s="11">
        <f>[1]!EM_S_FA_GROSSPROFITMARGIN(B1999,E1999)</f>
        <v>14.741477375000001</v>
      </c>
      <c r="J1999" s="11">
        <f>[1]!EM_S_FA_NETPROFITMARGIN(B1999,E1999)</f>
        <v>4.8798757542000004</v>
      </c>
      <c r="K1999" s="10">
        <f>[1]!EM_S_FA_ASSETSTURN(B1999,E1999)</f>
        <v>1.0417031243749999</v>
      </c>
      <c r="L1999" s="12">
        <f>[1]!EM_HKS_VAL_MV(B1999,"2019-12-31","2")</f>
        <v>5359106913.21</v>
      </c>
      <c r="M1999">
        <f>[1]!EM_S_VAL_PETTMDEDUCTED(B1999,E1999)</f>
        <v>6.2943241180247798</v>
      </c>
      <c r="N1999" s="7">
        <f>[1]!EM_S_VAL_PBGOODWILLDEDUCTED(B1999,E1999)</f>
        <v>0.66150325610193805</v>
      </c>
      <c r="O1999" s="7">
        <f>[1]!EM_S_VAL_PS_TTM(B1999,E1999)</f>
        <v>0.34105195940548</v>
      </c>
      <c r="P1999" s="7">
        <f>[1]!EM_S_VAL_PCF_NCFTTM(B1999,E1999)</f>
        <v>-9.5311632847346797</v>
      </c>
      <c r="Q1999" s="7">
        <f>[1]!EM_S_VAL_DIVIDENDYIELD2(B1999,E1999,"2019-11-29")</f>
        <v>4.4152744630071599</v>
      </c>
      <c r="T1999"/>
      <c r="U1999">
        <f>[1]!EM_S_RATIO_EPS_TTM(B1999,E1999,"1")</f>
        <v>0.61586971825933545</v>
      </c>
      <c r="AT1999" s="4" t="str">
        <f>[1]!EM_S_IPO_LISTEDDATE(B1999)</f>
        <v>2000-09-28</v>
      </c>
    </row>
    <row r="2000" spans="1:46">
      <c r="A2000">
        <v>95</v>
      </c>
      <c r="B2000" t="str">
        <f>"000415"</f>
        <v>000415</v>
      </c>
      <c r="C2000" t="s">
        <v>1583</v>
      </c>
      <c r="D2000" t="str">
        <f>[1]!EM_S_INFO_INDEX_EM(B2000,"1")</f>
        <v>交通运输</v>
      </c>
      <c r="E2000" s="4">
        <f t="shared" si="31"/>
        <v>43465</v>
      </c>
      <c r="F2000" s="11">
        <f>[1]!EM_S_PQ_PCTCHANGE(B2000,"2018-01-01","2019-12-31","3")</f>
        <v>-33.190920570000003</v>
      </c>
      <c r="G2000" s="11">
        <f>[1]!EM_S_PQ_PCTCHANGE(B2000,"2018-12-31","2019-12-30","1")</f>
        <v>5.2777777800000001</v>
      </c>
      <c r="H2000" s="11">
        <f>[1]!EM_S_FA_YOY_OR(B2000,E2000)</f>
        <v>14.905882118199999</v>
      </c>
      <c r="I2000" s="11">
        <f>[1]!EM_S_FA_GROSSPROFITMARGIN(B2000,E2000)</f>
        <v>36.599651306299997</v>
      </c>
      <c r="J2000" s="11">
        <f>[1]!EM_S_FA_NETPROFITMARGIN(B2000,E2000)</f>
        <v>6.4524846924999997</v>
      </c>
      <c r="K2000" s="10">
        <f>[1]!EM_S_FA_ASSETSTURN(B2000,E2000)</f>
        <v>0.140872628449</v>
      </c>
      <c r="L2000" s="12">
        <f>[1]!EM_HKS_VAL_MV(B2000,"2019-12-31","2")</f>
        <v>23501180871.599998</v>
      </c>
      <c r="M2000">
        <f>[1]!EM_S_VAL_PETTMDEDUCTED(B2000,E2000)</f>
        <v>9.6355912676591498</v>
      </c>
      <c r="N2000" s="7">
        <f>[1]!EM_S_VAL_PBGOODWILLDEDUCTED(B2000,E2000)</f>
        <v>0.82532823998752403</v>
      </c>
      <c r="O2000" s="7">
        <f>[1]!EM_S_VAL_PS_TTM(B2000,E2000)</f>
        <v>0.59932823029164894</v>
      </c>
      <c r="P2000" s="7">
        <f>[1]!EM_S_VAL_PCF_NCFTTM(B2000,E2000)</f>
        <v>-3.6338816103131499</v>
      </c>
      <c r="Q2000" s="7">
        <f>[1]!EM_S_VAL_DIVIDENDYIELD2(B2000,E2000,"2019-11-29")</f>
        <v>0</v>
      </c>
      <c r="T2000"/>
      <c r="U2000">
        <f>[1]!EM_S_RATIO_EPS_TTM(B2000,E2000,"1")</f>
        <v>0.3685530206895648</v>
      </c>
      <c r="AT2000" s="4" t="str">
        <f>[1]!EM_S_IPO_LISTEDDATE(B2000)</f>
        <v>1996-07-16</v>
      </c>
    </row>
    <row r="2001" spans="1:46">
      <c r="A2001">
        <v>3591</v>
      </c>
      <c r="B2001" t="str">
        <f>"603898"</f>
        <v>603898</v>
      </c>
      <c r="C2001" t="s">
        <v>1592</v>
      </c>
      <c r="D2001" t="str">
        <f>[1]!EM_S_INFO_INDEX_EM(B2001,"1")</f>
        <v>轻工制造</v>
      </c>
      <c r="E2001" s="4">
        <f t="shared" si="31"/>
        <v>43465</v>
      </c>
      <c r="F2001" s="11">
        <f>[1]!EM_S_PQ_PCTCHANGE(B2001,"2018-01-01","2019-12-31","3")</f>
        <v>-43.347112180000003</v>
      </c>
      <c r="G2001" s="11">
        <f>[1]!EM_S_PQ_PCTCHANGE(B2001,"2018-12-31","2019-12-30","1")</f>
        <v>5.2185257700000003</v>
      </c>
      <c r="H2001" s="11">
        <f>[1]!EM_S_FA_YOY_OR(B2001,E2001)</f>
        <v>14.4607417846</v>
      </c>
      <c r="I2001" s="11">
        <f>[1]!EM_S_FA_GROSSPROFITMARGIN(B2001,E2001)</f>
        <v>39.561523312299997</v>
      </c>
      <c r="J2001" s="11">
        <f>[1]!EM_S_FA_NETPROFITMARGIN(B2001,E2001)</f>
        <v>17.922727155299999</v>
      </c>
      <c r="K2001" s="10">
        <f>[1]!EM_S_FA_ASSETSTURN(B2001,E2001)</f>
        <v>0.79108011147799995</v>
      </c>
      <c r="L2001" s="12">
        <f>[1]!EM_HKS_VAL_MV(B2001,"2019-12-31","2")</f>
        <v>5058875209.2399998</v>
      </c>
      <c r="M2001">
        <f>[1]!EM_S_VAL_PETTMDEDUCTED(B2001,E2001)</f>
        <v>13.876096431278</v>
      </c>
      <c r="N2001" s="7">
        <f>[1]!EM_S_VAL_PBGOODWILLDEDUCTED(B2001,E2001)</f>
        <v>2.1240585141517201</v>
      </c>
      <c r="O2001" s="7">
        <f>[1]!EM_S_VAL_PS_TTM(B2001,E2001)</f>
        <v>2.3039212946888501</v>
      </c>
      <c r="P2001" s="7">
        <f>[1]!EM_S_VAL_PCF_NCFTTM(B2001,E2001)</f>
        <v>112.646191734821</v>
      </c>
      <c r="Q2001" s="7">
        <f>[1]!EM_S_VAL_DIVIDENDYIELD2(B2001,E2001,"2019-11-29")</f>
        <v>2.5710325710325712</v>
      </c>
      <c r="T2001"/>
      <c r="U2001">
        <f>[1]!EM_S_RATIO_EPS_TTM(B2001,E2001,"1")</f>
        <v>1.194190607229735</v>
      </c>
      <c r="AT2001" s="4" t="str">
        <f>[1]!EM_S_IPO_LISTEDDATE(B2001)</f>
        <v>2015-02-17</v>
      </c>
    </row>
    <row r="2002" spans="1:46">
      <c r="A2002">
        <v>2946</v>
      </c>
      <c r="B2002" t="str">
        <f>"600873"</f>
        <v>600873</v>
      </c>
      <c r="C2002" t="s">
        <v>957</v>
      </c>
      <c r="D2002" t="str">
        <f>[1]!EM_S_INFO_INDEX_EM(B2002,"1")</f>
        <v>农林牧渔</v>
      </c>
      <c r="E2002" s="4">
        <f t="shared" si="31"/>
        <v>43465</v>
      </c>
      <c r="F2002" s="11">
        <f>[1]!EM_S_PQ_PCTCHANGE(B2002,"2018-01-01","2019-12-31","3")</f>
        <v>0.18815425</v>
      </c>
      <c r="G2002" s="11">
        <f>[1]!EM_S_PQ_PCTCHANGE(B2002,"2018-12-31","2019-12-30","1")</f>
        <v>5.2132701399999997</v>
      </c>
      <c r="H2002" s="11">
        <f>[1]!EM_S_FA_YOY_OR(B2002,E2002)</f>
        <v>13.6171648097</v>
      </c>
      <c r="I2002" s="11">
        <f>[1]!EM_S_FA_GROSSPROFITMARGIN(B2002,E2002)</f>
        <v>24.9031893105</v>
      </c>
      <c r="J2002" s="11">
        <f>[1]!EM_S_FA_NETPROFITMARGIN(B2002,E2002)</f>
        <v>8.0650440365999998</v>
      </c>
      <c r="K2002" s="10">
        <f>[1]!EM_S_FA_ASSETSTURN(B2002,E2002)</f>
        <v>0.69942573635299998</v>
      </c>
      <c r="L2002" s="12">
        <f>[1]!EM_HKS_VAL_MV(B2002,"2019-12-31","2")</f>
        <v>13814088889.1</v>
      </c>
      <c r="M2002">
        <f>[1]!EM_S_VAL_PETTMDEDUCTED(B2002,E2002)</f>
        <v>14.060045430558199</v>
      </c>
      <c r="N2002" s="7">
        <f>[1]!EM_S_VAL_PBGOODWILLDEDUCTED(B2002,E2002)</f>
        <v>1.46273342376116</v>
      </c>
      <c r="O2002" s="7">
        <f>[1]!EM_S_VAL_PS_TTM(B2002,E2002)</f>
        <v>1.04998526248624</v>
      </c>
      <c r="P2002" s="7">
        <f>[1]!EM_S_VAL_PCF_NCFTTM(B2002,E2002)</f>
        <v>-9.4812517188117305</v>
      </c>
      <c r="Q2002" s="7">
        <f>[1]!EM_S_VAL_DIVIDENDYIELD2(B2002,E2002,"2019-11-29")</f>
        <v>7.980991197031158</v>
      </c>
      <c r="T2002"/>
      <c r="U2002">
        <f>[1]!EM_S_RATIO_EPS_TTM(B2002,E2002,"1")</f>
        <v>0.32222969274100449</v>
      </c>
      <c r="AT2002" s="4" t="str">
        <f>[1]!EM_S_IPO_LISTEDDATE(B2002)</f>
        <v>1995-02-17</v>
      </c>
    </row>
    <row r="2003" spans="1:46">
      <c r="A2003">
        <v>2703</v>
      </c>
      <c r="B2003" t="str">
        <f>"600630"</f>
        <v>600630</v>
      </c>
      <c r="C2003" t="s">
        <v>1959</v>
      </c>
      <c r="D2003" t="str">
        <f>[1]!EM_S_INFO_INDEX_EM(B2003,"1")</f>
        <v>纺织服装</v>
      </c>
      <c r="E2003" s="4">
        <f t="shared" si="31"/>
        <v>43465</v>
      </c>
      <c r="F2003" s="11">
        <f>[1]!EM_S_PQ_PCTCHANGE(B2003,"2018-01-01","2019-12-31","3")</f>
        <v>-25.459326730000001</v>
      </c>
      <c r="G2003" s="11">
        <f>[1]!EM_S_PQ_PCTCHANGE(B2003,"2018-12-31","2019-12-30","1")</f>
        <v>5.2098408100000002</v>
      </c>
      <c r="H2003" s="11">
        <f>[1]!EM_S_FA_YOY_OR(B2003,E2003)</f>
        <v>-1.348835819</v>
      </c>
      <c r="I2003" s="11">
        <f>[1]!EM_S_FA_GROSSPROFITMARGIN(B2003,E2003)</f>
        <v>25.845676674500002</v>
      </c>
      <c r="J2003" s="11">
        <f>[1]!EM_S_FA_NETPROFITMARGIN(B2003,E2003)</f>
        <v>0.88867328229999998</v>
      </c>
      <c r="K2003" s="10">
        <f>[1]!EM_S_FA_ASSETSTURN(B2003,E2003)</f>
        <v>1.5391658273519999</v>
      </c>
      <c r="L2003" s="12">
        <f>[1]!EM_HKS_VAL_MV(B2003,"2019-12-31","2")</f>
        <v>3224699521.23</v>
      </c>
      <c r="M2003">
        <f>[1]!EM_S_VAL_PETTMDEDUCTED(B2003,E2003)</f>
        <v>183.07441939524099</v>
      </c>
      <c r="N2003" s="7">
        <f>[1]!EM_S_VAL_PBGOODWILLDEDUCTED(B2003,E2003)</f>
        <v>1.62271506732071</v>
      </c>
      <c r="O2003" s="7">
        <f>[1]!EM_S_VAL_PS_TTM(B2003,E2003)</f>
        <v>0.653712706131092</v>
      </c>
      <c r="P2003" s="7">
        <f>[1]!EM_S_VAL_PCF_NCFTTM(B2003,E2003)</f>
        <v>85.551363640157305</v>
      </c>
      <c r="Q2003" s="7">
        <f>[1]!EM_S_VAL_DIVIDENDYIELD2(B2003,E2003,"2019-11-29")</f>
        <v>0</v>
      </c>
      <c r="T2003"/>
      <c r="U2003">
        <f>[1]!EM_S_RATIO_EPS_TTM(B2003,E2003,"1")</f>
        <v>8.8671048727428287E-2</v>
      </c>
      <c r="AT2003" s="4" t="str">
        <f>[1]!EM_S_IPO_LISTEDDATE(B2003)</f>
        <v>1993-02-09</v>
      </c>
    </row>
    <row r="2004" spans="1:46">
      <c r="A2004">
        <v>2363</v>
      </c>
      <c r="B2004" t="str">
        <f>"600229"</f>
        <v>600229</v>
      </c>
      <c r="C2004" t="s">
        <v>655</v>
      </c>
      <c r="D2004" t="str">
        <f>[1]!EM_S_INFO_INDEX_EM(B2004,"1")</f>
        <v>文化传媒</v>
      </c>
      <c r="E2004" s="4">
        <f t="shared" si="31"/>
        <v>43465</v>
      </c>
      <c r="F2004" s="11">
        <f>[1]!EM_S_PQ_PCTCHANGE(B2004,"2018-01-01","2019-12-31","3")</f>
        <v>-3.1372019500000001</v>
      </c>
      <c r="G2004" s="11">
        <f>[1]!EM_S_PQ_PCTCHANGE(B2004,"2018-12-31","2019-12-30","1")</f>
        <v>5.2083333300000003</v>
      </c>
      <c r="H2004" s="11">
        <f>[1]!EM_S_FA_YOY_OR(B2004,E2004)</f>
        <v>10.189626558900001</v>
      </c>
      <c r="I2004" s="11">
        <f>[1]!EM_S_FA_GROSSPROFITMARGIN(B2004,E2004)</f>
        <v>39.086611477799998</v>
      </c>
      <c r="J2004" s="11">
        <f>[1]!EM_S_FA_NETPROFITMARGIN(B2004,E2004)</f>
        <v>16.030027459500001</v>
      </c>
      <c r="K2004" s="10">
        <f>[1]!EM_S_FA_ASSETSTURN(B2004,E2004)</f>
        <v>0.59517239453500004</v>
      </c>
      <c r="L2004" s="12">
        <f>[1]!EM_HKS_VAL_MV(B2004,"2019-12-31","2")</f>
        <v>4984881671</v>
      </c>
      <c r="M2004">
        <f>[1]!EM_S_VAL_PETTMDEDUCTED(B2004,E2004)</f>
        <v>16.603791944721099</v>
      </c>
      <c r="N2004" s="7">
        <f>[1]!EM_S_VAL_PBGOODWILLDEDUCTED(B2004,E2004)</f>
        <v>1.8607008961682501</v>
      </c>
      <c r="O2004" s="7">
        <f>[1]!EM_S_VAL_PS_TTM(B2004,E2004)</f>
        <v>2.1865814374036399</v>
      </c>
      <c r="P2004" s="7">
        <f>[1]!EM_S_VAL_PCF_NCFTTM(B2004,E2004)</f>
        <v>-127.926403961714</v>
      </c>
      <c r="Q2004" s="7">
        <f>[1]!EM_S_VAL_DIVIDENDYIELD2(B2004,E2004,"2019-11-29")</f>
        <v>2.9985007496251872</v>
      </c>
      <c r="T2004"/>
      <c r="U2004">
        <f>[1]!EM_S_RATIO_EPS_TTM(B2004,E2004,"1")</f>
        <v>0.495666143922396</v>
      </c>
      <c r="AT2004" s="4" t="str">
        <f>[1]!EM_S_IPO_LISTEDDATE(B2004)</f>
        <v>2000-03-09</v>
      </c>
    </row>
    <row r="2005" spans="1:46">
      <c r="A2005">
        <v>2243</v>
      </c>
      <c r="B2005" t="str">
        <f>"600096"</f>
        <v>600096</v>
      </c>
      <c r="C2005" t="s">
        <v>1870</v>
      </c>
      <c r="D2005" t="str">
        <f>[1]!EM_S_INFO_INDEX_EM(B2005,"1")</f>
        <v>基础化工</v>
      </c>
      <c r="E2005" s="4">
        <f t="shared" si="31"/>
        <v>43465</v>
      </c>
      <c r="F2005" s="11">
        <f>[1]!EM_S_PQ_PCTCHANGE(B2005,"2018-01-01","2019-12-31","3")</f>
        <v>-25.977653629999999</v>
      </c>
      <c r="G2005" s="11">
        <f>[1]!EM_S_PQ_PCTCHANGE(B2005,"2018-12-31","2019-12-30","1")</f>
        <v>5.1896207600000004</v>
      </c>
      <c r="H2005" s="11">
        <f>[1]!EM_S_FA_YOY_OR(B2005,E2005)</f>
        <v>-5.3464345119000001</v>
      </c>
      <c r="I2005" s="11">
        <f>[1]!EM_S_FA_GROSSPROFITMARGIN(B2005,E2005)</f>
        <v>14.773215997699999</v>
      </c>
      <c r="J2005" s="11">
        <f>[1]!EM_S_FA_NETPROFITMARGIN(B2005,E2005)</f>
        <v>0.47463520660000003</v>
      </c>
      <c r="K2005" s="10">
        <f>[1]!EM_S_FA_ASSETSTURN(B2005,E2005)</f>
        <v>0.80651513164300004</v>
      </c>
      <c r="L2005" s="12">
        <f>[1]!EM_HKS_VAL_MV(B2005,"2019-12-31","2")</f>
        <v>7566677171.3999996</v>
      </c>
      <c r="M2005">
        <f>[1]!EM_S_VAL_PETTMDEDUCTED(B2005,E2005)</f>
        <v>-35.575341829588403</v>
      </c>
      <c r="N2005" s="7">
        <f>[1]!EM_S_VAL_PBGOODWILLDEDUCTED(B2005,E2005)</f>
        <v>1.54306118665792</v>
      </c>
      <c r="O2005" s="7">
        <f>[1]!EM_S_VAL_PS_TTM(B2005,E2005)</f>
        <v>0.14169218182445301</v>
      </c>
      <c r="P2005" s="7">
        <f>[1]!EM_S_VAL_PCF_NCFTTM(B2005,E2005)</f>
        <v>-2.9415148980019699</v>
      </c>
      <c r="Q2005" s="7">
        <f>[1]!EM_S_VAL_DIVIDENDYIELD2(B2005,E2005,"2019-11-29")</f>
        <v>0</v>
      </c>
      <c r="T2005"/>
      <c r="U2005">
        <f>[1]!EM_S_RATIO_EPS_TTM(B2005,E2005,"1")</f>
        <v>9.2906841457943465E-2</v>
      </c>
      <c r="AT2005" s="4" t="str">
        <f>[1]!EM_S_IPO_LISTEDDATE(B2005)</f>
        <v>1997-07-09</v>
      </c>
    </row>
    <row r="2006" spans="1:46">
      <c r="A2006">
        <v>2348</v>
      </c>
      <c r="B2006" t="str">
        <f>"600212"</f>
        <v>600212</v>
      </c>
      <c r="C2006" t="s">
        <v>3033</v>
      </c>
      <c r="D2006" t="str">
        <f>[1]!EM_S_INFO_INDEX_EM(B2006,"1")</f>
        <v>公用事业</v>
      </c>
      <c r="E2006" s="4">
        <f t="shared" si="31"/>
        <v>43465</v>
      </c>
      <c r="F2006" s="11">
        <f>[1]!EM_S_PQ_PCTCHANGE(B2006,"2018-01-01","2019-12-31","3")</f>
        <v>-56.06382979</v>
      </c>
      <c r="G2006" s="11">
        <f>[1]!EM_S_PQ_PCTCHANGE(B2006,"2018-12-31","2019-12-30","1")</f>
        <v>5.1282051299999996</v>
      </c>
      <c r="H2006" s="11">
        <f>[1]!EM_S_FA_YOY_OR(B2006,E2006)</f>
        <v>-2.6485074123999999</v>
      </c>
      <c r="I2006" s="11">
        <f>[1]!EM_S_FA_GROSSPROFITMARGIN(B2006,E2006)</f>
        <v>15.507066155</v>
      </c>
      <c r="J2006" s="11">
        <f>[1]!EM_S_FA_NETPROFITMARGIN(B2006,E2006)</f>
        <v>-70.174687655300005</v>
      </c>
      <c r="K2006" s="10">
        <f>[1]!EM_S_FA_ASSETSTURN(B2006,E2006)</f>
        <v>0.34733342303300002</v>
      </c>
      <c r="L2006" s="12">
        <f>[1]!EM_HKS_VAL_MV(B2006,"2019-12-31","2")</f>
        <v>2113309489.6900001</v>
      </c>
      <c r="M2006">
        <f>[1]!EM_S_VAL_PETTMDEDUCTED(B2006,E2006)</f>
        <v>-62.729659323946201</v>
      </c>
      <c r="N2006" s="7">
        <f>[1]!EM_S_VAL_PBGOODWILLDEDUCTED(B2006,E2006)</f>
        <v>3.4200481706277501</v>
      </c>
      <c r="O2006" s="7">
        <f>[1]!EM_S_VAL_PS_TTM(B2006,E2006)</f>
        <v>8.5403466670799606</v>
      </c>
      <c r="P2006" s="7">
        <f>[1]!EM_S_VAL_PCF_NCFTTM(B2006,E2006)</f>
        <v>88.945925658797904</v>
      </c>
      <c r="Q2006" s="7">
        <f>[1]!EM_S_VAL_DIVIDENDYIELD2(B2006,E2006,"2019-11-29")</f>
        <v>0</v>
      </c>
      <c r="T2006"/>
      <c r="U2006">
        <f>[1]!EM_S_RATIO_EPS_TTM(B2006,E2006,"1")</f>
        <v>-0.33608505991608756</v>
      </c>
      <c r="AT2006" s="4" t="str">
        <f>[1]!EM_S_IPO_LISTEDDATE(B2006)</f>
        <v>1999-08-17</v>
      </c>
    </row>
    <row r="2007" spans="1:46">
      <c r="A2007">
        <v>2223</v>
      </c>
      <c r="B2007" t="str">
        <f>"600076"</f>
        <v>600076</v>
      </c>
      <c r="C2007" t="s">
        <v>477</v>
      </c>
      <c r="D2007" t="str">
        <f>[1]!EM_S_INFO_INDEX_EM(B2007,"1")</f>
        <v>农林牧渔</v>
      </c>
      <c r="E2007" s="4">
        <f t="shared" si="31"/>
        <v>43465</v>
      </c>
      <c r="F2007" s="11">
        <f>[1]!EM_S_PQ_PCTCHANGE(B2007,"2018-01-01","2019-12-31","3")</f>
        <v>-38.813333319999998</v>
      </c>
      <c r="G2007" s="11">
        <f>[1]!EM_S_PQ_PCTCHANGE(B2007,"2018-12-31","2019-12-30","1")</f>
        <v>5.1219512199999997</v>
      </c>
      <c r="H2007" s="11">
        <f>[1]!EM_S_FA_YOY_OR(B2007,E2007)</f>
        <v>25.928474820400002</v>
      </c>
      <c r="I2007" s="11">
        <f>[1]!EM_S_FA_GROSSPROFITMARGIN(B2007,E2007)</f>
        <v>33.1879906128</v>
      </c>
      <c r="J2007" s="11">
        <f>[1]!EM_S_FA_NETPROFITMARGIN(B2007,E2007)</f>
        <v>20.385417174699999</v>
      </c>
      <c r="K2007" s="10">
        <f>[1]!EM_S_FA_ASSETSTURN(B2007,E2007)</f>
        <v>0.42572857462899999</v>
      </c>
      <c r="L2007" s="12">
        <f>[1]!EM_HKS_VAL_MV(B2007,"2019-12-31","2")</f>
        <v>4540419526.3100004</v>
      </c>
      <c r="M2007">
        <f>[1]!EM_S_VAL_PETTMDEDUCTED(B2007,E2007)</f>
        <v>9.0751511405018501</v>
      </c>
      <c r="N2007" s="7">
        <f>[1]!EM_S_VAL_PBGOODWILLDEDUCTED(B2007,E2007)</f>
        <v>1.1787714429187499</v>
      </c>
      <c r="O2007" s="7">
        <f>[1]!EM_S_VAL_PS_TTM(B2007,E2007)</f>
        <v>1.75047929491701</v>
      </c>
      <c r="P2007" s="7">
        <f>[1]!EM_S_VAL_PCF_NCFTTM(B2007,E2007)</f>
        <v>-122.28977631604199</v>
      </c>
      <c r="Q2007" s="7">
        <f>[1]!EM_S_VAL_DIVIDENDYIELD2(B2007,E2007,"2019-11-29")</f>
        <v>0.47505938242280288</v>
      </c>
      <c r="T2007"/>
      <c r="U2007">
        <f>[1]!EM_S_RATIO_EPS_TTM(B2007,E2007,"1")</f>
        <v>0.45209687389245229</v>
      </c>
      <c r="AT2007" s="4" t="str">
        <f>[1]!EM_S_IPO_LISTEDDATE(B2007)</f>
        <v>1997-05-26</v>
      </c>
    </row>
    <row r="2008" spans="1:46">
      <c r="A2008">
        <v>2722</v>
      </c>
      <c r="B2008" t="str">
        <f>"600649"</f>
        <v>600649</v>
      </c>
      <c r="C2008" t="s">
        <v>1330</v>
      </c>
      <c r="D2008" t="str">
        <f>[1]!EM_S_INFO_INDEX_EM(B2008,"1")</f>
        <v>房地产</v>
      </c>
      <c r="E2008" s="4">
        <f t="shared" si="31"/>
        <v>43465</v>
      </c>
      <c r="F2008" s="11">
        <f>[1]!EM_S_PQ_PCTCHANGE(B2008,"2018-01-01","2019-12-31","3")</f>
        <v>-31.633515339999999</v>
      </c>
      <c r="G2008" s="11">
        <f>[1]!EM_S_PQ_PCTCHANGE(B2008,"2018-12-31","2019-12-30","1")</f>
        <v>5.1188299800000001</v>
      </c>
      <c r="H2008" s="11">
        <f>[1]!EM_S_FA_YOY_OR(B2008,E2008)</f>
        <v>114.6891105128</v>
      </c>
      <c r="I2008" s="11">
        <f>[1]!EM_S_FA_GROSSPROFITMARGIN(B2008,E2008)</f>
        <v>27.6298674405</v>
      </c>
      <c r="J2008" s="11">
        <f>[1]!EM_S_FA_NETPROFITMARGIN(B2008,E2008)</f>
        <v>16.951105406700002</v>
      </c>
      <c r="K2008" s="10">
        <f>[1]!EM_S_FA_ASSETSTURN(B2008,E2008)</f>
        <v>0.18532526094099999</v>
      </c>
      <c r="L2008" s="12">
        <f>[1]!EM_HKS_VAL_MV(B2008,"2019-12-31","2")</f>
        <v>14469172626.48</v>
      </c>
      <c r="M2008">
        <f>[1]!EM_S_VAL_PETTMDEDUCTED(B2008,E2008)</f>
        <v>15.8112971331326</v>
      </c>
      <c r="N2008" s="7">
        <f>[1]!EM_S_VAL_PBGOODWILLDEDUCTED(B2008,E2008)</f>
        <v>0.73489153192372902</v>
      </c>
      <c r="O2008" s="7">
        <f>[1]!EM_S_VAL_PS_TTM(B2008,E2008)</f>
        <v>2.032495720035</v>
      </c>
      <c r="P2008" s="7">
        <f>[1]!EM_S_VAL_PCF_NCFTTM(B2008,E2008)</f>
        <v>-78.183568911308598</v>
      </c>
      <c r="Q2008" s="7">
        <f>[1]!EM_S_VAL_DIVIDENDYIELD2(B2008,E2008,"2019-11-29")</f>
        <v>0.90744101633393837</v>
      </c>
      <c r="T2008"/>
      <c r="U2008">
        <f>[1]!EM_S_RATIO_EPS_TTM(B2008,E2008,"1")</f>
        <v>0.40651157966917706</v>
      </c>
      <c r="AT2008" s="4" t="str">
        <f>[1]!EM_S_IPO_LISTEDDATE(B2008)</f>
        <v>1993-05-18</v>
      </c>
    </row>
    <row r="2009" spans="1:46">
      <c r="A2009">
        <v>1338</v>
      </c>
      <c r="B2009" t="str">
        <f>"002836"</f>
        <v>002836</v>
      </c>
      <c r="C2009" t="s">
        <v>1521</v>
      </c>
      <c r="D2009" t="str">
        <f>[1]!EM_S_INFO_INDEX_EM(B2009,"1")</f>
        <v>轻工制造</v>
      </c>
      <c r="E2009" s="4">
        <f t="shared" si="31"/>
        <v>43465</v>
      </c>
      <c r="F2009" s="11">
        <f>[1]!EM_S_PQ_PCTCHANGE(B2009,"2018-01-01","2019-12-31","3")</f>
        <v>-34.521342490000002</v>
      </c>
      <c r="G2009" s="11">
        <f>[1]!EM_S_PQ_PCTCHANGE(B2009,"2018-12-31","2019-12-30","1")</f>
        <v>5.0966608100000004</v>
      </c>
      <c r="H2009" s="11">
        <f>[1]!EM_S_FA_YOY_OR(B2009,E2009)</f>
        <v>4.1396862741999998</v>
      </c>
      <c r="I2009" s="11">
        <f>[1]!EM_S_FA_GROSSPROFITMARGIN(B2009,E2009)</f>
        <v>36.225263565100001</v>
      </c>
      <c r="J2009" s="11">
        <f>[1]!EM_S_FA_NETPROFITMARGIN(B2009,E2009)</f>
        <v>17.6591326293</v>
      </c>
      <c r="K2009" s="10">
        <f>[1]!EM_S_FA_ASSETSTURN(B2009,E2009)</f>
        <v>0.53285480332799995</v>
      </c>
      <c r="L2009" s="12">
        <f>[1]!EM_HKS_VAL_MV(B2009,"2019-12-31","2")</f>
        <v>1934400000</v>
      </c>
      <c r="M2009">
        <f>[1]!EM_S_VAL_PETTMDEDUCTED(B2009,E2009)</f>
        <v>45.372286822408299</v>
      </c>
      <c r="N2009" s="7">
        <f>[1]!EM_S_VAL_PBGOODWILLDEDUCTED(B2009,E2009)</f>
        <v>4.1697966079362603</v>
      </c>
      <c r="O2009" s="7">
        <f>[1]!EM_S_VAL_PS_TTM(B2009,E2009)</f>
        <v>6.6350539893464902</v>
      </c>
      <c r="P2009" s="7">
        <f>[1]!EM_S_VAL_PCF_NCFTTM(B2009,E2009)</f>
        <v>-236.74423882641301</v>
      </c>
      <c r="Q2009" s="7">
        <f>[1]!EM_S_VAL_DIVIDENDYIELD2(B2009,E2009,"2019-11-29")</f>
        <v>4.1911148365465216</v>
      </c>
      <c r="T2009"/>
      <c r="U2009">
        <f>[1]!EM_S_RATIO_EPS_TTM(B2009,E2009,"1")</f>
        <v>0.30957345743749998</v>
      </c>
      <c r="AT2009" s="4" t="str">
        <f>[1]!EM_S_IPO_LISTEDDATE(B2009)</f>
        <v>2016-12-29</v>
      </c>
    </row>
    <row r="2010" spans="1:46">
      <c r="A2010">
        <v>2728</v>
      </c>
      <c r="B2010" t="str">
        <f>"600655"</f>
        <v>600655</v>
      </c>
      <c r="C2010" t="s">
        <v>1402</v>
      </c>
      <c r="D2010" t="str">
        <f>[1]!EM_S_INFO_INDEX_EM(B2010,"1")</f>
        <v>商贸零售</v>
      </c>
      <c r="E2010" s="4">
        <f t="shared" si="31"/>
        <v>43465</v>
      </c>
      <c r="F2010" s="11">
        <f>[1]!EM_S_PQ_PCTCHANGE(B2010,"2018-01-01","2019-12-31","3")</f>
        <v>-23.364224010000001</v>
      </c>
      <c r="G2010" s="11">
        <f>[1]!EM_S_PQ_PCTCHANGE(B2010,"2018-12-31","2019-12-30","1")</f>
        <v>5</v>
      </c>
      <c r="H2010" s="11">
        <f>[1]!EM_S_FA_YOY_OR(B2010,E2010)</f>
        <v>7.2017798587000001</v>
      </c>
      <c r="I2010" s="11">
        <f>[1]!EM_S_FA_GROSSPROFITMARGIN(B2010,E2010)</f>
        <v>25.720721765499999</v>
      </c>
      <c r="J2010" s="11">
        <f>[1]!EM_S_FA_NETPROFITMARGIN(B2010,E2010)</f>
        <v>10.131951898600001</v>
      </c>
      <c r="K2010" s="10">
        <f>[1]!EM_S_FA_ASSETSTURN(B2010,E2010)</f>
        <v>0.61766942229800004</v>
      </c>
      <c r="L2010" s="12">
        <f>[1]!EM_HKS_VAL_MV(B2010,"2019-12-31","2")</f>
        <v>30448693797.759998</v>
      </c>
      <c r="M2010">
        <f>[1]!EM_S_VAL_PETTMDEDUCTED(B2010,E2010)</f>
        <v>48.823701378075803</v>
      </c>
      <c r="N2010" s="7">
        <f>[1]!EM_S_VAL_PBGOODWILLDEDUCTED(B2010,E2010)</f>
        <v>1.0269263035442799</v>
      </c>
      <c r="O2010" s="7">
        <f>[1]!EM_S_VAL_PS_TTM(B2010,E2010)</f>
        <v>1.3891134298332799</v>
      </c>
      <c r="P2010" s="7">
        <f>[1]!EM_S_VAL_PCF_NCFTTM(B2010,E2010)</f>
        <v>5.0480841179227198</v>
      </c>
      <c r="Q2010" s="7">
        <f>[1]!EM_S_VAL_DIVIDENDYIELD2(B2010,E2010,"2019-11-29")</f>
        <v>3.6244598230185123</v>
      </c>
      <c r="T2010"/>
      <c r="U2010">
        <f>[1]!EM_S_RATIO_EPS_TTM(B2010,E2010,"1")</f>
        <v>0.77832703883328835</v>
      </c>
      <c r="AT2010" s="4" t="str">
        <f>[1]!EM_S_IPO_LISTEDDATE(B2010)</f>
        <v>1992-09-02</v>
      </c>
    </row>
    <row r="2011" spans="1:46">
      <c r="A2011">
        <v>3633</v>
      </c>
      <c r="B2011" t="str">
        <f>"603990"</f>
        <v>603990</v>
      </c>
      <c r="C2011" t="s">
        <v>3404</v>
      </c>
      <c r="D2011" t="str">
        <f>[1]!EM_S_INFO_INDEX_EM(B2011,"1")</f>
        <v>信息技术</v>
      </c>
      <c r="E2011" s="4">
        <f t="shared" si="31"/>
        <v>43465</v>
      </c>
      <c r="F2011" s="11">
        <f>[1]!EM_S_PQ_PCTCHANGE(B2011,"2018-01-01","2019-12-31","3")</f>
        <v>36.767162740000003</v>
      </c>
      <c r="G2011" s="11">
        <f>[1]!EM_S_PQ_PCTCHANGE(B2011,"2018-12-31","2019-12-30","1")</f>
        <v>4.9908703599999997</v>
      </c>
      <c r="H2011" s="11">
        <f>[1]!EM_S_FA_YOY_OR(B2011,E2011)</f>
        <v>5.8049714862000004</v>
      </c>
      <c r="I2011" s="11">
        <f>[1]!EM_S_FA_GROSSPROFITMARGIN(B2011,E2011)</f>
        <v>74.464869090899995</v>
      </c>
      <c r="J2011" s="11">
        <f>[1]!EM_S_FA_NETPROFITMARGIN(B2011,E2011)</f>
        <v>19.369274556699999</v>
      </c>
      <c r="K2011" s="10">
        <f>[1]!EM_S_FA_ASSETSTURN(B2011,E2011)</f>
        <v>0.42312068918200002</v>
      </c>
      <c r="L2011" s="12">
        <f>[1]!EM_HKS_VAL_MV(B2011,"2019-12-31","2")</f>
        <v>3902180727.1999998</v>
      </c>
      <c r="M2011">
        <f>[1]!EM_S_VAL_PETTMDEDUCTED(B2011,E2011)</f>
        <v>97.019235579093305</v>
      </c>
      <c r="N2011" s="7">
        <f>[1]!EM_S_VAL_PBGOODWILLDEDUCTED(B2011,E2011)</f>
        <v>5.6093916864252096</v>
      </c>
      <c r="O2011" s="7">
        <f>[1]!EM_S_VAL_PS_TTM(B2011,E2011)</f>
        <v>10.092078373967899</v>
      </c>
      <c r="P2011" s="7">
        <f>[1]!EM_S_VAL_PCF_NCFTTM(B2011,E2011)</f>
        <v>2916.5976835592501</v>
      </c>
      <c r="Q2011" s="7">
        <f>[1]!EM_S_VAL_DIVIDENDYIELD2(B2011,E2011,"2019-11-29")</f>
        <v>0.4650366914913458</v>
      </c>
      <c r="T2011"/>
      <c r="U2011">
        <f>[1]!EM_S_RATIO_EPS_TTM(B2011,E2011,"1")</f>
        <v>0.68803533448262988</v>
      </c>
      <c r="AT2011" s="4" t="str">
        <f>[1]!EM_S_IPO_LISTEDDATE(B2011)</f>
        <v>2016-12-08</v>
      </c>
    </row>
    <row r="2012" spans="1:46">
      <c r="A2012">
        <v>3184</v>
      </c>
      <c r="B2012" t="str">
        <f>"601952"</f>
        <v>601952</v>
      </c>
      <c r="C2012" t="s">
        <v>939</v>
      </c>
      <c r="D2012" t="str">
        <f>[1]!EM_S_INFO_INDEX_EM(B2012,"1")</f>
        <v>农林牧渔</v>
      </c>
      <c r="E2012" s="4">
        <f t="shared" si="31"/>
        <v>43465</v>
      </c>
      <c r="F2012" s="11">
        <f>[1]!EM_S_PQ_PCTCHANGE(B2012,"2018-01-01","2019-12-31","3")</f>
        <v>-32.769978709999997</v>
      </c>
      <c r="G2012" s="11">
        <f>[1]!EM_S_PQ_PCTCHANGE(B2012,"2018-12-31","2019-12-30","1")</f>
        <v>4.9773755700000004</v>
      </c>
      <c r="H2012" s="11">
        <f>[1]!EM_S_FA_YOY_OR(B2012,E2012)</f>
        <v>13.163823624899999</v>
      </c>
      <c r="I2012" s="11">
        <f>[1]!EM_S_FA_GROSSPROFITMARGIN(B2012,E2012)</f>
        <v>17.294770958899999</v>
      </c>
      <c r="J2012" s="11">
        <f>[1]!EM_S_FA_NETPROFITMARGIN(B2012,E2012)</f>
        <v>12.564621151700001</v>
      </c>
      <c r="K2012" s="10">
        <f>[1]!EM_S_FA_ASSETSTURN(B2012,E2012)</f>
        <v>0.71839012695000004</v>
      </c>
      <c r="L2012" s="12">
        <f>[1]!EM_HKS_VAL_MV(B2012,"2019-12-31","2")</f>
        <v>9632220000</v>
      </c>
      <c r="M2012">
        <f>[1]!EM_S_VAL_PETTMDEDUCTED(B2012,E2012)</f>
        <v>19.747559091745199</v>
      </c>
      <c r="N2012" s="7">
        <f>[1]!EM_S_VAL_PBGOODWILLDEDUCTED(B2012,E2012)</f>
        <v>1.6345153584172301</v>
      </c>
      <c r="O2012" s="7">
        <f>[1]!EM_S_VAL_PS_TTM(B2012,E2012)</f>
        <v>1.9327279182113</v>
      </c>
      <c r="P2012" s="7">
        <f>[1]!EM_S_VAL_PCF_NCFTTM(B2012,E2012)</f>
        <v>766.32010916008903</v>
      </c>
      <c r="Q2012" s="7">
        <f>[1]!EM_S_VAL_DIVIDENDYIELD2(B2012,E2012,"2019-11-29")</f>
        <v>3.0303030303030303</v>
      </c>
      <c r="T2012"/>
      <c r="U2012">
        <f>[1]!EM_S_RATIO_EPS_TTM(B2012,E2012,"1")</f>
        <v>0.43936180681422349</v>
      </c>
      <c r="AT2012" s="4" t="str">
        <f>[1]!EM_S_IPO_LISTEDDATE(B2012)</f>
        <v>2017-05-15</v>
      </c>
    </row>
    <row r="2013" spans="1:46">
      <c r="A2013">
        <v>146</v>
      </c>
      <c r="B2013" t="str">
        <f>"000537"</f>
        <v>000537</v>
      </c>
      <c r="C2013" t="s">
        <v>100</v>
      </c>
      <c r="D2013" t="str">
        <f>[1]!EM_S_INFO_INDEX_EM(B2013,"1")</f>
        <v>房地产</v>
      </c>
      <c r="E2013" s="4">
        <f t="shared" si="31"/>
        <v>43465</v>
      </c>
      <c r="F2013" s="11">
        <f>[1]!EM_S_PQ_PCTCHANGE(B2013,"2018-01-01","2019-12-31","3")</f>
        <v>-37.323646979999999</v>
      </c>
      <c r="G2013" s="11">
        <f>[1]!EM_S_PQ_PCTCHANGE(B2013,"2018-12-31","2019-12-30","1")</f>
        <v>4.9399198899999996</v>
      </c>
      <c r="H2013" s="11">
        <f>[1]!EM_S_FA_YOY_OR(B2013,E2013)</f>
        <v>25.012873216300001</v>
      </c>
      <c r="I2013" s="11">
        <f>[1]!EM_S_FA_GROSSPROFITMARGIN(B2013,E2013)</f>
        <v>32.811378638699999</v>
      </c>
      <c r="J2013" s="11">
        <f>[1]!EM_S_FA_NETPROFITMARGIN(B2013,E2013)</f>
        <v>9.2485393529</v>
      </c>
      <c r="K2013" s="10">
        <f>[1]!EM_S_FA_ASSETSTURN(B2013,E2013)</f>
        <v>0.36426663586800001</v>
      </c>
      <c r="L2013" s="12">
        <f>[1]!EM_HKS_VAL_MV(B2013,"2019-12-31","2")</f>
        <v>14471785994.4</v>
      </c>
      <c r="M2013">
        <f>[1]!EM_S_VAL_PETTMDEDUCTED(B2013,E2013)</f>
        <v>4.4795865923318301</v>
      </c>
      <c r="N2013" s="7">
        <f>[1]!EM_S_VAL_PBGOODWILLDEDUCTED(B2013,E2013)</f>
        <v>1.3056999162470699</v>
      </c>
      <c r="O2013" s="7">
        <f>[1]!EM_S_VAL_PS_TTM(B2013,E2013)</f>
        <v>0.52739380872187702</v>
      </c>
      <c r="P2013" s="7">
        <f>[1]!EM_S_VAL_PCF_NCFTTM(B2013,E2013)</f>
        <v>-2.5052591814913501</v>
      </c>
      <c r="Q2013" s="7">
        <f>[1]!EM_S_VAL_DIVIDENDYIELD2(B2013,E2013,"2019-11-29")</f>
        <v>1.9061583577712611</v>
      </c>
      <c r="U2013">
        <f>[1]!EM_S_RATIO_EPS_TTM(B2013,E2013,"1")</f>
        <v>1.3435425651425774</v>
      </c>
      <c r="AT2013" s="4" t="str">
        <f>[1]!EM_S_IPO_LISTEDDATE(B2013)</f>
        <v>1993-12-10</v>
      </c>
    </row>
    <row r="2014" spans="1:46">
      <c r="A2014">
        <v>2586</v>
      </c>
      <c r="B2014" t="str">
        <f>"600503"</f>
        <v>600503</v>
      </c>
      <c r="C2014" t="s">
        <v>2875</v>
      </c>
      <c r="D2014" t="str">
        <f>[1]!EM_S_INFO_INDEX_EM(B2014,"1")</f>
        <v>房地产</v>
      </c>
      <c r="E2014" s="4">
        <f t="shared" si="31"/>
        <v>43465</v>
      </c>
      <c r="F2014" s="11">
        <f>[1]!EM_S_PQ_PCTCHANGE(B2014,"2018-01-01","2019-12-31","3")</f>
        <v>-51.45038168</v>
      </c>
      <c r="G2014" s="11">
        <f>[1]!EM_S_PQ_PCTCHANGE(B2014,"2018-12-31","2019-12-30","1")</f>
        <v>4.9180327899999998</v>
      </c>
      <c r="H2014" s="11">
        <f>[1]!EM_S_FA_YOY_OR(B2014,E2014)</f>
        <v>-81.664343783500001</v>
      </c>
      <c r="I2014" s="11">
        <f>[1]!EM_S_FA_GROSSPROFITMARGIN(B2014,E2014)</f>
        <v>41.025749824400002</v>
      </c>
      <c r="J2014" s="11">
        <f>[1]!EM_S_FA_NETPROFITMARGIN(B2014,E2014)</f>
        <v>-0.70412457350000002</v>
      </c>
      <c r="K2014" s="10">
        <f>[1]!EM_S_FA_ASSETSTURN(B2014,E2014)</f>
        <v>5.7664819474999997E-2</v>
      </c>
      <c r="L2014" s="12">
        <f>[1]!EM_HKS_VAL_MV(B2014,"2019-12-31","2")</f>
        <v>5095282200</v>
      </c>
      <c r="M2014">
        <f>[1]!EM_S_VAL_PETTMDEDUCTED(B2014,E2014)</f>
        <v>39.641556087540401</v>
      </c>
      <c r="N2014" s="7">
        <f>[1]!EM_S_VAL_PBGOODWILLDEDUCTED(B2014,E2014)</f>
        <v>1.2914585379273</v>
      </c>
      <c r="O2014" s="7">
        <f>[1]!EM_S_VAL_PS_TTM(B2014,E2014)</f>
        <v>3.9432851400127702</v>
      </c>
      <c r="P2014" s="7">
        <f>[1]!EM_S_VAL_PCF_NCFTTM(B2014,E2014)</f>
        <v>10.2411270884405</v>
      </c>
      <c r="Q2014" s="7">
        <f>[1]!EM_S_VAL_DIVIDENDYIELD2(B2014,E2014,"2019-11-29")</f>
        <v>0.16666666666666669</v>
      </c>
      <c r="T2014"/>
      <c r="U2014">
        <f>[1]!EM_S_RATIO_EPS_TTM(B2014,E2014,"1")</f>
        <v>1.2373221302011498E-2</v>
      </c>
      <c r="AT2014" s="4" t="str">
        <f>[1]!EM_S_IPO_LISTEDDATE(B2014)</f>
        <v>2002-07-09</v>
      </c>
    </row>
    <row r="2015" spans="1:46">
      <c r="A2015">
        <v>2860</v>
      </c>
      <c r="B2015" t="str">
        <f>"600787"</f>
        <v>600787</v>
      </c>
      <c r="C2015" t="s">
        <v>2975</v>
      </c>
      <c r="D2015" t="str">
        <f>[1]!EM_S_INFO_INDEX_EM(B2015,"1")</f>
        <v>交通运输</v>
      </c>
      <c r="E2015" s="4">
        <f t="shared" si="31"/>
        <v>43465</v>
      </c>
      <c r="F2015" s="11">
        <f>[1]!EM_S_PQ_PCTCHANGE(B2015,"2018-01-01","2019-12-31","3")</f>
        <v>-52.141305160000002</v>
      </c>
      <c r="G2015" s="11">
        <f>[1]!EM_S_PQ_PCTCHANGE(B2015,"2018-12-31","2019-12-30","1")</f>
        <v>4.8</v>
      </c>
      <c r="H2015" s="11">
        <f>[1]!EM_S_FA_YOY_OR(B2015,E2015)</f>
        <v>15.1320090696</v>
      </c>
      <c r="I2015" s="11">
        <f>[1]!EM_S_FA_GROSSPROFITMARGIN(B2015,E2015)</f>
        <v>3.3720522062999998</v>
      </c>
      <c r="J2015" s="11">
        <f>[1]!EM_S_FA_NETPROFITMARGIN(B2015,E2015)</f>
        <v>1.2036714946</v>
      </c>
      <c r="K2015" s="10">
        <f>[1]!EM_S_FA_ASSETSTURN(B2015,E2015)</f>
        <v>1.8490062482680001</v>
      </c>
      <c r="L2015" s="12">
        <f>[1]!EM_HKS_VAL_MV(B2015,"2019-12-31","2")</f>
        <v>11460963381.93</v>
      </c>
      <c r="M2015">
        <f>[1]!EM_S_VAL_PETTMDEDUCTED(B2015,E2015)</f>
        <v>-710.27564088903398</v>
      </c>
      <c r="N2015" s="7">
        <f>[1]!EM_S_VAL_PBGOODWILLDEDUCTED(B2015,E2015)</f>
        <v>1.00973248983555</v>
      </c>
      <c r="O2015" s="7">
        <f>[1]!EM_S_VAL_PS_TTM(B2015,E2015)</f>
        <v>0.38946979023060901</v>
      </c>
      <c r="P2015" s="7">
        <f>[1]!EM_S_VAL_PCF_NCFTTM(B2015,E2015)</f>
        <v>-11.4218285071765</v>
      </c>
      <c r="Q2015" s="7">
        <f>[1]!EM_S_VAL_DIVIDENDYIELD2(B2015,E2015,"2019-11-29")</f>
        <v>0.4674796747967479</v>
      </c>
      <c r="T2015"/>
      <c r="U2015">
        <f>[1]!EM_S_RATIO_EPS_TTM(B2015,E2015,"1")</f>
        <v>0.21718542114167649</v>
      </c>
      <c r="AT2015" s="4" t="str">
        <f>[1]!EM_S_IPO_LISTEDDATE(B2015)</f>
        <v>1997-01-21</v>
      </c>
    </row>
    <row r="2016" spans="1:46">
      <c r="A2016">
        <v>1477</v>
      </c>
      <c r="B2016" t="str">
        <f>"300051"</f>
        <v>300051</v>
      </c>
      <c r="C2016" t="s">
        <v>2078</v>
      </c>
      <c r="D2016" t="str">
        <f>[1]!EM_S_INFO_INDEX_EM(B2016,"1")</f>
        <v>互联网</v>
      </c>
      <c r="E2016" s="4">
        <f t="shared" si="31"/>
        <v>43465</v>
      </c>
      <c r="F2016" s="11">
        <f>[1]!EM_S_PQ_PCTCHANGE(B2016,"2018-01-01","2019-12-31","3")</f>
        <v>-34.973821989999998</v>
      </c>
      <c r="G2016" s="11">
        <f>[1]!EM_S_PQ_PCTCHANGE(B2016,"2018-12-31","2019-12-30","1")</f>
        <v>4.75382003</v>
      </c>
      <c r="H2016" s="11">
        <f>[1]!EM_S_FA_YOY_OR(B2016,E2016)</f>
        <v>-27.9031070224</v>
      </c>
      <c r="I2016" s="11">
        <f>[1]!EM_S_FA_GROSSPROFITMARGIN(B2016,E2016)</f>
        <v>65.781460589299996</v>
      </c>
      <c r="J2016" s="11">
        <f>[1]!EM_S_FA_NETPROFITMARGIN(B2016,E2016)</f>
        <v>-154.9892939428</v>
      </c>
      <c r="K2016" s="10">
        <f>[1]!EM_S_FA_ASSETSTURN(B2016,E2016)</f>
        <v>0.18006482152700001</v>
      </c>
      <c r="L2016" s="12">
        <f>[1]!EM_HKS_VAL_MV(B2016,"2019-12-31","2")</f>
        <v>2270988864.9000001</v>
      </c>
      <c r="M2016">
        <f>[1]!EM_S_VAL_PETTMDEDUCTED(B2016,E2016)</f>
        <v>75.998383203363005</v>
      </c>
      <c r="N2016" s="7">
        <f>[1]!EM_S_VAL_PBGOODWILLDEDUCTED(B2016,E2016)</f>
        <v>7.2202284303553297</v>
      </c>
      <c r="O2016" s="7">
        <f>[1]!EM_S_VAL_PS_TTM(B2016,E2016)</f>
        <v>8.4846383479753502</v>
      </c>
      <c r="P2016" s="7">
        <f>[1]!EM_S_VAL_PCF_NCFTTM(B2016,E2016)</f>
        <v>-31.659577816709501</v>
      </c>
      <c r="Q2016" s="7">
        <f>[1]!EM_S_VAL_DIVIDENDYIELD2(B2016,E2016,"2019-11-29")</f>
        <v>0</v>
      </c>
      <c r="T2016"/>
      <c r="U2016">
        <f>[1]!EM_S_RATIO_EPS_TTM(B2016,E2016,"1")</f>
        <v>-0.94352297469857127</v>
      </c>
      <c r="AT2016" s="4" t="str">
        <f>[1]!EM_S_IPO_LISTEDDATE(B2016)</f>
        <v>2010-02-11</v>
      </c>
    </row>
    <row r="2017" spans="1:46">
      <c r="A2017">
        <v>781</v>
      </c>
      <c r="B2017" t="str">
        <f>"002270"</f>
        <v>002270</v>
      </c>
      <c r="C2017" t="s">
        <v>1982</v>
      </c>
      <c r="D2017" t="str">
        <f>[1]!EM_S_INFO_INDEX_EM(B2017,"1")</f>
        <v>电气设备</v>
      </c>
      <c r="E2017" s="4">
        <f t="shared" si="31"/>
        <v>43465</v>
      </c>
      <c r="F2017" s="11">
        <f>[1]!EM_S_PQ_PCTCHANGE(B2017,"2018-01-01","2019-12-31","3")</f>
        <v>-19.62662559</v>
      </c>
      <c r="G2017" s="11">
        <f>[1]!EM_S_PQ_PCTCHANGE(B2017,"2018-12-31","2019-12-30","1")</f>
        <v>4.7516198699999999</v>
      </c>
      <c r="H2017" s="11">
        <f>[1]!EM_S_FA_YOY_OR(B2017,E2017)</f>
        <v>-35.897395412999998</v>
      </c>
      <c r="I2017" s="11">
        <f>[1]!EM_S_FA_GROSSPROFITMARGIN(B2017,E2017)</f>
        <v>43.517385428399997</v>
      </c>
      <c r="J2017" s="11">
        <f>[1]!EM_S_FA_NETPROFITMARGIN(B2017,E2017)</f>
        <v>14.7690011618</v>
      </c>
      <c r="K2017" s="10">
        <f>[1]!EM_S_FA_ASSETSTURN(B2017,E2017)</f>
        <v>0.32107511226399998</v>
      </c>
      <c r="L2017" s="12">
        <f>[1]!EM_HKS_VAL_MV(B2017,"2019-12-31","2")</f>
        <v>3735456519.5999999</v>
      </c>
      <c r="M2017">
        <f>[1]!EM_S_VAL_PETTMDEDUCTED(B2017,E2017)</f>
        <v>17.6264172497924</v>
      </c>
      <c r="N2017" s="7">
        <f>[1]!EM_S_VAL_PBGOODWILLDEDUCTED(B2017,E2017)</f>
        <v>1.61185201773994</v>
      </c>
      <c r="O2017" s="7">
        <f>[1]!EM_S_VAL_PS_TTM(B2017,E2017)</f>
        <v>2.4209061480701299</v>
      </c>
      <c r="P2017" s="7">
        <f>[1]!EM_S_VAL_PCF_NCFTTM(B2017,E2017)</f>
        <v>8.1391469164602608</v>
      </c>
      <c r="Q2017" s="7">
        <f>[1]!EM_S_VAL_DIVIDENDYIELD2(B2017,E2017,"2019-11-29")</f>
        <v>0.87755102040816324</v>
      </c>
      <c r="T2017"/>
      <c r="U2017">
        <f>[1]!EM_S_RATIO_EPS_TTM(B2017,E2017,"1")</f>
        <v>0.21603134312900862</v>
      </c>
      <c r="AT2017" s="4" t="str">
        <f>[1]!EM_S_IPO_LISTEDDATE(B2017)</f>
        <v>2008-09-05</v>
      </c>
    </row>
    <row r="2018" spans="1:46">
      <c r="A2018">
        <v>2857</v>
      </c>
      <c r="B2018" t="str">
        <f>"600784"</f>
        <v>600784</v>
      </c>
      <c r="C2018" t="s">
        <v>261</v>
      </c>
      <c r="D2018" t="str">
        <f>[1]!EM_S_INFO_INDEX_EM(B2018,"1")</f>
        <v>综合</v>
      </c>
      <c r="E2018" s="4">
        <f t="shared" si="31"/>
        <v>43465</v>
      </c>
      <c r="F2018" s="11">
        <f>[1]!EM_S_PQ_PCTCHANGE(B2018,"2018-01-01","2019-12-31","3")</f>
        <v>-2.22763103</v>
      </c>
      <c r="G2018" s="11">
        <f>[1]!EM_S_PQ_PCTCHANGE(B2018,"2018-12-31","2019-12-30","1")</f>
        <v>4.7430830000000004</v>
      </c>
      <c r="H2018" s="11">
        <f>[1]!EM_S_FA_YOY_OR(B2018,E2018)</f>
        <v>27.757733572700001</v>
      </c>
      <c r="I2018" s="11">
        <f>[1]!EM_S_FA_GROSSPROFITMARGIN(B2018,E2018)</f>
        <v>8.9161566379000003</v>
      </c>
      <c r="J2018" s="11">
        <f>[1]!EM_S_FA_NETPROFITMARGIN(B2018,E2018)</f>
        <v>3.1492422575000001</v>
      </c>
      <c r="K2018" s="10">
        <f>[1]!EM_S_FA_ASSETSTURN(B2018,E2018)</f>
        <v>0.47786041851</v>
      </c>
      <c r="L2018" s="12">
        <f>[1]!EM_HKS_VAL_MV(B2018,"2019-12-31","2")</f>
        <v>2977251913.04</v>
      </c>
      <c r="M2018">
        <f>[1]!EM_S_VAL_PETTMDEDUCTED(B2018,E2018)</f>
        <v>-14.2043600164171</v>
      </c>
      <c r="N2018" s="7">
        <f>[1]!EM_S_VAL_PBGOODWILLDEDUCTED(B2018,E2018)</f>
        <v>1.9131194661903199</v>
      </c>
      <c r="O2018" s="7">
        <f>[1]!EM_S_VAL_PS_TTM(B2018,E2018)</f>
        <v>1.4781968493945901</v>
      </c>
      <c r="P2018" s="7">
        <f>[1]!EM_S_VAL_PCF_NCFTTM(B2018,E2018)</f>
        <v>6.7044905192483002</v>
      </c>
      <c r="Q2018" s="7">
        <f>[1]!EM_S_VAL_DIVIDENDYIELD2(B2018,E2018,"2019-11-29")</f>
        <v>0.25862068965517243</v>
      </c>
      <c r="T2018"/>
      <c r="U2018">
        <f>[1]!EM_S_RATIO_EPS_TTM(B2018,E2018,"1")</f>
        <v>0.11056768045827679</v>
      </c>
      <c r="AT2018" s="4" t="str">
        <f>[1]!EM_S_IPO_LISTEDDATE(B2018)</f>
        <v>1996-12-25</v>
      </c>
    </row>
    <row r="2019" spans="1:46">
      <c r="A2019">
        <v>919</v>
      </c>
      <c r="B2019" t="str">
        <f>"002408"</f>
        <v>002408</v>
      </c>
      <c r="C2019" t="s">
        <v>564</v>
      </c>
      <c r="D2019" t="str">
        <f>[1]!EM_S_INFO_INDEX_EM(B2019,"1")</f>
        <v>基础化工</v>
      </c>
      <c r="E2019" s="4">
        <f t="shared" si="31"/>
        <v>43465</v>
      </c>
      <c r="F2019" s="11">
        <f>[1]!EM_S_PQ_PCTCHANGE(B2019,"2018-01-01","2019-12-31","3")</f>
        <v>-42.421997470000001</v>
      </c>
      <c r="G2019" s="11">
        <f>[1]!EM_S_PQ_PCTCHANGE(B2019,"2018-12-31","2019-12-30","1")</f>
        <v>4.67836257</v>
      </c>
      <c r="H2019" s="11">
        <f>[1]!EM_S_FA_YOY_OR(B2019,E2019)</f>
        <v>25.635807420700001</v>
      </c>
      <c r="I2019" s="11">
        <f>[1]!EM_S_FA_GROSSPROFITMARGIN(B2019,E2019)</f>
        <v>6.7839802288</v>
      </c>
      <c r="J2019" s="11">
        <f>[1]!EM_S_FA_NETPROFITMARGIN(B2019,E2019)</f>
        <v>3.025415712</v>
      </c>
      <c r="K2019" s="10">
        <f>[1]!EM_S_FA_ASSETSTURN(B2019,E2019)</f>
        <v>2.639233301545</v>
      </c>
      <c r="L2019" s="12">
        <f>[1]!EM_HKS_VAL_MV(B2019,"2019-12-31","2")</f>
        <v>12692746158.950001</v>
      </c>
      <c r="M2019">
        <f>[1]!EM_S_VAL_PETTMDEDUCTED(B2019,E2019)</f>
        <v>12.9470613577992</v>
      </c>
      <c r="N2019" s="7">
        <f>[1]!EM_S_VAL_PBGOODWILLDEDUCTED(B2019,E2019)</f>
        <v>1.8393642831248</v>
      </c>
      <c r="O2019" s="7">
        <f>[1]!EM_S_VAL_PS_TTM(B2019,E2019)</f>
        <v>0.48453657906425601</v>
      </c>
      <c r="P2019" s="7">
        <f>[1]!EM_S_VAL_PCF_NCFTTM(B2019,E2019)</f>
        <v>13.3765315720808</v>
      </c>
      <c r="Q2019" s="7">
        <f>[1]!EM_S_VAL_DIVIDENDYIELD2(B2019,E2019,"2019-11-29")</f>
        <v>1.2417655172413793</v>
      </c>
      <c r="T2019"/>
      <c r="U2019">
        <f>[1]!EM_S_RATIO_EPS_TTM(B2019,E2019,"1")</f>
        <v>0.47482298237547549</v>
      </c>
      <c r="AT2019" s="4" t="str">
        <f>[1]!EM_S_IPO_LISTEDDATE(B2019)</f>
        <v>2010-05-18</v>
      </c>
    </row>
    <row r="2020" spans="1:46">
      <c r="A2020">
        <v>2393</v>
      </c>
      <c r="B2020" t="str">
        <f>"600262"</f>
        <v>600262</v>
      </c>
      <c r="C2020" t="s">
        <v>2621</v>
      </c>
      <c r="D2020" t="str">
        <f>[1]!EM_S_INFO_INDEX_EM(B2020,"1")</f>
        <v>交运设备</v>
      </c>
      <c r="E2020" s="4">
        <f t="shared" si="31"/>
        <v>43465</v>
      </c>
      <c r="F2020" s="11">
        <f>[1]!EM_S_PQ_PCTCHANGE(B2020,"2018-01-01","2019-12-31","3")</f>
        <v>-7.1260917600000004</v>
      </c>
      <c r="G2020" s="11">
        <f>[1]!EM_S_PQ_PCTCHANGE(B2020,"2018-12-31","2019-12-30","1")</f>
        <v>4.6685879000000003</v>
      </c>
      <c r="H2020" s="11">
        <f>[1]!EM_S_FA_YOY_OR(B2020,E2020)</f>
        <v>34.283309400999997</v>
      </c>
      <c r="I2020" s="11">
        <f>[1]!EM_S_FA_GROSSPROFITMARGIN(B2020,E2020)</f>
        <v>19.712864347699998</v>
      </c>
      <c r="J2020" s="11">
        <f>[1]!EM_S_FA_NETPROFITMARGIN(B2020,E2020)</f>
        <v>18.1491528643</v>
      </c>
      <c r="K2020" s="10">
        <f>[1]!EM_S_FA_ASSETSTURN(B2020,E2020)</f>
        <v>0.58450620233100004</v>
      </c>
      <c r="L2020" s="12">
        <f>[1]!EM_HKS_VAL_MV(B2020,"2019-12-31","2")</f>
        <v>3085500000</v>
      </c>
      <c r="M2020">
        <f>[1]!EM_S_VAL_PETTMDEDUCTED(B2020,E2020)</f>
        <v>60.807919483572199</v>
      </c>
      <c r="N2020" s="7">
        <f>[1]!EM_S_VAL_PBGOODWILLDEDUCTED(B2020,E2020)</f>
        <v>2.5596693005196798</v>
      </c>
      <c r="O2020" s="7">
        <f>[1]!EM_S_VAL_PS_TTM(B2020,E2020)</f>
        <v>2.1399229276457699</v>
      </c>
      <c r="P2020" s="7">
        <f>[1]!EM_S_VAL_PCF_NCFTTM(B2020,E2020)</f>
        <v>-33.492432672637499</v>
      </c>
      <c r="Q2020" s="7">
        <f>[1]!EM_S_VAL_DIVIDENDYIELD2(B2020,E2020,"2019-11-29")</f>
        <v>1.1771300448430493</v>
      </c>
      <c r="T2020"/>
      <c r="U2020">
        <f>[1]!EM_S_RATIO_EPS_TTM(B2020,E2020,"1")</f>
        <v>0.67210349605882347</v>
      </c>
      <c r="AT2020" s="4" t="str">
        <f>[1]!EM_S_IPO_LISTEDDATE(B2020)</f>
        <v>2000-06-30</v>
      </c>
    </row>
    <row r="2021" spans="1:46">
      <c r="A2021">
        <v>2802</v>
      </c>
      <c r="B2021" t="str">
        <f>"600729"</f>
        <v>600729</v>
      </c>
      <c r="C2021" t="s">
        <v>90</v>
      </c>
      <c r="D2021" t="str">
        <f>[1]!EM_S_INFO_INDEX_EM(B2021,"1")</f>
        <v>商贸零售</v>
      </c>
      <c r="E2021" s="4">
        <f t="shared" si="31"/>
        <v>43465</v>
      </c>
      <c r="F2021" s="11">
        <f>[1]!EM_S_PQ_PCTCHANGE(B2021,"2018-01-01","2019-12-31","3")</f>
        <v>23.73209108</v>
      </c>
      <c r="G2021" s="11">
        <f>[1]!EM_S_PQ_PCTCHANGE(B2021,"2018-12-31","2019-12-30","1")</f>
        <v>4.66431095</v>
      </c>
      <c r="H2021" s="11">
        <f>[1]!EM_S_FA_YOY_OR(B2021,E2021)</f>
        <v>3.5500733133</v>
      </c>
      <c r="I2021" s="11">
        <f>[1]!EM_S_FA_GROSSPROFITMARGIN(B2021,E2021)</f>
        <v>18.423899394900001</v>
      </c>
      <c r="J2021" s="11">
        <f>[1]!EM_S_FA_NETPROFITMARGIN(B2021,E2021)</f>
        <v>2.5647637098999998</v>
      </c>
      <c r="K2021" s="10">
        <f>[1]!EM_S_FA_ASSETSTURN(B2021,E2021)</f>
        <v>2.491593216249</v>
      </c>
      <c r="L2021" s="12">
        <f>[1]!EM_HKS_VAL_MV(B2021,"2019-12-31","2")</f>
        <v>12134874680.25</v>
      </c>
      <c r="M2021">
        <f>[1]!EM_S_VAL_PETTMDEDUCTED(B2021,E2021)</f>
        <v>13.5554658214191</v>
      </c>
      <c r="N2021" s="7">
        <f>[1]!EM_S_VAL_PBGOODWILLDEDUCTED(B2021,E2021)</f>
        <v>2.0681431175959899</v>
      </c>
      <c r="O2021" s="7">
        <f>[1]!EM_S_VAL_PS_TTM(B2021,E2021)</f>
        <v>0.33494650676059001</v>
      </c>
      <c r="P2021" s="7">
        <f>[1]!EM_S_VAL_PCF_NCFTTM(B2021,E2021)</f>
        <v>19.440831928468501</v>
      </c>
      <c r="Q2021" s="7">
        <f>[1]!EM_S_VAL_DIVIDENDYIELD2(B2021,E2021,"2019-11-29")</f>
        <v>2.3465703971119134</v>
      </c>
      <c r="T2021"/>
      <c r="U2021">
        <f>[1]!EM_S_RATIO_EPS_TTM(B2021,E2021,"1")</f>
        <v>2.0444844462982439</v>
      </c>
      <c r="AT2021" s="4" t="str">
        <f>[1]!EM_S_IPO_LISTEDDATE(B2021)</f>
        <v>1996-07-02</v>
      </c>
    </row>
    <row r="2022" spans="1:46">
      <c r="A2022">
        <v>756</v>
      </c>
      <c r="B2022" t="str">
        <f>"002245"</f>
        <v>002245</v>
      </c>
      <c r="C2022" t="s">
        <v>594</v>
      </c>
      <c r="D2022" t="str">
        <f>[1]!EM_S_INFO_INDEX_EM(B2022,"1")</f>
        <v>交通运输</v>
      </c>
      <c r="E2022" s="4">
        <f t="shared" si="31"/>
        <v>43465</v>
      </c>
      <c r="F2022" s="11">
        <f>[1]!EM_S_PQ_PCTCHANGE(B2022,"2018-01-01","2019-12-31","3")</f>
        <v>-59.788683380000002</v>
      </c>
      <c r="G2022" s="11">
        <f>[1]!EM_S_PQ_PCTCHANGE(B2022,"2018-12-31","2019-12-30","1")</f>
        <v>4.63917526</v>
      </c>
      <c r="H2022" s="11">
        <f>[1]!EM_S_FA_YOY_OR(B2022,E2022)</f>
        <v>18.579459363600002</v>
      </c>
      <c r="I2022" s="11">
        <f>[1]!EM_S_FA_GROSSPROFITMARGIN(B2022,E2022)</f>
        <v>18.805649038399999</v>
      </c>
      <c r="J2022" s="11">
        <f>[1]!EM_S_FA_NETPROFITMARGIN(B2022,E2022)</f>
        <v>8.7419651318000007</v>
      </c>
      <c r="K2022" s="10">
        <f>[1]!EM_S_FA_ASSETSTURN(B2022,E2022)</f>
        <v>0.61832798148000001</v>
      </c>
      <c r="L2022" s="12">
        <f>[1]!EM_HKS_VAL_MV(B2022,"2019-12-31","2")</f>
        <v>4013565172.02</v>
      </c>
      <c r="M2022">
        <f>[1]!EM_S_VAL_PETTMDEDUCTED(B2022,E2022)</f>
        <v>13.268601972601401</v>
      </c>
      <c r="N2022" s="7">
        <f>[1]!EM_S_VAL_PBGOODWILLDEDUCTED(B2022,E2022)</f>
        <v>1.8675991147543201</v>
      </c>
      <c r="O2022" s="7">
        <f>[1]!EM_S_VAL_PS_TTM(B2022,E2022)</f>
        <v>0.89155509826731405</v>
      </c>
      <c r="P2022" s="7">
        <f>[1]!EM_S_VAL_PCF_NCFTTM(B2022,E2022)</f>
        <v>-18.998662399268799</v>
      </c>
      <c r="Q2022" s="7">
        <f>[1]!EM_S_VAL_DIVIDENDYIELD2(B2022,E2022,"2019-11-29")</f>
        <v>0.69060773480662985</v>
      </c>
      <c r="T2022"/>
      <c r="U2022">
        <f>[1]!EM_S_RATIO_EPS_TTM(B2022,E2022,"1")</f>
        <v>0.22865081439130716</v>
      </c>
      <c r="AT2022" s="4" t="str">
        <f>[1]!EM_S_IPO_LISTEDDATE(B2022)</f>
        <v>2008-06-05</v>
      </c>
    </row>
    <row r="2023" spans="1:46">
      <c r="A2023">
        <v>1131</v>
      </c>
      <c r="B2023" t="str">
        <f>"002620"</f>
        <v>002620</v>
      </c>
      <c r="C2023" t="s">
        <v>1363</v>
      </c>
      <c r="D2023" t="str">
        <f>[1]!EM_S_INFO_INDEX_EM(B2023,"1")</f>
        <v>建筑</v>
      </c>
      <c r="E2023" s="4">
        <f t="shared" si="31"/>
        <v>43465</v>
      </c>
      <c r="F2023" s="11">
        <f>[1]!EM_S_PQ_PCTCHANGE(B2023,"2018-01-01","2019-12-31","3")</f>
        <v>-34.401348970000001</v>
      </c>
      <c r="G2023" s="11">
        <f>[1]!EM_S_PQ_PCTCHANGE(B2023,"2018-12-31","2019-12-30","1")</f>
        <v>4.6312178399999997</v>
      </c>
      <c r="H2023" s="11">
        <f>[1]!EM_S_FA_YOY_OR(B2023,E2023)</f>
        <v>20.2040913686</v>
      </c>
      <c r="I2023" s="11">
        <f>[1]!EM_S_FA_GROSSPROFITMARGIN(B2023,E2023)</f>
        <v>15.590298149600001</v>
      </c>
      <c r="J2023" s="11">
        <f>[1]!EM_S_FA_NETPROFITMARGIN(B2023,E2023)</f>
        <v>4.7387734818</v>
      </c>
      <c r="K2023" s="10">
        <f>[1]!EM_S_FA_ASSETSTURN(B2023,E2023)</f>
        <v>0.76651898039999999</v>
      </c>
      <c r="L2023" s="12">
        <f>[1]!EM_HKS_VAL_MV(B2023,"2019-12-31","2")</f>
        <v>2313429300</v>
      </c>
      <c r="M2023">
        <f>[1]!EM_S_VAL_PETTMDEDUCTED(B2023,E2023)</f>
        <v>14.241113635624</v>
      </c>
      <c r="N2023" s="7">
        <f>[1]!EM_S_VAL_PBGOODWILLDEDUCTED(B2023,E2023)</f>
        <v>0.98061967442913101</v>
      </c>
      <c r="O2023" s="7">
        <f>[1]!EM_S_VAL_PS_TTM(B2023,E2023)</f>
        <v>0.602532336420876</v>
      </c>
      <c r="P2023" s="7">
        <f>[1]!EM_S_VAL_PCF_NCFTTM(B2023,E2023)</f>
        <v>-11.788118381902599</v>
      </c>
      <c r="Q2023" s="7">
        <f>[1]!EM_S_VAL_DIVIDENDYIELD2(B2023,E2023,"2019-11-29")</f>
        <v>1.0380622837370241</v>
      </c>
      <c r="T2023"/>
      <c r="U2023">
        <f>[1]!EM_S_RATIO_EPS_TTM(B2023,E2023,"1")</f>
        <v>0.40748486079999996</v>
      </c>
      <c r="AT2023" s="4" t="str">
        <f>[1]!EM_S_IPO_LISTEDDATE(B2023)</f>
        <v>2011-09-29</v>
      </c>
    </row>
    <row r="2024" spans="1:46">
      <c r="A2024">
        <v>1545</v>
      </c>
      <c r="B2024" t="str">
        <f>"300120"</f>
        <v>300120</v>
      </c>
      <c r="C2024" t="s">
        <v>2023</v>
      </c>
      <c r="D2024" t="str">
        <f>[1]!EM_S_INFO_INDEX_EM(B2024,"1")</f>
        <v>电子设备</v>
      </c>
      <c r="E2024" s="4">
        <f t="shared" si="31"/>
        <v>43465</v>
      </c>
      <c r="F2024" s="11">
        <f>[1]!EM_S_PQ_PCTCHANGE(B2024,"2018-01-01","2019-12-31","3")</f>
        <v>-29.915404120000002</v>
      </c>
      <c r="G2024" s="11">
        <f>[1]!EM_S_PQ_PCTCHANGE(B2024,"2018-12-31","2019-12-30","1")</f>
        <v>4.6128500800000003</v>
      </c>
      <c r="H2024" s="11">
        <f>[1]!EM_S_FA_YOY_OR(B2024,E2024)</f>
        <v>132.11939105050001</v>
      </c>
      <c r="I2024" s="11">
        <f>[1]!EM_S_FA_GROSSPROFITMARGIN(B2024,E2024)</f>
        <v>22.523311465399999</v>
      </c>
      <c r="J2024" s="11">
        <f>[1]!EM_S_FA_NETPROFITMARGIN(B2024,E2024)</f>
        <v>6.6193635234999997</v>
      </c>
      <c r="K2024" s="10">
        <f>[1]!EM_S_FA_ASSETSTURN(B2024,E2024)</f>
        <v>0.74415243223600003</v>
      </c>
      <c r="L2024" s="12">
        <f>[1]!EM_HKS_VAL_MV(B2024,"2019-12-31","2")</f>
        <v>2974442310.4000001</v>
      </c>
      <c r="M2024">
        <f>[1]!EM_S_VAL_PETTMDEDUCTED(B2024,E2024)</f>
        <v>18.911908634750802</v>
      </c>
      <c r="N2024" s="7">
        <f>[1]!EM_S_VAL_PBGOODWILLDEDUCTED(B2024,E2024)</f>
        <v>1.9334007438928</v>
      </c>
      <c r="O2024" s="7">
        <f>[1]!EM_S_VAL_PS_TTM(B2024,E2024)</f>
        <v>1.2262579672462799</v>
      </c>
      <c r="P2024" s="7">
        <f>[1]!EM_S_VAL_PCF_NCFTTM(B2024,E2024)</f>
        <v>22.585741122413001</v>
      </c>
      <c r="Q2024" s="7">
        <f>[1]!EM_S_VAL_DIVIDENDYIELD2(B2024,E2024,"2019-11-29")</f>
        <v>1.4831036852765838</v>
      </c>
      <c r="T2024"/>
      <c r="U2024">
        <f>[1]!EM_S_RATIO_EPS_TTM(B2024,E2024,"1")</f>
        <v>0.34521437919544873</v>
      </c>
      <c r="AT2024" s="4" t="str">
        <f>[1]!EM_S_IPO_LISTEDDATE(B2024)</f>
        <v>2010-09-17</v>
      </c>
    </row>
    <row r="2025" spans="1:46">
      <c r="A2025">
        <v>3464</v>
      </c>
      <c r="B2025" t="str">
        <f>"603618"</f>
        <v>603618</v>
      </c>
      <c r="C2025" t="s">
        <v>1199</v>
      </c>
      <c r="D2025" t="str">
        <f>[1]!EM_S_INFO_INDEX_EM(B2025,"1")</f>
        <v>电气设备</v>
      </c>
      <c r="E2025" s="4">
        <f t="shared" si="31"/>
        <v>43465</v>
      </c>
      <c r="F2025" s="11">
        <f>[1]!EM_S_PQ_PCTCHANGE(B2025,"2018-01-01","2019-12-31","3")</f>
        <v>-38.079979989999998</v>
      </c>
      <c r="G2025" s="11">
        <f>[1]!EM_S_PQ_PCTCHANGE(B2025,"2018-12-31","2019-12-30","1")</f>
        <v>4.5977011499999998</v>
      </c>
      <c r="H2025" s="11">
        <f>[1]!EM_S_FA_YOY_OR(B2025,E2025)</f>
        <v>5.1995439786000004</v>
      </c>
      <c r="I2025" s="11">
        <f>[1]!EM_S_FA_GROSSPROFITMARGIN(B2025,E2025)</f>
        <v>16.6231510382</v>
      </c>
      <c r="J2025" s="11">
        <f>[1]!EM_S_FA_NETPROFITMARGIN(B2025,E2025)</f>
        <v>2.5755722856999999</v>
      </c>
      <c r="K2025" s="10">
        <f>[1]!EM_S_FA_ASSETSTURN(B2025,E2025)</f>
        <v>0.83269005341199998</v>
      </c>
      <c r="L2025" s="12">
        <f>[1]!EM_HKS_VAL_MV(B2025,"2019-12-31","2")</f>
        <v>3800642246.5</v>
      </c>
      <c r="M2025">
        <f>[1]!EM_S_VAL_PETTMDEDUCTED(B2025,E2025)</f>
        <v>39.741647990361102</v>
      </c>
      <c r="N2025" s="7">
        <f>[1]!EM_S_VAL_PBGOODWILLDEDUCTED(B2025,E2025)</f>
        <v>1.7313502871181199</v>
      </c>
      <c r="O2025" s="7">
        <f>[1]!EM_S_VAL_PS_TTM(B2025,E2025)</f>
        <v>0.84375340767509299</v>
      </c>
      <c r="P2025" s="7">
        <f>[1]!EM_S_VAL_PCF_NCFTTM(B2025,E2025)</f>
        <v>-28.5804099872644</v>
      </c>
      <c r="Q2025" s="7">
        <f>[1]!EM_S_VAL_DIVIDENDYIELD2(B2025,E2025,"2019-11-29")</f>
        <v>0.96008985159142091</v>
      </c>
      <c r="T2025"/>
      <c r="U2025">
        <f>[1]!EM_S_RATIO_EPS_TTM(B2025,E2025,"1")</f>
        <v>0.14655958981468031</v>
      </c>
      <c r="AT2025" s="4" t="str">
        <f>[1]!EM_S_IPO_LISTEDDATE(B2025)</f>
        <v>2015-02-17</v>
      </c>
    </row>
    <row r="2026" spans="1:46">
      <c r="A2026">
        <v>1316</v>
      </c>
      <c r="B2026" t="str">
        <f>"002812"</f>
        <v>002812</v>
      </c>
      <c r="C2026" t="s">
        <v>1753</v>
      </c>
      <c r="D2026" t="str">
        <f>[1]!EM_S_INFO_INDEX_EM(B2026,"1")</f>
        <v>轻工制造</v>
      </c>
      <c r="E2026" s="4">
        <f t="shared" si="31"/>
        <v>43465</v>
      </c>
      <c r="F2026" s="11">
        <f>[1]!EM_S_PQ_PCTCHANGE(B2026,"2018-01-01","2019-12-31","3")</f>
        <v>69.598938380000007</v>
      </c>
      <c r="G2026" s="11">
        <f>[1]!EM_S_PQ_PCTCHANGE(B2026,"2018-12-31","2019-12-30","1")</f>
        <v>4.5942116999999998</v>
      </c>
      <c r="H2026" s="11">
        <f>[1]!EM_S_FA_YOY_OR(B2026,E2026)</f>
        <v>16.227855974899999</v>
      </c>
      <c r="I2026" s="11">
        <f>[1]!EM_S_FA_GROSSPROFITMARGIN(B2026,E2026)</f>
        <v>42.048365235200002</v>
      </c>
      <c r="J2026" s="11">
        <f>[1]!EM_S_FA_NETPROFITMARGIN(B2026,E2026)</f>
        <v>27.684469720599999</v>
      </c>
      <c r="K2026" s="10">
        <f>[1]!EM_S_FA_ASSETSTURN(B2026,E2026)</f>
        <v>0.50459499179199996</v>
      </c>
      <c r="L2026" s="12">
        <f>[1]!EM_HKS_VAL_MV(B2026,"2019-12-31","2")</f>
        <v>40671223885</v>
      </c>
      <c r="M2026">
        <f>[1]!EM_S_VAL_PETTMDEDUCTED(B2026,E2026)</f>
        <v>113.145407561583</v>
      </c>
      <c r="N2026" s="7">
        <f>[1]!EM_S_VAL_PBGOODWILLDEDUCTED(B2026,E2026)</f>
        <v>6.1669311948032401</v>
      </c>
      <c r="O2026" s="7">
        <f>[1]!EM_S_VAL_PS_TTM(B2026,E2026)</f>
        <v>18.525959875748999</v>
      </c>
      <c r="P2026" s="7">
        <f>[1]!EM_S_VAL_PCF_NCFTTM(B2026,E2026)</f>
        <v>-1327.9790956344</v>
      </c>
      <c r="Q2026" s="7">
        <f>[1]!EM_S_VAL_DIVIDENDYIELD2(B2026,E2026,"2019-11-29")</f>
        <v>0.5399463334199287</v>
      </c>
      <c r="T2026"/>
      <c r="U2026">
        <f>[1]!EM_S_RATIO_EPS_TTM(B2026,E2026,"1")</f>
        <v>1.0940590031552928</v>
      </c>
      <c r="AT2026" s="4" t="str">
        <f>[1]!EM_S_IPO_LISTEDDATE(B2026)</f>
        <v>2016-09-14</v>
      </c>
    </row>
    <row r="2027" spans="1:46">
      <c r="A2027">
        <v>1689</v>
      </c>
      <c r="B2027" t="str">
        <f>"300264"</f>
        <v>300264</v>
      </c>
      <c r="C2027" t="s">
        <v>1933</v>
      </c>
      <c r="D2027" t="str">
        <f>[1]!EM_S_INFO_INDEX_EM(B2027,"1")</f>
        <v>信息技术</v>
      </c>
      <c r="E2027" s="4">
        <f t="shared" si="31"/>
        <v>43465</v>
      </c>
      <c r="F2027" s="11">
        <f>[1]!EM_S_PQ_PCTCHANGE(B2027,"2018-01-01","2019-12-31","3")</f>
        <v>-39.75</v>
      </c>
      <c r="G2027" s="11">
        <f>[1]!EM_S_PQ_PCTCHANGE(B2027,"2018-12-31","2019-12-30","1")</f>
        <v>4.5553145300000004</v>
      </c>
      <c r="H2027" s="11">
        <f>[1]!EM_S_FA_YOY_OR(B2027,E2027)</f>
        <v>31.8338497194</v>
      </c>
      <c r="I2027" s="11">
        <f>[1]!EM_S_FA_GROSSPROFITMARGIN(B2027,E2027)</f>
        <v>31.6383048169</v>
      </c>
      <c r="J2027" s="11">
        <f>[1]!EM_S_FA_NETPROFITMARGIN(B2027,E2027)</f>
        <v>2.7536155779999998</v>
      </c>
      <c r="K2027" s="10">
        <f>[1]!EM_S_FA_ASSETSTURN(B2027,E2027)</f>
        <v>0.37367755377900003</v>
      </c>
      <c r="L2027" s="12">
        <f>[1]!EM_HKS_VAL_MV(B2027,"2019-12-31","2")</f>
        <v>1991142000</v>
      </c>
      <c r="M2027">
        <f>[1]!EM_S_VAL_PETTMDEDUCTED(B2027,E2027)</f>
        <v>-30.532990273824499</v>
      </c>
      <c r="N2027" s="7">
        <f>[1]!EM_S_VAL_PBGOODWILLDEDUCTED(B2027,E2027)</f>
        <v>4.7515487080153997</v>
      </c>
      <c r="O2027" s="7">
        <f>[1]!EM_S_VAL_PS_TTM(B2027,E2027)</f>
        <v>6.4492300943438297</v>
      </c>
      <c r="P2027" s="7">
        <f>[1]!EM_S_VAL_PCF_NCFTTM(B2027,E2027)</f>
        <v>-130.56038162050299</v>
      </c>
      <c r="Q2027" s="7">
        <f>[1]!EM_S_VAL_DIVIDENDYIELD2(B2027,E2027,"2019-11-29")</f>
        <v>0</v>
      </c>
      <c r="T2027"/>
      <c r="U2027">
        <f>[1]!EM_S_RATIO_EPS_TTM(B2027,E2027,"1")</f>
        <v>2.5652020455095619E-2</v>
      </c>
      <c r="AT2027" s="4" t="str">
        <f>[1]!EM_S_IPO_LISTEDDATE(B2027)</f>
        <v>2011-09-16</v>
      </c>
    </row>
    <row r="2028" spans="1:46">
      <c r="A2028">
        <v>3460</v>
      </c>
      <c r="B2028" t="str">
        <f>"603612"</f>
        <v>603612</v>
      </c>
      <c r="C2028" t="s">
        <v>485</v>
      </c>
      <c r="D2028" t="str">
        <f>[1]!EM_S_INFO_INDEX_EM(B2028,"1")</f>
        <v>有色金属</v>
      </c>
      <c r="E2028" s="4">
        <f t="shared" si="31"/>
        <v>43465</v>
      </c>
      <c r="F2028" s="11">
        <f>[1]!EM_S_PQ_PCTCHANGE(B2028,"2018-01-01","2019-12-31","3")</f>
        <v>-64.132167989999999</v>
      </c>
      <c r="G2028" s="11">
        <f>[1]!EM_S_PQ_PCTCHANGE(B2028,"2018-12-31","2019-12-30","1")</f>
        <v>4.5532646000000003</v>
      </c>
      <c r="H2028" s="11">
        <f>[1]!EM_S_FA_YOY_OR(B2028,E2028)</f>
        <v>2.2220303931999998</v>
      </c>
      <c r="I2028" s="11">
        <f>[1]!EM_S_FA_GROSSPROFITMARGIN(B2028,E2028)</f>
        <v>18.145108837199999</v>
      </c>
      <c r="J2028" s="11">
        <f>[1]!EM_S_FA_NETPROFITMARGIN(B2028,E2028)</f>
        <v>6.1138431886999998</v>
      </c>
      <c r="K2028" s="10">
        <f>[1]!EM_S_FA_ASSETSTURN(B2028,E2028)</f>
        <v>0.64847275559100004</v>
      </c>
      <c r="L2028" s="12">
        <f>[1]!EM_HKS_VAL_MV(B2028,"2019-12-31","2")</f>
        <v>4175267195.4000001</v>
      </c>
      <c r="M2028">
        <f>[1]!EM_S_VAL_PETTMDEDUCTED(B2028,E2028)</f>
        <v>12.5951137694829</v>
      </c>
      <c r="N2028" s="7">
        <f>[1]!EM_S_VAL_PBGOODWILLDEDUCTED(B2028,E2028)</f>
        <v>1.6229335511383101</v>
      </c>
      <c r="O2028" s="7">
        <f>[1]!EM_S_VAL_PS_TTM(B2028,E2028)</f>
        <v>1.1168345330838101</v>
      </c>
      <c r="P2028" s="7">
        <f>[1]!EM_S_VAL_PCF_NCFTTM(B2028,E2028)</f>
        <v>-27.722567259722499</v>
      </c>
      <c r="Q2028" s="7">
        <f>[1]!EM_S_VAL_DIVIDENDYIELD2(B2028,E2028,"2019-11-29")</f>
        <v>0.91001011122345798</v>
      </c>
      <c r="T2028"/>
      <c r="U2028">
        <f>[1]!EM_S_RATIO_EPS_TTM(B2028,E2028,"1")</f>
        <v>0.59236714717587102</v>
      </c>
      <c r="AT2028" s="4" t="str">
        <f>[1]!EM_S_IPO_LISTEDDATE(B2028)</f>
        <v>2017-07-18</v>
      </c>
    </row>
    <row r="2029" spans="1:46">
      <c r="A2029">
        <v>1233</v>
      </c>
      <c r="B2029" t="str">
        <f>"002723"</f>
        <v>002723</v>
      </c>
      <c r="C2029" t="s">
        <v>3494</v>
      </c>
      <c r="D2029" t="str">
        <f>[1]!EM_S_INFO_INDEX_EM(B2029,"1")</f>
        <v>家电</v>
      </c>
      <c r="E2029" s="4">
        <f t="shared" si="31"/>
        <v>43465</v>
      </c>
      <c r="F2029" s="11">
        <f>[1]!EM_S_PQ_PCTCHANGE(B2029,"2018-01-01","2019-12-31","3")</f>
        <v>-54.536771729999998</v>
      </c>
      <c r="G2029" s="11">
        <f>[1]!EM_S_PQ_PCTCHANGE(B2029,"2018-12-31","2019-12-30","1")</f>
        <v>4.5454545499999996</v>
      </c>
      <c r="H2029" s="11">
        <f>[1]!EM_S_FA_YOY_OR(B2029,E2029)</f>
        <v>-15.8256951073</v>
      </c>
      <c r="I2029" s="11">
        <f>[1]!EM_S_FA_GROSSPROFITMARGIN(B2029,E2029)</f>
        <v>5.5140182038000001</v>
      </c>
      <c r="J2029" s="11">
        <f>[1]!EM_S_FA_NETPROFITMARGIN(B2029,E2029)</f>
        <v>-10.874286638099999</v>
      </c>
      <c r="K2029" s="10">
        <f>[1]!EM_S_FA_ASSETSTURN(B2029,E2029)</f>
        <v>0.81692917127499998</v>
      </c>
      <c r="L2029" s="12">
        <f>[1]!EM_HKS_VAL_MV(B2029,"2019-12-31","2")</f>
        <v>1826412000</v>
      </c>
      <c r="M2029">
        <f>[1]!EM_S_VAL_PETTMDEDUCTED(B2029,E2029)</f>
        <v>-71.775875001004493</v>
      </c>
      <c r="N2029" s="7">
        <f>[1]!EM_S_VAL_PBGOODWILLDEDUCTED(B2029,E2029)</f>
        <v>3.0409970517178602</v>
      </c>
      <c r="O2029" s="7">
        <f>[1]!EM_S_VAL_PS_TTM(B2029,E2029)</f>
        <v>1.97558626395349</v>
      </c>
      <c r="P2029" s="7">
        <f>[1]!EM_S_VAL_PCF_NCFTTM(B2029,E2029)</f>
        <v>-78.655059682049</v>
      </c>
      <c r="Q2029" s="7">
        <f>[1]!EM_S_VAL_DIVIDENDYIELD2(B2029,E2029,"2019-11-29")</f>
        <v>0</v>
      </c>
      <c r="T2029"/>
      <c r="U2029">
        <f>[1]!EM_S_RATIO_EPS_TTM(B2029,E2029,"1")</f>
        <v>-0.47290769288369899</v>
      </c>
      <c r="AT2029" s="4" t="str">
        <f>[1]!EM_S_IPO_LISTEDDATE(B2029)</f>
        <v>2014-01-29</v>
      </c>
    </row>
    <row r="2030" spans="1:46">
      <c r="A2030">
        <v>2193</v>
      </c>
      <c r="B2030" t="str">
        <f>"600037"</f>
        <v>600037</v>
      </c>
      <c r="C2030" t="s">
        <v>1919</v>
      </c>
      <c r="D2030" t="str">
        <f>[1]!EM_S_INFO_INDEX_EM(B2030,"1")</f>
        <v>文化传媒</v>
      </c>
      <c r="E2030" s="4">
        <f t="shared" si="31"/>
        <v>43465</v>
      </c>
      <c r="F2030" s="11">
        <f>[1]!EM_S_PQ_PCTCHANGE(B2030,"2018-01-01","2019-12-31","3")</f>
        <v>-28.355896919999999</v>
      </c>
      <c r="G2030" s="11">
        <f>[1]!EM_S_PQ_PCTCHANGE(B2030,"2018-12-31","2019-12-30","1")</f>
        <v>4.5401629799999998</v>
      </c>
      <c r="H2030" s="11">
        <f>[1]!EM_S_FA_YOY_OR(B2030,E2030)</f>
        <v>1.0030650571999999</v>
      </c>
      <c r="I2030" s="11">
        <f>[1]!EM_S_FA_GROSSPROFITMARGIN(B2030,E2030)</f>
        <v>26.2269954476</v>
      </c>
      <c r="J2030" s="11">
        <f>[1]!EM_S_FA_NETPROFITMARGIN(B2030,E2030)</f>
        <v>25.473526283199998</v>
      </c>
      <c r="K2030" s="10">
        <f>[1]!EM_S_FA_ASSETSTURN(B2030,E2030)</f>
        <v>0.17436015143</v>
      </c>
      <c r="L2030" s="12">
        <f>[1]!EM_HKS_VAL_MV(B2030,"2019-12-31","2")</f>
        <v>12539918734.84</v>
      </c>
      <c r="M2030">
        <f>[1]!EM_S_VAL_PETTMDEDUCTED(B2030,E2030)</f>
        <v>23.416550062511099</v>
      </c>
      <c r="N2030" s="7">
        <f>[1]!EM_S_VAL_PBGOODWILLDEDUCTED(B2030,E2030)</f>
        <v>0.91642273040538003</v>
      </c>
      <c r="O2030" s="7">
        <f>[1]!EM_S_VAL_PS_TTM(B2030,E2030)</f>
        <v>4.4516188656111604</v>
      </c>
      <c r="P2030" s="7">
        <f>[1]!EM_S_VAL_PCF_NCFTTM(B2030,E2030)</f>
        <v>-5.1303060216616903</v>
      </c>
      <c r="Q2030" s="7">
        <f>[1]!EM_S_VAL_DIVIDENDYIELD2(B2030,E2030,"2019-11-29")</f>
        <v>2.1003500583430572</v>
      </c>
      <c r="T2030"/>
      <c r="U2030">
        <f>[1]!EM_S_RATIO_EPS_TTM(B2030,E2030,"1")</f>
        <v>0.49879841173708434</v>
      </c>
      <c r="AT2030" s="4" t="str">
        <f>[1]!EM_S_IPO_LISTEDDATE(B2030)</f>
        <v>2001-02-08</v>
      </c>
    </row>
    <row r="2031" spans="1:46">
      <c r="A2031">
        <v>349</v>
      </c>
      <c r="B2031" t="str">
        <f>"000789"</f>
        <v>000789</v>
      </c>
      <c r="C2031" t="s">
        <v>157</v>
      </c>
      <c r="D2031" t="str">
        <f>[1]!EM_S_INFO_INDEX_EM(B2031,"1")</f>
        <v>建材</v>
      </c>
      <c r="E2031" s="4">
        <f t="shared" si="31"/>
        <v>43465</v>
      </c>
      <c r="F2031" s="11">
        <f>[1]!EM_S_PQ_PCTCHANGE(B2031,"2018-01-01","2019-12-31","3")</f>
        <v>64.401686220000002</v>
      </c>
      <c r="G2031" s="11">
        <f>[1]!EM_S_PQ_PCTCHANGE(B2031,"2018-12-31","2019-12-30","1")</f>
        <v>4.4995408599999998</v>
      </c>
      <c r="H2031" s="11">
        <f>[1]!EM_S_FA_YOY_OR(B2031,E2031)</f>
        <v>43.893293939099998</v>
      </c>
      <c r="I2031" s="11">
        <f>[1]!EM_S_FA_GROSSPROFITMARGIN(B2031,E2031)</f>
        <v>32.552180357799998</v>
      </c>
      <c r="J2031" s="11">
        <f>[1]!EM_S_FA_NETPROFITMARGIN(B2031,E2031)</f>
        <v>18.0043006571</v>
      </c>
      <c r="K2031" s="10">
        <f>[1]!EM_S_FA_ASSETSTURN(B2031,E2031)</f>
        <v>1.107849133784</v>
      </c>
      <c r="L2031" s="12">
        <f>[1]!EM_HKS_VAL_MV(B2031,"2019-12-31","2")</f>
        <v>9735932608.3799992</v>
      </c>
      <c r="M2031">
        <f>[1]!EM_S_VAL_PETTMDEDUCTED(B2031,E2031)</f>
        <v>5.7800821226201702</v>
      </c>
      <c r="N2031" s="7">
        <f>[1]!EM_S_VAL_PBGOODWILLDEDUCTED(B2031,E2031)</f>
        <v>1.7751149024352499</v>
      </c>
      <c r="O2031" s="7">
        <f>[1]!EM_S_VAL_PS_TTM(B2031,E2031)</f>
        <v>0.70338486366863995</v>
      </c>
      <c r="P2031" s="7">
        <f>[1]!EM_S_VAL_PCF_NCFTTM(B2031,E2031)</f>
        <v>12.031842264372299</v>
      </c>
      <c r="Q2031" s="7">
        <f>[1]!EM_S_VAL_DIVIDENDYIELD2(B2031,E2031,"2019-11-29")</f>
        <v>6.0868903629408626</v>
      </c>
      <c r="T2031"/>
      <c r="U2031">
        <f>[1]!EM_S_RATIO_EPS_TTM(B2031,E2031,"1")</f>
        <v>1.8546530702937734</v>
      </c>
      <c r="AT2031" s="4" t="str">
        <f>[1]!EM_S_IPO_LISTEDDATE(B2031)</f>
        <v>1997-09-23</v>
      </c>
    </row>
    <row r="2032" spans="1:46">
      <c r="A2032">
        <v>1847</v>
      </c>
      <c r="B2032" t="str">
        <f>"300422"</f>
        <v>300422</v>
      </c>
      <c r="C2032" t="s">
        <v>285</v>
      </c>
      <c r="D2032" t="str">
        <f>[1]!EM_S_INFO_INDEX_EM(B2032,"1")</f>
        <v>公用事业</v>
      </c>
      <c r="E2032" s="4">
        <f t="shared" si="31"/>
        <v>43465</v>
      </c>
      <c r="F2032" s="11">
        <f>[1]!EM_S_PQ_PCTCHANGE(B2032,"2018-01-01","2019-12-31","3")</f>
        <v>-38.171685230000001</v>
      </c>
      <c r="G2032" s="11">
        <f>[1]!EM_S_PQ_PCTCHANGE(B2032,"2018-12-31","2019-12-30","1")</f>
        <v>4.4399596399999997</v>
      </c>
      <c r="H2032" s="11">
        <f>[1]!EM_S_FA_YOY_OR(B2032,E2032)</f>
        <v>85.491224050200003</v>
      </c>
      <c r="I2032" s="11">
        <f>[1]!EM_S_FA_GROSSPROFITMARGIN(B2032,E2032)</f>
        <v>28.520316741599999</v>
      </c>
      <c r="J2032" s="11">
        <f>[1]!EM_S_FA_NETPROFITMARGIN(B2032,E2032)</f>
        <v>8.4984725345999994</v>
      </c>
      <c r="K2032" s="10">
        <f>[1]!EM_S_FA_ASSETSTURN(B2032,E2032)</f>
        <v>0.52150001638400001</v>
      </c>
      <c r="L2032" s="12">
        <f>[1]!EM_HKS_VAL_MV(B2032,"2019-12-31","2")</f>
        <v>3722036715</v>
      </c>
      <c r="M2032">
        <f>[1]!EM_S_VAL_PETTMDEDUCTED(B2032,E2032)</f>
        <v>15.614958445146099</v>
      </c>
      <c r="N2032" s="7">
        <f>[1]!EM_S_VAL_PBGOODWILLDEDUCTED(B2032,E2032)</f>
        <v>2.5823799531198501</v>
      </c>
      <c r="O2032" s="7">
        <f>[1]!EM_S_VAL_PS_TTM(B2032,E2032)</f>
        <v>1.44629684448331</v>
      </c>
      <c r="P2032" s="7">
        <f>[1]!EM_S_VAL_PCF_NCFTTM(B2032,E2032)</f>
        <v>68.823881212148606</v>
      </c>
      <c r="Q2032" s="7">
        <f>[1]!EM_S_VAL_DIVIDENDYIELD2(B2032,E2032,"2019-11-29")</f>
        <v>0.68682995547961878</v>
      </c>
      <c r="T2032"/>
      <c r="U2032">
        <f>[1]!EM_S_RATIO_EPS_TTM(B2032,E2032,"1")</f>
        <v>0.66119432216408114</v>
      </c>
      <c r="AT2032" s="4" t="str">
        <f>[1]!EM_S_IPO_LISTEDDATE(B2032)</f>
        <v>2015-02-17</v>
      </c>
    </row>
    <row r="2033" spans="1:46">
      <c r="A2033">
        <v>1144</v>
      </c>
      <c r="B2033" t="str">
        <f>"002633"</f>
        <v>002633</v>
      </c>
      <c r="C2033" t="s">
        <v>3340</v>
      </c>
      <c r="D2033" t="str">
        <f>[1]!EM_S_INFO_INDEX_EM(B2033,"1")</f>
        <v>机械设备</v>
      </c>
      <c r="E2033" s="4">
        <f t="shared" si="31"/>
        <v>43465</v>
      </c>
      <c r="F2033" s="11">
        <f>[1]!EM_S_PQ_PCTCHANGE(B2033,"2018-01-01","2019-12-31","3")</f>
        <v>-27.022375220000001</v>
      </c>
      <c r="G2033" s="11">
        <f>[1]!EM_S_PQ_PCTCHANGE(B2033,"2018-12-31","2019-12-30","1")</f>
        <v>4.4334975400000003</v>
      </c>
      <c r="H2033" s="11">
        <f>[1]!EM_S_FA_YOY_OR(B2033,E2033)</f>
        <v>-7.0525143901999998</v>
      </c>
      <c r="I2033" s="11">
        <f>[1]!EM_S_FA_GROSSPROFITMARGIN(B2033,E2033)</f>
        <v>25.134690347700001</v>
      </c>
      <c r="J2033" s="11">
        <f>[1]!EM_S_FA_NETPROFITMARGIN(B2033,E2033)</f>
        <v>2.5111560308</v>
      </c>
      <c r="K2033" s="10">
        <f>[1]!EM_S_FA_ASSETSTURN(B2033,E2033)</f>
        <v>0.26251174712600001</v>
      </c>
      <c r="L2033" s="12">
        <f>[1]!EM_HKS_VAL_MV(B2033,"2019-12-31","2")</f>
        <v>1272000000</v>
      </c>
      <c r="M2033">
        <f>[1]!EM_S_VAL_PETTMDEDUCTED(B2033,E2033)</f>
        <v>367.40441704871699</v>
      </c>
      <c r="N2033" s="7">
        <f>[1]!EM_S_VAL_PBGOODWILLDEDUCTED(B2033,E2033)</f>
        <v>2.3207512640067498</v>
      </c>
      <c r="O2033" s="7">
        <f>[1]!EM_S_VAL_PS_TTM(B2033,E2033)</f>
        <v>7.0362692314262798</v>
      </c>
      <c r="P2033" s="7">
        <f>[1]!EM_S_VAL_PCF_NCFTTM(B2033,E2033)</f>
        <v>-160.675202686755</v>
      </c>
      <c r="Q2033" s="7">
        <f>[1]!EM_S_VAL_DIVIDENDYIELD2(B2033,E2033,"2019-11-29")</f>
        <v>0</v>
      </c>
      <c r="T2033"/>
      <c r="U2033">
        <f>[1]!EM_S_RATIO_EPS_TTM(B2033,E2033,"1")</f>
        <v>2.70993624E-2</v>
      </c>
      <c r="AT2033" s="4" t="str">
        <f>[1]!EM_S_IPO_LISTEDDATE(B2033)</f>
        <v>2011-11-22</v>
      </c>
    </row>
    <row r="2034" spans="1:46">
      <c r="A2034">
        <v>788</v>
      </c>
      <c r="B2034" t="str">
        <f>"002277"</f>
        <v>002277</v>
      </c>
      <c r="C2034" t="s">
        <v>670</v>
      </c>
      <c r="D2034" t="str">
        <f>[1]!EM_S_INFO_INDEX_EM(B2034,"1")</f>
        <v>商贸零售</v>
      </c>
      <c r="E2034" s="4">
        <f t="shared" si="31"/>
        <v>43465</v>
      </c>
      <c r="F2034" s="11">
        <f>[1]!EM_S_PQ_PCTCHANGE(B2034,"2018-01-01","2019-12-31","3")</f>
        <v>-42.221237199999997</v>
      </c>
      <c r="G2034" s="11">
        <f>[1]!EM_S_PQ_PCTCHANGE(B2034,"2018-12-31","2019-12-30","1")</f>
        <v>4.4303797500000002</v>
      </c>
      <c r="H2034" s="11">
        <f>[1]!EM_S_FA_YOY_OR(B2034,E2034)</f>
        <v>-0.52800093979999996</v>
      </c>
      <c r="I2034" s="11">
        <f>[1]!EM_S_FA_GROSSPROFITMARGIN(B2034,E2034)</f>
        <v>19.848266535</v>
      </c>
      <c r="J2034" s="11">
        <f>[1]!EM_S_FA_NETPROFITMARGIN(B2034,E2034)</f>
        <v>5.3704994430999999</v>
      </c>
      <c r="K2034" s="10">
        <f>[1]!EM_S_FA_ASSETSTURN(B2034,E2034)</f>
        <v>0.51254689000300002</v>
      </c>
      <c r="L2034" s="12">
        <f>[1]!EM_HKS_VAL_MV(B2034,"2019-12-31","2")</f>
        <v>4614711968</v>
      </c>
      <c r="M2034">
        <f>[1]!EM_S_VAL_PETTMDEDUCTED(B2034,E2034)</f>
        <v>19.675922507112499</v>
      </c>
      <c r="N2034" s="7">
        <f>[1]!EM_S_VAL_PBGOODWILLDEDUCTED(B2034,E2034)</f>
        <v>0.677687337091191</v>
      </c>
      <c r="O2034" s="7">
        <f>[1]!EM_S_VAL_PS_TTM(B2034,E2034)</f>
        <v>0.60063723836951199</v>
      </c>
      <c r="P2034" s="7">
        <f>[1]!EM_S_VAL_PCF_NCFTTM(B2034,E2034)</f>
        <v>-8.7594919293716398</v>
      </c>
      <c r="Q2034" s="7">
        <f>[1]!EM_S_VAL_DIVIDENDYIELD2(B2034,E2034,"2019-11-29")</f>
        <v>1.5923566878980893</v>
      </c>
      <c r="T2034"/>
      <c r="U2034">
        <f>[1]!EM_S_RATIO_EPS_TTM(B2034,E2034,"1")</f>
        <v>0.32014256377147282</v>
      </c>
      <c r="AT2034" s="4" t="str">
        <f>[1]!EM_S_IPO_LISTEDDATE(B2034)</f>
        <v>2009-07-17</v>
      </c>
    </row>
    <row r="2035" spans="1:46">
      <c r="A2035">
        <v>2689</v>
      </c>
      <c r="B2035" t="str">
        <f>"600616"</f>
        <v>600616</v>
      </c>
      <c r="C2035" t="s">
        <v>1175</v>
      </c>
      <c r="D2035" t="str">
        <f>[1]!EM_S_INFO_INDEX_EM(B2035,"1")</f>
        <v>食品饮料</v>
      </c>
      <c r="E2035" s="4">
        <f t="shared" si="31"/>
        <v>43465</v>
      </c>
      <c r="F2035" s="11">
        <f>[1]!EM_S_PQ_PCTCHANGE(B2035,"2018-01-01","2019-12-31","3")</f>
        <v>-46.532779550000001</v>
      </c>
      <c r="G2035" s="11">
        <f>[1]!EM_S_PQ_PCTCHANGE(B2035,"2018-12-31","2019-12-30","1")</f>
        <v>4.4117647099999999</v>
      </c>
      <c r="H2035" s="11">
        <f>[1]!EM_S_FA_YOY_OR(B2035,E2035)</f>
        <v>-8.9632818695999994</v>
      </c>
      <c r="I2035" s="11">
        <f>[1]!EM_S_FA_GROSSPROFITMARGIN(B2035,E2035)</f>
        <v>46.2126816225</v>
      </c>
      <c r="J2035" s="11">
        <f>[1]!EM_S_FA_NETPROFITMARGIN(B2035,E2035)</f>
        <v>-8.0641455250000007</v>
      </c>
      <c r="K2035" s="10">
        <f>[1]!EM_S_FA_ASSETSTURN(B2035,E2035)</f>
        <v>0.38556368768799998</v>
      </c>
      <c r="L2035" s="12">
        <f>[1]!EM_HKS_VAL_MV(B2035,"2019-12-31","2")</f>
        <v>2598826919.5999999</v>
      </c>
      <c r="M2035">
        <f>[1]!EM_S_VAL_PETTMDEDUCTED(B2035,E2035)</f>
        <v>76.276240370550994</v>
      </c>
      <c r="N2035" s="7">
        <f>[1]!EM_S_VAL_PBGOODWILLDEDUCTED(B2035,E2035)</f>
        <v>1.3062430901286199</v>
      </c>
      <c r="O2035" s="7">
        <f>[1]!EM_S_VAL_PS_TTM(B2035,E2035)</f>
        <v>2.7279174683429601</v>
      </c>
      <c r="P2035" s="7">
        <f>[1]!EM_S_VAL_PCF_NCFTTM(B2035,E2035)</f>
        <v>-22.275334487557501</v>
      </c>
      <c r="Q2035" s="7">
        <f>[1]!EM_S_VAL_DIVIDENDYIELD2(B2035,E2035,"2019-11-29")</f>
        <v>0</v>
      </c>
      <c r="T2035"/>
      <c r="U2035">
        <f>[1]!EM_S_RATIO_EPS_TTM(B2035,E2035,"1")</f>
        <v>-0.13384694236199415</v>
      </c>
      <c r="AT2035" s="4" t="str">
        <f>[1]!EM_S_IPO_LISTEDDATE(B2035)</f>
        <v>1992-09-29</v>
      </c>
    </row>
    <row r="2036" spans="1:46">
      <c r="A2036">
        <v>385</v>
      </c>
      <c r="B2036" t="str">
        <f>"000830"</f>
        <v>000830</v>
      </c>
      <c r="C2036" t="s">
        <v>89</v>
      </c>
      <c r="D2036" t="str">
        <f>[1]!EM_S_INFO_INDEX_EM(B2036,"1")</f>
        <v>基础化工</v>
      </c>
      <c r="E2036" s="4">
        <f t="shared" si="31"/>
        <v>43465</v>
      </c>
      <c r="F2036" s="11">
        <f>[1]!EM_S_PQ_PCTCHANGE(B2036,"2018-01-01","2019-12-31","3")</f>
        <v>-30.239069109999999</v>
      </c>
      <c r="G2036" s="11">
        <f>[1]!EM_S_PQ_PCTCHANGE(B2036,"2018-12-31","2019-12-30","1")</f>
        <v>4.3877550999999997</v>
      </c>
      <c r="H2036" s="11">
        <f>[1]!EM_S_FA_YOY_OR(B2036,E2036)</f>
        <v>35.040718911900001</v>
      </c>
      <c r="I2036" s="11">
        <f>[1]!EM_S_FA_GROSSPROFITMARGIN(B2036,E2036)</f>
        <v>28.333143339399999</v>
      </c>
      <c r="J2036" s="11">
        <f>[1]!EM_S_FA_NETPROFITMARGIN(B2036,E2036)</f>
        <v>14.407316182800001</v>
      </c>
      <c r="K2036" s="10">
        <f>[1]!EM_S_FA_ASSETSTURN(B2036,E2036)</f>
        <v>0.76617575062800003</v>
      </c>
      <c r="L2036" s="12">
        <f>[1]!EM_HKS_VAL_MV(B2036,"2019-12-31","2")</f>
        <v>15395686776.780001</v>
      </c>
      <c r="M2036">
        <f>[1]!EM_S_VAL_PETTMDEDUCTED(B2036,E2036)</f>
        <v>4.4246692107746401</v>
      </c>
      <c r="N2036" s="7">
        <f>[1]!EM_S_VAL_PBGOODWILLDEDUCTED(B2036,E2036)</f>
        <v>1.4008896115738401</v>
      </c>
      <c r="O2036" s="7">
        <f>[1]!EM_S_VAL_PS_TTM(B2036,E2036)</f>
        <v>0.70133180962552399</v>
      </c>
      <c r="P2036" s="7">
        <f>[1]!EM_S_VAL_PCF_NCFTTM(B2036,E2036)</f>
        <v>-61.286262079896296</v>
      </c>
      <c r="Q2036" s="7">
        <f>[1]!EM_S_VAL_DIVIDENDYIELD2(B2036,E2036,"2019-11-29")</f>
        <v>5.4466230936819171</v>
      </c>
      <c r="U2036">
        <f>[1]!EM_S_RATIO_EPS_TTM(B2036,E2036,"1")</f>
        <v>2.0937107896611318</v>
      </c>
      <c r="AT2036" s="4" t="str">
        <f>[1]!EM_S_IPO_LISTEDDATE(B2036)</f>
        <v>1998-08-07</v>
      </c>
    </row>
    <row r="2037" spans="1:46">
      <c r="A2037">
        <v>2085</v>
      </c>
      <c r="B2037" t="str">
        <f>"300666"</f>
        <v>300666</v>
      </c>
      <c r="C2037" t="s">
        <v>1177</v>
      </c>
      <c r="D2037" t="str">
        <f>[1]!EM_S_INFO_INDEX_EM(B2037,"1")</f>
        <v>电子设备</v>
      </c>
      <c r="E2037" s="4">
        <f t="shared" si="31"/>
        <v>43465</v>
      </c>
      <c r="F2037" s="11">
        <f>[1]!EM_S_PQ_PCTCHANGE(B2037,"2018-01-01","2019-12-31","3")</f>
        <v>-37.8303899</v>
      </c>
      <c r="G2037" s="11">
        <f>[1]!EM_S_PQ_PCTCHANGE(B2037,"2018-12-31","2019-12-30","1")</f>
        <v>4.3562439499999996</v>
      </c>
      <c r="H2037" s="11">
        <f>[1]!EM_S_FA_YOY_OR(B2037,E2037)</f>
        <v>18.118709707600001</v>
      </c>
      <c r="I2037" s="11">
        <f>[1]!EM_S_FA_GROSSPROFITMARGIN(B2037,E2037)</f>
        <v>29.5966252361</v>
      </c>
      <c r="J2037" s="11">
        <f>[1]!EM_S_FA_NETPROFITMARGIN(B2037,E2037)</f>
        <v>8.9661789166000005</v>
      </c>
      <c r="K2037" s="10">
        <f>[1]!EM_S_FA_ASSETSTURN(B2037,E2037)</f>
        <v>0.55892453510999995</v>
      </c>
      <c r="L2037" s="12">
        <f>[1]!EM_HKS_VAL_MV(B2037,"2019-12-31","2")</f>
        <v>9384804000</v>
      </c>
      <c r="M2037">
        <f>[1]!EM_S_VAL_PETTMDEDUCTED(B2037,E2037)</f>
        <v>168.729637642509</v>
      </c>
      <c r="N2037" s="7">
        <f>[1]!EM_S_VAL_PBGOODWILLDEDUCTED(B2037,E2037)</f>
        <v>14.7348013959064</v>
      </c>
      <c r="O2037" s="7">
        <f>[1]!EM_S_VAL_PS_TTM(B2037,E2037)</f>
        <v>14.3516145317029</v>
      </c>
      <c r="P2037" s="7">
        <f>[1]!EM_S_VAL_PCF_NCFTTM(B2037,E2037)</f>
        <v>95.280438343425601</v>
      </c>
      <c r="Q2037" s="7">
        <f>[1]!EM_S_VAL_DIVIDENDYIELD2(B2037,E2037,"2019-11-29")</f>
        <v>0.15696887686062244</v>
      </c>
      <c r="T2037"/>
      <c r="U2037">
        <f>[1]!EM_S_RATIO_EPS_TTM(B2037,E2037,"1")</f>
        <v>0.26882702111903456</v>
      </c>
      <c r="AT2037" s="4" t="str">
        <f>[1]!EM_S_IPO_LISTEDDATE(B2037)</f>
        <v>2017-06-15</v>
      </c>
    </row>
    <row r="2038" spans="1:46">
      <c r="A2038">
        <v>3497</v>
      </c>
      <c r="B2038" t="str">
        <f>"603689"</f>
        <v>603689</v>
      </c>
      <c r="C2038" t="s">
        <v>1182</v>
      </c>
      <c r="D2038" t="str">
        <f>[1]!EM_S_INFO_INDEX_EM(B2038,"1")</f>
        <v>公用事业</v>
      </c>
      <c r="E2038" s="4">
        <f t="shared" si="31"/>
        <v>43465</v>
      </c>
      <c r="F2038" s="11">
        <f>[1]!EM_S_PQ_PCTCHANGE(B2038,"2018-01-01","2019-12-31","3")</f>
        <v>-28.08300972</v>
      </c>
      <c r="G2038" s="11">
        <f>[1]!EM_S_PQ_PCTCHANGE(B2038,"2018-12-31","2019-12-30","1")</f>
        <v>4.3478260899999999</v>
      </c>
      <c r="H2038" s="11">
        <f>[1]!EM_S_FA_YOY_OR(B2038,E2038)</f>
        <v>26.069514295499999</v>
      </c>
      <c r="I2038" s="11">
        <f>[1]!EM_S_FA_GROSSPROFITMARGIN(B2038,E2038)</f>
        <v>10.8274537307</v>
      </c>
      <c r="J2038" s="11">
        <f>[1]!EM_S_FA_NETPROFITMARGIN(B2038,E2038)</f>
        <v>5.1186836563</v>
      </c>
      <c r="K2038" s="10">
        <f>[1]!EM_S_FA_ASSETSTURN(B2038,E2038)</f>
        <v>1.0363530415819999</v>
      </c>
      <c r="L2038" s="12">
        <f>[1]!EM_HKS_VAL_MV(B2038,"2019-12-31","2")</f>
        <v>3746400000</v>
      </c>
      <c r="M2038">
        <f>[1]!EM_S_VAL_PETTMDEDUCTED(B2038,E2038)</f>
        <v>25.919829642742101</v>
      </c>
      <c r="N2038" s="7">
        <f>[1]!EM_S_VAL_PBGOODWILLDEDUCTED(B2038,E2038)</f>
        <v>1.7597399148450801</v>
      </c>
      <c r="O2038" s="7">
        <f>[1]!EM_S_VAL_PS_TTM(B2038,E2038)</f>
        <v>1.21212636186534</v>
      </c>
      <c r="P2038" s="7">
        <f>[1]!EM_S_VAL_PCF_NCFTTM(B2038,E2038)</f>
        <v>17.951932851098199</v>
      </c>
      <c r="Q2038" s="7">
        <f>[1]!EM_S_VAL_DIVIDENDYIELD2(B2038,E2038,"2019-11-29")</f>
        <v>1.4625228519195612</v>
      </c>
      <c r="T2038"/>
      <c r="U2038">
        <f>[1]!EM_S_RATIO_EPS_TTM(B2038,E2038,"1")</f>
        <v>0.5249682295238095</v>
      </c>
      <c r="AT2038" s="4" t="str">
        <f>[1]!EM_S_IPO_LISTEDDATE(B2038)</f>
        <v>2017-01-10</v>
      </c>
    </row>
    <row r="2039" spans="1:46">
      <c r="A2039">
        <v>10</v>
      </c>
      <c r="B2039" t="str">
        <f>"000010"</f>
        <v>000010</v>
      </c>
      <c r="C2039" t="s">
        <v>3601</v>
      </c>
      <c r="D2039" t="str">
        <f>[1]!EM_S_INFO_INDEX_EM(B2039,"1")</f>
        <v>建筑</v>
      </c>
      <c r="E2039" s="4">
        <f t="shared" si="31"/>
        <v>43465</v>
      </c>
      <c r="F2039" s="11">
        <f>[1]!EM_S_PQ_PCTCHANGE(B2039,"2018-01-01","2019-12-31","3")</f>
        <v>-37.269372689999997</v>
      </c>
      <c r="G2039" s="11">
        <f>[1]!EM_S_PQ_PCTCHANGE(B2039,"2019-01-01","2019-12-31","3")</f>
        <v>4.2944785300000001</v>
      </c>
      <c r="H2039" s="11">
        <f>[1]!EM_S_FA_YOY_OR(B2039,E2039)</f>
        <v>-54.424481328200002</v>
      </c>
      <c r="I2039" s="11">
        <f>[1]!EM_S_FA_GROSSPROFITMARGIN(B2039,E2039)</f>
        <v>13.200566460699999</v>
      </c>
      <c r="J2039" s="11">
        <f>[1]!EM_S_FA_NETPROFITMARGIN(B2039,E2039)</f>
        <v>-210.33319468100001</v>
      </c>
      <c r="K2039" s="10">
        <f>[1]!EM_S_FA_ASSETSTURN(B2039,E2039)</f>
        <v>0.108305735825</v>
      </c>
      <c r="L2039" s="12">
        <f>[1]!EM_HKS_VAL_MV(B2039,"2019-12-31","2")</f>
        <v>2787506024.1999998</v>
      </c>
      <c r="M2039">
        <f>[1]!EM_S_VAL_PETTMDEDUCTED(B2039,E2039)</f>
        <v>-2.0544083848144599</v>
      </c>
      <c r="N2039" s="7">
        <f>[1]!EM_S_VAL_PBGOODWILLDEDUCTED(B2039,E2039)</f>
        <v>12.3557173215963</v>
      </c>
      <c r="O2039" s="7">
        <f>[1]!EM_S_VAL_PS_TTM(B2039,E2039)</f>
        <v>8.7561670008164292</v>
      </c>
      <c r="P2039" s="7">
        <f>[1]!EM_S_VAL_PCF_NCFTTM(B2039,E2039)</f>
        <v>-32.869858240821799</v>
      </c>
      <c r="Q2039" s="7">
        <f>[1]!EM_S_VAL_DIVIDENDYIELD2(B2039,E2039,"2019-11-29")</f>
        <v>0</v>
      </c>
      <c r="T2039"/>
      <c r="U2039">
        <f>[1]!EM_S_RATIO_EPS_TTM(B2039,E2039,"1")</f>
        <v>-0.89223183854527643</v>
      </c>
      <c r="AT2039" s="4" t="str">
        <f>[1]!EM_S_IPO_LISTEDDATE(B2039)</f>
        <v>1995-10-27</v>
      </c>
    </row>
    <row r="2040" spans="1:46">
      <c r="A2040">
        <v>3221</v>
      </c>
      <c r="B2040" t="str">
        <f>"603023"</f>
        <v>603023</v>
      </c>
      <c r="C2040" t="s">
        <v>843</v>
      </c>
      <c r="D2040" t="str">
        <f>[1]!EM_S_INFO_INDEX_EM(B2040,"1")</f>
        <v>交运设备</v>
      </c>
      <c r="E2040" s="4">
        <f t="shared" si="31"/>
        <v>43465</v>
      </c>
      <c r="F2040" s="11">
        <f>[1]!EM_S_PQ_PCTCHANGE(B2040,"2018-01-01","2019-12-31","3")</f>
        <v>-26.871882029999998</v>
      </c>
      <c r="G2040" s="11">
        <f>[1]!EM_S_PQ_PCTCHANGE(B2040,"2018-12-31","2019-12-30","1")</f>
        <v>4.29184549</v>
      </c>
      <c r="H2040" s="11">
        <f>[1]!EM_S_FA_YOY_OR(B2040,E2040)</f>
        <v>1.3468127427000001</v>
      </c>
      <c r="I2040" s="11">
        <f>[1]!EM_S_FA_GROSSPROFITMARGIN(B2040,E2040)</f>
        <v>54.405415647799998</v>
      </c>
      <c r="J2040" s="11">
        <f>[1]!EM_S_FA_NETPROFITMARGIN(B2040,E2040)</f>
        <v>32.260593309800001</v>
      </c>
      <c r="K2040" s="10">
        <f>[1]!EM_S_FA_ASSETSTURN(B2040,E2040)</f>
        <v>0.27621566320199997</v>
      </c>
      <c r="L2040" s="12">
        <f>[1]!EM_HKS_VAL_MV(B2040,"2019-12-31","2")</f>
        <v>2185075794.1399999</v>
      </c>
      <c r="M2040">
        <f>[1]!EM_S_VAL_PETTMDEDUCTED(B2040,E2040)</f>
        <v>24.947125659419498</v>
      </c>
      <c r="N2040" s="7">
        <f>[1]!EM_S_VAL_PBGOODWILLDEDUCTED(B2040,E2040)</f>
        <v>2.8360433798847602</v>
      </c>
      <c r="O2040" s="7">
        <f>[1]!EM_S_VAL_PS_TTM(B2040,E2040)</f>
        <v>7.7982737547096503</v>
      </c>
      <c r="P2040" s="7">
        <f>[1]!EM_S_VAL_PCF_NCFTTM(B2040,E2040)</f>
        <v>17.630411715646201</v>
      </c>
      <c r="Q2040" s="7">
        <f>[1]!EM_S_VAL_DIVIDENDYIELD2(B2040,E2040,"2019-11-29")</f>
        <v>1.946991507239854</v>
      </c>
      <c r="T2040"/>
      <c r="U2040">
        <f>[1]!EM_S_RATIO_EPS_TTM(B2040,E2040,"1")</f>
        <v>0.18101602341666667</v>
      </c>
      <c r="AT2040" s="4" t="str">
        <f>[1]!EM_S_IPO_LISTEDDATE(B2040)</f>
        <v>2015-05-27</v>
      </c>
    </row>
    <row r="2041" spans="1:46">
      <c r="A2041">
        <v>70</v>
      </c>
      <c r="B2041" t="str">
        <f>"000151"</f>
        <v>000151</v>
      </c>
      <c r="C2041" t="s">
        <v>2017</v>
      </c>
      <c r="D2041" t="str">
        <f>[1]!EM_S_INFO_INDEX_EM(B2041,"1")</f>
        <v>商贸零售</v>
      </c>
      <c r="E2041" s="4">
        <f t="shared" si="31"/>
        <v>43465</v>
      </c>
      <c r="F2041" s="11">
        <f>[1]!EM_S_PQ_PCTCHANGE(B2041,"2018-01-01","2019-12-31","3")</f>
        <v>-11.468159849999999</v>
      </c>
      <c r="G2041" s="11">
        <f>[1]!EM_S_PQ_PCTCHANGE(B2041,"2019-01-01","2019-12-31","3")</f>
        <v>4.2844080699999996</v>
      </c>
      <c r="H2041" s="11">
        <f>[1]!EM_S_FA_YOY_OR(B2041,E2041)</f>
        <v>-42.980835088699997</v>
      </c>
      <c r="I2041" s="11">
        <f>[1]!EM_S_FA_GROSSPROFITMARGIN(B2041,E2041)</f>
        <v>16.4179085944</v>
      </c>
      <c r="J2041" s="11">
        <f>[1]!EM_S_FA_NETPROFITMARGIN(B2041,E2041)</f>
        <v>6.5648311182999999</v>
      </c>
      <c r="K2041" s="10">
        <f>[1]!EM_S_FA_ASSETSTURN(B2041,E2041)</f>
        <v>0.58906250450999997</v>
      </c>
      <c r="L2041" s="12">
        <f>[1]!EM_HKS_VAL_MV(B2041,"2019-12-31","2")</f>
        <v>3107790000</v>
      </c>
      <c r="M2041">
        <f>[1]!EM_S_VAL_PETTMDEDUCTED(B2041,E2041)</f>
        <v>40.844440372356203</v>
      </c>
      <c r="N2041" s="7">
        <f>[1]!EM_S_VAL_PBGOODWILLDEDUCTED(B2041,E2041)</f>
        <v>3.02965582460897</v>
      </c>
      <c r="O2041" s="7">
        <f>[1]!EM_S_VAL_PS_TTM(B2041,E2041)</f>
        <v>1.99465798841969</v>
      </c>
      <c r="P2041" s="7">
        <f>[1]!EM_S_VAL_PCF_NCFTTM(B2041,E2041)</f>
        <v>-7.7576799095597799</v>
      </c>
      <c r="Q2041" s="7">
        <f>[1]!EM_S_VAL_DIVIDENDYIELD2(B2041,E2041,"2019-11-29")</f>
        <v>2.0040080160320639</v>
      </c>
      <c r="T2041"/>
      <c r="U2041">
        <f>[1]!EM_S_RATIO_EPS_TTM(B2041,E2041,"1")</f>
        <v>0.2818472369078992</v>
      </c>
      <c r="AT2041" s="4" t="str">
        <f>[1]!EM_S_IPO_LISTEDDATE(B2041)</f>
        <v>2000-09-06</v>
      </c>
    </row>
    <row r="2042" spans="1:46">
      <c r="A2042">
        <v>3520</v>
      </c>
      <c r="B2042" t="str">
        <f>"603729"</f>
        <v>603729</v>
      </c>
      <c r="C2042" t="s">
        <v>2056</v>
      </c>
      <c r="D2042" t="str">
        <f>[1]!EM_S_INFO_INDEX_EM(B2042,"1")</f>
        <v>文化传媒</v>
      </c>
      <c r="E2042" s="4">
        <f t="shared" si="31"/>
        <v>43465</v>
      </c>
      <c r="F2042" s="11">
        <f>[1]!EM_S_PQ_PCTCHANGE(B2042,"2018-01-01","2019-12-31","3")</f>
        <v>-64.094020279999995</v>
      </c>
      <c r="G2042" s="11">
        <f>[1]!EM_S_PQ_PCTCHANGE(B2042,"2018-12-31","2019-12-30","1")</f>
        <v>4.2746114000000004</v>
      </c>
      <c r="H2042" s="11">
        <f>[1]!EM_S_FA_YOY_OR(B2042,E2042)</f>
        <v>-3.2977309583999999</v>
      </c>
      <c r="I2042" s="11">
        <f>[1]!EM_S_FA_GROSSPROFITMARGIN(B2042,E2042)</f>
        <v>8.4292716468000002</v>
      </c>
      <c r="J2042" s="11">
        <f>[1]!EM_S_FA_NETPROFITMARGIN(B2042,E2042)</f>
        <v>1.8451100329000001</v>
      </c>
      <c r="K2042" s="10">
        <f>[1]!EM_S_FA_ASSETSTURN(B2042,E2042)</f>
        <v>0.98372438550399999</v>
      </c>
      <c r="L2042" s="12">
        <f>[1]!EM_HKS_VAL_MV(B2042,"2019-12-31","2")</f>
        <v>1484074200</v>
      </c>
      <c r="M2042">
        <f>[1]!EM_S_VAL_PETTMDEDUCTED(B2042,E2042)</f>
        <v>33.858714761281803</v>
      </c>
      <c r="N2042" s="7">
        <f>[1]!EM_S_VAL_PBGOODWILLDEDUCTED(B2042,E2042)</f>
        <v>1.65543226995297</v>
      </c>
      <c r="O2042" s="7">
        <f>[1]!EM_S_VAL_PS_TTM(B2042,E2042)</f>
        <v>1.0332720982242301</v>
      </c>
      <c r="P2042" s="7">
        <f>[1]!EM_S_VAL_PCF_NCFTTM(B2042,E2042)</f>
        <v>46.857081396156602</v>
      </c>
      <c r="Q2042" s="7">
        <f>[1]!EM_S_VAL_DIVIDENDYIELD2(B2042,E2042,"2019-11-29")</f>
        <v>0</v>
      </c>
      <c r="T2042"/>
      <c r="U2042">
        <f>[1]!EM_S_RATIO_EPS_TTM(B2042,E2042,"1")</f>
        <v>0.24512190897597977</v>
      </c>
      <c r="AT2042" s="4" t="str">
        <f>[1]!EM_S_IPO_LISTEDDATE(B2042)</f>
        <v>2015-03-24</v>
      </c>
    </row>
    <row r="2043" spans="1:46">
      <c r="A2043">
        <v>2685</v>
      </c>
      <c r="B2043" t="str">
        <f>"600612"</f>
        <v>600612</v>
      </c>
      <c r="C2043" t="s">
        <v>215</v>
      </c>
      <c r="D2043" t="str">
        <f>[1]!EM_S_INFO_INDEX_EM(B2043,"1")</f>
        <v>轻工制造</v>
      </c>
      <c r="E2043" s="4">
        <f t="shared" si="31"/>
        <v>43465</v>
      </c>
      <c r="F2043" s="11">
        <f>[1]!EM_S_PQ_PCTCHANGE(B2043,"2018-01-01","2019-12-31","3")</f>
        <v>21.630995739999999</v>
      </c>
      <c r="G2043" s="11">
        <f>[1]!EM_S_PQ_PCTCHANGE(B2043,"2018-12-31","2019-12-30","1")</f>
        <v>4.2666666700000002</v>
      </c>
      <c r="H2043" s="11">
        <f>[1]!EM_S_FA_YOY_OR(B2043,E2043)</f>
        <v>9.9836698468999998</v>
      </c>
      <c r="I2043" s="11">
        <f>[1]!EM_S_FA_GROSSPROFITMARGIN(B2043,E2043)</f>
        <v>8.2434148792999995</v>
      </c>
      <c r="J2043" s="11">
        <f>[1]!EM_S_FA_NETPROFITMARGIN(B2043,E2043)</f>
        <v>3.5715544737</v>
      </c>
      <c r="K2043" s="10">
        <f>[1]!EM_S_FA_ASSETSTURN(B2043,E2043)</f>
        <v>3.0289898053390001</v>
      </c>
      <c r="L2043" s="12">
        <f>[1]!EM_HKS_VAL_MV(B2043,"2019-12-31","2")</f>
        <v>24905636744.040001</v>
      </c>
      <c r="M2043">
        <f>[1]!EM_S_VAL_PETTMDEDUCTED(B2043,E2043)</f>
        <v>20.733589281664901</v>
      </c>
      <c r="N2043" s="7">
        <f>[1]!EM_S_VAL_PBGOODWILLDEDUCTED(B2043,E2043)</f>
        <v>3.80212090519829</v>
      </c>
      <c r="O2043" s="7">
        <f>[1]!EM_S_VAL_PS_TTM(B2043,E2043)</f>
        <v>0.54304845376336497</v>
      </c>
      <c r="P2043" s="7">
        <f>[1]!EM_S_VAL_PCF_NCFTTM(B2043,E2043)</f>
        <v>18.526611874769898</v>
      </c>
      <c r="Q2043" s="7">
        <f>[1]!EM_S_VAL_DIVIDENDYIELD2(B2043,E2043,"2019-11-29")</f>
        <v>2.2964509394572024</v>
      </c>
      <c r="T2043"/>
      <c r="U2043">
        <f>[1]!EM_S_RATIO_EPS_TTM(B2043,E2043,"1")</f>
        <v>2.3026154204925833</v>
      </c>
      <c r="AT2043" s="4" t="str">
        <f>[1]!EM_S_IPO_LISTEDDATE(B2043)</f>
        <v>1992-08-14</v>
      </c>
    </row>
    <row r="2044" spans="1:46">
      <c r="A2044">
        <v>1257</v>
      </c>
      <c r="B2044" t="str">
        <f>"002748"</f>
        <v>002748</v>
      </c>
      <c r="C2044" t="s">
        <v>2205</v>
      </c>
      <c r="D2044" t="str">
        <f>[1]!EM_S_INFO_INDEX_EM(B2044,"1")</f>
        <v>基础化工</v>
      </c>
      <c r="E2044" s="4">
        <f t="shared" si="31"/>
        <v>43465</v>
      </c>
      <c r="F2044" s="11">
        <f>[1]!EM_S_PQ_PCTCHANGE(B2044,"2018-01-01","2019-12-31","3")</f>
        <v>-49.312377329999997</v>
      </c>
      <c r="G2044" s="11">
        <f>[1]!EM_S_PQ_PCTCHANGE(B2044,"2018-12-31","2019-12-30","1")</f>
        <v>4.2553191500000001</v>
      </c>
      <c r="H2044" s="11">
        <f>[1]!EM_S_FA_YOY_OR(B2044,E2044)</f>
        <v>23.583607702199998</v>
      </c>
      <c r="I2044" s="11">
        <f>[1]!EM_S_FA_GROSSPROFITMARGIN(B2044,E2044)</f>
        <v>14.7395215797</v>
      </c>
      <c r="J2044" s="11">
        <f>[1]!EM_S_FA_NETPROFITMARGIN(B2044,E2044)</f>
        <v>3.8325688844000001</v>
      </c>
      <c r="K2044" s="10">
        <f>[1]!EM_S_FA_ASSETSTURN(B2044,E2044)</f>
        <v>1.0283671011760001</v>
      </c>
      <c r="L2044" s="12">
        <f>[1]!EM_HKS_VAL_MV(B2044,"2019-12-31","2")</f>
        <v>1773600000</v>
      </c>
      <c r="M2044">
        <f>[1]!EM_S_VAL_PETTMDEDUCTED(B2044,E2044)</f>
        <v>39.667969697109001</v>
      </c>
      <c r="N2044" s="7">
        <f>[1]!EM_S_VAL_PBGOODWILLDEDUCTED(B2044,E2044)</f>
        <v>1.45083647422053</v>
      </c>
      <c r="O2044" s="7">
        <f>[1]!EM_S_VAL_PS_TTM(B2044,E2044)</f>
        <v>1.3647666920303301</v>
      </c>
      <c r="P2044" s="7">
        <f>[1]!EM_S_VAL_PCF_NCFTTM(B2044,E2044)</f>
        <v>111.086699101379</v>
      </c>
      <c r="Q2044" s="7">
        <f>[1]!EM_S_VAL_DIVIDENDYIELD2(B2044,E2044,"2019-11-29")</f>
        <v>1.4513788098693758</v>
      </c>
      <c r="T2044"/>
      <c r="U2044">
        <f>[1]!EM_S_RATIO_EPS_TTM(B2044,E2044,"1")</f>
        <v>0.23711576441666668</v>
      </c>
      <c r="AT2044" s="4" t="str">
        <f>[1]!EM_S_IPO_LISTEDDATE(B2044)</f>
        <v>2015-03-19</v>
      </c>
    </row>
    <row r="2045" spans="1:46">
      <c r="A2045">
        <v>3002</v>
      </c>
      <c r="B2045" t="str">
        <f>"600979"</f>
        <v>600979</v>
      </c>
      <c r="C2045" t="s">
        <v>1954</v>
      </c>
      <c r="D2045" t="str">
        <f>[1]!EM_S_INFO_INDEX_EM(B2045,"1")</f>
        <v>公用事业</v>
      </c>
      <c r="E2045" s="4">
        <f t="shared" si="31"/>
        <v>43465</v>
      </c>
      <c r="F2045" s="11">
        <f>[1]!EM_S_PQ_PCTCHANGE(B2045,"2018-01-01","2019-12-31","3")</f>
        <v>-19.17657891</v>
      </c>
      <c r="G2045" s="11">
        <f>[1]!EM_S_PQ_PCTCHANGE(B2045,"2018-12-31","2019-12-30","1")</f>
        <v>4.25</v>
      </c>
      <c r="H2045" s="11">
        <f>[1]!EM_S_FA_YOY_OR(B2045,E2045)</f>
        <v>5.3815875700999998</v>
      </c>
      <c r="I2045" s="11">
        <f>[1]!EM_S_FA_GROSSPROFITMARGIN(B2045,E2045)</f>
        <v>31.224856797000001</v>
      </c>
      <c r="J2045" s="11">
        <f>[1]!EM_S_FA_NETPROFITMARGIN(B2045,E2045)</f>
        <v>11.3933760274</v>
      </c>
      <c r="K2045" s="10">
        <f>[1]!EM_S_FA_ASSETSTURN(B2045,E2045)</f>
        <v>0.279470227249</v>
      </c>
      <c r="L2045" s="12">
        <f>[1]!EM_HKS_VAL_MV(B2045,"2019-12-31","2")</f>
        <v>3971668091.7399998</v>
      </c>
      <c r="M2045">
        <f>[1]!EM_S_VAL_PETTMDEDUCTED(B2045,E2045)</f>
        <v>15.4017361315776</v>
      </c>
      <c r="N2045" s="7">
        <f>[1]!EM_S_VAL_PBGOODWILLDEDUCTED(B2045,E2045)</f>
        <v>1.0246075881908501</v>
      </c>
      <c r="O2045" s="7">
        <f>[1]!EM_S_VAL_PS_TTM(B2045,E2045)</f>
        <v>1.81109683411192</v>
      </c>
      <c r="P2045" s="7">
        <f>[1]!EM_S_VAL_PCF_NCFTTM(B2045,E2045)</f>
        <v>-52.323180092231198</v>
      </c>
      <c r="Q2045" s="7">
        <f>[1]!EM_S_VAL_DIVIDENDYIELD2(B2045,E2045,"2019-11-29")</f>
        <v>2.4038461538461542</v>
      </c>
      <c r="T2045"/>
      <c r="U2045">
        <f>[1]!EM_S_RATIO_EPS_TTM(B2045,E2045,"1")</f>
        <v>0.26553447715769973</v>
      </c>
      <c r="AT2045" s="4" t="str">
        <f>[1]!EM_S_IPO_LISTEDDATE(B2045)</f>
        <v>2004-09-06</v>
      </c>
    </row>
    <row r="2046" spans="1:46">
      <c r="A2046">
        <v>1406</v>
      </c>
      <c r="B2046" t="str">
        <f>"002909"</f>
        <v>002909</v>
      </c>
      <c r="C2046" t="s">
        <v>3263</v>
      </c>
      <c r="D2046" t="str">
        <f>[1]!EM_S_INFO_INDEX_EM(B2046,"1")</f>
        <v>基础化工</v>
      </c>
      <c r="E2046" s="4">
        <f t="shared" si="31"/>
        <v>43465</v>
      </c>
      <c r="F2046" s="11">
        <f>[1]!EM_S_PQ_PCTCHANGE(B2046,"2018-01-01","2019-12-31","3")</f>
        <v>-24.736521419999999</v>
      </c>
      <c r="G2046" s="11">
        <f>[1]!EM_S_PQ_PCTCHANGE(B2046,"2018-12-31","2019-12-30","1")</f>
        <v>4.2357274399999998</v>
      </c>
      <c r="H2046" s="11">
        <f>[1]!EM_S_FA_YOY_OR(B2046,E2046)</f>
        <v>16.262332022199999</v>
      </c>
      <c r="I2046" s="11">
        <f>[1]!EM_S_FA_GROSSPROFITMARGIN(B2046,E2046)</f>
        <v>24.616239587500001</v>
      </c>
      <c r="J2046" s="11">
        <f>[1]!EM_S_FA_NETPROFITMARGIN(B2046,E2046)</f>
        <v>2.009610495</v>
      </c>
      <c r="K2046" s="10">
        <f>[1]!EM_S_FA_ASSETSTURN(B2046,E2046)</f>
        <v>1.0958616235530001</v>
      </c>
      <c r="L2046" s="12">
        <f>[1]!EM_HKS_VAL_MV(B2046,"2019-12-31","2")</f>
        <v>1932000000</v>
      </c>
      <c r="M2046">
        <f>[1]!EM_S_VAL_PETTMDEDUCTED(B2046,E2046)</f>
        <v>150.08303405060801</v>
      </c>
      <c r="N2046" s="7">
        <f>[1]!EM_S_VAL_PBGOODWILLDEDUCTED(B2046,E2046)</f>
        <v>3.9563442337422101</v>
      </c>
      <c r="O2046" s="7">
        <f>[1]!EM_S_VAL_PS_TTM(B2046,E2046)</f>
        <v>1.9136259866033001</v>
      </c>
      <c r="P2046" s="7">
        <f>[1]!EM_S_VAL_PCF_NCFTTM(B2046,E2046)</f>
        <v>50.7077300715234</v>
      </c>
      <c r="Q2046" s="7">
        <f>[1]!EM_S_VAL_DIVIDENDYIELD2(B2046,E2046,"2019-11-29")</f>
        <v>1.4634146341463417</v>
      </c>
      <c r="T2046"/>
      <c r="U2046">
        <f>[1]!EM_S_RATIO_EPS_TTM(B2046,E2046,"1")</f>
        <v>0.11155969773809524</v>
      </c>
      <c r="AT2046" s="4" t="str">
        <f>[1]!EM_S_IPO_LISTEDDATE(B2046)</f>
        <v>2017-10-26</v>
      </c>
    </row>
    <row r="2047" spans="1:46">
      <c r="A2047">
        <v>859</v>
      </c>
      <c r="B2047" t="str">
        <f>"002348"</f>
        <v>002348</v>
      </c>
      <c r="C2047" t="s">
        <v>3149</v>
      </c>
      <c r="D2047" t="str">
        <f>[1]!EM_S_INFO_INDEX_EM(B2047,"1")</f>
        <v>轻工制造</v>
      </c>
      <c r="E2047" s="4">
        <f t="shared" si="31"/>
        <v>43465</v>
      </c>
      <c r="F2047" s="11">
        <f>[1]!EM_S_PQ_PCTCHANGE(B2047,"2018-01-01","2019-12-31","3")</f>
        <v>-44.076655049999999</v>
      </c>
      <c r="G2047" s="11">
        <f>[1]!EM_S_PQ_PCTCHANGE(B2047,"2018-12-31","2019-12-30","1")</f>
        <v>4.2207792199999998</v>
      </c>
      <c r="H2047" s="11">
        <f>[1]!EM_S_FA_YOY_OR(B2047,E2047)</f>
        <v>25.575819363800001</v>
      </c>
      <c r="I2047" s="11">
        <f>[1]!EM_S_FA_GROSSPROFITMARGIN(B2047,E2047)</f>
        <v>28.308334913100001</v>
      </c>
      <c r="J2047" s="11">
        <f>[1]!EM_S_FA_NETPROFITMARGIN(B2047,E2047)</f>
        <v>3.6969995993000002</v>
      </c>
      <c r="K2047" s="10">
        <f>[1]!EM_S_FA_ASSETSTURN(B2047,E2047)</f>
        <v>0.462408829726</v>
      </c>
      <c r="L2047" s="12">
        <f>[1]!EM_HKS_VAL_MV(B2047,"2019-12-31","2")</f>
        <v>3040512000</v>
      </c>
      <c r="M2047">
        <f>[1]!EM_S_VAL_PETTMDEDUCTED(B2047,E2047)</f>
        <v>55.852066994344703</v>
      </c>
      <c r="N2047" s="7">
        <f>[1]!EM_S_VAL_PBGOODWILLDEDUCTED(B2047,E2047)</f>
        <v>2.98737337559123</v>
      </c>
      <c r="O2047" s="7">
        <f>[1]!EM_S_VAL_PS_TTM(B2047,E2047)</f>
        <v>3.35985440575014</v>
      </c>
      <c r="P2047" s="7">
        <f>[1]!EM_S_VAL_PCF_NCFTTM(B2047,E2047)</f>
        <v>-158.333118260693</v>
      </c>
      <c r="Q2047" s="7">
        <f>[1]!EM_S_VAL_DIVIDENDYIELD2(B2047,E2047,"2019-11-29")</f>
        <v>0</v>
      </c>
      <c r="T2047"/>
      <c r="U2047">
        <f>[1]!EM_S_RATIO_EPS_TTM(B2047,E2047,"1")</f>
        <v>1.1911700496199325E-2</v>
      </c>
      <c r="AT2047" s="4" t="str">
        <f>[1]!EM_S_IPO_LISTEDDATE(B2047)</f>
        <v>2010-02-03</v>
      </c>
    </row>
    <row r="2048" spans="1:46">
      <c r="A2048">
        <v>2795</v>
      </c>
      <c r="B2048" t="str">
        <f>"600722"</f>
        <v>600722</v>
      </c>
      <c r="C2048" t="s">
        <v>2782</v>
      </c>
      <c r="D2048" t="str">
        <f>[1]!EM_S_INFO_INDEX_EM(B2048,"1")</f>
        <v>基础化工</v>
      </c>
      <c r="E2048" s="4">
        <f t="shared" si="31"/>
        <v>43465</v>
      </c>
      <c r="F2048" s="11">
        <f>[1]!EM_S_PQ_PCTCHANGE(B2048,"2018-01-01","2019-12-31","3")</f>
        <v>-34.257975029999997</v>
      </c>
      <c r="G2048" s="11">
        <f>[1]!EM_S_PQ_PCTCHANGE(B2048,"2018-12-31","2019-12-30","1")</f>
        <v>4.1666666699999997</v>
      </c>
      <c r="H2048" s="11">
        <f>[1]!EM_S_FA_YOY_OR(B2048,E2048)</f>
        <v>22.6984935636</v>
      </c>
      <c r="I2048" s="11">
        <f>[1]!EM_S_FA_GROSSPROFITMARGIN(B2048,E2048)</f>
        <v>13.2448783868</v>
      </c>
      <c r="J2048" s="11">
        <f>[1]!EM_S_FA_NETPROFITMARGIN(B2048,E2048)</f>
        <v>11.3582516935</v>
      </c>
      <c r="K2048" s="10">
        <f>[1]!EM_S_FA_ASSETSTURN(B2048,E2048)</f>
        <v>0.77269953492800003</v>
      </c>
      <c r="L2048" s="12">
        <f>[1]!EM_HKS_VAL_MV(B2048,"2019-12-31","2")</f>
        <v>3224715264.2399998</v>
      </c>
      <c r="M2048">
        <f>[1]!EM_S_VAL_PETTMDEDUCTED(B2048,E2048)</f>
        <v>76.990312738023803</v>
      </c>
      <c r="N2048" s="7">
        <f>[1]!EM_S_VAL_PBGOODWILLDEDUCTED(B2048,E2048)</f>
        <v>3.1805855375274699</v>
      </c>
      <c r="O2048" s="7">
        <f>[1]!EM_S_VAL_PS_TTM(B2048,E2048)</f>
        <v>3.54587466872113</v>
      </c>
      <c r="P2048" s="7">
        <f>[1]!EM_S_VAL_PCF_NCFTTM(B2048,E2048)</f>
        <v>-28.377643171032901</v>
      </c>
      <c r="Q2048" s="7">
        <f>[1]!EM_S_VAL_DIVIDENDYIELD2(B2048,E2048,"2019-11-29")</f>
        <v>0</v>
      </c>
      <c r="T2048"/>
      <c r="U2048">
        <f>[1]!EM_S_RATIO_EPS_TTM(B2048,E2048,"1")</f>
        <v>8.5777923009829282E-2</v>
      </c>
      <c r="AT2048" s="4" t="str">
        <f>[1]!EM_S_IPO_LISTEDDATE(B2048)</f>
        <v>1996-06-26</v>
      </c>
    </row>
    <row r="2049" spans="1:46">
      <c r="A2049">
        <v>2997</v>
      </c>
      <c r="B2049" t="str">
        <f>"600973"</f>
        <v>600973</v>
      </c>
      <c r="C2049" t="s">
        <v>2320</v>
      </c>
      <c r="D2049" t="str">
        <f>[1]!EM_S_INFO_INDEX_EM(B2049,"1")</f>
        <v>电气设备</v>
      </c>
      <c r="E2049" s="4">
        <f t="shared" si="31"/>
        <v>43465</v>
      </c>
      <c r="F2049" s="11">
        <f>[1]!EM_S_PQ_PCTCHANGE(B2049,"2018-01-01","2019-12-31","3")</f>
        <v>-23.962502099999998</v>
      </c>
      <c r="G2049" s="11">
        <f>[1]!EM_S_PQ_PCTCHANGE(B2049,"2018-12-31","2019-12-30","1")</f>
        <v>4.1436464099999997</v>
      </c>
      <c r="H2049" s="11">
        <f>[1]!EM_S_FA_YOY_OR(B2049,E2049)</f>
        <v>55.546609212699998</v>
      </c>
      <c r="I2049" s="11">
        <f>[1]!EM_S_FA_GROSSPROFITMARGIN(B2049,E2049)</f>
        <v>6.2180459162000004</v>
      </c>
      <c r="J2049" s="11">
        <f>[1]!EM_S_FA_NETPROFITMARGIN(B2049,E2049)</f>
        <v>0.45577568950000003</v>
      </c>
      <c r="K2049" s="10">
        <f>[1]!EM_S_FA_ASSETSTURN(B2049,E2049)</f>
        <v>2.0515372005780002</v>
      </c>
      <c r="L2049" s="12">
        <f>[1]!EM_HKS_VAL_MV(B2049,"2019-12-31","2")</f>
        <v>4644027564.6000004</v>
      </c>
      <c r="M2049">
        <f>[1]!EM_S_VAL_PETTMDEDUCTED(B2049,E2049)</f>
        <v>76.758644053933395</v>
      </c>
      <c r="N2049" s="7">
        <f>[1]!EM_S_VAL_PBGOODWILLDEDUCTED(B2049,E2049)</f>
        <v>1.23602757035182</v>
      </c>
      <c r="O2049" s="7">
        <f>[1]!EM_S_VAL_PS_TTM(B2049,E2049)</f>
        <v>0.138894234877908</v>
      </c>
      <c r="P2049" s="7">
        <f>[1]!EM_S_VAL_PCF_NCFTTM(B2049,E2049)</f>
        <v>2.0321170954401802</v>
      </c>
      <c r="Q2049" s="7">
        <f>[1]!EM_S_VAL_DIVIDENDYIELD2(B2049,E2049,"2019-11-29")</f>
        <v>0.78378378378378388</v>
      </c>
      <c r="T2049"/>
      <c r="U2049">
        <f>[1]!EM_S_RATIO_EPS_TTM(B2049,E2049,"1")</f>
        <v>9.6303757356901373E-2</v>
      </c>
      <c r="AT2049" s="4" t="str">
        <f>[1]!EM_S_IPO_LISTEDDATE(B2049)</f>
        <v>2004-08-02</v>
      </c>
    </row>
    <row r="2050" spans="1:46">
      <c r="A2050">
        <v>2780</v>
      </c>
      <c r="B2050" t="str">
        <f>"600707"</f>
        <v>600707</v>
      </c>
      <c r="C2050" t="s">
        <v>3217</v>
      </c>
      <c r="D2050" t="str">
        <f>[1]!EM_S_INFO_INDEX_EM(B2050,"1")</f>
        <v>电子设备</v>
      </c>
      <c r="E2050" s="4">
        <f t="shared" si="31"/>
        <v>43465</v>
      </c>
      <c r="F2050" s="11">
        <f>[1]!EM_S_PQ_PCTCHANGE(B2050,"2018-01-01","2019-12-31","3")</f>
        <v>-43.166441140000003</v>
      </c>
      <c r="G2050" s="11">
        <f>[1]!EM_S_PQ_PCTCHANGE(B2050,"2018-12-31","2019-12-30","1")</f>
        <v>4.1162227600000003</v>
      </c>
      <c r="H2050" s="11">
        <f>[1]!EM_S_FA_YOY_OR(B2050,E2050)</f>
        <v>326.06373196560003</v>
      </c>
      <c r="I2050" s="11">
        <f>[1]!EM_S_FA_GROSSPROFITMARGIN(B2050,E2050)</f>
        <v>-3.1105002665999999</v>
      </c>
      <c r="J2050" s="11">
        <f>[1]!EM_S_FA_NETPROFITMARGIN(B2050,E2050)</f>
        <v>2.4984122014999999</v>
      </c>
      <c r="K2050" s="10">
        <f>[1]!EM_S_FA_ASSETSTURN(B2050,E2050)</f>
        <v>5.0409091646E-2</v>
      </c>
      <c r="L2050" s="12">
        <f>[1]!EM_HKS_VAL_MV(B2050,"2019-12-31","2")</f>
        <v>15071236874.4</v>
      </c>
      <c r="M2050">
        <f>[1]!EM_S_VAL_PETTMDEDUCTED(B2050,E2050)</f>
        <v>-25.212832720496799</v>
      </c>
      <c r="N2050" s="7">
        <f>[1]!EM_S_VAL_PBGOODWILLDEDUCTED(B2050,E2050)</f>
        <v>0.72926621313856599</v>
      </c>
      <c r="O2050" s="7">
        <f>[1]!EM_S_VAL_PS_TTM(B2050,E2050)</f>
        <v>15.395735206922801</v>
      </c>
      <c r="P2050" s="7">
        <f>[1]!EM_S_VAL_PCF_NCFTTM(B2050,E2050)</f>
        <v>-1.1512914687409299</v>
      </c>
      <c r="Q2050" s="7">
        <f>[1]!EM_S_VAL_DIVIDENDYIELD2(B2050,E2050,"2019-11-29")</f>
        <v>0</v>
      </c>
      <c r="T2050"/>
      <c r="U2050">
        <f>[1]!EM_S_RATIO_EPS_TTM(B2050,E2050,"1")</f>
        <v>1.7005382382473053E-2</v>
      </c>
      <c r="AT2050" s="4" t="str">
        <f>[1]!EM_S_IPO_LISTEDDATE(B2050)</f>
        <v>1996-05-20</v>
      </c>
    </row>
    <row r="2051" spans="1:46">
      <c r="A2051">
        <v>3469</v>
      </c>
      <c r="B2051" t="str">
        <f>"603633"</f>
        <v>603633</v>
      </c>
      <c r="C2051" t="s">
        <v>1846</v>
      </c>
      <c r="D2051" t="str">
        <f>[1]!EM_S_INFO_INDEX_EM(B2051,"1")</f>
        <v>交运设备</v>
      </c>
      <c r="E2051" s="4">
        <f t="shared" ref="E2051:E2114" si="32">$B$1</f>
        <v>43465</v>
      </c>
      <c r="F2051" s="11">
        <f>[1]!EM_S_PQ_PCTCHANGE(B2051,"2018-01-01","2019-12-31","3")</f>
        <v>-2.2902756000000002</v>
      </c>
      <c r="G2051" s="11">
        <f>[1]!EM_S_PQ_PCTCHANGE(B2051,"2018-12-31","2019-12-30","1")</f>
        <v>4.0918163700000001</v>
      </c>
      <c r="H2051" s="11">
        <f>[1]!EM_S_FA_YOY_OR(B2051,E2051)</f>
        <v>16.098652873799999</v>
      </c>
      <c r="I2051" s="11">
        <f>[1]!EM_S_FA_GROSSPROFITMARGIN(B2051,E2051)</f>
        <v>32.2165279942</v>
      </c>
      <c r="J2051" s="11">
        <f>[1]!EM_S_FA_NETPROFITMARGIN(B2051,E2051)</f>
        <v>9.9844556099999995</v>
      </c>
      <c r="K2051" s="10">
        <f>[1]!EM_S_FA_ASSETSTURN(B2051,E2051)</f>
        <v>0.369145942216</v>
      </c>
      <c r="L2051" s="12">
        <f>[1]!EM_HKS_VAL_MV(B2051,"2019-12-31","2")</f>
        <v>2088830705</v>
      </c>
      <c r="M2051">
        <f>[1]!EM_S_VAL_PETTMDEDUCTED(B2051,E2051)</f>
        <v>35.722133334136899</v>
      </c>
      <c r="N2051" s="7">
        <f>[1]!EM_S_VAL_PBGOODWILLDEDUCTED(B2051,E2051)</f>
        <v>2.1434598376977201</v>
      </c>
      <c r="O2051" s="7">
        <f>[1]!EM_S_VAL_PS_TTM(B2051,E2051)</f>
        <v>3.61467383323959</v>
      </c>
      <c r="P2051" s="7">
        <f>[1]!EM_S_VAL_PCF_NCFTTM(B2051,E2051)</f>
        <v>-24.3413163775306</v>
      </c>
      <c r="Q2051" s="7">
        <f>[1]!EM_S_VAL_DIVIDENDYIELD2(B2051,E2051,"2019-11-29")</f>
        <v>0.71794871794871784</v>
      </c>
      <c r="T2051"/>
      <c r="U2051">
        <f>[1]!EM_S_RATIO_EPS_TTM(B2051,E2051,"1")</f>
        <v>0.27719210763478319</v>
      </c>
      <c r="AT2051" s="4" t="str">
        <f>[1]!EM_S_IPO_LISTEDDATE(B2051)</f>
        <v>2016-11-17</v>
      </c>
    </row>
    <row r="2052" spans="1:46">
      <c r="A2052">
        <v>1080</v>
      </c>
      <c r="B2052" t="str">
        <f>"002569"</f>
        <v>002569</v>
      </c>
      <c r="C2052" t="s">
        <v>3417</v>
      </c>
      <c r="D2052" t="str">
        <f>[1]!EM_S_INFO_INDEX_EM(B2052,"1")</f>
        <v>纺织服装</v>
      </c>
      <c r="E2052" s="4">
        <f t="shared" si="32"/>
        <v>43465</v>
      </c>
      <c r="F2052" s="11">
        <f>[1]!EM_S_PQ_PCTCHANGE(B2052,"2018-01-01","2019-12-31","3")</f>
        <v>-73.035566579999994</v>
      </c>
      <c r="G2052" s="11">
        <f>[1]!EM_S_PQ_PCTCHANGE(B2052,"2018-12-31","2019-12-30","1")</f>
        <v>4.0837696299999999</v>
      </c>
      <c r="H2052" s="11">
        <f>[1]!EM_S_FA_YOY_OR(B2052,E2052)</f>
        <v>-6.985872166</v>
      </c>
      <c r="I2052" s="11">
        <f>[1]!EM_S_FA_GROSSPROFITMARGIN(B2052,E2052)</f>
        <v>35.559824241299999</v>
      </c>
      <c r="J2052" s="11">
        <f>[1]!EM_S_FA_NETPROFITMARGIN(B2052,E2052)</f>
        <v>-60.333064299599997</v>
      </c>
      <c r="K2052" s="10">
        <f>[1]!EM_S_FA_ASSETSTURN(B2052,E2052)</f>
        <v>0.466420767821</v>
      </c>
      <c r="L2052" s="12">
        <f>[1]!EM_HKS_VAL_MV(B2052,"2019-12-31","2")</f>
        <v>1369297800</v>
      </c>
      <c r="M2052">
        <f>[1]!EM_S_VAL_PETTMDEDUCTED(B2052,E2052)</f>
        <v>-79.753494295457799</v>
      </c>
      <c r="N2052" s="7">
        <f>[1]!EM_S_VAL_PBGOODWILLDEDUCTED(B2052,E2052)</f>
        <v>4.4787071119746598</v>
      </c>
      <c r="O2052" s="7">
        <f>[1]!EM_S_VAL_PS_TTM(B2052,E2052)</f>
        <v>3.39179905363505</v>
      </c>
      <c r="P2052" s="7">
        <f>[1]!EM_S_VAL_PCF_NCFTTM(B2052,E2052)</f>
        <v>-25.550564059129599</v>
      </c>
      <c r="Q2052" s="7">
        <f>[1]!EM_S_VAL_DIVIDENDYIELD2(B2052,E2052,"2019-11-29")</f>
        <v>0</v>
      </c>
      <c r="T2052"/>
      <c r="U2052">
        <f>[1]!EM_S_RATIO_EPS_TTM(B2052,E2052,"1")</f>
        <v>-1.3772028486536676</v>
      </c>
      <c r="AT2052" s="4" t="str">
        <f>[1]!EM_S_IPO_LISTEDDATE(B2052)</f>
        <v>2011-04-12</v>
      </c>
    </row>
    <row r="2053" spans="1:46">
      <c r="A2053">
        <v>1922</v>
      </c>
      <c r="B2053" t="str">
        <f>"300497"</f>
        <v>300497</v>
      </c>
      <c r="C2053" t="s">
        <v>184</v>
      </c>
      <c r="D2053" t="str">
        <f>[1]!EM_S_INFO_INDEX_EM(B2053,"1")</f>
        <v>医药生物</v>
      </c>
      <c r="E2053" s="4">
        <f t="shared" si="32"/>
        <v>43465</v>
      </c>
      <c r="F2053" s="11">
        <f>[1]!EM_S_PQ_PCTCHANGE(B2053,"2018-01-01","2019-12-31","3")</f>
        <v>26.844706779999999</v>
      </c>
      <c r="G2053" s="11">
        <f>[1]!EM_S_PQ_PCTCHANGE(B2053,"2018-12-31","2019-12-30","1")</f>
        <v>4.0748898699999998</v>
      </c>
      <c r="H2053" s="11">
        <f>[1]!EM_S_FA_YOY_OR(B2053,E2053)</f>
        <v>21.424934745000002</v>
      </c>
      <c r="I2053" s="11">
        <f>[1]!EM_S_FA_GROSSPROFITMARGIN(B2053,E2053)</f>
        <v>37.253164480300001</v>
      </c>
      <c r="J2053" s="11">
        <f>[1]!EM_S_FA_NETPROFITMARGIN(B2053,E2053)</f>
        <v>16.533978058199999</v>
      </c>
      <c r="K2053" s="10">
        <f>[1]!EM_S_FA_ASSETSTURN(B2053,E2053)</f>
        <v>0.58377583507899999</v>
      </c>
      <c r="L2053" s="12">
        <f>[1]!EM_HKS_VAL_MV(B2053,"2019-12-31","2")</f>
        <v>5156758086.6599998</v>
      </c>
      <c r="M2053">
        <f>[1]!EM_S_VAL_PETTMDEDUCTED(B2053,E2053)</f>
        <v>19.7902464510518</v>
      </c>
      <c r="N2053" s="7">
        <f>[1]!EM_S_VAL_PBGOODWILLDEDUCTED(B2053,E2053)</f>
        <v>3.6616793379726298</v>
      </c>
      <c r="O2053" s="7">
        <f>[1]!EM_S_VAL_PS_TTM(B2053,E2053)</f>
        <v>3.5564940915460799</v>
      </c>
      <c r="P2053" s="7">
        <f>[1]!EM_S_VAL_PCF_NCFTTM(B2053,E2053)</f>
        <v>23.9753828667161</v>
      </c>
      <c r="Q2053" s="7">
        <f>[1]!EM_S_VAL_DIVIDENDYIELD2(B2053,E2053,"2019-11-29")</f>
        <v>0.97273520791231494</v>
      </c>
      <c r="T2053"/>
      <c r="U2053">
        <f>[1]!EM_S_RATIO_EPS_TTM(B2053,E2053,"1")</f>
        <v>0.86690572334225946</v>
      </c>
      <c r="AT2053" s="4" t="str">
        <f>[1]!EM_S_IPO_LISTEDDATE(B2053)</f>
        <v>2015-12-22</v>
      </c>
    </row>
    <row r="2054" spans="1:46">
      <c r="A2054">
        <v>1034</v>
      </c>
      <c r="B2054" t="str">
        <f>"002523"</f>
        <v>002523</v>
      </c>
      <c r="C2054" t="s">
        <v>2513</v>
      </c>
      <c r="D2054" t="str">
        <f>[1]!EM_S_INFO_INDEX_EM(B2054,"1")</f>
        <v>机械设备</v>
      </c>
      <c r="E2054" s="4">
        <f t="shared" si="32"/>
        <v>43465</v>
      </c>
      <c r="F2054" s="11">
        <f>[1]!EM_S_PQ_PCTCHANGE(B2054,"2018-01-01","2019-12-31","3")</f>
        <v>-15.352044709999999</v>
      </c>
      <c r="G2054" s="11">
        <f>[1]!EM_S_PQ_PCTCHANGE(B2054,"2018-12-31","2019-12-30","1")</f>
        <v>4.0677966100000003</v>
      </c>
      <c r="H2054" s="11">
        <f>[1]!EM_S_FA_YOY_OR(B2054,E2054)</f>
        <v>12.851631403700001</v>
      </c>
      <c r="I2054" s="11">
        <f>[1]!EM_S_FA_GROSSPROFITMARGIN(B2054,E2054)</f>
        <v>28.578311043799999</v>
      </c>
      <c r="J2054" s="11">
        <f>[1]!EM_S_FA_NETPROFITMARGIN(B2054,E2054)</f>
        <v>7.9239804875999997</v>
      </c>
      <c r="K2054" s="10">
        <f>[1]!EM_S_FA_ASSETSTURN(B2054,E2054)</f>
        <v>0.40337912764</v>
      </c>
      <c r="L2054" s="12">
        <f>[1]!EM_HKS_VAL_MV(B2054,"2019-12-31","2")</f>
        <v>4349087256</v>
      </c>
      <c r="M2054">
        <f>[1]!EM_S_VAL_PETTMDEDUCTED(B2054,E2054)</f>
        <v>39.640567157701803</v>
      </c>
      <c r="N2054" s="7">
        <f>[1]!EM_S_VAL_PBGOODWILLDEDUCTED(B2054,E2054)</f>
        <v>2.1907014532534199</v>
      </c>
      <c r="O2054" s="7">
        <f>[1]!EM_S_VAL_PS_TTM(B2054,E2054)</f>
        <v>3.0938912547351398</v>
      </c>
      <c r="P2054" s="7">
        <f>[1]!EM_S_VAL_PCF_NCFTTM(B2054,E2054)</f>
        <v>154.615322817551</v>
      </c>
      <c r="Q2054" s="7">
        <f>[1]!EM_S_VAL_DIVIDENDYIELD2(B2054,E2054,"2019-11-29")</f>
        <v>0.94339622641509435</v>
      </c>
      <c r="T2054"/>
      <c r="U2054">
        <f>[1]!EM_S_RATIO_EPS_TTM(B2054,E2054,"1")</f>
        <v>7.5458533369926944E-2</v>
      </c>
      <c r="AT2054" s="4" t="str">
        <f>[1]!EM_S_IPO_LISTEDDATE(B2054)</f>
        <v>2010-12-10</v>
      </c>
    </row>
    <row r="2055" spans="1:46">
      <c r="A2055">
        <v>1064</v>
      </c>
      <c r="B2055" t="str">
        <f>"002553"</f>
        <v>002553</v>
      </c>
      <c r="C2055" t="s">
        <v>747</v>
      </c>
      <c r="D2055" t="str">
        <f>[1]!EM_S_INFO_INDEX_EM(B2055,"1")</f>
        <v>交运设备</v>
      </c>
      <c r="E2055" s="4">
        <f t="shared" si="32"/>
        <v>43465</v>
      </c>
      <c r="F2055" s="11">
        <f>[1]!EM_S_PQ_PCTCHANGE(B2055,"2018-01-01","2019-12-31","3")</f>
        <v>-38.733956810000002</v>
      </c>
      <c r="G2055" s="11">
        <f>[1]!EM_S_PQ_PCTCHANGE(B2055,"2018-12-31","2019-12-30","1")</f>
        <v>4.06189555</v>
      </c>
      <c r="H2055" s="11">
        <f>[1]!EM_S_FA_YOY_OR(B2055,E2055)</f>
        <v>0.95431433629999995</v>
      </c>
      <c r="I2055" s="11">
        <f>[1]!EM_S_FA_GROSSPROFITMARGIN(B2055,E2055)</f>
        <v>34.586736183100001</v>
      </c>
      <c r="J2055" s="11">
        <f>[1]!EM_S_FA_NETPROFITMARGIN(B2055,E2055)</f>
        <v>22.938045385999999</v>
      </c>
      <c r="K2055" s="10">
        <f>[1]!EM_S_FA_ASSETSTURN(B2055,E2055)</f>
        <v>0.49591155746900001</v>
      </c>
      <c r="L2055" s="12">
        <f>[1]!EM_HKS_VAL_MV(B2055,"2019-12-31","2")</f>
        <v>1879200000</v>
      </c>
      <c r="M2055">
        <f>[1]!EM_S_VAL_PETTMDEDUCTED(B2055,E2055)</f>
        <v>31.820139455777699</v>
      </c>
      <c r="N2055" s="7">
        <f>[1]!EM_S_VAL_PBGOODWILLDEDUCTED(B2055,E2055)</f>
        <v>2.49046620258243</v>
      </c>
      <c r="O2055" s="7">
        <f>[1]!EM_S_VAL_PS_TTM(B2055,E2055)</f>
        <v>4.5516716406106204</v>
      </c>
      <c r="P2055" s="7">
        <f>[1]!EM_S_VAL_PCF_NCFTTM(B2055,E2055)</f>
        <v>124.16415281116601</v>
      </c>
      <c r="Q2055" s="7">
        <f>[1]!EM_S_VAL_DIVIDENDYIELD2(B2055,E2055,"2019-11-29")</f>
        <v>3.9370078740157481</v>
      </c>
      <c r="T2055"/>
      <c r="U2055">
        <f>[1]!EM_S_RATIO_EPS_TTM(B2055,E2055,"1")</f>
        <v>0.25908312775862069</v>
      </c>
      <c r="AT2055" s="4" t="str">
        <f>[1]!EM_S_IPO_LISTEDDATE(B2055)</f>
        <v>2011-02-25</v>
      </c>
    </row>
    <row r="2056" spans="1:46">
      <c r="A2056">
        <v>3352</v>
      </c>
      <c r="B2056" t="str">
        <f>"603315"</f>
        <v>603315</v>
      </c>
      <c r="C2056" t="s">
        <v>2860</v>
      </c>
      <c r="D2056" t="str">
        <f>[1]!EM_S_INFO_INDEX_EM(B2056,"1")</f>
        <v>机械设备</v>
      </c>
      <c r="E2056" s="4">
        <f t="shared" si="32"/>
        <v>43465</v>
      </c>
      <c r="F2056" s="11">
        <f>[1]!EM_S_PQ_PCTCHANGE(B2056,"2018-01-01","2019-12-31","3")</f>
        <v>-12.00325147</v>
      </c>
      <c r="G2056" s="11">
        <f>[1]!EM_S_PQ_PCTCHANGE(B2056,"2018-12-31","2019-12-30","1")</f>
        <v>4.0564373900000001</v>
      </c>
      <c r="H2056" s="11">
        <f>[1]!EM_S_FA_YOY_OR(B2056,E2056)</f>
        <v>6.9179412088000003</v>
      </c>
      <c r="I2056" s="11">
        <f>[1]!EM_S_FA_GROSSPROFITMARGIN(B2056,E2056)</f>
        <v>18.173290053799999</v>
      </c>
      <c r="J2056" s="11">
        <f>[1]!EM_S_FA_NETPROFITMARGIN(B2056,E2056)</f>
        <v>2.5729208373999999</v>
      </c>
      <c r="K2056" s="10">
        <f>[1]!EM_S_FA_ASSETSTURN(B2056,E2056)</f>
        <v>0.24212979013399999</v>
      </c>
      <c r="L2056" s="12">
        <f>[1]!EM_HKS_VAL_MV(B2056,"2019-12-31","2")</f>
        <v>3730369107.5999999</v>
      </c>
      <c r="M2056">
        <f>[1]!EM_S_VAL_PETTMDEDUCTED(B2056,E2056)</f>
        <v>-149.67381148707699</v>
      </c>
      <c r="N2056" s="7">
        <f>[1]!EM_S_VAL_PBGOODWILLDEDUCTED(B2056,E2056)</f>
        <v>2.5256961913117699</v>
      </c>
      <c r="O2056" s="7">
        <f>[1]!EM_S_VAL_PS_TTM(B2056,E2056)</f>
        <v>7.2342197323034902</v>
      </c>
      <c r="P2056" s="7">
        <f>[1]!EM_S_VAL_PCF_NCFTTM(B2056,E2056)</f>
        <v>18.964514962103799</v>
      </c>
      <c r="Q2056" s="7">
        <f>[1]!EM_S_VAL_DIVIDENDYIELD2(B2056,E2056,"2019-11-29")</f>
        <v>9.8405378934123849E-2</v>
      </c>
      <c r="T2056"/>
      <c r="U2056">
        <f>[1]!EM_S_RATIO_EPS_TTM(B2056,E2056,"1")</f>
        <v>4.2637526363213211E-2</v>
      </c>
      <c r="AT2056" s="4" t="str">
        <f>[1]!EM_S_IPO_LISTEDDATE(B2056)</f>
        <v>2015-04-24</v>
      </c>
    </row>
    <row r="2057" spans="1:46">
      <c r="A2057">
        <v>964</v>
      </c>
      <c r="B2057" t="str">
        <f>"002453"</f>
        <v>002453</v>
      </c>
      <c r="C2057" t="s">
        <v>2664</v>
      </c>
      <c r="D2057" t="str">
        <f>[1]!EM_S_INFO_INDEX_EM(B2057,"1")</f>
        <v>互联网</v>
      </c>
      <c r="E2057" s="4">
        <f t="shared" si="32"/>
        <v>43465</v>
      </c>
      <c r="F2057" s="11">
        <f>[1]!EM_S_PQ_PCTCHANGE(B2057,"2018-01-01","2019-12-31","3")</f>
        <v>-30.423620029999999</v>
      </c>
      <c r="G2057" s="11">
        <f>[1]!EM_S_PQ_PCTCHANGE(B2057,"2018-12-31","2019-12-30","1")</f>
        <v>4.0384615400000001</v>
      </c>
      <c r="H2057" s="11">
        <f>[1]!EM_S_FA_YOY_OR(B2057,E2057)</f>
        <v>39.932309317600001</v>
      </c>
      <c r="I2057" s="11">
        <f>[1]!EM_S_FA_GROSSPROFITMARGIN(B2057,E2057)</f>
        <v>15.402966814099999</v>
      </c>
      <c r="J2057" s="11">
        <f>[1]!EM_S_FA_NETPROFITMARGIN(B2057,E2057)</f>
        <v>1.5785118595000001</v>
      </c>
      <c r="K2057" s="10">
        <f>[1]!EM_S_FA_ASSETSTURN(B2057,E2057)</f>
        <v>0.85035458588400004</v>
      </c>
      <c r="L2057" s="12">
        <f>[1]!EM_HKS_VAL_MV(B2057,"2019-12-31","2")</f>
        <v>3096446000</v>
      </c>
      <c r="M2057">
        <f>[1]!EM_S_VAL_PETTMDEDUCTED(B2057,E2057)</f>
        <v>3016.1374868763</v>
      </c>
      <c r="N2057" s="7">
        <f>[1]!EM_S_VAL_PBGOODWILLDEDUCTED(B2057,E2057)</f>
        <v>6.2632586680943803</v>
      </c>
      <c r="O2057" s="7">
        <f>[1]!EM_S_VAL_PS_TTM(B2057,E2057)</f>
        <v>1.6424453615122201</v>
      </c>
      <c r="P2057" s="7">
        <f>[1]!EM_S_VAL_PCF_NCFTTM(B2057,E2057)</f>
        <v>-61.011120419592203</v>
      </c>
      <c r="Q2057" s="7">
        <f>[1]!EM_S_VAL_DIVIDENDYIELD2(B2057,E2057,"2019-11-29")</f>
        <v>0</v>
      </c>
      <c r="T2057"/>
      <c r="U2057">
        <f>[1]!EM_S_RATIO_EPS_TTM(B2057,E2057,"1")</f>
        <v>4.2834477962541577E-2</v>
      </c>
      <c r="AT2057" s="4" t="str">
        <f>[1]!EM_S_IPO_LISTEDDATE(B2057)</f>
        <v>2010-07-20</v>
      </c>
    </row>
    <row r="2058" spans="1:46">
      <c r="A2058">
        <v>2308</v>
      </c>
      <c r="B2058" t="str">
        <f>"600169"</f>
        <v>600169</v>
      </c>
      <c r="C2058" t="s">
        <v>3054</v>
      </c>
      <c r="D2058" t="str">
        <f>[1]!EM_S_INFO_INDEX_EM(B2058,"1")</f>
        <v>机械设备</v>
      </c>
      <c r="E2058" s="4">
        <f t="shared" si="32"/>
        <v>43465</v>
      </c>
      <c r="F2058" s="11">
        <f>[1]!EM_S_PQ_PCTCHANGE(B2058,"2018-01-01","2019-12-31","3")</f>
        <v>-32.658959539999998</v>
      </c>
      <c r="G2058" s="11">
        <f>[1]!EM_S_PQ_PCTCHANGE(B2058,"2018-12-31","2019-12-30","1")</f>
        <v>4.0358744399999997</v>
      </c>
      <c r="H2058" s="11">
        <f>[1]!EM_S_FA_YOY_OR(B2058,E2058)</f>
        <v>-10.434873142100001</v>
      </c>
      <c r="I2058" s="11">
        <f>[1]!EM_S_FA_GROSSPROFITMARGIN(B2058,E2058)</f>
        <v>29.9435541195</v>
      </c>
      <c r="J2058" s="11">
        <f>[1]!EM_S_FA_NETPROFITMARGIN(B2058,E2058)</f>
        <v>0.62170884660000003</v>
      </c>
      <c r="K2058" s="10">
        <f>[1]!EM_S_FA_ASSETSTURN(B2058,E2058)</f>
        <v>0.20746397798899999</v>
      </c>
      <c r="L2058" s="12">
        <f>[1]!EM_HKS_VAL_MV(B2058,"2019-12-31","2")</f>
        <v>5974015150</v>
      </c>
      <c r="M2058">
        <f>[1]!EM_S_VAL_PETTMDEDUCTED(B2058,E2058)</f>
        <v>-499.80888643491602</v>
      </c>
      <c r="N2058" s="7">
        <f>[1]!EM_S_VAL_PBGOODWILLDEDUCTED(B2058,E2058)</f>
        <v>1.37204702265985</v>
      </c>
      <c r="O2058" s="7">
        <f>[1]!EM_S_VAL_PS_TTM(B2058,E2058)</f>
        <v>0.84723741026831101</v>
      </c>
      <c r="P2058" s="7">
        <f>[1]!EM_S_VAL_PCF_NCFTTM(B2058,E2058)</f>
        <v>26.483446216733501</v>
      </c>
      <c r="Q2058" s="7">
        <f>[1]!EM_S_VAL_DIVIDENDYIELD2(B2058,E2058,"2019-11-29")</f>
        <v>0</v>
      </c>
      <c r="T2058"/>
      <c r="U2058">
        <f>[1]!EM_S_RATIO_EPS_TTM(B2058,E2058,"1")</f>
        <v>1.4799855773599772E-2</v>
      </c>
      <c r="AT2058" s="4" t="str">
        <f>[1]!EM_S_IPO_LISTEDDATE(B2058)</f>
        <v>1998-09-04</v>
      </c>
    </row>
    <row r="2059" spans="1:46">
      <c r="A2059">
        <v>2492</v>
      </c>
      <c r="B2059" t="str">
        <f>"600373"</f>
        <v>600373</v>
      </c>
      <c r="C2059" t="s">
        <v>583</v>
      </c>
      <c r="D2059" t="str">
        <f>[1]!EM_S_INFO_INDEX_EM(B2059,"1")</f>
        <v>文化传媒</v>
      </c>
      <c r="E2059" s="4">
        <f t="shared" si="32"/>
        <v>43465</v>
      </c>
      <c r="F2059" s="11">
        <f>[1]!EM_S_PQ_PCTCHANGE(B2059,"2018-01-01","2019-12-31","3")</f>
        <v>-14.2519746</v>
      </c>
      <c r="G2059" s="11">
        <f>[1]!EM_S_PQ_PCTCHANGE(B2059,"2018-12-31","2019-12-30","1")</f>
        <v>3.9969254400000001</v>
      </c>
      <c r="H2059" s="11">
        <f>[1]!EM_S_FA_YOY_OR(B2059,E2059)</f>
        <v>-13.477883883300001</v>
      </c>
      <c r="I2059" s="11">
        <f>[1]!EM_S_FA_GROSSPROFITMARGIN(B2059,E2059)</f>
        <v>37.664239213899997</v>
      </c>
      <c r="J2059" s="11">
        <f>[1]!EM_S_FA_NETPROFITMARGIN(B2059,E2059)</f>
        <v>14.125758082899999</v>
      </c>
      <c r="K2059" s="10">
        <f>[1]!EM_S_FA_ASSETSTURN(B2059,E2059)</f>
        <v>0.52086253632900004</v>
      </c>
      <c r="L2059" s="12">
        <f>[1]!EM_HKS_VAL_MV(B2059,"2019-12-31","2")</f>
        <v>18442417215.59</v>
      </c>
      <c r="M2059">
        <f>[1]!EM_S_VAL_PETTMDEDUCTED(B2059,E2059)</f>
        <v>12.327483815467</v>
      </c>
      <c r="N2059" s="7">
        <f>[1]!EM_S_VAL_PBGOODWILLDEDUCTED(B2059,E2059)</f>
        <v>1.6519674250278</v>
      </c>
      <c r="O2059" s="7">
        <f>[1]!EM_S_VAL_PS_TTM(B2059,E2059)</f>
        <v>1.3474779997700801</v>
      </c>
      <c r="P2059" s="7">
        <f>[1]!EM_S_VAL_PCF_NCFTTM(B2059,E2059)</f>
        <v>15.7168360404489</v>
      </c>
      <c r="Q2059" s="7">
        <f>[1]!EM_S_VAL_DIVIDENDYIELD2(B2059,E2059,"2019-11-29")</f>
        <v>4.2583002042506051</v>
      </c>
      <c r="T2059"/>
      <c r="U2059">
        <f>[1]!EM_S_RATIO_EPS_TTM(B2059,E2059,"1")</f>
        <v>1.1750216141446359</v>
      </c>
      <c r="AT2059" s="4" t="str">
        <f>[1]!EM_S_IPO_LISTEDDATE(B2059)</f>
        <v>2002-03-04</v>
      </c>
    </row>
    <row r="2060" spans="1:46">
      <c r="A2060">
        <v>1832</v>
      </c>
      <c r="B2060" t="str">
        <f>"300407"</f>
        <v>300407</v>
      </c>
      <c r="C2060" t="s">
        <v>3607</v>
      </c>
      <c r="D2060" t="str">
        <f>[1]!EM_S_INFO_INDEX_EM(B2060,"1")</f>
        <v>电气设备</v>
      </c>
      <c r="E2060" s="4">
        <f t="shared" si="32"/>
        <v>43465</v>
      </c>
      <c r="F2060" s="11">
        <f>[1]!EM_S_PQ_PCTCHANGE(B2060,"2018-01-01","2019-12-31","3")</f>
        <v>-25.538007440000001</v>
      </c>
      <c r="G2060" s="11">
        <f>[1]!EM_S_PQ_PCTCHANGE(B2060,"2018-12-31","2019-12-30","1")</f>
        <v>3.9946737699999999</v>
      </c>
      <c r="H2060" s="11">
        <f>[1]!EM_S_FA_YOY_OR(B2060,E2060)</f>
        <v>11.232296337299999</v>
      </c>
      <c r="I2060" s="11">
        <f>[1]!EM_S_FA_GROSSPROFITMARGIN(B2060,E2060)</f>
        <v>20.395877048799999</v>
      </c>
      <c r="J2060" s="11">
        <f>[1]!EM_S_FA_NETPROFITMARGIN(B2060,E2060)</f>
        <v>0.9194052667</v>
      </c>
      <c r="K2060" s="10">
        <f>[1]!EM_S_FA_ASSETSTURN(B2060,E2060)</f>
        <v>0.73552580739600004</v>
      </c>
      <c r="L2060" s="12">
        <f>[1]!EM_HKS_VAL_MV(B2060,"2019-12-31","2")</f>
        <v>2397678325.3800001</v>
      </c>
      <c r="M2060">
        <f>[1]!EM_S_VAL_PETTMDEDUCTED(B2060,E2060)</f>
        <v>431.76675710465702</v>
      </c>
      <c r="N2060" s="7">
        <f>[1]!EM_S_VAL_PBGOODWILLDEDUCTED(B2060,E2060)</f>
        <v>2.07245158330461</v>
      </c>
      <c r="O2060" s="7">
        <f>[1]!EM_S_VAL_PS_TTM(B2060,E2060)</f>
        <v>1.3873099600161101</v>
      </c>
      <c r="P2060" s="7">
        <f>[1]!EM_S_VAL_PCF_NCFTTM(B2060,E2060)</f>
        <v>14.802863881049401</v>
      </c>
      <c r="Q2060" s="7">
        <f>[1]!EM_S_VAL_DIVIDENDYIELD2(B2060,E2060,"2019-11-29")</f>
        <v>0.13380387878285302</v>
      </c>
      <c r="T2060"/>
      <c r="U2060">
        <f>[1]!EM_S_RATIO_EPS_TTM(B2060,E2060,"1")</f>
        <v>5.3635552463998842E-2</v>
      </c>
      <c r="AT2060" s="4" t="str">
        <f>[1]!EM_S_IPO_LISTEDDATE(B2060)</f>
        <v>2014-12-03</v>
      </c>
    </row>
    <row r="2061" spans="1:46">
      <c r="A2061">
        <v>2970</v>
      </c>
      <c r="B2061" t="str">
        <f>"600897"</f>
        <v>600897</v>
      </c>
      <c r="C2061" t="s">
        <v>714</v>
      </c>
      <c r="D2061" t="str">
        <f>[1]!EM_S_INFO_INDEX_EM(B2061,"1")</f>
        <v>交通运输</v>
      </c>
      <c r="E2061" s="4">
        <f t="shared" si="32"/>
        <v>43465</v>
      </c>
      <c r="F2061" s="11">
        <f>[1]!EM_S_PQ_PCTCHANGE(B2061,"2018-01-01","2019-12-31","3")</f>
        <v>9.9570191900000005</v>
      </c>
      <c r="G2061" s="11">
        <f>[1]!EM_S_PQ_PCTCHANGE(B2061,"2018-12-31","2019-12-30","1")</f>
        <v>3.9924847300000001</v>
      </c>
      <c r="H2061" s="11">
        <f>[1]!EM_S_FA_YOY_OR(B2061,E2061)</f>
        <v>7.0534455628000003</v>
      </c>
      <c r="I2061" s="11">
        <f>[1]!EM_S_FA_GROSSPROFITMARGIN(B2061,E2061)</f>
        <v>42.7787081715</v>
      </c>
      <c r="J2061" s="11">
        <f>[1]!EM_S_FA_NETPROFITMARGIN(B2061,E2061)</f>
        <v>29.642503832700001</v>
      </c>
      <c r="K2061" s="10">
        <f>[1]!EM_S_FA_ASSETSTURN(B2061,E2061)</f>
        <v>0.392553155476</v>
      </c>
      <c r="L2061" s="12">
        <f>[1]!EM_HKS_VAL_MV(B2061,"2019-12-31","2")</f>
        <v>6653075400</v>
      </c>
      <c r="M2061">
        <f>[1]!EM_S_VAL_PETTMDEDUCTED(B2061,E2061)</f>
        <v>14.2443501819569</v>
      </c>
      <c r="N2061" s="7">
        <f>[1]!EM_S_VAL_PBGOODWILLDEDUCTED(B2061,E2061)</f>
        <v>1.7608703997273301</v>
      </c>
      <c r="O2061" s="7">
        <f>[1]!EM_S_VAL_PS_TTM(B2061,E2061)</f>
        <v>3.5919167295825201</v>
      </c>
      <c r="P2061" s="7">
        <f>[1]!EM_S_VAL_PCF_NCFTTM(B2061,E2061)</f>
        <v>17.8819136968816</v>
      </c>
      <c r="Q2061" s="7">
        <f>[1]!EM_S_VAL_DIVIDENDYIELD2(B2061,E2061,"2019-11-29")</f>
        <v>6.2166100048567259</v>
      </c>
      <c r="T2061"/>
      <c r="U2061">
        <f>[1]!EM_S_RATIO_EPS_TTM(B2061,E2061,"1")</f>
        <v>1.6979115165709682</v>
      </c>
      <c r="AT2061" s="4" t="str">
        <f>[1]!EM_S_IPO_LISTEDDATE(B2061)</f>
        <v>1996-05-31</v>
      </c>
    </row>
    <row r="2062" spans="1:46">
      <c r="A2062">
        <v>3180</v>
      </c>
      <c r="B2062" t="str">
        <f>"601929"</f>
        <v>601929</v>
      </c>
      <c r="C2062" t="s">
        <v>2579</v>
      </c>
      <c r="D2062" t="str">
        <f>[1]!EM_S_INFO_INDEX_EM(B2062,"1")</f>
        <v>文化传媒</v>
      </c>
      <c r="E2062" s="4">
        <f t="shared" si="32"/>
        <v>43465</v>
      </c>
      <c r="F2062" s="11">
        <f>[1]!EM_S_PQ_PCTCHANGE(B2062,"2018-01-01","2019-12-31","3")</f>
        <v>-27.100022939999999</v>
      </c>
      <c r="G2062" s="11">
        <f>[1]!EM_S_PQ_PCTCHANGE(B2062,"2018-12-31","2019-12-30","1")</f>
        <v>3.9024390200000001</v>
      </c>
      <c r="H2062" s="11">
        <f>[1]!EM_S_FA_YOY_OR(B2062,E2062)</f>
        <v>-1.7168152759999999</v>
      </c>
      <c r="I2062" s="11">
        <f>[1]!EM_S_FA_GROSSPROFITMARGIN(B2062,E2062)</f>
        <v>46.195103514000003</v>
      </c>
      <c r="J2062" s="11">
        <f>[1]!EM_S_FA_NETPROFITMARGIN(B2062,E2062)</f>
        <v>15.304535227200001</v>
      </c>
      <c r="K2062" s="10">
        <f>[1]!EM_S_FA_ASSETSTURN(B2062,E2062)</f>
        <v>0.16115643555100001</v>
      </c>
      <c r="L2062" s="12">
        <f>[1]!EM_HKS_VAL_MV(B2062,"2019-12-31","2")</f>
        <v>6626560522.1400003</v>
      </c>
      <c r="M2062">
        <f>[1]!EM_S_VAL_PETTMDEDUCTED(B2062,E2062)</f>
        <v>22.763346957824901</v>
      </c>
      <c r="N2062" s="7">
        <f>[1]!EM_S_VAL_PBGOODWILLDEDUCTED(B2062,E2062)</f>
        <v>0.95402719411738501</v>
      </c>
      <c r="O2062" s="7">
        <f>[1]!EM_S_VAL_PS_TTM(B2062,E2062)</f>
        <v>3.1765866048306601</v>
      </c>
      <c r="P2062" s="7">
        <f>[1]!EM_S_VAL_PCF_NCFTTM(B2062,E2062)</f>
        <v>-17.1575293728473</v>
      </c>
      <c r="Q2062" s="7">
        <f>[1]!EM_S_VAL_DIVIDENDYIELD2(B2062,E2062,"2019-11-29")</f>
        <v>0.34653352165229334</v>
      </c>
      <c r="T2062"/>
      <c r="U2062">
        <f>[1]!EM_S_RATIO_EPS_TTM(B2062,E2062,"1")</f>
        <v>9.7871024993652661E-2</v>
      </c>
      <c r="AT2062" s="4" t="str">
        <f>[1]!EM_S_IPO_LISTEDDATE(B2062)</f>
        <v>2012-02-23</v>
      </c>
    </row>
    <row r="2063" spans="1:46">
      <c r="A2063">
        <v>1275</v>
      </c>
      <c r="B2063" t="str">
        <f>"002768"</f>
        <v>002768</v>
      </c>
      <c r="C2063" t="s">
        <v>401</v>
      </c>
      <c r="D2063" t="str">
        <f>[1]!EM_S_INFO_INDEX_EM(B2063,"1")</f>
        <v>基础化工</v>
      </c>
      <c r="E2063" s="4">
        <f t="shared" si="32"/>
        <v>43465</v>
      </c>
      <c r="F2063" s="11">
        <f>[1]!EM_S_PQ_PCTCHANGE(B2063,"2018-01-01","2019-12-31","3")</f>
        <v>-17.394321860000002</v>
      </c>
      <c r="G2063" s="11">
        <f>[1]!EM_S_PQ_PCTCHANGE(B2063,"2018-12-31","2019-12-30","1")</f>
        <v>3.9013452900000001</v>
      </c>
      <c r="H2063" s="11">
        <f>[1]!EM_S_FA_YOY_OR(B2063,E2063)</f>
        <v>81.943734195900007</v>
      </c>
      <c r="I2063" s="11">
        <f>[1]!EM_S_FA_GROSSPROFITMARGIN(B2063,E2063)</f>
        <v>17.5797898577</v>
      </c>
      <c r="J2063" s="11">
        <f>[1]!EM_S_FA_NETPROFITMARGIN(B2063,E2063)</f>
        <v>8.4345494641999998</v>
      </c>
      <c r="K2063" s="10">
        <f>[1]!EM_S_FA_ASSETSTURN(B2063,E2063)</f>
        <v>1.275228915849</v>
      </c>
      <c r="L2063" s="12">
        <f>[1]!EM_HKS_VAL_MV(B2063,"2019-12-31","2")</f>
        <v>6317412500</v>
      </c>
      <c r="M2063">
        <f>[1]!EM_S_VAL_PETTMDEDUCTED(B2063,E2063)</f>
        <v>22.7024649855869</v>
      </c>
      <c r="N2063" s="7">
        <f>[1]!EM_S_VAL_PBGOODWILLDEDUCTED(B2063,E2063)</f>
        <v>2.9894672985533202</v>
      </c>
      <c r="O2063" s="7">
        <f>[1]!EM_S_VAL_PS_TTM(B2063,E2063)</f>
        <v>2.0073302941729398</v>
      </c>
      <c r="P2063" s="7">
        <f>[1]!EM_S_VAL_PCF_NCFTTM(B2063,E2063)</f>
        <v>15.8319781273911</v>
      </c>
      <c r="Q2063" s="7">
        <f>[1]!EM_S_VAL_DIVIDENDYIELD2(B2063,E2063,"2019-11-29")</f>
        <v>0.52242054854157594</v>
      </c>
      <c r="T2063"/>
      <c r="U2063">
        <f>[1]!EM_S_RATIO_EPS_TTM(B2063,E2063,"1")</f>
        <v>1.137183446046083</v>
      </c>
      <c r="AT2063" s="4" t="str">
        <f>[1]!EM_S_IPO_LISTEDDATE(B2063)</f>
        <v>2015-06-30</v>
      </c>
    </row>
    <row r="2064" spans="1:46">
      <c r="A2064">
        <v>2897</v>
      </c>
      <c r="B2064" t="str">
        <f>"600824"</f>
        <v>600824</v>
      </c>
      <c r="C2064" t="s">
        <v>1150</v>
      </c>
      <c r="D2064" t="str">
        <f>[1]!EM_S_INFO_INDEX_EM(B2064,"1")</f>
        <v>纺织服装</v>
      </c>
      <c r="E2064" s="4">
        <f t="shared" si="32"/>
        <v>43465</v>
      </c>
      <c r="F2064" s="11">
        <f>[1]!EM_S_PQ_PCTCHANGE(B2064,"2018-01-01","2019-12-31","3")</f>
        <v>-27.326798920000002</v>
      </c>
      <c r="G2064" s="11">
        <f>[1]!EM_S_PQ_PCTCHANGE(B2064,"2018-12-31","2019-12-30","1")</f>
        <v>3.8922155699999998</v>
      </c>
      <c r="H2064" s="11">
        <f>[1]!EM_S_FA_YOY_OR(B2064,E2064)</f>
        <v>-19.982647252300001</v>
      </c>
      <c r="I2064" s="11">
        <f>[1]!EM_S_FA_GROSSPROFITMARGIN(B2064,E2064)</f>
        <v>41.106940275900001</v>
      </c>
      <c r="J2064" s="11">
        <f>[1]!EM_S_FA_NETPROFITMARGIN(B2064,E2064)</f>
        <v>7.3882112201999997</v>
      </c>
      <c r="K2064" s="10">
        <f>[1]!EM_S_FA_ASSETSTURN(B2064,E2064)</f>
        <v>0.52229421813499999</v>
      </c>
      <c r="L2064" s="12">
        <f>[1]!EM_HKS_VAL_MV(B2064,"2019-12-31","2")</f>
        <v>3625853131.1199999</v>
      </c>
      <c r="M2064">
        <f>[1]!EM_S_VAL_PETTMDEDUCTED(B2064,E2064)</f>
        <v>33.124593284343902</v>
      </c>
      <c r="N2064" s="7">
        <f>[1]!EM_S_VAL_PBGOODWILLDEDUCTED(B2064,E2064)</f>
        <v>1.5964148482199101</v>
      </c>
      <c r="O2064" s="7">
        <f>[1]!EM_S_VAL_PS_TTM(B2064,E2064)</f>
        <v>2.2938272455845099</v>
      </c>
      <c r="P2064" s="7">
        <f>[1]!EM_S_VAL_PCF_NCFTTM(B2064,E2064)</f>
        <v>185.18505230140099</v>
      </c>
      <c r="Q2064" s="7">
        <f>[1]!EM_S_VAL_DIVIDENDYIELD2(B2064,E2064,"2019-11-29")</f>
        <v>0.97560975609756095</v>
      </c>
      <c r="T2064"/>
      <c r="U2064">
        <f>[1]!EM_S_RATIO_EPS_TTM(B2064,E2064,"1")</f>
        <v>0.10389122375037894</v>
      </c>
      <c r="AT2064" s="4" t="str">
        <f>[1]!EM_S_IPO_LISTEDDATE(B2064)</f>
        <v>1994-02-04</v>
      </c>
    </row>
    <row r="2065" spans="1:46">
      <c r="A2065">
        <v>1642</v>
      </c>
      <c r="B2065" t="str">
        <f>"300217"</f>
        <v>300217</v>
      </c>
      <c r="C2065" t="s">
        <v>2047</v>
      </c>
      <c r="D2065" t="str">
        <f>[1]!EM_S_INFO_INDEX_EM(B2065,"1")</f>
        <v>家电</v>
      </c>
      <c r="E2065" s="4">
        <f t="shared" si="32"/>
        <v>43465</v>
      </c>
      <c r="F2065" s="11">
        <f>[1]!EM_S_PQ_PCTCHANGE(B2065,"2018-01-01","2019-12-31","3")</f>
        <v>-17.563628680000001</v>
      </c>
      <c r="G2065" s="11">
        <f>[1]!EM_S_PQ_PCTCHANGE(B2065,"2018-12-31","2019-12-30","1")</f>
        <v>3.86266094</v>
      </c>
      <c r="H2065" s="11">
        <f>[1]!EM_S_FA_YOY_OR(B2065,E2065)</f>
        <v>29.4287691412</v>
      </c>
      <c r="I2065" s="11">
        <f>[1]!EM_S_FA_GROSSPROFITMARGIN(B2065,E2065)</f>
        <v>21.974151804600002</v>
      </c>
      <c r="J2065" s="11">
        <f>[1]!EM_S_FA_NETPROFITMARGIN(B2065,E2065)</f>
        <v>7.1884279724000004</v>
      </c>
      <c r="K2065" s="10">
        <f>[1]!EM_S_FA_ASSETSTURN(B2065,E2065)</f>
        <v>0.67109767448900004</v>
      </c>
      <c r="L2065" s="12">
        <f>[1]!EM_HKS_VAL_MV(B2065,"2019-12-31","2")</f>
        <v>3094589705.5799999</v>
      </c>
      <c r="M2065">
        <f>[1]!EM_S_VAL_PETTMDEDUCTED(B2065,E2065)</f>
        <v>21.485053168885099</v>
      </c>
      <c r="N2065" s="7">
        <f>[1]!EM_S_VAL_PBGOODWILLDEDUCTED(B2065,E2065)</f>
        <v>1.5796518396199299</v>
      </c>
      <c r="O2065" s="7">
        <f>[1]!EM_S_VAL_PS_TTM(B2065,E2065)</f>
        <v>1.2676707900506301</v>
      </c>
      <c r="P2065" s="7">
        <f>[1]!EM_S_VAL_PCF_NCFTTM(B2065,E2065)</f>
        <v>-30.5325336327328</v>
      </c>
      <c r="Q2065" s="7">
        <f>[1]!EM_S_VAL_DIVIDENDYIELD2(B2065,E2065,"2019-11-29")</f>
        <v>0.85470085470085477</v>
      </c>
      <c r="T2065"/>
      <c r="U2065">
        <f>[1]!EM_S_RATIO_EPS_TTM(B2065,E2065,"1")</f>
        <v>0.11399583776977065</v>
      </c>
      <c r="AT2065" s="4" t="str">
        <f>[1]!EM_S_IPO_LISTEDDATE(B2065)</f>
        <v>2011-05-18</v>
      </c>
    </row>
    <row r="2066" spans="1:46">
      <c r="A2066">
        <v>2736</v>
      </c>
      <c r="B2066" t="str">
        <f>"600663"</f>
        <v>600663</v>
      </c>
      <c r="C2066" t="s">
        <v>685</v>
      </c>
      <c r="D2066" t="str">
        <f>[1]!EM_S_INFO_INDEX_EM(B2066,"1")</f>
        <v>房地产</v>
      </c>
      <c r="E2066" s="4">
        <f t="shared" si="32"/>
        <v>43465</v>
      </c>
      <c r="F2066" s="11">
        <f>[1]!EM_S_PQ_PCTCHANGE(B2066,"2018-01-01","2019-12-31","3")</f>
        <v>-9.5887956400000007</v>
      </c>
      <c r="G2066" s="11">
        <f>[1]!EM_S_PQ_PCTCHANGE(B2066,"2018-12-31","2019-12-30","1")</f>
        <v>3.8491146999999999</v>
      </c>
      <c r="H2066" s="11">
        <f>[1]!EM_S_FA_YOY_OR(B2066,E2066)</f>
        <v>35.542306948799997</v>
      </c>
      <c r="I2066" s="11">
        <f>[1]!EM_S_FA_GROSSPROFITMARGIN(B2066,E2066)</f>
        <v>53.974644010799999</v>
      </c>
      <c r="J2066" s="11">
        <f>[1]!EM_S_FA_NETPROFITMARGIN(B2066,E2066)</f>
        <v>32.480084360699998</v>
      </c>
      <c r="K2066" s="10">
        <f>[1]!EM_S_FA_ASSETSTURN(B2066,E2066)</f>
        <v>0.15868604388900001</v>
      </c>
      <c r="L2066" s="12">
        <f>[1]!EM_HKS_VAL_MV(B2066,"2019-12-31","2")</f>
        <v>54502007414.400002</v>
      </c>
      <c r="M2066">
        <f>[1]!EM_S_VAL_PETTMDEDUCTED(B2066,E2066)</f>
        <v>11.827061219426399</v>
      </c>
      <c r="N2066" s="7">
        <f>[1]!EM_S_VAL_PBGOODWILLDEDUCTED(B2066,E2066)</f>
        <v>2.8685075841930701</v>
      </c>
      <c r="O2066" s="7">
        <f>[1]!EM_S_VAL_PS_TTM(B2066,E2066)</f>
        <v>4.1273369541651199</v>
      </c>
      <c r="P2066" s="7">
        <f>[1]!EM_S_VAL_PCF_NCFTTM(B2066,E2066)</f>
        <v>18.123241365314499</v>
      </c>
      <c r="Q2066" s="7">
        <f>[1]!EM_S_VAL_DIVIDENDYIELD2(B2066,E2066,"2019-11-29")</f>
        <v>3.1383647798742134</v>
      </c>
      <c r="T2066"/>
      <c r="U2066">
        <f>[1]!EM_S_RATIO_EPS_TTM(B2066,E2066,"1")</f>
        <v>0.99655439354896824</v>
      </c>
      <c r="AT2066" s="4" t="str">
        <f>[1]!EM_S_IPO_LISTEDDATE(B2066)</f>
        <v>1993-06-28</v>
      </c>
    </row>
    <row r="2067" spans="1:46">
      <c r="A2067">
        <v>1726</v>
      </c>
      <c r="B2067" t="str">
        <f>"300301"</f>
        <v>300301</v>
      </c>
      <c r="C2067" t="s">
        <v>2987</v>
      </c>
      <c r="D2067" t="str">
        <f>[1]!EM_S_INFO_INDEX_EM(B2067,"1")</f>
        <v>电子设备</v>
      </c>
      <c r="E2067" s="4">
        <f t="shared" si="32"/>
        <v>43465</v>
      </c>
      <c r="F2067" s="11">
        <f>[1]!EM_S_PQ_PCTCHANGE(B2067,"2018-01-01","2019-12-31","3")</f>
        <v>-38.662316480000001</v>
      </c>
      <c r="G2067" s="11">
        <f>[1]!EM_S_PQ_PCTCHANGE(B2067,"2018-12-31","2019-12-30","1")</f>
        <v>3.8461538499999999</v>
      </c>
      <c r="H2067" s="11">
        <f>[1]!EM_S_FA_YOY_OR(B2067,E2067)</f>
        <v>-10.055931416</v>
      </c>
      <c r="I2067" s="11">
        <f>[1]!EM_S_FA_GROSSPROFITMARGIN(B2067,E2067)</f>
        <v>25.547822845999999</v>
      </c>
      <c r="J2067" s="11">
        <f>[1]!EM_S_FA_NETPROFITMARGIN(B2067,E2067)</f>
        <v>-6.8745526903999998</v>
      </c>
      <c r="K2067" s="10">
        <f>[1]!EM_S_FA_ASSETSTURN(B2067,E2067)</f>
        <v>0.431356509976</v>
      </c>
      <c r="L2067" s="12">
        <f>[1]!EM_HKS_VAL_MV(B2067,"2019-12-31","2")</f>
        <v>2970808971.4400001</v>
      </c>
      <c r="M2067">
        <f>[1]!EM_S_VAL_PETTMDEDUCTED(B2067,E2067)</f>
        <v>1470.2387892331201</v>
      </c>
      <c r="N2067" s="7">
        <f>[1]!EM_S_VAL_PBGOODWILLDEDUCTED(B2067,E2067)</f>
        <v>2.3268035376942202</v>
      </c>
      <c r="O2067" s="7">
        <f>[1]!EM_S_VAL_PS_TTM(B2067,E2067)</f>
        <v>1.7980530910334001</v>
      </c>
      <c r="P2067" s="7">
        <f>[1]!EM_S_VAL_PCF_NCFTTM(B2067,E2067)</f>
        <v>-16.837151466189798</v>
      </c>
      <c r="Q2067" s="7">
        <f>[1]!EM_S_VAL_DIVIDENDYIELD2(B2067,E2067,"2019-11-29")</f>
        <v>0</v>
      </c>
      <c r="T2067"/>
      <c r="U2067">
        <f>[1]!EM_S_RATIO_EPS_TTM(B2067,E2067,"1")</f>
        <v>-0.19854004508586842</v>
      </c>
      <c r="AT2067" s="4" t="str">
        <f>[1]!EM_S_IPO_LISTEDDATE(B2067)</f>
        <v>2012-03-21</v>
      </c>
    </row>
    <row r="2068" spans="1:46">
      <c r="A2068">
        <v>2264</v>
      </c>
      <c r="B2068" t="str">
        <f>"600117"</f>
        <v>600117</v>
      </c>
      <c r="C2068" t="s">
        <v>2793</v>
      </c>
      <c r="D2068" t="str">
        <f>[1]!EM_S_INFO_INDEX_EM(B2068,"1")</f>
        <v>钢铁</v>
      </c>
      <c r="E2068" s="4">
        <f t="shared" si="32"/>
        <v>43465</v>
      </c>
      <c r="F2068" s="11">
        <f>[1]!EM_S_PQ_PCTCHANGE(B2068,"2018-01-01","2019-12-31","3")</f>
        <v>-37.258347980000003</v>
      </c>
      <c r="G2068" s="11">
        <f>[1]!EM_S_PQ_PCTCHANGE(B2068,"2018-12-31","2019-12-30","1")</f>
        <v>3.83480826</v>
      </c>
      <c r="H2068" s="11">
        <f>[1]!EM_S_FA_YOY_OR(B2068,E2068)</f>
        <v>-8.7057461807000003</v>
      </c>
      <c r="I2068" s="11">
        <f>[1]!EM_S_FA_GROSSPROFITMARGIN(B2068,E2068)</f>
        <v>0.2118711244</v>
      </c>
      <c r="J2068" s="11">
        <f>[1]!EM_S_FA_NETPROFITMARGIN(B2068,E2068)</f>
        <v>-30.031826036599998</v>
      </c>
      <c r="K2068" s="10">
        <f>[1]!EM_S_FA_ASSETSTURN(B2068,E2068)</f>
        <v>0.28391196027499999</v>
      </c>
      <c r="L2068" s="12">
        <f>[1]!EM_HKS_VAL_MV(B2068,"2019-12-31","2")</f>
        <v>3731072159.6399999</v>
      </c>
      <c r="M2068">
        <f>[1]!EM_S_VAL_PETTMDEDUCTED(B2068,E2068)</f>
        <v>-3.2163320318530899</v>
      </c>
      <c r="N2068" s="7">
        <f>[1]!EM_S_VAL_PBGOODWILLDEDUCTED(B2068,E2068)</f>
        <v>3.2546719103652899</v>
      </c>
      <c r="O2068" s="7">
        <f>[1]!EM_S_VAL_PS_TTM(B2068,E2068)</f>
        <v>0.42615401962145899</v>
      </c>
      <c r="P2068" s="7">
        <f>[1]!EM_S_VAL_PCF_NCFTTM(B2068,E2068)</f>
        <v>-20.216604070703799</v>
      </c>
      <c r="Q2068" s="7">
        <f>[1]!EM_S_VAL_DIVIDENDYIELD2(B2068,E2068,"2019-11-29")</f>
        <v>0</v>
      </c>
      <c r="T2068"/>
      <c r="U2068">
        <f>[1]!EM_S_RATIO_EPS_TTM(B2068,E2068,"1")</f>
        <v>-1.9578164182037461</v>
      </c>
      <c r="AT2068" s="4" t="str">
        <f>[1]!EM_S_IPO_LISTEDDATE(B2068)</f>
        <v>1997-10-15</v>
      </c>
    </row>
    <row r="2069" spans="1:46">
      <c r="A2069">
        <v>2608</v>
      </c>
      <c r="B2069" t="str">
        <f>"600528"</f>
        <v>600528</v>
      </c>
      <c r="C2069" t="s">
        <v>1214</v>
      </c>
      <c r="D2069" t="str">
        <f>[1]!EM_S_INFO_INDEX_EM(B2069,"1")</f>
        <v>建筑</v>
      </c>
      <c r="E2069" s="4">
        <f t="shared" si="32"/>
        <v>43465</v>
      </c>
      <c r="F2069" s="11">
        <f>[1]!EM_S_PQ_PCTCHANGE(B2069,"2018-01-01","2019-12-31","3")</f>
        <v>-2.5260819699999999</v>
      </c>
      <c r="G2069" s="11">
        <f>[1]!EM_S_PQ_PCTCHANGE(B2069,"2018-12-31","2019-12-30","1")</f>
        <v>3.80952381</v>
      </c>
      <c r="H2069" s="11">
        <f>[1]!EM_S_FA_YOY_OR(B2069,E2069)</f>
        <v>12.6673171434</v>
      </c>
      <c r="I2069" s="11">
        <f>[1]!EM_S_FA_GROSSPROFITMARGIN(B2069,E2069)</f>
        <v>20.371252570500001</v>
      </c>
      <c r="J2069" s="11">
        <f>[1]!EM_S_FA_NETPROFITMARGIN(B2069,E2069)</f>
        <v>8.4414260779999992</v>
      </c>
      <c r="K2069" s="10">
        <f>[1]!EM_S_FA_ASSETSTURN(B2069,E2069)</f>
        <v>0.546300752675</v>
      </c>
      <c r="L2069" s="12">
        <f>[1]!EM_HKS_VAL_MV(B2069,"2019-12-31","2")</f>
        <v>25547843262</v>
      </c>
      <c r="M2069">
        <f>[1]!EM_S_VAL_PETTMDEDUCTED(B2069,E2069)</f>
        <v>15.6951997048343</v>
      </c>
      <c r="N2069" s="7">
        <f>[1]!EM_S_VAL_PBGOODWILLDEDUCTED(B2069,E2069)</f>
        <v>1.48335368422625</v>
      </c>
      <c r="O2069" s="7">
        <f>[1]!EM_S_VAL_PS_TTM(B2069,E2069)</f>
        <v>1.42828313820819</v>
      </c>
      <c r="P2069" s="7">
        <f>[1]!EM_S_VAL_PCF_NCFTTM(B2069,E2069)</f>
        <v>-9.4607909198041291</v>
      </c>
      <c r="Q2069" s="7">
        <f>[1]!EM_S_VAL_DIVIDENDYIELD2(B2069,E2069,"2019-11-29")</f>
        <v>1.1420059582919562</v>
      </c>
      <c r="T2069"/>
      <c r="U2069">
        <f>[1]!EM_S_RATIO_EPS_TTM(B2069,E2069,"1")</f>
        <v>0.6665524791315357</v>
      </c>
      <c r="AT2069" s="4" t="str">
        <f>[1]!EM_S_IPO_LISTEDDATE(B2069)</f>
        <v>2001-05-28</v>
      </c>
    </row>
    <row r="2070" spans="1:46">
      <c r="A2070">
        <v>1362</v>
      </c>
      <c r="B2070" t="str">
        <f>"002862"</f>
        <v>002862</v>
      </c>
      <c r="C2070" t="s">
        <v>2370</v>
      </c>
      <c r="D2070" t="str">
        <f>[1]!EM_S_INFO_INDEX_EM(B2070,"1")</f>
        <v>轻工制造</v>
      </c>
      <c r="E2070" s="4">
        <f t="shared" si="32"/>
        <v>43465</v>
      </c>
      <c r="F2070" s="11">
        <f>[1]!EM_S_PQ_PCTCHANGE(B2070,"2018-01-01","2019-12-31","3")</f>
        <v>-21.225229469999999</v>
      </c>
      <c r="G2070" s="11">
        <f>[1]!EM_S_PQ_PCTCHANGE(B2070,"2018-12-31","2019-12-30","1")</f>
        <v>3.8010323800000001</v>
      </c>
      <c r="H2070" s="11">
        <f>[1]!EM_S_FA_YOY_OR(B2070,E2070)</f>
        <v>-8.8608306874</v>
      </c>
      <c r="I2070" s="11">
        <f>[1]!EM_S_FA_GROSSPROFITMARGIN(B2070,E2070)</f>
        <v>23.090463868800001</v>
      </c>
      <c r="J2070" s="11">
        <f>[1]!EM_S_FA_NETPROFITMARGIN(B2070,E2070)</f>
        <v>8.0331133948000009</v>
      </c>
      <c r="K2070" s="10">
        <f>[1]!EM_S_FA_ASSETSTURN(B2070,E2070)</f>
        <v>0.66526848710200004</v>
      </c>
      <c r="L2070" s="12">
        <f>[1]!EM_HKS_VAL_MV(B2070,"2019-12-31","2")</f>
        <v>1776800000</v>
      </c>
      <c r="M2070">
        <f>[1]!EM_S_VAL_PETTMDEDUCTED(B2070,E2070)</f>
        <v>60.232210313605798</v>
      </c>
      <c r="N2070" s="7">
        <f>[1]!EM_S_VAL_PBGOODWILLDEDUCTED(B2070,E2070)</f>
        <v>2.9952317339188399</v>
      </c>
      <c r="O2070" s="7">
        <f>[1]!EM_S_VAL_PS_TTM(B2070,E2070)</f>
        <v>4.2039182904353201</v>
      </c>
      <c r="P2070" s="7">
        <f>[1]!EM_S_VAL_PCF_NCFTTM(B2070,E2070)</f>
        <v>87.470961480203201</v>
      </c>
      <c r="Q2070" s="7">
        <f>[1]!EM_S_VAL_DIVIDENDYIELD2(B2070,E2070,"2019-11-29")</f>
        <v>0.43177892918825561</v>
      </c>
      <c r="T2070"/>
      <c r="U2070">
        <f>[1]!EM_S_RATIO_EPS_TTM(B2070,E2070,"1")</f>
        <v>0.39960455787499999</v>
      </c>
      <c r="AT2070" s="4" t="str">
        <f>[1]!EM_S_IPO_LISTEDDATE(B2070)</f>
        <v>2017-04-11</v>
      </c>
    </row>
    <row r="2071" spans="1:46">
      <c r="A2071">
        <v>296</v>
      </c>
      <c r="B2071" t="str">
        <f>"000715"</f>
        <v>000715</v>
      </c>
      <c r="C2071" t="s">
        <v>1929</v>
      </c>
      <c r="D2071" t="str">
        <f>[1]!EM_S_INFO_INDEX_EM(B2071,"1")</f>
        <v>商贸零售</v>
      </c>
      <c r="E2071" s="4">
        <f t="shared" si="32"/>
        <v>43465</v>
      </c>
      <c r="F2071" s="11">
        <f>[1]!EM_S_PQ_PCTCHANGE(B2071,"2018-01-01","2019-12-31","3")</f>
        <v>-3.2813647100000001</v>
      </c>
      <c r="G2071" s="11">
        <f>[1]!EM_S_PQ_PCTCHANGE(B2071,"2018-12-31","2019-12-30","1")</f>
        <v>3.7865748699999999</v>
      </c>
      <c r="H2071" s="11">
        <f>[1]!EM_S_FA_YOY_OR(B2071,E2071)</f>
        <v>3.7731766557999999</v>
      </c>
      <c r="I2071" s="11">
        <f>[1]!EM_S_FA_GROSSPROFITMARGIN(B2071,E2071)</f>
        <v>19.0963211103</v>
      </c>
      <c r="J2071" s="11">
        <f>[1]!EM_S_FA_NETPROFITMARGIN(B2071,E2071)</f>
        <v>3.5386375023999999</v>
      </c>
      <c r="K2071" s="10">
        <f>[1]!EM_S_FA_ASSETSTURN(B2071,E2071)</f>
        <v>1.182535133492</v>
      </c>
      <c r="L2071" s="12">
        <f>[1]!EM_HKS_VAL_MV(B2071,"2019-12-31","2")</f>
        <v>2531728344.5999999</v>
      </c>
      <c r="M2071">
        <f>[1]!EM_S_VAL_PETTMDEDUCTED(B2071,E2071)</f>
        <v>16.1828960037749</v>
      </c>
      <c r="N2071" s="7">
        <f>[1]!EM_S_VAL_PBGOODWILLDEDUCTED(B2071,E2071)</f>
        <v>1.20358895386075</v>
      </c>
      <c r="O2071" s="7">
        <f>[1]!EM_S_VAL_PS_TTM(B2071,E2071)</f>
        <v>0.63649058284687898</v>
      </c>
      <c r="P2071" s="7">
        <f>[1]!EM_S_VAL_PCF_NCFTTM(B2071,E2071)</f>
        <v>-25.414460923159002</v>
      </c>
      <c r="Q2071" s="7">
        <f>[1]!EM_S_VAL_DIVIDENDYIELD2(B2071,E2071,"2019-11-29")</f>
        <v>0.95028805606699529</v>
      </c>
      <c r="T2071"/>
      <c r="U2071">
        <f>[1]!EM_S_RATIO_EPS_TTM(B2071,E2071,"1")</f>
        <v>0.32360276954617462</v>
      </c>
      <c r="AT2071" s="4" t="str">
        <f>[1]!EM_S_IPO_LISTEDDATE(B2071)</f>
        <v>1997-05-08</v>
      </c>
    </row>
    <row r="2072" spans="1:46">
      <c r="A2072">
        <v>1124</v>
      </c>
      <c r="B2072" t="str">
        <f>"002613"</f>
        <v>002613</v>
      </c>
      <c r="C2072" t="s">
        <v>253</v>
      </c>
      <c r="D2072" t="str">
        <f>[1]!EM_S_INFO_INDEX_EM(B2072,"1")</f>
        <v>建材</v>
      </c>
      <c r="E2072" s="4">
        <f t="shared" si="32"/>
        <v>43465</v>
      </c>
      <c r="F2072" s="11">
        <f>[1]!EM_S_PQ_PCTCHANGE(B2072,"2018-01-01","2019-12-31","3")</f>
        <v>-22.969187680000001</v>
      </c>
      <c r="G2072" s="11">
        <f>[1]!EM_S_PQ_PCTCHANGE(B2072,"2018-12-31","2019-12-30","1")</f>
        <v>3.7593985000000001</v>
      </c>
      <c r="H2072" s="11">
        <f>[1]!EM_S_FA_YOY_OR(B2072,E2072)</f>
        <v>-10.4603193642</v>
      </c>
      <c r="I2072" s="11">
        <f>[1]!EM_S_FA_GROSSPROFITMARGIN(B2072,E2072)</f>
        <v>20.541969295299999</v>
      </c>
      <c r="J2072" s="11">
        <f>[1]!EM_S_FA_NETPROFITMARGIN(B2072,E2072)</f>
        <v>3.1883170877999998</v>
      </c>
      <c r="K2072" s="10">
        <f>[1]!EM_S_FA_ASSETSTURN(B2072,E2072)</f>
        <v>0.49741383069599998</v>
      </c>
      <c r="L2072" s="12">
        <f>[1]!EM_HKS_VAL_MV(B2072,"2019-12-31","2")</f>
        <v>2577217500</v>
      </c>
      <c r="M2072">
        <f>[1]!EM_S_VAL_PETTMDEDUCTED(B2072,E2072)</f>
        <v>-51.498206437674099</v>
      </c>
      <c r="N2072" s="7">
        <f>[1]!EM_S_VAL_PBGOODWILLDEDUCTED(B2072,E2072)</f>
        <v>1.6815895931132401</v>
      </c>
      <c r="O2072" s="7">
        <f>[1]!EM_S_VAL_PS_TTM(B2072,E2072)</f>
        <v>1.7883556302885799</v>
      </c>
      <c r="P2072" s="7">
        <f>[1]!EM_S_VAL_PCF_NCFTTM(B2072,E2072)</f>
        <v>-15.600949092272399</v>
      </c>
      <c r="Q2072" s="7">
        <f>[1]!EM_S_VAL_DIVIDENDYIELD2(B2072,E2072,"2019-11-29")</f>
        <v>0</v>
      </c>
      <c r="T2072"/>
      <c r="U2072">
        <f>[1]!EM_S_RATIO_EPS_TTM(B2072,E2072,"1")</f>
        <v>3.9744098573364493E-2</v>
      </c>
      <c r="AT2072" s="4" t="str">
        <f>[1]!EM_S_IPO_LISTEDDATE(B2072)</f>
        <v>2011-08-30</v>
      </c>
    </row>
    <row r="2073" spans="1:46">
      <c r="A2073">
        <v>1979</v>
      </c>
      <c r="B2073" t="str">
        <f>"300556"</f>
        <v>300556</v>
      </c>
      <c r="C2073" t="s">
        <v>3611</v>
      </c>
      <c r="D2073" t="str">
        <f>[1]!EM_S_INFO_INDEX_EM(B2073,"1")</f>
        <v>信息技术</v>
      </c>
      <c r="E2073" s="4">
        <f t="shared" si="32"/>
        <v>43465</v>
      </c>
      <c r="F2073" s="11">
        <f>[1]!EM_S_PQ_PCTCHANGE(B2073,"2018-01-01","2019-12-31","3")</f>
        <v>-21.865753649999998</v>
      </c>
      <c r="G2073" s="11">
        <f>[1]!EM_S_PQ_PCTCHANGE(B2073,"2018-12-31","2019-12-30","1")</f>
        <v>3.7570444599999999</v>
      </c>
      <c r="H2073" s="11">
        <f>[1]!EM_S_FA_YOY_OR(B2073,E2073)</f>
        <v>40.891882619299999</v>
      </c>
      <c r="I2073" s="11">
        <f>[1]!EM_S_FA_GROSSPROFITMARGIN(B2073,E2073)</f>
        <v>36.286562238400002</v>
      </c>
      <c r="J2073" s="11">
        <f>[1]!EM_S_FA_NETPROFITMARGIN(B2073,E2073)</f>
        <v>6.6720158881999998</v>
      </c>
      <c r="K2073" s="10">
        <f>[1]!EM_S_FA_ASSETSTURN(B2073,E2073)</f>
        <v>1.0469242855430001</v>
      </c>
      <c r="L2073" s="12">
        <f>[1]!EM_HKS_VAL_MV(B2073,"2019-12-31","2")</f>
        <v>1929208050</v>
      </c>
      <c r="M2073">
        <f>[1]!EM_S_VAL_PETTMDEDUCTED(B2073,E2073)</f>
        <v>120.310104518953</v>
      </c>
      <c r="N2073" s="7">
        <f>[1]!EM_S_VAL_PBGOODWILLDEDUCTED(B2073,E2073)</f>
        <v>3.9088413476535</v>
      </c>
      <c r="O2073" s="7">
        <f>[1]!EM_S_VAL_PS_TTM(B2073,E2073)</f>
        <v>2.9657018173249399</v>
      </c>
      <c r="P2073" s="7">
        <f>[1]!EM_S_VAL_PCF_NCFTTM(B2073,E2073)</f>
        <v>139.20294729562099</v>
      </c>
      <c r="Q2073" s="7">
        <f>[1]!EM_S_VAL_DIVIDENDYIELD2(B2073,E2073,"2019-11-29")</f>
        <v>0.6207535030173903</v>
      </c>
      <c r="T2073"/>
      <c r="U2073">
        <f>[1]!EM_S_RATIO_EPS_TTM(B2073,E2073,"1")</f>
        <v>0.47152690593111135</v>
      </c>
      <c r="AT2073" s="4" t="str">
        <f>[1]!EM_S_IPO_LISTEDDATE(B2073)</f>
        <v>2016-11-04</v>
      </c>
    </row>
    <row r="2074" spans="1:46">
      <c r="A2074">
        <v>2549</v>
      </c>
      <c r="B2074" t="str">
        <f>"600458"</f>
        <v>600458</v>
      </c>
      <c r="C2074" t="s">
        <v>2526</v>
      </c>
      <c r="D2074" t="str">
        <f>[1]!EM_S_INFO_INDEX_EM(B2074,"1")</f>
        <v>交运设备</v>
      </c>
      <c r="E2074" s="4">
        <f t="shared" si="32"/>
        <v>43465</v>
      </c>
      <c r="F2074" s="11">
        <f>[1]!EM_S_PQ_PCTCHANGE(B2074,"2018-01-01","2019-12-31","3")</f>
        <v>-29.20661183</v>
      </c>
      <c r="G2074" s="11">
        <f>[1]!EM_S_PQ_PCTCHANGE(B2074,"2018-12-31","2019-12-30","1")</f>
        <v>3.6873156300000001</v>
      </c>
      <c r="H2074" s="11">
        <f>[1]!EM_S_FA_YOY_OR(B2074,E2074)</f>
        <v>5.2320562191000004</v>
      </c>
      <c r="I2074" s="11">
        <f>[1]!EM_S_FA_GROSSPROFITMARGIN(B2074,E2074)</f>
        <v>14.826762936</v>
      </c>
      <c r="J2074" s="11">
        <f>[1]!EM_S_FA_NETPROFITMARGIN(B2074,E2074)</f>
        <v>-3.6227849601000002</v>
      </c>
      <c r="K2074" s="10">
        <f>[1]!EM_S_FA_ASSETSTURN(B2074,E2074)</f>
        <v>0.83880003163500005</v>
      </c>
      <c r="L2074" s="12">
        <f>[1]!EM_HKS_VAL_MV(B2074,"2019-12-31","2")</f>
        <v>5659726971.6000004</v>
      </c>
      <c r="M2074">
        <f>[1]!EM_S_VAL_PETTMDEDUCTED(B2074,E2074)</f>
        <v>183.41255225914099</v>
      </c>
      <c r="N2074" s="7">
        <f>[1]!EM_S_VAL_PBGOODWILLDEDUCTED(B2074,E2074)</f>
        <v>1.20754352986904</v>
      </c>
      <c r="O2074" s="7">
        <f>[1]!EM_S_VAL_PS_TTM(B2074,E2074)</f>
        <v>0.46846046241906603</v>
      </c>
      <c r="P2074" s="7">
        <f>[1]!EM_S_VAL_PCF_NCFTTM(B2074,E2074)</f>
        <v>-47.062932630810302</v>
      </c>
      <c r="Q2074" s="7">
        <f>[1]!EM_S_VAL_DIVIDENDYIELD2(B2074,E2074,"2019-11-29")</f>
        <v>0.5988023952095809</v>
      </c>
      <c r="T2074"/>
      <c r="U2074">
        <f>[1]!EM_S_RATIO_EPS_TTM(B2074,E2074,"1")</f>
        <v>-0.53184324863767252</v>
      </c>
      <c r="AT2074" s="4" t="str">
        <f>[1]!EM_S_IPO_LISTEDDATE(B2074)</f>
        <v>2002-12-19</v>
      </c>
    </row>
    <row r="2075" spans="1:46">
      <c r="A2075">
        <v>2276</v>
      </c>
      <c r="B2075" t="str">
        <f>"600130"</f>
        <v>600130</v>
      </c>
      <c r="C2075" t="s">
        <v>2418</v>
      </c>
      <c r="D2075" t="str">
        <f>[1]!EM_S_INFO_INDEX_EM(B2075,"1")</f>
        <v>信息技术</v>
      </c>
      <c r="E2075" s="4">
        <f t="shared" si="32"/>
        <v>43465</v>
      </c>
      <c r="F2075" s="11">
        <f>[1]!EM_S_PQ_PCTCHANGE(B2075,"2018-01-01","2019-12-31","3")</f>
        <v>-50</v>
      </c>
      <c r="G2075" s="11">
        <f>[1]!EM_S_PQ_PCTCHANGE(B2075,"2018-12-31","2019-12-30","1")</f>
        <v>3.6827195499999998</v>
      </c>
      <c r="H2075" s="11">
        <f>[1]!EM_S_FA_YOY_OR(B2075,E2075)</f>
        <v>-62.503242794899997</v>
      </c>
      <c r="I2075" s="11">
        <f>[1]!EM_S_FA_GROSSPROFITMARGIN(B2075,E2075)</f>
        <v>7.3974234228000002</v>
      </c>
      <c r="J2075" s="11">
        <f>[1]!EM_S_FA_NETPROFITMARGIN(B2075,E2075)</f>
        <v>5.4501017983000004</v>
      </c>
      <c r="K2075" s="10">
        <f>[1]!EM_S_FA_ASSETSTURN(B2075,E2075)</f>
        <v>0.576263599904</v>
      </c>
      <c r="L2075" s="12">
        <f>[1]!EM_HKS_VAL_MV(B2075,"2019-12-31","2")</f>
        <v>2810880000</v>
      </c>
      <c r="M2075">
        <f>[1]!EM_S_VAL_PETTMDEDUCTED(B2075,E2075)</f>
        <v>-32.856036810311501</v>
      </c>
      <c r="N2075" s="7">
        <f>[1]!EM_S_VAL_PBGOODWILLDEDUCTED(B2075,E2075)</f>
        <v>3.0960017809251399</v>
      </c>
      <c r="O2075" s="7">
        <f>[1]!EM_S_VAL_PS_TTM(B2075,E2075)</f>
        <v>3.36128735344092</v>
      </c>
      <c r="P2075" s="7">
        <f>[1]!EM_S_VAL_PCF_NCFTTM(B2075,E2075)</f>
        <v>-15.2113808984782</v>
      </c>
      <c r="Q2075" s="7">
        <f>[1]!EM_S_VAL_DIVIDENDYIELD2(B2075,E2075,"2019-11-29")</f>
        <v>0</v>
      </c>
      <c r="T2075"/>
      <c r="U2075">
        <f>[1]!EM_S_RATIO_EPS_TTM(B2075,E2075,"1")</f>
        <v>4.3102767864583329E-2</v>
      </c>
      <c r="AT2075" s="4" t="str">
        <f>[1]!EM_S_IPO_LISTEDDATE(B2075)</f>
        <v>2000-07-06</v>
      </c>
    </row>
    <row r="2076" spans="1:46">
      <c r="A2076">
        <v>17</v>
      </c>
      <c r="B2076" t="str">
        <f>"000017"</f>
        <v>000017</v>
      </c>
      <c r="C2076" t="s">
        <v>1833</v>
      </c>
      <c r="D2076" t="str">
        <f>[1]!EM_S_INFO_INDEX_EM(B2076,"1")</f>
        <v>交运设备</v>
      </c>
      <c r="E2076" s="4">
        <f t="shared" si="32"/>
        <v>43465</v>
      </c>
      <c r="F2076" s="11">
        <f>[1]!EM_S_PQ_PCTCHANGE(B2076,"2018-01-01","2019-12-31","3")</f>
        <v>-27.096774190000001</v>
      </c>
      <c r="G2076" s="11">
        <f>[1]!EM_S_PQ_PCTCHANGE(B2076,"2019-01-01","2019-12-31","3")</f>
        <v>3.6697247700000002</v>
      </c>
      <c r="H2076" s="11">
        <f>[1]!EM_S_FA_YOY_OR(B2076,E2076)</f>
        <v>-12.788981679799999</v>
      </c>
      <c r="I2076" s="11">
        <f>[1]!EM_S_FA_GROSSPROFITMARGIN(B2076,E2076)</f>
        <v>9.8705873650000004</v>
      </c>
      <c r="J2076" s="11">
        <f>[1]!EM_S_FA_NETPROFITMARGIN(B2076,E2076)</f>
        <v>-1.5683042348</v>
      </c>
      <c r="K2076" s="10">
        <f>[1]!EM_S_FA_ASSETSTURN(B2076,E2076)</f>
        <v>1.6335771680240001</v>
      </c>
      <c r="L2076" s="12">
        <f>[1]!EM_HKS_VAL_MV(B2076,"2019-12-31","2")</f>
        <v>2492092720.4400001</v>
      </c>
      <c r="M2076">
        <f>[1]!EM_S_VAL_PETTMDEDUCTED(B2076,E2076)</f>
        <v>646.67951952891303</v>
      </c>
      <c r="N2076" s="7">
        <f>[1]!EM_S_VAL_PBGOODWILLDEDUCTED(B2076,E2076)</f>
        <v>168.02924047051101</v>
      </c>
      <c r="O2076" s="7">
        <f>[1]!EM_S_VAL_PS_TTM(B2076,E2076)</f>
        <v>16.784036191624502</v>
      </c>
      <c r="P2076" s="7">
        <f>[1]!EM_S_VAL_PCF_NCFTTM(B2076,E2076)</f>
        <v>1089.6547806250701</v>
      </c>
      <c r="Q2076" s="7">
        <f>[1]!EM_S_VAL_DIVIDENDYIELD2(B2076,E2076,"2019-11-29")</f>
        <v>0</v>
      </c>
      <c r="T2076"/>
      <c r="U2076">
        <f>[1]!EM_S_RATIO_EPS_TTM(B2076,E2076,"1")</f>
        <v>-2.8874124201645028E-3</v>
      </c>
      <c r="AT2076" s="4" t="str">
        <f>[1]!EM_S_IPO_LISTEDDATE(B2076)</f>
        <v>1992-03-31</v>
      </c>
    </row>
    <row r="2077" spans="1:46">
      <c r="A2077">
        <v>1500</v>
      </c>
      <c r="B2077" t="str">
        <f>"300075"</f>
        <v>300075</v>
      </c>
      <c r="C2077" t="s">
        <v>2403</v>
      </c>
      <c r="D2077" t="str">
        <f>[1]!EM_S_INFO_INDEX_EM(B2077,"1")</f>
        <v>信息技术</v>
      </c>
      <c r="E2077" s="4">
        <f t="shared" si="32"/>
        <v>43465</v>
      </c>
      <c r="F2077" s="11">
        <f>[1]!EM_S_PQ_PCTCHANGE(B2077,"2018-01-01","2019-12-31","3")</f>
        <v>-29.269475830000001</v>
      </c>
      <c r="G2077" s="11">
        <f>[1]!EM_S_PQ_PCTCHANGE(B2077,"2018-12-31","2019-12-30","1")</f>
        <v>3.6697247700000002</v>
      </c>
      <c r="H2077" s="11">
        <f>[1]!EM_S_FA_YOY_OR(B2077,E2077)</f>
        <v>7.1355103734999998</v>
      </c>
      <c r="I2077" s="11">
        <f>[1]!EM_S_FA_GROSSPROFITMARGIN(B2077,E2077)</f>
        <v>28.752343243999999</v>
      </c>
      <c r="J2077" s="11">
        <f>[1]!EM_S_FA_NETPROFITMARGIN(B2077,E2077)</f>
        <v>8.796496866</v>
      </c>
      <c r="K2077" s="10">
        <f>[1]!EM_S_FA_ASSETSTURN(B2077,E2077)</f>
        <v>0.41904678641799997</v>
      </c>
      <c r="L2077" s="12">
        <f>[1]!EM_HKS_VAL_MV(B2077,"2019-12-31","2")</f>
        <v>4858434170.9499998</v>
      </c>
      <c r="M2077">
        <f>[1]!EM_S_VAL_PETTMDEDUCTED(B2077,E2077)</f>
        <v>27.474995659824799</v>
      </c>
      <c r="N2077" s="7">
        <f>[1]!EM_S_VAL_PBGOODWILLDEDUCTED(B2077,E2077)</f>
        <v>2.6730805573860099</v>
      </c>
      <c r="O2077" s="7">
        <f>[1]!EM_S_VAL_PS_TTM(B2077,E2077)</f>
        <v>3.60253045309436</v>
      </c>
      <c r="P2077" s="7">
        <f>[1]!EM_S_VAL_PCF_NCFTTM(B2077,E2077)</f>
        <v>-48.360944575050901</v>
      </c>
      <c r="Q2077" s="7">
        <f>[1]!EM_S_VAL_DIVIDENDYIELD2(B2077,E2077,"2019-11-29")</f>
        <v>0.27598896044158233</v>
      </c>
      <c r="T2077"/>
      <c r="U2077">
        <f>[1]!EM_S_RATIO_EPS_TTM(B2077,E2077,"1")</f>
        <v>0.27616138253275391</v>
      </c>
      <c r="AT2077" s="4" t="str">
        <f>[1]!EM_S_IPO_LISTEDDATE(B2077)</f>
        <v>2010-04-27</v>
      </c>
    </row>
    <row r="2078" spans="1:46">
      <c r="A2078">
        <v>2302</v>
      </c>
      <c r="B2078" t="str">
        <f>"600162"</f>
        <v>600162</v>
      </c>
      <c r="C2078" t="s">
        <v>2926</v>
      </c>
      <c r="D2078" t="str">
        <f>[1]!EM_S_INFO_INDEX_EM(B2078,"1")</f>
        <v>房地产</v>
      </c>
      <c r="E2078" s="4">
        <f t="shared" si="32"/>
        <v>43465</v>
      </c>
      <c r="F2078" s="11">
        <f>[1]!EM_S_PQ_PCTCHANGE(B2078,"2018-01-01","2019-12-31","3")</f>
        <v>-25.95899966</v>
      </c>
      <c r="G2078" s="11">
        <f>[1]!EM_S_PQ_PCTCHANGE(B2078,"2018-12-31","2019-12-30","1")</f>
        <v>3.6697247700000002</v>
      </c>
      <c r="H2078" s="11">
        <f>[1]!EM_S_FA_YOY_OR(B2078,E2078)</f>
        <v>-12.210735936000001</v>
      </c>
      <c r="I2078" s="11">
        <f>[1]!EM_S_FA_GROSSPROFITMARGIN(B2078,E2078)</f>
        <v>51.731808954599998</v>
      </c>
      <c r="J2078" s="11">
        <f>[1]!EM_S_FA_NETPROFITMARGIN(B2078,E2078)</f>
        <v>9.8302211150000005</v>
      </c>
      <c r="K2078" s="10">
        <f>[1]!EM_S_FA_ASSETSTURN(B2078,E2078)</f>
        <v>0.205925324509</v>
      </c>
      <c r="L2078" s="12">
        <f>[1]!EM_HKS_VAL_MV(B2078,"2019-12-31","2")</f>
        <v>7776339460.96</v>
      </c>
      <c r="M2078">
        <f>[1]!EM_S_VAL_PETTMDEDUCTED(B2078,E2078)</f>
        <v>11.159049795002</v>
      </c>
      <c r="N2078" s="7">
        <f>[1]!EM_S_VAL_PBGOODWILLDEDUCTED(B2078,E2078)</f>
        <v>1.4711929542647499</v>
      </c>
      <c r="O2078" s="7">
        <f>[1]!EM_S_VAL_PS_TTM(B2078,E2078)</f>
        <v>1.7213817252033401</v>
      </c>
      <c r="P2078" s="7">
        <f>[1]!EM_S_VAL_PCF_NCFTTM(B2078,E2078)</f>
        <v>-3.2270756817303998</v>
      </c>
      <c r="Q2078" s="7">
        <f>[1]!EM_S_VAL_DIVIDENDYIELD2(B2078,E2078,"2019-11-29")</f>
        <v>3.4126508073453135</v>
      </c>
      <c r="T2078"/>
      <c r="U2078">
        <f>[1]!EM_S_RATIO_EPS_TTM(B2078,E2078,"1")</f>
        <v>0.14969151154354937</v>
      </c>
      <c r="AT2078" s="4" t="str">
        <f>[1]!EM_S_IPO_LISTEDDATE(B2078)</f>
        <v>1998-06-09</v>
      </c>
    </row>
    <row r="2079" spans="1:46">
      <c r="A2079">
        <v>2071</v>
      </c>
      <c r="B2079" t="str">
        <f>"300652"</f>
        <v>300652</v>
      </c>
      <c r="C2079" t="s">
        <v>1350</v>
      </c>
      <c r="D2079" t="str">
        <f>[1]!EM_S_INFO_INDEX_EM(B2079,"1")</f>
        <v>交运设备</v>
      </c>
      <c r="E2079" s="4">
        <f t="shared" si="32"/>
        <v>43465</v>
      </c>
      <c r="F2079" s="11">
        <f>[1]!EM_S_PQ_PCTCHANGE(B2079,"2018-01-01","2019-12-31","3")</f>
        <v>-26.95880575</v>
      </c>
      <c r="G2079" s="11">
        <f>[1]!EM_S_PQ_PCTCHANGE(B2079,"2018-12-31","2019-12-30","1")</f>
        <v>3.6515388600000001</v>
      </c>
      <c r="H2079" s="11">
        <f>[1]!EM_S_FA_YOY_OR(B2079,E2079)</f>
        <v>-7.4706790280000002</v>
      </c>
      <c r="I2079" s="11">
        <f>[1]!EM_S_FA_GROSSPROFITMARGIN(B2079,E2079)</f>
        <v>29.764831382499999</v>
      </c>
      <c r="J2079" s="11">
        <f>[1]!EM_S_FA_NETPROFITMARGIN(B2079,E2079)</f>
        <v>18.082355974799999</v>
      </c>
      <c r="K2079" s="10">
        <f>[1]!EM_S_FA_ASSETSTURN(B2079,E2079)</f>
        <v>0.39583684120399998</v>
      </c>
      <c r="L2079" s="12">
        <f>[1]!EM_HKS_VAL_MV(B2079,"2019-12-31","2")</f>
        <v>1754720000</v>
      </c>
      <c r="M2079">
        <f>[1]!EM_S_VAL_PETTMDEDUCTED(B2079,E2079)</f>
        <v>22.677432364271301</v>
      </c>
      <c r="N2079" s="7">
        <f>[1]!EM_S_VAL_PBGOODWILLDEDUCTED(B2079,E2079)</f>
        <v>2.3099990228595702</v>
      </c>
      <c r="O2079" s="7">
        <f>[1]!EM_S_VAL_PS_TTM(B2079,E2079)</f>
        <v>3.49815424186774</v>
      </c>
      <c r="P2079" s="7">
        <f>[1]!EM_S_VAL_PCF_NCFTTM(B2079,E2079)</f>
        <v>29.7914371639616</v>
      </c>
      <c r="Q2079" s="7">
        <f>[1]!EM_S_VAL_DIVIDENDYIELD2(B2079,E2079,"2019-11-29")</f>
        <v>1.0570824524312896</v>
      </c>
      <c r="T2079"/>
      <c r="U2079">
        <f>[1]!EM_S_RATIO_EPS_TTM(B2079,E2079,"1")</f>
        <v>0.94200959943181817</v>
      </c>
      <c r="AT2079" s="4" t="str">
        <f>[1]!EM_S_IPO_LISTEDDATE(B2079)</f>
        <v>2017-05-16</v>
      </c>
    </row>
    <row r="2080" spans="1:46">
      <c r="A2080">
        <v>2004</v>
      </c>
      <c r="B2080" t="str">
        <f>"300583"</f>
        <v>300583</v>
      </c>
      <c r="C2080" t="s">
        <v>1575</v>
      </c>
      <c r="D2080" t="str">
        <f>[1]!EM_S_INFO_INDEX_EM(B2080,"1")</f>
        <v>医药生物</v>
      </c>
      <c r="E2080" s="4">
        <f t="shared" si="32"/>
        <v>43465</v>
      </c>
      <c r="F2080" s="11">
        <f>[1]!EM_S_PQ_PCTCHANGE(B2080,"2018-01-01","2019-12-31","3")</f>
        <v>-15.721409769999999</v>
      </c>
      <c r="G2080" s="11">
        <f>[1]!EM_S_PQ_PCTCHANGE(B2080,"2018-12-31","2019-12-30","1")</f>
        <v>3.6500754099999999</v>
      </c>
      <c r="H2080" s="11">
        <f>[1]!EM_S_FA_YOY_OR(B2080,E2080)</f>
        <v>33.951379954300002</v>
      </c>
      <c r="I2080" s="11">
        <f>[1]!EM_S_FA_GROSSPROFITMARGIN(B2080,E2080)</f>
        <v>25.422942190299999</v>
      </c>
      <c r="J2080" s="11">
        <f>[1]!EM_S_FA_NETPROFITMARGIN(B2080,E2080)</f>
        <v>12.064260707500001</v>
      </c>
      <c r="K2080" s="10">
        <f>[1]!EM_S_FA_ASSETSTURN(B2080,E2080)</f>
        <v>0.45562462588399999</v>
      </c>
      <c r="L2080" s="12">
        <f>[1]!EM_HKS_VAL_MV(B2080,"2019-12-31","2")</f>
        <v>3699135451.4400001</v>
      </c>
      <c r="M2080">
        <f>[1]!EM_S_VAL_PETTMDEDUCTED(B2080,E2080)</f>
        <v>29.0664990044258</v>
      </c>
      <c r="N2080" s="7">
        <f>[1]!EM_S_VAL_PBGOODWILLDEDUCTED(B2080,E2080)</f>
        <v>1.97970796822873</v>
      </c>
      <c r="O2080" s="7">
        <f>[1]!EM_S_VAL_PS_TTM(B2080,E2080)</f>
        <v>3.1695517481757198</v>
      </c>
      <c r="P2080" s="7">
        <f>[1]!EM_S_VAL_PCF_NCFTTM(B2080,E2080)</f>
        <v>-61.149971430748998</v>
      </c>
      <c r="Q2080" s="7">
        <f>[1]!EM_S_VAL_DIVIDENDYIELD2(B2080,E2080,"2019-11-29")</f>
        <v>0.43970618843251574</v>
      </c>
      <c r="T2080"/>
      <c r="U2080">
        <f>[1]!EM_S_RATIO_EPS_TTM(B2080,E2080,"1")</f>
        <v>1.1746468347460941</v>
      </c>
      <c r="AT2080" s="4" t="str">
        <f>[1]!EM_S_IPO_LISTEDDATE(B2080)</f>
        <v>2017-01-06</v>
      </c>
    </row>
    <row r="2081" spans="1:46">
      <c r="A2081">
        <v>3091</v>
      </c>
      <c r="B2081" t="str">
        <f>"601258"</f>
        <v>601258</v>
      </c>
      <c r="C2081" t="s">
        <v>2813</v>
      </c>
      <c r="D2081" t="str">
        <f>[1]!EM_S_INFO_INDEX_EM(B2081,"1")</f>
        <v>交运设备</v>
      </c>
      <c r="E2081" s="4">
        <f t="shared" si="32"/>
        <v>43465</v>
      </c>
      <c r="F2081" s="11">
        <f>[1]!EM_S_PQ_PCTCHANGE(B2081,"2018-01-01","2019-12-31","3")</f>
        <v>-42.422535230000001</v>
      </c>
      <c r="G2081" s="11">
        <f>[1]!EM_S_PQ_PCTCHANGE(B2081,"2018-12-31","2019-12-30","1")</f>
        <v>3.5714285700000001</v>
      </c>
      <c r="H2081" s="11">
        <f>[1]!EM_S_FA_YOY_OR(B2081,E2081)</f>
        <v>-40.365340725400003</v>
      </c>
      <c r="I2081" s="11">
        <f>[1]!EM_S_FA_GROSSPROFITMARGIN(B2081,E2081)</f>
        <v>0.64459507380000003</v>
      </c>
      <c r="J2081" s="11">
        <f>[1]!EM_S_FA_NETPROFITMARGIN(B2081,E2081)</f>
        <v>-14.6844671744</v>
      </c>
      <c r="K2081" s="10">
        <f>[1]!EM_S_FA_ASSETSTURN(B2081,E2081)</f>
        <v>0.872052102499</v>
      </c>
      <c r="L2081" s="12">
        <f>[1]!EM_HKS_VAL_MV(B2081,"2019-12-31","2")</f>
        <v>14318115098</v>
      </c>
      <c r="M2081">
        <f>[1]!EM_S_VAL_PETTMDEDUCTED(B2081,E2081)</f>
        <v>-5.6131543467459499</v>
      </c>
      <c r="N2081" s="7">
        <f>[1]!EM_S_VAL_PBGOODWILLDEDUCTED(B2081,E2081)</f>
        <v>1.54768891519607</v>
      </c>
      <c r="O2081" s="7">
        <f>[1]!EM_S_VAL_PS_TTM(B2081,E2081)</f>
        <v>0.165013087787753</v>
      </c>
      <c r="P2081" s="7">
        <f>[1]!EM_S_VAL_PCF_NCFTTM(B2081,E2081)</f>
        <v>-0.98588575115257204</v>
      </c>
      <c r="Q2081" s="7">
        <f>[1]!EM_S_VAL_DIVIDENDYIELD2(B2081,E2081,"2019-11-29")</f>
        <v>0</v>
      </c>
      <c r="T2081"/>
      <c r="U2081">
        <f>[1]!EM_S_RATIO_EPS_TTM(B2081,E2081,"1")</f>
        <v>-0.92220533205548449</v>
      </c>
      <c r="AT2081" s="4" t="str">
        <f>[1]!EM_S_IPO_LISTEDDATE(B2081)</f>
        <v>2011-04-28</v>
      </c>
    </row>
    <row r="2082" spans="1:46">
      <c r="A2082">
        <v>709</v>
      </c>
      <c r="B2082" t="str">
        <f>"002198"</f>
        <v>002198</v>
      </c>
      <c r="C2082" t="s">
        <v>2256</v>
      </c>
      <c r="D2082" t="str">
        <f>[1]!EM_S_INFO_INDEX_EM(B2082,"1")</f>
        <v>医药生物</v>
      </c>
      <c r="E2082" s="4">
        <f t="shared" si="32"/>
        <v>43465</v>
      </c>
      <c r="F2082" s="11">
        <f>[1]!EM_S_PQ_PCTCHANGE(B2082,"2018-01-01","2019-12-31","3")</f>
        <v>-55.98047193</v>
      </c>
      <c r="G2082" s="11">
        <f>[1]!EM_S_PQ_PCTCHANGE(B2082,"2018-12-31","2019-12-30","1")</f>
        <v>3.53634578</v>
      </c>
      <c r="H2082" s="11">
        <f>[1]!EM_S_FA_YOY_OR(B2082,E2082)</f>
        <v>14.720300437700001</v>
      </c>
      <c r="I2082" s="11">
        <f>[1]!EM_S_FA_GROSSPROFITMARGIN(B2082,E2082)</f>
        <v>73.182723164500004</v>
      </c>
      <c r="J2082" s="11">
        <f>[1]!EM_S_FA_NETPROFITMARGIN(B2082,E2082)</f>
        <v>6.6815086228</v>
      </c>
      <c r="K2082" s="10">
        <f>[1]!EM_S_FA_ASSETSTURN(B2082,E2082)</f>
        <v>0.60807719087000001</v>
      </c>
      <c r="L2082" s="12">
        <f>[1]!EM_HKS_VAL_MV(B2082,"2019-12-31","2")</f>
        <v>2745628277.6799998</v>
      </c>
      <c r="M2082">
        <f>[1]!EM_S_VAL_PETTMDEDUCTED(B2082,E2082)</f>
        <v>-12.214897432306</v>
      </c>
      <c r="N2082" s="7">
        <f>[1]!EM_S_VAL_PBGOODWILLDEDUCTED(B2082,E2082)</f>
        <v>3.8870890544081398</v>
      </c>
      <c r="O2082" s="7">
        <f>[1]!EM_S_VAL_PS_TTM(B2082,E2082)</f>
        <v>5.0684668920434097</v>
      </c>
      <c r="P2082" s="7">
        <f>[1]!EM_S_VAL_PCF_NCFTTM(B2082,E2082)</f>
        <v>87.009990979302003</v>
      </c>
      <c r="Q2082" s="7">
        <f>[1]!EM_S_VAL_DIVIDENDYIELD2(B2082,E2082,"2019-11-29")</f>
        <v>0</v>
      </c>
      <c r="T2082"/>
      <c r="U2082">
        <f>[1]!EM_S_RATIO_EPS_TTM(B2082,E2082,"1")</f>
        <v>7.0695391294160664E-2</v>
      </c>
      <c r="AT2082" s="4" t="str">
        <f>[1]!EM_S_IPO_LISTEDDATE(B2082)</f>
        <v>2007-12-18</v>
      </c>
    </row>
    <row r="2083" spans="1:46">
      <c r="A2083">
        <v>2174</v>
      </c>
      <c r="B2083" t="str">
        <f>"600015"</f>
        <v>600015</v>
      </c>
      <c r="C2083" t="s">
        <v>1075</v>
      </c>
      <c r="D2083" t="str">
        <f>[1]!EM_S_INFO_INDEX_EM(B2083,"1")</f>
        <v>金融</v>
      </c>
      <c r="E2083" s="4">
        <f t="shared" si="32"/>
        <v>43465</v>
      </c>
      <c r="F2083" s="11">
        <f>[1]!EM_S_PQ_PCTCHANGE(B2083,"2018-01-01","2019-12-31","3")</f>
        <v>-11.0619236</v>
      </c>
      <c r="G2083" s="11">
        <f>[1]!EM_S_PQ_PCTCHANGE(B2083,"2018-12-31","2019-12-30","1")</f>
        <v>3.5182679299999999</v>
      </c>
      <c r="H2083" s="11">
        <f>[1]!EM_S_FA_YOY_OR(B2083,E2083)</f>
        <v>8.8018197156000006</v>
      </c>
      <c r="I2083" s="11">
        <f>[1]!EM_S_FA_GROSSPROFITMARGIN(B2083,E2083)</f>
        <v>0</v>
      </c>
      <c r="J2083" s="11">
        <f>[1]!EM_S_FA_NETPROFITMARGIN(B2083,E2083)</f>
        <v>29.055616320799999</v>
      </c>
      <c r="K2083" s="10">
        <f>[1]!EM_S_FA_ASSETSTURN(B2083,E2083)</f>
        <v>0</v>
      </c>
      <c r="L2083" s="12">
        <f>[1]!EM_HKS_VAL_MV(B2083,"2019-12-31","2")</f>
        <v>118020007949.61</v>
      </c>
      <c r="M2083">
        <f>[1]!EM_S_VAL_PETTMDEDUCTED(B2083,E2083)</f>
        <v>4.7304140557942302</v>
      </c>
      <c r="N2083" s="7">
        <f>[1]!EM_S_VAL_PBGOODWILLDEDUCTED(B2083,E2083)</f>
        <v>0.48061580705137402</v>
      </c>
      <c r="O2083" s="7">
        <f>[1]!EM_S_VAL_PS_TTM(B2083,E2083)</f>
        <v>1.4160139624278201</v>
      </c>
      <c r="P2083" s="7">
        <f>[1]!EM_S_VAL_PCF_NCFTTM(B2083,E2083)</f>
        <v>-1.54068212934997</v>
      </c>
      <c r="Q2083" s="7">
        <f>[1]!EM_S_VAL_DIVIDENDYIELD2(B2083,E2083,"2019-11-29")</f>
        <v>2.3418573351278598</v>
      </c>
      <c r="T2083"/>
      <c r="U2083">
        <f>[1]!EM_S_RATIO_EPS_TTM(B2083,E2083,"1")</f>
        <v>1.6263362401607928</v>
      </c>
      <c r="AT2083" s="4" t="str">
        <f>[1]!EM_S_IPO_LISTEDDATE(B2083)</f>
        <v>2003-09-12</v>
      </c>
    </row>
    <row r="2084" spans="1:46">
      <c r="A2084">
        <v>2607</v>
      </c>
      <c r="B2084" t="str">
        <f>"600527"</f>
        <v>600527</v>
      </c>
      <c r="C2084" t="s">
        <v>2588</v>
      </c>
      <c r="D2084" t="str">
        <f>[1]!EM_S_INFO_INDEX_EM(B2084,"1")</f>
        <v>基础化工</v>
      </c>
      <c r="E2084" s="4">
        <f t="shared" si="32"/>
        <v>43465</v>
      </c>
      <c r="F2084" s="11">
        <f>[1]!EM_S_PQ_PCTCHANGE(B2084,"2018-01-01","2019-12-31","3")</f>
        <v>-28.950192099999999</v>
      </c>
      <c r="G2084" s="11">
        <f>[1]!EM_S_PQ_PCTCHANGE(B2084,"2018-12-31","2019-12-30","1")</f>
        <v>3.5</v>
      </c>
      <c r="H2084" s="11">
        <f>[1]!EM_S_FA_YOY_OR(B2084,E2084)</f>
        <v>-4.0474814569999999</v>
      </c>
      <c r="I2084" s="11">
        <f>[1]!EM_S_FA_GROSSPROFITMARGIN(B2084,E2084)</f>
        <v>11.4511471902</v>
      </c>
      <c r="J2084" s="11">
        <f>[1]!EM_S_FA_NETPROFITMARGIN(B2084,E2084)</f>
        <v>6.4464951492999996</v>
      </c>
      <c r="K2084" s="10">
        <f>[1]!EM_S_FA_ASSETSTURN(B2084,E2084)</f>
        <v>0.54114138083499996</v>
      </c>
      <c r="L2084" s="12">
        <f>[1]!EM_HKS_VAL_MV(B2084,"2019-12-31","2")</f>
        <v>3016150237.6500001</v>
      </c>
      <c r="M2084">
        <f>[1]!EM_S_VAL_PETTMDEDUCTED(B2084,E2084)</f>
        <v>35.212382883863803</v>
      </c>
      <c r="N2084" s="7">
        <f>[1]!EM_S_VAL_PBGOODWILLDEDUCTED(B2084,E2084)</f>
        <v>1.18919485366674</v>
      </c>
      <c r="O2084" s="7">
        <f>[1]!EM_S_VAL_PS_TTM(B2084,E2084)</f>
        <v>2.0399069749043002</v>
      </c>
      <c r="P2084" s="7">
        <f>[1]!EM_S_VAL_PCF_NCFTTM(B2084,E2084)</f>
        <v>4.7517509898515504</v>
      </c>
      <c r="Q2084" s="7">
        <f>[1]!EM_S_VAL_DIVIDENDYIELD2(B2084,E2084,"2019-11-29")</f>
        <v>4.9261083743842358</v>
      </c>
      <c r="T2084"/>
      <c r="U2084">
        <f>[1]!EM_S_RATIO_EPS_TTM(B2084,E2084,"1")</f>
        <v>6.1267576047862524E-2</v>
      </c>
      <c r="AT2084" s="4" t="str">
        <f>[1]!EM_S_IPO_LISTEDDATE(B2084)</f>
        <v>2003-11-27</v>
      </c>
    </row>
    <row r="2085" spans="1:46">
      <c r="A2085">
        <v>2647</v>
      </c>
      <c r="B2085" t="str">
        <f>"600573"</f>
        <v>600573</v>
      </c>
      <c r="C2085" t="s">
        <v>3354</v>
      </c>
      <c r="D2085" t="str">
        <f>[1]!EM_S_INFO_INDEX_EM(B2085,"1")</f>
        <v>食品饮料</v>
      </c>
      <c r="E2085" s="4">
        <f t="shared" si="32"/>
        <v>43465</v>
      </c>
      <c r="F2085" s="11">
        <f>[1]!EM_S_PQ_PCTCHANGE(B2085,"2018-01-01","2019-12-31","3")</f>
        <v>-26.249542080000001</v>
      </c>
      <c r="G2085" s="11">
        <f>[1]!EM_S_PQ_PCTCHANGE(B2085,"2018-12-31","2019-12-30","1")</f>
        <v>3.4976152599999999</v>
      </c>
      <c r="H2085" s="11">
        <f>[1]!EM_S_FA_YOY_OR(B2085,E2085)</f>
        <v>-3.0637489528000001</v>
      </c>
      <c r="I2085" s="11">
        <f>[1]!EM_S_FA_GROSSPROFITMARGIN(B2085,E2085)</f>
        <v>25.492833880999999</v>
      </c>
      <c r="J2085" s="11">
        <f>[1]!EM_S_FA_NETPROFITMARGIN(B2085,E2085)</f>
        <v>3.2946718291999999</v>
      </c>
      <c r="K2085" s="10">
        <f>[1]!EM_S_FA_ASSETSTURN(B2085,E2085)</f>
        <v>0.45558292541899997</v>
      </c>
      <c r="L2085" s="12">
        <f>[1]!EM_HKS_VAL_MV(B2085,"2019-12-31","2")</f>
        <v>1660000000</v>
      </c>
      <c r="M2085">
        <f>[1]!EM_S_VAL_PETTMDEDUCTED(B2085,E2085)</f>
        <v>-205.272682286117</v>
      </c>
      <c r="N2085" s="7">
        <f>[1]!EM_S_VAL_PBGOODWILLDEDUCTED(B2085,E2085)</f>
        <v>1.3970189574632501</v>
      </c>
      <c r="O2085" s="7">
        <f>[1]!EM_S_VAL_PS_TTM(B2085,E2085)</f>
        <v>2.7658523637814301</v>
      </c>
      <c r="P2085" s="7">
        <f>[1]!EM_S_VAL_PCF_NCFTTM(B2085,E2085)</f>
        <v>44.824158239279299</v>
      </c>
      <c r="Q2085" s="7">
        <f>[1]!EM_S_VAL_DIVIDENDYIELD2(B2085,E2085,"2019-11-29")</f>
        <v>0.48622366288492713</v>
      </c>
      <c r="T2085"/>
      <c r="U2085">
        <f>[1]!EM_S_RATIO_EPS_TTM(B2085,E2085,"1")</f>
        <v>7.3989314639999998E-2</v>
      </c>
      <c r="AT2085" s="4" t="str">
        <f>[1]!EM_S_IPO_LISTEDDATE(B2085)</f>
        <v>2003-02-26</v>
      </c>
    </row>
    <row r="2086" spans="1:46">
      <c r="A2086">
        <v>2932</v>
      </c>
      <c r="B2086" t="str">
        <f>"600859"</f>
        <v>600859</v>
      </c>
      <c r="C2086" t="s">
        <v>383</v>
      </c>
      <c r="D2086" t="str">
        <f>[1]!EM_S_INFO_INDEX_EM(B2086,"1")</f>
        <v>商贸零售</v>
      </c>
      <c r="E2086" s="4">
        <f t="shared" si="32"/>
        <v>43465</v>
      </c>
      <c r="F2086" s="11">
        <f>[1]!EM_S_PQ_PCTCHANGE(B2086,"2018-01-01","2019-12-31","3")</f>
        <v>-28.270283490000001</v>
      </c>
      <c r="G2086" s="11">
        <f>[1]!EM_S_PQ_PCTCHANGE(B2086,"2018-12-31","2019-12-30","1")</f>
        <v>3.4660766999999999</v>
      </c>
      <c r="H2086" s="11">
        <f>[1]!EM_S_FA_YOY_OR(B2086,E2086)</f>
        <v>2.3775929089000001</v>
      </c>
      <c r="I2086" s="11">
        <f>[1]!EM_S_FA_GROSSPROFITMARGIN(B2086,E2086)</f>
        <v>21.184968393399998</v>
      </c>
      <c r="J2086" s="11">
        <f>[1]!EM_S_FA_NETPROFITMARGIN(B2086,E2086)</f>
        <v>4.5905927757000002</v>
      </c>
      <c r="K2086" s="10">
        <f>[1]!EM_S_FA_ASSETSTURN(B2086,E2086)</f>
        <v>1.2751727436539999</v>
      </c>
      <c r="L2086" s="12">
        <f>[1]!EM_HKS_VAL_MV(B2086,"2019-12-31","2")</f>
        <v>10859742396.5</v>
      </c>
      <c r="M2086">
        <f>[1]!EM_S_VAL_PETTMDEDUCTED(B2086,E2086)</f>
        <v>10.1094640113397</v>
      </c>
      <c r="N2086" s="7">
        <f>[1]!EM_S_VAL_PBGOODWILLDEDUCTED(B2086,E2086)</f>
        <v>1.06234703450983</v>
      </c>
      <c r="O2086" s="7">
        <f>[1]!EM_S_VAL_PS_TTM(B2086,E2086)</f>
        <v>0.39706465640414101</v>
      </c>
      <c r="P2086" s="7">
        <f>[1]!EM_S_VAL_PCF_NCFTTM(B2086,E2086)</f>
        <v>-18.658606219868499</v>
      </c>
      <c r="Q2086" s="7">
        <f>[1]!EM_S_VAL_DIVIDENDYIELD2(B2086,E2086,"2019-11-29")</f>
        <v>3.6265432098765435</v>
      </c>
      <c r="T2086"/>
      <c r="U2086">
        <f>[1]!EM_S_RATIO_EPS_TTM(B2086,E2086,"1")</f>
        <v>1.5477318185814668</v>
      </c>
      <c r="AT2086" s="4" t="str">
        <f>[1]!EM_S_IPO_LISTEDDATE(B2086)</f>
        <v>1994-05-06</v>
      </c>
    </row>
    <row r="2087" spans="1:46">
      <c r="A2087">
        <v>1626</v>
      </c>
      <c r="B2087" t="str">
        <f>"300201"</f>
        <v>300201</v>
      </c>
      <c r="C2087" t="s">
        <v>3420</v>
      </c>
      <c r="D2087" t="str">
        <f>[1]!EM_S_INFO_INDEX_EM(B2087,"1")</f>
        <v>交运设备</v>
      </c>
      <c r="E2087" s="4">
        <f t="shared" si="32"/>
        <v>43465</v>
      </c>
      <c r="F2087" s="11">
        <f>[1]!EM_S_PQ_PCTCHANGE(B2087,"2018-01-01","2019-12-31","3")</f>
        <v>-42.04552546</v>
      </c>
      <c r="G2087" s="11">
        <f>[1]!EM_S_PQ_PCTCHANGE(B2087,"2018-12-31","2019-12-30","1")</f>
        <v>3.4653465300000001</v>
      </c>
      <c r="H2087" s="11">
        <f>[1]!EM_S_FA_YOY_OR(B2087,E2087)</f>
        <v>16.206571930199999</v>
      </c>
      <c r="I2087" s="11">
        <f>[1]!EM_S_FA_GROSSPROFITMARGIN(B2087,E2087)</f>
        <v>27.692202241499999</v>
      </c>
      <c r="J2087" s="11">
        <f>[1]!EM_S_FA_NETPROFITMARGIN(B2087,E2087)</f>
        <v>5.1430497539999998</v>
      </c>
      <c r="K2087" s="10">
        <f>[1]!EM_S_FA_ASSETSTURN(B2087,E2087)</f>
        <v>0.60095754856700001</v>
      </c>
      <c r="L2087" s="12">
        <f>[1]!EM_HKS_VAL_MV(B2087,"2019-12-31","2")</f>
        <v>4257369008.6199999</v>
      </c>
      <c r="M2087">
        <f>[1]!EM_S_VAL_PETTMDEDUCTED(B2087,E2087)</f>
        <v>32.278409779207301</v>
      </c>
      <c r="N2087" s="7">
        <f>[1]!EM_S_VAL_PBGOODWILLDEDUCTED(B2087,E2087)</f>
        <v>3.1376370792698798</v>
      </c>
      <c r="O2087" s="7">
        <f>[1]!EM_S_VAL_PS_TTM(B2087,E2087)</f>
        <v>2.4973890693829199</v>
      </c>
      <c r="P2087" s="7">
        <f>[1]!EM_S_VAL_PCF_NCFTTM(B2087,E2087)</f>
        <v>-43.646882733451697</v>
      </c>
      <c r="Q2087" s="7">
        <f>[1]!EM_S_VAL_DIVIDENDYIELD2(B2087,E2087,"2019-11-29")</f>
        <v>0.42492917847025491</v>
      </c>
      <c r="T2087"/>
      <c r="U2087">
        <f>[1]!EM_S_RATIO_EPS_TTM(B2087,E2087,"1")</f>
        <v>9.5137029283700519E-2</v>
      </c>
      <c r="AT2087" s="4" t="str">
        <f>[1]!EM_S_IPO_LISTEDDATE(B2087)</f>
        <v>2011-04-07</v>
      </c>
    </row>
    <row r="2088" spans="1:46">
      <c r="A2088">
        <v>2931</v>
      </c>
      <c r="B2088" t="str">
        <f>"600858"</f>
        <v>600858</v>
      </c>
      <c r="C2088" t="s">
        <v>1256</v>
      </c>
      <c r="D2088" t="str">
        <f>[1]!EM_S_INFO_INDEX_EM(B2088,"1")</f>
        <v>商贸零售</v>
      </c>
      <c r="E2088" s="4">
        <f t="shared" si="32"/>
        <v>43465</v>
      </c>
      <c r="F2088" s="11">
        <f>[1]!EM_S_PQ_PCTCHANGE(B2088,"2018-01-01","2019-12-31","3")</f>
        <v>-28.540794259999998</v>
      </c>
      <c r="G2088" s="11">
        <f>[1]!EM_S_PQ_PCTCHANGE(B2088,"2018-12-31","2019-12-30","1")</f>
        <v>3.44129555</v>
      </c>
      <c r="H2088" s="11">
        <f>[1]!EM_S_FA_YOY_OR(B2088,E2088)</f>
        <v>1.805604118</v>
      </c>
      <c r="I2088" s="11">
        <f>[1]!EM_S_FA_GROSSPROFITMARGIN(B2088,E2088)</f>
        <v>19.370208422000001</v>
      </c>
      <c r="J2088" s="11">
        <f>[1]!EM_S_FA_NETPROFITMARGIN(B2088,E2088)</f>
        <v>-5.5461555999999999E-3</v>
      </c>
      <c r="K2088" s="10">
        <f>[1]!EM_S_FA_ASSETSTURN(B2088,E2088)</f>
        <v>1.092627294698</v>
      </c>
      <c r="L2088" s="12">
        <f>[1]!EM_HKS_VAL_MV(B2088,"2019-12-31","2")</f>
        <v>2688744265.1300001</v>
      </c>
      <c r="M2088">
        <f>[1]!EM_S_VAL_PETTMDEDUCTED(B2088,E2088)</f>
        <v>163.16394491545901</v>
      </c>
      <c r="N2088" s="7">
        <f>[1]!EM_S_VAL_PBGOODWILLDEDUCTED(B2088,E2088)</f>
        <v>0.936019587759781</v>
      </c>
      <c r="O2088" s="7">
        <f>[1]!EM_S_VAL_PS_TTM(B2088,E2088)</f>
        <v>0.19766788862936099</v>
      </c>
      <c r="P2088" s="7">
        <f>[1]!EM_S_VAL_PCF_NCFTTM(B2088,E2088)</f>
        <v>2.5105930991869498</v>
      </c>
      <c r="Q2088" s="7">
        <f>[1]!EM_S_VAL_DIVIDENDYIELD2(B2088,E2088,"2019-11-29")</f>
        <v>0.62240663900414939</v>
      </c>
      <c r="T2088"/>
      <c r="U2088">
        <f>[1]!EM_S_RATIO_EPS_TTM(B2088,E2088,"1")</f>
        <v>8.8965166574082682E-2</v>
      </c>
      <c r="AT2088" s="4" t="str">
        <f>[1]!EM_S_IPO_LISTEDDATE(B2088)</f>
        <v>1994-05-06</v>
      </c>
    </row>
    <row r="2089" spans="1:46">
      <c r="A2089">
        <v>1014</v>
      </c>
      <c r="B2089" t="str">
        <f>"002503"</f>
        <v>002503</v>
      </c>
      <c r="C2089" t="s">
        <v>906</v>
      </c>
      <c r="D2089" t="str">
        <f>[1]!EM_S_INFO_INDEX_EM(B2089,"1")</f>
        <v>纺织服装</v>
      </c>
      <c r="E2089" s="4">
        <f t="shared" si="32"/>
        <v>43465</v>
      </c>
      <c r="F2089" s="11">
        <f>[1]!EM_S_PQ_PCTCHANGE(B2089,"2018-01-01","2019-12-31","3")</f>
        <v>-54.759897160000001</v>
      </c>
      <c r="G2089" s="11">
        <f>[1]!EM_S_PQ_PCTCHANGE(B2089,"2018-12-31","2019-12-30","1")</f>
        <v>3.4042553199999999</v>
      </c>
      <c r="H2089" s="11">
        <f>[1]!EM_S_FA_YOY_OR(B2089,E2089)</f>
        <v>0.89335867209999997</v>
      </c>
      <c r="I2089" s="11">
        <f>[1]!EM_S_FA_GROSSPROFITMARGIN(B2089,E2089)</f>
        <v>7.8496260551999999</v>
      </c>
      <c r="J2089" s="11">
        <f>[1]!EM_S_FA_NETPROFITMARGIN(B2089,E2089)</f>
        <v>2.5340497746000001</v>
      </c>
      <c r="K2089" s="10">
        <f>[1]!EM_S_FA_ASSETSTURN(B2089,E2089)</f>
        <v>1.80705286785</v>
      </c>
      <c r="L2089" s="12">
        <f>[1]!EM_HKS_VAL_MV(B2089,"2019-12-31","2")</f>
        <v>7391087896.4399996</v>
      </c>
      <c r="M2089">
        <f>[1]!EM_S_VAL_PETTMDEDUCTED(B2089,E2089)</f>
        <v>15.112489573043</v>
      </c>
      <c r="N2089" s="7">
        <f>[1]!EM_S_VAL_PBGOODWILLDEDUCTED(B2089,E2089)</f>
        <v>1.37426568433648</v>
      </c>
      <c r="O2089" s="7">
        <f>[1]!EM_S_VAL_PS_TTM(B2089,E2089)</f>
        <v>0.34650143438125902</v>
      </c>
      <c r="P2089" s="7">
        <f>[1]!EM_S_VAL_PCF_NCFTTM(B2089,E2089)</f>
        <v>10.895490354678699</v>
      </c>
      <c r="Q2089" s="7">
        <f>[1]!EM_S_VAL_DIVIDENDYIELD2(B2089,E2089,"2019-11-29")</f>
        <v>0</v>
      </c>
      <c r="T2089"/>
      <c r="U2089">
        <f>[1]!EM_S_RATIO_EPS_TTM(B2089,E2089,"1")</f>
        <v>0.11945621112507188</v>
      </c>
      <c r="AT2089" s="4" t="str">
        <f>[1]!EM_S_IPO_LISTEDDATE(B2089)</f>
        <v>2010-11-17</v>
      </c>
    </row>
    <row r="2090" spans="1:46">
      <c r="A2090">
        <v>3093</v>
      </c>
      <c r="B2090" t="str">
        <f>"601288"</f>
        <v>601288</v>
      </c>
      <c r="C2090" t="s">
        <v>404</v>
      </c>
      <c r="D2090" t="str">
        <f>[1]!EM_S_INFO_INDEX_EM(B2090,"1")</f>
        <v>金融</v>
      </c>
      <c r="E2090" s="4">
        <f t="shared" si="32"/>
        <v>43465</v>
      </c>
      <c r="F2090" s="11">
        <f>[1]!EM_S_PQ_PCTCHANGE(B2090,"2018-01-01","2019-12-31","3")</f>
        <v>5.85956337</v>
      </c>
      <c r="G2090" s="11">
        <f>[1]!EM_S_PQ_PCTCHANGE(B2090,"2018-12-31","2019-12-30","1")</f>
        <v>3.3333333299999999</v>
      </c>
      <c r="H2090" s="11">
        <f>[1]!EM_S_FA_YOY_OR(B2090,E2090)</f>
        <v>11.460391292300001</v>
      </c>
      <c r="I2090" s="11">
        <f>[1]!EM_S_FA_GROSSPROFITMARGIN(B2090,E2090)</f>
        <v>0</v>
      </c>
      <c r="J2090" s="11">
        <f>[1]!EM_S_FA_NETPROFITMARGIN(B2090,E2090)</f>
        <v>33.851497190099998</v>
      </c>
      <c r="K2090" s="10">
        <f>[1]!EM_S_FA_ASSETSTURN(B2090,E2090)</f>
        <v>0</v>
      </c>
      <c r="L2090" s="12">
        <f>[1]!EM_HKS_VAL_MV(B2090,"2019-12-31","2")</f>
        <v>1291437394991.3701</v>
      </c>
      <c r="M2090">
        <f>[1]!EM_S_VAL_PETTMDEDUCTED(B2090,E2090)</f>
        <v>6.1655929627736699</v>
      </c>
      <c r="N2090" s="7">
        <f>[1]!EM_S_VAL_PBGOODWILLDEDUCTED(B2090,E2090)</f>
        <v>0.79290611784590903</v>
      </c>
      <c r="O2090" s="7">
        <f>[1]!EM_S_VAL_PS_TTM(B2090,E2090)</f>
        <v>2.1497032445760902</v>
      </c>
      <c r="P2090" s="7">
        <f>[1]!EM_S_VAL_PCF_NCFTTM(B2090,E2090)</f>
        <v>35.470254833557597</v>
      </c>
      <c r="Q2090" s="7">
        <f>[1]!EM_S_VAL_DIVIDENDYIELD2(B2090,E2090,"2019-11-29")</f>
        <v>4.8038674033149178</v>
      </c>
      <c r="T2090"/>
      <c r="U2090">
        <f>[1]!EM_S_RATIO_EPS_TTM(B2090,E2090,"1")</f>
        <v>0.5794080866033775</v>
      </c>
      <c r="AT2090" s="4" t="str">
        <f>[1]!EM_S_IPO_LISTEDDATE(B2090)</f>
        <v>2010-07-15</v>
      </c>
    </row>
    <row r="2091" spans="1:46">
      <c r="A2091">
        <v>2346</v>
      </c>
      <c r="B2091" t="str">
        <f>"600210"</f>
        <v>600210</v>
      </c>
      <c r="C2091" t="s">
        <v>1787</v>
      </c>
      <c r="D2091" t="str">
        <f>[1]!EM_S_INFO_INDEX_EM(B2091,"1")</f>
        <v>轻工制造</v>
      </c>
      <c r="E2091" s="4">
        <f t="shared" si="32"/>
        <v>43465</v>
      </c>
      <c r="F2091" s="11">
        <f>[1]!EM_S_PQ_PCTCHANGE(B2091,"2018-01-01","2019-12-31","3")</f>
        <v>-14.0611771</v>
      </c>
      <c r="G2091" s="11">
        <f>[1]!EM_S_PQ_PCTCHANGE(B2091,"2018-12-31","2019-12-30","1")</f>
        <v>3.2967032999999999</v>
      </c>
      <c r="H2091" s="11">
        <f>[1]!EM_S_FA_YOY_OR(B2091,E2091)</f>
        <v>5.9034880146999997</v>
      </c>
      <c r="I2091" s="11">
        <f>[1]!EM_S_FA_GROSSPROFITMARGIN(B2091,E2091)</f>
        <v>18.860567429900001</v>
      </c>
      <c r="J2091" s="11">
        <f>[1]!EM_S_FA_NETPROFITMARGIN(B2091,E2091)</f>
        <v>5.0302965796999999</v>
      </c>
      <c r="K2091" s="10">
        <f>[1]!EM_S_FA_ASSETSTURN(B2091,E2091)</f>
        <v>0.88278628654299995</v>
      </c>
      <c r="L2091" s="12">
        <f>[1]!EM_HKS_VAL_MV(B2091,"2019-12-31","2")</f>
        <v>5718095315.6599998</v>
      </c>
      <c r="M2091">
        <f>[1]!EM_S_VAL_PETTMDEDUCTED(B2091,E2091)</f>
        <v>26.003554369127901</v>
      </c>
      <c r="N2091" s="7">
        <f>[1]!EM_S_VAL_PBGOODWILLDEDUCTED(B2091,E2091)</f>
        <v>1.2766712173236101</v>
      </c>
      <c r="O2091" s="7">
        <f>[1]!EM_S_VAL_PS_TTM(B2091,E2091)</f>
        <v>0.61359011509043904</v>
      </c>
      <c r="P2091" s="7">
        <f>[1]!EM_S_VAL_PCF_NCFTTM(B2091,E2091)</f>
        <v>11.6324929452415</v>
      </c>
      <c r="Q2091" s="7">
        <f>[1]!EM_S_VAL_DIVIDENDYIELD2(B2091,E2091,"2019-11-29")</f>
        <v>4.3227665706051868</v>
      </c>
      <c r="T2091"/>
      <c r="U2091">
        <f>[1]!EM_S_RATIO_EPS_TTM(B2091,E2091,"1")</f>
        <v>0.28531149525084376</v>
      </c>
      <c r="AT2091" s="4" t="str">
        <f>[1]!EM_S_IPO_LISTEDDATE(B2091)</f>
        <v>1999-08-24</v>
      </c>
    </row>
    <row r="2092" spans="1:46">
      <c r="A2092">
        <v>302</v>
      </c>
      <c r="B2092" t="str">
        <f>"000721"</f>
        <v>000721</v>
      </c>
      <c r="C2092" t="s">
        <v>3419</v>
      </c>
      <c r="D2092" t="str">
        <f>[1]!EM_S_INFO_INDEX_EM(B2092,"1")</f>
        <v>休闲、生活及专业服务</v>
      </c>
      <c r="E2092" s="4">
        <f t="shared" si="32"/>
        <v>43465</v>
      </c>
      <c r="F2092" s="11">
        <f>[1]!EM_S_PQ_PCTCHANGE(B2092,"2018-01-01","2019-12-31","3")</f>
        <v>-26.72566372</v>
      </c>
      <c r="G2092" s="11">
        <f>[1]!EM_S_PQ_PCTCHANGE(B2092,"2018-12-31","2019-12-30","1")</f>
        <v>3.2745591900000002</v>
      </c>
      <c r="H2092" s="11">
        <f>[1]!EM_S_FA_YOY_OR(B2092,E2092)</f>
        <v>0.45466243150000002</v>
      </c>
      <c r="I2092" s="11">
        <f>[1]!EM_S_FA_GROSSPROFITMARGIN(B2092,E2092)</f>
        <v>33.794318578499997</v>
      </c>
      <c r="J2092" s="11">
        <f>[1]!EM_S_FA_NETPROFITMARGIN(B2092,E2092)</f>
        <v>1.678163005</v>
      </c>
      <c r="K2092" s="10">
        <f>[1]!EM_S_FA_ASSETSTURN(B2092,E2092)</f>
        <v>0.42228623019400002</v>
      </c>
      <c r="L2092" s="12">
        <f>[1]!EM_HKS_VAL_MV(B2092,"2019-12-31","2")</f>
        <v>2066091508.8</v>
      </c>
      <c r="M2092">
        <f>[1]!EM_S_VAL_PETTMDEDUCTED(B2092,E2092)</f>
        <v>-189.04206963680301</v>
      </c>
      <c r="N2092" s="7">
        <f>[1]!EM_S_VAL_PBGOODWILLDEDUCTED(B2092,E2092)</f>
        <v>2.9811144701735999</v>
      </c>
      <c r="O2092" s="7">
        <f>[1]!EM_S_VAL_PS_TTM(B2092,E2092)</f>
        <v>3.9568608275430801</v>
      </c>
      <c r="P2092" s="7">
        <f>[1]!EM_S_VAL_PCF_NCFTTM(B2092,E2092)</f>
        <v>114.75742466581001</v>
      </c>
      <c r="Q2092" s="7">
        <f>[1]!EM_S_VAL_DIVIDENDYIELD2(B2092,E2092,"2019-11-29")</f>
        <v>0</v>
      </c>
      <c r="T2092"/>
      <c r="U2092">
        <f>[1]!EM_S_RATIO_EPS_TTM(B2092,E2092,"1")</f>
        <v>1.897550198382578E-2</v>
      </c>
      <c r="AT2092" s="4" t="str">
        <f>[1]!EM_S_IPO_LISTEDDATE(B2092)</f>
        <v>1997-04-30</v>
      </c>
    </row>
    <row r="2093" spans="1:46">
      <c r="A2093">
        <v>2019</v>
      </c>
      <c r="B2093" t="str">
        <f>"300599"</f>
        <v>300599</v>
      </c>
      <c r="C2093" t="s">
        <v>773</v>
      </c>
      <c r="D2093" t="str">
        <f>[1]!EM_S_INFO_INDEX_EM(B2093,"1")</f>
        <v>建材</v>
      </c>
      <c r="E2093" s="4">
        <f t="shared" si="32"/>
        <v>43465</v>
      </c>
      <c r="F2093" s="11">
        <f>[1]!EM_S_PQ_PCTCHANGE(B2093,"2018-01-01","2019-12-31","3")</f>
        <v>-12.06089165</v>
      </c>
      <c r="G2093" s="11">
        <f>[1]!EM_S_PQ_PCTCHANGE(B2093,"2018-12-31","2019-12-30","1")</f>
        <v>3.26409496</v>
      </c>
      <c r="H2093" s="11">
        <f>[1]!EM_S_FA_YOY_OR(B2093,E2093)</f>
        <v>21.885438261699999</v>
      </c>
      <c r="I2093" s="11">
        <f>[1]!EM_S_FA_GROSSPROFITMARGIN(B2093,E2093)</f>
        <v>24.0637644171</v>
      </c>
      <c r="J2093" s="11">
        <f>[1]!EM_S_FA_NETPROFITMARGIN(B2093,E2093)</f>
        <v>10.8904054115</v>
      </c>
      <c r="K2093" s="10">
        <f>[1]!EM_S_FA_ASSETSTURN(B2093,E2093)</f>
        <v>1.0825981043390001</v>
      </c>
      <c r="L2093" s="12">
        <f>[1]!EM_HKS_VAL_MV(B2093,"2019-12-31","2")</f>
        <v>3185920000</v>
      </c>
      <c r="M2093">
        <f>[1]!EM_S_VAL_PETTMDEDUCTED(B2093,E2093)</f>
        <v>16.580600561017</v>
      </c>
      <c r="N2093" s="7">
        <f>[1]!EM_S_VAL_PBGOODWILLDEDUCTED(B2093,E2093)</f>
        <v>2.1761356657392699</v>
      </c>
      <c r="O2093" s="7">
        <f>[1]!EM_S_VAL_PS_TTM(B2093,E2093)</f>
        <v>1.71778481886107</v>
      </c>
      <c r="P2093" s="7">
        <f>[1]!EM_S_VAL_PCF_NCFTTM(B2093,E2093)</f>
        <v>-20.8360525768671</v>
      </c>
      <c r="Q2093" s="7">
        <f>[1]!EM_S_VAL_DIVIDENDYIELD2(B2093,E2093,"2019-11-29")</f>
        <v>1.6326530612244898</v>
      </c>
      <c r="T2093"/>
      <c r="U2093">
        <f>[1]!EM_S_RATIO_EPS_TTM(B2093,E2093,"1")</f>
        <v>0.67092235999999994</v>
      </c>
      <c r="AT2093" s="4" t="str">
        <f>[1]!EM_S_IPO_LISTEDDATE(B2093)</f>
        <v>2017-01-23</v>
      </c>
    </row>
    <row r="2094" spans="1:46">
      <c r="A2094">
        <v>2718</v>
      </c>
      <c r="B2094" t="str">
        <f>"600645"</f>
        <v>600645</v>
      </c>
      <c r="C2094" t="s">
        <v>143</v>
      </c>
      <c r="D2094" t="str">
        <f>[1]!EM_S_INFO_INDEX_EM(B2094,"1")</f>
        <v>医药生物</v>
      </c>
      <c r="E2094" s="4">
        <f t="shared" si="32"/>
        <v>43465</v>
      </c>
      <c r="F2094" s="11">
        <f>[1]!EM_S_PQ_PCTCHANGE(B2094,"2018-01-01","2019-12-31","3")</f>
        <v>-40.387323940000002</v>
      </c>
      <c r="G2094" s="11">
        <f>[1]!EM_S_PQ_PCTCHANGE(B2094,"2018-12-31","2019-12-30","1")</f>
        <v>3.2635467999999999</v>
      </c>
      <c r="H2094" s="11">
        <f>[1]!EM_S_FA_YOY_OR(B2094,E2094)</f>
        <v>-2.49092853E-2</v>
      </c>
      <c r="I2094" s="11">
        <f>[1]!EM_S_FA_GROSSPROFITMARGIN(B2094,E2094)</f>
        <v>66.506086987499998</v>
      </c>
      <c r="J2094" s="11">
        <f>[1]!EM_S_FA_NETPROFITMARGIN(B2094,E2094)</f>
        <v>4.9869125932999996</v>
      </c>
      <c r="K2094" s="10">
        <f>[1]!EM_S_FA_ASSETSTURN(B2094,E2094)</f>
        <v>0.35481538000200002</v>
      </c>
      <c r="L2094" s="12">
        <f>[1]!EM_HKS_VAL_MV(B2094,"2019-12-31","2")</f>
        <v>7922730237.6999998</v>
      </c>
      <c r="M2094">
        <f>[1]!EM_S_VAL_PETTMDEDUCTED(B2094,E2094)</f>
        <v>-16243.1274659301</v>
      </c>
      <c r="N2094" s="7">
        <f>[1]!EM_S_VAL_PBGOODWILLDEDUCTED(B2094,E2094)</f>
        <v>4.0744710508906401</v>
      </c>
      <c r="O2094" s="7">
        <f>[1]!EM_S_VAL_PS_TTM(B2094,E2094)</f>
        <v>8.0983696674603394</v>
      </c>
      <c r="P2094" s="7">
        <f>[1]!EM_S_VAL_PCF_NCFTTM(B2094,E2094)</f>
        <v>139.02754021761399</v>
      </c>
      <c r="Q2094" s="7">
        <f>[1]!EM_S_VAL_DIVIDENDYIELD2(B2094,E2094,"2019-11-29")</f>
        <v>0</v>
      </c>
      <c r="T2094"/>
      <c r="U2094">
        <f>[1]!EM_S_RATIO_EPS_TTM(B2094,E2094,"1")</f>
        <v>0.13461640699457647</v>
      </c>
      <c r="AT2094" s="4" t="str">
        <f>[1]!EM_S_IPO_LISTEDDATE(B2094)</f>
        <v>1993-05-04</v>
      </c>
    </row>
    <row r="2095" spans="1:46">
      <c r="A2095">
        <v>1085</v>
      </c>
      <c r="B2095" t="str">
        <f>"002574"</f>
        <v>002574</v>
      </c>
      <c r="C2095" t="s">
        <v>2080</v>
      </c>
      <c r="D2095" t="str">
        <f>[1]!EM_S_INFO_INDEX_EM(B2095,"1")</f>
        <v>轻工制造</v>
      </c>
      <c r="E2095" s="4">
        <f t="shared" si="32"/>
        <v>43465</v>
      </c>
      <c r="F2095" s="11">
        <f>[1]!EM_S_PQ_PCTCHANGE(B2095,"2018-01-01","2019-12-31","3")</f>
        <v>-30.39846236</v>
      </c>
      <c r="G2095" s="11">
        <f>[1]!EM_S_PQ_PCTCHANGE(B2095,"2018-12-31","2019-12-30","1")</f>
        <v>3.24543611</v>
      </c>
      <c r="H2095" s="11">
        <f>[1]!EM_S_FA_YOY_OR(B2095,E2095)</f>
        <v>11.041928284200001</v>
      </c>
      <c r="I2095" s="11">
        <f>[1]!EM_S_FA_GROSSPROFITMARGIN(B2095,E2095)</f>
        <v>8.6815785998999999</v>
      </c>
      <c r="J2095" s="11">
        <f>[1]!EM_S_FA_NETPROFITMARGIN(B2095,E2095)</f>
        <v>2.2493866837000001</v>
      </c>
      <c r="K2095" s="10">
        <f>[1]!EM_S_FA_ASSETSTURN(B2095,E2095)</f>
        <v>1.0298636142669999</v>
      </c>
      <c r="L2095" s="12">
        <f>[1]!EM_HKS_VAL_MV(B2095,"2019-12-31","2")</f>
        <v>2698080000</v>
      </c>
      <c r="M2095">
        <f>[1]!EM_S_VAL_PETTMDEDUCTED(B2095,E2095)</f>
        <v>87.174236650198694</v>
      </c>
      <c r="N2095" s="7">
        <f>[1]!EM_S_VAL_PBGOODWILLDEDUCTED(B2095,E2095)</f>
        <v>0.81384542905274804</v>
      </c>
      <c r="O2095" s="7">
        <f>[1]!EM_S_VAL_PS_TTM(B2095,E2095)</f>
        <v>0.64133363611918004</v>
      </c>
      <c r="P2095" s="7">
        <f>[1]!EM_S_VAL_PCF_NCFTTM(B2095,E2095)</f>
        <v>13.136167402423499</v>
      </c>
      <c r="Q2095" s="7">
        <f>[1]!EM_S_VAL_DIVIDENDYIELD2(B2095,E2095,"2019-11-29")</f>
        <v>1.0245901639344261</v>
      </c>
      <c r="T2095"/>
      <c r="U2095">
        <f>[1]!EM_S_RATIO_EPS_TTM(B2095,E2095,"1")</f>
        <v>0.17316944214015151</v>
      </c>
      <c r="AT2095" s="4" t="str">
        <f>[1]!EM_S_IPO_LISTEDDATE(B2095)</f>
        <v>2011-04-22</v>
      </c>
    </row>
    <row r="2096" spans="1:46">
      <c r="A2096">
        <v>2738</v>
      </c>
      <c r="B2096" t="str">
        <f>"600665"</f>
        <v>600665</v>
      </c>
      <c r="C2096" t="s">
        <v>900</v>
      </c>
      <c r="D2096" t="str">
        <f>[1]!EM_S_INFO_INDEX_EM(B2096,"1")</f>
        <v>房地产</v>
      </c>
      <c r="E2096" s="4">
        <f t="shared" si="32"/>
        <v>43465</v>
      </c>
      <c r="F2096" s="11">
        <f>[1]!EM_S_PQ_PCTCHANGE(B2096,"2018-01-01","2019-12-31","3")</f>
        <v>-7.7503214500000004</v>
      </c>
      <c r="G2096" s="11">
        <f>[1]!EM_S_PQ_PCTCHANGE(B2096,"2018-12-31","2019-12-30","1")</f>
        <v>3.1976744199999998</v>
      </c>
      <c r="H2096" s="11">
        <f>[1]!EM_S_FA_YOY_OR(B2096,E2096)</f>
        <v>33.184307914000001</v>
      </c>
      <c r="I2096" s="11">
        <f>[1]!EM_S_FA_GROSSPROFITMARGIN(B2096,E2096)</f>
        <v>21.846479875699998</v>
      </c>
      <c r="J2096" s="11">
        <f>[1]!EM_S_FA_NETPROFITMARGIN(B2096,E2096)</f>
        <v>7.6085327939000003</v>
      </c>
      <c r="K2096" s="10">
        <f>[1]!EM_S_FA_ASSETSTURN(B2096,E2096)</f>
        <v>0.243272650078</v>
      </c>
      <c r="L2096" s="12">
        <f>[1]!EM_HKS_VAL_MV(B2096,"2019-12-31","2")</f>
        <v>3197253327.6999998</v>
      </c>
      <c r="M2096">
        <f>[1]!EM_S_VAL_PETTMDEDUCTED(B2096,E2096)</f>
        <v>6.73756489188656</v>
      </c>
      <c r="N2096" s="7">
        <f>[1]!EM_S_VAL_PBGOODWILLDEDUCTED(B2096,E2096)</f>
        <v>0.87710207427190601</v>
      </c>
      <c r="O2096" s="7">
        <f>[1]!EM_S_VAL_PS_TTM(B2096,E2096)</f>
        <v>0.55953351058820999</v>
      </c>
      <c r="P2096" s="7">
        <f>[1]!EM_S_VAL_PCF_NCFTTM(B2096,E2096)</f>
        <v>8.6393233159631908</v>
      </c>
      <c r="Q2096" s="7">
        <f>[1]!EM_S_VAL_DIVIDENDYIELD2(B2096,E2096,"2019-11-29")</f>
        <v>4.3582089552238799</v>
      </c>
      <c r="T2096"/>
      <c r="U2096">
        <f>[1]!EM_S_RATIO_EPS_TTM(B2096,E2096,"1")</f>
        <v>0.48652221637908216</v>
      </c>
      <c r="AT2096" s="4" t="str">
        <f>[1]!EM_S_IPO_LISTEDDATE(B2096)</f>
        <v>1993-07-09</v>
      </c>
    </row>
    <row r="2097" spans="1:46">
      <c r="A2097">
        <v>1393</v>
      </c>
      <c r="B2097" t="str">
        <f>"002895"</f>
        <v>002895</v>
      </c>
      <c r="C2097" t="s">
        <v>2935</v>
      </c>
      <c r="D2097" t="str">
        <f>[1]!EM_S_INFO_INDEX_EM(B2097,"1")</f>
        <v>基础化工</v>
      </c>
      <c r="E2097" s="4">
        <f t="shared" si="32"/>
        <v>43465</v>
      </c>
      <c r="F2097" s="11">
        <f>[1]!EM_S_PQ_PCTCHANGE(B2097,"2018-01-01","2019-12-31","3")</f>
        <v>-53.908122179999999</v>
      </c>
      <c r="G2097" s="11">
        <f>[1]!EM_S_PQ_PCTCHANGE(B2097,"2018-12-31","2019-12-30","1")</f>
        <v>3.1772575299999999</v>
      </c>
      <c r="H2097" s="11">
        <f>[1]!EM_S_FA_YOY_OR(B2097,E2097)</f>
        <v>8.9962743765000006</v>
      </c>
      <c r="I2097" s="11">
        <f>[1]!EM_S_FA_GROSSPROFITMARGIN(B2097,E2097)</f>
        <v>21.121924282599998</v>
      </c>
      <c r="J2097" s="11">
        <f>[1]!EM_S_FA_NETPROFITMARGIN(B2097,E2097)</f>
        <v>5.9406998089999998</v>
      </c>
      <c r="K2097" s="10">
        <f>[1]!EM_S_FA_ASSETSTURN(B2097,E2097)</f>
        <v>0.51310426343799997</v>
      </c>
      <c r="L2097" s="12">
        <f>[1]!EM_HKS_VAL_MV(B2097,"2019-12-31","2")</f>
        <v>5046409880</v>
      </c>
      <c r="M2097">
        <f>[1]!EM_S_VAL_PETTMDEDUCTED(B2097,E2097)</f>
        <v>75.186202933104397</v>
      </c>
      <c r="N2097" s="7">
        <f>[1]!EM_S_VAL_PBGOODWILLDEDUCTED(B2097,E2097)</f>
        <v>2.5469108442635902</v>
      </c>
      <c r="O2097" s="7">
        <f>[1]!EM_S_VAL_PS_TTM(B2097,E2097)</f>
        <v>3.85127696638434</v>
      </c>
      <c r="P2097" s="7">
        <f>[1]!EM_S_VAL_PCF_NCFTTM(B2097,E2097)</f>
        <v>926.87315222911104</v>
      </c>
      <c r="Q2097" s="7">
        <f>[1]!EM_S_VAL_DIVIDENDYIELD2(B2097,E2097,"2019-11-29")</f>
        <v>2.6027674116331232</v>
      </c>
      <c r="T2097"/>
      <c r="U2097">
        <f>[1]!EM_S_RATIO_EPS_TTM(B2097,E2097,"1")</f>
        <v>0.18967910202587679</v>
      </c>
      <c r="AT2097" s="4" t="str">
        <f>[1]!EM_S_IPO_LISTEDDATE(B2097)</f>
        <v>2017-08-25</v>
      </c>
    </row>
    <row r="2098" spans="1:46">
      <c r="A2098">
        <v>819</v>
      </c>
      <c r="B2098" t="str">
        <f>"002308"</f>
        <v>002308</v>
      </c>
      <c r="C2098" t="s">
        <v>2335</v>
      </c>
      <c r="D2098" t="str">
        <f>[1]!EM_S_INFO_INDEX_EM(B2098,"1")</f>
        <v>信息技术</v>
      </c>
      <c r="E2098" s="4">
        <f t="shared" si="32"/>
        <v>43465</v>
      </c>
      <c r="F2098" s="11">
        <f>[1]!EM_S_PQ_PCTCHANGE(B2098,"2018-01-01","2019-12-31","3")</f>
        <v>-61.928910870000003</v>
      </c>
      <c r="G2098" s="11">
        <f>[1]!EM_S_PQ_PCTCHANGE(B2098,"2018-12-31","2019-12-30","1")</f>
        <v>3.1460674200000001</v>
      </c>
      <c r="H2098" s="11">
        <f>[1]!EM_S_FA_YOY_OR(B2098,E2098)</f>
        <v>2.8162308923000001</v>
      </c>
      <c r="I2098" s="11">
        <f>[1]!EM_S_FA_GROSSPROFITMARGIN(B2098,E2098)</f>
        <v>54.149106613100003</v>
      </c>
      <c r="J2098" s="11">
        <f>[1]!EM_S_FA_NETPROFITMARGIN(B2098,E2098)</f>
        <v>14.516980607200001</v>
      </c>
      <c r="K2098" s="10">
        <f>[1]!EM_S_FA_ASSETSTURN(B2098,E2098)</f>
        <v>0.26677861530699998</v>
      </c>
      <c r="L2098" s="12">
        <f>[1]!EM_HKS_VAL_MV(B2098,"2019-12-31","2")</f>
        <v>4186711687.6199999</v>
      </c>
      <c r="M2098">
        <f>[1]!EM_S_VAL_PETTMDEDUCTED(B2098,E2098)</f>
        <v>34.256175610314202</v>
      </c>
      <c r="N2098" s="7">
        <f>[1]!EM_S_VAL_PBGOODWILLDEDUCTED(B2098,E2098)</f>
        <v>2.2295897960499298</v>
      </c>
      <c r="O2098" s="7">
        <f>[1]!EM_S_VAL_PS_TTM(B2098,E2098)</f>
        <v>3.4832645817250798</v>
      </c>
      <c r="P2098" s="7">
        <f>[1]!EM_S_VAL_PCF_NCFTTM(B2098,E2098)</f>
        <v>10.085517598117301</v>
      </c>
      <c r="Q2098" s="7">
        <f>[1]!EM_S_VAL_DIVIDENDYIELD2(B2098,E2098,"2019-11-29")</f>
        <v>0</v>
      </c>
      <c r="T2098"/>
      <c r="U2098">
        <f>[1]!EM_S_RATIO_EPS_TTM(B2098,E2098,"1")</f>
        <v>0.17404791368437617</v>
      </c>
      <c r="AT2098" s="4" t="str">
        <f>[1]!EM_S_IPO_LISTEDDATE(B2098)</f>
        <v>2009-11-27</v>
      </c>
    </row>
    <row r="2099" spans="1:46">
      <c r="A2099">
        <v>3195</v>
      </c>
      <c r="B2099" t="str">
        <f>"601992"</f>
        <v>601992</v>
      </c>
      <c r="C2099" t="s">
        <v>3272</v>
      </c>
      <c r="D2099" t="str">
        <f>[1]!EM_S_INFO_INDEX_EM(B2099,"1")</f>
        <v>建材</v>
      </c>
      <c r="E2099" s="4">
        <f t="shared" si="32"/>
        <v>43465</v>
      </c>
      <c r="F2099" s="11">
        <f>[1]!EM_S_PQ_PCTCHANGE(B2099,"2018-01-01","2019-12-31","3")</f>
        <v>-29.32481705</v>
      </c>
      <c r="G2099" s="11">
        <f>[1]!EM_S_PQ_PCTCHANGE(B2099,"2018-12-31","2019-12-30","1")</f>
        <v>3.1428571399999998</v>
      </c>
      <c r="H2099" s="11">
        <f>[1]!EM_S_FA_YOY_OR(B2099,E2099)</f>
        <v>30.5259291132</v>
      </c>
      <c r="I2099" s="11">
        <f>[1]!EM_S_FA_GROSSPROFITMARGIN(B2099,E2099)</f>
        <v>26.9452505438</v>
      </c>
      <c r="J2099" s="11">
        <f>[1]!EM_S_FA_NETPROFITMARGIN(B2099,E2099)</f>
        <v>5.1510990333000004</v>
      </c>
      <c r="K2099" s="10">
        <f>[1]!EM_S_FA_ASSETSTURN(B2099,E2099)</f>
        <v>0.33214569846000003</v>
      </c>
      <c r="L2099" s="12">
        <f>[1]!EM_HKS_VAL_MV(B2099,"2019-12-31","2")</f>
        <v>39828086329.82</v>
      </c>
      <c r="M2099">
        <f>[1]!EM_S_VAL_PETTMDEDUCTED(B2099,E2099)</f>
        <v>14.4396090065731</v>
      </c>
      <c r="N2099" s="7">
        <f>[1]!EM_S_VAL_PBGOODWILLDEDUCTED(B2099,E2099)</f>
        <v>0.93516570424418799</v>
      </c>
      <c r="O2099" s="7">
        <f>[1]!EM_S_VAL_PS_TTM(B2099,E2099)</f>
        <v>0.507661493389994</v>
      </c>
      <c r="P2099" s="7">
        <f>[1]!EM_S_VAL_PCF_NCFTTM(B2099,E2099)</f>
        <v>-45.448282706416798</v>
      </c>
      <c r="Q2099" s="7">
        <f>[1]!EM_S_VAL_DIVIDENDYIELD2(B2099,E2099,"2019-11-29")</f>
        <v>1.6819571865443428</v>
      </c>
      <c r="T2099"/>
      <c r="U2099">
        <f>[1]!EM_S_RATIO_EPS_TTM(B2099,E2099,"1")</f>
        <v>0.30534923778129369</v>
      </c>
      <c r="AT2099" s="4" t="str">
        <f>[1]!EM_S_IPO_LISTEDDATE(B2099)</f>
        <v>2011-03-01</v>
      </c>
    </row>
    <row r="2100" spans="1:46">
      <c r="A2100">
        <v>3605</v>
      </c>
      <c r="B2100" t="str">
        <f>"603922"</f>
        <v>603922</v>
      </c>
      <c r="C2100" t="s">
        <v>1181</v>
      </c>
      <c r="D2100" t="str">
        <f>[1]!EM_S_INFO_INDEX_EM(B2100,"1")</f>
        <v>交运设备</v>
      </c>
      <c r="E2100" s="4">
        <f t="shared" si="32"/>
        <v>43465</v>
      </c>
      <c r="F2100" s="11">
        <f>[1]!EM_S_PQ_PCTCHANGE(B2100,"2018-01-01","2019-12-31","3")</f>
        <v>-43.95164596</v>
      </c>
      <c r="G2100" s="11">
        <f>[1]!EM_S_PQ_PCTCHANGE(B2100,"2018-12-31","2019-12-30","1")</f>
        <v>3.1190324600000001</v>
      </c>
      <c r="H2100" s="11">
        <f>[1]!EM_S_FA_YOY_OR(B2100,E2100)</f>
        <v>2.6183132865999998</v>
      </c>
      <c r="I2100" s="11">
        <f>[1]!EM_S_FA_GROSSPROFITMARGIN(B2100,E2100)</f>
        <v>17.5729743855</v>
      </c>
      <c r="J2100" s="11">
        <f>[1]!EM_S_FA_NETPROFITMARGIN(B2100,E2100)</f>
        <v>5.2571223303999997</v>
      </c>
      <c r="K2100" s="10">
        <f>[1]!EM_S_FA_ASSETSTURN(B2100,E2100)</f>
        <v>0.63740557225200001</v>
      </c>
      <c r="L2100" s="12">
        <f>[1]!EM_HKS_VAL_MV(B2100,"2019-12-31","2")</f>
        <v>1971200000</v>
      </c>
      <c r="M2100">
        <f>[1]!EM_S_VAL_PETTMDEDUCTED(B2100,E2100)</f>
        <v>38.932742149701198</v>
      </c>
      <c r="N2100" s="7">
        <f>[1]!EM_S_VAL_PBGOODWILLDEDUCTED(B2100,E2100)</f>
        <v>1.76704572318483</v>
      </c>
      <c r="O2100" s="7">
        <f>[1]!EM_S_VAL_PS_TTM(B2100,E2100)</f>
        <v>1.85386603978749</v>
      </c>
      <c r="P2100" s="7">
        <f>[1]!EM_S_VAL_PCF_NCFTTM(B2100,E2100)</f>
        <v>15.3864351617813</v>
      </c>
      <c r="Q2100" s="7">
        <f>[1]!EM_S_VAL_DIVIDENDYIELD2(B2100,E2100,"2019-11-29")</f>
        <v>0.91154625253207289</v>
      </c>
      <c r="T2100"/>
      <c r="U2100">
        <f>[1]!EM_S_RATIO_EPS_TTM(B2100,E2100,"1")</f>
        <v>0.43935433414062502</v>
      </c>
      <c r="AT2100" s="4" t="str">
        <f>[1]!EM_S_IPO_LISTEDDATE(B2100)</f>
        <v>2017-10-23</v>
      </c>
    </row>
    <row r="2101" spans="1:46">
      <c r="A2101">
        <v>1592</v>
      </c>
      <c r="B2101" t="str">
        <f>"300167"</f>
        <v>300167</v>
      </c>
      <c r="C2101" t="s">
        <v>3245</v>
      </c>
      <c r="D2101" t="str">
        <f>[1]!EM_S_INFO_INDEX_EM(B2101,"1")</f>
        <v>信息技术</v>
      </c>
      <c r="E2101" s="4">
        <f t="shared" si="32"/>
        <v>43465</v>
      </c>
      <c r="F2101" s="11">
        <f>[1]!EM_S_PQ_PCTCHANGE(B2101,"2018-01-01","2019-12-31","3")</f>
        <v>-44.994944390000001</v>
      </c>
      <c r="G2101" s="11">
        <f>[1]!EM_S_PQ_PCTCHANGE(B2101,"2018-12-31","2019-12-30","1")</f>
        <v>3.0947775599999998</v>
      </c>
      <c r="H2101" s="11">
        <f>[1]!EM_S_FA_YOY_OR(B2101,E2101)</f>
        <v>-53.469208967699998</v>
      </c>
      <c r="I2101" s="11">
        <f>[1]!EM_S_FA_GROSSPROFITMARGIN(B2101,E2101)</f>
        <v>21.618041246200001</v>
      </c>
      <c r="J2101" s="11">
        <f>[1]!EM_S_FA_NETPROFITMARGIN(B2101,E2101)</f>
        <v>-64.258683381799997</v>
      </c>
      <c r="K2101" s="10">
        <f>[1]!EM_S_FA_ASSETSTURN(B2101,E2101)</f>
        <v>0.22297535994199999</v>
      </c>
      <c r="L2101" s="12">
        <f>[1]!EM_HKS_VAL_MV(B2101,"2019-12-31","2")</f>
        <v>1633305600</v>
      </c>
      <c r="M2101">
        <f>[1]!EM_S_VAL_PETTMDEDUCTED(B2101,E2101)</f>
        <v>-34.624625081205501</v>
      </c>
      <c r="N2101" s="7">
        <f>[1]!EM_S_VAL_PBGOODWILLDEDUCTED(B2101,E2101)</f>
        <v>2.8674710223668498</v>
      </c>
      <c r="O2101" s="7">
        <f>[1]!EM_S_VAL_PS_TTM(B2101,E2101)</f>
        <v>3.4111182519328702</v>
      </c>
      <c r="P2101" s="7">
        <f>[1]!EM_S_VAL_PCF_NCFTTM(B2101,E2101)</f>
        <v>-9.5141571773081495</v>
      </c>
      <c r="Q2101" s="7">
        <f>[1]!EM_S_VAL_DIVIDENDYIELD2(B2101,E2101,"2019-11-29")</f>
        <v>0</v>
      </c>
      <c r="T2101"/>
      <c r="U2101">
        <f>[1]!EM_S_RATIO_EPS_TTM(B2101,E2101,"1")</f>
        <v>-0.53926694844124701</v>
      </c>
      <c r="AT2101" s="4" t="str">
        <f>[1]!EM_S_IPO_LISTEDDATE(B2101)</f>
        <v>2011-01-25</v>
      </c>
    </row>
    <row r="2102" spans="1:46">
      <c r="A2102">
        <v>222</v>
      </c>
      <c r="B2102" t="str">
        <f>"000620"</f>
        <v>000620</v>
      </c>
      <c r="C2102" t="s">
        <v>2614</v>
      </c>
      <c r="D2102" t="str">
        <f>[1]!EM_S_INFO_INDEX_EM(B2102,"1")</f>
        <v>房地产</v>
      </c>
      <c r="E2102" s="4">
        <f t="shared" si="32"/>
        <v>43465</v>
      </c>
      <c r="F2102" s="11">
        <f>[1]!EM_S_PQ_PCTCHANGE(B2102,"2018-01-01","2019-12-31","3")</f>
        <v>-24.114778189999999</v>
      </c>
      <c r="G2102" s="11">
        <f>[1]!EM_S_PQ_PCTCHANGE(B2102,"2018-12-31","2019-12-30","1")</f>
        <v>3.0690537099999999</v>
      </c>
      <c r="H2102" s="11">
        <f>[1]!EM_S_FA_YOY_OR(B2102,E2102)</f>
        <v>88.159324330800004</v>
      </c>
      <c r="I2102" s="11">
        <f>[1]!EM_S_FA_GROSSPROFITMARGIN(B2102,E2102)</f>
        <v>33.499473693500001</v>
      </c>
      <c r="J2102" s="11">
        <f>[1]!EM_S_FA_NETPROFITMARGIN(B2102,E2102)</f>
        <v>8.9254820903999992</v>
      </c>
      <c r="K2102" s="10">
        <f>[1]!EM_S_FA_ASSETSTURN(B2102,E2102)</f>
        <v>0.26694688737299999</v>
      </c>
      <c r="L2102" s="12">
        <f>[1]!EM_HKS_VAL_MV(B2102,"2019-12-31","2")</f>
        <v>7681596201</v>
      </c>
      <c r="M2102">
        <f>[1]!EM_S_VAL_PETTMDEDUCTED(B2102,E2102)</f>
        <v>14.2260506154014</v>
      </c>
      <c r="N2102" s="7">
        <f>[1]!EM_S_VAL_PBGOODWILLDEDUCTED(B2102,E2102)</f>
        <v>1.01726792211731</v>
      </c>
      <c r="O2102" s="7">
        <f>[1]!EM_S_VAL_PS_TTM(B2102,E2102)</f>
        <v>0.74872420571491405</v>
      </c>
      <c r="P2102" s="7">
        <f>[1]!EM_S_VAL_PCF_NCFTTM(B2102,E2102)</f>
        <v>-2.0746742175430701</v>
      </c>
      <c r="Q2102" s="7">
        <f>[1]!EM_S_VAL_DIVIDENDYIELD2(B2102,E2102,"2019-11-29")</f>
        <v>3.8314176245210732</v>
      </c>
      <c r="T2102"/>
      <c r="U2102">
        <f>[1]!EM_S_RATIO_EPS_TTM(B2102,E2102,"1")</f>
        <v>0.62554147155970774</v>
      </c>
      <c r="AT2102" s="4" t="str">
        <f>[1]!EM_S_IPO_LISTEDDATE(B2102)</f>
        <v>1996-10-29</v>
      </c>
    </row>
    <row r="2103" spans="1:46">
      <c r="A2103">
        <v>1930</v>
      </c>
      <c r="B2103" t="str">
        <f>"300505"</f>
        <v>300505</v>
      </c>
      <c r="C2103" t="s">
        <v>2003</v>
      </c>
      <c r="D2103" t="str">
        <f>[1]!EM_S_INFO_INDEX_EM(B2103,"1")</f>
        <v>基础化工</v>
      </c>
      <c r="E2103" s="4">
        <f t="shared" si="32"/>
        <v>43465</v>
      </c>
      <c r="F2103" s="11">
        <f>[1]!EM_S_PQ_PCTCHANGE(B2103,"2018-01-01","2019-12-31","3")</f>
        <v>-25.900125679999999</v>
      </c>
      <c r="G2103" s="11">
        <f>[1]!EM_S_PQ_PCTCHANGE(B2103,"2018-12-31","2019-12-30","1")</f>
        <v>3.0534351100000001</v>
      </c>
      <c r="H2103" s="11">
        <f>[1]!EM_S_FA_YOY_OR(B2103,E2103)</f>
        <v>20.727276920600001</v>
      </c>
      <c r="I2103" s="11">
        <f>[1]!EM_S_FA_GROSSPROFITMARGIN(B2103,E2103)</f>
        <v>29.5695816904</v>
      </c>
      <c r="J2103" s="11">
        <f>[1]!EM_S_FA_NETPROFITMARGIN(B2103,E2103)</f>
        <v>6.6389585053999998</v>
      </c>
      <c r="K2103" s="10">
        <f>[1]!EM_S_FA_ASSETSTURN(B2103,E2103)</f>
        <v>0.99936524406899996</v>
      </c>
      <c r="L2103" s="12">
        <f>[1]!EM_HKS_VAL_MV(B2103,"2019-12-31","2")</f>
        <v>2317127112.0999999</v>
      </c>
      <c r="M2103">
        <f>[1]!EM_S_VAL_PETTMDEDUCTED(B2103,E2103)</f>
        <v>37.021973201837397</v>
      </c>
      <c r="N2103" s="7">
        <f>[1]!EM_S_VAL_PBGOODWILLDEDUCTED(B2103,E2103)</f>
        <v>2.8910124439487399</v>
      </c>
      <c r="O2103" s="7">
        <f>[1]!EM_S_VAL_PS_TTM(B2103,E2103)</f>
        <v>2.3211349636245</v>
      </c>
      <c r="P2103" s="7">
        <f>[1]!EM_S_VAL_PCF_NCFTTM(B2103,E2103)</f>
        <v>-43.683772731353002</v>
      </c>
      <c r="Q2103" s="7">
        <f>[1]!EM_S_VAL_DIVIDENDYIELD2(B2103,E2103,"2019-11-29")</f>
        <v>0.65789473684210509</v>
      </c>
      <c r="T2103"/>
      <c r="U2103">
        <f>[1]!EM_S_RATIO_EPS_TTM(B2103,E2103,"1")</f>
        <v>0.68664662928449016</v>
      </c>
      <c r="AT2103" s="4" t="str">
        <f>[1]!EM_S_IPO_LISTEDDATE(B2103)</f>
        <v>2016-03-15</v>
      </c>
    </row>
    <row r="2104" spans="1:46">
      <c r="A2104">
        <v>2984</v>
      </c>
      <c r="B2104" t="str">
        <f>"600939"</f>
        <v>600939</v>
      </c>
      <c r="C2104" t="s">
        <v>2339</v>
      </c>
      <c r="D2104" t="str">
        <f>[1]!EM_S_INFO_INDEX_EM(B2104,"1")</f>
        <v>建筑</v>
      </c>
      <c r="E2104" s="4">
        <f t="shared" si="32"/>
        <v>43465</v>
      </c>
      <c r="F2104" s="11">
        <f>[1]!EM_S_PQ_PCTCHANGE(B2104,"2018-01-01","2019-12-31","3")</f>
        <v>-33.529888079999999</v>
      </c>
      <c r="G2104" s="11">
        <f>[1]!EM_S_PQ_PCTCHANGE(B2104,"2018-12-31","2019-12-30","1")</f>
        <v>3.0368763599999999</v>
      </c>
      <c r="H2104" s="11">
        <f>[1]!EM_S_FA_YOY_OR(B2104,E2104)</f>
        <v>3.6311446216999999</v>
      </c>
      <c r="I2104" s="11">
        <f>[1]!EM_S_FA_GROSSPROFITMARGIN(B2104,E2104)</f>
        <v>4.9477671989000003</v>
      </c>
      <c r="J2104" s="11">
        <f>[1]!EM_S_FA_NETPROFITMARGIN(B2104,E2104)</f>
        <v>0.95817093750000004</v>
      </c>
      <c r="K2104" s="10">
        <f>[1]!EM_S_FA_ASSETSTURN(B2104,E2104)</f>
        <v>0.68478823271699996</v>
      </c>
      <c r="L2104" s="12">
        <f>[1]!EM_HKS_VAL_MV(B2104,"2019-12-31","2")</f>
        <v>8727745000</v>
      </c>
      <c r="M2104">
        <f>[1]!EM_S_VAL_PETTMDEDUCTED(B2104,E2104)</f>
        <v>25.274965063004199</v>
      </c>
      <c r="N2104" s="7">
        <f>[1]!EM_S_VAL_PBGOODWILLDEDUCTED(B2104,E2104)</f>
        <v>1.3002731033920301</v>
      </c>
      <c r="O2104" s="7">
        <f>[1]!EM_S_VAL_PS_TTM(B2104,E2104)</f>
        <v>0.177912731784587</v>
      </c>
      <c r="P2104" s="7">
        <f>[1]!EM_S_VAL_PCF_NCFTTM(B2104,E2104)</f>
        <v>91.591574399264601</v>
      </c>
      <c r="Q2104" s="7">
        <f>[1]!EM_S_VAL_DIVIDENDYIELD2(B2104,E2104,"2019-11-29")</f>
        <v>1.4601769911504425</v>
      </c>
      <c r="T2104"/>
      <c r="U2104">
        <f>[1]!EM_S_RATIO_EPS_TTM(B2104,E2104,"1")</f>
        <v>0.21731349823091761</v>
      </c>
      <c r="AT2104" s="4" t="str">
        <f>[1]!EM_S_IPO_LISTEDDATE(B2104)</f>
        <v>2017-02-21</v>
      </c>
    </row>
    <row r="2105" spans="1:46">
      <c r="A2105">
        <v>2190</v>
      </c>
      <c r="B2105" t="str">
        <f>"600033"</f>
        <v>600033</v>
      </c>
      <c r="C2105" t="s">
        <v>1299</v>
      </c>
      <c r="D2105" t="str">
        <f>[1]!EM_S_INFO_INDEX_EM(B2105,"1")</f>
        <v>交通运输</v>
      </c>
      <c r="E2105" s="4">
        <f t="shared" si="32"/>
        <v>43465</v>
      </c>
      <c r="F2105" s="11">
        <f>[1]!EM_S_PQ_PCTCHANGE(B2105,"2018-01-01","2019-12-31","3")</f>
        <v>-8.8161904700000004</v>
      </c>
      <c r="G2105" s="11">
        <f>[1]!EM_S_PQ_PCTCHANGE(B2105,"2018-12-31","2019-12-30","1")</f>
        <v>3.0303030299999998</v>
      </c>
      <c r="H2105" s="11">
        <f>[1]!EM_S_FA_YOY_OR(B2105,E2105)</f>
        <v>7.6146330862999996</v>
      </c>
      <c r="I2105" s="11">
        <f>[1]!EM_S_FA_GROSSPROFITMARGIN(B2105,E2105)</f>
        <v>61.165867307299997</v>
      </c>
      <c r="J2105" s="11">
        <f>[1]!EM_S_FA_NETPROFITMARGIN(B2105,E2105)</f>
        <v>35.987505533399997</v>
      </c>
      <c r="K2105" s="10">
        <f>[1]!EM_S_FA_ASSETSTURN(B2105,E2105)</f>
        <v>0.15243971776699999</v>
      </c>
      <c r="L2105" s="12">
        <f>[1]!EM_HKS_VAL_MV(B2105,"2019-12-31","2")</f>
        <v>8425308000</v>
      </c>
      <c r="M2105">
        <f>[1]!EM_S_VAL_PETTMDEDUCTED(B2105,E2105)</f>
        <v>12.0973013995856</v>
      </c>
      <c r="N2105" s="7">
        <f>[1]!EM_S_VAL_PBGOODWILLDEDUCTED(B2105,E2105)</f>
        <v>0.89644083042838296</v>
      </c>
      <c r="O2105" s="7">
        <f>[1]!EM_S_VAL_PS_TTM(B2105,E2105)</f>
        <v>3.13801639634343</v>
      </c>
      <c r="P2105" s="7">
        <f>[1]!EM_S_VAL_PCF_NCFTTM(B2105,E2105)</f>
        <v>148.598524899209</v>
      </c>
      <c r="Q2105" s="7">
        <f>[1]!EM_S_VAL_DIVIDENDYIELD2(B2105,E2105,"2019-11-29")</f>
        <v>4.9668874172185431</v>
      </c>
      <c r="T2105"/>
      <c r="U2105">
        <f>[1]!EM_S_RATIO_EPS_TTM(B2105,E2105,"1")</f>
        <v>0.26727611546057423</v>
      </c>
      <c r="AT2105" s="4" t="str">
        <f>[1]!EM_S_IPO_LISTEDDATE(B2105)</f>
        <v>2001-02-09</v>
      </c>
    </row>
    <row r="2106" spans="1:46">
      <c r="A2106">
        <v>937</v>
      </c>
      <c r="B2106" t="str">
        <f>"002426"</f>
        <v>002426</v>
      </c>
      <c r="C2106" t="s">
        <v>1580</v>
      </c>
      <c r="D2106" t="str">
        <f>[1]!EM_S_INFO_INDEX_EM(B2106,"1")</f>
        <v>电子设备</v>
      </c>
      <c r="E2106" s="4">
        <f t="shared" si="32"/>
        <v>43465</v>
      </c>
      <c r="F2106" s="11">
        <f>[1]!EM_S_PQ_PCTCHANGE(B2106,"2018-01-01","2019-12-31","3")</f>
        <v>-59.229890849999997</v>
      </c>
      <c r="G2106" s="11">
        <f>[1]!EM_S_PQ_PCTCHANGE(B2106,"2018-12-31","2019-12-30","1")</f>
        <v>3.0172413800000002</v>
      </c>
      <c r="H2106" s="11">
        <f>[1]!EM_S_FA_YOY_OR(B2106,E2106)</f>
        <v>9.2803173274000006</v>
      </c>
      <c r="I2106" s="11">
        <f>[1]!EM_S_FA_GROSSPROFITMARGIN(B2106,E2106)</f>
        <v>10.019550196400001</v>
      </c>
      <c r="J2106" s="11">
        <f>[1]!EM_S_FA_NETPROFITMARGIN(B2106,E2106)</f>
        <v>-4.2260120360000002</v>
      </c>
      <c r="K2106" s="10">
        <f>[1]!EM_S_FA_ASSETSTURN(B2106,E2106)</f>
        <v>0.94076161227599997</v>
      </c>
      <c r="L2106" s="12">
        <f>[1]!EM_HKS_VAL_MV(B2106,"2019-12-31","2")</f>
        <v>8121981816.8400002</v>
      </c>
      <c r="M2106">
        <f>[1]!EM_S_VAL_PETTMDEDUCTED(B2106,E2106)</f>
        <v>44.924113240661804</v>
      </c>
      <c r="N2106" s="7">
        <f>[1]!EM_S_VAL_PBGOODWILLDEDUCTED(B2106,E2106)</f>
        <v>1.20312940472314</v>
      </c>
      <c r="O2106" s="7">
        <f>[1]!EM_S_VAL_PS_TTM(B2106,E2106)</f>
        <v>0.47498001730261202</v>
      </c>
      <c r="P2106" s="7">
        <f>[1]!EM_S_VAL_PCF_NCFTTM(B2106,E2106)</f>
        <v>-4.8899094782654897</v>
      </c>
      <c r="Q2106" s="7">
        <f>[1]!EM_S_VAL_DIVIDENDYIELD2(B2106,E2106,"2019-11-29")</f>
        <v>0</v>
      </c>
      <c r="T2106"/>
      <c r="U2106">
        <f>[1]!EM_S_RATIO_EPS_TTM(B2106,E2106,"1")</f>
        <v>-0.20999898820512219</v>
      </c>
      <c r="AT2106" s="4" t="str">
        <f>[1]!EM_S_IPO_LISTEDDATE(B2106)</f>
        <v>2010-06-08</v>
      </c>
    </row>
    <row r="2107" spans="1:46">
      <c r="A2107">
        <v>311</v>
      </c>
      <c r="B2107" t="str">
        <f>"000731"</f>
        <v>000731</v>
      </c>
      <c r="C2107" t="s">
        <v>1524</v>
      </c>
      <c r="D2107" t="str">
        <f>[1]!EM_S_INFO_INDEX_EM(B2107,"1")</f>
        <v>基础化工</v>
      </c>
      <c r="E2107" s="4">
        <f t="shared" si="32"/>
        <v>43465</v>
      </c>
      <c r="F2107" s="11">
        <f>[1]!EM_S_PQ_PCTCHANGE(B2107,"2018-01-01","2019-12-31","3")</f>
        <v>-32.29130533</v>
      </c>
      <c r="G2107" s="11">
        <f>[1]!EM_S_PQ_PCTCHANGE(B2107,"2018-12-31","2019-12-30","1")</f>
        <v>2.9880478099999999</v>
      </c>
      <c r="H2107" s="11">
        <f>[1]!EM_S_FA_YOY_OR(B2107,E2107)</f>
        <v>4.4271797831999997</v>
      </c>
      <c r="I2107" s="11">
        <f>[1]!EM_S_FA_GROSSPROFITMARGIN(B2107,E2107)</f>
        <v>26.514800077899999</v>
      </c>
      <c r="J2107" s="11">
        <f>[1]!EM_S_FA_NETPROFITMARGIN(B2107,E2107)</f>
        <v>8.441994824</v>
      </c>
      <c r="K2107" s="10">
        <f>[1]!EM_S_FA_ASSETSTURN(B2107,E2107)</f>
        <v>0.61950997218799997</v>
      </c>
      <c r="L2107" s="12">
        <f>[1]!EM_HKS_VAL_MV(B2107,"2019-12-31","2")</f>
        <v>3081633473.9200001</v>
      </c>
      <c r="M2107">
        <f>[1]!EM_S_VAL_PETTMDEDUCTED(B2107,E2107)</f>
        <v>12.757799807888199</v>
      </c>
      <c r="N2107" s="7">
        <f>[1]!EM_S_VAL_PBGOODWILLDEDUCTED(B2107,E2107)</f>
        <v>1.0607168224047101</v>
      </c>
      <c r="O2107" s="7">
        <f>[1]!EM_S_VAL_PS_TTM(B2107,E2107)</f>
        <v>1.20719936224823</v>
      </c>
      <c r="P2107" s="7">
        <f>[1]!EM_S_VAL_PCF_NCFTTM(B2107,E2107)</f>
        <v>17.8922612825776</v>
      </c>
      <c r="Q2107" s="7">
        <f>[1]!EM_S_VAL_DIVIDENDYIELD2(B2107,E2107,"2019-11-29")</f>
        <v>2.9411764705882351</v>
      </c>
      <c r="T2107"/>
      <c r="U2107">
        <f>[1]!EM_S_RATIO_EPS_TTM(B2107,E2107,"1")</f>
        <v>0.37126422894785222</v>
      </c>
      <c r="AT2107" s="4" t="str">
        <f>[1]!EM_S_IPO_LISTEDDATE(B2107)</f>
        <v>1997-06-17</v>
      </c>
    </row>
    <row r="2108" spans="1:46">
      <c r="A2108">
        <v>413</v>
      </c>
      <c r="B2108" t="str">
        <f>"000881"</f>
        <v>000881</v>
      </c>
      <c r="C2108" t="s">
        <v>2694</v>
      </c>
      <c r="D2108" t="str">
        <f>[1]!EM_S_INFO_INDEX_EM(B2108,"1")</f>
        <v>基础化工</v>
      </c>
      <c r="E2108" s="4">
        <f t="shared" si="32"/>
        <v>43465</v>
      </c>
      <c r="F2108" s="11">
        <f>[1]!EM_S_PQ_PCTCHANGE(B2108,"2018-01-01","2019-12-31","3")</f>
        <v>-46.997749399999996</v>
      </c>
      <c r="G2108" s="11">
        <f>[1]!EM_S_PQ_PCTCHANGE(B2108,"2018-12-31","2019-12-30","1")</f>
        <v>2.9761904800000001</v>
      </c>
      <c r="H2108" s="11">
        <f>[1]!EM_S_FA_YOY_OR(B2108,E2108)</f>
        <v>6.5100176044999998</v>
      </c>
      <c r="I2108" s="11">
        <f>[1]!EM_S_FA_GROSSPROFITMARGIN(B2108,E2108)</f>
        <v>18.483104331</v>
      </c>
      <c r="J2108" s="11">
        <f>[1]!EM_S_FA_NETPROFITMARGIN(B2108,E2108)</f>
        <v>5.5676206230999998</v>
      </c>
      <c r="K2108" s="10">
        <f>[1]!EM_S_FA_ASSETSTURN(B2108,E2108)</f>
        <v>0.58069885292199996</v>
      </c>
      <c r="L2108" s="12">
        <f>[1]!EM_HKS_VAL_MV(B2108,"2019-12-31","2")</f>
        <v>6495075349.0500002</v>
      </c>
      <c r="M2108">
        <f>[1]!EM_S_VAL_PETTMDEDUCTED(B2108,E2108)</f>
        <v>37.946256189947903</v>
      </c>
      <c r="N2108" s="7">
        <f>[1]!EM_S_VAL_PBGOODWILLDEDUCTED(B2108,E2108)</f>
        <v>1.3399930267829601</v>
      </c>
      <c r="O2108" s="7">
        <f>[1]!EM_S_VAL_PS_TTM(B2108,E2108)</f>
        <v>1.01736384043922</v>
      </c>
      <c r="P2108" s="7">
        <f>[1]!EM_S_VAL_PCF_NCFTTM(B2108,E2108)</f>
        <v>25.0898223940099</v>
      </c>
      <c r="Q2108" s="7">
        <f>[1]!EM_S_VAL_DIVIDENDYIELD2(B2108,E2108,"2019-11-29")</f>
        <v>0</v>
      </c>
      <c r="T2108"/>
      <c r="U2108">
        <f>[1]!EM_S_RATIO_EPS_TTM(B2108,E2108,"1")</f>
        <v>0.31190658211666383</v>
      </c>
      <c r="AT2108" s="4" t="str">
        <f>[1]!EM_S_IPO_LISTEDDATE(B2108)</f>
        <v>1998-09-02</v>
      </c>
    </row>
    <row r="2109" spans="1:46">
      <c r="A2109">
        <v>23</v>
      </c>
      <c r="B2109" t="str">
        <f>"000023"</f>
        <v>000023</v>
      </c>
      <c r="C2109" t="s">
        <v>3415</v>
      </c>
      <c r="D2109" t="str">
        <f>[1]!EM_S_INFO_INDEX_EM(B2109,"1")</f>
        <v>建材</v>
      </c>
      <c r="E2109" s="4">
        <f t="shared" si="32"/>
        <v>43465</v>
      </c>
      <c r="F2109" s="11">
        <f>[1]!EM_S_PQ_PCTCHANGE(B2109,"2018-01-01","2019-12-31","3")</f>
        <v>-36.017699370000003</v>
      </c>
      <c r="G2109" s="11">
        <f>[1]!EM_S_PQ_PCTCHANGE(B2109,"2019-01-01","2019-12-31","3")</f>
        <v>2.95858015</v>
      </c>
      <c r="H2109" s="11">
        <f>[1]!EM_S_FA_YOY_OR(B2109,E2109)</f>
        <v>31.088790141800001</v>
      </c>
      <c r="I2109" s="11">
        <f>[1]!EM_S_FA_GROSSPROFITMARGIN(B2109,E2109)</f>
        <v>13.0047475571</v>
      </c>
      <c r="J2109" s="11">
        <f>[1]!EM_S_FA_NETPROFITMARGIN(B2109,E2109)</f>
        <v>2.1805869169999998</v>
      </c>
      <c r="K2109" s="10">
        <f>[1]!EM_S_FA_ASSETSTURN(B2109,E2109)</f>
        <v>0.75434651946300002</v>
      </c>
      <c r="L2109" s="12">
        <f>[1]!EM_HKS_VAL_MV(B2109,"2019-12-31","2")</f>
        <v>1806606244.8</v>
      </c>
      <c r="M2109">
        <f>[1]!EM_S_VAL_PETTMDEDUCTED(B2109,E2109)</f>
        <v>308.53671312647703</v>
      </c>
      <c r="N2109" s="7">
        <f>[1]!EM_S_VAL_PBGOODWILLDEDUCTED(B2109,E2109)</f>
        <v>4.0861114223630004</v>
      </c>
      <c r="O2109" s="7">
        <f>[1]!EM_S_VAL_PS_TTM(B2109,E2109)</f>
        <v>1.2947786225262601</v>
      </c>
      <c r="P2109" s="7">
        <f>[1]!EM_S_VAL_PCF_NCFTTM(B2109,E2109)</f>
        <v>67.027458564031093</v>
      </c>
      <c r="Q2109" s="7">
        <f>[1]!EM_S_VAL_DIVIDENDYIELD2(B2109,E2109,"2019-11-29")</f>
        <v>0.49180327868852453</v>
      </c>
      <c r="T2109"/>
      <c r="U2109">
        <f>[1]!EM_S_RATIO_EPS_TTM(B2109,E2109,"1")</f>
        <v>0.18968865335353566</v>
      </c>
      <c r="AT2109" s="4" t="str">
        <f>[1]!EM_S_IPO_LISTEDDATE(B2109)</f>
        <v>1993-04-29</v>
      </c>
    </row>
    <row r="2110" spans="1:46">
      <c r="A2110">
        <v>2906</v>
      </c>
      <c r="B2110" t="str">
        <f>"600833"</f>
        <v>600833</v>
      </c>
      <c r="C2110" t="s">
        <v>1638</v>
      </c>
      <c r="D2110" t="str">
        <f>[1]!EM_S_INFO_INDEX_EM(B2110,"1")</f>
        <v>医药生物</v>
      </c>
      <c r="E2110" s="4">
        <f t="shared" si="32"/>
        <v>43465</v>
      </c>
      <c r="F2110" s="11">
        <f>[1]!EM_S_PQ_PCTCHANGE(B2110,"2018-01-01","2019-12-31","3")</f>
        <v>-31.467909599999999</v>
      </c>
      <c r="G2110" s="11">
        <f>[1]!EM_S_PQ_PCTCHANGE(B2110,"2018-12-31","2019-12-30","1")</f>
        <v>2.9572836800000002</v>
      </c>
      <c r="H2110" s="11">
        <f>[1]!EM_S_FA_YOY_OR(B2110,E2110)</f>
        <v>-24.3859119438</v>
      </c>
      <c r="I2110" s="11">
        <f>[1]!EM_S_FA_GROSSPROFITMARGIN(B2110,E2110)</f>
        <v>19.3703594393</v>
      </c>
      <c r="J2110" s="11">
        <f>[1]!EM_S_FA_NETPROFITMARGIN(B2110,E2110)</f>
        <v>4.0101729828000003</v>
      </c>
      <c r="K2110" s="10">
        <f>[1]!EM_S_FA_ASSETSTURN(B2110,E2110)</f>
        <v>1.062243766858</v>
      </c>
      <c r="L2110" s="12">
        <f>[1]!EM_HKS_VAL_MV(B2110,"2019-12-31","2")</f>
        <v>2099242525.27</v>
      </c>
      <c r="M2110">
        <f>[1]!EM_S_VAL_PETTMDEDUCTED(B2110,E2110)</f>
        <v>63.172835162281999</v>
      </c>
      <c r="N2110" s="7">
        <f>[1]!EM_S_VAL_PBGOODWILLDEDUCTED(B2110,E2110)</f>
        <v>3.07410060913706</v>
      </c>
      <c r="O2110" s="7">
        <f>[1]!EM_S_VAL_PS_TTM(B2110,E2110)</f>
        <v>1.64529161932273</v>
      </c>
      <c r="P2110" s="7">
        <f>[1]!EM_S_VAL_PCF_NCFTTM(B2110,E2110)</f>
        <v>19.0377006842876</v>
      </c>
      <c r="Q2110" s="7">
        <f>[1]!EM_S_VAL_DIVIDENDYIELD2(B2110,E2110,"2019-11-29")</f>
        <v>0.74200913242009126</v>
      </c>
      <c r="T2110"/>
      <c r="U2110">
        <f>[1]!EM_S_RATIO_EPS_TTM(B2110,E2110,"1")</f>
        <v>0.21151600321825165</v>
      </c>
      <c r="AT2110" s="4" t="str">
        <f>[1]!EM_S_IPO_LISTEDDATE(B2110)</f>
        <v>1994-02-24</v>
      </c>
    </row>
    <row r="2111" spans="1:46">
      <c r="A2111">
        <v>2526</v>
      </c>
      <c r="B2111" t="str">
        <f>"600418"</f>
        <v>600418</v>
      </c>
      <c r="C2111" t="s">
        <v>1766</v>
      </c>
      <c r="D2111" t="str">
        <f>[1]!EM_S_INFO_INDEX_EM(B2111,"1")</f>
        <v>交运设备</v>
      </c>
      <c r="E2111" s="4">
        <f t="shared" si="32"/>
        <v>43465</v>
      </c>
      <c r="F2111" s="11">
        <f>[1]!EM_S_PQ_PCTCHANGE(B2111,"2018-01-01","2019-12-31","3")</f>
        <v>-46.34948627</v>
      </c>
      <c r="G2111" s="11">
        <f>[1]!EM_S_PQ_PCTCHANGE(B2111,"2018-12-31","2019-12-30","1")</f>
        <v>2.9106029100000002</v>
      </c>
      <c r="H2111" s="11">
        <f>[1]!EM_S_FA_YOY_OR(B2111,E2111)</f>
        <v>1.9239677575</v>
      </c>
      <c r="I2111" s="11">
        <f>[1]!EM_S_FA_GROSSPROFITMARGIN(B2111,E2111)</f>
        <v>8.6531904239999999</v>
      </c>
      <c r="J2111" s="11">
        <f>[1]!EM_S_FA_NETPROFITMARGIN(B2111,E2111)</f>
        <v>-2.8360357950999999</v>
      </c>
      <c r="K2111" s="10">
        <f>[1]!EM_S_FA_ASSETSTURN(B2111,E2111)</f>
        <v>1.0904273744770001</v>
      </c>
      <c r="L2111" s="12">
        <f>[1]!EM_HKS_VAL_MV(B2111,"2019-12-31","2")</f>
        <v>9504426827.3400002</v>
      </c>
      <c r="M2111">
        <f>[1]!EM_S_VAL_PETTMDEDUCTED(B2111,E2111)</f>
        <v>-10.4578736728843</v>
      </c>
      <c r="N2111" s="7">
        <f>[1]!EM_S_VAL_PBGOODWILLDEDUCTED(B2111,E2111)</f>
        <v>0.70835047270117701</v>
      </c>
      <c r="O2111" s="7">
        <f>[1]!EM_S_VAL_PS_TTM(B2111,E2111)</f>
        <v>0.18211461296619599</v>
      </c>
      <c r="P2111" s="7">
        <f>[1]!EM_S_VAL_PCF_NCFTTM(B2111,E2111)</f>
        <v>-2.5205086215869499</v>
      </c>
      <c r="Q2111" s="7">
        <f>[1]!EM_S_VAL_DIVIDENDYIELD2(B2111,E2111,"2019-11-29")</f>
        <v>0</v>
      </c>
      <c r="T2111"/>
      <c r="U2111">
        <f>[1]!EM_S_RATIO_EPS_TTM(B2111,E2111,"1")</f>
        <v>-0.41522145083805007</v>
      </c>
      <c r="AT2111" s="4" t="str">
        <f>[1]!EM_S_IPO_LISTEDDATE(B2111)</f>
        <v>2001-08-24</v>
      </c>
    </row>
    <row r="2112" spans="1:46">
      <c r="A2112">
        <v>1270</v>
      </c>
      <c r="B2112" t="str">
        <f>"002762"</f>
        <v>002762</v>
      </c>
      <c r="C2112" t="s">
        <v>1395</v>
      </c>
      <c r="D2112" t="str">
        <f>[1]!EM_S_INFO_INDEX_EM(B2112,"1")</f>
        <v>纺织服装</v>
      </c>
      <c r="E2112" s="4">
        <f t="shared" si="32"/>
        <v>43465</v>
      </c>
      <c r="F2112" s="11">
        <f>[1]!EM_S_PQ_PCTCHANGE(B2112,"2018-01-01","2019-12-31","3")</f>
        <v>-38.405638060000001</v>
      </c>
      <c r="G2112" s="11">
        <f>[1]!EM_S_PQ_PCTCHANGE(B2112,"2018-12-31","2019-12-30","1")</f>
        <v>2.8957529000000002</v>
      </c>
      <c r="H2112" s="11">
        <f>[1]!EM_S_FA_YOY_OR(B2112,E2112)</f>
        <v>5.4922681650999996</v>
      </c>
      <c r="I2112" s="11">
        <f>[1]!EM_S_FA_GROSSPROFITMARGIN(B2112,E2112)</f>
        <v>51.463264165600002</v>
      </c>
      <c r="J2112" s="11">
        <f>[1]!EM_S_FA_NETPROFITMARGIN(B2112,E2112)</f>
        <v>8.6776199863999999</v>
      </c>
      <c r="K2112" s="10">
        <f>[1]!EM_S_FA_ASSETSTURN(B2112,E2112)</f>
        <v>0.41952833931700001</v>
      </c>
      <c r="L2112" s="12">
        <f>[1]!EM_HKS_VAL_MV(B2112,"2019-12-31","2")</f>
        <v>1982540000</v>
      </c>
      <c r="M2112">
        <f>[1]!EM_S_VAL_PETTMDEDUCTED(B2112,E2112)</f>
        <v>21.5616152955822</v>
      </c>
      <c r="N2112" s="7">
        <f>[1]!EM_S_VAL_PBGOODWILLDEDUCTED(B2112,E2112)</f>
        <v>1.88470796485474</v>
      </c>
      <c r="O2112" s="7">
        <f>[1]!EM_S_VAL_PS_TTM(B2112,E2112)</f>
        <v>3.99187246986792</v>
      </c>
      <c r="P2112" s="7">
        <f>[1]!EM_S_VAL_PCF_NCFTTM(B2112,E2112)</f>
        <v>-29.537882545509301</v>
      </c>
      <c r="Q2112" s="7">
        <f>[1]!EM_S_VAL_DIVIDENDYIELD2(B2112,E2112,"2019-11-29")</f>
        <v>1.8059447824126136</v>
      </c>
      <c r="T2112"/>
      <c r="U2112">
        <f>[1]!EM_S_RATIO_EPS_TTM(B2112,E2112,"1")</f>
        <v>0.11079957169496515</v>
      </c>
      <c r="AT2112" s="4" t="str">
        <f>[1]!EM_S_IPO_LISTEDDATE(B2112)</f>
        <v>2015-06-10</v>
      </c>
    </row>
    <row r="2113" spans="1:46">
      <c r="A2113">
        <v>298</v>
      </c>
      <c r="B2113" t="str">
        <f>"000717"</f>
        <v>000717</v>
      </c>
      <c r="C2113" t="s">
        <v>47</v>
      </c>
      <c r="D2113" t="str">
        <f>[1]!EM_S_INFO_INDEX_EM(B2113,"1")</f>
        <v>钢铁</v>
      </c>
      <c r="E2113" s="4">
        <f t="shared" si="32"/>
        <v>43465</v>
      </c>
      <c r="F2113" s="11">
        <f>[1]!EM_S_PQ_PCTCHANGE(B2113,"2018-01-01","2019-12-31","3")</f>
        <v>-46.50112867</v>
      </c>
      <c r="G2113" s="11">
        <f>[1]!EM_S_PQ_PCTCHANGE(B2113,"2018-12-31","2019-12-30","1")</f>
        <v>2.8571428600000002</v>
      </c>
      <c r="H2113" s="11">
        <f>[1]!EM_S_FA_YOY_OR(B2113,E2113)</f>
        <v>7.9544699682999997</v>
      </c>
      <c r="I2113" s="11">
        <f>[1]!EM_S_FA_GROSSPROFITMARGIN(B2113,E2113)</f>
        <v>17.6800493983</v>
      </c>
      <c r="J2113" s="11">
        <f>[1]!EM_S_FA_NETPROFITMARGIN(B2113,E2113)</f>
        <v>12.195271180800001</v>
      </c>
      <c r="K2113" s="10">
        <f>[1]!EM_S_FA_ASSETSTURN(B2113,E2113)</f>
        <v>1.758143581468</v>
      </c>
      <c r="L2113" s="12">
        <f>[1]!EM_HKS_VAL_MV(B2113,"2019-12-31","2")</f>
        <v>11468545703.4</v>
      </c>
      <c r="M2113">
        <f>[1]!EM_S_VAL_PETTMDEDUCTED(B2113,E2113)</f>
        <v>3.0784648120411</v>
      </c>
      <c r="N2113" s="7">
        <f>[1]!EM_S_VAL_PBGOODWILLDEDUCTED(B2113,E2113)</f>
        <v>1.7820787791847099</v>
      </c>
      <c r="O2113" s="7">
        <f>[1]!EM_S_VAL_PS_TTM(B2113,E2113)</f>
        <v>0.399925616485518</v>
      </c>
      <c r="P2113" s="7">
        <f>[1]!EM_S_VAL_PCF_NCFTTM(B2113,E2113)</f>
        <v>-60.678664424206197</v>
      </c>
      <c r="Q2113" s="7">
        <f>[1]!EM_S_VAL_DIVIDENDYIELD2(B2113,E2113,"2019-11-29")</f>
        <v>0</v>
      </c>
      <c r="T2113"/>
      <c r="U2113">
        <f>[1]!EM_S_RATIO_EPS_TTM(B2113,E2113,"1")</f>
        <v>1.3665664776864144</v>
      </c>
      <c r="AT2113" s="4" t="str">
        <f>[1]!EM_S_IPO_LISTEDDATE(B2113)</f>
        <v>1997-05-08</v>
      </c>
    </row>
    <row r="2114" spans="1:46">
      <c r="A2114">
        <v>2575</v>
      </c>
      <c r="B2114" t="str">
        <f>"600490"</f>
        <v>600490</v>
      </c>
      <c r="C2114" t="s">
        <v>1741</v>
      </c>
      <c r="D2114" t="str">
        <f>[1]!EM_S_INFO_INDEX_EM(B2114,"1")</f>
        <v>有色金属</v>
      </c>
      <c r="E2114" s="4">
        <f t="shared" si="32"/>
        <v>43465</v>
      </c>
      <c r="F2114" s="11">
        <f>[1]!EM_S_PQ_PCTCHANGE(B2114,"2018-01-01","2019-12-31","3")</f>
        <v>-45.165094340000003</v>
      </c>
      <c r="G2114" s="11">
        <f>[1]!EM_S_PQ_PCTCHANGE(B2114,"2018-12-31","2019-12-30","1")</f>
        <v>2.8571428600000002</v>
      </c>
      <c r="H2114" s="11">
        <f>[1]!EM_S_FA_YOY_OR(B2114,E2114)</f>
        <v>133.43912646449999</v>
      </c>
      <c r="I2114" s="11">
        <f>[1]!EM_S_FA_GROSSPROFITMARGIN(B2114,E2114)</f>
        <v>3.5421189031</v>
      </c>
      <c r="J2114" s="11">
        <f>[1]!EM_S_FA_NETPROFITMARGIN(B2114,E2114)</f>
        <v>1.4312754030999999</v>
      </c>
      <c r="K2114" s="10">
        <f>[1]!EM_S_FA_ASSETSTURN(B2114,E2114)</f>
        <v>1.759962180551</v>
      </c>
      <c r="L2114" s="12">
        <f>[1]!EM_HKS_VAL_MV(B2114,"2019-12-31","2")</f>
        <v>10303316917.35</v>
      </c>
      <c r="M2114">
        <f>[1]!EM_S_VAL_PETTMDEDUCTED(B2114,E2114)</f>
        <v>30.9833138702379</v>
      </c>
      <c r="N2114" s="7">
        <f>[1]!EM_S_VAL_PBGOODWILLDEDUCTED(B2114,E2114)</f>
        <v>1.76105093042554</v>
      </c>
      <c r="O2114" s="7">
        <f>[1]!EM_S_VAL_PS_TTM(B2114,E2114)</f>
        <v>0.75524431259023395</v>
      </c>
      <c r="P2114" s="7">
        <f>[1]!EM_S_VAL_PCF_NCFTTM(B2114,E2114)</f>
        <v>24.405307314770901</v>
      </c>
      <c r="Q2114" s="7">
        <f>[1]!EM_S_VAL_DIVIDENDYIELD2(B2114,E2114,"2019-11-29")</f>
        <v>0</v>
      </c>
      <c r="T2114"/>
      <c r="U2114">
        <f>[1]!EM_S_RATIO_EPS_TTM(B2114,E2114,"1")</f>
        <v>9.3975435867048096E-2</v>
      </c>
      <c r="AT2114" s="4" t="str">
        <f>[1]!EM_S_IPO_LISTEDDATE(B2114)</f>
        <v>2003-06-26</v>
      </c>
    </row>
    <row r="2115" spans="1:46">
      <c r="A2115">
        <v>2633</v>
      </c>
      <c r="B2115" t="str">
        <f>"600558"</f>
        <v>600558</v>
      </c>
      <c r="C2115" t="s">
        <v>2714</v>
      </c>
      <c r="D2115" t="str">
        <f>[1]!EM_S_INFO_INDEX_EM(B2115,"1")</f>
        <v>机械设备</v>
      </c>
      <c r="E2115" s="4">
        <f t="shared" ref="E2115:E2178" si="33">$B$1</f>
        <v>43465</v>
      </c>
      <c r="F2115" s="11">
        <f>[1]!EM_S_PQ_PCTCHANGE(B2115,"2018-01-01","2019-12-31","3")</f>
        <v>-45.450802930000002</v>
      </c>
      <c r="G2115" s="11">
        <f>[1]!EM_S_PQ_PCTCHANGE(B2115,"2018-12-31","2019-12-30","1")</f>
        <v>2.8481012699999999</v>
      </c>
      <c r="H2115" s="11">
        <f>[1]!EM_S_FA_YOY_OR(B2115,E2115)</f>
        <v>21.978312271699998</v>
      </c>
      <c r="I2115" s="11">
        <f>[1]!EM_S_FA_GROSSPROFITMARGIN(B2115,E2115)</f>
        <v>14.519750182799999</v>
      </c>
      <c r="J2115" s="11">
        <f>[1]!EM_S_FA_NETPROFITMARGIN(B2115,E2115)</f>
        <v>2.8705300898999999</v>
      </c>
      <c r="K2115" s="10">
        <f>[1]!EM_S_FA_ASSETSTURN(B2115,E2115)</f>
        <v>0.89044367218800002</v>
      </c>
      <c r="L2115" s="12">
        <f>[1]!EM_HKS_VAL_MV(B2115,"2019-12-31","2")</f>
        <v>2926191749.0599999</v>
      </c>
      <c r="M2115">
        <f>[1]!EM_S_VAL_PETTMDEDUCTED(B2115,E2115)</f>
        <v>42.564550037816197</v>
      </c>
      <c r="N2115" s="7">
        <f>[1]!EM_S_VAL_PBGOODWILLDEDUCTED(B2115,E2115)</f>
        <v>1.4744598435245799</v>
      </c>
      <c r="O2115" s="7">
        <f>[1]!EM_S_VAL_PS_TTM(B2115,E2115)</f>
        <v>1.1328796516389601</v>
      </c>
      <c r="P2115" s="7">
        <f>[1]!EM_S_VAL_PCF_NCFTTM(B2115,E2115)</f>
        <v>48.798149836238203</v>
      </c>
      <c r="Q2115" s="7">
        <f>[1]!EM_S_VAL_DIVIDENDYIELD2(B2115,E2115,"2019-11-29")</f>
        <v>0.81433224755700329</v>
      </c>
      <c r="T2115"/>
      <c r="U2115">
        <f>[1]!EM_S_RATIO_EPS_TTM(B2115,E2115,"1")</f>
        <v>6.9200211501535464E-2</v>
      </c>
      <c r="AT2115" s="4" t="str">
        <f>[1]!EM_S_IPO_LISTEDDATE(B2115)</f>
        <v>2001-02-27</v>
      </c>
    </row>
    <row r="2116" spans="1:46">
      <c r="A2116">
        <v>3599</v>
      </c>
      <c r="B2116" t="str">
        <f>"603912"</f>
        <v>603912</v>
      </c>
      <c r="C2116" t="s">
        <v>547</v>
      </c>
      <c r="D2116" t="str">
        <f>[1]!EM_S_INFO_INDEX_EM(B2116,"1")</f>
        <v>机械设备</v>
      </c>
      <c r="E2116" s="4">
        <f t="shared" si="33"/>
        <v>43465</v>
      </c>
      <c r="F2116" s="11">
        <f>[1]!EM_S_PQ_PCTCHANGE(B2116,"2018-01-01","2019-12-31","3")</f>
        <v>-30.039588500000001</v>
      </c>
      <c r="G2116" s="11">
        <f>[1]!EM_S_PQ_PCTCHANGE(B2116,"2018-12-31","2019-12-30","1")</f>
        <v>2.8443113800000002</v>
      </c>
      <c r="H2116" s="11">
        <f>[1]!EM_S_FA_YOY_OR(B2116,E2116)</f>
        <v>16.202332692100001</v>
      </c>
      <c r="I2116" s="11">
        <f>[1]!EM_S_FA_GROSSPROFITMARGIN(B2116,E2116)</f>
        <v>41.668901676399997</v>
      </c>
      <c r="J2116" s="11">
        <f>[1]!EM_S_FA_NETPROFITMARGIN(B2116,E2116)</f>
        <v>19.9489164624</v>
      </c>
      <c r="K2116" s="10">
        <f>[1]!EM_S_FA_ASSETSTURN(B2116,E2116)</f>
        <v>0.53601243344000005</v>
      </c>
      <c r="L2116" s="12">
        <f>[1]!EM_HKS_VAL_MV(B2116,"2019-12-31","2")</f>
        <v>2983081750</v>
      </c>
      <c r="M2116">
        <f>[1]!EM_S_VAL_PETTMDEDUCTED(B2116,E2116)</f>
        <v>30.307843112068799</v>
      </c>
      <c r="N2116" s="7">
        <f>[1]!EM_S_VAL_PBGOODWILLDEDUCTED(B2116,E2116)</f>
        <v>4.0116179556613298</v>
      </c>
      <c r="O2116" s="7">
        <f>[1]!EM_S_VAL_PS_TTM(B2116,E2116)</f>
        <v>5.35595528585743</v>
      </c>
      <c r="P2116" s="7">
        <f>[1]!EM_S_VAL_PCF_NCFTTM(B2116,E2116)</f>
        <v>-110.512366317339</v>
      </c>
      <c r="Q2116" s="7">
        <f>[1]!EM_S_VAL_DIVIDENDYIELD2(B2116,E2116,"2019-11-29")</f>
        <v>1.8858179511427469</v>
      </c>
      <c r="T2116"/>
      <c r="U2116">
        <f>[1]!EM_S_RATIO_EPS_TTM(B2116,E2116,"1")</f>
        <v>0.50630679238297749</v>
      </c>
      <c r="AT2116" s="4" t="str">
        <f>[1]!EM_S_IPO_LISTEDDATE(B2116)</f>
        <v>2017-11-01</v>
      </c>
    </row>
    <row r="2117" spans="1:46">
      <c r="A2117">
        <v>2325</v>
      </c>
      <c r="B2117" t="str">
        <f>"600187"</f>
        <v>600187</v>
      </c>
      <c r="C2117" t="s">
        <v>3206</v>
      </c>
      <c r="D2117" t="str">
        <f>[1]!EM_S_INFO_INDEX_EM(B2117,"1")</f>
        <v>公用事业</v>
      </c>
      <c r="E2117" s="4">
        <f t="shared" si="33"/>
        <v>43465</v>
      </c>
      <c r="F2117" s="11">
        <f>[1]!EM_S_PQ_PCTCHANGE(B2117,"2018-01-01","2019-12-31","3")</f>
        <v>-45.299145299999999</v>
      </c>
      <c r="G2117" s="11">
        <f>[1]!EM_S_PQ_PCTCHANGE(B2117,"2018-12-31","2019-12-30","1")</f>
        <v>2.8340081000000001</v>
      </c>
      <c r="H2117" s="11">
        <f>[1]!EM_S_FA_YOY_OR(B2117,E2117)</f>
        <v>6.4111368208000004</v>
      </c>
      <c r="I2117" s="11">
        <f>[1]!EM_S_FA_GROSSPROFITMARGIN(B2117,E2117)</f>
        <v>31.5572640595</v>
      </c>
      <c r="J2117" s="11">
        <f>[1]!EM_S_FA_NETPROFITMARGIN(B2117,E2117)</f>
        <v>1.9053298277999999</v>
      </c>
      <c r="K2117" s="10">
        <f>[1]!EM_S_FA_ASSETSTURN(B2117,E2117)</f>
        <v>9.6781115683999996E-2</v>
      </c>
      <c r="L2117" s="12">
        <f>[1]!EM_HKS_VAL_MV(B2117,"2019-12-31","2")</f>
        <v>4234073927.6799998</v>
      </c>
      <c r="M2117">
        <f>[1]!EM_S_VAL_PETTMDEDUCTED(B2117,E2117)</f>
        <v>-185.441053654228</v>
      </c>
      <c r="N2117" s="7">
        <f>[1]!EM_S_VAL_PBGOODWILLDEDUCTED(B2117,E2117)</f>
        <v>1.2037224321325699</v>
      </c>
      <c r="O2117" s="7">
        <f>[1]!EM_S_VAL_PS_TTM(B2117,E2117)</f>
        <v>9.6016732018329805</v>
      </c>
      <c r="P2117" s="7">
        <f>[1]!EM_S_VAL_PCF_NCFTTM(B2117,E2117)</f>
        <v>11.304612053178699</v>
      </c>
      <c r="Q2117" s="7">
        <f>[1]!EM_S_VAL_DIVIDENDYIELD2(B2117,E2117,"2019-11-29")</f>
        <v>0</v>
      </c>
      <c r="T2117"/>
      <c r="U2117">
        <f>[1]!EM_S_RATIO_EPS_TTM(B2117,E2117,"1")</f>
        <v>6.2871597464492571E-3</v>
      </c>
      <c r="AT2117" s="4" t="str">
        <f>[1]!EM_S_IPO_LISTEDDATE(B2117)</f>
        <v>1998-11-11</v>
      </c>
    </row>
    <row r="2118" spans="1:46">
      <c r="A2118">
        <v>2659</v>
      </c>
      <c r="B2118" t="str">
        <f>"600586"</f>
        <v>600586</v>
      </c>
      <c r="C2118" t="s">
        <v>1853</v>
      </c>
      <c r="D2118" t="str">
        <f>[1]!EM_S_INFO_INDEX_EM(B2118,"1")</f>
        <v>建材</v>
      </c>
      <c r="E2118" s="4">
        <f t="shared" si="33"/>
        <v>43465</v>
      </c>
      <c r="F2118" s="11">
        <f>[1]!EM_S_PQ_PCTCHANGE(B2118,"2018-01-01","2019-12-31","3")</f>
        <v>-34.236784159999999</v>
      </c>
      <c r="G2118" s="11">
        <f>[1]!EM_S_PQ_PCTCHANGE(B2118,"2018-12-31","2019-12-30","1")</f>
        <v>2.8268551199999998</v>
      </c>
      <c r="H2118" s="11">
        <f>[1]!EM_S_FA_YOY_OR(B2118,E2118)</f>
        <v>17.7033968864</v>
      </c>
      <c r="I2118" s="11">
        <f>[1]!EM_S_FA_GROSSPROFITMARGIN(B2118,E2118)</f>
        <v>21.675678487799999</v>
      </c>
      <c r="J2118" s="11">
        <f>[1]!EM_S_FA_NETPROFITMARGIN(B2118,E2118)</f>
        <v>1.6410785423000001</v>
      </c>
      <c r="K2118" s="10">
        <f>[1]!EM_S_FA_ASSETSTURN(B2118,E2118)</f>
        <v>0.53226086945499995</v>
      </c>
      <c r="L2118" s="12">
        <f>[1]!EM_HKS_VAL_MV(B2118,"2019-12-31","2")</f>
        <v>4114857600</v>
      </c>
      <c r="M2118">
        <f>[1]!EM_S_VAL_PETTMDEDUCTED(B2118,E2118)</f>
        <v>11.7307165752326</v>
      </c>
      <c r="N2118" s="7">
        <f>[1]!EM_S_VAL_PBGOODWILLDEDUCTED(B2118,E2118)</f>
        <v>0.98374980999267203</v>
      </c>
      <c r="O2118" s="7">
        <f>[1]!EM_S_VAL_PS_TTM(B2118,E2118)</f>
        <v>0.81149575115929495</v>
      </c>
      <c r="P2118" s="7">
        <f>[1]!EM_S_VAL_PCF_NCFTTM(B2118,E2118)</f>
        <v>52.757797715668097</v>
      </c>
      <c r="Q2118" s="7">
        <f>[1]!EM_S_VAL_DIVIDENDYIELD2(B2118,E2118,"2019-11-29")</f>
        <v>2.1897810218978102</v>
      </c>
      <c r="T2118"/>
      <c r="U2118">
        <f>[1]!EM_S_RATIO_EPS_TTM(B2118,E2118,"1")</f>
        <v>5.3757202153106691E-2</v>
      </c>
      <c r="AT2118" s="4" t="str">
        <f>[1]!EM_S_IPO_LISTEDDATE(B2118)</f>
        <v>2002-08-15</v>
      </c>
    </row>
    <row r="2119" spans="1:46">
      <c r="A2119">
        <v>3471</v>
      </c>
      <c r="B2119" t="str">
        <f>"603637"</f>
        <v>603637</v>
      </c>
      <c r="C2119" t="s">
        <v>2515</v>
      </c>
      <c r="D2119" t="str">
        <f>[1]!EM_S_INFO_INDEX_EM(B2119,"1")</f>
        <v>建筑</v>
      </c>
      <c r="E2119" s="4">
        <f t="shared" si="33"/>
        <v>43465</v>
      </c>
      <c r="F2119" s="11">
        <f>[1]!EM_S_PQ_PCTCHANGE(B2119,"2018-01-01","2019-12-31","3")</f>
        <v>-14.99341562</v>
      </c>
      <c r="G2119" s="11">
        <f>[1]!EM_S_PQ_PCTCHANGE(B2119,"2018-12-31","2019-12-30","1")</f>
        <v>2.7740189399999999</v>
      </c>
      <c r="H2119" s="11">
        <f>[1]!EM_S_FA_YOY_OR(B2119,E2119)</f>
        <v>116.812200479</v>
      </c>
      <c r="I2119" s="11">
        <f>[1]!EM_S_FA_GROSSPROFITMARGIN(B2119,E2119)</f>
        <v>14.8764721928</v>
      </c>
      <c r="J2119" s="11">
        <f>[1]!EM_S_FA_NETPROFITMARGIN(B2119,E2119)</f>
        <v>8.4672285047999996</v>
      </c>
      <c r="K2119" s="10">
        <f>[1]!EM_S_FA_ASSETSTURN(B2119,E2119)</f>
        <v>0.65324791997300002</v>
      </c>
      <c r="L2119" s="12">
        <f>[1]!EM_HKS_VAL_MV(B2119,"2019-12-31","2")</f>
        <v>2692018895.46</v>
      </c>
      <c r="M2119">
        <f>[1]!EM_S_VAL_PETTMDEDUCTED(B2119,E2119)</f>
        <v>75.943673723769194</v>
      </c>
      <c r="N2119" s="7">
        <f>[1]!EM_S_VAL_PBGOODWILLDEDUCTED(B2119,E2119)</f>
        <v>3.4068798703140701</v>
      </c>
      <c r="O2119" s="7">
        <f>[1]!EM_S_VAL_PS_TTM(B2119,E2119)</f>
        <v>4.8926315636288997</v>
      </c>
      <c r="P2119" s="7">
        <f>[1]!EM_S_VAL_PCF_NCFTTM(B2119,E2119)</f>
        <v>-21.920045728160201</v>
      </c>
      <c r="Q2119" s="7">
        <f>[1]!EM_S_VAL_DIVIDENDYIELD2(B2119,E2119,"2019-11-29")</f>
        <v>1.689189189189189</v>
      </c>
      <c r="T2119"/>
      <c r="U2119">
        <f>[1]!EM_S_RATIO_EPS_TTM(B2119,E2119,"1")</f>
        <v>0.30842590489944693</v>
      </c>
      <c r="AT2119" s="4" t="str">
        <f>[1]!EM_S_IPO_LISTEDDATE(B2119)</f>
        <v>2017-02-08</v>
      </c>
    </row>
    <row r="2120" spans="1:46">
      <c r="A2120">
        <v>3191</v>
      </c>
      <c r="B2120" t="str">
        <f>"601988"</f>
        <v>601988</v>
      </c>
      <c r="C2120" t="s">
        <v>622</v>
      </c>
      <c r="D2120" t="str">
        <f>[1]!EM_S_INFO_INDEX_EM(B2120,"1")</f>
        <v>金融</v>
      </c>
      <c r="E2120" s="4">
        <f t="shared" si="33"/>
        <v>43465</v>
      </c>
      <c r="F2120" s="11">
        <f>[1]!EM_S_PQ_PCTCHANGE(B2120,"2018-01-01","2019-12-31","3")</f>
        <v>2.3287966600000001</v>
      </c>
      <c r="G2120" s="11">
        <f>[1]!EM_S_PQ_PCTCHANGE(B2120,"2018-12-31","2019-12-30","1")</f>
        <v>2.7700830999999999</v>
      </c>
      <c r="H2120" s="11">
        <f>[1]!EM_S_FA_YOY_OR(B2120,E2120)</f>
        <v>4.3099416898999996</v>
      </c>
      <c r="I2120" s="11">
        <f>[1]!EM_S_FA_GROSSPROFITMARGIN(B2120,E2120)</f>
        <v>0</v>
      </c>
      <c r="J2120" s="11">
        <f>[1]!EM_S_FA_NETPROFITMARGIN(B2120,E2120)</f>
        <v>38.173443336399998</v>
      </c>
      <c r="K2120" s="10">
        <f>[1]!EM_S_FA_ASSETSTURN(B2120,E2120)</f>
        <v>0</v>
      </c>
      <c r="L2120" s="12">
        <f>[1]!EM_HKS_VAL_MV(B2120,"2019-12-31","2")</f>
        <v>1086290949679.29</v>
      </c>
      <c r="M2120">
        <f>[1]!EM_S_VAL_PETTMDEDUCTED(B2120,E2120)</f>
        <v>5.9410774059705398</v>
      </c>
      <c r="N2120" s="7">
        <f>[1]!EM_S_VAL_PBGOODWILLDEDUCTED(B2120,E2120)</f>
        <v>0.70350030806688701</v>
      </c>
      <c r="O2120" s="7">
        <f>[1]!EM_S_VAL_PS_TTM(B2120,E2120)</f>
        <v>2.1454453673485698</v>
      </c>
      <c r="P2120" s="7">
        <f>[1]!EM_S_VAL_PCF_NCFTTM(B2120,E2120)</f>
        <v>3.02769732249594</v>
      </c>
      <c r="Q2120" s="7">
        <f>[1]!EM_S_VAL_DIVIDENDYIELD2(B2120,E2120,"2019-11-29")</f>
        <v>5.0688705234159785</v>
      </c>
      <c r="T2120"/>
      <c r="U2120">
        <f>[1]!EM_S_RATIO_EPS_TTM(B2120,E2120,"1")</f>
        <v>0.61173053148991818</v>
      </c>
      <c r="AT2120" s="4" t="str">
        <f>[1]!EM_S_IPO_LISTEDDATE(B2120)</f>
        <v>2006-07-05</v>
      </c>
    </row>
    <row r="2121" spans="1:46">
      <c r="A2121">
        <v>1568</v>
      </c>
      <c r="B2121" t="str">
        <f>"300143"</f>
        <v>300143</v>
      </c>
      <c r="C2121" t="s">
        <v>1777</v>
      </c>
      <c r="D2121" t="str">
        <f>[1]!EM_S_INFO_INDEX_EM(B2121,"1")</f>
        <v>医药生物</v>
      </c>
      <c r="E2121" s="4">
        <f t="shared" si="33"/>
        <v>43465</v>
      </c>
      <c r="F2121" s="11">
        <f>[1]!EM_S_PQ_PCTCHANGE(B2121,"2018-01-01","2019-12-31","3")</f>
        <v>-30.226741740000001</v>
      </c>
      <c r="G2121" s="11">
        <f>[1]!EM_S_PQ_PCTCHANGE(B2121,"2018-12-31","2019-12-30","1")</f>
        <v>2.7502750300000001</v>
      </c>
      <c r="H2121" s="11">
        <f>[1]!EM_S_FA_YOY_OR(B2121,E2121)</f>
        <v>53.092072173200002</v>
      </c>
      <c r="I2121" s="11">
        <f>[1]!EM_S_FA_GROSSPROFITMARGIN(B2121,E2121)</f>
        <v>45.450003005200003</v>
      </c>
      <c r="J2121" s="11">
        <f>[1]!EM_S_FA_NETPROFITMARGIN(B2121,E2121)</f>
        <v>14.1005605633</v>
      </c>
      <c r="K2121" s="10">
        <f>[1]!EM_S_FA_ASSETSTURN(B2121,E2121)</f>
        <v>0.192614080923</v>
      </c>
      <c r="L2121" s="12">
        <f>[1]!EM_HKS_VAL_MV(B2121,"2019-12-31","2")</f>
        <v>5131030081.6000004</v>
      </c>
      <c r="M2121">
        <f>[1]!EM_S_VAL_PETTMDEDUCTED(B2121,E2121)</f>
        <v>80.905489196706995</v>
      </c>
      <c r="N2121" s="7">
        <f>[1]!EM_S_VAL_PBGOODWILLDEDUCTED(B2121,E2121)</f>
        <v>33.805975597908699</v>
      </c>
      <c r="O2121" s="7">
        <f>[1]!EM_S_VAL_PS_TTM(B2121,E2121)</f>
        <v>10.5521963212435</v>
      </c>
      <c r="P2121" s="7">
        <f>[1]!EM_S_VAL_PCF_NCFTTM(B2121,E2121)</f>
        <v>-217.30130475138901</v>
      </c>
      <c r="Q2121" s="7">
        <f>[1]!EM_S_VAL_DIVIDENDYIELD2(B2121,E2121,"2019-11-29")</f>
        <v>0</v>
      </c>
      <c r="T2121"/>
      <c r="U2121">
        <f>[1]!EM_S_RATIO_EPS_TTM(B2121,E2121,"1")</f>
        <v>9.175069729031482E-2</v>
      </c>
      <c r="AT2121" s="4" t="str">
        <f>[1]!EM_S_IPO_LISTEDDATE(B2121)</f>
        <v>2010-12-09</v>
      </c>
    </row>
    <row r="2122" spans="1:46">
      <c r="A2122">
        <v>1271</v>
      </c>
      <c r="B2122" t="str">
        <f>"002763"</f>
        <v>002763</v>
      </c>
      <c r="C2122" t="s">
        <v>211</v>
      </c>
      <c r="D2122" t="str">
        <f>[1]!EM_S_INFO_INDEX_EM(B2122,"1")</f>
        <v>纺织服装</v>
      </c>
      <c r="E2122" s="4">
        <f t="shared" si="33"/>
        <v>43465</v>
      </c>
      <c r="F2122" s="11">
        <f>[1]!EM_S_PQ_PCTCHANGE(B2122,"2018-01-01","2019-12-31","3")</f>
        <v>-34.80886271</v>
      </c>
      <c r="G2122" s="11">
        <f>[1]!EM_S_PQ_PCTCHANGE(B2122,"2018-12-31","2019-12-30","1")</f>
        <v>2.7465667900000001</v>
      </c>
      <c r="H2122" s="11">
        <f>[1]!EM_S_FA_YOY_OR(B2122,E2122)</f>
        <v>10.2249355343</v>
      </c>
      <c r="I2122" s="11">
        <f>[1]!EM_S_FA_GROSSPROFITMARGIN(B2122,E2122)</f>
        <v>67.707370421999997</v>
      </c>
      <c r="J2122" s="11">
        <f>[1]!EM_S_FA_NETPROFITMARGIN(B2122,E2122)</f>
        <v>8.3251413936999992</v>
      </c>
      <c r="K2122" s="10">
        <f>[1]!EM_S_FA_ASSETSTURN(B2122,E2122)</f>
        <v>1.0180737761980001</v>
      </c>
      <c r="L2122" s="12">
        <f>[1]!EM_HKS_VAL_MV(B2122,"2019-12-31","2")</f>
        <v>3421434750</v>
      </c>
      <c r="M2122">
        <f>[1]!EM_S_VAL_PETTMDEDUCTED(B2122,E2122)</f>
        <v>15.830033646140601</v>
      </c>
      <c r="N2122" s="7">
        <f>[1]!EM_S_VAL_PBGOODWILLDEDUCTED(B2122,E2122)</f>
        <v>1.73702536635858</v>
      </c>
      <c r="O2122" s="7">
        <f>[1]!EM_S_VAL_PS_TTM(B2122,E2122)</f>
        <v>1.36516374208388</v>
      </c>
      <c r="P2122" s="7">
        <f>[1]!EM_S_VAL_PCF_NCFTTM(B2122,E2122)</f>
        <v>-24.652024746527101</v>
      </c>
      <c r="Q2122" s="7">
        <f>[1]!EM_S_VAL_DIVIDENDYIELD2(B2122,E2122,"2019-11-29")</f>
        <v>5.5259276185916066</v>
      </c>
      <c r="T2122"/>
      <c r="U2122">
        <f>[1]!EM_S_RATIO_EPS_TTM(B2122,E2122,"1")</f>
        <v>0.42609766118827158</v>
      </c>
      <c r="AT2122" s="4" t="str">
        <f>[1]!EM_S_IPO_LISTEDDATE(B2122)</f>
        <v>2015-06-10</v>
      </c>
    </row>
    <row r="2123" spans="1:46">
      <c r="A2123">
        <v>2263</v>
      </c>
      <c r="B2123" t="str">
        <f>"600116"</f>
        <v>600116</v>
      </c>
      <c r="C2123" t="s">
        <v>2250</v>
      </c>
      <c r="D2123" t="str">
        <f>[1]!EM_S_INFO_INDEX_EM(B2123,"1")</f>
        <v>公用事业</v>
      </c>
      <c r="E2123" s="4">
        <f t="shared" si="33"/>
        <v>43465</v>
      </c>
      <c r="F2123" s="11">
        <f>[1]!EM_S_PQ_PCTCHANGE(B2123,"2018-01-01","2019-12-31","3")</f>
        <v>-12.206917880000001</v>
      </c>
      <c r="G2123" s="11">
        <f>[1]!EM_S_PQ_PCTCHANGE(B2123,"2018-12-31","2019-12-30","1")</f>
        <v>2.73224044</v>
      </c>
      <c r="H2123" s="11">
        <f>[1]!EM_S_FA_YOY_OR(B2123,E2123)</f>
        <v>6.6394581792</v>
      </c>
      <c r="I2123" s="11">
        <f>[1]!EM_S_FA_GROSSPROFITMARGIN(B2123,E2123)</f>
        <v>20.541767437299999</v>
      </c>
      <c r="J2123" s="11">
        <f>[1]!EM_S_FA_NETPROFITMARGIN(B2123,E2123)</f>
        <v>15.546314500199999</v>
      </c>
      <c r="K2123" s="10">
        <f>[1]!EM_S_FA_ASSETSTURN(B2123,E2123)</f>
        <v>0.25683446830399997</v>
      </c>
      <c r="L2123" s="12">
        <f>[1]!EM_HKS_VAL_MV(B2123,"2019-12-31","2")</f>
        <v>7536911760.1800003</v>
      </c>
      <c r="M2123">
        <f>[1]!EM_S_VAL_PETTMDEDUCTED(B2123,E2123)</f>
        <v>50.241626289398504</v>
      </c>
      <c r="N2123" s="7">
        <f>[1]!EM_S_VAL_PBGOODWILLDEDUCTED(B2123,E2123)</f>
        <v>2.5489353724622799</v>
      </c>
      <c r="O2123" s="7">
        <f>[1]!EM_S_VAL_PS_TTM(B2123,E2123)</f>
        <v>5.6761417495637003</v>
      </c>
      <c r="P2123" s="7">
        <f>[1]!EM_S_VAL_PCF_NCFTTM(B2123,E2123)</f>
        <v>-49.9633361944108</v>
      </c>
      <c r="Q2123" s="7">
        <f>[1]!EM_S_VAL_DIVIDENDYIELD2(B2123,E2123,"2019-11-29")</f>
        <v>1.3280212483399734</v>
      </c>
      <c r="T2123"/>
      <c r="U2123">
        <f>[1]!EM_S_RATIO_EPS_TTM(B2123,E2123,"1")</f>
        <v>0.21508292164528209</v>
      </c>
      <c r="AT2123" s="4" t="str">
        <f>[1]!EM_S_IPO_LISTEDDATE(B2123)</f>
        <v>1997-08-04</v>
      </c>
    </row>
    <row r="2124" spans="1:46">
      <c r="A2124">
        <v>710</v>
      </c>
      <c r="B2124" t="str">
        <f>"002199"</f>
        <v>002199</v>
      </c>
      <c r="C2124" t="s">
        <v>3456</v>
      </c>
      <c r="D2124" t="str">
        <f>[1]!EM_S_INFO_INDEX_EM(B2124,"1")</f>
        <v>电子设备</v>
      </c>
      <c r="E2124" s="4">
        <f t="shared" si="33"/>
        <v>43465</v>
      </c>
      <c r="F2124" s="11">
        <f>[1]!EM_S_PQ_PCTCHANGE(B2124,"2018-01-01","2019-12-31","3")</f>
        <v>-39.739413679999998</v>
      </c>
      <c r="G2124" s="11">
        <f>[1]!EM_S_PQ_PCTCHANGE(B2124,"2018-12-31","2019-12-30","1")</f>
        <v>2.7262813499999998</v>
      </c>
      <c r="H2124" s="11">
        <f>[1]!EM_S_FA_YOY_OR(B2124,E2124)</f>
        <v>-23.627926257799999</v>
      </c>
      <c r="I2124" s="11">
        <f>[1]!EM_S_FA_GROSSPROFITMARGIN(B2124,E2124)</f>
        <v>9.2278400516999994</v>
      </c>
      <c r="J2124" s="11">
        <f>[1]!EM_S_FA_NETPROFITMARGIN(B2124,E2124)</f>
        <v>-44.353006616400002</v>
      </c>
      <c r="K2124" s="10">
        <f>[1]!EM_S_FA_ASSETSTURN(B2124,E2124)</f>
        <v>0.334047230059</v>
      </c>
      <c r="L2124" s="12">
        <f>[1]!EM_HKS_VAL_MV(B2124,"2019-12-31","2")</f>
        <v>2251841857.75</v>
      </c>
      <c r="M2124">
        <f>[1]!EM_S_VAL_PETTMDEDUCTED(B2124,E2124)</f>
        <v>-113.42761117459899</v>
      </c>
      <c r="N2124" s="7">
        <f>[1]!EM_S_VAL_PBGOODWILLDEDUCTED(B2124,E2124)</f>
        <v>5.8476794247527399</v>
      </c>
      <c r="O2124" s="7">
        <f>[1]!EM_S_VAL_PS_TTM(B2124,E2124)</f>
        <v>11.147761132782501</v>
      </c>
      <c r="P2124" s="7">
        <f>[1]!EM_S_VAL_PCF_NCFTTM(B2124,E2124)</f>
        <v>-70.900024068131202</v>
      </c>
      <c r="Q2124" s="7">
        <f>[1]!EM_S_VAL_DIVIDENDYIELD2(B2124,E2124,"2019-11-29")</f>
        <v>0</v>
      </c>
      <c r="T2124"/>
      <c r="U2124">
        <f>[1]!EM_S_RATIO_EPS_TTM(B2124,E2124,"1")</f>
        <v>-0.32298743103311073</v>
      </c>
      <c r="AT2124" s="4" t="str">
        <f>[1]!EM_S_IPO_LISTEDDATE(B2124)</f>
        <v>2007-12-21</v>
      </c>
    </row>
    <row r="2125" spans="1:46">
      <c r="A2125">
        <v>3441</v>
      </c>
      <c r="B2125" t="str">
        <f>"603585"</f>
        <v>603585</v>
      </c>
      <c r="C2125" t="s">
        <v>529</v>
      </c>
      <c r="D2125" t="str">
        <f>[1]!EM_S_INFO_INDEX_EM(B2125,"1")</f>
        <v>基础化工</v>
      </c>
      <c r="E2125" s="4">
        <f t="shared" si="33"/>
        <v>43465</v>
      </c>
      <c r="F2125" s="11">
        <f>[1]!EM_S_PQ_PCTCHANGE(B2125,"2018-01-01","2019-12-31","3")</f>
        <v>-16.08244492</v>
      </c>
      <c r="G2125" s="11">
        <f>[1]!EM_S_PQ_PCTCHANGE(B2125,"2018-12-31","2019-12-30","1")</f>
        <v>2.7224112800000002</v>
      </c>
      <c r="H2125" s="11">
        <f>[1]!EM_S_FA_YOY_OR(B2125,E2125)</f>
        <v>12.994787945200001</v>
      </c>
      <c r="I2125" s="11">
        <f>[1]!EM_S_FA_GROSSPROFITMARGIN(B2125,E2125)</f>
        <v>40.570436656200002</v>
      </c>
      <c r="J2125" s="11">
        <f>[1]!EM_S_FA_NETPROFITMARGIN(B2125,E2125)</f>
        <v>25.893213952499998</v>
      </c>
      <c r="K2125" s="10">
        <f>[1]!EM_S_FA_ASSETSTURN(B2125,E2125)</f>
        <v>0.73147847600500004</v>
      </c>
      <c r="L2125" s="12">
        <f>[1]!EM_HKS_VAL_MV(B2125,"2019-12-31","2")</f>
        <v>3783600000</v>
      </c>
      <c r="M2125">
        <f>[1]!EM_S_VAL_PETTMDEDUCTED(B2125,E2125)</f>
        <v>13.551498496488801</v>
      </c>
      <c r="N2125" s="7">
        <f>[1]!EM_S_VAL_PBGOODWILLDEDUCTED(B2125,E2125)</f>
        <v>2.1033679516907</v>
      </c>
      <c r="O2125" s="7">
        <f>[1]!EM_S_VAL_PS_TTM(B2125,E2125)</f>
        <v>2.3211440083074701</v>
      </c>
      <c r="P2125" s="7">
        <f>[1]!EM_S_VAL_PCF_NCFTTM(B2125,E2125)</f>
        <v>7.21862793405516</v>
      </c>
      <c r="Q2125" s="7">
        <f>[1]!EM_S_VAL_DIVIDENDYIELD2(B2125,E2125,"2019-11-29")</f>
        <v>3.0627871362940278</v>
      </c>
      <c r="T2125"/>
      <c r="U2125">
        <f>[1]!EM_S_RATIO_EPS_TTM(B2125,E2125,"1")</f>
        <v>1.7339125415555556</v>
      </c>
      <c r="AT2125" s="4" t="str">
        <f>[1]!EM_S_IPO_LISTEDDATE(B2125)</f>
        <v>2016-12-14</v>
      </c>
    </row>
    <row r="2126" spans="1:46">
      <c r="A2126">
        <v>2890</v>
      </c>
      <c r="B2126" t="str">
        <f>"600817"</f>
        <v>600817</v>
      </c>
      <c r="C2126" t="s">
        <v>2735</v>
      </c>
      <c r="D2126" t="str">
        <f>[1]!EM_S_INFO_INDEX_EM(B2126,"1")</f>
        <v>商贸零售</v>
      </c>
      <c r="E2126" s="4">
        <f t="shared" si="33"/>
        <v>43465</v>
      </c>
      <c r="F2126" s="11">
        <f>[1]!EM_S_PQ_PCTCHANGE(B2126,"2018-01-01","2019-12-31","3")</f>
        <v>-43.424124509999999</v>
      </c>
      <c r="G2126" s="11">
        <f>[1]!EM_S_PQ_PCTCHANGE(B2126,"2018-12-31","2019-12-30","1")</f>
        <v>2.70655271</v>
      </c>
      <c r="H2126" s="11">
        <f>[1]!EM_S_FA_YOY_OR(B2126,E2126)</f>
        <v>350.6791272767</v>
      </c>
      <c r="I2126" s="11">
        <f>[1]!EM_S_FA_GROSSPROFITMARGIN(B2126,E2126)</f>
        <v>35.186189439099998</v>
      </c>
      <c r="J2126" s="11">
        <f>[1]!EM_S_FA_NETPROFITMARGIN(B2126,E2126)</f>
        <v>12.5974178358</v>
      </c>
      <c r="K2126" s="10">
        <f>[1]!EM_S_FA_ASSETSTURN(B2126,E2126)</f>
        <v>0.27408689080999998</v>
      </c>
      <c r="L2126" s="12">
        <f>[1]!EM_HKS_VAL_MV(B2126,"2019-12-31","2")</f>
        <v>1169816296.1400001</v>
      </c>
      <c r="M2126">
        <f>[1]!EM_S_VAL_PETTMDEDUCTED(B2126,E2126)</f>
        <v>-712.47996344012995</v>
      </c>
      <c r="N2126" s="7">
        <f>[1]!EM_S_VAL_PBGOODWILLDEDUCTED(B2126,E2126)</f>
        <v>11.1212689601407</v>
      </c>
      <c r="O2126" s="7">
        <f>[1]!EM_S_VAL_PS_TTM(B2126,E2126)</f>
        <v>51.551959159533403</v>
      </c>
      <c r="P2126" s="7">
        <f>[1]!EM_S_VAL_PCF_NCFTTM(B2126,E2126)</f>
        <v>-271.92120121921999</v>
      </c>
      <c r="Q2126" s="7">
        <f>[1]!EM_S_VAL_DIVIDENDYIELD2(B2126,E2126,"2019-11-29")</f>
        <v>0</v>
      </c>
      <c r="T2126"/>
      <c r="U2126">
        <f>[1]!EM_S_RATIO_EPS_TTM(B2126,E2126,"1")</f>
        <v>3.104951851307863E-2</v>
      </c>
      <c r="AT2126" s="4" t="str">
        <f>[1]!EM_S_IPO_LISTEDDATE(B2126)</f>
        <v>1994-01-28</v>
      </c>
    </row>
    <row r="2127" spans="1:46">
      <c r="A2127">
        <v>2983</v>
      </c>
      <c r="B2127" t="str">
        <f>"600936"</f>
        <v>600936</v>
      </c>
      <c r="C2127" t="s">
        <v>2197</v>
      </c>
      <c r="D2127" t="str">
        <f>[1]!EM_S_INFO_INDEX_EM(B2127,"1")</f>
        <v>文化传媒</v>
      </c>
      <c r="E2127" s="4">
        <f t="shared" si="33"/>
        <v>43465</v>
      </c>
      <c r="F2127" s="11">
        <f>[1]!EM_S_PQ_PCTCHANGE(B2127,"2018-01-01","2019-12-31","3")</f>
        <v>-43.422715570000001</v>
      </c>
      <c r="G2127" s="11">
        <f>[1]!EM_S_PQ_PCTCHANGE(B2127,"2018-12-31","2019-12-30","1")</f>
        <v>2.6737967899999999</v>
      </c>
      <c r="H2127" s="11">
        <f>[1]!EM_S_FA_YOY_OR(B2127,E2127)</f>
        <v>-10.2661033268</v>
      </c>
      <c r="I2127" s="11">
        <f>[1]!EM_S_FA_GROSSPROFITMARGIN(B2127,E2127)</f>
        <v>20.2910566483</v>
      </c>
      <c r="J2127" s="11">
        <f>[1]!EM_S_FA_NETPROFITMARGIN(B2127,E2127)</f>
        <v>5.1085606046000001</v>
      </c>
      <c r="K2127" s="10">
        <f>[1]!EM_S_FA_ASSETSTURN(B2127,E2127)</f>
        <v>0.306979013292</v>
      </c>
      <c r="L2127" s="12">
        <f>[1]!EM_HKS_VAL_MV(B2127,"2019-12-31","2")</f>
        <v>6416740757.7600002</v>
      </c>
      <c r="M2127">
        <f>[1]!EM_S_VAL_PETTMDEDUCTED(B2127,E2127)</f>
        <v>56.188744272644101</v>
      </c>
      <c r="N2127" s="7">
        <f>[1]!EM_S_VAL_PBGOODWILLDEDUCTED(B2127,E2127)</f>
        <v>1.6920373806289699</v>
      </c>
      <c r="O2127" s="7">
        <f>[1]!EM_S_VAL_PS_TTM(B2127,E2127)</f>
        <v>2.2521958897337</v>
      </c>
      <c r="P2127" s="7">
        <f>[1]!EM_S_VAL_PCF_NCFTTM(B2127,E2127)</f>
        <v>13.3371160893398</v>
      </c>
      <c r="Q2127" s="7">
        <f>[1]!EM_S_VAL_DIVIDENDYIELD2(B2127,E2127,"2019-11-29")</f>
        <v>0</v>
      </c>
      <c r="T2127"/>
      <c r="U2127">
        <f>[1]!EM_S_RATIO_EPS_TTM(B2127,E2127,"1")</f>
        <v>7.4357572376815326E-2</v>
      </c>
      <c r="AT2127" s="4" t="str">
        <f>[1]!EM_S_IPO_LISTEDDATE(B2127)</f>
        <v>2016-08-15</v>
      </c>
    </row>
    <row r="2128" spans="1:46">
      <c r="A2128">
        <v>2672</v>
      </c>
      <c r="B2128" t="str">
        <f>"600599"</f>
        <v>600599</v>
      </c>
      <c r="C2128" t="s">
        <v>1538</v>
      </c>
      <c r="D2128" t="str">
        <f>[1]!EM_S_INFO_INDEX_EM(B2128,"1")</f>
        <v>互联网</v>
      </c>
      <c r="E2128" s="4">
        <f t="shared" si="33"/>
        <v>43465</v>
      </c>
      <c r="F2128" s="11">
        <f>[1]!EM_S_PQ_PCTCHANGE(B2128,"2018-01-01","2019-12-31","3")</f>
        <v>-50.036860820000001</v>
      </c>
      <c r="G2128" s="11">
        <f>[1]!EM_S_PQ_PCTCHANGE(B2128,"2018-12-31","2019-12-30","1")</f>
        <v>2.6706231499999999</v>
      </c>
      <c r="H2128" s="11">
        <f>[1]!EM_S_FA_YOY_OR(B2128,E2128)</f>
        <v>-17.4272699554</v>
      </c>
      <c r="I2128" s="11">
        <f>[1]!EM_S_FA_GROSSPROFITMARGIN(B2128,E2128)</f>
        <v>69.447020269500001</v>
      </c>
      <c r="J2128" s="11">
        <f>[1]!EM_S_FA_NETPROFITMARGIN(B2128,E2128)</f>
        <v>-21.663127462799999</v>
      </c>
      <c r="K2128" s="10">
        <f>[1]!EM_S_FA_ASSETSTURN(B2128,E2128)</f>
        <v>0.25612242633400001</v>
      </c>
      <c r="L2128" s="12">
        <f>[1]!EM_HKS_VAL_MV(B2128,"2019-12-31","2")</f>
        <v>1746320000</v>
      </c>
      <c r="M2128">
        <f>[1]!EM_S_VAL_PETTMDEDUCTED(B2128,E2128)</f>
        <v>54.532031251683001</v>
      </c>
      <c r="N2128" s="7">
        <f>[1]!EM_S_VAL_PBGOODWILLDEDUCTED(B2128,E2128)</f>
        <v>2.4977947812699202</v>
      </c>
      <c r="O2128" s="7">
        <f>[1]!EM_S_VAL_PS_TTM(B2128,E2128)</f>
        <v>5.5328811057679799</v>
      </c>
      <c r="P2128" s="7">
        <f>[1]!EM_S_VAL_PCF_NCFTTM(B2128,E2128)</f>
        <v>-9.8610134851866</v>
      </c>
      <c r="Q2128" s="7">
        <f>[1]!EM_S_VAL_DIVIDENDYIELD2(B2128,E2128,"2019-11-29")</f>
        <v>0</v>
      </c>
      <c r="T2128"/>
      <c r="U2128">
        <f>[1]!EM_S_RATIO_EPS_TTM(B2128,E2128,"1")</f>
        <v>-0.33155809608433739</v>
      </c>
      <c r="AT2128" s="4" t="str">
        <f>[1]!EM_S_IPO_LISTEDDATE(B2128)</f>
        <v>2001-08-28</v>
      </c>
    </row>
    <row r="2129" spans="1:46">
      <c r="A2129">
        <v>2396</v>
      </c>
      <c r="B2129" t="str">
        <f>"600266"</f>
        <v>600266</v>
      </c>
      <c r="C2129" t="s">
        <v>2669</v>
      </c>
      <c r="D2129" t="str">
        <f>[1]!EM_S_INFO_INDEX_EM(B2129,"1")</f>
        <v>房地产</v>
      </c>
      <c r="E2129" s="4">
        <f t="shared" si="33"/>
        <v>43465</v>
      </c>
      <c r="F2129" s="11">
        <f>[1]!EM_S_PQ_PCTCHANGE(B2129,"2018-01-01","2019-12-31","3")</f>
        <v>-21.907103920000001</v>
      </c>
      <c r="G2129" s="11">
        <f>[1]!EM_S_PQ_PCTCHANGE(B2129,"2018-12-31","2019-12-30","1")</f>
        <v>2.6515151499999998</v>
      </c>
      <c r="H2129" s="11">
        <f>[1]!EM_S_FA_YOY_OR(B2129,E2129)</f>
        <v>-4.7156728484999997</v>
      </c>
      <c r="I2129" s="11">
        <f>[1]!EM_S_FA_GROSSPROFITMARGIN(B2129,E2129)</f>
        <v>32.9062589129</v>
      </c>
      <c r="J2129" s="11">
        <f>[1]!EM_S_FA_NETPROFITMARGIN(B2129,E2129)</f>
        <v>10.1087910613</v>
      </c>
      <c r="K2129" s="10">
        <f>[1]!EM_S_FA_ASSETSTURN(B2129,E2129)</f>
        <v>0.12856075199</v>
      </c>
      <c r="L2129" s="12">
        <f>[1]!EM_HKS_VAL_MV(B2129,"2019-12-31","2")</f>
        <v>15231628800</v>
      </c>
      <c r="M2129">
        <f>[1]!EM_S_VAL_PETTMDEDUCTED(B2129,E2129)</f>
        <v>8.0234661239058909</v>
      </c>
      <c r="N2129" s="7">
        <f>[1]!EM_S_VAL_PBGOODWILLDEDUCTED(B2129,E2129)</f>
        <v>0.63744235125113002</v>
      </c>
      <c r="O2129" s="7">
        <f>[1]!EM_S_VAL_PS_TTM(B2129,E2129)</f>
        <v>0.84759846928475802</v>
      </c>
      <c r="P2129" s="7">
        <f>[1]!EM_S_VAL_PCF_NCFTTM(B2129,E2129)</f>
        <v>-3.5289477894053398</v>
      </c>
      <c r="Q2129" s="7">
        <f>[1]!EM_S_VAL_DIVIDENDYIELD2(B2129,E2129,"2019-11-29")</f>
        <v>2.5284450063211126</v>
      </c>
      <c r="T2129"/>
      <c r="U2129">
        <f>[1]!EM_S_RATIO_EPS_TTM(B2129,E2129,"1")</f>
        <v>0.78497040309755972</v>
      </c>
      <c r="AT2129" s="4" t="str">
        <f>[1]!EM_S_IPO_LISTEDDATE(B2129)</f>
        <v>1999-02-03</v>
      </c>
    </row>
    <row r="2130" spans="1:46">
      <c r="A2130">
        <v>1301</v>
      </c>
      <c r="B2130" t="str">
        <f>"002796"</f>
        <v>002796</v>
      </c>
      <c r="C2130" t="s">
        <v>2551</v>
      </c>
      <c r="D2130" t="str">
        <f>[1]!EM_S_INFO_INDEX_EM(B2130,"1")</f>
        <v>机械设备</v>
      </c>
      <c r="E2130" s="4">
        <f t="shared" si="33"/>
        <v>43465</v>
      </c>
      <c r="F2130" s="11">
        <f>[1]!EM_S_PQ_PCTCHANGE(B2130,"2018-01-01","2019-12-31","3")</f>
        <v>72.576215680000004</v>
      </c>
      <c r="G2130" s="11">
        <f>[1]!EM_S_PQ_PCTCHANGE(B2130,"2018-12-31","2019-12-30","1")</f>
        <v>2.62702079</v>
      </c>
      <c r="H2130" s="11">
        <f>[1]!EM_S_FA_YOY_OR(B2130,E2130)</f>
        <v>121.93931122559999</v>
      </c>
      <c r="I2130" s="11">
        <f>[1]!EM_S_FA_GROSSPROFITMARGIN(B2130,E2130)</f>
        <v>14.9919612407</v>
      </c>
      <c r="J2130" s="11">
        <f>[1]!EM_S_FA_NETPROFITMARGIN(B2130,E2130)</f>
        <v>3.9938172286000002</v>
      </c>
      <c r="K2130" s="10">
        <f>[1]!EM_S_FA_ASSETSTURN(B2130,E2130)</f>
        <v>0.94382904369300002</v>
      </c>
      <c r="L2130" s="12">
        <f>[1]!EM_HKS_VAL_MV(B2130,"2019-12-31","2")</f>
        <v>6058489752</v>
      </c>
      <c r="M2130">
        <f>[1]!EM_S_VAL_PETTMDEDUCTED(B2130,E2130)</f>
        <v>162.579838482621</v>
      </c>
      <c r="N2130" s="7">
        <f>[1]!EM_S_VAL_PBGOODWILLDEDUCTED(B2130,E2130)</f>
        <v>4.5452791673466697</v>
      </c>
      <c r="O2130" s="7">
        <f>[1]!EM_S_VAL_PS_TTM(B2130,E2130)</f>
        <v>3.7440750122803301</v>
      </c>
      <c r="P2130" s="7">
        <f>[1]!EM_S_VAL_PCF_NCFTTM(B2130,E2130)</f>
        <v>15.7229905478547</v>
      </c>
      <c r="Q2130" s="7">
        <f>[1]!EM_S_VAL_DIVIDENDYIELD2(B2130,E2130,"2019-11-29")</f>
        <v>0.41775748407508828</v>
      </c>
      <c r="T2130"/>
      <c r="U2130">
        <f>[1]!EM_S_RATIO_EPS_TTM(B2130,E2130,"1")</f>
        <v>0.43316821601194938</v>
      </c>
      <c r="AT2130" s="4" t="str">
        <f>[1]!EM_S_IPO_LISTEDDATE(B2130)</f>
        <v>2016-05-10</v>
      </c>
    </row>
    <row r="2131" spans="1:46">
      <c r="A2131">
        <v>924</v>
      </c>
      <c r="B2131" t="str">
        <f>"002413"</f>
        <v>002413</v>
      </c>
      <c r="C2131" t="s">
        <v>2464</v>
      </c>
      <c r="D2131" t="str">
        <f>[1]!EM_S_INFO_INDEX_EM(B2131,"1")</f>
        <v>信息技术</v>
      </c>
      <c r="E2131" s="4">
        <f t="shared" si="33"/>
        <v>43465</v>
      </c>
      <c r="F2131" s="11">
        <f>[1]!EM_S_PQ_PCTCHANGE(B2131,"2018-01-01","2019-12-31","3")</f>
        <v>-45.315183429999998</v>
      </c>
      <c r="G2131" s="11">
        <f>[1]!EM_S_PQ_PCTCHANGE(B2131,"2018-12-31","2019-12-30","1")</f>
        <v>2.61682243</v>
      </c>
      <c r="H2131" s="11">
        <f>[1]!EM_S_FA_YOY_OR(B2131,E2131)</f>
        <v>29.566036709900001</v>
      </c>
      <c r="I2131" s="11">
        <f>[1]!EM_S_FA_GROSSPROFITMARGIN(B2131,E2131)</f>
        <v>43.797300925800002</v>
      </c>
      <c r="J2131" s="11">
        <f>[1]!EM_S_FA_NETPROFITMARGIN(B2131,E2131)</f>
        <v>14.9367302295</v>
      </c>
      <c r="K2131" s="10">
        <f>[1]!EM_S_FA_ASSETSTURN(B2131,E2131)</f>
        <v>0.230114899939</v>
      </c>
      <c r="L2131" s="12">
        <f>[1]!EM_HKS_VAL_MV(B2131,"2019-12-31","2")</f>
        <v>5881550928</v>
      </c>
      <c r="M2131">
        <f>[1]!EM_S_VAL_PETTMDEDUCTED(B2131,E2131)</f>
        <v>46.850090777687598</v>
      </c>
      <c r="N2131" s="7">
        <f>[1]!EM_S_VAL_PBGOODWILLDEDUCTED(B2131,E2131)</f>
        <v>2.8309678428674001</v>
      </c>
      <c r="O2131" s="7">
        <f>[1]!EM_S_VAL_PS_TTM(B2131,E2131)</f>
        <v>6.4234892495935796</v>
      </c>
      <c r="P2131" s="7">
        <f>[1]!EM_S_VAL_PCF_NCFTTM(B2131,E2131)</f>
        <v>32.163885025499802</v>
      </c>
      <c r="Q2131" s="7">
        <f>[1]!EM_S_VAL_DIVIDENDYIELD2(B2131,E2131,"2019-11-29")</f>
        <v>0</v>
      </c>
      <c r="T2131"/>
      <c r="U2131">
        <f>[1]!EM_S_RATIO_EPS_TTM(B2131,E2131,"1")</f>
        <v>0.11956832160901723</v>
      </c>
      <c r="AT2131" s="4" t="str">
        <f>[1]!EM_S_IPO_LISTEDDATE(B2131)</f>
        <v>2010-05-28</v>
      </c>
    </row>
    <row r="2132" spans="1:46">
      <c r="A2132">
        <v>2588</v>
      </c>
      <c r="B2132" t="str">
        <f>"600506"</f>
        <v>600506</v>
      </c>
      <c r="C2132" t="s">
        <v>3266</v>
      </c>
      <c r="D2132" t="str">
        <f>[1]!EM_S_INFO_INDEX_EM(B2132,"1")</f>
        <v>农林牧渔</v>
      </c>
      <c r="E2132" s="4">
        <f t="shared" si="33"/>
        <v>43465</v>
      </c>
      <c r="F2132" s="11">
        <f>[1]!EM_S_PQ_PCTCHANGE(B2132,"2018-01-01","2019-12-31","3")</f>
        <v>-25.384052669999999</v>
      </c>
      <c r="G2132" s="11">
        <f>[1]!EM_S_PQ_PCTCHANGE(B2132,"2018-12-31","2019-12-30","1")</f>
        <v>2.61044177</v>
      </c>
      <c r="H2132" s="11">
        <f>[1]!EM_S_FA_YOY_OR(B2132,E2132)</f>
        <v>-34.849166538200002</v>
      </c>
      <c r="I2132" s="11">
        <f>[1]!EM_S_FA_GROSSPROFITMARGIN(B2132,E2132)</f>
        <v>3.6964291514999998</v>
      </c>
      <c r="J2132" s="11">
        <f>[1]!EM_S_FA_NETPROFITMARGIN(B2132,E2132)</f>
        <v>10.639711885400001</v>
      </c>
      <c r="K2132" s="10">
        <f>[1]!EM_S_FA_ASSETSTURN(B2132,E2132)</f>
        <v>0.14315196537899999</v>
      </c>
      <c r="L2132" s="12">
        <f>[1]!EM_HKS_VAL_MV(B2132,"2019-12-31","2")</f>
        <v>1506610104.5999999</v>
      </c>
      <c r="M2132">
        <f>[1]!EM_S_VAL_PETTMDEDUCTED(B2132,E2132)</f>
        <v>-136.97830830593901</v>
      </c>
      <c r="N2132" s="7">
        <f>[1]!EM_S_VAL_PBGOODWILLDEDUCTED(B2132,E2132)</f>
        <v>5.22076773189732</v>
      </c>
      <c r="O2132" s="7">
        <f>[1]!EM_S_VAL_PS_TTM(B2132,E2132)</f>
        <v>31.739371129551099</v>
      </c>
      <c r="P2132" s="7">
        <f>[1]!EM_S_VAL_PCF_NCFTTM(B2132,E2132)</f>
        <v>22.328055720163999</v>
      </c>
      <c r="Q2132" s="7">
        <f>[1]!EM_S_VAL_DIVIDENDYIELD2(B2132,E2132,"2019-11-29")</f>
        <v>0</v>
      </c>
      <c r="T2132"/>
      <c r="U2132">
        <f>[1]!EM_S_RATIO_EPS_TTM(B2132,E2132,"1")</f>
        <v>3.0653876478720123E-2</v>
      </c>
      <c r="AT2132" s="4" t="str">
        <f>[1]!EM_S_IPO_LISTEDDATE(B2132)</f>
        <v>2001-12-26</v>
      </c>
    </row>
    <row r="2133" spans="1:46">
      <c r="A2133">
        <v>3034</v>
      </c>
      <c r="B2133" t="str">
        <f>"601016"</f>
        <v>601016</v>
      </c>
      <c r="C2133" t="s">
        <v>855</v>
      </c>
      <c r="D2133" t="str">
        <f>[1]!EM_S_INFO_INDEX_EM(B2133,"1")</f>
        <v>公用事业</v>
      </c>
      <c r="E2133" s="4">
        <f t="shared" si="33"/>
        <v>43465</v>
      </c>
      <c r="F2133" s="11">
        <f>[1]!EM_S_PQ_PCTCHANGE(B2133,"2018-01-01","2019-12-31","3")</f>
        <v>-24.444654409999998</v>
      </c>
      <c r="G2133" s="11">
        <f>[1]!EM_S_PQ_PCTCHANGE(B2133,"2018-12-31","2019-12-30","1")</f>
        <v>2.5862069000000001</v>
      </c>
      <c r="H2133" s="11">
        <f>[1]!EM_S_FA_YOY_OR(B2133,E2133)</f>
        <v>26.9640345135</v>
      </c>
      <c r="I2133" s="11">
        <f>[1]!EM_S_FA_GROSSPROFITMARGIN(B2133,E2133)</f>
        <v>53.342037181000002</v>
      </c>
      <c r="J2133" s="11">
        <f>[1]!EM_S_FA_NETPROFITMARGIN(B2133,E2133)</f>
        <v>25.128221009299999</v>
      </c>
      <c r="K2133" s="10">
        <f>[1]!EM_S_FA_ASSETSTURN(B2133,E2133)</f>
        <v>0.114684239333</v>
      </c>
      <c r="L2133" s="12">
        <f>[1]!EM_HKS_VAL_MV(B2133,"2019-12-31","2")</f>
        <v>10014899600</v>
      </c>
      <c r="M2133">
        <f>[1]!EM_S_VAL_PETTMDEDUCTED(B2133,E2133)</f>
        <v>17.6341285145235</v>
      </c>
      <c r="N2133" s="7">
        <f>[1]!EM_S_VAL_PBGOODWILLDEDUCTED(B2133,E2133)</f>
        <v>1.38397222196653</v>
      </c>
      <c r="O2133" s="7">
        <f>[1]!EM_S_VAL_PS_TTM(B2133,E2133)</f>
        <v>4.1268814060386703</v>
      </c>
      <c r="P2133" s="7">
        <f>[1]!EM_S_VAL_PCF_NCFTTM(B2133,E2133)</f>
        <v>111.376699199768</v>
      </c>
      <c r="Q2133" s="7">
        <f>[1]!EM_S_VAL_DIVIDENDYIELD2(B2133,E2133,"2019-11-29")</f>
        <v>2.0262008733624457</v>
      </c>
      <c r="T2133"/>
      <c r="U2133">
        <f>[1]!EM_S_RATIO_EPS_TTM(B2133,E2133,"1")</f>
        <v>0.12397544225567673</v>
      </c>
      <c r="AT2133" s="4" t="str">
        <f>[1]!EM_S_IPO_LISTEDDATE(B2133)</f>
        <v>2014-09-29</v>
      </c>
    </row>
    <row r="2134" spans="1:46">
      <c r="A2134">
        <v>1193</v>
      </c>
      <c r="B2134" t="str">
        <f>"002682"</f>
        <v>002682</v>
      </c>
      <c r="C2134" t="s">
        <v>2519</v>
      </c>
      <c r="D2134" t="str">
        <f>[1]!EM_S_INFO_INDEX_EM(B2134,"1")</f>
        <v>交运设备</v>
      </c>
      <c r="E2134" s="4">
        <f t="shared" si="33"/>
        <v>43465</v>
      </c>
      <c r="F2134" s="11">
        <f>[1]!EM_S_PQ_PCTCHANGE(B2134,"2018-01-01","2019-12-31","3")</f>
        <v>-39.243107950000002</v>
      </c>
      <c r="G2134" s="11">
        <f>[1]!EM_S_PQ_PCTCHANGE(B2134,"2018-12-31","2019-12-30","1")</f>
        <v>2.5581395300000001</v>
      </c>
      <c r="H2134" s="11">
        <f>[1]!EM_S_FA_YOY_OR(B2134,E2134)</f>
        <v>43.963023874100003</v>
      </c>
      <c r="I2134" s="11">
        <f>[1]!EM_S_FA_GROSSPROFITMARGIN(B2134,E2134)</f>
        <v>15.2776360991</v>
      </c>
      <c r="J2134" s="11">
        <f>[1]!EM_S_FA_NETPROFITMARGIN(B2134,E2134)</f>
        <v>3.6543566791000002</v>
      </c>
      <c r="K2134" s="10">
        <f>[1]!EM_S_FA_ASSETSTURN(B2134,E2134)</f>
        <v>0.802521458942</v>
      </c>
      <c r="L2134" s="12">
        <f>[1]!EM_HKS_VAL_MV(B2134,"2019-12-31","2")</f>
        <v>2491292871.4200001</v>
      </c>
      <c r="M2134">
        <f>[1]!EM_S_VAL_PETTMDEDUCTED(B2134,E2134)</f>
        <v>22.1123244298612</v>
      </c>
      <c r="N2134" s="7">
        <f>[1]!EM_S_VAL_PBGOODWILLDEDUCTED(B2134,E2134)</f>
        <v>1.3450513539294799</v>
      </c>
      <c r="O2134" s="7">
        <f>[1]!EM_S_VAL_PS_TTM(B2134,E2134)</f>
        <v>0.51016059954827198</v>
      </c>
      <c r="P2134" s="7">
        <f>[1]!EM_S_VAL_PCF_NCFTTM(B2134,E2134)</f>
        <v>-145.091871752412</v>
      </c>
      <c r="Q2134" s="7">
        <f>[1]!EM_S_VAL_DIVIDENDYIELD2(B2134,E2134,"2019-11-29")</f>
        <v>1.6666666666666663</v>
      </c>
      <c r="T2134"/>
      <c r="U2134">
        <f>[1]!EM_S_RATIO_EPS_TTM(B2134,E2134,"1")</f>
        <v>0.29756211489292378</v>
      </c>
      <c r="AT2134" s="4" t="str">
        <f>[1]!EM_S_IPO_LISTEDDATE(B2134)</f>
        <v>2012-06-12</v>
      </c>
    </row>
    <row r="2135" spans="1:46">
      <c r="A2135">
        <v>1121</v>
      </c>
      <c r="B2135" t="str">
        <f>"002610"</f>
        <v>002610</v>
      </c>
      <c r="C2135" t="s">
        <v>2900</v>
      </c>
      <c r="D2135" t="str">
        <f>[1]!EM_S_INFO_INDEX_EM(B2135,"1")</f>
        <v>电气设备</v>
      </c>
      <c r="E2135" s="4">
        <f t="shared" si="33"/>
        <v>43465</v>
      </c>
      <c r="F2135" s="11">
        <f>[1]!EM_S_PQ_PCTCHANGE(B2135,"2018-01-01","2019-12-31","3")</f>
        <v>-32.067510550000002</v>
      </c>
      <c r="G2135" s="11">
        <f>[1]!EM_S_PQ_PCTCHANGE(B2135,"2018-12-31","2019-12-30","1")</f>
        <v>2.5477707000000001</v>
      </c>
      <c r="H2135" s="11">
        <f>[1]!EM_S_FA_YOY_OR(B2135,E2135)</f>
        <v>-0.28386573030000001</v>
      </c>
      <c r="I2135" s="11">
        <f>[1]!EM_S_FA_GROSSPROFITMARGIN(B2135,E2135)</f>
        <v>17.991688516699998</v>
      </c>
      <c r="J2135" s="11">
        <f>[1]!EM_S_FA_NETPROFITMARGIN(B2135,E2135)</f>
        <v>2.8481745755999999</v>
      </c>
      <c r="K2135" s="10">
        <f>[1]!EM_S_FA_ASSETSTURN(B2135,E2135)</f>
        <v>0.31103344472</v>
      </c>
      <c r="L2135" s="12">
        <f>[1]!EM_HKS_VAL_MV(B2135,"2019-12-31","2")</f>
        <v>7227484442.9200001</v>
      </c>
      <c r="M2135">
        <f>[1]!EM_S_VAL_PETTMDEDUCTED(B2135,E2135)</f>
        <v>121.003965542041</v>
      </c>
      <c r="N2135" s="7">
        <f>[1]!EM_S_VAL_PBGOODWILLDEDUCTED(B2135,E2135)</f>
        <v>1.2014912759055401</v>
      </c>
      <c r="O2135" s="7">
        <f>[1]!EM_S_VAL_PS_TTM(B2135,E2135)</f>
        <v>1.42136016412465</v>
      </c>
      <c r="P2135" s="7">
        <f>[1]!EM_S_VAL_PCF_NCFTTM(B2135,E2135)</f>
        <v>-25.255379769451199</v>
      </c>
      <c r="Q2135" s="7">
        <f>[1]!EM_S_VAL_DIVIDENDYIELD2(B2135,E2135,"2019-11-29")</f>
        <v>0</v>
      </c>
      <c r="T2135"/>
      <c r="U2135">
        <f>[1]!EM_S_RATIO_EPS_TTM(B2135,E2135,"1")</f>
        <v>2.7916110715910658E-2</v>
      </c>
      <c r="AT2135" s="4" t="str">
        <f>[1]!EM_S_IPO_LISTEDDATE(B2135)</f>
        <v>2011-08-15</v>
      </c>
    </row>
    <row r="2136" spans="1:46">
      <c r="A2136">
        <v>535</v>
      </c>
      <c r="B2136" t="str">
        <f>"002024"</f>
        <v>002024</v>
      </c>
      <c r="C2136" t="s">
        <v>3005</v>
      </c>
      <c r="D2136" t="str">
        <f>[1]!EM_S_INFO_INDEX_EM(B2136,"1")</f>
        <v>商贸零售</v>
      </c>
      <c r="E2136" s="4">
        <f t="shared" si="33"/>
        <v>43465</v>
      </c>
      <c r="F2136" s="11">
        <f>[1]!EM_S_PQ_PCTCHANGE(B2136,"2018-01-01","2019-12-31","3")</f>
        <v>-16.22460508</v>
      </c>
      <c r="G2136" s="11">
        <f>[1]!EM_S_PQ_PCTCHANGE(B2136,"2018-12-31","2019-12-30","1")</f>
        <v>2.53807107</v>
      </c>
      <c r="H2136" s="11">
        <f>[1]!EM_S_FA_YOY_OR(B2136,E2136)</f>
        <v>30.346132889700002</v>
      </c>
      <c r="I2136" s="11">
        <f>[1]!EM_S_FA_GROSSPROFITMARGIN(B2136,E2136)</f>
        <v>14.9985634392</v>
      </c>
      <c r="J2136" s="11">
        <f>[1]!EM_S_FA_NETPROFITMARGIN(B2136,E2136)</f>
        <v>5.1611385010999999</v>
      </c>
      <c r="K2136" s="10">
        <f>[1]!EM_S_FA_ASSETSTURN(B2136,E2136)</f>
        <v>1.373290923076</v>
      </c>
      <c r="L2136" s="12">
        <f>[1]!EM_HKS_VAL_MV(B2136,"2019-12-31","2")</f>
        <v>94124500912.050003</v>
      </c>
      <c r="M2136">
        <f>[1]!EM_S_VAL_PETTMDEDUCTED(B2136,E2136)</f>
        <v>-721.12395100772198</v>
      </c>
      <c r="N2136" s="7">
        <f>[1]!EM_S_VAL_PBGOODWILLDEDUCTED(B2136,E2136)</f>
        <v>1.1681199007487999</v>
      </c>
      <c r="O2136" s="7">
        <f>[1]!EM_S_VAL_PS_TTM(B2136,E2136)</f>
        <v>0.40042729325777798</v>
      </c>
      <c r="P2136" s="7">
        <f>[1]!EM_S_VAL_PCF_NCFTTM(B2136,E2136)</f>
        <v>62.079283865452801</v>
      </c>
      <c r="Q2136" s="7">
        <f>[1]!EM_S_VAL_DIVIDENDYIELD2(B2136,E2136,"2019-11-29")</f>
        <v>1.2182741116751268</v>
      </c>
      <c r="T2136"/>
      <c r="U2136">
        <f>[1]!EM_S_RATIO_EPS_TTM(B2136,E2136,"1")</f>
        <v>1.4315254815098852</v>
      </c>
      <c r="AT2136" s="4" t="str">
        <f>[1]!EM_S_IPO_LISTEDDATE(B2136)</f>
        <v>2004-07-21</v>
      </c>
    </row>
    <row r="2137" spans="1:46">
      <c r="A2137">
        <v>2889</v>
      </c>
      <c r="B2137" t="str">
        <f>"600816"</f>
        <v>600816</v>
      </c>
      <c r="C2137" t="s">
        <v>186</v>
      </c>
      <c r="D2137" t="str">
        <f>[1]!EM_S_INFO_INDEX_EM(B2137,"1")</f>
        <v>金融</v>
      </c>
      <c r="E2137" s="4">
        <f t="shared" si="33"/>
        <v>43465</v>
      </c>
      <c r="F2137" s="11">
        <f>[1]!EM_S_PQ_PCTCHANGE(B2137,"2018-01-01","2019-12-31","3")</f>
        <v>-57.440505889999997</v>
      </c>
      <c r="G2137" s="11">
        <f>[1]!EM_S_PQ_PCTCHANGE(B2137,"2018-12-31","2019-12-30","1")</f>
        <v>2.5171624700000002</v>
      </c>
      <c r="H2137" s="11">
        <f>[1]!EM_S_FA_YOY_OR(B2137,E2137)</f>
        <v>-96.340586334799994</v>
      </c>
      <c r="I2137" s="11">
        <f>[1]!EM_S_FA_GROSSPROFITMARGIN(B2137,E2137)</f>
        <v>0</v>
      </c>
      <c r="J2137" s="11">
        <f>[1]!EM_S_FA_NETPROFITMARGIN(B2137,E2137)</f>
        <v>-896.11675118719995</v>
      </c>
      <c r="K2137" s="10">
        <f>[1]!EM_S_FA_ASSETSTURN(B2137,E2137)</f>
        <v>0</v>
      </c>
      <c r="L2137" s="12">
        <f>[1]!EM_HKS_VAL_MV(B2137,"2019-12-31","2")</f>
        <v>24282972360.360001</v>
      </c>
      <c r="M2137">
        <f>[1]!EM_S_VAL_PETTMDEDUCTED(B2137,E2137)</f>
        <v>33.720577392865302</v>
      </c>
      <c r="N2137" s="7">
        <f>[1]!EM_S_VAL_PBGOODWILLDEDUCTED(B2137,E2137)</f>
        <v>1.9896964654826801</v>
      </c>
      <c r="O2137" s="7">
        <f>[1]!EM_S_VAL_PS_TTM(B2137,E2137)</f>
        <v>8.9314477287372096</v>
      </c>
      <c r="P2137" s="7">
        <f>[1]!EM_S_VAL_PCF_NCFTTM(B2137,E2137)</f>
        <v>-26.841908234736799</v>
      </c>
      <c r="Q2137" s="7">
        <f>[1]!EM_S_VAL_DIVIDENDYIELD2(B2137,E2137,"2019-11-29")</f>
        <v>0</v>
      </c>
      <c r="T2137"/>
      <c r="U2137">
        <f>[1]!EM_S_RATIO_EPS_TTM(B2137,E2137,"1")</f>
        <v>-0.3351160964660983</v>
      </c>
      <c r="AT2137" s="4" t="str">
        <f>[1]!EM_S_IPO_LISTEDDATE(B2137)</f>
        <v>1994-01-28</v>
      </c>
    </row>
    <row r="2138" spans="1:46">
      <c r="A2138">
        <v>2816</v>
      </c>
      <c r="B2138" t="str">
        <f>"600743"</f>
        <v>600743</v>
      </c>
      <c r="C2138" t="s">
        <v>3200</v>
      </c>
      <c r="D2138" t="str">
        <f>[1]!EM_S_INFO_INDEX_EM(B2138,"1")</f>
        <v>房地产</v>
      </c>
      <c r="E2138" s="4">
        <f t="shared" si="33"/>
        <v>43465</v>
      </c>
      <c r="F2138" s="11">
        <f>[1]!EM_S_PQ_PCTCHANGE(B2138,"2018-01-01","2019-12-31","3")</f>
        <v>-26.317755200000001</v>
      </c>
      <c r="G2138" s="11">
        <f>[1]!EM_S_PQ_PCTCHANGE(B2138,"2018-12-31","2019-12-30","1")</f>
        <v>2.47933884</v>
      </c>
      <c r="H2138" s="11">
        <f>[1]!EM_S_FA_YOY_OR(B2138,E2138)</f>
        <v>-31.022791551800001</v>
      </c>
      <c r="I2138" s="11">
        <f>[1]!EM_S_FA_GROSSPROFITMARGIN(B2138,E2138)</f>
        <v>28.151610128600002</v>
      </c>
      <c r="J2138" s="11">
        <f>[1]!EM_S_FA_NETPROFITMARGIN(B2138,E2138)</f>
        <v>10.758680851399999</v>
      </c>
      <c r="K2138" s="10">
        <f>[1]!EM_S_FA_ASSETSTURN(B2138,E2138)</f>
        <v>0.16261562974800001</v>
      </c>
      <c r="L2138" s="12">
        <f>[1]!EM_HKS_VAL_MV(B2138,"2019-12-31","2")</f>
        <v>5841791176.2600002</v>
      </c>
      <c r="M2138">
        <f>[1]!EM_S_VAL_PETTMDEDUCTED(B2138,E2138)</f>
        <v>9.0878718429534793</v>
      </c>
      <c r="N2138" s="7">
        <f>[1]!EM_S_VAL_PBGOODWILLDEDUCTED(B2138,E2138)</f>
        <v>0.72833359268331799</v>
      </c>
      <c r="O2138" s="7">
        <f>[1]!EM_S_VAL_PS_TTM(B2138,E2138)</f>
        <v>0.77013681972285997</v>
      </c>
      <c r="P2138" s="7">
        <f>[1]!EM_S_VAL_PCF_NCFTTM(B2138,E2138)</f>
        <v>-4.1145828204655599</v>
      </c>
      <c r="Q2138" s="7">
        <f>[1]!EM_S_VAL_DIVIDENDYIELD2(B2138,E2138,"2019-11-29")</f>
        <v>5</v>
      </c>
      <c r="T2138"/>
      <c r="U2138">
        <f>[1]!EM_S_RATIO_EPS_TTM(B2138,E2138,"1")</f>
        <v>0.3196629913194432</v>
      </c>
      <c r="AT2138" s="4" t="str">
        <f>[1]!EM_S_IPO_LISTEDDATE(B2138)</f>
        <v>1996-09-09</v>
      </c>
    </row>
    <row r="2139" spans="1:46">
      <c r="A2139">
        <v>2968</v>
      </c>
      <c r="B2139" t="str">
        <f>"600895"</f>
        <v>600895</v>
      </c>
      <c r="C2139" t="s">
        <v>828</v>
      </c>
      <c r="D2139" t="str">
        <f>[1]!EM_S_INFO_INDEX_EM(B2139,"1")</f>
        <v>房地产</v>
      </c>
      <c r="E2139" s="4">
        <f t="shared" si="33"/>
        <v>43465</v>
      </c>
      <c r="F2139" s="11">
        <f>[1]!EM_S_PQ_PCTCHANGE(B2139,"2018-01-01","2019-12-31","3")</f>
        <v>8.7171699100000009</v>
      </c>
      <c r="G2139" s="11">
        <f>[1]!EM_S_PQ_PCTCHANGE(B2139,"2018-12-31","2019-12-30","1")</f>
        <v>2.4749163900000002</v>
      </c>
      <c r="H2139" s="11">
        <f>[1]!EM_S_FA_YOY_OR(B2139,E2139)</f>
        <v>-8.3586277822999993</v>
      </c>
      <c r="I2139" s="11">
        <f>[1]!EM_S_FA_GROSSPROFITMARGIN(B2139,E2139)</f>
        <v>46.505498082099997</v>
      </c>
      <c r="J2139" s="11">
        <f>[1]!EM_S_FA_NETPROFITMARGIN(B2139,E2139)</f>
        <v>43.366277917700003</v>
      </c>
      <c r="K2139" s="10">
        <f>[1]!EM_S_FA_ASSETSTURN(B2139,E2139)</f>
        <v>5.9430944535000002E-2</v>
      </c>
      <c r="L2139" s="12">
        <f>[1]!EM_HKS_VAL_MV(B2139,"2019-12-31","2")</f>
        <v>23710437010.5</v>
      </c>
      <c r="M2139">
        <f>[1]!EM_S_VAL_PETTMDEDUCTED(B2139,E2139)</f>
        <v>49.8847674911854</v>
      </c>
      <c r="N2139" s="7">
        <f>[1]!EM_S_VAL_PBGOODWILLDEDUCTED(B2139,E2139)</f>
        <v>2.6418301122129901</v>
      </c>
      <c r="O2139" s="7">
        <f>[1]!EM_S_VAL_PS_TTM(B2139,E2139)</f>
        <v>18.582366093106099</v>
      </c>
      <c r="P2139" s="7">
        <f>[1]!EM_S_VAL_PCF_NCFTTM(B2139,E2139)</f>
        <v>-75.029732931834403</v>
      </c>
      <c r="Q2139" s="7">
        <f>[1]!EM_S_VAL_DIVIDENDYIELD2(B2139,E2139,"2019-11-29")</f>
        <v>0.77355836849507753</v>
      </c>
      <c r="T2139"/>
      <c r="U2139">
        <f>[1]!EM_S_RATIO_EPS_TTM(B2139,E2139,"1")</f>
        <v>0.35145295803797472</v>
      </c>
      <c r="AT2139" s="4" t="str">
        <f>[1]!EM_S_IPO_LISTEDDATE(B2139)</f>
        <v>1996-04-22</v>
      </c>
    </row>
    <row r="2140" spans="1:46">
      <c r="A2140">
        <v>1357</v>
      </c>
      <c r="B2140" t="str">
        <f>"002857"</f>
        <v>002857</v>
      </c>
      <c r="C2140" t="s">
        <v>3279</v>
      </c>
      <c r="D2140" t="str">
        <f>[1]!EM_S_INFO_INDEX_EM(B2140,"1")</f>
        <v>机械设备</v>
      </c>
      <c r="E2140" s="4">
        <f t="shared" si="33"/>
        <v>43465</v>
      </c>
      <c r="F2140" s="11">
        <f>[1]!EM_S_PQ_PCTCHANGE(B2140,"2018-01-01","2019-12-31","3")</f>
        <v>-27.81050888</v>
      </c>
      <c r="G2140" s="11">
        <f>[1]!EM_S_PQ_PCTCHANGE(B2140,"2018-12-31","2019-12-30","1")</f>
        <v>2.4659863899999999</v>
      </c>
      <c r="H2140" s="11">
        <f>[1]!EM_S_FA_YOY_OR(B2140,E2140)</f>
        <v>13.3263767732</v>
      </c>
      <c r="I2140" s="11">
        <f>[1]!EM_S_FA_GROSSPROFITMARGIN(B2140,E2140)</f>
        <v>38.936110143400001</v>
      </c>
      <c r="J2140" s="11">
        <f>[1]!EM_S_FA_NETPROFITMARGIN(B2140,E2140)</f>
        <v>15.8895512901</v>
      </c>
      <c r="K2140" s="10">
        <f>[1]!EM_S_FA_ASSETSTURN(B2140,E2140)</f>
        <v>0.39404848023299999</v>
      </c>
      <c r="L2140" s="12">
        <f>[1]!EM_HKS_VAL_MV(B2140,"2019-12-31","2")</f>
        <v>1556480000</v>
      </c>
      <c r="M2140">
        <f>[1]!EM_S_VAL_PETTMDEDUCTED(B2140,E2140)</f>
        <v>52.612881072129603</v>
      </c>
      <c r="N2140" s="7">
        <f>[1]!EM_S_VAL_PBGOODWILLDEDUCTED(B2140,E2140)</f>
        <v>3.2901922450974799</v>
      </c>
      <c r="O2140" s="7">
        <f>[1]!EM_S_VAL_PS_TTM(B2140,E2140)</f>
        <v>7.4474138933945602</v>
      </c>
      <c r="P2140" s="7">
        <f>[1]!EM_S_VAL_PCF_NCFTTM(B2140,E2140)</f>
        <v>-32.8242446817762</v>
      </c>
      <c r="Q2140" s="7">
        <f>[1]!EM_S_VAL_DIVIDENDYIELD2(B2140,E2140,"2019-11-29")</f>
        <v>0.34275921165381323</v>
      </c>
      <c r="T2140"/>
      <c r="U2140">
        <f>[1]!EM_S_RATIO_EPS_TTM(B2140,E2140,"1")</f>
        <v>0.28727906812499998</v>
      </c>
      <c r="AT2140" s="4" t="str">
        <f>[1]!EM_S_IPO_LISTEDDATE(B2140)</f>
        <v>2017-03-23</v>
      </c>
    </row>
    <row r="2141" spans="1:46">
      <c r="A2141">
        <v>1958</v>
      </c>
      <c r="B2141" t="str">
        <f>"300534"</f>
        <v>300534</v>
      </c>
      <c r="C2141" t="s">
        <v>2321</v>
      </c>
      <c r="D2141" t="str">
        <f>[1]!EM_S_INFO_INDEX_EM(B2141,"1")</f>
        <v>医药生物</v>
      </c>
      <c r="E2141" s="4">
        <f t="shared" si="33"/>
        <v>43465</v>
      </c>
      <c r="F2141" s="11">
        <f>[1]!EM_S_PQ_PCTCHANGE(B2141,"2018-01-01","2019-12-31","3")</f>
        <v>-40.409038340000002</v>
      </c>
      <c r="G2141" s="11">
        <f>[1]!EM_S_PQ_PCTCHANGE(B2141,"2018-12-31","2019-12-30","1")</f>
        <v>2.4475524499999999</v>
      </c>
      <c r="H2141" s="11">
        <f>[1]!EM_S_FA_YOY_OR(B2141,E2141)</f>
        <v>-24.638136893399999</v>
      </c>
      <c r="I2141" s="11">
        <f>[1]!EM_S_FA_GROSSPROFITMARGIN(B2141,E2141)</f>
        <v>42.527181971399997</v>
      </c>
      <c r="J2141" s="11">
        <f>[1]!EM_S_FA_NETPROFITMARGIN(B2141,E2141)</f>
        <v>6.0432620904999999</v>
      </c>
      <c r="K2141" s="10">
        <f>[1]!EM_S_FA_ASSETSTURN(B2141,E2141)</f>
        <v>0.26034474912900002</v>
      </c>
      <c r="L2141" s="12">
        <f>[1]!EM_HKS_VAL_MV(B2141,"2019-12-31","2")</f>
        <v>1804902750</v>
      </c>
      <c r="M2141">
        <f>[1]!EM_S_VAL_PETTMDEDUCTED(B2141,E2141)</f>
        <v>148.354695461029</v>
      </c>
      <c r="N2141" s="7">
        <f>[1]!EM_S_VAL_PBGOODWILLDEDUCTED(B2141,E2141)</f>
        <v>2.4071306204090201</v>
      </c>
      <c r="O2141" s="7">
        <f>[1]!EM_S_VAL_PS_TTM(B2141,E2141)</f>
        <v>7.5526727349671603</v>
      </c>
      <c r="P2141" s="7">
        <f>[1]!EM_S_VAL_PCF_NCFTTM(B2141,E2141)</f>
        <v>220.93885672847901</v>
      </c>
      <c r="Q2141" s="7">
        <f>[1]!EM_S_VAL_DIVIDENDYIELD2(B2141,E2141,"2019-11-29")</f>
        <v>0.18050541516245489</v>
      </c>
      <c r="T2141"/>
      <c r="U2141">
        <f>[1]!EM_S_RATIO_EPS_TTM(B2141,E2141,"1")</f>
        <v>4.0474845308147489E-2</v>
      </c>
      <c r="AT2141" s="4" t="str">
        <f>[1]!EM_S_IPO_LISTEDDATE(B2141)</f>
        <v>2016-09-13</v>
      </c>
    </row>
    <row r="2142" spans="1:46">
      <c r="A2142">
        <v>1802</v>
      </c>
      <c r="B2142" t="str">
        <f>"300377"</f>
        <v>300377</v>
      </c>
      <c r="C2142" t="s">
        <v>2283</v>
      </c>
      <c r="D2142" t="str">
        <f>[1]!EM_S_INFO_INDEX_EM(B2142,"1")</f>
        <v>信息技术</v>
      </c>
      <c r="E2142" s="4">
        <f t="shared" si="33"/>
        <v>43465</v>
      </c>
      <c r="F2142" s="11">
        <f>[1]!EM_S_PQ_PCTCHANGE(B2142,"2018-01-01","2019-12-31","3")</f>
        <v>-5.0576259099999996</v>
      </c>
      <c r="G2142" s="11">
        <f>[1]!EM_S_PQ_PCTCHANGE(B2142,"2018-12-31","2019-12-30","1")</f>
        <v>2.4456521699999998</v>
      </c>
      <c r="H2142" s="11">
        <f>[1]!EM_S_FA_YOY_OR(B2142,E2142)</f>
        <v>19.0091457228</v>
      </c>
      <c r="I2142" s="11">
        <f>[1]!EM_S_FA_GROSSPROFITMARGIN(B2142,E2142)</f>
        <v>79.941432932400005</v>
      </c>
      <c r="J2142" s="11">
        <f>[1]!EM_S_FA_NETPROFITMARGIN(B2142,E2142)</f>
        <v>28.377554634500001</v>
      </c>
      <c r="K2142" s="10">
        <f>[1]!EM_S_FA_ASSETSTURN(B2142,E2142)</f>
        <v>0.20788404180100001</v>
      </c>
      <c r="L2142" s="12">
        <f>[1]!EM_HKS_VAL_MV(B2142,"2019-12-31","2")</f>
        <v>8526637999.1999998</v>
      </c>
      <c r="M2142">
        <f>[1]!EM_S_VAL_PETTMDEDUCTED(B2142,E2142)</f>
        <v>35.454099354965599</v>
      </c>
      <c r="N2142" s="7">
        <f>[1]!EM_S_VAL_PBGOODWILLDEDUCTED(B2142,E2142)</f>
        <v>3.02124027722689</v>
      </c>
      <c r="O2142" s="7">
        <f>[1]!EM_S_VAL_PS_TTM(B2142,E2142)</f>
        <v>11.7521238802052</v>
      </c>
      <c r="P2142" s="7">
        <f>[1]!EM_S_VAL_PCF_NCFTTM(B2142,E2142)</f>
        <v>-35.5049808902357</v>
      </c>
      <c r="Q2142" s="7">
        <f>[1]!EM_S_VAL_DIVIDENDYIELD2(B2142,E2142,"2019-11-29")</f>
        <v>0.9380863039399624</v>
      </c>
      <c r="T2142"/>
      <c r="U2142">
        <f>[1]!EM_S_RATIO_EPS_TTM(B2142,E2142,"1")</f>
        <v>0.23952691965442122</v>
      </c>
      <c r="AT2142" s="4" t="str">
        <f>[1]!EM_S_IPO_LISTEDDATE(B2142)</f>
        <v>2014-01-27</v>
      </c>
    </row>
    <row r="2143" spans="1:46">
      <c r="A2143">
        <v>1557</v>
      </c>
      <c r="B2143" t="str">
        <f>"300132"</f>
        <v>300132</v>
      </c>
      <c r="C2143" t="s">
        <v>125</v>
      </c>
      <c r="D2143" t="str">
        <f>[1]!EM_S_INFO_INDEX_EM(B2143,"1")</f>
        <v>基础化工</v>
      </c>
      <c r="E2143" s="4">
        <f t="shared" si="33"/>
        <v>43465</v>
      </c>
      <c r="F2143" s="11">
        <f>[1]!EM_S_PQ_PCTCHANGE(B2143,"2018-01-01","2019-12-31","3")</f>
        <v>41.697381640000003</v>
      </c>
      <c r="G2143" s="11">
        <f>[1]!EM_S_PQ_PCTCHANGE(B2143,"2018-12-31","2019-12-30","1")</f>
        <v>2.4177949700000001</v>
      </c>
      <c r="H2143" s="11">
        <f>[1]!EM_S_FA_YOY_OR(B2143,E2143)</f>
        <v>75.241870684600002</v>
      </c>
      <c r="I2143" s="11">
        <f>[1]!EM_S_FA_GROSSPROFITMARGIN(B2143,E2143)</f>
        <v>40.893079142700003</v>
      </c>
      <c r="J2143" s="11">
        <f>[1]!EM_S_FA_NETPROFITMARGIN(B2143,E2143)</f>
        <v>28.162694576300002</v>
      </c>
      <c r="K2143" s="10">
        <f>[1]!EM_S_FA_ASSETSTURN(B2143,E2143)</f>
        <v>1.176791517357</v>
      </c>
      <c r="L2143" s="12">
        <f>[1]!EM_HKS_VAL_MV(B2143,"2019-12-31","2")</f>
        <v>5697887172.5799999</v>
      </c>
      <c r="M2143">
        <f>[1]!EM_S_VAL_PETTMDEDUCTED(B2143,E2143)</f>
        <v>13.2817743103198</v>
      </c>
      <c r="N2143" s="7">
        <f>[1]!EM_S_VAL_PBGOODWILLDEDUCTED(B2143,E2143)</f>
        <v>3.5955408605665999</v>
      </c>
      <c r="O2143" s="7">
        <f>[1]!EM_S_VAL_PS_TTM(B2143,E2143)</f>
        <v>3.3667776493108201</v>
      </c>
      <c r="P2143" s="7">
        <f>[1]!EM_S_VAL_PCF_NCFTTM(B2143,E2143)</f>
        <v>13.283656861038001</v>
      </c>
      <c r="Q2143" s="7">
        <f>[1]!EM_S_VAL_DIVIDENDYIELD2(B2143,E2143,"2019-11-29")</f>
        <v>0.82095161393159266</v>
      </c>
      <c r="U2143">
        <f>[1]!EM_S_RATIO_EPS_TTM(B2143,E2143,"1")</f>
        <v>1.0373982132566335</v>
      </c>
      <c r="AT2143" s="4" t="str">
        <f>[1]!EM_S_IPO_LISTEDDATE(B2143)</f>
        <v>2010-10-26</v>
      </c>
    </row>
    <row r="2144" spans="1:46">
      <c r="A2144">
        <v>3168</v>
      </c>
      <c r="B2144" t="str">
        <f>"601882"</f>
        <v>601882</v>
      </c>
      <c r="C2144" t="s">
        <v>2057</v>
      </c>
      <c r="D2144" t="str">
        <f>[1]!EM_S_INFO_INDEX_EM(B2144,"1")</f>
        <v>机械设备</v>
      </c>
      <c r="E2144" s="4">
        <f t="shared" si="33"/>
        <v>43465</v>
      </c>
      <c r="F2144" s="11">
        <f>[1]!EM_S_PQ_PCTCHANGE(B2144,"2018-01-01","2019-12-31","3")</f>
        <v>-40.646026399999997</v>
      </c>
      <c r="G2144" s="11">
        <f>[1]!EM_S_PQ_PCTCHANGE(B2144,"2018-12-31","2019-12-30","1")</f>
        <v>2.4147727300000001</v>
      </c>
      <c r="H2144" s="11">
        <f>[1]!EM_S_FA_YOY_OR(B2144,E2144)</f>
        <v>-0.66920959930000001</v>
      </c>
      <c r="I2144" s="11">
        <f>[1]!EM_S_FA_GROSSPROFITMARGIN(B2144,E2144)</f>
        <v>23.926237889999999</v>
      </c>
      <c r="J2144" s="11">
        <f>[1]!EM_S_FA_NETPROFITMARGIN(B2144,E2144)</f>
        <v>8.0317162822999997</v>
      </c>
      <c r="K2144" s="10">
        <f>[1]!EM_S_FA_ASSETSTURN(B2144,E2144)</f>
        <v>0.59829933096999999</v>
      </c>
      <c r="L2144" s="12">
        <f>[1]!EM_HKS_VAL_MV(B2144,"2019-12-31","2")</f>
        <v>3784500000</v>
      </c>
      <c r="M2144">
        <f>[1]!EM_S_VAL_PETTMDEDUCTED(B2144,E2144)</f>
        <v>38.808445355096801</v>
      </c>
      <c r="N2144" s="7">
        <f>[1]!EM_S_VAL_PBGOODWILLDEDUCTED(B2144,E2144)</f>
        <v>2.9672384105079801</v>
      </c>
      <c r="O2144" s="7">
        <f>[1]!EM_S_VAL_PS_TTM(B2144,E2144)</f>
        <v>2.68782119434931</v>
      </c>
      <c r="P2144" s="7">
        <f>[1]!EM_S_VAL_PCF_NCFTTM(B2144,E2144)</f>
        <v>-102.142950019144</v>
      </c>
      <c r="Q2144" s="7">
        <f>[1]!EM_S_VAL_DIVIDENDYIELD2(B2144,E2144,"2019-11-29")</f>
        <v>0.85348506401137991</v>
      </c>
      <c r="T2144"/>
      <c r="U2144">
        <f>[1]!EM_S_RATIO_EPS_TTM(B2144,E2144,"1")</f>
        <v>0.19445934773946361</v>
      </c>
      <c r="AT2144" s="4" t="str">
        <f>[1]!EM_S_IPO_LISTEDDATE(B2144)</f>
        <v>2016-11-07</v>
      </c>
    </row>
    <row r="2145" spans="1:46">
      <c r="A2145">
        <v>518</v>
      </c>
      <c r="B2145" t="str">
        <f>"002007"</f>
        <v>002007</v>
      </c>
      <c r="C2145" t="s">
        <v>397</v>
      </c>
      <c r="D2145" t="str">
        <f>[1]!EM_S_INFO_INDEX_EM(B2145,"1")</f>
        <v>医药生物</v>
      </c>
      <c r="E2145" s="4">
        <f t="shared" si="33"/>
        <v>43465</v>
      </c>
      <c r="F2145" s="11">
        <f>[1]!EM_S_PQ_PCTCHANGE(B2145,"2018-01-01","2019-12-31","3")</f>
        <v>99.906623640000007</v>
      </c>
      <c r="G2145" s="11">
        <f>[1]!EM_S_PQ_PCTCHANGE(B2145,"2018-12-31","2019-12-30","1")</f>
        <v>2.3780487799999999</v>
      </c>
      <c r="H2145" s="11">
        <f>[1]!EM_S_FA_YOY_OR(B2145,E2145)</f>
        <v>35.8386348493</v>
      </c>
      <c r="I2145" s="11">
        <f>[1]!EM_S_FA_GROSSPROFITMARGIN(B2145,E2145)</f>
        <v>64.978787030199996</v>
      </c>
      <c r="J2145" s="11">
        <f>[1]!EM_S_FA_NETPROFITMARGIN(B2145,E2145)</f>
        <v>37.599496348099997</v>
      </c>
      <c r="K2145" s="10">
        <f>[1]!EM_S_FA_ASSETSTURN(B2145,E2145)</f>
        <v>0.54931666448799998</v>
      </c>
      <c r="L2145" s="12">
        <f>[1]!EM_HKS_VAL_MV(B2145,"2019-12-31","2")</f>
        <v>49317524553</v>
      </c>
      <c r="M2145">
        <f>[1]!EM_S_VAL_PETTMDEDUCTED(B2145,E2145)</f>
        <v>35.039147010165799</v>
      </c>
      <c r="N2145" s="7">
        <f>[1]!EM_S_VAL_PBGOODWILLDEDUCTED(B2145,E2145)</f>
        <v>5.52050782762689</v>
      </c>
      <c r="O2145" s="7">
        <f>[1]!EM_S_VAL_PS_TTM(B2145,E2145)</f>
        <v>11.1425022821499</v>
      </c>
      <c r="P2145" s="7">
        <f>[1]!EM_S_VAL_PCF_NCFTTM(B2145,E2145)</f>
        <v>-1081.1922001436101</v>
      </c>
      <c r="Q2145" s="7">
        <f>[1]!EM_S_VAL_DIVIDENDYIELD2(B2145,E2145,"2019-11-29")</f>
        <v>0.79697150826857943</v>
      </c>
      <c r="T2145"/>
      <c r="U2145">
        <f>[1]!EM_S_RATIO_EPS_TTM(B2145,E2145,"1")</f>
        <v>1.225167219481931</v>
      </c>
      <c r="AT2145" s="4" t="str">
        <f>[1]!EM_S_IPO_LISTEDDATE(B2145)</f>
        <v>2004-06-25</v>
      </c>
    </row>
    <row r="2146" spans="1:46">
      <c r="A2146">
        <v>3073</v>
      </c>
      <c r="B2146" t="str">
        <f>"601188"</f>
        <v>601188</v>
      </c>
      <c r="C2146" t="s">
        <v>1328</v>
      </c>
      <c r="D2146" t="str">
        <f>[1]!EM_S_INFO_INDEX_EM(B2146,"1")</f>
        <v>交通运输</v>
      </c>
      <c r="E2146" s="4">
        <f t="shared" si="33"/>
        <v>43465</v>
      </c>
      <c r="F2146" s="11">
        <f>[1]!EM_S_PQ_PCTCHANGE(B2146,"2018-01-01","2019-12-31","3")</f>
        <v>-23.10476255</v>
      </c>
      <c r="G2146" s="11">
        <f>[1]!EM_S_PQ_PCTCHANGE(B2146,"2018-12-31","2019-12-30","1")</f>
        <v>2.36486486</v>
      </c>
      <c r="H2146" s="11">
        <f>[1]!EM_S_FA_YOY_OR(B2146,E2146)</f>
        <v>-60.887440107899998</v>
      </c>
      <c r="I2146" s="11">
        <f>[1]!EM_S_FA_GROSSPROFITMARGIN(B2146,E2146)</f>
        <v>50.909915505999997</v>
      </c>
      <c r="J2146" s="11">
        <f>[1]!EM_S_FA_NETPROFITMARGIN(B2146,E2146)</f>
        <v>45.725800805900001</v>
      </c>
      <c r="K2146" s="10">
        <f>[1]!EM_S_FA_ASSETSTURN(B2146,E2146)</f>
        <v>0.13979188505599999</v>
      </c>
      <c r="L2146" s="12">
        <f>[1]!EM_HKS_VAL_MV(B2146,"2019-12-31","2")</f>
        <v>3987112070.1300001</v>
      </c>
      <c r="M2146">
        <f>[1]!EM_S_VAL_PETTMDEDUCTED(B2146,E2146)</f>
        <v>11.786023760616899</v>
      </c>
      <c r="N2146" s="7">
        <f>[1]!EM_S_VAL_PBGOODWILLDEDUCTED(B2146,E2146)</f>
        <v>0.92321412237523504</v>
      </c>
      <c r="O2146" s="7">
        <f>[1]!EM_S_VAL_PS_TTM(B2146,E2146)</f>
        <v>1.99985824978048</v>
      </c>
      <c r="P2146" s="7">
        <f>[1]!EM_S_VAL_PCF_NCFTTM(B2146,E2146)</f>
        <v>9.3767181151369297</v>
      </c>
      <c r="Q2146" s="7">
        <f>[1]!EM_S_VAL_DIVIDENDYIELD2(B2146,E2146,"2019-11-29")</f>
        <v>2.3549488054607504</v>
      </c>
      <c r="T2146"/>
      <c r="U2146">
        <f>[1]!EM_S_RATIO_EPS_TTM(B2146,E2146,"1")</f>
        <v>0.22943286395382756</v>
      </c>
      <c r="AT2146" s="4" t="str">
        <f>[1]!EM_S_IPO_LISTEDDATE(B2146)</f>
        <v>2010-03-19</v>
      </c>
    </row>
    <row r="2147" spans="1:46">
      <c r="A2147">
        <v>2708</v>
      </c>
      <c r="B2147" t="str">
        <f>"600635"</f>
        <v>600635</v>
      </c>
      <c r="C2147" t="s">
        <v>2776</v>
      </c>
      <c r="D2147" t="str">
        <f>[1]!EM_S_INFO_INDEX_EM(B2147,"1")</f>
        <v>公用事业</v>
      </c>
      <c r="E2147" s="4">
        <f t="shared" si="33"/>
        <v>43465</v>
      </c>
      <c r="F2147" s="11">
        <f>[1]!EM_S_PQ_PCTCHANGE(B2147,"2018-01-01","2019-12-31","3")</f>
        <v>5.6226119299999997</v>
      </c>
      <c r="G2147" s="11">
        <f>[1]!EM_S_PQ_PCTCHANGE(B2147,"2018-12-31","2019-12-30","1")</f>
        <v>2.3454157800000002</v>
      </c>
      <c r="H2147" s="11">
        <f>[1]!EM_S_FA_YOY_OR(B2147,E2147)</f>
        <v>7.3792619239999997</v>
      </c>
      <c r="I2147" s="11">
        <f>[1]!EM_S_FA_GROSSPROFITMARGIN(B2147,E2147)</f>
        <v>8.9366493532</v>
      </c>
      <c r="J2147" s="11">
        <f>[1]!EM_S_FA_NETPROFITMARGIN(B2147,E2147)</f>
        <v>8.6878282032000005</v>
      </c>
      <c r="K2147" s="10">
        <f>[1]!EM_S_FA_ASSETSTURN(B2147,E2147)</f>
        <v>0.23940446060699999</v>
      </c>
      <c r="L2147" s="12">
        <f>[1]!EM_HKS_VAL_MV(B2147,"2019-12-31","2")</f>
        <v>14496454254.25</v>
      </c>
      <c r="M2147">
        <f>[1]!EM_S_VAL_PETTMDEDUCTED(B2147,E2147)</f>
        <v>62.987744623035503</v>
      </c>
      <c r="N2147" s="7">
        <f>[1]!EM_S_VAL_PBGOODWILLDEDUCTED(B2147,E2147)</f>
        <v>1.85973696153688</v>
      </c>
      <c r="O2147" s="7">
        <f>[1]!EM_S_VAL_PS_TTM(B2147,E2147)</f>
        <v>2.67937459114771</v>
      </c>
      <c r="P2147" s="7">
        <f>[1]!EM_S_VAL_PCF_NCFTTM(B2147,E2147)</f>
        <v>-9.6831725759686904</v>
      </c>
      <c r="Q2147" s="7">
        <f>[1]!EM_S_VAL_DIVIDENDYIELD2(B2147,E2147,"2019-11-29")</f>
        <v>1.3245033112582782</v>
      </c>
      <c r="T2147"/>
      <c r="U2147">
        <f>[1]!EM_S_RATIO_EPS_TTM(B2147,E2147,"1")</f>
        <v>0.16206582249614043</v>
      </c>
      <c r="AT2147" s="4" t="str">
        <f>[1]!EM_S_IPO_LISTEDDATE(B2147)</f>
        <v>1993-03-04</v>
      </c>
    </row>
    <row r="2148" spans="1:46">
      <c r="A2148">
        <v>3380</v>
      </c>
      <c r="B2148" t="str">
        <f>"603365"</f>
        <v>603365</v>
      </c>
      <c r="C2148" t="s">
        <v>618</v>
      </c>
      <c r="D2148" t="str">
        <f>[1]!EM_S_INFO_INDEX_EM(B2148,"1")</f>
        <v>纺织服装</v>
      </c>
      <c r="E2148" s="4">
        <f t="shared" si="33"/>
        <v>43465</v>
      </c>
      <c r="F2148" s="11">
        <f>[1]!EM_S_PQ_PCTCHANGE(B2148,"2018-01-01","2019-12-31","3")</f>
        <v>-29.85142561</v>
      </c>
      <c r="G2148" s="11">
        <f>[1]!EM_S_PQ_PCTCHANGE(B2148,"2018-12-31","2019-12-30","1")</f>
        <v>2.3442732799999999</v>
      </c>
      <c r="H2148" s="11">
        <f>[1]!EM_S_FA_YOY_OR(B2148,E2148)</f>
        <v>10.438772588100001</v>
      </c>
      <c r="I2148" s="11">
        <f>[1]!EM_S_FA_GROSSPROFITMARGIN(B2148,E2148)</f>
        <v>35.112560540200001</v>
      </c>
      <c r="J2148" s="11">
        <f>[1]!EM_S_FA_NETPROFITMARGIN(B2148,E2148)</f>
        <v>10.484873032799999</v>
      </c>
      <c r="K2148" s="10">
        <f>[1]!EM_S_FA_ASSETSTURN(B2148,E2148)</f>
        <v>1.0071929289429999</v>
      </c>
      <c r="L2148" s="12">
        <f>[1]!EM_HKS_VAL_MV(B2148,"2019-12-31","2")</f>
        <v>4085384400</v>
      </c>
      <c r="M2148">
        <f>[1]!EM_S_VAL_PETTMDEDUCTED(B2148,E2148)</f>
        <v>15.504481160020401</v>
      </c>
      <c r="N2148" s="7">
        <f>[1]!EM_S_VAL_PBGOODWILLDEDUCTED(B2148,E2148)</f>
        <v>1.82016959580941</v>
      </c>
      <c r="O2148" s="7">
        <f>[1]!EM_S_VAL_PS_TTM(B2148,E2148)</f>
        <v>1.48665925534105</v>
      </c>
      <c r="P2148" s="7">
        <f>[1]!EM_S_VAL_PCF_NCFTTM(B2148,E2148)</f>
        <v>14.8553306411957</v>
      </c>
      <c r="Q2148" s="7">
        <f>[1]!EM_S_VAL_DIVIDENDYIELD2(B2148,E2148,"2019-11-29")</f>
        <v>3.4153005464480879</v>
      </c>
      <c r="T2148"/>
      <c r="U2148">
        <f>[1]!EM_S_RATIO_EPS_TTM(B2148,E2148,"1")</f>
        <v>1.0690067433157087</v>
      </c>
      <c r="AT2148" s="4" t="str">
        <f>[1]!EM_S_IPO_LISTEDDATE(B2148)</f>
        <v>2017-11-20</v>
      </c>
    </row>
    <row r="2149" spans="1:46">
      <c r="A2149">
        <v>1721</v>
      </c>
      <c r="B2149" t="str">
        <f>"300296"</f>
        <v>300296</v>
      </c>
      <c r="C2149" t="s">
        <v>346</v>
      </c>
      <c r="D2149" t="str">
        <f>[1]!EM_S_INFO_INDEX_EM(B2149,"1")</f>
        <v>电子设备</v>
      </c>
      <c r="E2149" s="4">
        <f t="shared" si="33"/>
        <v>43465</v>
      </c>
      <c r="F2149" s="11">
        <f>[1]!EM_S_PQ_PCTCHANGE(B2149,"2018-01-01","2019-12-31","3")</f>
        <v>-40.126497190000002</v>
      </c>
      <c r="G2149" s="11">
        <f>[1]!EM_S_PQ_PCTCHANGE(B2149,"2018-12-31","2019-12-30","1")</f>
        <v>2.3407022099999999</v>
      </c>
      <c r="H2149" s="11">
        <f>[1]!EM_S_FA_YOY_OR(B2149,E2149)</f>
        <v>19.005648675500002</v>
      </c>
      <c r="I2149" s="11">
        <f>[1]!EM_S_FA_GROSSPROFITMARGIN(B2149,E2149)</f>
        <v>38.7509865699</v>
      </c>
      <c r="J2149" s="11">
        <f>[1]!EM_S_FA_NETPROFITMARGIN(B2149,E2149)</f>
        <v>16.4123376513</v>
      </c>
      <c r="K2149" s="10">
        <f>[1]!EM_S_FA_ASSETSTURN(B2149,E2149)</f>
        <v>0.56515273865799998</v>
      </c>
      <c r="L2149" s="12">
        <f>[1]!EM_HKS_VAL_MV(B2149,"2019-12-31","2")</f>
        <v>19503863337.919998</v>
      </c>
      <c r="M2149">
        <f>[1]!EM_S_VAL_PETTMDEDUCTED(B2149,E2149)</f>
        <v>13.4814533972388</v>
      </c>
      <c r="N2149" s="7">
        <f>[1]!EM_S_VAL_PBGOODWILLDEDUCTED(B2149,E2149)</f>
        <v>3.8573600264383798</v>
      </c>
      <c r="O2149" s="7">
        <f>[1]!EM_S_VAL_PS_TTM(B2149,E2149)</f>
        <v>2.5668828218072299</v>
      </c>
      <c r="P2149" s="7">
        <f>[1]!EM_S_VAL_PCF_NCFTTM(B2149,E2149)</f>
        <v>-32.567899838111501</v>
      </c>
      <c r="Q2149" s="7">
        <f>[1]!EM_S_VAL_DIVIDENDYIELD2(B2149,E2149,"2019-11-29")</f>
        <v>1.2779552715654954</v>
      </c>
      <c r="T2149"/>
      <c r="U2149">
        <f>[1]!EM_S_RATIO_EPS_TTM(B2149,E2149,"1")</f>
        <v>0.49728234576336749</v>
      </c>
      <c r="AT2149" s="4" t="str">
        <f>[1]!EM_S_IPO_LISTEDDATE(B2149)</f>
        <v>2012-03-15</v>
      </c>
    </row>
    <row r="2150" spans="1:46">
      <c r="A2150">
        <v>3611</v>
      </c>
      <c r="B2150" t="str">
        <f>"603937"</f>
        <v>603937</v>
      </c>
      <c r="C2150" t="s">
        <v>1448</v>
      </c>
      <c r="D2150" t="str">
        <f>[1]!EM_S_INFO_INDEX_EM(B2150,"1")</f>
        <v>建材</v>
      </c>
      <c r="E2150" s="4">
        <f t="shared" si="33"/>
        <v>43465</v>
      </c>
      <c r="F2150" s="11">
        <f>[1]!EM_S_PQ_PCTCHANGE(B2150,"2018-01-01","2019-12-31","3")</f>
        <v>-56.734723099999997</v>
      </c>
      <c r="G2150" s="11">
        <f>[1]!EM_S_PQ_PCTCHANGE(B2150,"2018-12-31","2019-12-30","1")</f>
        <v>2.3276633800000002</v>
      </c>
      <c r="H2150" s="11">
        <f>[1]!EM_S_FA_YOY_OR(B2150,E2150)</f>
        <v>4.7191421463000003</v>
      </c>
      <c r="I2150" s="11">
        <f>[1]!EM_S_FA_GROSSPROFITMARGIN(B2150,E2150)</f>
        <v>15.1151687607</v>
      </c>
      <c r="J2150" s="11">
        <f>[1]!EM_S_FA_NETPROFITMARGIN(B2150,E2150)</f>
        <v>8.8094733299999994</v>
      </c>
      <c r="K2150" s="10">
        <f>[1]!EM_S_FA_ASSETSTURN(B2150,E2150)</f>
        <v>0.89950962824000003</v>
      </c>
      <c r="L2150" s="12">
        <f>[1]!EM_HKS_VAL_MV(B2150,"2019-12-31","2")</f>
        <v>2347811200</v>
      </c>
      <c r="M2150">
        <f>[1]!EM_S_VAL_PETTMDEDUCTED(B2150,E2150)</f>
        <v>23.6323179879913</v>
      </c>
      <c r="N2150" s="7">
        <f>[1]!EM_S_VAL_PBGOODWILLDEDUCTED(B2150,E2150)</f>
        <v>1.7682856255482</v>
      </c>
      <c r="O2150" s="7">
        <f>[1]!EM_S_VAL_PS_TTM(B2150,E2150)</f>
        <v>1.7660527721605299</v>
      </c>
      <c r="P2150" s="7">
        <f>[1]!EM_S_VAL_PCF_NCFTTM(B2150,E2150)</f>
        <v>40.1833710902497</v>
      </c>
      <c r="Q2150" s="7">
        <f>[1]!EM_S_VAL_DIVIDENDYIELD2(B2150,E2150,"2019-11-29")</f>
        <v>0.76997112608277196</v>
      </c>
      <c r="T2150"/>
      <c r="U2150">
        <f>[1]!EM_S_RATIO_EPS_TTM(B2150,E2150,"1")</f>
        <v>0.54953988294714673</v>
      </c>
      <c r="AT2150" s="4" t="str">
        <f>[1]!EM_S_IPO_LISTEDDATE(B2150)</f>
        <v>2017-11-02</v>
      </c>
    </row>
    <row r="2151" spans="1:46">
      <c r="A2151">
        <v>1229</v>
      </c>
      <c r="B2151" t="str">
        <f>"002719"</f>
        <v>002719</v>
      </c>
      <c r="C2151" t="s">
        <v>2462</v>
      </c>
      <c r="D2151" t="str">
        <f>[1]!EM_S_INFO_INDEX_EM(B2151,"1")</f>
        <v>食品饮料</v>
      </c>
      <c r="E2151" s="4">
        <f t="shared" si="33"/>
        <v>43465</v>
      </c>
      <c r="F2151" s="11">
        <f>[1]!EM_S_PQ_PCTCHANGE(B2151,"2018-01-01","2019-12-31","3")</f>
        <v>-32.857140659999999</v>
      </c>
      <c r="G2151" s="11">
        <f>[1]!EM_S_PQ_PCTCHANGE(B2151,"2018-12-31","2019-12-30","1")</f>
        <v>2.2977941199999998</v>
      </c>
      <c r="H2151" s="11">
        <f>[1]!EM_S_FA_YOY_OR(B2151,E2151)</f>
        <v>3.5589800799</v>
      </c>
      <c r="I2151" s="11">
        <f>[1]!EM_S_FA_GROSSPROFITMARGIN(B2151,E2151)</f>
        <v>36.652859988000003</v>
      </c>
      <c r="J2151" s="11">
        <f>[1]!EM_S_FA_NETPROFITMARGIN(B2151,E2151)</f>
        <v>-25.7760523828</v>
      </c>
      <c r="K2151" s="10">
        <f>[1]!EM_S_FA_ASSETSTURN(B2151,E2151)</f>
        <v>0.437609935314</v>
      </c>
      <c r="L2151" s="12">
        <f>[1]!EM_HKS_VAL_MV(B2151,"2019-12-31","2")</f>
        <v>2044397225.1800001</v>
      </c>
      <c r="M2151">
        <f>[1]!EM_S_VAL_PETTMDEDUCTED(B2151,E2151)</f>
        <v>236.634334666379</v>
      </c>
      <c r="N2151" s="7">
        <f>[1]!EM_S_VAL_PBGOODWILLDEDUCTED(B2151,E2151)</f>
        <v>1.94142152804997</v>
      </c>
      <c r="O2151" s="7">
        <f>[1]!EM_S_VAL_PS_TTM(B2151,E2151)</f>
        <v>3.0453403773633601</v>
      </c>
      <c r="P2151" s="7">
        <f>[1]!EM_S_VAL_PCF_NCFTTM(B2151,E2151)</f>
        <v>18.4037536134419</v>
      </c>
      <c r="Q2151" s="7">
        <f>[1]!EM_S_VAL_DIVIDENDYIELD2(B2151,E2151,"2019-11-29")</f>
        <v>0</v>
      </c>
      <c r="T2151"/>
      <c r="U2151">
        <f>[1]!EM_S_RATIO_EPS_TTM(B2151,E2151,"1")</f>
        <v>-0.88508980529323689</v>
      </c>
      <c r="AT2151" s="4" t="str">
        <f>[1]!EM_S_IPO_LISTEDDATE(B2151)</f>
        <v>2014-01-28</v>
      </c>
    </row>
    <row r="2152" spans="1:46">
      <c r="A2152">
        <v>1724</v>
      </c>
      <c r="B2152" t="str">
        <f>"300299"</f>
        <v>300299</v>
      </c>
      <c r="C2152" t="s">
        <v>1744</v>
      </c>
      <c r="D2152" t="str">
        <f>[1]!EM_S_INFO_INDEX_EM(B2152,"1")</f>
        <v>互联网</v>
      </c>
      <c r="E2152" s="4">
        <f t="shared" si="33"/>
        <v>43465</v>
      </c>
      <c r="F2152" s="11">
        <f>[1]!EM_S_PQ_PCTCHANGE(B2152,"2018-01-01","2019-12-31","3")</f>
        <v>-27.126903899999999</v>
      </c>
      <c r="G2152" s="11">
        <f>[1]!EM_S_PQ_PCTCHANGE(B2152,"2018-12-31","2019-12-30","1")</f>
        <v>2.2774327099999998</v>
      </c>
      <c r="H2152" s="11">
        <f>[1]!EM_S_FA_YOY_OR(B2152,E2152)</f>
        <v>4.6951991602999996</v>
      </c>
      <c r="I2152" s="11">
        <f>[1]!EM_S_FA_GROSSPROFITMARGIN(B2152,E2152)</f>
        <v>57.946239825799999</v>
      </c>
      <c r="J2152" s="11">
        <f>[1]!EM_S_FA_NETPROFITMARGIN(B2152,E2152)</f>
        <v>10.4060081302</v>
      </c>
      <c r="K2152" s="10">
        <f>[1]!EM_S_FA_ASSETSTURN(B2152,E2152)</f>
        <v>0.24157922565500001</v>
      </c>
      <c r="L2152" s="12">
        <f>[1]!EM_HKS_VAL_MV(B2152,"2019-12-31","2")</f>
        <v>3475816523.25</v>
      </c>
      <c r="M2152">
        <f>[1]!EM_S_VAL_PETTMDEDUCTED(B2152,E2152)</f>
        <v>-8.9371618414253806</v>
      </c>
      <c r="N2152" s="7">
        <f>[1]!EM_S_VAL_PBGOODWILLDEDUCTED(B2152,E2152)</f>
        <v>10.324685825138101</v>
      </c>
      <c r="O2152" s="7">
        <f>[1]!EM_S_VAL_PS_TTM(B2152,E2152)</f>
        <v>6.4850929170244198</v>
      </c>
      <c r="P2152" s="7">
        <f>[1]!EM_S_VAL_PCF_NCFTTM(B2152,E2152)</f>
        <v>-22.990803110162901</v>
      </c>
      <c r="Q2152" s="7">
        <f>[1]!EM_S_VAL_DIVIDENDYIELD2(B2152,E2152,"2019-11-29")</f>
        <v>0.21367521367521369</v>
      </c>
      <c r="T2152"/>
      <c r="U2152">
        <f>[1]!EM_S_RATIO_EPS_TTM(B2152,E2152,"1")</f>
        <v>7.9669466455134633E-2</v>
      </c>
      <c r="AT2152" s="4" t="str">
        <f>[1]!EM_S_IPO_LISTEDDATE(B2152)</f>
        <v>2012-03-19</v>
      </c>
    </row>
    <row r="2153" spans="1:46">
      <c r="A2153">
        <v>3548</v>
      </c>
      <c r="B2153" t="str">
        <f>"603813"</f>
        <v>603813</v>
      </c>
      <c r="C2153" t="s">
        <v>1541</v>
      </c>
      <c r="D2153" t="str">
        <f>[1]!EM_S_INFO_INDEX_EM(B2153,"1")</f>
        <v>交通运输</v>
      </c>
      <c r="E2153" s="4">
        <f t="shared" si="33"/>
        <v>43465</v>
      </c>
      <c r="F2153" s="11">
        <f>[1]!EM_S_PQ_PCTCHANGE(B2153,"2018-01-01","2019-12-31","3")</f>
        <v>-37.090815409999998</v>
      </c>
      <c r="G2153" s="11">
        <f>[1]!EM_S_PQ_PCTCHANGE(B2153,"2018-12-31","2019-12-30","1")</f>
        <v>2.2702702700000001</v>
      </c>
      <c r="H2153" s="11">
        <f>[1]!EM_S_FA_YOY_OR(B2153,E2153)</f>
        <v>107.41027642109999</v>
      </c>
      <c r="I2153" s="11">
        <f>[1]!EM_S_FA_GROSSPROFITMARGIN(B2153,E2153)</f>
        <v>15.169564493599999</v>
      </c>
      <c r="J2153" s="11">
        <f>[1]!EM_S_FA_NETPROFITMARGIN(B2153,E2153)</f>
        <v>6.7774208187999996</v>
      </c>
      <c r="K2153" s="10">
        <f>[1]!EM_S_FA_ASSETSTURN(B2153,E2153)</f>
        <v>1.110372908615</v>
      </c>
      <c r="L2153" s="12">
        <f>[1]!EM_HKS_VAL_MV(B2153,"2019-12-31","2")</f>
        <v>1700749920</v>
      </c>
      <c r="M2153">
        <f>[1]!EM_S_VAL_PETTMDEDUCTED(B2153,E2153)</f>
        <v>34.146417413968599</v>
      </c>
      <c r="N2153" s="7">
        <f>[1]!EM_S_VAL_PBGOODWILLDEDUCTED(B2153,E2153)</f>
        <v>2.7198076797900099</v>
      </c>
      <c r="O2153" s="7">
        <f>[1]!EM_S_VAL_PS_TTM(B2153,E2153)</f>
        <v>2.28978943617585</v>
      </c>
      <c r="P2153" s="7">
        <f>[1]!EM_S_VAL_PCF_NCFTTM(B2153,E2153)</f>
        <v>-9.5402613247236197</v>
      </c>
      <c r="Q2153" s="7">
        <f>[1]!EM_S_VAL_DIVIDENDYIELD2(B2153,E2153,"2019-11-29")</f>
        <v>1.0809677393242763</v>
      </c>
      <c r="T2153"/>
      <c r="U2153">
        <f>[1]!EM_S_RATIO_EPS_TTM(B2153,E2153,"1")</f>
        <v>0.62114609313232827</v>
      </c>
      <c r="AT2153" s="4" t="str">
        <f>[1]!EM_S_IPO_LISTEDDATE(B2153)</f>
        <v>2017-09-18</v>
      </c>
    </row>
    <row r="2154" spans="1:46">
      <c r="A2154">
        <v>3158</v>
      </c>
      <c r="B2154" t="str">
        <f>"601828"</f>
        <v>601828</v>
      </c>
      <c r="C2154" t="s">
        <v>869</v>
      </c>
      <c r="D2154" t="str">
        <f>[1]!EM_S_INFO_INDEX_EM(B2154,"1")</f>
        <v>商贸零售</v>
      </c>
      <c r="E2154" s="4">
        <f t="shared" si="33"/>
        <v>43465</v>
      </c>
      <c r="F2154" s="11">
        <f>[1]!EM_S_PQ_PCTCHANGE(B2154,"2018-01-01","2019-12-31","3")</f>
        <v>15.57436757</v>
      </c>
      <c r="G2154" s="11">
        <f>[1]!EM_S_PQ_PCTCHANGE(B2154,"2018-12-31","2019-12-30","1")</f>
        <v>2.2644927500000001</v>
      </c>
      <c r="H2154" s="11">
        <f>[1]!EM_S_FA_YOY_OR(B2154,E2154)</f>
        <v>29.930891359</v>
      </c>
      <c r="I2154" s="11">
        <f>[1]!EM_S_FA_GROSSPROFITMARGIN(B2154,E2154)</f>
        <v>66.195435636300004</v>
      </c>
      <c r="J2154" s="11">
        <f>[1]!EM_S_FA_NETPROFITMARGIN(B2154,E2154)</f>
        <v>33.044353019600003</v>
      </c>
      <c r="K2154" s="10">
        <f>[1]!EM_S_FA_ASSETSTURN(B2154,E2154)</f>
        <v>0.13700319017699999</v>
      </c>
      <c r="L2154" s="12">
        <f>[1]!EM_HKS_VAL_MV(B2154,"2019-12-31","2")</f>
        <v>40221500000</v>
      </c>
      <c r="M2154">
        <f>[1]!EM_S_VAL_PETTMDEDUCTED(B2154,E2154)</f>
        <v>14.096087569982</v>
      </c>
      <c r="N2154" s="7">
        <f>[1]!EM_S_VAL_PBGOODWILLDEDUCTED(B2154,E2154)</f>
        <v>0.93991317802629804</v>
      </c>
      <c r="O2154" s="7">
        <f>[1]!EM_S_VAL_PS_TTM(B2154,E2154)</f>
        <v>2.9624914698977198</v>
      </c>
      <c r="P2154" s="7">
        <f>[1]!EM_S_VAL_PCF_NCFTTM(B2154,E2154)</f>
        <v>-7.5619095018670297</v>
      </c>
      <c r="Q2154" s="7">
        <f>[1]!EM_S_VAL_DIVIDENDYIELD2(B2154,E2154,"2019-11-29")</f>
        <v>2.5257249766136578</v>
      </c>
      <c r="T2154"/>
      <c r="U2154">
        <f>[1]!EM_S_RATIO_EPS_TTM(B2154,E2154,"1")</f>
        <v>1.2612426035098592</v>
      </c>
      <c r="AT2154" s="4" t="str">
        <f>[1]!EM_S_IPO_LISTEDDATE(B2154)</f>
        <v>2018-01-17</v>
      </c>
    </row>
    <row r="2155" spans="1:46">
      <c r="A2155">
        <v>1743</v>
      </c>
      <c r="B2155" t="str">
        <f>"300318"</f>
        <v>300318</v>
      </c>
      <c r="C2155" t="s">
        <v>2670</v>
      </c>
      <c r="D2155" t="str">
        <f>[1]!EM_S_INFO_INDEX_EM(B2155,"1")</f>
        <v>医药生物</v>
      </c>
      <c r="E2155" s="4">
        <f t="shared" si="33"/>
        <v>43465</v>
      </c>
      <c r="F2155" s="11">
        <f>[1]!EM_S_PQ_PCTCHANGE(B2155,"2018-01-01","2019-12-31","3")</f>
        <v>-24.088287099999999</v>
      </c>
      <c r="G2155" s="11">
        <f>[1]!EM_S_PQ_PCTCHANGE(B2155,"2018-12-31","2019-12-30","1")</f>
        <v>2.2613065300000001</v>
      </c>
      <c r="H2155" s="11">
        <f>[1]!EM_S_FA_YOY_OR(B2155,E2155)</f>
        <v>40.188766768999997</v>
      </c>
      <c r="I2155" s="11">
        <f>[1]!EM_S_FA_GROSSPROFITMARGIN(B2155,E2155)</f>
        <v>50.2108050633</v>
      </c>
      <c r="J2155" s="11">
        <f>[1]!EM_S_FA_NETPROFITMARGIN(B2155,E2155)</f>
        <v>12.459274838400001</v>
      </c>
      <c r="K2155" s="10">
        <f>[1]!EM_S_FA_ASSETSTURN(B2155,E2155)</f>
        <v>0.228299271582</v>
      </c>
      <c r="L2155" s="12">
        <f>[1]!EM_HKS_VAL_MV(B2155,"2019-12-31","2")</f>
        <v>3341123024.5500002</v>
      </c>
      <c r="M2155">
        <f>[1]!EM_S_VAL_PETTMDEDUCTED(B2155,E2155)</f>
        <v>-12.0369619968475</v>
      </c>
      <c r="N2155" s="7">
        <f>[1]!EM_S_VAL_PBGOODWILLDEDUCTED(B2155,E2155)</f>
        <v>8.4342278090838896</v>
      </c>
      <c r="O2155" s="7">
        <f>[1]!EM_S_VAL_PS_TTM(B2155,E2155)</f>
        <v>5.6965807360776202</v>
      </c>
      <c r="P2155" s="7">
        <f>[1]!EM_S_VAL_PCF_NCFTTM(B2155,E2155)</f>
        <v>116.39158473591</v>
      </c>
      <c r="Q2155" s="7">
        <f>[1]!EM_S_VAL_DIVIDENDYIELD2(B2155,E2155,"2019-11-29")</f>
        <v>0</v>
      </c>
      <c r="T2155"/>
      <c r="U2155">
        <f>[1]!EM_S_RATIO_EPS_TTM(B2155,E2155,"1")</f>
        <v>8.4739697247633916E-2</v>
      </c>
      <c r="AT2155" s="4" t="str">
        <f>[1]!EM_S_IPO_LISTEDDATE(B2155)</f>
        <v>2012-05-23</v>
      </c>
    </row>
    <row r="2156" spans="1:46">
      <c r="A2156">
        <v>623</v>
      </c>
      <c r="B2156" t="str">
        <f>"002112"</f>
        <v>002112</v>
      </c>
      <c r="C2156" t="s">
        <v>3521</v>
      </c>
      <c r="D2156" t="str">
        <f>[1]!EM_S_INFO_INDEX_EM(B2156,"1")</f>
        <v>电气设备</v>
      </c>
      <c r="E2156" s="4">
        <f t="shared" si="33"/>
        <v>43465</v>
      </c>
      <c r="F2156" s="11">
        <f>[1]!EM_S_PQ_PCTCHANGE(B2156,"2018-01-01","2019-12-31","3")</f>
        <v>-60.712234350000003</v>
      </c>
      <c r="G2156" s="11">
        <f>[1]!EM_S_PQ_PCTCHANGE(B2156,"2018-12-31","2019-12-30","1")</f>
        <v>2.2556390999999998</v>
      </c>
      <c r="H2156" s="11">
        <f>[1]!EM_S_FA_YOY_OR(B2156,E2156)</f>
        <v>6.4697347939999998</v>
      </c>
      <c r="I2156" s="11">
        <f>[1]!EM_S_FA_GROSSPROFITMARGIN(B2156,E2156)</f>
        <v>12.8348013741</v>
      </c>
      <c r="J2156" s="11">
        <f>[1]!EM_S_FA_NETPROFITMARGIN(B2156,E2156)</f>
        <v>1.1015094123</v>
      </c>
      <c r="K2156" s="10">
        <f>[1]!EM_S_FA_ASSETSTURN(B2156,E2156)</f>
        <v>0.52568087307</v>
      </c>
      <c r="L2156" s="12">
        <f>[1]!EM_HKS_VAL_MV(B2156,"2019-12-31","2")</f>
        <v>1378944000</v>
      </c>
      <c r="M2156">
        <f>[1]!EM_S_VAL_PETTMDEDUCTED(B2156,E2156)</f>
        <v>-10.283331037355</v>
      </c>
      <c r="N2156" s="7">
        <f>[1]!EM_S_VAL_PBGOODWILLDEDUCTED(B2156,E2156)</f>
        <v>3.4866847638746701</v>
      </c>
      <c r="O2156" s="7">
        <f>[1]!EM_S_VAL_PS_TTM(B2156,E2156)</f>
        <v>2.3089844004885101</v>
      </c>
      <c r="P2156" s="7">
        <f>[1]!EM_S_VAL_PCF_NCFTTM(B2156,E2156)</f>
        <v>-268.27145440444201</v>
      </c>
      <c r="Q2156" s="7">
        <f>[1]!EM_S_VAL_DIVIDENDYIELD2(B2156,E2156,"2019-11-29")</f>
        <v>0</v>
      </c>
      <c r="T2156"/>
      <c r="U2156">
        <f>[1]!EM_S_RATIO_EPS_TTM(B2156,E2156,"1")</f>
        <v>3.1180701587301591E-2</v>
      </c>
      <c r="AT2156" s="4" t="str">
        <f>[1]!EM_S_IPO_LISTEDDATE(B2156)</f>
        <v>2007-02-08</v>
      </c>
    </row>
    <row r="2157" spans="1:46">
      <c r="A2157">
        <v>2365</v>
      </c>
      <c r="B2157" t="str">
        <f>"600231"</f>
        <v>600231</v>
      </c>
      <c r="C2157" t="s">
        <v>505</v>
      </c>
      <c r="D2157" t="str">
        <f>[1]!EM_S_INFO_INDEX_EM(B2157,"1")</f>
        <v>钢铁</v>
      </c>
      <c r="E2157" s="4">
        <f t="shared" si="33"/>
        <v>43465</v>
      </c>
      <c r="F2157" s="11">
        <f>[1]!EM_S_PQ_PCTCHANGE(B2157,"2018-01-01","2019-12-31","3")</f>
        <v>-38.912419440000001</v>
      </c>
      <c r="G2157" s="11">
        <f>[1]!EM_S_PQ_PCTCHANGE(B2157,"2018-12-31","2019-12-30","1")</f>
        <v>2.2471910099999999</v>
      </c>
      <c r="H2157" s="11">
        <f>[1]!EM_S_FA_YOY_OR(B2157,E2157)</f>
        <v>15.5036757366</v>
      </c>
      <c r="I2157" s="11">
        <f>[1]!EM_S_FA_GROSSPROFITMARGIN(B2157,E2157)</f>
        <v>12.6995926152</v>
      </c>
      <c r="J2157" s="11">
        <f>[1]!EM_S_FA_NETPROFITMARGIN(B2157,E2157)</f>
        <v>5.7630616469999998</v>
      </c>
      <c r="K2157" s="10">
        <f>[1]!EM_S_FA_ASSETSTURN(B2157,E2157)</f>
        <v>1.3506164960860001</v>
      </c>
      <c r="L2157" s="12">
        <f>[1]!EM_HKS_VAL_MV(B2157,"2019-12-31","2")</f>
        <v>7648188370.6800003</v>
      </c>
      <c r="M2157">
        <f>[1]!EM_S_VAL_PETTMDEDUCTED(B2157,E2157)</f>
        <v>4.8882701475574901</v>
      </c>
      <c r="N2157" s="7">
        <f>[1]!EM_S_VAL_PBGOODWILLDEDUCTED(B2157,E2157)</f>
        <v>0.99369181454115096</v>
      </c>
      <c r="O2157" s="7">
        <f>[1]!EM_S_VAL_PS_TTM(B2157,E2157)</f>
        <v>0.362942585684426</v>
      </c>
      <c r="P2157" s="7">
        <f>[1]!EM_S_VAL_PCF_NCFTTM(B2157,E2157)</f>
        <v>-7.05617984809391</v>
      </c>
      <c r="Q2157" s="7">
        <f>[1]!EM_S_VAL_DIVIDENDYIELD2(B2157,E2157,"2019-11-29")</f>
        <v>1.6236162361623614</v>
      </c>
      <c r="T2157"/>
      <c r="U2157">
        <f>[1]!EM_S_RATIO_EPS_TTM(B2157,E2157,"1")</f>
        <v>0.43209206654858806</v>
      </c>
      <c r="AT2157" s="4" t="str">
        <f>[1]!EM_S_IPO_LISTEDDATE(B2157)</f>
        <v>2000-05-11</v>
      </c>
    </row>
    <row r="2158" spans="1:46">
      <c r="A2158">
        <v>3529</v>
      </c>
      <c r="B2158" t="str">
        <f>"603768"</f>
        <v>603768</v>
      </c>
      <c r="C2158" t="s">
        <v>1030</v>
      </c>
      <c r="D2158" t="str">
        <f>[1]!EM_S_INFO_INDEX_EM(B2158,"1")</f>
        <v>交运设备</v>
      </c>
      <c r="E2158" s="4">
        <f t="shared" si="33"/>
        <v>43465</v>
      </c>
      <c r="F2158" s="11">
        <f>[1]!EM_S_PQ_PCTCHANGE(B2158,"2018-01-01","2019-12-31","3")</f>
        <v>-39.247583429999999</v>
      </c>
      <c r="G2158" s="11">
        <f>[1]!EM_S_PQ_PCTCHANGE(B2158,"2018-12-31","2019-12-30","1")</f>
        <v>2.2429906499999999</v>
      </c>
      <c r="H2158" s="11">
        <f>[1]!EM_S_FA_YOY_OR(B2158,E2158)</f>
        <v>-2.1884012360999998</v>
      </c>
      <c r="I2158" s="11">
        <f>[1]!EM_S_FA_GROSSPROFITMARGIN(B2158,E2158)</f>
        <v>18.029534674400001</v>
      </c>
      <c r="J2158" s="11">
        <f>[1]!EM_S_FA_NETPROFITMARGIN(B2158,E2158)</f>
        <v>4.1758065360999996</v>
      </c>
      <c r="K2158" s="10">
        <f>[1]!EM_S_FA_ASSETSTURN(B2158,E2158)</f>
        <v>0.69136251660600001</v>
      </c>
      <c r="L2158" s="12">
        <f>[1]!EM_HKS_VAL_MV(B2158,"2019-12-31","2")</f>
        <v>2225640000</v>
      </c>
      <c r="M2158">
        <f>[1]!EM_S_VAL_PETTMDEDUCTED(B2158,E2158)</f>
        <v>27.154248508806699</v>
      </c>
      <c r="N2158" s="7">
        <f>[1]!EM_S_VAL_PBGOODWILLDEDUCTED(B2158,E2158)</f>
        <v>1.2864870210366299</v>
      </c>
      <c r="O2158" s="7">
        <f>[1]!EM_S_VAL_PS_TTM(B2158,E2158)</f>
        <v>1.09263272554827</v>
      </c>
      <c r="P2158" s="7">
        <f>[1]!EM_S_VAL_PCF_NCFTTM(B2158,E2158)</f>
        <v>-15.7922317923982</v>
      </c>
      <c r="Q2158" s="7">
        <f>[1]!EM_S_VAL_DIVIDENDYIELD2(B2158,E2158,"2019-11-29")</f>
        <v>1.1527377521613833</v>
      </c>
      <c r="T2158"/>
      <c r="U2158">
        <f>[1]!EM_S_RATIO_EPS_TTM(B2158,E2158,"1")</f>
        <v>0.38367357313725492</v>
      </c>
      <c r="AT2158" s="4" t="str">
        <f>[1]!EM_S_IPO_LISTEDDATE(B2158)</f>
        <v>2017-03-24</v>
      </c>
    </row>
    <row r="2159" spans="1:46">
      <c r="A2159">
        <v>2733</v>
      </c>
      <c r="B2159" t="str">
        <f>"600660"</f>
        <v>600660</v>
      </c>
      <c r="C2159" t="s">
        <v>836</v>
      </c>
      <c r="D2159" t="str">
        <f>[1]!EM_S_INFO_INDEX_EM(B2159,"1")</f>
        <v>交运设备</v>
      </c>
      <c r="E2159" s="4">
        <f t="shared" si="33"/>
        <v>43465</v>
      </c>
      <c r="F2159" s="11">
        <f>[1]!EM_S_PQ_PCTCHANGE(B2159,"2018-01-01","2019-12-31","3")</f>
        <v>-10.38661536</v>
      </c>
      <c r="G2159" s="11">
        <f>[1]!EM_S_PQ_PCTCHANGE(B2159,"2018-12-31","2019-12-30","1")</f>
        <v>2.23880597</v>
      </c>
      <c r="H2159" s="11">
        <f>[1]!EM_S_FA_YOY_OR(B2159,E2159)</f>
        <v>8.0796661156000003</v>
      </c>
      <c r="I2159" s="11">
        <f>[1]!EM_S_FA_GROSSPROFITMARGIN(B2159,E2159)</f>
        <v>42.630095726</v>
      </c>
      <c r="J2159" s="11">
        <f>[1]!EM_S_FA_NETPROFITMARGIN(B2159,E2159)</f>
        <v>20.307419277600001</v>
      </c>
      <c r="K2159" s="10">
        <f>[1]!EM_S_FA_ASSETSTURN(B2159,E2159)</f>
        <v>0.61107800676599999</v>
      </c>
      <c r="L2159" s="12">
        <f>[1]!EM_HKS_VAL_MV(B2159,"2019-12-31","2")</f>
        <v>60181734592.68</v>
      </c>
      <c r="M2159">
        <f>[1]!EM_S_VAL_PETTMDEDUCTED(B2159,E2159)</f>
        <v>15.1984596623932</v>
      </c>
      <c r="N2159" s="7">
        <f>[1]!EM_S_VAL_PBGOODWILLDEDUCTED(B2159,E2159)</f>
        <v>2.8520107689514802</v>
      </c>
      <c r="O2159" s="7">
        <f>[1]!EM_S_VAL_PS_TTM(B2159,E2159)</f>
        <v>2.7956600245074799</v>
      </c>
      <c r="P2159" s="7">
        <f>[1]!EM_S_VAL_PCF_NCFTTM(B2159,E2159)</f>
        <v>28.003991136281201</v>
      </c>
      <c r="Q2159" s="7">
        <f>[1]!EM_S_VAL_DIVIDENDYIELD2(B2159,E2159,"2019-11-29")</f>
        <v>3.3738191632928474</v>
      </c>
      <c r="T2159"/>
      <c r="U2159">
        <f>[1]!EM_S_RATIO_EPS_TTM(B2159,E2159,"1")</f>
        <v>1.6425331280830735</v>
      </c>
      <c r="AT2159" s="4" t="str">
        <f>[1]!EM_S_IPO_LISTEDDATE(B2159)</f>
        <v>1993-06-10</v>
      </c>
    </row>
    <row r="2160" spans="1:46">
      <c r="A2160">
        <v>720</v>
      </c>
      <c r="B2160" t="str">
        <f>"002209"</f>
        <v>002209</v>
      </c>
      <c r="C2160" t="s">
        <v>2895</v>
      </c>
      <c r="D2160" t="str">
        <f>[1]!EM_S_INFO_INDEX_EM(B2160,"1")</f>
        <v>机械设备</v>
      </c>
      <c r="E2160" s="4">
        <f t="shared" si="33"/>
        <v>43465</v>
      </c>
      <c r="F2160" s="11">
        <f>[1]!EM_S_PQ_PCTCHANGE(B2160,"2018-01-01","2019-12-31","3")</f>
        <v>-30.752749659999999</v>
      </c>
      <c r="G2160" s="11">
        <f>[1]!EM_S_PQ_PCTCHANGE(B2160,"2018-12-31","2019-12-30","1")</f>
        <v>2.20588235</v>
      </c>
      <c r="H2160" s="11">
        <f>[1]!EM_S_FA_YOY_OR(B2160,E2160)</f>
        <v>2.4834872268999999</v>
      </c>
      <c r="I2160" s="11">
        <f>[1]!EM_S_FA_GROSSPROFITMARGIN(B2160,E2160)</f>
        <v>26.3865337497</v>
      </c>
      <c r="J2160" s="11">
        <f>[1]!EM_S_FA_NETPROFITMARGIN(B2160,E2160)</f>
        <v>1.0498102772</v>
      </c>
      <c r="K2160" s="10">
        <f>[1]!EM_S_FA_ASSETSTURN(B2160,E2160)</f>
        <v>0.63273726244999995</v>
      </c>
      <c r="L2160" s="12">
        <f>[1]!EM_HKS_VAL_MV(B2160,"2019-12-31","2")</f>
        <v>1354993707</v>
      </c>
      <c r="M2160">
        <f>[1]!EM_S_VAL_PETTMDEDUCTED(B2160,E2160)</f>
        <v>-136.48395490673701</v>
      </c>
      <c r="N2160" s="7">
        <f>[1]!EM_S_VAL_PBGOODWILLDEDUCTED(B2160,E2160)</f>
        <v>2.0631946832438999</v>
      </c>
      <c r="O2160" s="7">
        <f>[1]!EM_S_VAL_PS_TTM(B2160,E2160)</f>
        <v>1.3489879148450401</v>
      </c>
      <c r="P2160" s="7">
        <f>[1]!EM_S_VAL_PCF_NCFTTM(B2160,E2160)</f>
        <v>-74.029205489069199</v>
      </c>
      <c r="Q2160" s="7">
        <f>[1]!EM_S_VAL_DIVIDENDYIELD2(B2160,E2160,"2019-11-29")</f>
        <v>8.8757396449704151E-2</v>
      </c>
      <c r="T2160"/>
      <c r="U2160">
        <f>[1]!EM_S_RATIO_EPS_TTM(B2160,E2160,"1")</f>
        <v>5.2989993856406889E-2</v>
      </c>
      <c r="AT2160" s="4" t="str">
        <f>[1]!EM_S_IPO_LISTEDDATE(B2160)</f>
        <v>2008-01-30</v>
      </c>
    </row>
    <row r="2161" spans="1:46">
      <c r="A2161">
        <v>2759</v>
      </c>
      <c r="B2161" t="str">
        <f>"600686"</f>
        <v>600686</v>
      </c>
      <c r="C2161" t="s">
        <v>3236</v>
      </c>
      <c r="D2161" t="str">
        <f>[1]!EM_S_INFO_INDEX_EM(B2161,"1")</f>
        <v>交运设备</v>
      </c>
      <c r="E2161" s="4">
        <f t="shared" si="33"/>
        <v>43465</v>
      </c>
      <c r="F2161" s="11">
        <f>[1]!EM_S_PQ_PCTCHANGE(B2161,"2018-01-01","2019-12-31","3")</f>
        <v>-45.499323429999997</v>
      </c>
      <c r="G2161" s="11">
        <f>[1]!EM_S_PQ_PCTCHANGE(B2161,"2018-12-31","2019-12-30","1")</f>
        <v>2.1897810199999999</v>
      </c>
      <c r="H2161" s="11">
        <f>[1]!EM_S_FA_YOY_OR(B2161,E2161)</f>
        <v>3.1260064342999998</v>
      </c>
      <c r="I2161" s="11">
        <f>[1]!EM_S_FA_GROSSPROFITMARGIN(B2161,E2161)</f>
        <v>14.021735661799999</v>
      </c>
      <c r="J2161" s="11">
        <f>[1]!EM_S_FA_NETPROFITMARGIN(B2161,E2161)</f>
        <v>1.1239780069</v>
      </c>
      <c r="K2161" s="10">
        <f>[1]!EM_S_FA_ASSETSTURN(B2161,E2161)</f>
        <v>0.71834396432100001</v>
      </c>
      <c r="L2161" s="12">
        <f>[1]!EM_HKS_VAL_MV(B2161,"2019-12-31","2")</f>
        <v>4259304347.2199998</v>
      </c>
      <c r="M2161">
        <f>[1]!EM_S_VAL_PETTMDEDUCTED(B2161,E2161)</f>
        <v>18.5811631351019</v>
      </c>
      <c r="N2161" s="7">
        <f>[1]!EM_S_VAL_PBGOODWILLDEDUCTED(B2161,E2161)</f>
        <v>1.29336084397494</v>
      </c>
      <c r="O2161" s="7">
        <f>[1]!EM_S_VAL_PS_TTM(B2161,E2161)</f>
        <v>0.20615097534253099</v>
      </c>
      <c r="P2161" s="7">
        <f>[1]!EM_S_VAL_PCF_NCFTTM(B2161,E2161)</f>
        <v>4.0017475010511099</v>
      </c>
      <c r="Q2161" s="7">
        <f>[1]!EM_S_VAL_DIVIDENDYIELD2(B2161,E2161,"2019-11-29")</f>
        <v>0.40479760119940039</v>
      </c>
      <c r="T2161"/>
      <c r="U2161">
        <f>[1]!EM_S_RATIO_EPS_TTM(B2161,E2161,"1")</f>
        <v>0.26183588547587677</v>
      </c>
      <c r="AT2161" s="4" t="str">
        <f>[1]!EM_S_IPO_LISTEDDATE(B2161)</f>
        <v>1993-11-08</v>
      </c>
    </row>
    <row r="2162" spans="1:46">
      <c r="A2162">
        <v>3070</v>
      </c>
      <c r="B2162" t="str">
        <f>"601177"</f>
        <v>601177</v>
      </c>
      <c r="C2162" t="s">
        <v>2944</v>
      </c>
      <c r="D2162" t="str">
        <f>[1]!EM_S_INFO_INDEX_EM(B2162,"1")</f>
        <v>机械设备</v>
      </c>
      <c r="E2162" s="4">
        <f t="shared" si="33"/>
        <v>43465</v>
      </c>
      <c r="F2162" s="11">
        <f>[1]!EM_S_PQ_PCTCHANGE(B2162,"2018-01-01","2019-12-31","3")</f>
        <v>5.1356635199999996</v>
      </c>
      <c r="G2162" s="11">
        <f>[1]!EM_S_PQ_PCTCHANGE(B2162,"2018-12-31","2019-12-30","1")</f>
        <v>2.1158129200000002</v>
      </c>
      <c r="H2162" s="11">
        <f>[1]!EM_S_FA_YOY_OR(B2162,E2162)</f>
        <v>-1.4179140477000001</v>
      </c>
      <c r="I2162" s="11">
        <f>[1]!EM_S_FA_GROSSPROFITMARGIN(B2162,E2162)</f>
        <v>26.955139197400001</v>
      </c>
      <c r="J2162" s="11">
        <f>[1]!EM_S_FA_NETPROFITMARGIN(B2162,E2162)</f>
        <v>1.8722072642000001</v>
      </c>
      <c r="K2162" s="10">
        <f>[1]!EM_S_FA_ASSETSTURN(B2162,E2162)</f>
        <v>0.42950369289700002</v>
      </c>
      <c r="L2162" s="12">
        <f>[1]!EM_HKS_VAL_MV(B2162,"2019-12-31","2")</f>
        <v>3748562200</v>
      </c>
      <c r="M2162">
        <f>[1]!EM_S_VAL_PETTMDEDUCTED(B2162,E2162)</f>
        <v>-247.512811271152</v>
      </c>
      <c r="N2162" s="7">
        <f>[1]!EM_S_VAL_PBGOODWILLDEDUCTED(B2162,E2162)</f>
        <v>2.1975678295185599</v>
      </c>
      <c r="O2162" s="7">
        <f>[1]!EM_S_VAL_PS_TTM(B2162,E2162)</f>
        <v>2.09368208920979</v>
      </c>
      <c r="P2162" s="7">
        <f>[1]!EM_S_VAL_PCF_NCFTTM(B2162,E2162)</f>
        <v>-41.5604011752663</v>
      </c>
      <c r="Q2162" s="7">
        <f>[1]!EM_S_VAL_DIVIDENDYIELD2(B2162,E2162,"2019-11-29")</f>
        <v>0.21739130434782608</v>
      </c>
      <c r="T2162"/>
      <c r="U2162">
        <f>[1]!EM_S_RATIO_EPS_TTM(B2162,E2162,"1")</f>
        <v>3.625898480227966E-2</v>
      </c>
      <c r="AT2162" s="4" t="str">
        <f>[1]!EM_S_IPO_LISTEDDATE(B2162)</f>
        <v>2010-10-11</v>
      </c>
    </row>
    <row r="2163" spans="1:46">
      <c r="A2163">
        <v>2978</v>
      </c>
      <c r="B2163" t="str">
        <f>"600917"</f>
        <v>600917</v>
      </c>
      <c r="C2163" t="s">
        <v>898</v>
      </c>
      <c r="D2163" t="str">
        <f>[1]!EM_S_INFO_INDEX_EM(B2163,"1")</f>
        <v>公用事业</v>
      </c>
      <c r="E2163" s="4">
        <f t="shared" si="33"/>
        <v>43465</v>
      </c>
      <c r="F2163" s="11">
        <f>[1]!EM_S_PQ_PCTCHANGE(B2163,"2018-01-01","2019-12-31","3")</f>
        <v>-32.91710878</v>
      </c>
      <c r="G2163" s="11">
        <f>[1]!EM_S_PQ_PCTCHANGE(B2163,"2018-12-31","2019-12-30","1")</f>
        <v>2.1067415700000001</v>
      </c>
      <c r="H2163" s="11">
        <f>[1]!EM_S_FA_YOY_OR(B2163,E2163)</f>
        <v>11.507446373100001</v>
      </c>
      <c r="I2163" s="11">
        <f>[1]!EM_S_FA_GROSSPROFITMARGIN(B2163,E2163)</f>
        <v>12.370573309399999</v>
      </c>
      <c r="J2163" s="11">
        <f>[1]!EM_S_FA_NETPROFITMARGIN(B2163,E2163)</f>
        <v>5.7786274877999997</v>
      </c>
      <c r="K2163" s="10">
        <f>[1]!EM_S_FA_ASSETSTURN(B2163,E2163)</f>
        <v>0.76789788113400004</v>
      </c>
      <c r="L2163" s="12">
        <f>[1]!EM_HKS_VAL_MV(B2163,"2019-12-31","2")</f>
        <v>11296560000</v>
      </c>
      <c r="M2163">
        <f>[1]!EM_S_VAL_PETTMDEDUCTED(B2163,E2163)</f>
        <v>39.456681403056699</v>
      </c>
      <c r="N2163" s="7">
        <f>[1]!EM_S_VAL_PBGOODWILLDEDUCTED(B2163,E2163)</f>
        <v>2.87056486096765</v>
      </c>
      <c r="O2163" s="7">
        <f>[1]!EM_S_VAL_PS_TTM(B2163,E2163)</f>
        <v>1.8455502881953101</v>
      </c>
      <c r="P2163" s="7">
        <f>[1]!EM_S_VAL_PCF_NCFTTM(B2163,E2163)</f>
        <v>-153.234876858978</v>
      </c>
      <c r="Q2163" s="7">
        <f>[1]!EM_S_VAL_DIVIDENDYIELD2(B2163,E2163,"2019-11-29")</f>
        <v>1.1126564673157162</v>
      </c>
      <c r="T2163"/>
      <c r="U2163">
        <f>[1]!EM_S_RATIO_EPS_TTM(B2163,E2163,"1")</f>
        <v>0.2234386630848329</v>
      </c>
      <c r="AT2163" s="4" t="str">
        <f>[1]!EM_S_IPO_LISTEDDATE(B2163)</f>
        <v>2014-09-30</v>
      </c>
    </row>
    <row r="2164" spans="1:46">
      <c r="A2164">
        <v>20</v>
      </c>
      <c r="B2164" t="str">
        <f>"000020"</f>
        <v>000020</v>
      </c>
      <c r="C2164" t="s">
        <v>3036</v>
      </c>
      <c r="D2164" t="str">
        <f>[1]!EM_S_INFO_INDEX_EM(B2164,"1")</f>
        <v>电子设备</v>
      </c>
      <c r="E2164" s="4">
        <f t="shared" si="33"/>
        <v>43465</v>
      </c>
      <c r="F2164" s="11">
        <f>[1]!EM_S_PQ_PCTCHANGE(B2164,"2018-01-01","2019-12-31","3")</f>
        <v>-24.593639580000001</v>
      </c>
      <c r="G2164" s="11">
        <f>[1]!EM_S_PQ_PCTCHANGE(B2164,"2019-01-01","2019-12-31","3")</f>
        <v>2.0076481799999999</v>
      </c>
      <c r="H2164" s="11">
        <f>[1]!EM_S_FA_YOY_OR(B2164,E2164)</f>
        <v>-25.755604811200001</v>
      </c>
      <c r="I2164" s="11">
        <f>[1]!EM_S_FA_GROSSPROFITMARGIN(B2164,E2164)</f>
        <v>11.0439673832</v>
      </c>
      <c r="J2164" s="11">
        <f>[1]!EM_S_FA_NETPROFITMARGIN(B2164,E2164)</f>
        <v>0.51723408719999997</v>
      </c>
      <c r="K2164" s="10">
        <f>[1]!EM_S_FA_ASSETSTURN(B2164,E2164)</f>
        <v>1.0218474284750001</v>
      </c>
      <c r="L2164" s="12">
        <f>[1]!EM_HKS_VAL_MV(B2164,"2019-12-31","2")</f>
        <v>3021330292.0900002</v>
      </c>
      <c r="M2164">
        <f>[1]!EM_S_VAL_PETTMDEDUCTED(B2164,E2164)</f>
        <v>1454.9130216869</v>
      </c>
      <c r="N2164" s="7">
        <f>[1]!EM_S_VAL_PBGOODWILLDEDUCTED(B2164,E2164)</f>
        <v>9.1424660079223106</v>
      </c>
      <c r="O2164" s="7">
        <f>[1]!EM_S_VAL_PS_TTM(B2164,E2164)</f>
        <v>4.3837978374197597</v>
      </c>
      <c r="P2164" s="7">
        <f>[1]!EM_S_VAL_PCF_NCFTTM(B2164,E2164)</f>
        <v>-49.6276691385441</v>
      </c>
      <c r="Q2164" s="7">
        <f>[1]!EM_S_VAL_DIVIDENDYIELD2(B2164,E2164,"2019-11-29")</f>
        <v>0</v>
      </c>
      <c r="T2164"/>
      <c r="U2164">
        <f>[1]!EM_S_RATIO_EPS_TTM(B2164,E2164,"1")</f>
        <v>1.1636560396738216E-2</v>
      </c>
      <c r="AT2164" s="4" t="str">
        <f>[1]!EM_S_IPO_LISTEDDATE(B2164)</f>
        <v>1992-04-28</v>
      </c>
    </row>
    <row r="2165" spans="1:46">
      <c r="A2165">
        <v>2203</v>
      </c>
      <c r="B2165" t="str">
        <f>"600056"</f>
        <v>600056</v>
      </c>
      <c r="C2165" t="s">
        <v>258</v>
      </c>
      <c r="D2165" t="str">
        <f>[1]!EM_S_INFO_INDEX_EM(B2165,"1")</f>
        <v>医药生物</v>
      </c>
      <c r="E2165" s="4">
        <f t="shared" si="33"/>
        <v>43465</v>
      </c>
      <c r="F2165" s="11">
        <f>[1]!EM_S_PQ_PCTCHANGE(B2165,"2018-01-01","2019-12-31","3")</f>
        <v>-44.895830840000002</v>
      </c>
      <c r="G2165" s="11">
        <f>[1]!EM_S_PQ_PCTCHANGE(B2165,"2018-12-31","2019-12-30","1")</f>
        <v>1.9888623700000001</v>
      </c>
      <c r="H2165" s="11">
        <f>[1]!EM_S_FA_YOY_OR(B2165,E2165)</f>
        <v>2.1379429023999998</v>
      </c>
      <c r="I2165" s="11">
        <f>[1]!EM_S_FA_GROSSPROFITMARGIN(B2165,E2165)</f>
        <v>20.949074341799999</v>
      </c>
      <c r="J2165" s="11">
        <f>[1]!EM_S_FA_NETPROFITMARGIN(B2165,E2165)</f>
        <v>5.8725346002999999</v>
      </c>
      <c r="K2165" s="10">
        <f>[1]!EM_S_FA_ASSETSTURN(B2165,E2165)</f>
        <v>1.332726634101</v>
      </c>
      <c r="L2165" s="12">
        <f>[1]!EM_HKS_VAL_MV(B2165,"2019-12-31","2")</f>
        <v>13943736218.700001</v>
      </c>
      <c r="M2165">
        <f>[1]!EM_S_VAL_PETTMDEDUCTED(B2165,E2165)</f>
        <v>10.5214280400142</v>
      </c>
      <c r="N2165" s="7">
        <f>[1]!EM_S_VAL_PBGOODWILLDEDUCTED(B2165,E2165)</f>
        <v>1.92639315604702</v>
      </c>
      <c r="O2165" s="7">
        <f>[1]!EM_S_VAL_PS_TTM(B2165,E2165)</f>
        <v>0.437646836077551</v>
      </c>
      <c r="P2165" s="7">
        <f>[1]!EM_S_VAL_PCF_NCFTTM(B2165,E2165)</f>
        <v>-96.688111251044603</v>
      </c>
      <c r="Q2165" s="7">
        <f>[1]!EM_S_VAL_DIVIDENDYIELD2(B2165,E2165,"2019-11-29")</f>
        <v>3.4609736632082999</v>
      </c>
      <c r="T2165"/>
      <c r="U2165">
        <f>[1]!EM_S_RATIO_EPS_TTM(B2165,E2165,"1")</f>
        <v>1.4455224496469412</v>
      </c>
      <c r="AT2165" s="4" t="str">
        <f>[1]!EM_S_IPO_LISTEDDATE(B2165)</f>
        <v>1997-05-15</v>
      </c>
    </row>
    <row r="2166" spans="1:46">
      <c r="A2166">
        <v>2388</v>
      </c>
      <c r="B2166" t="str">
        <f>"600257"</f>
        <v>600257</v>
      </c>
      <c r="C2166" t="s">
        <v>2627</v>
      </c>
      <c r="D2166" t="str">
        <f>[1]!EM_S_INFO_INDEX_EM(B2166,"1")</f>
        <v>农林牧渔</v>
      </c>
      <c r="E2166" s="4">
        <f t="shared" si="33"/>
        <v>43465</v>
      </c>
      <c r="F2166" s="11">
        <f>[1]!EM_S_PQ_PCTCHANGE(B2166,"2018-01-01","2019-12-31","3")</f>
        <v>-41.621621619999999</v>
      </c>
      <c r="G2166" s="11">
        <f>[1]!EM_S_PQ_PCTCHANGE(B2166,"2018-12-31","2019-12-30","1")</f>
        <v>1.9138755999999999</v>
      </c>
      <c r="H2166" s="11">
        <f>[1]!EM_S_FA_YOY_OR(B2166,E2166)</f>
        <v>7.3770270778000002</v>
      </c>
      <c r="I2166" s="11">
        <f>[1]!EM_S_FA_GROSSPROFITMARGIN(B2166,E2166)</f>
        <v>21.247394681300001</v>
      </c>
      <c r="J2166" s="11">
        <f>[1]!EM_S_FA_NETPROFITMARGIN(B2166,E2166)</f>
        <v>1.5890326706</v>
      </c>
      <c r="K2166" s="10">
        <f>[1]!EM_S_FA_ASSETSTURN(B2166,E2166)</f>
        <v>0.614077828933</v>
      </c>
      <c r="L2166" s="12">
        <f>[1]!EM_HKS_VAL_MV(B2166,"2019-12-31","2")</f>
        <v>2078944652.1600001</v>
      </c>
      <c r="M2166">
        <f>[1]!EM_S_VAL_PETTMDEDUCTED(B2166,E2166)</f>
        <v>391.584726686294</v>
      </c>
      <c r="N2166" s="7">
        <f>[1]!EM_S_VAL_PBGOODWILLDEDUCTED(B2166,E2166)</f>
        <v>1.54705002496678</v>
      </c>
      <c r="O2166" s="7">
        <f>[1]!EM_S_VAL_PS_TTM(B2166,E2166)</f>
        <v>1.86769350991118</v>
      </c>
      <c r="P2166" s="7">
        <f>[1]!EM_S_VAL_PCF_NCFTTM(B2166,E2166)</f>
        <v>22.200125307028799</v>
      </c>
      <c r="Q2166" s="7">
        <f>[1]!EM_S_VAL_DIVIDENDYIELD2(B2166,E2166,"2019-11-29")</f>
        <v>0</v>
      </c>
      <c r="T2166"/>
      <c r="U2166">
        <f>[1]!EM_S_RATIO_EPS_TTM(B2166,E2166,"1")</f>
        <v>3.6696637521703747E-2</v>
      </c>
      <c r="AT2166" s="4" t="str">
        <f>[1]!EM_S_IPO_LISTEDDATE(B2166)</f>
        <v>2000-06-12</v>
      </c>
    </row>
    <row r="2167" spans="1:46">
      <c r="A2167">
        <v>742</v>
      </c>
      <c r="B2167" t="str">
        <f>"002231"</f>
        <v>002231</v>
      </c>
      <c r="C2167" t="s">
        <v>2731</v>
      </c>
      <c r="D2167" t="str">
        <f>[1]!EM_S_INFO_INDEX_EM(B2167,"1")</f>
        <v>信息技术</v>
      </c>
      <c r="E2167" s="4">
        <f t="shared" si="33"/>
        <v>43465</v>
      </c>
      <c r="F2167" s="11">
        <f>[1]!EM_S_PQ_PCTCHANGE(B2167,"2018-01-01","2019-12-31","3")</f>
        <v>-36.276343879999999</v>
      </c>
      <c r="G2167" s="11">
        <f>[1]!EM_S_PQ_PCTCHANGE(B2167,"2018-12-31","2019-12-30","1")</f>
        <v>1.9061583600000001</v>
      </c>
      <c r="H2167" s="11">
        <f>[1]!EM_S_FA_YOY_OR(B2167,E2167)</f>
        <v>-50.8256357263</v>
      </c>
      <c r="I2167" s="11">
        <f>[1]!EM_S_FA_GROSSPROFITMARGIN(B2167,E2167)</f>
        <v>12.2324227308</v>
      </c>
      <c r="J2167" s="11">
        <f>[1]!EM_S_FA_NETPROFITMARGIN(B2167,E2167)</f>
        <v>-53.675201206899999</v>
      </c>
      <c r="K2167" s="10">
        <f>[1]!EM_S_FA_ASSETSTURN(B2167,E2167)</f>
        <v>0.27971537400399998</v>
      </c>
      <c r="L2167" s="12">
        <f>[1]!EM_HKS_VAL_MV(B2167,"2019-12-31","2")</f>
        <v>2497600000</v>
      </c>
      <c r="M2167">
        <f>[1]!EM_S_VAL_PETTMDEDUCTED(B2167,E2167)</f>
        <v>1688.56266121877</v>
      </c>
      <c r="N2167" s="7">
        <f>[1]!EM_S_VAL_PBGOODWILLDEDUCTED(B2167,E2167)</f>
        <v>4.4171572807088699</v>
      </c>
      <c r="O2167" s="7">
        <f>[1]!EM_S_VAL_PS_TTM(B2167,E2167)</f>
        <v>5.9025744800174103</v>
      </c>
      <c r="P2167" s="7">
        <f>[1]!EM_S_VAL_PCF_NCFTTM(B2167,E2167)</f>
        <v>36.191793619489196</v>
      </c>
      <c r="Q2167" s="7">
        <f>[1]!EM_S_VAL_DIVIDENDYIELD2(B2167,E2167,"2019-11-29")</f>
        <v>0</v>
      </c>
      <c r="T2167"/>
      <c r="U2167">
        <f>[1]!EM_S_RATIO_EPS_TTM(B2167,E2167,"1")</f>
        <v>-0.37236924414237671</v>
      </c>
      <c r="AT2167" s="4" t="str">
        <f>[1]!EM_S_IPO_LISTEDDATE(B2167)</f>
        <v>2008-05-12</v>
      </c>
    </row>
    <row r="2168" spans="1:46">
      <c r="A2168">
        <v>2327</v>
      </c>
      <c r="B2168" t="str">
        <f>"600189"</f>
        <v>600189</v>
      </c>
      <c r="C2168" t="s">
        <v>2489</v>
      </c>
      <c r="D2168" t="str">
        <f>[1]!EM_S_INFO_INDEX_EM(B2168,"1")</f>
        <v>食品饮料</v>
      </c>
      <c r="E2168" s="4">
        <f t="shared" si="33"/>
        <v>43465</v>
      </c>
      <c r="F2168" s="11">
        <f>[1]!EM_S_PQ_PCTCHANGE(B2168,"2018-01-01","2019-12-31","3")</f>
        <v>-31.59864528</v>
      </c>
      <c r="G2168" s="11">
        <f>[1]!EM_S_PQ_PCTCHANGE(B2168,"2018-12-31","2019-12-30","1")</f>
        <v>1.8766756</v>
      </c>
      <c r="H2168" s="11">
        <f>[1]!EM_S_FA_YOY_OR(B2168,E2168)</f>
        <v>50.718016925500002</v>
      </c>
      <c r="I2168" s="11">
        <f>[1]!EM_S_FA_GROSSPROFITMARGIN(B2168,E2168)</f>
        <v>38.991422514</v>
      </c>
      <c r="J2168" s="11">
        <f>[1]!EM_S_FA_NETPROFITMARGIN(B2168,E2168)</f>
        <v>3.1378556508000002</v>
      </c>
      <c r="K2168" s="10">
        <f>[1]!EM_S_FA_ASSETSTURN(B2168,E2168)</f>
        <v>0.24255356514400001</v>
      </c>
      <c r="L2168" s="12">
        <f>[1]!EM_HKS_VAL_MV(B2168,"2019-12-31","2")</f>
        <v>2724124532.5999999</v>
      </c>
      <c r="M2168">
        <f>[1]!EM_S_VAL_PETTMDEDUCTED(B2168,E2168)</f>
        <v>-61.8338335671301</v>
      </c>
      <c r="N2168" s="7">
        <f>[1]!EM_S_VAL_PBGOODWILLDEDUCTED(B2168,E2168)</f>
        <v>1.0539336778566299</v>
      </c>
      <c r="O2168" s="7">
        <f>[1]!EM_S_VAL_PS_TTM(B2168,E2168)</f>
        <v>1.8255989426671999</v>
      </c>
      <c r="P2168" s="7">
        <f>[1]!EM_S_VAL_PCF_NCFTTM(B2168,E2168)</f>
        <v>4.8271596493103797</v>
      </c>
      <c r="Q2168" s="7">
        <f>[1]!EM_S_VAL_DIVIDENDYIELD2(B2168,E2168,"2019-11-29")</f>
        <v>0</v>
      </c>
      <c r="T2168"/>
      <c r="U2168">
        <f>[1]!EM_S_RATIO_EPS_TTM(B2168,E2168,"1")</f>
        <v>5.8557315714106134E-2</v>
      </c>
      <c r="AT2168" s="4" t="str">
        <f>[1]!EM_S_IPO_LISTEDDATE(B2168)</f>
        <v>1998-10-07</v>
      </c>
    </row>
    <row r="2169" spans="1:46">
      <c r="A2169">
        <v>3022</v>
      </c>
      <c r="B2169" t="str">
        <f>"601001"</f>
        <v>601001</v>
      </c>
      <c r="C2169" t="s">
        <v>1222</v>
      </c>
      <c r="D2169" t="str">
        <f>[1]!EM_S_INFO_INDEX_EM(B2169,"1")</f>
        <v>化石能源</v>
      </c>
      <c r="E2169" s="4">
        <f t="shared" si="33"/>
        <v>43465</v>
      </c>
      <c r="F2169" s="11">
        <f>[1]!EM_S_PQ_PCTCHANGE(B2169,"2018-01-01","2019-12-31","3")</f>
        <v>-27.272727270000001</v>
      </c>
      <c r="G2169" s="11">
        <f>[1]!EM_S_PQ_PCTCHANGE(B2169,"2018-12-31","2019-12-30","1")</f>
        <v>1.8735363</v>
      </c>
      <c r="H2169" s="11">
        <f>[1]!EM_S_FA_YOY_OR(B2169,E2169)</f>
        <v>22.883235734100001</v>
      </c>
      <c r="I2169" s="11">
        <f>[1]!EM_S_FA_GROSSPROFITMARGIN(B2169,E2169)</f>
        <v>51.573568569899997</v>
      </c>
      <c r="J2169" s="11">
        <f>[1]!EM_S_FA_NETPROFITMARGIN(B2169,E2169)</f>
        <v>10.4542756174</v>
      </c>
      <c r="K2169" s="10">
        <f>[1]!EM_S_FA_ASSETSTURN(B2169,E2169)</f>
        <v>0.43044318329699999</v>
      </c>
      <c r="L2169" s="12">
        <f>[1]!EM_HKS_VAL_MV(B2169,"2019-12-31","2")</f>
        <v>7364280000</v>
      </c>
      <c r="M2169">
        <f>[1]!EM_S_VAL_PETTMDEDUCTED(B2169,E2169)</f>
        <v>11.917400509887701</v>
      </c>
      <c r="N2169" s="7">
        <f>[1]!EM_S_VAL_PBGOODWILLDEDUCTED(B2169,E2169)</f>
        <v>1.2968764491334801</v>
      </c>
      <c r="O2169" s="7">
        <f>[1]!EM_S_VAL_PS_TTM(B2169,E2169)</f>
        <v>0.71309675696159203</v>
      </c>
      <c r="P2169" s="7">
        <f>[1]!EM_S_VAL_PCF_NCFTTM(B2169,E2169)</f>
        <v>-3.10010681952203</v>
      </c>
      <c r="Q2169" s="7">
        <f>[1]!EM_S_VAL_DIVIDENDYIELD2(B2169,E2169,"2019-11-29")</f>
        <v>0</v>
      </c>
      <c r="T2169"/>
      <c r="U2169">
        <f>[1]!EM_S_RATIO_EPS_TTM(B2169,E2169,"1")</f>
        <v>0.39416336206608116</v>
      </c>
      <c r="AT2169" s="4" t="str">
        <f>[1]!EM_S_IPO_LISTEDDATE(B2169)</f>
        <v>2006-06-23</v>
      </c>
    </row>
    <row r="2170" spans="1:46">
      <c r="A2170">
        <v>1092</v>
      </c>
      <c r="B2170" t="str">
        <f>"002581"</f>
        <v>002581</v>
      </c>
      <c r="C2170" t="s">
        <v>882</v>
      </c>
      <c r="D2170" t="str">
        <f>[1]!EM_S_INFO_INDEX_EM(B2170,"1")</f>
        <v>医药生物</v>
      </c>
      <c r="E2170" s="4">
        <f t="shared" si="33"/>
        <v>43465</v>
      </c>
      <c r="F2170" s="11">
        <f>[1]!EM_S_PQ_PCTCHANGE(B2170,"2018-01-01","2019-12-31","3")</f>
        <v>-62.232655190000003</v>
      </c>
      <c r="G2170" s="11">
        <f>[1]!EM_S_PQ_PCTCHANGE(B2170,"2018-12-31","2019-12-30","1")</f>
        <v>1.8575851400000001</v>
      </c>
      <c r="H2170" s="11">
        <f>[1]!EM_S_FA_YOY_OR(B2170,E2170)</f>
        <v>-42.826542644600003</v>
      </c>
      <c r="I2170" s="11">
        <f>[1]!EM_S_FA_GROSSPROFITMARGIN(B2170,E2170)</f>
        <v>85.170737455199998</v>
      </c>
      <c r="J2170" s="11">
        <f>[1]!EM_S_FA_NETPROFITMARGIN(B2170,E2170)</f>
        <v>-13.9268262507</v>
      </c>
      <c r="K2170" s="10">
        <f>[1]!EM_S_FA_ASSETSTURN(B2170,E2170)</f>
        <v>0.16020304981700001</v>
      </c>
      <c r="L2170" s="12">
        <f>[1]!EM_HKS_VAL_MV(B2170,"2019-12-31","2")</f>
        <v>4776485642.6400003</v>
      </c>
      <c r="M2170">
        <f>[1]!EM_S_VAL_PETTMDEDUCTED(B2170,E2170)</f>
        <v>35.594437930864103</v>
      </c>
      <c r="N2170" s="7">
        <f>[1]!EM_S_VAL_PBGOODWILLDEDUCTED(B2170,E2170)</f>
        <v>1.5544843847462899</v>
      </c>
      <c r="O2170" s="7">
        <f>[1]!EM_S_VAL_PS_TTM(B2170,E2170)</f>
        <v>4.7673500149023296</v>
      </c>
      <c r="P2170" s="7">
        <f>[1]!EM_S_VAL_PCF_NCFTTM(B2170,E2170)</f>
        <v>26.0070413220562</v>
      </c>
      <c r="Q2170" s="7">
        <f>[1]!EM_S_VAL_DIVIDENDYIELD2(B2170,E2170,"2019-11-29")</f>
        <v>0</v>
      </c>
      <c r="T2170"/>
      <c r="U2170">
        <f>[1]!EM_S_RATIO_EPS_TTM(B2170,E2170,"1")</f>
        <v>-0.14519309880003958</v>
      </c>
      <c r="AT2170" s="4" t="str">
        <f>[1]!EM_S_IPO_LISTEDDATE(B2170)</f>
        <v>2011-05-20</v>
      </c>
    </row>
    <row r="2171" spans="1:46">
      <c r="A2171">
        <v>378</v>
      </c>
      <c r="B2171" t="str">
        <f>"000822"</f>
        <v>000822</v>
      </c>
      <c r="C2171" t="s">
        <v>303</v>
      </c>
      <c r="D2171" t="str">
        <f>[1]!EM_S_INFO_INDEX_EM(B2171,"1")</f>
        <v>基础化工</v>
      </c>
      <c r="E2171" s="4">
        <f t="shared" si="33"/>
        <v>43465</v>
      </c>
      <c r="F2171" s="11">
        <f>[1]!EM_S_PQ_PCTCHANGE(B2171,"2018-01-01","2019-12-31","3")</f>
        <v>-43.352129789999999</v>
      </c>
      <c r="G2171" s="11">
        <f>[1]!EM_S_PQ_PCTCHANGE(B2171,"2018-12-31","2019-12-30","1")</f>
        <v>1.8556701</v>
      </c>
      <c r="H2171" s="11">
        <f>[1]!EM_S_FA_YOY_OR(B2171,E2171)</f>
        <v>9.2524388398999999</v>
      </c>
      <c r="I2171" s="11">
        <f>[1]!EM_S_FA_GROSSPROFITMARGIN(B2171,E2171)</f>
        <v>18.6834375193</v>
      </c>
      <c r="J2171" s="11">
        <f>[1]!EM_S_FA_NETPROFITMARGIN(B2171,E2171)</f>
        <v>11.152802256299999</v>
      </c>
      <c r="K2171" s="10">
        <f>[1]!EM_S_FA_ASSETSTURN(B2171,E2171)</f>
        <v>1.1840461408030001</v>
      </c>
      <c r="L2171" s="12">
        <f>[1]!EM_HKS_VAL_MV(B2171,"2019-12-31","2")</f>
        <v>4394901356.6599998</v>
      </c>
      <c r="M2171">
        <f>[1]!EM_S_VAL_PETTMDEDUCTED(B2171,E2171)</f>
        <v>7.2008113970365404</v>
      </c>
      <c r="N2171" s="7">
        <f>[1]!EM_S_VAL_PBGOODWILLDEDUCTED(B2171,E2171)</f>
        <v>1.2865496200478601</v>
      </c>
      <c r="O2171" s="7">
        <f>[1]!EM_S_VAL_PS_TTM(B2171,E2171)</f>
        <v>0.82992369361052598</v>
      </c>
      <c r="P2171" s="7">
        <f>[1]!EM_S_VAL_PCF_NCFTTM(B2171,E2171)</f>
        <v>206.09063119343901</v>
      </c>
      <c r="Q2171" s="7">
        <f>[1]!EM_S_VAL_DIVIDENDYIELD2(B2171,E2171,"2019-11-29")</f>
        <v>4.4444444444444446</v>
      </c>
      <c r="T2171"/>
      <c r="U2171">
        <f>[1]!EM_S_RATIO_EPS_TTM(B2171,E2171,"1")</f>
        <v>0.65529255137086329</v>
      </c>
      <c r="AT2171" s="4" t="str">
        <f>[1]!EM_S_IPO_LISTEDDATE(B2171)</f>
        <v>1998-07-03</v>
      </c>
    </row>
    <row r="2172" spans="1:46">
      <c r="A2172">
        <v>1712</v>
      </c>
      <c r="B2172" t="str">
        <f>"300287"</f>
        <v>300287</v>
      </c>
      <c r="C2172" t="s">
        <v>1624</v>
      </c>
      <c r="D2172" t="str">
        <f>[1]!EM_S_INFO_INDEX_EM(B2172,"1")</f>
        <v>信息技术</v>
      </c>
      <c r="E2172" s="4">
        <f t="shared" si="33"/>
        <v>43465</v>
      </c>
      <c r="F2172" s="11">
        <f>[1]!EM_S_PQ_PCTCHANGE(B2172,"2018-01-01","2019-12-31","3")</f>
        <v>-47.699782079999999</v>
      </c>
      <c r="G2172" s="11">
        <f>[1]!EM_S_PQ_PCTCHANGE(B2172,"2018-12-31","2019-12-30","1")</f>
        <v>1.8518518500000001</v>
      </c>
      <c r="H2172" s="11">
        <f>[1]!EM_S_FA_YOY_OR(B2172,E2172)</f>
        <v>-35.803945242899999</v>
      </c>
      <c r="I2172" s="11">
        <f>[1]!EM_S_FA_GROSSPROFITMARGIN(B2172,E2172)</f>
        <v>13.646950156799999</v>
      </c>
      <c r="J2172" s="11">
        <f>[1]!EM_S_FA_NETPROFITMARGIN(B2172,E2172)</f>
        <v>-137.82130792320001</v>
      </c>
      <c r="K2172" s="10">
        <f>[1]!EM_S_FA_ASSETSTURN(B2172,E2172)</f>
        <v>0.219573435851</v>
      </c>
      <c r="L2172" s="12">
        <f>[1]!EM_HKS_VAL_MV(B2172,"2019-12-31","2")</f>
        <v>5511451422.7200003</v>
      </c>
      <c r="M2172">
        <f>[1]!EM_S_VAL_PETTMDEDUCTED(B2172,E2172)</f>
        <v>16.972165089286602</v>
      </c>
      <c r="N2172" s="7">
        <f>[1]!EM_S_VAL_PBGOODWILLDEDUCTED(B2172,E2172)</f>
        <v>1.8584909129958</v>
      </c>
      <c r="O2172" s="7">
        <f>[1]!EM_S_VAL_PS_TTM(B2172,E2172)</f>
        <v>2.01278921978792</v>
      </c>
      <c r="P2172" s="7">
        <f>[1]!EM_S_VAL_PCF_NCFTTM(B2172,E2172)</f>
        <v>-13.992211300737999</v>
      </c>
      <c r="Q2172" s="7">
        <f>[1]!EM_S_VAL_DIVIDENDYIELD2(B2172,E2172,"2019-11-29")</f>
        <v>0</v>
      </c>
      <c r="T2172"/>
      <c r="U2172">
        <f>[1]!EM_S_RATIO_EPS_TTM(B2172,E2172,"1")</f>
        <v>-1.3650518705766002</v>
      </c>
      <c r="AT2172" s="4" t="str">
        <f>[1]!EM_S_IPO_LISTEDDATE(B2172)</f>
        <v>2012-02-01</v>
      </c>
    </row>
    <row r="2173" spans="1:46">
      <c r="A2173">
        <v>1286</v>
      </c>
      <c r="B2173" t="str">
        <f>"002779"</f>
        <v>002779</v>
      </c>
      <c r="C2173" t="s">
        <v>2510</v>
      </c>
      <c r="D2173" t="str">
        <f>[1]!EM_S_INFO_INDEX_EM(B2173,"1")</f>
        <v>机械设备</v>
      </c>
      <c r="E2173" s="4">
        <f t="shared" si="33"/>
        <v>43465</v>
      </c>
      <c r="F2173" s="11">
        <f>[1]!EM_S_PQ_PCTCHANGE(B2173,"2018-01-01","2019-12-31","3")</f>
        <v>-22.545253649999999</v>
      </c>
      <c r="G2173" s="11">
        <f>[1]!EM_S_PQ_PCTCHANGE(B2173,"2018-12-31","2019-12-30","1")</f>
        <v>1.84842884</v>
      </c>
      <c r="H2173" s="11">
        <f>[1]!EM_S_FA_YOY_OR(B2173,E2173)</f>
        <v>-5.6462528599999997</v>
      </c>
      <c r="I2173" s="11">
        <f>[1]!EM_S_FA_GROSSPROFITMARGIN(B2173,E2173)</f>
        <v>18.715958587900001</v>
      </c>
      <c r="J2173" s="11">
        <f>[1]!EM_S_FA_NETPROFITMARGIN(B2173,E2173)</f>
        <v>2.8302647793000002</v>
      </c>
      <c r="K2173" s="10">
        <f>[1]!EM_S_FA_ASSETSTURN(B2173,E2173)</f>
        <v>0.50150934542799996</v>
      </c>
      <c r="L2173" s="12">
        <f>[1]!EM_HKS_VAL_MV(B2173,"2019-12-31","2")</f>
        <v>2191200000</v>
      </c>
      <c r="M2173">
        <f>[1]!EM_S_VAL_PETTMDEDUCTED(B2173,E2173)</f>
        <v>-387.79010219759601</v>
      </c>
      <c r="N2173" s="7">
        <f>[1]!EM_S_VAL_PBGOODWILLDEDUCTED(B2173,E2173)</f>
        <v>3.3577970046469998</v>
      </c>
      <c r="O2173" s="7">
        <f>[1]!EM_S_VAL_PS_TTM(B2173,E2173)</f>
        <v>5.32508667603323</v>
      </c>
      <c r="P2173" s="7">
        <f>[1]!EM_S_VAL_PCF_NCFTTM(B2173,E2173)</f>
        <v>-78.038304745416298</v>
      </c>
      <c r="Q2173" s="7">
        <f>[1]!EM_S_VAL_DIVIDENDYIELD2(B2173,E2173,"2019-11-29")</f>
        <v>0.10215664018161182</v>
      </c>
      <c r="T2173"/>
      <c r="U2173">
        <f>[1]!EM_S_RATIO_EPS_TTM(B2173,E2173,"1")</f>
        <v>8.9202044999999994E-2</v>
      </c>
      <c r="AT2173" s="4" t="str">
        <f>[1]!EM_S_IPO_LISTEDDATE(B2173)</f>
        <v>2015-12-09</v>
      </c>
    </row>
    <row r="2174" spans="1:46">
      <c r="A2174">
        <v>1278</v>
      </c>
      <c r="B2174" t="str">
        <f>"002771"</f>
        <v>002771</v>
      </c>
      <c r="C2174" t="s">
        <v>2199</v>
      </c>
      <c r="D2174" t="str">
        <f>[1]!EM_S_INFO_INDEX_EM(B2174,"1")</f>
        <v>信息技术</v>
      </c>
      <c r="E2174" s="4">
        <f t="shared" si="33"/>
        <v>43465</v>
      </c>
      <c r="F2174" s="11">
        <f>[1]!EM_S_PQ_PCTCHANGE(B2174,"2018-01-01","2019-12-31","3")</f>
        <v>-21.05900329</v>
      </c>
      <c r="G2174" s="11">
        <f>[1]!EM_S_PQ_PCTCHANGE(B2174,"2018-12-31","2019-12-30","1")</f>
        <v>1.8115942</v>
      </c>
      <c r="H2174" s="11">
        <f>[1]!EM_S_FA_YOY_OR(B2174,E2174)</f>
        <v>6.7943835254999998</v>
      </c>
      <c r="I2174" s="11">
        <f>[1]!EM_S_FA_GROSSPROFITMARGIN(B2174,E2174)</f>
        <v>22.399439234100001</v>
      </c>
      <c r="J2174" s="11">
        <f>[1]!EM_S_FA_NETPROFITMARGIN(B2174,E2174)</f>
        <v>4.8141936776999996</v>
      </c>
      <c r="K2174" s="10">
        <f>[1]!EM_S_FA_ASSETSTURN(B2174,E2174)</f>
        <v>0.73658599130299995</v>
      </c>
      <c r="L2174" s="12">
        <f>[1]!EM_HKS_VAL_MV(B2174,"2019-12-31","2")</f>
        <v>2365184185</v>
      </c>
      <c r="M2174">
        <f>[1]!EM_S_VAL_PETTMDEDUCTED(B2174,E2174)</f>
        <v>34.599855806602598</v>
      </c>
      <c r="N2174" s="7">
        <f>[1]!EM_S_VAL_PBGOODWILLDEDUCTED(B2174,E2174)</f>
        <v>2.65552738177204</v>
      </c>
      <c r="O2174" s="7">
        <f>[1]!EM_S_VAL_PS_TTM(B2174,E2174)</f>
        <v>2.1823458224688799</v>
      </c>
      <c r="P2174" s="7">
        <f>[1]!EM_S_VAL_PCF_NCFTTM(B2174,E2174)</f>
        <v>-97.520661503186901</v>
      </c>
      <c r="Q2174" s="7">
        <f>[1]!EM_S_VAL_DIVIDENDYIELD2(B2174,E2174,"2019-11-29")</f>
        <v>0.55957621428038495</v>
      </c>
      <c r="T2174"/>
      <c r="U2174">
        <f>[1]!EM_S_RATIO_EPS_TTM(B2174,E2174,"1")</f>
        <v>0.26051804335903112</v>
      </c>
      <c r="AT2174" s="4" t="str">
        <f>[1]!EM_S_IPO_LISTEDDATE(B2174)</f>
        <v>2015-06-29</v>
      </c>
    </row>
    <row r="2175" spans="1:46">
      <c r="A2175">
        <v>2684</v>
      </c>
      <c r="B2175" t="str">
        <f>"600611"</f>
        <v>600611</v>
      </c>
      <c r="C2175" t="s">
        <v>1603</v>
      </c>
      <c r="D2175" t="str">
        <f>[1]!EM_S_INFO_INDEX_EM(B2175,"1")</f>
        <v>交通运输</v>
      </c>
      <c r="E2175" s="4">
        <f t="shared" si="33"/>
        <v>43465</v>
      </c>
      <c r="F2175" s="11">
        <f>[1]!EM_S_PQ_PCTCHANGE(B2175,"2018-01-01","2019-12-31","3")</f>
        <v>-13.646425969999999</v>
      </c>
      <c r="G2175" s="11">
        <f>[1]!EM_S_PQ_PCTCHANGE(B2175,"2018-12-31","2019-12-30","1")</f>
        <v>1.75438596</v>
      </c>
      <c r="H2175" s="11">
        <f>[1]!EM_S_FA_YOY_OR(B2175,E2175)</f>
        <v>42.2113407792</v>
      </c>
      <c r="I2175" s="11">
        <f>[1]!EM_S_FA_GROSSPROFITMARGIN(B2175,E2175)</f>
        <v>33.179075457800003</v>
      </c>
      <c r="J2175" s="11">
        <f>[1]!EM_S_FA_NETPROFITMARGIN(B2175,E2175)</f>
        <v>27.5702436027</v>
      </c>
      <c r="K2175" s="10">
        <f>[1]!EM_S_FA_ASSETSTURN(B2175,E2175)</f>
        <v>0.226920229172</v>
      </c>
      <c r="L2175" s="12">
        <f>[1]!EM_HKS_VAL_MV(B2175,"2019-12-31","2")</f>
        <v>9598338827.8400002</v>
      </c>
      <c r="M2175">
        <f>[1]!EM_S_VAL_PETTMDEDUCTED(B2175,E2175)</f>
        <v>19.440180046543201</v>
      </c>
      <c r="N2175" s="7">
        <f>[1]!EM_S_VAL_PBGOODWILLDEDUCTED(B2175,E2175)</f>
        <v>1.0924144423201301</v>
      </c>
      <c r="O2175" s="7">
        <f>[1]!EM_S_VAL_PS_TTM(B2175,E2175)</f>
        <v>3.0215670017242302</v>
      </c>
      <c r="P2175" s="7">
        <f>[1]!EM_S_VAL_PCF_NCFTTM(B2175,E2175)</f>
        <v>-44.096462129524497</v>
      </c>
      <c r="Q2175" s="7">
        <f>[1]!EM_S_VAL_DIVIDENDYIELD2(B2175,E2175,"2019-11-29")</f>
        <v>3.0303030303030307</v>
      </c>
      <c r="T2175"/>
      <c r="U2175">
        <f>[1]!EM_S_RATIO_EPS_TTM(B2175,E2175,"1")</f>
        <v>0.37288774440362588</v>
      </c>
      <c r="AT2175" s="4" t="str">
        <f>[1]!EM_S_IPO_LISTEDDATE(B2175)</f>
        <v>1992-08-07</v>
      </c>
    </row>
    <row r="2176" spans="1:46">
      <c r="A2176">
        <v>734</v>
      </c>
      <c r="B2176" t="str">
        <f>"002223"</f>
        <v>002223</v>
      </c>
      <c r="C2176" t="s">
        <v>480</v>
      </c>
      <c r="D2176" t="str">
        <f>[1]!EM_S_INFO_INDEX_EM(B2176,"1")</f>
        <v>医药生物</v>
      </c>
      <c r="E2176" s="4">
        <f t="shared" si="33"/>
        <v>43465</v>
      </c>
      <c r="F2176" s="11">
        <f>[1]!EM_S_PQ_PCTCHANGE(B2176,"2018-01-01","2019-12-31","3")</f>
        <v>5.19947509</v>
      </c>
      <c r="G2176" s="11">
        <f>[1]!EM_S_PQ_PCTCHANGE(B2176,"2018-12-31","2019-12-30","1")</f>
        <v>1.73380928</v>
      </c>
      <c r="H2176" s="11">
        <f>[1]!EM_S_FA_YOY_OR(B2176,E2176)</f>
        <v>18.1227600462</v>
      </c>
      <c r="I2176" s="11">
        <f>[1]!EM_S_FA_GROSSPROFITMARGIN(B2176,E2176)</f>
        <v>39.825180909099998</v>
      </c>
      <c r="J2176" s="11">
        <f>[1]!EM_S_FA_NETPROFITMARGIN(B2176,E2176)</f>
        <v>17.949192160999999</v>
      </c>
      <c r="K2176" s="10">
        <f>[1]!EM_S_FA_ASSETSTURN(B2176,E2176)</f>
        <v>0.617930227306</v>
      </c>
      <c r="L2176" s="12">
        <f>[1]!EM_HKS_VAL_MV(B2176,"2019-12-31","2")</f>
        <v>20370331197.279999</v>
      </c>
      <c r="M2176">
        <f>[1]!EM_S_VAL_PETTMDEDUCTED(B2176,E2176)</f>
        <v>32.688081737275198</v>
      </c>
      <c r="N2176" s="7">
        <f>[1]!EM_S_VAL_PBGOODWILLDEDUCTED(B2176,E2176)</f>
        <v>4.1545888260275499</v>
      </c>
      <c r="O2176" s="7">
        <f>[1]!EM_S_VAL_PS_TTM(B2176,E2176)</f>
        <v>4.8786757131587004</v>
      </c>
      <c r="P2176" s="7">
        <f>[1]!EM_S_VAL_PCF_NCFTTM(B2176,E2176)</f>
        <v>-123.133801030724</v>
      </c>
      <c r="Q2176" s="7">
        <f>[1]!EM_S_VAL_DIVIDENDYIELD2(B2176,E2176,"2019-11-29")</f>
        <v>0.76804915514592931</v>
      </c>
      <c r="T2176"/>
      <c r="U2176">
        <f>[1]!EM_S_RATIO_EPS_TTM(B2176,E2176,"1")</f>
        <v>0.72535768297965497</v>
      </c>
      <c r="AT2176" s="4" t="str">
        <f>[1]!EM_S_IPO_LISTEDDATE(B2176)</f>
        <v>2008-04-18</v>
      </c>
    </row>
    <row r="2177" spans="1:46">
      <c r="A2177">
        <v>490</v>
      </c>
      <c r="B2177" t="str">
        <f>"000978"</f>
        <v>000978</v>
      </c>
      <c r="C2177" t="s">
        <v>3221</v>
      </c>
      <c r="D2177" t="str">
        <f>[1]!EM_S_INFO_INDEX_EM(B2177,"1")</f>
        <v>休闲、生活及专业服务</v>
      </c>
      <c r="E2177" s="4">
        <f t="shared" si="33"/>
        <v>43465</v>
      </c>
      <c r="F2177" s="11">
        <f>[1]!EM_S_PQ_PCTCHANGE(B2177,"2018-01-01","2019-12-31","3")</f>
        <v>-34.216228409999999</v>
      </c>
      <c r="G2177" s="11">
        <f>[1]!EM_S_PQ_PCTCHANGE(B2177,"2018-12-31","2019-12-30","1")</f>
        <v>1.7208413</v>
      </c>
      <c r="H2177" s="11">
        <f>[1]!EM_S_FA_YOY_OR(B2177,E2177)</f>
        <v>3.0163791351999998</v>
      </c>
      <c r="I2177" s="11">
        <f>[1]!EM_S_FA_GROSSPROFITMARGIN(B2177,E2177)</f>
        <v>45.971569713800001</v>
      </c>
      <c r="J2177" s="11">
        <f>[1]!EM_S_FA_NETPROFITMARGIN(B2177,E2177)</f>
        <v>11.546324214</v>
      </c>
      <c r="K2177" s="10">
        <f>[1]!EM_S_FA_ASSETSTURN(B2177,E2177)</f>
        <v>0.20652282867800001</v>
      </c>
      <c r="L2177" s="12">
        <f>[1]!EM_HKS_VAL_MV(B2177,"2019-12-31","2")</f>
        <v>1915732000</v>
      </c>
      <c r="M2177">
        <f>[1]!EM_S_VAL_PETTMDEDUCTED(B2177,E2177)</f>
        <v>28.216971603076502</v>
      </c>
      <c r="N2177" s="7">
        <f>[1]!EM_S_VAL_PBGOODWILLDEDUCTED(B2177,E2177)</f>
        <v>1.21371232375615</v>
      </c>
      <c r="O2177" s="7">
        <f>[1]!EM_S_VAL_PS_TTM(B2177,E2177)</f>
        <v>3.26403898442326</v>
      </c>
      <c r="P2177" s="7">
        <f>[1]!EM_S_VAL_PCF_NCFTTM(B2177,E2177)</f>
        <v>-47.0975089146852</v>
      </c>
      <c r="Q2177" s="7">
        <f>[1]!EM_S_VAL_DIVIDENDYIELD2(B2177,E2177,"2019-11-29")</f>
        <v>1.5779092702169626</v>
      </c>
      <c r="T2177"/>
      <c r="U2177">
        <f>[1]!EM_S_RATIO_EPS_TTM(B2177,E2177,"1")</f>
        <v>0.22327732024437655</v>
      </c>
      <c r="AT2177" s="4" t="str">
        <f>[1]!EM_S_IPO_LISTEDDATE(B2177)</f>
        <v>2000-05-18</v>
      </c>
    </row>
    <row r="2178" spans="1:46">
      <c r="A2178">
        <v>3414</v>
      </c>
      <c r="B2178" t="str">
        <f>"603507"</f>
        <v>603507</v>
      </c>
      <c r="C2178" t="s">
        <v>2571</v>
      </c>
      <c r="D2178" t="str">
        <f>[1]!EM_S_INFO_INDEX_EM(B2178,"1")</f>
        <v>机械设备</v>
      </c>
      <c r="E2178" s="4">
        <f t="shared" si="33"/>
        <v>43465</v>
      </c>
      <c r="F2178" s="11">
        <f>[1]!EM_S_PQ_PCTCHANGE(B2178,"2018-01-01","2019-12-31","3")</f>
        <v>-43.139553820000003</v>
      </c>
      <c r="G2178" s="11">
        <f>[1]!EM_S_PQ_PCTCHANGE(B2178,"2018-12-31","2019-12-30","1")</f>
        <v>1.6864174999999999</v>
      </c>
      <c r="H2178" s="11">
        <f>[1]!EM_S_FA_YOY_OR(B2178,E2178)</f>
        <v>3.954477968</v>
      </c>
      <c r="I2178" s="11">
        <f>[1]!EM_S_FA_GROSSPROFITMARGIN(B2178,E2178)</f>
        <v>25.338747313700001</v>
      </c>
      <c r="J2178" s="11">
        <f>[1]!EM_S_FA_NETPROFITMARGIN(B2178,E2178)</f>
        <v>6.1533659585000002</v>
      </c>
      <c r="K2178" s="10">
        <f>[1]!EM_S_FA_ASSETSTURN(B2178,E2178)</f>
        <v>0.39841892020199998</v>
      </c>
      <c r="L2178" s="12">
        <f>[1]!EM_HKS_VAL_MV(B2178,"2019-12-31","2")</f>
        <v>2879045072</v>
      </c>
      <c r="M2178">
        <f>[1]!EM_S_VAL_PETTMDEDUCTED(B2178,E2178)</f>
        <v>58.0607856918651</v>
      </c>
      <c r="N2178" s="7">
        <f>[1]!EM_S_VAL_PBGOODWILLDEDUCTED(B2178,E2178)</f>
        <v>2.1514214045325701</v>
      </c>
      <c r="O2178" s="7">
        <f>[1]!EM_S_VAL_PS_TTM(B2178,E2178)</f>
        <v>3.32368787839482</v>
      </c>
      <c r="P2178" s="7">
        <f>[1]!EM_S_VAL_PCF_NCFTTM(B2178,E2178)</f>
        <v>31.787148525326</v>
      </c>
      <c r="Q2178" s="7">
        <f>[1]!EM_S_VAL_DIVIDENDYIELD2(B2178,E2178,"2019-11-29")</f>
        <v>0.74116458605127999</v>
      </c>
      <c r="T2178"/>
      <c r="U2178">
        <f>[1]!EM_S_RATIO_EPS_TTM(B2178,E2178,"1")</f>
        <v>0.47429924750978675</v>
      </c>
      <c r="AT2178" s="4" t="str">
        <f>[1]!EM_S_IPO_LISTEDDATE(B2178)</f>
        <v>2017-11-06</v>
      </c>
    </row>
    <row r="2179" spans="1:46">
      <c r="A2179">
        <v>2646</v>
      </c>
      <c r="B2179" t="str">
        <f>"600572"</f>
        <v>600572</v>
      </c>
      <c r="C2179" t="s">
        <v>358</v>
      </c>
      <c r="D2179" t="str">
        <f>[1]!EM_S_INFO_INDEX_EM(B2179,"1")</f>
        <v>医药生物</v>
      </c>
      <c r="E2179" s="4">
        <f t="shared" ref="E2179:E2242" si="34">$B$1</f>
        <v>43465</v>
      </c>
      <c r="F2179" s="11">
        <f>[1]!EM_S_PQ_PCTCHANGE(B2179,"2018-01-01","2019-12-31","3")</f>
        <v>-9.2611332100000006</v>
      </c>
      <c r="G2179" s="11">
        <f>[1]!EM_S_PQ_PCTCHANGE(B2179,"2018-12-31","2019-12-30","1")</f>
        <v>1.6863406400000001</v>
      </c>
      <c r="H2179" s="11">
        <f>[1]!EM_S_FA_YOY_OR(B2179,E2179)</f>
        <v>28.195842102899999</v>
      </c>
      <c r="I2179" s="11">
        <f>[1]!EM_S_FA_GROSSPROFITMARGIN(B2179,E2179)</f>
        <v>77.112209722599999</v>
      </c>
      <c r="J2179" s="11">
        <f>[1]!EM_S_FA_NETPROFITMARGIN(B2179,E2179)</f>
        <v>11.9107363211</v>
      </c>
      <c r="K2179" s="10">
        <f>[1]!EM_S_FA_ASSETSTURN(B2179,E2179)</f>
        <v>0.67416026342299995</v>
      </c>
      <c r="L2179" s="12">
        <f>[1]!EM_HKS_VAL_MV(B2179,"2019-12-31","2")</f>
        <v>16404019230</v>
      </c>
      <c r="M2179">
        <f>[1]!EM_S_VAL_PETTMDEDUCTED(B2179,E2179)</f>
        <v>19.084133722504099</v>
      </c>
      <c r="N2179" s="7">
        <f>[1]!EM_S_VAL_PBGOODWILLDEDUCTED(B2179,E2179)</f>
        <v>3.3391872438516601</v>
      </c>
      <c r="O2179" s="7">
        <f>[1]!EM_S_VAL_PS_TTM(B2179,E2179)</f>
        <v>2.2907839566164401</v>
      </c>
      <c r="P2179" s="7">
        <f>[1]!EM_S_VAL_PCF_NCFTTM(B2179,E2179)</f>
        <v>25.8470604140368</v>
      </c>
      <c r="Q2179" s="7">
        <f>[1]!EM_S_VAL_DIVIDENDYIELD2(B2179,E2179,"2019-11-29")</f>
        <v>2.4077046548956664</v>
      </c>
      <c r="T2179"/>
      <c r="U2179">
        <f>[1]!EM_S_RATIO_EPS_TTM(B2179,E2179,"1")</f>
        <v>0.30134908684754086</v>
      </c>
      <c r="AT2179" s="4" t="str">
        <f>[1]!EM_S_IPO_LISTEDDATE(B2179)</f>
        <v>2004-04-12</v>
      </c>
    </row>
    <row r="2180" spans="1:46">
      <c r="A2180">
        <v>2554</v>
      </c>
      <c r="B2180" t="str">
        <f>"600463"</f>
        <v>600463</v>
      </c>
      <c r="C2180" t="s">
        <v>2725</v>
      </c>
      <c r="D2180" t="str">
        <f>[1]!EM_S_INFO_INDEX_EM(B2180,"1")</f>
        <v>房地产</v>
      </c>
      <c r="E2180" s="4">
        <f t="shared" si="34"/>
        <v>43465</v>
      </c>
      <c r="F2180" s="11">
        <f>[1]!EM_S_PQ_PCTCHANGE(B2180,"2018-01-01","2019-12-31","3")</f>
        <v>-34.326365090000003</v>
      </c>
      <c r="G2180" s="11">
        <f>[1]!EM_S_PQ_PCTCHANGE(B2180,"2018-12-31","2019-12-30","1")</f>
        <v>1.6759776500000001</v>
      </c>
      <c r="H2180" s="11">
        <f>[1]!EM_S_FA_YOY_OR(B2180,E2180)</f>
        <v>-21.1608676878</v>
      </c>
      <c r="I2180" s="11">
        <f>[1]!EM_S_FA_GROSSPROFITMARGIN(B2180,E2180)</f>
        <v>13.2037423415</v>
      </c>
      <c r="J2180" s="11">
        <f>[1]!EM_S_FA_NETPROFITMARGIN(B2180,E2180)</f>
        <v>0.76794761079999996</v>
      </c>
      <c r="K2180" s="10">
        <f>[1]!EM_S_FA_ASSETSTURN(B2180,E2180)</f>
        <v>0.43529598992500002</v>
      </c>
      <c r="L2180" s="12">
        <f>[1]!EM_HKS_VAL_MV(B2180,"2019-12-31","2")</f>
        <v>2187000000</v>
      </c>
      <c r="M2180">
        <f>[1]!EM_S_VAL_PETTMDEDUCTED(B2180,E2180)</f>
        <v>-40.501213414374099</v>
      </c>
      <c r="N2180" s="7">
        <f>[1]!EM_S_VAL_PBGOODWILLDEDUCTED(B2180,E2180)</f>
        <v>1.5223751280051001</v>
      </c>
      <c r="O2180" s="7">
        <f>[1]!EM_S_VAL_PS_TTM(B2180,E2180)</f>
        <v>1.91131910504536</v>
      </c>
      <c r="P2180" s="7">
        <f>[1]!EM_S_VAL_PCF_NCFTTM(B2180,E2180)</f>
        <v>-25.649979646221698</v>
      </c>
      <c r="Q2180" s="7">
        <f>[1]!EM_S_VAL_DIVIDENDYIELD2(B2180,E2180,"2019-11-29")</f>
        <v>0.22759601706970131</v>
      </c>
      <c r="T2180"/>
      <c r="U2180">
        <f>[1]!EM_S_RATIO_EPS_TTM(B2180,E2180,"1")</f>
        <v>5.102059056666667E-2</v>
      </c>
      <c r="AT2180" s="4" t="str">
        <f>[1]!EM_S_IPO_LISTEDDATE(B2180)</f>
        <v>2004-03-18</v>
      </c>
    </row>
    <row r="2181" spans="1:46">
      <c r="A2181">
        <v>3045</v>
      </c>
      <c r="B2181" t="str">
        <f>"601088"</f>
        <v>601088</v>
      </c>
      <c r="C2181" t="s">
        <v>540</v>
      </c>
      <c r="D2181" t="str">
        <f>[1]!EM_S_INFO_INDEX_EM(B2181,"1")</f>
        <v>化石能源</v>
      </c>
      <c r="E2181" s="4">
        <f t="shared" si="34"/>
        <v>43465</v>
      </c>
      <c r="F2181" s="11">
        <f>[1]!EM_S_PQ_PCTCHANGE(B2181,"2018-01-01","2019-12-31","3")</f>
        <v>-13.649805280000001</v>
      </c>
      <c r="G2181" s="11">
        <f>[1]!EM_S_PQ_PCTCHANGE(B2181,"2018-12-31","2019-12-30","1")</f>
        <v>1.6703786199999999</v>
      </c>
      <c r="H2181" s="11">
        <f>[1]!EM_S_FA_YOY_OR(B2181,E2181)</f>
        <v>6.1729635852999998</v>
      </c>
      <c r="I2181" s="11">
        <f>[1]!EM_S_FA_GROSSPROFITMARGIN(B2181,E2181)</f>
        <v>41.120253236499998</v>
      </c>
      <c r="J2181" s="11">
        <f>[1]!EM_S_FA_NETPROFITMARGIN(B2181,E2181)</f>
        <v>20.462247397799999</v>
      </c>
      <c r="K2181" s="10">
        <f>[1]!EM_S_FA_ASSETSTURN(B2181,E2181)</f>
        <v>0.45757010576399998</v>
      </c>
      <c r="L2181" s="12">
        <f>[1]!EM_HKS_VAL_MV(B2181,"2019-12-31","2")</f>
        <v>362985573303.75</v>
      </c>
      <c r="M2181">
        <f>[1]!EM_S_VAL_PETTMDEDUCTED(B2181,E2181)</f>
        <v>7.7993402626973198</v>
      </c>
      <c r="N2181" s="7">
        <f>[1]!EM_S_VAL_PBGOODWILLDEDUCTED(B2181,E2181)</f>
        <v>1.0898654923582001</v>
      </c>
      <c r="O2181" s="7">
        <f>[1]!EM_S_VAL_PS_TTM(B2181,E2181)</f>
        <v>1.37235668519103</v>
      </c>
      <c r="P2181" s="7">
        <f>[1]!EM_S_VAL_PCF_NCFTTM(B2181,E2181)</f>
        <v>8.8001966735268002</v>
      </c>
      <c r="Q2181" s="7">
        <f>[1]!EM_S_VAL_DIVIDENDYIELD2(B2181,E2181,"2019-11-29")</f>
        <v>5.1133062173155146</v>
      </c>
      <c r="T2181"/>
      <c r="U2181">
        <f>[1]!EM_S_RATIO_EPS_TTM(B2181,E2181,"1")</f>
        <v>2.2055222269951558</v>
      </c>
      <c r="AT2181" s="4" t="str">
        <f>[1]!EM_S_IPO_LISTEDDATE(B2181)</f>
        <v>2007-10-09</v>
      </c>
    </row>
    <row r="2182" spans="1:46">
      <c r="A2182">
        <v>1163</v>
      </c>
      <c r="B2182" t="str">
        <f>"002652"</f>
        <v>002652</v>
      </c>
      <c r="C2182" t="s">
        <v>902</v>
      </c>
      <c r="D2182" t="str">
        <f>[1]!EM_S_INFO_INDEX_EM(B2182,"1")</f>
        <v>机械设备</v>
      </c>
      <c r="E2182" s="4">
        <f t="shared" si="34"/>
        <v>43465</v>
      </c>
      <c r="F2182" s="11">
        <f>[1]!EM_S_PQ_PCTCHANGE(B2182,"2018-01-01","2019-12-31","3")</f>
        <v>-44.440964460000004</v>
      </c>
      <c r="G2182" s="11">
        <f>[1]!EM_S_PQ_PCTCHANGE(B2182,"2018-12-31","2019-12-30","1")</f>
        <v>1.5544041500000001</v>
      </c>
      <c r="H2182" s="11">
        <f>[1]!EM_S_FA_YOY_OR(B2182,E2182)</f>
        <v>5.0327988175999998</v>
      </c>
      <c r="I2182" s="11">
        <f>[1]!EM_S_FA_GROSSPROFITMARGIN(B2182,E2182)</f>
        <v>12.140993376100001</v>
      </c>
      <c r="J2182" s="11">
        <f>[1]!EM_S_FA_NETPROFITMARGIN(B2182,E2182)</f>
        <v>2.3635520549</v>
      </c>
      <c r="K2182" s="10">
        <f>[1]!EM_S_FA_ASSETSTURN(B2182,E2182)</f>
        <v>0.98101741028900002</v>
      </c>
      <c r="L2182" s="12">
        <f>[1]!EM_HKS_VAL_MV(B2182,"2019-12-31","2")</f>
        <v>2002170240</v>
      </c>
      <c r="M2182">
        <f>[1]!EM_S_VAL_PETTMDEDUCTED(B2182,E2182)</f>
        <v>29.238753979499499</v>
      </c>
      <c r="N2182" s="7">
        <f>[1]!EM_S_VAL_PBGOODWILLDEDUCTED(B2182,E2182)</f>
        <v>4.1311403750000801</v>
      </c>
      <c r="O2182" s="7">
        <f>[1]!EM_S_VAL_PS_TTM(B2182,E2182)</f>
        <v>0.74073525855439903</v>
      </c>
      <c r="P2182" s="7">
        <f>[1]!EM_S_VAL_PCF_NCFTTM(B2182,E2182)</f>
        <v>30.505944400620201</v>
      </c>
      <c r="Q2182" s="7">
        <f>[1]!EM_S_VAL_DIVIDENDYIELD2(B2182,E2182,"2019-11-29")</f>
        <v>0</v>
      </c>
      <c r="T2182"/>
      <c r="U2182">
        <f>[1]!EM_S_RATIO_EPS_TTM(B2182,E2182,"1")</f>
        <v>7.7342672829958756E-2</v>
      </c>
      <c r="AT2182" s="4" t="str">
        <f>[1]!EM_S_IPO_LISTEDDATE(B2182)</f>
        <v>2012-01-19</v>
      </c>
    </row>
    <row r="2183" spans="1:46">
      <c r="A2183">
        <v>3114</v>
      </c>
      <c r="B2183" t="str">
        <f>"601518"</f>
        <v>601518</v>
      </c>
      <c r="C2183" t="s">
        <v>1496</v>
      </c>
      <c r="D2183" t="str">
        <f>[1]!EM_S_INFO_INDEX_EM(B2183,"1")</f>
        <v>交通运输</v>
      </c>
      <c r="E2183" s="4">
        <f t="shared" si="34"/>
        <v>43465</v>
      </c>
      <c r="F2183" s="11">
        <f>[1]!EM_S_PQ_PCTCHANGE(B2183,"2018-01-01","2019-12-31","3")</f>
        <v>-23.209843339999999</v>
      </c>
      <c r="G2183" s="11">
        <f>[1]!EM_S_PQ_PCTCHANGE(B2183,"2018-12-31","2019-12-30","1")</f>
        <v>1.5503876000000001</v>
      </c>
      <c r="H2183" s="11">
        <f>[1]!EM_S_FA_YOY_OR(B2183,E2183)</f>
        <v>-12.5548791516</v>
      </c>
      <c r="I2183" s="11">
        <f>[1]!EM_S_FA_GROSSPROFITMARGIN(B2183,E2183)</f>
        <v>63.5059940127</v>
      </c>
      <c r="J2183" s="11">
        <f>[1]!EM_S_FA_NETPROFITMARGIN(B2183,E2183)</f>
        <v>28.248159870799999</v>
      </c>
      <c r="K2183" s="10">
        <f>[1]!EM_S_FA_ASSETSTURN(B2183,E2183)</f>
        <v>0.13122549808699999</v>
      </c>
      <c r="L2183" s="12">
        <f>[1]!EM_HKS_VAL_MV(B2183,"2019-12-31","2")</f>
        <v>3565043119.4400001</v>
      </c>
      <c r="M2183">
        <f>[1]!EM_S_VAL_PETTMDEDUCTED(B2183,E2183)</f>
        <v>20.938463119756999</v>
      </c>
      <c r="N2183" s="7">
        <f>[1]!EM_S_VAL_PBGOODWILLDEDUCTED(B2183,E2183)</f>
        <v>0.99727753850337597</v>
      </c>
      <c r="O2183" s="7">
        <f>[1]!EM_S_VAL_PS_TTM(B2183,E2183)</f>
        <v>4.0026197264150696</v>
      </c>
      <c r="P2183" s="7">
        <f>[1]!EM_S_VAL_PCF_NCFTTM(B2183,E2183)</f>
        <v>7.02285998942103</v>
      </c>
      <c r="Q2183" s="7">
        <f>[1]!EM_S_VAL_DIVIDENDYIELD2(B2183,E2183,"2019-11-29")</f>
        <v>0.74803149606299202</v>
      </c>
      <c r="T2183"/>
      <c r="U2183">
        <f>[1]!EM_S_RATIO_EPS_TTM(B2183,E2183,"1")</f>
        <v>0.18045114523188505</v>
      </c>
      <c r="AT2183" s="4" t="str">
        <f>[1]!EM_S_IPO_LISTEDDATE(B2183)</f>
        <v>2010-03-19</v>
      </c>
    </row>
    <row r="2184" spans="1:46">
      <c r="A2184">
        <v>2993</v>
      </c>
      <c r="B2184" t="str">
        <f>"600967"</f>
        <v>600967</v>
      </c>
      <c r="C2184" t="s">
        <v>2454</v>
      </c>
      <c r="D2184" t="str">
        <f>[1]!EM_S_INFO_INDEX_EM(B2184,"1")</f>
        <v>国防与装备</v>
      </c>
      <c r="E2184" s="4">
        <f t="shared" si="34"/>
        <v>43465</v>
      </c>
      <c r="F2184" s="11">
        <f>[1]!EM_S_PQ_PCTCHANGE(B2184,"2018-01-01","2019-12-31","3")</f>
        <v>-11.346319530000001</v>
      </c>
      <c r="G2184" s="11">
        <f>[1]!EM_S_PQ_PCTCHANGE(B2184,"2018-12-31","2019-12-30","1")</f>
        <v>1.5384615399999999</v>
      </c>
      <c r="H2184" s="11">
        <f>[1]!EM_S_FA_YOY_OR(B2184,E2184)</f>
        <v>2.5022891950999999</v>
      </c>
      <c r="I2184" s="11">
        <f>[1]!EM_S_FA_GROSSPROFITMARGIN(B2184,E2184)</f>
        <v>11.4821811693</v>
      </c>
      <c r="J2184" s="11">
        <f>[1]!EM_S_FA_NETPROFITMARGIN(B2184,E2184)</f>
        <v>4.3769646891000002</v>
      </c>
      <c r="K2184" s="10">
        <f>[1]!EM_S_FA_ASSETSTURN(B2184,E2184)</f>
        <v>0.63717501112999997</v>
      </c>
      <c r="L2184" s="12">
        <f>[1]!EM_HKS_VAL_MV(B2184,"2019-12-31","2")</f>
        <v>17960786214.709999</v>
      </c>
      <c r="M2184">
        <f>[1]!EM_S_VAL_PETTMDEDUCTED(B2184,E2184)</f>
        <v>35.661777558310703</v>
      </c>
      <c r="N2184" s="7">
        <f>[1]!EM_S_VAL_PBGOODWILLDEDUCTED(B2184,E2184)</f>
        <v>2.0791794298364601</v>
      </c>
      <c r="O2184" s="7">
        <f>[1]!EM_S_VAL_PS_TTM(B2184,E2184)</f>
        <v>1.4849527376504199</v>
      </c>
      <c r="P2184" s="7">
        <f>[1]!EM_S_VAL_PCF_NCFTTM(B2184,E2184)</f>
        <v>5.8685043404875001</v>
      </c>
      <c r="Q2184" s="7">
        <f>[1]!EM_S_VAL_DIVIDENDYIELD2(B2184,E2184,"2019-11-29")</f>
        <v>0.3229061553985873</v>
      </c>
      <c r="T2184"/>
      <c r="U2184">
        <f>[1]!EM_S_RATIO_EPS_TTM(B2184,E2184,"1")</f>
        <v>0.3159229535270997</v>
      </c>
      <c r="AT2184" s="4" t="str">
        <f>[1]!EM_S_IPO_LISTEDDATE(B2184)</f>
        <v>2004-05-18</v>
      </c>
    </row>
    <row r="2185" spans="1:46">
      <c r="A2185">
        <v>3526</v>
      </c>
      <c r="B2185" t="str">
        <f>"603758"</f>
        <v>603758</v>
      </c>
      <c r="C2185" t="s">
        <v>3037</v>
      </c>
      <c r="D2185" t="str">
        <f>[1]!EM_S_INFO_INDEX_EM(B2185,"1")</f>
        <v>交运设备</v>
      </c>
      <c r="E2185" s="4">
        <f t="shared" si="34"/>
        <v>43465</v>
      </c>
      <c r="F2185" s="11">
        <f>[1]!EM_S_PQ_PCTCHANGE(B2185,"2018-01-01","2019-12-31","3")</f>
        <v>-54.140781969999999</v>
      </c>
      <c r="G2185" s="11">
        <f>[1]!EM_S_PQ_PCTCHANGE(B2185,"2018-12-31","2019-12-30","1")</f>
        <v>1.4876033099999999</v>
      </c>
      <c r="H2185" s="11">
        <f>[1]!EM_S_FA_YOY_OR(B2185,E2185)</f>
        <v>-44.708786286200002</v>
      </c>
      <c r="I2185" s="11">
        <f>[1]!EM_S_FA_GROSSPROFITMARGIN(B2185,E2185)</f>
        <v>4.4444409605999997</v>
      </c>
      <c r="J2185" s="11">
        <f>[1]!EM_S_FA_NETPROFITMARGIN(B2185,E2185)</f>
        <v>-9.4121875472000003</v>
      </c>
      <c r="K2185" s="10">
        <f>[1]!EM_S_FA_ASSETSTURN(B2185,E2185)</f>
        <v>0.26256013288399999</v>
      </c>
      <c r="L2185" s="12">
        <f>[1]!EM_HKS_VAL_MV(B2185,"2019-12-31","2")</f>
        <v>2768809379.1900001</v>
      </c>
      <c r="M2185">
        <f>[1]!EM_S_VAL_PETTMDEDUCTED(B2185,E2185)</f>
        <v>329.06550202481498</v>
      </c>
      <c r="N2185" s="7">
        <f>[1]!EM_S_VAL_PBGOODWILLDEDUCTED(B2185,E2185)</f>
        <v>1.13563706214315</v>
      </c>
      <c r="O2185" s="7">
        <f>[1]!EM_S_VAL_PS_TTM(B2185,E2185)</f>
        <v>3.2990248442514698</v>
      </c>
      <c r="P2185" s="7">
        <f>[1]!EM_S_VAL_PCF_NCFTTM(B2185,E2185)</f>
        <v>-8.2812077858927697</v>
      </c>
      <c r="Q2185" s="7">
        <f>[1]!EM_S_VAL_DIVIDENDYIELD2(B2185,E2185,"2019-11-29")</f>
        <v>0</v>
      </c>
      <c r="T2185"/>
      <c r="U2185">
        <f>[1]!EM_S_RATIO_EPS_TTM(B2185,E2185,"1")</f>
        <v>-0.14505594074767811</v>
      </c>
      <c r="AT2185" s="4" t="str">
        <f>[1]!EM_S_IPO_LISTEDDATE(B2185)</f>
        <v>2017-05-17</v>
      </c>
    </row>
    <row r="2186" spans="1:46">
      <c r="A2186">
        <v>371</v>
      </c>
      <c r="B2186" t="str">
        <f>"000815"</f>
        <v>000815</v>
      </c>
      <c r="C2186" t="s">
        <v>2723</v>
      </c>
      <c r="D2186" t="str">
        <f>[1]!EM_S_INFO_INDEX_EM(B2186,"1")</f>
        <v>轻工制造</v>
      </c>
      <c r="E2186" s="4">
        <f t="shared" si="34"/>
        <v>43465</v>
      </c>
      <c r="F2186" s="11">
        <f>[1]!EM_S_PQ_PCTCHANGE(B2186,"2018-01-01","2019-12-31","3")</f>
        <v>-55.165562909999998</v>
      </c>
      <c r="G2186" s="11">
        <f>[1]!EM_S_PQ_PCTCHANGE(B2186,"2018-12-31","2019-12-30","1")</f>
        <v>1.48148148</v>
      </c>
      <c r="H2186" s="11">
        <f>[1]!EM_S_FA_YOY_OR(B2186,E2186)</f>
        <v>24.650751077100001</v>
      </c>
      <c r="I2186" s="11">
        <f>[1]!EM_S_FA_GROSSPROFITMARGIN(B2186,E2186)</f>
        <v>13.1138290488</v>
      </c>
      <c r="J2186" s="11">
        <f>[1]!EM_S_FA_NETPROFITMARGIN(B2186,E2186)</f>
        <v>4.2783035562</v>
      </c>
      <c r="K2186" s="10">
        <f>[1]!EM_S_FA_ASSETSTURN(B2186,E2186)</f>
        <v>0.35559053972499999</v>
      </c>
      <c r="L2186" s="12">
        <f>[1]!EM_HKS_VAL_MV(B2186,"2019-12-31","2")</f>
        <v>4706930746.9499998</v>
      </c>
      <c r="M2186">
        <f>[1]!EM_S_VAL_PETTMDEDUCTED(B2186,E2186)</f>
        <v>161.05018469425201</v>
      </c>
      <c r="N2186" s="7">
        <f>[1]!EM_S_VAL_PBGOODWILLDEDUCTED(B2186,E2186)</f>
        <v>2.30618993953569</v>
      </c>
      <c r="O2186" s="7">
        <f>[1]!EM_S_VAL_PS_TTM(B2186,E2186)</f>
        <v>4.6145017115940199</v>
      </c>
      <c r="P2186" s="7">
        <f>[1]!EM_S_VAL_PCF_NCFTTM(B2186,E2186)</f>
        <v>-253.96317976042999</v>
      </c>
      <c r="Q2186" s="7">
        <f>[1]!EM_S_VAL_DIVIDENDYIELD2(B2186,E2186,"2019-11-29")</f>
        <v>0</v>
      </c>
      <c r="T2186"/>
      <c r="U2186">
        <f>[1]!EM_S_RATIO_EPS_TTM(B2186,E2186,"1")</f>
        <v>6.3636806464189483E-2</v>
      </c>
      <c r="AT2186" s="4" t="str">
        <f>[1]!EM_S_IPO_LISTEDDATE(B2186)</f>
        <v>1998-06-09</v>
      </c>
    </row>
    <row r="2187" spans="1:46">
      <c r="A2187">
        <v>777</v>
      </c>
      <c r="B2187" t="str">
        <f>"002266"</f>
        <v>002266</v>
      </c>
      <c r="C2187" t="s">
        <v>2638</v>
      </c>
      <c r="D2187" t="str">
        <f>[1]!EM_S_INFO_INDEX_EM(B2187,"1")</f>
        <v>电气设备</v>
      </c>
      <c r="E2187" s="4">
        <f t="shared" si="34"/>
        <v>43465</v>
      </c>
      <c r="F2187" s="11">
        <f>[1]!EM_S_PQ_PCTCHANGE(B2187,"2018-01-01","2019-12-31","3")</f>
        <v>-4.3882855100000002</v>
      </c>
      <c r="G2187" s="11">
        <f>[1]!EM_S_PQ_PCTCHANGE(B2187,"2018-12-31","2019-12-30","1")</f>
        <v>1.4742014699999999</v>
      </c>
      <c r="H2187" s="11">
        <f>[1]!EM_S_FA_YOY_OR(B2187,E2187)</f>
        <v>0.70411242939999996</v>
      </c>
      <c r="I2187" s="11">
        <f>[1]!EM_S_FA_GROSSPROFITMARGIN(B2187,E2187)</f>
        <v>14.0167863073</v>
      </c>
      <c r="J2187" s="11">
        <f>[1]!EM_S_FA_NETPROFITMARGIN(B2187,E2187)</f>
        <v>12.046700106999999</v>
      </c>
      <c r="K2187" s="10">
        <f>[1]!EM_S_FA_ASSETSTURN(B2187,E2187)</f>
        <v>0.13661862398800001</v>
      </c>
      <c r="L2187" s="12">
        <f>[1]!EM_HKS_VAL_MV(B2187,"2019-12-31","2")</f>
        <v>8152325777.8800001</v>
      </c>
      <c r="M2187">
        <f>[1]!EM_S_VAL_PETTMDEDUCTED(B2187,E2187)</f>
        <v>149.92787554018801</v>
      </c>
      <c r="N2187" s="7">
        <f>[1]!EM_S_VAL_PBGOODWILLDEDUCTED(B2187,E2187)</f>
        <v>2.60458417456671</v>
      </c>
      <c r="O2187" s="7">
        <f>[1]!EM_S_VAL_PS_TTM(B2187,E2187)</f>
        <v>7.3459287130104496</v>
      </c>
      <c r="P2187" s="7">
        <f>[1]!EM_S_VAL_PCF_NCFTTM(B2187,E2187)</f>
        <v>19.038132279297699</v>
      </c>
      <c r="Q2187" s="7">
        <f>[1]!EM_S_VAL_DIVIDENDYIELD2(B2187,E2187,"2019-11-29")</f>
        <v>0.24330900243309003</v>
      </c>
      <c r="T2187"/>
      <c r="U2187">
        <f>[1]!EM_S_RATIO_EPS_TTM(B2187,E2187,"1")</f>
        <v>5.5513458353143558E-2</v>
      </c>
      <c r="AT2187" s="4" t="str">
        <f>[1]!EM_S_IPO_LISTEDDATE(B2187)</f>
        <v>2008-08-06</v>
      </c>
    </row>
    <row r="2188" spans="1:46">
      <c r="A2188">
        <v>2232</v>
      </c>
      <c r="B2188" t="str">
        <f>"600085"</f>
        <v>600085</v>
      </c>
      <c r="C2188" t="s">
        <v>563</v>
      </c>
      <c r="D2188" t="str">
        <f>[1]!EM_S_INFO_INDEX_EM(B2188,"1")</f>
        <v>医药生物</v>
      </c>
      <c r="E2188" s="4">
        <f t="shared" si="34"/>
        <v>43465</v>
      </c>
      <c r="F2188" s="11">
        <f>[1]!EM_S_PQ_PCTCHANGE(B2188,"2018-01-01","2019-12-31","3")</f>
        <v>-9.3567245999999997</v>
      </c>
      <c r="G2188" s="11">
        <f>[1]!EM_S_PQ_PCTCHANGE(B2188,"2018-12-31","2019-12-30","1")</f>
        <v>1.4545454499999999</v>
      </c>
      <c r="H2188" s="11">
        <f>[1]!EM_S_FA_YOY_OR(B2188,E2188)</f>
        <v>6.2251210974999998</v>
      </c>
      <c r="I2188" s="11">
        <f>[1]!EM_S_FA_GROSSPROFITMARGIN(B2188,E2188)</f>
        <v>46.747006904899997</v>
      </c>
      <c r="J2188" s="11">
        <f>[1]!EM_S_FA_NETPROFITMARGIN(B2188,E2188)</f>
        <v>12.826945248299999</v>
      </c>
      <c r="K2188" s="10">
        <f>[1]!EM_S_FA_ASSETSTURN(B2188,E2188)</f>
        <v>0.72519469367699996</v>
      </c>
      <c r="L2188" s="12">
        <f>[1]!EM_HKS_VAL_MV(B2188,"2019-12-31","2")</f>
        <v>38648031983.160004</v>
      </c>
      <c r="M2188">
        <f>[1]!EM_S_VAL_PETTMDEDUCTED(B2188,E2188)</f>
        <v>36.747103499627002</v>
      </c>
      <c r="N2188" s="7">
        <f>[1]!EM_S_VAL_PBGOODWILLDEDUCTED(B2188,E2188)</f>
        <v>4.0930446874516102</v>
      </c>
      <c r="O2188" s="7">
        <f>[1]!EM_S_VAL_PS_TTM(B2188,E2188)</f>
        <v>2.68065018460078</v>
      </c>
      <c r="P2188" s="7">
        <f>[1]!EM_S_VAL_PCF_NCFTTM(B2188,E2188)</f>
        <v>51.0481008345009</v>
      </c>
      <c r="Q2188" s="7">
        <f>[1]!EM_S_VAL_DIVIDENDYIELD2(B2188,E2188,"2019-11-29")</f>
        <v>0.97744360902255645</v>
      </c>
      <c r="T2188"/>
      <c r="U2188">
        <f>[1]!EM_S_RATIO_EPS_TTM(B2188,E2188,"1")</f>
        <v>0.82705682984032491</v>
      </c>
      <c r="AT2188" s="4" t="str">
        <f>[1]!EM_S_IPO_LISTEDDATE(B2188)</f>
        <v>1997-06-25</v>
      </c>
    </row>
    <row r="2189" spans="1:46">
      <c r="A2189">
        <v>3597</v>
      </c>
      <c r="B2189" t="str">
        <f>"603908"</f>
        <v>603908</v>
      </c>
      <c r="C2189" t="s">
        <v>393</v>
      </c>
      <c r="D2189" t="str">
        <f>[1]!EM_S_INFO_INDEX_EM(B2189,"1")</f>
        <v>纺织服装</v>
      </c>
      <c r="E2189" s="4">
        <f t="shared" si="34"/>
        <v>43465</v>
      </c>
      <c r="F2189" s="11">
        <f>[1]!EM_S_PQ_PCTCHANGE(B2189,"2018-01-01","2019-12-31","3")</f>
        <v>-27.43160005</v>
      </c>
      <c r="G2189" s="11">
        <f>[1]!EM_S_PQ_PCTCHANGE(B2189,"2018-12-31","2019-12-30","1")</f>
        <v>1.43560295</v>
      </c>
      <c r="H2189" s="11">
        <f>[1]!EM_S_FA_YOY_OR(B2189,E2189)</f>
        <v>6.8480417872999997</v>
      </c>
      <c r="I2189" s="11">
        <f>[1]!EM_S_FA_GROSSPROFITMARGIN(B2189,E2189)</f>
        <v>27.295406182499999</v>
      </c>
      <c r="J2189" s="11">
        <f>[1]!EM_S_FA_NETPROFITMARGIN(B2189,E2189)</f>
        <v>7.4719019173000003</v>
      </c>
      <c r="K2189" s="10">
        <f>[1]!EM_S_FA_ASSETSTURN(B2189,E2189)</f>
        <v>0.873285415377</v>
      </c>
      <c r="L2189" s="12">
        <f>[1]!EM_HKS_VAL_MV(B2189,"2019-12-31","2")</f>
        <v>1664582400</v>
      </c>
      <c r="M2189">
        <f>[1]!EM_S_VAL_PETTMDEDUCTED(B2189,E2189)</f>
        <v>57.057338558671397</v>
      </c>
      <c r="N2189" s="7">
        <f>[1]!EM_S_VAL_PBGOODWILLDEDUCTED(B2189,E2189)</f>
        <v>3.5874947304020601</v>
      </c>
      <c r="O2189" s="7">
        <f>[1]!EM_S_VAL_PS_TTM(B2189,E2189)</f>
        <v>2.9180685983151702</v>
      </c>
      <c r="P2189" s="7">
        <f>[1]!EM_S_VAL_PCF_NCFTTM(B2189,E2189)</f>
        <v>-117.45454790018501</v>
      </c>
      <c r="Q2189" s="7">
        <f>[1]!EM_S_VAL_DIVIDENDYIELD2(B2189,E2189,"2019-11-29")</f>
        <v>3.1315240083507305</v>
      </c>
      <c r="T2189"/>
      <c r="U2189">
        <f>[1]!EM_S_RATIO_EPS_TTM(B2189,E2189,"1")</f>
        <v>0.61766198110661275</v>
      </c>
      <c r="AT2189" s="4" t="str">
        <f>[1]!EM_S_IPO_LISTEDDATE(B2189)</f>
        <v>2017-03-07</v>
      </c>
    </row>
    <row r="2190" spans="1:46">
      <c r="A2190">
        <v>2215</v>
      </c>
      <c r="B2190" t="str">
        <f>"600068"</f>
        <v>600068</v>
      </c>
      <c r="C2190" t="s">
        <v>1089</v>
      </c>
      <c r="D2190" t="str">
        <f>[1]!EM_S_INFO_INDEX_EM(B2190,"1")</f>
        <v>建筑</v>
      </c>
      <c r="E2190" s="4">
        <f t="shared" si="34"/>
        <v>43465</v>
      </c>
      <c r="F2190" s="11">
        <f>[1]!EM_S_PQ_PCTCHANGE(B2190,"2018-01-01","2019-12-31","3")</f>
        <v>-12.83709636</v>
      </c>
      <c r="G2190" s="11">
        <f>[1]!EM_S_PQ_PCTCHANGE(B2190,"2018-12-31","2019-12-30","1")</f>
        <v>1.42405063</v>
      </c>
      <c r="H2190" s="11">
        <f>[1]!EM_S_FA_YOY_OR(B2190,E2190)</f>
        <v>-5.7874708616000001</v>
      </c>
      <c r="I2190" s="11">
        <f>[1]!EM_S_FA_GROSSPROFITMARGIN(B2190,E2190)</f>
        <v>16.331266557199999</v>
      </c>
      <c r="J2190" s="11">
        <f>[1]!EM_S_FA_NETPROFITMARGIN(B2190,E2190)</f>
        <v>5.9228361735000004</v>
      </c>
      <c r="K2190" s="10">
        <f>[1]!EM_S_FA_ASSETSTURN(B2190,E2190)</f>
        <v>0.49675383025999997</v>
      </c>
      <c r="L2190" s="12">
        <f>[1]!EM_HKS_VAL_MV(B2190,"2019-12-31","2")</f>
        <v>30759913112.16</v>
      </c>
      <c r="M2190">
        <f>[1]!EM_S_VAL_PETTMDEDUCTED(B2190,E2190)</f>
        <v>7.1860444559311603</v>
      </c>
      <c r="N2190" s="7">
        <f>[1]!EM_S_VAL_PBGOODWILLDEDUCTED(B2190,E2190)</f>
        <v>1.1519055346503</v>
      </c>
      <c r="O2190" s="7">
        <f>[1]!EM_S_VAL_PS_TTM(B2190,E2190)</f>
        <v>0.291252519470451</v>
      </c>
      <c r="P2190" s="7">
        <f>[1]!EM_S_VAL_PCF_NCFTTM(B2190,E2190)</f>
        <v>-14.3767408372102</v>
      </c>
      <c r="Q2190" s="7">
        <f>[1]!EM_S_VAL_DIVIDENDYIELD2(B2190,E2190,"2019-11-29")</f>
        <v>2.9268292682926829</v>
      </c>
      <c r="T2190"/>
      <c r="U2190">
        <f>[1]!EM_S_RATIO_EPS_TTM(B2190,E2190,"1")</f>
        <v>1.0114943513777817</v>
      </c>
      <c r="AT2190" s="4" t="str">
        <f>[1]!EM_S_IPO_LISTEDDATE(B2190)</f>
        <v>1997-05-26</v>
      </c>
    </row>
    <row r="2191" spans="1:46">
      <c r="A2191">
        <v>1169</v>
      </c>
      <c r="B2191" t="str">
        <f>"002658"</f>
        <v>002658</v>
      </c>
      <c r="C2191" t="s">
        <v>2807</v>
      </c>
      <c r="D2191" t="str">
        <f>[1]!EM_S_INFO_INDEX_EM(B2191,"1")</f>
        <v>机械设备</v>
      </c>
      <c r="E2191" s="4">
        <f t="shared" si="34"/>
        <v>43465</v>
      </c>
      <c r="F2191" s="11">
        <f>[1]!EM_S_PQ_PCTCHANGE(B2191,"2018-01-01","2019-12-31","3")</f>
        <v>-42.144668830000001</v>
      </c>
      <c r="G2191" s="11">
        <f>[1]!EM_S_PQ_PCTCHANGE(B2191,"2018-12-31","2019-12-30","1")</f>
        <v>1.4084506999999999</v>
      </c>
      <c r="H2191" s="11">
        <f>[1]!EM_S_FA_YOY_OR(B2191,E2191)</f>
        <v>18.865032642700001</v>
      </c>
      <c r="I2191" s="11">
        <f>[1]!EM_S_FA_GROSSPROFITMARGIN(B2191,E2191)</f>
        <v>43.483465942400002</v>
      </c>
      <c r="J2191" s="11">
        <f>[1]!EM_S_FA_NETPROFITMARGIN(B2191,E2191)</f>
        <v>13.9662802056</v>
      </c>
      <c r="K2191" s="10">
        <f>[1]!EM_S_FA_ASSETSTURN(B2191,E2191)</f>
        <v>0.50515643391700005</v>
      </c>
      <c r="L2191" s="12">
        <f>[1]!EM_HKS_VAL_MV(B2191,"2019-12-31","2")</f>
        <v>4379457675.5600004</v>
      </c>
      <c r="M2191">
        <f>[1]!EM_S_VAL_PETTMDEDUCTED(B2191,E2191)</f>
        <v>18.447774918899</v>
      </c>
      <c r="N2191" s="7">
        <f>[1]!EM_S_VAL_PBGOODWILLDEDUCTED(B2191,E2191)</f>
        <v>2.15894884672137</v>
      </c>
      <c r="O2191" s="7">
        <f>[1]!EM_S_VAL_PS_TTM(B2191,E2191)</f>
        <v>3.37326912940348</v>
      </c>
      <c r="P2191" s="7">
        <f>[1]!EM_S_VAL_PCF_NCFTTM(B2191,E2191)</f>
        <v>28.337897493788901</v>
      </c>
      <c r="Q2191" s="7">
        <f>[1]!EM_S_VAL_DIVIDENDYIELD2(B2191,E2191,"2019-11-29")</f>
        <v>1.5360961111322913</v>
      </c>
      <c r="T2191"/>
      <c r="U2191">
        <f>[1]!EM_S_RATIO_EPS_TTM(B2191,E2191,"1")</f>
        <v>0.29634094468217187</v>
      </c>
      <c r="AT2191" s="4" t="str">
        <f>[1]!EM_S_IPO_LISTEDDATE(B2191)</f>
        <v>2012-03-09</v>
      </c>
    </row>
    <row r="2192" spans="1:46">
      <c r="A2192">
        <v>520</v>
      </c>
      <c r="B2192" t="str">
        <f>"002009"</f>
        <v>002009</v>
      </c>
      <c r="C2192" t="s">
        <v>605</v>
      </c>
      <c r="D2192" t="str">
        <f>[1]!EM_S_INFO_INDEX_EM(B2192,"1")</f>
        <v>机械设备</v>
      </c>
      <c r="E2192" s="4">
        <f t="shared" si="34"/>
        <v>43465</v>
      </c>
      <c r="F2192" s="11">
        <f>[1]!EM_S_PQ_PCTCHANGE(B2192,"2018-01-01","2019-12-31","3")</f>
        <v>-54.166933190000002</v>
      </c>
      <c r="G2192" s="11">
        <f>[1]!EM_S_PQ_PCTCHANGE(B2192,"2018-12-31","2019-12-30","1")</f>
        <v>1.3227513200000001</v>
      </c>
      <c r="H2192" s="11">
        <f>[1]!EM_S_FA_YOY_OR(B2192,E2192)</f>
        <v>42.485291846800003</v>
      </c>
      <c r="I2192" s="11">
        <f>[1]!EM_S_FA_GROSSPROFITMARGIN(B2192,E2192)</f>
        <v>20.288451025899999</v>
      </c>
      <c r="J2192" s="11">
        <f>[1]!EM_S_FA_NETPROFITMARGIN(B2192,E2192)</f>
        <v>4.0236372653999997</v>
      </c>
      <c r="K2192" s="10">
        <f>[1]!EM_S_FA_ASSETSTURN(B2192,E2192)</f>
        <v>0.61666267224600002</v>
      </c>
      <c r="L2192" s="12">
        <f>[1]!EM_HKS_VAL_MV(B2192,"2019-12-31","2")</f>
        <v>2834703170.0999999</v>
      </c>
      <c r="M2192">
        <f>[1]!EM_S_VAL_PETTMDEDUCTED(B2192,E2192)</f>
        <v>26.945423010756301</v>
      </c>
      <c r="N2192" s="7">
        <f>[1]!EM_S_VAL_PBGOODWILLDEDUCTED(B2192,E2192)</f>
        <v>1.44603418144302</v>
      </c>
      <c r="O2192" s="7">
        <f>[1]!EM_S_VAL_PS_TTM(B2192,E2192)</f>
        <v>0.86809376376465197</v>
      </c>
      <c r="P2192" s="7">
        <f>[1]!EM_S_VAL_PCF_NCFTTM(B2192,E2192)</f>
        <v>17.112812911307099</v>
      </c>
      <c r="Q2192" s="7">
        <f>[1]!EM_S_VAL_DIVIDENDYIELD2(B2192,E2192,"2019-11-29")</f>
        <v>0.80851063829787229</v>
      </c>
      <c r="T2192"/>
      <c r="U2192">
        <f>[1]!EM_S_RATIO_EPS_TTM(B2192,E2192,"1")</f>
        <v>0.37363202808184565</v>
      </c>
      <c r="AT2192" s="4" t="str">
        <f>[1]!EM_S_IPO_LISTEDDATE(B2192)</f>
        <v>2004-06-29</v>
      </c>
    </row>
    <row r="2193" spans="1:46">
      <c r="A2193">
        <v>2253</v>
      </c>
      <c r="B2193" t="str">
        <f>"600106"</f>
        <v>600106</v>
      </c>
      <c r="C2193" t="s">
        <v>1815</v>
      </c>
      <c r="D2193" t="str">
        <f>[1]!EM_S_INFO_INDEX_EM(B2193,"1")</f>
        <v>交通运输</v>
      </c>
      <c r="E2193" s="4">
        <f t="shared" si="34"/>
        <v>43465</v>
      </c>
      <c r="F2193" s="11">
        <f>[1]!EM_S_PQ_PCTCHANGE(B2193,"2018-01-01","2019-12-31","3")</f>
        <v>-7.9543150499999999</v>
      </c>
      <c r="G2193" s="11">
        <f>[1]!EM_S_PQ_PCTCHANGE(B2193,"2018-12-31","2019-12-30","1")</f>
        <v>1.32013201</v>
      </c>
      <c r="H2193" s="11">
        <f>[1]!EM_S_FA_YOY_OR(B2193,E2193)</f>
        <v>0.83439634070000002</v>
      </c>
      <c r="I2193" s="11">
        <f>[1]!EM_S_FA_GROSSPROFITMARGIN(B2193,E2193)</f>
        <v>84.998456733400005</v>
      </c>
      <c r="J2193" s="11">
        <f>[1]!EM_S_FA_NETPROFITMARGIN(B2193,E2193)</f>
        <v>93.785761909200005</v>
      </c>
      <c r="K2193" s="10">
        <f>[1]!EM_S_FA_ASSETSTURN(B2193,E2193)</f>
        <v>3.6261390373000003E-2</v>
      </c>
      <c r="L2193" s="12">
        <f>[1]!EM_HKS_VAL_MV(B2193,"2019-12-31","2")</f>
        <v>3757516312.2199998</v>
      </c>
      <c r="M2193">
        <f>[1]!EM_S_VAL_PETTMDEDUCTED(B2193,E2193)</f>
        <v>19.621557646527599</v>
      </c>
      <c r="N2193" s="7">
        <f>[1]!EM_S_VAL_PBGOODWILLDEDUCTED(B2193,E2193)</f>
        <v>0.94183904369056803</v>
      </c>
      <c r="O2193" s="7">
        <f>[1]!EM_S_VAL_PS_TTM(B2193,E2193)</f>
        <v>13.8908194021708</v>
      </c>
      <c r="P2193" s="7">
        <f>[1]!EM_S_VAL_PCF_NCFTTM(B2193,E2193)</f>
        <v>-12.3934456256285</v>
      </c>
      <c r="Q2193" s="7">
        <f>[1]!EM_S_VAL_DIVIDENDYIELD2(B2193,E2193,"2019-11-29")</f>
        <v>2.0859277708592776</v>
      </c>
      <c r="T2193"/>
      <c r="U2193">
        <f>[1]!EM_S_RATIO_EPS_TTM(B2193,E2193,"1")</f>
        <v>0.20476462361215209</v>
      </c>
      <c r="AT2193" s="4" t="str">
        <f>[1]!EM_S_IPO_LISTEDDATE(B2193)</f>
        <v>1997-06-18</v>
      </c>
    </row>
    <row r="2194" spans="1:46">
      <c r="A2194">
        <v>85</v>
      </c>
      <c r="B2194" t="str">
        <f>"000404"</f>
        <v>000404</v>
      </c>
      <c r="C2194" t="s">
        <v>2762</v>
      </c>
      <c r="D2194" t="str">
        <f>[1]!EM_S_INFO_INDEX_EM(B2194,"1")</f>
        <v>家电</v>
      </c>
      <c r="E2194" s="4">
        <f t="shared" si="34"/>
        <v>43465</v>
      </c>
      <c r="F2194" s="11">
        <f>[1]!EM_S_PQ_PCTCHANGE(B2194,"2018-01-01","2019-12-31","3")</f>
        <v>-36.51522087</v>
      </c>
      <c r="G2194" s="11">
        <f>[1]!EM_S_PQ_PCTCHANGE(B2194,"2018-12-31","2019-12-30","1")</f>
        <v>1.2953367899999999</v>
      </c>
      <c r="H2194" s="11">
        <f>[1]!EM_S_FA_YOY_OR(B2194,E2194)</f>
        <v>9.8187326437000007</v>
      </c>
      <c r="I2194" s="11">
        <f>[1]!EM_S_FA_GROSSPROFITMARGIN(B2194,E2194)</f>
        <v>12.0201905851</v>
      </c>
      <c r="J2194" s="11">
        <f>[1]!EM_S_FA_NETPROFITMARGIN(B2194,E2194)</f>
        <v>1.8380536387999999</v>
      </c>
      <c r="K2194" s="10">
        <f>[1]!EM_S_FA_ASSETSTURN(B2194,E2194)</f>
        <v>0.88787907030799995</v>
      </c>
      <c r="L2194" s="12">
        <f>[1]!EM_HKS_VAL_MV(B2194,"2019-12-31","2")</f>
        <v>2749184117.0500002</v>
      </c>
      <c r="M2194">
        <f>[1]!EM_S_VAL_PETTMDEDUCTED(B2194,E2194)</f>
        <v>889.72596077420098</v>
      </c>
      <c r="N2194" s="7">
        <f>[1]!EM_S_VAL_PBGOODWILLDEDUCTED(B2194,E2194)</f>
        <v>0.88317665978552995</v>
      </c>
      <c r="O2194" s="7">
        <f>[1]!EM_S_VAL_PS_TTM(B2194,E2194)</f>
        <v>0.31120937991478198</v>
      </c>
      <c r="P2194" s="7">
        <f>[1]!EM_S_VAL_PCF_NCFTTM(B2194,E2194)</f>
        <v>-2.0951181943752801</v>
      </c>
      <c r="Q2194" s="7">
        <f>[1]!EM_S_VAL_DIVIDENDYIELD2(B2194,E2194,"2019-11-29")</f>
        <v>0.52910052910052918</v>
      </c>
      <c r="T2194"/>
      <c r="U2194">
        <f>[1]!EM_S_RATIO_EPS_TTM(B2194,E2194,"1")</f>
        <v>0.10366035219579911</v>
      </c>
      <c r="AT2194" s="4" t="str">
        <f>[1]!EM_S_IPO_LISTEDDATE(B2194)</f>
        <v>1996-06-19</v>
      </c>
    </row>
    <row r="2195" spans="1:46">
      <c r="A2195">
        <v>2730</v>
      </c>
      <c r="B2195" t="str">
        <f>"600657"</f>
        <v>600657</v>
      </c>
      <c r="C2195" t="s">
        <v>3379</v>
      </c>
      <c r="D2195" t="str">
        <f>[1]!EM_S_INFO_INDEX_EM(B2195,"1")</f>
        <v>房地产</v>
      </c>
      <c r="E2195" s="4">
        <f t="shared" si="34"/>
        <v>43465</v>
      </c>
      <c r="F2195" s="11">
        <f>[1]!EM_S_PQ_PCTCHANGE(B2195,"2018-01-01","2019-12-31","3")</f>
        <v>-24.520122780000001</v>
      </c>
      <c r="G2195" s="11">
        <f>[1]!EM_S_PQ_PCTCHANGE(B2195,"2018-12-31","2019-12-30","1")</f>
        <v>1.27226463</v>
      </c>
      <c r="H2195" s="11">
        <f>[1]!EM_S_FA_YOY_OR(B2195,E2195)</f>
        <v>23.251882135500001</v>
      </c>
      <c r="I2195" s="11">
        <f>[1]!EM_S_FA_GROSSPROFITMARGIN(B2195,E2195)</f>
        <v>34.874700693299999</v>
      </c>
      <c r="J2195" s="11">
        <f>[1]!EM_S_FA_NETPROFITMARGIN(B2195,E2195)</f>
        <v>13.380109016700001</v>
      </c>
      <c r="K2195" s="10">
        <f>[1]!EM_S_FA_ASSETSTURN(B2195,E2195)</f>
        <v>0.21626469861299999</v>
      </c>
      <c r="L2195" s="12">
        <f>[1]!EM_HKS_VAL_MV(B2195,"2019-12-31","2")</f>
        <v>11378995594.049999</v>
      </c>
      <c r="M2195">
        <f>[1]!EM_S_VAL_PETTMDEDUCTED(B2195,E2195)</f>
        <v>16.082280310099598</v>
      </c>
      <c r="N2195" s="7">
        <f>[1]!EM_S_VAL_PBGOODWILLDEDUCTED(B2195,E2195)</f>
        <v>0.56572083282429098</v>
      </c>
      <c r="O2195" s="7">
        <f>[1]!EM_S_VAL_PS_TTM(B2195,E2195)</f>
        <v>0.81873570997993494</v>
      </c>
      <c r="P2195" s="7">
        <f>[1]!EM_S_VAL_PCF_NCFTTM(B2195,E2195)</f>
        <v>2.0808995363349201</v>
      </c>
      <c r="Q2195" s="7">
        <f>[1]!EM_S_VAL_DIVIDENDYIELD2(B2195,E2195,"2019-11-29")</f>
        <v>3.2432432432432425</v>
      </c>
      <c r="T2195"/>
      <c r="U2195">
        <f>[1]!EM_S_RATIO_EPS_TTM(B2195,E2195,"1")</f>
        <v>0.7542291746644284</v>
      </c>
      <c r="AT2195" s="4" t="str">
        <f>[1]!EM_S_IPO_LISTEDDATE(B2195)</f>
        <v>1993-05-24</v>
      </c>
    </row>
    <row r="2196" spans="1:46">
      <c r="A2196">
        <v>438</v>
      </c>
      <c r="B2196" t="str">
        <f>"000912"</f>
        <v>000912</v>
      </c>
      <c r="C2196" t="s">
        <v>3630</v>
      </c>
      <c r="D2196" t="str">
        <f>[1]!EM_S_INFO_INDEX_EM(B2196,"1")</f>
        <v>基础化工</v>
      </c>
      <c r="E2196" s="4">
        <f t="shared" si="34"/>
        <v>43465</v>
      </c>
      <c r="F2196" s="11">
        <f>[1]!EM_S_PQ_PCTCHANGE(B2196,"2018-01-01","2019-12-31","3")</f>
        <v>-16.435986159999999</v>
      </c>
      <c r="G2196" s="11">
        <f>[1]!EM_S_PQ_PCTCHANGE(B2196,"2018-12-31","2019-12-30","1")</f>
        <v>1.2658227799999999</v>
      </c>
      <c r="H2196" s="11">
        <f>[1]!EM_S_FA_YOY_OR(B2196,E2196)</f>
        <v>17.956293748</v>
      </c>
      <c r="I2196" s="11">
        <f>[1]!EM_S_FA_GROSSPROFITMARGIN(B2196,E2196)</f>
        <v>21.752587549699999</v>
      </c>
      <c r="J2196" s="11">
        <f>[1]!EM_S_FA_NETPROFITMARGIN(B2196,E2196)</f>
        <v>7.9502002021999996</v>
      </c>
      <c r="K2196" s="10">
        <f>[1]!EM_S_FA_ASSETSTURN(B2196,E2196)</f>
        <v>0.67775832099400002</v>
      </c>
      <c r="L2196" s="12">
        <f>[1]!EM_HKS_VAL_MV(B2196,"2019-12-31","2")</f>
        <v>7573440000</v>
      </c>
      <c r="M2196">
        <f>[1]!EM_S_VAL_PETTMDEDUCTED(B2196,E2196)</f>
        <v>-7.4183065381665001</v>
      </c>
      <c r="N2196" s="7">
        <f>[1]!EM_S_VAL_PBGOODWILLDEDUCTED(B2196,E2196)</f>
        <v>1.56852579641593</v>
      </c>
      <c r="O2196" s="7">
        <f>[1]!EM_S_VAL_PS_TTM(B2196,E2196)</f>
        <v>1.7696732617089701</v>
      </c>
      <c r="P2196" s="7">
        <f>[1]!EM_S_VAL_PCF_NCFTTM(B2196,E2196)</f>
        <v>-174.07010355836201</v>
      </c>
      <c r="Q2196" s="7">
        <f>[1]!EM_S_VAL_DIVIDENDYIELD2(B2196,E2196,"2019-11-29")</f>
        <v>0</v>
      </c>
      <c r="T2196"/>
      <c r="U2196">
        <f>[1]!EM_S_RATIO_EPS_TTM(B2196,E2196,"1")</f>
        <v>0.22423354058035713</v>
      </c>
      <c r="AT2196" s="4" t="str">
        <f>[1]!EM_S_IPO_LISTEDDATE(B2196)</f>
        <v>1999-06-03</v>
      </c>
    </row>
    <row r="2197" spans="1:46">
      <c r="A2197">
        <v>1732</v>
      </c>
      <c r="B2197" t="str">
        <f>"300307"</f>
        <v>300307</v>
      </c>
      <c r="C2197" t="s">
        <v>1443</v>
      </c>
      <c r="D2197" t="str">
        <f>[1]!EM_S_INFO_INDEX_EM(B2197,"1")</f>
        <v>机械设备</v>
      </c>
      <c r="E2197" s="4">
        <f t="shared" si="34"/>
        <v>43465</v>
      </c>
      <c r="F2197" s="11">
        <f>[1]!EM_S_PQ_PCTCHANGE(B2197,"2018-01-01","2019-12-31","3")</f>
        <v>-44.875970590000001</v>
      </c>
      <c r="G2197" s="11">
        <f>[1]!EM_S_PQ_PCTCHANGE(B2197,"2018-12-31","2019-12-30","1")</f>
        <v>1.2552301299999999</v>
      </c>
      <c r="H2197" s="11">
        <f>[1]!EM_S_FA_YOY_OR(B2197,E2197)</f>
        <v>20.315128751</v>
      </c>
      <c r="I2197" s="11">
        <f>[1]!EM_S_FA_GROSSPROFITMARGIN(B2197,E2197)</f>
        <v>37.5358863027</v>
      </c>
      <c r="J2197" s="11">
        <f>[1]!EM_S_FA_NETPROFITMARGIN(B2197,E2197)</f>
        <v>7.5384725820999998</v>
      </c>
      <c r="K2197" s="10">
        <f>[1]!EM_S_FA_ASSETSTURN(B2197,E2197)</f>
        <v>0.315363663869</v>
      </c>
      <c r="L2197" s="12">
        <f>[1]!EM_HKS_VAL_MV(B2197,"2019-12-31","2")</f>
        <v>3496720000</v>
      </c>
      <c r="M2197">
        <f>[1]!EM_S_VAL_PETTMDEDUCTED(B2197,E2197)</f>
        <v>49.587956363761499</v>
      </c>
      <c r="N2197" s="7">
        <f>[1]!EM_S_VAL_PBGOODWILLDEDUCTED(B2197,E2197)</f>
        <v>1.19788780448851</v>
      </c>
      <c r="O2197" s="7">
        <f>[1]!EM_S_VAL_PS_TTM(B2197,E2197)</f>
        <v>2.2106910078717101</v>
      </c>
      <c r="P2197" s="7">
        <f>[1]!EM_S_VAL_PCF_NCFTTM(B2197,E2197)</f>
        <v>36.3157079613242</v>
      </c>
      <c r="Q2197" s="7">
        <f>[1]!EM_S_VAL_DIVIDENDYIELD2(B2197,E2197,"2019-11-29")</f>
        <v>0.44150110375275936</v>
      </c>
      <c r="T2197"/>
      <c r="U2197">
        <f>[1]!EM_S_RATIO_EPS_TTM(B2197,E2197,"1")</f>
        <v>0.1718671666957606</v>
      </c>
      <c r="AT2197" s="4" t="str">
        <f>[1]!EM_S_IPO_LISTEDDATE(B2197)</f>
        <v>2012-03-29</v>
      </c>
    </row>
    <row r="2198" spans="1:46">
      <c r="A2198">
        <v>3390</v>
      </c>
      <c r="B2198" t="str">
        <f>"603386"</f>
        <v>603386</v>
      </c>
      <c r="C2198" t="s">
        <v>1367</v>
      </c>
      <c r="D2198" t="str">
        <f>[1]!EM_S_INFO_INDEX_EM(B2198,"1")</f>
        <v>电子设备</v>
      </c>
      <c r="E2198" s="4">
        <f t="shared" si="34"/>
        <v>43465</v>
      </c>
      <c r="F2198" s="11">
        <f>[1]!EM_S_PQ_PCTCHANGE(B2198,"2018-01-01","2019-12-31","3")</f>
        <v>-1.7007607</v>
      </c>
      <c r="G2198" s="11">
        <f>[1]!EM_S_PQ_PCTCHANGE(B2198,"2018-12-31","2019-12-30","1")</f>
        <v>1.2539184999999999</v>
      </c>
      <c r="H2198" s="11">
        <f>[1]!EM_S_FA_YOY_OR(B2198,E2198)</f>
        <v>13.3154634633</v>
      </c>
      <c r="I2198" s="11">
        <f>[1]!EM_S_FA_GROSSPROFITMARGIN(B2198,E2198)</f>
        <v>20.430174309400002</v>
      </c>
      <c r="J2198" s="11">
        <f>[1]!EM_S_FA_NETPROFITMARGIN(B2198,E2198)</f>
        <v>6.1597996086000002</v>
      </c>
      <c r="K2198" s="10">
        <f>[1]!EM_S_FA_ASSETSTURN(B2198,E2198)</f>
        <v>0.826995492241</v>
      </c>
      <c r="L2198" s="12">
        <f>[1]!EM_HKS_VAL_MV(B2198,"2019-12-31","2")</f>
        <v>3609497249.5999999</v>
      </c>
      <c r="M2198">
        <f>[1]!EM_S_VAL_PETTMDEDUCTED(B2198,E2198)</f>
        <v>44.570639668117401</v>
      </c>
      <c r="N2198" s="7">
        <f>[1]!EM_S_VAL_PBGOODWILLDEDUCTED(B2198,E2198)</f>
        <v>4.91412450397263</v>
      </c>
      <c r="O2198" s="7">
        <f>[1]!EM_S_VAL_PS_TTM(B2198,E2198)</f>
        <v>2.8660278387851701</v>
      </c>
      <c r="P2198" s="7">
        <f>[1]!EM_S_VAL_PCF_NCFTTM(B2198,E2198)</f>
        <v>-14.018952825429199</v>
      </c>
      <c r="Q2198" s="7">
        <f>[1]!EM_S_VAL_DIVIDENDYIELD2(B2198,E2198,"2019-11-29")</f>
        <v>0.80699873890459017</v>
      </c>
      <c r="T2198"/>
      <c r="U2198">
        <f>[1]!EM_S_RATIO_EPS_TTM(B2198,E2198,"1")</f>
        <v>0.34189419930624382</v>
      </c>
      <c r="AT2198" s="4" t="str">
        <f>[1]!EM_S_IPO_LISTEDDATE(B2198)</f>
        <v>2017-09-12</v>
      </c>
    </row>
    <row r="2199" spans="1:46">
      <c r="A2199">
        <v>2556</v>
      </c>
      <c r="B2199" t="str">
        <f>"600467"</f>
        <v>600467</v>
      </c>
      <c r="C2199" t="s">
        <v>2963</v>
      </c>
      <c r="D2199" t="str">
        <f>[1]!EM_S_INFO_INDEX_EM(B2199,"1")</f>
        <v>农林牧渔</v>
      </c>
      <c r="E2199" s="4">
        <f t="shared" si="34"/>
        <v>43465</v>
      </c>
      <c r="F2199" s="11">
        <f>[1]!EM_S_PQ_PCTCHANGE(B2199,"2018-01-01","2019-12-31","3")</f>
        <v>-19.600242479999999</v>
      </c>
      <c r="G2199" s="11">
        <f>[1]!EM_S_PQ_PCTCHANGE(B2199,"2018-12-31","2019-12-30","1")</f>
        <v>1.25</v>
      </c>
      <c r="H2199" s="11">
        <f>[1]!EM_S_FA_YOY_OR(B2199,E2199)</f>
        <v>-4.8083612894999996</v>
      </c>
      <c r="I2199" s="11">
        <f>[1]!EM_S_FA_GROSSPROFITMARGIN(B2199,E2199)</f>
        <v>26.641281713200001</v>
      </c>
      <c r="J2199" s="11">
        <f>[1]!EM_S_FA_NETPROFITMARGIN(B2199,E2199)</f>
        <v>5.5336602408999997</v>
      </c>
      <c r="K2199" s="10">
        <f>[1]!EM_S_FA_ASSETSTURN(B2199,E2199)</f>
        <v>0.19570815290599999</v>
      </c>
      <c r="L2199" s="12">
        <f>[1]!EM_HKS_VAL_MV(B2199,"2019-12-31","2")</f>
        <v>3623265873.9200001</v>
      </c>
      <c r="M2199">
        <f>[1]!EM_S_VAL_PETTMDEDUCTED(B2199,E2199)</f>
        <v>68.097031505227903</v>
      </c>
      <c r="N2199" s="7">
        <f>[1]!EM_S_VAL_PBGOODWILLDEDUCTED(B2199,E2199)</f>
        <v>1.15238060691244</v>
      </c>
      <c r="O2199" s="7">
        <f>[1]!EM_S_VAL_PS_TTM(B2199,E2199)</f>
        <v>2.6479714183938601</v>
      </c>
      <c r="P2199" s="7">
        <f>[1]!EM_S_VAL_PCF_NCFTTM(B2199,E2199)</f>
        <v>-16.565358988758302</v>
      </c>
      <c r="Q2199" s="7">
        <f>[1]!EM_S_VAL_DIVIDENDYIELD2(B2199,E2199,"2019-11-29")</f>
        <v>0.55319148936170226</v>
      </c>
      <c r="T2199"/>
      <c r="U2199">
        <f>[1]!EM_S_RATIO_EPS_TTM(B2199,E2199,"1")</f>
        <v>4.2461823759444309E-2</v>
      </c>
      <c r="AT2199" s="4" t="str">
        <f>[1]!EM_S_IPO_LISTEDDATE(B2199)</f>
        <v>2004-04-05</v>
      </c>
    </row>
    <row r="2200" spans="1:46">
      <c r="A2200">
        <v>2471</v>
      </c>
      <c r="B2200" t="str">
        <f>"600351"</f>
        <v>600351</v>
      </c>
      <c r="C2200" t="s">
        <v>1276</v>
      </c>
      <c r="D2200" t="str">
        <f>[1]!EM_S_INFO_INDEX_EM(B2200,"1")</f>
        <v>医药生物</v>
      </c>
      <c r="E2200" s="4">
        <f t="shared" si="34"/>
        <v>43465</v>
      </c>
      <c r="F2200" s="11">
        <f>[1]!EM_S_PQ_PCTCHANGE(B2200,"2018-01-01","2019-12-31","3")</f>
        <v>-16.927589430000001</v>
      </c>
      <c r="G2200" s="11">
        <f>[1]!EM_S_PQ_PCTCHANGE(B2200,"2018-12-31","2019-12-30","1")</f>
        <v>1.24333925</v>
      </c>
      <c r="H2200" s="11">
        <f>[1]!EM_S_FA_YOY_OR(B2200,E2200)</f>
        <v>14.0544281093</v>
      </c>
      <c r="I2200" s="11">
        <f>[1]!EM_S_FA_GROSSPROFITMARGIN(B2200,E2200)</f>
        <v>60.0900742165</v>
      </c>
      <c r="J2200" s="11">
        <f>[1]!EM_S_FA_NETPROFITMARGIN(B2200,E2200)</f>
        <v>9.7330376558000005</v>
      </c>
      <c r="K2200" s="10">
        <f>[1]!EM_S_FA_ASSETSTURN(B2200,E2200)</f>
        <v>0.63472634595599997</v>
      </c>
      <c r="L2200" s="12">
        <f>[1]!EM_HKS_VAL_MV(B2200,"2019-12-31","2")</f>
        <v>4489100134.0900002</v>
      </c>
      <c r="M2200">
        <f>[1]!EM_S_VAL_PETTMDEDUCTED(B2200,E2200)</f>
        <v>17.600569444863702</v>
      </c>
      <c r="N2200" s="7">
        <f>[1]!EM_S_VAL_PBGOODWILLDEDUCTED(B2200,E2200)</f>
        <v>1.7270516232220401</v>
      </c>
      <c r="O2200" s="7">
        <f>[1]!EM_S_VAL_PS_TTM(B2200,E2200)</f>
        <v>1.4996571171559301</v>
      </c>
      <c r="P2200" s="7">
        <f>[1]!EM_S_VAL_PCF_NCFTTM(B2200,E2200)</f>
        <v>39.771032825639303</v>
      </c>
      <c r="Q2200" s="7">
        <f>[1]!EM_S_VAL_DIVIDENDYIELD2(B2200,E2200,"2019-11-29")</f>
        <v>4.5045045045045047</v>
      </c>
      <c r="T2200"/>
      <c r="U2200">
        <f>[1]!EM_S_RATIO_EPS_TTM(B2200,E2200,"1")</f>
        <v>0.3472946233133708</v>
      </c>
      <c r="AT2200" s="4" t="str">
        <f>[1]!EM_S_IPO_LISTEDDATE(B2200)</f>
        <v>2002-09-26</v>
      </c>
    </row>
    <row r="2201" spans="1:46">
      <c r="A2201">
        <v>2603</v>
      </c>
      <c r="B2201" t="str">
        <f>"600522"</f>
        <v>600522</v>
      </c>
      <c r="C2201" t="s">
        <v>1048</v>
      </c>
      <c r="D2201" t="str">
        <f>[1]!EM_S_INFO_INDEX_EM(B2201,"1")</f>
        <v>信息技术</v>
      </c>
      <c r="E2201" s="4">
        <f t="shared" si="34"/>
        <v>43465</v>
      </c>
      <c r="F2201" s="11">
        <f>[1]!EM_S_PQ_PCTCHANGE(B2201,"2018-01-01","2019-12-31","3")</f>
        <v>-39.089753729999998</v>
      </c>
      <c r="G2201" s="11">
        <f>[1]!EM_S_PQ_PCTCHANGE(B2201,"2018-12-31","2019-12-30","1")</f>
        <v>1.22699387</v>
      </c>
      <c r="H2201" s="11">
        <f>[1]!EM_S_FA_YOY_OR(B2201,E2201)</f>
        <v>25.270833415199998</v>
      </c>
      <c r="I2201" s="11">
        <f>[1]!EM_S_FA_GROSSPROFITMARGIN(B2201,E2201)</f>
        <v>14.6753139354</v>
      </c>
      <c r="J2201" s="11">
        <f>[1]!EM_S_FA_NETPROFITMARGIN(B2201,E2201)</f>
        <v>6.2800591487000004</v>
      </c>
      <c r="K2201" s="10">
        <f>[1]!EM_S_FA_ASSETSTURN(B2201,E2201)</f>
        <v>1.1535881948360001</v>
      </c>
      <c r="L2201" s="12">
        <f>[1]!EM_HKS_VAL_MV(B2201,"2019-12-31","2")</f>
        <v>25448482509</v>
      </c>
      <c r="M2201">
        <f>[1]!EM_S_VAL_PETTMDEDUCTED(B2201,E2201)</f>
        <v>14.3936256817573</v>
      </c>
      <c r="N2201" s="7">
        <f>[1]!EM_S_VAL_PBGOODWILLDEDUCTED(B2201,E2201)</f>
        <v>1.2974807119538501</v>
      </c>
      <c r="O2201" s="7">
        <f>[1]!EM_S_VAL_PS_TTM(B2201,E2201)</f>
        <v>0.79586343378443103</v>
      </c>
      <c r="P2201" s="7">
        <f>[1]!EM_S_VAL_PCF_NCFTTM(B2201,E2201)</f>
        <v>-60.803526389560098</v>
      </c>
      <c r="Q2201" s="7">
        <f>[1]!EM_S_VAL_DIVIDENDYIELD2(B2201,E2201,"2019-11-29")</f>
        <v>1.2345644653932721</v>
      </c>
      <c r="T2201"/>
      <c r="U2201">
        <f>[1]!EM_S_RATIO_EPS_TTM(B2201,E2201,"1")</f>
        <v>0.69194850588793355</v>
      </c>
      <c r="AT2201" s="4" t="str">
        <f>[1]!EM_S_IPO_LISTEDDATE(B2201)</f>
        <v>2002-10-24</v>
      </c>
    </row>
    <row r="2202" spans="1:46">
      <c r="A2202">
        <v>655</v>
      </c>
      <c r="B2202" t="str">
        <f>"002144"</f>
        <v>002144</v>
      </c>
      <c r="C2202" t="s">
        <v>1984</v>
      </c>
      <c r="D2202" t="str">
        <f>[1]!EM_S_INFO_INDEX_EM(B2202,"1")</f>
        <v>纺织服装</v>
      </c>
      <c r="E2202" s="4">
        <f t="shared" si="34"/>
        <v>43465</v>
      </c>
      <c r="F2202" s="11">
        <f>[1]!EM_S_PQ_PCTCHANGE(B2202,"2018-01-01","2019-12-31","3")</f>
        <v>-27.035230160000001</v>
      </c>
      <c r="G2202" s="11">
        <f>[1]!EM_S_PQ_PCTCHANGE(B2202,"2018-12-31","2019-12-30","1")</f>
        <v>1.2244898</v>
      </c>
      <c r="H2202" s="11">
        <f>[1]!EM_S_FA_YOY_OR(B2202,E2202)</f>
        <v>0.58439004409999995</v>
      </c>
      <c r="I2202" s="11">
        <f>[1]!EM_S_FA_GROSSPROFITMARGIN(B2202,E2202)</f>
        <v>29.23758406</v>
      </c>
      <c r="J2202" s="11">
        <f>[1]!EM_S_FA_NETPROFITMARGIN(B2202,E2202)</f>
        <v>14.606860707899999</v>
      </c>
      <c r="K2202" s="10">
        <f>[1]!EM_S_FA_ASSETSTURN(B2202,E2202)</f>
        <v>0.32173753153200002</v>
      </c>
      <c r="L2202" s="12">
        <f>[1]!EM_HKS_VAL_MV(B2202,"2019-12-31","2")</f>
        <v>1765857654.72</v>
      </c>
      <c r="M2202">
        <f>[1]!EM_S_VAL_PETTMDEDUCTED(B2202,E2202)</f>
        <v>19.359267650856602</v>
      </c>
      <c r="N2202" s="7">
        <f>[1]!EM_S_VAL_PBGOODWILLDEDUCTED(B2202,E2202)</f>
        <v>1.1361172518166001</v>
      </c>
      <c r="O2202" s="7">
        <f>[1]!EM_S_VAL_PS_TTM(B2202,E2202)</f>
        <v>2.9773391516788799</v>
      </c>
      <c r="P2202" s="7">
        <f>[1]!EM_S_VAL_PCF_NCFTTM(B2202,E2202)</f>
        <v>73.017036040478004</v>
      </c>
      <c r="Q2202" s="7">
        <f>[1]!EM_S_VAL_DIVIDENDYIELD2(B2202,E2202,"2019-11-29")</f>
        <v>1.0384215991692627</v>
      </c>
      <c r="T2202"/>
      <c r="U2202">
        <f>[1]!EM_S_RATIO_EPS_TTM(B2202,E2202,"1")</f>
        <v>0.51395750879960267</v>
      </c>
      <c r="AT2202" s="4" t="str">
        <f>[1]!EM_S_IPO_LISTEDDATE(B2202)</f>
        <v>2007-08-03</v>
      </c>
    </row>
    <row r="2203" spans="1:46">
      <c r="A2203">
        <v>1575</v>
      </c>
      <c r="B2203" t="str">
        <f>"300150"</f>
        <v>300150</v>
      </c>
      <c r="C2203" t="s">
        <v>1769</v>
      </c>
      <c r="D2203" t="str">
        <f>[1]!EM_S_INFO_INDEX_EM(B2203,"1")</f>
        <v>信息技术</v>
      </c>
      <c r="E2203" s="4">
        <f t="shared" si="34"/>
        <v>43465</v>
      </c>
      <c r="F2203" s="11">
        <f>[1]!EM_S_PQ_PCTCHANGE(B2203,"2018-01-01","2019-12-31","3")</f>
        <v>-17.615058579999999</v>
      </c>
      <c r="G2203" s="11">
        <f>[1]!EM_S_PQ_PCTCHANGE(B2203,"2018-12-31","2019-12-30","1")</f>
        <v>1.2135922299999999</v>
      </c>
      <c r="H2203" s="11">
        <f>[1]!EM_S_FA_YOY_OR(B2203,E2203)</f>
        <v>28.816245129199999</v>
      </c>
      <c r="I2203" s="11">
        <f>[1]!EM_S_FA_GROSSPROFITMARGIN(B2203,E2203)</f>
        <v>44.670711490400002</v>
      </c>
      <c r="J2203" s="11">
        <f>[1]!EM_S_FA_NETPROFITMARGIN(B2203,E2203)</f>
        <v>13.3443619921</v>
      </c>
      <c r="K2203" s="10">
        <f>[1]!EM_S_FA_ASSETSTURN(B2203,E2203)</f>
        <v>0.27257234372900002</v>
      </c>
      <c r="L2203" s="12">
        <f>[1]!EM_HKS_VAL_MV(B2203,"2019-12-31","2")</f>
        <v>2510104967.3699999</v>
      </c>
      <c r="M2203">
        <f>[1]!EM_S_VAL_PETTMDEDUCTED(B2203,E2203)</f>
        <v>56.276409614583002</v>
      </c>
      <c r="N2203" s="7">
        <f>[1]!EM_S_VAL_PBGOODWILLDEDUCTED(B2203,E2203)</f>
        <v>1.79765986516246</v>
      </c>
      <c r="O2203" s="7">
        <f>[1]!EM_S_VAL_PS_TTM(B2203,E2203)</f>
        <v>3.8507955379234802</v>
      </c>
      <c r="P2203" s="7">
        <f>[1]!EM_S_VAL_PCF_NCFTTM(B2203,E2203)</f>
        <v>-341.31713671609498</v>
      </c>
      <c r="Q2203" s="7">
        <f>[1]!EM_S_VAL_DIVIDENDYIELD2(B2203,E2203,"2019-11-29")</f>
        <v>2.6246719160104992</v>
      </c>
      <c r="T2203"/>
      <c r="U2203">
        <f>[1]!EM_S_RATIO_EPS_TTM(B2203,E2203,"1")</f>
        <v>0.15080924220074679</v>
      </c>
      <c r="AT2203" s="4" t="str">
        <f>[1]!EM_S_IPO_LISTEDDATE(B2203)</f>
        <v>2010-12-22</v>
      </c>
    </row>
    <row r="2204" spans="1:46">
      <c r="A2204">
        <v>3105</v>
      </c>
      <c r="B2204" t="str">
        <f>"601368"</f>
        <v>601368</v>
      </c>
      <c r="C2204" t="s">
        <v>1184</v>
      </c>
      <c r="D2204" t="str">
        <f>[1]!EM_S_INFO_INDEX_EM(B2204,"1")</f>
        <v>公用事业</v>
      </c>
      <c r="E2204" s="4">
        <f t="shared" si="34"/>
        <v>43465</v>
      </c>
      <c r="F2204" s="11">
        <f>[1]!EM_S_PQ_PCTCHANGE(B2204,"2018-01-01","2019-12-31","3")</f>
        <v>-33.162407180000002</v>
      </c>
      <c r="G2204" s="11">
        <f>[1]!EM_S_PQ_PCTCHANGE(B2204,"2018-12-31","2019-12-30","1")</f>
        <v>1.2089810000000001</v>
      </c>
      <c r="H2204" s="11">
        <f>[1]!EM_S_FA_YOY_OR(B2204,E2204)</f>
        <v>7.4416623522999998</v>
      </c>
      <c r="I2204" s="11">
        <f>[1]!EM_S_FA_GROSSPROFITMARGIN(B2204,E2204)</f>
        <v>43.452679767100001</v>
      </c>
      <c r="J2204" s="11">
        <f>[1]!EM_S_FA_NETPROFITMARGIN(B2204,E2204)</f>
        <v>20.894976772300001</v>
      </c>
      <c r="K2204" s="10">
        <f>[1]!EM_S_FA_ASSETSTURN(B2204,E2204)</f>
        <v>0.15336261281800001</v>
      </c>
      <c r="L2204" s="12">
        <f>[1]!EM_HKS_VAL_MV(B2204,"2019-12-31","2")</f>
        <v>5156562769.6800003</v>
      </c>
      <c r="M2204">
        <f>[1]!EM_S_VAL_PETTMDEDUCTED(B2204,E2204)</f>
        <v>15.411039577209101</v>
      </c>
      <c r="N2204" s="7">
        <f>[1]!EM_S_VAL_PBGOODWILLDEDUCTED(B2204,E2204)</f>
        <v>1.3138900089746599</v>
      </c>
      <c r="O2204" s="7">
        <f>[1]!EM_S_VAL_PS_TTM(B2204,E2204)</f>
        <v>3.2898748290752202</v>
      </c>
      <c r="P2204" s="7">
        <f>[1]!EM_S_VAL_PCF_NCFTTM(B2204,E2204)</f>
        <v>50.964336528564402</v>
      </c>
      <c r="Q2204" s="7">
        <f>[1]!EM_S_VAL_DIVIDENDYIELD2(B2204,E2204,"2019-11-29")</f>
        <v>1.6994633285251273</v>
      </c>
      <c r="T2204"/>
      <c r="U2204">
        <f>[1]!EM_S_RATIO_EPS_TTM(B2204,E2204,"1")</f>
        <v>0.37953687319537366</v>
      </c>
      <c r="AT2204" s="4" t="str">
        <f>[1]!EM_S_IPO_LISTEDDATE(B2204)</f>
        <v>2015-06-12</v>
      </c>
    </row>
    <row r="2205" spans="1:46">
      <c r="A2205">
        <v>1373</v>
      </c>
      <c r="B2205" t="str">
        <f>"002873"</f>
        <v>002873</v>
      </c>
      <c r="C2205" t="s">
        <v>941</v>
      </c>
      <c r="D2205" t="str">
        <f>[1]!EM_S_INFO_INDEX_EM(B2205,"1")</f>
        <v>医药生物</v>
      </c>
      <c r="E2205" s="4">
        <f t="shared" si="34"/>
        <v>43465</v>
      </c>
      <c r="F2205" s="11">
        <f>[1]!EM_S_PQ_PCTCHANGE(B2205,"2018-01-01","2019-12-31","3")</f>
        <v>-31.876707620000001</v>
      </c>
      <c r="G2205" s="11">
        <f>[1]!EM_S_PQ_PCTCHANGE(B2205,"2018-12-31","2019-12-30","1")</f>
        <v>1.16995074</v>
      </c>
      <c r="H2205" s="11">
        <f>[1]!EM_S_FA_YOY_OR(B2205,E2205)</f>
        <v>1.8402539717999999</v>
      </c>
      <c r="I2205" s="11">
        <f>[1]!EM_S_FA_GROSSPROFITMARGIN(B2205,E2205)</f>
        <v>79.011704162200004</v>
      </c>
      <c r="J2205" s="11">
        <f>[1]!EM_S_FA_NETPROFITMARGIN(B2205,E2205)</f>
        <v>10.139644930899999</v>
      </c>
      <c r="K2205" s="10">
        <f>[1]!EM_S_FA_ASSETSTURN(B2205,E2205)</f>
        <v>0.75433581955100004</v>
      </c>
      <c r="L2205" s="12">
        <f>[1]!EM_HKS_VAL_MV(B2205,"2019-12-31","2")</f>
        <v>1974238560</v>
      </c>
      <c r="M2205">
        <f>[1]!EM_S_VAL_PETTMDEDUCTED(B2205,E2205)</f>
        <v>29.747703720859</v>
      </c>
      <c r="N2205" s="7">
        <f>[1]!EM_S_VAL_PBGOODWILLDEDUCTED(B2205,E2205)</f>
        <v>2.88687533803235</v>
      </c>
      <c r="O2205" s="7">
        <f>[1]!EM_S_VAL_PS_TTM(B2205,E2205)</f>
        <v>2.80382645861186</v>
      </c>
      <c r="P2205" s="7">
        <f>[1]!EM_S_VAL_PCF_NCFTTM(B2205,E2205)</f>
        <v>-12.154991021891499</v>
      </c>
      <c r="Q2205" s="7">
        <f>[1]!EM_S_VAL_DIVIDENDYIELD2(B2205,E2205,"2019-11-29")</f>
        <v>0.33921302578018997</v>
      </c>
      <c r="T2205"/>
      <c r="U2205">
        <f>[1]!EM_S_RATIO_EPS_TTM(B2205,E2205,"1")</f>
        <v>0.6061308346997335</v>
      </c>
      <c r="AT2205" s="4" t="str">
        <f>[1]!EM_S_IPO_LISTEDDATE(B2205)</f>
        <v>2017-05-19</v>
      </c>
    </row>
    <row r="2206" spans="1:46">
      <c r="A2206">
        <v>3508</v>
      </c>
      <c r="B2206" t="str">
        <f>"603709"</f>
        <v>603709</v>
      </c>
      <c r="C2206" t="s">
        <v>1440</v>
      </c>
      <c r="D2206" t="str">
        <f>[1]!EM_S_INFO_INDEX_EM(B2206,"1")</f>
        <v>轻工制造</v>
      </c>
      <c r="E2206" s="4">
        <f t="shared" si="34"/>
        <v>43465</v>
      </c>
      <c r="F2206" s="11">
        <f>[1]!EM_S_PQ_PCTCHANGE(B2206,"2018-01-01","2019-12-31","3")</f>
        <v>28.240459309999999</v>
      </c>
      <c r="G2206" s="11">
        <f>[1]!EM_S_PQ_PCTCHANGE(B2206,"2018-12-31","2019-12-30","1")</f>
        <v>1.1599999999999999</v>
      </c>
      <c r="H2206" s="11">
        <f>[1]!EM_S_FA_YOY_OR(B2206,E2206)</f>
        <v>13.1996869198</v>
      </c>
      <c r="I2206" s="11">
        <f>[1]!EM_S_FA_GROSSPROFITMARGIN(B2206,E2206)</f>
        <v>27.2240671058</v>
      </c>
      <c r="J2206" s="11">
        <f>[1]!EM_S_FA_NETPROFITMARGIN(B2206,E2206)</f>
        <v>9.4333126534999998</v>
      </c>
      <c r="K2206" s="10">
        <f>[1]!EM_S_FA_ASSETSTURN(B2206,E2206)</f>
        <v>1.28823806214</v>
      </c>
      <c r="L2206" s="12">
        <f>[1]!EM_HKS_VAL_MV(B2206,"2019-12-31","2")</f>
        <v>2016000000</v>
      </c>
      <c r="M2206">
        <f>[1]!EM_S_VAL_PETTMDEDUCTED(B2206,E2206)</f>
        <v>34.815031062190897</v>
      </c>
      <c r="N2206" s="7">
        <f>[1]!EM_S_VAL_PBGOODWILLDEDUCTED(B2206,E2206)</f>
        <v>3.3420774094246202</v>
      </c>
      <c r="O2206" s="7">
        <f>[1]!EM_S_VAL_PS_TTM(B2206,E2206)</f>
        <v>2.4041161683682799</v>
      </c>
      <c r="P2206" s="7">
        <f>[1]!EM_S_VAL_PCF_NCFTTM(B2206,E2206)</f>
        <v>213.980988163668</v>
      </c>
      <c r="Q2206" s="7">
        <f>[1]!EM_S_VAL_DIVIDENDYIELD2(B2206,E2206,"2019-11-29")</f>
        <v>0.93220338983050866</v>
      </c>
      <c r="T2206"/>
      <c r="U2206">
        <f>[1]!EM_S_RATIO_EPS_TTM(B2206,E2206,"1")</f>
        <v>1.04717523625</v>
      </c>
      <c r="AT2206" s="4" t="str">
        <f>[1]!EM_S_IPO_LISTEDDATE(B2206)</f>
        <v>2018-02-08</v>
      </c>
    </row>
    <row r="2207" spans="1:46">
      <c r="A2207">
        <v>2591</v>
      </c>
      <c r="B2207" t="str">
        <f>"600509"</f>
        <v>600509</v>
      </c>
      <c r="C2207" t="s">
        <v>2108</v>
      </c>
      <c r="D2207" t="str">
        <f>[1]!EM_S_INFO_INDEX_EM(B2207,"1")</f>
        <v>公用事业</v>
      </c>
      <c r="E2207" s="4">
        <f t="shared" si="34"/>
        <v>43465</v>
      </c>
      <c r="F2207" s="11">
        <f>[1]!EM_S_PQ_PCTCHANGE(B2207,"2018-01-01","2019-12-31","3")</f>
        <v>-46.377004020000001</v>
      </c>
      <c r="G2207" s="11">
        <f>[1]!EM_S_PQ_PCTCHANGE(B2207,"2018-12-31","2019-12-30","1")</f>
        <v>1.1204481799999999</v>
      </c>
      <c r="H2207" s="11">
        <f>[1]!EM_S_FA_YOY_OR(B2207,E2207)</f>
        <v>16.943759377100001</v>
      </c>
      <c r="I2207" s="11">
        <f>[1]!EM_S_FA_GROSSPROFITMARGIN(B2207,E2207)</f>
        <v>21.920624012699999</v>
      </c>
      <c r="J2207" s="11">
        <f>[1]!EM_S_FA_NETPROFITMARGIN(B2207,E2207)</f>
        <v>0.75256077249999997</v>
      </c>
      <c r="K2207" s="10">
        <f>[1]!EM_S_FA_ASSETSTURN(B2207,E2207)</f>
        <v>0.242392529843</v>
      </c>
      <c r="L2207" s="12">
        <f>[1]!EM_HKS_VAL_MV(B2207,"2019-12-31","2")</f>
        <v>4168122361.54</v>
      </c>
      <c r="M2207">
        <f>[1]!EM_S_VAL_PETTMDEDUCTED(B2207,E2207)</f>
        <v>-55.992157385210199</v>
      </c>
      <c r="N2207" s="7">
        <f>[1]!EM_S_VAL_PBGOODWILLDEDUCTED(B2207,E2207)</f>
        <v>0.63214326235444696</v>
      </c>
      <c r="O2207" s="7">
        <f>[1]!EM_S_VAL_PS_TTM(B2207,E2207)</f>
        <v>0.84578101975585496</v>
      </c>
      <c r="P2207" s="7">
        <f>[1]!EM_S_VAL_PCF_NCFTTM(B2207,E2207)</f>
        <v>-7.4821679120692801</v>
      </c>
      <c r="Q2207" s="7">
        <f>[1]!EM_S_VAL_DIVIDENDYIELD2(B2207,E2207,"2019-11-29")</f>
        <v>0.43126684636118595</v>
      </c>
      <c r="T2207"/>
      <c r="U2207">
        <f>[1]!EM_S_RATIO_EPS_TTM(B2207,E2207,"1")</f>
        <v>4.3028343202510103E-2</v>
      </c>
      <c r="AT2207" s="4" t="str">
        <f>[1]!EM_S_IPO_LISTEDDATE(B2207)</f>
        <v>2002-02-28</v>
      </c>
    </row>
    <row r="2208" spans="1:46">
      <c r="A2208">
        <v>1295</v>
      </c>
      <c r="B2208" t="str">
        <f>"002789"</f>
        <v>002789</v>
      </c>
      <c r="C2208" t="s">
        <v>1070</v>
      </c>
      <c r="D2208" t="str">
        <f>[1]!EM_S_INFO_INDEX_EM(B2208,"1")</f>
        <v>建筑</v>
      </c>
      <c r="E2208" s="4">
        <f t="shared" si="34"/>
        <v>43465</v>
      </c>
      <c r="F2208" s="11">
        <f>[1]!EM_S_PQ_PCTCHANGE(B2208,"2018-01-01","2019-12-31","3")</f>
        <v>-29.414034220000001</v>
      </c>
      <c r="G2208" s="11">
        <f>[1]!EM_S_PQ_PCTCHANGE(B2208,"2018-12-31","2019-12-30","1")</f>
        <v>1.10361741</v>
      </c>
      <c r="H2208" s="11">
        <f>[1]!EM_S_FA_YOY_OR(B2208,E2208)</f>
        <v>21.2087392028</v>
      </c>
      <c r="I2208" s="11">
        <f>[1]!EM_S_FA_GROSSPROFITMARGIN(B2208,E2208)</f>
        <v>15.5377474111</v>
      </c>
      <c r="J2208" s="11">
        <f>[1]!EM_S_FA_NETPROFITMARGIN(B2208,E2208)</f>
        <v>3.0732692389</v>
      </c>
      <c r="K2208" s="10">
        <f>[1]!EM_S_FA_ASSETSTURN(B2208,E2208)</f>
        <v>0.77642073840900006</v>
      </c>
      <c r="L2208" s="12">
        <f>[1]!EM_HKS_VAL_MV(B2208,"2019-12-31","2")</f>
        <v>2284562000</v>
      </c>
      <c r="M2208">
        <f>[1]!EM_S_VAL_PETTMDEDUCTED(B2208,E2208)</f>
        <v>22.221941868712602</v>
      </c>
      <c r="N2208" s="7">
        <f>[1]!EM_S_VAL_PBGOODWILLDEDUCTED(B2208,E2208)</f>
        <v>1.80388557908818</v>
      </c>
      <c r="O2208" s="7">
        <f>[1]!EM_S_VAL_PS_TTM(B2208,E2208)</f>
        <v>0.82199734265485602</v>
      </c>
      <c r="P2208" s="7">
        <f>[1]!EM_S_VAL_PCF_NCFTTM(B2208,E2208)</f>
        <v>-5.9027211917209597</v>
      </c>
      <c r="Q2208" s="7">
        <f>[1]!EM_S_VAL_DIVIDENDYIELD2(B2208,E2208,"2019-11-29")</f>
        <v>0.39147956246401844</v>
      </c>
      <c r="T2208"/>
      <c r="U2208">
        <f>[1]!EM_S_RATIO_EPS_TTM(B2208,E2208,"1")</f>
        <v>0.66812402557229789</v>
      </c>
      <c r="AT2208" s="4" t="str">
        <f>[1]!EM_S_IPO_LISTEDDATE(B2208)</f>
        <v>2016-03-11</v>
      </c>
    </row>
    <row r="2209" spans="1:46">
      <c r="A2209">
        <v>2589</v>
      </c>
      <c r="B2209" t="str">
        <f>"600507"</f>
        <v>600507</v>
      </c>
      <c r="C2209" t="s">
        <v>77</v>
      </c>
      <c r="D2209" t="str">
        <f>[1]!EM_S_INFO_INDEX_EM(B2209,"1")</f>
        <v>钢铁</v>
      </c>
      <c r="E2209" s="4">
        <f t="shared" si="34"/>
        <v>43465</v>
      </c>
      <c r="F2209" s="11">
        <f>[1]!EM_S_PQ_PCTCHANGE(B2209,"2018-01-01","2019-12-31","3")</f>
        <v>8.9477260000000003E-2</v>
      </c>
      <c r="G2209" s="11">
        <f>[1]!EM_S_PQ_PCTCHANGE(B2209,"2018-12-31","2019-12-30","1")</f>
        <v>1.1011010999999999</v>
      </c>
      <c r="H2209" s="11">
        <f>[1]!EM_S_FA_YOY_OR(B2209,E2209)</f>
        <v>23.959565324500002</v>
      </c>
      <c r="I2209" s="11">
        <f>[1]!EM_S_FA_GROSSPROFITMARGIN(B2209,E2209)</f>
        <v>32.867228947900003</v>
      </c>
      <c r="J2209" s="11">
        <f>[1]!EM_S_FA_NETPROFITMARGIN(B2209,E2209)</f>
        <v>16.961720654099999</v>
      </c>
      <c r="K2209" s="10">
        <f>[1]!EM_S_FA_ASSETSTURN(B2209,E2209)</f>
        <v>1.8959750952100001</v>
      </c>
      <c r="L2209" s="12">
        <f>[1]!EM_HKS_VAL_MV(B2209,"2019-12-31","2")</f>
        <v>14564570384.959999</v>
      </c>
      <c r="M2209">
        <f>[1]!EM_S_VAL_PETTMDEDUCTED(B2209,E2209)</f>
        <v>4.5763177387523797</v>
      </c>
      <c r="N2209" s="7">
        <f>[1]!EM_S_VAL_PBGOODWILLDEDUCTED(B2209,E2209)</f>
        <v>2.2475166664851298</v>
      </c>
      <c r="O2209" s="7">
        <f>[1]!EM_S_VAL_PS_TTM(B2209,E2209)</f>
        <v>0.87255288235562301</v>
      </c>
      <c r="P2209" s="7">
        <f>[1]!EM_S_VAL_PCF_NCFTTM(B2209,E2209)</f>
        <v>8.1747347960127694</v>
      </c>
      <c r="Q2209" s="7">
        <f>[1]!EM_S_VAL_DIVIDENDYIELD2(B2209,E2209,"2019-11-29")</f>
        <v>19.021978947732325</v>
      </c>
      <c r="T2209"/>
      <c r="U2209">
        <f>[1]!EM_S_RATIO_EPS_TTM(B2209,E2209,"1")</f>
        <v>2.0188185995395309</v>
      </c>
      <c r="AT2209" s="4" t="str">
        <f>[1]!EM_S_IPO_LISTEDDATE(B2209)</f>
        <v>2003-09-30</v>
      </c>
    </row>
    <row r="2210" spans="1:46">
      <c r="A2210">
        <v>786</v>
      </c>
      <c r="B2210" t="str">
        <f>"002275"</f>
        <v>002275</v>
      </c>
      <c r="C2210" t="s">
        <v>768</v>
      </c>
      <c r="D2210" t="str">
        <f>[1]!EM_S_INFO_INDEX_EM(B2210,"1")</f>
        <v>医药生物</v>
      </c>
      <c r="E2210" s="4">
        <f t="shared" si="34"/>
        <v>43465</v>
      </c>
      <c r="F2210" s="11">
        <f>[1]!EM_S_PQ_PCTCHANGE(B2210,"2018-01-01","2019-12-31","3")</f>
        <v>-14.84581708</v>
      </c>
      <c r="G2210" s="11">
        <f>[1]!EM_S_PQ_PCTCHANGE(B2210,"2018-12-31","2019-12-30","1")</f>
        <v>1.09375</v>
      </c>
      <c r="H2210" s="11">
        <f>[1]!EM_S_FA_YOY_OR(B2210,E2210)</f>
        <v>-1.939507554</v>
      </c>
      <c r="I2210" s="11">
        <f>[1]!EM_S_FA_GROSSPROFITMARGIN(B2210,E2210)</f>
        <v>72.711985523300001</v>
      </c>
      <c r="J2210" s="11">
        <f>[1]!EM_S_FA_NETPROFITMARGIN(B2210,E2210)</f>
        <v>26.083992851400001</v>
      </c>
      <c r="K2210" s="10">
        <f>[1]!EM_S_FA_ASSETSTURN(B2210,E2210)</f>
        <v>0.47762094865799998</v>
      </c>
      <c r="L2210" s="12">
        <f>[1]!EM_HKS_VAL_MV(B2210,"2019-12-31","2")</f>
        <v>7743424000</v>
      </c>
      <c r="M2210">
        <f>[1]!EM_S_VAL_PETTMDEDUCTED(B2210,E2210)</f>
        <v>16.550205833160099</v>
      </c>
      <c r="N2210" s="7">
        <f>[1]!EM_S_VAL_PBGOODWILLDEDUCTED(B2210,E2210)</f>
        <v>2.69712784224786</v>
      </c>
      <c r="O2210" s="7">
        <f>[1]!EM_S_VAL_PS_TTM(B2210,E2210)</f>
        <v>4.5812226360552799</v>
      </c>
      <c r="P2210" s="7">
        <f>[1]!EM_S_VAL_PCF_NCFTTM(B2210,E2210)</f>
        <v>31.671385072274902</v>
      </c>
      <c r="Q2210" s="7">
        <f>[1]!EM_S_VAL_DIVIDENDYIELD2(B2210,E2210,"2019-11-29")</f>
        <v>2.77337559429477</v>
      </c>
      <c r="T2210"/>
      <c r="U2210">
        <f>[1]!EM_S_RATIO_EPS_TTM(B2210,E2210,"1")</f>
        <v>0.70034921162317854</v>
      </c>
      <c r="AT2210" s="4" t="str">
        <f>[1]!EM_S_IPO_LISTEDDATE(B2210)</f>
        <v>2009-07-10</v>
      </c>
    </row>
    <row r="2211" spans="1:46">
      <c r="A2211">
        <v>2840</v>
      </c>
      <c r="B2211" t="str">
        <f>"600767"</f>
        <v>600767</v>
      </c>
      <c r="C2211" t="s">
        <v>3542</v>
      </c>
      <c r="D2211" t="str">
        <f>[1]!EM_S_INFO_INDEX_EM(B2211,"1")</f>
        <v>医药生物</v>
      </c>
      <c r="E2211" s="4">
        <f t="shared" si="34"/>
        <v>43465</v>
      </c>
      <c r="F2211" s="11">
        <f>[1]!EM_S_PQ_PCTCHANGE(B2211,"2018-01-01","2019-12-31","3")</f>
        <v>-27.8366112</v>
      </c>
      <c r="G2211" s="11">
        <f>[1]!EM_S_PQ_PCTCHANGE(B2211,"2018-12-31","2019-12-30","1")</f>
        <v>1.05708245</v>
      </c>
      <c r="H2211" s="11">
        <f>[1]!EM_S_FA_YOY_OR(B2211,E2211)</f>
        <v>82.838992752099998</v>
      </c>
      <c r="I2211" s="11">
        <f>[1]!EM_S_FA_GROSSPROFITMARGIN(B2211,E2211)</f>
        <v>43.153674295599998</v>
      </c>
      <c r="J2211" s="11">
        <f>[1]!EM_S_FA_NETPROFITMARGIN(B2211,E2211)</f>
        <v>8.2825587183000007</v>
      </c>
      <c r="K2211" s="10">
        <f>[1]!EM_S_FA_ASSETSTURN(B2211,E2211)</f>
        <v>0.40691249406399999</v>
      </c>
      <c r="L2211" s="12">
        <f>[1]!EM_HKS_VAL_MV(B2211,"2019-12-31","2")</f>
        <v>1626618568.1400001</v>
      </c>
      <c r="M2211">
        <f>[1]!EM_S_VAL_PETTMDEDUCTED(B2211,E2211)</f>
        <v>-97.287156147763397</v>
      </c>
      <c r="N2211" s="7">
        <f>[1]!EM_S_VAL_PBGOODWILLDEDUCTED(B2211,E2211)</f>
        <v>6.5281453532636498</v>
      </c>
      <c r="O2211" s="7">
        <f>[1]!EM_S_VAL_PS_TTM(B2211,E2211)</f>
        <v>10.680566377921</v>
      </c>
      <c r="P2211" s="7">
        <f>[1]!EM_S_VAL_PCF_NCFTTM(B2211,E2211)</f>
        <v>-33.539092348568602</v>
      </c>
      <c r="Q2211" s="7">
        <f>[1]!EM_S_VAL_DIVIDENDYIELD2(B2211,E2211,"2019-11-29")</f>
        <v>0</v>
      </c>
      <c r="T2211"/>
      <c r="U2211">
        <f>[1]!EM_S_RATIO_EPS_TTM(B2211,E2211,"1")</f>
        <v>5.9846718359864104E-2</v>
      </c>
      <c r="AT2211" s="4" t="str">
        <f>[1]!EM_S_IPO_LISTEDDATE(B2211)</f>
        <v>1996-11-15</v>
      </c>
    </row>
    <row r="2212" spans="1:46">
      <c r="A2212">
        <v>2787</v>
      </c>
      <c r="B2212" t="str">
        <f>"600714"</f>
        <v>600714</v>
      </c>
      <c r="C2212" t="s">
        <v>2488</v>
      </c>
      <c r="D2212" t="str">
        <f>[1]!EM_S_INFO_INDEX_EM(B2212,"1")</f>
        <v>基础化工</v>
      </c>
      <c r="E2212" s="4">
        <f t="shared" si="34"/>
        <v>43465</v>
      </c>
      <c r="F2212" s="11">
        <f>[1]!EM_S_PQ_PCTCHANGE(B2212,"2018-01-01","2019-12-31","3")</f>
        <v>-35.801104969999997</v>
      </c>
      <c r="G2212" s="11">
        <f>[1]!EM_S_PQ_PCTCHANGE(B2212,"2018-12-31","2019-12-30","1")</f>
        <v>1.0416666699999999</v>
      </c>
      <c r="H2212" s="11">
        <f>[1]!EM_S_FA_YOY_OR(B2212,E2212)</f>
        <v>72.547200790800005</v>
      </c>
      <c r="I2212" s="11">
        <f>[1]!EM_S_FA_GROSSPROFITMARGIN(B2212,E2212)</f>
        <v>24.943971161099999</v>
      </c>
      <c r="J2212" s="11">
        <f>[1]!EM_S_FA_NETPROFITMARGIN(B2212,E2212)</f>
        <v>14.468046106999999</v>
      </c>
      <c r="K2212" s="10">
        <f>[1]!EM_S_FA_ASSETSTURN(B2212,E2212)</f>
        <v>0.236388511445</v>
      </c>
      <c r="L2212" s="12">
        <f>[1]!EM_HKS_VAL_MV(B2212,"2019-12-31","2")</f>
        <v>1674304146.1300001</v>
      </c>
      <c r="M2212">
        <f>[1]!EM_S_VAL_PETTMDEDUCTED(B2212,E2212)</f>
        <v>95.346933218358402</v>
      </c>
      <c r="N2212" s="7">
        <f>[1]!EM_S_VAL_PBGOODWILLDEDUCTED(B2212,E2212)</f>
        <v>2.6569551609908899</v>
      </c>
      <c r="O2212" s="7">
        <f>[1]!EM_S_VAL_PS_TTM(B2212,E2212)</f>
        <v>13.4013896838714</v>
      </c>
      <c r="P2212" s="7">
        <f>[1]!EM_S_VAL_PCF_NCFTTM(B2212,E2212)</f>
        <v>-44.565939656950398</v>
      </c>
      <c r="Q2212" s="7">
        <f>[1]!EM_S_VAL_DIVIDENDYIELD2(B2212,E2212,"2019-11-29")</f>
        <v>0</v>
      </c>
      <c r="T2212"/>
      <c r="U2212">
        <f>[1]!EM_S_RATIO_EPS_TTM(B2212,E2212,"1")</f>
        <v>7.8903504800341431E-2</v>
      </c>
      <c r="AT2212" s="4" t="str">
        <f>[1]!EM_S_IPO_LISTEDDATE(B2212)</f>
        <v>1996-06-06</v>
      </c>
    </row>
    <row r="2213" spans="1:46">
      <c r="A2213">
        <v>806</v>
      </c>
      <c r="B2213" t="str">
        <f>"002295"</f>
        <v>002295</v>
      </c>
      <c r="C2213" t="s">
        <v>1762</v>
      </c>
      <c r="D2213" t="str">
        <f>[1]!EM_S_INFO_INDEX_EM(B2213,"1")</f>
        <v>有色金属</v>
      </c>
      <c r="E2213" s="4">
        <f t="shared" si="34"/>
        <v>43465</v>
      </c>
      <c r="F2213" s="11">
        <f>[1]!EM_S_PQ_PCTCHANGE(B2213,"2018-01-01","2019-12-31","3")</f>
        <v>-33.110320569999999</v>
      </c>
      <c r="G2213" s="11">
        <f>[1]!EM_S_PQ_PCTCHANGE(B2213,"2018-12-31","2019-12-30","1")</f>
        <v>1.03492885</v>
      </c>
      <c r="H2213" s="11">
        <f>[1]!EM_S_FA_YOY_OR(B2213,E2213)</f>
        <v>5.6142222191000002</v>
      </c>
      <c r="I2213" s="11">
        <f>[1]!EM_S_FA_GROSSPROFITMARGIN(B2213,E2213)</f>
        <v>3.8123568217999999</v>
      </c>
      <c r="J2213" s="11">
        <f>[1]!EM_S_FA_NETPROFITMARGIN(B2213,E2213)</f>
        <v>0.83011202930000005</v>
      </c>
      <c r="K2213" s="10">
        <f>[1]!EM_S_FA_ASSETSTURN(B2213,E2213)</f>
        <v>3.007703147655</v>
      </c>
      <c r="L2213" s="12">
        <f>[1]!EM_HKS_VAL_MV(B2213,"2019-12-31","2")</f>
        <v>1932249360</v>
      </c>
      <c r="M2213">
        <f>[1]!EM_S_VAL_PETTMDEDUCTED(B2213,E2213)</f>
        <v>40.839344835824498</v>
      </c>
      <c r="N2213" s="7">
        <f>[1]!EM_S_VAL_PBGOODWILLDEDUCTED(B2213,E2213)</f>
        <v>1.6837005594849099</v>
      </c>
      <c r="O2213" s="7">
        <f>[1]!EM_S_VAL_PS_TTM(B2213,E2213)</f>
        <v>0.32461869685131001</v>
      </c>
      <c r="P2213" s="7">
        <f>[1]!EM_S_VAL_PCF_NCFTTM(B2213,E2213)</f>
        <v>79.268483866352298</v>
      </c>
      <c r="Q2213" s="7">
        <f>[1]!EM_S_VAL_DIVIDENDYIELD2(B2213,E2213,"2019-11-29")</f>
        <v>0.82758620689655171</v>
      </c>
      <c r="T2213"/>
      <c r="U2213">
        <f>[1]!EM_S_RATIO_EPS_TTM(B2213,E2213,"1")</f>
        <v>0.19070692956555049</v>
      </c>
      <c r="AT2213" s="4" t="str">
        <f>[1]!EM_S_IPO_LISTEDDATE(B2213)</f>
        <v>2009-09-29</v>
      </c>
    </row>
    <row r="2214" spans="1:46">
      <c r="A2214">
        <v>791</v>
      </c>
      <c r="B2214" t="str">
        <f>"002280"</f>
        <v>002280</v>
      </c>
      <c r="C2214" t="s">
        <v>1818</v>
      </c>
      <c r="D2214" t="str">
        <f>[1]!EM_S_INFO_INDEX_EM(B2214,"1")</f>
        <v>互联网</v>
      </c>
      <c r="E2214" s="4">
        <f t="shared" si="34"/>
        <v>43465</v>
      </c>
      <c r="F2214" s="11">
        <f>[1]!EM_S_PQ_PCTCHANGE(B2214,"2018-01-01","2019-12-31","3")</f>
        <v>-49.477806790000002</v>
      </c>
      <c r="G2214" s="11">
        <f>[1]!EM_S_PQ_PCTCHANGE(B2214,"2018-12-31","2019-12-30","1")</f>
        <v>1.0335917299999999</v>
      </c>
      <c r="H2214" s="11">
        <f>[1]!EM_S_FA_YOY_OR(B2214,E2214)</f>
        <v>13.3180923201</v>
      </c>
      <c r="I2214" s="11">
        <f>[1]!EM_S_FA_GROSSPROFITMARGIN(B2214,E2214)</f>
        <v>14.703649359</v>
      </c>
      <c r="J2214" s="11">
        <f>[1]!EM_S_FA_NETPROFITMARGIN(B2214,E2214)</f>
        <v>-6.9884333717000002</v>
      </c>
      <c r="K2214" s="10">
        <f>[1]!EM_S_FA_ASSETSTURN(B2214,E2214)</f>
        <v>0.95899886152299996</v>
      </c>
      <c r="L2214" s="12">
        <f>[1]!EM_HKS_VAL_MV(B2214,"2019-12-31","2")</f>
        <v>8425569242.25</v>
      </c>
      <c r="M2214">
        <f>[1]!EM_S_VAL_PETTMDEDUCTED(B2214,E2214)</f>
        <v>-21.615538534333599</v>
      </c>
      <c r="N2214" s="7">
        <f>[1]!EM_S_VAL_PBGOODWILLDEDUCTED(B2214,E2214)</f>
        <v>3.0400428110403199</v>
      </c>
      <c r="O2214" s="7">
        <f>[1]!EM_S_VAL_PS_TTM(B2214,E2214)</f>
        <v>0.53787852760991595</v>
      </c>
      <c r="P2214" s="7">
        <f>[1]!EM_S_VAL_PCF_NCFTTM(B2214,E2214)</f>
        <v>-19.979593963579902</v>
      </c>
      <c r="Q2214" s="7">
        <f>[1]!EM_S_VAL_DIVIDENDYIELD2(B2214,E2214,"2019-11-29")</f>
        <v>0</v>
      </c>
      <c r="T2214"/>
      <c r="U2214">
        <f>[1]!EM_S_RATIO_EPS_TTM(B2214,E2214,"1")</f>
        <v>-0.30715044478051329</v>
      </c>
      <c r="AT2214" s="4" t="str">
        <f>[1]!EM_S_IPO_LISTEDDATE(B2214)</f>
        <v>2009-08-21</v>
      </c>
    </row>
    <row r="2215" spans="1:46">
      <c r="A2215">
        <v>2113</v>
      </c>
      <c r="B2215" t="str">
        <f>"300696"</f>
        <v>300696</v>
      </c>
      <c r="C2215" t="s">
        <v>1960</v>
      </c>
      <c r="D2215" t="str">
        <f>[1]!EM_S_INFO_INDEX_EM(B2215,"1")</f>
        <v>国防与装备</v>
      </c>
      <c r="E2215" s="4">
        <f t="shared" si="34"/>
        <v>43465</v>
      </c>
      <c r="F2215" s="11">
        <f>[1]!EM_S_PQ_PCTCHANGE(B2215,"2018-01-01","2019-12-31","3")</f>
        <v>-45.59853201</v>
      </c>
      <c r="G2215" s="11">
        <f>[1]!EM_S_PQ_PCTCHANGE(B2215,"2018-12-31","2019-12-30","1")</f>
        <v>1.0313901299999999</v>
      </c>
      <c r="H2215" s="11">
        <f>[1]!EM_S_FA_YOY_OR(B2215,E2215)</f>
        <v>-5.7585223861000001</v>
      </c>
      <c r="I2215" s="11">
        <f>[1]!EM_S_FA_GROSSPROFITMARGIN(B2215,E2215)</f>
        <v>63.176578658300002</v>
      </c>
      <c r="J2215" s="11">
        <f>[1]!EM_S_FA_NETPROFITMARGIN(B2215,E2215)</f>
        <v>53.438961158300003</v>
      </c>
      <c r="K2215" s="10">
        <f>[1]!EM_S_FA_ASSETSTURN(B2215,E2215)</f>
        <v>0.16089476446699999</v>
      </c>
      <c r="L2215" s="12">
        <f>[1]!EM_HKS_VAL_MV(B2215,"2019-12-31","2")</f>
        <v>2674848000</v>
      </c>
      <c r="M2215">
        <f>[1]!EM_S_VAL_PETTMDEDUCTED(B2215,E2215)</f>
        <v>37.817965415034003</v>
      </c>
      <c r="N2215" s="7">
        <f>[1]!EM_S_VAL_PBGOODWILLDEDUCTED(B2215,E2215)</f>
        <v>3.4911133791137399</v>
      </c>
      <c r="O2215" s="7">
        <f>[1]!EM_S_VAL_PS_TTM(B2215,E2215)</f>
        <v>17.2187645625065</v>
      </c>
      <c r="P2215" s="7">
        <f>[1]!EM_S_VAL_PCF_NCFTTM(B2215,E2215)</f>
        <v>-11.208140324851</v>
      </c>
      <c r="Q2215" s="7">
        <f>[1]!EM_S_VAL_DIVIDENDYIELD2(B2215,E2215,"2019-11-29")</f>
        <v>0.77428915135608045</v>
      </c>
      <c r="T2215"/>
      <c r="U2215">
        <f>[1]!EM_S_RATIO_EPS_TTM(B2215,E2215,"1")</f>
        <v>0.58422461126988867</v>
      </c>
      <c r="AT2215" s="4" t="str">
        <f>[1]!EM_S_IPO_LISTEDDATE(B2215)</f>
        <v>2017-08-22</v>
      </c>
    </row>
    <row r="2216" spans="1:46">
      <c r="A2216">
        <v>1382</v>
      </c>
      <c r="B2216" t="str">
        <f>"002883"</f>
        <v>002883</v>
      </c>
      <c r="C2216" t="s">
        <v>779</v>
      </c>
      <c r="D2216" t="str">
        <f>[1]!EM_S_INFO_INDEX_EM(B2216,"1")</f>
        <v>休闲、生活及专业服务</v>
      </c>
      <c r="E2216" s="4">
        <f t="shared" si="34"/>
        <v>43465</v>
      </c>
      <c r="F2216" s="11">
        <f>[1]!EM_S_PQ_PCTCHANGE(B2216,"2018-01-01","2019-12-31","3")</f>
        <v>-32.792250760000002</v>
      </c>
      <c r="G2216" s="11">
        <f>[1]!EM_S_PQ_PCTCHANGE(B2216,"2018-12-31","2019-12-30","1")</f>
        <v>1.0214504600000001</v>
      </c>
      <c r="H2216" s="11">
        <f>[1]!EM_S_FA_YOY_OR(B2216,E2216)</f>
        <v>16.466019018200001</v>
      </c>
      <c r="I2216" s="11">
        <f>[1]!EM_S_FA_GROSSPROFITMARGIN(B2216,E2216)</f>
        <v>47.731051660399999</v>
      </c>
      <c r="J2216" s="11">
        <f>[1]!EM_S_FA_NETPROFITMARGIN(B2216,E2216)</f>
        <v>21.928877768300001</v>
      </c>
      <c r="K2216" s="10">
        <f>[1]!EM_S_FA_ASSETSTURN(B2216,E2216)</f>
        <v>0.55760437183300005</v>
      </c>
      <c r="L2216" s="12">
        <f>[1]!EM_HKS_VAL_MV(B2216,"2019-12-31","2")</f>
        <v>1725084338.2</v>
      </c>
      <c r="M2216">
        <f>[1]!EM_S_VAL_PETTMDEDUCTED(B2216,E2216)</f>
        <v>34.427919166069799</v>
      </c>
      <c r="N2216" s="7">
        <f>[1]!EM_S_VAL_PBGOODWILLDEDUCTED(B2216,E2216)</f>
        <v>3.9497541567504499</v>
      </c>
      <c r="O2216" s="7">
        <f>[1]!EM_S_VAL_PS_TTM(B2216,E2216)</f>
        <v>6.4439260966565</v>
      </c>
      <c r="P2216" s="7">
        <f>[1]!EM_S_VAL_PCF_NCFTTM(B2216,E2216)</f>
        <v>-36.6688739382232</v>
      </c>
      <c r="Q2216" s="7">
        <f>[1]!EM_S_VAL_DIVIDENDYIELD2(B2216,E2216,"2019-11-29")</f>
        <v>0.81192823520427004</v>
      </c>
      <c r="T2216"/>
      <c r="U2216">
        <f>[1]!EM_S_RATIO_EPS_TTM(B2216,E2216,"1")</f>
        <v>0.65603419034875321</v>
      </c>
      <c r="AT2216" s="4" t="str">
        <f>[1]!EM_S_IPO_LISTEDDATE(B2216)</f>
        <v>2017-06-20</v>
      </c>
    </row>
    <row r="2217" spans="1:46">
      <c r="A2217">
        <v>2075</v>
      </c>
      <c r="B2217" t="str">
        <f>"300656"</f>
        <v>300656</v>
      </c>
      <c r="C2217" t="s">
        <v>1405</v>
      </c>
      <c r="D2217" t="str">
        <f>[1]!EM_S_INFO_INDEX_EM(B2217,"1")</f>
        <v>信息技术</v>
      </c>
      <c r="E2217" s="4">
        <f t="shared" si="34"/>
        <v>43465</v>
      </c>
      <c r="F2217" s="11">
        <f>[1]!EM_S_PQ_PCTCHANGE(B2217,"2018-01-01","2019-12-31","3")</f>
        <v>-39.027152579999999</v>
      </c>
      <c r="G2217" s="11">
        <f>[1]!EM_S_PQ_PCTCHANGE(B2217,"2018-12-31","2019-12-30","1")</f>
        <v>1.0169491500000001</v>
      </c>
      <c r="H2217" s="11">
        <f>[1]!EM_S_FA_YOY_OR(B2217,E2217)</f>
        <v>124.0925535304</v>
      </c>
      <c r="I2217" s="11">
        <f>[1]!EM_S_FA_GROSSPROFITMARGIN(B2217,E2217)</f>
        <v>37.016575524799997</v>
      </c>
      <c r="J2217" s="11">
        <f>[1]!EM_S_FA_NETPROFITMARGIN(B2217,E2217)</f>
        <v>19.981614245700001</v>
      </c>
      <c r="K2217" s="10">
        <f>[1]!EM_S_FA_ASSETSTURN(B2217,E2217)</f>
        <v>0.51512569010499998</v>
      </c>
      <c r="L2217" s="12">
        <f>[1]!EM_HKS_VAL_MV(B2217,"2019-12-31","2")</f>
        <v>2051280000</v>
      </c>
      <c r="M2217">
        <f>[1]!EM_S_VAL_PETTMDEDUCTED(B2217,E2217)</f>
        <v>44.342979944024499</v>
      </c>
      <c r="N2217" s="7">
        <f>[1]!EM_S_VAL_PBGOODWILLDEDUCTED(B2217,E2217)</f>
        <v>5.3607141662493101</v>
      </c>
      <c r="O2217" s="7">
        <f>[1]!EM_S_VAL_PS_TTM(B2217,E2217)</f>
        <v>7.8064470724258701</v>
      </c>
      <c r="P2217" s="7">
        <f>[1]!EM_S_VAL_PCF_NCFTTM(B2217,E2217)</f>
        <v>-115.744832533183</v>
      </c>
      <c r="Q2217" s="7">
        <f>[1]!EM_S_VAL_DIVIDENDYIELD2(B2217,E2217,"2019-11-29")</f>
        <v>0.71282611794896167</v>
      </c>
      <c r="T2217"/>
      <c r="U2217">
        <f>[1]!EM_S_RATIO_EPS_TTM(B2217,E2217,"1")</f>
        <v>0.59376890988888886</v>
      </c>
      <c r="AT2217" s="4" t="str">
        <f>[1]!EM_S_IPO_LISTEDDATE(B2217)</f>
        <v>2017-05-19</v>
      </c>
    </row>
    <row r="2218" spans="1:46">
      <c r="A2218">
        <v>2578</v>
      </c>
      <c r="B2218" t="str">
        <f>"600495"</f>
        <v>600495</v>
      </c>
      <c r="C2218" t="s">
        <v>3262</v>
      </c>
      <c r="D2218" t="str">
        <f>[1]!EM_S_INFO_INDEX_EM(B2218,"1")</f>
        <v>交运设备</v>
      </c>
      <c r="E2218" s="4">
        <f t="shared" si="34"/>
        <v>43465</v>
      </c>
      <c r="F2218" s="11">
        <f>[1]!EM_S_PQ_PCTCHANGE(B2218,"2018-01-01","2019-12-31","3")</f>
        <v>-36.349621220000003</v>
      </c>
      <c r="G2218" s="11">
        <f>[1]!EM_S_PQ_PCTCHANGE(B2218,"2018-12-31","2019-12-30","1")</f>
        <v>0.97323601000000004</v>
      </c>
      <c r="H2218" s="11">
        <f>[1]!EM_S_FA_YOY_OR(B2218,E2218)</f>
        <v>1.8136971179000001</v>
      </c>
      <c r="I2218" s="11">
        <f>[1]!EM_S_FA_GROSSPROFITMARGIN(B2218,E2218)</f>
        <v>17.516510900499998</v>
      </c>
      <c r="J2218" s="11">
        <f>[1]!EM_S_FA_NETPROFITMARGIN(B2218,E2218)</f>
        <v>2.5990413555999998</v>
      </c>
      <c r="K2218" s="10">
        <f>[1]!EM_S_FA_ASSETSTURN(B2218,E2218)</f>
        <v>0.35549155700399998</v>
      </c>
      <c r="L2218" s="12">
        <f>[1]!EM_HKS_VAL_MV(B2218,"2019-12-31","2")</f>
        <v>5074401721.1999998</v>
      </c>
      <c r="M2218">
        <f>[1]!EM_S_VAL_PETTMDEDUCTED(B2218,E2218)</f>
        <v>-365.30879882146502</v>
      </c>
      <c r="N2218" s="7">
        <f>[1]!EM_S_VAL_PBGOODWILLDEDUCTED(B2218,E2218)</f>
        <v>1.5792181790041999</v>
      </c>
      <c r="O2218" s="7">
        <f>[1]!EM_S_VAL_PS_TTM(B2218,E2218)</f>
        <v>4.1084173934455102</v>
      </c>
      <c r="P2218" s="7">
        <f>[1]!EM_S_VAL_PCF_NCFTTM(B2218,E2218)</f>
        <v>13.794319048684301</v>
      </c>
      <c r="Q2218" s="7">
        <f>[1]!EM_S_VAL_DIVIDENDYIELD2(B2218,E2218,"2019-11-29")</f>
        <v>0.29339853300733498</v>
      </c>
      <c r="T2218"/>
      <c r="U2218">
        <f>[1]!EM_S_RATIO_EPS_TTM(B2218,E2218,"1")</f>
        <v>2.9568790647209034E-2</v>
      </c>
      <c r="AT2218" s="4" t="str">
        <f>[1]!EM_S_IPO_LISTEDDATE(B2218)</f>
        <v>2004-05-26</v>
      </c>
    </row>
    <row r="2219" spans="1:46">
      <c r="A2219">
        <v>14</v>
      </c>
      <c r="B2219" t="str">
        <f>"000014"</f>
        <v>000014</v>
      </c>
      <c r="C2219" t="s">
        <v>2755</v>
      </c>
      <c r="D2219" t="str">
        <f>[1]!EM_S_INFO_INDEX_EM(B2219,"1")</f>
        <v>房地产</v>
      </c>
      <c r="E2219" s="4">
        <f t="shared" si="34"/>
        <v>43465</v>
      </c>
      <c r="F2219" s="11">
        <f>[1]!EM_S_PQ_PCTCHANGE(B2219,"2018-01-01","2019-12-31","3")</f>
        <v>-12.937527100000001</v>
      </c>
      <c r="G2219" s="11">
        <f>[1]!EM_S_PQ_PCTCHANGE(B2219,"2019-01-01","2019-12-31","3")</f>
        <v>0.95762058000000005</v>
      </c>
      <c r="H2219" s="11">
        <f>[1]!EM_S_FA_YOY_OR(B2219,E2219)</f>
        <v>-30.247377931399999</v>
      </c>
      <c r="I2219" s="11">
        <f>[1]!EM_S_FA_GROSSPROFITMARGIN(B2219,E2219)</f>
        <v>29.507983369600002</v>
      </c>
      <c r="J2219" s="11">
        <f>[1]!EM_S_FA_NETPROFITMARGIN(B2219,E2219)</f>
        <v>43.171114025199998</v>
      </c>
      <c r="K2219" s="10">
        <f>[1]!EM_S_FA_ASSETSTURN(B2219,E2219)</f>
        <v>0.20776469092399999</v>
      </c>
      <c r="L2219" s="12">
        <f>[1]!EM_HKS_VAL_MV(B2219,"2019-12-31","2")</f>
        <v>1877875290.97</v>
      </c>
      <c r="M2219">
        <f>[1]!EM_S_VAL_PETTMDEDUCTED(B2219,E2219)</f>
        <v>-218.725379131094</v>
      </c>
      <c r="N2219" s="7">
        <f>[1]!EM_S_VAL_PBGOODWILLDEDUCTED(B2219,E2219)</f>
        <v>2.11782297852834</v>
      </c>
      <c r="O2219" s="7">
        <f>[1]!EM_S_VAL_PS_TTM(B2219,E2219)</f>
        <v>6.9214590003825203</v>
      </c>
      <c r="P2219" s="7">
        <f>[1]!EM_S_VAL_PCF_NCFTTM(B2219,E2219)</f>
        <v>44.165732791326697</v>
      </c>
      <c r="Q2219" s="7">
        <f>[1]!EM_S_VAL_DIVIDENDYIELD2(B2219,E2219,"2019-11-29")</f>
        <v>0.7551487414187642</v>
      </c>
      <c r="T2219"/>
      <c r="U2219">
        <f>[1]!EM_S_RATIO_EPS_TTM(B2219,E2219,"1")</f>
        <v>0.723830755081177</v>
      </c>
      <c r="AT2219" s="4" t="str">
        <f>[1]!EM_S_IPO_LISTEDDATE(B2219)</f>
        <v>1992-06-02</v>
      </c>
    </row>
    <row r="2220" spans="1:46">
      <c r="A2220">
        <v>3608</v>
      </c>
      <c r="B2220" t="str">
        <f>"603929"</f>
        <v>603929</v>
      </c>
      <c r="C2220" t="s">
        <v>468</v>
      </c>
      <c r="D2220" t="str">
        <f>[1]!EM_S_INFO_INDEX_EM(B2220,"1")</f>
        <v>建筑</v>
      </c>
      <c r="E2220" s="4">
        <f t="shared" si="34"/>
        <v>43465</v>
      </c>
      <c r="F2220" s="11">
        <f>[1]!EM_S_PQ_PCTCHANGE(B2220,"2018-01-01","2019-12-31","3")</f>
        <v>-40.158314730000001</v>
      </c>
      <c r="G2220" s="11">
        <f>[1]!EM_S_PQ_PCTCHANGE(B2220,"2018-12-31","2019-12-30","1")</f>
        <v>0.94722598000000002</v>
      </c>
      <c r="H2220" s="11">
        <f>[1]!EM_S_FA_YOY_OR(B2220,E2220)</f>
        <v>26.6763588118</v>
      </c>
      <c r="I2220" s="11">
        <f>[1]!EM_S_FA_GROSSPROFITMARGIN(B2220,E2220)</f>
        <v>11.572316261199999</v>
      </c>
      <c r="J2220" s="11">
        <f>[1]!EM_S_FA_NETPROFITMARGIN(B2220,E2220)</f>
        <v>7.1627145042000002</v>
      </c>
      <c r="K2220" s="10">
        <f>[1]!EM_S_FA_ASSETSTURN(B2220,E2220)</f>
        <v>1.2541317070169999</v>
      </c>
      <c r="L2220" s="12">
        <f>[1]!EM_HKS_VAL_MV(B2220,"2019-12-31","2")</f>
        <v>3251606400</v>
      </c>
      <c r="M2220">
        <f>[1]!EM_S_VAL_PETTMDEDUCTED(B2220,E2220)</f>
        <v>21.9291837940204</v>
      </c>
      <c r="N2220" s="7">
        <f>[1]!EM_S_VAL_PBGOODWILLDEDUCTED(B2220,E2220)</f>
        <v>2.8664511261668699</v>
      </c>
      <c r="O2220" s="7">
        <f>[1]!EM_S_VAL_PS_TTM(B2220,E2220)</f>
        <v>1.33767093872348</v>
      </c>
      <c r="P2220" s="7">
        <f>[1]!EM_S_VAL_PCF_NCFTTM(B2220,E2220)</f>
        <v>-69.003628793978805</v>
      </c>
      <c r="Q2220" s="7">
        <f>[1]!EM_S_VAL_DIVIDENDYIELD2(B2220,E2220,"2019-11-29")</f>
        <v>1.8726591760299627</v>
      </c>
      <c r="T2220"/>
      <c r="U2220">
        <f>[1]!EM_S_RATIO_EPS_TTM(B2220,E2220,"1")</f>
        <v>0.75500392927446569</v>
      </c>
      <c r="AT2220" s="4" t="str">
        <f>[1]!EM_S_IPO_LISTEDDATE(B2220)</f>
        <v>2016-12-30</v>
      </c>
    </row>
    <row r="2221" spans="1:46">
      <c r="A2221">
        <v>2118</v>
      </c>
      <c r="B2221" t="str">
        <f>"300701"</f>
        <v>300701</v>
      </c>
      <c r="C2221" t="s">
        <v>932</v>
      </c>
      <c r="D2221" t="str">
        <f>[1]!EM_S_INFO_INDEX_EM(B2221,"1")</f>
        <v>电子设备</v>
      </c>
      <c r="E2221" s="4">
        <f t="shared" si="34"/>
        <v>43465</v>
      </c>
      <c r="F2221" s="11">
        <f>[1]!EM_S_PQ_PCTCHANGE(B2221,"2018-01-01","2019-12-31","3")</f>
        <v>29.98814247</v>
      </c>
      <c r="G2221" s="11">
        <f>[1]!EM_S_PQ_PCTCHANGE(B2221,"2018-12-31","2019-12-30","1")</f>
        <v>0.93217614999999998</v>
      </c>
      <c r="H2221" s="11">
        <f>[1]!EM_S_FA_YOY_OR(B2221,E2221)</f>
        <v>3.3082691915</v>
      </c>
      <c r="I2221" s="11">
        <f>[1]!EM_S_FA_GROSSPROFITMARGIN(B2221,E2221)</f>
        <v>51.930795138699999</v>
      </c>
      <c r="J2221" s="11">
        <f>[1]!EM_S_FA_NETPROFITMARGIN(B2221,E2221)</f>
        <v>38.364401176199998</v>
      </c>
      <c r="K2221" s="10">
        <f>[1]!EM_S_FA_ASSETSTURN(B2221,E2221)</f>
        <v>0.38128785112199998</v>
      </c>
      <c r="L2221" s="12">
        <f>[1]!EM_HKS_VAL_MV(B2221,"2019-12-31","2")</f>
        <v>3879600000</v>
      </c>
      <c r="M2221">
        <f>[1]!EM_S_VAL_PETTMDEDUCTED(B2221,E2221)</f>
        <v>43.623841998974903</v>
      </c>
      <c r="N2221" s="7">
        <f>[1]!EM_S_VAL_PBGOODWILLDEDUCTED(B2221,E2221)</f>
        <v>5.2135902169516504</v>
      </c>
      <c r="O2221" s="7">
        <f>[1]!EM_S_VAL_PS_TTM(B2221,E2221)</f>
        <v>13.5864312214875</v>
      </c>
      <c r="P2221" s="7">
        <f>[1]!EM_S_VAL_PCF_NCFTTM(B2221,E2221)</f>
        <v>-10.697350245562401</v>
      </c>
      <c r="Q2221" s="7">
        <f>[1]!EM_S_VAL_DIVIDENDYIELD2(B2221,E2221,"2019-11-29")</f>
        <v>0.66507049747273206</v>
      </c>
      <c r="T2221"/>
      <c r="U2221">
        <f>[1]!EM_S_RATIO_EPS_TTM(B2221,E2221,"1")</f>
        <v>0.87900855437499992</v>
      </c>
      <c r="AT2221" s="4" t="str">
        <f>[1]!EM_S_IPO_LISTEDDATE(B2221)</f>
        <v>2017-09-15</v>
      </c>
    </row>
    <row r="2222" spans="1:46">
      <c r="A2222">
        <v>414</v>
      </c>
      <c r="B2222" t="str">
        <f>"000882"</f>
        <v>000882</v>
      </c>
      <c r="C2222" t="s">
        <v>3053</v>
      </c>
      <c r="D2222" t="str">
        <f>[1]!EM_S_INFO_INDEX_EM(B2222,"1")</f>
        <v>商贸零售</v>
      </c>
      <c r="E2222" s="4">
        <f t="shared" si="34"/>
        <v>43465</v>
      </c>
      <c r="F2222" s="11">
        <f>[1]!EM_S_PQ_PCTCHANGE(B2222,"2018-01-01","2019-12-31","3")</f>
        <v>-26.229508200000001</v>
      </c>
      <c r="G2222" s="11">
        <f>[1]!EM_S_PQ_PCTCHANGE(B2222,"2018-12-31","2019-12-30","1")</f>
        <v>0.89686098999999997</v>
      </c>
      <c r="H2222" s="11">
        <f>[1]!EM_S_FA_YOY_OR(B2222,E2222)</f>
        <v>14.356812504900001</v>
      </c>
      <c r="I2222" s="11">
        <f>[1]!EM_S_FA_GROSSPROFITMARGIN(B2222,E2222)</f>
        <v>45.070192581800001</v>
      </c>
      <c r="J2222" s="11">
        <f>[1]!EM_S_FA_NETPROFITMARGIN(B2222,E2222)</f>
        <v>2.3111745264999999</v>
      </c>
      <c r="K2222" s="10">
        <f>[1]!EM_S_FA_ASSETSTURN(B2222,E2222)</f>
        <v>9.0598559339999996E-2</v>
      </c>
      <c r="L2222" s="12">
        <f>[1]!EM_HKS_VAL_MV(B2222,"2019-12-31","2")</f>
        <v>6159041880.75</v>
      </c>
      <c r="M2222">
        <f>[1]!EM_S_VAL_PETTMDEDUCTED(B2222,E2222)</f>
        <v>-32.231150440653998</v>
      </c>
      <c r="N2222" s="7">
        <f>[1]!EM_S_VAL_PBGOODWILLDEDUCTED(B2222,E2222)</f>
        <v>0.78490335685193602</v>
      </c>
      <c r="O2222" s="7">
        <f>[1]!EM_S_VAL_PS_TTM(B2222,E2222)</f>
        <v>4.8753131097904898</v>
      </c>
      <c r="P2222" s="7">
        <f>[1]!EM_S_VAL_PCF_NCFTTM(B2222,E2222)</f>
        <v>-4.9919831939875898</v>
      </c>
      <c r="Q2222" s="7">
        <f>[1]!EM_S_VAL_DIVIDENDYIELD2(B2222,E2222,"2019-11-29")</f>
        <v>0.18433179723502308</v>
      </c>
      <c r="T2222"/>
      <c r="U2222">
        <f>[1]!EM_S_RATIO_EPS_TTM(B2222,E2222,"1")</f>
        <v>1.1982079204665749E-2</v>
      </c>
      <c r="AT2222" s="4" t="str">
        <f>[1]!EM_S_IPO_LISTEDDATE(B2222)</f>
        <v>1998-06-16</v>
      </c>
    </row>
    <row r="2223" spans="1:46">
      <c r="A2223">
        <v>3069</v>
      </c>
      <c r="B2223" t="str">
        <f>"601169"</f>
        <v>601169</v>
      </c>
      <c r="C2223" t="s">
        <v>588</v>
      </c>
      <c r="D2223" t="str">
        <f>[1]!EM_S_INFO_INDEX_EM(B2223,"1")</f>
        <v>金融</v>
      </c>
      <c r="E2223" s="4">
        <f t="shared" si="34"/>
        <v>43465</v>
      </c>
      <c r="F2223" s="11">
        <f>[1]!EM_S_PQ_PCTCHANGE(B2223,"2018-01-01","2019-12-31","3")</f>
        <v>-12.541530570000001</v>
      </c>
      <c r="G2223" s="11">
        <f>[1]!EM_S_PQ_PCTCHANGE(B2223,"2018-12-31","2019-12-30","1")</f>
        <v>0.89126559999999999</v>
      </c>
      <c r="H2223" s="11">
        <f>[1]!EM_S_FA_YOY_OR(B2223,E2223)</f>
        <v>10.1980021051</v>
      </c>
      <c r="I2223" s="11">
        <f>[1]!EM_S_FA_GROSSPROFITMARGIN(B2223,E2223)</f>
        <v>0</v>
      </c>
      <c r="J2223" s="11">
        <f>[1]!EM_S_FA_NETPROFITMARGIN(B2223,E2223)</f>
        <v>36.290729527099998</v>
      </c>
      <c r="K2223" s="10">
        <f>[1]!EM_S_FA_ASSETSTURN(B2223,E2223)</f>
        <v>0</v>
      </c>
      <c r="L2223" s="12">
        <f>[1]!EM_HKS_VAL_MV(B2223,"2019-12-31","2")</f>
        <v>120092150664.96001</v>
      </c>
      <c r="M2223">
        <f>[1]!EM_S_VAL_PETTMDEDUCTED(B2223,E2223)</f>
        <v>5.9667056575240203</v>
      </c>
      <c r="N2223" s="7">
        <f>[1]!EM_S_VAL_PBGOODWILLDEDUCTED(B2223,E2223)</f>
        <v>0.67930142069377897</v>
      </c>
      <c r="O2223" s="7">
        <f>[1]!EM_S_VAL_PS_TTM(B2223,E2223)</f>
        <v>2.2525854938833199</v>
      </c>
      <c r="P2223" s="7">
        <f>[1]!EM_S_VAL_PCF_NCFTTM(B2223,E2223)</f>
        <v>-689.60547538325602</v>
      </c>
      <c r="Q2223" s="7">
        <f>[1]!EM_S_VAL_DIVIDENDYIELD2(B2223,E2223,"2019-11-29")</f>
        <v>5.14388489208633</v>
      </c>
      <c r="T2223"/>
      <c r="U2223">
        <f>[1]!EM_S_RATIO_EPS_TTM(B2223,E2223,"1")</f>
        <v>0.94603485216081706</v>
      </c>
      <c r="AT2223" s="4" t="str">
        <f>[1]!EM_S_IPO_LISTEDDATE(B2223)</f>
        <v>2007-09-19</v>
      </c>
    </row>
    <row r="2224" spans="1:46">
      <c r="A2224">
        <v>3428</v>
      </c>
      <c r="B2224" t="str">
        <f>"603555"</f>
        <v>603555</v>
      </c>
      <c r="C2224" t="s">
        <v>591</v>
      </c>
      <c r="D2224" t="str">
        <f>[1]!EM_S_INFO_INDEX_EM(B2224,"1")</f>
        <v>纺织服装</v>
      </c>
      <c r="E2224" s="4">
        <f t="shared" si="34"/>
        <v>43465</v>
      </c>
      <c r="F2224" s="11">
        <f>[1]!EM_S_PQ_PCTCHANGE(B2224,"2018-01-01","2019-12-31","3")</f>
        <v>-66.139907239999999</v>
      </c>
      <c r="G2224" s="11">
        <f>[1]!EM_S_PQ_PCTCHANGE(B2224,"2018-12-31","2019-12-30","1")</f>
        <v>0.86655112999999995</v>
      </c>
      <c r="H2224" s="11">
        <f>[1]!EM_S_FA_YOY_OR(B2224,E2224)</f>
        <v>-13.517985193099999</v>
      </c>
      <c r="I2224" s="11">
        <f>[1]!EM_S_FA_GROSSPROFITMARGIN(B2224,E2224)</f>
        <v>28.654671248</v>
      </c>
      <c r="J2224" s="11">
        <f>[1]!EM_S_FA_NETPROFITMARGIN(B2224,E2224)</f>
        <v>-24.660926671199999</v>
      </c>
      <c r="K2224" s="10">
        <f>[1]!EM_S_FA_ASSETSTURN(B2224,E2224)</f>
        <v>0.45599129427200003</v>
      </c>
      <c r="L2224" s="12">
        <f>[1]!EM_HKS_VAL_MV(B2224,"2019-12-31","2")</f>
        <v>3708752643.6999998</v>
      </c>
      <c r="M2224">
        <f>[1]!EM_S_VAL_PETTMDEDUCTED(B2224,E2224)</f>
        <v>-44.253378025416801</v>
      </c>
      <c r="N2224" s="7">
        <f>[1]!EM_S_VAL_PBGOODWILLDEDUCTED(B2224,E2224)</f>
        <v>2.7705632329542</v>
      </c>
      <c r="O2224" s="7">
        <f>[1]!EM_S_VAL_PS_TTM(B2224,E2224)</f>
        <v>1.11941217125476</v>
      </c>
      <c r="P2224" s="7">
        <f>[1]!EM_S_VAL_PCF_NCFTTM(B2224,E2224)</f>
        <v>-16.835199712615701</v>
      </c>
      <c r="Q2224" s="7">
        <f>[1]!EM_S_VAL_DIVIDENDYIELD2(B2224,E2224,"2019-11-29")</f>
        <v>0</v>
      </c>
      <c r="T2224"/>
      <c r="U2224">
        <f>[1]!EM_S_RATIO_EPS_TTM(B2224,E2224,"1")</f>
        <v>-1.0911182070214482</v>
      </c>
      <c r="AT2224" s="4" t="str">
        <f>[1]!EM_S_IPO_LISTEDDATE(B2224)</f>
        <v>2014-01-24</v>
      </c>
    </row>
    <row r="2225" spans="1:46">
      <c r="A2225">
        <v>2781</v>
      </c>
      <c r="B2225" t="str">
        <f>"600708"</f>
        <v>600708</v>
      </c>
      <c r="C2225" t="s">
        <v>312</v>
      </c>
      <c r="D2225" t="str">
        <f>[1]!EM_S_INFO_INDEX_EM(B2225,"1")</f>
        <v>房地产</v>
      </c>
      <c r="E2225" s="4">
        <f t="shared" si="34"/>
        <v>43465</v>
      </c>
      <c r="F2225" s="11">
        <f>[1]!EM_S_PQ_PCTCHANGE(B2225,"2018-01-01","2019-12-31","3")</f>
        <v>-28.357728609999999</v>
      </c>
      <c r="G2225" s="11">
        <f>[1]!EM_S_PQ_PCTCHANGE(B2225,"2018-12-31","2019-12-30","1")</f>
        <v>0.85959885000000003</v>
      </c>
      <c r="H2225" s="11">
        <f>[1]!EM_S_FA_YOY_OR(B2225,E2225)</f>
        <v>-1.525583629</v>
      </c>
      <c r="I2225" s="11">
        <f>[1]!EM_S_FA_GROSSPROFITMARGIN(B2225,E2225)</f>
        <v>31.3023355035</v>
      </c>
      <c r="J2225" s="11">
        <f>[1]!EM_S_FA_NETPROFITMARGIN(B2225,E2225)</f>
        <v>6.6917912784000002</v>
      </c>
      <c r="K2225" s="10">
        <f>[1]!EM_S_FA_ASSETSTURN(B2225,E2225)</f>
        <v>0.31877020285399998</v>
      </c>
      <c r="L2225" s="12">
        <f>[1]!EM_HKS_VAL_MV(B2225,"2019-12-31","2")</f>
        <v>7844801335.3599997</v>
      </c>
      <c r="M2225">
        <f>[1]!EM_S_VAL_PETTMDEDUCTED(B2225,E2225)</f>
        <v>3.51939877228142</v>
      </c>
      <c r="N2225" s="7">
        <f>[1]!EM_S_VAL_PBGOODWILLDEDUCTED(B2225,E2225)</f>
        <v>0.67970021376443701</v>
      </c>
      <c r="O2225" s="7">
        <f>[1]!EM_S_VAL_PS_TTM(B2225,E2225)</f>
        <v>0.40220516497379699</v>
      </c>
      <c r="P2225" s="7">
        <f>[1]!EM_S_VAL_PCF_NCFTTM(B2225,E2225)</f>
        <v>3.8158041640210798</v>
      </c>
      <c r="Q2225" s="7">
        <f>[1]!EM_S_VAL_DIVIDENDYIELD2(B2225,E2225,"2019-11-29")</f>
        <v>6.1728395061728403</v>
      </c>
      <c r="T2225"/>
      <c r="U2225">
        <f>[1]!EM_S_RATIO_EPS_TTM(B2225,E2225,"1")</f>
        <v>0.63623384096741509</v>
      </c>
      <c r="AT2225" s="4" t="str">
        <f>[1]!EM_S_IPO_LISTEDDATE(B2225)</f>
        <v>1996-06-06</v>
      </c>
    </row>
    <row r="2226" spans="1:46">
      <c r="A2226">
        <v>2121</v>
      </c>
      <c r="B2226" t="str">
        <f>"300705"</f>
        <v>300705</v>
      </c>
      <c r="C2226" t="s">
        <v>1429</v>
      </c>
      <c r="D2226" t="str">
        <f>[1]!EM_S_INFO_INDEX_EM(B2226,"1")</f>
        <v>医药生物</v>
      </c>
      <c r="E2226" s="4">
        <f t="shared" si="34"/>
        <v>43465</v>
      </c>
      <c r="F2226" s="11">
        <f>[1]!EM_S_PQ_PCTCHANGE(B2226,"2018-01-01","2019-12-31","3")</f>
        <v>-5.3728517199999999</v>
      </c>
      <c r="G2226" s="11">
        <f>[1]!EM_S_PQ_PCTCHANGE(B2226,"2018-12-31","2019-12-30","1")</f>
        <v>0.85251491999999995</v>
      </c>
      <c r="H2226" s="11">
        <f>[1]!EM_S_FA_YOY_OR(B2226,E2226)</f>
        <v>49.925672760099999</v>
      </c>
      <c r="I2226" s="11">
        <f>[1]!EM_S_FA_GROSSPROFITMARGIN(B2226,E2226)</f>
        <v>59.609562961000002</v>
      </c>
      <c r="J2226" s="11">
        <f>[1]!EM_S_FA_NETPROFITMARGIN(B2226,E2226)</f>
        <v>8.9826850006000001</v>
      </c>
      <c r="K2226" s="10">
        <f>[1]!EM_S_FA_ASSETSTURN(B2226,E2226)</f>
        <v>0.93595994300800001</v>
      </c>
      <c r="L2226" s="12">
        <f>[1]!EM_HKS_VAL_MV(B2226,"2019-12-31","2")</f>
        <v>2884217200</v>
      </c>
      <c r="M2226">
        <f>[1]!EM_S_VAL_PETTMDEDUCTED(B2226,E2226)</f>
        <v>44.436641591565497</v>
      </c>
      <c r="N2226" s="7">
        <f>[1]!EM_S_VAL_PBGOODWILLDEDUCTED(B2226,E2226)</f>
        <v>3.8331271170675598</v>
      </c>
      <c r="O2226" s="7">
        <f>[1]!EM_S_VAL_PS_TTM(B2226,E2226)</f>
        <v>3.69050854107806</v>
      </c>
      <c r="P2226" s="7">
        <f>[1]!EM_S_VAL_PCF_NCFTTM(B2226,E2226)</f>
        <v>-17.4225338662086</v>
      </c>
      <c r="Q2226" s="7">
        <f>[1]!EM_S_VAL_DIVIDENDYIELD2(B2226,E2226,"2019-11-29")</f>
        <v>0.40308747855917665</v>
      </c>
      <c r="T2226"/>
      <c r="U2226">
        <f>[1]!EM_S_RATIO_EPS_TTM(B2226,E2226,"1")</f>
        <v>0.30673692053008356</v>
      </c>
      <c r="AT2226" s="4" t="str">
        <f>[1]!EM_S_IPO_LISTEDDATE(B2226)</f>
        <v>2017-10-10</v>
      </c>
    </row>
    <row r="2227" spans="1:46">
      <c r="A2227">
        <v>598</v>
      </c>
      <c r="B2227" t="str">
        <f>"002087"</f>
        <v>002087</v>
      </c>
      <c r="C2227" t="s">
        <v>1675</v>
      </c>
      <c r="D2227" t="str">
        <f>[1]!EM_S_INFO_INDEX_EM(B2227,"1")</f>
        <v>纺织服装</v>
      </c>
      <c r="E2227" s="4">
        <f t="shared" si="34"/>
        <v>43465</v>
      </c>
      <c r="F2227" s="11">
        <f>[1]!EM_S_PQ_PCTCHANGE(B2227,"2018-01-01","2019-12-31","3")</f>
        <v>-37.249892389999999</v>
      </c>
      <c r="G2227" s="11">
        <f>[1]!EM_S_PQ_PCTCHANGE(B2227,"2018-12-31","2019-12-30","1")</f>
        <v>0.84985836000000003</v>
      </c>
      <c r="H2227" s="11">
        <f>[1]!EM_S_FA_YOY_OR(B2227,E2227)</f>
        <v>16.6439564571</v>
      </c>
      <c r="I2227" s="11">
        <f>[1]!EM_S_FA_GROSSPROFITMARGIN(B2227,E2227)</f>
        <v>17.457697903500002</v>
      </c>
      <c r="J2227" s="11">
        <f>[1]!EM_S_FA_NETPROFITMARGIN(B2227,E2227)</f>
        <v>6.4170911757000004</v>
      </c>
      <c r="K2227" s="10">
        <f>[1]!EM_S_FA_ASSETSTURN(B2227,E2227)</f>
        <v>0.641975010884</v>
      </c>
      <c r="L2227" s="12">
        <f>[1]!EM_HKS_VAL_MV(B2227,"2019-12-31","2")</f>
        <v>2915955775.9499998</v>
      </c>
      <c r="M2227">
        <f>[1]!EM_S_VAL_PETTMDEDUCTED(B2227,E2227)</f>
        <v>8.46201271489997</v>
      </c>
      <c r="N2227" s="7">
        <f>[1]!EM_S_VAL_PBGOODWILLDEDUCTED(B2227,E2227)</f>
        <v>0.73838148691912897</v>
      </c>
      <c r="O2227" s="7">
        <f>[1]!EM_S_VAL_PS_TTM(B2227,E2227)</f>
        <v>0.47147429580137301</v>
      </c>
      <c r="P2227" s="7">
        <f>[1]!EM_S_VAL_PCF_NCFTTM(B2227,E2227)</f>
        <v>-3.28497631319898</v>
      </c>
      <c r="Q2227" s="7">
        <f>[1]!EM_S_VAL_DIVIDENDYIELD2(B2227,E2227,"2019-11-29")</f>
        <v>1.4619883040935673</v>
      </c>
      <c r="T2227"/>
      <c r="U2227">
        <f>[1]!EM_S_RATIO_EPS_TTM(B2227,E2227,"1")</f>
        <v>0.47314775841338319</v>
      </c>
      <c r="AT2227" s="4" t="str">
        <f>[1]!EM_S_IPO_LISTEDDATE(B2227)</f>
        <v>2006-11-30</v>
      </c>
    </row>
    <row r="2228" spans="1:46">
      <c r="A2228">
        <v>218</v>
      </c>
      <c r="B2228" t="str">
        <f>"000616"</f>
        <v>000616</v>
      </c>
      <c r="C2228" t="s">
        <v>3439</v>
      </c>
      <c r="D2228" t="str">
        <f>[1]!EM_S_INFO_INDEX_EM(B2228,"1")</f>
        <v>房地产</v>
      </c>
      <c r="E2228" s="4">
        <f t="shared" si="34"/>
        <v>43465</v>
      </c>
      <c r="F2228" s="11">
        <f>[1]!EM_S_PQ_PCTCHANGE(B2228,"2018-01-01","2019-12-31","3")</f>
        <v>-27.462686569999999</v>
      </c>
      <c r="G2228" s="11">
        <f>[1]!EM_S_PQ_PCTCHANGE(B2228,"2018-12-31","2019-12-30","1")</f>
        <v>0.82987551999999998</v>
      </c>
      <c r="H2228" s="11">
        <f>[1]!EM_S_FA_YOY_OR(B2228,E2228)</f>
        <v>179.09235998880001</v>
      </c>
      <c r="I2228" s="11">
        <f>[1]!EM_S_FA_GROSSPROFITMARGIN(B2228,E2228)</f>
        <v>25.619772145799999</v>
      </c>
      <c r="J2228" s="11">
        <f>[1]!EM_S_FA_NETPROFITMARGIN(B2228,E2228)</f>
        <v>128.24010665259999</v>
      </c>
      <c r="K2228" s="10">
        <f>[1]!EM_S_FA_ASSETSTURN(B2228,E2228)</f>
        <v>3.2151665204999999E-2</v>
      </c>
      <c r="L2228" s="12">
        <f>[1]!EM_HKS_VAL_MV(B2228,"2019-12-31","2")</f>
        <v>3475469652.75</v>
      </c>
      <c r="M2228">
        <f>[1]!EM_S_VAL_PETTMDEDUCTED(B2228,E2228)</f>
        <v>-22.321630643110002</v>
      </c>
      <c r="N2228" s="7">
        <f>[1]!EM_S_VAL_PBGOODWILLDEDUCTED(B2228,E2228)</f>
        <v>0.79192959397927498</v>
      </c>
      <c r="O2228" s="7">
        <f>[1]!EM_S_VAL_PS_TTM(B2228,E2228)</f>
        <v>26.2696290658991</v>
      </c>
      <c r="P2228" s="7">
        <f>[1]!EM_S_VAL_PCF_NCFTTM(B2228,E2228)</f>
        <v>2.4638363260101599</v>
      </c>
      <c r="Q2228" s="7">
        <f>[1]!EM_S_VAL_DIVIDENDYIELD2(B2228,E2228,"2019-11-29")</f>
        <v>0</v>
      </c>
      <c r="T2228"/>
      <c r="U2228">
        <f>[1]!EM_S_RATIO_EPS_TTM(B2228,E2228,"1")</f>
        <v>0.24390544096293865</v>
      </c>
      <c r="AT2228" s="4" t="str">
        <f>[1]!EM_S_IPO_LISTEDDATE(B2228)</f>
        <v>1996-11-08</v>
      </c>
    </row>
    <row r="2229" spans="1:46">
      <c r="A2229">
        <v>3495</v>
      </c>
      <c r="B2229" t="str">
        <f>"603686"</f>
        <v>603686</v>
      </c>
      <c r="C2229" t="s">
        <v>607</v>
      </c>
      <c r="D2229" t="str">
        <f>[1]!EM_S_INFO_INDEX_EM(B2229,"1")</f>
        <v>机械设备</v>
      </c>
      <c r="E2229" s="4">
        <f t="shared" si="34"/>
        <v>43465</v>
      </c>
      <c r="F2229" s="11">
        <f>[1]!EM_S_PQ_PCTCHANGE(B2229,"2018-01-01","2019-12-31","3")</f>
        <v>-40.450411899999999</v>
      </c>
      <c r="G2229" s="11">
        <f>[1]!EM_S_PQ_PCTCHANGE(B2229,"2018-12-31","2019-12-30","1")</f>
        <v>0.82872928000000001</v>
      </c>
      <c r="H2229" s="11">
        <f>[1]!EM_S_FA_YOY_OR(B2229,E2229)</f>
        <v>11.6293358189</v>
      </c>
      <c r="I2229" s="11">
        <f>[1]!EM_S_FA_GROSSPROFITMARGIN(B2229,E2229)</f>
        <v>24.671870435199999</v>
      </c>
      <c r="J2229" s="11">
        <f>[1]!EM_S_FA_NETPROFITMARGIN(B2229,E2229)</f>
        <v>7.4522581178999996</v>
      </c>
      <c r="K2229" s="10">
        <f>[1]!EM_S_FA_ASSETSTURN(B2229,E2229)</f>
        <v>0.861640058466</v>
      </c>
      <c r="L2229" s="12">
        <f>[1]!EM_HKS_VAL_MV(B2229,"2019-12-31","2")</f>
        <v>4538960648.04</v>
      </c>
      <c r="M2229">
        <f>[1]!EM_S_VAL_PETTMDEDUCTED(B2229,E2229)</f>
        <v>12.702766561476601</v>
      </c>
      <c r="N2229" s="7">
        <f>[1]!EM_S_VAL_PBGOODWILLDEDUCTED(B2229,E2229)</f>
        <v>1.40507913876426</v>
      </c>
      <c r="O2229" s="7">
        <f>[1]!EM_S_VAL_PS_TTM(B2229,E2229)</f>
        <v>0.98381985901795299</v>
      </c>
      <c r="P2229" s="7">
        <f>[1]!EM_S_VAL_PCF_NCFTTM(B2229,E2229)</f>
        <v>168.82728585784099</v>
      </c>
      <c r="Q2229" s="7">
        <f>[1]!EM_S_VAL_DIVIDENDYIELD2(B2229,E2229,"2019-11-29")</f>
        <v>1.7865947799067952</v>
      </c>
      <c r="T2229"/>
      <c r="U2229">
        <f>[1]!EM_S_RATIO_EPS_TTM(B2229,E2229,"1")</f>
        <v>0.79039410654582631</v>
      </c>
      <c r="AT2229" s="4" t="str">
        <f>[1]!EM_S_IPO_LISTEDDATE(B2229)</f>
        <v>2015-01-26</v>
      </c>
    </row>
    <row r="2230" spans="1:46">
      <c r="A2230">
        <v>3549</v>
      </c>
      <c r="B2230" t="str">
        <f>"603816"</f>
        <v>603816</v>
      </c>
      <c r="C2230" t="s">
        <v>177</v>
      </c>
      <c r="D2230" t="str">
        <f>[1]!EM_S_INFO_INDEX_EM(B2230,"1")</f>
        <v>轻工制造</v>
      </c>
      <c r="E2230" s="4">
        <f t="shared" si="34"/>
        <v>43465</v>
      </c>
      <c r="F2230" s="11">
        <f>[1]!EM_S_PQ_PCTCHANGE(B2230,"2018-01-01","2019-12-31","3")</f>
        <v>12.500299890000001</v>
      </c>
      <c r="G2230" s="11">
        <f>[1]!EM_S_PQ_PCTCHANGE(B2230,"2018-12-31","2019-12-30","1")</f>
        <v>0.8</v>
      </c>
      <c r="H2230" s="11">
        <f>[1]!EM_S_FA_YOY_OR(B2230,E2230)</f>
        <v>37.607008223599998</v>
      </c>
      <c r="I2230" s="11">
        <f>[1]!EM_S_FA_GROSSPROFITMARGIN(B2230,E2230)</f>
        <v>36.373779884100003</v>
      </c>
      <c r="J2230" s="11">
        <f>[1]!EM_S_FA_NETPROFITMARGIN(B2230,E2230)</f>
        <v>10.9740248536</v>
      </c>
      <c r="K2230" s="10">
        <f>[1]!EM_S_FA_ASSETSTURN(B2230,E2230)</f>
        <v>1.0752176504319999</v>
      </c>
      <c r="L2230" s="12">
        <f>[1]!EM_HKS_VAL_MV(B2230,"2019-12-31","2")</f>
        <v>27520939449.209999</v>
      </c>
      <c r="M2230">
        <f>[1]!EM_S_VAL_PETTMDEDUCTED(B2230,E2230)</f>
        <v>25.0444950750923</v>
      </c>
      <c r="N2230" s="7">
        <f>[1]!EM_S_VAL_PBGOODWILLDEDUCTED(B2230,E2230)</f>
        <v>5.5025084737420302</v>
      </c>
      <c r="O2230" s="7">
        <f>[1]!EM_S_VAL_PS_TTM(B2230,E2230)</f>
        <v>2.3579444765411401</v>
      </c>
      <c r="P2230" s="7">
        <f>[1]!EM_S_VAL_PCF_NCFTTM(B2230,E2230)</f>
        <v>12.9155527002213</v>
      </c>
      <c r="Q2230" s="7">
        <f>[1]!EM_S_VAL_DIVIDENDYIELD2(B2230,E2230,"2019-11-29")</f>
        <v>1.8480973733286938</v>
      </c>
      <c r="T2230"/>
      <c r="U2230">
        <f>[1]!EM_S_RATIO_EPS_TTM(B2230,E2230,"1")</f>
        <v>2.2996816871757444</v>
      </c>
      <c r="AT2230" s="4" t="str">
        <f>[1]!EM_S_IPO_LISTEDDATE(B2230)</f>
        <v>2016-10-14</v>
      </c>
    </row>
    <row r="2231" spans="1:46">
      <c r="A2231">
        <v>1735</v>
      </c>
      <c r="B2231" t="str">
        <f>"300310"</f>
        <v>300310</v>
      </c>
      <c r="C2231" t="s">
        <v>1854</v>
      </c>
      <c r="D2231" t="str">
        <f>[1]!EM_S_INFO_INDEX_EM(B2231,"1")</f>
        <v>信息技术</v>
      </c>
      <c r="E2231" s="4">
        <f t="shared" si="34"/>
        <v>43465</v>
      </c>
      <c r="F2231" s="11">
        <f>[1]!EM_S_PQ_PCTCHANGE(B2231,"2018-01-01","2019-12-31","3")</f>
        <v>-55.806273640000001</v>
      </c>
      <c r="G2231" s="11">
        <f>[1]!EM_S_PQ_PCTCHANGE(B2231,"2018-12-31","2019-12-30","1")</f>
        <v>0.78895464000000004</v>
      </c>
      <c r="H2231" s="11">
        <f>[1]!EM_S_FA_YOY_OR(B2231,E2231)</f>
        <v>-0.14836477549999999</v>
      </c>
      <c r="I2231" s="11">
        <f>[1]!EM_S_FA_GROSSPROFITMARGIN(B2231,E2231)</f>
        <v>12.140380710300001</v>
      </c>
      <c r="J2231" s="11">
        <f>[1]!EM_S_FA_NETPROFITMARGIN(B2231,E2231)</f>
        <v>-77.193413248400006</v>
      </c>
      <c r="K2231" s="10">
        <f>[1]!EM_S_FA_ASSETSTURN(B2231,E2231)</f>
        <v>0.73021623931299995</v>
      </c>
      <c r="L2231" s="12">
        <f>[1]!EM_HKS_VAL_MV(B2231,"2019-12-31","2")</f>
        <v>4487641922.79</v>
      </c>
      <c r="M2231">
        <f>[1]!EM_S_VAL_PETTMDEDUCTED(B2231,E2231)</f>
        <v>-8.8296294256719303</v>
      </c>
      <c r="N2231" s="7">
        <f>[1]!EM_S_VAL_PBGOODWILLDEDUCTED(B2231,E2231)</f>
        <v>3.0705540142407699</v>
      </c>
      <c r="O2231" s="7">
        <f>[1]!EM_S_VAL_PS_TTM(B2231,E2231)</f>
        <v>1.6285363869860201</v>
      </c>
      <c r="P2231" s="7">
        <f>[1]!EM_S_VAL_PCF_NCFTTM(B2231,E2231)</f>
        <v>4866.6625145089101</v>
      </c>
      <c r="Q2231" s="7">
        <f>[1]!EM_S_VAL_DIVIDENDYIELD2(B2231,E2231,"2019-11-29")</f>
        <v>0</v>
      </c>
      <c r="T2231"/>
      <c r="U2231">
        <f>[1]!EM_S_RATIO_EPS_TTM(B2231,E2231,"1")</f>
        <v>-2.2311283678961265</v>
      </c>
      <c r="AT2231" s="4" t="str">
        <f>[1]!EM_S_IPO_LISTEDDATE(B2231)</f>
        <v>2012-04-25</v>
      </c>
    </row>
    <row r="2232" spans="1:46">
      <c r="A2232">
        <v>1826</v>
      </c>
      <c r="B2232" t="str">
        <f>"300401"</f>
        <v>300401</v>
      </c>
      <c r="C2232" t="s">
        <v>102</v>
      </c>
      <c r="D2232" t="str">
        <f>[1]!EM_S_INFO_INDEX_EM(B2232,"1")</f>
        <v>医药生物</v>
      </c>
      <c r="E2232" s="4">
        <f t="shared" si="34"/>
        <v>43465</v>
      </c>
      <c r="F2232" s="11">
        <f>[1]!EM_S_PQ_PCTCHANGE(B2232,"2018-01-01","2019-12-31","3")</f>
        <v>-28.46473078</v>
      </c>
      <c r="G2232" s="11">
        <f>[1]!EM_S_PQ_PCTCHANGE(B2232,"2018-12-31","2019-12-30","1")</f>
        <v>0.74257426000000004</v>
      </c>
      <c r="H2232" s="11">
        <f>[1]!EM_S_FA_YOY_OR(B2232,E2232)</f>
        <v>57.243642159499998</v>
      </c>
      <c r="I2232" s="11">
        <f>[1]!EM_S_FA_GROSSPROFITMARGIN(B2232,E2232)</f>
        <v>67.749621210000001</v>
      </c>
      <c r="J2232" s="11">
        <f>[1]!EM_S_FA_NETPROFITMARGIN(B2232,E2232)</f>
        <v>46.561770403499999</v>
      </c>
      <c r="K2232" s="10">
        <f>[1]!EM_S_FA_ASSETSTURN(B2232,E2232)</f>
        <v>0.43419169790000001</v>
      </c>
      <c r="L2232" s="12">
        <f>[1]!EM_HKS_VAL_MV(B2232,"2019-12-31","2")</f>
        <v>5967139521.75</v>
      </c>
      <c r="M2232">
        <f>[1]!EM_S_VAL_PETTMDEDUCTED(B2232,E2232)</f>
        <v>24.6642746992726</v>
      </c>
      <c r="N2232" s="7">
        <f>[1]!EM_S_VAL_PBGOODWILLDEDUCTED(B2232,E2232)</f>
        <v>3.7196819256390499</v>
      </c>
      <c r="O2232" s="7">
        <f>[1]!EM_S_VAL_PS_TTM(B2232,E2232)</f>
        <v>9.9215637758287993</v>
      </c>
      <c r="P2232" s="7">
        <f>[1]!EM_S_VAL_PCF_NCFTTM(B2232,E2232)</f>
        <v>32.508702091744098</v>
      </c>
      <c r="Q2232" s="7">
        <f>[1]!EM_S_VAL_DIVIDENDYIELD2(B2232,E2232,"2019-11-29")</f>
        <v>1.0924369747899161</v>
      </c>
      <c r="U2232">
        <f>[1]!EM_S_RATIO_EPS_TTM(B2232,E2232,"1")</f>
        <v>0.64138564903256612</v>
      </c>
      <c r="AT2232" s="4" t="str">
        <f>[1]!EM_S_IPO_LISTEDDATE(B2232)</f>
        <v>2014-10-09</v>
      </c>
    </row>
    <row r="2233" spans="1:46">
      <c r="A2233">
        <v>1354</v>
      </c>
      <c r="B2233" t="str">
        <f>"002853"</f>
        <v>002853</v>
      </c>
      <c r="C2233" t="s">
        <v>1856</v>
      </c>
      <c r="D2233" t="str">
        <f>[1]!EM_S_INFO_INDEX_EM(B2233,"1")</f>
        <v>轻工制造</v>
      </c>
      <c r="E2233" s="4">
        <f t="shared" si="34"/>
        <v>43465</v>
      </c>
      <c r="F2233" s="11">
        <f>[1]!EM_S_PQ_PCTCHANGE(B2233,"2018-01-01","2019-12-31","3")</f>
        <v>-44.170767959999999</v>
      </c>
      <c r="G2233" s="11">
        <f>[1]!EM_S_PQ_PCTCHANGE(B2233,"2018-12-31","2019-12-30","1")</f>
        <v>0.70767555999999998</v>
      </c>
      <c r="H2233" s="11">
        <f>[1]!EM_S_FA_YOY_OR(B2233,E2233)</f>
        <v>34.338697101800001</v>
      </c>
      <c r="I2233" s="11">
        <f>[1]!EM_S_FA_GROSSPROFITMARGIN(B2233,E2233)</f>
        <v>35.945546681800003</v>
      </c>
      <c r="J2233" s="11">
        <f>[1]!EM_S_FA_NETPROFITMARGIN(B2233,E2233)</f>
        <v>12.5781438533</v>
      </c>
      <c r="K2233" s="10">
        <f>[1]!EM_S_FA_ASSETSTURN(B2233,E2233)</f>
        <v>0.75798682136499995</v>
      </c>
      <c r="L2233" s="12">
        <f>[1]!EM_HKS_VAL_MV(B2233,"2019-12-31","2")</f>
        <v>2836535790</v>
      </c>
      <c r="M2233">
        <f>[1]!EM_S_VAL_PETTMDEDUCTED(B2233,E2233)</f>
        <v>26.519216709667301</v>
      </c>
      <c r="N2233" s="7">
        <f>[1]!EM_S_VAL_PBGOODWILLDEDUCTED(B2233,E2233)</f>
        <v>2.77371353201571</v>
      </c>
      <c r="O2233" s="7">
        <f>[1]!EM_S_VAL_PS_TTM(B2233,E2233)</f>
        <v>2.7195217773162002</v>
      </c>
      <c r="P2233" s="7">
        <f>[1]!EM_S_VAL_PCF_NCFTTM(B2233,E2233)</f>
        <v>-24.822029624431799</v>
      </c>
      <c r="Q2233" s="7">
        <f>[1]!EM_S_VAL_DIVIDENDYIELD2(B2233,E2233,"2019-11-29")</f>
        <v>1.1834319526627219</v>
      </c>
      <c r="T2233"/>
      <c r="U2233">
        <f>[1]!EM_S_RATIO_EPS_TTM(B2233,E2233,"1")</f>
        <v>0.91454022769189169</v>
      </c>
      <c r="AT2233" s="4" t="str">
        <f>[1]!EM_S_IPO_LISTEDDATE(B2233)</f>
        <v>2017-03-10</v>
      </c>
    </row>
    <row r="2234" spans="1:46">
      <c r="A2234">
        <v>845</v>
      </c>
      <c r="B2234" t="str">
        <f>"002334"</f>
        <v>002334</v>
      </c>
      <c r="C2234" t="s">
        <v>1926</v>
      </c>
      <c r="D2234" t="str">
        <f>[1]!EM_S_INFO_INDEX_EM(B2234,"1")</f>
        <v>电气设备</v>
      </c>
      <c r="E2234" s="4">
        <f t="shared" si="34"/>
        <v>43465</v>
      </c>
      <c r="F2234" s="11">
        <f>[1]!EM_S_PQ_PCTCHANGE(B2234,"2018-01-01","2019-12-31","3")</f>
        <v>-47.639624990000002</v>
      </c>
      <c r="G2234" s="11">
        <f>[1]!EM_S_PQ_PCTCHANGE(B2234,"2018-12-31","2019-12-30","1")</f>
        <v>0.70093457999999997</v>
      </c>
      <c r="H2234" s="11">
        <f>[1]!EM_S_FA_YOY_OR(B2234,E2234)</f>
        <v>4.9827826118000003</v>
      </c>
      <c r="I2234" s="11">
        <f>[1]!EM_S_FA_GROSSPROFITMARGIN(B2234,E2234)</f>
        <v>37.261526297000003</v>
      </c>
      <c r="J2234" s="11">
        <f>[1]!EM_S_FA_NETPROFITMARGIN(B2234,E2234)</f>
        <v>7.9835526998999997</v>
      </c>
      <c r="K2234" s="10">
        <f>[1]!EM_S_FA_ASSETSTURN(B2234,E2234)</f>
        <v>0.67213410485900005</v>
      </c>
      <c r="L2234" s="12">
        <f>[1]!EM_HKS_VAL_MV(B2234,"2019-12-31","2")</f>
        <v>3255112267.1999998</v>
      </c>
      <c r="M2234">
        <f>[1]!EM_S_VAL_PETTMDEDUCTED(B2234,E2234)</f>
        <v>19.469013895164899</v>
      </c>
      <c r="N2234" s="7">
        <f>[1]!EM_S_VAL_PBGOODWILLDEDUCTED(B2234,E2234)</f>
        <v>1.9337124290966099</v>
      </c>
      <c r="O2234" s="7">
        <f>[1]!EM_S_VAL_PS_TTM(B2234,E2234)</f>
        <v>1.3735911789596</v>
      </c>
      <c r="P2234" s="7">
        <f>[1]!EM_S_VAL_PCF_NCFTTM(B2234,E2234)</f>
        <v>37.170981273690799</v>
      </c>
      <c r="Q2234" s="7">
        <f>[1]!EM_S_VAL_DIVIDENDYIELD2(B2234,E2234,"2019-11-29")</f>
        <v>1.2258146630657087</v>
      </c>
      <c r="T2234"/>
      <c r="U2234">
        <f>[1]!EM_S_RATIO_EPS_TTM(B2234,E2234,"1")</f>
        <v>0.29723207811359281</v>
      </c>
      <c r="AT2234" s="4" t="str">
        <f>[1]!EM_S_IPO_LISTEDDATE(B2234)</f>
        <v>2010-01-13</v>
      </c>
    </row>
    <row r="2235" spans="1:46">
      <c r="A2235">
        <v>3468</v>
      </c>
      <c r="B2235" t="str">
        <f>"603630"</f>
        <v>603630</v>
      </c>
      <c r="C2235" t="s">
        <v>1001</v>
      </c>
      <c r="D2235" t="str">
        <f>[1]!EM_S_INFO_INDEX_EM(B2235,"1")</f>
        <v>基础化工</v>
      </c>
      <c r="E2235" s="4">
        <f t="shared" si="34"/>
        <v>43465</v>
      </c>
      <c r="F2235" s="11">
        <f>[1]!EM_S_PQ_PCTCHANGE(B2235,"2018-01-01","2019-12-31","3")</f>
        <v>-34.026069290000002</v>
      </c>
      <c r="G2235" s="11">
        <f>[1]!EM_S_PQ_PCTCHANGE(B2235,"2018-12-31","2019-12-30","1")</f>
        <v>0.68702289999999999</v>
      </c>
      <c r="H2235" s="11">
        <f>[1]!EM_S_FA_YOY_OR(B2235,E2235)</f>
        <v>-1.7308517859999999</v>
      </c>
      <c r="I2235" s="11">
        <f>[1]!EM_S_FA_GROSSPROFITMARGIN(B2235,E2235)</f>
        <v>60.439682683999997</v>
      </c>
      <c r="J2235" s="11">
        <f>[1]!EM_S_FA_NETPROFITMARGIN(B2235,E2235)</f>
        <v>13.3006842952</v>
      </c>
      <c r="K2235" s="10">
        <f>[1]!EM_S_FA_ASSETSTURN(B2235,E2235)</f>
        <v>0.497471860017</v>
      </c>
      <c r="L2235" s="12">
        <f>[1]!EM_HKS_VAL_MV(B2235,"2019-12-31","2")</f>
        <v>3060720000</v>
      </c>
      <c r="M2235">
        <f>[1]!EM_S_VAL_PETTMDEDUCTED(B2235,E2235)</f>
        <v>19.263221918203499</v>
      </c>
      <c r="N2235" s="7">
        <f>[1]!EM_S_VAL_PBGOODWILLDEDUCTED(B2235,E2235)</f>
        <v>1.6638580831107601</v>
      </c>
      <c r="O2235" s="7">
        <f>[1]!EM_S_VAL_PS_TTM(B2235,E2235)</f>
        <v>3.0632568593962501</v>
      </c>
      <c r="P2235" s="7">
        <f>[1]!EM_S_VAL_PCF_NCFTTM(B2235,E2235)</f>
        <v>8.8054611106730807</v>
      </c>
      <c r="Q2235" s="7">
        <f>[1]!EM_S_VAL_DIVIDENDYIELD2(B2235,E2235,"2019-11-29")</f>
        <v>3.2336297493936947</v>
      </c>
      <c r="T2235"/>
      <c r="U2235">
        <f>[1]!EM_S_RATIO_EPS_TTM(B2235,E2235,"1")</f>
        <v>0.56091345245236413</v>
      </c>
      <c r="AT2235" s="4" t="str">
        <f>[1]!EM_S_IPO_LISTEDDATE(B2235)</f>
        <v>2017-03-13</v>
      </c>
    </row>
    <row r="2236" spans="1:46">
      <c r="A2236">
        <v>1708</v>
      </c>
      <c r="B2236" t="str">
        <f>"300283"</f>
        <v>300283</v>
      </c>
      <c r="C2236" t="s">
        <v>1238</v>
      </c>
      <c r="D2236" t="str">
        <f>[1]!EM_S_INFO_INDEX_EM(B2236,"1")</f>
        <v>电气设备</v>
      </c>
      <c r="E2236" s="4">
        <f t="shared" si="34"/>
        <v>43465</v>
      </c>
      <c r="F2236" s="11">
        <f>[1]!EM_S_PQ_PCTCHANGE(B2236,"2018-01-01","2019-12-31","3")</f>
        <v>-20.92726377</v>
      </c>
      <c r="G2236" s="11">
        <f>[1]!EM_S_PQ_PCTCHANGE(B2236,"2018-12-31","2019-12-30","1")</f>
        <v>0.67415729999999996</v>
      </c>
      <c r="H2236" s="11">
        <f>[1]!EM_S_FA_YOY_OR(B2236,E2236)</f>
        <v>16.716449912400002</v>
      </c>
      <c r="I2236" s="11">
        <f>[1]!EM_S_FA_GROSSPROFITMARGIN(B2236,E2236)</f>
        <v>11.766504959500001</v>
      </c>
      <c r="J2236" s="11">
        <f>[1]!EM_S_FA_NETPROFITMARGIN(B2236,E2236)</f>
        <v>1.526124314</v>
      </c>
      <c r="K2236" s="10">
        <f>[1]!EM_S_FA_ASSETSTURN(B2236,E2236)</f>
        <v>0.82253541390700002</v>
      </c>
      <c r="L2236" s="12">
        <f>[1]!EM_HKS_VAL_MV(B2236,"2019-12-31","2")</f>
        <v>1860482461.5</v>
      </c>
      <c r="M2236">
        <f>[1]!EM_S_VAL_PETTMDEDUCTED(B2236,E2236)</f>
        <v>284.99874491512099</v>
      </c>
      <c r="N2236" s="7">
        <f>[1]!EM_S_VAL_PBGOODWILLDEDUCTED(B2236,E2236)</f>
        <v>3.1536380677476799</v>
      </c>
      <c r="O2236" s="7">
        <f>[1]!EM_S_VAL_PS_TTM(B2236,E2236)</f>
        <v>1.6287636190162</v>
      </c>
      <c r="P2236" s="7">
        <f>[1]!EM_S_VAL_PCF_NCFTTM(B2236,E2236)</f>
        <v>180.40232877917799</v>
      </c>
      <c r="Q2236" s="7">
        <f>[1]!EM_S_VAL_DIVIDENDYIELD2(B2236,E2236,"2019-11-29")</f>
        <v>0.23752969121140144</v>
      </c>
      <c r="T2236"/>
      <c r="U2236">
        <f>[1]!EM_S_RATIO_EPS_TTM(B2236,E2236,"1")</f>
        <v>5.0612043811518619E-2</v>
      </c>
      <c r="AT2236" s="4" t="str">
        <f>[1]!EM_S_IPO_LISTEDDATE(B2236)</f>
        <v>2012-01-10</v>
      </c>
    </row>
    <row r="2237" spans="1:46">
      <c r="A2237">
        <v>1864</v>
      </c>
      <c r="B2237" t="str">
        <f>"300439"</f>
        <v>300439</v>
      </c>
      <c r="C2237" t="s">
        <v>627</v>
      </c>
      <c r="D2237" t="str">
        <f>[1]!EM_S_INFO_INDEX_EM(B2237,"1")</f>
        <v>医药生物</v>
      </c>
      <c r="E2237" s="4">
        <f t="shared" si="34"/>
        <v>43465</v>
      </c>
      <c r="F2237" s="11">
        <f>[1]!EM_S_PQ_PCTCHANGE(B2237,"2018-01-01","2019-12-31","3")</f>
        <v>-27.57699611</v>
      </c>
      <c r="G2237" s="11">
        <f>[1]!EM_S_PQ_PCTCHANGE(B2237,"2018-12-31","2019-12-30","1")</f>
        <v>0.67365269000000005</v>
      </c>
      <c r="H2237" s="11">
        <f>[1]!EM_S_FA_YOY_OR(B2237,E2237)</f>
        <v>21.319480108</v>
      </c>
      <c r="I2237" s="11">
        <f>[1]!EM_S_FA_GROSSPROFITMARGIN(B2237,E2237)</f>
        <v>34.938262330500002</v>
      </c>
      <c r="J2237" s="11">
        <f>[1]!EM_S_FA_NETPROFITMARGIN(B2237,E2237)</f>
        <v>7.9320672119999998</v>
      </c>
      <c r="K2237" s="10">
        <f>[1]!EM_S_FA_ASSETSTURN(B2237,E2237)</f>
        <v>0.79892450779199997</v>
      </c>
      <c r="L2237" s="12">
        <f>[1]!EM_HKS_VAL_MV(B2237,"2019-12-31","2")</f>
        <v>4692662605.8000002</v>
      </c>
      <c r="M2237">
        <f>[1]!EM_S_VAL_PETTMDEDUCTED(B2237,E2237)</f>
        <v>21.617796186127499</v>
      </c>
      <c r="N2237" s="7">
        <f>[1]!EM_S_VAL_PBGOODWILLDEDUCTED(B2237,E2237)</f>
        <v>4.4761742111142899</v>
      </c>
      <c r="O2237" s="7">
        <f>[1]!EM_S_VAL_PS_TTM(B2237,E2237)</f>
        <v>1.9344478530645901</v>
      </c>
      <c r="P2237" s="7">
        <f>[1]!EM_S_VAL_PCF_NCFTTM(B2237,E2237)</f>
        <v>16.812551413099602</v>
      </c>
      <c r="Q2237" s="7">
        <f>[1]!EM_S_VAL_DIVIDENDYIELD2(B2237,E2237,"2019-11-29")</f>
        <v>1.0918623024830698</v>
      </c>
      <c r="T2237"/>
      <c r="U2237">
        <f>[1]!EM_S_RATIO_EPS_TTM(B2237,E2237,"1")</f>
        <v>0.69622968374753502</v>
      </c>
      <c r="AT2237" s="4" t="str">
        <f>[1]!EM_S_IPO_LISTEDDATE(B2237)</f>
        <v>2015-04-22</v>
      </c>
    </row>
    <row r="2238" spans="1:46">
      <c r="A2238">
        <v>1507</v>
      </c>
      <c r="B2238" t="str">
        <f>"300082"</f>
        <v>300082</v>
      </c>
      <c r="C2238" t="s">
        <v>2171</v>
      </c>
      <c r="D2238" t="str">
        <f>[1]!EM_S_INFO_INDEX_EM(B2238,"1")</f>
        <v>基础化工</v>
      </c>
      <c r="E2238" s="4">
        <f t="shared" si="34"/>
        <v>43465</v>
      </c>
      <c r="F2238" s="11">
        <f>[1]!EM_S_PQ_PCTCHANGE(B2238,"2018-01-01","2019-12-31","3")</f>
        <v>-5.3046520800000003</v>
      </c>
      <c r="G2238" s="11">
        <f>[1]!EM_S_PQ_PCTCHANGE(B2238,"2018-12-31","2019-12-30","1")</f>
        <v>0.66666667000000002</v>
      </c>
      <c r="H2238" s="11">
        <f>[1]!EM_S_FA_YOY_OR(B2238,E2238)</f>
        <v>30.710138169499999</v>
      </c>
      <c r="I2238" s="11">
        <f>[1]!EM_S_FA_GROSSPROFITMARGIN(B2238,E2238)</f>
        <v>10.8259902449</v>
      </c>
      <c r="J2238" s="11">
        <f>[1]!EM_S_FA_NETPROFITMARGIN(B2238,E2238)</f>
        <v>4.5521054997999997</v>
      </c>
      <c r="K2238" s="10">
        <f>[1]!EM_S_FA_ASSETSTURN(B2238,E2238)</f>
        <v>1.2513662579339999</v>
      </c>
      <c r="L2238" s="12">
        <f>[1]!EM_HKS_VAL_MV(B2238,"2019-12-31","2")</f>
        <v>4084320000</v>
      </c>
      <c r="M2238">
        <f>[1]!EM_S_VAL_PETTMDEDUCTED(B2238,E2238)</f>
        <v>15.115732253236001</v>
      </c>
      <c r="N2238" s="7">
        <f>[1]!EM_S_VAL_PBGOODWILLDEDUCTED(B2238,E2238)</f>
        <v>1.35912863029651</v>
      </c>
      <c r="O2238" s="7">
        <f>[1]!EM_S_VAL_PS_TTM(B2238,E2238)</f>
        <v>0.55040624593711396</v>
      </c>
      <c r="P2238" s="7">
        <f>[1]!EM_S_VAL_PCF_NCFTTM(B2238,E2238)</f>
        <v>236.69939948202301</v>
      </c>
      <c r="Q2238" s="7">
        <f>[1]!EM_S_VAL_DIVIDENDYIELD2(B2238,E2238,"2019-11-29")</f>
        <v>6.273408239700375</v>
      </c>
      <c r="T2238"/>
      <c r="U2238">
        <f>[1]!EM_S_RATIO_EPS_TTM(B2238,E2238,"1")</f>
        <v>0.47845007572864029</v>
      </c>
      <c r="AT2238" s="4" t="str">
        <f>[1]!EM_S_IPO_LISTEDDATE(B2238)</f>
        <v>2010-05-20</v>
      </c>
    </row>
    <row r="2239" spans="1:46">
      <c r="A2239">
        <v>182</v>
      </c>
      <c r="B2239" t="str">
        <f>"000573"</f>
        <v>000573</v>
      </c>
      <c r="C2239" t="s">
        <v>3337</v>
      </c>
      <c r="D2239" t="str">
        <f>[1]!EM_S_INFO_INDEX_EM(B2239,"1")</f>
        <v>房地产</v>
      </c>
      <c r="E2239" s="4">
        <f t="shared" si="34"/>
        <v>43465</v>
      </c>
      <c r="F2239" s="11">
        <f>[1]!EM_S_PQ_PCTCHANGE(B2239,"2018-01-01","2019-12-31","3")</f>
        <v>-33.336347789999998</v>
      </c>
      <c r="G2239" s="11">
        <f>[1]!EM_S_PQ_PCTCHANGE(B2239,"2018-12-31","2019-12-30","1")</f>
        <v>0.65573769999999998</v>
      </c>
      <c r="H2239" s="11">
        <f>[1]!EM_S_FA_YOY_OR(B2239,E2239)</f>
        <v>61.149028549000001</v>
      </c>
      <c r="I2239" s="11">
        <f>[1]!EM_S_FA_GROSSPROFITMARGIN(B2239,E2239)</f>
        <v>18.328129370900001</v>
      </c>
      <c r="J2239" s="11">
        <f>[1]!EM_S_FA_NETPROFITMARGIN(B2239,E2239)</f>
        <v>4.3571708527000004</v>
      </c>
      <c r="K2239" s="10">
        <f>[1]!EM_S_FA_ASSETSTURN(B2239,E2239)</f>
        <v>0.28454522300399998</v>
      </c>
      <c r="L2239" s="12">
        <f>[1]!EM_HKS_VAL_MV(B2239,"2019-12-31","2")</f>
        <v>2004577566.3599999</v>
      </c>
      <c r="M2239">
        <f>[1]!EM_S_VAL_PETTMDEDUCTED(B2239,E2239)</f>
        <v>-29.011913070533002</v>
      </c>
      <c r="N2239" s="7">
        <f>[1]!EM_S_VAL_PBGOODWILLDEDUCTED(B2239,E2239)</f>
        <v>1.21468167709022</v>
      </c>
      <c r="O2239" s="7">
        <f>[1]!EM_S_VAL_PS_TTM(B2239,E2239)</f>
        <v>4.48581060006698</v>
      </c>
      <c r="P2239" s="7">
        <f>[1]!EM_S_VAL_PCF_NCFTTM(B2239,E2239)</f>
        <v>-13.019254501929399</v>
      </c>
      <c r="Q2239" s="7">
        <f>[1]!EM_S_VAL_DIVIDENDYIELD2(B2239,E2239,"2019-11-29")</f>
        <v>2.0696830989902737</v>
      </c>
      <c r="T2239"/>
      <c r="U2239">
        <f>[1]!EM_S_RATIO_EPS_TTM(B2239,E2239,"1")</f>
        <v>8.0202418792888641E-2</v>
      </c>
      <c r="AT2239" s="4" t="str">
        <f>[1]!EM_S_IPO_LISTEDDATE(B2239)</f>
        <v>1994-08-15</v>
      </c>
    </row>
    <row r="2240" spans="1:46">
      <c r="A2240">
        <v>2445</v>
      </c>
      <c r="B2240" t="str">
        <f>"600319"</f>
        <v>600319</v>
      </c>
      <c r="C2240" t="s">
        <v>43</v>
      </c>
      <c r="D2240" t="str">
        <f>[1]!EM_S_INFO_INDEX_EM(B2240,"1")</f>
        <v>基础化工</v>
      </c>
      <c r="E2240" s="4">
        <f t="shared" si="34"/>
        <v>43465</v>
      </c>
      <c r="F2240" s="11">
        <f>[1]!EM_S_PQ_PCTCHANGE(B2240,"2018-01-01","2019-12-31","3")</f>
        <v>-54.339250489999998</v>
      </c>
      <c r="G2240" s="11">
        <f>[1]!EM_S_PQ_PCTCHANGE(B2240,"2018-12-31","2019-12-30","1")</f>
        <v>0.65217391000000002</v>
      </c>
      <c r="H2240" s="11">
        <f>[1]!EM_S_FA_YOY_OR(B2240,E2240)</f>
        <v>3.0969174548999998</v>
      </c>
      <c r="I2240" s="11">
        <f>[1]!EM_S_FA_GROSSPROFITMARGIN(B2240,E2240)</f>
        <v>10.9374913105</v>
      </c>
      <c r="J2240" s="11">
        <f>[1]!EM_S_FA_NETPROFITMARGIN(B2240,E2240)</f>
        <v>0.15458823820000001</v>
      </c>
      <c r="K2240" s="10">
        <f>[1]!EM_S_FA_ASSETSTURN(B2240,E2240)</f>
        <v>1.4366778827919999</v>
      </c>
      <c r="L2240" s="12">
        <f>[1]!EM_HKS_VAL_MV(B2240,"2019-12-31","2")</f>
        <v>1461200220</v>
      </c>
      <c r="M2240">
        <f>[1]!EM_S_VAL_PETTMDEDUCTED(B2240,E2240)</f>
        <v>60.195503391761797</v>
      </c>
      <c r="N2240" s="7">
        <f>[1]!EM_S_VAL_PBGOODWILLDEDUCTED(B2240,E2240)</f>
        <v>39.479722917630497</v>
      </c>
      <c r="O2240" s="7">
        <f>[1]!EM_S_VAL_PS_TTM(B2240,E2240)</f>
        <v>0.69676793109345703</v>
      </c>
      <c r="P2240" s="7">
        <f>[1]!EM_S_VAL_PCF_NCFTTM(B2240,E2240)</f>
        <v>-17.0766148945936</v>
      </c>
      <c r="Q2240" s="7">
        <f>[1]!EM_S_VAL_DIVIDENDYIELD2(B2240,E2240,"2019-11-29")</f>
        <v>0</v>
      </c>
      <c r="T2240"/>
      <c r="U2240">
        <f>[1]!EM_S_RATIO_EPS_TTM(B2240,E2240,"1")</f>
        <v>9.8464380184667636E-3</v>
      </c>
      <c r="AT2240" s="4" t="str">
        <f>[1]!EM_S_IPO_LISTEDDATE(B2240)</f>
        <v>2001-03-26</v>
      </c>
    </row>
    <row r="2241" spans="1:46">
      <c r="A2241">
        <v>1453</v>
      </c>
      <c r="B2241" t="str">
        <f>"300027"</f>
        <v>300027</v>
      </c>
      <c r="C2241" t="s">
        <v>989</v>
      </c>
      <c r="D2241" t="str">
        <f>[1]!EM_S_INFO_INDEX_EM(B2241,"1")</f>
        <v>文化传媒</v>
      </c>
      <c r="E2241" s="4">
        <f t="shared" si="34"/>
        <v>43465</v>
      </c>
      <c r="F2241" s="11">
        <f>[1]!EM_S_PQ_PCTCHANGE(B2241,"2018-01-01","2019-12-31","3")</f>
        <v>-46.784505350000003</v>
      </c>
      <c r="G2241" s="11">
        <f>[1]!EM_S_PQ_PCTCHANGE(B2241,"2018-12-31","2019-12-30","1")</f>
        <v>0.63965885</v>
      </c>
      <c r="H2241" s="11">
        <f>[1]!EM_S_FA_YOY_OR(B2241,E2241)</f>
        <v>-1.4048276249</v>
      </c>
      <c r="I2241" s="11">
        <f>[1]!EM_S_FA_GROSSPROFITMARGIN(B2241,E2241)</f>
        <v>44.8128400465</v>
      </c>
      <c r="J2241" s="11">
        <f>[1]!EM_S_FA_NETPROFITMARGIN(B2241,E2241)</f>
        <v>-23.360452641599998</v>
      </c>
      <c r="K2241" s="10">
        <f>[1]!EM_S_FA_ASSETSTURN(B2241,E2241)</f>
        <v>0.201627281243</v>
      </c>
      <c r="L2241" s="12">
        <f>[1]!EM_HKS_VAL_MV(B2241,"2019-12-31","2")</f>
        <v>12908254424.969999</v>
      </c>
      <c r="M2241">
        <f>[1]!EM_S_VAL_PETTMDEDUCTED(B2241,E2241)</f>
        <v>45.8958758775373</v>
      </c>
      <c r="N2241" s="7">
        <f>[1]!EM_S_VAL_PBGOODWILLDEDUCTED(B2241,E2241)</f>
        <v>2.0304319820530901</v>
      </c>
      <c r="O2241" s="7">
        <f>[1]!EM_S_VAL_PS_TTM(B2241,E2241)</f>
        <v>2.7828564277285399</v>
      </c>
      <c r="P2241" s="7">
        <f>[1]!EM_S_VAL_PCF_NCFTTM(B2241,E2241)</f>
        <v>-7.96180126578213</v>
      </c>
      <c r="Q2241" s="7">
        <f>[1]!EM_S_VAL_DIVIDENDYIELD2(B2241,E2241,"2019-11-29")</f>
        <v>0</v>
      </c>
      <c r="T2241"/>
      <c r="U2241">
        <f>[1]!EM_S_RATIO_EPS_TTM(B2241,E2241,"1")</f>
        <v>-0.39108052472293753</v>
      </c>
      <c r="AT2241" s="4" t="str">
        <f>[1]!EM_S_IPO_LISTEDDATE(B2241)</f>
        <v>2009-10-30</v>
      </c>
    </row>
    <row r="2242" spans="1:46">
      <c r="A2242">
        <v>2803</v>
      </c>
      <c r="B2242" t="str">
        <f>"600730"</f>
        <v>600730</v>
      </c>
      <c r="C2242" t="s">
        <v>2902</v>
      </c>
      <c r="D2242" t="str">
        <f>[1]!EM_S_INFO_INDEX_EM(B2242,"1")</f>
        <v>文化传媒</v>
      </c>
      <c r="E2242" s="4">
        <f t="shared" si="34"/>
        <v>43465</v>
      </c>
      <c r="F2242" s="11">
        <f>[1]!EM_S_PQ_PCTCHANGE(B2242,"2018-01-01","2019-12-31","3")</f>
        <v>-25.366609279999999</v>
      </c>
      <c r="G2242" s="11">
        <f>[1]!EM_S_PQ_PCTCHANGE(B2242,"2018-12-31","2019-12-30","1")</f>
        <v>0.61475409999999997</v>
      </c>
      <c r="H2242" s="11">
        <f>[1]!EM_S_FA_YOY_OR(B2242,E2242)</f>
        <v>-62.781824265700003</v>
      </c>
      <c r="I2242" s="11">
        <f>[1]!EM_S_FA_GROSSPROFITMARGIN(B2242,E2242)</f>
        <v>74.719880269900003</v>
      </c>
      <c r="J2242" s="11">
        <f>[1]!EM_S_FA_NETPROFITMARGIN(B2242,E2242)</f>
        <v>8.3006703439000002</v>
      </c>
      <c r="K2242" s="10">
        <f>[1]!EM_S_FA_ASSETSTURN(B2242,E2242)</f>
        <v>3.1922175198000002E-2</v>
      </c>
      <c r="L2242" s="12">
        <f>[1]!EM_HKS_VAL_MV(B2242,"2019-12-31","2")</f>
        <v>2909813769.9200001</v>
      </c>
      <c r="M2242">
        <f>[1]!EM_S_VAL_PETTMDEDUCTED(B2242,E2242)</f>
        <v>-22.106846689648801</v>
      </c>
      <c r="N2242" s="7">
        <f>[1]!EM_S_VAL_PBGOODWILLDEDUCTED(B2242,E2242)</f>
        <v>1.5771834823711</v>
      </c>
      <c r="O2242" s="7">
        <f>[1]!EM_S_VAL_PS_TTM(B2242,E2242)</f>
        <v>33.478207195330498</v>
      </c>
      <c r="P2242" s="7">
        <f>[1]!EM_S_VAL_PCF_NCFTTM(B2242,E2242)</f>
        <v>10.141014831770701</v>
      </c>
      <c r="Q2242" s="7">
        <f>[1]!EM_S_VAL_DIVIDENDYIELD2(B2242,E2242,"2019-11-29")</f>
        <v>0.95444685466377444</v>
      </c>
      <c r="T2242"/>
      <c r="U2242">
        <f>[1]!EM_S_RATIO_EPS_TTM(B2242,E2242,"1")</f>
        <v>3.1252644202896945E-3</v>
      </c>
      <c r="AT2242" s="4" t="str">
        <f>[1]!EM_S_IPO_LISTEDDATE(B2242)</f>
        <v>1996-07-26</v>
      </c>
    </row>
    <row r="2243" spans="1:46">
      <c r="A2243">
        <v>1837</v>
      </c>
      <c r="B2243" t="str">
        <f>"300412"</f>
        <v>300412</v>
      </c>
      <c r="C2243" t="s">
        <v>2795</v>
      </c>
      <c r="D2243" t="str">
        <f>[1]!EM_S_INFO_INDEX_EM(B2243,"1")</f>
        <v>机械设备</v>
      </c>
      <c r="E2243" s="4">
        <f t="shared" ref="E2243:E2306" si="35">$B$1</f>
        <v>43465</v>
      </c>
      <c r="F2243" s="11">
        <f>[1]!EM_S_PQ_PCTCHANGE(B2243,"2018-01-01","2019-12-31","3")</f>
        <v>-32.026398489999998</v>
      </c>
      <c r="G2243" s="11">
        <f>[1]!EM_S_PQ_PCTCHANGE(B2243,"2018-12-31","2019-12-30","1")</f>
        <v>0.61349693000000005</v>
      </c>
      <c r="H2243" s="11">
        <f>[1]!EM_S_FA_YOY_OR(B2243,E2243)</f>
        <v>30.0481871838</v>
      </c>
      <c r="I2243" s="11">
        <f>[1]!EM_S_FA_GROSSPROFITMARGIN(B2243,E2243)</f>
        <v>37.731266667600003</v>
      </c>
      <c r="J2243" s="11">
        <f>[1]!EM_S_FA_NETPROFITMARGIN(B2243,E2243)</f>
        <v>7.9173610817000002</v>
      </c>
      <c r="K2243" s="10">
        <f>[1]!EM_S_FA_ASSETSTURN(B2243,E2243)</f>
        <v>0.45078893649399998</v>
      </c>
      <c r="L2243" s="12">
        <f>[1]!EM_HKS_VAL_MV(B2243,"2019-12-31","2")</f>
        <v>1715241480</v>
      </c>
      <c r="M2243">
        <f>[1]!EM_S_VAL_PETTMDEDUCTED(B2243,E2243)</f>
        <v>113.859105343519</v>
      </c>
      <c r="N2243" s="7">
        <f>[1]!EM_S_VAL_PBGOODWILLDEDUCTED(B2243,E2243)</f>
        <v>2.4769576038165302</v>
      </c>
      <c r="O2243" s="7">
        <f>[1]!EM_S_VAL_PS_TTM(B2243,E2243)</f>
        <v>3.5124331830036999</v>
      </c>
      <c r="P2243" s="7">
        <f>[1]!EM_S_VAL_PCF_NCFTTM(B2243,E2243)</f>
        <v>22.584584643493699</v>
      </c>
      <c r="Q2243" s="7">
        <f>[1]!EM_S_VAL_DIVIDENDYIELD2(B2243,E2243,"2019-11-29")</f>
        <v>1.7786066407493368</v>
      </c>
      <c r="T2243"/>
      <c r="U2243">
        <f>[1]!EM_S_RATIO_EPS_TTM(B2243,E2243,"1")</f>
        <v>0.12936639217013682</v>
      </c>
      <c r="AT2243" s="4" t="str">
        <f>[1]!EM_S_IPO_LISTEDDATE(B2243)</f>
        <v>2014-12-31</v>
      </c>
    </row>
    <row r="2244" spans="1:46">
      <c r="A2244">
        <v>3043</v>
      </c>
      <c r="B2244" t="str">
        <f>"601069"</f>
        <v>601069</v>
      </c>
      <c r="C2244" t="s">
        <v>3396</v>
      </c>
      <c r="D2244" t="str">
        <f>[1]!EM_S_INFO_INDEX_EM(B2244,"1")</f>
        <v>有色金属</v>
      </c>
      <c r="E2244" s="4">
        <f t="shared" si="35"/>
        <v>43465</v>
      </c>
      <c r="F2244" s="11">
        <f>[1]!EM_S_PQ_PCTCHANGE(B2244,"2018-01-01","2019-12-31","3")</f>
        <v>-4.7381000899999997</v>
      </c>
      <c r="G2244" s="11">
        <f>[1]!EM_S_PQ_PCTCHANGE(B2244,"2018-12-31","2019-12-30","1")</f>
        <v>0.60524546000000001</v>
      </c>
      <c r="H2244" s="11">
        <f>[1]!EM_S_FA_YOY_OR(B2244,E2244)</f>
        <v>-28.0598618595</v>
      </c>
      <c r="I2244" s="11">
        <f>[1]!EM_S_FA_GROSSPROFITMARGIN(B2244,E2244)</f>
        <v>24.862327590300001</v>
      </c>
      <c r="J2244" s="11">
        <f>[1]!EM_S_FA_NETPROFITMARGIN(B2244,E2244)</f>
        <v>0.97030944340000003</v>
      </c>
      <c r="K2244" s="10">
        <f>[1]!EM_S_FA_ASSETSTURN(B2244,E2244)</f>
        <v>0.38912694877699999</v>
      </c>
      <c r="L2244" s="12">
        <f>[1]!EM_HKS_VAL_MV(B2244,"2019-12-31","2")</f>
        <v>9603600000</v>
      </c>
      <c r="M2244">
        <f>[1]!EM_S_VAL_PETTMDEDUCTED(B2244,E2244)</f>
        <v>448.29080881285398</v>
      </c>
      <c r="N2244" s="7">
        <f>[1]!EM_S_VAL_PBGOODWILLDEDUCTED(B2244,E2244)</f>
        <v>5.6254731837380803</v>
      </c>
      <c r="O2244" s="7">
        <f>[1]!EM_S_VAL_PS_TTM(B2244,E2244)</f>
        <v>9.2146210379150304</v>
      </c>
      <c r="P2244" s="7">
        <f>[1]!EM_S_VAL_PCF_NCFTTM(B2244,E2244)</f>
        <v>-126.035093298791</v>
      </c>
      <c r="Q2244" s="7">
        <f>[1]!EM_S_VAL_DIVIDENDYIELD2(B2244,E2244,"2019-11-29")</f>
        <v>6.9735006973500699E-2</v>
      </c>
      <c r="T2244"/>
      <c r="U2244">
        <f>[1]!EM_S_RATIO_EPS_TTM(B2244,E2244,"1")</f>
        <v>1.5283548694968554E-2</v>
      </c>
      <c r="AT2244" s="4" t="str">
        <f>[1]!EM_S_IPO_LISTEDDATE(B2244)</f>
        <v>2015-01-22</v>
      </c>
    </row>
    <row r="2245" spans="1:46">
      <c r="A2245">
        <v>2186</v>
      </c>
      <c r="B2245" t="str">
        <f>"600028"</f>
        <v>600028</v>
      </c>
      <c r="C2245" t="s">
        <v>1023</v>
      </c>
      <c r="D2245" t="str">
        <f>[1]!EM_S_INFO_INDEX_EM(B2245,"1")</f>
        <v>化石能源</v>
      </c>
      <c r="E2245" s="4">
        <f t="shared" si="35"/>
        <v>43465</v>
      </c>
      <c r="F2245" s="11">
        <f>[1]!EM_S_PQ_PCTCHANGE(B2245,"2018-01-01","2019-12-31","3")</f>
        <v>-2.8534148199999998</v>
      </c>
      <c r="G2245" s="11">
        <f>[1]!EM_S_PQ_PCTCHANGE(B2245,"2018-12-31","2019-12-30","1")</f>
        <v>0.59405940999999995</v>
      </c>
      <c r="H2245" s="11">
        <f>[1]!EM_S_FA_YOY_OR(B2245,E2245)</f>
        <v>22.4975669363</v>
      </c>
      <c r="I2245" s="11">
        <f>[1]!EM_S_FA_GROSSPROFITMARGIN(B2245,E2245)</f>
        <v>16.953879368900001</v>
      </c>
      <c r="J2245" s="11">
        <f>[1]!EM_S_FA_NETPROFITMARGIN(B2245,E2245)</f>
        <v>2.7770331757000002</v>
      </c>
      <c r="K2245" s="10">
        <f>[1]!EM_S_FA_ASSETSTURN(B2245,E2245)</f>
        <v>1.813895549675</v>
      </c>
      <c r="L2245" s="12">
        <f>[1]!EM_HKS_VAL_MV(B2245,"2019-12-31","2")</f>
        <v>618673881291.06006</v>
      </c>
      <c r="M2245">
        <f>[1]!EM_S_VAL_PETTMDEDUCTED(B2245,E2245)</f>
        <v>9.2618173222695201</v>
      </c>
      <c r="N2245" s="7">
        <f>[1]!EM_S_VAL_PBGOODWILLDEDUCTED(B2245,E2245)</f>
        <v>0.86152980250549904</v>
      </c>
      <c r="O2245" s="7">
        <f>[1]!EM_S_VAL_PS_TTM(B2245,E2245)</f>
        <v>0.22744133218571599</v>
      </c>
      <c r="P2245" s="7">
        <f>[1]!EM_S_VAL_PCF_NCFTTM(B2245,E2245)</f>
        <v>10.701701475745599</v>
      </c>
      <c r="Q2245" s="7">
        <f>[1]!EM_S_VAL_DIVIDENDYIELD2(B2245,E2245,"2019-11-29")</f>
        <v>5.2104208416833675</v>
      </c>
      <c r="T2245"/>
      <c r="U2245">
        <f>[1]!EM_S_RATIO_EPS_TTM(B2245,E2245,"1")</f>
        <v>0.52109002779823432</v>
      </c>
      <c r="AT2245" s="4" t="str">
        <f>[1]!EM_S_IPO_LISTEDDATE(B2245)</f>
        <v>2001-08-08</v>
      </c>
    </row>
    <row r="2246" spans="1:46">
      <c r="A2246">
        <v>3044</v>
      </c>
      <c r="B2246" t="str">
        <f>"601086"</f>
        <v>601086</v>
      </c>
      <c r="C2246" t="s">
        <v>1274</v>
      </c>
      <c r="D2246" t="str">
        <f>[1]!EM_S_INFO_INDEX_EM(B2246,"1")</f>
        <v>商贸零售</v>
      </c>
      <c r="E2246" s="4">
        <f t="shared" si="35"/>
        <v>43465</v>
      </c>
      <c r="F2246" s="11">
        <f>[1]!EM_S_PQ_PCTCHANGE(B2246,"2018-01-01","2019-12-31","3")</f>
        <v>-34.456793230000002</v>
      </c>
      <c r="G2246" s="11">
        <f>[1]!EM_S_PQ_PCTCHANGE(B2246,"2018-12-31","2019-12-30","1")</f>
        <v>0.59171598000000003</v>
      </c>
      <c r="H2246" s="11">
        <f>[1]!EM_S_FA_YOY_OR(B2246,E2246)</f>
        <v>0.85809615130000005</v>
      </c>
      <c r="I2246" s="11">
        <f>[1]!EM_S_FA_GROSSPROFITMARGIN(B2246,E2246)</f>
        <v>16.963713547400001</v>
      </c>
      <c r="J2246" s="11">
        <f>[1]!EM_S_FA_NETPROFITMARGIN(B2246,E2246)</f>
        <v>4.4990078694999998</v>
      </c>
      <c r="K2246" s="10">
        <f>[1]!EM_S_FA_ASSETSTURN(B2246,E2246)</f>
        <v>1.107196691952</v>
      </c>
      <c r="L2246" s="12">
        <f>[1]!EM_HKS_VAL_MV(B2246,"2019-12-31","2")</f>
        <v>3396600000</v>
      </c>
      <c r="M2246">
        <f>[1]!EM_S_VAL_PETTMDEDUCTED(B2246,E2246)</f>
        <v>26.9754885495535</v>
      </c>
      <c r="N2246" s="7">
        <f>[1]!EM_S_VAL_PBGOODWILLDEDUCTED(B2246,E2246)</f>
        <v>1.8905583286244201</v>
      </c>
      <c r="O2246" s="7">
        <f>[1]!EM_S_VAL_PS_TTM(B2246,E2246)</f>
        <v>1.1487146412287701</v>
      </c>
      <c r="P2246" s="7">
        <f>[1]!EM_S_VAL_PCF_NCFTTM(B2246,E2246)</f>
        <v>-15.0480069498288</v>
      </c>
      <c r="Q2246" s="7">
        <f>[1]!EM_S_VAL_DIVIDENDYIELD2(B2246,E2246,"2019-11-29")</f>
        <v>2.2222222222222223</v>
      </c>
      <c r="T2246"/>
      <c r="U2246">
        <f>[1]!EM_S_RATIO_EPS_TTM(B2246,E2246,"1")</f>
        <v>0.19774282390390391</v>
      </c>
      <c r="AT2246" s="4" t="str">
        <f>[1]!EM_S_IPO_LISTEDDATE(B2246)</f>
        <v>2017-09-29</v>
      </c>
    </row>
    <row r="2247" spans="1:46">
      <c r="A2247">
        <v>3416</v>
      </c>
      <c r="B2247" t="str">
        <f>"603515"</f>
        <v>603515</v>
      </c>
      <c r="C2247" t="s">
        <v>1434</v>
      </c>
      <c r="D2247" t="str">
        <f>[1]!EM_S_INFO_INDEX_EM(B2247,"1")</f>
        <v>家电</v>
      </c>
      <c r="E2247" s="4">
        <f t="shared" si="35"/>
        <v>43465</v>
      </c>
      <c r="F2247" s="11">
        <f>[1]!EM_S_PQ_PCTCHANGE(B2247,"2018-01-01","2019-12-31","3")</f>
        <v>-12.768192170000001</v>
      </c>
      <c r="G2247" s="11">
        <f>[1]!EM_S_PQ_PCTCHANGE(B2247,"2018-12-31","2019-12-30","1")</f>
        <v>0.53821313000000004</v>
      </c>
      <c r="H2247" s="11">
        <f>[1]!EM_S_FA_YOY_OR(B2247,E2247)</f>
        <v>15.0469537441</v>
      </c>
      <c r="I2247" s="11">
        <f>[1]!EM_S_FA_GROSSPROFITMARGIN(B2247,E2247)</f>
        <v>36.460152639</v>
      </c>
      <c r="J2247" s="11">
        <f>[1]!EM_S_FA_NETPROFITMARGIN(B2247,E2247)</f>
        <v>11.2390759699</v>
      </c>
      <c r="K2247" s="10">
        <f>[1]!EM_S_FA_ASSETSTURN(B2247,E2247)</f>
        <v>1.1736219422259999</v>
      </c>
      <c r="L2247" s="12">
        <f>[1]!EM_HKS_VAL_MV(B2247,"2019-12-31","2")</f>
        <v>21252952153.049999</v>
      </c>
      <c r="M2247">
        <f>[1]!EM_S_VAL_PETTMDEDUCTED(B2247,E2247)</f>
        <v>33.191036552310599</v>
      </c>
      <c r="N2247" s="7">
        <f>[1]!EM_S_VAL_PBGOODWILLDEDUCTED(B2247,E2247)</f>
        <v>4.8607019928747004</v>
      </c>
      <c r="O2247" s="7">
        <f>[1]!EM_S_VAL_PS_TTM(B2247,E2247)</f>
        <v>2.7294484185203198</v>
      </c>
      <c r="P2247" s="7">
        <f>[1]!EM_S_VAL_PCF_NCFTTM(B2247,E2247)</f>
        <v>312.87575081821899</v>
      </c>
      <c r="Q2247" s="7">
        <f>[1]!EM_S_VAL_DIVIDENDYIELD2(B2247,E2247,"2019-11-29")</f>
        <v>1.5278838808250572</v>
      </c>
      <c r="T2247"/>
      <c r="U2247">
        <f>[1]!EM_S_RATIO_EPS_TTM(B2247,E2247,"1")</f>
        <v>1.1892444575688768</v>
      </c>
      <c r="AT2247" s="4" t="str">
        <f>[1]!EM_S_IPO_LISTEDDATE(B2247)</f>
        <v>2016-08-19</v>
      </c>
    </row>
    <row r="2248" spans="1:46">
      <c r="A2248">
        <v>1119</v>
      </c>
      <c r="B2248" t="str">
        <f>"002608"</f>
        <v>002608</v>
      </c>
      <c r="C2248" t="s">
        <v>1061</v>
      </c>
      <c r="D2248" t="str">
        <f>[1]!EM_S_INFO_INDEX_EM(B2248,"1")</f>
        <v>公用事业</v>
      </c>
      <c r="E2248" s="4">
        <f t="shared" si="35"/>
        <v>43465</v>
      </c>
      <c r="F2248" s="11">
        <f>[1]!EM_S_PQ_PCTCHANGE(B2248,"2018-01-01","2019-12-31","3")</f>
        <v>-24.114173229999999</v>
      </c>
      <c r="G2248" s="11">
        <f>[1]!EM_S_PQ_PCTCHANGE(B2248,"2018-12-31","2019-12-30","1")</f>
        <v>0.52287581999999999</v>
      </c>
      <c r="H2248" s="11">
        <f>[1]!EM_S_FA_YOY_OR(B2248,E2248)</f>
        <v>9.4536664340000005</v>
      </c>
      <c r="I2248" s="11">
        <f>[1]!EM_S_FA_GROSSPROFITMARGIN(B2248,E2248)</f>
        <v>14.866629553799999</v>
      </c>
      <c r="J2248" s="11">
        <f>[1]!EM_S_FA_NETPROFITMARGIN(B2248,E2248)</f>
        <v>15.6025695867</v>
      </c>
      <c r="K2248" s="10">
        <f>[1]!EM_S_FA_ASSETSTURN(B2248,E2248)</f>
        <v>0.44512850495</v>
      </c>
      <c r="L2248" s="12">
        <f>[1]!EM_HKS_VAL_MV(B2248,"2019-12-31","2")</f>
        <v>29128994517.84</v>
      </c>
      <c r="M2248">
        <f>[1]!EM_S_VAL_PETTMDEDUCTED(B2248,E2248)</f>
        <v>12.060608021767999</v>
      </c>
      <c r="N2248" s="7">
        <f>[1]!EM_S_VAL_PBGOODWILLDEDUCTED(B2248,E2248)</f>
        <v>1.19343319901862</v>
      </c>
      <c r="O2248" s="7">
        <f>[1]!EM_S_VAL_PS_TTM(B2248,E2248)</f>
        <v>1.30572009725312</v>
      </c>
      <c r="P2248" s="7">
        <f>[1]!EM_S_VAL_PCF_NCFTTM(B2248,E2248)</f>
        <v>27.634838988375101</v>
      </c>
      <c r="Q2248" s="7">
        <f>[1]!EM_S_VAL_DIVIDENDYIELD2(B2248,E2248,"2019-11-29")</f>
        <v>0</v>
      </c>
      <c r="T2248"/>
      <c r="U2248">
        <f>[1]!EM_S_RATIO_EPS_TTM(B2248,E2248,"1")</f>
        <v>0.67655934879927559</v>
      </c>
      <c r="AT2248" s="4" t="str">
        <f>[1]!EM_S_IPO_LISTEDDATE(B2248)</f>
        <v>2011-08-10</v>
      </c>
    </row>
    <row r="2249" spans="1:46">
      <c r="A2249">
        <v>2466</v>
      </c>
      <c r="B2249" t="str">
        <f>"600345"</f>
        <v>600345</v>
      </c>
      <c r="C2249" t="s">
        <v>483</v>
      </c>
      <c r="D2249" t="str">
        <f>[1]!EM_S_INFO_INDEX_EM(B2249,"1")</f>
        <v>信息技术</v>
      </c>
      <c r="E2249" s="4">
        <f t="shared" si="35"/>
        <v>43465</v>
      </c>
      <c r="F2249" s="11">
        <f>[1]!EM_S_PQ_PCTCHANGE(B2249,"2018-01-01","2019-12-31","3")</f>
        <v>-16.85468998</v>
      </c>
      <c r="G2249" s="11">
        <f>[1]!EM_S_PQ_PCTCHANGE(B2249,"2018-12-31","2019-12-30","1")</f>
        <v>0.49460431999999999</v>
      </c>
      <c r="H2249" s="11">
        <f>[1]!EM_S_FA_YOY_OR(B2249,E2249)</f>
        <v>-42.037951288400002</v>
      </c>
      <c r="I2249" s="11">
        <f>[1]!EM_S_FA_GROSSPROFITMARGIN(B2249,E2249)</f>
        <v>6.8081665893999999</v>
      </c>
      <c r="J2249" s="11">
        <f>[1]!EM_S_FA_NETPROFITMARGIN(B2249,E2249)</f>
        <v>156.34898204340001</v>
      </c>
      <c r="K2249" s="10">
        <f>[1]!EM_S_FA_ASSETSTURN(B2249,E2249)</f>
        <v>7.9146775951000004E-2</v>
      </c>
      <c r="L2249" s="12">
        <f>[1]!EM_HKS_VAL_MV(B2249,"2019-12-31","2")</f>
        <v>4464900000</v>
      </c>
      <c r="M2249">
        <f>[1]!EM_S_VAL_PETTMDEDUCTED(B2249,E2249)</f>
        <v>16.908850386981701</v>
      </c>
      <c r="N2249" s="7">
        <f>[1]!EM_S_VAL_PBGOODWILLDEDUCTED(B2249,E2249)</f>
        <v>2.31573838965374</v>
      </c>
      <c r="O2249" s="7">
        <f>[1]!EM_S_VAL_PS_TTM(B2249,E2249)</f>
        <v>24.567859404062101</v>
      </c>
      <c r="P2249" s="7">
        <f>[1]!EM_S_VAL_PCF_NCFTTM(B2249,E2249)</f>
        <v>60.171186739322302</v>
      </c>
      <c r="Q2249" s="7">
        <f>[1]!EM_S_VAL_DIVIDENDYIELD2(B2249,E2249,"2019-11-29")</f>
        <v>1.7690417690417692</v>
      </c>
      <c r="T2249"/>
      <c r="U2249">
        <f>[1]!EM_S_RATIO_EPS_TTM(B2249,E2249,"1")</f>
        <v>1.1733491629292929</v>
      </c>
      <c r="AT2249" s="4" t="str">
        <f>[1]!EM_S_IPO_LISTEDDATE(B2249)</f>
        <v>2000-12-22</v>
      </c>
    </row>
    <row r="2250" spans="1:46">
      <c r="A2250">
        <v>1939</v>
      </c>
      <c r="B2250" t="str">
        <f>"300514"</f>
        <v>300514</v>
      </c>
      <c r="C2250" t="s">
        <v>1620</v>
      </c>
      <c r="D2250" t="str">
        <f>[1]!EM_S_INFO_INDEX_EM(B2250,"1")</f>
        <v>电气设备</v>
      </c>
      <c r="E2250" s="4">
        <f t="shared" si="35"/>
        <v>43465</v>
      </c>
      <c r="F2250" s="11">
        <f>[1]!EM_S_PQ_PCTCHANGE(B2250,"2018-01-01","2019-12-31","3")</f>
        <v>-11.84835431</v>
      </c>
      <c r="G2250" s="11">
        <f>[1]!EM_S_PQ_PCTCHANGE(B2250,"2018-12-31","2019-12-30","1")</f>
        <v>0.48309179000000002</v>
      </c>
      <c r="H2250" s="11">
        <f>[1]!EM_S_FA_YOY_OR(B2250,E2250)</f>
        <v>16.054576599899999</v>
      </c>
      <c r="I2250" s="11">
        <f>[1]!EM_S_FA_GROSSPROFITMARGIN(B2250,E2250)</f>
        <v>36.709538693500001</v>
      </c>
      <c r="J2250" s="11">
        <f>[1]!EM_S_FA_NETPROFITMARGIN(B2250,E2250)</f>
        <v>7.5254375028</v>
      </c>
      <c r="K2250" s="10">
        <f>[1]!EM_S_FA_ASSETSTURN(B2250,E2250)</f>
        <v>0.83634787863799998</v>
      </c>
      <c r="L2250" s="12">
        <f>[1]!EM_HKS_VAL_MV(B2250,"2019-12-31","2")</f>
        <v>2496000000</v>
      </c>
      <c r="M2250">
        <f>[1]!EM_S_VAL_PETTMDEDUCTED(B2250,E2250)</f>
        <v>59.694898795493899</v>
      </c>
      <c r="N2250" s="7">
        <f>[1]!EM_S_VAL_PBGOODWILLDEDUCTED(B2250,E2250)</f>
        <v>4.6985205165926596</v>
      </c>
      <c r="O2250" s="7">
        <f>[1]!EM_S_VAL_PS_TTM(B2250,E2250)</f>
        <v>3.7226435127436699</v>
      </c>
      <c r="P2250" s="7">
        <f>[1]!EM_S_VAL_PCF_NCFTTM(B2250,E2250)</f>
        <v>-69.133792015967501</v>
      </c>
      <c r="Q2250" s="7">
        <f>[1]!EM_S_VAL_DIVIDENDYIELD2(B2250,E2250,"2019-11-29")</f>
        <v>0.42052144659377627</v>
      </c>
      <c r="T2250"/>
      <c r="U2250">
        <f>[1]!EM_S_RATIO_EPS_TTM(B2250,E2250,"1")</f>
        <v>0.26244628934999997</v>
      </c>
      <c r="AT2250" s="4" t="str">
        <f>[1]!EM_S_IPO_LISTEDDATE(B2250)</f>
        <v>2017-04-26</v>
      </c>
    </row>
    <row r="2251" spans="1:46">
      <c r="A2251">
        <v>2942</v>
      </c>
      <c r="B2251" t="str">
        <f>"600869"</f>
        <v>600869</v>
      </c>
      <c r="C2251" t="s">
        <v>1939</v>
      </c>
      <c r="D2251" t="str">
        <f>[1]!EM_S_INFO_INDEX_EM(B2251,"1")</f>
        <v>电气设备</v>
      </c>
      <c r="E2251" s="4">
        <f t="shared" si="35"/>
        <v>43465</v>
      </c>
      <c r="F2251" s="11">
        <f>[1]!EM_S_PQ_PCTCHANGE(B2251,"2018-01-01","2019-12-31","3")</f>
        <v>-14.634146339999999</v>
      </c>
      <c r="G2251" s="11">
        <f>[1]!EM_S_PQ_PCTCHANGE(B2251,"2018-12-31","2019-12-30","1")</f>
        <v>0.41237112999999997</v>
      </c>
      <c r="H2251" s="11">
        <f>[1]!EM_S_FA_YOY_OR(B2251,E2251)</f>
        <v>1.4560781645</v>
      </c>
      <c r="I2251" s="11">
        <f>[1]!EM_S_FA_GROSSPROFITMARGIN(B2251,E2251)</f>
        <v>15.451500770599999</v>
      </c>
      <c r="J2251" s="11">
        <f>[1]!EM_S_FA_NETPROFITMARGIN(B2251,E2251)</f>
        <v>1.0675369827000001</v>
      </c>
      <c r="K2251" s="10">
        <f>[1]!EM_S_FA_ASSETSTURN(B2251,E2251)</f>
        <v>0.94057849349300005</v>
      </c>
      <c r="L2251" s="12">
        <f>[1]!EM_HKS_VAL_MV(B2251,"2019-12-31","2")</f>
        <v>10874828455.4</v>
      </c>
      <c r="M2251">
        <f>[1]!EM_S_VAL_PETTMDEDUCTED(B2251,E2251)</f>
        <v>67.122108890074301</v>
      </c>
      <c r="N2251" s="7">
        <f>[1]!EM_S_VAL_PBGOODWILLDEDUCTED(B2251,E2251)</f>
        <v>3.4461722293427499</v>
      </c>
      <c r="O2251" s="7">
        <f>[1]!EM_S_VAL_PS_TTM(B2251,E2251)</f>
        <v>0.62117433771307295</v>
      </c>
      <c r="P2251" s="7">
        <f>[1]!EM_S_VAL_PCF_NCFTTM(B2251,E2251)</f>
        <v>110.49012450850999</v>
      </c>
      <c r="Q2251" s="7">
        <f>[1]!EM_S_VAL_DIVIDENDYIELD2(B2251,E2251,"2019-11-29")</f>
        <v>0</v>
      </c>
      <c r="T2251"/>
      <c r="U2251">
        <f>[1]!EM_S_RATIO_EPS_TTM(B2251,E2251,"1")</f>
        <v>6.8390718124265226E-2</v>
      </c>
      <c r="AT2251" s="4" t="str">
        <f>[1]!EM_S_IPO_LISTEDDATE(B2251)</f>
        <v>1995-02-06</v>
      </c>
    </row>
    <row r="2252" spans="1:46">
      <c r="A2252">
        <v>1828</v>
      </c>
      <c r="B2252" t="str">
        <f>"300403"</f>
        <v>300403</v>
      </c>
      <c r="C2252" t="s">
        <v>1648</v>
      </c>
      <c r="D2252" t="str">
        <f>[1]!EM_S_INFO_INDEX_EM(B2252,"1")</f>
        <v>家电</v>
      </c>
      <c r="E2252" s="4">
        <f t="shared" si="35"/>
        <v>43465</v>
      </c>
      <c r="F2252" s="11">
        <f>[1]!EM_S_PQ_PCTCHANGE(B2252,"2018-01-01","2019-12-31","3")</f>
        <v>-32.361011789999999</v>
      </c>
      <c r="G2252" s="11">
        <f>[1]!EM_S_PQ_PCTCHANGE(B2252,"2018-12-31","2019-12-30","1")</f>
        <v>0.39840637000000001</v>
      </c>
      <c r="H2252" s="11">
        <f>[1]!EM_S_FA_YOY_OR(B2252,E2252)</f>
        <v>2.0207740983</v>
      </c>
      <c r="I2252" s="11">
        <f>[1]!EM_S_FA_GROSSPROFITMARGIN(B2252,E2252)</f>
        <v>38.215201424900002</v>
      </c>
      <c r="J2252" s="11">
        <f>[1]!EM_S_FA_NETPROFITMARGIN(B2252,E2252)</f>
        <v>19.611485349500001</v>
      </c>
      <c r="K2252" s="10">
        <f>[1]!EM_S_FA_ASSETSTURN(B2252,E2252)</f>
        <v>0.48173345876200002</v>
      </c>
      <c r="L2252" s="12">
        <f>[1]!EM_HKS_VAL_MV(B2252,"2019-12-31","2")</f>
        <v>3087360000</v>
      </c>
      <c r="M2252">
        <f>[1]!EM_S_VAL_PETTMDEDUCTED(B2252,E2252)</f>
        <v>22.850458181655</v>
      </c>
      <c r="N2252" s="7">
        <f>[1]!EM_S_VAL_PBGOODWILLDEDUCTED(B2252,E2252)</f>
        <v>2.27458509018471</v>
      </c>
      <c r="O2252" s="7">
        <f>[1]!EM_S_VAL_PS_TTM(B2252,E2252)</f>
        <v>3.8033862776900502</v>
      </c>
      <c r="P2252" s="7">
        <f>[1]!EM_S_VAL_PCF_NCFTTM(B2252,E2252)</f>
        <v>-14.9538828799549</v>
      </c>
      <c r="Q2252" s="7">
        <f>[1]!EM_S_VAL_DIVIDENDYIELD2(B2252,E2252,"2019-11-29")</f>
        <v>2.0449897750511248</v>
      </c>
      <c r="T2252"/>
      <c r="U2252">
        <f>[1]!EM_S_RATIO_EPS_TTM(B2252,E2252,"1")</f>
        <v>0.26991363832504145</v>
      </c>
      <c r="AT2252" s="4" t="str">
        <f>[1]!EM_S_IPO_LISTEDDATE(B2252)</f>
        <v>2014-10-30</v>
      </c>
    </row>
    <row r="2253" spans="1:46">
      <c r="A2253">
        <v>3435</v>
      </c>
      <c r="B2253" t="str">
        <f>"603568"</f>
        <v>603568</v>
      </c>
      <c r="C2253" t="s">
        <v>139</v>
      </c>
      <c r="D2253" t="str">
        <f>[1]!EM_S_INFO_INDEX_EM(B2253,"1")</f>
        <v>公用事业</v>
      </c>
      <c r="E2253" s="4">
        <f t="shared" si="35"/>
        <v>43465</v>
      </c>
      <c r="F2253" s="11">
        <f>[1]!EM_S_PQ_PCTCHANGE(B2253,"2018-01-01","2019-12-31","3")</f>
        <v>50.596472560000002</v>
      </c>
      <c r="G2253" s="11">
        <f>[1]!EM_S_PQ_PCTCHANGE(B2253,"2018-12-31","2019-12-30","1")</f>
        <v>0.39387308999999998</v>
      </c>
      <c r="H2253" s="11">
        <f>[1]!EM_S_FA_YOY_OR(B2253,E2253)</f>
        <v>50.285731634100003</v>
      </c>
      <c r="I2253" s="11">
        <f>[1]!EM_S_FA_GROSSPROFITMARGIN(B2253,E2253)</f>
        <v>60.302501765000002</v>
      </c>
      <c r="J2253" s="11">
        <f>[1]!EM_S_FA_NETPROFITMARGIN(B2253,E2253)</f>
        <v>47.705337243400002</v>
      </c>
      <c r="K2253" s="10">
        <f>[1]!EM_S_FA_ASSETSTURN(B2253,E2253)</f>
        <v>0.31995068818400002</v>
      </c>
      <c r="L2253" s="12">
        <f>[1]!EM_HKS_VAL_MV(B2253,"2019-12-31","2")</f>
        <v>21899369797.799999</v>
      </c>
      <c r="M2253">
        <f>[1]!EM_S_VAL_PETTMDEDUCTED(B2253,E2253)</f>
        <v>22.657191944819001</v>
      </c>
      <c r="N2253" s="7">
        <f>[1]!EM_S_VAL_PBGOODWILLDEDUCTED(B2253,E2253)</f>
        <v>5.3923593536737702</v>
      </c>
      <c r="O2253" s="7">
        <f>[1]!EM_S_VAL_PS_TTM(B2253,E2253)</f>
        <v>10.636460453001799</v>
      </c>
      <c r="P2253" s="7">
        <f>[1]!EM_S_VAL_PCF_NCFTTM(B2253,E2253)</f>
        <v>96.156309693270998</v>
      </c>
      <c r="Q2253" s="7">
        <f>[1]!EM_S_VAL_DIVIDENDYIELD2(B2253,E2253,"2019-11-29")</f>
        <v>1.1110644841453496</v>
      </c>
      <c r="T2253"/>
      <c r="U2253">
        <f>[1]!EM_S_RATIO_EPS_TTM(B2253,E2253,"1")</f>
        <v>1.0761017884775614</v>
      </c>
      <c r="AT2253" s="4" t="str">
        <f>[1]!EM_S_IPO_LISTEDDATE(B2253)</f>
        <v>2015-05-28</v>
      </c>
    </row>
    <row r="2254" spans="1:46">
      <c r="A2254">
        <v>1157</v>
      </c>
      <c r="B2254" t="str">
        <f>"002646"</f>
        <v>002646</v>
      </c>
      <c r="C2254" t="s">
        <v>567</v>
      </c>
      <c r="D2254" t="str">
        <f>[1]!EM_S_INFO_INDEX_EM(B2254,"1")</f>
        <v>食品饮料</v>
      </c>
      <c r="E2254" s="4">
        <f t="shared" si="35"/>
        <v>43465</v>
      </c>
      <c r="F2254" s="11">
        <f>[1]!EM_S_PQ_PCTCHANGE(B2254,"2018-01-01","2019-12-31","3")</f>
        <v>-28.58506079</v>
      </c>
      <c r="G2254" s="11">
        <f>[1]!EM_S_PQ_PCTCHANGE(B2254,"2018-12-31","2019-12-30","1")</f>
        <v>0.37348272999999999</v>
      </c>
      <c r="H2254" s="11">
        <f>[1]!EM_S_FA_YOY_OR(B2254,E2254)</f>
        <v>2.2941754489999999</v>
      </c>
      <c r="I2254" s="11">
        <f>[1]!EM_S_FA_GROSSPROFITMARGIN(B2254,E2254)</f>
        <v>66.601390211799995</v>
      </c>
      <c r="J2254" s="11">
        <f>[1]!EM_S_FA_NETPROFITMARGIN(B2254,E2254)</f>
        <v>7.5468654037</v>
      </c>
      <c r="K2254" s="10">
        <f>[1]!EM_S_FA_ASSETSTURN(B2254,E2254)</f>
        <v>0.48138250938400001</v>
      </c>
      <c r="L2254" s="12">
        <f>[1]!EM_HKS_VAL_MV(B2254,"2019-12-31","2")</f>
        <v>4819500000</v>
      </c>
      <c r="M2254">
        <f>[1]!EM_S_VAL_PETTMDEDUCTED(B2254,E2254)</f>
        <v>-34.116151811950402</v>
      </c>
      <c r="N2254" s="7">
        <f>[1]!EM_S_VAL_PBGOODWILLDEDUCTED(B2254,E2254)</f>
        <v>2.0163703184102002</v>
      </c>
      <c r="O2254" s="7">
        <f>[1]!EM_S_VAL_PS_TTM(B2254,E2254)</f>
        <v>3.6109268694001702</v>
      </c>
      <c r="P2254" s="7">
        <f>[1]!EM_S_VAL_PCF_NCFTTM(B2254,E2254)</f>
        <v>208.49928790063001</v>
      </c>
      <c r="Q2254" s="7">
        <f>[1]!EM_S_VAL_DIVIDENDYIELD2(B2254,E2254,"2019-11-29")</f>
        <v>1.1869436201780417</v>
      </c>
      <c r="T2254"/>
      <c r="U2254">
        <f>[1]!EM_S_RATIO_EPS_TTM(B2254,E2254,"1")</f>
        <v>0.23905471862222222</v>
      </c>
      <c r="AT2254" s="4" t="str">
        <f>[1]!EM_S_IPO_LISTEDDATE(B2254)</f>
        <v>2011-12-22</v>
      </c>
    </row>
    <row r="2255" spans="1:46">
      <c r="A2255">
        <v>968</v>
      </c>
      <c r="B2255" t="str">
        <f>"002457"</f>
        <v>002457</v>
      </c>
      <c r="C2255" t="s">
        <v>3318</v>
      </c>
      <c r="D2255" t="str">
        <f>[1]!EM_S_INFO_INDEX_EM(B2255,"1")</f>
        <v>建材</v>
      </c>
      <c r="E2255" s="4">
        <f t="shared" si="35"/>
        <v>43465</v>
      </c>
      <c r="F2255" s="11">
        <f>[1]!EM_S_PQ_PCTCHANGE(B2255,"2018-01-01","2019-12-31","3")</f>
        <v>-29.344685160000001</v>
      </c>
      <c r="G2255" s="11">
        <f>[1]!EM_S_PQ_PCTCHANGE(B2255,"2018-12-31","2019-12-30","1")</f>
        <v>0.37313433000000001</v>
      </c>
      <c r="H2255" s="11">
        <f>[1]!EM_S_FA_YOY_OR(B2255,E2255)</f>
        <v>21.436278944400001</v>
      </c>
      <c r="I2255" s="11">
        <f>[1]!EM_S_FA_GROSSPROFITMARGIN(B2255,E2255)</f>
        <v>27.360738420699999</v>
      </c>
      <c r="J2255" s="11">
        <f>[1]!EM_S_FA_NETPROFITMARGIN(B2255,E2255)</f>
        <v>5.3069791850000003</v>
      </c>
      <c r="K2255" s="10">
        <f>[1]!EM_S_FA_ASSETSTURN(B2255,E2255)</f>
        <v>0.50932661817699998</v>
      </c>
      <c r="L2255" s="12">
        <f>[1]!EM_HKS_VAL_MV(B2255,"2019-12-31","2")</f>
        <v>2716785120</v>
      </c>
      <c r="M2255">
        <f>[1]!EM_S_VAL_PETTMDEDUCTED(B2255,E2255)</f>
        <v>31.465574271793301</v>
      </c>
      <c r="N2255" s="7">
        <f>[1]!EM_S_VAL_PBGOODWILLDEDUCTED(B2255,E2255)</f>
        <v>1.4570368445433799</v>
      </c>
      <c r="O2255" s="7">
        <f>[1]!EM_S_VAL_PS_TTM(B2255,E2255)</f>
        <v>1.92974888432935</v>
      </c>
      <c r="P2255" s="7">
        <f>[1]!EM_S_VAL_PCF_NCFTTM(B2255,E2255)</f>
        <v>-228.613112821827</v>
      </c>
      <c r="Q2255" s="7">
        <f>[1]!EM_S_VAL_DIVIDENDYIELD2(B2255,E2255,"2019-11-29")</f>
        <v>1.2836970474967908</v>
      </c>
      <c r="T2255"/>
      <c r="U2255">
        <f>[1]!EM_S_RATIO_EPS_TTM(B2255,E2255,"1")</f>
        <v>0.22029213703610831</v>
      </c>
      <c r="AT2255" s="4" t="str">
        <f>[1]!EM_S_IPO_LISTEDDATE(B2255)</f>
        <v>2010-08-03</v>
      </c>
    </row>
    <row r="2256" spans="1:46">
      <c r="A2256">
        <v>2373</v>
      </c>
      <c r="B2256" t="str">
        <f>"600239"</f>
        <v>600239</v>
      </c>
      <c r="C2256" t="s">
        <v>3365</v>
      </c>
      <c r="D2256" t="str">
        <f>[1]!EM_S_INFO_INDEX_EM(B2256,"1")</f>
        <v>房地产</v>
      </c>
      <c r="E2256" s="4">
        <f t="shared" si="35"/>
        <v>43465</v>
      </c>
      <c r="F2256" s="11">
        <f>[1]!EM_S_PQ_PCTCHANGE(B2256,"2018-01-01","2019-12-31","3")</f>
        <v>-42.47131444</v>
      </c>
      <c r="G2256" s="11">
        <f>[1]!EM_S_PQ_PCTCHANGE(B2256,"2018-12-31","2019-12-30","1")</f>
        <v>0.34722222000000003</v>
      </c>
      <c r="H2256" s="11">
        <f>[1]!EM_S_FA_YOY_OR(B2256,E2256)</f>
        <v>-33.6870972599</v>
      </c>
      <c r="I2256" s="11">
        <f>[1]!EM_S_FA_GROSSPROFITMARGIN(B2256,E2256)</f>
        <v>34.768085365799998</v>
      </c>
      <c r="J2256" s="11">
        <f>[1]!EM_S_FA_NETPROFITMARGIN(B2256,E2256)</f>
        <v>4.7641873331999998</v>
      </c>
      <c r="K2256" s="10">
        <f>[1]!EM_S_FA_ASSETSTURN(B2256,E2256)</f>
        <v>0.116611687666</v>
      </c>
      <c r="L2256" s="12">
        <f>[1]!EM_HKS_VAL_MV(B2256,"2019-12-31","2")</f>
        <v>4640435167.0100002</v>
      </c>
      <c r="M2256">
        <f>[1]!EM_S_VAL_PETTMDEDUCTED(B2256,E2256)</f>
        <v>12.344987878623099</v>
      </c>
      <c r="N2256" s="7">
        <f>[1]!EM_S_VAL_PBGOODWILLDEDUCTED(B2256,E2256)</f>
        <v>0.897825123991844</v>
      </c>
      <c r="O2256" s="7">
        <f>[1]!EM_S_VAL_PS_TTM(B2256,E2256)</f>
        <v>0.30844887672853299</v>
      </c>
      <c r="P2256" s="7">
        <f>[1]!EM_S_VAL_PCF_NCFTTM(B2256,E2256)</f>
        <v>-1.63785291729726</v>
      </c>
      <c r="Q2256" s="7">
        <f>[1]!EM_S_VAL_DIVIDENDYIELD2(B2256,E2256,"2019-11-29")</f>
        <v>3.1944444444444442</v>
      </c>
      <c r="T2256"/>
      <c r="U2256">
        <f>[1]!EM_S_RATIO_EPS_TTM(B2256,E2256,"1")</f>
        <v>0.30604340748224912</v>
      </c>
      <c r="AT2256" s="4" t="str">
        <f>[1]!EM_S_IPO_LISTEDDATE(B2256)</f>
        <v>1999-12-02</v>
      </c>
    </row>
    <row r="2257" spans="1:46">
      <c r="A2257">
        <v>323</v>
      </c>
      <c r="B2257" t="str">
        <f>"000753"</f>
        <v>000753</v>
      </c>
      <c r="C2257" t="s">
        <v>2008</v>
      </c>
      <c r="D2257" t="str">
        <f>[1]!EM_S_INFO_INDEX_EM(B2257,"1")</f>
        <v>交运设备</v>
      </c>
      <c r="E2257" s="4">
        <f t="shared" si="35"/>
        <v>43465</v>
      </c>
      <c r="F2257" s="11">
        <f>[1]!EM_S_PQ_PCTCHANGE(B2257,"2018-01-01","2019-12-31","3")</f>
        <v>-20.82369521</v>
      </c>
      <c r="G2257" s="11">
        <f>[1]!EM_S_PQ_PCTCHANGE(B2257,"2018-12-31","2019-12-30","1")</f>
        <v>0.34013605000000002</v>
      </c>
      <c r="H2257" s="11">
        <f>[1]!EM_S_FA_YOY_OR(B2257,E2257)</f>
        <v>12.0375323165</v>
      </c>
      <c r="I2257" s="11">
        <f>[1]!EM_S_FA_GROSSPROFITMARGIN(B2257,E2257)</f>
        <v>14.958016922200001</v>
      </c>
      <c r="J2257" s="11">
        <f>[1]!EM_S_FA_NETPROFITMARGIN(B2257,E2257)</f>
        <v>2.7005211486</v>
      </c>
      <c r="K2257" s="10">
        <f>[1]!EM_S_FA_ASSETSTURN(B2257,E2257)</f>
        <v>0.61182884384900005</v>
      </c>
      <c r="L2257" s="12">
        <f>[1]!EM_HKS_VAL_MV(B2257,"2019-12-31","2")</f>
        <v>2964528402.29</v>
      </c>
      <c r="M2257">
        <f>[1]!EM_S_VAL_PETTMDEDUCTED(B2257,E2257)</f>
        <v>-238.11785730632101</v>
      </c>
      <c r="N2257" s="7">
        <f>[1]!EM_S_VAL_PBGOODWILLDEDUCTED(B2257,E2257)</f>
        <v>1.29547474868894</v>
      </c>
      <c r="O2257" s="7">
        <f>[1]!EM_S_VAL_PS_TTM(B2257,E2257)</f>
        <v>1.1148923946839999</v>
      </c>
      <c r="P2257" s="7">
        <f>[1]!EM_S_VAL_PCF_NCFTTM(B2257,E2257)</f>
        <v>9.2085348900189405</v>
      </c>
      <c r="Q2257" s="7">
        <f>[1]!EM_S_VAL_DIVIDENDYIELD2(B2257,E2257,"2019-11-29")</f>
        <v>1.0638297872340425</v>
      </c>
      <c r="T2257"/>
      <c r="U2257">
        <f>[1]!EM_S_RATIO_EPS_TTM(B2257,E2257,"1")</f>
        <v>9.2917313859640999E-2</v>
      </c>
      <c r="AT2257" s="4" t="str">
        <f>[1]!EM_S_IPO_LISTEDDATE(B2257)</f>
        <v>1997-06-26</v>
      </c>
    </row>
    <row r="2258" spans="1:46">
      <c r="A2258">
        <v>2822</v>
      </c>
      <c r="B2258" t="str">
        <f>"600749"</f>
        <v>600749</v>
      </c>
      <c r="C2258" t="s">
        <v>3621</v>
      </c>
      <c r="D2258" t="str">
        <f>[1]!EM_S_INFO_INDEX_EM(B2258,"1")</f>
        <v>休闲、生活及专业服务</v>
      </c>
      <c r="E2258" s="4">
        <f t="shared" si="35"/>
        <v>43465</v>
      </c>
      <c r="F2258" s="11">
        <f>[1]!EM_S_PQ_PCTCHANGE(B2258,"2018-01-01","2019-12-31","3")</f>
        <v>-52.048558419999999</v>
      </c>
      <c r="G2258" s="11">
        <f>[1]!EM_S_PQ_PCTCHANGE(B2258,"2018-12-31","2019-12-30","1")</f>
        <v>0.31982941999999998</v>
      </c>
      <c r="H2258" s="11">
        <f>[1]!EM_S_FA_YOY_OR(B2258,E2258)</f>
        <v>26.100692654700001</v>
      </c>
      <c r="I2258" s="11">
        <f>[1]!EM_S_FA_GROSSPROFITMARGIN(B2258,E2258)</f>
        <v>56.192605708499997</v>
      </c>
      <c r="J2258" s="11">
        <f>[1]!EM_S_FA_NETPROFITMARGIN(B2258,E2258)</f>
        <v>12.2134328944</v>
      </c>
      <c r="K2258" s="10">
        <f>[1]!EM_S_FA_ASSETSTURN(B2258,E2258)</f>
        <v>0.13304610727300001</v>
      </c>
      <c r="L2258" s="12">
        <f>[1]!EM_HKS_VAL_MV(B2258,"2019-12-31","2")</f>
        <v>2151633101.1599998</v>
      </c>
      <c r="M2258">
        <f>[1]!EM_S_VAL_PETTMDEDUCTED(B2258,E2258)</f>
        <v>-43.062929265359202</v>
      </c>
      <c r="N2258" s="7">
        <f>[1]!EM_S_VAL_PBGOODWILLDEDUCTED(B2258,E2258)</f>
        <v>2.0268313748932201</v>
      </c>
      <c r="O2258" s="7">
        <f>[1]!EM_S_VAL_PS_TTM(B2258,E2258)</f>
        <v>13.146746266082801</v>
      </c>
      <c r="P2258" s="7">
        <f>[1]!EM_S_VAL_PCF_NCFTTM(B2258,E2258)</f>
        <v>31.008089779683502</v>
      </c>
      <c r="Q2258" s="7">
        <f>[1]!EM_S_VAL_DIVIDENDYIELD2(B2258,E2258,"2019-11-29")</f>
        <v>0</v>
      </c>
      <c r="T2258"/>
      <c r="U2258">
        <f>[1]!EM_S_RATIO_EPS_TTM(B2258,E2258,"1")</f>
        <v>9.3694052696119468E-2</v>
      </c>
      <c r="AT2258" s="4" t="str">
        <f>[1]!EM_S_IPO_LISTEDDATE(B2258)</f>
        <v>1996-10-15</v>
      </c>
    </row>
    <row r="2259" spans="1:46">
      <c r="A2259">
        <v>3097</v>
      </c>
      <c r="B2259" t="str">
        <f>"601326"</f>
        <v>601326</v>
      </c>
      <c r="C2259" t="s">
        <v>1018</v>
      </c>
      <c r="D2259" t="str">
        <f>[1]!EM_S_INFO_INDEX_EM(B2259,"1")</f>
        <v>交通运输</v>
      </c>
      <c r="E2259" s="4">
        <f t="shared" si="35"/>
        <v>43465</v>
      </c>
      <c r="F2259" s="11">
        <f>[1]!EM_S_PQ_PCTCHANGE(B2259,"2018-01-01","2019-12-31","3")</f>
        <v>-46.465585740000002</v>
      </c>
      <c r="G2259" s="11">
        <f>[1]!EM_S_PQ_PCTCHANGE(B2259,"2018-12-31","2019-12-30","1")</f>
        <v>0.31847133999999999</v>
      </c>
      <c r="H2259" s="11">
        <f>[1]!EM_S_FA_YOY_OR(B2259,E2259)</f>
        <v>-2.2187221554000001</v>
      </c>
      <c r="I2259" s="11">
        <f>[1]!EM_S_FA_GROSSPROFITMARGIN(B2259,E2259)</f>
        <v>41.555005856400001</v>
      </c>
      <c r="J2259" s="11">
        <f>[1]!EM_S_FA_NETPROFITMARGIN(B2259,E2259)</f>
        <v>10.0873809516</v>
      </c>
      <c r="K2259" s="10">
        <f>[1]!EM_S_FA_ASSETSTURN(B2259,E2259)</f>
        <v>0.265845631044</v>
      </c>
      <c r="L2259" s="12">
        <f>[1]!EM_HKS_VAL_MV(B2259,"2019-12-31","2")</f>
        <v>17823844280</v>
      </c>
      <c r="M2259">
        <f>[1]!EM_S_VAL_PETTMDEDUCTED(B2259,E2259)</f>
        <v>16.9070804762544</v>
      </c>
      <c r="N2259" s="7">
        <f>[1]!EM_S_VAL_PBGOODWILLDEDUCTED(B2259,E2259)</f>
        <v>1.26264906484526</v>
      </c>
      <c r="O2259" s="7">
        <f>[1]!EM_S_VAL_PS_TTM(B2259,E2259)</f>
        <v>2.4957360245120701</v>
      </c>
      <c r="P2259" s="7">
        <f>[1]!EM_S_VAL_PCF_NCFTTM(B2259,E2259)</f>
        <v>-19.555129877106499</v>
      </c>
      <c r="Q2259" s="7">
        <f>[1]!EM_S_VAL_DIVIDENDYIELD2(B2259,E2259,"2019-11-29")</f>
        <v>2.4838709677419355</v>
      </c>
      <c r="T2259"/>
      <c r="U2259">
        <f>[1]!EM_S_RATIO_EPS_TTM(B2259,E2259,"1")</f>
        <v>0.14501584420658437</v>
      </c>
      <c r="AT2259" s="4" t="str">
        <f>[1]!EM_S_IPO_LISTEDDATE(B2259)</f>
        <v>2017-08-16</v>
      </c>
    </row>
    <row r="2260" spans="1:46">
      <c r="A2260">
        <v>2195</v>
      </c>
      <c r="B2260" t="str">
        <f>"600039"</f>
        <v>600039</v>
      </c>
      <c r="C2260" t="s">
        <v>2351</v>
      </c>
      <c r="D2260" t="str">
        <f>[1]!EM_S_INFO_INDEX_EM(B2260,"1")</f>
        <v>建筑</v>
      </c>
      <c r="E2260" s="4">
        <f t="shared" si="35"/>
        <v>43465</v>
      </c>
      <c r="F2260" s="11">
        <f>[1]!EM_S_PQ_PCTCHANGE(B2260,"2018-01-01","2019-12-31","3")</f>
        <v>-14.920611940000001</v>
      </c>
      <c r="G2260" s="11">
        <f>[1]!EM_S_PQ_PCTCHANGE(B2260,"2018-12-31","2019-12-30","1")</f>
        <v>0.30487805000000001</v>
      </c>
      <c r="H2260" s="11">
        <f>[1]!EM_S_FA_YOY_OR(B2260,E2260)</f>
        <v>22.1482768423</v>
      </c>
      <c r="I2260" s="11">
        <f>[1]!EM_S_FA_GROSSPROFITMARGIN(B2260,E2260)</f>
        <v>10.693505351400001</v>
      </c>
      <c r="J2260" s="11">
        <f>[1]!EM_S_FA_NETPROFITMARGIN(B2260,E2260)</f>
        <v>3.0158181958000001</v>
      </c>
      <c r="K2260" s="10">
        <f>[1]!EM_S_FA_ASSETSTURN(B2260,E2260)</f>
        <v>0.50302398904699996</v>
      </c>
      <c r="L2260" s="12">
        <f>[1]!EM_HKS_VAL_MV(B2260,"2019-12-31","2")</f>
        <v>12131365713.6</v>
      </c>
      <c r="M2260">
        <f>[1]!EM_S_VAL_PETTMDEDUCTED(B2260,E2260)</f>
        <v>9.8136819323786302</v>
      </c>
      <c r="N2260" s="7">
        <f>[1]!EM_S_VAL_PBGOODWILLDEDUCTED(B2260,E2260)</f>
        <v>0.84603631039745297</v>
      </c>
      <c r="O2260" s="7">
        <f>[1]!EM_S_VAL_PS_TTM(B2260,E2260)</f>
        <v>0.33005671942355003</v>
      </c>
      <c r="P2260" s="7">
        <f>[1]!EM_S_VAL_PCF_NCFTTM(B2260,E2260)</f>
        <v>-26.2743716046683</v>
      </c>
      <c r="Q2260" s="7">
        <f>[1]!EM_S_VAL_DIVIDENDYIELD2(B2260,E2260,"2019-11-29")</f>
        <v>1.5432098765432101</v>
      </c>
      <c r="T2260"/>
      <c r="U2260">
        <f>[1]!EM_S_RATIO_EPS_TTM(B2260,E2260,"1")</f>
        <v>0.32453307591780456</v>
      </c>
      <c r="AT2260" s="4" t="str">
        <f>[1]!EM_S_IPO_LISTEDDATE(B2260)</f>
        <v>2003-03-25</v>
      </c>
    </row>
    <row r="2261" spans="1:46">
      <c r="A2261">
        <v>2411</v>
      </c>
      <c r="B2261" t="str">
        <f>"600282"</f>
        <v>600282</v>
      </c>
      <c r="C2261" t="s">
        <v>118</v>
      </c>
      <c r="D2261" t="str">
        <f>[1]!EM_S_INFO_INDEX_EM(B2261,"1")</f>
        <v>钢铁</v>
      </c>
      <c r="E2261" s="4">
        <f t="shared" si="35"/>
        <v>43465</v>
      </c>
      <c r="F2261" s="11">
        <f>[1]!EM_S_PQ_PCTCHANGE(B2261,"2018-01-01","2019-12-31","3")</f>
        <v>-22.385402540000001</v>
      </c>
      <c r="G2261" s="11">
        <f>[1]!EM_S_PQ_PCTCHANGE(B2261,"2018-12-31","2019-12-30","1")</f>
        <v>0.29239766</v>
      </c>
      <c r="H2261" s="11">
        <f>[1]!EM_S_FA_YOY_OR(B2261,E2261)</f>
        <v>16.0798349706</v>
      </c>
      <c r="I2261" s="11">
        <f>[1]!EM_S_FA_GROSSPROFITMARGIN(B2261,E2261)</f>
        <v>20.111788877199999</v>
      </c>
      <c r="J2261" s="11">
        <f>[1]!EM_S_FA_NETPROFITMARGIN(B2261,E2261)</f>
        <v>10.861946680999999</v>
      </c>
      <c r="K2261" s="10">
        <f>[1]!EM_S_FA_ASSETSTURN(B2261,E2261)</f>
        <v>1.1059615388940001</v>
      </c>
      <c r="L2261" s="12">
        <f>[1]!EM_HKS_VAL_MV(B2261,"2019-12-31","2")</f>
        <v>15281666176.65</v>
      </c>
      <c r="M2261">
        <f>[1]!EM_S_VAL_PETTMDEDUCTED(B2261,E2261)</f>
        <v>3.32133911281284</v>
      </c>
      <c r="N2261" s="7">
        <f>[1]!EM_S_VAL_PBGOODWILLDEDUCTED(B2261,E2261)</f>
        <v>0.98373109879459797</v>
      </c>
      <c r="O2261" s="7">
        <f>[1]!EM_S_VAL_PS_TTM(B2261,E2261)</f>
        <v>0.34230932788083601</v>
      </c>
      <c r="P2261" s="7">
        <f>[1]!EM_S_VAL_PCF_NCFTTM(B2261,E2261)</f>
        <v>-199.278189874513</v>
      </c>
      <c r="Q2261" s="7">
        <f>[1]!EM_S_VAL_DIVIDENDYIELD2(B2261,E2261,"2019-11-29")</f>
        <v>9.0835229703984659</v>
      </c>
      <c r="U2261">
        <f>[1]!EM_S_RATIO_EPS_TTM(B2261,E2261,"1")</f>
        <v>0.90635576921329453</v>
      </c>
      <c r="AT2261" s="4" t="str">
        <f>[1]!EM_S_IPO_LISTEDDATE(B2261)</f>
        <v>2000-09-19</v>
      </c>
    </row>
    <row r="2262" spans="1:46">
      <c r="A2262">
        <v>1596</v>
      </c>
      <c r="B2262" t="str">
        <f>"300171"</f>
        <v>300171</v>
      </c>
      <c r="C2262" t="s">
        <v>2509</v>
      </c>
      <c r="D2262" t="str">
        <f>[1]!EM_S_INFO_INDEX_EM(B2262,"1")</f>
        <v>机械设备</v>
      </c>
      <c r="E2262" s="4">
        <f t="shared" si="35"/>
        <v>43465</v>
      </c>
      <c r="F2262" s="11">
        <f>[1]!EM_S_PQ_PCTCHANGE(B2262,"2018-01-01","2019-12-31","3")</f>
        <v>-26.443752270000001</v>
      </c>
      <c r="G2262" s="11">
        <f>[1]!EM_S_PQ_PCTCHANGE(B2262,"2018-12-31","2019-12-30","1")</f>
        <v>0.28530670000000002</v>
      </c>
      <c r="H2262" s="11">
        <f>[1]!EM_S_FA_YOY_OR(B2262,E2262)</f>
        <v>11.1278931082</v>
      </c>
      <c r="I2262" s="11">
        <f>[1]!EM_S_FA_GROSSPROFITMARGIN(B2262,E2262)</f>
        <v>30.748710662000001</v>
      </c>
      <c r="J2262" s="11">
        <f>[1]!EM_S_FA_NETPROFITMARGIN(B2262,E2262)</f>
        <v>4.5475236406999997</v>
      </c>
      <c r="K2262" s="10">
        <f>[1]!EM_S_FA_ASSETSTURN(B2262,E2262)</f>
        <v>0.42340308658100001</v>
      </c>
      <c r="L2262" s="12">
        <f>[1]!EM_HKS_VAL_MV(B2262,"2019-12-31","2")</f>
        <v>4454909613.6000004</v>
      </c>
      <c r="M2262">
        <f>[1]!EM_S_VAL_PETTMDEDUCTED(B2262,E2262)</f>
        <v>240.67935613216201</v>
      </c>
      <c r="N2262" s="7">
        <f>[1]!EM_S_VAL_PBGOODWILLDEDUCTED(B2262,E2262)</f>
        <v>1.4973223000414999</v>
      </c>
      <c r="O2262" s="7">
        <f>[1]!EM_S_VAL_PS_TTM(B2262,E2262)</f>
        <v>2.33590847329268</v>
      </c>
      <c r="P2262" s="7">
        <f>[1]!EM_S_VAL_PCF_NCFTTM(B2262,E2262)</f>
        <v>-62.189527863637402</v>
      </c>
      <c r="Q2262" s="7">
        <f>[1]!EM_S_VAL_DIVIDENDYIELD2(B2262,E2262,"2019-11-29")</f>
        <v>0.57887120115774249</v>
      </c>
      <c r="T2262"/>
      <c r="U2262">
        <f>[1]!EM_S_RATIO_EPS_TTM(B2262,E2262,"1")</f>
        <v>0.11213366012928348</v>
      </c>
      <c r="AT2262" s="4" t="str">
        <f>[1]!EM_S_IPO_LISTEDDATE(B2262)</f>
        <v>2011-02-01</v>
      </c>
    </row>
    <row r="2263" spans="1:46">
      <c r="A2263">
        <v>793</v>
      </c>
      <c r="B2263" t="str">
        <f>"002282"</f>
        <v>002282</v>
      </c>
      <c r="C2263" t="s">
        <v>2477</v>
      </c>
      <c r="D2263" t="str">
        <f>[1]!EM_S_INFO_INDEX_EM(B2263,"1")</f>
        <v>机械设备</v>
      </c>
      <c r="E2263" s="4">
        <f t="shared" si="35"/>
        <v>43465</v>
      </c>
      <c r="F2263" s="11">
        <f>[1]!EM_S_PQ_PCTCHANGE(B2263,"2018-01-01","2019-12-31","3")</f>
        <v>-39.730249829999998</v>
      </c>
      <c r="G2263" s="11">
        <f>[1]!EM_S_PQ_PCTCHANGE(B2263,"2018-12-31","2019-12-30","1")</f>
        <v>0.23923444999999999</v>
      </c>
      <c r="H2263" s="11">
        <f>[1]!EM_S_FA_YOY_OR(B2263,E2263)</f>
        <v>78.043987911599999</v>
      </c>
      <c r="I2263" s="11">
        <f>[1]!EM_S_FA_GROSSPROFITMARGIN(B2263,E2263)</f>
        <v>29.6550022881</v>
      </c>
      <c r="J2263" s="11">
        <f>[1]!EM_S_FA_NETPROFITMARGIN(B2263,E2263)</f>
        <v>8.1754276931999996</v>
      </c>
      <c r="K2263" s="10">
        <f>[1]!EM_S_FA_ASSETSTURN(B2263,E2263)</f>
        <v>0.421847704075</v>
      </c>
      <c r="L2263" s="12">
        <f>[1]!EM_HKS_VAL_MV(B2263,"2019-12-31","2")</f>
        <v>3668248722.1799998</v>
      </c>
      <c r="M2263">
        <f>[1]!EM_S_VAL_PETTMDEDUCTED(B2263,E2263)</f>
        <v>51.393756473238298</v>
      </c>
      <c r="N2263" s="7">
        <f>[1]!EM_S_VAL_PBGOODWILLDEDUCTED(B2263,E2263)</f>
        <v>2.76329775171408</v>
      </c>
      <c r="O2263" s="7">
        <f>[1]!EM_S_VAL_PS_TTM(B2263,E2263)</f>
        <v>3.5963818043541198</v>
      </c>
      <c r="P2263" s="7">
        <f>[1]!EM_S_VAL_PCF_NCFTTM(B2263,E2263)</f>
        <v>-87.054772710236804</v>
      </c>
      <c r="Q2263" s="7">
        <f>[1]!EM_S_VAL_DIVIDENDYIELD2(B2263,E2263,"2019-11-29")</f>
        <v>0.37688442211055279</v>
      </c>
      <c r="T2263"/>
      <c r="U2263">
        <f>[1]!EM_S_RATIO_EPS_TTM(B2263,E2263,"1")</f>
        <v>0.19685763380320906</v>
      </c>
      <c r="AT2263" s="4" t="str">
        <f>[1]!EM_S_IPO_LISTEDDATE(B2263)</f>
        <v>2009-08-21</v>
      </c>
    </row>
    <row r="2264" spans="1:46">
      <c r="A2264">
        <v>3533</v>
      </c>
      <c r="B2264" t="str">
        <f>"603778"</f>
        <v>603778</v>
      </c>
      <c r="C2264" t="s">
        <v>2886</v>
      </c>
      <c r="D2264" t="str">
        <f>[1]!EM_S_INFO_INDEX_EM(B2264,"1")</f>
        <v>建筑</v>
      </c>
      <c r="E2264" s="4">
        <f t="shared" si="35"/>
        <v>43465</v>
      </c>
      <c r="F2264" s="11">
        <f>[1]!EM_S_PQ_PCTCHANGE(B2264,"2018-01-01","2019-12-31","3")</f>
        <v>-38.35074402</v>
      </c>
      <c r="G2264" s="11">
        <f>[1]!EM_S_PQ_PCTCHANGE(B2264,"2018-12-31","2019-12-30","1")</f>
        <v>0.23696681999999999</v>
      </c>
      <c r="H2264" s="11">
        <f>[1]!EM_S_FA_YOY_OR(B2264,E2264)</f>
        <v>-35.793644973200003</v>
      </c>
      <c r="I2264" s="11">
        <f>[1]!EM_S_FA_GROSSPROFITMARGIN(B2264,E2264)</f>
        <v>23.206288324100001</v>
      </c>
      <c r="J2264" s="11">
        <f>[1]!EM_S_FA_NETPROFITMARGIN(B2264,E2264)</f>
        <v>-6.2252328432999997</v>
      </c>
      <c r="K2264" s="10">
        <f>[1]!EM_S_FA_ASSETSTURN(B2264,E2264)</f>
        <v>0.19518836922300001</v>
      </c>
      <c r="L2264" s="12">
        <f>[1]!EM_HKS_VAL_MV(B2264,"2019-12-31","2")</f>
        <v>2135000000</v>
      </c>
      <c r="M2264">
        <f>[1]!EM_S_VAL_PETTMDEDUCTED(B2264,E2264)</f>
        <v>29.030551408062799</v>
      </c>
      <c r="N2264" s="7">
        <f>[1]!EM_S_VAL_PBGOODWILLDEDUCTED(B2264,E2264)</f>
        <v>2.1029456783115399</v>
      </c>
      <c r="O2264" s="7">
        <f>[1]!EM_S_VAL_PS_TTM(B2264,E2264)</f>
        <v>4.5561533885640797</v>
      </c>
      <c r="P2264" s="7">
        <f>[1]!EM_S_VAL_PCF_NCFTTM(B2264,E2264)</f>
        <v>-7.2845184272446302</v>
      </c>
      <c r="Q2264" s="7">
        <f>[1]!EM_S_VAL_DIVIDENDYIELD2(B2264,E2264,"2019-11-29")</f>
        <v>0</v>
      </c>
      <c r="T2264"/>
      <c r="U2264">
        <f>[1]!EM_S_RATIO_EPS_TTM(B2264,E2264,"1")</f>
        <v>-1.2497659619999999E-2</v>
      </c>
      <c r="AT2264" s="4" t="str">
        <f>[1]!EM_S_IPO_LISTEDDATE(B2264)</f>
        <v>2015-12-31</v>
      </c>
    </row>
    <row r="2265" spans="1:46">
      <c r="A2265">
        <v>2901</v>
      </c>
      <c r="B2265" t="str">
        <f>"600828"</f>
        <v>600828</v>
      </c>
      <c r="C2265" t="s">
        <v>257</v>
      </c>
      <c r="D2265" t="str">
        <f>[1]!EM_S_INFO_INDEX_EM(B2265,"1")</f>
        <v>商贸零售</v>
      </c>
      <c r="E2265" s="4">
        <f t="shared" si="35"/>
        <v>43465</v>
      </c>
      <c r="F2265" s="11">
        <f>[1]!EM_S_PQ_PCTCHANGE(B2265,"2018-01-01","2019-12-31","3")</f>
        <v>-17.778273850000001</v>
      </c>
      <c r="G2265" s="11">
        <f>[1]!EM_S_PQ_PCTCHANGE(B2265,"2018-12-31","2019-12-30","1")</f>
        <v>0.21321962</v>
      </c>
      <c r="H2265" s="11">
        <f>[1]!EM_S_FA_YOY_OR(B2265,E2265)</f>
        <v>1.2787724051</v>
      </c>
      <c r="I2265" s="11">
        <f>[1]!EM_S_FA_GROSSPROFITMARGIN(B2265,E2265)</f>
        <v>29.262461652399999</v>
      </c>
      <c r="J2265" s="11">
        <f>[1]!EM_S_FA_NETPROFITMARGIN(B2265,E2265)</f>
        <v>9.9661868281999997</v>
      </c>
      <c r="K2265" s="10">
        <f>[1]!EM_S_FA_ASSETSTURN(B2265,E2265)</f>
        <v>0.70396771631499999</v>
      </c>
      <c r="L2265" s="12">
        <f>[1]!EM_HKS_VAL_MV(B2265,"2019-12-31","2")</f>
        <v>8140317966.1999998</v>
      </c>
      <c r="M2265">
        <f>[1]!EM_S_VAL_PETTMDEDUCTED(B2265,E2265)</f>
        <v>8.5957636132933004</v>
      </c>
      <c r="N2265" s="7">
        <f>[1]!EM_S_VAL_PBGOODWILLDEDUCTED(B2265,E2265)</f>
        <v>1.84978825530036</v>
      </c>
      <c r="O2265" s="7">
        <f>[1]!EM_S_VAL_PS_TTM(B2265,E2265)</f>
        <v>0.68780521694091401</v>
      </c>
      <c r="P2265" s="7">
        <f>[1]!EM_S_VAL_PCF_NCFTTM(B2265,E2265)</f>
        <v>9.7299910834596499</v>
      </c>
      <c r="Q2265" s="7">
        <f>[1]!EM_S_VAL_DIVIDENDYIELD2(B2265,E2265,"2019-11-29")</f>
        <v>2.2573363431151248</v>
      </c>
      <c r="T2265"/>
      <c r="U2265">
        <f>[1]!EM_S_RATIO_EPS_TTM(B2265,E2265,"1")</f>
        <v>0.69546941571199872</v>
      </c>
      <c r="AT2265" s="4" t="str">
        <f>[1]!EM_S_IPO_LISTEDDATE(B2265)</f>
        <v>1994-02-24</v>
      </c>
    </row>
    <row r="2266" spans="1:46">
      <c r="A2266">
        <v>105</v>
      </c>
      <c r="B2266" t="str">
        <f>"000426"</f>
        <v>000426</v>
      </c>
      <c r="C2266" t="s">
        <v>1234</v>
      </c>
      <c r="D2266" t="str">
        <f>[1]!EM_S_INFO_INDEX_EM(B2266,"1")</f>
        <v>有色金属</v>
      </c>
      <c r="E2266" s="4">
        <f t="shared" si="35"/>
        <v>43465</v>
      </c>
      <c r="F2266" s="11">
        <f>[1]!EM_S_PQ_PCTCHANGE(B2266,"2018-01-01","2019-12-31","3")</f>
        <v>-49.299849629999997</v>
      </c>
      <c r="G2266" s="11">
        <f>[1]!EM_S_PQ_PCTCHANGE(B2266,"2018-12-31","2019-12-30","1")</f>
        <v>0.20080321000000001</v>
      </c>
      <c r="H2266" s="11">
        <f>[1]!EM_S_FA_YOY_OR(B2266,E2266)</f>
        <v>15.513641912900001</v>
      </c>
      <c r="I2266" s="11">
        <f>[1]!EM_S_FA_GROSSPROFITMARGIN(B2266,E2266)</f>
        <v>62.0898534536</v>
      </c>
      <c r="J2266" s="11">
        <f>[1]!EM_S_FA_NETPROFITMARGIN(B2266,E2266)</f>
        <v>-6.9963296443000003</v>
      </c>
      <c r="K2266" s="10">
        <f>[1]!EM_S_FA_ASSETSTURN(B2266,E2266)</f>
        <v>0.26707026873400003</v>
      </c>
      <c r="L2266" s="12">
        <f>[1]!EM_HKS_VAL_MV(B2266,"2019-12-31","2")</f>
        <v>9130845328.4300003</v>
      </c>
      <c r="M2266">
        <f>[1]!EM_S_VAL_PETTMDEDUCTED(B2266,E2266)</f>
        <v>12.624116674898699</v>
      </c>
      <c r="N2266" s="7">
        <f>[1]!EM_S_VAL_PBGOODWILLDEDUCTED(B2266,E2266)</f>
        <v>1.89324070622792</v>
      </c>
      <c r="O2266" s="7">
        <f>[1]!EM_S_VAL_PS_TTM(B2266,E2266)</f>
        <v>3.7991074566579202</v>
      </c>
      <c r="P2266" s="7">
        <f>[1]!EM_S_VAL_PCF_NCFTTM(B2266,E2266)</f>
        <v>-79.174198164211404</v>
      </c>
      <c r="Q2266" s="7">
        <f>[1]!EM_S_VAL_DIVIDENDYIELD2(B2266,E2266,"2019-11-29")</f>
        <v>0</v>
      </c>
      <c r="T2266"/>
      <c r="U2266">
        <f>[1]!EM_S_RATIO_EPS_TTM(B2266,E2266,"1")</f>
        <v>-9.1321969362409994E-2</v>
      </c>
      <c r="AT2266" s="4" t="str">
        <f>[1]!EM_S_IPO_LISTEDDATE(B2266)</f>
        <v>1996-08-28</v>
      </c>
    </row>
    <row r="2267" spans="1:46">
      <c r="A2267">
        <v>2887</v>
      </c>
      <c r="B2267" t="str">
        <f>"600814"</f>
        <v>600814</v>
      </c>
      <c r="C2267" t="s">
        <v>987</v>
      </c>
      <c r="D2267" t="str">
        <f>[1]!EM_S_INFO_INDEX_EM(B2267,"1")</f>
        <v>商贸零售</v>
      </c>
      <c r="E2267" s="4">
        <f t="shared" si="35"/>
        <v>43465</v>
      </c>
      <c r="F2267" s="11">
        <f>[1]!EM_S_PQ_PCTCHANGE(B2267,"2018-01-01","2019-12-31","3")</f>
        <v>-42.012332290000003</v>
      </c>
      <c r="G2267" s="11">
        <f>[1]!EM_S_PQ_PCTCHANGE(B2267,"2018-12-31","2019-12-30","1")</f>
        <v>0.19685038999999999</v>
      </c>
      <c r="H2267" s="11">
        <f>[1]!EM_S_FA_YOY_OR(B2267,E2267)</f>
        <v>2.2271288708000001</v>
      </c>
      <c r="I2267" s="11">
        <f>[1]!EM_S_FA_GROSSPROFITMARGIN(B2267,E2267)</f>
        <v>21.5192861566</v>
      </c>
      <c r="J2267" s="11">
        <f>[1]!EM_S_FA_NETPROFITMARGIN(B2267,E2267)</f>
        <v>5.1710428388</v>
      </c>
      <c r="K2267" s="10">
        <f>[1]!EM_S_FA_ASSETSTURN(B2267,E2267)</f>
        <v>1.1080885161409999</v>
      </c>
      <c r="L2267" s="12">
        <f>[1]!EM_HKS_VAL_MV(B2267,"2019-12-31","2")</f>
        <v>3639486198.2199998</v>
      </c>
      <c r="M2267">
        <f>[1]!EM_S_VAL_PETTMDEDUCTED(B2267,E2267)</f>
        <v>23.659722315611099</v>
      </c>
      <c r="N2267" s="7">
        <f>[1]!EM_S_VAL_PBGOODWILLDEDUCTED(B2267,E2267)</f>
        <v>1.5254324655253</v>
      </c>
      <c r="O2267" s="7">
        <f>[1]!EM_S_VAL_PS_TTM(B2267,E2267)</f>
        <v>0.61205511152162795</v>
      </c>
      <c r="P2267" s="7">
        <f>[1]!EM_S_VAL_PCF_NCFTTM(B2267,E2267)</f>
        <v>-171.912995501941</v>
      </c>
      <c r="Q2267" s="7">
        <f>[1]!EM_S_VAL_DIVIDENDYIELD2(B2267,E2267,"2019-11-29")</f>
        <v>1.3265306122448981</v>
      </c>
      <c r="T2267"/>
      <c r="U2267">
        <f>[1]!EM_S_RATIO_EPS_TTM(B2267,E2267,"1")</f>
        <v>0.20849557335027735</v>
      </c>
      <c r="AT2267" s="4" t="str">
        <f>[1]!EM_S_IPO_LISTEDDATE(B2267)</f>
        <v>1994-01-14</v>
      </c>
    </row>
    <row r="2268" spans="1:46">
      <c r="A2268">
        <v>2260</v>
      </c>
      <c r="B2268" t="str">
        <f>"600113"</f>
        <v>600113</v>
      </c>
      <c r="C2268" t="s">
        <v>1015</v>
      </c>
      <c r="D2268" t="str">
        <f>[1]!EM_S_INFO_INDEX_EM(B2268,"1")</f>
        <v>商贸零售</v>
      </c>
      <c r="E2268" s="4">
        <f t="shared" si="35"/>
        <v>43465</v>
      </c>
      <c r="F2268" s="11">
        <f>[1]!EM_S_PQ_PCTCHANGE(B2268,"2018-01-01","2019-12-31","3")</f>
        <v>-20.980923829999998</v>
      </c>
      <c r="G2268" s="11">
        <f>[1]!EM_S_PQ_PCTCHANGE(B2268,"2018-12-31","2019-12-30","1")</f>
        <v>0.14025245</v>
      </c>
      <c r="H2268" s="11">
        <f>[1]!EM_S_FA_YOY_OR(B2268,E2268)</f>
        <v>19.373177127400002</v>
      </c>
      <c r="I2268" s="11">
        <f>[1]!EM_S_FA_GROSSPROFITMARGIN(B2268,E2268)</f>
        <v>46.826775482800002</v>
      </c>
      <c r="J2268" s="11">
        <f>[1]!EM_S_FA_NETPROFITMARGIN(B2268,E2268)</f>
        <v>25.119290432100001</v>
      </c>
      <c r="K2268" s="10">
        <f>[1]!EM_S_FA_ASSETSTURN(B2268,E2268)</f>
        <v>0.40523855059899999</v>
      </c>
      <c r="L2268" s="12">
        <f>[1]!EM_HKS_VAL_MV(B2268,"2019-12-31","2")</f>
        <v>2949961417.1999998</v>
      </c>
      <c r="M2268">
        <f>[1]!EM_S_VAL_PETTMDEDUCTED(B2268,E2268)</f>
        <v>22.841419666203901</v>
      </c>
      <c r="N2268" s="7">
        <f>[1]!EM_S_VAL_PBGOODWILLDEDUCTED(B2268,E2268)</f>
        <v>3.07783414709106</v>
      </c>
      <c r="O2268" s="7">
        <f>[1]!EM_S_VAL_PS_TTM(B2268,E2268)</f>
        <v>5.5992629734450299</v>
      </c>
      <c r="P2268" s="7">
        <f>[1]!EM_S_VAL_PCF_NCFTTM(B2268,E2268)</f>
        <v>18.120170285501899</v>
      </c>
      <c r="Q2268" s="7">
        <f>[1]!EM_S_VAL_DIVIDENDYIELD2(B2268,E2268,"2019-11-29")</f>
        <v>0.59435364041604755</v>
      </c>
      <c r="T2268"/>
      <c r="U2268">
        <f>[1]!EM_S_RATIO_EPS_TTM(B2268,E2268,"1")</f>
        <v>0.32852397567482738</v>
      </c>
      <c r="AT2268" s="4" t="str">
        <f>[1]!EM_S_IPO_LISTEDDATE(B2268)</f>
        <v>1997-10-21</v>
      </c>
    </row>
    <row r="2269" spans="1:46">
      <c r="A2269">
        <v>2285</v>
      </c>
      <c r="B2269" t="str">
        <f>"600141"</f>
        <v>600141</v>
      </c>
      <c r="C2269" t="s">
        <v>2380</v>
      </c>
      <c r="D2269" t="str">
        <f>[1]!EM_S_INFO_INDEX_EM(B2269,"1")</f>
        <v>基础化工</v>
      </c>
      <c r="E2269" s="4">
        <f t="shared" si="35"/>
        <v>43465</v>
      </c>
      <c r="F2269" s="11">
        <f>[1]!EM_S_PQ_PCTCHANGE(B2269,"2018-01-01","2019-12-31","3")</f>
        <v>-24.5516437</v>
      </c>
      <c r="G2269" s="11">
        <f>[1]!EM_S_PQ_PCTCHANGE(B2269,"2018-12-31","2019-12-30","1")</f>
        <v>9.7181729999999994E-2</v>
      </c>
      <c r="H2269" s="11">
        <f>[1]!EM_S_FA_YOY_OR(B2269,E2269)</f>
        <v>13.2916158801</v>
      </c>
      <c r="I2269" s="11">
        <f>[1]!EM_S_FA_GROSSPROFITMARGIN(B2269,E2269)</f>
        <v>17.913850836999998</v>
      </c>
      <c r="J2269" s="11">
        <f>[1]!EM_S_FA_NETPROFITMARGIN(B2269,E2269)</f>
        <v>4.4514509531000002</v>
      </c>
      <c r="K2269" s="10">
        <f>[1]!EM_S_FA_ASSETSTURN(B2269,E2269)</f>
        <v>0.75335431146099996</v>
      </c>
      <c r="L2269" s="12">
        <f>[1]!EM_HKS_VAL_MV(B2269,"2019-12-31","2")</f>
        <v>10570231775.639999</v>
      </c>
      <c r="M2269">
        <f>[1]!EM_S_VAL_PETTMDEDUCTED(B2269,E2269)</f>
        <v>10.2831048113368</v>
      </c>
      <c r="N2269" s="7">
        <f>[1]!EM_S_VAL_PBGOODWILLDEDUCTED(B2269,E2269)</f>
        <v>1.34524457249971</v>
      </c>
      <c r="O2269" s="7">
        <f>[1]!EM_S_VAL_PS_TTM(B2269,E2269)</f>
        <v>0.41222581674166198</v>
      </c>
      <c r="P2269" s="7">
        <f>[1]!EM_S_VAL_PCF_NCFTTM(B2269,E2269)</f>
        <v>15.3398335512977</v>
      </c>
      <c r="Q2269" s="7">
        <f>[1]!EM_S_VAL_DIVIDENDYIELD2(B2269,E2269,"2019-11-29")</f>
        <v>1.6157489537433516</v>
      </c>
      <c r="T2269"/>
      <c r="U2269">
        <f>[1]!EM_S_RATIO_EPS_TTM(B2269,E2269,"1")</f>
        <v>0.55317835094244261</v>
      </c>
      <c r="AT2269" s="4" t="str">
        <f>[1]!EM_S_IPO_LISTEDDATE(B2269)</f>
        <v>1999-06-16</v>
      </c>
    </row>
    <row r="2270" spans="1:46">
      <c r="A2270">
        <v>44</v>
      </c>
      <c r="B2270" t="str">
        <f>"000046"</f>
        <v>000046</v>
      </c>
      <c r="C2270" t="s">
        <v>140</v>
      </c>
      <c r="D2270" t="str">
        <f>[1]!EM_S_INFO_INDEX_EM(B2270,"1")</f>
        <v>房地产</v>
      </c>
      <c r="E2270" s="4">
        <f t="shared" si="35"/>
        <v>43465</v>
      </c>
      <c r="F2270" s="11">
        <f>[1]!EM_S_PQ_PCTCHANGE(B2270,"2018-01-01","2019-12-31","3")</f>
        <v>-35.797612800000003</v>
      </c>
      <c r="G2270" s="11">
        <f>[1]!EM_S_PQ_PCTCHANGE(B2270,"2019-01-01","2019-12-31","3")</f>
        <v>3.3931500000000002E-3</v>
      </c>
      <c r="H2270" s="11">
        <f>[1]!EM_S_FA_YOY_OR(B2270,E2270)</f>
        <v>-40.281154030499998</v>
      </c>
      <c r="I2270" s="11">
        <f>[1]!EM_S_FA_GROSSPROFITMARGIN(B2270,E2270)</f>
        <v>50.430304342900001</v>
      </c>
      <c r="J2270" s="11">
        <f>[1]!EM_S_FA_NETPROFITMARGIN(B2270,E2270)</f>
        <v>20.631814747699998</v>
      </c>
      <c r="K2270" s="10">
        <f>[1]!EM_S_FA_ASSETSTURN(B2270,E2270)</f>
        <v>6.2040273990999997E-2</v>
      </c>
      <c r="L2270" s="12">
        <f>[1]!EM_HKS_VAL_MV(B2270,"2019-12-31","2")</f>
        <v>23642712984.799999</v>
      </c>
      <c r="M2270">
        <f>[1]!EM_S_VAL_PETTMDEDUCTED(B2270,E2270)</f>
        <v>12.0188813361586</v>
      </c>
      <c r="N2270" s="7">
        <f>[1]!EM_S_VAL_PBGOODWILLDEDUCTED(B2270,E2270)</f>
        <v>1.41337780864637</v>
      </c>
      <c r="O2270" s="7">
        <f>[1]!EM_S_VAL_PS_TTM(B2270,E2270)</f>
        <v>1.51291083929907</v>
      </c>
      <c r="P2270" s="7">
        <f>[1]!EM_S_VAL_PCF_NCFTTM(B2270,E2270)</f>
        <v>-7.1944001780882001</v>
      </c>
      <c r="Q2270" s="7">
        <f>[1]!EM_S_VAL_DIVIDENDYIELD2(B2270,E2270,"2019-11-29")</f>
        <v>3.5460992907801412</v>
      </c>
      <c r="T2270"/>
      <c r="U2270">
        <f>[1]!EM_S_RATIO_EPS_TTM(B2270,E2270,"1")</f>
        <v>0.17913844439112822</v>
      </c>
      <c r="AT2270" s="4" t="str">
        <f>[1]!EM_S_IPO_LISTEDDATE(B2270)</f>
        <v>1994-09-12</v>
      </c>
    </row>
    <row r="2271" spans="1:46">
      <c r="A2271">
        <v>3</v>
      </c>
      <c r="B2271" t="str">
        <f>"000003"</f>
        <v>000003</v>
      </c>
      <c r="C2271" t="s">
        <v>3198</v>
      </c>
      <c r="D2271">
        <f>[1]!EM_S_INFO_INDEX_EM(B2271,"1")</f>
        <v>0</v>
      </c>
      <c r="E2271" s="4">
        <f t="shared" si="35"/>
        <v>43465</v>
      </c>
      <c r="F2271" s="11">
        <f>[1]!EM_S_PQ_PCTCHANGE(B2271,"2018-01-01","2019-12-31","3")</f>
        <v>0</v>
      </c>
      <c r="G2271" s="11">
        <f>[1]!EM_S_PQ_PCTCHANGE(B2271,"2019-01-01","2019-12-31","3")</f>
        <v>0</v>
      </c>
      <c r="H2271" s="11">
        <f>[1]!EM_S_FA_YOY_OR(B2271,E2271)</f>
        <v>-62.626215421300003</v>
      </c>
      <c r="I2271" s="11">
        <f>[1]!EM_S_FA_GROSSPROFITMARGIN(B2271,E2271)</f>
        <v>41.803887297999999</v>
      </c>
      <c r="J2271" s="11">
        <f>[1]!EM_S_FA_NETPROFITMARGIN(B2271,E2271)</f>
        <v>14.724133459200001</v>
      </c>
      <c r="K2271" s="10">
        <f>[1]!EM_S_FA_ASSETSTURN(B2271,E2271)</f>
        <v>0.33834935051600001</v>
      </c>
      <c r="L2271" s="12">
        <f>[1]!EM_HKS_VAL_MV(B2271,"2019-12-31","2")</f>
        <v>1084325975.0599999</v>
      </c>
      <c r="M2271">
        <f>[1]!EM_S_VAL_PETTMDEDUCTED(B2271,E2271)</f>
        <v>-278.93240930128201</v>
      </c>
      <c r="N2271" s="7">
        <f>[1]!EM_S_VAL_PBGOODWILLDEDUCTED(B2271,E2271)</f>
        <v>11.2368475790235</v>
      </c>
      <c r="O2271" s="7">
        <f>[1]!EM_S_VAL_PS_TTM(B2271,E2271)</f>
        <v>14.991566465911999</v>
      </c>
      <c r="P2271" s="7">
        <f>[1]!EM_S_VAL_PCF_NCFTTM(B2271,E2271)</f>
        <v>-50.793922516376398</v>
      </c>
      <c r="Q2271" s="7">
        <f>[1]!EM_S_VAL_DIVIDENDYIELD2(B2271,E2271,"2019-11-29")</f>
        <v>0</v>
      </c>
      <c r="R2271" s="5">
        <f>[1]!EM_S_SHARE_TOTAL(B2271,E2271)</f>
        <v>333433584</v>
      </c>
      <c r="S2271">
        <f>[1]!EM_S_SHARE_LIQA(B2271,E2271)</f>
        <v>191862481</v>
      </c>
      <c r="T2271"/>
      <c r="U2271">
        <f>[1]!EM_S_RATIO_EPS_TTM(B2271,E2271,"1")</f>
        <v>1.3040224466411279E-2</v>
      </c>
      <c r="V2271">
        <f>[1]!EM_S_FA_BPS(B2271,E2271)</f>
        <v>0.20100000000000001</v>
      </c>
      <c r="AT2271" s="4" t="str">
        <f>[1]!EM_S_IPO_LISTEDDATE(B2271)</f>
        <v>1991-07-03</v>
      </c>
    </row>
    <row r="2272" spans="1:46">
      <c r="A2272">
        <v>13</v>
      </c>
      <c r="B2272" t="str">
        <f>"000013"</f>
        <v>000013</v>
      </c>
      <c r="C2272" t="s">
        <v>3197</v>
      </c>
      <c r="D2272">
        <f>[1]!EM_S_INFO_INDEX_EM(B2272,"1")</f>
        <v>0</v>
      </c>
      <c r="E2272" s="4">
        <f t="shared" si="35"/>
        <v>43465</v>
      </c>
      <c r="F2272" s="11">
        <f>[1]!EM_S_PQ_PCTCHANGE(B2272,"2018-01-01","2019-12-31","3")</f>
        <v>0</v>
      </c>
      <c r="G2272" s="11">
        <f>[1]!EM_S_PQ_PCTCHANGE(B2272,"2019-01-01","2019-12-31","3")</f>
        <v>0</v>
      </c>
      <c r="H2272" s="11">
        <f>[1]!EM_S_FA_YOY_OR(B2272,E2272)</f>
        <v>0</v>
      </c>
      <c r="I2272" s="11">
        <f>[1]!EM_S_FA_GROSSPROFITMARGIN(B2272,E2272)</f>
        <v>0</v>
      </c>
      <c r="J2272" s="11">
        <f>[1]!EM_S_FA_NETPROFITMARGIN(B2272,E2272)</f>
        <v>0</v>
      </c>
      <c r="K2272" s="10">
        <f>[1]!EM_S_FA_ASSETSTURN(B2272,E2272)</f>
        <v>0</v>
      </c>
      <c r="L2272" s="12">
        <f>[1]!EM_HKS_VAL_MV(B2272,"2019-12-31","2")</f>
        <v>749286798.13</v>
      </c>
      <c r="M2272">
        <f>[1]!EM_S_VAL_PETTMDEDUCTED(B2272,E2272)</f>
        <v>-9.2899417400478406</v>
      </c>
      <c r="N2272" s="7">
        <f>[1]!EM_S_VAL_PBGOODWILLDEDUCTED(B2272,E2272)</f>
        <v>-0.22692883893665999</v>
      </c>
      <c r="O2272" s="7">
        <f>[1]!EM_S_VAL_PS_TTM(B2272,E2272)</f>
        <v>0</v>
      </c>
      <c r="P2272" s="7">
        <f>[1]!EM_S_VAL_PCF_NCFTTM(B2272,E2272)</f>
        <v>-12270.2167481175</v>
      </c>
      <c r="Q2272" s="7">
        <f>[1]!EM_S_VAL_DIVIDENDYIELD2(B2272,E2272,"2019-11-29")</f>
        <v>0</v>
      </c>
      <c r="T2272"/>
      <c r="U2272">
        <f>[1]!EM_S_RATIO_EPS_TTM(B2272,E2272,"1")</f>
        <v>-0.26587895480034301</v>
      </c>
      <c r="AT2272" s="4" t="str">
        <f>[1]!EM_S_IPO_LISTEDDATE(B2272)</f>
        <v>1992-05-06</v>
      </c>
    </row>
    <row r="2273" spans="1:46">
      <c r="A2273">
        <v>15</v>
      </c>
      <c r="B2273" t="str">
        <f>"000015"</f>
        <v>000015</v>
      </c>
      <c r="C2273" t="s">
        <v>3196</v>
      </c>
      <c r="D2273">
        <f>[1]!EM_S_INFO_INDEX_EM(B2273,"1")</f>
        <v>0</v>
      </c>
      <c r="E2273" s="4">
        <f t="shared" si="35"/>
        <v>43465</v>
      </c>
      <c r="F2273" s="11">
        <f>[1]!EM_S_PQ_PCTCHANGE(B2273,"2018-01-01","2019-12-31","3")</f>
        <v>0</v>
      </c>
      <c r="G2273" s="11">
        <f>[1]!EM_S_PQ_PCTCHANGE(B2273,"2019-01-01","2019-12-31","3")</f>
        <v>0</v>
      </c>
      <c r="H2273" s="11">
        <f>[1]!EM_S_FA_YOY_OR(B2273,E2273)</f>
        <v>0</v>
      </c>
      <c r="I2273" s="11">
        <f>[1]!EM_S_FA_GROSSPROFITMARGIN(B2273,E2273)</f>
        <v>0</v>
      </c>
      <c r="J2273" s="11">
        <f>[1]!EM_S_FA_NETPROFITMARGIN(B2273,E2273)</f>
        <v>0</v>
      </c>
      <c r="K2273" s="10">
        <f>[1]!EM_S_FA_ASSETSTURN(B2273,E2273)</f>
        <v>0</v>
      </c>
      <c r="L2273" s="12">
        <f>[1]!EM_HKS_VAL_MV(B2273,"2019-12-31","2")</f>
        <v>10951513308.950001</v>
      </c>
      <c r="M2273">
        <f>[1]!EM_S_VAL_PETTMDEDUCTED(B2273,E2273)</f>
        <v>508.12160368747601</v>
      </c>
      <c r="N2273" s="7">
        <f>[1]!EM_S_VAL_PBGOODWILLDEDUCTED(B2273,E2273)</f>
        <v>5.0421356112700204</v>
      </c>
      <c r="O2273" s="7">
        <f>[1]!EM_S_VAL_PS_TTM(B2273,E2273)</f>
        <v>16.104441454915001</v>
      </c>
      <c r="P2273" s="7">
        <f>[1]!EM_S_VAL_PCF_NCFTTM(B2273,E2273)</f>
        <v>-203467.93944349099</v>
      </c>
      <c r="Q2273" s="7">
        <f>[1]!EM_S_VAL_DIVIDENDYIELD2(B2273,E2273,"2019-11-29")</f>
        <v>0</v>
      </c>
      <c r="T2273"/>
      <c r="U2273">
        <f>[1]!EM_S_RATIO_EPS_TTM(B2273,E2273,"1")</f>
        <v>1.3187103898871714E-2</v>
      </c>
      <c r="AT2273" s="4" t="str">
        <f>[1]!EM_S_IPO_LISTEDDATE(B2273)</f>
        <v>1992-06-25</v>
      </c>
    </row>
    <row r="2274" spans="1:46">
      <c r="A2274">
        <v>24</v>
      </c>
      <c r="B2274" t="str">
        <f>"000024"</f>
        <v>000024</v>
      </c>
      <c r="C2274" t="s">
        <v>3195</v>
      </c>
      <c r="D2274">
        <f>[1]!EM_S_INFO_INDEX_EM(B2274,"1")</f>
        <v>0</v>
      </c>
      <c r="E2274" s="4">
        <f t="shared" si="35"/>
        <v>43465</v>
      </c>
      <c r="F2274" s="11">
        <f>[1]!EM_S_PQ_PCTCHANGE(B2274,"2018-01-01","2019-12-31","3")</f>
        <v>0</v>
      </c>
      <c r="G2274" s="11">
        <f>[1]!EM_S_PQ_PCTCHANGE(B2274,"2019-01-01","2019-12-31","3")</f>
        <v>0</v>
      </c>
      <c r="H2274" s="11">
        <f>[1]!EM_S_FA_YOY_OR(B2274,E2274)</f>
        <v>0</v>
      </c>
      <c r="I2274" s="11">
        <f>[1]!EM_S_FA_GROSSPROFITMARGIN(B2274,E2274)</f>
        <v>0</v>
      </c>
      <c r="J2274" s="11">
        <f>[1]!EM_S_FA_NETPROFITMARGIN(B2274,E2274)</f>
        <v>0</v>
      </c>
      <c r="K2274" s="10">
        <f>[1]!EM_S_FA_ASSETSTURN(B2274,E2274)</f>
        <v>0</v>
      </c>
      <c r="L2274" s="12">
        <f>[1]!EM_HKS_VAL_MV(B2274,"2019-12-31","2")</f>
        <v>104326005537</v>
      </c>
      <c r="M2274">
        <f>[1]!EM_S_VAL_PETTMDEDUCTED(B2274,E2274)</f>
        <v>26.038622764058001</v>
      </c>
      <c r="N2274" s="7">
        <f>[1]!EM_S_VAL_PBGOODWILLDEDUCTED(B2274,E2274)</f>
        <v>3.1892551824293101</v>
      </c>
      <c r="O2274" s="7">
        <f>[1]!EM_S_VAL_PS_TTM(B2274,E2274)</f>
        <v>2.3962093223638901</v>
      </c>
      <c r="P2274" s="7">
        <f>[1]!EM_S_VAL_PCF_NCFTTM(B2274,E2274)</f>
        <v>24.282654956629599</v>
      </c>
      <c r="Q2274" s="7">
        <f>[1]!EM_S_VAL_DIVIDENDYIELD2(B2274,E2274,"2019-11-29")</f>
        <v>0</v>
      </c>
      <c r="T2274"/>
      <c r="U2274">
        <f>[1]!EM_S_RATIO_EPS_TTM(B2274,E2274,"1")</f>
        <v>1.6467610822268073</v>
      </c>
      <c r="AT2274" s="4" t="str">
        <f>[1]!EM_S_IPO_LISTEDDATE(B2274)</f>
        <v>1993-06-07</v>
      </c>
    </row>
    <row r="2275" spans="1:46">
      <c r="A2275">
        <v>33</v>
      </c>
      <c r="B2275" t="str">
        <f>"000033"</f>
        <v>000033</v>
      </c>
      <c r="C2275" t="s">
        <v>3194</v>
      </c>
      <c r="D2275">
        <f>[1]!EM_S_INFO_INDEX_EM(B2275,"1")</f>
        <v>0</v>
      </c>
      <c r="E2275" s="4">
        <f t="shared" si="35"/>
        <v>43465</v>
      </c>
      <c r="F2275" s="11">
        <f>[1]!EM_S_PQ_PCTCHANGE(B2275,"2018-01-01","2019-12-31","3")</f>
        <v>0</v>
      </c>
      <c r="G2275" s="11">
        <f>[1]!EM_S_PQ_PCTCHANGE(B2275,"2019-01-01","2019-12-31","3")</f>
        <v>0</v>
      </c>
      <c r="H2275" s="11">
        <f>[1]!EM_S_FA_YOY_OR(B2275,E2275)</f>
        <v>0</v>
      </c>
      <c r="I2275" s="11">
        <f>[1]!EM_S_FA_GROSSPROFITMARGIN(B2275,E2275)</f>
        <v>0</v>
      </c>
      <c r="J2275" s="11">
        <f>[1]!EM_S_FA_NETPROFITMARGIN(B2275,E2275)</f>
        <v>0</v>
      </c>
      <c r="K2275" s="10">
        <f>[1]!EM_S_FA_ASSETSTURN(B2275,E2275)</f>
        <v>0</v>
      </c>
      <c r="L2275" s="12">
        <f>[1]!EM_HKS_VAL_MV(B2275,"2019-12-31","2")</f>
        <v>730524059.5</v>
      </c>
      <c r="M2275">
        <f>[1]!EM_S_VAL_PETTMDEDUCTED(B2275,E2275)</f>
        <v>-71.764480960686001</v>
      </c>
      <c r="N2275" s="7">
        <f>[1]!EM_S_VAL_PBGOODWILLDEDUCTED(B2275,E2275)</f>
        <v>48.663266266889401</v>
      </c>
      <c r="O2275" s="7">
        <f>[1]!EM_S_VAL_PS_TTM(B2275,E2275)</f>
        <v>8.4991529961426409</v>
      </c>
      <c r="P2275" s="7">
        <f>[1]!EM_S_VAL_PCF_NCFTTM(B2275,E2275)</f>
        <v>-119.987628442855</v>
      </c>
      <c r="Q2275" s="7">
        <f>[1]!EM_S_VAL_DIVIDENDYIELD2(B2275,E2275,"2019-11-29")</f>
        <v>0</v>
      </c>
      <c r="T2275"/>
      <c r="U2275">
        <f>[1]!EM_S_RATIO_EPS_TTM(B2275,E2275,"1")</f>
        <v>-1.6185937851373396E-2</v>
      </c>
      <c r="AT2275" s="4" t="str">
        <f>[1]!EM_S_IPO_LISTEDDATE(B2275)</f>
        <v>1994-01-03</v>
      </c>
    </row>
    <row r="2276" spans="1:46">
      <c r="A2276">
        <v>45</v>
      </c>
      <c r="B2276" t="str">
        <f>"000047"</f>
        <v>000047</v>
      </c>
      <c r="C2276" t="s">
        <v>3193</v>
      </c>
      <c r="D2276">
        <f>[1]!EM_S_INFO_INDEX_EM(B2276,"1")</f>
        <v>0</v>
      </c>
      <c r="E2276" s="4">
        <f t="shared" si="35"/>
        <v>43465</v>
      </c>
      <c r="F2276" s="11">
        <f>[1]!EM_S_PQ_PCTCHANGE(B2276,"2018-01-01","2019-12-31","3")</f>
        <v>0</v>
      </c>
      <c r="G2276" s="11">
        <f>[1]!EM_S_PQ_PCTCHANGE(B2276,"2019-01-01","2019-12-31","3")</f>
        <v>0</v>
      </c>
      <c r="H2276" s="11">
        <f>[1]!EM_S_FA_YOY_OR(B2276,E2276)</f>
        <v>0</v>
      </c>
      <c r="I2276" s="11">
        <f>[1]!EM_S_FA_GROSSPROFITMARGIN(B2276,E2276)</f>
        <v>0</v>
      </c>
      <c r="J2276" s="11">
        <f>[1]!EM_S_FA_NETPROFITMARGIN(B2276,E2276)</f>
        <v>0</v>
      </c>
      <c r="K2276" s="10">
        <f>[1]!EM_S_FA_ASSETSTURN(B2276,E2276)</f>
        <v>0</v>
      </c>
      <c r="L2276" s="12">
        <f>[1]!EM_HKS_VAL_MV(B2276,"2019-12-31","2")</f>
        <v>1482797982.49</v>
      </c>
      <c r="M2276">
        <f>[1]!EM_S_VAL_PETTMDEDUCTED(B2276,E2276)</f>
        <v>-286.25474402825802</v>
      </c>
      <c r="N2276" s="7">
        <f>[1]!EM_S_VAL_PBGOODWILLDEDUCTED(B2276,E2276)</f>
        <v>-1.9515633028702699</v>
      </c>
      <c r="O2276" s="7">
        <f>[1]!EM_S_VAL_PS_TTM(B2276,E2276)</f>
        <v>0</v>
      </c>
      <c r="P2276" s="7">
        <f>[1]!EM_S_VAL_PCF_NCFTTM(B2276,E2276)</f>
        <v>56401.768529155102</v>
      </c>
      <c r="Q2276" s="7">
        <f>[1]!EM_S_VAL_DIVIDENDYIELD2(B2276,E2276,"2019-11-29")</f>
        <v>0</v>
      </c>
      <c r="T2276"/>
      <c r="U2276">
        <f>[1]!EM_S_RATIO_EPS_TTM(B2276,E2276,"1")</f>
        <v>-2.8153489835545779E-2</v>
      </c>
      <c r="AT2276" s="4" t="str">
        <f>[1]!EM_S_IPO_LISTEDDATE(B2276)</f>
        <v>1994-10-21</v>
      </c>
    </row>
    <row r="2277" spans="1:46">
      <c r="A2277">
        <v>166</v>
      </c>
      <c r="B2277" t="str">
        <f>"000557"</f>
        <v>000557</v>
      </c>
      <c r="C2277" t="s">
        <v>2655</v>
      </c>
      <c r="D2277" t="str">
        <f>[1]!EM_S_INFO_INDEX_EM(B2277,"1")</f>
        <v>交通运输</v>
      </c>
      <c r="E2277" s="4">
        <f t="shared" si="35"/>
        <v>43465</v>
      </c>
      <c r="F2277" s="11">
        <f>[1]!EM_S_PQ_PCTCHANGE(B2277,"2018-01-01","2019-12-31","3")</f>
        <v>-27.82426778</v>
      </c>
      <c r="G2277" s="11">
        <f>[1]!EM_S_PQ_PCTCHANGE(B2277,"2018-12-31","2019-12-30","1")</f>
        <v>0</v>
      </c>
      <c r="H2277" s="11">
        <f>[1]!EM_S_FA_YOY_OR(B2277,E2277)</f>
        <v>15.356415955199999</v>
      </c>
      <c r="I2277" s="11">
        <f>[1]!EM_S_FA_GROSSPROFITMARGIN(B2277,E2277)</f>
        <v>34.678579444699999</v>
      </c>
      <c r="J2277" s="11">
        <f>[1]!EM_S_FA_NETPROFITMARGIN(B2277,E2277)</f>
        <v>19.365822600200001</v>
      </c>
      <c r="K2277" s="10">
        <f>[1]!EM_S_FA_ASSETSTURN(B2277,E2277)</f>
        <v>0.14068835414399999</v>
      </c>
      <c r="L2277" s="12">
        <f>[1]!EM_HKS_VAL_MV(B2277,"2019-12-31","2")</f>
        <v>5031392835.75</v>
      </c>
      <c r="M2277">
        <f>[1]!EM_S_VAL_PETTMDEDUCTED(B2277,E2277)</f>
        <v>46.7990177321768</v>
      </c>
      <c r="N2277" s="7">
        <f>[1]!EM_S_VAL_PBGOODWILLDEDUCTED(B2277,E2277)</f>
        <v>1.0148844167272899</v>
      </c>
      <c r="O2277" s="7">
        <f>[1]!EM_S_VAL_PS_TTM(B2277,E2277)</f>
        <v>6.7870465480495703</v>
      </c>
      <c r="P2277" s="7">
        <f>[1]!EM_S_VAL_PCF_NCFTTM(B2277,E2277)</f>
        <v>418.49280967580501</v>
      </c>
      <c r="Q2277" s="7">
        <f>[1]!EM_S_VAL_DIVIDENDYIELD2(B2277,E2277,"2019-11-29")</f>
        <v>0</v>
      </c>
      <c r="T2277"/>
      <c r="U2277">
        <f>[1]!EM_S_RATIO_EPS_TTM(B2277,E2277,"1")</f>
        <v>0.10104580322423098</v>
      </c>
      <c r="AT2277" s="4" t="str">
        <f>[1]!EM_S_IPO_LISTEDDATE(B2277)</f>
        <v>1994-06-17</v>
      </c>
    </row>
    <row r="2278" spans="1:46">
      <c r="A2278">
        <v>310</v>
      </c>
      <c r="B2278" t="str">
        <f>"000730"</f>
        <v>000730</v>
      </c>
      <c r="C2278" t="s">
        <v>3166</v>
      </c>
      <c r="D2278">
        <f>[1]!EM_S_INFO_INDEX_EM(B2278,"1")</f>
        <v>0</v>
      </c>
      <c r="E2278" s="4">
        <f t="shared" si="35"/>
        <v>43465</v>
      </c>
      <c r="F2278" s="11">
        <f>[1]!EM_S_PQ_PCTCHANGE(B2278,"2018-01-01","2019-12-31","3")</f>
        <v>0</v>
      </c>
      <c r="G2278" s="11">
        <f>[1]!EM_S_PQ_PCTCHANGE(B2278,"2018-12-31","2019-12-30","1")</f>
        <v>0</v>
      </c>
      <c r="H2278" s="11">
        <f>[1]!EM_S_FA_YOY_OR(B2278,E2278)</f>
        <v>39.298791490699998</v>
      </c>
      <c r="I2278" s="11">
        <f>[1]!EM_S_FA_GROSSPROFITMARGIN(B2278,E2278)</f>
        <v>41.847895393599998</v>
      </c>
      <c r="J2278" s="11">
        <f>[1]!EM_S_FA_NETPROFITMARGIN(B2278,E2278)</f>
        <v>6.2422390351999999</v>
      </c>
      <c r="K2278" s="10">
        <f>[1]!EM_S_FA_ASSETSTURN(B2278,E2278)</f>
        <v>1.1241401280400001</v>
      </c>
      <c r="L2278" s="12">
        <f>[1]!EM_HKS_VAL_MV(B2278,"2019-12-31","2")</f>
        <v>899164674.20000005</v>
      </c>
      <c r="M2278">
        <f>[1]!EM_S_VAL_PETTMDEDUCTED(B2278,E2278)</f>
        <v>24.130131721425499</v>
      </c>
      <c r="N2278" s="7">
        <f>[1]!EM_S_VAL_PBGOODWILLDEDUCTED(B2278,E2278)</f>
        <v>3.77719208786118</v>
      </c>
      <c r="O2278" s="7">
        <f>[1]!EM_S_VAL_PS_TTM(B2278,E2278)</f>
        <v>1.91880201287786</v>
      </c>
      <c r="P2278" s="7">
        <f>[1]!EM_S_VAL_PCF_NCFTTM(B2278,E2278)</f>
        <v>-51.0610670359588</v>
      </c>
      <c r="Q2278" s="7">
        <f>[1]!EM_S_VAL_DIVIDENDYIELD2(B2278,E2278,"2019-11-29")</f>
        <v>0</v>
      </c>
      <c r="T2278"/>
      <c r="U2278">
        <f>[1]!EM_S_RATIO_EPS_TTM(B2278,E2278,"1")</f>
        <v>8.1177133981229749E-2</v>
      </c>
      <c r="AT2278" s="4" t="str">
        <f>[1]!EM_S_IPO_LISTEDDATE(B2278)</f>
        <v>1997-05-22</v>
      </c>
    </row>
    <row r="2279" spans="1:46">
      <c r="A2279">
        <v>337</v>
      </c>
      <c r="B2279" t="str">
        <f>"000769"</f>
        <v>000769</v>
      </c>
      <c r="C2279" t="s">
        <v>3161</v>
      </c>
      <c r="D2279">
        <f>[1]!EM_S_INFO_INDEX_EM(B2279,"1")</f>
        <v>0</v>
      </c>
      <c r="E2279" s="4">
        <f t="shared" si="35"/>
        <v>43465</v>
      </c>
      <c r="F2279" s="11">
        <f>[1]!EM_S_PQ_PCTCHANGE(B2279,"2018-01-01","2019-12-31","3")</f>
        <v>0</v>
      </c>
      <c r="G2279" s="11">
        <f>[1]!EM_S_PQ_PCTCHANGE(B2279,"2018-12-31","2019-12-30","1")</f>
        <v>0</v>
      </c>
      <c r="H2279" s="11">
        <f>[1]!EM_S_FA_YOY_OR(B2279,E2279)</f>
        <v>1212.8025160406</v>
      </c>
      <c r="I2279" s="11">
        <f>[1]!EM_S_FA_GROSSPROFITMARGIN(B2279,E2279)</f>
        <v>37.204244134500001</v>
      </c>
      <c r="J2279" s="11">
        <f>[1]!EM_S_FA_NETPROFITMARGIN(B2279,E2279)</f>
        <v>15.528428847600001</v>
      </c>
      <c r="K2279" s="10">
        <f>[1]!EM_S_FA_ASSETSTURN(B2279,E2279)</f>
        <v>0.32935191698299998</v>
      </c>
      <c r="L2279" s="12">
        <f>[1]!EM_HKS_VAL_MV(B2279,"2019-12-31","2")</f>
        <v>166860000</v>
      </c>
      <c r="M2279">
        <f>[1]!EM_S_VAL_PETTMDEDUCTED(B2279,E2279)</f>
        <v>-28.829301218530698</v>
      </c>
      <c r="N2279" s="7">
        <f>[1]!EM_S_VAL_PBGOODWILLDEDUCTED(B2279,E2279)</f>
        <v>1.2118308881298001</v>
      </c>
      <c r="O2279" s="7">
        <f>[1]!EM_S_VAL_PS_TTM(B2279,E2279)</f>
        <v>118.35440394247399</v>
      </c>
      <c r="P2279" s="7">
        <f>[1]!EM_S_VAL_PCF_NCFTTM(B2279,E2279)</f>
        <v>-149.100708539327</v>
      </c>
      <c r="Q2279" s="7">
        <f>[1]!EM_S_VAL_DIVIDENDYIELD2(B2279,E2279,"2019-11-29")</f>
        <v>0</v>
      </c>
      <c r="T2279"/>
      <c r="U2279">
        <f>[1]!EM_S_RATIO_EPS_TTM(B2279,E2279,"1")</f>
        <v>9.1388787756202808E-2</v>
      </c>
      <c r="AT2279" s="4" t="str">
        <f>[1]!EM_S_IPO_LISTEDDATE(B2279)</f>
        <v>1997-05-30</v>
      </c>
    </row>
    <row r="2280" spans="1:46">
      <c r="A2280">
        <v>1454</v>
      </c>
      <c r="B2280" t="str">
        <f>"300028"</f>
        <v>300028</v>
      </c>
      <c r="C2280" t="s">
        <v>3538</v>
      </c>
      <c r="D2280" t="str">
        <f>[1]!EM_S_INFO_INDEX_EM(B2280,"1")</f>
        <v>信息技术</v>
      </c>
      <c r="E2280" s="4">
        <f t="shared" si="35"/>
        <v>43465</v>
      </c>
      <c r="F2280" s="11">
        <f>[1]!EM_S_PQ_PCTCHANGE(B2280,"2018-01-01","2019-12-31","3")</f>
        <v>-84.752475250000003</v>
      </c>
      <c r="G2280" s="11">
        <f>[1]!EM_S_PQ_PCTCHANGE(B2280,"2018-12-31","2019-12-30","1")</f>
        <v>0</v>
      </c>
      <c r="H2280" s="11">
        <f>[1]!EM_S_FA_YOY_OR(B2280,E2280)</f>
        <v>-42.592440930199999</v>
      </c>
      <c r="I2280" s="11">
        <f>[1]!EM_S_FA_GROSSPROFITMARGIN(B2280,E2280)</f>
        <v>-18.240828971700001</v>
      </c>
      <c r="J2280" s="11">
        <f>[1]!EM_S_FA_NETPROFITMARGIN(B2280,E2280)</f>
        <v>-176.37780264689999</v>
      </c>
      <c r="K2280" s="10">
        <f>[1]!EM_S_FA_ASSETSTURN(B2280,E2280)</f>
        <v>4.9639765822999997E-2</v>
      </c>
      <c r="L2280" s="12">
        <f>[1]!EM_HKS_VAL_MV(B2280,"2019-12-31","2")</f>
        <v>264864600</v>
      </c>
      <c r="M2280">
        <f>[1]!EM_S_VAL_PETTMDEDUCTED(B2280,E2280)</f>
        <v>-1.5127931856850501</v>
      </c>
      <c r="N2280" s="7">
        <f>[1]!EM_S_VAL_PBGOODWILLDEDUCTED(B2280,E2280)</f>
        <v>1.7615865460664699</v>
      </c>
      <c r="O2280" s="7">
        <f>[1]!EM_S_VAL_PS_TTM(B2280,E2280)</f>
        <v>12.808654802526499</v>
      </c>
      <c r="P2280" s="7">
        <f>[1]!EM_S_VAL_PCF_NCFTTM(B2280,E2280)</f>
        <v>-69.743508312287204</v>
      </c>
      <c r="Q2280" s="7">
        <f>[1]!EM_S_VAL_DIVIDENDYIELD2(B2280,E2280,"2019-11-29")</f>
        <v>0</v>
      </c>
      <c r="T2280"/>
      <c r="U2280">
        <f>[1]!EM_S_RATIO_EPS_TTM(B2280,E2280,"1")</f>
        <v>-6.7465480056980054E-2</v>
      </c>
      <c r="AT2280" s="4" t="str">
        <f>[1]!EM_S_IPO_LISTEDDATE(B2280)</f>
        <v>2009-10-30</v>
      </c>
    </row>
    <row r="2281" spans="1:46">
      <c r="A2281">
        <v>1611</v>
      </c>
      <c r="B2281" t="str">
        <f>"300186"</f>
        <v>300186</v>
      </c>
      <c r="C2281" t="s">
        <v>3147</v>
      </c>
      <c r="D2281">
        <f>[1]!EM_S_INFO_INDEX_EM(B2281,"1")</f>
        <v>0</v>
      </c>
      <c r="E2281" s="4">
        <f t="shared" si="35"/>
        <v>43465</v>
      </c>
      <c r="F2281" s="11">
        <f>[1]!EM_S_PQ_PCTCHANGE(B2281,"2018-01-01","2019-12-31","3")</f>
        <v>0</v>
      </c>
      <c r="G2281" s="11">
        <f>[1]!EM_S_PQ_PCTCHANGE(B2281,"2018-12-31","2019-12-30","1")</f>
        <v>0</v>
      </c>
      <c r="H2281" s="11">
        <f>[1]!EM_S_FA_YOY_OR(B2281,E2281)</f>
        <v>0</v>
      </c>
      <c r="I2281" s="11">
        <f>[1]!EM_S_FA_GROSSPROFITMARGIN(B2281,E2281)</f>
        <v>0</v>
      </c>
      <c r="J2281" s="11">
        <f>[1]!EM_S_FA_NETPROFITMARGIN(B2281,E2281)</f>
        <v>0</v>
      </c>
      <c r="K2281" s="10">
        <f>[1]!EM_S_FA_ASSETSTURN(B2281,E2281)</f>
        <v>0</v>
      </c>
      <c r="L2281" s="12">
        <f>[1]!EM_HKS_VAL_MV(B2281,"2019-12-31","2")</f>
        <v>24658624800</v>
      </c>
      <c r="M2281">
        <f>[1]!EM_S_VAL_PETTMDEDUCTED(B2281,E2281)</f>
        <v>146.198191365523</v>
      </c>
      <c r="N2281" s="7">
        <f>[1]!EM_S_VAL_PBGOODWILLDEDUCTED(B2281,E2281)</f>
        <v>12.325839668628401</v>
      </c>
      <c r="O2281" s="7">
        <f>[1]!EM_S_VAL_PS_TTM(B2281,E2281)</f>
        <v>18.8802228489781</v>
      </c>
      <c r="P2281" s="7">
        <f>[1]!EM_S_VAL_PCF_NCFTTM(B2281,E2281)</f>
        <v>-240.20993698081901</v>
      </c>
      <c r="Q2281" s="7">
        <f>[1]!EM_S_VAL_DIVIDENDYIELD2(B2281,E2281,"2019-11-29")</f>
        <v>0</v>
      </c>
      <c r="T2281"/>
      <c r="U2281">
        <f>[1]!EM_S_RATIO_EPS_TTM(B2281,E2281,"1")</f>
        <v>0.31609098759595061</v>
      </c>
      <c r="AT2281" s="4" t="str">
        <f>[1]!EM_S_IPO_LISTEDDATE(B2281)</f>
        <v>2011-03-08</v>
      </c>
    </row>
    <row r="2282" spans="1:46">
      <c r="A2282">
        <v>1350</v>
      </c>
      <c r="B2282" t="str">
        <f>"002849"</f>
        <v>002849</v>
      </c>
      <c r="C2282" t="s">
        <v>1167</v>
      </c>
      <c r="D2282" t="str">
        <f>[1]!EM_S_INFO_INDEX_EM(B2282,"1")</f>
        <v>机械设备</v>
      </c>
      <c r="E2282" s="4">
        <f t="shared" si="35"/>
        <v>43465</v>
      </c>
      <c r="F2282" s="11">
        <f>[1]!EM_S_PQ_PCTCHANGE(B2282,"2018-01-01","2019-12-31","3")</f>
        <v>-25.09922504</v>
      </c>
      <c r="G2282" s="11">
        <f>[1]!EM_S_PQ_PCTCHANGE(B2282,"2018-12-31","2019-12-30","1")</f>
        <v>0</v>
      </c>
      <c r="H2282" s="11">
        <f>[1]!EM_S_FA_YOY_OR(B2282,E2282)</f>
        <v>57.237521863700003</v>
      </c>
      <c r="I2282" s="11">
        <f>[1]!EM_S_FA_GROSSPROFITMARGIN(B2282,E2282)</f>
        <v>30.884830051600002</v>
      </c>
      <c r="J2282" s="11">
        <f>[1]!EM_S_FA_NETPROFITMARGIN(B2282,E2282)</f>
        <v>9.8981134219999998</v>
      </c>
      <c r="K2282" s="10">
        <f>[1]!EM_S_FA_ASSETSTURN(B2282,E2282)</f>
        <v>0.73019104571399995</v>
      </c>
      <c r="L2282" s="12">
        <f>[1]!EM_HKS_VAL_MV(B2282,"2019-12-31","2")</f>
        <v>1879063409</v>
      </c>
      <c r="M2282">
        <f>[1]!EM_S_VAL_PETTMDEDUCTED(B2282,E2282)</f>
        <v>29.695677780349001</v>
      </c>
      <c r="N2282" s="7">
        <f>[1]!EM_S_VAL_PBGOODWILLDEDUCTED(B2282,E2282)</f>
        <v>3.0904547304229602</v>
      </c>
      <c r="O2282" s="7">
        <f>[1]!EM_S_VAL_PS_TTM(B2282,E2282)</f>
        <v>2.4666977913578201</v>
      </c>
      <c r="P2282" s="7">
        <f>[1]!EM_S_VAL_PCF_NCFTTM(B2282,E2282)</f>
        <v>173.10544616184799</v>
      </c>
      <c r="Q2282" s="7">
        <f>[1]!EM_S_VAL_DIVIDENDYIELD2(B2282,E2282,"2019-11-29")</f>
        <v>0.3687029513772237</v>
      </c>
      <c r="T2282"/>
      <c r="U2282">
        <f>[1]!EM_S_RATIO_EPS_TTM(B2282,E2282,"1")</f>
        <v>0.47599511748052692</v>
      </c>
      <c r="AT2282" s="4" t="str">
        <f>[1]!EM_S_IPO_LISTEDDATE(B2282)</f>
        <v>2017-02-17</v>
      </c>
    </row>
    <row r="2283" spans="1:46">
      <c r="A2283">
        <v>1797</v>
      </c>
      <c r="B2283" t="str">
        <f>"300372"</f>
        <v>300372</v>
      </c>
      <c r="C2283" t="s">
        <v>3145</v>
      </c>
      <c r="D2283">
        <f>[1]!EM_S_INFO_INDEX_EM(B2283,"1")</f>
        <v>0</v>
      </c>
      <c r="E2283" s="4">
        <f t="shared" si="35"/>
        <v>43465</v>
      </c>
      <c r="F2283" s="11">
        <f>[1]!EM_S_PQ_PCTCHANGE(B2283,"2018-01-01","2019-12-31","3")</f>
        <v>0</v>
      </c>
      <c r="G2283" s="11">
        <f>[1]!EM_S_PQ_PCTCHANGE(B2283,"2018-12-31","2019-12-30","1")</f>
        <v>0</v>
      </c>
      <c r="H2283" s="11">
        <f>[1]!EM_S_FA_YOY_OR(B2283,E2283)</f>
        <v>-56.7489701553</v>
      </c>
      <c r="I2283" s="11">
        <f>[1]!EM_S_FA_GROSSPROFITMARGIN(B2283,E2283)</f>
        <v>26.6139921121</v>
      </c>
      <c r="J2283" s="11">
        <f>[1]!EM_S_FA_NETPROFITMARGIN(B2283,E2283)</f>
        <v>-2534.1181563033001</v>
      </c>
      <c r="K2283" s="10">
        <f>[1]!EM_S_FA_ASSETSTURN(B2283,E2283)</f>
        <v>3.5547686396999997E-2</v>
      </c>
      <c r="L2283" s="12">
        <f>[1]!EM_HKS_VAL_MV(B2283,"2019-12-31","2")</f>
        <v>253904682.63999999</v>
      </c>
      <c r="M2283">
        <f>[1]!EM_S_VAL_PETTMDEDUCTED(B2283,E2283)</f>
        <v>-1.9907620221962601</v>
      </c>
      <c r="N2283" s="7">
        <f>[1]!EM_S_VAL_PBGOODWILLDEDUCTED(B2283,E2283)</f>
        <v>-0.98287480666780902</v>
      </c>
      <c r="O2283" s="7">
        <f>[1]!EM_S_VAL_PS_TTM(B2283,E2283)</f>
        <v>9.1692176440934894</v>
      </c>
      <c r="P2283" s="7">
        <f>[1]!EM_S_VAL_PCF_NCFTTM(B2283,E2283)</f>
        <v>7.6514831205850404</v>
      </c>
      <c r="Q2283" s="7">
        <f>[1]!EM_S_VAL_DIVIDENDYIELD2(B2283,E2283,"2019-11-29")</f>
        <v>0</v>
      </c>
      <c r="T2283"/>
      <c r="U2283">
        <f>[1]!EM_S_RATIO_EPS_TTM(B2283,E2283,"1")</f>
        <v>-2.6631905437519978</v>
      </c>
      <c r="AT2283" s="4" t="str">
        <f>[1]!EM_S_IPO_LISTEDDATE(B2283)</f>
        <v>2014-01-27</v>
      </c>
    </row>
    <row r="2284" spans="1:46">
      <c r="A2284">
        <v>1498</v>
      </c>
      <c r="B2284" t="str">
        <f>"300073"</f>
        <v>300073</v>
      </c>
      <c r="C2284" t="s">
        <v>1087</v>
      </c>
      <c r="D2284" t="str">
        <f>[1]!EM_S_INFO_INDEX_EM(B2284,"1")</f>
        <v>有色金属</v>
      </c>
      <c r="E2284" s="4">
        <f t="shared" si="35"/>
        <v>43465</v>
      </c>
      <c r="F2284" s="11">
        <f>[1]!EM_S_PQ_PCTCHANGE(B2284,"2018-01-01","2019-12-31","3")</f>
        <v>4.8191786099999998</v>
      </c>
      <c r="G2284" s="11">
        <f>[1]!EM_S_PQ_PCTCHANGE(B2284,"2018-12-31","2019-12-30","1")</f>
        <v>0</v>
      </c>
      <c r="H2284" s="11">
        <f>[1]!EM_S_FA_YOY_OR(B2284,E2284)</f>
        <v>52.030218446200003</v>
      </c>
      <c r="I2284" s="11">
        <f>[1]!EM_S_FA_GROSSPROFITMARGIN(B2284,E2284)</f>
        <v>18.268988449199998</v>
      </c>
      <c r="J2284" s="11">
        <f>[1]!EM_S_FA_NETPROFITMARGIN(B2284,E2284)</f>
        <v>9.6371029164999999</v>
      </c>
      <c r="K2284" s="10">
        <f>[1]!EM_S_FA_ASSETSTURN(B2284,E2284)</f>
        <v>0.92131294406399999</v>
      </c>
      <c r="L2284" s="12">
        <f>[1]!EM_HKS_VAL_MV(B2284,"2019-12-31","2")</f>
        <v>11922531702.9</v>
      </c>
      <c r="M2284">
        <f>[1]!EM_S_VAL_PETTMDEDUCTED(B2284,E2284)</f>
        <v>46.9255025076706</v>
      </c>
      <c r="N2284" s="7">
        <f>[1]!EM_S_VAL_PBGOODWILLDEDUCTED(B2284,E2284)</f>
        <v>4.0465824811365296</v>
      </c>
      <c r="O2284" s="7">
        <f>[1]!EM_S_VAL_PS_TTM(B2284,E2284)</f>
        <v>3.77866455265496</v>
      </c>
      <c r="P2284" s="7">
        <f>[1]!EM_S_VAL_PCF_NCFTTM(B2284,E2284)</f>
        <v>7.5936347286414403</v>
      </c>
      <c r="Q2284" s="7">
        <f>[1]!EM_S_VAL_DIVIDENDYIELD2(B2284,E2284,"2019-11-29")</f>
        <v>0.64814814814814814</v>
      </c>
      <c r="T2284"/>
      <c r="U2284">
        <f>[1]!EM_S_RATIO_EPS_TTM(B2284,E2284,"1")</f>
        <v>0.72394092448666503</v>
      </c>
      <c r="AT2284" s="4" t="str">
        <f>[1]!EM_S_IPO_LISTEDDATE(B2284)</f>
        <v>2010-04-27</v>
      </c>
    </row>
    <row r="2285" spans="1:46">
      <c r="A2285">
        <v>2162</v>
      </c>
      <c r="B2285" t="str">
        <f>"600001"</f>
        <v>600001</v>
      </c>
      <c r="C2285" t="s">
        <v>3143</v>
      </c>
      <c r="D2285">
        <f>[1]!EM_S_INFO_INDEX_EM(B2285,"1")</f>
        <v>0</v>
      </c>
      <c r="E2285" s="4">
        <f t="shared" si="35"/>
        <v>43465</v>
      </c>
      <c r="F2285" s="11">
        <f>[1]!EM_S_PQ_PCTCHANGE(B2285,"2018-01-01","2019-12-31","3")</f>
        <v>0</v>
      </c>
      <c r="G2285" s="11">
        <f>[1]!EM_S_PQ_PCTCHANGE(B2285,"2018-12-31","2019-12-30","1")</f>
        <v>0</v>
      </c>
      <c r="H2285" s="11">
        <f>[1]!EM_S_FA_YOY_OR(B2285,E2285)</f>
        <v>0</v>
      </c>
      <c r="I2285" s="11">
        <f>[1]!EM_S_FA_GROSSPROFITMARGIN(B2285,E2285)</f>
        <v>0</v>
      </c>
      <c r="J2285" s="11">
        <f>[1]!EM_S_FA_NETPROFITMARGIN(B2285,E2285)</f>
        <v>0</v>
      </c>
      <c r="K2285" s="10">
        <f>[1]!EM_S_FA_ASSETSTURN(B2285,E2285)</f>
        <v>0</v>
      </c>
      <c r="L2285" s="12">
        <f>[1]!EM_HKS_VAL_MV(B2285,"2019-12-31","2")</f>
        <v>14899055250.01</v>
      </c>
      <c r="M2285">
        <f>[1]!EM_S_VAL_PETTMDEDUCTED(B2285,E2285)</f>
        <v>-251.492532382821</v>
      </c>
      <c r="N2285" s="7">
        <f>[1]!EM_S_VAL_PBGOODWILLDEDUCTED(B2285,E2285)</f>
        <v>1.20009614878077</v>
      </c>
      <c r="O2285" s="7">
        <f>[1]!EM_S_VAL_PS_TTM(B2285,E2285)</f>
        <v>0.46057300956077502</v>
      </c>
      <c r="P2285" s="7">
        <f>[1]!EM_S_VAL_PCF_NCFTTM(B2285,E2285)</f>
        <v>790.66496577993303</v>
      </c>
      <c r="Q2285" s="7">
        <f>[1]!EM_S_VAL_DIVIDENDYIELD2(B2285,E2285,"2019-11-29")</f>
        <v>0</v>
      </c>
      <c r="T2285"/>
      <c r="U2285">
        <f>[1]!EM_S_RATIO_EPS_TTM(B2285,E2285,"1")</f>
        <v>-7.8527129739666864E-3</v>
      </c>
      <c r="AT2285" s="4" t="str">
        <f>[1]!EM_S_IPO_LISTEDDATE(B2285)</f>
        <v>1998-01-22</v>
      </c>
    </row>
    <row r="2286" spans="1:46">
      <c r="A2286">
        <v>2163</v>
      </c>
      <c r="B2286" t="str">
        <f>"600002"</f>
        <v>600002</v>
      </c>
      <c r="C2286" t="s">
        <v>3142</v>
      </c>
      <c r="D2286">
        <f>[1]!EM_S_INFO_INDEX_EM(B2286,"1")</f>
        <v>0</v>
      </c>
      <c r="E2286" s="4">
        <f t="shared" si="35"/>
        <v>43465</v>
      </c>
      <c r="F2286" s="11">
        <f>[1]!EM_S_PQ_PCTCHANGE(B2286,"2018-01-01","2019-12-31","3")</f>
        <v>0</v>
      </c>
      <c r="G2286" s="11">
        <f>[1]!EM_S_PQ_PCTCHANGE(B2286,"2018-12-31","2019-12-30","1")</f>
        <v>0</v>
      </c>
      <c r="H2286" s="11">
        <f>[1]!EM_S_FA_YOY_OR(B2286,E2286)</f>
        <v>0</v>
      </c>
      <c r="I2286" s="11">
        <f>[1]!EM_S_FA_GROSSPROFITMARGIN(B2286,E2286)</f>
        <v>0</v>
      </c>
      <c r="J2286" s="11">
        <f>[1]!EM_S_FA_NETPROFITMARGIN(B2286,E2286)</f>
        <v>0</v>
      </c>
      <c r="K2286" s="10">
        <f>[1]!EM_S_FA_ASSETSTURN(B2286,E2286)</f>
        <v>0</v>
      </c>
      <c r="L2286" s="12">
        <f>[1]!EM_HKS_VAL_MV(B2286,"2019-12-31","2")</f>
        <v>19675500000</v>
      </c>
      <c r="M2286">
        <f>[1]!EM_S_VAL_PETTMDEDUCTED(B2286,E2286)</f>
        <v>10.6744160686704</v>
      </c>
      <c r="N2286" s="7">
        <f>[1]!EM_S_VAL_PBGOODWILLDEDUCTED(B2286,E2286)</f>
        <v>2.5735341724607301</v>
      </c>
      <c r="O2286" s="7">
        <f>[1]!EM_S_VAL_PS_TTM(B2286,E2286)</f>
        <v>1.0072391909343701</v>
      </c>
      <c r="P2286" s="7">
        <f>[1]!EM_S_VAL_PCF_NCFTTM(B2286,E2286)</f>
        <v>76.217315514235906</v>
      </c>
      <c r="Q2286" s="7">
        <f>[1]!EM_S_VAL_DIVIDENDYIELD2(B2286,E2286,"2019-11-29")</f>
        <v>0</v>
      </c>
      <c r="T2286"/>
      <c r="U2286">
        <f>[1]!EM_S_RATIO_EPS_TTM(B2286,E2286,"1")</f>
        <v>0.94263435897435899</v>
      </c>
      <c r="AT2286" s="4" t="str">
        <f>[1]!EM_S_IPO_LISTEDDATE(B2286)</f>
        <v>1998-04-08</v>
      </c>
    </row>
    <row r="2287" spans="1:46">
      <c r="A2287">
        <v>2164</v>
      </c>
      <c r="B2287" t="str">
        <f>"600003"</f>
        <v>600003</v>
      </c>
      <c r="C2287" t="s">
        <v>3141</v>
      </c>
      <c r="D2287">
        <f>[1]!EM_S_INFO_INDEX_EM(B2287,"1")</f>
        <v>0</v>
      </c>
      <c r="E2287" s="4">
        <f t="shared" si="35"/>
        <v>43465</v>
      </c>
      <c r="F2287" s="11">
        <f>[1]!EM_S_PQ_PCTCHANGE(B2287,"2018-01-01","2019-12-31","3")</f>
        <v>0</v>
      </c>
      <c r="G2287" s="11">
        <f>[1]!EM_S_PQ_PCTCHANGE(B2287,"2018-12-31","2019-12-30","1")</f>
        <v>0</v>
      </c>
      <c r="H2287" s="11">
        <f>[1]!EM_S_FA_YOY_OR(B2287,E2287)</f>
        <v>0</v>
      </c>
      <c r="I2287" s="11">
        <f>[1]!EM_S_FA_GROSSPROFITMARGIN(B2287,E2287)</f>
        <v>0</v>
      </c>
      <c r="J2287" s="11">
        <f>[1]!EM_S_FA_NETPROFITMARGIN(B2287,E2287)</f>
        <v>0</v>
      </c>
      <c r="K2287" s="10">
        <f>[1]!EM_S_FA_ASSETSTURN(B2287,E2287)</f>
        <v>0</v>
      </c>
      <c r="L2287" s="12">
        <f>[1]!EM_HKS_VAL_MV(B2287,"2019-12-31","2")</f>
        <v>4695084000</v>
      </c>
      <c r="M2287">
        <f>[1]!EM_S_VAL_PETTMDEDUCTED(B2287,E2287)</f>
        <v>20.9825232871381</v>
      </c>
      <c r="N2287" s="7">
        <f>[1]!EM_S_VAL_PBGOODWILLDEDUCTED(B2287,E2287)</f>
        <v>1.2398154793679399</v>
      </c>
      <c r="O2287" s="7">
        <f>[1]!EM_S_VAL_PS_TTM(B2287,E2287)</f>
        <v>6.2898964648776197</v>
      </c>
      <c r="P2287" s="7">
        <f>[1]!EM_S_VAL_PCF_NCFTTM(B2287,E2287)</f>
        <v>18.828054030255402</v>
      </c>
      <c r="Q2287" s="7">
        <f>[1]!EM_S_VAL_DIVIDENDYIELD2(B2287,E2287,"2019-11-29")</f>
        <v>0</v>
      </c>
      <c r="T2287"/>
      <c r="U2287">
        <f>[1]!EM_S_RATIO_EPS_TTM(B2287,E2287,"1")</f>
        <v>0.19478460444279591</v>
      </c>
      <c r="AT2287" s="4" t="str">
        <f>[1]!EM_S_IPO_LISTEDDATE(B2287)</f>
        <v>1999-08-10</v>
      </c>
    </row>
    <row r="2288" spans="1:46">
      <c r="A2288">
        <v>2166</v>
      </c>
      <c r="B2288" t="str">
        <f>"600005"</f>
        <v>600005</v>
      </c>
      <c r="C2288" t="s">
        <v>3140</v>
      </c>
      <c r="D2288">
        <f>[1]!EM_S_INFO_INDEX_EM(B2288,"1")</f>
        <v>0</v>
      </c>
      <c r="E2288" s="4">
        <f t="shared" si="35"/>
        <v>43465</v>
      </c>
      <c r="F2288" s="11">
        <f>[1]!EM_S_PQ_PCTCHANGE(B2288,"2018-01-01","2019-12-31","3")</f>
        <v>0</v>
      </c>
      <c r="G2288" s="11">
        <f>[1]!EM_S_PQ_PCTCHANGE(B2288,"2018-12-31","2019-12-30","1")</f>
        <v>0</v>
      </c>
      <c r="H2288" s="11">
        <f>[1]!EM_S_FA_YOY_OR(B2288,E2288)</f>
        <v>0</v>
      </c>
      <c r="I2288" s="11">
        <f>[1]!EM_S_FA_GROSSPROFITMARGIN(B2288,E2288)</f>
        <v>0</v>
      </c>
      <c r="J2288" s="11">
        <f>[1]!EM_S_FA_NETPROFITMARGIN(B2288,E2288)</f>
        <v>0</v>
      </c>
      <c r="K2288" s="10">
        <f>[1]!EM_S_FA_ASSETSTURN(B2288,E2288)</f>
        <v>0</v>
      </c>
      <c r="L2288" s="12">
        <f>[1]!EM_HKS_VAL_MV(B2288,"2019-12-31","2")</f>
        <v>37447923143.330002</v>
      </c>
      <c r="M2288">
        <f>[1]!EM_S_VAL_PETTMDEDUCTED(B2288,E2288)</f>
        <v>-6.0561837182103604</v>
      </c>
      <c r="N2288" s="7">
        <f>[1]!EM_S_VAL_PBGOODWILLDEDUCTED(B2288,E2288)</f>
        <v>1.3231663793916799</v>
      </c>
      <c r="O2288" s="7">
        <f>[1]!EM_S_VAL_PS_TTM(B2288,E2288)</f>
        <v>0.71604903963005895</v>
      </c>
      <c r="P2288" s="7">
        <f>[1]!EM_S_VAL_PCF_NCFTTM(B2288,E2288)</f>
        <v>12.820130089371499</v>
      </c>
      <c r="Q2288" s="7">
        <f>[1]!EM_S_VAL_DIVIDENDYIELD2(B2288,E2288,"2019-11-29")</f>
        <v>0</v>
      </c>
      <c r="T2288"/>
      <c r="U2288">
        <f>[1]!EM_S_RATIO_EPS_TTM(B2288,E2288,"1")</f>
        <v>-0.60860725738162358</v>
      </c>
      <c r="AT2288" s="4" t="str">
        <f>[1]!EM_S_IPO_LISTEDDATE(B2288)</f>
        <v>1999-08-03</v>
      </c>
    </row>
    <row r="2289" spans="1:46">
      <c r="A2289">
        <v>2212</v>
      </c>
      <c r="B2289" t="str">
        <f>"600065"</f>
        <v>600065</v>
      </c>
      <c r="C2289" t="s">
        <v>3139</v>
      </c>
      <c r="D2289">
        <f>[1]!EM_S_INFO_INDEX_EM(B2289,"1")</f>
        <v>0</v>
      </c>
      <c r="E2289" s="4">
        <f t="shared" si="35"/>
        <v>43465</v>
      </c>
      <c r="F2289" s="11">
        <f>[1]!EM_S_PQ_PCTCHANGE(B2289,"2018-01-01","2019-12-31","3")</f>
        <v>0</v>
      </c>
      <c r="G2289" s="11">
        <f>[1]!EM_S_PQ_PCTCHANGE(B2289,"2018-12-31","2019-12-30","1")</f>
        <v>0</v>
      </c>
      <c r="H2289" s="11">
        <f>[1]!EM_S_FA_YOY_OR(B2289,E2289)</f>
        <v>39.055924799000003</v>
      </c>
      <c r="I2289" s="11">
        <f>[1]!EM_S_FA_GROSSPROFITMARGIN(B2289,E2289)</f>
        <v>3.9923546131999998</v>
      </c>
      <c r="J2289" s="11">
        <f>[1]!EM_S_FA_NETPROFITMARGIN(B2289,E2289)</f>
        <v>-0.3904763128</v>
      </c>
      <c r="K2289" s="10">
        <f>[1]!EM_S_FA_ASSETSTURN(B2289,E2289)</f>
        <v>0.93565500436100002</v>
      </c>
      <c r="L2289" s="12">
        <f>[1]!EM_HKS_VAL_MV(B2289,"2019-12-31","2")</f>
        <v>1101615974.9000001</v>
      </c>
      <c r="M2289">
        <f>[1]!EM_S_VAL_PETTMDEDUCTED(B2289,E2289)</f>
        <v>14.9910293244975</v>
      </c>
      <c r="N2289" s="7">
        <f>[1]!EM_S_VAL_PBGOODWILLDEDUCTED(B2289,E2289)</f>
        <v>-1.6611209495855599</v>
      </c>
      <c r="O2289" s="7">
        <f>[1]!EM_S_VAL_PS_TTM(B2289,E2289)</f>
        <v>0.38405201254767302</v>
      </c>
      <c r="P2289" s="7">
        <f>[1]!EM_S_VAL_PCF_NCFTTM(B2289,E2289)</f>
        <v>1.01550646909053</v>
      </c>
      <c r="Q2289" s="7">
        <f>[1]!EM_S_VAL_DIVIDENDYIELD2(B2289,E2289,"2019-11-29")</f>
        <v>0</v>
      </c>
      <c r="T2289"/>
      <c r="U2289">
        <f>[1]!EM_S_RATIO_EPS_TTM(B2289,E2289,"1")</f>
        <v>-1.692469010599857E-2</v>
      </c>
      <c r="AT2289" s="4" t="str">
        <f>[1]!EM_S_IPO_LISTEDDATE(B2289)</f>
        <v>1997-05-23</v>
      </c>
    </row>
    <row r="2290" spans="1:46">
      <c r="A2290">
        <v>2234</v>
      </c>
      <c r="B2290" t="str">
        <f>"600087"</f>
        <v>600087</v>
      </c>
      <c r="C2290" t="s">
        <v>3137</v>
      </c>
      <c r="D2290">
        <f>[1]!EM_S_INFO_INDEX_EM(B2290,"1")</f>
        <v>0</v>
      </c>
      <c r="E2290" s="4">
        <f t="shared" si="35"/>
        <v>43465</v>
      </c>
      <c r="F2290" s="11">
        <f>[1]!EM_S_PQ_PCTCHANGE(B2290,"2018-01-01","2019-12-31","3")</f>
        <v>0</v>
      </c>
      <c r="G2290" s="11">
        <f>[1]!EM_S_PQ_PCTCHANGE(B2290,"2018-12-31","2019-12-30","1")</f>
        <v>0</v>
      </c>
      <c r="H2290" s="11">
        <f>[1]!EM_S_FA_YOY_OR(B2290,E2290)</f>
        <v>-9.4114906652000005</v>
      </c>
      <c r="I2290" s="11">
        <f>[1]!EM_S_FA_GROSSPROFITMARGIN(B2290,E2290)</f>
        <v>19.1236242883</v>
      </c>
      <c r="J2290" s="11">
        <f>[1]!EM_S_FA_NETPROFITMARGIN(B2290,E2290)</f>
        <v>10.7811573027</v>
      </c>
      <c r="K2290" s="10">
        <f>[1]!EM_S_FA_ASSETSTURN(B2290,E2290)</f>
        <v>0.44608334471299999</v>
      </c>
      <c r="L2290" s="12">
        <f>[1]!EM_HKS_VAL_MV(B2290,"2019-12-31","2")</f>
        <v>4169422019.9200001</v>
      </c>
      <c r="M2290">
        <f>[1]!EM_S_VAL_PETTMDEDUCTED(B2290,E2290)</f>
        <v>14.1521569886806</v>
      </c>
      <c r="N2290" s="7">
        <f>[1]!EM_S_VAL_PBGOODWILLDEDUCTED(B2290,E2290)</f>
        <v>1.1073557355768799</v>
      </c>
      <c r="O2290" s="7">
        <f>[1]!EM_S_VAL_PS_TTM(B2290,E2290)</f>
        <v>1.19914194186915</v>
      </c>
      <c r="P2290" s="7">
        <f>[1]!EM_S_VAL_PCF_NCFTTM(B2290,E2290)</f>
        <v>29.697199137629699</v>
      </c>
      <c r="Q2290" s="7">
        <f>[1]!EM_S_VAL_DIVIDENDYIELD2(B2290,E2290,"2019-11-29")</f>
        <v>0</v>
      </c>
      <c r="T2290"/>
      <c r="U2290">
        <f>[1]!EM_S_RATIO_EPS_TTM(B2290,E2290,"1")</f>
        <v>7.1714971126894275E-2</v>
      </c>
      <c r="AT2290" s="4" t="str">
        <f>[1]!EM_S_IPO_LISTEDDATE(B2290)</f>
        <v>1997-06-12</v>
      </c>
    </row>
    <row r="2291" spans="1:46">
      <c r="A2291">
        <v>2239</v>
      </c>
      <c r="B2291" t="str">
        <f>"600092"</f>
        <v>600092</v>
      </c>
      <c r="C2291" t="s">
        <v>3136</v>
      </c>
      <c r="D2291">
        <f>[1]!EM_S_INFO_INDEX_EM(B2291,"1")</f>
        <v>0</v>
      </c>
      <c r="E2291" s="4">
        <f t="shared" si="35"/>
        <v>43465</v>
      </c>
      <c r="F2291" s="11">
        <f>[1]!EM_S_PQ_PCTCHANGE(B2291,"2018-01-01","2019-12-31","3")</f>
        <v>0</v>
      </c>
      <c r="G2291" s="11">
        <f>[1]!EM_S_PQ_PCTCHANGE(B2291,"2018-12-31","2019-12-30","1")</f>
        <v>0</v>
      </c>
      <c r="H2291" s="11">
        <f>[1]!EM_S_FA_YOY_OR(B2291,E2291)</f>
        <v>1374.2396381291001</v>
      </c>
      <c r="I2291" s="11">
        <f>[1]!EM_S_FA_GROSSPROFITMARGIN(B2291,E2291)</f>
        <v>95.009823196200003</v>
      </c>
      <c r="J2291" s="11">
        <f>[1]!EM_S_FA_NETPROFITMARGIN(B2291,E2291)</f>
        <v>-450.1305614291</v>
      </c>
      <c r="K2291" s="10">
        <f>[1]!EM_S_FA_ASSETSTURN(B2291,E2291)</f>
        <v>5.4568437779999998E-3</v>
      </c>
      <c r="L2291" s="12">
        <f>[1]!EM_HKS_VAL_MV(B2291,"2019-12-31","2")</f>
        <v>250748352</v>
      </c>
      <c r="M2291">
        <f>[1]!EM_S_VAL_PETTMDEDUCTED(B2291,E2291)</f>
        <v>-116.768960440908</v>
      </c>
      <c r="N2291" s="7">
        <f>[1]!EM_S_VAL_PBGOODWILLDEDUCTED(B2291,E2291)</f>
        <v>-0.48439476261609798</v>
      </c>
      <c r="O2291" s="7">
        <f>[1]!EM_S_VAL_PS_TTM(B2291,E2291)</f>
        <v>36383.104199283502</v>
      </c>
      <c r="P2291" s="7">
        <f>[1]!EM_S_VAL_PCF_NCFTTM(B2291,E2291)</f>
        <v>-648.12999761269498</v>
      </c>
      <c r="Q2291" s="7">
        <f>[1]!EM_S_VAL_DIVIDENDYIELD2(B2291,E2291,"2019-11-29")</f>
        <v>0</v>
      </c>
      <c r="T2291"/>
      <c r="U2291">
        <f>[1]!EM_S_RATIO_EPS_TTM(B2291,E2291,"1")</f>
        <v>-5.4425246232525587E-3</v>
      </c>
      <c r="AT2291" s="4" t="str">
        <f>[1]!EM_S_IPO_LISTEDDATE(B2291)</f>
        <v>1997-06-26</v>
      </c>
    </row>
    <row r="2292" spans="1:46">
      <c r="A2292">
        <v>2249</v>
      </c>
      <c r="B2292" t="str">
        <f>"600102"</f>
        <v>600102</v>
      </c>
      <c r="C2292" t="s">
        <v>3135</v>
      </c>
      <c r="D2292">
        <f>[1]!EM_S_INFO_INDEX_EM(B2292,"1")</f>
        <v>0</v>
      </c>
      <c r="E2292" s="4">
        <f t="shared" si="35"/>
        <v>43465</v>
      </c>
      <c r="F2292" s="11">
        <f>[1]!EM_S_PQ_PCTCHANGE(B2292,"2018-01-01","2019-12-31","3")</f>
        <v>0</v>
      </c>
      <c r="G2292" s="11">
        <f>[1]!EM_S_PQ_PCTCHANGE(B2292,"2018-12-31","2019-12-30","1")</f>
        <v>0</v>
      </c>
      <c r="H2292" s="11">
        <f>[1]!EM_S_FA_YOY_OR(B2292,E2292)</f>
        <v>0</v>
      </c>
      <c r="I2292" s="11">
        <f>[1]!EM_S_FA_GROSSPROFITMARGIN(B2292,E2292)</f>
        <v>0</v>
      </c>
      <c r="J2292" s="11">
        <f>[1]!EM_S_FA_NETPROFITMARGIN(B2292,E2292)</f>
        <v>0</v>
      </c>
      <c r="K2292" s="10">
        <f>[1]!EM_S_FA_ASSETSTURN(B2292,E2292)</f>
        <v>0</v>
      </c>
      <c r="L2292" s="12">
        <f>[1]!EM_HKS_VAL_MV(B2292,"2019-12-31","2")</f>
        <v>6575807145.96</v>
      </c>
      <c r="M2292">
        <f>[1]!EM_S_VAL_PETTMDEDUCTED(B2292,E2292)</f>
        <v>20.014899418389199</v>
      </c>
      <c r="N2292" s="7">
        <f>[1]!EM_S_VAL_PBGOODWILLDEDUCTED(B2292,E2292)</f>
        <v>1.0649306568029999</v>
      </c>
      <c r="O2292" s="7">
        <f>[1]!EM_S_VAL_PS_TTM(B2292,E2292)</f>
        <v>0.14213933785313401</v>
      </c>
      <c r="P2292" s="7">
        <f>[1]!EM_S_VAL_PCF_NCFTTM(B2292,E2292)</f>
        <v>-39.411960442328898</v>
      </c>
      <c r="Q2292" s="7">
        <f>[1]!EM_S_VAL_DIVIDENDYIELD2(B2292,E2292,"2019-11-29")</f>
        <v>0</v>
      </c>
      <c r="T2292"/>
      <c r="U2292">
        <f>[1]!EM_S_RATIO_EPS_TTM(B2292,E2292,"1")</f>
        <v>0.36233066421285115</v>
      </c>
      <c r="AT2292" s="4" t="str">
        <f>[1]!EM_S_IPO_LISTEDDATE(B2292)</f>
        <v>1997-08-28</v>
      </c>
    </row>
    <row r="2293" spans="1:46">
      <c r="A2293">
        <v>2287</v>
      </c>
      <c r="B2293" t="str">
        <f>"600145"</f>
        <v>600145</v>
      </c>
      <c r="C2293" t="s">
        <v>3229</v>
      </c>
      <c r="D2293" t="str">
        <f>[1]!EM_S_INFO_INDEX_EM(B2293,"1")</f>
        <v>商贸零售</v>
      </c>
      <c r="E2293" s="4">
        <f t="shared" si="35"/>
        <v>43465</v>
      </c>
      <c r="F2293" s="11">
        <f>[1]!EM_S_PQ_PCTCHANGE(B2293,"2018-01-01","2019-12-31","3")</f>
        <v>0</v>
      </c>
      <c r="G2293" s="11">
        <f>[1]!EM_S_PQ_PCTCHANGE(B2293,"2018-12-31","2019-12-30","1")</f>
        <v>0</v>
      </c>
      <c r="H2293" s="11">
        <f>[1]!EM_S_FA_YOY_OR(B2293,E2293)</f>
        <v>-96.081022981999993</v>
      </c>
      <c r="I2293" s="11">
        <f>[1]!EM_S_FA_GROSSPROFITMARGIN(B2293,E2293)</f>
        <v>9.6455472899999997</v>
      </c>
      <c r="J2293" s="11">
        <f>[1]!EM_S_FA_NETPROFITMARGIN(B2293,E2293)</f>
        <v>73.635256559699997</v>
      </c>
      <c r="K2293" s="10">
        <f>[1]!EM_S_FA_ASSETSTURN(B2293,E2293)</f>
        <v>1.3226236535E-2</v>
      </c>
      <c r="L2293" s="12">
        <f>[1]!EM_HKS_VAL_MV(B2293,"2019-12-31","2")</f>
        <v>2788357710.5999999</v>
      </c>
      <c r="M2293">
        <f>[1]!EM_S_VAL_PETTMDEDUCTED(B2293,E2293)</f>
        <v>-114.09286753939</v>
      </c>
      <c r="N2293" s="7">
        <f>[1]!EM_S_VAL_PBGOODWILLDEDUCTED(B2293,E2293)</f>
        <v>129.50768487006599</v>
      </c>
      <c r="O2293" s="7">
        <f>[1]!EM_S_VAL_PS_TTM(B2293,E2293)</f>
        <v>176.82478948353099</v>
      </c>
      <c r="P2293" s="7">
        <f>[1]!EM_S_VAL_PCF_NCFTTM(B2293,E2293)</f>
        <v>129.930681782698</v>
      </c>
      <c r="Q2293" s="7">
        <f>[1]!EM_S_VAL_DIVIDENDYIELD2(B2293,E2293,"2019-11-29")</f>
        <v>0</v>
      </c>
      <c r="T2293"/>
      <c r="U2293">
        <f>[1]!EM_S_RATIO_EPS_TTM(B2293,E2293,"1")</f>
        <v>6.6101140018487558E-3</v>
      </c>
      <c r="AT2293" s="4" t="str">
        <f>[1]!EM_S_IPO_LISTEDDATE(B2293)</f>
        <v>1999-09-23</v>
      </c>
    </row>
    <row r="2294" spans="1:46">
      <c r="A2294">
        <v>2319</v>
      </c>
      <c r="B2294" t="str">
        <f>"600181"</f>
        <v>600181</v>
      </c>
      <c r="C2294" t="s">
        <v>3134</v>
      </c>
      <c r="D2294">
        <f>[1]!EM_S_INFO_INDEX_EM(B2294,"1")</f>
        <v>0</v>
      </c>
      <c r="E2294" s="4">
        <f t="shared" si="35"/>
        <v>43465</v>
      </c>
      <c r="F2294" s="11">
        <f>[1]!EM_S_PQ_PCTCHANGE(B2294,"2018-01-01","2019-12-31","3")</f>
        <v>0</v>
      </c>
      <c r="G2294" s="11">
        <f>[1]!EM_S_PQ_PCTCHANGE(B2294,"2018-12-31","2019-12-30","1")</f>
        <v>0</v>
      </c>
      <c r="H2294" s="11">
        <f>[1]!EM_S_FA_YOY_OR(B2294,E2294)</f>
        <v>0</v>
      </c>
      <c r="I2294" s="11">
        <f>[1]!EM_S_FA_GROSSPROFITMARGIN(B2294,E2294)</f>
        <v>0</v>
      </c>
      <c r="J2294" s="11">
        <f>[1]!EM_S_FA_NETPROFITMARGIN(B2294,E2294)</f>
        <v>0</v>
      </c>
      <c r="K2294" s="10">
        <f>[1]!EM_S_FA_ASSETSTURN(B2294,E2294)</f>
        <v>0</v>
      </c>
      <c r="L2294" s="12">
        <f>[1]!EM_HKS_VAL_MV(B2294,"2019-12-31","2")</f>
        <v>355098948.48000002</v>
      </c>
      <c r="M2294">
        <f>[1]!EM_S_VAL_PETTMDEDUCTED(B2294,E2294)</f>
        <v>-3.0411525268217798</v>
      </c>
      <c r="N2294" s="7">
        <f>[1]!EM_S_VAL_PBGOODWILLDEDUCTED(B2294,E2294)</f>
        <v>-1.5261522707165001</v>
      </c>
      <c r="O2294" s="7">
        <f>[1]!EM_S_VAL_PS_TTM(B2294,E2294)</f>
        <v>-22.422463336085599</v>
      </c>
      <c r="P2294" s="7">
        <f>[1]!EM_S_VAL_PCF_NCFTTM(B2294,E2294)</f>
        <v>-33.718671997328201</v>
      </c>
      <c r="Q2294" s="7">
        <f>[1]!EM_S_VAL_DIVIDENDYIELD2(B2294,E2294,"2019-11-29")</f>
        <v>0</v>
      </c>
      <c r="T2294"/>
      <c r="U2294">
        <f>[1]!EM_S_RATIO_EPS_TTM(B2294,E2294,"1")</f>
        <v>-0.27314089406565173</v>
      </c>
      <c r="AT2294" s="4" t="str">
        <f>[1]!EM_S_IPO_LISTEDDATE(B2294)</f>
        <v>1998-09-28</v>
      </c>
    </row>
    <row r="2295" spans="1:46">
      <c r="A2295">
        <v>2341</v>
      </c>
      <c r="B2295" t="str">
        <f>"600205"</f>
        <v>600205</v>
      </c>
      <c r="C2295" t="s">
        <v>3132</v>
      </c>
      <c r="D2295">
        <f>[1]!EM_S_INFO_INDEX_EM(B2295,"1")</f>
        <v>0</v>
      </c>
      <c r="E2295" s="4">
        <f t="shared" si="35"/>
        <v>43465</v>
      </c>
      <c r="F2295" s="11">
        <f>[1]!EM_S_PQ_PCTCHANGE(B2295,"2018-01-01","2019-12-31","3")</f>
        <v>0</v>
      </c>
      <c r="G2295" s="11">
        <f>[1]!EM_S_PQ_PCTCHANGE(B2295,"2018-12-31","2019-12-30","1")</f>
        <v>0</v>
      </c>
      <c r="H2295" s="11">
        <f>[1]!EM_S_FA_YOY_OR(B2295,E2295)</f>
        <v>0</v>
      </c>
      <c r="I2295" s="11">
        <f>[1]!EM_S_FA_GROSSPROFITMARGIN(B2295,E2295)</f>
        <v>0</v>
      </c>
      <c r="J2295" s="11">
        <f>[1]!EM_S_FA_NETPROFITMARGIN(B2295,E2295)</f>
        <v>0</v>
      </c>
      <c r="K2295" s="10">
        <f>[1]!EM_S_FA_ASSETSTURN(B2295,E2295)</f>
        <v>0</v>
      </c>
      <c r="L2295" s="12">
        <f>[1]!EM_HKS_VAL_MV(B2295,"2019-12-31","2")</f>
        <v>17075520000</v>
      </c>
      <c r="M2295">
        <f>[1]!EM_S_VAL_PETTMDEDUCTED(B2295,E2295)</f>
        <v>16.366755128703801</v>
      </c>
      <c r="N2295" s="7">
        <f>[1]!EM_S_VAL_PBGOODWILLDEDUCTED(B2295,E2295)</f>
        <v>4.2189851148495601</v>
      </c>
      <c r="O2295" s="7">
        <f>[1]!EM_S_VAL_PS_TTM(B2295,E2295)</f>
        <v>0</v>
      </c>
      <c r="P2295" s="7">
        <f>[1]!EM_S_VAL_PCF_NCFTTM(B2295,E2295)</f>
        <v>-33.041471201445397</v>
      </c>
      <c r="Q2295" s="7">
        <f>[1]!EM_S_VAL_DIVIDENDYIELD2(B2295,E2295,"2019-11-29")</f>
        <v>0</v>
      </c>
      <c r="T2295"/>
      <c r="U2295">
        <f>[1]!EM_S_RATIO_EPS_TTM(B2295,E2295,"1")</f>
        <v>1.5475752867261905</v>
      </c>
      <c r="AT2295" s="4" t="str">
        <f>[1]!EM_S_IPO_LISTEDDATE(B2295)</f>
        <v>1999-06-30</v>
      </c>
    </row>
    <row r="2296" spans="1:46">
      <c r="A2296">
        <v>2385</v>
      </c>
      <c r="B2296" t="str">
        <f>"600253"</f>
        <v>600253</v>
      </c>
      <c r="C2296" t="s">
        <v>3131</v>
      </c>
      <c r="D2296">
        <f>[1]!EM_S_INFO_INDEX_EM(B2296,"1")</f>
        <v>0</v>
      </c>
      <c r="E2296" s="4">
        <f t="shared" si="35"/>
        <v>43465</v>
      </c>
      <c r="F2296" s="11">
        <f>[1]!EM_S_PQ_PCTCHANGE(B2296,"2018-01-01","2019-12-31","3")</f>
        <v>0</v>
      </c>
      <c r="G2296" s="11">
        <f>[1]!EM_S_PQ_PCTCHANGE(B2296,"2018-12-31","2019-12-30","1")</f>
        <v>0</v>
      </c>
      <c r="H2296" s="11">
        <f>[1]!EM_S_FA_YOY_OR(B2296,E2296)</f>
        <v>0</v>
      </c>
      <c r="I2296" s="11">
        <f>[1]!EM_S_FA_GROSSPROFITMARGIN(B2296,E2296)</f>
        <v>0</v>
      </c>
      <c r="J2296" s="11">
        <f>[1]!EM_S_FA_NETPROFITMARGIN(B2296,E2296)</f>
        <v>0</v>
      </c>
      <c r="K2296" s="10">
        <f>[1]!EM_S_FA_ASSETSTURN(B2296,E2296)</f>
        <v>0</v>
      </c>
      <c r="L2296" s="12">
        <f>[1]!EM_HKS_VAL_MV(B2296,"2019-12-31","2")</f>
        <v>2629200000</v>
      </c>
      <c r="M2296">
        <f>[1]!EM_S_VAL_PETTMDEDUCTED(B2296,E2296)</f>
        <v>128.50215286559799</v>
      </c>
      <c r="N2296" s="7">
        <f>[1]!EM_S_VAL_PBGOODWILLDEDUCTED(B2296,E2296)</f>
        <v>3.02515248807918</v>
      </c>
      <c r="O2296" s="7">
        <f>[1]!EM_S_VAL_PS_TTM(B2296,E2296)</f>
        <v>0.79129900997988001</v>
      </c>
      <c r="P2296" s="7">
        <f>[1]!EM_S_VAL_PCF_NCFTTM(B2296,E2296)</f>
        <v>-154.561000780999</v>
      </c>
      <c r="Q2296" s="7">
        <f>[1]!EM_S_VAL_DIVIDENDYIELD2(B2296,E2296,"2019-11-29")</f>
        <v>0</v>
      </c>
      <c r="T2296"/>
      <c r="U2296">
        <f>[1]!EM_S_RATIO_EPS_TTM(B2296,E2296,"1")</f>
        <v>0.10754554907142858</v>
      </c>
      <c r="AT2296" s="4" t="str">
        <f>[1]!EM_S_IPO_LISTEDDATE(B2296)</f>
        <v>2000-12-27</v>
      </c>
    </row>
    <row r="2297" spans="1:46">
      <c r="A2297">
        <v>2394</v>
      </c>
      <c r="B2297" t="str">
        <f>"600263"</f>
        <v>600263</v>
      </c>
      <c r="C2297" t="s">
        <v>3130</v>
      </c>
      <c r="D2297">
        <f>[1]!EM_S_INFO_INDEX_EM(B2297,"1")</f>
        <v>0</v>
      </c>
      <c r="E2297" s="4">
        <f t="shared" si="35"/>
        <v>43465</v>
      </c>
      <c r="F2297" s="11">
        <f>[1]!EM_S_PQ_PCTCHANGE(B2297,"2018-01-01","2019-12-31","3")</f>
        <v>0</v>
      </c>
      <c r="G2297" s="11">
        <f>[1]!EM_S_PQ_PCTCHANGE(B2297,"2018-12-31","2019-12-30","1")</f>
        <v>0</v>
      </c>
      <c r="H2297" s="11">
        <f>[1]!EM_S_FA_YOY_OR(B2297,E2297)</f>
        <v>0</v>
      </c>
      <c r="I2297" s="11">
        <f>[1]!EM_S_FA_GROSSPROFITMARGIN(B2297,E2297)</f>
        <v>0</v>
      </c>
      <c r="J2297" s="11">
        <f>[1]!EM_S_FA_NETPROFITMARGIN(B2297,E2297)</f>
        <v>0</v>
      </c>
      <c r="K2297" s="10">
        <f>[1]!EM_S_FA_ASSETSTURN(B2297,E2297)</f>
        <v>0</v>
      </c>
      <c r="L2297" s="12">
        <f>[1]!EM_HKS_VAL_MV(B2297,"2019-12-31","2")</f>
        <v>6705625354.3000002</v>
      </c>
      <c r="M2297">
        <f>[1]!EM_S_VAL_PETTMDEDUCTED(B2297,E2297)</f>
        <v>35.071957745082599</v>
      </c>
      <c r="N2297" s="7">
        <f>[1]!EM_S_VAL_PBGOODWILLDEDUCTED(B2297,E2297)</f>
        <v>3.1182891259031602</v>
      </c>
      <c r="O2297" s="7">
        <f>[1]!EM_S_VAL_PS_TTM(B2297,E2297)</f>
        <v>0.50026295353183903</v>
      </c>
      <c r="P2297" s="7">
        <f>[1]!EM_S_VAL_PCF_NCFTTM(B2297,E2297)</f>
        <v>31.639490904452501</v>
      </c>
      <c r="Q2297" s="7">
        <f>[1]!EM_S_VAL_DIVIDENDYIELD2(B2297,E2297,"2019-11-29")</f>
        <v>0</v>
      </c>
      <c r="T2297"/>
      <c r="U2297">
        <f>[1]!EM_S_RATIO_EPS_TTM(B2297,E2297,"1")</f>
        <v>0.49130723334532533</v>
      </c>
      <c r="AT2297" s="4" t="str">
        <f>[1]!EM_S_IPO_LISTEDDATE(B2297)</f>
        <v>2000-07-25</v>
      </c>
    </row>
    <row r="2298" spans="1:46">
      <c r="A2298">
        <v>2400</v>
      </c>
      <c r="B2298" t="str">
        <f>"600270"</f>
        <v>600270</v>
      </c>
      <c r="C2298" t="s">
        <v>1080</v>
      </c>
      <c r="D2298">
        <f>[1]!EM_S_INFO_INDEX_EM(B2298,"1")</f>
        <v>0</v>
      </c>
      <c r="E2298" s="4">
        <f t="shared" si="35"/>
        <v>43465</v>
      </c>
      <c r="F2298" s="11">
        <f>[1]!EM_S_PQ_PCTCHANGE(B2298,"2018-01-01","2019-12-31","3")</f>
        <v>25.136000549999999</v>
      </c>
      <c r="G2298" s="11">
        <f>[1]!EM_S_PQ_PCTCHANGE(B2298,"2018-12-31","2019-12-30","1")</f>
        <v>0</v>
      </c>
      <c r="H2298" s="11">
        <f>[1]!EM_S_FA_YOY_OR(B2298,E2298)</f>
        <v>0</v>
      </c>
      <c r="I2298" s="11">
        <f>[1]!EM_S_FA_GROSSPROFITMARGIN(B2298,E2298)</f>
        <v>0</v>
      </c>
      <c r="J2298" s="11">
        <f>[1]!EM_S_FA_NETPROFITMARGIN(B2298,E2298)</f>
        <v>0</v>
      </c>
      <c r="K2298" s="10">
        <f>[1]!EM_S_FA_ASSETSTURN(B2298,E2298)</f>
        <v>0</v>
      </c>
      <c r="L2298" s="12">
        <f>[1]!EM_HKS_VAL_MV(B2298,"2019-12-31","2")</f>
        <v>19006061302.799999</v>
      </c>
      <c r="M2298">
        <f>[1]!EM_S_VAL_PETTMDEDUCTED(B2298,E2298)</f>
        <v>16.7156022995092</v>
      </c>
      <c r="N2298" s="7">
        <f>[1]!EM_S_VAL_PBGOODWILLDEDUCTED(B2298,E2298)</f>
        <v>2.2524276987714398</v>
      </c>
      <c r="O2298" s="7">
        <f>[1]!EM_S_VAL_PS_TTM(B2298,E2298)</f>
        <v>2.7360286874917499</v>
      </c>
      <c r="P2298" s="7">
        <f>[1]!EM_S_VAL_PCF_NCFTTM(B2298,E2298)</f>
        <v>23.431138494930298</v>
      </c>
      <c r="Q2298" s="7">
        <f>[1]!EM_S_VAL_DIVIDENDYIELD2(B2298,E2298,"2019-11-29")</f>
        <v>0</v>
      </c>
      <c r="T2298"/>
      <c r="U2298">
        <f>[1]!EM_S_RATIO_EPS_TTM(B2298,E2298,"1")</f>
        <v>1.4168266159586305</v>
      </c>
      <c r="AT2298" s="4" t="str">
        <f>[1]!EM_S_IPO_LISTEDDATE(B2298)</f>
        <v>2000-12-28</v>
      </c>
    </row>
    <row r="2299" spans="1:46">
      <c r="A2299">
        <v>2415</v>
      </c>
      <c r="B2299" t="str">
        <f>"600286"</f>
        <v>600286</v>
      </c>
      <c r="C2299" t="s">
        <v>3129</v>
      </c>
      <c r="D2299">
        <f>[1]!EM_S_INFO_INDEX_EM(B2299,"1")</f>
        <v>0</v>
      </c>
      <c r="E2299" s="4">
        <f t="shared" si="35"/>
        <v>43465</v>
      </c>
      <c r="F2299" s="11">
        <f>[1]!EM_S_PQ_PCTCHANGE(B2299,"2018-01-01","2019-12-31","3")</f>
        <v>0</v>
      </c>
      <c r="G2299" s="11">
        <f>[1]!EM_S_PQ_PCTCHANGE(B2299,"2018-12-31","2019-12-30","1")</f>
        <v>0</v>
      </c>
      <c r="H2299" s="11">
        <f>[1]!EM_S_FA_YOY_OR(B2299,E2299)</f>
        <v>-6.1964962302000002</v>
      </c>
      <c r="I2299" s="11">
        <f>[1]!EM_S_FA_GROSSPROFITMARGIN(B2299,E2299)</f>
        <v>46.092291781299998</v>
      </c>
      <c r="J2299" s="11">
        <f>[1]!EM_S_FA_NETPROFITMARGIN(B2299,E2299)</f>
        <v>23.373759825800001</v>
      </c>
      <c r="K2299" s="10">
        <f>[1]!EM_S_FA_ASSETSTURN(B2299,E2299)</f>
        <v>0.52672331553499996</v>
      </c>
      <c r="L2299" s="12">
        <f>[1]!EM_HKS_VAL_MV(B2299,"2019-12-31","2")</f>
        <v>548649600</v>
      </c>
      <c r="M2299">
        <f>[1]!EM_S_VAL_PETTMDEDUCTED(B2299,E2299)</f>
        <v>21.119121880429699</v>
      </c>
      <c r="N2299" s="7">
        <f>[1]!EM_S_VAL_PBGOODWILLDEDUCTED(B2299,E2299)</f>
        <v>2.5786031180825999</v>
      </c>
      <c r="O2299" s="7">
        <f>[1]!EM_S_VAL_PS_TTM(B2299,E2299)</f>
        <v>3.6830244259542799</v>
      </c>
      <c r="P2299" s="7">
        <f>[1]!EM_S_VAL_PCF_NCFTTM(B2299,E2299)</f>
        <v>120.952213501524</v>
      </c>
      <c r="Q2299" s="7">
        <f>[1]!EM_S_VAL_DIVIDENDYIELD2(B2299,E2299,"2019-11-29")</f>
        <v>0</v>
      </c>
      <c r="T2299"/>
      <c r="U2299">
        <f>[1]!EM_S_RATIO_EPS_TTM(B2299,E2299,"1")</f>
        <v>3.7687195608636183E-2</v>
      </c>
      <c r="AT2299" s="4" t="str">
        <f>[1]!EM_S_IPO_LISTEDDATE(B2299)</f>
        <v>1999-12-09</v>
      </c>
    </row>
    <row r="2300" spans="1:46">
      <c r="A2300">
        <v>2424</v>
      </c>
      <c r="B2300" t="str">
        <f>"600296"</f>
        <v>600296</v>
      </c>
      <c r="C2300" t="s">
        <v>3128</v>
      </c>
      <c r="D2300">
        <f>[1]!EM_S_INFO_INDEX_EM(B2300,"1")</f>
        <v>0</v>
      </c>
      <c r="E2300" s="4">
        <f t="shared" si="35"/>
        <v>43465</v>
      </c>
      <c r="F2300" s="11">
        <f>[1]!EM_S_PQ_PCTCHANGE(B2300,"2018-01-01","2019-12-31","3")</f>
        <v>0</v>
      </c>
      <c r="G2300" s="11">
        <f>[1]!EM_S_PQ_PCTCHANGE(B2300,"2018-12-31","2019-12-30","1")</f>
        <v>0</v>
      </c>
      <c r="H2300" s="11">
        <f>[1]!EM_S_FA_YOY_OR(B2300,E2300)</f>
        <v>0</v>
      </c>
      <c r="I2300" s="11">
        <f>[1]!EM_S_FA_GROSSPROFITMARGIN(B2300,E2300)</f>
        <v>0</v>
      </c>
      <c r="J2300" s="11">
        <f>[1]!EM_S_FA_NETPROFITMARGIN(B2300,E2300)</f>
        <v>0</v>
      </c>
      <c r="K2300" s="10">
        <f>[1]!EM_S_FA_ASSETSTURN(B2300,E2300)</f>
        <v>0</v>
      </c>
      <c r="L2300" s="12">
        <f>[1]!EM_HKS_VAL_MV(B2300,"2019-12-31","2")</f>
        <v>7923391304.5799999</v>
      </c>
      <c r="M2300">
        <f>[1]!EM_S_VAL_PETTMDEDUCTED(B2300,E2300)</f>
        <v>27.500540188354499</v>
      </c>
      <c r="N2300" s="7">
        <f>[1]!EM_S_VAL_PBGOODWILLDEDUCTED(B2300,E2300)</f>
        <v>2.85662495911183</v>
      </c>
      <c r="O2300" s="7">
        <f>[1]!EM_S_VAL_PS_TTM(B2300,E2300)</f>
        <v>0</v>
      </c>
      <c r="P2300" s="7">
        <f>[1]!EM_S_VAL_PCF_NCFTTM(B2300,E2300)</f>
        <v>59.913300703684499</v>
      </c>
      <c r="Q2300" s="7">
        <f>[1]!EM_S_VAL_DIVIDENDYIELD2(B2300,E2300,"2019-11-29")</f>
        <v>0</v>
      </c>
      <c r="T2300"/>
      <c r="U2300">
        <f>[1]!EM_S_RATIO_EPS_TTM(B2300,E2300,"1")</f>
        <v>0.51309826700029437</v>
      </c>
      <c r="AT2300" s="4" t="str">
        <f>[1]!EM_S_IPO_LISTEDDATE(B2300)</f>
        <v>2000-07-19</v>
      </c>
    </row>
    <row r="2301" spans="1:46">
      <c r="A2301">
        <v>2477</v>
      </c>
      <c r="B2301" t="str">
        <f>"600357"</f>
        <v>600357</v>
      </c>
      <c r="C2301" t="s">
        <v>3125</v>
      </c>
      <c r="D2301">
        <f>[1]!EM_S_INFO_INDEX_EM(B2301,"1")</f>
        <v>0</v>
      </c>
      <c r="E2301" s="4">
        <f t="shared" si="35"/>
        <v>43465</v>
      </c>
      <c r="F2301" s="11">
        <f>[1]!EM_S_PQ_PCTCHANGE(B2301,"2018-01-01","2019-12-31","3")</f>
        <v>0</v>
      </c>
      <c r="G2301" s="11">
        <f>[1]!EM_S_PQ_PCTCHANGE(B2301,"2018-12-31","2019-12-30","1")</f>
        <v>0</v>
      </c>
      <c r="H2301" s="11">
        <f>[1]!EM_S_FA_YOY_OR(B2301,E2301)</f>
        <v>0</v>
      </c>
      <c r="I2301" s="11">
        <f>[1]!EM_S_FA_GROSSPROFITMARGIN(B2301,E2301)</f>
        <v>0</v>
      </c>
      <c r="J2301" s="11">
        <f>[1]!EM_S_FA_NETPROFITMARGIN(B2301,E2301)</f>
        <v>0</v>
      </c>
      <c r="K2301" s="10">
        <f>[1]!EM_S_FA_ASSETSTURN(B2301,E2301)</f>
        <v>0</v>
      </c>
      <c r="L2301" s="12">
        <f>[1]!EM_HKS_VAL_MV(B2301,"2019-12-31","2")</f>
        <v>7256936096</v>
      </c>
      <c r="M2301">
        <f>[1]!EM_S_VAL_PETTMDEDUCTED(B2301,E2301)</f>
        <v>-30.296447873082599</v>
      </c>
      <c r="N2301" s="7">
        <f>[1]!EM_S_VAL_PBGOODWILLDEDUCTED(B2301,E2301)</f>
        <v>2.08557488007443</v>
      </c>
      <c r="O2301" s="7">
        <f>[1]!EM_S_VAL_PS_TTM(B2301,E2301)</f>
        <v>0.46940918826380401</v>
      </c>
      <c r="P2301" s="7">
        <f>[1]!EM_S_VAL_PCF_NCFTTM(B2301,E2301)</f>
        <v>-4.8548468593410004</v>
      </c>
      <c r="Q2301" s="7">
        <f>[1]!EM_S_VAL_DIVIDENDYIELD2(B2301,E2301,"2019-11-29")</f>
        <v>0</v>
      </c>
      <c r="T2301"/>
      <c r="U2301">
        <f>[1]!EM_S_RATIO_EPS_TTM(B2301,E2301,"1")</f>
        <v>-0.22897428948973345</v>
      </c>
      <c r="AT2301" s="4" t="str">
        <f>[1]!EM_S_IPO_LISTEDDATE(B2301)</f>
        <v>2002-09-06</v>
      </c>
    </row>
    <row r="2302" spans="1:46">
      <c r="A2302">
        <v>2536</v>
      </c>
      <c r="B2302" t="str">
        <f>"600432"</f>
        <v>600432</v>
      </c>
      <c r="C2302" t="s">
        <v>3667</v>
      </c>
      <c r="D2302">
        <f>[1]!EM_S_INFO_INDEX_EM(B2302,"1")</f>
        <v>0</v>
      </c>
      <c r="E2302" s="4">
        <f t="shared" si="35"/>
        <v>43465</v>
      </c>
      <c r="F2302" s="11">
        <f>[1]!EM_S_PQ_PCTCHANGE(B2302,"2018-01-01","2019-12-31","3")</f>
        <v>-79.525222549999995</v>
      </c>
      <c r="G2302" s="11">
        <f>[1]!EM_S_PQ_PCTCHANGE(B2302,"2018-12-31","2019-12-30","1")</f>
        <v>0</v>
      </c>
      <c r="H2302" s="11">
        <f>[1]!EM_S_FA_YOY_OR(B2302,E2302)</f>
        <v>20.5293760536</v>
      </c>
      <c r="I2302" s="11">
        <f>[1]!EM_S_FA_GROSSPROFITMARGIN(B2302,E2302)</f>
        <v>20.735332579800001</v>
      </c>
      <c r="J2302" s="11">
        <f>[1]!EM_S_FA_NETPROFITMARGIN(B2302,E2302)</f>
        <v>-63.452984600199997</v>
      </c>
      <c r="K2302" s="10">
        <f>[1]!EM_S_FA_ASSETSTURN(B2302,E2302)</f>
        <v>0.29988809644999997</v>
      </c>
      <c r="L2302" s="12">
        <f>[1]!EM_HKS_VAL_MV(B2302,"2019-12-31","2")</f>
        <v>1081367614.98</v>
      </c>
      <c r="M2302">
        <f>[1]!EM_S_VAL_PETTMDEDUCTED(B2302,E2302)</f>
        <v>-1.05713033135339</v>
      </c>
      <c r="N2302" s="7">
        <f>[1]!EM_S_VAL_PBGOODWILLDEDUCTED(B2302,E2302)</f>
        <v>-0.81242226759135305</v>
      </c>
      <c r="O2302" s="7">
        <f>[1]!EM_S_VAL_PS_TTM(B2302,E2302)</f>
        <v>0.60441258337292203</v>
      </c>
      <c r="P2302" s="7">
        <f>[1]!EM_S_VAL_PCF_NCFTTM(B2302,E2302)</f>
        <v>297.50606091273801</v>
      </c>
      <c r="Q2302" s="7">
        <f>[1]!EM_S_VAL_DIVIDENDYIELD2(B2302,E2302,"2019-11-29")</f>
        <v>0</v>
      </c>
      <c r="T2302"/>
      <c r="U2302">
        <f>[1]!EM_S_RATIO_EPS_TTM(B2302,E2302,"1")</f>
        <v>-1.4082797209217401</v>
      </c>
      <c r="AT2302" s="4" t="str">
        <f>[1]!EM_S_IPO_LISTEDDATE(B2302)</f>
        <v>2003-09-05</v>
      </c>
    </row>
    <row r="2303" spans="1:46">
      <c r="A2303">
        <v>2560</v>
      </c>
      <c r="B2303" t="str">
        <f>"600472"</f>
        <v>600472</v>
      </c>
      <c r="C2303" t="s">
        <v>3124</v>
      </c>
      <c r="D2303">
        <f>[1]!EM_S_INFO_INDEX_EM(B2303,"1")</f>
        <v>0</v>
      </c>
      <c r="E2303" s="4">
        <f t="shared" si="35"/>
        <v>43465</v>
      </c>
      <c r="F2303" s="11">
        <f>[1]!EM_S_PQ_PCTCHANGE(B2303,"2018-01-01","2019-12-31","3")</f>
        <v>0</v>
      </c>
      <c r="G2303" s="11">
        <f>[1]!EM_S_PQ_PCTCHANGE(B2303,"2018-12-31","2019-12-30","1")</f>
        <v>0</v>
      </c>
      <c r="H2303" s="11">
        <f>[1]!EM_S_FA_YOY_OR(B2303,E2303)</f>
        <v>0</v>
      </c>
      <c r="I2303" s="11">
        <f>[1]!EM_S_FA_GROSSPROFITMARGIN(B2303,E2303)</f>
        <v>0</v>
      </c>
      <c r="J2303" s="11">
        <f>[1]!EM_S_FA_NETPROFITMARGIN(B2303,E2303)</f>
        <v>0</v>
      </c>
      <c r="K2303" s="10">
        <f>[1]!EM_S_FA_ASSETSTURN(B2303,E2303)</f>
        <v>0</v>
      </c>
      <c r="L2303" s="12">
        <f>[1]!EM_HKS_VAL_MV(B2303,"2019-12-31","2")</f>
        <v>21140550000</v>
      </c>
      <c r="M2303">
        <f>[1]!EM_S_VAL_PETTMDEDUCTED(B2303,E2303)</f>
        <v>31.604436200345202</v>
      </c>
      <c r="N2303" s="7">
        <f>[1]!EM_S_VAL_PBGOODWILLDEDUCTED(B2303,E2303)</f>
        <v>9.8598265293690197</v>
      </c>
      <c r="O2303" s="7">
        <f>[1]!EM_S_VAL_PS_TTM(B2303,E2303)</f>
        <v>29.542233921729199</v>
      </c>
      <c r="P2303" s="7">
        <f>[1]!EM_S_VAL_PCF_NCFTTM(B2303,E2303)</f>
        <v>-145.17539612540699</v>
      </c>
      <c r="Q2303" s="7">
        <f>[1]!EM_S_VAL_DIVIDENDYIELD2(B2303,E2303,"2019-11-29")</f>
        <v>0</v>
      </c>
      <c r="T2303"/>
      <c r="U2303">
        <f>[1]!EM_S_RATIO_EPS_TTM(B2303,E2303,"1")</f>
        <v>1.5505438603016239</v>
      </c>
      <c r="AT2303" s="4" t="str">
        <f>[1]!EM_S_IPO_LISTEDDATE(B2303)</f>
        <v>2005-05-09</v>
      </c>
    </row>
    <row r="2304" spans="1:46">
      <c r="A2304">
        <v>2629</v>
      </c>
      <c r="B2304" t="str">
        <f>"600553"</f>
        <v>600553</v>
      </c>
      <c r="C2304" t="s">
        <v>3123</v>
      </c>
      <c r="D2304">
        <f>[1]!EM_S_INFO_INDEX_EM(B2304,"1")</f>
        <v>0</v>
      </c>
      <c r="E2304" s="4">
        <f t="shared" si="35"/>
        <v>43465</v>
      </c>
      <c r="F2304" s="11">
        <f>[1]!EM_S_PQ_PCTCHANGE(B2304,"2018-01-01","2019-12-31","3")</f>
        <v>0</v>
      </c>
      <c r="G2304" s="11">
        <f>[1]!EM_S_PQ_PCTCHANGE(B2304,"2018-12-31","2019-12-30","1")</f>
        <v>0</v>
      </c>
      <c r="H2304" s="11">
        <f>[1]!EM_S_FA_YOY_OR(B2304,E2304)</f>
        <v>0</v>
      </c>
      <c r="I2304" s="11">
        <f>[1]!EM_S_FA_GROSSPROFITMARGIN(B2304,E2304)</f>
        <v>0</v>
      </c>
      <c r="J2304" s="11">
        <f>[1]!EM_S_FA_NETPROFITMARGIN(B2304,E2304)</f>
        <v>0</v>
      </c>
      <c r="K2304" s="10">
        <f>[1]!EM_S_FA_ASSETSTURN(B2304,E2304)</f>
        <v>0</v>
      </c>
      <c r="L2304" s="12">
        <f>[1]!EM_HKS_VAL_MV(B2304,"2019-12-31","2")</f>
        <v>5692400000</v>
      </c>
      <c r="M2304">
        <f>[1]!EM_S_VAL_PETTMDEDUCTED(B2304,E2304)</f>
        <v>58.552688316014297</v>
      </c>
      <c r="N2304" s="7">
        <f>[1]!EM_S_VAL_PBGOODWILLDEDUCTED(B2304,E2304)</f>
        <v>6.4101243270944401</v>
      </c>
      <c r="O2304" s="7">
        <f>[1]!EM_S_VAL_PS_TTM(B2304,E2304)</f>
        <v>2.0240833241872598</v>
      </c>
      <c r="P2304" s="7">
        <f>[1]!EM_S_VAL_PCF_NCFTTM(B2304,E2304)</f>
        <v>-39.058248754637702</v>
      </c>
      <c r="Q2304" s="7">
        <f>[1]!EM_S_VAL_DIVIDENDYIELD2(B2304,E2304,"2019-11-29")</f>
        <v>0</v>
      </c>
      <c r="T2304"/>
      <c r="U2304">
        <f>[1]!EM_S_RATIO_EPS_TTM(B2304,E2304,"1")</f>
        <v>0.18270908481578949</v>
      </c>
      <c r="AT2304" s="4" t="str">
        <f>[1]!EM_S_IPO_LISTEDDATE(B2304)</f>
        <v>2002-08-22</v>
      </c>
    </row>
    <row r="2305" spans="1:46">
      <c r="A2305">
        <v>2664</v>
      </c>
      <c r="B2305" t="str">
        <f>"600591"</f>
        <v>600591</v>
      </c>
      <c r="C2305" t="s">
        <v>3122</v>
      </c>
      <c r="D2305">
        <f>[1]!EM_S_INFO_INDEX_EM(B2305,"1")</f>
        <v>0</v>
      </c>
      <c r="E2305" s="4">
        <f t="shared" si="35"/>
        <v>43465</v>
      </c>
      <c r="F2305" s="11">
        <f>[1]!EM_S_PQ_PCTCHANGE(B2305,"2018-01-01","2019-12-31","3")</f>
        <v>0</v>
      </c>
      <c r="G2305" s="11">
        <f>[1]!EM_S_PQ_PCTCHANGE(B2305,"2018-12-31","2019-12-30","1")</f>
        <v>0</v>
      </c>
      <c r="H2305" s="11">
        <f>[1]!EM_S_FA_YOY_OR(B2305,E2305)</f>
        <v>0</v>
      </c>
      <c r="I2305" s="11">
        <f>[1]!EM_S_FA_GROSSPROFITMARGIN(B2305,E2305)</f>
        <v>0</v>
      </c>
      <c r="J2305" s="11">
        <f>[1]!EM_S_FA_NETPROFITMARGIN(B2305,E2305)</f>
        <v>0</v>
      </c>
      <c r="K2305" s="10">
        <f>[1]!EM_S_FA_ASSETSTURN(B2305,E2305)</f>
        <v>0</v>
      </c>
      <c r="L2305" s="12">
        <f>[1]!EM_HKS_VAL_MV(B2305,"2019-12-31","2")</f>
        <v>9478060394</v>
      </c>
      <c r="M2305">
        <f>[1]!EM_S_VAL_PETTMDEDUCTED(B2305,E2305)</f>
        <v>-6.8808278276849597</v>
      </c>
      <c r="N2305" s="7">
        <f>[1]!EM_S_VAL_PBGOODWILLDEDUCTED(B2305,E2305)</f>
        <v>8.69397760056113</v>
      </c>
      <c r="O2305" s="7">
        <f>[1]!EM_S_VAL_PS_TTM(B2305,E2305)</f>
        <v>0.77290253978305501</v>
      </c>
      <c r="P2305" s="7">
        <f>[1]!EM_S_VAL_PCF_NCFTTM(B2305,E2305)</f>
        <v>21.528362405947099</v>
      </c>
      <c r="Q2305" s="7">
        <f>[1]!EM_S_VAL_DIVIDENDYIELD2(B2305,E2305,"2019-11-29")</f>
        <v>0</v>
      </c>
      <c r="T2305"/>
      <c r="U2305">
        <f>[1]!EM_S_RATIO_EPS_TTM(B2305,E2305,"1")</f>
        <v>-0.72940345000645079</v>
      </c>
      <c r="AT2305" s="4" t="str">
        <f>[1]!EM_S_IPO_LISTEDDATE(B2305)</f>
        <v>2002-10-11</v>
      </c>
    </row>
    <row r="2306" spans="1:46">
      <c r="A2306">
        <v>2680</v>
      </c>
      <c r="B2306" t="str">
        <f>"600607"</f>
        <v>600607</v>
      </c>
      <c r="C2306" t="s">
        <v>3121</v>
      </c>
      <c r="D2306">
        <f>[1]!EM_S_INFO_INDEX_EM(B2306,"1")</f>
        <v>0</v>
      </c>
      <c r="E2306" s="4">
        <f t="shared" si="35"/>
        <v>43465</v>
      </c>
      <c r="F2306" s="11">
        <f>[1]!EM_S_PQ_PCTCHANGE(B2306,"2018-01-01","2019-12-31","3")</f>
        <v>0</v>
      </c>
      <c r="G2306" s="11">
        <f>[1]!EM_S_PQ_PCTCHANGE(B2306,"2018-12-31","2019-12-30","1")</f>
        <v>0</v>
      </c>
      <c r="H2306" s="11">
        <f>[1]!EM_S_FA_YOY_OR(B2306,E2306)</f>
        <v>0</v>
      </c>
      <c r="I2306" s="11">
        <f>[1]!EM_S_FA_GROSSPROFITMARGIN(B2306,E2306)</f>
        <v>0</v>
      </c>
      <c r="J2306" s="11">
        <f>[1]!EM_S_FA_NETPROFITMARGIN(B2306,E2306)</f>
        <v>0</v>
      </c>
      <c r="K2306" s="10">
        <f>[1]!EM_S_FA_ASSETSTURN(B2306,E2306)</f>
        <v>0</v>
      </c>
      <c r="L2306" s="12">
        <f>[1]!EM_HKS_VAL_MV(B2306,"2019-12-31","2")</f>
        <v>8651004589.9200001</v>
      </c>
      <c r="M2306">
        <f>[1]!EM_S_VAL_PETTMDEDUCTED(B2306,E2306)</f>
        <v>57.093842419987602</v>
      </c>
      <c r="N2306" s="7">
        <f>[1]!EM_S_VAL_PBGOODWILLDEDUCTED(B2306,E2306)</f>
        <v>3.94079235357894</v>
      </c>
      <c r="O2306" s="7">
        <f>[1]!EM_S_VAL_PS_TTM(B2306,E2306)</f>
        <v>2.5220216821418102</v>
      </c>
      <c r="P2306" s="7">
        <f>[1]!EM_S_VAL_PCF_NCFTTM(B2306,E2306)</f>
        <v>8.4873410486611895</v>
      </c>
      <c r="Q2306" s="7">
        <f>[1]!EM_S_VAL_DIVIDENDYIELD2(B2306,E2306,"2019-11-29")</f>
        <v>0</v>
      </c>
      <c r="T2306"/>
      <c r="U2306">
        <f>[1]!EM_S_RATIO_EPS_TTM(B2306,E2306,"1")</f>
        <v>1.4506047151373489</v>
      </c>
      <c r="AT2306" s="4" t="str">
        <f>[1]!EM_S_IPO_LISTEDDATE(B2306)</f>
        <v>1992-03-27</v>
      </c>
    </row>
    <row r="2307" spans="1:46">
      <c r="A2307">
        <v>2698</v>
      </c>
      <c r="B2307" t="str">
        <f>"600625"</f>
        <v>600625</v>
      </c>
      <c r="C2307" t="s">
        <v>3120</v>
      </c>
      <c r="D2307">
        <f>[1]!EM_S_INFO_INDEX_EM(B2307,"1")</f>
        <v>0</v>
      </c>
      <c r="E2307" s="4">
        <f t="shared" ref="E2307:E2370" si="36">$B$1</f>
        <v>43465</v>
      </c>
      <c r="F2307" s="11">
        <f>[1]!EM_S_PQ_PCTCHANGE(B2307,"2018-01-01","2019-12-31","3")</f>
        <v>0</v>
      </c>
      <c r="G2307" s="11">
        <f>[1]!EM_S_PQ_PCTCHANGE(B2307,"2018-12-31","2019-12-30","1")</f>
        <v>0</v>
      </c>
      <c r="H2307" s="11">
        <f>[1]!EM_S_FA_YOY_OR(B2307,E2307)</f>
        <v>-29.886088873199999</v>
      </c>
      <c r="I2307" s="11">
        <f>[1]!EM_S_FA_GROSSPROFITMARGIN(B2307,E2307)</f>
        <v>25.939167519200002</v>
      </c>
      <c r="J2307" s="11">
        <f>[1]!EM_S_FA_NETPROFITMARGIN(B2307,E2307)</f>
        <v>4.6905104713999997</v>
      </c>
      <c r="K2307" s="10">
        <f>[1]!EM_S_FA_ASSETSTURN(B2307,E2307)</f>
        <v>0.627121055388</v>
      </c>
      <c r="L2307" s="12">
        <f>[1]!EM_HKS_VAL_MV(B2307,"2019-12-31","2")</f>
        <v>1134724800</v>
      </c>
      <c r="M2307">
        <f>[1]!EM_S_VAL_PETTMDEDUCTED(B2307,E2307)</f>
        <v>2405.9851171010901</v>
      </c>
      <c r="N2307" s="7">
        <f>[1]!EM_S_VAL_PBGOODWILLDEDUCTED(B2307,E2307)</f>
        <v>-24.290414723340401</v>
      </c>
      <c r="O2307" s="7">
        <f>[1]!EM_S_VAL_PS_TTM(B2307,E2307)</f>
        <v>43.4800707322485</v>
      </c>
      <c r="P2307" s="7">
        <f>[1]!EM_S_VAL_PCF_NCFTTM(B2307,E2307)</f>
        <v>960.39492214661402</v>
      </c>
      <c r="Q2307" s="7">
        <f>[1]!EM_S_VAL_DIVIDENDYIELD2(B2307,E2307,"2019-11-29")</f>
        <v>0</v>
      </c>
      <c r="T2307"/>
      <c r="U2307">
        <f>[1]!EM_S_RATIO_EPS_TTM(B2307,E2307,"1")</f>
        <v>3.9889807149715954E-3</v>
      </c>
      <c r="AT2307" s="4" t="str">
        <f>[1]!EM_S_IPO_LISTEDDATE(B2307)</f>
        <v>1993-01-06</v>
      </c>
    </row>
    <row r="2308" spans="1:46">
      <c r="A2308">
        <v>2700</v>
      </c>
      <c r="B2308" t="str">
        <f>"600627"</f>
        <v>600627</v>
      </c>
      <c r="C2308" t="s">
        <v>3119</v>
      </c>
      <c r="D2308">
        <f>[1]!EM_S_INFO_INDEX_EM(B2308,"1")</f>
        <v>0</v>
      </c>
      <c r="E2308" s="4">
        <f t="shared" si="36"/>
        <v>43465</v>
      </c>
      <c r="F2308" s="11">
        <f>[1]!EM_S_PQ_PCTCHANGE(B2308,"2018-01-01","2019-12-31","3")</f>
        <v>0</v>
      </c>
      <c r="G2308" s="11">
        <f>[1]!EM_S_PQ_PCTCHANGE(B2308,"2018-12-31","2019-12-30","1")</f>
        <v>0</v>
      </c>
      <c r="H2308" s="11">
        <f>[1]!EM_S_FA_YOY_OR(B2308,E2308)</f>
        <v>0</v>
      </c>
      <c r="I2308" s="11">
        <f>[1]!EM_S_FA_GROSSPROFITMARGIN(B2308,E2308)</f>
        <v>0</v>
      </c>
      <c r="J2308" s="11">
        <f>[1]!EM_S_FA_NETPROFITMARGIN(B2308,E2308)</f>
        <v>0</v>
      </c>
      <c r="K2308" s="10">
        <f>[1]!EM_S_FA_ASSETSTURN(B2308,E2308)</f>
        <v>0</v>
      </c>
      <c r="L2308" s="12">
        <f>[1]!EM_HKS_VAL_MV(B2308,"2019-12-31","2")</f>
        <v>14881147435.959999</v>
      </c>
      <c r="M2308">
        <f>[1]!EM_S_VAL_PETTMDEDUCTED(B2308,E2308)</f>
        <v>30.3887651977508</v>
      </c>
      <c r="N2308" s="7">
        <f>[1]!EM_S_VAL_PBGOODWILLDEDUCTED(B2308,E2308)</f>
        <v>5.3237856800445602</v>
      </c>
      <c r="O2308" s="7">
        <f>[1]!EM_S_VAL_PS_TTM(B2308,E2308)</f>
        <v>4.7803238553513498</v>
      </c>
      <c r="P2308" s="7">
        <f>[1]!EM_S_VAL_PCF_NCFTTM(B2308,E2308)</f>
        <v>-219.12354528021999</v>
      </c>
      <c r="Q2308" s="7">
        <f>[1]!EM_S_VAL_DIVIDENDYIELD2(B2308,E2308,"2019-11-29")</f>
        <v>0</v>
      </c>
      <c r="T2308"/>
      <c r="U2308">
        <f>[1]!EM_S_RATIO_EPS_TTM(B2308,E2308,"1")</f>
        <v>0.95475876504983581</v>
      </c>
      <c r="AT2308" s="4" t="str">
        <f>[1]!EM_S_IPO_LISTEDDATE(B2308)</f>
        <v>1993-01-18</v>
      </c>
    </row>
    <row r="2309" spans="1:46">
      <c r="A2309">
        <v>2704</v>
      </c>
      <c r="B2309" t="str">
        <f>"600631"</f>
        <v>600631</v>
      </c>
      <c r="C2309" t="s">
        <v>1469</v>
      </c>
      <c r="D2309">
        <f>[1]!EM_S_INFO_INDEX_EM(B2309,"1")</f>
        <v>0</v>
      </c>
      <c r="E2309" s="4">
        <f t="shared" si="36"/>
        <v>43465</v>
      </c>
      <c r="F2309" s="11">
        <f>[1]!EM_S_PQ_PCTCHANGE(B2309,"2018-01-01","2019-12-31","3")</f>
        <v>0</v>
      </c>
      <c r="G2309" s="11">
        <f>[1]!EM_S_PQ_PCTCHANGE(B2309,"2018-12-31","2019-12-30","1")</f>
        <v>0</v>
      </c>
      <c r="H2309" s="11">
        <f>[1]!EM_S_FA_YOY_OR(B2309,E2309)</f>
        <v>0</v>
      </c>
      <c r="I2309" s="11">
        <f>[1]!EM_S_FA_GROSSPROFITMARGIN(B2309,E2309)</f>
        <v>0</v>
      </c>
      <c r="J2309" s="11">
        <f>[1]!EM_S_FA_NETPROFITMARGIN(B2309,E2309)</f>
        <v>0</v>
      </c>
      <c r="K2309" s="10">
        <f>[1]!EM_S_FA_ASSETSTURN(B2309,E2309)</f>
        <v>0</v>
      </c>
      <c r="L2309" s="12">
        <f>[1]!EM_HKS_VAL_MV(B2309,"2019-12-31","2")</f>
        <v>17264107985.599998</v>
      </c>
      <c r="M2309">
        <f>[1]!EM_S_VAL_PETTMDEDUCTED(B2309,E2309)</f>
        <v>30.378181795597101</v>
      </c>
      <c r="N2309" s="7">
        <f>[1]!EM_S_VAL_PBGOODWILLDEDUCTED(B2309,E2309)</f>
        <v>2.58693578740154</v>
      </c>
      <c r="O2309" s="7">
        <f>[1]!EM_S_VAL_PS_TTM(B2309,E2309)</f>
        <v>1.23957537305546</v>
      </c>
      <c r="P2309" s="7">
        <f>[1]!EM_S_VAL_PCF_NCFTTM(B2309,E2309)</f>
        <v>15.3922714687411</v>
      </c>
      <c r="Q2309" s="7">
        <f>[1]!EM_S_VAL_DIVIDENDYIELD2(B2309,E2309,"2019-11-29")</f>
        <v>0</v>
      </c>
      <c r="T2309"/>
      <c r="U2309">
        <f>[1]!EM_S_RATIO_EPS_TTM(B2309,E2309,"1")</f>
        <v>0.8252239219282933</v>
      </c>
      <c r="AT2309" s="4" t="str">
        <f>[1]!EM_S_IPO_LISTEDDATE(B2309)</f>
        <v>1993-02-19</v>
      </c>
    </row>
    <row r="2310" spans="1:46">
      <c r="A2310">
        <v>2705</v>
      </c>
      <c r="B2310" t="str">
        <f>"600632"</f>
        <v>600632</v>
      </c>
      <c r="C2310" t="s">
        <v>3118</v>
      </c>
      <c r="D2310">
        <f>[1]!EM_S_INFO_INDEX_EM(B2310,"1")</f>
        <v>0</v>
      </c>
      <c r="E2310" s="4">
        <f t="shared" si="36"/>
        <v>43465</v>
      </c>
      <c r="F2310" s="11">
        <f>[1]!EM_S_PQ_PCTCHANGE(B2310,"2018-01-01","2019-12-31","3")</f>
        <v>0</v>
      </c>
      <c r="G2310" s="11">
        <f>[1]!EM_S_PQ_PCTCHANGE(B2310,"2018-12-31","2019-12-30","1")</f>
        <v>0</v>
      </c>
      <c r="H2310" s="11">
        <f>[1]!EM_S_FA_YOY_OR(B2310,E2310)</f>
        <v>0</v>
      </c>
      <c r="I2310" s="11">
        <f>[1]!EM_S_FA_GROSSPROFITMARGIN(B2310,E2310)</f>
        <v>0</v>
      </c>
      <c r="J2310" s="11">
        <f>[1]!EM_S_FA_NETPROFITMARGIN(B2310,E2310)</f>
        <v>0</v>
      </c>
      <c r="K2310" s="10">
        <f>[1]!EM_S_FA_ASSETSTURN(B2310,E2310)</f>
        <v>0</v>
      </c>
      <c r="L2310" s="12">
        <f>[1]!EM_HKS_VAL_MV(B2310,"2019-12-31","2")</f>
        <v>4027376675.3299999</v>
      </c>
      <c r="M2310">
        <f>[1]!EM_S_VAL_PETTMDEDUCTED(B2310,E2310)</f>
        <v>70.224077552162498</v>
      </c>
      <c r="N2310" s="7">
        <f>[1]!EM_S_VAL_PBGOODWILLDEDUCTED(B2310,E2310)</f>
        <v>2.5337783442694199</v>
      </c>
      <c r="O2310" s="7">
        <f>[1]!EM_S_VAL_PS_TTM(B2310,E2310)</f>
        <v>0</v>
      </c>
      <c r="P2310" s="7">
        <f>[1]!EM_S_VAL_PCF_NCFTTM(B2310,E2310)</f>
        <v>-134.09693966096901</v>
      </c>
      <c r="Q2310" s="7">
        <f>[1]!EM_S_VAL_DIVIDENDYIELD2(B2310,E2310,"2019-11-29")</f>
        <v>0</v>
      </c>
      <c r="T2310"/>
      <c r="U2310">
        <f>[1]!EM_S_RATIO_EPS_TTM(B2310,E2310,"1")</f>
        <v>0.19797926258664811</v>
      </c>
      <c r="AT2310" s="4" t="str">
        <f>[1]!EM_S_IPO_LISTEDDATE(B2310)</f>
        <v>1993-02-19</v>
      </c>
    </row>
    <row r="2311" spans="1:46">
      <c r="A2311">
        <v>2719</v>
      </c>
      <c r="B2311" t="str">
        <f>"600646"</f>
        <v>600646</v>
      </c>
      <c r="C2311" t="s">
        <v>3117</v>
      </c>
      <c r="D2311">
        <f>[1]!EM_S_INFO_INDEX_EM(B2311,"1")</f>
        <v>0</v>
      </c>
      <c r="E2311" s="4">
        <f t="shared" si="36"/>
        <v>43465</v>
      </c>
      <c r="F2311" s="11">
        <f>[1]!EM_S_PQ_PCTCHANGE(B2311,"2018-01-01","2019-12-31","3")</f>
        <v>0</v>
      </c>
      <c r="G2311" s="11">
        <f>[1]!EM_S_PQ_PCTCHANGE(B2311,"2018-12-31","2019-12-30","1")</f>
        <v>0</v>
      </c>
      <c r="H2311" s="11">
        <f>[1]!EM_S_FA_YOY_OR(B2311,E2311)</f>
        <v>0</v>
      </c>
      <c r="I2311" s="11">
        <f>[1]!EM_S_FA_GROSSPROFITMARGIN(B2311,E2311)</f>
        <v>0</v>
      </c>
      <c r="J2311" s="11">
        <f>[1]!EM_S_FA_NETPROFITMARGIN(B2311,E2311)</f>
        <v>0</v>
      </c>
      <c r="K2311" s="10">
        <f>[1]!EM_S_FA_ASSETSTURN(B2311,E2311)</f>
        <v>0</v>
      </c>
      <c r="L2311" s="12">
        <f>[1]!EM_HKS_VAL_MV(B2311,"2019-12-31","2")</f>
        <v>1045911443.4</v>
      </c>
      <c r="M2311">
        <f>[1]!EM_S_VAL_PETTMDEDUCTED(B2311,E2311)</f>
        <v>11260.608514085399</v>
      </c>
      <c r="N2311" s="7">
        <f>[1]!EM_S_VAL_PBGOODWILLDEDUCTED(B2311,E2311)</f>
        <v>2830689.4459931301</v>
      </c>
      <c r="O2311" s="7">
        <f>[1]!EM_S_VAL_PS_TTM(B2311,E2311)</f>
        <v>2112.3309588736602</v>
      </c>
      <c r="P2311" s="7">
        <f>[1]!EM_S_VAL_PCF_NCFTTM(B2311,E2311)</f>
        <v>0</v>
      </c>
      <c r="Q2311" s="7">
        <f>[1]!EM_S_VAL_DIVIDENDYIELD2(B2311,E2311,"2019-11-29")</f>
        <v>0</v>
      </c>
      <c r="T2311"/>
      <c r="U2311">
        <f>[1]!EM_S_RATIO_EPS_TTM(B2311,E2311,"1")</f>
        <v>3.4063972112383144E-4</v>
      </c>
      <c r="AT2311" s="4" t="str">
        <f>[1]!EM_S_IPO_LISTEDDATE(B2311)</f>
        <v>1993-05-04</v>
      </c>
    </row>
    <row r="2312" spans="1:46">
      <c r="A2312">
        <v>2729</v>
      </c>
      <c r="B2312" t="str">
        <f>"600656"</f>
        <v>600656</v>
      </c>
      <c r="C2312" t="s">
        <v>3116</v>
      </c>
      <c r="D2312">
        <f>[1]!EM_S_INFO_INDEX_EM(B2312,"1")</f>
        <v>0</v>
      </c>
      <c r="E2312" s="4">
        <f t="shared" si="36"/>
        <v>43465</v>
      </c>
      <c r="F2312" s="11">
        <f>[1]!EM_S_PQ_PCTCHANGE(B2312,"2018-01-01","2019-12-31","3")</f>
        <v>0</v>
      </c>
      <c r="G2312" s="11">
        <f>[1]!EM_S_PQ_PCTCHANGE(B2312,"2018-12-31","2019-12-30","1")</f>
        <v>0</v>
      </c>
      <c r="H2312" s="11">
        <f>[1]!EM_S_FA_YOY_OR(B2312,E2312)</f>
        <v>0</v>
      </c>
      <c r="I2312" s="11">
        <f>[1]!EM_S_FA_GROSSPROFITMARGIN(B2312,E2312)</f>
        <v>0</v>
      </c>
      <c r="J2312" s="11">
        <f>[1]!EM_S_FA_NETPROFITMARGIN(B2312,E2312)</f>
        <v>0</v>
      </c>
      <c r="K2312" s="10">
        <f>[1]!EM_S_FA_ASSETSTURN(B2312,E2312)</f>
        <v>0</v>
      </c>
      <c r="L2312" s="12">
        <f>[1]!EM_HKS_VAL_MV(B2312,"2019-12-31","2")</f>
        <v>854643114.22000003</v>
      </c>
      <c r="M2312">
        <f>[1]!EM_S_VAL_PETTMDEDUCTED(B2312,E2312)</f>
        <v>-32.633211015520303</v>
      </c>
      <c r="N2312" s="7">
        <f>[1]!EM_S_VAL_PBGOODWILLDEDUCTED(B2312,E2312)</f>
        <v>-1.31446063022127</v>
      </c>
      <c r="O2312" s="7">
        <f>[1]!EM_S_VAL_PS_TTM(B2312,E2312)</f>
        <v>0</v>
      </c>
      <c r="P2312" s="7">
        <f>[1]!EM_S_VAL_PCF_NCFTTM(B2312,E2312)</f>
        <v>-14579.133856512501</v>
      </c>
      <c r="Q2312" s="7">
        <f>[1]!EM_S_VAL_DIVIDENDYIELD2(B2312,E2312,"2019-11-29")</f>
        <v>0</v>
      </c>
      <c r="T2312"/>
      <c r="U2312">
        <f>[1]!EM_S_RATIO_EPS_TTM(B2312,E2312,"1")</f>
        <v>-0.24096079124834394</v>
      </c>
      <c r="AT2312" s="4" t="str">
        <f>[1]!EM_S_IPO_LISTEDDATE(B2312)</f>
        <v>1990-12-19</v>
      </c>
    </row>
    <row r="2313" spans="1:46">
      <c r="A2313">
        <v>2742</v>
      </c>
      <c r="B2313" t="str">
        <f>"600669"</f>
        <v>600669</v>
      </c>
      <c r="C2313" t="s">
        <v>3114</v>
      </c>
      <c r="D2313">
        <f>[1]!EM_S_INFO_INDEX_EM(B2313,"1")</f>
        <v>0</v>
      </c>
      <c r="E2313" s="4">
        <f t="shared" si="36"/>
        <v>43465</v>
      </c>
      <c r="F2313" s="11">
        <f>[1]!EM_S_PQ_PCTCHANGE(B2313,"2018-01-01","2019-12-31","3")</f>
        <v>0</v>
      </c>
      <c r="G2313" s="11">
        <f>[1]!EM_S_PQ_PCTCHANGE(B2313,"2018-12-31","2019-12-30","1")</f>
        <v>0</v>
      </c>
      <c r="H2313" s="11">
        <f>[1]!EM_S_FA_YOY_OR(B2313,E2313)</f>
        <v>0</v>
      </c>
      <c r="I2313" s="11">
        <f>[1]!EM_S_FA_GROSSPROFITMARGIN(B2313,E2313)</f>
        <v>0</v>
      </c>
      <c r="J2313" s="11">
        <f>[1]!EM_S_FA_NETPROFITMARGIN(B2313,E2313)</f>
        <v>0</v>
      </c>
      <c r="K2313" s="10">
        <f>[1]!EM_S_FA_ASSETSTURN(B2313,E2313)</f>
        <v>0</v>
      </c>
      <c r="L2313" s="12">
        <f>[1]!EM_HKS_VAL_MV(B2313,"2019-12-31","2")</f>
        <v>1231689504.8099999</v>
      </c>
      <c r="M2313">
        <f>[1]!EM_S_VAL_PETTMDEDUCTED(B2313,E2313)</f>
        <v>32822.801716867201</v>
      </c>
      <c r="N2313" s="7">
        <f>[1]!EM_S_VAL_PBGOODWILLDEDUCTED(B2313,E2313)</f>
        <v>-672.789609909202</v>
      </c>
      <c r="O2313" s="7">
        <f>[1]!EM_S_VAL_PS_TTM(B2313,E2313)</f>
        <v>0</v>
      </c>
      <c r="P2313" s="7">
        <f>[1]!EM_S_VAL_PCF_NCFTTM(B2313,E2313)</f>
        <v>-514.49707835664901</v>
      </c>
      <c r="Q2313" s="7">
        <f>[1]!EM_S_VAL_DIVIDENDYIELD2(B2313,E2313,"2019-11-29")</f>
        <v>0</v>
      </c>
      <c r="T2313"/>
      <c r="U2313">
        <f>[1]!EM_S_RATIO_EPS_TTM(B2313,E2313,"1")</f>
        <v>6.7185177990366113E-5</v>
      </c>
      <c r="AT2313" s="4" t="str">
        <f>[1]!EM_S_IPO_LISTEDDATE(B2313)</f>
        <v>1993-08-06</v>
      </c>
    </row>
    <row r="2314" spans="1:46">
      <c r="A2314">
        <v>2743</v>
      </c>
      <c r="B2314" t="str">
        <f>"600670"</f>
        <v>600670</v>
      </c>
      <c r="C2314" t="s">
        <v>3113</v>
      </c>
      <c r="D2314">
        <f>[1]!EM_S_INFO_INDEX_EM(B2314,"1")</f>
        <v>0</v>
      </c>
      <c r="E2314" s="4">
        <f t="shared" si="36"/>
        <v>43465</v>
      </c>
      <c r="F2314" s="11">
        <f>[1]!EM_S_PQ_PCTCHANGE(B2314,"2018-01-01","2019-12-31","3")</f>
        <v>0</v>
      </c>
      <c r="G2314" s="11">
        <f>[1]!EM_S_PQ_PCTCHANGE(B2314,"2018-12-31","2019-12-30","1")</f>
        <v>0</v>
      </c>
      <c r="H2314" s="11">
        <f>[1]!EM_S_FA_YOY_OR(B2314,E2314)</f>
        <v>-16.860697481199999</v>
      </c>
      <c r="I2314" s="11">
        <f>[1]!EM_S_FA_GROSSPROFITMARGIN(B2314,E2314)</f>
        <v>64.569289674800004</v>
      </c>
      <c r="J2314" s="11">
        <f>[1]!EM_S_FA_NETPROFITMARGIN(B2314,E2314)</f>
        <v>33.963742799099997</v>
      </c>
      <c r="K2314" s="10">
        <f>[1]!EM_S_FA_ASSETSTURN(B2314,E2314)</f>
        <v>0.30998217925900001</v>
      </c>
      <c r="L2314" s="12">
        <f>[1]!EM_HKS_VAL_MV(B2314,"2019-12-31","2")</f>
        <v>402757673.07999998</v>
      </c>
      <c r="M2314">
        <f>[1]!EM_S_VAL_PETTMDEDUCTED(B2314,E2314)</f>
        <v>74.441792533602893</v>
      </c>
      <c r="N2314" s="7">
        <f>[1]!EM_S_VAL_PBGOODWILLDEDUCTED(B2314,E2314)</f>
        <v>10.720011609747001</v>
      </c>
      <c r="O2314" s="7">
        <f>[1]!EM_S_VAL_PS_TTM(B2314,E2314)</f>
        <v>17.242567757596099</v>
      </c>
      <c r="P2314" s="7">
        <f>[1]!EM_S_VAL_PCF_NCFTTM(B2314,E2314)</f>
        <v>-30.7898642517452</v>
      </c>
      <c r="Q2314" s="7">
        <f>[1]!EM_S_VAL_DIVIDENDYIELD2(B2314,E2314,"2019-11-29")</f>
        <v>0</v>
      </c>
      <c r="T2314"/>
      <c r="U2314">
        <f>[1]!EM_S_RATIO_EPS_TTM(B2314,E2314,"1")</f>
        <v>8.3780154235814114E-2</v>
      </c>
      <c r="AT2314" s="4" t="str">
        <f>[1]!EM_S_IPO_LISTEDDATE(B2314)</f>
        <v>1993-08-09</v>
      </c>
    </row>
    <row r="2315" spans="1:46">
      <c r="A2315">
        <v>2745</v>
      </c>
      <c r="B2315" t="str">
        <f>"600672"</f>
        <v>600672</v>
      </c>
      <c r="C2315" t="s">
        <v>3112</v>
      </c>
      <c r="D2315">
        <f>[1]!EM_S_INFO_INDEX_EM(B2315,"1")</f>
        <v>0</v>
      </c>
      <c r="E2315" s="4">
        <f t="shared" si="36"/>
        <v>43465</v>
      </c>
      <c r="F2315" s="11">
        <f>[1]!EM_S_PQ_PCTCHANGE(B2315,"2018-01-01","2019-12-31","3")</f>
        <v>0</v>
      </c>
      <c r="G2315" s="11">
        <f>[1]!EM_S_PQ_PCTCHANGE(B2315,"2018-12-31","2019-12-30","1")</f>
        <v>0</v>
      </c>
      <c r="H2315" s="11">
        <f>[1]!EM_S_FA_YOY_OR(B2315,E2315)</f>
        <v>-26.072190403099999</v>
      </c>
      <c r="I2315" s="11">
        <f>[1]!EM_S_FA_GROSSPROFITMARGIN(B2315,E2315)</f>
        <v>20.748390395400001</v>
      </c>
      <c r="J2315" s="11">
        <f>[1]!EM_S_FA_NETPROFITMARGIN(B2315,E2315)</f>
        <v>6.9009746649999997</v>
      </c>
      <c r="K2315" s="10">
        <f>[1]!EM_S_FA_ASSETSTURN(B2315,E2315)</f>
        <v>0.60801563135500003</v>
      </c>
      <c r="L2315" s="12">
        <f>[1]!EM_HKS_VAL_MV(B2315,"2019-12-31","2")</f>
        <v>321031226.60000002</v>
      </c>
      <c r="M2315">
        <f>[1]!EM_S_VAL_PETTMDEDUCTED(B2315,E2315)</f>
        <v>31.752983620965999</v>
      </c>
      <c r="N2315" s="7">
        <f>[1]!EM_S_VAL_PBGOODWILLDEDUCTED(B2315,E2315)</f>
        <v>3.30505777420082</v>
      </c>
      <c r="O2315" s="7">
        <f>[1]!EM_S_VAL_PS_TTM(B2315,E2315)</f>
        <v>1.4115339714785999</v>
      </c>
      <c r="P2315" s="7">
        <f>[1]!EM_S_VAL_PCF_NCFTTM(B2315,E2315)</f>
        <v>-57.718930200446003</v>
      </c>
      <c r="Q2315" s="7">
        <f>[1]!EM_S_VAL_DIVIDENDYIELD2(B2315,E2315,"2019-11-29")</f>
        <v>0</v>
      </c>
      <c r="T2315"/>
      <c r="U2315">
        <f>[1]!EM_S_RATIO_EPS_TTM(B2315,E2315,"1")</f>
        <v>2.2299698816900075E-2</v>
      </c>
      <c r="AT2315" s="4" t="str">
        <f>[1]!EM_S_IPO_LISTEDDATE(B2315)</f>
        <v>1993-09-17</v>
      </c>
    </row>
    <row r="2316" spans="1:46">
      <c r="A2316">
        <v>2753</v>
      </c>
      <c r="B2316" t="str">
        <f>"600680"</f>
        <v>600680</v>
      </c>
      <c r="C2316" t="s">
        <v>3624</v>
      </c>
      <c r="D2316">
        <f>[1]!EM_S_INFO_INDEX_EM(B2316,"1")</f>
        <v>0</v>
      </c>
      <c r="E2316" s="4">
        <f t="shared" si="36"/>
        <v>43465</v>
      </c>
      <c r="F2316" s="11">
        <f>[1]!EM_S_PQ_PCTCHANGE(B2316,"2018-01-01","2019-12-31","3")</f>
        <v>-26.48183556</v>
      </c>
      <c r="G2316" s="11">
        <f>[1]!EM_S_PQ_PCTCHANGE(B2316,"2018-12-31","2019-12-30","1")</f>
        <v>0</v>
      </c>
      <c r="H2316" s="11">
        <f>[1]!EM_S_FA_YOY_OR(B2316,E2316)</f>
        <v>-59.657536829999998</v>
      </c>
      <c r="I2316" s="11">
        <f>[1]!EM_S_FA_GROSSPROFITMARGIN(B2316,E2316)</f>
        <v>26.513221404700001</v>
      </c>
      <c r="J2316" s="11">
        <f>[1]!EM_S_FA_NETPROFITMARGIN(B2316,E2316)</f>
        <v>-76.542208767700004</v>
      </c>
      <c r="K2316" s="10">
        <f>[1]!EM_S_FA_ASSETSTURN(B2316,E2316)</f>
        <v>0.130048841695</v>
      </c>
      <c r="L2316" s="12">
        <f>[1]!EM_HKS_VAL_MV(B2316,"2019-12-31","2")</f>
        <v>2939312841.5300002</v>
      </c>
      <c r="M2316">
        <f>[1]!EM_S_VAL_PETTMDEDUCTED(B2316,E2316)</f>
        <v>-9.2448018899563298</v>
      </c>
      <c r="N2316" s="7">
        <f>[1]!EM_S_VAL_PBGOODWILLDEDUCTED(B2316,E2316)</f>
        <v>17.698896982468501</v>
      </c>
      <c r="O2316" s="7">
        <f>[1]!EM_S_VAL_PS_TTM(B2316,E2316)</f>
        <v>5.83648861039363</v>
      </c>
      <c r="P2316" s="7">
        <f>[1]!EM_S_VAL_PCF_NCFTTM(B2316,E2316)</f>
        <v>-71.478682058321894</v>
      </c>
      <c r="Q2316" s="7">
        <f>[1]!EM_S_VAL_DIVIDENDYIELD2(B2316,E2316,"2019-11-29")</f>
        <v>0</v>
      </c>
      <c r="T2316"/>
      <c r="U2316">
        <f>[1]!EM_S_RATIO_EPS_TTM(B2316,E2316,"1")</f>
        <v>-0.51970581743512212</v>
      </c>
      <c r="AT2316" s="4" t="str">
        <f>[1]!EM_S_IPO_LISTEDDATE(B2316)</f>
        <v>1993-10-18</v>
      </c>
    </row>
    <row r="2317" spans="1:46">
      <c r="A2317">
        <v>2773</v>
      </c>
      <c r="B2317" t="str">
        <f>"600700"</f>
        <v>600700</v>
      </c>
      <c r="C2317" t="s">
        <v>3111</v>
      </c>
      <c r="D2317">
        <f>[1]!EM_S_INFO_INDEX_EM(B2317,"1")</f>
        <v>0</v>
      </c>
      <c r="E2317" s="4">
        <f t="shared" si="36"/>
        <v>43465</v>
      </c>
      <c r="F2317" s="11">
        <f>[1]!EM_S_PQ_PCTCHANGE(B2317,"2018-01-01","2019-12-31","3")</f>
        <v>0</v>
      </c>
      <c r="G2317" s="11">
        <f>[1]!EM_S_PQ_PCTCHANGE(B2317,"2018-12-31","2019-12-30","1")</f>
        <v>0</v>
      </c>
      <c r="H2317" s="11">
        <f>[1]!EM_S_FA_YOY_OR(B2317,E2317)</f>
        <v>-17.036452762</v>
      </c>
      <c r="I2317" s="11">
        <f>[1]!EM_S_FA_GROSSPROFITMARGIN(B2317,E2317)</f>
        <v>48.952203583100001</v>
      </c>
      <c r="J2317" s="11">
        <f>[1]!EM_S_FA_NETPROFITMARGIN(B2317,E2317)</f>
        <v>-1786.7414580375</v>
      </c>
      <c r="K2317" s="10">
        <f>[1]!EM_S_FA_ASSETSTURN(B2317,E2317)</f>
        <v>1.1900868102999999E-2</v>
      </c>
      <c r="L2317" s="12">
        <f>[1]!EM_HKS_VAL_MV(B2317,"2019-12-31","2")</f>
        <v>186174750.72</v>
      </c>
      <c r="M2317">
        <f>[1]!EM_S_VAL_PETTMDEDUCTED(B2317,E2317)</f>
        <v>-3.16443912434731</v>
      </c>
      <c r="N2317" s="7">
        <f>[1]!EM_S_VAL_PBGOODWILLDEDUCTED(B2317,E2317)</f>
        <v>-0.131662050588297</v>
      </c>
      <c r="O2317" s="7">
        <f>[1]!EM_S_VAL_PS_TTM(B2317,E2317)</f>
        <v>68.265757013679305</v>
      </c>
      <c r="P2317" s="7">
        <f>[1]!EM_S_VAL_PCF_NCFTTM(B2317,E2317)</f>
        <v>-591.44979500244801</v>
      </c>
      <c r="Q2317" s="7">
        <f>[1]!EM_S_VAL_DIVIDENDYIELD2(B2317,E2317,"2019-11-29")</f>
        <v>0</v>
      </c>
      <c r="T2317"/>
      <c r="U2317">
        <f>[1]!EM_S_RATIO_EPS_TTM(B2317,E2317,"1")</f>
        <v>-0.20303545594778277</v>
      </c>
      <c r="AT2317" s="4" t="str">
        <f>[1]!EM_S_IPO_LISTEDDATE(B2317)</f>
        <v>1996-04-30</v>
      </c>
    </row>
    <row r="2318" spans="1:46">
      <c r="A2318">
        <v>2782</v>
      </c>
      <c r="B2318" t="str">
        <f>"600709"</f>
        <v>600709</v>
      </c>
      <c r="C2318" t="s">
        <v>3110</v>
      </c>
      <c r="D2318">
        <f>[1]!EM_S_INFO_INDEX_EM(B2318,"1")</f>
        <v>0</v>
      </c>
      <c r="E2318" s="4">
        <f t="shared" si="36"/>
        <v>43465</v>
      </c>
      <c r="F2318" s="11">
        <f>[1]!EM_S_PQ_PCTCHANGE(B2318,"2018-01-01","2019-12-31","3")</f>
        <v>0</v>
      </c>
      <c r="G2318" s="11">
        <f>[1]!EM_S_PQ_PCTCHANGE(B2318,"2018-12-31","2019-12-30","1")</f>
        <v>0</v>
      </c>
      <c r="H2318" s="11">
        <f>[1]!EM_S_FA_YOY_OR(B2318,E2318)</f>
        <v>-37.229416921599999</v>
      </c>
      <c r="I2318" s="11">
        <f>[1]!EM_S_FA_GROSSPROFITMARGIN(B2318,E2318)</f>
        <v>-3.6243105595</v>
      </c>
      <c r="J2318" s="11">
        <f>[1]!EM_S_FA_NETPROFITMARGIN(B2318,E2318)</f>
        <v>-89.309132966000007</v>
      </c>
      <c r="K2318" s="10">
        <f>[1]!EM_S_FA_ASSETSTURN(B2318,E2318)</f>
        <v>8.8638435000999993E-2</v>
      </c>
      <c r="L2318" s="12">
        <f>[1]!EM_HKS_VAL_MV(B2318,"2019-12-31","2")</f>
        <v>1347038438.3599999</v>
      </c>
      <c r="M2318">
        <f>[1]!EM_S_VAL_PETTMDEDUCTED(B2318,E2318)</f>
        <v>-156.86146341856201</v>
      </c>
      <c r="N2318" s="7">
        <f>[1]!EM_S_VAL_PBGOODWILLDEDUCTED(B2318,E2318)</f>
        <v>10.9092540591953</v>
      </c>
      <c r="O2318" s="7">
        <f>[1]!EM_S_VAL_PS_TTM(B2318,E2318)</f>
        <v>88.216631595716706</v>
      </c>
      <c r="P2318" s="7">
        <f>[1]!EM_S_VAL_PCF_NCFTTM(B2318,E2318)</f>
        <v>-464.50643258739302</v>
      </c>
      <c r="Q2318" s="7">
        <f>[1]!EM_S_VAL_DIVIDENDYIELD2(B2318,E2318,"2019-11-29")</f>
        <v>0</v>
      </c>
      <c r="T2318"/>
      <c r="U2318">
        <f>[1]!EM_S_RATIO_EPS_TTM(B2318,E2318,"1")</f>
        <v>-2.3089808394382037E-2</v>
      </c>
      <c r="AT2318" s="4" t="str">
        <f>[1]!EM_S_IPO_LISTEDDATE(B2318)</f>
        <v>1996-06-18</v>
      </c>
    </row>
    <row r="2319" spans="1:46">
      <c r="A2319">
        <v>2825</v>
      </c>
      <c r="B2319" t="str">
        <f>"600752"</f>
        <v>600752</v>
      </c>
      <c r="C2319" t="s">
        <v>3109</v>
      </c>
      <c r="D2319">
        <f>[1]!EM_S_INFO_INDEX_EM(B2319,"1")</f>
        <v>0</v>
      </c>
      <c r="E2319" s="4">
        <f t="shared" si="36"/>
        <v>43465</v>
      </c>
      <c r="F2319" s="11">
        <f>[1]!EM_S_PQ_PCTCHANGE(B2319,"2018-01-01","2019-12-31","3")</f>
        <v>0</v>
      </c>
      <c r="G2319" s="11">
        <f>[1]!EM_S_PQ_PCTCHANGE(B2319,"2018-12-31","2019-12-30","1")</f>
        <v>0</v>
      </c>
      <c r="H2319" s="11">
        <f>[1]!EM_S_FA_YOY_OR(B2319,E2319)</f>
        <v>0</v>
      </c>
      <c r="I2319" s="11">
        <f>[1]!EM_S_FA_GROSSPROFITMARGIN(B2319,E2319)</f>
        <v>0</v>
      </c>
      <c r="J2319" s="11">
        <f>[1]!EM_S_FA_NETPROFITMARGIN(B2319,E2319)</f>
        <v>0</v>
      </c>
      <c r="K2319" s="10">
        <f>[1]!EM_S_FA_ASSETSTURN(B2319,E2319)</f>
        <v>0</v>
      </c>
      <c r="L2319" s="12">
        <f>[1]!EM_HKS_VAL_MV(B2319,"2019-12-31","2")</f>
        <v>284309867.51999998</v>
      </c>
      <c r="M2319">
        <f>[1]!EM_S_VAL_PETTMDEDUCTED(B2319,E2319)</f>
        <v>-236.023221886588</v>
      </c>
      <c r="N2319" s="7">
        <f>[1]!EM_S_VAL_PBGOODWILLDEDUCTED(B2319,E2319)</f>
        <v>-0.50399333442323802</v>
      </c>
      <c r="O2319" s="7">
        <f>[1]!EM_S_VAL_PS_TTM(B2319,E2319)</f>
        <v>0</v>
      </c>
      <c r="P2319" s="7">
        <f>[1]!EM_S_VAL_PCF_NCFTTM(B2319,E2319)</f>
        <v>0</v>
      </c>
      <c r="Q2319" s="7">
        <f>[1]!EM_S_VAL_DIVIDENDYIELD2(B2319,E2319,"2019-11-29")</f>
        <v>0</v>
      </c>
      <c r="T2319"/>
      <c r="U2319">
        <f>[1]!EM_S_RATIO_EPS_TTM(B2319,E2319,"1")</f>
        <v>-6.6868818370022362E-3</v>
      </c>
      <c r="AT2319" s="4" t="str">
        <f>[1]!EM_S_IPO_LISTEDDATE(B2319)</f>
        <v>1996-09-25</v>
      </c>
    </row>
    <row r="2320" spans="1:46">
      <c r="A2320">
        <v>2835</v>
      </c>
      <c r="B2320" t="str">
        <f>"600762"</f>
        <v>600762</v>
      </c>
      <c r="C2320" t="s">
        <v>3108</v>
      </c>
      <c r="D2320">
        <f>[1]!EM_S_INFO_INDEX_EM(B2320,"1")</f>
        <v>0</v>
      </c>
      <c r="E2320" s="4">
        <f t="shared" si="36"/>
        <v>43465</v>
      </c>
      <c r="F2320" s="11">
        <f>[1]!EM_S_PQ_PCTCHANGE(B2320,"2018-01-01","2019-12-31","3")</f>
        <v>0</v>
      </c>
      <c r="G2320" s="11">
        <f>[1]!EM_S_PQ_PCTCHANGE(B2320,"2018-12-31","2019-12-30","1")</f>
        <v>0</v>
      </c>
      <c r="H2320" s="11">
        <f>[1]!EM_S_FA_YOY_OR(B2320,E2320)</f>
        <v>0</v>
      </c>
      <c r="I2320" s="11">
        <f>[1]!EM_S_FA_GROSSPROFITMARGIN(B2320,E2320)</f>
        <v>0</v>
      </c>
      <c r="J2320" s="11">
        <f>[1]!EM_S_FA_NETPROFITMARGIN(B2320,E2320)</f>
        <v>0</v>
      </c>
      <c r="K2320" s="10">
        <f>[1]!EM_S_FA_ASSETSTURN(B2320,E2320)</f>
        <v>0</v>
      </c>
      <c r="L2320" s="12">
        <f>[1]!EM_HKS_VAL_MV(B2320,"2019-12-31","2")</f>
        <v>81361280</v>
      </c>
      <c r="M2320">
        <f>[1]!EM_S_VAL_PETTMDEDUCTED(B2320,E2320)</f>
        <v>-3.06413125790329</v>
      </c>
      <c r="N2320" s="7">
        <f>[1]!EM_S_VAL_PBGOODWILLDEDUCTED(B2320,E2320)</f>
        <v>-0.22467042111388799</v>
      </c>
      <c r="O2320" s="7">
        <f>[1]!EM_S_VAL_PS_TTM(B2320,E2320)</f>
        <v>17.073322639591499</v>
      </c>
      <c r="P2320" s="7">
        <f>[1]!EM_S_VAL_PCF_NCFTTM(B2320,E2320)</f>
        <v>-1157.1015063273401</v>
      </c>
      <c r="Q2320" s="7">
        <f>[1]!EM_S_VAL_DIVIDENDYIELD2(B2320,E2320,"2019-11-29")</f>
        <v>0</v>
      </c>
      <c r="T2320"/>
      <c r="U2320">
        <f>[1]!EM_S_RATIO_EPS_TTM(B2320,E2320,"1")</f>
        <v>0.27280196452907329</v>
      </c>
      <c r="AT2320" s="4" t="str">
        <f>[1]!EM_S_IPO_LISTEDDATE(B2320)</f>
        <v>1996-10-25</v>
      </c>
    </row>
    <row r="2321" spans="1:46">
      <c r="A2321">
        <v>2845</v>
      </c>
      <c r="B2321" t="str">
        <f>"600772"</f>
        <v>600772</v>
      </c>
      <c r="C2321" t="s">
        <v>3107</v>
      </c>
      <c r="D2321">
        <f>[1]!EM_S_INFO_INDEX_EM(B2321,"1")</f>
        <v>0</v>
      </c>
      <c r="E2321" s="4">
        <f t="shared" si="36"/>
        <v>43465</v>
      </c>
      <c r="F2321" s="11">
        <f>[1]!EM_S_PQ_PCTCHANGE(B2321,"2018-01-01","2019-12-31","3")</f>
        <v>0</v>
      </c>
      <c r="G2321" s="11">
        <f>[1]!EM_S_PQ_PCTCHANGE(B2321,"2018-12-31","2019-12-30","1")</f>
        <v>0</v>
      </c>
      <c r="H2321" s="11">
        <f>[1]!EM_S_FA_YOY_OR(B2321,E2321)</f>
        <v>0</v>
      </c>
      <c r="I2321" s="11">
        <f>[1]!EM_S_FA_GROSSPROFITMARGIN(B2321,E2321)</f>
        <v>0</v>
      </c>
      <c r="J2321" s="11">
        <f>[1]!EM_S_FA_NETPROFITMARGIN(B2321,E2321)</f>
        <v>0</v>
      </c>
      <c r="K2321" s="10">
        <f>[1]!EM_S_FA_ASSETSTURN(B2321,E2321)</f>
        <v>0</v>
      </c>
      <c r="L2321" s="12">
        <f>[1]!EM_HKS_VAL_MV(B2321,"2019-12-31","2")</f>
        <v>373800960</v>
      </c>
      <c r="M2321">
        <f>[1]!EM_S_VAL_PETTMDEDUCTED(B2321,E2321)</f>
        <v>-2.54907939861612</v>
      </c>
      <c r="N2321" s="7">
        <f>[1]!EM_S_VAL_PBGOODWILLDEDUCTED(B2321,E2321)</f>
        <v>0.71359629236789601</v>
      </c>
      <c r="O2321" s="7">
        <f>[1]!EM_S_VAL_PS_TTM(B2321,E2321)</f>
        <v>-3.45342156485823</v>
      </c>
      <c r="P2321" s="7">
        <f>[1]!EM_S_VAL_PCF_NCFTTM(B2321,E2321)</f>
        <v>-5.09828426570893</v>
      </c>
      <c r="Q2321" s="7">
        <f>[1]!EM_S_VAL_DIVIDENDYIELD2(B2321,E2321,"2019-11-29")</f>
        <v>0</v>
      </c>
      <c r="T2321"/>
      <c r="U2321">
        <f>[1]!EM_S_RATIO_EPS_TTM(B2321,E2321,"1")</f>
        <v>-0.5571397128461093</v>
      </c>
      <c r="AT2321" s="4" t="str">
        <f>[1]!EM_S_IPO_LISTEDDATE(B2321)</f>
        <v>1996-11-04</v>
      </c>
    </row>
    <row r="2322" spans="1:46">
      <c r="A2322">
        <v>2859</v>
      </c>
      <c r="B2322" t="str">
        <f>"600786"</f>
        <v>600786</v>
      </c>
      <c r="C2322" t="s">
        <v>3106</v>
      </c>
      <c r="D2322">
        <f>[1]!EM_S_INFO_INDEX_EM(B2322,"1")</f>
        <v>0</v>
      </c>
      <c r="E2322" s="4">
        <f t="shared" si="36"/>
        <v>43465</v>
      </c>
      <c r="F2322" s="11">
        <f>[1]!EM_S_PQ_PCTCHANGE(B2322,"2018-01-01","2019-12-31","3")</f>
        <v>0</v>
      </c>
      <c r="G2322" s="11">
        <f>[1]!EM_S_PQ_PCTCHANGE(B2322,"2018-12-31","2019-12-30","1")</f>
        <v>0</v>
      </c>
      <c r="H2322" s="11">
        <f>[1]!EM_S_FA_YOY_OR(B2322,E2322)</f>
        <v>0</v>
      </c>
      <c r="I2322" s="11">
        <f>[1]!EM_S_FA_GROSSPROFITMARGIN(B2322,E2322)</f>
        <v>0</v>
      </c>
      <c r="J2322" s="11">
        <f>[1]!EM_S_FA_NETPROFITMARGIN(B2322,E2322)</f>
        <v>0</v>
      </c>
      <c r="K2322" s="10">
        <f>[1]!EM_S_FA_ASSETSTURN(B2322,E2322)</f>
        <v>0</v>
      </c>
      <c r="L2322" s="12">
        <f>[1]!EM_HKS_VAL_MV(B2322,"2019-12-31","2")</f>
        <v>34120295740</v>
      </c>
      <c r="M2322">
        <f>[1]!EM_S_VAL_PETTMDEDUCTED(B2322,E2322)</f>
        <v>59.621561153993703</v>
      </c>
      <c r="N2322" s="7">
        <f>[1]!EM_S_VAL_PBGOODWILLDEDUCTED(B2322,E2322)</f>
        <v>13.193385803774399</v>
      </c>
      <c r="O2322" s="7">
        <f>[1]!EM_S_VAL_PS_TTM(B2322,E2322)</f>
        <v>-148.178525302856</v>
      </c>
      <c r="P2322" s="7">
        <f>[1]!EM_S_VAL_PCF_NCFTTM(B2322,E2322)</f>
        <v>-111.629903884475</v>
      </c>
      <c r="Q2322" s="7">
        <f>[1]!EM_S_VAL_DIVIDENDYIELD2(B2322,E2322,"2019-11-29")</f>
        <v>0</v>
      </c>
      <c r="T2322"/>
      <c r="U2322">
        <f>[1]!EM_S_RATIO_EPS_TTM(B2322,E2322,"1")</f>
        <v>1.0512877337563196</v>
      </c>
      <c r="AT2322" s="4" t="str">
        <f>[1]!EM_S_IPO_LISTEDDATE(B2322)</f>
        <v>1996-12-27</v>
      </c>
    </row>
    <row r="2323" spans="1:46">
      <c r="A2323">
        <v>2861</v>
      </c>
      <c r="B2323" t="str">
        <f>"600788"</f>
        <v>600788</v>
      </c>
      <c r="C2323" t="s">
        <v>3105</v>
      </c>
      <c r="D2323">
        <f>[1]!EM_S_INFO_INDEX_EM(B2323,"1")</f>
        <v>0</v>
      </c>
      <c r="E2323" s="4">
        <f t="shared" si="36"/>
        <v>43465</v>
      </c>
      <c r="F2323" s="11">
        <f>[1]!EM_S_PQ_PCTCHANGE(B2323,"2018-01-01","2019-12-31","3")</f>
        <v>0</v>
      </c>
      <c r="G2323" s="11">
        <f>[1]!EM_S_PQ_PCTCHANGE(B2323,"2018-12-31","2019-12-30","1")</f>
        <v>0</v>
      </c>
      <c r="H2323" s="11">
        <f>[1]!EM_S_FA_YOY_OR(B2323,E2323)</f>
        <v>-14.2646753968</v>
      </c>
      <c r="I2323" s="11">
        <f>[1]!EM_S_FA_GROSSPROFITMARGIN(B2323,E2323)</f>
        <v>3.5201058238999998</v>
      </c>
      <c r="J2323" s="11">
        <f>[1]!EM_S_FA_NETPROFITMARGIN(B2323,E2323)</f>
        <v>-0.49005022079999999</v>
      </c>
      <c r="K2323" s="10">
        <f>[1]!EM_S_FA_ASSETSTURN(B2323,E2323)</f>
        <v>4.3952590489369996</v>
      </c>
      <c r="L2323" s="12">
        <f>[1]!EM_HKS_VAL_MV(B2323,"2019-12-31","2")</f>
        <v>988841876.75</v>
      </c>
      <c r="M2323">
        <f>[1]!EM_S_VAL_PETTMDEDUCTED(B2323,E2323)</f>
        <v>-675.95863767017102</v>
      </c>
      <c r="N2323" s="7">
        <f>[1]!EM_S_VAL_PBGOODWILLDEDUCTED(B2323,E2323)</f>
        <v>-26.303657921232201</v>
      </c>
      <c r="O2323" s="7">
        <f>[1]!EM_S_VAL_PS_TTM(B2323,E2323)</f>
        <v>0</v>
      </c>
      <c r="P2323" s="7">
        <f>[1]!EM_S_VAL_PCF_NCFTTM(B2323,E2323)</f>
        <v>-13105.201990215301</v>
      </c>
      <c r="Q2323" s="7">
        <f>[1]!EM_S_VAL_DIVIDENDYIELD2(B2323,E2323,"2019-11-29")</f>
        <v>0</v>
      </c>
      <c r="T2323"/>
      <c r="U2323">
        <f>[1]!EM_S_RATIO_EPS_TTM(B2323,E2323,"1")</f>
        <v>-2.8015554745770429E-3</v>
      </c>
      <c r="AT2323" s="4" t="str">
        <f>[1]!EM_S_IPO_LISTEDDATE(B2323)</f>
        <v>1996-12-30</v>
      </c>
    </row>
    <row r="2324" spans="1:46">
      <c r="A2324">
        <v>2732</v>
      </c>
      <c r="B2324" t="str">
        <f>"600659"</f>
        <v>600659</v>
      </c>
      <c r="C2324" t="s">
        <v>3115</v>
      </c>
      <c r="D2324">
        <f>[1]!EM_S_INFO_INDEX_EM(B2324,"1")</f>
        <v>0</v>
      </c>
      <c r="E2324" s="4">
        <f t="shared" si="36"/>
        <v>43465</v>
      </c>
      <c r="F2324" s="11">
        <f>[1]!EM_S_PQ_PCTCHANGE(B2324,"2018-01-01","2019-12-31","3")</f>
        <v>0</v>
      </c>
      <c r="G2324" s="11">
        <f>[1]!EM_S_PQ_PCTCHANGE(B2324,"2018-12-31","2019-12-30","1")</f>
        <v>0</v>
      </c>
      <c r="H2324" s="11">
        <f>[1]!EM_S_FA_YOY_OR(B2324,E2324)</f>
        <v>79.046232024299997</v>
      </c>
      <c r="I2324" s="11">
        <f>[1]!EM_S_FA_GROSSPROFITMARGIN(B2324,E2324)</f>
        <v>55.478586268999997</v>
      </c>
      <c r="J2324" s="11">
        <f>[1]!EM_S_FA_NETPROFITMARGIN(B2324,E2324)</f>
        <v>0.39040313230000001</v>
      </c>
      <c r="K2324" s="10">
        <f>[1]!EM_S_FA_ASSETSTURN(B2324,E2324)</f>
        <v>0.104191629706</v>
      </c>
      <c r="L2324" s="12">
        <f>[1]!EM_HKS_VAL_MV(B2324,"2019-12-31","2")</f>
        <v>1266774626.6099999</v>
      </c>
      <c r="M2324">
        <f>[1]!EM_S_VAL_PETTMDEDUCTED(B2324,E2324)</f>
        <v>1341.68965282256</v>
      </c>
      <c r="N2324" s="7">
        <f>[1]!EM_S_VAL_PBGOODWILLDEDUCTED(B2324,E2324)</f>
        <v>3.0564014428742499</v>
      </c>
      <c r="O2324" s="7">
        <f>[1]!EM_S_VAL_PS_TTM(B2324,E2324)</f>
        <v>30.567098125740301</v>
      </c>
      <c r="P2324" s="7">
        <f>[1]!EM_S_VAL_PCF_NCFTTM(B2324,E2324)</f>
        <v>65.584634543212204</v>
      </c>
      <c r="Q2324" s="7">
        <f>[1]!EM_S_VAL_DIVIDENDYIELD2(B2324,E2324,"2019-11-29")</f>
        <v>0</v>
      </c>
      <c r="T2324"/>
      <c r="U2324">
        <f>[1]!EM_S_RATIO_EPS_TTM(B2324,E2324,"1")</f>
        <v>3.2243589310993517E-4</v>
      </c>
      <c r="AT2324" s="4" t="str">
        <f>[1]!EM_S_IPO_LISTEDDATE(B2324)</f>
        <v>1993-05-28</v>
      </c>
    </row>
    <row r="2325" spans="1:46">
      <c r="A2325">
        <v>2872</v>
      </c>
      <c r="B2325" t="str">
        <f>"600799"</f>
        <v>600799</v>
      </c>
      <c r="C2325" t="s">
        <v>3104</v>
      </c>
      <c r="D2325">
        <f>[1]!EM_S_INFO_INDEX_EM(B2325,"1")</f>
        <v>0</v>
      </c>
      <c r="E2325" s="4">
        <f t="shared" si="36"/>
        <v>43465</v>
      </c>
      <c r="F2325" s="11">
        <f>[1]!EM_S_PQ_PCTCHANGE(B2325,"2018-01-01","2019-12-31","3")</f>
        <v>0</v>
      </c>
      <c r="G2325" s="11">
        <f>[1]!EM_S_PQ_PCTCHANGE(B2325,"2018-12-31","2019-12-30","1")</f>
        <v>0</v>
      </c>
      <c r="H2325" s="11">
        <f>[1]!EM_S_FA_YOY_OR(B2325,E2325)</f>
        <v>0</v>
      </c>
      <c r="I2325" s="11">
        <f>[1]!EM_S_FA_GROSSPROFITMARGIN(B2325,E2325)</f>
        <v>0</v>
      </c>
      <c r="J2325" s="11">
        <f>[1]!EM_S_FA_NETPROFITMARGIN(B2325,E2325)</f>
        <v>0</v>
      </c>
      <c r="K2325" s="10">
        <f>[1]!EM_S_FA_ASSETSTURN(B2325,E2325)</f>
        <v>0</v>
      </c>
      <c r="L2325" s="12">
        <f>[1]!EM_HKS_VAL_MV(B2325,"2019-12-31","2")</f>
        <v>210515760</v>
      </c>
      <c r="M2325">
        <f>[1]!EM_S_VAL_PETTMDEDUCTED(B2325,E2325)</f>
        <v>-0.30496757968242799</v>
      </c>
      <c r="N2325" s="7">
        <f>[1]!EM_S_VAL_PBGOODWILLDEDUCTED(B2325,E2325)</f>
        <v>-0.37964711258403899</v>
      </c>
      <c r="O2325" s="7">
        <f>[1]!EM_S_VAL_PS_TTM(B2325,E2325)</f>
        <v>62.341997263713999</v>
      </c>
      <c r="P2325" s="7">
        <f>[1]!EM_S_VAL_PCF_NCFTTM(B2325,E2325)</f>
        <v>35.120771943288702</v>
      </c>
      <c r="Q2325" s="7">
        <f>[1]!EM_S_VAL_DIVIDENDYIELD2(B2325,E2325,"2019-11-29")</f>
        <v>0</v>
      </c>
      <c r="T2325"/>
      <c r="U2325">
        <f>[1]!EM_S_RATIO_EPS_TTM(B2325,E2325,"1")</f>
        <v>-8.5910097372282244E-4</v>
      </c>
      <c r="AT2325" s="4" t="str">
        <f>[1]!EM_S_IPO_LISTEDDATE(B2325)</f>
        <v>1997-04-16</v>
      </c>
    </row>
    <row r="2326" spans="1:46">
      <c r="A2326">
        <v>2879</v>
      </c>
      <c r="B2326" t="str">
        <f>"600806"</f>
        <v>600806</v>
      </c>
      <c r="C2326" t="s">
        <v>37</v>
      </c>
      <c r="D2326">
        <f>[1]!EM_S_INFO_INDEX_EM(B2326,"1")</f>
        <v>0</v>
      </c>
      <c r="E2326" s="4">
        <f t="shared" si="36"/>
        <v>43465</v>
      </c>
      <c r="F2326" s="11">
        <f>[1]!EM_S_PQ_PCTCHANGE(B2326,"2018-01-01","2019-12-31","3")</f>
        <v>-77.173913040000002</v>
      </c>
      <c r="G2326" s="11">
        <f>[1]!EM_S_PQ_PCTCHANGE(B2326,"2018-12-31","2019-12-30","1")</f>
        <v>0</v>
      </c>
      <c r="H2326" s="11">
        <f>[1]!EM_S_FA_YOY_OR(B2326,E2326)</f>
        <v>-11.740612710300001</v>
      </c>
      <c r="I2326" s="11">
        <f>[1]!EM_S_FA_GROSSPROFITMARGIN(B2326,E2326)</f>
        <v>2.3373754652000001</v>
      </c>
      <c r="J2326" s="11">
        <f>[1]!EM_S_FA_NETPROFITMARGIN(B2326,E2326)</f>
        <v>-51.218817587399997</v>
      </c>
      <c r="K2326" s="10">
        <f>[1]!EM_S_FA_ASSETSTURN(B2326,E2326)</f>
        <v>0.31831232311800001</v>
      </c>
      <c r="L2326" s="12">
        <f>[1]!EM_HKS_VAL_MV(B2326,"2019-12-31","2")</f>
        <v>780689221.40999997</v>
      </c>
      <c r="M2326">
        <f>[1]!EM_S_VAL_PETTMDEDUCTED(B2326,E2326)</f>
        <v>-2.4781258746757202</v>
      </c>
      <c r="N2326" s="7">
        <f>[1]!EM_S_VAL_PBGOODWILLDEDUCTED(B2326,E2326)</f>
        <v>-2.7010618318722299</v>
      </c>
      <c r="O2326" s="7">
        <f>[1]!EM_S_VAL_PS_TTM(B2326,E2326)</f>
        <v>1.46428696036024</v>
      </c>
      <c r="P2326" s="7">
        <f>[1]!EM_S_VAL_PCF_NCFTTM(B2326,E2326)</f>
        <v>-25.9949489272215</v>
      </c>
      <c r="Q2326" s="7">
        <f>[1]!EM_S_VAL_DIVIDENDYIELD2(B2326,E2326,"2019-11-29")</f>
        <v>0</v>
      </c>
      <c r="T2326"/>
      <c r="U2326">
        <f>[1]!EM_S_RATIO_EPS_TTM(B2326,E2326,"1")</f>
        <v>-0.47226206743793708</v>
      </c>
      <c r="AT2326" s="4" t="str">
        <f>[1]!EM_S_IPO_LISTEDDATE(B2326)</f>
        <v>1994-01-03</v>
      </c>
    </row>
    <row r="2327" spans="1:46">
      <c r="A2327">
        <v>2886</v>
      </c>
      <c r="B2327" t="str">
        <f>"600813"</f>
        <v>600813</v>
      </c>
      <c r="C2327" t="s">
        <v>3103</v>
      </c>
      <c r="D2327">
        <f>[1]!EM_S_INFO_INDEX_EM(B2327,"1")</f>
        <v>0</v>
      </c>
      <c r="E2327" s="4">
        <f t="shared" si="36"/>
        <v>43465</v>
      </c>
      <c r="F2327" s="11">
        <f>[1]!EM_S_PQ_PCTCHANGE(B2327,"2018-01-01","2019-12-31","3")</f>
        <v>0</v>
      </c>
      <c r="G2327" s="11">
        <f>[1]!EM_S_PQ_PCTCHANGE(B2327,"2018-12-31","2019-12-30","1")</f>
        <v>0</v>
      </c>
      <c r="H2327" s="11">
        <f>[1]!EM_S_FA_YOY_OR(B2327,E2327)</f>
        <v>-94.674030822399999</v>
      </c>
      <c r="I2327" s="11">
        <f>[1]!EM_S_FA_GROSSPROFITMARGIN(B2327,E2327)</f>
        <v>49.379754984800002</v>
      </c>
      <c r="J2327" s="11">
        <f>[1]!EM_S_FA_NETPROFITMARGIN(B2327,E2327)</f>
        <v>-8660.1045855958</v>
      </c>
      <c r="K2327" s="10">
        <f>[1]!EM_S_FA_ASSETSTURN(B2327,E2327)</f>
        <v>8.97067956E-3</v>
      </c>
      <c r="L2327" s="12">
        <f>[1]!EM_HKS_VAL_MV(B2327,"2019-12-31","2")</f>
        <v>1407754800</v>
      </c>
      <c r="M2327">
        <f>[1]!EM_S_VAL_PETTMDEDUCTED(B2327,E2327)</f>
        <v>-59.159508940306601</v>
      </c>
      <c r="N2327" s="7">
        <f>[1]!EM_S_VAL_PBGOODWILLDEDUCTED(B2327,E2327)</f>
        <v>-71.388498596751106</v>
      </c>
      <c r="O2327" s="7">
        <f>[1]!EM_S_VAL_PS_TTM(B2327,E2327)</f>
        <v>3173.7165091198799</v>
      </c>
      <c r="P2327" s="7">
        <f>[1]!EM_S_VAL_PCF_NCFTTM(B2327,E2327)</f>
        <v>-4829.9943841535396</v>
      </c>
      <c r="Q2327" s="7">
        <f>[1]!EM_S_VAL_DIVIDENDYIELD2(B2327,E2327,"2019-11-29")</f>
        <v>0</v>
      </c>
      <c r="T2327"/>
      <c r="U2327">
        <f>[1]!EM_S_RATIO_EPS_TTM(B2327,E2327,"1")</f>
        <v>-0.10155631325497878</v>
      </c>
      <c r="AT2327" s="4" t="str">
        <f>[1]!EM_S_IPO_LISTEDDATE(B2327)</f>
        <v>1994-01-14</v>
      </c>
    </row>
    <row r="2328" spans="1:46">
      <c r="A2328">
        <v>2905</v>
      </c>
      <c r="B2328" t="str">
        <f>"600832"</f>
        <v>600832</v>
      </c>
      <c r="C2328" t="s">
        <v>1702</v>
      </c>
      <c r="D2328">
        <f>[1]!EM_S_INFO_INDEX_EM(B2328,"1")</f>
        <v>0</v>
      </c>
      <c r="E2328" s="4">
        <f t="shared" si="36"/>
        <v>43465</v>
      </c>
      <c r="F2328" s="11">
        <f>[1]!EM_S_PQ_PCTCHANGE(B2328,"2018-01-01","2019-12-31","3")</f>
        <v>0</v>
      </c>
      <c r="G2328" s="11">
        <f>[1]!EM_S_PQ_PCTCHANGE(B2328,"2018-12-31","2019-12-30","1")</f>
        <v>0</v>
      </c>
      <c r="H2328" s="11">
        <f>[1]!EM_S_FA_YOY_OR(B2328,E2328)</f>
        <v>0</v>
      </c>
      <c r="I2328" s="11">
        <f>[1]!EM_S_FA_GROSSPROFITMARGIN(B2328,E2328)</f>
        <v>0</v>
      </c>
      <c r="J2328" s="11">
        <f>[1]!EM_S_FA_NETPROFITMARGIN(B2328,E2328)</f>
        <v>0</v>
      </c>
      <c r="K2328" s="10">
        <f>[1]!EM_S_FA_ASSETSTURN(B2328,E2328)</f>
        <v>0</v>
      </c>
      <c r="L2328" s="12">
        <f>[1]!EM_HKS_VAL_MV(B2328,"2019-12-31","2")</f>
        <v>73859242379.320007</v>
      </c>
      <c r="M2328">
        <f>[1]!EM_S_VAL_PETTMDEDUCTED(B2328,E2328)</f>
        <v>109.42064429902</v>
      </c>
      <c r="N2328" s="7">
        <f>[1]!EM_S_VAL_PBGOODWILLDEDUCTED(B2328,E2328)</f>
        <v>7.3913389058929599</v>
      </c>
      <c r="O2328" s="7">
        <f>[1]!EM_S_VAL_PS_TTM(B2328,E2328)</f>
        <v>13.8078596146511</v>
      </c>
      <c r="P2328" s="7">
        <f>[1]!EM_S_VAL_PCF_NCFTTM(B2328,E2328)</f>
        <v>33.110736965475198</v>
      </c>
      <c r="Q2328" s="7">
        <f>[1]!EM_S_VAL_DIVIDENDYIELD2(B2328,E2328,"2019-11-29")</f>
        <v>0</v>
      </c>
      <c r="T2328"/>
      <c r="U2328">
        <f>[1]!EM_S_RATIO_EPS_TTM(B2328,E2328,"1")</f>
        <v>0.40177623638249138</v>
      </c>
      <c r="AT2328" s="4" t="str">
        <f>[1]!EM_S_IPO_LISTEDDATE(B2328)</f>
        <v>1994-02-24</v>
      </c>
    </row>
    <row r="2329" spans="1:46">
      <c r="A2329">
        <v>2913</v>
      </c>
      <c r="B2329" t="str">
        <f>"600840"</f>
        <v>600840</v>
      </c>
      <c r="C2329" t="s">
        <v>3102</v>
      </c>
      <c r="D2329">
        <f>[1]!EM_S_INFO_INDEX_EM(B2329,"1")</f>
        <v>0</v>
      </c>
      <c r="E2329" s="4">
        <f t="shared" si="36"/>
        <v>43465</v>
      </c>
      <c r="F2329" s="11">
        <f>[1]!EM_S_PQ_PCTCHANGE(B2329,"2018-01-01","2019-12-31","3")</f>
        <v>0</v>
      </c>
      <c r="G2329" s="11">
        <f>[1]!EM_S_PQ_PCTCHANGE(B2329,"2018-12-31","2019-12-30","1")</f>
        <v>0</v>
      </c>
      <c r="H2329" s="11">
        <f>[1]!EM_S_FA_YOY_OR(B2329,E2329)</f>
        <v>0</v>
      </c>
      <c r="I2329" s="11">
        <f>[1]!EM_S_FA_GROSSPROFITMARGIN(B2329,E2329)</f>
        <v>0</v>
      </c>
      <c r="J2329" s="11">
        <f>[1]!EM_S_FA_NETPROFITMARGIN(B2329,E2329)</f>
        <v>0</v>
      </c>
      <c r="K2329" s="10">
        <f>[1]!EM_S_FA_ASSETSTURN(B2329,E2329)</f>
        <v>0</v>
      </c>
      <c r="L2329" s="12">
        <f>[1]!EM_HKS_VAL_MV(B2329,"2019-12-31","2")</f>
        <v>7237159454</v>
      </c>
      <c r="M2329">
        <f>[1]!EM_S_VAL_PETTMDEDUCTED(B2329,E2329)</f>
        <v>127.288457180824</v>
      </c>
      <c r="N2329" s="7">
        <f>[1]!EM_S_VAL_PBGOODWILLDEDUCTED(B2329,E2329)</f>
        <v>8.5047637106734406</v>
      </c>
      <c r="O2329" s="7">
        <f>[1]!EM_S_VAL_PS_TTM(B2329,E2329)</f>
        <v>18.720636386399399</v>
      </c>
      <c r="P2329" s="7">
        <f>[1]!EM_S_VAL_PCF_NCFTTM(B2329,E2329)</f>
        <v>-127.93340560483399</v>
      </c>
      <c r="Q2329" s="7">
        <f>[1]!EM_S_VAL_DIVIDENDYIELD2(B2329,E2329,"2019-11-29")</f>
        <v>0</v>
      </c>
      <c r="T2329"/>
      <c r="U2329">
        <f>[1]!EM_S_RATIO_EPS_TTM(B2329,E2329,"1")</f>
        <v>0.2351494186130447</v>
      </c>
      <c r="AT2329" s="4" t="str">
        <f>[1]!EM_S_IPO_LISTEDDATE(B2329)</f>
        <v>1994-03-11</v>
      </c>
    </row>
    <row r="2330" spans="1:46">
      <c r="A2330">
        <v>2915</v>
      </c>
      <c r="B2330" t="str">
        <f>"600842"</f>
        <v>600842</v>
      </c>
      <c r="C2330" t="s">
        <v>3101</v>
      </c>
      <c r="D2330">
        <f>[1]!EM_S_INFO_INDEX_EM(B2330,"1")</f>
        <v>0</v>
      </c>
      <c r="E2330" s="4">
        <f t="shared" si="36"/>
        <v>43465</v>
      </c>
      <c r="F2330" s="11">
        <f>[1]!EM_S_PQ_PCTCHANGE(B2330,"2018-01-01","2019-12-31","3")</f>
        <v>0</v>
      </c>
      <c r="G2330" s="11">
        <f>[1]!EM_S_PQ_PCTCHANGE(B2330,"2018-12-31","2019-12-30","1")</f>
        <v>0</v>
      </c>
      <c r="H2330" s="11">
        <f>[1]!EM_S_FA_YOY_OR(B2330,E2330)</f>
        <v>0</v>
      </c>
      <c r="I2330" s="11">
        <f>[1]!EM_S_FA_GROSSPROFITMARGIN(B2330,E2330)</f>
        <v>0</v>
      </c>
      <c r="J2330" s="11">
        <f>[1]!EM_S_FA_NETPROFITMARGIN(B2330,E2330)</f>
        <v>0</v>
      </c>
      <c r="K2330" s="10">
        <f>[1]!EM_S_FA_ASSETSTURN(B2330,E2330)</f>
        <v>0</v>
      </c>
      <c r="L2330" s="12">
        <f>[1]!EM_HKS_VAL_MV(B2330,"2019-12-31","2")</f>
        <v>3009701006.8800001</v>
      </c>
      <c r="M2330">
        <f>[1]!EM_S_VAL_PETTMDEDUCTED(B2330,E2330)</f>
        <v>-1682.80056280454</v>
      </c>
      <c r="N2330" s="7">
        <f>[1]!EM_S_VAL_PBGOODWILLDEDUCTED(B2330,E2330)</f>
        <v>8.1523881278679902</v>
      </c>
      <c r="O2330" s="7">
        <f>[1]!EM_S_VAL_PS_TTM(B2330,E2330)</f>
        <v>8.7284571773791306</v>
      </c>
      <c r="P2330" s="7">
        <f>[1]!EM_S_VAL_PCF_NCFTTM(B2330,E2330)</f>
        <v>106.173539167576</v>
      </c>
      <c r="Q2330" s="7">
        <f>[1]!EM_S_VAL_DIVIDENDYIELD2(B2330,E2330,"2019-11-29")</f>
        <v>0</v>
      </c>
      <c r="T2330"/>
      <c r="U2330">
        <f>[1]!EM_S_RATIO_EPS_TTM(B2330,E2330,"1")</f>
        <v>0.15858740761388543</v>
      </c>
      <c r="AT2330" s="4" t="str">
        <f>[1]!EM_S_IPO_LISTEDDATE(B2330)</f>
        <v>1994-03-11</v>
      </c>
    </row>
    <row r="2331" spans="1:46">
      <c r="A2331">
        <v>2925</v>
      </c>
      <c r="B2331" t="str">
        <f>"600852"</f>
        <v>600852</v>
      </c>
      <c r="C2331" t="s">
        <v>3099</v>
      </c>
      <c r="D2331">
        <f>[1]!EM_S_INFO_INDEX_EM(B2331,"1")</f>
        <v>0</v>
      </c>
      <c r="E2331" s="4">
        <f t="shared" si="36"/>
        <v>43465</v>
      </c>
      <c r="F2331" s="11">
        <f>[1]!EM_S_PQ_PCTCHANGE(B2331,"2018-01-01","2019-12-31","3")</f>
        <v>0</v>
      </c>
      <c r="G2331" s="11">
        <f>[1]!EM_S_PQ_PCTCHANGE(B2331,"2018-12-31","2019-12-30","1")</f>
        <v>0</v>
      </c>
      <c r="H2331" s="11">
        <f>[1]!EM_S_FA_YOY_OR(B2331,E2331)</f>
        <v>-4.0935249241999996</v>
      </c>
      <c r="I2331" s="11">
        <f>[1]!EM_S_FA_GROSSPROFITMARGIN(B2331,E2331)</f>
        <v>5.6475285177999996</v>
      </c>
      <c r="J2331" s="11">
        <f>[1]!EM_S_FA_NETPROFITMARGIN(B2331,E2331)</f>
        <v>-258.79626269990001</v>
      </c>
      <c r="K2331" s="10">
        <f>[1]!EM_S_FA_ASSETSTURN(B2331,E2331)</f>
        <v>1.235424627552</v>
      </c>
      <c r="L2331" s="12">
        <f>[1]!EM_HKS_VAL_MV(B2331,"2019-12-31","2")</f>
        <v>118302193.44</v>
      </c>
      <c r="M2331">
        <f>[1]!EM_S_VAL_PETTMDEDUCTED(B2331,E2331)</f>
        <v>7.6692661001151397</v>
      </c>
      <c r="N2331" s="7">
        <f>[1]!EM_S_VAL_PBGOODWILLDEDUCTED(B2331,E2331)</f>
        <v>-0.101508930777281</v>
      </c>
      <c r="O2331" s="7">
        <f>[1]!EM_S_VAL_PS_TTM(B2331,E2331)</f>
        <v>4.64388476433012</v>
      </c>
      <c r="P2331" s="7">
        <f>[1]!EM_S_VAL_PCF_NCFTTM(B2331,E2331)</f>
        <v>29693.729403024099</v>
      </c>
      <c r="Q2331" s="7">
        <f>[1]!EM_S_VAL_DIVIDENDYIELD2(B2331,E2331,"2019-11-29")</f>
        <v>0</v>
      </c>
      <c r="T2331"/>
      <c r="U2331">
        <f>[1]!EM_S_RATIO_EPS_TTM(B2331,E2331,"1")</f>
        <v>-0.36683985413009601</v>
      </c>
      <c r="AT2331" s="4" t="str">
        <f>[1]!EM_S_IPO_LISTEDDATE(B2331)</f>
        <v>1994-04-04</v>
      </c>
    </row>
    <row r="2332" spans="1:46">
      <c r="A2332">
        <v>2951</v>
      </c>
      <c r="B2332" t="str">
        <f>"600878"</f>
        <v>600878</v>
      </c>
      <c r="C2332" t="s">
        <v>3097</v>
      </c>
      <c r="D2332">
        <f>[1]!EM_S_INFO_INDEX_EM(B2332,"1")</f>
        <v>0</v>
      </c>
      <c r="E2332" s="4">
        <f t="shared" si="36"/>
        <v>43465</v>
      </c>
      <c r="F2332" s="11">
        <f>[1]!EM_S_PQ_PCTCHANGE(B2332,"2018-01-01","2019-12-31","3")</f>
        <v>0</v>
      </c>
      <c r="G2332" s="11">
        <f>[1]!EM_S_PQ_PCTCHANGE(B2332,"2018-12-31","2019-12-30","1")</f>
        <v>0</v>
      </c>
      <c r="H2332" s="11">
        <f>[1]!EM_S_FA_YOY_OR(B2332,E2332)</f>
        <v>-47.1266564067</v>
      </c>
      <c r="I2332" s="11">
        <f>[1]!EM_S_FA_GROSSPROFITMARGIN(B2332,E2332)</f>
        <v>22.910024507799999</v>
      </c>
      <c r="J2332" s="11">
        <f>[1]!EM_S_FA_NETPROFITMARGIN(B2332,E2332)</f>
        <v>12.9782858639</v>
      </c>
      <c r="K2332" s="10">
        <f>[1]!EM_S_FA_ASSETSTURN(B2332,E2332)</f>
        <v>1.041041980381</v>
      </c>
      <c r="L2332" s="12">
        <f>[1]!EM_HKS_VAL_MV(B2332,"2019-12-31","2")</f>
        <v>3520398488.6399999</v>
      </c>
      <c r="M2332">
        <f>[1]!EM_S_VAL_PETTMDEDUCTED(B2332,E2332)</f>
        <v>-179.75523959844</v>
      </c>
      <c r="N2332" s="7">
        <f>[1]!EM_S_VAL_PBGOODWILLDEDUCTED(B2332,E2332)</f>
        <v>2.75154679439426</v>
      </c>
      <c r="O2332" s="7">
        <f>[1]!EM_S_VAL_PS_TTM(B2332,E2332)</f>
        <v>3.9730890928981899</v>
      </c>
      <c r="P2332" s="7">
        <f>[1]!EM_S_VAL_PCF_NCFTTM(B2332,E2332)</f>
        <v>-35.143996459871403</v>
      </c>
      <c r="Q2332" s="7">
        <f>[1]!EM_S_VAL_DIVIDENDYIELD2(B2332,E2332,"2019-11-29")</f>
        <v>0</v>
      </c>
      <c r="T2332"/>
      <c r="U2332">
        <f>[1]!EM_S_RATIO_EPS_TTM(B2332,E2332,"1")</f>
        <v>0.11505293561710972</v>
      </c>
      <c r="AT2332" s="4" t="str">
        <f>[1]!EM_S_IPO_LISTEDDATE(B2332)</f>
        <v>1995-10-13</v>
      </c>
    </row>
    <row r="2333" spans="1:46">
      <c r="A2333">
        <v>2972</v>
      </c>
      <c r="B2333" t="str">
        <f>"600899"</f>
        <v>600899</v>
      </c>
      <c r="C2333" t="s">
        <v>3096</v>
      </c>
      <c r="D2333">
        <f>[1]!EM_S_INFO_INDEX_EM(B2333,"1")</f>
        <v>0</v>
      </c>
      <c r="E2333" s="4">
        <f t="shared" si="36"/>
        <v>43465</v>
      </c>
      <c r="F2333" s="11">
        <f>[1]!EM_S_PQ_PCTCHANGE(B2333,"2018-01-01","2019-12-31","3")</f>
        <v>0</v>
      </c>
      <c r="G2333" s="11">
        <f>[1]!EM_S_PQ_PCTCHANGE(B2333,"2018-12-31","2019-12-30","1")</f>
        <v>0</v>
      </c>
      <c r="H2333" s="11">
        <f>[1]!EM_S_FA_YOY_OR(B2333,E2333)</f>
        <v>0</v>
      </c>
      <c r="I2333" s="11">
        <f>[1]!EM_S_FA_GROSSPROFITMARGIN(B2333,E2333)</f>
        <v>0</v>
      </c>
      <c r="J2333" s="11">
        <f>[1]!EM_S_FA_NETPROFITMARGIN(B2333,E2333)</f>
        <v>0</v>
      </c>
      <c r="K2333" s="10">
        <f>[1]!EM_S_FA_ASSETSTURN(B2333,E2333)</f>
        <v>0</v>
      </c>
      <c r="L2333" s="12">
        <f>[1]!EM_HKS_VAL_MV(B2333,"2019-12-31","2")</f>
        <v>200581225.16999999</v>
      </c>
      <c r="M2333">
        <f>[1]!EM_S_VAL_PETTMDEDUCTED(B2333,E2333)</f>
        <v>-1.0242112320837</v>
      </c>
      <c r="N2333" s="7">
        <f>[1]!EM_S_VAL_PBGOODWILLDEDUCTED(B2333,E2333)</f>
        <v>-0.99349006569334697</v>
      </c>
      <c r="O2333" s="7">
        <f>[1]!EM_S_VAL_PS_TTM(B2333,E2333)</f>
        <v>51.9511101262556</v>
      </c>
      <c r="P2333" s="7">
        <f>[1]!EM_S_VAL_PCF_NCFTTM(B2333,E2333)</f>
        <v>153.452621325884</v>
      </c>
      <c r="Q2333" s="7">
        <f>[1]!EM_S_VAL_DIVIDENDYIELD2(B2333,E2333,"2019-11-29")</f>
        <v>0</v>
      </c>
      <c r="T2333"/>
      <c r="U2333">
        <f>[1]!EM_S_RATIO_EPS_TTM(B2333,E2333,"1")</f>
        <v>-0.86802471882717736</v>
      </c>
      <c r="AT2333" s="4" t="str">
        <f>[1]!EM_S_IPO_LISTEDDATE(B2333)</f>
        <v>1996-04-26</v>
      </c>
    </row>
    <row r="2334" spans="1:46">
      <c r="A2334">
        <v>3013</v>
      </c>
      <c r="B2334" t="str">
        <f>"600991"</f>
        <v>600991</v>
      </c>
      <c r="C2334" t="s">
        <v>3095</v>
      </c>
      <c r="D2334">
        <f>[1]!EM_S_INFO_INDEX_EM(B2334,"1")</f>
        <v>0</v>
      </c>
      <c r="E2334" s="4">
        <f t="shared" si="36"/>
        <v>43465</v>
      </c>
      <c r="F2334" s="11">
        <f>[1]!EM_S_PQ_PCTCHANGE(B2334,"2018-01-01","2019-12-31","3")</f>
        <v>0</v>
      </c>
      <c r="G2334" s="11">
        <f>[1]!EM_S_PQ_PCTCHANGE(B2334,"2018-12-31","2019-12-30","1")</f>
        <v>0</v>
      </c>
      <c r="H2334" s="11">
        <f>[1]!EM_S_FA_YOY_OR(B2334,E2334)</f>
        <v>0</v>
      </c>
      <c r="I2334" s="11">
        <f>[1]!EM_S_FA_GROSSPROFITMARGIN(B2334,E2334)</f>
        <v>0</v>
      </c>
      <c r="J2334" s="11">
        <f>[1]!EM_S_FA_NETPROFITMARGIN(B2334,E2334)</f>
        <v>0</v>
      </c>
      <c r="K2334" s="10">
        <f>[1]!EM_S_FA_ASSETSTURN(B2334,E2334)</f>
        <v>0</v>
      </c>
      <c r="L2334" s="12">
        <f>[1]!EM_HKS_VAL_MV(B2334,"2019-12-31","2")</f>
        <v>9281928169.7999992</v>
      </c>
      <c r="M2334">
        <f>[1]!EM_S_VAL_PETTMDEDUCTED(B2334,E2334)</f>
        <v>-84.377602328071006</v>
      </c>
      <c r="N2334" s="7">
        <f>[1]!EM_S_VAL_PBGOODWILLDEDUCTED(B2334,E2334)</f>
        <v>3.9872872009663398</v>
      </c>
      <c r="O2334" s="7">
        <f>[1]!EM_S_VAL_PS_TTM(B2334,E2334)</f>
        <v>1.83692000734868</v>
      </c>
      <c r="P2334" s="7">
        <f>[1]!EM_S_VAL_PCF_NCFTTM(B2334,E2334)</f>
        <v>180.59585936753999</v>
      </c>
      <c r="Q2334" s="7">
        <f>[1]!EM_S_VAL_DIVIDENDYIELD2(B2334,E2334,"2019-11-29")</f>
        <v>0</v>
      </c>
      <c r="T2334"/>
      <c r="U2334">
        <f>[1]!EM_S_RATIO_EPS_TTM(B2334,E2334,"1")</f>
        <v>-0.21105102090556366</v>
      </c>
      <c r="AT2334" s="4" t="str">
        <f>[1]!EM_S_IPO_LISTEDDATE(B2334)</f>
        <v>2004-06-14</v>
      </c>
    </row>
    <row r="2335" spans="1:46">
      <c r="A2335">
        <v>2922</v>
      </c>
      <c r="B2335" t="str">
        <f>"600849"</f>
        <v>600849</v>
      </c>
      <c r="C2335" t="s">
        <v>3100</v>
      </c>
      <c r="D2335">
        <f>[1]!EM_S_INFO_INDEX_EM(B2335,"1")</f>
        <v>0</v>
      </c>
      <c r="E2335" s="4">
        <f t="shared" si="36"/>
        <v>43465</v>
      </c>
      <c r="F2335" s="11">
        <f>[1]!EM_S_PQ_PCTCHANGE(B2335,"2018-01-01","2019-12-31","3")</f>
        <v>0</v>
      </c>
      <c r="G2335" s="11">
        <f>[1]!EM_S_PQ_PCTCHANGE(B2335,"2018-12-31","2019-12-30","1")</f>
        <v>0</v>
      </c>
      <c r="H2335" s="11">
        <f>[1]!EM_S_FA_YOY_OR(B2335,E2335)</f>
        <v>21.580300513200001</v>
      </c>
      <c r="I2335" s="11">
        <f>[1]!EM_S_FA_GROSSPROFITMARGIN(B2335,E2335)</f>
        <v>14.182992668500001</v>
      </c>
      <c r="J2335" s="11">
        <f>[1]!EM_S_FA_NETPROFITMARGIN(B2335,E2335)</f>
        <v>2.8011929571</v>
      </c>
      <c r="K2335" s="10">
        <f>[1]!EM_S_FA_ASSETSTURN(B2335,E2335)</f>
        <v>1.438221294339</v>
      </c>
      <c r="L2335" s="12">
        <f>[1]!EM_HKS_VAL_MV(B2335,"2019-12-31","2")</f>
        <v>41863975713.059998</v>
      </c>
      <c r="M2335">
        <f>[1]!EM_S_VAL_PETTMDEDUCTED(B2335,E2335)</f>
        <v>14.1626297495937</v>
      </c>
      <c r="N2335" s="7">
        <f>[1]!EM_S_VAL_PBGOODWILLDEDUCTED(B2335,E2335)</f>
        <v>1.5130672788475401</v>
      </c>
      <c r="O2335" s="7">
        <f>[1]!EM_S_VAL_PS_TTM(B2335,E2335)</f>
        <v>0.28018156986820503</v>
      </c>
      <c r="P2335" s="7">
        <f>[1]!EM_S_VAL_PCF_NCFTTM(B2335,E2335)</f>
        <v>10.908391907222301</v>
      </c>
      <c r="Q2335" s="7">
        <f>[1]!EM_S_VAL_DIVIDENDYIELD2(B2335,E2335,"2019-11-29")</f>
        <v>0</v>
      </c>
      <c r="T2335"/>
      <c r="U2335">
        <f>[1]!EM_S_RATIO_EPS_TTM(B2335,E2335,"1")</f>
        <v>1.3655668142544044</v>
      </c>
      <c r="AT2335" s="4" t="str">
        <f>[1]!EM_S_IPO_LISTEDDATE(B2335)</f>
        <v>1994-03-24</v>
      </c>
    </row>
    <row r="2336" spans="1:46">
      <c r="A2336">
        <v>3094</v>
      </c>
      <c r="B2336" t="str">
        <f>"601299"</f>
        <v>601299</v>
      </c>
      <c r="C2336" t="s">
        <v>3091</v>
      </c>
      <c r="D2336">
        <f>[1]!EM_S_INFO_INDEX_EM(B2336,"1")</f>
        <v>0</v>
      </c>
      <c r="E2336" s="4">
        <f t="shared" si="36"/>
        <v>43465</v>
      </c>
      <c r="F2336" s="11">
        <f>[1]!EM_S_PQ_PCTCHANGE(B2336,"2018-01-01","2019-12-31","3")</f>
        <v>0</v>
      </c>
      <c r="G2336" s="11">
        <f>[1]!EM_S_PQ_PCTCHANGE(B2336,"2018-12-31","2019-12-30","1")</f>
        <v>0</v>
      </c>
      <c r="H2336" s="11">
        <f>[1]!EM_S_FA_YOY_OR(B2336,E2336)</f>
        <v>0</v>
      </c>
      <c r="I2336" s="11">
        <f>[1]!EM_S_FA_GROSSPROFITMARGIN(B2336,E2336)</f>
        <v>0</v>
      </c>
      <c r="J2336" s="11">
        <f>[1]!EM_S_FA_NETPROFITMARGIN(B2336,E2336)</f>
        <v>0</v>
      </c>
      <c r="K2336" s="10">
        <f>[1]!EM_S_FA_ASSETSTURN(B2336,E2336)</f>
        <v>0</v>
      </c>
      <c r="L2336" s="12">
        <f>[1]!EM_HKS_VAL_MV(B2336,"2019-12-31","2")</f>
        <v>367548213483.94</v>
      </c>
      <c r="M2336">
        <f>[1]!EM_S_VAL_PETTMDEDUCTED(B2336,E2336)</f>
        <v>67.125203492160296</v>
      </c>
      <c r="N2336" s="7">
        <f>[1]!EM_S_VAL_PBGOODWILLDEDUCTED(B2336,E2336)</f>
        <v>7.3794283482924001</v>
      </c>
      <c r="O2336" s="7">
        <f>[1]!EM_S_VAL_PS_TTM(B2336,E2336)</f>
        <v>3.4339591828774298</v>
      </c>
      <c r="P2336" s="7">
        <f>[1]!EM_S_VAL_PCF_NCFTTM(B2336,E2336)</f>
        <v>102.166710164224</v>
      </c>
      <c r="Q2336" s="7">
        <f>[1]!EM_S_VAL_DIVIDENDYIELD2(B2336,E2336,"2019-11-29")</f>
        <v>0</v>
      </c>
      <c r="T2336"/>
      <c r="U2336">
        <f>[1]!EM_S_RATIO_EPS_TTM(B2336,E2336,"1")</f>
        <v>0.45870691488850573</v>
      </c>
      <c r="AT2336" s="4" t="str">
        <f>[1]!EM_S_IPO_LISTEDDATE(B2336)</f>
        <v>2009-12-29</v>
      </c>
    </row>
    <row r="2337" spans="1:46">
      <c r="A2337">
        <v>3065</v>
      </c>
      <c r="B2337" t="str">
        <f>"601158"</f>
        <v>601158</v>
      </c>
      <c r="C2337" t="s">
        <v>1213</v>
      </c>
      <c r="D2337" t="str">
        <f>[1]!EM_S_INFO_INDEX_EM(B2337,"1")</f>
        <v>公用事业</v>
      </c>
      <c r="E2337" s="4">
        <f t="shared" si="36"/>
        <v>43465</v>
      </c>
      <c r="F2337" s="11">
        <f>[1]!EM_S_PQ_PCTCHANGE(B2337,"2018-01-01","2019-12-31","3")</f>
        <v>-4.4992733300000003</v>
      </c>
      <c r="G2337" s="11">
        <f>[1]!EM_S_PQ_PCTCHANGE(B2337,"2018-12-31","2019-12-30","1")</f>
        <v>0</v>
      </c>
      <c r="H2337" s="11">
        <f>[1]!EM_S_FA_YOY_OR(B2337,E2337)</f>
        <v>15.377262373100001</v>
      </c>
      <c r="I2337" s="11">
        <f>[1]!EM_S_FA_GROSSPROFITMARGIN(B2337,E2337)</f>
        <v>41.768037696599997</v>
      </c>
      <c r="J2337" s="11">
        <f>[1]!EM_S_FA_NETPROFITMARGIN(B2337,E2337)</f>
        <v>26.911084746</v>
      </c>
      <c r="K2337" s="10">
        <f>[1]!EM_S_FA_ASSETSTURN(B2337,E2337)</f>
        <v>0.25799177566199999</v>
      </c>
      <c r="L2337" s="12">
        <f>[1]!EM_HKS_VAL_MV(B2337,"2019-12-31","2")</f>
        <v>26880000000</v>
      </c>
      <c r="M2337">
        <f>[1]!EM_S_VAL_PETTMDEDUCTED(B2337,E2337)</f>
        <v>15.0389362102225</v>
      </c>
      <c r="N2337" s="7">
        <f>[1]!EM_S_VAL_PBGOODWILLDEDUCTED(B2337,E2337)</f>
        <v>1.88740060509782</v>
      </c>
      <c r="O2337" s="7">
        <f>[1]!EM_S_VAL_PS_TTM(B2337,E2337)</f>
        <v>5.3671491173227297</v>
      </c>
      <c r="P2337" s="7">
        <f>[1]!EM_S_VAL_PCF_NCFTTM(B2337,E2337)</f>
        <v>-20.334971583295701</v>
      </c>
      <c r="Q2337" s="7">
        <f>[1]!EM_S_VAL_DIVIDENDYIELD2(B2337,E2337,"2019-11-29")</f>
        <v>5.0909090909090899</v>
      </c>
      <c r="T2337"/>
      <c r="U2337">
        <f>[1]!EM_S_RATIO_EPS_TTM(B2337,E2337,"1")</f>
        <v>0.29615045899583337</v>
      </c>
      <c r="AT2337" s="4" t="str">
        <f>[1]!EM_S_IPO_LISTEDDATE(B2337)</f>
        <v>2010-03-29</v>
      </c>
    </row>
    <row r="2338" spans="1:46">
      <c r="A2338">
        <v>3092</v>
      </c>
      <c r="B2338" t="str">
        <f>"601268"</f>
        <v>601268</v>
      </c>
      <c r="C2338" t="s">
        <v>3092</v>
      </c>
      <c r="D2338">
        <f>[1]!EM_S_INFO_INDEX_EM(B2338,"1")</f>
        <v>0</v>
      </c>
      <c r="E2338" s="4">
        <f t="shared" si="36"/>
        <v>43465</v>
      </c>
      <c r="F2338" s="11">
        <f>[1]!EM_S_PQ_PCTCHANGE(B2338,"2018-01-01","2019-12-31","3")</f>
        <v>0</v>
      </c>
      <c r="G2338" s="11">
        <f>[1]!EM_S_PQ_PCTCHANGE(B2338,"2018-12-31","2019-12-30","1")</f>
        <v>0</v>
      </c>
      <c r="H2338" s="11">
        <f>[1]!EM_S_FA_YOY_OR(B2338,E2338)</f>
        <v>32.499353269300002</v>
      </c>
      <c r="I2338" s="11">
        <f>[1]!EM_S_FA_GROSSPROFITMARGIN(B2338,E2338)</f>
        <v>17.5530385</v>
      </c>
      <c r="J2338" s="11">
        <f>[1]!EM_S_FA_NETPROFITMARGIN(B2338,E2338)</f>
        <v>5.3307836541000002</v>
      </c>
      <c r="K2338" s="10">
        <f>[1]!EM_S_FA_ASSETSTURN(B2338,E2338)</f>
        <v>0.45305747572999999</v>
      </c>
      <c r="L2338" s="12">
        <f>[1]!EM_HKS_VAL_MV(B2338,"2019-12-31","2")</f>
        <v>17080419610.4</v>
      </c>
      <c r="M2338">
        <f>[1]!EM_S_VAL_PETTMDEDUCTED(B2338,E2338)</f>
        <v>51.457314342155499</v>
      </c>
      <c r="N2338" s="7">
        <f>[1]!EM_S_VAL_PBGOODWILLDEDUCTED(B2338,E2338)</f>
        <v>1.4747696075072201</v>
      </c>
      <c r="O2338" s="7">
        <f>[1]!EM_S_VAL_PS_TTM(B2338,E2338)</f>
        <v>3.2906102474242598</v>
      </c>
      <c r="P2338" s="7">
        <f>[1]!EM_S_VAL_PCF_NCFTTM(B2338,E2338)</f>
        <v>-94.140132964851801</v>
      </c>
      <c r="Q2338" s="7">
        <f>[1]!EM_S_VAL_DIVIDENDYIELD2(B2338,E2338,"2019-11-29")</f>
        <v>0</v>
      </c>
      <c r="T2338"/>
      <c r="U2338">
        <f>[1]!EM_S_RATIO_EPS_TTM(B2338,E2338,"1")</f>
        <v>6.6247231817538541E-2</v>
      </c>
      <c r="AT2338" s="4" t="str">
        <f>[1]!EM_S_IPO_LISTEDDATE(B2338)</f>
        <v>2010-02-02</v>
      </c>
    </row>
    <row r="2339" spans="1:46">
      <c r="A2339">
        <v>3146</v>
      </c>
      <c r="B2339" t="str">
        <f>"601727"</f>
        <v>601727</v>
      </c>
      <c r="C2339" t="s">
        <v>2058</v>
      </c>
      <c r="D2339" t="str">
        <f>[1]!EM_S_INFO_INDEX_EM(B2339,"1")</f>
        <v>电气设备</v>
      </c>
      <c r="E2339" s="4">
        <f t="shared" si="36"/>
        <v>43465</v>
      </c>
      <c r="F2339" s="11">
        <f>[1]!EM_S_PQ_PCTCHANGE(B2339,"2018-01-01","2019-12-31","3")</f>
        <v>-23.287001109999999</v>
      </c>
      <c r="G2339" s="11">
        <f>[1]!EM_S_PQ_PCTCHANGE(B2339,"2018-12-31","2019-12-30","1")</f>
        <v>0</v>
      </c>
      <c r="H2339" s="11">
        <f>[1]!EM_S_FA_YOY_OR(B2339,E2339)</f>
        <v>27.172114772400001</v>
      </c>
      <c r="I2339" s="11">
        <f>[1]!EM_S_FA_GROSSPROFITMARGIN(B2339,E2339)</f>
        <v>20.761502419100001</v>
      </c>
      <c r="J2339" s="11">
        <f>[1]!EM_S_FA_NETPROFITMARGIN(B2339,E2339)</f>
        <v>5.4159312419000001</v>
      </c>
      <c r="K2339" s="10">
        <f>[1]!EM_S_FA_ASSETSTURN(B2339,E2339)</f>
        <v>0.484160624993</v>
      </c>
      <c r="L2339" s="12">
        <f>[1]!EM_HKS_VAL_MV(B2339,"2019-12-31","2")</f>
        <v>75459262841.639999</v>
      </c>
      <c r="M2339">
        <f>[1]!EM_S_VAL_PETTMDEDUCTED(B2339,E2339)</f>
        <v>36.432275080161901</v>
      </c>
      <c r="N2339" s="7">
        <f>[1]!EM_S_VAL_PBGOODWILLDEDUCTED(B2339,E2339)</f>
        <v>1.3497995934921101</v>
      </c>
      <c r="O2339" s="7">
        <f>[1]!EM_S_VAL_PS_TTM(B2339,E2339)</f>
        <v>0.80111318627894401</v>
      </c>
      <c r="P2339" s="7">
        <f>[1]!EM_S_VAL_PCF_NCFTTM(B2339,E2339)</f>
        <v>76.479968818121606</v>
      </c>
      <c r="Q2339" s="7">
        <f>[1]!EM_S_VAL_DIVIDENDYIELD2(B2339,E2339,"2019-11-29")</f>
        <v>1.3132476112631595</v>
      </c>
      <c r="T2339"/>
      <c r="U2339">
        <f>[1]!EM_S_RATIO_EPS_TTM(B2339,E2339,"1")</f>
        <v>0.20485477746202185</v>
      </c>
      <c r="AT2339" s="4" t="str">
        <f>[1]!EM_S_IPO_LISTEDDATE(B2339)</f>
        <v>2008-12-05</v>
      </c>
    </row>
    <row r="2340" spans="1:46">
      <c r="A2340">
        <v>3196</v>
      </c>
      <c r="B2340" t="str">
        <f>"601996"</f>
        <v>601996</v>
      </c>
      <c r="C2340" t="s">
        <v>1751</v>
      </c>
      <c r="D2340" t="str">
        <f>[1]!EM_S_INFO_INDEX_EM(B2340,"1")</f>
        <v>农林牧渔</v>
      </c>
      <c r="E2340" s="4">
        <f t="shared" si="36"/>
        <v>43465</v>
      </c>
      <c r="F2340" s="11">
        <f>[1]!EM_S_PQ_PCTCHANGE(B2340,"2018-01-01","2019-12-31","3")</f>
        <v>-39.603941370000001</v>
      </c>
      <c r="G2340" s="11">
        <f>[1]!EM_S_PQ_PCTCHANGE(B2340,"2018-12-31","2019-12-30","1")</f>
        <v>0</v>
      </c>
      <c r="H2340" s="11">
        <f>[1]!EM_S_FA_YOY_OR(B2340,E2340)</f>
        <v>22.709646943300001</v>
      </c>
      <c r="I2340" s="11">
        <f>[1]!EM_S_FA_GROSSPROFITMARGIN(B2340,E2340)</f>
        <v>22.568014998700001</v>
      </c>
      <c r="J2340" s="11">
        <f>[1]!EM_S_FA_NETPROFITMARGIN(B2340,E2340)</f>
        <v>8.7869005409999996</v>
      </c>
      <c r="K2340" s="10">
        <f>[1]!EM_S_FA_ASSETSTURN(B2340,E2340)</f>
        <v>0.52651098041199995</v>
      </c>
      <c r="L2340" s="12">
        <f>[1]!EM_HKS_VAL_MV(B2340,"2019-12-31","2")</f>
        <v>3242435144</v>
      </c>
      <c r="M2340">
        <f>[1]!EM_S_VAL_PETTMDEDUCTED(B2340,E2340)</f>
        <v>31.832420717703702</v>
      </c>
      <c r="N2340" s="7">
        <f>[1]!EM_S_VAL_PBGOODWILLDEDUCTED(B2340,E2340)</f>
        <v>1.26592438900971</v>
      </c>
      <c r="O2340" s="7">
        <f>[1]!EM_S_VAL_PS_TTM(B2340,E2340)</f>
        <v>2.2734241296292699</v>
      </c>
      <c r="P2340" s="7">
        <f>[1]!EM_S_VAL_PCF_NCFTTM(B2340,E2340)</f>
        <v>6.3841471962649203</v>
      </c>
      <c r="Q2340" s="7">
        <f>[1]!EM_S_VAL_DIVIDENDYIELD2(B2340,E2340,"2019-11-29")</f>
        <v>2.1750514793093236</v>
      </c>
      <c r="T2340"/>
      <c r="U2340">
        <f>[1]!EM_S_RATIO_EPS_TTM(B2340,E2340,"1")</f>
        <v>0.12061116667629422</v>
      </c>
      <c r="AT2340" s="4" t="str">
        <f>[1]!EM_S_IPO_LISTEDDATE(B2340)</f>
        <v>2011-09-29</v>
      </c>
    </row>
    <row r="2341" spans="1:46">
      <c r="A2341">
        <v>29</v>
      </c>
      <c r="B2341" t="str">
        <f>"000029"</f>
        <v>000029</v>
      </c>
      <c r="C2341" t="s">
        <v>3234</v>
      </c>
      <c r="D2341" t="str">
        <f>[1]!EM_S_INFO_INDEX_EM(B2341,"1")</f>
        <v>房地产</v>
      </c>
      <c r="E2341" s="4">
        <f t="shared" si="36"/>
        <v>43465</v>
      </c>
      <c r="F2341" s="11">
        <f>[1]!EM_S_PQ_PCTCHANGE(B2341,"2018-01-01","2019-12-31","3")</f>
        <v>-2.9999999999999999E-7</v>
      </c>
      <c r="G2341" s="11">
        <f>[1]!EM_S_PQ_PCTCHANGE(B2341,"2019-01-01","2019-12-31","3")</f>
        <v>-2.9999999999999999E-7</v>
      </c>
      <c r="H2341" s="11">
        <f>[1]!EM_S_FA_YOY_OR(B2341,E2341)</f>
        <v>61.6143005403</v>
      </c>
      <c r="I2341" s="11">
        <f>[1]!EM_S_FA_GROSSPROFITMARGIN(B2341,E2341)</f>
        <v>56.859529390799999</v>
      </c>
      <c r="J2341" s="11">
        <f>[1]!EM_S_FA_NETPROFITMARGIN(B2341,E2341)</f>
        <v>22.985219624700001</v>
      </c>
      <c r="K2341" s="10">
        <f>[1]!EM_S_FA_ASSETSTURN(B2341,E2341)</f>
        <v>0.50263389110699996</v>
      </c>
      <c r="L2341" s="12">
        <f>[1]!EM_HKS_VAL_MV(B2341,"2019-12-31","2")</f>
        <v>11097910200</v>
      </c>
      <c r="M2341">
        <f>[1]!EM_S_VAL_PETTMDEDUCTED(B2341,E2341)</f>
        <v>27.830454462683502</v>
      </c>
      <c r="N2341" s="7">
        <f>[1]!EM_S_VAL_PBGOODWILLDEDUCTED(B2341,E2341)</f>
        <v>3.3911649799552501</v>
      </c>
      <c r="O2341" s="7">
        <f>[1]!EM_S_VAL_PS_TTM(B2341,E2341)</f>
        <v>5.7030220798551898</v>
      </c>
      <c r="P2341" s="7">
        <f>[1]!EM_S_VAL_PCF_NCFTTM(B2341,E2341)</f>
        <v>138.29493446278701</v>
      </c>
      <c r="Q2341" s="7">
        <f>[1]!EM_S_VAL_DIVIDENDYIELD2(B2341,E2341,"2019-11-29")</f>
        <v>1.8231540565177755</v>
      </c>
      <c r="T2341"/>
      <c r="U2341">
        <f>[1]!EM_S_RATIO_EPS_TTM(B2341,E2341,"1")</f>
        <v>0.49769569974101974</v>
      </c>
      <c r="AT2341" s="4" t="str">
        <f>[1]!EM_S_IPO_LISTEDDATE(B2341)</f>
        <v>1993-09-15</v>
      </c>
    </row>
    <row r="2342" spans="1:46">
      <c r="A2342">
        <v>461</v>
      </c>
      <c r="B2342" t="str">
        <f>"000938"</f>
        <v>000938</v>
      </c>
      <c r="C2342" t="s">
        <v>2258</v>
      </c>
      <c r="D2342" t="str">
        <f>[1]!EM_S_INFO_INDEX_EM(B2342,"1")</f>
        <v>信息技术</v>
      </c>
      <c r="E2342" s="4">
        <f t="shared" si="36"/>
        <v>43465</v>
      </c>
      <c r="F2342" s="11">
        <f>[1]!EM_S_PQ_PCTCHANGE(B2342,"2018-01-01","2019-12-31","3")</f>
        <v>-13.365177060000001</v>
      </c>
      <c r="G2342" s="11">
        <f>[1]!EM_S_PQ_PCTCHANGE(B2342,"2018-12-31","2019-12-30","1")</f>
        <v>-6.3979530000000007E-2</v>
      </c>
      <c r="H2342" s="11">
        <f>[1]!EM_S_FA_YOY_OR(B2342,E2342)</f>
        <v>23.632195259</v>
      </c>
      <c r="I2342" s="11">
        <f>[1]!EM_S_FA_GROSSPROFITMARGIN(B2342,E2342)</f>
        <v>21.2360546743</v>
      </c>
      <c r="J2342" s="11">
        <f>[1]!EM_S_FA_NETPROFITMARGIN(B2342,E2342)</f>
        <v>6.0722224758000003</v>
      </c>
      <c r="K2342" s="10">
        <f>[1]!EM_S_FA_ASSETSTURN(B2342,E2342)</f>
        <v>1.060089828485</v>
      </c>
      <c r="L2342" s="12">
        <f>[1]!EM_HKS_VAL_MV(B2342,"2019-12-31","2")</f>
        <v>64556088593.599998</v>
      </c>
      <c r="M2342">
        <f>[1]!EM_S_VAL_PETTMDEDUCTED(B2342,E2342)</f>
        <v>40.029220367334297</v>
      </c>
      <c r="N2342" s="7">
        <f>[1]!EM_S_VAL_PBGOODWILLDEDUCTED(B2342,E2342)</f>
        <v>3.6294559689406301</v>
      </c>
      <c r="O2342" s="7">
        <f>[1]!EM_S_VAL_PS_TTM(B2342,E2342)</f>
        <v>0.981425677493167</v>
      </c>
      <c r="P2342" s="7">
        <f>[1]!EM_S_VAL_PCF_NCFTTM(B2342,E2342)</f>
        <v>-185.16031236315101</v>
      </c>
      <c r="Q2342" s="7">
        <f>[1]!EM_S_VAL_DIVIDENDYIELD2(B2342,E2342,"2019-11-29")</f>
        <v>0.39609189339680434</v>
      </c>
      <c r="T2342"/>
      <c r="U2342">
        <f>[1]!EM_S_RATIO_EPS_TTM(B2342,E2342,"1")</f>
        <v>1.1675713296824979</v>
      </c>
      <c r="AT2342" s="4" t="str">
        <f>[1]!EM_S_IPO_LISTEDDATE(B2342)</f>
        <v>1999-11-04</v>
      </c>
    </row>
    <row r="2343" spans="1:46">
      <c r="A2343">
        <v>3026</v>
      </c>
      <c r="B2343" t="str">
        <f>"601006"</f>
        <v>601006</v>
      </c>
      <c r="C2343" t="s">
        <v>466</v>
      </c>
      <c r="D2343" t="str">
        <f>[1]!EM_S_INFO_INDEX_EM(B2343,"1")</f>
        <v>交通运输</v>
      </c>
      <c r="E2343" s="4">
        <f t="shared" si="36"/>
        <v>43465</v>
      </c>
      <c r="F2343" s="11">
        <f>[1]!EM_S_PQ_PCTCHANGE(B2343,"2018-01-01","2019-12-31","3")</f>
        <v>1.13032471</v>
      </c>
      <c r="G2343" s="11">
        <f>[1]!EM_S_PQ_PCTCHANGE(B2343,"2018-12-31","2019-12-30","1")</f>
        <v>-0.12150668000000001</v>
      </c>
      <c r="H2343" s="11">
        <f>[1]!EM_S_FA_YOY_OR(B2343,E2343)</f>
        <v>35.452880473800001</v>
      </c>
      <c r="I2343" s="11">
        <f>[1]!EM_S_FA_GROSSPROFITMARGIN(B2343,E2343)</f>
        <v>24.816445428000002</v>
      </c>
      <c r="J2343" s="11">
        <f>[1]!EM_S_FA_NETPROFITMARGIN(B2343,E2343)</f>
        <v>20.609698253800001</v>
      </c>
      <c r="K2343" s="10">
        <f>[1]!EM_S_FA_ASSETSTURN(B2343,E2343)</f>
        <v>0.57261938004900004</v>
      </c>
      <c r="L2343" s="12">
        <f>[1]!EM_HKS_VAL_MV(B2343,"2019-12-31","2")</f>
        <v>122056358141.11</v>
      </c>
      <c r="M2343">
        <f>[1]!EM_S_VAL_PETTMDEDUCTED(B2343,E2343)</f>
        <v>8.5659680086157692</v>
      </c>
      <c r="N2343" s="7">
        <f>[1]!EM_S_VAL_PBGOODWILLDEDUCTED(B2343,E2343)</f>
        <v>1.1489129068249799</v>
      </c>
      <c r="O2343" s="7">
        <f>[1]!EM_S_VAL_PS_TTM(B2343,E2343)</f>
        <v>1.72919740472338</v>
      </c>
      <c r="P2343" s="7">
        <f>[1]!EM_S_VAL_PCF_NCFTTM(B2343,E2343)</f>
        <v>155.94535263585701</v>
      </c>
      <c r="Q2343" s="7">
        <f>[1]!EM_S_VAL_DIVIDENDYIELD2(B2343,E2343,"2019-11-29")</f>
        <v>6.0529634300126096</v>
      </c>
      <c r="T2343"/>
      <c r="U2343">
        <f>[1]!EM_S_RATIO_EPS_TTM(B2343,E2343,"1")</f>
        <v>0.97829820131698786</v>
      </c>
      <c r="AT2343" s="4" t="str">
        <f>[1]!EM_S_IPO_LISTEDDATE(B2343)</f>
        <v>2006-08-01</v>
      </c>
    </row>
    <row r="2344" spans="1:46">
      <c r="A2344">
        <v>2962</v>
      </c>
      <c r="B2344" t="str">
        <f>"600889"</f>
        <v>600889</v>
      </c>
      <c r="C2344" t="s">
        <v>3479</v>
      </c>
      <c r="D2344" t="str">
        <f>[1]!EM_S_INFO_INDEX_EM(B2344,"1")</f>
        <v>基础化工</v>
      </c>
      <c r="E2344" s="4">
        <f t="shared" si="36"/>
        <v>43465</v>
      </c>
      <c r="F2344" s="11">
        <f>[1]!EM_S_PQ_PCTCHANGE(B2344,"2018-01-01","2019-12-31","3")</f>
        <v>-45.153541789999998</v>
      </c>
      <c r="G2344" s="11">
        <f>[1]!EM_S_PQ_PCTCHANGE(B2344,"2018-12-31","2019-12-30","1")</f>
        <v>-0.21739130000000001</v>
      </c>
      <c r="H2344" s="11">
        <f>[1]!EM_S_FA_YOY_OR(B2344,E2344)</f>
        <v>-38.364356443299997</v>
      </c>
      <c r="I2344" s="11">
        <f>[1]!EM_S_FA_GROSSPROFITMARGIN(B2344,E2344)</f>
        <v>8.9768838658999996</v>
      </c>
      <c r="J2344" s="11">
        <f>[1]!EM_S_FA_NETPROFITMARGIN(B2344,E2344)</f>
        <v>0.66218836380000001</v>
      </c>
      <c r="K2344" s="10">
        <f>[1]!EM_S_FA_ASSETSTURN(B2344,E2344)</f>
        <v>0.50201441370300004</v>
      </c>
      <c r="L2344" s="12">
        <f>[1]!EM_HKS_VAL_MV(B2344,"2019-12-31","2")</f>
        <v>1692518566.2</v>
      </c>
      <c r="M2344">
        <f>[1]!EM_S_VAL_PETTMDEDUCTED(B2344,E2344)</f>
        <v>-15.6874019749008</v>
      </c>
      <c r="N2344" s="7">
        <f>[1]!EM_S_VAL_PBGOODWILLDEDUCTED(B2344,E2344)</f>
        <v>1.11088640062878</v>
      </c>
      <c r="O2344" s="7">
        <f>[1]!EM_S_VAL_PS_TTM(B2344,E2344)</f>
        <v>1.5759706888954399</v>
      </c>
      <c r="P2344" s="7">
        <f>[1]!EM_S_VAL_PCF_NCFTTM(B2344,E2344)</f>
        <v>4.8331021004349397</v>
      </c>
      <c r="Q2344" s="7">
        <f>[1]!EM_S_VAL_DIVIDENDYIELD2(B2344,E2344,"2019-11-29")</f>
        <v>0.23148148148148145</v>
      </c>
      <c r="T2344"/>
      <c r="U2344">
        <f>[1]!EM_S_RATIO_EPS_TTM(B2344,E2344,"1")</f>
        <v>1.6943426707445235E-2</v>
      </c>
      <c r="AT2344" s="4" t="str">
        <f>[1]!EM_S_IPO_LISTEDDATE(B2344)</f>
        <v>1996-03-08</v>
      </c>
    </row>
    <row r="2345" spans="1:46">
      <c r="A2345">
        <v>2749</v>
      </c>
      <c r="B2345" t="str">
        <f>"600676"</f>
        <v>600676</v>
      </c>
      <c r="C2345" t="s">
        <v>1813</v>
      </c>
      <c r="D2345" t="str">
        <f>[1]!EM_S_INFO_INDEX_EM(B2345,"1")</f>
        <v>交运设备</v>
      </c>
      <c r="E2345" s="4">
        <f t="shared" si="36"/>
        <v>43465</v>
      </c>
      <c r="F2345" s="11">
        <f>[1]!EM_S_PQ_PCTCHANGE(B2345,"2018-01-01","2019-12-31","3")</f>
        <v>-30.90738975</v>
      </c>
      <c r="G2345" s="11">
        <f>[1]!EM_S_PQ_PCTCHANGE(B2345,"2018-12-31","2019-12-30","1")</f>
        <v>-0.23201856000000001</v>
      </c>
      <c r="H2345" s="11">
        <f>[1]!EM_S_FA_YOY_OR(B2345,E2345)</f>
        <v>3.8045313572000001</v>
      </c>
      <c r="I2345" s="11">
        <f>[1]!EM_S_FA_GROSSPROFITMARGIN(B2345,E2345)</f>
        <v>8.7996246344000006</v>
      </c>
      <c r="J2345" s="11">
        <f>[1]!EM_S_FA_NETPROFITMARGIN(B2345,E2345)</f>
        <v>3.8676276829999998</v>
      </c>
      <c r="K2345" s="10">
        <f>[1]!EM_S_FA_ASSETSTURN(B2345,E2345)</f>
        <v>1.072300338122</v>
      </c>
      <c r="L2345" s="12">
        <f>[1]!EM_HKS_VAL_MV(B2345,"2019-12-31","2")</f>
        <v>4443089518.0799999</v>
      </c>
      <c r="M2345">
        <f>[1]!EM_S_VAL_PETTMDEDUCTED(B2345,E2345)</f>
        <v>24.742748736851802</v>
      </c>
      <c r="N2345" s="7">
        <f>[1]!EM_S_VAL_PBGOODWILLDEDUCTED(B2345,E2345)</f>
        <v>0.76288550742065797</v>
      </c>
      <c r="O2345" s="7">
        <f>[1]!EM_S_VAL_PS_TTM(B2345,E2345)</f>
        <v>0.44248939249886499</v>
      </c>
      <c r="P2345" s="7">
        <f>[1]!EM_S_VAL_PCF_NCFTTM(B2345,E2345)</f>
        <v>-5.7847174498369904</v>
      </c>
      <c r="Q2345" s="7">
        <f>[1]!EM_S_VAL_DIVIDENDYIELD2(B2345,E2345,"2019-11-29")</f>
        <v>2.3696682464454977</v>
      </c>
      <c r="T2345"/>
      <c r="U2345">
        <f>[1]!EM_S_RATIO_EPS_TTM(B2345,E2345,"1")</f>
        <v>0.31706789968021404</v>
      </c>
      <c r="AT2345" s="4" t="str">
        <f>[1]!EM_S_IPO_LISTEDDATE(B2345)</f>
        <v>1993-09-28</v>
      </c>
    </row>
    <row r="2346" spans="1:46">
      <c r="A2346">
        <v>3124</v>
      </c>
      <c r="B2346" t="str">
        <f>"601600"</f>
        <v>601600</v>
      </c>
      <c r="C2346" t="s">
        <v>2525</v>
      </c>
      <c r="D2346" t="str">
        <f>[1]!EM_S_INFO_INDEX_EM(B2346,"1")</f>
        <v>有色金属</v>
      </c>
      <c r="E2346" s="4">
        <f t="shared" si="36"/>
        <v>43465</v>
      </c>
      <c r="F2346" s="11">
        <f>[1]!EM_S_PQ_PCTCHANGE(B2346,"2018-01-01","2019-12-31","3")</f>
        <v>-56.24227441</v>
      </c>
      <c r="G2346" s="11">
        <f>[1]!EM_S_PQ_PCTCHANGE(B2346,"2018-12-31","2019-12-30","1")</f>
        <v>-0.28169013999999998</v>
      </c>
      <c r="H2346" s="11">
        <f>[1]!EM_S_FA_YOY_OR(B2346,E2346)</f>
        <v>-0.43104195950000002</v>
      </c>
      <c r="I2346" s="11">
        <f>[1]!EM_S_FA_GROSSPROFITMARGIN(B2346,E2346)</f>
        <v>8.8384500603999996</v>
      </c>
      <c r="J2346" s="11">
        <f>[1]!EM_S_FA_NETPROFITMARGIN(B2346,E2346)</f>
        <v>0.89204761779999997</v>
      </c>
      <c r="K2346" s="10">
        <f>[1]!EM_S_FA_ASSETSTURN(B2346,E2346)</f>
        <v>0.89890243378500001</v>
      </c>
      <c r="L2346" s="12">
        <f>[1]!EM_HKS_VAL_MV(B2346,"2019-12-31","2")</f>
        <v>60260262246.540001</v>
      </c>
      <c r="M2346">
        <f>[1]!EM_S_VAL_PETTMDEDUCTED(B2346,E2346)</f>
        <v>192.22113780227301</v>
      </c>
      <c r="N2346" s="7">
        <f>[1]!EM_S_VAL_PBGOODWILLDEDUCTED(B2346,E2346)</f>
        <v>1.1779361699217299</v>
      </c>
      <c r="O2346" s="7">
        <f>[1]!EM_S_VAL_PS_TTM(B2346,E2346)</f>
        <v>0.31926593244541102</v>
      </c>
      <c r="P2346" s="7">
        <f>[1]!EM_S_VAL_PCF_NCFTTM(B2346,E2346)</f>
        <v>7.8115805959856104</v>
      </c>
      <c r="Q2346" s="7">
        <f>[1]!EM_S_VAL_DIVIDENDYIELD2(B2346,E2346,"2019-11-29")</f>
        <v>0</v>
      </c>
      <c r="T2346"/>
      <c r="U2346">
        <f>[1]!EM_S_RATIO_EPS_TTM(B2346,E2346,"1")</f>
        <v>5.838981353746233E-2</v>
      </c>
      <c r="AT2346" s="4" t="str">
        <f>[1]!EM_S_IPO_LISTEDDATE(B2346)</f>
        <v>2007-04-30</v>
      </c>
    </row>
    <row r="2347" spans="1:46">
      <c r="A2347">
        <v>2318</v>
      </c>
      <c r="B2347" t="str">
        <f>"600180"</f>
        <v>600180</v>
      </c>
      <c r="C2347" t="s">
        <v>306</v>
      </c>
      <c r="D2347" t="str">
        <f>[1]!EM_S_INFO_INDEX_EM(B2347,"1")</f>
        <v>化石能源</v>
      </c>
      <c r="E2347" s="4">
        <f t="shared" si="36"/>
        <v>43465</v>
      </c>
      <c r="F2347" s="11">
        <f>[1]!EM_S_PQ_PCTCHANGE(B2347,"2018-01-01","2019-12-31","3")</f>
        <v>-32.10137933</v>
      </c>
      <c r="G2347" s="11">
        <f>[1]!EM_S_PQ_PCTCHANGE(B2347,"2018-12-31","2019-12-30","1")</f>
        <v>-0.28368794000000003</v>
      </c>
      <c r="H2347" s="11">
        <f>[1]!EM_S_FA_YOY_OR(B2347,E2347)</f>
        <v>1.5982509252999999</v>
      </c>
      <c r="I2347" s="11">
        <f>[1]!EM_S_FA_GROSSPROFITMARGIN(B2347,E2347)</f>
        <v>7.8678902726000004</v>
      </c>
      <c r="J2347" s="11">
        <f>[1]!EM_S_FA_NETPROFITMARGIN(B2347,E2347)</f>
        <v>1.2495855518000001</v>
      </c>
      <c r="K2347" s="10">
        <f>[1]!EM_S_FA_ASSETSTURN(B2347,E2347)</f>
        <v>1.8245504082440001</v>
      </c>
      <c r="L2347" s="12">
        <f>[1]!EM_HKS_VAL_MV(B2347,"2019-12-31","2")</f>
        <v>7095012698.7200003</v>
      </c>
      <c r="M2347">
        <f>[1]!EM_S_VAL_PETTMDEDUCTED(B2347,E2347)</f>
        <v>7.8989834080197001</v>
      </c>
      <c r="N2347" s="7">
        <f>[1]!EM_S_VAL_PBGOODWILLDEDUCTED(B2347,E2347)</f>
        <v>1.2555007700149801</v>
      </c>
      <c r="O2347" s="7">
        <f>[1]!EM_S_VAL_PS_TTM(B2347,E2347)</f>
        <v>0.17306216339293501</v>
      </c>
      <c r="P2347" s="7">
        <f>[1]!EM_S_VAL_PCF_NCFTTM(B2347,E2347)</f>
        <v>26.8930658856913</v>
      </c>
      <c r="Q2347" s="7">
        <f>[1]!EM_S_VAL_DIVIDENDYIELD2(B2347,E2347,"2019-11-29")</f>
        <v>0.70270270270270274</v>
      </c>
      <c r="T2347"/>
      <c r="U2347">
        <f>[1]!EM_S_RATIO_EPS_TTM(B2347,E2347,"1")</f>
        <v>0.46776055372537018</v>
      </c>
      <c r="AT2347" s="4" t="str">
        <f>[1]!EM_S_IPO_LISTEDDATE(B2347)</f>
        <v>1998-07-03</v>
      </c>
    </row>
    <row r="2348" spans="1:46">
      <c r="A2348">
        <v>2401</v>
      </c>
      <c r="B2348" t="str">
        <f>"600271"</f>
        <v>600271</v>
      </c>
      <c r="C2348" t="s">
        <v>2249</v>
      </c>
      <c r="D2348" t="str">
        <f>[1]!EM_S_INFO_INDEX_EM(B2348,"1")</f>
        <v>信息技术</v>
      </c>
      <c r="E2348" s="4">
        <f t="shared" si="36"/>
        <v>43465</v>
      </c>
      <c r="F2348" s="11">
        <f>[1]!EM_S_PQ_PCTCHANGE(B2348,"2018-01-01","2019-12-31","3")</f>
        <v>11.5000979</v>
      </c>
      <c r="G2348" s="11">
        <f>[1]!EM_S_PQ_PCTCHANGE(B2348,"2018-12-31","2019-12-30","1")</f>
        <v>-0.30581039999999998</v>
      </c>
      <c r="H2348" s="11">
        <f>[1]!EM_S_FA_YOY_OR(B2348,E2348)</f>
        <v>-6.0979298116000002</v>
      </c>
      <c r="I2348" s="11">
        <f>[1]!EM_S_FA_GROSSPROFITMARGIN(B2348,E2348)</f>
        <v>20.4172042328</v>
      </c>
      <c r="J2348" s="11">
        <f>[1]!EM_S_FA_NETPROFITMARGIN(B2348,E2348)</f>
        <v>9.9225421722</v>
      </c>
      <c r="K2348" s="10">
        <f>[1]!EM_S_FA_ASSETSTURN(B2348,E2348)</f>
        <v>1.36412347781</v>
      </c>
      <c r="L2348" s="12">
        <f>[1]!EM_HKS_VAL_MV(B2348,"2019-12-31","2")</f>
        <v>43154530729.870003</v>
      </c>
      <c r="M2348">
        <f>[1]!EM_S_VAL_PETTMDEDUCTED(B2348,E2348)</f>
        <v>29.267734128850499</v>
      </c>
      <c r="N2348" s="7">
        <f>[1]!EM_S_VAL_PBGOODWILLDEDUCTED(B2348,E2348)</f>
        <v>4.4720680874801504</v>
      </c>
      <c r="O2348" s="7">
        <f>[1]!EM_S_VAL_PS_TTM(B2348,E2348)</f>
        <v>1.31718228036301</v>
      </c>
      <c r="P2348" s="7">
        <f>[1]!EM_S_VAL_PCF_NCFTTM(B2348,E2348)</f>
        <v>50.3115087427513</v>
      </c>
      <c r="Q2348" s="7">
        <f>[1]!EM_S_VAL_DIVIDENDYIELD2(B2348,E2348,"2019-11-29")</f>
        <v>2.1307477201174785</v>
      </c>
      <c r="T2348"/>
      <c r="U2348">
        <f>[1]!EM_S_RATIO_EPS_TTM(B2348,E2348,"1")</f>
        <v>0.86871776481124785</v>
      </c>
      <c r="AT2348" s="4" t="str">
        <f>[1]!EM_S_IPO_LISTEDDATE(B2348)</f>
        <v>2003-07-11</v>
      </c>
    </row>
    <row r="2349" spans="1:46">
      <c r="A2349">
        <v>1799</v>
      </c>
      <c r="B2349" t="str">
        <f>"300374"</f>
        <v>300374</v>
      </c>
      <c r="C2349" t="s">
        <v>2033</v>
      </c>
      <c r="D2349" t="str">
        <f>[1]!EM_S_INFO_INDEX_EM(B2349,"1")</f>
        <v>建筑</v>
      </c>
      <c r="E2349" s="4">
        <f t="shared" si="36"/>
        <v>43465</v>
      </c>
      <c r="F2349" s="11">
        <f>[1]!EM_S_PQ_PCTCHANGE(B2349,"2018-01-01","2019-12-31","3")</f>
        <v>-36.111963240000001</v>
      </c>
      <c r="G2349" s="11">
        <f>[1]!EM_S_PQ_PCTCHANGE(B2349,"2018-12-31","2019-12-30","1")</f>
        <v>-0.30927834999999998</v>
      </c>
      <c r="H2349" s="11">
        <f>[1]!EM_S_FA_YOY_OR(B2349,E2349)</f>
        <v>-27.727595162699998</v>
      </c>
      <c r="I2349" s="11">
        <f>[1]!EM_S_FA_GROSSPROFITMARGIN(B2349,E2349)</f>
        <v>29.302217926899999</v>
      </c>
      <c r="J2349" s="11">
        <f>[1]!EM_S_FA_NETPROFITMARGIN(B2349,E2349)</f>
        <v>9.1779678027999996</v>
      </c>
      <c r="K2349" s="10">
        <f>[1]!EM_S_FA_ASSETSTURN(B2349,E2349)</f>
        <v>0.29939962461399999</v>
      </c>
      <c r="L2349" s="12">
        <f>[1]!EM_HKS_VAL_MV(B2349,"2019-12-31","2")</f>
        <v>2306657721.0599999</v>
      </c>
      <c r="M2349">
        <f>[1]!EM_S_VAL_PETTMDEDUCTED(B2349,E2349)</f>
        <v>36.424802918215498</v>
      </c>
      <c r="N2349" s="7">
        <f>[1]!EM_S_VAL_PBGOODWILLDEDUCTED(B2349,E2349)</f>
        <v>1.62008259585925</v>
      </c>
      <c r="O2349" s="7">
        <f>[1]!EM_S_VAL_PS_TTM(B2349,E2349)</f>
        <v>2.6597435586747</v>
      </c>
      <c r="P2349" s="7">
        <f>[1]!EM_S_VAL_PCF_NCFTTM(B2349,E2349)</f>
        <v>26.4532239911609</v>
      </c>
      <c r="Q2349" s="7">
        <f>[1]!EM_S_VAL_DIVIDENDYIELD2(B2349,E2349,"2019-11-29")</f>
        <v>0.33333333333333331</v>
      </c>
      <c r="T2349"/>
      <c r="U2349">
        <f>[1]!EM_S_RATIO_EPS_TTM(B2349,E2349,"1")</f>
        <v>0.28822825956877474</v>
      </c>
      <c r="AT2349" s="4" t="str">
        <f>[1]!EM_S_IPO_LISTEDDATE(B2349)</f>
        <v>2015-03-19</v>
      </c>
    </row>
    <row r="2350" spans="1:46">
      <c r="A2350">
        <v>102</v>
      </c>
      <c r="B2350" t="str">
        <f>"000422"</f>
        <v>000422</v>
      </c>
      <c r="C2350" t="s">
        <v>3222</v>
      </c>
      <c r="D2350" t="str">
        <f>[1]!EM_S_INFO_INDEX_EM(B2350,"1")</f>
        <v>基础化工</v>
      </c>
      <c r="E2350" s="4">
        <f t="shared" si="36"/>
        <v>43465</v>
      </c>
      <c r="F2350" s="11">
        <f>[1]!EM_S_PQ_PCTCHANGE(B2350,"2018-01-01","2019-12-31","3")</f>
        <v>-28.921568629999999</v>
      </c>
      <c r="G2350" s="11">
        <f>[1]!EM_S_PQ_PCTCHANGE(B2350,"2018-12-31","2019-12-30","1")</f>
        <v>-0.34602075999999998</v>
      </c>
      <c r="H2350" s="11">
        <f>[1]!EM_S_FA_YOY_OR(B2350,E2350)</f>
        <v>7.1668096057000001</v>
      </c>
      <c r="I2350" s="11">
        <f>[1]!EM_S_FA_GROSSPROFITMARGIN(B2350,E2350)</f>
        <v>18.395339949499999</v>
      </c>
      <c r="J2350" s="11">
        <f>[1]!EM_S_FA_NETPROFITMARGIN(B2350,E2350)</f>
        <v>2.4504355057999998</v>
      </c>
      <c r="K2350" s="10">
        <f>[1]!EM_S_FA_ASSETSTURN(B2350,E2350)</f>
        <v>0.45370306161399998</v>
      </c>
      <c r="L2350" s="12">
        <f>[1]!EM_HKS_VAL_MV(B2350,"2019-12-31","2")</f>
        <v>2603813464.8000002</v>
      </c>
      <c r="M2350">
        <f>[1]!EM_S_VAL_PETTMDEDUCTED(B2350,E2350)</f>
        <v>-0.61882366776466502</v>
      </c>
      <c r="N2350" s="7">
        <f>[1]!EM_S_VAL_PBGOODWILLDEDUCTED(B2350,E2350)</f>
        <v>27.403071809445301</v>
      </c>
      <c r="O2350" s="7">
        <f>[1]!EM_S_VAL_PS_TTM(B2350,E2350)</f>
        <v>0.20054291391221901</v>
      </c>
      <c r="P2350" s="7">
        <f>[1]!EM_S_VAL_PCF_NCFTTM(B2350,E2350)</f>
        <v>-19.088568500363198</v>
      </c>
      <c r="Q2350" s="7">
        <f>[1]!EM_S_VAL_DIVIDENDYIELD2(B2350,E2350,"2019-11-29")</f>
        <v>0</v>
      </c>
      <c r="T2350"/>
      <c r="U2350">
        <f>[1]!EM_S_RATIO_EPS_TTM(B2350,E2350,"1")</f>
        <v>0.29935065919895693</v>
      </c>
      <c r="AT2350" s="4" t="str">
        <f>[1]!EM_S_IPO_LISTEDDATE(B2350)</f>
        <v>1996-08-15</v>
      </c>
    </row>
    <row r="2351" spans="1:46">
      <c r="A2351">
        <v>1807</v>
      </c>
      <c r="B2351" t="str">
        <f>"300382"</f>
        <v>300382</v>
      </c>
      <c r="C2351" t="s">
        <v>1768</v>
      </c>
      <c r="D2351" t="str">
        <f>[1]!EM_S_INFO_INDEX_EM(B2351,"1")</f>
        <v>机械设备</v>
      </c>
      <c r="E2351" s="4">
        <f t="shared" si="36"/>
        <v>43465</v>
      </c>
      <c r="F2351" s="11">
        <f>[1]!EM_S_PQ_PCTCHANGE(B2351,"2018-01-01","2019-12-31","3")</f>
        <v>-28.883153719999999</v>
      </c>
      <c r="G2351" s="11">
        <f>[1]!EM_S_PQ_PCTCHANGE(B2351,"2018-12-31","2019-12-30","1")</f>
        <v>-0.36297641000000003</v>
      </c>
      <c r="H2351" s="11">
        <f>[1]!EM_S_FA_YOY_OR(B2351,E2351)</f>
        <v>34.778607104999999</v>
      </c>
      <c r="I2351" s="11">
        <f>[1]!EM_S_FA_GROSSPROFITMARGIN(B2351,E2351)</f>
        <v>45.350446879400003</v>
      </c>
      <c r="J2351" s="11">
        <f>[1]!EM_S_FA_NETPROFITMARGIN(B2351,E2351)</f>
        <v>17.679371618400001</v>
      </c>
      <c r="K2351" s="10">
        <f>[1]!EM_S_FA_ASSETSTURN(B2351,E2351)</f>
        <v>0.48925381121900002</v>
      </c>
      <c r="L2351" s="12">
        <f>[1]!EM_HKS_VAL_MV(B2351,"2019-12-31","2")</f>
        <v>3178525806.4499998</v>
      </c>
      <c r="M2351">
        <f>[1]!EM_S_VAL_PETTMDEDUCTED(B2351,E2351)</f>
        <v>19.828570950937898</v>
      </c>
      <c r="N2351" s="7">
        <f>[1]!EM_S_VAL_PBGOODWILLDEDUCTED(B2351,E2351)</f>
        <v>3.1142973662777802</v>
      </c>
      <c r="O2351" s="7">
        <f>[1]!EM_S_VAL_PS_TTM(B2351,E2351)</f>
        <v>4.4393802031012504</v>
      </c>
      <c r="P2351" s="7">
        <f>[1]!EM_S_VAL_PCF_NCFTTM(B2351,E2351)</f>
        <v>-217.34399960693301</v>
      </c>
      <c r="Q2351" s="7">
        <f>[1]!EM_S_VAL_DIVIDENDYIELD2(B2351,E2351,"2019-11-29")</f>
        <v>3.9525691699604746</v>
      </c>
      <c r="T2351"/>
      <c r="U2351">
        <f>[1]!EM_S_RATIO_EPS_TTM(B2351,E2351,"1")</f>
        <v>0.24284808317149098</v>
      </c>
      <c r="AT2351" s="4" t="str">
        <f>[1]!EM_S_IPO_LISTEDDATE(B2351)</f>
        <v>2014-01-29</v>
      </c>
    </row>
    <row r="2352" spans="1:46">
      <c r="A2352">
        <v>161</v>
      </c>
      <c r="B2352" t="str">
        <f>"000552"</f>
        <v>000552</v>
      </c>
      <c r="C2352" t="s">
        <v>980</v>
      </c>
      <c r="D2352" t="str">
        <f>[1]!EM_S_INFO_INDEX_EM(B2352,"1")</f>
        <v>化石能源</v>
      </c>
      <c r="E2352" s="4">
        <f t="shared" si="36"/>
        <v>43465</v>
      </c>
      <c r="F2352" s="11">
        <f>[1]!EM_S_PQ_PCTCHANGE(B2352,"2018-01-01","2019-12-31","3")</f>
        <v>-21.738040739999999</v>
      </c>
      <c r="G2352" s="11">
        <f>[1]!EM_S_PQ_PCTCHANGE(B2352,"2018-12-31","2019-12-30","1")</f>
        <v>-0.390625</v>
      </c>
      <c r="H2352" s="11">
        <f>[1]!EM_S_FA_YOY_OR(B2352,E2352)</f>
        <v>2.8062092814000001</v>
      </c>
      <c r="I2352" s="11">
        <f>[1]!EM_S_FA_GROSSPROFITMARGIN(B2352,E2352)</f>
        <v>28.700212965599999</v>
      </c>
      <c r="J2352" s="11">
        <f>[1]!EM_S_FA_NETPROFITMARGIN(B2352,E2352)</f>
        <v>14.0140787097</v>
      </c>
      <c r="K2352" s="10">
        <f>[1]!EM_S_FA_ASSETSTURN(B2352,E2352)</f>
        <v>0.41042034705699998</v>
      </c>
      <c r="L2352" s="12">
        <f>[1]!EM_HKS_VAL_MV(B2352,"2019-12-31","2")</f>
        <v>5900385309</v>
      </c>
      <c r="M2352">
        <f>[1]!EM_S_VAL_PETTMDEDUCTED(B2352,E2352)</f>
        <v>8.1440786826267502</v>
      </c>
      <c r="N2352" s="7">
        <f>[1]!EM_S_VAL_PBGOODWILLDEDUCTED(B2352,E2352)</f>
        <v>0.80210217066906997</v>
      </c>
      <c r="O2352" s="7">
        <f>[1]!EM_S_VAL_PS_TTM(B2352,E2352)</f>
        <v>1.4351002636180199</v>
      </c>
      <c r="P2352" s="7">
        <f>[1]!EM_S_VAL_PCF_NCFTTM(B2352,E2352)</f>
        <v>32.483774735671098</v>
      </c>
      <c r="Q2352" s="7">
        <f>[1]!EM_S_VAL_DIVIDENDYIELD2(B2352,E2352,"2019-11-29")</f>
        <v>3.9682539682539679</v>
      </c>
      <c r="T2352"/>
      <c r="U2352">
        <f>[1]!EM_S_RATIO_EPS_TTM(B2352,E2352,"1")</f>
        <v>0.25045558316096744</v>
      </c>
      <c r="AT2352" s="4" t="str">
        <f>[1]!EM_S_IPO_LISTEDDATE(B2352)</f>
        <v>1994-01-06</v>
      </c>
    </row>
    <row r="2353" spans="1:46">
      <c r="A2353">
        <v>2060</v>
      </c>
      <c r="B2353" t="str">
        <f>"300641"</f>
        <v>300641</v>
      </c>
      <c r="C2353" t="s">
        <v>1909</v>
      </c>
      <c r="D2353" t="str">
        <f>[1]!EM_S_INFO_INDEX_EM(B2353,"1")</f>
        <v>基础化工</v>
      </c>
      <c r="E2353" s="4">
        <f t="shared" si="36"/>
        <v>43465</v>
      </c>
      <c r="F2353" s="11">
        <f>[1]!EM_S_PQ_PCTCHANGE(B2353,"2018-01-01","2019-12-31","3")</f>
        <v>-42.86894796</v>
      </c>
      <c r="G2353" s="11">
        <f>[1]!EM_S_PQ_PCTCHANGE(B2353,"2018-12-31","2019-12-30","1")</f>
        <v>-0.40322581000000002</v>
      </c>
      <c r="H2353" s="11">
        <f>[1]!EM_S_FA_YOY_OR(B2353,E2353)</f>
        <v>3.3839711971000002</v>
      </c>
      <c r="I2353" s="11">
        <f>[1]!EM_S_FA_GROSSPROFITMARGIN(B2353,E2353)</f>
        <v>13.0275346897</v>
      </c>
      <c r="J2353" s="11">
        <f>[1]!EM_S_FA_NETPROFITMARGIN(B2353,E2353)</f>
        <v>4.9885328637999997</v>
      </c>
      <c r="K2353" s="10">
        <f>[1]!EM_S_FA_ASSETSTURN(B2353,E2353)</f>
        <v>0.76778573461999999</v>
      </c>
      <c r="L2353" s="12">
        <f>[1]!EM_HKS_VAL_MV(B2353,"2019-12-31","2")</f>
        <v>2423520000</v>
      </c>
      <c r="M2353">
        <f>[1]!EM_S_VAL_PETTMDEDUCTED(B2353,E2353)</f>
        <v>40.569345948606703</v>
      </c>
      <c r="N2353" s="7">
        <f>[1]!EM_S_VAL_PBGOODWILLDEDUCTED(B2353,E2353)</f>
        <v>1.86101797736102</v>
      </c>
      <c r="O2353" s="7">
        <f>[1]!EM_S_VAL_PS_TTM(B2353,E2353)</f>
        <v>2.0247232192351099</v>
      </c>
      <c r="P2353" s="7">
        <f>[1]!EM_S_VAL_PCF_NCFTTM(B2353,E2353)</f>
        <v>131.72989196657201</v>
      </c>
      <c r="Q2353" s="7">
        <f>[1]!EM_S_VAL_DIVIDENDYIELD2(B2353,E2353,"2019-11-29")</f>
        <v>0.8438818565400843</v>
      </c>
      <c r="T2353"/>
      <c r="U2353">
        <f>[1]!EM_S_RATIO_EPS_TTM(B2353,E2353,"1")</f>
        <v>0.12323693143382354</v>
      </c>
      <c r="AT2353" s="4" t="str">
        <f>[1]!EM_S_IPO_LISTEDDATE(B2353)</f>
        <v>2017-04-18</v>
      </c>
    </row>
    <row r="2354" spans="1:46">
      <c r="A2354">
        <v>605</v>
      </c>
      <c r="B2354" t="str">
        <f>"002094"</f>
        <v>002094</v>
      </c>
      <c r="C2354" t="s">
        <v>1387</v>
      </c>
      <c r="D2354" t="str">
        <f>[1]!EM_S_INFO_INDEX_EM(B2354,"1")</f>
        <v>商贸零售</v>
      </c>
      <c r="E2354" s="4">
        <f t="shared" si="36"/>
        <v>43465</v>
      </c>
      <c r="F2354" s="11">
        <f>[1]!EM_S_PQ_PCTCHANGE(B2354,"2018-01-01","2019-12-31","3")</f>
        <v>-53.351873990000001</v>
      </c>
      <c r="G2354" s="11">
        <f>[1]!EM_S_PQ_PCTCHANGE(B2354,"2018-12-31","2019-12-30","1")</f>
        <v>-0.41067762000000002</v>
      </c>
      <c r="H2354" s="11">
        <f>[1]!EM_S_FA_YOY_OR(B2354,E2354)</f>
        <v>16.669607915499999</v>
      </c>
      <c r="I2354" s="11">
        <f>[1]!EM_S_FA_GROSSPROFITMARGIN(B2354,E2354)</f>
        <v>23.9773227668</v>
      </c>
      <c r="J2354" s="11">
        <f>[1]!EM_S_FA_NETPROFITMARGIN(B2354,E2354)</f>
        <v>2.8420012477999999</v>
      </c>
      <c r="K2354" s="10">
        <f>[1]!EM_S_FA_ASSETSTURN(B2354,E2354)</f>
        <v>1.0317027158959999</v>
      </c>
      <c r="L2354" s="12">
        <f>[1]!EM_HKS_VAL_MV(B2354,"2019-12-31","2")</f>
        <v>3316308235.1999998</v>
      </c>
      <c r="M2354">
        <f>[1]!EM_S_VAL_PETTMDEDUCTED(B2354,E2354)</f>
        <v>17.5618694389191</v>
      </c>
      <c r="N2354" s="7">
        <f>[1]!EM_S_VAL_PBGOODWILLDEDUCTED(B2354,E2354)</f>
        <v>2.1730238145089</v>
      </c>
      <c r="O2354" s="7">
        <f>[1]!EM_S_VAL_PS_TTM(B2354,E2354)</f>
        <v>0.61839827369211597</v>
      </c>
      <c r="P2354" s="7">
        <f>[1]!EM_S_VAL_PCF_NCFTTM(B2354,E2354)</f>
        <v>12.363476628733</v>
      </c>
      <c r="Q2354" s="7">
        <f>[1]!EM_S_VAL_DIVIDENDYIELD2(B2354,E2354,"2019-11-29")</f>
        <v>0</v>
      </c>
      <c r="T2354"/>
      <c r="U2354">
        <f>[1]!EM_S_RATIO_EPS_TTM(B2354,E2354,"1")</f>
        <v>0.15079429183709842</v>
      </c>
      <c r="AT2354" s="4" t="str">
        <f>[1]!EM_S_IPO_LISTEDDATE(B2354)</f>
        <v>2006-12-15</v>
      </c>
    </row>
    <row r="2355" spans="1:46">
      <c r="A2355">
        <v>1474</v>
      </c>
      <c r="B2355" t="str">
        <f>"300048"</f>
        <v>300048</v>
      </c>
      <c r="C2355" t="s">
        <v>2878</v>
      </c>
      <c r="D2355" t="str">
        <f>[1]!EM_S_INFO_INDEX_EM(B2355,"1")</f>
        <v>交运设备</v>
      </c>
      <c r="E2355" s="4">
        <f t="shared" si="36"/>
        <v>43465</v>
      </c>
      <c r="F2355" s="11">
        <f>[1]!EM_S_PQ_PCTCHANGE(B2355,"2018-01-01","2019-12-31","3")</f>
        <v>-36.478878360000003</v>
      </c>
      <c r="G2355" s="11">
        <f>[1]!EM_S_PQ_PCTCHANGE(B2355,"2018-12-31","2019-12-30","1")</f>
        <v>-0.41841003999999998</v>
      </c>
      <c r="H2355" s="11">
        <f>[1]!EM_S_FA_YOY_OR(B2355,E2355)</f>
        <v>-10.706062900199999</v>
      </c>
      <c r="I2355" s="11">
        <f>[1]!EM_S_FA_GROSSPROFITMARGIN(B2355,E2355)</f>
        <v>27.8710794753</v>
      </c>
      <c r="J2355" s="11">
        <f>[1]!EM_S_FA_NETPROFITMARGIN(B2355,E2355)</f>
        <v>-23.2669854558</v>
      </c>
      <c r="K2355" s="10">
        <f>[1]!EM_S_FA_ASSETSTURN(B2355,E2355)</f>
        <v>0.272933613741</v>
      </c>
      <c r="L2355" s="12">
        <f>[1]!EM_HKS_VAL_MV(B2355,"2019-12-31","2")</f>
        <v>2685167430.3699999</v>
      </c>
      <c r="M2355">
        <f>[1]!EM_S_VAL_PETTMDEDUCTED(B2355,E2355)</f>
        <v>99.279537941872505</v>
      </c>
      <c r="N2355" s="7">
        <f>[1]!EM_S_VAL_PBGOODWILLDEDUCTED(B2355,E2355)</f>
        <v>1.36218514839974</v>
      </c>
      <c r="O2355" s="7">
        <f>[1]!EM_S_VAL_PS_TTM(B2355,E2355)</f>
        <v>1.8544976380907301</v>
      </c>
      <c r="P2355" s="7">
        <f>[1]!EM_S_VAL_PCF_NCFTTM(B2355,E2355)</f>
        <v>40.820159654223701</v>
      </c>
      <c r="Q2355" s="7">
        <f>[1]!EM_S_VAL_DIVIDENDYIELD2(B2355,E2355,"2019-11-29")</f>
        <v>0</v>
      </c>
      <c r="T2355"/>
      <c r="U2355">
        <f>[1]!EM_S_RATIO_EPS_TTM(B2355,E2355,"1")</f>
        <v>-0.21009157429202407</v>
      </c>
      <c r="AT2355" s="4" t="str">
        <f>[1]!EM_S_IPO_LISTEDDATE(B2355)</f>
        <v>2010-01-20</v>
      </c>
    </row>
    <row r="2356" spans="1:46">
      <c r="A2356">
        <v>366</v>
      </c>
      <c r="B2356" t="str">
        <f>"000809"</f>
        <v>000809</v>
      </c>
      <c r="C2356" t="s">
        <v>2271</v>
      </c>
      <c r="D2356" t="str">
        <f>[1]!EM_S_INFO_INDEX_EM(B2356,"1")</f>
        <v>房地产</v>
      </c>
      <c r="E2356" s="4">
        <f t="shared" si="36"/>
        <v>43465</v>
      </c>
      <c r="F2356" s="11">
        <f>[1]!EM_S_PQ_PCTCHANGE(B2356,"2018-01-01","2019-12-31","3")</f>
        <v>-37.795275590000003</v>
      </c>
      <c r="G2356" s="11">
        <f>[1]!EM_S_PQ_PCTCHANGE(B2356,"2018-12-31","2019-12-30","1")</f>
        <v>-0.42553191000000001</v>
      </c>
      <c r="H2356" s="11">
        <f>[1]!EM_S_FA_YOY_OR(B2356,E2356)</f>
        <v>1847.2648245616999</v>
      </c>
      <c r="I2356" s="11">
        <f>[1]!EM_S_FA_GROSSPROFITMARGIN(B2356,E2356)</f>
        <v>11.7833387059</v>
      </c>
      <c r="J2356" s="11">
        <f>[1]!EM_S_FA_NETPROFITMARGIN(B2356,E2356)</f>
        <v>6.2262169732999997</v>
      </c>
      <c r="K2356" s="10">
        <f>[1]!EM_S_FA_ASSETSTURN(B2356,E2356)</f>
        <v>0.264195537935</v>
      </c>
      <c r="L2356" s="12">
        <f>[1]!EM_HKS_VAL_MV(B2356,"2019-12-31","2")</f>
        <v>1954755364.4100001</v>
      </c>
      <c r="M2356">
        <f>[1]!EM_S_VAL_PETTMDEDUCTED(B2356,E2356)</f>
        <v>29.1895312446992</v>
      </c>
      <c r="N2356" s="7">
        <f>[1]!EM_S_VAL_PBGOODWILLDEDUCTED(B2356,E2356)</f>
        <v>0.60540300921004997</v>
      </c>
      <c r="O2356" s="7">
        <f>[1]!EM_S_VAL_PS_TTM(B2356,E2356)</f>
        <v>16.079168329319799</v>
      </c>
      <c r="P2356" s="7">
        <f>[1]!EM_S_VAL_PCF_NCFTTM(B2356,E2356)</f>
        <v>-644.02962391772303</v>
      </c>
      <c r="Q2356" s="7">
        <f>[1]!EM_S_VAL_DIVIDENDYIELD2(B2356,E2356,"2019-11-29")</f>
        <v>0</v>
      </c>
      <c r="T2356"/>
      <c r="U2356">
        <f>[1]!EM_S_RATIO_EPS_TTM(B2356,E2356,"1")</f>
        <v>0.11719051749252644</v>
      </c>
      <c r="AT2356" s="4" t="str">
        <f>[1]!EM_S_IPO_LISTEDDATE(B2356)</f>
        <v>1998-06-16</v>
      </c>
    </row>
    <row r="2357" spans="1:46">
      <c r="A2357">
        <v>1139</v>
      </c>
      <c r="B2357" t="str">
        <f>"002628"</f>
        <v>002628</v>
      </c>
      <c r="C2357" t="s">
        <v>2909</v>
      </c>
      <c r="D2357" t="str">
        <f>[1]!EM_S_INFO_INDEX_EM(B2357,"1")</f>
        <v>建筑</v>
      </c>
      <c r="E2357" s="4">
        <f t="shared" si="36"/>
        <v>43465</v>
      </c>
      <c r="F2357" s="11">
        <f>[1]!EM_S_PQ_PCTCHANGE(B2357,"2018-01-01","2019-12-31","3")</f>
        <v>-39.276485790000002</v>
      </c>
      <c r="G2357" s="11">
        <f>[1]!EM_S_PQ_PCTCHANGE(B2357,"2018-12-31","2019-12-30","1")</f>
        <v>-0.43763676000000001</v>
      </c>
      <c r="H2357" s="11">
        <f>[1]!EM_S_FA_YOY_OR(B2357,E2357)</f>
        <v>37.153176387199998</v>
      </c>
      <c r="I2357" s="11">
        <f>[1]!EM_S_FA_GROSSPROFITMARGIN(B2357,E2357)</f>
        <v>1.5215676070999999</v>
      </c>
      <c r="J2357" s="11">
        <f>[1]!EM_S_FA_NETPROFITMARGIN(B2357,E2357)</f>
        <v>0.76899885329999995</v>
      </c>
      <c r="K2357" s="10">
        <f>[1]!EM_S_FA_ASSETSTURN(B2357,E2357)</f>
        <v>0.47249080518499997</v>
      </c>
      <c r="L2357" s="12">
        <f>[1]!EM_HKS_VAL_MV(B2357,"2019-12-31","2")</f>
        <v>3582416210.5</v>
      </c>
      <c r="M2357">
        <f>[1]!EM_S_VAL_PETTMDEDUCTED(B2357,E2357)</f>
        <v>242.57891993617801</v>
      </c>
      <c r="N2357" s="7">
        <f>[1]!EM_S_VAL_PBGOODWILLDEDUCTED(B2357,E2357)</f>
        <v>1.2514080018460401</v>
      </c>
      <c r="O2357" s="7">
        <f>[1]!EM_S_VAL_PS_TTM(B2357,E2357)</f>
        <v>1.2284784360951999</v>
      </c>
      <c r="P2357" s="7">
        <f>[1]!EM_S_VAL_PCF_NCFTTM(B2357,E2357)</f>
        <v>-64.711165385710899</v>
      </c>
      <c r="Q2357" s="7">
        <f>[1]!EM_S_VAL_DIVIDENDYIELD2(B2357,E2357,"2019-11-29")</f>
        <v>0</v>
      </c>
      <c r="T2357"/>
      <c r="U2357">
        <f>[1]!EM_S_RATIO_EPS_TTM(B2357,E2357,"1")</f>
        <v>2.8918862775481547E-2</v>
      </c>
      <c r="AT2357" s="4" t="str">
        <f>[1]!EM_S_IPO_LISTEDDATE(B2357)</f>
        <v>2011-11-03</v>
      </c>
    </row>
    <row r="2358" spans="1:46">
      <c r="A2358">
        <v>1427</v>
      </c>
      <c r="B2358" t="str">
        <f>"300001"</f>
        <v>300001</v>
      </c>
      <c r="C2358" t="s">
        <v>1445</v>
      </c>
      <c r="D2358" t="str">
        <f>[1]!EM_S_INFO_INDEX_EM(B2358,"1")</f>
        <v>电气设备</v>
      </c>
      <c r="E2358" s="4">
        <f t="shared" si="36"/>
        <v>43465</v>
      </c>
      <c r="F2358" s="11">
        <f>[1]!EM_S_PQ_PCTCHANGE(B2358,"2018-01-01","2019-12-31","3")</f>
        <v>26.060945019999998</v>
      </c>
      <c r="G2358" s="11">
        <f>[1]!EM_S_PQ_PCTCHANGE(B2358,"2018-12-31","2019-12-30","1")</f>
        <v>-0.45636051999999999</v>
      </c>
      <c r="H2358" s="11">
        <f>[1]!EM_S_FA_YOY_OR(B2358,E2358)</f>
        <v>15.643991760400001</v>
      </c>
      <c r="I2358" s="11">
        <f>[1]!EM_S_FA_GROSSPROFITMARGIN(B2358,E2358)</f>
        <v>23.2116858206</v>
      </c>
      <c r="J2358" s="11">
        <f>[1]!EM_S_FA_NETPROFITMARGIN(B2358,E2358)</f>
        <v>3.1802306141000001</v>
      </c>
      <c r="K2358" s="10">
        <f>[1]!EM_S_FA_ASSETSTURN(B2358,E2358)</f>
        <v>0.46053803989699998</v>
      </c>
      <c r="L2358" s="12">
        <f>[1]!EM_HKS_VAL_MV(B2358,"2019-12-31","2")</f>
        <v>17138253888.5</v>
      </c>
      <c r="M2358">
        <f>[1]!EM_S_VAL_PETTMDEDUCTED(B2358,E2358)</f>
        <v>634.11383105829395</v>
      </c>
      <c r="N2358" s="7">
        <f>[1]!EM_S_VAL_PBGOODWILLDEDUCTED(B2358,E2358)</f>
        <v>5.9586872119350298</v>
      </c>
      <c r="O2358" s="7">
        <f>[1]!EM_S_VAL_PS_TTM(B2358,E2358)</f>
        <v>3.3658004415586098</v>
      </c>
      <c r="P2358" s="7">
        <f>[1]!EM_S_VAL_PCF_NCFTTM(B2358,E2358)</f>
        <v>-18.107563845358399</v>
      </c>
      <c r="Q2358" s="7">
        <f>[1]!EM_S_VAL_DIVIDENDYIELD2(B2358,E2358,"2019-11-29")</f>
        <v>6.2344139650872814E-2</v>
      </c>
      <c r="T2358"/>
      <c r="U2358">
        <f>[1]!EM_S_RATIO_EPS_TTM(B2358,E2358,"1")</f>
        <v>0.17943083696651588</v>
      </c>
      <c r="AT2358" s="4" t="str">
        <f>[1]!EM_S_IPO_LISTEDDATE(B2358)</f>
        <v>2009-10-30</v>
      </c>
    </row>
    <row r="2359" spans="1:46">
      <c r="A2359">
        <v>3513</v>
      </c>
      <c r="B2359" t="str">
        <f>"603718"</f>
        <v>603718</v>
      </c>
      <c r="C2359" t="s">
        <v>1433</v>
      </c>
      <c r="D2359" t="str">
        <f>[1]!EM_S_INFO_INDEX_EM(B2359,"1")</f>
        <v>农林牧渔</v>
      </c>
      <c r="E2359" s="4">
        <f t="shared" si="36"/>
        <v>43465</v>
      </c>
      <c r="F2359" s="11">
        <f>[1]!EM_S_PQ_PCTCHANGE(B2359,"2018-01-01","2019-12-31","3")</f>
        <v>16.4613476</v>
      </c>
      <c r="G2359" s="11">
        <f>[1]!EM_S_PQ_PCTCHANGE(B2359,"2018-12-31","2019-12-30","1")</f>
        <v>-0.47393364999999998</v>
      </c>
      <c r="H2359" s="11">
        <f>[1]!EM_S_FA_YOY_OR(B2359,E2359)</f>
        <v>-16.164987783200001</v>
      </c>
      <c r="I2359" s="11">
        <f>[1]!EM_S_FA_GROSSPROFITMARGIN(B2359,E2359)</f>
        <v>55.839549507599997</v>
      </c>
      <c r="J2359" s="11">
        <f>[1]!EM_S_FA_NETPROFITMARGIN(B2359,E2359)</f>
        <v>-5.3847722952000003</v>
      </c>
      <c r="K2359" s="10">
        <f>[1]!EM_S_FA_ASSETSTURN(B2359,E2359)</f>
        <v>0.15196593196200001</v>
      </c>
      <c r="L2359" s="12">
        <f>[1]!EM_HKS_VAL_MV(B2359,"2019-12-31","2")</f>
        <v>8243200000</v>
      </c>
      <c r="M2359">
        <f>[1]!EM_S_VAL_PETTMDEDUCTED(B2359,E2359)</f>
        <v>165.45005175555801</v>
      </c>
      <c r="N2359" s="7">
        <f>[1]!EM_S_VAL_PBGOODWILLDEDUCTED(B2359,E2359)</f>
        <v>9.8076340771968304</v>
      </c>
      <c r="O2359" s="7">
        <f>[1]!EM_S_VAL_PS_TTM(B2359,E2359)</f>
        <v>31.2508264797839</v>
      </c>
      <c r="P2359" s="7">
        <f>[1]!EM_S_VAL_PCF_NCFTTM(B2359,E2359)</f>
        <v>-119.693827515964</v>
      </c>
      <c r="Q2359" s="7">
        <f>[1]!EM_S_VAL_DIVIDENDYIELD2(B2359,E2359,"2019-11-29")</f>
        <v>8.3963056255247692E-2</v>
      </c>
      <c r="T2359"/>
      <c r="U2359">
        <f>[1]!EM_S_RATIO_EPS_TTM(B2359,E2359,"1")</f>
        <v>3.3071776195652172E-2</v>
      </c>
      <c r="AT2359" s="4" t="str">
        <f>[1]!EM_S_IPO_LISTEDDATE(B2359)</f>
        <v>2015-05-15</v>
      </c>
    </row>
    <row r="2360" spans="1:46">
      <c r="A2360">
        <v>2154</v>
      </c>
      <c r="B2360" t="str">
        <f>"300741"</f>
        <v>300741</v>
      </c>
      <c r="C2360" t="s">
        <v>415</v>
      </c>
      <c r="D2360" t="str">
        <f>[1]!EM_S_INFO_INDEX_EM(B2360,"1")</f>
        <v>食品饮料</v>
      </c>
      <c r="E2360" s="4">
        <f t="shared" si="36"/>
        <v>43465</v>
      </c>
      <c r="F2360" s="11">
        <f>[1]!EM_S_PQ_PCTCHANGE(B2360,"2018-01-01","2019-12-31","3")</f>
        <v>-12.071137970000001</v>
      </c>
      <c r="G2360" s="11">
        <f>[1]!EM_S_PQ_PCTCHANGE(B2360,"2018-12-31","2019-12-30","1")</f>
        <v>-0.51496620999999998</v>
      </c>
      <c r="H2360" s="11">
        <f>[1]!EM_S_FA_YOY_OR(B2360,E2360)</f>
        <v>-1.3037006606999999</v>
      </c>
      <c r="I2360" s="11">
        <f>[1]!EM_S_FA_GROSSPROFITMARGIN(B2360,E2360)</f>
        <v>77.638810808599999</v>
      </c>
      <c r="J2360" s="11">
        <f>[1]!EM_S_FA_NETPROFITMARGIN(B2360,E2360)</f>
        <v>55.032556850699997</v>
      </c>
      <c r="K2360" s="10">
        <f>[1]!EM_S_FA_ASSETSTURN(B2360,E2360)</f>
        <v>0.27373697547300002</v>
      </c>
      <c r="L2360" s="12">
        <f>[1]!EM_HKS_VAL_MV(B2360,"2019-12-31","2")</f>
        <v>19018374400</v>
      </c>
      <c r="M2360">
        <f>[1]!EM_S_VAL_PETTMDEDUCTED(B2360,E2360)</f>
        <v>17.8796110896869</v>
      </c>
      <c r="N2360" s="7">
        <f>[1]!EM_S_VAL_PBGOODWILLDEDUCTED(B2360,E2360)</f>
        <v>2.45511878643349</v>
      </c>
      <c r="O2360" s="7">
        <f>[1]!EM_S_VAL_PS_TTM(B2360,E2360)</f>
        <v>8.6419027769884806</v>
      </c>
      <c r="P2360" s="7">
        <f>[1]!EM_S_VAL_PCF_NCFTTM(B2360,E2360)</f>
        <v>21.662410500486398</v>
      </c>
      <c r="Q2360" s="7">
        <f>[1]!EM_S_VAL_DIVIDENDYIELD2(B2360,E2360,"2019-11-29")</f>
        <v>13.98112548060119</v>
      </c>
      <c r="T2360"/>
      <c r="U2360">
        <f>[1]!EM_S_RATIO_EPS_TTM(B2360,E2360,"1")</f>
        <v>1.9089648584139767</v>
      </c>
      <c r="AT2360" s="4" t="str">
        <f>[1]!EM_S_IPO_LISTEDDATE(B2360)</f>
        <v>2018-03-01</v>
      </c>
    </row>
    <row r="2361" spans="1:46">
      <c r="A2361">
        <v>1641</v>
      </c>
      <c r="B2361" t="str">
        <f>"300216"</f>
        <v>300216</v>
      </c>
      <c r="C2361" t="s">
        <v>3599</v>
      </c>
      <c r="D2361" t="str">
        <f>[1]!EM_S_INFO_INDEX_EM(B2361,"1")</f>
        <v>医药生物</v>
      </c>
      <c r="E2361" s="4">
        <f t="shared" si="36"/>
        <v>43465</v>
      </c>
      <c r="F2361" s="11">
        <f>[1]!EM_S_PQ_PCTCHANGE(B2361,"2018-01-01","2019-12-31","3")</f>
        <v>-76.112852660000001</v>
      </c>
      <c r="G2361" s="11">
        <f>[1]!EM_S_PQ_PCTCHANGE(B2361,"2018-12-31","2019-12-30","1")</f>
        <v>-0.52219320999999996</v>
      </c>
      <c r="H2361" s="11">
        <f>[1]!EM_S_FA_YOY_OR(B2361,E2361)</f>
        <v>-34.777448155599998</v>
      </c>
      <c r="I2361" s="11">
        <f>[1]!EM_S_FA_GROSSPROFITMARGIN(B2361,E2361)</f>
        <v>19.5579804282</v>
      </c>
      <c r="J2361" s="11">
        <f>[1]!EM_S_FA_NETPROFITMARGIN(B2361,E2361)</f>
        <v>-1242.6804718471999</v>
      </c>
      <c r="K2361" s="10">
        <f>[1]!EM_S_FA_ASSETSTURN(B2361,E2361)</f>
        <v>5.5551825947999997E-2</v>
      </c>
      <c r="L2361" s="12">
        <f>[1]!EM_HKS_VAL_MV(B2361,"2019-12-31","2")</f>
        <v>1377067045.2</v>
      </c>
      <c r="M2361">
        <f>[1]!EM_S_VAL_PETTMDEDUCTED(B2361,E2361)</f>
        <v>-1.3914868827301099</v>
      </c>
      <c r="N2361" s="7">
        <f>[1]!EM_S_VAL_PBGOODWILLDEDUCTED(B2361,E2361)</f>
        <v>-0.76931457703478501</v>
      </c>
      <c r="O2361" s="7">
        <f>[1]!EM_S_VAL_PS_TTM(B2361,E2361)</f>
        <v>6.2142477401362202</v>
      </c>
      <c r="P2361" s="7">
        <f>[1]!EM_S_VAL_PCF_NCFTTM(B2361,E2361)</f>
        <v>-7.8674393431482601</v>
      </c>
      <c r="Q2361" s="7">
        <f>[1]!EM_S_VAL_DIVIDENDYIELD2(B2361,E2361,"2019-11-29")</f>
        <v>0</v>
      </c>
      <c r="T2361"/>
      <c r="U2361">
        <f>[1]!EM_S_RATIO_EPS_TTM(B2361,E2361,"1")</f>
        <v>-6.8226852677101597</v>
      </c>
      <c r="AT2361" s="4" t="str">
        <f>[1]!EM_S_IPO_LISTEDDATE(B2361)</f>
        <v>2011-05-11</v>
      </c>
    </row>
    <row r="2362" spans="1:46">
      <c r="A2362">
        <v>3351</v>
      </c>
      <c r="B2362" t="str">
        <f>"603313"</f>
        <v>603313</v>
      </c>
      <c r="C2362" t="s">
        <v>2847</v>
      </c>
      <c r="D2362" t="str">
        <f>[1]!EM_S_INFO_INDEX_EM(B2362,"1")</f>
        <v>轻工制造</v>
      </c>
      <c r="E2362" s="4">
        <f t="shared" si="36"/>
        <v>43465</v>
      </c>
      <c r="F2362" s="11">
        <f>[1]!EM_S_PQ_PCTCHANGE(B2362,"2018-01-01","2019-12-31","3")</f>
        <v>4.1197096799999997</v>
      </c>
      <c r="G2362" s="11">
        <f>[1]!EM_S_PQ_PCTCHANGE(B2362,"2018-12-31","2019-12-30","1")</f>
        <v>-0.52356020999999997</v>
      </c>
      <c r="H2362" s="11">
        <f>[1]!EM_S_FA_YOY_OR(B2362,E2362)</f>
        <v>30.386041524700001</v>
      </c>
      <c r="I2362" s="11">
        <f>[1]!EM_S_FA_GROSSPROFITMARGIN(B2362,E2362)</f>
        <v>32.082726717299998</v>
      </c>
      <c r="J2362" s="11">
        <f>[1]!EM_S_FA_NETPROFITMARGIN(B2362,E2362)</f>
        <v>6.4488159746000004</v>
      </c>
      <c r="K2362" s="10">
        <f>[1]!EM_S_FA_ASSETSTURN(B2362,E2362)</f>
        <v>1.072902537012</v>
      </c>
      <c r="L2362" s="12">
        <f>[1]!EM_HKS_VAL_MV(B2362,"2019-12-31","2")</f>
        <v>7041988912.8299999</v>
      </c>
      <c r="M2362">
        <f>[1]!EM_S_VAL_PETTMDEDUCTED(B2362,E2362)</f>
        <v>35.0187100302836</v>
      </c>
      <c r="N2362" s="7">
        <f>[1]!EM_S_VAL_PBGOODWILLDEDUCTED(B2362,E2362)</f>
        <v>3.04795705832196</v>
      </c>
      <c r="O2362" s="7">
        <f>[1]!EM_S_VAL_PS_TTM(B2362,E2362)</f>
        <v>1.81110427997521</v>
      </c>
      <c r="P2362" s="7">
        <f>[1]!EM_S_VAL_PCF_NCFTTM(B2362,E2362)</f>
        <v>41.480993106472503</v>
      </c>
      <c r="Q2362" s="7">
        <f>[1]!EM_S_VAL_DIVIDENDYIELD2(B2362,E2362,"2019-11-29")</f>
        <v>1.6763884188397333</v>
      </c>
      <c r="T2362"/>
      <c r="U2362">
        <f>[1]!EM_S_RATIO_EPS_TTM(B2362,E2362,"1")</f>
        <v>0.77530607154166664</v>
      </c>
      <c r="AT2362" s="4" t="str">
        <f>[1]!EM_S_IPO_LISTEDDATE(B2362)</f>
        <v>2016-10-13</v>
      </c>
    </row>
    <row r="2363" spans="1:46">
      <c r="A2363">
        <v>3576</v>
      </c>
      <c r="B2363" t="str">
        <f>"603878"</f>
        <v>603878</v>
      </c>
      <c r="C2363" t="s">
        <v>1679</v>
      </c>
      <c r="D2363" t="str">
        <f>[1]!EM_S_INFO_INDEX_EM(B2363,"1")</f>
        <v>钢铁</v>
      </c>
      <c r="E2363" s="4">
        <f t="shared" si="36"/>
        <v>43465</v>
      </c>
      <c r="F2363" s="11">
        <f>[1]!EM_S_PQ_PCTCHANGE(B2363,"2018-01-01","2019-12-31","3")</f>
        <v>0.10790259000000001</v>
      </c>
      <c r="G2363" s="11">
        <f>[1]!EM_S_PQ_PCTCHANGE(B2363,"2018-12-31","2019-12-30","1")</f>
        <v>-0.52956751999999996</v>
      </c>
      <c r="H2363" s="11">
        <f>[1]!EM_S_FA_YOY_OR(B2363,E2363)</f>
        <v>36.878980294900003</v>
      </c>
      <c r="I2363" s="11">
        <f>[1]!EM_S_FA_GROSSPROFITMARGIN(B2363,E2363)</f>
        <v>20.544729161300001</v>
      </c>
      <c r="J2363" s="11">
        <f>[1]!EM_S_FA_NETPROFITMARGIN(B2363,E2363)</f>
        <v>9.9562871674999993</v>
      </c>
      <c r="K2363" s="10">
        <f>[1]!EM_S_FA_ASSETSTURN(B2363,E2363)</f>
        <v>0.73432957195399995</v>
      </c>
      <c r="L2363" s="12">
        <f>[1]!EM_HKS_VAL_MV(B2363,"2019-12-31","2")</f>
        <v>3277634864</v>
      </c>
      <c r="M2363">
        <f>[1]!EM_S_VAL_PETTMDEDUCTED(B2363,E2363)</f>
        <v>15.4287079870591</v>
      </c>
      <c r="N2363" s="7">
        <f>[1]!EM_S_VAL_PBGOODWILLDEDUCTED(B2363,E2363)</f>
        <v>1.07016981588375</v>
      </c>
      <c r="O2363" s="7">
        <f>[1]!EM_S_VAL_PS_TTM(B2363,E2363)</f>
        <v>1.2260269718919701</v>
      </c>
      <c r="P2363" s="7">
        <f>[1]!EM_S_VAL_PCF_NCFTTM(B2363,E2363)</f>
        <v>12.1563087782362</v>
      </c>
      <c r="Q2363" s="7">
        <f>[1]!EM_S_VAL_DIVIDENDYIELD2(B2363,E2363,"2019-11-29")</f>
        <v>4.2223786066150595</v>
      </c>
      <c r="T2363"/>
      <c r="U2363">
        <f>[1]!EM_S_RATIO_EPS_TTM(B2363,E2363,"1")</f>
        <v>0.97390258234997229</v>
      </c>
      <c r="AT2363" s="4" t="str">
        <f>[1]!EM_S_IPO_LISTEDDATE(B2363)</f>
        <v>2016-12-19</v>
      </c>
    </row>
    <row r="2364" spans="1:46">
      <c r="A2364">
        <v>3004</v>
      </c>
      <c r="B2364" t="str">
        <f>"600981"</f>
        <v>600981</v>
      </c>
      <c r="C2364" t="s">
        <v>1653</v>
      </c>
      <c r="D2364" t="str">
        <f>[1]!EM_S_INFO_INDEX_EM(B2364,"1")</f>
        <v>商贸零售</v>
      </c>
      <c r="E2364" s="4">
        <f t="shared" si="36"/>
        <v>43465</v>
      </c>
      <c r="F2364" s="11">
        <f>[1]!EM_S_PQ_PCTCHANGE(B2364,"2018-01-01","2019-12-31","3")</f>
        <v>-30.893343130000002</v>
      </c>
      <c r="G2364" s="11">
        <f>[1]!EM_S_PQ_PCTCHANGE(B2364,"2018-12-31","2019-12-30","1")</f>
        <v>-0.53475936000000002</v>
      </c>
      <c r="H2364" s="11">
        <f>[1]!EM_S_FA_YOY_OR(B2364,E2364)</f>
        <v>5.9332208003</v>
      </c>
      <c r="I2364" s="11">
        <f>[1]!EM_S_FA_GROSSPROFITMARGIN(B2364,E2364)</f>
        <v>4.9801963155999998</v>
      </c>
      <c r="J2364" s="11">
        <f>[1]!EM_S_FA_NETPROFITMARGIN(B2364,E2364)</f>
        <v>3.4078116267</v>
      </c>
      <c r="K2364" s="10">
        <f>[1]!EM_S_FA_ASSETSTURN(B2364,E2364)</f>
        <v>1.3465917552919999</v>
      </c>
      <c r="L2364" s="12">
        <f>[1]!EM_HKS_VAL_MV(B2364,"2019-12-31","2")</f>
        <v>8341851474.2399998</v>
      </c>
      <c r="M2364">
        <f>[1]!EM_S_VAL_PETTMDEDUCTED(B2364,E2364)</f>
        <v>-45.791571630568001</v>
      </c>
      <c r="N2364" s="7">
        <f>[1]!EM_S_VAL_PBGOODWILLDEDUCTED(B2364,E2364)</f>
        <v>1.61337025118791</v>
      </c>
      <c r="O2364" s="7">
        <f>[1]!EM_S_VAL_PS_TTM(B2364,E2364)</f>
        <v>0.21722074201726299</v>
      </c>
      <c r="P2364" s="7">
        <f>[1]!EM_S_VAL_PCF_NCFTTM(B2364,E2364)</f>
        <v>10.4692045778646</v>
      </c>
      <c r="Q2364" s="7">
        <f>[1]!EM_S_VAL_DIVIDENDYIELD2(B2364,E2364,"2019-11-29")</f>
        <v>4.6218487394957979</v>
      </c>
      <c r="T2364"/>
      <c r="U2364">
        <f>[1]!EM_S_RATIO_EPS_TTM(B2364,E2364,"1")</f>
        <v>0.53583222043655876</v>
      </c>
      <c r="AT2364" s="4" t="str">
        <f>[1]!EM_S_IPO_LISTEDDATE(B2364)</f>
        <v>2004-06-30</v>
      </c>
    </row>
    <row r="2365" spans="1:46">
      <c r="A2365">
        <v>1748</v>
      </c>
      <c r="B2365" t="str">
        <f>"300323"</f>
        <v>300323</v>
      </c>
      <c r="C2365" t="s">
        <v>598</v>
      </c>
      <c r="D2365" t="str">
        <f>[1]!EM_S_INFO_INDEX_EM(B2365,"1")</f>
        <v>电子设备</v>
      </c>
      <c r="E2365" s="4">
        <f t="shared" si="36"/>
        <v>43465</v>
      </c>
      <c r="F2365" s="11">
        <f>[1]!EM_S_PQ_PCTCHANGE(B2365,"2018-01-01","2019-12-31","3")</f>
        <v>-56.45949616</v>
      </c>
      <c r="G2365" s="11">
        <f>[1]!EM_S_PQ_PCTCHANGE(B2365,"2018-12-31","2019-12-30","1")</f>
        <v>-0.55325035</v>
      </c>
      <c r="H2365" s="11">
        <f>[1]!EM_S_FA_YOY_OR(B2365,E2365)</f>
        <v>3.8664815012</v>
      </c>
      <c r="I2365" s="11">
        <f>[1]!EM_S_FA_GROSSPROFITMARGIN(B2365,E2365)</f>
        <v>28.963781962300001</v>
      </c>
      <c r="J2365" s="11">
        <f>[1]!EM_S_FA_NETPROFITMARGIN(B2365,E2365)</f>
        <v>8.9274174182999992</v>
      </c>
      <c r="K2365" s="10">
        <f>[1]!EM_S_FA_ASSETSTURN(B2365,E2365)</f>
        <v>0.23960356025999999</v>
      </c>
      <c r="L2365" s="12">
        <f>[1]!EM_HKS_VAL_MV(B2365,"2019-12-31","2")</f>
        <v>7645130003</v>
      </c>
      <c r="M2365">
        <f>[1]!EM_S_VAL_PETTMDEDUCTED(B2365,E2365)</f>
        <v>24.1734947273799</v>
      </c>
      <c r="N2365" s="7">
        <f>[1]!EM_S_VAL_PBGOODWILLDEDUCTED(B2365,E2365)</f>
        <v>1.7543509158953601</v>
      </c>
      <c r="O2365" s="7">
        <f>[1]!EM_S_VAL_PS_TTM(B2365,E2365)</f>
        <v>2.5683062856899501</v>
      </c>
      <c r="P2365" s="7">
        <f>[1]!EM_S_VAL_PCF_NCFTTM(B2365,E2365)</f>
        <v>11.9917866269965</v>
      </c>
      <c r="Q2365" s="7">
        <f>[1]!EM_S_VAL_DIVIDENDYIELD2(B2365,E2365,"2019-11-29")</f>
        <v>0.92016759780351598</v>
      </c>
      <c r="T2365"/>
      <c r="U2365">
        <f>[1]!EM_S_RATIO_EPS_TTM(B2365,E2365,"1")</f>
        <v>0.22193954708969449</v>
      </c>
      <c r="AT2365" s="4" t="str">
        <f>[1]!EM_S_IPO_LISTEDDATE(B2365)</f>
        <v>2012-06-01</v>
      </c>
    </row>
    <row r="2366" spans="1:46">
      <c r="A2366">
        <v>2475</v>
      </c>
      <c r="B2366" t="str">
        <f>"600355"</f>
        <v>600355</v>
      </c>
      <c r="C2366" t="s">
        <v>3449</v>
      </c>
      <c r="D2366" t="str">
        <f>[1]!EM_S_INFO_INDEX_EM(B2366,"1")</f>
        <v>信息技术</v>
      </c>
      <c r="E2366" s="4">
        <f t="shared" si="36"/>
        <v>43465</v>
      </c>
      <c r="F2366" s="11">
        <f>[1]!EM_S_PQ_PCTCHANGE(B2366,"2018-01-01","2019-12-31","3")</f>
        <v>-60.394889659999997</v>
      </c>
      <c r="G2366" s="11">
        <f>[1]!EM_S_PQ_PCTCHANGE(B2366,"2018-12-31","2019-12-30","1")</f>
        <v>-0.57636887999999997</v>
      </c>
      <c r="H2366" s="11">
        <f>[1]!EM_S_FA_YOY_OR(B2366,E2366)</f>
        <v>16.352331034199999</v>
      </c>
      <c r="I2366" s="11">
        <f>[1]!EM_S_FA_GROSSPROFITMARGIN(B2366,E2366)</f>
        <v>26.068755850300001</v>
      </c>
      <c r="J2366" s="11">
        <f>[1]!EM_S_FA_NETPROFITMARGIN(B2366,E2366)</f>
        <v>2.7683910756999999</v>
      </c>
      <c r="K2366" s="10">
        <f>[1]!EM_S_FA_ASSETSTURN(B2366,E2366)</f>
        <v>0.74640431074199998</v>
      </c>
      <c r="L2366" s="12">
        <f>[1]!EM_HKS_VAL_MV(B2366,"2019-12-31","2")</f>
        <v>1678024172</v>
      </c>
      <c r="M2366">
        <f>[1]!EM_S_VAL_PETTMDEDUCTED(B2366,E2366)</f>
        <v>-34.615547584819602</v>
      </c>
      <c r="N2366" s="7">
        <f>[1]!EM_S_VAL_PBGOODWILLDEDUCTED(B2366,E2366)</f>
        <v>4.7226475425335197</v>
      </c>
      <c r="O2366" s="7">
        <f>[1]!EM_S_VAL_PS_TTM(B2366,E2366)</f>
        <v>4.3875302279410402</v>
      </c>
      <c r="P2366" s="7">
        <f>[1]!EM_S_VAL_PCF_NCFTTM(B2366,E2366)</f>
        <v>65.080306214118096</v>
      </c>
      <c r="Q2366" s="7">
        <f>[1]!EM_S_VAL_DIVIDENDYIELD2(B2366,E2366,"2019-11-29")</f>
        <v>0</v>
      </c>
      <c r="T2366"/>
      <c r="U2366">
        <f>[1]!EM_S_RATIO_EPS_TTM(B2366,E2366,"1")</f>
        <v>2.2377287959174881E-2</v>
      </c>
      <c r="AT2366" s="4" t="str">
        <f>[1]!EM_S_IPO_LISTEDDATE(B2366)</f>
        <v>2002-06-13</v>
      </c>
    </row>
    <row r="2367" spans="1:46">
      <c r="A2367">
        <v>1420</v>
      </c>
      <c r="B2367" t="str">
        <f>"002925"</f>
        <v>002925</v>
      </c>
      <c r="C2367" t="s">
        <v>200</v>
      </c>
      <c r="D2367" t="str">
        <f>[1]!EM_S_INFO_INDEX_EM(B2367,"1")</f>
        <v>电子设备</v>
      </c>
      <c r="E2367" s="4">
        <f t="shared" si="36"/>
        <v>43465</v>
      </c>
      <c r="F2367" s="11">
        <f>[1]!EM_S_PQ_PCTCHANGE(B2367,"2018-01-01","2019-12-31","3")</f>
        <v>101.94389609</v>
      </c>
      <c r="G2367" s="11">
        <f>[1]!EM_S_PQ_PCTCHANGE(B2367,"2018-12-31","2019-12-30","1")</f>
        <v>-0.59252506999999999</v>
      </c>
      <c r="H2367" s="11">
        <f>[1]!EM_S_FA_YOY_OR(B2367,E2367)</f>
        <v>-14.9506270123</v>
      </c>
      <c r="I2367" s="11">
        <f>[1]!EM_S_FA_GROSSPROFITMARGIN(B2367,E2367)</f>
        <v>43.026688749199998</v>
      </c>
      <c r="J2367" s="11">
        <f>[1]!EM_S_FA_NETPROFITMARGIN(B2367,E2367)</f>
        <v>29.220266895799998</v>
      </c>
      <c r="K2367" s="10">
        <f>[1]!EM_S_FA_ASSETSTURN(B2367,E2367)</f>
        <v>0.76148897692700002</v>
      </c>
      <c r="L2367" s="12">
        <f>[1]!EM_HKS_VAL_MV(B2367,"2019-12-31","2")</f>
        <v>20134743180</v>
      </c>
      <c r="M2367">
        <f>[1]!EM_S_VAL_PETTMDEDUCTED(B2367,E2367)</f>
        <v>25.632391421705201</v>
      </c>
      <c r="N2367" s="7">
        <f>[1]!EM_S_VAL_PBGOODWILLDEDUCTED(B2367,E2367)</f>
        <v>5.7100511209132101</v>
      </c>
      <c r="O2367" s="7">
        <f>[1]!EM_S_VAL_PS_TTM(B2367,E2367)</f>
        <v>6.7701162340702501</v>
      </c>
      <c r="P2367" s="7">
        <f>[1]!EM_S_VAL_PCF_NCFTTM(B2367,E2367)</f>
        <v>-99.190223667419801</v>
      </c>
      <c r="Q2367" s="7">
        <f>[1]!EM_S_VAL_DIVIDENDYIELD2(B2367,E2367,"2019-11-29")</f>
        <v>2.3340131439970602</v>
      </c>
      <c r="T2367"/>
      <c r="U2367">
        <f>[1]!EM_S_RATIO_EPS_TTM(B2367,E2367,"1")</f>
        <v>1.7745311887021447</v>
      </c>
      <c r="AT2367" s="4" t="str">
        <f>[1]!EM_S_IPO_LISTEDDATE(B2367)</f>
        <v>2018-01-15</v>
      </c>
    </row>
    <row r="2368" spans="1:46">
      <c r="A2368">
        <v>1217</v>
      </c>
      <c r="B2368" t="str">
        <f>"002707"</f>
        <v>002707</v>
      </c>
      <c r="C2368" t="s">
        <v>853</v>
      </c>
      <c r="D2368" t="str">
        <f>[1]!EM_S_INFO_INDEX_EM(B2368,"1")</f>
        <v>休闲、生活及专业服务</v>
      </c>
      <c r="E2368" s="4">
        <f t="shared" si="36"/>
        <v>43465</v>
      </c>
      <c r="F2368" s="11">
        <f>[1]!EM_S_PQ_PCTCHANGE(B2368,"2018-01-01","2019-12-31","3")</f>
        <v>-42.3133956</v>
      </c>
      <c r="G2368" s="11">
        <f>[1]!EM_S_PQ_PCTCHANGE(B2368,"2018-12-31","2019-12-30","1")</f>
        <v>-0.63291138999999996</v>
      </c>
      <c r="H2368" s="11">
        <f>[1]!EM_S_FA_YOY_OR(B2368,E2368)</f>
        <v>1.1780208833000001</v>
      </c>
      <c r="I2368" s="11">
        <f>[1]!EM_S_FA_GROSSPROFITMARGIN(B2368,E2368)</f>
        <v>9.3680167341999994</v>
      </c>
      <c r="J2368" s="11">
        <f>[1]!EM_S_FA_NETPROFITMARGIN(B2368,E2368)</f>
        <v>0.406088175</v>
      </c>
      <c r="K2368" s="10">
        <f>[1]!EM_S_FA_ASSETSTURN(B2368,E2368)</f>
        <v>2.3443215729069999</v>
      </c>
      <c r="L2368" s="12">
        <f>[1]!EM_HKS_VAL_MV(B2368,"2019-12-31","2")</f>
        <v>5485677699.8400002</v>
      </c>
      <c r="M2368">
        <f>[1]!EM_S_VAL_PETTMDEDUCTED(B2368,E2368)</f>
        <v>23.010841321790199</v>
      </c>
      <c r="N2368" s="7">
        <f>[1]!EM_S_VAL_PBGOODWILLDEDUCTED(B2368,E2368)</f>
        <v>3.7671145748906598</v>
      </c>
      <c r="O2368" s="7">
        <f>[1]!EM_S_VAL_PS_TTM(B2368,E2368)</f>
        <v>0.43963616571556602</v>
      </c>
      <c r="P2368" s="7">
        <f>[1]!EM_S_VAL_PCF_NCFTTM(B2368,E2368)</f>
        <v>-251.198806535975</v>
      </c>
      <c r="Q2368" s="7">
        <f>[1]!EM_S_VAL_DIVIDENDYIELD2(B2368,E2368,"2019-11-29")</f>
        <v>0.44834282288522531</v>
      </c>
      <c r="T2368"/>
      <c r="U2368">
        <f>[1]!EM_S_RATIO_EPS_TTM(B2368,E2368,"1")</f>
        <v>2.7660668481996647E-2</v>
      </c>
      <c r="AT2368" s="4" t="str">
        <f>[1]!EM_S_IPO_LISTEDDATE(B2368)</f>
        <v>2014-01-23</v>
      </c>
    </row>
    <row r="2369" spans="1:46">
      <c r="A2369">
        <v>666</v>
      </c>
      <c r="B2369" t="str">
        <f>"002155"</f>
        <v>002155</v>
      </c>
      <c r="C2369" t="s">
        <v>2130</v>
      </c>
      <c r="D2369" t="str">
        <f>[1]!EM_S_INFO_INDEX_EM(B2369,"1")</f>
        <v>有色金属</v>
      </c>
      <c r="E2369" s="4">
        <f t="shared" si="36"/>
        <v>43465</v>
      </c>
      <c r="F2369" s="11">
        <f>[1]!EM_S_PQ_PCTCHANGE(B2369,"2018-01-01","2019-12-31","3")</f>
        <v>-18.29585578</v>
      </c>
      <c r="G2369" s="11">
        <f>[1]!EM_S_PQ_PCTCHANGE(B2369,"2018-12-31","2019-12-30","1")</f>
        <v>-0.63694267999999998</v>
      </c>
      <c r="H2369" s="11">
        <f>[1]!EM_S_FA_YOY_OR(B2369,E2369)</f>
        <v>20.677996705599998</v>
      </c>
      <c r="I2369" s="11">
        <f>[1]!EM_S_FA_GROSSPROFITMARGIN(B2369,E2369)</f>
        <v>9.8739466975999992</v>
      </c>
      <c r="J2369" s="11">
        <f>[1]!EM_S_FA_NETPROFITMARGIN(B2369,E2369)</f>
        <v>2.0802271452999999</v>
      </c>
      <c r="K2369" s="10">
        <f>[1]!EM_S_FA_ASSETSTURN(B2369,E2369)</f>
        <v>1.8093723988870001</v>
      </c>
      <c r="L2369" s="12">
        <f>[1]!EM_HKS_VAL_MV(B2369,"2019-12-31","2")</f>
        <v>9484091449.8600006</v>
      </c>
      <c r="M2369">
        <f>[1]!EM_S_VAL_PETTMDEDUCTED(B2369,E2369)</f>
        <v>41.395775842217603</v>
      </c>
      <c r="N2369" s="7">
        <f>[1]!EM_S_VAL_PBGOODWILLDEDUCTED(B2369,E2369)</f>
        <v>1.9747750952222001</v>
      </c>
      <c r="O2369" s="7">
        <f>[1]!EM_S_VAL_PS_TTM(B2369,E2369)</f>
        <v>0.78258827234578898</v>
      </c>
      <c r="P2369" s="7">
        <f>[1]!EM_S_VAL_PCF_NCFTTM(B2369,E2369)</f>
        <v>-21.977054108111101</v>
      </c>
      <c r="Q2369" s="7">
        <f>[1]!EM_S_VAL_DIVIDENDYIELD2(B2369,E2369,"2019-11-29")</f>
        <v>0.55788005578800559</v>
      </c>
      <c r="T2369"/>
      <c r="U2369">
        <f>[1]!EM_S_RATIO_EPS_TTM(B2369,E2369,"1")</f>
        <v>0.22496052221992172</v>
      </c>
      <c r="AT2369" s="4" t="str">
        <f>[1]!EM_S_IPO_LISTEDDATE(B2369)</f>
        <v>2007-08-16</v>
      </c>
    </row>
    <row r="2370" spans="1:46">
      <c r="A2370">
        <v>2204</v>
      </c>
      <c r="B2370" t="str">
        <f>"600057"</f>
        <v>600057</v>
      </c>
      <c r="C2370" t="s">
        <v>1204</v>
      </c>
      <c r="D2370" t="str">
        <f>[1]!EM_S_INFO_INDEX_EM(B2370,"1")</f>
        <v>交通运输</v>
      </c>
      <c r="E2370" s="4">
        <f t="shared" si="36"/>
        <v>43465</v>
      </c>
      <c r="F2370" s="11">
        <f>[1]!EM_S_PQ_PCTCHANGE(B2370,"2018-01-01","2019-12-31","3")</f>
        <v>-18.85622991</v>
      </c>
      <c r="G2370" s="11">
        <f>[1]!EM_S_PQ_PCTCHANGE(B2370,"2018-12-31","2019-12-30","1")</f>
        <v>-0.71770334999999996</v>
      </c>
      <c r="H2370" s="11">
        <f>[1]!EM_S_FA_YOY_OR(B2370,E2370)</f>
        <v>15.109860723400001</v>
      </c>
      <c r="I2370" s="11">
        <f>[1]!EM_S_FA_GROSSPROFITMARGIN(B2370,E2370)</f>
        <v>2.7510077386999998</v>
      </c>
      <c r="J2370" s="11">
        <f>[1]!EM_S_FA_NETPROFITMARGIN(B2370,E2370)</f>
        <v>0.617576562</v>
      </c>
      <c r="K2370" s="10">
        <f>[1]!EM_S_FA_ASSETSTURN(B2370,E2370)</f>
        <v>4.6671629444439997</v>
      </c>
      <c r="L2370" s="12">
        <f>[1]!EM_HKS_VAL_MV(B2370,"2019-12-31","2")</f>
        <v>8953434452.75</v>
      </c>
      <c r="M2370">
        <f>[1]!EM_S_VAL_PETTMDEDUCTED(B2370,E2370)</f>
        <v>23.252437879975901</v>
      </c>
      <c r="N2370" s="7">
        <f>[1]!EM_S_VAL_PBGOODWILLDEDUCTED(B2370,E2370)</f>
        <v>0.93937978232106401</v>
      </c>
      <c r="O2370" s="7">
        <f>[1]!EM_S_VAL_PS_TTM(B2370,E2370)</f>
        <v>3.9219481879425998E-2</v>
      </c>
      <c r="P2370" s="7">
        <f>[1]!EM_S_VAL_PCF_NCFTTM(B2370,E2370)</f>
        <v>6.4724829621464304</v>
      </c>
      <c r="Q2370" s="7">
        <f>[1]!EM_S_VAL_DIVIDENDYIELD2(B2370,E2370,"2019-11-29")</f>
        <v>3.0456852791878175</v>
      </c>
      <c r="T2370"/>
      <c r="U2370">
        <f>[1]!EM_S_RATIO_EPS_TTM(B2370,E2370,"1")</f>
        <v>0.46247304266037254</v>
      </c>
      <c r="AT2370" s="4" t="str">
        <f>[1]!EM_S_IPO_LISTEDDATE(B2370)</f>
        <v>1997-06-04</v>
      </c>
    </row>
    <row r="2371" spans="1:46">
      <c r="A2371">
        <v>1566</v>
      </c>
      <c r="B2371" t="str">
        <f>"300141"</f>
        <v>300141</v>
      </c>
      <c r="C2371" t="s">
        <v>2988</v>
      </c>
      <c r="D2371" t="str">
        <f>[1]!EM_S_INFO_INDEX_EM(B2371,"1")</f>
        <v>电气设备</v>
      </c>
      <c r="E2371" s="4">
        <f t="shared" ref="E2371:E2434" si="37">$B$1</f>
        <v>43465</v>
      </c>
      <c r="F2371" s="11">
        <f>[1]!EM_S_PQ_PCTCHANGE(B2371,"2018-01-01","2019-12-31","3")</f>
        <v>-42.972751909999999</v>
      </c>
      <c r="G2371" s="11">
        <f>[1]!EM_S_PQ_PCTCHANGE(B2371,"2018-12-31","2019-12-30","1")</f>
        <v>-0.73206442000000005</v>
      </c>
      <c r="H2371" s="11">
        <f>[1]!EM_S_FA_YOY_OR(B2371,E2371)</f>
        <v>39.060715780099997</v>
      </c>
      <c r="I2371" s="11">
        <f>[1]!EM_S_FA_GROSSPROFITMARGIN(B2371,E2371)</f>
        <v>18.3349665788</v>
      </c>
      <c r="J2371" s="11">
        <f>[1]!EM_S_FA_NETPROFITMARGIN(B2371,E2371)</f>
        <v>1.2707470605</v>
      </c>
      <c r="K2371" s="10">
        <f>[1]!EM_S_FA_ASSETSTURN(B2371,E2371)</f>
        <v>0.54260993135199997</v>
      </c>
      <c r="L2371" s="12">
        <f>[1]!EM_HKS_VAL_MV(B2371,"2019-12-31","2")</f>
        <v>1703915532</v>
      </c>
      <c r="M2371">
        <f>[1]!EM_S_VAL_PETTMDEDUCTED(B2371,E2371)</f>
        <v>-346.175576597933</v>
      </c>
      <c r="N2371" s="7">
        <f>[1]!EM_S_VAL_PBGOODWILLDEDUCTED(B2371,E2371)</f>
        <v>2.5198561153394601</v>
      </c>
      <c r="O2371" s="7">
        <f>[1]!EM_S_VAL_PS_TTM(B2371,E2371)</f>
        <v>2.70957118611227</v>
      </c>
      <c r="P2371" s="7">
        <f>[1]!EM_S_VAL_PCF_NCFTTM(B2371,E2371)</f>
        <v>-64.374039026956694</v>
      </c>
      <c r="Q2371" s="7">
        <f>[1]!EM_S_VAL_DIVIDENDYIELD2(B2371,E2371,"2019-11-29")</f>
        <v>0.24433713355048858</v>
      </c>
      <c r="T2371"/>
      <c r="U2371">
        <f>[1]!EM_S_RATIO_EPS_TTM(B2371,E2371,"1")</f>
        <v>3.2902390688674267E-2</v>
      </c>
      <c r="AT2371" s="4" t="str">
        <f>[1]!EM_S_IPO_LISTEDDATE(B2371)</f>
        <v>2010-11-12</v>
      </c>
    </row>
    <row r="2372" spans="1:46">
      <c r="A2372">
        <v>1560</v>
      </c>
      <c r="B2372" t="str">
        <f>"300135"</f>
        <v>300135</v>
      </c>
      <c r="C2372" t="s">
        <v>2958</v>
      </c>
      <c r="D2372" t="str">
        <f>[1]!EM_S_INFO_INDEX_EM(B2372,"1")</f>
        <v>化石能源</v>
      </c>
      <c r="E2372" s="4">
        <f t="shared" si="37"/>
        <v>43465</v>
      </c>
      <c r="F2372" s="11">
        <f>[1]!EM_S_PQ_PCTCHANGE(B2372,"2018-01-01","2019-12-31","3")</f>
        <v>-28.04792252</v>
      </c>
      <c r="G2372" s="11">
        <f>[1]!EM_S_PQ_PCTCHANGE(B2372,"2018-12-31","2019-12-30","1")</f>
        <v>-0.75187970000000004</v>
      </c>
      <c r="H2372" s="11">
        <f>[1]!EM_S_FA_YOY_OR(B2372,E2372)</f>
        <v>13.8941428122</v>
      </c>
      <c r="I2372" s="11">
        <f>[1]!EM_S_FA_GROSSPROFITMARGIN(B2372,E2372)</f>
        <v>14.8884760093</v>
      </c>
      <c r="J2372" s="11">
        <f>[1]!EM_S_FA_NETPROFITMARGIN(B2372,E2372)</f>
        <v>1.9804595653999999</v>
      </c>
      <c r="K2372" s="10">
        <f>[1]!EM_S_FA_ASSETSTURN(B2372,E2372)</f>
        <v>0.68066314154100005</v>
      </c>
      <c r="L2372" s="12">
        <f>[1]!EM_HKS_VAL_MV(B2372,"2019-12-31","2")</f>
        <v>2442240000</v>
      </c>
      <c r="M2372">
        <f>[1]!EM_S_VAL_PETTMDEDUCTED(B2372,E2372)</f>
        <v>-63.7655933737814</v>
      </c>
      <c r="N2372" s="7">
        <f>[1]!EM_S_VAL_PBGOODWILLDEDUCTED(B2372,E2372)</f>
        <v>2.01253617379373</v>
      </c>
      <c r="O2372" s="7">
        <f>[1]!EM_S_VAL_PS_TTM(B2372,E2372)</f>
        <v>1.16429224694796</v>
      </c>
      <c r="P2372" s="7">
        <f>[1]!EM_S_VAL_PCF_NCFTTM(B2372,E2372)</f>
        <v>13.594728944865301</v>
      </c>
      <c r="Q2372" s="7">
        <f>[1]!EM_S_VAL_DIVIDENDYIELD2(B2372,E2372,"2019-11-29")</f>
        <v>0.39215686274509803</v>
      </c>
      <c r="T2372"/>
      <c r="U2372">
        <f>[1]!EM_S_RATIO_EPS_TTM(B2372,E2372,"1")</f>
        <v>4.5006037565104164E-2</v>
      </c>
      <c r="AT2372" s="4" t="str">
        <f>[1]!EM_S_IPO_LISTEDDATE(B2372)</f>
        <v>2010-10-26</v>
      </c>
    </row>
    <row r="2373" spans="1:46">
      <c r="A2373">
        <v>2766</v>
      </c>
      <c r="B2373" t="str">
        <f>"600693"</f>
        <v>600693</v>
      </c>
      <c r="C2373" t="s">
        <v>1906</v>
      </c>
      <c r="D2373" t="str">
        <f>[1]!EM_S_INFO_INDEX_EM(B2373,"1")</f>
        <v>商贸零售</v>
      </c>
      <c r="E2373" s="4">
        <f t="shared" si="37"/>
        <v>43465</v>
      </c>
      <c r="F2373" s="11">
        <f>[1]!EM_S_PQ_PCTCHANGE(B2373,"2018-01-01","2019-12-31","3")</f>
        <v>-48.223852579999999</v>
      </c>
      <c r="G2373" s="11">
        <f>[1]!EM_S_PQ_PCTCHANGE(B2373,"2018-12-31","2019-12-30","1")</f>
        <v>-0.76190475999999996</v>
      </c>
      <c r="H2373" s="11">
        <f>[1]!EM_S_FA_YOY_OR(B2373,E2373)</f>
        <v>-22.272102089699999</v>
      </c>
      <c r="I2373" s="11">
        <f>[1]!EM_S_FA_GROSSPROFITMARGIN(B2373,E2373)</f>
        <v>22.1127390077</v>
      </c>
      <c r="J2373" s="11">
        <f>[1]!EM_S_FA_NETPROFITMARGIN(B2373,E2373)</f>
        <v>9.2206634892999997</v>
      </c>
      <c r="K2373" s="10">
        <f>[1]!EM_S_FA_ASSETSTURN(B2373,E2373)</f>
        <v>0.39372975275799998</v>
      </c>
      <c r="L2373" s="12">
        <f>[1]!EM_HKS_VAL_MV(B2373,"2019-12-31","2")</f>
        <v>4697738444.04</v>
      </c>
      <c r="M2373">
        <f>[1]!EM_S_VAL_PETTMDEDUCTED(B2373,E2373)</f>
        <v>33.430871701975597</v>
      </c>
      <c r="N2373" s="7">
        <f>[1]!EM_S_VAL_PBGOODWILLDEDUCTED(B2373,E2373)</f>
        <v>2.03878629552558</v>
      </c>
      <c r="O2373" s="7">
        <f>[1]!EM_S_VAL_PS_TTM(B2373,E2373)</f>
        <v>1.56091937365088</v>
      </c>
      <c r="P2373" s="7">
        <f>[1]!EM_S_VAL_PCF_NCFTTM(B2373,E2373)</f>
        <v>-200.17283657089899</v>
      </c>
      <c r="Q2373" s="7">
        <f>[1]!EM_S_VAL_DIVIDENDYIELD2(B2373,E2373,"2019-11-29")</f>
        <v>0</v>
      </c>
      <c r="T2373"/>
      <c r="U2373">
        <f>[1]!EM_S_RATIO_EPS_TTM(B2373,E2373,"1")</f>
        <v>0.29167740898116568</v>
      </c>
      <c r="AT2373" s="4" t="str">
        <f>[1]!EM_S_IPO_LISTEDDATE(B2373)</f>
        <v>1993-11-22</v>
      </c>
    </row>
    <row r="2374" spans="1:46">
      <c r="A2374">
        <v>2855</v>
      </c>
      <c r="B2374" t="str">
        <f>"600782"</f>
        <v>600782</v>
      </c>
      <c r="C2374" t="s">
        <v>187</v>
      </c>
      <c r="D2374" t="str">
        <f>[1]!EM_S_INFO_INDEX_EM(B2374,"1")</f>
        <v>钢铁</v>
      </c>
      <c r="E2374" s="4">
        <f t="shared" si="37"/>
        <v>43465</v>
      </c>
      <c r="F2374" s="11">
        <f>[1]!EM_S_PQ_PCTCHANGE(B2374,"2018-01-01","2019-12-31","3")</f>
        <v>-17.7727304</v>
      </c>
      <c r="G2374" s="11">
        <f>[1]!EM_S_PQ_PCTCHANGE(B2374,"2018-12-31","2019-12-30","1")</f>
        <v>-0.78585461999999995</v>
      </c>
      <c r="H2374" s="11">
        <f>[1]!EM_S_FA_YOY_OR(B2374,E2374)</f>
        <v>14.001814291100001</v>
      </c>
      <c r="I2374" s="11">
        <f>[1]!EM_S_FA_GROSSPROFITMARGIN(B2374,E2374)</f>
        <v>14.3865821015</v>
      </c>
      <c r="J2374" s="11">
        <f>[1]!EM_S_FA_NETPROFITMARGIN(B2374,E2374)</f>
        <v>10.3808215626</v>
      </c>
      <c r="K2374" s="10">
        <f>[1]!EM_S_FA_ASSETSTURN(B2374,E2374)</f>
        <v>1.5218279336189999</v>
      </c>
      <c r="L2374" s="12">
        <f>[1]!EM_HKS_VAL_MV(B2374,"2019-12-31","2")</f>
        <v>16358147430.48</v>
      </c>
      <c r="M2374">
        <f>[1]!EM_S_VAL_PETTMDEDUCTED(B2374,E2374)</f>
        <v>2.88764897357607</v>
      </c>
      <c r="N2374" s="7">
        <f>[1]!EM_S_VAL_PBGOODWILLDEDUCTED(B2374,E2374)</f>
        <v>0.85577442486231503</v>
      </c>
      <c r="O2374" s="7">
        <f>[1]!EM_S_VAL_PS_TTM(B2374,E2374)</f>
        <v>0.29379464158031998</v>
      </c>
      <c r="P2374" s="7">
        <f>[1]!EM_S_VAL_PCF_NCFTTM(B2374,E2374)</f>
        <v>2.57260384945427</v>
      </c>
      <c r="Q2374" s="7">
        <f>[1]!EM_S_VAL_DIVIDENDYIELD2(B2374,E2374,"2019-11-29")</f>
        <v>4.166666666666667</v>
      </c>
      <c r="T2374"/>
      <c r="U2374">
        <f>[1]!EM_S_RATIO_EPS_TTM(B2374,E2374,"1")</f>
        <v>1.8518779951569675</v>
      </c>
      <c r="AT2374" s="4" t="str">
        <f>[1]!EM_S_IPO_LISTEDDATE(B2374)</f>
        <v>1996-12-25</v>
      </c>
    </row>
    <row r="2375" spans="1:46">
      <c r="A2375">
        <v>1629</v>
      </c>
      <c r="B2375" t="str">
        <f>"300204"</f>
        <v>300204</v>
      </c>
      <c r="C2375" t="s">
        <v>1064</v>
      </c>
      <c r="D2375" t="str">
        <f>[1]!EM_S_INFO_INDEX_EM(B2375,"1")</f>
        <v>医药生物</v>
      </c>
      <c r="E2375" s="4">
        <f t="shared" si="37"/>
        <v>43465</v>
      </c>
      <c r="F2375" s="11">
        <f>[1]!EM_S_PQ_PCTCHANGE(B2375,"2018-01-01","2019-12-31","3")</f>
        <v>-14.00947875</v>
      </c>
      <c r="G2375" s="11">
        <f>[1]!EM_S_PQ_PCTCHANGE(B2375,"2018-12-31","2019-12-30","1")</f>
        <v>-0.81227437000000002</v>
      </c>
      <c r="H2375" s="11">
        <f>[1]!EM_S_FA_YOY_OR(B2375,E2375)</f>
        <v>-41.920347700999997</v>
      </c>
      <c r="I2375" s="11">
        <f>[1]!EM_S_FA_GROSSPROFITMARGIN(B2375,E2375)</f>
        <v>90.719872368899999</v>
      </c>
      <c r="J2375" s="11">
        <f>[1]!EM_S_FA_NETPROFITMARGIN(B2375,E2375)</f>
        <v>16.630913277499999</v>
      </c>
      <c r="K2375" s="10">
        <f>[1]!EM_S_FA_ASSETSTURN(B2375,E2375)</f>
        <v>0.29851119662699999</v>
      </c>
      <c r="L2375" s="12">
        <f>[1]!EM_HKS_VAL_MV(B2375,"2019-12-31","2")</f>
        <v>5293504129.2799997</v>
      </c>
      <c r="M2375">
        <f>[1]!EM_S_VAL_PETTMDEDUCTED(B2375,E2375)</f>
        <v>34.877412689783803</v>
      </c>
      <c r="N2375" s="7">
        <f>[1]!EM_S_VAL_PBGOODWILLDEDUCTED(B2375,E2375)</f>
        <v>2.1664054019048802</v>
      </c>
      <c r="O2375" s="7">
        <f>[1]!EM_S_VAL_PS_TTM(B2375,E2375)</f>
        <v>5.6359691209379701</v>
      </c>
      <c r="P2375" s="7">
        <f>[1]!EM_S_VAL_PCF_NCFTTM(B2375,E2375)</f>
        <v>-38.9138771299951</v>
      </c>
      <c r="Q2375" s="7">
        <f>[1]!EM_S_VAL_DIVIDENDYIELD2(B2375,E2375,"2019-11-29")</f>
        <v>6.4763909426679183</v>
      </c>
      <c r="T2375"/>
      <c r="U2375">
        <f>[1]!EM_S_RATIO_EPS_TTM(B2375,E2375,"1")</f>
        <v>0.28121865473695307</v>
      </c>
      <c r="AT2375" s="4" t="str">
        <f>[1]!EM_S_IPO_LISTEDDATE(B2375)</f>
        <v>2011-04-15</v>
      </c>
    </row>
    <row r="2376" spans="1:46">
      <c r="A2376">
        <v>1595</v>
      </c>
      <c r="B2376" t="str">
        <f>"300170"</f>
        <v>300170</v>
      </c>
      <c r="C2376" t="s">
        <v>1127</v>
      </c>
      <c r="D2376" t="str">
        <f>[1]!EM_S_INFO_INDEX_EM(B2376,"1")</f>
        <v>信息技术</v>
      </c>
      <c r="E2376" s="4">
        <f t="shared" si="37"/>
        <v>43465</v>
      </c>
      <c r="F2376" s="11">
        <f>[1]!EM_S_PQ_PCTCHANGE(B2376,"2018-01-01","2019-12-31","3")</f>
        <v>-18.228294049999999</v>
      </c>
      <c r="G2376" s="11">
        <f>[1]!EM_S_PQ_PCTCHANGE(B2376,"2018-12-31","2019-12-30","1")</f>
        <v>-0.81799591000000005</v>
      </c>
      <c r="H2376" s="11">
        <f>[1]!EM_S_FA_YOY_OR(B2376,E2376)</f>
        <v>23.2373800652</v>
      </c>
      <c r="I2376" s="11">
        <f>[1]!EM_S_FA_GROSSPROFITMARGIN(B2376,E2376)</f>
        <v>35.755564158799999</v>
      </c>
      <c r="J2376" s="11">
        <f>[1]!EM_S_FA_NETPROFITMARGIN(B2376,E2376)</f>
        <v>13.5477128483</v>
      </c>
      <c r="K2376" s="10">
        <f>[1]!EM_S_FA_ASSETSTURN(B2376,E2376)</f>
        <v>0.82276880090899995</v>
      </c>
      <c r="L2376" s="12">
        <f>[1]!EM_HKS_VAL_MV(B2376,"2019-12-31","2")</f>
        <v>8566124138.9099998</v>
      </c>
      <c r="M2376">
        <f>[1]!EM_S_VAL_PETTMDEDUCTED(B2376,E2376)</f>
        <v>28.959307304556202</v>
      </c>
      <c r="N2376" s="7">
        <f>[1]!EM_S_VAL_PBGOODWILLDEDUCTED(B2376,E2376)</f>
        <v>2.9961294273384498</v>
      </c>
      <c r="O2376" s="7">
        <f>[1]!EM_S_VAL_PS_TTM(B2376,E2376)</f>
        <v>3.0057213296409802</v>
      </c>
      <c r="P2376" s="7">
        <f>[1]!EM_S_VAL_PCF_NCFTTM(B2376,E2376)</f>
        <v>-762.74515232327497</v>
      </c>
      <c r="Q2376" s="7">
        <f>[1]!EM_S_VAL_DIVIDENDYIELD2(B2376,E2376,"2019-11-29")</f>
        <v>0.32085561497326204</v>
      </c>
      <c r="T2376"/>
      <c r="U2376">
        <f>[1]!EM_S_RATIO_EPS_TTM(B2376,E2376,"1")</f>
        <v>0.44315861947455898</v>
      </c>
      <c r="AT2376" s="4" t="str">
        <f>[1]!EM_S_IPO_LISTEDDATE(B2376)</f>
        <v>2011-02-01</v>
      </c>
    </row>
    <row r="2377" spans="1:46">
      <c r="A2377">
        <v>1834</v>
      </c>
      <c r="B2377" t="str">
        <f>"300409"</f>
        <v>300409</v>
      </c>
      <c r="C2377" t="s">
        <v>311</v>
      </c>
      <c r="D2377" t="str">
        <f>[1]!EM_S_INFO_INDEX_EM(B2377,"1")</f>
        <v>基础化工</v>
      </c>
      <c r="E2377" s="4">
        <f t="shared" si="37"/>
        <v>43465</v>
      </c>
      <c r="F2377" s="11">
        <f>[1]!EM_S_PQ_PCTCHANGE(B2377,"2018-01-01","2019-12-31","3")</f>
        <v>-45.530174799999998</v>
      </c>
      <c r="G2377" s="11">
        <f>[1]!EM_S_PQ_PCTCHANGE(B2377,"2018-12-31","2019-12-30","1")</f>
        <v>-0.83905415999999999</v>
      </c>
      <c r="H2377" s="11">
        <f>[1]!EM_S_FA_YOY_OR(B2377,E2377)</f>
        <v>109.0044610679</v>
      </c>
      <c r="I2377" s="11">
        <f>[1]!EM_S_FA_GROSSPROFITMARGIN(B2377,E2377)</f>
        <v>30.890352706400002</v>
      </c>
      <c r="J2377" s="11">
        <f>[1]!EM_S_FA_NETPROFITMARGIN(B2377,E2377)</f>
        <v>10.8676333471</v>
      </c>
      <c r="K2377" s="10">
        <f>[1]!EM_S_FA_ASSETSTURN(B2377,E2377)</f>
        <v>0.79640727132300004</v>
      </c>
      <c r="L2377" s="12">
        <f>[1]!EM_HKS_VAL_MV(B2377,"2019-12-31","2")</f>
        <v>6223651088.8199997</v>
      </c>
      <c r="M2377">
        <f>[1]!EM_S_VAL_PETTMDEDUCTED(B2377,E2377)</f>
        <v>24.423598469551699</v>
      </c>
      <c r="N2377" s="7">
        <f>[1]!EM_S_VAL_PBGOODWILLDEDUCTED(B2377,E2377)</f>
        <v>3.3367781866853399</v>
      </c>
      <c r="O2377" s="7">
        <f>[1]!EM_S_VAL_PS_TTM(B2377,E2377)</f>
        <v>1.83792258684272</v>
      </c>
      <c r="P2377" s="7">
        <f>[1]!EM_S_VAL_PCF_NCFTTM(B2377,E2377)</f>
        <v>21.966747214388999</v>
      </c>
      <c r="Q2377" s="7">
        <f>[1]!EM_S_VAL_DIVIDENDYIELD2(B2377,E2377,"2019-11-29")</f>
        <v>1.3761191782945457</v>
      </c>
      <c r="T2377"/>
      <c r="U2377">
        <f>[1]!EM_S_RATIO_EPS_TTM(B2377,E2377,"1")</f>
        <v>0.49072021234309682</v>
      </c>
      <c r="AT2377" s="4" t="str">
        <f>[1]!EM_S_IPO_LISTEDDATE(B2377)</f>
        <v>2014-12-03</v>
      </c>
    </row>
    <row r="2378" spans="1:46">
      <c r="A2378">
        <v>1691</v>
      </c>
      <c r="B2378" t="str">
        <f>"300266"</f>
        <v>300266</v>
      </c>
      <c r="C2378" t="s">
        <v>2401</v>
      </c>
      <c r="D2378" t="str">
        <f>[1]!EM_S_INFO_INDEX_EM(B2378,"1")</f>
        <v>建筑</v>
      </c>
      <c r="E2378" s="4">
        <f t="shared" si="37"/>
        <v>43465</v>
      </c>
      <c r="F2378" s="11">
        <f>[1]!EM_S_PQ_PCTCHANGE(B2378,"2018-01-01","2019-12-31","3")</f>
        <v>-80.448330609999999</v>
      </c>
      <c r="G2378" s="11">
        <f>[1]!EM_S_PQ_PCTCHANGE(B2378,"2018-12-31","2019-12-30","1")</f>
        <v>-0.84985836000000003</v>
      </c>
      <c r="H2378" s="11">
        <f>[1]!EM_S_FA_YOY_OR(B2378,E2378)</f>
        <v>-23.603763597899999</v>
      </c>
      <c r="I2378" s="11">
        <f>[1]!EM_S_FA_GROSSPROFITMARGIN(B2378,E2378)</f>
        <v>16.487539192100002</v>
      </c>
      <c r="J2378" s="11">
        <f>[1]!EM_S_FA_NETPROFITMARGIN(B2378,E2378)</f>
        <v>-54.9012770119</v>
      </c>
      <c r="K2378" s="10">
        <f>[1]!EM_S_FA_ASSETSTURN(B2378,E2378)</f>
        <v>0.24604161121400001</v>
      </c>
      <c r="L2378" s="12">
        <f>[1]!EM_HKS_VAL_MV(B2378,"2019-12-31","2")</f>
        <v>5491153010.0699997</v>
      </c>
      <c r="M2378">
        <f>[1]!EM_S_VAL_PETTMDEDUCTED(B2378,E2378)</f>
        <v>239.208539793548</v>
      </c>
      <c r="N2378" s="7">
        <f>[1]!EM_S_VAL_PBGOODWILLDEDUCTED(B2378,E2378)</f>
        <v>2.7516399408933001</v>
      </c>
      <c r="O2378" s="7">
        <f>[1]!EM_S_VAL_PS_TTM(B2378,E2378)</f>
        <v>2.1490646031376999</v>
      </c>
      <c r="P2378" s="7">
        <f>[1]!EM_S_VAL_PCF_NCFTTM(B2378,E2378)</f>
        <v>62.439765185618</v>
      </c>
      <c r="Q2378" s="7">
        <f>[1]!EM_S_VAL_DIVIDENDYIELD2(B2378,E2378,"2019-11-29")</f>
        <v>0</v>
      </c>
      <c r="T2378"/>
      <c r="U2378">
        <f>[1]!EM_S_RATIO_EPS_TTM(B2378,E2378,"1")</f>
        <v>-0.81077361067116682</v>
      </c>
      <c r="AT2378" s="4" t="str">
        <f>[1]!EM_S_IPO_LISTEDDATE(B2378)</f>
        <v>2011-09-27</v>
      </c>
    </row>
    <row r="2379" spans="1:46">
      <c r="A2379">
        <v>3117</v>
      </c>
      <c r="B2379" t="str">
        <f>"601558"</f>
        <v>601558</v>
      </c>
      <c r="C2379" t="s">
        <v>3631</v>
      </c>
      <c r="D2379" t="str">
        <f>[1]!EM_S_INFO_INDEX_EM(B2379,"1")</f>
        <v>电气设备</v>
      </c>
      <c r="E2379" s="4">
        <f t="shared" si="37"/>
        <v>43465</v>
      </c>
      <c r="F2379" s="11">
        <f>[1]!EM_S_PQ_PCTCHANGE(B2379,"2018-01-01","2019-12-31","3")</f>
        <v>-33.536585369999997</v>
      </c>
      <c r="G2379" s="11">
        <f>[1]!EM_S_PQ_PCTCHANGE(B2379,"2018-12-31","2019-12-30","1")</f>
        <v>-0.9009009</v>
      </c>
      <c r="H2379" s="11">
        <f>[1]!EM_S_FA_YOY_OR(B2379,E2379)</f>
        <v>305.07973275879999</v>
      </c>
      <c r="I2379" s="11">
        <f>[1]!EM_S_FA_GROSSPROFITMARGIN(B2379,E2379)</f>
        <v>20.761964729799999</v>
      </c>
      <c r="J2379" s="11">
        <f>[1]!EM_S_FA_NETPROFITMARGIN(B2379,E2379)</f>
        <v>32.383547873600001</v>
      </c>
      <c r="K2379" s="10">
        <f>[1]!EM_S_FA_ASSETSTURN(B2379,E2379)</f>
        <v>8.7921367045999996E-2</v>
      </c>
      <c r="L2379" s="12">
        <f>[1]!EM_HKS_VAL_MV(B2379,"2019-12-31","2")</f>
        <v>6573354000</v>
      </c>
      <c r="M2379">
        <f>[1]!EM_S_VAL_PETTMDEDUCTED(B2379,E2379)</f>
        <v>-13.489032987212299</v>
      </c>
      <c r="N2379" s="7">
        <f>[1]!EM_S_VAL_PBGOODWILLDEDUCTED(B2379,E2379)</f>
        <v>6.2525507283688198</v>
      </c>
      <c r="O2379" s="7">
        <f>[1]!EM_S_VAL_PS_TTM(B2379,E2379)</f>
        <v>13.9609717591826</v>
      </c>
      <c r="P2379" s="7">
        <f>[1]!EM_S_VAL_PCF_NCFTTM(B2379,E2379)</f>
        <v>-38.286229871010299</v>
      </c>
      <c r="Q2379" s="7">
        <f>[1]!EM_S_VAL_DIVIDENDYIELD2(B2379,E2379,"2019-11-29")</f>
        <v>0</v>
      </c>
      <c r="T2379"/>
      <c r="U2379">
        <f>[1]!EM_S_RATIO_EPS_TTM(B2379,E2379,"1")</f>
        <v>3.0616649308526513E-2</v>
      </c>
      <c r="AT2379" s="4" t="str">
        <f>[1]!EM_S_IPO_LISTEDDATE(B2379)</f>
        <v>2011-01-13</v>
      </c>
    </row>
    <row r="2380" spans="1:46">
      <c r="A2380">
        <v>3583</v>
      </c>
      <c r="B2380" t="str">
        <f>"603886"</f>
        <v>603886</v>
      </c>
      <c r="C2380" t="s">
        <v>3580</v>
      </c>
      <c r="D2380" t="str">
        <f>[1]!EM_S_INFO_INDEX_EM(B2380,"1")</f>
        <v>食品饮料</v>
      </c>
      <c r="E2380" s="4">
        <f t="shared" si="37"/>
        <v>43465</v>
      </c>
      <c r="F2380" s="11">
        <f>[1]!EM_S_PQ_PCTCHANGE(B2380,"2018-01-01","2019-12-31","3")</f>
        <v>-7.9590673599999997</v>
      </c>
      <c r="G2380" s="11">
        <f>[1]!EM_S_PQ_PCTCHANGE(B2380,"2018-12-31","2019-12-30","1")</f>
        <v>-1.02857143</v>
      </c>
      <c r="H2380" s="11">
        <f>[1]!EM_S_FA_YOY_OR(B2380,E2380)</f>
        <v>10.1829066502</v>
      </c>
      <c r="I2380" s="11">
        <f>[1]!EM_S_FA_GROSSPROFITMARGIN(B2380,E2380)</f>
        <v>64.810444947700006</v>
      </c>
      <c r="J2380" s="11">
        <f>[1]!EM_S_FA_NETPROFITMARGIN(B2380,E2380)</f>
        <v>12.339049066099999</v>
      </c>
      <c r="K2380" s="10">
        <f>[1]!EM_S_FA_ASSETSTURN(B2380,E2380)</f>
        <v>0.93818799454500001</v>
      </c>
      <c r="L2380" s="12">
        <f>[1]!EM_HKS_VAL_MV(B2380,"2019-12-31","2")</f>
        <v>4250400000</v>
      </c>
      <c r="M2380">
        <f>[1]!EM_S_VAL_PETTMDEDUCTED(B2380,E2380)</f>
        <v>18.5676010615556</v>
      </c>
      <c r="N2380" s="7">
        <f>[1]!EM_S_VAL_PBGOODWILLDEDUCTED(B2380,E2380)</f>
        <v>3.1073534800879701</v>
      </c>
      <c r="O2380" s="7">
        <f>[1]!EM_S_VAL_PS_TTM(B2380,E2380)</f>
        <v>2.0916756805673802</v>
      </c>
      <c r="P2380" s="7">
        <f>[1]!EM_S_VAL_PCF_NCFTTM(B2380,E2380)</f>
        <v>-24.9103022186689</v>
      </c>
      <c r="Q2380" s="7">
        <f>[1]!EM_S_VAL_DIVIDENDYIELD2(B2380,E2380,"2019-11-29")</f>
        <v>3.5791757049891535</v>
      </c>
      <c r="T2380"/>
      <c r="U2380">
        <f>[1]!EM_S_RATIO_EPS_TTM(B2380,E2380,"1")</f>
        <v>1.0068610825416666</v>
      </c>
      <c r="AT2380" s="4" t="str">
        <f>[1]!EM_S_IPO_LISTEDDATE(B2380)</f>
        <v>2016-12-28</v>
      </c>
    </row>
    <row r="2381" spans="1:46">
      <c r="A2381">
        <v>2444</v>
      </c>
      <c r="B2381" t="str">
        <f>"600318"</f>
        <v>600318</v>
      </c>
      <c r="C2381" t="s">
        <v>1441</v>
      </c>
      <c r="D2381" t="str">
        <f>[1]!EM_S_INFO_INDEX_EM(B2381,"1")</f>
        <v>金融</v>
      </c>
      <c r="E2381" s="4">
        <f t="shared" si="37"/>
        <v>43465</v>
      </c>
      <c r="F2381" s="11">
        <f>[1]!EM_S_PQ_PCTCHANGE(B2381,"2018-01-01","2019-12-31","3")</f>
        <v>-44.88188976</v>
      </c>
      <c r="G2381" s="11">
        <f>[1]!EM_S_PQ_PCTCHANGE(B2381,"2018-12-31","2019-12-30","1")</f>
        <v>-1.1235955099999999</v>
      </c>
      <c r="H2381" s="11">
        <f>[1]!EM_S_FA_YOY_OR(B2381,E2381)</f>
        <v>-15.7736813902</v>
      </c>
      <c r="I2381" s="11">
        <f>[1]!EM_S_FA_GROSSPROFITMARGIN(B2381,E2381)</f>
        <v>84.579623102900001</v>
      </c>
      <c r="J2381" s="11">
        <f>[1]!EM_S_FA_NETPROFITMARGIN(B2381,E2381)</f>
        <v>28.770553481499999</v>
      </c>
      <c r="K2381" s="10">
        <f>[1]!EM_S_FA_ASSETSTURN(B2381,E2381)</f>
        <v>8.8952012999999996E-2</v>
      </c>
      <c r="L2381" s="12">
        <f>[1]!EM_HKS_VAL_MV(B2381,"2019-12-31","2")</f>
        <v>3593551003</v>
      </c>
      <c r="M2381">
        <f>[1]!EM_S_VAL_PETTMDEDUCTED(B2381,E2381)</f>
        <v>-11.076717851325499</v>
      </c>
      <c r="N2381" s="7">
        <f>[1]!EM_S_VAL_PBGOODWILLDEDUCTED(B2381,E2381)</f>
        <v>4.1752762547145004</v>
      </c>
      <c r="O2381" s="7">
        <f>[1]!EM_S_VAL_PS_TTM(B2381,E2381)</f>
        <v>6.0756108822245896</v>
      </c>
      <c r="P2381" s="7">
        <f>[1]!EM_S_VAL_PCF_NCFTTM(B2381,E2381)</f>
        <v>-195.885358046455</v>
      </c>
      <c r="Q2381" s="7">
        <f>[1]!EM_S_VAL_DIVIDENDYIELD2(B2381,E2381,"2019-11-29")</f>
        <v>0</v>
      </c>
      <c r="T2381"/>
      <c r="U2381">
        <f>[1]!EM_S_RATIO_EPS_TTM(B2381,E2381,"1")</f>
        <v>0.1094448201446281</v>
      </c>
      <c r="AT2381" s="4" t="str">
        <f>[1]!EM_S_IPO_LISTEDDATE(B2381)</f>
        <v>2000-12-08</v>
      </c>
    </row>
    <row r="2382" spans="1:46">
      <c r="A2382">
        <v>3251</v>
      </c>
      <c r="B2382" t="str">
        <f>"603076"</f>
        <v>603076</v>
      </c>
      <c r="C2382" t="s">
        <v>1148</v>
      </c>
      <c r="D2382" t="str">
        <f>[1]!EM_S_INFO_INDEX_EM(B2382,"1")</f>
        <v>机械设备</v>
      </c>
      <c r="E2382" s="4">
        <f t="shared" si="37"/>
        <v>43465</v>
      </c>
      <c r="F2382" s="11">
        <f>[1]!EM_S_PQ_PCTCHANGE(B2382,"2018-01-01","2019-12-31","3")</f>
        <v>-35.993689709999998</v>
      </c>
      <c r="G2382" s="11">
        <f>[1]!EM_S_PQ_PCTCHANGE(B2382,"2018-12-31","2019-12-30","1")</f>
        <v>-1.1442582800000001</v>
      </c>
      <c r="H2382" s="11">
        <f>[1]!EM_S_FA_YOY_OR(B2382,E2382)</f>
        <v>16.761992541800002</v>
      </c>
      <c r="I2382" s="11">
        <f>[1]!EM_S_FA_GROSSPROFITMARGIN(B2382,E2382)</f>
        <v>25.732448463099999</v>
      </c>
      <c r="J2382" s="11">
        <f>[1]!EM_S_FA_NETPROFITMARGIN(B2382,E2382)</f>
        <v>4.0487167179999997</v>
      </c>
      <c r="K2382" s="10">
        <f>[1]!EM_S_FA_ASSETSTURN(B2382,E2382)</f>
        <v>0.55495661503100002</v>
      </c>
      <c r="L2382" s="12">
        <f>[1]!EM_HKS_VAL_MV(B2382,"2019-12-31","2")</f>
        <v>1812585000</v>
      </c>
      <c r="M2382">
        <f>[1]!EM_S_VAL_PETTMDEDUCTED(B2382,E2382)</f>
        <v>32.019993407430903</v>
      </c>
      <c r="N2382" s="7">
        <f>[1]!EM_S_VAL_PBGOODWILLDEDUCTED(B2382,E2382)</f>
        <v>2.4440773014027299</v>
      </c>
      <c r="O2382" s="7">
        <f>[1]!EM_S_VAL_PS_TTM(B2382,E2382)</f>
        <v>2.0262959460149301</v>
      </c>
      <c r="P2382" s="7">
        <f>[1]!EM_S_VAL_PCF_NCFTTM(B2382,E2382)</f>
        <v>7.60553441138756</v>
      </c>
      <c r="Q2382" s="7">
        <f>[1]!EM_S_VAL_DIVIDENDYIELD2(B2382,E2382,"2019-11-29")</f>
        <v>0.7369875633348687</v>
      </c>
      <c r="T2382"/>
      <c r="U2382">
        <f>[1]!EM_S_RATIO_EPS_TTM(B2382,E2382,"1")</f>
        <v>0.52317827208053691</v>
      </c>
      <c r="AT2382" s="4" t="str">
        <f>[1]!EM_S_IPO_LISTEDDATE(B2382)</f>
        <v>2017-11-13</v>
      </c>
    </row>
    <row r="2383" spans="1:46">
      <c r="A2383">
        <v>3014</v>
      </c>
      <c r="B2383" t="str">
        <f>"600992"</f>
        <v>600992</v>
      </c>
      <c r="C2383" t="s">
        <v>2774</v>
      </c>
      <c r="D2383" t="str">
        <f>[1]!EM_S_INFO_INDEX_EM(B2383,"1")</f>
        <v>机械设备</v>
      </c>
      <c r="E2383" s="4">
        <f t="shared" si="37"/>
        <v>43465</v>
      </c>
      <c r="F2383" s="11">
        <f>[1]!EM_S_PQ_PCTCHANGE(B2383,"2018-01-01","2019-12-31","3")</f>
        <v>-36.987608520000002</v>
      </c>
      <c r="G2383" s="11">
        <f>[1]!EM_S_PQ_PCTCHANGE(B2383,"2018-12-31","2019-12-30","1")</f>
        <v>-1.15606936</v>
      </c>
      <c r="H2383" s="11">
        <f>[1]!EM_S_FA_YOY_OR(B2383,E2383)</f>
        <v>14.495861961699999</v>
      </c>
      <c r="I2383" s="11">
        <f>[1]!EM_S_FA_GROSSPROFITMARGIN(B2383,E2383)</f>
        <v>14.1448829521</v>
      </c>
      <c r="J2383" s="11">
        <f>[1]!EM_S_FA_NETPROFITMARGIN(B2383,E2383)</f>
        <v>1.2337654301000001</v>
      </c>
      <c r="K2383" s="10">
        <f>[1]!EM_S_FA_ASSETSTURN(B2383,E2383)</f>
        <v>0.88721783042799995</v>
      </c>
      <c r="L2383" s="12">
        <f>[1]!EM_HKS_VAL_MV(B2383,"2019-12-31","2")</f>
        <v>1681317400</v>
      </c>
      <c r="M2383">
        <f>[1]!EM_S_VAL_PETTMDEDUCTED(B2383,E2383)</f>
        <v>208.336286311039</v>
      </c>
      <c r="N2383" s="7">
        <f>[1]!EM_S_VAL_PBGOODWILLDEDUCTED(B2383,E2383)</f>
        <v>1.2180182093816201</v>
      </c>
      <c r="O2383" s="7">
        <f>[1]!EM_S_VAL_PS_TTM(B2383,E2383)</f>
        <v>0.81454813075584198</v>
      </c>
      <c r="P2383" s="7">
        <f>[1]!EM_S_VAL_PCF_NCFTTM(B2383,E2383)</f>
        <v>18.1085050598329</v>
      </c>
      <c r="Q2383" s="7">
        <f>[1]!EM_S_VAL_DIVIDENDYIELD2(B2383,E2383,"2019-11-29")</f>
        <v>0.45941807044410415</v>
      </c>
      <c r="T2383"/>
      <c r="U2383">
        <f>[1]!EM_S_RATIO_EPS_TTM(B2383,E2383,"1")</f>
        <v>0.1044939629115835</v>
      </c>
      <c r="AT2383" s="4" t="str">
        <f>[1]!EM_S_IPO_LISTEDDATE(B2383)</f>
        <v>2004-05-14</v>
      </c>
    </row>
    <row r="2384" spans="1:46">
      <c r="A2384">
        <v>2966</v>
      </c>
      <c r="B2384" t="str">
        <f>"600893"</f>
        <v>600893</v>
      </c>
      <c r="C2384" t="s">
        <v>3235</v>
      </c>
      <c r="D2384" t="str">
        <f>[1]!EM_S_INFO_INDEX_EM(B2384,"1")</f>
        <v>国防与装备</v>
      </c>
      <c r="E2384" s="4">
        <f t="shared" si="37"/>
        <v>43465</v>
      </c>
      <c r="F2384" s="11">
        <f>[1]!EM_S_PQ_PCTCHANGE(B2384,"2018-01-01","2019-12-31","3")</f>
        <v>-18.505413449999999</v>
      </c>
      <c r="G2384" s="11">
        <f>[1]!EM_S_PQ_PCTCHANGE(B2384,"2018-12-31","2019-12-30","1")</f>
        <v>-1.1970534100000001</v>
      </c>
      <c r="H2384" s="11">
        <f>[1]!EM_S_FA_YOY_OR(B2384,E2384)</f>
        <v>2.4252787855000002</v>
      </c>
      <c r="I2384" s="11">
        <f>[1]!EM_S_FA_GROSSPROFITMARGIN(B2384,E2384)</f>
        <v>17.6316994839</v>
      </c>
      <c r="J2384" s="11">
        <f>[1]!EM_S_FA_NETPROFITMARGIN(B2384,E2384)</f>
        <v>4.6902861878</v>
      </c>
      <c r="K2384" s="10">
        <f>[1]!EM_S_FA_ASSETSTURN(B2384,E2384)</f>
        <v>0.43924679168699998</v>
      </c>
      <c r="L2384" s="12">
        <f>[1]!EM_HKS_VAL_MV(B2384,"2019-12-31","2")</f>
        <v>48776627676</v>
      </c>
      <c r="M2384">
        <f>[1]!EM_S_VAL_PETTMDEDUCTED(B2384,E2384)</f>
        <v>68.030651593456696</v>
      </c>
      <c r="N2384" s="7">
        <f>[1]!EM_S_VAL_PBGOODWILLDEDUCTED(B2384,E2384)</f>
        <v>1.8489643873972099</v>
      </c>
      <c r="O2384" s="7">
        <f>[1]!EM_S_VAL_PS_TTM(B2384,E2384)</f>
        <v>2.0878651229341401</v>
      </c>
      <c r="P2384" s="7">
        <f>[1]!EM_S_VAL_PCF_NCFTTM(B2384,E2384)</f>
        <v>-5.1960480210054101</v>
      </c>
      <c r="Q2384" s="7">
        <f>[1]!EM_S_VAL_DIVIDENDYIELD2(B2384,E2384,"2019-11-29")</f>
        <v>0.70019723865877714</v>
      </c>
      <c r="T2384"/>
      <c r="U2384">
        <f>[1]!EM_S_RATIO_EPS_TTM(B2384,E2384,"1")</f>
        <v>0.47288133069821781</v>
      </c>
      <c r="AT2384" s="4" t="str">
        <f>[1]!EM_S_IPO_LISTEDDATE(B2384)</f>
        <v>1996-04-08</v>
      </c>
    </row>
    <row r="2385" spans="1:46">
      <c r="A2385">
        <v>2756</v>
      </c>
      <c r="B2385" t="str">
        <f>"600683"</f>
        <v>600683</v>
      </c>
      <c r="C2385" t="s">
        <v>571</v>
      </c>
      <c r="D2385" t="str">
        <f>[1]!EM_S_INFO_INDEX_EM(B2385,"1")</f>
        <v>房地产</v>
      </c>
      <c r="E2385" s="4">
        <f t="shared" si="37"/>
        <v>43465</v>
      </c>
      <c r="F2385" s="11">
        <f>[1]!EM_S_PQ_PCTCHANGE(B2385,"2018-01-01","2019-12-31","3")</f>
        <v>-13.57696982</v>
      </c>
      <c r="G2385" s="11">
        <f>[1]!EM_S_PQ_PCTCHANGE(B2385,"2018-12-31","2019-12-30","1")</f>
        <v>-1.1990407700000001</v>
      </c>
      <c r="H2385" s="11">
        <f>[1]!EM_S_FA_YOY_OR(B2385,E2385)</f>
        <v>28.267660792400001</v>
      </c>
      <c r="I2385" s="11">
        <f>[1]!EM_S_FA_GROSSPROFITMARGIN(B2385,E2385)</f>
        <v>32.472690359600001</v>
      </c>
      <c r="J2385" s="11">
        <f>[1]!EM_S_FA_NETPROFITMARGIN(B2385,E2385)</f>
        <v>11.4085086722</v>
      </c>
      <c r="K2385" s="10">
        <f>[1]!EM_S_FA_ASSETSTURN(B2385,E2385)</f>
        <v>0.26702721418000003</v>
      </c>
      <c r="L2385" s="12">
        <f>[1]!EM_HKS_VAL_MV(B2385,"2019-12-31","2")</f>
        <v>3355722514.4099998</v>
      </c>
      <c r="M2385">
        <f>[1]!EM_S_VAL_PETTMDEDUCTED(B2385,E2385)</f>
        <v>9.1621369274991906</v>
      </c>
      <c r="N2385" s="7">
        <f>[1]!EM_S_VAL_PBGOODWILLDEDUCTED(B2385,E2385)</f>
        <v>1.2106194886425801</v>
      </c>
      <c r="O2385" s="7">
        <f>[1]!EM_S_VAL_PS_TTM(B2385,E2385)</f>
        <v>0.50105300638843098</v>
      </c>
      <c r="P2385" s="7">
        <f>[1]!EM_S_VAL_PCF_NCFTTM(B2385,E2385)</f>
        <v>1.6124207563269899</v>
      </c>
      <c r="Q2385" s="7">
        <f>[1]!EM_S_VAL_DIVIDENDYIELD2(B2385,E2385,"2019-11-29")</f>
        <v>4.8076923076923084</v>
      </c>
      <c r="T2385"/>
      <c r="U2385">
        <f>[1]!EM_S_RATIO_EPS_TTM(B2385,E2385,"1")</f>
        <v>0.483086657033447</v>
      </c>
      <c r="AT2385" s="4" t="str">
        <f>[1]!EM_S_IPO_LISTEDDATE(B2385)</f>
        <v>1993-10-25</v>
      </c>
    </row>
    <row r="2386" spans="1:46">
      <c r="A2386">
        <v>2012</v>
      </c>
      <c r="B2386" t="str">
        <f>"300591"</f>
        <v>300591</v>
      </c>
      <c r="C2386" t="s">
        <v>3392</v>
      </c>
      <c r="D2386" t="str">
        <f>[1]!EM_S_INFO_INDEX_EM(B2386,"1")</f>
        <v>纺织服装</v>
      </c>
      <c r="E2386" s="4">
        <f t="shared" si="37"/>
        <v>43465</v>
      </c>
      <c r="F2386" s="11">
        <f>[1]!EM_S_PQ_PCTCHANGE(B2386,"2018-01-01","2019-12-31","3")</f>
        <v>-38.095238100000003</v>
      </c>
      <c r="G2386" s="11">
        <f>[1]!EM_S_PQ_PCTCHANGE(B2386,"2018-12-31","2019-12-30","1")</f>
        <v>-1.2152777800000001</v>
      </c>
      <c r="H2386" s="11">
        <f>[1]!EM_S_FA_YOY_OR(B2386,E2386)</f>
        <v>14.7739156583</v>
      </c>
      <c r="I2386" s="11">
        <f>[1]!EM_S_FA_GROSSPROFITMARGIN(B2386,E2386)</f>
        <v>33.543481877700003</v>
      </c>
      <c r="J2386" s="11">
        <f>[1]!EM_S_FA_NETPROFITMARGIN(B2386,E2386)</f>
        <v>6.1637243919999998</v>
      </c>
      <c r="K2386" s="10">
        <f>[1]!EM_S_FA_ASSETSTURN(B2386,E2386)</f>
        <v>0.65137053867299999</v>
      </c>
      <c r="L2386" s="12">
        <f>[1]!EM_HKS_VAL_MV(B2386,"2019-12-31","2")</f>
        <v>1784640000</v>
      </c>
      <c r="M2386">
        <f>[1]!EM_S_VAL_PETTMDEDUCTED(B2386,E2386)</f>
        <v>74.374298865476106</v>
      </c>
      <c r="N2386" s="7">
        <f>[1]!EM_S_VAL_PBGOODWILLDEDUCTED(B2386,E2386)</f>
        <v>4.1745902229791296</v>
      </c>
      <c r="O2386" s="7">
        <f>[1]!EM_S_VAL_PS_TTM(B2386,E2386)</f>
        <v>2.6896692213222702</v>
      </c>
      <c r="P2386" s="7">
        <f>[1]!EM_S_VAL_PCF_NCFTTM(B2386,E2386)</f>
        <v>-20.984638904876601</v>
      </c>
      <c r="Q2386" s="7">
        <f>[1]!EM_S_VAL_DIVIDENDYIELD2(B2386,E2386,"2019-11-29")</f>
        <v>0</v>
      </c>
      <c r="T2386"/>
      <c r="U2386">
        <f>[1]!EM_S_RATIO_EPS_TTM(B2386,E2386,"1")</f>
        <v>0.12114506766025641</v>
      </c>
      <c r="AT2386" s="4" t="str">
        <f>[1]!EM_S_IPO_LISTEDDATE(B2386)</f>
        <v>2017-01-10</v>
      </c>
    </row>
    <row r="2387" spans="1:46">
      <c r="A2387">
        <v>3238</v>
      </c>
      <c r="B2387" t="str">
        <f>"603042"</f>
        <v>603042</v>
      </c>
      <c r="C2387" t="s">
        <v>2273</v>
      </c>
      <c r="D2387" t="str">
        <f>[1]!EM_S_INFO_INDEX_EM(B2387,"1")</f>
        <v>信息技术</v>
      </c>
      <c r="E2387" s="4">
        <f t="shared" si="37"/>
        <v>43465</v>
      </c>
      <c r="F2387" s="11">
        <f>[1]!EM_S_PQ_PCTCHANGE(B2387,"2018-01-01","2019-12-31","3")</f>
        <v>-47.452739029999996</v>
      </c>
      <c r="G2387" s="11">
        <f>[1]!EM_S_PQ_PCTCHANGE(B2387,"2018-12-31","2019-12-30","1")</f>
        <v>-1.2361743700000001</v>
      </c>
      <c r="H2387" s="11">
        <f>[1]!EM_S_FA_YOY_OR(B2387,E2387)</f>
        <v>-8.3770026467999994</v>
      </c>
      <c r="I2387" s="11">
        <f>[1]!EM_S_FA_GROSSPROFITMARGIN(B2387,E2387)</f>
        <v>23.866079016800001</v>
      </c>
      <c r="J2387" s="11">
        <f>[1]!EM_S_FA_NETPROFITMARGIN(B2387,E2387)</f>
        <v>-10.3026036702</v>
      </c>
      <c r="K2387" s="10">
        <f>[1]!EM_S_FA_ASSETSTURN(B2387,E2387)</f>
        <v>0.56673200016199998</v>
      </c>
      <c r="L2387" s="12">
        <f>[1]!EM_HKS_VAL_MV(B2387,"2019-12-31","2")</f>
        <v>2074000000</v>
      </c>
      <c r="M2387">
        <f>[1]!EM_S_VAL_PETTMDEDUCTED(B2387,E2387)</f>
        <v>347.08310435625498</v>
      </c>
      <c r="N2387" s="7">
        <f>[1]!EM_S_VAL_PBGOODWILLDEDUCTED(B2387,E2387)</f>
        <v>3.19372234168616</v>
      </c>
      <c r="O2387" s="7">
        <f>[1]!EM_S_VAL_PS_TTM(B2387,E2387)</f>
        <v>1.73480878295985</v>
      </c>
      <c r="P2387" s="7">
        <f>[1]!EM_S_VAL_PCF_NCFTTM(B2387,E2387)</f>
        <v>37.557086637185897</v>
      </c>
      <c r="Q2387" s="7">
        <f>[1]!EM_S_VAL_DIVIDENDYIELD2(B2387,E2387,"2019-11-29")</f>
        <v>0</v>
      </c>
      <c r="T2387"/>
      <c r="U2387">
        <f>[1]!EM_S_RATIO_EPS_TTM(B2387,E2387,"1")</f>
        <v>-0.79572799415879425</v>
      </c>
      <c r="AT2387" s="4" t="str">
        <f>[1]!EM_S_IPO_LISTEDDATE(B2387)</f>
        <v>2017-06-02</v>
      </c>
    </row>
    <row r="2388" spans="1:46">
      <c r="A2388">
        <v>2971</v>
      </c>
      <c r="B2388" t="str">
        <f>"600898"</f>
        <v>600898</v>
      </c>
      <c r="C2388" t="s">
        <v>2101</v>
      </c>
      <c r="D2388" t="str">
        <f>[1]!EM_S_INFO_INDEX_EM(B2388,"1")</f>
        <v>电子设备</v>
      </c>
      <c r="E2388" s="4">
        <f t="shared" si="37"/>
        <v>43465</v>
      </c>
      <c r="F2388" s="11">
        <f>[1]!EM_S_PQ_PCTCHANGE(B2388,"2018-01-01","2019-12-31","3")</f>
        <v>-33.949579829999998</v>
      </c>
      <c r="G2388" s="11">
        <f>[1]!EM_S_PQ_PCTCHANGE(B2388,"2018-12-31","2019-12-30","1")</f>
        <v>-1.24069479</v>
      </c>
      <c r="H2388" s="11">
        <f>[1]!EM_S_FA_YOY_OR(B2388,E2388)</f>
        <v>19.965563593799999</v>
      </c>
      <c r="I2388" s="11">
        <f>[1]!EM_S_FA_GROSSPROFITMARGIN(B2388,E2388)</f>
        <v>2.9605498613000001</v>
      </c>
      <c r="J2388" s="11">
        <f>[1]!EM_S_FA_NETPROFITMARGIN(B2388,E2388)</f>
        <v>-22.6416128161</v>
      </c>
      <c r="K2388" s="10">
        <f>[1]!EM_S_FA_ASSETSTURN(B2388,E2388)</f>
        <v>0.90847505693599995</v>
      </c>
      <c r="L2388" s="12">
        <f>[1]!EM_HKS_VAL_MV(B2388,"2019-12-31","2")</f>
        <v>1984837225.2</v>
      </c>
      <c r="M2388">
        <f>[1]!EM_S_VAL_PETTMDEDUCTED(B2388,E2388)</f>
        <v>-26.673550648339599</v>
      </c>
      <c r="N2388" s="7">
        <f>[1]!EM_S_VAL_PBGOODWILLDEDUCTED(B2388,E2388)</f>
        <v>-5.5622927478073896</v>
      </c>
      <c r="O2388" s="7">
        <f>[1]!EM_S_VAL_PS_TTM(B2388,E2388)</f>
        <v>0.65037946529843604</v>
      </c>
      <c r="P2388" s="7">
        <f>[1]!EM_S_VAL_PCF_NCFTTM(B2388,E2388)</f>
        <v>-27.807713045676099</v>
      </c>
      <c r="Q2388" s="7">
        <f>[1]!EM_S_VAL_DIVIDENDYIELD2(B2388,E2388,"2019-11-29")</f>
        <v>0</v>
      </c>
      <c r="T2388"/>
      <c r="U2388">
        <f>[1]!EM_S_RATIO_EPS_TTM(B2388,E2388,"1")</f>
        <v>-1.5124298921978925</v>
      </c>
      <c r="AT2388" s="4" t="str">
        <f>[1]!EM_S_IPO_LISTEDDATE(B2388)</f>
        <v>1996-04-18</v>
      </c>
    </row>
    <row r="2389" spans="1:46">
      <c r="A2389">
        <v>1099</v>
      </c>
      <c r="B2389" t="str">
        <f>"002588"</f>
        <v>002588</v>
      </c>
      <c r="C2389" t="s">
        <v>1540</v>
      </c>
      <c r="D2389" t="str">
        <f>[1]!EM_S_INFO_INDEX_EM(B2389,"1")</f>
        <v>基础化工</v>
      </c>
      <c r="E2389" s="4">
        <f t="shared" si="37"/>
        <v>43465</v>
      </c>
      <c r="F2389" s="11">
        <f>[1]!EM_S_PQ_PCTCHANGE(B2389,"2018-01-01","2019-12-31","3")</f>
        <v>-40.80599101</v>
      </c>
      <c r="G2389" s="11">
        <f>[1]!EM_S_PQ_PCTCHANGE(B2389,"2018-12-31","2019-12-30","1")</f>
        <v>-1.28534704</v>
      </c>
      <c r="H2389" s="11">
        <f>[1]!EM_S_FA_YOY_OR(B2389,E2389)</f>
        <v>8.0674975058000005</v>
      </c>
      <c r="I2389" s="11">
        <f>[1]!EM_S_FA_GROSSPROFITMARGIN(B2389,E2389)</f>
        <v>17.787704503699999</v>
      </c>
      <c r="J2389" s="11">
        <f>[1]!EM_S_FA_NETPROFITMARGIN(B2389,E2389)</f>
        <v>3.3428279052000001</v>
      </c>
      <c r="K2389" s="10">
        <f>[1]!EM_S_FA_ASSETSTURN(B2389,E2389)</f>
        <v>0.77398929182200005</v>
      </c>
      <c r="L2389" s="12">
        <f>[1]!EM_HKS_VAL_MV(B2389,"2019-12-31","2")</f>
        <v>4523416440</v>
      </c>
      <c r="M2389">
        <f>[1]!EM_S_VAL_PETTMDEDUCTED(B2389,E2389)</f>
        <v>27.883535395345</v>
      </c>
      <c r="N2389" s="7">
        <f>[1]!EM_S_VAL_PBGOODWILLDEDUCTED(B2389,E2389)</f>
        <v>1.0476780453541299</v>
      </c>
      <c r="O2389" s="7">
        <f>[1]!EM_S_VAL_PS_TTM(B2389,E2389)</f>
        <v>0.80016876750622201</v>
      </c>
      <c r="P2389" s="7">
        <f>[1]!EM_S_VAL_PCF_NCFTTM(B2389,E2389)</f>
        <v>-627.17257728498896</v>
      </c>
      <c r="Q2389" s="7">
        <f>[1]!EM_S_VAL_DIVIDENDYIELD2(B2389,E2389,"2019-11-29")</f>
        <v>0.5181347150259068</v>
      </c>
      <c r="T2389"/>
      <c r="U2389">
        <f>[1]!EM_S_RATIO_EPS_TTM(B2389,E2389,"1")</f>
        <v>0.1658470788168909</v>
      </c>
      <c r="AT2389" s="4" t="str">
        <f>[1]!EM_S_IPO_LISTEDDATE(B2389)</f>
        <v>2011-06-10</v>
      </c>
    </row>
    <row r="2390" spans="1:46">
      <c r="A2390">
        <v>1062</v>
      </c>
      <c r="B2390" t="str">
        <f>"002551"</f>
        <v>002551</v>
      </c>
      <c r="C2390" t="s">
        <v>1108</v>
      </c>
      <c r="D2390" t="str">
        <f>[1]!EM_S_INFO_INDEX_EM(B2390,"1")</f>
        <v>医药生物</v>
      </c>
      <c r="E2390" s="4">
        <f t="shared" si="37"/>
        <v>43465</v>
      </c>
      <c r="F2390" s="11">
        <f>[1]!EM_S_PQ_PCTCHANGE(B2390,"2018-01-01","2019-12-31","3")</f>
        <v>-48.644435229999999</v>
      </c>
      <c r="G2390" s="11">
        <f>[1]!EM_S_PQ_PCTCHANGE(B2390,"2018-12-31","2019-12-30","1")</f>
        <v>-1.30434783</v>
      </c>
      <c r="H2390" s="11">
        <f>[1]!EM_S_FA_YOY_OR(B2390,E2390)</f>
        <v>-18.741556618499999</v>
      </c>
      <c r="I2390" s="11">
        <f>[1]!EM_S_FA_GROSSPROFITMARGIN(B2390,E2390)</f>
        <v>24.654577781099999</v>
      </c>
      <c r="J2390" s="11">
        <f>[1]!EM_S_FA_NETPROFITMARGIN(B2390,E2390)</f>
        <v>8.2625389464999994</v>
      </c>
      <c r="K2390" s="10">
        <f>[1]!EM_S_FA_ASSETSTURN(B2390,E2390)</f>
        <v>0.38750737698600002</v>
      </c>
      <c r="L2390" s="12">
        <f>[1]!EM_HKS_VAL_MV(B2390,"2019-12-31","2")</f>
        <v>3261571060.4400001</v>
      </c>
      <c r="M2390">
        <f>[1]!EM_S_VAL_PETTMDEDUCTED(B2390,E2390)</f>
        <v>28.691076977513202</v>
      </c>
      <c r="N2390" s="7">
        <f>[1]!EM_S_VAL_PBGOODWILLDEDUCTED(B2390,E2390)</f>
        <v>1.49554672182335</v>
      </c>
      <c r="O2390" s="7">
        <f>[1]!EM_S_VAL_PS_TTM(B2390,E2390)</f>
        <v>1.76399338564431</v>
      </c>
      <c r="P2390" s="7">
        <f>[1]!EM_S_VAL_PCF_NCFTTM(B2390,E2390)</f>
        <v>43.272281962644598</v>
      </c>
      <c r="Q2390" s="7">
        <f>[1]!EM_S_VAL_DIVIDENDYIELD2(B2390,E2390,"2019-11-29")</f>
        <v>1.1184991581000792</v>
      </c>
      <c r="T2390"/>
      <c r="U2390">
        <f>[1]!EM_S_RATIO_EPS_TTM(B2390,E2390,"1")</f>
        <v>0.13841661907449482</v>
      </c>
      <c r="AT2390" s="4" t="str">
        <f>[1]!EM_S_IPO_LISTEDDATE(B2390)</f>
        <v>2011-02-25</v>
      </c>
    </row>
    <row r="2391" spans="1:46">
      <c r="A2391">
        <v>1371</v>
      </c>
      <c r="B2391" t="str">
        <f>"002871"</f>
        <v>002871</v>
      </c>
      <c r="C2391" t="s">
        <v>1131</v>
      </c>
      <c r="D2391" t="str">
        <f>[1]!EM_S_INFO_INDEX_EM(B2391,"1")</f>
        <v>机械设备</v>
      </c>
      <c r="E2391" s="4">
        <f t="shared" si="37"/>
        <v>43465</v>
      </c>
      <c r="F2391" s="11">
        <f>[1]!EM_S_PQ_PCTCHANGE(B2391,"2018-01-01","2019-12-31","3")</f>
        <v>-5.0454639999999999</v>
      </c>
      <c r="G2391" s="11">
        <f>[1]!EM_S_PQ_PCTCHANGE(B2391,"2018-12-31","2019-12-30","1")</f>
        <v>-1.38817481</v>
      </c>
      <c r="H2391" s="11">
        <f>[1]!EM_S_FA_YOY_OR(B2391,E2391)</f>
        <v>21.0430779902</v>
      </c>
      <c r="I2391" s="11">
        <f>[1]!EM_S_FA_GROSSPROFITMARGIN(B2391,E2391)</f>
        <v>38.009027895400003</v>
      </c>
      <c r="J2391" s="11">
        <f>[1]!EM_S_FA_NETPROFITMARGIN(B2391,E2391)</f>
        <v>22.405351143299999</v>
      </c>
      <c r="K2391" s="10">
        <f>[1]!EM_S_FA_ASSETSTURN(B2391,E2391)</f>
        <v>0.478191286504</v>
      </c>
      <c r="L2391" s="12">
        <f>[1]!EM_HKS_VAL_MV(B2391,"2019-12-31","2")</f>
        <v>2238727960</v>
      </c>
      <c r="M2391">
        <f>[1]!EM_S_VAL_PETTMDEDUCTED(B2391,E2391)</f>
        <v>44.582154134072198</v>
      </c>
      <c r="N2391" s="7">
        <f>[1]!EM_S_VAL_PBGOODWILLDEDUCTED(B2391,E2391)</f>
        <v>3.7189407877205398</v>
      </c>
      <c r="O2391" s="7">
        <f>[1]!EM_S_VAL_PS_TTM(B2391,E2391)</f>
        <v>7.17943486648754</v>
      </c>
      <c r="P2391" s="7">
        <f>[1]!EM_S_VAL_PCF_NCFTTM(B2391,E2391)</f>
        <v>42.031178425997098</v>
      </c>
      <c r="Q2391" s="7">
        <f>[1]!EM_S_VAL_DIVIDENDYIELD2(B2391,E2391,"2019-11-29")</f>
        <v>1.0712372790573113</v>
      </c>
      <c r="T2391"/>
      <c r="U2391">
        <f>[1]!EM_S_RATIO_EPS_TTM(B2391,E2391,"1")</f>
        <v>0.66540252831029101</v>
      </c>
      <c r="AT2391" s="4" t="str">
        <f>[1]!EM_S_IPO_LISTEDDATE(B2391)</f>
        <v>2017-05-11</v>
      </c>
    </row>
    <row r="2392" spans="1:46">
      <c r="A2392">
        <v>1161</v>
      </c>
      <c r="B2392" t="str">
        <f>"002650"</f>
        <v>002650</v>
      </c>
      <c r="C2392" t="s">
        <v>1007</v>
      </c>
      <c r="D2392" t="str">
        <f>[1]!EM_S_INFO_INDEX_EM(B2392,"1")</f>
        <v>食品饮料</v>
      </c>
      <c r="E2392" s="4">
        <f t="shared" si="37"/>
        <v>43465</v>
      </c>
      <c r="F2392" s="11">
        <f>[1]!EM_S_PQ_PCTCHANGE(B2392,"2018-01-01","2019-12-31","3")</f>
        <v>-49.291784700000001</v>
      </c>
      <c r="G2392" s="11">
        <f>[1]!EM_S_PQ_PCTCHANGE(B2392,"2018-12-31","2019-12-30","1")</f>
        <v>-1.38888889</v>
      </c>
      <c r="H2392" s="11">
        <f>[1]!EM_S_FA_YOY_OR(B2392,E2392)</f>
        <v>-5.4356389748999998</v>
      </c>
      <c r="I2392" s="11">
        <f>[1]!EM_S_FA_GROSSPROFITMARGIN(B2392,E2392)</f>
        <v>26.228900145000001</v>
      </c>
      <c r="J2392" s="11">
        <f>[1]!EM_S_FA_NETPROFITMARGIN(B2392,E2392)</f>
        <v>6.4502635831999999</v>
      </c>
      <c r="K2392" s="10">
        <f>[1]!EM_S_FA_ASSETSTURN(B2392,E2392)</f>
        <v>0.65061546370099999</v>
      </c>
      <c r="L2392" s="12">
        <f>[1]!EM_HKS_VAL_MV(B2392,"2019-12-31","2")</f>
        <v>4124160000</v>
      </c>
      <c r="M2392">
        <f>[1]!EM_S_VAL_PETTMDEDUCTED(B2392,E2392)</f>
        <v>31.5300596158046</v>
      </c>
      <c r="N2392" s="7">
        <f>[1]!EM_S_VAL_PBGOODWILLDEDUCTED(B2392,E2392)</f>
        <v>1.90733125783241</v>
      </c>
      <c r="O2392" s="7">
        <f>[1]!EM_S_VAL_PS_TTM(B2392,E2392)</f>
        <v>2.2485421707976201</v>
      </c>
      <c r="P2392" s="7">
        <f>[1]!EM_S_VAL_PCF_NCFTTM(B2392,E2392)</f>
        <v>-1995.80682295476</v>
      </c>
      <c r="Q2392" s="7">
        <f>[1]!EM_S_VAL_DIVIDENDYIELD2(B2392,E2392,"2019-11-29")</f>
        <v>0</v>
      </c>
      <c r="T2392"/>
      <c r="U2392">
        <f>[1]!EM_S_RATIO_EPS_TTM(B2392,E2392,"1")</f>
        <v>0.10013665212673611</v>
      </c>
      <c r="AT2392" s="4" t="str">
        <f>[1]!EM_S_IPO_LISTEDDATE(B2392)</f>
        <v>2012-01-06</v>
      </c>
    </row>
    <row r="2393" spans="1:46">
      <c r="A2393">
        <v>1749</v>
      </c>
      <c r="B2393" t="str">
        <f>"300324"</f>
        <v>300324</v>
      </c>
      <c r="C2393" t="s">
        <v>983</v>
      </c>
      <c r="D2393" t="str">
        <f>[1]!EM_S_INFO_INDEX_EM(B2393,"1")</f>
        <v>信息技术</v>
      </c>
      <c r="E2393" s="4">
        <f t="shared" si="37"/>
        <v>43465</v>
      </c>
      <c r="F2393" s="11">
        <f>[1]!EM_S_PQ_PCTCHANGE(B2393,"2018-01-01","2019-12-31","3")</f>
        <v>-42.113403460000001</v>
      </c>
      <c r="G2393" s="11">
        <f>[1]!EM_S_PQ_PCTCHANGE(B2393,"2018-12-31","2019-12-30","1")</f>
        <v>-1.4260249599999999</v>
      </c>
      <c r="H2393" s="11">
        <f>[1]!EM_S_FA_YOY_OR(B2393,E2393)</f>
        <v>16.9238310677</v>
      </c>
      <c r="I2393" s="11">
        <f>[1]!EM_S_FA_GROSSPROFITMARGIN(B2393,E2393)</f>
        <v>34.201380254599997</v>
      </c>
      <c r="J2393" s="11">
        <f>[1]!EM_S_FA_NETPROFITMARGIN(B2393,E2393)</f>
        <v>1.8082072402</v>
      </c>
      <c r="K2393" s="10">
        <f>[1]!EM_S_FA_ASSETSTURN(B2393,E2393)</f>
        <v>0.48052358657100003</v>
      </c>
      <c r="L2393" s="12">
        <f>[1]!EM_HKS_VAL_MV(B2393,"2019-12-31","2")</f>
        <v>9783953732</v>
      </c>
      <c r="M2393">
        <f>[1]!EM_S_VAL_PETTMDEDUCTED(B2393,E2393)</f>
        <v>21.7116091508945</v>
      </c>
      <c r="N2393" s="7">
        <f>[1]!EM_S_VAL_PBGOODWILLDEDUCTED(B2393,E2393)</f>
        <v>2.9892577507073401</v>
      </c>
      <c r="O2393" s="7">
        <f>[1]!EM_S_VAL_PS_TTM(B2393,E2393)</f>
        <v>2.5577472156762999</v>
      </c>
      <c r="P2393" s="7">
        <f>[1]!EM_S_VAL_PCF_NCFTTM(B2393,E2393)</f>
        <v>-11.188513467103199</v>
      </c>
      <c r="Q2393" s="7">
        <f>[1]!EM_S_VAL_DIVIDENDYIELD2(B2393,E2393,"2019-11-29")</f>
        <v>0</v>
      </c>
      <c r="T2393"/>
      <c r="U2393">
        <f>[1]!EM_S_RATIO_EPS_TTM(B2393,E2393,"1")</f>
        <v>2.4485982507244951E-2</v>
      </c>
      <c r="AT2393" s="4" t="str">
        <f>[1]!EM_S_IPO_LISTEDDATE(B2393)</f>
        <v>2012-06-08</v>
      </c>
    </row>
    <row r="2394" spans="1:46">
      <c r="A2394">
        <v>2535</v>
      </c>
      <c r="B2394" t="str">
        <f>"600429"</f>
        <v>600429</v>
      </c>
      <c r="C2394" t="s">
        <v>2498</v>
      </c>
      <c r="D2394" t="str">
        <f>[1]!EM_S_INFO_INDEX_EM(B2394,"1")</f>
        <v>食品饮料</v>
      </c>
      <c r="E2394" s="4">
        <f t="shared" si="37"/>
        <v>43465</v>
      </c>
      <c r="F2394" s="11">
        <f>[1]!EM_S_PQ_PCTCHANGE(B2394,"2018-01-01","2019-12-31","3")</f>
        <v>-14.06327125</v>
      </c>
      <c r="G2394" s="11">
        <f>[1]!EM_S_PQ_PCTCHANGE(B2394,"2018-12-31","2019-12-30","1")</f>
        <v>-1.4571949</v>
      </c>
      <c r="H2394" s="11">
        <f>[1]!EM_S_FA_YOY_OR(B2394,E2394)</f>
        <v>21.803998375799999</v>
      </c>
      <c r="I2394" s="11">
        <f>[1]!EM_S_FA_GROSSPROFITMARGIN(B2394,E2394)</f>
        <v>33.056979671100002</v>
      </c>
      <c r="J2394" s="11">
        <f>[1]!EM_S_FA_NETPROFITMARGIN(B2394,E2394)</f>
        <v>2.4979574457</v>
      </c>
      <c r="K2394" s="10">
        <f>[1]!EM_S_FA_ASSETSTURN(B2394,E2394)</f>
        <v>0.70656739009400005</v>
      </c>
      <c r="L2394" s="12">
        <f>[1]!EM_HKS_VAL_MV(B2394,"2019-12-31","2")</f>
        <v>8161687971.6999998</v>
      </c>
      <c r="M2394">
        <f>[1]!EM_S_VAL_PETTMDEDUCTED(B2394,E2394)</f>
        <v>314.35598004209299</v>
      </c>
      <c r="N2394" s="7">
        <f>[1]!EM_S_VAL_PBGOODWILLDEDUCTED(B2394,E2394)</f>
        <v>2.5038936688150799</v>
      </c>
      <c r="O2394" s="7">
        <f>[1]!EM_S_VAL_PS_TTM(B2394,E2394)</f>
        <v>1.15659122908867</v>
      </c>
      <c r="P2394" s="7">
        <f>[1]!EM_S_VAL_PCF_NCFTTM(B2394,E2394)</f>
        <v>37.527663891607403</v>
      </c>
      <c r="Q2394" s="7">
        <f>[1]!EM_S_VAL_DIVIDENDYIELD2(B2394,E2394,"2019-11-29")</f>
        <v>0.71705426356589141</v>
      </c>
      <c r="T2394"/>
      <c r="U2394">
        <f>[1]!EM_S_RATIO_EPS_TTM(B2394,E2394,"1")</f>
        <v>0.12043180758799162</v>
      </c>
      <c r="AT2394" s="4" t="str">
        <f>[1]!EM_S_IPO_LISTEDDATE(B2394)</f>
        <v>2003-09-15</v>
      </c>
    </row>
    <row r="2395" spans="1:46">
      <c r="A2395">
        <v>2920</v>
      </c>
      <c r="B2395" t="str">
        <f>"600847"</f>
        <v>600847</v>
      </c>
      <c r="C2395" t="s">
        <v>2814</v>
      </c>
      <c r="D2395" t="str">
        <f>[1]!EM_S_INFO_INDEX_EM(B2395,"1")</f>
        <v>电气设备</v>
      </c>
      <c r="E2395" s="4">
        <f t="shared" si="37"/>
        <v>43465</v>
      </c>
      <c r="F2395" s="11">
        <f>[1]!EM_S_PQ_PCTCHANGE(B2395,"2018-01-01","2019-12-31","3")</f>
        <v>-27.896440129999998</v>
      </c>
      <c r="G2395" s="11">
        <f>[1]!EM_S_PQ_PCTCHANGE(B2395,"2018-12-31","2019-12-30","1")</f>
        <v>-1.4769765399999999</v>
      </c>
      <c r="H2395" s="11">
        <f>[1]!EM_S_FA_YOY_OR(B2395,E2395)</f>
        <v>28.324487251200001</v>
      </c>
      <c r="I2395" s="11">
        <f>[1]!EM_S_FA_GROSSPROFITMARGIN(B2395,E2395)</f>
        <v>11.0746233568</v>
      </c>
      <c r="J2395" s="11">
        <f>[1]!EM_S_FA_NETPROFITMARGIN(B2395,E2395)</f>
        <v>-26.923305341300001</v>
      </c>
      <c r="K2395" s="10">
        <f>[1]!EM_S_FA_ASSETSTURN(B2395,E2395)</f>
        <v>0.72336082561799997</v>
      </c>
      <c r="L2395" s="12">
        <f>[1]!EM_HKS_VAL_MV(B2395,"2019-12-31","2")</f>
        <v>1707621636</v>
      </c>
      <c r="M2395">
        <f>[1]!EM_S_VAL_PETTMDEDUCTED(B2395,E2395)</f>
        <v>-182.05711249640001</v>
      </c>
      <c r="N2395" s="7">
        <f>[1]!EM_S_VAL_PBGOODWILLDEDUCTED(B2395,E2395)</f>
        <v>2.5869367765540701</v>
      </c>
      <c r="O2395" s="7">
        <f>[1]!EM_S_VAL_PS_TTM(B2395,E2395)</f>
        <v>3.23450272082099</v>
      </c>
      <c r="P2395" s="7">
        <f>[1]!EM_S_VAL_PCF_NCFTTM(B2395,E2395)</f>
        <v>-2502.1373633210301</v>
      </c>
      <c r="Q2395" s="7">
        <f>[1]!EM_S_VAL_DIVIDENDYIELD2(B2395,E2395,"2019-11-29")</f>
        <v>0</v>
      </c>
      <c r="T2395"/>
      <c r="U2395">
        <f>[1]!EM_S_RATIO_EPS_TTM(B2395,E2395,"1")</f>
        <v>-1.0203059528049925</v>
      </c>
      <c r="AT2395" s="4" t="str">
        <f>[1]!EM_S_IPO_LISTEDDATE(B2395)</f>
        <v>1994-03-24</v>
      </c>
    </row>
    <row r="2396" spans="1:46">
      <c r="A2396">
        <v>959</v>
      </c>
      <c r="B2396" t="str">
        <f>"002448"</f>
        <v>002448</v>
      </c>
      <c r="C2396" t="s">
        <v>1334</v>
      </c>
      <c r="D2396" t="str">
        <f>[1]!EM_S_INFO_INDEX_EM(B2396,"1")</f>
        <v>交运设备</v>
      </c>
      <c r="E2396" s="4">
        <f t="shared" si="37"/>
        <v>43465</v>
      </c>
      <c r="F2396" s="11">
        <f>[1]!EM_S_PQ_PCTCHANGE(B2396,"2018-01-01","2019-12-31","3")</f>
        <v>-38.474383119999999</v>
      </c>
      <c r="G2396" s="11">
        <f>[1]!EM_S_PQ_PCTCHANGE(B2396,"2018-12-31","2019-12-30","1")</f>
        <v>-1.4869888499999999</v>
      </c>
      <c r="H2396" s="11">
        <f>[1]!EM_S_FA_YOY_OR(B2396,E2396)</f>
        <v>6.1453125652000002</v>
      </c>
      <c r="I2396" s="11">
        <f>[1]!EM_S_FA_GROSSPROFITMARGIN(B2396,E2396)</f>
        <v>39.957421023499997</v>
      </c>
      <c r="J2396" s="11">
        <f>[1]!EM_S_FA_NETPROFITMARGIN(B2396,E2396)</f>
        <v>17.5316772937</v>
      </c>
      <c r="K2396" s="10">
        <f>[1]!EM_S_FA_ASSETSTURN(B2396,E2396)</f>
        <v>0.40075043860499998</v>
      </c>
      <c r="L2396" s="12">
        <f>[1]!EM_HKS_VAL_MV(B2396,"2019-12-31","2")</f>
        <v>3255503762.8000002</v>
      </c>
      <c r="M2396">
        <f>[1]!EM_S_VAL_PETTMDEDUCTED(B2396,E2396)</f>
        <v>12.7954659476698</v>
      </c>
      <c r="N2396" s="7">
        <f>[1]!EM_S_VAL_PBGOODWILLDEDUCTED(B2396,E2396)</f>
        <v>1.54221876972281</v>
      </c>
      <c r="O2396" s="7">
        <f>[1]!EM_S_VAL_PS_TTM(B2396,E2396)</f>
        <v>2.0392536864028998</v>
      </c>
      <c r="P2396" s="7">
        <f>[1]!EM_S_VAL_PCF_NCFTTM(B2396,E2396)</f>
        <v>-7.1414674203810504</v>
      </c>
      <c r="Q2396" s="7">
        <f>[1]!EM_S_VAL_DIVIDENDYIELD2(B2396,E2396,"2019-11-29")</f>
        <v>1.9888741704165598</v>
      </c>
      <c r="T2396"/>
      <c r="U2396">
        <f>[1]!EM_S_RATIO_EPS_TTM(B2396,E2396,"1")</f>
        <v>0.4630934325954808</v>
      </c>
      <c r="AT2396" s="4" t="str">
        <f>[1]!EM_S_IPO_LISTEDDATE(B2396)</f>
        <v>2010-07-16</v>
      </c>
    </row>
    <row r="2397" spans="1:46">
      <c r="A2397">
        <v>2567</v>
      </c>
      <c r="B2397" t="str">
        <f>"600481"</f>
        <v>600481</v>
      </c>
      <c r="C2397" t="s">
        <v>3394</v>
      </c>
      <c r="D2397" t="str">
        <f>[1]!EM_S_INFO_INDEX_EM(B2397,"1")</f>
        <v>机械设备</v>
      </c>
      <c r="E2397" s="4">
        <f t="shared" si="37"/>
        <v>43465</v>
      </c>
      <c r="F2397" s="11">
        <f>[1]!EM_S_PQ_PCTCHANGE(B2397,"2018-01-01","2019-12-31","3")</f>
        <v>-13.25719307</v>
      </c>
      <c r="G2397" s="11">
        <f>[1]!EM_S_PQ_PCTCHANGE(B2397,"2018-12-31","2019-12-30","1")</f>
        <v>-1.5015015</v>
      </c>
      <c r="H2397" s="11">
        <f>[1]!EM_S_FA_YOY_OR(B2397,E2397)</f>
        <v>45.783072396100003</v>
      </c>
      <c r="I2397" s="11">
        <f>[1]!EM_S_FA_GROSSPROFITMARGIN(B2397,E2397)</f>
        <v>29.150277382100001</v>
      </c>
      <c r="J2397" s="11">
        <f>[1]!EM_S_FA_NETPROFITMARGIN(B2397,E2397)</f>
        <v>10.226888414599999</v>
      </c>
      <c r="K2397" s="10">
        <f>[1]!EM_S_FA_ASSETSTURN(B2397,E2397)</f>
        <v>0.64711539520700001</v>
      </c>
      <c r="L2397" s="12">
        <f>[1]!EM_HKS_VAL_MV(B2397,"2019-12-31","2")</f>
        <v>5435954882.5600004</v>
      </c>
      <c r="M2397">
        <f>[1]!EM_S_VAL_PETTMDEDUCTED(B2397,E2397)</f>
        <v>37.4288572412595</v>
      </c>
      <c r="N2397" s="7">
        <f>[1]!EM_S_VAL_PBGOODWILLDEDUCTED(B2397,E2397)</f>
        <v>2.42474057865111</v>
      </c>
      <c r="O2397" s="7">
        <f>[1]!EM_S_VAL_PS_TTM(B2397,E2397)</f>
        <v>2.3245830727615799</v>
      </c>
      <c r="P2397" s="7">
        <f>[1]!EM_S_VAL_PCF_NCFTTM(B2397,E2397)</f>
        <v>-37.966591192753299</v>
      </c>
      <c r="Q2397" s="7">
        <f>[1]!EM_S_VAL_DIVIDENDYIELD2(B2397,E2397,"2019-11-29")</f>
        <v>3.7976075122623603</v>
      </c>
      <c r="T2397"/>
      <c r="U2397">
        <f>[1]!EM_S_RATIO_EPS_TTM(B2397,E2397,"1")</f>
        <v>0.15379139869529362</v>
      </c>
      <c r="AT2397" s="4" t="str">
        <f>[1]!EM_S_IPO_LISTEDDATE(B2397)</f>
        <v>2003-04-22</v>
      </c>
    </row>
    <row r="2398" spans="1:46">
      <c r="A2398">
        <v>1428</v>
      </c>
      <c r="B2398" t="str">
        <f>"300002"</f>
        <v>300002</v>
      </c>
      <c r="C2398" t="s">
        <v>3360</v>
      </c>
      <c r="D2398" t="str">
        <f>[1]!EM_S_INFO_INDEX_EM(B2398,"1")</f>
        <v>信息技术</v>
      </c>
      <c r="E2398" s="4">
        <f t="shared" si="37"/>
        <v>43465</v>
      </c>
      <c r="F2398" s="11">
        <f>[1]!EM_S_PQ_PCTCHANGE(B2398,"2018-01-01","2019-12-31","3")</f>
        <v>-46.601146620000002</v>
      </c>
      <c r="G2398" s="11">
        <f>[1]!EM_S_PQ_PCTCHANGE(B2398,"2018-12-31","2019-12-30","1")</f>
        <v>-1.5151515200000001</v>
      </c>
      <c r="H2398" s="11">
        <f>[1]!EM_S_FA_YOY_OR(B2398,E2398)</f>
        <v>-0.34754539140000001</v>
      </c>
      <c r="I2398" s="11">
        <f>[1]!EM_S_FA_GROSSPROFITMARGIN(B2398,E2398)</f>
        <v>71.218917808300006</v>
      </c>
      <c r="J2398" s="11">
        <f>[1]!EM_S_FA_NETPROFITMARGIN(B2398,E2398)</f>
        <v>3.9041739858</v>
      </c>
      <c r="K2398" s="10">
        <f>[1]!EM_S_FA_ASSETSTURN(B2398,E2398)</f>
        <v>0.29786348942800001</v>
      </c>
      <c r="L2398" s="12">
        <f>[1]!EM_HKS_VAL_MV(B2398,"2019-12-31","2")</f>
        <v>6393159867.8400002</v>
      </c>
      <c r="M2398">
        <f>[1]!EM_S_VAL_PETTMDEDUCTED(B2398,E2398)</f>
        <v>3198.6126083243598</v>
      </c>
      <c r="N2398" s="7">
        <f>[1]!EM_S_VAL_PBGOODWILLDEDUCTED(B2398,E2398)</f>
        <v>2.02220343656768</v>
      </c>
      <c r="O2398" s="7">
        <f>[1]!EM_S_VAL_PS_TTM(B2398,E2398)</f>
        <v>4.5470778503034097</v>
      </c>
      <c r="P2398" s="7">
        <f>[1]!EM_S_VAL_PCF_NCFTTM(B2398,E2398)</f>
        <v>70.388391482707803</v>
      </c>
      <c r="Q2398" s="7">
        <f>[1]!EM_S_VAL_DIVIDENDYIELD2(B2398,E2398,"2019-11-29")</f>
        <v>0</v>
      </c>
      <c r="T2398"/>
      <c r="U2398">
        <f>[1]!EM_S_RATIO_EPS_TTM(B2398,E2398,"1")</f>
        <v>4.0919848214524136E-2</v>
      </c>
      <c r="AT2398" s="4" t="str">
        <f>[1]!EM_S_IPO_LISTEDDATE(B2398)</f>
        <v>2009-10-30</v>
      </c>
    </row>
    <row r="2399" spans="1:46">
      <c r="A2399">
        <v>2270</v>
      </c>
      <c r="B2399" t="str">
        <f>"600123"</f>
        <v>600123</v>
      </c>
      <c r="C2399" t="s">
        <v>1321</v>
      </c>
      <c r="D2399" t="str">
        <f>[1]!EM_S_INFO_INDEX_EM(B2399,"1")</f>
        <v>化石能源</v>
      </c>
      <c r="E2399" s="4">
        <f t="shared" si="37"/>
        <v>43465</v>
      </c>
      <c r="F2399" s="11">
        <f>[1]!EM_S_PQ_PCTCHANGE(B2399,"2018-01-01","2019-12-31","3")</f>
        <v>-24.656253169999999</v>
      </c>
      <c r="G2399" s="11">
        <f>[1]!EM_S_PQ_PCTCHANGE(B2399,"2018-12-31","2019-12-30","1")</f>
        <v>-1.5337423299999999</v>
      </c>
      <c r="H2399" s="11">
        <f>[1]!EM_S_FA_YOY_OR(B2399,E2399)</f>
        <v>12.7244244194</v>
      </c>
      <c r="I2399" s="11">
        <f>[1]!EM_S_FA_GROSSPROFITMARGIN(B2399,E2399)</f>
        <v>42.4593064695</v>
      </c>
      <c r="J2399" s="11">
        <f>[1]!EM_S_FA_NETPROFITMARGIN(B2399,E2399)</f>
        <v>10.810397656499999</v>
      </c>
      <c r="K2399" s="10">
        <f>[1]!EM_S_FA_ASSETSTURN(B2399,E2399)</f>
        <v>0.36394703569999998</v>
      </c>
      <c r="L2399" s="12">
        <f>[1]!EM_HKS_VAL_MV(B2399,"2019-12-31","2")</f>
        <v>7334208000</v>
      </c>
      <c r="M2399">
        <f>[1]!EM_S_VAL_PETTMDEDUCTED(B2399,E2399)</f>
        <v>7.5158193692845403</v>
      </c>
      <c r="N2399" s="7">
        <f>[1]!EM_S_VAL_PBGOODWILLDEDUCTED(B2399,E2399)</f>
        <v>0.73165199015473603</v>
      </c>
      <c r="O2399" s="7">
        <f>[1]!EM_S_VAL_PS_TTM(B2399,E2399)</f>
        <v>0.93675193803950196</v>
      </c>
      <c r="P2399" s="7">
        <f>[1]!EM_S_VAL_PCF_NCFTTM(B2399,E2399)</f>
        <v>-3.2207713213079998</v>
      </c>
      <c r="Q2399" s="7">
        <f>[1]!EM_S_VAL_DIVIDENDYIELD2(B2399,E2399,"2019-11-29")</f>
        <v>4.8701298701298708</v>
      </c>
      <c r="T2399"/>
      <c r="U2399">
        <f>[1]!EM_S_RATIO_EPS_TTM(B2399,E2399,"1")</f>
        <v>0.94598379523809528</v>
      </c>
      <c r="AT2399" s="4" t="str">
        <f>[1]!EM_S_IPO_LISTEDDATE(B2399)</f>
        <v>1998-12-17</v>
      </c>
    </row>
    <row r="2400" spans="1:46">
      <c r="A2400">
        <v>2283</v>
      </c>
      <c r="B2400" t="str">
        <f>"600138"</f>
        <v>600138</v>
      </c>
      <c r="C2400" t="s">
        <v>1553</v>
      </c>
      <c r="D2400" t="str">
        <f>[1]!EM_S_INFO_INDEX_EM(B2400,"1")</f>
        <v>休闲、生活及专业服务</v>
      </c>
      <c r="E2400" s="4">
        <f t="shared" si="37"/>
        <v>43465</v>
      </c>
      <c r="F2400" s="11">
        <f>[1]!EM_S_PQ_PCTCHANGE(B2400,"2018-01-01","2019-12-31","3")</f>
        <v>-38.647499510000003</v>
      </c>
      <c r="G2400" s="11">
        <f>[1]!EM_S_PQ_PCTCHANGE(B2400,"2018-12-31","2019-12-30","1")</f>
        <v>-1.5515903799999999</v>
      </c>
      <c r="H2400" s="11">
        <f>[1]!EM_S_FA_YOY_OR(B2400,E2400)</f>
        <v>11.3000723626</v>
      </c>
      <c r="I2400" s="11">
        <f>[1]!EM_S_FA_GROSSPROFITMARGIN(B2400,E2400)</f>
        <v>25.299123358599999</v>
      </c>
      <c r="J2400" s="11">
        <f>[1]!EM_S_FA_NETPROFITMARGIN(B2400,E2400)</f>
        <v>7.4834269437999996</v>
      </c>
      <c r="K2400" s="10">
        <f>[1]!EM_S_FA_ASSETSTURN(B2400,E2400)</f>
        <v>0.888267926529</v>
      </c>
      <c r="L2400" s="12">
        <f>[1]!EM_HKS_VAL_MV(B2400,"2019-12-31","2")</f>
        <v>9120384000</v>
      </c>
      <c r="M2400">
        <f>[1]!EM_S_VAL_PETTMDEDUCTED(B2400,E2400)</f>
        <v>18.368281031835899</v>
      </c>
      <c r="N2400" s="7">
        <f>[1]!EM_S_VAL_PBGOODWILLDEDUCTED(B2400,E2400)</f>
        <v>1.5365976880577299</v>
      </c>
      <c r="O2400" s="7">
        <f>[1]!EM_S_VAL_PS_TTM(B2400,E2400)</f>
        <v>0.76246602362705096</v>
      </c>
      <c r="P2400" s="7">
        <f>[1]!EM_S_VAL_PCF_NCFTTM(B2400,E2400)</f>
        <v>-32.147255225898398</v>
      </c>
      <c r="Q2400" s="7">
        <f>[1]!EM_S_VAL_DIVIDENDYIELD2(B2400,E2400,"2019-11-29")</f>
        <v>1.1965811965811963</v>
      </c>
      <c r="T2400"/>
      <c r="U2400">
        <f>[1]!EM_S_RATIO_EPS_TTM(B2400,E2400,"1")</f>
        <v>0.82535003775696292</v>
      </c>
      <c r="AT2400" s="4" t="str">
        <f>[1]!EM_S_IPO_LISTEDDATE(B2400)</f>
        <v>1997-12-03</v>
      </c>
    </row>
    <row r="2401" spans="1:46">
      <c r="A2401">
        <v>1850</v>
      </c>
      <c r="B2401" t="str">
        <f>"300425"</f>
        <v>300425</v>
      </c>
      <c r="C2401" t="s">
        <v>2473</v>
      </c>
      <c r="D2401" t="str">
        <f>[1]!EM_S_INFO_INDEX_EM(B2401,"1")</f>
        <v>公用事业</v>
      </c>
      <c r="E2401" s="4">
        <f t="shared" si="37"/>
        <v>43465</v>
      </c>
      <c r="F2401" s="11">
        <f>[1]!EM_S_PQ_PCTCHANGE(B2401,"2018-01-01","2019-12-31","3")</f>
        <v>-25.14322246</v>
      </c>
      <c r="G2401" s="11">
        <f>[1]!EM_S_PQ_PCTCHANGE(B2401,"2018-12-31","2019-12-30","1")</f>
        <v>-1.57657658</v>
      </c>
      <c r="H2401" s="11">
        <f>[1]!EM_S_FA_YOY_OR(B2401,E2401)</f>
        <v>46.173882611499998</v>
      </c>
      <c r="I2401" s="11">
        <f>[1]!EM_S_FA_GROSSPROFITMARGIN(B2401,E2401)</f>
        <v>41.215613158399997</v>
      </c>
      <c r="J2401" s="11">
        <f>[1]!EM_S_FA_NETPROFITMARGIN(B2401,E2401)</f>
        <v>12.274320472399999</v>
      </c>
      <c r="K2401" s="10">
        <f>[1]!EM_S_FA_ASSETSTURN(B2401,E2401)</f>
        <v>0.40391582103500001</v>
      </c>
      <c r="L2401" s="12">
        <f>[1]!EM_HKS_VAL_MV(B2401,"2019-12-31","2")</f>
        <v>2961196875.48</v>
      </c>
      <c r="M2401">
        <f>[1]!EM_S_VAL_PETTMDEDUCTED(B2401,E2401)</f>
        <v>23.026808044742101</v>
      </c>
      <c r="N2401" s="7">
        <f>[1]!EM_S_VAL_PBGOODWILLDEDUCTED(B2401,E2401)</f>
        <v>2.13528981738401</v>
      </c>
      <c r="O2401" s="7">
        <f>[1]!EM_S_VAL_PS_TTM(B2401,E2401)</f>
        <v>3.1833026853503101</v>
      </c>
      <c r="P2401" s="7">
        <f>[1]!EM_S_VAL_PCF_NCFTTM(B2401,E2401)</f>
        <v>-24.806369702347499</v>
      </c>
      <c r="Q2401" s="7">
        <f>[1]!EM_S_VAL_DIVIDENDYIELD2(B2401,E2401,"2019-11-29")</f>
        <v>1.1530622119815668</v>
      </c>
      <c r="T2401"/>
      <c r="U2401">
        <f>[1]!EM_S_RATIO_EPS_TTM(B2401,E2401,"1")</f>
        <v>0.20286945649075608</v>
      </c>
      <c r="AT2401" s="4" t="str">
        <f>[1]!EM_S_IPO_LISTEDDATE(B2401)</f>
        <v>2015-02-16</v>
      </c>
    </row>
    <row r="2402" spans="1:46">
      <c r="A2402">
        <v>2238</v>
      </c>
      <c r="B2402" t="str">
        <f>"600091"</f>
        <v>600091</v>
      </c>
      <c r="C2402" t="s">
        <v>3273</v>
      </c>
      <c r="D2402" t="str">
        <f>[1]!EM_S_INFO_INDEX_EM(B2402,"1")</f>
        <v>基础化工</v>
      </c>
      <c r="E2402" s="4">
        <f t="shared" si="37"/>
        <v>43465</v>
      </c>
      <c r="F2402" s="11">
        <f>[1]!EM_S_PQ_PCTCHANGE(B2402,"2018-01-01","2019-12-31","3")</f>
        <v>-34.446397189999999</v>
      </c>
      <c r="G2402" s="11">
        <f>[1]!EM_S_PQ_PCTCHANGE(B2402,"2018-12-31","2019-12-30","1")</f>
        <v>-1.5789473700000001</v>
      </c>
      <c r="H2402" s="11">
        <f>[1]!EM_S_FA_YOY_OR(B2402,E2402)</f>
        <v>-14.0932567692</v>
      </c>
      <c r="I2402" s="11">
        <f>[1]!EM_S_FA_GROSSPROFITMARGIN(B2402,E2402)</f>
        <v>6.7828605522999998</v>
      </c>
      <c r="J2402" s="11">
        <f>[1]!EM_S_FA_NETPROFITMARGIN(B2402,E2402)</f>
        <v>7.2286275331000001</v>
      </c>
      <c r="K2402" s="10">
        <f>[1]!EM_S_FA_ASSETSTURN(B2402,E2402)</f>
        <v>4.7181253797999999E-2</v>
      </c>
      <c r="L2402" s="12">
        <f>[1]!EM_HKS_VAL_MV(B2402,"2019-12-31","2")</f>
        <v>1631548714.52</v>
      </c>
      <c r="M2402">
        <f>[1]!EM_S_VAL_PETTMDEDUCTED(B2402,E2402)</f>
        <v>-25.3596412269168</v>
      </c>
      <c r="N2402" s="7">
        <f>[1]!EM_S_VAL_PBGOODWILLDEDUCTED(B2402,E2402)</f>
        <v>1.8488926616405901</v>
      </c>
      <c r="O2402" s="7">
        <f>[1]!EM_S_VAL_PS_TTM(B2402,E2402)</f>
        <v>23.164491674780599</v>
      </c>
      <c r="P2402" s="7">
        <f>[1]!EM_S_VAL_PCF_NCFTTM(B2402,E2402)</f>
        <v>-63.027781815638299</v>
      </c>
      <c r="Q2402" s="7">
        <f>[1]!EM_S_VAL_DIVIDENDYIELD2(B2402,E2402,"2019-11-29")</f>
        <v>0</v>
      </c>
      <c r="T2402"/>
      <c r="U2402">
        <f>[1]!EM_S_RATIO_EPS_TTM(B2402,E2402,"1")</f>
        <v>9.2956368117159804E-3</v>
      </c>
      <c r="AT2402" s="4" t="str">
        <f>[1]!EM_S_IPO_LISTEDDATE(B2402)</f>
        <v>1997-07-04</v>
      </c>
    </row>
    <row r="2403" spans="1:46">
      <c r="A2403">
        <v>188</v>
      </c>
      <c r="B2403" t="str">
        <f>"000584"</f>
        <v>000584</v>
      </c>
      <c r="C2403" t="s">
        <v>1572</v>
      </c>
      <c r="D2403" t="str">
        <f>[1]!EM_S_INFO_INDEX_EM(B2403,"1")</f>
        <v>机械设备</v>
      </c>
      <c r="E2403" s="4">
        <f t="shared" si="37"/>
        <v>43465</v>
      </c>
      <c r="F2403" s="11">
        <f>[1]!EM_S_PQ_PCTCHANGE(B2403,"2018-01-01","2019-12-31","3")</f>
        <v>-57.257220179999997</v>
      </c>
      <c r="G2403" s="11">
        <f>[1]!EM_S_PQ_PCTCHANGE(B2403,"2018-12-31","2019-12-30","1")</f>
        <v>-1.5923566899999999</v>
      </c>
      <c r="H2403" s="11">
        <f>[1]!EM_S_FA_YOY_OR(B2403,E2403)</f>
        <v>51.599222689999998</v>
      </c>
      <c r="I2403" s="11">
        <f>[1]!EM_S_FA_GROSSPROFITMARGIN(B2403,E2403)</f>
        <v>32.193856272799998</v>
      </c>
      <c r="J2403" s="11">
        <f>[1]!EM_S_FA_NETPROFITMARGIN(B2403,E2403)</f>
        <v>5.0095040801000001</v>
      </c>
      <c r="K2403" s="10">
        <f>[1]!EM_S_FA_ASSETSTURN(B2403,E2403)</f>
        <v>0.58323672601999998</v>
      </c>
      <c r="L2403" s="12">
        <f>[1]!EM_HKS_VAL_MV(B2403,"2019-12-31","2")</f>
        <v>3845543605.5300002</v>
      </c>
      <c r="M2403">
        <f>[1]!EM_S_VAL_PETTMDEDUCTED(B2403,E2403)</f>
        <v>58.913758450216498</v>
      </c>
      <c r="N2403" s="7">
        <f>[1]!EM_S_VAL_PBGOODWILLDEDUCTED(B2403,E2403)</f>
        <v>5.1120942364800097</v>
      </c>
      <c r="O2403" s="7">
        <f>[1]!EM_S_VAL_PS_TTM(B2403,E2403)</f>
        <v>1.58020485182002</v>
      </c>
      <c r="P2403" s="7">
        <f>[1]!EM_S_VAL_PCF_NCFTTM(B2403,E2403)</f>
        <v>13.603726203744699</v>
      </c>
      <c r="Q2403" s="7">
        <f>[1]!EM_S_VAL_DIVIDENDYIELD2(B2403,E2403,"2019-11-29")</f>
        <v>0.33898305084745761</v>
      </c>
      <c r="T2403"/>
      <c r="U2403">
        <f>[1]!EM_S_RATIO_EPS_TTM(B2403,E2403,"1")</f>
        <v>0.19622411206805213</v>
      </c>
      <c r="AT2403" s="4" t="str">
        <f>[1]!EM_S_IPO_LISTEDDATE(B2403)</f>
        <v>1995-11-28</v>
      </c>
    </row>
    <row r="2404" spans="1:46">
      <c r="A2404">
        <v>3372</v>
      </c>
      <c r="B2404" t="str">
        <f>"603348"</f>
        <v>603348</v>
      </c>
      <c r="C2404" t="s">
        <v>576</v>
      </c>
      <c r="D2404" t="str">
        <f>[1]!EM_S_INFO_INDEX_EM(B2404,"1")</f>
        <v>交运设备</v>
      </c>
      <c r="E2404" s="4">
        <f t="shared" si="37"/>
        <v>43465</v>
      </c>
      <c r="F2404" s="11">
        <f>[1]!EM_S_PQ_PCTCHANGE(B2404,"2018-01-01","2019-12-31","3")</f>
        <v>61.907726930000003</v>
      </c>
      <c r="G2404" s="11">
        <f>[1]!EM_S_PQ_PCTCHANGE(B2404,"2018-12-31","2019-12-30","1")</f>
        <v>-1.60071143</v>
      </c>
      <c r="H2404" s="11">
        <f>[1]!EM_S_FA_YOY_OR(B2404,E2404)</f>
        <v>4.0503214825000002</v>
      </c>
      <c r="I2404" s="11">
        <f>[1]!EM_S_FA_GROSSPROFITMARGIN(B2404,E2404)</f>
        <v>27.534703071300001</v>
      </c>
      <c r="J2404" s="11">
        <f>[1]!EM_S_FA_NETPROFITMARGIN(B2404,E2404)</f>
        <v>7.7298764685999997</v>
      </c>
      <c r="K2404" s="10">
        <f>[1]!EM_S_FA_ASSETSTURN(B2404,E2404)</f>
        <v>0.62093160652299995</v>
      </c>
      <c r="L2404" s="12">
        <f>[1]!EM_HKS_VAL_MV(B2404,"2019-12-31","2")</f>
        <v>5379434660.04</v>
      </c>
      <c r="M2404">
        <f>[1]!EM_S_VAL_PETTMDEDUCTED(B2404,E2404)</f>
        <v>31.3761129891728</v>
      </c>
      <c r="N2404" s="7">
        <f>[1]!EM_S_VAL_PBGOODWILLDEDUCTED(B2404,E2404)</f>
        <v>2.4252422441512902</v>
      </c>
      <c r="O2404" s="7">
        <f>[1]!EM_S_VAL_PS_TTM(B2404,E2404)</f>
        <v>2.93582819256009</v>
      </c>
      <c r="P2404" s="7">
        <f>[1]!EM_S_VAL_PCF_NCFTTM(B2404,E2404)</f>
        <v>22.0942831368051</v>
      </c>
      <c r="Q2404" s="7">
        <f>[1]!EM_S_VAL_DIVIDENDYIELD2(B2404,E2404,"2019-11-29")</f>
        <v>1.7152658662092626</v>
      </c>
      <c r="T2404"/>
      <c r="U2404">
        <f>[1]!EM_S_RATIO_EPS_TTM(B2404,E2404,"1")</f>
        <v>0.56925718749999998</v>
      </c>
      <c r="AT2404" s="4" t="str">
        <f>[1]!EM_S_IPO_LISTEDDATE(B2404)</f>
        <v>2018-04-26</v>
      </c>
    </row>
    <row r="2405" spans="1:46">
      <c r="A2405">
        <v>2796</v>
      </c>
      <c r="B2405" t="str">
        <f>"600723"</f>
        <v>600723</v>
      </c>
      <c r="C2405" t="s">
        <v>1112</v>
      </c>
      <c r="D2405" t="str">
        <f>[1]!EM_S_INFO_INDEX_EM(B2405,"1")</f>
        <v>商贸零售</v>
      </c>
      <c r="E2405" s="4">
        <f t="shared" si="37"/>
        <v>43465</v>
      </c>
      <c r="F2405" s="11">
        <f>[1]!EM_S_PQ_PCTCHANGE(B2405,"2018-01-01","2019-12-31","3")</f>
        <v>-21.482779820000001</v>
      </c>
      <c r="G2405" s="11">
        <f>[1]!EM_S_PQ_PCTCHANGE(B2405,"2018-12-31","2019-12-30","1")</f>
        <v>-1.61030596</v>
      </c>
      <c r="H2405" s="11">
        <f>[1]!EM_S_FA_YOY_OR(B2405,E2405)</f>
        <v>-1.3505215590999999</v>
      </c>
      <c r="I2405" s="11">
        <f>[1]!EM_S_FA_GROSSPROFITMARGIN(B2405,E2405)</f>
        <v>23.850625002099999</v>
      </c>
      <c r="J2405" s="11">
        <f>[1]!EM_S_FA_NETPROFITMARGIN(B2405,E2405)</f>
        <v>4.7035230791</v>
      </c>
      <c r="K2405" s="10">
        <f>[1]!EM_S_FA_ASSETSTURN(B2405,E2405)</f>
        <v>1.4754398140630001</v>
      </c>
      <c r="L2405" s="12">
        <f>[1]!EM_HKS_VAL_MV(B2405,"2019-12-31","2")</f>
        <v>4029454230.48</v>
      </c>
      <c r="M2405">
        <f>[1]!EM_S_VAL_PETTMDEDUCTED(B2405,E2405)</f>
        <v>12.741519468248001</v>
      </c>
      <c r="N2405" s="7">
        <f>[1]!EM_S_VAL_PBGOODWILLDEDUCTED(B2405,E2405)</f>
        <v>1.02640641542682</v>
      </c>
      <c r="O2405" s="7">
        <f>[1]!EM_S_VAL_PS_TTM(B2405,E2405)</f>
        <v>0.40313900858755097</v>
      </c>
      <c r="P2405" s="7">
        <f>[1]!EM_S_VAL_PCF_NCFTTM(B2405,E2405)</f>
        <v>40.714714853695</v>
      </c>
      <c r="Q2405" s="7">
        <f>[1]!EM_S_VAL_DIVIDENDYIELD2(B2405,E2405,"2019-11-29")</f>
        <v>2.8911564625850339</v>
      </c>
      <c r="T2405"/>
      <c r="U2405">
        <f>[1]!EM_S_RATIO_EPS_TTM(B2405,E2405,"1")</f>
        <v>0.55283060297330666</v>
      </c>
      <c r="AT2405" s="4" t="str">
        <f>[1]!EM_S_IPO_LISTEDDATE(B2405)</f>
        <v>1996-07-16</v>
      </c>
    </row>
    <row r="2406" spans="1:46">
      <c r="A2406">
        <v>1352</v>
      </c>
      <c r="B2406" t="str">
        <f>"002851"</f>
        <v>002851</v>
      </c>
      <c r="C2406" t="s">
        <v>1491</v>
      </c>
      <c r="D2406" t="str">
        <f>[1]!EM_S_INFO_INDEX_EM(B2406,"1")</f>
        <v>电气设备</v>
      </c>
      <c r="E2406" s="4">
        <f t="shared" si="37"/>
        <v>43465</v>
      </c>
      <c r="F2406" s="11">
        <f>[1]!EM_S_PQ_PCTCHANGE(B2406,"2018-01-01","2019-12-31","3")</f>
        <v>36.891679099999998</v>
      </c>
      <c r="G2406" s="11">
        <f>[1]!EM_S_PQ_PCTCHANGE(B2406,"2018-12-31","2019-12-30","1")</f>
        <v>-1.6509434000000001</v>
      </c>
      <c r="H2406" s="11">
        <f>[1]!EM_S_FA_YOY_OR(B2406,E2406)</f>
        <v>60.169675331900002</v>
      </c>
      <c r="I2406" s="11">
        <f>[1]!EM_S_FA_GROSSPROFITMARGIN(B2406,E2406)</f>
        <v>29.485539466500001</v>
      </c>
      <c r="J2406" s="11">
        <f>[1]!EM_S_FA_NETPROFITMARGIN(B2406,E2406)</f>
        <v>10.7607302509</v>
      </c>
      <c r="K2406" s="10">
        <f>[1]!EM_S_FA_ASSETSTURN(B2406,E2406)</f>
        <v>0.87309361120499995</v>
      </c>
      <c r="L2406" s="12">
        <f>[1]!EM_HKS_VAL_MV(B2406,"2019-12-31","2")</f>
        <v>9727163668.3199997</v>
      </c>
      <c r="M2406">
        <f>[1]!EM_S_VAL_PETTMDEDUCTED(B2406,E2406)</f>
        <v>51.334918051801303</v>
      </c>
      <c r="N2406" s="7">
        <f>[1]!EM_S_VAL_PBGOODWILLDEDUCTED(B2406,E2406)</f>
        <v>4.1467092343522003</v>
      </c>
      <c r="O2406" s="7">
        <f>[1]!EM_S_VAL_PS_TTM(B2406,E2406)</f>
        <v>3.1879048648931501</v>
      </c>
      <c r="P2406" s="7">
        <f>[1]!EM_S_VAL_PCF_NCFTTM(B2406,E2406)</f>
        <v>773.28893477671795</v>
      </c>
      <c r="Q2406" s="7">
        <f>[1]!EM_S_VAL_DIVIDENDYIELD2(B2406,E2406,"2019-11-29")</f>
        <v>0.44765840220385678</v>
      </c>
      <c r="T2406"/>
      <c r="U2406">
        <f>[1]!EM_S_RATIO_EPS_TTM(B2406,E2406,"1")</f>
        <v>0.64574421438935758</v>
      </c>
      <c r="AT2406" s="4" t="str">
        <f>[1]!EM_S_IPO_LISTEDDATE(B2406)</f>
        <v>2017-03-06</v>
      </c>
    </row>
    <row r="2407" spans="1:46">
      <c r="A2407">
        <v>380</v>
      </c>
      <c r="B2407" t="str">
        <f>"000825"</f>
        <v>000825</v>
      </c>
      <c r="C2407" t="s">
        <v>264</v>
      </c>
      <c r="D2407" t="str">
        <f>[1]!EM_S_INFO_INDEX_EM(B2407,"1")</f>
        <v>钢铁</v>
      </c>
      <c r="E2407" s="4">
        <f t="shared" si="37"/>
        <v>43465</v>
      </c>
      <c r="F2407" s="11">
        <f>[1]!EM_S_PQ_PCTCHANGE(B2407,"2018-01-01","2019-12-31","3")</f>
        <v>-12.01966007</v>
      </c>
      <c r="G2407" s="11">
        <f>[1]!EM_S_PQ_PCTCHANGE(B2407,"2018-12-31","2019-12-30","1")</f>
        <v>-1.6908212600000001</v>
      </c>
      <c r="H2407" s="11">
        <f>[1]!EM_S_FA_YOY_OR(B2407,E2407)</f>
        <v>7.6064348034</v>
      </c>
      <c r="I2407" s="11">
        <f>[1]!EM_S_FA_GROSSPROFITMARGIN(B2407,E2407)</f>
        <v>16.052309357199999</v>
      </c>
      <c r="J2407" s="11">
        <f>[1]!EM_S_FA_NETPROFITMARGIN(B2407,E2407)</f>
        <v>6.7306143162999996</v>
      </c>
      <c r="K2407" s="10">
        <f>[1]!EM_S_FA_ASSETSTURN(B2407,E2407)</f>
        <v>0.99708081250900005</v>
      </c>
      <c r="L2407" s="12">
        <f>[1]!EM_HKS_VAL_MV(B2407,"2019-12-31","2")</f>
        <v>23297653485.639999</v>
      </c>
      <c r="M2407">
        <f>[1]!EM_S_VAL_PETTMDEDUCTED(B2407,E2407)</f>
        <v>3.5716482060114201</v>
      </c>
      <c r="N2407" s="7">
        <f>[1]!EM_S_VAL_PBGOODWILLDEDUCTED(B2407,E2407)</f>
        <v>0.77413275875618104</v>
      </c>
      <c r="O2407" s="7">
        <f>[1]!EM_S_VAL_PS_TTM(B2407,E2407)</f>
        <v>0.324619140364034</v>
      </c>
      <c r="P2407" s="7">
        <f>[1]!EM_S_VAL_PCF_NCFTTM(B2407,E2407)</f>
        <v>-1613.5506536064599</v>
      </c>
      <c r="Q2407" s="7">
        <f>[1]!EM_S_VAL_DIVIDENDYIELD2(B2407,E2407,"2019-11-29")</f>
        <v>2.5445292620865141</v>
      </c>
      <c r="T2407"/>
      <c r="U2407">
        <f>[1]!EM_S_RATIO_EPS_TTM(B2407,E2407,"1")</f>
        <v>0.87378029960268255</v>
      </c>
      <c r="AT2407" s="4" t="str">
        <f>[1]!EM_S_IPO_LISTEDDATE(B2407)</f>
        <v>1998-10-21</v>
      </c>
    </row>
    <row r="2408" spans="1:46">
      <c r="A2408">
        <v>2566</v>
      </c>
      <c r="B2408" t="str">
        <f>"600480"</f>
        <v>600480</v>
      </c>
      <c r="C2408" t="s">
        <v>1543</v>
      </c>
      <c r="D2408" t="str">
        <f>[1]!EM_S_INFO_INDEX_EM(B2408,"1")</f>
        <v>交运设备</v>
      </c>
      <c r="E2408" s="4">
        <f t="shared" si="37"/>
        <v>43465</v>
      </c>
      <c r="F2408" s="11">
        <f>[1]!EM_S_PQ_PCTCHANGE(B2408,"2018-01-01","2019-12-31","3")</f>
        <v>-47.714512239999998</v>
      </c>
      <c r="G2408" s="11">
        <f>[1]!EM_S_PQ_PCTCHANGE(B2408,"2018-12-31","2019-12-30","1")</f>
        <v>-1.7038007900000001</v>
      </c>
      <c r="H2408" s="11">
        <f>[1]!EM_S_FA_YOY_OR(B2408,E2408)</f>
        <v>3.4350266069000002</v>
      </c>
      <c r="I2408" s="11">
        <f>[1]!EM_S_FA_GROSSPROFITMARGIN(B2408,E2408)</f>
        <v>19.063975742499998</v>
      </c>
      <c r="J2408" s="11">
        <f>[1]!EM_S_FA_NETPROFITMARGIN(B2408,E2408)</f>
        <v>4.5245270583000003</v>
      </c>
      <c r="K2408" s="10">
        <f>[1]!EM_S_FA_ASSETSTURN(B2408,E2408)</f>
        <v>0.97526623316000005</v>
      </c>
      <c r="L2408" s="12">
        <f>[1]!EM_HKS_VAL_MV(B2408,"2019-12-31","2")</f>
        <v>4212331952.6399999</v>
      </c>
      <c r="M2408">
        <f>[1]!EM_S_VAL_PETTMDEDUCTED(B2408,E2408)</f>
        <v>17.393854405397299</v>
      </c>
      <c r="N2408" s="7">
        <f>[1]!EM_S_VAL_PBGOODWILLDEDUCTED(B2408,E2408)</f>
        <v>0.87743207928645095</v>
      </c>
      <c r="O2408" s="7">
        <f>[1]!EM_S_VAL_PS_TTM(B2408,E2408)</f>
        <v>0.27973991467665299</v>
      </c>
      <c r="P2408" s="7">
        <f>[1]!EM_S_VAL_PCF_NCFTTM(B2408,E2408)</f>
        <v>17.476910733566001</v>
      </c>
      <c r="Q2408" s="7">
        <f>[1]!EM_S_VAL_DIVIDENDYIELD2(B2408,E2408,"2019-11-29")</f>
        <v>0</v>
      </c>
      <c r="T2408"/>
      <c r="U2408">
        <f>[1]!EM_S_RATIO_EPS_TTM(B2408,E2408,"1")</f>
        <v>0.59779466980980722</v>
      </c>
      <c r="AT2408" s="4" t="str">
        <f>[1]!EM_S_IPO_LISTEDDATE(B2408)</f>
        <v>2003-08-15</v>
      </c>
    </row>
    <row r="2409" spans="1:46">
      <c r="A2409">
        <v>1400</v>
      </c>
      <c r="B2409" t="str">
        <f>"002902"</f>
        <v>002902</v>
      </c>
      <c r="C2409" t="s">
        <v>2461</v>
      </c>
      <c r="D2409" t="str">
        <f>[1]!EM_S_INFO_INDEX_EM(B2409,"1")</f>
        <v>电子设备</v>
      </c>
      <c r="E2409" s="4">
        <f t="shared" si="37"/>
        <v>43465</v>
      </c>
      <c r="F2409" s="11">
        <f>[1]!EM_S_PQ_PCTCHANGE(B2409,"2018-01-01","2019-12-31","3")</f>
        <v>-17.719446250000001</v>
      </c>
      <c r="G2409" s="11">
        <f>[1]!EM_S_PQ_PCTCHANGE(B2409,"2018-12-31","2019-12-30","1")</f>
        <v>-1.7751479299999999</v>
      </c>
      <c r="H2409" s="11">
        <f>[1]!EM_S_FA_YOY_OR(B2409,E2409)</f>
        <v>6.2641102084</v>
      </c>
      <c r="I2409" s="11">
        <f>[1]!EM_S_FA_GROSSPROFITMARGIN(B2409,E2409)</f>
        <v>13.7585603255</v>
      </c>
      <c r="J2409" s="11">
        <f>[1]!EM_S_FA_NETPROFITMARGIN(B2409,E2409)</f>
        <v>1.5827965769000001</v>
      </c>
      <c r="K2409" s="10">
        <f>[1]!EM_S_FA_ASSETSTURN(B2409,E2409)</f>
        <v>0.92290933201699998</v>
      </c>
      <c r="L2409" s="12">
        <f>[1]!EM_HKS_VAL_MV(B2409,"2019-12-31","2")</f>
        <v>4872000000</v>
      </c>
      <c r="M2409">
        <f>[1]!EM_S_VAL_PETTMDEDUCTED(B2409,E2409)</f>
        <v>128.94992151705401</v>
      </c>
      <c r="N2409" s="7">
        <f>[1]!EM_S_VAL_PBGOODWILLDEDUCTED(B2409,E2409)</f>
        <v>3.1564142510992999</v>
      </c>
      <c r="O2409" s="7">
        <f>[1]!EM_S_VAL_PS_TTM(B2409,E2409)</f>
        <v>2.1267627929647999</v>
      </c>
      <c r="P2409" s="7">
        <f>[1]!EM_S_VAL_PCF_NCFTTM(B2409,E2409)</f>
        <v>-9.1352545905559399</v>
      </c>
      <c r="Q2409" s="7">
        <f>[1]!EM_S_VAL_DIVIDENDYIELD2(B2409,E2409,"2019-11-29")</f>
        <v>0.15686274509803921</v>
      </c>
      <c r="T2409"/>
      <c r="U2409">
        <f>[1]!EM_S_RATIO_EPS_TTM(B2409,E2409,"1")</f>
        <v>0.18397170835714288</v>
      </c>
      <c r="AT2409" s="4" t="str">
        <f>[1]!EM_S_IPO_LISTEDDATE(B2409)</f>
        <v>2017-09-29</v>
      </c>
    </row>
    <row r="2410" spans="1:46">
      <c r="A2410">
        <v>2200</v>
      </c>
      <c r="B2410" t="str">
        <f>"600053"</f>
        <v>600053</v>
      </c>
      <c r="C2410" t="s">
        <v>1176</v>
      </c>
      <c r="D2410" t="str">
        <f>[1]!EM_S_INFO_INDEX_EM(B2410,"1")</f>
        <v>金融</v>
      </c>
      <c r="E2410" s="4">
        <f t="shared" si="37"/>
        <v>43465</v>
      </c>
      <c r="F2410" s="11">
        <f>[1]!EM_S_PQ_PCTCHANGE(B2410,"2018-01-01","2019-12-31","3")</f>
        <v>9.7503311299999993</v>
      </c>
      <c r="G2410" s="11">
        <f>[1]!EM_S_PQ_PCTCHANGE(B2410,"2018-12-31","2019-12-30","1")</f>
        <v>-1.78419711</v>
      </c>
      <c r="H2410" s="11">
        <f>[1]!EM_S_FA_YOY_OR(B2410,E2410)</f>
        <v>7.8231464838999996</v>
      </c>
      <c r="I2410" s="11">
        <f>[1]!EM_S_FA_GROSSPROFITMARGIN(B2410,E2410)</f>
        <v>93.117639278599995</v>
      </c>
      <c r="J2410" s="11">
        <f>[1]!EM_S_FA_NETPROFITMARGIN(B2410,E2410)</f>
        <v>40.370776187899999</v>
      </c>
      <c r="K2410" s="10">
        <f>[1]!EM_S_FA_ASSETSTURN(B2410,E2410)</f>
        <v>0.15262997090899999</v>
      </c>
      <c r="L2410" s="12">
        <f>[1]!EM_HKS_VAL_MV(B2410,"2019-12-31","2")</f>
        <v>11024942544</v>
      </c>
      <c r="M2410">
        <f>[1]!EM_S_VAL_PETTMDEDUCTED(B2410,E2410)</f>
        <v>30.663091523198201</v>
      </c>
      <c r="N2410" s="7">
        <f>[1]!EM_S_VAL_PBGOODWILLDEDUCTED(B2410,E2410)</f>
        <v>4.7116082901415002</v>
      </c>
      <c r="O2410" s="7">
        <f>[1]!EM_S_VAL_PS_TTM(B2410,E2410)</f>
        <v>11.390457749225</v>
      </c>
      <c r="P2410" s="7">
        <f>[1]!EM_S_VAL_PCF_NCFTTM(B2410,E2410)</f>
        <v>22.059262183873901</v>
      </c>
      <c r="Q2410" s="7">
        <f>[1]!EM_S_VAL_DIVIDENDYIELD2(B2410,E2410,"2019-11-29")</f>
        <v>3.722334004024145</v>
      </c>
      <c r="T2410"/>
      <c r="U2410">
        <f>[1]!EM_S_RATIO_EPS_TTM(B2410,E2410,"1")</f>
        <v>0.65554900230843316</v>
      </c>
      <c r="AT2410" s="4" t="str">
        <f>[1]!EM_S_IPO_LISTEDDATE(B2410)</f>
        <v>1997-04-18</v>
      </c>
    </row>
    <row r="2411" spans="1:46">
      <c r="A2411">
        <v>2180</v>
      </c>
      <c r="B2411" t="str">
        <f>"600021"</f>
        <v>600021</v>
      </c>
      <c r="C2411" t="s">
        <v>2535</v>
      </c>
      <c r="D2411" t="str">
        <f>[1]!EM_S_INFO_INDEX_EM(B2411,"1")</f>
        <v>公用事业</v>
      </c>
      <c r="E2411" s="4">
        <f t="shared" si="37"/>
        <v>43465</v>
      </c>
      <c r="F2411" s="11">
        <f>[1]!EM_S_PQ_PCTCHANGE(B2411,"2018-01-01","2019-12-31","3")</f>
        <v>-6.2485042999999996</v>
      </c>
      <c r="G2411" s="11">
        <f>[1]!EM_S_PQ_PCTCHANGE(B2411,"2018-12-31","2019-12-30","1")</f>
        <v>-1.8518518500000001</v>
      </c>
      <c r="H2411" s="11">
        <f>[1]!EM_S_FA_YOY_OR(B2411,E2411)</f>
        <v>18.536790652499999</v>
      </c>
      <c r="I2411" s="11">
        <f>[1]!EM_S_FA_GROSSPROFITMARGIN(B2411,E2411)</f>
        <v>21.4445150158</v>
      </c>
      <c r="J2411" s="11">
        <f>[1]!EM_S_FA_NETPROFITMARGIN(B2411,E2411)</f>
        <v>15.1159878722</v>
      </c>
      <c r="K2411" s="10">
        <f>[1]!EM_S_FA_ASSETSTURN(B2411,E2411)</f>
        <v>0.25145699815200001</v>
      </c>
      <c r="L2411" s="12">
        <f>[1]!EM_HKS_VAL_MV(B2411,"2019-12-31","2")</f>
        <v>21068171785.849998</v>
      </c>
      <c r="M2411">
        <f>[1]!EM_S_VAL_PETTMDEDUCTED(B2411,E2411)</f>
        <v>36.693225432480702</v>
      </c>
      <c r="N2411" s="7">
        <f>[1]!EM_S_VAL_PBGOODWILLDEDUCTED(B2411,E2411)</f>
        <v>1.3336200630928301</v>
      </c>
      <c r="O2411" s="7">
        <f>[1]!EM_S_VAL_PS_TTM(B2411,E2411)</f>
        <v>1.0219190042764199</v>
      </c>
      <c r="P2411" s="7">
        <f>[1]!EM_S_VAL_PCF_NCFTTM(B2411,E2411)</f>
        <v>37.603455448802002</v>
      </c>
      <c r="Q2411" s="7">
        <f>[1]!EM_S_VAL_DIVIDENDYIELD2(B2411,E2411,"2019-11-29")</f>
        <v>4.4776119402985071</v>
      </c>
      <c r="T2411"/>
      <c r="U2411">
        <f>[1]!EM_S_RATIO_EPS_TTM(B2411,E2411,"1")</f>
        <v>1.0580427833164339</v>
      </c>
      <c r="AT2411" s="4" t="str">
        <f>[1]!EM_S_IPO_LISTEDDATE(B2411)</f>
        <v>2003-10-29</v>
      </c>
    </row>
    <row r="2412" spans="1:46">
      <c r="A2412">
        <v>2690</v>
      </c>
      <c r="B2412" t="str">
        <f>"600617"</f>
        <v>600617</v>
      </c>
      <c r="C2412" t="s">
        <v>2410</v>
      </c>
      <c r="D2412" t="str">
        <f>[1]!EM_S_INFO_INDEX_EM(B2412,"1")</f>
        <v>公用事业</v>
      </c>
      <c r="E2412" s="4">
        <f t="shared" si="37"/>
        <v>43465</v>
      </c>
      <c r="F2412" s="11">
        <f>[1]!EM_S_PQ_PCTCHANGE(B2412,"2018-01-01","2019-12-31","3")</f>
        <v>-42.049190979999999</v>
      </c>
      <c r="G2412" s="11">
        <f>[1]!EM_S_PQ_PCTCHANGE(B2412,"2018-12-31","2019-12-30","1")</f>
        <v>-1.8556701</v>
      </c>
      <c r="H2412" s="11">
        <f>[1]!EM_S_FA_YOY_OR(B2412,E2412)</f>
        <v>15.416874910900001</v>
      </c>
      <c r="I2412" s="11">
        <f>[1]!EM_S_FA_GROSSPROFITMARGIN(B2412,E2412)</f>
        <v>17.316769023999999</v>
      </c>
      <c r="J2412" s="11">
        <f>[1]!EM_S_FA_NETPROFITMARGIN(B2412,E2412)</f>
        <v>0.2209202831</v>
      </c>
      <c r="K2412" s="10">
        <f>[1]!EM_S_FA_ASSETSTURN(B2412,E2412)</f>
        <v>0.40845290949000002</v>
      </c>
      <c r="L2412" s="12">
        <f>[1]!EM_HKS_VAL_MV(B2412,"2019-12-31","2")</f>
        <v>5173845810.8400002</v>
      </c>
      <c r="M2412">
        <f>[1]!EM_S_VAL_PETTMDEDUCTED(B2412,E2412)</f>
        <v>-28.409708166421701</v>
      </c>
      <c r="N2412" s="7">
        <f>[1]!EM_S_VAL_PBGOODWILLDEDUCTED(B2412,E2412)</f>
        <v>1.4044815885008599</v>
      </c>
      <c r="O2412" s="7">
        <f>[1]!EM_S_VAL_PS_TTM(B2412,E2412)</f>
        <v>0.53452356749763397</v>
      </c>
      <c r="P2412" s="7">
        <f>[1]!EM_S_VAL_PCF_NCFTTM(B2412,E2412)</f>
        <v>6.1823366621436504</v>
      </c>
      <c r="Q2412" s="7">
        <f>[1]!EM_S_VAL_DIVIDENDYIELD2(B2412,E2412,"2019-11-29")</f>
        <v>0.41067761806981523</v>
      </c>
      <c r="T2412"/>
      <c r="U2412">
        <f>[1]!EM_S_RATIO_EPS_TTM(B2412,E2412,"1")</f>
        <v>4.2170077404969503E-2</v>
      </c>
      <c r="AT2412" s="4" t="str">
        <f>[1]!EM_S_IPO_LISTEDDATE(B2412)</f>
        <v>1992-10-13</v>
      </c>
    </row>
    <row r="2413" spans="1:46">
      <c r="A2413">
        <v>875</v>
      </c>
      <c r="B2413" t="str">
        <f>"002364"</f>
        <v>002364</v>
      </c>
      <c r="C2413" t="s">
        <v>2713</v>
      </c>
      <c r="D2413" t="str">
        <f>[1]!EM_S_INFO_INDEX_EM(B2413,"1")</f>
        <v>电气设备</v>
      </c>
      <c r="E2413" s="4">
        <f t="shared" si="37"/>
        <v>43465</v>
      </c>
      <c r="F2413" s="11">
        <f>[1]!EM_S_PQ_PCTCHANGE(B2413,"2018-01-01","2019-12-31","3")</f>
        <v>10.694731920000001</v>
      </c>
      <c r="G2413" s="11">
        <f>[1]!EM_S_PQ_PCTCHANGE(B2413,"2018-12-31","2019-12-30","1")</f>
        <v>-1.8707483</v>
      </c>
      <c r="H2413" s="11">
        <f>[1]!EM_S_FA_YOY_OR(B2413,E2413)</f>
        <v>13.621040647099999</v>
      </c>
      <c r="I2413" s="11">
        <f>[1]!EM_S_FA_GROSSPROFITMARGIN(B2413,E2413)</f>
        <v>33.198784508400003</v>
      </c>
      <c r="J2413" s="11">
        <f>[1]!EM_S_FA_NETPROFITMARGIN(B2413,E2413)</f>
        <v>7.2203152331</v>
      </c>
      <c r="K2413" s="10">
        <f>[1]!EM_S_FA_ASSETSTURN(B2413,E2413)</f>
        <v>0.37702800708799999</v>
      </c>
      <c r="L2413" s="12">
        <f>[1]!EM_HKS_VAL_MV(B2413,"2019-12-31","2")</f>
        <v>6520446587.1999998</v>
      </c>
      <c r="M2413">
        <f>[1]!EM_S_VAL_PETTMDEDUCTED(B2413,E2413)</f>
        <v>170.66716889200001</v>
      </c>
      <c r="N2413" s="7">
        <f>[1]!EM_S_VAL_PBGOODWILLDEDUCTED(B2413,E2413)</f>
        <v>3.0849504432635699</v>
      </c>
      <c r="O2413" s="7">
        <f>[1]!EM_S_VAL_PS_TTM(B2413,E2413)</f>
        <v>7.3824300751771803</v>
      </c>
      <c r="P2413" s="7">
        <f>[1]!EM_S_VAL_PCF_NCFTTM(B2413,E2413)</f>
        <v>23.038085239852499</v>
      </c>
      <c r="Q2413" s="7">
        <f>[1]!EM_S_VAL_DIVIDENDYIELD2(B2413,E2413,"2019-11-29")</f>
        <v>0.85984522785898543</v>
      </c>
      <c r="T2413"/>
      <c r="U2413">
        <f>[1]!EM_S_RATIO_EPS_TTM(B2413,E2413,"1")</f>
        <v>0.1359633225954999</v>
      </c>
      <c r="AT2413" s="4" t="str">
        <f>[1]!EM_S_IPO_LISTEDDATE(B2413)</f>
        <v>2010-03-05</v>
      </c>
    </row>
    <row r="2414" spans="1:46">
      <c r="A2414">
        <v>59</v>
      </c>
      <c r="B2414" t="str">
        <f>"000068"</f>
        <v>000068</v>
      </c>
      <c r="C2414" t="s">
        <v>3533</v>
      </c>
      <c r="D2414" t="str">
        <f>[1]!EM_S_INFO_INDEX_EM(B2414,"1")</f>
        <v>公用事业</v>
      </c>
      <c r="E2414" s="4">
        <f t="shared" si="37"/>
        <v>43465</v>
      </c>
      <c r="F2414" s="11">
        <f>[1]!EM_S_PQ_PCTCHANGE(B2414,"2018-01-01","2019-12-31","3")</f>
        <v>-17.425742570000001</v>
      </c>
      <c r="G2414" s="11">
        <f>[1]!EM_S_PQ_PCTCHANGE(B2414,"2019-01-01","2019-12-31","3")</f>
        <v>-1.8823529400000001</v>
      </c>
      <c r="H2414" s="11">
        <f>[1]!EM_S_FA_YOY_OR(B2414,E2414)</f>
        <v>-50.137182065200001</v>
      </c>
      <c r="I2414" s="11">
        <f>[1]!EM_S_FA_GROSSPROFITMARGIN(B2414,E2414)</f>
        <v>27.281813225400001</v>
      </c>
      <c r="J2414" s="11">
        <f>[1]!EM_S_FA_NETPROFITMARGIN(B2414,E2414)</f>
        <v>-67.843423748099994</v>
      </c>
      <c r="K2414" s="10">
        <f>[1]!EM_S_FA_ASSETSTURN(B2414,E2414)</f>
        <v>6.5915053336000007E-2</v>
      </c>
      <c r="L2414" s="12">
        <f>[1]!EM_HKS_VAL_MV(B2414,"2019-12-31","2")</f>
        <v>4197820004.8800001</v>
      </c>
      <c r="M2414">
        <f>[1]!EM_S_VAL_PETTMDEDUCTED(B2414,E2414)</f>
        <v>-365.11531249541599</v>
      </c>
      <c r="N2414" s="7">
        <f>[1]!EM_S_VAL_PBGOODWILLDEDUCTED(B2414,E2414)</f>
        <v>8.4827793753559906</v>
      </c>
      <c r="O2414" s="7">
        <f>[1]!EM_S_VAL_PS_TTM(B2414,E2414)</f>
        <v>11.1802315339987</v>
      </c>
      <c r="P2414" s="7">
        <f>[1]!EM_S_VAL_PCF_NCFTTM(B2414,E2414)</f>
        <v>-17.649378825119602</v>
      </c>
      <c r="Q2414" s="7">
        <f>[1]!EM_S_VAL_DIVIDENDYIELD2(B2414,E2414,"2019-11-29")</f>
        <v>0</v>
      </c>
      <c r="T2414"/>
      <c r="U2414">
        <f>[1]!EM_S_RATIO_EPS_TTM(B2414,E2414,"1")</f>
        <v>-0.13200492568049987</v>
      </c>
      <c r="AT2414" s="4" t="str">
        <f>[1]!EM_S_IPO_LISTEDDATE(B2414)</f>
        <v>1997-06-11</v>
      </c>
    </row>
    <row r="2415" spans="1:46">
      <c r="A2415">
        <v>1597</v>
      </c>
      <c r="B2415" t="str">
        <f>"300172"</f>
        <v>300172</v>
      </c>
      <c r="C2415" t="s">
        <v>2022</v>
      </c>
      <c r="D2415" t="str">
        <f>[1]!EM_S_INFO_INDEX_EM(B2415,"1")</f>
        <v>公用事业</v>
      </c>
      <c r="E2415" s="4">
        <f t="shared" si="37"/>
        <v>43465</v>
      </c>
      <c r="F2415" s="11">
        <f>[1]!EM_S_PQ_PCTCHANGE(B2415,"2018-01-01","2019-12-31","3")</f>
        <v>-36.961024629999997</v>
      </c>
      <c r="G2415" s="11">
        <f>[1]!EM_S_PQ_PCTCHANGE(B2415,"2018-12-31","2019-12-30","1")</f>
        <v>-1.9157088099999999</v>
      </c>
      <c r="H2415" s="11">
        <f>[1]!EM_S_FA_YOY_OR(B2415,E2415)</f>
        <v>17.334287468100001</v>
      </c>
      <c r="I2415" s="11">
        <f>[1]!EM_S_FA_GROSSPROFITMARGIN(B2415,E2415)</f>
        <v>33.461537980499998</v>
      </c>
      <c r="J2415" s="11">
        <f>[1]!EM_S_FA_NETPROFITMARGIN(B2415,E2415)</f>
        <v>15.786618157099999</v>
      </c>
      <c r="K2415" s="10">
        <f>[1]!EM_S_FA_ASSETSTURN(B2415,E2415)</f>
        <v>0.36910007166199998</v>
      </c>
      <c r="L2415" s="12">
        <f>[1]!EM_HKS_VAL_MV(B2415,"2019-12-31","2")</f>
        <v>2672384000</v>
      </c>
      <c r="M2415">
        <f>[1]!EM_S_VAL_PETTMDEDUCTED(B2415,E2415)</f>
        <v>28.447262504779498</v>
      </c>
      <c r="N2415" s="7">
        <f>[1]!EM_S_VAL_PBGOODWILLDEDUCTED(B2415,E2415)</f>
        <v>2.1409011427451499</v>
      </c>
      <c r="O2415" s="7">
        <f>[1]!EM_S_VAL_PS_TTM(B2415,E2415)</f>
        <v>3.3194471825694398</v>
      </c>
      <c r="P2415" s="7">
        <f>[1]!EM_S_VAL_PCF_NCFTTM(B2415,E2415)</f>
        <v>56.087889070571698</v>
      </c>
      <c r="Q2415" s="7">
        <f>[1]!EM_S_VAL_DIVIDENDYIELD2(B2415,E2415,"2019-11-29")</f>
        <v>1.0080645161290323</v>
      </c>
      <c r="T2415"/>
      <c r="U2415">
        <f>[1]!EM_S_RATIO_EPS_TTM(B2415,E2415,"1")</f>
        <v>0.23411205557257755</v>
      </c>
      <c r="AT2415" s="4" t="str">
        <f>[1]!EM_S_IPO_LISTEDDATE(B2415)</f>
        <v>2011-02-01</v>
      </c>
    </row>
    <row r="2416" spans="1:46">
      <c r="A2416">
        <v>2817</v>
      </c>
      <c r="B2416" t="str">
        <f>"600744"</f>
        <v>600744</v>
      </c>
      <c r="C2416" t="s">
        <v>2210</v>
      </c>
      <c r="D2416" t="str">
        <f>[1]!EM_S_INFO_INDEX_EM(B2416,"1")</f>
        <v>公用事业</v>
      </c>
      <c r="E2416" s="4">
        <f t="shared" si="37"/>
        <v>43465</v>
      </c>
      <c r="F2416" s="11">
        <f>[1]!EM_S_PQ_PCTCHANGE(B2416,"2018-01-01","2019-12-31","3")</f>
        <v>-32.095490720000001</v>
      </c>
      <c r="G2416" s="11">
        <f>[1]!EM_S_PQ_PCTCHANGE(B2416,"2018-12-31","2019-12-30","1")</f>
        <v>-1.9157088099999999</v>
      </c>
      <c r="H2416" s="11">
        <f>[1]!EM_S_FA_YOY_OR(B2416,E2416)</f>
        <v>30.680575780400002</v>
      </c>
      <c r="I2416" s="11">
        <f>[1]!EM_S_FA_GROSSPROFITMARGIN(B2416,E2416)</f>
        <v>7.0521879052000003</v>
      </c>
      <c r="J2416" s="11">
        <f>[1]!EM_S_FA_NETPROFITMARGIN(B2416,E2416)</f>
        <v>0.59392599089999998</v>
      </c>
      <c r="K2416" s="10">
        <f>[1]!EM_S_FA_ASSETSTURN(B2416,E2416)</f>
        <v>0.52544011321999995</v>
      </c>
      <c r="L2416" s="12">
        <f>[1]!EM_HKS_VAL_MV(B2416,"2019-12-31","2")</f>
        <v>4559678141.4399996</v>
      </c>
      <c r="M2416">
        <f>[1]!EM_S_VAL_PETTMDEDUCTED(B2416,E2416)</f>
        <v>-6.7694103416532103</v>
      </c>
      <c r="N2416" s="7">
        <f>[1]!EM_S_VAL_PBGOODWILLDEDUCTED(B2416,E2416)</f>
        <v>1.5325199070362201</v>
      </c>
      <c r="O2416" s="7">
        <f>[1]!EM_S_VAL_PS_TTM(B2416,E2416)</f>
        <v>0.54193314607069998</v>
      </c>
      <c r="P2416" s="7">
        <f>[1]!EM_S_VAL_PCF_NCFTTM(B2416,E2416)</f>
        <v>21.6105521375206</v>
      </c>
      <c r="Q2416" s="7">
        <f>[1]!EM_S_VAL_DIVIDENDYIELD2(B2416,E2416,"2019-11-29")</f>
        <v>0</v>
      </c>
      <c r="T2416"/>
      <c r="U2416">
        <f>[1]!EM_S_RATIO_EPS_TTM(B2416,E2416,"1")</f>
        <v>3.299923194466553E-2</v>
      </c>
      <c r="AT2416" s="4" t="str">
        <f>[1]!EM_S_IPO_LISTEDDATE(B2416)</f>
        <v>1996-09-05</v>
      </c>
    </row>
    <row r="2417" spans="1:46">
      <c r="A2417">
        <v>2099</v>
      </c>
      <c r="B2417" t="str">
        <f>"300681"</f>
        <v>300681</v>
      </c>
      <c r="C2417" t="s">
        <v>584</v>
      </c>
      <c r="D2417" t="str">
        <f>[1]!EM_S_INFO_INDEX_EM(B2417,"1")</f>
        <v>交运设备</v>
      </c>
      <c r="E2417" s="4">
        <f t="shared" si="37"/>
        <v>43465</v>
      </c>
      <c r="F2417" s="11">
        <f>[1]!EM_S_PQ_PCTCHANGE(B2417,"2018-01-01","2019-12-31","3")</f>
        <v>-34.744048200000002</v>
      </c>
      <c r="G2417" s="11">
        <f>[1]!EM_S_PQ_PCTCHANGE(B2417,"2018-12-31","2019-12-30","1")</f>
        <v>-1.99479618</v>
      </c>
      <c r="H2417" s="11">
        <f>[1]!EM_S_FA_YOY_OR(B2417,E2417)</f>
        <v>22.089927764599999</v>
      </c>
      <c r="I2417" s="11">
        <f>[1]!EM_S_FA_GROSSPROFITMARGIN(B2417,E2417)</f>
        <v>23.975936619199999</v>
      </c>
      <c r="J2417" s="11">
        <f>[1]!EM_S_FA_NETPROFITMARGIN(B2417,E2417)</f>
        <v>8.1071345892999993</v>
      </c>
      <c r="K2417" s="10">
        <f>[1]!EM_S_FA_ASSETSTURN(B2417,E2417)</f>
        <v>0.61412687086499995</v>
      </c>
      <c r="L2417" s="12">
        <f>[1]!EM_HKS_VAL_MV(B2417,"2019-12-31","2")</f>
        <v>2581740000</v>
      </c>
      <c r="M2417">
        <f>[1]!EM_S_VAL_PETTMDEDUCTED(B2417,E2417)</f>
        <v>33.8608441254501</v>
      </c>
      <c r="N2417" s="7">
        <f>[1]!EM_S_VAL_PBGOODWILLDEDUCTED(B2417,E2417)</f>
        <v>4.0207336598097303</v>
      </c>
      <c r="O2417" s="7">
        <f>[1]!EM_S_VAL_PS_TTM(B2417,E2417)</f>
        <v>4.1199359846119998</v>
      </c>
      <c r="P2417" s="7">
        <f>[1]!EM_S_VAL_PCF_NCFTTM(B2417,E2417)</f>
        <v>-38.065455478886598</v>
      </c>
      <c r="Q2417" s="7">
        <f>[1]!EM_S_VAL_DIVIDENDYIELD2(B2417,E2417,"2019-11-29")</f>
        <v>0.31695721077654515</v>
      </c>
      <c r="T2417"/>
      <c r="U2417">
        <f>[1]!EM_S_RATIO_EPS_TTM(B2417,E2417,"1")</f>
        <v>0.70206433597883589</v>
      </c>
      <c r="AT2417" s="4" t="str">
        <f>[1]!EM_S_IPO_LISTEDDATE(B2417)</f>
        <v>2017-07-25</v>
      </c>
    </row>
    <row r="2418" spans="1:46">
      <c r="A2418">
        <v>3275</v>
      </c>
      <c r="B2418" t="str">
        <f>"603116"</f>
        <v>603116</v>
      </c>
      <c r="C2418" t="s">
        <v>1002</v>
      </c>
      <c r="D2418" t="str">
        <f>[1]!EM_S_INFO_INDEX_EM(B2418,"1")</f>
        <v>纺织服装</v>
      </c>
      <c r="E2418" s="4">
        <f t="shared" si="37"/>
        <v>43465</v>
      </c>
      <c r="F2418" s="11">
        <f>[1]!EM_S_PQ_PCTCHANGE(B2418,"2018-01-01","2019-12-31","3")</f>
        <v>-34.692286940000002</v>
      </c>
      <c r="G2418" s="11">
        <f>[1]!EM_S_PQ_PCTCHANGE(B2418,"2018-12-31","2019-12-30","1")</f>
        <v>-2.00860832</v>
      </c>
      <c r="H2418" s="11">
        <f>[1]!EM_S_FA_YOY_OR(B2418,E2418)</f>
        <v>-6.2897945579999996</v>
      </c>
      <c r="I2418" s="11">
        <f>[1]!EM_S_FA_GROSSPROFITMARGIN(B2418,E2418)</f>
        <v>34.365123316499997</v>
      </c>
      <c r="J2418" s="11">
        <f>[1]!EM_S_FA_NETPROFITMARGIN(B2418,E2418)</f>
        <v>6.3363601181</v>
      </c>
      <c r="K2418" s="10">
        <f>[1]!EM_S_FA_ASSETSTURN(B2418,E2418)</f>
        <v>0.65430821307999998</v>
      </c>
      <c r="L2418" s="12">
        <f>[1]!EM_HKS_VAL_MV(B2418,"2019-12-31","2")</f>
        <v>3935451464</v>
      </c>
      <c r="M2418">
        <f>[1]!EM_S_VAL_PETTMDEDUCTED(B2418,E2418)</f>
        <v>17.350328871336401</v>
      </c>
      <c r="N2418" s="7">
        <f>[1]!EM_S_VAL_PBGOODWILLDEDUCTED(B2418,E2418)</f>
        <v>1.1526295281519501</v>
      </c>
      <c r="O2418" s="7">
        <f>[1]!EM_S_VAL_PS_TTM(B2418,E2418)</f>
        <v>1.24821081263168</v>
      </c>
      <c r="P2418" s="7">
        <f>[1]!EM_S_VAL_PCF_NCFTTM(B2418,E2418)</f>
        <v>-422.63225496889999</v>
      </c>
      <c r="Q2418" s="7">
        <f>[1]!EM_S_VAL_DIVIDENDYIELD2(B2418,E2418,"2019-11-29")</f>
        <v>2.7959242011949477</v>
      </c>
      <c r="T2418"/>
      <c r="U2418">
        <f>[1]!EM_S_RATIO_EPS_TTM(B2418,E2418,"1")</f>
        <v>0.33494513622113831</v>
      </c>
      <c r="AT2418" s="4" t="str">
        <f>[1]!EM_S_IPO_LISTEDDATE(B2418)</f>
        <v>2015-06-29</v>
      </c>
    </row>
    <row r="2419" spans="1:46">
      <c r="A2419">
        <v>2612</v>
      </c>
      <c r="B2419" t="str">
        <f>"600532"</f>
        <v>600532</v>
      </c>
      <c r="C2419" t="s">
        <v>3350</v>
      </c>
      <c r="D2419" t="str">
        <f>[1]!EM_S_INFO_INDEX_EM(B2419,"1")</f>
        <v>化石能源</v>
      </c>
      <c r="E2419" s="4">
        <f t="shared" si="37"/>
        <v>43465</v>
      </c>
      <c r="F2419" s="11">
        <f>[1]!EM_S_PQ_PCTCHANGE(B2419,"2018-01-01","2019-12-31","3")</f>
        <v>-62.337662340000001</v>
      </c>
      <c r="G2419" s="11">
        <f>[1]!EM_S_PQ_PCTCHANGE(B2419,"2018-12-31","2019-12-30","1")</f>
        <v>-2.0304568500000002</v>
      </c>
      <c r="H2419" s="11">
        <f>[1]!EM_S_FA_YOY_OR(B2419,E2419)</f>
        <v>413.98910888310002</v>
      </c>
      <c r="I2419" s="11">
        <f>[1]!EM_S_FA_GROSSPROFITMARGIN(B2419,E2419)</f>
        <v>4.5225279629999999</v>
      </c>
      <c r="J2419" s="11">
        <f>[1]!EM_S_FA_NETPROFITMARGIN(B2419,E2419)</f>
        <v>0.42297611419999998</v>
      </c>
      <c r="K2419" s="10">
        <f>[1]!EM_S_FA_ASSETSTURN(B2419,E2419)</f>
        <v>0.88894506285800001</v>
      </c>
      <c r="L2419" s="12">
        <f>[1]!EM_HKS_VAL_MV(B2419,"2019-12-31","2")</f>
        <v>1945567764.4000001</v>
      </c>
      <c r="M2419">
        <f>[1]!EM_S_VAL_PETTMDEDUCTED(B2419,E2419)</f>
        <v>-25.104865670963999</v>
      </c>
      <c r="N2419" s="7">
        <f>[1]!EM_S_VAL_PBGOODWILLDEDUCTED(B2419,E2419)</f>
        <v>1.1060494185488201</v>
      </c>
      <c r="O2419" s="7">
        <f>[1]!EM_S_VAL_PS_TTM(B2419,E2419)</f>
        <v>1.43590694278637</v>
      </c>
      <c r="P2419" s="7">
        <f>[1]!EM_S_VAL_PCF_NCFTTM(B2419,E2419)</f>
        <v>-2.6103248394233902</v>
      </c>
      <c r="Q2419" s="7">
        <f>[1]!EM_S_VAL_DIVIDENDYIELD2(B2419,E2419,"2019-11-29")</f>
        <v>0</v>
      </c>
      <c r="T2419"/>
      <c r="U2419">
        <f>[1]!EM_S_RATIO_EPS_TTM(B2419,E2419,"1")</f>
        <v>2.1657835323764578E-2</v>
      </c>
      <c r="AT2419" s="4" t="str">
        <f>[1]!EM_S_IPO_LISTEDDATE(B2419)</f>
        <v>2002-10-31</v>
      </c>
    </row>
    <row r="2420" spans="1:46">
      <c r="A2420">
        <v>3425</v>
      </c>
      <c r="B2420" t="str">
        <f>"603535"</f>
        <v>603535</v>
      </c>
      <c r="C2420" t="s">
        <v>1426</v>
      </c>
      <c r="D2420" t="str">
        <f>[1]!EM_S_INFO_INDEX_EM(B2420,"1")</f>
        <v>交通运输</v>
      </c>
      <c r="E2420" s="4">
        <f t="shared" si="37"/>
        <v>43465</v>
      </c>
      <c r="F2420" s="11">
        <f>[1]!EM_S_PQ_PCTCHANGE(B2420,"2018-01-01","2019-12-31","3")</f>
        <v>-29.109241409999999</v>
      </c>
      <c r="G2420" s="11">
        <f>[1]!EM_S_PQ_PCTCHANGE(B2420,"2018-12-31","2019-12-30","1")</f>
        <v>-2.0618556699999999</v>
      </c>
      <c r="H2420" s="11">
        <f>[1]!EM_S_FA_YOY_OR(B2420,E2420)</f>
        <v>7.8656345643999996</v>
      </c>
      <c r="I2420" s="11">
        <f>[1]!EM_S_FA_GROSSPROFITMARGIN(B2420,E2420)</f>
        <v>23.729275234399999</v>
      </c>
      <c r="J2420" s="11">
        <f>[1]!EM_S_FA_NETPROFITMARGIN(B2420,E2420)</f>
        <v>12.3510473036</v>
      </c>
      <c r="K2420" s="10">
        <f>[1]!EM_S_FA_ASSETSTURN(B2420,E2420)</f>
        <v>0.62126436897799997</v>
      </c>
      <c r="L2420" s="12">
        <f>[1]!EM_HKS_VAL_MV(B2420,"2019-12-31","2")</f>
        <v>2725248000</v>
      </c>
      <c r="M2420">
        <f>[1]!EM_S_VAL_PETTMDEDUCTED(B2420,E2420)</f>
        <v>25.577017882653202</v>
      </c>
      <c r="N2420" s="7">
        <f>[1]!EM_S_VAL_PBGOODWILLDEDUCTED(B2420,E2420)</f>
        <v>1.8648661788796199</v>
      </c>
      <c r="O2420" s="7">
        <f>[1]!EM_S_VAL_PS_TTM(B2420,E2420)</f>
        <v>2.5077543502802402</v>
      </c>
      <c r="P2420" s="7">
        <f>[1]!EM_S_VAL_PCF_NCFTTM(B2420,E2420)</f>
        <v>68.440665027319298</v>
      </c>
      <c r="Q2420" s="7">
        <f>[1]!EM_S_VAL_DIVIDENDYIELD2(B2420,E2420,"2019-11-29")</f>
        <v>0.57636887608069165</v>
      </c>
      <c r="T2420"/>
      <c r="U2420">
        <f>[1]!EM_S_RATIO_EPS_TTM(B2420,E2420,"1")</f>
        <v>0.91439670292553199</v>
      </c>
      <c r="AT2420" s="4" t="str">
        <f>[1]!EM_S_IPO_LISTEDDATE(B2420)</f>
        <v>2017-08-08</v>
      </c>
    </row>
    <row r="2421" spans="1:46">
      <c r="A2421">
        <v>3083</v>
      </c>
      <c r="B2421" t="str">
        <f>"601222"</f>
        <v>601222</v>
      </c>
      <c r="C2421" t="s">
        <v>1717</v>
      </c>
      <c r="D2421" t="str">
        <f>[1]!EM_S_INFO_INDEX_EM(B2421,"1")</f>
        <v>电气设备</v>
      </c>
      <c r="E2421" s="4">
        <f t="shared" si="37"/>
        <v>43465</v>
      </c>
      <c r="F2421" s="11">
        <f>[1]!EM_S_PQ_PCTCHANGE(B2421,"2018-01-01","2019-12-31","3")</f>
        <v>-49.823761730000001</v>
      </c>
      <c r="G2421" s="11">
        <f>[1]!EM_S_PQ_PCTCHANGE(B2421,"2018-12-31","2019-12-30","1")</f>
        <v>-2.0661157000000001</v>
      </c>
      <c r="H2421" s="11">
        <f>[1]!EM_S_FA_YOY_OR(B2421,E2421)</f>
        <v>11.943079341900001</v>
      </c>
      <c r="I2421" s="11">
        <f>[1]!EM_S_FA_GROSSPROFITMARGIN(B2421,E2421)</f>
        <v>37.8220598399</v>
      </c>
      <c r="J2421" s="11">
        <f>[1]!EM_S_FA_NETPROFITMARGIN(B2421,E2421)</f>
        <v>19.047311674300001</v>
      </c>
      <c r="K2421" s="10">
        <f>[1]!EM_S_FA_ASSETSTURN(B2421,E2421)</f>
        <v>0.23460636893</v>
      </c>
      <c r="L2421" s="12">
        <f>[1]!EM_HKS_VAL_MV(B2421,"2019-12-31","2")</f>
        <v>8542280379.6000004</v>
      </c>
      <c r="M2421">
        <f>[1]!EM_S_VAL_PETTMDEDUCTED(B2421,E2421)</f>
        <v>11.246842573716499</v>
      </c>
      <c r="N2421" s="7">
        <f>[1]!EM_S_VAL_PBGOODWILLDEDUCTED(B2421,E2421)</f>
        <v>0.92057528603852601</v>
      </c>
      <c r="O2421" s="7">
        <f>[1]!EM_S_VAL_PS_TTM(B2421,E2421)</f>
        <v>2.2438278004423902</v>
      </c>
      <c r="P2421" s="7">
        <f>[1]!EM_S_VAL_PCF_NCFTTM(B2421,E2421)</f>
        <v>35.197014957311303</v>
      </c>
      <c r="Q2421" s="7">
        <f>[1]!EM_S_VAL_DIVIDENDYIELD2(B2421,E2421,"2019-11-29")</f>
        <v>3.9863281696476371</v>
      </c>
      <c r="T2421"/>
      <c r="U2421">
        <f>[1]!EM_S_RATIO_EPS_TTM(B2421,E2421,"1")</f>
        <v>0.43078492337661484</v>
      </c>
      <c r="AT2421" s="4" t="str">
        <f>[1]!EM_S_IPO_LISTEDDATE(B2421)</f>
        <v>2011-08-08</v>
      </c>
    </row>
    <row r="2422" spans="1:46">
      <c r="A2422">
        <v>2512</v>
      </c>
      <c r="B2422" t="str">
        <f>"600396"</f>
        <v>600396</v>
      </c>
      <c r="C2422" t="s">
        <v>2698</v>
      </c>
      <c r="D2422" t="str">
        <f>[1]!EM_S_INFO_INDEX_EM(B2422,"1")</f>
        <v>公用事业</v>
      </c>
      <c r="E2422" s="4">
        <f t="shared" si="37"/>
        <v>43465</v>
      </c>
      <c r="F2422" s="11">
        <f>[1]!EM_S_PQ_PCTCHANGE(B2422,"2018-01-01","2019-12-31","3")</f>
        <v>-40</v>
      </c>
      <c r="G2422" s="11">
        <f>[1]!EM_S_PQ_PCTCHANGE(B2422,"2018-12-31","2019-12-30","1")</f>
        <v>-2.0725388599999999</v>
      </c>
      <c r="H2422" s="11">
        <f>[1]!EM_S_FA_YOY_OR(B2422,E2422)</f>
        <v>3.3387624373999998</v>
      </c>
      <c r="I2422" s="11">
        <f>[1]!EM_S_FA_GROSSPROFITMARGIN(B2422,E2422)</f>
        <v>-1.0996324715000001</v>
      </c>
      <c r="J2422" s="11">
        <f>[1]!EM_S_FA_NETPROFITMARGIN(B2422,E2422)</f>
        <v>-12.454872485699999</v>
      </c>
      <c r="K2422" s="10">
        <f>[1]!EM_S_FA_ASSETSTURN(B2422,E2422)</f>
        <v>0.35303643025199999</v>
      </c>
      <c r="L2422" s="12">
        <f>[1]!EM_HKS_VAL_MV(B2422,"2019-12-31","2")</f>
        <v>2739234679.6199999</v>
      </c>
      <c r="M2422">
        <f>[1]!EM_S_VAL_PETTMDEDUCTED(B2422,E2422)</f>
        <v>-2.7059608989876902</v>
      </c>
      <c r="N2422" s="7">
        <f>[1]!EM_S_VAL_PBGOODWILLDEDUCTED(B2422,E2422)</f>
        <v>1.4470550488546201</v>
      </c>
      <c r="O2422" s="7">
        <f>[1]!EM_S_VAL_PS_TTM(B2422,E2422)</f>
        <v>0.39078188626149002</v>
      </c>
      <c r="P2422" s="7">
        <f>[1]!EM_S_VAL_PCF_NCFTTM(B2422,E2422)</f>
        <v>12.1677658094228</v>
      </c>
      <c r="Q2422" s="7">
        <f>[1]!EM_S_VAL_DIVIDENDYIELD2(B2422,E2422,"2019-11-29")</f>
        <v>0</v>
      </c>
      <c r="T2422"/>
      <c r="U2422">
        <f>[1]!EM_S_RATIO_EPS_TTM(B2422,E2422,"1")</f>
        <v>-0.49476702676253043</v>
      </c>
      <c r="AT2422" s="4" t="str">
        <f>[1]!EM_S_IPO_LISTEDDATE(B2422)</f>
        <v>2001-03-28</v>
      </c>
    </row>
    <row r="2423" spans="1:46">
      <c r="A2423">
        <v>3109</v>
      </c>
      <c r="B2423" t="str">
        <f>"601388"</f>
        <v>601388</v>
      </c>
      <c r="C2423" t="s">
        <v>788</v>
      </c>
      <c r="D2423" t="str">
        <f>[1]!EM_S_INFO_INDEX_EM(B2423,"1")</f>
        <v>有色金属</v>
      </c>
      <c r="E2423" s="4">
        <f t="shared" si="37"/>
        <v>43465</v>
      </c>
      <c r="F2423" s="11">
        <f>[1]!EM_S_PQ_PCTCHANGE(B2423,"2018-01-01","2019-12-31","3")</f>
        <v>-54.759040040000002</v>
      </c>
      <c r="G2423" s="11">
        <f>[1]!EM_S_PQ_PCTCHANGE(B2423,"2018-12-31","2019-12-30","1")</f>
        <v>-2.0725388599999999</v>
      </c>
      <c r="H2423" s="11">
        <f>[1]!EM_S_FA_YOY_OR(B2423,E2423)</f>
        <v>16.948272571299999</v>
      </c>
      <c r="I2423" s="11">
        <f>[1]!EM_S_FA_GROSSPROFITMARGIN(B2423,E2423)</f>
        <v>9.4718905926999994</v>
      </c>
      <c r="J2423" s="11">
        <f>[1]!EM_S_FA_NETPROFITMARGIN(B2423,E2423)</f>
        <v>1.5488356688</v>
      </c>
      <c r="K2423" s="10">
        <f>[1]!EM_S_FA_ASSETSTURN(B2423,E2423)</f>
        <v>1.2645716589530001</v>
      </c>
      <c r="L2423" s="12">
        <f>[1]!EM_HKS_VAL_MV(B2423,"2019-12-31","2")</f>
        <v>3909022000</v>
      </c>
      <c r="M2423">
        <f>[1]!EM_S_VAL_PETTMDEDUCTED(B2423,E2423)</f>
        <v>26.1178375448842</v>
      </c>
      <c r="N2423" s="7">
        <f>[1]!EM_S_VAL_PBGOODWILLDEDUCTED(B2423,E2423)</f>
        <v>1.5302629118073101</v>
      </c>
      <c r="O2423" s="7">
        <f>[1]!EM_S_VAL_PS_TTM(B2423,E2423)</f>
        <v>0.62878174367688699</v>
      </c>
      <c r="P2423" s="7">
        <f>[1]!EM_S_VAL_PCF_NCFTTM(B2423,E2423)</f>
        <v>-28.663040406141501</v>
      </c>
      <c r="Q2423" s="7">
        <f>[1]!EM_S_VAL_DIVIDENDYIELD2(B2423,E2423,"2019-11-29")</f>
        <v>0.55865921787709494</v>
      </c>
      <c r="T2423"/>
      <c r="U2423">
        <f>[1]!EM_S_RATIO_EPS_TTM(B2423,E2423,"1")</f>
        <v>4.8149978838747901E-2</v>
      </c>
      <c r="AT2423" s="4" t="str">
        <f>[1]!EM_S_IPO_LISTEDDATE(B2423)</f>
        <v>2012-04-23</v>
      </c>
    </row>
    <row r="2424" spans="1:46">
      <c r="A2424">
        <v>683</v>
      </c>
      <c r="B2424" t="str">
        <f>"002172"</f>
        <v>002172</v>
      </c>
      <c r="C2424" t="s">
        <v>1806</v>
      </c>
      <c r="D2424" t="str">
        <f>[1]!EM_S_INFO_INDEX_EM(B2424,"1")</f>
        <v>基础化工</v>
      </c>
      <c r="E2424" s="4">
        <f t="shared" si="37"/>
        <v>43465</v>
      </c>
      <c r="F2424" s="11">
        <f>[1]!EM_S_PQ_PCTCHANGE(B2424,"2018-01-01","2019-12-31","3")</f>
        <v>-37.770382699999999</v>
      </c>
      <c r="G2424" s="11">
        <f>[1]!EM_S_PQ_PCTCHANGE(B2424,"2018-12-31","2019-12-30","1")</f>
        <v>-2.0833333299999999</v>
      </c>
      <c r="H2424" s="11">
        <f>[1]!EM_S_FA_YOY_OR(B2424,E2424)</f>
        <v>-12.3045717557</v>
      </c>
      <c r="I2424" s="11">
        <f>[1]!EM_S_FA_GROSSPROFITMARGIN(B2424,E2424)</f>
        <v>8.1832102672999998</v>
      </c>
      <c r="J2424" s="11">
        <f>[1]!EM_S_FA_NETPROFITMARGIN(B2424,E2424)</f>
        <v>-0.98268773990000002</v>
      </c>
      <c r="K2424" s="10">
        <f>[1]!EM_S_FA_ASSETSTURN(B2424,E2424)</f>
        <v>0.78360659829900003</v>
      </c>
      <c r="L2424" s="12">
        <f>[1]!EM_HKS_VAL_MV(B2424,"2019-12-31","2")</f>
        <v>2904040293.8800001</v>
      </c>
      <c r="M2424">
        <f>[1]!EM_S_VAL_PETTMDEDUCTED(B2424,E2424)</f>
        <v>-60.812729059096199</v>
      </c>
      <c r="N2424" s="7">
        <f>[1]!EM_S_VAL_PBGOODWILLDEDUCTED(B2424,E2424)</f>
        <v>1.60434610183923</v>
      </c>
      <c r="O2424" s="7">
        <f>[1]!EM_S_VAL_PS_TTM(B2424,E2424)</f>
        <v>0.58228639762684897</v>
      </c>
      <c r="P2424" s="7">
        <f>[1]!EM_S_VAL_PCF_NCFTTM(B2424,E2424)</f>
        <v>10.922105543272099</v>
      </c>
      <c r="Q2424" s="7">
        <f>[1]!EM_S_VAL_DIVIDENDYIELD2(B2424,E2424,"2019-11-29")</f>
        <v>0</v>
      </c>
      <c r="T2424"/>
      <c r="U2424">
        <f>[1]!EM_S_RATIO_EPS_TTM(B2424,E2424,"1")</f>
        <v>1.3341962971675295E-2</v>
      </c>
      <c r="AT2424" s="4" t="str">
        <f>[1]!EM_S_IPO_LISTEDDATE(B2424)</f>
        <v>2007-09-21</v>
      </c>
    </row>
    <row r="2425" spans="1:46">
      <c r="A2425">
        <v>3447</v>
      </c>
      <c r="B2425" t="str">
        <f>"603596"</f>
        <v>603596</v>
      </c>
      <c r="C2425" t="s">
        <v>131</v>
      </c>
      <c r="D2425" t="str">
        <f>[1]!EM_S_INFO_INDEX_EM(B2425,"1")</f>
        <v>交运设备</v>
      </c>
      <c r="E2425" s="4">
        <f t="shared" si="37"/>
        <v>43465</v>
      </c>
      <c r="F2425" s="11">
        <f>[1]!EM_S_PQ_PCTCHANGE(B2425,"2018-01-01","2019-12-31","3")</f>
        <v>49.527929210000003</v>
      </c>
      <c r="G2425" s="11">
        <f>[1]!EM_S_PQ_PCTCHANGE(B2425,"2018-12-31","2019-12-30","1")</f>
        <v>-2.0988194099999999</v>
      </c>
      <c r="H2425" s="11">
        <f>[1]!EM_S_FA_YOY_OR(B2425,E2425)</f>
        <v>7.5769753234000001</v>
      </c>
      <c r="I2425" s="11">
        <f>[1]!EM_S_FA_GROSSPROFITMARGIN(B2425,E2425)</f>
        <v>24.590816344</v>
      </c>
      <c r="J2425" s="11">
        <f>[1]!EM_S_FA_NETPROFITMARGIN(B2425,E2425)</f>
        <v>11.594123891600001</v>
      </c>
      <c r="K2425" s="10">
        <f>[1]!EM_S_FA_ASSETSTURN(B2425,E2425)</f>
        <v>0.81917214487000001</v>
      </c>
      <c r="L2425" s="12">
        <f>[1]!EM_HKS_VAL_MV(B2425,"2019-12-31","2")</f>
        <v>9192622500</v>
      </c>
      <c r="M2425">
        <f>[1]!EM_S_VAL_PETTMDEDUCTED(B2425,E2425)</f>
        <v>30.587990941786099</v>
      </c>
      <c r="N2425" s="7">
        <f>[1]!EM_S_VAL_PBGOODWILLDEDUCTED(B2425,E2425)</f>
        <v>4.9005208920018202</v>
      </c>
      <c r="O2425" s="7">
        <f>[1]!EM_S_VAL_PS_TTM(B2425,E2425)</f>
        <v>3.4291503744711198</v>
      </c>
      <c r="P2425" s="7">
        <f>[1]!EM_S_VAL_PCF_NCFTTM(B2425,E2425)</f>
        <v>46.7066832133075</v>
      </c>
      <c r="Q2425" s="7">
        <f>[1]!EM_S_VAL_DIVIDENDYIELD2(B2425,E2425,"2019-11-29")</f>
        <v>0.31779661016949157</v>
      </c>
      <c r="T2425"/>
      <c r="U2425">
        <f>[1]!EM_S_RATIO_EPS_TTM(B2425,E2425,"1")</f>
        <v>0.5807736418796704</v>
      </c>
      <c r="AT2425" s="4" t="str">
        <f>[1]!EM_S_IPO_LISTEDDATE(B2425)</f>
        <v>2018-04-27</v>
      </c>
    </row>
    <row r="2426" spans="1:46">
      <c r="A2426">
        <v>699</v>
      </c>
      <c r="B2426" t="str">
        <f>"002188"</f>
        <v>002188</v>
      </c>
      <c r="C2426" t="s">
        <v>35</v>
      </c>
      <c r="D2426" t="str">
        <f>[1]!EM_S_INFO_INDEX_EM(B2426,"1")</f>
        <v>电子设备</v>
      </c>
      <c r="E2426" s="4">
        <f t="shared" si="37"/>
        <v>43465</v>
      </c>
      <c r="F2426" s="11">
        <f>[1]!EM_S_PQ_PCTCHANGE(B2426,"2018-01-01","2019-12-31","3")</f>
        <v>-77.594936709999999</v>
      </c>
      <c r="G2426" s="11">
        <f>[1]!EM_S_PQ_PCTCHANGE(B2426,"2018-12-31","2019-12-30","1")</f>
        <v>-2.0997375300000001</v>
      </c>
      <c r="H2426" s="11">
        <f>[1]!EM_S_FA_YOY_OR(B2426,E2426)</f>
        <v>-75.584048165699997</v>
      </c>
      <c r="I2426" s="11">
        <f>[1]!EM_S_FA_GROSSPROFITMARGIN(B2426,E2426)</f>
        <v>-52.903016610500003</v>
      </c>
      <c r="J2426" s="11">
        <f>[1]!EM_S_FA_NETPROFITMARGIN(B2426,E2426)</f>
        <v>-444.35997277500002</v>
      </c>
      <c r="K2426" s="10">
        <f>[1]!EM_S_FA_ASSETSTURN(B2426,E2426)</f>
        <v>0.32216395704900003</v>
      </c>
      <c r="L2426" s="12">
        <f>[1]!EM_HKS_VAL_MV(B2426,"2019-12-31","2")</f>
        <v>1046521434.96</v>
      </c>
      <c r="M2426">
        <f>[1]!EM_S_VAL_PETTMDEDUCTED(B2426,E2426)</f>
        <v>-0.59574426302628403</v>
      </c>
      <c r="N2426" s="7">
        <f>[1]!EM_S_VAL_PBGOODWILLDEDUCTED(B2426,E2426)</f>
        <v>-1.7877239745498501</v>
      </c>
      <c r="O2426" s="7">
        <f>[1]!EM_S_VAL_PS_TTM(B2426,E2426)</f>
        <v>5.5423756491296698</v>
      </c>
      <c r="P2426" s="7">
        <f>[1]!EM_S_VAL_PCF_NCFTTM(B2426,E2426)</f>
        <v>-64.045758067746107</v>
      </c>
      <c r="Q2426" s="7">
        <f>[1]!EM_S_VAL_DIVIDENDYIELD2(B2426,E2426,"2019-11-29")</f>
        <v>0</v>
      </c>
      <c r="T2426"/>
      <c r="U2426">
        <f>[1]!EM_S_RATIO_EPS_TTM(B2426,E2426,"1")</f>
        <v>-2.167782277403913</v>
      </c>
      <c r="AT2426" s="4" t="str">
        <f>[1]!EM_S_IPO_LISTEDDATE(B2426)</f>
        <v>2007-11-22</v>
      </c>
    </row>
    <row r="2427" spans="1:46">
      <c r="A2427">
        <v>776</v>
      </c>
      <c r="B2427" t="str">
        <f>"002265"</f>
        <v>002265</v>
      </c>
      <c r="C2427" t="s">
        <v>2799</v>
      </c>
      <c r="D2427" t="str">
        <f>[1]!EM_S_INFO_INDEX_EM(B2427,"1")</f>
        <v>交运设备</v>
      </c>
      <c r="E2427" s="4">
        <f t="shared" si="37"/>
        <v>43465</v>
      </c>
      <c r="F2427" s="11">
        <f>[1]!EM_S_PQ_PCTCHANGE(B2427,"2018-01-01","2019-12-31","3")</f>
        <v>-41.766268259999997</v>
      </c>
      <c r="G2427" s="11">
        <f>[1]!EM_S_PQ_PCTCHANGE(B2427,"2018-12-31","2019-12-30","1")</f>
        <v>-2.1064301599999999</v>
      </c>
      <c r="H2427" s="11">
        <f>[1]!EM_S_FA_YOY_OR(B2427,E2427)</f>
        <v>-15.191076923400001</v>
      </c>
      <c r="I2427" s="11">
        <f>[1]!EM_S_FA_GROSSPROFITMARGIN(B2427,E2427)</f>
        <v>15.260063796600001</v>
      </c>
      <c r="J2427" s="11">
        <f>[1]!EM_S_FA_NETPROFITMARGIN(B2427,E2427)</f>
        <v>-8.9838079969999995</v>
      </c>
      <c r="K2427" s="10">
        <f>[1]!EM_S_FA_ASSETSTURN(B2427,E2427)</f>
        <v>0.53603895738600005</v>
      </c>
      <c r="L2427" s="12">
        <f>[1]!EM_HKS_VAL_MV(B2427,"2019-12-31","2")</f>
        <v>2793825328.4400001</v>
      </c>
      <c r="M2427">
        <f>[1]!EM_S_VAL_PETTMDEDUCTED(B2427,E2427)</f>
        <v>-198.28052400286199</v>
      </c>
      <c r="N2427" s="7">
        <f>[1]!EM_S_VAL_PBGOODWILLDEDUCTED(B2427,E2427)</f>
        <v>3.38820313178952</v>
      </c>
      <c r="O2427" s="7">
        <f>[1]!EM_S_VAL_PS_TTM(B2427,E2427)</f>
        <v>3.4964804675452199</v>
      </c>
      <c r="P2427" s="7">
        <f>[1]!EM_S_VAL_PCF_NCFTTM(B2427,E2427)</f>
        <v>189.557414461072</v>
      </c>
      <c r="Q2427" s="7">
        <f>[1]!EM_S_VAL_DIVIDENDYIELD2(B2427,E2427,"2019-11-29")</f>
        <v>0</v>
      </c>
      <c r="T2427"/>
      <c r="U2427">
        <f>[1]!EM_S_RATIO_EPS_TTM(B2427,E2427,"1")</f>
        <v>-0.2146721813890522</v>
      </c>
      <c r="AT2427" s="4" t="str">
        <f>[1]!EM_S_IPO_LISTEDDATE(B2427)</f>
        <v>2008-08-06</v>
      </c>
    </row>
    <row r="2428" spans="1:46">
      <c r="A2428">
        <v>394</v>
      </c>
      <c r="B2428" t="str">
        <f>"000848"</f>
        <v>000848</v>
      </c>
      <c r="C2428" t="s">
        <v>84</v>
      </c>
      <c r="D2428" t="str">
        <f>[1]!EM_S_INFO_INDEX_EM(B2428,"1")</f>
        <v>食品饮料</v>
      </c>
      <c r="E2428" s="4">
        <f t="shared" si="37"/>
        <v>43465</v>
      </c>
      <c r="F2428" s="11">
        <f>[1]!EM_S_PQ_PCTCHANGE(B2428,"2018-01-01","2019-12-31","3")</f>
        <v>-8.2922057299999992</v>
      </c>
      <c r="G2428" s="11">
        <f>[1]!EM_S_PQ_PCTCHANGE(B2428,"2018-12-31","2019-12-30","1")</f>
        <v>-2.1144278600000002</v>
      </c>
      <c r="H2428" s="11">
        <f>[1]!EM_S_FA_YOY_OR(B2428,E2428)</f>
        <v>0.4779293315</v>
      </c>
      <c r="I2428" s="11">
        <f>[1]!EM_S_FA_GROSSPROFITMARGIN(B2428,E2428)</f>
        <v>50.757559769300002</v>
      </c>
      <c r="J2428" s="11">
        <f>[1]!EM_S_FA_NETPROFITMARGIN(B2428,E2428)</f>
        <v>19.446382727900001</v>
      </c>
      <c r="K2428" s="10">
        <f>[1]!EM_S_FA_ASSETSTURN(B2428,E2428)</f>
        <v>0.75054156782000003</v>
      </c>
      <c r="L2428" s="12">
        <f>[1]!EM_HKS_VAL_MV(B2428,"2019-12-31","2")</f>
        <v>7701288669.3599997</v>
      </c>
      <c r="M2428">
        <f>[1]!EM_S_VAL_PETTMDEDUCTED(B2428,E2428)</f>
        <v>17.386673058517001</v>
      </c>
      <c r="N2428" s="7">
        <f>[1]!EM_S_VAL_PBGOODWILLDEDUCTED(B2428,E2428)</f>
        <v>4.0991642242266204</v>
      </c>
      <c r="O2428" s="7">
        <f>[1]!EM_S_VAL_PS_TTM(B2428,E2428)</f>
        <v>3.53482652114281</v>
      </c>
      <c r="P2428" s="7">
        <f>[1]!EM_S_VAL_PCF_NCFTTM(B2428,E2428)</f>
        <v>-67.9687976204374</v>
      </c>
      <c r="Q2428" s="7">
        <f>[1]!EM_S_VAL_DIVIDENDYIELD2(B2428,E2428,"2019-11-29")</f>
        <v>5.298013245033113</v>
      </c>
      <c r="T2428"/>
      <c r="U2428">
        <f>[1]!EM_S_RATIO_EPS_TTM(B2428,E2428,"1")</f>
        <v>0.42210611703371559</v>
      </c>
      <c r="AT2428" s="4" t="str">
        <f>[1]!EM_S_IPO_LISTEDDATE(B2428)</f>
        <v>1997-11-13</v>
      </c>
    </row>
    <row r="2429" spans="1:46">
      <c r="A2429">
        <v>1323</v>
      </c>
      <c r="B2429" t="str">
        <f>"002820"</f>
        <v>002820</v>
      </c>
      <c r="C2429" t="s">
        <v>914</v>
      </c>
      <c r="D2429" t="str">
        <f>[1]!EM_S_INFO_INDEX_EM(B2429,"1")</f>
        <v>食品饮料</v>
      </c>
      <c r="E2429" s="4">
        <f t="shared" si="37"/>
        <v>43465</v>
      </c>
      <c r="F2429" s="11">
        <f>[1]!EM_S_PQ_PCTCHANGE(B2429,"2018-01-01","2019-12-31","3")</f>
        <v>-24.57642839</v>
      </c>
      <c r="G2429" s="11">
        <f>[1]!EM_S_PQ_PCTCHANGE(B2429,"2018-12-31","2019-12-30","1")</f>
        <v>-2.1416803999999998</v>
      </c>
      <c r="H2429" s="11">
        <f>[1]!EM_S_FA_YOY_OR(B2429,E2429)</f>
        <v>-1.1242578182</v>
      </c>
      <c r="I2429" s="11">
        <f>[1]!EM_S_FA_GROSSPROFITMARGIN(B2429,E2429)</f>
        <v>48.4170169665</v>
      </c>
      <c r="J2429" s="11">
        <f>[1]!EM_S_FA_NETPROFITMARGIN(B2429,E2429)</f>
        <v>17.500638713699999</v>
      </c>
      <c r="K2429" s="10">
        <f>[1]!EM_S_FA_ASSETSTURN(B2429,E2429)</f>
        <v>0.43289839412199999</v>
      </c>
      <c r="L2429" s="12">
        <f>[1]!EM_HKS_VAL_MV(B2429,"2019-12-31","2")</f>
        <v>2426880000</v>
      </c>
      <c r="M2429">
        <f>[1]!EM_S_VAL_PETTMDEDUCTED(B2429,E2429)</f>
        <v>33.391769251855003</v>
      </c>
      <c r="N2429" s="7">
        <f>[1]!EM_S_VAL_PBGOODWILLDEDUCTED(B2429,E2429)</f>
        <v>2.2932712938951099</v>
      </c>
      <c r="O2429" s="7">
        <f>[1]!EM_S_VAL_PS_TTM(B2429,E2429)</f>
        <v>5.13114975807202</v>
      </c>
      <c r="P2429" s="7">
        <f>[1]!EM_S_VAL_PCF_NCFTTM(B2429,E2429)</f>
        <v>55.9671583006457</v>
      </c>
      <c r="Q2429" s="7">
        <f>[1]!EM_S_VAL_DIVIDENDYIELD2(B2429,E2429,"2019-11-29")</f>
        <v>1.7467248908296942</v>
      </c>
      <c r="T2429"/>
      <c r="U2429">
        <f>[1]!EM_S_RATIO_EPS_TTM(B2429,E2429,"1")</f>
        <v>0.41079472734375</v>
      </c>
      <c r="AT2429" s="4" t="str">
        <f>[1]!EM_S_IPO_LISTEDDATE(B2429)</f>
        <v>2016-11-18</v>
      </c>
    </row>
    <row r="2430" spans="1:46">
      <c r="A2430">
        <v>726</v>
      </c>
      <c r="B2430" t="str">
        <f>"002215"</f>
        <v>002215</v>
      </c>
      <c r="C2430" t="s">
        <v>127</v>
      </c>
      <c r="D2430" t="str">
        <f>[1]!EM_S_INFO_INDEX_EM(B2430,"1")</f>
        <v>农林牧渔</v>
      </c>
      <c r="E2430" s="4">
        <f t="shared" si="37"/>
        <v>43465</v>
      </c>
      <c r="F2430" s="11">
        <f>[1]!EM_S_PQ_PCTCHANGE(B2430,"2018-01-01","2019-12-31","3")</f>
        <v>-6.8025521900000001</v>
      </c>
      <c r="G2430" s="11">
        <f>[1]!EM_S_PQ_PCTCHANGE(B2430,"2018-12-31","2019-12-30","1")</f>
        <v>-2.2189349100000002</v>
      </c>
      <c r="H2430" s="11">
        <f>[1]!EM_S_FA_YOY_OR(B2430,E2430)</f>
        <v>41.957734540600001</v>
      </c>
      <c r="I2430" s="11">
        <f>[1]!EM_S_FA_GROSSPROFITMARGIN(B2430,E2430)</f>
        <v>29.214686366199999</v>
      </c>
      <c r="J2430" s="11">
        <f>[1]!EM_S_FA_NETPROFITMARGIN(B2430,E2430)</f>
        <v>8.5538088278999993</v>
      </c>
      <c r="K2430" s="10">
        <f>[1]!EM_S_FA_ASSETSTURN(B2430,E2430)</f>
        <v>0.79591266272700001</v>
      </c>
      <c r="L2430" s="12">
        <f>[1]!EM_HKS_VAL_MV(B2430,"2019-12-31","2")</f>
        <v>6087748717.4399996</v>
      </c>
      <c r="M2430">
        <f>[1]!EM_S_VAL_PETTMDEDUCTED(B2430,E2430)</f>
        <v>20.9108927727269</v>
      </c>
      <c r="N2430" s="7">
        <f>[1]!EM_S_VAL_PBGOODWILLDEDUCTED(B2430,E2430)</f>
        <v>3.05165767128759</v>
      </c>
      <c r="O2430" s="7">
        <f>[1]!EM_S_VAL_PS_TTM(B2430,E2430)</f>
        <v>1.6441505186965399</v>
      </c>
      <c r="P2430" s="7">
        <f>[1]!EM_S_VAL_PCF_NCFTTM(B2430,E2430)</f>
        <v>35.655806602181599</v>
      </c>
      <c r="Q2430" s="7">
        <f>[1]!EM_S_VAL_DIVIDENDYIELD2(B2430,E2430,"2019-11-29")</f>
        <v>0</v>
      </c>
      <c r="T2430"/>
      <c r="U2430">
        <f>[1]!EM_S_RATIO_EPS_TTM(B2430,E2430,"1")</f>
        <v>0.36010747282362787</v>
      </c>
      <c r="AT2430" s="4" t="str">
        <f>[1]!EM_S_IPO_LISTEDDATE(B2430)</f>
        <v>2008-02-18</v>
      </c>
    </row>
    <row r="2431" spans="1:46">
      <c r="A2431">
        <v>1784</v>
      </c>
      <c r="B2431" t="str">
        <f>"300359"</f>
        <v>300359</v>
      </c>
      <c r="C2431" t="s">
        <v>2864</v>
      </c>
      <c r="D2431" t="str">
        <f>[1]!EM_S_INFO_INDEX_EM(B2431,"1")</f>
        <v>文化传媒</v>
      </c>
      <c r="E2431" s="4">
        <f t="shared" si="37"/>
        <v>43465</v>
      </c>
      <c r="F2431" s="11">
        <f>[1]!EM_S_PQ_PCTCHANGE(B2431,"2018-01-01","2019-12-31","3")</f>
        <v>-40.928047849999999</v>
      </c>
      <c r="G2431" s="11">
        <f>[1]!EM_S_PQ_PCTCHANGE(B2431,"2018-12-31","2019-12-30","1")</f>
        <v>-2.2222222199999999</v>
      </c>
      <c r="H2431" s="11">
        <f>[1]!EM_S_FA_YOY_OR(B2431,E2431)</f>
        <v>-18.5660674943</v>
      </c>
      <c r="I2431" s="11">
        <f>[1]!EM_S_FA_GROSSPROFITMARGIN(B2431,E2431)</f>
        <v>31.147856453399999</v>
      </c>
      <c r="J2431" s="11">
        <f>[1]!EM_S_FA_NETPROFITMARGIN(B2431,E2431)</f>
        <v>-76.722577599000005</v>
      </c>
      <c r="K2431" s="10">
        <f>[1]!EM_S_FA_ASSETSTURN(B2431,E2431)</f>
        <v>0.33477073402899998</v>
      </c>
      <c r="L2431" s="12">
        <f>[1]!EM_HKS_VAL_MV(B2431,"2019-12-31","2")</f>
        <v>3608617471.1799998</v>
      </c>
      <c r="M2431">
        <f>[1]!EM_S_VAL_PETTMDEDUCTED(B2431,E2431)</f>
        <v>129.49217570964399</v>
      </c>
      <c r="N2431" s="7">
        <f>[1]!EM_S_VAL_PBGOODWILLDEDUCTED(B2431,E2431)</f>
        <v>5.7452316556137903</v>
      </c>
      <c r="O2431" s="7">
        <f>[1]!EM_S_VAL_PS_TTM(B2431,E2431)</f>
        <v>4.5413815859742099</v>
      </c>
      <c r="P2431" s="7">
        <f>[1]!EM_S_VAL_PCF_NCFTTM(B2431,E2431)</f>
        <v>-1054.51793020629</v>
      </c>
      <c r="Q2431" s="7">
        <f>[1]!EM_S_VAL_DIVIDENDYIELD2(B2431,E2431,"2019-11-29")</f>
        <v>0</v>
      </c>
      <c r="T2431"/>
      <c r="U2431">
        <f>[1]!EM_S_RATIO_EPS_TTM(B2431,E2431,"1")</f>
        <v>-1.038129810994924</v>
      </c>
      <c r="AT2431" s="4" t="str">
        <f>[1]!EM_S_IPO_LISTEDDATE(B2431)</f>
        <v>2014-01-21</v>
      </c>
    </row>
    <row r="2432" spans="1:46">
      <c r="A2432">
        <v>41</v>
      </c>
      <c r="B2432" t="str">
        <f>"000042"</f>
        <v>000042</v>
      </c>
      <c r="C2432" t="s">
        <v>453</v>
      </c>
      <c r="D2432" t="str">
        <f>[1]!EM_S_INFO_INDEX_EM(B2432,"1")</f>
        <v>房地产</v>
      </c>
      <c r="E2432" s="4">
        <f t="shared" si="37"/>
        <v>43465</v>
      </c>
      <c r="F2432" s="11">
        <f>[1]!EM_S_PQ_PCTCHANGE(B2432,"2018-01-01","2019-12-31","3")</f>
        <v>-31.46103527</v>
      </c>
      <c r="G2432" s="11">
        <f>[1]!EM_S_PQ_PCTCHANGE(B2432,"2019-01-01","2019-12-31","3")</f>
        <v>-2.2308648</v>
      </c>
      <c r="H2432" s="11">
        <f>[1]!EM_S_FA_YOY_OR(B2432,E2432)</f>
        <v>-8.2285895915000005</v>
      </c>
      <c r="I2432" s="11">
        <f>[1]!EM_S_FA_GROSSPROFITMARGIN(B2432,E2432)</f>
        <v>47.081153009499999</v>
      </c>
      <c r="J2432" s="11">
        <f>[1]!EM_S_FA_NETPROFITMARGIN(B2432,E2432)</f>
        <v>5.2246689819999999</v>
      </c>
      <c r="K2432" s="10">
        <f>[1]!EM_S_FA_ASSETSTURN(B2432,E2432)</f>
        <v>0.17713976999799999</v>
      </c>
      <c r="L2432" s="12">
        <f>[1]!EM_HKS_VAL_MV(B2432,"2019-12-31","2")</f>
        <v>7220066169.54</v>
      </c>
      <c r="M2432">
        <f>[1]!EM_S_VAL_PETTMDEDUCTED(B2432,E2432)</f>
        <v>7.5043959154284696</v>
      </c>
      <c r="N2432" s="7">
        <f>[1]!EM_S_VAL_PBGOODWILLDEDUCTED(B2432,E2432)</f>
        <v>1.0255138798685</v>
      </c>
      <c r="O2432" s="7">
        <f>[1]!EM_S_VAL_PS_TTM(B2432,E2432)</f>
        <v>0.63782871462717705</v>
      </c>
      <c r="P2432" s="7">
        <f>[1]!EM_S_VAL_PCF_NCFTTM(B2432,E2432)</f>
        <v>-114.587550245168</v>
      </c>
      <c r="Q2432" s="7">
        <f>[1]!EM_S_VAL_DIVIDENDYIELD2(B2432,E2432,"2019-11-29")</f>
        <v>0.98039215686274506</v>
      </c>
      <c r="T2432"/>
      <c r="U2432">
        <f>[1]!EM_S_RATIO_EPS_TTM(B2432,E2432,"1")</f>
        <v>0.67188539387894108</v>
      </c>
      <c r="AT2432" s="4" t="str">
        <f>[1]!EM_S_IPO_LISTEDDATE(B2432)</f>
        <v>1994-09-21</v>
      </c>
    </row>
    <row r="2433" spans="1:46">
      <c r="A2433">
        <v>1247</v>
      </c>
      <c r="B2433" t="str">
        <f>"002737"</f>
        <v>002737</v>
      </c>
      <c r="C2433" t="s">
        <v>323</v>
      </c>
      <c r="D2433" t="str">
        <f>[1]!EM_S_INFO_INDEX_EM(B2433,"1")</f>
        <v>医药生物</v>
      </c>
      <c r="E2433" s="4">
        <f t="shared" si="37"/>
        <v>43465</v>
      </c>
      <c r="F2433" s="11">
        <f>[1]!EM_S_PQ_PCTCHANGE(B2433,"2018-01-01","2019-12-31","3")</f>
        <v>3.9230301399999998</v>
      </c>
      <c r="G2433" s="11">
        <f>[1]!EM_S_PQ_PCTCHANGE(B2433,"2018-12-31","2019-12-30","1")</f>
        <v>-2.2327469600000001</v>
      </c>
      <c r="H2433" s="11">
        <f>[1]!EM_S_FA_YOY_OR(B2433,E2433)</f>
        <v>15.995260742199999</v>
      </c>
      <c r="I2433" s="11">
        <f>[1]!EM_S_FA_GROSSPROFITMARGIN(B2433,E2433)</f>
        <v>59.057612840300003</v>
      </c>
      <c r="J2433" s="11">
        <f>[1]!EM_S_FA_NETPROFITMARGIN(B2433,E2433)</f>
        <v>13.591867064500001</v>
      </c>
      <c r="K2433" s="10">
        <f>[1]!EM_S_FA_ASSETSTURN(B2433,E2433)</f>
        <v>0.93852778176200002</v>
      </c>
      <c r="L2433" s="12">
        <f>[1]!EM_HKS_VAL_MV(B2433,"2019-12-31","2")</f>
        <v>8619840000</v>
      </c>
      <c r="M2433">
        <f>[1]!EM_S_VAL_PETTMDEDUCTED(B2433,E2433)</f>
        <v>19.387851639606101</v>
      </c>
      <c r="N2433" s="7">
        <f>[1]!EM_S_VAL_PBGOODWILLDEDUCTED(B2433,E2433)</f>
        <v>2.7831920235095402</v>
      </c>
      <c r="O2433" s="7">
        <f>[1]!EM_S_VAL_PS_TTM(B2433,E2433)</f>
        <v>1.97554763668337</v>
      </c>
      <c r="P2433" s="7">
        <f>[1]!EM_S_VAL_PCF_NCFTTM(B2433,E2433)</f>
        <v>-379.78221072963203</v>
      </c>
      <c r="Q2433" s="7">
        <f>[1]!EM_S_VAL_DIVIDENDYIELD2(B2433,E2433,"2019-11-29")</f>
        <v>7.0821529745042495</v>
      </c>
      <c r="T2433"/>
      <c r="U2433">
        <f>[1]!EM_S_RATIO_EPS_TTM(B2433,E2433,"1")</f>
        <v>0.96451567417808226</v>
      </c>
      <c r="AT2433" s="4" t="str">
        <f>[1]!EM_S_IPO_LISTEDDATE(B2433)</f>
        <v>2014-12-30</v>
      </c>
    </row>
    <row r="2434" spans="1:46">
      <c r="A2434">
        <v>2527</v>
      </c>
      <c r="B2434" t="str">
        <f>"600419"</f>
        <v>600419</v>
      </c>
      <c r="C2434" t="s">
        <v>686</v>
      </c>
      <c r="D2434" t="str">
        <f>[1]!EM_S_INFO_INDEX_EM(B2434,"1")</f>
        <v>食品饮料</v>
      </c>
      <c r="E2434" s="4">
        <f t="shared" si="37"/>
        <v>43465</v>
      </c>
      <c r="F2434" s="11">
        <f>[1]!EM_S_PQ_PCTCHANGE(B2434,"2018-01-01","2019-12-31","3")</f>
        <v>-38.237308380000002</v>
      </c>
      <c r="G2434" s="11">
        <f>[1]!EM_S_PQ_PCTCHANGE(B2434,"2018-12-31","2019-12-30","1")</f>
        <v>-2.2529069800000001</v>
      </c>
      <c r="H2434" s="11">
        <f>[1]!EM_S_FA_YOY_OR(B2434,E2434)</f>
        <v>17.886603274799999</v>
      </c>
      <c r="I2434" s="11">
        <f>[1]!EM_S_FA_GROSSPROFITMARGIN(B2434,E2434)</f>
        <v>27.2598351368</v>
      </c>
      <c r="J2434" s="11">
        <f>[1]!EM_S_FA_NETPROFITMARGIN(B2434,E2434)</f>
        <v>8.0731821109999995</v>
      </c>
      <c r="K2434" s="10">
        <f>[1]!EM_S_FA_ASSETSTURN(B2434,E2434)</f>
        <v>0.90354369754300001</v>
      </c>
      <c r="L2434" s="12">
        <f>[1]!EM_HKS_VAL_MV(B2434,"2019-12-31","2")</f>
        <v>2858178968.4000001</v>
      </c>
      <c r="M2434">
        <f>[1]!EM_S_VAL_PETTMDEDUCTED(B2434,E2434)</f>
        <v>22.4060279209871</v>
      </c>
      <c r="N2434" s="7">
        <f>[1]!EM_S_VAL_PBGOODWILLDEDUCTED(B2434,E2434)</f>
        <v>3.1273701913814702</v>
      </c>
      <c r="O2434" s="7">
        <f>[1]!EM_S_VAL_PS_TTM(B2434,E2434)</f>
        <v>1.987565502791</v>
      </c>
      <c r="P2434" s="7">
        <f>[1]!EM_S_VAL_PCF_NCFTTM(B2434,E2434)</f>
        <v>62.799770217218096</v>
      </c>
      <c r="Q2434" s="7">
        <f>[1]!EM_S_VAL_DIVIDENDYIELD2(B2434,E2434,"2019-11-29")</f>
        <v>1.2397311426437638</v>
      </c>
      <c r="T2434"/>
      <c r="U2434">
        <f>[1]!EM_S_RATIO_EPS_TTM(B2434,E2434,"1")</f>
        <v>0.551304769134904</v>
      </c>
      <c r="AT2434" s="4" t="str">
        <f>[1]!EM_S_IPO_LISTEDDATE(B2434)</f>
        <v>2001-06-28</v>
      </c>
    </row>
    <row r="2435" spans="1:46">
      <c r="A2435">
        <v>1483</v>
      </c>
      <c r="B2435" t="str">
        <f>"300057"</f>
        <v>300057</v>
      </c>
      <c r="C2435" t="s">
        <v>2512</v>
      </c>
      <c r="D2435" t="str">
        <f>[1]!EM_S_INFO_INDEX_EM(B2435,"1")</f>
        <v>轻工制造</v>
      </c>
      <c r="E2435" s="4">
        <f t="shared" ref="E2435:E2498" si="38">$B$1</f>
        <v>43465</v>
      </c>
      <c r="F2435" s="11">
        <f>[1]!EM_S_PQ_PCTCHANGE(B2435,"2018-01-01","2019-12-31","3")</f>
        <v>-27.916387539999999</v>
      </c>
      <c r="G2435" s="11">
        <f>[1]!EM_S_PQ_PCTCHANGE(B2435,"2018-12-31","2019-12-30","1")</f>
        <v>-2.2727272699999999</v>
      </c>
      <c r="H2435" s="11">
        <f>[1]!EM_S_FA_YOY_OR(B2435,E2435)</f>
        <v>29.755392250300002</v>
      </c>
      <c r="I2435" s="11">
        <f>[1]!EM_S_FA_GROSSPROFITMARGIN(B2435,E2435)</f>
        <v>13.554042605199999</v>
      </c>
      <c r="J2435" s="11">
        <f>[1]!EM_S_FA_NETPROFITMARGIN(B2435,E2435)</f>
        <v>3.3962127473999999</v>
      </c>
      <c r="K2435" s="10">
        <f>[1]!EM_S_FA_ASSETSTURN(B2435,E2435)</f>
        <v>0.70315769504400005</v>
      </c>
      <c r="L2435" s="12">
        <f>[1]!EM_HKS_VAL_MV(B2435,"2019-12-31","2")</f>
        <v>4069487417.8000002</v>
      </c>
      <c r="M2435">
        <f>[1]!EM_S_VAL_PETTMDEDUCTED(B2435,E2435)</f>
        <v>40.486922113885797</v>
      </c>
      <c r="N2435" s="7">
        <f>[1]!EM_S_VAL_PBGOODWILLDEDUCTED(B2435,E2435)</f>
        <v>1.1442496149602499</v>
      </c>
      <c r="O2435" s="7">
        <f>[1]!EM_S_VAL_PS_TTM(B2435,E2435)</f>
        <v>0.67011333428531095</v>
      </c>
      <c r="P2435" s="7">
        <f>[1]!EM_S_VAL_PCF_NCFTTM(B2435,E2435)</f>
        <v>3.7566332424739</v>
      </c>
      <c r="Q2435" s="7">
        <f>[1]!EM_S_VAL_DIVIDENDYIELD2(B2435,E2435,"2019-11-29")</f>
        <v>1.4620512185145993</v>
      </c>
      <c r="T2435"/>
      <c r="U2435">
        <f>[1]!EM_S_RATIO_EPS_TTM(B2435,E2435,"1")</f>
        <v>0.27707058143918062</v>
      </c>
      <c r="AT2435" s="4" t="str">
        <f>[1]!EM_S_IPO_LISTEDDATE(B2435)</f>
        <v>2010-02-26</v>
      </c>
    </row>
    <row r="2436" spans="1:46">
      <c r="A2436">
        <v>3112</v>
      </c>
      <c r="B2436" t="str">
        <f>"601500"</f>
        <v>601500</v>
      </c>
      <c r="C2436" t="s">
        <v>1999</v>
      </c>
      <c r="D2436" t="str">
        <f>[1]!EM_S_INFO_INDEX_EM(B2436,"1")</f>
        <v>基础化工</v>
      </c>
      <c r="E2436" s="4">
        <f t="shared" si="38"/>
        <v>43465</v>
      </c>
      <c r="F2436" s="11">
        <f>[1]!EM_S_PQ_PCTCHANGE(B2436,"2018-01-01","2019-12-31","3")</f>
        <v>-33.560378579999998</v>
      </c>
      <c r="G2436" s="11">
        <f>[1]!EM_S_PQ_PCTCHANGE(B2436,"2018-12-31","2019-12-30","1")</f>
        <v>-2.2761760199999999</v>
      </c>
      <c r="H2436" s="11">
        <f>[1]!EM_S_FA_YOY_OR(B2436,E2436)</f>
        <v>2.1614508164999999</v>
      </c>
      <c r="I2436" s="11">
        <f>[1]!EM_S_FA_GROSSPROFITMARGIN(B2436,E2436)</f>
        <v>15.0276066002</v>
      </c>
      <c r="J2436" s="11">
        <f>[1]!EM_S_FA_NETPROFITMARGIN(B2436,E2436)</f>
        <v>3.8517252386999998</v>
      </c>
      <c r="K2436" s="10">
        <f>[1]!EM_S_FA_ASSETSTURN(B2436,E2436)</f>
        <v>0.91217100561200004</v>
      </c>
      <c r="L2436" s="12">
        <f>[1]!EM_HKS_VAL_MV(B2436,"2019-12-31","2")</f>
        <v>5678608485.8999996</v>
      </c>
      <c r="M2436">
        <f>[1]!EM_S_VAL_PETTMDEDUCTED(B2436,E2436)</f>
        <v>32.068462369642099</v>
      </c>
      <c r="N2436" s="7">
        <f>[1]!EM_S_VAL_PBGOODWILLDEDUCTED(B2436,E2436)</f>
        <v>1.79576693616465</v>
      </c>
      <c r="O2436" s="7">
        <f>[1]!EM_S_VAL_PS_TTM(B2436,E2436)</f>
        <v>1.18794342459175</v>
      </c>
      <c r="P2436" s="7">
        <f>[1]!EM_S_VAL_PCF_NCFTTM(B2436,E2436)</f>
        <v>57.198470512273303</v>
      </c>
      <c r="Q2436" s="7">
        <f>[1]!EM_S_VAL_DIVIDENDYIELD2(B2436,E2436,"2019-11-29")</f>
        <v>1.3722126929674101</v>
      </c>
      <c r="T2436"/>
      <c r="U2436">
        <f>[1]!EM_S_RATIO_EPS_TTM(B2436,E2436,"1")</f>
        <v>0.20383467774821182</v>
      </c>
      <c r="AT2436" s="4" t="str">
        <f>[1]!EM_S_IPO_LISTEDDATE(B2436)</f>
        <v>2016-09-19</v>
      </c>
    </row>
    <row r="2437" spans="1:46">
      <c r="A2437">
        <v>3493</v>
      </c>
      <c r="B2437" t="str">
        <f>"603683"</f>
        <v>603683</v>
      </c>
      <c r="C2437" t="s">
        <v>2600</v>
      </c>
      <c r="D2437" t="str">
        <f>[1]!EM_S_INFO_INDEX_EM(B2437,"1")</f>
        <v>基础化工</v>
      </c>
      <c r="E2437" s="4">
        <f t="shared" si="38"/>
        <v>43465</v>
      </c>
      <c r="F2437" s="11">
        <f>[1]!EM_S_PQ_PCTCHANGE(B2437,"2018-01-01","2019-12-31","3")</f>
        <v>-34.345730600000003</v>
      </c>
      <c r="G2437" s="11">
        <f>[1]!EM_S_PQ_PCTCHANGE(B2437,"2018-12-31","2019-12-30","1")</f>
        <v>-2.3138105599999998</v>
      </c>
      <c r="H2437" s="11">
        <f>[1]!EM_S_FA_YOY_OR(B2437,E2437)</f>
        <v>21.079727226599999</v>
      </c>
      <c r="I2437" s="11">
        <f>[1]!EM_S_FA_GROSSPROFITMARGIN(B2437,E2437)</f>
        <v>17.531004578000001</v>
      </c>
      <c r="J2437" s="11">
        <f>[1]!EM_S_FA_NETPROFITMARGIN(B2437,E2437)</f>
        <v>2.87919846</v>
      </c>
      <c r="K2437" s="10">
        <f>[1]!EM_S_FA_ASSETSTURN(B2437,E2437)</f>
        <v>0.70817846856599997</v>
      </c>
      <c r="L2437" s="12">
        <f>[1]!EM_HKS_VAL_MV(B2437,"2019-12-31","2")</f>
        <v>1720178600</v>
      </c>
      <c r="M2437">
        <f>[1]!EM_S_VAL_PETTMDEDUCTED(B2437,E2437)</f>
        <v>72.224133132473</v>
      </c>
      <c r="N2437" s="7">
        <f>[1]!EM_S_VAL_PBGOODWILLDEDUCTED(B2437,E2437)</f>
        <v>2.26948860128556</v>
      </c>
      <c r="O2437" s="7">
        <f>[1]!EM_S_VAL_PS_TTM(B2437,E2437)</f>
        <v>2.20164967343498</v>
      </c>
      <c r="P2437" s="7">
        <f>[1]!EM_S_VAL_PCF_NCFTTM(B2437,E2437)</f>
        <v>101.471882516655</v>
      </c>
      <c r="Q2437" s="7">
        <f>[1]!EM_S_VAL_DIVIDENDYIELD2(B2437,E2437,"2019-11-29")</f>
        <v>0.39651070578905628</v>
      </c>
      <c r="T2437"/>
      <c r="U2437">
        <f>[1]!EM_S_RATIO_EPS_TTM(B2437,E2437,"1")</f>
        <v>0.18129855695902741</v>
      </c>
      <c r="AT2437" s="4" t="str">
        <f>[1]!EM_S_IPO_LISTEDDATE(B2437)</f>
        <v>2017-10-20</v>
      </c>
    </row>
    <row r="2438" spans="1:46">
      <c r="A2438">
        <v>230</v>
      </c>
      <c r="B2438" t="str">
        <f>"000629"</f>
        <v>000629</v>
      </c>
      <c r="C2438" t="s">
        <v>85</v>
      </c>
      <c r="D2438" t="str">
        <f>[1]!EM_S_INFO_INDEX_EM(B2438,"1")</f>
        <v>钢铁</v>
      </c>
      <c r="E2438" s="4">
        <f t="shared" si="38"/>
        <v>43465</v>
      </c>
      <c r="F2438" s="11">
        <f>[1]!EM_S_PQ_PCTCHANGE(B2438,"2018-01-01","2019-12-31","3")</f>
        <v>-4.8859934899999997</v>
      </c>
      <c r="G2438" s="11">
        <f>[1]!EM_S_PQ_PCTCHANGE(B2438,"2018-12-31","2019-12-30","1")</f>
        <v>-2.3333333299999999</v>
      </c>
      <c r="H2438" s="11">
        <f>[1]!EM_S_FA_YOY_OR(B2438,E2438)</f>
        <v>60.680395387799997</v>
      </c>
      <c r="I2438" s="11">
        <f>[1]!EM_S_FA_GROSSPROFITMARGIN(B2438,E2438)</f>
        <v>27.5152169403</v>
      </c>
      <c r="J2438" s="11">
        <f>[1]!EM_S_FA_NETPROFITMARGIN(B2438,E2438)</f>
        <v>20.8626473568</v>
      </c>
      <c r="K2438" s="10">
        <f>[1]!EM_S_FA_ASSETSTURN(B2438,E2438)</f>
        <v>1.3574056936350001</v>
      </c>
      <c r="L2438" s="12">
        <f>[1]!EM_HKS_VAL_MV(B2438,"2019-12-31","2")</f>
        <v>25082058909.84</v>
      </c>
      <c r="M2438">
        <f>[1]!EM_S_VAL_PETTMDEDUCTED(B2438,E2438)</f>
        <v>11.4674390805322</v>
      </c>
      <c r="N2438" s="7">
        <f>[1]!EM_S_VAL_PBGOODWILLDEDUCTED(B2438,E2438)</f>
        <v>3.4824300733756801</v>
      </c>
      <c r="O2438" s="7">
        <f>[1]!EM_S_VAL_PS_TTM(B2438,E2438)</f>
        <v>1.89137143172853</v>
      </c>
      <c r="P2438" s="7">
        <f>[1]!EM_S_VAL_PCF_NCFTTM(B2438,E2438)</f>
        <v>36.054610561967102</v>
      </c>
      <c r="Q2438" s="7">
        <f>[1]!EM_S_VAL_DIVIDENDYIELD2(B2438,E2438,"2019-11-29")</f>
        <v>0</v>
      </c>
      <c r="T2438"/>
      <c r="U2438">
        <f>[1]!EM_S_RATIO_EPS_TTM(B2438,E2438,"1")</f>
        <v>0.35975180536422557</v>
      </c>
      <c r="AT2438" s="4" t="str">
        <f>[1]!EM_S_IPO_LISTEDDATE(B2438)</f>
        <v>1996-11-15</v>
      </c>
    </row>
    <row r="2439" spans="1:46">
      <c r="A2439">
        <v>1897</v>
      </c>
      <c r="B2439" t="str">
        <f>"300472"</f>
        <v>300472</v>
      </c>
      <c r="C2439" t="s">
        <v>2045</v>
      </c>
      <c r="D2439" t="str">
        <f>[1]!EM_S_INFO_INDEX_EM(B2439,"1")</f>
        <v>机械设备</v>
      </c>
      <c r="E2439" s="4">
        <f t="shared" si="38"/>
        <v>43465</v>
      </c>
      <c r="F2439" s="11">
        <f>[1]!EM_S_PQ_PCTCHANGE(B2439,"2018-01-01","2019-12-31","3")</f>
        <v>-26.258390760000001</v>
      </c>
      <c r="G2439" s="11">
        <f>[1]!EM_S_PQ_PCTCHANGE(B2439,"2018-12-31","2019-12-30","1")</f>
        <v>-2.35121234</v>
      </c>
      <c r="H2439" s="11">
        <f>[1]!EM_S_FA_YOY_OR(B2439,E2439)</f>
        <v>76.890686009000007</v>
      </c>
      <c r="I2439" s="11">
        <f>[1]!EM_S_FA_GROSSPROFITMARGIN(B2439,E2439)</f>
        <v>35.431660573400002</v>
      </c>
      <c r="J2439" s="11">
        <f>[1]!EM_S_FA_NETPROFITMARGIN(B2439,E2439)</f>
        <v>13.3803975137</v>
      </c>
      <c r="K2439" s="10">
        <f>[1]!EM_S_FA_ASSETSTURN(B2439,E2439)</f>
        <v>0.34052335537700001</v>
      </c>
      <c r="L2439" s="12">
        <f>[1]!EM_HKS_VAL_MV(B2439,"2019-12-31","2")</f>
        <v>2852867286.2399998</v>
      </c>
      <c r="M2439">
        <f>[1]!EM_S_VAL_PETTMDEDUCTED(B2439,E2439)</f>
        <v>53.8202705832039</v>
      </c>
      <c r="N2439" s="7">
        <f>[1]!EM_S_VAL_PBGOODWILLDEDUCTED(B2439,E2439)</f>
        <v>3.2740480231810798</v>
      </c>
      <c r="O2439" s="7">
        <f>[1]!EM_S_VAL_PS_TTM(B2439,E2439)</f>
        <v>3.7876979215600102</v>
      </c>
      <c r="P2439" s="7">
        <f>[1]!EM_S_VAL_PCF_NCFTTM(B2439,E2439)</f>
        <v>86.025995846550302</v>
      </c>
      <c r="Q2439" s="7">
        <f>[1]!EM_S_VAL_DIVIDENDYIELD2(B2439,E2439,"2019-11-29")</f>
        <v>0.51143953054471225</v>
      </c>
      <c r="T2439"/>
      <c r="U2439">
        <f>[1]!EM_S_RATIO_EPS_TTM(B2439,E2439,"1")</f>
        <v>0.52838130890602641</v>
      </c>
      <c r="AT2439" s="4" t="str">
        <f>[1]!EM_S_IPO_LISTEDDATE(B2439)</f>
        <v>2015-06-11</v>
      </c>
    </row>
    <row r="2440" spans="1:46">
      <c r="A2440">
        <v>2590</v>
      </c>
      <c r="B2440" t="str">
        <f>"600508"</f>
        <v>600508</v>
      </c>
      <c r="C2440" t="s">
        <v>554</v>
      </c>
      <c r="D2440" t="str">
        <f>[1]!EM_S_INFO_INDEX_EM(B2440,"1")</f>
        <v>化石能源</v>
      </c>
      <c r="E2440" s="4">
        <f t="shared" si="38"/>
        <v>43465</v>
      </c>
      <c r="F2440" s="11">
        <f>[1]!EM_S_PQ_PCTCHANGE(B2440,"2018-01-01","2019-12-31","3")</f>
        <v>-18.800173910000002</v>
      </c>
      <c r="G2440" s="11">
        <f>[1]!EM_S_PQ_PCTCHANGE(B2440,"2018-12-31","2019-12-30","1")</f>
        <v>-2.3834196900000002</v>
      </c>
      <c r="H2440" s="11">
        <f>[1]!EM_S_FA_YOY_OR(B2440,E2440)</f>
        <v>8.1326876182000003</v>
      </c>
      <c r="I2440" s="11">
        <f>[1]!EM_S_FA_GROSSPROFITMARGIN(B2440,E2440)</f>
        <v>31.0192068572</v>
      </c>
      <c r="J2440" s="11">
        <f>[1]!EM_S_FA_NETPROFITMARGIN(B2440,E2440)</f>
        <v>8.4940529599999994</v>
      </c>
      <c r="K2440" s="10">
        <f>[1]!EM_S_FA_ASSETSTURN(B2440,E2440)</f>
        <v>0.46993303645700002</v>
      </c>
      <c r="L2440" s="12">
        <f>[1]!EM_HKS_VAL_MV(B2440,"2019-12-31","2")</f>
        <v>6786322020</v>
      </c>
      <c r="M2440">
        <f>[1]!EM_S_VAL_PETTMDEDUCTED(B2440,E2440)</f>
        <v>10.3433111420287</v>
      </c>
      <c r="N2440" s="7">
        <f>[1]!EM_S_VAL_PBGOODWILLDEDUCTED(B2440,E2440)</f>
        <v>0.73325258840708396</v>
      </c>
      <c r="O2440" s="7">
        <f>[1]!EM_S_VAL_PS_TTM(B2440,E2440)</f>
        <v>1.0355158325343901</v>
      </c>
      <c r="P2440" s="7">
        <f>[1]!EM_S_VAL_PCF_NCFTTM(B2440,E2440)</f>
        <v>30.118680995095101</v>
      </c>
      <c r="Q2440" s="7">
        <f>[1]!EM_S_VAL_DIVIDENDYIELD2(B2440,E2440,"2019-11-29")</f>
        <v>3.0837004405286339</v>
      </c>
      <c r="T2440"/>
      <c r="U2440">
        <f>[1]!EM_S_RATIO_EPS_TTM(B2440,E2440,"1")</f>
        <v>0.91503652287614257</v>
      </c>
      <c r="AT2440" s="4" t="str">
        <f>[1]!EM_S_IPO_LISTEDDATE(B2440)</f>
        <v>2001-08-29</v>
      </c>
    </row>
    <row r="2441" spans="1:46">
      <c r="A2441">
        <v>1582</v>
      </c>
      <c r="B2441" t="str">
        <f>"300157"</f>
        <v>300157</v>
      </c>
      <c r="C2441" t="s">
        <v>2957</v>
      </c>
      <c r="D2441" t="str">
        <f>[1]!EM_S_INFO_INDEX_EM(B2441,"1")</f>
        <v>信息技术</v>
      </c>
      <c r="E2441" s="4">
        <f t="shared" si="38"/>
        <v>43465</v>
      </c>
      <c r="F2441" s="11">
        <f>[1]!EM_S_PQ_PCTCHANGE(B2441,"2018-01-01","2019-12-31","3")</f>
        <v>-55.372807020000003</v>
      </c>
      <c r="G2441" s="11">
        <f>[1]!EM_S_PQ_PCTCHANGE(B2441,"2018-12-31","2019-12-30","1")</f>
        <v>-2.4096385499999999</v>
      </c>
      <c r="H2441" s="11">
        <f>[1]!EM_S_FA_YOY_OR(B2441,E2441)</f>
        <v>-49.259973647300001</v>
      </c>
      <c r="I2441" s="11">
        <f>[1]!EM_S_FA_GROSSPROFITMARGIN(B2441,E2441)</f>
        <v>25.171501712600001</v>
      </c>
      <c r="J2441" s="11">
        <f>[1]!EM_S_FA_NETPROFITMARGIN(B2441,E2441)</f>
        <v>3.2131331581999998</v>
      </c>
      <c r="K2441" s="10">
        <f>[1]!EM_S_FA_ASSETSTURN(B2441,E2441)</f>
        <v>0.25086606768399999</v>
      </c>
      <c r="L2441" s="12">
        <f>[1]!EM_HKS_VAL_MV(B2441,"2019-12-31","2")</f>
        <v>2898300955.9899998</v>
      </c>
      <c r="M2441">
        <f>[1]!EM_S_VAL_PETTMDEDUCTED(B2441,E2441)</f>
        <v>-5.2766667113467003</v>
      </c>
      <c r="N2441" s="7">
        <f>[1]!EM_S_VAL_PBGOODWILLDEDUCTED(B2441,E2441)</f>
        <v>1.41284159389068</v>
      </c>
      <c r="O2441" s="7">
        <f>[1]!EM_S_VAL_PS_TTM(B2441,E2441)</f>
        <v>2.00447562740445</v>
      </c>
      <c r="P2441" s="7">
        <f>[1]!EM_S_VAL_PCF_NCFTTM(B2441,E2441)</f>
        <v>-12.357852559678999</v>
      </c>
      <c r="Q2441" s="7">
        <f>[1]!EM_S_VAL_DIVIDENDYIELD2(B2441,E2441,"2019-11-29")</f>
        <v>0</v>
      </c>
      <c r="T2441"/>
      <c r="U2441">
        <f>[1]!EM_S_RATIO_EPS_TTM(B2441,E2441,"1")</f>
        <v>4.2951165393063311E-2</v>
      </c>
      <c r="AT2441" s="4" t="str">
        <f>[1]!EM_S_IPO_LISTEDDATE(B2441)</f>
        <v>2011-01-07</v>
      </c>
    </row>
    <row r="2442" spans="1:46">
      <c r="A2442">
        <v>335</v>
      </c>
      <c r="B2442" t="str">
        <f>"000767"</f>
        <v>000767</v>
      </c>
      <c r="C2442" t="s">
        <v>3616</v>
      </c>
      <c r="D2442" t="str">
        <f>[1]!EM_S_INFO_INDEX_EM(B2442,"1")</f>
        <v>公用事业</v>
      </c>
      <c r="E2442" s="4">
        <f t="shared" si="38"/>
        <v>43465</v>
      </c>
      <c r="F2442" s="11">
        <f>[1]!EM_S_PQ_PCTCHANGE(B2442,"2018-01-01","2019-12-31","3")</f>
        <v>-17.346938779999999</v>
      </c>
      <c r="G2442" s="11">
        <f>[1]!EM_S_PQ_PCTCHANGE(B2442,"2018-12-31","2019-12-30","1")</f>
        <v>-2.4291497999999998</v>
      </c>
      <c r="H2442" s="11">
        <f>[1]!EM_S_FA_YOY_OR(B2442,E2442)</f>
        <v>17.9570431866</v>
      </c>
      <c r="I2442" s="11">
        <f>[1]!EM_S_FA_GROSSPROFITMARGIN(B2442,E2442)</f>
        <v>5.5468257464999997</v>
      </c>
      <c r="J2442" s="11">
        <f>[1]!EM_S_FA_NETPROFITMARGIN(B2442,E2442)</f>
        <v>0.43925873799999998</v>
      </c>
      <c r="K2442" s="10">
        <f>[1]!EM_S_FA_ASSETSTURN(B2442,E2442)</f>
        <v>0.22733679874000001</v>
      </c>
      <c r="L2442" s="12">
        <f>[1]!EM_HKS_VAL_MV(B2442,"2019-12-31","2")</f>
        <v>7476969592.1700001</v>
      </c>
      <c r="M2442">
        <f>[1]!EM_S_VAL_PETTMDEDUCTED(B2442,E2442)</f>
        <v>-5.5837460195529403</v>
      </c>
      <c r="N2442" s="7">
        <f>[1]!EM_S_VAL_PBGOODWILLDEDUCTED(B2442,E2442)</f>
        <v>1.02220568780684</v>
      </c>
      <c r="O2442" s="7">
        <f>[1]!EM_S_VAL_PS_TTM(B2442,E2442)</f>
        <v>0.70469735090284802</v>
      </c>
      <c r="P2442" s="7">
        <f>[1]!EM_S_VAL_PCF_NCFTTM(B2442,E2442)</f>
        <v>-6.4789667241159998</v>
      </c>
      <c r="Q2442" s="7">
        <f>[1]!EM_S_VAL_DIVIDENDYIELD2(B2442,E2442,"2019-11-29")</f>
        <v>0</v>
      </c>
      <c r="T2442"/>
      <c r="U2442">
        <f>[1]!EM_S_RATIO_EPS_TTM(B2442,E2442,"1")</f>
        <v>0.10380047501307986</v>
      </c>
      <c r="AT2442" s="4" t="str">
        <f>[1]!EM_S_IPO_LISTEDDATE(B2442)</f>
        <v>1997-06-09</v>
      </c>
    </row>
    <row r="2443" spans="1:46">
      <c r="A2443">
        <v>3571</v>
      </c>
      <c r="B2443" t="str">
        <f>"603868"</f>
        <v>603868</v>
      </c>
      <c r="C2443" t="s">
        <v>159</v>
      </c>
      <c r="D2443" t="str">
        <f>[1]!EM_S_INFO_INDEX_EM(B2443,"1")</f>
        <v>家电</v>
      </c>
      <c r="E2443" s="4">
        <f t="shared" si="38"/>
        <v>43465</v>
      </c>
      <c r="F2443" s="11">
        <f>[1]!EM_S_PQ_PCTCHANGE(B2443,"2018-01-01","2019-12-31","3")</f>
        <v>-46.765396520000003</v>
      </c>
      <c r="G2443" s="11">
        <f>[1]!EM_S_PQ_PCTCHANGE(B2443,"2018-12-31","2019-12-30","1")</f>
        <v>-2.4358302799999998</v>
      </c>
      <c r="H2443" s="11">
        <f>[1]!EM_S_FA_YOY_OR(B2443,E2443)</f>
        <v>3.1952485587999999</v>
      </c>
      <c r="I2443" s="11">
        <f>[1]!EM_S_FA_GROSSPROFITMARGIN(B2443,E2443)</f>
        <v>39.090602603599997</v>
      </c>
      <c r="J2443" s="11">
        <f>[1]!EM_S_FA_NETPROFITMARGIN(B2443,E2443)</f>
        <v>21.215736998299999</v>
      </c>
      <c r="K2443" s="10">
        <f>[1]!EM_S_FA_ASSETSTURN(B2443,E2443)</f>
        <v>1.1438743672589999</v>
      </c>
      <c r="L2443" s="12">
        <f>[1]!EM_HKS_VAL_MV(B2443,"2019-12-31","2")</f>
        <v>16413408000</v>
      </c>
      <c r="M2443">
        <f>[1]!EM_S_VAL_PETTMDEDUCTED(B2443,E2443)</f>
        <v>20.867852963017999</v>
      </c>
      <c r="N2443" s="7">
        <f>[1]!EM_S_VAL_PBGOODWILLDEDUCTED(B2443,E2443)</f>
        <v>6.3924587204290697</v>
      </c>
      <c r="O2443" s="7">
        <f>[1]!EM_S_VAL_PS_TTM(B2443,E2443)</f>
        <v>4.1482471335545199</v>
      </c>
      <c r="P2443" s="7">
        <f>[1]!EM_S_VAL_PCF_NCFTTM(B2443,E2443)</f>
        <v>-41.558092615112898</v>
      </c>
      <c r="Q2443" s="7">
        <f>[1]!EM_S_VAL_DIVIDENDYIELD2(B2443,E2443,"2019-11-29")</f>
        <v>4.1322314049586781</v>
      </c>
      <c r="T2443"/>
      <c r="U2443">
        <f>[1]!EM_S_RATIO_EPS_TTM(B2443,E2443,"1")</f>
        <v>1.9396164777318643</v>
      </c>
      <c r="AT2443" s="4" t="str">
        <f>[1]!EM_S_IPO_LISTEDDATE(B2443)</f>
        <v>2016-04-18</v>
      </c>
    </row>
    <row r="2444" spans="1:46">
      <c r="A2444">
        <v>3136</v>
      </c>
      <c r="B2444" t="str">
        <f>"601668"</f>
        <v>601668</v>
      </c>
      <c r="C2444" t="s">
        <v>562</v>
      </c>
      <c r="D2444" t="str">
        <f>[1]!EM_S_INFO_INDEX_EM(B2444,"1")</f>
        <v>建筑</v>
      </c>
      <c r="E2444" s="4">
        <f t="shared" si="38"/>
        <v>43465</v>
      </c>
      <c r="F2444" s="11">
        <f>[1]!EM_S_PQ_PCTCHANGE(B2444,"2018-01-01","2019-12-31","3")</f>
        <v>-7.6602173699999998</v>
      </c>
      <c r="G2444" s="11">
        <f>[1]!EM_S_PQ_PCTCHANGE(B2444,"2018-12-31","2019-12-30","1")</f>
        <v>-2.4561403500000001</v>
      </c>
      <c r="H2444" s="11">
        <f>[1]!EM_S_FA_YOY_OR(B2444,E2444)</f>
        <v>13.776408891000001</v>
      </c>
      <c r="I2444" s="11">
        <f>[1]!EM_S_FA_GROSSPROFITMARGIN(B2444,E2444)</f>
        <v>11.891271463800001</v>
      </c>
      <c r="J2444" s="11">
        <f>[1]!EM_S_FA_NETPROFITMARGIN(B2444,E2444)</f>
        <v>4.6151144954000003</v>
      </c>
      <c r="K2444" s="10">
        <f>[1]!EM_S_FA_ASSETSTURN(B2444,E2444)</f>
        <v>0.70283417144299998</v>
      </c>
      <c r="L2444" s="12">
        <f>[1]!EM_HKS_VAL_MV(B2444,"2019-12-31","2")</f>
        <v>235903038975.82001</v>
      </c>
      <c r="M2444">
        <f>[1]!EM_S_VAL_PETTMDEDUCTED(B2444,E2444)</f>
        <v>7.1676750098882396</v>
      </c>
      <c r="N2444" s="7">
        <f>[1]!EM_S_VAL_PBGOODWILLDEDUCTED(B2444,E2444)</f>
        <v>1.0942840806245799</v>
      </c>
      <c r="O2444" s="7">
        <f>[1]!EM_S_VAL_PS_TTM(B2444,E2444)</f>
        <v>0.212967728639993</v>
      </c>
      <c r="P2444" s="7">
        <f>[1]!EM_S_VAL_PCF_NCFTTM(B2444,E2444)</f>
        <v>7.8626063635644696</v>
      </c>
      <c r="Q2444" s="7">
        <f>[1]!EM_S_VAL_DIVIDENDYIELD2(B2444,E2444,"2019-11-29")</f>
        <v>3.2881126585616505</v>
      </c>
      <c r="T2444"/>
      <c r="U2444">
        <f>[1]!EM_S_RATIO_EPS_TTM(B2444,E2444,"1")</f>
        <v>0.91082922713557657</v>
      </c>
      <c r="AT2444" s="4" t="str">
        <f>[1]!EM_S_IPO_LISTEDDATE(B2444)</f>
        <v>2009-07-29</v>
      </c>
    </row>
    <row r="2445" spans="1:46">
      <c r="A2445">
        <v>442</v>
      </c>
      <c r="B2445" t="str">
        <f>"000917"</f>
        <v>000917</v>
      </c>
      <c r="C2445" t="s">
        <v>3301</v>
      </c>
      <c r="D2445" t="str">
        <f>[1]!EM_S_INFO_INDEX_EM(B2445,"1")</f>
        <v>文化传媒</v>
      </c>
      <c r="E2445" s="4">
        <f t="shared" si="38"/>
        <v>43465</v>
      </c>
      <c r="F2445" s="11">
        <f>[1]!EM_S_PQ_PCTCHANGE(B2445,"2018-01-01","2019-12-31","3")</f>
        <v>-25.385656399999998</v>
      </c>
      <c r="G2445" s="11">
        <f>[1]!EM_S_PQ_PCTCHANGE(B2445,"2018-12-31","2019-12-30","1")</f>
        <v>-2.4566474</v>
      </c>
      <c r="H2445" s="11">
        <f>[1]!EM_S_FA_YOY_OR(B2445,E2445)</f>
        <v>20.239407859</v>
      </c>
      <c r="I2445" s="11">
        <f>[1]!EM_S_FA_GROSSPROFITMARGIN(B2445,E2445)</f>
        <v>19.7601315028</v>
      </c>
      <c r="J2445" s="11">
        <f>[1]!EM_S_FA_NETPROFITMARGIN(B2445,E2445)</f>
        <v>2.5856557677000001</v>
      </c>
      <c r="K2445" s="10">
        <f>[1]!EM_S_FA_ASSETSTURN(B2445,E2445)</f>
        <v>0.44710647576099999</v>
      </c>
      <c r="L2445" s="12">
        <f>[1]!EM_HKS_VAL_MV(B2445,"2019-12-31","2")</f>
        <v>9554329718.1200008</v>
      </c>
      <c r="M2445">
        <f>[1]!EM_S_VAL_PETTMDEDUCTED(B2445,E2445)</f>
        <v>-11.7090052140524</v>
      </c>
      <c r="N2445" s="7">
        <f>[1]!EM_S_VAL_PBGOODWILLDEDUCTED(B2445,E2445)</f>
        <v>1.0317787700232901</v>
      </c>
      <c r="O2445" s="7">
        <f>[1]!EM_S_VAL_PS_TTM(B2445,E2445)</f>
        <v>0.95945674185721697</v>
      </c>
      <c r="P2445" s="7">
        <f>[1]!EM_S_VAL_PCF_NCFTTM(B2445,E2445)</f>
        <v>13.855201208826101</v>
      </c>
      <c r="Q2445" s="7">
        <f>[1]!EM_S_VAL_DIVIDENDYIELD2(B2445,E2445,"2019-11-29")</f>
        <v>0.30150753768844218</v>
      </c>
      <c r="T2445"/>
      <c r="U2445">
        <f>[1]!EM_S_RATIO_EPS_TTM(B2445,E2445,"1")</f>
        <v>6.1781868926326935E-2</v>
      </c>
      <c r="AT2445" s="4" t="str">
        <f>[1]!EM_S_IPO_LISTEDDATE(B2445)</f>
        <v>1999-03-25</v>
      </c>
    </row>
    <row r="2446" spans="1:46">
      <c r="A2446">
        <v>1437</v>
      </c>
      <c r="B2446" t="str">
        <f>"300011"</f>
        <v>300011</v>
      </c>
      <c r="C2446" t="s">
        <v>3210</v>
      </c>
      <c r="D2446" t="str">
        <f>[1]!EM_S_INFO_INDEX_EM(B2446,"1")</f>
        <v>交运设备</v>
      </c>
      <c r="E2446" s="4">
        <f t="shared" si="38"/>
        <v>43465</v>
      </c>
      <c r="F2446" s="11">
        <f>[1]!EM_S_PQ_PCTCHANGE(B2446,"2018-01-01","2019-12-31","3")</f>
        <v>-42.774839329999999</v>
      </c>
      <c r="G2446" s="11">
        <f>[1]!EM_S_PQ_PCTCHANGE(B2446,"2018-12-31","2019-12-30","1")</f>
        <v>-2.47933884</v>
      </c>
      <c r="H2446" s="11">
        <f>[1]!EM_S_FA_YOY_OR(B2446,E2446)</f>
        <v>9.7541810431999991</v>
      </c>
      <c r="I2446" s="11">
        <f>[1]!EM_S_FA_GROSSPROFITMARGIN(B2446,E2446)</f>
        <v>31.449356183999999</v>
      </c>
      <c r="J2446" s="11">
        <f>[1]!EM_S_FA_NETPROFITMARGIN(B2446,E2446)</f>
        <v>-42.536906328900002</v>
      </c>
      <c r="K2446" s="10">
        <f>[1]!EM_S_FA_ASSETSTURN(B2446,E2446)</f>
        <v>0.356717379409</v>
      </c>
      <c r="L2446" s="12">
        <f>[1]!EM_HKS_VAL_MV(B2446,"2019-12-31","2")</f>
        <v>3301623787.1700001</v>
      </c>
      <c r="M2446">
        <f>[1]!EM_S_VAL_PETTMDEDUCTED(B2446,E2446)</f>
        <v>111.87123722979899</v>
      </c>
      <c r="N2446" s="7">
        <f>[1]!EM_S_VAL_PBGOODWILLDEDUCTED(B2446,E2446)</f>
        <v>2.2788346832539901</v>
      </c>
      <c r="O2446" s="7">
        <f>[1]!EM_S_VAL_PS_TTM(B2446,E2446)</f>
        <v>2.5376330594376002</v>
      </c>
      <c r="P2446" s="7">
        <f>[1]!EM_S_VAL_PCF_NCFTTM(B2446,E2446)</f>
        <v>-11.8440902141908</v>
      </c>
      <c r="Q2446" s="7">
        <f>[1]!EM_S_VAL_DIVIDENDYIELD2(B2446,E2446,"2019-11-29")</f>
        <v>0</v>
      </c>
      <c r="T2446"/>
      <c r="U2446">
        <f>[1]!EM_S_RATIO_EPS_TTM(B2446,E2446,"1")</f>
        <v>-1.0322486978962746</v>
      </c>
      <c r="AT2446" s="4" t="str">
        <f>[1]!EM_S_IPO_LISTEDDATE(B2446)</f>
        <v>2009-10-30</v>
      </c>
    </row>
    <row r="2447" spans="1:46">
      <c r="A2447">
        <v>2236</v>
      </c>
      <c r="B2447" t="str">
        <f>"600089"</f>
        <v>600089</v>
      </c>
      <c r="C2447" t="s">
        <v>1604</v>
      </c>
      <c r="D2447" t="str">
        <f>[1]!EM_S_INFO_INDEX_EM(B2447,"1")</f>
        <v>电气设备</v>
      </c>
      <c r="E2447" s="4">
        <f t="shared" si="38"/>
        <v>43465</v>
      </c>
      <c r="F2447" s="11">
        <f>[1]!EM_S_PQ_PCTCHANGE(B2447,"2018-01-01","2019-12-31","3")</f>
        <v>-29.04640041</v>
      </c>
      <c r="G2447" s="11">
        <f>[1]!EM_S_PQ_PCTCHANGE(B2447,"2018-12-31","2019-12-30","1")</f>
        <v>-2.5036818900000002</v>
      </c>
      <c r="H2447" s="11">
        <f>[1]!EM_S_FA_YOY_OR(B2447,E2447)</f>
        <v>3.5900807187999999</v>
      </c>
      <c r="I2447" s="11">
        <f>[1]!EM_S_FA_GROSSPROFITMARGIN(B2447,E2447)</f>
        <v>19.664959530299999</v>
      </c>
      <c r="J2447" s="11">
        <f>[1]!EM_S_FA_NETPROFITMARGIN(B2447,E2447)</f>
        <v>6.3904765924999998</v>
      </c>
      <c r="K2447" s="10">
        <f>[1]!EM_S_FA_ASSETSTURN(B2447,E2447)</f>
        <v>0.45013903782600001</v>
      </c>
      <c r="L2447" s="12">
        <f>[1]!EM_HKS_VAL_MV(B2447,"2019-12-31","2")</f>
        <v>24700180046.849998</v>
      </c>
      <c r="M2447">
        <f>[1]!EM_S_VAL_PETTMDEDUCTED(B2447,E2447)</f>
        <v>12.4368257014811</v>
      </c>
      <c r="N2447" s="7">
        <f>[1]!EM_S_VAL_PBGOODWILLDEDUCTED(B2447,E2447)</f>
        <v>0.87484681353236204</v>
      </c>
      <c r="O2447" s="7">
        <f>[1]!EM_S_VAL_PS_TTM(B2447,E2447)</f>
        <v>0.65718199742301198</v>
      </c>
      <c r="P2447" s="7">
        <f>[1]!EM_S_VAL_PCF_NCFTTM(B2447,E2447)</f>
        <v>21.071158304599798</v>
      </c>
      <c r="Q2447" s="7">
        <f>[1]!EM_S_VAL_DIVIDENDYIELD2(B2447,E2447,"2019-11-29")</f>
        <v>2.7736395627918355</v>
      </c>
      <c r="T2447"/>
      <c r="U2447">
        <f>[1]!EM_S_RATIO_EPS_TTM(B2447,E2447,"1")</f>
        <v>0.55132795635383758</v>
      </c>
      <c r="AT2447" s="4" t="str">
        <f>[1]!EM_S_IPO_LISTEDDATE(B2447)</f>
        <v>1997-06-18</v>
      </c>
    </row>
    <row r="2448" spans="1:46">
      <c r="A2448">
        <v>3233</v>
      </c>
      <c r="B2448" t="str">
        <f>"603037"</f>
        <v>603037</v>
      </c>
      <c r="C2448" t="s">
        <v>240</v>
      </c>
      <c r="D2448" t="str">
        <f>[1]!EM_S_INFO_INDEX_EM(B2448,"1")</f>
        <v>交运设备</v>
      </c>
      <c r="E2448" s="4">
        <f t="shared" si="38"/>
        <v>43465</v>
      </c>
      <c r="F2448" s="11">
        <f>[1]!EM_S_PQ_PCTCHANGE(B2448,"2018-01-01","2019-12-31","3")</f>
        <v>-23.70734083</v>
      </c>
      <c r="G2448" s="11">
        <f>[1]!EM_S_PQ_PCTCHANGE(B2448,"2018-12-31","2019-12-30","1")</f>
        <v>-2.5139664800000001</v>
      </c>
      <c r="H2448" s="11">
        <f>[1]!EM_S_FA_YOY_OR(B2448,E2448)</f>
        <v>21.974557080099999</v>
      </c>
      <c r="I2448" s="11">
        <f>[1]!EM_S_FA_GROSSPROFITMARGIN(B2448,E2448)</f>
        <v>42.474711191300003</v>
      </c>
      <c r="J2448" s="11">
        <f>[1]!EM_S_FA_NETPROFITMARGIN(B2448,E2448)</f>
        <v>23.095309901099998</v>
      </c>
      <c r="K2448" s="10">
        <f>[1]!EM_S_FA_ASSETSTURN(B2448,E2448)</f>
        <v>0.59394631612500004</v>
      </c>
      <c r="L2448" s="12">
        <f>[1]!EM_HKS_VAL_MV(B2448,"2019-12-31","2")</f>
        <v>2005359115</v>
      </c>
      <c r="M2448">
        <f>[1]!EM_S_VAL_PETTMDEDUCTED(B2448,E2448)</f>
        <v>16.4267724782442</v>
      </c>
      <c r="N2448" s="7">
        <f>[1]!EM_S_VAL_PBGOODWILLDEDUCTED(B2448,E2448)</f>
        <v>2.30050190050726</v>
      </c>
      <c r="O2448" s="7">
        <f>[1]!EM_S_VAL_PS_TTM(B2448,E2448)</f>
        <v>3.5745778527687602</v>
      </c>
      <c r="P2448" s="7">
        <f>[1]!EM_S_VAL_PCF_NCFTTM(B2448,E2448)</f>
        <v>50.374276669012403</v>
      </c>
      <c r="Q2448" s="7">
        <f>[1]!EM_S_VAL_DIVIDENDYIELD2(B2448,E2448,"2019-11-29")</f>
        <v>4.6904315196998123</v>
      </c>
      <c r="T2448"/>
      <c r="U2448">
        <f>[1]!EM_S_RATIO_EPS_TTM(B2448,E2448,"1")</f>
        <v>1.1987846843972065</v>
      </c>
      <c r="AT2448" s="4" t="str">
        <f>[1]!EM_S_IPO_LISTEDDATE(B2448)</f>
        <v>2017-01-20</v>
      </c>
    </row>
    <row r="2449" spans="1:46">
      <c r="A2449">
        <v>1817</v>
      </c>
      <c r="B2449" t="str">
        <f>"300392"</f>
        <v>300392</v>
      </c>
      <c r="C2449" t="s">
        <v>2738</v>
      </c>
      <c r="D2449" t="str">
        <f>[1]!EM_S_INFO_INDEX_EM(B2449,"1")</f>
        <v>文化传媒</v>
      </c>
      <c r="E2449" s="4">
        <f t="shared" si="38"/>
        <v>43465</v>
      </c>
      <c r="F2449" s="11">
        <f>[1]!EM_S_PQ_PCTCHANGE(B2449,"2018-01-01","2019-12-31","3")</f>
        <v>-49.832551909999999</v>
      </c>
      <c r="G2449" s="11">
        <f>[1]!EM_S_PQ_PCTCHANGE(B2449,"2018-12-31","2019-12-30","1")</f>
        <v>-2.5412960600000001</v>
      </c>
      <c r="H2449" s="11">
        <f>[1]!EM_S_FA_YOY_OR(B2449,E2449)</f>
        <v>-17.995623989199999</v>
      </c>
      <c r="I2449" s="11">
        <f>[1]!EM_S_FA_GROSSPROFITMARGIN(B2449,E2449)</f>
        <v>4.9179973694000001</v>
      </c>
      <c r="J2449" s="11">
        <f>[1]!EM_S_FA_NETPROFITMARGIN(B2449,E2449)</f>
        <v>1.5583056038</v>
      </c>
      <c r="K2449" s="10">
        <f>[1]!EM_S_FA_ASSETSTURN(B2449,E2449)</f>
        <v>0.91635927499500003</v>
      </c>
      <c r="L2449" s="12">
        <f>[1]!EM_HKS_VAL_MV(B2449,"2019-12-31","2")</f>
        <v>2876160000</v>
      </c>
      <c r="M2449">
        <f>[1]!EM_S_VAL_PETTMDEDUCTED(B2449,E2449)</f>
        <v>-14.7698381125964</v>
      </c>
      <c r="N2449" s="7">
        <f>[1]!EM_S_VAL_PBGOODWILLDEDUCTED(B2449,E2449)</f>
        <v>6.2529773947228104</v>
      </c>
      <c r="O2449" s="7">
        <f>[1]!EM_S_VAL_PS_TTM(B2449,E2449)</f>
        <v>1.9603932406486999</v>
      </c>
      <c r="P2449" s="7">
        <f>[1]!EM_S_VAL_PCF_NCFTTM(B2449,E2449)</f>
        <v>-35.548950764104099</v>
      </c>
      <c r="Q2449" s="7">
        <f>[1]!EM_S_VAL_DIVIDENDYIELD2(B2449,E2449,"2019-11-29")</f>
        <v>0</v>
      </c>
      <c r="T2449"/>
      <c r="U2449">
        <f>[1]!EM_S_RATIO_EPS_TTM(B2449,E2449,"1")</f>
        <v>5.2802911796874998E-2</v>
      </c>
      <c r="AT2449" s="4" t="str">
        <f>[1]!EM_S_IPO_LISTEDDATE(B2449)</f>
        <v>2014-09-10</v>
      </c>
    </row>
    <row r="2450" spans="1:46">
      <c r="A2450">
        <v>555</v>
      </c>
      <c r="B2450" t="str">
        <f>"002044"</f>
        <v>002044</v>
      </c>
      <c r="C2450" t="s">
        <v>3466</v>
      </c>
      <c r="D2450" t="str">
        <f>[1]!EM_S_INFO_INDEX_EM(B2450,"1")</f>
        <v>医药生物</v>
      </c>
      <c r="E2450" s="4">
        <f t="shared" si="38"/>
        <v>43465</v>
      </c>
      <c r="F2450" s="11">
        <f>[1]!EM_S_PQ_PCTCHANGE(B2450,"2018-01-01","2019-12-31","3")</f>
        <v>-1.4502556900000001</v>
      </c>
      <c r="G2450" s="11">
        <f>[1]!EM_S_PQ_PCTCHANGE(B2450,"2018-12-31","2019-12-30","1")</f>
        <v>-2.5418060200000001</v>
      </c>
      <c r="H2450" s="11">
        <f>[1]!EM_S_FA_YOY_OR(B2450,E2450)</f>
        <v>34.638205819900001</v>
      </c>
      <c r="I2450" s="11">
        <f>[1]!EM_S_FA_GROSSPROFITMARGIN(B2450,E2450)</f>
        <v>47.560805554300003</v>
      </c>
      <c r="J2450" s="11">
        <f>[1]!EM_S_FA_NETPROFITMARGIN(B2450,E2450)</f>
        <v>11.500766050699999</v>
      </c>
      <c r="K2450" s="10">
        <f>[1]!EM_S_FA_ASSETSTURN(B2450,E2450)</f>
        <v>0.58669887220100003</v>
      </c>
      <c r="L2450" s="12">
        <f>[1]!EM_HKS_VAL_MV(B2450,"2019-12-31","2")</f>
        <v>58367623302.860001</v>
      </c>
      <c r="M2450">
        <f>[1]!EM_S_VAL_PETTMDEDUCTED(B2450,E2450)</f>
        <v>66.963400109454199</v>
      </c>
      <c r="N2450" s="7">
        <f>[1]!EM_S_VAL_PBGOODWILLDEDUCTED(B2450,E2450)</f>
        <v>25.543436344664901</v>
      </c>
      <c r="O2450" s="7">
        <f>[1]!EM_S_VAL_PS_TTM(B2450,E2450)</f>
        <v>5.8452206672849103</v>
      </c>
      <c r="P2450" s="7">
        <f>[1]!EM_S_VAL_PCF_NCFTTM(B2450,E2450)</f>
        <v>350.07263788799401</v>
      </c>
      <c r="Q2450" s="7">
        <f>[1]!EM_S_VAL_DIVIDENDYIELD2(B2450,E2450,"2019-11-29")</f>
        <v>0.28618278881783704</v>
      </c>
      <c r="T2450"/>
      <c r="U2450">
        <f>[1]!EM_S_RATIO_EPS_TTM(B2450,E2450,"1")</f>
        <v>0.26289627584717423</v>
      </c>
      <c r="AT2450" s="4" t="str">
        <f>[1]!EM_S_IPO_LISTEDDATE(B2450)</f>
        <v>2005-05-18</v>
      </c>
    </row>
    <row r="2451" spans="1:46">
      <c r="A2451">
        <v>2201</v>
      </c>
      <c r="B2451" t="str">
        <f>"600054"</f>
        <v>600054</v>
      </c>
      <c r="C2451" t="s">
        <v>1458</v>
      </c>
      <c r="D2451" t="str">
        <f>[1]!EM_S_INFO_INDEX_EM(B2451,"1")</f>
        <v>休闲、生活及专业服务</v>
      </c>
      <c r="E2451" s="4">
        <f t="shared" si="38"/>
        <v>43465</v>
      </c>
      <c r="F2451" s="11">
        <f>[1]!EM_S_PQ_PCTCHANGE(B2451,"2018-01-01","2019-12-31","3")</f>
        <v>-33.482164189999999</v>
      </c>
      <c r="G2451" s="11">
        <f>[1]!EM_S_PQ_PCTCHANGE(B2451,"2018-12-31","2019-12-30","1")</f>
        <v>-2.5586353900000001</v>
      </c>
      <c r="H2451" s="11">
        <f>[1]!EM_S_FA_YOY_OR(B2451,E2451)</f>
        <v>-9.1346267832999999</v>
      </c>
      <c r="I2451" s="11">
        <f>[1]!EM_S_FA_GROSSPROFITMARGIN(B2451,E2451)</f>
        <v>54.139137093099997</v>
      </c>
      <c r="J2451" s="11">
        <f>[1]!EM_S_FA_NETPROFITMARGIN(B2451,E2451)</f>
        <v>37.331825359500002</v>
      </c>
      <c r="K2451" s="10">
        <f>[1]!EM_S_FA_ASSETSTURN(B2451,E2451)</f>
        <v>0.34191190445199998</v>
      </c>
      <c r="L2451" s="12">
        <f>[1]!EM_HKS_VAL_MV(B2451,"2019-12-31","2")</f>
        <v>6688409464.8000002</v>
      </c>
      <c r="M2451">
        <f>[1]!EM_S_VAL_PETTMDEDUCTED(B2451,E2451)</f>
        <v>21.037820482513499</v>
      </c>
      <c r="N2451" s="7">
        <f>[1]!EM_S_VAL_PBGOODWILLDEDUCTED(B2451,E2451)</f>
        <v>1.7201648902584901</v>
      </c>
      <c r="O2451" s="7">
        <f>[1]!EM_S_VAL_PS_TTM(B2451,E2451)</f>
        <v>4.23073828843419</v>
      </c>
      <c r="P2451" s="7">
        <f>[1]!EM_S_VAL_PCF_NCFTTM(B2451,E2451)</f>
        <v>45.250715018304199</v>
      </c>
      <c r="Q2451" s="7">
        <f>[1]!EM_S_VAL_DIVIDENDYIELD2(B2451,E2451,"2019-11-29")</f>
        <v>1.4748603351955307</v>
      </c>
      <c r="T2451"/>
      <c r="U2451">
        <f>[1]!EM_S_RATIO_EPS_TTM(B2451,E2451,"1")</f>
        <v>0.77949066911548237</v>
      </c>
      <c r="AT2451" s="4" t="str">
        <f>[1]!EM_S_IPO_LISTEDDATE(B2451)</f>
        <v>1997-05-06</v>
      </c>
    </row>
    <row r="2452" spans="1:46">
      <c r="A2452">
        <v>871</v>
      </c>
      <c r="B2452" t="str">
        <f>"002360"</f>
        <v>002360</v>
      </c>
      <c r="C2452" t="s">
        <v>1411</v>
      </c>
      <c r="D2452" t="str">
        <f>[1]!EM_S_INFO_INDEX_EM(B2452,"1")</f>
        <v>基础化工</v>
      </c>
      <c r="E2452" s="4">
        <f t="shared" si="38"/>
        <v>43465</v>
      </c>
      <c r="F2452" s="11">
        <f>[1]!EM_S_PQ_PCTCHANGE(B2452,"2018-01-01","2019-12-31","3")</f>
        <v>-15.77745635</v>
      </c>
      <c r="G2452" s="11">
        <f>[1]!EM_S_PQ_PCTCHANGE(B2452,"2018-12-31","2019-12-30","1")</f>
        <v>-2.5641025599999998</v>
      </c>
      <c r="H2452" s="11">
        <f>[1]!EM_S_FA_YOY_OR(B2452,E2452)</f>
        <v>26.330194028899999</v>
      </c>
      <c r="I2452" s="11">
        <f>[1]!EM_S_FA_GROSSPROFITMARGIN(B2452,E2452)</f>
        <v>45.193697214399997</v>
      </c>
      <c r="J2452" s="11">
        <f>[1]!EM_S_FA_NETPROFITMARGIN(B2452,E2452)</f>
        <v>15.7877930163</v>
      </c>
      <c r="K2452" s="10">
        <f>[1]!EM_S_FA_ASSETSTURN(B2452,E2452)</f>
        <v>0.63964935680599999</v>
      </c>
      <c r="L2452" s="12">
        <f>[1]!EM_HKS_VAL_MV(B2452,"2019-12-31","2")</f>
        <v>2110252914</v>
      </c>
      <c r="M2452">
        <f>[1]!EM_S_VAL_PETTMDEDUCTED(B2452,E2452)</f>
        <v>14.8562608737566</v>
      </c>
      <c r="N2452" s="7">
        <f>[1]!EM_S_VAL_PBGOODWILLDEDUCTED(B2452,E2452)</f>
        <v>2.1944144100959102</v>
      </c>
      <c r="O2452" s="7">
        <f>[1]!EM_S_VAL_PS_TTM(B2452,E2452)</f>
        <v>2.4667324576584</v>
      </c>
      <c r="P2452" s="7">
        <f>[1]!EM_S_VAL_PCF_NCFTTM(B2452,E2452)</f>
        <v>-23.342832982981299</v>
      </c>
      <c r="Q2452" s="7">
        <f>[1]!EM_S_VAL_DIVIDENDYIELD2(B2452,E2452,"2019-11-29")</f>
        <v>1.9607843137254901</v>
      </c>
      <c r="T2452"/>
      <c r="U2452">
        <f>[1]!EM_S_RATIO_EPS_TTM(B2452,E2452,"1")</f>
        <v>0.36698026658656707</v>
      </c>
      <c r="AT2452" s="4" t="str">
        <f>[1]!EM_S_IPO_LISTEDDATE(B2452)</f>
        <v>2010-03-03</v>
      </c>
    </row>
    <row r="2453" spans="1:46">
      <c r="A2453">
        <v>1495</v>
      </c>
      <c r="B2453" t="str">
        <f>"300070"</f>
        <v>300070</v>
      </c>
      <c r="C2453" t="s">
        <v>2385</v>
      </c>
      <c r="D2453" t="str">
        <f>[1]!EM_S_INFO_INDEX_EM(B2453,"1")</f>
        <v>公用事业</v>
      </c>
      <c r="E2453" s="4">
        <f t="shared" si="38"/>
        <v>43465</v>
      </c>
      <c r="F2453" s="11">
        <f>[1]!EM_S_PQ_PCTCHANGE(B2453,"2018-01-01","2019-12-31","3")</f>
        <v>-55.657289419999998</v>
      </c>
      <c r="G2453" s="11">
        <f>[1]!EM_S_PQ_PCTCHANGE(B2453,"2018-12-31","2019-12-30","1")</f>
        <v>-2.5641025599999998</v>
      </c>
      <c r="H2453" s="11">
        <f>[1]!EM_S_FA_YOY_OR(B2453,E2453)</f>
        <v>-16.339288977199999</v>
      </c>
      <c r="I2453" s="11">
        <f>[1]!EM_S_FA_GROSSPROFITMARGIN(B2453,E2453)</f>
        <v>29.813878291000002</v>
      </c>
      <c r="J2453" s="11">
        <f>[1]!EM_S_FA_NETPROFITMARGIN(B2453,E2453)</f>
        <v>11.7343068604</v>
      </c>
      <c r="K2453" s="10">
        <f>[1]!EM_S_FA_ASSETSTURN(B2453,E2453)</f>
        <v>0.22511746800499999</v>
      </c>
      <c r="L2453" s="12">
        <f>[1]!EM_HKS_VAL_MV(B2453,"2019-12-31","2")</f>
        <v>24050934114.400002</v>
      </c>
      <c r="M2453">
        <f>[1]!EM_S_VAL_PETTMDEDUCTED(B2453,E2453)</f>
        <v>10.7424714749567</v>
      </c>
      <c r="N2453" s="7">
        <f>[1]!EM_S_VAL_PBGOODWILLDEDUCTED(B2453,E2453)</f>
        <v>1.3650488813638699</v>
      </c>
      <c r="O2453" s="7">
        <f>[1]!EM_S_VAL_PS_TTM(B2453,E2453)</f>
        <v>1.7052965501753801</v>
      </c>
      <c r="P2453" s="7">
        <f>[1]!EM_S_VAL_PCF_NCFTTM(B2453,E2453)</f>
        <v>59.323325561041798</v>
      </c>
      <c r="Q2453" s="7">
        <f>[1]!EM_S_VAL_DIVIDENDYIELD2(B2453,E2453,"2019-11-29")</f>
        <v>0.51699611232189591</v>
      </c>
      <c r="T2453"/>
      <c r="U2453">
        <f>[1]!EM_S_RATIO_EPS_TTM(B2453,E2453,"1")</f>
        <v>0.3950215090744712</v>
      </c>
      <c r="AT2453" s="4" t="str">
        <f>[1]!EM_S_IPO_LISTEDDATE(B2453)</f>
        <v>2010-04-21</v>
      </c>
    </row>
    <row r="2454" spans="1:46">
      <c r="A2454">
        <v>2574</v>
      </c>
      <c r="B2454" t="str">
        <f>"600489"</f>
        <v>600489</v>
      </c>
      <c r="C2454" t="s">
        <v>2737</v>
      </c>
      <c r="D2454" t="str">
        <f>[1]!EM_S_INFO_INDEX_EM(B2454,"1")</f>
        <v>有色金属</v>
      </c>
      <c r="E2454" s="4">
        <f t="shared" si="38"/>
        <v>43465</v>
      </c>
      <c r="F2454" s="11">
        <f>[1]!EM_S_PQ_PCTCHANGE(B2454,"2018-01-01","2019-12-31","3")</f>
        <v>-13.6810153</v>
      </c>
      <c r="G2454" s="11">
        <f>[1]!EM_S_PQ_PCTCHANGE(B2454,"2018-12-31","2019-12-30","1")</f>
        <v>-2.5641025599999998</v>
      </c>
      <c r="H2454" s="11">
        <f>[1]!EM_S_FA_YOY_OR(B2454,E2454)</f>
        <v>4.6286524358000003</v>
      </c>
      <c r="I2454" s="11">
        <f>[1]!EM_S_FA_GROSSPROFITMARGIN(B2454,E2454)</f>
        <v>10.402881369099999</v>
      </c>
      <c r="J2454" s="11">
        <f>[1]!EM_S_FA_NETPROFITMARGIN(B2454,E2454)</f>
        <v>1.0924346436000001</v>
      </c>
      <c r="K2454" s="10">
        <f>[1]!EM_S_FA_ASSETSTURN(B2454,E2454)</f>
        <v>0.89991148059799997</v>
      </c>
      <c r="L2454" s="12">
        <f>[1]!EM_HKS_VAL_MV(B2454,"2019-12-31","2")</f>
        <v>29265643362.720001</v>
      </c>
      <c r="M2454">
        <f>[1]!EM_S_VAL_PETTMDEDUCTED(B2454,E2454)</f>
        <v>557.051631299664</v>
      </c>
      <c r="N2454" s="7">
        <f>[1]!EM_S_VAL_PBGOODWILLDEDUCTED(B2454,E2454)</f>
        <v>2.29520027013674</v>
      </c>
      <c r="O2454" s="7">
        <f>[1]!EM_S_VAL_PS_TTM(B2454,E2454)</f>
        <v>0.907186289250411</v>
      </c>
      <c r="P2454" s="7">
        <f>[1]!EM_S_VAL_PCF_NCFTTM(B2454,E2454)</f>
        <v>-38.636332848227198</v>
      </c>
      <c r="Q2454" s="7">
        <f>[1]!EM_S_VAL_DIVIDENDYIELD2(B2454,E2454,"2019-11-29")</f>
        <v>0.25510204081632654</v>
      </c>
      <c r="T2454"/>
      <c r="U2454">
        <f>[1]!EM_S_RATIO_EPS_TTM(B2454,E2454,"1")</f>
        <v>5.6777804488490305E-2</v>
      </c>
      <c r="AT2454" s="4" t="str">
        <f>[1]!EM_S_IPO_LISTEDDATE(B2454)</f>
        <v>2003-08-14</v>
      </c>
    </row>
    <row r="2455" spans="1:46">
      <c r="A2455">
        <v>1855</v>
      </c>
      <c r="B2455" t="str">
        <f>"300430"</f>
        <v>300430</v>
      </c>
      <c r="C2455" t="s">
        <v>2445</v>
      </c>
      <c r="D2455" t="str">
        <f>[1]!EM_S_INFO_INDEX_EM(B2455,"1")</f>
        <v>机械设备</v>
      </c>
      <c r="E2455" s="4">
        <f t="shared" si="38"/>
        <v>43465</v>
      </c>
      <c r="F2455" s="11">
        <f>[1]!EM_S_PQ_PCTCHANGE(B2455,"2018-01-01","2019-12-31","3")</f>
        <v>-41.564305019999999</v>
      </c>
      <c r="G2455" s="11">
        <f>[1]!EM_S_PQ_PCTCHANGE(B2455,"2018-12-31","2019-12-30","1")</f>
        <v>-2.5735294099999999</v>
      </c>
      <c r="H2455" s="11">
        <f>[1]!EM_S_FA_YOY_OR(B2455,E2455)</f>
        <v>24.139660876600001</v>
      </c>
      <c r="I2455" s="11">
        <f>[1]!EM_S_FA_GROSSPROFITMARGIN(B2455,E2455)</f>
        <v>41.871140882500001</v>
      </c>
      <c r="J2455" s="11">
        <f>[1]!EM_S_FA_NETPROFITMARGIN(B2455,E2455)</f>
        <v>15.0770686359</v>
      </c>
      <c r="K2455" s="10">
        <f>[1]!EM_S_FA_ASSETSTURN(B2455,E2455)</f>
        <v>0.34267644917500001</v>
      </c>
      <c r="L2455" s="12">
        <f>[1]!EM_HKS_VAL_MV(B2455,"2019-12-31","2")</f>
        <v>2157030545.2800002</v>
      </c>
      <c r="M2455">
        <f>[1]!EM_S_VAL_PETTMDEDUCTED(B2455,E2455)</f>
        <v>21.309520884360399</v>
      </c>
      <c r="N2455" s="7">
        <f>[1]!EM_S_VAL_PBGOODWILLDEDUCTED(B2455,E2455)</f>
        <v>2.00398926353542</v>
      </c>
      <c r="O2455" s="7">
        <f>[1]!EM_S_VAL_PS_TTM(B2455,E2455)</f>
        <v>3.38188275996847</v>
      </c>
      <c r="P2455" s="7">
        <f>[1]!EM_S_VAL_PCF_NCFTTM(B2455,E2455)</f>
        <v>-22.575593767938599</v>
      </c>
      <c r="Q2455" s="7">
        <f>[1]!EM_S_VAL_DIVIDENDYIELD2(B2455,E2455,"2019-11-29")</f>
        <v>0</v>
      </c>
      <c r="T2455"/>
      <c r="U2455">
        <f>[1]!EM_S_RATIO_EPS_TTM(B2455,E2455,"1")</f>
        <v>0.376108804213521</v>
      </c>
      <c r="AT2455" s="4" t="str">
        <f>[1]!EM_S_IPO_LISTEDDATE(B2455)</f>
        <v>2015-03-19</v>
      </c>
    </row>
    <row r="2456" spans="1:46">
      <c r="A2456">
        <v>204</v>
      </c>
      <c r="B2456" t="str">
        <f>"000600"</f>
        <v>000600</v>
      </c>
      <c r="C2456" t="s">
        <v>1476</v>
      </c>
      <c r="D2456" t="str">
        <f>[1]!EM_S_INFO_INDEX_EM(B2456,"1")</f>
        <v>公用事业</v>
      </c>
      <c r="E2456" s="4">
        <f t="shared" si="38"/>
        <v>43465</v>
      </c>
      <c r="F2456" s="11">
        <f>[1]!EM_S_PQ_PCTCHANGE(B2456,"2018-01-01","2019-12-31","3")</f>
        <v>-34.799309899999997</v>
      </c>
      <c r="G2456" s="11">
        <f>[1]!EM_S_PQ_PCTCHANGE(B2456,"2018-12-31","2019-12-30","1")</f>
        <v>-2.5896414299999999</v>
      </c>
      <c r="H2456" s="11">
        <f>[1]!EM_S_FA_YOY_OR(B2456,E2456)</f>
        <v>32.242567921199999</v>
      </c>
      <c r="I2456" s="11">
        <f>[1]!EM_S_FA_GROSSPROFITMARGIN(B2456,E2456)</f>
        <v>16.135247575099999</v>
      </c>
      <c r="J2456" s="11">
        <f>[1]!EM_S_FA_NETPROFITMARGIN(B2456,E2456)</f>
        <v>4.7340473270999999</v>
      </c>
      <c r="K2456" s="10">
        <f>[1]!EM_S_FA_ASSETSTURN(B2456,E2456)</f>
        <v>0.44357333888799999</v>
      </c>
      <c r="L2456" s="12">
        <f>[1]!EM_HKS_VAL_MV(B2456,"2019-12-31","2")</f>
        <v>8761052978.6399994</v>
      </c>
      <c r="M2456">
        <f>[1]!EM_S_VAL_PETTMDEDUCTED(B2456,E2456)</f>
        <v>42.5764576098099</v>
      </c>
      <c r="N2456" s="7">
        <f>[1]!EM_S_VAL_PBGOODWILLDEDUCTED(B2456,E2456)</f>
        <v>0.821064684736868</v>
      </c>
      <c r="O2456" s="7">
        <f>[1]!EM_S_VAL_PS_TTM(B2456,E2456)</f>
        <v>0.66613401644366099</v>
      </c>
      <c r="P2456" s="7">
        <f>[1]!EM_S_VAL_PCF_NCFTTM(B2456,E2456)</f>
        <v>53.252256948554603</v>
      </c>
      <c r="Q2456" s="7">
        <f>[1]!EM_S_VAL_DIVIDENDYIELD2(B2456,E2456,"2019-11-29")</f>
        <v>2.0703933747412013</v>
      </c>
      <c r="T2456"/>
      <c r="U2456">
        <f>[1]!EM_S_RATIO_EPS_TTM(B2456,E2456,"1")</f>
        <v>0.24103338396598822</v>
      </c>
      <c r="AT2456" s="4" t="str">
        <f>[1]!EM_S_IPO_LISTEDDATE(B2456)</f>
        <v>1996-06-06</v>
      </c>
    </row>
    <row r="2457" spans="1:46">
      <c r="A2457">
        <v>3098</v>
      </c>
      <c r="B2457" t="str">
        <f>"601328"</f>
        <v>601328</v>
      </c>
      <c r="C2457" t="s">
        <v>712</v>
      </c>
      <c r="D2457" t="str">
        <f>[1]!EM_S_INFO_INDEX_EM(B2457,"1")</f>
        <v>金融</v>
      </c>
      <c r="E2457" s="4">
        <f t="shared" si="38"/>
        <v>43465</v>
      </c>
      <c r="F2457" s="11">
        <f>[1]!EM_S_PQ_PCTCHANGE(B2457,"2018-01-01","2019-12-31","3")</f>
        <v>0.16677122999999999</v>
      </c>
      <c r="G2457" s="11">
        <f>[1]!EM_S_PQ_PCTCHANGE(B2457,"2018-12-31","2019-12-30","1")</f>
        <v>-2.5906735799999998</v>
      </c>
      <c r="H2457" s="11">
        <f>[1]!EM_S_FA_YOY_OR(B2457,E2457)</f>
        <v>8.4908500033000003</v>
      </c>
      <c r="I2457" s="11">
        <f>[1]!EM_S_FA_GROSSPROFITMARGIN(B2457,E2457)</f>
        <v>0</v>
      </c>
      <c r="J2457" s="11">
        <f>[1]!EM_S_FA_NETPROFITMARGIN(B2457,E2457)</f>
        <v>34.875901699499998</v>
      </c>
      <c r="K2457" s="10">
        <f>[1]!EM_S_FA_ASSETSTURN(B2457,E2457)</f>
        <v>0</v>
      </c>
      <c r="L2457" s="12">
        <f>[1]!EM_HKS_VAL_MV(B2457,"2019-12-31","2")</f>
        <v>418099151011.34998</v>
      </c>
      <c r="M2457">
        <f>[1]!EM_S_VAL_PETTMDEDUCTED(B2457,E2457)</f>
        <v>5.92946642498966</v>
      </c>
      <c r="N2457" s="7">
        <f>[1]!EM_S_VAL_PBGOODWILLDEDUCTED(B2457,E2457)</f>
        <v>0.67339335766198605</v>
      </c>
      <c r="O2457" s="7">
        <f>[1]!EM_S_VAL_PS_TTM(B2457,E2457)</f>
        <v>2.1072034582904902</v>
      </c>
      <c r="P2457" s="7">
        <f>[1]!EM_S_VAL_PCF_NCFTTM(B2457,E2457)</f>
        <v>-11.789996909091</v>
      </c>
      <c r="Q2457" s="7">
        <f>[1]!EM_S_VAL_DIVIDENDYIELD2(B2457,E2457,"2019-11-29")</f>
        <v>5.4446460980036298</v>
      </c>
      <c r="T2457"/>
      <c r="U2457">
        <f>[1]!EM_S_RATIO_EPS_TTM(B2457,E2457,"1")</f>
        <v>0.9914798893929031</v>
      </c>
      <c r="AT2457" s="4" t="str">
        <f>[1]!EM_S_IPO_LISTEDDATE(B2457)</f>
        <v>2007-05-15</v>
      </c>
    </row>
    <row r="2458" spans="1:46">
      <c r="A2458">
        <v>1087</v>
      </c>
      <c r="B2458" t="str">
        <f>"002576"</f>
        <v>002576</v>
      </c>
      <c r="C2458" t="s">
        <v>2650</v>
      </c>
      <c r="D2458" t="str">
        <f>[1]!EM_S_INFO_INDEX_EM(B2458,"1")</f>
        <v>电气设备</v>
      </c>
      <c r="E2458" s="4">
        <f t="shared" si="38"/>
        <v>43465</v>
      </c>
      <c r="F2458" s="11">
        <f>[1]!EM_S_PQ_PCTCHANGE(B2458,"2018-01-01","2019-12-31","3")</f>
        <v>-59.962152160000002</v>
      </c>
      <c r="G2458" s="11">
        <f>[1]!EM_S_PQ_PCTCHANGE(B2458,"2018-12-31","2019-12-30","1")</f>
        <v>-2.5922233299999999</v>
      </c>
      <c r="H2458" s="11">
        <f>[1]!EM_S_FA_YOY_OR(B2458,E2458)</f>
        <v>6.5041731691000004</v>
      </c>
      <c r="I2458" s="11">
        <f>[1]!EM_S_FA_GROSSPROFITMARGIN(B2458,E2458)</f>
        <v>10.9069031318</v>
      </c>
      <c r="J2458" s="11">
        <f>[1]!EM_S_FA_NETPROFITMARGIN(B2458,E2458)</f>
        <v>1.3251734545</v>
      </c>
      <c r="K2458" s="10">
        <f>[1]!EM_S_FA_ASSETSTURN(B2458,E2458)</f>
        <v>1.0618402324889999</v>
      </c>
      <c r="L2458" s="12">
        <f>[1]!EM_HKS_VAL_MV(B2458,"2019-12-31","2")</f>
        <v>1621282000</v>
      </c>
      <c r="M2458">
        <f>[1]!EM_S_VAL_PETTMDEDUCTED(B2458,E2458)</f>
        <v>81.254935945046</v>
      </c>
      <c r="N2458" s="7">
        <f>[1]!EM_S_VAL_PBGOODWILLDEDUCTED(B2458,E2458)</f>
        <v>1.9012030292547999</v>
      </c>
      <c r="O2458" s="7">
        <f>[1]!EM_S_VAL_PS_TTM(B2458,E2458)</f>
        <v>1.456216235531</v>
      </c>
      <c r="P2458" s="7">
        <f>[1]!EM_S_VAL_PCF_NCFTTM(B2458,E2458)</f>
        <v>102.720876146205</v>
      </c>
      <c r="Q2458" s="7">
        <f>[1]!EM_S_VAL_DIVIDENDYIELD2(B2458,E2458,"2019-11-29")</f>
        <v>0.53078556263269638</v>
      </c>
      <c r="T2458"/>
      <c r="U2458">
        <f>[1]!EM_S_RATIO_EPS_TTM(B2458,E2458,"1")</f>
        <v>0.11730608837068444</v>
      </c>
      <c r="AT2458" s="4" t="str">
        <f>[1]!EM_S_IPO_LISTEDDATE(B2458)</f>
        <v>2011-04-28</v>
      </c>
    </row>
    <row r="2459" spans="1:46">
      <c r="A2459">
        <v>1307</v>
      </c>
      <c r="B2459" t="str">
        <f>"002802"</f>
        <v>002802</v>
      </c>
      <c r="C2459" t="s">
        <v>1077</v>
      </c>
      <c r="D2459" t="str">
        <f>[1]!EM_S_INFO_INDEX_EM(B2459,"1")</f>
        <v>基础化工</v>
      </c>
      <c r="E2459" s="4">
        <f t="shared" si="38"/>
        <v>43465</v>
      </c>
      <c r="F2459" s="11">
        <f>[1]!EM_S_PQ_PCTCHANGE(B2459,"2018-01-01","2019-12-31","3")</f>
        <v>-25.181730439999999</v>
      </c>
      <c r="G2459" s="11">
        <f>[1]!EM_S_PQ_PCTCHANGE(B2459,"2018-12-31","2019-12-30","1")</f>
        <v>-2.6366251200000002</v>
      </c>
      <c r="H2459" s="11">
        <f>[1]!EM_S_FA_YOY_OR(B2459,E2459)</f>
        <v>33.412300455500002</v>
      </c>
      <c r="I2459" s="11">
        <f>[1]!EM_S_FA_GROSSPROFITMARGIN(B2459,E2459)</f>
        <v>26.711789611</v>
      </c>
      <c r="J2459" s="11">
        <f>[1]!EM_S_FA_NETPROFITMARGIN(B2459,E2459)</f>
        <v>14.1615692789</v>
      </c>
      <c r="K2459" s="10">
        <f>[1]!EM_S_FA_ASSETSTURN(B2459,E2459)</f>
        <v>0.77820848263999998</v>
      </c>
      <c r="L2459" s="12">
        <f>[1]!EM_HKS_VAL_MV(B2459,"2019-12-31","2")</f>
        <v>2198350485</v>
      </c>
      <c r="M2459">
        <f>[1]!EM_S_VAL_PETTMDEDUCTED(B2459,E2459)</f>
        <v>35.304574213785997</v>
      </c>
      <c r="N2459" s="7">
        <f>[1]!EM_S_VAL_PBGOODWILLDEDUCTED(B2459,E2459)</f>
        <v>3.6867610411084599</v>
      </c>
      <c r="O2459" s="7">
        <f>[1]!EM_S_VAL_PS_TTM(B2459,E2459)</f>
        <v>4.5288908389301099</v>
      </c>
      <c r="P2459" s="7">
        <f>[1]!EM_S_VAL_PCF_NCFTTM(B2459,E2459)</f>
        <v>123.966880977142</v>
      </c>
      <c r="Q2459" s="7">
        <f>[1]!EM_S_VAL_DIVIDENDYIELD2(B2459,E2459,"2019-11-29")</f>
        <v>5.2495134055966277</v>
      </c>
      <c r="T2459"/>
      <c r="U2459">
        <f>[1]!EM_S_RATIO_EPS_TTM(B2459,E2459,"1")</f>
        <v>0.67743791398246422</v>
      </c>
      <c r="AT2459" s="4" t="str">
        <f>[1]!EM_S_IPO_LISTEDDATE(B2459)</f>
        <v>2016-06-29</v>
      </c>
    </row>
    <row r="2460" spans="1:46">
      <c r="A2460">
        <v>2028</v>
      </c>
      <c r="B2460" t="str">
        <f>"300608"</f>
        <v>300608</v>
      </c>
      <c r="C2460" t="s">
        <v>3641</v>
      </c>
      <c r="D2460" t="str">
        <f>[1]!EM_S_INFO_INDEX_EM(B2460,"1")</f>
        <v>信息技术</v>
      </c>
      <c r="E2460" s="4">
        <f t="shared" si="38"/>
        <v>43465</v>
      </c>
      <c r="F2460" s="11">
        <f>[1]!EM_S_PQ_PCTCHANGE(B2460,"2018-01-01","2019-12-31","3")</f>
        <v>4.0622365299999998</v>
      </c>
      <c r="G2460" s="11">
        <f>[1]!EM_S_PQ_PCTCHANGE(B2460,"2018-12-31","2019-12-30","1")</f>
        <v>-2.6482440999999999</v>
      </c>
      <c r="H2460" s="11">
        <f>[1]!EM_S_FA_YOY_OR(B2460,E2460)</f>
        <v>6.4448187951999998</v>
      </c>
      <c r="I2460" s="11">
        <f>[1]!EM_S_FA_GROSSPROFITMARGIN(B2460,E2460)</f>
        <v>50.634029750000003</v>
      </c>
      <c r="J2460" s="11">
        <f>[1]!EM_S_FA_NETPROFITMARGIN(B2460,E2460)</f>
        <v>10.9579572796</v>
      </c>
      <c r="K2460" s="10">
        <f>[1]!EM_S_FA_ASSETSTURN(B2460,E2460)</f>
        <v>0.72923685957499995</v>
      </c>
      <c r="L2460" s="12">
        <f>[1]!EM_HKS_VAL_MV(B2460,"2019-12-31","2")</f>
        <v>2689538206.7199998</v>
      </c>
      <c r="M2460">
        <f>[1]!EM_S_VAL_PETTMDEDUCTED(B2460,E2460)</f>
        <v>30.604680116910199</v>
      </c>
      <c r="N2460" s="7">
        <f>[1]!EM_S_VAL_PBGOODWILLDEDUCTED(B2460,E2460)</f>
        <v>2.6213173732967099</v>
      </c>
      <c r="O2460" s="7">
        <f>[1]!EM_S_VAL_PS_TTM(B2460,E2460)</f>
        <v>2.3684401413168201</v>
      </c>
      <c r="P2460" s="7">
        <f>[1]!EM_S_VAL_PCF_NCFTTM(B2460,E2460)</f>
        <v>68.820977744644907</v>
      </c>
      <c r="Q2460" s="7">
        <f>[1]!EM_S_VAL_DIVIDENDYIELD2(B2460,E2460,"2019-11-29")</f>
        <v>1.1449206023801817</v>
      </c>
      <c r="T2460"/>
      <c r="U2460">
        <f>[1]!EM_S_RATIO_EPS_TTM(B2460,E2460,"1")</f>
        <v>0.80397126438731303</v>
      </c>
      <c r="AT2460" s="4" t="str">
        <f>[1]!EM_S_IPO_LISTEDDATE(B2460)</f>
        <v>2017-02-13</v>
      </c>
    </row>
    <row r="2461" spans="1:46">
      <c r="A2461">
        <v>460</v>
      </c>
      <c r="B2461" t="str">
        <f>"000937"</f>
        <v>000937</v>
      </c>
      <c r="C2461" t="s">
        <v>1807</v>
      </c>
      <c r="D2461" t="str">
        <f>[1]!EM_S_INFO_INDEX_EM(B2461,"1")</f>
        <v>化石能源</v>
      </c>
      <c r="E2461" s="4">
        <f t="shared" si="38"/>
        <v>43465</v>
      </c>
      <c r="F2461" s="11">
        <f>[1]!EM_S_PQ_PCTCHANGE(B2461,"2018-01-01","2019-12-31","3")</f>
        <v>-33.930691510000003</v>
      </c>
      <c r="G2461" s="11">
        <f>[1]!EM_S_PQ_PCTCHANGE(B2461,"2018-12-31","2019-12-30","1")</f>
        <v>-2.6525198900000002</v>
      </c>
      <c r="H2461" s="11">
        <f>[1]!EM_S_FA_YOY_OR(B2461,E2461)</f>
        <v>5.2824588723000003</v>
      </c>
      <c r="I2461" s="11">
        <f>[1]!EM_S_FA_GROSSPROFITMARGIN(B2461,E2461)</f>
        <v>26.842976777699999</v>
      </c>
      <c r="J2461" s="11">
        <f>[1]!EM_S_FA_NETPROFITMARGIN(B2461,E2461)</f>
        <v>4.8892585405000002</v>
      </c>
      <c r="K2461" s="10">
        <f>[1]!EM_S_FA_ASSETSTURN(B2461,E2461)</f>
        <v>0.46880640168799997</v>
      </c>
      <c r="L2461" s="12">
        <f>[1]!EM_HKS_VAL_MV(B2461,"2019-12-31","2")</f>
        <v>12932781471</v>
      </c>
      <c r="M2461">
        <f>[1]!EM_S_VAL_PETTMDEDUCTED(B2461,E2461)</f>
        <v>11.585368504728899</v>
      </c>
      <c r="N2461" s="7">
        <f>[1]!EM_S_VAL_PBGOODWILLDEDUCTED(B2461,E2461)</f>
        <v>0.67237179390940505</v>
      </c>
      <c r="O2461" s="7">
        <f>[1]!EM_S_VAL_PS_TTM(B2461,E2461)</f>
        <v>0.62646834131539597</v>
      </c>
      <c r="P2461" s="7">
        <f>[1]!EM_S_VAL_PCF_NCFTTM(B2461,E2461)</f>
        <v>11.451964100108899</v>
      </c>
      <c r="Q2461" s="7">
        <f>[1]!EM_S_VAL_DIVIDENDYIELD2(B2461,E2461,"2019-11-29")</f>
        <v>2.8490028490028489</v>
      </c>
      <c r="T2461"/>
      <c r="U2461">
        <f>[1]!EM_S_RATIO_EPS_TTM(B2461,E2461,"1")</f>
        <v>0.24678382151916281</v>
      </c>
      <c r="AT2461" s="4" t="str">
        <f>[1]!EM_S_IPO_LISTEDDATE(B2461)</f>
        <v>1999-09-09</v>
      </c>
    </row>
    <row r="2462" spans="1:46">
      <c r="A2462">
        <v>2856</v>
      </c>
      <c r="B2462" t="str">
        <f>"600783"</f>
        <v>600783</v>
      </c>
      <c r="C2462" t="s">
        <v>2456</v>
      </c>
      <c r="D2462" t="str">
        <f>[1]!EM_S_INFO_INDEX_EM(B2462,"1")</f>
        <v>有色金属</v>
      </c>
      <c r="E2462" s="4">
        <f t="shared" si="38"/>
        <v>43465</v>
      </c>
      <c r="F2462" s="11">
        <f>[1]!EM_S_PQ_PCTCHANGE(B2462,"2018-01-01","2019-12-31","3")</f>
        <v>3.7107061300000002</v>
      </c>
      <c r="G2462" s="11">
        <f>[1]!EM_S_PQ_PCTCHANGE(B2462,"2018-12-31","2019-12-30","1")</f>
        <v>-2.6785714299999999</v>
      </c>
      <c r="H2462" s="11">
        <f>[1]!EM_S_FA_YOY_OR(B2462,E2462)</f>
        <v>-4.1170448607000001</v>
      </c>
      <c r="I2462" s="11">
        <f>[1]!EM_S_FA_GROSSPROFITMARGIN(B2462,E2462)</f>
        <v>26.373657284699998</v>
      </c>
      <c r="J2462" s="11">
        <f>[1]!EM_S_FA_NETPROFITMARGIN(B2462,E2462)</f>
        <v>91.500456879599994</v>
      </c>
      <c r="K2462" s="10">
        <f>[1]!EM_S_FA_ASSETSTURN(B2462,E2462)</f>
        <v>3.6472829908999999E-2</v>
      </c>
      <c r="L2462" s="12">
        <f>[1]!EM_HKS_VAL_MV(B2462,"2019-12-31","2")</f>
        <v>11716215287.559999</v>
      </c>
      <c r="M2462">
        <f>[1]!EM_S_VAL_PETTMDEDUCTED(B2462,E2462)</f>
        <v>17352.408981589098</v>
      </c>
      <c r="N2462" s="7">
        <f>[1]!EM_S_VAL_PBGOODWILLDEDUCTED(B2462,E2462)</f>
        <v>3.2212627280864101</v>
      </c>
      <c r="O2462" s="7">
        <f>[1]!EM_S_VAL_PS_TTM(B2462,E2462)</f>
        <v>54.513165968038997</v>
      </c>
      <c r="P2462" s="7">
        <f>[1]!EM_S_VAL_PCF_NCFTTM(B2462,E2462)</f>
        <v>289.01885682747798</v>
      </c>
      <c r="Q2462" s="7">
        <f>[1]!EM_S_VAL_DIVIDENDYIELD2(B2462,E2462,"2019-11-29")</f>
        <v>0.77041602465331283</v>
      </c>
      <c r="T2462"/>
      <c r="U2462">
        <f>[1]!EM_S_RATIO_EPS_TTM(B2462,E2462,"1")</f>
        <v>0.25111763465131132</v>
      </c>
      <c r="AT2462" s="4" t="str">
        <f>[1]!EM_S_IPO_LISTEDDATE(B2462)</f>
        <v>1996-12-25</v>
      </c>
    </row>
    <row r="2463" spans="1:46">
      <c r="A2463">
        <v>152</v>
      </c>
      <c r="B2463" t="str">
        <f>"000543"</f>
        <v>000543</v>
      </c>
      <c r="C2463" t="s">
        <v>2390</v>
      </c>
      <c r="D2463" t="str">
        <f>[1]!EM_S_INFO_INDEX_EM(B2463,"1")</f>
        <v>公用事业</v>
      </c>
      <c r="E2463" s="4">
        <f t="shared" si="38"/>
        <v>43465</v>
      </c>
      <c r="F2463" s="11">
        <f>[1]!EM_S_PQ_PCTCHANGE(B2463,"2018-01-01","2019-12-31","3")</f>
        <v>-6.5652328999999998</v>
      </c>
      <c r="G2463" s="11">
        <f>[1]!EM_S_PQ_PCTCHANGE(B2463,"2018-12-31","2019-12-30","1")</f>
        <v>-2.7139874700000002</v>
      </c>
      <c r="H2463" s="11">
        <f>[1]!EM_S_FA_YOY_OR(B2463,E2463)</f>
        <v>9.9039944122999994</v>
      </c>
      <c r="I2463" s="11">
        <f>[1]!EM_S_FA_GROSSPROFITMARGIN(B2463,E2463)</f>
        <v>6.0084261334000004</v>
      </c>
      <c r="J2463" s="11">
        <f>[1]!EM_S_FA_NETPROFITMARGIN(B2463,E2463)</f>
        <v>4.7677544863000003</v>
      </c>
      <c r="K2463" s="10">
        <f>[1]!EM_S_FA_ASSETSTURN(B2463,E2463)</f>
        <v>0.48393339870399998</v>
      </c>
      <c r="L2463" s="12">
        <f>[1]!EM_HKS_VAL_MV(B2463,"2019-12-31","2")</f>
        <v>10518245855.84</v>
      </c>
      <c r="M2463">
        <f>[1]!EM_S_VAL_PETTMDEDUCTED(B2463,E2463)</f>
        <v>26.818643606332</v>
      </c>
      <c r="N2463" s="7">
        <f>[1]!EM_S_VAL_PBGOODWILLDEDUCTED(B2463,E2463)</f>
        <v>0.87677501474709596</v>
      </c>
      <c r="O2463" s="7">
        <f>[1]!EM_S_VAL_PS_TTM(B2463,E2463)</f>
        <v>0.648818623385225</v>
      </c>
      <c r="P2463" s="7">
        <f>[1]!EM_S_VAL_PCF_NCFTTM(B2463,E2463)</f>
        <v>17.341870969229099</v>
      </c>
      <c r="Q2463" s="7">
        <f>[1]!EM_S_VAL_DIVIDENDYIELD2(B2463,E2463,"2019-11-29")</f>
        <v>0.74255833904727342</v>
      </c>
      <c r="T2463"/>
      <c r="U2463">
        <f>[1]!EM_S_RATIO_EPS_TTM(B2463,E2463,"1")</f>
        <v>0.31069536372137674</v>
      </c>
      <c r="AT2463" s="4" t="str">
        <f>[1]!EM_S_IPO_LISTEDDATE(B2463)</f>
        <v>1993-12-20</v>
      </c>
    </row>
    <row r="2464" spans="1:46">
      <c r="A2464">
        <v>943</v>
      </c>
      <c r="B2464" t="str">
        <f>"002432"</f>
        <v>002432</v>
      </c>
      <c r="C2464" t="s">
        <v>3498</v>
      </c>
      <c r="D2464" t="str">
        <f>[1]!EM_S_INFO_INDEX_EM(B2464,"1")</f>
        <v>医药生物</v>
      </c>
      <c r="E2464" s="4">
        <f t="shared" si="38"/>
        <v>43465</v>
      </c>
      <c r="F2464" s="11">
        <f>[1]!EM_S_PQ_PCTCHANGE(B2464,"2018-01-01","2019-12-31","3")</f>
        <v>-45.493562230000002</v>
      </c>
      <c r="G2464" s="11">
        <f>[1]!EM_S_PQ_PCTCHANGE(B2464,"2018-12-31","2019-12-30","1")</f>
        <v>-2.7237354100000002</v>
      </c>
      <c r="H2464" s="11">
        <f>[1]!EM_S_FA_YOY_OR(B2464,E2464)</f>
        <v>-5.6928512116999999</v>
      </c>
      <c r="I2464" s="11">
        <f>[1]!EM_S_FA_GROSSPROFITMARGIN(B2464,E2464)</f>
        <v>29.959955481400002</v>
      </c>
      <c r="J2464" s="11">
        <f>[1]!EM_S_FA_NETPROFITMARGIN(B2464,E2464)</f>
        <v>-0.50706616189999998</v>
      </c>
      <c r="K2464" s="10">
        <f>[1]!EM_S_FA_ASSETSTURN(B2464,E2464)</f>
        <v>0.28149417932999998</v>
      </c>
      <c r="L2464" s="12">
        <f>[1]!EM_HKS_VAL_MV(B2464,"2019-12-31","2")</f>
        <v>2198654078.6799998</v>
      </c>
      <c r="M2464">
        <f>[1]!EM_S_VAL_PETTMDEDUCTED(B2464,E2464)</f>
        <v>-12.936269082622299</v>
      </c>
      <c r="N2464" s="7">
        <f>[1]!EM_S_VAL_PBGOODWILLDEDUCTED(B2464,E2464)</f>
        <v>2.0124662611839299</v>
      </c>
      <c r="O2464" s="7">
        <f>[1]!EM_S_VAL_PS_TTM(B2464,E2464)</f>
        <v>4.1924518857550703</v>
      </c>
      <c r="P2464" s="7">
        <f>[1]!EM_S_VAL_PCF_NCFTTM(B2464,E2464)</f>
        <v>-8.23917479698272</v>
      </c>
      <c r="Q2464" s="7">
        <f>[1]!EM_S_VAL_DIVIDENDYIELD2(B2464,E2464,"2019-11-29")</f>
        <v>0</v>
      </c>
      <c r="T2464"/>
      <c r="U2464">
        <f>[1]!EM_S_RATIO_EPS_TTM(B2464,E2464,"1")</f>
        <v>2.9312804364337704E-2</v>
      </c>
      <c r="AT2464" s="4" t="str">
        <f>[1]!EM_S_IPO_LISTEDDATE(B2464)</f>
        <v>2010-06-10</v>
      </c>
    </row>
    <row r="2465" spans="1:46">
      <c r="A2465">
        <v>107</v>
      </c>
      <c r="B2465" t="str">
        <f>"000429"</f>
        <v>000429</v>
      </c>
      <c r="C2465" t="s">
        <v>560</v>
      </c>
      <c r="D2465" t="str">
        <f>[1]!EM_S_INFO_INDEX_EM(B2465,"1")</f>
        <v>交通运输</v>
      </c>
      <c r="E2465" s="4">
        <f t="shared" si="38"/>
        <v>43465</v>
      </c>
      <c r="F2465" s="11">
        <f>[1]!EM_S_PQ_PCTCHANGE(B2465,"2018-01-01","2019-12-31","3")</f>
        <v>15.549205929999999</v>
      </c>
      <c r="G2465" s="11">
        <f>[1]!EM_S_PQ_PCTCHANGE(B2465,"2018-12-31","2019-12-30","1")</f>
        <v>-2.7413587599999998</v>
      </c>
      <c r="H2465" s="11">
        <f>[1]!EM_S_FA_YOY_OR(B2465,E2465)</f>
        <v>4.1967096077999999</v>
      </c>
      <c r="I2465" s="11">
        <f>[1]!EM_S_FA_GROSSPROFITMARGIN(B2465,E2465)</f>
        <v>60.260433642899997</v>
      </c>
      <c r="J2465" s="11">
        <f>[1]!EM_S_FA_NETPROFITMARGIN(B2465,E2465)</f>
        <v>59.133932988799998</v>
      </c>
      <c r="K2465" s="10">
        <f>[1]!EM_S_FA_ASSETSTURN(B2465,E2465)</f>
        <v>0.19614686201699999</v>
      </c>
      <c r="L2465" s="12">
        <f>[1]!EM_HKS_VAL_MV(B2465,"2019-12-31","2")</f>
        <v>17270058600.759998</v>
      </c>
      <c r="M2465">
        <f>[1]!EM_S_VAL_PETTMDEDUCTED(B2465,E2465)</f>
        <v>12.305843783142601</v>
      </c>
      <c r="N2465" s="7">
        <f>[1]!EM_S_VAL_PBGOODWILLDEDUCTED(B2465,E2465)</f>
        <v>1.8298121264948199</v>
      </c>
      <c r="O2465" s="7">
        <f>[1]!EM_S_VAL_PS_TTM(B2465,E2465)</f>
        <v>5.45975402207094</v>
      </c>
      <c r="P2465" s="7">
        <f>[1]!EM_S_VAL_PCF_NCFTTM(B2465,E2465)</f>
        <v>-18.929581414677301</v>
      </c>
      <c r="Q2465" s="7">
        <f>[1]!EM_S_VAL_DIVIDENDYIELD2(B2465,E2465,"2019-11-29")</f>
        <v>7.0074812967581055</v>
      </c>
      <c r="T2465"/>
      <c r="U2465">
        <f>[1]!EM_S_RATIO_EPS_TTM(B2465,E2465,"1")</f>
        <v>0.80209645376751693</v>
      </c>
      <c r="AT2465" s="4" t="str">
        <f>[1]!EM_S_IPO_LISTEDDATE(B2465)</f>
        <v>1998-02-20</v>
      </c>
    </row>
    <row r="2466" spans="1:46">
      <c r="A2466">
        <v>1944</v>
      </c>
      <c r="B2466" t="str">
        <f>"300519"</f>
        <v>300519</v>
      </c>
      <c r="C2466" t="s">
        <v>359</v>
      </c>
      <c r="D2466" t="str">
        <f>[1]!EM_S_INFO_INDEX_EM(B2466,"1")</f>
        <v>医药生物</v>
      </c>
      <c r="E2466" s="4">
        <f t="shared" si="38"/>
        <v>43465</v>
      </c>
      <c r="F2466" s="11">
        <f>[1]!EM_S_PQ_PCTCHANGE(B2466,"2018-01-01","2019-12-31","3")</f>
        <v>-29.360270280000002</v>
      </c>
      <c r="G2466" s="11">
        <f>[1]!EM_S_PQ_PCTCHANGE(B2466,"2018-12-31","2019-12-30","1")</f>
        <v>-2.7476500399999999</v>
      </c>
      <c r="H2466" s="11">
        <f>[1]!EM_S_FA_YOY_OR(B2466,E2466)</f>
        <v>-11.132721549699999</v>
      </c>
      <c r="I2466" s="11">
        <f>[1]!EM_S_FA_GROSSPROFITMARGIN(B2466,E2466)</f>
        <v>54.940412510199998</v>
      </c>
      <c r="J2466" s="11">
        <f>[1]!EM_S_FA_NETPROFITMARGIN(B2466,E2466)</f>
        <v>31.852822399899999</v>
      </c>
      <c r="K2466" s="10">
        <f>[1]!EM_S_FA_ASSETSTURN(B2466,E2466)</f>
        <v>0.34585184758699999</v>
      </c>
      <c r="L2466" s="12">
        <f>[1]!EM_HKS_VAL_MV(B2466,"2019-12-31","2")</f>
        <v>2168000000</v>
      </c>
      <c r="M2466">
        <f>[1]!EM_S_VAL_PETTMDEDUCTED(B2466,E2466)</f>
        <v>24.253011075799201</v>
      </c>
      <c r="N2466" s="7">
        <f>[1]!EM_S_VAL_PBGOODWILLDEDUCTED(B2466,E2466)</f>
        <v>2.9376308561312499</v>
      </c>
      <c r="O2466" s="7">
        <f>[1]!EM_S_VAL_PS_TTM(B2466,E2466)</f>
        <v>7.5759531694005098</v>
      </c>
      <c r="P2466" s="7">
        <f>[1]!EM_S_VAL_PCF_NCFTTM(B2466,E2466)</f>
        <v>60.821626555529598</v>
      </c>
      <c r="Q2466" s="7">
        <f>[1]!EM_S_VAL_DIVIDENDYIELD2(B2466,E2466,"2019-11-29")</f>
        <v>2.321981424148607</v>
      </c>
      <c r="T2466"/>
      <c r="U2466">
        <f>[1]!EM_S_RATIO_EPS_TTM(B2466,E2466,"1")</f>
        <v>0.54997355037500006</v>
      </c>
      <c r="AT2466" s="4" t="str">
        <f>[1]!EM_S_IPO_LISTEDDATE(B2466)</f>
        <v>2016-06-24</v>
      </c>
    </row>
    <row r="2467" spans="1:46">
      <c r="A2467">
        <v>771</v>
      </c>
      <c r="B2467" t="str">
        <f>"002260"</f>
        <v>002260</v>
      </c>
      <c r="C2467" t="s">
        <v>3654</v>
      </c>
      <c r="D2467" t="str">
        <f>[1]!EM_S_INFO_INDEX_EM(B2467,"1")</f>
        <v>家电</v>
      </c>
      <c r="E2467" s="4">
        <f t="shared" si="38"/>
        <v>43465</v>
      </c>
      <c r="F2467" s="11">
        <f>[1]!EM_S_PQ_PCTCHANGE(B2467,"2018-01-01","2019-12-31","3")</f>
        <v>-73.662207359999996</v>
      </c>
      <c r="G2467" s="11">
        <f>[1]!EM_S_PQ_PCTCHANGE(B2467,"2018-12-31","2019-12-30","1")</f>
        <v>-2.7777777800000001</v>
      </c>
      <c r="H2467" s="11">
        <f>[1]!EM_S_FA_YOY_OR(B2467,E2467)</f>
        <v>-5.5343599484999997</v>
      </c>
      <c r="I2467" s="11">
        <f>[1]!EM_S_FA_GROSSPROFITMARGIN(B2467,E2467)</f>
        <v>18.739099649100002</v>
      </c>
      <c r="J2467" s="11">
        <f>[1]!EM_S_FA_NETPROFITMARGIN(B2467,E2467)</f>
        <v>-24.0082309296</v>
      </c>
      <c r="K2467" s="10">
        <f>[1]!EM_S_FA_ASSETSTURN(B2467,E2467)</f>
        <v>1.4270353322210001</v>
      </c>
      <c r="L2467" s="12">
        <f>[1]!EM_HKS_VAL_MV(B2467,"2019-12-31","2")</f>
        <v>835380000</v>
      </c>
      <c r="M2467">
        <f>[1]!EM_S_VAL_PETTMDEDUCTED(B2467,E2467)</f>
        <v>-1.5339748404411899</v>
      </c>
      <c r="N2467" s="7">
        <f>[1]!EM_S_VAL_PBGOODWILLDEDUCTED(B2467,E2467)</f>
        <v>-2.47689985284488</v>
      </c>
      <c r="O2467" s="7">
        <f>[1]!EM_S_VAL_PS_TTM(B2467,E2467)</f>
        <v>1.1819553553472699</v>
      </c>
      <c r="P2467" s="7">
        <f>[1]!EM_S_VAL_PCF_NCFTTM(B2467,E2467)</f>
        <v>-10.657557032324799</v>
      </c>
      <c r="Q2467" s="7">
        <f>[1]!EM_S_VAL_DIVIDENDYIELD2(B2467,E2467,"2019-11-29")</f>
        <v>0</v>
      </c>
      <c r="T2467"/>
      <c r="U2467">
        <f>[1]!EM_S_RATIO_EPS_TTM(B2467,E2467,"1")</f>
        <v>-0.65041093382352944</v>
      </c>
      <c r="AT2467" s="4" t="str">
        <f>[1]!EM_S_IPO_LISTEDDATE(B2467)</f>
        <v>2008-07-16</v>
      </c>
    </row>
    <row r="2468" spans="1:46">
      <c r="A2468">
        <v>3347</v>
      </c>
      <c r="B2468" t="str">
        <f>"603306"</f>
        <v>603306</v>
      </c>
      <c r="C2468" t="s">
        <v>587</v>
      </c>
      <c r="D2468" t="str">
        <f>[1]!EM_S_INFO_INDEX_EM(B2468,"1")</f>
        <v>交运设备</v>
      </c>
      <c r="E2468" s="4">
        <f t="shared" si="38"/>
        <v>43465</v>
      </c>
      <c r="F2468" s="11">
        <f>[1]!EM_S_PQ_PCTCHANGE(B2468,"2018-01-01","2019-12-31","3")</f>
        <v>-33.770964769999999</v>
      </c>
      <c r="G2468" s="11">
        <f>[1]!EM_S_PQ_PCTCHANGE(B2468,"2018-12-31","2019-12-30","1")</f>
        <v>-2.8070175399999999</v>
      </c>
      <c r="H2468" s="11">
        <f>[1]!EM_S_FA_YOY_OR(B2468,E2468)</f>
        <v>-0.62077576150000002</v>
      </c>
      <c r="I2468" s="11">
        <f>[1]!EM_S_FA_GROSSPROFITMARGIN(B2468,E2468)</f>
        <v>40.238320450099998</v>
      </c>
      <c r="J2468" s="11">
        <f>[1]!EM_S_FA_NETPROFITMARGIN(B2468,E2468)</f>
        <v>28.1143309357</v>
      </c>
      <c r="K2468" s="10">
        <f>[1]!EM_S_FA_ASSETSTURN(B2468,E2468)</f>
        <v>0.39364179407200001</v>
      </c>
      <c r="L2468" s="12">
        <f>[1]!EM_HKS_VAL_MV(B2468,"2019-12-31","2")</f>
        <v>4295248183.9799995</v>
      </c>
      <c r="M2468">
        <f>[1]!EM_S_VAL_PETTMDEDUCTED(B2468,E2468)</f>
        <v>15.4414607893053</v>
      </c>
      <c r="N2468" s="7">
        <f>[1]!EM_S_VAL_PBGOODWILLDEDUCTED(B2468,E2468)</f>
        <v>1.9232917267679499</v>
      </c>
      <c r="O2468" s="7">
        <f>[1]!EM_S_VAL_PS_TTM(B2468,E2468)</f>
        <v>4.2298799318851996</v>
      </c>
      <c r="P2468" s="7">
        <f>[1]!EM_S_VAL_PCF_NCFTTM(B2468,E2468)</f>
        <v>-5.7670146479567403</v>
      </c>
      <c r="Q2468" s="7">
        <f>[1]!EM_S_VAL_DIVIDENDYIELD2(B2468,E2468,"2019-11-29")</f>
        <v>3.8944068856989422</v>
      </c>
      <c r="T2468"/>
      <c r="U2468">
        <f>[1]!EM_S_RATIO_EPS_TTM(B2468,E2468,"1")</f>
        <v>0.88313208303249768</v>
      </c>
      <c r="AT2468" s="4" t="str">
        <f>[1]!EM_S_IPO_LISTEDDATE(B2468)</f>
        <v>2014-09-26</v>
      </c>
    </row>
    <row r="2469" spans="1:46">
      <c r="A2469">
        <v>1668</v>
      </c>
      <c r="B2469" t="str">
        <f>"300243"</f>
        <v>300243</v>
      </c>
      <c r="C2469" t="s">
        <v>648</v>
      </c>
      <c r="D2469" t="str">
        <f>[1]!EM_S_INFO_INDEX_EM(B2469,"1")</f>
        <v>基础化工</v>
      </c>
      <c r="E2469" s="4">
        <f t="shared" si="38"/>
        <v>43465</v>
      </c>
      <c r="F2469" s="11">
        <f>[1]!EM_S_PQ_PCTCHANGE(B2469,"2018-01-01","2019-12-31","3")</f>
        <v>-26.945216609999999</v>
      </c>
      <c r="G2469" s="11">
        <f>[1]!EM_S_PQ_PCTCHANGE(B2469,"2018-12-31","2019-12-30","1")</f>
        <v>-2.80970626</v>
      </c>
      <c r="H2469" s="11">
        <f>[1]!EM_S_FA_YOY_OR(B2469,E2469)</f>
        <v>31.907387525200001</v>
      </c>
      <c r="I2469" s="11">
        <f>[1]!EM_S_FA_GROSSPROFITMARGIN(B2469,E2469)</f>
        <v>23.522121453499999</v>
      </c>
      <c r="J2469" s="11">
        <f>[1]!EM_S_FA_NETPROFITMARGIN(B2469,E2469)</f>
        <v>6.239507712</v>
      </c>
      <c r="K2469" s="10">
        <f>[1]!EM_S_FA_ASSETSTURN(B2469,E2469)</f>
        <v>1.494332281675</v>
      </c>
      <c r="L2469" s="12">
        <f>[1]!EM_HKS_VAL_MV(B2469,"2019-12-31","2")</f>
        <v>1777269810.1500001</v>
      </c>
      <c r="M2469">
        <f>[1]!EM_S_VAL_PETTMDEDUCTED(B2469,E2469)</f>
        <v>17.8239471680881</v>
      </c>
      <c r="N2469" s="7">
        <f>[1]!EM_S_VAL_PBGOODWILLDEDUCTED(B2469,E2469)</f>
        <v>2.7497522128832599</v>
      </c>
      <c r="O2469" s="7">
        <f>[1]!EM_S_VAL_PS_TTM(B2469,E2469)</f>
        <v>1.20848588889312</v>
      </c>
      <c r="P2469" s="7">
        <f>[1]!EM_S_VAL_PCF_NCFTTM(B2469,E2469)</f>
        <v>71.017177582179002</v>
      </c>
      <c r="Q2469" s="7">
        <f>[1]!EM_S_VAL_DIVIDENDYIELD2(B2469,E2469,"2019-11-29")</f>
        <v>1.2504866890484074</v>
      </c>
      <c r="T2469"/>
      <c r="U2469">
        <f>[1]!EM_S_RATIO_EPS_TTM(B2469,E2469,"1")</f>
        <v>0.42698620317284214</v>
      </c>
      <c r="AT2469" s="4" t="str">
        <f>[1]!EM_S_IPO_LISTEDDATE(B2469)</f>
        <v>2011-07-12</v>
      </c>
    </row>
    <row r="2470" spans="1:46">
      <c r="A2470">
        <v>2173</v>
      </c>
      <c r="B2470" t="str">
        <f>"600012"</f>
        <v>600012</v>
      </c>
      <c r="C2470" t="s">
        <v>888</v>
      </c>
      <c r="D2470" t="str">
        <f>[1]!EM_S_INFO_INDEX_EM(B2470,"1")</f>
        <v>交通运输</v>
      </c>
      <c r="E2470" s="4">
        <f t="shared" si="38"/>
        <v>43465</v>
      </c>
      <c r="F2470" s="11">
        <f>[1]!EM_S_PQ_PCTCHANGE(B2470,"2018-01-01","2019-12-31","3")</f>
        <v>-42.207561009999999</v>
      </c>
      <c r="G2470" s="11">
        <f>[1]!EM_S_PQ_PCTCHANGE(B2470,"2018-12-31","2019-12-30","1")</f>
        <v>-2.8192371500000002</v>
      </c>
      <c r="H2470" s="11">
        <f>[1]!EM_S_FA_YOY_OR(B2470,E2470)</f>
        <v>3.6882999438000001</v>
      </c>
      <c r="I2470" s="11">
        <f>[1]!EM_S_FA_GROSSPROFITMARGIN(B2470,E2470)</f>
        <v>56.763531758399999</v>
      </c>
      <c r="J2470" s="11">
        <f>[1]!EM_S_FA_NETPROFITMARGIN(B2470,E2470)</f>
        <v>36.961950200099999</v>
      </c>
      <c r="K2470" s="10">
        <f>[1]!EM_S_FA_ASSETSTURN(B2470,E2470)</f>
        <v>0.204926003572</v>
      </c>
      <c r="L2470" s="12">
        <f>[1]!EM_HKS_VAL_MV(B2470,"2019-12-31","2")</f>
        <v>9752626800</v>
      </c>
      <c r="M2470">
        <f>[1]!EM_S_VAL_PETTMDEDUCTED(B2470,E2470)</f>
        <v>8.8566951043405098</v>
      </c>
      <c r="N2470" s="7">
        <f>[1]!EM_S_VAL_PBGOODWILLDEDUCTED(B2470,E2470)</f>
        <v>0.99318980117518996</v>
      </c>
      <c r="O2470" s="7">
        <f>[1]!EM_S_VAL_PS_TTM(B2470,E2470)</f>
        <v>3.3753582093066701</v>
      </c>
      <c r="P2470" s="7">
        <f>[1]!EM_S_VAL_PCF_NCFTTM(B2470,E2470)</f>
        <v>-28.536632860959799</v>
      </c>
      <c r="Q2470" s="7">
        <f>[1]!EM_S_VAL_DIVIDENDYIELD2(B2470,E2470,"2019-11-29")</f>
        <v>4.3630017452006982</v>
      </c>
      <c r="T2470"/>
      <c r="U2470">
        <f>[1]!EM_S_RATIO_EPS_TTM(B2470,E2470,"1")</f>
        <v>0.6770984290399793</v>
      </c>
      <c r="AT2470" s="4" t="str">
        <f>[1]!EM_S_IPO_LISTEDDATE(B2470)</f>
        <v>2003-01-07</v>
      </c>
    </row>
    <row r="2471" spans="1:46">
      <c r="A2471">
        <v>3100</v>
      </c>
      <c r="B2471" t="str">
        <f>"601333"</f>
        <v>601333</v>
      </c>
      <c r="C2471" t="s">
        <v>1728</v>
      </c>
      <c r="D2471" t="str">
        <f>[1]!EM_S_INFO_INDEX_EM(B2471,"1")</f>
        <v>交通运输</v>
      </c>
      <c r="E2471" s="4">
        <f t="shared" si="38"/>
        <v>43465</v>
      </c>
      <c r="F2471" s="11">
        <f>[1]!EM_S_PQ_PCTCHANGE(B2471,"2018-01-01","2019-12-31","3")</f>
        <v>-42.869623760000003</v>
      </c>
      <c r="G2471" s="11">
        <f>[1]!EM_S_PQ_PCTCHANGE(B2471,"2018-12-31","2019-12-30","1")</f>
        <v>-2.8481012699999999</v>
      </c>
      <c r="H2471" s="11">
        <f>[1]!EM_S_FA_YOY_OR(B2471,E2471)</f>
        <v>8.1641023664999999</v>
      </c>
      <c r="I2471" s="11">
        <f>[1]!EM_S_FA_GROSSPROFITMARGIN(B2471,E2471)</f>
        <v>7.5937010740000002</v>
      </c>
      <c r="J2471" s="11">
        <f>[1]!EM_S_FA_NETPROFITMARGIN(B2471,E2471)</f>
        <v>3.9289561943</v>
      </c>
      <c r="K2471" s="10">
        <f>[1]!EM_S_FA_ASSETSTURN(B2471,E2471)</f>
        <v>0.57144163607300003</v>
      </c>
      <c r="L2471" s="12">
        <f>[1]!EM_HKS_VAL_MV(B2471,"2019-12-31","2")</f>
        <v>21675623220</v>
      </c>
      <c r="M2471">
        <f>[1]!EM_S_VAL_PETTMDEDUCTED(B2471,E2471)</f>
        <v>19.3835587427021</v>
      </c>
      <c r="N2471" s="7">
        <f>[1]!EM_S_VAL_PBGOODWILLDEDUCTED(B2471,E2471)</f>
        <v>0.78344969207895299</v>
      </c>
      <c r="O2471" s="7">
        <f>[1]!EM_S_VAL_PS_TTM(B2471,E2471)</f>
        <v>1.1336136317405801</v>
      </c>
      <c r="P2471" s="7">
        <f>[1]!EM_S_VAL_PCF_NCFTTM(B2471,E2471)</f>
        <v>72.682991186772298</v>
      </c>
      <c r="Q2471" s="7">
        <f>[1]!EM_S_VAL_DIVIDENDYIELD2(B2471,E2471,"2019-11-29")</f>
        <v>2.0270270270270272</v>
      </c>
      <c r="T2471"/>
      <c r="U2471">
        <f>[1]!EM_S_RATIO_EPS_TTM(B2471,E2471,"1")</f>
        <v>0.11068757754777027</v>
      </c>
      <c r="AT2471" s="4" t="str">
        <f>[1]!EM_S_IPO_LISTEDDATE(B2471)</f>
        <v>2006-12-22</v>
      </c>
    </row>
    <row r="2472" spans="1:46">
      <c r="A2472">
        <v>1049</v>
      </c>
      <c r="B2472" t="str">
        <f>"002538"</f>
        <v>002538</v>
      </c>
      <c r="C2472" t="s">
        <v>2014</v>
      </c>
      <c r="D2472" t="str">
        <f>[1]!EM_S_INFO_INDEX_EM(B2472,"1")</f>
        <v>基础化工</v>
      </c>
      <c r="E2472" s="4">
        <f t="shared" si="38"/>
        <v>43465</v>
      </c>
      <c r="F2472" s="11">
        <f>[1]!EM_S_PQ_PCTCHANGE(B2472,"2018-01-01","2019-12-31","3")</f>
        <v>-44.139483269999999</v>
      </c>
      <c r="G2472" s="11">
        <f>[1]!EM_S_PQ_PCTCHANGE(B2472,"2018-12-31","2019-12-30","1")</f>
        <v>-2.8985507199999998</v>
      </c>
      <c r="H2472" s="11">
        <f>[1]!EM_S_FA_YOY_OR(B2472,E2472)</f>
        <v>20.136133816600001</v>
      </c>
      <c r="I2472" s="11">
        <f>[1]!EM_S_FA_GROSSPROFITMARGIN(B2472,E2472)</f>
        <v>24.5306032612</v>
      </c>
      <c r="J2472" s="11">
        <f>[1]!EM_S_FA_NETPROFITMARGIN(B2472,E2472)</f>
        <v>9.9904482038999998</v>
      </c>
      <c r="K2472" s="10">
        <f>[1]!EM_S_FA_ASSETSTURN(B2472,E2472)</f>
        <v>0.66663722638099998</v>
      </c>
      <c r="L2472" s="12">
        <f>[1]!EM_HKS_VAL_MV(B2472,"2019-12-31","2")</f>
        <v>3418281573.5599999</v>
      </c>
      <c r="M2472">
        <f>[1]!EM_S_VAL_PETTMDEDUCTED(B2472,E2472)</f>
        <v>14.3854906954799</v>
      </c>
      <c r="N2472" s="7">
        <f>[1]!EM_S_VAL_PBGOODWILLDEDUCTED(B2472,E2472)</f>
        <v>0.988459288613731</v>
      </c>
      <c r="O2472" s="7">
        <f>[1]!EM_S_VAL_PS_TTM(B2472,E2472)</f>
        <v>1.1727198159479399</v>
      </c>
      <c r="P2472" s="7">
        <f>[1]!EM_S_VAL_PCF_NCFTTM(B2472,E2472)</f>
        <v>5.70889107077969</v>
      </c>
      <c r="Q2472" s="7">
        <f>[1]!EM_S_VAL_DIVIDENDYIELD2(B2472,E2472,"2019-11-29")</f>
        <v>2.2123893805309733</v>
      </c>
      <c r="T2472"/>
      <c r="U2472">
        <f>[1]!EM_S_RATIO_EPS_TTM(B2472,E2472,"1")</f>
        <v>0.41794898610320969</v>
      </c>
      <c r="AT2472" s="4" t="str">
        <f>[1]!EM_S_IPO_LISTEDDATE(B2472)</f>
        <v>2011-01-18</v>
      </c>
    </row>
    <row r="2473" spans="1:46">
      <c r="A2473">
        <v>1329</v>
      </c>
      <c r="B2473" t="str">
        <f>"002826"</f>
        <v>002826</v>
      </c>
      <c r="C2473" t="s">
        <v>2224</v>
      </c>
      <c r="D2473" t="str">
        <f>[1]!EM_S_INFO_INDEX_EM(B2473,"1")</f>
        <v>医药生物</v>
      </c>
      <c r="E2473" s="4">
        <f t="shared" si="38"/>
        <v>43465</v>
      </c>
      <c r="F2473" s="11">
        <f>[1]!EM_S_PQ_PCTCHANGE(B2473,"2018-01-01","2019-12-31","3")</f>
        <v>-31.551390260000002</v>
      </c>
      <c r="G2473" s="11">
        <f>[1]!EM_S_PQ_PCTCHANGE(B2473,"2018-12-31","2019-12-30","1")</f>
        <v>-2.9354207400000001</v>
      </c>
      <c r="H2473" s="11">
        <f>[1]!EM_S_FA_YOY_OR(B2473,E2473)</f>
        <v>28.525811024900001</v>
      </c>
      <c r="I2473" s="11">
        <f>[1]!EM_S_FA_GROSSPROFITMARGIN(B2473,E2473)</f>
        <v>31.938976541300001</v>
      </c>
      <c r="J2473" s="11">
        <f>[1]!EM_S_FA_NETPROFITMARGIN(B2473,E2473)</f>
        <v>5.1670159373000004</v>
      </c>
      <c r="K2473" s="10">
        <f>[1]!EM_S_FA_ASSETSTURN(B2473,E2473)</f>
        <v>0.65553382789100001</v>
      </c>
      <c r="L2473" s="12">
        <f>[1]!EM_HKS_VAL_MV(B2473,"2019-12-31","2")</f>
        <v>1953353100</v>
      </c>
      <c r="M2473">
        <f>[1]!EM_S_VAL_PETTMDEDUCTED(B2473,E2473)</f>
        <v>64.486455651537696</v>
      </c>
      <c r="N2473" s="7">
        <f>[1]!EM_S_VAL_PBGOODWILLDEDUCTED(B2473,E2473)</f>
        <v>3.1747693595420401</v>
      </c>
      <c r="O2473" s="7">
        <f>[1]!EM_S_VAL_PS_TTM(B2473,E2473)</f>
        <v>4.2952524720047496</v>
      </c>
      <c r="P2473" s="7">
        <f>[1]!EM_S_VAL_PCF_NCFTTM(B2473,E2473)</f>
        <v>-53.016305245752399</v>
      </c>
      <c r="Q2473" s="7">
        <f>[1]!EM_S_VAL_DIVIDENDYIELD2(B2473,E2473,"2019-11-29")</f>
        <v>0.30244458503780347</v>
      </c>
      <c r="T2473"/>
      <c r="U2473">
        <f>[1]!EM_S_RATIO_EPS_TTM(B2473,E2473,"1")</f>
        <v>0.13311744228336495</v>
      </c>
      <c r="AT2473" s="4" t="str">
        <f>[1]!EM_S_IPO_LISTEDDATE(B2473)</f>
        <v>2016-12-09</v>
      </c>
    </row>
    <row r="2474" spans="1:46">
      <c r="A2474">
        <v>935</v>
      </c>
      <c r="B2474" t="str">
        <f>"002424"</f>
        <v>002424</v>
      </c>
      <c r="C2474" t="s">
        <v>417</v>
      </c>
      <c r="D2474" t="str">
        <f>[1]!EM_S_INFO_INDEX_EM(B2474,"1")</f>
        <v>医药生物</v>
      </c>
      <c r="E2474" s="4">
        <f t="shared" si="38"/>
        <v>43465</v>
      </c>
      <c r="F2474" s="11">
        <f>[1]!EM_S_PQ_PCTCHANGE(B2474,"2018-01-01","2019-12-31","3")</f>
        <v>-42.658447150000001</v>
      </c>
      <c r="G2474" s="11">
        <f>[1]!EM_S_PQ_PCTCHANGE(B2474,"2018-12-31","2019-12-30","1")</f>
        <v>-2.97142857</v>
      </c>
      <c r="H2474" s="11">
        <f>[1]!EM_S_FA_YOY_OR(B2474,E2474)</f>
        <v>21.028747611699998</v>
      </c>
      <c r="I2474" s="11">
        <f>[1]!EM_S_FA_GROSSPROFITMARGIN(B2474,E2474)</f>
        <v>59.747636831299999</v>
      </c>
      <c r="J2474" s="11">
        <f>[1]!EM_S_FA_NETPROFITMARGIN(B2474,E2474)</f>
        <v>18.227475513400002</v>
      </c>
      <c r="K2474" s="10">
        <f>[1]!EM_S_FA_ASSETSTURN(B2474,E2474)</f>
        <v>0.58095220691299998</v>
      </c>
      <c r="L2474" s="12">
        <f>[1]!EM_HKS_VAL_MV(B2474,"2019-12-31","2")</f>
        <v>12291552000</v>
      </c>
      <c r="M2474">
        <f>[1]!EM_S_VAL_PETTMDEDUCTED(B2474,E2474)</f>
        <v>22.4181934614179</v>
      </c>
      <c r="N2474" s="7">
        <f>[1]!EM_S_VAL_PBGOODWILLDEDUCTED(B2474,E2474)</f>
        <v>3.2076343033838799</v>
      </c>
      <c r="O2474" s="7">
        <f>[1]!EM_S_VAL_PS_TTM(B2474,E2474)</f>
        <v>4.3419679397521902</v>
      </c>
      <c r="P2474" s="7">
        <f>[1]!EM_S_VAL_PCF_NCFTTM(B2474,E2474)</f>
        <v>-379.68821721239601</v>
      </c>
      <c r="Q2474" s="7">
        <f>[1]!EM_S_VAL_DIVIDENDYIELD2(B2474,E2474,"2019-11-29")</f>
        <v>0.96501809408926409</v>
      </c>
      <c r="T2474"/>
      <c r="U2474">
        <f>[1]!EM_S_RATIO_EPS_TTM(B2474,E2474,"1")</f>
        <v>0.3991205255102041</v>
      </c>
      <c r="AT2474" s="4" t="str">
        <f>[1]!EM_S_IPO_LISTEDDATE(B2474)</f>
        <v>2010-06-03</v>
      </c>
    </row>
    <row r="2475" spans="1:46">
      <c r="A2475">
        <v>3274</v>
      </c>
      <c r="B2475" t="str">
        <f>"603113"</f>
        <v>603113</v>
      </c>
      <c r="C2475" t="s">
        <v>178</v>
      </c>
      <c r="D2475" t="str">
        <f>[1]!EM_S_INFO_INDEX_EM(B2475,"1")</f>
        <v>化石能源</v>
      </c>
      <c r="E2475" s="4">
        <f t="shared" si="38"/>
        <v>43465</v>
      </c>
      <c r="F2475" s="11">
        <f>[1]!EM_S_PQ_PCTCHANGE(B2475,"2018-01-01","2019-12-31","3")</f>
        <v>-50.226700289999997</v>
      </c>
      <c r="G2475" s="11">
        <f>[1]!EM_S_PQ_PCTCHANGE(B2475,"2018-12-31","2019-12-30","1")</f>
        <v>-3.0082041899999998</v>
      </c>
      <c r="H2475" s="11">
        <f>[1]!EM_S_FA_YOY_OR(B2475,E2475)</f>
        <v>32.472170763400001</v>
      </c>
      <c r="I2475" s="11">
        <f>[1]!EM_S_FA_GROSSPROFITMARGIN(B2475,E2475)</f>
        <v>21.1468726899</v>
      </c>
      <c r="J2475" s="11">
        <f>[1]!EM_S_FA_NETPROFITMARGIN(B2475,E2475)</f>
        <v>14.415114151499999</v>
      </c>
      <c r="K2475" s="10">
        <f>[1]!EM_S_FA_ASSETSTURN(B2475,E2475)</f>
        <v>1.456873037289</v>
      </c>
      <c r="L2475" s="12">
        <f>[1]!EM_HKS_VAL_MV(B2475,"2019-12-31","2")</f>
        <v>7293386719.4499998</v>
      </c>
      <c r="M2475">
        <f>[1]!EM_S_VAL_PETTMDEDUCTED(B2475,E2475)</f>
        <v>8.1808652340825194</v>
      </c>
      <c r="N2475" s="7">
        <f>[1]!EM_S_VAL_PBGOODWILLDEDUCTED(B2475,E2475)</f>
        <v>1.52384901492733</v>
      </c>
      <c r="O2475" s="7">
        <f>[1]!EM_S_VAL_PS_TTM(B2475,E2475)</f>
        <v>0.908622572066075</v>
      </c>
      <c r="P2475" s="7">
        <f>[1]!EM_S_VAL_PCF_NCFTTM(B2475,E2475)</f>
        <v>-34.650853297386398</v>
      </c>
      <c r="Q2475" s="7">
        <f>[1]!EM_S_VAL_DIVIDENDYIELD2(B2475,E2475,"2019-11-29")</f>
        <v>0</v>
      </c>
      <c r="T2475"/>
      <c r="U2475">
        <f>[1]!EM_S_RATIO_EPS_TTM(B2475,E2475,"1")</f>
        <v>1.8792540997773239</v>
      </c>
      <c r="AT2475" s="4" t="str">
        <f>[1]!EM_S_IPO_LISTEDDATE(B2475)</f>
        <v>2017-05-11</v>
      </c>
    </row>
    <row r="2476" spans="1:46">
      <c r="A2476">
        <v>2888</v>
      </c>
      <c r="B2476" t="str">
        <f>"600815"</f>
        <v>600815</v>
      </c>
      <c r="C2476" t="s">
        <v>926</v>
      </c>
      <c r="D2476" t="str">
        <f>[1]!EM_S_INFO_INDEX_EM(B2476,"1")</f>
        <v>机械设备</v>
      </c>
      <c r="E2476" s="4">
        <f t="shared" si="38"/>
        <v>43465</v>
      </c>
      <c r="F2476" s="11">
        <f>[1]!EM_S_PQ_PCTCHANGE(B2476,"2018-01-01","2019-12-31","3")</f>
        <v>-31.694963980000001</v>
      </c>
      <c r="G2476" s="11">
        <f>[1]!EM_S_PQ_PCTCHANGE(B2476,"2018-12-31","2019-12-30","1")</f>
        <v>-3.0100334399999999</v>
      </c>
      <c r="H2476" s="11">
        <f>[1]!EM_S_FA_YOY_OR(B2476,E2476)</f>
        <v>-36.206463973200002</v>
      </c>
      <c r="I2476" s="11">
        <f>[1]!EM_S_FA_GROSSPROFITMARGIN(B2476,E2476)</f>
        <v>11.767225654200001</v>
      </c>
      <c r="J2476" s="11">
        <f>[1]!EM_S_FA_NETPROFITMARGIN(B2476,E2476)</f>
        <v>-24.043392022500001</v>
      </c>
      <c r="K2476" s="10">
        <f>[1]!EM_S_FA_ASSETSTURN(B2476,E2476)</f>
        <v>0.49272015094600002</v>
      </c>
      <c r="L2476" s="12">
        <f>[1]!EM_HKS_VAL_MV(B2476,"2019-12-31","2")</f>
        <v>5127133047.1999998</v>
      </c>
      <c r="M2476">
        <f>[1]!EM_S_VAL_PETTMDEDUCTED(B2476,E2476)</f>
        <v>-6.9846374596624798</v>
      </c>
      <c r="N2476" s="7">
        <f>[1]!EM_S_VAL_PBGOODWILLDEDUCTED(B2476,E2476)</f>
        <v>-15.4646336769074</v>
      </c>
      <c r="O2476" s="7">
        <f>[1]!EM_S_VAL_PS_TTM(B2476,E2476)</f>
        <v>0.84713746974191795</v>
      </c>
      <c r="P2476" s="7">
        <f>[1]!EM_S_VAL_PCF_NCFTTM(B2476,E2476)</f>
        <v>-34.937881322428701</v>
      </c>
      <c r="Q2476" s="7">
        <f>[1]!EM_S_VAL_DIVIDENDYIELD2(B2476,E2476,"2019-11-29")</f>
        <v>0</v>
      </c>
      <c r="T2476"/>
      <c r="U2476">
        <f>[1]!EM_S_RATIO_EPS_TTM(B2476,E2476,"1")</f>
        <v>-0.76247798462648242</v>
      </c>
      <c r="AT2476" s="4" t="str">
        <f>[1]!EM_S_IPO_LISTEDDATE(B2476)</f>
        <v>1994-01-28</v>
      </c>
    </row>
    <row r="2477" spans="1:46">
      <c r="A2477">
        <v>1818</v>
      </c>
      <c r="B2477" t="str">
        <f>"300393"</f>
        <v>300393</v>
      </c>
      <c r="C2477" t="s">
        <v>2369</v>
      </c>
      <c r="D2477" t="str">
        <f>[1]!EM_S_INFO_INDEX_EM(B2477,"1")</f>
        <v>有色金属</v>
      </c>
      <c r="E2477" s="4">
        <f t="shared" si="38"/>
        <v>43465</v>
      </c>
      <c r="F2477" s="11">
        <f>[1]!EM_S_PQ_PCTCHANGE(B2477,"2018-01-01","2019-12-31","3")</f>
        <v>-35.06102387</v>
      </c>
      <c r="G2477" s="11">
        <f>[1]!EM_S_PQ_PCTCHANGE(B2477,"2018-12-31","2019-12-30","1")</f>
        <v>-3.0503978799999998</v>
      </c>
      <c r="H2477" s="11">
        <f>[1]!EM_S_FA_YOY_OR(B2477,E2477)</f>
        <v>-16.991671159399999</v>
      </c>
      <c r="I2477" s="11">
        <f>[1]!EM_S_FA_GROSSPROFITMARGIN(B2477,E2477)</f>
        <v>21.007382865899999</v>
      </c>
      <c r="J2477" s="11">
        <f>[1]!EM_S_FA_NETPROFITMARGIN(B2477,E2477)</f>
        <v>4.8504135409</v>
      </c>
      <c r="K2477" s="10">
        <f>[1]!EM_S_FA_ASSETSTURN(B2477,E2477)</f>
        <v>0.44146000508</v>
      </c>
      <c r="L2477" s="12">
        <f>[1]!EM_HKS_VAL_MV(B2477,"2019-12-31","2")</f>
        <v>5203720090.8000002</v>
      </c>
      <c r="M2477">
        <f>[1]!EM_S_VAL_PETTMDEDUCTED(B2477,E2477)</f>
        <v>25.8503263143173</v>
      </c>
      <c r="N2477" s="7">
        <f>[1]!EM_S_VAL_PBGOODWILLDEDUCTED(B2477,E2477)</f>
        <v>1.4468903391274699</v>
      </c>
      <c r="O2477" s="7">
        <f>[1]!EM_S_VAL_PS_TTM(B2477,E2477)</f>
        <v>1.47342823281629</v>
      </c>
      <c r="P2477" s="7">
        <f>[1]!EM_S_VAL_PCF_NCFTTM(B2477,E2477)</f>
        <v>13.2181032458146</v>
      </c>
      <c r="Q2477" s="7">
        <f>[1]!EM_S_VAL_DIVIDENDYIELD2(B2477,E2477,"2019-11-29")</f>
        <v>1.9396125605868693</v>
      </c>
      <c r="T2477"/>
      <c r="U2477">
        <f>[1]!EM_S_RATIO_EPS_TTM(B2477,E2477,"1")</f>
        <v>0.52177000437615473</v>
      </c>
      <c r="AT2477" s="4" t="str">
        <f>[1]!EM_S_IPO_LISTEDDATE(B2477)</f>
        <v>2014-09-12</v>
      </c>
    </row>
    <row r="2478" spans="1:46">
      <c r="A2478">
        <v>2030</v>
      </c>
      <c r="B2478" t="str">
        <f>"300610"</f>
        <v>300610</v>
      </c>
      <c r="C2478" t="s">
        <v>1574</v>
      </c>
      <c r="D2478" t="str">
        <f>[1]!EM_S_INFO_INDEX_EM(B2478,"1")</f>
        <v>基础化工</v>
      </c>
      <c r="E2478" s="4">
        <f t="shared" si="38"/>
        <v>43465</v>
      </c>
      <c r="F2478" s="11">
        <f>[1]!EM_S_PQ_PCTCHANGE(B2478,"2018-01-01","2019-12-31","3")</f>
        <v>-25.64278951</v>
      </c>
      <c r="G2478" s="11">
        <f>[1]!EM_S_PQ_PCTCHANGE(B2478,"2018-12-31","2019-12-30","1")</f>
        <v>-3.0540328900000002</v>
      </c>
      <c r="H2478" s="11">
        <f>[1]!EM_S_FA_YOY_OR(B2478,E2478)</f>
        <v>11.857029006599999</v>
      </c>
      <c r="I2478" s="11">
        <f>[1]!EM_S_FA_GROSSPROFITMARGIN(B2478,E2478)</f>
        <v>22.2923182111</v>
      </c>
      <c r="J2478" s="11">
        <f>[1]!EM_S_FA_NETPROFITMARGIN(B2478,E2478)</f>
        <v>10.955437053300001</v>
      </c>
      <c r="K2478" s="10">
        <f>[1]!EM_S_FA_ASSETSTURN(B2478,E2478)</f>
        <v>0.92153193023500002</v>
      </c>
      <c r="L2478" s="12">
        <f>[1]!EM_HKS_VAL_MV(B2478,"2019-12-31","2")</f>
        <v>1865418400</v>
      </c>
      <c r="M2478">
        <f>[1]!EM_S_VAL_PETTMDEDUCTED(B2478,E2478)</f>
        <v>26.038668485611499</v>
      </c>
      <c r="N2478" s="7">
        <f>[1]!EM_S_VAL_PBGOODWILLDEDUCTED(B2478,E2478)</f>
        <v>2.5474729264135898</v>
      </c>
      <c r="O2478" s="7">
        <f>[1]!EM_S_VAL_PS_TTM(B2478,E2478)</f>
        <v>2.4340609413623699</v>
      </c>
      <c r="P2478" s="7">
        <f>[1]!EM_S_VAL_PCF_NCFTTM(B2478,E2478)</f>
        <v>-15.407965799300801</v>
      </c>
      <c r="Q2478" s="7">
        <f>[1]!EM_S_VAL_DIVIDENDYIELD2(B2478,E2478,"2019-11-29")</f>
        <v>0.9632352018194692</v>
      </c>
      <c r="T2478"/>
      <c r="U2478">
        <f>[1]!EM_S_RATIO_EPS_TTM(B2478,E2478,"1")</f>
        <v>0.57205263621401359</v>
      </c>
      <c r="AT2478" s="4" t="str">
        <f>[1]!EM_S_IPO_LISTEDDATE(B2478)</f>
        <v>2017-02-13</v>
      </c>
    </row>
    <row r="2479" spans="1:46">
      <c r="A2479">
        <v>3169</v>
      </c>
      <c r="B2479" t="str">
        <f>"601886"</f>
        <v>601886</v>
      </c>
      <c r="C2479" t="s">
        <v>1877</v>
      </c>
      <c r="D2479" t="str">
        <f>[1]!EM_S_INFO_INDEX_EM(B2479,"1")</f>
        <v>建筑</v>
      </c>
      <c r="E2479" s="4">
        <f t="shared" si="38"/>
        <v>43465</v>
      </c>
      <c r="F2479" s="11">
        <f>[1]!EM_S_PQ_PCTCHANGE(B2479,"2018-01-01","2019-12-31","3")</f>
        <v>-10.089575099999999</v>
      </c>
      <c r="G2479" s="11">
        <f>[1]!EM_S_PQ_PCTCHANGE(B2479,"2018-12-31","2019-12-30","1")</f>
        <v>-3.07076101</v>
      </c>
      <c r="H2479" s="11">
        <f>[1]!EM_S_FA_YOY_OR(B2479,E2479)</f>
        <v>4.8421904274000003</v>
      </c>
      <c r="I2479" s="11">
        <f>[1]!EM_S_FA_GROSSPROFITMARGIN(B2479,E2479)</f>
        <v>18.4557912633</v>
      </c>
      <c r="J2479" s="11">
        <f>[1]!EM_S_FA_NETPROFITMARGIN(B2479,E2479)</f>
        <v>4.6055611727999999</v>
      </c>
      <c r="K2479" s="10">
        <f>[1]!EM_S_FA_ASSETSTURN(B2479,E2479)</f>
        <v>0.62408303135499998</v>
      </c>
      <c r="L2479" s="12">
        <f>[1]!EM_HKS_VAL_MV(B2479,"2019-12-31","2")</f>
        <v>8378403000</v>
      </c>
      <c r="M2479">
        <f>[1]!EM_S_VAL_PETTMDEDUCTED(B2479,E2479)</f>
        <v>16.8777580981778</v>
      </c>
      <c r="N2479" s="7">
        <f>[1]!EM_S_VAL_PBGOODWILLDEDUCTED(B2479,E2479)</f>
        <v>1.33081869093572</v>
      </c>
      <c r="O2479" s="7">
        <f>[1]!EM_S_VAL_PS_TTM(B2479,E2479)</f>
        <v>0.55531856449032302</v>
      </c>
      <c r="P2479" s="7">
        <f>[1]!EM_S_VAL_PCF_NCFTTM(B2479,E2479)</f>
        <v>9.4803016326158307</v>
      </c>
      <c r="Q2479" s="7">
        <f>[1]!EM_S_VAL_DIVIDENDYIELD2(B2479,E2479,"2019-11-29")</f>
        <v>3.9735099337748347</v>
      </c>
      <c r="T2479"/>
      <c r="U2479">
        <f>[1]!EM_S_RATIO_EPS_TTM(B2479,E2479,"1")</f>
        <v>0.52736579786837656</v>
      </c>
      <c r="AT2479" s="4" t="str">
        <f>[1]!EM_S_IPO_LISTEDDATE(B2479)</f>
        <v>2011-08-18</v>
      </c>
    </row>
    <row r="2480" spans="1:46">
      <c r="A2480">
        <v>2654</v>
      </c>
      <c r="B2480" t="str">
        <f>"600581"</f>
        <v>600581</v>
      </c>
      <c r="C2480" t="s">
        <v>421</v>
      </c>
      <c r="D2480" t="str">
        <f>[1]!EM_S_INFO_INDEX_EM(B2480,"1")</f>
        <v>钢铁</v>
      </c>
      <c r="E2480" s="4">
        <f t="shared" si="38"/>
        <v>43465</v>
      </c>
      <c r="F2480" s="11">
        <f>[1]!EM_S_PQ_PCTCHANGE(B2480,"2018-01-01","2019-12-31","3")</f>
        <v>-47.917607240000002</v>
      </c>
      <c r="G2480" s="11">
        <f>[1]!EM_S_PQ_PCTCHANGE(B2480,"2018-12-31","2019-12-30","1")</f>
        <v>-3.0898876400000002</v>
      </c>
      <c r="H2480" s="11">
        <f>[1]!EM_S_FA_YOY_OR(B2480,E2480)</f>
        <v>19.982824223400002</v>
      </c>
      <c r="I2480" s="11">
        <f>[1]!EM_S_FA_GROSSPROFITMARGIN(B2480,E2480)</f>
        <v>12.7779124417</v>
      </c>
      <c r="J2480" s="11">
        <f>[1]!EM_S_FA_NETPROFITMARGIN(B2480,E2480)</f>
        <v>3.4842301086999998</v>
      </c>
      <c r="K2480" s="10">
        <f>[1]!EM_S_FA_ASSETSTURN(B2480,E2480)</f>
        <v>1.060309837713</v>
      </c>
      <c r="L2480" s="12">
        <f>[1]!EM_HKS_VAL_MV(B2480,"2019-12-31","2")</f>
        <v>5457116417.1999998</v>
      </c>
      <c r="M2480">
        <f>[1]!EM_S_VAL_PETTMDEDUCTED(B2480,E2480)</f>
        <v>6.2411985743035796</v>
      </c>
      <c r="N2480" s="7">
        <f>[1]!EM_S_VAL_PBGOODWILLDEDUCTED(B2480,E2480)</f>
        <v>1.3498688362065101</v>
      </c>
      <c r="O2480" s="7">
        <f>[1]!EM_S_VAL_PS_TTM(B2480,E2480)</f>
        <v>0.27895979197181298</v>
      </c>
      <c r="P2480" s="7">
        <f>[1]!EM_S_VAL_PCF_NCFTTM(B2480,E2480)</f>
        <v>4.1012732782267198</v>
      </c>
      <c r="Q2480" s="7">
        <f>[1]!EM_S_VAL_DIVIDENDYIELD2(B2480,E2480,"2019-11-29")</f>
        <v>0</v>
      </c>
      <c r="T2480"/>
      <c r="U2480">
        <f>[1]!EM_S_RATIO_EPS_TTM(B2480,E2480,"1")</f>
        <v>0.45698838814356235</v>
      </c>
      <c r="AT2480" s="4" t="str">
        <f>[1]!EM_S_IPO_LISTEDDATE(B2480)</f>
        <v>2002-08-16</v>
      </c>
    </row>
    <row r="2481" spans="1:46">
      <c r="A2481">
        <v>1955</v>
      </c>
      <c r="B2481" t="str">
        <f>"300531"</f>
        <v>300531</v>
      </c>
      <c r="C2481" t="s">
        <v>410</v>
      </c>
      <c r="D2481" t="str">
        <f>[1]!EM_S_INFO_INDEX_EM(B2481,"1")</f>
        <v>信息技术</v>
      </c>
      <c r="E2481" s="4">
        <f t="shared" si="38"/>
        <v>43465</v>
      </c>
      <c r="F2481" s="11">
        <f>[1]!EM_S_PQ_PCTCHANGE(B2481,"2018-01-01","2019-12-31","3")</f>
        <v>2.8186938600000002</v>
      </c>
      <c r="G2481" s="11">
        <f>[1]!EM_S_PQ_PCTCHANGE(B2481,"2018-12-31","2019-12-30","1")</f>
        <v>-3.1007751899999998</v>
      </c>
      <c r="H2481" s="11">
        <f>[1]!EM_S_FA_YOY_OR(B2481,E2481)</f>
        <v>114.7780953476</v>
      </c>
      <c r="I2481" s="11">
        <f>[1]!EM_S_FA_GROSSPROFITMARGIN(B2481,E2481)</f>
        <v>33.3015521592</v>
      </c>
      <c r="J2481" s="11">
        <f>[1]!EM_S_FA_NETPROFITMARGIN(B2481,E2481)</f>
        <v>13.7112123872</v>
      </c>
      <c r="K2481" s="10">
        <f>[1]!EM_S_FA_ASSETSTURN(B2481,E2481)</f>
        <v>0.93256799325700002</v>
      </c>
      <c r="L2481" s="12">
        <f>[1]!EM_HKS_VAL_MV(B2481,"2019-12-31","2")</f>
        <v>5083938054.4200001</v>
      </c>
      <c r="M2481">
        <f>[1]!EM_S_VAL_PETTMDEDUCTED(B2481,E2481)</f>
        <v>50.832274064924597</v>
      </c>
      <c r="N2481" s="7">
        <f>[1]!EM_S_VAL_PBGOODWILLDEDUCTED(B2481,E2481)</f>
        <v>7.5270206291703996</v>
      </c>
      <c r="O2481" s="7">
        <f>[1]!EM_S_VAL_PS_TTM(B2481,E2481)</f>
        <v>5.4853709216409303</v>
      </c>
      <c r="P2481" s="7">
        <f>[1]!EM_S_VAL_PCF_NCFTTM(B2481,E2481)</f>
        <v>61.317605902122502</v>
      </c>
      <c r="Q2481" s="7">
        <f>[1]!EM_S_VAL_DIVIDENDYIELD2(B2481,E2481,"2019-11-29")</f>
        <v>0.19480519480519481</v>
      </c>
      <c r="T2481"/>
      <c r="U2481">
        <f>[1]!EM_S_RATIO_EPS_TTM(B2481,E2481,"1")</f>
        <v>0.41875150028571428</v>
      </c>
      <c r="AT2481" s="4" t="str">
        <f>[1]!EM_S_IPO_LISTEDDATE(B2481)</f>
        <v>2016-08-09</v>
      </c>
    </row>
    <row r="2482" spans="1:46">
      <c r="A2482">
        <v>977</v>
      </c>
      <c r="B2482" t="str">
        <f>"002466"</f>
        <v>002466</v>
      </c>
      <c r="C2482" t="s">
        <v>148</v>
      </c>
      <c r="D2482" t="str">
        <f>[1]!EM_S_INFO_INDEX_EM(B2482,"1")</f>
        <v>有色金属</v>
      </c>
      <c r="E2482" s="4">
        <f t="shared" si="38"/>
        <v>43465</v>
      </c>
      <c r="F2482" s="11">
        <f>[1]!EM_S_PQ_PCTCHANGE(B2482,"2018-01-01","2019-12-31","3")</f>
        <v>-31.856940959999999</v>
      </c>
      <c r="G2482" s="11">
        <f>[1]!EM_S_PQ_PCTCHANGE(B2482,"2018-12-31","2019-12-30","1")</f>
        <v>-3.1377899</v>
      </c>
      <c r="H2482" s="11">
        <f>[1]!EM_S_FA_YOY_OR(B2482,E2482)</f>
        <v>14.160750070100001</v>
      </c>
      <c r="I2482" s="11">
        <f>[1]!EM_S_FA_GROSSPROFITMARGIN(B2482,E2482)</f>
        <v>67.596854368699994</v>
      </c>
      <c r="J2482" s="11">
        <f>[1]!EM_S_FA_NETPROFITMARGIN(B2482,E2482)</f>
        <v>44.909547138900002</v>
      </c>
      <c r="K2482" s="10">
        <f>[1]!EM_S_FA_ASSETSTURN(B2482,E2482)</f>
        <v>0.19990529079399999</v>
      </c>
      <c r="L2482" s="12">
        <f>[1]!EM_HKS_VAL_MV(B2482,"2019-12-31","2")</f>
        <v>44578859378.940002</v>
      </c>
      <c r="M2482">
        <f>[1]!EM_S_VAL_PETTMDEDUCTED(B2482,E2482)</f>
        <v>15.047572012928301</v>
      </c>
      <c r="N2482" s="7">
        <f>[1]!EM_S_VAL_PBGOODWILLDEDUCTED(B2482,E2482)</f>
        <v>3.44493924710945</v>
      </c>
      <c r="O2482" s="7">
        <f>[1]!EM_S_VAL_PS_TTM(B2482,E2482)</f>
        <v>5.3415014107472398</v>
      </c>
      <c r="P2482" s="7">
        <f>[1]!EM_S_VAL_PCF_NCFTTM(B2482,E2482)</f>
        <v>38.335113642021803</v>
      </c>
      <c r="Q2482" s="7">
        <f>[1]!EM_S_VAL_DIVIDENDYIELD2(B2482,E2482,"2019-11-29")</f>
        <v>0.60264546367592908</v>
      </c>
      <c r="T2482"/>
      <c r="U2482">
        <f>[1]!EM_S_RATIO_EPS_TTM(B2482,E2482,"1")</f>
        <v>1.9264539126044351</v>
      </c>
      <c r="AT2482" s="4" t="str">
        <f>[1]!EM_S_IPO_LISTEDDATE(B2482)</f>
        <v>2010-08-31</v>
      </c>
    </row>
    <row r="2483" spans="1:46">
      <c r="A2483">
        <v>2846</v>
      </c>
      <c r="B2483" t="str">
        <f>"600773"</f>
        <v>600773</v>
      </c>
      <c r="C2483" t="s">
        <v>2500</v>
      </c>
      <c r="D2483" t="str">
        <f>[1]!EM_S_INFO_INDEX_EM(B2483,"1")</f>
        <v>房地产</v>
      </c>
      <c r="E2483" s="4">
        <f t="shared" si="38"/>
        <v>43465</v>
      </c>
      <c r="F2483" s="11">
        <f>[1]!EM_S_PQ_PCTCHANGE(B2483,"2018-01-01","2019-12-31","3")</f>
        <v>-50.19428928</v>
      </c>
      <c r="G2483" s="11">
        <f>[1]!EM_S_PQ_PCTCHANGE(B2483,"2018-12-31","2019-12-30","1")</f>
        <v>-3.1666666700000001</v>
      </c>
      <c r="H2483" s="11">
        <f>[1]!EM_S_FA_YOY_OR(B2483,E2483)</f>
        <v>21.983013384100001</v>
      </c>
      <c r="I2483" s="11">
        <f>[1]!EM_S_FA_GROSSPROFITMARGIN(B2483,E2483)</f>
        <v>43.547672287899999</v>
      </c>
      <c r="J2483" s="11">
        <f>[1]!EM_S_FA_NETPROFITMARGIN(B2483,E2483)</f>
        <v>8.3009749335999992</v>
      </c>
      <c r="K2483" s="10">
        <f>[1]!EM_S_FA_ASSETSTURN(B2483,E2483)</f>
        <v>0.10264410447699999</v>
      </c>
      <c r="L2483" s="12">
        <f>[1]!EM_HKS_VAL_MV(B2483,"2019-12-31","2")</f>
        <v>4754032315.1999998</v>
      </c>
      <c r="M2483">
        <f>[1]!EM_S_VAL_PETTMDEDUCTED(B2483,E2483)</f>
        <v>63.041635775021803</v>
      </c>
      <c r="N2483" s="7">
        <f>[1]!EM_S_VAL_PBGOODWILLDEDUCTED(B2483,E2483)</f>
        <v>1.48708056688108</v>
      </c>
      <c r="O2483" s="7">
        <f>[1]!EM_S_VAL_PS_TTM(B2483,E2483)</f>
        <v>4.7922940838902797</v>
      </c>
      <c r="P2483" s="7">
        <f>[1]!EM_S_VAL_PCF_NCFTTM(B2483,E2483)</f>
        <v>-11.532744559785201</v>
      </c>
      <c r="Q2483" s="7">
        <f>[1]!EM_S_VAL_DIVIDENDYIELD2(B2483,E2483,"2019-11-29")</f>
        <v>0.2808988764044944</v>
      </c>
      <c r="T2483"/>
      <c r="U2483">
        <f>[1]!EM_S_RATIO_EPS_TTM(B2483,E2483,"1")</f>
        <v>0.12715063072485022</v>
      </c>
      <c r="AT2483" s="4" t="str">
        <f>[1]!EM_S_IPO_LISTEDDATE(B2483)</f>
        <v>1996-11-08</v>
      </c>
    </row>
    <row r="2484" spans="1:46">
      <c r="A2484">
        <v>1038</v>
      </c>
      <c r="B2484" t="str">
        <f>"002527"</f>
        <v>002527</v>
      </c>
      <c r="C2484" t="s">
        <v>3305</v>
      </c>
      <c r="D2484" t="str">
        <f>[1]!EM_S_INFO_INDEX_EM(B2484,"1")</f>
        <v>机械设备</v>
      </c>
      <c r="E2484" s="4">
        <f t="shared" si="38"/>
        <v>43465</v>
      </c>
      <c r="F2484" s="11">
        <f>[1]!EM_S_PQ_PCTCHANGE(B2484,"2018-01-01","2019-12-31","3")</f>
        <v>-46.944189369999997</v>
      </c>
      <c r="G2484" s="11">
        <f>[1]!EM_S_PQ_PCTCHANGE(B2484,"2018-12-31","2019-12-30","1")</f>
        <v>-3.1716417899999998</v>
      </c>
      <c r="H2484" s="11">
        <f>[1]!EM_S_FA_YOY_OR(B2484,E2484)</f>
        <v>3.2724782864000002</v>
      </c>
      <c r="I2484" s="11">
        <f>[1]!EM_S_FA_GROSSPROFITMARGIN(B2484,E2484)</f>
        <v>20.075508608300002</v>
      </c>
      <c r="J2484" s="11">
        <f>[1]!EM_S_FA_NETPROFITMARGIN(B2484,E2484)</f>
        <v>-8.4127419429000003</v>
      </c>
      <c r="K2484" s="10">
        <f>[1]!EM_S_FA_ASSETSTURN(B2484,E2484)</f>
        <v>0.54500857091300003</v>
      </c>
      <c r="L2484" s="12">
        <f>[1]!EM_HKS_VAL_MV(B2484,"2019-12-31","2")</f>
        <v>3224995025.1999998</v>
      </c>
      <c r="M2484">
        <f>[1]!EM_S_VAL_PETTMDEDUCTED(B2484,E2484)</f>
        <v>-902.36573563468505</v>
      </c>
      <c r="N2484" s="7">
        <f>[1]!EM_S_VAL_PBGOODWILLDEDUCTED(B2484,E2484)</f>
        <v>2.5091683655908601</v>
      </c>
      <c r="O2484" s="7">
        <f>[1]!EM_S_VAL_PS_TTM(B2484,E2484)</f>
        <v>0.93611446921376795</v>
      </c>
      <c r="P2484" s="7">
        <f>[1]!EM_S_VAL_PCF_NCFTTM(B2484,E2484)</f>
        <v>134.15304616775501</v>
      </c>
      <c r="Q2484" s="7">
        <f>[1]!EM_S_VAL_DIVIDENDYIELD2(B2484,E2484,"2019-11-29")</f>
        <v>0</v>
      </c>
      <c r="T2484"/>
      <c r="U2484">
        <f>[1]!EM_S_RATIO_EPS_TTM(B2484,E2484,"1")</f>
        <v>-0.42033941042377915</v>
      </c>
      <c r="AT2484" s="4" t="str">
        <f>[1]!EM_S_IPO_LISTEDDATE(B2484)</f>
        <v>2010-12-24</v>
      </c>
    </row>
    <row r="2485" spans="1:46">
      <c r="A2485">
        <v>2596</v>
      </c>
      <c r="B2485" t="str">
        <f>"600515"</f>
        <v>600515</v>
      </c>
      <c r="C2485" t="s">
        <v>1621</v>
      </c>
      <c r="D2485" t="str">
        <f>[1]!EM_S_INFO_INDEX_EM(B2485,"1")</f>
        <v>房地产</v>
      </c>
      <c r="E2485" s="4">
        <f t="shared" si="38"/>
        <v>43465</v>
      </c>
      <c r="F2485" s="11">
        <f>[1]!EM_S_PQ_PCTCHANGE(B2485,"2018-01-01","2019-12-31","3")</f>
        <v>-62.299239219999997</v>
      </c>
      <c r="G2485" s="11">
        <f>[1]!EM_S_PQ_PCTCHANGE(B2485,"2018-12-31","2019-12-30","1")</f>
        <v>-3.1847133799999998</v>
      </c>
      <c r="H2485" s="11">
        <f>[1]!EM_S_FA_YOY_OR(B2485,E2485)</f>
        <v>-1.3550108857000001</v>
      </c>
      <c r="I2485" s="11">
        <f>[1]!EM_S_FA_GROSSPROFITMARGIN(B2485,E2485)</f>
        <v>49.620142833300001</v>
      </c>
      <c r="J2485" s="11">
        <f>[1]!EM_S_FA_NETPROFITMARGIN(B2485,E2485)</f>
        <v>15.7912088651</v>
      </c>
      <c r="K2485" s="10">
        <f>[1]!EM_S_FA_ASSETSTURN(B2485,E2485)</f>
        <v>0.12514032992900001</v>
      </c>
      <c r="L2485" s="12">
        <f>[1]!EM_HKS_VAL_MV(B2485,"2019-12-31","2")</f>
        <v>17427862371.599998</v>
      </c>
      <c r="M2485">
        <f>[1]!EM_S_VAL_PETTMDEDUCTED(B2485,E2485)</f>
        <v>10.069682947752099</v>
      </c>
      <c r="N2485" s="7">
        <f>[1]!EM_S_VAL_PBGOODWILLDEDUCTED(B2485,E2485)</f>
        <v>0.59371185139547999</v>
      </c>
      <c r="O2485" s="7">
        <f>[1]!EM_S_VAL_PS_TTM(B2485,E2485)</f>
        <v>1.95579476903328</v>
      </c>
      <c r="P2485" s="7">
        <f>[1]!EM_S_VAL_PCF_NCFTTM(B2485,E2485)</f>
        <v>3.6171456024770898</v>
      </c>
      <c r="Q2485" s="7">
        <f>[1]!EM_S_VAL_DIVIDENDYIELD2(B2485,E2485,"2019-11-29")</f>
        <v>0</v>
      </c>
      <c r="T2485"/>
      <c r="U2485">
        <f>[1]!EM_S_RATIO_EPS_TTM(B2485,E2485,"1")</f>
        <v>0.48251042201059013</v>
      </c>
      <c r="AT2485" s="4" t="str">
        <f>[1]!EM_S_IPO_LISTEDDATE(B2485)</f>
        <v>2002-08-06</v>
      </c>
    </row>
    <row r="2486" spans="1:46">
      <c r="A2486">
        <v>154</v>
      </c>
      <c r="B2486" t="str">
        <f>"000545"</f>
        <v>000545</v>
      </c>
      <c r="C2486" t="s">
        <v>1668</v>
      </c>
      <c r="D2486" t="str">
        <f>[1]!EM_S_INFO_INDEX_EM(B2486,"1")</f>
        <v>基础化工</v>
      </c>
      <c r="E2486" s="4">
        <f t="shared" si="38"/>
        <v>43465</v>
      </c>
      <c r="F2486" s="11">
        <f>[1]!EM_S_PQ_PCTCHANGE(B2486,"2018-01-01","2019-12-31","3")</f>
        <v>-39.190148149999999</v>
      </c>
      <c r="G2486" s="11">
        <f>[1]!EM_S_PQ_PCTCHANGE(B2486,"2018-12-31","2019-12-30","1")</f>
        <v>-3.19488818</v>
      </c>
      <c r="H2486" s="11">
        <f>[1]!EM_S_FA_YOY_OR(B2486,E2486)</f>
        <v>6.5258340748999997</v>
      </c>
      <c r="I2486" s="11">
        <f>[1]!EM_S_FA_GROSSPROFITMARGIN(B2486,E2486)</f>
        <v>19.314972655399998</v>
      </c>
      <c r="J2486" s="11">
        <f>[1]!EM_S_FA_NETPROFITMARGIN(B2486,E2486)</f>
        <v>5.5021977014000001</v>
      </c>
      <c r="K2486" s="10">
        <f>[1]!EM_S_FA_ASSETSTURN(B2486,E2486)</f>
        <v>0.63094684409599999</v>
      </c>
      <c r="L2486" s="12">
        <f>[1]!EM_HKS_VAL_MV(B2486,"2019-12-31","2")</f>
        <v>2999972611.8400002</v>
      </c>
      <c r="M2486">
        <f>[1]!EM_S_VAL_PETTMDEDUCTED(B2486,E2486)</f>
        <v>37.607127360438099</v>
      </c>
      <c r="N2486" s="7">
        <f>[1]!EM_S_VAL_PBGOODWILLDEDUCTED(B2486,E2486)</f>
        <v>1.50440959162276</v>
      </c>
      <c r="O2486" s="7">
        <f>[1]!EM_S_VAL_PS_TTM(B2486,E2486)</f>
        <v>1.6458874252634901</v>
      </c>
      <c r="P2486" s="7">
        <f>[1]!EM_S_VAL_PCF_NCFTTM(B2486,E2486)</f>
        <v>1912.5198527237301</v>
      </c>
      <c r="Q2486" s="7">
        <f>[1]!EM_S_VAL_DIVIDENDYIELD2(B2486,E2486,"2019-11-29")</f>
        <v>0</v>
      </c>
      <c r="T2486"/>
      <c r="U2486">
        <f>[1]!EM_S_RATIO_EPS_TTM(B2486,E2486,"1")</f>
        <v>0.1034064860548617</v>
      </c>
      <c r="AT2486" s="4" t="str">
        <f>[1]!EM_S_IPO_LISTEDDATE(B2486)</f>
        <v>1993-12-15</v>
      </c>
    </row>
    <row r="2487" spans="1:46">
      <c r="A2487">
        <v>2315</v>
      </c>
      <c r="B2487" t="str">
        <f>"600177"</f>
        <v>600177</v>
      </c>
      <c r="C2487" t="s">
        <v>1312</v>
      </c>
      <c r="D2487" t="str">
        <f>[1]!EM_S_INFO_INDEX_EM(B2487,"1")</f>
        <v>纺织服装</v>
      </c>
      <c r="E2487" s="4">
        <f t="shared" si="38"/>
        <v>43465</v>
      </c>
      <c r="F2487" s="11">
        <f>[1]!EM_S_PQ_PCTCHANGE(B2487,"2018-01-01","2019-12-31","3")</f>
        <v>18.063285530000002</v>
      </c>
      <c r="G2487" s="11">
        <f>[1]!EM_S_PQ_PCTCHANGE(B2487,"2018-12-31","2019-12-30","1")</f>
        <v>-3.1988873400000002</v>
      </c>
      <c r="H2487" s="11">
        <f>[1]!EM_S_FA_YOY_OR(B2487,E2487)</f>
        <v>-2.0737751456</v>
      </c>
      <c r="I2487" s="11">
        <f>[1]!EM_S_FA_GROSSPROFITMARGIN(B2487,E2487)</f>
        <v>54.842519251200002</v>
      </c>
      <c r="J2487" s="11">
        <f>[1]!EM_S_FA_NETPROFITMARGIN(B2487,E2487)</f>
        <v>38.176526860599999</v>
      </c>
      <c r="K2487" s="10">
        <f>[1]!EM_S_FA_ASSETSTURN(B2487,E2487)</f>
        <v>0.13520553577899999</v>
      </c>
      <c r="L2487" s="12">
        <f>[1]!EM_HKS_VAL_MV(B2487,"2019-12-31","2")</f>
        <v>34947763269.18</v>
      </c>
      <c r="M2487">
        <f>[1]!EM_S_VAL_PETTMDEDUCTED(B2487,E2487)</f>
        <v>-33.499955727026403</v>
      </c>
      <c r="N2487" s="7">
        <f>[1]!EM_S_VAL_PBGOODWILLDEDUCTED(B2487,E2487)</f>
        <v>0.91489399357946399</v>
      </c>
      <c r="O2487" s="7">
        <f>[1]!EM_S_VAL_PS_TTM(B2487,E2487)</f>
        <v>3.5821678455937498</v>
      </c>
      <c r="P2487" s="7">
        <f>[1]!EM_S_VAL_PCF_NCFTTM(B2487,E2487)</f>
        <v>6.0076976580217796</v>
      </c>
      <c r="Q2487" s="7">
        <f>[1]!EM_S_VAL_DIVIDENDYIELD2(B2487,E2487,"2019-11-29")</f>
        <v>5.3304904053298943</v>
      </c>
      <c r="T2487"/>
      <c r="U2487">
        <f>[1]!EM_S_RATIO_EPS_TTM(B2487,E2487,"1")</f>
        <v>1.0266601254043339</v>
      </c>
      <c r="AT2487" s="4" t="str">
        <f>[1]!EM_S_IPO_LISTEDDATE(B2487)</f>
        <v>1998-11-19</v>
      </c>
    </row>
    <row r="2488" spans="1:46">
      <c r="A2488">
        <v>2791</v>
      </c>
      <c r="B2488" t="str">
        <f>"600718"</f>
        <v>600718</v>
      </c>
      <c r="C2488" t="s">
        <v>2837</v>
      </c>
      <c r="D2488" t="str">
        <f>[1]!EM_S_INFO_INDEX_EM(B2488,"1")</f>
        <v>信息技术</v>
      </c>
      <c r="E2488" s="4">
        <f t="shared" si="38"/>
        <v>43465</v>
      </c>
      <c r="F2488" s="11">
        <f>[1]!EM_S_PQ_PCTCHANGE(B2488,"2018-01-01","2019-12-31","3")</f>
        <v>-22.031939319999999</v>
      </c>
      <c r="G2488" s="11">
        <f>[1]!EM_S_PQ_PCTCHANGE(B2488,"2018-12-31","2019-12-30","1")</f>
        <v>-3.2034631999999998</v>
      </c>
      <c r="H2488" s="11">
        <f>[1]!EM_S_FA_YOY_OR(B2488,E2488)</f>
        <v>0.55263710150000001</v>
      </c>
      <c r="I2488" s="11">
        <f>[1]!EM_S_FA_GROSSPROFITMARGIN(B2488,E2488)</f>
        <v>29.9964697958</v>
      </c>
      <c r="J2488" s="11">
        <f>[1]!EM_S_FA_NETPROFITMARGIN(B2488,E2488)</f>
        <v>-1.4404732988</v>
      </c>
      <c r="K2488" s="10">
        <f>[1]!EM_S_FA_ASSETSTURN(B2488,E2488)</f>
        <v>0.54139397945199996</v>
      </c>
      <c r="L2488" s="12">
        <f>[1]!EM_HKS_VAL_MV(B2488,"2019-12-31","2")</f>
        <v>14100902848.25</v>
      </c>
      <c r="M2488">
        <f>[1]!EM_S_VAL_PETTMDEDUCTED(B2488,E2488)</f>
        <v>81.5979778929822</v>
      </c>
      <c r="N2488" s="7">
        <f>[1]!EM_S_VAL_PBGOODWILLDEDUCTED(B2488,E2488)</f>
        <v>1.63111061821885</v>
      </c>
      <c r="O2488" s="7">
        <f>[1]!EM_S_VAL_PS_TTM(B2488,E2488)</f>
        <v>1.9968788001370901</v>
      </c>
      <c r="P2488" s="7">
        <f>[1]!EM_S_VAL_PCF_NCFTTM(B2488,E2488)</f>
        <v>-53.313152075098898</v>
      </c>
      <c r="Q2488" s="7">
        <f>[1]!EM_S_VAL_DIVIDENDYIELD2(B2488,E2488,"2019-11-29")</f>
        <v>0</v>
      </c>
      <c r="T2488"/>
      <c r="U2488">
        <f>[1]!EM_S_RATIO_EPS_TTM(B2488,E2488,"1")</f>
        <v>8.8634801913064096E-2</v>
      </c>
      <c r="AT2488" s="4" t="str">
        <f>[1]!EM_S_IPO_LISTEDDATE(B2488)</f>
        <v>1996-06-18</v>
      </c>
    </row>
    <row r="2489" spans="1:46">
      <c r="A2489">
        <v>2581</v>
      </c>
      <c r="B2489" t="str">
        <f>"600498"</f>
        <v>600498</v>
      </c>
      <c r="C2489" t="s">
        <v>1826</v>
      </c>
      <c r="D2489" t="str">
        <f>[1]!EM_S_INFO_INDEX_EM(B2489,"1")</f>
        <v>信息技术</v>
      </c>
      <c r="E2489" s="4">
        <f t="shared" si="38"/>
        <v>43465</v>
      </c>
      <c r="F2489" s="11">
        <f>[1]!EM_S_PQ_PCTCHANGE(B2489,"2018-01-01","2019-12-31","3")</f>
        <v>-2.4419878599999998</v>
      </c>
      <c r="G2489" s="11">
        <f>[1]!EM_S_PQ_PCTCHANGE(B2489,"2018-12-31","2019-12-30","1")</f>
        <v>-3.2665964199999999</v>
      </c>
      <c r="H2489" s="11">
        <f>[1]!EM_S_FA_YOY_OR(B2489,E2489)</f>
        <v>15.0977403406</v>
      </c>
      <c r="I2489" s="11">
        <f>[1]!EM_S_FA_GROSSPROFITMARGIN(B2489,E2489)</f>
        <v>23.258178961199999</v>
      </c>
      <c r="J2489" s="11">
        <f>[1]!EM_S_FA_NETPROFITMARGIN(B2489,E2489)</f>
        <v>3.7420232757999998</v>
      </c>
      <c r="K2489" s="10">
        <f>[1]!EM_S_FA_ASSETSTURN(B2489,E2489)</f>
        <v>0.830823372206</v>
      </c>
      <c r="L2489" s="12">
        <f>[1]!EM_HKS_VAL_MV(B2489,"2019-12-31","2")</f>
        <v>32143528203.299999</v>
      </c>
      <c r="M2489">
        <f>[1]!EM_S_VAL_PETTMDEDUCTED(B2489,E2489)</f>
        <v>40.372162527365802</v>
      </c>
      <c r="N2489" s="7">
        <f>[1]!EM_S_VAL_PBGOODWILLDEDUCTED(B2489,E2489)</f>
        <v>3.3248312358966201</v>
      </c>
      <c r="O2489" s="7">
        <f>[1]!EM_S_VAL_PS_TTM(B2489,E2489)</f>
        <v>1.42244409097089</v>
      </c>
      <c r="P2489" s="7">
        <f>[1]!EM_S_VAL_PCF_NCFTTM(B2489,E2489)</f>
        <v>92.912929007842806</v>
      </c>
      <c r="Q2489" s="7">
        <f>[1]!EM_S_VAL_DIVIDENDYIELD2(B2489,E2489,"2019-11-29")</f>
        <v>1.3638940177060117</v>
      </c>
      <c r="T2489"/>
      <c r="U2489">
        <f>[1]!EM_S_RATIO_EPS_TTM(B2489,E2489,"1")</f>
        <v>0.72204928755946918</v>
      </c>
      <c r="AT2489" s="4" t="str">
        <f>[1]!EM_S_IPO_LISTEDDATE(B2489)</f>
        <v>2001-08-23</v>
      </c>
    </row>
    <row r="2490" spans="1:46">
      <c r="A2490">
        <v>1836</v>
      </c>
      <c r="B2490" t="str">
        <f>"300411"</f>
        <v>300411</v>
      </c>
      <c r="C2490" t="s">
        <v>2729</v>
      </c>
      <c r="D2490" t="str">
        <f>[1]!EM_S_INFO_INDEX_EM(B2490,"1")</f>
        <v>机械设备</v>
      </c>
      <c r="E2490" s="4">
        <f t="shared" si="38"/>
        <v>43465</v>
      </c>
      <c r="F2490" s="11">
        <f>[1]!EM_S_PQ_PCTCHANGE(B2490,"2018-01-01","2019-12-31","3")</f>
        <v>-62.437244149999998</v>
      </c>
      <c r="G2490" s="11">
        <f>[1]!EM_S_PQ_PCTCHANGE(B2490,"2018-12-31","2019-12-30","1")</f>
        <v>-3.28947368</v>
      </c>
      <c r="H2490" s="11">
        <f>[1]!EM_S_FA_YOY_OR(B2490,E2490)</f>
        <v>19.045050831200001</v>
      </c>
      <c r="I2490" s="11">
        <f>[1]!EM_S_FA_GROSSPROFITMARGIN(B2490,E2490)</f>
        <v>42.960723048299997</v>
      </c>
      <c r="J2490" s="11">
        <f>[1]!EM_S_FA_NETPROFITMARGIN(B2490,E2490)</f>
        <v>-316.37422439810001</v>
      </c>
      <c r="K2490" s="10">
        <f>[1]!EM_S_FA_ASSETSTURN(B2490,E2490)</f>
        <v>0.18734655501799999</v>
      </c>
      <c r="L2490" s="12">
        <f>[1]!EM_HKS_VAL_MV(B2490,"2019-12-31","2")</f>
        <v>3372427157.71</v>
      </c>
      <c r="M2490">
        <f>[1]!EM_S_VAL_PETTMDEDUCTED(B2490,E2490)</f>
        <v>44.874485787590999</v>
      </c>
      <c r="N2490" s="7">
        <f>[1]!EM_S_VAL_PBGOODWILLDEDUCTED(B2490,E2490)</f>
        <v>2.5537068784275698</v>
      </c>
      <c r="O2490" s="7">
        <f>[1]!EM_S_VAL_PS_TTM(B2490,E2490)</f>
        <v>5.7892687940040304</v>
      </c>
      <c r="P2490" s="7">
        <f>[1]!EM_S_VAL_PCF_NCFTTM(B2490,E2490)</f>
        <v>14.9382017566709</v>
      </c>
      <c r="Q2490" s="7">
        <f>[1]!EM_S_VAL_DIVIDENDYIELD2(B2490,E2490,"2019-11-29")</f>
        <v>0</v>
      </c>
      <c r="T2490"/>
      <c r="U2490">
        <f>[1]!EM_S_RATIO_EPS_TTM(B2490,E2490,"1")</f>
        <v>-3.7049674400346326</v>
      </c>
      <c r="AT2490" s="4" t="str">
        <f>[1]!EM_S_IPO_LISTEDDATE(B2490)</f>
        <v>2014-12-31</v>
      </c>
    </row>
    <row r="2491" spans="1:46">
      <c r="A2491">
        <v>855</v>
      </c>
      <c r="B2491" t="str">
        <f>"002344"</f>
        <v>002344</v>
      </c>
      <c r="C2491" t="s">
        <v>1712</v>
      </c>
      <c r="D2491" t="str">
        <f>[1]!EM_S_INFO_INDEX_EM(B2491,"1")</f>
        <v>商贸零售</v>
      </c>
      <c r="E2491" s="4">
        <f t="shared" si="38"/>
        <v>43465</v>
      </c>
      <c r="F2491" s="11">
        <f>[1]!EM_S_PQ_PCTCHANGE(B2491,"2018-01-01","2019-12-31","3")</f>
        <v>-43.550814449999997</v>
      </c>
      <c r="G2491" s="11">
        <f>[1]!EM_S_PQ_PCTCHANGE(B2491,"2018-12-31","2019-12-30","1")</f>
        <v>-3.2967032999999999</v>
      </c>
      <c r="H2491" s="11">
        <f>[1]!EM_S_FA_YOY_OR(B2491,E2491)</f>
        <v>-8.8421459135999996</v>
      </c>
      <c r="I2491" s="11">
        <f>[1]!EM_S_FA_GROSSPROFITMARGIN(B2491,E2491)</f>
        <v>47.664246131500001</v>
      </c>
      <c r="J2491" s="11">
        <f>[1]!EM_S_FA_NETPROFITMARGIN(B2491,E2491)</f>
        <v>19.1054003906</v>
      </c>
      <c r="K2491" s="10">
        <f>[1]!EM_S_FA_ASSETSTURN(B2491,E2491)</f>
        <v>0.15852459972999999</v>
      </c>
      <c r="L2491" s="12">
        <f>[1]!EM_HKS_VAL_MV(B2491,"2019-12-31","2")</f>
        <v>5592768400.5600004</v>
      </c>
      <c r="M2491">
        <f>[1]!EM_S_VAL_PETTMDEDUCTED(B2491,E2491)</f>
        <v>20.123616018674898</v>
      </c>
      <c r="N2491" s="7">
        <f>[1]!EM_S_VAL_PBGOODWILLDEDUCTED(B2491,E2491)</f>
        <v>0.78251090550468105</v>
      </c>
      <c r="O2491" s="7">
        <f>[1]!EM_S_VAL_PS_TTM(B2491,E2491)</f>
        <v>3.30915228721324</v>
      </c>
      <c r="P2491" s="7">
        <f>[1]!EM_S_VAL_PCF_NCFTTM(B2491,E2491)</f>
        <v>-10.186719079888199</v>
      </c>
      <c r="Q2491" s="7">
        <f>[1]!EM_S_VAL_DIVIDENDYIELD2(B2491,E2491,"2019-11-29")</f>
        <v>0.51219512195121941</v>
      </c>
      <c r="T2491"/>
      <c r="U2491">
        <f>[1]!EM_S_RATIO_EPS_TTM(B2491,E2491,"1")</f>
        <v>0.28393979098633759</v>
      </c>
      <c r="AT2491" s="4" t="str">
        <f>[1]!EM_S_IPO_LISTEDDATE(B2491)</f>
        <v>2010-01-26</v>
      </c>
    </row>
    <row r="2492" spans="1:46">
      <c r="A2492">
        <v>3434</v>
      </c>
      <c r="B2492" t="str">
        <f>"603567"</f>
        <v>603567</v>
      </c>
      <c r="C2492" t="s">
        <v>684</v>
      </c>
      <c r="D2492" t="str">
        <f>[1]!EM_S_INFO_INDEX_EM(B2492,"1")</f>
        <v>医药生物</v>
      </c>
      <c r="E2492" s="4">
        <f t="shared" si="38"/>
        <v>43465</v>
      </c>
      <c r="F2492" s="11">
        <f>[1]!EM_S_PQ_PCTCHANGE(B2492,"2018-01-01","2019-12-31","3")</f>
        <v>-7.5490158300000001</v>
      </c>
      <c r="G2492" s="11">
        <f>[1]!EM_S_PQ_PCTCHANGE(B2492,"2018-12-31","2019-12-30","1")</f>
        <v>-3.3388981599999998</v>
      </c>
      <c r="H2492" s="11">
        <f>[1]!EM_S_FA_YOY_OR(B2492,E2492)</f>
        <v>-11.337787527</v>
      </c>
      <c r="I2492" s="11">
        <f>[1]!EM_S_FA_GROSSPROFITMARGIN(B2492,E2492)</f>
        <v>71.573671324200006</v>
      </c>
      <c r="J2492" s="11">
        <f>[1]!EM_S_FA_NETPROFITMARGIN(B2492,E2492)</f>
        <v>16.663682903200002</v>
      </c>
      <c r="K2492" s="10">
        <f>[1]!EM_S_FA_ASSETSTURN(B2492,E2492)</f>
        <v>0.369743189089</v>
      </c>
      <c r="L2492" s="12">
        <f>[1]!EM_HKS_VAL_MV(B2492,"2019-12-31","2")</f>
        <v>10818298400</v>
      </c>
      <c r="M2492">
        <f>[1]!EM_S_VAL_PETTMDEDUCTED(B2492,E2492)</f>
        <v>21.994298115860602</v>
      </c>
      <c r="N2492" s="7">
        <f>[1]!EM_S_VAL_PBGOODWILLDEDUCTED(B2492,E2492)</f>
        <v>2.0524464145269499</v>
      </c>
      <c r="O2492" s="7">
        <f>[1]!EM_S_VAL_PS_TTM(B2492,E2492)</f>
        <v>3.18543372298782</v>
      </c>
      <c r="P2492" s="7">
        <f>[1]!EM_S_VAL_PCF_NCFTTM(B2492,E2492)</f>
        <v>19.560974630145701</v>
      </c>
      <c r="Q2492" s="7">
        <f>[1]!EM_S_VAL_DIVIDENDYIELD2(B2492,E2492,"2019-11-29")</f>
        <v>1.4500442086648979</v>
      </c>
      <c r="T2492"/>
      <c r="U2492">
        <f>[1]!EM_S_RATIO_EPS_TTM(B2492,E2492,"1")</f>
        <v>0.54458111472514015</v>
      </c>
      <c r="AT2492" s="4" t="str">
        <f>[1]!EM_S_IPO_LISTEDDATE(B2492)</f>
        <v>2015-04-24</v>
      </c>
    </row>
    <row r="2493" spans="1:46">
      <c r="A2493">
        <v>888</v>
      </c>
      <c r="B2493" t="str">
        <f>"002377"</f>
        <v>002377</v>
      </c>
      <c r="C2493" t="s">
        <v>1711</v>
      </c>
      <c r="D2493" t="str">
        <f>[1]!EM_S_INFO_INDEX_EM(B2493,"1")</f>
        <v>房地产</v>
      </c>
      <c r="E2493" s="4">
        <f t="shared" si="38"/>
        <v>43465</v>
      </c>
      <c r="F2493" s="11">
        <f>[1]!EM_S_PQ_PCTCHANGE(B2493,"2018-01-01","2019-12-31","3")</f>
        <v>-59.050445099999997</v>
      </c>
      <c r="G2493" s="11">
        <f>[1]!EM_S_PQ_PCTCHANGE(B2493,"2018-12-31","2019-12-30","1")</f>
        <v>-3.3412887800000002</v>
      </c>
      <c r="H2493" s="11">
        <f>[1]!EM_S_FA_YOY_OR(B2493,E2493)</f>
        <v>78.393479182999997</v>
      </c>
      <c r="I2493" s="11">
        <f>[1]!EM_S_FA_GROSSPROFITMARGIN(B2493,E2493)</f>
        <v>16.309160869999999</v>
      </c>
      <c r="J2493" s="11">
        <f>[1]!EM_S_FA_NETPROFITMARGIN(B2493,E2493)</f>
        <v>6.8580266166000001</v>
      </c>
      <c r="K2493" s="10">
        <f>[1]!EM_S_FA_ASSETSTURN(B2493,E2493)</f>
        <v>0.68441754551300005</v>
      </c>
      <c r="L2493" s="12">
        <f>[1]!EM_HKS_VAL_MV(B2493,"2019-12-31","2")</f>
        <v>3793586332.1399999</v>
      </c>
      <c r="M2493">
        <f>[1]!EM_S_VAL_PETTMDEDUCTED(B2493,E2493)</f>
        <v>17.167966152457101</v>
      </c>
      <c r="N2493" s="7">
        <f>[1]!EM_S_VAL_PBGOODWILLDEDUCTED(B2493,E2493)</f>
        <v>2.04096512318683</v>
      </c>
      <c r="O2493" s="7">
        <f>[1]!EM_S_VAL_PS_TTM(B2493,E2493)</f>
        <v>0.825845114256607</v>
      </c>
      <c r="P2493" s="7">
        <f>[1]!EM_S_VAL_PCF_NCFTTM(B2493,E2493)</f>
        <v>6.2443936497520198</v>
      </c>
      <c r="Q2493" s="7">
        <f>[1]!EM_S_VAL_DIVIDENDYIELD2(B2493,E2493,"2019-11-29")</f>
        <v>0</v>
      </c>
      <c r="T2493"/>
      <c r="U2493">
        <f>[1]!EM_S_RATIO_EPS_TTM(B2493,E2493,"1")</f>
        <v>0.34060064705128634</v>
      </c>
      <c r="AT2493" s="4" t="str">
        <f>[1]!EM_S_IPO_LISTEDDATE(B2493)</f>
        <v>2010-03-23</v>
      </c>
    </row>
    <row r="2494" spans="1:46">
      <c r="A2494">
        <v>2067</v>
      </c>
      <c r="B2494" t="str">
        <f>"300648"</f>
        <v>300648</v>
      </c>
      <c r="C2494" t="s">
        <v>2839</v>
      </c>
      <c r="D2494" t="str">
        <f>[1]!EM_S_INFO_INDEX_EM(B2494,"1")</f>
        <v>机械设备</v>
      </c>
      <c r="E2494" s="4">
        <f t="shared" si="38"/>
        <v>43465</v>
      </c>
      <c r="F2494" s="11">
        <f>[1]!EM_S_PQ_PCTCHANGE(B2494,"2018-01-01","2019-12-31","3")</f>
        <v>-52.908924540000001</v>
      </c>
      <c r="G2494" s="11">
        <f>[1]!EM_S_PQ_PCTCHANGE(B2494,"2018-12-31","2019-12-30","1")</f>
        <v>-3.4083992699999999</v>
      </c>
      <c r="H2494" s="11">
        <f>[1]!EM_S_FA_YOY_OR(B2494,E2494)</f>
        <v>-1.88794901</v>
      </c>
      <c r="I2494" s="11">
        <f>[1]!EM_S_FA_GROSSPROFITMARGIN(B2494,E2494)</f>
        <v>45.289334289599999</v>
      </c>
      <c r="J2494" s="11">
        <f>[1]!EM_S_FA_NETPROFITMARGIN(B2494,E2494)</f>
        <v>6.6080137069999996</v>
      </c>
      <c r="K2494" s="10">
        <f>[1]!EM_S_FA_ASSETSTURN(B2494,E2494)</f>
        <v>0.447626799716</v>
      </c>
      <c r="L2494" s="12">
        <f>[1]!EM_HKS_VAL_MV(B2494,"2019-12-31","2")</f>
        <v>2152860000</v>
      </c>
      <c r="M2494">
        <f>[1]!EM_S_VAL_PETTMDEDUCTED(B2494,E2494)</f>
        <v>56.397705383962602</v>
      </c>
      <c r="N2494" s="7">
        <f>[1]!EM_S_VAL_PBGOODWILLDEDUCTED(B2494,E2494)</f>
        <v>4.1943933928136898</v>
      </c>
      <c r="O2494" s="7">
        <f>[1]!EM_S_VAL_PS_TTM(B2494,E2494)</f>
        <v>6.3450781905216003</v>
      </c>
      <c r="P2494" s="7">
        <f>[1]!EM_S_VAL_PCF_NCFTTM(B2494,E2494)</f>
        <v>-105.46261173676</v>
      </c>
      <c r="Q2494" s="7">
        <f>[1]!EM_S_VAL_DIVIDENDYIELD2(B2494,E2494,"2019-11-29")</f>
        <v>0.10204081632653061</v>
      </c>
      <c r="T2494"/>
      <c r="U2494">
        <f>[1]!EM_S_RATIO_EPS_TTM(B2494,E2494,"1")</f>
        <v>0.15151793774002953</v>
      </c>
      <c r="AT2494" s="4" t="str">
        <f>[1]!EM_S_IPO_LISTEDDATE(B2494)</f>
        <v>2017-04-25</v>
      </c>
    </row>
    <row r="2495" spans="1:46">
      <c r="A2495">
        <v>717</v>
      </c>
      <c r="B2495" t="str">
        <f>"002206"</f>
        <v>002206</v>
      </c>
      <c r="C2495" t="s">
        <v>884</v>
      </c>
      <c r="D2495" t="str">
        <f>[1]!EM_S_INFO_INDEX_EM(B2495,"1")</f>
        <v>基础化工</v>
      </c>
      <c r="E2495" s="4">
        <f t="shared" si="38"/>
        <v>43465</v>
      </c>
      <c r="F2495" s="11">
        <f>[1]!EM_S_PQ_PCTCHANGE(B2495,"2018-01-01","2019-12-31","3")</f>
        <v>-30.612357589999998</v>
      </c>
      <c r="G2495" s="11">
        <f>[1]!EM_S_PQ_PCTCHANGE(B2495,"2018-12-31","2019-12-30","1")</f>
        <v>-3.41207349</v>
      </c>
      <c r="H2495" s="11">
        <f>[1]!EM_S_FA_YOY_OR(B2495,E2495)</f>
        <v>12.033456826</v>
      </c>
      <c r="I2495" s="11">
        <f>[1]!EM_S_FA_GROSSPROFITMARGIN(B2495,E2495)</f>
        <v>21.457866768500001</v>
      </c>
      <c r="J2495" s="11">
        <f>[1]!EM_S_FA_NETPROFITMARGIN(B2495,E2495)</f>
        <v>9.9308250804</v>
      </c>
      <c r="K2495" s="10">
        <f>[1]!EM_S_FA_ASSETSTURN(B2495,E2495)</f>
        <v>0.77651873688899997</v>
      </c>
      <c r="L2495" s="12">
        <f>[1]!EM_HKS_VAL_MV(B2495,"2019-12-31","2")</f>
        <v>4586357418.75</v>
      </c>
      <c r="M2495">
        <f>[1]!EM_S_VAL_PETTMDEDUCTED(B2495,E2495)</f>
        <v>13.95563635826</v>
      </c>
      <c r="N2495" s="7">
        <f>[1]!EM_S_VAL_PBGOODWILLDEDUCTED(B2495,E2495)</f>
        <v>1.59843865199616</v>
      </c>
      <c r="O2495" s="7">
        <f>[1]!EM_S_VAL_PS_TTM(B2495,E2495)</f>
        <v>1.3205751161508399</v>
      </c>
      <c r="P2495" s="7">
        <f>[1]!EM_S_VAL_PCF_NCFTTM(B2495,E2495)</f>
        <v>-15.4374013970254</v>
      </c>
      <c r="Q2495" s="7">
        <f>[1]!EM_S_VAL_DIVIDENDYIELD2(B2495,E2495,"2019-11-29")</f>
        <v>5.4644808743169406</v>
      </c>
      <c r="T2495"/>
      <c r="U2495">
        <f>[1]!EM_S_RATIO_EPS_TTM(B2495,E2495,"1")</f>
        <v>0.28717690958906367</v>
      </c>
      <c r="AT2495" s="4" t="str">
        <f>[1]!EM_S_IPO_LISTEDDATE(B2495)</f>
        <v>2008-01-23</v>
      </c>
    </row>
    <row r="2496" spans="1:46">
      <c r="A2496">
        <v>3217</v>
      </c>
      <c r="B2496" t="str">
        <f>"603019"</f>
        <v>603019</v>
      </c>
      <c r="C2496" t="s">
        <v>2507</v>
      </c>
      <c r="D2496" t="str">
        <f>[1]!EM_S_INFO_INDEX_EM(B2496,"1")</f>
        <v>信息技术</v>
      </c>
      <c r="E2496" s="4">
        <f t="shared" si="38"/>
        <v>43465</v>
      </c>
      <c r="F2496" s="11">
        <f>[1]!EM_S_PQ_PCTCHANGE(B2496,"2018-01-01","2019-12-31","3")</f>
        <v>20.831124389999999</v>
      </c>
      <c r="G2496" s="11">
        <f>[1]!EM_S_PQ_PCTCHANGE(B2496,"2018-12-31","2019-12-30","1")</f>
        <v>-3.45596433</v>
      </c>
      <c r="H2496" s="11">
        <f>[1]!EM_S_FA_YOY_OR(B2496,E2496)</f>
        <v>43.891929365499998</v>
      </c>
      <c r="I2496" s="11">
        <f>[1]!EM_S_FA_GROSSPROFITMARGIN(B2496,E2496)</f>
        <v>18.3048688658</v>
      </c>
      <c r="J2496" s="11">
        <f>[1]!EM_S_FA_NETPROFITMARGIN(B2496,E2496)</f>
        <v>5.1622726589000001</v>
      </c>
      <c r="K2496" s="10">
        <f>[1]!EM_S_FA_ASSETSTURN(B2496,E2496)</f>
        <v>0.77892696954700003</v>
      </c>
      <c r="L2496" s="12">
        <f>[1]!EM_HKS_VAL_MV(B2496,"2019-12-31","2")</f>
        <v>31132684251.759998</v>
      </c>
      <c r="M2496">
        <f>[1]!EM_S_VAL_PETTMDEDUCTED(B2496,E2496)</f>
        <v>100.31874132388999</v>
      </c>
      <c r="N2496" s="7">
        <f>[1]!EM_S_VAL_PBGOODWILLDEDUCTED(B2496,E2496)</f>
        <v>6.3184749459398803</v>
      </c>
      <c r="O2496" s="7">
        <f>[1]!EM_S_VAL_PS_TTM(B2496,E2496)</f>
        <v>2.89725253194191</v>
      </c>
      <c r="P2496" s="7">
        <f>[1]!EM_S_VAL_PCF_NCFTTM(B2496,E2496)</f>
        <v>67.8987872940057</v>
      </c>
      <c r="Q2496" s="7">
        <f>[1]!EM_S_VAL_DIVIDENDYIELD2(B2496,E2496,"2019-11-29")</f>
        <v>0.29437160954676722</v>
      </c>
      <c r="T2496"/>
      <c r="U2496">
        <f>[1]!EM_S_RATIO_EPS_TTM(B2496,E2496,"1")</f>
        <v>0.6696556402244227</v>
      </c>
      <c r="AT2496" s="4" t="str">
        <f>[1]!EM_S_IPO_LISTEDDATE(B2496)</f>
        <v>2014-11-06</v>
      </c>
    </row>
    <row r="2497" spans="1:46">
      <c r="A2497">
        <v>778</v>
      </c>
      <c r="B2497" t="str">
        <f>"002267"</f>
        <v>002267</v>
      </c>
      <c r="C2497" t="s">
        <v>244</v>
      </c>
      <c r="D2497" t="str">
        <f>[1]!EM_S_INFO_INDEX_EM(B2497,"1")</f>
        <v>公用事业</v>
      </c>
      <c r="E2497" s="4">
        <f t="shared" si="38"/>
        <v>43465</v>
      </c>
      <c r="F2497" s="11">
        <f>[1]!EM_S_PQ_PCTCHANGE(B2497,"2018-01-01","2019-12-31","3")</f>
        <v>-10.84764431</v>
      </c>
      <c r="G2497" s="11">
        <f>[1]!EM_S_PQ_PCTCHANGE(B2497,"2018-12-31","2019-12-30","1")</f>
        <v>-3.5182679299999999</v>
      </c>
      <c r="H2497" s="11">
        <f>[1]!EM_S_FA_YOY_OR(B2497,E2497)</f>
        <v>17.746269607199999</v>
      </c>
      <c r="I2497" s="11">
        <f>[1]!EM_S_FA_GROSSPROFITMARGIN(B2497,E2497)</f>
        <v>10.663258987100001</v>
      </c>
      <c r="J2497" s="11">
        <f>[1]!EM_S_FA_NETPROFITMARGIN(B2497,E2497)</f>
        <v>4.6119039340999999</v>
      </c>
      <c r="K2497" s="10">
        <f>[1]!EM_S_FA_ASSETSTURN(B2497,E2497)</f>
        <v>0.79955784490100001</v>
      </c>
      <c r="L2497" s="12">
        <f>[1]!EM_HKS_VAL_MV(B2497,"2019-12-31","2")</f>
        <v>7973580940.6499996</v>
      </c>
      <c r="M2497">
        <f>[1]!EM_S_VAL_PETTMDEDUCTED(B2497,E2497)</f>
        <v>17.4708543527193</v>
      </c>
      <c r="N2497" s="7">
        <f>[1]!EM_S_VAL_PBGOODWILLDEDUCTED(B2497,E2497)</f>
        <v>1.4561645263905501</v>
      </c>
      <c r="O2497" s="7">
        <f>[1]!EM_S_VAL_PS_TTM(B2497,E2497)</f>
        <v>1.0202875926382</v>
      </c>
      <c r="P2497" s="7">
        <f>[1]!EM_S_VAL_PCF_NCFTTM(B2497,E2497)</f>
        <v>14.2670299214414</v>
      </c>
      <c r="Q2497" s="7">
        <f>[1]!EM_S_VAL_DIVIDENDYIELD2(B2497,E2497,"2019-11-29")</f>
        <v>1.3908205841446453</v>
      </c>
      <c r="T2497"/>
      <c r="U2497">
        <f>[1]!EM_S_RATIO_EPS_TTM(B2497,E2497,"1")</f>
        <v>0.36345333038982802</v>
      </c>
      <c r="AT2497" s="4" t="str">
        <f>[1]!EM_S_IPO_LISTEDDATE(B2497)</f>
        <v>2008-08-13</v>
      </c>
    </row>
    <row r="2498" spans="1:46">
      <c r="A2498">
        <v>3086</v>
      </c>
      <c r="B2498" t="str">
        <f>"601228"</f>
        <v>601228</v>
      </c>
      <c r="C2498" t="s">
        <v>1267</v>
      </c>
      <c r="D2498" t="str">
        <f>[1]!EM_S_INFO_INDEX_EM(B2498,"1")</f>
        <v>交通运输</v>
      </c>
      <c r="E2498" s="4">
        <f t="shared" si="38"/>
        <v>43465</v>
      </c>
      <c r="F2498" s="11">
        <f>[1]!EM_S_PQ_PCTCHANGE(B2498,"2018-01-01","2019-12-31","3")</f>
        <v>-36.490102139999998</v>
      </c>
      <c r="G2498" s="11">
        <f>[1]!EM_S_PQ_PCTCHANGE(B2498,"2018-12-31","2019-12-30","1")</f>
        <v>-3.53535354</v>
      </c>
      <c r="H2498" s="11">
        <f>[1]!EM_S_FA_YOY_OR(B2498,E2498)</f>
        <v>4.0317025162000002</v>
      </c>
      <c r="I2498" s="11">
        <f>[1]!EM_S_FA_GROSSPROFITMARGIN(B2498,E2498)</f>
        <v>25.2253654718</v>
      </c>
      <c r="J2498" s="11">
        <f>[1]!EM_S_FA_NETPROFITMARGIN(B2498,E2498)</f>
        <v>10.347527401900001</v>
      </c>
      <c r="K2498" s="10">
        <f>[1]!EM_S_FA_ASSETSTURN(B2498,E2498)</f>
        <v>0.36534362163400003</v>
      </c>
      <c r="L2498" s="12">
        <f>[1]!EM_HKS_VAL_MV(B2498,"2019-12-31","2")</f>
        <v>23719879400</v>
      </c>
      <c r="M2498">
        <f>[1]!EM_S_VAL_PETTMDEDUCTED(B2498,E2498)</f>
        <v>33.805553878598197</v>
      </c>
      <c r="N2498" s="7">
        <f>[1]!EM_S_VAL_PBGOODWILLDEDUCTED(B2498,E2498)</f>
        <v>1.9819960272135599</v>
      </c>
      <c r="O2498" s="7">
        <f>[1]!EM_S_VAL_PS_TTM(B2498,E2498)</f>
        <v>2.69232575767189</v>
      </c>
      <c r="P2498" s="7">
        <f>[1]!EM_S_VAL_PCF_NCFTTM(B2498,E2498)</f>
        <v>-80.480895589873398</v>
      </c>
      <c r="Q2498" s="7">
        <f>[1]!EM_S_VAL_DIVIDENDYIELD2(B2498,E2498,"2019-11-29")</f>
        <v>0.93582887700534756</v>
      </c>
      <c r="T2498"/>
      <c r="U2498">
        <f>[1]!EM_S_RATIO_EPS_TTM(B2498,E2498,"1")</f>
        <v>0.11604783008083085</v>
      </c>
      <c r="AT2498" s="4" t="str">
        <f>[1]!EM_S_IPO_LISTEDDATE(B2498)</f>
        <v>2017-03-29</v>
      </c>
    </row>
    <row r="2499" spans="1:46">
      <c r="A2499">
        <v>603</v>
      </c>
      <c r="B2499" t="str">
        <f>"002092"</f>
        <v>002092</v>
      </c>
      <c r="C2499" t="s">
        <v>1072</v>
      </c>
      <c r="D2499" t="str">
        <f>[1]!EM_S_INFO_INDEX_EM(B2499,"1")</f>
        <v>商贸零售</v>
      </c>
      <c r="E2499" s="4">
        <f t="shared" ref="E2499:E2562" si="39">$B$1</f>
        <v>43465</v>
      </c>
      <c r="F2499" s="11">
        <f>[1]!EM_S_PQ_PCTCHANGE(B2499,"2018-01-01","2019-12-31","3")</f>
        <v>-47.226068519999998</v>
      </c>
      <c r="G2499" s="11">
        <f>[1]!EM_S_PQ_PCTCHANGE(B2499,"2018-12-31","2019-12-30","1")</f>
        <v>-3.5460992899999999</v>
      </c>
      <c r="H2499" s="11">
        <f>[1]!EM_S_FA_YOY_OR(B2499,E2499)</f>
        <v>71.028480042300004</v>
      </c>
      <c r="I2499" s="11">
        <f>[1]!EM_S_FA_GROSSPROFITMARGIN(B2499,E2499)</f>
        <v>11.103157620699999</v>
      </c>
      <c r="J2499" s="11">
        <f>[1]!EM_S_FA_NETPROFITMARGIN(B2499,E2499)</f>
        <v>3.6472692489999998</v>
      </c>
      <c r="K2499" s="10">
        <f>[1]!EM_S_FA_ASSETSTURN(B2499,E2499)</f>
        <v>1.229222121344</v>
      </c>
      <c r="L2499" s="12">
        <f>[1]!EM_HKS_VAL_MV(B2499,"2019-12-31","2")</f>
        <v>14574392770.42</v>
      </c>
      <c r="M2499">
        <f>[1]!EM_S_VAL_PETTMDEDUCTED(B2499,E2499)</f>
        <v>6.7268867023563699</v>
      </c>
      <c r="N2499" s="7">
        <f>[1]!EM_S_VAL_PBGOODWILLDEDUCTED(B2499,E2499)</f>
        <v>0.80087063973892703</v>
      </c>
      <c r="O2499" s="7">
        <f>[1]!EM_S_VAL_PS_TTM(B2499,E2499)</f>
        <v>0.25495442528557899</v>
      </c>
      <c r="P2499" s="7">
        <f>[1]!EM_S_VAL_PCF_NCFTTM(B2499,E2499)</f>
        <v>7.9143985366589398</v>
      </c>
      <c r="Q2499" s="7">
        <f>[1]!EM_S_VAL_DIVIDENDYIELD2(B2499,E2499,"2019-11-29")</f>
        <v>2.6153846153846154</v>
      </c>
      <c r="T2499"/>
      <c r="U2499">
        <f>[1]!EM_S_RATIO_EPS_TTM(B2499,E2499,"1")</f>
        <v>1.1311766905276293</v>
      </c>
      <c r="AT2499" s="4" t="str">
        <f>[1]!EM_S_IPO_LISTEDDATE(B2499)</f>
        <v>2006-12-08</v>
      </c>
    </row>
    <row r="2500" spans="1:46">
      <c r="A2500">
        <v>944</v>
      </c>
      <c r="B2500" t="str">
        <f>"002433"</f>
        <v>002433</v>
      </c>
      <c r="C2500" t="s">
        <v>2113</v>
      </c>
      <c r="D2500" t="str">
        <f>[1]!EM_S_INFO_INDEX_EM(B2500,"1")</f>
        <v>医药生物</v>
      </c>
      <c r="E2500" s="4">
        <f t="shared" si="39"/>
        <v>43465</v>
      </c>
      <c r="F2500" s="11">
        <f>[1]!EM_S_PQ_PCTCHANGE(B2500,"2018-01-01","2019-12-31","3")</f>
        <v>-44.994113429999999</v>
      </c>
      <c r="G2500" s="11">
        <f>[1]!EM_S_PQ_PCTCHANGE(B2500,"2018-12-31","2019-12-30","1")</f>
        <v>-3.6247334800000002</v>
      </c>
      <c r="H2500" s="11">
        <f>[1]!EM_S_FA_YOY_OR(B2500,E2500)</f>
        <v>2.3574741232999998</v>
      </c>
      <c r="I2500" s="11">
        <f>[1]!EM_S_FA_GROSSPROFITMARGIN(B2500,E2500)</f>
        <v>27.769644694</v>
      </c>
      <c r="J2500" s="11">
        <f>[1]!EM_S_FA_NETPROFITMARGIN(B2500,E2500)</f>
        <v>8.3003298406999999</v>
      </c>
      <c r="K2500" s="10">
        <f>[1]!EM_S_FA_ASSETSTURN(B2500,E2500)</f>
        <v>0.39397279151699999</v>
      </c>
      <c r="L2500" s="12">
        <f>[1]!EM_HKS_VAL_MV(B2500,"2019-12-31","2")</f>
        <v>3519488988</v>
      </c>
      <c r="M2500">
        <f>[1]!EM_S_VAL_PETTMDEDUCTED(B2500,E2500)</f>
        <v>17.176602988500701</v>
      </c>
      <c r="N2500" s="7">
        <f>[1]!EM_S_VAL_PBGOODWILLDEDUCTED(B2500,E2500)</f>
        <v>0.76175305451888498</v>
      </c>
      <c r="O2500" s="7">
        <f>[1]!EM_S_VAL_PS_TTM(B2500,E2500)</f>
        <v>1.0736418883704399</v>
      </c>
      <c r="P2500" s="7">
        <f>[1]!EM_S_VAL_PCF_NCFTTM(B2500,E2500)</f>
        <v>-154.50777182469099</v>
      </c>
      <c r="Q2500" s="7">
        <f>[1]!EM_S_VAL_DIVIDENDYIELD2(B2500,E2500,"2019-11-29")</f>
        <v>1.6104783599088839</v>
      </c>
      <c r="T2500"/>
      <c r="U2500">
        <f>[1]!EM_S_RATIO_EPS_TTM(B2500,E2500,"1")</f>
        <v>0.35328792790358349</v>
      </c>
      <c r="AT2500" s="4" t="str">
        <f>[1]!EM_S_IPO_LISTEDDATE(B2500)</f>
        <v>2010-06-18</v>
      </c>
    </row>
    <row r="2501" spans="1:46">
      <c r="A2501">
        <v>1397</v>
      </c>
      <c r="B2501" t="str">
        <f>"002899"</f>
        <v>002899</v>
      </c>
      <c r="C2501" t="s">
        <v>2583</v>
      </c>
      <c r="D2501" t="str">
        <f>[1]!EM_S_INFO_INDEX_EM(B2501,"1")</f>
        <v>轻工制造</v>
      </c>
      <c r="E2501" s="4">
        <f t="shared" si="39"/>
        <v>43465</v>
      </c>
      <c r="F2501" s="11">
        <f>[1]!EM_S_PQ_PCTCHANGE(B2501,"2018-01-01","2019-12-31","3")</f>
        <v>-50.254021600000002</v>
      </c>
      <c r="G2501" s="11">
        <f>[1]!EM_S_PQ_PCTCHANGE(B2501,"2018-12-31","2019-12-30","1")</f>
        <v>-3.6678200699999999</v>
      </c>
      <c r="H2501" s="11">
        <f>[1]!EM_S_FA_YOY_OR(B2501,E2501)</f>
        <v>5.8830275045000002</v>
      </c>
      <c r="I2501" s="11">
        <f>[1]!EM_S_FA_GROSSPROFITMARGIN(B2501,E2501)</f>
        <v>31.923351371500001</v>
      </c>
      <c r="J2501" s="11">
        <f>[1]!EM_S_FA_NETPROFITMARGIN(B2501,E2501)</f>
        <v>6.9063774395999999</v>
      </c>
      <c r="K2501" s="10">
        <f>[1]!EM_S_FA_ASSETSTURN(B2501,E2501)</f>
        <v>0.72784175466199996</v>
      </c>
      <c r="L2501" s="12">
        <f>[1]!EM_HKS_VAL_MV(B2501,"2019-12-31","2")</f>
        <v>1677600000</v>
      </c>
      <c r="M2501">
        <f>[1]!EM_S_VAL_PETTMDEDUCTED(B2501,E2501)</f>
        <v>30.722206897607101</v>
      </c>
      <c r="N2501" s="7">
        <f>[1]!EM_S_VAL_PBGOODWILLDEDUCTED(B2501,E2501)</f>
        <v>1.7244862893534101</v>
      </c>
      <c r="O2501" s="7">
        <f>[1]!EM_S_VAL_PS_TTM(B2501,E2501)</f>
        <v>1.95359527134225</v>
      </c>
      <c r="P2501" s="7">
        <f>[1]!EM_S_VAL_PCF_NCFTTM(B2501,E2501)</f>
        <v>-3.8963194675555402</v>
      </c>
      <c r="Q2501" s="7">
        <f>[1]!EM_S_VAL_DIVIDENDYIELD2(B2501,E2501,"2019-11-29")</f>
        <v>0.73957513768686078</v>
      </c>
      <c r="T2501"/>
      <c r="U2501">
        <f>[1]!EM_S_RATIO_EPS_TTM(B2501,E2501,"1")</f>
        <v>0.52238862424999999</v>
      </c>
      <c r="AT2501" s="4" t="str">
        <f>[1]!EM_S_IPO_LISTEDDATE(B2501)</f>
        <v>2017-09-15</v>
      </c>
    </row>
    <row r="2502" spans="1:46">
      <c r="A2502">
        <v>3333</v>
      </c>
      <c r="B2502" t="str">
        <f>"603269"</f>
        <v>603269</v>
      </c>
      <c r="C2502" t="s">
        <v>1858</v>
      </c>
      <c r="D2502" t="str">
        <f>[1]!EM_S_INFO_INDEX_EM(B2502,"1")</f>
        <v>机械设备</v>
      </c>
      <c r="E2502" s="4">
        <f t="shared" si="39"/>
        <v>43465</v>
      </c>
      <c r="F2502" s="11">
        <f>[1]!EM_S_PQ_PCTCHANGE(B2502,"2018-01-01","2019-12-31","3")</f>
        <v>-43.646220419999999</v>
      </c>
      <c r="G2502" s="11">
        <f>[1]!EM_S_PQ_PCTCHANGE(B2502,"2018-12-31","2019-12-30","1")</f>
        <v>-3.7011173199999998</v>
      </c>
      <c r="H2502" s="11">
        <f>[1]!EM_S_FA_YOY_OR(B2502,E2502)</f>
        <v>6.7963048264000001</v>
      </c>
      <c r="I2502" s="11">
        <f>[1]!EM_S_FA_GROSSPROFITMARGIN(B2502,E2502)</f>
        <v>29.426382811900002</v>
      </c>
      <c r="J2502" s="11">
        <f>[1]!EM_S_FA_NETPROFITMARGIN(B2502,E2502)</f>
        <v>5.5590891303000003</v>
      </c>
      <c r="K2502" s="10">
        <f>[1]!EM_S_FA_ASSETSTURN(B2502,E2502)</f>
        <v>0.45368183220300001</v>
      </c>
      <c r="L2502" s="12">
        <f>[1]!EM_HKS_VAL_MV(B2502,"2019-12-31","2")</f>
        <v>1267774200</v>
      </c>
      <c r="M2502">
        <f>[1]!EM_S_VAL_PETTMDEDUCTED(B2502,E2502)</f>
        <v>41.095915785631902</v>
      </c>
      <c r="N2502" s="7">
        <f>[1]!EM_S_VAL_PBGOODWILLDEDUCTED(B2502,E2502)</f>
        <v>2.0480507677876099</v>
      </c>
      <c r="O2502" s="7">
        <f>[1]!EM_S_VAL_PS_TTM(B2502,E2502)</f>
        <v>2.3713904494282798</v>
      </c>
      <c r="P2502" s="7">
        <f>[1]!EM_S_VAL_PCF_NCFTTM(B2502,E2502)</f>
        <v>208.45597700435499</v>
      </c>
      <c r="Q2502" s="7">
        <f>[1]!EM_S_VAL_DIVIDENDYIELD2(B2502,E2502,"2019-11-29")</f>
        <v>0.82889733840304203</v>
      </c>
      <c r="T2502"/>
      <c r="U2502">
        <f>[1]!EM_S_RATIO_EPS_TTM(B2502,E2502,"1")</f>
        <v>0.36282630731387339</v>
      </c>
      <c r="AT2502" s="4" t="str">
        <f>[1]!EM_S_IPO_LISTEDDATE(B2502)</f>
        <v>2017-05-17</v>
      </c>
    </row>
    <row r="2503" spans="1:46">
      <c r="A2503">
        <v>229</v>
      </c>
      <c r="B2503" t="str">
        <f>"000628"</f>
        <v>000628</v>
      </c>
      <c r="C2503" t="s">
        <v>3251</v>
      </c>
      <c r="D2503" t="str">
        <f>[1]!EM_S_INFO_INDEX_EM(B2503,"1")</f>
        <v>建筑</v>
      </c>
      <c r="E2503" s="4">
        <f t="shared" si="39"/>
        <v>43465</v>
      </c>
      <c r="F2503" s="11">
        <f>[1]!EM_S_PQ_PCTCHANGE(B2503,"2018-01-01","2019-12-31","3")</f>
        <v>18.062200959999998</v>
      </c>
      <c r="G2503" s="11">
        <f>[1]!EM_S_PQ_PCTCHANGE(B2503,"2018-12-31","2019-12-30","1")</f>
        <v>-3.7487335399999999</v>
      </c>
      <c r="H2503" s="11">
        <f>[1]!EM_S_FA_YOY_OR(B2503,E2503)</f>
        <v>66.473372461899999</v>
      </c>
      <c r="I2503" s="11">
        <f>[1]!EM_S_FA_GROSSPROFITMARGIN(B2503,E2503)</f>
        <v>16.8752936158</v>
      </c>
      <c r="J2503" s="11">
        <f>[1]!EM_S_FA_NETPROFITMARGIN(B2503,E2503)</f>
        <v>8.4359094396999996</v>
      </c>
      <c r="K2503" s="10">
        <f>[1]!EM_S_FA_ASSETSTURN(B2503,E2503)</f>
        <v>0.29290281079300001</v>
      </c>
      <c r="L2503" s="12">
        <f>[1]!EM_HKS_VAL_MV(B2503,"2019-12-31","2")</f>
        <v>3074307600</v>
      </c>
      <c r="M2503">
        <f>[1]!EM_S_VAL_PETTMDEDUCTED(B2503,E2503)</f>
        <v>554.71001516270996</v>
      </c>
      <c r="N2503" s="7">
        <f>[1]!EM_S_VAL_PBGOODWILLDEDUCTED(B2503,E2503)</f>
        <v>3.78270912917597</v>
      </c>
      <c r="O2503" s="7">
        <f>[1]!EM_S_VAL_PS_TTM(B2503,E2503)</f>
        <v>4.5780343077526302</v>
      </c>
      <c r="P2503" s="7">
        <f>[1]!EM_S_VAL_PCF_NCFTTM(B2503,E2503)</f>
        <v>-18.120162746160901</v>
      </c>
      <c r="Q2503" s="7">
        <f>[1]!EM_S_VAL_DIVIDENDYIELD2(B2503,E2503,"2019-11-29")</f>
        <v>0</v>
      </c>
      <c r="T2503"/>
      <c r="U2503">
        <f>[1]!EM_S_RATIO_EPS_TTM(B2503,E2503,"1")</f>
        <v>0.17575662678181583</v>
      </c>
      <c r="AT2503" s="4" t="str">
        <f>[1]!EM_S_IPO_LISTEDDATE(B2503)</f>
        <v>1996-11-18</v>
      </c>
    </row>
    <row r="2504" spans="1:46">
      <c r="A2504">
        <v>765</v>
      </c>
      <c r="B2504" t="str">
        <f>"002254"</f>
        <v>002254</v>
      </c>
      <c r="C2504" t="s">
        <v>1570</v>
      </c>
      <c r="D2504" t="str">
        <f>[1]!EM_S_INFO_INDEX_EM(B2504,"1")</f>
        <v>基础化工</v>
      </c>
      <c r="E2504" s="4">
        <f t="shared" si="39"/>
        <v>43465</v>
      </c>
      <c r="F2504" s="11">
        <f>[1]!EM_S_PQ_PCTCHANGE(B2504,"2018-01-01","2019-12-31","3")</f>
        <v>-9.4050799499999993</v>
      </c>
      <c r="G2504" s="11">
        <f>[1]!EM_S_PQ_PCTCHANGE(B2504,"2018-12-31","2019-12-30","1")</f>
        <v>-3.7822878200000001</v>
      </c>
      <c r="H2504" s="11">
        <f>[1]!EM_S_FA_YOY_OR(B2504,E2504)</f>
        <v>39.718144049700001</v>
      </c>
      <c r="I2504" s="11">
        <f>[1]!EM_S_FA_GROSSPROFITMARGIN(B2504,E2504)</f>
        <v>17.323554873700001</v>
      </c>
      <c r="J2504" s="11">
        <f>[1]!EM_S_FA_NETPROFITMARGIN(B2504,E2504)</f>
        <v>6.8993283477</v>
      </c>
      <c r="K2504" s="10">
        <f>[1]!EM_S_FA_ASSETSTURN(B2504,E2504)</f>
        <v>0.67744190228699996</v>
      </c>
      <c r="L2504" s="12">
        <f>[1]!EM_HKS_VAL_MV(B2504,"2019-12-31","2")</f>
        <v>6383211120</v>
      </c>
      <c r="M2504">
        <f>[1]!EM_S_VAL_PETTMDEDUCTED(B2504,E2504)</f>
        <v>51.144312838192697</v>
      </c>
      <c r="N2504" s="7">
        <f>[1]!EM_S_VAL_PBGOODWILLDEDUCTED(B2504,E2504)</f>
        <v>3.0714789177576098</v>
      </c>
      <c r="O2504" s="7">
        <f>[1]!EM_S_VAL_PS_TTM(B2504,E2504)</f>
        <v>3.5457385231997001</v>
      </c>
      <c r="P2504" s="7">
        <f>[1]!EM_S_VAL_PCF_NCFTTM(B2504,E2504)</f>
        <v>55.089709010677801</v>
      </c>
      <c r="Q2504" s="7">
        <f>[1]!EM_S_VAL_DIVIDENDYIELD2(B2504,E2504,"2019-11-29")</f>
        <v>0.48216007714561238</v>
      </c>
      <c r="T2504"/>
      <c r="U2504">
        <f>[1]!EM_S_RATIO_EPS_TTM(B2504,E2504,"1")</f>
        <v>0.25597764972326342</v>
      </c>
      <c r="AT2504" s="4" t="str">
        <f>[1]!EM_S_IPO_LISTEDDATE(B2504)</f>
        <v>2008-06-25</v>
      </c>
    </row>
    <row r="2505" spans="1:46">
      <c r="A2505">
        <v>3404</v>
      </c>
      <c r="B2505" t="str">
        <f>"603466"</f>
        <v>603466</v>
      </c>
      <c r="C2505" t="s">
        <v>256</v>
      </c>
      <c r="D2505" t="str">
        <f>[1]!EM_S_INFO_INDEX_EM(B2505,"1")</f>
        <v>休闲、生活及专业服务</v>
      </c>
      <c r="E2505" s="4">
        <f t="shared" si="39"/>
        <v>43465</v>
      </c>
      <c r="F2505" s="11">
        <f>[1]!EM_S_PQ_PCTCHANGE(B2505,"2018-01-01","2019-12-31","3")</f>
        <v>-44.421929069999997</v>
      </c>
      <c r="G2505" s="11">
        <f>[1]!EM_S_PQ_PCTCHANGE(B2505,"2018-12-31","2019-12-30","1")</f>
        <v>-3.8057742800000001</v>
      </c>
      <c r="H2505" s="11">
        <f>[1]!EM_S_FA_YOY_OR(B2505,E2505)</f>
        <v>13.9516010206</v>
      </c>
      <c r="I2505" s="11">
        <f>[1]!EM_S_FA_GROSSPROFITMARGIN(B2505,E2505)</f>
        <v>30.1721006834</v>
      </c>
      <c r="J2505" s="11">
        <f>[1]!EM_S_FA_NETPROFITMARGIN(B2505,E2505)</f>
        <v>12.348463794300001</v>
      </c>
      <c r="K2505" s="10">
        <f>[1]!EM_S_FA_ASSETSTURN(B2505,E2505)</f>
        <v>0.55170981843300004</v>
      </c>
      <c r="L2505" s="12">
        <f>[1]!EM_HKS_VAL_MV(B2505,"2019-12-31","2")</f>
        <v>4323749820</v>
      </c>
      <c r="M2505">
        <f>[1]!EM_S_VAL_PETTMDEDUCTED(B2505,E2505)</f>
        <v>25.6605162041993</v>
      </c>
      <c r="N2505" s="7">
        <f>[1]!EM_S_VAL_PBGOODWILLDEDUCTED(B2505,E2505)</f>
        <v>3.1717435591415399</v>
      </c>
      <c r="O2505" s="7">
        <f>[1]!EM_S_VAL_PS_TTM(B2505,E2505)</f>
        <v>2.8479261852409299</v>
      </c>
      <c r="P2505" s="7">
        <f>[1]!EM_S_VAL_PCF_NCFTTM(B2505,E2505)</f>
        <v>5.4751340504449804</v>
      </c>
      <c r="Q2505" s="7">
        <f>[1]!EM_S_VAL_DIVIDENDYIELD2(B2505,E2505,"2019-11-29")</f>
        <v>0.55144315727790494</v>
      </c>
      <c r="T2505"/>
      <c r="U2505">
        <f>[1]!EM_S_RATIO_EPS_TTM(B2505,E2505,"1")</f>
        <v>0.72257459494915244</v>
      </c>
      <c r="AT2505" s="4" t="str">
        <f>[1]!EM_S_IPO_LISTEDDATE(B2505)</f>
        <v>2017-10-20</v>
      </c>
    </row>
    <row r="2506" spans="1:46">
      <c r="A2506">
        <v>1609</v>
      </c>
      <c r="B2506" t="str">
        <f>"300184"</f>
        <v>300184</v>
      </c>
      <c r="C2506" t="s">
        <v>1026</v>
      </c>
      <c r="D2506" t="str">
        <f>[1]!EM_S_INFO_INDEX_EM(B2506,"1")</f>
        <v>电子设备</v>
      </c>
      <c r="E2506" s="4">
        <f t="shared" si="39"/>
        <v>43465</v>
      </c>
      <c r="F2506" s="11">
        <f>[1]!EM_S_PQ_PCTCHANGE(B2506,"2018-01-01","2019-12-31","3")</f>
        <v>16.634850839999999</v>
      </c>
      <c r="G2506" s="11">
        <f>[1]!EM_S_PQ_PCTCHANGE(B2506,"2018-12-31","2019-12-30","1")</f>
        <v>-3.8107753</v>
      </c>
      <c r="H2506" s="11">
        <f>[1]!EM_S_FA_YOY_OR(B2506,E2506)</f>
        <v>31.0586763797</v>
      </c>
      <c r="I2506" s="11">
        <f>[1]!EM_S_FA_GROSSPROFITMARGIN(B2506,E2506)</f>
        <v>7.6153157148000004</v>
      </c>
      <c r="J2506" s="11">
        <f>[1]!EM_S_FA_NETPROFITMARGIN(B2506,E2506)</f>
        <v>3.3101645795999999</v>
      </c>
      <c r="K2506" s="10">
        <f>[1]!EM_S_FA_ASSETSTURN(B2506,E2506)</f>
        <v>1.7147647242690001</v>
      </c>
      <c r="L2506" s="12">
        <f>[1]!EM_HKS_VAL_MV(B2506,"2019-12-31","2")</f>
        <v>8541647109.5</v>
      </c>
      <c r="M2506">
        <f>[1]!EM_S_VAL_PETTMDEDUCTED(B2506,E2506)</f>
        <v>15.5944947901672</v>
      </c>
      <c r="N2506" s="7">
        <f>[1]!EM_S_VAL_PBGOODWILLDEDUCTED(B2506,E2506)</f>
        <v>2.2136742837513301</v>
      </c>
      <c r="O2506" s="7">
        <f>[1]!EM_S_VAL_PS_TTM(B2506,E2506)</f>
        <v>0.47788571919843997</v>
      </c>
      <c r="P2506" s="7">
        <f>[1]!EM_S_VAL_PCF_NCFTTM(B2506,E2506)</f>
        <v>48.9216671586682</v>
      </c>
      <c r="Q2506" s="7">
        <f>[1]!EM_S_VAL_DIVIDENDYIELD2(B2506,E2506,"2019-11-29")</f>
        <v>0.78910281203780941</v>
      </c>
      <c r="T2506"/>
      <c r="U2506">
        <f>[1]!EM_S_RATIO_EPS_TTM(B2506,E2506,"1")</f>
        <v>0.54212719089729566</v>
      </c>
      <c r="AT2506" s="4" t="str">
        <f>[1]!EM_S_IPO_LISTEDDATE(B2506)</f>
        <v>2011-02-22</v>
      </c>
    </row>
    <row r="2507" spans="1:46">
      <c r="A2507">
        <v>3181</v>
      </c>
      <c r="B2507" t="str">
        <f>"601933"</f>
        <v>601933</v>
      </c>
      <c r="C2507" t="s">
        <v>521</v>
      </c>
      <c r="D2507" t="str">
        <f>[1]!EM_S_INFO_INDEX_EM(B2507,"1")</f>
        <v>商贸零售</v>
      </c>
      <c r="E2507" s="4">
        <f t="shared" si="39"/>
        <v>43465</v>
      </c>
      <c r="F2507" s="11">
        <f>[1]!EM_S_PQ_PCTCHANGE(B2507,"2018-01-01","2019-12-31","3")</f>
        <v>-23.325093519999999</v>
      </c>
      <c r="G2507" s="11">
        <f>[1]!EM_S_PQ_PCTCHANGE(B2507,"2018-12-31","2019-12-30","1")</f>
        <v>-3.8119440899999999</v>
      </c>
      <c r="H2507" s="11">
        <f>[1]!EM_S_FA_YOY_OR(B2507,E2507)</f>
        <v>20.353366768400001</v>
      </c>
      <c r="I2507" s="11">
        <f>[1]!EM_S_FA_GROSSPROFITMARGIN(B2507,E2507)</f>
        <v>22.146420473399999</v>
      </c>
      <c r="J2507" s="11">
        <f>[1]!EM_S_FA_NETPROFITMARGIN(B2507,E2507)</f>
        <v>1.4144212314</v>
      </c>
      <c r="K2507" s="10">
        <f>[1]!EM_S_FA_ASSETSTURN(B2507,E2507)</f>
        <v>1.9453554110710001</v>
      </c>
      <c r="L2507" s="12">
        <f>[1]!EM_HKS_VAL_MV(B2507,"2019-12-31","2")</f>
        <v>72161284294.320007</v>
      </c>
      <c r="M2507">
        <f>[1]!EM_S_VAL_PETTMDEDUCTED(B2507,E2507)</f>
        <v>58.953534442823198</v>
      </c>
      <c r="N2507" s="7">
        <f>[1]!EM_S_VAL_PBGOODWILLDEDUCTED(B2507,E2507)</f>
        <v>3.8922215894420602</v>
      </c>
      <c r="O2507" s="7">
        <f>[1]!EM_S_VAL_PS_TTM(B2507,E2507)</f>
        <v>1.1080363479762401</v>
      </c>
      <c r="P2507" s="7">
        <f>[1]!EM_S_VAL_PCF_NCFTTM(B2507,E2507)</f>
        <v>-3051.9620698962299</v>
      </c>
      <c r="Q2507" s="7">
        <f>[1]!EM_S_VAL_DIVIDENDYIELD2(B2507,E2507,"2019-11-29")</f>
        <v>1.480484522207268</v>
      </c>
      <c r="T2507"/>
      <c r="U2507">
        <f>[1]!EM_S_RATIO_EPS_TTM(B2507,E2507,"1")</f>
        <v>0.1546793964329648</v>
      </c>
      <c r="AT2507" s="4" t="str">
        <f>[1]!EM_S_IPO_LISTEDDATE(B2507)</f>
        <v>2010-12-15</v>
      </c>
    </row>
    <row r="2508" spans="1:46">
      <c r="A2508">
        <v>736</v>
      </c>
      <c r="B2508" t="str">
        <f>"002225"</f>
        <v>002225</v>
      </c>
      <c r="C2508" t="s">
        <v>1173</v>
      </c>
      <c r="D2508" t="str">
        <f>[1]!EM_S_INFO_INDEX_EM(B2508,"1")</f>
        <v>建材</v>
      </c>
      <c r="E2508" s="4">
        <f t="shared" si="39"/>
        <v>43465</v>
      </c>
      <c r="F2508" s="11">
        <f>[1]!EM_S_PQ_PCTCHANGE(B2508,"2018-01-01","2019-12-31","3")</f>
        <v>-15.678699740000001</v>
      </c>
      <c r="G2508" s="11">
        <f>[1]!EM_S_PQ_PCTCHANGE(B2508,"2018-12-31","2019-12-30","1")</f>
        <v>-3.8461538499999999</v>
      </c>
      <c r="H2508" s="11">
        <f>[1]!EM_S_FA_YOY_OR(B2508,E2508)</f>
        <v>37.2507225146</v>
      </c>
      <c r="I2508" s="11">
        <f>[1]!EM_S_FA_GROSSPROFITMARGIN(B2508,E2508)</f>
        <v>29.217766587300002</v>
      </c>
      <c r="J2508" s="11">
        <f>[1]!EM_S_FA_NETPROFITMARGIN(B2508,E2508)</f>
        <v>6.1137319689999998</v>
      </c>
      <c r="K2508" s="10">
        <f>[1]!EM_S_FA_ASSETSTURN(B2508,E2508)</f>
        <v>0.77900518507700001</v>
      </c>
      <c r="L2508" s="12">
        <f>[1]!EM_HKS_VAL_MV(B2508,"2019-12-31","2")</f>
        <v>4424487574.1199999</v>
      </c>
      <c r="M2508">
        <f>[1]!EM_S_VAL_PETTMDEDUCTED(B2508,E2508)</f>
        <v>20.500256153732501</v>
      </c>
      <c r="N2508" s="7">
        <f>[1]!EM_S_VAL_PBGOODWILLDEDUCTED(B2508,E2508)</f>
        <v>1.672461940434</v>
      </c>
      <c r="O2508" s="7">
        <f>[1]!EM_S_VAL_PS_TTM(B2508,E2508)</f>
        <v>1.06781424692595</v>
      </c>
      <c r="P2508" s="7">
        <f>[1]!EM_S_VAL_PCF_NCFTTM(B2508,E2508)</f>
        <v>48.8266627849586</v>
      </c>
      <c r="Q2508" s="7">
        <f>[1]!EM_S_VAL_DIVIDENDYIELD2(B2508,E2508,"2019-11-29")</f>
        <v>1.4777028808173494</v>
      </c>
      <c r="T2508"/>
      <c r="U2508">
        <f>[1]!EM_S_RATIO_EPS_TTM(B2508,E2508,"1")</f>
        <v>0.25376475814685762</v>
      </c>
      <c r="AT2508" s="4" t="str">
        <f>[1]!EM_S_IPO_LISTEDDATE(B2508)</f>
        <v>2008-04-25</v>
      </c>
    </row>
    <row r="2509" spans="1:46">
      <c r="A2509">
        <v>2986</v>
      </c>
      <c r="B2509" t="str">
        <f>"600959"</f>
        <v>600959</v>
      </c>
      <c r="C2509" t="s">
        <v>2220</v>
      </c>
      <c r="D2509" t="str">
        <f>[1]!EM_S_INFO_INDEX_EM(B2509,"1")</f>
        <v>文化传媒</v>
      </c>
      <c r="E2509" s="4">
        <f t="shared" si="39"/>
        <v>43465</v>
      </c>
      <c r="F2509" s="11">
        <f>[1]!EM_S_PQ_PCTCHANGE(B2509,"2018-01-01","2019-12-31","3")</f>
        <v>-50.238942100000003</v>
      </c>
      <c r="G2509" s="11">
        <f>[1]!EM_S_PQ_PCTCHANGE(B2509,"2018-12-31","2019-12-30","1")</f>
        <v>-3.8834951499999999</v>
      </c>
      <c r="H2509" s="11">
        <f>[1]!EM_S_FA_YOY_OR(B2509,E2509)</f>
        <v>-2.5957335255</v>
      </c>
      <c r="I2509" s="11">
        <f>[1]!EM_S_FA_GROSSPROFITMARGIN(B2509,E2509)</f>
        <v>27.561832703099999</v>
      </c>
      <c r="J2509" s="11">
        <f>[1]!EM_S_FA_NETPROFITMARGIN(B2509,E2509)</f>
        <v>10.164406591200001</v>
      </c>
      <c r="K2509" s="10">
        <f>[1]!EM_S_FA_ASSETSTURN(B2509,E2509)</f>
        <v>0.24474771125700001</v>
      </c>
      <c r="L2509" s="12">
        <f>[1]!EM_HKS_VAL_MV(B2509,"2019-12-31","2")</f>
        <v>19902856390.279999</v>
      </c>
      <c r="M2509">
        <f>[1]!EM_S_VAL_PETTMDEDUCTED(B2509,E2509)</f>
        <v>42.012585176026597</v>
      </c>
      <c r="N2509" s="7">
        <f>[1]!EM_S_VAL_PBGOODWILLDEDUCTED(B2509,E2509)</f>
        <v>0.948338780506218</v>
      </c>
      <c r="O2509" s="7">
        <f>[1]!EM_S_VAL_PS_TTM(B2509,E2509)</f>
        <v>2.54841216279699</v>
      </c>
      <c r="P2509" s="7">
        <f>[1]!EM_S_VAL_PCF_NCFTTM(B2509,E2509)</f>
        <v>28.634828357304801</v>
      </c>
      <c r="Q2509" s="7">
        <f>[1]!EM_S_VAL_DIVIDENDYIELD2(B2509,E2509,"2019-11-29")</f>
        <v>2.5476756961930009</v>
      </c>
      <c r="T2509"/>
      <c r="U2509">
        <f>[1]!EM_S_RATIO_EPS_TTM(B2509,E2509,"1")</f>
        <v>0.12664103342120664</v>
      </c>
      <c r="AT2509" s="4" t="str">
        <f>[1]!EM_S_IPO_LISTEDDATE(B2509)</f>
        <v>2015-04-28</v>
      </c>
    </row>
    <row r="2510" spans="1:46">
      <c r="A2510">
        <v>3436</v>
      </c>
      <c r="B2510" t="str">
        <f>"603569"</f>
        <v>603569</v>
      </c>
      <c r="C2510" t="s">
        <v>814</v>
      </c>
      <c r="D2510" t="str">
        <f>[1]!EM_S_INFO_INDEX_EM(B2510,"1")</f>
        <v>交通运输</v>
      </c>
      <c r="E2510" s="4">
        <f t="shared" si="39"/>
        <v>43465</v>
      </c>
      <c r="F2510" s="11">
        <f>[1]!EM_S_PQ_PCTCHANGE(B2510,"2018-01-01","2019-12-31","3")</f>
        <v>-38.459486439999999</v>
      </c>
      <c r="G2510" s="11">
        <f>[1]!EM_S_PQ_PCTCHANGE(B2510,"2018-12-31","2019-12-30","1")</f>
        <v>-3.9069767400000002</v>
      </c>
      <c r="H2510" s="11">
        <f>[1]!EM_S_FA_YOY_OR(B2510,E2510)</f>
        <v>10.5221395518</v>
      </c>
      <c r="I2510" s="11">
        <f>[1]!EM_S_FA_GROSSPROFITMARGIN(B2510,E2510)</f>
        <v>13.5483896396</v>
      </c>
      <c r="J2510" s="11">
        <f>[1]!EM_S_FA_NETPROFITMARGIN(B2510,E2510)</f>
        <v>7.3187793868000002</v>
      </c>
      <c r="K2510" s="10">
        <f>[1]!EM_S_FA_ASSETSTURN(B2510,E2510)</f>
        <v>1.0200240792019999</v>
      </c>
      <c r="L2510" s="12">
        <f>[1]!EM_HKS_VAL_MV(B2510,"2019-12-31","2")</f>
        <v>5838060675.54</v>
      </c>
      <c r="M2510">
        <f>[1]!EM_S_VAL_PETTMDEDUCTED(B2510,E2510)</f>
        <v>18.732300360531699</v>
      </c>
      <c r="N2510" s="7">
        <f>[1]!EM_S_VAL_PBGOODWILLDEDUCTED(B2510,E2510)</f>
        <v>2.49418158624061</v>
      </c>
      <c r="O2510" s="7">
        <f>[1]!EM_S_VAL_PS_TTM(B2510,E2510)</f>
        <v>1.1267842629725</v>
      </c>
      <c r="P2510" s="7">
        <f>[1]!EM_S_VAL_PCF_NCFTTM(B2510,E2510)</f>
        <v>-44.928315600562698</v>
      </c>
      <c r="Q2510" s="7">
        <f>[1]!EM_S_VAL_DIVIDENDYIELD2(B2510,E2510,"2019-11-29")</f>
        <v>1.3879806536534538</v>
      </c>
      <c r="T2510"/>
      <c r="U2510">
        <f>[1]!EM_S_RATIO_EPS_TTM(B2510,E2510,"1")</f>
        <v>0.71984798801458538</v>
      </c>
      <c r="AT2510" s="4" t="str">
        <f>[1]!EM_S_IPO_LISTEDDATE(B2510)</f>
        <v>2016-08-10</v>
      </c>
    </row>
    <row r="2511" spans="1:46">
      <c r="A2511">
        <v>1825</v>
      </c>
      <c r="B2511" t="str">
        <f>"300400"</f>
        <v>300400</v>
      </c>
      <c r="C2511" t="s">
        <v>488</v>
      </c>
      <c r="D2511" t="str">
        <f>[1]!EM_S_INFO_INDEX_EM(B2511,"1")</f>
        <v>机械设备</v>
      </c>
      <c r="E2511" s="4">
        <f t="shared" si="39"/>
        <v>43465</v>
      </c>
      <c r="F2511" s="11">
        <f>[1]!EM_S_PQ_PCTCHANGE(B2511,"2018-01-01","2019-12-31","3")</f>
        <v>7.0895522399999997</v>
      </c>
      <c r="G2511" s="11">
        <f>[1]!EM_S_PQ_PCTCHANGE(B2511,"2018-12-31","2019-12-30","1")</f>
        <v>-3.9597315399999999</v>
      </c>
      <c r="H2511" s="11">
        <f>[1]!EM_S_FA_YOY_OR(B2511,E2511)</f>
        <v>23.6800162569</v>
      </c>
      <c r="I2511" s="11">
        <f>[1]!EM_S_FA_GROSSPROFITMARGIN(B2511,E2511)</f>
        <v>38.378626386699999</v>
      </c>
      <c r="J2511" s="11">
        <f>[1]!EM_S_FA_NETPROFITMARGIN(B2511,E2511)</f>
        <v>15.4782004548</v>
      </c>
      <c r="K2511" s="10">
        <f>[1]!EM_S_FA_ASSETSTURN(B2511,E2511)</f>
        <v>0.71047780610099998</v>
      </c>
      <c r="L2511" s="12">
        <f>[1]!EM_HKS_VAL_MV(B2511,"2019-12-31","2")</f>
        <v>3501311030</v>
      </c>
      <c r="M2511">
        <f>[1]!EM_S_VAL_PETTMDEDUCTED(B2511,E2511)</f>
        <v>37.799795113103798</v>
      </c>
      <c r="N2511" s="7">
        <f>[1]!EM_S_VAL_PBGOODWILLDEDUCTED(B2511,E2511)</f>
        <v>6.0430094666185896</v>
      </c>
      <c r="O2511" s="7">
        <f>[1]!EM_S_VAL_PS_TTM(B2511,E2511)</f>
        <v>6.0195984459840401</v>
      </c>
      <c r="P2511" s="7">
        <f>[1]!EM_S_VAL_PCF_NCFTTM(B2511,E2511)</f>
        <v>-25.3571010494875</v>
      </c>
      <c r="Q2511" s="7">
        <f>[1]!EM_S_VAL_DIVIDENDYIELD2(B2511,E2511,"2019-11-29")</f>
        <v>0</v>
      </c>
      <c r="T2511"/>
      <c r="U2511">
        <f>[1]!EM_S_RATIO_EPS_TTM(B2511,E2511,"1")</f>
        <v>0.37383179679249856</v>
      </c>
      <c r="AT2511" s="4" t="str">
        <f>[1]!EM_S_IPO_LISTEDDATE(B2511)</f>
        <v>2014-10-10</v>
      </c>
    </row>
    <row r="2512" spans="1:46">
      <c r="A2512">
        <v>1282</v>
      </c>
      <c r="B2512" t="str">
        <f>"002775"</f>
        <v>002775</v>
      </c>
      <c r="C2512" t="s">
        <v>2188</v>
      </c>
      <c r="D2512" t="str">
        <f>[1]!EM_S_INFO_INDEX_EM(B2512,"1")</f>
        <v>建筑</v>
      </c>
      <c r="E2512" s="4">
        <f t="shared" si="39"/>
        <v>43465</v>
      </c>
      <c r="F2512" s="11">
        <f>[1]!EM_S_PQ_PCTCHANGE(B2512,"2018-01-01","2019-12-31","3")</f>
        <v>-50.423053660000001</v>
      </c>
      <c r="G2512" s="11">
        <f>[1]!EM_S_PQ_PCTCHANGE(B2512,"2018-12-31","2019-12-30","1")</f>
        <v>-4</v>
      </c>
      <c r="H2512" s="11">
        <f>[1]!EM_S_FA_YOY_OR(B2512,E2512)</f>
        <v>11.061033334499999</v>
      </c>
      <c r="I2512" s="11">
        <f>[1]!EM_S_FA_GROSSPROFITMARGIN(B2512,E2512)</f>
        <v>19.2965129928</v>
      </c>
      <c r="J2512" s="11">
        <f>[1]!EM_S_FA_NETPROFITMARGIN(B2512,E2512)</f>
        <v>8.7586208503999998</v>
      </c>
      <c r="K2512" s="10">
        <f>[1]!EM_S_FA_ASSETSTURN(B2512,E2512)</f>
        <v>0.87607346584800005</v>
      </c>
      <c r="L2512" s="12">
        <f>[1]!EM_HKS_VAL_MV(B2512,"2019-12-31","2")</f>
        <v>2999647755</v>
      </c>
      <c r="M2512">
        <f>[1]!EM_S_VAL_PETTMDEDUCTED(B2512,E2512)</f>
        <v>12.0806684344868</v>
      </c>
      <c r="N2512" s="7">
        <f>[1]!EM_S_VAL_PBGOODWILLDEDUCTED(B2512,E2512)</f>
        <v>1.2310843727577001</v>
      </c>
      <c r="O2512" s="7">
        <f>[1]!EM_S_VAL_PS_TTM(B2512,E2512)</f>
        <v>1.1147025534423001</v>
      </c>
      <c r="P2512" s="7">
        <f>[1]!EM_S_VAL_PCF_NCFTTM(B2512,E2512)</f>
        <v>17.059918930610198</v>
      </c>
      <c r="Q2512" s="7">
        <f>[1]!EM_S_VAL_DIVIDENDYIELD2(B2512,E2512,"2019-11-29")</f>
        <v>3.6567817449408313</v>
      </c>
      <c r="T2512"/>
      <c r="U2512">
        <f>[1]!EM_S_RATIO_EPS_TTM(B2512,E2512,"1")</f>
        <v>0.48654985572565979</v>
      </c>
      <c r="AT2512" s="4" t="str">
        <f>[1]!EM_S_IPO_LISTEDDATE(B2512)</f>
        <v>2015-06-29</v>
      </c>
    </row>
    <row r="2513" spans="1:46">
      <c r="A2513">
        <v>2692</v>
      </c>
      <c r="B2513" t="str">
        <f>"600619"</f>
        <v>600619</v>
      </c>
      <c r="C2513" t="s">
        <v>1126</v>
      </c>
      <c r="D2513" t="str">
        <f>[1]!EM_S_INFO_INDEX_EM(B2513,"1")</f>
        <v>机械设备</v>
      </c>
      <c r="E2513" s="4">
        <f t="shared" si="39"/>
        <v>43465</v>
      </c>
      <c r="F2513" s="11">
        <f>[1]!EM_S_PQ_PCTCHANGE(B2513,"2018-01-01","2019-12-31","3")</f>
        <v>-25.619763890000002</v>
      </c>
      <c r="G2513" s="11">
        <f>[1]!EM_S_PQ_PCTCHANGE(B2513,"2018-12-31","2019-12-30","1")</f>
        <v>-4.0141676500000001</v>
      </c>
      <c r="H2513" s="11">
        <f>[1]!EM_S_FA_YOY_OR(B2513,E2513)</f>
        <v>12.0758400946</v>
      </c>
      <c r="I2513" s="11">
        <f>[1]!EM_S_FA_GROSSPROFITMARGIN(B2513,E2513)</f>
        <v>15.8185097629</v>
      </c>
      <c r="J2513" s="11">
        <f>[1]!EM_S_FA_NETPROFITMARGIN(B2513,E2513)</f>
        <v>3.5816147283999999</v>
      </c>
      <c r="K2513" s="10">
        <f>[1]!EM_S_FA_ASSETSTURN(B2513,E2513)</f>
        <v>0.83704345074599995</v>
      </c>
      <c r="L2513" s="12">
        <f>[1]!EM_HKS_VAL_MV(B2513,"2019-12-31","2")</f>
        <v>7287227103.75</v>
      </c>
      <c r="M2513">
        <f>[1]!EM_S_VAL_PETTMDEDUCTED(B2513,E2513)</f>
        <v>30.022569678799702</v>
      </c>
      <c r="N2513" s="7">
        <f>[1]!EM_S_VAL_PBGOODWILLDEDUCTED(B2513,E2513)</f>
        <v>1.8140996805816401</v>
      </c>
      <c r="O2513" s="7">
        <f>[1]!EM_S_VAL_PS_TTM(B2513,E2513)</f>
        <v>0.60415392712173399</v>
      </c>
      <c r="P2513" s="7">
        <f>[1]!EM_S_VAL_PCF_NCFTTM(B2513,E2513)</f>
        <v>-432.252094391127</v>
      </c>
      <c r="Q2513" s="7">
        <f>[1]!EM_S_VAL_DIVIDENDYIELD2(B2513,E2513,"2019-11-29")</f>
        <v>1.8987341772151896</v>
      </c>
      <c r="T2513"/>
      <c r="U2513">
        <f>[1]!EM_S_RATIO_EPS_TTM(B2513,E2513,"1")</f>
        <v>0.35886302682032695</v>
      </c>
      <c r="AT2513" s="4" t="str">
        <f>[1]!EM_S_IPO_LISTEDDATE(B2513)</f>
        <v>1992-11-16</v>
      </c>
    </row>
    <row r="2514" spans="1:46">
      <c r="A2514">
        <v>570</v>
      </c>
      <c r="B2514" t="str">
        <f>"002059"</f>
        <v>002059</v>
      </c>
      <c r="C2514" t="s">
        <v>3442</v>
      </c>
      <c r="D2514" t="str">
        <f>[1]!EM_S_INFO_INDEX_EM(B2514,"1")</f>
        <v>休闲、生活及专业服务</v>
      </c>
      <c r="E2514" s="4">
        <f t="shared" si="39"/>
        <v>43465</v>
      </c>
      <c r="F2514" s="11">
        <f>[1]!EM_S_PQ_PCTCHANGE(B2514,"2018-01-01","2019-12-31","3")</f>
        <v>-31.99795688</v>
      </c>
      <c r="G2514" s="11">
        <f>[1]!EM_S_PQ_PCTCHANGE(B2514,"2018-12-31","2019-12-30","1")</f>
        <v>-4.06189555</v>
      </c>
      <c r="H2514" s="11">
        <f>[1]!EM_S_FA_YOY_OR(B2514,E2514)</f>
        <v>11.560761021999999</v>
      </c>
      <c r="I2514" s="11">
        <f>[1]!EM_S_FA_GROSSPROFITMARGIN(B2514,E2514)</f>
        <v>18.026432329599999</v>
      </c>
      <c r="J2514" s="11">
        <f>[1]!EM_S_FA_NETPROFITMARGIN(B2514,E2514)</f>
        <v>23.1424427227</v>
      </c>
      <c r="K2514" s="10">
        <f>[1]!EM_S_FA_ASSETSTURN(B2514,E2514)</f>
        <v>0.50742213498800004</v>
      </c>
      <c r="L2514" s="12">
        <f>[1]!EM_HKS_VAL_MV(B2514,"2019-12-31","2")</f>
        <v>5052049716.8699999</v>
      </c>
      <c r="M2514">
        <f>[1]!EM_S_VAL_PETTMDEDUCTED(B2514,E2514)</f>
        <v>112.845826359969</v>
      </c>
      <c r="N2514" s="7">
        <f>[1]!EM_S_VAL_PBGOODWILLDEDUCTED(B2514,E2514)</f>
        <v>2.06879265824815</v>
      </c>
      <c r="O2514" s="7">
        <f>[1]!EM_S_VAL_PS_TTM(B2514,E2514)</f>
        <v>1.9980041444374099</v>
      </c>
      <c r="P2514" s="7">
        <f>[1]!EM_S_VAL_PCF_NCFTTM(B2514,E2514)</f>
        <v>-8.9266138113123308</v>
      </c>
      <c r="Q2514" s="7">
        <f>[1]!EM_S_VAL_DIVIDENDYIELD2(B2514,E2514,"2019-11-29")</f>
        <v>1.0378054394811711</v>
      </c>
      <c r="T2514"/>
      <c r="U2514">
        <f>[1]!EM_S_RATIO_EPS_TTM(B2514,E2514,"1")</f>
        <v>0.66676214470739237</v>
      </c>
      <c r="AT2514" s="4" t="str">
        <f>[1]!EM_S_IPO_LISTEDDATE(B2514)</f>
        <v>2006-08-10</v>
      </c>
    </row>
    <row r="2515" spans="1:46">
      <c r="A2515">
        <v>1606</v>
      </c>
      <c r="B2515" t="str">
        <f>"300181"</f>
        <v>300181</v>
      </c>
      <c r="C2515" t="s">
        <v>2559</v>
      </c>
      <c r="D2515" t="str">
        <f>[1]!EM_S_INFO_INDEX_EM(B2515,"1")</f>
        <v>医药生物</v>
      </c>
      <c r="E2515" s="4">
        <f t="shared" si="39"/>
        <v>43465</v>
      </c>
      <c r="F2515" s="11">
        <f>[1]!EM_S_PQ_PCTCHANGE(B2515,"2018-01-01","2019-12-31","3")</f>
        <v>-32.999712870000003</v>
      </c>
      <c r="G2515" s="11">
        <f>[1]!EM_S_PQ_PCTCHANGE(B2515,"2018-12-31","2019-12-30","1")</f>
        <v>-4.06189555</v>
      </c>
      <c r="H2515" s="11">
        <f>[1]!EM_S_FA_YOY_OR(B2515,E2515)</f>
        <v>-8.0171440650000001</v>
      </c>
      <c r="I2515" s="11">
        <f>[1]!EM_S_FA_GROSSPROFITMARGIN(B2515,E2515)</f>
        <v>62.380731708500001</v>
      </c>
      <c r="J2515" s="11">
        <f>[1]!EM_S_FA_NETPROFITMARGIN(B2515,E2515)</f>
        <v>3.5858922269</v>
      </c>
      <c r="K2515" s="10">
        <f>[1]!EM_S_FA_ASSETSTURN(B2515,E2515)</f>
        <v>0.34234531547399999</v>
      </c>
      <c r="L2515" s="12">
        <f>[1]!EM_HKS_VAL_MV(B2515,"2019-12-31","2")</f>
        <v>3073555482.4000001</v>
      </c>
      <c r="M2515">
        <f>[1]!EM_S_VAL_PETTMDEDUCTED(B2515,E2515)</f>
        <v>272.17053284007198</v>
      </c>
      <c r="N2515" s="7">
        <f>[1]!EM_S_VAL_PBGOODWILLDEDUCTED(B2515,E2515)</f>
        <v>2.7338544002681902</v>
      </c>
      <c r="O2515" s="7">
        <f>[1]!EM_S_VAL_PS_TTM(B2515,E2515)</f>
        <v>4.3491270192522702</v>
      </c>
      <c r="P2515" s="7">
        <f>[1]!EM_S_VAL_PCF_NCFTTM(B2515,E2515)</f>
        <v>251.77019496913101</v>
      </c>
      <c r="Q2515" s="7">
        <f>[1]!EM_S_VAL_DIVIDENDYIELD2(B2515,E2515,"2019-11-29")</f>
        <v>1.6528925619834711</v>
      </c>
      <c r="T2515"/>
      <c r="U2515">
        <f>[1]!EM_S_RATIO_EPS_TTM(B2515,E2515,"1")</f>
        <v>3.4096158443402892E-2</v>
      </c>
      <c r="AT2515" s="4" t="str">
        <f>[1]!EM_S_IPO_LISTEDDATE(B2515)</f>
        <v>2011-02-22</v>
      </c>
    </row>
    <row r="2516" spans="1:46">
      <c r="A2516">
        <v>3129</v>
      </c>
      <c r="B2516" t="str">
        <f>"601616"</f>
        <v>601616</v>
      </c>
      <c r="C2516" t="s">
        <v>3038</v>
      </c>
      <c r="D2516" t="str">
        <f>[1]!EM_S_INFO_INDEX_EM(B2516,"1")</f>
        <v>电气设备</v>
      </c>
      <c r="E2516" s="4">
        <f t="shared" si="39"/>
        <v>43465</v>
      </c>
      <c r="F2516" s="11">
        <f>[1]!EM_S_PQ_PCTCHANGE(B2516,"2018-01-01","2019-12-31","3")</f>
        <v>-20.531416100000001</v>
      </c>
      <c r="G2516" s="11">
        <f>[1]!EM_S_PQ_PCTCHANGE(B2516,"2018-12-31","2019-12-30","1")</f>
        <v>-4.10094637</v>
      </c>
      <c r="H2516" s="11">
        <f>[1]!EM_S_FA_YOY_OR(B2516,E2516)</f>
        <v>-7.6578399158000003</v>
      </c>
      <c r="I2516" s="11">
        <f>[1]!EM_S_FA_GROSSPROFITMARGIN(B2516,E2516)</f>
        <v>22.324366420299999</v>
      </c>
      <c r="J2516" s="11">
        <f>[1]!EM_S_FA_NETPROFITMARGIN(B2516,E2516)</f>
        <v>21.150951002199999</v>
      </c>
      <c r="K2516" s="10">
        <f>[1]!EM_S_FA_ASSETSTURN(B2516,E2516)</f>
        <v>0.21310192992599999</v>
      </c>
      <c r="L2516" s="12">
        <f>[1]!EM_HKS_VAL_MV(B2516,"2019-12-31","2")</f>
        <v>2853503750</v>
      </c>
      <c r="M2516">
        <f>[1]!EM_S_VAL_PETTMDEDUCTED(B2516,E2516)</f>
        <v>375.61959533206402</v>
      </c>
      <c r="N2516" s="7">
        <f>[1]!EM_S_VAL_PBGOODWILLDEDUCTED(B2516,E2516)</f>
        <v>1.20250344684356</v>
      </c>
      <c r="O2516" s="7">
        <f>[1]!EM_S_VAL_PS_TTM(B2516,E2516)</f>
        <v>4.5436277623328198</v>
      </c>
      <c r="P2516" s="7">
        <f>[1]!EM_S_VAL_PCF_NCFTTM(B2516,E2516)</f>
        <v>14.801340395550699</v>
      </c>
      <c r="Q2516" s="7">
        <f>[1]!EM_S_VAL_DIVIDENDYIELD2(B2516,E2516,"2019-11-29")</f>
        <v>1.3559322033898304</v>
      </c>
      <c r="T2516"/>
      <c r="U2516">
        <f>[1]!EM_S_RATIO_EPS_TTM(B2516,E2516,"1")</f>
        <v>0.1331800182989071</v>
      </c>
      <c r="AT2516" s="4" t="str">
        <f>[1]!EM_S_IPO_LISTEDDATE(B2516)</f>
        <v>2011-02-01</v>
      </c>
    </row>
    <row r="2517" spans="1:46">
      <c r="A2517">
        <v>263</v>
      </c>
      <c r="B2517" t="str">
        <f>"000676"</f>
        <v>000676</v>
      </c>
      <c r="C2517" t="s">
        <v>503</v>
      </c>
      <c r="D2517" t="str">
        <f>[1]!EM_S_INFO_INDEX_EM(B2517,"1")</f>
        <v>文化传媒</v>
      </c>
      <c r="E2517" s="4">
        <f t="shared" si="39"/>
        <v>43465</v>
      </c>
      <c r="F2517" s="11">
        <f>[1]!EM_S_PQ_PCTCHANGE(B2517,"2018-01-01","2019-12-31","3")</f>
        <v>6.2793758300000002</v>
      </c>
      <c r="G2517" s="11">
        <f>[1]!EM_S_PQ_PCTCHANGE(B2517,"2018-12-31","2019-12-30","1")</f>
        <v>-4.1095890400000004</v>
      </c>
      <c r="H2517" s="11">
        <f>[1]!EM_S_FA_YOY_OR(B2517,E2517)</f>
        <v>20.172803027499999</v>
      </c>
      <c r="I2517" s="11">
        <f>[1]!EM_S_FA_GROSSPROFITMARGIN(B2517,E2517)</f>
        <v>18.7438489669</v>
      </c>
      <c r="J2517" s="11">
        <f>[1]!EM_S_FA_NETPROFITMARGIN(B2517,E2517)</f>
        <v>9.3205487102000006</v>
      </c>
      <c r="K2517" s="10">
        <f>[1]!EM_S_FA_ASSETSTURN(B2517,E2517)</f>
        <v>1.02886755359</v>
      </c>
      <c r="L2517" s="12">
        <f>[1]!EM_HKS_VAL_MV(B2517,"2019-12-31","2")</f>
        <v>11987040876.879999</v>
      </c>
      <c r="M2517">
        <f>[1]!EM_S_VAL_PETTMDEDUCTED(B2517,E2517)</f>
        <v>12.40777508257</v>
      </c>
      <c r="N2517" s="7">
        <f>[1]!EM_S_VAL_PBGOODWILLDEDUCTED(B2517,E2517)</f>
        <v>2.7310163414622899</v>
      </c>
      <c r="O2517" s="7">
        <f>[1]!EM_S_VAL_PS_TTM(B2517,E2517)</f>
        <v>1.20464802084461</v>
      </c>
      <c r="P2517" s="7">
        <f>[1]!EM_S_VAL_PCF_NCFTTM(B2517,E2517)</f>
        <v>-68.359545851693895</v>
      </c>
      <c r="Q2517" s="7">
        <f>[1]!EM_S_VAL_DIVIDENDYIELD2(B2517,E2517,"2019-11-29")</f>
        <v>0.27670171565497342</v>
      </c>
      <c r="T2517"/>
      <c r="U2517">
        <f>[1]!EM_S_RATIO_EPS_TTM(B2517,E2517,"1")</f>
        <v>0.73876156552014138</v>
      </c>
      <c r="AT2517" s="4" t="str">
        <f>[1]!EM_S_IPO_LISTEDDATE(B2517)</f>
        <v>1996-12-24</v>
      </c>
    </row>
    <row r="2518" spans="1:46">
      <c r="A2518">
        <v>92</v>
      </c>
      <c r="B2518" t="str">
        <f>"000411"</f>
        <v>000411</v>
      </c>
      <c r="C2518" t="s">
        <v>947</v>
      </c>
      <c r="D2518" t="str">
        <f>[1]!EM_S_INFO_INDEX_EM(B2518,"1")</f>
        <v>医药生物</v>
      </c>
      <c r="E2518" s="4">
        <f t="shared" si="39"/>
        <v>43465</v>
      </c>
      <c r="F2518" s="11">
        <f>[1]!EM_S_PQ_PCTCHANGE(B2518,"2018-01-01","2019-12-31","3")</f>
        <v>-38.206670899999999</v>
      </c>
      <c r="G2518" s="11">
        <f>[1]!EM_S_PQ_PCTCHANGE(B2518,"2018-12-31","2019-12-30","1")</f>
        <v>-4.1139240499999996</v>
      </c>
      <c r="H2518" s="11">
        <f>[1]!EM_S_FA_YOY_OR(B2518,E2518)</f>
        <v>8.3819862982999993</v>
      </c>
      <c r="I2518" s="11">
        <f>[1]!EM_S_FA_GROSSPROFITMARGIN(B2518,E2518)</f>
        <v>6.6096131394000004</v>
      </c>
      <c r="J2518" s="11">
        <f>[1]!EM_S_FA_NETPROFITMARGIN(B2518,E2518)</f>
        <v>1.0924418686999999</v>
      </c>
      <c r="K2518" s="10">
        <f>[1]!EM_S_FA_ASSETSTURN(B2518,E2518)</f>
        <v>2.2673436989010001</v>
      </c>
      <c r="L2518" s="12">
        <f>[1]!EM_HKS_VAL_MV(B2518,"2019-12-31","2")</f>
        <v>3029599008.9499998</v>
      </c>
      <c r="M2518">
        <f>[1]!EM_S_VAL_PETTMDEDUCTED(B2518,E2518)</f>
        <v>27.476437980607098</v>
      </c>
      <c r="N2518" s="7">
        <f>[1]!EM_S_VAL_PBGOODWILLDEDUCTED(B2518,E2518)</f>
        <v>3.1875622614473502</v>
      </c>
      <c r="O2518" s="7">
        <f>[1]!EM_S_VAL_PS_TTM(B2518,E2518)</f>
        <v>0.12956303572660399</v>
      </c>
      <c r="P2518" s="7">
        <f>[1]!EM_S_VAL_PCF_NCFTTM(B2518,E2518)</f>
        <v>8.6218024419982804</v>
      </c>
      <c r="Q2518" s="7">
        <f>[1]!EM_S_VAL_DIVIDENDYIELD2(B2518,E2518,"2019-11-29")</f>
        <v>0.94121054231424039</v>
      </c>
      <c r="T2518"/>
      <c r="U2518">
        <f>[1]!EM_S_RATIO_EPS_TTM(B2518,E2518,"1")</f>
        <v>0.45240493299525852</v>
      </c>
      <c r="AT2518" s="4" t="str">
        <f>[1]!EM_S_IPO_LISTEDDATE(B2518)</f>
        <v>1996-07-16</v>
      </c>
    </row>
    <row r="2519" spans="1:46">
      <c r="A2519">
        <v>805</v>
      </c>
      <c r="B2519" t="str">
        <f>"002294"</f>
        <v>002294</v>
      </c>
      <c r="C2519" t="s">
        <v>171</v>
      </c>
      <c r="D2519" t="str">
        <f>[1]!EM_S_INFO_INDEX_EM(B2519,"1")</f>
        <v>医药生物</v>
      </c>
      <c r="E2519" s="4">
        <f t="shared" si="39"/>
        <v>43465</v>
      </c>
      <c r="F2519" s="11">
        <f>[1]!EM_S_PQ_PCTCHANGE(B2519,"2018-01-01","2019-12-31","3")</f>
        <v>-53.638513860000003</v>
      </c>
      <c r="G2519" s="11">
        <f>[1]!EM_S_PQ_PCTCHANGE(B2519,"2018-12-31","2019-12-30","1")</f>
        <v>-4.1168022999999998</v>
      </c>
      <c r="H2519" s="11">
        <f>[1]!EM_S_FA_YOY_OR(B2519,E2519)</f>
        <v>11.9914871855</v>
      </c>
      <c r="I2519" s="11">
        <f>[1]!EM_S_FA_GROSSPROFITMARGIN(B2519,E2519)</f>
        <v>79.714134158099995</v>
      </c>
      <c r="J2519" s="11">
        <f>[1]!EM_S_FA_NETPROFITMARGIN(B2519,E2519)</f>
        <v>31.268692575100001</v>
      </c>
      <c r="K2519" s="10">
        <f>[1]!EM_S_FA_ASSETSTURN(B2519,E2519)</f>
        <v>0.62994347899199998</v>
      </c>
      <c r="L2519" s="12">
        <f>[1]!EM_HKS_VAL_MV(B2519,"2019-12-31","2")</f>
        <v>20857559040</v>
      </c>
      <c r="M2519">
        <f>[1]!EM_S_VAL_PETTMDEDUCTED(B2519,E2519)</f>
        <v>15.228036482630101</v>
      </c>
      <c r="N2519" s="7">
        <f>[1]!EM_S_VAL_PBGOODWILLDEDUCTED(B2519,E2519)</f>
        <v>3.4794570029882901</v>
      </c>
      <c r="O2519" s="7">
        <f>[1]!EM_S_VAL_PS_TTM(B2519,E2519)</f>
        <v>4.7639337895170399</v>
      </c>
      <c r="P2519" s="7">
        <f>[1]!EM_S_VAL_PCF_NCFTTM(B2519,E2519)</f>
        <v>-144.287283173666</v>
      </c>
      <c r="Q2519" s="7">
        <f>[1]!EM_S_VAL_DIVIDENDYIELD2(B2519,E2519,"2019-11-29")</f>
        <v>4.3103448275862073</v>
      </c>
      <c r="T2519"/>
      <c r="U2519">
        <f>[1]!EM_S_RATIO_EPS_TTM(B2519,E2519,"1")</f>
        <v>1.3940735809777289</v>
      </c>
      <c r="AT2519" s="4" t="str">
        <f>[1]!EM_S_IPO_LISTEDDATE(B2519)</f>
        <v>2009-09-10</v>
      </c>
    </row>
    <row r="2520" spans="1:46">
      <c r="A2520">
        <v>3214</v>
      </c>
      <c r="B2520" t="str">
        <f>"603016"</f>
        <v>603016</v>
      </c>
      <c r="C2520" t="s">
        <v>1392</v>
      </c>
      <c r="D2520" t="str">
        <f>[1]!EM_S_INFO_INDEX_EM(B2520,"1")</f>
        <v>电气设备</v>
      </c>
      <c r="E2520" s="4">
        <f t="shared" si="39"/>
        <v>43465</v>
      </c>
      <c r="F2520" s="11">
        <f>[1]!EM_S_PQ_PCTCHANGE(B2520,"2018-01-01","2019-12-31","3")</f>
        <v>-51.409518769999998</v>
      </c>
      <c r="G2520" s="11">
        <f>[1]!EM_S_PQ_PCTCHANGE(B2520,"2018-12-31","2019-12-30","1")</f>
        <v>-4.1317365300000004</v>
      </c>
      <c r="H2520" s="11">
        <f>[1]!EM_S_FA_YOY_OR(B2520,E2520)</f>
        <v>9.6450910823000005</v>
      </c>
      <c r="I2520" s="11">
        <f>[1]!EM_S_FA_GROSSPROFITMARGIN(B2520,E2520)</f>
        <v>38.538293551099997</v>
      </c>
      <c r="J2520" s="11">
        <f>[1]!EM_S_FA_NETPROFITMARGIN(B2520,E2520)</f>
        <v>15.3630312053</v>
      </c>
      <c r="K2520" s="10">
        <f>[1]!EM_S_FA_ASSETSTURN(B2520,E2520)</f>
        <v>0.434731592966</v>
      </c>
      <c r="L2520" s="12">
        <f>[1]!EM_HKS_VAL_MV(B2520,"2019-12-31","2")</f>
        <v>2503904000</v>
      </c>
      <c r="M2520">
        <f>[1]!EM_S_VAL_PETTMDEDUCTED(B2520,E2520)</f>
        <v>52.975669095630302</v>
      </c>
      <c r="N2520" s="7">
        <f>[1]!EM_S_VAL_PBGOODWILLDEDUCTED(B2520,E2520)</f>
        <v>2.9931853819755698</v>
      </c>
      <c r="O2520" s="7">
        <f>[1]!EM_S_VAL_PS_TTM(B2520,E2520)</f>
        <v>6.0917147914452396</v>
      </c>
      <c r="P2520" s="7">
        <f>[1]!EM_S_VAL_PCF_NCFTTM(B2520,E2520)</f>
        <v>1738.2322198163699</v>
      </c>
      <c r="Q2520" s="7">
        <f>[1]!EM_S_VAL_DIVIDENDYIELD2(B2520,E2520,"2019-11-29")</f>
        <v>2.7969924812030076</v>
      </c>
      <c r="T2520"/>
      <c r="U2520">
        <f>[1]!EM_S_RATIO_EPS_TTM(B2520,E2520,"1")</f>
        <v>0.41349424973002158</v>
      </c>
      <c r="AT2520" s="4" t="str">
        <f>[1]!EM_S_IPO_LISTEDDATE(B2520)</f>
        <v>2016-07-01</v>
      </c>
    </row>
    <row r="2521" spans="1:46">
      <c r="A2521">
        <v>2893</v>
      </c>
      <c r="B2521" t="str">
        <f>"600820"</f>
        <v>600820</v>
      </c>
      <c r="C2521" t="s">
        <v>1354</v>
      </c>
      <c r="D2521" t="str">
        <f>[1]!EM_S_INFO_INDEX_EM(B2521,"1")</f>
        <v>建筑</v>
      </c>
      <c r="E2521" s="4">
        <f t="shared" si="39"/>
        <v>43465</v>
      </c>
      <c r="F2521" s="11">
        <f>[1]!EM_S_PQ_PCTCHANGE(B2521,"2018-01-01","2019-12-31","3")</f>
        <v>-23.261555130000001</v>
      </c>
      <c r="G2521" s="11">
        <f>[1]!EM_S_PQ_PCTCHANGE(B2521,"2018-12-31","2019-12-30","1")</f>
        <v>-4.1533546299999999</v>
      </c>
      <c r="H2521" s="11">
        <f>[1]!EM_S_FA_YOY_OR(B2521,E2521)</f>
        <v>18.206317414200001</v>
      </c>
      <c r="I2521" s="11">
        <f>[1]!EM_S_FA_GROSSPROFITMARGIN(B2521,E2521)</f>
        <v>12.581836706000001</v>
      </c>
      <c r="J2521" s="11">
        <f>[1]!EM_S_FA_NETPROFITMARGIN(B2521,E2521)</f>
        <v>5.3601056440999999</v>
      </c>
      <c r="K2521" s="10">
        <f>[1]!EM_S_FA_ASSETSTURN(B2521,E2521)</f>
        <v>0.51088239451200002</v>
      </c>
      <c r="L2521" s="12">
        <f>[1]!EM_HKS_VAL_MV(B2521,"2019-12-31","2")</f>
        <v>18990340407.759998</v>
      </c>
      <c r="M2521">
        <f>[1]!EM_S_VAL_PETTMDEDUCTED(B2521,E2521)</f>
        <v>10.922243878560501</v>
      </c>
      <c r="N2521" s="7">
        <f>[1]!EM_S_VAL_PBGOODWILLDEDUCTED(B2521,E2521)</f>
        <v>0.96506696916519297</v>
      </c>
      <c r="O2521" s="7">
        <f>[1]!EM_S_VAL_PS_TTM(B2521,E2521)</f>
        <v>0.56191654134246405</v>
      </c>
      <c r="P2521" s="7">
        <f>[1]!EM_S_VAL_PCF_NCFTTM(B2521,E2521)</f>
        <v>-53.3755736470752</v>
      </c>
      <c r="Q2521" s="7">
        <f>[1]!EM_S_VAL_DIVIDENDYIELD2(B2521,E2521,"2019-11-29")</f>
        <v>3.231292517006803</v>
      </c>
      <c r="T2521"/>
      <c r="U2521">
        <f>[1]!EM_S_RATIO_EPS_TTM(B2521,E2521,"1")</f>
        <v>0.6293582333301293</v>
      </c>
      <c r="AT2521" s="4" t="str">
        <f>[1]!EM_S_IPO_LISTEDDATE(B2521)</f>
        <v>1994-01-28</v>
      </c>
    </row>
    <row r="2522" spans="1:46">
      <c r="A2522">
        <v>1328</v>
      </c>
      <c r="B2522" t="str">
        <f>"002825"</f>
        <v>002825</v>
      </c>
      <c r="C2522" t="s">
        <v>2276</v>
      </c>
      <c r="D2522" t="str">
        <f>[1]!EM_S_INFO_INDEX_EM(B2522,"1")</f>
        <v>轻工制造</v>
      </c>
      <c r="E2522" s="4">
        <f t="shared" si="39"/>
        <v>43465</v>
      </c>
      <c r="F2522" s="11">
        <f>[1]!EM_S_PQ_PCTCHANGE(B2522,"2018-01-01","2019-12-31","3")</f>
        <v>-24.94798119</v>
      </c>
      <c r="G2522" s="11">
        <f>[1]!EM_S_PQ_PCTCHANGE(B2522,"2018-12-31","2019-12-30","1")</f>
        <v>-4.1786743499999996</v>
      </c>
      <c r="H2522" s="11">
        <f>[1]!EM_S_FA_YOY_OR(B2522,E2522)</f>
        <v>22.659150419300001</v>
      </c>
      <c r="I2522" s="11">
        <f>[1]!EM_S_FA_GROSSPROFITMARGIN(B2522,E2522)</f>
        <v>18.894702894400002</v>
      </c>
      <c r="J2522" s="11">
        <f>[1]!EM_S_FA_NETPROFITMARGIN(B2522,E2522)</f>
        <v>7.8611592813</v>
      </c>
      <c r="K2522" s="10">
        <f>[1]!EM_S_FA_ASSETSTURN(B2522,E2522)</f>
        <v>0.99031546992700004</v>
      </c>
      <c r="L2522" s="12">
        <f>[1]!EM_HKS_VAL_MV(B2522,"2019-12-31","2")</f>
        <v>1941391767.5999999</v>
      </c>
      <c r="M2522">
        <f>[1]!EM_S_VAL_PETTMDEDUCTED(B2522,E2522)</f>
        <v>36.905949115569697</v>
      </c>
      <c r="N2522" s="7">
        <f>[1]!EM_S_VAL_PBGOODWILLDEDUCTED(B2522,E2522)</f>
        <v>3.1327513669801301</v>
      </c>
      <c r="O2522" s="7">
        <f>[1]!EM_S_VAL_PS_TTM(B2522,E2522)</f>
        <v>2.5459522270281898</v>
      </c>
      <c r="P2522" s="7">
        <f>[1]!EM_S_VAL_PCF_NCFTTM(B2522,E2522)</f>
        <v>-29.118090017960501</v>
      </c>
      <c r="Q2522" s="7">
        <f>[1]!EM_S_VAL_DIVIDENDYIELD2(B2522,E2522,"2019-11-29")</f>
        <v>0.7872612417292526</v>
      </c>
      <c r="T2522"/>
      <c r="U2522">
        <f>[1]!EM_S_RATIO_EPS_TTM(B2522,E2522,"1")</f>
        <v>0.44186963869323043</v>
      </c>
      <c r="AT2522" s="4" t="str">
        <f>[1]!EM_S_IPO_LISTEDDATE(B2522)</f>
        <v>2016-11-29</v>
      </c>
    </row>
    <row r="2523" spans="1:46">
      <c r="A2523">
        <v>1571</v>
      </c>
      <c r="B2523" t="str">
        <f>"300146"</f>
        <v>300146</v>
      </c>
      <c r="C2523" t="s">
        <v>152</v>
      </c>
      <c r="D2523" t="str">
        <f>[1]!EM_S_INFO_INDEX_EM(B2523,"1")</f>
        <v>食品饮料</v>
      </c>
      <c r="E2523" s="4">
        <f t="shared" si="39"/>
        <v>43465</v>
      </c>
      <c r="F2523" s="11">
        <f>[1]!EM_S_PQ_PCTCHANGE(B2523,"2018-01-01","2019-12-31","3")</f>
        <v>13.026530429999999</v>
      </c>
      <c r="G2523" s="11">
        <f>[1]!EM_S_PQ_PCTCHANGE(B2523,"2018-12-31","2019-12-30","1")</f>
        <v>-4.1789287799999997</v>
      </c>
      <c r="H2523" s="11">
        <f>[1]!EM_S_FA_YOY_OR(B2523,E2523)</f>
        <v>39.860552844799997</v>
      </c>
      <c r="I2523" s="11">
        <f>[1]!EM_S_FA_GROSSPROFITMARGIN(B2523,E2523)</f>
        <v>67.662737587699993</v>
      </c>
      <c r="J2523" s="11">
        <f>[1]!EM_S_FA_NETPROFITMARGIN(B2523,E2523)</f>
        <v>20.879765919699999</v>
      </c>
      <c r="K2523" s="10">
        <f>[1]!EM_S_FA_ASSETSTURN(B2523,E2523)</f>
        <v>0.54712783511899998</v>
      </c>
      <c r="L2523" s="12">
        <f>[1]!EM_HKS_VAL_MV(B2523,"2019-12-31","2")</f>
        <v>25778803704.66</v>
      </c>
      <c r="M2523">
        <f>[1]!EM_S_VAL_PETTMDEDUCTED(B2523,E2523)</f>
        <v>25.865077030678101</v>
      </c>
      <c r="N2523" s="7">
        <f>[1]!EM_S_VAL_PBGOODWILLDEDUCTED(B2523,E2523)</f>
        <v>7.2838018051780997</v>
      </c>
      <c r="O2523" s="7">
        <f>[1]!EM_S_VAL_PS_TTM(B2523,E2523)</f>
        <v>5.9672458913149198</v>
      </c>
      <c r="P2523" s="7">
        <f>[1]!EM_S_VAL_PCF_NCFTTM(B2523,E2523)</f>
        <v>-15.5344949898394</v>
      </c>
      <c r="Q2523" s="7">
        <f>[1]!EM_S_VAL_DIVIDENDYIELD2(B2523,E2523,"2019-11-29")</f>
        <v>3.1743068555786049</v>
      </c>
      <c r="T2523"/>
      <c r="U2523">
        <f>[1]!EM_S_RATIO_EPS_TTM(B2523,E2523,"1")</f>
        <v>0.68230718967691217</v>
      </c>
      <c r="AT2523" s="4" t="str">
        <f>[1]!EM_S_IPO_LISTEDDATE(B2523)</f>
        <v>2010-12-15</v>
      </c>
    </row>
    <row r="2524" spans="1:46">
      <c r="A2524">
        <v>3145</v>
      </c>
      <c r="B2524" t="str">
        <f>"601718"</f>
        <v>601718</v>
      </c>
      <c r="C2524" t="s">
        <v>2409</v>
      </c>
      <c r="D2524" t="str">
        <f>[1]!EM_S_INFO_INDEX_EM(B2524,"1")</f>
        <v>纺织服装</v>
      </c>
      <c r="E2524" s="4">
        <f t="shared" si="39"/>
        <v>43465</v>
      </c>
      <c r="F2524" s="11">
        <f>[1]!EM_S_PQ_PCTCHANGE(B2524,"2018-01-01","2019-12-31","3")</f>
        <v>-49.415351260000001</v>
      </c>
      <c r="G2524" s="11">
        <f>[1]!EM_S_PQ_PCTCHANGE(B2524,"2018-12-31","2019-12-30","1")</f>
        <v>-4.1791044800000003</v>
      </c>
      <c r="H2524" s="11">
        <f>[1]!EM_S_FA_YOY_OR(B2524,E2524)</f>
        <v>-10.8606631874</v>
      </c>
      <c r="I2524" s="11">
        <f>[1]!EM_S_FA_GROSSPROFITMARGIN(B2524,E2524)</f>
        <v>8.8050522664000006</v>
      </c>
      <c r="J2524" s="11">
        <f>[1]!EM_S_FA_NETPROFITMARGIN(B2524,E2524)</f>
        <v>-0.34465196539999998</v>
      </c>
      <c r="K2524" s="10">
        <f>[1]!EM_S_FA_ASSETSTURN(B2524,E2524)</f>
        <v>0.718713366352</v>
      </c>
      <c r="L2524" s="12">
        <f>[1]!EM_HKS_VAL_MV(B2524,"2019-12-31","2")</f>
        <v>14316711857.040001</v>
      </c>
      <c r="M2524">
        <f>[1]!EM_S_VAL_PETTMDEDUCTED(B2524,E2524)</f>
        <v>-63.251742696297697</v>
      </c>
      <c r="N2524" s="7">
        <f>[1]!EM_S_VAL_PBGOODWILLDEDUCTED(B2524,E2524)</f>
        <v>0.82115291935507195</v>
      </c>
      <c r="O2524" s="7">
        <f>[1]!EM_S_VAL_PS_TTM(B2524,E2524)</f>
        <v>0.63437397769770298</v>
      </c>
      <c r="P2524" s="7">
        <f>[1]!EM_S_VAL_PCF_NCFTTM(B2524,E2524)</f>
        <v>-26.807272238083499</v>
      </c>
      <c r="Q2524" s="7">
        <f>[1]!EM_S_VAL_DIVIDENDYIELD2(B2524,E2524,"2019-11-29")</f>
        <v>0.31545741324921134</v>
      </c>
      <c r="T2524"/>
      <c r="U2524">
        <f>[1]!EM_S_RATIO_EPS_TTM(B2524,E2524,"1")</f>
        <v>-1.5476927747612832E-2</v>
      </c>
      <c r="AT2524" s="4" t="str">
        <f>[1]!EM_S_IPO_LISTEDDATE(B2524)</f>
        <v>2010-08-16</v>
      </c>
    </row>
    <row r="2525" spans="1:46">
      <c r="A2525">
        <v>1289</v>
      </c>
      <c r="B2525" t="str">
        <f>"002782"</f>
        <v>002782</v>
      </c>
      <c r="C2525" t="s">
        <v>1260</v>
      </c>
      <c r="D2525" t="str">
        <f>[1]!EM_S_INFO_INDEX_EM(B2525,"1")</f>
        <v>电子设备</v>
      </c>
      <c r="E2525" s="4">
        <f t="shared" si="39"/>
        <v>43465</v>
      </c>
      <c r="F2525" s="11">
        <f>[1]!EM_S_PQ_PCTCHANGE(B2525,"2018-01-01","2019-12-31","3")</f>
        <v>-22.5605777</v>
      </c>
      <c r="G2525" s="11">
        <f>[1]!EM_S_PQ_PCTCHANGE(B2525,"2018-12-31","2019-12-30","1")</f>
        <v>-4.1894353400000002</v>
      </c>
      <c r="H2525" s="11">
        <f>[1]!EM_S_FA_YOY_OR(B2525,E2525)</f>
        <v>18.3274706931</v>
      </c>
      <c r="I2525" s="11">
        <f>[1]!EM_S_FA_GROSSPROFITMARGIN(B2525,E2525)</f>
        <v>23.440883507199999</v>
      </c>
      <c r="J2525" s="11">
        <f>[1]!EM_S_FA_NETPROFITMARGIN(B2525,E2525)</f>
        <v>7.7727105560999998</v>
      </c>
      <c r="K2525" s="10">
        <f>[1]!EM_S_FA_ASSETSTURN(B2525,E2525)</f>
        <v>0.97680371191100002</v>
      </c>
      <c r="L2525" s="12">
        <f>[1]!EM_HKS_VAL_MV(B2525,"2019-12-31","2")</f>
        <v>4519860000</v>
      </c>
      <c r="M2525">
        <f>[1]!EM_S_VAL_PETTMDEDUCTED(B2525,E2525)</f>
        <v>59.621526369966503</v>
      </c>
      <c r="N2525" s="7">
        <f>[1]!EM_S_VAL_PBGOODWILLDEDUCTED(B2525,E2525)</f>
        <v>5.6208691061843101</v>
      </c>
      <c r="O2525" s="7">
        <f>[1]!EM_S_VAL_PS_TTM(B2525,E2525)</f>
        <v>4.3090026876261698</v>
      </c>
      <c r="P2525" s="7">
        <f>[1]!EM_S_VAL_PCF_NCFTTM(B2525,E2525)</f>
        <v>-1599.77389172827</v>
      </c>
      <c r="Q2525" s="7">
        <f>[1]!EM_S_VAL_DIVIDENDYIELD2(B2525,E2525,"2019-11-29")</f>
        <v>0.99700897308075775</v>
      </c>
      <c r="T2525"/>
      <c r="U2525">
        <f>[1]!EM_S_RATIO_EPS_TTM(B2525,E2525,"1")</f>
        <v>0.19952860089201879</v>
      </c>
      <c r="AT2525" s="4" t="str">
        <f>[1]!EM_S_IPO_LISTEDDATE(B2525)</f>
        <v>2015-12-22</v>
      </c>
    </row>
    <row r="2526" spans="1:46">
      <c r="A2526">
        <v>527</v>
      </c>
      <c r="B2526" t="str">
        <f>"002016"</f>
        <v>002016</v>
      </c>
      <c r="C2526" t="s">
        <v>57</v>
      </c>
      <c r="D2526" t="str">
        <f>[1]!EM_S_INFO_INDEX_EM(B2526,"1")</f>
        <v>房地产</v>
      </c>
      <c r="E2526" s="4">
        <f t="shared" si="39"/>
        <v>43465</v>
      </c>
      <c r="F2526" s="11">
        <f>[1]!EM_S_PQ_PCTCHANGE(B2526,"2018-01-01","2019-12-31","3")</f>
        <v>-11.38421232</v>
      </c>
      <c r="G2526" s="11">
        <f>[1]!EM_S_PQ_PCTCHANGE(B2526,"2018-12-31","2019-12-30","1")</f>
        <v>-4.2128603099999999</v>
      </c>
      <c r="H2526" s="11">
        <f>[1]!EM_S_FA_YOY_OR(B2526,E2526)</f>
        <v>-24.209640609499999</v>
      </c>
      <c r="I2526" s="11">
        <f>[1]!EM_S_FA_GROSSPROFITMARGIN(B2526,E2526)</f>
        <v>61.809432394799998</v>
      </c>
      <c r="J2526" s="11">
        <f>[1]!EM_S_FA_NETPROFITMARGIN(B2526,E2526)</f>
        <v>34.044486040400002</v>
      </c>
      <c r="K2526" s="10">
        <f>[1]!EM_S_FA_ASSETSTURN(B2526,E2526)</f>
        <v>0.32605267686700001</v>
      </c>
      <c r="L2526" s="12">
        <f>[1]!EM_HKS_VAL_MV(B2526,"2019-12-31","2")</f>
        <v>7006768173.1199999</v>
      </c>
      <c r="M2526">
        <f>[1]!EM_S_VAL_PETTMDEDUCTED(B2526,E2526)</f>
        <v>7.1959006537632204</v>
      </c>
      <c r="N2526" s="7">
        <f>[1]!EM_S_VAL_PBGOODWILLDEDUCTED(B2526,E2526)</f>
        <v>2.7177023185080502</v>
      </c>
      <c r="O2526" s="7">
        <f>[1]!EM_S_VAL_PS_TTM(B2526,E2526)</f>
        <v>2.4685428327500598</v>
      </c>
      <c r="P2526" s="7">
        <f>[1]!EM_S_VAL_PCF_NCFTTM(B2526,E2526)</f>
        <v>-13.444798362514099</v>
      </c>
      <c r="Q2526" s="7">
        <f>[1]!EM_S_VAL_DIVIDENDYIELD2(B2526,E2526,"2019-11-29")</f>
        <v>5.9880239520958085</v>
      </c>
      <c r="U2526">
        <f>[1]!EM_S_RATIO_EPS_TTM(B2526,E2526,"1")</f>
        <v>0.98406909597554226</v>
      </c>
      <c r="AT2526" s="4" t="str">
        <f>[1]!EM_S_IPO_LISTEDDATE(B2526)</f>
        <v>2004-07-08</v>
      </c>
    </row>
    <row r="2527" spans="1:46">
      <c r="A2527">
        <v>481</v>
      </c>
      <c r="B2527" t="str">
        <f>"000968"</f>
        <v>000968</v>
      </c>
      <c r="C2527" t="s">
        <v>647</v>
      </c>
      <c r="D2527" t="str">
        <f>[1]!EM_S_INFO_INDEX_EM(B2527,"1")</f>
        <v>化石能源</v>
      </c>
      <c r="E2527" s="4">
        <f t="shared" si="39"/>
        <v>43465</v>
      </c>
      <c r="F2527" s="11">
        <f>[1]!EM_S_PQ_PCTCHANGE(B2527,"2018-01-01","2019-12-31","3")</f>
        <v>-38.613421019999997</v>
      </c>
      <c r="G2527" s="11">
        <f>[1]!EM_S_PQ_PCTCHANGE(B2527,"2018-12-31","2019-12-30","1")</f>
        <v>-4.2253521100000002</v>
      </c>
      <c r="H2527" s="11">
        <f>[1]!EM_S_FA_YOY_OR(B2527,E2527)</f>
        <v>22.567669216300001</v>
      </c>
      <c r="I2527" s="11">
        <f>[1]!EM_S_FA_GROSSPROFITMARGIN(B2527,E2527)</f>
        <v>38.308784486</v>
      </c>
      <c r="J2527" s="11">
        <f>[1]!EM_S_FA_NETPROFITMARGIN(B2527,E2527)</f>
        <v>28.604364277799998</v>
      </c>
      <c r="K2527" s="10">
        <f>[1]!EM_S_FA_ASSETSTURN(B2527,E2527)</f>
        <v>0.30438407962699998</v>
      </c>
      <c r="L2527" s="12">
        <f>[1]!EM_HKS_VAL_MV(B2527,"2019-12-31","2")</f>
        <v>9926577291.6000004</v>
      </c>
      <c r="M2527">
        <f>[1]!EM_S_VAL_PETTMDEDUCTED(B2527,E2527)</f>
        <v>16.065537584634001</v>
      </c>
      <c r="N2527" s="7">
        <f>[1]!EM_S_VAL_PBGOODWILLDEDUCTED(B2527,E2527)</f>
        <v>2.6830705091938398</v>
      </c>
      <c r="O2527" s="7">
        <f>[1]!EM_S_VAL_PS_TTM(B2527,E2527)</f>
        <v>4.73907881812264</v>
      </c>
      <c r="P2527" s="7">
        <f>[1]!EM_S_VAL_PCF_NCFTTM(B2527,E2527)</f>
        <v>382.684973552629</v>
      </c>
      <c r="Q2527" s="7">
        <f>[1]!EM_S_VAL_DIVIDENDYIELD2(B2527,E2527,"2019-11-29")</f>
        <v>0</v>
      </c>
      <c r="T2527"/>
      <c r="U2527">
        <f>[1]!EM_S_RATIO_EPS_TTM(B2527,E2527,"1")</f>
        <v>0.70138212923362919</v>
      </c>
      <c r="AT2527" s="4" t="str">
        <f>[1]!EM_S_IPO_LISTEDDATE(B2527)</f>
        <v>2000-06-22</v>
      </c>
    </row>
    <row r="2528" spans="1:46">
      <c r="A2528">
        <v>1386</v>
      </c>
      <c r="B2528" t="str">
        <f>"002887"</f>
        <v>002887</v>
      </c>
      <c r="C2528" t="s">
        <v>1325</v>
      </c>
      <c r="D2528" t="str">
        <f>[1]!EM_S_INFO_INDEX_EM(B2528,"1")</f>
        <v>建筑</v>
      </c>
      <c r="E2528" s="4">
        <f t="shared" si="39"/>
        <v>43465</v>
      </c>
      <c r="F2528" s="11">
        <f>[1]!EM_S_PQ_PCTCHANGE(B2528,"2018-01-01","2019-12-31","3")</f>
        <v>-46.764869760000003</v>
      </c>
      <c r="G2528" s="11">
        <f>[1]!EM_S_PQ_PCTCHANGE(B2528,"2018-12-31","2019-12-30","1")</f>
        <v>-4.2271293400000003</v>
      </c>
      <c r="H2528" s="11">
        <f>[1]!EM_S_FA_YOY_OR(B2528,E2528)</f>
        <v>-26.560174373300001</v>
      </c>
      <c r="I2528" s="11">
        <f>[1]!EM_S_FA_GROSSPROFITMARGIN(B2528,E2528)</f>
        <v>39.132856804799999</v>
      </c>
      <c r="J2528" s="11">
        <f>[1]!EM_S_FA_NETPROFITMARGIN(B2528,E2528)</f>
        <v>30.4082216366</v>
      </c>
      <c r="K2528" s="10">
        <f>[1]!EM_S_FA_ASSETSTURN(B2528,E2528)</f>
        <v>0.23456070613400001</v>
      </c>
      <c r="L2528" s="12">
        <f>[1]!EM_HKS_VAL_MV(B2528,"2019-12-31","2")</f>
        <v>3196960000</v>
      </c>
      <c r="M2528">
        <f>[1]!EM_S_VAL_PETTMDEDUCTED(B2528,E2528)</f>
        <v>20.180307416539598</v>
      </c>
      <c r="N2528" s="7">
        <f>[1]!EM_S_VAL_PBGOODWILLDEDUCTED(B2528,E2528)</f>
        <v>1.4580682761803501</v>
      </c>
      <c r="O2528" s="7">
        <f>[1]!EM_S_VAL_PS_TTM(B2528,E2528)</f>
        <v>4.1608540038018997</v>
      </c>
      <c r="P2528" s="7">
        <f>[1]!EM_S_VAL_PCF_NCFTTM(B2528,E2528)</f>
        <v>15.585744596545901</v>
      </c>
      <c r="Q2528" s="7">
        <f>[1]!EM_S_VAL_DIVIDENDYIELD2(B2528,E2528,"2019-11-29")</f>
        <v>1.0297600659046442</v>
      </c>
      <c r="T2528"/>
      <c r="U2528">
        <f>[1]!EM_S_RATIO_EPS_TTM(B2528,E2528,"1")</f>
        <v>0.95406434562500009</v>
      </c>
      <c r="AT2528" s="4" t="str">
        <f>[1]!EM_S_IPO_LISTEDDATE(B2528)</f>
        <v>2017-08-01</v>
      </c>
    </row>
    <row r="2529" spans="1:46">
      <c r="A2529">
        <v>3332</v>
      </c>
      <c r="B2529" t="str">
        <f>"603268"</f>
        <v>603268</v>
      </c>
      <c r="C2529" t="s">
        <v>1418</v>
      </c>
      <c r="D2529" t="str">
        <f>[1]!EM_S_INFO_INDEX_EM(B2529,"1")</f>
        <v>建材</v>
      </c>
      <c r="E2529" s="4">
        <f t="shared" si="39"/>
        <v>43465</v>
      </c>
      <c r="F2529" s="11">
        <f>[1]!EM_S_PQ_PCTCHANGE(B2529,"2018-01-01","2019-12-31","3")</f>
        <v>-20.92042738</v>
      </c>
      <c r="G2529" s="11">
        <f>[1]!EM_S_PQ_PCTCHANGE(B2529,"2018-12-31","2019-12-30","1")</f>
        <v>-4.2553191500000001</v>
      </c>
      <c r="H2529" s="11">
        <f>[1]!EM_S_FA_YOY_OR(B2529,E2529)</f>
        <v>4.0392929106000004</v>
      </c>
      <c r="I2529" s="11">
        <f>[1]!EM_S_FA_GROSSPROFITMARGIN(B2529,E2529)</f>
        <v>37.598603242300001</v>
      </c>
      <c r="J2529" s="11">
        <f>[1]!EM_S_FA_NETPROFITMARGIN(B2529,E2529)</f>
        <v>9.3165469765999998</v>
      </c>
      <c r="K2529" s="10">
        <f>[1]!EM_S_FA_ASSETSTURN(B2529,E2529)</f>
        <v>0.47604405751500001</v>
      </c>
      <c r="L2529" s="12">
        <f>[1]!EM_HKS_VAL_MV(B2529,"2019-12-31","2")</f>
        <v>1985459112</v>
      </c>
      <c r="M2529">
        <f>[1]!EM_S_VAL_PETTMDEDUCTED(B2529,E2529)</f>
        <v>44.261362951402901</v>
      </c>
      <c r="N2529" s="7">
        <f>[1]!EM_S_VAL_PBGOODWILLDEDUCTED(B2529,E2529)</f>
        <v>6.4068108171657903</v>
      </c>
      <c r="O2529" s="7">
        <f>[1]!EM_S_VAL_PS_TTM(B2529,E2529)</f>
        <v>3.3885418736995301</v>
      </c>
      <c r="P2529" s="7">
        <f>[1]!EM_S_VAL_PCF_NCFTTM(B2529,E2529)</f>
        <v>-38.465588587375301</v>
      </c>
      <c r="Q2529" s="7">
        <f>[1]!EM_S_VAL_DIVIDENDYIELD2(B2529,E2529,"2019-11-29")</f>
        <v>0.60176754742427008</v>
      </c>
      <c r="T2529"/>
      <c r="U2529">
        <f>[1]!EM_S_RATIO_EPS_TTM(B2529,E2529,"1")</f>
        <v>0.30067521096776667</v>
      </c>
      <c r="AT2529" s="4" t="str">
        <f>[1]!EM_S_IPO_LISTEDDATE(B2529)</f>
        <v>2015-03-19</v>
      </c>
    </row>
    <row r="2530" spans="1:46">
      <c r="A2530">
        <v>2528</v>
      </c>
      <c r="B2530" t="str">
        <f>"600420"</f>
        <v>600420</v>
      </c>
      <c r="C2530" t="s">
        <v>912</v>
      </c>
      <c r="D2530" t="str">
        <f>[1]!EM_S_INFO_INDEX_EM(B2530,"1")</f>
        <v>医药生物</v>
      </c>
      <c r="E2530" s="4">
        <f t="shared" si="39"/>
        <v>43465</v>
      </c>
      <c r="F2530" s="11">
        <f>[1]!EM_S_PQ_PCTCHANGE(B2530,"2018-01-01","2019-12-31","3")</f>
        <v>-28.608208789999999</v>
      </c>
      <c r="G2530" s="11">
        <f>[1]!EM_S_PQ_PCTCHANGE(B2530,"2018-12-31","2019-12-30","1")</f>
        <v>-4.2669584199999999</v>
      </c>
      <c r="H2530" s="11">
        <f>[1]!EM_S_FA_YOY_OR(B2530,E2530)</f>
        <v>32.908061883999999</v>
      </c>
      <c r="I2530" s="11">
        <f>[1]!EM_S_FA_GROSSPROFITMARGIN(B2530,E2530)</f>
        <v>48.776206424500003</v>
      </c>
      <c r="J2530" s="11">
        <f>[1]!EM_S_FA_NETPROFITMARGIN(B2530,E2530)</f>
        <v>9.4514639531999993</v>
      </c>
      <c r="K2530" s="10">
        <f>[1]!EM_S_FA_ASSETSTURN(B2530,E2530)</f>
        <v>0.71572474786899998</v>
      </c>
      <c r="L2530" s="12">
        <f>[1]!EM_HKS_VAL_MV(B2530,"2019-12-31","2")</f>
        <v>9180845924.3999996</v>
      </c>
      <c r="M2530">
        <f>[1]!EM_S_VAL_PETTMDEDUCTED(B2530,E2530)</f>
        <v>16.997910914914399</v>
      </c>
      <c r="N2530" s="7">
        <f>[1]!EM_S_VAL_PBGOODWILLDEDUCTED(B2530,E2530)</f>
        <v>1.49228855428829</v>
      </c>
      <c r="O2530" s="7">
        <f>[1]!EM_S_VAL_PS_TTM(B2530,E2530)</f>
        <v>0.92684326742381296</v>
      </c>
      <c r="P2530" s="7">
        <f>[1]!EM_S_VAL_PCF_NCFTTM(B2530,E2530)</f>
        <v>10.5994418216191</v>
      </c>
      <c r="Q2530" s="7">
        <f>[1]!EM_S_VAL_DIVIDENDYIELD2(B2530,E2530,"2019-11-29")</f>
        <v>1.2171853540249782</v>
      </c>
      <c r="T2530"/>
      <c r="U2530">
        <f>[1]!EM_S_RATIO_EPS_TTM(B2530,E2530,"1")</f>
        <v>0.66796416381643464</v>
      </c>
      <c r="AT2530" s="4" t="str">
        <f>[1]!EM_S_IPO_LISTEDDATE(B2530)</f>
        <v>2004-06-16</v>
      </c>
    </row>
    <row r="2531" spans="1:46">
      <c r="A2531">
        <v>578</v>
      </c>
      <c r="B2531" t="str">
        <f>"002067"</f>
        <v>002067</v>
      </c>
      <c r="C2531" t="s">
        <v>990</v>
      </c>
      <c r="D2531" t="str">
        <f>[1]!EM_S_INFO_INDEX_EM(B2531,"1")</f>
        <v>轻工制造</v>
      </c>
      <c r="E2531" s="4">
        <f t="shared" si="39"/>
        <v>43465</v>
      </c>
      <c r="F2531" s="11">
        <f>[1]!EM_S_PQ_PCTCHANGE(B2531,"2018-01-01","2019-12-31","3")</f>
        <v>-42.308299499999997</v>
      </c>
      <c r="G2531" s="11">
        <f>[1]!EM_S_PQ_PCTCHANGE(B2531,"2018-12-31","2019-12-30","1")</f>
        <v>-4.2735042700000001</v>
      </c>
      <c r="H2531" s="11">
        <f>[1]!EM_S_FA_YOY_OR(B2531,E2531)</f>
        <v>10.7939598276</v>
      </c>
      <c r="I2531" s="11">
        <f>[1]!EM_S_FA_GROSSPROFITMARGIN(B2531,E2531)</f>
        <v>12.607149761700001</v>
      </c>
      <c r="J2531" s="11">
        <f>[1]!EM_S_FA_NETPROFITMARGIN(B2531,E2531)</f>
        <v>6.0245603060999997</v>
      </c>
      <c r="K2531" s="10">
        <f>[1]!EM_S_FA_ASSETSTURN(B2531,E2531)</f>
        <v>0.93679962516899995</v>
      </c>
      <c r="L2531" s="12">
        <f>[1]!EM_HKS_VAL_MV(B2531,"2019-12-31","2")</f>
        <v>3711411340</v>
      </c>
      <c r="M2531">
        <f>[1]!EM_S_VAL_PETTMDEDUCTED(B2531,E2531)</f>
        <v>8.4673986213008892</v>
      </c>
      <c r="N2531" s="7">
        <f>[1]!EM_S_VAL_PBGOODWILLDEDUCTED(B2531,E2531)</f>
        <v>0.92602094093489595</v>
      </c>
      <c r="O2531" s="7">
        <f>[1]!EM_S_VAL_PS_TTM(B2531,E2531)</f>
        <v>0.66377207861404197</v>
      </c>
      <c r="P2531" s="7">
        <f>[1]!EM_S_VAL_PCF_NCFTTM(B2531,E2531)</f>
        <v>-344.29022791478502</v>
      </c>
      <c r="Q2531" s="7">
        <f>[1]!EM_S_VAL_DIVIDENDYIELD2(B2531,E2531,"2019-11-29")</f>
        <v>0.65359477124183007</v>
      </c>
      <c r="T2531"/>
      <c r="U2531">
        <f>[1]!EM_S_RATIO_EPS_TTM(B2531,E2531,"1")</f>
        <v>0.30174571122596183</v>
      </c>
      <c r="AT2531" s="4" t="str">
        <f>[1]!EM_S_IPO_LISTEDDATE(B2531)</f>
        <v>2006-09-15</v>
      </c>
    </row>
    <row r="2532" spans="1:46">
      <c r="A2532">
        <v>3120</v>
      </c>
      <c r="B2532" t="str">
        <f>"601579"</f>
        <v>601579</v>
      </c>
      <c r="C2532" t="s">
        <v>918</v>
      </c>
      <c r="D2532" t="str">
        <f>[1]!EM_S_INFO_INDEX_EM(B2532,"1")</f>
        <v>食品饮料</v>
      </c>
      <c r="E2532" s="4">
        <f t="shared" si="39"/>
        <v>43465</v>
      </c>
      <c r="F2532" s="11">
        <f>[1]!EM_S_PQ_PCTCHANGE(B2532,"2018-01-01","2019-12-31","3")</f>
        <v>-25.86315025</v>
      </c>
      <c r="G2532" s="11">
        <f>[1]!EM_S_PQ_PCTCHANGE(B2532,"2018-12-31","2019-12-30","1")</f>
        <v>-4.2744656900000004</v>
      </c>
      <c r="H2532" s="11">
        <f>[1]!EM_S_FA_YOY_OR(B2532,E2532)</f>
        <v>-7.3649376447000003</v>
      </c>
      <c r="I2532" s="11">
        <f>[1]!EM_S_FA_GROSSPROFITMARGIN(B2532,E2532)</f>
        <v>44.565109273200001</v>
      </c>
      <c r="J2532" s="11">
        <f>[1]!EM_S_FA_NETPROFITMARGIN(B2532,E2532)</f>
        <v>14.9339839056</v>
      </c>
      <c r="K2532" s="10">
        <f>[1]!EM_S_FA_ASSETSTURN(B2532,E2532)</f>
        <v>0.285923664583</v>
      </c>
      <c r="L2532" s="12">
        <f>[1]!EM_HKS_VAL_MV(B2532,"2019-12-31","2")</f>
        <v>4257401600</v>
      </c>
      <c r="M2532">
        <f>[1]!EM_S_VAL_PETTMDEDUCTED(B2532,E2532)</f>
        <v>25.954364127874999</v>
      </c>
      <c r="N2532" s="7">
        <f>[1]!EM_S_VAL_PBGOODWILLDEDUCTED(B2532,E2532)</f>
        <v>1.5244002561994501</v>
      </c>
      <c r="O2532" s="7">
        <f>[1]!EM_S_VAL_PS_TTM(B2532,E2532)</f>
        <v>3.3755866949058002</v>
      </c>
      <c r="P2532" s="7">
        <f>[1]!EM_S_VAL_PCF_NCFTTM(B2532,E2532)</f>
        <v>190.11436536844201</v>
      </c>
      <c r="Q2532" s="7">
        <f>[1]!EM_S_VAL_DIVIDENDYIELD2(B2532,E2532,"2019-11-29")</f>
        <v>1.3017751479289943</v>
      </c>
      <c r="T2532"/>
      <c r="U2532">
        <f>[1]!EM_S_RATIO_EPS_TTM(B2532,E2532,"1")</f>
        <v>0.35756992285266209</v>
      </c>
      <c r="AT2532" s="4" t="str">
        <f>[1]!EM_S_IPO_LISTEDDATE(B2532)</f>
        <v>2014-08-25</v>
      </c>
    </row>
    <row r="2533" spans="1:46">
      <c r="A2533">
        <v>1219</v>
      </c>
      <c r="B2533" t="str">
        <f>"002709"</f>
        <v>002709</v>
      </c>
      <c r="C2533" t="s">
        <v>56</v>
      </c>
      <c r="D2533" t="str">
        <f>[1]!EM_S_INFO_INDEX_EM(B2533,"1")</f>
        <v>有色金属</v>
      </c>
      <c r="E2533" s="4">
        <f t="shared" si="39"/>
        <v>43465</v>
      </c>
      <c r="F2533" s="11">
        <f>[1]!EM_S_PQ_PCTCHANGE(B2533,"2018-01-01","2019-12-31","3")</f>
        <v>-27.381514559999999</v>
      </c>
      <c r="G2533" s="11">
        <f>[1]!EM_S_PQ_PCTCHANGE(B2533,"2018-12-31","2019-12-30","1")</f>
        <v>-4.3397968599999999</v>
      </c>
      <c r="H2533" s="11">
        <f>[1]!EM_S_FA_YOY_OR(B2533,E2533)</f>
        <v>1.0957846824999999</v>
      </c>
      <c r="I2533" s="11">
        <f>[1]!EM_S_FA_GROSSPROFITMARGIN(B2533,E2533)</f>
        <v>24.320431831200001</v>
      </c>
      <c r="J2533" s="11">
        <f>[1]!EM_S_FA_NETPROFITMARGIN(B2533,E2533)</f>
        <v>21.495994104200001</v>
      </c>
      <c r="K2533" s="10">
        <f>[1]!EM_S_FA_ASSETSTURN(B2533,E2533)</f>
        <v>0.482193137055</v>
      </c>
      <c r="L2533" s="12">
        <f>[1]!EM_HKS_VAL_MV(B2533,"2019-12-31","2")</f>
        <v>11350312782.299999</v>
      </c>
      <c r="M2533">
        <f>[1]!EM_S_VAL_PETTMDEDUCTED(B2533,E2533)</f>
        <v>166.45521633128899</v>
      </c>
      <c r="N2533" s="7">
        <f>[1]!EM_S_VAL_PBGOODWILLDEDUCTED(B2533,E2533)</f>
        <v>2.7291958769523799</v>
      </c>
      <c r="O2533" s="7">
        <f>[1]!EM_S_VAL_PS_TTM(B2533,E2533)</f>
        <v>3.6387482604916901</v>
      </c>
      <c r="P2533" s="7">
        <f>[1]!EM_S_VAL_PCF_NCFTTM(B2533,E2533)</f>
        <v>-23.053729208299799</v>
      </c>
      <c r="Q2533" s="7">
        <f>[1]!EM_S_VAL_DIVIDENDYIELD2(B2533,E2533,"2019-11-29")</f>
        <v>0.36189924764557141</v>
      </c>
      <c r="T2533"/>
      <c r="U2533">
        <f>[1]!EM_S_RATIO_EPS_TTM(B2533,E2533,"1")</f>
        <v>1.3441109270668563</v>
      </c>
      <c r="AT2533" s="4" t="str">
        <f>[1]!EM_S_IPO_LISTEDDATE(B2533)</f>
        <v>2014-01-23</v>
      </c>
    </row>
    <row r="2534" spans="1:46">
      <c r="A2534">
        <v>390</v>
      </c>
      <c r="B2534" t="str">
        <f>"000836"</f>
        <v>000836</v>
      </c>
      <c r="C2534" t="s">
        <v>2064</v>
      </c>
      <c r="D2534" t="str">
        <f>[1]!EM_S_INFO_INDEX_EM(B2534,"1")</f>
        <v>信息技术</v>
      </c>
      <c r="E2534" s="4">
        <f t="shared" si="39"/>
        <v>43465</v>
      </c>
      <c r="F2534" s="11">
        <f>[1]!EM_S_PQ_PCTCHANGE(B2534,"2018-01-01","2019-12-31","3")</f>
        <v>-10.4406737</v>
      </c>
      <c r="G2534" s="11">
        <f>[1]!EM_S_PQ_PCTCHANGE(B2534,"2018-12-31","2019-12-30","1")</f>
        <v>-4.3701799499999998</v>
      </c>
      <c r="H2534" s="11">
        <f>[1]!EM_S_FA_YOY_OR(B2534,E2534)</f>
        <v>29.522737235699999</v>
      </c>
      <c r="I2534" s="11">
        <f>[1]!EM_S_FA_GROSSPROFITMARGIN(B2534,E2534)</f>
        <v>14.318939367400001</v>
      </c>
      <c r="J2534" s="11">
        <f>[1]!EM_S_FA_NETPROFITMARGIN(B2534,E2534)</f>
        <v>4.0643634947000002</v>
      </c>
      <c r="K2534" s="10">
        <f>[1]!EM_S_FA_ASSETSTURN(B2534,E2534)</f>
        <v>0.93245254653499998</v>
      </c>
      <c r="L2534" s="12">
        <f>[1]!EM_HKS_VAL_MV(B2534,"2019-12-31","2")</f>
        <v>4483368881.04</v>
      </c>
      <c r="M2534">
        <f>[1]!EM_S_VAL_PETTMDEDUCTED(B2534,E2534)</f>
        <v>82.964469980996597</v>
      </c>
      <c r="N2534" s="7">
        <f>[1]!EM_S_VAL_PBGOODWILLDEDUCTED(B2534,E2534)</f>
        <v>3.56210967051573</v>
      </c>
      <c r="O2534" s="7">
        <f>[1]!EM_S_VAL_PS_TTM(B2534,E2534)</f>
        <v>1.91767125500716</v>
      </c>
      <c r="P2534" s="7">
        <f>[1]!EM_S_VAL_PCF_NCFTTM(B2534,E2534)</f>
        <v>-15.0697055766801</v>
      </c>
      <c r="Q2534" s="7">
        <f>[1]!EM_S_VAL_DIVIDENDYIELD2(B2534,E2534,"2019-11-29")</f>
        <v>0</v>
      </c>
      <c r="T2534"/>
      <c r="U2534">
        <f>[1]!EM_S_RATIO_EPS_TTM(B2534,E2534,"1")</f>
        <v>5.5168910842492251E-2</v>
      </c>
      <c r="AT2534" s="4" t="str">
        <f>[1]!EM_S_IPO_LISTEDDATE(B2534)</f>
        <v>1997-09-29</v>
      </c>
    </row>
    <row r="2535" spans="1:46">
      <c r="A2535">
        <v>930</v>
      </c>
      <c r="B2535" t="str">
        <f>"002419"</f>
        <v>002419</v>
      </c>
      <c r="C2535" t="s">
        <v>314</v>
      </c>
      <c r="D2535" t="str">
        <f>[1]!EM_S_INFO_INDEX_EM(B2535,"1")</f>
        <v>商贸零售</v>
      </c>
      <c r="E2535" s="4">
        <f t="shared" si="39"/>
        <v>43465</v>
      </c>
      <c r="F2535" s="11">
        <f>[1]!EM_S_PQ_PCTCHANGE(B2535,"2018-01-01","2019-12-31","3")</f>
        <v>9.2334954400000004</v>
      </c>
      <c r="G2535" s="11">
        <f>[1]!EM_S_PQ_PCTCHANGE(B2535,"2018-12-31","2019-12-30","1")</f>
        <v>-4.3755697400000004</v>
      </c>
      <c r="H2535" s="11">
        <f>[1]!EM_S_FA_YOY_OR(B2535,E2535)</f>
        <v>3.2511024677</v>
      </c>
      <c r="I2535" s="11">
        <f>[1]!EM_S_FA_GROSSPROFITMARGIN(B2535,E2535)</f>
        <v>27.254919413</v>
      </c>
      <c r="J2535" s="11">
        <f>[1]!EM_S_FA_NETPROFITMARGIN(B2535,E2535)</f>
        <v>4.7269361103999996</v>
      </c>
      <c r="K2535" s="10">
        <f>[1]!EM_S_FA_ASSETSTURN(B2535,E2535)</f>
        <v>1.2089117653170001</v>
      </c>
      <c r="L2535" s="12">
        <f>[1]!EM_HKS_VAL_MV(B2535,"2019-12-31","2")</f>
        <v>12663165000</v>
      </c>
      <c r="M2535">
        <f>[1]!EM_S_VAL_PETTMDEDUCTED(B2535,E2535)</f>
        <v>16.689901778341898</v>
      </c>
      <c r="N2535" s="7">
        <f>[1]!EM_S_VAL_PBGOODWILLDEDUCTED(B2535,E2535)</f>
        <v>2.0430149813976901</v>
      </c>
      <c r="O2535" s="7">
        <f>[1]!EM_S_VAL_PS_TTM(B2535,E2535)</f>
        <v>0.677620834815716</v>
      </c>
      <c r="P2535" s="7">
        <f>[1]!EM_S_VAL_PCF_NCFTTM(B2535,E2535)</f>
        <v>9.1540760900445406</v>
      </c>
      <c r="Q2535" s="7">
        <f>[1]!EM_S_VAL_DIVIDENDYIELD2(B2535,E2535,"2019-11-29")</f>
        <v>4.1237113402061851</v>
      </c>
      <c r="T2535"/>
      <c r="U2535">
        <f>[1]!EM_S_RATIO_EPS_TTM(B2535,E2535,"1")</f>
        <v>0.75346431772056977</v>
      </c>
      <c r="AT2535" s="4" t="str">
        <f>[1]!EM_S_IPO_LISTEDDATE(B2535)</f>
        <v>2010-06-01</v>
      </c>
    </row>
    <row r="2536" spans="1:46">
      <c r="A2536">
        <v>1918</v>
      </c>
      <c r="B2536" t="str">
        <f>"300493"</f>
        <v>300493</v>
      </c>
      <c r="C2536" t="s">
        <v>982</v>
      </c>
      <c r="D2536" t="str">
        <f>[1]!EM_S_INFO_INDEX_EM(B2536,"1")</f>
        <v>电子设备</v>
      </c>
      <c r="E2536" s="4">
        <f t="shared" si="39"/>
        <v>43465</v>
      </c>
      <c r="F2536" s="11">
        <f>[1]!EM_S_PQ_PCTCHANGE(B2536,"2018-01-01","2019-12-31","3")</f>
        <v>-5.63894699</v>
      </c>
      <c r="G2536" s="11">
        <f>[1]!EM_S_PQ_PCTCHANGE(B2536,"2018-12-31","2019-12-30","1")</f>
        <v>-4.3859649100000002</v>
      </c>
      <c r="H2536" s="11">
        <f>[1]!EM_S_FA_YOY_OR(B2536,E2536)</f>
        <v>-7.4511450466999998</v>
      </c>
      <c r="I2536" s="11">
        <f>[1]!EM_S_FA_GROSSPROFITMARGIN(B2536,E2536)</f>
        <v>9.9803839606999993</v>
      </c>
      <c r="J2536" s="11">
        <f>[1]!EM_S_FA_NETPROFITMARGIN(B2536,E2536)</f>
        <v>0.95714460599999995</v>
      </c>
      <c r="K2536" s="10">
        <f>[1]!EM_S_FA_ASSETSTURN(B2536,E2536)</f>
        <v>1.472598000896</v>
      </c>
      <c r="L2536" s="12">
        <f>[1]!EM_HKS_VAL_MV(B2536,"2019-12-31","2")</f>
        <v>4160041348.6399999</v>
      </c>
      <c r="M2536">
        <f>[1]!EM_S_VAL_PETTMDEDUCTED(B2536,E2536)</f>
        <v>70.907231608759005</v>
      </c>
      <c r="N2536" s="7">
        <f>[1]!EM_S_VAL_PBGOODWILLDEDUCTED(B2536,E2536)</f>
        <v>3.9834411412036599</v>
      </c>
      <c r="O2536" s="7">
        <f>[1]!EM_S_VAL_PS_TTM(B2536,E2536)</f>
        <v>1.61507544023257</v>
      </c>
      <c r="P2536" s="7">
        <f>[1]!EM_S_VAL_PCF_NCFTTM(B2536,E2536)</f>
        <v>68.483110732771095</v>
      </c>
      <c r="Q2536" s="7">
        <f>[1]!EM_S_VAL_DIVIDENDYIELD2(B2536,E2536,"2019-11-29")</f>
        <v>0.61728395126423863</v>
      </c>
      <c r="T2536"/>
      <c r="U2536">
        <f>[1]!EM_S_RATIO_EPS_TTM(B2536,E2536,"1")</f>
        <v>4.9603071442737172E-2</v>
      </c>
      <c r="AT2536" s="4" t="str">
        <f>[1]!EM_S_IPO_LISTEDDATE(B2536)</f>
        <v>2015-12-10</v>
      </c>
    </row>
    <row r="2537" spans="1:46">
      <c r="A2537">
        <v>1667</v>
      </c>
      <c r="B2537" t="str">
        <f>"300242"</f>
        <v>300242</v>
      </c>
      <c r="C2537" t="s">
        <v>2152</v>
      </c>
      <c r="D2537" t="str">
        <f>[1]!EM_S_INFO_INDEX_EM(B2537,"1")</f>
        <v>文化传媒</v>
      </c>
      <c r="E2537" s="4">
        <f t="shared" si="39"/>
        <v>43465</v>
      </c>
      <c r="F2537" s="11">
        <f>[1]!EM_S_PQ_PCTCHANGE(B2537,"2018-01-01","2019-12-31","3")</f>
        <v>-50.815523769999999</v>
      </c>
      <c r="G2537" s="11">
        <f>[1]!EM_S_PQ_PCTCHANGE(B2537,"2018-12-31","2019-12-30","1")</f>
        <v>-4.4186046499999998</v>
      </c>
      <c r="H2537" s="11">
        <f>[1]!EM_S_FA_YOY_OR(B2537,E2537)</f>
        <v>107.3147792731</v>
      </c>
      <c r="I2537" s="11">
        <f>[1]!EM_S_FA_GROSSPROFITMARGIN(B2537,E2537)</f>
        <v>4.4203018054000003</v>
      </c>
      <c r="J2537" s="11">
        <f>[1]!EM_S_FA_NETPROFITMARGIN(B2537,E2537)</f>
        <v>-22.187532442599998</v>
      </c>
      <c r="K2537" s="10">
        <f>[1]!EM_S_FA_ASSETSTURN(B2537,E2537)</f>
        <v>2.2838170008560001</v>
      </c>
      <c r="L2537" s="12">
        <f>[1]!EM_HKS_VAL_MV(B2537,"2019-12-31","2")</f>
        <v>2563603104.96</v>
      </c>
      <c r="M2537">
        <f>[1]!EM_S_VAL_PETTMDEDUCTED(B2537,E2537)</f>
        <v>44.666471116243599</v>
      </c>
      <c r="N2537" s="7">
        <f>[1]!EM_S_VAL_PBGOODWILLDEDUCTED(B2537,E2537)</f>
        <v>3.7637450454636299</v>
      </c>
      <c r="O2537" s="7">
        <f>[1]!EM_S_VAL_PS_TTM(B2537,E2537)</f>
        <v>0.60228634008212001</v>
      </c>
      <c r="P2537" s="7">
        <f>[1]!EM_S_VAL_PCF_NCFTTM(B2537,E2537)</f>
        <v>-20.643936495703599</v>
      </c>
      <c r="Q2537" s="7">
        <f>[1]!EM_S_VAL_DIVIDENDYIELD2(B2537,E2537,"2019-11-29")</f>
        <v>0</v>
      </c>
      <c r="T2537"/>
      <c r="U2537">
        <f>[1]!EM_S_RATIO_EPS_TTM(B2537,E2537,"1")</f>
        <v>-1.9719540843776902</v>
      </c>
      <c r="AT2537" s="4" t="str">
        <f>[1]!EM_S_IPO_LISTEDDATE(B2537)</f>
        <v>2011-07-12</v>
      </c>
    </row>
    <row r="2538" spans="1:46">
      <c r="A2538">
        <v>2505</v>
      </c>
      <c r="B2538" t="str">
        <f>"600388"</f>
        <v>600388</v>
      </c>
      <c r="C2538" t="s">
        <v>1342</v>
      </c>
      <c r="D2538" t="str">
        <f>[1]!EM_S_INFO_INDEX_EM(B2538,"1")</f>
        <v>机械设备</v>
      </c>
      <c r="E2538" s="4">
        <f t="shared" si="39"/>
        <v>43465</v>
      </c>
      <c r="F2538" s="11">
        <f>[1]!EM_S_PQ_PCTCHANGE(B2538,"2018-01-01","2019-12-31","3")</f>
        <v>-41.918407340000002</v>
      </c>
      <c r="G2538" s="11">
        <f>[1]!EM_S_PQ_PCTCHANGE(B2538,"2018-12-31","2019-12-30","1")</f>
        <v>-4.4334975400000003</v>
      </c>
      <c r="H2538" s="11">
        <f>[1]!EM_S_FA_YOY_OR(B2538,E2538)</f>
        <v>15.896157818200001</v>
      </c>
      <c r="I2538" s="11">
        <f>[1]!EM_S_FA_GROSSPROFITMARGIN(B2538,E2538)</f>
        <v>24.080808567799998</v>
      </c>
      <c r="J2538" s="11">
        <f>[1]!EM_S_FA_NETPROFITMARGIN(B2538,E2538)</f>
        <v>8.5660212729000005</v>
      </c>
      <c r="K2538" s="10">
        <f>[1]!EM_S_FA_ASSETSTURN(B2538,E2538)</f>
        <v>0.56221736269300004</v>
      </c>
      <c r="L2538" s="12">
        <f>[1]!EM_HKS_VAL_MV(B2538,"2019-12-31","2")</f>
        <v>10423237500</v>
      </c>
      <c r="M2538">
        <f>[1]!EM_S_VAL_PETTMDEDUCTED(B2538,E2538)</f>
        <v>15.789409238873001</v>
      </c>
      <c r="N2538" s="7">
        <f>[1]!EM_S_VAL_PBGOODWILLDEDUCTED(B2538,E2538)</f>
        <v>2.2091329310879302</v>
      </c>
      <c r="O2538" s="7">
        <f>[1]!EM_S_VAL_PS_TTM(B2538,E2538)</f>
        <v>1.2332301447473499</v>
      </c>
      <c r="P2538" s="7">
        <f>[1]!EM_S_VAL_PCF_NCFTTM(B2538,E2538)</f>
        <v>118.592035850228</v>
      </c>
      <c r="Q2538" s="7">
        <f>[1]!EM_S_VAL_DIVIDENDYIELD2(B2538,E2538,"2019-11-29")</f>
        <v>1.7418032786885245</v>
      </c>
      <c r="T2538"/>
      <c r="U2538">
        <f>[1]!EM_S_RATIO_EPS_TTM(B2538,E2538,"1")</f>
        <v>0.74946657031008845</v>
      </c>
      <c r="AT2538" s="4" t="str">
        <f>[1]!EM_S_IPO_LISTEDDATE(B2538)</f>
        <v>2000-12-29</v>
      </c>
    </row>
    <row r="2539" spans="1:46">
      <c r="A2539">
        <v>3176</v>
      </c>
      <c r="B2539" t="str">
        <f>"601908"</f>
        <v>601908</v>
      </c>
      <c r="C2539" t="s">
        <v>1137</v>
      </c>
      <c r="D2539" t="str">
        <f>[1]!EM_S_INFO_INDEX_EM(B2539,"1")</f>
        <v>公用事业</v>
      </c>
      <c r="E2539" s="4">
        <f t="shared" si="39"/>
        <v>43465</v>
      </c>
      <c r="F2539" s="11">
        <f>[1]!EM_S_PQ_PCTCHANGE(B2539,"2018-01-01","2019-12-31","3")</f>
        <v>-42.321571239999997</v>
      </c>
      <c r="G2539" s="11">
        <f>[1]!EM_S_PQ_PCTCHANGE(B2539,"2018-12-31","2019-12-30","1")</f>
        <v>-4.4444444399999998</v>
      </c>
      <c r="H2539" s="11">
        <f>[1]!EM_S_FA_YOY_OR(B2539,E2539)</f>
        <v>6.0896685845</v>
      </c>
      <c r="I2539" s="11">
        <f>[1]!EM_S_FA_GROSSPROFITMARGIN(B2539,E2539)</f>
        <v>45.132953536800002</v>
      </c>
      <c r="J2539" s="11">
        <f>[1]!EM_S_FA_NETPROFITMARGIN(B2539,E2539)</f>
        <v>21.4102179261</v>
      </c>
      <c r="K2539" s="10">
        <f>[1]!EM_S_FA_ASSETSTURN(B2539,E2539)</f>
        <v>0.14146612132200001</v>
      </c>
      <c r="L2539" s="12">
        <f>[1]!EM_HKS_VAL_MV(B2539,"2019-12-31","2")</f>
        <v>5979053103</v>
      </c>
      <c r="M2539">
        <f>[1]!EM_S_VAL_PETTMDEDUCTED(B2539,E2539)</f>
        <v>14.9167834178039</v>
      </c>
      <c r="N2539" s="7">
        <f>[1]!EM_S_VAL_PBGOODWILLDEDUCTED(B2539,E2539)</f>
        <v>0.91149169272880204</v>
      </c>
      <c r="O2539" s="7">
        <f>[1]!EM_S_VAL_PS_TTM(B2539,E2539)</f>
        <v>2.7322220937386499</v>
      </c>
      <c r="P2539" s="7">
        <f>[1]!EM_S_VAL_PCF_NCFTTM(B2539,E2539)</f>
        <v>31.074182905883699</v>
      </c>
      <c r="Q2539" s="7">
        <f>[1]!EM_S_VAL_DIVIDENDYIELD2(B2539,E2539,"2019-11-29")</f>
        <v>2.4503524325087378</v>
      </c>
      <c r="T2539"/>
      <c r="U2539">
        <f>[1]!EM_S_RATIO_EPS_TTM(B2539,E2539,"1")</f>
        <v>0.22655597705216823</v>
      </c>
      <c r="AT2539" s="4" t="str">
        <f>[1]!EM_S_IPO_LISTEDDATE(B2539)</f>
        <v>2011-09-08</v>
      </c>
    </row>
    <row r="2540" spans="1:46">
      <c r="A2540">
        <v>2244</v>
      </c>
      <c r="B2540" t="str">
        <f>"600097"</f>
        <v>600097</v>
      </c>
      <c r="C2540" t="s">
        <v>3474</v>
      </c>
      <c r="D2540" t="str">
        <f>[1]!EM_S_INFO_INDEX_EM(B2540,"1")</f>
        <v>农林牧渔</v>
      </c>
      <c r="E2540" s="4">
        <f t="shared" si="39"/>
        <v>43465</v>
      </c>
      <c r="F2540" s="11">
        <f>[1]!EM_S_PQ_PCTCHANGE(B2540,"2018-01-01","2019-12-31","3")</f>
        <v>-39.650103600000001</v>
      </c>
      <c r="G2540" s="11">
        <f>[1]!EM_S_PQ_PCTCHANGE(B2540,"2018-12-31","2019-12-30","1")</f>
        <v>-4.4703595700000003</v>
      </c>
      <c r="H2540" s="11">
        <f>[1]!EM_S_FA_YOY_OR(B2540,E2540)</f>
        <v>6.8543554364999997</v>
      </c>
      <c r="I2540" s="11">
        <f>[1]!EM_S_FA_GROSSPROFITMARGIN(B2540,E2540)</f>
        <v>38.277760111500001</v>
      </c>
      <c r="J2540" s="11">
        <f>[1]!EM_S_FA_NETPROFITMARGIN(B2540,E2540)</f>
        <v>7.6445718145999999</v>
      </c>
      <c r="K2540" s="10">
        <f>[1]!EM_S_FA_ASSETSTURN(B2540,E2540)</f>
        <v>0.92991212412599999</v>
      </c>
      <c r="L2540" s="12">
        <f>[1]!EM_HKS_VAL_MV(B2540,"2019-12-31","2")</f>
        <v>2380453202.9200001</v>
      </c>
      <c r="M2540">
        <f>[1]!EM_S_VAL_PETTMDEDUCTED(B2540,E2540)</f>
        <v>11.4235378671543</v>
      </c>
      <c r="N2540" s="7">
        <f>[1]!EM_S_VAL_PBGOODWILLDEDUCTED(B2540,E2540)</f>
        <v>1.61685456332938</v>
      </c>
      <c r="O2540" s="7">
        <f>[1]!EM_S_VAL_PS_TTM(B2540,E2540)</f>
        <v>1.28294972062642</v>
      </c>
      <c r="P2540" s="7">
        <f>[1]!EM_S_VAL_PCF_NCFTTM(B2540,E2540)</f>
        <v>5.5754944501706696</v>
      </c>
      <c r="Q2540" s="7">
        <f>[1]!EM_S_VAL_DIVIDENDYIELD2(B2540,E2540,"2019-11-29")</f>
        <v>1.9047619047619047</v>
      </c>
      <c r="T2540"/>
      <c r="U2540">
        <f>[1]!EM_S_RATIO_EPS_TTM(B2540,E2540,"1")</f>
        <v>0.58238918291349873</v>
      </c>
      <c r="AT2540" s="4" t="str">
        <f>[1]!EM_S_IPO_LISTEDDATE(B2540)</f>
        <v>1997-06-19</v>
      </c>
    </row>
    <row r="2541" spans="1:46">
      <c r="A2541">
        <v>1407</v>
      </c>
      <c r="B2541" t="str">
        <f>"002910"</f>
        <v>002910</v>
      </c>
      <c r="C2541" t="s">
        <v>1912</v>
      </c>
      <c r="D2541" t="str">
        <f>[1]!EM_S_INFO_INDEX_EM(B2541,"1")</f>
        <v>食品饮料</v>
      </c>
      <c r="E2541" s="4">
        <f t="shared" si="39"/>
        <v>43465</v>
      </c>
      <c r="F2541" s="11">
        <f>[1]!EM_S_PQ_PCTCHANGE(B2541,"2018-01-01","2019-12-31","3")</f>
        <v>-43.904649790000001</v>
      </c>
      <c r="G2541" s="11">
        <f>[1]!EM_S_PQ_PCTCHANGE(B2541,"2018-12-31","2019-12-30","1")</f>
        <v>-4.4763513499999998</v>
      </c>
      <c r="H2541" s="11">
        <f>[1]!EM_S_FA_YOY_OR(B2541,E2541)</f>
        <v>4.6720676017000002</v>
      </c>
      <c r="I2541" s="11">
        <f>[1]!EM_S_FA_GROSSPROFITMARGIN(B2541,E2541)</f>
        <v>32.2831741209</v>
      </c>
      <c r="J2541" s="11">
        <f>[1]!EM_S_FA_NETPROFITMARGIN(B2541,E2541)</f>
        <v>9.6594285831000004</v>
      </c>
      <c r="K2541" s="10">
        <f>[1]!EM_S_FA_ASSETSTURN(B2541,E2541)</f>
        <v>0.34151696900200001</v>
      </c>
      <c r="L2541" s="12">
        <f>[1]!EM_HKS_VAL_MV(B2541,"2019-12-31","2")</f>
        <v>2183292870</v>
      </c>
      <c r="M2541">
        <f>[1]!EM_S_VAL_PETTMDEDUCTED(B2541,E2541)</f>
        <v>51.926357294747902</v>
      </c>
      <c r="N2541" s="7">
        <f>[1]!EM_S_VAL_PBGOODWILLDEDUCTED(B2541,E2541)</f>
        <v>1.97039498064397</v>
      </c>
      <c r="O2541" s="7">
        <f>[1]!EM_S_VAL_PS_TTM(B2541,E2541)</f>
        <v>3.5993089111318799</v>
      </c>
      <c r="P2541" s="7">
        <f>[1]!EM_S_VAL_PCF_NCFTTM(B2541,E2541)</f>
        <v>9.7124515276592707</v>
      </c>
      <c r="Q2541" s="7">
        <f>[1]!EM_S_VAL_DIVIDENDYIELD2(B2541,E2541,"2019-11-29")</f>
        <v>0.60956843065693433</v>
      </c>
      <c r="T2541"/>
      <c r="U2541">
        <f>[1]!EM_S_RATIO_EPS_TTM(B2541,E2541,"1")</f>
        <v>0.33913292505604781</v>
      </c>
      <c r="AT2541" s="4" t="str">
        <f>[1]!EM_S_IPO_LISTEDDATE(B2541)</f>
        <v>2017-10-31</v>
      </c>
    </row>
    <row r="2542" spans="1:46">
      <c r="A2542">
        <v>3018</v>
      </c>
      <c r="B2542" t="str">
        <f>"600997"</f>
        <v>600997</v>
      </c>
      <c r="C2542" t="s">
        <v>950</v>
      </c>
      <c r="D2542" t="str">
        <f>[1]!EM_S_INFO_INDEX_EM(B2542,"1")</f>
        <v>化石能源</v>
      </c>
      <c r="E2542" s="4">
        <f t="shared" si="39"/>
        <v>43465</v>
      </c>
      <c r="F2542" s="11">
        <f>[1]!EM_S_PQ_PCTCHANGE(B2542,"2018-01-01","2019-12-31","3")</f>
        <v>-5.9117614600000001</v>
      </c>
      <c r="G2542" s="11">
        <f>[1]!EM_S_PQ_PCTCHANGE(B2542,"2018-12-31","2019-12-30","1")</f>
        <v>-4.5855379200000002</v>
      </c>
      <c r="H2542" s="11">
        <f>[1]!EM_S_FA_YOY_OR(B2542,E2542)</f>
        <v>10.2277613991</v>
      </c>
      <c r="I2542" s="11">
        <f>[1]!EM_S_FA_GROSSPROFITMARGIN(B2542,E2542)</f>
        <v>16.423554316200001</v>
      </c>
      <c r="J2542" s="11">
        <f>[1]!EM_S_FA_NETPROFITMARGIN(B2542,E2542)</f>
        <v>7.8886228262999998</v>
      </c>
      <c r="K2542" s="10">
        <f>[1]!EM_S_FA_ASSETSTURN(B2542,E2542)</f>
        <v>0.86447008951000004</v>
      </c>
      <c r="L2542" s="12">
        <f>[1]!EM_HKS_VAL_MV(B2542,"2019-12-31","2")</f>
        <v>8637631189.4400005</v>
      </c>
      <c r="M2542">
        <f>[1]!EM_S_VAL_PETTMDEDUCTED(B2542,E2542)</f>
        <v>7.6287578420745499</v>
      </c>
      <c r="N2542" s="7">
        <f>[1]!EM_S_VAL_PBGOODWILLDEDUCTED(B2542,E2542)</f>
        <v>0.85655220522710096</v>
      </c>
      <c r="O2542" s="7">
        <f>[1]!EM_S_VAL_PS_TTM(B2542,E2542)</f>
        <v>0.45314718207365001</v>
      </c>
      <c r="P2542" s="7">
        <f>[1]!EM_S_VAL_PCF_NCFTTM(B2542,E2542)</f>
        <v>17.180358505996001</v>
      </c>
      <c r="Q2542" s="7">
        <f>[1]!EM_S_VAL_DIVIDENDYIELD2(B2542,E2542,"2019-11-29")</f>
        <v>5.0485436893203888</v>
      </c>
      <c r="T2542"/>
      <c r="U2542">
        <f>[1]!EM_S_RATIO_EPS_TTM(B2542,E2542,"1")</f>
        <v>0.85855111990434363</v>
      </c>
      <c r="AT2542" s="4" t="str">
        <f>[1]!EM_S_IPO_LISTEDDATE(B2542)</f>
        <v>2004-06-02</v>
      </c>
    </row>
    <row r="2543" spans="1:46">
      <c r="A2543">
        <v>732</v>
      </c>
      <c r="B2543" t="str">
        <f>"002221"</f>
        <v>002221</v>
      </c>
      <c r="C2543" t="s">
        <v>386</v>
      </c>
      <c r="D2543" t="str">
        <f>[1]!EM_S_INFO_INDEX_EM(B2543,"1")</f>
        <v>化石能源</v>
      </c>
      <c r="E2543" s="4">
        <f t="shared" si="39"/>
        <v>43465</v>
      </c>
      <c r="F2543" s="11">
        <f>[1]!EM_S_PQ_PCTCHANGE(B2543,"2018-01-01","2019-12-31","3")</f>
        <v>-35.869128170000003</v>
      </c>
      <c r="G2543" s="11">
        <f>[1]!EM_S_PQ_PCTCHANGE(B2543,"2018-12-31","2019-12-30","1")</f>
        <v>-4.5905707199999997</v>
      </c>
      <c r="H2543" s="11">
        <f>[1]!EM_S_FA_YOY_OR(B2543,E2543)</f>
        <v>49.771827608999999</v>
      </c>
      <c r="I2543" s="11">
        <f>[1]!EM_S_FA_GROSSPROFITMARGIN(B2543,E2543)</f>
        <v>4.9645554920999997</v>
      </c>
      <c r="J2543" s="11">
        <f>[1]!EM_S_FA_NETPROFITMARGIN(B2543,E2543)</f>
        <v>2.2065249216999998</v>
      </c>
      <c r="K2543" s="10">
        <f>[1]!EM_S_FA_ASSETSTURN(B2543,E2543)</f>
        <v>1.99030347314</v>
      </c>
      <c r="L2543" s="12">
        <f>[1]!EM_HKS_VAL_MV(B2543,"2019-12-31","2")</f>
        <v>12802314714.24</v>
      </c>
      <c r="M2543">
        <f>[1]!EM_S_VAL_PETTMDEDUCTED(B2543,E2543)</f>
        <v>14.289415149000201</v>
      </c>
      <c r="N2543" s="7">
        <f>[1]!EM_S_VAL_PBGOODWILLDEDUCTED(B2543,E2543)</f>
        <v>1.6231862660524801</v>
      </c>
      <c r="O2543" s="7">
        <f>[1]!EM_S_VAL_PS_TTM(B2543,E2543)</f>
        <v>0.30336679586480098</v>
      </c>
      <c r="P2543" s="7">
        <f>[1]!EM_S_VAL_PCF_NCFTTM(B2543,E2543)</f>
        <v>5.5385820158146899</v>
      </c>
      <c r="Q2543" s="7">
        <f>[1]!EM_S_VAL_DIVIDENDYIELD2(B2543,E2543,"2019-11-29")</f>
        <v>0.46599496221662468</v>
      </c>
      <c r="T2543"/>
      <c r="U2543">
        <f>[1]!EM_S_RATIO_EPS_TTM(B2543,E2543,"1")</f>
        <v>0.65368699651948858</v>
      </c>
      <c r="AT2543" s="4" t="str">
        <f>[1]!EM_S_IPO_LISTEDDATE(B2543)</f>
        <v>2008-03-06</v>
      </c>
    </row>
    <row r="2544" spans="1:46">
      <c r="A2544">
        <v>3631</v>
      </c>
      <c r="B2544" t="str">
        <f>"603988"</f>
        <v>603988</v>
      </c>
      <c r="C2544" t="s">
        <v>2289</v>
      </c>
      <c r="D2544" t="str">
        <f>[1]!EM_S_INFO_INDEX_EM(B2544,"1")</f>
        <v>电气设备</v>
      </c>
      <c r="E2544" s="4">
        <f t="shared" si="39"/>
        <v>43465</v>
      </c>
      <c r="F2544" s="11">
        <f>[1]!EM_S_PQ_PCTCHANGE(B2544,"2018-01-01","2019-12-31","3")</f>
        <v>-61.00507992</v>
      </c>
      <c r="G2544" s="11">
        <f>[1]!EM_S_PQ_PCTCHANGE(B2544,"2018-12-31","2019-12-30","1")</f>
        <v>-4.5954046000000002</v>
      </c>
      <c r="H2544" s="11">
        <f>[1]!EM_S_FA_YOY_OR(B2544,E2544)</f>
        <v>39.335648481699998</v>
      </c>
      <c r="I2544" s="11">
        <f>[1]!EM_S_FA_GROSSPROFITMARGIN(B2544,E2544)</f>
        <v>32.2252817623</v>
      </c>
      <c r="J2544" s="11">
        <f>[1]!EM_S_FA_NETPROFITMARGIN(B2544,E2544)</f>
        <v>11.254323644699999</v>
      </c>
      <c r="K2544" s="10">
        <f>[1]!EM_S_FA_ASSETSTURN(B2544,E2544)</f>
        <v>0.45880203738800002</v>
      </c>
      <c r="L2544" s="12">
        <f>[1]!EM_HKS_VAL_MV(B2544,"2019-12-31","2")</f>
        <v>2272032000</v>
      </c>
      <c r="M2544">
        <f>[1]!EM_S_VAL_PETTMDEDUCTED(B2544,E2544)</f>
        <v>56.5413243693597</v>
      </c>
      <c r="N2544" s="7">
        <f>[1]!EM_S_VAL_PBGOODWILLDEDUCTED(B2544,E2544)</f>
        <v>3.50393540261092</v>
      </c>
      <c r="O2544" s="7">
        <f>[1]!EM_S_VAL_PS_TTM(B2544,E2544)</f>
        <v>5.5891388156625199</v>
      </c>
      <c r="P2544" s="7">
        <f>[1]!EM_S_VAL_PCF_NCFTTM(B2544,E2544)</f>
        <v>-29.526538217619599</v>
      </c>
      <c r="Q2544" s="7">
        <f>[1]!EM_S_VAL_DIVIDENDYIELD2(B2544,E2544,"2019-11-29")</f>
        <v>3.9205702647657841</v>
      </c>
      <c r="T2544"/>
      <c r="U2544">
        <f>[1]!EM_S_RATIO_EPS_TTM(B2544,E2544,"1")</f>
        <v>0.20505556900510202</v>
      </c>
      <c r="AT2544" s="4" t="str">
        <f>[1]!EM_S_IPO_LISTEDDATE(B2544)</f>
        <v>2014-11-04</v>
      </c>
    </row>
    <row r="2545" spans="1:46">
      <c r="A2545">
        <v>885</v>
      </c>
      <c r="B2545" t="str">
        <f>"002374"</f>
        <v>002374</v>
      </c>
      <c r="C2545" t="s">
        <v>2693</v>
      </c>
      <c r="D2545" t="str">
        <f>[1]!EM_S_INFO_INDEX_EM(B2545,"1")</f>
        <v>建筑</v>
      </c>
      <c r="E2545" s="4">
        <f t="shared" si="39"/>
        <v>43465</v>
      </c>
      <c r="F2545" s="11">
        <f>[1]!EM_S_PQ_PCTCHANGE(B2545,"2018-01-01","2019-12-31","3")</f>
        <v>-46.897810219999997</v>
      </c>
      <c r="G2545" s="11">
        <f>[1]!EM_S_PQ_PCTCHANGE(B2545,"2018-12-31","2019-12-30","1")</f>
        <v>-4.6052631599999998</v>
      </c>
      <c r="H2545" s="11">
        <f>[1]!EM_S_FA_YOY_OR(B2545,E2545)</f>
        <v>-32.830358313799998</v>
      </c>
      <c r="I2545" s="11">
        <f>[1]!EM_S_FA_GROSSPROFITMARGIN(B2545,E2545)</f>
        <v>10.617205752</v>
      </c>
      <c r="J2545" s="11">
        <f>[1]!EM_S_FA_NETPROFITMARGIN(B2545,E2545)</f>
        <v>-63.1508644201</v>
      </c>
      <c r="K2545" s="10">
        <f>[1]!EM_S_FA_ASSETSTURN(B2545,E2545)</f>
        <v>0.20785793681100001</v>
      </c>
      <c r="L2545" s="12">
        <f>[1]!EM_HKS_VAL_MV(B2545,"2019-12-31","2")</f>
        <v>2553313931.8800001</v>
      </c>
      <c r="M2545">
        <f>[1]!EM_S_VAL_PETTMDEDUCTED(B2545,E2545)</f>
        <v>554.979401026191</v>
      </c>
      <c r="N2545" s="7">
        <f>[1]!EM_S_VAL_PBGOODWILLDEDUCTED(B2545,E2545)</f>
        <v>1.13612266036367</v>
      </c>
      <c r="O2545" s="7">
        <f>[1]!EM_S_VAL_PS_TTM(B2545,E2545)</f>
        <v>1.7315208728204099</v>
      </c>
      <c r="P2545" s="7">
        <f>[1]!EM_S_VAL_PCF_NCFTTM(B2545,E2545)</f>
        <v>-8.5746706199979794</v>
      </c>
      <c r="Q2545" s="7">
        <f>[1]!EM_S_VAL_DIVIDENDYIELD2(B2545,E2545,"2019-11-29")</f>
        <v>0</v>
      </c>
      <c r="T2545"/>
      <c r="U2545">
        <f>[1]!EM_S_RATIO_EPS_TTM(B2545,E2545,"1")</f>
        <v>-0.90017760437834837</v>
      </c>
      <c r="AT2545" s="4" t="str">
        <f>[1]!EM_S_IPO_LISTEDDATE(B2545)</f>
        <v>2010-03-18</v>
      </c>
    </row>
    <row r="2546" spans="1:46">
      <c r="A2546">
        <v>644</v>
      </c>
      <c r="B2546" t="str">
        <f>"002133"</f>
        <v>002133</v>
      </c>
      <c r="C2546" t="s">
        <v>166</v>
      </c>
      <c r="D2546" t="str">
        <f>[1]!EM_S_INFO_INDEX_EM(B2546,"1")</f>
        <v>房地产</v>
      </c>
      <c r="E2546" s="4">
        <f t="shared" si="39"/>
        <v>43465</v>
      </c>
      <c r="F2546" s="11">
        <f>[1]!EM_S_PQ_PCTCHANGE(B2546,"2018-01-01","2019-12-31","3")</f>
        <v>-25.785873939999998</v>
      </c>
      <c r="G2546" s="11">
        <f>[1]!EM_S_PQ_PCTCHANGE(B2546,"2018-12-31","2019-12-30","1")</f>
        <v>-4.6376811599999996</v>
      </c>
      <c r="H2546" s="11">
        <f>[1]!EM_S_FA_YOY_OR(B2546,E2546)</f>
        <v>-8.7408591755000007</v>
      </c>
      <c r="I2546" s="11">
        <f>[1]!EM_S_FA_GROSSPROFITMARGIN(B2546,E2546)</f>
        <v>39.6397148366</v>
      </c>
      <c r="J2546" s="11">
        <f>[1]!EM_S_FA_NETPROFITMARGIN(B2546,E2546)</f>
        <v>19.498051291100001</v>
      </c>
      <c r="K2546" s="10">
        <f>[1]!EM_S_FA_ASSETSTURN(B2546,E2546)</f>
        <v>0.320762791155</v>
      </c>
      <c r="L2546" s="12">
        <f>[1]!EM_HKS_VAL_MV(B2546,"2019-12-31","2")</f>
        <v>2562417219.25</v>
      </c>
      <c r="M2546">
        <f>[1]!EM_S_VAL_PETTMDEDUCTED(B2546,E2546)</f>
        <v>7.1197658745973902</v>
      </c>
      <c r="N2546" s="7">
        <f>[1]!EM_S_VAL_PBGOODWILLDEDUCTED(B2546,E2546)</f>
        <v>0.82763687280990095</v>
      </c>
      <c r="O2546" s="7">
        <f>[1]!EM_S_VAL_PS_TTM(B2546,E2546)</f>
        <v>0.76514394926795004</v>
      </c>
      <c r="P2546" s="7">
        <f>[1]!EM_S_VAL_PCF_NCFTTM(B2546,E2546)</f>
        <v>6.24552787364469</v>
      </c>
      <c r="Q2546" s="7">
        <f>[1]!EM_S_VAL_DIVIDENDYIELD2(B2546,E2546,"2019-11-29")</f>
        <v>2.5641025641025639</v>
      </c>
      <c r="T2546"/>
      <c r="U2546">
        <f>[1]!EM_S_RATIO_EPS_TTM(B2546,E2546,"1")</f>
        <v>0.4341041883703381</v>
      </c>
      <c r="AT2546" s="4" t="str">
        <f>[1]!EM_S_IPO_LISTEDDATE(B2546)</f>
        <v>2007-04-27</v>
      </c>
    </row>
    <row r="2547" spans="1:46">
      <c r="A2547">
        <v>3025</v>
      </c>
      <c r="B2547" t="str">
        <f>"601005"</f>
        <v>601005</v>
      </c>
      <c r="C2547" t="s">
        <v>1311</v>
      </c>
      <c r="D2547" t="str">
        <f>[1]!EM_S_INFO_INDEX_EM(B2547,"1")</f>
        <v>钢铁</v>
      </c>
      <c r="E2547" s="4">
        <f t="shared" si="39"/>
        <v>43465</v>
      </c>
      <c r="F2547" s="11">
        <f>[1]!EM_S_PQ_PCTCHANGE(B2547,"2018-01-01","2019-12-31","3")</f>
        <v>-13.953488370000001</v>
      </c>
      <c r="G2547" s="11">
        <f>[1]!EM_S_PQ_PCTCHANGE(B2547,"2018-12-31","2019-12-30","1")</f>
        <v>-4.63917526</v>
      </c>
      <c r="H2547" s="11">
        <f>[1]!EM_S_FA_YOY_OR(B2547,E2547)</f>
        <v>71.029921038599994</v>
      </c>
      <c r="I2547" s="11">
        <f>[1]!EM_S_FA_GROSSPROFITMARGIN(B2547,E2547)</f>
        <v>13.0620461004</v>
      </c>
      <c r="J2547" s="11">
        <f>[1]!EM_S_FA_NETPROFITMARGIN(B2547,E2547)</f>
        <v>7.8980361154000001</v>
      </c>
      <c r="K2547" s="10">
        <f>[1]!EM_S_FA_ASSETSTURN(B2547,E2547)</f>
        <v>0.87163746219399996</v>
      </c>
      <c r="L2547" s="12">
        <f>[1]!EM_HKS_VAL_MV(B2547,"2019-12-31","2")</f>
        <v>16499414193.950001</v>
      </c>
      <c r="M2547">
        <f>[1]!EM_S_VAL_PETTMDEDUCTED(B2547,E2547)</f>
        <v>34.505697535194599</v>
      </c>
      <c r="N2547" s="7">
        <f>[1]!EM_S_VAL_PBGOODWILLDEDUCTED(B2547,E2547)</f>
        <v>0.93364996604352601</v>
      </c>
      <c r="O2547" s="7">
        <f>[1]!EM_S_VAL_PS_TTM(B2547,E2547)</f>
        <v>0.76930392525207003</v>
      </c>
      <c r="P2547" s="7">
        <f>[1]!EM_S_VAL_PCF_NCFTTM(B2547,E2547)</f>
        <v>10.956250196606099</v>
      </c>
      <c r="Q2547" s="7">
        <f>[1]!EM_S_VAL_DIVIDENDYIELD2(B2547,E2547,"2019-11-29")</f>
        <v>0</v>
      </c>
      <c r="T2547"/>
      <c r="U2547">
        <f>[1]!EM_S_RATIO_EPS_TTM(B2547,E2547,"1")</f>
        <v>0.20046930522011136</v>
      </c>
      <c r="AT2547" s="4" t="str">
        <f>[1]!EM_S_IPO_LISTEDDATE(B2547)</f>
        <v>2007-02-28</v>
      </c>
    </row>
    <row r="2548" spans="1:46">
      <c r="A2548">
        <v>3179</v>
      </c>
      <c r="B2548" t="str">
        <f>"601928"</f>
        <v>601928</v>
      </c>
      <c r="C2548" t="s">
        <v>1266</v>
      </c>
      <c r="D2548" t="str">
        <f>[1]!EM_S_INFO_INDEX_EM(B2548,"1")</f>
        <v>文化传媒</v>
      </c>
      <c r="E2548" s="4">
        <f t="shared" si="39"/>
        <v>43465</v>
      </c>
      <c r="F2548" s="11">
        <f>[1]!EM_S_PQ_PCTCHANGE(B2548,"2018-01-01","2019-12-31","3")</f>
        <v>-9.0942229999999999E-2</v>
      </c>
      <c r="G2548" s="11">
        <f>[1]!EM_S_PQ_PCTCHANGE(B2548,"2018-12-31","2019-12-30","1")</f>
        <v>-4.6599496199999999</v>
      </c>
      <c r="H2548" s="11">
        <f>[1]!EM_S_FA_YOY_OR(B2548,E2548)</f>
        <v>6.6804332517000002</v>
      </c>
      <c r="I2548" s="11">
        <f>[1]!EM_S_FA_GROSSPROFITMARGIN(B2548,E2548)</f>
        <v>36.298227242300001</v>
      </c>
      <c r="J2548" s="11">
        <f>[1]!EM_S_FA_NETPROFITMARGIN(B2548,E2548)</f>
        <v>11.7865587111</v>
      </c>
      <c r="K2548" s="10">
        <f>[1]!EM_S_FA_ASSETSTURN(B2548,E2548)</f>
        <v>0.55685641912399997</v>
      </c>
      <c r="L2548" s="12">
        <f>[1]!EM_HKS_VAL_MV(B2548,"2019-12-31","2")</f>
        <v>19366689000</v>
      </c>
      <c r="M2548">
        <f>[1]!EM_S_VAL_PETTMDEDUCTED(B2548,E2548)</f>
        <v>21.162458393041401</v>
      </c>
      <c r="N2548" s="7">
        <f>[1]!EM_S_VAL_PBGOODWILLDEDUCTED(B2548,E2548)</f>
        <v>1.53400032716248</v>
      </c>
      <c r="O2548" s="7">
        <f>[1]!EM_S_VAL_PS_TTM(B2548,E2548)</f>
        <v>1.7506752028141599</v>
      </c>
      <c r="P2548" s="7">
        <f>[1]!EM_S_VAL_PCF_NCFTTM(B2548,E2548)</f>
        <v>5.4202269329704498</v>
      </c>
      <c r="Q2548" s="7">
        <f>[1]!EM_S_VAL_DIVIDENDYIELD2(B2548,E2548,"2019-11-29")</f>
        <v>4.1958041958041958</v>
      </c>
      <c r="T2548"/>
      <c r="U2548">
        <f>[1]!EM_S_RATIO_EPS_TTM(B2548,E2548,"1")</f>
        <v>0.52060813929427485</v>
      </c>
      <c r="AT2548" s="4" t="str">
        <f>[1]!EM_S_IPO_LISTEDDATE(B2548)</f>
        <v>2011-11-30</v>
      </c>
    </row>
    <row r="2549" spans="1:46">
      <c r="A2549">
        <v>3279</v>
      </c>
      <c r="B2549" t="str">
        <f>"603126"</f>
        <v>603126</v>
      </c>
      <c r="C2549" t="s">
        <v>2657</v>
      </c>
      <c r="D2549" t="str">
        <f>[1]!EM_S_INFO_INDEX_EM(B2549,"1")</f>
        <v>机械设备</v>
      </c>
      <c r="E2549" s="4">
        <f t="shared" si="39"/>
        <v>43465</v>
      </c>
      <c r="F2549" s="11">
        <f>[1]!EM_S_PQ_PCTCHANGE(B2549,"2018-01-01","2019-12-31","3")</f>
        <v>-48.590009690000002</v>
      </c>
      <c r="G2549" s="11">
        <f>[1]!EM_S_PQ_PCTCHANGE(B2549,"2018-12-31","2019-12-30","1")</f>
        <v>-4.6601941699999996</v>
      </c>
      <c r="H2549" s="11">
        <f>[1]!EM_S_FA_YOY_OR(B2549,E2549)</f>
        <v>11.263659426</v>
      </c>
      <c r="I2549" s="11">
        <f>[1]!EM_S_FA_GROSSPROFITMARGIN(B2549,E2549)</f>
        <v>20.174806484200001</v>
      </c>
      <c r="J2549" s="11">
        <f>[1]!EM_S_FA_NETPROFITMARGIN(B2549,E2549)</f>
        <v>7.4578706229999998</v>
      </c>
      <c r="K2549" s="10">
        <f>[1]!EM_S_FA_ASSETSTURN(B2549,E2549)</f>
        <v>0.56985389796800001</v>
      </c>
      <c r="L2549" s="12">
        <f>[1]!EM_HKS_VAL_MV(B2549,"2019-12-31","2")</f>
        <v>2991450000</v>
      </c>
      <c r="M2549">
        <f>[1]!EM_S_VAL_PETTMDEDUCTED(B2549,E2549)</f>
        <v>25.7028780716042</v>
      </c>
      <c r="N2549" s="7">
        <f>[1]!EM_S_VAL_PBGOODWILLDEDUCTED(B2549,E2549)</f>
        <v>1.8859283962531099</v>
      </c>
      <c r="O2549" s="7">
        <f>[1]!EM_S_VAL_PS_TTM(B2549,E2549)</f>
        <v>1.7783112580067</v>
      </c>
      <c r="P2549" s="7">
        <f>[1]!EM_S_VAL_PCF_NCFTTM(B2549,E2549)</f>
        <v>74.274977232610695</v>
      </c>
      <c r="Q2549" s="7">
        <f>[1]!EM_S_VAL_DIVIDENDYIELD2(B2549,E2549,"2019-11-29")</f>
        <v>1.5021459227467808</v>
      </c>
      <c r="T2549"/>
      <c r="U2549">
        <f>[1]!EM_S_RATIO_EPS_TTM(B2549,E2549,"1")</f>
        <v>0.21259073361179362</v>
      </c>
      <c r="AT2549" s="4" t="str">
        <f>[1]!EM_S_IPO_LISTEDDATE(B2549)</f>
        <v>2014-07-31</v>
      </c>
    </row>
    <row r="2550" spans="1:46">
      <c r="A2550">
        <v>2169</v>
      </c>
      <c r="B2550" t="str">
        <f>"600008"</f>
        <v>600008</v>
      </c>
      <c r="C2550" t="s">
        <v>2529</v>
      </c>
      <c r="D2550" t="str">
        <f>[1]!EM_S_INFO_INDEX_EM(B2550,"1")</f>
        <v>公用事业</v>
      </c>
      <c r="E2550" s="4">
        <f t="shared" si="39"/>
        <v>43465</v>
      </c>
      <c r="F2550" s="11">
        <f>[1]!EM_S_PQ_PCTCHANGE(B2550,"2018-01-01","2019-12-31","3")</f>
        <v>-33.43213497</v>
      </c>
      <c r="G2550" s="11">
        <f>[1]!EM_S_PQ_PCTCHANGE(B2550,"2018-12-31","2019-12-30","1")</f>
        <v>-4.6647230300000002</v>
      </c>
      <c r="H2550" s="11">
        <f>[1]!EM_S_FA_YOY_OR(B2550,E2550)</f>
        <v>34.144697811</v>
      </c>
      <c r="I2550" s="11">
        <f>[1]!EM_S_FA_GROSSPROFITMARGIN(B2550,E2550)</f>
        <v>30.797238201999999</v>
      </c>
      <c r="J2550" s="11">
        <f>[1]!EM_S_FA_NETPROFITMARGIN(B2550,E2550)</f>
        <v>6.5483264923000002</v>
      </c>
      <c r="K2550" s="10">
        <f>[1]!EM_S_FA_ASSETSTURN(B2550,E2550)</f>
        <v>0.20762008448300001</v>
      </c>
      <c r="L2550" s="12">
        <f>[1]!EM_HKS_VAL_MV(B2550,"2019-12-31","2")</f>
        <v>18705124601.029999</v>
      </c>
      <c r="M2550">
        <f>[1]!EM_S_VAL_PETTMDEDUCTED(B2550,E2550)</f>
        <v>35.340510446856598</v>
      </c>
      <c r="N2550" s="7">
        <f>[1]!EM_S_VAL_PBGOODWILLDEDUCTED(B2550,E2550)</f>
        <v>2.3601523287916901</v>
      </c>
      <c r="O2550" s="7">
        <f>[1]!EM_S_VAL_PS_TTM(B2550,E2550)</f>
        <v>1.8434587939821701</v>
      </c>
      <c r="P2550" s="7">
        <f>[1]!EM_S_VAL_PCF_NCFTTM(B2550,E2550)</f>
        <v>7.6918737775518098</v>
      </c>
      <c r="Q2550" s="7">
        <f>[1]!EM_S_VAL_DIVIDENDYIELD2(B2550,E2550,"2019-11-29")</f>
        <v>2.4390243902439024</v>
      </c>
      <c r="T2550"/>
      <c r="U2550">
        <f>[1]!EM_S_RATIO_EPS_TTM(B2550,E2550,"1")</f>
        <v>0.12653468578682278</v>
      </c>
      <c r="AT2550" s="4" t="str">
        <f>[1]!EM_S_IPO_LISTEDDATE(B2550)</f>
        <v>2000-04-27</v>
      </c>
    </row>
    <row r="2551" spans="1:46">
      <c r="A2551">
        <v>2427</v>
      </c>
      <c r="B2551" t="str">
        <f>"600299"</f>
        <v>600299</v>
      </c>
      <c r="C2551" t="s">
        <v>981</v>
      </c>
      <c r="D2551" t="str">
        <f>[1]!EM_S_INFO_INDEX_EM(B2551,"1")</f>
        <v>基础化工</v>
      </c>
      <c r="E2551" s="4">
        <f t="shared" si="39"/>
        <v>43465</v>
      </c>
      <c r="F2551" s="11">
        <f>[1]!EM_S_PQ_PCTCHANGE(B2551,"2018-01-01","2019-12-31","3")</f>
        <v>13.715163649999999</v>
      </c>
      <c r="G2551" s="11">
        <f>[1]!EM_S_PQ_PCTCHANGE(B2551,"2018-12-31","2019-12-30","1")</f>
        <v>-4.7038327500000001</v>
      </c>
      <c r="H2551" s="11">
        <f>[1]!EM_S_FA_YOY_OR(B2551,E2551)</f>
        <v>9.8112713729000003</v>
      </c>
      <c r="I2551" s="11">
        <f>[1]!EM_S_FA_GROSSPROFITMARGIN(B2551,E2551)</f>
        <v>34.8943923649</v>
      </c>
      <c r="J2551" s="11">
        <f>[1]!EM_S_FA_NETPROFITMARGIN(B2551,E2551)</f>
        <v>10.6471278867</v>
      </c>
      <c r="K2551" s="10">
        <f>[1]!EM_S_FA_ASSETSTURN(B2551,E2551)</f>
        <v>0.53376948716700001</v>
      </c>
      <c r="L2551" s="12">
        <f>[1]!EM_HKS_VAL_MV(B2551,"2019-12-31","2")</f>
        <v>29661828079.380001</v>
      </c>
      <c r="M2551">
        <f>[1]!EM_S_VAL_PETTMDEDUCTED(B2551,E2551)</f>
        <v>28.292747960833701</v>
      </c>
      <c r="N2551" s="7">
        <f>[1]!EM_S_VAL_PBGOODWILLDEDUCTED(B2551,E2551)</f>
        <v>2.5707576249006099</v>
      </c>
      <c r="O2551" s="7">
        <f>[1]!EM_S_VAL_PS_TTM(B2551,E2551)</f>
        <v>2.7232940786083102</v>
      </c>
      <c r="P2551" s="7">
        <f>[1]!EM_S_VAL_PCF_NCFTTM(B2551,E2551)</f>
        <v>-15.978229747496499</v>
      </c>
      <c r="Q2551" s="7">
        <f>[1]!EM_S_VAL_DIVIDENDYIELD2(B2551,E2551,"2019-11-29")</f>
        <v>1.632075471698113</v>
      </c>
      <c r="T2551"/>
      <c r="U2551">
        <f>[1]!EM_S_RATIO_EPS_TTM(B2551,E2551,"1")</f>
        <v>0.34532615697818791</v>
      </c>
      <c r="AT2551" s="4" t="str">
        <f>[1]!EM_S_IPO_LISTEDDATE(B2551)</f>
        <v>2000-04-20</v>
      </c>
    </row>
    <row r="2552" spans="1:46">
      <c r="A2552">
        <v>1690</v>
      </c>
      <c r="B2552" t="str">
        <f>"300265"</f>
        <v>300265</v>
      </c>
      <c r="C2552" t="s">
        <v>2891</v>
      </c>
      <c r="D2552" t="str">
        <f>[1]!EM_S_INFO_INDEX_EM(B2552,"1")</f>
        <v>电气设备</v>
      </c>
      <c r="E2552" s="4">
        <f t="shared" si="39"/>
        <v>43465</v>
      </c>
      <c r="F2552" s="11">
        <f>[1]!EM_S_PQ_PCTCHANGE(B2552,"2018-01-01","2019-12-31","3")</f>
        <v>-13.816668079999999</v>
      </c>
      <c r="G2552" s="11">
        <f>[1]!EM_S_PQ_PCTCHANGE(B2552,"2018-12-31","2019-12-30","1")</f>
        <v>-4.7263681599999998</v>
      </c>
      <c r="H2552" s="11">
        <f>[1]!EM_S_FA_YOY_OR(B2552,E2552)</f>
        <v>5.9662278043999999</v>
      </c>
      <c r="I2552" s="11">
        <f>[1]!EM_S_FA_GROSSPROFITMARGIN(B2552,E2552)</f>
        <v>20.649954661399999</v>
      </c>
      <c r="J2552" s="11">
        <f>[1]!EM_S_FA_NETPROFITMARGIN(B2552,E2552)</f>
        <v>2.5751227066000002</v>
      </c>
      <c r="K2552" s="10">
        <f>[1]!EM_S_FA_ASSETSTURN(B2552,E2552)</f>
        <v>0.73107586013100001</v>
      </c>
      <c r="L2552" s="12">
        <f>[1]!EM_HKS_VAL_MV(B2552,"2019-12-31","2")</f>
        <v>2598750000</v>
      </c>
      <c r="M2552">
        <f>[1]!EM_S_VAL_PETTMDEDUCTED(B2552,E2552)</f>
        <v>397.74300260453799</v>
      </c>
      <c r="N2552" s="7">
        <f>[1]!EM_S_VAL_PBGOODWILLDEDUCTED(B2552,E2552)</f>
        <v>2.7937952999767099</v>
      </c>
      <c r="O2552" s="7">
        <f>[1]!EM_S_VAL_PS_TTM(B2552,E2552)</f>
        <v>1.74727071019167</v>
      </c>
      <c r="P2552" s="7">
        <f>[1]!EM_S_VAL_PCF_NCFTTM(B2552,E2552)</f>
        <v>-66.562400682799407</v>
      </c>
      <c r="Q2552" s="7">
        <f>[1]!EM_S_VAL_DIVIDENDYIELD2(B2552,E2552,"2019-11-29")</f>
        <v>0.19607843137254902</v>
      </c>
      <c r="T2552"/>
      <c r="U2552">
        <f>[1]!EM_S_RATIO_EPS_TTM(B2552,E2552,"1")</f>
        <v>0.11057401084444443</v>
      </c>
      <c r="AT2552" s="4" t="str">
        <f>[1]!EM_S_IPO_LISTEDDATE(B2552)</f>
        <v>2011-09-16</v>
      </c>
    </row>
    <row r="2553" spans="1:46">
      <c r="A2553">
        <v>983</v>
      </c>
      <c r="B2553" t="str">
        <f>"002472"</f>
        <v>002472</v>
      </c>
      <c r="C2553" t="s">
        <v>1650</v>
      </c>
      <c r="D2553" t="str">
        <f>[1]!EM_S_INFO_INDEX_EM(B2553,"1")</f>
        <v>交运设备</v>
      </c>
      <c r="E2553" s="4">
        <f t="shared" si="39"/>
        <v>43465</v>
      </c>
      <c r="F2553" s="11">
        <f>[1]!EM_S_PQ_PCTCHANGE(B2553,"2018-01-01","2019-12-31","3")</f>
        <v>-41.799504929999998</v>
      </c>
      <c r="G2553" s="11">
        <f>[1]!EM_S_PQ_PCTCHANGE(B2553,"2018-12-31","2019-12-30","1")</f>
        <v>-4.7285464099999999</v>
      </c>
      <c r="H2553" s="11">
        <f>[1]!EM_S_FA_YOY_OR(B2553,E2553)</f>
        <v>19.392397348500001</v>
      </c>
      <c r="I2553" s="11">
        <f>[1]!EM_S_FA_GROSSPROFITMARGIN(B2553,E2553)</f>
        <v>20.311167958599999</v>
      </c>
      <c r="J2553" s="11">
        <f>[1]!EM_S_FA_NETPROFITMARGIN(B2553,E2553)</f>
        <v>6.1891078160999999</v>
      </c>
      <c r="K2553" s="10">
        <f>[1]!EM_S_FA_ASSETSTURN(B2553,E2553)</f>
        <v>0.40889188448000002</v>
      </c>
      <c r="L2553" s="12">
        <f>[1]!EM_HKS_VAL_MV(B2553,"2019-12-31","2")</f>
        <v>3844678549.5999999</v>
      </c>
      <c r="M2553">
        <f>[1]!EM_S_VAL_PETTMDEDUCTED(B2553,E2553)</f>
        <v>20.200155355807599</v>
      </c>
      <c r="N2553" s="7">
        <f>[1]!EM_S_VAL_PBGOODWILLDEDUCTED(B2553,E2553)</f>
        <v>1.16795887730919</v>
      </c>
      <c r="O2553" s="7">
        <f>[1]!EM_S_VAL_PS_TTM(B2553,E2553)</f>
        <v>1.2549792943373801</v>
      </c>
      <c r="P2553" s="7">
        <f>[1]!EM_S_VAL_PCF_NCFTTM(B2553,E2553)</f>
        <v>11.187768023102199</v>
      </c>
      <c r="Q2553" s="7">
        <f>[1]!EM_S_VAL_DIVIDENDYIELD2(B2553,E2553,"2019-11-29")</f>
        <v>1.1472226858760683</v>
      </c>
      <c r="T2553"/>
      <c r="U2553">
        <f>[1]!EM_S_RATIO_EPS_TTM(B2553,E2553,"1")</f>
        <v>0.28432684234167321</v>
      </c>
      <c r="AT2553" s="4" t="str">
        <f>[1]!EM_S_IPO_LISTEDDATE(B2553)</f>
        <v>2010-09-10</v>
      </c>
    </row>
    <row r="2554" spans="1:46">
      <c r="A2554">
        <v>1937</v>
      </c>
      <c r="B2554" t="str">
        <f>"300512"</f>
        <v>300512</v>
      </c>
      <c r="C2554" t="s">
        <v>845</v>
      </c>
      <c r="D2554" t="str">
        <f>[1]!EM_S_INFO_INDEX_EM(B2554,"1")</f>
        <v>机械设备</v>
      </c>
      <c r="E2554" s="4">
        <f t="shared" si="39"/>
        <v>43465</v>
      </c>
      <c r="F2554" s="11">
        <f>[1]!EM_S_PQ_PCTCHANGE(B2554,"2018-01-01","2019-12-31","3")</f>
        <v>-31.52992321</v>
      </c>
      <c r="G2554" s="11">
        <f>[1]!EM_S_PQ_PCTCHANGE(B2554,"2018-12-31","2019-12-30","1")</f>
        <v>-4.75</v>
      </c>
      <c r="H2554" s="11">
        <f>[1]!EM_S_FA_YOY_OR(B2554,E2554)</f>
        <v>4.6937269690000001</v>
      </c>
      <c r="I2554" s="11">
        <f>[1]!EM_S_FA_GROSSPROFITMARGIN(B2554,E2554)</f>
        <v>44.616749217200002</v>
      </c>
      <c r="J2554" s="11">
        <f>[1]!EM_S_FA_NETPROFITMARGIN(B2554,E2554)</f>
        <v>25.817270977</v>
      </c>
      <c r="K2554" s="10">
        <f>[1]!EM_S_FA_ASSETSTURN(B2554,E2554)</f>
        <v>0.35020730810799999</v>
      </c>
      <c r="L2554" s="12">
        <f>[1]!EM_HKS_VAL_MV(B2554,"2019-12-31","2")</f>
        <v>3099600000</v>
      </c>
      <c r="M2554">
        <f>[1]!EM_S_VAL_PETTMDEDUCTED(B2554,E2554)</f>
        <v>20.671089263312901</v>
      </c>
      <c r="N2554" s="7">
        <f>[1]!EM_S_VAL_PBGOODWILLDEDUCTED(B2554,E2554)</f>
        <v>2.5409301904412702</v>
      </c>
      <c r="O2554" s="7">
        <f>[1]!EM_S_VAL_PS_TTM(B2554,E2554)</f>
        <v>4.6408351842714799</v>
      </c>
      <c r="P2554" s="7">
        <f>[1]!EM_S_VAL_PCF_NCFTTM(B2554,E2554)</f>
        <v>11.245127706381901</v>
      </c>
      <c r="Q2554" s="7">
        <f>[1]!EM_S_VAL_DIVIDENDYIELD2(B2554,E2554,"2019-11-29")</f>
        <v>1.2070566388115136</v>
      </c>
      <c r="T2554"/>
      <c r="U2554">
        <f>[1]!EM_S_RATIO_EPS_TTM(B2554,E2554,"1")</f>
        <v>0.69039587437037042</v>
      </c>
      <c r="AT2554" s="4" t="str">
        <f>[1]!EM_S_IPO_LISTEDDATE(B2554)</f>
        <v>2016-05-26</v>
      </c>
    </row>
    <row r="2555" spans="1:46">
      <c r="A2555">
        <v>2045</v>
      </c>
      <c r="B2555" t="str">
        <f>"300626"</f>
        <v>300626</v>
      </c>
      <c r="C2555" t="s">
        <v>1226</v>
      </c>
      <c r="D2555" t="str">
        <f>[1]!EM_S_INFO_INDEX_EM(B2555,"1")</f>
        <v>电气设备</v>
      </c>
      <c r="E2555" s="4">
        <f t="shared" si="39"/>
        <v>43465</v>
      </c>
      <c r="F2555" s="11">
        <f>[1]!EM_S_PQ_PCTCHANGE(B2555,"2018-01-01","2019-12-31","3")</f>
        <v>-46.12099448</v>
      </c>
      <c r="G2555" s="11">
        <f>[1]!EM_S_PQ_PCTCHANGE(B2555,"2018-12-31","2019-12-30","1")</f>
        <v>-4.7511312200000004</v>
      </c>
      <c r="H2555" s="11">
        <f>[1]!EM_S_FA_YOY_OR(B2555,E2555)</f>
        <v>1.8327600177000001</v>
      </c>
      <c r="I2555" s="11">
        <f>[1]!EM_S_FA_GROSSPROFITMARGIN(B2555,E2555)</f>
        <v>18.408172862400001</v>
      </c>
      <c r="J2555" s="11">
        <f>[1]!EM_S_FA_NETPROFITMARGIN(B2555,E2555)</f>
        <v>5.1889095992999996</v>
      </c>
      <c r="K2555" s="10">
        <f>[1]!EM_S_FA_ASSETSTURN(B2555,E2555)</f>
        <v>0.86667616558600002</v>
      </c>
      <c r="L2555" s="12">
        <f>[1]!EM_HKS_VAL_MV(B2555,"2019-12-31","2")</f>
        <v>1521000000</v>
      </c>
      <c r="M2555">
        <f>[1]!EM_S_VAL_PETTMDEDUCTED(B2555,E2555)</f>
        <v>34.845913918806097</v>
      </c>
      <c r="N2555" s="7">
        <f>[1]!EM_S_VAL_PBGOODWILLDEDUCTED(B2555,E2555)</f>
        <v>3.0655920097602198</v>
      </c>
      <c r="O2555" s="7">
        <f>[1]!EM_S_VAL_PS_TTM(B2555,E2555)</f>
        <v>1.8184436864773801</v>
      </c>
      <c r="P2555" s="7">
        <f>[1]!EM_S_VAL_PCF_NCFTTM(B2555,E2555)</f>
        <v>55.349519704855801</v>
      </c>
      <c r="Q2555" s="7">
        <f>[1]!EM_S_VAL_DIVIDENDYIELD2(B2555,E2555,"2019-11-29")</f>
        <v>0</v>
      </c>
      <c r="T2555"/>
      <c r="U2555">
        <f>[1]!EM_S_RATIO_EPS_TTM(B2555,E2555,"1")</f>
        <v>0.24491182494444447</v>
      </c>
      <c r="AT2555" s="4" t="str">
        <f>[1]!EM_S_IPO_LISTEDDATE(B2555)</f>
        <v>2017-03-20</v>
      </c>
    </row>
    <row r="2556" spans="1:46">
      <c r="A2556">
        <v>1195</v>
      </c>
      <c r="B2556" t="str">
        <f>"002684"</f>
        <v>002684</v>
      </c>
      <c r="C2556" t="s">
        <v>2450</v>
      </c>
      <c r="D2556" t="str">
        <f>[1]!EM_S_INFO_INDEX_EM(B2556,"1")</f>
        <v>交运设备</v>
      </c>
      <c r="E2556" s="4">
        <f t="shared" si="39"/>
        <v>43465</v>
      </c>
      <c r="F2556" s="11">
        <f>[1]!EM_S_PQ_PCTCHANGE(B2556,"2018-01-01","2019-12-31","3")</f>
        <v>-67.259174310000006</v>
      </c>
      <c r="G2556" s="11">
        <f>[1]!EM_S_PQ_PCTCHANGE(B2556,"2018-12-31","2019-12-30","1")</f>
        <v>-4.7543581599999998</v>
      </c>
      <c r="H2556" s="11">
        <f>[1]!EM_S_FA_YOY_OR(B2556,E2556)</f>
        <v>-71.825566810400005</v>
      </c>
      <c r="I2556" s="11">
        <f>[1]!EM_S_FA_GROSSPROFITMARGIN(B2556,E2556)</f>
        <v>-9.7267115051000008</v>
      </c>
      <c r="J2556" s="11">
        <f>[1]!EM_S_FA_NETPROFITMARGIN(B2556,E2556)</f>
        <v>-259.88693592869998</v>
      </c>
      <c r="K2556" s="10">
        <f>[1]!EM_S_FA_ASSETSTURN(B2556,E2556)</f>
        <v>0.117093690944</v>
      </c>
      <c r="L2556" s="12">
        <f>[1]!EM_HKS_VAL_MV(B2556,"2019-12-31","2")</f>
        <v>3239707761.1900001</v>
      </c>
      <c r="M2556">
        <f>[1]!EM_S_VAL_PETTMDEDUCTED(B2556,E2556)</f>
        <v>-4.1079390511289402</v>
      </c>
      <c r="N2556" s="7">
        <f>[1]!EM_S_VAL_PBGOODWILLDEDUCTED(B2556,E2556)</f>
        <v>-11.5536962459778</v>
      </c>
      <c r="O2556" s="7">
        <f>[1]!EM_S_VAL_PS_TTM(B2556,E2556)</f>
        <v>1.3930381518897901</v>
      </c>
      <c r="P2556" s="7">
        <f>[1]!EM_S_VAL_PCF_NCFTTM(B2556,E2556)</f>
        <v>-3.8612582246892901</v>
      </c>
      <c r="Q2556" s="7">
        <f>[1]!EM_S_VAL_DIVIDENDYIELD2(B2556,E2556,"2019-11-29")</f>
        <v>0</v>
      </c>
      <c r="T2556"/>
      <c r="U2556">
        <f>[1]!EM_S_RATIO_EPS_TTM(B2556,E2556,"1")</f>
        <v>-4.8795435077525147</v>
      </c>
      <c r="AT2556" s="4" t="str">
        <f>[1]!EM_S_IPO_LISTEDDATE(B2556)</f>
        <v>2012-06-12</v>
      </c>
    </row>
    <row r="2557" spans="1:46">
      <c r="A2557">
        <v>1674</v>
      </c>
      <c r="B2557" t="str">
        <f>"300249"</f>
        <v>300249</v>
      </c>
      <c r="C2557" t="s">
        <v>1615</v>
      </c>
      <c r="D2557" t="str">
        <f>[1]!EM_S_INFO_INDEX_EM(B2557,"1")</f>
        <v>信息技术</v>
      </c>
      <c r="E2557" s="4">
        <f t="shared" si="39"/>
        <v>43465</v>
      </c>
      <c r="F2557" s="11">
        <f>[1]!EM_S_PQ_PCTCHANGE(B2557,"2018-01-01","2019-12-31","3")</f>
        <v>-18.2904281</v>
      </c>
      <c r="G2557" s="11">
        <f>[1]!EM_S_PQ_PCTCHANGE(B2557,"2018-12-31","2019-12-30","1")</f>
        <v>-4.7761193999999998</v>
      </c>
      <c r="H2557" s="11">
        <f>[1]!EM_S_FA_YOY_OR(B2557,E2557)</f>
        <v>9.9450465286000007</v>
      </c>
      <c r="I2557" s="11">
        <f>[1]!EM_S_FA_GROSSPROFITMARGIN(B2557,E2557)</f>
        <v>25.3346758317</v>
      </c>
      <c r="J2557" s="11">
        <f>[1]!EM_S_FA_NETPROFITMARGIN(B2557,E2557)</f>
        <v>2.7180061197000001</v>
      </c>
      <c r="K2557" s="10">
        <f>[1]!EM_S_FA_ASSETSTURN(B2557,E2557)</f>
        <v>0.50316976288699999</v>
      </c>
      <c r="L2557" s="12">
        <f>[1]!EM_HKS_VAL_MV(B2557,"2019-12-31","2")</f>
        <v>2764811626.0799999</v>
      </c>
      <c r="M2557">
        <f>[1]!EM_S_VAL_PETTMDEDUCTED(B2557,E2557)</f>
        <v>27.5149259236725</v>
      </c>
      <c r="N2557" s="7">
        <f>[1]!EM_S_VAL_PBGOODWILLDEDUCTED(B2557,E2557)</f>
        <v>4.0636943626103204</v>
      </c>
      <c r="O2557" s="7">
        <f>[1]!EM_S_VAL_PS_TTM(B2557,E2557)</f>
        <v>1.8646201466154699</v>
      </c>
      <c r="P2557" s="7">
        <f>[1]!EM_S_VAL_PCF_NCFTTM(B2557,E2557)</f>
        <v>15.536940709167901</v>
      </c>
      <c r="Q2557" s="7">
        <f>[1]!EM_S_VAL_DIVIDENDYIELD2(B2557,E2557,"2019-11-29")</f>
        <v>0.2552929054975222</v>
      </c>
      <c r="T2557"/>
      <c r="U2557">
        <f>[1]!EM_S_RATIO_EPS_TTM(B2557,E2557,"1")</f>
        <v>8.5828833189472084E-2</v>
      </c>
      <c r="AT2557" s="4" t="str">
        <f>[1]!EM_S_IPO_LISTEDDATE(B2557)</f>
        <v>2011-08-03</v>
      </c>
    </row>
    <row r="2558" spans="1:46">
      <c r="A2558">
        <v>848</v>
      </c>
      <c r="B2558" t="str">
        <f>"002337"</f>
        <v>002337</v>
      </c>
      <c r="C2558" t="s">
        <v>3425</v>
      </c>
      <c r="D2558" t="str">
        <f>[1]!EM_S_INFO_INDEX_EM(B2558,"1")</f>
        <v>机械设备</v>
      </c>
      <c r="E2558" s="4">
        <f t="shared" si="39"/>
        <v>43465</v>
      </c>
      <c r="F2558" s="11">
        <f>[1]!EM_S_PQ_PCTCHANGE(B2558,"2018-01-01","2019-12-31","3")</f>
        <v>-32.524748369999998</v>
      </c>
      <c r="G2558" s="11">
        <f>[1]!EM_S_PQ_PCTCHANGE(B2558,"2018-12-31","2019-12-30","1")</f>
        <v>-4.7872340400000004</v>
      </c>
      <c r="H2558" s="11">
        <f>[1]!EM_S_FA_YOY_OR(B2558,E2558)</f>
        <v>-20.6170998658</v>
      </c>
      <c r="I2558" s="11">
        <f>[1]!EM_S_FA_GROSSPROFITMARGIN(B2558,E2558)</f>
        <v>43.011298412000002</v>
      </c>
      <c r="J2558" s="11">
        <f>[1]!EM_S_FA_NETPROFITMARGIN(B2558,E2558)</f>
        <v>2.0406981273999998</v>
      </c>
      <c r="K2558" s="10">
        <f>[1]!EM_S_FA_ASSETSTURN(B2558,E2558)</f>
        <v>0.28527137325599999</v>
      </c>
      <c r="L2558" s="12">
        <f>[1]!EM_HKS_VAL_MV(B2558,"2019-12-31","2")</f>
        <v>2130789015</v>
      </c>
      <c r="M2558">
        <f>[1]!EM_S_VAL_PETTMDEDUCTED(B2558,E2558)</f>
        <v>-35.7720931701799</v>
      </c>
      <c r="N2558" s="7">
        <f>[1]!EM_S_VAL_PBGOODWILLDEDUCTED(B2558,E2558)</f>
        <v>1.82623339950354</v>
      </c>
      <c r="O2558" s="7">
        <f>[1]!EM_S_VAL_PS_TTM(B2558,E2558)</f>
        <v>4.9270095057648398</v>
      </c>
      <c r="P2558" s="7">
        <f>[1]!EM_S_VAL_PCF_NCFTTM(B2558,E2558)</f>
        <v>-504.40253750486602</v>
      </c>
      <c r="Q2558" s="7">
        <f>[1]!EM_S_VAL_DIVIDENDYIELD2(B2558,E2558,"2019-11-29")</f>
        <v>0</v>
      </c>
      <c r="T2558"/>
      <c r="U2558">
        <f>[1]!EM_S_RATIO_EPS_TTM(B2558,E2558,"1")</f>
        <v>1.2587577328673247E-2</v>
      </c>
      <c r="AT2558" s="4" t="str">
        <f>[1]!EM_S_IPO_LISTEDDATE(B2558)</f>
        <v>2010-01-15</v>
      </c>
    </row>
    <row r="2559" spans="1:46">
      <c r="A2559">
        <v>3113</v>
      </c>
      <c r="B2559" t="str">
        <f>"601515"</f>
        <v>601515</v>
      </c>
      <c r="C2559" t="s">
        <v>260</v>
      </c>
      <c r="D2559" t="str">
        <f>[1]!EM_S_INFO_INDEX_EM(B2559,"1")</f>
        <v>轻工制造</v>
      </c>
      <c r="E2559" s="4">
        <f t="shared" si="39"/>
        <v>43465</v>
      </c>
      <c r="F2559" s="11">
        <f>[1]!EM_S_PQ_PCTCHANGE(B2559,"2018-01-01","2019-12-31","3")</f>
        <v>-11.21093115</v>
      </c>
      <c r="G2559" s="11">
        <f>[1]!EM_S_PQ_PCTCHANGE(B2559,"2018-12-31","2019-12-30","1")</f>
        <v>-4.7887323899999998</v>
      </c>
      <c r="H2559" s="11">
        <f>[1]!EM_S_FA_YOY_OR(B2559,E2559)</f>
        <v>18.759355305300002</v>
      </c>
      <c r="I2559" s="11">
        <f>[1]!EM_S_FA_GROSSPROFITMARGIN(B2559,E2559)</f>
        <v>38.629763035700002</v>
      </c>
      <c r="J2559" s="11">
        <f>[1]!EM_S_FA_NETPROFITMARGIN(B2559,E2559)</f>
        <v>22.808179726399999</v>
      </c>
      <c r="K2559" s="10">
        <f>[1]!EM_S_FA_ASSETSTURN(B2559,E2559)</f>
        <v>0.57409065410600002</v>
      </c>
      <c r="L2559" s="12">
        <f>[1]!EM_HKS_VAL_MV(B2559,"2019-12-31","2")</f>
        <v>9007200000</v>
      </c>
      <c r="M2559">
        <f>[1]!EM_S_VAL_PETTMDEDUCTED(B2559,E2559)</f>
        <v>12.831074919382401</v>
      </c>
      <c r="N2559" s="7">
        <f>[1]!EM_S_VAL_PBGOODWILLDEDUCTED(B2559,E2559)</f>
        <v>2.06928945950441</v>
      </c>
      <c r="O2559" s="7">
        <f>[1]!EM_S_VAL_PS_TTM(B2559,E2559)</f>
        <v>2.6152706634173799</v>
      </c>
      <c r="P2559" s="7">
        <f>[1]!EM_S_VAL_PCF_NCFTTM(B2559,E2559)</f>
        <v>33.617734377211903</v>
      </c>
      <c r="Q2559" s="7">
        <f>[1]!EM_S_VAL_DIVIDENDYIELD2(B2559,E2559,"2019-11-29")</f>
        <v>6.4699792960662528</v>
      </c>
      <c r="T2559"/>
      <c r="U2559">
        <f>[1]!EM_S_RATIO_EPS_TTM(B2559,E2559,"1")</f>
        <v>0.67256938522482013</v>
      </c>
      <c r="AT2559" s="4" t="str">
        <f>[1]!EM_S_IPO_LISTEDDATE(B2559)</f>
        <v>2012-02-16</v>
      </c>
    </row>
    <row r="2560" spans="1:46">
      <c r="A2560">
        <v>620</v>
      </c>
      <c r="B2560" t="str">
        <f>"002109"</f>
        <v>002109</v>
      </c>
      <c r="C2560" t="s">
        <v>1423</v>
      </c>
      <c r="D2560" t="str">
        <f>[1]!EM_S_INFO_INDEX_EM(B2560,"1")</f>
        <v>基础化工</v>
      </c>
      <c r="E2560" s="4">
        <f t="shared" si="39"/>
        <v>43465</v>
      </c>
      <c r="F2560" s="11">
        <f>[1]!EM_S_PQ_PCTCHANGE(B2560,"2018-01-01","2019-12-31","3")</f>
        <v>-26.467171390000001</v>
      </c>
      <c r="G2560" s="11">
        <f>[1]!EM_S_PQ_PCTCHANGE(B2560,"2018-12-31","2019-12-30","1")</f>
        <v>-4.8295454500000004</v>
      </c>
      <c r="H2560" s="11">
        <f>[1]!EM_S_FA_YOY_OR(B2560,E2560)</f>
        <v>8.3775872930999995</v>
      </c>
      <c r="I2560" s="11">
        <f>[1]!EM_S_FA_GROSSPROFITMARGIN(B2560,E2560)</f>
        <v>22.6994326724</v>
      </c>
      <c r="J2560" s="11">
        <f>[1]!EM_S_FA_NETPROFITMARGIN(B2560,E2560)</f>
        <v>11.5964131666</v>
      </c>
      <c r="K2560" s="10">
        <f>[1]!EM_S_FA_ASSETSTURN(B2560,E2560)</f>
        <v>0.48648377593999997</v>
      </c>
      <c r="L2560" s="12">
        <f>[1]!EM_HKS_VAL_MV(B2560,"2019-12-31","2")</f>
        <v>3558953386.8200002</v>
      </c>
      <c r="M2560">
        <f>[1]!EM_S_VAL_PETTMDEDUCTED(B2560,E2560)</f>
        <v>16.416902323079999</v>
      </c>
      <c r="N2560" s="7">
        <f>[1]!EM_S_VAL_PBGOODWILLDEDUCTED(B2560,E2560)</f>
        <v>1.03513860935935</v>
      </c>
      <c r="O2560" s="7">
        <f>[1]!EM_S_VAL_PS_TTM(B2560,E2560)</f>
        <v>1.78734684105748</v>
      </c>
      <c r="P2560" s="7">
        <f>[1]!EM_S_VAL_PCF_NCFTTM(B2560,E2560)</f>
        <v>36.398343503580499</v>
      </c>
      <c r="Q2560" s="7">
        <f>[1]!EM_S_VAL_DIVIDENDYIELD2(B2560,E2560,"2019-11-29")</f>
        <v>0</v>
      </c>
      <c r="T2560"/>
      <c r="U2560">
        <f>[1]!EM_S_RATIO_EPS_TTM(B2560,E2560,"1")</f>
        <v>0.22606238697098485</v>
      </c>
      <c r="AT2560" s="4" t="str">
        <f>[1]!EM_S_IPO_LISTEDDATE(B2560)</f>
        <v>2007-01-26</v>
      </c>
    </row>
    <row r="2561" spans="1:46">
      <c r="A2561">
        <v>2954</v>
      </c>
      <c r="B2561" t="str">
        <f>"600881"</f>
        <v>600881</v>
      </c>
      <c r="C2561" t="s">
        <v>3361</v>
      </c>
      <c r="D2561" t="str">
        <f>[1]!EM_S_INFO_INDEX_EM(B2561,"1")</f>
        <v>建筑</v>
      </c>
      <c r="E2561" s="4">
        <f t="shared" si="39"/>
        <v>43465</v>
      </c>
      <c r="F2561" s="11">
        <f>[1]!EM_S_PQ_PCTCHANGE(B2561,"2018-01-01","2019-12-31","3")</f>
        <v>-38.794603879999997</v>
      </c>
      <c r="G2561" s="11">
        <f>[1]!EM_S_PQ_PCTCHANGE(B2561,"2018-12-31","2019-12-30","1")</f>
        <v>-4.8338368599999999</v>
      </c>
      <c r="H2561" s="11">
        <f>[1]!EM_S_FA_YOY_OR(B2561,E2561)</f>
        <v>-19.9737033597</v>
      </c>
      <c r="I2561" s="11">
        <f>[1]!EM_S_FA_GROSSPROFITMARGIN(B2561,E2561)</f>
        <v>28.842492000299998</v>
      </c>
      <c r="J2561" s="11">
        <f>[1]!EM_S_FA_NETPROFITMARGIN(B2561,E2561)</f>
        <v>-1.5029015084999999</v>
      </c>
      <c r="K2561" s="10">
        <f>[1]!EM_S_FA_ASSETSTURN(B2561,E2561)</f>
        <v>0.24161502394699999</v>
      </c>
      <c r="L2561" s="12">
        <f>[1]!EM_HKS_VAL_MV(B2561,"2019-12-31","2")</f>
        <v>10364034345.719999</v>
      </c>
      <c r="M2561">
        <f>[1]!EM_S_VAL_PETTMDEDUCTED(B2561,E2561)</f>
        <v>17.067734211782302</v>
      </c>
      <c r="N2561" s="7">
        <f>[1]!EM_S_VAL_PBGOODWILLDEDUCTED(B2561,E2561)</f>
        <v>0.81277829663435497</v>
      </c>
      <c r="O2561" s="7">
        <f>[1]!EM_S_VAL_PS_TTM(B2561,E2561)</f>
        <v>0.55612944959836996</v>
      </c>
      <c r="P2561" s="7">
        <f>[1]!EM_S_VAL_PCF_NCFTTM(B2561,E2561)</f>
        <v>-11.767230412718</v>
      </c>
      <c r="Q2561" s="7">
        <f>[1]!EM_S_VAL_DIVIDENDYIELD2(B2561,E2561,"2019-11-29")</f>
        <v>0</v>
      </c>
      <c r="T2561"/>
      <c r="U2561">
        <f>[1]!EM_S_RATIO_EPS_TTM(B2561,E2561,"1")</f>
        <v>-6.0734440010597163E-2</v>
      </c>
      <c r="AT2561" s="4" t="str">
        <f>[1]!EM_S_IPO_LISTEDDATE(B2561)</f>
        <v>1995-11-15</v>
      </c>
    </row>
    <row r="2562" spans="1:46">
      <c r="A2562">
        <v>540</v>
      </c>
      <c r="B2562" t="str">
        <f>"002029"</f>
        <v>002029</v>
      </c>
      <c r="C2562" t="s">
        <v>1754</v>
      </c>
      <c r="D2562" t="str">
        <f>[1]!EM_S_INFO_INDEX_EM(B2562,"1")</f>
        <v>纺织服装</v>
      </c>
      <c r="E2562" s="4">
        <f t="shared" si="39"/>
        <v>43465</v>
      </c>
      <c r="F2562" s="11">
        <f>[1]!EM_S_PQ_PCTCHANGE(B2562,"2018-01-01","2019-12-31","3")</f>
        <v>-27.274847999999999</v>
      </c>
      <c r="G2562" s="11">
        <f>[1]!EM_S_PQ_PCTCHANGE(B2562,"2018-12-31","2019-12-30","1")</f>
        <v>-4.83870968</v>
      </c>
      <c r="H2562" s="11">
        <f>[1]!EM_S_FA_YOY_OR(B2562,E2562)</f>
        <v>14.0081942034</v>
      </c>
      <c r="I2562" s="11">
        <f>[1]!EM_S_FA_GROSSPROFITMARGIN(B2562,E2562)</f>
        <v>42.596147800600001</v>
      </c>
      <c r="J2562" s="11">
        <f>[1]!EM_S_FA_NETPROFITMARGIN(B2562,E2562)</f>
        <v>10.365104879</v>
      </c>
      <c r="K2562" s="10">
        <f>[1]!EM_S_FA_ASSETSTURN(B2562,E2562)</f>
        <v>0.40954664625600001</v>
      </c>
      <c r="L2562" s="12">
        <f>[1]!EM_HKS_VAL_MV(B2562,"2019-12-31","2")</f>
        <v>4420669500</v>
      </c>
      <c r="M2562">
        <f>[1]!EM_S_VAL_PETTMDEDUCTED(B2562,E2562)</f>
        <v>27.584697821072002</v>
      </c>
      <c r="N2562" s="7">
        <f>[1]!EM_S_VAL_PBGOODWILLDEDUCTED(B2562,E2562)</f>
        <v>0.81799068955646603</v>
      </c>
      <c r="O2562" s="7">
        <f>[1]!EM_S_VAL_PS_TTM(B2562,E2562)</f>
        <v>1.38497743172879</v>
      </c>
      <c r="P2562" s="7">
        <f>[1]!EM_S_VAL_PCF_NCFTTM(B2562,E2562)</f>
        <v>12.0671206849036</v>
      </c>
      <c r="Q2562" s="7">
        <f>[1]!EM_S_VAL_DIVIDENDYIELD2(B2562,E2562,"2019-11-29")</f>
        <v>1.8083182640144666</v>
      </c>
      <c r="T2562"/>
      <c r="U2562">
        <f>[1]!EM_S_RATIO_EPS_TTM(B2562,E2562,"1")</f>
        <v>0.45825099535511538</v>
      </c>
      <c r="AT2562" s="4" t="str">
        <f>[1]!EM_S_IPO_LISTEDDATE(B2562)</f>
        <v>2004-08-06</v>
      </c>
    </row>
    <row r="2563" spans="1:46">
      <c r="A2563">
        <v>3046</v>
      </c>
      <c r="B2563" t="str">
        <f>"601098"</f>
        <v>601098</v>
      </c>
      <c r="C2563" t="s">
        <v>1397</v>
      </c>
      <c r="D2563" t="str">
        <f>[1]!EM_S_INFO_INDEX_EM(B2563,"1")</f>
        <v>文化传媒</v>
      </c>
      <c r="E2563" s="4">
        <f t="shared" ref="E2563:E2626" si="40">$B$1</f>
        <v>43465</v>
      </c>
      <c r="F2563" s="11">
        <f>[1]!EM_S_PQ_PCTCHANGE(B2563,"2018-01-01","2019-12-31","3")</f>
        <v>-5.3018347700000001</v>
      </c>
      <c r="G2563" s="11">
        <f>[1]!EM_S_PQ_PCTCHANGE(B2563,"2018-12-31","2019-12-30","1")</f>
        <v>-4.88</v>
      </c>
      <c r="H2563" s="11">
        <f>[1]!EM_S_FA_YOY_OR(B2563,E2563)</f>
        <v>-7.5725440579000001</v>
      </c>
      <c r="I2563" s="11">
        <f>[1]!EM_S_FA_GROSSPROFITMARGIN(B2563,E2563)</f>
        <v>38.721924678299999</v>
      </c>
      <c r="J2563" s="11">
        <f>[1]!EM_S_FA_NETPROFITMARGIN(B2563,E2563)</f>
        <v>14.317321741200001</v>
      </c>
      <c r="K2563" s="10">
        <f>[1]!EM_S_FA_ASSETSTURN(B2563,E2563)</f>
        <v>0.47957191230000001</v>
      </c>
      <c r="L2563" s="12">
        <f>[1]!EM_HKS_VAL_MV(B2563,"2019-12-31","2")</f>
        <v>21444240000</v>
      </c>
      <c r="M2563">
        <f>[1]!EM_S_VAL_PETTMDEDUCTED(B2563,E2563)</f>
        <v>20.7165000253447</v>
      </c>
      <c r="N2563" s="7">
        <f>[1]!EM_S_VAL_PBGOODWILLDEDUCTED(B2563,E2563)</f>
        <v>1.6737105705203501</v>
      </c>
      <c r="O2563" s="7">
        <f>[1]!EM_S_VAL_PS_TTM(B2563,E2563)</f>
        <v>2.3601861581098298</v>
      </c>
      <c r="P2563" s="7">
        <f>[1]!EM_S_VAL_PCF_NCFTTM(B2563,E2563)</f>
        <v>-234.37523811891299</v>
      </c>
      <c r="Q2563" s="7">
        <f>[1]!EM_S_VAL_DIVIDENDYIELD2(B2563,E2563,"2019-11-29")</f>
        <v>5.2677029360967182</v>
      </c>
      <c r="T2563"/>
      <c r="U2563">
        <f>[1]!EM_S_RATIO_EPS_TTM(B2563,E2563,"1")</f>
        <v>0.68924313868040088</v>
      </c>
      <c r="AT2563" s="4" t="str">
        <f>[1]!EM_S_IPO_LISTEDDATE(B2563)</f>
        <v>2010-10-28</v>
      </c>
    </row>
    <row r="2564" spans="1:46">
      <c r="A2564">
        <v>163</v>
      </c>
      <c r="B2564" t="str">
        <f>"000554"</f>
        <v>000554</v>
      </c>
      <c r="C2564" t="s">
        <v>3085</v>
      </c>
      <c r="D2564" t="str">
        <f>[1]!EM_S_INFO_INDEX_EM(B2564,"1")</f>
        <v>化石能源</v>
      </c>
      <c r="E2564" s="4">
        <f t="shared" si="40"/>
        <v>43465</v>
      </c>
      <c r="F2564" s="11">
        <f>[1]!EM_S_PQ_PCTCHANGE(B2564,"2018-01-01","2019-12-31","3")</f>
        <v>-39.630431039999998</v>
      </c>
      <c r="G2564" s="11">
        <f>[1]!EM_S_PQ_PCTCHANGE(B2564,"2018-12-31","2019-12-30","1")</f>
        <v>-4.8828125</v>
      </c>
      <c r="H2564" s="11">
        <f>[1]!EM_S_FA_YOY_OR(B2564,E2564)</f>
        <v>13.1881664642</v>
      </c>
      <c r="I2564" s="11">
        <f>[1]!EM_S_FA_GROSSPROFITMARGIN(B2564,E2564)</f>
        <v>8.7364542668999992</v>
      </c>
      <c r="J2564" s="11">
        <f>[1]!EM_S_FA_NETPROFITMARGIN(B2564,E2564)</f>
        <v>6.6720420700000005E-2</v>
      </c>
      <c r="K2564" s="10">
        <f>[1]!EM_S_FA_ASSETSTURN(B2564,E2564)</f>
        <v>2.5282660966530002</v>
      </c>
      <c r="L2564" s="12">
        <f>[1]!EM_HKS_VAL_MV(B2564,"2019-12-31","2")</f>
        <v>2355887268</v>
      </c>
      <c r="M2564">
        <f>[1]!EM_S_VAL_PETTMDEDUCTED(B2564,E2564)</f>
        <v>449.44524125938398</v>
      </c>
      <c r="N2564" s="7">
        <f>[1]!EM_S_VAL_PBGOODWILLDEDUCTED(B2564,E2564)</f>
        <v>2.8039364660751001</v>
      </c>
      <c r="O2564" s="7">
        <f>[1]!EM_S_VAL_PS_TTM(B2564,E2564)</f>
        <v>0.81708990313223895</v>
      </c>
      <c r="P2564" s="7">
        <f>[1]!EM_S_VAL_PCF_NCFTTM(B2564,E2564)</f>
        <v>35.614978830734699</v>
      </c>
      <c r="Q2564" s="7">
        <f>[1]!EM_S_VAL_DIVIDENDYIELD2(B2564,E2564,"2019-11-29")</f>
        <v>0</v>
      </c>
      <c r="T2564"/>
      <c r="U2564">
        <f>[1]!EM_S_RATIO_EPS_TTM(B2564,E2564,"1")</f>
        <v>3.9038859358528524E-3</v>
      </c>
      <c r="AT2564" s="4" t="str">
        <f>[1]!EM_S_IPO_LISTEDDATE(B2564)</f>
        <v>1993-12-15</v>
      </c>
    </row>
    <row r="2565" spans="1:46">
      <c r="A2565">
        <v>3190</v>
      </c>
      <c r="B2565" t="str">
        <f>"601985"</f>
        <v>601985</v>
      </c>
      <c r="C2565" t="s">
        <v>917</v>
      </c>
      <c r="D2565" t="str">
        <f>[1]!EM_S_INFO_INDEX_EM(B2565,"1")</f>
        <v>公用事业</v>
      </c>
      <c r="E2565" s="4">
        <f t="shared" si="40"/>
        <v>43465</v>
      </c>
      <c r="F2565" s="11">
        <f>[1]!EM_S_PQ_PCTCHANGE(B2565,"2018-01-01","2019-12-31","3")</f>
        <v>-29.097979479999999</v>
      </c>
      <c r="G2565" s="11">
        <f>[1]!EM_S_PQ_PCTCHANGE(B2565,"2018-12-31","2019-12-30","1")</f>
        <v>-4.9335863399999997</v>
      </c>
      <c r="H2565" s="11">
        <f>[1]!EM_S_FA_YOY_OR(B2565,E2565)</f>
        <v>16.188629859999999</v>
      </c>
      <c r="I2565" s="11">
        <f>[1]!EM_S_FA_GROSSPROFITMARGIN(B2565,E2565)</f>
        <v>41.755393661799999</v>
      </c>
      <c r="J2565" s="11">
        <f>[1]!EM_S_FA_NETPROFITMARGIN(B2565,E2565)</f>
        <v>21.718160016999999</v>
      </c>
      <c r="K2565" s="10">
        <f>[1]!EM_S_FA_ASSETSTURN(B2565,E2565)</f>
        <v>0.125441389593</v>
      </c>
      <c r="L2565" s="12">
        <f>[1]!EM_HKS_VAL_MV(B2565,"2019-12-31","2")</f>
        <v>77827233765</v>
      </c>
      <c r="M2565">
        <f>[1]!EM_S_VAL_PETTMDEDUCTED(B2565,E2565)</f>
        <v>18.946947928783</v>
      </c>
      <c r="N2565" s="7">
        <f>[1]!EM_S_VAL_PBGOODWILLDEDUCTED(B2565,E2565)</f>
        <v>1.76910414688743</v>
      </c>
      <c r="O2565" s="7">
        <f>[1]!EM_S_VAL_PS_TTM(B2565,E2565)</f>
        <v>2.26325649377099</v>
      </c>
      <c r="P2565" s="7">
        <f>[1]!EM_S_VAL_PCF_NCFTTM(B2565,E2565)</f>
        <v>96.406603706265301</v>
      </c>
      <c r="Q2565" s="7">
        <f>[1]!EM_S_VAL_DIVIDENDYIELD2(B2565,E2565,"2019-11-29")</f>
        <v>2.4691358024691357</v>
      </c>
      <c r="T2565"/>
      <c r="U2565">
        <f>[1]!EM_S_RATIO_EPS_TTM(B2565,E2565,"1")</f>
        <v>0.30431943266713479</v>
      </c>
      <c r="AT2565" s="4" t="str">
        <f>[1]!EM_S_IPO_LISTEDDATE(B2565)</f>
        <v>2015-06-10</v>
      </c>
    </row>
    <row r="2566" spans="1:46">
      <c r="A2566">
        <v>1317</v>
      </c>
      <c r="B2566" t="str">
        <f>"002813"</f>
        <v>002813</v>
      </c>
      <c r="C2566" t="s">
        <v>2090</v>
      </c>
      <c r="D2566" t="str">
        <f>[1]!EM_S_INFO_INDEX_EM(B2566,"1")</f>
        <v>交运设备</v>
      </c>
      <c r="E2566" s="4">
        <f t="shared" si="40"/>
        <v>43465</v>
      </c>
      <c r="F2566" s="11">
        <f>[1]!EM_S_PQ_PCTCHANGE(B2566,"2018-01-01","2019-12-31","3")</f>
        <v>-30.212519149999999</v>
      </c>
      <c r="G2566" s="11">
        <f>[1]!EM_S_PQ_PCTCHANGE(B2566,"2018-12-31","2019-12-30","1")</f>
        <v>-4.9401775399999996</v>
      </c>
      <c r="H2566" s="11">
        <f>[1]!EM_S_FA_YOY_OR(B2566,E2566)</f>
        <v>-2.1912045701</v>
      </c>
      <c r="I2566" s="11">
        <f>[1]!EM_S_FA_GROSSPROFITMARGIN(B2566,E2566)</f>
        <v>14.6289900896</v>
      </c>
      <c r="J2566" s="11">
        <f>[1]!EM_S_FA_NETPROFITMARGIN(B2566,E2566)</f>
        <v>1.5362405391</v>
      </c>
      <c r="K2566" s="10">
        <f>[1]!EM_S_FA_ASSETSTURN(B2566,E2566)</f>
        <v>0.46568081975300002</v>
      </c>
      <c r="L2566" s="12">
        <f>[1]!EM_HKS_VAL_MV(B2566,"2019-12-31","2")</f>
        <v>2908800000</v>
      </c>
      <c r="M2566">
        <f>[1]!EM_S_VAL_PETTMDEDUCTED(B2566,E2566)</f>
        <v>-102.09702484977799</v>
      </c>
      <c r="N2566" s="7">
        <f>[1]!EM_S_VAL_PBGOODWILLDEDUCTED(B2566,E2566)</f>
        <v>4.6419956295019897</v>
      </c>
      <c r="O2566" s="7">
        <f>[1]!EM_S_VAL_PS_TTM(B2566,E2566)</f>
        <v>3.9405398955159998</v>
      </c>
      <c r="P2566" s="7">
        <f>[1]!EM_S_VAL_PCF_NCFTTM(B2566,E2566)</f>
        <v>-42.834584533448698</v>
      </c>
      <c r="Q2566" s="7">
        <f>[1]!EM_S_VAL_DIVIDENDYIELD2(B2566,E2566,"2019-11-29")</f>
        <v>0.13032145960034752</v>
      </c>
      <c r="T2566"/>
      <c r="U2566">
        <f>[1]!EM_S_RATIO_EPS_TTM(B2566,E2566,"1")</f>
        <v>0.14127862191666665</v>
      </c>
      <c r="AT2566" s="4" t="str">
        <f>[1]!EM_S_IPO_LISTEDDATE(B2566)</f>
        <v>2016-10-12</v>
      </c>
    </row>
    <row r="2567" spans="1:46">
      <c r="A2567">
        <v>1398</v>
      </c>
      <c r="B2567" t="str">
        <f>"002900"</f>
        <v>002900</v>
      </c>
      <c r="C2567" t="s">
        <v>677</v>
      </c>
      <c r="D2567" t="str">
        <f>[1]!EM_S_INFO_INDEX_EM(B2567,"1")</f>
        <v>医药生物</v>
      </c>
      <c r="E2567" s="4">
        <f t="shared" si="40"/>
        <v>43465</v>
      </c>
      <c r="F2567" s="11">
        <f>[1]!EM_S_PQ_PCTCHANGE(B2567,"2018-01-01","2019-12-31","3")</f>
        <v>-33.426790060000002</v>
      </c>
      <c r="G2567" s="11">
        <f>[1]!EM_S_PQ_PCTCHANGE(B2567,"2018-12-31","2019-12-30","1")</f>
        <v>-4.9668874199999999</v>
      </c>
      <c r="H2567" s="11">
        <f>[1]!EM_S_FA_YOY_OR(B2567,E2567)</f>
        <v>89.106816329699996</v>
      </c>
      <c r="I2567" s="11">
        <f>[1]!EM_S_FA_GROSSPROFITMARGIN(B2567,E2567)</f>
        <v>83.799095810799997</v>
      </c>
      <c r="J2567" s="11">
        <f>[1]!EM_S_FA_NETPROFITMARGIN(B2567,E2567)</f>
        <v>9.4078262218000006</v>
      </c>
      <c r="K2567" s="10">
        <f>[1]!EM_S_FA_ASSETSTURN(B2567,E2567)</f>
        <v>0.92500611769399999</v>
      </c>
      <c r="L2567" s="12">
        <f>[1]!EM_HKS_VAL_MV(B2567,"2019-12-31","2")</f>
        <v>3780204597</v>
      </c>
      <c r="M2567">
        <f>[1]!EM_S_VAL_PETTMDEDUCTED(B2567,E2567)</f>
        <v>27.488327189286601</v>
      </c>
      <c r="N2567" s="7">
        <f>[1]!EM_S_VAL_PBGOODWILLDEDUCTED(B2567,E2567)</f>
        <v>1.97341725552007</v>
      </c>
      <c r="O2567" s="7">
        <f>[1]!EM_S_VAL_PS_TTM(B2567,E2567)</f>
        <v>1.8595729661377201</v>
      </c>
      <c r="P2567" s="7">
        <f>[1]!EM_S_VAL_PCF_NCFTTM(B2567,E2567)</f>
        <v>-6.1729792692077803</v>
      </c>
      <c r="Q2567" s="7">
        <f>[1]!EM_S_VAL_DIVIDENDYIELD2(B2567,E2567,"2019-11-29")</f>
        <v>5.9037238873751132</v>
      </c>
      <c r="T2567"/>
      <c r="U2567">
        <f>[1]!EM_S_RATIO_EPS_TTM(B2567,E2567,"1")</f>
        <v>0.65007374294476583</v>
      </c>
      <c r="AT2567" s="4" t="str">
        <f>[1]!EM_S_IPO_LISTEDDATE(B2567)</f>
        <v>2017-09-22</v>
      </c>
    </row>
    <row r="2568" spans="1:46">
      <c r="A2568">
        <v>2727</v>
      </c>
      <c r="B2568" t="str">
        <f>"600654"</f>
        <v>600654</v>
      </c>
      <c r="C2568" t="s">
        <v>3556</v>
      </c>
      <c r="D2568" t="str">
        <f>[1]!EM_S_INFO_INDEX_EM(B2568,"1")</f>
        <v>信息技术</v>
      </c>
      <c r="E2568" s="4">
        <f t="shared" si="40"/>
        <v>43465</v>
      </c>
      <c r="F2568" s="11">
        <f>[1]!EM_S_PQ_PCTCHANGE(B2568,"2018-01-01","2019-12-31","3")</f>
        <v>-64.083175800000006</v>
      </c>
      <c r="G2568" s="11">
        <f>[1]!EM_S_PQ_PCTCHANGE(B2568,"2018-12-31","2019-12-30","1")</f>
        <v>-5</v>
      </c>
      <c r="H2568" s="11">
        <f>[1]!EM_S_FA_YOY_OR(B2568,E2568)</f>
        <v>22.1384136488</v>
      </c>
      <c r="I2568" s="11">
        <f>[1]!EM_S_FA_GROSSPROFITMARGIN(B2568,E2568)</f>
        <v>14.1570543363</v>
      </c>
      <c r="J2568" s="11">
        <f>[1]!EM_S_FA_NETPROFITMARGIN(B2568,E2568)</f>
        <v>-54.616767404900003</v>
      </c>
      <c r="K2568" s="10">
        <f>[1]!EM_S_FA_ASSETSTURN(B2568,E2568)</f>
        <v>0.48833785223699999</v>
      </c>
      <c r="L2568" s="12">
        <f>[1]!EM_HKS_VAL_MV(B2568,"2019-12-31","2")</f>
        <v>2437739884.8000002</v>
      </c>
      <c r="M2568">
        <f>[1]!EM_S_VAL_PETTMDEDUCTED(B2568,E2568)</f>
        <v>-3.6721660968051699</v>
      </c>
      <c r="N2568" s="7">
        <f>[1]!EM_S_VAL_PBGOODWILLDEDUCTED(B2568,E2568)</f>
        <v>-3.4103317272076401</v>
      </c>
      <c r="O2568" s="7">
        <f>[1]!EM_S_VAL_PS_TTM(B2568,E2568)</f>
        <v>0.67944449651786898</v>
      </c>
      <c r="P2568" s="7">
        <f>[1]!EM_S_VAL_PCF_NCFTTM(B2568,E2568)</f>
        <v>-43.699248489548403</v>
      </c>
      <c r="Q2568" s="7">
        <f>[1]!EM_S_VAL_DIVIDENDYIELD2(B2568,E2568,"2019-11-29")</f>
        <v>0</v>
      </c>
      <c r="T2568"/>
      <c r="U2568">
        <f>[1]!EM_S_RATIO_EPS_TTM(B2568,E2568,"1")</f>
        <v>-1.5437564840482361</v>
      </c>
      <c r="AT2568" s="4" t="str">
        <f>[1]!EM_S_IPO_LISTEDDATE(B2568)</f>
        <v>1990-12-19</v>
      </c>
    </row>
    <row r="2569" spans="1:46">
      <c r="A2569">
        <v>3424</v>
      </c>
      <c r="B2569" t="str">
        <f>"603533"</f>
        <v>603533</v>
      </c>
      <c r="C2569" t="s">
        <v>602</v>
      </c>
      <c r="D2569" t="str">
        <f>[1]!EM_S_INFO_INDEX_EM(B2569,"1")</f>
        <v>互联网</v>
      </c>
      <c r="E2569" s="4">
        <f t="shared" si="40"/>
        <v>43465</v>
      </c>
      <c r="F2569" s="11">
        <f>[1]!EM_S_PQ_PCTCHANGE(B2569,"2018-01-01","2019-12-31","3")</f>
        <v>-62.323304919999998</v>
      </c>
      <c r="G2569" s="11">
        <f>[1]!EM_S_PQ_PCTCHANGE(B2569,"2018-12-31","2019-12-30","1")</f>
        <v>-5.0056243</v>
      </c>
      <c r="H2569" s="11">
        <f>[1]!EM_S_FA_YOY_OR(B2569,E2569)</f>
        <v>14.1668592503</v>
      </c>
      <c r="I2569" s="11">
        <f>[1]!EM_S_FA_GROSSPROFITMARGIN(B2569,E2569)</f>
        <v>29.4613686824</v>
      </c>
      <c r="J2569" s="11">
        <f>[1]!EM_S_FA_NETPROFITMARGIN(B2569,E2569)</f>
        <v>7.1526601078000001</v>
      </c>
      <c r="K2569" s="10">
        <f>[1]!EM_S_FA_ASSETSTURN(B2569,E2569)</f>
        <v>1.2931647304239999</v>
      </c>
      <c r="L2569" s="12">
        <f>[1]!EM_HKS_VAL_MV(B2569,"2019-12-31","2")</f>
        <v>6792940000</v>
      </c>
      <c r="M2569">
        <f>[1]!EM_S_VAL_PETTMDEDUCTED(B2569,E2569)</f>
        <v>56.614368103720402</v>
      </c>
      <c r="N2569" s="7">
        <f>[1]!EM_S_VAL_PBGOODWILLDEDUCTED(B2569,E2569)</f>
        <v>6.4283416840846703</v>
      </c>
      <c r="O2569" s="7">
        <f>[1]!EM_S_VAL_PS_TTM(B2569,E2569)</f>
        <v>3.8409092717532798</v>
      </c>
      <c r="P2569" s="7">
        <f>[1]!EM_S_VAL_PCF_NCFTTM(B2569,E2569)</f>
        <v>-11.996074401865499</v>
      </c>
      <c r="Q2569" s="7">
        <f>[1]!EM_S_VAL_DIVIDENDYIELD2(B2569,E2569,"2019-11-29")</f>
        <v>0.66026410564225702</v>
      </c>
      <c r="T2569"/>
      <c r="U2569">
        <f>[1]!EM_S_RATIO_EPS_TTM(B2569,E2569,"1")</f>
        <v>0.34742038054862839</v>
      </c>
      <c r="AT2569" s="4" t="str">
        <f>[1]!EM_S_IPO_LISTEDDATE(B2569)</f>
        <v>2017-09-21</v>
      </c>
    </row>
    <row r="2570" spans="1:46">
      <c r="A2570">
        <v>2880</v>
      </c>
      <c r="B2570" t="str">
        <f>"600807"</f>
        <v>600807</v>
      </c>
      <c r="C2570" t="s">
        <v>3626</v>
      </c>
      <c r="D2570" t="str">
        <f>[1]!EM_S_INFO_INDEX_EM(B2570,"1")</f>
        <v>有色金属</v>
      </c>
      <c r="E2570" s="4">
        <f t="shared" si="40"/>
        <v>43465</v>
      </c>
      <c r="F2570" s="11">
        <f>[1]!EM_S_PQ_PCTCHANGE(B2570,"2018-01-01","2019-12-31","3")</f>
        <v>-63.936063939999997</v>
      </c>
      <c r="G2570" s="11">
        <f>[1]!EM_S_PQ_PCTCHANGE(B2570,"2018-12-31","2019-12-30","1")</f>
        <v>-5.0264550300000002</v>
      </c>
      <c r="H2570" s="11">
        <f>[1]!EM_S_FA_YOY_OR(B2570,E2570)</f>
        <v>-25.578613746999999</v>
      </c>
      <c r="I2570" s="11">
        <f>[1]!EM_S_FA_GROSSPROFITMARGIN(B2570,E2570)</f>
        <v>13.648028780100001</v>
      </c>
      <c r="J2570" s="11">
        <f>[1]!EM_S_FA_NETPROFITMARGIN(B2570,E2570)</f>
        <v>2.4584129577999998</v>
      </c>
      <c r="K2570" s="10">
        <f>[1]!EM_S_FA_ASSETSTURN(B2570,E2570)</f>
        <v>0.17618398951200001</v>
      </c>
      <c r="L2570" s="12">
        <f>[1]!EM_HKS_VAL_MV(B2570,"2019-12-31","2")</f>
        <v>3193531378.9099998</v>
      </c>
      <c r="M2570">
        <f>[1]!EM_S_VAL_PETTMDEDUCTED(B2570,E2570)</f>
        <v>-2.1653288828739798</v>
      </c>
      <c r="N2570" s="7">
        <f>[1]!EM_S_VAL_PBGOODWILLDEDUCTED(B2570,E2570)</f>
        <v>2.72147017152419</v>
      </c>
      <c r="O2570" s="7">
        <f>[1]!EM_S_VAL_PS_TTM(B2570,E2570)</f>
        <v>1.9066790733058501</v>
      </c>
      <c r="P2570" s="7">
        <f>[1]!EM_S_VAL_PCF_NCFTTM(B2570,E2570)</f>
        <v>-2.99315530335396</v>
      </c>
      <c r="Q2570" s="7">
        <f>[1]!EM_S_VAL_DIVIDENDYIELD2(B2570,E2570,"2019-11-29")</f>
        <v>0</v>
      </c>
      <c r="T2570"/>
      <c r="U2570">
        <f>[1]!EM_S_RATIO_EPS_TTM(B2570,E2570,"1")</f>
        <v>4.0562481985573322E-2</v>
      </c>
      <c r="AT2570" s="4" t="str">
        <f>[1]!EM_S_IPO_LISTEDDATE(B2570)</f>
        <v>1994-01-03</v>
      </c>
    </row>
    <row r="2571" spans="1:46">
      <c r="A2571">
        <v>2350</v>
      </c>
      <c r="B2571" t="str">
        <f>"600215"</f>
        <v>600215</v>
      </c>
      <c r="C2571" t="s">
        <v>3213</v>
      </c>
      <c r="D2571" t="str">
        <f>[1]!EM_S_INFO_INDEX_EM(B2571,"1")</f>
        <v>房地产</v>
      </c>
      <c r="E2571" s="4">
        <f t="shared" si="40"/>
        <v>43465</v>
      </c>
      <c r="F2571" s="11">
        <f>[1]!EM_S_PQ_PCTCHANGE(B2571,"2018-01-01","2019-12-31","3")</f>
        <v>-37.931557759999997</v>
      </c>
      <c r="G2571" s="11">
        <f>[1]!EM_S_PQ_PCTCHANGE(B2571,"2018-12-31","2019-12-30","1")</f>
        <v>-5.0445103900000001</v>
      </c>
      <c r="H2571" s="11">
        <f>[1]!EM_S_FA_YOY_OR(B2571,E2571)</f>
        <v>41.159592238099997</v>
      </c>
      <c r="I2571" s="11">
        <f>[1]!EM_S_FA_GROSSPROFITMARGIN(B2571,E2571)</f>
        <v>15.994584999900001</v>
      </c>
      <c r="J2571" s="11">
        <f>[1]!EM_S_FA_NETPROFITMARGIN(B2571,E2571)</f>
        <v>16.5906764271</v>
      </c>
      <c r="K2571" s="10">
        <f>[1]!EM_S_FA_ASSETSTURN(B2571,E2571)</f>
        <v>0.194791668571</v>
      </c>
      <c r="L2571" s="12">
        <f>[1]!EM_HKS_VAL_MV(B2571,"2019-12-31","2")</f>
        <v>3050615692.8000002</v>
      </c>
      <c r="M2571">
        <f>[1]!EM_S_VAL_PETTMDEDUCTED(B2571,E2571)</f>
        <v>66.468658426544295</v>
      </c>
      <c r="N2571" s="7">
        <f>[1]!EM_S_VAL_PBGOODWILLDEDUCTED(B2571,E2571)</f>
        <v>1.2405936223465699</v>
      </c>
      <c r="O2571" s="7">
        <f>[1]!EM_S_VAL_PS_TTM(B2571,E2571)</f>
        <v>4.3335227300972399</v>
      </c>
      <c r="P2571" s="7">
        <f>[1]!EM_S_VAL_PCF_NCFTTM(B2571,E2571)</f>
        <v>3.1840732722813598</v>
      </c>
      <c r="Q2571" s="7">
        <f>[1]!EM_S_VAL_DIVIDENDYIELD2(B2571,E2571,"2019-11-29")</f>
        <v>0.99378881987577639</v>
      </c>
      <c r="T2571"/>
      <c r="U2571">
        <f>[1]!EM_S_RATIO_EPS_TTM(B2571,E2571,"1")</f>
        <v>0.21011356416346302</v>
      </c>
      <c r="AT2571" s="4" t="str">
        <f>[1]!EM_S_IPO_LISTEDDATE(B2571)</f>
        <v>1999-09-09</v>
      </c>
    </row>
    <row r="2572" spans="1:46">
      <c r="A2572">
        <v>3230</v>
      </c>
      <c r="B2572" t="str">
        <f>"603033"</f>
        <v>603033</v>
      </c>
      <c r="C2572" t="s">
        <v>1866</v>
      </c>
      <c r="D2572" t="str">
        <f>[1]!EM_S_INFO_INDEX_EM(B2572,"1")</f>
        <v>基础化工</v>
      </c>
      <c r="E2572" s="4">
        <f t="shared" si="40"/>
        <v>43465</v>
      </c>
      <c r="F2572" s="11">
        <f>[1]!EM_S_PQ_PCTCHANGE(B2572,"2018-01-01","2019-12-31","3")</f>
        <v>38.16995902</v>
      </c>
      <c r="G2572" s="11">
        <f>[1]!EM_S_PQ_PCTCHANGE(B2572,"2018-12-31","2019-12-30","1")</f>
        <v>-5.0847457599999997</v>
      </c>
      <c r="H2572" s="11">
        <f>[1]!EM_S_FA_YOY_OR(B2572,E2572)</f>
        <v>12.6878210663</v>
      </c>
      <c r="I2572" s="11">
        <f>[1]!EM_S_FA_GROSSPROFITMARGIN(B2572,E2572)</f>
        <v>22.940881230999999</v>
      </c>
      <c r="J2572" s="11">
        <f>[1]!EM_S_FA_NETPROFITMARGIN(B2572,E2572)</f>
        <v>7.3869810953000004</v>
      </c>
      <c r="K2572" s="10">
        <f>[1]!EM_S_FA_ASSETSTURN(B2572,E2572)</f>
        <v>0.67623449312999995</v>
      </c>
      <c r="L2572" s="12">
        <f>[1]!EM_HKS_VAL_MV(B2572,"2019-12-31","2")</f>
        <v>5646956608.3000002</v>
      </c>
      <c r="M2572">
        <f>[1]!EM_S_VAL_PETTMDEDUCTED(B2572,E2572)</f>
        <v>25.137525603170399</v>
      </c>
      <c r="N2572" s="7">
        <f>[1]!EM_S_VAL_PBGOODWILLDEDUCTED(B2572,E2572)</f>
        <v>2.01728379224671</v>
      </c>
      <c r="O2572" s="7">
        <f>[1]!EM_S_VAL_PS_TTM(B2572,E2572)</f>
        <v>2.1866637292707298</v>
      </c>
      <c r="P2572" s="7">
        <f>[1]!EM_S_VAL_PCF_NCFTTM(B2572,E2572)</f>
        <v>37.043864533419303</v>
      </c>
      <c r="Q2572" s="7">
        <f>[1]!EM_S_VAL_DIVIDENDYIELD2(B2572,E2572,"2019-11-29")</f>
        <v>0.51759834402535765</v>
      </c>
      <c r="T2572"/>
      <c r="U2572">
        <f>[1]!EM_S_RATIO_EPS_TTM(B2572,E2572,"1")</f>
        <v>0.64514198046936533</v>
      </c>
      <c r="AT2572" s="4" t="str">
        <f>[1]!EM_S_IPO_LISTEDDATE(B2572)</f>
        <v>2016-12-07</v>
      </c>
    </row>
    <row r="2573" spans="1:46">
      <c r="A2573">
        <v>1823</v>
      </c>
      <c r="B2573" t="str">
        <f>"300398"</f>
        <v>300398</v>
      </c>
      <c r="C2573" t="s">
        <v>548</v>
      </c>
      <c r="D2573" t="str">
        <f>[1]!EM_S_INFO_INDEX_EM(B2573,"1")</f>
        <v>基础化工</v>
      </c>
      <c r="E2573" s="4">
        <f t="shared" si="40"/>
        <v>43465</v>
      </c>
      <c r="F2573" s="11">
        <f>[1]!EM_S_PQ_PCTCHANGE(B2573,"2018-01-01","2019-12-31","3")</f>
        <v>-14.415377250000001</v>
      </c>
      <c r="G2573" s="11">
        <f>[1]!EM_S_PQ_PCTCHANGE(B2573,"2018-12-31","2019-12-30","1")</f>
        <v>-5.0955414000000001</v>
      </c>
      <c r="H2573" s="11">
        <f>[1]!EM_S_FA_YOY_OR(B2573,E2573)</f>
        <v>76.228294790999996</v>
      </c>
      <c r="I2573" s="11">
        <f>[1]!EM_S_FA_GROSSPROFITMARGIN(B2573,E2573)</f>
        <v>46.408682803600001</v>
      </c>
      <c r="J2573" s="11">
        <f>[1]!EM_S_FA_NETPROFITMARGIN(B2573,E2573)</f>
        <v>19.943994464700001</v>
      </c>
      <c r="K2573" s="10">
        <f>[1]!EM_S_FA_ASSETSTURN(B2573,E2573)</f>
        <v>0.45051824117200001</v>
      </c>
      <c r="L2573" s="12">
        <f>[1]!EM_HKS_VAL_MV(B2573,"2019-12-31","2")</f>
        <v>7738748318.6000004</v>
      </c>
      <c r="M2573">
        <f>[1]!EM_S_VAL_PETTMDEDUCTED(B2573,E2573)</f>
        <v>25.946765878815</v>
      </c>
      <c r="N2573" s="7">
        <f>[1]!EM_S_VAL_PBGOODWILLDEDUCTED(B2573,E2573)</f>
        <v>4.3536114446067398</v>
      </c>
      <c r="O2573" s="7">
        <f>[1]!EM_S_VAL_PS_TTM(B2573,E2573)</f>
        <v>4.6441797521566501</v>
      </c>
      <c r="P2573" s="7">
        <f>[1]!EM_S_VAL_PCF_NCFTTM(B2573,E2573)</f>
        <v>-18.136332222901</v>
      </c>
      <c r="Q2573" s="7">
        <f>[1]!EM_S_VAL_DIVIDENDYIELD2(B2573,E2573,"2019-11-29")</f>
        <v>0.63268862279446858</v>
      </c>
      <c r="T2573"/>
      <c r="U2573">
        <f>[1]!EM_S_RATIO_EPS_TTM(B2573,E2573,"1")</f>
        <v>0.66653322839276941</v>
      </c>
      <c r="AT2573" s="4" t="str">
        <f>[1]!EM_S_IPO_LISTEDDATE(B2573)</f>
        <v>2014-10-09</v>
      </c>
    </row>
    <row r="2574" spans="1:46">
      <c r="A2574">
        <v>2627</v>
      </c>
      <c r="B2574" t="str">
        <f>"600551"</f>
        <v>600551</v>
      </c>
      <c r="C2574" t="s">
        <v>1096</v>
      </c>
      <c r="D2574" t="str">
        <f>[1]!EM_S_INFO_INDEX_EM(B2574,"1")</f>
        <v>文化传媒</v>
      </c>
      <c r="E2574" s="4">
        <f t="shared" si="40"/>
        <v>43465</v>
      </c>
      <c r="F2574" s="11">
        <f>[1]!EM_S_PQ_PCTCHANGE(B2574,"2018-01-01","2019-12-31","3")</f>
        <v>-27.34544653</v>
      </c>
      <c r="G2574" s="11">
        <f>[1]!EM_S_PQ_PCTCHANGE(B2574,"2018-12-31","2019-12-30","1")</f>
        <v>-5.1044083499999999</v>
      </c>
      <c r="H2574" s="11">
        <f>[1]!EM_S_FA_YOY_OR(B2574,E2574)</f>
        <v>-2.5710645817</v>
      </c>
      <c r="I2574" s="11">
        <f>[1]!EM_S_FA_GROSSPROFITMARGIN(B2574,E2574)</f>
        <v>11.3500396115</v>
      </c>
      <c r="J2574" s="11">
        <f>[1]!EM_S_FA_NETPROFITMARGIN(B2574,E2574)</f>
        <v>5.1623712307999998</v>
      </c>
      <c r="K2574" s="10">
        <f>[1]!EM_S_FA_ASSETSTURN(B2574,E2574)</f>
        <v>0.951827305362</v>
      </c>
      <c r="L2574" s="12">
        <f>[1]!EM_HKS_VAL_MV(B2574,"2019-12-31","2")</f>
        <v>4147767427.1999998</v>
      </c>
      <c r="M2574">
        <f>[1]!EM_S_VAL_PETTMDEDUCTED(B2574,E2574)</f>
        <v>69.290872922499503</v>
      </c>
      <c r="N2574" s="7">
        <f>[1]!EM_S_VAL_PBGOODWILLDEDUCTED(B2574,E2574)</f>
        <v>0.94197811612150695</v>
      </c>
      <c r="O2574" s="7">
        <f>[1]!EM_S_VAL_PS_TTM(B2574,E2574)</f>
        <v>0.70513679379781902</v>
      </c>
      <c r="P2574" s="7">
        <f>[1]!EM_S_VAL_PCF_NCFTTM(B2574,E2574)</f>
        <v>-32.430872904506899</v>
      </c>
      <c r="Q2574" s="7">
        <f>[1]!EM_S_VAL_DIVIDENDYIELD2(B2574,E2574,"2019-11-29")</f>
        <v>2.4547803617571056</v>
      </c>
      <c r="T2574"/>
      <c r="U2574">
        <f>[1]!EM_S_RATIO_EPS_TTM(B2574,E2574,"1")</f>
        <v>0.65159433874971717</v>
      </c>
      <c r="AT2574" s="4" t="str">
        <f>[1]!EM_S_IPO_LISTEDDATE(B2574)</f>
        <v>2002-09-05</v>
      </c>
    </row>
    <row r="2575" spans="1:46">
      <c r="A2575">
        <v>2311</v>
      </c>
      <c r="B2575" t="str">
        <f>"600172"</f>
        <v>600172</v>
      </c>
      <c r="C2575" t="s">
        <v>1894</v>
      </c>
      <c r="D2575" t="str">
        <f>[1]!EM_S_INFO_INDEX_EM(B2575,"1")</f>
        <v>有色金属</v>
      </c>
      <c r="E2575" s="4">
        <f t="shared" si="40"/>
        <v>43465</v>
      </c>
      <c r="F2575" s="11">
        <f>[1]!EM_S_PQ_PCTCHANGE(B2575,"2018-01-01","2019-12-31","3")</f>
        <v>-66.818700109999995</v>
      </c>
      <c r="G2575" s="11">
        <f>[1]!EM_S_PQ_PCTCHANGE(B2575,"2018-12-31","2019-12-30","1")</f>
        <v>-5.2459016399999996</v>
      </c>
      <c r="H2575" s="11">
        <f>[1]!EM_S_FA_YOY_OR(B2575,E2575)</f>
        <v>7.0297510586999996</v>
      </c>
      <c r="I2575" s="11">
        <f>[1]!EM_S_FA_GROSSPROFITMARGIN(B2575,E2575)</f>
        <v>22.9257613439</v>
      </c>
      <c r="J2575" s="11">
        <f>[1]!EM_S_FA_NETPROFITMARGIN(B2575,E2575)</f>
        <v>-7.8852357397999997</v>
      </c>
      <c r="K2575" s="10">
        <f>[1]!EM_S_FA_ASSETSTURN(B2575,E2575)</f>
        <v>0.29362512895300003</v>
      </c>
      <c r="L2575" s="12">
        <f>[1]!EM_HKS_VAL_MV(B2575,"2019-12-31","2")</f>
        <v>4196756825.1599998</v>
      </c>
      <c r="M2575">
        <f>[1]!EM_S_VAL_PETTMDEDUCTED(B2575,E2575)</f>
        <v>14.0208681507634</v>
      </c>
      <c r="N2575" s="7">
        <f>[1]!EM_S_VAL_PBGOODWILLDEDUCTED(B2575,E2575)</f>
        <v>0.991723285704601</v>
      </c>
      <c r="O2575" s="7">
        <f>[1]!EM_S_VAL_PS_TTM(B2575,E2575)</f>
        <v>1.3327530257985001</v>
      </c>
      <c r="P2575" s="7">
        <f>[1]!EM_S_VAL_PCF_NCFTTM(B2575,E2575)</f>
        <v>16.0645445492387</v>
      </c>
      <c r="Q2575" s="7">
        <f>[1]!EM_S_VAL_DIVIDENDYIELD2(B2575,E2575,"2019-11-29")</f>
        <v>0</v>
      </c>
      <c r="T2575"/>
      <c r="U2575">
        <f>[1]!EM_S_RATIO_EPS_TTM(B2575,E2575,"1")</f>
        <v>-0.16094390846841319</v>
      </c>
      <c r="AT2575" s="4" t="str">
        <f>[1]!EM_S_IPO_LISTEDDATE(B2575)</f>
        <v>1998-11-26</v>
      </c>
    </row>
    <row r="2576" spans="1:46">
      <c r="A2576">
        <v>789</v>
      </c>
      <c r="B2576" t="str">
        <f>"002278"</f>
        <v>002278</v>
      </c>
      <c r="C2576" t="s">
        <v>3259</v>
      </c>
      <c r="D2576" t="str">
        <f>[1]!EM_S_INFO_INDEX_EM(B2576,"1")</f>
        <v>机械设备</v>
      </c>
      <c r="E2576" s="4">
        <f t="shared" si="40"/>
        <v>43465</v>
      </c>
      <c r="F2576" s="11">
        <f>[1]!EM_S_PQ_PCTCHANGE(B2576,"2018-01-01","2019-12-31","3")</f>
        <v>-55.744248990000003</v>
      </c>
      <c r="G2576" s="11">
        <f>[1]!EM_S_PQ_PCTCHANGE(B2576,"2018-12-31","2019-12-30","1")</f>
        <v>-5.2710843399999998</v>
      </c>
      <c r="H2576" s="11">
        <f>[1]!EM_S_FA_YOY_OR(B2576,E2576)</f>
        <v>35.432855717700001</v>
      </c>
      <c r="I2576" s="11">
        <f>[1]!EM_S_FA_GROSSPROFITMARGIN(B2576,E2576)</f>
        <v>32.615574332900003</v>
      </c>
      <c r="J2576" s="11">
        <f>[1]!EM_S_FA_NETPROFITMARGIN(B2576,E2576)</f>
        <v>4.9150392008999999</v>
      </c>
      <c r="K2576" s="10">
        <f>[1]!EM_S_FA_ASSETSTURN(B2576,E2576)</f>
        <v>0.43693666411499998</v>
      </c>
      <c r="L2576" s="12">
        <f>[1]!EM_HKS_VAL_MV(B2576,"2019-12-31","2")</f>
        <v>2303548071.8400002</v>
      </c>
      <c r="M2576">
        <f>[1]!EM_S_VAL_PETTMDEDUCTED(B2576,E2576)</f>
        <v>407.209055227965</v>
      </c>
      <c r="N2576" s="7">
        <f>[1]!EM_S_VAL_PBGOODWILLDEDUCTED(B2576,E2576)</f>
        <v>2.37582534143522</v>
      </c>
      <c r="O2576" s="7">
        <f>[1]!EM_S_VAL_PS_TTM(B2576,E2576)</f>
        <v>3.90943882877264</v>
      </c>
      <c r="P2576" s="7">
        <f>[1]!EM_S_VAL_PCF_NCFTTM(B2576,E2576)</f>
        <v>-41.814828426207796</v>
      </c>
      <c r="Q2576" s="7">
        <f>[1]!EM_S_VAL_DIVIDENDYIELD2(B2576,E2576,"2019-11-29")</f>
        <v>0.86355785837651122</v>
      </c>
      <c r="T2576"/>
      <c r="U2576">
        <f>[1]!EM_S_RATIO_EPS_TTM(B2576,E2576,"1")</f>
        <v>8.178400103863144E-2</v>
      </c>
      <c r="AT2576" s="4" t="str">
        <f>[1]!EM_S_IPO_LISTEDDATE(B2576)</f>
        <v>2009-08-11</v>
      </c>
    </row>
    <row r="2577" spans="1:46">
      <c r="A2577">
        <v>1331</v>
      </c>
      <c r="B2577" t="str">
        <f>"002828"</f>
        <v>002828</v>
      </c>
      <c r="C2577" t="s">
        <v>3345</v>
      </c>
      <c r="D2577" t="str">
        <f>[1]!EM_S_INFO_INDEX_EM(B2577,"1")</f>
        <v>化石能源</v>
      </c>
      <c r="E2577" s="4">
        <f t="shared" si="40"/>
        <v>43465</v>
      </c>
      <c r="F2577" s="11">
        <f>[1]!EM_S_PQ_PCTCHANGE(B2577,"2018-01-01","2019-12-31","3")</f>
        <v>-17.070625239999998</v>
      </c>
      <c r="G2577" s="11">
        <f>[1]!EM_S_PQ_PCTCHANGE(B2577,"2018-12-31","2019-12-30","1")</f>
        <v>-5.2991453000000002</v>
      </c>
      <c r="H2577" s="11">
        <f>[1]!EM_S_FA_YOY_OR(B2577,E2577)</f>
        <v>39.2779816432</v>
      </c>
      <c r="I2577" s="11">
        <f>[1]!EM_S_FA_GROSSPROFITMARGIN(B2577,E2577)</f>
        <v>20.5046166118</v>
      </c>
      <c r="J2577" s="11">
        <f>[1]!EM_S_FA_NETPROFITMARGIN(B2577,E2577)</f>
        <v>5.0718653478000002</v>
      </c>
      <c r="K2577" s="10">
        <f>[1]!EM_S_FA_ASSETSTURN(B2577,E2577)</f>
        <v>0.54396740531599996</v>
      </c>
      <c r="L2577" s="12">
        <f>[1]!EM_HKS_VAL_MV(B2577,"2019-12-31","2")</f>
        <v>2241325781</v>
      </c>
      <c r="M2577">
        <f>[1]!EM_S_VAL_PETTMDEDUCTED(B2577,E2577)</f>
        <v>35.536678458577903</v>
      </c>
      <c r="N2577" s="7">
        <f>[1]!EM_S_VAL_PBGOODWILLDEDUCTED(B2577,E2577)</f>
        <v>2.5251787630921498</v>
      </c>
      <c r="O2577" s="7">
        <f>[1]!EM_S_VAL_PS_TTM(B2577,E2577)</f>
        <v>2.9576177727055302</v>
      </c>
      <c r="P2577" s="7">
        <f>[1]!EM_S_VAL_PCF_NCFTTM(B2577,E2577)</f>
        <v>-14.4246570452716</v>
      </c>
      <c r="Q2577" s="7">
        <f>[1]!EM_S_VAL_DIVIDENDYIELD2(B2577,E2577,"2019-11-29")</f>
        <v>0.56272071539937119</v>
      </c>
      <c r="T2577"/>
      <c r="U2577">
        <f>[1]!EM_S_RATIO_EPS_TTM(B2577,E2577,"1")</f>
        <v>0.22203897459448896</v>
      </c>
      <c r="AT2577" s="4" t="str">
        <f>[1]!EM_S_IPO_LISTEDDATE(B2577)</f>
        <v>2016-12-08</v>
      </c>
    </row>
    <row r="2578" spans="1:46">
      <c r="A2578">
        <v>1774</v>
      </c>
      <c r="B2578" t="str">
        <f>"300349"</f>
        <v>300349</v>
      </c>
      <c r="C2578" t="s">
        <v>864</v>
      </c>
      <c r="D2578" t="str">
        <f>[1]!EM_S_INFO_INDEX_EM(B2578,"1")</f>
        <v>机械设备</v>
      </c>
      <c r="E2578" s="4">
        <f t="shared" si="40"/>
        <v>43465</v>
      </c>
      <c r="F2578" s="11">
        <f>[1]!EM_S_PQ_PCTCHANGE(B2578,"2018-01-01","2019-12-31","3")</f>
        <v>-28.369432320000001</v>
      </c>
      <c r="G2578" s="11">
        <f>[1]!EM_S_PQ_PCTCHANGE(B2578,"2018-12-31","2019-12-30","1")</f>
        <v>-5.3416149099999997</v>
      </c>
      <c r="H2578" s="11">
        <f>[1]!EM_S_FA_YOY_OR(B2578,E2578)</f>
        <v>20.879970408399998</v>
      </c>
      <c r="I2578" s="11">
        <f>[1]!EM_S_FA_GROSSPROFITMARGIN(B2578,E2578)</f>
        <v>48.6817734296</v>
      </c>
      <c r="J2578" s="11">
        <f>[1]!EM_S_FA_NETPROFITMARGIN(B2578,E2578)</f>
        <v>24.311446893500001</v>
      </c>
      <c r="K2578" s="10">
        <f>[1]!EM_S_FA_ASSETSTURN(B2578,E2578)</f>
        <v>0.47479644860999998</v>
      </c>
      <c r="L2578" s="12">
        <f>[1]!EM_HKS_VAL_MV(B2578,"2019-12-31","2")</f>
        <v>6544072146.25</v>
      </c>
      <c r="M2578">
        <f>[1]!EM_S_VAL_PETTMDEDUCTED(B2578,E2578)</f>
        <v>14.949514141282901</v>
      </c>
      <c r="N2578" s="7">
        <f>[1]!EM_S_VAL_PBGOODWILLDEDUCTED(B2578,E2578)</f>
        <v>3.0669579106157601</v>
      </c>
      <c r="O2578" s="7">
        <f>[1]!EM_S_VAL_PS_TTM(B2578,E2578)</f>
        <v>3.2974603630758899</v>
      </c>
      <c r="P2578" s="7">
        <f>[1]!EM_S_VAL_PCF_NCFTTM(B2578,E2578)</f>
        <v>45.761810297160302</v>
      </c>
      <c r="Q2578" s="7">
        <f>[1]!EM_S_VAL_DIVIDENDYIELD2(B2578,E2578,"2019-11-29")</f>
        <v>3.5688793718772307</v>
      </c>
      <c r="T2578"/>
      <c r="U2578">
        <f>[1]!EM_S_RATIO_EPS_TTM(B2578,E2578,"1")</f>
        <v>1.1601116137988468</v>
      </c>
      <c r="AT2578" s="4" t="str">
        <f>[1]!EM_S_IPO_LISTEDDATE(B2578)</f>
        <v>2012-08-17</v>
      </c>
    </row>
    <row r="2579" spans="1:46">
      <c r="A2579">
        <v>1082</v>
      </c>
      <c r="B2579" t="str">
        <f>"002571"</f>
        <v>002571</v>
      </c>
      <c r="C2579" t="s">
        <v>3386</v>
      </c>
      <c r="D2579" t="str">
        <f>[1]!EM_S_INFO_INDEX_EM(B2579,"1")</f>
        <v>轻工制造</v>
      </c>
      <c r="E2579" s="4">
        <f t="shared" si="40"/>
        <v>43465</v>
      </c>
      <c r="F2579" s="11">
        <f>[1]!EM_S_PQ_PCTCHANGE(B2579,"2018-01-01","2019-12-31","3")</f>
        <v>-36.125</v>
      </c>
      <c r="G2579" s="11">
        <f>[1]!EM_S_PQ_PCTCHANGE(B2579,"2018-12-31","2019-12-30","1")</f>
        <v>-5.35372849</v>
      </c>
      <c r="H2579" s="11">
        <f>[1]!EM_S_FA_YOY_OR(B2579,E2579)</f>
        <v>-0.1669032319</v>
      </c>
      <c r="I2579" s="11">
        <f>[1]!EM_S_FA_GROSSPROFITMARGIN(B2579,E2579)</f>
        <v>18.6837655068</v>
      </c>
      <c r="J2579" s="11">
        <f>[1]!EM_S_FA_NETPROFITMARGIN(B2579,E2579)</f>
        <v>-16.160953540200001</v>
      </c>
      <c r="K2579" s="10">
        <f>[1]!EM_S_FA_ASSETSTURN(B2579,E2579)</f>
        <v>0.43568915508099998</v>
      </c>
      <c r="L2579" s="12">
        <f>[1]!EM_HKS_VAL_MV(B2579,"2019-12-31","2")</f>
        <v>2002868077</v>
      </c>
      <c r="M2579">
        <f>[1]!EM_S_VAL_PETTMDEDUCTED(B2579,E2579)</f>
        <v>-42.710837727737903</v>
      </c>
      <c r="N2579" s="7">
        <f>[1]!EM_S_VAL_PBGOODWILLDEDUCTED(B2579,E2579)</f>
        <v>1.45929990973738</v>
      </c>
      <c r="O2579" s="7">
        <f>[1]!EM_S_VAL_PS_TTM(B2579,E2579)</f>
        <v>2.61724483857361</v>
      </c>
      <c r="P2579" s="7">
        <f>[1]!EM_S_VAL_PCF_NCFTTM(B2579,E2579)</f>
        <v>364.583217554111</v>
      </c>
      <c r="Q2579" s="7">
        <f>[1]!EM_S_VAL_DIVIDENDYIELD2(B2579,E2579,"2019-11-29")</f>
        <v>0</v>
      </c>
      <c r="T2579"/>
      <c r="U2579">
        <f>[1]!EM_S_RATIO_EPS_TTM(B2579,E2579,"1")</f>
        <v>-0.32630828287843344</v>
      </c>
      <c r="AT2579" s="4" t="str">
        <f>[1]!EM_S_IPO_LISTEDDATE(B2579)</f>
        <v>2011-04-12</v>
      </c>
    </row>
    <row r="2580" spans="1:46">
      <c r="A2580">
        <v>78</v>
      </c>
      <c r="B2580" t="str">
        <f>"000301"</f>
        <v>000301</v>
      </c>
      <c r="C2580" t="s">
        <v>2304</v>
      </c>
      <c r="D2580" t="str">
        <f>[1]!EM_S_INFO_INDEX_EM(B2580,"1")</f>
        <v>基础化工</v>
      </c>
      <c r="E2580" s="4">
        <f t="shared" si="40"/>
        <v>43465</v>
      </c>
      <c r="F2580" s="11">
        <f>[1]!EM_S_PQ_PCTCHANGE(B2580,"2018-01-01","2019-12-31","3")</f>
        <v>0.80493988999999999</v>
      </c>
      <c r="G2580" s="11">
        <f>[1]!EM_S_PQ_PCTCHANGE(B2580,"2018-12-31","2019-12-30","1")</f>
        <v>-5.4945054899999999</v>
      </c>
      <c r="H2580" s="11">
        <f>[1]!EM_S_FA_YOY_OR(B2580,E2580)</f>
        <v>13.134467187</v>
      </c>
      <c r="I2580" s="11">
        <f>[1]!EM_S_FA_GROSSPROFITMARGIN(B2580,E2580)</f>
        <v>13.8039060516</v>
      </c>
      <c r="J2580" s="11">
        <f>[1]!EM_S_FA_NETPROFITMARGIN(B2580,E2580)</f>
        <v>4.5910761231999997</v>
      </c>
      <c r="K2580" s="10">
        <f>[1]!EM_S_FA_ASSETSTURN(B2580,E2580)</f>
        <v>1.4031209108939999</v>
      </c>
      <c r="L2580" s="12">
        <f>[1]!EM_HKS_VAL_MV(B2580,"2019-12-31","2")</f>
        <v>20870495689.959999</v>
      </c>
      <c r="M2580">
        <f>[1]!EM_S_VAL_PETTMDEDUCTED(B2580,E2580)</f>
        <v>-113.853932985518</v>
      </c>
      <c r="N2580" s="7">
        <f>[1]!EM_S_VAL_PBGOODWILLDEDUCTED(B2580,E2580)</f>
        <v>1.79470800397587</v>
      </c>
      <c r="O2580" s="7">
        <f>[1]!EM_S_VAL_PS_TTM(B2580,E2580)</f>
        <v>8.9888492731830993</v>
      </c>
      <c r="P2580" s="7">
        <f>[1]!EM_S_VAL_PCF_NCFTTM(B2580,E2580)</f>
        <v>-94.047700551085001</v>
      </c>
      <c r="Q2580" s="7">
        <f>[1]!EM_S_VAL_DIVIDENDYIELD2(B2580,E2580,"2019-11-29")</f>
        <v>1.996007984031936</v>
      </c>
      <c r="T2580"/>
      <c r="U2580">
        <f>[1]!EM_S_RATIO_EPS_TTM(B2580,E2580,"1")</f>
        <v>0.21015685372596946</v>
      </c>
      <c r="AT2580" s="4" t="str">
        <f>[1]!EM_S_IPO_LISTEDDATE(B2580)</f>
        <v>2000-05-29</v>
      </c>
    </row>
    <row r="2581" spans="1:46">
      <c r="A2581">
        <v>3542</v>
      </c>
      <c r="B2581" t="str">
        <f>"603801"</f>
        <v>603801</v>
      </c>
      <c r="C2581" t="s">
        <v>1548</v>
      </c>
      <c r="D2581" t="str">
        <f>[1]!EM_S_INFO_INDEX_EM(B2581,"1")</f>
        <v>轻工制造</v>
      </c>
      <c r="E2581" s="4">
        <f t="shared" si="40"/>
        <v>43465</v>
      </c>
      <c r="F2581" s="11">
        <f>[1]!EM_S_PQ_PCTCHANGE(B2581,"2018-01-01","2019-12-31","3")</f>
        <v>-34.329913570000002</v>
      </c>
      <c r="G2581" s="11">
        <f>[1]!EM_S_PQ_PCTCHANGE(B2581,"2018-12-31","2019-12-30","1")</f>
        <v>-5.5393585999999999</v>
      </c>
      <c r="H2581" s="11">
        <f>[1]!EM_S_FA_YOY_OR(B2581,E2581)</f>
        <v>12.801800700299999</v>
      </c>
      <c r="I2581" s="11">
        <f>[1]!EM_S_FA_GROSSPROFITMARGIN(B2581,E2581)</f>
        <v>35.9559588467</v>
      </c>
      <c r="J2581" s="11">
        <f>[1]!EM_S_FA_NETPROFITMARGIN(B2581,E2581)</f>
        <v>11.2165563631</v>
      </c>
      <c r="K2581" s="10">
        <f>[1]!EM_S_FA_ASSETSTURN(B2581,E2581)</f>
        <v>0.90029111377100002</v>
      </c>
      <c r="L2581" s="12">
        <f>[1]!EM_HKS_VAL_MV(B2581,"2019-12-31","2")</f>
        <v>5201433954.3999996</v>
      </c>
      <c r="M2581">
        <f>[1]!EM_S_VAL_PETTMDEDUCTED(B2581,E2581)</f>
        <v>15.050477724212101</v>
      </c>
      <c r="N2581" s="7">
        <f>[1]!EM_S_VAL_PBGOODWILLDEDUCTED(B2581,E2581)</f>
        <v>2.0518081058778099</v>
      </c>
      <c r="O2581" s="7">
        <f>[1]!EM_S_VAL_PS_TTM(B2581,E2581)</f>
        <v>1.5966037417458301</v>
      </c>
      <c r="P2581" s="7">
        <f>[1]!EM_S_VAL_PCF_NCFTTM(B2581,E2581)</f>
        <v>-113.55358066539399</v>
      </c>
      <c r="Q2581" s="7">
        <f>[1]!EM_S_VAL_DIVIDENDYIELD2(B2581,E2581,"2019-11-29")</f>
        <v>3.3339790552953872</v>
      </c>
      <c r="T2581"/>
      <c r="U2581">
        <f>[1]!EM_S_RATIO_EPS_TTM(B2581,E2581,"1")</f>
        <v>1.7056135857500001</v>
      </c>
      <c r="AT2581" s="4" t="str">
        <f>[1]!EM_S_IPO_LISTEDDATE(B2581)</f>
        <v>2017-06-30</v>
      </c>
    </row>
    <row r="2582" spans="1:46">
      <c r="A2582">
        <v>2087</v>
      </c>
      <c r="B2582" t="str">
        <f>"300668"</f>
        <v>300668</v>
      </c>
      <c r="C2582" t="s">
        <v>389</v>
      </c>
      <c r="D2582" t="str">
        <f>[1]!EM_S_INFO_INDEX_EM(B2582,"1")</f>
        <v>建筑</v>
      </c>
      <c r="E2582" s="4">
        <f t="shared" si="40"/>
        <v>43465</v>
      </c>
      <c r="F2582" s="11">
        <f>[1]!EM_S_PQ_PCTCHANGE(B2582,"2018-01-01","2019-12-31","3")</f>
        <v>-40.614910139999999</v>
      </c>
      <c r="G2582" s="11">
        <f>[1]!EM_S_PQ_PCTCHANGE(B2582,"2018-12-31","2019-12-30","1")</f>
        <v>-5.5463117000000004</v>
      </c>
      <c r="H2582" s="11">
        <f>[1]!EM_S_FA_YOY_OR(B2582,E2582)</f>
        <v>36.761362490499998</v>
      </c>
      <c r="I2582" s="11">
        <f>[1]!EM_S_FA_GROSSPROFITMARGIN(B2582,E2582)</f>
        <v>52.155726800300002</v>
      </c>
      <c r="J2582" s="11">
        <f>[1]!EM_S_FA_NETPROFITMARGIN(B2582,E2582)</f>
        <v>24.465494498200002</v>
      </c>
      <c r="K2582" s="10">
        <f>[1]!EM_S_FA_ASSETSTURN(B2582,E2582)</f>
        <v>0.751325561679</v>
      </c>
      <c r="L2582" s="12">
        <f>[1]!EM_HKS_VAL_MV(B2582,"2019-12-31","2")</f>
        <v>1804801925</v>
      </c>
      <c r="M2582">
        <f>[1]!EM_S_VAL_PETTMDEDUCTED(B2582,E2582)</f>
        <v>25.785333646480101</v>
      </c>
      <c r="N2582" s="7">
        <f>[1]!EM_S_VAL_PBGOODWILLDEDUCTED(B2582,E2582)</f>
        <v>4.6543371568577498</v>
      </c>
      <c r="O2582" s="7">
        <f>[1]!EM_S_VAL_PS_TTM(B2582,E2582)</f>
        <v>6.13950571773728</v>
      </c>
      <c r="P2582" s="7">
        <f>[1]!EM_S_VAL_PCF_NCFTTM(B2582,E2582)</f>
        <v>-15.2282715023004</v>
      </c>
      <c r="Q2582" s="7">
        <f>[1]!EM_S_VAL_DIVIDENDYIELD2(B2582,E2582,"2019-11-29")</f>
        <v>0</v>
      </c>
      <c r="T2582"/>
      <c r="U2582">
        <f>[1]!EM_S_RATIO_EPS_TTM(B2582,E2582,"1")</f>
        <v>0.79323010872865274</v>
      </c>
      <c r="AT2582" s="4" t="str">
        <f>[1]!EM_S_IPO_LISTEDDATE(B2582)</f>
        <v>2017-06-19</v>
      </c>
    </row>
    <row r="2583" spans="1:46">
      <c r="A2583">
        <v>2274</v>
      </c>
      <c r="B2583" t="str">
        <f>"600128"</f>
        <v>600128</v>
      </c>
      <c r="C2583" t="s">
        <v>3448</v>
      </c>
      <c r="D2583" t="str">
        <f>[1]!EM_S_INFO_INDEX_EM(B2583,"1")</f>
        <v>综合</v>
      </c>
      <c r="E2583" s="4">
        <f t="shared" si="40"/>
        <v>43465</v>
      </c>
      <c r="F2583" s="11">
        <f>[1]!EM_S_PQ_PCTCHANGE(B2583,"2018-01-01","2019-12-31","3")</f>
        <v>-20.060450889999998</v>
      </c>
      <c r="G2583" s="11">
        <f>[1]!EM_S_PQ_PCTCHANGE(B2583,"2018-12-31","2019-12-30","1")</f>
        <v>-5.5555555600000002</v>
      </c>
      <c r="H2583" s="11">
        <f>[1]!EM_S_FA_YOY_OR(B2583,E2583)</f>
        <v>9.8976055558000002</v>
      </c>
      <c r="I2583" s="11">
        <f>[1]!EM_S_FA_GROSSPROFITMARGIN(B2583,E2583)</f>
        <v>6.5907620659999999</v>
      </c>
      <c r="J2583" s="11">
        <f>[1]!EM_S_FA_NETPROFITMARGIN(B2583,E2583)</f>
        <v>-1.3497960372</v>
      </c>
      <c r="K2583" s="10">
        <f>[1]!EM_S_FA_ASSETSTURN(B2583,E2583)</f>
        <v>1.455235015842</v>
      </c>
      <c r="L2583" s="12">
        <f>[1]!EM_HKS_VAL_MV(B2583,"2019-12-31","2")</f>
        <v>1858159275</v>
      </c>
      <c r="M2583">
        <f>[1]!EM_S_VAL_PETTMDEDUCTED(B2583,E2583)</f>
        <v>-22.885293139494799</v>
      </c>
      <c r="N2583" s="7">
        <f>[1]!EM_S_VAL_PBGOODWILLDEDUCTED(B2583,E2583)</f>
        <v>1.5304799855756901</v>
      </c>
      <c r="O2583" s="7">
        <f>[1]!EM_S_VAL_PS_TTM(B2583,E2583)</f>
        <v>0.42619967170387302</v>
      </c>
      <c r="P2583" s="7">
        <f>[1]!EM_S_VAL_PCF_NCFTTM(B2583,E2583)</f>
        <v>34.908602667382901</v>
      </c>
      <c r="Q2583" s="7">
        <f>[1]!EM_S_VAL_DIVIDENDYIELD2(B2583,E2583,"2019-11-29")</f>
        <v>0</v>
      </c>
      <c r="T2583"/>
      <c r="U2583">
        <f>[1]!EM_S_RATIO_EPS_TTM(B2583,E2583,"1")</f>
        <v>-0.28437228464040037</v>
      </c>
      <c r="AT2583" s="4" t="str">
        <f>[1]!EM_S_IPO_LISTEDDATE(B2583)</f>
        <v>1997-09-01</v>
      </c>
    </row>
    <row r="2584" spans="1:46">
      <c r="A2584">
        <v>1190</v>
      </c>
      <c r="B2584" t="str">
        <f>"002679"</f>
        <v>002679</v>
      </c>
      <c r="C2584" t="s">
        <v>2936</v>
      </c>
      <c r="D2584" t="str">
        <f>[1]!EM_S_INFO_INDEX_EM(B2584,"1")</f>
        <v>农林牧渔</v>
      </c>
      <c r="E2584" s="4">
        <f t="shared" si="40"/>
        <v>43465</v>
      </c>
      <c r="F2584" s="11">
        <f>[1]!EM_S_PQ_PCTCHANGE(B2584,"2018-01-01","2019-12-31","3")</f>
        <v>32.618339149999997</v>
      </c>
      <c r="G2584" s="11">
        <f>[1]!EM_S_PQ_PCTCHANGE(B2584,"2018-12-31","2019-12-30","1")</f>
        <v>-5.5652173899999999</v>
      </c>
      <c r="H2584" s="11">
        <f>[1]!EM_S_FA_YOY_OR(B2584,E2584)</f>
        <v>-3.6622582214000001</v>
      </c>
      <c r="I2584" s="11">
        <f>[1]!EM_S_FA_GROSSPROFITMARGIN(B2584,E2584)</f>
        <v>66.687106130399997</v>
      </c>
      <c r="J2584" s="11">
        <f>[1]!EM_S_FA_NETPROFITMARGIN(B2584,E2584)</f>
        <v>28.163382005399999</v>
      </c>
      <c r="K2584" s="10">
        <f>[1]!EM_S_FA_ASSETSTURN(B2584,E2584)</f>
        <v>9.9498571554999998E-2</v>
      </c>
      <c r="L2584" s="12">
        <f>[1]!EM_HKS_VAL_MV(B2584,"2019-12-31","2")</f>
        <v>3800386720</v>
      </c>
      <c r="M2584">
        <f>[1]!EM_S_VAL_PETTMDEDUCTED(B2584,E2584)</f>
        <v>69.943104940183403</v>
      </c>
      <c r="N2584" s="7">
        <f>[1]!EM_S_VAL_PBGOODWILLDEDUCTED(B2584,E2584)</f>
        <v>5.3492658325446003</v>
      </c>
      <c r="O2584" s="7">
        <f>[1]!EM_S_VAL_PS_TTM(B2584,E2584)</f>
        <v>22.364433460649401</v>
      </c>
      <c r="P2584" s="7">
        <f>[1]!EM_S_VAL_PCF_NCFTTM(B2584,E2584)</f>
        <v>227.936395516234</v>
      </c>
      <c r="Q2584" s="7">
        <f>[1]!EM_S_VAL_DIVIDENDYIELD2(B2584,E2584,"2019-11-29")</f>
        <v>0.31609195402298856</v>
      </c>
      <c r="T2584"/>
      <c r="U2584">
        <f>[1]!EM_S_RATIO_EPS_TTM(B2584,E2584,"1")</f>
        <v>0.20186071803050612</v>
      </c>
      <c r="AT2584" s="4" t="str">
        <f>[1]!EM_S_IPO_LISTEDDATE(B2584)</f>
        <v>2012-06-05</v>
      </c>
    </row>
    <row r="2585" spans="1:46">
      <c r="A2585">
        <v>3602</v>
      </c>
      <c r="B2585" t="str">
        <f>"603918"</f>
        <v>603918</v>
      </c>
      <c r="C2585" t="s">
        <v>3057</v>
      </c>
      <c r="D2585" t="str">
        <f>[1]!EM_S_INFO_INDEX_EM(B2585,"1")</f>
        <v>信息技术</v>
      </c>
      <c r="E2585" s="4">
        <f t="shared" si="40"/>
        <v>43465</v>
      </c>
      <c r="F2585" s="11">
        <f>[1]!EM_S_PQ_PCTCHANGE(B2585,"2018-01-01","2019-12-31","3")</f>
        <v>-17.719861510000001</v>
      </c>
      <c r="G2585" s="11">
        <f>[1]!EM_S_PQ_PCTCHANGE(B2585,"2018-12-31","2019-12-30","1")</f>
        <v>-5.5696202499999998</v>
      </c>
      <c r="H2585" s="11">
        <f>[1]!EM_S_FA_YOY_OR(B2585,E2585)</f>
        <v>23.815877202500001</v>
      </c>
      <c r="I2585" s="11">
        <f>[1]!EM_S_FA_GROSSPROFITMARGIN(B2585,E2585)</f>
        <v>31.0104148651</v>
      </c>
      <c r="J2585" s="11">
        <f>[1]!EM_S_FA_NETPROFITMARGIN(B2585,E2585)</f>
        <v>6.1502641994999996</v>
      </c>
      <c r="K2585" s="10">
        <f>[1]!EM_S_FA_ASSETSTURN(B2585,E2585)</f>
        <v>0.78564486011400003</v>
      </c>
      <c r="L2585" s="12">
        <f>[1]!EM_HKS_VAL_MV(B2585,"2019-12-31","2")</f>
        <v>2615576613</v>
      </c>
      <c r="M2585">
        <f>[1]!EM_S_VAL_PETTMDEDUCTED(B2585,E2585)</f>
        <v>41.4803518954472</v>
      </c>
      <c r="N2585" s="7">
        <f>[1]!EM_S_VAL_PBGOODWILLDEDUCTED(B2585,E2585)</f>
        <v>3.71288669767377</v>
      </c>
      <c r="O2585" s="7">
        <f>[1]!EM_S_VAL_PS_TTM(B2585,E2585)</f>
        <v>2.7511007792213902</v>
      </c>
      <c r="P2585" s="7">
        <f>[1]!EM_S_VAL_PCF_NCFTTM(B2585,E2585)</f>
        <v>-72.849663309701995</v>
      </c>
      <c r="Q2585" s="7">
        <f>[1]!EM_S_VAL_DIVIDENDYIELD2(B2585,E2585,"2019-11-29")</f>
        <v>0.62257885998893192</v>
      </c>
      <c r="T2585"/>
      <c r="U2585">
        <f>[1]!EM_S_RATIO_EPS_TTM(B2585,E2585,"1")</f>
        <v>0.28537092020165444</v>
      </c>
      <c r="AT2585" s="4" t="str">
        <f>[1]!EM_S_IPO_LISTEDDATE(B2585)</f>
        <v>2015-05-28</v>
      </c>
    </row>
    <row r="2586" spans="1:46">
      <c r="A2586">
        <v>150</v>
      </c>
      <c r="B2586" t="str">
        <f>"000541"</f>
        <v>000541</v>
      </c>
      <c r="C2586" t="s">
        <v>1374</v>
      </c>
      <c r="D2586" t="str">
        <f>[1]!EM_S_INFO_INDEX_EM(B2586,"1")</f>
        <v>家电</v>
      </c>
      <c r="E2586" s="4">
        <f t="shared" si="40"/>
        <v>43465</v>
      </c>
      <c r="F2586" s="11">
        <f>[1]!EM_S_PQ_PCTCHANGE(B2586,"2018-01-01","2019-12-31","3")</f>
        <v>-37.278078669999999</v>
      </c>
      <c r="G2586" s="11">
        <f>[1]!EM_S_PQ_PCTCHANGE(B2586,"2018-12-31","2019-12-30","1")</f>
        <v>-5.5984556000000003</v>
      </c>
      <c r="H2586" s="11">
        <f>[1]!EM_S_FA_YOY_OR(B2586,E2586)</f>
        <v>4.6515727600000001E-2</v>
      </c>
      <c r="I2586" s="11">
        <f>[1]!EM_S_FA_GROSSPROFITMARGIN(B2586,E2586)</f>
        <v>23.122899072799999</v>
      </c>
      <c r="J2586" s="11">
        <f>[1]!EM_S_FA_NETPROFITMARGIN(B2586,E2586)</f>
        <v>9.9725073478000006</v>
      </c>
      <c r="K2586" s="10">
        <f>[1]!EM_S_FA_ASSETSTURN(B2586,E2586)</f>
        <v>0.67506448787999995</v>
      </c>
      <c r="L2586" s="12">
        <f>[1]!EM_HKS_VAL_MV(B2586,"2019-12-31","2")</f>
        <v>6856796154.6000004</v>
      </c>
      <c r="M2586">
        <f>[1]!EM_S_VAL_PETTMDEDUCTED(B2586,E2586)</f>
        <v>18.916516668889098</v>
      </c>
      <c r="N2586" s="7">
        <f>[1]!EM_S_VAL_PBGOODWILLDEDUCTED(B2586,E2586)</f>
        <v>1.67820739054021</v>
      </c>
      <c r="O2586" s="7">
        <f>[1]!EM_S_VAL_PS_TTM(B2586,E2586)</f>
        <v>1.9404928803319099</v>
      </c>
      <c r="P2586" s="7">
        <f>[1]!EM_S_VAL_PCF_NCFTTM(B2586,E2586)</f>
        <v>-35.684583772795101</v>
      </c>
      <c r="Q2586" s="7">
        <f>[1]!EM_S_VAL_DIVIDENDYIELD2(B2586,E2586,"2019-11-29")</f>
        <v>3.1836734693877551</v>
      </c>
      <c r="T2586"/>
      <c r="U2586">
        <f>[1]!EM_S_RATIO_EPS_TTM(B2586,E2586,"1")</f>
        <v>0.26985112478466855</v>
      </c>
      <c r="AT2586" s="4" t="str">
        <f>[1]!EM_S_IPO_LISTEDDATE(B2586)</f>
        <v>1993-11-23</v>
      </c>
    </row>
    <row r="2587" spans="1:46">
      <c r="A2587">
        <v>3431</v>
      </c>
      <c r="B2587" t="str">
        <f>"603558"</f>
        <v>603558</v>
      </c>
      <c r="C2587" t="s">
        <v>1703</v>
      </c>
      <c r="D2587" t="str">
        <f>[1]!EM_S_INFO_INDEX_EM(B2587,"1")</f>
        <v>纺织服装</v>
      </c>
      <c r="E2587" s="4">
        <f t="shared" si="40"/>
        <v>43465</v>
      </c>
      <c r="F2587" s="11">
        <f>[1]!EM_S_PQ_PCTCHANGE(B2587,"2018-01-01","2019-12-31","3")</f>
        <v>-11.45129786</v>
      </c>
      <c r="G2587" s="11">
        <f>[1]!EM_S_PQ_PCTCHANGE(B2587,"2018-12-31","2019-12-30","1")</f>
        <v>-5.62211982</v>
      </c>
      <c r="H2587" s="11">
        <f>[1]!EM_S_FA_YOY_OR(B2587,E2587)</f>
        <v>38.616373938000002</v>
      </c>
      <c r="I2587" s="11">
        <f>[1]!EM_S_FA_GROSSPROFITMARGIN(B2587,E2587)</f>
        <v>27.9475017187</v>
      </c>
      <c r="J2587" s="11">
        <f>[1]!EM_S_FA_NETPROFITMARGIN(B2587,E2587)</f>
        <v>13.0869459046</v>
      </c>
      <c r="K2587" s="10">
        <f>[1]!EM_S_FA_ASSETSTURN(B2587,E2587)</f>
        <v>0.45700838259900001</v>
      </c>
      <c r="L2587" s="12">
        <f>[1]!EM_HKS_VAL_MV(B2587,"2019-12-31","2")</f>
        <v>4475830751.75</v>
      </c>
      <c r="M2587">
        <f>[1]!EM_S_VAL_PETTMDEDUCTED(B2587,E2587)</f>
        <v>29.775777433621201</v>
      </c>
      <c r="N2587" s="7">
        <f>[1]!EM_S_VAL_PBGOODWILLDEDUCTED(B2587,E2587)</f>
        <v>2.02600991331997</v>
      </c>
      <c r="O2587" s="7">
        <f>[1]!EM_S_VAL_PS_TTM(B2587,E2587)</f>
        <v>2.9692266093529498</v>
      </c>
      <c r="P2587" s="7">
        <f>[1]!EM_S_VAL_PCF_NCFTTM(B2587,E2587)</f>
        <v>-402.449423559629</v>
      </c>
      <c r="Q2587" s="7">
        <f>[1]!EM_S_VAL_DIVIDENDYIELD2(B2587,E2587,"2019-11-29")</f>
        <v>0.53879310344827602</v>
      </c>
      <c r="T2587"/>
      <c r="U2587">
        <f>[1]!EM_S_RATIO_EPS_TTM(B2587,E2587,"1")</f>
        <v>0.49583109409963627</v>
      </c>
      <c r="AT2587" s="4" t="str">
        <f>[1]!EM_S_IPO_LISTEDDATE(B2587)</f>
        <v>2015-01-27</v>
      </c>
    </row>
    <row r="2588" spans="1:46">
      <c r="A2588">
        <v>1027</v>
      </c>
      <c r="B2588" t="str">
        <f>"002516"</f>
        <v>002516</v>
      </c>
      <c r="C2588" t="s">
        <v>1591</v>
      </c>
      <c r="D2588" t="str">
        <f>[1]!EM_S_INFO_INDEX_EM(B2588,"1")</f>
        <v>纺织服装</v>
      </c>
      <c r="E2588" s="4">
        <f t="shared" si="40"/>
        <v>43465</v>
      </c>
      <c r="F2588" s="11">
        <f>[1]!EM_S_PQ_PCTCHANGE(B2588,"2018-01-01","2019-12-31","3")</f>
        <v>-39.985986029999999</v>
      </c>
      <c r="G2588" s="11">
        <f>[1]!EM_S_PQ_PCTCHANGE(B2588,"2018-12-31","2019-12-30","1")</f>
        <v>-5.6338028199999997</v>
      </c>
      <c r="H2588" s="11">
        <f>[1]!EM_S_FA_YOY_OR(B2588,E2588)</f>
        <v>-23.759283959400001</v>
      </c>
      <c r="I2588" s="11">
        <f>[1]!EM_S_FA_GROSSPROFITMARGIN(B2588,E2588)</f>
        <v>28.3013775505</v>
      </c>
      <c r="J2588" s="11">
        <f>[1]!EM_S_FA_NETPROFITMARGIN(B2588,E2588)</f>
        <v>12.827296502599999</v>
      </c>
      <c r="K2588" s="10">
        <f>[1]!EM_S_FA_ASSETSTURN(B2588,E2588)</f>
        <v>0.38146440382000002</v>
      </c>
      <c r="L2588" s="12">
        <f>[1]!EM_HKS_VAL_MV(B2588,"2019-12-31","2")</f>
        <v>3956556054.5799999</v>
      </c>
      <c r="M2588">
        <f>[1]!EM_S_VAL_PETTMDEDUCTED(B2588,E2588)</f>
        <v>14.507459236037199</v>
      </c>
      <c r="N2588" s="7">
        <f>[1]!EM_S_VAL_PBGOODWILLDEDUCTED(B2588,E2588)</f>
        <v>1.13607201244792</v>
      </c>
      <c r="O2588" s="7">
        <f>[1]!EM_S_VAL_PS_TTM(B2588,E2588)</f>
        <v>2.2412964458900899</v>
      </c>
      <c r="P2588" s="7">
        <f>[1]!EM_S_VAL_PCF_NCFTTM(B2588,E2588)</f>
        <v>-36.496983450025198</v>
      </c>
      <c r="Q2588" s="7">
        <f>[1]!EM_S_VAL_DIVIDENDYIELD2(B2588,E2588,"2019-11-29")</f>
        <v>9.7840343107512862</v>
      </c>
      <c r="T2588"/>
      <c r="U2588">
        <f>[1]!EM_S_RATIO_EPS_TTM(B2588,E2588,"1")</f>
        <v>0.15440362436575278</v>
      </c>
      <c r="AT2588" s="4" t="str">
        <f>[1]!EM_S_IPO_LISTEDDATE(B2588)</f>
        <v>2010-12-07</v>
      </c>
    </row>
    <row r="2589" spans="1:46">
      <c r="A2589">
        <v>3451</v>
      </c>
      <c r="B2589" t="str">
        <f>"603601"</f>
        <v>603601</v>
      </c>
      <c r="C2589" t="s">
        <v>995</v>
      </c>
      <c r="D2589" t="str">
        <f>[1]!EM_S_INFO_INDEX_EM(B2589,"1")</f>
        <v>基础化工</v>
      </c>
      <c r="E2589" s="4">
        <f t="shared" si="40"/>
        <v>43465</v>
      </c>
      <c r="F2589" s="11">
        <f>[1]!EM_S_PQ_PCTCHANGE(B2589,"2018-01-01","2019-12-31","3")</f>
        <v>7.16707816</v>
      </c>
      <c r="G2589" s="11">
        <f>[1]!EM_S_PQ_PCTCHANGE(B2589,"2018-12-31","2019-12-30","1")</f>
        <v>-5.6356487499999997</v>
      </c>
      <c r="H2589" s="11">
        <f>[1]!EM_S_FA_YOY_OR(B2589,E2589)</f>
        <v>69.149073674700006</v>
      </c>
      <c r="I2589" s="11">
        <f>[1]!EM_S_FA_GROSSPROFITMARGIN(B2589,E2589)</f>
        <v>33.005593791199999</v>
      </c>
      <c r="J2589" s="11">
        <f>[1]!EM_S_FA_NETPROFITMARGIN(B2589,E2589)</f>
        <v>14.6622252641</v>
      </c>
      <c r="K2589" s="10">
        <f>[1]!EM_S_FA_ASSETSTURN(B2589,E2589)</f>
        <v>0.49673624600600003</v>
      </c>
      <c r="L2589" s="12">
        <f>[1]!EM_HKS_VAL_MV(B2589,"2019-12-31","2")</f>
        <v>5376541726.8000002</v>
      </c>
      <c r="M2589">
        <f>[1]!EM_S_VAL_PETTMDEDUCTED(B2589,E2589)</f>
        <v>32.383309073819703</v>
      </c>
      <c r="N2589" s="7">
        <f>[1]!EM_S_VAL_PBGOODWILLDEDUCTED(B2589,E2589)</f>
        <v>3.9887291920310299</v>
      </c>
      <c r="O2589" s="7">
        <f>[1]!EM_S_VAL_PS_TTM(B2589,E2589)</f>
        <v>3.8826506629335999</v>
      </c>
      <c r="P2589" s="7">
        <f>[1]!EM_S_VAL_PCF_NCFTTM(B2589,E2589)</f>
        <v>36.148669013902001</v>
      </c>
      <c r="Q2589" s="7">
        <f>[1]!EM_S_VAL_DIVIDENDYIELD2(B2589,E2589,"2019-11-29")</f>
        <v>1.7377175296644436</v>
      </c>
      <c r="T2589"/>
      <c r="U2589">
        <f>[1]!EM_S_RATIO_EPS_TTM(B2589,E2589,"1")</f>
        <v>0.29402754499575923</v>
      </c>
      <c r="AT2589" s="4" t="str">
        <f>[1]!EM_S_IPO_LISTEDDATE(B2589)</f>
        <v>2015-01-22</v>
      </c>
    </row>
    <row r="2590" spans="1:46">
      <c r="A2590">
        <v>3634</v>
      </c>
      <c r="B2590" t="str">
        <f>"603991"</f>
        <v>603991</v>
      </c>
      <c r="C2590" t="s">
        <v>1834</v>
      </c>
      <c r="D2590" t="str">
        <f>[1]!EM_S_INFO_INDEX_EM(B2590,"1")</f>
        <v>基础化工</v>
      </c>
      <c r="E2590" s="4">
        <f t="shared" si="40"/>
        <v>43465</v>
      </c>
      <c r="F2590" s="11">
        <f>[1]!EM_S_PQ_PCTCHANGE(B2590,"2018-01-01","2019-12-31","3")</f>
        <v>-38.300889890000001</v>
      </c>
      <c r="G2590" s="11">
        <f>[1]!EM_S_PQ_PCTCHANGE(B2590,"2018-12-31","2019-12-30","1")</f>
        <v>-5.6655665600000003</v>
      </c>
      <c r="H2590" s="11">
        <f>[1]!EM_S_FA_YOY_OR(B2590,E2590)</f>
        <v>33.298182466199997</v>
      </c>
      <c r="I2590" s="11">
        <f>[1]!EM_S_FA_GROSSPROFITMARGIN(B2590,E2590)</f>
        <v>23.071619988199998</v>
      </c>
      <c r="J2590" s="11">
        <f>[1]!EM_S_FA_NETPROFITMARGIN(B2590,E2590)</f>
        <v>6.6701495459000002</v>
      </c>
      <c r="K2590" s="10">
        <f>[1]!EM_S_FA_ASSETSTURN(B2590,E2590)</f>
        <v>0.788503863581</v>
      </c>
      <c r="L2590" s="12">
        <f>[1]!EM_HKS_VAL_MV(B2590,"2019-12-31","2")</f>
        <v>1279020565.6800001</v>
      </c>
      <c r="M2590">
        <f>[1]!EM_S_VAL_PETTMDEDUCTED(B2590,E2590)</f>
        <v>39.423975152676199</v>
      </c>
      <c r="N2590" s="7">
        <f>[1]!EM_S_VAL_PBGOODWILLDEDUCTED(B2590,E2590)</f>
        <v>2.7548833170407101</v>
      </c>
      <c r="O2590" s="7">
        <f>[1]!EM_S_VAL_PS_TTM(B2590,E2590)</f>
        <v>2.3827188538229298</v>
      </c>
      <c r="P2590" s="7">
        <f>[1]!EM_S_VAL_PCF_NCFTTM(B2590,E2590)</f>
        <v>-271.64721403698798</v>
      </c>
      <c r="Q2590" s="7">
        <f>[1]!EM_S_VAL_DIVIDENDYIELD2(B2590,E2590,"2019-11-29")</f>
        <v>0.98400984009840098</v>
      </c>
      <c r="T2590"/>
      <c r="U2590">
        <f>[1]!EM_S_RATIO_EPS_TTM(B2590,E2590,"1")</f>
        <v>0.50989494827651305</v>
      </c>
      <c r="AT2590" s="4" t="str">
        <f>[1]!EM_S_IPO_LISTEDDATE(B2590)</f>
        <v>2017-03-08</v>
      </c>
    </row>
    <row r="2591" spans="1:46">
      <c r="A2591">
        <v>2289</v>
      </c>
      <c r="B2591" t="str">
        <f>"600148"</f>
        <v>600148</v>
      </c>
      <c r="C2591" t="s">
        <v>601</v>
      </c>
      <c r="D2591" t="str">
        <f>[1]!EM_S_INFO_INDEX_EM(B2591,"1")</f>
        <v>交运设备</v>
      </c>
      <c r="E2591" s="4">
        <f t="shared" si="40"/>
        <v>43465</v>
      </c>
      <c r="F2591" s="11">
        <f>[1]!EM_S_PQ_PCTCHANGE(B2591,"2018-01-01","2019-12-31","3")</f>
        <v>-45.480497380000003</v>
      </c>
      <c r="G2591" s="11">
        <f>[1]!EM_S_PQ_PCTCHANGE(B2591,"2018-12-31","2019-12-30","1")</f>
        <v>-5.6697377700000002</v>
      </c>
      <c r="H2591" s="11">
        <f>[1]!EM_S_FA_YOY_OR(B2591,E2591)</f>
        <v>15.4762212653</v>
      </c>
      <c r="I2591" s="11">
        <f>[1]!EM_S_FA_GROSSPROFITMARGIN(B2591,E2591)</f>
        <v>28.7878408871</v>
      </c>
      <c r="J2591" s="11">
        <f>[1]!EM_S_FA_NETPROFITMARGIN(B2591,E2591)</f>
        <v>6.6085976947000002</v>
      </c>
      <c r="K2591" s="10">
        <f>[1]!EM_S_FA_ASSETSTURN(B2591,E2591)</f>
        <v>0.84685962202099996</v>
      </c>
      <c r="L2591" s="12">
        <f>[1]!EM_HKS_VAL_MV(B2591,"2019-12-31","2")</f>
        <v>1887829443</v>
      </c>
      <c r="M2591">
        <f>[1]!EM_S_VAL_PETTMDEDUCTED(B2591,E2591)</f>
        <v>118.013810038831</v>
      </c>
      <c r="N2591" s="7">
        <f>[1]!EM_S_VAL_PBGOODWILLDEDUCTED(B2591,E2591)</f>
        <v>4.7651000049588701</v>
      </c>
      <c r="O2591" s="7">
        <f>[1]!EM_S_VAL_PS_TTM(B2591,E2591)</f>
        <v>2.41198249318591</v>
      </c>
      <c r="P2591" s="7">
        <f>[1]!EM_S_VAL_PCF_NCFTTM(B2591,E2591)</f>
        <v>75.715748800718103</v>
      </c>
      <c r="Q2591" s="7">
        <f>[1]!EM_S_VAL_DIVIDENDYIELD2(B2591,E2591,"2019-11-29")</f>
        <v>0</v>
      </c>
      <c r="T2591"/>
      <c r="U2591">
        <f>[1]!EM_S_RATIO_EPS_TTM(B2591,E2591,"1")</f>
        <v>0.25300396363814953</v>
      </c>
      <c r="AT2591" s="4" t="str">
        <f>[1]!EM_S_IPO_LISTEDDATE(B2591)</f>
        <v>1998-05-20</v>
      </c>
    </row>
    <row r="2592" spans="1:46">
      <c r="A2592">
        <v>334</v>
      </c>
      <c r="B2592" t="str">
        <f>"000766"</f>
        <v>000766</v>
      </c>
      <c r="C2592" t="s">
        <v>1945</v>
      </c>
      <c r="D2592" t="str">
        <f>[1]!EM_S_INFO_INDEX_EM(B2592,"1")</f>
        <v>医药生物</v>
      </c>
      <c r="E2592" s="4">
        <f t="shared" si="40"/>
        <v>43465</v>
      </c>
      <c r="F2592" s="11">
        <f>[1]!EM_S_PQ_PCTCHANGE(B2592,"2018-01-01","2019-12-31","3")</f>
        <v>-51.91176471</v>
      </c>
      <c r="G2592" s="11">
        <f>[1]!EM_S_PQ_PCTCHANGE(B2592,"2018-12-31","2019-12-30","1")</f>
        <v>-5.6851311999999998</v>
      </c>
      <c r="H2592" s="11">
        <f>[1]!EM_S_FA_YOY_OR(B2592,E2592)</f>
        <v>37.671565827099997</v>
      </c>
      <c r="I2592" s="11">
        <f>[1]!EM_S_FA_GROSSPROFITMARGIN(B2592,E2592)</f>
        <v>83.702340203099993</v>
      </c>
      <c r="J2592" s="11">
        <f>[1]!EM_S_FA_NETPROFITMARGIN(B2592,E2592)</f>
        <v>15.7179506478</v>
      </c>
      <c r="K2592" s="10">
        <f>[1]!EM_S_FA_ASSETSTURN(B2592,E2592)</f>
        <v>0.357312507201</v>
      </c>
      <c r="L2592" s="12">
        <f>[1]!EM_HKS_VAL_MV(B2592,"2019-12-31","2")</f>
        <v>6320875383.7799997</v>
      </c>
      <c r="M2592">
        <f>[1]!EM_S_VAL_PETTMDEDUCTED(B2592,E2592)</f>
        <v>27.620695078371</v>
      </c>
      <c r="N2592" s="7">
        <f>[1]!EM_S_VAL_PBGOODWILLDEDUCTED(B2592,E2592)</f>
        <v>2.49871097469833</v>
      </c>
      <c r="O2592" s="7">
        <f>[1]!EM_S_VAL_PS_TTM(B2592,E2592)</f>
        <v>3.3447446310502098</v>
      </c>
      <c r="P2592" s="7">
        <f>[1]!EM_S_VAL_PCF_NCFTTM(B2592,E2592)</f>
        <v>66.213795298355606</v>
      </c>
      <c r="Q2592" s="7">
        <f>[1]!EM_S_VAL_DIVIDENDYIELD2(B2592,E2592,"2019-11-29")</f>
        <v>0</v>
      </c>
      <c r="T2592"/>
      <c r="U2592">
        <f>[1]!EM_S_RATIO_EPS_TTM(B2592,E2592,"1")</f>
        <v>0.34232791327640455</v>
      </c>
      <c r="AT2592" s="4" t="str">
        <f>[1]!EM_S_IPO_LISTEDDATE(B2592)</f>
        <v>1997-04-30</v>
      </c>
    </row>
    <row r="2593" spans="1:46">
      <c r="A2593">
        <v>467</v>
      </c>
      <c r="B2593" t="str">
        <f>"000952"</f>
        <v>000952</v>
      </c>
      <c r="C2593" t="s">
        <v>78</v>
      </c>
      <c r="D2593" t="str">
        <f>[1]!EM_S_INFO_INDEX_EM(B2593,"1")</f>
        <v>医药生物</v>
      </c>
      <c r="E2593" s="4">
        <f t="shared" si="40"/>
        <v>43465</v>
      </c>
      <c r="F2593" s="11">
        <f>[1]!EM_S_PQ_PCTCHANGE(B2593,"2018-01-01","2019-12-31","3")</f>
        <v>-33.109504860000001</v>
      </c>
      <c r="G2593" s="11">
        <f>[1]!EM_S_PQ_PCTCHANGE(B2593,"2018-12-31","2019-12-30","1")</f>
        <v>-5.7344064399999999</v>
      </c>
      <c r="H2593" s="11">
        <f>[1]!EM_S_FA_YOY_OR(B2593,E2593)</f>
        <v>5.2740668415999998</v>
      </c>
      <c r="I2593" s="11">
        <f>[1]!EM_S_FA_GROSSPROFITMARGIN(B2593,E2593)</f>
        <v>56.821757475299997</v>
      </c>
      <c r="J2593" s="11">
        <f>[1]!EM_S_FA_NETPROFITMARGIN(B2593,E2593)</f>
        <v>20.5503169986</v>
      </c>
      <c r="K2593" s="10">
        <f>[1]!EM_S_FA_ASSETSTURN(B2593,E2593)</f>
        <v>0.50601955619700001</v>
      </c>
      <c r="L2593" s="12">
        <f>[1]!EM_HKS_VAL_MV(B2593,"2019-12-31","2")</f>
        <v>2398753538.8899999</v>
      </c>
      <c r="M2593">
        <f>[1]!EM_S_VAL_PETTMDEDUCTED(B2593,E2593)</f>
        <v>15.1834885732929</v>
      </c>
      <c r="N2593" s="7">
        <f>[1]!EM_S_VAL_PBGOODWILLDEDUCTED(B2593,E2593)</f>
        <v>2.8650118951221</v>
      </c>
      <c r="O2593" s="7">
        <f>[1]!EM_S_VAL_PS_TTM(B2593,E2593)</f>
        <v>2.99659973389821</v>
      </c>
      <c r="P2593" s="7">
        <f>[1]!EM_S_VAL_PCF_NCFTTM(B2593,E2593)</f>
        <v>-119.20003995878</v>
      </c>
      <c r="Q2593" s="7">
        <f>[1]!EM_S_VAL_DIVIDENDYIELD2(B2593,E2593,"2019-11-29")</f>
        <v>0</v>
      </c>
      <c r="U2593">
        <f>[1]!EM_S_RATIO_EPS_TTM(B2593,E2593,"1")</f>
        <v>0.68226121515264548</v>
      </c>
      <c r="AT2593" s="4" t="str">
        <f>[1]!EM_S_IPO_LISTEDDATE(B2593)</f>
        <v>1999-11-12</v>
      </c>
    </row>
    <row r="2594" spans="1:46">
      <c r="A2594">
        <v>853</v>
      </c>
      <c r="B2594" t="str">
        <f>"002342"</f>
        <v>002342</v>
      </c>
      <c r="C2594" t="s">
        <v>2798</v>
      </c>
      <c r="D2594" t="str">
        <f>[1]!EM_S_INFO_INDEX_EM(B2594,"1")</f>
        <v>机械设备</v>
      </c>
      <c r="E2594" s="4">
        <f t="shared" si="40"/>
        <v>43465</v>
      </c>
      <c r="F2594" s="11">
        <f>[1]!EM_S_PQ_PCTCHANGE(B2594,"2018-01-01","2019-12-31","3")</f>
        <v>-47.579298829999999</v>
      </c>
      <c r="G2594" s="11">
        <f>[1]!EM_S_PQ_PCTCHANGE(B2594,"2018-12-31","2019-12-30","1")</f>
        <v>-5.7401812699999999</v>
      </c>
      <c r="H2594" s="11">
        <f>[1]!EM_S_FA_YOY_OR(B2594,E2594)</f>
        <v>19.0120172532</v>
      </c>
      <c r="I2594" s="11">
        <f>[1]!EM_S_FA_GROSSPROFITMARGIN(B2594,E2594)</f>
        <v>19.9129313627</v>
      </c>
      <c r="J2594" s="11">
        <f>[1]!EM_S_FA_NETPROFITMARGIN(B2594,E2594)</f>
        <v>1.0572773189</v>
      </c>
      <c r="K2594" s="10">
        <f>[1]!EM_S_FA_ASSETSTURN(B2594,E2594)</f>
        <v>0.41587438565899998</v>
      </c>
      <c r="L2594" s="12">
        <f>[1]!EM_HKS_VAL_MV(B2594,"2019-12-31","2")</f>
        <v>3014400000</v>
      </c>
      <c r="M2594">
        <f>[1]!EM_S_VAL_PETTMDEDUCTED(B2594,E2594)</f>
        <v>-72.480327579767405</v>
      </c>
      <c r="N2594" s="7">
        <f>[1]!EM_S_VAL_PBGOODWILLDEDUCTED(B2594,E2594)</f>
        <v>1.31573988458961</v>
      </c>
      <c r="O2594" s="7">
        <f>[1]!EM_S_VAL_PS_TTM(B2594,E2594)</f>
        <v>1.9670587218825499</v>
      </c>
      <c r="P2594" s="7">
        <f>[1]!EM_S_VAL_PCF_NCFTTM(B2594,E2594)</f>
        <v>-11.4006851550441</v>
      </c>
      <c r="Q2594" s="7">
        <f>[1]!EM_S_VAL_DIVIDENDYIELD2(B2594,E2594,"2019-11-29")</f>
        <v>9.9337748344370855E-2</v>
      </c>
      <c r="T2594"/>
      <c r="U2594">
        <f>[1]!EM_S_RATIO_EPS_TTM(B2594,E2594,"1")</f>
        <v>1.8558962302083332E-2</v>
      </c>
      <c r="AT2594" s="4" t="str">
        <f>[1]!EM_S_IPO_LISTEDDATE(B2594)</f>
        <v>2010-01-26</v>
      </c>
    </row>
    <row r="2595" spans="1:46">
      <c r="A2595">
        <v>3413</v>
      </c>
      <c r="B2595" t="str">
        <f>"603506"</f>
        <v>603506</v>
      </c>
      <c r="C2595" t="s">
        <v>388</v>
      </c>
      <c r="D2595" t="str">
        <f>[1]!EM_S_INFO_INDEX_EM(B2595,"1")</f>
        <v>房地产</v>
      </c>
      <c r="E2595" s="4">
        <f t="shared" si="40"/>
        <v>43465</v>
      </c>
      <c r="F2595" s="11">
        <f>[1]!EM_S_PQ_PCTCHANGE(B2595,"2018-01-01","2019-12-31","3")</f>
        <v>125.51306978</v>
      </c>
      <c r="G2595" s="11">
        <f>[1]!EM_S_PQ_PCTCHANGE(B2595,"2018-12-31","2019-12-30","1")</f>
        <v>-5.7631697400000004</v>
      </c>
      <c r="H2595" s="11">
        <f>[1]!EM_S_FA_YOY_OR(B2595,E2595)</f>
        <v>29.176124895000001</v>
      </c>
      <c r="I2595" s="11">
        <f>[1]!EM_S_FA_GROSSPROFITMARGIN(B2595,E2595)</f>
        <v>22.0959898682</v>
      </c>
      <c r="J2595" s="11">
        <f>[1]!EM_S_FA_NETPROFITMARGIN(B2595,E2595)</f>
        <v>9.0557802025999994</v>
      </c>
      <c r="K2595" s="10">
        <f>[1]!EM_S_FA_ASSETSTURN(B2595,E2595)</f>
        <v>0.98335297428199997</v>
      </c>
      <c r="L2595" s="12">
        <f>[1]!EM_HKS_VAL_MV(B2595,"2019-12-31","2")</f>
        <v>2851539701.0999999</v>
      </c>
      <c r="M2595">
        <f>[1]!EM_S_VAL_PETTMDEDUCTED(B2595,E2595)</f>
        <v>32.201936612854702</v>
      </c>
      <c r="N2595" s="7">
        <f>[1]!EM_S_VAL_PBGOODWILLDEDUCTED(B2595,E2595)</f>
        <v>4.5885307294020103</v>
      </c>
      <c r="O2595" s="7">
        <f>[1]!EM_S_VAL_PS_TTM(B2595,E2595)</f>
        <v>2.34589596703346</v>
      </c>
      <c r="P2595" s="7">
        <f>[1]!EM_S_VAL_PCF_NCFTTM(B2595,E2595)</f>
        <v>-13.3929518385631</v>
      </c>
      <c r="Q2595" s="7">
        <f>[1]!EM_S_VAL_DIVIDENDYIELD2(B2595,E2595,"2019-11-29")</f>
        <v>1.0311404428656672</v>
      </c>
      <c r="T2595"/>
      <c r="U2595">
        <f>[1]!EM_S_RATIO_EPS_TTM(B2595,E2595,"1")</f>
        <v>0.88986801432259433</v>
      </c>
      <c r="AT2595" s="4" t="str">
        <f>[1]!EM_S_IPO_LISTEDDATE(B2595)</f>
        <v>2018-02-01</v>
      </c>
    </row>
    <row r="2596" spans="1:46">
      <c r="A2596">
        <v>2457</v>
      </c>
      <c r="B2596" t="str">
        <f>"600332"</f>
        <v>600332</v>
      </c>
      <c r="C2596" t="s">
        <v>338</v>
      </c>
      <c r="D2596" t="str">
        <f>[1]!EM_S_INFO_INDEX_EM(B2596,"1")</f>
        <v>医药生物</v>
      </c>
      <c r="E2596" s="4">
        <f t="shared" si="40"/>
        <v>43465</v>
      </c>
      <c r="F2596" s="11">
        <f>[1]!EM_S_PQ_PCTCHANGE(B2596,"2018-01-01","2019-12-31","3")</f>
        <v>12.97961469</v>
      </c>
      <c r="G2596" s="11">
        <f>[1]!EM_S_PQ_PCTCHANGE(B2596,"2018-12-31","2019-12-30","1")</f>
        <v>-5.8165548100000004</v>
      </c>
      <c r="H2596" s="11">
        <f>[1]!EM_S_FA_YOY_OR(B2596,E2596)</f>
        <v>101.5528499342</v>
      </c>
      <c r="I2596" s="11">
        <f>[1]!EM_S_FA_GROSSPROFITMARGIN(B2596,E2596)</f>
        <v>23.842129443200001</v>
      </c>
      <c r="J2596" s="11">
        <f>[1]!EM_S_FA_NETPROFITMARGIN(B2596,E2596)</f>
        <v>8.3670260601000006</v>
      </c>
      <c r="K2596" s="10">
        <f>[1]!EM_S_FA_ASSETSTURN(B2596,E2596)</f>
        <v>1.0585333382140001</v>
      </c>
      <c r="L2596" s="12">
        <f>[1]!EM_HKS_VAL_MV(B2596,"2019-12-31","2")</f>
        <v>57894415693.889999</v>
      </c>
      <c r="M2596">
        <f>[1]!EM_S_VAL_PETTMDEDUCTED(B2596,E2596)</f>
        <v>21.754936666434698</v>
      </c>
      <c r="N2596" s="7">
        <f>[1]!EM_S_VAL_PBGOODWILLDEDUCTED(B2596,E2596)</f>
        <v>2.78715889809714</v>
      </c>
      <c r="O2596" s="7">
        <f>[1]!EM_S_VAL_PS_TTM(B2596,E2596)</f>
        <v>1.66761574015225</v>
      </c>
      <c r="P2596" s="7">
        <f>[1]!EM_S_VAL_PCF_NCFTTM(B2596,E2596)</f>
        <v>23.0827156508578</v>
      </c>
      <c r="Q2596" s="7">
        <f>[1]!EM_S_VAL_DIVIDENDYIELD2(B2596,E2596,"2019-11-29")</f>
        <v>1.2755716004813478</v>
      </c>
      <c r="T2596"/>
      <c r="U2596">
        <f>[1]!EM_S_RATIO_EPS_TTM(B2596,E2596,"1")</f>
        <v>2.1164960385567997</v>
      </c>
      <c r="AT2596" s="4" t="str">
        <f>[1]!EM_S_IPO_LISTEDDATE(B2596)</f>
        <v>2001-02-06</v>
      </c>
    </row>
    <row r="2597" spans="1:46">
      <c r="A2597">
        <v>3474</v>
      </c>
      <c r="B2597" t="str">
        <f>"603648"</f>
        <v>603648</v>
      </c>
      <c r="C2597" t="s">
        <v>675</v>
      </c>
      <c r="D2597" t="str">
        <f>[1]!EM_S_INFO_INDEX_EM(B2597,"1")</f>
        <v>交通运输</v>
      </c>
      <c r="E2597" s="4">
        <f t="shared" si="40"/>
        <v>43465</v>
      </c>
      <c r="F2597" s="11">
        <f>[1]!EM_S_PQ_PCTCHANGE(B2597,"2018-01-01","2019-12-31","3")</f>
        <v>-52.213677140000001</v>
      </c>
      <c r="G2597" s="11">
        <f>[1]!EM_S_PQ_PCTCHANGE(B2597,"2018-12-31","2019-12-30","1")</f>
        <v>-5.8485139000000004</v>
      </c>
      <c r="H2597" s="11">
        <f>[1]!EM_S_FA_YOY_OR(B2597,E2597)</f>
        <v>7.1727355926999996</v>
      </c>
      <c r="I2597" s="11">
        <f>[1]!EM_S_FA_GROSSPROFITMARGIN(B2597,E2597)</f>
        <v>24.587828564599999</v>
      </c>
      <c r="J2597" s="11">
        <f>[1]!EM_S_FA_NETPROFITMARGIN(B2597,E2597)</f>
        <v>11.4868110662</v>
      </c>
      <c r="K2597" s="10">
        <f>[1]!EM_S_FA_ASSETSTURN(B2597,E2597)</f>
        <v>0.64904425351999995</v>
      </c>
      <c r="L2597" s="12">
        <f>[1]!EM_HKS_VAL_MV(B2597,"2019-12-31","2")</f>
        <v>3671920332</v>
      </c>
      <c r="M2597">
        <f>[1]!EM_S_VAL_PETTMDEDUCTED(B2597,E2597)</f>
        <v>28.924650484582301</v>
      </c>
      <c r="N2597" s="7">
        <f>[1]!EM_S_VAL_PBGOODWILLDEDUCTED(B2597,E2597)</f>
        <v>2.3568985634540001</v>
      </c>
      <c r="O2597" s="7">
        <f>[1]!EM_S_VAL_PS_TTM(B2597,E2597)</f>
        <v>3.2422649791637799</v>
      </c>
      <c r="P2597" s="7">
        <f>[1]!EM_S_VAL_PCF_NCFTTM(B2597,E2597)</f>
        <v>-4.8404929961364198</v>
      </c>
      <c r="Q2597" s="7">
        <f>[1]!EM_S_VAL_DIVIDENDYIELD2(B2597,E2597,"2019-11-29")</f>
        <v>1.5706806282722512</v>
      </c>
      <c r="T2597"/>
      <c r="U2597">
        <f>[1]!EM_S_RATIO_EPS_TTM(B2597,E2597,"1")</f>
        <v>0.38723233313450872</v>
      </c>
      <c r="AT2597" s="4" t="str">
        <f>[1]!EM_S_IPO_LISTEDDATE(B2597)</f>
        <v>2017-09-13</v>
      </c>
    </row>
    <row r="2598" spans="1:46">
      <c r="A2598">
        <v>2110</v>
      </c>
      <c r="B2598" t="str">
        <f>"300692"</f>
        <v>300692</v>
      </c>
      <c r="C2598" t="s">
        <v>2088</v>
      </c>
      <c r="D2598" t="str">
        <f>[1]!EM_S_INFO_INDEX_EM(B2598,"1")</f>
        <v>公用事业</v>
      </c>
      <c r="E2598" s="4">
        <f t="shared" si="40"/>
        <v>43465</v>
      </c>
      <c r="F2598" s="11">
        <f>[1]!EM_S_PQ_PCTCHANGE(B2598,"2018-01-01","2019-12-31","3")</f>
        <v>-55.879092200000002</v>
      </c>
      <c r="G2598" s="11">
        <f>[1]!EM_S_PQ_PCTCHANGE(B2598,"2018-12-31","2019-12-30","1")</f>
        <v>-5.8555133100000001</v>
      </c>
      <c r="H2598" s="11">
        <f>[1]!EM_S_FA_YOY_OR(B2598,E2598)</f>
        <v>67.777140303099998</v>
      </c>
      <c r="I2598" s="11">
        <f>[1]!EM_S_FA_GROSSPROFITMARGIN(B2598,E2598)</f>
        <v>31.178713074899999</v>
      </c>
      <c r="J2598" s="11">
        <f>[1]!EM_S_FA_NETPROFITMARGIN(B2598,E2598)</f>
        <v>16.416828860700001</v>
      </c>
      <c r="K2598" s="10">
        <f>[1]!EM_S_FA_ASSETSTURN(B2598,E2598)</f>
        <v>0.27722237382100001</v>
      </c>
      <c r="L2598" s="12">
        <f>[1]!EM_HKS_VAL_MV(B2598,"2019-12-31","2")</f>
        <v>2074524366.5999999</v>
      </c>
      <c r="M2598">
        <f>[1]!EM_S_VAL_PETTMDEDUCTED(B2598,E2598)</f>
        <v>39.498273051206603</v>
      </c>
      <c r="N2598" s="7">
        <f>[1]!EM_S_VAL_PBGOODWILLDEDUCTED(B2598,E2598)</f>
        <v>2.9230153866069601</v>
      </c>
      <c r="O2598" s="7">
        <f>[1]!EM_S_VAL_PS_TTM(B2598,E2598)</f>
        <v>5.9196547826433497</v>
      </c>
      <c r="P2598" s="7">
        <f>[1]!EM_S_VAL_PCF_NCFTTM(B2598,E2598)</f>
        <v>-22.445102610200902</v>
      </c>
      <c r="Q2598" s="7">
        <f>[1]!EM_S_VAL_DIVIDENDYIELD2(B2598,E2598,"2019-11-29")</f>
        <v>0.33898305084745761</v>
      </c>
      <c r="T2598"/>
      <c r="U2598">
        <f>[1]!EM_S_RATIO_EPS_TTM(B2598,E2598,"1")</f>
        <v>0.37776770825911687</v>
      </c>
      <c r="AT2598" s="4" t="str">
        <f>[1]!EM_S_IPO_LISTEDDATE(B2598)</f>
        <v>2017-08-21</v>
      </c>
    </row>
    <row r="2599" spans="1:46">
      <c r="A2599">
        <v>2136</v>
      </c>
      <c r="B2599" t="str">
        <f>"300721"</f>
        <v>300721</v>
      </c>
      <c r="C2599" t="s">
        <v>2221</v>
      </c>
      <c r="D2599" t="str">
        <f>[1]!EM_S_INFO_INDEX_EM(B2599,"1")</f>
        <v>基础化工</v>
      </c>
      <c r="E2599" s="4">
        <f t="shared" si="40"/>
        <v>43465</v>
      </c>
      <c r="F2599" s="11">
        <f>[1]!EM_S_PQ_PCTCHANGE(B2599,"2018-01-01","2019-12-31","3")</f>
        <v>-49.964436839999998</v>
      </c>
      <c r="G2599" s="11">
        <f>[1]!EM_S_PQ_PCTCHANGE(B2599,"2018-12-31","2019-12-30","1")</f>
        <v>-5.87649402</v>
      </c>
      <c r="H2599" s="11">
        <f>[1]!EM_S_FA_YOY_OR(B2599,E2599)</f>
        <v>-7.0493073428999997</v>
      </c>
      <c r="I2599" s="11">
        <f>[1]!EM_S_FA_GROSSPROFITMARGIN(B2599,E2599)</f>
        <v>13.030098779499999</v>
      </c>
      <c r="J2599" s="11">
        <f>[1]!EM_S_FA_NETPROFITMARGIN(B2599,E2599)</f>
        <v>3.1801372457000001</v>
      </c>
      <c r="K2599" s="10">
        <f>[1]!EM_S_FA_ASSETSTURN(B2599,E2599)</f>
        <v>0.84863061290899999</v>
      </c>
      <c r="L2599" s="12">
        <f>[1]!EM_HKS_VAL_MV(B2599,"2019-12-31","2")</f>
        <v>1521444800</v>
      </c>
      <c r="M2599">
        <f>[1]!EM_S_VAL_PETTMDEDUCTED(B2599,E2599)</f>
        <v>39.376542193980399</v>
      </c>
      <c r="N2599" s="7">
        <f>[1]!EM_S_VAL_PBGOODWILLDEDUCTED(B2599,E2599)</f>
        <v>1.8651915593244099</v>
      </c>
      <c r="O2599" s="7">
        <f>[1]!EM_S_VAL_PS_TTM(B2599,E2599)</f>
        <v>1.3643513589788601</v>
      </c>
      <c r="P2599" s="7">
        <f>[1]!EM_S_VAL_PCF_NCFTTM(B2599,E2599)</f>
        <v>19.9198974007654</v>
      </c>
      <c r="Q2599" s="7">
        <f>[1]!EM_S_VAL_DIVIDENDYIELD2(B2599,E2599,"2019-11-29")</f>
        <v>0.86837861359822865</v>
      </c>
      <c r="T2599"/>
      <c r="U2599">
        <f>[1]!EM_S_RATIO_EPS_TTM(B2599,E2599,"1")</f>
        <v>0.44178903437190903</v>
      </c>
      <c r="AT2599" s="4" t="str">
        <f>[1]!EM_S_IPO_LISTEDDATE(B2599)</f>
        <v>2017-11-15</v>
      </c>
    </row>
    <row r="2600" spans="1:46">
      <c r="A2600">
        <v>1562</v>
      </c>
      <c r="B2600" t="str">
        <f>"300137"</f>
        <v>300137</v>
      </c>
      <c r="C2600" t="s">
        <v>2068</v>
      </c>
      <c r="D2600" t="str">
        <f>[1]!EM_S_INFO_INDEX_EM(B2600,"1")</f>
        <v>机械设备</v>
      </c>
      <c r="E2600" s="4">
        <f t="shared" si="40"/>
        <v>43465</v>
      </c>
      <c r="F2600" s="11">
        <f>[1]!EM_S_PQ_PCTCHANGE(B2600,"2018-01-01","2019-12-31","3")</f>
        <v>-41.13031831</v>
      </c>
      <c r="G2600" s="11">
        <f>[1]!EM_S_PQ_PCTCHANGE(B2600,"2018-12-31","2019-12-30","1")</f>
        <v>-5.8895705500000002</v>
      </c>
      <c r="H2600" s="11">
        <f>[1]!EM_S_FA_YOY_OR(B2600,E2600)</f>
        <v>31.803406664499999</v>
      </c>
      <c r="I2600" s="11">
        <f>[1]!EM_S_FA_GROSSPROFITMARGIN(B2600,E2600)</f>
        <v>50.367694491899996</v>
      </c>
      <c r="J2600" s="11">
        <f>[1]!EM_S_FA_NETPROFITMARGIN(B2600,E2600)</f>
        <v>19.446993647799999</v>
      </c>
      <c r="K2600" s="10">
        <f>[1]!EM_S_FA_ASSETSTURN(B2600,E2600)</f>
        <v>0.59853196069799997</v>
      </c>
      <c r="L2600" s="12">
        <f>[1]!EM_HKS_VAL_MV(B2600,"2019-12-31","2")</f>
        <v>4231929984</v>
      </c>
      <c r="M2600">
        <f>[1]!EM_S_VAL_PETTMDEDUCTED(B2600,E2600)</f>
        <v>18.879092979483101</v>
      </c>
      <c r="N2600" s="7">
        <f>[1]!EM_S_VAL_PBGOODWILLDEDUCTED(B2600,E2600)</f>
        <v>2.9987673290561898</v>
      </c>
      <c r="O2600" s="7">
        <f>[1]!EM_S_VAL_PS_TTM(B2600,E2600)</f>
        <v>3.6264285334581401</v>
      </c>
      <c r="P2600" s="7">
        <f>[1]!EM_S_VAL_PCF_NCFTTM(B2600,E2600)</f>
        <v>89.111293298386002</v>
      </c>
      <c r="Q2600" s="7">
        <f>[1]!EM_S_VAL_DIVIDENDYIELD2(B2600,E2600,"2019-11-29")</f>
        <v>0</v>
      </c>
      <c r="T2600"/>
      <c r="U2600">
        <f>[1]!EM_S_RATIO_EPS_TTM(B2600,E2600,"1")</f>
        <v>0.47081449005144976</v>
      </c>
      <c r="AT2600" s="4" t="str">
        <f>[1]!EM_S_IPO_LISTEDDATE(B2600)</f>
        <v>2010-11-05</v>
      </c>
    </row>
    <row r="2601" spans="1:46">
      <c r="A2601">
        <v>88</v>
      </c>
      <c r="B2601" t="str">
        <f>"000407"</f>
        <v>000407</v>
      </c>
      <c r="C2601" t="s">
        <v>1783</v>
      </c>
      <c r="D2601" t="str">
        <f>[1]!EM_S_INFO_INDEX_EM(B2601,"1")</f>
        <v>公用事业</v>
      </c>
      <c r="E2601" s="4">
        <f t="shared" si="40"/>
        <v>43465</v>
      </c>
      <c r="F2601" s="11">
        <f>[1]!EM_S_PQ_PCTCHANGE(B2601,"2018-01-01","2019-12-31","3")</f>
        <v>-53.706111829999998</v>
      </c>
      <c r="G2601" s="11">
        <f>[1]!EM_S_PQ_PCTCHANGE(B2601,"2018-12-31","2019-12-30","1")</f>
        <v>-5.8981233199999998</v>
      </c>
      <c r="H2601" s="11">
        <f>[1]!EM_S_FA_YOY_OR(B2601,E2601)</f>
        <v>22.148651398599998</v>
      </c>
      <c r="I2601" s="11">
        <f>[1]!EM_S_FA_GROSSPROFITMARGIN(B2601,E2601)</f>
        <v>15.8059944013</v>
      </c>
      <c r="J2601" s="11">
        <f>[1]!EM_S_FA_NETPROFITMARGIN(B2601,E2601)</f>
        <v>3.8900339925999998</v>
      </c>
      <c r="K2601" s="10">
        <f>[1]!EM_S_FA_ASSETSTURN(B2601,E2601)</f>
        <v>0.81515800987999998</v>
      </c>
      <c r="L2601" s="12">
        <f>[1]!EM_HKS_VAL_MV(B2601,"2019-12-31","2")</f>
        <v>3133101375.3600001</v>
      </c>
      <c r="M2601">
        <f>[1]!EM_S_VAL_PETTMDEDUCTED(B2601,E2601)</f>
        <v>70.182000868053095</v>
      </c>
      <c r="N2601" s="7">
        <f>[1]!EM_S_VAL_PBGOODWILLDEDUCTED(B2601,E2601)</f>
        <v>3.1501397527762101</v>
      </c>
      <c r="O2601" s="7">
        <f>[1]!EM_S_VAL_PS_TTM(B2601,E2601)</f>
        <v>0.733333488520999</v>
      </c>
      <c r="P2601" s="7">
        <f>[1]!EM_S_VAL_PCF_NCFTTM(B2601,E2601)</f>
        <v>2671.1770967262701</v>
      </c>
      <c r="Q2601" s="7">
        <f>[1]!EM_S_VAL_DIVIDENDYIELD2(B2601,E2601,"2019-11-29")</f>
        <v>0</v>
      </c>
      <c r="T2601"/>
      <c r="U2601">
        <f>[1]!EM_S_RATIO_EPS_TTM(B2601,E2601,"1")</f>
        <v>0.11650089834085234</v>
      </c>
      <c r="AT2601" s="4" t="str">
        <f>[1]!EM_S_IPO_LISTEDDATE(B2601)</f>
        <v>1996-07-03</v>
      </c>
    </row>
    <row r="2602" spans="1:46">
      <c r="A2602">
        <v>473</v>
      </c>
      <c r="B2602" t="str">
        <f>"000959"</f>
        <v>000959</v>
      </c>
      <c r="C2602" t="s">
        <v>1463</v>
      </c>
      <c r="D2602" t="str">
        <f>[1]!EM_S_INFO_INDEX_EM(B2602,"1")</f>
        <v>钢铁</v>
      </c>
      <c r="E2602" s="4">
        <f t="shared" si="40"/>
        <v>43465</v>
      </c>
      <c r="F2602" s="11">
        <f>[1]!EM_S_PQ_PCTCHANGE(B2602,"2018-01-01","2019-12-31","3")</f>
        <v>-40.969899669999997</v>
      </c>
      <c r="G2602" s="11">
        <f>[1]!EM_S_PQ_PCTCHANGE(B2602,"2018-12-31","2019-12-30","1")</f>
        <v>-5.8981233199999998</v>
      </c>
      <c r="H2602" s="11">
        <f>[1]!EM_S_FA_YOY_OR(B2602,E2602)</f>
        <v>9.1836760014000003</v>
      </c>
      <c r="I2602" s="11">
        <f>[1]!EM_S_FA_GROSSPROFITMARGIN(B2602,E2602)</f>
        <v>12.9718682022</v>
      </c>
      <c r="J2602" s="11">
        <f>[1]!EM_S_FA_NETPROFITMARGIN(B2602,E2602)</f>
        <v>5.0646855951000003</v>
      </c>
      <c r="K2602" s="10">
        <f>[1]!EM_S_FA_ASSETSTURN(B2602,E2602)</f>
        <v>0.48856487043899999</v>
      </c>
      <c r="L2602" s="12">
        <f>[1]!EM_HKS_VAL_MV(B2602,"2019-12-31","2")</f>
        <v>18671545288</v>
      </c>
      <c r="M2602">
        <f>[1]!EM_S_VAL_PETTMDEDUCTED(B2602,E2602)</f>
        <v>7.6528586544554704</v>
      </c>
      <c r="N2602" s="7">
        <f>[1]!EM_S_VAL_PBGOODWILLDEDUCTED(B2602,E2602)</f>
        <v>0.77834695059083303</v>
      </c>
      <c r="O2602" s="7">
        <f>[1]!EM_S_VAL_PS_TTM(B2602,E2602)</f>
        <v>0.30556715006119101</v>
      </c>
      <c r="P2602" s="7">
        <f>[1]!EM_S_VAL_PCF_NCFTTM(B2602,E2602)</f>
        <v>3.5681933948034801</v>
      </c>
      <c r="Q2602" s="7">
        <f>[1]!EM_S_VAL_DIVIDENDYIELD2(B2602,E2602,"2019-11-29")</f>
        <v>0</v>
      </c>
      <c r="T2602"/>
      <c r="U2602">
        <f>[1]!EM_S_RATIO_EPS_TTM(B2602,E2602,"1")</f>
        <v>0.45444764971746454</v>
      </c>
      <c r="AT2602" s="4" t="str">
        <f>[1]!EM_S_IPO_LISTEDDATE(B2602)</f>
        <v>1999-12-16</v>
      </c>
    </row>
    <row r="2603" spans="1:46">
      <c r="A2603">
        <v>1153</v>
      </c>
      <c r="B2603" t="str">
        <f>"002642"</f>
        <v>002642</v>
      </c>
      <c r="C2603" t="s">
        <v>2740</v>
      </c>
      <c r="D2603" t="str">
        <f>[1]!EM_S_INFO_INDEX_EM(B2603,"1")</f>
        <v>信息技术</v>
      </c>
      <c r="E2603" s="4">
        <f t="shared" si="40"/>
        <v>43465</v>
      </c>
      <c r="F2603" s="11">
        <f>[1]!EM_S_PQ_PCTCHANGE(B2603,"2018-01-01","2019-12-31","3")</f>
        <v>-52.555301300000004</v>
      </c>
      <c r="G2603" s="11">
        <f>[1]!EM_S_PQ_PCTCHANGE(B2603,"2018-12-31","2019-12-30","1")</f>
        <v>-5.9006211200000003</v>
      </c>
      <c r="H2603" s="11">
        <f>[1]!EM_S_FA_YOY_OR(B2603,E2603)</f>
        <v>44.7591815547</v>
      </c>
      <c r="I2603" s="11">
        <f>[1]!EM_S_FA_GROSSPROFITMARGIN(B2603,E2603)</f>
        <v>12.866853197899999</v>
      </c>
      <c r="J2603" s="11">
        <f>[1]!EM_S_FA_NETPROFITMARGIN(B2603,E2603)</f>
        <v>-49.825665133000001</v>
      </c>
      <c r="K2603" s="10">
        <f>[1]!EM_S_FA_ASSETSTURN(B2603,E2603)</f>
        <v>0.50107548610999997</v>
      </c>
      <c r="L2603" s="12">
        <f>[1]!EM_HKS_VAL_MV(B2603,"2019-12-31","2")</f>
        <v>4115029546.8600001</v>
      </c>
      <c r="M2603">
        <f>[1]!EM_S_VAL_PETTMDEDUCTED(B2603,E2603)</f>
        <v>-17.8243725918575</v>
      </c>
      <c r="N2603" s="7">
        <f>[1]!EM_S_VAL_PBGOODWILLDEDUCTED(B2603,E2603)</f>
        <v>1.9341051902753601</v>
      </c>
      <c r="O2603" s="7">
        <f>[1]!EM_S_VAL_PS_TTM(B2603,E2603)</f>
        <v>1.6623620749844099</v>
      </c>
      <c r="P2603" s="7">
        <f>[1]!EM_S_VAL_PCF_NCFTTM(B2603,E2603)</f>
        <v>-17.9556660095528</v>
      </c>
      <c r="Q2603" s="7">
        <f>[1]!EM_S_VAL_DIVIDENDYIELD2(B2603,E2603,"2019-11-29")</f>
        <v>0</v>
      </c>
      <c r="T2603"/>
      <c r="U2603">
        <f>[1]!EM_S_RATIO_EPS_TTM(B2603,E2603,"1")</f>
        <v>-2.05693257033179</v>
      </c>
      <c r="AT2603" s="4" t="str">
        <f>[1]!EM_S_IPO_LISTEDDATE(B2603)</f>
        <v>2011-12-20</v>
      </c>
    </row>
    <row r="2604" spans="1:46">
      <c r="A2604">
        <v>2572</v>
      </c>
      <c r="B2604" t="str">
        <f>"600487"</f>
        <v>600487</v>
      </c>
      <c r="C2604" t="s">
        <v>351</v>
      </c>
      <c r="D2604" t="str">
        <f>[1]!EM_S_INFO_INDEX_EM(B2604,"1")</f>
        <v>信息技术</v>
      </c>
      <c r="E2604" s="4">
        <f t="shared" si="40"/>
        <v>43465</v>
      </c>
      <c r="F2604" s="11">
        <f>[1]!EM_S_PQ_PCTCHANGE(B2604,"2018-01-01","2019-12-31","3")</f>
        <v>-42.831757060000001</v>
      </c>
      <c r="G2604" s="11">
        <f>[1]!EM_S_PQ_PCTCHANGE(B2604,"2018-12-31","2019-12-30","1")</f>
        <v>-5.92375367</v>
      </c>
      <c r="H2604" s="11">
        <f>[1]!EM_S_FA_YOY_OR(B2604,E2604)</f>
        <v>30.496300950999998</v>
      </c>
      <c r="I2604" s="11">
        <f>[1]!EM_S_FA_GROSSPROFITMARGIN(B2604,E2604)</f>
        <v>18.915400680200001</v>
      </c>
      <c r="J2604" s="11">
        <f>[1]!EM_S_FA_NETPROFITMARGIN(B2604,E2604)</f>
        <v>7.8172369957000001</v>
      </c>
      <c r="K2604" s="10">
        <f>[1]!EM_S_FA_ASSETSTURN(B2604,E2604)</f>
        <v>1.0486237131060001</v>
      </c>
      <c r="L2604" s="12">
        <f>[1]!EM_HKS_VAL_MV(B2604,"2019-12-31","2")</f>
        <v>30954058895.34</v>
      </c>
      <c r="M2604">
        <f>[1]!EM_S_VAL_PETTMDEDUCTED(B2604,E2604)</f>
        <v>14.1947954918082</v>
      </c>
      <c r="N2604" s="7">
        <f>[1]!EM_S_VAL_PBGOODWILLDEDUCTED(B2604,E2604)</f>
        <v>2.7406489127279099</v>
      </c>
      <c r="O2604" s="7">
        <f>[1]!EM_S_VAL_PS_TTM(B2604,E2604)</f>
        <v>1.04590407340109</v>
      </c>
      <c r="P2604" s="7">
        <f>[1]!EM_S_VAL_PCF_NCFTTM(B2604,E2604)</f>
        <v>-87.275955117175599</v>
      </c>
      <c r="Q2604" s="7">
        <f>[1]!EM_S_VAL_DIVIDENDYIELD2(B2604,E2604,"2019-11-29")</f>
        <v>0.96899154512179908</v>
      </c>
      <c r="T2604"/>
      <c r="U2604">
        <f>[1]!EM_S_RATIO_EPS_TTM(B2604,E2604,"1")</f>
        <v>1.3298344842114393</v>
      </c>
      <c r="AT2604" s="4" t="str">
        <f>[1]!EM_S_IPO_LISTEDDATE(B2604)</f>
        <v>2003-08-22</v>
      </c>
    </row>
    <row r="2605" spans="1:46">
      <c r="A2605">
        <v>1526</v>
      </c>
      <c r="B2605" t="str">
        <f>"300101"</f>
        <v>300101</v>
      </c>
      <c r="C2605" t="s">
        <v>837</v>
      </c>
      <c r="D2605" t="str">
        <f>[1]!EM_S_INFO_INDEX_EM(B2605,"1")</f>
        <v>信息技术</v>
      </c>
      <c r="E2605" s="4">
        <f t="shared" si="40"/>
        <v>43465</v>
      </c>
      <c r="F2605" s="11">
        <f>[1]!EM_S_PQ_PCTCHANGE(B2605,"2018-01-01","2019-12-31","3")</f>
        <v>-31.99168719</v>
      </c>
      <c r="G2605" s="11">
        <f>[1]!EM_S_PQ_PCTCHANGE(B2605,"2018-12-31","2019-12-30","1")</f>
        <v>-5.9595959599999997</v>
      </c>
      <c r="H2605" s="11">
        <f>[1]!EM_S_FA_YOY_OR(B2605,E2605)</f>
        <v>0.53890701200000002</v>
      </c>
      <c r="I2605" s="11">
        <f>[1]!EM_S_FA_GROSSPROFITMARGIN(B2605,E2605)</f>
        <v>47.4656956205</v>
      </c>
      <c r="J2605" s="11">
        <f>[1]!EM_S_FA_NETPROFITMARGIN(B2605,E2605)</f>
        <v>4.5281715002</v>
      </c>
      <c r="K2605" s="10">
        <f>[1]!EM_S_FA_ASSETSTURN(B2605,E2605)</f>
        <v>0.31425700892399999</v>
      </c>
      <c r="L2605" s="12">
        <f>[1]!EM_HKS_VAL_MV(B2605,"2019-12-31","2")</f>
        <v>5086522950</v>
      </c>
      <c r="M2605">
        <f>[1]!EM_S_VAL_PETTMDEDUCTED(B2605,E2605)</f>
        <v>1005.43726464488</v>
      </c>
      <c r="N2605" s="7">
        <f>[1]!EM_S_VAL_PBGOODWILLDEDUCTED(B2605,E2605)</f>
        <v>5.9491191564202301</v>
      </c>
      <c r="O2605" s="7">
        <f>[1]!EM_S_VAL_PS_TTM(B2605,E2605)</f>
        <v>11.596911307681101</v>
      </c>
      <c r="P2605" s="7">
        <f>[1]!EM_S_VAL_PCF_NCFTTM(B2605,E2605)</f>
        <v>22.743496374046199</v>
      </c>
      <c r="Q2605" s="7">
        <f>[1]!EM_S_VAL_DIVIDENDYIELD2(B2605,E2605,"2019-11-29")</f>
        <v>0.24139758129851702</v>
      </c>
      <c r="T2605"/>
      <c r="U2605">
        <f>[1]!EM_S_RATIO_EPS_TTM(B2605,E2605,"1")</f>
        <v>2.8908543738267629E-2</v>
      </c>
      <c r="AT2605" s="4" t="str">
        <f>[1]!EM_S_IPO_LISTEDDATE(B2605)</f>
        <v>2010-08-06</v>
      </c>
    </row>
    <row r="2606" spans="1:46">
      <c r="A2606">
        <v>306</v>
      </c>
      <c r="B2606" t="str">
        <f>"000726"</f>
        <v>000726</v>
      </c>
      <c r="C2606" t="s">
        <v>1233</v>
      </c>
      <c r="D2606" t="str">
        <f>[1]!EM_S_INFO_INDEX_EM(B2606,"1")</f>
        <v>纺织服装</v>
      </c>
      <c r="E2606" s="4">
        <f t="shared" si="40"/>
        <v>43465</v>
      </c>
      <c r="F2606" s="11">
        <f>[1]!EM_S_PQ_PCTCHANGE(B2606,"2018-01-01","2019-12-31","3")</f>
        <v>-8.1368555899999997</v>
      </c>
      <c r="G2606" s="11">
        <f>[1]!EM_S_PQ_PCTCHANGE(B2606,"2018-12-31","2019-12-30","1")</f>
        <v>-5.9732234799999997</v>
      </c>
      <c r="H2606" s="11">
        <f>[1]!EM_S_FA_YOY_OR(B2606,E2606)</f>
        <v>7.3306029819000003</v>
      </c>
      <c r="I2606" s="11">
        <f>[1]!EM_S_FA_GROSSPROFITMARGIN(B2606,E2606)</f>
        <v>29.3298200459</v>
      </c>
      <c r="J2606" s="11">
        <f>[1]!EM_S_FA_NETPROFITMARGIN(B2606,E2606)</f>
        <v>12.4754504259</v>
      </c>
      <c r="K2606" s="10">
        <f>[1]!EM_S_FA_ASSETSTURN(B2606,E2606)</f>
        <v>0.66437428118200004</v>
      </c>
      <c r="L2606" s="12">
        <f>[1]!EM_HKS_VAL_MV(B2606,"2019-12-31","2")</f>
        <v>7851812100.1499996</v>
      </c>
      <c r="M2606">
        <f>[1]!EM_S_VAL_PETTMDEDUCTED(B2606,E2606)</f>
        <v>11.1574354362313</v>
      </c>
      <c r="N2606" s="7">
        <f>[1]!EM_S_VAL_PBGOODWILLDEDUCTED(B2606,E2606)</f>
        <v>1.2571639878136001</v>
      </c>
      <c r="O2606" s="7">
        <f>[1]!EM_S_VAL_PS_TTM(B2606,E2606)</f>
        <v>1.3175271514754801</v>
      </c>
      <c r="P2606" s="7">
        <f>[1]!EM_S_VAL_PCF_NCFTTM(B2606,E2606)</f>
        <v>64.043937407147695</v>
      </c>
      <c r="Q2606" s="7">
        <f>[1]!EM_S_VAL_DIVIDENDYIELD2(B2606,E2606,"2019-11-29")</f>
        <v>5.6178196368259696</v>
      </c>
      <c r="T2606"/>
      <c r="U2606">
        <f>[1]!EM_S_RATIO_EPS_TTM(B2606,E2606,"1")</f>
        <v>0.87960594522074642</v>
      </c>
      <c r="AT2606" s="4" t="str">
        <f>[1]!EM_S_IPO_LISTEDDATE(B2606)</f>
        <v>2000-12-25</v>
      </c>
    </row>
    <row r="2607" spans="1:46">
      <c r="A2607">
        <v>1198</v>
      </c>
      <c r="B2607" t="str">
        <f>"002687"</f>
        <v>002687</v>
      </c>
      <c r="C2607" t="s">
        <v>2137</v>
      </c>
      <c r="D2607" t="str">
        <f>[1]!EM_S_INFO_INDEX_EM(B2607,"1")</f>
        <v>纺织服装</v>
      </c>
      <c r="E2607" s="4">
        <f t="shared" si="40"/>
        <v>43465</v>
      </c>
      <c r="F2607" s="11">
        <f>[1]!EM_S_PQ_PCTCHANGE(B2607,"2018-01-01","2019-12-31","3")</f>
        <v>-8.5560882399999993</v>
      </c>
      <c r="G2607" s="11">
        <f>[1]!EM_S_PQ_PCTCHANGE(B2607,"2018-12-31","2019-12-30","1")</f>
        <v>-5.9773828800000004</v>
      </c>
      <c r="H2607" s="11">
        <f>[1]!EM_S_FA_YOY_OR(B2607,E2607)</f>
        <v>27.6996839404</v>
      </c>
      <c r="I2607" s="11">
        <f>[1]!EM_S_FA_GROSSPROFITMARGIN(B2607,E2607)</f>
        <v>47.179374005699998</v>
      </c>
      <c r="J2607" s="11">
        <f>[1]!EM_S_FA_NETPROFITMARGIN(B2607,E2607)</f>
        <v>11.633214322700001</v>
      </c>
      <c r="K2607" s="10">
        <f>[1]!EM_S_FA_ASSETSTURN(B2607,E2607)</f>
        <v>0.66771055927199996</v>
      </c>
      <c r="L2607" s="12">
        <f>[1]!EM_HKS_VAL_MV(B2607,"2019-12-31","2")</f>
        <v>2152500000</v>
      </c>
      <c r="M2607">
        <f>[1]!EM_S_VAL_PETTMDEDUCTED(B2607,E2607)</f>
        <v>25.3669949945584</v>
      </c>
      <c r="N2607" s="7">
        <f>[1]!EM_S_VAL_PBGOODWILLDEDUCTED(B2607,E2607)</f>
        <v>2.0628173905098199</v>
      </c>
      <c r="O2607" s="7">
        <f>[1]!EM_S_VAL_PS_TTM(B2607,E2607)</f>
        <v>2.4693243463708998</v>
      </c>
      <c r="P2607" s="7">
        <f>[1]!EM_S_VAL_PCF_NCFTTM(B2607,E2607)</f>
        <v>-33.8743620213939</v>
      </c>
      <c r="Q2607" s="7">
        <f>[1]!EM_S_VAL_DIVIDENDYIELD2(B2607,E2607,"2019-11-29")</f>
        <v>2.7802454949072866</v>
      </c>
      <c r="T2607"/>
      <c r="U2607">
        <f>[1]!EM_S_RATIO_EPS_TTM(B2607,E2607,"1")</f>
        <v>0.31838164302300681</v>
      </c>
      <c r="AT2607" s="4" t="str">
        <f>[1]!EM_S_IPO_LISTEDDATE(B2607)</f>
        <v>2012-07-13</v>
      </c>
    </row>
    <row r="2608" spans="1:46">
      <c r="A2608">
        <v>3512</v>
      </c>
      <c r="B2608" t="str">
        <f>"603717"</f>
        <v>603717</v>
      </c>
      <c r="C2608" t="s">
        <v>3257</v>
      </c>
      <c r="D2608" t="str">
        <f>[1]!EM_S_INFO_INDEX_EM(B2608,"1")</f>
        <v>建筑</v>
      </c>
      <c r="E2608" s="4">
        <f t="shared" si="40"/>
        <v>43465</v>
      </c>
      <c r="F2608" s="11">
        <f>[1]!EM_S_PQ_PCTCHANGE(B2608,"2018-01-01","2019-12-31","3")</f>
        <v>-55.384945819999999</v>
      </c>
      <c r="G2608" s="11">
        <f>[1]!EM_S_PQ_PCTCHANGE(B2608,"2018-12-31","2019-12-30","1")</f>
        <v>-6.0279870799999999</v>
      </c>
      <c r="H2608" s="11">
        <f>[1]!EM_S_FA_YOY_OR(B2608,E2608)</f>
        <v>10.606693241</v>
      </c>
      <c r="I2608" s="11">
        <f>[1]!EM_S_FA_GROSSPROFITMARGIN(B2608,E2608)</f>
        <v>30.749209840999999</v>
      </c>
      <c r="J2608" s="11">
        <f>[1]!EM_S_FA_NETPROFITMARGIN(B2608,E2608)</f>
        <v>8.7447977754000004</v>
      </c>
      <c r="K2608" s="10">
        <f>[1]!EM_S_FA_ASSETSTURN(B2608,E2608)</f>
        <v>0.38167362792600001</v>
      </c>
      <c r="L2608" s="12">
        <f>[1]!EM_HKS_VAL_MV(B2608,"2019-12-31","2")</f>
        <v>2120553024.8</v>
      </c>
      <c r="M2608">
        <f>[1]!EM_S_VAL_PETTMDEDUCTED(B2608,E2608)</f>
        <v>19.0398208263871</v>
      </c>
      <c r="N2608" s="7">
        <f>[1]!EM_S_VAL_PBGOODWILLDEDUCTED(B2608,E2608)</f>
        <v>1.6710440733345699</v>
      </c>
      <c r="O2608" s="7">
        <f>[1]!EM_S_VAL_PS_TTM(B2608,E2608)</f>
        <v>1.91037049360492</v>
      </c>
      <c r="P2608" s="7">
        <f>[1]!EM_S_VAL_PCF_NCFTTM(B2608,E2608)</f>
        <v>-41.053878489096903</v>
      </c>
      <c r="Q2608" s="7">
        <f>[1]!EM_S_VAL_DIVIDENDYIELD2(B2608,E2608,"2019-11-29")</f>
        <v>0</v>
      </c>
      <c r="T2608"/>
      <c r="U2608">
        <f>[1]!EM_S_RATIO_EPS_TTM(B2608,E2608,"1")</f>
        <v>0.37907793235329051</v>
      </c>
      <c r="AT2608" s="4" t="str">
        <f>[1]!EM_S_IPO_LISTEDDATE(B2608)</f>
        <v>2017-03-27</v>
      </c>
    </row>
    <row r="2609" spans="1:46">
      <c r="A2609">
        <v>1713</v>
      </c>
      <c r="B2609" t="str">
        <f>"300288"</f>
        <v>300288</v>
      </c>
      <c r="C2609" t="s">
        <v>1550</v>
      </c>
      <c r="D2609" t="str">
        <f>[1]!EM_S_INFO_INDEX_EM(B2609,"1")</f>
        <v>互联网</v>
      </c>
      <c r="E2609" s="4">
        <f t="shared" si="40"/>
        <v>43465</v>
      </c>
      <c r="F2609" s="11">
        <f>[1]!EM_S_PQ_PCTCHANGE(B2609,"2018-01-01","2019-12-31","3")</f>
        <v>-48.676085370000003</v>
      </c>
      <c r="G2609" s="11">
        <f>[1]!EM_S_PQ_PCTCHANGE(B2609,"2018-12-31","2019-12-30","1")</f>
        <v>-6.0465116300000004</v>
      </c>
      <c r="H2609" s="11">
        <f>[1]!EM_S_FA_YOY_OR(B2609,E2609)</f>
        <v>11.256790954</v>
      </c>
      <c r="I2609" s="11">
        <f>[1]!EM_S_FA_GROSSPROFITMARGIN(B2609,E2609)</f>
        <v>49.3448879651</v>
      </c>
      <c r="J2609" s="11">
        <f>[1]!EM_S_FA_NETPROFITMARGIN(B2609,E2609)</f>
        <v>21.973609762700001</v>
      </c>
      <c r="K2609" s="10">
        <f>[1]!EM_S_FA_ASSETSTURN(B2609,E2609)</f>
        <v>0.28186548495800001</v>
      </c>
      <c r="L2609" s="12">
        <f>[1]!EM_HKS_VAL_MV(B2609,"2019-12-31","2")</f>
        <v>4119505690.3800001</v>
      </c>
      <c r="M2609">
        <f>[1]!EM_S_VAL_PETTMDEDUCTED(B2609,E2609)</f>
        <v>56.265434207625901</v>
      </c>
      <c r="N2609" s="7">
        <f>[1]!EM_S_VAL_PBGOODWILLDEDUCTED(B2609,E2609)</f>
        <v>5.8658531612036402</v>
      </c>
      <c r="O2609" s="7">
        <f>[1]!EM_S_VAL_PS_TTM(B2609,E2609)</f>
        <v>9.6449568131603591</v>
      </c>
      <c r="P2609" s="7">
        <f>[1]!EM_S_VAL_PCF_NCFTTM(B2609,E2609)</f>
        <v>26.718833808758301</v>
      </c>
      <c r="Q2609" s="7">
        <f>[1]!EM_S_VAL_DIVIDENDYIELD2(B2609,E2609,"2019-11-29")</f>
        <v>0.43140638481449534</v>
      </c>
      <c r="T2609"/>
      <c r="U2609">
        <f>[1]!EM_S_RATIO_EPS_TTM(B2609,E2609,"1")</f>
        <v>0.30892357072010962</v>
      </c>
      <c r="AT2609" s="4" t="str">
        <f>[1]!EM_S_IPO_LISTEDDATE(B2609)</f>
        <v>2012-02-16</v>
      </c>
    </row>
    <row r="2610" spans="1:46">
      <c r="A2610">
        <v>315</v>
      </c>
      <c r="B2610" t="str">
        <f>"000736"</f>
        <v>000736</v>
      </c>
      <c r="C2610" t="s">
        <v>2497</v>
      </c>
      <c r="D2610" t="str">
        <f>[1]!EM_S_INFO_INDEX_EM(B2610,"1")</f>
        <v>房地产</v>
      </c>
      <c r="E2610" s="4">
        <f t="shared" si="40"/>
        <v>43465</v>
      </c>
      <c r="F2610" s="11">
        <f>[1]!EM_S_PQ_PCTCHANGE(B2610,"2018-01-01","2019-12-31","3")</f>
        <v>-15.75410376</v>
      </c>
      <c r="G2610" s="11">
        <f>[1]!EM_S_PQ_PCTCHANGE(B2610,"2018-12-31","2019-12-30","1")</f>
        <v>-6.05652759</v>
      </c>
      <c r="H2610" s="11">
        <f>[1]!EM_S_FA_YOY_OR(B2610,E2610)</f>
        <v>42.913861050999998</v>
      </c>
      <c r="I2610" s="11">
        <f>[1]!EM_S_FA_GROSSPROFITMARGIN(B2610,E2610)</f>
        <v>30.883616200999999</v>
      </c>
      <c r="J2610" s="11">
        <f>[1]!EM_S_FA_NETPROFITMARGIN(B2610,E2610)</f>
        <v>12.876032946800001</v>
      </c>
      <c r="K2610" s="10">
        <f>[1]!EM_S_FA_ASSETSTURN(B2610,E2610)</f>
        <v>0.245298626559</v>
      </c>
      <c r="L2610" s="12">
        <f>[1]!EM_HKS_VAL_MV(B2610,"2019-12-31","2")</f>
        <v>3808836823.04</v>
      </c>
      <c r="M2610">
        <f>[1]!EM_S_VAL_PETTMDEDUCTED(B2610,E2610)</f>
        <v>17.242971531109202</v>
      </c>
      <c r="N2610" s="7">
        <f>[1]!EM_S_VAL_PBGOODWILLDEDUCTED(B2610,E2610)</f>
        <v>1.4495600987559201</v>
      </c>
      <c r="O2610" s="7">
        <f>[1]!EM_S_VAL_PS_TTM(B2610,E2610)</f>
        <v>0.41650978406373201</v>
      </c>
      <c r="P2610" s="7">
        <f>[1]!EM_S_VAL_PCF_NCFTTM(B2610,E2610)</f>
        <v>5.5847358413827299</v>
      </c>
      <c r="Q2610" s="7">
        <f>[1]!EM_S_VAL_DIVIDENDYIELD2(B2610,E2610,"2019-11-29")</f>
        <v>2.4585921343435508</v>
      </c>
      <c r="T2610"/>
      <c r="U2610">
        <f>[1]!EM_S_RATIO_EPS_TTM(B2610,E2610,"1")</f>
        <v>1.8167026024292778</v>
      </c>
      <c r="AT2610" s="4" t="str">
        <f>[1]!EM_S_IPO_LISTEDDATE(B2610)</f>
        <v>1997-04-25</v>
      </c>
    </row>
    <row r="2611" spans="1:46">
      <c r="A2611">
        <v>647</v>
      </c>
      <c r="B2611" t="str">
        <f>"002136"</f>
        <v>002136</v>
      </c>
      <c r="C2611" t="s">
        <v>428</v>
      </c>
      <c r="D2611" t="str">
        <f>[1]!EM_S_INFO_INDEX_EM(B2611,"1")</f>
        <v>基础化工</v>
      </c>
      <c r="E2611" s="4">
        <f t="shared" si="40"/>
        <v>43465</v>
      </c>
      <c r="F2611" s="11">
        <f>[1]!EM_S_PQ_PCTCHANGE(B2611,"2018-01-01","2019-12-31","3")</f>
        <v>-45.23879178</v>
      </c>
      <c r="G2611" s="11">
        <f>[1]!EM_S_PQ_PCTCHANGE(B2611,"2018-12-31","2019-12-30","1")</f>
        <v>-6.1199510400000001</v>
      </c>
      <c r="H2611" s="11">
        <f>[1]!EM_S_FA_YOY_OR(B2611,E2611)</f>
        <v>-9.3596889342999994</v>
      </c>
      <c r="I2611" s="11">
        <f>[1]!EM_S_FA_GROSSPROFITMARGIN(B2611,E2611)</f>
        <v>15.5936246629</v>
      </c>
      <c r="J2611" s="11">
        <f>[1]!EM_S_FA_NETPROFITMARGIN(B2611,E2611)</f>
        <v>4.1320647461000002</v>
      </c>
      <c r="K2611" s="10">
        <f>[1]!EM_S_FA_ASSETSTURN(B2611,E2611)</f>
        <v>1.087766051657</v>
      </c>
      <c r="L2611" s="12">
        <f>[1]!EM_HKS_VAL_MV(B2611,"2019-12-31","2")</f>
        <v>1640602600</v>
      </c>
      <c r="M2611">
        <f>[1]!EM_S_VAL_PETTMDEDUCTED(B2611,E2611)</f>
        <v>17.233075930961999</v>
      </c>
      <c r="N2611" s="7">
        <f>[1]!EM_S_VAL_PBGOODWILLDEDUCTED(B2611,E2611)</f>
        <v>2.5390581345620098</v>
      </c>
      <c r="O2611" s="7">
        <f>[1]!EM_S_VAL_PS_TTM(B2611,E2611)</f>
        <v>1.5418043102905099</v>
      </c>
      <c r="P2611" s="7">
        <f>[1]!EM_S_VAL_PCF_NCFTTM(B2611,E2611)</f>
        <v>588.54312505546102</v>
      </c>
      <c r="Q2611" s="7">
        <f>[1]!EM_S_VAL_DIVIDENDYIELD2(B2611,E2611,"2019-11-29")</f>
        <v>1.3623978201634876</v>
      </c>
      <c r="T2611"/>
      <c r="U2611">
        <f>[1]!EM_S_RATIO_EPS_TTM(B2611,E2611,"1")</f>
        <v>0.21439403353176451</v>
      </c>
      <c r="AT2611" s="4" t="str">
        <f>[1]!EM_S_IPO_LISTEDDATE(B2611)</f>
        <v>2007-05-30</v>
      </c>
    </row>
    <row r="2612" spans="1:46">
      <c r="A2612">
        <v>1838</v>
      </c>
      <c r="B2612" t="str">
        <f>"300413"</f>
        <v>300413</v>
      </c>
      <c r="C2612" t="s">
        <v>2434</v>
      </c>
      <c r="D2612" t="str">
        <f>[1]!EM_S_INFO_INDEX_EM(B2612,"1")</f>
        <v>互联网</v>
      </c>
      <c r="E2612" s="4">
        <f t="shared" si="40"/>
        <v>43465</v>
      </c>
      <c r="F2612" s="11">
        <f>[1]!EM_S_PQ_PCTCHANGE(B2612,"2018-01-01","2019-12-31","3")</f>
        <v>99.319489219999994</v>
      </c>
      <c r="G2612" s="11">
        <f>[1]!EM_S_PQ_PCTCHANGE(B2612,"2018-12-31","2019-12-30","1")</f>
        <v>-6.1334774400000001</v>
      </c>
      <c r="H2612" s="11">
        <f>[1]!EM_S_FA_YOY_OR(B2612,E2612)</f>
        <v>16.8015409946</v>
      </c>
      <c r="I2612" s="11">
        <f>[1]!EM_S_FA_GROSSPROFITMARGIN(B2612,E2612)</f>
        <v>37.035649104400001</v>
      </c>
      <c r="J2612" s="11">
        <f>[1]!EM_S_FA_NETPROFITMARGIN(B2612,E2612)</f>
        <v>9.6015620160000008</v>
      </c>
      <c r="K2612" s="10">
        <f>[1]!EM_S_FA_ASSETSTURN(B2612,E2612)</f>
        <v>1.3430963601649999</v>
      </c>
      <c r="L2612" s="12">
        <f>[1]!EM_HKS_VAL_MV(B2612,"2019-12-31","2")</f>
        <v>62241997784.559998</v>
      </c>
      <c r="M2612">
        <f>[1]!EM_S_VAL_PETTMDEDUCTED(B2612,E2612)</f>
        <v>-123.746804160431</v>
      </c>
      <c r="N2612" s="7">
        <f>[1]!EM_S_VAL_PBGOODWILLDEDUCTED(B2612,E2612)</f>
        <v>6.4973124636009603</v>
      </c>
      <c r="O2612" s="7">
        <f>[1]!EM_S_VAL_PS_TTM(B2612,E2612)</f>
        <v>8.3081346414459603</v>
      </c>
      <c r="P2612" s="7">
        <f>[1]!EM_S_VAL_PCF_NCFTTM(B2612,E2612)</f>
        <v>60.263143307964299</v>
      </c>
      <c r="Q2612" s="7">
        <f>[1]!EM_S_VAL_DIVIDENDYIELD2(B2612,E2612,"2019-11-29")</f>
        <v>0</v>
      </c>
      <c r="T2612"/>
      <c r="U2612">
        <f>[1]!EM_S_RATIO_EPS_TTM(B2612,E2612,"1")</f>
        <v>0.87429087967383023</v>
      </c>
      <c r="AT2612" s="4" t="str">
        <f>[1]!EM_S_IPO_LISTEDDATE(B2612)</f>
        <v>2015-01-21</v>
      </c>
    </row>
    <row r="2613" spans="1:46">
      <c r="A2613">
        <v>2830</v>
      </c>
      <c r="B2613" t="str">
        <f>"600757"</f>
        <v>600757</v>
      </c>
      <c r="C2613" t="s">
        <v>849</v>
      </c>
      <c r="D2613" t="str">
        <f>[1]!EM_S_INFO_INDEX_EM(B2613,"1")</f>
        <v>文化传媒</v>
      </c>
      <c r="E2613" s="4">
        <f t="shared" si="40"/>
        <v>43465</v>
      </c>
      <c r="F2613" s="11">
        <f>[1]!EM_S_PQ_PCTCHANGE(B2613,"2018-01-01","2019-12-31","3")</f>
        <v>-8.0116698500000005</v>
      </c>
      <c r="G2613" s="11">
        <f>[1]!EM_S_PQ_PCTCHANGE(B2613,"2018-12-31","2019-12-30","1")</f>
        <v>-6.1349693299999997</v>
      </c>
      <c r="H2613" s="11">
        <f>[1]!EM_S_FA_YOY_OR(B2613,E2613)</f>
        <v>-7.7385462406999999</v>
      </c>
      <c r="I2613" s="11">
        <f>[1]!EM_S_FA_GROSSPROFITMARGIN(B2613,E2613)</f>
        <v>18.174283065200001</v>
      </c>
      <c r="J2613" s="11">
        <f>[1]!EM_S_FA_NETPROFITMARGIN(B2613,E2613)</f>
        <v>7.2822647599000003</v>
      </c>
      <c r="K2613" s="10">
        <f>[1]!EM_S_FA_ASSETSTURN(B2613,E2613)</f>
        <v>1.0163090816560001</v>
      </c>
      <c r="L2613" s="12">
        <f>[1]!EM_HKS_VAL_MV(B2613,"2019-12-31","2")</f>
        <v>7476085681.6800003</v>
      </c>
      <c r="M2613">
        <f>[1]!EM_S_VAL_PETTMDEDUCTED(B2613,E2613)</f>
        <v>13.109683506807</v>
      </c>
      <c r="N2613" s="7">
        <f>[1]!EM_S_VAL_PBGOODWILLDEDUCTED(B2613,E2613)</f>
        <v>1.1838463385106699</v>
      </c>
      <c r="O2613" s="7">
        <f>[1]!EM_S_VAL_PS_TTM(B2613,E2613)</f>
        <v>0.64778639731268794</v>
      </c>
      <c r="P2613" s="7">
        <f>[1]!EM_S_VAL_PCF_NCFTTM(B2613,E2613)</f>
        <v>-37.249461052806097</v>
      </c>
      <c r="Q2613" s="7">
        <f>[1]!EM_S_VAL_DIVIDENDYIELD2(B2613,E2613,"2019-11-29")</f>
        <v>2.5083612040133776</v>
      </c>
      <c r="T2613"/>
      <c r="U2613">
        <f>[1]!EM_S_RATIO_EPS_TTM(B2613,E2613,"1")</f>
        <v>0.60370879760845242</v>
      </c>
      <c r="AT2613" s="4" t="str">
        <f>[1]!EM_S_IPO_LISTEDDATE(B2613)</f>
        <v>1996-10-03</v>
      </c>
    </row>
    <row r="2614" spans="1:46">
      <c r="A2614">
        <v>1761</v>
      </c>
      <c r="B2614" t="str">
        <f>"300336"</f>
        <v>300336</v>
      </c>
      <c r="C2614" t="s">
        <v>1217</v>
      </c>
      <c r="D2614" t="str">
        <f>[1]!EM_S_INFO_INDEX_EM(B2614,"1")</f>
        <v>文化传媒</v>
      </c>
      <c r="E2614" s="4">
        <f t="shared" si="40"/>
        <v>43465</v>
      </c>
      <c r="F2614" s="11">
        <f>[1]!EM_S_PQ_PCTCHANGE(B2614,"2018-01-01","2019-12-31","3")</f>
        <v>-45.95287355</v>
      </c>
      <c r="G2614" s="11">
        <f>[1]!EM_S_PQ_PCTCHANGE(B2614,"2018-12-31","2019-12-30","1")</f>
        <v>-6.1363636399999999</v>
      </c>
      <c r="H2614" s="11">
        <f>[1]!EM_S_FA_YOY_OR(B2614,E2614)</f>
        <v>-34.656699493700003</v>
      </c>
      <c r="I2614" s="11">
        <f>[1]!EM_S_FA_GROSSPROFITMARGIN(B2614,E2614)</f>
        <v>38.8620824797</v>
      </c>
      <c r="J2614" s="11">
        <f>[1]!EM_S_FA_NETPROFITMARGIN(B2614,E2614)</f>
        <v>3.6182245358</v>
      </c>
      <c r="K2614" s="10">
        <f>[1]!EM_S_FA_ASSETSTURN(B2614,E2614)</f>
        <v>0.162459691795</v>
      </c>
      <c r="L2614" s="12">
        <f>[1]!EM_HKS_VAL_MV(B2614,"2019-12-31","2")</f>
        <v>3297481485.2800002</v>
      </c>
      <c r="M2614">
        <f>[1]!EM_S_VAL_PETTMDEDUCTED(B2614,E2614)</f>
        <v>18.988712195046698</v>
      </c>
      <c r="N2614" s="7">
        <f>[1]!EM_S_VAL_PBGOODWILLDEDUCTED(B2614,E2614)</f>
        <v>1.7291527409401799</v>
      </c>
      <c r="O2614" s="7">
        <f>[1]!EM_S_VAL_PS_TTM(B2614,E2614)</f>
        <v>4.0075081410082198</v>
      </c>
      <c r="P2614" s="7">
        <f>[1]!EM_S_VAL_PCF_NCFTTM(B2614,E2614)</f>
        <v>-20.043430037296002</v>
      </c>
      <c r="Q2614" s="7">
        <f>[1]!EM_S_VAL_DIVIDENDYIELD2(B2614,E2614,"2019-11-29")</f>
        <v>7.6142131979695424E-2</v>
      </c>
      <c r="T2614"/>
      <c r="U2614">
        <f>[1]!EM_S_RATIO_EPS_TTM(B2614,E2614,"1")</f>
        <v>3.9212708288581519E-2</v>
      </c>
      <c r="AT2614" s="4" t="str">
        <f>[1]!EM_S_IPO_LISTEDDATE(B2614)</f>
        <v>2012-07-10</v>
      </c>
    </row>
    <row r="2615" spans="1:46">
      <c r="A2615">
        <v>3494</v>
      </c>
      <c r="B2615" t="str">
        <f>"603685"</f>
        <v>603685</v>
      </c>
      <c r="C2615" t="s">
        <v>1348</v>
      </c>
      <c r="D2615" t="str">
        <f>[1]!EM_S_INFO_INDEX_EM(B2615,"1")</f>
        <v>家电</v>
      </c>
      <c r="E2615" s="4">
        <f t="shared" si="40"/>
        <v>43465</v>
      </c>
      <c r="F2615" s="11">
        <f>[1]!EM_S_PQ_PCTCHANGE(B2615,"2018-01-01","2019-12-31","3")</f>
        <v>-34.635826590000001</v>
      </c>
      <c r="G2615" s="11">
        <f>[1]!EM_S_PQ_PCTCHANGE(B2615,"2018-12-31","2019-12-30","1")</f>
        <v>-6.1495457699999996</v>
      </c>
      <c r="H2615" s="11">
        <f>[1]!EM_S_FA_YOY_OR(B2615,E2615)</f>
        <v>12.9088621663</v>
      </c>
      <c r="I2615" s="11">
        <f>[1]!EM_S_FA_GROSSPROFITMARGIN(B2615,E2615)</f>
        <v>22.923383186399999</v>
      </c>
      <c r="J2615" s="11">
        <f>[1]!EM_S_FA_NETPROFITMARGIN(B2615,E2615)</f>
        <v>12.0472322719</v>
      </c>
      <c r="K2615" s="10">
        <f>[1]!EM_S_FA_ASSETSTURN(B2615,E2615)</f>
        <v>0.74591415927500004</v>
      </c>
      <c r="L2615" s="12">
        <f>[1]!EM_HKS_VAL_MV(B2615,"2019-12-31","2")</f>
        <v>2237560000</v>
      </c>
      <c r="M2615">
        <f>[1]!EM_S_VAL_PETTMDEDUCTED(B2615,E2615)</f>
        <v>20.384858166801902</v>
      </c>
      <c r="N2615" s="7">
        <f>[1]!EM_S_VAL_PBGOODWILLDEDUCTED(B2615,E2615)</f>
        <v>2.07626954965203</v>
      </c>
      <c r="O2615" s="7">
        <f>[1]!EM_S_VAL_PS_TTM(B2615,E2615)</f>
        <v>2.2922923018225401</v>
      </c>
      <c r="P2615" s="7">
        <f>[1]!EM_S_VAL_PCF_NCFTTM(B2615,E2615)</f>
        <v>22.162695821302801</v>
      </c>
      <c r="Q2615" s="7">
        <f>[1]!EM_S_VAL_DIVIDENDYIELD2(B2615,E2615,"2019-11-29")</f>
        <v>1.6228497241155468</v>
      </c>
      <c r="T2615"/>
      <c r="U2615">
        <f>[1]!EM_S_RATIO_EPS_TTM(B2615,E2615,"1")</f>
        <v>0.80405060938461537</v>
      </c>
      <c r="AT2615" s="4" t="str">
        <f>[1]!EM_S_IPO_LISTEDDATE(B2615)</f>
        <v>2017-11-27</v>
      </c>
    </row>
    <row r="2616" spans="1:46">
      <c r="A2616">
        <v>2770</v>
      </c>
      <c r="B2616" t="str">
        <f>"600697"</f>
        <v>600697</v>
      </c>
      <c r="C2616" t="s">
        <v>1611</v>
      </c>
      <c r="D2616" t="str">
        <f>[1]!EM_S_INFO_INDEX_EM(B2616,"1")</f>
        <v>商贸零售</v>
      </c>
      <c r="E2616" s="4">
        <f t="shared" si="40"/>
        <v>43465</v>
      </c>
      <c r="F2616" s="11">
        <f>[1]!EM_S_PQ_PCTCHANGE(B2616,"2018-01-01","2019-12-31","3")</f>
        <v>-28.225642279999999</v>
      </c>
      <c r="G2616" s="11">
        <f>[1]!EM_S_PQ_PCTCHANGE(B2616,"2018-12-31","2019-12-30","1")</f>
        <v>-6.1990212099999997</v>
      </c>
      <c r="H2616" s="11">
        <f>[1]!EM_S_FA_YOY_OR(B2616,E2616)</f>
        <v>11.576043840200001</v>
      </c>
      <c r="I2616" s="11">
        <f>[1]!EM_S_FA_GROSSPROFITMARGIN(B2616,E2616)</f>
        <v>23.2837841897</v>
      </c>
      <c r="J2616" s="11">
        <f>[1]!EM_S_FA_NETPROFITMARGIN(B2616,E2616)</f>
        <v>3.907516159</v>
      </c>
      <c r="K2616" s="10">
        <f>[1]!EM_S_FA_ASSETSTURN(B2616,E2616)</f>
        <v>0.70609162460800001</v>
      </c>
      <c r="L2616" s="12">
        <f>[1]!EM_HKS_VAL_MV(B2616,"2019-12-31","2")</f>
        <v>2823813331.25</v>
      </c>
      <c r="M2616">
        <f>[1]!EM_S_VAL_PETTMDEDUCTED(B2616,E2616)</f>
        <v>11.2327636665774</v>
      </c>
      <c r="N2616" s="7">
        <f>[1]!EM_S_VAL_PBGOODWILLDEDUCTED(B2616,E2616)</f>
        <v>1.20774335405442</v>
      </c>
      <c r="O2616" s="7">
        <f>[1]!EM_S_VAL_PS_TTM(B2616,E2616)</f>
        <v>0.19058376489131801</v>
      </c>
      <c r="P2616" s="7">
        <f>[1]!EM_S_VAL_PCF_NCFTTM(B2616,E2616)</f>
        <v>-17.889357629768298</v>
      </c>
      <c r="Q2616" s="7">
        <f>[1]!EM_S_VAL_DIVIDENDYIELD2(B2616,E2616,"2019-11-29")</f>
        <v>2.386780905752754</v>
      </c>
      <c r="T2616"/>
      <c r="U2616">
        <f>[1]!EM_S_RATIO_EPS_TTM(B2616,E2616,"1")</f>
        <v>1.632925187258693</v>
      </c>
      <c r="AT2616" s="4" t="str">
        <f>[1]!EM_S_IPO_LISTEDDATE(B2616)</f>
        <v>1993-12-06</v>
      </c>
    </row>
    <row r="2617" spans="1:46">
      <c r="A2617">
        <v>3618</v>
      </c>
      <c r="B2617" t="str">
        <f>"603963"</f>
        <v>603963</v>
      </c>
      <c r="C2617" t="s">
        <v>1478</v>
      </c>
      <c r="D2617" t="str">
        <f>[1]!EM_S_INFO_INDEX_EM(B2617,"1")</f>
        <v>医药生物</v>
      </c>
      <c r="E2617" s="4">
        <f t="shared" si="40"/>
        <v>43465</v>
      </c>
      <c r="F2617" s="11">
        <f>[1]!EM_S_PQ_PCTCHANGE(B2617,"2018-01-01","2019-12-31","3")</f>
        <v>-32.471315060000002</v>
      </c>
      <c r="G2617" s="11">
        <f>[1]!EM_S_PQ_PCTCHANGE(B2617,"2018-12-31","2019-12-30","1")</f>
        <v>-6.2074829899999999</v>
      </c>
      <c r="H2617" s="11">
        <f>[1]!EM_S_FA_YOY_OR(B2617,E2617)</f>
        <v>47.204094033600001</v>
      </c>
      <c r="I2617" s="11">
        <f>[1]!EM_S_FA_GROSSPROFITMARGIN(B2617,E2617)</f>
        <v>80.215437938199997</v>
      </c>
      <c r="J2617" s="11">
        <f>[1]!EM_S_FA_NETPROFITMARGIN(B2617,E2617)</f>
        <v>2.6652348401000001</v>
      </c>
      <c r="K2617" s="10">
        <f>[1]!EM_S_FA_ASSETSTURN(B2617,E2617)</f>
        <v>0.66510715255099995</v>
      </c>
      <c r="L2617" s="12">
        <f>[1]!EM_HKS_VAL_MV(B2617,"2019-12-31","2")</f>
        <v>1909700000</v>
      </c>
      <c r="M2617">
        <f>[1]!EM_S_VAL_PETTMDEDUCTED(B2617,E2617)</f>
        <v>-442.90277761980798</v>
      </c>
      <c r="N2617" s="7">
        <f>[1]!EM_S_VAL_PBGOODWILLDEDUCTED(B2617,E2617)</f>
        <v>3.2939224238497302</v>
      </c>
      <c r="O2617" s="7">
        <f>[1]!EM_S_VAL_PS_TTM(B2617,E2617)</f>
        <v>3.9754693011475499</v>
      </c>
      <c r="P2617" s="7">
        <f>[1]!EM_S_VAL_PCF_NCFTTM(B2617,E2617)</f>
        <v>-6.5217835414726402</v>
      </c>
      <c r="Q2617" s="7">
        <f>[1]!EM_S_VAL_DIVIDENDYIELD2(B2617,E2617,"2019-11-29")</f>
        <v>0.54340155257586453</v>
      </c>
      <c r="T2617"/>
      <c r="U2617">
        <f>[1]!EM_S_RATIO_EPS_TTM(B2617,E2617,"1")</f>
        <v>8.231127015384615E-2</v>
      </c>
      <c r="AT2617" s="4" t="str">
        <f>[1]!EM_S_IPO_LISTEDDATE(B2617)</f>
        <v>2017-09-22</v>
      </c>
    </row>
    <row r="2618" spans="1:46">
      <c r="A2618">
        <v>2709</v>
      </c>
      <c r="B2618" t="str">
        <f>"600636"</f>
        <v>600636</v>
      </c>
      <c r="C2618" t="s">
        <v>1005</v>
      </c>
      <c r="D2618" t="str">
        <f>[1]!EM_S_INFO_INDEX_EM(B2618,"1")</f>
        <v>基础化工</v>
      </c>
      <c r="E2618" s="4">
        <f t="shared" si="40"/>
        <v>43465</v>
      </c>
      <c r="F2618" s="11">
        <f>[1]!EM_S_PQ_PCTCHANGE(B2618,"2018-01-01","2019-12-31","3")</f>
        <v>-29.464765499999999</v>
      </c>
      <c r="G2618" s="11">
        <f>[1]!EM_S_PQ_PCTCHANGE(B2618,"2018-12-31","2019-12-30","1")</f>
        <v>-6.2094531999999996</v>
      </c>
      <c r="H2618" s="11">
        <f>[1]!EM_S_FA_YOY_OR(B2618,E2618)</f>
        <v>-68.272724497900001</v>
      </c>
      <c r="I2618" s="11">
        <f>[1]!EM_S_FA_GROSSPROFITMARGIN(B2618,E2618)</f>
        <v>22.601812112800001</v>
      </c>
      <c r="J2618" s="11">
        <f>[1]!EM_S_FA_NETPROFITMARGIN(B2618,E2618)</f>
        <v>32.746635099300001</v>
      </c>
      <c r="K2618" s="10">
        <f>[1]!EM_S_FA_ASSETSTURN(B2618,E2618)</f>
        <v>0.30718947263399998</v>
      </c>
      <c r="L2618" s="12">
        <f>[1]!EM_HKS_VAL_MV(B2618,"2019-12-31","2")</f>
        <v>4540878751.6000004</v>
      </c>
      <c r="M2618">
        <f>[1]!EM_S_VAL_PETTMDEDUCTED(B2618,E2618)</f>
        <v>57.701670222790803</v>
      </c>
      <c r="N2618" s="7">
        <f>[1]!EM_S_VAL_PBGOODWILLDEDUCTED(B2618,E2618)</f>
        <v>2.98474834100048</v>
      </c>
      <c r="O2618" s="7">
        <f>[1]!EM_S_VAL_PS_TTM(B2618,E2618)</f>
        <v>1.9758667842972699</v>
      </c>
      <c r="P2618" s="7">
        <f>[1]!EM_S_VAL_PCF_NCFTTM(B2618,E2618)</f>
        <v>15.896084260417901</v>
      </c>
      <c r="Q2618" s="7">
        <f>[1]!EM_S_VAL_DIVIDENDYIELD2(B2618,E2618,"2019-11-29")</f>
        <v>3.936170212765957</v>
      </c>
      <c r="T2618"/>
      <c r="U2618">
        <f>[1]!EM_S_RATIO_EPS_TTM(B2618,E2618,"1")</f>
        <v>1.2151456574428841</v>
      </c>
      <c r="AT2618" s="4" t="str">
        <f>[1]!EM_S_IPO_LISTEDDATE(B2618)</f>
        <v>1993-03-16</v>
      </c>
    </row>
    <row r="2619" spans="1:46">
      <c r="A2619">
        <v>2750</v>
      </c>
      <c r="B2619" t="str">
        <f>"600677"</f>
        <v>600677</v>
      </c>
      <c r="C2619" t="s">
        <v>3269</v>
      </c>
      <c r="D2619" t="str">
        <f>[1]!EM_S_INFO_INDEX_EM(B2619,"1")</f>
        <v>信息技术</v>
      </c>
      <c r="E2619" s="4">
        <f t="shared" si="40"/>
        <v>43465</v>
      </c>
      <c r="F2619" s="11">
        <f>[1]!EM_S_PQ_PCTCHANGE(B2619,"2018-01-01","2019-12-31","3")</f>
        <v>-20.020488409999999</v>
      </c>
      <c r="G2619" s="11">
        <f>[1]!EM_S_PQ_PCTCHANGE(B2619,"2018-12-31","2019-12-30","1")</f>
        <v>-6.2302006299999997</v>
      </c>
      <c r="H2619" s="11">
        <f>[1]!EM_S_FA_YOY_OR(B2619,E2619)</f>
        <v>22.656833639799999</v>
      </c>
      <c r="I2619" s="11">
        <f>[1]!EM_S_FA_GROSSPROFITMARGIN(B2619,E2619)</f>
        <v>14.0245126436</v>
      </c>
      <c r="J2619" s="11">
        <f>[1]!EM_S_FA_NETPROFITMARGIN(B2619,E2619)</f>
        <v>3.0337322088000001</v>
      </c>
      <c r="K2619" s="10">
        <f>[1]!EM_S_FA_ASSETSTURN(B2619,E2619)</f>
        <v>0.77720941590399995</v>
      </c>
      <c r="L2619" s="12">
        <f>[1]!EM_HKS_VAL_MV(B2619,"2019-12-31","2")</f>
        <v>4550023624</v>
      </c>
      <c r="M2619">
        <f>[1]!EM_S_VAL_PETTMDEDUCTED(B2619,E2619)</f>
        <v>29.6304517763867</v>
      </c>
      <c r="N2619" s="7">
        <f>[1]!EM_S_VAL_PBGOODWILLDEDUCTED(B2619,E2619)</f>
        <v>1.86629176224105</v>
      </c>
      <c r="O2619" s="7">
        <f>[1]!EM_S_VAL_PS_TTM(B2619,E2619)</f>
        <v>0.378265745485454</v>
      </c>
      <c r="P2619" s="7">
        <f>[1]!EM_S_VAL_PCF_NCFTTM(B2619,E2619)</f>
        <v>259.88065571914098</v>
      </c>
      <c r="Q2619" s="7">
        <f>[1]!EM_S_VAL_DIVIDENDYIELD2(B2619,E2619,"2019-11-29")</f>
        <v>1.6483516483516485</v>
      </c>
      <c r="T2619"/>
      <c r="U2619">
        <f>[1]!EM_S_RATIO_EPS_TTM(B2619,E2619,"1")</f>
        <v>0.40212977239768283</v>
      </c>
      <c r="AT2619" s="4" t="str">
        <f>[1]!EM_S_IPO_LISTEDDATE(B2619)</f>
        <v>1993-09-28</v>
      </c>
    </row>
    <row r="2620" spans="1:46">
      <c r="A2620">
        <v>1130</v>
      </c>
      <c r="B2620" t="str">
        <f>"002619"</f>
        <v>002619</v>
      </c>
      <c r="C2620" t="s">
        <v>1302</v>
      </c>
      <c r="D2620" t="str">
        <f>[1]!EM_S_INFO_INDEX_EM(B2620,"1")</f>
        <v>互联网</v>
      </c>
      <c r="E2620" s="4">
        <f t="shared" si="40"/>
        <v>43465</v>
      </c>
      <c r="F2620" s="11">
        <f>[1]!EM_S_PQ_PCTCHANGE(B2620,"2018-01-01","2019-12-31","3")</f>
        <v>-50.664617700000001</v>
      </c>
      <c r="G2620" s="11">
        <f>[1]!EM_S_PQ_PCTCHANGE(B2620,"2018-12-31","2019-12-30","1")</f>
        <v>-6.2314540100000002</v>
      </c>
      <c r="H2620" s="11">
        <f>[1]!EM_S_FA_YOY_OR(B2620,E2620)</f>
        <v>-1.8689045621</v>
      </c>
      <c r="I2620" s="11">
        <f>[1]!EM_S_FA_GROSSPROFITMARGIN(B2620,E2620)</f>
        <v>80.516586312599998</v>
      </c>
      <c r="J2620" s="11">
        <f>[1]!EM_S_FA_NETPROFITMARGIN(B2620,E2620)</f>
        <v>80.755116793300004</v>
      </c>
      <c r="K2620" s="10">
        <f>[1]!EM_S_FA_ASSETSTURN(B2620,E2620)</f>
        <v>0.117871286443</v>
      </c>
      <c r="L2620" s="12">
        <f>[1]!EM_HKS_VAL_MV(B2620,"2019-12-31","2")</f>
        <v>5811423127.6499996</v>
      </c>
      <c r="M2620">
        <f>[1]!EM_S_VAL_PETTMDEDUCTED(B2620,E2620)</f>
        <v>14.0063686037191</v>
      </c>
      <c r="N2620" s="7">
        <f>[1]!EM_S_VAL_PBGOODWILLDEDUCTED(B2620,E2620)</f>
        <v>2.2607429240509198</v>
      </c>
      <c r="O2620" s="7">
        <f>[1]!EM_S_VAL_PS_TTM(B2620,E2620)</f>
        <v>6.86574433066715</v>
      </c>
      <c r="P2620" s="7">
        <f>[1]!EM_S_VAL_PCF_NCFTTM(B2620,E2620)</f>
        <v>-11.415716402259299</v>
      </c>
      <c r="Q2620" s="7">
        <f>[1]!EM_S_VAL_DIVIDENDYIELD2(B2620,E2620,"2019-11-29")</f>
        <v>0</v>
      </c>
      <c r="T2620"/>
      <c r="U2620">
        <f>[1]!EM_S_RATIO_EPS_TTM(B2620,E2620,"1")</f>
        <v>0.36299913639424636</v>
      </c>
      <c r="AT2620" s="4" t="str">
        <f>[1]!EM_S_IPO_LISTEDDATE(B2620)</f>
        <v>2011-09-29</v>
      </c>
    </row>
    <row r="2621" spans="1:46">
      <c r="A2621">
        <v>925</v>
      </c>
      <c r="B2621" t="str">
        <f>"002414"</f>
        <v>002414</v>
      </c>
      <c r="C2621" t="s">
        <v>3067</v>
      </c>
      <c r="D2621" t="str">
        <f>[1]!EM_S_INFO_INDEX_EM(B2621,"1")</f>
        <v>电子设备</v>
      </c>
      <c r="E2621" s="4">
        <f t="shared" si="40"/>
        <v>43465</v>
      </c>
      <c r="F2621" s="11">
        <f>[1]!EM_S_PQ_PCTCHANGE(B2621,"2018-01-01","2019-12-31","3")</f>
        <v>87.797193269999994</v>
      </c>
      <c r="G2621" s="11">
        <f>[1]!EM_S_PQ_PCTCHANGE(B2621,"2018-12-31","2019-12-30","1")</f>
        <v>-6.26450116</v>
      </c>
      <c r="H2621" s="11">
        <f>[1]!EM_S_FA_YOY_OR(B2621,E2621)</f>
        <v>6.6080319002000003</v>
      </c>
      <c r="I2621" s="11">
        <f>[1]!EM_S_FA_GROSSPROFITMARGIN(B2621,E2621)</f>
        <v>42.1274962305</v>
      </c>
      <c r="J2621" s="11">
        <f>[1]!EM_S_FA_NETPROFITMARGIN(B2621,E2621)</f>
        <v>12.187917882000001</v>
      </c>
      <c r="K2621" s="10">
        <f>[1]!EM_S_FA_ASSETSTURN(B2621,E2621)</f>
        <v>0.25410561802100001</v>
      </c>
      <c r="L2621" s="12">
        <f>[1]!EM_HKS_VAL_MV(B2621,"2019-12-31","2")</f>
        <v>19664064966</v>
      </c>
      <c r="M2621">
        <f>[1]!EM_S_VAL_PETTMDEDUCTED(B2621,E2621)</f>
        <v>144.877935273779</v>
      </c>
      <c r="N2621" s="7">
        <f>[1]!EM_S_VAL_PBGOODWILLDEDUCTED(B2621,E2621)</f>
        <v>4.4114364515492399</v>
      </c>
      <c r="O2621" s="7">
        <f>[1]!EM_S_VAL_PS_TTM(B2621,E2621)</f>
        <v>12.5963032627226</v>
      </c>
      <c r="P2621" s="7">
        <f>[1]!EM_S_VAL_PCF_NCFTTM(B2621,E2621)</f>
        <v>43.121507547113602</v>
      </c>
      <c r="Q2621" s="7">
        <f>[1]!EM_S_VAL_DIVIDENDYIELD2(B2621,E2621,"2019-11-29")</f>
        <v>0.10141987835030111</v>
      </c>
      <c r="T2621"/>
      <c r="U2621">
        <f>[1]!EM_S_RATIO_EPS_TTM(B2621,E2621,"1")</f>
        <v>0.211566094329011</v>
      </c>
      <c r="AT2621" s="4" t="str">
        <f>[1]!EM_S_IPO_LISTEDDATE(B2621)</f>
        <v>2010-07-16</v>
      </c>
    </row>
    <row r="2622" spans="1:46">
      <c r="A2622">
        <v>1281</v>
      </c>
      <c r="B2622" t="str">
        <f>"002774"</f>
        <v>002774</v>
      </c>
      <c r="C2622" t="s">
        <v>2263</v>
      </c>
      <c r="D2622" t="str">
        <f>[1]!EM_S_INFO_INDEX_EM(B2622,"1")</f>
        <v>机械设备</v>
      </c>
      <c r="E2622" s="4">
        <f t="shared" si="40"/>
        <v>43465</v>
      </c>
      <c r="F2622" s="11">
        <f>[1]!EM_S_PQ_PCTCHANGE(B2622,"2018-01-01","2019-12-31","3")</f>
        <v>-21.177654530000002</v>
      </c>
      <c r="G2622" s="11">
        <f>[1]!EM_S_PQ_PCTCHANGE(B2622,"2018-12-31","2019-12-30","1")</f>
        <v>-6.2962962999999998</v>
      </c>
      <c r="H2622" s="11">
        <f>[1]!EM_S_FA_YOY_OR(B2622,E2622)</f>
        <v>17.0473239781</v>
      </c>
      <c r="I2622" s="11">
        <f>[1]!EM_S_FA_GROSSPROFITMARGIN(B2622,E2622)</f>
        <v>30.972948232299998</v>
      </c>
      <c r="J2622" s="11">
        <f>[1]!EM_S_FA_NETPROFITMARGIN(B2622,E2622)</f>
        <v>8.1815274334999994</v>
      </c>
      <c r="K2622" s="10">
        <f>[1]!EM_S_FA_ASSETSTURN(B2622,E2622)</f>
        <v>0.58895929930099999</v>
      </c>
      <c r="L2622" s="12">
        <f>[1]!EM_HKS_VAL_MV(B2622,"2019-12-31","2")</f>
        <v>2611306080</v>
      </c>
      <c r="M2622">
        <f>[1]!EM_S_VAL_PETTMDEDUCTED(B2622,E2622)</f>
        <v>115.404332722769</v>
      </c>
      <c r="N2622" s="7">
        <f>[1]!EM_S_VAL_PBGOODWILLDEDUCTED(B2622,E2622)</f>
        <v>2.6138646258675902</v>
      </c>
      <c r="O2622" s="7">
        <f>[1]!EM_S_VAL_PS_TTM(B2622,E2622)</f>
        <v>3.7017053750918798</v>
      </c>
      <c r="P2622" s="7">
        <f>[1]!EM_S_VAL_PCF_NCFTTM(B2622,E2622)</f>
        <v>24.320577999954601</v>
      </c>
      <c r="Q2622" s="7">
        <f>[1]!EM_S_VAL_DIVIDENDYIELD2(B2622,E2622,"2019-11-29")</f>
        <v>0.56721806212940162</v>
      </c>
      <c r="T2622"/>
      <c r="U2622">
        <f>[1]!EM_S_RATIO_EPS_TTM(B2622,E2622,"1")</f>
        <v>0.21034440195581247</v>
      </c>
      <c r="AT2622" s="4" t="str">
        <f>[1]!EM_S_IPO_LISTEDDATE(B2622)</f>
        <v>2017-03-24</v>
      </c>
    </row>
    <row r="2623" spans="1:46">
      <c r="A2623">
        <v>537</v>
      </c>
      <c r="B2623" t="str">
        <f>"002026"</f>
        <v>002026</v>
      </c>
      <c r="C2623" t="s">
        <v>2124</v>
      </c>
      <c r="D2623" t="str">
        <f>[1]!EM_S_INFO_INDEX_EM(B2623,"1")</f>
        <v>机械设备</v>
      </c>
      <c r="E2623" s="4">
        <f t="shared" si="40"/>
        <v>43465</v>
      </c>
      <c r="F2623" s="11">
        <f>[1]!EM_S_PQ_PCTCHANGE(B2623,"2018-01-01","2019-12-31","3")</f>
        <v>-33.70031212</v>
      </c>
      <c r="G2623" s="11">
        <f>[1]!EM_S_PQ_PCTCHANGE(B2623,"2018-12-31","2019-12-30","1")</f>
        <v>-6.3405797100000001</v>
      </c>
      <c r="H2623" s="11">
        <f>[1]!EM_S_FA_YOY_OR(B2623,E2623)</f>
        <v>13.1086708614</v>
      </c>
      <c r="I2623" s="11">
        <f>[1]!EM_S_FA_GROSSPROFITMARGIN(B2623,E2623)</f>
        <v>23.9351992026</v>
      </c>
      <c r="J2623" s="11">
        <f>[1]!EM_S_FA_NETPROFITMARGIN(B2623,E2623)</f>
        <v>9.2872682655999999</v>
      </c>
      <c r="K2623" s="10">
        <f>[1]!EM_S_FA_ASSETSTURN(B2623,E2623)</f>
        <v>0.55193972238800004</v>
      </c>
      <c r="L2623" s="12">
        <f>[1]!EM_HKS_VAL_MV(B2623,"2019-12-31","2")</f>
        <v>2192913747.1799998</v>
      </c>
      <c r="M2623">
        <f>[1]!EM_S_VAL_PETTMDEDUCTED(B2623,E2623)</f>
        <v>15.3912681190684</v>
      </c>
      <c r="N2623" s="7">
        <f>[1]!EM_S_VAL_PBGOODWILLDEDUCTED(B2623,E2623)</f>
        <v>1.03789181279957</v>
      </c>
      <c r="O2623" s="7">
        <f>[1]!EM_S_VAL_PS_TTM(B2623,E2623)</f>
        <v>1.41686523512183</v>
      </c>
      <c r="P2623" s="7">
        <f>[1]!EM_S_VAL_PCF_NCFTTM(B2623,E2623)</f>
        <v>-57.326089545174497</v>
      </c>
      <c r="Q2623" s="7">
        <f>[1]!EM_S_VAL_DIVIDENDYIELD2(B2623,E2623,"2019-11-29")</f>
        <v>1.6194331983805672</v>
      </c>
      <c r="T2623"/>
      <c r="U2623">
        <f>[1]!EM_S_RATIO_EPS_TTM(B2623,E2623,"1")</f>
        <v>0.36969959127601482</v>
      </c>
      <c r="AT2623" s="4" t="str">
        <f>[1]!EM_S_IPO_LISTEDDATE(B2623)</f>
        <v>2004-07-27</v>
      </c>
    </row>
    <row r="2624" spans="1:46">
      <c r="A2624">
        <v>369</v>
      </c>
      <c r="B2624" t="str">
        <f>"000812"</f>
        <v>000812</v>
      </c>
      <c r="C2624" t="s">
        <v>2338</v>
      </c>
      <c r="D2624" t="str">
        <f>[1]!EM_S_INFO_INDEX_EM(B2624,"1")</f>
        <v>轻工制造</v>
      </c>
      <c r="E2624" s="4">
        <f t="shared" si="40"/>
        <v>43465</v>
      </c>
      <c r="F2624" s="11">
        <f>[1]!EM_S_PQ_PCTCHANGE(B2624,"2018-01-01","2019-12-31","3")</f>
        <v>-30.672269279999998</v>
      </c>
      <c r="G2624" s="11">
        <f>[1]!EM_S_PQ_PCTCHANGE(B2624,"2018-12-31","2019-12-30","1")</f>
        <v>-6.3583815000000001</v>
      </c>
      <c r="H2624" s="11">
        <f>[1]!EM_S_FA_YOY_OR(B2624,E2624)</f>
        <v>26.112004650500001</v>
      </c>
      <c r="I2624" s="11">
        <f>[1]!EM_S_FA_GROSSPROFITMARGIN(B2624,E2624)</f>
        <v>31.943618351600001</v>
      </c>
      <c r="J2624" s="11">
        <f>[1]!EM_S_FA_NETPROFITMARGIN(B2624,E2624)</f>
        <v>2.4260484355999998</v>
      </c>
      <c r="K2624" s="10">
        <f>[1]!EM_S_FA_ASSETSTURN(B2624,E2624)</f>
        <v>0.38747136043899999</v>
      </c>
      <c r="L2624" s="12">
        <f>[1]!EM_HKS_VAL_MV(B2624,"2019-12-31","2")</f>
        <v>2536685626.1999998</v>
      </c>
      <c r="M2624">
        <f>[1]!EM_S_VAL_PETTMDEDUCTED(B2624,E2624)</f>
        <v>63.102805165702897</v>
      </c>
      <c r="N2624" s="7">
        <f>[1]!EM_S_VAL_PBGOODWILLDEDUCTED(B2624,E2624)</f>
        <v>2.71718768046326</v>
      </c>
      <c r="O2624" s="7">
        <f>[1]!EM_S_VAL_PS_TTM(B2624,E2624)</f>
        <v>2.8636655521784702</v>
      </c>
      <c r="P2624" s="7">
        <f>[1]!EM_S_VAL_PCF_NCFTTM(B2624,E2624)</f>
        <v>-12.8014472138593</v>
      </c>
      <c r="Q2624" s="7">
        <f>[1]!EM_S_VAL_DIVIDENDYIELD2(B2624,E2624,"2019-11-29")</f>
        <v>0</v>
      </c>
      <c r="T2624"/>
      <c r="U2624">
        <f>[1]!EM_S_RATIO_EPS_TTM(B2624,E2624,"1")</f>
        <v>2.9066903223815808E-2</v>
      </c>
      <c r="AT2624" s="4" t="str">
        <f>[1]!EM_S_IPO_LISTEDDATE(B2624)</f>
        <v>1998-06-23</v>
      </c>
    </row>
    <row r="2625" spans="1:46">
      <c r="A2625">
        <v>2537</v>
      </c>
      <c r="B2625" t="str">
        <f>"600433"</f>
        <v>600433</v>
      </c>
      <c r="C2625" t="s">
        <v>2340</v>
      </c>
      <c r="D2625" t="str">
        <f>[1]!EM_S_INFO_INDEX_EM(B2625,"1")</f>
        <v>轻工制造</v>
      </c>
      <c r="E2625" s="4">
        <f t="shared" si="40"/>
        <v>43465</v>
      </c>
      <c r="F2625" s="11">
        <f>[1]!EM_S_PQ_PCTCHANGE(B2625,"2018-01-01","2019-12-31","3")</f>
        <v>-27.93773989</v>
      </c>
      <c r="G2625" s="11">
        <f>[1]!EM_S_PQ_PCTCHANGE(B2625,"2018-12-31","2019-12-30","1")</f>
        <v>-6.3711911399999996</v>
      </c>
      <c r="H2625" s="11">
        <f>[1]!EM_S_FA_YOY_OR(B2625,E2625)</f>
        <v>23.799500049599999</v>
      </c>
      <c r="I2625" s="11">
        <f>[1]!EM_S_FA_GROSSPROFITMARGIN(B2625,E2625)</f>
        <v>20.288519019900001</v>
      </c>
      <c r="J2625" s="11">
        <f>[1]!EM_S_FA_NETPROFITMARGIN(B2625,E2625)</f>
        <v>4.1959593204000001</v>
      </c>
      <c r="K2625" s="10">
        <f>[1]!EM_S_FA_ASSETSTURN(B2625,E2625)</f>
        <v>0.65385912315799999</v>
      </c>
      <c r="L2625" s="12">
        <f>[1]!EM_HKS_VAL_MV(B2625,"2019-12-31","2")</f>
        <v>4208054116.3299999</v>
      </c>
      <c r="M2625">
        <f>[1]!EM_S_VAL_PETTMDEDUCTED(B2625,E2625)</f>
        <v>44.974964484894102</v>
      </c>
      <c r="N2625" s="7">
        <f>[1]!EM_S_VAL_PBGOODWILLDEDUCTED(B2625,E2625)</f>
        <v>1.7467751444583</v>
      </c>
      <c r="O2625" s="7">
        <f>[1]!EM_S_VAL_PS_TTM(B2625,E2625)</f>
        <v>1.8347008518489201</v>
      </c>
      <c r="P2625" s="7">
        <f>[1]!EM_S_VAL_PCF_NCFTTM(B2625,E2625)</f>
        <v>29.723249180634902</v>
      </c>
      <c r="Q2625" s="7">
        <f>[1]!EM_S_VAL_DIVIDENDYIELD2(B2625,E2625,"2019-11-29")</f>
        <v>0.83333333333333348</v>
      </c>
      <c r="T2625"/>
      <c r="U2625">
        <f>[1]!EM_S_RATIO_EPS_TTM(B2625,E2625,"1")</f>
        <v>8.5907591252315188E-2</v>
      </c>
      <c r="AT2625" s="4" t="str">
        <f>[1]!EM_S_IPO_LISTEDDATE(B2625)</f>
        <v>2003-06-19</v>
      </c>
    </row>
    <row r="2626" spans="1:46">
      <c r="A2626">
        <v>2047</v>
      </c>
      <c r="B2626" t="str">
        <f>"300628"</f>
        <v>300628</v>
      </c>
      <c r="C2626" t="s">
        <v>172</v>
      </c>
      <c r="D2626" t="str">
        <f>[1]!EM_S_INFO_INDEX_EM(B2626,"1")</f>
        <v>信息技术</v>
      </c>
      <c r="E2626" s="4">
        <f t="shared" si="40"/>
        <v>43465</v>
      </c>
      <c r="F2626" s="11">
        <f>[1]!EM_S_PQ_PCTCHANGE(B2626,"2018-01-01","2019-12-31","3")</f>
        <v>122.16696444</v>
      </c>
      <c r="G2626" s="11">
        <f>[1]!EM_S_PQ_PCTCHANGE(B2626,"2018-12-31","2019-12-30","1")</f>
        <v>-6.4125676</v>
      </c>
      <c r="H2626" s="11">
        <f>[1]!EM_S_FA_YOY_OR(B2626,E2626)</f>
        <v>30.811902083700001</v>
      </c>
      <c r="I2626" s="11">
        <f>[1]!EM_S_FA_GROSSPROFITMARGIN(B2626,E2626)</f>
        <v>61.788219546100002</v>
      </c>
      <c r="J2626" s="11">
        <f>[1]!EM_S_FA_NETPROFITMARGIN(B2626,E2626)</f>
        <v>46.904049759599999</v>
      </c>
      <c r="K2626" s="10">
        <f>[1]!EM_S_FA_ASSETSTURN(B2626,E2626)</f>
        <v>0.53606557980799996</v>
      </c>
      <c r="L2626" s="12">
        <f>[1]!EM_HKS_VAL_MV(B2626,"2019-12-31","2")</f>
        <v>43407333060</v>
      </c>
      <c r="M2626">
        <f>[1]!EM_S_VAL_PETTMDEDUCTED(B2626,E2626)</f>
        <v>34.519219761628101</v>
      </c>
      <c r="N2626" s="7">
        <f>[1]!EM_S_VAL_PBGOODWILLDEDUCTED(B2626,E2626)</f>
        <v>6.6476014226436098</v>
      </c>
      <c r="O2626" s="7">
        <f>[1]!EM_S_VAL_PS_TTM(B2626,E2626)</f>
        <v>14.1597369608559</v>
      </c>
      <c r="P2626" s="7">
        <f>[1]!EM_S_VAL_PCF_NCFTTM(B2626,E2626)</f>
        <v>-190.402652253149</v>
      </c>
      <c r="Q2626" s="7">
        <f>[1]!EM_S_VAL_DIVIDENDYIELD2(B2626,E2626,"2019-11-29")</f>
        <v>0.86735953859053172</v>
      </c>
      <c r="T2626"/>
      <c r="U2626">
        <f>[1]!EM_S_RATIO_EPS_TTM(B2626,E2626,"1")</f>
        <v>2.842558664879518</v>
      </c>
      <c r="AT2626" s="4" t="str">
        <f>[1]!EM_S_IPO_LISTEDDATE(B2626)</f>
        <v>2017-03-17</v>
      </c>
    </row>
    <row r="2627" spans="1:46">
      <c r="A2627">
        <v>8</v>
      </c>
      <c r="B2627" t="str">
        <f>"000008"</f>
        <v>000008</v>
      </c>
      <c r="C2627" t="s">
        <v>2996</v>
      </c>
      <c r="D2627" t="str">
        <f>[1]!EM_S_INFO_INDEX_EM(B2627,"1")</f>
        <v>交运设备</v>
      </c>
      <c r="E2627" s="4">
        <f t="shared" ref="E2627:E2690" si="41">$B$1</f>
        <v>43465</v>
      </c>
      <c r="F2627" s="11">
        <f>[1]!EM_S_PQ_PCTCHANGE(B2627,"2018-01-01","2019-12-31","3")</f>
        <v>-57.986673109999998</v>
      </c>
      <c r="G2627" s="11">
        <f>[1]!EM_S_PQ_PCTCHANGE(B2627,"2019-01-01","2019-12-31","3")</f>
        <v>-6.4401589000000001</v>
      </c>
      <c r="H2627" s="11">
        <f>[1]!EM_S_FA_YOY_OR(B2627,E2627)</f>
        <v>10.037576912700001</v>
      </c>
      <c r="I2627" s="11">
        <f>[1]!EM_S_FA_GROSSPROFITMARGIN(B2627,E2627)</f>
        <v>48.918371695300003</v>
      </c>
      <c r="J2627" s="11">
        <f>[1]!EM_S_FA_NETPROFITMARGIN(B2627,E2627)</f>
        <v>13.3295461381</v>
      </c>
      <c r="K2627" s="10">
        <f>[1]!EM_S_FA_ASSETSTURN(B2627,E2627)</f>
        <v>0.24260487861499999</v>
      </c>
      <c r="L2627" s="12">
        <f>[1]!EM_HKS_VAL_MV(B2627,"2019-12-31","2")</f>
        <v>10094287105.98</v>
      </c>
      <c r="M2627">
        <f>[1]!EM_S_VAL_PETTMDEDUCTED(B2627,E2627)</f>
        <v>24.631758640714299</v>
      </c>
      <c r="N2627" s="7">
        <f>[1]!EM_S_VAL_PBGOODWILLDEDUCTED(B2627,E2627)</f>
        <v>2.9495017483302699</v>
      </c>
      <c r="O2627" s="7">
        <f>[1]!EM_S_VAL_PS_TTM(B2627,E2627)</f>
        <v>4.1507096641189003</v>
      </c>
      <c r="P2627" s="7">
        <f>[1]!EM_S_VAL_PCF_NCFTTM(B2627,E2627)</f>
        <v>-19.772489218224901</v>
      </c>
      <c r="Q2627" s="7">
        <f>[1]!EM_S_VAL_DIVIDENDYIELD2(B2627,E2627,"2019-11-29")</f>
        <v>0.28490028490028491</v>
      </c>
      <c r="T2627"/>
      <c r="U2627">
        <f>[1]!EM_S_RATIO_EPS_TTM(B2627,E2627,"1")</f>
        <v>0.11533481814015757</v>
      </c>
      <c r="V2627">
        <f>[1]!EM_S_FA_BPS(B2627,E2627)</f>
        <v>2.6298324918080001</v>
      </c>
      <c r="AT2627" s="4" t="str">
        <f>[1]!EM_S_IPO_LISTEDDATE(B2627)</f>
        <v>1992-05-07</v>
      </c>
    </row>
    <row r="2628" spans="1:46">
      <c r="A2628">
        <v>1439</v>
      </c>
      <c r="B2628" t="str">
        <f>"300013"</f>
        <v>300013</v>
      </c>
      <c r="C2628" t="s">
        <v>2681</v>
      </c>
      <c r="D2628" t="str">
        <f>[1]!EM_S_INFO_INDEX_EM(B2628,"1")</f>
        <v>交通运输</v>
      </c>
      <c r="E2628" s="4">
        <f t="shared" si="41"/>
        <v>43465</v>
      </c>
      <c r="F2628" s="11">
        <f>[1]!EM_S_PQ_PCTCHANGE(B2628,"2018-01-01","2019-12-31","3")</f>
        <v>7.4739854299999999</v>
      </c>
      <c r="G2628" s="11">
        <f>[1]!EM_S_PQ_PCTCHANGE(B2628,"2018-12-31","2019-12-30","1")</f>
        <v>-6.4551422299999999</v>
      </c>
      <c r="H2628" s="11">
        <f>[1]!EM_S_FA_YOY_OR(B2628,E2628)</f>
        <v>15.7969289488</v>
      </c>
      <c r="I2628" s="11">
        <f>[1]!EM_S_FA_GROSSPROFITMARGIN(B2628,E2628)</f>
        <v>37.404569861500001</v>
      </c>
      <c r="J2628" s="11">
        <f>[1]!EM_S_FA_NETPROFITMARGIN(B2628,E2628)</f>
        <v>6.2631444454</v>
      </c>
      <c r="K2628" s="10">
        <f>[1]!EM_S_FA_ASSETSTURN(B2628,E2628)</f>
        <v>0.43694463949700002</v>
      </c>
      <c r="L2628" s="12">
        <f>[1]!EM_HKS_VAL_MV(B2628,"2019-12-31","2")</f>
        <v>4109521458</v>
      </c>
      <c r="M2628">
        <f>[1]!EM_S_VAL_PETTMDEDUCTED(B2628,E2628)</f>
        <v>96.862135991473195</v>
      </c>
      <c r="N2628" s="7">
        <f>[1]!EM_S_VAL_PBGOODWILLDEDUCTED(B2628,E2628)</f>
        <v>2.83845592266039</v>
      </c>
      <c r="O2628" s="7">
        <f>[1]!EM_S_VAL_PS_TTM(B2628,E2628)</f>
        <v>2.8608657799775798</v>
      </c>
      <c r="P2628" s="7">
        <f>[1]!EM_S_VAL_PCF_NCFTTM(B2628,E2628)</f>
        <v>-127.52662609038001</v>
      </c>
      <c r="Q2628" s="7">
        <f>[1]!EM_S_VAL_DIVIDENDYIELD2(B2628,E2628,"2019-11-29")</f>
        <v>0.19873532068654018</v>
      </c>
      <c r="T2628"/>
      <c r="U2628">
        <f>[1]!EM_S_RATIO_EPS_TTM(B2628,E2628,"1")</f>
        <v>0.2168755337838657</v>
      </c>
      <c r="AT2628" s="4" t="str">
        <f>[1]!EM_S_IPO_LISTEDDATE(B2628)</f>
        <v>2009-10-30</v>
      </c>
    </row>
    <row r="2629" spans="1:46">
      <c r="A2629">
        <v>936</v>
      </c>
      <c r="B2629" t="str">
        <f>"002425"</f>
        <v>002425</v>
      </c>
      <c r="C2629" t="s">
        <v>1699</v>
      </c>
      <c r="D2629" t="str">
        <f>[1]!EM_S_INFO_INDEX_EM(B2629,"1")</f>
        <v>互联网</v>
      </c>
      <c r="E2629" s="4">
        <f t="shared" si="41"/>
        <v>43465</v>
      </c>
      <c r="F2629" s="11">
        <f>[1]!EM_S_PQ_PCTCHANGE(B2629,"2018-01-01","2019-12-31","3")</f>
        <v>-20.84993639</v>
      </c>
      <c r="G2629" s="11">
        <f>[1]!EM_S_PQ_PCTCHANGE(B2629,"2018-12-31","2019-12-30","1")</f>
        <v>-6.4625850299999996</v>
      </c>
      <c r="H2629" s="11">
        <f>[1]!EM_S_FA_YOY_OR(B2629,E2629)</f>
        <v>5.7946117309999998</v>
      </c>
      <c r="I2629" s="11">
        <f>[1]!EM_S_FA_GROSSPROFITMARGIN(B2629,E2629)</f>
        <v>55.310709013199997</v>
      </c>
      <c r="J2629" s="11">
        <f>[1]!EM_S_FA_NETPROFITMARGIN(B2629,E2629)</f>
        <v>37.338826732599998</v>
      </c>
      <c r="K2629" s="10">
        <f>[1]!EM_S_FA_ASSETSTURN(B2629,E2629)</f>
        <v>0.159635864874</v>
      </c>
      <c r="L2629" s="12">
        <f>[1]!EM_HKS_VAL_MV(B2629,"2019-12-31","2")</f>
        <v>4500006708.96</v>
      </c>
      <c r="M2629">
        <f>[1]!EM_S_VAL_PETTMDEDUCTED(B2629,E2629)</f>
        <v>18.3659262076369</v>
      </c>
      <c r="N2629" s="7">
        <f>[1]!EM_S_VAL_PBGOODWILLDEDUCTED(B2629,E2629)</f>
        <v>2.8450835919494999</v>
      </c>
      <c r="O2629" s="7">
        <f>[1]!EM_S_VAL_PS_TTM(B2629,E2629)</f>
        <v>7.0221109794499501</v>
      </c>
      <c r="P2629" s="7">
        <f>[1]!EM_S_VAL_PCF_NCFTTM(B2629,E2629)</f>
        <v>-40.230865990787002</v>
      </c>
      <c r="Q2629" s="7">
        <f>[1]!EM_S_VAL_DIVIDENDYIELD2(B2629,E2629,"2019-11-29")</f>
        <v>1.0989010989010988</v>
      </c>
      <c r="T2629"/>
      <c r="U2629">
        <f>[1]!EM_S_RATIO_EPS_TTM(B2629,E2629,"1")</f>
        <v>0.34193273947956182</v>
      </c>
      <c r="AT2629" s="4" t="str">
        <f>[1]!EM_S_IPO_LISTEDDATE(B2629)</f>
        <v>2010-06-08</v>
      </c>
    </row>
    <row r="2630" spans="1:46">
      <c r="A2630">
        <v>1136</v>
      </c>
      <c r="B2630" t="str">
        <f>"002625"</f>
        <v>002625</v>
      </c>
      <c r="C2630" t="s">
        <v>2978</v>
      </c>
      <c r="D2630" t="str">
        <f>[1]!EM_S_INFO_INDEX_EM(B2630,"1")</f>
        <v>交运设备</v>
      </c>
      <c r="E2630" s="4">
        <f t="shared" si="41"/>
        <v>43465</v>
      </c>
      <c r="F2630" s="11">
        <f>[1]!EM_S_PQ_PCTCHANGE(B2630,"2018-01-01","2019-12-31","3")</f>
        <v>-44.575435239999997</v>
      </c>
      <c r="G2630" s="11">
        <f>[1]!EM_S_PQ_PCTCHANGE(B2630,"2018-12-31","2019-12-30","1")</f>
        <v>-6.46464646</v>
      </c>
      <c r="H2630" s="11">
        <f>[1]!EM_S_FA_YOY_OR(B2630,E2630)</f>
        <v>22.143397256899998</v>
      </c>
      <c r="I2630" s="11">
        <f>[1]!EM_S_FA_GROSSPROFITMARGIN(B2630,E2630)</f>
        <v>33.596798665999998</v>
      </c>
      <c r="J2630" s="11">
        <f>[1]!EM_S_FA_NETPROFITMARGIN(B2630,E2630)</f>
        <v>15.2196020252</v>
      </c>
      <c r="K2630" s="10">
        <f>[1]!EM_S_FA_ASSETSTURN(B2630,E2630)</f>
        <v>5.6231585872000001E-2</v>
      </c>
      <c r="L2630" s="12">
        <f>[1]!EM_HKS_VAL_MV(B2630,"2019-12-31","2")</f>
        <v>19714478937.299999</v>
      </c>
      <c r="M2630">
        <f>[1]!EM_S_VAL_PETTMDEDUCTED(B2630,E2630)</f>
        <v>1789.3348517521799</v>
      </c>
      <c r="N2630" s="7">
        <f>[1]!EM_S_VAL_PBGOODWILLDEDUCTED(B2630,E2630)</f>
        <v>2.9329988035904999</v>
      </c>
      <c r="O2630" s="7">
        <f>[1]!EM_S_VAL_PS_TTM(B2630,E2630)</f>
        <v>52.8560572144236</v>
      </c>
      <c r="P2630" s="7">
        <f>[1]!EM_S_VAL_PCF_NCFTTM(B2630,E2630)</f>
        <v>32.455435870273703</v>
      </c>
      <c r="Q2630" s="7">
        <f>[1]!EM_S_VAL_DIVIDENDYIELD2(B2630,E2630,"2019-11-29")</f>
        <v>0</v>
      </c>
      <c r="T2630"/>
      <c r="U2630">
        <f>[1]!EM_S_RATIO_EPS_TTM(B2630,E2630,"1")</f>
        <v>3.2736148543289247E-2</v>
      </c>
      <c r="AT2630" s="4" t="str">
        <f>[1]!EM_S_IPO_LISTEDDATE(B2630)</f>
        <v>2011-11-03</v>
      </c>
    </row>
    <row r="2631" spans="1:46">
      <c r="A2631">
        <v>1086</v>
      </c>
      <c r="B2631" t="str">
        <f>"002575"</f>
        <v>002575</v>
      </c>
      <c r="C2631" t="s">
        <v>3077</v>
      </c>
      <c r="D2631" t="str">
        <f>[1]!EM_S_INFO_INDEX_EM(B2631,"1")</f>
        <v>轻工制造</v>
      </c>
      <c r="E2631" s="4">
        <f t="shared" si="41"/>
        <v>43465</v>
      </c>
      <c r="F2631" s="11">
        <f>[1]!EM_S_PQ_PCTCHANGE(B2631,"2018-01-01","2019-12-31","3")</f>
        <v>-22.747252750000001</v>
      </c>
      <c r="G2631" s="11">
        <f>[1]!EM_S_PQ_PCTCHANGE(B2631,"2018-12-31","2019-12-30","1")</f>
        <v>-6.49006623</v>
      </c>
      <c r="H2631" s="11">
        <f>[1]!EM_S_FA_YOY_OR(B2631,E2631)</f>
        <v>-64.688311584900006</v>
      </c>
      <c r="I2631" s="11">
        <f>[1]!EM_S_FA_GROSSPROFITMARGIN(B2631,E2631)</f>
        <v>18.272261123300002</v>
      </c>
      <c r="J2631" s="11">
        <f>[1]!EM_S_FA_NETPROFITMARGIN(B2631,E2631)</f>
        <v>36.343277062399999</v>
      </c>
      <c r="K2631" s="10">
        <f>[1]!EM_S_FA_ASSETSTURN(B2631,E2631)</f>
        <v>2.1048184776000001E-2</v>
      </c>
      <c r="L2631" s="12">
        <f>[1]!EM_HKS_VAL_MV(B2631,"2019-12-31","2")</f>
        <v>4349601600</v>
      </c>
      <c r="M2631">
        <f>[1]!EM_S_VAL_PETTMDEDUCTED(B2631,E2631)</f>
        <v>-409.50636487857003</v>
      </c>
      <c r="N2631" s="7">
        <f>[1]!EM_S_VAL_PBGOODWILLDEDUCTED(B2631,E2631)</f>
        <v>4.9462707429565498</v>
      </c>
      <c r="O2631" s="7">
        <f>[1]!EM_S_VAL_PS_TTM(B2631,E2631)</f>
        <v>328.87258638116299</v>
      </c>
      <c r="P2631" s="7">
        <f>[1]!EM_S_VAL_PCF_NCFTTM(B2631,E2631)</f>
        <v>202.20195490367399</v>
      </c>
      <c r="Q2631" s="7">
        <f>[1]!EM_S_VAL_DIVIDENDYIELD2(B2631,E2631,"2019-11-29")</f>
        <v>0</v>
      </c>
      <c r="T2631"/>
      <c r="U2631">
        <f>[1]!EM_S_RATIO_EPS_TTM(B2631,E2631,"1")</f>
        <v>1.1757393548715859E-2</v>
      </c>
      <c r="AT2631" s="4" t="str">
        <f>[1]!EM_S_IPO_LISTEDDATE(B2631)</f>
        <v>2011-04-22</v>
      </c>
    </row>
    <row r="2632" spans="1:46">
      <c r="A2632">
        <v>1333</v>
      </c>
      <c r="B2632" t="str">
        <f>"002830"</f>
        <v>002830</v>
      </c>
      <c r="C2632" t="s">
        <v>3570</v>
      </c>
      <c r="D2632" t="str">
        <f>[1]!EM_S_INFO_INDEX_EM(B2632,"1")</f>
        <v>建筑</v>
      </c>
      <c r="E2632" s="4">
        <f t="shared" si="41"/>
        <v>43465</v>
      </c>
      <c r="F2632" s="11">
        <f>[1]!EM_S_PQ_PCTCHANGE(B2632,"2018-01-01","2019-12-31","3")</f>
        <v>-37.822850879999997</v>
      </c>
      <c r="G2632" s="11">
        <f>[1]!EM_S_PQ_PCTCHANGE(B2632,"2018-12-31","2019-12-30","1")</f>
        <v>-6.5659881799999997</v>
      </c>
      <c r="H2632" s="11">
        <f>[1]!EM_S_FA_YOY_OR(B2632,E2632)</f>
        <v>2.6425004926</v>
      </c>
      <c r="I2632" s="11">
        <f>[1]!EM_S_FA_GROSSPROFITMARGIN(B2632,E2632)</f>
        <v>32.174722928400001</v>
      </c>
      <c r="J2632" s="11">
        <f>[1]!EM_S_FA_NETPROFITMARGIN(B2632,E2632)</f>
        <v>6.3310075962000001</v>
      </c>
      <c r="K2632" s="10">
        <f>[1]!EM_S_FA_ASSETSTURN(B2632,E2632)</f>
        <v>0.66027531995300004</v>
      </c>
      <c r="L2632" s="12">
        <f>[1]!EM_HKS_VAL_MV(B2632,"2019-12-31","2")</f>
        <v>1885427600</v>
      </c>
      <c r="M2632">
        <f>[1]!EM_S_VAL_PETTMDEDUCTED(B2632,E2632)</f>
        <v>42.781692611366999</v>
      </c>
      <c r="N2632" s="7">
        <f>[1]!EM_S_VAL_PBGOODWILLDEDUCTED(B2632,E2632)</f>
        <v>3.1819412336150901</v>
      </c>
      <c r="O2632" s="7">
        <f>[1]!EM_S_VAL_PS_TTM(B2632,E2632)</f>
        <v>2.6962524043326401</v>
      </c>
      <c r="P2632" s="7">
        <f>[1]!EM_S_VAL_PCF_NCFTTM(B2632,E2632)</f>
        <v>5.1008642244650098</v>
      </c>
      <c r="Q2632" s="7">
        <f>[1]!EM_S_VAL_DIVIDENDYIELD2(B2632,E2632,"2019-11-29")</f>
        <v>1.1843079200592153</v>
      </c>
      <c r="T2632"/>
      <c r="U2632">
        <f>[1]!EM_S_RATIO_EPS_TTM(B2632,E2632,"1")</f>
        <v>0.34451844667766612</v>
      </c>
      <c r="AT2632" s="4" t="str">
        <f>[1]!EM_S_IPO_LISTEDDATE(B2632)</f>
        <v>2016-12-13</v>
      </c>
    </row>
    <row r="2633" spans="1:46">
      <c r="A2633">
        <v>2459</v>
      </c>
      <c r="B2633" t="str">
        <f>"600335"</f>
        <v>600335</v>
      </c>
      <c r="C2633" t="s">
        <v>975</v>
      </c>
      <c r="D2633" t="str">
        <f>[1]!EM_S_INFO_INDEX_EM(B2633,"1")</f>
        <v>交运设备</v>
      </c>
      <c r="E2633" s="4">
        <f t="shared" si="41"/>
        <v>43465</v>
      </c>
      <c r="F2633" s="11">
        <f>[1]!EM_S_PQ_PCTCHANGE(B2633,"2018-01-01","2019-12-31","3")</f>
        <v>-46.723409189999998</v>
      </c>
      <c r="G2633" s="11">
        <f>[1]!EM_S_PQ_PCTCHANGE(B2633,"2018-12-31","2019-12-30","1")</f>
        <v>-6.5705128200000003</v>
      </c>
      <c r="H2633" s="11">
        <f>[1]!EM_S_FA_YOY_OR(B2633,E2633)</f>
        <v>-11.9175252019</v>
      </c>
      <c r="I2633" s="11">
        <f>[1]!EM_S_FA_GROSSPROFITMARGIN(B2633,E2633)</f>
        <v>6.1803312671999997</v>
      </c>
      <c r="J2633" s="11">
        <f>[1]!EM_S_FA_NETPROFITMARGIN(B2633,E2633)</f>
        <v>1.2437307271</v>
      </c>
      <c r="K2633" s="10">
        <f>[1]!EM_S_FA_ASSETSTURN(B2633,E2633)</f>
        <v>1.7430367330850001</v>
      </c>
      <c r="L2633" s="12">
        <f>[1]!EM_HKS_VAL_MV(B2633,"2019-12-31","2")</f>
        <v>8449877035.8000002</v>
      </c>
      <c r="M2633">
        <f>[1]!EM_S_VAL_PETTMDEDUCTED(B2633,E2633)</f>
        <v>14.2928873636993</v>
      </c>
      <c r="N2633" s="7">
        <f>[1]!EM_S_VAL_PBGOODWILLDEDUCTED(B2633,E2633)</f>
        <v>0.810459124944789</v>
      </c>
      <c r="O2633" s="7">
        <f>[1]!EM_S_VAL_PS_TTM(B2633,E2633)</f>
        <v>0.14144907316007599</v>
      </c>
      <c r="P2633" s="7">
        <f>[1]!EM_S_VAL_PCF_NCFTTM(B2633,E2633)</f>
        <v>-3.2523227624389901</v>
      </c>
      <c r="Q2633" s="7">
        <f>[1]!EM_S_VAL_DIVIDENDYIELD2(B2633,E2633,"2019-11-29")</f>
        <v>2.7422303473491771</v>
      </c>
      <c r="T2633"/>
      <c r="U2633">
        <f>[1]!EM_S_RATIO_EPS_TTM(B2633,E2633,"1")</f>
        <v>0.57764030939489441</v>
      </c>
      <c r="AT2633" s="4" t="str">
        <f>[1]!EM_S_IPO_LISTEDDATE(B2633)</f>
        <v>2001-03-05</v>
      </c>
    </row>
    <row r="2634" spans="1:46">
      <c r="A2634">
        <v>1105</v>
      </c>
      <c r="B2634" t="str">
        <f>"002594"</f>
        <v>002594</v>
      </c>
      <c r="C2634" t="s">
        <v>3052</v>
      </c>
      <c r="D2634" t="str">
        <f>[1]!EM_S_INFO_INDEX_EM(B2634,"1")</f>
        <v>交运设备</v>
      </c>
      <c r="E2634" s="4">
        <f t="shared" si="41"/>
        <v>43465</v>
      </c>
      <c r="F2634" s="11">
        <f>[1]!EM_S_PQ_PCTCHANGE(B2634,"2018-01-01","2019-12-31","3")</f>
        <v>-26.214523379999999</v>
      </c>
      <c r="G2634" s="11">
        <f>[1]!EM_S_PQ_PCTCHANGE(B2634,"2018-12-31","2019-12-30","1")</f>
        <v>-6.5882352900000001</v>
      </c>
      <c r="H2634" s="11">
        <f>[1]!EM_S_FA_YOY_OR(B2634,E2634)</f>
        <v>22.791930245900001</v>
      </c>
      <c r="I2634" s="11">
        <f>[1]!EM_S_FA_GROSSPROFITMARGIN(B2634,E2634)</f>
        <v>16.400301451600001</v>
      </c>
      <c r="J2634" s="11">
        <f>[1]!EM_S_FA_NETPROFITMARGIN(B2634,E2634)</f>
        <v>2.7343823857</v>
      </c>
      <c r="K2634" s="10">
        <f>[1]!EM_S_FA_ASSETSTURN(B2634,E2634)</f>
        <v>0.69796082360800005</v>
      </c>
      <c r="L2634" s="12">
        <f>[1]!EM_HKS_VAL_MV(B2634,"2019-12-31","2")</f>
        <v>130050569897.85001</v>
      </c>
      <c r="M2634">
        <f>[1]!EM_S_VAL_PETTMDEDUCTED(B2634,E2634)</f>
        <v>163.13238582456501</v>
      </c>
      <c r="N2634" s="7">
        <f>[1]!EM_S_VAL_PBGOODWILLDEDUCTED(B2634,E2634)</f>
        <v>2.71554618170711</v>
      </c>
      <c r="O2634" s="7">
        <f>[1]!EM_S_VAL_PS_TTM(B2634,E2634)</f>
        <v>1.15022885200072</v>
      </c>
      <c r="P2634" s="7">
        <f>[1]!EM_S_VAL_PCF_NCFTTM(B2634,E2634)</f>
        <v>27.382868655393398</v>
      </c>
      <c r="Q2634" s="7">
        <f>[1]!EM_S_VAL_DIVIDENDYIELD2(B2634,E2634,"2019-11-29")</f>
        <v>0.47015441345932246</v>
      </c>
      <c r="T2634"/>
      <c r="U2634">
        <f>[1]!EM_S_RATIO_EPS_TTM(B2634,E2634,"1")</f>
        <v>1.0190793326326748</v>
      </c>
      <c r="AT2634" s="4" t="str">
        <f>[1]!EM_S_IPO_LISTEDDATE(B2634)</f>
        <v>2011-06-30</v>
      </c>
    </row>
    <row r="2635" spans="1:46">
      <c r="A2635">
        <v>3538</v>
      </c>
      <c r="B2635" t="str">
        <f>"603797"</f>
        <v>603797</v>
      </c>
      <c r="C2635" t="s">
        <v>1488</v>
      </c>
      <c r="D2635" t="str">
        <f>[1]!EM_S_INFO_INDEX_EM(B2635,"1")</f>
        <v>公用事业</v>
      </c>
      <c r="E2635" s="4">
        <f t="shared" si="41"/>
        <v>43465</v>
      </c>
      <c r="F2635" s="11">
        <f>[1]!EM_S_PQ_PCTCHANGE(B2635,"2018-01-01","2019-12-31","3")</f>
        <v>-24.51825745</v>
      </c>
      <c r="G2635" s="11">
        <f>[1]!EM_S_PQ_PCTCHANGE(B2635,"2018-12-31","2019-12-30","1")</f>
        <v>-6.6445182699999998</v>
      </c>
      <c r="H2635" s="11">
        <f>[1]!EM_S_FA_YOY_OR(B2635,E2635)</f>
        <v>36.1681046279</v>
      </c>
      <c r="I2635" s="11">
        <f>[1]!EM_S_FA_GROSSPROFITMARGIN(B2635,E2635)</f>
        <v>57.7556499863</v>
      </c>
      <c r="J2635" s="11">
        <f>[1]!EM_S_FA_NETPROFITMARGIN(B2635,E2635)</f>
        <v>29.2387402572</v>
      </c>
      <c r="K2635" s="10">
        <f>[1]!EM_S_FA_ASSETSTURN(B2635,E2635)</f>
        <v>7.5969793221000004E-2</v>
      </c>
      <c r="L2635" s="12">
        <f>[1]!EM_HKS_VAL_MV(B2635,"2019-12-31","2")</f>
        <v>3586183042.5</v>
      </c>
      <c r="M2635">
        <f>[1]!EM_S_VAL_PETTMDEDUCTED(B2635,E2635)</f>
        <v>35.976806587960098</v>
      </c>
      <c r="N2635" s="7">
        <f>[1]!EM_S_VAL_PBGOODWILLDEDUCTED(B2635,E2635)</f>
        <v>2.3946182622724601</v>
      </c>
      <c r="O2635" s="7">
        <f>[1]!EM_S_VAL_PS_TTM(B2635,E2635)</f>
        <v>11.293543573370201</v>
      </c>
      <c r="P2635" s="7">
        <f>[1]!EM_S_VAL_PCF_NCFTTM(B2635,E2635)</f>
        <v>33.764677628016301</v>
      </c>
      <c r="Q2635" s="7">
        <f>[1]!EM_S_VAL_DIVIDENDYIELD2(B2635,E2635,"2019-11-29")</f>
        <v>0.66066380973213501</v>
      </c>
      <c r="T2635"/>
      <c r="U2635">
        <f>[1]!EM_S_RATIO_EPS_TTM(B2635,E2635,"1")</f>
        <v>0.34465557312271489</v>
      </c>
      <c r="AT2635" s="4" t="str">
        <f>[1]!EM_S_IPO_LISTEDDATE(B2635)</f>
        <v>2017-04-13</v>
      </c>
    </row>
    <row r="2636" spans="1:46">
      <c r="A2636">
        <v>905</v>
      </c>
      <c r="B2636" t="str">
        <f>"002394"</f>
        <v>002394</v>
      </c>
      <c r="C2636" t="s">
        <v>1844</v>
      </c>
      <c r="D2636" t="str">
        <f>[1]!EM_S_INFO_INDEX_EM(B2636,"1")</f>
        <v>纺织服装</v>
      </c>
      <c r="E2636" s="4">
        <f t="shared" si="41"/>
        <v>43465</v>
      </c>
      <c r="F2636" s="11">
        <f>[1]!EM_S_PQ_PCTCHANGE(B2636,"2018-01-01","2019-12-31","3")</f>
        <v>-10.575124280000001</v>
      </c>
      <c r="G2636" s="11">
        <f>[1]!EM_S_PQ_PCTCHANGE(B2636,"2018-12-31","2019-12-30","1")</f>
        <v>-6.6468254</v>
      </c>
      <c r="H2636" s="11">
        <f>[1]!EM_S_FA_YOY_OR(B2636,E2636)</f>
        <v>4.1230825981999999</v>
      </c>
      <c r="I2636" s="11">
        <f>[1]!EM_S_FA_GROSSPROFITMARGIN(B2636,E2636)</f>
        <v>20.340906213499999</v>
      </c>
      <c r="J2636" s="11">
        <f>[1]!EM_S_FA_NETPROFITMARGIN(B2636,E2636)</f>
        <v>9.3689887914999996</v>
      </c>
      <c r="K2636" s="10">
        <f>[1]!EM_S_FA_ASSETSTURN(B2636,E2636)</f>
        <v>0.98828420915000004</v>
      </c>
      <c r="L2636" s="12">
        <f>[1]!EM_HKS_VAL_MV(B2636,"2019-12-31","2")</f>
        <v>3184690080</v>
      </c>
      <c r="M2636">
        <f>[1]!EM_S_VAL_PETTMDEDUCTED(B2636,E2636)</f>
        <v>11.0956666395408</v>
      </c>
      <c r="N2636" s="7">
        <f>[1]!EM_S_VAL_PBGOODWILLDEDUCTED(B2636,E2636)</f>
        <v>1.02053543354508</v>
      </c>
      <c r="O2636" s="7">
        <f>[1]!EM_S_VAL_PS_TTM(B2636,E2636)</f>
        <v>0.76658292183556997</v>
      </c>
      <c r="P2636" s="7">
        <f>[1]!EM_S_VAL_PCF_NCFTTM(B2636,E2636)</f>
        <v>23.055488756100701</v>
      </c>
      <c r="Q2636" s="7">
        <f>[1]!EM_S_VAL_DIVIDENDYIELD2(B2636,E2636,"2019-11-29")</f>
        <v>3.2894736842105261</v>
      </c>
      <c r="T2636"/>
      <c r="U2636">
        <f>[1]!EM_S_RATIO_EPS_TTM(B2636,E2636,"1")</f>
        <v>1.2058756559159716</v>
      </c>
      <c r="AT2636" s="4" t="str">
        <f>[1]!EM_S_IPO_LISTEDDATE(B2636)</f>
        <v>2010-04-23</v>
      </c>
    </row>
    <row r="2637" spans="1:46">
      <c r="A2637">
        <v>117</v>
      </c>
      <c r="B2637" t="str">
        <f>"000507"</f>
        <v>000507</v>
      </c>
      <c r="C2637" t="s">
        <v>2478</v>
      </c>
      <c r="D2637" t="str">
        <f>[1]!EM_S_INFO_INDEX_EM(B2637,"1")</f>
        <v>交通运输</v>
      </c>
      <c r="E2637" s="4">
        <f t="shared" si="41"/>
        <v>43465</v>
      </c>
      <c r="F2637" s="11">
        <f>[1]!EM_S_PQ_PCTCHANGE(B2637,"2018-01-01","2019-12-31","3")</f>
        <v>-39.039227689999997</v>
      </c>
      <c r="G2637" s="11">
        <f>[1]!EM_S_PQ_PCTCHANGE(B2637,"2018-12-31","2019-12-30","1")</f>
        <v>-6.6666666699999997</v>
      </c>
      <c r="H2637" s="11">
        <f>[1]!EM_S_FA_YOY_OR(B2637,E2637)</f>
        <v>33.389540477300002</v>
      </c>
      <c r="I2637" s="11">
        <f>[1]!EM_S_FA_GROSSPROFITMARGIN(B2637,E2637)</f>
        <v>19.169255274000001</v>
      </c>
      <c r="J2637" s="11">
        <f>[1]!EM_S_FA_NETPROFITMARGIN(B2637,E2637)</f>
        <v>7.3808917775999996</v>
      </c>
      <c r="K2637" s="10">
        <f>[1]!EM_S_FA_ASSETSTURN(B2637,E2637)</f>
        <v>0.41006552049799999</v>
      </c>
      <c r="L2637" s="12">
        <f>[1]!EM_HKS_VAL_MV(B2637,"2019-12-31","2")</f>
        <v>5712808855.3000002</v>
      </c>
      <c r="M2637">
        <f>[1]!EM_S_VAL_PETTMDEDUCTED(B2637,E2637)</f>
        <v>33.395910378870703</v>
      </c>
      <c r="N2637" s="7">
        <f>[1]!EM_S_VAL_PBGOODWILLDEDUCTED(B2637,E2637)</f>
        <v>1.8357711561171901</v>
      </c>
      <c r="O2637" s="7">
        <f>[1]!EM_S_VAL_PS_TTM(B2637,E2637)</f>
        <v>2.2838050642539001</v>
      </c>
      <c r="P2637" s="7">
        <f>[1]!EM_S_VAL_PCF_NCFTTM(B2637,E2637)</f>
        <v>17.7154056697347</v>
      </c>
      <c r="Q2637" s="7">
        <f>[1]!EM_S_VAL_DIVIDENDYIELD2(B2637,E2637,"2019-11-29")</f>
        <v>0.6876661264181525</v>
      </c>
      <c r="T2637"/>
      <c r="U2637">
        <f>[1]!EM_S_RATIO_EPS_TTM(B2637,E2637,"1")</f>
        <v>0.2137784587830843</v>
      </c>
      <c r="AT2637" s="4" t="str">
        <f>[1]!EM_S_IPO_LISTEDDATE(B2637)</f>
        <v>1993-03-26</v>
      </c>
    </row>
    <row r="2638" spans="1:46">
      <c r="A2638">
        <v>1426</v>
      </c>
      <c r="B2638" t="str">
        <f>"002931"</f>
        <v>002931</v>
      </c>
      <c r="C2638" t="s">
        <v>380</v>
      </c>
      <c r="D2638" t="str">
        <f>[1]!EM_S_INFO_INDEX_EM(B2638,"1")</f>
        <v>机械设备</v>
      </c>
      <c r="E2638" s="4">
        <f t="shared" si="41"/>
        <v>43465</v>
      </c>
      <c r="F2638" s="11">
        <f>[1]!EM_S_PQ_PCTCHANGE(B2638,"2018-01-01","2019-12-31","3")</f>
        <v>141.20571437000001</v>
      </c>
      <c r="G2638" s="11">
        <f>[1]!EM_S_PQ_PCTCHANGE(B2638,"2018-12-31","2019-12-30","1")</f>
        <v>-6.6727884900000003</v>
      </c>
      <c r="H2638" s="11">
        <f>[1]!EM_S_FA_YOY_OR(B2638,E2638)</f>
        <v>0.56057112340000004</v>
      </c>
      <c r="I2638" s="11">
        <f>[1]!EM_S_FA_GROSSPROFITMARGIN(B2638,E2638)</f>
        <v>31.616689846500002</v>
      </c>
      <c r="J2638" s="11">
        <f>[1]!EM_S_FA_NETPROFITMARGIN(B2638,E2638)</f>
        <v>14.518628274599999</v>
      </c>
      <c r="K2638" s="10">
        <f>[1]!EM_S_FA_ASSETSTURN(B2638,E2638)</f>
        <v>0.66076403426399999</v>
      </c>
      <c r="L2638" s="12">
        <f>[1]!EM_HKS_VAL_MV(B2638,"2019-12-31","2")</f>
        <v>2630848000</v>
      </c>
      <c r="M2638">
        <f>[1]!EM_S_VAL_PETTMDEDUCTED(B2638,E2638)</f>
        <v>70.198624187957705</v>
      </c>
      <c r="N2638" s="7">
        <f>[1]!EM_S_VAL_PBGOODWILLDEDUCTED(B2638,E2638)</f>
        <v>5.85144013463636</v>
      </c>
      <c r="O2638" s="7">
        <f>[1]!EM_S_VAL_PS_TTM(B2638,E2638)</f>
        <v>8.9500963823590798</v>
      </c>
      <c r="P2638" s="7">
        <f>[1]!EM_S_VAL_PCF_NCFTTM(B2638,E2638)</f>
        <v>55.325330271033202</v>
      </c>
      <c r="Q2638" s="7">
        <f>[1]!EM_S_VAL_DIVIDENDYIELD2(B2638,E2638,"2019-11-29")</f>
        <v>0.78400627205017637</v>
      </c>
      <c r="T2638"/>
      <c r="U2638">
        <f>[1]!EM_S_RATIO_EPS_TTM(B2638,E2638,"1")</f>
        <v>0.51482603600360033</v>
      </c>
      <c r="AT2638" s="4" t="str">
        <f>[1]!EM_S_IPO_LISTEDDATE(B2638)</f>
        <v>2018-04-03</v>
      </c>
    </row>
    <row r="2639" spans="1:46">
      <c r="A2639">
        <v>1509</v>
      </c>
      <c r="B2639" t="str">
        <f>"300084"</f>
        <v>300084</v>
      </c>
      <c r="C2639" t="s">
        <v>3384</v>
      </c>
      <c r="D2639" t="str">
        <f>[1]!EM_S_INFO_INDEX_EM(B2639,"1")</f>
        <v>机械设备</v>
      </c>
      <c r="E2639" s="4">
        <f t="shared" si="41"/>
        <v>43465</v>
      </c>
      <c r="F2639" s="11">
        <f>[1]!EM_S_PQ_PCTCHANGE(B2639,"2018-01-01","2019-12-31","3")</f>
        <v>-36.55004864</v>
      </c>
      <c r="G2639" s="11">
        <f>[1]!EM_S_PQ_PCTCHANGE(B2639,"2018-12-31","2019-12-30","1")</f>
        <v>-6.6945606700000004</v>
      </c>
      <c r="H2639" s="11">
        <f>[1]!EM_S_FA_YOY_OR(B2639,E2639)</f>
        <v>37.169985210199997</v>
      </c>
      <c r="I2639" s="11">
        <f>[1]!EM_S_FA_GROSSPROFITMARGIN(B2639,E2639)</f>
        <v>42.965725474700001</v>
      </c>
      <c r="J2639" s="11">
        <f>[1]!EM_S_FA_NETPROFITMARGIN(B2639,E2639)</f>
        <v>9.1207622180999994</v>
      </c>
      <c r="K2639" s="10">
        <f>[1]!EM_S_FA_ASSETSTURN(B2639,E2639)</f>
        <v>0.22380722216599999</v>
      </c>
      <c r="L2639" s="12">
        <f>[1]!EM_HKS_VAL_MV(B2639,"2019-12-31","2")</f>
        <v>1727598163.6199999</v>
      </c>
      <c r="M2639">
        <f>[1]!EM_S_VAL_PETTMDEDUCTED(B2639,E2639)</f>
        <v>-159.79861047532401</v>
      </c>
      <c r="N2639" s="7">
        <f>[1]!EM_S_VAL_PBGOODWILLDEDUCTED(B2639,E2639)</f>
        <v>1.2945722695720201</v>
      </c>
      <c r="O2639" s="7">
        <f>[1]!EM_S_VAL_PS_TTM(B2639,E2639)</f>
        <v>3.1296805311722702</v>
      </c>
      <c r="P2639" s="7">
        <f>[1]!EM_S_VAL_PCF_NCFTTM(B2639,E2639)</f>
        <v>155.822895032817</v>
      </c>
      <c r="Q2639" s="7">
        <f>[1]!EM_S_VAL_DIVIDENDYIELD2(B2639,E2639,"2019-11-29")</f>
        <v>0</v>
      </c>
      <c r="T2639"/>
      <c r="U2639">
        <f>[1]!EM_S_RATIO_EPS_TTM(B2639,E2639,"1")</f>
        <v>0.17136580461329953</v>
      </c>
      <c r="AT2639" s="4" t="str">
        <f>[1]!EM_S_IPO_LISTEDDATE(B2639)</f>
        <v>2010-05-20</v>
      </c>
    </row>
    <row r="2640" spans="1:46">
      <c r="A2640">
        <v>3473</v>
      </c>
      <c r="B2640" t="str">
        <f>"603639"</f>
        <v>603639</v>
      </c>
      <c r="C2640" t="s">
        <v>245</v>
      </c>
      <c r="D2640" t="str">
        <f>[1]!EM_S_INFO_INDEX_EM(B2640,"1")</f>
        <v>基础化工</v>
      </c>
      <c r="E2640" s="4">
        <f t="shared" si="41"/>
        <v>43465</v>
      </c>
      <c r="F2640" s="11">
        <f>[1]!EM_S_PQ_PCTCHANGE(B2640,"2018-01-01","2019-12-31","3")</f>
        <v>-20.966453560000001</v>
      </c>
      <c r="G2640" s="11">
        <f>[1]!EM_S_PQ_PCTCHANGE(B2640,"2018-12-31","2019-12-30","1")</f>
        <v>-6.7068575700000004</v>
      </c>
      <c r="H2640" s="11">
        <f>[1]!EM_S_FA_YOY_OR(B2640,E2640)</f>
        <v>37.878125735499999</v>
      </c>
      <c r="I2640" s="11">
        <f>[1]!EM_S_FA_GROSSPROFITMARGIN(B2640,E2640)</f>
        <v>34.756728751600001</v>
      </c>
      <c r="J2640" s="11">
        <f>[1]!EM_S_FA_NETPROFITMARGIN(B2640,E2640)</f>
        <v>16.7620498406</v>
      </c>
      <c r="K2640" s="10">
        <f>[1]!EM_S_FA_ASSETSTURN(B2640,E2640)</f>
        <v>0.79331994948999995</v>
      </c>
      <c r="L2640" s="12">
        <f>[1]!EM_HKS_VAL_MV(B2640,"2019-12-31","2")</f>
        <v>4225704002.5999999</v>
      </c>
      <c r="M2640">
        <f>[1]!EM_S_VAL_PETTMDEDUCTED(B2640,E2640)</f>
        <v>11.298193880857101</v>
      </c>
      <c r="N2640" s="7">
        <f>[1]!EM_S_VAL_PBGOODWILLDEDUCTED(B2640,E2640)</f>
        <v>2.2978399998942498</v>
      </c>
      <c r="O2640" s="7">
        <f>[1]!EM_S_VAL_PS_TTM(B2640,E2640)</f>
        <v>2.1501066646467102</v>
      </c>
      <c r="P2640" s="7">
        <f>[1]!EM_S_VAL_PCF_NCFTTM(B2640,E2640)</f>
        <v>26.4953950016248</v>
      </c>
      <c r="Q2640" s="7">
        <f>[1]!EM_S_VAL_DIVIDENDYIELD2(B2640,E2640,"2019-11-29")</f>
        <v>1.2332636822097824</v>
      </c>
      <c r="T2640"/>
      <c r="U2640">
        <f>[1]!EM_S_RATIO_EPS_TTM(B2640,E2640,"1")</f>
        <v>2.168841061202766</v>
      </c>
      <c r="AT2640" s="4" t="str">
        <f>[1]!EM_S_IPO_LISTEDDATE(B2640)</f>
        <v>2017-01-12</v>
      </c>
    </row>
    <row r="2641" spans="1:46">
      <c r="A2641">
        <v>2655</v>
      </c>
      <c r="B2641" t="str">
        <f>"600582"</f>
        <v>600582</v>
      </c>
      <c r="C2641" t="s">
        <v>2827</v>
      </c>
      <c r="D2641" t="str">
        <f>[1]!EM_S_INFO_INDEX_EM(B2641,"1")</f>
        <v>机械设备</v>
      </c>
      <c r="E2641" s="4">
        <f t="shared" si="41"/>
        <v>43465</v>
      </c>
      <c r="F2641" s="11">
        <f>[1]!EM_S_PQ_PCTCHANGE(B2641,"2018-01-01","2019-12-31","3")</f>
        <v>-29.620801440000001</v>
      </c>
      <c r="G2641" s="11">
        <f>[1]!EM_S_PQ_PCTCHANGE(B2641,"2018-12-31","2019-12-30","1")</f>
        <v>-6.7251462000000002</v>
      </c>
      <c r="H2641" s="11">
        <f>[1]!EM_S_FA_YOY_OR(B2641,E2641)</f>
        <v>16.6517902346</v>
      </c>
      <c r="I2641" s="11">
        <f>[1]!EM_S_FA_GROSSPROFITMARGIN(B2641,E2641)</f>
        <v>31.223301182699998</v>
      </c>
      <c r="J2641" s="11">
        <f>[1]!EM_S_FA_NETPROFITMARGIN(B2641,E2641)</f>
        <v>7.5308732705999999</v>
      </c>
      <c r="K2641" s="10">
        <f>[1]!EM_S_FA_ASSETSTURN(B2641,E2641)</f>
        <v>0.48605341909999999</v>
      </c>
      <c r="L2641" s="12">
        <f>[1]!EM_HKS_VAL_MV(B2641,"2019-12-31","2")</f>
        <v>13202098565.48</v>
      </c>
      <c r="M2641">
        <f>[1]!EM_S_VAL_PETTMDEDUCTED(B2641,E2641)</f>
        <v>13.0097878129032</v>
      </c>
      <c r="N2641" s="7">
        <f>[1]!EM_S_VAL_PBGOODWILLDEDUCTED(B2641,E2641)</f>
        <v>0.89929656051205797</v>
      </c>
      <c r="O2641" s="7">
        <f>[1]!EM_S_VAL_PS_TTM(B2641,E2641)</f>
        <v>0.74894946475589297</v>
      </c>
      <c r="P2641" s="7">
        <f>[1]!EM_S_VAL_PCF_NCFTTM(B2641,E2641)</f>
        <v>-84.477438896098306</v>
      </c>
      <c r="Q2641" s="7">
        <f>[1]!EM_S_VAL_DIVIDENDYIELD2(B2641,E2641,"2019-11-29")</f>
        <v>1.6611295681063125</v>
      </c>
      <c r="T2641"/>
      <c r="U2641">
        <f>[1]!EM_S_RATIO_EPS_TTM(B2641,E2641,"1")</f>
        <v>0.23235610986122562</v>
      </c>
      <c r="AT2641" s="4" t="str">
        <f>[1]!EM_S_IPO_LISTEDDATE(B2641)</f>
        <v>2002-05-15</v>
      </c>
    </row>
    <row r="2642" spans="1:46">
      <c r="A2642">
        <v>739</v>
      </c>
      <c r="B2642" t="str">
        <f>"002228"</f>
        <v>002228</v>
      </c>
      <c r="C2642" t="s">
        <v>1262</v>
      </c>
      <c r="D2642" t="str">
        <f>[1]!EM_S_INFO_INDEX_EM(B2642,"1")</f>
        <v>轻工制造</v>
      </c>
      <c r="E2642" s="4">
        <f t="shared" si="41"/>
        <v>43465</v>
      </c>
      <c r="F2642" s="11">
        <f>[1]!EM_S_PQ_PCTCHANGE(B2642,"2018-01-01","2019-12-31","3")</f>
        <v>-4.2008643699999997</v>
      </c>
      <c r="G2642" s="11">
        <f>[1]!EM_S_PQ_PCTCHANGE(B2642,"2018-12-31","2019-12-30","1")</f>
        <v>-6.7757009300000002</v>
      </c>
      <c r="H2642" s="11">
        <f>[1]!EM_S_FA_YOY_OR(B2642,E2642)</f>
        <v>39.076229116900002</v>
      </c>
      <c r="I2642" s="11">
        <f>[1]!EM_S_FA_GROSSPROFITMARGIN(B2642,E2642)</f>
        <v>12.541431655</v>
      </c>
      <c r="J2642" s="11">
        <f>[1]!EM_S_FA_NETPROFITMARGIN(B2642,E2642)</f>
        <v>2.3456134061</v>
      </c>
      <c r="K2642" s="10">
        <f>[1]!EM_S_FA_ASSETSTURN(B2642,E2642)</f>
        <v>1.8056709267540001</v>
      </c>
      <c r="L2642" s="12">
        <f>[1]!EM_HKS_VAL_MV(B2642,"2019-12-31","2")</f>
        <v>4701458130.96</v>
      </c>
      <c r="M2642">
        <f>[1]!EM_S_VAL_PETTMDEDUCTED(B2642,E2642)</f>
        <v>24.287997004031102</v>
      </c>
      <c r="N2642" s="7">
        <f>[1]!EM_S_VAL_PBGOODWILLDEDUCTED(B2642,E2642)</f>
        <v>1.84019334191955</v>
      </c>
      <c r="O2642" s="7">
        <f>[1]!EM_S_VAL_PS_TTM(B2642,E2642)</f>
        <v>0.39789763263079703</v>
      </c>
      <c r="P2642" s="7">
        <f>[1]!EM_S_VAL_PCF_NCFTTM(B2642,E2642)</f>
        <v>18.058112855627499</v>
      </c>
      <c r="Q2642" s="7">
        <f>[1]!EM_S_VAL_DIVIDENDYIELD2(B2642,E2642,"2019-11-29")</f>
        <v>1.2787723785166241</v>
      </c>
      <c r="T2642"/>
      <c r="U2642">
        <f>[1]!EM_S_RATIO_EPS_TTM(B2642,E2642,"1")</f>
        <v>0.19927473833410406</v>
      </c>
      <c r="AT2642" s="4" t="str">
        <f>[1]!EM_S_IPO_LISTEDDATE(B2642)</f>
        <v>2008-05-08</v>
      </c>
    </row>
    <row r="2643" spans="1:46">
      <c r="A2643">
        <v>929</v>
      </c>
      <c r="B2643" t="str">
        <f>"002418"</f>
        <v>002418</v>
      </c>
      <c r="C2643" t="s">
        <v>2619</v>
      </c>
      <c r="D2643" t="str">
        <f>[1]!EM_S_INFO_INDEX_EM(B2643,"1")</f>
        <v>机械设备</v>
      </c>
      <c r="E2643" s="4">
        <f t="shared" si="41"/>
        <v>43465</v>
      </c>
      <c r="F2643" s="11">
        <f>[1]!EM_S_PQ_PCTCHANGE(B2643,"2018-01-01","2019-12-31","3")</f>
        <v>-67.870033370000002</v>
      </c>
      <c r="G2643" s="11">
        <f>[1]!EM_S_PQ_PCTCHANGE(B2643,"2018-12-31","2019-12-30","1")</f>
        <v>-6.8181818200000004</v>
      </c>
      <c r="H2643" s="11">
        <f>[1]!EM_S_FA_YOY_OR(B2643,E2643)</f>
        <v>-40.9867256191</v>
      </c>
      <c r="I2643" s="11">
        <f>[1]!EM_S_FA_GROSSPROFITMARGIN(B2643,E2643)</f>
        <v>7.2582549286000004</v>
      </c>
      <c r="J2643" s="11">
        <f>[1]!EM_S_FA_NETPROFITMARGIN(B2643,E2643)</f>
        <v>-42.906954540699999</v>
      </c>
      <c r="K2643" s="10">
        <f>[1]!EM_S_FA_ASSETSTURN(B2643,E2643)</f>
        <v>0.40102124848300003</v>
      </c>
      <c r="L2643" s="12">
        <f>[1]!EM_HKS_VAL_MV(B2643,"2019-12-31","2")</f>
        <v>3250104000</v>
      </c>
      <c r="M2643">
        <f>[1]!EM_S_VAL_PETTMDEDUCTED(B2643,E2643)</f>
        <v>-52.516978705311502</v>
      </c>
      <c r="N2643" s="7">
        <f>[1]!EM_S_VAL_PBGOODWILLDEDUCTED(B2643,E2643)</f>
        <v>3.0553231486610999</v>
      </c>
      <c r="O2643" s="7">
        <f>[1]!EM_S_VAL_PS_TTM(B2643,E2643)</f>
        <v>1.2169881843282799</v>
      </c>
      <c r="P2643" s="7">
        <f>[1]!EM_S_VAL_PCF_NCFTTM(B2643,E2643)</f>
        <v>-3.31200279298776</v>
      </c>
      <c r="Q2643" s="7">
        <f>[1]!EM_S_VAL_DIVIDENDYIELD2(B2643,E2643,"2019-11-29")</f>
        <v>0</v>
      </c>
      <c r="T2643"/>
      <c r="U2643">
        <f>[1]!EM_S_RATIO_EPS_TTM(B2643,E2643,"1")</f>
        <v>-1.0795993481256601</v>
      </c>
      <c r="AT2643" s="4" t="str">
        <f>[1]!EM_S_IPO_LISTEDDATE(B2643)</f>
        <v>2010-06-01</v>
      </c>
    </row>
    <row r="2644" spans="1:46">
      <c r="A2644">
        <v>2737</v>
      </c>
      <c r="B2644" t="str">
        <f>"600664"</f>
        <v>600664</v>
      </c>
      <c r="C2644" t="s">
        <v>1393</v>
      </c>
      <c r="D2644" t="str">
        <f>[1]!EM_S_INFO_INDEX_EM(B2644,"1")</f>
        <v>医药生物</v>
      </c>
      <c r="E2644" s="4">
        <f t="shared" si="41"/>
        <v>43465</v>
      </c>
      <c r="F2644" s="11">
        <f>[1]!EM_S_PQ_PCTCHANGE(B2644,"2018-01-01","2019-12-31","3")</f>
        <v>-28.257426760000001</v>
      </c>
      <c r="G2644" s="11">
        <f>[1]!EM_S_PQ_PCTCHANGE(B2644,"2018-12-31","2019-12-30","1")</f>
        <v>-6.8354430400000004</v>
      </c>
      <c r="H2644" s="11">
        <f>[1]!EM_S_FA_YOY_OR(B2644,E2644)</f>
        <v>-10.018011447599999</v>
      </c>
      <c r="I2644" s="11">
        <f>[1]!EM_S_FA_GROSSPROFITMARGIN(B2644,E2644)</f>
        <v>27.2378577287</v>
      </c>
      <c r="J2644" s="11">
        <f>[1]!EM_S_FA_NETPROFITMARGIN(B2644,E2644)</f>
        <v>3.7326556692000001</v>
      </c>
      <c r="K2644" s="10">
        <f>[1]!EM_S_FA_ASSETSTURN(B2644,E2644)</f>
        <v>0.84480580786500004</v>
      </c>
      <c r="L2644" s="12">
        <f>[1]!EM_HKS_VAL_MV(B2644,"2019-12-31","2")</f>
        <v>9501602298.0400009</v>
      </c>
      <c r="M2644">
        <f>[1]!EM_S_VAL_PETTMDEDUCTED(B2644,E2644)</f>
        <v>41.015298959888497</v>
      </c>
      <c r="N2644" s="7">
        <f>[1]!EM_S_VAL_PBGOODWILLDEDUCTED(B2644,E2644)</f>
        <v>1.7138669726620199</v>
      </c>
      <c r="O2644" s="7">
        <f>[1]!EM_S_VAL_PS_TTM(B2644,E2644)</f>
        <v>0.92145019020673602</v>
      </c>
      <c r="P2644" s="7">
        <f>[1]!EM_S_VAL_PCF_NCFTTM(B2644,E2644)</f>
        <v>-8.3795276066446398</v>
      </c>
      <c r="Q2644" s="7">
        <f>[1]!EM_S_VAL_DIVIDENDYIELD2(B2644,E2644,"2019-11-29")</f>
        <v>0</v>
      </c>
      <c r="T2644"/>
      <c r="U2644">
        <f>[1]!EM_S_RATIO_EPS_TTM(B2644,E2644,"1")</f>
        <v>0.13601034415611801</v>
      </c>
      <c r="AT2644" s="4" t="str">
        <f>[1]!EM_S_IPO_LISTEDDATE(B2644)</f>
        <v>1993-06-29</v>
      </c>
    </row>
    <row r="2645" spans="1:46">
      <c r="A2645">
        <v>3006</v>
      </c>
      <c r="B2645" t="str">
        <f>"600983"</f>
        <v>600983</v>
      </c>
      <c r="C2645" t="s">
        <v>1794</v>
      </c>
      <c r="D2645" t="str">
        <f>[1]!EM_S_INFO_INDEX_EM(B2645,"1")</f>
        <v>家电</v>
      </c>
      <c r="E2645" s="4">
        <f t="shared" si="41"/>
        <v>43465</v>
      </c>
      <c r="F2645" s="11">
        <f>[1]!EM_S_PQ_PCTCHANGE(B2645,"2018-01-01","2019-12-31","3")</f>
        <v>-30.46680482</v>
      </c>
      <c r="G2645" s="11">
        <f>[1]!EM_S_PQ_PCTCHANGE(B2645,"2018-12-31","2019-12-30","1")</f>
        <v>-6.8441064599999999</v>
      </c>
      <c r="H2645" s="11">
        <f>[1]!EM_S_FA_YOY_OR(B2645,E2645)</f>
        <v>-1.2328345718</v>
      </c>
      <c r="I2645" s="11">
        <f>[1]!EM_S_FA_GROSSPROFITMARGIN(B2645,E2645)</f>
        <v>23.612934182</v>
      </c>
      <c r="J2645" s="11">
        <f>[1]!EM_S_FA_NETPROFITMARGIN(B2645,E2645)</f>
        <v>4.1656818333999999</v>
      </c>
      <c r="K2645" s="10">
        <f>[1]!EM_S_FA_ASSETSTURN(B2645,E2645)</f>
        <v>0.74954226018100001</v>
      </c>
      <c r="L2645" s="12">
        <f>[1]!EM_HKS_VAL_MV(B2645,"2019-12-31","2")</f>
        <v>3778544270</v>
      </c>
      <c r="M2645">
        <f>[1]!EM_S_VAL_PETTMDEDUCTED(B2645,E2645)</f>
        <v>-44.5224992811237</v>
      </c>
      <c r="N2645" s="7">
        <f>[1]!EM_S_VAL_PBGOODWILLDEDUCTED(B2645,E2645)</f>
        <v>0.97953175019721195</v>
      </c>
      <c r="O2645" s="7">
        <f>[1]!EM_S_VAL_PS_TTM(B2645,E2645)</f>
        <v>0.66065564957501499</v>
      </c>
      <c r="P2645" s="7">
        <f>[1]!EM_S_VAL_PCF_NCFTTM(B2645,E2645)</f>
        <v>770.42919634793202</v>
      </c>
      <c r="Q2645" s="7">
        <f>[1]!EM_S_VAL_DIVIDENDYIELD2(B2645,E2645,"2019-11-29")</f>
        <v>1.0395010395010396</v>
      </c>
      <c r="T2645"/>
      <c r="U2645">
        <f>[1]!EM_S_RATIO_EPS_TTM(B2645,E2645,"1")</f>
        <v>0.34163120544492126</v>
      </c>
      <c r="AT2645" s="4" t="str">
        <f>[1]!EM_S_IPO_LISTEDDATE(B2645)</f>
        <v>2004-07-27</v>
      </c>
    </row>
    <row r="2646" spans="1:46">
      <c r="A2646">
        <v>2762</v>
      </c>
      <c r="B2646" t="str">
        <f>"600689"</f>
        <v>600689</v>
      </c>
      <c r="C2646" t="s">
        <v>2647</v>
      </c>
      <c r="D2646" t="str">
        <f>[1]!EM_S_INFO_INDEX_EM(B2646,"1")</f>
        <v>纺织服装</v>
      </c>
      <c r="E2646" s="4">
        <f t="shared" si="41"/>
        <v>43465</v>
      </c>
      <c r="F2646" s="11">
        <f>[1]!EM_S_PQ_PCTCHANGE(B2646,"2018-01-01","2019-12-31","3")</f>
        <v>-13.86775875</v>
      </c>
      <c r="G2646" s="11">
        <f>[1]!EM_S_PQ_PCTCHANGE(B2646,"2018-12-31","2019-12-30","1")</f>
        <v>-6.8466731000000003</v>
      </c>
      <c r="H2646" s="11">
        <f>[1]!EM_S_FA_YOY_OR(B2646,E2646)</f>
        <v>7.8779921026000004</v>
      </c>
      <c r="I2646" s="11">
        <f>[1]!EM_S_FA_GROSSPROFITMARGIN(B2646,E2646)</f>
        <v>6.8397320496000003</v>
      </c>
      <c r="J2646" s="11">
        <f>[1]!EM_S_FA_NETPROFITMARGIN(B2646,E2646)</f>
        <v>0.81006259650000001</v>
      </c>
      <c r="K2646" s="10">
        <f>[1]!EM_S_FA_ASSETSTURN(B2646,E2646)</f>
        <v>1.852702519233</v>
      </c>
      <c r="L2646" s="12">
        <f>[1]!EM_HKS_VAL_MV(B2646,"2019-12-31","2")</f>
        <v>1969715161.4000001</v>
      </c>
      <c r="M2646">
        <f>[1]!EM_S_VAL_PETTMDEDUCTED(B2646,E2646)</f>
        <v>-78.692069939771002</v>
      </c>
      <c r="N2646" s="7">
        <f>[1]!EM_S_VAL_PBGOODWILLDEDUCTED(B2646,E2646)</f>
        <v>4.5314717244468898</v>
      </c>
      <c r="O2646" s="7">
        <f>[1]!EM_S_VAL_PS_TTM(B2646,E2646)</f>
        <v>1.49695863307167</v>
      </c>
      <c r="P2646" s="7">
        <f>[1]!EM_S_VAL_PCF_NCFTTM(B2646,E2646)</f>
        <v>-51.086598418198001</v>
      </c>
      <c r="Q2646" s="7">
        <f>[1]!EM_S_VAL_DIVIDENDYIELD2(B2646,E2646,"2019-11-29")</f>
        <v>0.18458197611292076</v>
      </c>
      <c r="T2646"/>
      <c r="U2646">
        <f>[1]!EM_S_RATIO_EPS_TTM(B2646,E2646,"1")</f>
        <v>5.3469749789173758E-2</v>
      </c>
      <c r="AT2646" s="4" t="str">
        <f>[1]!EM_S_IPO_LISTEDDATE(B2646)</f>
        <v>1993-11-08</v>
      </c>
    </row>
    <row r="2647" spans="1:46">
      <c r="A2647">
        <v>2863</v>
      </c>
      <c r="B2647" t="str">
        <f>"600790"</f>
        <v>600790</v>
      </c>
      <c r="C2647" t="s">
        <v>1470</v>
      </c>
      <c r="D2647" t="str">
        <f>[1]!EM_S_INFO_INDEX_EM(B2647,"1")</f>
        <v>商贸零售</v>
      </c>
      <c r="E2647" s="4">
        <f t="shared" si="41"/>
        <v>43465</v>
      </c>
      <c r="F2647" s="11">
        <f>[1]!EM_S_PQ_PCTCHANGE(B2647,"2018-01-01","2019-12-31","3")</f>
        <v>-14.60898497</v>
      </c>
      <c r="G2647" s="11">
        <f>[1]!EM_S_PQ_PCTCHANGE(B2647,"2018-12-31","2019-12-30","1")</f>
        <v>-6.8493150700000003</v>
      </c>
      <c r="H2647" s="11">
        <f>[1]!EM_S_FA_YOY_OR(B2647,E2647)</f>
        <v>6.0242545192000003</v>
      </c>
      <c r="I2647" s="11">
        <f>[1]!EM_S_FA_GROSSPROFITMARGIN(B2647,E2647)</f>
        <v>61.187377381600001</v>
      </c>
      <c r="J2647" s="11">
        <f>[1]!EM_S_FA_NETPROFITMARGIN(B2647,E2647)</f>
        <v>54.167029541799998</v>
      </c>
      <c r="K2647" s="10">
        <f>[1]!EM_S_FA_ASSETSTURN(B2647,E2647)</f>
        <v>0.10281148088</v>
      </c>
      <c r="L2647" s="12">
        <f>[1]!EM_HKS_VAL_MV(B2647,"2019-12-31","2")</f>
        <v>4983689155.1999998</v>
      </c>
      <c r="M2647">
        <f>[1]!EM_S_VAL_PETTMDEDUCTED(B2647,E2647)</f>
        <v>15.283200056979201</v>
      </c>
      <c r="N2647" s="7">
        <f>[1]!EM_S_VAL_PBGOODWILLDEDUCTED(B2647,E2647)</f>
        <v>0.99861440860639294</v>
      </c>
      <c r="O2647" s="7">
        <f>[1]!EM_S_VAL_PS_TTM(B2647,E2647)</f>
        <v>5.5886167409113998</v>
      </c>
      <c r="P2647" s="7">
        <f>[1]!EM_S_VAL_PCF_NCFTTM(B2647,E2647)</f>
        <v>4.7724195054758303</v>
      </c>
      <c r="Q2647" s="7">
        <f>[1]!EM_S_VAL_DIVIDENDYIELD2(B2647,E2647,"2019-11-29")</f>
        <v>5.48780487804878</v>
      </c>
      <c r="T2647"/>
      <c r="U2647">
        <f>[1]!EM_S_RATIO_EPS_TTM(B2647,E2647,"1")</f>
        <v>0.35065438451124048</v>
      </c>
      <c r="AT2647" s="4" t="str">
        <f>[1]!EM_S_IPO_LISTEDDATE(B2647)</f>
        <v>1997-02-28</v>
      </c>
    </row>
    <row r="2648" spans="1:46">
      <c r="A2648">
        <v>1464</v>
      </c>
      <c r="B2648" t="str">
        <f>"300038"</f>
        <v>300038</v>
      </c>
      <c r="C2648" t="s">
        <v>2048</v>
      </c>
      <c r="D2648" t="str">
        <f>[1]!EM_S_INFO_INDEX_EM(B2648,"1")</f>
        <v>信息技术</v>
      </c>
      <c r="E2648" s="4">
        <f t="shared" si="41"/>
        <v>43465</v>
      </c>
      <c r="F2648" s="11">
        <f>[1]!EM_S_PQ_PCTCHANGE(B2648,"2018-01-01","2019-12-31","3")</f>
        <v>-49.79675134</v>
      </c>
      <c r="G2648" s="11">
        <f>[1]!EM_S_PQ_PCTCHANGE(B2648,"2018-12-31","2019-12-30","1")</f>
        <v>-6.8595927100000003</v>
      </c>
      <c r="H2648" s="11">
        <f>[1]!EM_S_FA_YOY_OR(B2648,E2648)</f>
        <v>98.234772922000005</v>
      </c>
      <c r="I2648" s="11">
        <f>[1]!EM_S_FA_GROSSPROFITMARGIN(B2648,E2648)</f>
        <v>24.9635740951</v>
      </c>
      <c r="J2648" s="11">
        <f>[1]!EM_S_FA_NETPROFITMARGIN(B2648,E2648)</f>
        <v>11.7142488629</v>
      </c>
      <c r="K2648" s="10">
        <f>[1]!EM_S_FA_ASSETSTURN(B2648,E2648)</f>
        <v>0.42823024356400002</v>
      </c>
      <c r="L2648" s="12">
        <f>[1]!EM_HKS_VAL_MV(B2648,"2019-12-31","2")</f>
        <v>10101149800.26</v>
      </c>
      <c r="M2648">
        <f>[1]!EM_S_VAL_PETTMDEDUCTED(B2648,E2648)</f>
        <v>15.1368367764884</v>
      </c>
      <c r="N2648" s="7">
        <f>[1]!EM_S_VAL_PBGOODWILLDEDUCTED(B2648,E2648)</f>
        <v>2.6024820166698301</v>
      </c>
      <c r="O2648" s="7">
        <f>[1]!EM_S_VAL_PS_TTM(B2648,E2648)</f>
        <v>2.5759246978797701</v>
      </c>
      <c r="P2648" s="7">
        <f>[1]!EM_S_VAL_PCF_NCFTTM(B2648,E2648)</f>
        <v>-20.0941548893781</v>
      </c>
      <c r="Q2648" s="7">
        <f>[1]!EM_S_VAL_DIVIDENDYIELD2(B2648,E2648,"2019-11-29")</f>
        <v>0.84439083232810597</v>
      </c>
      <c r="T2648"/>
      <c r="U2648">
        <f>[1]!EM_S_RATIO_EPS_TTM(B2648,E2648,"1")</f>
        <v>0.54081353117818221</v>
      </c>
      <c r="AT2648" s="4" t="str">
        <f>[1]!EM_S_IPO_LISTEDDATE(B2648)</f>
        <v>2010-01-08</v>
      </c>
    </row>
    <row r="2649" spans="1:46">
      <c r="A2649">
        <v>420</v>
      </c>
      <c r="B2649" t="str">
        <f>"000889"</f>
        <v>000889</v>
      </c>
      <c r="C2649" t="s">
        <v>1095</v>
      </c>
      <c r="D2649" t="str">
        <f>[1]!EM_S_INFO_INDEX_EM(B2649,"1")</f>
        <v>信息技术</v>
      </c>
      <c r="E2649" s="4">
        <f t="shared" si="41"/>
        <v>43465</v>
      </c>
      <c r="F2649" s="11">
        <f>[1]!EM_S_PQ_PCTCHANGE(B2649,"2018-01-01","2019-12-31","3")</f>
        <v>-29.421740110000002</v>
      </c>
      <c r="G2649" s="11">
        <f>[1]!EM_S_PQ_PCTCHANGE(B2649,"2018-12-31","2019-12-30","1")</f>
        <v>-6.8627450999999997</v>
      </c>
      <c r="H2649" s="11">
        <f>[1]!EM_S_FA_YOY_OR(B2649,E2649)</f>
        <v>43.816093395000003</v>
      </c>
      <c r="I2649" s="11">
        <f>[1]!EM_S_FA_GROSSPROFITMARGIN(B2649,E2649)</f>
        <v>19.820519066399999</v>
      </c>
      <c r="J2649" s="11">
        <f>[1]!EM_S_FA_NETPROFITMARGIN(B2649,E2649)</f>
        <v>8.3439011505000007</v>
      </c>
      <c r="K2649" s="10">
        <f>[1]!EM_S_FA_ASSETSTURN(B2649,E2649)</f>
        <v>0.70905849246999997</v>
      </c>
      <c r="L2649" s="12">
        <f>[1]!EM_HKS_VAL_MV(B2649,"2019-12-31","2")</f>
        <v>6256102606.0500002</v>
      </c>
      <c r="M2649">
        <f>[1]!EM_S_VAL_PETTMDEDUCTED(B2649,E2649)</f>
        <v>31.800288983037301</v>
      </c>
      <c r="N2649" s="7">
        <f>[1]!EM_S_VAL_PBGOODWILLDEDUCTED(B2649,E2649)</f>
        <v>10.814796482256201</v>
      </c>
      <c r="O2649" s="7">
        <f>[1]!EM_S_VAL_PS_TTM(B2649,E2649)</f>
        <v>2.3392207976250701</v>
      </c>
      <c r="P2649" s="7">
        <f>[1]!EM_S_VAL_PCF_NCFTTM(B2649,E2649)</f>
        <v>63.689269790511602</v>
      </c>
      <c r="Q2649" s="7">
        <f>[1]!EM_S_VAL_DIVIDENDYIELD2(B2649,E2649,"2019-11-29")</f>
        <v>0.4460093896713615</v>
      </c>
      <c r="T2649"/>
      <c r="U2649">
        <f>[1]!EM_S_RATIO_EPS_TTM(B2649,E2649,"1")</f>
        <v>0.3779447250636418</v>
      </c>
      <c r="AT2649" s="4" t="str">
        <f>[1]!EM_S_IPO_LISTEDDATE(B2649)</f>
        <v>1997-12-18</v>
      </c>
    </row>
    <row r="2650" spans="1:46">
      <c r="A2650">
        <v>2216</v>
      </c>
      <c r="B2650" t="str">
        <f>"600069"</f>
        <v>600069</v>
      </c>
      <c r="C2650" t="s">
        <v>2906</v>
      </c>
      <c r="D2650" t="str">
        <f>[1]!EM_S_INFO_INDEX_EM(B2650,"1")</f>
        <v>轻工制造</v>
      </c>
      <c r="E2650" s="4">
        <f t="shared" si="41"/>
        <v>43465</v>
      </c>
      <c r="F2650" s="11">
        <f>[1]!EM_S_PQ_PCTCHANGE(B2650,"2018-01-01","2019-12-31","3")</f>
        <v>-59.094993690000003</v>
      </c>
      <c r="G2650" s="11">
        <f>[1]!EM_S_PQ_PCTCHANGE(B2650,"2018-12-31","2019-12-30","1")</f>
        <v>-6.8728522300000003</v>
      </c>
      <c r="H2650" s="11">
        <f>[1]!EM_S_FA_YOY_OR(B2650,E2650)</f>
        <v>-3.479115814</v>
      </c>
      <c r="I2650" s="11">
        <f>[1]!EM_S_FA_GROSSPROFITMARGIN(B2650,E2650)</f>
        <v>5.5550477843000001</v>
      </c>
      <c r="J2650" s="11">
        <f>[1]!EM_S_FA_NETPROFITMARGIN(B2650,E2650)</f>
        <v>-3.5689983565999999</v>
      </c>
      <c r="K2650" s="10">
        <f>[1]!EM_S_FA_ASSETSTURN(B2650,E2650)</f>
        <v>0.65869097503200003</v>
      </c>
      <c r="L2650" s="12">
        <f>[1]!EM_HKS_VAL_MV(B2650,"2019-12-31","2")</f>
        <v>4335636363.4799995</v>
      </c>
      <c r="M2650">
        <f>[1]!EM_S_VAL_PETTMDEDUCTED(B2650,E2650)</f>
        <v>497.74609667437898</v>
      </c>
      <c r="N2650" s="7">
        <f>[1]!EM_S_VAL_PBGOODWILLDEDUCTED(B2650,E2650)</f>
        <v>2.3382669793561801</v>
      </c>
      <c r="O2650" s="7">
        <f>[1]!EM_S_VAL_PS_TTM(B2650,E2650)</f>
        <v>1.5920002304727401</v>
      </c>
      <c r="P2650" s="7">
        <f>[1]!EM_S_VAL_PCF_NCFTTM(B2650,E2650)</f>
        <v>-12.2761186422132</v>
      </c>
      <c r="Q2650" s="7">
        <f>[1]!EM_S_VAL_DIVIDENDYIELD2(B2650,E2650,"2019-11-29")</f>
        <v>0</v>
      </c>
      <c r="T2650"/>
      <c r="U2650">
        <f>[1]!EM_S_RATIO_EPS_TTM(B2650,E2650,"1")</f>
        <v>-5.4611477040997058E-2</v>
      </c>
      <c r="AT2650" s="4" t="str">
        <f>[1]!EM_S_IPO_LISTEDDATE(B2650)</f>
        <v>1997-04-30</v>
      </c>
    </row>
    <row r="2651" spans="1:46">
      <c r="A2651">
        <v>3232</v>
      </c>
      <c r="B2651" t="str">
        <f>"603036"</f>
        <v>603036</v>
      </c>
      <c r="C2651" t="s">
        <v>2743</v>
      </c>
      <c r="D2651" t="str">
        <f>[1]!EM_S_INFO_INDEX_EM(B2651,"1")</f>
        <v>机械设备</v>
      </c>
      <c r="E2651" s="4">
        <f t="shared" si="41"/>
        <v>43465</v>
      </c>
      <c r="F2651" s="11">
        <f>[1]!EM_S_PQ_PCTCHANGE(B2651,"2018-01-01","2019-12-31","3")</f>
        <v>-39.193996640000002</v>
      </c>
      <c r="G2651" s="11">
        <f>[1]!EM_S_PQ_PCTCHANGE(B2651,"2018-12-31","2019-12-30","1")</f>
        <v>-6.8811438799999998</v>
      </c>
      <c r="H2651" s="11">
        <f>[1]!EM_S_FA_YOY_OR(B2651,E2651)</f>
        <v>22.265774715300001</v>
      </c>
      <c r="I2651" s="11">
        <f>[1]!EM_S_FA_GROSSPROFITMARGIN(B2651,E2651)</f>
        <v>35.137347749500002</v>
      </c>
      <c r="J2651" s="11">
        <f>[1]!EM_S_FA_NETPROFITMARGIN(B2651,E2651)</f>
        <v>16.001210845700001</v>
      </c>
      <c r="K2651" s="10">
        <f>[1]!EM_S_FA_ASSETSTURN(B2651,E2651)</f>
        <v>0.218403713119</v>
      </c>
      <c r="L2651" s="12">
        <f>[1]!EM_HKS_VAL_MV(B2651,"2019-12-31","2")</f>
        <v>2206613430</v>
      </c>
      <c r="M2651">
        <f>[1]!EM_S_VAL_PETTMDEDUCTED(B2651,E2651)</f>
        <v>104.79556898823201</v>
      </c>
      <c r="N2651" s="7">
        <f>[1]!EM_S_VAL_PBGOODWILLDEDUCTED(B2651,E2651)</f>
        <v>2.2701174027089599</v>
      </c>
      <c r="O2651" s="7">
        <f>[1]!EM_S_VAL_PS_TTM(B2651,E2651)</f>
        <v>11.4082138689865</v>
      </c>
      <c r="P2651" s="7">
        <f>[1]!EM_S_VAL_PCF_NCFTTM(B2651,E2651)</f>
        <v>-6.4235615500022298</v>
      </c>
      <c r="Q2651" s="7">
        <f>[1]!EM_S_VAL_DIVIDENDYIELD2(B2651,E2651,"2019-11-29")</f>
        <v>0.55742481313117753</v>
      </c>
      <c r="T2651"/>
      <c r="U2651">
        <f>[1]!EM_S_RATIO_EPS_TTM(B2651,E2651,"1")</f>
        <v>0.1921637780782848</v>
      </c>
      <c r="AT2651" s="4" t="str">
        <f>[1]!EM_S_IPO_LISTEDDATE(B2651)</f>
        <v>2016-12-09</v>
      </c>
    </row>
    <row r="2652" spans="1:46">
      <c r="A2652">
        <v>209</v>
      </c>
      <c r="B2652" t="str">
        <f>"000606"</f>
        <v>000606</v>
      </c>
      <c r="C2652" t="s">
        <v>1772</v>
      </c>
      <c r="D2652" t="str">
        <f>[1]!EM_S_INFO_INDEX_EM(B2652,"1")</f>
        <v>互联网</v>
      </c>
      <c r="E2652" s="4">
        <f t="shared" si="41"/>
        <v>43465</v>
      </c>
      <c r="F2652" s="11">
        <f>[1]!EM_S_PQ_PCTCHANGE(B2652,"2018-01-01","2019-12-31","3")</f>
        <v>-37.780269060000002</v>
      </c>
      <c r="G2652" s="11">
        <f>[1]!EM_S_PQ_PCTCHANGE(B2652,"2018-12-31","2019-12-30","1")</f>
        <v>-6.8907562999999996</v>
      </c>
      <c r="H2652" s="11">
        <f>[1]!EM_S_FA_YOY_OR(B2652,E2652)</f>
        <v>42.487082513200001</v>
      </c>
      <c r="I2652" s="11">
        <f>[1]!EM_S_FA_GROSSPROFITMARGIN(B2652,E2652)</f>
        <v>41.461925259600001</v>
      </c>
      <c r="J2652" s="11">
        <f>[1]!EM_S_FA_NETPROFITMARGIN(B2652,E2652)</f>
        <v>15.105786890299999</v>
      </c>
      <c r="K2652" s="10">
        <f>[1]!EM_S_FA_ASSETSTURN(B2652,E2652)</f>
        <v>0.18368353797100001</v>
      </c>
      <c r="L2652" s="12">
        <f>[1]!EM_HKS_VAL_MV(B2652,"2019-12-31","2")</f>
        <v>4250186409.1500001</v>
      </c>
      <c r="M2652">
        <f>[1]!EM_S_VAL_PETTMDEDUCTED(B2652,E2652)</f>
        <v>61.239556929993903</v>
      </c>
      <c r="N2652" s="7">
        <f>[1]!EM_S_VAL_PBGOODWILLDEDUCTED(B2652,E2652)</f>
        <v>-69.496031299776007</v>
      </c>
      <c r="O2652" s="7">
        <f>[1]!EM_S_VAL_PS_TTM(B2652,E2652)</f>
        <v>6.3507692378912797</v>
      </c>
      <c r="P2652" s="7">
        <f>[1]!EM_S_VAL_PCF_NCFTTM(B2652,E2652)</f>
        <v>-24.813852927205001</v>
      </c>
      <c r="Q2652" s="7">
        <f>[1]!EM_S_VAL_DIVIDENDYIELD2(B2652,E2652,"2019-11-29")</f>
        <v>0</v>
      </c>
      <c r="T2652"/>
      <c r="U2652">
        <f>[1]!EM_S_RATIO_EPS_TTM(B2652,E2652,"1")</f>
        <v>0.12181061418316451</v>
      </c>
      <c r="AT2652" s="4" t="str">
        <f>[1]!EM_S_IPO_LISTEDDATE(B2652)</f>
        <v>1996-10-04</v>
      </c>
    </row>
    <row r="2653" spans="1:46">
      <c r="A2653">
        <v>3290</v>
      </c>
      <c r="B2653" t="str">
        <f>"603158"</f>
        <v>603158</v>
      </c>
      <c r="C2653" t="s">
        <v>1074</v>
      </c>
      <c r="D2653" t="str">
        <f>[1]!EM_S_INFO_INDEX_EM(B2653,"1")</f>
        <v>交运设备</v>
      </c>
      <c r="E2653" s="4">
        <f t="shared" si="41"/>
        <v>43465</v>
      </c>
      <c r="F2653" s="11">
        <f>[1]!EM_S_PQ_PCTCHANGE(B2653,"2018-01-01","2019-12-31","3")</f>
        <v>-14.03837468</v>
      </c>
      <c r="G2653" s="11">
        <f>[1]!EM_S_PQ_PCTCHANGE(B2653,"2018-12-31","2019-12-30","1")</f>
        <v>-6.9028711100000004</v>
      </c>
      <c r="H2653" s="11">
        <f>[1]!EM_S_FA_YOY_OR(B2653,E2653)</f>
        <v>12.649815870799999</v>
      </c>
      <c r="I2653" s="11">
        <f>[1]!EM_S_FA_GROSSPROFITMARGIN(B2653,E2653)</f>
        <v>31.4398548944</v>
      </c>
      <c r="J2653" s="11">
        <f>[1]!EM_S_FA_NETPROFITMARGIN(B2653,E2653)</f>
        <v>12.293490244799999</v>
      </c>
      <c r="K2653" s="10">
        <f>[1]!EM_S_FA_ASSETSTURN(B2653,E2653)</f>
        <v>0.64922488032299996</v>
      </c>
      <c r="L2653" s="12">
        <f>[1]!EM_HKS_VAL_MV(B2653,"2019-12-31","2")</f>
        <v>3350035328</v>
      </c>
      <c r="M2653">
        <f>[1]!EM_S_VAL_PETTMDEDUCTED(B2653,E2653)</f>
        <v>31.381295595116999</v>
      </c>
      <c r="N2653" s="7">
        <f>[1]!EM_S_VAL_PBGOODWILLDEDUCTED(B2653,E2653)</f>
        <v>4.0611842513853302</v>
      </c>
      <c r="O2653" s="7">
        <f>[1]!EM_S_VAL_PS_TTM(B2653,E2653)</f>
        <v>3.5654971268537499</v>
      </c>
      <c r="P2653" s="7">
        <f>[1]!EM_S_VAL_PCF_NCFTTM(B2653,E2653)</f>
        <v>101.048685283463</v>
      </c>
      <c r="Q2653" s="7">
        <f>[1]!EM_S_VAL_DIVIDENDYIELD2(B2653,E2653,"2019-11-29")</f>
        <v>0.99965257402084318</v>
      </c>
      <c r="T2653"/>
      <c r="U2653">
        <f>[1]!EM_S_RATIO_EPS_TTM(B2653,E2653,"1")</f>
        <v>0.5349967508234218</v>
      </c>
      <c r="AT2653" s="4" t="str">
        <f>[1]!EM_S_IPO_LISTEDDATE(B2653)</f>
        <v>2015-03-20</v>
      </c>
    </row>
    <row r="2654" spans="1:46">
      <c r="A2654">
        <v>1005</v>
      </c>
      <c r="B2654" t="str">
        <f>"002494"</f>
        <v>002494</v>
      </c>
      <c r="C2654" t="s">
        <v>3011</v>
      </c>
      <c r="D2654" t="str">
        <f>[1]!EM_S_INFO_INDEX_EM(B2654,"1")</f>
        <v>纺织服装</v>
      </c>
      <c r="E2654" s="4">
        <f t="shared" si="41"/>
        <v>43465</v>
      </c>
      <c r="F2654" s="11">
        <f>[1]!EM_S_PQ_PCTCHANGE(B2654,"2018-01-01","2019-12-31","3")</f>
        <v>-33.891795860000002</v>
      </c>
      <c r="G2654" s="11">
        <f>[1]!EM_S_PQ_PCTCHANGE(B2654,"2018-12-31","2019-12-30","1")</f>
        <v>-6.9078947399999997</v>
      </c>
      <c r="H2654" s="11">
        <f>[1]!EM_S_FA_YOY_OR(B2654,E2654)</f>
        <v>-20.913964717799999</v>
      </c>
      <c r="I2654" s="11">
        <f>[1]!EM_S_FA_GROSSPROFITMARGIN(B2654,E2654)</f>
        <v>25.778362668500002</v>
      </c>
      <c r="J2654" s="11">
        <f>[1]!EM_S_FA_NETPROFITMARGIN(B2654,E2654)</f>
        <v>2.6310552735999999</v>
      </c>
      <c r="K2654" s="10">
        <f>[1]!EM_S_FA_ASSETSTURN(B2654,E2654)</f>
        <v>0.19175074778699999</v>
      </c>
      <c r="L2654" s="12">
        <f>[1]!EM_HKS_VAL_MV(B2654,"2019-12-31","2")</f>
        <v>2259386393.48</v>
      </c>
      <c r="M2654">
        <f>[1]!EM_S_VAL_PETTMDEDUCTED(B2654,E2654)</f>
        <v>-28.319785724846199</v>
      </c>
      <c r="N2654" s="7">
        <f>[1]!EM_S_VAL_PBGOODWILLDEDUCTED(B2654,E2654)</f>
        <v>1.23999742279739</v>
      </c>
      <c r="O2654" s="7">
        <f>[1]!EM_S_VAL_PS_TTM(B2654,E2654)</f>
        <v>4.5079822850959896</v>
      </c>
      <c r="P2654" s="7">
        <f>[1]!EM_S_VAL_PCF_NCFTTM(B2654,E2654)</f>
        <v>-8.7683762313304499</v>
      </c>
      <c r="Q2654" s="7">
        <f>[1]!EM_S_VAL_DIVIDENDYIELD2(B2654,E2654,"2019-11-29")</f>
        <v>0.21733974358974359</v>
      </c>
      <c r="T2654"/>
      <c r="U2654">
        <f>[1]!EM_S_RATIO_EPS_TTM(B2654,E2654,"1")</f>
        <v>4.3742285685263796E-2</v>
      </c>
      <c r="AT2654" s="4" t="str">
        <f>[1]!EM_S_IPO_LISTEDDATE(B2654)</f>
        <v>2010-11-02</v>
      </c>
    </row>
    <row r="2655" spans="1:46">
      <c r="A2655">
        <v>3570</v>
      </c>
      <c r="B2655" t="str">
        <f>"603866"</f>
        <v>603866</v>
      </c>
      <c r="C2655" t="s">
        <v>657</v>
      </c>
      <c r="D2655" t="str">
        <f>[1]!EM_S_INFO_INDEX_EM(B2655,"1")</f>
        <v>食品饮料</v>
      </c>
      <c r="E2655" s="4">
        <f t="shared" si="41"/>
        <v>43465</v>
      </c>
      <c r="F2655" s="11">
        <f>[1]!EM_S_PQ_PCTCHANGE(B2655,"2018-01-01","2019-12-31","3")</f>
        <v>57.620508180000002</v>
      </c>
      <c r="G2655" s="11">
        <f>[1]!EM_S_PQ_PCTCHANGE(B2655,"2018-12-31","2019-12-30","1")</f>
        <v>-6.9087688199999997</v>
      </c>
      <c r="H2655" s="11">
        <f>[1]!EM_S_FA_YOY_OR(B2655,E2655)</f>
        <v>18.469886564599999</v>
      </c>
      <c r="I2655" s="11">
        <f>[1]!EM_S_FA_GROSSPROFITMARGIN(B2655,E2655)</f>
        <v>39.676021001899997</v>
      </c>
      <c r="J2655" s="11">
        <f>[1]!EM_S_FA_NETPROFITMARGIN(B2655,E2655)</f>
        <v>13.286160392799999</v>
      </c>
      <c r="K2655" s="10">
        <f>[1]!EM_S_FA_ASSETSTURN(B2655,E2655)</f>
        <v>1.299782033751</v>
      </c>
      <c r="L2655" s="12">
        <f>[1]!EM_HKS_VAL_MV(B2655,"2019-12-31","2")</f>
        <v>27962714416</v>
      </c>
      <c r="M2655">
        <f>[1]!EM_S_VAL_PETTMDEDUCTED(B2655,E2655)</f>
        <v>35.483284423380198</v>
      </c>
      <c r="N2655" s="7">
        <f>[1]!EM_S_VAL_PBGOODWILLDEDUCTED(B2655,E2655)</f>
        <v>6.2118743359964101</v>
      </c>
      <c r="O2655" s="7">
        <f>[1]!EM_S_VAL_PS_TTM(B2655,E2655)</f>
        <v>4.5718098652918204</v>
      </c>
      <c r="P2655" s="7">
        <f>[1]!EM_S_VAL_PCF_NCFTTM(B2655,E2655)</f>
        <v>25.213710433487702</v>
      </c>
      <c r="Q2655" s="7">
        <f>[1]!EM_S_VAL_DIVIDENDYIELD2(B2655,E2655,"2019-11-29")</f>
        <v>1.6465784100638874</v>
      </c>
      <c r="T2655"/>
      <c r="U2655">
        <f>[1]!EM_S_RATIO_EPS_TTM(B2655,E2655,"1")</f>
        <v>1.3644600535032063</v>
      </c>
      <c r="AT2655" s="4" t="str">
        <f>[1]!EM_S_IPO_LISTEDDATE(B2655)</f>
        <v>2015-12-22</v>
      </c>
    </row>
    <row r="2656" spans="1:46">
      <c r="A2656">
        <v>1476</v>
      </c>
      <c r="B2656" t="str">
        <f>"300050"</f>
        <v>300050</v>
      </c>
      <c r="C2656" t="s">
        <v>2739</v>
      </c>
      <c r="D2656" t="str">
        <f>[1]!EM_S_INFO_INDEX_EM(B2656,"1")</f>
        <v>信息技术</v>
      </c>
      <c r="E2656" s="4">
        <f t="shared" si="41"/>
        <v>43465</v>
      </c>
      <c r="F2656" s="11">
        <f>[1]!EM_S_PQ_PCTCHANGE(B2656,"2018-01-01","2019-12-31","3")</f>
        <v>-27.599517689999999</v>
      </c>
      <c r="G2656" s="11">
        <f>[1]!EM_S_PQ_PCTCHANGE(B2656,"2018-12-31","2019-12-30","1")</f>
        <v>-6.9243156199999998</v>
      </c>
      <c r="H2656" s="11">
        <f>[1]!EM_S_FA_YOY_OR(B2656,E2656)</f>
        <v>11.115561746199999</v>
      </c>
      <c r="I2656" s="11">
        <f>[1]!EM_S_FA_GROSSPROFITMARGIN(B2656,E2656)</f>
        <v>40.437017408599999</v>
      </c>
      <c r="J2656" s="11">
        <f>[1]!EM_S_FA_NETPROFITMARGIN(B2656,E2656)</f>
        <v>5.2699418104999998</v>
      </c>
      <c r="K2656" s="10">
        <f>[1]!EM_S_FA_ASSETSTURN(B2656,E2656)</f>
        <v>0.27356951440600003</v>
      </c>
      <c r="L2656" s="12">
        <f>[1]!EM_HKS_VAL_MV(B2656,"2019-12-31","2")</f>
        <v>3094729358.2399998</v>
      </c>
      <c r="M2656">
        <f>[1]!EM_S_VAL_PETTMDEDUCTED(B2656,E2656)</f>
        <v>71.876791814400704</v>
      </c>
      <c r="N2656" s="7">
        <f>[1]!EM_S_VAL_PBGOODWILLDEDUCTED(B2656,E2656)</f>
        <v>2.0477310215981599</v>
      </c>
      <c r="O2656" s="7">
        <f>[1]!EM_S_VAL_PS_TTM(B2656,E2656)</f>
        <v>3.2962475821882302</v>
      </c>
      <c r="P2656" s="7">
        <f>[1]!EM_S_VAL_PCF_NCFTTM(B2656,E2656)</f>
        <v>-9.3990467143673104</v>
      </c>
      <c r="Q2656" s="7">
        <f>[1]!EM_S_VAL_DIVIDENDYIELD2(B2656,E2656,"2019-11-29")</f>
        <v>0</v>
      </c>
      <c r="T2656"/>
      <c r="U2656">
        <f>[1]!EM_S_RATIO_EPS_TTM(B2656,E2656,"1")</f>
        <v>0.10405377400107602</v>
      </c>
      <c r="AT2656" s="4" t="str">
        <f>[1]!EM_S_IPO_LISTEDDATE(B2656)</f>
        <v>2010-01-20</v>
      </c>
    </row>
    <row r="2657" spans="1:46">
      <c r="A2657">
        <v>1051</v>
      </c>
      <c r="B2657" t="str">
        <f>"002540"</f>
        <v>002540</v>
      </c>
      <c r="C2657" t="s">
        <v>1551</v>
      </c>
      <c r="D2657" t="str">
        <f>[1]!EM_S_INFO_INDEX_EM(B2657,"1")</f>
        <v>有色金属</v>
      </c>
      <c r="E2657" s="4">
        <f t="shared" si="41"/>
        <v>43465</v>
      </c>
      <c r="F2657" s="11">
        <f>[1]!EM_S_PQ_PCTCHANGE(B2657,"2018-01-01","2019-12-31","3")</f>
        <v>-37.375488279999999</v>
      </c>
      <c r="G2657" s="11">
        <f>[1]!EM_S_PQ_PCTCHANGE(B2657,"2018-12-31","2019-12-30","1")</f>
        <v>-6.9264069299999997</v>
      </c>
      <c r="H2657" s="11">
        <f>[1]!EM_S_FA_YOY_OR(B2657,E2657)</f>
        <v>5.3569623377999998</v>
      </c>
      <c r="I2657" s="11">
        <f>[1]!EM_S_FA_GROSSPROFITMARGIN(B2657,E2657)</f>
        <v>20.720100332800001</v>
      </c>
      <c r="J2657" s="11">
        <f>[1]!EM_S_FA_NETPROFITMARGIN(B2657,E2657)</f>
        <v>10.447829732000001</v>
      </c>
      <c r="K2657" s="10">
        <f>[1]!EM_S_FA_ASSETSTURN(B2657,E2657)</f>
        <v>0.68589097034299995</v>
      </c>
      <c r="L2657" s="12">
        <f>[1]!EM_HKS_VAL_MV(B2657,"2019-12-31","2")</f>
        <v>5412455670</v>
      </c>
      <c r="M2657">
        <f>[1]!EM_S_VAL_PETTMDEDUCTED(B2657,E2657)</f>
        <v>18.946668385619699</v>
      </c>
      <c r="N2657" s="7">
        <f>[1]!EM_S_VAL_PBGOODWILLDEDUCTED(B2657,E2657)</f>
        <v>1.1996635449591</v>
      </c>
      <c r="O2657" s="7">
        <f>[1]!EM_S_VAL_PS_TTM(B2657,E2657)</f>
        <v>1.6034982687903201</v>
      </c>
      <c r="P2657" s="7">
        <f>[1]!EM_S_VAL_PCF_NCFTTM(B2657,E2657)</f>
        <v>65.577758477394198</v>
      </c>
      <c r="Q2657" s="7">
        <f>[1]!EM_S_VAL_DIVIDENDYIELD2(B2657,E2657,"2019-11-29")</f>
        <v>7.8890886699507394</v>
      </c>
      <c r="T2657"/>
      <c r="U2657">
        <f>[1]!EM_S_RATIO_EPS_TTM(B2657,E2657,"1")</f>
        <v>0.29521546854283981</v>
      </c>
      <c r="AT2657" s="4" t="str">
        <f>[1]!EM_S_IPO_LISTEDDATE(B2657)</f>
        <v>2011-01-18</v>
      </c>
    </row>
    <row r="2658" spans="1:46">
      <c r="A2658">
        <v>770</v>
      </c>
      <c r="B2658" t="str">
        <f>"002259"</f>
        <v>002259</v>
      </c>
      <c r="C2658" t="s">
        <v>3328</v>
      </c>
      <c r="D2658" t="str">
        <f>[1]!EM_S_INFO_INDEX_EM(B2658,"1")</f>
        <v>公用事业</v>
      </c>
      <c r="E2658" s="4">
        <f t="shared" si="41"/>
        <v>43465</v>
      </c>
      <c r="F2658" s="11">
        <f>[1]!EM_S_PQ_PCTCHANGE(B2658,"2018-01-01","2019-12-31","3")</f>
        <v>-63.754045310000002</v>
      </c>
      <c r="G2658" s="11">
        <f>[1]!EM_S_PQ_PCTCHANGE(B2658,"2018-12-31","2019-12-30","1")</f>
        <v>-6.9868995600000003</v>
      </c>
      <c r="H2658" s="11">
        <f>[1]!EM_S_FA_YOY_OR(B2658,E2658)</f>
        <v>-18.467190690900001</v>
      </c>
      <c r="I2658" s="11">
        <f>[1]!EM_S_FA_GROSSPROFITMARGIN(B2658,E2658)</f>
        <v>13.0003867593</v>
      </c>
      <c r="J2658" s="11">
        <f>[1]!EM_S_FA_NETPROFITMARGIN(B2658,E2658)</f>
        <v>-19.886142344300001</v>
      </c>
      <c r="K2658" s="10">
        <f>[1]!EM_S_FA_ASSETSTURN(B2658,E2658)</f>
        <v>0.31967926161999999</v>
      </c>
      <c r="L2658" s="12">
        <f>[1]!EM_HKS_VAL_MV(B2658,"2019-12-31","2")</f>
        <v>1685215318.0799999</v>
      </c>
      <c r="M2658">
        <f>[1]!EM_S_VAL_PETTMDEDUCTED(B2658,E2658)</f>
        <v>-31.077782564332001</v>
      </c>
      <c r="N2658" s="7">
        <f>[1]!EM_S_VAL_PBGOODWILLDEDUCTED(B2658,E2658)</f>
        <v>1.1651262600363801</v>
      </c>
      <c r="O2658" s="7">
        <f>[1]!EM_S_VAL_PS_TTM(B2658,E2658)</f>
        <v>1.5345075255618601</v>
      </c>
      <c r="P2658" s="7">
        <f>[1]!EM_S_VAL_PCF_NCFTTM(B2658,E2658)</f>
        <v>-1.7022473807790099</v>
      </c>
      <c r="Q2658" s="7">
        <f>[1]!EM_S_VAL_DIVIDENDYIELD2(B2658,E2658,"2019-11-29")</f>
        <v>0</v>
      </c>
      <c r="T2658"/>
      <c r="U2658">
        <f>[1]!EM_S_RATIO_EPS_TTM(B2658,E2658,"1")</f>
        <v>-0.2367660764765602</v>
      </c>
      <c r="AT2658" s="4" t="str">
        <f>[1]!EM_S_IPO_LISTEDDATE(B2658)</f>
        <v>2008-07-16</v>
      </c>
    </row>
    <row r="2659" spans="1:46">
      <c r="A2659">
        <v>1760</v>
      </c>
      <c r="B2659" t="str">
        <f>"300335"</f>
        <v>300335</v>
      </c>
      <c r="C2659" t="s">
        <v>296</v>
      </c>
      <c r="D2659" t="str">
        <f>[1]!EM_S_INFO_INDEX_EM(B2659,"1")</f>
        <v>公用事业</v>
      </c>
      <c r="E2659" s="4">
        <f t="shared" si="41"/>
        <v>43465</v>
      </c>
      <c r="F2659" s="11">
        <f>[1]!EM_S_PQ_PCTCHANGE(B2659,"2018-01-01","2019-12-31","3")</f>
        <v>-65.305122569999995</v>
      </c>
      <c r="G2659" s="11">
        <f>[1]!EM_S_PQ_PCTCHANGE(B2659,"2018-12-31","2019-12-30","1")</f>
        <v>-7.01754386</v>
      </c>
      <c r="H2659" s="11">
        <f>[1]!EM_S_FA_YOY_OR(B2659,E2659)</f>
        <v>-7.5552501902999998</v>
      </c>
      <c r="I2659" s="11">
        <f>[1]!EM_S_FA_GROSSPROFITMARGIN(B2659,E2659)</f>
        <v>31.374061744399999</v>
      </c>
      <c r="J2659" s="11">
        <f>[1]!EM_S_FA_NETPROFITMARGIN(B2659,E2659)</f>
        <v>11.728500154500001</v>
      </c>
      <c r="K2659" s="10">
        <f>[1]!EM_S_FA_ASSETSTURN(B2659,E2659)</f>
        <v>0.52098672966500004</v>
      </c>
      <c r="L2659" s="12">
        <f>[1]!EM_HKS_VAL_MV(B2659,"2019-12-31","2")</f>
        <v>2108553783.3499999</v>
      </c>
      <c r="M2659">
        <f>[1]!EM_S_VAL_PETTMDEDUCTED(B2659,E2659)</f>
        <v>11.5027615205739</v>
      </c>
      <c r="N2659" s="7">
        <f>[1]!EM_S_VAL_PBGOODWILLDEDUCTED(B2659,E2659)</f>
        <v>2.1600813537449799</v>
      </c>
      <c r="O2659" s="7">
        <f>[1]!EM_S_VAL_PS_TTM(B2659,E2659)</f>
        <v>1.17056226862623</v>
      </c>
      <c r="P2659" s="7">
        <f>[1]!EM_S_VAL_PCF_NCFTTM(B2659,E2659)</f>
        <v>-45.4633788828191</v>
      </c>
      <c r="Q2659" s="7">
        <f>[1]!EM_S_VAL_DIVIDENDYIELD2(B2659,E2659,"2019-11-29")</f>
        <v>3.6036022233949083</v>
      </c>
      <c r="T2659"/>
      <c r="U2659">
        <f>[1]!EM_S_RATIO_EPS_TTM(B2659,E2659,"1")</f>
        <v>0.44538411956828267</v>
      </c>
      <c r="AT2659" s="4" t="str">
        <f>[1]!EM_S_IPO_LISTEDDATE(B2659)</f>
        <v>2012-07-10</v>
      </c>
    </row>
    <row r="2660" spans="1:46">
      <c r="A2660">
        <v>1031</v>
      </c>
      <c r="B2660" t="str">
        <f>"002520"</f>
        <v>002520</v>
      </c>
      <c r="C2660" t="s">
        <v>2129</v>
      </c>
      <c r="D2660" t="str">
        <f>[1]!EM_S_INFO_INDEX_EM(B2660,"1")</f>
        <v>机械设备</v>
      </c>
      <c r="E2660" s="4">
        <f t="shared" si="41"/>
        <v>43465</v>
      </c>
      <c r="F2660" s="11">
        <f>[1]!EM_S_PQ_PCTCHANGE(B2660,"2018-01-01","2019-12-31","3")</f>
        <v>-33.471343060000002</v>
      </c>
      <c r="G2660" s="11">
        <f>[1]!EM_S_PQ_PCTCHANGE(B2660,"2018-12-31","2019-12-30","1")</f>
        <v>-7.0539419099999998</v>
      </c>
      <c r="H2660" s="11">
        <f>[1]!EM_S_FA_YOY_OR(B2660,E2660)</f>
        <v>26.9515511878</v>
      </c>
      <c r="I2660" s="11">
        <f>[1]!EM_S_FA_GROSSPROFITMARGIN(B2660,E2660)</f>
        <v>36.970109922699997</v>
      </c>
      <c r="J2660" s="11">
        <f>[1]!EM_S_FA_NETPROFITMARGIN(B2660,E2660)</f>
        <v>9.5322360687999996</v>
      </c>
      <c r="K2660" s="10">
        <f>[1]!EM_S_FA_ASSETSTURN(B2660,E2660)</f>
        <v>0.470303908406</v>
      </c>
      <c r="L2660" s="12">
        <f>[1]!EM_HKS_VAL_MV(B2660,"2019-12-31","2")</f>
        <v>5071830544.2200003</v>
      </c>
      <c r="M2660">
        <f>[1]!EM_S_VAL_PETTMDEDUCTED(B2660,E2660)</f>
        <v>76.235603667002195</v>
      </c>
      <c r="N2660" s="7">
        <f>[1]!EM_S_VAL_PBGOODWILLDEDUCTED(B2660,E2660)</f>
        <v>1.8047428668660701</v>
      </c>
      <c r="O2660" s="7">
        <f>[1]!EM_S_VAL_PS_TTM(B2660,E2660)</f>
        <v>3.4674618843000502</v>
      </c>
      <c r="P2660" s="7">
        <f>[1]!EM_S_VAL_PCF_NCFTTM(B2660,E2660)</f>
        <v>-53.3553862749419</v>
      </c>
      <c r="Q2660" s="7">
        <f>[1]!EM_S_VAL_DIVIDENDYIELD2(B2660,E2660,"2019-11-29")</f>
        <v>1.5959569377990428</v>
      </c>
      <c r="T2660"/>
      <c r="U2660">
        <f>[1]!EM_S_RATIO_EPS_TTM(B2660,E2660,"1")</f>
        <v>0.27235721922484257</v>
      </c>
      <c r="AT2660" s="4" t="str">
        <f>[1]!EM_S_IPO_LISTEDDATE(B2660)</f>
        <v>2010-12-10</v>
      </c>
    </row>
    <row r="2661" spans="1:46">
      <c r="A2661">
        <v>235</v>
      </c>
      <c r="B2661" t="str">
        <f>"000635"</f>
        <v>000635</v>
      </c>
      <c r="C2661" t="s">
        <v>2163</v>
      </c>
      <c r="D2661" t="str">
        <f>[1]!EM_S_INFO_INDEX_EM(B2661,"1")</f>
        <v>基础化工</v>
      </c>
      <c r="E2661" s="4">
        <f t="shared" si="41"/>
        <v>43465</v>
      </c>
      <c r="F2661" s="11">
        <f>[1]!EM_S_PQ_PCTCHANGE(B2661,"2018-01-01","2019-12-31","3")</f>
        <v>-39.926772579999998</v>
      </c>
      <c r="G2661" s="11">
        <f>[1]!EM_S_PQ_PCTCHANGE(B2661,"2018-12-31","2019-12-30","1")</f>
        <v>-7.0588235299999997</v>
      </c>
      <c r="H2661" s="11">
        <f>[1]!EM_S_FA_YOY_OR(B2661,E2661)</f>
        <v>1.117665895</v>
      </c>
      <c r="I2661" s="11">
        <f>[1]!EM_S_FA_GROSSPROFITMARGIN(B2661,E2661)</f>
        <v>14.9514038701</v>
      </c>
      <c r="J2661" s="11">
        <f>[1]!EM_S_FA_NETPROFITMARGIN(B2661,E2661)</f>
        <v>1.3509979909000001</v>
      </c>
      <c r="K2661" s="10">
        <f>[1]!EM_S_FA_ASSETSTURN(B2661,E2661)</f>
        <v>0.60398644249400002</v>
      </c>
      <c r="L2661" s="12">
        <f>[1]!EM_HKS_VAL_MV(B2661,"2019-12-31","2")</f>
        <v>2382268551.7199998</v>
      </c>
      <c r="M2661">
        <f>[1]!EM_S_VAL_PETTMDEDUCTED(B2661,E2661)</f>
        <v>33.1728008408653</v>
      </c>
      <c r="N2661" s="7">
        <f>[1]!EM_S_VAL_PBGOODWILLDEDUCTED(B2661,E2661)</f>
        <v>0.97404466965858505</v>
      </c>
      <c r="O2661" s="7">
        <f>[1]!EM_S_VAL_PS_TTM(B2661,E2661)</f>
        <v>1.36990978887001</v>
      </c>
      <c r="P2661" s="7">
        <f>[1]!EM_S_VAL_PCF_NCFTTM(B2661,E2661)</f>
        <v>-14.725059938884</v>
      </c>
      <c r="Q2661" s="7">
        <f>[1]!EM_S_VAL_DIVIDENDYIELD2(B2661,E2661,"2019-11-29")</f>
        <v>1.095890410958904</v>
      </c>
      <c r="T2661"/>
      <c r="U2661">
        <f>[1]!EM_S_RATIO_EPS_TTM(B2661,E2661,"1")</f>
        <v>8.8576349982141478E-2</v>
      </c>
      <c r="AT2661" s="4" t="str">
        <f>[1]!EM_S_IPO_LISTEDDATE(B2661)</f>
        <v>1996-11-20</v>
      </c>
    </row>
    <row r="2662" spans="1:46">
      <c r="A2662">
        <v>1512</v>
      </c>
      <c r="B2662" t="str">
        <f>"300087"</f>
        <v>300087</v>
      </c>
      <c r="C2662" t="s">
        <v>2414</v>
      </c>
      <c r="D2662" t="str">
        <f>[1]!EM_S_INFO_INDEX_EM(B2662,"1")</f>
        <v>农林牧渔</v>
      </c>
      <c r="E2662" s="4">
        <f t="shared" si="41"/>
        <v>43465</v>
      </c>
      <c r="F2662" s="11">
        <f>[1]!EM_S_PQ_PCTCHANGE(B2662,"2018-01-01","2019-12-31","3")</f>
        <v>-5.79713704</v>
      </c>
      <c r="G2662" s="11">
        <f>[1]!EM_S_PQ_PCTCHANGE(B2662,"2018-12-31","2019-12-30","1")</f>
        <v>-7.1150097499999996</v>
      </c>
      <c r="H2662" s="11">
        <f>[1]!EM_S_FA_YOY_OR(B2662,E2662)</f>
        <v>-3.9210409326</v>
      </c>
      <c r="I2662" s="11">
        <f>[1]!EM_S_FA_GROSSPROFITMARGIN(B2662,E2662)</f>
        <v>43.108390678100001</v>
      </c>
      <c r="J2662" s="11">
        <f>[1]!EM_S_FA_NETPROFITMARGIN(B2662,E2662)</f>
        <v>10.178311183</v>
      </c>
      <c r="K2662" s="10">
        <f>[1]!EM_S_FA_ASSETSTURN(B2662,E2662)</f>
        <v>0.52111258335199995</v>
      </c>
      <c r="L2662" s="12">
        <f>[1]!EM_HKS_VAL_MV(B2662,"2019-12-31","2")</f>
        <v>4359243619.2299995</v>
      </c>
      <c r="M2662">
        <f>[1]!EM_S_VAL_PETTMDEDUCTED(B2662,E2662)</f>
        <v>108.98487887310699</v>
      </c>
      <c r="N2662" s="7">
        <f>[1]!EM_S_VAL_PBGOODWILLDEDUCTED(B2662,E2662)</f>
        <v>5.7054320335700801</v>
      </c>
      <c r="O2662" s="7">
        <f>[1]!EM_S_VAL_PS_TTM(B2662,E2662)</f>
        <v>4.6957121384652298</v>
      </c>
      <c r="P2662" s="7">
        <f>[1]!EM_S_VAL_PCF_NCFTTM(B2662,E2662)</f>
        <v>-180.59022349902301</v>
      </c>
      <c r="Q2662" s="7">
        <f>[1]!EM_S_VAL_DIVIDENDYIELD2(B2662,E2662,"2019-11-29")</f>
        <v>0.38709677419354832</v>
      </c>
      <c r="T2662"/>
      <c r="U2662">
        <f>[1]!EM_S_RATIO_EPS_TTM(B2662,E2662,"1")</f>
        <v>0.15876849198856011</v>
      </c>
      <c r="AT2662" s="4" t="str">
        <f>[1]!EM_S_IPO_LISTEDDATE(B2662)</f>
        <v>2010-05-26</v>
      </c>
    </row>
    <row r="2663" spans="1:46">
      <c r="A2663">
        <v>38</v>
      </c>
      <c r="B2663" t="str">
        <f>"000038"</f>
        <v>000038</v>
      </c>
      <c r="C2663" t="s">
        <v>2279</v>
      </c>
      <c r="D2663" t="str">
        <f>[1]!EM_S_INFO_INDEX_EM(B2663,"1")</f>
        <v>互联网</v>
      </c>
      <c r="E2663" s="4">
        <f t="shared" si="41"/>
        <v>43465</v>
      </c>
      <c r="F2663" s="11">
        <f>[1]!EM_S_PQ_PCTCHANGE(B2663,"2018-01-01","2019-12-31","3")</f>
        <v>-41.685708069999997</v>
      </c>
      <c r="G2663" s="11">
        <f>[1]!EM_S_PQ_PCTCHANGE(B2663,"2019-01-01","2019-12-31","3")</f>
        <v>-7.1316614400000002</v>
      </c>
      <c r="H2663" s="11">
        <f>[1]!EM_S_FA_YOY_OR(B2663,E2663)</f>
        <v>70.113210764200005</v>
      </c>
      <c r="I2663" s="11">
        <f>[1]!EM_S_FA_GROSSPROFITMARGIN(B2663,E2663)</f>
        <v>7.4661183378000002</v>
      </c>
      <c r="J2663" s="11">
        <f>[1]!EM_S_FA_NETPROFITMARGIN(B2663,E2663)</f>
        <v>-91.570428886100004</v>
      </c>
      <c r="K2663" s="10">
        <f>[1]!EM_S_FA_ASSETSTURN(B2663,E2663)</f>
        <v>0.57470570727799997</v>
      </c>
      <c r="L2663" s="12">
        <f>[1]!EM_HKS_VAL_MV(B2663,"2019-12-31","2")</f>
        <v>6194912415.1499996</v>
      </c>
      <c r="M2663">
        <f>[1]!EM_S_VAL_PETTMDEDUCTED(B2663,E2663)</f>
        <v>24.6249024541656</v>
      </c>
      <c r="N2663" s="7">
        <f>[1]!EM_S_VAL_PBGOODWILLDEDUCTED(B2663,E2663)</f>
        <v>2.5198741725437901</v>
      </c>
      <c r="O2663" s="7">
        <f>[1]!EM_S_VAL_PS_TTM(B2663,E2663)</f>
        <v>2.6263118155652498</v>
      </c>
      <c r="P2663" s="7">
        <f>[1]!EM_S_VAL_PCF_NCFTTM(B2663,E2663)</f>
        <v>-40.159708393937599</v>
      </c>
      <c r="Q2663" s="7">
        <f>[1]!EM_S_VAL_DIVIDENDYIELD2(B2663,E2663,"2019-11-29")</f>
        <v>0</v>
      </c>
      <c r="T2663"/>
      <c r="U2663">
        <f>[1]!EM_S_RATIO_EPS_TTM(B2663,E2663,"1")</f>
        <v>-4.494574891211971</v>
      </c>
      <c r="AT2663" s="4" t="str">
        <f>[1]!EM_S_IPO_LISTEDDATE(B2663)</f>
        <v>1994-08-08</v>
      </c>
    </row>
    <row r="2664" spans="1:46">
      <c r="A2664">
        <v>2499</v>
      </c>
      <c r="B2664" t="str">
        <f>"600381"</f>
        <v>600381</v>
      </c>
      <c r="C2664" t="s">
        <v>1471</v>
      </c>
      <c r="D2664" t="str">
        <f>[1]!EM_S_INFO_INDEX_EM(B2664,"1")</f>
        <v>食品饮料</v>
      </c>
      <c r="E2664" s="4">
        <f t="shared" si="41"/>
        <v>43465</v>
      </c>
      <c r="F2664" s="11">
        <f>[1]!EM_S_PQ_PCTCHANGE(B2664,"2018-01-01","2019-12-31","3")</f>
        <v>-49.198868990000001</v>
      </c>
      <c r="G2664" s="11">
        <f>[1]!EM_S_PQ_PCTCHANGE(B2664,"2018-12-31","2019-12-30","1")</f>
        <v>-7.1428571400000003</v>
      </c>
      <c r="H2664" s="11">
        <f>[1]!EM_S_FA_YOY_OR(B2664,E2664)</f>
        <v>-29.313027106900002</v>
      </c>
      <c r="I2664" s="11">
        <f>[1]!EM_S_FA_GROSSPROFITMARGIN(B2664,E2664)</f>
        <v>29.6435533581</v>
      </c>
      <c r="J2664" s="11">
        <f>[1]!EM_S_FA_NETPROFITMARGIN(B2664,E2664)</f>
        <v>20.6156434418</v>
      </c>
      <c r="K2664" s="10">
        <f>[1]!EM_S_FA_ASSETSTURN(B2664,E2664)</f>
        <v>0.136900641958</v>
      </c>
      <c r="L2664" s="12">
        <f>[1]!EM_HKS_VAL_MV(B2664,"2019-12-31","2")</f>
        <v>3164257393.9899998</v>
      </c>
      <c r="M2664">
        <f>[1]!EM_S_VAL_PETTMDEDUCTED(B2664,E2664)</f>
        <v>22.134316997129599</v>
      </c>
      <c r="N2664" s="7">
        <f>[1]!EM_S_VAL_PBGOODWILLDEDUCTED(B2664,E2664)</f>
        <v>1.4183739349033</v>
      </c>
      <c r="O2664" s="7">
        <f>[1]!EM_S_VAL_PS_TTM(B2664,E2664)</f>
        <v>9.4163148593246504</v>
      </c>
      <c r="P2664" s="7">
        <f>[1]!EM_S_VAL_PCF_NCFTTM(B2664,E2664)</f>
        <v>9.5954241385785597</v>
      </c>
      <c r="Q2664" s="7">
        <f>[1]!EM_S_VAL_DIVIDENDYIELD2(B2664,E2664,"2019-11-29")</f>
        <v>0</v>
      </c>
      <c r="T2664"/>
      <c r="U2664">
        <f>[1]!EM_S_RATIO_EPS_TTM(B2664,E2664,"1")</f>
        <v>0.11639132503491485</v>
      </c>
      <c r="AT2664" s="4" t="str">
        <f>[1]!EM_S_IPO_LISTEDDATE(B2664)</f>
        <v>2001-05-08</v>
      </c>
    </row>
    <row r="2665" spans="1:46">
      <c r="A2665">
        <v>3072</v>
      </c>
      <c r="B2665" t="str">
        <f>"601186"</f>
        <v>601186</v>
      </c>
      <c r="C2665" t="s">
        <v>1063</v>
      </c>
      <c r="D2665" t="str">
        <f>[1]!EM_S_INFO_INDEX_EM(B2665,"1")</f>
        <v>建筑</v>
      </c>
      <c r="E2665" s="4">
        <f t="shared" si="41"/>
        <v>43465</v>
      </c>
      <c r="F2665" s="11">
        <f>[1]!EM_S_PQ_PCTCHANGE(B2665,"2018-01-01","2019-12-31","3")</f>
        <v>-5.0497163499999997</v>
      </c>
      <c r="G2665" s="11">
        <f>[1]!EM_S_PQ_PCTCHANGE(B2665,"2018-12-31","2019-12-30","1")</f>
        <v>-7.1757129700000002</v>
      </c>
      <c r="H2665" s="11">
        <f>[1]!EM_S_FA_YOY_OR(B2665,E2665)</f>
        <v>7.2163406666999999</v>
      </c>
      <c r="I2665" s="11">
        <f>[1]!EM_S_FA_GROSSPROFITMARGIN(B2665,E2665)</f>
        <v>9.7807868808999991</v>
      </c>
      <c r="J2665" s="11">
        <f>[1]!EM_S_FA_NETPROFITMARGIN(B2665,E2665)</f>
        <v>2.7171321513</v>
      </c>
      <c r="K2665" s="10">
        <f>[1]!EM_S_FA_ASSETSTURN(B2665,E2665)</f>
        <v>0.83943510683900002</v>
      </c>
      <c r="L2665" s="12">
        <f>[1]!EM_HKS_VAL_MV(B2665,"2019-12-31","2")</f>
        <v>137696550810</v>
      </c>
      <c r="M2665">
        <f>[1]!EM_S_VAL_PETTMDEDUCTED(B2665,E2665)</f>
        <v>8.7035490775664499</v>
      </c>
      <c r="N2665" s="7">
        <f>[1]!EM_S_VAL_PBGOODWILLDEDUCTED(B2665,E2665)</f>
        <v>0.98888805492810805</v>
      </c>
      <c r="O2665" s="7">
        <f>[1]!EM_S_VAL_PS_TTM(B2665,E2665)</f>
        <v>0.207764150456379</v>
      </c>
      <c r="P2665" s="7">
        <f>[1]!EM_S_VAL_PCF_NCFTTM(B2665,E2665)</f>
        <v>-28.037628016389199</v>
      </c>
      <c r="Q2665" s="7">
        <f>[1]!EM_S_VAL_DIVIDENDYIELD2(B2665,E2665,"2019-11-29")</f>
        <v>2.1716649431230612</v>
      </c>
      <c r="T2665"/>
      <c r="U2665">
        <f>[1]!EM_S_RATIO_EPS_TTM(B2665,E2665,"1")</f>
        <v>1.3207574791829311</v>
      </c>
      <c r="AT2665" s="4" t="str">
        <f>[1]!EM_S_IPO_LISTEDDATE(B2665)</f>
        <v>2008-03-10</v>
      </c>
    </row>
    <row r="2666" spans="1:46">
      <c r="A2666">
        <v>996</v>
      </c>
      <c r="B2666" t="str">
        <f>"002485"</f>
        <v>002485</v>
      </c>
      <c r="C2666" t="s">
        <v>3281</v>
      </c>
      <c r="D2666" t="str">
        <f>[1]!EM_S_INFO_INDEX_EM(B2666,"1")</f>
        <v>纺织服装</v>
      </c>
      <c r="E2666" s="4">
        <f t="shared" si="41"/>
        <v>43465</v>
      </c>
      <c r="F2666" s="11">
        <f>[1]!EM_S_PQ_PCTCHANGE(B2666,"2018-01-01","2019-12-31","3")</f>
        <v>-55.294465340000002</v>
      </c>
      <c r="G2666" s="11">
        <f>[1]!EM_S_PQ_PCTCHANGE(B2666,"2018-12-31","2019-12-30","1")</f>
        <v>-7.2463768100000001</v>
      </c>
      <c r="H2666" s="11">
        <f>[1]!EM_S_FA_YOY_OR(B2666,E2666)</f>
        <v>121.9913813645</v>
      </c>
      <c r="I2666" s="11">
        <f>[1]!EM_S_FA_GROSSPROFITMARGIN(B2666,E2666)</f>
        <v>16.6055823847</v>
      </c>
      <c r="J2666" s="11">
        <f>[1]!EM_S_FA_NETPROFITMARGIN(B2666,E2666)</f>
        <v>8.3940826917999996</v>
      </c>
      <c r="K2666" s="10">
        <f>[1]!EM_S_FA_ASSETSTURN(B2666,E2666)</f>
        <v>0.60929866607799998</v>
      </c>
      <c r="L2666" s="12">
        <f>[1]!EM_HKS_VAL_MV(B2666,"2019-12-31","2")</f>
        <v>3748160000</v>
      </c>
      <c r="M2666">
        <f>[1]!EM_S_VAL_PETTMDEDUCTED(B2666,E2666)</f>
        <v>-229.95066577034899</v>
      </c>
      <c r="N2666" s="7">
        <f>[1]!EM_S_VAL_PBGOODWILLDEDUCTED(B2666,E2666)</f>
        <v>1.8593747153495099</v>
      </c>
      <c r="O2666" s="7">
        <f>[1]!EM_S_VAL_PS_TTM(B2666,E2666)</f>
        <v>3.3924494709145598</v>
      </c>
      <c r="P2666" s="7">
        <f>[1]!EM_S_VAL_PCF_NCFTTM(B2666,E2666)</f>
        <v>-107.739211645842</v>
      </c>
      <c r="Q2666" s="7">
        <f>[1]!EM_S_VAL_DIVIDENDYIELD2(B2666,E2666,"2019-11-29")</f>
        <v>0.37643207855973815</v>
      </c>
      <c r="T2666"/>
      <c r="U2666">
        <f>[1]!EM_S_RATIO_EPS_TTM(B2666,E2666,"1")</f>
        <v>0.23693370700367647</v>
      </c>
      <c r="AT2666" s="4" t="str">
        <f>[1]!EM_S_IPO_LISTEDDATE(B2666)</f>
        <v>2010-10-15</v>
      </c>
    </row>
    <row r="2667" spans="1:46">
      <c r="A2667">
        <v>3396</v>
      </c>
      <c r="B2667" t="str">
        <f>"603398"</f>
        <v>603398</v>
      </c>
      <c r="C2667" t="s">
        <v>2155</v>
      </c>
      <c r="D2667" t="str">
        <f>[1]!EM_S_INFO_INDEX_EM(B2667,"1")</f>
        <v>轻工制造</v>
      </c>
      <c r="E2667" s="4">
        <f t="shared" si="41"/>
        <v>43465</v>
      </c>
      <c r="F2667" s="11">
        <f>[1]!EM_S_PQ_PCTCHANGE(B2667,"2018-01-01","2019-12-31","3")</f>
        <v>-9.4154070099999991</v>
      </c>
      <c r="G2667" s="11">
        <f>[1]!EM_S_PQ_PCTCHANGE(B2667,"2018-12-31","2019-12-30","1")</f>
        <v>-7.2529465100000001</v>
      </c>
      <c r="H2667" s="11">
        <f>[1]!EM_S_FA_YOY_OR(B2667,E2667)</f>
        <v>17.5828685593</v>
      </c>
      <c r="I2667" s="11">
        <f>[1]!EM_S_FA_GROSSPROFITMARGIN(B2667,E2667)</f>
        <v>32.662274478</v>
      </c>
      <c r="J2667" s="11">
        <f>[1]!EM_S_FA_NETPROFITMARGIN(B2667,E2667)</f>
        <v>10.8215601934</v>
      </c>
      <c r="K2667" s="10">
        <f>[1]!EM_S_FA_ASSETSTURN(B2667,E2667)</f>
        <v>0.45512135396600001</v>
      </c>
      <c r="L2667" s="12">
        <f>[1]!EM_HKS_VAL_MV(B2667,"2019-12-31","2")</f>
        <v>3011249248</v>
      </c>
      <c r="M2667">
        <f>[1]!EM_S_VAL_PETTMDEDUCTED(B2667,E2667)</f>
        <v>58.240745690395798</v>
      </c>
      <c r="N2667" s="7">
        <f>[1]!EM_S_VAL_PBGOODWILLDEDUCTED(B2667,E2667)</f>
        <v>6.7082772640608201</v>
      </c>
      <c r="O2667" s="7">
        <f>[1]!EM_S_VAL_PS_TTM(B2667,E2667)</f>
        <v>6.6888081931878602</v>
      </c>
      <c r="P2667" s="7">
        <f>[1]!EM_S_VAL_PCF_NCFTTM(B2667,E2667)</f>
        <v>-39.3550659745544</v>
      </c>
      <c r="Q2667" s="7">
        <f>[1]!EM_S_VAL_DIVIDENDYIELD2(B2667,E2667,"2019-11-29")</f>
        <v>0</v>
      </c>
      <c r="T2667"/>
      <c r="U2667">
        <f>[1]!EM_S_RATIO_EPS_TTM(B2667,E2667,"1")</f>
        <v>0.19800824067677122</v>
      </c>
      <c r="AT2667" s="4" t="str">
        <f>[1]!EM_S_IPO_LISTEDDATE(B2667)</f>
        <v>2015-12-09</v>
      </c>
    </row>
    <row r="2668" spans="1:46">
      <c r="A2668">
        <v>3522</v>
      </c>
      <c r="B2668" t="str">
        <f>"603733"</f>
        <v>603733</v>
      </c>
      <c r="C2668" t="s">
        <v>462</v>
      </c>
      <c r="D2668" t="str">
        <f>[1]!EM_S_INFO_INDEX_EM(B2668,"1")</f>
        <v>轻工制造</v>
      </c>
      <c r="E2668" s="4">
        <f t="shared" si="41"/>
        <v>43465</v>
      </c>
      <c r="F2668" s="11">
        <f>[1]!EM_S_PQ_PCTCHANGE(B2668,"2018-01-01","2019-12-31","3")</f>
        <v>7.6314292699999999</v>
      </c>
      <c r="G2668" s="11">
        <f>[1]!EM_S_PQ_PCTCHANGE(B2668,"2018-12-31","2019-12-30","1")</f>
        <v>-7.3929961100000003</v>
      </c>
      <c r="H2668" s="11">
        <f>[1]!EM_S_FA_YOY_OR(B2668,E2668)</f>
        <v>34.481739191700001</v>
      </c>
      <c r="I2668" s="11">
        <f>[1]!EM_S_FA_GROSSPROFITMARGIN(B2668,E2668)</f>
        <v>17.230815717199999</v>
      </c>
      <c r="J2668" s="11">
        <f>[1]!EM_S_FA_NETPROFITMARGIN(B2668,E2668)</f>
        <v>7.1420160307999998</v>
      </c>
      <c r="K2668" s="10">
        <f>[1]!EM_S_FA_ASSETSTURN(B2668,E2668)</f>
        <v>0.78929007677399998</v>
      </c>
      <c r="L2668" s="12">
        <f>[1]!EM_HKS_VAL_MV(B2668,"2019-12-31","2")</f>
        <v>8727120000</v>
      </c>
      <c r="M2668">
        <f>[1]!EM_S_VAL_PETTMDEDUCTED(B2668,E2668)</f>
        <v>26.998003377460002</v>
      </c>
      <c r="N2668" s="7">
        <f>[1]!EM_S_VAL_PBGOODWILLDEDUCTED(B2668,E2668)</f>
        <v>2.9260817174953</v>
      </c>
      <c r="O2668" s="7">
        <f>[1]!EM_S_VAL_PS_TTM(B2668,E2668)</f>
        <v>2.4058269594570398</v>
      </c>
      <c r="P2668" s="7">
        <f>[1]!EM_S_VAL_PCF_NCFTTM(B2668,E2668)</f>
        <v>110.876812583571</v>
      </c>
      <c r="Q2668" s="7">
        <f>[1]!EM_S_VAL_DIVIDENDYIELD2(B2668,E2668,"2019-11-29")</f>
        <v>0.74460163812360391</v>
      </c>
      <c r="T2668"/>
      <c r="U2668">
        <f>[1]!EM_S_RATIO_EPS_TTM(B2668,E2668,"1")</f>
        <v>0.47778895014705886</v>
      </c>
      <c r="AT2668" s="4" t="str">
        <f>[1]!EM_S_IPO_LISTEDDATE(B2668)</f>
        <v>2018-04-20</v>
      </c>
    </row>
    <row r="2669" spans="1:46">
      <c r="A2669">
        <v>932</v>
      </c>
      <c r="B2669" t="str">
        <f>"002421"</f>
        <v>002421</v>
      </c>
      <c r="C2669" t="s">
        <v>2093</v>
      </c>
      <c r="D2669" t="str">
        <f>[1]!EM_S_INFO_INDEX_EM(B2669,"1")</f>
        <v>信息技术</v>
      </c>
      <c r="E2669" s="4">
        <f t="shared" si="41"/>
        <v>43465</v>
      </c>
      <c r="F2669" s="11">
        <f>[1]!EM_S_PQ_PCTCHANGE(B2669,"2018-01-01","2019-12-31","3")</f>
        <v>-39.928312660000003</v>
      </c>
      <c r="G2669" s="11">
        <f>[1]!EM_S_PQ_PCTCHANGE(B2669,"2018-12-31","2019-12-30","1")</f>
        <v>-7.39795918</v>
      </c>
      <c r="H2669" s="11">
        <f>[1]!EM_S_FA_YOY_OR(B2669,E2669)</f>
        <v>-1.752095859</v>
      </c>
      <c r="I2669" s="11">
        <f>[1]!EM_S_FA_GROSSPROFITMARGIN(B2669,E2669)</f>
        <v>31.961163609300002</v>
      </c>
      <c r="J2669" s="11">
        <f>[1]!EM_S_FA_NETPROFITMARGIN(B2669,E2669)</f>
        <v>8.4597334674999995</v>
      </c>
      <c r="K2669" s="10">
        <f>[1]!EM_S_FA_ASSETSTURN(B2669,E2669)</f>
        <v>0.413575893616</v>
      </c>
      <c r="L2669" s="12">
        <f>[1]!EM_HKS_VAL_MV(B2669,"2019-12-31","2")</f>
        <v>6985491616.6899996</v>
      </c>
      <c r="M2669">
        <f>[1]!EM_S_VAL_PETTMDEDUCTED(B2669,E2669)</f>
        <v>27.553450325047798</v>
      </c>
      <c r="N2669" s="7">
        <f>[1]!EM_S_VAL_PBGOODWILLDEDUCTED(B2669,E2669)</f>
        <v>2.88839524077467</v>
      </c>
      <c r="O2669" s="7">
        <f>[1]!EM_S_VAL_PS_TTM(B2669,E2669)</f>
        <v>2.9108357431631302</v>
      </c>
      <c r="P2669" s="7">
        <f>[1]!EM_S_VAL_PCF_NCFTTM(B2669,E2669)</f>
        <v>32.939005034029002</v>
      </c>
      <c r="Q2669" s="7">
        <f>[1]!EM_S_VAL_DIVIDENDYIELD2(B2669,E2669,"2019-11-29")</f>
        <v>0</v>
      </c>
      <c r="T2669"/>
      <c r="U2669">
        <f>[1]!EM_S_RATIO_EPS_TTM(B2669,E2669,"1")</f>
        <v>0.11395985192257529</v>
      </c>
      <c r="AT2669" s="4" t="str">
        <f>[1]!EM_S_IPO_LISTEDDATE(B2669)</f>
        <v>2010-06-03</v>
      </c>
    </row>
    <row r="2670" spans="1:46">
      <c r="A2670">
        <v>2458</v>
      </c>
      <c r="B2670" t="str">
        <f>"600333"</f>
        <v>600333</v>
      </c>
      <c r="C2670" t="s">
        <v>3376</v>
      </c>
      <c r="D2670" t="str">
        <f>[1]!EM_S_INFO_INDEX_EM(B2670,"1")</f>
        <v>公用事业</v>
      </c>
      <c r="E2670" s="4">
        <f t="shared" si="41"/>
        <v>43465</v>
      </c>
      <c r="F2670" s="11">
        <f>[1]!EM_S_PQ_PCTCHANGE(B2670,"2018-01-01","2019-12-31","3")</f>
        <v>-34.963852289999998</v>
      </c>
      <c r="G2670" s="11">
        <f>[1]!EM_S_PQ_PCTCHANGE(B2670,"2018-12-31","2019-12-30","1")</f>
        <v>-7.5134168199999998</v>
      </c>
      <c r="H2670" s="11">
        <f>[1]!EM_S_FA_YOY_OR(B2670,E2670)</f>
        <v>7.2231099781000001</v>
      </c>
      <c r="I2670" s="11">
        <f>[1]!EM_S_FA_GROSSPROFITMARGIN(B2670,E2670)</f>
        <v>30.607869064100001</v>
      </c>
      <c r="J2670" s="11">
        <f>[1]!EM_S_FA_NETPROFITMARGIN(B2670,E2670)</f>
        <v>-4.5678920937000003</v>
      </c>
      <c r="K2670" s="10">
        <f>[1]!EM_S_FA_ASSETSTURN(B2670,E2670)</f>
        <v>0.28436266705899998</v>
      </c>
      <c r="L2670" s="12">
        <f>[1]!EM_HKS_VAL_MV(B2670,"2019-12-31","2")</f>
        <v>3166959556.8000002</v>
      </c>
      <c r="M2670">
        <f>[1]!EM_S_VAL_PETTMDEDUCTED(B2670,E2670)</f>
        <v>-41.643230039399597</v>
      </c>
      <c r="N2670" s="7">
        <f>[1]!EM_S_VAL_PBGOODWILLDEDUCTED(B2670,E2670)</f>
        <v>1.63203191261947</v>
      </c>
      <c r="O2670" s="7">
        <f>[1]!EM_S_VAL_PS_TTM(B2670,E2670)</f>
        <v>2.1647123062675599</v>
      </c>
      <c r="P2670" s="7">
        <f>[1]!EM_S_VAL_PCF_NCFTTM(B2670,E2670)</f>
        <v>-98.646076528464704</v>
      </c>
      <c r="Q2670" s="7">
        <f>[1]!EM_S_VAL_DIVIDENDYIELD2(B2670,E2670,"2019-11-29")</f>
        <v>0</v>
      </c>
      <c r="T2670"/>
      <c r="U2670">
        <f>[1]!EM_S_RATIO_EPS_TTM(B2670,E2670,"1")</f>
        <v>-0.11493868088918817</v>
      </c>
      <c r="AT2670" s="4" t="str">
        <f>[1]!EM_S_IPO_LISTEDDATE(B2670)</f>
        <v>2000-12-11</v>
      </c>
    </row>
    <row r="2671" spans="1:46">
      <c r="A2671">
        <v>2839</v>
      </c>
      <c r="B2671" t="str">
        <f>"600766"</f>
        <v>600766</v>
      </c>
      <c r="C2671" t="s">
        <v>1282</v>
      </c>
      <c r="D2671" t="str">
        <f>[1]!EM_S_INFO_INDEX_EM(B2671,"1")</f>
        <v>有色金属</v>
      </c>
      <c r="E2671" s="4">
        <f t="shared" si="41"/>
        <v>43465</v>
      </c>
      <c r="F2671" s="11">
        <f>[1]!EM_S_PQ_PCTCHANGE(B2671,"2018-01-01","2019-12-31","3")</f>
        <v>-18.933623499999999</v>
      </c>
      <c r="G2671" s="11">
        <f>[1]!EM_S_PQ_PCTCHANGE(B2671,"2018-12-31","2019-12-30","1")</f>
        <v>-7.5376884400000002</v>
      </c>
      <c r="H2671" s="11">
        <f>[1]!EM_S_FA_YOY_OR(B2671,E2671)</f>
        <v>8.7832481101000006</v>
      </c>
      <c r="I2671" s="11">
        <f>[1]!EM_S_FA_GROSSPROFITMARGIN(B2671,E2671)</f>
        <v>60.432947820199999</v>
      </c>
      <c r="J2671" s="11">
        <f>[1]!EM_S_FA_NETPROFITMARGIN(B2671,E2671)</f>
        <v>-19.449825440200001</v>
      </c>
      <c r="K2671" s="10">
        <f>[1]!EM_S_FA_ASSETSTURN(B2671,E2671)</f>
        <v>7.5288691842999994E-2</v>
      </c>
      <c r="L2671" s="12">
        <f>[1]!EM_HKS_VAL_MV(B2671,"2019-12-31","2")</f>
        <v>1670489823.9000001</v>
      </c>
      <c r="M2671">
        <f>[1]!EM_S_VAL_PETTMDEDUCTED(B2671,E2671)</f>
        <v>2997.5042535831999</v>
      </c>
      <c r="N2671" s="7">
        <f>[1]!EM_S_VAL_PBGOODWILLDEDUCTED(B2671,E2671)</f>
        <v>34.676565709608496</v>
      </c>
      <c r="O2671" s="7">
        <f>[1]!EM_S_VAL_PS_TTM(B2671,E2671)</f>
        <v>176.20109286454999</v>
      </c>
      <c r="P2671" s="7">
        <f>[1]!EM_S_VAL_PCF_NCFTTM(B2671,E2671)</f>
        <v>5384.8357957186299</v>
      </c>
      <c r="Q2671" s="7">
        <f>[1]!EM_S_VAL_DIVIDENDYIELD2(B2671,E2671,"2019-11-29")</f>
        <v>0</v>
      </c>
      <c r="T2671"/>
      <c r="U2671">
        <f>[1]!EM_S_RATIO_EPS_TTM(B2671,E2671,"1")</f>
        <v>-1.0477563384455407E-2</v>
      </c>
      <c r="AT2671" s="4" t="str">
        <f>[1]!EM_S_IPO_LISTEDDATE(B2671)</f>
        <v>1996-10-28</v>
      </c>
    </row>
    <row r="2672" spans="1:46">
      <c r="A2672">
        <v>838</v>
      </c>
      <c r="B2672" t="str">
        <f>"002327"</f>
        <v>002327</v>
      </c>
      <c r="C2672" t="s">
        <v>797</v>
      </c>
      <c r="D2672" t="str">
        <f>[1]!EM_S_INFO_INDEX_EM(B2672,"1")</f>
        <v>纺织服装</v>
      </c>
      <c r="E2672" s="4">
        <f t="shared" si="41"/>
        <v>43465</v>
      </c>
      <c r="F2672" s="11">
        <f>[1]!EM_S_PQ_PCTCHANGE(B2672,"2018-01-01","2019-12-31","3")</f>
        <v>-27.84056455</v>
      </c>
      <c r="G2672" s="11">
        <f>[1]!EM_S_PQ_PCTCHANGE(B2672,"2018-12-31","2019-12-30","1")</f>
        <v>-7.5898801599999999</v>
      </c>
      <c r="H2672" s="11">
        <f>[1]!EM_S_FA_YOY_OR(B2672,E2672)</f>
        <v>11.5543489984</v>
      </c>
      <c r="I2672" s="11">
        <f>[1]!EM_S_FA_GROSSPROFITMARGIN(B2672,E2672)</f>
        <v>49.818623675700003</v>
      </c>
      <c r="J2672" s="11">
        <f>[1]!EM_S_FA_NETPROFITMARGIN(B2672,E2672)</f>
        <v>18.618294855999999</v>
      </c>
      <c r="K2672" s="10">
        <f>[1]!EM_S_FA_ASSETSTURN(B2672,E2672)</f>
        <v>0.67993763753600001</v>
      </c>
      <c r="L2672" s="12">
        <f>[1]!EM_HKS_VAL_MV(B2672,"2019-12-31","2")</f>
        <v>5899466721.9399996</v>
      </c>
      <c r="M2672">
        <f>[1]!EM_S_VAL_PETTMDEDUCTED(B2672,E2672)</f>
        <v>13.224829400060599</v>
      </c>
      <c r="N2672" s="7">
        <f>[1]!EM_S_VAL_PBGOODWILLDEDUCTED(B2672,E2672)</f>
        <v>1.8379014418408599</v>
      </c>
      <c r="O2672" s="7">
        <f>[1]!EM_S_VAL_PS_TTM(B2672,E2672)</f>
        <v>2.3029536380218198</v>
      </c>
      <c r="P2672" s="7">
        <f>[1]!EM_S_VAL_PCF_NCFTTM(B2672,E2672)</f>
        <v>-67.889390534136993</v>
      </c>
      <c r="Q2672" s="7">
        <f>[1]!EM_S_VAL_DIVIDENDYIELD2(B2672,E2672,"2019-11-29")</f>
        <v>7.6452599388379214</v>
      </c>
      <c r="T2672"/>
      <c r="U2672">
        <f>[1]!EM_S_RATIO_EPS_TTM(B2672,E2672,"1")</f>
        <v>0.62373773515268538</v>
      </c>
      <c r="AT2672" s="4" t="str">
        <f>[1]!EM_S_IPO_LISTEDDATE(B2672)</f>
        <v>2009-12-30</v>
      </c>
    </row>
    <row r="2673" spans="1:46">
      <c r="A2673">
        <v>3488</v>
      </c>
      <c r="B2673" t="str">
        <f>"603676"</f>
        <v>603676</v>
      </c>
      <c r="C2673" t="s">
        <v>526</v>
      </c>
      <c r="D2673" t="str">
        <f>[1]!EM_S_INFO_INDEX_EM(B2673,"1")</f>
        <v>医药生物</v>
      </c>
      <c r="E2673" s="4">
        <f t="shared" si="41"/>
        <v>43465</v>
      </c>
      <c r="F2673" s="11">
        <f>[1]!EM_S_PQ_PCTCHANGE(B2673,"2018-01-01","2019-12-31","3")</f>
        <v>-33.316434559999998</v>
      </c>
      <c r="G2673" s="11">
        <f>[1]!EM_S_PQ_PCTCHANGE(B2673,"2018-12-31","2019-12-30","1")</f>
        <v>-7.63087844</v>
      </c>
      <c r="H2673" s="11">
        <f>[1]!EM_S_FA_YOY_OR(B2673,E2673)</f>
        <v>77.5351206725</v>
      </c>
      <c r="I2673" s="11">
        <f>[1]!EM_S_FA_GROSSPROFITMARGIN(B2673,E2673)</f>
        <v>46.384770197400002</v>
      </c>
      <c r="J2673" s="11">
        <f>[1]!EM_S_FA_NETPROFITMARGIN(B2673,E2673)</f>
        <v>9.8396744721000005</v>
      </c>
      <c r="K2673" s="10">
        <f>[1]!EM_S_FA_ASSETSTURN(B2673,E2673)</f>
        <v>0.66292790604899998</v>
      </c>
      <c r="L2673" s="12">
        <f>[1]!EM_HKS_VAL_MV(B2673,"2019-12-31","2")</f>
        <v>4488030000</v>
      </c>
      <c r="M2673">
        <f>[1]!EM_S_VAL_PETTMDEDUCTED(B2673,E2673)</f>
        <v>87.2931521575061</v>
      </c>
      <c r="N2673" s="7">
        <f>[1]!EM_S_VAL_PBGOODWILLDEDUCTED(B2673,E2673)</f>
        <v>5.3121022957018704</v>
      </c>
      <c r="O2673" s="7">
        <f>[1]!EM_S_VAL_PS_TTM(B2673,E2673)</f>
        <v>7.7333065097430902</v>
      </c>
      <c r="P2673" s="7">
        <f>[1]!EM_S_VAL_PCF_NCFTTM(B2673,E2673)</f>
        <v>1578.0067942464</v>
      </c>
      <c r="Q2673" s="7">
        <f>[1]!EM_S_VAL_DIVIDENDYIELD2(B2673,E2673,"2019-11-29")</f>
        <v>0.54240631163708097</v>
      </c>
      <c r="T2673"/>
      <c r="U2673">
        <f>[1]!EM_S_RATIO_EPS_TTM(B2673,E2673,"1")</f>
        <v>0.17360740489361701</v>
      </c>
      <c r="AT2673" s="4" t="str">
        <f>[1]!EM_S_IPO_LISTEDDATE(B2673)</f>
        <v>2017-07-21</v>
      </c>
    </row>
    <row r="2674" spans="1:46">
      <c r="A2674">
        <v>3354</v>
      </c>
      <c r="B2674" t="str">
        <f>"603318"</f>
        <v>603318</v>
      </c>
      <c r="C2674" t="s">
        <v>2328</v>
      </c>
      <c r="D2674" t="str">
        <f>[1]!EM_S_INFO_INDEX_EM(B2674,"1")</f>
        <v>机械设备</v>
      </c>
      <c r="E2674" s="4">
        <f t="shared" si="41"/>
        <v>43465</v>
      </c>
      <c r="F2674" s="11">
        <f>[1]!EM_S_PQ_PCTCHANGE(B2674,"2018-01-01","2019-12-31","3")</f>
        <v>-21.348484410000001</v>
      </c>
      <c r="G2674" s="11">
        <f>[1]!EM_S_PQ_PCTCHANGE(B2674,"2018-12-31","2019-12-30","1")</f>
        <v>-7.7046549000000004</v>
      </c>
      <c r="H2674" s="11">
        <f>[1]!EM_S_FA_YOY_OR(B2674,E2674)</f>
        <v>-25.074838953699999</v>
      </c>
      <c r="I2674" s="11">
        <f>[1]!EM_S_FA_GROSSPROFITMARGIN(B2674,E2674)</f>
        <v>28.339835214000001</v>
      </c>
      <c r="J2674" s="11">
        <f>[1]!EM_S_FA_NETPROFITMARGIN(B2674,E2674)</f>
        <v>1.0368414808999999</v>
      </c>
      <c r="K2674" s="10">
        <f>[1]!EM_S_FA_ASSETSTURN(B2674,E2674)</f>
        <v>0.21424431868800001</v>
      </c>
      <c r="L2674" s="12">
        <f>[1]!EM_HKS_VAL_MV(B2674,"2019-12-31","2")</f>
        <v>4636931053.8100004</v>
      </c>
      <c r="M2674">
        <f>[1]!EM_S_VAL_PETTMDEDUCTED(B2674,E2674)</f>
        <v>384.48321881088901</v>
      </c>
      <c r="N2674" s="7">
        <f>[1]!EM_S_VAL_PBGOODWILLDEDUCTED(B2674,E2674)</f>
        <v>5.3051422313075003</v>
      </c>
      <c r="O2674" s="7">
        <f>[1]!EM_S_VAL_PS_TTM(B2674,E2674)</f>
        <v>10.8026402680354</v>
      </c>
      <c r="P2674" s="7">
        <f>[1]!EM_S_VAL_PCF_NCFTTM(B2674,E2674)</f>
        <v>116.389539719928</v>
      </c>
      <c r="Q2674" s="7">
        <f>[1]!EM_S_VAL_DIVIDENDYIELD2(B2674,E2674,"2019-11-29")</f>
        <v>0</v>
      </c>
      <c r="T2674"/>
      <c r="U2674">
        <f>[1]!EM_S_RATIO_EPS_TTM(B2674,E2674,"1")</f>
        <v>1.0865305677408808E-2</v>
      </c>
      <c r="AT2674" s="4" t="str">
        <f>[1]!EM_S_IPO_LISTEDDATE(B2674)</f>
        <v>2015-04-24</v>
      </c>
    </row>
    <row r="2675" spans="1:46">
      <c r="A2675">
        <v>3019</v>
      </c>
      <c r="B2675" t="str">
        <f>"600998"</f>
        <v>600998</v>
      </c>
      <c r="C2675" t="s">
        <v>2043</v>
      </c>
      <c r="D2675" t="str">
        <f>[1]!EM_S_INFO_INDEX_EM(B2675,"1")</f>
        <v>医药生物</v>
      </c>
      <c r="E2675" s="4">
        <f t="shared" si="41"/>
        <v>43465</v>
      </c>
      <c r="F2675" s="11">
        <f>[1]!EM_S_PQ_PCTCHANGE(B2675,"2018-01-01","2019-12-31","3")</f>
        <v>-24.280082060000002</v>
      </c>
      <c r="G2675" s="11">
        <f>[1]!EM_S_PQ_PCTCHANGE(B2675,"2018-12-31","2019-12-30","1")</f>
        <v>-7.7397260299999999</v>
      </c>
      <c r="H2675" s="11">
        <f>[1]!EM_S_FA_YOY_OR(B2675,E2675)</f>
        <v>17.842774829500001</v>
      </c>
      <c r="I2675" s="11">
        <f>[1]!EM_S_FA_GROSSPROFITMARGIN(B2675,E2675)</f>
        <v>8.6325516059999998</v>
      </c>
      <c r="J2675" s="11">
        <f>[1]!EM_S_FA_NETPROFITMARGIN(B2675,E2675)</f>
        <v>1.5854133139</v>
      </c>
      <c r="K2675" s="10">
        <f>[1]!EM_S_FA_ASSETSTURN(B2675,E2675)</f>
        <v>1.4678983359519999</v>
      </c>
      <c r="L2675" s="12">
        <f>[1]!EM_HKS_VAL_MV(B2675,"2019-12-31","2")</f>
        <v>26568947793.25</v>
      </c>
      <c r="M2675">
        <f>[1]!EM_S_VAL_PETTMDEDUCTED(B2675,E2675)</f>
        <v>24.0771552396278</v>
      </c>
      <c r="N2675" s="7">
        <f>[1]!EM_S_VAL_PBGOODWILLDEDUCTED(B2675,E2675)</f>
        <v>1.8015367604794199</v>
      </c>
      <c r="O2675" s="7">
        <f>[1]!EM_S_VAL_PS_TTM(B2675,E2675)</f>
        <v>0.32937487628350298</v>
      </c>
      <c r="P2675" s="7">
        <f>[1]!EM_S_VAL_PCF_NCFTTM(B2675,E2675)</f>
        <v>26.993508884248701</v>
      </c>
      <c r="Q2675" s="7">
        <f>[1]!EM_S_VAL_DIVIDENDYIELD2(B2675,E2675,"2019-11-29")</f>
        <v>0.74019245003700962</v>
      </c>
      <c r="T2675"/>
      <c r="U2675">
        <f>[1]!EM_S_RATIO_EPS_TTM(B2675,E2675,"1")</f>
        <v>0.7139611244892351</v>
      </c>
      <c r="AT2675" s="4" t="str">
        <f>[1]!EM_S_IPO_LISTEDDATE(B2675)</f>
        <v>2010-11-02</v>
      </c>
    </row>
    <row r="2676" spans="1:46">
      <c r="A2676">
        <v>1069</v>
      </c>
      <c r="B2676" t="str">
        <f>"002558"</f>
        <v>002558</v>
      </c>
      <c r="C2676" t="s">
        <v>508</v>
      </c>
      <c r="D2676" t="str">
        <f>[1]!EM_S_INFO_INDEX_EM(B2676,"1")</f>
        <v>互联网</v>
      </c>
      <c r="E2676" s="4">
        <f t="shared" si="41"/>
        <v>43465</v>
      </c>
      <c r="F2676" s="11">
        <f>[1]!EM_S_PQ_PCTCHANGE(B2676,"2018-01-01","2019-12-31","3")</f>
        <v>-50.012185799999997</v>
      </c>
      <c r="G2676" s="11">
        <f>[1]!EM_S_PQ_PCTCHANGE(B2676,"2018-12-31","2019-12-30","1")</f>
        <v>-7.7955601400000001</v>
      </c>
      <c r="H2676" s="11">
        <f>[1]!EM_S_FA_YOY_OR(B2676,E2676)</f>
        <v>30.029034879400001</v>
      </c>
      <c r="I2676" s="11">
        <f>[1]!EM_S_FA_GROSSPROFITMARGIN(B2676,E2676)</f>
        <v>74.9902661104</v>
      </c>
      <c r="J2676" s="11">
        <f>[1]!EM_S_FA_NETPROFITMARGIN(B2676,E2676)</f>
        <v>30.718715875600001</v>
      </c>
      <c r="K2676" s="10">
        <f>[1]!EM_S_FA_ASSETSTURN(B2676,E2676)</f>
        <v>0.32139881934100001</v>
      </c>
      <c r="L2676" s="12">
        <f>[1]!EM_HKS_VAL_MV(B2676,"2019-12-31","2")</f>
        <v>36560301571.919998</v>
      </c>
      <c r="M2676">
        <f>[1]!EM_S_VAL_PETTMDEDUCTED(B2676,E2676)</f>
        <v>32.345610604984401</v>
      </c>
      <c r="N2676" s="7">
        <f>[1]!EM_S_VAL_PBGOODWILLDEDUCTED(B2676,E2676)</f>
        <v>4.7023474834291097</v>
      </c>
      <c r="O2676" s="7">
        <f>[1]!EM_S_VAL_PS_TTM(B2676,E2676)</f>
        <v>10.491819843152401</v>
      </c>
      <c r="P2676" s="7">
        <f>[1]!EM_S_VAL_PCF_NCFTTM(B2676,E2676)</f>
        <v>-20.696594563650098</v>
      </c>
      <c r="Q2676" s="7">
        <f>[1]!EM_S_VAL_DIVIDENDYIELD2(B2676,E2676,"2019-11-29")</f>
        <v>0.96045197740112986</v>
      </c>
      <c r="T2676"/>
      <c r="U2676">
        <f>[1]!EM_S_RATIO_EPS_TTM(B2676,E2676,"1")</f>
        <v>0.53259092583219703</v>
      </c>
      <c r="AT2676" s="4" t="str">
        <f>[1]!EM_S_IPO_LISTEDDATE(B2676)</f>
        <v>2011-03-02</v>
      </c>
    </row>
    <row r="2677" spans="1:46">
      <c r="A2677">
        <v>3615</v>
      </c>
      <c r="B2677" t="str">
        <f>"603958"</f>
        <v>603958</v>
      </c>
      <c r="C2677" t="s">
        <v>750</v>
      </c>
      <c r="D2677" t="str">
        <f>[1]!EM_S_INFO_INDEX_EM(B2677,"1")</f>
        <v>纺织服装</v>
      </c>
      <c r="E2677" s="4">
        <f t="shared" si="41"/>
        <v>43465</v>
      </c>
      <c r="F2677" s="11">
        <f>[1]!EM_S_PQ_PCTCHANGE(B2677,"2018-01-01","2019-12-31","3")</f>
        <v>-46.378117719999999</v>
      </c>
      <c r="G2677" s="11">
        <f>[1]!EM_S_PQ_PCTCHANGE(B2677,"2018-12-31","2019-12-30","1")</f>
        <v>-7.82828283</v>
      </c>
      <c r="H2677" s="11">
        <f>[1]!EM_S_FA_YOY_OR(B2677,E2677)</f>
        <v>-9.9669948349999995</v>
      </c>
      <c r="I2677" s="11">
        <f>[1]!EM_S_FA_GROSSPROFITMARGIN(B2677,E2677)</f>
        <v>52.244557979200003</v>
      </c>
      <c r="J2677" s="11">
        <f>[1]!EM_S_FA_NETPROFITMARGIN(B2677,E2677)</f>
        <v>-4.9983367572999997</v>
      </c>
      <c r="K2677" s="10">
        <f>[1]!EM_S_FA_ASSETSTURN(B2677,E2677)</f>
        <v>0.97818481959600001</v>
      </c>
      <c r="L2677" s="12">
        <f>[1]!EM_HKS_VAL_MV(B2677,"2019-12-31","2")</f>
        <v>1608464000</v>
      </c>
      <c r="M2677">
        <f>[1]!EM_S_VAL_PETTMDEDUCTED(B2677,E2677)</f>
        <v>-45.5493323995167</v>
      </c>
      <c r="N2677" s="7">
        <f>[1]!EM_S_VAL_PBGOODWILLDEDUCTED(B2677,E2677)</f>
        <v>1.7186714618258501</v>
      </c>
      <c r="O2677" s="7">
        <f>[1]!EM_S_VAL_PS_TTM(B2677,E2677)</f>
        <v>1.23593552452766</v>
      </c>
      <c r="P2677" s="7">
        <f>[1]!EM_S_VAL_PCF_NCFTTM(B2677,E2677)</f>
        <v>-98.785550534629493</v>
      </c>
      <c r="Q2677" s="7">
        <f>[1]!EM_S_VAL_DIVIDENDYIELD2(B2677,E2677,"2019-11-29")</f>
        <v>0</v>
      </c>
      <c r="T2677"/>
      <c r="U2677">
        <f>[1]!EM_S_RATIO_EPS_TTM(B2677,E2677,"1")</f>
        <v>-0.28363853212260748</v>
      </c>
      <c r="AT2677" s="4" t="str">
        <f>[1]!EM_S_IPO_LISTEDDATE(B2677)</f>
        <v>2016-06-29</v>
      </c>
    </row>
    <row r="2678" spans="1:46">
      <c r="A2678">
        <v>3326</v>
      </c>
      <c r="B2678" t="str">
        <f>"603238"</f>
        <v>603238</v>
      </c>
      <c r="C2678" t="s">
        <v>2141</v>
      </c>
      <c r="D2678" t="str">
        <f>[1]!EM_S_INFO_INDEX_EM(B2678,"1")</f>
        <v>纺织服装</v>
      </c>
      <c r="E2678" s="4">
        <f t="shared" si="41"/>
        <v>43465</v>
      </c>
      <c r="F2678" s="11">
        <f>[1]!EM_S_PQ_PCTCHANGE(B2678,"2018-01-01","2019-12-31","3")</f>
        <v>-24.726214689999999</v>
      </c>
      <c r="G2678" s="11">
        <f>[1]!EM_S_PQ_PCTCHANGE(B2678,"2018-12-31","2019-12-30","1")</f>
        <v>-7.9449152500000002</v>
      </c>
      <c r="H2678" s="11">
        <f>[1]!EM_S_FA_YOY_OR(B2678,E2678)</f>
        <v>51.443370908799999</v>
      </c>
      <c r="I2678" s="11">
        <f>[1]!EM_S_FA_GROSSPROFITMARGIN(B2678,E2678)</f>
        <v>23.644420462900001</v>
      </c>
      <c r="J2678" s="11">
        <f>[1]!EM_S_FA_NETPROFITMARGIN(B2678,E2678)</f>
        <v>7.6649983938000004</v>
      </c>
      <c r="K2678" s="10">
        <f>[1]!EM_S_FA_ASSETSTURN(B2678,E2678)</f>
        <v>0.65718409273400002</v>
      </c>
      <c r="L2678" s="12">
        <f>[1]!EM_HKS_VAL_MV(B2678,"2019-12-31","2")</f>
        <v>2084400000</v>
      </c>
      <c r="M2678">
        <f>[1]!EM_S_VAL_PETTMDEDUCTED(B2678,E2678)</f>
        <v>54.034850459394399</v>
      </c>
      <c r="N2678" s="7">
        <f>[1]!EM_S_VAL_PBGOODWILLDEDUCTED(B2678,E2678)</f>
        <v>3.2521472545484502</v>
      </c>
      <c r="O2678" s="7">
        <f>[1]!EM_S_VAL_PS_TTM(B2678,E2678)</f>
        <v>2.4814762898712499</v>
      </c>
      <c r="P2678" s="7">
        <f>[1]!EM_S_VAL_PCF_NCFTTM(B2678,E2678)</f>
        <v>-58.252906279751798</v>
      </c>
      <c r="Q2678" s="7">
        <f>[1]!EM_S_VAL_DIVIDENDYIELD2(B2678,E2678,"2019-11-29")</f>
        <v>0.89552238805970152</v>
      </c>
      <c r="T2678"/>
      <c r="U2678">
        <f>[1]!EM_S_RATIO_EPS_TTM(B2678,E2678,"1")</f>
        <v>0.46044863116666668</v>
      </c>
      <c r="AT2678" s="4" t="str">
        <f>[1]!EM_S_IPO_LISTEDDATE(B2678)</f>
        <v>2017-02-22</v>
      </c>
    </row>
    <row r="2679" spans="1:46">
      <c r="A2679">
        <v>2356</v>
      </c>
      <c r="B2679" t="str">
        <f>"600221"</f>
        <v>600221</v>
      </c>
      <c r="C2679" t="s">
        <v>1171</v>
      </c>
      <c r="D2679" t="str">
        <f>[1]!EM_S_INFO_INDEX_EM(B2679,"1")</f>
        <v>交通运输</v>
      </c>
      <c r="E2679" s="4">
        <f t="shared" si="41"/>
        <v>43465</v>
      </c>
      <c r="F2679" s="11">
        <f>[1]!EM_S_PQ_PCTCHANGE(B2679,"2018-01-01","2019-12-31","3")</f>
        <v>-45.432223159999999</v>
      </c>
      <c r="G2679" s="11">
        <f>[1]!EM_S_PQ_PCTCHANGE(B2679,"2018-12-31","2019-12-30","1")</f>
        <v>-7.9787233999999998</v>
      </c>
      <c r="H2679" s="11">
        <f>[1]!EM_S_FA_YOY_OR(B2679,E2679)</f>
        <v>13.120981608799999</v>
      </c>
      <c r="I2679" s="11">
        <f>[1]!EM_S_FA_GROSSPROFITMARGIN(B2679,E2679)</f>
        <v>7.3013086872999997</v>
      </c>
      <c r="J2679" s="11">
        <f>[1]!EM_S_FA_NETPROFITMARGIN(B2679,E2679)</f>
        <v>-5.3834890991000002</v>
      </c>
      <c r="K2679" s="10">
        <f>[1]!EM_S_FA_ASSETSTURN(B2679,E2679)</f>
        <v>0.33706436350899999</v>
      </c>
      <c r="L2679" s="12">
        <f>[1]!EM_HKS_VAL_MV(B2679,"2019-12-31","2")</f>
        <v>29074588170.900002</v>
      </c>
      <c r="M2679">
        <f>[1]!EM_S_VAL_PETTMDEDUCTED(B2679,E2679)</f>
        <v>107.33955794408701</v>
      </c>
      <c r="N2679" s="7">
        <f>[1]!EM_S_VAL_PBGOODWILLDEDUCTED(B2679,E2679)</f>
        <v>0.65699765885094197</v>
      </c>
      <c r="O2679" s="7">
        <f>[1]!EM_S_VAL_PS_TTM(B2679,E2679)</f>
        <v>0.47103403590747001</v>
      </c>
      <c r="P2679" s="7">
        <f>[1]!EM_S_VAL_PCF_NCFTTM(B2679,E2679)</f>
        <v>-2.2361847626214102</v>
      </c>
      <c r="Q2679" s="7">
        <f>[1]!EM_S_VAL_DIVIDENDYIELD2(B2679,E2679,"2019-11-29")</f>
        <v>0</v>
      </c>
      <c r="T2679"/>
      <c r="U2679">
        <f>[1]!EM_S_RATIO_EPS_TTM(B2679,E2679,"1")</f>
        <v>-0.21369768450301224</v>
      </c>
      <c r="AT2679" s="4" t="str">
        <f>[1]!EM_S_IPO_LISTEDDATE(B2679)</f>
        <v>1999-11-25</v>
      </c>
    </row>
    <row r="2680" spans="1:46">
      <c r="A2680">
        <v>2813</v>
      </c>
      <c r="B2680" t="str">
        <f>"600740"</f>
        <v>600740</v>
      </c>
      <c r="C2680" t="s">
        <v>486</v>
      </c>
      <c r="D2680" t="str">
        <f>[1]!EM_S_INFO_INDEX_EM(B2680,"1")</f>
        <v>化石能源</v>
      </c>
      <c r="E2680" s="4">
        <f t="shared" si="41"/>
        <v>43465</v>
      </c>
      <c r="F2680" s="11">
        <f>[1]!EM_S_PQ_PCTCHANGE(B2680,"2018-01-01","2019-12-31","3")</f>
        <v>-21.958225469999999</v>
      </c>
      <c r="G2680" s="11">
        <f>[1]!EM_S_PQ_PCTCHANGE(B2680,"2018-12-31","2019-12-30","1")</f>
        <v>-7.9900124799999999</v>
      </c>
      <c r="H2680" s="11">
        <f>[1]!EM_S_FA_YOY_OR(B2680,E2680)</f>
        <v>20.583547061299999</v>
      </c>
      <c r="I2680" s="11">
        <f>[1]!EM_S_FA_GROSSPROFITMARGIN(B2680,E2680)</f>
        <v>11.3712533713</v>
      </c>
      <c r="J2680" s="11">
        <f>[1]!EM_S_FA_NETPROFITMARGIN(B2680,E2680)</f>
        <v>20.810792851999999</v>
      </c>
      <c r="K2680" s="10">
        <f>[1]!EM_S_FA_ASSETSTURN(B2680,E2680)</f>
        <v>0.461613185802</v>
      </c>
      <c r="L2680" s="12">
        <f>[1]!EM_HKS_VAL_MV(B2680,"2019-12-31","2")</f>
        <v>11309718229.200001</v>
      </c>
      <c r="M2680">
        <f>[1]!EM_S_VAL_PETTMDEDUCTED(B2680,E2680)</f>
        <v>10.458447837109199</v>
      </c>
      <c r="N2680" s="7">
        <f>[1]!EM_S_VAL_PBGOODWILLDEDUCTED(B2680,E2680)</f>
        <v>1.24224989247476</v>
      </c>
      <c r="O2680" s="7">
        <f>[1]!EM_S_VAL_PS_TTM(B2680,E2680)</f>
        <v>1.6222822296803301</v>
      </c>
      <c r="P2680" s="7">
        <f>[1]!EM_S_VAL_PCF_NCFTTM(B2680,E2680)</f>
        <v>-36.967749046902902</v>
      </c>
      <c r="Q2680" s="7">
        <f>[1]!EM_S_VAL_DIVIDENDYIELD2(B2680,E2680,"2019-11-29")</f>
        <v>2.8901734104046244</v>
      </c>
      <c r="T2680"/>
      <c r="U2680">
        <f>[1]!EM_S_RATIO_EPS_TTM(B2680,E2680,"1")</f>
        <v>1.0701607234720827</v>
      </c>
      <c r="AT2680" s="4" t="str">
        <f>[1]!EM_S_IPO_LISTEDDATE(B2680)</f>
        <v>1996-08-08</v>
      </c>
    </row>
    <row r="2681" spans="1:46">
      <c r="A2681">
        <v>2229</v>
      </c>
      <c r="B2681" t="str">
        <f>"600082"</f>
        <v>600082</v>
      </c>
      <c r="C2681" t="s">
        <v>2690</v>
      </c>
      <c r="D2681" t="str">
        <f>[1]!EM_S_INFO_INDEX_EM(B2681,"1")</f>
        <v>房地产</v>
      </c>
      <c r="E2681" s="4">
        <f t="shared" si="41"/>
        <v>43465</v>
      </c>
      <c r="F2681" s="11">
        <f>[1]!EM_S_PQ_PCTCHANGE(B2681,"2018-01-01","2019-12-31","3")</f>
        <v>-33.068370850000001</v>
      </c>
      <c r="G2681" s="11">
        <f>[1]!EM_S_PQ_PCTCHANGE(B2681,"2018-12-31","2019-12-30","1")</f>
        <v>-8.0178173699999995</v>
      </c>
      <c r="H2681" s="11">
        <f>[1]!EM_S_FA_YOY_OR(B2681,E2681)</f>
        <v>52.632497508299998</v>
      </c>
      <c r="I2681" s="11">
        <f>[1]!EM_S_FA_GROSSPROFITMARGIN(B2681,E2681)</f>
        <v>20.920799858999999</v>
      </c>
      <c r="J2681" s="11">
        <f>[1]!EM_S_FA_NETPROFITMARGIN(B2681,E2681)</f>
        <v>1.8759090755000001</v>
      </c>
      <c r="K2681" s="10">
        <f>[1]!EM_S_FA_ASSETSTURN(B2681,E2681)</f>
        <v>0.21930415980500001</v>
      </c>
      <c r="L2681" s="12">
        <f>[1]!EM_HKS_VAL_MV(B2681,"2019-12-31","2")</f>
        <v>2597385620.52</v>
      </c>
      <c r="M2681">
        <f>[1]!EM_S_VAL_PETTMDEDUCTED(B2681,E2681)</f>
        <v>-69.536380970892196</v>
      </c>
      <c r="N2681" s="7">
        <f>[1]!EM_S_VAL_PBGOODWILLDEDUCTED(B2681,E2681)</f>
        <v>1.71066325013125</v>
      </c>
      <c r="O2681" s="7">
        <f>[1]!EM_S_VAL_PS_TTM(B2681,E2681)</f>
        <v>5.0999225660085097</v>
      </c>
      <c r="P2681" s="7">
        <f>[1]!EM_S_VAL_PCF_NCFTTM(B2681,E2681)</f>
        <v>-24.560377684632101</v>
      </c>
      <c r="Q2681" s="7">
        <f>[1]!EM_S_VAL_DIVIDENDYIELD2(B2681,E2681,"2019-11-29")</f>
        <v>0</v>
      </c>
      <c r="T2681"/>
      <c r="U2681">
        <f>[1]!EM_S_RATIO_EPS_TTM(B2681,E2681,"1")</f>
        <v>2.2687921933056007E-2</v>
      </c>
      <c r="AT2681" s="4" t="str">
        <f>[1]!EM_S_IPO_LISTEDDATE(B2681)</f>
        <v>1997-06-20</v>
      </c>
    </row>
    <row r="2682" spans="1:46">
      <c r="A2682">
        <v>3356</v>
      </c>
      <c r="B2682" t="str">
        <f>"603320"</f>
        <v>603320</v>
      </c>
      <c r="C2682" t="s">
        <v>1618</v>
      </c>
      <c r="D2682" t="str">
        <f>[1]!EM_S_INFO_INDEX_EM(B2682,"1")</f>
        <v>电气设备</v>
      </c>
      <c r="E2682" s="4">
        <f t="shared" si="41"/>
        <v>43465</v>
      </c>
      <c r="F2682" s="11">
        <f>[1]!EM_S_PQ_PCTCHANGE(B2682,"2018-01-01","2019-12-31","3")</f>
        <v>-32.622481479999998</v>
      </c>
      <c r="G2682" s="11">
        <f>[1]!EM_S_PQ_PCTCHANGE(B2682,"2018-12-31","2019-12-30","1")</f>
        <v>-8.03522289</v>
      </c>
      <c r="H2682" s="11">
        <f>[1]!EM_S_FA_YOY_OR(B2682,E2682)</f>
        <v>-2.8640702544000001</v>
      </c>
      <c r="I2682" s="11">
        <f>[1]!EM_S_FA_GROSSPROFITMARGIN(B2682,E2682)</f>
        <v>14.586774737400001</v>
      </c>
      <c r="J2682" s="11">
        <f>[1]!EM_S_FA_NETPROFITMARGIN(B2682,E2682)</f>
        <v>6.7468359663999999</v>
      </c>
      <c r="K2682" s="10">
        <f>[1]!EM_S_FA_ASSETSTURN(B2682,E2682)</f>
        <v>0.88229353245099995</v>
      </c>
      <c r="L2682" s="12">
        <f>[1]!EM_HKS_VAL_MV(B2682,"2019-12-31","2")</f>
        <v>1684000000</v>
      </c>
      <c r="M2682">
        <f>[1]!EM_S_VAL_PETTMDEDUCTED(B2682,E2682)</f>
        <v>47.994609621585603</v>
      </c>
      <c r="N2682" s="7">
        <f>[1]!EM_S_VAL_PBGOODWILLDEDUCTED(B2682,E2682)</f>
        <v>2.9303486627519302</v>
      </c>
      <c r="O2682" s="7">
        <f>[1]!EM_S_VAL_PS_TTM(B2682,E2682)</f>
        <v>2.8050689035382499</v>
      </c>
      <c r="P2682" s="7">
        <f>[1]!EM_S_VAL_PCF_NCFTTM(B2682,E2682)</f>
        <v>-16.133479860645998</v>
      </c>
      <c r="Q2682" s="7">
        <f>[1]!EM_S_VAL_DIVIDENDYIELD2(B2682,E2682,"2019-11-29")</f>
        <v>0.81967213114754101</v>
      </c>
      <c r="T2682"/>
      <c r="U2682">
        <f>[1]!EM_S_RATIO_EPS_TTM(B2682,E2682,"1")</f>
        <v>0.42832828659999994</v>
      </c>
      <c r="AT2682" s="4" t="str">
        <f>[1]!EM_S_IPO_LISTEDDATE(B2682)</f>
        <v>2017-05-02</v>
      </c>
    </row>
    <row r="2683" spans="1:46">
      <c r="A2683">
        <v>3261</v>
      </c>
      <c r="B2683" t="str">
        <f>"603089"</f>
        <v>603089</v>
      </c>
      <c r="C2683" t="s">
        <v>2848</v>
      </c>
      <c r="D2683" t="str">
        <f>[1]!EM_S_INFO_INDEX_EM(B2683,"1")</f>
        <v>交运设备</v>
      </c>
      <c r="E2683" s="4">
        <f t="shared" si="41"/>
        <v>43465</v>
      </c>
      <c r="F2683" s="11">
        <f>[1]!EM_S_PQ_PCTCHANGE(B2683,"2018-01-01","2019-12-31","3")</f>
        <v>-11.26821269</v>
      </c>
      <c r="G2683" s="11">
        <f>[1]!EM_S_PQ_PCTCHANGE(B2683,"2018-12-31","2019-12-30","1")</f>
        <v>-8.0368098200000002</v>
      </c>
      <c r="H2683" s="11">
        <f>[1]!EM_S_FA_YOY_OR(B2683,E2683)</f>
        <v>28.411399046500001</v>
      </c>
      <c r="I2683" s="11">
        <f>[1]!EM_S_FA_GROSSPROFITMARGIN(B2683,E2683)</f>
        <v>23.600184877899999</v>
      </c>
      <c r="J2683" s="11">
        <f>[1]!EM_S_FA_NETPROFITMARGIN(B2683,E2683)</f>
        <v>9.8778282225999998</v>
      </c>
      <c r="K2683" s="10">
        <f>[1]!EM_S_FA_ASSETSTURN(B2683,E2683)</f>
        <v>0.81761558801400003</v>
      </c>
      <c r="L2683" s="12">
        <f>[1]!EM_HKS_VAL_MV(B2683,"2019-12-31","2")</f>
        <v>2210255735</v>
      </c>
      <c r="M2683">
        <f>[1]!EM_S_VAL_PETTMDEDUCTED(B2683,E2683)</f>
        <v>26.538950894233899</v>
      </c>
      <c r="N2683" s="7">
        <f>[1]!EM_S_VAL_PBGOODWILLDEDUCTED(B2683,E2683)</f>
        <v>3.1353622423787502</v>
      </c>
      <c r="O2683" s="7">
        <f>[1]!EM_S_VAL_PS_TTM(B2683,E2683)</f>
        <v>1.80873450930862</v>
      </c>
      <c r="P2683" s="7">
        <f>[1]!EM_S_VAL_PCF_NCFTTM(B2683,E2683)</f>
        <v>-65.706987775146601</v>
      </c>
      <c r="Q2683" s="7">
        <f>[1]!EM_S_VAL_DIVIDENDYIELD2(B2683,E2683,"2019-11-29")</f>
        <v>1.7184098980410127</v>
      </c>
      <c r="T2683"/>
      <c r="U2683">
        <f>[1]!EM_S_RATIO_EPS_TTM(B2683,E2683,"1")</f>
        <v>0.94458637367582265</v>
      </c>
      <c r="AT2683" s="4" t="str">
        <f>[1]!EM_S_IPO_LISTEDDATE(B2683)</f>
        <v>2017-01-26</v>
      </c>
    </row>
    <row r="2684" spans="1:46">
      <c r="A2684">
        <v>861</v>
      </c>
      <c r="B2684" t="str">
        <f>"002350"</f>
        <v>002350</v>
      </c>
      <c r="C2684" t="s">
        <v>2652</v>
      </c>
      <c r="D2684" t="str">
        <f>[1]!EM_S_INFO_INDEX_EM(B2684,"1")</f>
        <v>电气设备</v>
      </c>
      <c r="E2684" s="4">
        <f t="shared" si="41"/>
        <v>43465</v>
      </c>
      <c r="F2684" s="11">
        <f>[1]!EM_S_PQ_PCTCHANGE(B2684,"2018-01-01","2019-12-31","3")</f>
        <v>-36.08955744</v>
      </c>
      <c r="G2684" s="11">
        <f>[1]!EM_S_PQ_PCTCHANGE(B2684,"2018-12-31","2019-12-30","1")</f>
        <v>-8.0592105299999997</v>
      </c>
      <c r="H2684" s="11">
        <f>[1]!EM_S_FA_YOY_OR(B2684,E2684)</f>
        <v>15.1358667275</v>
      </c>
      <c r="I2684" s="11">
        <f>[1]!EM_S_FA_GROSSPROFITMARGIN(B2684,E2684)</f>
        <v>24.555671419199999</v>
      </c>
      <c r="J2684" s="11">
        <f>[1]!EM_S_FA_NETPROFITMARGIN(B2684,E2684)</f>
        <v>4.1893215898999996</v>
      </c>
      <c r="K2684" s="10">
        <f>[1]!EM_S_FA_ASSETSTURN(B2684,E2684)</f>
        <v>0.78619992468800004</v>
      </c>
      <c r="L2684" s="12">
        <f>[1]!EM_HKS_VAL_MV(B2684,"2019-12-31","2")</f>
        <v>2761170501.5999999</v>
      </c>
      <c r="M2684">
        <f>[1]!EM_S_VAL_PETTMDEDUCTED(B2684,E2684)</f>
        <v>25.092259997131102</v>
      </c>
      <c r="N2684" s="7">
        <f>[1]!EM_S_VAL_PBGOODWILLDEDUCTED(B2684,E2684)</f>
        <v>1.7788173912804099</v>
      </c>
      <c r="O2684" s="7">
        <f>[1]!EM_S_VAL_PS_TTM(B2684,E2684)</f>
        <v>1.20574555617183</v>
      </c>
      <c r="P2684" s="7">
        <f>[1]!EM_S_VAL_PCF_NCFTTM(B2684,E2684)</f>
        <v>12.295866188532999</v>
      </c>
      <c r="Q2684" s="7">
        <f>[1]!EM_S_VAL_DIVIDENDYIELD2(B2684,E2684,"2019-11-29")</f>
        <v>1.1278195488721803</v>
      </c>
      <c r="T2684"/>
      <c r="U2684">
        <f>[1]!EM_S_RATIO_EPS_TTM(B2684,E2684,"1")</f>
        <v>0.20450364022489967</v>
      </c>
      <c r="AT2684" s="4" t="str">
        <f>[1]!EM_S_IPO_LISTEDDATE(B2684)</f>
        <v>2010-02-03</v>
      </c>
    </row>
    <row r="2685" spans="1:46">
      <c r="A2685">
        <v>1300</v>
      </c>
      <c r="B2685" t="str">
        <f>"002795"</f>
        <v>002795</v>
      </c>
      <c r="C2685" t="s">
        <v>2025</v>
      </c>
      <c r="D2685" t="str">
        <f>[1]!EM_S_INFO_INDEX_EM(B2685,"1")</f>
        <v>机械设备</v>
      </c>
      <c r="E2685" s="4">
        <f t="shared" si="41"/>
        <v>43465</v>
      </c>
      <c r="F2685" s="11">
        <f>[1]!EM_S_PQ_PCTCHANGE(B2685,"2018-01-01","2019-12-31","3")</f>
        <v>-9.7864565700000004</v>
      </c>
      <c r="G2685" s="11">
        <f>[1]!EM_S_PQ_PCTCHANGE(B2685,"2018-12-31","2019-12-30","1")</f>
        <v>-8.0974325199999999</v>
      </c>
      <c r="H2685" s="11">
        <f>[1]!EM_S_FA_YOY_OR(B2685,E2685)</f>
        <v>17.819329692499998</v>
      </c>
      <c r="I2685" s="11">
        <f>[1]!EM_S_FA_GROSSPROFITMARGIN(B2685,E2685)</f>
        <v>28.9228521022</v>
      </c>
      <c r="J2685" s="11">
        <f>[1]!EM_S_FA_NETPROFITMARGIN(B2685,E2685)</f>
        <v>12.622067962399999</v>
      </c>
      <c r="K2685" s="10">
        <f>[1]!EM_S_FA_ASSETSTURN(B2685,E2685)</f>
        <v>0.84857274013799999</v>
      </c>
      <c r="L2685" s="12">
        <f>[1]!EM_HKS_VAL_MV(B2685,"2019-12-31","2")</f>
        <v>2786000000</v>
      </c>
      <c r="M2685">
        <f>[1]!EM_S_VAL_PETTMDEDUCTED(B2685,E2685)</f>
        <v>39.241719193234204</v>
      </c>
      <c r="N2685" s="7">
        <f>[1]!EM_S_VAL_PBGOODWILLDEDUCTED(B2685,E2685)</f>
        <v>4.7870928962241699</v>
      </c>
      <c r="O2685" s="7">
        <f>[1]!EM_S_VAL_PS_TTM(B2685,E2685)</f>
        <v>4.7285414900686904</v>
      </c>
      <c r="P2685" s="7">
        <f>[1]!EM_S_VAL_PCF_NCFTTM(B2685,E2685)</f>
        <v>-425.91584886162201</v>
      </c>
      <c r="Q2685" s="7">
        <f>[1]!EM_S_VAL_DIVIDENDYIELD2(B2685,E2685,"2019-11-29")</f>
        <v>3.7593984962406015</v>
      </c>
      <c r="T2685"/>
      <c r="U2685">
        <f>[1]!EM_S_RATIO_EPS_TTM(B2685,E2685,"1")</f>
        <v>0.40666313674999999</v>
      </c>
      <c r="AT2685" s="4" t="str">
        <f>[1]!EM_S_IPO_LISTEDDATE(B2685)</f>
        <v>2016-04-28</v>
      </c>
    </row>
    <row r="2686" spans="1:46">
      <c r="A2686">
        <v>110</v>
      </c>
      <c r="B2686" t="str">
        <f>"000498"</f>
        <v>000498</v>
      </c>
      <c r="C2686" t="s">
        <v>2429</v>
      </c>
      <c r="D2686" t="str">
        <f>[1]!EM_S_INFO_INDEX_EM(B2686,"1")</f>
        <v>建筑</v>
      </c>
      <c r="E2686" s="4">
        <f t="shared" si="41"/>
        <v>43465</v>
      </c>
      <c r="F2686" s="11">
        <f>[1]!EM_S_PQ_PCTCHANGE(B2686,"2018-01-01","2019-12-31","3")</f>
        <v>-27.919246449999999</v>
      </c>
      <c r="G2686" s="11">
        <f>[1]!EM_S_PQ_PCTCHANGE(B2686,"2018-12-31","2019-12-30","1")</f>
        <v>-8.1027667999999995</v>
      </c>
      <c r="H2686" s="11">
        <f>[1]!EM_S_FA_YOY_OR(B2686,E2686)</f>
        <v>19.246708874399999</v>
      </c>
      <c r="I2686" s="11">
        <f>[1]!EM_S_FA_GROSSPROFITMARGIN(B2686,E2686)</f>
        <v>10.7308402087</v>
      </c>
      <c r="J2686" s="11">
        <f>[1]!EM_S_FA_NETPROFITMARGIN(B2686,E2686)</f>
        <v>4.5847919467000002</v>
      </c>
      <c r="K2686" s="10">
        <f>[1]!EM_S_FA_ASSETSTURN(B2686,E2686)</f>
        <v>0.71141578343099998</v>
      </c>
      <c r="L2686" s="12">
        <f>[1]!EM_HKS_VAL_MV(B2686,"2019-12-31","2")</f>
        <v>5242250814.8400002</v>
      </c>
      <c r="M2686">
        <f>[1]!EM_S_VAL_PETTMDEDUCTED(B2686,E2686)</f>
        <v>12.6600079656824</v>
      </c>
      <c r="N2686" s="7">
        <f>[1]!EM_S_VAL_PBGOODWILLDEDUCTED(B2686,E2686)</f>
        <v>1.13342001139294</v>
      </c>
      <c r="O2686" s="7">
        <f>[1]!EM_S_VAL_PS_TTM(B2686,E2686)</f>
        <v>0.38058562849490302</v>
      </c>
      <c r="P2686" s="7">
        <f>[1]!EM_S_VAL_PCF_NCFTTM(B2686,E2686)</f>
        <v>38.951576652786002</v>
      </c>
      <c r="Q2686" s="7">
        <f>[1]!EM_S_VAL_DIVIDENDYIELD2(B2686,E2686,"2019-11-29")</f>
        <v>1.6375545851528384</v>
      </c>
      <c r="T2686"/>
      <c r="U2686">
        <f>[1]!EM_S_RATIO_EPS_TTM(B2686,E2686,"1")</f>
        <v>0.59244358280182574</v>
      </c>
      <c r="AT2686" s="4" t="str">
        <f>[1]!EM_S_IPO_LISTEDDATE(B2686)</f>
        <v>1997-06-09</v>
      </c>
    </row>
    <row r="2687" spans="1:46">
      <c r="A2687">
        <v>1775</v>
      </c>
      <c r="B2687" t="str">
        <f>"300350"</f>
        <v>300350</v>
      </c>
      <c r="C2687" t="s">
        <v>2435</v>
      </c>
      <c r="D2687" t="str">
        <f>[1]!EM_S_INFO_INDEX_EM(B2687,"1")</f>
        <v>信息技术</v>
      </c>
      <c r="E2687" s="4">
        <f t="shared" si="41"/>
        <v>43465</v>
      </c>
      <c r="F2687" s="11">
        <f>[1]!EM_S_PQ_PCTCHANGE(B2687,"2018-01-01","2019-12-31","3")</f>
        <v>-47.315096250000003</v>
      </c>
      <c r="G2687" s="11">
        <f>[1]!EM_S_PQ_PCTCHANGE(B2687,"2018-12-31","2019-12-30","1")</f>
        <v>-8.1128747800000003</v>
      </c>
      <c r="H2687" s="11">
        <f>[1]!EM_S_FA_YOY_OR(B2687,E2687)</f>
        <v>-1.0529811392999999</v>
      </c>
      <c r="I2687" s="11">
        <f>[1]!EM_S_FA_GROSSPROFITMARGIN(B2687,E2687)</f>
        <v>28.892484571099999</v>
      </c>
      <c r="J2687" s="11">
        <f>[1]!EM_S_FA_NETPROFITMARGIN(B2687,E2687)</f>
        <v>-58.803431829300003</v>
      </c>
      <c r="K2687" s="10">
        <f>[1]!EM_S_FA_ASSETSTURN(B2687,E2687)</f>
        <v>0.37583436677999998</v>
      </c>
      <c r="L2687" s="12">
        <f>[1]!EM_HKS_VAL_MV(B2687,"2019-12-31","2")</f>
        <v>2478967051.5999999</v>
      </c>
      <c r="M2687">
        <f>[1]!EM_S_VAL_PETTMDEDUCTED(B2687,E2687)</f>
        <v>-10.0002139269625</v>
      </c>
      <c r="N2687" s="7">
        <f>[1]!EM_S_VAL_PBGOODWILLDEDUCTED(B2687,E2687)</f>
        <v>4.7316366019536797</v>
      </c>
      <c r="O2687" s="7">
        <f>[1]!EM_S_VAL_PS_TTM(B2687,E2687)</f>
        <v>2.8933812488433599</v>
      </c>
      <c r="P2687" s="7">
        <f>[1]!EM_S_VAL_PCF_NCFTTM(B2687,E2687)</f>
        <v>-37.787113714259199</v>
      </c>
      <c r="Q2687" s="7">
        <f>[1]!EM_S_VAL_DIVIDENDYIELD2(B2687,E2687,"2019-11-29")</f>
        <v>0</v>
      </c>
      <c r="T2687"/>
      <c r="U2687">
        <f>[1]!EM_S_RATIO_EPS_TTM(B2687,E2687,"1")</f>
        <v>-1.2625321389810118</v>
      </c>
      <c r="AT2687" s="4" t="str">
        <f>[1]!EM_S_IPO_LISTEDDATE(B2687)</f>
        <v>2012-08-21</v>
      </c>
    </row>
    <row r="2688" spans="1:46">
      <c r="A2688">
        <v>169</v>
      </c>
      <c r="B2688" t="str">
        <f>"000560"</f>
        <v>000560</v>
      </c>
      <c r="C2688" t="s">
        <v>1661</v>
      </c>
      <c r="D2688" t="str">
        <f>[1]!EM_S_INFO_INDEX_EM(B2688,"1")</f>
        <v>房地产</v>
      </c>
      <c r="E2688" s="4">
        <f t="shared" si="41"/>
        <v>43465</v>
      </c>
      <c r="F2688" s="11">
        <f>[1]!EM_S_PQ_PCTCHANGE(B2688,"2018-01-01","2019-12-31","3")</f>
        <v>-40.264458840000003</v>
      </c>
      <c r="G2688" s="11">
        <f>[1]!EM_S_PQ_PCTCHANGE(B2688,"2018-12-31","2019-12-30","1")</f>
        <v>-8.1370449699999998</v>
      </c>
      <c r="H2688" s="11">
        <f>[1]!EM_S_FA_YOY_OR(B2688,E2688)</f>
        <v>710.909459029</v>
      </c>
      <c r="I2688" s="11">
        <f>[1]!EM_S_FA_GROSSPROFITMARGIN(B2688,E2688)</f>
        <v>30.195760539999998</v>
      </c>
      <c r="J2688" s="11">
        <f>[1]!EM_S_FA_NETPROFITMARGIN(B2688,E2688)</f>
        <v>6.5083598551000001</v>
      </c>
      <c r="K2688" s="10">
        <f>[1]!EM_S_FA_ASSETSTURN(B2688,E2688)</f>
        <v>0.60235624393599996</v>
      </c>
      <c r="L2688" s="12">
        <f>[1]!EM_HKS_VAL_MV(B2688,"2019-12-31","2")</f>
        <v>10152208667.809999</v>
      </c>
      <c r="M2688">
        <f>[1]!EM_S_VAL_PETTMDEDUCTED(B2688,E2688)</f>
        <v>20.015099735872798</v>
      </c>
      <c r="N2688" s="7">
        <f>[1]!EM_S_VAL_PBGOODWILLDEDUCTED(B2688,E2688)</f>
        <v>2.2538554258142498</v>
      </c>
      <c r="O2688" s="7">
        <f>[1]!EM_S_VAL_PS_TTM(B2688,E2688)</f>
        <v>1.25132393852742</v>
      </c>
      <c r="P2688" s="7">
        <f>[1]!EM_S_VAL_PCF_NCFTTM(B2688,E2688)</f>
        <v>6.7556810889559804</v>
      </c>
      <c r="Q2688" s="7">
        <f>[1]!EM_S_VAL_DIVIDENDYIELD2(B2688,E2688,"2019-11-29")</f>
        <v>1.5981735159817352</v>
      </c>
      <c r="T2688"/>
      <c r="U2688">
        <f>[1]!EM_S_RATIO_EPS_TTM(B2688,E2688,"1")</f>
        <v>0.2678863635146273</v>
      </c>
      <c r="AT2688" s="4" t="str">
        <f>[1]!EM_S_IPO_LISTEDDATE(B2688)</f>
        <v>1994-02-02</v>
      </c>
    </row>
    <row r="2689" spans="1:46">
      <c r="A2689">
        <v>2131</v>
      </c>
      <c r="B2689" t="str">
        <f>"300716"</f>
        <v>300716</v>
      </c>
      <c r="C2689" t="s">
        <v>1006</v>
      </c>
      <c r="D2689" t="str">
        <f>[1]!EM_S_INFO_INDEX_EM(B2689,"1")</f>
        <v>基础化工</v>
      </c>
      <c r="E2689" s="4">
        <f t="shared" si="41"/>
        <v>43465</v>
      </c>
      <c r="F2689" s="11">
        <f>[1]!EM_S_PQ_PCTCHANGE(B2689,"2018-01-01","2019-12-31","3")</f>
        <v>-39.309948800000001</v>
      </c>
      <c r="G2689" s="11">
        <f>[1]!EM_S_PQ_PCTCHANGE(B2689,"2018-12-31","2019-12-30","1")</f>
        <v>-8.1777777799999996</v>
      </c>
      <c r="H2689" s="11">
        <f>[1]!EM_S_FA_YOY_OR(B2689,E2689)</f>
        <v>44.132627132000003</v>
      </c>
      <c r="I2689" s="11">
        <f>[1]!EM_S_FA_GROSSPROFITMARGIN(B2689,E2689)</f>
        <v>17.069803148399998</v>
      </c>
      <c r="J2689" s="11">
        <f>[1]!EM_S_FA_NETPROFITMARGIN(B2689,E2689)</f>
        <v>4.7221065619000004</v>
      </c>
      <c r="K2689" s="10">
        <f>[1]!EM_S_FA_ASSETSTURN(B2689,E2689)</f>
        <v>0.88954813754299999</v>
      </c>
      <c r="L2689" s="12">
        <f>[1]!EM_HKS_VAL_MV(B2689,"2019-12-31","2")</f>
        <v>1661007600</v>
      </c>
      <c r="M2689">
        <f>[1]!EM_S_VAL_PETTMDEDUCTED(B2689,E2689)</f>
        <v>32.080985290769398</v>
      </c>
      <c r="N2689" s="7">
        <f>[1]!EM_S_VAL_PBGOODWILLDEDUCTED(B2689,E2689)</f>
        <v>2.17259221594305</v>
      </c>
      <c r="O2689" s="7">
        <f>[1]!EM_S_VAL_PS_TTM(B2689,E2689)</f>
        <v>1.78997041906295</v>
      </c>
      <c r="P2689" s="7">
        <f>[1]!EM_S_VAL_PCF_NCFTTM(B2689,E2689)</f>
        <v>20.7203930412864</v>
      </c>
      <c r="Q2689" s="7">
        <f>[1]!EM_S_VAL_DIVIDENDYIELD2(B2689,E2689,"2019-11-29")</f>
        <v>0.69473684210526321</v>
      </c>
      <c r="T2689"/>
      <c r="U2689">
        <f>[1]!EM_S_RATIO_EPS_TTM(B2689,E2689,"1")</f>
        <v>0.34685561261092362</v>
      </c>
      <c r="AT2689" s="4" t="str">
        <f>[1]!EM_S_IPO_LISTEDDATE(B2689)</f>
        <v>2017-11-09</v>
      </c>
    </row>
    <row r="2690" spans="1:46">
      <c r="A2690">
        <v>2884</v>
      </c>
      <c r="B2690" t="str">
        <f>"600811"</f>
        <v>600811</v>
      </c>
      <c r="C2690" t="s">
        <v>2399</v>
      </c>
      <c r="D2690" t="str">
        <f>[1]!EM_S_INFO_INDEX_EM(B2690,"1")</f>
        <v>农林牧渔</v>
      </c>
      <c r="E2690" s="4">
        <f t="shared" si="41"/>
        <v>43465</v>
      </c>
      <c r="F2690" s="11">
        <f>[1]!EM_S_PQ_PCTCHANGE(B2690,"2018-01-01","2019-12-31","3")</f>
        <v>-26.294739629999999</v>
      </c>
      <c r="G2690" s="11">
        <f>[1]!EM_S_PQ_PCTCHANGE(B2690,"2018-12-31","2019-12-30","1")</f>
        <v>-8.1967213099999991</v>
      </c>
      <c r="H2690" s="11">
        <f>[1]!EM_S_FA_YOY_OR(B2690,E2690)</f>
        <v>82.089552622599996</v>
      </c>
      <c r="I2690" s="11">
        <f>[1]!EM_S_FA_GROSSPROFITMARGIN(B2690,E2690)</f>
        <v>6.8242182965999998</v>
      </c>
      <c r="J2690" s="11">
        <f>[1]!EM_S_FA_NETPROFITMARGIN(B2690,E2690)</f>
        <v>4.4487014681000003</v>
      </c>
      <c r="K2690" s="10">
        <f>[1]!EM_S_FA_ASSETSTURN(B2690,E2690)</f>
        <v>0.29730892451399998</v>
      </c>
      <c r="L2690" s="12">
        <f>[1]!EM_HKS_VAL_MV(B2690,"2019-12-31","2")</f>
        <v>12480975776.639999</v>
      </c>
      <c r="M2690">
        <f>[1]!EM_S_VAL_PETTMDEDUCTED(B2690,E2690)</f>
        <v>13.275942752171</v>
      </c>
      <c r="N2690" s="7">
        <f>[1]!EM_S_VAL_PBGOODWILLDEDUCTED(B2690,E2690)</f>
        <v>0.667443154768251</v>
      </c>
      <c r="O2690" s="7">
        <f>[1]!EM_S_VAL_PS_TTM(B2690,E2690)</f>
        <v>1.2850982511312199</v>
      </c>
      <c r="P2690" s="7">
        <f>[1]!EM_S_VAL_PCF_NCFTTM(B2690,E2690)</f>
        <v>-7.2735609298775596</v>
      </c>
      <c r="Q2690" s="7">
        <f>[1]!EM_S_VAL_DIVIDENDYIELD2(B2690,E2690,"2019-11-29")</f>
        <v>0</v>
      </c>
      <c r="T2690"/>
      <c r="U2690">
        <f>[1]!EM_S_RATIO_EPS_TTM(B2690,E2690,"1")</f>
        <v>0.17651769995332045</v>
      </c>
      <c r="AT2690" s="4" t="str">
        <f>[1]!EM_S_IPO_LISTEDDATE(B2690)</f>
        <v>1994-01-06</v>
      </c>
    </row>
    <row r="2691" spans="1:46">
      <c r="A2691">
        <v>1851</v>
      </c>
      <c r="B2691" t="str">
        <f>"300426"</f>
        <v>300426</v>
      </c>
      <c r="C2691" t="s">
        <v>1378</v>
      </c>
      <c r="D2691" t="str">
        <f>[1]!EM_S_INFO_INDEX_EM(B2691,"1")</f>
        <v>文化传媒</v>
      </c>
      <c r="E2691" s="4">
        <f t="shared" ref="E2691:E2754" si="42">$B$1</f>
        <v>43465</v>
      </c>
      <c r="F2691" s="11">
        <f>[1]!EM_S_PQ_PCTCHANGE(B2691,"2018-01-01","2019-12-31","3")</f>
        <v>-68.359598849999998</v>
      </c>
      <c r="G2691" s="11">
        <f>[1]!EM_S_PQ_PCTCHANGE(B2691,"2018-12-31","2019-12-30","1")</f>
        <v>-8.2111436999999992</v>
      </c>
      <c r="H2691" s="11">
        <f>[1]!EM_S_FA_YOY_OR(B2691,E2691)</f>
        <v>-68.520979978400007</v>
      </c>
      <c r="I2691" s="11">
        <f>[1]!EM_S_FA_GROSSPROFITMARGIN(B2691,E2691)</f>
        <v>8.6879210303000001</v>
      </c>
      <c r="J2691" s="11">
        <f>[1]!EM_S_FA_NETPROFITMARGIN(B2691,E2691)</f>
        <v>-256.18002648769999</v>
      </c>
      <c r="K2691" s="10">
        <f>[1]!EM_S_FA_ASSETSTURN(B2691,E2691)</f>
        <v>0.12863500033399999</v>
      </c>
      <c r="L2691" s="12">
        <f>[1]!EM_HKS_VAL_MV(B2691,"2019-12-31","2")</f>
        <v>2617220500</v>
      </c>
      <c r="M2691">
        <f>[1]!EM_S_VAL_PETTMDEDUCTED(B2691,E2691)</f>
        <v>16.2730651164233</v>
      </c>
      <c r="N2691" s="7">
        <f>[1]!EM_S_VAL_PBGOODWILLDEDUCTED(B2691,E2691)</f>
        <v>10.4979007194388</v>
      </c>
      <c r="O2691" s="7">
        <f>[1]!EM_S_VAL_PS_TTM(B2691,E2691)</f>
        <v>2.15624554033805</v>
      </c>
      <c r="P2691" s="7">
        <f>[1]!EM_S_VAL_PCF_NCFTTM(B2691,E2691)</f>
        <v>-54.825368974642799</v>
      </c>
      <c r="Q2691" s="7">
        <f>[1]!EM_S_VAL_DIVIDENDYIELD2(B2691,E2691,"2019-11-29")</f>
        <v>0</v>
      </c>
      <c r="T2691"/>
      <c r="U2691">
        <f>[1]!EM_S_RATIO_EPS_TTM(B2691,E2691,"1")</f>
        <v>-2.3186106687999999</v>
      </c>
      <c r="AT2691" s="4" t="str">
        <f>[1]!EM_S_IPO_LISTEDDATE(B2691)</f>
        <v>2015-02-17</v>
      </c>
    </row>
    <row r="2692" spans="1:46">
      <c r="A2692">
        <v>876</v>
      </c>
      <c r="B2692" t="str">
        <f>"002365"</f>
        <v>002365</v>
      </c>
      <c r="C2692" t="s">
        <v>682</v>
      </c>
      <c r="D2692" t="str">
        <f>[1]!EM_S_INFO_INDEX_EM(B2692,"1")</f>
        <v>医药生物</v>
      </c>
      <c r="E2692" s="4">
        <f t="shared" si="42"/>
        <v>43465</v>
      </c>
      <c r="F2692" s="11">
        <f>[1]!EM_S_PQ_PCTCHANGE(B2692,"2018-01-01","2019-12-31","3")</f>
        <v>-54.729731319999999</v>
      </c>
      <c r="G2692" s="11">
        <f>[1]!EM_S_PQ_PCTCHANGE(B2692,"2018-12-31","2019-12-30","1")</f>
        <v>-8.2375478900000001</v>
      </c>
      <c r="H2692" s="11">
        <f>[1]!EM_S_FA_YOY_OR(B2692,E2692)</f>
        <v>7.7871253401000002</v>
      </c>
      <c r="I2692" s="11">
        <f>[1]!EM_S_FA_GROSSPROFITMARGIN(B2692,E2692)</f>
        <v>34.815299279800001</v>
      </c>
      <c r="J2692" s="11">
        <f>[1]!EM_S_FA_NETPROFITMARGIN(B2692,E2692)</f>
        <v>17.794112278699998</v>
      </c>
      <c r="K2692" s="10">
        <f>[1]!EM_S_FA_ASSETSTURN(B2692,E2692)</f>
        <v>0.57305057867999998</v>
      </c>
      <c r="L2692" s="12">
        <f>[1]!EM_HKS_VAL_MV(B2692,"2019-12-31","2")</f>
        <v>2905569450</v>
      </c>
      <c r="M2692">
        <f>[1]!EM_S_VAL_PETTMDEDUCTED(B2692,E2692)</f>
        <v>18.855880082131701</v>
      </c>
      <c r="N2692" s="7">
        <f>[1]!EM_S_VAL_PBGOODWILLDEDUCTED(B2692,E2692)</f>
        <v>1.95813541480505</v>
      </c>
      <c r="O2692" s="7">
        <f>[1]!EM_S_VAL_PS_TTM(B2692,E2692)</f>
        <v>3.0290533734292602</v>
      </c>
      <c r="P2692" s="7">
        <f>[1]!EM_S_VAL_PCF_NCFTTM(B2692,E2692)</f>
        <v>91.042943763494804</v>
      </c>
      <c r="Q2692" s="7">
        <f>[1]!EM_S_VAL_DIVIDENDYIELD2(B2692,E2692,"2019-11-29")</f>
        <v>1.2251934306569343</v>
      </c>
      <c r="T2692"/>
      <c r="U2692">
        <f>[1]!EM_S_RATIO_EPS_TTM(B2692,E2692,"1")</f>
        <v>0.60602270219643173</v>
      </c>
      <c r="AT2692" s="4" t="str">
        <f>[1]!EM_S_IPO_LISTEDDATE(B2692)</f>
        <v>2010-03-05</v>
      </c>
    </row>
    <row r="2693" spans="1:46">
      <c r="A2693">
        <v>1876</v>
      </c>
      <c r="B2693" t="str">
        <f>"300451"</f>
        <v>300451</v>
      </c>
      <c r="C2693" t="s">
        <v>1259</v>
      </c>
      <c r="D2693" t="str">
        <f>[1]!EM_S_INFO_INDEX_EM(B2693,"1")</f>
        <v>医药生物</v>
      </c>
      <c r="E2693" s="4">
        <f t="shared" si="42"/>
        <v>43465</v>
      </c>
      <c r="F2693" s="11">
        <f>[1]!EM_S_PQ_PCTCHANGE(B2693,"2018-01-01","2019-12-31","3")</f>
        <v>150.14556146999999</v>
      </c>
      <c r="G2693" s="11">
        <f>[1]!EM_S_PQ_PCTCHANGE(B2693,"2018-12-31","2019-12-30","1")</f>
        <v>-8.2506527399999996</v>
      </c>
      <c r="H2693" s="11">
        <f>[1]!EM_S_FA_YOY_OR(B2693,E2693)</f>
        <v>11.9116243866</v>
      </c>
      <c r="I2693" s="11">
        <f>[1]!EM_S_FA_GROSSPROFITMARGIN(B2693,E2693)</f>
        <v>49.754355564199997</v>
      </c>
      <c r="J2693" s="11">
        <f>[1]!EM_S_FA_NETPROFITMARGIN(B2693,E2693)</f>
        <v>17.057314994799999</v>
      </c>
      <c r="K2693" s="10">
        <f>[1]!EM_S_FA_ASSETSTURN(B2693,E2693)</f>
        <v>0.44665674119799997</v>
      </c>
      <c r="L2693" s="12">
        <f>[1]!EM_HKS_VAL_MV(B2693,"2019-12-31","2")</f>
        <v>13271140564.5</v>
      </c>
      <c r="M2693">
        <f>[1]!EM_S_VAL_PETTMDEDUCTED(B2693,E2693)</f>
        <v>49.794227525179103</v>
      </c>
      <c r="N2693" s="7">
        <f>[1]!EM_S_VAL_PBGOODWILLDEDUCTED(B2693,E2693)</f>
        <v>7.6636480080078</v>
      </c>
      <c r="O2693" s="7">
        <f>[1]!EM_S_VAL_PS_TTM(B2693,E2693)</f>
        <v>7.7880476984510203</v>
      </c>
      <c r="P2693" s="7">
        <f>[1]!EM_S_VAL_PCF_NCFTTM(B2693,E2693)</f>
        <v>-757.70372291589194</v>
      </c>
      <c r="Q2693" s="7">
        <f>[1]!EM_S_VAL_DIVIDENDYIELD2(B2693,E2693,"2019-11-29")</f>
        <v>0.20134117822270906</v>
      </c>
      <c r="T2693"/>
      <c r="U2693">
        <f>[1]!EM_S_RATIO_EPS_TTM(B2693,E2693,"1")</f>
        <v>0.4381054964899237</v>
      </c>
      <c r="AT2693" s="4" t="str">
        <f>[1]!EM_S_IPO_LISTEDDATE(B2693)</f>
        <v>2015-05-14</v>
      </c>
    </row>
    <row r="2694" spans="1:46">
      <c r="A2694">
        <v>375</v>
      </c>
      <c r="B2694" t="str">
        <f>"000819"</f>
        <v>000819</v>
      </c>
      <c r="C2694" t="s">
        <v>1875</v>
      </c>
      <c r="D2694" t="str">
        <f>[1]!EM_S_INFO_INDEX_EM(B2694,"1")</f>
        <v>化石能源</v>
      </c>
      <c r="E2694" s="4">
        <f t="shared" si="42"/>
        <v>43465</v>
      </c>
      <c r="F2694" s="11">
        <f>[1]!EM_S_PQ_PCTCHANGE(B2694,"2018-01-01","2019-12-31","3")</f>
        <v>-31.99480732</v>
      </c>
      <c r="G2694" s="11">
        <f>[1]!EM_S_PQ_PCTCHANGE(B2694,"2018-12-31","2019-12-30","1")</f>
        <v>-8.2672706700000003</v>
      </c>
      <c r="H2694" s="11">
        <f>[1]!EM_S_FA_YOY_OR(B2694,E2694)</f>
        <v>26.6353035327</v>
      </c>
      <c r="I2694" s="11">
        <f>[1]!EM_S_FA_GROSSPROFITMARGIN(B2694,E2694)</f>
        <v>8.4296323541000007</v>
      </c>
      <c r="J2694" s="11">
        <f>[1]!EM_S_FA_NETPROFITMARGIN(B2694,E2694)</f>
        <v>2.3151350131999999</v>
      </c>
      <c r="K2694" s="10">
        <f>[1]!EM_S_FA_ASSETSTURN(B2694,E2694)</f>
        <v>2.3909570303669998</v>
      </c>
      <c r="L2694" s="12">
        <f>[1]!EM_HKS_VAL_MV(B2694,"2019-12-31","2")</f>
        <v>2307730540.5</v>
      </c>
      <c r="M2694">
        <f>[1]!EM_S_VAL_PETTMDEDUCTED(B2694,E2694)</f>
        <v>93.473914436091604</v>
      </c>
      <c r="N2694" s="7">
        <f>[1]!EM_S_VAL_PBGOODWILLDEDUCTED(B2694,E2694)</f>
        <v>3.2674715475668599</v>
      </c>
      <c r="O2694" s="7">
        <f>[1]!EM_S_VAL_PS_TTM(B2694,E2694)</f>
        <v>1.1978359563741801</v>
      </c>
      <c r="P2694" s="7">
        <f>[1]!EM_S_VAL_PCF_NCFTTM(B2694,E2694)</f>
        <v>-89.823747937136204</v>
      </c>
      <c r="Q2694" s="7">
        <f>[1]!EM_S_VAL_DIVIDENDYIELD2(B2694,E2694,"2019-11-29")</f>
        <v>0.24769335562573538</v>
      </c>
      <c r="T2694"/>
      <c r="U2694">
        <f>[1]!EM_S_RATIO_EPS_TTM(B2694,E2694,"1")</f>
        <v>0.19191418698664139</v>
      </c>
      <c r="AT2694" s="4" t="str">
        <f>[1]!EM_S_IPO_LISTEDDATE(B2694)</f>
        <v>1997-06-25</v>
      </c>
    </row>
    <row r="2695" spans="1:46">
      <c r="A2695">
        <v>1203</v>
      </c>
      <c r="B2695" t="str">
        <f>"002692"</f>
        <v>002692</v>
      </c>
      <c r="C2695" t="s">
        <v>2311</v>
      </c>
      <c r="D2695" t="str">
        <f>[1]!EM_S_INFO_INDEX_EM(B2695,"1")</f>
        <v>电气设备</v>
      </c>
      <c r="E2695" s="4">
        <f t="shared" si="42"/>
        <v>43465</v>
      </c>
      <c r="F2695" s="11">
        <f>[1]!EM_S_PQ_PCTCHANGE(B2695,"2018-01-01","2019-12-31","3")</f>
        <v>-62.409200929999997</v>
      </c>
      <c r="G2695" s="11">
        <f>[1]!EM_S_PQ_PCTCHANGE(B2695,"2018-12-31","2019-12-30","1")</f>
        <v>-8.2706766900000002</v>
      </c>
      <c r="H2695" s="11">
        <f>[1]!EM_S_FA_YOY_OR(B2695,E2695)</f>
        <v>16.609122345300001</v>
      </c>
      <c r="I2695" s="11">
        <f>[1]!EM_S_FA_GROSSPROFITMARGIN(B2695,E2695)</f>
        <v>17.431914736900001</v>
      </c>
      <c r="J2695" s="11">
        <f>[1]!EM_S_FA_NETPROFITMARGIN(B2695,E2695)</f>
        <v>-12.299690761900001</v>
      </c>
      <c r="K2695" s="10">
        <f>[1]!EM_S_FA_ASSETSTURN(B2695,E2695)</f>
        <v>0.99086557216100002</v>
      </c>
      <c r="L2695" s="12">
        <f>[1]!EM_HKS_VAL_MV(B2695,"2019-12-31","2")</f>
        <v>2606869980</v>
      </c>
      <c r="M2695">
        <f>[1]!EM_S_VAL_PETTMDEDUCTED(B2695,E2695)</f>
        <v>216.20391101602701</v>
      </c>
      <c r="N2695" s="7">
        <f>[1]!EM_S_VAL_PBGOODWILLDEDUCTED(B2695,E2695)</f>
        <v>2.5509575131653599</v>
      </c>
      <c r="O2695" s="7">
        <f>[1]!EM_S_VAL_PS_TTM(B2695,E2695)</f>
        <v>0.97657449411387698</v>
      </c>
      <c r="P2695" s="7">
        <f>[1]!EM_S_VAL_PCF_NCFTTM(B2695,E2695)</f>
        <v>26.672034285783798</v>
      </c>
      <c r="Q2695" s="7">
        <f>[1]!EM_S_VAL_DIVIDENDYIELD2(B2695,E2695,"2019-11-29")</f>
        <v>0</v>
      </c>
      <c r="T2695"/>
      <c r="U2695">
        <f>[1]!EM_S_RATIO_EPS_TTM(B2695,E2695,"1")</f>
        <v>-0.51037661486661479</v>
      </c>
      <c r="AT2695" s="4" t="str">
        <f>[1]!EM_S_IPO_LISTEDDATE(B2695)</f>
        <v>2012-08-08</v>
      </c>
    </row>
    <row r="2696" spans="1:46">
      <c r="A2696">
        <v>2009</v>
      </c>
      <c r="B2696" t="str">
        <f>"300588"</f>
        <v>300588</v>
      </c>
      <c r="C2696" t="s">
        <v>3561</v>
      </c>
      <c r="D2696" t="str">
        <f>[1]!EM_S_INFO_INDEX_EM(B2696,"1")</f>
        <v>信息技术</v>
      </c>
      <c r="E2696" s="4">
        <f t="shared" si="42"/>
        <v>43465</v>
      </c>
      <c r="F2696" s="11">
        <f>[1]!EM_S_PQ_PCTCHANGE(B2696,"2018-01-01","2019-12-31","3")</f>
        <v>-44.571513199999998</v>
      </c>
      <c r="G2696" s="11">
        <f>[1]!EM_S_PQ_PCTCHANGE(B2696,"2018-12-31","2019-12-30","1")</f>
        <v>-8.2872928199999993</v>
      </c>
      <c r="H2696" s="11">
        <f>[1]!EM_S_FA_YOY_OR(B2696,E2696)</f>
        <v>-18.4557507767</v>
      </c>
      <c r="I2696" s="11">
        <f>[1]!EM_S_FA_GROSSPROFITMARGIN(B2696,E2696)</f>
        <v>22.484255484399998</v>
      </c>
      <c r="J2696" s="11">
        <f>[1]!EM_S_FA_NETPROFITMARGIN(B2696,E2696)</f>
        <v>3.1281346350999999</v>
      </c>
      <c r="K2696" s="10">
        <f>[1]!EM_S_FA_ASSETSTURN(B2696,E2696)</f>
        <v>0.61880491351599998</v>
      </c>
      <c r="L2696" s="12">
        <f>[1]!EM_HKS_VAL_MV(B2696,"2019-12-31","2")</f>
        <v>1635780030</v>
      </c>
      <c r="M2696">
        <f>[1]!EM_S_VAL_PETTMDEDUCTED(B2696,E2696)</f>
        <v>43.024747746714297</v>
      </c>
      <c r="N2696" s="7">
        <f>[1]!EM_S_VAL_PBGOODWILLDEDUCTED(B2696,E2696)</f>
        <v>4.4944078746212899</v>
      </c>
      <c r="O2696" s="7">
        <f>[1]!EM_S_VAL_PS_TTM(B2696,E2696)</f>
        <v>2.1277834487326199</v>
      </c>
      <c r="P2696" s="7">
        <f>[1]!EM_S_VAL_PCF_NCFTTM(B2696,E2696)</f>
        <v>-80.468203628223407</v>
      </c>
      <c r="Q2696" s="7">
        <f>[1]!EM_S_VAL_DIVIDENDYIELD2(B2696,E2696,"2019-11-29")</f>
        <v>0.14492753623188409</v>
      </c>
      <c r="T2696"/>
      <c r="U2696">
        <f>[1]!EM_S_RATIO_EPS_TTM(B2696,E2696,"1")</f>
        <v>0.13754784164310893</v>
      </c>
      <c r="AT2696" s="4" t="str">
        <f>[1]!EM_S_IPO_LISTEDDATE(B2696)</f>
        <v>2017-01-05</v>
      </c>
    </row>
    <row r="2697" spans="1:46">
      <c r="A2697">
        <v>2412</v>
      </c>
      <c r="B2697" t="str">
        <f>"600283"</f>
        <v>600283</v>
      </c>
      <c r="C2697" t="s">
        <v>1666</v>
      </c>
      <c r="D2697" t="str">
        <f>[1]!EM_S_INFO_INDEX_EM(B2697,"1")</f>
        <v>公用事业</v>
      </c>
      <c r="E2697" s="4">
        <f t="shared" si="42"/>
        <v>43465</v>
      </c>
      <c r="F2697" s="11">
        <f>[1]!EM_S_PQ_PCTCHANGE(B2697,"2018-01-01","2019-12-31","3")</f>
        <v>-14.6122449</v>
      </c>
      <c r="G2697" s="11">
        <f>[1]!EM_S_PQ_PCTCHANGE(B2697,"2018-12-31","2019-12-30","1")</f>
        <v>-8.3035714299999999</v>
      </c>
      <c r="H2697" s="11">
        <f>[1]!EM_S_FA_YOY_OR(B2697,E2697)</f>
        <v>8.8102117697000004</v>
      </c>
      <c r="I2697" s="11">
        <f>[1]!EM_S_FA_GROSSPROFITMARGIN(B2697,E2697)</f>
        <v>38.056306545399998</v>
      </c>
      <c r="J2697" s="11">
        <f>[1]!EM_S_FA_NETPROFITMARGIN(B2697,E2697)</f>
        <v>8.5029355176999992</v>
      </c>
      <c r="K2697" s="10">
        <f>[1]!EM_S_FA_ASSETSTURN(B2697,E2697)</f>
        <v>0.216208115029</v>
      </c>
      <c r="L2697" s="12">
        <f>[1]!EM_HKS_VAL_MV(B2697,"2019-12-31","2")</f>
        <v>3692335628.6799998</v>
      </c>
      <c r="M2697">
        <f>[1]!EM_S_VAL_PETTMDEDUCTED(B2697,E2697)</f>
        <v>47.161749389516501</v>
      </c>
      <c r="N2697" s="7">
        <f>[1]!EM_S_VAL_PBGOODWILLDEDUCTED(B2697,E2697)</f>
        <v>2.18491853689321</v>
      </c>
      <c r="O2697" s="7">
        <f>[1]!EM_S_VAL_PS_TTM(B2697,E2697)</f>
        <v>3.7889297149097598</v>
      </c>
      <c r="P2697" s="7">
        <f>[1]!EM_S_VAL_PCF_NCFTTM(B2697,E2697)</f>
        <v>36.382265028653002</v>
      </c>
      <c r="Q2697" s="7">
        <f>[1]!EM_S_VAL_DIVIDENDYIELD2(B2697,E2697,"2019-11-29")</f>
        <v>0</v>
      </c>
      <c r="T2697"/>
      <c r="U2697">
        <f>[1]!EM_S_RATIO_EPS_TTM(B2697,E2697,"1")</f>
        <v>0.16424698063935375</v>
      </c>
      <c r="AT2697" s="4" t="str">
        <f>[1]!EM_S_IPO_LISTEDDATE(B2697)</f>
        <v>2000-10-18</v>
      </c>
    </row>
    <row r="2698" spans="1:46">
      <c r="A2698">
        <v>1578</v>
      </c>
      <c r="B2698" t="str">
        <f>"300153"</f>
        <v>300153</v>
      </c>
      <c r="C2698" t="s">
        <v>2933</v>
      </c>
      <c r="D2698" t="str">
        <f>[1]!EM_S_INFO_INDEX_EM(B2698,"1")</f>
        <v>机械设备</v>
      </c>
      <c r="E2698" s="4">
        <f t="shared" si="42"/>
        <v>43465</v>
      </c>
      <c r="F2698" s="11">
        <f>[1]!EM_S_PQ_PCTCHANGE(B2698,"2018-01-01","2019-12-31","3")</f>
        <v>-47.073204539999999</v>
      </c>
      <c r="G2698" s="11">
        <f>[1]!EM_S_PQ_PCTCHANGE(B2698,"2018-12-31","2019-12-30","1")</f>
        <v>-8.3449235000000002</v>
      </c>
      <c r="H2698" s="11">
        <f>[1]!EM_S_FA_YOY_OR(B2698,E2698)</f>
        <v>22.1727907452</v>
      </c>
      <c r="I2698" s="11">
        <f>[1]!EM_S_FA_GROSSPROFITMARGIN(B2698,E2698)</f>
        <v>17.762007041</v>
      </c>
      <c r="J2698" s="11">
        <f>[1]!EM_S_FA_NETPROFITMARGIN(B2698,E2698)</f>
        <v>1.3355927889999999</v>
      </c>
      <c r="K2698" s="10">
        <f>[1]!EM_S_FA_ASSETSTURN(B2698,E2698)</f>
        <v>0.83949484459599999</v>
      </c>
      <c r="L2698" s="12">
        <f>[1]!EM_HKS_VAL_MV(B2698,"2019-12-31","2")</f>
        <v>2115200000</v>
      </c>
      <c r="M2698">
        <f>[1]!EM_S_VAL_PETTMDEDUCTED(B2698,E2698)</f>
        <v>145.53306918461399</v>
      </c>
      <c r="N2698" s="7">
        <f>[1]!EM_S_VAL_PBGOODWILLDEDUCTED(B2698,E2698)</f>
        <v>2.4017042134847499</v>
      </c>
      <c r="O2698" s="7">
        <f>[1]!EM_S_VAL_PS_TTM(B2698,E2698)</f>
        <v>1.9409077650109401</v>
      </c>
      <c r="P2698" s="7">
        <f>[1]!EM_S_VAL_PCF_NCFTTM(B2698,E2698)</f>
        <v>-96.034220291779306</v>
      </c>
      <c r="Q2698" s="7">
        <f>[1]!EM_S_VAL_DIVIDENDYIELD2(B2698,E2698,"2019-11-29")</f>
        <v>0.81037277147487841</v>
      </c>
      <c r="T2698"/>
      <c r="U2698">
        <f>[1]!EM_S_RATIO_EPS_TTM(B2698,E2698,"1")</f>
        <v>5.6395469093749998E-2</v>
      </c>
      <c r="AT2698" s="4" t="str">
        <f>[1]!EM_S_IPO_LISTEDDATE(B2698)</f>
        <v>2010-12-29</v>
      </c>
    </row>
    <row r="2699" spans="1:46">
      <c r="A2699">
        <v>2926</v>
      </c>
      <c r="B2699" t="str">
        <f>"600853"</f>
        <v>600853</v>
      </c>
      <c r="C2699" t="s">
        <v>3306</v>
      </c>
      <c r="D2699" t="str">
        <f>[1]!EM_S_INFO_INDEX_EM(B2699,"1")</f>
        <v>建筑</v>
      </c>
      <c r="E2699" s="4">
        <f t="shared" si="42"/>
        <v>43465</v>
      </c>
      <c r="F2699" s="11">
        <f>[1]!EM_S_PQ_PCTCHANGE(B2699,"2018-01-01","2019-12-31","3")</f>
        <v>-13.48713371</v>
      </c>
      <c r="G2699" s="11">
        <f>[1]!EM_S_PQ_PCTCHANGE(B2699,"2018-12-31","2019-12-30","1")</f>
        <v>-8.3815028900000001</v>
      </c>
      <c r="H2699" s="11">
        <f>[1]!EM_S_FA_YOY_OR(B2699,E2699)</f>
        <v>4.3860693093999998</v>
      </c>
      <c r="I2699" s="11">
        <f>[1]!EM_S_FA_GROSSPROFITMARGIN(B2699,E2699)</f>
        <v>7.4462323767000003</v>
      </c>
      <c r="J2699" s="11">
        <f>[1]!EM_S_FA_NETPROFITMARGIN(B2699,E2699)</f>
        <v>1.4048364916</v>
      </c>
      <c r="K2699" s="10">
        <f>[1]!EM_S_FA_ASSETSTURN(B2699,E2699)</f>
        <v>0.74636921935</v>
      </c>
      <c r="L2699" s="12">
        <f>[1]!EM_HKS_VAL_MV(B2699,"2019-12-31","2")</f>
        <v>2662989096.9000001</v>
      </c>
      <c r="M2699">
        <f>[1]!EM_S_VAL_PETTMDEDUCTED(B2699,E2699)</f>
        <v>12.669073412283501</v>
      </c>
      <c r="N2699" s="7">
        <f>[1]!EM_S_VAL_PBGOODWILLDEDUCTED(B2699,E2699)</f>
        <v>1.44292379135605</v>
      </c>
      <c r="O2699" s="7">
        <f>[1]!EM_S_VAL_PS_TTM(B2699,E2699)</f>
        <v>0.20479970510972001</v>
      </c>
      <c r="P2699" s="7">
        <f>[1]!EM_S_VAL_PCF_NCFTTM(B2699,E2699)</f>
        <v>12.431030487614001</v>
      </c>
      <c r="Q2699" s="7">
        <f>[1]!EM_S_VAL_DIVIDENDYIELD2(B2699,E2699,"2019-11-29")</f>
        <v>0.49950049973909022</v>
      </c>
      <c r="T2699"/>
      <c r="U2699">
        <f>[1]!EM_S_RATIO_EPS_TTM(B2699,E2699,"1")</f>
        <v>0.22709228815396379</v>
      </c>
      <c r="AT2699" s="4" t="str">
        <f>[1]!EM_S_IPO_LISTEDDATE(B2699)</f>
        <v>1994-04-04</v>
      </c>
    </row>
    <row r="2700" spans="1:46">
      <c r="A2700">
        <v>1488</v>
      </c>
      <c r="B2700" t="str">
        <f>"300063"</f>
        <v>300063</v>
      </c>
      <c r="C2700" t="s">
        <v>2120</v>
      </c>
      <c r="D2700" t="str">
        <f>[1]!EM_S_INFO_INDEX_EM(B2700,"1")</f>
        <v>文化传媒</v>
      </c>
      <c r="E2700" s="4">
        <f t="shared" si="42"/>
        <v>43465</v>
      </c>
      <c r="F2700" s="11">
        <f>[1]!EM_S_PQ_PCTCHANGE(B2700,"2018-01-01","2019-12-31","3")</f>
        <v>-43.090909089999997</v>
      </c>
      <c r="G2700" s="11">
        <f>[1]!EM_S_PQ_PCTCHANGE(B2700,"2018-12-31","2019-12-30","1")</f>
        <v>-8.4084084099999998</v>
      </c>
      <c r="H2700" s="11">
        <f>[1]!EM_S_FA_YOY_OR(B2700,E2700)</f>
        <v>15.8751623464</v>
      </c>
      <c r="I2700" s="11">
        <f>[1]!EM_S_FA_GROSSPROFITMARGIN(B2700,E2700)</f>
        <v>7.7086934218999996</v>
      </c>
      <c r="J2700" s="11">
        <f>[1]!EM_S_FA_NETPROFITMARGIN(B2700,E2700)</f>
        <v>-11.362031924</v>
      </c>
      <c r="K2700" s="10">
        <f>[1]!EM_S_FA_ASSETSTURN(B2700,E2700)</f>
        <v>2.628236075117</v>
      </c>
      <c r="L2700" s="12">
        <f>[1]!EM_HKS_VAL_MV(B2700,"2019-12-31","2")</f>
        <v>2344376103.5</v>
      </c>
      <c r="M2700">
        <f>[1]!EM_S_VAL_PETTMDEDUCTED(B2700,E2700)</f>
        <v>-6.3656441011709903</v>
      </c>
      <c r="N2700" s="7">
        <f>[1]!EM_S_VAL_PBGOODWILLDEDUCTED(B2700,E2700)</f>
        <v>2.6881316382945499</v>
      </c>
      <c r="O2700" s="7">
        <f>[1]!EM_S_VAL_PS_TTM(B2700,E2700)</f>
        <v>0.30485443410131402</v>
      </c>
      <c r="P2700" s="7">
        <f>[1]!EM_S_VAL_PCF_NCFTTM(B2700,E2700)</f>
        <v>-18.897765207512499</v>
      </c>
      <c r="Q2700" s="7">
        <f>[1]!EM_S_VAL_DIVIDENDYIELD2(B2700,E2700,"2019-11-29")</f>
        <v>0</v>
      </c>
      <c r="T2700"/>
      <c r="U2700">
        <f>[1]!EM_S_RATIO_EPS_TTM(B2700,E2700,"1")</f>
        <v>-1.2468481379166894</v>
      </c>
      <c r="AT2700" s="4" t="str">
        <f>[1]!EM_S_IPO_LISTEDDATE(B2700)</f>
        <v>2010-03-26</v>
      </c>
    </row>
    <row r="2701" spans="1:46">
      <c r="A2701">
        <v>2650</v>
      </c>
      <c r="B2701" t="str">
        <f>"600577"</f>
        <v>600577</v>
      </c>
      <c r="C2701" t="s">
        <v>1091</v>
      </c>
      <c r="D2701" t="str">
        <f>[1]!EM_S_INFO_INDEX_EM(B2701,"1")</f>
        <v>机械设备</v>
      </c>
      <c r="E2701" s="4">
        <f t="shared" si="42"/>
        <v>43465</v>
      </c>
      <c r="F2701" s="11">
        <f>[1]!EM_S_PQ_PCTCHANGE(B2701,"2018-01-01","2019-12-31","3")</f>
        <v>-25.082293400000001</v>
      </c>
      <c r="G2701" s="11">
        <f>[1]!EM_S_PQ_PCTCHANGE(B2701,"2018-12-31","2019-12-30","1")</f>
        <v>-8.4175084200000008</v>
      </c>
      <c r="H2701" s="11">
        <f>[1]!EM_S_FA_YOY_OR(B2701,E2701)</f>
        <v>4.8799788612999997</v>
      </c>
      <c r="I2701" s="11">
        <f>[1]!EM_S_FA_GROSSPROFITMARGIN(B2701,E2701)</f>
        <v>9.8389505028999995</v>
      </c>
      <c r="J2701" s="11">
        <f>[1]!EM_S_FA_NETPROFITMARGIN(B2701,E2701)</f>
        <v>4.3284405308</v>
      </c>
      <c r="K2701" s="10">
        <f>[1]!EM_S_FA_ASSETSTURN(B2701,E2701)</f>
        <v>2.087315697402</v>
      </c>
      <c r="L2701" s="12">
        <f>[1]!EM_HKS_VAL_MV(B2701,"2019-12-31","2")</f>
        <v>5245436171.4300003</v>
      </c>
      <c r="M2701">
        <f>[1]!EM_S_VAL_PETTMDEDUCTED(B2701,E2701)</f>
        <v>17.223461412288501</v>
      </c>
      <c r="N2701" s="7">
        <f>[1]!EM_S_VAL_PBGOODWILLDEDUCTED(B2701,E2701)</f>
        <v>1.8871204607293499</v>
      </c>
      <c r="O2701" s="7">
        <f>[1]!EM_S_VAL_PS_TTM(B2701,E2701)</f>
        <v>0.46775963149715799</v>
      </c>
      <c r="P2701" s="7">
        <f>[1]!EM_S_VAL_PCF_NCFTTM(B2701,E2701)</f>
        <v>-209.82363949887201</v>
      </c>
      <c r="Q2701" s="7">
        <f>[1]!EM_S_VAL_DIVIDENDYIELD2(B2701,E2701,"2019-11-29")</f>
        <v>1.4981273408239701</v>
      </c>
      <c r="T2701"/>
      <c r="U2701">
        <f>[1]!EM_S_RATIO_EPS_TTM(B2701,E2701,"1")</f>
        <v>0.22369579490705094</v>
      </c>
      <c r="AT2701" s="4" t="str">
        <f>[1]!EM_S_IPO_LISTEDDATE(B2701)</f>
        <v>2002-09-11</v>
      </c>
    </row>
    <row r="2702" spans="1:46">
      <c r="A2702">
        <v>2521</v>
      </c>
      <c r="B2702" t="str">
        <f>"600408"</f>
        <v>600408</v>
      </c>
      <c r="C2702" t="s">
        <v>241</v>
      </c>
      <c r="D2702" t="str">
        <f>[1]!EM_S_INFO_INDEX_EM(B2702,"1")</f>
        <v>化石能源</v>
      </c>
      <c r="E2702" s="4">
        <f t="shared" si="42"/>
        <v>43465</v>
      </c>
      <c r="F2702" s="11">
        <f>[1]!EM_S_PQ_PCTCHANGE(B2702,"2018-01-01","2019-12-31","3")</f>
        <v>-24.444444440000002</v>
      </c>
      <c r="G2702" s="11">
        <f>[1]!EM_S_PQ_PCTCHANGE(B2702,"2018-12-31","2019-12-30","1")</f>
        <v>-8.4615384599999999</v>
      </c>
      <c r="H2702" s="11">
        <f>[1]!EM_S_FA_YOY_OR(B2702,E2702)</f>
        <v>39.572090504099997</v>
      </c>
      <c r="I2702" s="11">
        <f>[1]!EM_S_FA_GROSSPROFITMARGIN(B2702,E2702)</f>
        <v>15.3505689765</v>
      </c>
      <c r="J2702" s="11">
        <f>[1]!EM_S_FA_NETPROFITMARGIN(B2702,E2702)</f>
        <v>10.199762056000001</v>
      </c>
      <c r="K2702" s="10">
        <f>[1]!EM_S_FA_ASSETSTURN(B2702,E2702)</f>
        <v>1.648360673015</v>
      </c>
      <c r="L2702" s="12">
        <f>[1]!EM_HKS_VAL_MV(B2702,"2019-12-31","2")</f>
        <v>2396184000</v>
      </c>
      <c r="M2702">
        <f>[1]!EM_S_VAL_PETTMDEDUCTED(B2702,E2702)</f>
        <v>9.8296185988387794</v>
      </c>
      <c r="N2702" s="7">
        <f>[1]!EM_S_VAL_PBGOODWILLDEDUCTED(B2702,E2702)</f>
        <v>1.7537717043269601</v>
      </c>
      <c r="O2702" s="7">
        <f>[1]!EM_S_VAL_PS_TTM(B2702,E2702)</f>
        <v>0.31113790018828003</v>
      </c>
      <c r="P2702" s="7">
        <f>[1]!EM_S_VAL_PCF_NCFTTM(B2702,E2702)</f>
        <v>-144.305719558915</v>
      </c>
      <c r="Q2702" s="7">
        <f>[1]!EM_S_VAL_DIVIDENDYIELD2(B2702,E2702,"2019-11-29")</f>
        <v>0</v>
      </c>
      <c r="T2702"/>
      <c r="U2702">
        <f>[1]!EM_S_RATIO_EPS_TTM(B2702,E2702,"1")</f>
        <v>0.81470956869288835</v>
      </c>
      <c r="AT2702" s="4" t="str">
        <f>[1]!EM_S_IPO_LISTEDDATE(B2702)</f>
        <v>2003-02-12</v>
      </c>
    </row>
    <row r="2703" spans="1:46">
      <c r="A2703">
        <v>3563</v>
      </c>
      <c r="B2703" t="str">
        <f>"603848"</f>
        <v>603848</v>
      </c>
      <c r="C2703" t="s">
        <v>407</v>
      </c>
      <c r="D2703" t="str">
        <f>[1]!EM_S_INFO_INDEX_EM(B2703,"1")</f>
        <v>轻工制造</v>
      </c>
      <c r="E2703" s="4">
        <f t="shared" si="42"/>
        <v>43465</v>
      </c>
      <c r="F2703" s="11">
        <f>[1]!EM_S_PQ_PCTCHANGE(B2703,"2018-01-01","2019-12-31","3")</f>
        <v>-37.507137399999998</v>
      </c>
      <c r="G2703" s="11">
        <f>[1]!EM_S_PQ_PCTCHANGE(B2703,"2018-12-31","2019-12-30","1")</f>
        <v>-8.4712111199999995</v>
      </c>
      <c r="H2703" s="11">
        <f>[1]!EM_S_FA_YOY_OR(B2703,E2703)</f>
        <v>17.7468914072</v>
      </c>
      <c r="I2703" s="11">
        <f>[1]!EM_S_FA_GROSSPROFITMARGIN(B2703,E2703)</f>
        <v>42.656155852300003</v>
      </c>
      <c r="J2703" s="11">
        <f>[1]!EM_S_FA_NETPROFITMARGIN(B2703,E2703)</f>
        <v>19.888455219800001</v>
      </c>
      <c r="K2703" s="10">
        <f>[1]!EM_S_FA_ASSETSTURN(B2703,E2703)</f>
        <v>0.87473215234699997</v>
      </c>
      <c r="L2703" s="12">
        <f>[1]!EM_HKS_VAL_MV(B2703,"2019-12-31","2")</f>
        <v>5561870000</v>
      </c>
      <c r="M2703">
        <f>[1]!EM_S_VAL_PETTMDEDUCTED(B2703,E2703)</f>
        <v>28.373639832725601</v>
      </c>
      <c r="N2703" s="7">
        <f>[1]!EM_S_VAL_PBGOODWILLDEDUCTED(B2703,E2703)</f>
        <v>4.7094951368845503</v>
      </c>
      <c r="O2703" s="7">
        <f>[1]!EM_S_VAL_PS_TTM(B2703,E2703)</f>
        <v>4.8419315584415399</v>
      </c>
      <c r="P2703" s="7">
        <f>[1]!EM_S_VAL_PCF_NCFTTM(B2703,E2703)</f>
        <v>-93.512300275939197</v>
      </c>
      <c r="Q2703" s="7">
        <f>[1]!EM_S_VAL_DIVIDENDYIELD2(B2703,E2703,"2019-11-29")</f>
        <v>1.9098548510313216</v>
      </c>
      <c r="T2703"/>
      <c r="U2703">
        <f>[1]!EM_S_RATIO_EPS_TTM(B2703,E2703,"1")</f>
        <v>0.64982681259351616</v>
      </c>
      <c r="AT2703" s="4" t="str">
        <f>[1]!EM_S_IPO_LISTEDDATE(B2703)</f>
        <v>2017-12-01</v>
      </c>
    </row>
    <row r="2704" spans="1:46">
      <c r="A2704">
        <v>2634</v>
      </c>
      <c r="B2704" t="str">
        <f>"600559"</f>
        <v>600559</v>
      </c>
      <c r="C2704" t="s">
        <v>408</v>
      </c>
      <c r="D2704" t="str">
        <f>[1]!EM_S_INFO_INDEX_EM(B2704,"1")</f>
        <v>食品饮料</v>
      </c>
      <c r="E2704" s="4">
        <f t="shared" si="42"/>
        <v>43465</v>
      </c>
      <c r="F2704" s="11">
        <f>[1]!EM_S_PQ_PCTCHANGE(B2704,"2018-01-01","2019-12-31","3")</f>
        <v>-32.607799100000001</v>
      </c>
      <c r="G2704" s="11">
        <f>[1]!EM_S_PQ_PCTCHANGE(B2704,"2018-12-31","2019-12-30","1")</f>
        <v>-8.4951456299999997</v>
      </c>
      <c r="H2704" s="11">
        <f>[1]!EM_S_FA_YOY_OR(B2704,E2704)</f>
        <v>41.343963301099997</v>
      </c>
      <c r="I2704" s="11">
        <f>[1]!EM_S_FA_GROSSPROFITMARGIN(B2704,E2704)</f>
        <v>61.150241387900003</v>
      </c>
      <c r="J2704" s="11">
        <f>[1]!EM_S_FA_NETPROFITMARGIN(B2704,E2704)</f>
        <v>9.7796576121999994</v>
      </c>
      <c r="K2704" s="10">
        <f>[1]!EM_S_FA_ASSETSTURN(B2704,E2704)</f>
        <v>0.85656061890900004</v>
      </c>
      <c r="L2704" s="12">
        <f>[1]!EM_HKS_VAL_MV(B2704,"2019-12-31","2")</f>
        <v>10085510870.559999</v>
      </c>
      <c r="M2704">
        <f>[1]!EM_S_VAL_PETTMDEDUCTED(B2704,E2704)</f>
        <v>30.822884968208999</v>
      </c>
      <c r="N2704" s="7">
        <f>[1]!EM_S_VAL_PBGOODWILLDEDUCTED(B2704,E2704)</f>
        <v>3.8859815670428999</v>
      </c>
      <c r="O2704" s="7">
        <f>[1]!EM_S_VAL_PS_TTM(B2704,E2704)</f>
        <v>2.54338779202376</v>
      </c>
      <c r="P2704" s="7">
        <f>[1]!EM_S_VAL_PCF_NCFTTM(B2704,E2704)</f>
        <v>49.063438009304299</v>
      </c>
      <c r="Q2704" s="7">
        <f>[1]!EM_S_VAL_DIVIDENDYIELD2(B2704,E2704,"2019-11-29")</f>
        <v>1.4049877068273147</v>
      </c>
      <c r="T2704"/>
      <c r="U2704">
        <f>[1]!EM_S_RATIO_EPS_TTM(B2704,E2704,"1")</f>
        <v>0.52607037614999808</v>
      </c>
      <c r="AT2704" s="4" t="str">
        <f>[1]!EM_S_IPO_LISTEDDATE(B2704)</f>
        <v>2002-10-29</v>
      </c>
    </row>
    <row r="2705" spans="1:46">
      <c r="A2705">
        <v>1683</v>
      </c>
      <c r="B2705" t="str">
        <f>"300258"</f>
        <v>300258</v>
      </c>
      <c r="C2705" t="s">
        <v>515</v>
      </c>
      <c r="D2705" t="str">
        <f>[1]!EM_S_INFO_INDEX_EM(B2705,"1")</f>
        <v>交运设备</v>
      </c>
      <c r="E2705" s="4">
        <f t="shared" si="42"/>
        <v>43465</v>
      </c>
      <c r="F2705" s="11">
        <f>[1]!EM_S_PQ_PCTCHANGE(B2705,"2018-01-01","2019-12-31","3")</f>
        <v>-23.811109720000001</v>
      </c>
      <c r="G2705" s="11">
        <f>[1]!EM_S_PQ_PCTCHANGE(B2705,"2018-12-31","2019-12-30","1")</f>
        <v>-8.5036794800000006</v>
      </c>
      <c r="H2705" s="11">
        <f>[1]!EM_S_FA_YOY_OR(B2705,E2705)</f>
        <v>12.097708225</v>
      </c>
      <c r="I2705" s="11">
        <f>[1]!EM_S_FA_GROSSPROFITMARGIN(B2705,E2705)</f>
        <v>38.170064467300001</v>
      </c>
      <c r="J2705" s="11">
        <f>[1]!EM_S_FA_NETPROFITMARGIN(B2705,E2705)</f>
        <v>20.442472889099999</v>
      </c>
      <c r="K2705" s="10">
        <f>[1]!EM_S_FA_ASSETSTURN(B2705,E2705)</f>
        <v>0.48898220419900001</v>
      </c>
      <c r="L2705" s="12">
        <f>[1]!EM_HKS_VAL_MV(B2705,"2019-12-31","2")</f>
        <v>4531950000</v>
      </c>
      <c r="M2705">
        <f>[1]!EM_S_VAL_PETTMDEDUCTED(B2705,E2705)</f>
        <v>18.2059100112963</v>
      </c>
      <c r="N2705" s="7">
        <f>[1]!EM_S_VAL_PBGOODWILLDEDUCTED(B2705,E2705)</f>
        <v>2.68624984178701</v>
      </c>
      <c r="O2705" s="7">
        <f>[1]!EM_S_VAL_PS_TTM(B2705,E2705)</f>
        <v>3.8658918592600799</v>
      </c>
      <c r="P2705" s="7">
        <f>[1]!EM_S_VAL_PCF_NCFTTM(B2705,E2705)</f>
        <v>66.667501737195096</v>
      </c>
      <c r="Q2705" s="7">
        <f>[1]!EM_S_VAL_DIVIDENDYIELD2(B2705,E2705,"2019-11-29")</f>
        <v>1.5511892450879008</v>
      </c>
      <c r="T2705"/>
      <c r="U2705">
        <f>[1]!EM_S_RATIO_EPS_TTM(B2705,E2705,"1")</f>
        <v>0.63872758639506177</v>
      </c>
      <c r="AT2705" s="4" t="str">
        <f>[1]!EM_S_IPO_LISTEDDATE(B2705)</f>
        <v>2011-08-26</v>
      </c>
    </row>
    <row r="2706" spans="1:46">
      <c r="A2706">
        <v>2463</v>
      </c>
      <c r="B2706" t="str">
        <f>"600339"</f>
        <v>600339</v>
      </c>
      <c r="C2706" t="s">
        <v>3228</v>
      </c>
      <c r="D2706" t="str">
        <f>[1]!EM_S_INFO_INDEX_EM(B2706,"1")</f>
        <v>化石能源</v>
      </c>
      <c r="E2706" s="4">
        <f t="shared" si="42"/>
        <v>43465</v>
      </c>
      <c r="F2706" s="11">
        <f>[1]!EM_S_PQ_PCTCHANGE(B2706,"2018-01-01","2019-12-31","3")</f>
        <v>-40.237341890000003</v>
      </c>
      <c r="G2706" s="11">
        <f>[1]!EM_S_PQ_PCTCHANGE(B2706,"2018-12-31","2019-12-30","1")</f>
        <v>-8.5399449000000001</v>
      </c>
      <c r="H2706" s="11">
        <f>[1]!EM_S_FA_YOY_OR(B2706,E2706)</f>
        <v>5.8906353505000002</v>
      </c>
      <c r="I2706" s="11">
        <f>[1]!EM_S_FA_GROSSPROFITMARGIN(B2706,E2706)</f>
        <v>7.4938756422999999</v>
      </c>
      <c r="J2706" s="11">
        <f>[1]!EM_S_FA_NETPROFITMARGIN(B2706,E2706)</f>
        <v>1.6332847646999999</v>
      </c>
      <c r="K2706" s="10">
        <f>[1]!EM_S_FA_ASSETSTURN(B2706,E2706)</f>
        <v>0.63375459245300003</v>
      </c>
      <c r="L2706" s="12">
        <f>[1]!EM_HKS_VAL_MV(B2706,"2019-12-31","2")</f>
        <v>18926869926.689999</v>
      </c>
      <c r="M2706">
        <f>[1]!EM_S_VAL_PETTMDEDUCTED(B2706,E2706)</f>
        <v>41.5223514349738</v>
      </c>
      <c r="N2706" s="7">
        <f>[1]!EM_S_VAL_PBGOODWILLDEDUCTED(B2706,E2706)</f>
        <v>0.863166286263788</v>
      </c>
      <c r="O2706" s="7">
        <f>[1]!EM_S_VAL_PS_TTM(B2706,E2706)</f>
        <v>0.34689844182609902</v>
      </c>
      <c r="P2706" s="7">
        <f>[1]!EM_S_VAL_PCF_NCFTTM(B2706,E2706)</f>
        <v>1.8231024328626</v>
      </c>
      <c r="Q2706" s="7">
        <f>[1]!EM_S_VAL_DIVIDENDYIELD2(B2706,E2706,"2019-11-29")</f>
        <v>1.614906832298137</v>
      </c>
      <c r="T2706"/>
      <c r="U2706">
        <f>[1]!EM_S_RATIO_EPS_TTM(B2706,E2706,"1")</f>
        <v>0.17105354998780758</v>
      </c>
      <c r="AT2706" s="4" t="str">
        <f>[1]!EM_S_IPO_LISTEDDATE(B2706)</f>
        <v>2000-12-25</v>
      </c>
    </row>
    <row r="2707" spans="1:46">
      <c r="A2707">
        <v>1006</v>
      </c>
      <c r="B2707" t="str">
        <f>"002495"</f>
        <v>002495</v>
      </c>
      <c r="C2707" t="s">
        <v>2255</v>
      </c>
      <c r="D2707" t="str">
        <f>[1]!EM_S_INFO_INDEX_EM(B2707,"1")</f>
        <v>食品饮料</v>
      </c>
      <c r="E2707" s="4">
        <f t="shared" si="42"/>
        <v>43465</v>
      </c>
      <c r="F2707" s="11">
        <f>[1]!EM_S_PQ_PCTCHANGE(B2707,"2018-01-01","2019-12-31","3")</f>
        <v>-27.40992056</v>
      </c>
      <c r="G2707" s="11">
        <f>[1]!EM_S_PQ_PCTCHANGE(B2707,"2018-12-31","2019-12-30","1")</f>
        <v>-8.5714285700000001</v>
      </c>
      <c r="H2707" s="11">
        <f>[1]!EM_S_FA_YOY_OR(B2707,E2707)</f>
        <v>11.1241251402</v>
      </c>
      <c r="I2707" s="11">
        <f>[1]!EM_S_FA_GROSSPROFITMARGIN(B2707,E2707)</f>
        <v>45.282268188300002</v>
      </c>
      <c r="J2707" s="11">
        <f>[1]!EM_S_FA_NETPROFITMARGIN(B2707,E2707)</f>
        <v>11.0339716111</v>
      </c>
      <c r="K2707" s="10">
        <f>[1]!EM_S_FA_ASSETSTURN(B2707,E2707)</f>
        <v>0.25386982933500002</v>
      </c>
      <c r="L2707" s="12">
        <f>[1]!EM_HKS_VAL_MV(B2707,"2019-12-31","2")</f>
        <v>2694601728</v>
      </c>
      <c r="M2707">
        <f>[1]!EM_S_VAL_PETTMDEDUCTED(B2707,E2707)</f>
        <v>94.540938784485704</v>
      </c>
      <c r="N2707" s="7">
        <f>[1]!EM_S_VAL_PBGOODWILLDEDUCTED(B2707,E2707)</f>
        <v>2.5374948005275102</v>
      </c>
      <c r="O2707" s="7">
        <f>[1]!EM_S_VAL_PS_TTM(B2707,E2707)</f>
        <v>9.5161033351666706</v>
      </c>
      <c r="P2707" s="7">
        <f>[1]!EM_S_VAL_PCF_NCFTTM(B2707,E2707)</f>
        <v>-90.724826984161297</v>
      </c>
      <c r="Q2707" s="7">
        <f>[1]!EM_S_VAL_DIVIDENDYIELD2(B2707,E2707,"2019-11-29")</f>
        <v>0</v>
      </c>
      <c r="T2707"/>
      <c r="U2707">
        <f>[1]!EM_S_RATIO_EPS_TTM(B2707,E2707,"1")</f>
        <v>3.7615441272662913E-2</v>
      </c>
      <c r="AT2707" s="4" t="str">
        <f>[1]!EM_S_IPO_LISTEDDATE(B2707)</f>
        <v>2010-11-02</v>
      </c>
    </row>
    <row r="2708" spans="1:46">
      <c r="A2708">
        <v>900</v>
      </c>
      <c r="B2708" t="str">
        <f>"002389"</f>
        <v>002389</v>
      </c>
      <c r="C2708" t="s">
        <v>2920</v>
      </c>
      <c r="D2708" t="str">
        <f>[1]!EM_S_INFO_INDEX_EM(B2708,"1")</f>
        <v>电子设备</v>
      </c>
      <c r="E2708" s="4">
        <f t="shared" si="42"/>
        <v>43465</v>
      </c>
      <c r="F2708" s="11">
        <f>[1]!EM_S_PQ_PCTCHANGE(B2708,"2018-01-01","2019-12-31","3")</f>
        <v>-47.254809260000002</v>
      </c>
      <c r="G2708" s="11">
        <f>[1]!EM_S_PQ_PCTCHANGE(B2708,"2018-12-31","2019-12-30","1")</f>
        <v>-8.5995086000000001</v>
      </c>
      <c r="H2708" s="11">
        <f>[1]!EM_S_FA_YOY_OR(B2708,E2708)</f>
        <v>87.929926746600003</v>
      </c>
      <c r="I2708" s="11">
        <f>[1]!EM_S_FA_GROSSPROFITMARGIN(B2708,E2708)</f>
        <v>27.670254983500001</v>
      </c>
      <c r="J2708" s="11">
        <f>[1]!EM_S_FA_NETPROFITMARGIN(B2708,E2708)</f>
        <v>9.6977899253000004</v>
      </c>
      <c r="K2708" s="10">
        <f>[1]!EM_S_FA_ASSETSTURN(B2708,E2708)</f>
        <v>0.35139665136699999</v>
      </c>
      <c r="L2708" s="12">
        <f>[1]!EM_HKS_VAL_MV(B2708,"2019-12-31","2")</f>
        <v>10501295803.5</v>
      </c>
      <c r="M2708">
        <f>[1]!EM_S_VAL_PETTMDEDUCTED(B2708,E2708)</f>
        <v>61.488604508563</v>
      </c>
      <c r="N2708" s="7">
        <f>[1]!EM_S_VAL_PBGOODWILLDEDUCTED(B2708,E2708)</f>
        <v>2.07711256600233</v>
      </c>
      <c r="O2708" s="7">
        <f>[1]!EM_S_VAL_PS_TTM(B2708,E2708)</f>
        <v>4.6228559400629203</v>
      </c>
      <c r="P2708" s="7">
        <f>[1]!EM_S_VAL_PCF_NCFTTM(B2708,E2708)</f>
        <v>-147.358348000197</v>
      </c>
      <c r="Q2708" s="7">
        <f>[1]!EM_S_VAL_DIVIDENDYIELD2(B2708,E2708,"2019-11-29")</f>
        <v>0.29211295034079843</v>
      </c>
      <c r="T2708"/>
      <c r="U2708">
        <f>[1]!EM_S_RATIO_EPS_TTM(B2708,E2708,"1")</f>
        <v>0.25558387679142003</v>
      </c>
      <c r="AT2708" s="4" t="str">
        <f>[1]!EM_S_IPO_LISTEDDATE(B2708)</f>
        <v>2010-04-13</v>
      </c>
    </row>
    <row r="2709" spans="1:46">
      <c r="A2709">
        <v>2858</v>
      </c>
      <c r="B2709" t="str">
        <f>"600785"</f>
        <v>600785</v>
      </c>
      <c r="C2709" t="s">
        <v>326</v>
      </c>
      <c r="D2709" t="str">
        <f>[1]!EM_S_INFO_INDEX_EM(B2709,"1")</f>
        <v>商贸零售</v>
      </c>
      <c r="E2709" s="4">
        <f t="shared" si="42"/>
        <v>43465</v>
      </c>
      <c r="F2709" s="11">
        <f>[1]!EM_S_PQ_PCTCHANGE(B2709,"2018-01-01","2019-12-31","3")</f>
        <v>-28.44211529</v>
      </c>
      <c r="G2709" s="11">
        <f>[1]!EM_S_PQ_PCTCHANGE(B2709,"2018-12-31","2019-12-30","1")</f>
        <v>-8.62385321</v>
      </c>
      <c r="H2709" s="11">
        <f>[1]!EM_S_FA_YOY_OR(B2709,E2709)</f>
        <v>2.5600437874000002</v>
      </c>
      <c r="I2709" s="11">
        <f>[1]!EM_S_FA_GROSSPROFITMARGIN(B2709,E2709)</f>
        <v>21.049267611099999</v>
      </c>
      <c r="J2709" s="11">
        <f>[1]!EM_S_FA_NETPROFITMARGIN(B2709,E2709)</f>
        <v>1.4743691876</v>
      </c>
      <c r="K2709" s="10">
        <f>[1]!EM_S_FA_ASSETSTURN(B2709,E2709)</f>
        <v>1.606567236424</v>
      </c>
      <c r="L2709" s="12">
        <f>[1]!EM_HKS_VAL_MV(B2709,"2019-12-31","2")</f>
        <v>3388981825.5999999</v>
      </c>
      <c r="M2709">
        <f>[1]!EM_S_VAL_PETTMDEDUCTED(B2709,E2709)</f>
        <v>20.590690585877901</v>
      </c>
      <c r="N2709" s="7">
        <f>[1]!EM_S_VAL_PBGOODWILLDEDUCTED(B2709,E2709)</f>
        <v>1.7366200318334399</v>
      </c>
      <c r="O2709" s="7">
        <f>[1]!EM_S_VAL_PS_TTM(B2709,E2709)</f>
        <v>0.47827330711669802</v>
      </c>
      <c r="P2709" s="7">
        <f>[1]!EM_S_VAL_PCF_NCFTTM(B2709,E2709)</f>
        <v>54.785049538623099</v>
      </c>
      <c r="Q2709" s="7">
        <f>[1]!EM_S_VAL_DIVIDENDYIELD2(B2709,E2709,"2019-11-29")</f>
        <v>0</v>
      </c>
      <c r="T2709"/>
      <c r="U2709">
        <f>[1]!EM_S_RATIO_EPS_TTM(B2709,E2709,"1")</f>
        <v>0.60870432251237505</v>
      </c>
      <c r="AT2709" s="4" t="str">
        <f>[1]!EM_S_IPO_LISTEDDATE(B2709)</f>
        <v>1997-01-08</v>
      </c>
    </row>
    <row r="2710" spans="1:46">
      <c r="A2710">
        <v>1155</v>
      </c>
      <c r="B2710" t="str">
        <f>"002644"</f>
        <v>002644</v>
      </c>
      <c r="C2710" t="s">
        <v>1664</v>
      </c>
      <c r="D2710" t="str">
        <f>[1]!EM_S_INFO_INDEX_EM(B2710,"1")</f>
        <v>医药生物</v>
      </c>
      <c r="E2710" s="4">
        <f t="shared" si="42"/>
        <v>43465</v>
      </c>
      <c r="F2710" s="11">
        <f>[1]!EM_S_PQ_PCTCHANGE(B2710,"2018-01-01","2019-12-31","3")</f>
        <v>-22.347447020000001</v>
      </c>
      <c r="G2710" s="11">
        <f>[1]!EM_S_PQ_PCTCHANGE(B2710,"2018-12-31","2019-12-30","1")</f>
        <v>-8.7067861700000009</v>
      </c>
      <c r="H2710" s="11">
        <f>[1]!EM_S_FA_YOY_OR(B2710,E2710)</f>
        <v>8.6685066592000002</v>
      </c>
      <c r="I2710" s="11">
        <f>[1]!EM_S_FA_GROSSPROFITMARGIN(B2710,E2710)</f>
        <v>32.367625415399999</v>
      </c>
      <c r="J2710" s="11">
        <f>[1]!EM_S_FA_NETPROFITMARGIN(B2710,E2710)</f>
        <v>13.639586423900001</v>
      </c>
      <c r="K2710" s="10">
        <f>[1]!EM_S_FA_ASSETSTURN(B2710,E2710)</f>
        <v>0.22359137296100001</v>
      </c>
      <c r="L2710" s="12">
        <f>[1]!EM_HKS_VAL_MV(B2710,"2019-12-31","2")</f>
        <v>3758435520</v>
      </c>
      <c r="M2710">
        <f>[1]!EM_S_VAL_PETTMDEDUCTED(B2710,E2710)</f>
        <v>59.042620798153202</v>
      </c>
      <c r="N2710" s="7">
        <f>[1]!EM_S_VAL_PBGOODWILLDEDUCTED(B2710,E2710)</f>
        <v>2.7661698110139699</v>
      </c>
      <c r="O2710" s="7">
        <f>[1]!EM_S_VAL_PS_TTM(B2710,E2710)</f>
        <v>6.8668642713842196</v>
      </c>
      <c r="P2710" s="7">
        <f>[1]!EM_S_VAL_PCF_NCFTTM(B2710,E2710)</f>
        <v>-12.378160392427899</v>
      </c>
      <c r="Q2710" s="7">
        <f>[1]!EM_S_VAL_DIVIDENDYIELD2(B2710,E2710,"2019-11-29")</f>
        <v>0.18895348837209305</v>
      </c>
      <c r="T2710"/>
      <c r="U2710">
        <f>[1]!EM_S_RATIO_EPS_TTM(B2710,E2710,"1")</f>
        <v>0.1454569357709774</v>
      </c>
      <c r="AT2710" s="4" t="str">
        <f>[1]!EM_S_IPO_LISTEDDATE(B2710)</f>
        <v>2011-12-22</v>
      </c>
    </row>
    <row r="2711" spans="1:46">
      <c r="A2711">
        <v>1172</v>
      </c>
      <c r="B2711" t="str">
        <f>"002661"</f>
        <v>002661</v>
      </c>
      <c r="C2711" t="s">
        <v>650</v>
      </c>
      <c r="D2711" t="str">
        <f>[1]!EM_S_INFO_INDEX_EM(B2711,"1")</f>
        <v>食品饮料</v>
      </c>
      <c r="E2711" s="4">
        <f t="shared" si="42"/>
        <v>43465</v>
      </c>
      <c r="F2711" s="11">
        <f>[1]!EM_S_PQ_PCTCHANGE(B2711,"2018-01-01","2019-12-31","3")</f>
        <v>-17.082622109999999</v>
      </c>
      <c r="G2711" s="11">
        <f>[1]!EM_S_PQ_PCTCHANGE(B2711,"2018-12-31","2019-12-30","1")</f>
        <v>-8.7520259300000003</v>
      </c>
      <c r="H2711" s="11">
        <f>[1]!EM_S_FA_YOY_OR(B2711,E2711)</f>
        <v>25.860767124500001</v>
      </c>
      <c r="I2711" s="11">
        <f>[1]!EM_S_FA_GROSSPROFITMARGIN(B2711,E2711)</f>
        <v>23.6339797555</v>
      </c>
      <c r="J2711" s="11">
        <f>[1]!EM_S_FA_NETPROFITMARGIN(B2711,E2711)</f>
        <v>6.4756729455000004</v>
      </c>
      <c r="K2711" s="10">
        <f>[1]!EM_S_FA_ASSETSTURN(B2711,E2711)</f>
        <v>0.82159470049600003</v>
      </c>
      <c r="L2711" s="12">
        <f>[1]!EM_HKS_VAL_MV(B2711,"2019-12-31","2")</f>
        <v>3745128245.5</v>
      </c>
      <c r="M2711">
        <f>[1]!EM_S_VAL_PETTMDEDUCTED(B2711,E2711)</f>
        <v>31.7218119109491</v>
      </c>
      <c r="N2711" s="7">
        <f>[1]!EM_S_VAL_PBGOODWILLDEDUCTED(B2711,E2711)</f>
        <v>1.8462430099870899</v>
      </c>
      <c r="O2711" s="7">
        <f>[1]!EM_S_VAL_PS_TTM(B2711,E2711)</f>
        <v>1.5339876633549001</v>
      </c>
      <c r="P2711" s="7">
        <f>[1]!EM_S_VAL_PCF_NCFTTM(B2711,E2711)</f>
        <v>17.683372506261499</v>
      </c>
      <c r="Q2711" s="7">
        <f>[1]!EM_S_VAL_DIVIDENDYIELD2(B2711,E2711,"2019-11-29")</f>
        <v>2.2939385568665855</v>
      </c>
      <c r="T2711"/>
      <c r="U2711">
        <f>[1]!EM_S_RATIO_EPS_TTM(B2711,E2711,"1")</f>
        <v>0.56008593756030067</v>
      </c>
      <c r="AT2711" s="4" t="str">
        <f>[1]!EM_S_IPO_LISTEDDATE(B2711)</f>
        <v>2012-03-16</v>
      </c>
    </row>
    <row r="2712" spans="1:46">
      <c r="A2712">
        <v>1075</v>
      </c>
      <c r="B2712" t="str">
        <f>"002564"</f>
        <v>002564</v>
      </c>
      <c r="C2712" t="s">
        <v>3519</v>
      </c>
      <c r="D2712" t="str">
        <f>[1]!EM_S_INFO_INDEX_EM(B2712,"1")</f>
        <v>建筑</v>
      </c>
      <c r="E2712" s="4">
        <f t="shared" si="42"/>
        <v>43465</v>
      </c>
      <c r="F2712" s="11">
        <f>[1]!EM_S_PQ_PCTCHANGE(B2712,"2018-01-01","2019-12-31","3")</f>
        <v>-44.268292680000002</v>
      </c>
      <c r="G2712" s="11">
        <f>[1]!EM_S_PQ_PCTCHANGE(B2712,"2018-12-31","2019-12-30","1")</f>
        <v>-8.7649402399999996</v>
      </c>
      <c r="H2712" s="11">
        <f>[1]!EM_S_FA_YOY_OR(B2712,E2712)</f>
        <v>-25.9861814269</v>
      </c>
      <c r="I2712" s="11">
        <f>[1]!EM_S_FA_GROSSPROFITMARGIN(B2712,E2712)</f>
        <v>14.8302526013</v>
      </c>
      <c r="J2712" s="11">
        <f>[1]!EM_S_FA_NETPROFITMARGIN(B2712,E2712)</f>
        <v>2.4088855493999999</v>
      </c>
      <c r="K2712" s="10">
        <f>[1]!EM_S_FA_ASSETSTURN(B2712,E2712)</f>
        <v>0.31785056602299999</v>
      </c>
      <c r="L2712" s="12">
        <f>[1]!EM_HKS_VAL_MV(B2712,"2019-12-31","2")</f>
        <v>3973045038.7399998</v>
      </c>
      <c r="M2712">
        <f>[1]!EM_S_VAL_PETTMDEDUCTED(B2712,E2712)</f>
        <v>95.142368976915094</v>
      </c>
      <c r="N2712" s="7">
        <f>[1]!EM_S_VAL_PBGOODWILLDEDUCTED(B2712,E2712)</f>
        <v>2.6737275060355499</v>
      </c>
      <c r="O2712" s="7">
        <f>[1]!EM_S_VAL_PS_TTM(B2712,E2712)</f>
        <v>0.63869517785006402</v>
      </c>
      <c r="P2712" s="7">
        <f>[1]!EM_S_VAL_PCF_NCFTTM(B2712,E2712)</f>
        <v>13.163015596235599</v>
      </c>
      <c r="Q2712" s="7">
        <f>[1]!EM_S_VAL_DIVIDENDYIELD2(B2712,E2712,"2019-11-29")</f>
        <v>0</v>
      </c>
      <c r="T2712"/>
      <c r="U2712">
        <f>[1]!EM_S_RATIO_EPS_TTM(B2712,E2712,"1")</f>
        <v>8.4496012897739572E-2</v>
      </c>
      <c r="AT2712" s="4" t="str">
        <f>[1]!EM_S_IPO_LISTEDDATE(B2712)</f>
        <v>2011-03-10</v>
      </c>
    </row>
    <row r="2713" spans="1:46">
      <c r="A2713">
        <v>1396</v>
      </c>
      <c r="B2713" t="str">
        <f>"002898"</f>
        <v>002898</v>
      </c>
      <c r="C2713" t="s">
        <v>2448</v>
      </c>
      <c r="D2713" t="str">
        <f>[1]!EM_S_INFO_INDEX_EM(B2713,"1")</f>
        <v>医药生物</v>
      </c>
      <c r="E2713" s="4">
        <f t="shared" si="42"/>
        <v>43465</v>
      </c>
      <c r="F2713" s="11">
        <f>[1]!EM_S_PQ_PCTCHANGE(B2713,"2018-01-01","2019-12-31","3")</f>
        <v>-29.657146860000001</v>
      </c>
      <c r="G2713" s="11">
        <f>[1]!EM_S_PQ_PCTCHANGE(B2713,"2018-12-31","2019-12-30","1")</f>
        <v>-8.7824351299999996</v>
      </c>
      <c r="H2713" s="11">
        <f>[1]!EM_S_FA_YOY_OR(B2713,E2713)</f>
        <v>19.7832216087</v>
      </c>
      <c r="I2713" s="11">
        <f>[1]!EM_S_FA_GROSSPROFITMARGIN(B2713,E2713)</f>
        <v>56.722624624399998</v>
      </c>
      <c r="J2713" s="11">
        <f>[1]!EM_S_FA_NETPROFITMARGIN(B2713,E2713)</f>
        <v>13.960267462399999</v>
      </c>
      <c r="K2713" s="10">
        <f>[1]!EM_S_FA_ASSETSTURN(B2713,E2713)</f>
        <v>0.59317447696500003</v>
      </c>
      <c r="L2713" s="12">
        <f>[1]!EM_HKS_VAL_MV(B2713,"2019-12-31","2")</f>
        <v>2220800000</v>
      </c>
      <c r="M2713">
        <f>[1]!EM_S_VAL_PETTMDEDUCTED(B2713,E2713)</f>
        <v>39.585678549805003</v>
      </c>
      <c r="N2713" s="7">
        <f>[1]!EM_S_VAL_PBGOODWILLDEDUCTED(B2713,E2713)</f>
        <v>3.6241913982635299</v>
      </c>
      <c r="O2713" s="7">
        <f>[1]!EM_S_VAL_PS_TTM(B2713,E2713)</f>
        <v>5.46272721023829</v>
      </c>
      <c r="P2713" s="7">
        <f>[1]!EM_S_VAL_PCF_NCFTTM(B2713,E2713)</f>
        <v>-12.4997591556095</v>
      </c>
      <c r="Q2713" s="7">
        <f>[1]!EM_S_VAL_DIVIDENDYIELD2(B2713,E2713,"2019-11-29")</f>
        <v>1.5503875968992249</v>
      </c>
      <c r="T2713"/>
      <c r="U2713">
        <f>[1]!EM_S_RATIO_EPS_TTM(B2713,E2713,"1")</f>
        <v>0.38065532087500004</v>
      </c>
      <c r="AT2713" s="4" t="str">
        <f>[1]!EM_S_IPO_LISTEDDATE(B2713)</f>
        <v>2017-09-12</v>
      </c>
    </row>
    <row r="2714" spans="1:46">
      <c r="A2714">
        <v>3545</v>
      </c>
      <c r="B2714" t="str">
        <f>"603808"</f>
        <v>603808</v>
      </c>
      <c r="C2714" t="s">
        <v>536</v>
      </c>
      <c r="D2714" t="str">
        <f>[1]!EM_S_INFO_INDEX_EM(B2714,"1")</f>
        <v>纺织服装</v>
      </c>
      <c r="E2714" s="4">
        <f t="shared" si="42"/>
        <v>43465</v>
      </c>
      <c r="F2714" s="11">
        <f>[1]!EM_S_PQ_PCTCHANGE(B2714,"2018-01-01","2019-12-31","3")</f>
        <v>-32.333286170000001</v>
      </c>
      <c r="G2714" s="11">
        <f>[1]!EM_S_PQ_PCTCHANGE(B2714,"2018-12-31","2019-12-30","1")</f>
        <v>-8.8054187200000005</v>
      </c>
      <c r="H2714" s="11">
        <f>[1]!EM_S_FA_YOY_OR(B2714,E2714)</f>
        <v>18.657902143800001</v>
      </c>
      <c r="I2714" s="11">
        <f>[1]!EM_S_FA_GROSSPROFITMARGIN(B2714,E2714)</f>
        <v>68.208796572699995</v>
      </c>
      <c r="J2714" s="11">
        <f>[1]!EM_S_FA_NETPROFITMARGIN(B2714,E2714)</f>
        <v>18.034883364900001</v>
      </c>
      <c r="K2714" s="10">
        <f>[1]!EM_S_FA_ASSETSTURN(B2714,E2714)</f>
        <v>0.67419236198400001</v>
      </c>
      <c r="L2714" s="12">
        <f>[1]!EM_HKS_VAL_MV(B2714,"2019-12-31","2")</f>
        <v>4944603790.5699997</v>
      </c>
      <c r="M2714">
        <f>[1]!EM_S_VAL_PETTMDEDUCTED(B2714,E2714)</f>
        <v>15.5562378211142</v>
      </c>
      <c r="N2714" s="7">
        <f>[1]!EM_S_VAL_PBGOODWILLDEDUCTED(B2714,E2714)</f>
        <v>3.06661453208137</v>
      </c>
      <c r="O2714" s="7">
        <f>[1]!EM_S_VAL_PS_TTM(B2714,E2714)</f>
        <v>2.27103025813715</v>
      </c>
      <c r="P2714" s="7">
        <f>[1]!EM_S_VAL_PCF_NCFTTM(B2714,E2714)</f>
        <v>55.363986873433198</v>
      </c>
      <c r="Q2714" s="7">
        <f>[1]!EM_S_VAL_DIVIDENDYIELD2(B2714,E2714,"2019-11-29")</f>
        <v>4.150197628458498</v>
      </c>
      <c r="T2714"/>
      <c r="U2714">
        <f>[1]!EM_S_RATIO_EPS_TTM(B2714,E2714,"1")</f>
        <v>1.0831097686336379</v>
      </c>
      <c r="AT2714" s="4" t="str">
        <f>[1]!EM_S_IPO_LISTEDDATE(B2714)</f>
        <v>2015-04-22</v>
      </c>
    </row>
    <row r="2715" spans="1:46">
      <c r="A2715">
        <v>1311</v>
      </c>
      <c r="B2715" t="str">
        <f>"002807"</f>
        <v>002807</v>
      </c>
      <c r="C2715" t="s">
        <v>1386</v>
      </c>
      <c r="D2715" t="str">
        <f>[1]!EM_S_INFO_INDEX_EM(B2715,"1")</f>
        <v>金融</v>
      </c>
      <c r="E2715" s="4">
        <f t="shared" si="42"/>
        <v>43465</v>
      </c>
      <c r="F2715" s="11">
        <f>[1]!EM_S_PQ_PCTCHANGE(B2715,"2018-01-01","2019-12-31","3")</f>
        <v>-30.93474938</v>
      </c>
      <c r="G2715" s="11">
        <f>[1]!EM_S_PQ_PCTCHANGE(B2715,"2018-12-31","2019-12-30","1")</f>
        <v>-8.8582677200000006</v>
      </c>
      <c r="H2715" s="11">
        <f>[1]!EM_S_FA_YOY_OR(B2715,E2715)</f>
        <v>27.090137301999999</v>
      </c>
      <c r="I2715" s="11">
        <f>[1]!EM_S_FA_GROSSPROFITMARGIN(B2715,E2715)</f>
        <v>0</v>
      </c>
      <c r="J2715" s="11">
        <f>[1]!EM_S_FA_NETPROFITMARGIN(B2715,E2715)</f>
        <v>24.4867160278</v>
      </c>
      <c r="K2715" s="10">
        <f>[1]!EM_S_FA_ASSETSTURN(B2715,E2715)</f>
        <v>0</v>
      </c>
      <c r="L2715" s="12">
        <f>[1]!EM_HKS_VAL_MV(B2715,"2019-12-31","2")</f>
        <v>10121446022.5</v>
      </c>
      <c r="M2715">
        <f>[1]!EM_S_VAL_PETTMDEDUCTED(B2715,E2715)</f>
        <v>9.7541707488766605</v>
      </c>
      <c r="N2715" s="7">
        <f>[1]!EM_S_VAL_PBGOODWILLDEDUCTED(B2715,E2715)</f>
        <v>0.88830504206181904</v>
      </c>
      <c r="O2715" s="7">
        <f>[1]!EM_S_VAL_PS_TTM(B2715,E2715)</f>
        <v>2.9753750129027101</v>
      </c>
      <c r="P2715" s="7">
        <f>[1]!EM_S_VAL_PCF_NCFTTM(B2715,E2715)</f>
        <v>-0.98121853941571502</v>
      </c>
      <c r="Q2715" s="7">
        <f>[1]!EM_S_VAL_DIVIDENDYIELD2(B2715,E2715,"2019-11-29")</f>
        <v>0.95982048049096869</v>
      </c>
      <c r="T2715"/>
      <c r="U2715">
        <f>[1]!EM_S_RATIO_EPS_TTM(B2715,E2715,"1")</f>
        <v>0.48508417877982052</v>
      </c>
      <c r="AT2715" s="4" t="str">
        <f>[1]!EM_S_IPO_LISTEDDATE(B2715)</f>
        <v>2016-09-02</v>
      </c>
    </row>
    <row r="2716" spans="1:46">
      <c r="A2716">
        <v>3377</v>
      </c>
      <c r="B2716" t="str">
        <f>"603359"</f>
        <v>603359</v>
      </c>
      <c r="C2716" t="s">
        <v>806</v>
      </c>
      <c r="D2716" t="str">
        <f>[1]!EM_S_INFO_INDEX_EM(B2716,"1")</f>
        <v>建筑</v>
      </c>
      <c r="E2716" s="4">
        <f t="shared" si="42"/>
        <v>43465</v>
      </c>
      <c r="F2716" s="11">
        <f>[1]!EM_S_PQ_PCTCHANGE(B2716,"2018-01-01","2019-12-31","3")</f>
        <v>-37.295390750000003</v>
      </c>
      <c r="G2716" s="11">
        <f>[1]!EM_S_PQ_PCTCHANGE(B2716,"2018-12-31","2019-12-30","1")</f>
        <v>-8.9133089099999996</v>
      </c>
      <c r="H2716" s="11">
        <f>[1]!EM_S_FA_YOY_OR(B2716,E2716)</f>
        <v>30.1718873614</v>
      </c>
      <c r="I2716" s="11">
        <f>[1]!EM_S_FA_GROSSPROFITMARGIN(B2716,E2716)</f>
        <v>28.160280343699998</v>
      </c>
      <c r="J2716" s="11">
        <f>[1]!EM_S_FA_NETPROFITMARGIN(B2716,E2716)</f>
        <v>20.409985293199998</v>
      </c>
      <c r="K2716" s="10">
        <f>[1]!EM_S_FA_ASSETSTURN(B2716,E2716)</f>
        <v>0.37095736734399998</v>
      </c>
      <c r="L2716" s="12">
        <f>[1]!EM_HKS_VAL_MV(B2716,"2019-12-31","2")</f>
        <v>4776413600</v>
      </c>
      <c r="M2716">
        <f>[1]!EM_S_VAL_PETTMDEDUCTED(B2716,E2716)</f>
        <v>19.557907761201701</v>
      </c>
      <c r="N2716" s="7">
        <f>[1]!EM_S_VAL_PBGOODWILLDEDUCTED(B2716,E2716)</f>
        <v>1.9977638929907799</v>
      </c>
      <c r="O2716" s="7">
        <f>[1]!EM_S_VAL_PS_TTM(B2716,E2716)</f>
        <v>3.3710068326395599</v>
      </c>
      <c r="P2716" s="7">
        <f>[1]!EM_S_VAL_PCF_NCFTTM(B2716,E2716)</f>
        <v>-11.49594276362</v>
      </c>
      <c r="Q2716" s="7">
        <f>[1]!EM_S_VAL_DIVIDENDYIELD2(B2716,E2716,"2019-11-29")</f>
        <v>1.0176390773405699</v>
      </c>
      <c r="T2716"/>
      <c r="U2716">
        <f>[1]!EM_S_RATIO_EPS_TTM(B2716,E2716,"1")</f>
        <v>1.0224910891287973</v>
      </c>
      <c r="AT2716" s="4" t="str">
        <f>[1]!EM_S_IPO_LISTEDDATE(B2716)</f>
        <v>2017-09-01</v>
      </c>
    </row>
    <row r="2717" spans="1:46">
      <c r="A2717">
        <v>740</v>
      </c>
      <c r="B2717" t="str">
        <f>"002229"</f>
        <v>002229</v>
      </c>
      <c r="C2717" t="s">
        <v>3315</v>
      </c>
      <c r="D2717" t="str">
        <f>[1]!EM_S_INFO_INDEX_EM(B2717,"1")</f>
        <v>轻工制造</v>
      </c>
      <c r="E2717" s="4">
        <f t="shared" si="42"/>
        <v>43465</v>
      </c>
      <c r="F2717" s="11">
        <f>[1]!EM_S_PQ_PCTCHANGE(B2717,"2018-01-01","2019-12-31","3")</f>
        <v>-28.510144279999999</v>
      </c>
      <c r="G2717" s="11">
        <f>[1]!EM_S_PQ_PCTCHANGE(B2717,"2018-12-31","2019-12-30","1")</f>
        <v>-8.9408528199999999</v>
      </c>
      <c r="H2717" s="11">
        <f>[1]!EM_S_FA_YOY_OR(B2717,E2717)</f>
        <v>1.5272860697999999</v>
      </c>
      <c r="I2717" s="11">
        <f>[1]!EM_S_FA_GROSSPROFITMARGIN(B2717,E2717)</f>
        <v>21.524268609500002</v>
      </c>
      <c r="J2717" s="11">
        <f>[1]!EM_S_FA_NETPROFITMARGIN(B2717,E2717)</f>
        <v>1.9816955279999999</v>
      </c>
      <c r="K2717" s="10">
        <f>[1]!EM_S_FA_ASSETSTURN(B2717,E2717)</f>
        <v>0.33785525799600002</v>
      </c>
      <c r="L2717" s="12">
        <f>[1]!EM_HKS_VAL_MV(B2717,"2019-12-31","2")</f>
        <v>3318972791.5799999</v>
      </c>
      <c r="M2717">
        <f>[1]!EM_S_VAL_PETTMDEDUCTED(B2717,E2717)</f>
        <v>292.29401500077</v>
      </c>
      <c r="N2717" s="7">
        <f>[1]!EM_S_VAL_PBGOODWILLDEDUCTED(B2717,E2717)</f>
        <v>2.33611534400807</v>
      </c>
      <c r="O2717" s="7">
        <f>[1]!EM_S_VAL_PS_TTM(B2717,E2717)</f>
        <v>5.0513368631440896</v>
      </c>
      <c r="P2717" s="7">
        <f>[1]!EM_S_VAL_PCF_NCFTTM(B2717,E2717)</f>
        <v>-86.543159264535504</v>
      </c>
      <c r="Q2717" s="7">
        <f>[1]!EM_S_VAL_DIVIDENDYIELD2(B2717,E2717,"2019-11-29")</f>
        <v>0.4875973690896252</v>
      </c>
      <c r="T2717"/>
      <c r="U2717">
        <f>[1]!EM_S_RATIO_EPS_TTM(B2717,E2717,"1")</f>
        <v>1.025881723010502E-2</v>
      </c>
      <c r="AT2717" s="4" t="str">
        <f>[1]!EM_S_IPO_LISTEDDATE(B2717)</f>
        <v>2008-05-08</v>
      </c>
    </row>
    <row r="2718" spans="1:46">
      <c r="A2718">
        <v>866</v>
      </c>
      <c r="B2718" t="str">
        <f>"002355"</f>
        <v>002355</v>
      </c>
      <c r="C2718" t="s">
        <v>2050</v>
      </c>
      <c r="D2718" t="str">
        <f>[1]!EM_S_INFO_INDEX_EM(B2718,"1")</f>
        <v>交运设备</v>
      </c>
      <c r="E2718" s="4">
        <f t="shared" si="42"/>
        <v>43465</v>
      </c>
      <c r="F2718" s="11">
        <f>[1]!EM_S_PQ_PCTCHANGE(B2718,"2018-01-01","2019-12-31","3")</f>
        <v>-35.411643509999998</v>
      </c>
      <c r="G2718" s="11">
        <f>[1]!EM_S_PQ_PCTCHANGE(B2718,"2018-12-31","2019-12-30","1")</f>
        <v>-8.9828269499999998</v>
      </c>
      <c r="H2718" s="11">
        <f>[1]!EM_S_FA_YOY_OR(B2718,E2718)</f>
        <v>1.1542766099999999</v>
      </c>
      <c r="I2718" s="11">
        <f>[1]!EM_S_FA_GROSSPROFITMARGIN(B2718,E2718)</f>
        <v>13.774326633899999</v>
      </c>
      <c r="J2718" s="11">
        <f>[1]!EM_S_FA_NETPROFITMARGIN(B2718,E2718)</f>
        <v>-13.246672998899999</v>
      </c>
      <c r="K2718" s="10">
        <f>[1]!EM_S_FA_ASSETSTURN(B2718,E2718)</f>
        <v>0.41134445833700001</v>
      </c>
      <c r="L2718" s="12">
        <f>[1]!EM_HKS_VAL_MV(B2718,"2019-12-31","2")</f>
        <v>4195055904</v>
      </c>
      <c r="M2718">
        <f>[1]!EM_S_VAL_PETTMDEDUCTED(B2718,E2718)</f>
        <v>88.606013986549897</v>
      </c>
      <c r="N2718" s="7">
        <f>[1]!EM_S_VAL_PBGOODWILLDEDUCTED(B2718,E2718)</f>
        <v>1.8550702421165699</v>
      </c>
      <c r="O2718" s="7">
        <f>[1]!EM_S_VAL_PS_TTM(B2718,E2718)</f>
        <v>2.3995281333049898</v>
      </c>
      <c r="P2718" s="7">
        <f>[1]!EM_S_VAL_PCF_NCFTTM(B2718,E2718)</f>
        <v>10.6894742815083</v>
      </c>
      <c r="Q2718" s="7">
        <f>[1]!EM_S_VAL_DIVIDENDYIELD2(B2718,E2718,"2019-11-29")</f>
        <v>0</v>
      </c>
      <c r="T2718"/>
      <c r="U2718">
        <f>[1]!EM_S_RATIO_EPS_TTM(B2718,E2718,"1")</f>
        <v>-0.41638435034829357</v>
      </c>
      <c r="AT2718" s="4" t="str">
        <f>[1]!EM_S_IPO_LISTEDDATE(B2718)</f>
        <v>2010-02-09</v>
      </c>
    </row>
    <row r="2719" spans="1:46">
      <c r="A2719">
        <v>3527</v>
      </c>
      <c r="B2719" t="str">
        <f>"603766"</f>
        <v>603766</v>
      </c>
      <c r="C2719" t="s">
        <v>754</v>
      </c>
      <c r="D2719" t="str">
        <f>[1]!EM_S_INFO_INDEX_EM(B2719,"1")</f>
        <v>交运设备</v>
      </c>
      <c r="E2719" s="4">
        <f t="shared" si="42"/>
        <v>43465</v>
      </c>
      <c r="F2719" s="11">
        <f>[1]!EM_S_PQ_PCTCHANGE(B2719,"2018-01-01","2019-12-31","3")</f>
        <v>-42.994001470000001</v>
      </c>
      <c r="G2719" s="11">
        <f>[1]!EM_S_PQ_PCTCHANGE(B2719,"2018-12-31","2019-12-30","1")</f>
        <v>-9.0464547700000004</v>
      </c>
      <c r="H2719" s="11">
        <f>[1]!EM_S_FA_YOY_OR(B2719,E2719)</f>
        <v>5.975071969</v>
      </c>
      <c r="I2719" s="11">
        <f>[1]!EM_S_FA_GROSSPROFITMARGIN(B2719,E2719)</f>
        <v>18.515168381999999</v>
      </c>
      <c r="J2719" s="11">
        <f>[1]!EM_S_FA_NETPROFITMARGIN(B2719,E2719)</f>
        <v>8.9190341673999995</v>
      </c>
      <c r="K2719" s="10">
        <f>[1]!EM_S_FA_ASSETSTURN(B2719,E2719)</f>
        <v>0.95911707432899995</v>
      </c>
      <c r="L2719" s="12">
        <f>[1]!EM_HKS_VAL_MV(B2719,"2019-12-31","2")</f>
        <v>7659711100.5</v>
      </c>
      <c r="M2719">
        <f>[1]!EM_S_VAL_PETTMDEDUCTED(B2719,E2719)</f>
        <v>10.981107571860701</v>
      </c>
      <c r="N2719" s="7">
        <f>[1]!EM_S_VAL_PBGOODWILLDEDUCTED(B2719,E2719)</f>
        <v>1.55848427439287</v>
      </c>
      <c r="O2719" s="7">
        <f>[1]!EM_S_VAL_PS_TTM(B2719,E2719)</f>
        <v>0.744239940855696</v>
      </c>
      <c r="P2719" s="7">
        <f>[1]!EM_S_VAL_PCF_NCFTTM(B2719,E2719)</f>
        <v>82.980624564392599</v>
      </c>
      <c r="Q2719" s="7">
        <f>[1]!EM_S_VAL_DIVIDENDYIELD2(B2719,E2719,"2019-11-29")</f>
        <v>0</v>
      </c>
      <c r="T2719"/>
      <c r="U2719">
        <f>[1]!EM_S_RATIO_EPS_TTM(B2719,E2719,"1")</f>
        <v>0.44765791606341016</v>
      </c>
      <c r="AT2719" s="4" t="str">
        <f>[1]!EM_S_IPO_LISTEDDATE(B2719)</f>
        <v>2012-08-10</v>
      </c>
    </row>
    <row r="2720" spans="1:46">
      <c r="A2720">
        <v>2987</v>
      </c>
      <c r="B2720" t="str">
        <f>"600960"</f>
        <v>600960</v>
      </c>
      <c r="C2720" t="s">
        <v>2469</v>
      </c>
      <c r="D2720" t="str">
        <f>[1]!EM_S_INFO_INDEX_EM(B2720,"1")</f>
        <v>交运设备</v>
      </c>
      <c r="E2720" s="4">
        <f t="shared" si="42"/>
        <v>43465</v>
      </c>
      <c r="F2720" s="11">
        <f>[1]!EM_S_PQ_PCTCHANGE(B2720,"2018-01-01","2019-12-31","3")</f>
        <v>-56.251433650000003</v>
      </c>
      <c r="G2720" s="11">
        <f>[1]!EM_S_PQ_PCTCHANGE(B2720,"2018-12-31","2019-12-30","1")</f>
        <v>-9.0909090900000002</v>
      </c>
      <c r="H2720" s="11">
        <f>[1]!EM_S_FA_YOY_OR(B2720,E2720)</f>
        <v>55.209344342900003</v>
      </c>
      <c r="I2720" s="11">
        <f>[1]!EM_S_FA_GROSSPROFITMARGIN(B2720,E2720)</f>
        <v>14.543328534600001</v>
      </c>
      <c r="J2720" s="11">
        <f>[1]!EM_S_FA_NETPROFITMARGIN(B2720,E2720)</f>
        <v>3.2029399406999999</v>
      </c>
      <c r="K2720" s="10">
        <f>[1]!EM_S_FA_ASSETSTURN(B2720,E2720)</f>
        <v>0.47689163844299998</v>
      </c>
      <c r="L2720" s="12">
        <f>[1]!EM_HKS_VAL_MV(B2720,"2019-12-31","2")</f>
        <v>3032144502.4200001</v>
      </c>
      <c r="M2720">
        <f>[1]!EM_S_VAL_PETTMDEDUCTED(B2720,E2720)</f>
        <v>34.646779496080903</v>
      </c>
      <c r="N2720" s="7">
        <f>[1]!EM_S_VAL_PBGOODWILLDEDUCTED(B2720,E2720)</f>
        <v>0.69377104760177299</v>
      </c>
      <c r="O2720" s="7">
        <f>[1]!EM_S_VAL_PS_TTM(B2720,E2720)</f>
        <v>1.02519844240886</v>
      </c>
      <c r="P2720" s="7">
        <f>[1]!EM_S_VAL_PCF_NCFTTM(B2720,E2720)</f>
        <v>123.85378340074899</v>
      </c>
      <c r="Q2720" s="7">
        <f>[1]!EM_S_VAL_DIVIDENDYIELD2(B2720,E2720,"2019-11-29")</f>
        <v>0.49180327868852453</v>
      </c>
      <c r="T2720"/>
      <c r="U2720">
        <f>[1]!EM_S_RATIO_EPS_TTM(B2720,E2720,"1")</f>
        <v>0.14655979799584923</v>
      </c>
      <c r="AT2720" s="4" t="str">
        <f>[1]!EM_S_IPO_LISTEDDATE(B2720)</f>
        <v>2004-04-07</v>
      </c>
    </row>
    <row r="2721" spans="1:46">
      <c r="A2721">
        <v>1762</v>
      </c>
      <c r="B2721" t="str">
        <f>"300337"</f>
        <v>300337</v>
      </c>
      <c r="C2721" t="s">
        <v>2531</v>
      </c>
      <c r="D2721" t="str">
        <f>[1]!EM_S_INFO_INDEX_EM(B2721,"1")</f>
        <v>有色金属</v>
      </c>
      <c r="E2721" s="4">
        <f t="shared" si="42"/>
        <v>43465</v>
      </c>
      <c r="F2721" s="11">
        <f>[1]!EM_S_PQ_PCTCHANGE(B2721,"2018-01-01","2019-12-31","3")</f>
        <v>-61.047686040000002</v>
      </c>
      <c r="G2721" s="11">
        <f>[1]!EM_S_PQ_PCTCHANGE(B2721,"2018-12-31","2019-12-30","1")</f>
        <v>-9.1428571400000003</v>
      </c>
      <c r="H2721" s="11">
        <f>[1]!EM_S_FA_YOY_OR(B2721,E2721)</f>
        <v>-2.9552819819999998</v>
      </c>
      <c r="I2721" s="11">
        <f>[1]!EM_S_FA_GROSSPROFITMARGIN(B2721,E2721)</f>
        <v>7.2237989564999996</v>
      </c>
      <c r="J2721" s="11">
        <f>[1]!EM_S_FA_NETPROFITMARGIN(B2721,E2721)</f>
        <v>-3.4751747202000001</v>
      </c>
      <c r="K2721" s="10">
        <f>[1]!EM_S_FA_ASSETSTURN(B2721,E2721)</f>
        <v>0.701762937122</v>
      </c>
      <c r="L2721" s="12">
        <f>[1]!EM_HKS_VAL_MV(B2721,"2019-12-31","2")</f>
        <v>2621924800</v>
      </c>
      <c r="M2721">
        <f>[1]!EM_S_VAL_PETTMDEDUCTED(B2721,E2721)</f>
        <v>-549.84047961230704</v>
      </c>
      <c r="N2721" s="7">
        <f>[1]!EM_S_VAL_PBGOODWILLDEDUCTED(B2721,E2721)</f>
        <v>2.1070585881642199</v>
      </c>
      <c r="O2721" s="7">
        <f>[1]!EM_S_VAL_PS_TTM(B2721,E2721)</f>
        <v>1.4023222239483499</v>
      </c>
      <c r="P2721" s="7">
        <f>[1]!EM_S_VAL_PCF_NCFTTM(B2721,E2721)</f>
        <v>44.032247175834399</v>
      </c>
      <c r="Q2721" s="7">
        <f>[1]!EM_S_VAL_DIVIDENDYIELD2(B2721,E2721,"2019-11-29")</f>
        <v>0</v>
      </c>
      <c r="T2721"/>
      <c r="U2721">
        <f>[1]!EM_S_RATIO_EPS_TTM(B2721,E2721,"1")</f>
        <v>-8.9910246775841932E-2</v>
      </c>
      <c r="AT2721" s="4" t="str">
        <f>[1]!EM_S_IPO_LISTEDDATE(B2721)</f>
        <v>2012-07-18</v>
      </c>
    </row>
    <row r="2722" spans="1:46">
      <c r="A2722">
        <v>1620</v>
      </c>
      <c r="B2722" t="str">
        <f>"300195"</f>
        <v>300195</v>
      </c>
      <c r="C2722" t="s">
        <v>1993</v>
      </c>
      <c r="D2722" t="str">
        <f>[1]!EM_S_INFO_INDEX_EM(B2722,"1")</f>
        <v>机械设备</v>
      </c>
      <c r="E2722" s="4">
        <f t="shared" si="42"/>
        <v>43465</v>
      </c>
      <c r="F2722" s="11">
        <f>[1]!EM_S_PQ_PCTCHANGE(B2722,"2018-01-01","2019-12-31","3")</f>
        <v>-45.384699130000001</v>
      </c>
      <c r="G2722" s="11">
        <f>[1]!EM_S_PQ_PCTCHANGE(B2722,"2018-12-31","2019-12-30","1")</f>
        <v>-9.1708542699999995</v>
      </c>
      <c r="H2722" s="11">
        <f>[1]!EM_S_FA_YOY_OR(B2722,E2722)</f>
        <v>16.0543786691</v>
      </c>
      <c r="I2722" s="11">
        <f>[1]!EM_S_FA_GROSSPROFITMARGIN(B2722,E2722)</f>
        <v>38.856692693399999</v>
      </c>
      <c r="J2722" s="11">
        <f>[1]!EM_S_FA_NETPROFITMARGIN(B2722,E2722)</f>
        <v>6.3210761282999997</v>
      </c>
      <c r="K2722" s="10">
        <f>[1]!EM_S_FA_ASSETSTURN(B2722,E2722)</f>
        <v>0.23395107100500001</v>
      </c>
      <c r="L2722" s="12">
        <f>[1]!EM_HKS_VAL_MV(B2722,"2019-12-31","2")</f>
        <v>3164430499</v>
      </c>
      <c r="M2722">
        <f>[1]!EM_S_VAL_PETTMDEDUCTED(B2722,E2722)</f>
        <v>43.340435598746701</v>
      </c>
      <c r="N2722" s="7">
        <f>[1]!EM_S_VAL_PBGOODWILLDEDUCTED(B2722,E2722)</f>
        <v>1.1749473363577601</v>
      </c>
      <c r="O2722" s="7">
        <f>[1]!EM_S_VAL_PS_TTM(B2722,E2722)</f>
        <v>2.6805527534092799</v>
      </c>
      <c r="P2722" s="7">
        <f>[1]!EM_S_VAL_PCF_NCFTTM(B2722,E2722)</f>
        <v>-32.643604044443798</v>
      </c>
      <c r="Q2722" s="7">
        <f>[1]!EM_S_VAL_DIVIDENDYIELD2(B2722,E2722,"2019-11-29")</f>
        <v>0</v>
      </c>
      <c r="T2722"/>
      <c r="U2722">
        <f>[1]!EM_S_RATIO_EPS_TTM(B2722,E2722,"1")</f>
        <v>0.19809179947579567</v>
      </c>
      <c r="AT2722" s="4" t="str">
        <f>[1]!EM_S_IPO_LISTEDDATE(B2722)</f>
        <v>2011-03-29</v>
      </c>
    </row>
    <row r="2723" spans="1:46">
      <c r="A2723">
        <v>2448</v>
      </c>
      <c r="B2723" t="str">
        <f>"600322"</f>
        <v>600322</v>
      </c>
      <c r="C2723" t="s">
        <v>1613</v>
      </c>
      <c r="D2723" t="str">
        <f>[1]!EM_S_INFO_INDEX_EM(B2723,"1")</f>
        <v>房地产</v>
      </c>
      <c r="E2723" s="4">
        <f t="shared" si="42"/>
        <v>43465</v>
      </c>
      <c r="F2723" s="11">
        <f>[1]!EM_S_PQ_PCTCHANGE(B2723,"2018-01-01","2019-12-31","3")</f>
        <v>-53.198127929999998</v>
      </c>
      <c r="G2723" s="11">
        <f>[1]!EM_S_PQ_PCTCHANGE(B2723,"2018-12-31","2019-12-30","1")</f>
        <v>-9.2307692299999999</v>
      </c>
      <c r="H2723" s="11">
        <f>[1]!EM_S_FA_YOY_OR(B2723,E2723)</f>
        <v>-46.430171293599997</v>
      </c>
      <c r="I2723" s="11">
        <f>[1]!EM_S_FA_GROSSPROFITMARGIN(B2723,E2723)</f>
        <v>22.027757967100001</v>
      </c>
      <c r="J2723" s="11">
        <f>[1]!EM_S_FA_NETPROFITMARGIN(B2723,E2723)</f>
        <v>4.2346000997999997</v>
      </c>
      <c r="K2723" s="10">
        <f>[1]!EM_S_FA_ASSETSTURN(B2723,E2723)</f>
        <v>0.10101898732300001</v>
      </c>
      <c r="L2723" s="12">
        <f>[1]!EM_HKS_VAL_MV(B2723,"2019-12-31","2")</f>
        <v>3317100000</v>
      </c>
      <c r="M2723">
        <f>[1]!EM_S_VAL_PETTMDEDUCTED(B2723,E2723)</f>
        <v>17.176090809820298</v>
      </c>
      <c r="N2723" s="7">
        <f>[1]!EM_S_VAL_PBGOODWILLDEDUCTED(B2723,E2723)</f>
        <v>0.79774399110621297</v>
      </c>
      <c r="O2723" s="7">
        <f>[1]!EM_S_VAL_PS_TTM(B2723,E2723)</f>
        <v>0.62363364571384206</v>
      </c>
      <c r="P2723" s="7">
        <f>[1]!EM_S_VAL_PCF_NCFTTM(B2723,E2723)</f>
        <v>-1.3884549698978501</v>
      </c>
      <c r="Q2723" s="7">
        <f>[1]!EM_S_VAL_DIVIDENDYIELD2(B2723,E2723,"2019-11-29")</f>
        <v>0</v>
      </c>
      <c r="T2723"/>
      <c r="U2723">
        <f>[1]!EM_S_RATIO_EPS_TTM(B2723,E2723,"1")</f>
        <v>0.12183878334991408</v>
      </c>
      <c r="AT2723" s="4" t="str">
        <f>[1]!EM_S_IPO_LISTEDDATE(B2723)</f>
        <v>2001-09-10</v>
      </c>
    </row>
    <row r="2724" spans="1:46">
      <c r="A2724">
        <v>3408</v>
      </c>
      <c r="B2724" t="str">
        <f>"603496"</f>
        <v>603496</v>
      </c>
      <c r="C2724" t="s">
        <v>874</v>
      </c>
      <c r="D2724" t="str">
        <f>[1]!EM_S_INFO_INDEX_EM(B2724,"1")</f>
        <v>信息技术</v>
      </c>
      <c r="E2724" s="4">
        <f t="shared" si="42"/>
        <v>43465</v>
      </c>
      <c r="F2724" s="11">
        <f>[1]!EM_S_PQ_PCTCHANGE(B2724,"2018-01-01","2019-12-31","3")</f>
        <v>26.046684290000002</v>
      </c>
      <c r="G2724" s="11">
        <f>[1]!EM_S_PQ_PCTCHANGE(B2724,"2018-12-31","2019-12-30","1")</f>
        <v>-9.2402464099999992</v>
      </c>
      <c r="H2724" s="11">
        <f>[1]!EM_S_FA_YOY_OR(B2724,E2724)</f>
        <v>38.175687863500002</v>
      </c>
      <c r="I2724" s="11">
        <f>[1]!EM_S_FA_GROSSPROFITMARGIN(B2724,E2724)</f>
        <v>56.197250043899999</v>
      </c>
      <c r="J2724" s="11">
        <f>[1]!EM_S_FA_NETPROFITMARGIN(B2724,E2724)</f>
        <v>23.878721186300002</v>
      </c>
      <c r="K2724" s="10">
        <f>[1]!EM_S_FA_ASSETSTURN(B2724,E2724)</f>
        <v>0.51253466658900004</v>
      </c>
      <c r="L2724" s="12">
        <f>[1]!EM_HKS_VAL_MV(B2724,"2019-12-31","2")</f>
        <v>4426234307.04</v>
      </c>
      <c r="M2724">
        <f>[1]!EM_S_VAL_PETTMDEDUCTED(B2724,E2724)</f>
        <v>37.211194005330199</v>
      </c>
      <c r="N2724" s="7">
        <f>[1]!EM_S_VAL_PBGOODWILLDEDUCTED(B2724,E2724)</f>
        <v>4.6039580335450898</v>
      </c>
      <c r="O2724" s="7">
        <f>[1]!EM_S_VAL_PS_TTM(B2724,E2724)</f>
        <v>8.0475786692582894</v>
      </c>
      <c r="P2724" s="7">
        <f>[1]!EM_S_VAL_PCF_NCFTTM(B2724,E2724)</f>
        <v>29.323524875309499</v>
      </c>
      <c r="Q2724" s="7">
        <f>[1]!EM_S_VAL_DIVIDENDYIELD2(B2724,E2724,"2019-11-29")</f>
        <v>0.83925161061770492</v>
      </c>
      <c r="T2724"/>
      <c r="U2724">
        <f>[1]!EM_S_RATIO_EPS_TTM(B2724,E2724,"1")</f>
        <v>0.74029524968323246</v>
      </c>
      <c r="AT2724" s="4" t="str">
        <f>[1]!EM_S_IPO_LISTEDDATE(B2724)</f>
        <v>2017-06-07</v>
      </c>
    </row>
    <row r="2725" spans="1:46">
      <c r="A2725">
        <v>1408</v>
      </c>
      <c r="B2725" t="str">
        <f>"002911"</f>
        <v>002911</v>
      </c>
      <c r="C2725" t="s">
        <v>649</v>
      </c>
      <c r="D2725" t="str">
        <f>[1]!EM_S_INFO_INDEX_EM(B2725,"1")</f>
        <v>公用事业</v>
      </c>
      <c r="E2725" s="4">
        <f t="shared" si="42"/>
        <v>43465</v>
      </c>
      <c r="F2725" s="11">
        <f>[1]!EM_S_PQ_PCTCHANGE(B2725,"2018-01-01","2019-12-31","3")</f>
        <v>-41.356015759999998</v>
      </c>
      <c r="G2725" s="11">
        <f>[1]!EM_S_PQ_PCTCHANGE(B2725,"2018-12-31","2019-12-30","1")</f>
        <v>-9.2526690400000007</v>
      </c>
      <c r="H2725" s="11">
        <f>[1]!EM_S_FA_YOY_OR(B2725,E2725)</f>
        <v>18.686514517799999</v>
      </c>
      <c r="I2725" s="11">
        <f>[1]!EM_S_FA_GROSSPROFITMARGIN(B2725,E2725)</f>
        <v>18.488812830600001</v>
      </c>
      <c r="J2725" s="11">
        <f>[1]!EM_S_FA_NETPROFITMARGIN(B2725,E2725)</f>
        <v>9.0397784521000002</v>
      </c>
      <c r="K2725" s="10">
        <f>[1]!EM_S_FA_ASSETSTURN(B2725,E2725)</f>
        <v>0.95398009507299997</v>
      </c>
      <c r="L2725" s="12">
        <f>[1]!EM_HKS_VAL_MV(B2725,"2019-12-31","2")</f>
        <v>8573520000</v>
      </c>
      <c r="M2725">
        <f>[1]!EM_S_VAL_PETTMDEDUCTED(B2725,E2725)</f>
        <v>23.433321879119099</v>
      </c>
      <c r="N2725" s="7">
        <f>[1]!EM_S_VAL_PBGOODWILLDEDUCTED(B2725,E2725)</f>
        <v>3.6323480837815598</v>
      </c>
      <c r="O2725" s="7">
        <f>[1]!EM_S_VAL_PS_TTM(B2725,E2725)</f>
        <v>1.93690065570456</v>
      </c>
      <c r="P2725" s="7">
        <f>[1]!EM_S_VAL_PCF_NCFTTM(B2725,E2725)</f>
        <v>48.352917477840599</v>
      </c>
      <c r="Q2725" s="7">
        <f>[1]!EM_S_VAL_DIVIDENDYIELD2(B2725,E2725,"2019-11-29")</f>
        <v>2.8233749179251477</v>
      </c>
      <c r="T2725"/>
      <c r="U2725">
        <f>[1]!EM_S_RATIO_EPS_TTM(B2725,E2725,"1")</f>
        <v>0.6511837622482014</v>
      </c>
      <c r="AT2725" s="4" t="str">
        <f>[1]!EM_S_IPO_LISTEDDATE(B2725)</f>
        <v>2017-11-22</v>
      </c>
    </row>
    <row r="2726" spans="1:46">
      <c r="A2726">
        <v>300</v>
      </c>
      <c r="B2726" t="str">
        <f>"000719"</f>
        <v>000719</v>
      </c>
      <c r="C2726" t="s">
        <v>2162</v>
      </c>
      <c r="D2726" t="str">
        <f>[1]!EM_S_INFO_INDEX_EM(B2726,"1")</f>
        <v>文化传媒</v>
      </c>
      <c r="E2726" s="4">
        <f t="shared" si="42"/>
        <v>43465</v>
      </c>
      <c r="F2726" s="11">
        <f>[1]!EM_S_PQ_PCTCHANGE(B2726,"2018-01-01","2019-12-31","3")</f>
        <v>-16.515642060000001</v>
      </c>
      <c r="G2726" s="11">
        <f>[1]!EM_S_PQ_PCTCHANGE(B2726,"2018-12-31","2019-12-30","1")</f>
        <v>-9.2757306199999991</v>
      </c>
      <c r="H2726" s="11">
        <f>[1]!EM_S_FA_YOY_OR(B2726,E2726)</f>
        <v>10.112600971399999</v>
      </c>
      <c r="I2726" s="11">
        <f>[1]!EM_S_FA_GROSSPROFITMARGIN(B2726,E2726)</f>
        <v>28.963948738999999</v>
      </c>
      <c r="J2726" s="11">
        <f>[1]!EM_S_FA_NETPROFITMARGIN(B2726,E2726)</f>
        <v>8.2351816722999995</v>
      </c>
      <c r="K2726" s="10">
        <f>[1]!EM_S_FA_ASSETSTURN(B2726,E2726)</f>
        <v>0.80055760030900003</v>
      </c>
      <c r="L2726" s="12">
        <f>[1]!EM_HKS_VAL_MV(B2726,"2019-12-31","2")</f>
        <v>7326138842.8400002</v>
      </c>
      <c r="M2726">
        <f>[1]!EM_S_VAL_PETTMDEDUCTED(B2726,E2726)</f>
        <v>11.3237826455786</v>
      </c>
      <c r="N2726" s="7">
        <f>[1]!EM_S_VAL_PBGOODWILLDEDUCTED(B2726,E2726)</f>
        <v>1.0451286480994799</v>
      </c>
      <c r="O2726" s="7">
        <f>[1]!EM_S_VAL_PS_TTM(B2726,E2726)</f>
        <v>0.93372659295258298</v>
      </c>
      <c r="P2726" s="7">
        <f>[1]!EM_S_VAL_PCF_NCFTTM(B2726,E2726)</f>
        <v>11.4833433018885</v>
      </c>
      <c r="Q2726" s="7">
        <f>[1]!EM_S_VAL_DIVIDENDYIELD2(B2726,E2726,"2019-11-29")</f>
        <v>3.6603221083455346</v>
      </c>
      <c r="T2726"/>
      <c r="U2726">
        <f>[1]!EM_S_RATIO_EPS_TTM(B2726,E2726,"1")</f>
        <v>0.71757830329255368</v>
      </c>
      <c r="AT2726" s="4" t="str">
        <f>[1]!EM_S_IPO_LISTEDDATE(B2726)</f>
        <v>1997-03-31</v>
      </c>
    </row>
    <row r="2727" spans="1:46">
      <c r="A2727">
        <v>2710</v>
      </c>
      <c r="B2727" t="str">
        <f>"600637"</f>
        <v>600637</v>
      </c>
      <c r="C2727" t="s">
        <v>1702</v>
      </c>
      <c r="D2727" t="str">
        <f>[1]!EM_S_INFO_INDEX_EM(B2727,"1")</f>
        <v>文化传媒</v>
      </c>
      <c r="E2727" s="4">
        <f t="shared" si="42"/>
        <v>43465</v>
      </c>
      <c r="F2727" s="11">
        <f>[1]!EM_S_PQ_PCTCHANGE(B2727,"2018-01-01","2019-12-31","3")</f>
        <v>-23.015759289999998</v>
      </c>
      <c r="G2727" s="11">
        <f>[1]!EM_S_PQ_PCTCHANGE(B2727,"2018-12-31","2019-12-30","1")</f>
        <v>-9.27734375</v>
      </c>
      <c r="H2727" s="11">
        <f>[1]!EM_S_FA_YOY_OR(B2727,E2727)</f>
        <v>-16.158023018400002</v>
      </c>
      <c r="I2727" s="11">
        <f>[1]!EM_S_FA_GROSSPROFITMARGIN(B2727,E2727)</f>
        <v>23.884749439299998</v>
      </c>
      <c r="J2727" s="11">
        <f>[1]!EM_S_FA_NETPROFITMARGIN(B2727,E2727)</f>
        <v>16.174404485</v>
      </c>
      <c r="K2727" s="10">
        <f>[1]!EM_S_FA_ASSETSTURN(B2727,E2727)</f>
        <v>0.36215622029299999</v>
      </c>
      <c r="L2727" s="12">
        <f>[1]!EM_HKS_VAL_MV(B2727,"2019-12-31","2")</f>
        <v>31959721881.360001</v>
      </c>
      <c r="M2727">
        <f>[1]!EM_S_VAL_PETTMDEDUCTED(B2727,E2727)</f>
        <v>26.8220007508192</v>
      </c>
      <c r="N2727" s="7">
        <f>[1]!EM_S_VAL_PBGOODWILLDEDUCTED(B2727,E2727)</f>
        <v>1.24463173761223</v>
      </c>
      <c r="O2727" s="7">
        <f>[1]!EM_S_VAL_PS_TTM(B2727,E2727)</f>
        <v>2.6349203900596199</v>
      </c>
      <c r="P2727" s="7">
        <f>[1]!EM_S_VAL_PCF_NCFTTM(B2727,E2727)</f>
        <v>-170.76476300145299</v>
      </c>
      <c r="Q2727" s="7">
        <f>[1]!EM_S_VAL_DIVIDENDYIELD2(B2727,E2727,"2019-11-29")</f>
        <v>3.0627838584351048</v>
      </c>
      <c r="T2727"/>
      <c r="U2727">
        <f>[1]!EM_S_RATIO_EPS_TTM(B2727,E2727,"1")</f>
        <v>0.58696632194674858</v>
      </c>
      <c r="AT2727" s="4" t="str">
        <f>[1]!EM_S_IPO_LISTEDDATE(B2727)</f>
        <v>1993-03-16</v>
      </c>
    </row>
    <row r="2728" spans="1:46">
      <c r="A2728">
        <v>1109</v>
      </c>
      <c r="B2728" t="str">
        <f>"002598"</f>
        <v>002598</v>
      </c>
      <c r="C2728" t="s">
        <v>1590</v>
      </c>
      <c r="D2728" t="str">
        <f>[1]!EM_S_INFO_INDEX_EM(B2728,"1")</f>
        <v>电气设备</v>
      </c>
      <c r="E2728" s="4">
        <f t="shared" si="42"/>
        <v>43465</v>
      </c>
      <c r="F2728" s="11">
        <f>[1]!EM_S_PQ_PCTCHANGE(B2728,"2018-01-01","2019-12-31","3")</f>
        <v>-33.807508069999997</v>
      </c>
      <c r="G2728" s="11">
        <f>[1]!EM_S_PQ_PCTCHANGE(B2728,"2018-12-31","2019-12-30","1")</f>
        <v>-9.2920353999999996</v>
      </c>
      <c r="H2728" s="11">
        <f>[1]!EM_S_FA_YOY_OR(B2728,E2728)</f>
        <v>34.517084926099997</v>
      </c>
      <c r="I2728" s="11">
        <f>[1]!EM_S_FA_GROSSPROFITMARGIN(B2728,E2728)</f>
        <v>32.935378966899997</v>
      </c>
      <c r="J2728" s="11">
        <f>[1]!EM_S_FA_NETPROFITMARGIN(B2728,E2728)</f>
        <v>8.8197698448999997</v>
      </c>
      <c r="K2728" s="10">
        <f>[1]!EM_S_FA_ASSETSTURN(B2728,E2728)</f>
        <v>0.75778235610400002</v>
      </c>
      <c r="L2728" s="12">
        <f>[1]!EM_HKS_VAL_MV(B2728,"2019-12-31","2")</f>
        <v>1940640000</v>
      </c>
      <c r="M2728">
        <f>[1]!EM_S_VAL_PETTMDEDUCTED(B2728,E2728)</f>
        <v>27.676992899955</v>
      </c>
      <c r="N2728" s="7">
        <f>[1]!EM_S_VAL_PBGOODWILLDEDUCTED(B2728,E2728)</f>
        <v>2.5180846600943001</v>
      </c>
      <c r="O2728" s="7">
        <f>[1]!EM_S_VAL_PS_TTM(B2728,E2728)</f>
        <v>2.34778599909429</v>
      </c>
      <c r="P2728" s="7">
        <f>[1]!EM_S_VAL_PCF_NCFTTM(B2728,E2728)</f>
        <v>119.600021379827</v>
      </c>
      <c r="Q2728" s="7">
        <f>[1]!EM_S_VAL_DIVIDENDYIELD2(B2728,E2728,"2019-11-29")</f>
        <v>3.3333333333333335</v>
      </c>
      <c r="T2728"/>
      <c r="U2728">
        <f>[1]!EM_S_RATIO_EPS_TTM(B2728,E2728,"1")</f>
        <v>0.26928666448717947</v>
      </c>
      <c r="AT2728" s="4" t="str">
        <f>[1]!EM_S_IPO_LISTEDDATE(B2728)</f>
        <v>2011-07-07</v>
      </c>
    </row>
    <row r="2729" spans="1:46">
      <c r="A2729">
        <v>3005</v>
      </c>
      <c r="B2729" t="str">
        <f>"600982"</f>
        <v>600982</v>
      </c>
      <c r="C2729" t="s">
        <v>2453</v>
      </c>
      <c r="D2729" t="str">
        <f>[1]!EM_S_INFO_INDEX_EM(B2729,"1")</f>
        <v>公用事业</v>
      </c>
      <c r="E2729" s="4">
        <f t="shared" si="42"/>
        <v>43465</v>
      </c>
      <c r="F2729" s="11">
        <f>[1]!EM_S_PQ_PCTCHANGE(B2729,"2018-01-01","2019-12-31","3")</f>
        <v>-27.70124002</v>
      </c>
      <c r="G2729" s="11">
        <f>[1]!EM_S_PQ_PCTCHANGE(B2729,"2018-12-31","2019-12-30","1")</f>
        <v>-9.3093093099999997</v>
      </c>
      <c r="H2729" s="11">
        <f>[1]!EM_S_FA_YOY_OR(B2729,E2729)</f>
        <v>11.7583865225</v>
      </c>
      <c r="I2729" s="11">
        <f>[1]!EM_S_FA_GROSSPROFITMARGIN(B2729,E2729)</f>
        <v>12.987370503299999</v>
      </c>
      <c r="J2729" s="11">
        <f>[1]!EM_S_FA_NETPROFITMARGIN(B2729,E2729)</f>
        <v>9.8506274034000008</v>
      </c>
      <c r="K2729" s="10">
        <f>[1]!EM_S_FA_ASSETSTURN(B2729,E2729)</f>
        <v>0.38003861357000002</v>
      </c>
      <c r="L2729" s="12">
        <f>[1]!EM_HKS_VAL_MV(B2729,"2019-12-31","2")</f>
        <v>3281820443.2199998</v>
      </c>
      <c r="M2729">
        <f>[1]!EM_S_VAL_PETTMDEDUCTED(B2729,E2729)</f>
        <v>99.071700774807297</v>
      </c>
      <c r="N2729" s="7">
        <f>[1]!EM_S_VAL_PBGOODWILLDEDUCTED(B2729,E2729)</f>
        <v>0.97859014694813695</v>
      </c>
      <c r="O2729" s="7">
        <f>[1]!EM_S_VAL_PS_TTM(B2729,E2729)</f>
        <v>1.6363269353129699</v>
      </c>
      <c r="P2729" s="7">
        <f>[1]!EM_S_VAL_PCF_NCFTTM(B2729,E2729)</f>
        <v>10.285700807292701</v>
      </c>
      <c r="Q2729" s="7">
        <f>[1]!EM_S_VAL_DIVIDENDYIELD2(B2729,E2729,"2019-11-29")</f>
        <v>1.5535781838305252</v>
      </c>
      <c r="T2729"/>
      <c r="U2729">
        <f>[1]!EM_S_RATIO_EPS_TTM(B2729,E2729,"1")</f>
        <v>0.20678889090008434</v>
      </c>
      <c r="AT2729" s="4" t="str">
        <f>[1]!EM_S_IPO_LISTEDDATE(B2729)</f>
        <v>2004-07-06</v>
      </c>
    </row>
    <row r="2730" spans="1:46">
      <c r="A2730">
        <v>234</v>
      </c>
      <c r="B2730" t="str">
        <f>"000633"</f>
        <v>000633</v>
      </c>
      <c r="C2730" t="s">
        <v>3588</v>
      </c>
      <c r="D2730" t="str">
        <f>[1]!EM_S_INFO_INDEX_EM(B2730,"1")</f>
        <v>有色金属</v>
      </c>
      <c r="E2730" s="4">
        <f t="shared" si="42"/>
        <v>43465</v>
      </c>
      <c r="F2730" s="11">
        <f>[1]!EM_S_PQ_PCTCHANGE(B2730,"2018-01-01","2019-12-31","3")</f>
        <v>-58.723828509999997</v>
      </c>
      <c r="G2730" s="11">
        <f>[1]!EM_S_PQ_PCTCHANGE(B2730,"2018-12-31","2019-12-30","1")</f>
        <v>-9.3681917200000004</v>
      </c>
      <c r="H2730" s="11">
        <f>[1]!EM_S_FA_YOY_OR(B2730,E2730)</f>
        <v>67.146449208700005</v>
      </c>
      <c r="I2730" s="11">
        <f>[1]!EM_S_FA_GROSSPROFITMARGIN(B2730,E2730)</f>
        <v>26.969519183199999</v>
      </c>
      <c r="J2730" s="11">
        <f>[1]!EM_S_FA_NETPROFITMARGIN(B2730,E2730)</f>
        <v>1.1724096593</v>
      </c>
      <c r="K2730" s="10">
        <f>[1]!EM_S_FA_ASSETSTURN(B2730,E2730)</f>
        <v>0.109144122988</v>
      </c>
      <c r="L2730" s="12">
        <f>[1]!EM_HKS_VAL_MV(B2730,"2019-12-31","2")</f>
        <v>1594340384.22</v>
      </c>
      <c r="M2730">
        <f>[1]!EM_S_VAL_PETTMDEDUCTED(B2730,E2730)</f>
        <v>-105.94873491475801</v>
      </c>
      <c r="N2730" s="7">
        <f>[1]!EM_S_VAL_PBGOODWILLDEDUCTED(B2730,E2730)</f>
        <v>10.8246324229927</v>
      </c>
      <c r="O2730" s="7">
        <f>[1]!EM_S_VAL_PS_TTM(B2730,E2730)</f>
        <v>20.765296825206001</v>
      </c>
      <c r="P2730" s="7">
        <f>[1]!EM_S_VAL_PCF_NCFTTM(B2730,E2730)</f>
        <v>-3.91391708424888</v>
      </c>
      <c r="Q2730" s="7">
        <f>[1]!EM_S_VAL_DIVIDENDYIELD2(B2730,E2730,"2019-11-29")</f>
        <v>0</v>
      </c>
      <c r="T2730"/>
      <c r="U2730">
        <f>[1]!EM_S_RATIO_EPS_TTM(B2730,E2730,"1")</f>
        <v>1.2705273771202952E-2</v>
      </c>
      <c r="AT2730" s="4" t="str">
        <f>[1]!EM_S_IPO_LISTEDDATE(B2730)</f>
        <v>1996-11-12</v>
      </c>
    </row>
    <row r="2731" spans="1:46">
      <c r="A2731">
        <v>2868</v>
      </c>
      <c r="B2731" t="str">
        <f>"600795"</f>
        <v>600795</v>
      </c>
      <c r="C2731" t="s">
        <v>1134</v>
      </c>
      <c r="D2731" t="str">
        <f>[1]!EM_S_INFO_INDEX_EM(B2731,"1")</f>
        <v>公用事业</v>
      </c>
      <c r="E2731" s="4">
        <f t="shared" si="42"/>
        <v>43465</v>
      </c>
      <c r="F2731" s="11">
        <f>[1]!EM_S_PQ_PCTCHANGE(B2731,"2018-01-01","2019-12-31","3")</f>
        <v>-21.456150189999999</v>
      </c>
      <c r="G2731" s="11">
        <f>[1]!EM_S_PQ_PCTCHANGE(B2731,"2018-12-31","2019-12-30","1")</f>
        <v>-9.375</v>
      </c>
      <c r="H2731" s="11">
        <f>[1]!EM_S_FA_YOY_OR(B2731,E2731)</f>
        <v>9.4537420438000002</v>
      </c>
      <c r="I2731" s="11">
        <f>[1]!EM_S_FA_GROSSPROFITMARGIN(B2731,E2731)</f>
        <v>18.6080039273</v>
      </c>
      <c r="J2731" s="11">
        <f>[1]!EM_S_FA_NETPROFITMARGIN(B2731,E2731)</f>
        <v>2.7619577496000001</v>
      </c>
      <c r="K2731" s="10">
        <f>[1]!EM_S_FA_ASSETSTURN(B2731,E2731)</f>
        <v>0.239607410848</v>
      </c>
      <c r="L2731" s="12">
        <f>[1]!EM_HKS_VAL_MV(B2731,"2019-12-31","2")</f>
        <v>45981930957.300003</v>
      </c>
      <c r="M2731">
        <f>[1]!EM_S_VAL_PETTMDEDUCTED(B2731,E2731)</f>
        <v>28.272704672035498</v>
      </c>
      <c r="N2731" s="7">
        <f>[1]!EM_S_VAL_PBGOODWILLDEDUCTED(B2731,E2731)</f>
        <v>1.0538189616815401</v>
      </c>
      <c r="O2731" s="7">
        <f>[1]!EM_S_VAL_PS_TTM(B2731,E2731)</f>
        <v>0.79083441489428297</v>
      </c>
      <c r="P2731" s="7">
        <f>[1]!EM_S_VAL_PCF_NCFTTM(B2731,E2731)</f>
        <v>-55.112335682280303</v>
      </c>
      <c r="Q2731" s="7">
        <f>[1]!EM_S_VAL_DIVIDENDYIELD2(B2731,E2731,"2019-11-29")</f>
        <v>1.7699115044247791</v>
      </c>
      <c r="T2731"/>
      <c r="U2731">
        <f>[1]!EM_S_RATIO_EPS_TTM(B2731,E2731,"1")</f>
        <v>6.968123195268569E-2</v>
      </c>
      <c r="AT2731" s="4" t="str">
        <f>[1]!EM_S_IPO_LISTEDDATE(B2731)</f>
        <v>1997-03-18</v>
      </c>
    </row>
    <row r="2732" spans="1:46">
      <c r="A2732">
        <v>2361</v>
      </c>
      <c r="B2732" t="str">
        <f>"600227"</f>
        <v>600227</v>
      </c>
      <c r="C2732" t="s">
        <v>2292</v>
      </c>
      <c r="D2732" t="str">
        <f>[1]!EM_S_INFO_INDEX_EM(B2732,"1")</f>
        <v>医药生物</v>
      </c>
      <c r="E2732" s="4">
        <f t="shared" si="42"/>
        <v>43465</v>
      </c>
      <c r="F2732" s="11">
        <f>[1]!EM_S_PQ_PCTCHANGE(B2732,"2018-01-01","2019-12-31","3")</f>
        <v>-64.598025390000004</v>
      </c>
      <c r="G2732" s="11">
        <f>[1]!EM_S_PQ_PCTCHANGE(B2732,"2018-12-31","2019-12-30","1")</f>
        <v>-9.4202898600000005</v>
      </c>
      <c r="H2732" s="11">
        <f>[1]!EM_S_FA_YOY_OR(B2732,E2732)</f>
        <v>43.583287349700001</v>
      </c>
      <c r="I2732" s="11">
        <f>[1]!EM_S_FA_GROSSPROFITMARGIN(B2732,E2732)</f>
        <v>34.805229807499998</v>
      </c>
      <c r="J2732" s="11">
        <f>[1]!EM_S_FA_NETPROFITMARGIN(B2732,E2732)</f>
        <v>8.1551176206000004</v>
      </c>
      <c r="K2732" s="10">
        <f>[1]!EM_S_FA_ASSETSTURN(B2732,E2732)</f>
        <v>0.35790905204899998</v>
      </c>
      <c r="L2732" s="12">
        <f>[1]!EM_HKS_VAL_MV(B2732,"2019-12-31","2")</f>
        <v>4249766844.5100002</v>
      </c>
      <c r="M2732">
        <f>[1]!EM_S_VAL_PETTMDEDUCTED(B2732,E2732)</f>
        <v>20.436606553903701</v>
      </c>
      <c r="N2732" s="7">
        <f>[1]!EM_S_VAL_PBGOODWILLDEDUCTED(B2732,E2732)</f>
        <v>0.96223214875576801</v>
      </c>
      <c r="O2732" s="7">
        <f>[1]!EM_S_VAL_PS_TTM(B2732,E2732)</f>
        <v>2.0097030728697098</v>
      </c>
      <c r="P2732" s="7">
        <f>[1]!EM_S_VAL_PCF_NCFTTM(B2732,E2732)</f>
        <v>-22.9697959118737</v>
      </c>
      <c r="Q2732" s="7">
        <f>[1]!EM_S_VAL_DIVIDENDYIELD2(B2732,E2732,"2019-11-29")</f>
        <v>0</v>
      </c>
      <c r="T2732"/>
      <c r="U2732">
        <f>[1]!EM_S_RATIO_EPS_TTM(B2732,E2732,"1")</f>
        <v>0.11755660889871777</v>
      </c>
      <c r="AT2732" s="4" t="str">
        <f>[1]!EM_S_IPO_LISTEDDATE(B2732)</f>
        <v>2000-02-21</v>
      </c>
    </row>
    <row r="2733" spans="1:46">
      <c r="A2733">
        <v>2500</v>
      </c>
      <c r="B2733" t="str">
        <f>"600382"</f>
        <v>600382</v>
      </c>
      <c r="C2733" t="s">
        <v>1647</v>
      </c>
      <c r="D2733" t="str">
        <f>[1]!EM_S_INFO_INDEX_EM(B2733,"1")</f>
        <v>房地产</v>
      </c>
      <c r="E2733" s="4">
        <f t="shared" si="42"/>
        <v>43465</v>
      </c>
      <c r="F2733" s="11">
        <f>[1]!EM_S_PQ_PCTCHANGE(B2733,"2018-01-01","2019-12-31","3")</f>
        <v>-27.146990410000001</v>
      </c>
      <c r="G2733" s="11">
        <f>[1]!EM_S_PQ_PCTCHANGE(B2733,"2018-12-31","2019-12-30","1")</f>
        <v>-9.4559585500000001</v>
      </c>
      <c r="H2733" s="11">
        <f>[1]!EM_S_FA_YOY_OR(B2733,E2733)</f>
        <v>12.108601462699999</v>
      </c>
      <c r="I2733" s="11">
        <f>[1]!EM_S_FA_GROSSPROFITMARGIN(B2733,E2733)</f>
        <v>85.999028903799996</v>
      </c>
      <c r="J2733" s="11">
        <f>[1]!EM_S_FA_NETPROFITMARGIN(B2733,E2733)</f>
        <v>60.734994221699999</v>
      </c>
      <c r="K2733" s="10">
        <f>[1]!EM_S_FA_ASSETSTURN(B2733,E2733)</f>
        <v>0.105414074929</v>
      </c>
      <c r="L2733" s="12">
        <f>[1]!EM_HKS_VAL_MV(B2733,"2019-12-31","2")</f>
        <v>4242036433.3499999</v>
      </c>
      <c r="M2733">
        <f>[1]!EM_S_VAL_PETTMDEDUCTED(B2733,E2733)</f>
        <v>12.908117209104301</v>
      </c>
      <c r="N2733" s="7">
        <f>[1]!EM_S_VAL_PBGOODWILLDEDUCTED(B2733,E2733)</f>
        <v>0.65878066252714695</v>
      </c>
      <c r="O2733" s="7">
        <f>[1]!EM_S_VAL_PS_TTM(B2733,E2733)</f>
        <v>4.8907655195088902</v>
      </c>
      <c r="P2733" s="7">
        <f>[1]!EM_S_VAL_PCF_NCFTTM(B2733,E2733)</f>
        <v>-22.8308439469969</v>
      </c>
      <c r="Q2733" s="7">
        <f>[1]!EM_S_VAL_DIVIDENDYIELD2(B2733,E2733,"2019-11-29")</f>
        <v>0.68477516503598446</v>
      </c>
      <c r="T2733"/>
      <c r="U2733">
        <f>[1]!EM_S_RATIO_EPS_TTM(B2733,E2733,"1")</f>
        <v>0.83145199934582725</v>
      </c>
      <c r="AT2733" s="4" t="str">
        <f>[1]!EM_S_IPO_LISTEDDATE(B2733)</f>
        <v>2001-01-18</v>
      </c>
    </row>
    <row r="2734" spans="1:46">
      <c r="A2734">
        <v>3465</v>
      </c>
      <c r="B2734" t="str">
        <f>"603619"</f>
        <v>603619</v>
      </c>
      <c r="C2734" t="s">
        <v>734</v>
      </c>
      <c r="D2734" t="str">
        <f>[1]!EM_S_INFO_INDEX_EM(B2734,"1")</f>
        <v>化石能源</v>
      </c>
      <c r="E2734" s="4">
        <f t="shared" si="42"/>
        <v>43465</v>
      </c>
      <c r="F2734" s="11">
        <f>[1]!EM_S_PQ_PCTCHANGE(B2734,"2018-01-01","2019-12-31","3")</f>
        <v>-59.469386499999999</v>
      </c>
      <c r="G2734" s="11">
        <f>[1]!EM_S_PQ_PCTCHANGE(B2734,"2018-12-31","2019-12-30","1")</f>
        <v>-9.47164948</v>
      </c>
      <c r="H2734" s="11">
        <f>[1]!EM_S_FA_YOY_OR(B2734,E2734)</f>
        <v>-21.589083790699998</v>
      </c>
      <c r="I2734" s="11">
        <f>[1]!EM_S_FA_GROSSPROFITMARGIN(B2734,E2734)</f>
        <v>23.735943024299999</v>
      </c>
      <c r="J2734" s="11">
        <f>[1]!EM_S_FA_NETPROFITMARGIN(B2734,E2734)</f>
        <v>2.1563385132000001</v>
      </c>
      <c r="K2734" s="10">
        <f>[1]!EM_S_FA_ASSETSTURN(B2734,E2734)</f>
        <v>0.34631541500000002</v>
      </c>
      <c r="L2734" s="12">
        <f>[1]!EM_HKS_VAL_MV(B2734,"2019-12-31","2")</f>
        <v>5576001394</v>
      </c>
      <c r="M2734">
        <f>[1]!EM_S_VAL_PETTMDEDUCTED(B2734,E2734)</f>
        <v>51.133185252429101</v>
      </c>
      <c r="N2734" s="7">
        <f>[1]!EM_S_VAL_PBGOODWILLDEDUCTED(B2734,E2734)</f>
        <v>2.6170428122915101</v>
      </c>
      <c r="O2734" s="7">
        <f>[1]!EM_S_VAL_PS_TTM(B2734,E2734)</f>
        <v>4.2321054772298199</v>
      </c>
      <c r="P2734" s="7">
        <f>[1]!EM_S_VAL_PCF_NCFTTM(B2734,E2734)</f>
        <v>-8.3330948511268694</v>
      </c>
      <c r="Q2734" s="7">
        <f>[1]!EM_S_VAL_DIVIDENDYIELD2(B2734,E2734,"2019-11-29")</f>
        <v>0.16061452513966482</v>
      </c>
      <c r="T2734"/>
      <c r="U2734">
        <f>[1]!EM_S_RATIO_EPS_TTM(B2734,E2734,"1")</f>
        <v>7.4921390619652348E-2</v>
      </c>
      <c r="AT2734" s="4" t="str">
        <f>[1]!EM_S_IPO_LISTEDDATE(B2734)</f>
        <v>2017-11-17</v>
      </c>
    </row>
    <row r="2735" spans="1:46">
      <c r="A2735">
        <v>3394</v>
      </c>
      <c r="B2735" t="str">
        <f>"603393"</f>
        <v>603393</v>
      </c>
      <c r="C2735" t="s">
        <v>552</v>
      </c>
      <c r="D2735" t="str">
        <f>[1]!EM_S_INFO_INDEX_EM(B2735,"1")</f>
        <v>公用事业</v>
      </c>
      <c r="E2735" s="4">
        <f t="shared" si="42"/>
        <v>43465</v>
      </c>
      <c r="F2735" s="11">
        <f>[1]!EM_S_PQ_PCTCHANGE(B2735,"2018-01-01","2019-12-31","3")</f>
        <v>9.3140106100000004</v>
      </c>
      <c r="G2735" s="11">
        <f>[1]!EM_S_PQ_PCTCHANGE(B2735,"2018-12-31","2019-12-30","1")</f>
        <v>-9.4754098399999993</v>
      </c>
      <c r="H2735" s="11">
        <f>[1]!EM_S_FA_YOY_OR(B2735,E2735)</f>
        <v>60.578062755700003</v>
      </c>
      <c r="I2735" s="11">
        <f>[1]!EM_S_FA_GROSSPROFITMARGIN(B2735,E2735)</f>
        <v>43.046717772900003</v>
      </c>
      <c r="J2735" s="11">
        <f>[1]!EM_S_FA_NETPROFITMARGIN(B2735,E2735)</f>
        <v>25.752844934500001</v>
      </c>
      <c r="K2735" s="10">
        <f>[1]!EM_S_FA_ASSETSTURN(B2735,E2735)</f>
        <v>0.31865308372599999</v>
      </c>
      <c r="L2735" s="12">
        <f>[1]!EM_HKS_VAL_MV(B2735,"2019-12-31","2")</f>
        <v>6224960000</v>
      </c>
      <c r="M2735">
        <f>[1]!EM_S_VAL_PETTMDEDUCTED(B2735,E2735)</f>
        <v>22.5067083013959</v>
      </c>
      <c r="N2735" s="7">
        <f>[1]!EM_S_VAL_PBGOODWILLDEDUCTED(B2735,E2735)</f>
        <v>2.1555266805318101</v>
      </c>
      <c r="O2735" s="7">
        <f>[1]!EM_S_VAL_PS_TTM(B2735,E2735)</f>
        <v>3.9015305302460499</v>
      </c>
      <c r="P2735" s="7">
        <f>[1]!EM_S_VAL_PCF_NCFTTM(B2735,E2735)</f>
        <v>4.5788593781530098</v>
      </c>
      <c r="Q2735" s="7">
        <f>[1]!EM_S_VAL_DIVIDENDYIELD2(B2735,E2735,"2019-11-29")</f>
        <v>2.6068821689259645</v>
      </c>
      <c r="T2735"/>
      <c r="U2735">
        <f>[1]!EM_S_RATIO_EPS_TTM(B2735,E2735,"1")</f>
        <v>2.0910545023125002</v>
      </c>
      <c r="AT2735" s="4" t="str">
        <f>[1]!EM_S_IPO_LISTEDDATE(B2735)</f>
        <v>2016-09-12</v>
      </c>
    </row>
    <row r="2736" spans="1:46">
      <c r="A2736">
        <v>291</v>
      </c>
      <c r="B2736" t="str">
        <f>"000709"</f>
        <v>000709</v>
      </c>
      <c r="C2736" t="s">
        <v>2325</v>
      </c>
      <c r="D2736" t="str">
        <f>[1]!EM_S_INFO_INDEX_EM(B2736,"1")</f>
        <v>钢铁</v>
      </c>
      <c r="E2736" s="4">
        <f t="shared" si="42"/>
        <v>43465</v>
      </c>
      <c r="F2736" s="11">
        <f>[1]!EM_S_PQ_PCTCHANGE(B2736,"2018-01-01","2019-12-31","3")</f>
        <v>-29.29996483</v>
      </c>
      <c r="G2736" s="11">
        <f>[1]!EM_S_PQ_PCTCHANGE(B2736,"2018-12-31","2019-12-30","1")</f>
        <v>-9.5070422499999996</v>
      </c>
      <c r="H2736" s="11">
        <f>[1]!EM_S_FA_YOY_OR(B2736,E2736)</f>
        <v>10.9869519464</v>
      </c>
      <c r="I2736" s="11">
        <f>[1]!EM_S_FA_GROSSPROFITMARGIN(B2736,E2736)</f>
        <v>14.297378875</v>
      </c>
      <c r="J2736" s="11">
        <f>[1]!EM_S_FA_NETPROFITMARGIN(B2736,E2736)</f>
        <v>3.6221796460000002</v>
      </c>
      <c r="K2736" s="10">
        <f>[1]!EM_S_FA_ASSETSTURN(B2736,E2736)</f>
        <v>0.60646141420599997</v>
      </c>
      <c r="L2736" s="12">
        <f>[1]!EM_HKS_VAL_MV(B2736,"2019-12-31","2")</f>
        <v>27396008258.16</v>
      </c>
      <c r="M2736">
        <f>[1]!EM_S_VAL_PETTMDEDUCTED(B2736,E2736)</f>
        <v>10.1257406078245</v>
      </c>
      <c r="N2736" s="7">
        <f>[1]!EM_S_VAL_PBGOODWILLDEDUCTED(B2736,E2736)</f>
        <v>0.62655676844707198</v>
      </c>
      <c r="O2736" s="7">
        <f>[1]!EM_S_VAL_PS_TTM(B2736,E2736)</f>
        <v>0.26762028540281102</v>
      </c>
      <c r="P2736" s="7">
        <f>[1]!EM_S_VAL_PCF_NCFTTM(B2736,E2736)</f>
        <v>7.7877675070677501</v>
      </c>
      <c r="Q2736" s="7">
        <f>[1]!EM_S_VAL_DIVIDENDYIELD2(B2736,E2736,"2019-11-29")</f>
        <v>4.076313492063492</v>
      </c>
      <c r="T2736"/>
      <c r="U2736">
        <f>[1]!EM_S_RATIO_EPS_TTM(B2736,E2736,"1")</f>
        <v>0.34150562815416419</v>
      </c>
      <c r="AT2736" s="4" t="str">
        <f>[1]!EM_S_IPO_LISTEDDATE(B2736)</f>
        <v>1997-04-16</v>
      </c>
    </row>
    <row r="2737" spans="1:46">
      <c r="A2737">
        <v>1765</v>
      </c>
      <c r="B2737" t="str">
        <f>"300340"</f>
        <v>300340</v>
      </c>
      <c r="C2737" t="s">
        <v>1408</v>
      </c>
      <c r="D2737" t="str">
        <f>[1]!EM_S_INFO_INDEX_EM(B2737,"1")</f>
        <v>有色金属</v>
      </c>
      <c r="E2737" s="4">
        <f t="shared" si="42"/>
        <v>43465</v>
      </c>
      <c r="F2737" s="11">
        <f>[1]!EM_S_PQ_PCTCHANGE(B2737,"2018-01-01","2019-12-31","3")</f>
        <v>-60.228171199999998</v>
      </c>
      <c r="G2737" s="11">
        <f>[1]!EM_S_PQ_PCTCHANGE(B2737,"2018-12-31","2019-12-30","1")</f>
        <v>-9.5509622200000006</v>
      </c>
      <c r="H2737" s="11">
        <f>[1]!EM_S_FA_YOY_OR(B2737,E2737)</f>
        <v>6.8760652646000002</v>
      </c>
      <c r="I2737" s="11">
        <f>[1]!EM_S_FA_GROSSPROFITMARGIN(B2737,E2737)</f>
        <v>15.6627028382</v>
      </c>
      <c r="J2737" s="11">
        <f>[1]!EM_S_FA_NETPROFITMARGIN(B2737,E2737)</f>
        <v>2.4433692372000002</v>
      </c>
      <c r="K2737" s="10">
        <f>[1]!EM_S_FA_ASSETSTURN(B2737,E2737)</f>
        <v>0.623933984261</v>
      </c>
      <c r="L2737" s="12">
        <f>[1]!EM_HKS_VAL_MV(B2737,"2019-12-31","2")</f>
        <v>2689995049.5999999</v>
      </c>
      <c r="M2737">
        <f>[1]!EM_S_VAL_PETTMDEDUCTED(B2737,E2737)</f>
        <v>50.123452623821201</v>
      </c>
      <c r="N2737" s="7">
        <f>[1]!EM_S_VAL_PBGOODWILLDEDUCTED(B2737,E2737)</f>
        <v>2.85071190778143</v>
      </c>
      <c r="O2737" s="7">
        <f>[1]!EM_S_VAL_PS_TTM(B2737,E2737)</f>
        <v>1.2472943819192199</v>
      </c>
      <c r="P2737" s="7">
        <f>[1]!EM_S_VAL_PCF_NCFTTM(B2737,E2737)</f>
        <v>-35.669058666277301</v>
      </c>
      <c r="Q2737" s="7">
        <f>[1]!EM_S_VAL_DIVIDENDYIELD2(B2737,E2737,"2019-11-29")</f>
        <v>0.89285714285714279</v>
      </c>
      <c r="T2737"/>
      <c r="U2737">
        <f>[1]!EM_S_RATIO_EPS_TTM(B2737,E2737,"1")</f>
        <v>0.25213556495773259</v>
      </c>
      <c r="AT2737" s="4" t="str">
        <f>[1]!EM_S_IPO_LISTEDDATE(B2737)</f>
        <v>2012-07-26</v>
      </c>
    </row>
    <row r="2738" spans="1:46">
      <c r="A2738">
        <v>2181</v>
      </c>
      <c r="B2738" t="str">
        <f>"600022"</f>
        <v>600022</v>
      </c>
      <c r="C2738" t="s">
        <v>638</v>
      </c>
      <c r="D2738" t="str">
        <f>[1]!EM_S_INFO_INDEX_EM(B2738,"1")</f>
        <v>钢铁</v>
      </c>
      <c r="E2738" s="4">
        <f t="shared" si="42"/>
        <v>43465</v>
      </c>
      <c r="F2738" s="11">
        <f>[1]!EM_S_PQ_PCTCHANGE(B2738,"2018-01-01","2019-12-31","3")</f>
        <v>-33.177570090000003</v>
      </c>
      <c r="G2738" s="11">
        <f>[1]!EM_S_PQ_PCTCHANGE(B2738,"2018-12-31","2019-12-30","1")</f>
        <v>-9.5541401300000004</v>
      </c>
      <c r="H2738" s="11">
        <f>[1]!EM_S_FA_YOY_OR(B2738,E2738)</f>
        <v>16.723083471900001</v>
      </c>
      <c r="I2738" s="11">
        <f>[1]!EM_S_FA_GROSSPROFITMARGIN(B2738,E2738)</f>
        <v>10.5065671694</v>
      </c>
      <c r="J2738" s="11">
        <f>[1]!EM_S_FA_NETPROFITMARGIN(B2738,E2738)</f>
        <v>4.1830393352000002</v>
      </c>
      <c r="K2738" s="10">
        <f>[1]!EM_S_FA_ASSETSTURN(B2738,E2738)</f>
        <v>0.86740091712900003</v>
      </c>
      <c r="L2738" s="12">
        <f>[1]!EM_HKS_VAL_MV(B2738,"2019-12-31","2")</f>
        <v>15653565950.879999</v>
      </c>
      <c r="M2738">
        <f>[1]!EM_S_VAL_PETTMDEDUCTED(B2738,E2738)</f>
        <v>5.1828487013407996</v>
      </c>
      <c r="N2738" s="7">
        <f>[1]!EM_S_VAL_PBGOODWILLDEDUCTED(B2738,E2738)</f>
        <v>0.852201915104427</v>
      </c>
      <c r="O2738" s="7">
        <f>[1]!EM_S_VAL_PS_TTM(B2738,E2738)</f>
        <v>0.32317223027888797</v>
      </c>
      <c r="P2738" s="7">
        <f>[1]!EM_S_VAL_PCF_NCFTTM(B2738,E2738)</f>
        <v>-11.274247246007601</v>
      </c>
      <c r="Q2738" s="7">
        <f>[1]!EM_S_VAL_DIVIDENDYIELD2(B2738,E2738,"2019-11-29")</f>
        <v>0</v>
      </c>
      <c r="T2738"/>
      <c r="U2738">
        <f>[1]!EM_S_RATIO_EPS_TTM(B2738,E2738,"1")</f>
        <v>0.19244602519782705</v>
      </c>
      <c r="AT2738" s="4" t="str">
        <f>[1]!EM_S_IPO_LISTEDDATE(B2738)</f>
        <v>2004-06-29</v>
      </c>
    </row>
    <row r="2739" spans="1:46">
      <c r="A2739">
        <v>1129</v>
      </c>
      <c r="B2739" t="str">
        <f>"002618"</f>
        <v>002618</v>
      </c>
      <c r="C2739" t="s">
        <v>2899</v>
      </c>
      <c r="D2739" t="str">
        <f>[1]!EM_S_INFO_INDEX_EM(B2739,"1")</f>
        <v>电子设备</v>
      </c>
      <c r="E2739" s="4">
        <f t="shared" si="42"/>
        <v>43465</v>
      </c>
      <c r="F2739" s="11">
        <f>[1]!EM_S_PQ_PCTCHANGE(B2739,"2018-01-01","2019-12-31","3")</f>
        <v>-10</v>
      </c>
      <c r="G2739" s="11">
        <f>[1]!EM_S_PQ_PCTCHANGE(B2739,"2018-12-31","2019-12-30","1")</f>
        <v>-9.5860566400000007</v>
      </c>
      <c r="H2739" s="11">
        <f>[1]!EM_S_FA_YOY_OR(B2739,E2739)</f>
        <v>8.3327818481999998</v>
      </c>
      <c r="I2739" s="11">
        <f>[1]!EM_S_FA_GROSSPROFITMARGIN(B2739,E2739)</f>
        <v>41.160871949300002</v>
      </c>
      <c r="J2739" s="11">
        <f>[1]!EM_S_FA_NETPROFITMARGIN(B2739,E2739)</f>
        <v>7.3970330875999997</v>
      </c>
      <c r="K2739" s="10">
        <f>[1]!EM_S_FA_ASSETSTURN(B2739,E2739)</f>
        <v>0.13716090504600001</v>
      </c>
      <c r="L2739" s="12">
        <f>[1]!EM_HKS_VAL_MV(B2739,"2019-12-31","2")</f>
        <v>6755853600</v>
      </c>
      <c r="M2739">
        <f>[1]!EM_S_VAL_PETTMDEDUCTED(B2739,E2739)</f>
        <v>995.29025616033198</v>
      </c>
      <c r="N2739" s="7">
        <f>[1]!EM_S_VAL_PBGOODWILLDEDUCTED(B2739,E2739)</f>
        <v>4.3970328381987196</v>
      </c>
      <c r="O2739" s="7">
        <f>[1]!EM_S_VAL_PS_TTM(B2739,E2739)</f>
        <v>22.3274535584269</v>
      </c>
      <c r="P2739" s="7">
        <f>[1]!EM_S_VAL_PCF_NCFTTM(B2739,E2739)</f>
        <v>-119.898404528152</v>
      </c>
      <c r="Q2739" s="7">
        <f>[1]!EM_S_VAL_DIVIDENDYIELD2(B2739,E2739,"2019-11-29")</f>
        <v>4.1390728476821195E-2</v>
      </c>
      <c r="T2739"/>
      <c r="U2739">
        <f>[1]!EM_S_RATIO_EPS_TTM(B2739,E2739,"1")</f>
        <v>4.6384898853847278E-2</v>
      </c>
      <c r="AT2739" s="4" t="str">
        <f>[1]!EM_S_IPO_LISTEDDATE(B2739)</f>
        <v>2011-09-20</v>
      </c>
    </row>
    <row r="2740" spans="1:46">
      <c r="A2740">
        <v>573</v>
      </c>
      <c r="B2740" t="str">
        <f>"002062"</f>
        <v>002062</v>
      </c>
      <c r="C2740" t="s">
        <v>841</v>
      </c>
      <c r="D2740" t="str">
        <f>[1]!EM_S_INFO_INDEX_EM(B2740,"1")</f>
        <v>建筑</v>
      </c>
      <c r="E2740" s="4">
        <f t="shared" si="42"/>
        <v>43465</v>
      </c>
      <c r="F2740" s="11">
        <f>[1]!EM_S_PQ_PCTCHANGE(B2740,"2018-01-01","2019-12-31","3")</f>
        <v>-32.175328399999998</v>
      </c>
      <c r="G2740" s="11">
        <f>[1]!EM_S_PQ_PCTCHANGE(B2740,"2018-12-31","2019-12-30","1")</f>
        <v>-9.6354166699999997</v>
      </c>
      <c r="H2740" s="11">
        <f>[1]!EM_S_FA_YOY_OR(B2740,E2740)</f>
        <v>21.667988151100001</v>
      </c>
      <c r="I2740" s="11">
        <f>[1]!EM_S_FA_GROSSPROFITMARGIN(B2740,E2740)</f>
        <v>12.378813615</v>
      </c>
      <c r="J2740" s="11">
        <f>[1]!EM_S_FA_NETPROFITMARGIN(B2740,E2740)</f>
        <v>2.0023814849999999</v>
      </c>
      <c r="K2740" s="10">
        <f>[1]!EM_S_FA_ASSETSTURN(B2740,E2740)</f>
        <v>0.71796602406200005</v>
      </c>
      <c r="L2740" s="12">
        <f>[1]!EM_HKS_VAL_MV(B2740,"2019-12-31","2")</f>
        <v>3869775000</v>
      </c>
      <c r="M2740">
        <f>[1]!EM_S_VAL_PETTMDEDUCTED(B2740,E2740)</f>
        <v>14.174642634636699</v>
      </c>
      <c r="N2740" s="7">
        <f>[1]!EM_S_VAL_PBGOODWILLDEDUCTED(B2740,E2740)</f>
        <v>1.4157578981930901</v>
      </c>
      <c r="O2740" s="7">
        <f>[1]!EM_S_VAL_PS_TTM(B2740,E2740)</f>
        <v>0.46972694110216601</v>
      </c>
      <c r="P2740" s="7">
        <f>[1]!EM_S_VAL_PCF_NCFTTM(B2740,E2740)</f>
        <v>-10.536282391356099</v>
      </c>
      <c r="Q2740" s="7">
        <f>[1]!EM_S_VAL_DIVIDENDYIELD2(B2740,E2740,"2019-11-29")</f>
        <v>1.4367816091954022</v>
      </c>
      <c r="T2740"/>
      <c r="U2740">
        <f>[1]!EM_S_RATIO_EPS_TTM(B2740,E2740,"1")</f>
        <v>0.27248872013605441</v>
      </c>
      <c r="AT2740" s="4" t="str">
        <f>[1]!EM_S_IPO_LISTEDDATE(B2740)</f>
        <v>2006-08-16</v>
      </c>
    </row>
    <row r="2741" spans="1:46">
      <c r="A2741">
        <v>477</v>
      </c>
      <c r="B2741" t="str">
        <f>"000963"</f>
        <v>000963</v>
      </c>
      <c r="C2741" t="s">
        <v>135</v>
      </c>
      <c r="D2741" t="str">
        <f>[1]!EM_S_INFO_INDEX_EM(B2741,"1")</f>
        <v>医药生物</v>
      </c>
      <c r="E2741" s="4">
        <f t="shared" si="42"/>
        <v>43465</v>
      </c>
      <c r="F2741" s="11">
        <f>[1]!EM_S_PQ_PCTCHANGE(B2741,"2018-01-01","2019-12-31","3")</f>
        <v>-16.836138989999998</v>
      </c>
      <c r="G2741" s="11">
        <f>[1]!EM_S_PQ_PCTCHANGE(B2741,"2018-12-31","2019-12-30","1")</f>
        <v>-9.6371882099999997</v>
      </c>
      <c r="H2741" s="11">
        <f>[1]!EM_S_FA_YOY_OR(B2741,E2741)</f>
        <v>10.173789777</v>
      </c>
      <c r="I2741" s="11">
        <f>[1]!EM_S_FA_GROSSPROFITMARGIN(B2741,E2741)</f>
        <v>28.987902158400001</v>
      </c>
      <c r="J2741" s="11">
        <f>[1]!EM_S_FA_NETPROFITMARGIN(B2741,E2741)</f>
        <v>7.8111742905000003</v>
      </c>
      <c r="K2741" s="10">
        <f>[1]!EM_S_FA_ASSETSTURN(B2741,E2741)</f>
        <v>1.7420162672120001</v>
      </c>
      <c r="L2741" s="12">
        <f>[1]!EM_HKS_VAL_MV(B2741,"2019-12-31","2")</f>
        <v>42660356780.239998</v>
      </c>
      <c r="M2741">
        <f>[1]!EM_S_VAL_PETTMDEDUCTED(B2741,E2741)</f>
        <v>18.876529732368699</v>
      </c>
      <c r="N2741" s="7">
        <f>[1]!EM_S_VAL_PBGOODWILLDEDUCTED(B2741,E2741)</f>
        <v>4.5500105890612899</v>
      </c>
      <c r="O2741" s="7">
        <f>[1]!EM_S_VAL_PS_TTM(B2741,E2741)</f>
        <v>1.3041319738603001</v>
      </c>
      <c r="P2741" s="7">
        <f>[1]!EM_S_VAL_PCF_NCFTTM(B2741,E2741)</f>
        <v>-95.352237065772698</v>
      </c>
      <c r="Q2741" s="7">
        <f>[1]!EM_S_VAL_DIVIDENDYIELD2(B2741,E2741,"2019-11-29")</f>
        <v>1.1178861793728778</v>
      </c>
      <c r="T2741"/>
      <c r="U2741">
        <f>[1]!EM_S_RATIO_EPS_TTM(B2741,E2741,"1")</f>
        <v>1.5548406458073158</v>
      </c>
      <c r="AT2741" s="4" t="str">
        <f>[1]!EM_S_IPO_LISTEDDATE(B2741)</f>
        <v>2000-01-27</v>
      </c>
    </row>
    <row r="2742" spans="1:46">
      <c r="A2742">
        <v>506</v>
      </c>
      <c r="B2742" t="str">
        <f>"000998"</f>
        <v>000998</v>
      </c>
      <c r="C2742" t="s">
        <v>556</v>
      </c>
      <c r="D2742" t="str">
        <f>[1]!EM_S_INFO_INDEX_EM(B2742,"1")</f>
        <v>农林牧渔</v>
      </c>
      <c r="E2742" s="4">
        <f t="shared" si="42"/>
        <v>43465</v>
      </c>
      <c r="F2742" s="11">
        <f>[1]!EM_S_PQ_PCTCHANGE(B2742,"2018-01-01","2019-12-31","3")</f>
        <v>-41.66264031</v>
      </c>
      <c r="G2742" s="11">
        <f>[1]!EM_S_PQ_PCTCHANGE(B2742,"2018-12-31","2019-12-30","1")</f>
        <v>-9.6621621599999994</v>
      </c>
      <c r="H2742" s="11">
        <f>[1]!EM_S_FA_YOY_OR(B2742,E2742)</f>
        <v>12.2161657731</v>
      </c>
      <c r="I2742" s="11">
        <f>[1]!EM_S_FA_GROSSPROFITMARGIN(B2742,E2742)</f>
        <v>43.589083357900002</v>
      </c>
      <c r="J2742" s="11">
        <f>[1]!EM_S_FA_NETPROFITMARGIN(B2742,E2742)</f>
        <v>25.2306692947</v>
      </c>
      <c r="K2742" s="10">
        <f>[1]!EM_S_FA_ASSETSTURN(B2742,E2742)</f>
        <v>0.25262327285500003</v>
      </c>
      <c r="L2742" s="12">
        <f>[1]!EM_HKS_VAL_MV(B2742,"2019-12-31","2")</f>
        <v>19372633083.580002</v>
      </c>
      <c r="M2742">
        <f>[1]!EM_S_VAL_PETTMDEDUCTED(B2742,E2742)</f>
        <v>43.649119003287304</v>
      </c>
      <c r="N2742" s="7">
        <f>[1]!EM_S_VAL_PBGOODWILLDEDUCTED(B2742,E2742)</f>
        <v>3.7332773486733699</v>
      </c>
      <c r="O2742" s="7">
        <f>[1]!EM_S_VAL_PS_TTM(B2742,E2742)</f>
        <v>5.7534673530288201</v>
      </c>
      <c r="P2742" s="7">
        <f>[1]!EM_S_VAL_PCF_NCFTTM(B2742,E2742)</f>
        <v>103.442345408124</v>
      </c>
      <c r="Q2742" s="7">
        <f>[1]!EM_S_VAL_DIVIDENDYIELD2(B2742,E2742,"2019-11-29")</f>
        <v>1.5699929411764704</v>
      </c>
      <c r="T2742"/>
      <c r="U2742">
        <f>[1]!EM_S_RATIO_EPS_TTM(B2742,E2742,"1")</f>
        <v>0.60062288680408804</v>
      </c>
      <c r="AT2742" s="4" t="str">
        <f>[1]!EM_S_IPO_LISTEDDATE(B2742)</f>
        <v>2000-12-11</v>
      </c>
    </row>
    <row r="2743" spans="1:46">
      <c r="A2743">
        <v>2395</v>
      </c>
      <c r="B2743" t="str">
        <f>"600265"</f>
        <v>600265</v>
      </c>
      <c r="C2743" t="s">
        <v>3660</v>
      </c>
      <c r="D2743" t="str">
        <f>[1]!EM_S_INFO_INDEX_EM(B2743,"1")</f>
        <v>农林牧渔</v>
      </c>
      <c r="E2743" s="4">
        <f t="shared" si="42"/>
        <v>43465</v>
      </c>
      <c r="F2743" s="11">
        <f>[1]!EM_S_PQ_PCTCHANGE(B2743,"2018-01-01","2019-12-31","3")</f>
        <v>12.89117235</v>
      </c>
      <c r="G2743" s="11">
        <f>[1]!EM_S_PQ_PCTCHANGE(B2743,"2018-12-31","2019-12-30","1")</f>
        <v>-9.7181008900000005</v>
      </c>
      <c r="H2743" s="11">
        <f>[1]!EM_S_FA_YOY_OR(B2743,E2743)</f>
        <v>80.1732027993</v>
      </c>
      <c r="I2743" s="11">
        <f>[1]!EM_S_FA_GROSSPROFITMARGIN(B2743,E2743)</f>
        <v>24.348167748000002</v>
      </c>
      <c r="J2743" s="11">
        <f>[1]!EM_S_FA_NETPROFITMARGIN(B2743,E2743)</f>
        <v>4.8040676208999997</v>
      </c>
      <c r="K2743" s="10">
        <f>[1]!EM_S_FA_ASSETSTURN(B2743,E2743)</f>
        <v>0.343572109706</v>
      </c>
      <c r="L2743" s="12">
        <f>[1]!EM_HKS_VAL_MV(B2743,"2019-12-31","2")</f>
        <v>3137266000</v>
      </c>
      <c r="M2743">
        <f>[1]!EM_S_VAL_PETTMDEDUCTED(B2743,E2743)</f>
        <v>-91.113864196033205</v>
      </c>
      <c r="N2743" s="7">
        <f>[1]!EM_S_VAL_PBGOODWILLDEDUCTED(B2743,E2743)</f>
        <v>97.854434957222594</v>
      </c>
      <c r="O2743" s="7">
        <f>[1]!EM_S_VAL_PS_TTM(B2743,E2743)</f>
        <v>46.811541820141798</v>
      </c>
      <c r="P2743" s="7">
        <f>[1]!EM_S_VAL_PCF_NCFTTM(B2743,E2743)</f>
        <v>436.628294841529</v>
      </c>
      <c r="Q2743" s="7">
        <f>[1]!EM_S_VAL_DIVIDENDYIELD2(B2743,E2743,"2019-11-29")</f>
        <v>0</v>
      </c>
      <c r="T2743"/>
      <c r="U2743">
        <f>[1]!EM_S_RATIO_EPS_TTM(B2743,E2743,"1")</f>
        <v>4.6672299229583977E-2</v>
      </c>
      <c r="AT2743" s="4" t="str">
        <f>[1]!EM_S_IPO_LISTEDDATE(B2743)</f>
        <v>2000-08-25</v>
      </c>
    </row>
    <row r="2744" spans="1:46">
      <c r="A2744">
        <v>2066</v>
      </c>
      <c r="B2744" t="str">
        <f>"300647"</f>
        <v>300647</v>
      </c>
      <c r="C2744" t="s">
        <v>2110</v>
      </c>
      <c r="D2744" t="str">
        <f>[1]!EM_S_INFO_INDEX_EM(B2744,"1")</f>
        <v>电子设备</v>
      </c>
      <c r="E2744" s="4">
        <f t="shared" si="42"/>
        <v>43465</v>
      </c>
      <c r="F2744" s="11">
        <f>[1]!EM_S_PQ_PCTCHANGE(B2744,"2018-01-01","2019-12-31","3")</f>
        <v>22.232568709999999</v>
      </c>
      <c r="G2744" s="11">
        <f>[1]!EM_S_PQ_PCTCHANGE(B2744,"2018-12-31","2019-12-30","1")</f>
        <v>-9.73269363</v>
      </c>
      <c r="H2744" s="11">
        <f>[1]!EM_S_FA_YOY_OR(B2744,E2744)</f>
        <v>24.886280208100001</v>
      </c>
      <c r="I2744" s="11">
        <f>[1]!EM_S_FA_GROSSPROFITMARGIN(B2744,E2744)</f>
        <v>31.2791777602</v>
      </c>
      <c r="J2744" s="11">
        <f>[1]!EM_S_FA_NETPROFITMARGIN(B2744,E2744)</f>
        <v>5.4065254773999998</v>
      </c>
      <c r="K2744" s="10">
        <f>[1]!EM_S_FA_ASSETSTURN(B2744,E2744)</f>
        <v>0.43414717107</v>
      </c>
      <c r="L2744" s="12">
        <f>[1]!EM_HKS_VAL_MV(B2744,"2019-12-31","2")</f>
        <v>3140813385.5999999</v>
      </c>
      <c r="M2744">
        <f>[1]!EM_S_VAL_PETTMDEDUCTED(B2744,E2744)</f>
        <v>582.91513635907995</v>
      </c>
      <c r="N2744" s="7">
        <f>[1]!EM_S_VAL_PBGOODWILLDEDUCTED(B2744,E2744)</f>
        <v>7.4167237655906604</v>
      </c>
      <c r="O2744" s="7">
        <f>[1]!EM_S_VAL_PS_TTM(B2744,E2744)</f>
        <v>6.3062175100406703</v>
      </c>
      <c r="P2744" s="7">
        <f>[1]!EM_S_VAL_PCF_NCFTTM(B2744,E2744)</f>
        <v>1432.98241224003</v>
      </c>
      <c r="Q2744" s="7">
        <f>[1]!EM_S_VAL_DIVIDENDYIELD2(B2744,E2744,"2019-11-29")</f>
        <v>0.12057877813504822</v>
      </c>
      <c r="T2744"/>
      <c r="U2744">
        <f>[1]!EM_S_RATIO_EPS_TTM(B2744,E2744,"1")</f>
        <v>4.1864291357355442E-2</v>
      </c>
      <c r="AT2744" s="4" t="str">
        <f>[1]!EM_S_IPO_LISTEDDATE(B2744)</f>
        <v>2017-05-03</v>
      </c>
    </row>
    <row r="2745" spans="1:46">
      <c r="A2745">
        <v>2375</v>
      </c>
      <c r="B2745" t="str">
        <f>"600241"</f>
        <v>600241</v>
      </c>
      <c r="C2745" t="s">
        <v>3391</v>
      </c>
      <c r="D2745" t="str">
        <f>[1]!EM_S_INFO_INDEX_EM(B2745,"1")</f>
        <v>电气设备</v>
      </c>
      <c r="E2745" s="4">
        <f t="shared" si="42"/>
        <v>43465</v>
      </c>
      <c r="F2745" s="11">
        <f>[1]!EM_S_PQ_PCTCHANGE(B2745,"2018-01-01","2019-12-31","3")</f>
        <v>-50.648976580000003</v>
      </c>
      <c r="G2745" s="11">
        <f>[1]!EM_S_PQ_PCTCHANGE(B2745,"2018-12-31","2019-12-30","1")</f>
        <v>-9.7560975600000006</v>
      </c>
      <c r="H2745" s="11">
        <f>[1]!EM_S_FA_YOY_OR(B2745,E2745)</f>
        <v>-45.7342577147</v>
      </c>
      <c r="I2745" s="11">
        <f>[1]!EM_S_FA_GROSSPROFITMARGIN(B2745,E2745)</f>
        <v>17.5057604673</v>
      </c>
      <c r="J2745" s="11">
        <f>[1]!EM_S_FA_NETPROFITMARGIN(B2745,E2745)</f>
        <v>-24.504874036</v>
      </c>
      <c r="K2745" s="10">
        <f>[1]!EM_S_FA_ASSETSTURN(B2745,E2745)</f>
        <v>0.34601191120899999</v>
      </c>
      <c r="L2745" s="12">
        <f>[1]!EM_HKS_VAL_MV(B2745,"2019-12-31","2")</f>
        <v>1495054744.2</v>
      </c>
      <c r="M2745">
        <f>[1]!EM_S_VAL_PETTMDEDUCTED(B2745,E2745)</f>
        <v>-28.835172162606501</v>
      </c>
      <c r="N2745" s="7">
        <f>[1]!EM_S_VAL_PBGOODWILLDEDUCTED(B2745,E2745)</f>
        <v>1.4029295063066001</v>
      </c>
      <c r="O2745" s="7">
        <f>[1]!EM_S_VAL_PS_TTM(B2745,E2745)</f>
        <v>1.44853461106571</v>
      </c>
      <c r="P2745" s="7">
        <f>[1]!EM_S_VAL_PCF_NCFTTM(B2745,E2745)</f>
        <v>54.280322905876503</v>
      </c>
      <c r="Q2745" s="7">
        <f>[1]!EM_S_VAL_DIVIDENDYIELD2(B2745,E2745,"2019-11-29")</f>
        <v>0</v>
      </c>
      <c r="T2745"/>
      <c r="U2745">
        <f>[1]!EM_S_RATIO_EPS_TTM(B2745,E2745,"1")</f>
        <v>-0.59402978554877184</v>
      </c>
      <c r="AT2745" s="4" t="str">
        <f>[1]!EM_S_IPO_LISTEDDATE(B2745)</f>
        <v>2000-11-28</v>
      </c>
    </row>
    <row r="2746" spans="1:46">
      <c r="A2746">
        <v>759</v>
      </c>
      <c r="B2746" t="str">
        <f>"002248"</f>
        <v>002248</v>
      </c>
      <c r="C2746" t="s">
        <v>3609</v>
      </c>
      <c r="D2746" t="str">
        <f>[1]!EM_S_INFO_INDEX_EM(B2746,"1")</f>
        <v>机械设备</v>
      </c>
      <c r="E2746" s="4">
        <f t="shared" si="42"/>
        <v>43465</v>
      </c>
      <c r="F2746" s="11">
        <f>[1]!EM_S_PQ_PCTCHANGE(B2746,"2018-01-01","2019-12-31","3")</f>
        <v>-7.4679113199999998</v>
      </c>
      <c r="G2746" s="11">
        <f>[1]!EM_S_PQ_PCTCHANGE(B2746,"2018-12-31","2019-12-30","1")</f>
        <v>-9.7701149399999991</v>
      </c>
      <c r="H2746" s="11">
        <f>[1]!EM_S_FA_YOY_OR(B2746,E2746)</f>
        <v>-25.090697151400001</v>
      </c>
      <c r="I2746" s="11">
        <f>[1]!EM_S_FA_GROSSPROFITMARGIN(B2746,E2746)</f>
        <v>-23.5928181839</v>
      </c>
      <c r="J2746" s="11">
        <f>[1]!EM_S_FA_NETPROFITMARGIN(B2746,E2746)</f>
        <v>-726.11790893809996</v>
      </c>
      <c r="K2746" s="10">
        <f>[1]!EM_S_FA_ASSETSTURN(B2746,E2746)</f>
        <v>7.1765974083999998E-2</v>
      </c>
      <c r="L2746" s="12">
        <f>[1]!EM_HKS_VAL_MV(B2746,"2019-12-31","2")</f>
        <v>2438440108</v>
      </c>
      <c r="M2746">
        <f>[1]!EM_S_VAL_PETTMDEDUCTED(B2746,E2746)</f>
        <v>-9.4163682174119501</v>
      </c>
      <c r="N2746" s="7">
        <f>[1]!EM_S_VAL_PBGOODWILLDEDUCTED(B2746,E2746)</f>
        <v>25.672159006218301</v>
      </c>
      <c r="O2746" s="7">
        <f>[1]!EM_S_VAL_PS_TTM(B2746,E2746)</f>
        <v>31.940617406645298</v>
      </c>
      <c r="P2746" s="7">
        <f>[1]!EM_S_VAL_PCF_NCFTTM(B2746,E2746)</f>
        <v>182.45363268692699</v>
      </c>
      <c r="Q2746" s="7">
        <f>[1]!EM_S_VAL_DIVIDENDYIELD2(B2746,E2746,"2019-11-29")</f>
        <v>0</v>
      </c>
      <c r="T2746"/>
      <c r="U2746">
        <f>[1]!EM_S_RATIO_EPS_TTM(B2746,E2746,"1")</f>
        <v>-1.8699316027936659</v>
      </c>
      <c r="AT2746" s="4" t="str">
        <f>[1]!EM_S_IPO_LISTEDDATE(B2746)</f>
        <v>2008-06-12</v>
      </c>
    </row>
    <row r="2747" spans="1:46">
      <c r="A2747">
        <v>2462</v>
      </c>
      <c r="B2747" t="str">
        <f>"600338"</f>
        <v>600338</v>
      </c>
      <c r="C2747" t="s">
        <v>68</v>
      </c>
      <c r="D2747" t="str">
        <f>[1]!EM_S_INFO_INDEX_EM(B2747,"1")</f>
        <v>有色金属</v>
      </c>
      <c r="E2747" s="4">
        <f t="shared" si="42"/>
        <v>43465</v>
      </c>
      <c r="F2747" s="11">
        <f>[1]!EM_S_PQ_PCTCHANGE(B2747,"2018-01-01","2019-12-31","3")</f>
        <v>-56.611951400000002</v>
      </c>
      <c r="G2747" s="11">
        <f>[1]!EM_S_PQ_PCTCHANGE(B2747,"2019-01-01","2019-12-31","3")</f>
        <v>-9.7727823100000002</v>
      </c>
      <c r="H2747" s="11">
        <f>[1]!EM_S_FA_YOY_OR(B2747,E2747)</f>
        <v>-17.0367903062</v>
      </c>
      <c r="I2747" s="11">
        <f>[1]!EM_S_FA_GROSSPROFITMARGIN(B2747,E2747)</f>
        <v>69.545907512200003</v>
      </c>
      <c r="J2747" s="11">
        <f>[1]!EM_S_FA_NETPROFITMARGIN(B2747,E2747)</f>
        <v>44.014106566599999</v>
      </c>
      <c r="K2747" s="10">
        <f>[1]!EM_S_FA_ASSETSTURN(B2747,E2747)</f>
        <v>0.50992630959700003</v>
      </c>
      <c r="L2747" s="12">
        <f>[1]!EM_HKS_VAL_MV(B2747,"2019-12-31","2")</f>
        <v>11427627100</v>
      </c>
      <c r="M2747">
        <f>[1]!EM_S_VAL_PETTMDEDUCTED(B2747,E2747)</f>
        <v>11.7887993080922</v>
      </c>
      <c r="N2747" s="7">
        <f>[1]!EM_S_VAL_PBGOODWILLDEDUCTED(B2747,E2747)</f>
        <v>5.8409409291797001</v>
      </c>
      <c r="O2747" s="7">
        <f>[1]!EM_S_VAL_PS_TTM(B2747,E2747)</f>
        <v>5.6038900761750998</v>
      </c>
      <c r="P2747" s="7">
        <f>[1]!EM_S_VAL_PCF_NCFTTM(B2747,E2747)</f>
        <v>-3852.23815100611</v>
      </c>
      <c r="Q2747" s="7">
        <f>[1]!EM_S_VAL_DIVIDENDYIELD2(B2747,E2747,"2019-11-29")</f>
        <v>0.27874564466028379</v>
      </c>
      <c r="T2747"/>
      <c r="U2747">
        <f>[1]!EM_S_RATIO_EPS_TTM(B2747,E2747,"1")</f>
        <v>1.3792572417682281</v>
      </c>
      <c r="AT2747" s="4" t="str">
        <f>[1]!EM_S_IPO_LISTEDDATE(B2747)</f>
        <v>2000-12-27</v>
      </c>
    </row>
    <row r="2748" spans="1:46">
      <c r="A2748">
        <v>1096</v>
      </c>
      <c r="B2748" t="str">
        <f>"002585"</f>
        <v>002585</v>
      </c>
      <c r="C2748" t="s">
        <v>2358</v>
      </c>
      <c r="D2748" t="str">
        <f>[1]!EM_S_INFO_INDEX_EM(B2748,"1")</f>
        <v>轻工制造</v>
      </c>
      <c r="E2748" s="4">
        <f t="shared" si="42"/>
        <v>43465</v>
      </c>
      <c r="F2748" s="11">
        <f>[1]!EM_S_PQ_PCTCHANGE(B2748,"2018-01-01","2019-12-31","3")</f>
        <v>-28.295881820000002</v>
      </c>
      <c r="G2748" s="11">
        <f>[1]!EM_S_PQ_PCTCHANGE(B2748,"2018-12-31","2019-12-30","1")</f>
        <v>-9.80392157</v>
      </c>
      <c r="H2748" s="11">
        <f>[1]!EM_S_FA_YOY_OR(B2748,E2748)</f>
        <v>27.6090817764</v>
      </c>
      <c r="I2748" s="11">
        <f>[1]!EM_S_FA_GROSSPROFITMARGIN(B2748,E2748)</f>
        <v>17.277851453499999</v>
      </c>
      <c r="J2748" s="11">
        <f>[1]!EM_S_FA_NETPROFITMARGIN(B2748,E2748)</f>
        <v>8.3303432385999994</v>
      </c>
      <c r="K2748" s="10">
        <f>[1]!EM_S_FA_ASSETSTURN(B2748,E2748)</f>
        <v>0.42037647756000002</v>
      </c>
      <c r="L2748" s="12">
        <f>[1]!EM_HKS_VAL_MV(B2748,"2019-12-31","2")</f>
        <v>5307316410.1499996</v>
      </c>
      <c r="M2748">
        <f>[1]!EM_S_VAL_PETTMDEDUCTED(B2748,E2748)</f>
        <v>39.673389254259099</v>
      </c>
      <c r="N2748" s="7">
        <f>[1]!EM_S_VAL_PBGOODWILLDEDUCTED(B2748,E2748)</f>
        <v>0.76771971074746104</v>
      </c>
      <c r="O2748" s="7">
        <f>[1]!EM_S_VAL_PS_TTM(B2748,E2748)</f>
        <v>1.55876119399576</v>
      </c>
      <c r="P2748" s="7">
        <f>[1]!EM_S_VAL_PCF_NCFTTM(B2748,E2748)</f>
        <v>-18.5772231719085</v>
      </c>
      <c r="Q2748" s="7">
        <f>[1]!EM_S_VAL_DIVIDENDYIELD2(B2748,E2748,"2019-11-29")</f>
        <v>4.5248868778280542</v>
      </c>
      <c r="T2748"/>
      <c r="U2748">
        <f>[1]!EM_S_RATIO_EPS_TTM(B2748,E2748,"1")</f>
        <v>0.27791621927176802</v>
      </c>
      <c r="AT2748" s="4" t="str">
        <f>[1]!EM_S_IPO_LISTEDDATE(B2748)</f>
        <v>2011-06-02</v>
      </c>
    </row>
    <row r="2749" spans="1:46">
      <c r="A2749">
        <v>596</v>
      </c>
      <c r="B2749" t="str">
        <f>"002085"</f>
        <v>002085</v>
      </c>
      <c r="C2749" t="s">
        <v>569</v>
      </c>
      <c r="D2749" t="str">
        <f>[1]!EM_S_INFO_INDEX_EM(B2749,"1")</f>
        <v>交运设备</v>
      </c>
      <c r="E2749" s="4">
        <f t="shared" si="42"/>
        <v>43465</v>
      </c>
      <c r="F2749" s="11">
        <f>[1]!EM_S_PQ_PCTCHANGE(B2749,"2018-01-01","2019-12-31","3")</f>
        <v>-58.210544179999999</v>
      </c>
      <c r="G2749" s="11">
        <f>[1]!EM_S_PQ_PCTCHANGE(B2749,"2018-12-31","2019-12-30","1")</f>
        <v>-9.8064516099999999</v>
      </c>
      <c r="H2749" s="11">
        <f>[1]!EM_S_FA_YOY_OR(B2749,E2749)</f>
        <v>8.1342676014999995</v>
      </c>
      <c r="I2749" s="11">
        <f>[1]!EM_S_FA_GROSSPROFITMARGIN(B2749,E2749)</f>
        <v>20.750889624300001</v>
      </c>
      <c r="J2749" s="11">
        <f>[1]!EM_S_FA_NETPROFITMARGIN(B2749,E2749)</f>
        <v>9.1154438703</v>
      </c>
      <c r="K2749" s="10">
        <f>[1]!EM_S_FA_ASSETSTURN(B2749,E2749)</f>
        <v>0.93891766488600004</v>
      </c>
      <c r="L2749" s="12">
        <f>[1]!EM_HKS_VAL_MV(B2749,"2019-12-31","2")</f>
        <v>15308157746</v>
      </c>
      <c r="M2749">
        <f>[1]!EM_S_VAL_PETTMDEDUCTED(B2749,E2749)</f>
        <v>19.302286592152601</v>
      </c>
      <c r="N2749" s="7">
        <f>[1]!EM_S_VAL_PBGOODWILLDEDUCTED(B2749,E2749)</f>
        <v>2.9277158574365698</v>
      </c>
      <c r="O2749" s="7">
        <f>[1]!EM_S_VAL_PS_TTM(B2749,E2749)</f>
        <v>1.55475598400554</v>
      </c>
      <c r="P2749" s="7">
        <f>[1]!EM_S_VAL_PCF_NCFTTM(B2749,E2749)</f>
        <v>9376.9165136001702</v>
      </c>
      <c r="Q2749" s="7">
        <f>[1]!EM_S_VAL_DIVIDENDYIELD2(B2749,E2749,"2019-11-29")</f>
        <v>4.4626823529411777</v>
      </c>
      <c r="T2749"/>
      <c r="U2749">
        <f>[1]!EM_S_RATIO_EPS_TTM(B2749,E2749,"1")</f>
        <v>0.43838715817542107</v>
      </c>
      <c r="AT2749" s="4" t="str">
        <f>[1]!EM_S_IPO_LISTEDDATE(B2749)</f>
        <v>2006-11-28</v>
      </c>
    </row>
    <row r="2750" spans="1:46">
      <c r="A2750">
        <v>831</v>
      </c>
      <c r="B2750" t="str">
        <f>"002320"</f>
        <v>002320</v>
      </c>
      <c r="C2750" t="s">
        <v>811</v>
      </c>
      <c r="D2750" t="str">
        <f>[1]!EM_S_INFO_INDEX_EM(B2750,"1")</f>
        <v>交通运输</v>
      </c>
      <c r="E2750" s="4">
        <f t="shared" si="42"/>
        <v>43465</v>
      </c>
      <c r="F2750" s="11">
        <f>[1]!EM_S_PQ_PCTCHANGE(B2750,"2018-01-01","2019-12-31","3")</f>
        <v>17.246365040000001</v>
      </c>
      <c r="G2750" s="11">
        <f>[1]!EM_S_PQ_PCTCHANGE(B2750,"2018-12-31","2019-12-30","1")</f>
        <v>-9.8141263900000002</v>
      </c>
      <c r="H2750" s="11">
        <f>[1]!EM_S_FA_YOY_OR(B2750,E2750)</f>
        <v>7.3166233605000004</v>
      </c>
      <c r="I2750" s="11">
        <f>[1]!EM_S_FA_GROSSPROFITMARGIN(B2750,E2750)</f>
        <v>39.002874754499999</v>
      </c>
      <c r="J2750" s="11">
        <f>[1]!EM_S_FA_NETPROFITMARGIN(B2750,E2750)</f>
        <v>20.062149122400001</v>
      </c>
      <c r="K2750" s="10">
        <f>[1]!EM_S_FA_ASSETSTURN(B2750,E2750)</f>
        <v>0.26960143215400001</v>
      </c>
      <c r="L2750" s="12">
        <f>[1]!EM_HKS_VAL_MV(B2750,"2019-12-31","2")</f>
        <v>12680153241.6</v>
      </c>
      <c r="M2750">
        <f>[1]!EM_S_VAL_PETTMDEDUCTED(B2750,E2750)</f>
        <v>41.986289940000702</v>
      </c>
      <c r="N2750" s="7">
        <f>[1]!EM_S_VAL_PBGOODWILLDEDUCTED(B2750,E2750)</f>
        <v>2.44360262265057</v>
      </c>
      <c r="O2750" s="7">
        <f>[1]!EM_S_VAL_PS_TTM(B2750,E2750)</f>
        <v>8.45184169948533</v>
      </c>
      <c r="P2750" s="7">
        <f>[1]!EM_S_VAL_PCF_NCFTTM(B2750,E2750)</f>
        <v>75.146600520463295</v>
      </c>
      <c r="Q2750" s="7">
        <f>[1]!EM_S_VAL_DIVIDENDYIELD2(B2750,E2750,"2019-11-29")</f>
        <v>1.0741138560687433</v>
      </c>
      <c r="T2750"/>
      <c r="U2750">
        <f>[1]!EM_S_RATIO_EPS_TTM(B2750,E2750,"1")</f>
        <v>0.31883793481614575</v>
      </c>
      <c r="AT2750" s="4" t="str">
        <f>[1]!EM_S_IPO_LISTEDDATE(B2750)</f>
        <v>2009-12-16</v>
      </c>
    </row>
    <row r="2751" spans="1:46">
      <c r="A2751">
        <v>1694</v>
      </c>
      <c r="B2751" t="str">
        <f>"300269"</f>
        <v>300269</v>
      </c>
      <c r="C2751" t="s">
        <v>1962</v>
      </c>
      <c r="D2751" t="str">
        <f>[1]!EM_S_INFO_INDEX_EM(B2751,"1")</f>
        <v>电子设备</v>
      </c>
      <c r="E2751" s="4">
        <f t="shared" si="42"/>
        <v>43465</v>
      </c>
      <c r="F2751" s="11">
        <f>[1]!EM_S_PQ_PCTCHANGE(B2751,"2018-01-01","2019-12-31","3")</f>
        <v>-61.06750392</v>
      </c>
      <c r="G2751" s="11">
        <f>[1]!EM_S_PQ_PCTCHANGE(B2751,"2018-12-31","2019-12-30","1")</f>
        <v>-9.8181818199999995</v>
      </c>
      <c r="H2751" s="11">
        <f>[1]!EM_S_FA_YOY_OR(B2751,E2751)</f>
        <v>2.5556066586999999</v>
      </c>
      <c r="I2751" s="11">
        <f>[1]!EM_S_FA_GROSSPROFITMARGIN(B2751,E2751)</f>
        <v>27.1530285439</v>
      </c>
      <c r="J2751" s="11">
        <f>[1]!EM_S_FA_NETPROFITMARGIN(B2751,E2751)</f>
        <v>-71.229651254499998</v>
      </c>
      <c r="K2751" s="10">
        <f>[1]!EM_S_FA_ASSETSTURN(B2751,E2751)</f>
        <v>0.62472494985600002</v>
      </c>
      <c r="L2751" s="12">
        <f>[1]!EM_HKS_VAL_MV(B2751,"2019-12-31","2")</f>
        <v>2934275641.7600002</v>
      </c>
      <c r="M2751">
        <f>[1]!EM_S_VAL_PETTMDEDUCTED(B2751,E2751)</f>
        <v>-7.33076112148912</v>
      </c>
      <c r="N2751" s="7">
        <f>[1]!EM_S_VAL_PBGOODWILLDEDUCTED(B2751,E2751)</f>
        <v>3.7005177389944501</v>
      </c>
      <c r="O2751" s="7">
        <f>[1]!EM_S_VAL_PS_TTM(B2751,E2751)</f>
        <v>0.81494103101973103</v>
      </c>
      <c r="P2751" s="7">
        <f>[1]!EM_S_VAL_PCF_NCFTTM(B2751,E2751)</f>
        <v>-4.5576400814372597</v>
      </c>
      <c r="Q2751" s="7">
        <f>[1]!EM_S_VAL_DIVIDENDYIELD2(B2751,E2751,"2019-11-29")</f>
        <v>0</v>
      </c>
      <c r="T2751"/>
      <c r="U2751">
        <f>[1]!EM_S_RATIO_EPS_TTM(B2751,E2751,"1")</f>
        <v>-4.808803966516634</v>
      </c>
      <c r="AT2751" s="4" t="str">
        <f>[1]!EM_S_IPO_LISTEDDATE(B2751)</f>
        <v>2011-10-12</v>
      </c>
    </row>
    <row r="2752" spans="1:46">
      <c r="A2752">
        <v>763</v>
      </c>
      <c r="B2752" t="str">
        <f>"002252"</f>
        <v>002252</v>
      </c>
      <c r="C2752" t="s">
        <v>3625</v>
      </c>
      <c r="D2752" t="str">
        <f>[1]!EM_S_INFO_INDEX_EM(B2752,"1")</f>
        <v>医药生物</v>
      </c>
      <c r="E2752" s="4">
        <f t="shared" si="42"/>
        <v>43465</v>
      </c>
      <c r="F2752" s="11">
        <f>[1]!EM_S_PQ_PCTCHANGE(B2752,"2018-01-01","2019-12-31","3")</f>
        <v>-62.581347870000002</v>
      </c>
      <c r="G2752" s="11">
        <f>[1]!EM_S_PQ_PCTCHANGE(B2752,"2018-12-31","2019-12-30","1")</f>
        <v>-9.8626716600000002</v>
      </c>
      <c r="H2752" s="11">
        <f>[1]!EM_S_FA_YOY_OR(B2752,E2752)</f>
        <v>-6.4071132722000002</v>
      </c>
      <c r="I2752" s="11">
        <f>[1]!EM_S_FA_GROSSPROFITMARGIN(B2752,E2752)</f>
        <v>66.739032051500004</v>
      </c>
      <c r="J2752" s="11">
        <f>[1]!EM_S_FA_NETPROFITMARGIN(B2752,E2752)</f>
        <v>-84.4234990848</v>
      </c>
      <c r="K2752" s="10">
        <f>[1]!EM_S_FA_ASSETSTURN(B2752,E2752)</f>
        <v>0.13963176454199999</v>
      </c>
      <c r="L2752" s="12">
        <f>[1]!EM_HKS_VAL_MV(B2752,"2019-12-31","2")</f>
        <v>36911695974.580002</v>
      </c>
      <c r="M2752">
        <f>[1]!EM_S_VAL_PETTMDEDUCTED(B2752,E2752)</f>
        <v>74.724597853530398</v>
      </c>
      <c r="N2752" s="7">
        <f>[1]!EM_S_VAL_PBGOODWILLDEDUCTED(B2752,E2752)</f>
        <v>7.4354935486781804</v>
      </c>
      <c r="O2752" s="7">
        <f>[1]!EM_S_VAL_PS_TTM(B2752,E2752)</f>
        <v>21.3178913253528</v>
      </c>
      <c r="P2752" s="7">
        <f>[1]!EM_S_VAL_PCF_NCFTTM(B2752,E2752)</f>
        <v>-51.485885746009501</v>
      </c>
      <c r="Q2752" s="7">
        <f>[1]!EM_S_VAL_DIVIDENDYIELD2(B2752,E2752,"2019-11-29")</f>
        <v>0</v>
      </c>
      <c r="T2752"/>
      <c r="U2752">
        <f>[1]!EM_S_RATIO_EPS_TTM(B2752,E2752,"1")</f>
        <v>-0.30522861672954588</v>
      </c>
      <c r="AT2752" s="4" t="str">
        <f>[1]!EM_S_IPO_LISTEDDATE(B2752)</f>
        <v>2008-06-23</v>
      </c>
    </row>
    <row r="2753" spans="1:46">
      <c r="A2753">
        <v>1326</v>
      </c>
      <c r="B2753" t="str">
        <f>"002823"</f>
        <v>002823</v>
      </c>
      <c r="C2753" t="s">
        <v>736</v>
      </c>
      <c r="D2753" t="str">
        <f>[1]!EM_S_INFO_INDEX_EM(B2753,"1")</f>
        <v>电气设备</v>
      </c>
      <c r="E2753" s="4">
        <f t="shared" si="42"/>
        <v>43465</v>
      </c>
      <c r="F2753" s="11">
        <f>[1]!EM_S_PQ_PCTCHANGE(B2753,"2018-01-01","2019-12-31","3")</f>
        <v>-39.015570310000001</v>
      </c>
      <c r="G2753" s="11">
        <f>[1]!EM_S_PQ_PCTCHANGE(B2753,"2018-12-31","2019-12-30","1")</f>
        <v>-9.8933074699999999</v>
      </c>
      <c r="H2753" s="11">
        <f>[1]!EM_S_FA_YOY_OR(B2753,E2753)</f>
        <v>20.637047643799999</v>
      </c>
      <c r="I2753" s="11">
        <f>[1]!EM_S_FA_GROSSPROFITMARGIN(B2753,E2753)</f>
        <v>25.315420033599999</v>
      </c>
      <c r="J2753" s="11">
        <f>[1]!EM_S_FA_NETPROFITMARGIN(B2753,E2753)</f>
        <v>6.7941532710999999</v>
      </c>
      <c r="K2753" s="10">
        <f>[1]!EM_S_FA_ASSETSTURN(B2753,E2753)</f>
        <v>0.69507174249899994</v>
      </c>
      <c r="L2753" s="12">
        <f>[1]!EM_HKS_VAL_MV(B2753,"2019-12-31","2")</f>
        <v>2696947189.1199999</v>
      </c>
      <c r="M2753">
        <f>[1]!EM_S_VAL_PETTMDEDUCTED(B2753,E2753)</f>
        <v>20.5923580276691</v>
      </c>
      <c r="N2753" s="7">
        <f>[1]!EM_S_VAL_PBGOODWILLDEDUCTED(B2753,E2753)</f>
        <v>2.6471089408788999</v>
      </c>
      <c r="O2753" s="7">
        <f>[1]!EM_S_VAL_PS_TTM(B2753,E2753)</f>
        <v>1.99148173318983</v>
      </c>
      <c r="P2753" s="7">
        <f>[1]!EM_S_VAL_PCF_NCFTTM(B2753,E2753)</f>
        <v>12.9978209652218</v>
      </c>
      <c r="Q2753" s="7">
        <f>[1]!EM_S_VAL_DIVIDENDYIELD2(B2753,E2753,"2019-11-29")</f>
        <v>2.9586970235999424</v>
      </c>
      <c r="T2753"/>
      <c r="U2753">
        <f>[1]!EM_S_RATIO_EPS_TTM(B2753,E2753,"1")</f>
        <v>0.38942183670329911</v>
      </c>
      <c r="AT2753" s="4" t="str">
        <f>[1]!EM_S_IPO_LISTEDDATE(B2753)</f>
        <v>2016-11-24</v>
      </c>
    </row>
    <row r="2754" spans="1:46">
      <c r="A2754">
        <v>2152</v>
      </c>
      <c r="B2754" t="str">
        <f>"300739"</f>
        <v>300739</v>
      </c>
      <c r="C2754" t="s">
        <v>2135</v>
      </c>
      <c r="D2754" t="str">
        <f>[1]!EM_S_INFO_INDEX_EM(B2754,"1")</f>
        <v>电子设备</v>
      </c>
      <c r="E2754" s="4">
        <f t="shared" si="42"/>
        <v>43465</v>
      </c>
      <c r="F2754" s="11">
        <f>[1]!EM_S_PQ_PCTCHANGE(B2754,"2018-01-01","2019-12-31","3")</f>
        <v>96.23402944</v>
      </c>
      <c r="G2754" s="11">
        <f>[1]!EM_S_PQ_PCTCHANGE(B2754,"2018-12-31","2019-12-30","1")</f>
        <v>-9.9052132700000008</v>
      </c>
      <c r="H2754" s="11">
        <f>[1]!EM_S_FA_YOY_OR(B2754,E2754)</f>
        <v>7.3518228472000002</v>
      </c>
      <c r="I2754" s="11">
        <f>[1]!EM_S_FA_GROSSPROFITMARGIN(B2754,E2754)</f>
        <v>28.748850887900002</v>
      </c>
      <c r="J2754" s="11">
        <f>[1]!EM_S_FA_NETPROFITMARGIN(B2754,E2754)</f>
        <v>10.717469683099999</v>
      </c>
      <c r="K2754" s="10">
        <f>[1]!EM_S_FA_ASSETSTURN(B2754,E2754)</f>
        <v>0.82424982351300002</v>
      </c>
      <c r="L2754" s="12">
        <f>[1]!EM_HKS_VAL_MV(B2754,"2019-12-31","2")</f>
        <v>5283432000</v>
      </c>
      <c r="M2754">
        <f>[1]!EM_S_VAL_PETTMDEDUCTED(B2754,E2754)</f>
        <v>39.495190857948202</v>
      </c>
      <c r="N2754" s="7">
        <f>[1]!EM_S_VAL_PBGOODWILLDEDUCTED(B2754,E2754)</f>
        <v>3.1106829721383802</v>
      </c>
      <c r="O2754" s="7">
        <f>[1]!EM_S_VAL_PS_TTM(B2754,E2754)</f>
        <v>3.48643689740322</v>
      </c>
      <c r="P2754" s="7">
        <f>[1]!EM_S_VAL_PCF_NCFTTM(B2754,E2754)</f>
        <v>63.532008022724902</v>
      </c>
      <c r="Q2754" s="7">
        <f>[1]!EM_S_VAL_DIVIDENDYIELD2(B2754,E2754,"2019-11-29")</f>
        <v>1.3847675568743816</v>
      </c>
      <c r="T2754"/>
      <c r="U2754">
        <f>[1]!EM_S_RATIO_EPS_TTM(B2754,E2754,"1")</f>
        <v>0.65615664107142857</v>
      </c>
      <c r="AT2754" s="4" t="str">
        <f>[1]!EM_S_IPO_LISTEDDATE(B2754)</f>
        <v>2018-02-01</v>
      </c>
    </row>
    <row r="2755" spans="1:46">
      <c r="A2755">
        <v>3587</v>
      </c>
      <c r="B2755" t="str">
        <f>"603890"</f>
        <v>603890</v>
      </c>
      <c r="C2755" t="s">
        <v>2467</v>
      </c>
      <c r="D2755" t="str">
        <f>[1]!EM_S_INFO_INDEX_EM(B2755,"1")</f>
        <v>电子设备</v>
      </c>
      <c r="E2755" s="4">
        <f t="shared" ref="E2755:E2818" si="43">$B$1</f>
        <v>43465</v>
      </c>
      <c r="F2755" s="11">
        <f>[1]!EM_S_PQ_PCTCHANGE(B2755,"2018-01-01","2019-12-31","3")</f>
        <v>-49.600778490000003</v>
      </c>
      <c r="G2755" s="11">
        <f>[1]!EM_S_PQ_PCTCHANGE(B2755,"2018-12-31","2019-12-30","1")</f>
        <v>-9.9068585900000006</v>
      </c>
      <c r="H2755" s="11">
        <f>[1]!EM_S_FA_YOY_OR(B2755,E2755)</f>
        <v>2.01067624</v>
      </c>
      <c r="I2755" s="11">
        <f>[1]!EM_S_FA_GROSSPROFITMARGIN(B2755,E2755)</f>
        <v>18.2361215456</v>
      </c>
      <c r="J2755" s="11">
        <f>[1]!EM_S_FA_NETPROFITMARGIN(B2755,E2755)</f>
        <v>6.1207438519000004</v>
      </c>
      <c r="K2755" s="10">
        <f>[1]!EM_S_FA_ASSETSTURN(B2755,E2755)</f>
        <v>0.74630794141199996</v>
      </c>
      <c r="L2755" s="12">
        <f>[1]!EM_HKS_VAL_MV(B2755,"2019-12-31","2")</f>
        <v>2893281600</v>
      </c>
      <c r="M2755">
        <f>[1]!EM_S_VAL_PETTMDEDUCTED(B2755,E2755)</f>
        <v>19.271637133904601</v>
      </c>
      <c r="N2755" s="7">
        <f>[1]!EM_S_VAL_PBGOODWILLDEDUCTED(B2755,E2755)</f>
        <v>1.6057611710486299</v>
      </c>
      <c r="O2755" s="7">
        <f>[1]!EM_S_VAL_PS_TTM(B2755,E2755)</f>
        <v>1.29519974035163</v>
      </c>
      <c r="P2755" s="7">
        <f>[1]!EM_S_VAL_PCF_NCFTTM(B2755,E2755)</f>
        <v>6.6196773260997599</v>
      </c>
      <c r="Q2755" s="7">
        <f>[1]!EM_S_VAL_DIVIDENDYIELD2(B2755,E2755,"2019-11-29")</f>
        <v>1.957601575128278</v>
      </c>
      <c r="T2755"/>
      <c r="U2755">
        <f>[1]!EM_S_RATIO_EPS_TTM(B2755,E2755,"1")</f>
        <v>0.56631467888425446</v>
      </c>
      <c r="AT2755" s="4" t="str">
        <f>[1]!EM_S_IPO_LISTEDDATE(B2755)</f>
        <v>2017-12-12</v>
      </c>
    </row>
    <row r="2756" spans="1:46">
      <c r="A2756">
        <v>626</v>
      </c>
      <c r="B2756" t="str">
        <f>"002115"</f>
        <v>002115</v>
      </c>
      <c r="C2756" t="s">
        <v>2061</v>
      </c>
      <c r="D2756" t="str">
        <f>[1]!EM_S_INFO_INDEX_EM(B2756,"1")</f>
        <v>信息技术</v>
      </c>
      <c r="E2756" s="4">
        <f t="shared" si="43"/>
        <v>43465</v>
      </c>
      <c r="F2756" s="11">
        <f>[1]!EM_S_PQ_PCTCHANGE(B2756,"2018-01-01","2019-12-31","3")</f>
        <v>26.448498170000001</v>
      </c>
      <c r="G2756" s="11">
        <f>[1]!EM_S_PQ_PCTCHANGE(B2756,"2018-12-31","2019-12-30","1")</f>
        <v>-9.9290780099999996</v>
      </c>
      <c r="H2756" s="11">
        <f>[1]!EM_S_FA_YOY_OR(B2756,E2756)</f>
        <v>200.7875263398</v>
      </c>
      <c r="I2756" s="11">
        <f>[1]!EM_S_FA_GROSSPROFITMARGIN(B2756,E2756)</f>
        <v>13.8399432634</v>
      </c>
      <c r="J2756" s="11">
        <f>[1]!EM_S_FA_NETPROFITMARGIN(B2756,E2756)</f>
        <v>6.4299062723000002</v>
      </c>
      <c r="K2756" s="10">
        <f>[1]!EM_S_FA_ASSETSTURN(B2756,E2756)</f>
        <v>0.79731473832499999</v>
      </c>
      <c r="L2756" s="12">
        <f>[1]!EM_HKS_VAL_MV(B2756,"2019-12-31","2")</f>
        <v>6393599802.3100004</v>
      </c>
      <c r="M2756">
        <f>[1]!EM_S_VAL_PETTMDEDUCTED(B2756,E2756)</f>
        <v>49.0027879982824</v>
      </c>
      <c r="N2756" s="7">
        <f>[1]!EM_S_VAL_PBGOODWILLDEDUCTED(B2756,E2756)</f>
        <v>4.3999135801357498</v>
      </c>
      <c r="O2756" s="7">
        <f>[1]!EM_S_VAL_PS_TTM(B2756,E2756)</f>
        <v>1.9269520773915401</v>
      </c>
      <c r="P2756" s="7">
        <f>[1]!EM_S_VAL_PCF_NCFTTM(B2756,E2756)</f>
        <v>50.738321598120997</v>
      </c>
      <c r="Q2756" s="7">
        <f>[1]!EM_S_VAL_DIVIDENDYIELD2(B2756,E2756,"2019-11-29")</f>
        <v>0.93071139465902974</v>
      </c>
      <c r="T2756"/>
      <c r="U2756">
        <f>[1]!EM_S_RATIO_EPS_TTM(B2756,E2756,"1")</f>
        <v>0.38786519828898286</v>
      </c>
      <c r="AT2756" s="4" t="str">
        <f>[1]!EM_S_IPO_LISTEDDATE(B2756)</f>
        <v>2007-02-15</v>
      </c>
    </row>
    <row r="2757" spans="1:46">
      <c r="A2757">
        <v>1769</v>
      </c>
      <c r="B2757" t="str">
        <f>"300344"</f>
        <v>300344</v>
      </c>
      <c r="C2757" t="s">
        <v>344</v>
      </c>
      <c r="D2757" t="str">
        <f>[1]!EM_S_INFO_INDEX_EM(B2757,"1")</f>
        <v>信息技术</v>
      </c>
      <c r="E2757" s="4">
        <f t="shared" si="43"/>
        <v>43465</v>
      </c>
      <c r="F2757" s="11">
        <f>[1]!EM_S_PQ_PCTCHANGE(B2757,"2018-01-01","2019-12-31","3")</f>
        <v>-24.72769667</v>
      </c>
      <c r="G2757" s="11">
        <f>[1]!EM_S_PQ_PCTCHANGE(B2757,"2018-12-31","2019-12-30","1")</f>
        <v>-10</v>
      </c>
      <c r="H2757" s="11">
        <f>[1]!EM_S_FA_YOY_OR(B2757,E2757)</f>
        <v>14.5579860281</v>
      </c>
      <c r="I2757" s="11">
        <f>[1]!EM_S_FA_GROSSPROFITMARGIN(B2757,E2757)</f>
        <v>36.223358850399997</v>
      </c>
      <c r="J2757" s="11">
        <f>[1]!EM_S_FA_NETPROFITMARGIN(B2757,E2757)</f>
        <v>6.8092229751</v>
      </c>
      <c r="K2757" s="10">
        <f>[1]!EM_S_FA_ASSETSTURN(B2757,E2757)</f>
        <v>0.44698008994999999</v>
      </c>
      <c r="L2757" s="12">
        <f>[1]!EM_HKS_VAL_MV(B2757,"2019-12-31","2")</f>
        <v>2986611481.2800002</v>
      </c>
      <c r="M2757">
        <f>[1]!EM_S_VAL_PETTMDEDUCTED(B2757,E2757)</f>
        <v>341.45048569480599</v>
      </c>
      <c r="N2757" s="7">
        <f>[1]!EM_S_VAL_PBGOODWILLDEDUCTED(B2757,E2757)</f>
        <v>40.5776298526809</v>
      </c>
      <c r="O2757" s="7">
        <f>[1]!EM_S_VAL_PS_TTM(B2757,E2757)</f>
        <v>4.5004937353361596</v>
      </c>
      <c r="P2757" s="7">
        <f>[1]!EM_S_VAL_PCF_NCFTTM(B2757,E2757)</f>
        <v>-40.477446617515497</v>
      </c>
      <c r="Q2757" s="7">
        <f>[1]!EM_S_VAL_DIVIDENDYIELD2(B2757,E2757,"2019-11-29")</f>
        <v>0</v>
      </c>
      <c r="T2757"/>
      <c r="U2757">
        <f>[1]!EM_S_RATIO_EPS_TTM(B2757,E2757,"1")</f>
        <v>9.7635168165410999E-2</v>
      </c>
      <c r="AT2757" s="4" t="str">
        <f>[1]!EM_S_IPO_LISTEDDATE(B2757)</f>
        <v>2012-08-01</v>
      </c>
    </row>
    <row r="2758" spans="1:46">
      <c r="A2758">
        <v>3263</v>
      </c>
      <c r="B2758" t="str">
        <f>"603096"</f>
        <v>603096</v>
      </c>
      <c r="C2758" t="s">
        <v>611</v>
      </c>
      <c r="D2758" t="str">
        <f>[1]!EM_S_INFO_INDEX_EM(B2758,"1")</f>
        <v>文化传媒</v>
      </c>
      <c r="E2758" s="4">
        <f t="shared" si="43"/>
        <v>43465</v>
      </c>
      <c r="F2758" s="11">
        <f>[1]!EM_S_PQ_PCTCHANGE(B2758,"2018-01-01","2019-12-31","3")</f>
        <v>-16.335643009999998</v>
      </c>
      <c r="G2758" s="11">
        <f>[1]!EM_S_PQ_PCTCHANGE(B2758,"2018-12-31","2019-12-30","1")</f>
        <v>-10.077770579999999</v>
      </c>
      <c r="H2758" s="11">
        <f>[1]!EM_S_FA_YOY_OR(B2758,E2758)</f>
        <v>-1.8984305311</v>
      </c>
      <c r="I2758" s="11">
        <f>[1]!EM_S_FA_GROSSPROFITMARGIN(B2758,E2758)</f>
        <v>46.332948227599999</v>
      </c>
      <c r="J2758" s="11">
        <f>[1]!EM_S_FA_NETPROFITMARGIN(B2758,E2758)</f>
        <v>26.575930426500001</v>
      </c>
      <c r="K2758" s="10">
        <f>[1]!EM_S_FA_ASSETSTURN(B2758,E2758)</f>
        <v>0.49155276989399999</v>
      </c>
      <c r="L2758" s="12">
        <f>[1]!EM_HKS_VAL_MV(B2758,"2019-12-31","2")</f>
        <v>7482532400</v>
      </c>
      <c r="M2758">
        <f>[1]!EM_S_VAL_PETTMDEDUCTED(B2758,E2758)</f>
        <v>43.0458005383027</v>
      </c>
      <c r="N2758" s="7">
        <f>[1]!EM_S_VAL_PBGOODWILLDEDUCTED(B2758,E2758)</f>
        <v>4.96202213761865</v>
      </c>
      <c r="O2758" s="7">
        <f>[1]!EM_S_VAL_PS_TTM(B2758,E2758)</f>
        <v>9.0162384643073707</v>
      </c>
      <c r="P2758" s="7">
        <f>[1]!EM_S_VAL_PCF_NCFTTM(B2758,E2758)</f>
        <v>72.282807185009901</v>
      </c>
      <c r="Q2758" s="7">
        <f>[1]!EM_S_VAL_DIVIDENDYIELD2(B2758,E2758,"2019-11-29")</f>
        <v>1.0608203677510608</v>
      </c>
      <c r="T2758"/>
      <c r="U2758">
        <f>[1]!EM_S_RATIO_EPS_TTM(B2758,E2758,"1")</f>
        <v>1.7797482551659916</v>
      </c>
      <c r="AT2758" s="4" t="str">
        <f>[1]!EM_S_IPO_LISTEDDATE(B2758)</f>
        <v>2017-04-25</v>
      </c>
    </row>
    <row r="2759" spans="1:46">
      <c r="A2759">
        <v>2039</v>
      </c>
      <c r="B2759" t="str">
        <f>"300620"</f>
        <v>300620</v>
      </c>
      <c r="C2759" t="s">
        <v>664</v>
      </c>
      <c r="D2759" t="str">
        <f>[1]!EM_S_INFO_INDEX_EM(B2759,"1")</f>
        <v>信息技术</v>
      </c>
      <c r="E2759" s="4">
        <f t="shared" si="43"/>
        <v>43465</v>
      </c>
      <c r="F2759" s="11">
        <f>[1]!EM_S_PQ_PCTCHANGE(B2759,"2018-01-01","2019-12-31","3")</f>
        <v>-1.00236561</v>
      </c>
      <c r="G2759" s="11">
        <f>[1]!EM_S_PQ_PCTCHANGE(B2759,"2018-12-31","2019-12-30","1")</f>
        <v>-10.07945516</v>
      </c>
      <c r="H2759" s="11">
        <f>[1]!EM_S_FA_YOY_OR(B2759,E2759)</f>
        <v>25.601253568499999</v>
      </c>
      <c r="I2759" s="11">
        <f>[1]!EM_S_FA_GROSSPROFITMARGIN(B2759,E2759)</f>
        <v>46.651049599899999</v>
      </c>
      <c r="J2759" s="11">
        <f>[1]!EM_S_FA_NETPROFITMARGIN(B2759,E2759)</f>
        <v>28.1592452772</v>
      </c>
      <c r="K2759" s="10">
        <f>[1]!EM_S_FA_ASSETSTURN(B2759,E2759)</f>
        <v>0.417385860118</v>
      </c>
      <c r="L2759" s="12">
        <f>[1]!EM_HKS_VAL_MV(B2759,"2019-12-31","2")</f>
        <v>3561987910</v>
      </c>
      <c r="M2759">
        <f>[1]!EM_S_VAL_PETTMDEDUCTED(B2759,E2759)</f>
        <v>54.948045578591902</v>
      </c>
      <c r="N2759" s="7">
        <f>[1]!EM_S_VAL_PBGOODWILLDEDUCTED(B2759,E2759)</f>
        <v>8.9798394865646696</v>
      </c>
      <c r="O2759" s="7">
        <f>[1]!EM_S_VAL_PS_TTM(B2759,E2759)</f>
        <v>14.5525485650252</v>
      </c>
      <c r="P2759" s="7">
        <f>[1]!EM_S_VAL_PCF_NCFTTM(B2759,E2759)</f>
        <v>45.944481401088701</v>
      </c>
      <c r="Q2759" s="7">
        <f>[1]!EM_S_VAL_DIVIDENDYIELD2(B2759,E2759,"2019-11-29")</f>
        <v>0.5388885315636126</v>
      </c>
      <c r="T2759"/>
      <c r="U2759">
        <f>[1]!EM_S_RATIO_EPS_TTM(B2759,E2759,"1")</f>
        <v>0.88772242910302701</v>
      </c>
      <c r="AT2759" s="4" t="str">
        <f>[1]!EM_S_IPO_LISTEDDATE(B2759)</f>
        <v>2017-03-10</v>
      </c>
    </row>
    <row r="2760" spans="1:46">
      <c r="A2760">
        <v>3621</v>
      </c>
      <c r="B2760" t="str">
        <f>"603969"</f>
        <v>603969</v>
      </c>
      <c r="C2760" t="s">
        <v>2962</v>
      </c>
      <c r="D2760" t="str">
        <f>[1]!EM_S_INFO_INDEX_EM(B2760,"1")</f>
        <v>机械设备</v>
      </c>
      <c r="E2760" s="4">
        <f t="shared" si="43"/>
        <v>43465</v>
      </c>
      <c r="F2760" s="11">
        <f>[1]!EM_S_PQ_PCTCHANGE(B2760,"2018-01-01","2019-12-31","3")</f>
        <v>-20.79741538</v>
      </c>
      <c r="G2760" s="11">
        <f>[1]!EM_S_PQ_PCTCHANGE(B2760,"2018-12-31","2019-12-30","1")</f>
        <v>-10.085836909999999</v>
      </c>
      <c r="H2760" s="11">
        <f>[1]!EM_S_FA_YOY_OR(B2760,E2760)</f>
        <v>7.3042278339999998</v>
      </c>
      <c r="I2760" s="11">
        <f>[1]!EM_S_FA_GROSSPROFITMARGIN(B2760,E2760)</f>
        <v>17.278547507199999</v>
      </c>
      <c r="J2760" s="11">
        <f>[1]!EM_S_FA_NETPROFITMARGIN(B2760,E2760)</f>
        <v>6.4925909696000002</v>
      </c>
      <c r="K2760" s="10">
        <f>[1]!EM_S_FA_ASSETSTURN(B2760,E2760)</f>
        <v>0.96866059581899999</v>
      </c>
      <c r="L2760" s="12">
        <f>[1]!EM_HKS_VAL_MV(B2760,"2019-12-31","2")</f>
        <v>3591070000</v>
      </c>
      <c r="M2760">
        <f>[1]!EM_S_VAL_PETTMDEDUCTED(B2760,E2760)</f>
        <v>36.514194544903503</v>
      </c>
      <c r="N2760" s="7">
        <f>[1]!EM_S_VAL_PBGOODWILLDEDUCTED(B2760,E2760)</f>
        <v>2.2700732963224999</v>
      </c>
      <c r="O2760" s="7">
        <f>[1]!EM_S_VAL_PS_TTM(B2760,E2760)</f>
        <v>1.6891313100796199</v>
      </c>
      <c r="P2760" s="7">
        <f>[1]!EM_S_VAL_PCF_NCFTTM(B2760,E2760)</f>
        <v>23.2791930019341</v>
      </c>
      <c r="Q2760" s="7">
        <f>[1]!EM_S_VAL_DIVIDENDYIELD2(B2760,E2760,"2019-11-29")</f>
        <v>2.4038461538461542</v>
      </c>
      <c r="T2760"/>
      <c r="U2760">
        <f>[1]!EM_S_RATIO_EPS_TTM(B2760,E2760,"1")</f>
        <v>0.1788790903804994</v>
      </c>
      <c r="AT2760" s="4" t="str">
        <f>[1]!EM_S_IPO_LISTEDDATE(B2760)</f>
        <v>2015-02-27</v>
      </c>
    </row>
    <row r="2761" spans="1:46">
      <c r="A2761">
        <v>1783</v>
      </c>
      <c r="B2761" t="str">
        <f>"300358"</f>
        <v>300358</v>
      </c>
      <c r="C2761" t="s">
        <v>2204</v>
      </c>
      <c r="D2761" t="str">
        <f>[1]!EM_S_INFO_INDEX_EM(B2761,"1")</f>
        <v>医药生物</v>
      </c>
      <c r="E2761" s="4">
        <f t="shared" si="43"/>
        <v>43465</v>
      </c>
      <c r="F2761" s="11">
        <f>[1]!EM_S_PQ_PCTCHANGE(B2761,"2018-01-01","2019-12-31","3")</f>
        <v>-41.165060140000001</v>
      </c>
      <c r="G2761" s="11">
        <f>[1]!EM_S_PQ_PCTCHANGE(B2761,"2018-12-31","2019-12-30","1")</f>
        <v>-10.10362694</v>
      </c>
      <c r="H2761" s="11">
        <f>[1]!EM_S_FA_YOY_OR(B2761,E2761)</f>
        <v>27.442205458499998</v>
      </c>
      <c r="I2761" s="11">
        <f>[1]!EM_S_FA_GROSSPROFITMARGIN(B2761,E2761)</f>
        <v>32.831445131499997</v>
      </c>
      <c r="J2761" s="11">
        <f>[1]!EM_S_FA_NETPROFITMARGIN(B2761,E2761)</f>
        <v>2.5331702883</v>
      </c>
      <c r="K2761" s="10">
        <f>[1]!EM_S_FA_ASSETSTURN(B2761,E2761)</f>
        <v>0.40211801904700001</v>
      </c>
      <c r="L2761" s="12">
        <f>[1]!EM_HKS_VAL_MV(B2761,"2019-12-31","2")</f>
        <v>3242459425.5900002</v>
      </c>
      <c r="M2761">
        <f>[1]!EM_S_VAL_PETTMDEDUCTED(B2761,E2761)</f>
        <v>52.705926540807503</v>
      </c>
      <c r="N2761" s="7">
        <f>[1]!EM_S_VAL_PBGOODWILLDEDUCTED(B2761,E2761)</f>
        <v>1.7964096195483501</v>
      </c>
      <c r="O2761" s="7">
        <f>[1]!EM_S_VAL_PS_TTM(B2761,E2761)</f>
        <v>2.3389354883842999</v>
      </c>
      <c r="P2761" s="7">
        <f>[1]!EM_S_VAL_PCF_NCFTTM(B2761,E2761)</f>
        <v>14.3569863416618</v>
      </c>
      <c r="Q2761" s="7">
        <f>[1]!EM_S_VAL_DIVIDENDYIELD2(B2761,E2761,"2019-11-29")</f>
        <v>0.35350570223756361</v>
      </c>
      <c r="T2761"/>
      <c r="U2761">
        <f>[1]!EM_S_RATIO_EPS_TTM(B2761,E2761,"1")</f>
        <v>8.7226947454095177E-2</v>
      </c>
      <c r="AT2761" s="4" t="str">
        <f>[1]!EM_S_IPO_LISTEDDATE(B2761)</f>
        <v>2014-01-21</v>
      </c>
    </row>
    <row r="2762" spans="1:46">
      <c r="A2762">
        <v>2008</v>
      </c>
      <c r="B2762" t="str">
        <f>"300587"</f>
        <v>300587</v>
      </c>
      <c r="C2762" t="s">
        <v>3051</v>
      </c>
      <c r="D2762" t="str">
        <f>[1]!EM_S_INFO_INDEX_EM(B2762,"1")</f>
        <v>基础化工</v>
      </c>
      <c r="E2762" s="4">
        <f t="shared" si="43"/>
        <v>43465</v>
      </c>
      <c r="F2762" s="11">
        <f>[1]!EM_S_PQ_PCTCHANGE(B2762,"2018-01-01","2019-12-31","3")</f>
        <v>17.932412329999998</v>
      </c>
      <c r="G2762" s="11">
        <f>[1]!EM_S_PQ_PCTCHANGE(B2762,"2018-12-31","2019-12-30","1")</f>
        <v>-10.15579919</v>
      </c>
      <c r="H2762" s="11">
        <f>[1]!EM_S_FA_YOY_OR(B2762,E2762)</f>
        <v>54.466089082300002</v>
      </c>
      <c r="I2762" s="11">
        <f>[1]!EM_S_FA_GROSSPROFITMARGIN(B2762,E2762)</f>
        <v>55.828330393400002</v>
      </c>
      <c r="J2762" s="11">
        <f>[1]!EM_S_FA_NETPROFITMARGIN(B2762,E2762)</f>
        <v>16.8783593896</v>
      </c>
      <c r="K2762" s="10">
        <f>[1]!EM_S_FA_ASSETSTURN(B2762,E2762)</f>
        <v>0.35522349389800001</v>
      </c>
      <c r="L2762" s="12">
        <f>[1]!EM_HKS_VAL_MV(B2762,"2019-12-31","2")</f>
        <v>2881968180</v>
      </c>
      <c r="M2762">
        <f>[1]!EM_S_VAL_PETTMDEDUCTED(B2762,E2762)</f>
        <v>30.9983680695413</v>
      </c>
      <c r="N2762" s="7">
        <f>[1]!EM_S_VAL_PBGOODWILLDEDUCTED(B2762,E2762)</f>
        <v>2.5719529820901701</v>
      </c>
      <c r="O2762" s="7">
        <f>[1]!EM_S_VAL_PS_TTM(B2762,E2762)</f>
        <v>4.2222518961638196</v>
      </c>
      <c r="P2762" s="7">
        <f>[1]!EM_S_VAL_PCF_NCFTTM(B2762,E2762)</f>
        <v>-18.0170178367934</v>
      </c>
      <c r="Q2762" s="7">
        <f>[1]!EM_S_VAL_DIVIDENDYIELD2(B2762,E2762,"2019-11-29")</f>
        <v>0.58667083854818525</v>
      </c>
      <c r="T2762"/>
      <c r="U2762">
        <f>[1]!EM_S_RATIO_EPS_TTM(B2762,E2762,"1")</f>
        <v>0.73221151093999437</v>
      </c>
      <c r="AT2762" s="4" t="str">
        <f>[1]!EM_S_IPO_LISTEDDATE(B2762)</f>
        <v>2017-01-05</v>
      </c>
    </row>
    <row r="2763" spans="1:46">
      <c r="A2763">
        <v>857</v>
      </c>
      <c r="B2763" t="str">
        <f>"002346"</f>
        <v>002346</v>
      </c>
      <c r="C2763" t="s">
        <v>2476</v>
      </c>
      <c r="D2763" t="str">
        <f>[1]!EM_S_INFO_INDEX_EM(B2763,"1")</f>
        <v>电气设备</v>
      </c>
      <c r="E2763" s="4">
        <f t="shared" si="43"/>
        <v>43465</v>
      </c>
      <c r="F2763" s="11">
        <f>[1]!EM_S_PQ_PCTCHANGE(B2763,"2018-01-01","2019-12-31","3")</f>
        <v>-37.958289790000002</v>
      </c>
      <c r="G2763" s="11">
        <f>[1]!EM_S_PQ_PCTCHANGE(B2763,"2018-12-31","2019-12-30","1")</f>
        <v>-10.16</v>
      </c>
      <c r="H2763" s="11">
        <f>[1]!EM_S_FA_YOY_OR(B2763,E2763)</f>
        <v>23.426334710100001</v>
      </c>
      <c r="I2763" s="11">
        <f>[1]!EM_S_FA_GROSSPROFITMARGIN(B2763,E2763)</f>
        <v>22.993507550699999</v>
      </c>
      <c r="J2763" s="11">
        <f>[1]!EM_S_FA_NETPROFITMARGIN(B2763,E2763)</f>
        <v>10.389317274</v>
      </c>
      <c r="K2763" s="10">
        <f>[1]!EM_S_FA_ASSETSTURN(B2763,E2763)</f>
        <v>0.22429762665700001</v>
      </c>
      <c r="L2763" s="12">
        <f>[1]!EM_HKS_VAL_MV(B2763,"2019-12-31","2")</f>
        <v>4963307675.8400002</v>
      </c>
      <c r="M2763">
        <f>[1]!EM_S_VAL_PETTMDEDUCTED(B2763,E2763)</f>
        <v>49.353012498499901</v>
      </c>
      <c r="N2763" s="7">
        <f>[1]!EM_S_VAL_PBGOODWILLDEDUCTED(B2763,E2763)</f>
        <v>2.7078128824497498</v>
      </c>
      <c r="O2763" s="7">
        <f>[1]!EM_S_VAL_PS_TTM(B2763,E2763)</f>
        <v>8.1668664467392897</v>
      </c>
      <c r="P2763" s="7">
        <f>[1]!EM_S_VAL_PCF_NCFTTM(B2763,E2763)</f>
        <v>-342.88052751060798</v>
      </c>
      <c r="Q2763" s="7">
        <f>[1]!EM_S_VAL_DIVIDENDYIELD2(B2763,E2763,"2019-11-29")</f>
        <v>1.8484288354898337</v>
      </c>
      <c r="T2763"/>
      <c r="U2763">
        <f>[1]!EM_S_RATIO_EPS_TTM(B2763,E2763,"1")</f>
        <v>0.13195404451592024</v>
      </c>
      <c r="AT2763" s="4" t="str">
        <f>[1]!EM_S_IPO_LISTEDDATE(B2763)</f>
        <v>2010-01-28</v>
      </c>
    </row>
    <row r="2764" spans="1:46">
      <c r="A2764">
        <v>2669</v>
      </c>
      <c r="B2764" t="str">
        <f>"600596"</f>
        <v>600596</v>
      </c>
      <c r="C2764" t="s">
        <v>233</v>
      </c>
      <c r="D2764" t="str">
        <f>[1]!EM_S_INFO_INDEX_EM(B2764,"1")</f>
        <v>基础化工</v>
      </c>
      <c r="E2764" s="4">
        <f t="shared" si="43"/>
        <v>43465</v>
      </c>
      <c r="F2764" s="11">
        <f>[1]!EM_S_PQ_PCTCHANGE(B2764,"2018-01-01","2019-12-31","3")</f>
        <v>13.685439840000001</v>
      </c>
      <c r="G2764" s="11">
        <f>[1]!EM_S_PQ_PCTCHANGE(B2764,"2018-12-31","2019-12-30","1")</f>
        <v>-10.196445280000001</v>
      </c>
      <c r="H2764" s="11">
        <f>[1]!EM_S_FA_YOY_OR(B2764,E2764)</f>
        <v>51.185208067300003</v>
      </c>
      <c r="I2764" s="11">
        <f>[1]!EM_S_FA_GROSSPROFITMARGIN(B2764,E2764)</f>
        <v>24.088506477300001</v>
      </c>
      <c r="J2764" s="11">
        <f>[1]!EM_S_FA_NETPROFITMARGIN(B2764,E2764)</f>
        <v>11.3701500381</v>
      </c>
      <c r="K2764" s="10">
        <f>[1]!EM_S_FA_ASSETSTURN(B2764,E2764)</f>
        <v>1.1479068059199999</v>
      </c>
      <c r="L2764" s="12">
        <f>[1]!EM_HKS_VAL_MV(B2764,"2019-12-31","2")</f>
        <v>6940000788.7200003</v>
      </c>
      <c r="M2764">
        <f>[1]!EM_S_VAL_PETTMDEDUCTED(B2764,E2764)</f>
        <v>6.2426776214862301</v>
      </c>
      <c r="N2764" s="7">
        <f>[1]!EM_S_VAL_PBGOODWILLDEDUCTED(B2764,E2764)</f>
        <v>1.36038123017504</v>
      </c>
      <c r="O2764" s="7">
        <f>[1]!EM_S_VAL_PS_TTM(B2764,E2764)</f>
        <v>0.71681633457167704</v>
      </c>
      <c r="P2764" s="7">
        <f>[1]!EM_S_VAL_PCF_NCFTTM(B2764,E2764)</f>
        <v>11.863852588466401</v>
      </c>
      <c r="Q2764" s="7">
        <f>[1]!EM_S_VAL_DIVIDENDYIELD2(B2764,E2764,"2019-11-29")</f>
        <v>5.8954393770856512</v>
      </c>
      <c r="T2764"/>
      <c r="U2764">
        <f>[1]!EM_S_RATIO_EPS_TTM(B2764,E2764,"1")</f>
        <v>1.7472225918569393</v>
      </c>
      <c r="AT2764" s="4" t="str">
        <f>[1]!EM_S_IPO_LISTEDDATE(B2764)</f>
        <v>2001-09-06</v>
      </c>
    </row>
    <row r="2765" spans="1:46">
      <c r="A2765">
        <v>2431</v>
      </c>
      <c r="B2765" t="str">
        <f>"600303"</f>
        <v>600303</v>
      </c>
      <c r="C2765" t="s">
        <v>2717</v>
      </c>
      <c r="D2765" t="str">
        <f>[1]!EM_S_INFO_INDEX_EM(B2765,"1")</f>
        <v>交运设备</v>
      </c>
      <c r="E2765" s="4">
        <f t="shared" si="43"/>
        <v>43465</v>
      </c>
      <c r="F2765" s="11">
        <f>[1]!EM_S_PQ_PCTCHANGE(B2765,"2018-01-01","2019-12-31","3")</f>
        <v>-60.956980649999998</v>
      </c>
      <c r="G2765" s="11">
        <f>[1]!EM_S_PQ_PCTCHANGE(B2765,"2018-12-31","2019-12-30","1")</f>
        <v>-10.23017903</v>
      </c>
      <c r="H2765" s="11">
        <f>[1]!EM_S_FA_YOY_OR(B2765,E2765)</f>
        <v>-23.472990337399999</v>
      </c>
      <c r="I2765" s="11">
        <f>[1]!EM_S_FA_GROSSPROFITMARGIN(B2765,E2765)</f>
        <v>14.0475369823</v>
      </c>
      <c r="J2765" s="11">
        <f>[1]!EM_S_FA_NETPROFITMARGIN(B2765,E2765)</f>
        <v>-4.5211562509999998</v>
      </c>
      <c r="K2765" s="10">
        <f>[1]!EM_S_FA_ASSETSTURN(B2765,E2765)</f>
        <v>0.41179457550499998</v>
      </c>
      <c r="L2765" s="12">
        <f>[1]!EM_HKS_VAL_MV(B2765,"2019-12-31","2")</f>
        <v>2378126822.7199998</v>
      </c>
      <c r="M2765">
        <f>[1]!EM_S_VAL_PETTMDEDUCTED(B2765,E2765)</f>
        <v>-24.972938806177101</v>
      </c>
      <c r="N2765" s="7">
        <f>[1]!EM_S_VAL_PBGOODWILLDEDUCTED(B2765,E2765)</f>
        <v>0.91911007047501503</v>
      </c>
      <c r="O2765" s="7">
        <f>[1]!EM_S_VAL_PS_TTM(B2765,E2765)</f>
        <v>0.788245333983837</v>
      </c>
      <c r="P2765" s="7">
        <f>[1]!EM_S_VAL_PCF_NCFTTM(B2765,E2765)</f>
        <v>-5.2677620035942399</v>
      </c>
      <c r="Q2765" s="7">
        <f>[1]!EM_S_VAL_DIVIDENDYIELD2(B2765,E2765,"2019-11-29")</f>
        <v>0</v>
      </c>
      <c r="T2765"/>
      <c r="U2765">
        <f>[1]!EM_S_RATIO_EPS_TTM(B2765,E2765,"1")</f>
        <v>-0.18966816413167678</v>
      </c>
      <c r="AT2765" s="4" t="str">
        <f>[1]!EM_S_IPO_LISTEDDATE(B2765)</f>
        <v>2000-12-26</v>
      </c>
    </row>
    <row r="2766" spans="1:46">
      <c r="A2766">
        <v>1830</v>
      </c>
      <c r="B2766" t="str">
        <f>"300405"</f>
        <v>300405</v>
      </c>
      <c r="C2766" t="s">
        <v>2915</v>
      </c>
      <c r="D2766" t="str">
        <f>[1]!EM_S_INFO_INDEX_EM(B2766,"1")</f>
        <v>基础化工</v>
      </c>
      <c r="E2766" s="4">
        <f t="shared" si="43"/>
        <v>43465</v>
      </c>
      <c r="F2766" s="11">
        <f>[1]!EM_S_PQ_PCTCHANGE(B2766,"2018-01-01","2019-12-31","3")</f>
        <v>-18.825810669999999</v>
      </c>
      <c r="G2766" s="11">
        <f>[1]!EM_S_PQ_PCTCHANGE(B2766,"2018-12-31","2019-12-30","1")</f>
        <v>-10.2393617</v>
      </c>
      <c r="H2766" s="11">
        <f>[1]!EM_S_FA_YOY_OR(B2766,E2766)</f>
        <v>6.0363545765</v>
      </c>
      <c r="I2766" s="11">
        <f>[1]!EM_S_FA_GROSSPROFITMARGIN(B2766,E2766)</f>
        <v>15.5498721834</v>
      </c>
      <c r="J2766" s="11">
        <f>[1]!EM_S_FA_NETPROFITMARGIN(B2766,E2766)</f>
        <v>-8.5016114272000003</v>
      </c>
      <c r="K2766" s="10">
        <f>[1]!EM_S_FA_ASSETSTURN(B2766,E2766)</f>
        <v>0.66777362274999996</v>
      </c>
      <c r="L2766" s="12">
        <f>[1]!EM_HKS_VAL_MV(B2766,"2019-12-31","2")</f>
        <v>1528363101.72</v>
      </c>
      <c r="M2766">
        <f>[1]!EM_S_VAL_PETTMDEDUCTED(B2766,E2766)</f>
        <v>163.44749521083099</v>
      </c>
      <c r="N2766" s="7">
        <f>[1]!EM_S_VAL_PBGOODWILLDEDUCTED(B2766,E2766)</f>
        <v>1.36259886526394</v>
      </c>
      <c r="O2766" s="7">
        <f>[1]!EM_S_VAL_PS_TTM(B2766,E2766)</f>
        <v>0.93684446228823204</v>
      </c>
      <c r="P2766" s="7">
        <f>[1]!EM_S_VAL_PCF_NCFTTM(B2766,E2766)</f>
        <v>23.1727565910804</v>
      </c>
      <c r="Q2766" s="7">
        <f>[1]!EM_S_VAL_DIVIDENDYIELD2(B2766,E2766,"2019-11-29")</f>
        <v>0</v>
      </c>
      <c r="T2766"/>
      <c r="U2766">
        <f>[1]!EM_S_RATIO_EPS_TTM(B2766,E2766,"1")</f>
        <v>-0.66110856473015545</v>
      </c>
      <c r="AT2766" s="4" t="str">
        <f>[1]!EM_S_IPO_LISTEDDATE(B2766)</f>
        <v>2014-10-30</v>
      </c>
    </row>
    <row r="2767" spans="1:46">
      <c r="A2767">
        <v>1963</v>
      </c>
      <c r="B2767" t="str">
        <f>"300539"</f>
        <v>300539</v>
      </c>
      <c r="C2767" t="s">
        <v>2309</v>
      </c>
      <c r="D2767" t="str">
        <f>[1]!EM_S_INFO_INDEX_EM(B2767,"1")</f>
        <v>基础化工</v>
      </c>
      <c r="E2767" s="4">
        <f t="shared" si="43"/>
        <v>43465</v>
      </c>
      <c r="F2767" s="11">
        <f>[1]!EM_S_PQ_PCTCHANGE(B2767,"2018-01-01","2019-12-31","3")</f>
        <v>-33.975923109999997</v>
      </c>
      <c r="G2767" s="11">
        <f>[1]!EM_S_PQ_PCTCHANGE(B2767,"2018-12-31","2019-12-30","1")</f>
        <v>-10.27227723</v>
      </c>
      <c r="H2767" s="11">
        <f>[1]!EM_S_FA_YOY_OR(B2767,E2767)</f>
        <v>12.6418735351</v>
      </c>
      <c r="I2767" s="11">
        <f>[1]!EM_S_FA_GROSSPROFITMARGIN(B2767,E2767)</f>
        <v>19.552786219800002</v>
      </c>
      <c r="J2767" s="11">
        <f>[1]!EM_S_FA_NETPROFITMARGIN(B2767,E2767)</f>
        <v>1.7981373297000001</v>
      </c>
      <c r="K2767" s="10">
        <f>[1]!EM_S_FA_ASSETSTURN(B2767,E2767)</f>
        <v>0.64761083133700004</v>
      </c>
      <c r="L2767" s="12">
        <f>[1]!EM_HKS_VAL_MV(B2767,"2019-12-31","2")</f>
        <v>1605869322.7</v>
      </c>
      <c r="M2767">
        <f>[1]!EM_S_VAL_PETTMDEDUCTED(B2767,E2767)</f>
        <v>130.198066460798</v>
      </c>
      <c r="N2767" s="7">
        <f>[1]!EM_S_VAL_PBGOODWILLDEDUCTED(B2767,E2767)</f>
        <v>4.4322103188024302</v>
      </c>
      <c r="O2767" s="7">
        <f>[1]!EM_S_VAL_PS_TTM(B2767,E2767)</f>
        <v>3.1529472449194298</v>
      </c>
      <c r="P2767" s="7">
        <f>[1]!EM_S_VAL_PCF_NCFTTM(B2767,E2767)</f>
        <v>-10.019050722548799</v>
      </c>
      <c r="Q2767" s="7">
        <f>[1]!EM_S_VAL_DIVIDENDYIELD2(B2767,E2767,"2019-11-29")</f>
        <v>0.55636518190763051</v>
      </c>
      <c r="T2767"/>
      <c r="U2767">
        <f>[1]!EM_S_RATIO_EPS_TTM(B2767,E2767,"1")</f>
        <v>4.8397434114832535E-2</v>
      </c>
      <c r="AT2767" s="4" t="str">
        <f>[1]!EM_S_IPO_LISTEDDATE(B2767)</f>
        <v>2016-08-30</v>
      </c>
    </row>
    <row r="2768" spans="1:46">
      <c r="A2768">
        <v>551</v>
      </c>
      <c r="B2768" t="str">
        <f>"002040"</f>
        <v>002040</v>
      </c>
      <c r="C2768" t="s">
        <v>2154</v>
      </c>
      <c r="D2768" t="str">
        <f>[1]!EM_S_INFO_INDEX_EM(B2768,"1")</f>
        <v>交通运输</v>
      </c>
      <c r="E2768" s="4">
        <f t="shared" si="43"/>
        <v>43465</v>
      </c>
      <c r="F2768" s="11">
        <f>[1]!EM_S_PQ_PCTCHANGE(B2768,"2018-01-01","2019-12-31","3")</f>
        <v>-27.206624990000002</v>
      </c>
      <c r="G2768" s="11">
        <f>[1]!EM_S_PQ_PCTCHANGE(B2768,"2018-12-31","2019-12-30","1")</f>
        <v>-10.282776350000001</v>
      </c>
      <c r="H2768" s="11">
        <f>[1]!EM_S_FA_YOY_OR(B2768,E2768)</f>
        <v>5.8837202778000002</v>
      </c>
      <c r="I2768" s="11">
        <f>[1]!EM_S_FA_GROSSPROFITMARGIN(B2768,E2768)</f>
        <v>48.316814335099998</v>
      </c>
      <c r="J2768" s="11">
        <f>[1]!EM_S_FA_NETPROFITMARGIN(B2768,E2768)</f>
        <v>26.5926670343</v>
      </c>
      <c r="K2768" s="10">
        <f>[1]!EM_S_FA_ASSETSTURN(B2768,E2768)</f>
        <v>0.15299178567400001</v>
      </c>
      <c r="L2768" s="12">
        <f>[1]!EM_HKS_VAL_MV(B2768,"2019-12-31","2")</f>
        <v>3392607268</v>
      </c>
      <c r="M2768">
        <f>[1]!EM_S_VAL_PETTMDEDUCTED(B2768,E2768)</f>
        <v>24.194964026026501</v>
      </c>
      <c r="N2768" s="7">
        <f>[1]!EM_S_VAL_PBGOODWILLDEDUCTED(B2768,E2768)</f>
        <v>1.15861599200867</v>
      </c>
      <c r="O2768" s="7">
        <f>[1]!EM_S_VAL_PS_TTM(B2768,E2768)</f>
        <v>4.0287581042039502</v>
      </c>
      <c r="P2768" s="7">
        <f>[1]!EM_S_VAL_PCF_NCFTTM(B2768,E2768)</f>
        <v>-7.6736894846535</v>
      </c>
      <c r="Q2768" s="7">
        <f>[1]!EM_S_VAL_DIVIDENDYIELD2(B2768,E2768,"2019-11-29")</f>
        <v>0.52344105620174741</v>
      </c>
      <c r="T2768"/>
      <c r="U2768">
        <f>[1]!EM_S_RATIO_EPS_TTM(B2768,E2768,"1")</f>
        <v>0.44055029581138611</v>
      </c>
      <c r="AT2768" s="4" t="str">
        <f>[1]!EM_S_IPO_LISTEDDATE(B2768)</f>
        <v>2005-03-25</v>
      </c>
    </row>
    <row r="2769" spans="1:46">
      <c r="A2769">
        <v>1542</v>
      </c>
      <c r="B2769" t="str">
        <f>"300117"</f>
        <v>300117</v>
      </c>
      <c r="C2769" t="s">
        <v>2310</v>
      </c>
      <c r="D2769" t="str">
        <f>[1]!EM_S_INFO_INDEX_EM(B2769,"1")</f>
        <v>建材</v>
      </c>
      <c r="E2769" s="4">
        <f t="shared" si="43"/>
        <v>43465</v>
      </c>
      <c r="F2769" s="11">
        <f>[1]!EM_S_PQ_PCTCHANGE(B2769,"2018-01-01","2019-12-31","3")</f>
        <v>-42.864974240000002</v>
      </c>
      <c r="G2769" s="11">
        <f>[1]!EM_S_PQ_PCTCHANGE(B2769,"2018-12-31","2019-12-30","1")</f>
        <v>-10.33653846</v>
      </c>
      <c r="H2769" s="11">
        <f>[1]!EM_S_FA_YOY_OR(B2769,E2769)</f>
        <v>45.213443599999998</v>
      </c>
      <c r="I2769" s="11">
        <f>[1]!EM_S_FA_GROSSPROFITMARGIN(B2769,E2769)</f>
        <v>15.846863275700001</v>
      </c>
      <c r="J2769" s="11">
        <f>[1]!EM_S_FA_NETPROFITMARGIN(B2769,E2769)</f>
        <v>1.4319495727</v>
      </c>
      <c r="K2769" s="10">
        <f>[1]!EM_S_FA_ASSETSTURN(B2769,E2769)</f>
        <v>0.69044455272000005</v>
      </c>
      <c r="L2769" s="12">
        <f>[1]!EM_HKS_VAL_MV(B2769,"2019-12-31","2")</f>
        <v>2680682400</v>
      </c>
      <c r="M2769">
        <f>[1]!EM_S_VAL_PETTMDEDUCTED(B2769,E2769)</f>
        <v>277.29276591286401</v>
      </c>
      <c r="N2769" s="7">
        <f>[1]!EM_S_VAL_PBGOODWILLDEDUCTED(B2769,E2769)</f>
        <v>2.21197819855781</v>
      </c>
      <c r="O2769" s="7">
        <f>[1]!EM_S_VAL_PS_TTM(B2769,E2769)</f>
        <v>0.78755497823472898</v>
      </c>
      <c r="P2769" s="7">
        <f>[1]!EM_S_VAL_PCF_NCFTTM(B2769,E2769)</f>
        <v>12.975315626140199</v>
      </c>
      <c r="Q2769" s="7">
        <f>[1]!EM_S_VAL_DIVIDENDYIELD2(B2769,E2769,"2019-11-29")</f>
        <v>0.221606648199446</v>
      </c>
      <c r="T2769"/>
      <c r="U2769">
        <f>[1]!EM_S_RATIO_EPS_TTM(B2769,E2769,"1")</f>
        <v>8.1934373514146994E-2</v>
      </c>
      <c r="AT2769" s="4" t="str">
        <f>[1]!EM_S_IPO_LISTEDDATE(B2769)</f>
        <v>2010-09-02</v>
      </c>
    </row>
    <row r="2770" spans="1:46">
      <c r="A2770">
        <v>3573</v>
      </c>
      <c r="B2770" t="str">
        <f>"603871"</f>
        <v>603871</v>
      </c>
      <c r="C2770" t="s">
        <v>284</v>
      </c>
      <c r="D2770" t="str">
        <f>[1]!EM_S_INFO_INDEX_EM(B2770,"1")</f>
        <v>交通运输</v>
      </c>
      <c r="E2770" s="4">
        <f t="shared" si="43"/>
        <v>43465</v>
      </c>
      <c r="F2770" s="11">
        <f>[1]!EM_S_PQ_PCTCHANGE(B2770,"2018-01-01","2019-12-31","3")</f>
        <v>46.242609530000003</v>
      </c>
      <c r="G2770" s="11">
        <f>[1]!EM_S_PQ_PCTCHANGE(B2770,"2018-12-31","2019-12-30","1")</f>
        <v>-10.3617945</v>
      </c>
      <c r="H2770" s="11">
        <f>[1]!EM_S_FA_YOY_OR(B2770,E2770)</f>
        <v>26.404055893999999</v>
      </c>
      <c r="I2770" s="11">
        <f>[1]!EM_S_FA_GROSSPROFITMARGIN(B2770,E2770)</f>
        <v>8.7113294802999999</v>
      </c>
      <c r="J2770" s="11">
        <f>[1]!EM_S_FA_NETPROFITMARGIN(B2770,E2770)</f>
        <v>6.5797788373000001</v>
      </c>
      <c r="K2770" s="10">
        <f>[1]!EM_S_FA_ASSETSTURN(B2770,E2770)</f>
        <v>2.7026027511490001</v>
      </c>
      <c r="L2770" s="12">
        <f>[1]!EM_HKS_VAL_MV(B2770,"2019-12-31","2")</f>
        <v>4810624000</v>
      </c>
      <c r="M2770">
        <f>[1]!EM_S_VAL_PETTMDEDUCTED(B2770,E2770)</f>
        <v>16.061637816532201</v>
      </c>
      <c r="N2770" s="7">
        <f>[1]!EM_S_VAL_PBGOODWILLDEDUCTED(B2770,E2770)</f>
        <v>2.5522744886760602</v>
      </c>
      <c r="O2770" s="7">
        <f>[1]!EM_S_VAL_PS_TTM(B2770,E2770)</f>
        <v>0.99856026274796805</v>
      </c>
      <c r="P2770" s="7">
        <f>[1]!EM_S_VAL_PCF_NCFTTM(B2770,E2770)</f>
        <v>8.8123586830846392</v>
      </c>
      <c r="Q2770" s="7">
        <f>[1]!EM_S_VAL_DIVIDENDYIELD2(B2770,E2770,"2019-11-29")</f>
        <v>1.2823800974608874</v>
      </c>
      <c r="T2770"/>
      <c r="U2770">
        <f>[1]!EM_S_RATIO_EPS_TTM(B2770,E2770,"1")</f>
        <v>2.4110227144642855</v>
      </c>
      <c r="AT2770" s="4" t="str">
        <f>[1]!EM_S_IPO_LISTEDDATE(B2770)</f>
        <v>2018-02-06</v>
      </c>
    </row>
    <row r="2771" spans="1:46">
      <c r="A2771">
        <v>3370</v>
      </c>
      <c r="B2771" t="str">
        <f>"603339"</f>
        <v>603339</v>
      </c>
      <c r="C2771" t="s">
        <v>1455</v>
      </c>
      <c r="D2771" t="str">
        <f>[1]!EM_S_INFO_INDEX_EM(B2771,"1")</f>
        <v>机械设备</v>
      </c>
      <c r="E2771" s="4">
        <f t="shared" si="43"/>
        <v>43465</v>
      </c>
      <c r="F2771" s="11">
        <f>[1]!EM_S_PQ_PCTCHANGE(B2771,"2018-01-01","2019-12-31","3")</f>
        <v>-41.553460559999998</v>
      </c>
      <c r="G2771" s="11">
        <f>[1]!EM_S_PQ_PCTCHANGE(B2771,"2018-12-31","2019-12-30","1")</f>
        <v>-10.367892980000001</v>
      </c>
      <c r="H2771" s="11">
        <f>[1]!EM_S_FA_YOY_OR(B2771,E2771)</f>
        <v>21.990628909600002</v>
      </c>
      <c r="I2771" s="11">
        <f>[1]!EM_S_FA_GROSSPROFITMARGIN(B2771,E2771)</f>
        <v>26.740220668399999</v>
      </c>
      <c r="J2771" s="11">
        <f>[1]!EM_S_FA_NETPROFITMARGIN(B2771,E2771)</f>
        <v>14.808442184900001</v>
      </c>
      <c r="K2771" s="10">
        <f>[1]!EM_S_FA_ASSETSTURN(B2771,E2771)</f>
        <v>0.63665353993600005</v>
      </c>
      <c r="L2771" s="12">
        <f>[1]!EM_HKS_VAL_MV(B2771,"2019-12-31","2")</f>
        <v>2856751305</v>
      </c>
      <c r="M2771">
        <f>[1]!EM_S_VAL_PETTMDEDUCTED(B2771,E2771)</f>
        <v>17.1820664325646</v>
      </c>
      <c r="N2771" s="7">
        <f>[1]!EM_S_VAL_PBGOODWILLDEDUCTED(B2771,E2771)</f>
        <v>1.91500682828123</v>
      </c>
      <c r="O2771" s="7">
        <f>[1]!EM_S_VAL_PS_TTM(B2771,E2771)</f>
        <v>2.6803300634048299</v>
      </c>
      <c r="P2771" s="7">
        <f>[1]!EM_S_VAL_PCF_NCFTTM(B2771,E2771)</f>
        <v>-8.68198430765902</v>
      </c>
      <c r="Q2771" s="7">
        <f>[1]!EM_S_VAL_DIVIDENDYIELD2(B2771,E2771,"2019-11-29")</f>
        <v>1.5444015444015444</v>
      </c>
      <c r="T2771"/>
      <c r="U2771">
        <f>[1]!EM_S_RATIO_EPS_TTM(B2771,E2771,"1")</f>
        <v>0.86466804889824722</v>
      </c>
      <c r="AT2771" s="4" t="str">
        <f>[1]!EM_S_IPO_LISTEDDATE(B2771)</f>
        <v>2016-05-19</v>
      </c>
    </row>
    <row r="2772" spans="1:46">
      <c r="A2772">
        <v>697</v>
      </c>
      <c r="B2772" t="str">
        <f>"002186"</f>
        <v>002186</v>
      </c>
      <c r="C2772" t="s">
        <v>1094</v>
      </c>
      <c r="D2772" t="str">
        <f>[1]!EM_S_INFO_INDEX_EM(B2772,"1")</f>
        <v>休闲、生活及专业服务</v>
      </c>
      <c r="E2772" s="4">
        <f t="shared" si="43"/>
        <v>43465</v>
      </c>
      <c r="F2772" s="11">
        <f>[1]!EM_S_PQ_PCTCHANGE(B2772,"2018-01-01","2019-12-31","3")</f>
        <v>-39.530067709999997</v>
      </c>
      <c r="G2772" s="11">
        <f>[1]!EM_S_PQ_PCTCHANGE(B2772,"2018-12-31","2019-12-30","1")</f>
        <v>-10.369068540000001</v>
      </c>
      <c r="H2772" s="11">
        <f>[1]!EM_S_FA_YOY_OR(B2772,E2772)</f>
        <v>-4.4770454142</v>
      </c>
      <c r="I2772" s="11">
        <f>[1]!EM_S_FA_GROSSPROFITMARGIN(B2772,E2772)</f>
        <v>60.028562254699999</v>
      </c>
      <c r="J2772" s="11">
        <f>[1]!EM_S_FA_NETPROFITMARGIN(B2772,E2772)</f>
        <v>4.6188511142999999</v>
      </c>
      <c r="K2772" s="10">
        <f>[1]!EM_S_FA_ASSETSTURN(B2772,E2772)</f>
        <v>0.86912140525199999</v>
      </c>
      <c r="L2772" s="12">
        <f>[1]!EM_HKS_VAL_MV(B2772,"2019-12-31","2")</f>
        <v>3180263376.0500002</v>
      </c>
      <c r="M2772">
        <f>[1]!EM_S_VAL_PETTMDEDUCTED(B2772,E2772)</f>
        <v>30.494384743400001</v>
      </c>
      <c r="N2772" s="7">
        <f>[1]!EM_S_VAL_PBGOODWILLDEDUCTED(B2772,E2772)</f>
        <v>2.3469346412188998</v>
      </c>
      <c r="O2772" s="7">
        <f>[1]!EM_S_VAL_PS_TTM(B2772,E2772)</f>
        <v>1.90779496470376</v>
      </c>
      <c r="P2772" s="7">
        <f>[1]!EM_S_VAL_PCF_NCFTTM(B2772,E2772)</f>
        <v>-42.044340170634896</v>
      </c>
      <c r="Q2772" s="7">
        <f>[1]!EM_S_VAL_DIVIDENDYIELD2(B2772,E2772,"2019-11-29")</f>
        <v>1.8108651911468814</v>
      </c>
      <c r="T2772"/>
      <c r="U2772">
        <f>[1]!EM_S_RATIO_EPS_TTM(B2772,E2772,"1")</f>
        <v>0.23679329622159581</v>
      </c>
      <c r="AT2772" s="4" t="str">
        <f>[1]!EM_S_IPO_LISTEDDATE(B2772)</f>
        <v>2007-11-20</v>
      </c>
    </row>
    <row r="2773" spans="1:46">
      <c r="A2773">
        <v>704</v>
      </c>
      <c r="B2773" t="str">
        <f>"002193"</f>
        <v>002193</v>
      </c>
      <c r="C2773" t="s">
        <v>2779</v>
      </c>
      <c r="D2773" t="str">
        <f>[1]!EM_S_INFO_INDEX_EM(B2773,"1")</f>
        <v>纺织服装</v>
      </c>
      <c r="E2773" s="4">
        <f t="shared" si="43"/>
        <v>43465</v>
      </c>
      <c r="F2773" s="11">
        <f>[1]!EM_S_PQ_PCTCHANGE(B2773,"2018-01-01","2019-12-31","3")</f>
        <v>-51.672457399999999</v>
      </c>
      <c r="G2773" s="11">
        <f>[1]!EM_S_PQ_PCTCHANGE(B2773,"2018-12-31","2019-12-30","1")</f>
        <v>-10.38812785</v>
      </c>
      <c r="H2773" s="11">
        <f>[1]!EM_S_FA_YOY_OR(B2773,E2773)</f>
        <v>11.2823777218</v>
      </c>
      <c r="I2773" s="11">
        <f>[1]!EM_S_FA_GROSSPROFITMARGIN(B2773,E2773)</f>
        <v>24.702205660800001</v>
      </c>
      <c r="J2773" s="11">
        <f>[1]!EM_S_FA_NETPROFITMARGIN(B2773,E2773)</f>
        <v>8.4145058065999994</v>
      </c>
      <c r="K2773" s="10">
        <f>[1]!EM_S_FA_ASSETSTURN(B2773,E2773)</f>
        <v>0.28309227847500001</v>
      </c>
      <c r="L2773" s="12">
        <f>[1]!EM_HKS_VAL_MV(B2773,"2019-12-31","2")</f>
        <v>2057084223</v>
      </c>
      <c r="M2773">
        <f>[1]!EM_S_VAL_PETTMDEDUCTED(B2773,E2773)</f>
        <v>40.624740997428098</v>
      </c>
      <c r="N2773" s="7">
        <f>[1]!EM_S_VAL_PBGOODWILLDEDUCTED(B2773,E2773)</f>
        <v>0.87986863445974495</v>
      </c>
      <c r="O2773" s="7">
        <f>[1]!EM_S_VAL_PS_TTM(B2773,E2773)</f>
        <v>1.70128025923836</v>
      </c>
      <c r="P2773" s="7">
        <f>[1]!EM_S_VAL_PCF_NCFTTM(B2773,E2773)</f>
        <v>-11.342330732502001</v>
      </c>
      <c r="Q2773" s="7">
        <f>[1]!EM_S_VAL_DIVIDENDYIELD2(B2773,E2773,"2019-11-29")</f>
        <v>0.65189048239895697</v>
      </c>
      <c r="T2773"/>
      <c r="U2773">
        <f>[1]!EM_S_RATIO_EPS_TTM(B2773,E2773,"1")</f>
        <v>0.3783185690342053</v>
      </c>
      <c r="AT2773" s="4" t="str">
        <f>[1]!EM_S_IPO_LISTEDDATE(B2773)</f>
        <v>2007-12-07</v>
      </c>
    </row>
    <row r="2774" spans="1:46">
      <c r="A2774">
        <v>3578</v>
      </c>
      <c r="B2774" t="str">
        <f>"603880"</f>
        <v>603880</v>
      </c>
      <c r="C2774" t="s">
        <v>1187</v>
      </c>
      <c r="D2774" t="str">
        <f>[1]!EM_S_INFO_INDEX_EM(B2774,"1")</f>
        <v>医药生物</v>
      </c>
      <c r="E2774" s="4">
        <f t="shared" si="43"/>
        <v>43465</v>
      </c>
      <c r="F2774" s="11">
        <f>[1]!EM_S_PQ_PCTCHANGE(B2774,"2018-01-01","2019-12-31","3")</f>
        <v>-21.19007959</v>
      </c>
      <c r="G2774" s="11">
        <f>[1]!EM_S_PQ_PCTCHANGE(B2774,"2018-12-31","2019-12-30","1")</f>
        <v>-10.44650379</v>
      </c>
      <c r="H2774" s="11">
        <f>[1]!EM_S_FA_YOY_OR(B2774,E2774)</f>
        <v>-1.8180415716</v>
      </c>
      <c r="I2774" s="11">
        <f>[1]!EM_S_FA_GROSSPROFITMARGIN(B2774,E2774)</f>
        <v>23.457240357700002</v>
      </c>
      <c r="J2774" s="11">
        <f>[1]!EM_S_FA_NETPROFITMARGIN(B2774,E2774)</f>
        <v>7.6707274615000003</v>
      </c>
      <c r="K2774" s="10">
        <f>[1]!EM_S_FA_ASSETSTURN(B2774,E2774)</f>
        <v>0.57505981629000003</v>
      </c>
      <c r="L2774" s="12">
        <f>[1]!EM_HKS_VAL_MV(B2774,"2019-12-31","2")</f>
        <v>1975610000</v>
      </c>
      <c r="M2774">
        <f>[1]!EM_S_VAL_PETTMDEDUCTED(B2774,E2774)</f>
        <v>38.448322690340397</v>
      </c>
      <c r="N2774" s="7">
        <f>[1]!EM_S_VAL_PBGOODWILLDEDUCTED(B2774,E2774)</f>
        <v>2.7717431159894002</v>
      </c>
      <c r="O2774" s="7">
        <f>[1]!EM_S_VAL_PS_TTM(B2774,E2774)</f>
        <v>3.2238879260920599</v>
      </c>
      <c r="P2774" s="7">
        <f>[1]!EM_S_VAL_PCF_NCFTTM(B2774,E2774)</f>
        <v>-60.113953320414701</v>
      </c>
      <c r="Q2774" s="7">
        <f>[1]!EM_S_VAL_DIVIDENDYIELD2(B2774,E2774,"2019-11-29")</f>
        <v>1.3524936601859678</v>
      </c>
      <c r="T2774"/>
      <c r="U2774">
        <f>[1]!EM_S_RATIO_EPS_TTM(B2774,E2774,"1")</f>
        <v>0.30192399507692308</v>
      </c>
      <c r="AT2774" s="4" t="str">
        <f>[1]!EM_S_IPO_LISTEDDATE(B2774)</f>
        <v>2017-08-07</v>
      </c>
    </row>
    <row r="2775" spans="1:46">
      <c r="A2775">
        <v>1001</v>
      </c>
      <c r="B2775" t="str">
        <f>"002490"</f>
        <v>002490</v>
      </c>
      <c r="C2775" t="s">
        <v>2623</v>
      </c>
      <c r="D2775" t="str">
        <f>[1]!EM_S_INFO_INDEX_EM(B2775,"1")</f>
        <v>机械设备</v>
      </c>
      <c r="E2775" s="4">
        <f t="shared" si="43"/>
        <v>43465</v>
      </c>
      <c r="F2775" s="11">
        <f>[1]!EM_S_PQ_PCTCHANGE(B2775,"2018-01-01","2019-12-31","3")</f>
        <v>-22.81059063</v>
      </c>
      <c r="G2775" s="11">
        <f>[1]!EM_S_PQ_PCTCHANGE(B2775,"2018-12-31","2019-12-30","1")</f>
        <v>-10.451306410000001</v>
      </c>
      <c r="H2775" s="11">
        <f>[1]!EM_S_FA_YOY_OR(B2775,E2775)</f>
        <v>50.141295795799998</v>
      </c>
      <c r="I2775" s="11">
        <f>[1]!EM_S_FA_GROSSPROFITMARGIN(B2775,E2775)</f>
        <v>15.5330138713</v>
      </c>
      <c r="J2775" s="11">
        <f>[1]!EM_S_FA_NETPROFITMARGIN(B2775,E2775)</f>
        <v>2.3002274475000002</v>
      </c>
      <c r="K2775" s="10">
        <f>[1]!EM_S_FA_ASSETSTURN(B2775,E2775)</f>
        <v>0.69398238277099999</v>
      </c>
      <c r="L2775" s="12">
        <f>[1]!EM_HKS_VAL_MV(B2775,"2019-12-31","2")</f>
        <v>3023845436</v>
      </c>
      <c r="M2775">
        <f>[1]!EM_S_VAL_PETTMDEDUCTED(B2775,E2775)</f>
        <v>58.9620679415209</v>
      </c>
      <c r="N2775" s="7">
        <f>[1]!EM_S_VAL_PBGOODWILLDEDUCTED(B2775,E2775)</f>
        <v>1.7490772430636199</v>
      </c>
      <c r="O2775" s="7">
        <f>[1]!EM_S_VAL_PS_TTM(B2775,E2775)</f>
        <v>0.79908106253817801</v>
      </c>
      <c r="P2775" s="7">
        <f>[1]!EM_S_VAL_PCF_NCFTTM(B2775,E2775)</f>
        <v>10.610030493169701</v>
      </c>
      <c r="Q2775" s="7">
        <f>[1]!EM_S_VAL_DIVIDENDYIELD2(B2775,E2775,"2019-11-29")</f>
        <v>0</v>
      </c>
      <c r="T2775"/>
      <c r="U2775">
        <f>[1]!EM_S_RATIO_EPS_TTM(B2775,E2775,"1")</f>
        <v>0.11590720118007382</v>
      </c>
      <c r="AT2775" s="4" t="str">
        <f>[1]!EM_S_IPO_LISTEDDATE(B2775)</f>
        <v>2010-10-21</v>
      </c>
    </row>
    <row r="2776" spans="1:46">
      <c r="A2776">
        <v>1574</v>
      </c>
      <c r="B2776" t="str">
        <f>"300149"</f>
        <v>300149</v>
      </c>
      <c r="C2776" t="s">
        <v>1925</v>
      </c>
      <c r="D2776" t="str">
        <f>[1]!EM_S_INFO_INDEX_EM(B2776,"1")</f>
        <v>医药生物</v>
      </c>
      <c r="E2776" s="4">
        <f t="shared" si="43"/>
        <v>43465</v>
      </c>
      <c r="F2776" s="11">
        <f>[1]!EM_S_PQ_PCTCHANGE(B2776,"2018-01-01","2019-12-31","3")</f>
        <v>-13.03717149</v>
      </c>
      <c r="G2776" s="11">
        <f>[1]!EM_S_PQ_PCTCHANGE(B2776,"2018-12-31","2019-12-30","1")</f>
        <v>-10.45796309</v>
      </c>
      <c r="H2776" s="11">
        <f>[1]!EM_S_FA_YOY_OR(B2776,E2776)</f>
        <v>262.04910664200003</v>
      </c>
      <c r="I2776" s="11">
        <f>[1]!EM_S_FA_GROSSPROFITMARGIN(B2776,E2776)</f>
        <v>42.8325533732</v>
      </c>
      <c r="J2776" s="11">
        <f>[1]!EM_S_FA_NETPROFITMARGIN(B2776,E2776)</f>
        <v>16.042470291800001</v>
      </c>
      <c r="K2776" s="10">
        <f>[1]!EM_S_FA_ASSETSTURN(B2776,E2776)</f>
        <v>0.45408470590799999</v>
      </c>
      <c r="L2776" s="12">
        <f>[1]!EM_HKS_VAL_MV(B2776,"2019-12-31","2")</f>
        <v>6627041587.9200001</v>
      </c>
      <c r="M2776">
        <f>[1]!EM_S_VAL_PETTMDEDUCTED(B2776,E2776)</f>
        <v>65.459700883828205</v>
      </c>
      <c r="N2776" s="7">
        <f>[1]!EM_S_VAL_PBGOODWILLDEDUCTED(B2776,E2776)</f>
        <v>12.761063195570401</v>
      </c>
      <c r="O2776" s="7">
        <f>[1]!EM_S_VAL_PS_TTM(B2776,E2776)</f>
        <v>10.424339708724199</v>
      </c>
      <c r="P2776" s="7">
        <f>[1]!EM_S_VAL_PCF_NCFTTM(B2776,E2776)</f>
        <v>-28.126076403868598</v>
      </c>
      <c r="Q2776" s="7">
        <f>[1]!EM_S_VAL_DIVIDENDYIELD2(B2776,E2776,"2019-11-29")</f>
        <v>0.5251312828207052</v>
      </c>
      <c r="T2776"/>
      <c r="U2776">
        <f>[1]!EM_S_RATIO_EPS_TTM(B2776,E2776,"1")</f>
        <v>0.32229831432462469</v>
      </c>
      <c r="AT2776" s="4" t="str">
        <f>[1]!EM_S_IPO_LISTEDDATE(B2776)</f>
        <v>2010-12-22</v>
      </c>
    </row>
    <row r="2777" spans="1:46">
      <c r="A2777">
        <v>2568</v>
      </c>
      <c r="B2777" t="str">
        <f>"600482"</f>
        <v>600482</v>
      </c>
      <c r="C2777" t="s">
        <v>2432</v>
      </c>
      <c r="D2777" t="str">
        <f>[1]!EM_S_INFO_INDEX_EM(B2777,"1")</f>
        <v>国防与装备</v>
      </c>
      <c r="E2777" s="4">
        <f t="shared" si="43"/>
        <v>43465</v>
      </c>
      <c r="F2777" s="11">
        <f>[1]!EM_S_PQ_PCTCHANGE(B2777,"2018-01-01","2019-12-31","3")</f>
        <v>-18.471290490000001</v>
      </c>
      <c r="G2777" s="11">
        <f>[1]!EM_S_PQ_PCTCHANGE(B2777,"2018-12-31","2019-12-30","1")</f>
        <v>-10.462505609999999</v>
      </c>
      <c r="H2777" s="11">
        <f>[1]!EM_S_FA_YOY_OR(B2777,E2777)</f>
        <v>7.8105563154000004</v>
      </c>
      <c r="I2777" s="11">
        <f>[1]!EM_S_FA_GROSSPROFITMARGIN(B2777,E2777)</f>
        <v>16.3335135586</v>
      </c>
      <c r="J2777" s="11">
        <f>[1]!EM_S_FA_NETPROFITMARGIN(B2777,E2777)</f>
        <v>5.2576179015999998</v>
      </c>
      <c r="K2777" s="10">
        <f>[1]!EM_S_FA_ASSETSTURN(B2777,E2777)</f>
        <v>0.58504749093200004</v>
      </c>
      <c r="L2777" s="12">
        <f>[1]!EM_HKS_VAL_MV(B2777,"2019-12-31","2")</f>
        <v>33899919240</v>
      </c>
      <c r="M2777">
        <f>[1]!EM_S_VAL_PETTMDEDUCTED(B2777,E2777)</f>
        <v>36.043987556218298</v>
      </c>
      <c r="N2777" s="7">
        <f>[1]!EM_S_VAL_PBGOODWILLDEDUCTED(B2777,E2777)</f>
        <v>1.47440401901261</v>
      </c>
      <c r="O2777" s="7">
        <f>[1]!EM_S_VAL_PS_TTM(B2777,E2777)</f>
        <v>1.59078947451105</v>
      </c>
      <c r="P2777" s="7">
        <f>[1]!EM_S_VAL_PCF_NCFTTM(B2777,E2777)</f>
        <v>-32.485392091063602</v>
      </c>
      <c r="Q2777" s="7">
        <f>[1]!EM_S_VAL_DIVIDENDYIELD2(B2777,E2777,"2019-11-29")</f>
        <v>0</v>
      </c>
      <c r="T2777"/>
      <c r="U2777">
        <f>[1]!EM_S_RATIO_EPS_TTM(B2777,E2777,"1")</f>
        <v>0.78516103146527239</v>
      </c>
      <c r="AT2777" s="4" t="str">
        <f>[1]!EM_S_IPO_LISTEDDATE(B2777)</f>
        <v>2004-07-14</v>
      </c>
    </row>
    <row r="2778" spans="1:46">
      <c r="A2778">
        <v>3252</v>
      </c>
      <c r="B2778" t="str">
        <f>"603077"</f>
        <v>603077</v>
      </c>
      <c r="C2778" t="s">
        <v>2716</v>
      </c>
      <c r="D2778" t="str">
        <f>[1]!EM_S_INFO_INDEX_EM(B2778,"1")</f>
        <v>基础化工</v>
      </c>
      <c r="E2778" s="4">
        <f t="shared" si="43"/>
        <v>43465</v>
      </c>
      <c r="F2778" s="11">
        <f>[1]!EM_S_PQ_PCTCHANGE(B2778,"2018-01-01","2019-12-31","3")</f>
        <v>-25.144508779999999</v>
      </c>
      <c r="G2778" s="11">
        <f>[1]!EM_S_PQ_PCTCHANGE(B2778,"2018-12-31","2019-12-30","1")</f>
        <v>-10.49382716</v>
      </c>
      <c r="H2778" s="11">
        <f>[1]!EM_S_FA_YOY_OR(B2778,E2778)</f>
        <v>26.8355451907</v>
      </c>
      <c r="I2778" s="11">
        <f>[1]!EM_S_FA_GROSSPROFITMARGIN(B2778,E2778)</f>
        <v>22.103168333799999</v>
      </c>
      <c r="J2778" s="11">
        <f>[1]!EM_S_FA_NETPROFITMARGIN(B2778,E2778)</f>
        <v>4.9626221925999996</v>
      </c>
      <c r="K2778" s="10">
        <f>[1]!EM_S_FA_ASSETSTURN(B2778,E2778)</f>
        <v>0.45529828491899998</v>
      </c>
      <c r="L2778" s="12">
        <f>[1]!EM_HKS_VAL_MV(B2778,"2019-12-31","2")</f>
        <v>13070250337.440001</v>
      </c>
      <c r="M2778">
        <f>[1]!EM_S_VAL_PETTMDEDUCTED(B2778,E2778)</f>
        <v>23.129930882703299</v>
      </c>
      <c r="N2778" s="7">
        <f>[1]!EM_S_VAL_PBGOODWILLDEDUCTED(B2778,E2778)</f>
        <v>1.4929523891618</v>
      </c>
      <c r="O2778" s="7">
        <f>[1]!EM_S_VAL_PS_TTM(B2778,E2778)</f>
        <v>2.3885710424401099</v>
      </c>
      <c r="P2778" s="7">
        <f>[1]!EM_S_VAL_PCF_NCFTTM(B2778,E2778)</f>
        <v>20.223457023635099</v>
      </c>
      <c r="Q2778" s="7">
        <f>[1]!EM_S_VAL_DIVIDENDYIELD2(B2778,E2778,"2019-11-29")</f>
        <v>0</v>
      </c>
      <c r="T2778"/>
      <c r="U2778">
        <f>[1]!EM_S_RATIO_EPS_TTM(B2778,E2778,"1")</f>
        <v>4.1113919116322881E-2</v>
      </c>
      <c r="AT2778" s="4" t="str">
        <f>[1]!EM_S_IPO_LISTEDDATE(B2778)</f>
        <v>2012-07-31</v>
      </c>
    </row>
    <row r="2779" spans="1:46">
      <c r="A2779">
        <v>2514</v>
      </c>
      <c r="B2779" t="str">
        <f>"600398"</f>
        <v>600398</v>
      </c>
      <c r="C2779" t="s">
        <v>94</v>
      </c>
      <c r="D2779" t="str">
        <f>[1]!EM_S_INFO_INDEX_EM(B2779,"1")</f>
        <v>纺织服装</v>
      </c>
      <c r="E2779" s="4">
        <f t="shared" si="43"/>
        <v>43465</v>
      </c>
      <c r="F2779" s="11">
        <f>[1]!EM_S_PQ_PCTCHANGE(B2779,"2018-01-01","2019-12-31","3")</f>
        <v>-14.37164563</v>
      </c>
      <c r="G2779" s="11">
        <f>[1]!EM_S_PQ_PCTCHANGE(B2779,"2018-12-31","2019-12-30","1")</f>
        <v>-10.49528302</v>
      </c>
      <c r="H2779" s="11">
        <f>[1]!EM_S_FA_YOY_OR(B2779,E2779)</f>
        <v>4.8880905664999998</v>
      </c>
      <c r="I2779" s="11">
        <f>[1]!EM_S_FA_GROSSPROFITMARGIN(B2779,E2779)</f>
        <v>40.840047759199997</v>
      </c>
      <c r="J2779" s="11">
        <f>[1]!EM_S_FA_NETPROFITMARGIN(B2779,E2779)</f>
        <v>18.103593856700002</v>
      </c>
      <c r="K2779" s="10">
        <f>[1]!EM_S_FA_ASSETSTURN(B2779,E2779)</f>
        <v>0.69810993200399996</v>
      </c>
      <c r="L2779" s="12">
        <f>[1]!EM_HKS_VAL_MV(B2779,"2019-12-31","2")</f>
        <v>33945695854.080002</v>
      </c>
      <c r="M2779">
        <f>[1]!EM_S_VAL_PETTMDEDUCTED(B2779,E2779)</f>
        <v>11.480692165919701</v>
      </c>
      <c r="N2779" s="7">
        <f>[1]!EM_S_VAL_PBGOODWILLDEDUCTED(B2779,E2779)</f>
        <v>3.0986866290808299</v>
      </c>
      <c r="O2779" s="7">
        <f>[1]!EM_S_VAL_PS_TTM(B2779,E2779)</f>
        <v>2.0302739953748299</v>
      </c>
      <c r="P2779" s="7">
        <f>[1]!EM_S_VAL_PCF_NCFTTM(B2779,E2779)</f>
        <v>12.8502264877073</v>
      </c>
      <c r="Q2779" s="7">
        <f>[1]!EM_S_VAL_DIVIDENDYIELD2(B2779,E2779,"2019-11-29")</f>
        <v>5.0293952073469903</v>
      </c>
      <c r="T2779"/>
      <c r="U2779">
        <f>[1]!EM_S_RATIO_EPS_TTM(B2779,E2779,"1")</f>
        <v>0.76896513795787591</v>
      </c>
      <c r="AT2779" s="4" t="str">
        <f>[1]!EM_S_IPO_LISTEDDATE(B2779)</f>
        <v>2000-12-28</v>
      </c>
    </row>
    <row r="2780" spans="1:46">
      <c r="A2780">
        <v>2251</v>
      </c>
      <c r="B2780" t="str">
        <f>"600104"</f>
        <v>600104</v>
      </c>
      <c r="C2780" t="s">
        <v>426</v>
      </c>
      <c r="D2780" t="str">
        <f>[1]!EM_S_INFO_INDEX_EM(B2780,"1")</f>
        <v>交运设备</v>
      </c>
      <c r="E2780" s="4">
        <f t="shared" si="43"/>
        <v>43465</v>
      </c>
      <c r="F2780" s="11">
        <f>[1]!EM_S_PQ_PCTCHANGE(B2780,"2018-01-01","2019-12-31","3")</f>
        <v>-17.383781899999999</v>
      </c>
      <c r="G2780" s="11">
        <f>[1]!EM_S_PQ_PCTCHANGE(B2780,"2018-12-31","2019-12-30","1")</f>
        <v>-10.57367829</v>
      </c>
      <c r="H2780" s="11">
        <f>[1]!EM_S_FA_YOY_OR(B2780,E2780)</f>
        <v>3.4556246348999999</v>
      </c>
      <c r="I2780" s="11">
        <f>[1]!EM_S_FA_GROSSPROFITMARGIN(B2780,E2780)</f>
        <v>13.253369923399999</v>
      </c>
      <c r="J2780" s="11">
        <f>[1]!EM_S_FA_NETPROFITMARGIN(B2780,E2780)</f>
        <v>5.4532710958999999</v>
      </c>
      <c r="K2780" s="10">
        <f>[1]!EM_S_FA_ASSETSTURN(B2780,E2780)</f>
        <v>1.197891893</v>
      </c>
      <c r="L2780" s="12">
        <f>[1]!EM_HKS_VAL_MV(B2780,"2019-12-31","2")</f>
        <v>278650553555.25</v>
      </c>
      <c r="M2780">
        <f>[1]!EM_S_VAL_PETTMDEDUCTED(B2780,E2780)</f>
        <v>9.0636556491265008</v>
      </c>
      <c r="N2780" s="7">
        <f>[1]!EM_S_VAL_PBGOODWILLDEDUCTED(B2780,E2780)</f>
        <v>1.33797790667437</v>
      </c>
      <c r="O2780" s="7">
        <f>[1]!EM_S_VAL_PS_TTM(B2780,E2780)</f>
        <v>0.33243122185283502</v>
      </c>
      <c r="P2780" s="7">
        <f>[1]!EM_S_VAL_PCF_NCFTTM(B2780,E2780)</f>
        <v>-28.4483766861246</v>
      </c>
      <c r="Q2780" s="7">
        <f>[1]!EM_S_VAL_DIVIDENDYIELD2(B2780,E2780,"2019-11-29")</f>
        <v>5.419354838709677</v>
      </c>
      <c r="T2780"/>
      <c r="U2780">
        <f>[1]!EM_S_RATIO_EPS_TTM(B2780,E2780,"1")</f>
        <v>3.0820669884442249</v>
      </c>
      <c r="AT2780" s="4" t="str">
        <f>[1]!EM_S_IPO_LISTEDDATE(B2780)</f>
        <v>1997-11-25</v>
      </c>
    </row>
    <row r="2781" spans="1:46">
      <c r="A2781">
        <v>2765</v>
      </c>
      <c r="B2781" t="str">
        <f>"600692"</f>
        <v>600692</v>
      </c>
      <c r="C2781" t="s">
        <v>2097</v>
      </c>
      <c r="D2781" t="str">
        <f>[1]!EM_S_INFO_INDEX_EM(B2781,"1")</f>
        <v>房地产</v>
      </c>
      <c r="E2781" s="4">
        <f t="shared" si="43"/>
        <v>43465</v>
      </c>
      <c r="F2781" s="11">
        <f>[1]!EM_S_PQ_PCTCHANGE(B2781,"2018-01-01","2019-12-31","3")</f>
        <v>-36.1</v>
      </c>
      <c r="G2781" s="11">
        <f>[1]!EM_S_PQ_PCTCHANGE(B2781,"2018-12-31","2019-12-30","1")</f>
        <v>-10.608203680000001</v>
      </c>
      <c r="H2781" s="11">
        <f>[1]!EM_S_FA_YOY_OR(B2781,E2781)</f>
        <v>-39.535581720000003</v>
      </c>
      <c r="I2781" s="11">
        <f>[1]!EM_S_FA_GROSSPROFITMARGIN(B2781,E2781)</f>
        <v>20.661984020999999</v>
      </c>
      <c r="J2781" s="11">
        <f>[1]!EM_S_FA_NETPROFITMARGIN(B2781,E2781)</f>
        <v>7.0509441645999997</v>
      </c>
      <c r="K2781" s="10">
        <f>[1]!EM_S_FA_ASSETSTURN(B2781,E2781)</f>
        <v>0.36446947960699999</v>
      </c>
      <c r="L2781" s="12">
        <f>[1]!EM_HKS_VAL_MV(B2781,"2019-12-31","2")</f>
        <v>2247772368.96</v>
      </c>
      <c r="M2781">
        <f>[1]!EM_S_VAL_PETTMDEDUCTED(B2781,E2781)</f>
        <v>49.3604732999327</v>
      </c>
      <c r="N2781" s="7">
        <f>[1]!EM_S_VAL_PBGOODWILLDEDUCTED(B2781,E2781)</f>
        <v>3.4478521660508701</v>
      </c>
      <c r="O2781" s="7">
        <f>[1]!EM_S_VAL_PS_TTM(B2781,E2781)</f>
        <v>3.0568079691144399</v>
      </c>
      <c r="P2781" s="7">
        <f>[1]!EM_S_VAL_PCF_NCFTTM(B2781,E2781)</f>
        <v>-10.751311012001</v>
      </c>
      <c r="Q2781" s="7">
        <f>[1]!EM_S_VAL_DIVIDENDYIELD2(B2781,E2781,"2019-11-29")</f>
        <v>0</v>
      </c>
      <c r="T2781"/>
      <c r="U2781">
        <f>[1]!EM_S_RATIO_EPS_TTM(B2781,E2781,"1")</f>
        <v>0.1223281138234746</v>
      </c>
      <c r="AT2781" s="4" t="str">
        <f>[1]!EM_S_IPO_LISTEDDATE(B2781)</f>
        <v>1993-11-19</v>
      </c>
    </row>
    <row r="2782" spans="1:46">
      <c r="A2782">
        <v>3130</v>
      </c>
      <c r="B2782" t="str">
        <f>"601618"</f>
        <v>601618</v>
      </c>
      <c r="C2782" t="s">
        <v>1031</v>
      </c>
      <c r="D2782" t="str">
        <f>[1]!EM_S_INFO_INDEX_EM(B2782,"1")</f>
        <v>建筑</v>
      </c>
      <c r="E2782" s="4">
        <f t="shared" si="43"/>
        <v>43465</v>
      </c>
      <c r="F2782" s="11">
        <f>[1]!EM_S_PQ_PCTCHANGE(B2782,"2018-01-01","2019-12-31","3")</f>
        <v>-39.50122631</v>
      </c>
      <c r="G2782" s="11">
        <f>[1]!EM_S_PQ_PCTCHANGE(B2782,"2018-12-31","2019-12-30","1")</f>
        <v>-10.610932480000001</v>
      </c>
      <c r="H2782" s="11">
        <f>[1]!EM_S_FA_YOY_OR(B2782,E2782)</f>
        <v>18.661755893399999</v>
      </c>
      <c r="I2782" s="11">
        <f>[1]!EM_S_FA_GROSSPROFITMARGIN(B2782,E2782)</f>
        <v>12.576240174300001</v>
      </c>
      <c r="J2782" s="11">
        <f>[1]!EM_S_FA_NETPROFITMARGIN(B2782,E2782)</f>
        <v>2.6147510567999999</v>
      </c>
      <c r="K2782" s="10">
        <f>[1]!EM_S_FA_ASSETSTURN(B2782,E2782)</f>
        <v>0.67847911607400002</v>
      </c>
      <c r="L2782" s="12">
        <f>[1]!EM_HKS_VAL_MV(B2782,"2019-12-31","2")</f>
        <v>58026133676</v>
      </c>
      <c r="M2782">
        <f>[1]!EM_S_VAL_PETTMDEDUCTED(B2782,E2782)</f>
        <v>11.0162322254392</v>
      </c>
      <c r="N2782" s="7">
        <f>[1]!EM_S_VAL_PBGOODWILLDEDUCTED(B2782,E2782)</f>
        <v>0.94981368263328303</v>
      </c>
      <c r="O2782" s="7">
        <f>[1]!EM_S_VAL_PS_TTM(B2782,E2782)</f>
        <v>0.234877569679382</v>
      </c>
      <c r="P2782" s="7">
        <f>[1]!EM_S_VAL_PCF_NCFTTM(B2782,E2782)</f>
        <v>51.977473322881501</v>
      </c>
      <c r="Q2782" s="7">
        <f>[1]!EM_S_VAL_DIVIDENDYIELD2(B2782,E2782,"2019-11-29")</f>
        <v>2.6119402985074625</v>
      </c>
      <c r="T2782"/>
      <c r="U2782">
        <f>[1]!EM_S_RATIO_EPS_TTM(B2782,E2782,"1")</f>
        <v>0.30745498398386173</v>
      </c>
      <c r="AT2782" s="4" t="str">
        <f>[1]!EM_S_IPO_LISTEDDATE(B2782)</f>
        <v>2009-09-21</v>
      </c>
    </row>
    <row r="2783" spans="1:46">
      <c r="A2783">
        <v>1197</v>
      </c>
      <c r="B2783" t="str">
        <f>"002686"</f>
        <v>002686</v>
      </c>
      <c r="C2783" t="s">
        <v>1963</v>
      </c>
      <c r="D2783" t="str">
        <f>[1]!EM_S_INFO_INDEX_EM(B2783,"1")</f>
        <v>机械设备</v>
      </c>
      <c r="E2783" s="4">
        <f t="shared" si="43"/>
        <v>43465</v>
      </c>
      <c r="F2783" s="11">
        <f>[1]!EM_S_PQ_PCTCHANGE(B2783,"2018-01-01","2019-12-31","3")</f>
        <v>-49.644242290000001</v>
      </c>
      <c r="G2783" s="11">
        <f>[1]!EM_S_PQ_PCTCHANGE(B2783,"2018-12-31","2019-12-30","1")</f>
        <v>-10.6169297</v>
      </c>
      <c r="H2783" s="11">
        <f>[1]!EM_S_FA_YOY_OR(B2783,E2783)</f>
        <v>10.605546314</v>
      </c>
      <c r="I2783" s="11">
        <f>[1]!EM_S_FA_GROSSPROFITMARGIN(B2783,E2783)</f>
        <v>27.365718765299999</v>
      </c>
      <c r="J2783" s="11">
        <f>[1]!EM_S_FA_NETPROFITMARGIN(B2783,E2783)</f>
        <v>0.25879746770000001</v>
      </c>
      <c r="K2783" s="10">
        <f>[1]!EM_S_FA_ASSETSTURN(B2783,E2783)</f>
        <v>0.47933937342900002</v>
      </c>
      <c r="L2783" s="12">
        <f>[1]!EM_HKS_VAL_MV(B2783,"2019-12-31","2")</f>
        <v>2744081953.1999998</v>
      </c>
      <c r="M2783">
        <f>[1]!EM_S_VAL_PETTMDEDUCTED(B2783,E2783)</f>
        <v>30.615137810390699</v>
      </c>
      <c r="N2783" s="7">
        <f>[1]!EM_S_VAL_PBGOODWILLDEDUCTED(B2783,E2783)</f>
        <v>3.4465510011977498</v>
      </c>
      <c r="O2783" s="7">
        <f>[1]!EM_S_VAL_PS_TTM(B2783,E2783)</f>
        <v>2.06356996733544</v>
      </c>
      <c r="P2783" s="7">
        <f>[1]!EM_S_VAL_PCF_NCFTTM(B2783,E2783)</f>
        <v>20.950606290846</v>
      </c>
      <c r="Q2783" s="7">
        <f>[1]!EM_S_VAL_DIVIDENDYIELD2(B2783,E2783,"2019-11-29")</f>
        <v>0.33444816053511706</v>
      </c>
      <c r="T2783"/>
      <c r="U2783">
        <f>[1]!EM_S_RATIO_EPS_TTM(B2783,E2783,"1")</f>
        <v>5.809617900412449E-2</v>
      </c>
      <c r="AT2783" s="4" t="str">
        <f>[1]!EM_S_IPO_LISTEDDATE(B2783)</f>
        <v>2012-07-03</v>
      </c>
    </row>
    <row r="2784" spans="1:46">
      <c r="A2784">
        <v>1084</v>
      </c>
      <c r="B2784" t="str">
        <f>"002573"</f>
        <v>002573</v>
      </c>
      <c r="C2784" t="s">
        <v>942</v>
      </c>
      <c r="D2784" t="str">
        <f>[1]!EM_S_INFO_INDEX_EM(B2784,"1")</f>
        <v>公用事业</v>
      </c>
      <c r="E2784" s="4">
        <f t="shared" si="43"/>
        <v>43465</v>
      </c>
      <c r="F2784" s="11">
        <f>[1]!EM_S_PQ_PCTCHANGE(B2784,"2018-01-01","2019-12-31","3")</f>
        <v>-71.016422410000004</v>
      </c>
      <c r="G2784" s="11">
        <f>[1]!EM_S_PQ_PCTCHANGE(B2784,"2018-12-31","2019-12-30","1")</f>
        <v>-10.664819939999999</v>
      </c>
      <c r="H2784" s="11">
        <f>[1]!EM_S_FA_YOY_OR(B2784,E2784)</f>
        <v>-0.15860660739999999</v>
      </c>
      <c r="I2784" s="11">
        <f>[1]!EM_S_FA_GROSSPROFITMARGIN(B2784,E2784)</f>
        <v>28.673348517000001</v>
      </c>
      <c r="J2784" s="11">
        <f>[1]!EM_S_FA_NETPROFITMARGIN(B2784,E2784)</f>
        <v>13.8497808864</v>
      </c>
      <c r="K2784" s="10">
        <f>[1]!EM_S_FA_ASSETSTURN(B2784,E2784)</f>
        <v>0.34959289014400002</v>
      </c>
      <c r="L2784" s="12">
        <f>[1]!EM_HKS_VAL_MV(B2784,"2019-12-31","2")</f>
        <v>6974205045</v>
      </c>
      <c r="M2784">
        <f>[1]!EM_S_VAL_PETTMDEDUCTED(B2784,E2784)</f>
        <v>16.0702647582205</v>
      </c>
      <c r="N2784" s="7">
        <f>[1]!EM_S_VAL_PBGOODWILLDEDUCTED(B2784,E2784)</f>
        <v>1.71208872932662</v>
      </c>
      <c r="O2784" s="7">
        <f>[1]!EM_S_VAL_PS_TTM(B2784,E2784)</f>
        <v>1.8468610950123101</v>
      </c>
      <c r="P2784" s="7">
        <f>[1]!EM_S_VAL_PCF_NCFTTM(B2784,E2784)</f>
        <v>-403.86444188396399</v>
      </c>
      <c r="Q2784" s="7">
        <f>[1]!EM_S_VAL_DIVIDENDYIELD2(B2784,E2784,"2019-11-29")</f>
        <v>1.6233766233766231</v>
      </c>
      <c r="T2784"/>
      <c r="U2784">
        <f>[1]!EM_S_RATIO_EPS_TTM(B2784,E2784,"1")</f>
        <v>0.48546298531146787</v>
      </c>
      <c r="AT2784" s="4" t="str">
        <f>[1]!EM_S_IPO_LISTEDDATE(B2784)</f>
        <v>2011-04-22</v>
      </c>
    </row>
    <row r="2785" spans="1:46">
      <c r="A2785">
        <v>3489</v>
      </c>
      <c r="B2785" t="str">
        <f>"603677"</f>
        <v>603677</v>
      </c>
      <c r="C2785" t="s">
        <v>1308</v>
      </c>
      <c r="D2785" t="str">
        <f>[1]!EM_S_INFO_INDEX_EM(B2785,"1")</f>
        <v>家电</v>
      </c>
      <c r="E2785" s="4">
        <f t="shared" si="43"/>
        <v>43465</v>
      </c>
      <c r="F2785" s="11">
        <f>[1]!EM_S_PQ_PCTCHANGE(B2785,"2018-01-01","2019-12-31","3")</f>
        <v>-25.574005469999999</v>
      </c>
      <c r="G2785" s="11">
        <f>[1]!EM_S_PQ_PCTCHANGE(B2785,"2018-12-31","2019-12-30","1")</f>
        <v>-10.696338839999999</v>
      </c>
      <c r="H2785" s="11">
        <f>[1]!EM_S_FA_YOY_OR(B2785,E2785)</f>
        <v>6.8899598490000002</v>
      </c>
      <c r="I2785" s="11">
        <f>[1]!EM_S_FA_GROSSPROFITMARGIN(B2785,E2785)</f>
        <v>17.440541081500001</v>
      </c>
      <c r="J2785" s="11">
        <f>[1]!EM_S_FA_NETPROFITMARGIN(B2785,E2785)</f>
        <v>5.6246253193999998</v>
      </c>
      <c r="K2785" s="10">
        <f>[1]!EM_S_FA_ASSETSTURN(B2785,E2785)</f>
        <v>0.81326299217700004</v>
      </c>
      <c r="L2785" s="12">
        <f>[1]!EM_HKS_VAL_MV(B2785,"2019-12-31","2")</f>
        <v>2418681830.3400002</v>
      </c>
      <c r="M2785">
        <f>[1]!EM_S_VAL_PETTMDEDUCTED(B2785,E2785)</f>
        <v>35.039244840898697</v>
      </c>
      <c r="N2785" s="7">
        <f>[1]!EM_S_VAL_PBGOODWILLDEDUCTED(B2785,E2785)</f>
        <v>2.8341752177141601</v>
      </c>
      <c r="O2785" s="7">
        <f>[1]!EM_S_VAL_PS_TTM(B2785,E2785)</f>
        <v>2.0341656322594299</v>
      </c>
      <c r="P2785" s="7">
        <f>[1]!EM_S_VAL_PCF_NCFTTM(B2785,E2785)</f>
        <v>217.395388135167</v>
      </c>
      <c r="Q2785" s="7">
        <f>[1]!EM_S_VAL_DIVIDENDYIELD2(B2785,E2785,"2019-11-29")</f>
        <v>1.6763060539206696</v>
      </c>
      <c r="T2785"/>
      <c r="U2785">
        <f>[1]!EM_S_RATIO_EPS_TTM(B2785,E2785,"1")</f>
        <v>0.396087799787877</v>
      </c>
      <c r="AT2785" s="4" t="str">
        <f>[1]!EM_S_IPO_LISTEDDATE(B2785)</f>
        <v>2017-02-06</v>
      </c>
    </row>
    <row r="2786" spans="1:46">
      <c r="A2786">
        <v>1862</v>
      </c>
      <c r="B2786" t="str">
        <f>"300437"</f>
        <v>300437</v>
      </c>
      <c r="C2786" t="s">
        <v>614</v>
      </c>
      <c r="D2786" t="str">
        <f>[1]!EM_S_INFO_INDEX_EM(B2786,"1")</f>
        <v>基础化工</v>
      </c>
      <c r="E2786" s="4">
        <f t="shared" si="43"/>
        <v>43465</v>
      </c>
      <c r="F2786" s="11">
        <f>[1]!EM_S_PQ_PCTCHANGE(B2786,"2018-01-01","2019-12-31","3")</f>
        <v>-32.160212280000003</v>
      </c>
      <c r="G2786" s="11">
        <f>[1]!EM_S_PQ_PCTCHANGE(B2786,"2018-12-31","2019-12-30","1")</f>
        <v>-10.70205479</v>
      </c>
      <c r="H2786" s="11">
        <f>[1]!EM_S_FA_YOY_OR(B2786,E2786)</f>
        <v>103.54851965349999</v>
      </c>
      <c r="I2786" s="11">
        <f>[1]!EM_S_FA_GROSSPROFITMARGIN(B2786,E2786)</f>
        <v>37.175171837000001</v>
      </c>
      <c r="J2786" s="11">
        <f>[1]!EM_S_FA_NETPROFITMARGIN(B2786,E2786)</f>
        <v>16.610820216499999</v>
      </c>
      <c r="K2786" s="10">
        <f>[1]!EM_S_FA_ASSETSTURN(B2786,E2786)</f>
        <v>0.48922328226799999</v>
      </c>
      <c r="L2786" s="12">
        <f>[1]!EM_HKS_VAL_MV(B2786,"2019-12-31","2")</f>
        <v>2281495967.8499999</v>
      </c>
      <c r="M2786">
        <f>[1]!EM_S_VAL_PETTMDEDUCTED(B2786,E2786)</f>
        <v>11.4097389018984</v>
      </c>
      <c r="N2786" s="7">
        <f>[1]!EM_S_VAL_PBGOODWILLDEDUCTED(B2786,E2786)</f>
        <v>3.05144602910618</v>
      </c>
      <c r="O2786" s="7">
        <f>[1]!EM_S_VAL_PS_TTM(B2786,E2786)</f>
        <v>1.7071405941136399</v>
      </c>
      <c r="P2786" s="7">
        <f>[1]!EM_S_VAL_PCF_NCFTTM(B2786,E2786)</f>
        <v>-51.352674064996002</v>
      </c>
      <c r="Q2786" s="7">
        <f>[1]!EM_S_VAL_DIVIDENDYIELD2(B2786,E2786,"2019-11-29")</f>
        <v>2.2885572139303481</v>
      </c>
      <c r="T2786"/>
      <c r="U2786">
        <f>[1]!EM_S_RATIO_EPS_TTM(B2786,E2786,"1")</f>
        <v>1.1314137915074189</v>
      </c>
      <c r="AT2786" s="4" t="str">
        <f>[1]!EM_S_IPO_LISTEDDATE(B2786)</f>
        <v>2015-04-23</v>
      </c>
    </row>
    <row r="2787" spans="1:46">
      <c r="A2787">
        <v>3285</v>
      </c>
      <c r="B2787" t="str">
        <f>"603136"</f>
        <v>603136</v>
      </c>
      <c r="C2787" t="s">
        <v>1162</v>
      </c>
      <c r="D2787" t="str">
        <f>[1]!EM_S_INFO_INDEX_EM(B2787,"1")</f>
        <v>休闲、生活及专业服务</v>
      </c>
      <c r="E2787" s="4">
        <f t="shared" si="43"/>
        <v>43465</v>
      </c>
      <c r="F2787" s="11">
        <f>[1]!EM_S_PQ_PCTCHANGE(B2787,"2018-01-01","2019-12-31","3")</f>
        <v>-5.9420835299999997</v>
      </c>
      <c r="G2787" s="11">
        <f>[1]!EM_S_PQ_PCTCHANGE(B2787,"2018-12-31","2019-12-30","1")</f>
        <v>-10.70576202</v>
      </c>
      <c r="H2787" s="11">
        <f>[1]!EM_S_FA_YOY_OR(B2787,E2787)</f>
        <v>6.2390537760000004</v>
      </c>
      <c r="I2787" s="11">
        <f>[1]!EM_S_FA_GROSSPROFITMARGIN(B2787,E2787)</f>
        <v>62.103559582000003</v>
      </c>
      <c r="J2787" s="11">
        <f>[1]!EM_S_FA_NETPROFITMARGIN(B2787,E2787)</f>
        <v>24.119033525900001</v>
      </c>
      <c r="K2787" s="10">
        <f>[1]!EM_S_FA_ASSETSTURN(B2787,E2787)</f>
        <v>0.43847493223200001</v>
      </c>
      <c r="L2787" s="12">
        <f>[1]!EM_HKS_VAL_MV(B2787,"2019-12-31","2")</f>
        <v>3087920000</v>
      </c>
      <c r="M2787">
        <f>[1]!EM_S_VAL_PETTMDEDUCTED(B2787,E2787)</f>
        <v>24.276486687267301</v>
      </c>
      <c r="N2787" s="7">
        <f>[1]!EM_S_VAL_PBGOODWILLDEDUCTED(B2787,E2787)</f>
        <v>2.84196951796944</v>
      </c>
      <c r="O2787" s="7">
        <f>[1]!EM_S_VAL_PS_TTM(B2787,E2787)</f>
        <v>4.9178338761960703</v>
      </c>
      <c r="P2787" s="7">
        <f>[1]!EM_S_VAL_PCF_NCFTTM(B2787,E2787)</f>
        <v>-14.9763039613446</v>
      </c>
      <c r="Q2787" s="7">
        <f>[1]!EM_S_VAL_DIVIDENDYIELD2(B2787,E2787,"2019-11-29")</f>
        <v>2.1391289466929067</v>
      </c>
      <c r="T2787"/>
      <c r="U2787">
        <f>[1]!EM_S_RATIO_EPS_TTM(B2787,E2787,"1")</f>
        <v>1.290126243125</v>
      </c>
      <c r="AT2787" s="4" t="str">
        <f>[1]!EM_S_IPO_LISTEDDATE(B2787)</f>
        <v>2017-09-27</v>
      </c>
    </row>
    <row r="2788" spans="1:46">
      <c r="A2788">
        <v>3197</v>
      </c>
      <c r="B2788" t="str">
        <f>"601997"</f>
        <v>601997</v>
      </c>
      <c r="C2788" t="s">
        <v>357</v>
      </c>
      <c r="D2788" t="str">
        <f>[1]!EM_S_INFO_INDEX_EM(B2788,"1")</f>
        <v>金融</v>
      </c>
      <c r="E2788" s="4">
        <f t="shared" si="43"/>
        <v>43465</v>
      </c>
      <c r="F2788" s="11">
        <f>[1]!EM_S_PQ_PCTCHANGE(B2788,"2018-01-01","2019-12-31","3")</f>
        <v>6.20411322</v>
      </c>
      <c r="G2788" s="11">
        <f>[1]!EM_S_PQ_PCTCHANGE(B2788,"2018-12-31","2019-12-30","1")</f>
        <v>-10.76779026</v>
      </c>
      <c r="H2788" s="11">
        <f>[1]!EM_S_FA_YOY_OR(B2788,E2788)</f>
        <v>1.3485750045</v>
      </c>
      <c r="I2788" s="11">
        <f>[1]!EM_S_FA_GROSSPROFITMARGIN(B2788,E2788)</f>
        <v>0</v>
      </c>
      <c r="J2788" s="11">
        <f>[1]!EM_S_FA_NETPROFITMARGIN(B2788,E2788)</f>
        <v>41.348830125100001</v>
      </c>
      <c r="K2788" s="10">
        <f>[1]!EM_S_FA_ASSETSTURN(B2788,E2788)</f>
        <v>0</v>
      </c>
      <c r="L2788" s="12">
        <f>[1]!EM_HKS_VAL_MV(B2788,"2019-12-31","2")</f>
        <v>30764353989.599998</v>
      </c>
      <c r="M2788">
        <f>[1]!EM_S_VAL_PETTMDEDUCTED(B2788,E2788)</f>
        <v>4.8829847123293098</v>
      </c>
      <c r="N2788" s="7">
        <f>[1]!EM_S_VAL_PBGOODWILLDEDUCTED(B2788,E2788)</f>
        <v>0.82277954638362005</v>
      </c>
      <c r="O2788" s="7">
        <f>[1]!EM_S_VAL_PS_TTM(B2788,E2788)</f>
        <v>1.9442573665721701</v>
      </c>
      <c r="P2788" s="7">
        <f>[1]!EM_S_VAL_PCF_NCFTTM(B2788,E2788)</f>
        <v>-12.7963878214935</v>
      </c>
      <c r="Q2788" s="7">
        <f>[1]!EM_S_VAL_DIVIDENDYIELD2(B2788,E2788,"2019-11-29")</f>
        <v>3.1022180859314412</v>
      </c>
      <c r="T2788"/>
      <c r="U2788">
        <f>[1]!EM_S_RATIO_EPS_TTM(B2788,E2788,"1")</f>
        <v>2.2349669813071209</v>
      </c>
      <c r="AT2788" s="4" t="str">
        <f>[1]!EM_S_IPO_LISTEDDATE(B2788)</f>
        <v>2016-08-16</v>
      </c>
    </row>
    <row r="2789" spans="1:46">
      <c r="A2789">
        <v>1612</v>
      </c>
      <c r="B2789" t="str">
        <f>"300187"</f>
        <v>300187</v>
      </c>
      <c r="C2789" t="s">
        <v>2170</v>
      </c>
      <c r="D2789" t="str">
        <f>[1]!EM_S_INFO_INDEX_EM(B2789,"1")</f>
        <v>公用事业</v>
      </c>
      <c r="E2789" s="4">
        <f t="shared" si="43"/>
        <v>43465</v>
      </c>
      <c r="F2789" s="11">
        <f>[1]!EM_S_PQ_PCTCHANGE(B2789,"2018-01-01","2019-12-31","3")</f>
        <v>-57.900200079999998</v>
      </c>
      <c r="G2789" s="11">
        <f>[1]!EM_S_PQ_PCTCHANGE(B2789,"2018-12-31","2019-12-30","1")</f>
        <v>-10.76923077</v>
      </c>
      <c r="H2789" s="11">
        <f>[1]!EM_S_FA_YOY_OR(B2789,E2789)</f>
        <v>-22.608891562699998</v>
      </c>
      <c r="I2789" s="11">
        <f>[1]!EM_S_FA_GROSSPROFITMARGIN(B2789,E2789)</f>
        <v>20.6231198923</v>
      </c>
      <c r="J2789" s="11">
        <f>[1]!EM_S_FA_NETPROFITMARGIN(B2789,E2789)</f>
        <v>-18.203679885</v>
      </c>
      <c r="K2789" s="10">
        <f>[1]!EM_S_FA_ASSETSTURN(B2789,E2789)</f>
        <v>0.29160532493699998</v>
      </c>
      <c r="L2789" s="12">
        <f>[1]!EM_HKS_VAL_MV(B2789,"2019-12-31","2")</f>
        <v>3029150775.5</v>
      </c>
      <c r="M2789">
        <f>[1]!EM_S_VAL_PETTMDEDUCTED(B2789,E2789)</f>
        <v>42.759339534382498</v>
      </c>
      <c r="N2789" s="7">
        <f>[1]!EM_S_VAL_PBGOODWILLDEDUCTED(B2789,E2789)</f>
        <v>2.3856509792979401</v>
      </c>
      <c r="O2789" s="7">
        <f>[1]!EM_S_VAL_PS_TTM(B2789,E2789)</f>
        <v>3.0376494163967802</v>
      </c>
      <c r="P2789" s="7">
        <f>[1]!EM_S_VAL_PCF_NCFTTM(B2789,E2789)</f>
        <v>-9.5340110135872997</v>
      </c>
      <c r="Q2789" s="7">
        <f>[1]!EM_S_VAL_DIVIDENDYIELD2(B2789,E2789,"2019-11-29")</f>
        <v>0</v>
      </c>
      <c r="T2789"/>
      <c r="U2789">
        <f>[1]!EM_S_RATIO_EPS_TTM(B2789,E2789,"1")</f>
        <v>-0.25708311411350288</v>
      </c>
      <c r="AT2789" s="4" t="str">
        <f>[1]!EM_S_IPO_LISTEDDATE(B2789)</f>
        <v>2011-03-08</v>
      </c>
    </row>
    <row r="2790" spans="1:46">
      <c r="A2790">
        <v>1573</v>
      </c>
      <c r="B2790" t="str">
        <f>"300148"</f>
        <v>300148</v>
      </c>
      <c r="C2790" t="s">
        <v>1776</v>
      </c>
      <c r="D2790" t="str">
        <f>[1]!EM_S_INFO_INDEX_EM(B2790,"1")</f>
        <v>互联网</v>
      </c>
      <c r="E2790" s="4">
        <f t="shared" si="43"/>
        <v>43465</v>
      </c>
      <c r="F2790" s="11">
        <f>[1]!EM_S_PQ_PCTCHANGE(B2790,"2018-01-01","2019-12-31","3")</f>
        <v>-51.847242119999997</v>
      </c>
      <c r="G2790" s="11">
        <f>[1]!EM_S_PQ_PCTCHANGE(B2790,"2018-12-31","2019-12-30","1")</f>
        <v>-10.78651685</v>
      </c>
      <c r="H2790" s="11">
        <f>[1]!EM_S_FA_YOY_OR(B2790,E2790)</f>
        <v>20.2752310873</v>
      </c>
      <c r="I2790" s="11">
        <f>[1]!EM_S_FA_GROSSPROFITMARGIN(B2790,E2790)</f>
        <v>38.641373961100001</v>
      </c>
      <c r="J2790" s="11">
        <f>[1]!EM_S_FA_NETPROFITMARGIN(B2790,E2790)</f>
        <v>-96.610534487699994</v>
      </c>
      <c r="K2790" s="10">
        <f>[1]!EM_S_FA_ASSETSTURN(B2790,E2790)</f>
        <v>0.26232059311799999</v>
      </c>
      <c r="L2790" s="12">
        <f>[1]!EM_HKS_VAL_MV(B2790,"2019-12-31","2")</f>
        <v>3329041717.2399998</v>
      </c>
      <c r="M2790">
        <f>[1]!EM_S_VAL_PETTMDEDUCTED(B2790,E2790)</f>
        <v>36.862703497490102</v>
      </c>
      <c r="N2790" s="7">
        <f>[1]!EM_S_VAL_PBGOODWILLDEDUCTED(B2790,E2790)</f>
        <v>2.7206853486626099</v>
      </c>
      <c r="O2790" s="7">
        <f>[1]!EM_S_VAL_PS_TTM(B2790,E2790)</f>
        <v>3.4027473894415001</v>
      </c>
      <c r="P2790" s="7">
        <f>[1]!EM_S_VAL_PCF_NCFTTM(B2790,E2790)</f>
        <v>-7.4767530043948502</v>
      </c>
      <c r="Q2790" s="7">
        <f>[1]!EM_S_VAL_DIVIDENDYIELD2(B2790,E2790,"2019-11-29")</f>
        <v>0</v>
      </c>
      <c r="T2790"/>
      <c r="U2790">
        <f>[1]!EM_S_RATIO_EPS_TTM(B2790,E2790,"1")</f>
        <v>-1.2849186825790744</v>
      </c>
      <c r="AT2790" s="4" t="str">
        <f>[1]!EM_S_IPO_LISTEDDATE(B2790)</f>
        <v>2010-12-15</v>
      </c>
    </row>
    <row r="2791" spans="1:46">
      <c r="A2791">
        <v>2247</v>
      </c>
      <c r="B2791" t="str">
        <f>"600100"</f>
        <v>600100</v>
      </c>
      <c r="C2791" t="s">
        <v>3385</v>
      </c>
      <c r="D2791" t="str">
        <f>[1]!EM_S_INFO_INDEX_EM(B2791,"1")</f>
        <v>信息技术</v>
      </c>
      <c r="E2791" s="4">
        <f t="shared" si="43"/>
        <v>43465</v>
      </c>
      <c r="F2791" s="11">
        <f>[1]!EM_S_PQ_PCTCHANGE(B2791,"2018-01-01","2019-12-31","3")</f>
        <v>-10.40954024</v>
      </c>
      <c r="G2791" s="11">
        <f>[1]!EM_S_PQ_PCTCHANGE(B2791,"2018-12-31","2019-12-30","1")</f>
        <v>-10.791366910000001</v>
      </c>
      <c r="H2791" s="11">
        <f>[1]!EM_S_FA_YOY_OR(B2791,E2791)</f>
        <v>-4.4495519887999997</v>
      </c>
      <c r="I2791" s="11">
        <f>[1]!EM_S_FA_GROSSPROFITMARGIN(B2791,E2791)</f>
        <v>20.562147489899999</v>
      </c>
      <c r="J2791" s="11">
        <f>[1]!EM_S_FA_NETPROFITMARGIN(B2791,E2791)</f>
        <v>-14.0778250094</v>
      </c>
      <c r="K2791" s="10">
        <f>[1]!EM_S_FA_ASSETSTURN(B2791,E2791)</f>
        <v>0.39044121459199999</v>
      </c>
      <c r="L2791" s="12">
        <f>[1]!EM_HKS_VAL_MV(B2791,"2019-12-31","2")</f>
        <v>25993393800.27</v>
      </c>
      <c r="M2791">
        <f>[1]!EM_S_VAL_PETTMDEDUCTED(B2791,E2791)</f>
        <v>-61.690935253909302</v>
      </c>
      <c r="N2791" s="7">
        <f>[1]!EM_S_VAL_PBGOODWILLDEDUCTED(B2791,E2791)</f>
        <v>1.8206206392720801</v>
      </c>
      <c r="O2791" s="7">
        <f>[1]!EM_S_VAL_PS_TTM(B2791,E2791)</f>
        <v>1.1050495976050201</v>
      </c>
      <c r="P2791" s="7">
        <f>[1]!EM_S_VAL_PCF_NCFTTM(B2791,E2791)</f>
        <v>76.182136775081901</v>
      </c>
      <c r="Q2791" s="7">
        <f>[1]!EM_S_VAL_DIVIDENDYIELD2(B2791,E2791,"2019-11-29")</f>
        <v>0</v>
      </c>
      <c r="T2791"/>
      <c r="U2791">
        <f>[1]!EM_S_RATIO_EPS_TTM(B2791,E2791,"1")</f>
        <v>-1.3090112032196608</v>
      </c>
      <c r="AT2791" s="4" t="str">
        <f>[1]!EM_S_IPO_LISTEDDATE(B2791)</f>
        <v>1997-06-27</v>
      </c>
    </row>
    <row r="2792" spans="1:46">
      <c r="A2792">
        <v>2171</v>
      </c>
      <c r="B2792" t="str">
        <f>"600010"</f>
        <v>600010</v>
      </c>
      <c r="C2792" t="s">
        <v>1976</v>
      </c>
      <c r="D2792" t="str">
        <f>[1]!EM_S_INFO_INDEX_EM(B2792,"1")</f>
        <v>钢铁</v>
      </c>
      <c r="E2792" s="4">
        <f t="shared" si="43"/>
        <v>43465</v>
      </c>
      <c r="F2792" s="11">
        <f>[1]!EM_S_PQ_PCTCHANGE(B2792,"2018-01-01","2019-12-31","3")</f>
        <v>-46.006097570000001</v>
      </c>
      <c r="G2792" s="11">
        <f>[1]!EM_S_PQ_PCTCHANGE(B2792,"2018-12-31","2019-12-30","1")</f>
        <v>-10.81081081</v>
      </c>
      <c r="H2792" s="11">
        <f>[1]!EM_S_FA_YOY_OR(B2792,E2792)</f>
        <v>25.1544162838</v>
      </c>
      <c r="I2792" s="11">
        <f>[1]!EM_S_FA_GROSSPROFITMARGIN(B2792,E2792)</f>
        <v>15.7212633575</v>
      </c>
      <c r="J2792" s="11">
        <f>[1]!EM_S_FA_NETPROFITMARGIN(B2792,E2792)</f>
        <v>4.9556147346000001</v>
      </c>
      <c r="K2792" s="10">
        <f>[1]!EM_S_FA_ASSETSTURN(B2792,E2792)</f>
        <v>0.45482564269100001</v>
      </c>
      <c r="L2792" s="12">
        <f>[1]!EM_HKS_VAL_MV(B2792,"2019-12-31","2")</f>
        <v>60172243095.360001</v>
      </c>
      <c r="M2792">
        <f>[1]!EM_S_VAL_PETTMDEDUCTED(B2792,E2792)</f>
        <v>22.948474482357401</v>
      </c>
      <c r="N2792" s="7">
        <f>[1]!EM_S_VAL_PBGOODWILLDEDUCTED(B2792,E2792)</f>
        <v>1.2858240696572301</v>
      </c>
      <c r="O2792" s="7">
        <f>[1]!EM_S_VAL_PS_TTM(B2792,E2792)</f>
        <v>1.0059234121094101</v>
      </c>
      <c r="P2792" s="7">
        <f>[1]!EM_S_VAL_PCF_NCFTTM(B2792,E2792)</f>
        <v>78.949532869203694</v>
      </c>
      <c r="Q2792" s="7">
        <f>[1]!EM_S_VAL_DIVIDENDYIELD2(B2792,E2792,"2019-11-29")</f>
        <v>0.54687500000000011</v>
      </c>
      <c r="T2792"/>
      <c r="U2792">
        <f>[1]!EM_S_RATIO_EPS_TTM(B2792,E2792,"1")</f>
        <v>7.2913446053127412E-2</v>
      </c>
      <c r="AT2792" s="4" t="str">
        <f>[1]!EM_S_IPO_LISTEDDATE(B2792)</f>
        <v>2001-03-09</v>
      </c>
    </row>
    <row r="2793" spans="1:46">
      <c r="A2793">
        <v>2115</v>
      </c>
      <c r="B2793" t="str">
        <f>"300698"</f>
        <v>300698</v>
      </c>
      <c r="C2793" t="s">
        <v>3280</v>
      </c>
      <c r="D2793" t="str">
        <f>[1]!EM_S_INFO_INDEX_EM(B2793,"1")</f>
        <v>信息技术</v>
      </c>
      <c r="E2793" s="4">
        <f t="shared" si="43"/>
        <v>43465</v>
      </c>
      <c r="F2793" s="11">
        <f>[1]!EM_S_PQ_PCTCHANGE(B2793,"2018-01-01","2019-12-31","3")</f>
        <v>-38.809411330000003</v>
      </c>
      <c r="G2793" s="11">
        <f>[1]!EM_S_PQ_PCTCHANGE(B2793,"2018-12-31","2019-12-30","1")</f>
        <v>-10.86121777</v>
      </c>
      <c r="H2793" s="11">
        <f>[1]!EM_S_FA_YOY_OR(B2793,E2793)</f>
        <v>-12.5012847449</v>
      </c>
      <c r="I2793" s="11">
        <f>[1]!EM_S_FA_GROSSPROFITMARGIN(B2793,E2793)</f>
        <v>31.783867793799999</v>
      </c>
      <c r="J2793" s="11">
        <f>[1]!EM_S_FA_NETPROFITMARGIN(B2793,E2793)</f>
        <v>1.4357201851000001</v>
      </c>
      <c r="K2793" s="10">
        <f>[1]!EM_S_FA_ASSETSTURN(B2793,E2793)</f>
        <v>0.496520772158</v>
      </c>
      <c r="L2793" s="12">
        <f>[1]!EM_HKS_VAL_MV(B2793,"2019-12-31","2")</f>
        <v>2178840000</v>
      </c>
      <c r="M2793">
        <f>[1]!EM_S_VAL_PETTMDEDUCTED(B2793,E2793)</f>
        <v>-573.97181813457598</v>
      </c>
      <c r="N2793" s="7">
        <f>[1]!EM_S_VAL_PBGOODWILLDEDUCTED(B2793,E2793)</f>
        <v>6.4182424824378597</v>
      </c>
      <c r="O2793" s="7">
        <f>[1]!EM_S_VAL_PS_TTM(B2793,E2793)</f>
        <v>8.9459359468523001</v>
      </c>
      <c r="P2793" s="7">
        <f>[1]!EM_S_VAL_PCF_NCFTTM(B2793,E2793)</f>
        <v>-13.7262497005706</v>
      </c>
      <c r="Q2793" s="7">
        <f>[1]!EM_S_VAL_DIVIDENDYIELD2(B2793,E2793,"2019-11-29")</f>
        <v>0</v>
      </c>
      <c r="T2793"/>
      <c r="U2793">
        <f>[1]!EM_S_RATIO_EPS_TTM(B2793,E2793,"1")</f>
        <v>3.1987510746268662E-2</v>
      </c>
      <c r="AT2793" s="4" t="str">
        <f>[1]!EM_S_IPO_LISTEDDATE(B2793)</f>
        <v>2017-08-31</v>
      </c>
    </row>
    <row r="2794" spans="1:46">
      <c r="A2794">
        <v>418</v>
      </c>
      <c r="B2794" t="str">
        <f>"000887"</f>
        <v>000887</v>
      </c>
      <c r="C2794" t="s">
        <v>308</v>
      </c>
      <c r="D2794" t="str">
        <f>[1]!EM_S_INFO_INDEX_EM(B2794,"1")</f>
        <v>交运设备</v>
      </c>
      <c r="E2794" s="4">
        <f t="shared" si="43"/>
        <v>43465</v>
      </c>
      <c r="F2794" s="11">
        <f>[1]!EM_S_PQ_PCTCHANGE(B2794,"2018-01-01","2019-12-31","3")</f>
        <v>-48.06010938</v>
      </c>
      <c r="G2794" s="11">
        <f>[1]!EM_S_PQ_PCTCHANGE(B2794,"2018-12-31","2019-12-30","1")</f>
        <v>-10.86956522</v>
      </c>
      <c r="H2794" s="11">
        <f>[1]!EM_S_FA_YOY_OR(B2794,E2794)</f>
        <v>5.0750564509</v>
      </c>
      <c r="I2794" s="11">
        <f>[1]!EM_S_FA_GROSSPROFITMARGIN(B2794,E2794)</f>
        <v>27.351311222700001</v>
      </c>
      <c r="J2794" s="11">
        <f>[1]!EM_S_FA_NETPROFITMARGIN(B2794,E2794)</f>
        <v>9.2005748711000006</v>
      </c>
      <c r="K2794" s="10">
        <f>[1]!EM_S_FA_ASSETSTURN(B2794,E2794)</f>
        <v>0.78719236405699999</v>
      </c>
      <c r="L2794" s="12">
        <f>[1]!EM_HKS_VAL_MV(B2794,"2019-12-31","2")</f>
        <v>11048429570.35</v>
      </c>
      <c r="M2794">
        <f>[1]!EM_S_VAL_PETTMDEDUCTED(B2794,E2794)</f>
        <v>11.3607023524402</v>
      </c>
      <c r="N2794" s="7">
        <f>[1]!EM_S_VAL_PBGOODWILLDEDUCTED(B2794,E2794)</f>
        <v>2.2045147761660999</v>
      </c>
      <c r="O2794" s="7">
        <f>[1]!EM_S_VAL_PS_TTM(B2794,E2794)</f>
        <v>0.97442082695810595</v>
      </c>
      <c r="P2794" s="7">
        <f>[1]!EM_S_VAL_PCF_NCFTTM(B2794,E2794)</f>
        <v>22.627266941102398</v>
      </c>
      <c r="Q2794" s="7">
        <f>[1]!EM_S_VAL_DIVIDENDYIELD2(B2794,E2794,"2019-11-29")</f>
        <v>2.4752470138154012</v>
      </c>
      <c r="T2794"/>
      <c r="U2794">
        <f>[1]!EM_S_RATIO_EPS_TTM(B2794,E2794,"1")</f>
        <v>0.91450224155263438</v>
      </c>
      <c r="AT2794" s="4" t="str">
        <f>[1]!EM_S_IPO_LISTEDDATE(B2794)</f>
        <v>1998-12-03</v>
      </c>
    </row>
    <row r="2795" spans="1:46">
      <c r="A2795">
        <v>3201</v>
      </c>
      <c r="B2795" t="str">
        <f>"603001"</f>
        <v>603001</v>
      </c>
      <c r="C2795" t="s">
        <v>862</v>
      </c>
      <c r="D2795" t="str">
        <f>[1]!EM_S_INFO_INDEX_EM(B2795,"1")</f>
        <v>纺织服装</v>
      </c>
      <c r="E2795" s="4">
        <f t="shared" si="43"/>
        <v>43465</v>
      </c>
      <c r="F2795" s="11">
        <f>[1]!EM_S_PQ_PCTCHANGE(B2795,"2018-01-01","2019-12-31","3")</f>
        <v>-33.741864280000001</v>
      </c>
      <c r="G2795" s="11">
        <f>[1]!EM_S_PQ_PCTCHANGE(B2795,"2018-12-31","2019-12-30","1")</f>
        <v>-10.880316519999999</v>
      </c>
      <c r="H2795" s="11">
        <f>[1]!EM_S_FA_YOY_OR(B2795,E2795)</f>
        <v>-6.7003736925000004</v>
      </c>
      <c r="I2795" s="11">
        <f>[1]!EM_S_FA_GROSSPROFITMARGIN(B2795,E2795)</f>
        <v>35.737016305099999</v>
      </c>
      <c r="J2795" s="11">
        <f>[1]!EM_S_FA_NETPROFITMARGIN(B2795,E2795)</f>
        <v>4.4784912796</v>
      </c>
      <c r="K2795" s="10">
        <f>[1]!EM_S_FA_ASSETSTURN(B2795,E2795)</f>
        <v>0.59600940037299999</v>
      </c>
      <c r="L2795" s="12">
        <f>[1]!EM_HKS_VAL_MV(B2795,"2019-12-31","2")</f>
        <v>3608820000</v>
      </c>
      <c r="M2795">
        <f>[1]!EM_S_VAL_PETTMDEDUCTED(B2795,E2795)</f>
        <v>25.666441024859299</v>
      </c>
      <c r="N2795" s="7">
        <f>[1]!EM_S_VAL_PBGOODWILLDEDUCTED(B2795,E2795)</f>
        <v>1.0227483680535101</v>
      </c>
      <c r="O2795" s="7">
        <f>[1]!EM_S_VAL_PS_TTM(B2795,E2795)</f>
        <v>1.27884368016678</v>
      </c>
      <c r="P2795" s="7">
        <f>[1]!EM_S_VAL_PCF_NCFTTM(B2795,E2795)</f>
        <v>11.4929570633496</v>
      </c>
      <c r="Q2795" s="7">
        <f>[1]!EM_S_VAL_DIVIDENDYIELD2(B2795,E2795,"2019-11-29")</f>
        <v>3.4285714285714288</v>
      </c>
      <c r="T2795"/>
      <c r="U2795">
        <f>[1]!EM_S_RATIO_EPS_TTM(B2795,E2795,"1")</f>
        <v>0.34152948700683322</v>
      </c>
      <c r="AT2795" s="4" t="str">
        <f>[1]!EM_S_IPO_LISTEDDATE(B2795)</f>
        <v>2012-04-26</v>
      </c>
    </row>
    <row r="2796" spans="1:46">
      <c r="A2796">
        <v>1315</v>
      </c>
      <c r="B2796" t="str">
        <f>"002811"</f>
        <v>002811</v>
      </c>
      <c r="C2796" t="s">
        <v>1801</v>
      </c>
      <c r="D2796" t="str">
        <f>[1]!EM_S_INFO_INDEX_EM(B2796,"1")</f>
        <v>建筑</v>
      </c>
      <c r="E2796" s="4">
        <f t="shared" si="43"/>
        <v>43465</v>
      </c>
      <c r="F2796" s="11">
        <f>[1]!EM_S_PQ_PCTCHANGE(B2796,"2018-01-01","2019-12-31","3")</f>
        <v>-18.809356770000001</v>
      </c>
      <c r="G2796" s="11">
        <f>[1]!EM_S_PQ_PCTCHANGE(B2796,"2018-12-31","2019-12-30","1")</f>
        <v>-10.88888889</v>
      </c>
      <c r="H2796" s="11">
        <f>[1]!EM_S_FA_YOY_OR(B2796,E2796)</f>
        <v>26.055144095900001</v>
      </c>
      <c r="I2796" s="11">
        <f>[1]!EM_S_FA_GROSSPROFITMARGIN(B2796,E2796)</f>
        <v>21.9676024135</v>
      </c>
      <c r="J2796" s="11">
        <f>[1]!EM_S_FA_NETPROFITMARGIN(B2796,E2796)</f>
        <v>4.9650244058000004</v>
      </c>
      <c r="K2796" s="10">
        <f>[1]!EM_S_FA_ASSETSTURN(B2796,E2796)</f>
        <v>0.85701445796300002</v>
      </c>
      <c r="L2796" s="12">
        <f>[1]!EM_HKS_VAL_MV(B2796,"2019-12-31","2")</f>
        <v>2867447232.4499998</v>
      </c>
      <c r="M2796">
        <f>[1]!EM_S_VAL_PETTMDEDUCTED(B2796,E2796)</f>
        <v>29.398030957777198</v>
      </c>
      <c r="N2796" s="7">
        <f>[1]!EM_S_VAL_PBGOODWILLDEDUCTED(B2796,E2796)</f>
        <v>2.3125774136475798</v>
      </c>
      <c r="O2796" s="7">
        <f>[1]!EM_S_VAL_PS_TTM(B2796,E2796)</f>
        <v>1.5714218087787899</v>
      </c>
      <c r="P2796" s="7">
        <f>[1]!EM_S_VAL_PCF_NCFTTM(B2796,E2796)</f>
        <v>502.19332780922701</v>
      </c>
      <c r="Q2796" s="7">
        <f>[1]!EM_S_VAL_DIVIDENDYIELD2(B2796,E2796,"2019-11-29")</f>
        <v>1.3175230566534915</v>
      </c>
      <c r="T2796"/>
      <c r="U2796">
        <f>[1]!EM_S_RATIO_EPS_TTM(B2796,E2796,"1")</f>
        <v>0.63466818261111113</v>
      </c>
      <c r="AT2796" s="4" t="str">
        <f>[1]!EM_S_IPO_LISTEDDATE(B2796)</f>
        <v>2016-09-08</v>
      </c>
    </row>
    <row r="2797" spans="1:46">
      <c r="A2797">
        <v>454</v>
      </c>
      <c r="B2797" t="str">
        <f>"000930"</f>
        <v>000930</v>
      </c>
      <c r="C2797" t="s">
        <v>916</v>
      </c>
      <c r="D2797" t="str">
        <f>[1]!EM_S_INFO_INDEX_EM(B2797,"1")</f>
        <v>农林牧渔</v>
      </c>
      <c r="E2797" s="4">
        <f t="shared" si="43"/>
        <v>43465</v>
      </c>
      <c r="F2797" s="11">
        <f>[1]!EM_S_PQ_PCTCHANGE(B2797,"2018-01-01","2019-12-31","3")</f>
        <v>-50.392096019999997</v>
      </c>
      <c r="G2797" s="11">
        <f>[1]!EM_S_PQ_PCTCHANGE(B2797,"2018-12-31","2019-12-30","1")</f>
        <v>-10.916442050000001</v>
      </c>
      <c r="H2797" s="11">
        <f>[1]!EM_S_FA_YOY_OR(B2797,E2797)</f>
        <v>11.401694574</v>
      </c>
      <c r="I2797" s="11">
        <f>[1]!EM_S_FA_GROSSPROFITMARGIN(B2797,E2797)</f>
        <v>16.383246645300002</v>
      </c>
      <c r="J2797" s="11">
        <f>[1]!EM_S_FA_NETPROFITMARGIN(B2797,E2797)</f>
        <v>2.9223347881000001</v>
      </c>
      <c r="K2797" s="10">
        <f>[1]!EM_S_FA_ASSETSTURN(B2797,E2797)</f>
        <v>1.3492064853750001</v>
      </c>
      <c r="L2797" s="12">
        <f>[1]!EM_HKS_VAL_MV(B2797,"2019-12-31","2")</f>
        <v>12194452888.200001</v>
      </c>
      <c r="M2797">
        <f>[1]!EM_S_VAL_PETTMDEDUCTED(B2797,E2797)</f>
        <v>40.474347429293402</v>
      </c>
      <c r="N2797" s="7">
        <f>[1]!EM_S_VAL_PBGOODWILLDEDUCTED(B2797,E2797)</f>
        <v>1.5473422076032199</v>
      </c>
      <c r="O2797" s="7">
        <f>[1]!EM_S_VAL_PS_TTM(B2797,E2797)</f>
        <v>2.0462394021875401</v>
      </c>
      <c r="P2797" s="7">
        <f>[1]!EM_S_VAL_PCF_NCFTTM(B2797,E2797)</f>
        <v>-87.166872845984898</v>
      </c>
      <c r="Q2797" s="7">
        <f>[1]!EM_S_VAL_DIVIDENDYIELD2(B2797,E2797,"2019-11-29")</f>
        <v>0.39370078740157477</v>
      </c>
      <c r="T2797"/>
      <c r="U2797">
        <f>[1]!EM_S_RATIO_EPS_TTM(B2797,E2797,"1")</f>
        <v>0.26143696032799929</v>
      </c>
      <c r="AT2797" s="4" t="str">
        <f>[1]!EM_S_IPO_LISTEDDATE(B2797)</f>
        <v>1999-07-12</v>
      </c>
    </row>
    <row r="2798" spans="1:46">
      <c r="A2798">
        <v>628</v>
      </c>
      <c r="B2798" t="str">
        <f>"002117"</f>
        <v>002117</v>
      </c>
      <c r="C2798" t="s">
        <v>513</v>
      </c>
      <c r="D2798" t="str">
        <f>[1]!EM_S_INFO_INDEX_EM(B2798,"1")</f>
        <v>轻工制造</v>
      </c>
      <c r="E2798" s="4">
        <f t="shared" si="43"/>
        <v>43465</v>
      </c>
      <c r="F2798" s="11">
        <f>[1]!EM_S_PQ_PCTCHANGE(B2798,"2018-01-01","2019-12-31","3")</f>
        <v>2.1489747700000001</v>
      </c>
      <c r="G2798" s="11">
        <f>[1]!EM_S_PQ_PCTCHANGE(B2798,"2018-12-31","2019-12-30","1")</f>
        <v>-10.9540636</v>
      </c>
      <c r="H2798" s="11">
        <f>[1]!EM_S_FA_YOY_OR(B2798,E2798)</f>
        <v>8.1251650744999999</v>
      </c>
      <c r="I2798" s="11">
        <f>[1]!EM_S_FA_GROSSPROFITMARGIN(B2798,E2798)</f>
        <v>38.948035653600002</v>
      </c>
      <c r="J2798" s="11">
        <f>[1]!EM_S_FA_NETPROFITMARGIN(B2798,E2798)</f>
        <v>16.6695194152</v>
      </c>
      <c r="K2798" s="10">
        <f>[1]!EM_S_FA_ASSETSTURN(B2798,E2798)</f>
        <v>0.679477325001</v>
      </c>
      <c r="L2798" s="12">
        <f>[1]!EM_HKS_VAL_MV(B2798,"2019-12-31","2")</f>
        <v>6793546941.4499998</v>
      </c>
      <c r="M2798">
        <f>[1]!EM_S_VAL_PETTMDEDUCTED(B2798,E2798)</f>
        <v>21.554837762715302</v>
      </c>
      <c r="N2798" s="7">
        <f>[1]!EM_S_VAL_PBGOODWILLDEDUCTED(B2798,E2798)</f>
        <v>3.1693272291925898</v>
      </c>
      <c r="O2798" s="7">
        <f>[1]!EM_S_VAL_PS_TTM(B2798,E2798)</f>
        <v>3.3185747547434898</v>
      </c>
      <c r="P2798" s="7">
        <f>[1]!EM_S_VAL_PCF_NCFTTM(B2798,E2798)</f>
        <v>26.829401034968399</v>
      </c>
      <c r="Q2798" s="7">
        <f>[1]!EM_S_VAL_DIVIDENDYIELD2(B2798,E2798,"2019-11-29")</f>
        <v>4.1481481481481479</v>
      </c>
      <c r="T2798"/>
      <c r="U2798">
        <f>[1]!EM_S_RATIO_EPS_TTM(B2798,E2798,"1")</f>
        <v>0.70583673856852558</v>
      </c>
      <c r="AT2798" s="4" t="str">
        <f>[1]!EM_S_IPO_LISTEDDATE(B2798)</f>
        <v>2007-03-02</v>
      </c>
    </row>
    <row r="2799" spans="1:46">
      <c r="A2799">
        <v>856</v>
      </c>
      <c r="B2799" t="str">
        <f>"002345"</f>
        <v>002345</v>
      </c>
      <c r="C2799" t="s">
        <v>961</v>
      </c>
      <c r="D2799" t="str">
        <f>[1]!EM_S_INFO_INDEX_EM(B2799,"1")</f>
        <v>轻工制造</v>
      </c>
      <c r="E2799" s="4">
        <f t="shared" si="43"/>
        <v>43465</v>
      </c>
      <c r="F2799" s="11">
        <f>[1]!EM_S_PQ_PCTCHANGE(B2799,"2018-01-01","2019-12-31","3")</f>
        <v>-62.096933489999998</v>
      </c>
      <c r="G2799" s="11">
        <f>[1]!EM_S_PQ_PCTCHANGE(B2799,"2018-12-31","2019-12-30","1")</f>
        <v>-10.96196868</v>
      </c>
      <c r="H2799" s="11">
        <f>[1]!EM_S_FA_YOY_OR(B2799,E2799)</f>
        <v>5.2440615531999999</v>
      </c>
      <c r="I2799" s="11">
        <f>[1]!EM_S_FA_GROSSPROFITMARGIN(B2799,E2799)</f>
        <v>39.335690342299998</v>
      </c>
      <c r="J2799" s="11">
        <f>[1]!EM_S_FA_NETPROFITMARGIN(B2799,E2799)</f>
        <v>2.2096191316999998</v>
      </c>
      <c r="K2799" s="10">
        <f>[1]!EM_S_FA_ASSETSTURN(B2799,E2799)</f>
        <v>0.59785000402199995</v>
      </c>
      <c r="L2799" s="12">
        <f>[1]!EM_HKS_VAL_MV(B2799,"2019-12-31","2")</f>
        <v>3648813209.21</v>
      </c>
      <c r="M2799">
        <f>[1]!EM_S_VAL_PETTMDEDUCTED(B2799,E2799)</f>
        <v>16.285973113489</v>
      </c>
      <c r="N2799" s="7">
        <f>[1]!EM_S_VAL_PBGOODWILLDEDUCTED(B2799,E2799)</f>
        <v>1.72387295215065</v>
      </c>
      <c r="O2799" s="7">
        <f>[1]!EM_S_VAL_PS_TTM(B2799,E2799)</f>
        <v>1.2592739550930301</v>
      </c>
      <c r="P2799" s="7">
        <f>[1]!EM_S_VAL_PCF_NCFTTM(B2799,E2799)</f>
        <v>128.28795137123501</v>
      </c>
      <c r="Q2799" s="7">
        <f>[1]!EM_S_VAL_DIVIDENDYIELD2(B2799,E2799,"2019-11-29")</f>
        <v>0</v>
      </c>
      <c r="T2799"/>
      <c r="U2799">
        <f>[1]!EM_S_RATIO_EPS_TTM(B2799,E2799,"1")</f>
        <v>7.8466845661356505E-2</v>
      </c>
      <c r="AT2799" s="4" t="str">
        <f>[1]!EM_S_IPO_LISTEDDATE(B2799)</f>
        <v>2010-01-28</v>
      </c>
    </row>
    <row r="2800" spans="1:46">
      <c r="A2800">
        <v>2420</v>
      </c>
      <c r="B2800" t="str">
        <f>"600291"</f>
        <v>600291</v>
      </c>
      <c r="C2800" t="s">
        <v>1614</v>
      </c>
      <c r="D2800" t="str">
        <f>[1]!EM_S_INFO_INDEX_EM(B2800,"1")</f>
        <v>金融</v>
      </c>
      <c r="E2800" s="4">
        <f t="shared" si="43"/>
        <v>43465</v>
      </c>
      <c r="F2800" s="11">
        <f>[1]!EM_S_PQ_PCTCHANGE(B2800,"2018-01-01","2019-12-31","3")</f>
        <v>-61.622945100000003</v>
      </c>
      <c r="G2800" s="11">
        <f>[1]!EM_S_PQ_PCTCHANGE(B2800,"2018-12-31","2019-12-30","1")</f>
        <v>-10.981535470000001</v>
      </c>
      <c r="H2800" s="11">
        <f>[1]!EM_S_FA_YOY_OR(B2800,E2800)</f>
        <v>-23.2462300324</v>
      </c>
      <c r="I2800" s="11">
        <f>[1]!EM_S_FA_GROSSPROFITMARGIN(B2800,E2800)</f>
        <v>0</v>
      </c>
      <c r="J2800" s="11">
        <f>[1]!EM_S_FA_NETPROFITMARGIN(B2800,E2800)</f>
        <v>1.9004988997000001</v>
      </c>
      <c r="K2800" s="10">
        <f>[1]!EM_S_FA_ASSETSTURN(B2800,E2800)</f>
        <v>0</v>
      </c>
      <c r="L2800" s="12">
        <f>[1]!EM_HKS_VAL_MV(B2800,"2019-12-31","2")</f>
        <v>9826648758.2199993</v>
      </c>
      <c r="M2800">
        <f>[1]!EM_S_VAL_PETTMDEDUCTED(B2800,E2800)</f>
        <v>93.758176956695706</v>
      </c>
      <c r="N2800" s="7">
        <f>[1]!EM_S_VAL_PBGOODWILLDEDUCTED(B2800,E2800)</f>
        <v>0.96048378796872003</v>
      </c>
      <c r="O2800" s="7">
        <f>[1]!EM_S_VAL_PS_TTM(B2800,E2800)</f>
        <v>0.43554839377226101</v>
      </c>
      <c r="P2800" s="7">
        <f>[1]!EM_S_VAL_PCF_NCFTTM(B2800,E2800)</f>
        <v>-1.3782209210245899</v>
      </c>
      <c r="Q2800" s="7">
        <f>[1]!EM_S_VAL_DIVIDENDYIELD2(B2800,E2800,"2019-11-29")</f>
        <v>0.19464720194647203</v>
      </c>
      <c r="T2800"/>
      <c r="U2800">
        <f>[1]!EM_S_RATIO_EPS_TTM(B2800,E2800,"1")</f>
        <v>0.34546915370249126</v>
      </c>
      <c r="AT2800" s="4" t="str">
        <f>[1]!EM_S_IPO_LISTEDDATE(B2800)</f>
        <v>2000-07-31</v>
      </c>
    </row>
    <row r="2801" spans="1:46">
      <c r="A2801">
        <v>2433</v>
      </c>
      <c r="B2801" t="str">
        <f>"600306"</f>
        <v>600306</v>
      </c>
      <c r="C2801" t="s">
        <v>3657</v>
      </c>
      <c r="D2801" t="str">
        <f>[1]!EM_S_INFO_INDEX_EM(B2801,"1")</f>
        <v>商贸零售</v>
      </c>
      <c r="E2801" s="4">
        <f t="shared" si="43"/>
        <v>43465</v>
      </c>
      <c r="F2801" s="11">
        <f>[1]!EM_S_PQ_PCTCHANGE(B2801,"2018-01-01","2019-12-31","3")</f>
        <v>-47.846012829999999</v>
      </c>
      <c r="G2801" s="11">
        <f>[1]!EM_S_PQ_PCTCHANGE(B2801,"2018-12-31","2019-12-30","1")</f>
        <v>-11.00628931</v>
      </c>
      <c r="H2801" s="11">
        <f>[1]!EM_S_FA_YOY_OR(B2801,E2801)</f>
        <v>8.0673272777000005</v>
      </c>
      <c r="I2801" s="11">
        <f>[1]!EM_S_FA_GROSSPROFITMARGIN(B2801,E2801)</f>
        <v>15.9258197816</v>
      </c>
      <c r="J2801" s="11">
        <f>[1]!EM_S_FA_NETPROFITMARGIN(B2801,E2801)</f>
        <v>-12.8059612617</v>
      </c>
      <c r="K2801" s="10">
        <f>[1]!EM_S_FA_ASSETSTURN(B2801,E2801)</f>
        <v>0.627469068558</v>
      </c>
      <c r="L2801" s="12">
        <f>[1]!EM_HKS_VAL_MV(B2801,"2019-12-31","2")</f>
        <v>1013610443.42</v>
      </c>
      <c r="M2801">
        <f>[1]!EM_S_VAL_PETTMDEDUCTED(B2801,E2801)</f>
        <v>-9.9939171751912301</v>
      </c>
      <c r="N2801" s="7">
        <f>[1]!EM_S_VAL_PBGOODWILLDEDUCTED(B2801,E2801)</f>
        <v>52.283518953539598</v>
      </c>
      <c r="O2801" s="7">
        <f>[1]!EM_S_VAL_PS_TTM(B2801,E2801)</f>
        <v>1.1402507371555399</v>
      </c>
      <c r="P2801" s="7">
        <f>[1]!EM_S_VAL_PCF_NCFTTM(B2801,E2801)</f>
        <v>-200.62420866739799</v>
      </c>
      <c r="Q2801" s="7">
        <f>[1]!EM_S_VAL_DIVIDENDYIELD2(B2801,E2801,"2019-11-29")</f>
        <v>0</v>
      </c>
      <c r="T2801"/>
      <c r="U2801">
        <f>[1]!EM_S_RATIO_EPS_TTM(B2801,E2801,"1")</f>
        <v>-0.71665752000357386</v>
      </c>
      <c r="AT2801" s="4" t="str">
        <f>[1]!EM_S_IPO_LISTEDDATE(B2801)</f>
        <v>2000-12-26</v>
      </c>
    </row>
    <row r="2802" spans="1:46">
      <c r="A2802">
        <v>3355</v>
      </c>
      <c r="B2802" t="str">
        <f>"603319"</f>
        <v>603319</v>
      </c>
      <c r="C2802" t="s">
        <v>538</v>
      </c>
      <c r="D2802" t="str">
        <f>[1]!EM_S_INFO_INDEX_EM(B2802,"1")</f>
        <v>交运设备</v>
      </c>
      <c r="E2802" s="4">
        <f t="shared" si="43"/>
        <v>43465</v>
      </c>
      <c r="F2802" s="11">
        <f>[1]!EM_S_PQ_PCTCHANGE(B2802,"2018-01-01","2019-12-31","3")</f>
        <v>-19.539923850000001</v>
      </c>
      <c r="G2802" s="11">
        <f>[1]!EM_S_PQ_PCTCHANGE(B2802,"2018-12-31","2019-12-30","1")</f>
        <v>-11.017786559999999</v>
      </c>
      <c r="H2802" s="11">
        <f>[1]!EM_S_FA_YOY_OR(B2802,E2802)</f>
        <v>11.136597053699999</v>
      </c>
      <c r="I2802" s="11">
        <f>[1]!EM_S_FA_GROSSPROFITMARGIN(B2802,E2802)</f>
        <v>31.341610039799999</v>
      </c>
      <c r="J2802" s="11">
        <f>[1]!EM_S_FA_NETPROFITMARGIN(B2802,E2802)</f>
        <v>10.7343991282</v>
      </c>
      <c r="K2802" s="10">
        <f>[1]!EM_S_FA_ASSETSTURN(B2802,E2802)</f>
        <v>0.733682081672</v>
      </c>
      <c r="L2802" s="12">
        <f>[1]!EM_HKS_VAL_MV(B2802,"2019-12-31","2")</f>
        <v>1877737745</v>
      </c>
      <c r="M2802">
        <f>[1]!EM_S_VAL_PETTMDEDUCTED(B2802,E2802)</f>
        <v>17.8631473274401</v>
      </c>
      <c r="N2802" s="7">
        <f>[1]!EM_S_VAL_PBGOODWILLDEDUCTED(B2802,E2802)</f>
        <v>2.1839410946384601</v>
      </c>
      <c r="O2802" s="7">
        <f>[1]!EM_S_VAL_PS_TTM(B2802,E2802)</f>
        <v>1.8271812246333701</v>
      </c>
      <c r="P2802" s="7">
        <f>[1]!EM_S_VAL_PCF_NCFTTM(B2802,E2802)</f>
        <v>32.305071004947003</v>
      </c>
      <c r="Q2802" s="7">
        <f>[1]!EM_S_VAL_DIVIDENDYIELD2(B2802,E2802,"2019-11-29")</f>
        <v>1.7488619885343288</v>
      </c>
      <c r="T2802"/>
      <c r="U2802">
        <f>[1]!EM_S_RATIO_EPS_TTM(B2802,E2802,"1")</f>
        <v>1.2000337168808701</v>
      </c>
      <c r="AT2802" s="4" t="str">
        <f>[1]!EM_S_IPO_LISTEDDATE(B2802)</f>
        <v>2016-11-30</v>
      </c>
    </row>
    <row r="2803" spans="1:46">
      <c r="A2803">
        <v>381</v>
      </c>
      <c r="B2803" t="str">
        <f>"000826"</f>
        <v>000826</v>
      </c>
      <c r="C2803" t="s">
        <v>1492</v>
      </c>
      <c r="D2803" t="str">
        <f>[1]!EM_S_INFO_INDEX_EM(B2803,"1")</f>
        <v>公用事业</v>
      </c>
      <c r="E2803" s="4">
        <f t="shared" si="43"/>
        <v>43465</v>
      </c>
      <c r="F2803" s="11">
        <f>[1]!EM_S_PQ_PCTCHANGE(B2803,"2018-01-01","2019-12-31","3")</f>
        <v>-60.43170284</v>
      </c>
      <c r="G2803" s="11">
        <f>[1]!EM_S_PQ_PCTCHANGE(B2803,"2018-12-31","2019-12-30","1")</f>
        <v>-11.06833494</v>
      </c>
      <c r="H2803" s="11">
        <f>[1]!EM_S_FA_YOY_OR(B2803,E2803)</f>
        <v>17.475194109499999</v>
      </c>
      <c r="I2803" s="11">
        <f>[1]!EM_S_FA_GROSSPROFITMARGIN(B2803,E2803)</f>
        <v>27.689032027700001</v>
      </c>
      <c r="J2803" s="11">
        <f>[1]!EM_S_FA_NETPROFITMARGIN(B2803,E2803)</f>
        <v>6.2705702947999997</v>
      </c>
      <c r="K2803" s="10">
        <f>[1]!EM_S_FA_ASSETSTURN(B2803,E2803)</f>
        <v>0.30009683838099999</v>
      </c>
      <c r="L2803" s="12">
        <f>[1]!EM_HKS_VAL_MV(B2803,"2019-12-31","2")</f>
        <v>13132713237.120001</v>
      </c>
      <c r="M2803">
        <f>[1]!EM_S_VAL_PETTMDEDUCTED(B2803,E2803)</f>
        <v>12.157236310622601</v>
      </c>
      <c r="N2803" s="7">
        <f>[1]!EM_S_VAL_PBGOODWILLDEDUCTED(B2803,E2803)</f>
        <v>1.22517795747189</v>
      </c>
      <c r="O2803" s="7">
        <f>[1]!EM_S_VAL_PS_TTM(B2803,E2803)</f>
        <v>1.31394618479666</v>
      </c>
      <c r="P2803" s="7">
        <f>[1]!EM_S_VAL_PCF_NCFTTM(B2803,E2803)</f>
        <v>-3.3914882858450399</v>
      </c>
      <c r="Q2803" s="7">
        <f>[1]!EM_S_VAL_DIVIDENDYIELD2(B2803,E2803,"2019-11-29")</f>
        <v>0.3504672897196261</v>
      </c>
      <c r="T2803"/>
      <c r="U2803">
        <f>[1]!EM_S_RATIO_EPS_TTM(B2803,E2803,"1")</f>
        <v>0.45010266934029969</v>
      </c>
      <c r="AT2803" s="4" t="str">
        <f>[1]!EM_S_IPO_LISTEDDATE(B2803)</f>
        <v>1998-02-25</v>
      </c>
    </row>
    <row r="2804" spans="1:46">
      <c r="A2804">
        <v>3588</v>
      </c>
      <c r="B2804" t="str">
        <f>"603895"</f>
        <v>603895</v>
      </c>
      <c r="C2804" t="s">
        <v>1125</v>
      </c>
      <c r="D2804" t="str">
        <f>[1]!EM_S_INFO_INDEX_EM(B2804,"1")</f>
        <v>机械设备</v>
      </c>
      <c r="E2804" s="4">
        <f t="shared" si="43"/>
        <v>43465</v>
      </c>
      <c r="F2804" s="11">
        <f>[1]!EM_S_PQ_PCTCHANGE(B2804,"2018-01-01","2019-12-31","3")</f>
        <v>77.895123339999998</v>
      </c>
      <c r="G2804" s="11">
        <f>[1]!EM_S_PQ_PCTCHANGE(B2804,"2018-12-31","2019-12-30","1")</f>
        <v>-11.07692308</v>
      </c>
      <c r="H2804" s="11">
        <f>[1]!EM_S_FA_YOY_OR(B2804,E2804)</f>
        <v>19.3715381371</v>
      </c>
      <c r="I2804" s="11">
        <f>[1]!EM_S_FA_GROSSPROFITMARGIN(B2804,E2804)</f>
        <v>27.7687913858</v>
      </c>
      <c r="J2804" s="11">
        <f>[1]!EM_S_FA_NETPROFITMARGIN(B2804,E2804)</f>
        <v>7.1092392028000004</v>
      </c>
      <c r="K2804" s="10">
        <f>[1]!EM_S_FA_ASSETSTURN(B2804,E2804)</f>
        <v>0.56469601438600003</v>
      </c>
      <c r="L2804" s="12">
        <f>[1]!EM_HKS_VAL_MV(B2804,"2019-12-31","2")</f>
        <v>2498809600</v>
      </c>
      <c r="M2804">
        <f>[1]!EM_S_VAL_PETTMDEDUCTED(B2804,E2804)</f>
        <v>47.183497052062798</v>
      </c>
      <c r="N2804" s="7">
        <f>[1]!EM_S_VAL_PBGOODWILLDEDUCTED(B2804,E2804)</f>
        <v>4.4570123666416404</v>
      </c>
      <c r="O2804" s="7">
        <f>[1]!EM_S_VAL_PS_TTM(B2804,E2804)</f>
        <v>5.45065639506943</v>
      </c>
      <c r="P2804" s="7">
        <f>[1]!EM_S_VAL_PCF_NCFTTM(B2804,E2804)</f>
        <v>32.544833515583797</v>
      </c>
      <c r="Q2804" s="7">
        <f>[1]!EM_S_VAL_DIVIDENDYIELD2(B2804,E2804,"2019-11-29")</f>
        <v>0.26143790849673199</v>
      </c>
      <c r="T2804"/>
      <c r="U2804">
        <f>[1]!EM_S_RATIO_EPS_TTM(B2804,E2804,"1")</f>
        <v>0.33417913527017024</v>
      </c>
      <c r="AT2804" s="4" t="str">
        <f>[1]!EM_S_IPO_LISTEDDATE(B2804)</f>
        <v>2018-01-22</v>
      </c>
    </row>
    <row r="2805" spans="1:46">
      <c r="A2805">
        <v>3322</v>
      </c>
      <c r="B2805" t="str">
        <f>"603228"</f>
        <v>603228</v>
      </c>
      <c r="C2805" t="s">
        <v>342</v>
      </c>
      <c r="D2805" t="str">
        <f>[1]!EM_S_INFO_INDEX_EM(B2805,"1")</f>
        <v>电子设备</v>
      </c>
      <c r="E2805" s="4">
        <f t="shared" si="43"/>
        <v>43465</v>
      </c>
      <c r="F2805" s="11">
        <f>[1]!EM_S_PQ_PCTCHANGE(B2805,"2018-01-01","2019-12-31","3")</f>
        <v>16.83597172</v>
      </c>
      <c r="G2805" s="11">
        <f>[1]!EM_S_PQ_PCTCHANGE(B2805,"2018-12-31","2019-12-30","1")</f>
        <v>-11.162232449999999</v>
      </c>
      <c r="H2805" s="11">
        <f>[1]!EM_S_FA_YOY_OR(B2805,E2805)</f>
        <v>18.929816832</v>
      </c>
      <c r="I2805" s="11">
        <f>[1]!EM_S_FA_GROSSPROFITMARGIN(B2805,E2805)</f>
        <v>31.777888843700001</v>
      </c>
      <c r="J2805" s="11">
        <f>[1]!EM_S_FA_NETPROFITMARGIN(B2805,E2805)</f>
        <v>15.9496122618</v>
      </c>
      <c r="K2805" s="10">
        <f>[1]!EM_S_FA_ASSETSTURN(B2805,E2805)</f>
        <v>0.80105348787999997</v>
      </c>
      <c r="L2805" s="12">
        <f>[1]!EM_HKS_VAL_MV(B2805,"2019-12-31","2")</f>
        <v>26395923950.200001</v>
      </c>
      <c r="M2805">
        <f>[1]!EM_S_VAL_PETTMDEDUCTED(B2805,E2805)</f>
        <v>27.725179573624501</v>
      </c>
      <c r="N2805" s="7">
        <f>[1]!EM_S_VAL_PBGOODWILLDEDUCTED(B2805,E2805)</f>
        <v>5.2901213932190396</v>
      </c>
      <c r="O2805" s="7">
        <f>[1]!EM_S_VAL_PS_TTM(B2805,E2805)</f>
        <v>4.3256802442061</v>
      </c>
      <c r="P2805" s="7">
        <f>[1]!EM_S_VAL_PCF_NCFTTM(B2805,E2805)</f>
        <v>13917.7050352399</v>
      </c>
      <c r="Q2805" s="7">
        <f>[1]!EM_S_VAL_DIVIDENDYIELD2(B2805,E2805,"2019-11-29")</f>
        <v>1.2605042025177</v>
      </c>
      <c r="T2805"/>
      <c r="U2805">
        <f>[1]!EM_S_RATIO_EPS_TTM(B2805,E2805,"1")</f>
        <v>1.9529409931386861</v>
      </c>
      <c r="AT2805" s="4" t="str">
        <f>[1]!EM_S_IPO_LISTEDDATE(B2805)</f>
        <v>2017-01-06</v>
      </c>
    </row>
    <row r="2806" spans="1:46">
      <c r="A2806">
        <v>2790</v>
      </c>
      <c r="B2806" t="str">
        <f>"600717"</f>
        <v>600717</v>
      </c>
      <c r="C2806" t="s">
        <v>1796</v>
      </c>
      <c r="D2806" t="str">
        <f>[1]!EM_S_INFO_INDEX_EM(B2806,"1")</f>
        <v>交通运输</v>
      </c>
      <c r="E2806" s="4">
        <f t="shared" si="43"/>
        <v>43465</v>
      </c>
      <c r="F2806" s="11">
        <f>[1]!EM_S_PQ_PCTCHANGE(B2806,"2018-01-01","2019-12-31","3")</f>
        <v>-25.878654520000001</v>
      </c>
      <c r="G2806" s="11">
        <f>[1]!EM_S_PQ_PCTCHANGE(B2806,"2018-12-31","2019-12-30","1")</f>
        <v>-11.17397454</v>
      </c>
      <c r="H2806" s="11">
        <f>[1]!EM_S_FA_YOY_OR(B2806,E2806)</f>
        <v>-8.2316509511000007</v>
      </c>
      <c r="I2806" s="11">
        <f>[1]!EM_S_FA_GROSSPROFITMARGIN(B2806,E2806)</f>
        <v>19.214292204300001</v>
      </c>
      <c r="J2806" s="11">
        <f>[1]!EM_S_FA_NETPROFITMARGIN(B2806,E2806)</f>
        <v>7.4943663304000001</v>
      </c>
      <c r="K2806" s="10">
        <f>[1]!EM_S_FA_ASSETSTURN(B2806,E2806)</f>
        <v>0.37190961842999998</v>
      </c>
      <c r="L2806" s="12">
        <f>[1]!EM_HKS_VAL_MV(B2806,"2019-12-31","2")</f>
        <v>12621060088.32</v>
      </c>
      <c r="M2806">
        <f>[1]!EM_S_VAL_PETTMDEDUCTED(B2806,E2806)</f>
        <v>20.841634148739299</v>
      </c>
      <c r="N2806" s="7">
        <f>[1]!EM_S_VAL_PBGOODWILLDEDUCTED(B2806,E2806)</f>
        <v>0.74591250565207901</v>
      </c>
      <c r="O2806" s="7">
        <f>[1]!EM_S_VAL_PS_TTM(B2806,E2806)</f>
        <v>0.91820069399079296</v>
      </c>
      <c r="P2806" s="7">
        <f>[1]!EM_S_VAL_PCF_NCFTTM(B2806,E2806)</f>
        <v>-5.6793476539731698</v>
      </c>
      <c r="Q2806" s="7">
        <f>[1]!EM_S_VAL_DIVIDENDYIELD2(B2806,E2806,"2019-11-29")</f>
        <v>1.446945337620579</v>
      </c>
      <c r="T2806"/>
      <c r="U2806">
        <f>[1]!EM_S_RATIO_EPS_TTM(B2806,E2806,"1")</f>
        <v>0.35854068516620369</v>
      </c>
      <c r="AT2806" s="4" t="str">
        <f>[1]!EM_S_IPO_LISTEDDATE(B2806)</f>
        <v>1996-06-14</v>
      </c>
    </row>
    <row r="2807" spans="1:46">
      <c r="A2807">
        <v>3463</v>
      </c>
      <c r="B2807" t="str">
        <f>"603617"</f>
        <v>603617</v>
      </c>
      <c r="C2807" t="s">
        <v>423</v>
      </c>
      <c r="D2807" t="str">
        <f>[1]!EM_S_INFO_INDEX_EM(B2807,"1")</f>
        <v>机械设备</v>
      </c>
      <c r="E2807" s="4">
        <f t="shared" si="43"/>
        <v>43465</v>
      </c>
      <c r="F2807" s="11">
        <f>[1]!EM_S_PQ_PCTCHANGE(B2807,"2018-01-01","2019-12-31","3")</f>
        <v>-12.27010939</v>
      </c>
      <c r="G2807" s="11">
        <f>[1]!EM_S_PQ_PCTCHANGE(B2807,"2018-12-31","2019-12-30","1")</f>
        <v>-11.26506024</v>
      </c>
      <c r="H2807" s="11">
        <f>[1]!EM_S_FA_YOY_OR(B2807,E2807)</f>
        <v>10.250140091800001</v>
      </c>
      <c r="I2807" s="11">
        <f>[1]!EM_S_FA_GROSSPROFITMARGIN(B2807,E2807)</f>
        <v>24.815596010299998</v>
      </c>
      <c r="J2807" s="11">
        <f>[1]!EM_S_FA_NETPROFITMARGIN(B2807,E2807)</f>
        <v>10.794753870299999</v>
      </c>
      <c r="K2807" s="10">
        <f>[1]!EM_S_FA_ASSETSTURN(B2807,E2807)</f>
        <v>0.80490391017600005</v>
      </c>
      <c r="L2807" s="12">
        <f>[1]!EM_HKS_VAL_MV(B2807,"2019-12-31","2")</f>
        <v>2091967528</v>
      </c>
      <c r="M2807">
        <f>[1]!EM_S_VAL_PETTMDEDUCTED(B2807,E2807)</f>
        <v>26.494033499989399</v>
      </c>
      <c r="N2807" s="7">
        <f>[1]!EM_S_VAL_PBGOODWILLDEDUCTED(B2807,E2807)</f>
        <v>3.22237913055806</v>
      </c>
      <c r="O2807" s="7">
        <f>[1]!EM_S_VAL_PS_TTM(B2807,E2807)</f>
        <v>2.7374967605307901</v>
      </c>
      <c r="P2807" s="7">
        <f>[1]!EM_S_VAL_PCF_NCFTTM(B2807,E2807)</f>
        <v>17.246743085072598</v>
      </c>
      <c r="Q2807" s="7">
        <f>[1]!EM_S_VAL_DIVIDENDYIELD2(B2807,E2807,"2019-11-29")</f>
        <v>1.1811023622047245</v>
      </c>
      <c r="T2807"/>
      <c r="U2807">
        <f>[1]!EM_S_RATIO_EPS_TTM(B2807,E2807,"1")</f>
        <v>0.67554445617377301</v>
      </c>
      <c r="AT2807" s="4" t="str">
        <f>[1]!EM_S_IPO_LISTEDDATE(B2807)</f>
        <v>2017-07-03</v>
      </c>
    </row>
    <row r="2808" spans="1:46">
      <c r="A2808">
        <v>1231</v>
      </c>
      <c r="B2808" t="str">
        <f>"002721"</f>
        <v>002721</v>
      </c>
      <c r="C2808" t="s">
        <v>1017</v>
      </c>
      <c r="D2808" t="str">
        <f>[1]!EM_S_INFO_INDEX_EM(B2808,"1")</f>
        <v>轻工制造</v>
      </c>
      <c r="E2808" s="4">
        <f t="shared" si="43"/>
        <v>43465</v>
      </c>
      <c r="F2808" s="11">
        <f>[1]!EM_S_PQ_PCTCHANGE(B2808,"2018-01-01","2019-12-31","3")</f>
        <v>-64.238679989999994</v>
      </c>
      <c r="G2808" s="11">
        <f>[1]!EM_S_PQ_PCTCHANGE(B2808,"2018-12-31","2019-12-30","1")</f>
        <v>-11.285266460000001</v>
      </c>
      <c r="H2808" s="11">
        <f>[1]!EM_S_FA_YOY_OR(B2808,E2808)</f>
        <v>-2.3140634310000001</v>
      </c>
      <c r="I2808" s="11">
        <f>[1]!EM_S_FA_GROSSPROFITMARGIN(B2808,E2808)</f>
        <v>7.3719104047000004</v>
      </c>
      <c r="J2808" s="11">
        <f>[1]!EM_S_FA_NETPROFITMARGIN(B2808,E2808)</f>
        <v>-0.63826165769999998</v>
      </c>
      <c r="K2808" s="10">
        <f>[1]!EM_S_FA_ASSETSTURN(B2808,E2808)</f>
        <v>0.95539415733800004</v>
      </c>
      <c r="L2808" s="12">
        <f>[1]!EM_HKS_VAL_MV(B2808,"2019-12-31","2")</f>
        <v>4757893477.8000002</v>
      </c>
      <c r="M2808">
        <f>[1]!EM_S_VAL_PETTMDEDUCTED(B2808,E2808)</f>
        <v>59.743024065048097</v>
      </c>
      <c r="N2808" s="7">
        <f>[1]!EM_S_VAL_PBGOODWILLDEDUCTED(B2808,E2808)</f>
        <v>1.94525283302621</v>
      </c>
      <c r="O2808" s="7">
        <f>[1]!EM_S_VAL_PS_TTM(B2808,E2808)</f>
        <v>0.31647425121651401</v>
      </c>
      <c r="P2808" s="7">
        <f>[1]!EM_S_VAL_PCF_NCFTTM(B2808,E2808)</f>
        <v>-20.6077296374119</v>
      </c>
      <c r="Q2808" s="7">
        <f>[1]!EM_S_VAL_DIVIDENDYIELD2(B2808,E2808,"2019-11-29")</f>
        <v>0</v>
      </c>
      <c r="T2808"/>
      <c r="U2808">
        <f>[1]!EM_S_RATIO_EPS_TTM(B2808,E2808,"1")</f>
        <v>-6.5389596426580168E-2</v>
      </c>
      <c r="AT2808" s="4" t="str">
        <f>[1]!EM_S_IPO_LISTEDDATE(B2808)</f>
        <v>2014-01-27</v>
      </c>
    </row>
    <row r="2809" spans="1:46">
      <c r="A2809">
        <v>2940</v>
      </c>
      <c r="B2809" t="str">
        <f>"600867"</f>
        <v>600867</v>
      </c>
      <c r="C2809" t="s">
        <v>209</v>
      </c>
      <c r="D2809" t="str">
        <f>[1]!EM_S_INFO_INDEX_EM(B2809,"1")</f>
        <v>医药生物</v>
      </c>
      <c r="E2809" s="4">
        <f t="shared" si="43"/>
        <v>43465</v>
      </c>
      <c r="F2809" s="11">
        <f>[1]!EM_S_PQ_PCTCHANGE(B2809,"2018-01-01","2019-12-31","3")</f>
        <v>-32.312563760000003</v>
      </c>
      <c r="G2809" s="11">
        <f>[1]!EM_S_PQ_PCTCHANGE(B2809,"2018-12-31","2019-12-30","1")</f>
        <v>-11.294964029999999</v>
      </c>
      <c r="H2809" s="11">
        <f>[1]!EM_S_FA_YOY_OR(B2809,E2809)</f>
        <v>5.7989656380000003</v>
      </c>
      <c r="I2809" s="11">
        <f>[1]!EM_S_FA_GROSSPROFITMARGIN(B2809,E2809)</f>
        <v>72.333803686099998</v>
      </c>
      <c r="J2809" s="11">
        <f>[1]!EM_S_FA_NETPROFITMARGIN(B2809,E2809)</f>
        <v>31.152877248799999</v>
      </c>
      <c r="K2809" s="10">
        <f>[1]!EM_S_FA_ASSETSTURN(B2809,E2809)</f>
        <v>0.52719580947900002</v>
      </c>
      <c r="L2809" s="12">
        <f>[1]!EM_HKS_VAL_MV(B2809,"2019-12-31","2")</f>
        <v>25729954740.049999</v>
      </c>
      <c r="M2809">
        <f>[1]!EM_S_VAL_PETTMDEDUCTED(B2809,E2809)</f>
        <v>32.933684216994898</v>
      </c>
      <c r="N2809" s="7">
        <f>[1]!EM_S_VAL_PBGOODWILLDEDUCTED(B2809,E2809)</f>
        <v>5.9844826063802099</v>
      </c>
      <c r="O2809" s="7">
        <f>[1]!EM_S_VAL_PS_TTM(B2809,E2809)</f>
        <v>10.4655962473679</v>
      </c>
      <c r="P2809" s="7">
        <f>[1]!EM_S_VAL_PCF_NCFTTM(B2809,E2809)</f>
        <v>671.06358836351797</v>
      </c>
      <c r="Q2809" s="7">
        <f>[1]!EM_S_VAL_DIVIDENDYIELD2(B2809,E2809,"2019-11-29")</f>
        <v>1.5071590052750568</v>
      </c>
      <c r="T2809"/>
      <c r="U2809">
        <f>[1]!EM_S_RATIO_EPS_TTM(B2809,E2809,"1")</f>
        <v>0.41229607381308536</v>
      </c>
      <c r="AT2809" s="4" t="str">
        <f>[1]!EM_S_IPO_LISTEDDATE(B2809)</f>
        <v>1994-08-24</v>
      </c>
    </row>
    <row r="2810" spans="1:46">
      <c r="A2810">
        <v>1910</v>
      </c>
      <c r="B2810" t="str">
        <f>"300485"</f>
        <v>300485</v>
      </c>
      <c r="C2810" t="s">
        <v>1025</v>
      </c>
      <c r="D2810" t="str">
        <f>[1]!EM_S_INFO_INDEX_EM(B2810,"1")</f>
        <v>医药生物</v>
      </c>
      <c r="E2810" s="4">
        <f t="shared" si="43"/>
        <v>43465</v>
      </c>
      <c r="F2810" s="11">
        <f>[1]!EM_S_PQ_PCTCHANGE(B2810,"2018-01-01","2019-12-31","3")</f>
        <v>-36.183612699999998</v>
      </c>
      <c r="G2810" s="11">
        <f>[1]!EM_S_PQ_PCTCHANGE(B2810,"2018-12-31","2019-12-30","1")</f>
        <v>-11.314984709999999</v>
      </c>
      <c r="H2810" s="11">
        <f>[1]!EM_S_FA_YOY_OR(B2810,E2810)</f>
        <v>90.370130804300004</v>
      </c>
      <c r="I2810" s="11">
        <f>[1]!EM_S_FA_GROSSPROFITMARGIN(B2810,E2810)</f>
        <v>86.275015302100002</v>
      </c>
      <c r="J2810" s="11">
        <f>[1]!EM_S_FA_NETPROFITMARGIN(B2810,E2810)</f>
        <v>19.8326933538</v>
      </c>
      <c r="K2810" s="10">
        <f>[1]!EM_S_FA_ASSETSTURN(B2810,E2810)</f>
        <v>0.54766442837200002</v>
      </c>
      <c r="L2810" s="12">
        <f>[1]!EM_HKS_VAL_MV(B2810,"2019-12-31","2")</f>
        <v>4362335660</v>
      </c>
      <c r="M2810">
        <f>[1]!EM_S_VAL_PETTMDEDUCTED(B2810,E2810)</f>
        <v>17.2832450549685</v>
      </c>
      <c r="N2810" s="7">
        <f>[1]!EM_S_VAL_PBGOODWILLDEDUCTED(B2810,E2810)</f>
        <v>1.87567272252587</v>
      </c>
      <c r="O2810" s="7">
        <f>[1]!EM_S_VAL_PS_TTM(B2810,E2810)</f>
        <v>3.9399694525197599</v>
      </c>
      <c r="P2810" s="7">
        <f>[1]!EM_S_VAL_PCF_NCFTTM(B2810,E2810)</f>
        <v>6.9125228909593002</v>
      </c>
      <c r="Q2810" s="7">
        <f>[1]!EM_S_VAL_DIVIDENDYIELD2(B2810,E2810,"2019-11-29")</f>
        <v>1.4457831325301205</v>
      </c>
      <c r="T2810"/>
      <c r="U2810">
        <f>[1]!EM_S_RATIO_EPS_TTM(B2810,E2810,"1")</f>
        <v>0.58473136942701465</v>
      </c>
      <c r="AT2810" s="4" t="str">
        <f>[1]!EM_S_IPO_LISTEDDATE(B2810)</f>
        <v>2015-06-26</v>
      </c>
    </row>
    <row r="2811" spans="1:46">
      <c r="A2811">
        <v>397</v>
      </c>
      <c r="B2811" t="str">
        <f>"000852"</f>
        <v>000852</v>
      </c>
      <c r="C2811" t="s">
        <v>3618</v>
      </c>
      <c r="D2811" t="str">
        <f>[1]!EM_S_INFO_INDEX_EM(B2811,"1")</f>
        <v>机械设备</v>
      </c>
      <c r="E2811" s="4">
        <f t="shared" si="43"/>
        <v>43465</v>
      </c>
      <c r="F2811" s="11">
        <f>[1]!EM_S_PQ_PCTCHANGE(B2811,"2018-01-01","2019-12-31","3")</f>
        <v>-14.89548235</v>
      </c>
      <c r="G2811" s="11">
        <f>[1]!EM_S_PQ_PCTCHANGE(B2811,"2018-12-31","2019-12-30","1")</f>
        <v>-11.45251397</v>
      </c>
      <c r="H2811" s="11">
        <f>[1]!EM_S_FA_YOY_OR(B2811,E2811)</f>
        <v>23.160771097200001</v>
      </c>
      <c r="I2811" s="11">
        <f>[1]!EM_S_FA_GROSSPROFITMARGIN(B2811,E2811)</f>
        <v>19.9588379934</v>
      </c>
      <c r="J2811" s="11">
        <f>[1]!EM_S_FA_NETPROFITMARGIN(B2811,E2811)</f>
        <v>0.64945780769999994</v>
      </c>
      <c r="K2811" s="10">
        <f>[1]!EM_S_FA_ASSETSTURN(B2811,E2811)</f>
        <v>0.66320210317499995</v>
      </c>
      <c r="L2811" s="12">
        <f>[1]!EM_HKS_VAL_MV(B2811,"2019-12-31","2")</f>
        <v>4930015680.9799995</v>
      </c>
      <c r="M2811">
        <f>[1]!EM_S_VAL_PETTMDEDUCTED(B2811,E2811)</f>
        <v>-708.58766182103705</v>
      </c>
      <c r="N2811" s="7">
        <f>[1]!EM_S_VAL_PBGOODWILLDEDUCTED(B2811,E2811)</f>
        <v>2.4137833485609401</v>
      </c>
      <c r="O2811" s="7">
        <f>[1]!EM_S_VAL_PS_TTM(B2811,E2811)</f>
        <v>0.86331387557789097</v>
      </c>
      <c r="P2811" s="7">
        <f>[1]!EM_S_VAL_PCF_NCFTTM(B2811,E2811)</f>
        <v>124.355532269788</v>
      </c>
      <c r="Q2811" s="7">
        <f>[1]!EM_S_VAL_DIVIDENDYIELD2(B2811,E2811,"2019-11-29")</f>
        <v>0</v>
      </c>
      <c r="T2811"/>
      <c r="U2811">
        <f>[1]!EM_S_RATIO_EPS_TTM(B2811,E2811,"1")</f>
        <v>2.2628406816938191E-2</v>
      </c>
      <c r="AT2811" s="4" t="str">
        <f>[1]!EM_S_IPO_LISTEDDATE(B2811)</f>
        <v>1998-11-26</v>
      </c>
    </row>
    <row r="2812" spans="1:46">
      <c r="A2812">
        <v>2516</v>
      </c>
      <c r="B2812" t="str">
        <f>"600400"</f>
        <v>600400</v>
      </c>
      <c r="C2812" t="s">
        <v>2213</v>
      </c>
      <c r="D2812" t="str">
        <f>[1]!EM_S_INFO_INDEX_EM(B2812,"1")</f>
        <v>纺织服装</v>
      </c>
      <c r="E2812" s="4">
        <f t="shared" si="43"/>
        <v>43465</v>
      </c>
      <c r="F2812" s="11">
        <f>[1]!EM_S_PQ_PCTCHANGE(B2812,"2018-01-01","2019-12-31","3")</f>
        <v>-31.50294139</v>
      </c>
      <c r="G2812" s="11">
        <f>[1]!EM_S_PQ_PCTCHANGE(B2812,"2018-12-31","2019-12-30","1")</f>
        <v>-11.46666667</v>
      </c>
      <c r="H2812" s="11">
        <f>[1]!EM_S_FA_YOY_OR(B2812,E2812)</f>
        <v>-8.8912452433000002</v>
      </c>
      <c r="I2812" s="11">
        <f>[1]!EM_S_FA_GROSSPROFITMARGIN(B2812,E2812)</f>
        <v>27.907324355</v>
      </c>
      <c r="J2812" s="11">
        <f>[1]!EM_S_FA_NETPROFITMARGIN(B2812,E2812)</f>
        <v>8.3782072943999992</v>
      </c>
      <c r="K2812" s="10">
        <f>[1]!EM_S_FA_ASSETSTURN(B2812,E2812)</f>
        <v>0.454155558874</v>
      </c>
      <c r="L2812" s="12">
        <f>[1]!EM_HKS_VAL_MV(B2812,"2019-12-31","2")</f>
        <v>8511743224.3199997</v>
      </c>
      <c r="M2812">
        <f>[1]!EM_S_VAL_PETTMDEDUCTED(B2812,E2812)</f>
        <v>52.4622729552365</v>
      </c>
      <c r="N2812" s="7">
        <f>[1]!EM_S_VAL_PBGOODWILLDEDUCTED(B2812,E2812)</f>
        <v>2.3861147105475</v>
      </c>
      <c r="O2812" s="7">
        <f>[1]!EM_S_VAL_PS_TTM(B2812,E2812)</f>
        <v>3.9399416545516499</v>
      </c>
      <c r="P2812" s="7">
        <f>[1]!EM_S_VAL_PCF_NCFTTM(B2812,E2812)</f>
        <v>-56.018138641181501</v>
      </c>
      <c r="Q2812" s="7">
        <f>[1]!EM_S_VAL_DIVIDENDYIELD2(B2812,E2812,"2019-11-29")</f>
        <v>1.5384615384615385</v>
      </c>
      <c r="T2812"/>
      <c r="U2812">
        <f>[1]!EM_S_RATIO_EPS_TTM(B2812,E2812,"1")</f>
        <v>8.1738325544140469E-2</v>
      </c>
      <c r="AT2812" s="4" t="str">
        <f>[1]!EM_S_IPO_LISTEDDATE(B2812)</f>
        <v>2001-01-08</v>
      </c>
    </row>
    <row r="2813" spans="1:46">
      <c r="A2813">
        <v>2577</v>
      </c>
      <c r="B2813" t="str">
        <f>"600493"</f>
        <v>600493</v>
      </c>
      <c r="C2813" t="s">
        <v>2391</v>
      </c>
      <c r="D2813" t="str">
        <f>[1]!EM_S_INFO_INDEX_EM(B2813,"1")</f>
        <v>纺织服装</v>
      </c>
      <c r="E2813" s="4">
        <f t="shared" si="43"/>
        <v>43465</v>
      </c>
      <c r="F2813" s="11">
        <f>[1]!EM_S_PQ_PCTCHANGE(B2813,"2018-01-01","2019-12-31","3")</f>
        <v>-29.11034493</v>
      </c>
      <c r="G2813" s="11">
        <f>[1]!EM_S_PQ_PCTCHANGE(B2813,"2018-12-31","2019-12-30","1")</f>
        <v>-11.501597439999999</v>
      </c>
      <c r="H2813" s="11">
        <f>[1]!EM_S_FA_YOY_OR(B2813,E2813)</f>
        <v>22.362243787400001</v>
      </c>
      <c r="I2813" s="11">
        <f>[1]!EM_S_FA_GROSSPROFITMARGIN(B2813,E2813)</f>
        <v>16.918975627799998</v>
      </c>
      <c r="J2813" s="11">
        <f>[1]!EM_S_FA_NETPROFITMARGIN(B2813,E2813)</f>
        <v>3.0456677094</v>
      </c>
      <c r="K2813" s="10">
        <f>[1]!EM_S_FA_ASSETSTURN(B2813,E2813)</f>
        <v>0.81647454371499995</v>
      </c>
      <c r="L2813" s="12">
        <f>[1]!EM_HKS_VAL_MV(B2813,"2019-12-31","2")</f>
        <v>1523200000</v>
      </c>
      <c r="M2813">
        <f>[1]!EM_S_VAL_PETTMDEDUCTED(B2813,E2813)</f>
        <v>35.175632349415601</v>
      </c>
      <c r="N2813" s="7">
        <f>[1]!EM_S_VAL_PBGOODWILLDEDUCTED(B2813,E2813)</f>
        <v>2.3678165703597198</v>
      </c>
      <c r="O2813" s="7">
        <f>[1]!EM_S_VAL_PS_TTM(B2813,E2813)</f>
        <v>1.76794128000924</v>
      </c>
      <c r="P2813" s="7">
        <f>[1]!EM_S_VAL_PCF_NCFTTM(B2813,E2813)</f>
        <v>38.226069470093201</v>
      </c>
      <c r="Q2813" s="7">
        <f>[1]!EM_S_VAL_DIVIDENDYIELD2(B2813,E2813,"2019-11-29")</f>
        <v>0.76628352490421447</v>
      </c>
      <c r="T2813"/>
      <c r="U2813">
        <f>[1]!EM_S_RATIO_EPS_TTM(B2813,E2813,"1")</f>
        <v>0.11251212371323528</v>
      </c>
      <c r="AT2813" s="4" t="str">
        <f>[1]!EM_S_IPO_LISTEDDATE(B2813)</f>
        <v>2004-04-21</v>
      </c>
    </row>
    <row r="2814" spans="1:46">
      <c r="A2814">
        <v>3036</v>
      </c>
      <c r="B2814" t="str">
        <f>"601019"</f>
        <v>601019</v>
      </c>
      <c r="C2814" t="s">
        <v>1139</v>
      </c>
      <c r="D2814" t="str">
        <f>[1]!EM_S_INFO_INDEX_EM(B2814,"1")</f>
        <v>文化传媒</v>
      </c>
      <c r="E2814" s="4">
        <f t="shared" si="43"/>
        <v>43465</v>
      </c>
      <c r="F2814" s="11">
        <f>[1]!EM_S_PQ_PCTCHANGE(B2814,"2018-01-01","2019-12-31","3")</f>
        <v>-42.413545839999998</v>
      </c>
      <c r="G2814" s="11">
        <f>[1]!EM_S_PQ_PCTCHANGE(B2814,"2018-12-31","2019-12-30","1")</f>
        <v>-11.50895141</v>
      </c>
      <c r="H2814" s="11">
        <f>[1]!EM_S_FA_YOY_OR(B2814,E2814)</f>
        <v>5.0544904064000002</v>
      </c>
      <c r="I2814" s="11">
        <f>[1]!EM_S_FA_GROSSPROFITMARGIN(B2814,E2814)</f>
        <v>35.8700587513</v>
      </c>
      <c r="J2814" s="11">
        <f>[1]!EM_S_FA_NETPROFITMARGIN(B2814,E2814)</f>
        <v>15.781953935700001</v>
      </c>
      <c r="K2814" s="10">
        <f>[1]!EM_S_FA_ASSETSTURN(B2814,E2814)</f>
        <v>0.66856780564100005</v>
      </c>
      <c r="L2814" s="12">
        <f>[1]!EM_HKS_VAL_MV(B2814,"2019-12-31","2")</f>
        <v>14503955000</v>
      </c>
      <c r="M2814">
        <f>[1]!EM_S_VAL_PETTMDEDUCTED(B2814,E2814)</f>
        <v>11.6774601974187</v>
      </c>
      <c r="N2814" s="7">
        <f>[1]!EM_S_VAL_PBGOODWILLDEDUCTED(B2814,E2814)</f>
        <v>1.6909560661226499</v>
      </c>
      <c r="O2814" s="7">
        <f>[1]!EM_S_VAL_PS_TTM(B2814,E2814)</f>
        <v>1.7852062999812199</v>
      </c>
      <c r="P2814" s="7">
        <f>[1]!EM_S_VAL_PCF_NCFTTM(B2814,E2814)</f>
        <v>14.4874829470617</v>
      </c>
      <c r="Q2814" s="7">
        <f>[1]!EM_S_VAL_DIVIDENDYIELD2(B2814,E2814,"2019-11-29")</f>
        <v>4.3348281016442458</v>
      </c>
      <c r="T2814"/>
      <c r="U2814">
        <f>[1]!EM_S_RATIO_EPS_TTM(B2814,E2814,"1")</f>
        <v>0.71155221321577455</v>
      </c>
      <c r="AT2814" s="4" t="str">
        <f>[1]!EM_S_IPO_LISTEDDATE(B2814)</f>
        <v>2017-11-22</v>
      </c>
    </row>
    <row r="2815" spans="1:46">
      <c r="A2815">
        <v>2178</v>
      </c>
      <c r="B2815" t="str">
        <f>"600019"</f>
        <v>600019</v>
      </c>
      <c r="C2815" t="s">
        <v>808</v>
      </c>
      <c r="D2815" t="str">
        <f>[1]!EM_S_INFO_INDEX_EM(B2815,"1")</f>
        <v>钢铁</v>
      </c>
      <c r="E2815" s="4">
        <f t="shared" si="43"/>
        <v>43465</v>
      </c>
      <c r="F2815" s="11">
        <f>[1]!EM_S_PQ_PCTCHANGE(B2815,"2018-01-01","2019-12-31","3")</f>
        <v>-24.7037589</v>
      </c>
      <c r="G2815" s="11">
        <f>[1]!EM_S_PQ_PCTCHANGE(B2815,"2018-12-31","2019-12-30","1")</f>
        <v>-11.53846154</v>
      </c>
      <c r="H2815" s="11">
        <f>[1]!EM_S_FA_YOY_OR(B2815,E2815)</f>
        <v>5.4261320057000004</v>
      </c>
      <c r="I2815" s="11">
        <f>[1]!EM_S_FA_GROSSPROFITMARGIN(B2815,E2815)</f>
        <v>14.9926331108</v>
      </c>
      <c r="J2815" s="11">
        <f>[1]!EM_S_FA_NETPROFITMARGIN(B2815,E2815)</f>
        <v>7.6376999560999996</v>
      </c>
      <c r="K2815" s="10">
        <f>[1]!EM_S_FA_ASSETSTURN(B2815,E2815)</f>
        <v>0.89062122381499997</v>
      </c>
      <c r="L2815" s="12">
        <f>[1]!EM_HKS_VAL_MV(B2815,"2019-12-31","2")</f>
        <v>127855402552.5</v>
      </c>
      <c r="M2815">
        <f>[1]!EM_S_VAL_PETTMDEDUCTED(B2815,E2815)</f>
        <v>6.7403114609527801</v>
      </c>
      <c r="N2815" s="7">
        <f>[1]!EM_S_VAL_PBGOODWILLDEDUCTED(B2815,E2815)</f>
        <v>0.82128152597036697</v>
      </c>
      <c r="O2815" s="7">
        <f>[1]!EM_S_VAL_PS_TTM(B2815,E2815)</f>
        <v>0.49601792109656101</v>
      </c>
      <c r="P2815" s="7">
        <f>[1]!EM_S_VAL_PCF_NCFTTM(B2815,E2815)</f>
        <v>33.969424280275199</v>
      </c>
      <c r="Q2815" s="7">
        <f>[1]!EM_S_VAL_DIVIDENDYIELD2(B2815,E2815,"2019-11-29")</f>
        <v>9.1414546605799405</v>
      </c>
      <c r="T2815"/>
      <c r="U2815">
        <f>[1]!EM_S_RATIO_EPS_TTM(B2815,E2815,"1")</f>
        <v>0.96844107918208178</v>
      </c>
      <c r="AT2815" s="4" t="str">
        <f>[1]!EM_S_IPO_LISTEDDATE(B2815)</f>
        <v>2000-12-12</v>
      </c>
    </row>
    <row r="2816" spans="1:46">
      <c r="A2816">
        <v>3306</v>
      </c>
      <c r="B2816" t="str">
        <f>"603188"</f>
        <v>603188</v>
      </c>
      <c r="C2816" t="s">
        <v>629</v>
      </c>
      <c r="D2816" t="str">
        <f>[1]!EM_S_INFO_INDEX_EM(B2816,"1")</f>
        <v>基础化工</v>
      </c>
      <c r="E2816" s="4">
        <f t="shared" si="43"/>
        <v>43465</v>
      </c>
      <c r="F2816" s="11">
        <f>[1]!EM_S_PQ_PCTCHANGE(B2816,"2018-01-01","2019-12-31","3")</f>
        <v>-60.127698440000003</v>
      </c>
      <c r="G2816" s="11">
        <f>[1]!EM_S_PQ_PCTCHANGE(B2816,"2018-12-31","2019-12-30","1")</f>
        <v>-11.54891304</v>
      </c>
      <c r="H2816" s="11">
        <f>[1]!EM_S_FA_YOY_OR(B2816,E2816)</f>
        <v>-35.929650606999999</v>
      </c>
      <c r="I2816" s="11">
        <f>[1]!EM_S_FA_GROSSPROFITMARGIN(B2816,E2816)</f>
        <v>50.410273085699998</v>
      </c>
      <c r="J2816" s="11">
        <f>[1]!EM_S_FA_NETPROFITMARGIN(B2816,E2816)</f>
        <v>5.6904777985999999</v>
      </c>
      <c r="K2816" s="10">
        <f>[1]!EM_S_FA_ASSETSTURN(B2816,E2816)</f>
        <v>0.44832312893999998</v>
      </c>
      <c r="L2816" s="12">
        <f>[1]!EM_HKS_VAL_MV(B2816,"2019-12-31","2")</f>
        <v>3790080000</v>
      </c>
      <c r="M2816">
        <f>[1]!EM_S_VAL_PETTMDEDUCTED(B2816,E2816)</f>
        <v>13.554891256881399</v>
      </c>
      <c r="N2816" s="7">
        <f>[1]!EM_S_VAL_PBGOODWILLDEDUCTED(B2816,E2816)</f>
        <v>1.52385118689391</v>
      </c>
      <c r="O2816" s="7">
        <f>[1]!EM_S_VAL_PS_TTM(B2816,E2816)</f>
        <v>2.6057351820338099</v>
      </c>
      <c r="P2816" s="7">
        <f>[1]!EM_S_VAL_PCF_NCFTTM(B2816,E2816)</f>
        <v>-22.6901925463435</v>
      </c>
      <c r="Q2816" s="7">
        <f>[1]!EM_S_VAL_DIVIDENDYIELD2(B2816,E2816,"2019-11-29")</f>
        <v>0</v>
      </c>
      <c r="T2816"/>
      <c r="U2816">
        <f>[1]!EM_S_RATIO_EPS_TTM(B2816,E2816,"1")</f>
        <v>0.28048468835069446</v>
      </c>
      <c r="AT2816" s="4" t="str">
        <f>[1]!EM_S_IPO_LISTEDDATE(B2816)</f>
        <v>2014-09-09</v>
      </c>
    </row>
    <row r="2817" spans="1:46">
      <c r="A2817">
        <v>2231</v>
      </c>
      <c r="B2817" t="str">
        <f>"600084"</f>
        <v>600084</v>
      </c>
      <c r="C2817" t="s">
        <v>3431</v>
      </c>
      <c r="D2817" t="str">
        <f>[1]!EM_S_INFO_INDEX_EM(B2817,"1")</f>
        <v>食品饮料</v>
      </c>
      <c r="E2817" s="4">
        <f t="shared" si="43"/>
        <v>43465</v>
      </c>
      <c r="F2817" s="11">
        <f>[1]!EM_S_PQ_PCTCHANGE(B2817,"2018-01-01","2019-12-31","3")</f>
        <v>-65.425531910000004</v>
      </c>
      <c r="G2817" s="11">
        <f>[1]!EM_S_PQ_PCTCHANGE(B2817,"2018-12-31","2019-12-30","1")</f>
        <v>-11.564625850000001</v>
      </c>
      <c r="H2817" s="11">
        <f>[1]!EM_S_FA_YOY_OR(B2817,E2817)</f>
        <v>-14.7699743252</v>
      </c>
      <c r="I2817" s="11">
        <f>[1]!EM_S_FA_GROSSPROFITMARGIN(B2817,E2817)</f>
        <v>38.371008364399998</v>
      </c>
      <c r="J2817" s="11">
        <f>[1]!EM_S_FA_NETPROFITMARGIN(B2817,E2817)</f>
        <v>-46.353302642800003</v>
      </c>
      <c r="K2817" s="10">
        <f>[1]!EM_S_FA_ASSETSTURN(B2817,E2817)</f>
        <v>0.119448505326</v>
      </c>
      <c r="L2817" s="12">
        <f>[1]!EM_HKS_VAL_MV(B2817,"2019-12-31","2")</f>
        <v>2921689758</v>
      </c>
      <c r="M2817">
        <f>[1]!EM_S_VAL_PETTMDEDUCTED(B2817,E2817)</f>
        <v>-26.730931996731499</v>
      </c>
      <c r="N2817" s="7">
        <f>[1]!EM_S_VAL_PBGOODWILLDEDUCTED(B2817,E2817)</f>
        <v>1.5109423131639601</v>
      </c>
      <c r="O2817" s="7">
        <f>[1]!EM_S_VAL_PS_TTM(B2817,E2817)</f>
        <v>8.4988545634638797</v>
      </c>
      <c r="P2817" s="7">
        <f>[1]!EM_S_VAL_PCF_NCFTTM(B2817,E2817)</f>
        <v>-18.323930046966598</v>
      </c>
      <c r="Q2817" s="7">
        <f>[1]!EM_S_VAL_DIVIDENDYIELD2(B2817,E2817,"2019-11-29")</f>
        <v>0</v>
      </c>
      <c r="T2817"/>
      <c r="U2817">
        <f>[1]!EM_S_RATIO_EPS_TTM(B2817,E2817,"1")</f>
        <v>-0.13993820343330238</v>
      </c>
      <c r="AT2817" s="4" t="str">
        <f>[1]!EM_S_IPO_LISTEDDATE(B2817)</f>
        <v>1997-07-11</v>
      </c>
    </row>
    <row r="2818" spans="1:46">
      <c r="A2818">
        <v>3283</v>
      </c>
      <c r="B2818" t="str">
        <f>"603131"</f>
        <v>603131</v>
      </c>
      <c r="C2818" t="s">
        <v>2985</v>
      </c>
      <c r="D2818" t="str">
        <f>[1]!EM_S_INFO_INDEX_EM(B2818,"1")</f>
        <v>机械设备</v>
      </c>
      <c r="E2818" s="4">
        <f t="shared" si="43"/>
        <v>43465</v>
      </c>
      <c r="F2818" s="11">
        <f>[1]!EM_S_PQ_PCTCHANGE(B2818,"2018-01-01","2019-12-31","3")</f>
        <v>-6.78230003</v>
      </c>
      <c r="G2818" s="11">
        <f>[1]!EM_S_PQ_PCTCHANGE(B2818,"2018-12-31","2019-12-30","1")</f>
        <v>-11.56595192</v>
      </c>
      <c r="H2818" s="11">
        <f>[1]!EM_S_FA_YOY_OR(B2818,E2818)</f>
        <v>21.219639184999998</v>
      </c>
      <c r="I2818" s="11">
        <f>[1]!EM_S_FA_GROSSPROFITMARGIN(B2818,E2818)</f>
        <v>24.7058182747</v>
      </c>
      <c r="J2818" s="11">
        <f>[1]!EM_S_FA_NETPROFITMARGIN(B2818,E2818)</f>
        <v>8.8291551613999992</v>
      </c>
      <c r="K2818" s="10">
        <f>[1]!EM_S_FA_ASSETSTURN(B2818,E2818)</f>
        <v>0.76411838983000002</v>
      </c>
      <c r="L2818" s="12">
        <f>[1]!EM_HKS_VAL_MV(B2818,"2019-12-31","2")</f>
        <v>4442100300.4399996</v>
      </c>
      <c r="M2818">
        <f>[1]!EM_S_VAL_PETTMDEDUCTED(B2818,E2818)</f>
        <v>71.948821224125496</v>
      </c>
      <c r="N2818" s="7">
        <f>[1]!EM_S_VAL_PBGOODWILLDEDUCTED(B2818,E2818)</f>
        <v>4.57943173499552</v>
      </c>
      <c r="O2818" s="7">
        <f>[1]!EM_S_VAL_PS_TTM(B2818,E2818)</f>
        <v>4.4676531740701497</v>
      </c>
      <c r="P2818" s="7">
        <f>[1]!EM_S_VAL_PCF_NCFTTM(B2818,E2818)</f>
        <v>-30.609627520757801</v>
      </c>
      <c r="Q2818" s="7">
        <f>[1]!EM_S_VAL_DIVIDENDYIELD2(B2818,E2818,"2019-11-29")</f>
        <v>0.56022409034059584</v>
      </c>
      <c r="T2818"/>
      <c r="U2818">
        <f>[1]!EM_S_RATIO_EPS_TTM(B2818,E2818,"1")</f>
        <v>0.33582962624825208</v>
      </c>
      <c r="AT2818" s="4" t="str">
        <f>[1]!EM_S_IPO_LISTEDDATE(B2818)</f>
        <v>2016-06-07</v>
      </c>
    </row>
    <row r="2819" spans="1:46">
      <c r="A2819">
        <v>3367</v>
      </c>
      <c r="B2819" t="str">
        <f>"603336"</f>
        <v>603336</v>
      </c>
      <c r="C2819" t="s">
        <v>1449</v>
      </c>
      <c r="D2819" t="str">
        <f>[1]!EM_S_INFO_INDEX_EM(B2819,"1")</f>
        <v>农林牧渔</v>
      </c>
      <c r="E2819" s="4">
        <f t="shared" ref="E2819:E2882" si="44">$B$1</f>
        <v>43465</v>
      </c>
      <c r="F2819" s="11">
        <f>[1]!EM_S_PQ_PCTCHANGE(B2819,"2018-01-01","2019-12-31","3")</f>
        <v>-0.88612157000000003</v>
      </c>
      <c r="G2819" s="11">
        <f>[1]!EM_S_PQ_PCTCHANGE(B2819,"2018-12-31","2019-12-30","1")</f>
        <v>-11.639871380000001</v>
      </c>
      <c r="H2819" s="11">
        <f>[1]!EM_S_FA_YOY_OR(B2819,E2819)</f>
        <v>11.554406978199999</v>
      </c>
      <c r="I2819" s="11">
        <f>[1]!EM_S_FA_GROSSPROFITMARGIN(B2819,E2819)</f>
        <v>14.5501081546</v>
      </c>
      <c r="J2819" s="11">
        <f>[1]!EM_S_FA_NETPROFITMARGIN(B2819,E2819)</f>
        <v>8.4063100425999995</v>
      </c>
      <c r="K2819" s="10">
        <f>[1]!EM_S_FA_ASSETSTURN(B2819,E2819)</f>
        <v>0.84824406886699999</v>
      </c>
      <c r="L2819" s="12">
        <f>[1]!EM_HKS_VAL_MV(B2819,"2019-12-31","2")</f>
        <v>3119003160</v>
      </c>
      <c r="M2819">
        <f>[1]!EM_S_VAL_PETTMDEDUCTED(B2819,E2819)</f>
        <v>42.851049297516298</v>
      </c>
      <c r="N2819" s="7">
        <f>[1]!EM_S_VAL_PBGOODWILLDEDUCTED(B2819,E2819)</f>
        <v>3.3083631982828998</v>
      </c>
      <c r="O2819" s="7">
        <f>[1]!EM_S_VAL_PS_TTM(B2819,E2819)</f>
        <v>3.8668038313009601</v>
      </c>
      <c r="P2819" s="7">
        <f>[1]!EM_S_VAL_PCF_NCFTTM(B2819,E2819)</f>
        <v>275.92349610172801</v>
      </c>
      <c r="Q2819" s="7">
        <f>[1]!EM_S_VAL_DIVIDENDYIELD2(B2819,E2819,"2019-11-29")</f>
        <v>0.66170388751033915</v>
      </c>
      <c r="T2819"/>
      <c r="U2819">
        <f>[1]!EM_S_RATIO_EPS_TTM(B2819,E2819,"1")</f>
        <v>0.37016463401690175</v>
      </c>
      <c r="AT2819" s="4" t="str">
        <f>[1]!EM_S_IPO_LISTEDDATE(B2819)</f>
        <v>2016-11-24</v>
      </c>
    </row>
    <row r="2820" spans="1:46">
      <c r="A2820">
        <v>2438</v>
      </c>
      <c r="B2820" t="str">
        <f>"600311"</f>
        <v>600311</v>
      </c>
      <c r="C2820" t="s">
        <v>3127</v>
      </c>
      <c r="D2820" t="str">
        <f>[1]!EM_S_INFO_INDEX_EM(B2820,"1")</f>
        <v>有色金属</v>
      </c>
      <c r="E2820" s="4">
        <f t="shared" si="44"/>
        <v>43465</v>
      </c>
      <c r="F2820" s="11">
        <f>[1]!EM_S_PQ_PCTCHANGE(B2820,"2018-01-01","2019-12-31","3")</f>
        <v>-39.679715299999998</v>
      </c>
      <c r="G2820" s="11">
        <f>[1]!EM_S_PQ_PCTCHANGE(B2820,"2018-12-31","2019-12-30","1")</f>
        <v>-11.64021164</v>
      </c>
      <c r="H2820" s="11">
        <f>[1]!EM_S_FA_YOY_OR(B2820,E2820)</f>
        <v>-50.564338769800003</v>
      </c>
      <c r="I2820" s="11">
        <f>[1]!EM_S_FA_GROSSPROFITMARGIN(B2820,E2820)</f>
        <v>-36.635085249100001</v>
      </c>
      <c r="J2820" s="11">
        <f>[1]!EM_S_FA_NETPROFITMARGIN(B2820,E2820)</f>
        <v>-132.1816203976</v>
      </c>
      <c r="K2820" s="10">
        <f>[1]!EM_S_FA_ASSETSTURN(B2820,E2820)</f>
        <v>8.9767434238000002E-2</v>
      </c>
      <c r="L2820" s="12">
        <f>[1]!EM_HKS_VAL_MV(B2820,"2019-12-31","2")</f>
        <v>2256384000</v>
      </c>
      <c r="M2820">
        <f>[1]!EM_S_VAL_PETTMDEDUCTED(B2820,E2820)</f>
        <v>-42.253682819475699</v>
      </c>
      <c r="N2820" s="7">
        <f>[1]!EM_S_VAL_PBGOODWILLDEDUCTED(B2820,E2820)</f>
        <v>3.4895713683344201</v>
      </c>
      <c r="O2820" s="7">
        <f>[1]!EM_S_VAL_PS_TTM(B2820,E2820)</f>
        <v>27.250464669493599</v>
      </c>
      <c r="P2820" s="7">
        <f>[1]!EM_S_VAL_PCF_NCFTTM(B2820,E2820)</f>
        <v>-71.3085216289995</v>
      </c>
      <c r="Q2820" s="7">
        <f>[1]!EM_S_VAL_DIVIDENDYIELD2(B2820,E2820,"2019-11-29")</f>
        <v>0</v>
      </c>
      <c r="T2820"/>
      <c r="U2820">
        <f>[1]!EM_S_RATIO_EPS_TTM(B2820,E2820,"1")</f>
        <v>-0.16331090631009615</v>
      </c>
      <c r="AT2820" s="4" t="str">
        <f>[1]!EM_S_IPO_LISTEDDATE(B2820)</f>
        <v>2001-06-26</v>
      </c>
    </row>
    <row r="2821" spans="1:46">
      <c r="A2821">
        <v>1523</v>
      </c>
      <c r="B2821" t="str">
        <f>"300098"</f>
        <v>300098</v>
      </c>
      <c r="C2821" t="s">
        <v>1128</v>
      </c>
      <c r="D2821" t="str">
        <f>[1]!EM_S_INFO_INDEX_EM(B2821,"1")</f>
        <v>信息技术</v>
      </c>
      <c r="E2821" s="4">
        <f t="shared" si="44"/>
        <v>43465</v>
      </c>
      <c r="F2821" s="11">
        <f>[1]!EM_S_PQ_PCTCHANGE(B2821,"2018-01-01","2019-12-31","3")</f>
        <v>-32.908831059999997</v>
      </c>
      <c r="G2821" s="11">
        <f>[1]!EM_S_PQ_PCTCHANGE(B2821,"2018-12-31","2019-12-30","1")</f>
        <v>-11.686390530000001</v>
      </c>
      <c r="H2821" s="11">
        <f>[1]!EM_S_FA_YOY_OR(B2821,E2821)</f>
        <v>59.266936230299997</v>
      </c>
      <c r="I2821" s="11">
        <f>[1]!EM_S_FA_GROSSPROFITMARGIN(B2821,E2821)</f>
        <v>35.2122780957</v>
      </c>
      <c r="J2821" s="11">
        <f>[1]!EM_S_FA_NETPROFITMARGIN(B2821,E2821)</f>
        <v>15.3453789209</v>
      </c>
      <c r="K2821" s="10">
        <f>[1]!EM_S_FA_ASSETSTURN(B2821,E2821)</f>
        <v>0.44866203740900001</v>
      </c>
      <c r="L2821" s="12">
        <f>[1]!EM_HKS_VAL_MV(B2821,"2019-12-31","2")</f>
        <v>10459704518.26</v>
      </c>
      <c r="M2821">
        <f>[1]!EM_S_VAL_PETTMDEDUCTED(B2821,E2821)</f>
        <v>23.917748262649301</v>
      </c>
      <c r="N2821" s="7">
        <f>[1]!EM_S_VAL_PBGOODWILLDEDUCTED(B2821,E2821)</f>
        <v>3.0955478306723001</v>
      </c>
      <c r="O2821" s="7">
        <f>[1]!EM_S_VAL_PS_TTM(B2821,E2821)</f>
        <v>3.4772096768460901</v>
      </c>
      <c r="P2821" s="7">
        <f>[1]!EM_S_VAL_PCF_NCFTTM(B2821,E2821)</f>
        <v>371.87243769483899</v>
      </c>
      <c r="Q2821" s="7">
        <f>[1]!EM_S_VAL_DIVIDENDYIELD2(B2821,E2821,"2019-11-29")</f>
        <v>0.36764705882352938</v>
      </c>
      <c r="T2821"/>
      <c r="U2821">
        <f>[1]!EM_S_RATIO_EPS_TTM(B2821,E2821,"1")</f>
        <v>0.30579210128031037</v>
      </c>
      <c r="AT2821" s="4" t="str">
        <f>[1]!EM_S_IPO_LISTEDDATE(B2821)</f>
        <v>2010-07-28</v>
      </c>
    </row>
    <row r="2822" spans="1:46">
      <c r="A2822">
        <v>1644</v>
      </c>
      <c r="B2822" t="str">
        <f>"300219"</f>
        <v>300219</v>
      </c>
      <c r="C2822" t="s">
        <v>662</v>
      </c>
      <c r="D2822" t="str">
        <f>[1]!EM_S_INFO_INDEX_EM(B2822,"1")</f>
        <v>电子设备</v>
      </c>
      <c r="E2822" s="4">
        <f t="shared" si="44"/>
        <v>43465</v>
      </c>
      <c r="F2822" s="11">
        <f>[1]!EM_S_PQ_PCTCHANGE(B2822,"2018-01-01","2019-12-31","3")</f>
        <v>-36.775997799999999</v>
      </c>
      <c r="G2822" s="11">
        <f>[1]!EM_S_PQ_PCTCHANGE(B2822,"2018-12-31","2019-12-30","1")</f>
        <v>-11.74934726</v>
      </c>
      <c r="H2822" s="11">
        <f>[1]!EM_S_FA_YOY_OR(B2822,E2822)</f>
        <v>8.2151501784000001</v>
      </c>
      <c r="I2822" s="11">
        <f>[1]!EM_S_FA_GROSSPROFITMARGIN(B2822,E2822)</f>
        <v>23.086252448900002</v>
      </c>
      <c r="J2822" s="11">
        <f>[1]!EM_S_FA_NETPROFITMARGIN(B2822,E2822)</f>
        <v>4.6720280448000002</v>
      </c>
      <c r="K2822" s="10">
        <f>[1]!EM_S_FA_ASSETSTURN(B2822,E2822)</f>
        <v>0.82394250586399997</v>
      </c>
      <c r="L2822" s="12">
        <f>[1]!EM_HKS_VAL_MV(B2822,"2019-12-31","2")</f>
        <v>4821807220.6800003</v>
      </c>
      <c r="M2822">
        <f>[1]!EM_S_VAL_PETTMDEDUCTED(B2822,E2822)</f>
        <v>17.274920652413901</v>
      </c>
      <c r="N2822" s="7">
        <f>[1]!EM_S_VAL_PBGOODWILLDEDUCTED(B2822,E2822)</f>
        <v>2.7916062690407402</v>
      </c>
      <c r="O2822" s="7">
        <f>[1]!EM_S_VAL_PS_TTM(B2822,E2822)</f>
        <v>1.34569453097382</v>
      </c>
      <c r="P2822" s="7">
        <f>[1]!EM_S_VAL_PCF_NCFTTM(B2822,E2822)</f>
        <v>-24.2116827037608</v>
      </c>
      <c r="Q2822" s="7">
        <f>[1]!EM_S_VAL_DIVIDENDYIELD2(B2822,E2822,"2019-11-29")</f>
        <v>4.9537191502250515</v>
      </c>
      <c r="T2822"/>
      <c r="U2822">
        <f>[1]!EM_S_RATIO_EPS_TTM(B2822,E2822,"1")</f>
        <v>0.29302957214469405</v>
      </c>
      <c r="AT2822" s="4" t="str">
        <f>[1]!EM_S_IPO_LISTEDDATE(B2822)</f>
        <v>2011-05-18</v>
      </c>
    </row>
    <row r="2823" spans="1:46">
      <c r="A2823">
        <v>1687</v>
      </c>
      <c r="B2823" t="str">
        <f>"300262"</f>
        <v>300262</v>
      </c>
      <c r="C2823" t="s">
        <v>1889</v>
      </c>
      <c r="D2823" t="str">
        <f>[1]!EM_S_INFO_INDEX_EM(B2823,"1")</f>
        <v>公用事业</v>
      </c>
      <c r="E2823" s="4">
        <f t="shared" si="44"/>
        <v>43465</v>
      </c>
      <c r="F2823" s="11">
        <f>[1]!EM_S_PQ_PCTCHANGE(B2823,"2018-01-01","2019-12-31","3")</f>
        <v>-46.171825320000004</v>
      </c>
      <c r="G2823" s="11">
        <f>[1]!EM_S_PQ_PCTCHANGE(B2823,"2018-12-31","2019-12-30","1")</f>
        <v>-11.764705879999999</v>
      </c>
      <c r="H2823" s="11">
        <f>[1]!EM_S_FA_YOY_OR(B2823,E2823)</f>
        <v>21.3278939677</v>
      </c>
      <c r="I2823" s="11">
        <f>[1]!EM_S_FA_GROSSPROFITMARGIN(B2823,E2823)</f>
        <v>33.223172183700001</v>
      </c>
      <c r="J2823" s="11">
        <f>[1]!EM_S_FA_NETPROFITMARGIN(B2823,E2823)</f>
        <v>10.3994258033</v>
      </c>
      <c r="K2823" s="10">
        <f>[1]!EM_S_FA_ASSETSTURN(B2823,E2823)</f>
        <v>0.22525158525899999</v>
      </c>
      <c r="L2823" s="12">
        <f>[1]!EM_HKS_VAL_MV(B2823,"2019-12-31","2")</f>
        <v>3248369945.1500001</v>
      </c>
      <c r="M2823">
        <f>[1]!EM_S_VAL_PETTMDEDUCTED(B2823,E2823)</f>
        <v>74.377965118267298</v>
      </c>
      <c r="N2823" s="7">
        <f>[1]!EM_S_VAL_PBGOODWILLDEDUCTED(B2823,E2823)</f>
        <v>1.7201495418139301</v>
      </c>
      <c r="O2823" s="7">
        <f>[1]!EM_S_VAL_PS_TTM(B2823,E2823)</f>
        <v>4.7996773086563902</v>
      </c>
      <c r="P2823" s="7">
        <f>[1]!EM_S_VAL_PCF_NCFTTM(B2823,E2823)</f>
        <v>14.4458011634622</v>
      </c>
      <c r="Q2823" s="7">
        <f>[1]!EM_S_VAL_DIVIDENDYIELD2(B2823,E2823,"2019-11-29")</f>
        <v>0.82859209828608205</v>
      </c>
      <c r="T2823"/>
      <c r="U2823">
        <f>[1]!EM_S_RATIO_EPS_TTM(B2823,E2823,"1")</f>
        <v>0.18341474145534051</v>
      </c>
      <c r="AT2823" s="4" t="str">
        <f>[1]!EM_S_IPO_LISTEDDATE(B2823)</f>
        <v>2011-09-16</v>
      </c>
    </row>
    <row r="2824" spans="1:46">
      <c r="A2824">
        <v>1725</v>
      </c>
      <c r="B2824" t="str">
        <f>"300300"</f>
        <v>300300</v>
      </c>
      <c r="C2824" t="s">
        <v>437</v>
      </c>
      <c r="D2824" t="str">
        <f>[1]!EM_S_INFO_INDEX_EM(B2824,"1")</f>
        <v>信息技术</v>
      </c>
      <c r="E2824" s="4">
        <f t="shared" si="44"/>
        <v>43465</v>
      </c>
      <c r="F2824" s="11">
        <f>[1]!EM_S_PQ_PCTCHANGE(B2824,"2018-01-01","2019-12-31","3")</f>
        <v>-5.2554098900000001</v>
      </c>
      <c r="G2824" s="11">
        <f>[1]!EM_S_PQ_PCTCHANGE(B2824,"2018-12-31","2019-12-30","1")</f>
        <v>-11.78571429</v>
      </c>
      <c r="H2824" s="11">
        <f>[1]!EM_S_FA_YOY_OR(B2824,E2824)</f>
        <v>49.111251600099997</v>
      </c>
      <c r="I2824" s="11">
        <f>[1]!EM_S_FA_GROSSPROFITMARGIN(B2824,E2824)</f>
        <v>18.9667952028</v>
      </c>
      <c r="J2824" s="11">
        <f>[1]!EM_S_FA_NETPROFITMARGIN(B2824,E2824)</f>
        <v>19.239414289999999</v>
      </c>
      <c r="K2824" s="10">
        <f>[1]!EM_S_FA_ASSETSTURN(B2824,E2824)</f>
        <v>0.17578824416399999</v>
      </c>
      <c r="L2824" s="12">
        <f>[1]!EM_HKS_VAL_MV(B2824,"2019-12-31","2")</f>
        <v>7255021984.7600002</v>
      </c>
      <c r="M2824">
        <f>[1]!EM_S_VAL_PETTMDEDUCTED(B2824,E2824)</f>
        <v>275.833708399572</v>
      </c>
      <c r="N2824" s="7">
        <f>[1]!EM_S_VAL_PBGOODWILLDEDUCTED(B2824,E2824)</f>
        <v>3.3643197706903001</v>
      </c>
      <c r="O2824" s="7">
        <f>[1]!EM_S_VAL_PS_TTM(B2824,E2824)</f>
        <v>16.383552189009102</v>
      </c>
      <c r="P2824" s="7">
        <f>[1]!EM_S_VAL_PCF_NCFTTM(B2824,E2824)</f>
        <v>-39.608959806217001</v>
      </c>
      <c r="Q2824" s="7">
        <f>[1]!EM_S_VAL_DIVIDENDYIELD2(B2824,E2824,"2019-11-29")</f>
        <v>0.20887576562261873</v>
      </c>
      <c r="T2824"/>
      <c r="U2824">
        <f>[1]!EM_S_RATIO_EPS_TTM(B2824,E2824,"1")</f>
        <v>0.18225415774334325</v>
      </c>
      <c r="AT2824" s="4" t="str">
        <f>[1]!EM_S_IPO_LISTEDDATE(B2824)</f>
        <v>2012-03-19</v>
      </c>
    </row>
    <row r="2825" spans="1:46">
      <c r="A2825">
        <v>2620</v>
      </c>
      <c r="B2825" t="str">
        <f>"600543"</f>
        <v>600543</v>
      </c>
      <c r="C2825" t="s">
        <v>1987</v>
      </c>
      <c r="D2825" t="str">
        <f>[1]!EM_S_INFO_INDEX_EM(B2825,"1")</f>
        <v>食品饮料</v>
      </c>
      <c r="E2825" s="4">
        <f t="shared" si="44"/>
        <v>43465</v>
      </c>
      <c r="F2825" s="11">
        <f>[1]!EM_S_PQ_PCTCHANGE(B2825,"2018-01-01","2019-12-31","3")</f>
        <v>-40.918367349999997</v>
      </c>
      <c r="G2825" s="11">
        <f>[1]!EM_S_PQ_PCTCHANGE(B2825,"2018-12-31","2019-12-30","1")</f>
        <v>-11.791730469999999</v>
      </c>
      <c r="H2825" s="11">
        <f>[1]!EM_S_FA_YOY_OR(B2825,E2825)</f>
        <v>2.4620539315999999</v>
      </c>
      <c r="I2825" s="11">
        <f>[1]!EM_S_FA_GROSSPROFITMARGIN(B2825,E2825)</f>
        <v>61.221254523799999</v>
      </c>
      <c r="J2825" s="11">
        <f>[1]!EM_S_FA_NETPROFITMARGIN(B2825,E2825)</f>
        <v>8.1662152476000003</v>
      </c>
      <c r="K2825" s="10">
        <f>[1]!EM_S_FA_ASSETSTURN(B2825,E2825)</f>
        <v>0.17806348493999999</v>
      </c>
      <c r="L2825" s="12">
        <f>[1]!EM_HKS_VAL_MV(B2825,"2019-12-31","2")</f>
        <v>1859284800</v>
      </c>
      <c r="M2825">
        <f>[1]!EM_S_VAL_PETTMDEDUCTED(B2825,E2825)</f>
        <v>107.603201694053</v>
      </c>
      <c r="N2825" s="7">
        <f>[1]!EM_S_VAL_PBGOODWILLDEDUCTED(B2825,E2825)</f>
        <v>1.82074245148266</v>
      </c>
      <c r="O2825" s="7">
        <f>[1]!EM_S_VAL_PS_TTM(B2825,E2825)</f>
        <v>9.7995154838042904</v>
      </c>
      <c r="P2825" s="7">
        <f>[1]!EM_S_VAL_PCF_NCFTTM(B2825,E2825)</f>
        <v>-95.239107339941995</v>
      </c>
      <c r="Q2825" s="7">
        <f>[1]!EM_S_VAL_DIVIDENDYIELD2(B2825,E2825,"2019-11-29")</f>
        <v>0</v>
      </c>
      <c r="T2825"/>
      <c r="U2825">
        <f>[1]!EM_S_RATIO_EPS_TTM(B2825,E2825,"1")</f>
        <v>8.4847989287493777E-2</v>
      </c>
      <c r="AT2825" s="4" t="str">
        <f>[1]!EM_S_IPO_LISTEDDATE(B2825)</f>
        <v>2004-03-24</v>
      </c>
    </row>
    <row r="2826" spans="1:46">
      <c r="A2826">
        <v>430</v>
      </c>
      <c r="B2826" t="str">
        <f>"000902"</f>
        <v>000902</v>
      </c>
      <c r="C2826" t="s">
        <v>324</v>
      </c>
      <c r="D2826" t="str">
        <f>[1]!EM_S_INFO_INDEX_EM(B2826,"1")</f>
        <v>基础化工</v>
      </c>
      <c r="E2826" s="4">
        <f t="shared" si="44"/>
        <v>43465</v>
      </c>
      <c r="F2826" s="11">
        <f>[1]!EM_S_PQ_PCTCHANGE(B2826,"2018-01-01","2019-12-31","3")</f>
        <v>-15.97500509</v>
      </c>
      <c r="G2826" s="11">
        <f>[1]!EM_S_PQ_PCTCHANGE(B2826,"2018-12-31","2019-12-30","1")</f>
        <v>-11.83035714</v>
      </c>
      <c r="H2826" s="11">
        <f>[1]!EM_S_FA_YOY_OR(B2826,E2826)</f>
        <v>11.051542659000001</v>
      </c>
      <c r="I2826" s="11">
        <f>[1]!EM_S_FA_GROSSPROFITMARGIN(B2826,E2826)</f>
        <v>19.356707720799999</v>
      </c>
      <c r="J2826" s="11">
        <f>[1]!EM_S_FA_NETPROFITMARGIN(B2826,E2826)</f>
        <v>8.2614719429000001</v>
      </c>
      <c r="K2826" s="10">
        <f>[1]!EM_S_FA_ASSETSTURN(B2826,E2826)</f>
        <v>1.1305883582680001</v>
      </c>
      <c r="L2826" s="12">
        <f>[1]!EM_HKS_VAL_MV(B2826,"2019-12-31","2")</f>
        <v>10305781391</v>
      </c>
      <c r="M2826">
        <f>[1]!EM_S_VAL_PETTMDEDUCTED(B2826,E2826)</f>
        <v>14.359621332173701</v>
      </c>
      <c r="N2826" s="7">
        <f>[1]!EM_S_VAL_PBGOODWILLDEDUCTED(B2826,E2826)</f>
        <v>1.8794531823329299</v>
      </c>
      <c r="O2826" s="7">
        <f>[1]!EM_S_VAL_PS_TTM(B2826,E2826)</f>
        <v>1.14660492035214</v>
      </c>
      <c r="P2826" s="7">
        <f>[1]!EM_S_VAL_PCF_NCFTTM(B2826,E2826)</f>
        <v>-75.628414386560905</v>
      </c>
      <c r="Q2826" s="7">
        <f>[1]!EM_S_VAL_DIVIDENDYIELD2(B2826,E2826,"2019-11-29")</f>
        <v>2.5220680958385873</v>
      </c>
      <c r="T2826"/>
      <c r="U2826">
        <f>[1]!EM_S_RATIO_EPS_TTM(B2826,E2826,"1")</f>
        <v>0.62769141195748857</v>
      </c>
      <c r="AT2826" s="4" t="str">
        <f>[1]!EM_S_IPO_LISTEDDATE(B2826)</f>
        <v>1999-04-08</v>
      </c>
    </row>
    <row r="2827" spans="1:46">
      <c r="A2827">
        <v>50</v>
      </c>
      <c r="B2827" t="str">
        <f>"000056"</f>
        <v>000056</v>
      </c>
      <c r="C2827" t="s">
        <v>2240</v>
      </c>
      <c r="D2827" t="str">
        <f>[1]!EM_S_INFO_INDEX_EM(B2827,"1")</f>
        <v>休闲、生活及专业服务</v>
      </c>
      <c r="E2827" s="4">
        <f t="shared" si="44"/>
        <v>43465</v>
      </c>
      <c r="F2827" s="11">
        <f>[1]!EM_S_PQ_PCTCHANGE(B2827,"2018-01-01","2019-12-31","3")</f>
        <v>-68.610293080000005</v>
      </c>
      <c r="G2827" s="11">
        <f>[1]!EM_S_PQ_PCTCHANGE(B2827,"2018-12-31","2019-12-30","1")</f>
        <v>-11.83932347</v>
      </c>
      <c r="H2827" s="11">
        <f>[1]!EM_S_FA_YOY_OR(B2827,E2827)</f>
        <v>17.468539850999999</v>
      </c>
      <c r="I2827" s="11">
        <f>[1]!EM_S_FA_GROSSPROFITMARGIN(B2827,E2827)</f>
        <v>63.218309964299998</v>
      </c>
      <c r="J2827" s="11">
        <f>[1]!EM_S_FA_NETPROFITMARGIN(B2827,E2827)</f>
        <v>12.5024700559</v>
      </c>
      <c r="K2827" s="10">
        <f>[1]!EM_S_FA_ASSETSTURN(B2827,E2827)</f>
        <v>6.9216235474999999E-2</v>
      </c>
      <c r="L2827" s="12">
        <f>[1]!EM_HKS_VAL_MV(B2827,"2019-12-31","2")</f>
        <v>4865929823.5200005</v>
      </c>
      <c r="M2827">
        <f>[1]!EM_S_VAL_PETTMDEDUCTED(B2827,E2827)</f>
        <v>86.935940374728105</v>
      </c>
      <c r="N2827" s="7">
        <f>[1]!EM_S_VAL_PBGOODWILLDEDUCTED(B2827,E2827)</f>
        <v>1.03922153031646</v>
      </c>
      <c r="O2827" s="7">
        <f>[1]!EM_S_VAL_PS_TTM(B2827,E2827)</f>
        <v>6.7204676611826004</v>
      </c>
      <c r="P2827" s="7">
        <f>[1]!EM_S_VAL_PCF_NCFTTM(B2827,E2827)</f>
        <v>-7.5370018174727198</v>
      </c>
      <c r="Q2827" s="7">
        <f>[1]!EM_S_VAL_DIVIDENDYIELD2(B2827,E2827,"2019-11-29")</f>
        <v>0.24889800995024874</v>
      </c>
      <c r="T2827"/>
      <c r="U2827">
        <f>[1]!EM_S_RATIO_EPS_TTM(B2827,E2827,"1")</f>
        <v>7.7128133566609677E-2</v>
      </c>
      <c r="AT2827" s="4" t="str">
        <f>[1]!EM_S_IPO_LISTEDDATE(B2827)</f>
        <v>1996-07-08</v>
      </c>
    </row>
    <row r="2828" spans="1:46">
      <c r="A2828">
        <v>1759</v>
      </c>
      <c r="B2828" t="str">
        <f>"300334"</f>
        <v>300334</v>
      </c>
      <c r="C2828" t="s">
        <v>3220</v>
      </c>
      <c r="D2828" t="str">
        <f>[1]!EM_S_INFO_INDEX_EM(B2828,"1")</f>
        <v>公用事业</v>
      </c>
      <c r="E2828" s="4">
        <f t="shared" si="44"/>
        <v>43465</v>
      </c>
      <c r="F2828" s="11">
        <f>[1]!EM_S_PQ_PCTCHANGE(B2828,"2018-01-01","2019-12-31","3")</f>
        <v>-52.994428970000001</v>
      </c>
      <c r="G2828" s="11">
        <f>[1]!EM_S_PQ_PCTCHANGE(B2828,"2018-12-31","2019-12-30","1")</f>
        <v>-11.89542484</v>
      </c>
      <c r="H2828" s="11">
        <f>[1]!EM_S_FA_YOY_OR(B2828,E2828)</f>
        <v>8.4095707656999998</v>
      </c>
      <c r="I2828" s="11">
        <f>[1]!EM_S_FA_GROSSPROFITMARGIN(B2828,E2828)</f>
        <v>33.785135656900003</v>
      </c>
      <c r="J2828" s="11">
        <f>[1]!EM_S_FA_NETPROFITMARGIN(B2828,E2828)</f>
        <v>2.4986545233999999</v>
      </c>
      <c r="K2828" s="10">
        <f>[1]!EM_S_FA_ASSETSTURN(B2828,E2828)</f>
        <v>0.233329233064</v>
      </c>
      <c r="L2828" s="12">
        <f>[1]!EM_HKS_VAL_MV(B2828,"2019-12-31","2")</f>
        <v>2038941153</v>
      </c>
      <c r="M2828">
        <f>[1]!EM_S_VAL_PETTMDEDUCTED(B2828,E2828)</f>
        <v>-30.821500466556099</v>
      </c>
      <c r="N2828" s="7">
        <f>[1]!EM_S_VAL_PBGOODWILLDEDUCTED(B2828,E2828)</f>
        <v>1.59378099469731</v>
      </c>
      <c r="O2828" s="7">
        <f>[1]!EM_S_VAL_PS_TTM(B2828,E2828)</f>
        <v>4.1113662673492497</v>
      </c>
      <c r="P2828" s="7">
        <f>[1]!EM_S_VAL_PCF_NCFTTM(B2828,E2828)</f>
        <v>131.271118661999</v>
      </c>
      <c r="Q2828" s="7">
        <f>[1]!EM_S_VAL_DIVIDENDYIELD2(B2828,E2828,"2019-11-29")</f>
        <v>0</v>
      </c>
      <c r="T2828"/>
      <c r="U2828">
        <f>[1]!EM_S_RATIO_EPS_TTM(B2828,E2828,"1")</f>
        <v>3.9014646663537753E-2</v>
      </c>
      <c r="AT2828" s="4" t="str">
        <f>[1]!EM_S_IPO_LISTEDDATE(B2828)</f>
        <v>2012-07-05</v>
      </c>
    </row>
    <row r="2829" spans="1:46">
      <c r="A2829">
        <v>2731</v>
      </c>
      <c r="B2829" t="str">
        <f>"600658"</f>
        <v>600658</v>
      </c>
      <c r="C2829" t="s">
        <v>1639</v>
      </c>
      <c r="D2829" t="str">
        <f>[1]!EM_S_INFO_INDEX_EM(B2829,"1")</f>
        <v>房地产</v>
      </c>
      <c r="E2829" s="4">
        <f t="shared" si="44"/>
        <v>43465</v>
      </c>
      <c r="F2829" s="11">
        <f>[1]!EM_S_PQ_PCTCHANGE(B2829,"2018-01-01","2019-12-31","3")</f>
        <v>-30.212701689999999</v>
      </c>
      <c r="G2829" s="11">
        <f>[1]!EM_S_PQ_PCTCHANGE(B2829,"2018-12-31","2019-12-30","1")</f>
        <v>-11.94762684</v>
      </c>
      <c r="H2829" s="11">
        <f>[1]!EM_S_FA_YOY_OR(B2829,E2829)</f>
        <v>4.7080762907000002</v>
      </c>
      <c r="I2829" s="11">
        <f>[1]!EM_S_FA_GROSSPROFITMARGIN(B2829,E2829)</f>
        <v>64.547220355999997</v>
      </c>
      <c r="J2829" s="11">
        <f>[1]!EM_S_FA_NETPROFITMARGIN(B2829,E2829)</f>
        <v>17.751367985400002</v>
      </c>
      <c r="K2829" s="10">
        <f>[1]!EM_S_FA_ASSETSTURN(B2829,E2829)</f>
        <v>0.17661979919699999</v>
      </c>
      <c r="L2829" s="12">
        <f>[1]!EM_HKS_VAL_MV(B2829,"2019-12-31","2")</f>
        <v>5906129037.6000004</v>
      </c>
      <c r="M2829">
        <f>[1]!EM_S_VAL_PETTMDEDUCTED(B2829,E2829)</f>
        <v>12.288992527652701</v>
      </c>
      <c r="N2829" s="7">
        <f>[1]!EM_S_VAL_PBGOODWILLDEDUCTED(B2829,E2829)</f>
        <v>1.03726007792616</v>
      </c>
      <c r="O2829" s="7">
        <f>[1]!EM_S_VAL_PS_TTM(B2829,E2829)</f>
        <v>2.4670387151970701</v>
      </c>
      <c r="P2829" s="7">
        <f>[1]!EM_S_VAL_PCF_NCFTTM(B2829,E2829)</f>
        <v>-5.9462474570198598</v>
      </c>
      <c r="Q2829" s="7">
        <f>[1]!EM_S_VAL_DIVIDENDYIELD2(B2829,E2829,"2019-11-29")</f>
        <v>3.2235294117647064</v>
      </c>
      <c r="T2829"/>
      <c r="U2829">
        <f>[1]!EM_S_RATIO_EPS_TTM(B2829,E2829,"1")</f>
        <v>0.36641631817096215</v>
      </c>
      <c r="AT2829" s="4" t="str">
        <f>[1]!EM_S_IPO_LISTEDDATE(B2829)</f>
        <v>1993-05-24</v>
      </c>
    </row>
    <row r="2830" spans="1:46">
      <c r="A2830">
        <v>2943</v>
      </c>
      <c r="B2830" t="str">
        <f>"600870"</f>
        <v>600870</v>
      </c>
      <c r="C2830" t="s">
        <v>3669</v>
      </c>
      <c r="D2830" t="str">
        <f>[1]!EM_S_INFO_INDEX_EM(B2830,"1")</f>
        <v>商贸零售</v>
      </c>
      <c r="E2830" s="4">
        <f t="shared" si="44"/>
        <v>43465</v>
      </c>
      <c r="F2830" s="11">
        <f>[1]!EM_S_PQ_PCTCHANGE(B2830,"2018-01-01","2019-12-31","3")</f>
        <v>-60.477453580000002</v>
      </c>
      <c r="G2830" s="11">
        <f>[1]!EM_S_PQ_PCTCHANGE(B2830,"2018-12-31","2019-12-30","1")</f>
        <v>-12.012012009999999</v>
      </c>
      <c r="H2830" s="11">
        <f>[1]!EM_S_FA_YOY_OR(B2830,E2830)</f>
        <v>77.731503908099995</v>
      </c>
      <c r="I2830" s="11">
        <f>[1]!EM_S_FA_GROSSPROFITMARGIN(B2830,E2830)</f>
        <v>26.881392655599999</v>
      </c>
      <c r="J2830" s="11">
        <f>[1]!EM_S_FA_NETPROFITMARGIN(B2830,E2830)</f>
        <v>16.7513219995</v>
      </c>
      <c r="K2830" s="10">
        <f>[1]!EM_S_FA_ASSETSTURN(B2830,E2830)</f>
        <v>0.43232633424799999</v>
      </c>
      <c r="L2830" s="12">
        <f>[1]!EM_HKS_VAL_MV(B2830,"2019-12-31","2")</f>
        <v>1559135001.7</v>
      </c>
      <c r="M2830">
        <f>[1]!EM_S_VAL_PETTMDEDUCTED(B2830,E2830)</f>
        <v>-99.291583958319904</v>
      </c>
      <c r="N2830" s="7">
        <f>[1]!EM_S_VAL_PBGOODWILLDEDUCTED(B2830,E2830)</f>
        <v>207.82639484865999</v>
      </c>
      <c r="O2830" s="7">
        <f>[1]!EM_S_VAL_PS_TTM(B2830,E2830)</f>
        <v>49.4945968670634</v>
      </c>
      <c r="P2830" s="7">
        <f>[1]!EM_S_VAL_PCF_NCFTTM(B2830,E2830)</f>
        <v>326.48364743049098</v>
      </c>
      <c r="Q2830" s="7">
        <f>[1]!EM_S_VAL_DIVIDENDYIELD2(B2830,E2830,"2019-11-29")</f>
        <v>0</v>
      </c>
      <c r="T2830"/>
      <c r="U2830">
        <f>[1]!EM_S_RATIO_EPS_TTM(B2830,E2830,"1")</f>
        <v>8.7038334208413542E-3</v>
      </c>
      <c r="AT2830" s="4" t="str">
        <f>[1]!EM_S_IPO_LISTEDDATE(B2830)</f>
        <v>1995-02-28</v>
      </c>
    </row>
    <row r="2831" spans="1:46">
      <c r="A2831">
        <v>1117</v>
      </c>
      <c r="B2831" t="str">
        <f>"002606"</f>
        <v>002606</v>
      </c>
      <c r="C2831" t="s">
        <v>2277</v>
      </c>
      <c r="D2831" t="str">
        <f>[1]!EM_S_INFO_INDEX_EM(B2831,"1")</f>
        <v>电气设备</v>
      </c>
      <c r="E2831" s="4">
        <f t="shared" si="44"/>
        <v>43465</v>
      </c>
      <c r="F2831" s="11">
        <f>[1]!EM_S_PQ_PCTCHANGE(B2831,"2018-01-01","2019-12-31","3")</f>
        <v>-52.926182599999997</v>
      </c>
      <c r="G2831" s="11">
        <f>[1]!EM_S_PQ_PCTCHANGE(B2831,"2018-12-31","2019-12-30","1")</f>
        <v>-12.04268293</v>
      </c>
      <c r="H2831" s="11">
        <f>[1]!EM_S_FA_YOY_OR(B2831,E2831)</f>
        <v>-27.485467621200002</v>
      </c>
      <c r="I2831" s="11">
        <f>[1]!EM_S_FA_GROSSPROFITMARGIN(B2831,E2831)</f>
        <v>24.878651007999999</v>
      </c>
      <c r="J2831" s="11">
        <f>[1]!EM_S_FA_NETPROFITMARGIN(B2831,E2831)</f>
        <v>-3.3605985146999999</v>
      </c>
      <c r="K2831" s="10">
        <f>[1]!EM_S_FA_ASSETSTURN(B2831,E2831)</f>
        <v>0.43183506170000002</v>
      </c>
      <c r="L2831" s="12">
        <f>[1]!EM_HKS_VAL_MV(B2831,"2019-12-31","2")</f>
        <v>2347176960</v>
      </c>
      <c r="M2831">
        <f>[1]!EM_S_VAL_PETTMDEDUCTED(B2831,E2831)</f>
        <v>-198.41241124419</v>
      </c>
      <c r="N2831" s="7">
        <f>[1]!EM_S_VAL_PBGOODWILLDEDUCTED(B2831,E2831)</f>
        <v>3.0589424507491101</v>
      </c>
      <c r="O2831" s="7">
        <f>[1]!EM_S_VAL_PS_TTM(B2831,E2831)</f>
        <v>3.7422410986530101</v>
      </c>
      <c r="P2831" s="7">
        <f>[1]!EM_S_VAL_PCF_NCFTTM(B2831,E2831)</f>
        <v>77.0836147377629</v>
      </c>
      <c r="Q2831" s="7">
        <f>[1]!EM_S_VAL_DIVIDENDYIELD2(B2831,E2831,"2019-11-29")</f>
        <v>0</v>
      </c>
      <c r="T2831"/>
      <c r="U2831">
        <f>[1]!EM_S_RATIO_EPS_TTM(B2831,E2831,"1")</f>
        <v>-4.6482394747433105E-2</v>
      </c>
      <c r="AT2831" s="4" t="str">
        <f>[1]!EM_S_IPO_LISTEDDATE(B2831)</f>
        <v>2011-08-05</v>
      </c>
    </row>
    <row r="2832" spans="1:46">
      <c r="A2832">
        <v>148</v>
      </c>
      <c r="B2832" t="str">
        <f>"000539"</f>
        <v>000539</v>
      </c>
      <c r="C2832" t="s">
        <v>3086</v>
      </c>
      <c r="D2832" t="str">
        <f>[1]!EM_S_INFO_INDEX_EM(B2832,"1")</f>
        <v>公用事业</v>
      </c>
      <c r="E2832" s="4">
        <f t="shared" si="44"/>
        <v>43465</v>
      </c>
      <c r="F2832" s="11">
        <f>[1]!EM_S_PQ_PCTCHANGE(B2832,"2018-01-01","2019-12-31","3")</f>
        <v>-12.09088779</v>
      </c>
      <c r="G2832" s="11">
        <f>[1]!EM_S_PQ_PCTCHANGE(B2832,"2018-12-31","2019-12-30","1")</f>
        <v>-12.095032399999999</v>
      </c>
      <c r="H2832" s="11">
        <f>[1]!EM_S_FA_YOY_OR(B2832,E2832)</f>
        <v>2.8701699794</v>
      </c>
      <c r="I2832" s="11">
        <f>[1]!EM_S_FA_GROSSPROFITMARGIN(B2832,E2832)</f>
        <v>11.5358226917</v>
      </c>
      <c r="J2832" s="11">
        <f>[1]!EM_S_FA_NETPROFITMARGIN(B2832,E2832)</f>
        <v>3.3204916949999999</v>
      </c>
      <c r="K2832" s="10">
        <f>[1]!EM_S_FA_ASSETSTURN(B2832,E2832)</f>
        <v>0.379784801359</v>
      </c>
      <c r="L2832" s="12">
        <f>[1]!EM_HKS_VAL_MV(B2832,"2019-12-31","2")</f>
        <v>21526164342.599998</v>
      </c>
      <c r="M2832">
        <f>[1]!EM_S_VAL_PETTMDEDUCTED(B2832,E2832)</f>
        <v>30.244759361809098</v>
      </c>
      <c r="N2832" s="7">
        <f>[1]!EM_S_VAL_PBGOODWILLDEDUCTED(B2832,E2832)</f>
        <v>1.0034659634571399</v>
      </c>
      <c r="O2832" s="7">
        <f>[1]!EM_S_VAL_PS_TTM(B2832,E2832)</f>
        <v>0.87861333554057197</v>
      </c>
      <c r="P2832" s="7">
        <f>[1]!EM_S_VAL_PCF_NCFTTM(B2832,E2832)</f>
        <v>27.504578267677299</v>
      </c>
      <c r="Q2832" s="7">
        <f>[1]!EM_S_VAL_DIVIDENDYIELD2(B2832,E2832,"2019-11-29")</f>
        <v>1.4527845036319611</v>
      </c>
      <c r="T2832"/>
      <c r="U2832">
        <f>[1]!EM_S_RATIO_EPS_TTM(B2832,E2832,"1")</f>
        <v>9.0368825432141114E-2</v>
      </c>
      <c r="AT2832" s="4" t="str">
        <f>[1]!EM_S_IPO_LISTEDDATE(B2832)</f>
        <v>1993-11-26</v>
      </c>
    </row>
    <row r="2833" spans="1:46">
      <c r="A2833">
        <v>3234</v>
      </c>
      <c r="B2833" t="str">
        <f>"603038"</f>
        <v>603038</v>
      </c>
      <c r="C2833" t="s">
        <v>2318</v>
      </c>
      <c r="D2833" t="str">
        <f>[1]!EM_S_INFO_INDEX_EM(B2833,"1")</f>
        <v>建筑</v>
      </c>
      <c r="E2833" s="4">
        <f t="shared" si="44"/>
        <v>43465</v>
      </c>
      <c r="F2833" s="11">
        <f>[1]!EM_S_PQ_PCTCHANGE(B2833,"2018-01-01","2019-12-31","3")</f>
        <v>-32.534678370000002</v>
      </c>
      <c r="G2833" s="11">
        <f>[1]!EM_S_PQ_PCTCHANGE(B2833,"2018-12-31","2019-12-30","1")</f>
        <v>-12.10843373</v>
      </c>
      <c r="H2833" s="11">
        <f>[1]!EM_S_FA_YOY_OR(B2833,E2833)</f>
        <v>16.093735675200001</v>
      </c>
      <c r="I2833" s="11">
        <f>[1]!EM_S_FA_GROSSPROFITMARGIN(B2833,E2833)</f>
        <v>26.577912362399999</v>
      </c>
      <c r="J2833" s="11">
        <f>[1]!EM_S_FA_NETPROFITMARGIN(B2833,E2833)</f>
        <v>10.9915568427</v>
      </c>
      <c r="K2833" s="10">
        <f>[1]!EM_S_FA_ASSETSTURN(B2833,E2833)</f>
        <v>0.62604184974300003</v>
      </c>
      <c r="L2833" s="12">
        <f>[1]!EM_HKS_VAL_MV(B2833,"2019-12-31","2")</f>
        <v>1916997716.6199999</v>
      </c>
      <c r="M2833">
        <f>[1]!EM_S_VAL_PETTMDEDUCTED(B2833,E2833)</f>
        <v>26.450811062738602</v>
      </c>
      <c r="N2833" s="7">
        <f>[1]!EM_S_VAL_PBGOODWILLDEDUCTED(B2833,E2833)</f>
        <v>1.5511403521778599</v>
      </c>
      <c r="O2833" s="7">
        <f>[1]!EM_S_VAL_PS_TTM(B2833,E2833)</f>
        <v>2.1727449699168</v>
      </c>
      <c r="P2833" s="7">
        <f>[1]!EM_S_VAL_PCF_NCFTTM(B2833,E2833)</f>
        <v>-16.209061173147798</v>
      </c>
      <c r="Q2833" s="7">
        <f>[1]!EM_S_VAL_DIVIDENDYIELD2(B2833,E2833,"2019-11-29")</f>
        <v>1.6293276381689443</v>
      </c>
      <c r="T2833"/>
      <c r="U2833">
        <f>[1]!EM_S_RATIO_EPS_TTM(B2833,E2833,"1")</f>
        <v>0.88274115903607275</v>
      </c>
      <c r="AT2833" s="4" t="str">
        <f>[1]!EM_S_IPO_LISTEDDATE(B2833)</f>
        <v>2017-01-16</v>
      </c>
    </row>
    <row r="2834" spans="1:46">
      <c r="A2834">
        <v>612</v>
      </c>
      <c r="B2834" t="str">
        <f>"002101"</f>
        <v>002101</v>
      </c>
      <c r="C2834" t="s">
        <v>1997</v>
      </c>
      <c r="D2834" t="str">
        <f>[1]!EM_S_INFO_INDEX_EM(B2834,"1")</f>
        <v>交运设备</v>
      </c>
      <c r="E2834" s="4">
        <f t="shared" si="44"/>
        <v>43465</v>
      </c>
      <c r="F2834" s="11">
        <f>[1]!EM_S_PQ_PCTCHANGE(B2834,"2018-01-01","2019-12-31","3")</f>
        <v>-46.681771449999999</v>
      </c>
      <c r="G2834" s="11">
        <f>[1]!EM_S_PQ_PCTCHANGE(B2834,"2018-12-31","2019-12-30","1")</f>
        <v>-12.11372064</v>
      </c>
      <c r="H2834" s="11">
        <f>[1]!EM_S_FA_YOY_OR(B2834,E2834)</f>
        <v>21.138501796300002</v>
      </c>
      <c r="I2834" s="11">
        <f>[1]!EM_S_FA_GROSSPROFITMARGIN(B2834,E2834)</f>
        <v>25.311810763800001</v>
      </c>
      <c r="J2834" s="11">
        <f>[1]!EM_S_FA_NETPROFITMARGIN(B2834,E2834)</f>
        <v>6.8078045814000001</v>
      </c>
      <c r="K2834" s="10">
        <f>[1]!EM_S_FA_ASSETSTURN(B2834,E2834)</f>
        <v>0.73974480368100004</v>
      </c>
      <c r="L2834" s="12">
        <f>[1]!EM_HKS_VAL_MV(B2834,"2019-12-31","2")</f>
        <v>3801074433.2399998</v>
      </c>
      <c r="M2834">
        <f>[1]!EM_S_VAL_PETTMDEDUCTED(B2834,E2834)</f>
        <v>14.207815671176901</v>
      </c>
      <c r="N2834" s="7">
        <f>[1]!EM_S_VAL_PBGOODWILLDEDUCTED(B2834,E2834)</f>
        <v>1.23483143182778</v>
      </c>
      <c r="O2834" s="7">
        <f>[1]!EM_S_VAL_PS_TTM(B2834,E2834)</f>
        <v>0.753195149488465</v>
      </c>
      <c r="P2834" s="7">
        <f>[1]!EM_S_VAL_PCF_NCFTTM(B2834,E2834)</f>
        <v>-35.824439486918401</v>
      </c>
      <c r="Q2834" s="7">
        <f>[1]!EM_S_VAL_DIVIDENDYIELD2(B2834,E2834,"2019-11-29")</f>
        <v>4.6528803545051689</v>
      </c>
      <c r="T2834"/>
      <c r="U2834">
        <f>[1]!EM_S_RATIO_EPS_TTM(B2834,E2834,"1")</f>
        <v>0.63207327625222254</v>
      </c>
      <c r="AT2834" s="4" t="str">
        <f>[1]!EM_S_IPO_LISTEDDATE(B2834)</f>
        <v>2006-12-29</v>
      </c>
    </row>
    <row r="2835" spans="1:46">
      <c r="A2835">
        <v>326</v>
      </c>
      <c r="B2835" t="str">
        <f>"000757"</f>
        <v>000757</v>
      </c>
      <c r="C2835" t="s">
        <v>1263</v>
      </c>
      <c r="D2835" t="str">
        <f>[1]!EM_S_INFO_INDEX_EM(B2835,"1")</f>
        <v>交运设备</v>
      </c>
      <c r="E2835" s="4">
        <f t="shared" si="44"/>
        <v>43465</v>
      </c>
      <c r="F2835" s="11">
        <f>[1]!EM_S_PQ_PCTCHANGE(B2835,"2018-01-01","2019-12-31","3")</f>
        <v>-34.423897580000002</v>
      </c>
      <c r="G2835" s="11">
        <f>[1]!EM_S_PQ_PCTCHANGE(B2835,"2018-12-31","2019-12-30","1")</f>
        <v>-12.16730038</v>
      </c>
      <c r="H2835" s="11">
        <f>[1]!EM_S_FA_YOY_OR(B2835,E2835)</f>
        <v>3.0673034266000001</v>
      </c>
      <c r="I2835" s="11">
        <f>[1]!EM_S_FA_GROSSPROFITMARGIN(B2835,E2835)</f>
        <v>31.809237372199998</v>
      </c>
      <c r="J2835" s="11">
        <f>[1]!EM_S_FA_NETPROFITMARGIN(B2835,E2835)</f>
        <v>12.549344705499999</v>
      </c>
      <c r="K2835" s="10">
        <f>[1]!EM_S_FA_ASSETSTURN(B2835,E2835)</f>
        <v>0.53625235500000001</v>
      </c>
      <c r="L2835" s="12">
        <f>[1]!EM_HKS_VAL_MV(B2835,"2019-12-31","2")</f>
        <v>2789818823.5300002</v>
      </c>
      <c r="M2835">
        <f>[1]!EM_S_VAL_PETTMDEDUCTED(B2835,E2835)</f>
        <v>39.682318670998498</v>
      </c>
      <c r="N2835" s="7">
        <f>[1]!EM_S_VAL_PBGOODWILLDEDUCTED(B2835,E2835)</f>
        <v>3.3978251694921702</v>
      </c>
      <c r="O2835" s="7">
        <f>[1]!EM_S_VAL_PS_TTM(B2835,E2835)</f>
        <v>3.5948459495315102</v>
      </c>
      <c r="P2835" s="7">
        <f>[1]!EM_S_VAL_PCF_NCFTTM(B2835,E2835)</f>
        <v>78.892396516255104</v>
      </c>
      <c r="Q2835" s="7">
        <f>[1]!EM_S_VAL_DIVIDENDYIELD2(B2835,E2835,"2019-11-29")</f>
        <v>0</v>
      </c>
      <c r="T2835"/>
      <c r="U2835">
        <f>[1]!EM_S_RATIO_EPS_TTM(B2835,E2835,"1")</f>
        <v>0.17529697503807817</v>
      </c>
      <c r="AT2835" s="4" t="str">
        <f>[1]!EM_S_IPO_LISTEDDATE(B2835)</f>
        <v>1997-06-27</v>
      </c>
    </row>
    <row r="2836" spans="1:46">
      <c r="A2836">
        <v>285</v>
      </c>
      <c r="B2836" t="str">
        <f>"000701"</f>
        <v>000701</v>
      </c>
      <c r="C2836" t="s">
        <v>3074</v>
      </c>
      <c r="D2836" t="str">
        <f>[1]!EM_S_INFO_INDEX_EM(B2836,"1")</f>
        <v>商贸零售</v>
      </c>
      <c r="E2836" s="4">
        <f t="shared" si="44"/>
        <v>43465</v>
      </c>
      <c r="F2836" s="11">
        <f>[1]!EM_S_PQ_PCTCHANGE(B2836,"2018-01-01","2019-12-31","3")</f>
        <v>-46.685427760000003</v>
      </c>
      <c r="G2836" s="11">
        <f>[1]!EM_S_PQ_PCTCHANGE(B2836,"2018-12-31","2019-12-30","1")</f>
        <v>-12.211221119999999</v>
      </c>
      <c r="H2836" s="11">
        <f>[1]!EM_S_FA_YOY_OR(B2836,E2836)</f>
        <v>18.766004127999999</v>
      </c>
      <c r="I2836" s="11">
        <f>[1]!EM_S_FA_GROSSPROFITMARGIN(B2836,E2836)</f>
        <v>2.5806099255000001</v>
      </c>
      <c r="J2836" s="11">
        <f>[1]!EM_S_FA_NETPROFITMARGIN(B2836,E2836)</f>
        <v>7.2999438599999994E-2</v>
      </c>
      <c r="K2836" s="10">
        <f>[1]!EM_S_FA_ASSETSTURN(B2836,E2836)</f>
        <v>4.0722056228039998</v>
      </c>
      <c r="L2836" s="12">
        <f>[1]!EM_HKS_VAL_MV(B2836,"2019-12-31","2")</f>
        <v>2159115327.3600001</v>
      </c>
      <c r="M2836">
        <f>[1]!EM_S_VAL_PETTMDEDUCTED(B2836,E2836)</f>
        <v>-6.3651993449482402</v>
      </c>
      <c r="N2836" s="7">
        <f>[1]!EM_S_VAL_PBGOODWILLDEDUCTED(B2836,E2836)</f>
        <v>0.90297293474773999</v>
      </c>
      <c r="O2836" s="7">
        <f>[1]!EM_S_VAL_PS_TTM(B2836,E2836)</f>
        <v>4.3592809784703798E-2</v>
      </c>
      <c r="P2836" s="7">
        <f>[1]!EM_S_VAL_PCF_NCFTTM(B2836,E2836)</f>
        <v>2.5417053597916301</v>
      </c>
      <c r="Q2836" s="7">
        <f>[1]!EM_S_VAL_DIVIDENDYIELD2(B2836,E2836,"2019-11-29")</f>
        <v>0.25896414342629481</v>
      </c>
      <c r="T2836"/>
      <c r="U2836">
        <f>[1]!EM_S_RATIO_EPS_TTM(B2836,E2836,"1")</f>
        <v>5.5395850225724179E-2</v>
      </c>
      <c r="AT2836" s="4" t="str">
        <f>[1]!EM_S_IPO_LISTEDDATE(B2836)</f>
        <v>1997-02-26</v>
      </c>
    </row>
    <row r="2837" spans="1:46">
      <c r="A2837">
        <v>2387</v>
      </c>
      <c r="B2837" t="str">
        <f>"600256"</f>
        <v>600256</v>
      </c>
      <c r="C2837" t="s">
        <v>414</v>
      </c>
      <c r="D2837" t="str">
        <f>[1]!EM_S_INFO_INDEX_EM(B2837,"1")</f>
        <v>化石能源</v>
      </c>
      <c r="E2837" s="4">
        <f t="shared" si="44"/>
        <v>43465</v>
      </c>
      <c r="F2837" s="11">
        <f>[1]!EM_S_PQ_PCTCHANGE(B2837,"2018-01-01","2019-12-31","3")</f>
        <v>-25.10258988</v>
      </c>
      <c r="G2837" s="11">
        <f>[1]!EM_S_PQ_PCTCHANGE(B2837,"2018-12-31","2019-12-30","1")</f>
        <v>-12.23404255</v>
      </c>
      <c r="H2837" s="11">
        <f>[1]!EM_S_FA_YOY_OR(B2837,E2837)</f>
        <v>58.576657986800001</v>
      </c>
      <c r="I2837" s="11">
        <f>[1]!EM_S_FA_GROSSPROFITMARGIN(B2837,E2837)</f>
        <v>36.302509539600003</v>
      </c>
      <c r="J2837" s="11">
        <f>[1]!EM_S_FA_NETPROFITMARGIN(B2837,E2837)</f>
        <v>12.6036036662</v>
      </c>
      <c r="K2837" s="10">
        <f>[1]!EM_S_FA_ASSETSTURN(B2837,E2837)</f>
        <v>0.27708612736499999</v>
      </c>
      <c r="L2837" s="12">
        <f>[1]!EM_HKS_VAL_MV(B2837,"2019-12-31","2")</f>
        <v>22488057150.700001</v>
      </c>
      <c r="M2837">
        <f>[1]!EM_S_VAL_PETTMDEDUCTED(B2837,E2837)</f>
        <v>13.527876237391901</v>
      </c>
      <c r="N2837" s="7">
        <f>[1]!EM_S_VAL_PBGOODWILLDEDUCTED(B2837,E2837)</f>
        <v>1.6987557509176801</v>
      </c>
      <c r="O2837" s="7">
        <f>[1]!EM_S_VAL_PS_TTM(B2837,E2837)</f>
        <v>1.9815376478231399</v>
      </c>
      <c r="P2837" s="7">
        <f>[1]!EM_S_VAL_PCF_NCFTTM(B2837,E2837)</f>
        <v>16.845747640193299</v>
      </c>
      <c r="Q2837" s="7">
        <f>[1]!EM_S_VAL_DIVIDENDYIELD2(B2837,E2837,"2019-11-29")</f>
        <v>3.0769230769230771</v>
      </c>
      <c r="T2837"/>
      <c r="U2837">
        <f>[1]!EM_S_RATIO_EPS_TTM(B2837,E2837,"1")</f>
        <v>0.25883624760141161</v>
      </c>
      <c r="AT2837" s="4" t="str">
        <f>[1]!EM_S_IPO_LISTEDDATE(B2837)</f>
        <v>2000-05-26</v>
      </c>
    </row>
    <row r="2838" spans="1:46">
      <c r="A2838">
        <v>3511</v>
      </c>
      <c r="B2838" t="str">
        <f>"603716"</f>
        <v>603716</v>
      </c>
      <c r="C2838" t="s">
        <v>1380</v>
      </c>
      <c r="D2838" t="str">
        <f>[1]!EM_S_INFO_INDEX_EM(B2838,"1")</f>
        <v>医药生物</v>
      </c>
      <c r="E2838" s="4">
        <f t="shared" si="44"/>
        <v>43465</v>
      </c>
      <c r="F2838" s="11">
        <f>[1]!EM_S_PQ_PCTCHANGE(B2838,"2018-01-01","2019-12-31","3")</f>
        <v>-14.62177582</v>
      </c>
      <c r="G2838" s="11">
        <f>[1]!EM_S_PQ_PCTCHANGE(B2838,"2018-12-31","2019-12-30","1")</f>
        <v>-12.24382554</v>
      </c>
      <c r="H2838" s="11">
        <f>[1]!EM_S_FA_YOY_OR(B2838,E2838)</f>
        <v>43.120301382199997</v>
      </c>
      <c r="I2838" s="11">
        <f>[1]!EM_S_FA_GROSSPROFITMARGIN(B2838,E2838)</f>
        <v>31.7276419421</v>
      </c>
      <c r="J2838" s="11">
        <f>[1]!EM_S_FA_NETPROFITMARGIN(B2838,E2838)</f>
        <v>8.8373837819999999</v>
      </c>
      <c r="K2838" s="10">
        <f>[1]!EM_S_FA_ASSETSTURN(B2838,E2838)</f>
        <v>0.63457689413200002</v>
      </c>
      <c r="L2838" s="12">
        <f>[1]!EM_HKS_VAL_MV(B2838,"2019-12-31","2")</f>
        <v>3464877245.0100002</v>
      </c>
      <c r="M2838">
        <f>[1]!EM_S_VAL_PETTMDEDUCTED(B2838,E2838)</f>
        <v>36.433372450584599</v>
      </c>
      <c r="N2838" s="7">
        <f>[1]!EM_S_VAL_PBGOODWILLDEDUCTED(B2838,E2838)</f>
        <v>2.7889979088931298</v>
      </c>
      <c r="O2838" s="7">
        <f>[1]!EM_S_VAL_PS_TTM(B2838,E2838)</f>
        <v>3.1716532322973001</v>
      </c>
      <c r="P2838" s="7">
        <f>[1]!EM_S_VAL_PCF_NCFTTM(B2838,E2838)</f>
        <v>7.8754515964201204</v>
      </c>
      <c r="Q2838" s="7">
        <f>[1]!EM_S_VAL_DIVIDENDYIELD2(B2838,E2838,"2019-11-29")</f>
        <v>0</v>
      </c>
      <c r="T2838"/>
      <c r="U2838">
        <f>[1]!EM_S_RATIO_EPS_TTM(B2838,E2838,"1")</f>
        <v>0.45899089998416676</v>
      </c>
      <c r="AT2838" s="4" t="str">
        <f>[1]!EM_S_IPO_LISTEDDATE(B2838)</f>
        <v>2016-10-31</v>
      </c>
    </row>
    <row r="2839" spans="1:46">
      <c r="A2839">
        <v>1977</v>
      </c>
      <c r="B2839" t="str">
        <f>"300554"</f>
        <v>300554</v>
      </c>
      <c r="C2839" t="s">
        <v>79</v>
      </c>
      <c r="D2839" t="str">
        <f>[1]!EM_S_INFO_INDEX_EM(B2839,"1")</f>
        <v>有色金属</v>
      </c>
      <c r="E2839" s="4">
        <f t="shared" si="44"/>
        <v>43465</v>
      </c>
      <c r="F2839" s="11">
        <f>[1]!EM_S_PQ_PCTCHANGE(B2839,"2018-01-01","2019-12-31","3")</f>
        <v>-49.618687909999998</v>
      </c>
      <c r="G2839" s="11">
        <f>[1]!EM_S_PQ_PCTCHANGE(B2839,"2018-12-31","2019-12-30","1")</f>
        <v>-12.278820380000001</v>
      </c>
      <c r="H2839" s="11">
        <f>[1]!EM_S_FA_YOY_OR(B2839,E2839)</f>
        <v>17.446603381100001</v>
      </c>
      <c r="I2839" s="11">
        <f>[1]!EM_S_FA_GROSSPROFITMARGIN(B2839,E2839)</f>
        <v>40.681453946200001</v>
      </c>
      <c r="J2839" s="11">
        <f>[1]!EM_S_FA_NETPROFITMARGIN(B2839,E2839)</f>
        <v>11.135672680400001</v>
      </c>
      <c r="K2839" s="10">
        <f>[1]!EM_S_FA_ASSETSTURN(B2839,E2839)</f>
        <v>0.51925278878900005</v>
      </c>
      <c r="L2839" s="12">
        <f>[1]!EM_HKS_VAL_MV(B2839,"2019-12-31","2")</f>
        <v>1542528000</v>
      </c>
      <c r="M2839">
        <f>[1]!EM_S_VAL_PETTMDEDUCTED(B2839,E2839)</f>
        <v>16.494128891747099</v>
      </c>
      <c r="N2839" s="7">
        <f>[1]!EM_S_VAL_PBGOODWILLDEDUCTED(B2839,E2839)</f>
        <v>3.4905634764672699</v>
      </c>
      <c r="O2839" s="7">
        <f>[1]!EM_S_VAL_PS_TTM(B2839,E2839)</f>
        <v>4.4369096320441601</v>
      </c>
      <c r="P2839" s="7">
        <f>[1]!EM_S_VAL_PCF_NCFTTM(B2839,E2839)</f>
        <v>80.700168277353399</v>
      </c>
      <c r="Q2839" s="7">
        <f>[1]!EM_S_VAL_DIVIDENDYIELD2(B2839,E2839,"2019-11-29")</f>
        <v>0.6402048655569782</v>
      </c>
      <c r="U2839">
        <f>[1]!EM_S_RATIO_EPS_TTM(B2839,E2839,"1")</f>
        <v>0.39670511335470082</v>
      </c>
      <c r="AT2839" s="4" t="str">
        <f>[1]!EM_S_IPO_LISTEDDATE(B2839)</f>
        <v>2017-04-21</v>
      </c>
    </row>
    <row r="2840" spans="1:46">
      <c r="A2840">
        <v>1665</v>
      </c>
      <c r="B2840" t="str">
        <f>"300240"</f>
        <v>300240</v>
      </c>
      <c r="C2840" t="s">
        <v>1924</v>
      </c>
      <c r="D2840" t="str">
        <f>[1]!EM_S_INFO_INDEX_EM(B2840,"1")</f>
        <v>交通运输</v>
      </c>
      <c r="E2840" s="4">
        <f t="shared" si="44"/>
        <v>43465</v>
      </c>
      <c r="F2840" s="11">
        <f>[1]!EM_S_PQ_PCTCHANGE(B2840,"2018-01-01","2019-12-31","3")</f>
        <v>-40.636262189999997</v>
      </c>
      <c r="G2840" s="11">
        <f>[1]!EM_S_PQ_PCTCHANGE(B2840,"2018-12-31","2019-12-30","1")</f>
        <v>-12.2972973</v>
      </c>
      <c r="H2840" s="11">
        <f>[1]!EM_S_FA_YOY_OR(B2840,E2840)</f>
        <v>4.3476046992999997</v>
      </c>
      <c r="I2840" s="11">
        <f>[1]!EM_S_FA_GROSSPROFITMARGIN(B2840,E2840)</f>
        <v>10.782982781599999</v>
      </c>
      <c r="J2840" s="11">
        <f>[1]!EM_S_FA_NETPROFITMARGIN(B2840,E2840)</f>
        <v>0.8046781838</v>
      </c>
      <c r="K2840" s="10">
        <f>[1]!EM_S_FA_ASSETSTURN(B2840,E2840)</f>
        <v>1.372332891496</v>
      </c>
      <c r="L2840" s="12">
        <f>[1]!EM_HKS_VAL_MV(B2840,"2019-12-31","2")</f>
        <v>2372482777.5</v>
      </c>
      <c r="M2840">
        <f>[1]!EM_S_VAL_PETTMDEDUCTED(B2840,E2840)</f>
        <v>266.79530324301101</v>
      </c>
      <c r="N2840" s="7">
        <f>[1]!EM_S_VAL_PBGOODWILLDEDUCTED(B2840,E2840)</f>
        <v>2.5739875370407401</v>
      </c>
      <c r="O2840" s="7">
        <f>[1]!EM_S_VAL_PS_TTM(B2840,E2840)</f>
        <v>0.83628692699254503</v>
      </c>
      <c r="P2840" s="7">
        <f>[1]!EM_S_VAL_PCF_NCFTTM(B2840,E2840)</f>
        <v>-36.164884967463799</v>
      </c>
      <c r="Q2840" s="7">
        <f>[1]!EM_S_VAL_DIVIDENDYIELD2(B2840,E2840,"2019-11-29")</f>
        <v>0.3289473684210526</v>
      </c>
      <c r="T2840"/>
      <c r="U2840">
        <f>[1]!EM_S_RATIO_EPS_TTM(B2840,E2840,"1")</f>
        <v>4.044213510924001E-2</v>
      </c>
      <c r="AT2840" s="4" t="str">
        <f>[1]!EM_S_IPO_LISTEDDATE(B2840)</f>
        <v>2011-07-06</v>
      </c>
    </row>
    <row r="2841" spans="1:46">
      <c r="A2841">
        <v>2531</v>
      </c>
      <c r="B2841" t="str">
        <f>"600423"</f>
        <v>600423</v>
      </c>
      <c r="C2841" t="s">
        <v>50</v>
      </c>
      <c r="D2841" t="str">
        <f>[1]!EM_S_INFO_INDEX_EM(B2841,"1")</f>
        <v>基础化工</v>
      </c>
      <c r="E2841" s="4">
        <f t="shared" si="44"/>
        <v>43465</v>
      </c>
      <c r="F2841" s="11">
        <f>[1]!EM_S_PQ_PCTCHANGE(B2841,"2018-01-01","2019-12-31","3")</f>
        <v>-29.130204760000002</v>
      </c>
      <c r="G2841" s="11">
        <f>[1]!EM_S_PQ_PCTCHANGE(B2841,"2018-12-31","2019-12-30","1")</f>
        <v>-12.303664919999999</v>
      </c>
      <c r="H2841" s="11">
        <f>[1]!EM_S_FA_YOY_OR(B2841,E2841)</f>
        <v>9.7500062721000003</v>
      </c>
      <c r="I2841" s="11">
        <f>[1]!EM_S_FA_GROSSPROFITMARGIN(B2841,E2841)</f>
        <v>14.0401882734</v>
      </c>
      <c r="J2841" s="11">
        <f>[1]!EM_S_FA_NETPROFITMARGIN(B2841,E2841)</f>
        <v>18.705526592199998</v>
      </c>
      <c r="K2841" s="10">
        <f>[1]!EM_S_FA_ASSETSTURN(B2841,E2841)</f>
        <v>0.67555848311599997</v>
      </c>
      <c r="L2841" s="12">
        <f>[1]!EM_HKS_VAL_MV(B2841,"2019-12-31","2")</f>
        <v>2659654436.5799999</v>
      </c>
      <c r="M2841">
        <f>[1]!EM_S_VAL_PETTMDEDUCTED(B2841,E2841)</f>
        <v>-8.7762517845291192</v>
      </c>
      <c r="N2841" s="7">
        <f>[1]!EM_S_VAL_PBGOODWILLDEDUCTED(B2841,E2841)</f>
        <v>1.39376931304633</v>
      </c>
      <c r="O2841" s="7">
        <f>[1]!EM_S_VAL_PS_TTM(B2841,E2841)</f>
        <v>1.52754479908156</v>
      </c>
      <c r="P2841" s="7">
        <f>[1]!EM_S_VAL_PCF_NCFTTM(B2841,E2841)</f>
        <v>14.9481946642385</v>
      </c>
      <c r="Q2841" s="7">
        <f>[1]!EM_S_VAL_DIVIDENDYIELD2(B2841,E2841,"2019-11-29")</f>
        <v>0</v>
      </c>
      <c r="T2841"/>
      <c r="U2841">
        <f>[1]!EM_S_RATIO_EPS_TTM(B2841,E2841,"1")</f>
        <v>0.4886759124752581</v>
      </c>
      <c r="AT2841" s="4" t="str">
        <f>[1]!EM_S_IPO_LISTEDDATE(B2841)</f>
        <v>2003-07-17</v>
      </c>
    </row>
    <row r="2842" spans="1:46">
      <c r="A2842">
        <v>2111</v>
      </c>
      <c r="B2842" t="str">
        <f>"300693"</f>
        <v>300693</v>
      </c>
      <c r="C2842" t="s">
        <v>1284</v>
      </c>
      <c r="D2842" t="str">
        <f>[1]!EM_S_INFO_INDEX_EM(B2842,"1")</f>
        <v>电气设备</v>
      </c>
      <c r="E2842" s="4">
        <f t="shared" si="44"/>
        <v>43465</v>
      </c>
      <c r="F2842" s="11">
        <f>[1]!EM_S_PQ_PCTCHANGE(B2842,"2018-01-01","2019-12-31","3")</f>
        <v>-36.80241745</v>
      </c>
      <c r="G2842" s="11">
        <f>[1]!EM_S_PQ_PCTCHANGE(B2842,"2018-12-31","2019-12-30","1")</f>
        <v>-12.3739072</v>
      </c>
      <c r="H2842" s="11">
        <f>[1]!EM_S_FA_YOY_OR(B2842,E2842)</f>
        <v>17.720435424800002</v>
      </c>
      <c r="I2842" s="11">
        <f>[1]!EM_S_FA_GROSSPROFITMARGIN(B2842,E2842)</f>
        <v>46.002417399099997</v>
      </c>
      <c r="J2842" s="11">
        <f>[1]!EM_S_FA_NETPROFITMARGIN(B2842,E2842)</f>
        <v>9.1258281094000004</v>
      </c>
      <c r="K2842" s="10">
        <f>[1]!EM_S_FA_ASSETSTURN(B2842,E2842)</f>
        <v>0.62887831490000001</v>
      </c>
      <c r="L2842" s="12">
        <f>[1]!EM_HKS_VAL_MV(B2842,"2019-12-31","2")</f>
        <v>1961065214.5699999</v>
      </c>
      <c r="M2842">
        <f>[1]!EM_S_VAL_PETTMDEDUCTED(B2842,E2842)</f>
        <v>51.001830438349998</v>
      </c>
      <c r="N2842" s="7">
        <f>[1]!EM_S_VAL_PBGOODWILLDEDUCTED(B2842,E2842)</f>
        <v>3.33713065460271</v>
      </c>
      <c r="O2842" s="7">
        <f>[1]!EM_S_VAL_PS_TTM(B2842,E2842)</f>
        <v>4.0048914592612501</v>
      </c>
      <c r="P2842" s="7">
        <f>[1]!EM_S_VAL_PCF_NCFTTM(B2842,E2842)</f>
        <v>-8.7704581811885696</v>
      </c>
      <c r="Q2842" s="7">
        <f>[1]!EM_S_VAL_DIVIDENDYIELD2(B2842,E2842,"2019-11-29")</f>
        <v>0.84745762711864403</v>
      </c>
      <c r="T2842"/>
      <c r="U2842">
        <f>[1]!EM_S_RATIO_EPS_TTM(B2842,E2842,"1")</f>
        <v>0.35426738389499962</v>
      </c>
      <c r="AT2842" s="4" t="str">
        <f>[1]!EM_S_IPO_LISTEDDATE(B2842)</f>
        <v>2017-08-22</v>
      </c>
    </row>
    <row r="2843" spans="1:46">
      <c r="A2843">
        <v>1344</v>
      </c>
      <c r="B2843" t="str">
        <f>"002842"</f>
        <v>002842</v>
      </c>
      <c r="C2843" t="s">
        <v>945</v>
      </c>
      <c r="D2843" t="str">
        <f>[1]!EM_S_INFO_INDEX_EM(B2843,"1")</f>
        <v>有色金属</v>
      </c>
      <c r="E2843" s="4">
        <f t="shared" si="44"/>
        <v>43465</v>
      </c>
      <c r="F2843" s="11">
        <f>[1]!EM_S_PQ_PCTCHANGE(B2843,"2018-01-01","2019-12-31","3")</f>
        <v>-19.71951297</v>
      </c>
      <c r="G2843" s="11">
        <f>[1]!EM_S_PQ_PCTCHANGE(B2843,"2018-12-31","2019-12-30","1")</f>
        <v>-12.37590999</v>
      </c>
      <c r="H2843" s="11">
        <f>[1]!EM_S_FA_YOY_OR(B2843,E2843)</f>
        <v>71.665683106100005</v>
      </c>
      <c r="I2843" s="11">
        <f>[1]!EM_S_FA_GROSSPROFITMARGIN(B2843,E2843)</f>
        <v>15.5017467685</v>
      </c>
      <c r="J2843" s="11">
        <f>[1]!EM_S_FA_NETPROFITMARGIN(B2843,E2843)</f>
        <v>6.9904847025999999</v>
      </c>
      <c r="K2843" s="10">
        <f>[1]!EM_S_FA_ASSETSTURN(B2843,E2843)</f>
        <v>0.95138394738499998</v>
      </c>
      <c r="L2843" s="12">
        <f>[1]!EM_HKS_VAL_MV(B2843,"2019-12-31","2")</f>
        <v>3520392512</v>
      </c>
      <c r="M2843">
        <f>[1]!EM_S_VAL_PETTMDEDUCTED(B2843,E2843)</f>
        <v>25.821427350073701</v>
      </c>
      <c r="N2843" s="7">
        <f>[1]!EM_S_VAL_PBGOODWILLDEDUCTED(B2843,E2843)</f>
        <v>3.20345220485419</v>
      </c>
      <c r="O2843" s="7">
        <f>[1]!EM_S_VAL_PS_TTM(B2843,E2843)</f>
        <v>1.70862279143672</v>
      </c>
      <c r="P2843" s="7">
        <f>[1]!EM_S_VAL_PCF_NCFTTM(B2843,E2843)</f>
        <v>-65.694134555397</v>
      </c>
      <c r="Q2843" s="7">
        <f>[1]!EM_S_VAL_DIVIDENDYIELD2(B2843,E2843,"2019-11-29")</f>
        <v>0.55903398926654746</v>
      </c>
      <c r="T2843"/>
      <c r="U2843">
        <f>[1]!EM_S_RATIO_EPS_TTM(B2843,E2843,"1")</f>
        <v>0.6265478631176471</v>
      </c>
      <c r="AT2843" s="4" t="str">
        <f>[1]!EM_S_IPO_LISTEDDATE(B2843)</f>
        <v>2017-01-19</v>
      </c>
    </row>
    <row r="2844" spans="1:46">
      <c r="A2844">
        <v>1236</v>
      </c>
      <c r="B2844" t="str">
        <f>"002726"</f>
        <v>002726</v>
      </c>
      <c r="C2844" t="s">
        <v>478</v>
      </c>
      <c r="D2844" t="str">
        <f>[1]!EM_S_INFO_INDEX_EM(B2844,"1")</f>
        <v>食品饮料</v>
      </c>
      <c r="E2844" s="4">
        <f t="shared" si="44"/>
        <v>43465</v>
      </c>
      <c r="F2844" s="11">
        <f>[1]!EM_S_PQ_PCTCHANGE(B2844,"2018-01-01","2019-12-31","3")</f>
        <v>-19.343048750000001</v>
      </c>
      <c r="G2844" s="11">
        <f>[1]!EM_S_PQ_PCTCHANGE(B2844,"2018-12-31","2019-12-30","1")</f>
        <v>-12.38938053</v>
      </c>
      <c r="H2844" s="11">
        <f>[1]!EM_S_FA_YOY_OR(B2844,E2844)</f>
        <v>33.5609413448</v>
      </c>
      <c r="I2844" s="11">
        <f>[1]!EM_S_FA_GROSSPROFITMARGIN(B2844,E2844)</f>
        <v>7.1301992086999997</v>
      </c>
      <c r="J2844" s="11">
        <f>[1]!EM_S_FA_NETPROFITMARGIN(B2844,E2844)</f>
        <v>2.3430954194</v>
      </c>
      <c r="K2844" s="10">
        <f>[1]!EM_S_FA_ASSETSTURN(B2844,E2844)</f>
        <v>2.7875535795520001</v>
      </c>
      <c r="L2844" s="12">
        <f>[1]!EM_HKS_VAL_MV(B2844,"2019-12-31","2")</f>
        <v>6875486800</v>
      </c>
      <c r="M2844">
        <f>[1]!EM_S_VAL_PETTMDEDUCTED(B2844,E2844)</f>
        <v>42.340789382988198</v>
      </c>
      <c r="N2844" s="7">
        <f>[1]!EM_S_VAL_PBGOODWILLDEDUCTED(B2844,E2844)</f>
        <v>2.9202016952010599</v>
      </c>
      <c r="O2844" s="7">
        <f>[1]!EM_S_VAL_PS_TTM(B2844,E2844)</f>
        <v>0.75504574302779903</v>
      </c>
      <c r="P2844" s="7">
        <f>[1]!EM_S_VAL_PCF_NCFTTM(B2844,E2844)</f>
        <v>35.144318396045101</v>
      </c>
      <c r="Q2844" s="7">
        <f>[1]!EM_S_VAL_DIVIDENDYIELD2(B2844,E2844,"2019-11-29")</f>
        <v>0.52094879184216358</v>
      </c>
      <c r="T2844"/>
      <c r="U2844">
        <f>[1]!EM_S_RATIO_EPS_TTM(B2844,E2844,"1")</f>
        <v>0.23417265394951939</v>
      </c>
      <c r="AT2844" s="4" t="str">
        <f>[1]!EM_S_IPO_LISTEDDATE(B2844)</f>
        <v>2014-06-26</v>
      </c>
    </row>
    <row r="2845" spans="1:46">
      <c r="A2845">
        <v>824</v>
      </c>
      <c r="B2845" t="str">
        <f>"002313"</f>
        <v>002313</v>
      </c>
      <c r="C2845" t="s">
        <v>3207</v>
      </c>
      <c r="D2845" t="str">
        <f>[1]!EM_S_INFO_INDEX_EM(B2845,"1")</f>
        <v>信息技术</v>
      </c>
      <c r="E2845" s="4">
        <f t="shared" si="44"/>
        <v>43465</v>
      </c>
      <c r="F2845" s="11">
        <f>[1]!EM_S_PQ_PCTCHANGE(B2845,"2018-01-01","2019-12-31","3")</f>
        <v>-38.76314206</v>
      </c>
      <c r="G2845" s="11">
        <f>[1]!EM_S_PQ_PCTCHANGE(B2845,"2018-12-31","2019-12-30","1")</f>
        <v>-12.4003543</v>
      </c>
      <c r="H2845" s="11">
        <f>[1]!EM_S_FA_YOY_OR(B2845,E2845)</f>
        <v>47.8396340213</v>
      </c>
      <c r="I2845" s="11">
        <f>[1]!EM_S_FA_GROSSPROFITMARGIN(B2845,E2845)</f>
        <v>17.652771640699999</v>
      </c>
      <c r="J2845" s="11">
        <f>[1]!EM_S_FA_NETPROFITMARGIN(B2845,E2845)</f>
        <v>1.5791481924999999</v>
      </c>
      <c r="K2845" s="10">
        <f>[1]!EM_S_FA_ASSETSTURN(B2845,E2845)</f>
        <v>0.74566493603499995</v>
      </c>
      <c r="L2845" s="12">
        <f>[1]!EM_HKS_VAL_MV(B2845,"2019-12-31","2")</f>
        <v>6177600000</v>
      </c>
      <c r="M2845">
        <f>[1]!EM_S_VAL_PETTMDEDUCTED(B2845,E2845)</f>
        <v>60.895666002301198</v>
      </c>
      <c r="N2845" s="7">
        <f>[1]!EM_S_VAL_PBGOODWILLDEDUCTED(B2845,E2845)</f>
        <v>4.6516809961083698</v>
      </c>
      <c r="O2845" s="7">
        <f>[1]!EM_S_VAL_PS_TTM(B2845,E2845)</f>
        <v>1.82206189344162</v>
      </c>
      <c r="P2845" s="7">
        <f>[1]!EM_S_VAL_PCF_NCFTTM(B2845,E2845)</f>
        <v>77.377625959013898</v>
      </c>
      <c r="Q2845" s="7">
        <f>[1]!EM_S_VAL_DIVIDENDYIELD2(B2845,E2845,"2019-11-29")</f>
        <v>0.1321353065539112</v>
      </c>
      <c r="T2845"/>
      <c r="U2845">
        <f>[1]!EM_S_RATIO_EPS_TTM(B2845,E2845,"1")</f>
        <v>0.22979822714743592</v>
      </c>
      <c r="AT2845" s="4" t="str">
        <f>[1]!EM_S_IPO_LISTEDDATE(B2845)</f>
        <v>2009-12-03</v>
      </c>
    </row>
    <row r="2846" spans="1:46">
      <c r="A2846">
        <v>1363</v>
      </c>
      <c r="B2846" t="str">
        <f>"002863"</f>
        <v>002863</v>
      </c>
      <c r="C2846" t="s">
        <v>1707</v>
      </c>
      <c r="D2846" t="str">
        <f>[1]!EM_S_INFO_INDEX_EM(B2846,"1")</f>
        <v>交运设备</v>
      </c>
      <c r="E2846" s="4">
        <f t="shared" si="44"/>
        <v>43465</v>
      </c>
      <c r="F2846" s="11">
        <f>[1]!EM_S_PQ_PCTCHANGE(B2846,"2018-01-01","2019-12-31","3")</f>
        <v>-24.526957540000002</v>
      </c>
      <c r="G2846" s="11">
        <f>[1]!EM_S_PQ_PCTCHANGE(B2846,"2018-12-31","2019-12-30","1")</f>
        <v>-12.401883829999999</v>
      </c>
      <c r="H2846" s="11">
        <f>[1]!EM_S_FA_YOY_OR(B2846,E2846)</f>
        <v>11.5376082467</v>
      </c>
      <c r="I2846" s="11">
        <f>[1]!EM_S_FA_GROSSPROFITMARGIN(B2846,E2846)</f>
        <v>16.2320459245</v>
      </c>
      <c r="J2846" s="11">
        <f>[1]!EM_S_FA_NETPROFITMARGIN(B2846,E2846)</f>
        <v>2.2832369826000001</v>
      </c>
      <c r="K2846" s="10">
        <f>[1]!EM_S_FA_ASSETSTURN(B2846,E2846)</f>
        <v>0.72909046231700003</v>
      </c>
      <c r="L2846" s="12">
        <f>[1]!EM_HKS_VAL_MV(B2846,"2019-12-31","2")</f>
        <v>2101172882.4000001</v>
      </c>
      <c r="M2846">
        <f>[1]!EM_S_VAL_PETTMDEDUCTED(B2846,E2846)</f>
        <v>48.508506940134403</v>
      </c>
      <c r="N2846" s="7">
        <f>[1]!EM_S_VAL_PBGOODWILLDEDUCTED(B2846,E2846)</f>
        <v>2.51797945967063</v>
      </c>
      <c r="O2846" s="7">
        <f>[1]!EM_S_VAL_PS_TTM(B2846,E2846)</f>
        <v>0.82884333610459004</v>
      </c>
      <c r="P2846" s="7">
        <f>[1]!EM_S_VAL_PCF_NCFTTM(B2846,E2846)</f>
        <v>-75.439372792367706</v>
      </c>
      <c r="Q2846" s="7">
        <f>[1]!EM_S_VAL_DIVIDENDYIELD2(B2846,E2846,"2019-11-29")</f>
        <v>0.34548673031408617</v>
      </c>
      <c r="T2846"/>
      <c r="U2846">
        <f>[1]!EM_S_RATIO_EPS_TTM(B2846,E2846,"1")</f>
        <v>0.17175837373522773</v>
      </c>
      <c r="AT2846" s="4" t="str">
        <f>[1]!EM_S_IPO_LISTEDDATE(B2846)</f>
        <v>2017-04-18</v>
      </c>
    </row>
    <row r="2847" spans="1:46">
      <c r="A2847">
        <v>3345</v>
      </c>
      <c r="B2847" t="str">
        <f>"603303"</f>
        <v>603303</v>
      </c>
      <c r="C2847" t="s">
        <v>1665</v>
      </c>
      <c r="D2847" t="str">
        <f>[1]!EM_S_INFO_INDEX_EM(B2847,"1")</f>
        <v>电子设备</v>
      </c>
      <c r="E2847" s="4">
        <f t="shared" si="44"/>
        <v>43465</v>
      </c>
      <c r="F2847" s="11">
        <f>[1]!EM_S_PQ_PCTCHANGE(B2847,"2018-01-01","2019-12-31","3")</f>
        <v>-12.240428570000001</v>
      </c>
      <c r="G2847" s="11">
        <f>[1]!EM_S_PQ_PCTCHANGE(B2847,"2018-12-31","2019-12-30","1")</f>
        <v>-12.48945148</v>
      </c>
      <c r="H2847" s="11">
        <f>[1]!EM_S_FA_YOY_OR(B2847,E2847)</f>
        <v>-0.89210383969999996</v>
      </c>
      <c r="I2847" s="11">
        <f>[1]!EM_S_FA_GROSSPROFITMARGIN(B2847,E2847)</f>
        <v>15.627712470700001</v>
      </c>
      <c r="J2847" s="11">
        <f>[1]!EM_S_FA_NETPROFITMARGIN(B2847,E2847)</f>
        <v>6.1926305331</v>
      </c>
      <c r="K2847" s="10">
        <f>[1]!EM_S_FA_ASSETSTURN(B2847,E2847)</f>
        <v>1.0909957721570001</v>
      </c>
      <c r="L2847" s="12">
        <f>[1]!EM_HKS_VAL_MV(B2847,"2019-12-31","2")</f>
        <v>5028345423.46</v>
      </c>
      <c r="M2847">
        <f>[1]!EM_S_VAL_PETTMDEDUCTED(B2847,E2847)</f>
        <v>28.474067436195899</v>
      </c>
      <c r="N2847" s="7">
        <f>[1]!EM_S_VAL_PBGOODWILLDEDUCTED(B2847,E2847)</f>
        <v>1.8809152319325799</v>
      </c>
      <c r="O2847" s="7">
        <f>[1]!EM_S_VAL_PS_TTM(B2847,E2847)</f>
        <v>1.25518333939896</v>
      </c>
      <c r="P2847" s="7">
        <f>[1]!EM_S_VAL_PCF_NCFTTM(B2847,E2847)</f>
        <v>10.3580820460919</v>
      </c>
      <c r="Q2847" s="7">
        <f>[1]!EM_S_VAL_DIVIDENDYIELD2(B2847,E2847,"2019-11-29")</f>
        <v>1.9221779617977834</v>
      </c>
      <c r="T2847"/>
      <c r="U2847">
        <f>[1]!EM_S_RATIO_EPS_TTM(B2847,E2847,"1")</f>
        <v>0.60644922306372551</v>
      </c>
      <c r="AT2847" s="4" t="str">
        <f>[1]!EM_S_IPO_LISTEDDATE(B2847)</f>
        <v>2017-03-30</v>
      </c>
    </row>
    <row r="2848" spans="1:46">
      <c r="A2848">
        <v>3475</v>
      </c>
      <c r="B2848" t="str">
        <f>"603650"</f>
        <v>603650</v>
      </c>
      <c r="C2848" t="s">
        <v>44</v>
      </c>
      <c r="D2848" t="str">
        <f>[1]!EM_S_INFO_INDEX_EM(B2848,"1")</f>
        <v>基础化工</v>
      </c>
      <c r="E2848" s="4">
        <f t="shared" si="44"/>
        <v>43465</v>
      </c>
      <c r="F2848" s="11">
        <f>[1]!EM_S_PQ_PCTCHANGE(B2848,"2018-01-01","2019-12-31","3")</f>
        <v>43.811916879999998</v>
      </c>
      <c r="G2848" s="11">
        <f>[1]!EM_S_PQ_PCTCHANGE(B2848,"2018-12-31","2019-12-30","1")</f>
        <v>-12.506303580000001</v>
      </c>
      <c r="H2848" s="11">
        <f>[1]!EM_S_FA_YOY_OR(B2848,E2848)</f>
        <v>14.410369936</v>
      </c>
      <c r="I2848" s="11">
        <f>[1]!EM_S_FA_GROSSPROFITMARGIN(B2848,E2848)</f>
        <v>36.204142127700003</v>
      </c>
      <c r="J2848" s="11">
        <f>[1]!EM_S_FA_NETPROFITMARGIN(B2848,E2848)</f>
        <v>18.924114358299999</v>
      </c>
      <c r="K2848" s="10">
        <f>[1]!EM_S_FA_ASSETSTURN(B2848,E2848)</f>
        <v>0.86237530031099996</v>
      </c>
      <c r="L2848" s="12">
        <f>[1]!EM_HKS_VAL_MV(B2848,"2019-12-31","2")</f>
        <v>10207902250</v>
      </c>
      <c r="M2848">
        <f>[1]!EM_S_VAL_PETTMDEDUCTED(B2848,E2848)</f>
        <v>28.7303171058381</v>
      </c>
      <c r="N2848" s="7">
        <f>[1]!EM_S_VAL_PBGOODWILLDEDUCTED(B2848,E2848)</f>
        <v>5.1078293543289899</v>
      </c>
      <c r="O2848" s="7">
        <f>[1]!EM_S_VAL_PS_TTM(B2848,E2848)</f>
        <v>5.4357766247215702</v>
      </c>
      <c r="P2848" s="7">
        <f>[1]!EM_S_VAL_PCF_NCFTTM(B2848,E2848)</f>
        <v>106.104782879282</v>
      </c>
      <c r="Q2848" s="7">
        <f>[1]!EM_S_VAL_DIVIDENDYIELD2(B2848,E2848,"2019-11-29")</f>
        <v>2.0668693009118537</v>
      </c>
      <c r="T2848"/>
      <c r="U2848">
        <f>[1]!EM_S_RATIO_EPS_TTM(B2848,E2848,"1")</f>
        <v>0.70354030270270274</v>
      </c>
      <c r="AT2848" s="4" t="str">
        <f>[1]!EM_S_IPO_LISTEDDATE(B2848)</f>
        <v>2018-06-27</v>
      </c>
    </row>
    <row r="2849" spans="1:46">
      <c r="A2849">
        <v>2877</v>
      </c>
      <c r="B2849" t="str">
        <f>"600804"</f>
        <v>600804</v>
      </c>
      <c r="C2849" t="s">
        <v>1986</v>
      </c>
      <c r="D2849" t="str">
        <f>[1]!EM_S_INFO_INDEX_EM(B2849,"1")</f>
        <v>信息技术</v>
      </c>
      <c r="E2849" s="4">
        <f t="shared" si="44"/>
        <v>43465</v>
      </c>
      <c r="F2849" s="11">
        <f>[1]!EM_S_PQ_PCTCHANGE(B2849,"2018-01-01","2019-12-31","3")</f>
        <v>-63.551409200000002</v>
      </c>
      <c r="G2849" s="11">
        <f>[1]!EM_S_PQ_PCTCHANGE(B2849,"2018-12-31","2019-12-30","1")</f>
        <v>-12.51778094</v>
      </c>
      <c r="H2849" s="11">
        <f>[1]!EM_S_FA_YOY_OR(B2849,E2849)</f>
        <v>-16.035119755899998</v>
      </c>
      <c r="I2849" s="11">
        <f>[1]!EM_S_FA_GROSSPROFITMARGIN(B2849,E2849)</f>
        <v>50.959404855599999</v>
      </c>
      <c r="J2849" s="11">
        <f>[1]!EM_S_FA_NETPROFITMARGIN(B2849,E2849)</f>
        <v>5.4919457908</v>
      </c>
      <c r="K2849" s="10">
        <f>[1]!EM_S_FA_ASSETSTURN(B2849,E2849)</f>
        <v>0.29739912106700001</v>
      </c>
      <c r="L2849" s="12">
        <f>[1]!EM_HKS_VAL_MV(B2849,"2019-12-31","2")</f>
        <v>8766253109.8799992</v>
      </c>
      <c r="M2849">
        <f>[1]!EM_S_VAL_PETTMDEDUCTED(B2849,E2849)</f>
        <v>15.7965197742048</v>
      </c>
      <c r="N2849" s="7">
        <f>[1]!EM_S_VAL_PBGOODWILLDEDUCTED(B2849,E2849)</f>
        <v>2.0925661676182798</v>
      </c>
      <c r="O2849" s="7">
        <f>[1]!EM_S_VAL_PS_TTM(B2849,E2849)</f>
        <v>1.4188887951518501</v>
      </c>
      <c r="P2849" s="7">
        <f>[1]!EM_S_VAL_PCF_NCFTTM(B2849,E2849)</f>
        <v>-2.9769295897632202</v>
      </c>
      <c r="Q2849" s="7">
        <f>[1]!EM_S_VAL_DIVIDENDYIELD2(B2849,E2849,"2019-11-29")</f>
        <v>0</v>
      </c>
      <c r="T2849"/>
      <c r="U2849">
        <f>[1]!EM_S_RATIO_EPS_TTM(B2849,E2849,"1")</f>
        <v>0.26574033811549624</v>
      </c>
      <c r="AT2849" s="4" t="str">
        <f>[1]!EM_S_IPO_LISTEDDATE(B2849)</f>
        <v>1994-01-03</v>
      </c>
    </row>
    <row r="2850" spans="1:46">
      <c r="A2850">
        <v>293</v>
      </c>
      <c r="B2850" t="str">
        <f>"000711"</f>
        <v>000711</v>
      </c>
      <c r="C2850" t="s">
        <v>3467</v>
      </c>
      <c r="D2850" t="str">
        <f>[1]!EM_S_INFO_INDEX_EM(B2850,"1")</f>
        <v>建筑</v>
      </c>
      <c r="E2850" s="4">
        <f t="shared" si="44"/>
        <v>43465</v>
      </c>
      <c r="F2850" s="11">
        <f>[1]!EM_S_PQ_PCTCHANGE(B2850,"2018-01-01","2019-12-31","3")</f>
        <v>-48.89719393</v>
      </c>
      <c r="G2850" s="11">
        <f>[1]!EM_S_PQ_PCTCHANGE(B2850,"2018-12-31","2019-12-30","1")</f>
        <v>-12.520064209999999</v>
      </c>
      <c r="H2850" s="11">
        <f>[1]!EM_S_FA_YOY_OR(B2850,E2850)</f>
        <v>37.773584530800001</v>
      </c>
      <c r="I2850" s="11">
        <f>[1]!EM_S_FA_GROSSPROFITMARGIN(B2850,E2850)</f>
        <v>29.337775587300001</v>
      </c>
      <c r="J2850" s="11">
        <f>[1]!EM_S_FA_NETPROFITMARGIN(B2850,E2850)</f>
        <v>4.2592194126000003</v>
      </c>
      <c r="K2850" s="10">
        <f>[1]!EM_S_FA_ASSETSTURN(B2850,E2850)</f>
        <v>0.25278178396700002</v>
      </c>
      <c r="L2850" s="12">
        <f>[1]!EM_HKS_VAL_MV(B2850,"2019-12-31","2")</f>
        <v>5568752919.04</v>
      </c>
      <c r="M2850">
        <f>[1]!EM_S_VAL_PETTMDEDUCTED(B2850,E2850)</f>
        <v>19.605847885004099</v>
      </c>
      <c r="N2850" s="7">
        <f>[1]!EM_S_VAL_PBGOODWILLDEDUCTED(B2850,E2850)</f>
        <v>1.7661726821081201</v>
      </c>
      <c r="O2850" s="7">
        <f>[1]!EM_S_VAL_PS_TTM(B2850,E2850)</f>
        <v>2.1293039675668299</v>
      </c>
      <c r="P2850" s="7">
        <f>[1]!EM_S_VAL_PCF_NCFTTM(B2850,E2850)</f>
        <v>-9.5833698590595109</v>
      </c>
      <c r="Q2850" s="7">
        <f>[1]!EM_S_VAL_DIVIDENDYIELD2(B2850,E2850,"2019-11-29")</f>
        <v>0</v>
      </c>
      <c r="T2850"/>
      <c r="U2850">
        <f>[1]!EM_S_RATIO_EPS_TTM(B2850,E2850,"1")</f>
        <v>0.11696273719799725</v>
      </c>
      <c r="AT2850" s="4" t="str">
        <f>[1]!EM_S_IPO_LISTEDDATE(B2850)</f>
        <v>1997-04-11</v>
      </c>
    </row>
    <row r="2851" spans="1:46">
      <c r="A2851">
        <v>514</v>
      </c>
      <c r="B2851" t="str">
        <f>"002003"</f>
        <v>002003</v>
      </c>
      <c r="C2851" t="s">
        <v>2543</v>
      </c>
      <c r="D2851" t="str">
        <f>[1]!EM_S_INFO_INDEX_EM(B2851,"1")</f>
        <v>纺织服装</v>
      </c>
      <c r="E2851" s="4">
        <f t="shared" si="44"/>
        <v>43465</v>
      </c>
      <c r="F2851" s="11">
        <f>[1]!EM_S_PQ_PCTCHANGE(B2851,"2018-01-01","2019-12-31","3")</f>
        <v>-24.019043589999999</v>
      </c>
      <c r="G2851" s="11">
        <f>[1]!EM_S_PQ_PCTCHANGE(B2851,"2018-12-31","2019-12-30","1")</f>
        <v>-12.535612540000001</v>
      </c>
      <c r="H2851" s="11">
        <f>[1]!EM_S_FA_YOY_OR(B2851,E2851)</f>
        <v>3.3225207013000002</v>
      </c>
      <c r="I2851" s="11">
        <f>[1]!EM_S_FA_GROSSPROFITMARGIN(B2851,E2851)</f>
        <v>40.5700493155</v>
      </c>
      <c r="J2851" s="11">
        <f>[1]!EM_S_FA_NETPROFITMARGIN(B2851,E2851)</f>
        <v>12.0554699792</v>
      </c>
      <c r="K2851" s="10">
        <f>[1]!EM_S_FA_ASSETSTURN(B2851,E2851)</f>
        <v>0.87390802306399995</v>
      </c>
      <c r="L2851" s="12">
        <f>[1]!EM_HKS_VAL_MV(B2851,"2019-12-31","2")</f>
        <v>4639085019.3599997</v>
      </c>
      <c r="M2851">
        <f>[1]!EM_S_VAL_PETTMDEDUCTED(B2851,E2851)</f>
        <v>13.886451041758701</v>
      </c>
      <c r="N2851" s="7">
        <f>[1]!EM_S_VAL_PBGOODWILLDEDUCTED(B2851,E2851)</f>
        <v>2.3627759179101</v>
      </c>
      <c r="O2851" s="7">
        <f>[1]!EM_S_VAL_PS_TTM(B2851,E2851)</f>
        <v>1.9280219410478801</v>
      </c>
      <c r="P2851" s="7">
        <f>[1]!EM_S_VAL_PCF_NCFTTM(B2851,E2851)</f>
        <v>77.410636048661402</v>
      </c>
      <c r="Q2851" s="7">
        <f>[1]!EM_S_VAL_DIVIDENDYIELD2(B2851,E2851,"2019-11-29")</f>
        <v>5.8528428093645486</v>
      </c>
      <c r="T2851"/>
      <c r="U2851">
        <f>[1]!EM_S_RATIO_EPS_TTM(B2851,E2851,"1")</f>
        <v>0.40933672506514557</v>
      </c>
      <c r="AT2851" s="4" t="str">
        <f>[1]!EM_S_IPO_LISTEDDATE(B2851)</f>
        <v>2004-06-25</v>
      </c>
    </row>
    <row r="2852" spans="1:46">
      <c r="A2852">
        <v>3601</v>
      </c>
      <c r="B2852" t="str">
        <f>"603917"</f>
        <v>603917</v>
      </c>
      <c r="C2852" t="s">
        <v>1755</v>
      </c>
      <c r="D2852" t="str">
        <f>[1]!EM_S_INFO_INDEX_EM(B2852,"1")</f>
        <v>交运设备</v>
      </c>
      <c r="E2852" s="4">
        <f t="shared" si="44"/>
        <v>43465</v>
      </c>
      <c r="F2852" s="11">
        <f>[1]!EM_S_PQ_PCTCHANGE(B2852,"2018-01-01","2019-12-31","3")</f>
        <v>-47.417437700000001</v>
      </c>
      <c r="G2852" s="11">
        <f>[1]!EM_S_PQ_PCTCHANGE(B2852,"2018-12-31","2019-12-30","1")</f>
        <v>-12.5932063</v>
      </c>
      <c r="H2852" s="11">
        <f>[1]!EM_S_FA_YOY_OR(B2852,E2852)</f>
        <v>12.9957851275</v>
      </c>
      <c r="I2852" s="11">
        <f>[1]!EM_S_FA_GROSSPROFITMARGIN(B2852,E2852)</f>
        <v>33.758495211000003</v>
      </c>
      <c r="J2852" s="11">
        <f>[1]!EM_S_FA_NETPROFITMARGIN(B2852,E2852)</f>
        <v>16.0370047796</v>
      </c>
      <c r="K2852" s="10">
        <f>[1]!EM_S_FA_ASSETSTURN(B2852,E2852)</f>
        <v>0.51985620305400004</v>
      </c>
      <c r="L2852" s="12">
        <f>[1]!EM_HKS_VAL_MV(B2852,"2019-12-31","2")</f>
        <v>1646400000</v>
      </c>
      <c r="M2852">
        <f>[1]!EM_S_VAL_PETTMDEDUCTED(B2852,E2852)</f>
        <v>22.766563071243802</v>
      </c>
      <c r="N2852" s="7">
        <f>[1]!EM_S_VAL_PBGOODWILLDEDUCTED(B2852,E2852)</f>
        <v>2.0807651070963802</v>
      </c>
      <c r="O2852" s="7">
        <f>[1]!EM_S_VAL_PS_TTM(B2852,E2852)</f>
        <v>3.1555549507092899</v>
      </c>
      <c r="P2852" s="7">
        <f>[1]!EM_S_VAL_PCF_NCFTTM(B2852,E2852)</f>
        <v>-276.77746869577402</v>
      </c>
      <c r="Q2852" s="7">
        <f>[1]!EM_S_VAL_DIVIDENDYIELD2(B2852,E2852,"2019-11-29")</f>
        <v>1.1247443762781189</v>
      </c>
      <c r="T2852"/>
      <c r="U2852">
        <f>[1]!EM_S_RATIO_EPS_TTM(B2852,E2852,"1")</f>
        <v>0.62345480631377548</v>
      </c>
      <c r="AT2852" s="4" t="str">
        <f>[1]!EM_S_IPO_LISTEDDATE(B2852)</f>
        <v>2017-12-04</v>
      </c>
    </row>
    <row r="2853" spans="1:46">
      <c r="A2853">
        <v>3500</v>
      </c>
      <c r="B2853" t="str">
        <f>"603696"</f>
        <v>603696</v>
      </c>
      <c r="C2853" t="s">
        <v>1756</v>
      </c>
      <c r="D2853" t="str">
        <f>[1]!EM_S_INFO_INDEX_EM(B2853,"1")</f>
        <v>食品饮料</v>
      </c>
      <c r="E2853" s="4">
        <f t="shared" si="44"/>
        <v>43465</v>
      </c>
      <c r="F2853" s="11">
        <f>[1]!EM_S_PQ_PCTCHANGE(B2853,"2018-01-01","2019-12-31","3")</f>
        <v>-53.516622230000003</v>
      </c>
      <c r="G2853" s="11">
        <f>[1]!EM_S_PQ_PCTCHANGE(B2853,"2018-12-31","2019-12-30","1")</f>
        <v>-12.60330579</v>
      </c>
      <c r="H2853" s="11">
        <f>[1]!EM_S_FA_YOY_OR(B2853,E2853)</f>
        <v>33.581140980699999</v>
      </c>
      <c r="I2853" s="11">
        <f>[1]!EM_S_FA_GROSSPROFITMARGIN(B2853,E2853)</f>
        <v>30.8642096729</v>
      </c>
      <c r="J2853" s="11">
        <f>[1]!EM_S_FA_NETPROFITMARGIN(B2853,E2853)</f>
        <v>11.6463598095</v>
      </c>
      <c r="K2853" s="10">
        <f>[1]!EM_S_FA_ASSETSTURN(B2853,E2853)</f>
        <v>0.46422943439100001</v>
      </c>
      <c r="L2853" s="12">
        <f>[1]!EM_HKS_VAL_MV(B2853,"2019-12-31","2")</f>
        <v>1982736000</v>
      </c>
      <c r="M2853">
        <f>[1]!EM_S_VAL_PETTMDEDUCTED(B2853,E2853)</f>
        <v>43.7209403101863</v>
      </c>
      <c r="N2853" s="7">
        <f>[1]!EM_S_VAL_PBGOODWILLDEDUCTED(B2853,E2853)</f>
        <v>2.5147138188863098</v>
      </c>
      <c r="O2853" s="7">
        <f>[1]!EM_S_VAL_PS_TTM(B2853,E2853)</f>
        <v>5.3639550148805597</v>
      </c>
      <c r="P2853" s="7">
        <f>[1]!EM_S_VAL_PCF_NCFTTM(B2853,E2853)</f>
        <v>-11.0770776185537</v>
      </c>
      <c r="Q2853" s="7">
        <f>[1]!EM_S_VAL_DIVIDENDYIELD2(B2853,E2853,"2019-11-29")</f>
        <v>4.9626739056667795</v>
      </c>
      <c r="T2853"/>
      <c r="U2853">
        <f>[1]!EM_S_RATIO_EPS_TTM(B2853,E2853,"1")</f>
        <v>0.23501392125000001</v>
      </c>
      <c r="AT2853" s="4" t="str">
        <f>[1]!EM_S_IPO_LISTEDDATE(B2853)</f>
        <v>2015-12-09</v>
      </c>
    </row>
    <row r="2854" spans="1:46">
      <c r="A2854">
        <v>2757</v>
      </c>
      <c r="B2854" t="str">
        <f>"600684"</f>
        <v>600684</v>
      </c>
      <c r="C2854" t="s">
        <v>286</v>
      </c>
      <c r="D2854" t="str">
        <f>[1]!EM_S_INFO_INDEX_EM(B2854,"1")</f>
        <v>房地产</v>
      </c>
      <c r="E2854" s="4">
        <f t="shared" si="44"/>
        <v>43465</v>
      </c>
      <c r="F2854" s="11">
        <f>[1]!EM_S_PQ_PCTCHANGE(B2854,"2018-01-01","2019-12-31","3")</f>
        <v>-37.422857870000001</v>
      </c>
      <c r="G2854" s="11">
        <f>[1]!EM_S_PQ_PCTCHANGE(B2854,"2018-12-31","2019-12-30","1")</f>
        <v>-12.64367816</v>
      </c>
      <c r="H2854" s="11">
        <f>[1]!EM_S_FA_YOY_OR(B2854,E2854)</f>
        <v>-19.701908856100001</v>
      </c>
      <c r="I2854" s="11">
        <f>[1]!EM_S_FA_GROSSPROFITMARGIN(B2854,E2854)</f>
        <v>38.471691456199999</v>
      </c>
      <c r="J2854" s="11">
        <f>[1]!EM_S_FA_NETPROFITMARGIN(B2854,E2854)</f>
        <v>8.1155313196000005</v>
      </c>
      <c r="K2854" s="10">
        <f>[1]!EM_S_FA_ASSETSTURN(B2854,E2854)</f>
        <v>0.224053215965</v>
      </c>
      <c r="L2854" s="12">
        <f>[1]!EM_HKS_VAL_MV(B2854,"2019-12-31","2")</f>
        <v>3234616140.1700001</v>
      </c>
      <c r="M2854">
        <f>[1]!EM_S_VAL_PETTMDEDUCTED(B2854,E2854)</f>
        <v>19.719961266719501</v>
      </c>
      <c r="N2854" s="7">
        <f>[1]!EM_S_VAL_PBGOODWILLDEDUCTED(B2854,E2854)</f>
        <v>1.19741450693886</v>
      </c>
      <c r="O2854" s="7">
        <f>[1]!EM_S_VAL_PS_TTM(B2854,E2854)</f>
        <v>0.98202822204004603</v>
      </c>
      <c r="P2854" s="7">
        <f>[1]!EM_S_VAL_PCF_NCFTTM(B2854,E2854)</f>
        <v>-5.2909443003754202</v>
      </c>
      <c r="Q2854" s="7">
        <f>[1]!EM_S_VAL_DIVIDENDYIELD2(B2854,E2854,"2019-11-29")</f>
        <v>1.0169491525423728</v>
      </c>
      <c r="T2854"/>
      <c r="U2854">
        <f>[1]!EM_S_RATIO_EPS_TTM(B2854,E2854,"1")</f>
        <v>0.28759424524800303</v>
      </c>
      <c r="AT2854" s="4" t="str">
        <f>[1]!EM_S_IPO_LISTEDDATE(B2854)</f>
        <v>1993-10-28</v>
      </c>
    </row>
    <row r="2855" spans="1:46">
      <c r="A2855">
        <v>3519</v>
      </c>
      <c r="B2855" t="str">
        <f>"603728"</f>
        <v>603728</v>
      </c>
      <c r="C2855" t="s">
        <v>1922</v>
      </c>
      <c r="D2855" t="str">
        <f>[1]!EM_S_INFO_INDEX_EM(B2855,"1")</f>
        <v>电气设备</v>
      </c>
      <c r="E2855" s="4">
        <f t="shared" si="44"/>
        <v>43465</v>
      </c>
      <c r="F2855" s="11">
        <f>[1]!EM_S_PQ_PCTCHANGE(B2855,"2018-01-01","2019-12-31","3")</f>
        <v>-39.04693709</v>
      </c>
      <c r="G2855" s="11">
        <f>[1]!EM_S_PQ_PCTCHANGE(B2855,"2018-12-31","2019-12-30","1")</f>
        <v>-12.648221339999999</v>
      </c>
      <c r="H2855" s="11">
        <f>[1]!EM_S_FA_YOY_OR(B2855,E2855)</f>
        <v>16.314060946600002</v>
      </c>
      <c r="I2855" s="11">
        <f>[1]!EM_S_FA_GROSSPROFITMARGIN(B2855,E2855)</f>
        <v>34.989144305400004</v>
      </c>
      <c r="J2855" s="11">
        <f>[1]!EM_S_FA_NETPROFITMARGIN(B2855,E2855)</f>
        <v>8.8044355539999994</v>
      </c>
      <c r="K2855" s="10">
        <f>[1]!EM_S_FA_ASSETSTURN(B2855,E2855)</f>
        <v>0.81749235964400002</v>
      </c>
      <c r="L2855" s="12">
        <f>[1]!EM_HKS_VAL_MV(B2855,"2019-12-31","2")</f>
        <v>4609280000</v>
      </c>
      <c r="M2855">
        <f>[1]!EM_S_VAL_PETTMDEDUCTED(B2855,E2855)</f>
        <v>34.643951661403499</v>
      </c>
      <c r="N2855" s="7">
        <f>[1]!EM_S_VAL_PBGOODWILLDEDUCTED(B2855,E2855)</f>
        <v>3.5869400977118202</v>
      </c>
      <c r="O2855" s="7">
        <f>[1]!EM_S_VAL_PS_TTM(B2855,E2855)</f>
        <v>2.88261565257835</v>
      </c>
      <c r="P2855" s="7">
        <f>[1]!EM_S_VAL_PCF_NCFTTM(B2855,E2855)</f>
        <v>-23.381093658252599</v>
      </c>
      <c r="Q2855" s="7">
        <f>[1]!EM_S_VAL_DIVIDENDYIELD2(B2855,E2855,"2019-11-29")</f>
        <v>0.39272030651340983</v>
      </c>
      <c r="T2855"/>
      <c r="U2855">
        <f>[1]!EM_S_RATIO_EPS_TTM(B2855,E2855,"1")</f>
        <v>0.40109967122596152</v>
      </c>
      <c r="AT2855" s="4" t="str">
        <f>[1]!EM_S_IPO_LISTEDDATE(B2855)</f>
        <v>2017-05-09</v>
      </c>
    </row>
    <row r="2856" spans="1:46">
      <c r="A2856">
        <v>2667</v>
      </c>
      <c r="B2856" t="str">
        <f>"600594"</f>
        <v>600594</v>
      </c>
      <c r="C2856" t="s">
        <v>1151</v>
      </c>
      <c r="D2856" t="str">
        <f>[1]!EM_S_INFO_INDEX_EM(B2856,"1")</f>
        <v>医药生物</v>
      </c>
      <c r="E2856" s="4">
        <f t="shared" si="44"/>
        <v>43465</v>
      </c>
      <c r="F2856" s="11">
        <f>[1]!EM_S_PQ_PCTCHANGE(B2856,"2018-01-01","2019-12-31","3")</f>
        <v>-50.998570039999997</v>
      </c>
      <c r="G2856" s="11">
        <f>[1]!EM_S_PQ_PCTCHANGE(B2856,"2018-12-31","2019-12-30","1")</f>
        <v>-12.68115942</v>
      </c>
      <c r="H2856" s="11">
        <f>[1]!EM_S_FA_YOY_OR(B2856,E2856)</f>
        <v>1.9750026451</v>
      </c>
      <c r="I2856" s="11">
        <f>[1]!EM_S_FA_GROSSPROFITMARGIN(B2856,E2856)</f>
        <v>72.292552646100006</v>
      </c>
      <c r="J2856" s="11">
        <f>[1]!EM_S_FA_NETPROFITMARGIN(B2856,E2856)</f>
        <v>-17.6284049649</v>
      </c>
      <c r="K2856" s="10">
        <f>[1]!EM_S_FA_ASSETSTURN(B2856,E2856)</f>
        <v>0.56808270418100004</v>
      </c>
      <c r="L2856" s="12">
        <f>[1]!EM_HKS_VAL_MV(B2856,"2019-12-31","2")</f>
        <v>3943798452</v>
      </c>
      <c r="M2856">
        <f>[1]!EM_S_VAL_PETTMDEDUCTED(B2856,E2856)</f>
        <v>19.953179185830699</v>
      </c>
      <c r="N2856" s="7">
        <f>[1]!EM_S_VAL_PBGOODWILLDEDUCTED(B2856,E2856)</f>
        <v>1.6545730515911901</v>
      </c>
      <c r="O2856" s="7">
        <f>[1]!EM_S_VAL_PS_TTM(B2856,E2856)</f>
        <v>1.1370184121517199</v>
      </c>
      <c r="P2856" s="7">
        <f>[1]!EM_S_VAL_PCF_NCFTTM(B2856,E2856)</f>
        <v>-37.6479312943883</v>
      </c>
      <c r="Q2856" s="7">
        <f>[1]!EM_S_VAL_DIVIDENDYIELD2(B2856,E2856,"2019-11-29")</f>
        <v>0</v>
      </c>
      <c r="T2856"/>
      <c r="U2856">
        <f>[1]!EM_S_RATIO_EPS_TTM(B2856,E2856,"1")</f>
        <v>-0.91611353968810783</v>
      </c>
      <c r="AT2856" s="4" t="str">
        <f>[1]!EM_S_IPO_LISTEDDATE(B2856)</f>
        <v>2004-03-23</v>
      </c>
    </row>
    <row r="2857" spans="1:46">
      <c r="A2857">
        <v>706</v>
      </c>
      <c r="B2857" t="str">
        <f>"002195"</f>
        <v>002195</v>
      </c>
      <c r="C2857" t="s">
        <v>896</v>
      </c>
      <c r="D2857" t="str">
        <f>[1]!EM_S_INFO_INDEX_EM(B2857,"1")</f>
        <v>互联网</v>
      </c>
      <c r="E2857" s="4">
        <f t="shared" si="44"/>
        <v>43465</v>
      </c>
      <c r="F2857" s="11">
        <f>[1]!EM_S_PQ_PCTCHANGE(B2857,"2018-01-01","2019-12-31","3")</f>
        <v>-5.4601242399999999</v>
      </c>
      <c r="G2857" s="11">
        <f>[1]!EM_S_PQ_PCTCHANGE(B2857,"2018-12-31","2019-12-30","1")</f>
        <v>-12.73712737</v>
      </c>
      <c r="H2857" s="11">
        <f>[1]!EM_S_FA_YOY_OR(B2857,E2857)</f>
        <v>17.949040679700001</v>
      </c>
      <c r="I2857" s="11">
        <f>[1]!EM_S_FA_GROSSPROFITMARGIN(B2857,E2857)</f>
        <v>89.428096375899997</v>
      </c>
      <c r="J2857" s="11">
        <f>[1]!EM_S_FA_NETPROFITMARGIN(B2857,E2857)</f>
        <v>36.359588443699998</v>
      </c>
      <c r="K2857" s="10">
        <f>[1]!EM_S_FA_ASSETSTURN(B2857,E2857)</f>
        <v>0.360314134397</v>
      </c>
      <c r="L2857" s="12">
        <f>[1]!EM_HKS_VAL_MV(B2857,"2019-12-31","2")</f>
        <v>18638481609.889999</v>
      </c>
      <c r="M2857">
        <f>[1]!EM_S_VAL_PETTMDEDUCTED(B2857,E2857)</f>
        <v>12.8187621991655</v>
      </c>
      <c r="N2857" s="7">
        <f>[1]!EM_S_VAL_PBGOODWILLDEDUCTED(B2857,E2857)</f>
        <v>2.37344456189056</v>
      </c>
      <c r="O2857" s="7">
        <f>[1]!EM_S_VAL_PS_TTM(B2857,E2857)</f>
        <v>4.4569323441156898</v>
      </c>
      <c r="P2857" s="7">
        <f>[1]!EM_S_VAL_PCF_NCFTTM(B2857,E2857)</f>
        <v>-18.228723193362601</v>
      </c>
      <c r="Q2857" s="7">
        <f>[1]!EM_S_VAL_DIVIDENDYIELD2(B2857,E2857,"2019-11-29")</f>
        <v>0.76413652580538338</v>
      </c>
      <c r="T2857"/>
      <c r="U2857">
        <f>[1]!EM_S_RATIO_EPS_TTM(B2857,E2857,"1")</f>
        <v>0.30775748403168429</v>
      </c>
      <c r="AT2857" s="4" t="str">
        <f>[1]!EM_S_IPO_LISTEDDATE(B2857)</f>
        <v>2007-12-12</v>
      </c>
    </row>
    <row r="2858" spans="1:46">
      <c r="A2858">
        <v>143</v>
      </c>
      <c r="B2858" t="str">
        <f>"000534"</f>
        <v>000534</v>
      </c>
      <c r="C2858" t="s">
        <v>2645</v>
      </c>
      <c r="D2858" t="str">
        <f>[1]!EM_S_INFO_INDEX_EM(B2858,"1")</f>
        <v>房地产</v>
      </c>
      <c r="E2858" s="4">
        <f t="shared" si="44"/>
        <v>43465</v>
      </c>
      <c r="F2858" s="11">
        <f>[1]!EM_S_PQ_PCTCHANGE(B2858,"2018-01-01","2019-12-31","3")</f>
        <v>-32.068819140000002</v>
      </c>
      <c r="G2858" s="11">
        <f>[1]!EM_S_PQ_PCTCHANGE(B2858,"2018-12-31","2019-12-30","1")</f>
        <v>-12.739463600000001</v>
      </c>
      <c r="H2858" s="11">
        <f>[1]!EM_S_FA_YOY_OR(B2858,E2858)</f>
        <v>1.2896818237000001</v>
      </c>
      <c r="I2858" s="11">
        <f>[1]!EM_S_FA_GROSSPROFITMARGIN(B2858,E2858)</f>
        <v>51.633470962899999</v>
      </c>
      <c r="J2858" s="11">
        <f>[1]!EM_S_FA_NETPROFITMARGIN(B2858,E2858)</f>
        <v>16.474443114900001</v>
      </c>
      <c r="K2858" s="10">
        <f>[1]!EM_S_FA_ASSETSTURN(B2858,E2858)</f>
        <v>0.103129092916</v>
      </c>
      <c r="L2858" s="12">
        <f>[1]!EM_HKS_VAL_MV(B2858,"2019-12-31","2")</f>
        <v>4563765690.8800001</v>
      </c>
      <c r="M2858">
        <f>[1]!EM_S_VAL_PETTMDEDUCTED(B2858,E2858)</f>
        <v>-21.478033662079</v>
      </c>
      <c r="N2858" s="7">
        <f>[1]!EM_S_VAL_PBGOODWILLDEDUCTED(B2858,E2858)</f>
        <v>3.3451853346604601</v>
      </c>
      <c r="O2858" s="7">
        <f>[1]!EM_S_VAL_PS_TTM(B2858,E2858)</f>
        <v>97.581771710750701</v>
      </c>
      <c r="P2858" s="7">
        <f>[1]!EM_S_VAL_PCF_NCFTTM(B2858,E2858)</f>
        <v>-33.125752506334599</v>
      </c>
      <c r="Q2858" s="7">
        <f>[1]!EM_S_VAL_DIVIDENDYIELD2(B2858,E2858,"2019-11-29")</f>
        <v>0.56053811659192831</v>
      </c>
      <c r="T2858"/>
      <c r="U2858">
        <f>[1]!EM_S_RATIO_EPS_TTM(B2858,E2858,"1")</f>
        <v>0.12450141073409024</v>
      </c>
      <c r="AT2858" s="4" t="str">
        <f>[1]!EM_S_IPO_LISTEDDATE(B2858)</f>
        <v>1994-01-10</v>
      </c>
    </row>
    <row r="2859" spans="1:46">
      <c r="A2859">
        <v>1481</v>
      </c>
      <c r="B2859" t="str">
        <f>"300055"</f>
        <v>300055</v>
      </c>
      <c r="C2859" t="s">
        <v>1752</v>
      </c>
      <c r="D2859" t="str">
        <f>[1]!EM_S_INFO_INDEX_EM(B2859,"1")</f>
        <v>公用事业</v>
      </c>
      <c r="E2859" s="4">
        <f t="shared" si="44"/>
        <v>43465</v>
      </c>
      <c r="F2859" s="11">
        <f>[1]!EM_S_PQ_PCTCHANGE(B2859,"2018-01-01","2019-12-31","3")</f>
        <v>-68.036366689999994</v>
      </c>
      <c r="G2859" s="11">
        <f>[1]!EM_S_PQ_PCTCHANGE(B2859,"2018-12-31","2019-12-30","1")</f>
        <v>-12.777053459999999</v>
      </c>
      <c r="H2859" s="11">
        <f>[1]!EM_S_FA_YOY_OR(B2859,E2859)</f>
        <v>-36.0635983118</v>
      </c>
      <c r="I2859" s="11">
        <f>[1]!EM_S_FA_GROSSPROFITMARGIN(B2859,E2859)</f>
        <v>26.406770362</v>
      </c>
      <c r="J2859" s="11">
        <f>[1]!EM_S_FA_NETPROFITMARGIN(B2859,E2859)</f>
        <v>-6.9247922642999997</v>
      </c>
      <c r="K2859" s="10">
        <f>[1]!EM_S_FA_ASSETSTURN(B2859,E2859)</f>
        <v>0.17179873562299999</v>
      </c>
      <c r="L2859" s="12">
        <f>[1]!EM_HKS_VAL_MV(B2859,"2019-12-31","2")</f>
        <v>5770782716.0500002</v>
      </c>
      <c r="M2859">
        <f>[1]!EM_S_VAL_PETTMDEDUCTED(B2859,E2859)</f>
        <v>27.7780622896381</v>
      </c>
      <c r="N2859" s="7">
        <f>[1]!EM_S_VAL_PBGOODWILLDEDUCTED(B2859,E2859)</f>
        <v>1.2085118518378299</v>
      </c>
      <c r="O2859" s="7">
        <f>[1]!EM_S_VAL_PS_TTM(B2859,E2859)</f>
        <v>4.0515469822766299</v>
      </c>
      <c r="P2859" s="7">
        <f>[1]!EM_S_VAL_PCF_NCFTTM(B2859,E2859)</f>
        <v>-30.125682574063301</v>
      </c>
      <c r="Q2859" s="7">
        <f>[1]!EM_S_VAL_DIVIDENDYIELD2(B2859,E2859,"2019-11-29")</f>
        <v>0.218978102189781</v>
      </c>
      <c r="T2859"/>
      <c r="U2859">
        <f>[1]!EM_S_RATIO_EPS_TTM(B2859,E2859,"1")</f>
        <v>-0.10443145304162556</v>
      </c>
      <c r="AT2859" s="4" t="str">
        <f>[1]!EM_S_IPO_LISTEDDATE(B2859)</f>
        <v>2010-02-26</v>
      </c>
    </row>
    <row r="2860" spans="1:46">
      <c r="A2860">
        <v>2386</v>
      </c>
      <c r="B2860" t="str">
        <f>"600255"</f>
        <v>600255</v>
      </c>
      <c r="C2860" t="s">
        <v>3087</v>
      </c>
      <c r="D2860" t="str">
        <f>[1]!EM_S_INFO_INDEX_EM(B2860,"1")</f>
        <v>有色金属</v>
      </c>
      <c r="E2860" s="4">
        <f t="shared" si="44"/>
        <v>43465</v>
      </c>
      <c r="F2860" s="11">
        <f>[1]!EM_S_PQ_PCTCHANGE(B2860,"2018-01-01","2019-12-31","3")</f>
        <v>-59.055118110000002</v>
      </c>
      <c r="G2860" s="11">
        <f>[1]!EM_S_PQ_PCTCHANGE(B2860,"2018-12-31","2019-12-30","1")</f>
        <v>-12.777777779999999</v>
      </c>
      <c r="H2860" s="11">
        <f>[1]!EM_S_FA_YOY_OR(B2860,E2860)</f>
        <v>-6.6188140438999996</v>
      </c>
      <c r="I2860" s="11">
        <f>[1]!EM_S_FA_GROSSPROFITMARGIN(B2860,E2860)</f>
        <v>7.9651570851000004</v>
      </c>
      <c r="J2860" s="11">
        <f>[1]!EM_S_FA_NETPROFITMARGIN(B2860,E2860)</f>
        <v>-24.3458408471</v>
      </c>
      <c r="K2860" s="10">
        <f>[1]!EM_S_FA_ASSETSTURN(B2860,E2860)</f>
        <v>0.96993259536300003</v>
      </c>
      <c r="L2860" s="12">
        <f>[1]!EM_HKS_VAL_MV(B2860,"2019-12-31","2")</f>
        <v>2760565945.8000002</v>
      </c>
      <c r="M2860">
        <f>[1]!EM_S_VAL_PETTMDEDUCTED(B2860,E2860)</f>
        <v>61.630744395670597</v>
      </c>
      <c r="N2860" s="7">
        <f>[1]!EM_S_VAL_PBGOODWILLDEDUCTED(B2860,E2860)</f>
        <v>1.92535982558714</v>
      </c>
      <c r="O2860" s="7">
        <f>[1]!EM_S_VAL_PS_TTM(B2860,E2860)</f>
        <v>0.55251904944987196</v>
      </c>
      <c r="P2860" s="7">
        <f>[1]!EM_S_VAL_PCF_NCFTTM(B2860,E2860)</f>
        <v>-40.306662046733898</v>
      </c>
      <c r="Q2860" s="7">
        <f>[1]!EM_S_VAL_DIVIDENDYIELD2(B2860,E2860,"2019-11-29")</f>
        <v>0</v>
      </c>
      <c r="T2860"/>
      <c r="U2860">
        <f>[1]!EM_S_RATIO_EPS_TTM(B2860,E2860,"1")</f>
        <v>-0.71376353522603109</v>
      </c>
      <c r="AT2860" s="4" t="str">
        <f>[1]!EM_S_IPO_LISTEDDATE(B2860)</f>
        <v>2000-11-22</v>
      </c>
    </row>
    <row r="2861" spans="1:46">
      <c r="A2861">
        <v>2059</v>
      </c>
      <c r="B2861" t="str">
        <f>"300640"</f>
        <v>300640</v>
      </c>
      <c r="C2861" t="s">
        <v>1019</v>
      </c>
      <c r="D2861" t="str">
        <f>[1]!EM_S_INFO_INDEX_EM(B2861,"1")</f>
        <v>轻工制造</v>
      </c>
      <c r="E2861" s="4">
        <f t="shared" si="44"/>
        <v>43465</v>
      </c>
      <c r="F2861" s="11">
        <f>[1]!EM_S_PQ_PCTCHANGE(B2861,"2018-01-01","2019-12-31","3")</f>
        <v>-10.34007561</v>
      </c>
      <c r="G2861" s="11">
        <f>[1]!EM_S_PQ_PCTCHANGE(B2861,"2018-12-31","2019-12-30","1")</f>
        <v>-12.80167891</v>
      </c>
      <c r="H2861" s="11">
        <f>[1]!EM_S_FA_YOY_OR(B2861,E2861)</f>
        <v>18.447764906100002</v>
      </c>
      <c r="I2861" s="11">
        <f>[1]!EM_S_FA_GROSSPROFITMARGIN(B2861,E2861)</f>
        <v>17.894464454800001</v>
      </c>
      <c r="J2861" s="11">
        <f>[1]!EM_S_FA_NETPROFITMARGIN(B2861,E2861)</f>
        <v>7.2127141923</v>
      </c>
      <c r="K2861" s="10">
        <f>[1]!EM_S_FA_ASSETSTURN(B2861,E2861)</f>
        <v>1.5130096647469999</v>
      </c>
      <c r="L2861" s="12">
        <f>[1]!EM_HKS_VAL_MV(B2861,"2019-12-31","2")</f>
        <v>1833171200</v>
      </c>
      <c r="M2861">
        <f>[1]!EM_S_VAL_PETTMDEDUCTED(B2861,E2861)</f>
        <v>54.538455825186198</v>
      </c>
      <c r="N2861" s="7">
        <f>[1]!EM_S_VAL_PBGOODWILLDEDUCTED(B2861,E2861)</f>
        <v>4.5861551981272797</v>
      </c>
      <c r="O2861" s="7">
        <f>[1]!EM_S_VAL_PS_TTM(B2861,E2861)</f>
        <v>2.6050551510280102</v>
      </c>
      <c r="P2861" s="7">
        <f>[1]!EM_S_VAL_PCF_NCFTTM(B2861,E2861)</f>
        <v>-39.106818816453398</v>
      </c>
      <c r="Q2861" s="7">
        <f>[1]!EM_S_VAL_DIVIDENDYIELD2(B2861,E2861,"2019-11-29")</f>
        <v>1.8390804597701149</v>
      </c>
      <c r="T2861"/>
      <c r="U2861">
        <f>[1]!EM_S_RATIO_EPS_TTM(B2861,E2861,"1")</f>
        <v>0.27344071865692954</v>
      </c>
      <c r="AT2861" s="4" t="str">
        <f>[1]!EM_S_IPO_LISTEDDATE(B2861)</f>
        <v>2017-04-17</v>
      </c>
    </row>
    <row r="2862" spans="1:46">
      <c r="A2862">
        <v>1815</v>
      </c>
      <c r="B2862" t="str">
        <f>"300390"</f>
        <v>300390</v>
      </c>
      <c r="C2862" t="s">
        <v>2167</v>
      </c>
      <c r="D2862" t="str">
        <f>[1]!EM_S_INFO_INDEX_EM(B2862,"1")</f>
        <v>电子设备</v>
      </c>
      <c r="E2862" s="4">
        <f t="shared" si="44"/>
        <v>43465</v>
      </c>
      <c r="F2862" s="11">
        <f>[1]!EM_S_PQ_PCTCHANGE(B2862,"2018-01-01","2019-12-31","3")</f>
        <v>49.863404920000001</v>
      </c>
      <c r="G2862" s="11">
        <f>[1]!EM_S_PQ_PCTCHANGE(B2862,"2018-12-31","2019-12-30","1")</f>
        <v>-12.80653951</v>
      </c>
      <c r="H2862" s="11">
        <f>[1]!EM_S_FA_YOY_OR(B2862,E2862)</f>
        <v>5.7076453692999998</v>
      </c>
      <c r="I2862" s="11">
        <f>[1]!EM_S_FA_GROSSPROFITMARGIN(B2862,E2862)</f>
        <v>25.6851685028</v>
      </c>
      <c r="J2862" s="11">
        <f>[1]!EM_S_FA_NETPROFITMARGIN(B2862,E2862)</f>
        <v>6.8382161158999999</v>
      </c>
      <c r="K2862" s="10">
        <f>[1]!EM_S_FA_ASSETSTURN(B2862,E2862)</f>
        <v>0.71948317533899997</v>
      </c>
      <c r="L2862" s="12">
        <f>[1]!EM_HKS_VAL_MV(B2862,"2019-12-31","2")</f>
        <v>3456500520</v>
      </c>
      <c r="M2862">
        <f>[1]!EM_S_VAL_PETTMDEDUCTED(B2862,E2862)</f>
        <v>58.192276818961801</v>
      </c>
      <c r="N2862" s="7">
        <f>[1]!EM_S_VAL_PBGOODWILLDEDUCTED(B2862,E2862)</f>
        <v>3.8678766382682399</v>
      </c>
      <c r="O2862" s="7">
        <f>[1]!EM_S_VAL_PS_TTM(B2862,E2862)</f>
        <v>3.2000566487844901</v>
      </c>
      <c r="P2862" s="7">
        <f>[1]!EM_S_VAL_PCF_NCFTTM(B2862,E2862)</f>
        <v>64.1804864535588</v>
      </c>
      <c r="Q2862" s="7">
        <f>[1]!EM_S_VAL_DIVIDENDYIELD2(B2862,E2862,"2019-11-29")</f>
        <v>1.7201834862385321</v>
      </c>
      <c r="T2862"/>
      <c r="U2862">
        <f>[1]!EM_S_RATIO_EPS_TTM(B2862,E2862,"1")</f>
        <v>0.14592139060652015</v>
      </c>
      <c r="AT2862" s="4" t="str">
        <f>[1]!EM_S_IPO_LISTEDDATE(B2862)</f>
        <v>2014-07-31</v>
      </c>
    </row>
    <row r="2863" spans="1:46">
      <c r="A2863">
        <v>1929</v>
      </c>
      <c r="B2863" t="str">
        <f>"300504"</f>
        <v>300504</v>
      </c>
      <c r="C2863" t="s">
        <v>206</v>
      </c>
      <c r="D2863" t="str">
        <f>[1]!EM_S_INFO_INDEX_EM(B2863,"1")</f>
        <v>信息技术</v>
      </c>
      <c r="E2863" s="4">
        <f t="shared" si="44"/>
        <v>43465</v>
      </c>
      <c r="F2863" s="11">
        <f>[1]!EM_S_PQ_PCTCHANGE(B2863,"2018-01-01","2019-12-31","3")</f>
        <v>74.670322749999997</v>
      </c>
      <c r="G2863" s="11">
        <f>[1]!EM_S_PQ_PCTCHANGE(B2863,"2018-12-31","2019-12-30","1")</f>
        <v>-12.84937888</v>
      </c>
      <c r="H2863" s="11">
        <f>[1]!EM_S_FA_YOY_OR(B2863,E2863)</f>
        <v>17.840941507299998</v>
      </c>
      <c r="I2863" s="11">
        <f>[1]!EM_S_FA_GROSSPROFITMARGIN(B2863,E2863)</f>
        <v>16.496904605000001</v>
      </c>
      <c r="J2863" s="11">
        <f>[1]!EM_S_FA_NETPROFITMARGIN(B2863,E2863)</f>
        <v>5.4839063538000001</v>
      </c>
      <c r="K2863" s="10">
        <f>[1]!EM_S_FA_ASSETSTURN(B2863,E2863)</f>
        <v>1.128455224206</v>
      </c>
      <c r="L2863" s="12">
        <f>[1]!EM_HKS_VAL_MV(B2863,"2019-12-31","2")</f>
        <v>6027376320</v>
      </c>
      <c r="M2863">
        <f>[1]!EM_S_VAL_PETTMDEDUCTED(B2863,E2863)</f>
        <v>40.642769090703702</v>
      </c>
      <c r="N2863" s="7">
        <f>[1]!EM_S_VAL_PBGOODWILLDEDUCTED(B2863,E2863)</f>
        <v>3.9528296400040501</v>
      </c>
      <c r="O2863" s="7">
        <f>[1]!EM_S_VAL_PS_TTM(B2863,E2863)</f>
        <v>2.4866238794434201</v>
      </c>
      <c r="P2863" s="7">
        <f>[1]!EM_S_VAL_PCF_NCFTTM(B2863,E2863)</f>
        <v>57.669863203544402</v>
      </c>
      <c r="Q2863" s="7">
        <f>[1]!EM_S_VAL_DIVIDENDYIELD2(B2863,E2863,"2019-11-29")</f>
        <v>0.88456435205661221</v>
      </c>
      <c r="T2863"/>
      <c r="U2863">
        <f>[1]!EM_S_RATIO_EPS_TTM(B2863,E2863,"1")</f>
        <v>0.56908814317447498</v>
      </c>
      <c r="AT2863" s="4" t="str">
        <f>[1]!EM_S_IPO_LISTEDDATE(B2863)</f>
        <v>2018-03-30</v>
      </c>
    </row>
    <row r="2864" spans="1:46">
      <c r="A2864">
        <v>1714</v>
      </c>
      <c r="B2864" t="str">
        <f>"300289"</f>
        <v>300289</v>
      </c>
      <c r="C2864" t="s">
        <v>1879</v>
      </c>
      <c r="D2864" t="str">
        <f>[1]!EM_S_INFO_INDEX_EM(B2864,"1")</f>
        <v>医药生物</v>
      </c>
      <c r="E2864" s="4">
        <f t="shared" si="44"/>
        <v>43465</v>
      </c>
      <c r="F2864" s="11">
        <f>[1]!EM_S_PQ_PCTCHANGE(B2864,"2018-01-01","2019-12-31","3")</f>
        <v>-36.428520820000003</v>
      </c>
      <c r="G2864" s="11">
        <f>[1]!EM_S_PQ_PCTCHANGE(B2864,"2018-12-31","2019-12-30","1")</f>
        <v>-12.8983308</v>
      </c>
      <c r="H2864" s="11">
        <f>[1]!EM_S_FA_YOY_OR(B2864,E2864)</f>
        <v>13.68562584</v>
      </c>
      <c r="I2864" s="11">
        <f>[1]!EM_S_FA_GROSSPROFITMARGIN(B2864,E2864)</f>
        <v>49.291774543099997</v>
      </c>
      <c r="J2864" s="11">
        <f>[1]!EM_S_FA_NETPROFITMARGIN(B2864,E2864)</f>
        <v>9.4928812465999997</v>
      </c>
      <c r="K2864" s="10">
        <f>[1]!EM_S_FA_ASSETSTURN(B2864,E2864)</f>
        <v>0.37598598739099998</v>
      </c>
      <c r="L2864" s="12">
        <f>[1]!EM_HKS_VAL_MV(B2864,"2019-12-31","2")</f>
        <v>2450522552.6999998</v>
      </c>
      <c r="M2864">
        <f>[1]!EM_S_VAL_PETTMDEDUCTED(B2864,E2864)</f>
        <v>39.878111012583801</v>
      </c>
      <c r="N2864" s="7">
        <f>[1]!EM_S_VAL_PBGOODWILLDEDUCTED(B2864,E2864)</f>
        <v>2.3912941649572201</v>
      </c>
      <c r="O2864" s="7">
        <f>[1]!EM_S_VAL_PS_TTM(B2864,E2864)</f>
        <v>3.9304399385659301</v>
      </c>
      <c r="P2864" s="7">
        <f>[1]!EM_S_VAL_PCF_NCFTTM(B2864,E2864)</f>
        <v>102.491741878317</v>
      </c>
      <c r="Q2864" s="7">
        <f>[1]!EM_S_VAL_DIVIDENDYIELD2(B2864,E2864,"2019-11-29")</f>
        <v>0</v>
      </c>
      <c r="T2864"/>
      <c r="U2864">
        <f>[1]!EM_S_RATIO_EPS_TTM(B2864,E2864,"1")</f>
        <v>9.5496047754105723E-2</v>
      </c>
      <c r="AT2864" s="4" t="str">
        <f>[1]!EM_S_IPO_LISTEDDATE(B2864)</f>
        <v>2012-02-16</v>
      </c>
    </row>
    <row r="2865" spans="1:46">
      <c r="A2865">
        <v>1602</v>
      </c>
      <c r="B2865" t="str">
        <f>"300177"</f>
        <v>300177</v>
      </c>
      <c r="C2865" t="s">
        <v>1994</v>
      </c>
      <c r="D2865" t="str">
        <f>[1]!EM_S_INFO_INDEX_EM(B2865,"1")</f>
        <v>信息技术</v>
      </c>
      <c r="E2865" s="4">
        <f t="shared" si="44"/>
        <v>43465</v>
      </c>
      <c r="F2865" s="11">
        <f>[1]!EM_S_PQ_PCTCHANGE(B2865,"2018-01-01","2019-12-31","3")</f>
        <v>27.652257169999999</v>
      </c>
      <c r="G2865" s="11">
        <f>[1]!EM_S_PQ_PCTCHANGE(B2865,"2018-12-31","2019-12-30","1")</f>
        <v>-12.90322581</v>
      </c>
      <c r="H2865" s="11">
        <f>[1]!EM_S_FA_YOY_OR(B2865,E2865)</f>
        <v>26.255840331400002</v>
      </c>
      <c r="I2865" s="11">
        <f>[1]!EM_S_FA_GROSSPROFITMARGIN(B2865,E2865)</f>
        <v>52.352067474199998</v>
      </c>
      <c r="J2865" s="11">
        <f>[1]!EM_S_FA_NETPROFITMARGIN(B2865,E2865)</f>
        <v>11.1888608761</v>
      </c>
      <c r="K2865" s="10">
        <f>[1]!EM_S_FA_ASSETSTURN(B2865,E2865)</f>
        <v>0.48787924475</v>
      </c>
      <c r="L2865" s="12">
        <f>[1]!EM_HKS_VAL_MV(B2865,"2019-12-31","2")</f>
        <v>5994135739.6800003</v>
      </c>
      <c r="M2865">
        <f>[1]!EM_S_VAL_PETTMDEDUCTED(B2865,E2865)</f>
        <v>64.110366082590502</v>
      </c>
      <c r="N2865" s="7">
        <f>[1]!EM_S_VAL_PBGOODWILLDEDUCTED(B2865,E2865)</f>
        <v>2.7955270333745998</v>
      </c>
      <c r="O2865" s="7">
        <f>[1]!EM_S_VAL_PS_TTM(B2865,E2865)</f>
        <v>3.7716579269939299</v>
      </c>
      <c r="P2865" s="7">
        <f>[1]!EM_S_VAL_PCF_NCFTTM(B2865,E2865)</f>
        <v>408.98018248958499</v>
      </c>
      <c r="Q2865" s="7">
        <f>[1]!EM_S_VAL_DIVIDENDYIELD2(B2865,E2865,"2019-11-29")</f>
        <v>0.18254397815812667</v>
      </c>
      <c r="T2865"/>
      <c r="U2865">
        <f>[1]!EM_S_RATIO_EPS_TTM(B2865,E2865,"1")</f>
        <v>0.21350611881852549</v>
      </c>
      <c r="AT2865" s="4" t="str">
        <f>[1]!EM_S_IPO_LISTEDDATE(B2865)</f>
        <v>2011-02-15</v>
      </c>
    </row>
    <row r="2866" spans="1:46">
      <c r="A2866">
        <v>2734</v>
      </c>
      <c r="B2866" t="str">
        <f>"600661"</f>
        <v>600661</v>
      </c>
      <c r="C2866" t="s">
        <v>2086</v>
      </c>
      <c r="D2866" t="str">
        <f>[1]!EM_S_INFO_INDEX_EM(B2866,"1")</f>
        <v>文化传媒</v>
      </c>
      <c r="E2866" s="4">
        <f t="shared" si="44"/>
        <v>43465</v>
      </c>
      <c r="F2866" s="11">
        <f>[1]!EM_S_PQ_PCTCHANGE(B2866,"2018-01-01","2019-12-31","3")</f>
        <v>-32.507861640000002</v>
      </c>
      <c r="G2866" s="11">
        <f>[1]!EM_S_PQ_PCTCHANGE(B2866,"2018-12-31","2019-12-30","1")</f>
        <v>-12.93456033</v>
      </c>
      <c r="H2866" s="11">
        <f>[1]!EM_S_FA_YOY_OR(B2866,E2866)</f>
        <v>21.577371648500002</v>
      </c>
      <c r="I2866" s="11">
        <f>[1]!EM_S_FA_GROSSPROFITMARGIN(B2866,E2866)</f>
        <v>41.1371369843</v>
      </c>
      <c r="J2866" s="11">
        <f>[1]!EM_S_FA_NETPROFITMARGIN(B2866,E2866)</f>
        <v>-15.370596146500001</v>
      </c>
      <c r="K2866" s="10">
        <f>[1]!EM_S_FA_ASSETSTURN(B2866,E2866)</f>
        <v>0.66282150556999997</v>
      </c>
      <c r="L2866" s="12">
        <f>[1]!EM_HKS_VAL_MV(B2866,"2019-12-31","2")</f>
        <v>4920043411.1000004</v>
      </c>
      <c r="M2866">
        <f>[1]!EM_S_VAL_PETTMDEDUCTED(B2866,E2866)</f>
        <v>72.560747525245006</v>
      </c>
      <c r="N2866" s="7">
        <f>[1]!EM_S_VAL_PBGOODWILLDEDUCTED(B2866,E2866)</f>
        <v>4.4112991060928</v>
      </c>
      <c r="O2866" s="7">
        <f>[1]!EM_S_VAL_PS_TTM(B2866,E2866)</f>
        <v>2.8039105610054502</v>
      </c>
      <c r="P2866" s="7">
        <f>[1]!EM_S_VAL_PCF_NCFTTM(B2866,E2866)</f>
        <v>44.795474357801702</v>
      </c>
      <c r="Q2866" s="7">
        <f>[1]!EM_S_VAL_DIVIDENDYIELD2(B2866,E2866,"2019-11-29")</f>
        <v>0</v>
      </c>
      <c r="T2866"/>
      <c r="U2866">
        <f>[1]!EM_S_RATIO_EPS_TTM(B2866,E2866,"1")</f>
        <v>-0.93096718702358694</v>
      </c>
      <c r="AT2866" s="4" t="str">
        <f>[1]!EM_S_IPO_LISTEDDATE(B2866)</f>
        <v>1993-06-14</v>
      </c>
    </row>
    <row r="2867" spans="1:46">
      <c r="A2867">
        <v>3212</v>
      </c>
      <c r="B2867" t="str">
        <f>"603013"</f>
        <v>603013</v>
      </c>
      <c r="C2867" t="s">
        <v>658</v>
      </c>
      <c r="D2867" t="str">
        <f>[1]!EM_S_INFO_INDEX_EM(B2867,"1")</f>
        <v>交运设备</v>
      </c>
      <c r="E2867" s="4">
        <f t="shared" si="44"/>
        <v>43465</v>
      </c>
      <c r="F2867" s="11">
        <f>[1]!EM_S_PQ_PCTCHANGE(B2867,"2018-01-01","2019-12-31","3")</f>
        <v>34.779670379999999</v>
      </c>
      <c r="G2867" s="11">
        <f>[1]!EM_S_PQ_PCTCHANGE(B2867,"2018-12-31","2019-12-30","1")</f>
        <v>-12.98185941</v>
      </c>
      <c r="H2867" s="11">
        <f>[1]!EM_S_FA_YOY_OR(B2867,E2867)</f>
        <v>10.935163559899999</v>
      </c>
      <c r="I2867" s="11">
        <f>[1]!EM_S_FA_GROSSPROFITMARGIN(B2867,E2867)</f>
        <v>14.2504481258</v>
      </c>
      <c r="J2867" s="11">
        <f>[1]!EM_S_FA_NETPROFITMARGIN(B2867,E2867)</f>
        <v>4.5486013654999997</v>
      </c>
      <c r="K2867" s="10">
        <f>[1]!EM_S_FA_ASSETSTURN(B2867,E2867)</f>
        <v>1.3516485073760001</v>
      </c>
      <c r="L2867" s="12">
        <f>[1]!EM_HKS_VAL_MV(B2867,"2019-12-31","2")</f>
        <v>7833600000</v>
      </c>
      <c r="M2867">
        <f>[1]!EM_S_VAL_PETTMDEDUCTED(B2867,E2867)</f>
        <v>28.977511361648499</v>
      </c>
      <c r="N2867" s="7">
        <f>[1]!EM_S_VAL_PBGOODWILLDEDUCTED(B2867,E2867)</f>
        <v>2.9647682039104901</v>
      </c>
      <c r="O2867" s="7">
        <f>[1]!EM_S_VAL_PS_TTM(B2867,E2867)</f>
        <v>1.16081592050886</v>
      </c>
      <c r="P2867" s="7">
        <f>[1]!EM_S_VAL_PCF_NCFTTM(B2867,E2867)</f>
        <v>14.4088216505096</v>
      </c>
      <c r="Q2867" s="7">
        <f>[1]!EM_S_VAL_DIVIDENDYIELD2(B2867,E2867,"2019-11-29")</f>
        <v>2.8188865398167726</v>
      </c>
      <c r="T2867"/>
      <c r="U2867">
        <f>[1]!EM_S_RATIO_EPS_TTM(B2867,E2867,"1")</f>
        <v>0.65396924899999997</v>
      </c>
      <c r="AT2867" s="4" t="str">
        <f>[1]!EM_S_IPO_LISTEDDATE(B2867)</f>
        <v>2018-05-09</v>
      </c>
    </row>
    <row r="2868" spans="1:46">
      <c r="A2868">
        <v>750</v>
      </c>
      <c r="B2868" t="str">
        <f>"002239"</f>
        <v>002239</v>
      </c>
      <c r="C2868" t="s">
        <v>1658</v>
      </c>
      <c r="D2868" t="str">
        <f>[1]!EM_S_INFO_INDEX_EM(B2868,"1")</f>
        <v>交运设备</v>
      </c>
      <c r="E2868" s="4">
        <f t="shared" si="44"/>
        <v>43465</v>
      </c>
      <c r="F2868" s="11">
        <f>[1]!EM_S_PQ_PCTCHANGE(B2868,"2018-01-01","2019-12-31","3")</f>
        <v>-55.818883030000002</v>
      </c>
      <c r="G2868" s="11">
        <f>[1]!EM_S_PQ_PCTCHANGE(B2868,"2018-12-31","2019-12-30","1")</f>
        <v>-13</v>
      </c>
      <c r="H2868" s="11">
        <f>[1]!EM_S_FA_YOY_OR(B2868,E2868)</f>
        <v>-21.0868495052</v>
      </c>
      <c r="I2868" s="11">
        <f>[1]!EM_S_FA_GROSSPROFITMARGIN(B2868,E2868)</f>
        <v>19.041832433500002</v>
      </c>
      <c r="J2868" s="11">
        <f>[1]!EM_S_FA_NETPROFITMARGIN(B2868,E2868)</f>
        <v>0.84791952130000003</v>
      </c>
      <c r="K2868" s="10">
        <f>[1]!EM_S_FA_ASSETSTURN(B2868,E2868)</f>
        <v>0.48072797182799998</v>
      </c>
      <c r="L2868" s="12">
        <f>[1]!EM_HKS_VAL_MV(B2868,"2019-12-31","2")</f>
        <v>5573819762.2600002</v>
      </c>
      <c r="M2868">
        <f>[1]!EM_S_VAL_PETTMDEDUCTED(B2868,E2868)</f>
        <v>30.876192299256701</v>
      </c>
      <c r="N2868" s="7">
        <f>[1]!EM_S_VAL_PBGOODWILLDEDUCTED(B2868,E2868)</f>
        <v>1.8870356551748899</v>
      </c>
      <c r="O2868" s="7">
        <f>[1]!EM_S_VAL_PS_TTM(B2868,E2868)</f>
        <v>1.39211821262783</v>
      </c>
      <c r="P2868" s="7">
        <f>[1]!EM_S_VAL_PCF_NCFTTM(B2868,E2868)</f>
        <v>44.465190744776898</v>
      </c>
      <c r="Q2868" s="7">
        <f>[1]!EM_S_VAL_DIVIDENDYIELD2(B2868,E2868,"2019-11-29")</f>
        <v>0</v>
      </c>
      <c r="T2868"/>
      <c r="U2868">
        <f>[1]!EM_S_RATIO_EPS_TTM(B2868,E2868,"1")</f>
        <v>1.2710829489555205E-2</v>
      </c>
      <c r="AT2868" s="4" t="str">
        <f>[1]!EM_S_IPO_LISTEDDATE(B2868)</f>
        <v>2008-05-22</v>
      </c>
    </row>
    <row r="2869" spans="1:46">
      <c r="A2869">
        <v>2881</v>
      </c>
      <c r="B2869" t="str">
        <f>"600808"</f>
        <v>600808</v>
      </c>
      <c r="C2869" t="s">
        <v>217</v>
      </c>
      <c r="D2869" t="str">
        <f>[1]!EM_S_INFO_INDEX_EM(B2869,"1")</f>
        <v>钢铁</v>
      </c>
      <c r="E2869" s="4">
        <f t="shared" si="44"/>
        <v>43465</v>
      </c>
      <c r="F2869" s="11">
        <f>[1]!EM_S_PQ_PCTCHANGE(B2869,"2018-01-01","2019-12-31","3")</f>
        <v>-13.75200182</v>
      </c>
      <c r="G2869" s="11">
        <f>[1]!EM_S_PQ_PCTCHANGE(B2869,"2018-12-31","2019-12-30","1")</f>
        <v>-13.00578035</v>
      </c>
      <c r="H2869" s="11">
        <f>[1]!EM_S_FA_YOY_OR(B2869,E2869)</f>
        <v>11.9131757454</v>
      </c>
      <c r="I2869" s="11">
        <f>[1]!EM_S_FA_GROSSPROFITMARGIN(B2869,E2869)</f>
        <v>14.8341212373</v>
      </c>
      <c r="J2869" s="11">
        <f>[1]!EM_S_FA_NETPROFITMARGIN(B2869,E2869)</f>
        <v>8.6123642584999995</v>
      </c>
      <c r="K2869" s="10">
        <f>[1]!EM_S_FA_ASSETSTURN(B2869,E2869)</f>
        <v>1.099555080999</v>
      </c>
      <c r="L2869" s="12">
        <f>[1]!EM_HKS_VAL_MV(B2869,"2019-12-31","2")</f>
        <v>23641091241.02</v>
      </c>
      <c r="M2869">
        <f>[1]!EM_S_VAL_PETTMDEDUCTED(B2869,E2869)</f>
        <v>4.0930514616880398</v>
      </c>
      <c r="N2869" s="7">
        <f>[1]!EM_S_VAL_PBGOODWILLDEDUCTED(B2869,E2869)</f>
        <v>0.94571992556030804</v>
      </c>
      <c r="O2869" s="7">
        <f>[1]!EM_S_VAL_PS_TTM(B2869,E2869)</f>
        <v>0.319171430414673</v>
      </c>
      <c r="P2869" s="7">
        <f>[1]!EM_S_VAL_PCF_NCFTTM(B2869,E2869)</f>
        <v>89.715638246394306</v>
      </c>
      <c r="Q2869" s="7">
        <f>[1]!EM_S_VAL_DIVIDENDYIELD2(B2869,E2869,"2019-11-29")</f>
        <v>11.272727272727273</v>
      </c>
      <c r="T2869"/>
      <c r="U2869">
        <f>[1]!EM_S_RATIO_EPS_TTM(B2869,E2869,"1")</f>
        <v>0.77178712395015392</v>
      </c>
      <c r="AT2869" s="4" t="str">
        <f>[1]!EM_S_IPO_LISTEDDATE(B2869)</f>
        <v>1994-01-06</v>
      </c>
    </row>
    <row r="2870" spans="1:46">
      <c r="A2870">
        <v>1356</v>
      </c>
      <c r="B2870" t="str">
        <f>"002856"</f>
        <v>002856</v>
      </c>
      <c r="C2870" t="s">
        <v>2371</v>
      </c>
      <c r="D2870" t="str">
        <f>[1]!EM_S_INFO_INDEX_EM(B2870,"1")</f>
        <v>建筑</v>
      </c>
      <c r="E2870" s="4">
        <f t="shared" si="44"/>
        <v>43465</v>
      </c>
      <c r="F2870" s="11">
        <f>[1]!EM_S_PQ_PCTCHANGE(B2870,"2018-01-01","2019-12-31","3")</f>
        <v>-49.416465029999998</v>
      </c>
      <c r="G2870" s="11">
        <f>[1]!EM_S_PQ_PCTCHANGE(B2870,"2018-12-31","2019-12-30","1")</f>
        <v>-13.053613049999999</v>
      </c>
      <c r="H2870" s="11">
        <f>[1]!EM_S_FA_YOY_OR(B2870,E2870)</f>
        <v>1.2875669087999999</v>
      </c>
      <c r="I2870" s="11">
        <f>[1]!EM_S_FA_GROSSPROFITMARGIN(B2870,E2870)</f>
        <v>12.7912103891</v>
      </c>
      <c r="J2870" s="11">
        <f>[1]!EM_S_FA_NETPROFITMARGIN(B2870,E2870)</f>
        <v>2.7728534904000002</v>
      </c>
      <c r="K2870" s="10">
        <f>[1]!EM_S_FA_ASSETSTURN(B2870,E2870)</f>
        <v>0.67162686810299999</v>
      </c>
      <c r="L2870" s="12">
        <f>[1]!EM_HKS_VAL_MV(B2870,"2019-12-31","2")</f>
        <v>2275285680</v>
      </c>
      <c r="M2870">
        <f>[1]!EM_S_VAL_PETTMDEDUCTED(B2870,E2870)</f>
        <v>72.808917614481103</v>
      </c>
      <c r="N2870" s="7">
        <f>[1]!EM_S_VAL_PBGOODWILLDEDUCTED(B2870,E2870)</f>
        <v>3.9416336872735598</v>
      </c>
      <c r="O2870" s="7">
        <f>[1]!EM_S_VAL_PS_TTM(B2870,E2870)</f>
        <v>2.6582077587225199</v>
      </c>
      <c r="P2870" s="7">
        <f>[1]!EM_S_VAL_PCF_NCFTTM(B2870,E2870)</f>
        <v>-18.3671669101712</v>
      </c>
      <c r="Q2870" s="7">
        <f>[1]!EM_S_VAL_DIVIDENDYIELD2(B2870,E2870,"2019-11-29")</f>
        <v>0</v>
      </c>
      <c r="T2870"/>
      <c r="U2870">
        <f>[1]!EM_S_RATIO_EPS_TTM(B2870,E2870,"1")</f>
        <v>0.21810004711861064</v>
      </c>
      <c r="AT2870" s="4" t="str">
        <f>[1]!EM_S_IPO_LISTEDDATE(B2870)</f>
        <v>2017-03-20</v>
      </c>
    </row>
    <row r="2871" spans="1:46">
      <c r="A2871">
        <v>982</v>
      </c>
      <c r="B2871" t="str">
        <f>"002471"</f>
        <v>002471</v>
      </c>
      <c r="C2871" t="s">
        <v>2832</v>
      </c>
      <c r="D2871" t="str">
        <f>[1]!EM_S_INFO_INDEX_EM(B2871,"1")</f>
        <v>电气设备</v>
      </c>
      <c r="E2871" s="4">
        <f t="shared" si="44"/>
        <v>43465</v>
      </c>
      <c r="F2871" s="11">
        <f>[1]!EM_S_PQ_PCTCHANGE(B2871,"2018-01-01","2019-12-31","3")</f>
        <v>-41.585487569999998</v>
      </c>
      <c r="G2871" s="11">
        <f>[1]!EM_S_PQ_PCTCHANGE(B2871,"2018-12-31","2019-12-30","1")</f>
        <v>-13.05970149</v>
      </c>
      <c r="H2871" s="11">
        <f>[1]!EM_S_FA_YOY_OR(B2871,E2871)</f>
        <v>2.9594391620999998</v>
      </c>
      <c r="I2871" s="11">
        <f>[1]!EM_S_FA_GROSSPROFITMARGIN(B2871,E2871)</f>
        <v>13.253673300499999</v>
      </c>
      <c r="J2871" s="11">
        <f>[1]!EM_S_FA_NETPROFITMARGIN(B2871,E2871)</f>
        <v>1.3701131093000001</v>
      </c>
      <c r="K2871" s="10">
        <f>[1]!EM_S_FA_ASSETSTURN(B2871,E2871)</f>
        <v>0.88145649968999995</v>
      </c>
      <c r="L2871" s="12">
        <f>[1]!EM_HKS_VAL_MV(B2871,"2019-12-31","2")</f>
        <v>2979800000</v>
      </c>
      <c r="M2871">
        <f>[1]!EM_S_VAL_PETTMDEDUCTED(B2871,E2871)</f>
        <v>52.273655364540303</v>
      </c>
      <c r="N2871" s="7">
        <f>[1]!EM_S_VAL_PBGOODWILLDEDUCTED(B2871,E2871)</f>
        <v>1.9049027990488401</v>
      </c>
      <c r="O2871" s="7">
        <f>[1]!EM_S_VAL_PS_TTM(B2871,E2871)</f>
        <v>0.42856017692032999</v>
      </c>
      <c r="P2871" s="7">
        <f>[1]!EM_S_VAL_PCF_NCFTTM(B2871,E2871)</f>
        <v>-23.347559403210301</v>
      </c>
      <c r="Q2871" s="7">
        <f>[1]!EM_S_VAL_DIVIDENDYIELD2(B2871,E2871,"2019-11-29")</f>
        <v>0.26086956521739135</v>
      </c>
      <c r="T2871"/>
      <c r="U2871">
        <f>[1]!EM_S_RATIO_EPS_TTM(B2871,E2871,"1")</f>
        <v>6.7381827271293382E-2</v>
      </c>
      <c r="AT2871" s="4" t="str">
        <f>[1]!EM_S_IPO_LISTEDDATE(B2871)</f>
        <v>2010-09-10</v>
      </c>
    </row>
    <row r="2872" spans="1:46">
      <c r="A2872">
        <v>2359</v>
      </c>
      <c r="B2872" t="str">
        <f>"600225"</f>
        <v>600225</v>
      </c>
      <c r="C2872" t="s">
        <v>3650</v>
      </c>
      <c r="D2872" t="str">
        <f>[1]!EM_S_INFO_INDEX_EM(B2872,"1")</f>
        <v>房地产</v>
      </c>
      <c r="E2872" s="4">
        <f t="shared" si="44"/>
        <v>43465</v>
      </c>
      <c r="F2872" s="11">
        <f>[1]!EM_S_PQ_PCTCHANGE(B2872,"2018-01-01","2019-12-31","3")</f>
        <v>-41.15308151</v>
      </c>
      <c r="G2872" s="11">
        <f>[1]!EM_S_PQ_PCTCHANGE(B2872,"2018-12-31","2019-12-30","1")</f>
        <v>-13.15789474</v>
      </c>
      <c r="H2872" s="11">
        <f>[1]!EM_S_FA_YOY_OR(B2872,E2872)</f>
        <v>116.3702733109</v>
      </c>
      <c r="I2872" s="11">
        <f>[1]!EM_S_FA_GROSSPROFITMARGIN(B2872,E2872)</f>
        <v>20.9473559722</v>
      </c>
      <c r="J2872" s="11">
        <f>[1]!EM_S_FA_NETPROFITMARGIN(B2872,E2872)</f>
        <v>-11.595023296100001</v>
      </c>
      <c r="K2872" s="10">
        <f>[1]!EM_S_FA_ASSETSTURN(B2872,E2872)</f>
        <v>0.222179509734</v>
      </c>
      <c r="L2872" s="12">
        <f>[1]!EM_HKS_VAL_MV(B2872,"2019-12-31","2")</f>
        <v>2769058140.4000001</v>
      </c>
      <c r="M2872">
        <f>[1]!EM_S_VAL_PETTMDEDUCTED(B2872,E2872)</f>
        <v>-7.14116674743563</v>
      </c>
      <c r="N2872" s="7">
        <f>[1]!EM_S_VAL_PBGOODWILLDEDUCTED(B2872,E2872)</f>
        <v>4.1431156897027499</v>
      </c>
      <c r="O2872" s="7">
        <f>[1]!EM_S_VAL_PS_TTM(B2872,E2872)</f>
        <v>1.1641534983858099</v>
      </c>
      <c r="P2872" s="7">
        <f>[1]!EM_S_VAL_PCF_NCFTTM(B2872,E2872)</f>
        <v>-9.5412285613755099</v>
      </c>
      <c r="Q2872" s="7">
        <f>[1]!EM_S_VAL_DIVIDENDYIELD2(B2872,E2872,"2019-11-29")</f>
        <v>0</v>
      </c>
      <c r="T2872"/>
      <c r="U2872">
        <f>[1]!EM_S_RATIO_EPS_TTM(B2872,E2872,"1")</f>
        <v>-0.41362227527579148</v>
      </c>
      <c r="AT2872" s="4" t="str">
        <f>[1]!EM_S_IPO_LISTEDDATE(B2872)</f>
        <v>2000-01-27</v>
      </c>
    </row>
    <row r="2873" spans="1:46">
      <c r="A2873">
        <v>3501</v>
      </c>
      <c r="B2873" t="str">
        <f>"603698"</f>
        <v>603698</v>
      </c>
      <c r="C2873" t="s">
        <v>1525</v>
      </c>
      <c r="D2873" t="str">
        <f>[1]!EM_S_INFO_INDEX_EM(B2873,"1")</f>
        <v>建筑</v>
      </c>
      <c r="E2873" s="4">
        <f t="shared" si="44"/>
        <v>43465</v>
      </c>
      <c r="F2873" s="11">
        <f>[1]!EM_S_PQ_PCTCHANGE(B2873,"2018-01-01","2019-12-31","3")</f>
        <v>-17.44755924</v>
      </c>
      <c r="G2873" s="11">
        <f>[1]!EM_S_PQ_PCTCHANGE(B2873,"2018-12-31","2019-12-30","1")</f>
        <v>-13.189113750000001</v>
      </c>
      <c r="H2873" s="11">
        <f>[1]!EM_S_FA_YOY_OR(B2873,E2873)</f>
        <v>33.174489806399997</v>
      </c>
      <c r="I2873" s="11">
        <f>[1]!EM_S_FA_GROSSPROFITMARGIN(B2873,E2873)</f>
        <v>28.459540032100001</v>
      </c>
      <c r="J2873" s="11">
        <f>[1]!EM_S_FA_NETPROFITMARGIN(B2873,E2873)</f>
        <v>14.000298733799999</v>
      </c>
      <c r="K2873" s="10">
        <f>[1]!EM_S_FA_ASSETSTURN(B2873,E2873)</f>
        <v>0.43163531292599999</v>
      </c>
      <c r="L2873" s="12">
        <f>[1]!EM_HKS_VAL_MV(B2873,"2019-12-31","2")</f>
        <v>6737394300</v>
      </c>
      <c r="M2873">
        <f>[1]!EM_S_VAL_PETTMDEDUCTED(B2873,E2873)</f>
        <v>33.190609406198803</v>
      </c>
      <c r="N2873" s="7">
        <f>[1]!EM_S_VAL_PBGOODWILLDEDUCTED(B2873,E2873)</f>
        <v>2.2194026524688</v>
      </c>
      <c r="O2873" s="7">
        <f>[1]!EM_S_VAL_PS_TTM(B2873,E2873)</f>
        <v>4.4928980061048902</v>
      </c>
      <c r="P2873" s="7">
        <f>[1]!EM_S_VAL_PCF_NCFTTM(B2873,E2873)</f>
        <v>32.0294798830651</v>
      </c>
      <c r="Q2873" s="7">
        <f>[1]!EM_S_VAL_DIVIDENDYIELD2(B2873,E2873,"2019-11-29")</f>
        <v>0</v>
      </c>
      <c r="T2873"/>
      <c r="U2873">
        <f>[1]!EM_S_RATIO_EPS_TTM(B2873,E2873,"1")</f>
        <v>0.54992921491632307</v>
      </c>
      <c r="AT2873" s="4" t="str">
        <f>[1]!EM_S_IPO_LISTEDDATE(B2873)</f>
        <v>2015-01-28</v>
      </c>
    </row>
    <row r="2874" spans="1:46">
      <c r="A2874">
        <v>1212</v>
      </c>
      <c r="B2874" t="str">
        <f>"002701"</f>
        <v>002701</v>
      </c>
      <c r="C2874" t="s">
        <v>566</v>
      </c>
      <c r="D2874" t="str">
        <f>[1]!EM_S_INFO_INDEX_EM(B2874,"1")</f>
        <v>轻工制造</v>
      </c>
      <c r="E2874" s="4">
        <f t="shared" si="44"/>
        <v>43465</v>
      </c>
      <c r="F2874" s="11">
        <f>[1]!EM_S_PQ_PCTCHANGE(B2874,"2018-01-01","2019-12-31","3")</f>
        <v>-25.326260269999999</v>
      </c>
      <c r="G2874" s="11">
        <f>[1]!EM_S_PQ_PCTCHANGE(B2874,"2018-12-31","2019-12-30","1")</f>
        <v>-13.241106719999999</v>
      </c>
      <c r="H2874" s="11">
        <f>[1]!EM_S_FA_YOY_OR(B2874,E2874)</f>
        <v>11.345271202499999</v>
      </c>
      <c r="I2874" s="11">
        <f>[1]!EM_S_FA_GROSSPROFITMARGIN(B2874,E2874)</f>
        <v>25.786948052</v>
      </c>
      <c r="J2874" s="11">
        <f>[1]!EM_S_FA_NETPROFITMARGIN(B2874,E2874)</f>
        <v>2.7354307304000001</v>
      </c>
      <c r="K2874" s="10">
        <f>[1]!EM_S_FA_ASSETSTURN(B2874,E2874)</f>
        <v>0.58833866850500005</v>
      </c>
      <c r="L2874" s="12">
        <f>[1]!EM_HKS_VAL_MV(B2874,"2019-12-31","2")</f>
        <v>10386544896</v>
      </c>
      <c r="M2874">
        <f>[1]!EM_S_VAL_PETTMDEDUCTED(B2874,E2874)</f>
        <v>17.800372199655001</v>
      </c>
      <c r="N2874" s="7">
        <f>[1]!EM_S_VAL_PBGOODWILLDEDUCTED(B2874,E2874)</f>
        <v>2.2344961576759901</v>
      </c>
      <c r="O2874" s="7">
        <f>[1]!EM_S_VAL_PS_TTM(B2874,E2874)</f>
        <v>1.47870173602099</v>
      </c>
      <c r="P2874" s="7">
        <f>[1]!EM_S_VAL_PCF_NCFTTM(B2874,E2874)</f>
        <v>-13.7727435841987</v>
      </c>
      <c r="Q2874" s="7">
        <f>[1]!EM_S_VAL_DIVIDENDYIELD2(B2874,E2874,"2019-11-29")</f>
        <v>0</v>
      </c>
      <c r="T2874"/>
      <c r="U2874">
        <f>[1]!EM_S_RATIO_EPS_TTM(B2874,E2874,"1")</f>
        <v>9.5695322775024183E-2</v>
      </c>
      <c r="AT2874" s="4" t="str">
        <f>[1]!EM_S_IPO_LISTEDDATE(B2874)</f>
        <v>2012-10-11</v>
      </c>
    </row>
    <row r="2875" spans="1:46">
      <c r="A2875">
        <v>2862</v>
      </c>
      <c r="B2875" t="str">
        <f>"600789"</f>
        <v>600789</v>
      </c>
      <c r="C2875" t="s">
        <v>363</v>
      </c>
      <c r="D2875" t="str">
        <f>[1]!EM_S_INFO_INDEX_EM(B2875,"1")</f>
        <v>医药生物</v>
      </c>
      <c r="E2875" s="4">
        <f t="shared" si="44"/>
        <v>43465</v>
      </c>
      <c r="F2875" s="11">
        <f>[1]!EM_S_PQ_PCTCHANGE(B2875,"2018-01-01","2019-12-31","3")</f>
        <v>18.862891380000001</v>
      </c>
      <c r="G2875" s="11">
        <f>[1]!EM_S_PQ_PCTCHANGE(B2875,"2018-12-31","2019-12-30","1")</f>
        <v>-13.24503311</v>
      </c>
      <c r="H2875" s="11">
        <f>[1]!EM_S_FA_YOY_OR(B2875,E2875)</f>
        <v>28.096757985699998</v>
      </c>
      <c r="I2875" s="11">
        <f>[1]!EM_S_FA_GROSSPROFITMARGIN(B2875,E2875)</f>
        <v>31.148078893099999</v>
      </c>
      <c r="J2875" s="11">
        <f>[1]!EM_S_FA_NETPROFITMARGIN(B2875,E2875)</f>
        <v>5.2087902740000001</v>
      </c>
      <c r="K2875" s="10">
        <f>[1]!EM_S_FA_ASSETSTURN(B2875,E2875)</f>
        <v>0.56580875182099999</v>
      </c>
      <c r="L2875" s="12">
        <f>[1]!EM_HKS_VAL_MV(B2875,"2019-12-31","2")</f>
        <v>6346456389.3500004</v>
      </c>
      <c r="M2875">
        <f>[1]!EM_S_VAL_PETTMDEDUCTED(B2875,E2875)</f>
        <v>33.345081893363698</v>
      </c>
      <c r="N2875" s="7">
        <f>[1]!EM_S_VAL_PBGOODWILLDEDUCTED(B2875,E2875)</f>
        <v>1.74640467065362</v>
      </c>
      <c r="O2875" s="7">
        <f>[1]!EM_S_VAL_PS_TTM(B2875,E2875)</f>
        <v>1.6550451679768201</v>
      </c>
      <c r="P2875" s="7">
        <f>[1]!EM_S_VAL_PCF_NCFTTM(B2875,E2875)</f>
        <v>6.7947210593662497</v>
      </c>
      <c r="Q2875" s="7">
        <f>[1]!EM_S_VAL_DIVIDENDYIELD2(B2875,E2875,"2019-11-29")</f>
        <v>0.48762647800696651</v>
      </c>
      <c r="T2875"/>
      <c r="U2875">
        <f>[1]!EM_S_RATIO_EPS_TTM(B2875,E2875,"1")</f>
        <v>0.23834988764344572</v>
      </c>
      <c r="AT2875" s="4" t="str">
        <f>[1]!EM_S_IPO_LISTEDDATE(B2875)</f>
        <v>1997-02-26</v>
      </c>
    </row>
    <row r="2876" spans="1:46">
      <c r="A2876">
        <v>2221</v>
      </c>
      <c r="B2876" t="str">
        <f>"600074"</f>
        <v>600074</v>
      </c>
      <c r="C2876" t="s">
        <v>3138</v>
      </c>
      <c r="D2876" t="str">
        <f>[1]!EM_S_INFO_INDEX_EM(B2876,"1")</f>
        <v>电子设备</v>
      </c>
      <c r="E2876" s="4">
        <f t="shared" si="44"/>
        <v>43465</v>
      </c>
      <c r="F2876" s="11">
        <f>[1]!EM_S_PQ_PCTCHANGE(B2876,"2018-01-01","2019-12-31","3")</f>
        <v>-89.463019250000002</v>
      </c>
      <c r="G2876" s="11">
        <f>[1]!EM_S_PQ_PCTCHANGE(B2876,"2018-12-31","2019-12-30","1")</f>
        <v>-13.33333333</v>
      </c>
      <c r="H2876" s="11">
        <f>[1]!EM_S_FA_YOY_OR(B2876,E2876)</f>
        <v>-94.853909872800003</v>
      </c>
      <c r="I2876" s="11">
        <f>[1]!EM_S_FA_GROSSPROFITMARGIN(B2876,E2876)</f>
        <v>14.225080691100001</v>
      </c>
      <c r="J2876" s="11">
        <f>[1]!EM_S_FA_NETPROFITMARGIN(B2876,E2876)</f>
        <v>-1222.1604312454999</v>
      </c>
      <c r="K2876" s="10">
        <f>[1]!EM_S_FA_ASSETSTURN(B2876,E2876)</f>
        <v>0.107579919385</v>
      </c>
      <c r="L2876" s="12">
        <f>[1]!EM_HKS_VAL_MV(B2876,"2019-12-31","2")</f>
        <v>2535401490.96</v>
      </c>
      <c r="M2876">
        <f>[1]!EM_S_VAL_PETTMDEDUCTED(B2876,E2876)</f>
        <v>-0.34398314614937497</v>
      </c>
      <c r="N2876" s="7">
        <f>[1]!EM_S_VAL_PBGOODWILLDEDUCTED(B2876,E2876)</f>
        <v>-0.57961504468070402</v>
      </c>
      <c r="O2876" s="7">
        <f>[1]!EM_S_VAL_PS_TTM(B2876,E2876)</f>
        <v>8511.2474800169293</v>
      </c>
      <c r="P2876" s="7">
        <f>[1]!EM_S_VAL_PCF_NCFTTM(B2876,E2876)</f>
        <v>-6.7963887422581903</v>
      </c>
      <c r="Q2876" s="7">
        <f>[1]!EM_S_VAL_DIVIDENDYIELD2(B2876,E2876,"2019-11-29")</f>
        <v>0</v>
      </c>
      <c r="T2876"/>
      <c r="U2876">
        <f>[1]!EM_S_RATIO_EPS_TTM(B2876,E2876,"1")</f>
        <v>-0.69285209604560971</v>
      </c>
      <c r="AT2876" s="4" t="str">
        <f>[1]!EM_S_IPO_LISTEDDATE(B2876)</f>
        <v>1997-06-23</v>
      </c>
    </row>
    <row r="2877" spans="1:46">
      <c r="A2877">
        <v>1780</v>
      </c>
      <c r="B2877" t="str">
        <f>"300355"</f>
        <v>300355</v>
      </c>
      <c r="C2877" t="s">
        <v>2705</v>
      </c>
      <c r="D2877" t="str">
        <f>[1]!EM_S_INFO_INDEX_EM(B2877,"1")</f>
        <v>公用事业</v>
      </c>
      <c r="E2877" s="4">
        <f t="shared" si="44"/>
        <v>43465</v>
      </c>
      <c r="F2877" s="11">
        <f>[1]!EM_S_PQ_PCTCHANGE(B2877,"2018-01-01","2019-12-31","3")</f>
        <v>-72.240497169999998</v>
      </c>
      <c r="G2877" s="11">
        <f>[1]!EM_S_PQ_PCTCHANGE(B2877,"2018-12-31","2019-12-30","1")</f>
        <v>-13.367609249999999</v>
      </c>
      <c r="H2877" s="11">
        <f>[1]!EM_S_FA_YOY_OR(B2877,E2877)</f>
        <v>-31.5179917442</v>
      </c>
      <c r="I2877" s="11">
        <f>[1]!EM_S_FA_GROSSPROFITMARGIN(B2877,E2877)</f>
        <v>29.759271208600001</v>
      </c>
      <c r="J2877" s="11">
        <f>[1]!EM_S_FA_NETPROFITMARGIN(B2877,E2877)</f>
        <v>6.2787331139999996</v>
      </c>
      <c r="K2877" s="10">
        <f>[1]!EM_S_FA_ASSETSTURN(B2877,E2877)</f>
        <v>0.283031946448</v>
      </c>
      <c r="L2877" s="12">
        <f>[1]!EM_HKS_VAL_MV(B2877,"2019-12-31","2")</f>
        <v>5470465496.21</v>
      </c>
      <c r="M2877">
        <f>[1]!EM_S_VAL_PETTMDEDUCTED(B2877,E2877)</f>
        <v>13.3565698366936</v>
      </c>
      <c r="N2877" s="7">
        <f>[1]!EM_S_VAL_PBGOODWILLDEDUCTED(B2877,E2877)</f>
        <v>1.7833502436231901</v>
      </c>
      <c r="O2877" s="7">
        <f>[1]!EM_S_VAL_PS_TTM(B2877,E2877)</f>
        <v>1.69574561834825</v>
      </c>
      <c r="P2877" s="7">
        <f>[1]!EM_S_VAL_PCF_NCFTTM(B2877,E2877)</f>
        <v>-9.6235634266132895</v>
      </c>
      <c r="Q2877" s="7">
        <f>[1]!EM_S_VAL_DIVIDENDYIELD2(B2877,E2877,"2019-11-29")</f>
        <v>0.5806451612903224</v>
      </c>
      <c r="T2877"/>
      <c r="U2877">
        <f>[1]!EM_S_RATIO_EPS_TTM(B2877,E2877,"1")</f>
        <v>0.12704023007734577</v>
      </c>
      <c r="AT2877" s="4" t="str">
        <f>[1]!EM_S_IPO_LISTEDDATE(B2877)</f>
        <v>2012-09-27</v>
      </c>
    </row>
    <row r="2878" spans="1:46">
      <c r="A2878">
        <v>3607</v>
      </c>
      <c r="B2878" t="str">
        <f>"603928"</f>
        <v>603928</v>
      </c>
      <c r="C2878" t="s">
        <v>798</v>
      </c>
      <c r="D2878" t="str">
        <f>[1]!EM_S_INFO_INDEX_EM(B2878,"1")</f>
        <v>基础化工</v>
      </c>
      <c r="E2878" s="4">
        <f t="shared" si="44"/>
        <v>43465</v>
      </c>
      <c r="F2878" s="11">
        <f>[1]!EM_S_PQ_PCTCHANGE(B2878,"2018-01-01","2019-12-31","3")</f>
        <v>-16.577642579999999</v>
      </c>
      <c r="G2878" s="11">
        <f>[1]!EM_S_PQ_PCTCHANGE(B2878,"2018-12-31","2019-12-30","1")</f>
        <v>-13.44947735</v>
      </c>
      <c r="H2878" s="11">
        <f>[1]!EM_S_FA_YOY_OR(B2878,E2878)</f>
        <v>17.151135228499999</v>
      </c>
      <c r="I2878" s="11">
        <f>[1]!EM_S_FA_GROSSPROFITMARGIN(B2878,E2878)</f>
        <v>21.955238025100002</v>
      </c>
      <c r="J2878" s="11">
        <f>[1]!EM_S_FA_NETPROFITMARGIN(B2878,E2878)</f>
        <v>9.7243591437999992</v>
      </c>
      <c r="K2878" s="10">
        <f>[1]!EM_S_FA_ASSETSTURN(B2878,E2878)</f>
        <v>0.99242244053399997</v>
      </c>
      <c r="L2878" s="12">
        <f>[1]!EM_HKS_VAL_MV(B2878,"2019-12-31","2")</f>
        <v>2483712000</v>
      </c>
      <c r="M2878">
        <f>[1]!EM_S_VAL_PETTMDEDUCTED(B2878,E2878)</f>
        <v>20.445723009187201</v>
      </c>
      <c r="N2878" s="7">
        <f>[1]!EM_S_VAL_PBGOODWILLDEDUCTED(B2878,E2878)</f>
        <v>2.3325904055279998</v>
      </c>
      <c r="O2878" s="7">
        <f>[1]!EM_S_VAL_PS_TTM(B2878,E2878)</f>
        <v>1.88941431394441</v>
      </c>
      <c r="P2878" s="7">
        <f>[1]!EM_S_VAL_PCF_NCFTTM(B2878,E2878)</f>
        <v>-41.407930941757698</v>
      </c>
      <c r="Q2878" s="7">
        <f>[1]!EM_S_VAL_DIVIDENDYIELD2(B2878,E2878,"2019-11-29")</f>
        <v>1.943462897526502</v>
      </c>
      <c r="T2878"/>
      <c r="U2878">
        <f>[1]!EM_S_RATIO_EPS_TTM(B2878,E2878,"1")</f>
        <v>0.72497788501984128</v>
      </c>
      <c r="AT2878" s="4" t="str">
        <f>[1]!EM_S_IPO_LISTEDDATE(B2878)</f>
        <v>2016-12-12</v>
      </c>
    </row>
    <row r="2879" spans="1:46">
      <c r="A2879">
        <v>2947</v>
      </c>
      <c r="B2879" t="str">
        <f>"600874"</f>
        <v>600874</v>
      </c>
      <c r="C2879" t="s">
        <v>1304</v>
      </c>
      <c r="D2879" t="str">
        <f>[1]!EM_S_INFO_INDEX_EM(B2879,"1")</f>
        <v>公用事业</v>
      </c>
      <c r="E2879" s="4">
        <f t="shared" si="44"/>
        <v>43465</v>
      </c>
      <c r="F2879" s="11">
        <f>[1]!EM_S_PQ_PCTCHANGE(B2879,"2018-01-01","2019-12-31","3")</f>
        <v>-44.011969100000002</v>
      </c>
      <c r="G2879" s="11">
        <f>[1]!EM_S_PQ_PCTCHANGE(B2879,"2018-12-31","2019-12-30","1")</f>
        <v>-13.454545449999999</v>
      </c>
      <c r="H2879" s="11">
        <f>[1]!EM_S_FA_YOY_OR(B2879,E2879)</f>
        <v>13.925815315199999</v>
      </c>
      <c r="I2879" s="11">
        <f>[1]!EM_S_FA_GROSSPROFITMARGIN(B2879,E2879)</f>
        <v>36.320880566600003</v>
      </c>
      <c r="J2879" s="11">
        <f>[1]!EM_S_FA_NETPROFITMARGIN(B2879,E2879)</f>
        <v>21.523055017000001</v>
      </c>
      <c r="K2879" s="10">
        <f>[1]!EM_S_FA_ASSETSTURN(B2879,E2879)</f>
        <v>0.173950646933</v>
      </c>
      <c r="L2879" s="12">
        <f>[1]!EM_HKS_VAL_MV(B2879,"2019-12-31","2")</f>
        <v>10261772411.700001</v>
      </c>
      <c r="M2879">
        <f>[1]!EM_S_VAL_PETTMDEDUCTED(B2879,E2879)</f>
        <v>25.3235918839402</v>
      </c>
      <c r="N2879" s="7">
        <f>[1]!EM_S_VAL_PBGOODWILLDEDUCTED(B2879,E2879)</f>
        <v>2.0237579451077901</v>
      </c>
      <c r="O2879" s="7">
        <f>[1]!EM_S_VAL_PS_TTM(B2879,E2879)</f>
        <v>5.0556328142006901</v>
      </c>
      <c r="P2879" s="7">
        <f>[1]!EM_S_VAL_PCF_NCFTTM(B2879,E2879)</f>
        <v>19.091112503242801</v>
      </c>
      <c r="Q2879" s="7">
        <f>[1]!EM_S_VAL_DIVIDENDYIELD2(B2879,E2879,"2019-11-29")</f>
        <v>1.5229885057471266</v>
      </c>
      <c r="T2879"/>
      <c r="U2879">
        <f>[1]!EM_S_RATIO_EPS_TTM(B2879,E2879,"1")</f>
        <v>0.35114771361442121</v>
      </c>
      <c r="AT2879" s="4" t="str">
        <f>[1]!EM_S_IPO_LISTEDDATE(B2879)</f>
        <v>1995-06-30</v>
      </c>
    </row>
    <row r="2880" spans="1:46">
      <c r="A2880">
        <v>3560</v>
      </c>
      <c r="B2880" t="str">
        <f>"603838"</f>
        <v>603838</v>
      </c>
      <c r="C2880" t="s">
        <v>817</v>
      </c>
      <c r="D2880" t="str">
        <f>[1]!EM_S_INFO_INDEX_EM(B2880,"1")</f>
        <v>建材</v>
      </c>
      <c r="E2880" s="4">
        <f t="shared" si="44"/>
        <v>43465</v>
      </c>
      <c r="F2880" s="11">
        <f>[1]!EM_S_PQ_PCTCHANGE(B2880,"2018-01-01","2019-12-31","3")</f>
        <v>-31.618693629999999</v>
      </c>
      <c r="G2880" s="11">
        <f>[1]!EM_S_PQ_PCTCHANGE(B2880,"2018-12-31","2019-12-30","1")</f>
        <v>-13.467656420000001</v>
      </c>
      <c r="H2880" s="11">
        <f>[1]!EM_S_FA_YOY_OR(B2880,E2880)</f>
        <v>6.1119068897000002</v>
      </c>
      <c r="I2880" s="11">
        <f>[1]!EM_S_FA_GROSSPROFITMARGIN(B2880,E2880)</f>
        <v>27.683785762500001</v>
      </c>
      <c r="J2880" s="11">
        <f>[1]!EM_S_FA_NETPROFITMARGIN(B2880,E2880)</f>
        <v>9.5671764399000008</v>
      </c>
      <c r="K2880" s="10">
        <f>[1]!EM_S_FA_ASSETSTURN(B2880,E2880)</f>
        <v>0.54987798332799998</v>
      </c>
      <c r="L2880" s="12">
        <f>[1]!EM_HKS_VAL_MV(B2880,"2019-12-31","2")</f>
        <v>2234778400</v>
      </c>
      <c r="M2880">
        <f>[1]!EM_S_VAL_PETTMDEDUCTED(B2880,E2880)</f>
        <v>44.573861133670697</v>
      </c>
      <c r="N2880" s="7">
        <f>[1]!EM_S_VAL_PBGOODWILLDEDUCTED(B2880,E2880)</f>
        <v>3.4990043884834199</v>
      </c>
      <c r="O2880" s="7">
        <f>[1]!EM_S_VAL_PS_TTM(B2880,E2880)</f>
        <v>5.7703019830416604</v>
      </c>
      <c r="P2880" s="7">
        <f>[1]!EM_S_VAL_PCF_NCFTTM(B2880,E2880)</f>
        <v>-30.9106051346279</v>
      </c>
      <c r="Q2880" s="7">
        <f>[1]!EM_S_VAL_DIVIDENDYIELD2(B2880,E2880,"2019-11-29")</f>
        <v>0.63051702395964693</v>
      </c>
      <c r="T2880"/>
      <c r="U2880">
        <f>[1]!EM_S_RATIO_EPS_TTM(B2880,E2880,"1")</f>
        <v>0.16041993872806359</v>
      </c>
      <c r="AT2880" s="4" t="str">
        <f>[1]!EM_S_IPO_LISTEDDATE(B2880)</f>
        <v>2015-07-01</v>
      </c>
    </row>
    <row r="2881" spans="1:46">
      <c r="A2881">
        <v>684</v>
      </c>
      <c r="B2881" t="str">
        <f>"002173"</f>
        <v>002173</v>
      </c>
      <c r="C2881" t="s">
        <v>2071</v>
      </c>
      <c r="D2881" t="str">
        <f>[1]!EM_S_INFO_INDEX_EM(B2881,"1")</f>
        <v>医药生物</v>
      </c>
      <c r="E2881" s="4">
        <f t="shared" si="44"/>
        <v>43465</v>
      </c>
      <c r="F2881" s="11">
        <f>[1]!EM_S_PQ_PCTCHANGE(B2881,"2018-01-01","2019-12-31","3")</f>
        <v>-53.732081219999998</v>
      </c>
      <c r="G2881" s="11">
        <f>[1]!EM_S_PQ_PCTCHANGE(B2881,"2018-12-31","2019-12-30","1")</f>
        <v>-13.49862259</v>
      </c>
      <c r="H2881" s="11">
        <f>[1]!EM_S_FA_YOY_OR(B2881,E2881)</f>
        <v>16.986113300900001</v>
      </c>
      <c r="I2881" s="11">
        <f>[1]!EM_S_FA_GROSSPROFITMARGIN(B2881,E2881)</f>
        <v>36.969713609599999</v>
      </c>
      <c r="J2881" s="11">
        <f>[1]!EM_S_FA_NETPROFITMARGIN(B2881,E2881)</f>
        <v>2.8277537689000001</v>
      </c>
      <c r="K2881" s="10">
        <f>[1]!EM_S_FA_ASSETSTURN(B2881,E2881)</f>
        <v>0.23754066834900001</v>
      </c>
      <c r="L2881" s="12">
        <f>[1]!EM_HKS_VAL_MV(B2881,"2019-12-31","2")</f>
        <v>2838303717.5999999</v>
      </c>
      <c r="M2881">
        <f>[1]!EM_S_VAL_PETTMDEDUCTED(B2881,E2881)</f>
        <v>29.7689628656053</v>
      </c>
      <c r="N2881" s="7">
        <f>[1]!EM_S_VAL_PBGOODWILLDEDUCTED(B2881,E2881)</f>
        <v>1.2711413718098701</v>
      </c>
      <c r="O2881" s="7">
        <f>[1]!EM_S_VAL_PS_TTM(B2881,E2881)</f>
        <v>3.0234892892278</v>
      </c>
      <c r="P2881" s="7">
        <f>[1]!EM_S_VAL_PCF_NCFTTM(B2881,E2881)</f>
        <v>-239.86182073886599</v>
      </c>
      <c r="Q2881" s="7">
        <f>[1]!EM_S_VAL_DIVIDENDYIELD2(B2881,E2881,"2019-11-29")</f>
        <v>0</v>
      </c>
      <c r="T2881"/>
      <c r="U2881">
        <f>[1]!EM_S_RATIO_EPS_TTM(B2881,E2881,"1")</f>
        <v>6.5245119104796967E-2</v>
      </c>
      <c r="AT2881" s="4" t="str">
        <f>[1]!EM_S_IPO_LISTEDDATE(B2881)</f>
        <v>2007-09-25</v>
      </c>
    </row>
    <row r="2882" spans="1:46">
      <c r="A2882">
        <v>2370</v>
      </c>
      <c r="B2882" t="str">
        <f>"600236"</f>
        <v>600236</v>
      </c>
      <c r="C2882" t="s">
        <v>425</v>
      </c>
      <c r="D2882" t="str">
        <f>[1]!EM_S_INFO_INDEX_EM(B2882,"1")</f>
        <v>公用事业</v>
      </c>
      <c r="E2882" s="4">
        <f t="shared" si="44"/>
        <v>43465</v>
      </c>
      <c r="F2882" s="11">
        <f>[1]!EM_S_PQ_PCTCHANGE(B2882,"2018-01-01","2019-12-31","3")</f>
        <v>21.729087910000001</v>
      </c>
      <c r="G2882" s="11">
        <f>[1]!EM_S_PQ_PCTCHANGE(B2882,"2018-12-31","2019-12-30","1")</f>
        <v>-13.52313167</v>
      </c>
      <c r="H2882" s="11">
        <f>[1]!EM_S_FA_YOY_OR(B2882,E2882)</f>
        <v>-1.3053443567</v>
      </c>
      <c r="I2882" s="11">
        <f>[1]!EM_S_FA_GROSSPROFITMARGIN(B2882,E2882)</f>
        <v>51.310835405200002</v>
      </c>
      <c r="J2882" s="11">
        <f>[1]!EM_S_FA_NETPROFITMARGIN(B2882,E2882)</f>
        <v>28.4964011448</v>
      </c>
      <c r="K2882" s="10">
        <f>[1]!EM_S_FA_ASSETSTURN(B2882,E2882)</f>
        <v>0.21814647112800001</v>
      </c>
      <c r="L2882" s="12">
        <f>[1]!EM_HKS_VAL_MV(B2882,"2019-12-31","2")</f>
        <v>38544827451.779999</v>
      </c>
      <c r="M2882">
        <f>[1]!EM_S_VAL_PETTMDEDUCTED(B2882,E2882)</f>
        <v>12.3339718673421</v>
      </c>
      <c r="N2882" s="7">
        <f>[1]!EM_S_VAL_PBGOODWILLDEDUCTED(B2882,E2882)</f>
        <v>2.4714193519246401</v>
      </c>
      <c r="O2882" s="7">
        <f>[1]!EM_S_VAL_PS_TTM(B2882,E2882)</f>
        <v>3.8997416634999298</v>
      </c>
      <c r="P2882" s="7">
        <f>[1]!EM_S_VAL_PCF_NCFTTM(B2882,E2882)</f>
        <v>43.479978265480703</v>
      </c>
      <c r="Q2882" s="7">
        <f>[1]!EM_S_VAL_DIVIDENDYIELD2(B2882,E2882,"2019-11-29")</f>
        <v>3.9980809211578441</v>
      </c>
      <c r="T2882"/>
      <c r="U2882">
        <f>[1]!EM_S_RATIO_EPS_TTM(B2882,E2882,"1")</f>
        <v>0.39330063518300262</v>
      </c>
      <c r="AT2882" s="4" t="str">
        <f>[1]!EM_S_IPO_LISTEDDATE(B2882)</f>
        <v>2000-03-23</v>
      </c>
    </row>
    <row r="2883" spans="1:46">
      <c r="A2883">
        <v>2764</v>
      </c>
      <c r="B2883" t="str">
        <f>"600691"</f>
        <v>600691</v>
      </c>
      <c r="C2883" t="s">
        <v>2183</v>
      </c>
      <c r="D2883" t="str">
        <f>[1]!EM_S_INFO_INDEX_EM(B2883,"1")</f>
        <v>基础化工</v>
      </c>
      <c r="E2883" s="4">
        <f t="shared" ref="E2883:E2946" si="45">$B$1</f>
        <v>43465</v>
      </c>
      <c r="F2883" s="11">
        <f>[1]!EM_S_PQ_PCTCHANGE(B2883,"2018-01-01","2019-12-31","3")</f>
        <v>-42.62295082</v>
      </c>
      <c r="G2883" s="11">
        <f>[1]!EM_S_PQ_PCTCHANGE(B2883,"2018-12-31","2019-12-30","1")</f>
        <v>-13.524590160000001</v>
      </c>
      <c r="H2883" s="11">
        <f>[1]!EM_S_FA_YOY_OR(B2883,E2883)</f>
        <v>1.760517632</v>
      </c>
      <c r="I2883" s="11">
        <f>[1]!EM_S_FA_GROSSPROFITMARGIN(B2883,E2883)</f>
        <v>14.5806098069</v>
      </c>
      <c r="J2883" s="11">
        <f>[1]!EM_S_FA_NETPROFITMARGIN(B2883,E2883)</f>
        <v>0.57445894590000002</v>
      </c>
      <c r="K2883" s="10">
        <f>[1]!EM_S_FA_ASSETSTURN(B2883,E2883)</f>
        <v>0.52211028246299995</v>
      </c>
      <c r="L2883" s="12">
        <f>[1]!EM_HKS_VAL_MV(B2883,"2019-12-31","2")</f>
        <v>4989562099.1999998</v>
      </c>
      <c r="M2883">
        <f>[1]!EM_S_VAL_PETTMDEDUCTED(B2883,E2883)</f>
        <v>-22.316269493546098</v>
      </c>
      <c r="N2883" s="7">
        <f>[1]!EM_S_VAL_PBGOODWILLDEDUCTED(B2883,E2883)</f>
        <v>0.98519554926865405</v>
      </c>
      <c r="O2883" s="7">
        <f>[1]!EM_S_VAL_PS_TTM(B2883,E2883)</f>
        <v>0.29525240340293402</v>
      </c>
      <c r="P2883" s="7">
        <f>[1]!EM_S_VAL_PCF_NCFTTM(B2883,E2883)</f>
        <v>-6.0341866941586098</v>
      </c>
      <c r="Q2883" s="7">
        <f>[1]!EM_S_VAL_DIVIDENDYIELD2(B2883,E2883,"2019-11-29")</f>
        <v>0</v>
      </c>
      <c r="T2883"/>
      <c r="U2883">
        <f>[1]!EM_S_RATIO_EPS_TTM(B2883,E2883,"1")</f>
        <v>5.418940183936212E-2</v>
      </c>
      <c r="AT2883" s="4" t="str">
        <f>[1]!EM_S_IPO_LISTEDDATE(B2883)</f>
        <v>1993-11-19</v>
      </c>
    </row>
    <row r="2884" spans="1:46">
      <c r="A2884">
        <v>1418</v>
      </c>
      <c r="B2884" t="str">
        <f>"002922"</f>
        <v>002922</v>
      </c>
      <c r="C2884" t="s">
        <v>2989</v>
      </c>
      <c r="D2884" t="str">
        <f>[1]!EM_S_INFO_INDEX_EM(B2884,"1")</f>
        <v>电气设备</v>
      </c>
      <c r="E2884" s="4">
        <f t="shared" si="45"/>
        <v>43465</v>
      </c>
      <c r="F2884" s="11">
        <f>[1]!EM_S_PQ_PCTCHANGE(B2884,"2018-01-01","2019-12-31","3")</f>
        <v>-14.60754448</v>
      </c>
      <c r="G2884" s="11">
        <f>[1]!EM_S_PQ_PCTCHANGE(B2884,"2018-12-31","2019-12-30","1")</f>
        <v>-13.55247982</v>
      </c>
      <c r="H2884" s="11">
        <f>[1]!EM_S_FA_YOY_OR(B2884,E2884)</f>
        <v>-5.2722706828000003</v>
      </c>
      <c r="I2884" s="11">
        <f>[1]!EM_S_FA_GROSSPROFITMARGIN(B2884,E2884)</f>
        <v>22.760145733600002</v>
      </c>
      <c r="J2884" s="11">
        <f>[1]!EM_S_FA_NETPROFITMARGIN(B2884,E2884)</f>
        <v>3.6612681907</v>
      </c>
      <c r="K2884" s="10">
        <f>[1]!EM_S_FA_ASSETSTURN(B2884,E2884)</f>
        <v>0.80701330414799999</v>
      </c>
      <c r="L2884" s="12">
        <f>[1]!EM_HKS_VAL_MV(B2884,"2019-12-31","2")</f>
        <v>2027272125</v>
      </c>
      <c r="M2884">
        <f>[1]!EM_S_VAL_PETTMDEDUCTED(B2884,E2884)</f>
        <v>52.706628426524901</v>
      </c>
      <c r="N2884" s="7">
        <f>[1]!EM_S_VAL_PBGOODWILLDEDUCTED(B2884,E2884)</f>
        <v>2.5592863490201498</v>
      </c>
      <c r="O2884" s="7">
        <f>[1]!EM_S_VAL_PS_TTM(B2884,E2884)</f>
        <v>2.00272449404808</v>
      </c>
      <c r="P2884" s="7">
        <f>[1]!EM_S_VAL_PCF_NCFTTM(B2884,E2884)</f>
        <v>-28.198961366462399</v>
      </c>
      <c r="Q2884" s="7">
        <f>[1]!EM_S_VAL_DIVIDENDYIELD2(B2884,E2884,"2019-11-29")</f>
        <v>1.0364820435537088</v>
      </c>
      <c r="T2884"/>
      <c r="U2884">
        <f>[1]!EM_S_RATIO_EPS_TTM(B2884,E2884,"1")</f>
        <v>0.31506352498193557</v>
      </c>
      <c r="AT2884" s="4" t="str">
        <f>[1]!EM_S_IPO_LISTEDDATE(B2884)</f>
        <v>2017-12-29</v>
      </c>
    </row>
    <row r="2885" spans="1:46">
      <c r="A2885">
        <v>659</v>
      </c>
      <c r="B2885" t="str">
        <f>"002148"</f>
        <v>002148</v>
      </c>
      <c r="C2885" t="s">
        <v>1881</v>
      </c>
      <c r="D2885" t="str">
        <f>[1]!EM_S_INFO_INDEX_EM(B2885,"1")</f>
        <v>信息技术</v>
      </c>
      <c r="E2885" s="4">
        <f t="shared" si="45"/>
        <v>43465</v>
      </c>
      <c r="F2885" s="11">
        <f>[1]!EM_S_PQ_PCTCHANGE(B2885,"2018-01-01","2019-12-31","3")</f>
        <v>-42.300144260000003</v>
      </c>
      <c r="G2885" s="11">
        <f>[1]!EM_S_PQ_PCTCHANGE(B2885,"2018-12-31","2019-12-30","1")</f>
        <v>-13.5678392</v>
      </c>
      <c r="H2885" s="11">
        <f>[1]!EM_S_FA_YOY_OR(B2885,E2885)</f>
        <v>-59.1568097372</v>
      </c>
      <c r="I2885" s="11">
        <f>[1]!EM_S_FA_GROSSPROFITMARGIN(B2885,E2885)</f>
        <v>56.335994578799998</v>
      </c>
      <c r="J2885" s="11">
        <f>[1]!EM_S_FA_NETPROFITMARGIN(B2885,E2885)</f>
        <v>16.9550410652</v>
      </c>
      <c r="K2885" s="10">
        <f>[1]!EM_S_FA_ASSETSTURN(B2885,E2885)</f>
        <v>0.17686021581899999</v>
      </c>
      <c r="L2885" s="12">
        <f>[1]!EM_HKS_VAL_MV(B2885,"2019-12-31","2")</f>
        <v>2919392431.3200002</v>
      </c>
      <c r="M2885">
        <f>[1]!EM_S_VAL_PETTMDEDUCTED(B2885,E2885)</f>
        <v>99.619933957369199</v>
      </c>
      <c r="N2885" s="7">
        <f>[1]!EM_S_VAL_PBGOODWILLDEDUCTED(B2885,E2885)</f>
        <v>2.9377657170897198</v>
      </c>
      <c r="O2885" s="7">
        <f>[1]!EM_S_VAL_PS_TTM(B2885,E2885)</f>
        <v>10.654343766556099</v>
      </c>
      <c r="P2885" s="7">
        <f>[1]!EM_S_VAL_PCF_NCFTTM(B2885,E2885)</f>
        <v>-49.3367188017885</v>
      </c>
      <c r="Q2885" s="7">
        <f>[1]!EM_S_VAL_DIVIDENDYIELD2(B2885,E2885,"2019-11-29")</f>
        <v>0.49701789264413521</v>
      </c>
      <c r="T2885"/>
      <c r="U2885">
        <f>[1]!EM_S_RATIO_EPS_TTM(B2885,E2885,"1")</f>
        <v>7.3558282891754284E-2</v>
      </c>
      <c r="AT2885" s="4" t="str">
        <f>[1]!EM_S_IPO_LISTEDDATE(B2885)</f>
        <v>2007-08-10</v>
      </c>
    </row>
    <row r="2886" spans="1:46">
      <c r="A2886">
        <v>3104</v>
      </c>
      <c r="B2886" t="str">
        <f>"601366"</f>
        <v>601366</v>
      </c>
      <c r="C2886" t="s">
        <v>642</v>
      </c>
      <c r="D2886" t="str">
        <f>[1]!EM_S_INFO_INDEX_EM(B2886,"1")</f>
        <v>商贸零售</v>
      </c>
      <c r="E2886" s="4">
        <f t="shared" si="45"/>
        <v>43465</v>
      </c>
      <c r="F2886" s="11">
        <f>[1]!EM_S_PQ_PCTCHANGE(B2886,"2018-01-01","2019-12-31","3")</f>
        <v>-43.456458410000003</v>
      </c>
      <c r="G2886" s="11">
        <f>[1]!EM_S_PQ_PCTCHANGE(B2886,"2018-12-31","2019-12-30","1")</f>
        <v>-13.58024691</v>
      </c>
      <c r="H2886" s="11">
        <f>[1]!EM_S_FA_YOY_OR(B2886,E2886)</f>
        <v>8.1501316510000006</v>
      </c>
      <c r="I2886" s="11">
        <f>[1]!EM_S_FA_GROSSPROFITMARGIN(B2886,E2886)</f>
        <v>22.446189093299999</v>
      </c>
      <c r="J2886" s="11">
        <f>[1]!EM_S_FA_NETPROFITMARGIN(B2886,E2886)</f>
        <v>1.7702802844000001</v>
      </c>
      <c r="K2886" s="10">
        <f>[1]!EM_S_FA_ASSETSTURN(B2886,E2886)</f>
        <v>1.103674175401</v>
      </c>
      <c r="L2886" s="12">
        <f>[1]!EM_HKS_VAL_MV(B2886,"2019-12-31","2")</f>
        <v>4844617589.8000002</v>
      </c>
      <c r="M2886">
        <f>[1]!EM_S_VAL_PETTMDEDUCTED(B2886,E2886)</f>
        <v>14.825107872467401</v>
      </c>
      <c r="N2886" s="7">
        <f>[1]!EM_S_VAL_PBGOODWILLDEDUCTED(B2886,E2886)</f>
        <v>1.22056977094562</v>
      </c>
      <c r="O2886" s="7">
        <f>[1]!EM_S_VAL_PS_TTM(B2886,E2886)</f>
        <v>0.50288432062150501</v>
      </c>
      <c r="P2886" s="7">
        <f>[1]!EM_S_VAL_PCF_NCFTTM(B2886,E2886)</f>
        <v>18.197891796464699</v>
      </c>
      <c r="Q2886" s="7">
        <f>[1]!EM_S_VAL_DIVIDENDYIELD2(B2886,E2886,"2019-11-29")</f>
        <v>3.7243947858472999</v>
      </c>
      <c r="T2886"/>
      <c r="U2886">
        <f>[1]!EM_S_RATIO_EPS_TTM(B2886,E2886,"1")</f>
        <v>0.23483552831569665</v>
      </c>
      <c r="AT2886" s="4" t="str">
        <f>[1]!EM_S_IPO_LISTEDDATE(B2886)</f>
        <v>2017-04-12</v>
      </c>
    </row>
    <row r="2887" spans="1:46">
      <c r="A2887">
        <v>3137</v>
      </c>
      <c r="B2887" t="str">
        <f>"601669"</f>
        <v>601669</v>
      </c>
      <c r="C2887" t="s">
        <v>1004</v>
      </c>
      <c r="D2887" t="str">
        <f>[1]!EM_S_INFO_INDEX_EM(B2887,"1")</f>
        <v>建筑</v>
      </c>
      <c r="E2887" s="4">
        <f t="shared" si="45"/>
        <v>43465</v>
      </c>
      <c r="F2887" s="11">
        <f>[1]!EM_S_PQ_PCTCHANGE(B2887,"2018-01-01","2019-12-31","3")</f>
        <v>-37.652561499999997</v>
      </c>
      <c r="G2887" s="11">
        <f>[1]!EM_S_PQ_PCTCHANGE(B2887,"2018-12-31","2019-12-30","1")</f>
        <v>-13.58024691</v>
      </c>
      <c r="H2887" s="11">
        <f>[1]!EM_S_FA_YOY_OR(B2887,E2887)</f>
        <v>10.686175175100001</v>
      </c>
      <c r="I2887" s="11">
        <f>[1]!EM_S_FA_GROSSPROFITMARGIN(B2887,E2887)</f>
        <v>14.773664911599999</v>
      </c>
      <c r="J2887" s="11">
        <f>[1]!EM_S_FA_NETPROFITMARGIN(B2887,E2887)</f>
        <v>3.3676187479999999</v>
      </c>
      <c r="K2887" s="10">
        <f>[1]!EM_S_FA_ASSETSTURN(B2887,E2887)</f>
        <v>0.458083705768</v>
      </c>
      <c r="L2887" s="12">
        <f>[1]!EM_HKS_VAL_MV(B2887,"2019-12-31","2")</f>
        <v>66397812004.160004</v>
      </c>
      <c r="M2887">
        <f>[1]!EM_S_VAL_PETTMDEDUCTED(B2887,E2887)</f>
        <v>10.935861649903</v>
      </c>
      <c r="N2887" s="7">
        <f>[1]!EM_S_VAL_PBGOODWILLDEDUCTED(B2887,E2887)</f>
        <v>0.93984382460355098</v>
      </c>
      <c r="O2887" s="7">
        <f>[1]!EM_S_VAL_PS_TTM(B2887,E2887)</f>
        <v>0.26949495826537101</v>
      </c>
      <c r="P2887" s="7">
        <f>[1]!EM_S_VAL_PCF_NCFTTM(B2887,E2887)</f>
        <v>-51.903136767692999</v>
      </c>
      <c r="Q2887" s="7">
        <f>[1]!EM_S_VAL_DIVIDENDYIELD2(B2887,E2887,"2019-11-29")</f>
        <v>2.3975490196078431</v>
      </c>
      <c r="T2887"/>
      <c r="U2887">
        <f>[1]!EM_S_RATIO_EPS_TTM(B2887,E2887,"1")</f>
        <v>0.50298225525325135</v>
      </c>
      <c r="AT2887" s="4" t="str">
        <f>[1]!EM_S_IPO_LISTEDDATE(B2887)</f>
        <v>2011-10-18</v>
      </c>
    </row>
    <row r="2888" spans="1:46">
      <c r="A2888">
        <v>3359</v>
      </c>
      <c r="B2888" t="str">
        <f>"603323"</f>
        <v>603323</v>
      </c>
      <c r="C2888" t="s">
        <v>1169</v>
      </c>
      <c r="D2888" t="str">
        <f>[1]!EM_S_INFO_INDEX_EM(B2888,"1")</f>
        <v>金融</v>
      </c>
      <c r="E2888" s="4">
        <f t="shared" si="45"/>
        <v>43465</v>
      </c>
      <c r="F2888" s="11">
        <f>[1]!EM_S_PQ_PCTCHANGE(B2888,"2018-01-01","2019-12-31","3")</f>
        <v>-26.685702679999999</v>
      </c>
      <c r="G2888" s="11">
        <f>[1]!EM_S_PQ_PCTCHANGE(B2888,"2018-12-31","2019-12-30","1")</f>
        <v>-13.58428805</v>
      </c>
      <c r="H2888" s="11">
        <f>[1]!EM_S_FA_YOY_OR(B2888,E2888)</f>
        <v>15.5372853395</v>
      </c>
      <c r="I2888" s="11">
        <f>[1]!EM_S_FA_GROSSPROFITMARGIN(B2888,E2888)</f>
        <v>0</v>
      </c>
      <c r="J2888" s="11">
        <f>[1]!EM_S_FA_NETPROFITMARGIN(B2888,E2888)</f>
        <v>25.724551172000002</v>
      </c>
      <c r="K2888" s="10">
        <f>[1]!EM_S_FA_ASSETSTURN(B2888,E2888)</f>
        <v>0</v>
      </c>
      <c r="L2888" s="12">
        <f>[1]!EM_HKS_VAL_MV(B2888,"2019-12-31","2")</f>
        <v>9538215135.4699993</v>
      </c>
      <c r="M2888">
        <f>[1]!EM_S_VAL_PETTMDEDUCTED(B2888,E2888)</f>
        <v>10.644873404958499</v>
      </c>
      <c r="N2888" s="7">
        <f>[1]!EM_S_VAL_PBGOODWILLDEDUCTED(B2888,E2888)</f>
        <v>0.97060987500585505</v>
      </c>
      <c r="O2888" s="7">
        <f>[1]!EM_S_VAL_PS_TTM(B2888,E2888)</f>
        <v>2.9860280594114501</v>
      </c>
      <c r="P2888" s="7">
        <f>[1]!EM_S_VAL_PCF_NCFTTM(B2888,E2888)</f>
        <v>3.5346333499495799</v>
      </c>
      <c r="Q2888" s="7">
        <f>[1]!EM_S_VAL_DIVIDENDYIELD2(B2888,E2888,"2019-11-29")</f>
        <v>1.829153004888499</v>
      </c>
      <c r="T2888"/>
      <c r="U2888">
        <f>[1]!EM_S_RATIO_EPS_TTM(B2888,E2888,"1")</f>
        <v>0.55395599938287021</v>
      </c>
      <c r="AT2888" s="4" t="str">
        <f>[1]!EM_S_IPO_LISTEDDATE(B2888)</f>
        <v>2016-11-29</v>
      </c>
    </row>
    <row r="2889" spans="1:46">
      <c r="A2889">
        <v>1277</v>
      </c>
      <c r="B2889" t="str">
        <f>"002770"</f>
        <v>002770</v>
      </c>
      <c r="C2889" t="s">
        <v>2037</v>
      </c>
      <c r="D2889" t="str">
        <f>[1]!EM_S_INFO_INDEX_EM(B2889,"1")</f>
        <v>食品饮料</v>
      </c>
      <c r="E2889" s="4">
        <f t="shared" si="45"/>
        <v>43465</v>
      </c>
      <c r="F2889" s="11">
        <f>[1]!EM_S_PQ_PCTCHANGE(B2889,"2018-01-01","2019-12-31","3")</f>
        <v>-47.945108689999998</v>
      </c>
      <c r="G2889" s="11">
        <f>[1]!EM_S_PQ_PCTCHANGE(B2889,"2018-12-31","2019-12-30","1")</f>
        <v>-13.620071680000001</v>
      </c>
      <c r="H2889" s="11">
        <f>[1]!EM_S_FA_YOY_OR(B2889,E2889)</f>
        <v>3.7402752593000002</v>
      </c>
      <c r="I2889" s="11">
        <f>[1]!EM_S_FA_GROSSPROFITMARGIN(B2889,E2889)</f>
        <v>24.766865934599998</v>
      </c>
      <c r="J2889" s="11">
        <f>[1]!EM_S_FA_NETPROFITMARGIN(B2889,E2889)</f>
        <v>10.0483529291</v>
      </c>
      <c r="K2889" s="10">
        <f>[1]!EM_S_FA_ASSETSTURN(B2889,E2889)</f>
        <v>0.41367591955799998</v>
      </c>
      <c r="L2889" s="12">
        <f>[1]!EM_HKS_VAL_MV(B2889,"2019-12-31","2")</f>
        <v>2627682712.8000002</v>
      </c>
      <c r="M2889">
        <f>[1]!EM_S_VAL_PETTMDEDUCTED(B2889,E2889)</f>
        <v>28.678456074534299</v>
      </c>
      <c r="N2889" s="7">
        <f>[1]!EM_S_VAL_PBGOODWILLDEDUCTED(B2889,E2889)</f>
        <v>1.75369575268232</v>
      </c>
      <c r="O2889" s="7">
        <f>[1]!EM_S_VAL_PS_TTM(B2889,E2889)</f>
        <v>2.3486126747601599</v>
      </c>
      <c r="P2889" s="7">
        <f>[1]!EM_S_VAL_PCF_NCFTTM(B2889,E2889)</f>
        <v>10.1473979200975</v>
      </c>
      <c r="Q2889" s="7">
        <f>[1]!EM_S_VAL_DIVIDENDYIELD2(B2889,E2889,"2019-11-29")</f>
        <v>0.83700440528634357</v>
      </c>
      <c r="T2889"/>
      <c r="U2889">
        <f>[1]!EM_S_RATIO_EPS_TTM(B2889,E2889,"1")</f>
        <v>0.11793682522566694</v>
      </c>
      <c r="AT2889" s="4" t="str">
        <f>[1]!EM_S_IPO_LISTEDDATE(B2889)</f>
        <v>2015-06-30</v>
      </c>
    </row>
    <row r="2890" spans="1:46">
      <c r="A2890">
        <v>3531</v>
      </c>
      <c r="B2890" t="str">
        <f>"603776"</f>
        <v>603776</v>
      </c>
      <c r="C2890" t="s">
        <v>1645</v>
      </c>
      <c r="D2890" t="str">
        <f>[1]!EM_S_INFO_INDEX_EM(B2890,"1")</f>
        <v>交运设备</v>
      </c>
      <c r="E2890" s="4">
        <f t="shared" si="45"/>
        <v>43465</v>
      </c>
      <c r="F2890" s="11">
        <f>[1]!EM_S_PQ_PCTCHANGE(B2890,"2018-01-01","2019-12-31","3")</f>
        <v>-42.917574350000002</v>
      </c>
      <c r="G2890" s="11">
        <f>[1]!EM_S_PQ_PCTCHANGE(B2890,"2018-12-31","2019-12-30","1")</f>
        <v>-13.627152990000001</v>
      </c>
      <c r="H2890" s="11">
        <f>[1]!EM_S_FA_YOY_OR(B2890,E2890)</f>
        <v>-19.870299239600001</v>
      </c>
      <c r="I2890" s="11">
        <f>[1]!EM_S_FA_GROSSPROFITMARGIN(B2890,E2890)</f>
        <v>29.751882360900002</v>
      </c>
      <c r="J2890" s="11">
        <f>[1]!EM_S_FA_NETPROFITMARGIN(B2890,E2890)</f>
        <v>14.082579216499999</v>
      </c>
      <c r="K2890" s="10">
        <f>[1]!EM_S_FA_ASSETSTURN(B2890,E2890)</f>
        <v>0.333626629944</v>
      </c>
      <c r="L2890" s="12">
        <f>[1]!EM_HKS_VAL_MV(B2890,"2019-12-31","2")</f>
        <v>3207618000</v>
      </c>
      <c r="M2890">
        <f>[1]!EM_S_VAL_PETTMDEDUCTED(B2890,E2890)</f>
        <v>20.379563584486601</v>
      </c>
      <c r="N2890" s="7">
        <f>[1]!EM_S_VAL_PBGOODWILLDEDUCTED(B2890,E2890)</f>
        <v>1.59546322801227</v>
      </c>
      <c r="O2890" s="7">
        <f>[1]!EM_S_VAL_PS_TTM(B2890,E2890)</f>
        <v>2.8954917964029998</v>
      </c>
      <c r="P2890" s="7">
        <f>[1]!EM_S_VAL_PCF_NCFTTM(B2890,E2890)</f>
        <v>-9.9111952829171805</v>
      </c>
      <c r="Q2890" s="7">
        <f>[1]!EM_S_VAL_DIVIDENDYIELD2(B2890,E2890,"2019-11-29")</f>
        <v>1.2023210680989909</v>
      </c>
      <c r="T2890"/>
      <c r="U2890">
        <f>[1]!EM_S_RATIO_EPS_TTM(B2890,E2890,"1")</f>
        <v>0.88803686964285711</v>
      </c>
      <c r="AT2890" s="4" t="str">
        <f>[1]!EM_S_IPO_LISTEDDATE(B2890)</f>
        <v>2017-08-17</v>
      </c>
    </row>
    <row r="2891" spans="1:46">
      <c r="A2891">
        <v>19</v>
      </c>
      <c r="B2891" t="str">
        <f>"000019"</f>
        <v>000019</v>
      </c>
      <c r="C2891" t="s">
        <v>3408</v>
      </c>
      <c r="D2891" t="str">
        <f>[1]!EM_S_INFO_INDEX_EM(B2891,"1")</f>
        <v>食品饮料</v>
      </c>
      <c r="E2891" s="4">
        <f t="shared" si="45"/>
        <v>43465</v>
      </c>
      <c r="F2891" s="11">
        <f>[1]!EM_S_PQ_PCTCHANGE(B2891,"2018-01-01","2019-12-31","3")</f>
        <v>-49.263831740000001</v>
      </c>
      <c r="G2891" s="11">
        <f>[1]!EM_S_PQ_PCTCHANGE(B2891,"2019-01-01","2019-12-31","3")</f>
        <v>-13.66324309</v>
      </c>
      <c r="H2891" s="11">
        <f>[1]!EM_S_FA_YOY_OR(B2891,E2891)</f>
        <v>-0.32343256510000001</v>
      </c>
      <c r="I2891" s="11">
        <f>[1]!EM_S_FA_GROSSPROFITMARGIN(B2891,E2891)</f>
        <v>9.9002701323999993</v>
      </c>
      <c r="J2891" s="11">
        <f>[1]!EM_S_FA_NETPROFITMARGIN(B2891,E2891)</f>
        <v>2.9822678754999998</v>
      </c>
      <c r="K2891" s="10">
        <f>[1]!EM_S_FA_ASSETSTURN(B2891,E2891)</f>
        <v>2.8540391258660001</v>
      </c>
      <c r="L2891" s="12">
        <f>[1]!EM_HKS_VAL_MV(B2891,"2019-12-31","2")</f>
        <v>7007414344.3199997</v>
      </c>
      <c r="M2891">
        <f>[1]!EM_S_VAL_PETTMDEDUCTED(B2891,E2891)</f>
        <v>-135.95343698034901</v>
      </c>
      <c r="N2891" s="7">
        <f>[1]!EM_S_VAL_PBGOODWILLDEDUCTED(B2891,E2891)</f>
        <v>1.9722221003619</v>
      </c>
      <c r="O2891" s="7">
        <f>[1]!EM_S_VAL_PS_TTM(B2891,E2891)</f>
        <v>27.268083842602501</v>
      </c>
      <c r="P2891" s="7">
        <f>[1]!EM_S_VAL_PCF_NCFTTM(B2891,E2891)</f>
        <v>-222.984293403252</v>
      </c>
      <c r="Q2891" s="7">
        <f>[1]!EM_S_VAL_DIVIDENDYIELD2(B2891,E2891,"2019-11-29")</f>
        <v>1.7094017094017095</v>
      </c>
      <c r="T2891"/>
      <c r="U2891">
        <f>[1]!EM_S_RATIO_EPS_TTM(B2891,E2891,"1")</f>
        <v>0.26752416585080874</v>
      </c>
      <c r="AT2891" s="4" t="str">
        <f>[1]!EM_S_IPO_LISTEDDATE(B2891)</f>
        <v>1992-10-12</v>
      </c>
    </row>
    <row r="2892" spans="1:46">
      <c r="A2892">
        <v>3552</v>
      </c>
      <c r="B2892" t="str">
        <f>"603819"</f>
        <v>603819</v>
      </c>
      <c r="C2892" t="s">
        <v>2570</v>
      </c>
      <c r="D2892" t="str">
        <f>[1]!EM_S_INFO_INDEX_EM(B2892,"1")</f>
        <v>电气设备</v>
      </c>
      <c r="E2892" s="4">
        <f t="shared" si="45"/>
        <v>43465</v>
      </c>
      <c r="F2892" s="11">
        <f>[1]!EM_S_PQ_PCTCHANGE(B2892,"2018-01-01","2019-12-31","3")</f>
        <v>17.201333080000001</v>
      </c>
      <c r="G2892" s="11">
        <f>[1]!EM_S_PQ_PCTCHANGE(B2892,"2018-12-31","2019-12-30","1")</f>
        <v>-13.68421053</v>
      </c>
      <c r="H2892" s="11">
        <f>[1]!EM_S_FA_YOY_OR(B2892,E2892)</f>
        <v>32.784097453999998</v>
      </c>
      <c r="I2892" s="11">
        <f>[1]!EM_S_FA_GROSSPROFITMARGIN(B2892,E2892)</f>
        <v>12.836654708599999</v>
      </c>
      <c r="J2892" s="11">
        <f>[1]!EM_S_FA_NETPROFITMARGIN(B2892,E2892)</f>
        <v>5.0552292036999997</v>
      </c>
      <c r="K2892" s="10">
        <f>[1]!EM_S_FA_ASSETSTURN(B2892,E2892)</f>
        <v>0.88861943649200004</v>
      </c>
      <c r="L2892" s="12">
        <f>[1]!EM_HKS_VAL_MV(B2892,"2019-12-31","2")</f>
        <v>2341259702.5999999</v>
      </c>
      <c r="M2892">
        <f>[1]!EM_S_VAL_PETTMDEDUCTED(B2892,E2892)</f>
        <v>52.235258141205797</v>
      </c>
      <c r="N2892" s="7">
        <f>[1]!EM_S_VAL_PBGOODWILLDEDUCTED(B2892,E2892)</f>
        <v>2.5027101081782601</v>
      </c>
      <c r="O2892" s="7">
        <f>[1]!EM_S_VAL_PS_TTM(B2892,E2892)</f>
        <v>2.2188841453372201</v>
      </c>
      <c r="P2892" s="7">
        <f>[1]!EM_S_VAL_PCF_NCFTTM(B2892,E2892)</f>
        <v>13.144717150290999</v>
      </c>
      <c r="Q2892" s="7">
        <f>[1]!EM_S_VAL_DIVIDENDYIELD2(B2892,E2892,"2019-11-29")</f>
        <v>1.9319045084761</v>
      </c>
      <c r="T2892"/>
      <c r="U2892">
        <f>[1]!EM_S_RATIO_EPS_TTM(B2892,E2892,"1")</f>
        <v>0.3988696997185896</v>
      </c>
      <c r="AT2892" s="4" t="str">
        <f>[1]!EM_S_IPO_LISTEDDATE(B2892)</f>
        <v>2016-11-25</v>
      </c>
    </row>
    <row r="2893" spans="1:46">
      <c r="A2893">
        <v>1015</v>
      </c>
      <c r="B2893" t="str">
        <f>"002504"</f>
        <v>002504</v>
      </c>
      <c r="C2893" t="s">
        <v>3635</v>
      </c>
      <c r="D2893" t="str">
        <f>[1]!EM_S_INFO_INDEX_EM(B2893,"1")</f>
        <v>建筑</v>
      </c>
      <c r="E2893" s="4">
        <f t="shared" si="45"/>
        <v>43465</v>
      </c>
      <c r="F2893" s="11">
        <f>[1]!EM_S_PQ_PCTCHANGE(B2893,"2018-01-01","2019-12-31","3")</f>
        <v>-48.963317379999999</v>
      </c>
      <c r="G2893" s="11">
        <f>[1]!EM_S_PQ_PCTCHANGE(B2893,"2018-12-31","2019-12-30","1")</f>
        <v>-13.698630140000001</v>
      </c>
      <c r="H2893" s="11">
        <f>[1]!EM_S_FA_YOY_OR(B2893,E2893)</f>
        <v>-18.4910624742</v>
      </c>
      <c r="I2893" s="11">
        <f>[1]!EM_S_FA_GROSSPROFITMARGIN(B2893,E2893)</f>
        <v>15.139093066499999</v>
      </c>
      <c r="J2893" s="11">
        <f>[1]!EM_S_FA_NETPROFITMARGIN(B2893,E2893)</f>
        <v>0.50329023360000003</v>
      </c>
      <c r="K2893" s="10">
        <f>[1]!EM_S_FA_ASSETSTURN(B2893,E2893)</f>
        <v>0.30325781699299997</v>
      </c>
      <c r="L2893" s="12">
        <f>[1]!EM_HKS_VAL_MV(B2893,"2019-12-31","2")</f>
        <v>3282561673.5999999</v>
      </c>
      <c r="M2893">
        <f>[1]!EM_S_VAL_PETTMDEDUCTED(B2893,E2893)</f>
        <v>-16.231401007827699</v>
      </c>
      <c r="N2893" s="7">
        <f>[1]!EM_S_VAL_PBGOODWILLDEDUCTED(B2893,E2893)</f>
        <v>3.9057347310160999</v>
      </c>
      <c r="O2893" s="7">
        <f>[1]!EM_S_VAL_PS_TTM(B2893,E2893)</f>
        <v>3.87902214299003</v>
      </c>
      <c r="P2893" s="7">
        <f>[1]!EM_S_VAL_PCF_NCFTTM(B2893,E2893)</f>
        <v>-59.764948363506399</v>
      </c>
      <c r="Q2893" s="7">
        <f>[1]!EM_S_VAL_DIVIDENDYIELD2(B2893,E2893,"2019-11-29")</f>
        <v>0</v>
      </c>
      <c r="T2893"/>
      <c r="U2893">
        <f>[1]!EM_S_RATIO_EPS_TTM(B2893,E2893,"1")</f>
        <v>7.3802060929539998E-3</v>
      </c>
      <c r="AT2893" s="4" t="str">
        <f>[1]!EM_S_IPO_LISTEDDATE(B2893)</f>
        <v>2010-11-18</v>
      </c>
    </row>
    <row r="2894" spans="1:46">
      <c r="A2894">
        <v>1053</v>
      </c>
      <c r="B2894" t="str">
        <f>"002542"</f>
        <v>002542</v>
      </c>
      <c r="C2894" t="s">
        <v>1995</v>
      </c>
      <c r="D2894" t="str">
        <f>[1]!EM_S_INFO_INDEX_EM(B2894,"1")</f>
        <v>建筑</v>
      </c>
      <c r="E2894" s="4">
        <f t="shared" si="45"/>
        <v>43465</v>
      </c>
      <c r="F2894" s="11">
        <f>[1]!EM_S_PQ_PCTCHANGE(B2894,"2018-01-01","2019-12-31","3")</f>
        <v>-48.808620249999997</v>
      </c>
      <c r="G2894" s="11">
        <f>[1]!EM_S_PQ_PCTCHANGE(B2894,"2018-12-31","2019-12-30","1")</f>
        <v>-13.72093023</v>
      </c>
      <c r="H2894" s="11">
        <f>[1]!EM_S_FA_YOY_OR(B2894,E2894)</f>
        <v>27.614759765700001</v>
      </c>
      <c r="I2894" s="11">
        <f>[1]!EM_S_FA_GROSSPROFITMARGIN(B2894,E2894)</f>
        <v>22.6265790476</v>
      </c>
      <c r="J2894" s="11">
        <f>[1]!EM_S_FA_NETPROFITMARGIN(B2894,E2894)</f>
        <v>6.2067540135000003</v>
      </c>
      <c r="K2894" s="10">
        <f>[1]!EM_S_FA_ASSETSTURN(B2894,E2894)</f>
        <v>0.46430874675099998</v>
      </c>
      <c r="L2894" s="12">
        <f>[1]!EM_HKS_VAL_MV(B2894,"2019-12-31","2")</f>
        <v>6752750208.1599998</v>
      </c>
      <c r="M2894">
        <f>[1]!EM_S_VAL_PETTMDEDUCTED(B2894,E2894)</f>
        <v>31.154488776364701</v>
      </c>
      <c r="N2894" s="7">
        <f>[1]!EM_S_VAL_PBGOODWILLDEDUCTED(B2894,E2894)</f>
        <v>2.3970877307294001</v>
      </c>
      <c r="O2894" s="7">
        <f>[1]!EM_S_VAL_PS_TTM(B2894,E2894)</f>
        <v>2.2110215451005799</v>
      </c>
      <c r="P2894" s="7">
        <f>[1]!EM_S_VAL_PCF_NCFTTM(B2894,E2894)</f>
        <v>20.9102589611159</v>
      </c>
      <c r="Q2894" s="7">
        <f>[1]!EM_S_VAL_DIVIDENDYIELD2(B2894,E2894,"2019-11-29")</f>
        <v>0.54961392152006383</v>
      </c>
      <c r="T2894"/>
      <c r="U2894">
        <f>[1]!EM_S_RATIO_EPS_TTM(B2894,E2894,"1")</f>
        <v>0.12313432478680748</v>
      </c>
      <c r="AT2894" s="4" t="str">
        <f>[1]!EM_S_IPO_LISTEDDATE(B2894)</f>
        <v>2011-01-28</v>
      </c>
    </row>
    <row r="2895" spans="1:46">
      <c r="A2895">
        <v>3362</v>
      </c>
      <c r="B2895" t="str">
        <f>"603329"</f>
        <v>603329</v>
      </c>
      <c r="C2895" t="s">
        <v>1291</v>
      </c>
      <c r="D2895" t="str">
        <f>[1]!EM_S_INFO_INDEX_EM(B2895,"1")</f>
        <v>交通运输</v>
      </c>
      <c r="E2895" s="4">
        <f t="shared" si="45"/>
        <v>43465</v>
      </c>
      <c r="F2895" s="11">
        <f>[1]!EM_S_PQ_PCTCHANGE(B2895,"2018-01-01","2019-12-31","3")</f>
        <v>-6.9369075599999999</v>
      </c>
      <c r="G2895" s="11">
        <f>[1]!EM_S_PQ_PCTCHANGE(B2895,"2018-12-31","2019-12-30","1")</f>
        <v>-13.7279597</v>
      </c>
      <c r="H2895" s="11">
        <f>[1]!EM_S_FA_YOY_OR(B2895,E2895)</f>
        <v>2.9312619516999998</v>
      </c>
      <c r="I2895" s="11">
        <f>[1]!EM_S_FA_GROSSPROFITMARGIN(B2895,E2895)</f>
        <v>8.7296699234999995</v>
      </c>
      <c r="J2895" s="11">
        <f>[1]!EM_S_FA_NETPROFITMARGIN(B2895,E2895)</f>
        <v>2.4548039696999999</v>
      </c>
      <c r="K2895" s="10">
        <f>[1]!EM_S_FA_ASSETSTURN(B2895,E2895)</f>
        <v>1.394074324667</v>
      </c>
      <c r="L2895" s="12">
        <f>[1]!EM_HKS_VAL_MV(B2895,"2019-12-31","2")</f>
        <v>1820280000</v>
      </c>
      <c r="M2895">
        <f>[1]!EM_S_VAL_PETTMDEDUCTED(B2895,E2895)</f>
        <v>31.194227047550299</v>
      </c>
      <c r="N2895" s="7">
        <f>[1]!EM_S_VAL_PBGOODWILLDEDUCTED(B2895,E2895)</f>
        <v>2.8609444092076699</v>
      </c>
      <c r="O2895" s="7">
        <f>[1]!EM_S_VAL_PS_TTM(B2895,E2895)</f>
        <v>1.22380675761721</v>
      </c>
      <c r="P2895" s="7">
        <f>[1]!EM_S_VAL_PCF_NCFTTM(B2895,E2895)</f>
        <v>14.8345473404872</v>
      </c>
      <c r="Q2895" s="7">
        <f>[1]!EM_S_VAL_DIVIDENDYIELD2(B2895,E2895,"2019-11-29")</f>
        <v>1.8726591760299627</v>
      </c>
      <c r="T2895"/>
      <c r="U2895">
        <f>[1]!EM_S_RATIO_EPS_TTM(B2895,E2895,"1")</f>
        <v>0.34082413522727273</v>
      </c>
      <c r="AT2895" s="4" t="str">
        <f>[1]!EM_S_IPO_LISTEDDATE(B2895)</f>
        <v>2017-12-29</v>
      </c>
    </row>
    <row r="2896" spans="1:46">
      <c r="A2896">
        <v>1262</v>
      </c>
      <c r="B2896" t="str">
        <f>"002753"</f>
        <v>002753</v>
      </c>
      <c r="C2896" t="s">
        <v>185</v>
      </c>
      <c r="D2896" t="str">
        <f>[1]!EM_S_INFO_INDEX_EM(B2896,"1")</f>
        <v>基础化工</v>
      </c>
      <c r="E2896" s="4">
        <f t="shared" si="45"/>
        <v>43465</v>
      </c>
      <c r="F2896" s="11">
        <f>[1]!EM_S_PQ_PCTCHANGE(B2896,"2018-01-01","2019-12-31","3")</f>
        <v>-39.215405500000003</v>
      </c>
      <c r="G2896" s="11">
        <f>[1]!EM_S_PQ_PCTCHANGE(B2896,"2018-12-31","2019-12-30","1")</f>
        <v>-13.747228379999999</v>
      </c>
      <c r="H2896" s="11">
        <f>[1]!EM_S_FA_YOY_OR(B2896,E2896)</f>
        <v>30.309897446400001</v>
      </c>
      <c r="I2896" s="11">
        <f>[1]!EM_S_FA_GROSSPROFITMARGIN(B2896,E2896)</f>
        <v>21.349563406400001</v>
      </c>
      <c r="J2896" s="11">
        <f>[1]!EM_S_FA_NETPROFITMARGIN(B2896,E2896)</f>
        <v>10.7411400497</v>
      </c>
      <c r="K2896" s="10">
        <f>[1]!EM_S_FA_ASSETSTURN(B2896,E2896)</f>
        <v>1.3810429188860001</v>
      </c>
      <c r="L2896" s="12">
        <f>[1]!EM_HKS_VAL_MV(B2896,"2019-12-31","2")</f>
        <v>2939678843.1300001</v>
      </c>
      <c r="M2896">
        <f>[1]!EM_S_VAL_PETTMDEDUCTED(B2896,E2896)</f>
        <v>9.1036649131588394</v>
      </c>
      <c r="N2896" s="7">
        <f>[1]!EM_S_VAL_PBGOODWILLDEDUCTED(B2896,E2896)</f>
        <v>2.1613677614465199</v>
      </c>
      <c r="O2896" s="7">
        <f>[1]!EM_S_VAL_PS_TTM(B2896,E2896)</f>
        <v>1.1885591921021299</v>
      </c>
      <c r="P2896" s="7">
        <f>[1]!EM_S_VAL_PCF_NCFTTM(B2896,E2896)</f>
        <v>558.26424453667903</v>
      </c>
      <c r="Q2896" s="7">
        <f>[1]!EM_S_VAL_DIVIDENDYIELD2(B2896,E2896,"2019-11-29")</f>
        <v>2.8901255457214585</v>
      </c>
      <c r="T2896"/>
      <c r="U2896">
        <f>[1]!EM_S_RATIO_EPS_TTM(B2896,E2896,"1")</f>
        <v>0.83365964505575729</v>
      </c>
      <c r="AT2896" s="4" t="str">
        <f>[1]!EM_S_IPO_LISTEDDATE(B2896)</f>
        <v>2015-05-19</v>
      </c>
    </row>
    <row r="2897" spans="1:46">
      <c r="A2897">
        <v>790</v>
      </c>
      <c r="B2897" t="str">
        <f>"002279"</f>
        <v>002279</v>
      </c>
      <c r="C2897" t="s">
        <v>2866</v>
      </c>
      <c r="D2897" t="str">
        <f>[1]!EM_S_INFO_INDEX_EM(B2897,"1")</f>
        <v>信息技术</v>
      </c>
      <c r="E2897" s="4">
        <f t="shared" si="45"/>
        <v>43465</v>
      </c>
      <c r="F2897" s="11">
        <f>[1]!EM_S_PQ_PCTCHANGE(B2897,"2018-01-01","2019-12-31","3")</f>
        <v>-40.893088640000002</v>
      </c>
      <c r="G2897" s="11">
        <f>[1]!EM_S_PQ_PCTCHANGE(B2897,"2018-12-31","2019-12-30","1")</f>
        <v>-13.783403659999999</v>
      </c>
      <c r="H2897" s="11">
        <f>[1]!EM_S_FA_YOY_OR(B2897,E2897)</f>
        <v>36.545878972300002</v>
      </c>
      <c r="I2897" s="11">
        <f>[1]!EM_S_FA_GROSSPROFITMARGIN(B2897,E2897)</f>
        <v>42.6364613955</v>
      </c>
      <c r="J2897" s="11">
        <f>[1]!EM_S_FA_NETPROFITMARGIN(B2897,E2897)</f>
        <v>-30.407275802099999</v>
      </c>
      <c r="K2897" s="10">
        <f>[1]!EM_S_FA_ASSETSTURN(B2897,E2897)</f>
        <v>0.68135252924599998</v>
      </c>
      <c r="L2897" s="12">
        <f>[1]!EM_HKS_VAL_MV(B2897,"2019-12-31","2")</f>
        <v>4317310213.9399996</v>
      </c>
      <c r="M2897">
        <f>[1]!EM_S_VAL_PETTMDEDUCTED(B2897,E2897)</f>
        <v>16.609190418306699</v>
      </c>
      <c r="N2897" s="7">
        <f>[1]!EM_S_VAL_PBGOODWILLDEDUCTED(B2897,E2897)</f>
        <v>13.377652373548599</v>
      </c>
      <c r="O2897" s="7">
        <f>[1]!EM_S_VAL_PS_TTM(B2897,E2897)</f>
        <v>1.9193160659526101</v>
      </c>
      <c r="P2897" s="7">
        <f>[1]!EM_S_VAL_PCF_NCFTTM(B2897,E2897)</f>
        <v>-16.083246757236498</v>
      </c>
      <c r="Q2897" s="7">
        <f>[1]!EM_S_VAL_DIVIDENDYIELD2(B2897,E2897,"2019-11-29")</f>
        <v>0</v>
      </c>
      <c r="T2897"/>
      <c r="U2897">
        <f>[1]!EM_S_RATIO_EPS_TTM(B2897,E2897,"1")</f>
        <v>-1.1831170875900536</v>
      </c>
      <c r="AT2897" s="4" t="str">
        <f>[1]!EM_S_IPO_LISTEDDATE(B2897)</f>
        <v>2009-08-11</v>
      </c>
    </row>
    <row r="2898" spans="1:46">
      <c r="A2898">
        <v>2151</v>
      </c>
      <c r="B2898" t="str">
        <f>"300738"</f>
        <v>300738</v>
      </c>
      <c r="C2898" t="s">
        <v>1362</v>
      </c>
      <c r="D2898" t="str">
        <f>[1]!EM_S_INFO_INDEX_EM(B2898,"1")</f>
        <v>互联网</v>
      </c>
      <c r="E2898" s="4">
        <f t="shared" si="45"/>
        <v>43465</v>
      </c>
      <c r="F2898" s="11">
        <f>[1]!EM_S_PQ_PCTCHANGE(B2898,"2018-01-01","2019-12-31","3")</f>
        <v>246.46003926</v>
      </c>
      <c r="G2898" s="11">
        <f>[1]!EM_S_PQ_PCTCHANGE(B2898,"2018-12-31","2019-12-30","1")</f>
        <v>-13.834771890000001</v>
      </c>
      <c r="H2898" s="11">
        <f>[1]!EM_S_FA_YOY_OR(B2898,E2898)</f>
        <v>8.5333502325000001</v>
      </c>
      <c r="I2898" s="11">
        <f>[1]!EM_S_FA_GROSSPROFITMARGIN(B2898,E2898)</f>
        <v>26.552352055</v>
      </c>
      <c r="J2898" s="11">
        <f>[1]!EM_S_FA_NETPROFITMARGIN(B2898,E2898)</f>
        <v>14.0936155421</v>
      </c>
      <c r="K2898" s="10">
        <f>[1]!EM_S_FA_ASSETSTURN(B2898,E2898)</f>
        <v>0.56080259780200004</v>
      </c>
      <c r="L2898" s="12">
        <f>[1]!EM_HKS_VAL_MV(B2898,"2019-12-31","2")</f>
        <v>4083563088</v>
      </c>
      <c r="M2898">
        <f>[1]!EM_S_VAL_PETTMDEDUCTED(B2898,E2898)</f>
        <v>64.055077400151902</v>
      </c>
      <c r="N2898" s="7">
        <f>[1]!EM_S_VAL_PBGOODWILLDEDUCTED(B2898,E2898)</f>
        <v>4.6314864137358498</v>
      </c>
      <c r="O2898" s="7">
        <f>[1]!EM_S_VAL_PS_TTM(B2898,E2898)</f>
        <v>5.4941165564296401</v>
      </c>
      <c r="P2898" s="7">
        <f>[1]!EM_S_VAL_PCF_NCFTTM(B2898,E2898)</f>
        <v>728.86315714859802</v>
      </c>
      <c r="Q2898" s="7">
        <f>[1]!EM_S_VAL_DIVIDENDYIELD2(B2898,E2898,"2019-11-29")</f>
        <v>0.33545790003354575</v>
      </c>
      <c r="T2898"/>
      <c r="U2898">
        <f>[1]!EM_S_RATIO_EPS_TTM(B2898,E2898,"1")</f>
        <v>0.88757181763858672</v>
      </c>
      <c r="AT2898" s="4" t="str">
        <f>[1]!EM_S_IPO_LISTEDDATE(B2898)</f>
        <v>2018-01-19</v>
      </c>
    </row>
    <row r="2899" spans="1:46">
      <c r="A2899">
        <v>1492</v>
      </c>
      <c r="B2899" t="str">
        <f>"300067"</f>
        <v>300067</v>
      </c>
      <c r="C2899" t="s">
        <v>966</v>
      </c>
      <c r="D2899" t="str">
        <f>[1]!EM_S_INFO_INDEX_EM(B2899,"1")</f>
        <v>基础化工</v>
      </c>
      <c r="E2899" s="4">
        <f t="shared" si="45"/>
        <v>43465</v>
      </c>
      <c r="F2899" s="11">
        <f>[1]!EM_S_PQ_PCTCHANGE(B2899,"2018-01-01","2019-12-31","3")</f>
        <v>-4.4239483499999999</v>
      </c>
      <c r="G2899" s="11">
        <f>[1]!EM_S_PQ_PCTCHANGE(B2899,"2018-12-31","2019-12-30","1")</f>
        <v>-13.93939394</v>
      </c>
      <c r="H2899" s="11">
        <f>[1]!EM_S_FA_YOY_OR(B2899,E2899)</f>
        <v>-12.9762305671</v>
      </c>
      <c r="I2899" s="11">
        <f>[1]!EM_S_FA_GROSSPROFITMARGIN(B2899,E2899)</f>
        <v>30.5712396387</v>
      </c>
      <c r="J2899" s="11">
        <f>[1]!EM_S_FA_NETPROFITMARGIN(B2899,E2899)</f>
        <v>11.669969481000001</v>
      </c>
      <c r="K2899" s="10">
        <f>[1]!EM_S_FA_ASSETSTURN(B2899,E2899)</f>
        <v>0.62986599320900005</v>
      </c>
      <c r="L2899" s="12">
        <f>[1]!EM_HKS_VAL_MV(B2899,"2019-12-31","2")</f>
        <v>4001794191.5999999</v>
      </c>
      <c r="M2899">
        <f>[1]!EM_S_VAL_PETTMDEDUCTED(B2899,E2899)</f>
        <v>28.112799225032699</v>
      </c>
      <c r="N2899" s="7">
        <f>[1]!EM_S_VAL_PBGOODWILLDEDUCTED(B2899,E2899)</f>
        <v>2.21469686649549</v>
      </c>
      <c r="O2899" s="7">
        <f>[1]!EM_S_VAL_PS_TTM(B2899,E2899)</f>
        <v>2.8452507839694099</v>
      </c>
      <c r="P2899" s="7">
        <f>[1]!EM_S_VAL_PCF_NCFTTM(B2899,E2899)</f>
        <v>-205.151068668611</v>
      </c>
      <c r="Q2899" s="7">
        <f>[1]!EM_S_VAL_DIVIDENDYIELD2(B2899,E2899,"2019-11-29")</f>
        <v>1.8660077976647336</v>
      </c>
      <c r="T2899"/>
      <c r="U2899">
        <f>[1]!EM_S_RATIO_EPS_TTM(B2899,E2899,"1")</f>
        <v>0.19214656622615467</v>
      </c>
      <c r="AT2899" s="4" t="str">
        <f>[1]!EM_S_IPO_LISTEDDATE(B2899)</f>
        <v>2010-04-21</v>
      </c>
    </row>
    <row r="2900" spans="1:46">
      <c r="A2900">
        <v>3609</v>
      </c>
      <c r="B2900" t="str">
        <f>"603933"</f>
        <v>603933</v>
      </c>
      <c r="C2900" t="s">
        <v>489</v>
      </c>
      <c r="D2900" t="str">
        <f>[1]!EM_S_INFO_INDEX_EM(B2900,"1")</f>
        <v>电子设备</v>
      </c>
      <c r="E2900" s="4">
        <f t="shared" si="45"/>
        <v>43465</v>
      </c>
      <c r="F2900" s="11">
        <f>[1]!EM_S_PQ_PCTCHANGE(B2900,"2018-01-01","2019-12-31","3")</f>
        <v>-39.749958479999997</v>
      </c>
      <c r="G2900" s="11">
        <f>[1]!EM_S_PQ_PCTCHANGE(B2900,"2018-12-31","2019-12-30","1")</f>
        <v>-13.94230769</v>
      </c>
      <c r="H2900" s="11">
        <f>[1]!EM_S_FA_YOY_OR(B2900,E2900)</f>
        <v>-2.9559237568999999</v>
      </c>
      <c r="I2900" s="11">
        <f>[1]!EM_S_FA_GROSSPROFITMARGIN(B2900,E2900)</f>
        <v>18.098726121799999</v>
      </c>
      <c r="J2900" s="11">
        <f>[1]!EM_S_FA_NETPROFITMARGIN(B2900,E2900)</f>
        <v>6.0444560869000004</v>
      </c>
      <c r="K2900" s="10">
        <f>[1]!EM_S_FA_ASSETSTURN(B2900,E2900)</f>
        <v>1.280966582789</v>
      </c>
      <c r="L2900" s="12">
        <f>[1]!EM_HKS_VAL_MV(B2900,"2019-12-31","2")</f>
        <v>3207657208</v>
      </c>
      <c r="M2900">
        <f>[1]!EM_S_VAL_PETTMDEDUCTED(B2900,E2900)</f>
        <v>26.3431760062949</v>
      </c>
      <c r="N2900" s="7">
        <f>[1]!EM_S_VAL_PBGOODWILLDEDUCTED(B2900,E2900)</f>
        <v>2.56369868295161</v>
      </c>
      <c r="O2900" s="7">
        <f>[1]!EM_S_VAL_PS_TTM(B2900,E2900)</f>
        <v>1.41660134069947</v>
      </c>
      <c r="P2900" s="7">
        <f>[1]!EM_S_VAL_PCF_NCFTTM(B2900,E2900)</f>
        <v>-1240.1516250877701</v>
      </c>
      <c r="Q2900" s="7">
        <f>[1]!EM_S_VAL_DIVIDENDYIELD2(B2900,E2900,"2019-11-29")</f>
        <v>1.5284287752190748</v>
      </c>
      <c r="T2900"/>
      <c r="U2900">
        <f>[1]!EM_S_RATIO_EPS_TTM(B2900,E2900,"1")</f>
        <v>0.78980750497432828</v>
      </c>
      <c r="AT2900" s="4" t="str">
        <f>[1]!EM_S_IPO_LISTEDDATE(B2900)</f>
        <v>2017-07-06</v>
      </c>
    </row>
    <row r="2901" spans="1:46">
      <c r="A2901">
        <v>1046</v>
      </c>
      <c r="B2901" t="str">
        <f>"002535"</f>
        <v>002535</v>
      </c>
      <c r="C2901" t="s">
        <v>2360</v>
      </c>
      <c r="D2901" t="str">
        <f>[1]!EM_S_INFO_INDEX_EM(B2901,"1")</f>
        <v>机械设备</v>
      </c>
      <c r="E2901" s="4">
        <f t="shared" si="45"/>
        <v>43465</v>
      </c>
      <c r="F2901" s="11">
        <f>[1]!EM_S_PQ_PCTCHANGE(B2901,"2018-01-01","2019-12-31","3")</f>
        <v>-41.313559320000003</v>
      </c>
      <c r="G2901" s="11">
        <f>[1]!EM_S_PQ_PCTCHANGE(B2901,"2018-12-31","2019-12-30","1")</f>
        <v>-13.975155279999999</v>
      </c>
      <c r="H2901" s="11">
        <f>[1]!EM_S_FA_YOY_OR(B2901,E2901)</f>
        <v>24.8620221091</v>
      </c>
      <c r="I2901" s="11">
        <f>[1]!EM_S_FA_GROSSPROFITMARGIN(B2901,E2901)</f>
        <v>17.597948072099999</v>
      </c>
      <c r="J2901" s="11">
        <f>[1]!EM_S_FA_NETPROFITMARGIN(B2901,E2901)</f>
        <v>-7.1369011174999999</v>
      </c>
      <c r="K2901" s="10">
        <f>[1]!EM_S_FA_ASSETSTURN(B2901,E2901)</f>
        <v>0.27078563081899998</v>
      </c>
      <c r="L2901" s="12">
        <f>[1]!EM_HKS_VAL_MV(B2901,"2019-12-31","2")</f>
        <v>2220662114.98</v>
      </c>
      <c r="M2901">
        <f>[1]!EM_S_VAL_PETTMDEDUCTED(B2901,E2901)</f>
        <v>79.509269314123699</v>
      </c>
      <c r="N2901" s="7">
        <f>[1]!EM_S_VAL_PBGOODWILLDEDUCTED(B2901,E2901)</f>
        <v>0.93728338727853</v>
      </c>
      <c r="O2901" s="7">
        <f>[1]!EM_S_VAL_PS_TTM(B2901,E2901)</f>
        <v>1.13441654667056</v>
      </c>
      <c r="P2901" s="7">
        <f>[1]!EM_S_VAL_PCF_NCFTTM(B2901,E2901)</f>
        <v>-17.746417896088101</v>
      </c>
      <c r="Q2901" s="7">
        <f>[1]!EM_S_VAL_DIVIDENDYIELD2(B2901,E2901,"2019-11-29")</f>
        <v>0</v>
      </c>
      <c r="T2901"/>
      <c r="U2901">
        <f>[1]!EM_S_RATIO_EPS_TTM(B2901,E2901,"1")</f>
        <v>-0.18175645480822511</v>
      </c>
      <c r="AT2901" s="4" t="str">
        <f>[1]!EM_S_IPO_LISTEDDATE(B2901)</f>
        <v>2011-01-11</v>
      </c>
    </row>
    <row r="2902" spans="1:46">
      <c r="A2902">
        <v>3293</v>
      </c>
      <c r="B2902" t="str">
        <f>"603161"</f>
        <v>603161</v>
      </c>
      <c r="C2902" t="s">
        <v>1035</v>
      </c>
      <c r="D2902" t="str">
        <f>[1]!EM_S_INFO_INDEX_EM(B2902,"1")</f>
        <v>交运设备</v>
      </c>
      <c r="E2902" s="4">
        <f t="shared" si="45"/>
        <v>43465</v>
      </c>
      <c r="F2902" s="11">
        <f>[1]!EM_S_PQ_PCTCHANGE(B2902,"2018-01-01","2019-12-31","3")</f>
        <v>-16.113772539999999</v>
      </c>
      <c r="G2902" s="11">
        <f>[1]!EM_S_PQ_PCTCHANGE(B2902,"2018-12-31","2019-12-30","1")</f>
        <v>-13.975749840000001</v>
      </c>
      <c r="H2902" s="11">
        <f>[1]!EM_S_FA_YOY_OR(B2902,E2902)</f>
        <v>50.093474493199999</v>
      </c>
      <c r="I2902" s="11">
        <f>[1]!EM_S_FA_GROSSPROFITMARGIN(B2902,E2902)</f>
        <v>23.6421080004</v>
      </c>
      <c r="J2902" s="11">
        <f>[1]!EM_S_FA_NETPROFITMARGIN(B2902,E2902)</f>
        <v>7.5991220652000004</v>
      </c>
      <c r="K2902" s="10">
        <f>[1]!EM_S_FA_ASSETSTURN(B2902,E2902)</f>
        <v>0.50930729838900002</v>
      </c>
      <c r="L2902" s="12">
        <f>[1]!EM_HKS_VAL_MV(B2902,"2019-12-31","2")</f>
        <v>1814240000</v>
      </c>
      <c r="M2902">
        <f>[1]!EM_S_VAL_PETTMDEDUCTED(B2902,E2902)</f>
        <v>23.157472740902801</v>
      </c>
      <c r="N2902" s="7">
        <f>[1]!EM_S_VAL_PBGOODWILLDEDUCTED(B2902,E2902)</f>
        <v>1.67693462578939</v>
      </c>
      <c r="O2902" s="7">
        <f>[1]!EM_S_VAL_PS_TTM(B2902,E2902)</f>
        <v>1.6929167247889301</v>
      </c>
      <c r="P2902" s="7">
        <f>[1]!EM_S_VAL_PCF_NCFTTM(B2902,E2902)</f>
        <v>32.094698565280297</v>
      </c>
      <c r="Q2902" s="7">
        <f>[1]!EM_S_VAL_DIVIDENDYIELD2(B2902,E2902,"2019-11-29")</f>
        <v>2.5039745627980925</v>
      </c>
      <c r="T2902"/>
      <c r="U2902">
        <f>[1]!EM_S_RATIO_EPS_TTM(B2902,E2902,"1")</f>
        <v>0.78399078898050978</v>
      </c>
      <c r="AT2902" s="4" t="str">
        <f>[1]!EM_S_IPO_LISTEDDATE(B2902)</f>
        <v>2018-01-05</v>
      </c>
    </row>
    <row r="2903" spans="1:46">
      <c r="A2903">
        <v>2025</v>
      </c>
      <c r="B2903" t="str">
        <f>"300605"</f>
        <v>300605</v>
      </c>
      <c r="C2903" t="s">
        <v>2423</v>
      </c>
      <c r="D2903" t="str">
        <f>[1]!EM_S_INFO_INDEX_EM(B2903,"1")</f>
        <v>信息技术</v>
      </c>
      <c r="E2903" s="4">
        <f t="shared" si="45"/>
        <v>43465</v>
      </c>
      <c r="F2903" s="11">
        <f>[1]!EM_S_PQ_PCTCHANGE(B2903,"2018-01-01","2019-12-31","3")</f>
        <v>-7.9250915099999997</v>
      </c>
      <c r="G2903" s="11">
        <f>[1]!EM_S_PQ_PCTCHANGE(B2903,"2018-12-31","2019-12-30","1")</f>
        <v>-14</v>
      </c>
      <c r="H2903" s="11">
        <f>[1]!EM_S_FA_YOY_OR(B2903,E2903)</f>
        <v>29.931197814200001</v>
      </c>
      <c r="I2903" s="11">
        <f>[1]!EM_S_FA_GROSSPROFITMARGIN(B2903,E2903)</f>
        <v>26.7792032053</v>
      </c>
      <c r="J2903" s="11">
        <f>[1]!EM_S_FA_NETPROFITMARGIN(B2903,E2903)</f>
        <v>10.2073092257</v>
      </c>
      <c r="K2903" s="10">
        <f>[1]!EM_S_FA_ASSETSTURN(B2903,E2903)</f>
        <v>0.70894197219099997</v>
      </c>
      <c r="L2903" s="12">
        <f>[1]!EM_HKS_VAL_MV(B2903,"2019-12-31","2")</f>
        <v>2109407801.1600001</v>
      </c>
      <c r="M2903">
        <f>[1]!EM_S_VAL_PETTMDEDUCTED(B2903,E2903)</f>
        <v>39.176680085712697</v>
      </c>
      <c r="N2903" s="7">
        <f>[1]!EM_S_VAL_PBGOODWILLDEDUCTED(B2903,E2903)</f>
        <v>3.3475941285199902</v>
      </c>
      <c r="O2903" s="7">
        <f>[1]!EM_S_VAL_PS_TTM(B2903,E2903)</f>
        <v>3.7374551793566302</v>
      </c>
      <c r="P2903" s="7">
        <f>[1]!EM_S_VAL_PCF_NCFTTM(B2903,E2903)</f>
        <v>-40.337847620259303</v>
      </c>
      <c r="Q2903" s="7">
        <f>[1]!EM_S_VAL_DIVIDENDYIELD2(B2903,E2903,"2019-11-29")</f>
        <v>0.32760032760032765</v>
      </c>
      <c r="T2903"/>
      <c r="U2903">
        <f>[1]!EM_S_RATIO_EPS_TTM(B2903,E2903,"1")</f>
        <v>0.48674647350194422</v>
      </c>
      <c r="AT2903" s="4" t="str">
        <f>[1]!EM_S_IPO_LISTEDDATE(B2903)</f>
        <v>2017-02-08</v>
      </c>
    </row>
    <row r="2904" spans="1:46">
      <c r="A2904">
        <v>2271</v>
      </c>
      <c r="B2904" t="str">
        <f>"600125"</f>
        <v>600125</v>
      </c>
      <c r="C2904" t="s">
        <v>1097</v>
      </c>
      <c r="D2904" t="str">
        <f>[1]!EM_S_INFO_INDEX_EM(B2904,"1")</f>
        <v>交通运输</v>
      </c>
      <c r="E2904" s="4">
        <f t="shared" si="45"/>
        <v>43465</v>
      </c>
      <c r="F2904" s="11">
        <f>[1]!EM_S_PQ_PCTCHANGE(B2904,"2018-01-01","2019-12-31","3")</f>
        <v>-43.18601941</v>
      </c>
      <c r="G2904" s="11">
        <f>[1]!EM_S_PQ_PCTCHANGE(B2904,"2018-12-31","2019-12-30","1")</f>
        <v>-14</v>
      </c>
      <c r="H2904" s="11">
        <f>[1]!EM_S_FA_YOY_OR(B2904,E2904)</f>
        <v>33.850492432499998</v>
      </c>
      <c r="I2904" s="11">
        <f>[1]!EM_S_FA_GROSSPROFITMARGIN(B2904,E2904)</f>
        <v>6.3605696528999998</v>
      </c>
      <c r="J2904" s="11">
        <f>[1]!EM_S_FA_NETPROFITMARGIN(B2904,E2904)</f>
        <v>3.2535371329</v>
      </c>
      <c r="K2904" s="10">
        <f>[1]!EM_S_FA_ASSETSTURN(B2904,E2904)</f>
        <v>1.698986261962</v>
      </c>
      <c r="L2904" s="12">
        <f>[1]!EM_HKS_VAL_MV(B2904,"2019-12-31","2")</f>
        <v>7807020806.5200005</v>
      </c>
      <c r="M2904">
        <f>[1]!EM_S_VAL_PETTMDEDUCTED(B2904,E2904)</f>
        <v>21.1039719849263</v>
      </c>
      <c r="N2904" s="7">
        <f>[1]!EM_S_VAL_PBGOODWILLDEDUCTED(B2904,E2904)</f>
        <v>1.61233610395323</v>
      </c>
      <c r="O2904" s="7">
        <f>[1]!EM_S_VAL_PS_TTM(B2904,E2904)</f>
        <v>0.60198377648999002</v>
      </c>
      <c r="P2904" s="7">
        <f>[1]!EM_S_VAL_PCF_NCFTTM(B2904,E2904)</f>
        <v>11.6977341052676</v>
      </c>
      <c r="Q2904" s="7">
        <f>[1]!EM_S_VAL_DIVIDENDYIELD2(B2904,E2904,"2019-11-29")</f>
        <v>2.1428571428571428</v>
      </c>
      <c r="T2904"/>
      <c r="U2904">
        <f>[1]!EM_S_RATIO_EPS_TTM(B2904,E2904,"1")</f>
        <v>0.3890551084937241</v>
      </c>
      <c r="AT2904" s="4" t="str">
        <f>[1]!EM_S_IPO_LISTEDDATE(B2904)</f>
        <v>1998-05-11</v>
      </c>
    </row>
    <row r="2905" spans="1:46">
      <c r="A2905">
        <v>1404</v>
      </c>
      <c r="B2905" t="str">
        <f>"002907"</f>
        <v>002907</v>
      </c>
      <c r="C2905" t="s">
        <v>474</v>
      </c>
      <c r="D2905" t="str">
        <f>[1]!EM_S_INFO_INDEX_EM(B2905,"1")</f>
        <v>医药生物</v>
      </c>
      <c r="E2905" s="4">
        <f t="shared" si="45"/>
        <v>43465</v>
      </c>
      <c r="F2905" s="11">
        <f>[1]!EM_S_PQ_PCTCHANGE(B2905,"2018-01-01","2019-12-31","3")</f>
        <v>-11.204973649999999</v>
      </c>
      <c r="G2905" s="11">
        <f>[1]!EM_S_PQ_PCTCHANGE(B2905,"2018-12-31","2019-12-30","1")</f>
        <v>-14.01273885</v>
      </c>
      <c r="H2905" s="11">
        <f>[1]!EM_S_FA_YOY_OR(B2905,E2905)</f>
        <v>18.8010130358</v>
      </c>
      <c r="I2905" s="11">
        <f>[1]!EM_S_FA_GROSSPROFITMARGIN(B2905,E2905)</f>
        <v>67.192947902</v>
      </c>
      <c r="J2905" s="11">
        <f>[1]!EM_S_FA_NETPROFITMARGIN(B2905,E2905)</f>
        <v>19.529261437500001</v>
      </c>
      <c r="K2905" s="10">
        <f>[1]!EM_S_FA_ASSETSTURN(B2905,E2905)</f>
        <v>0.710959384443</v>
      </c>
      <c r="L2905" s="12">
        <f>[1]!EM_HKS_VAL_MV(B2905,"2019-12-31","2")</f>
        <v>6689766189.3999996</v>
      </c>
      <c r="M2905">
        <f>[1]!EM_S_VAL_PETTMDEDUCTED(B2905,E2905)</f>
        <v>74.180824922418793</v>
      </c>
      <c r="N2905" s="7">
        <f>[1]!EM_S_VAL_PBGOODWILLDEDUCTED(B2905,E2905)</f>
        <v>9.0927767484129198</v>
      </c>
      <c r="O2905" s="7">
        <f>[1]!EM_S_VAL_PS_TTM(B2905,E2905)</f>
        <v>10.9941541234972</v>
      </c>
      <c r="P2905" s="7">
        <f>[1]!EM_S_VAL_PCF_NCFTTM(B2905,E2905)</f>
        <v>43.200018632647499</v>
      </c>
      <c r="Q2905" s="7">
        <f>[1]!EM_S_VAL_DIVIDENDYIELD2(B2905,E2905,"2019-11-29")</f>
        <v>0.22281442967194334</v>
      </c>
      <c r="T2905"/>
      <c r="U2905">
        <f>[1]!EM_S_RATIO_EPS_TTM(B2905,E2905,"1")</f>
        <v>0.34337802092186176</v>
      </c>
      <c r="AT2905" s="4" t="str">
        <f>[1]!EM_S_IPO_LISTEDDATE(B2905)</f>
        <v>2017-10-20</v>
      </c>
    </row>
    <row r="2906" spans="1:46">
      <c r="A2906">
        <v>2337</v>
      </c>
      <c r="B2906" t="str">
        <f>"600200"</f>
        <v>600200</v>
      </c>
      <c r="C2906" t="s">
        <v>2511</v>
      </c>
      <c r="D2906" t="str">
        <f>[1]!EM_S_INFO_INDEX_EM(B2906,"1")</f>
        <v>医药生物</v>
      </c>
      <c r="E2906" s="4">
        <f t="shared" si="45"/>
        <v>43465</v>
      </c>
      <c r="F2906" s="11">
        <f>[1]!EM_S_PQ_PCTCHANGE(B2906,"2018-01-01","2019-12-31","3")</f>
        <v>-53.114803790000003</v>
      </c>
      <c r="G2906" s="11">
        <f>[1]!EM_S_PQ_PCTCHANGE(B2906,"2018-12-31","2019-12-30","1")</f>
        <v>-14.020270269999999</v>
      </c>
      <c r="H2906" s="11">
        <f>[1]!EM_S_FA_YOY_OR(B2906,E2906)</f>
        <v>-42.5220524044</v>
      </c>
      <c r="I2906" s="11">
        <f>[1]!EM_S_FA_GROSSPROFITMARGIN(B2906,E2906)</f>
        <v>35.4635813115</v>
      </c>
      <c r="J2906" s="11">
        <f>[1]!EM_S_FA_NETPROFITMARGIN(B2906,E2906)</f>
        <v>-16.591589886000001</v>
      </c>
      <c r="K2906" s="10">
        <f>[1]!EM_S_FA_ASSETSTURN(B2906,E2906)</f>
        <v>0.36782037841300003</v>
      </c>
      <c r="L2906" s="12">
        <f>[1]!EM_HKS_VAL_MV(B2906,"2019-12-31","2")</f>
        <v>3832651916.1599998</v>
      </c>
      <c r="M2906">
        <f>[1]!EM_S_VAL_PETTMDEDUCTED(B2906,E2906)</f>
        <v>1906.6139414198799</v>
      </c>
      <c r="N2906" s="7">
        <f>[1]!EM_S_VAL_PBGOODWILLDEDUCTED(B2906,E2906)</f>
        <v>1.79596773247319</v>
      </c>
      <c r="O2906" s="7">
        <f>[1]!EM_S_VAL_PS_TTM(B2906,E2906)</f>
        <v>2.1615799931522099</v>
      </c>
      <c r="P2906" s="7">
        <f>[1]!EM_S_VAL_PCF_NCFTTM(B2906,E2906)</f>
        <v>45.407755126695598</v>
      </c>
      <c r="Q2906" s="7">
        <f>[1]!EM_S_VAL_DIVIDENDYIELD2(B2906,E2906,"2019-11-29")</f>
        <v>0</v>
      </c>
      <c r="T2906"/>
      <c r="U2906">
        <f>[1]!EM_S_RATIO_EPS_TTM(B2906,E2906,"1")</f>
        <v>-0.39558319414052817</v>
      </c>
      <c r="AT2906" s="4" t="str">
        <f>[1]!EM_S_IPO_LISTEDDATE(B2906)</f>
        <v>1999-04-01</v>
      </c>
    </row>
    <row r="2907" spans="1:46">
      <c r="A2907">
        <v>3606</v>
      </c>
      <c r="B2907" t="str">
        <f>"603926"</f>
        <v>603926</v>
      </c>
      <c r="C2907" t="s">
        <v>1425</v>
      </c>
      <c r="D2907" t="str">
        <f>[1]!EM_S_INFO_INDEX_EM(B2907,"1")</f>
        <v>交运设备</v>
      </c>
      <c r="E2907" s="4">
        <f t="shared" si="45"/>
        <v>43465</v>
      </c>
      <c r="F2907" s="11">
        <f>[1]!EM_S_PQ_PCTCHANGE(B2907,"2018-01-01","2019-12-31","3")</f>
        <v>-38.551638789999998</v>
      </c>
      <c r="G2907" s="11">
        <f>[1]!EM_S_PQ_PCTCHANGE(B2907,"2018-12-31","2019-12-30","1")</f>
        <v>-14.03762663</v>
      </c>
      <c r="H2907" s="11">
        <f>[1]!EM_S_FA_YOY_OR(B2907,E2907)</f>
        <v>13.397876266600001</v>
      </c>
      <c r="I2907" s="11">
        <f>[1]!EM_S_FA_GROSSPROFITMARGIN(B2907,E2907)</f>
        <v>26.9357478636</v>
      </c>
      <c r="J2907" s="11">
        <f>[1]!EM_S_FA_NETPROFITMARGIN(B2907,E2907)</f>
        <v>8.6207214991000001</v>
      </c>
      <c r="K2907" s="10">
        <f>[1]!EM_S_FA_ASSETSTURN(B2907,E2907)</f>
        <v>0.62848584731299995</v>
      </c>
      <c r="L2907" s="12">
        <f>[1]!EM_HKS_VAL_MV(B2907,"2019-12-31","2")</f>
        <v>1916350995</v>
      </c>
      <c r="M2907">
        <f>[1]!EM_S_VAL_PETTMDEDUCTED(B2907,E2907)</f>
        <v>27.312156261456899</v>
      </c>
      <c r="N2907" s="7">
        <f>[1]!EM_S_VAL_PBGOODWILLDEDUCTED(B2907,E2907)</f>
        <v>1.5594719309563201</v>
      </c>
      <c r="O2907" s="7">
        <f>[1]!EM_S_VAL_PS_TTM(B2907,E2907)</f>
        <v>1.93127443819439</v>
      </c>
      <c r="P2907" s="7">
        <f>[1]!EM_S_VAL_PCF_NCFTTM(B2907,E2907)</f>
        <v>55.192662691301599</v>
      </c>
      <c r="Q2907" s="7">
        <f>[1]!EM_S_VAL_DIVIDENDYIELD2(B2907,E2907,"2019-11-29")</f>
        <v>1.6907373137913406</v>
      </c>
      <c r="T2907"/>
      <c r="U2907">
        <f>[1]!EM_S_RATIO_EPS_TTM(B2907,E2907,"1")</f>
        <v>0.67452598576512457</v>
      </c>
      <c r="AT2907" s="4" t="str">
        <f>[1]!EM_S_IPO_LISTEDDATE(B2907)</f>
        <v>2017-05-10</v>
      </c>
    </row>
    <row r="2908" spans="1:46">
      <c r="A2908">
        <v>798</v>
      </c>
      <c r="B2908" t="str">
        <f>"002287"</f>
        <v>002287</v>
      </c>
      <c r="C2908" t="s">
        <v>471</v>
      </c>
      <c r="D2908" t="str">
        <f>[1]!EM_S_INFO_INDEX_EM(B2908,"1")</f>
        <v>医药生物</v>
      </c>
      <c r="E2908" s="4">
        <f t="shared" si="45"/>
        <v>43465</v>
      </c>
      <c r="F2908" s="11">
        <f>[1]!EM_S_PQ_PCTCHANGE(B2908,"2018-01-01","2019-12-31","3")</f>
        <v>-14.17452756</v>
      </c>
      <c r="G2908" s="11">
        <f>[1]!EM_S_PQ_PCTCHANGE(B2908,"2018-12-31","2019-12-30","1")</f>
        <v>-14.068745</v>
      </c>
      <c r="H2908" s="11">
        <f>[1]!EM_S_FA_YOY_OR(B2908,E2908)</f>
        <v>15.198027766299999</v>
      </c>
      <c r="I2908" s="11">
        <f>[1]!EM_S_FA_GROSSPROFITMARGIN(B2908,E2908)</f>
        <v>87.804529929699996</v>
      </c>
      <c r="J2908" s="11">
        <f>[1]!EM_S_FA_NETPROFITMARGIN(B2908,E2908)</f>
        <v>26.165425868100002</v>
      </c>
      <c r="K2908" s="10">
        <f>[1]!EM_S_FA_ASSETSTURN(B2908,E2908)</f>
        <v>0.526413170943</v>
      </c>
      <c r="L2908" s="12">
        <f>[1]!EM_HKS_VAL_MV(B2908,"2019-12-31","2")</f>
        <v>11542039912.83</v>
      </c>
      <c r="M2908">
        <f>[1]!EM_S_VAL_PETTMDEDUCTED(B2908,E2908)</f>
        <v>33.132140163798603</v>
      </c>
      <c r="N2908" s="7">
        <f>[1]!EM_S_VAL_PBGOODWILLDEDUCTED(B2908,E2908)</f>
        <v>5.0057567388874196</v>
      </c>
      <c r="O2908" s="7">
        <f>[1]!EM_S_VAL_PS_TTM(B2908,E2908)</f>
        <v>8.3409657900197391</v>
      </c>
      <c r="P2908" s="7">
        <f>[1]!EM_S_VAL_PCF_NCFTTM(B2908,E2908)</f>
        <v>-380.96800838915101</v>
      </c>
      <c r="Q2908" s="7">
        <f>[1]!EM_S_VAL_DIVIDENDYIELD2(B2908,E2908,"2019-11-29")</f>
        <v>1.460399857622884</v>
      </c>
      <c r="T2908"/>
      <c r="U2908">
        <f>[1]!EM_S_RATIO_EPS_TTM(B2908,E2908,"1")</f>
        <v>0.78514039884236453</v>
      </c>
      <c r="AT2908" s="4" t="str">
        <f>[1]!EM_S_IPO_LISTEDDATE(B2908)</f>
        <v>2009-08-28</v>
      </c>
    </row>
    <row r="2909" spans="1:46">
      <c r="A2909">
        <v>1584</v>
      </c>
      <c r="B2909" t="str">
        <f>"300159"</f>
        <v>300159</v>
      </c>
      <c r="C2909" t="s">
        <v>2413</v>
      </c>
      <c r="D2909" t="str">
        <f>[1]!EM_S_INFO_INDEX_EM(B2909,"1")</f>
        <v>机械设备</v>
      </c>
      <c r="E2909" s="4">
        <f t="shared" si="45"/>
        <v>43465</v>
      </c>
      <c r="F2909" s="11">
        <f>[1]!EM_S_PQ_PCTCHANGE(B2909,"2018-01-01","2019-12-31","3")</f>
        <v>-61.994878999999997</v>
      </c>
      <c r="G2909" s="11">
        <f>[1]!EM_S_PQ_PCTCHANGE(B2909,"2018-12-31","2019-12-30","1")</f>
        <v>-14.09978308</v>
      </c>
      <c r="H2909" s="11">
        <f>[1]!EM_S_FA_YOY_OR(B2909,E2909)</f>
        <v>1.3883130505000001</v>
      </c>
      <c r="I2909" s="11">
        <f>[1]!EM_S_FA_GROSSPROFITMARGIN(B2909,E2909)</f>
        <v>32.752768000700001</v>
      </c>
      <c r="J2909" s="11">
        <f>[1]!EM_S_FA_NETPROFITMARGIN(B2909,E2909)</f>
        <v>15.3250585149</v>
      </c>
      <c r="K2909" s="10">
        <f>[1]!EM_S_FA_ASSETSTURN(B2909,E2909)</f>
        <v>0.20065278642600001</v>
      </c>
      <c r="L2909" s="12">
        <f>[1]!EM_HKS_VAL_MV(B2909,"2019-12-31","2")</f>
        <v>5842211991.8400002</v>
      </c>
      <c r="M2909">
        <f>[1]!EM_S_VAL_PETTMDEDUCTED(B2909,E2909)</f>
        <v>20.934103110818501</v>
      </c>
      <c r="N2909" s="7">
        <f>[1]!EM_S_VAL_PBGOODWILLDEDUCTED(B2909,E2909)</f>
        <v>1.9474938592420199</v>
      </c>
      <c r="O2909" s="7">
        <f>[1]!EM_S_VAL_PS_TTM(B2909,E2909)</f>
        <v>2.97598771529311</v>
      </c>
      <c r="P2909" s="7">
        <f>[1]!EM_S_VAL_PCF_NCFTTM(B2909,E2909)</f>
        <v>111.832173045926</v>
      </c>
      <c r="Q2909" s="7">
        <f>[1]!EM_S_VAL_DIVIDENDYIELD2(B2909,E2909,"2019-11-29")</f>
        <v>0.53846153846153832</v>
      </c>
      <c r="T2909"/>
      <c r="U2909">
        <f>[1]!EM_S_RATIO_EPS_TTM(B2909,E2909,"1")</f>
        <v>0.19947289702251458</v>
      </c>
      <c r="AT2909" s="4" t="str">
        <f>[1]!EM_S_IPO_LISTEDDATE(B2909)</f>
        <v>2011-01-07</v>
      </c>
    </row>
    <row r="2910" spans="1:46">
      <c r="A2910">
        <v>1915</v>
      </c>
      <c r="B2910" t="str">
        <f>"300490"</f>
        <v>300490</v>
      </c>
      <c r="C2910" t="s">
        <v>2472</v>
      </c>
      <c r="D2910" t="str">
        <f>[1]!EM_S_INFO_INDEX_EM(B2910,"1")</f>
        <v>电气设备</v>
      </c>
      <c r="E2910" s="4">
        <f t="shared" si="45"/>
        <v>43465</v>
      </c>
      <c r="F2910" s="11">
        <f>[1]!EM_S_PQ_PCTCHANGE(B2910,"2018-01-01","2019-12-31","3")</f>
        <v>-21.965456790000001</v>
      </c>
      <c r="G2910" s="11">
        <f>[1]!EM_S_PQ_PCTCHANGE(B2910,"2018-12-31","2019-12-30","1")</f>
        <v>-14.1221374</v>
      </c>
      <c r="H2910" s="11">
        <f>[1]!EM_S_FA_YOY_OR(B2910,E2910)</f>
        <v>122.1788873512</v>
      </c>
      <c r="I2910" s="11">
        <f>[1]!EM_S_FA_GROSSPROFITMARGIN(B2910,E2910)</f>
        <v>34.4469629707</v>
      </c>
      <c r="J2910" s="11">
        <f>[1]!EM_S_FA_NETPROFITMARGIN(B2910,E2910)</f>
        <v>7.1541181051000002</v>
      </c>
      <c r="K2910" s="10">
        <f>[1]!EM_S_FA_ASSETSTURN(B2910,E2910)</f>
        <v>0.54464048102399998</v>
      </c>
      <c r="L2910" s="12">
        <f>[1]!EM_HKS_VAL_MV(B2910,"2019-12-31","2")</f>
        <v>2900943495.4000001</v>
      </c>
      <c r="M2910">
        <f>[1]!EM_S_VAL_PETTMDEDUCTED(B2910,E2910)</f>
        <v>52.3502514514593</v>
      </c>
      <c r="N2910" s="7">
        <f>[1]!EM_S_VAL_PBGOODWILLDEDUCTED(B2910,E2910)</f>
        <v>3.5025366733680201</v>
      </c>
      <c r="O2910" s="7">
        <f>[1]!EM_S_VAL_PS_TTM(B2910,E2910)</f>
        <v>3.3772994981462001</v>
      </c>
      <c r="P2910" s="7">
        <f>[1]!EM_S_VAL_PCF_NCFTTM(B2910,E2910)</f>
        <v>10.523676768731599</v>
      </c>
      <c r="Q2910" s="7">
        <f>[1]!EM_S_VAL_DIVIDENDYIELD2(B2910,E2910,"2019-11-29")</f>
        <v>0.46663489209305536</v>
      </c>
      <c r="T2910"/>
      <c r="U2910">
        <f>[1]!EM_S_RATIO_EPS_TTM(B2910,E2910,"1")</f>
        <v>0.38566632650581684</v>
      </c>
      <c r="AT2910" s="4" t="str">
        <f>[1]!EM_S_IPO_LISTEDDATE(B2910)</f>
        <v>2015-12-31</v>
      </c>
    </row>
    <row r="2911" spans="1:46">
      <c r="A2911">
        <v>1522</v>
      </c>
      <c r="B2911" t="str">
        <f>"300097"</f>
        <v>300097</v>
      </c>
      <c r="C2911" t="s">
        <v>1656</v>
      </c>
      <c r="D2911" t="str">
        <f>[1]!EM_S_INFO_INDEX_EM(B2911,"1")</f>
        <v>机械设备</v>
      </c>
      <c r="E2911" s="4">
        <f t="shared" si="45"/>
        <v>43465</v>
      </c>
      <c r="F2911" s="11">
        <f>[1]!EM_S_PQ_PCTCHANGE(B2911,"2018-01-01","2019-12-31","3")</f>
        <v>-66.406872379999996</v>
      </c>
      <c r="G2911" s="11">
        <f>[1]!EM_S_PQ_PCTCHANGE(B2911,"2018-12-31","2019-12-30","1")</f>
        <v>-14.14503133</v>
      </c>
      <c r="H2911" s="11">
        <f>[1]!EM_S_FA_YOY_OR(B2911,E2911)</f>
        <v>6.8903449279000002</v>
      </c>
      <c r="I2911" s="11">
        <f>[1]!EM_S_FA_GROSSPROFITMARGIN(B2911,E2911)</f>
        <v>38.024468992400003</v>
      </c>
      <c r="J2911" s="11">
        <f>[1]!EM_S_FA_NETPROFITMARGIN(B2911,E2911)</f>
        <v>12.370938838300001</v>
      </c>
      <c r="K2911" s="10">
        <f>[1]!EM_S_FA_ASSETSTURN(B2911,E2911)</f>
        <v>0.37628096457400001</v>
      </c>
      <c r="L2911" s="12">
        <f>[1]!EM_HKS_VAL_MV(B2911,"2019-12-31","2")</f>
        <v>2744107352.1900001</v>
      </c>
      <c r="M2911">
        <f>[1]!EM_S_VAL_PETTMDEDUCTED(B2911,E2911)</f>
        <v>24.173803420462999</v>
      </c>
      <c r="N2911" s="7">
        <f>[1]!EM_S_VAL_PBGOODWILLDEDUCTED(B2911,E2911)</f>
        <v>3.0189400948299401</v>
      </c>
      <c r="O2911" s="7">
        <f>[1]!EM_S_VAL_PS_TTM(B2911,E2911)</f>
        <v>3.2219683691325098</v>
      </c>
      <c r="P2911" s="7">
        <f>[1]!EM_S_VAL_PCF_NCFTTM(B2911,E2911)</f>
        <v>-23.304349119183801</v>
      </c>
      <c r="Q2911" s="7">
        <f>[1]!EM_S_VAL_DIVIDENDYIELD2(B2911,E2911,"2019-11-29")</f>
        <v>0</v>
      </c>
      <c r="T2911"/>
      <c r="U2911">
        <f>[1]!EM_S_RATIO_EPS_TTM(B2911,E2911,"1")</f>
        <v>0.42492709277722301</v>
      </c>
      <c r="AT2911" s="4" t="str">
        <f>[1]!EM_S_IPO_LISTEDDATE(B2911)</f>
        <v>2010-07-28</v>
      </c>
    </row>
    <row r="2912" spans="1:46">
      <c r="A2912">
        <v>2779</v>
      </c>
      <c r="B2912" t="str">
        <f>"600706"</f>
        <v>600706</v>
      </c>
      <c r="C2912" t="s">
        <v>762</v>
      </c>
      <c r="D2912" t="str">
        <f>[1]!EM_S_INFO_INDEX_EM(B2912,"1")</f>
        <v>休闲、生活及专业服务</v>
      </c>
      <c r="E2912" s="4">
        <f t="shared" si="45"/>
        <v>43465</v>
      </c>
      <c r="F2912" s="11">
        <f>[1]!EM_S_PQ_PCTCHANGE(B2912,"2018-01-01","2019-12-31","3")</f>
        <v>-44.425571560000002</v>
      </c>
      <c r="G2912" s="11">
        <f>[1]!EM_S_PQ_PCTCHANGE(B2912,"2018-12-31","2019-12-30","1")</f>
        <v>-14.15929204</v>
      </c>
      <c r="H2912" s="11">
        <f>[1]!EM_S_FA_YOY_OR(B2912,E2912)</f>
        <v>18.780996621700002</v>
      </c>
      <c r="I2912" s="11">
        <f>[1]!EM_S_FA_GROSSPROFITMARGIN(B2912,E2912)</f>
        <v>27.1208421923</v>
      </c>
      <c r="J2912" s="11">
        <f>[1]!EM_S_FA_NETPROFITMARGIN(B2912,E2912)</f>
        <v>5.7202771735000004</v>
      </c>
      <c r="K2912" s="10">
        <f>[1]!EM_S_FA_ASSETSTURN(B2912,E2912)</f>
        <v>0.66498384171000002</v>
      </c>
      <c r="L2912" s="12">
        <f>[1]!EM_HKS_VAL_MV(B2912,"2019-12-31","2")</f>
        <v>1902084516.3</v>
      </c>
      <c r="M2912">
        <f>[1]!EM_S_VAL_PETTMDEDUCTED(B2912,E2912)</f>
        <v>20.499322691672401</v>
      </c>
      <c r="N2912" s="7">
        <f>[1]!EM_S_VAL_PBGOODWILLDEDUCTED(B2912,E2912)</f>
        <v>1.78187605000272</v>
      </c>
      <c r="O2912" s="7">
        <f>[1]!EM_S_VAL_PS_TTM(B2912,E2912)</f>
        <v>1.3875863220442499</v>
      </c>
      <c r="P2912" s="7">
        <f>[1]!EM_S_VAL_PCF_NCFTTM(B2912,E2912)</f>
        <v>17.831434181146101</v>
      </c>
      <c r="Q2912" s="7">
        <f>[1]!EM_S_VAL_DIVIDENDYIELD2(B2912,E2912,"2019-11-29")</f>
        <v>0.45731707317073167</v>
      </c>
      <c r="T2912"/>
      <c r="U2912">
        <f>[1]!EM_S_RATIO_EPS_TTM(B2912,E2912,"1")</f>
        <v>0.42391897818320934</v>
      </c>
      <c r="AT2912" s="4" t="str">
        <f>[1]!EM_S_IPO_LISTEDDATE(B2912)</f>
        <v>1996-05-16</v>
      </c>
    </row>
    <row r="2913" spans="1:46">
      <c r="A2913">
        <v>281</v>
      </c>
      <c r="B2913" t="str">
        <f>"000697"</f>
        <v>000697</v>
      </c>
      <c r="C2913" t="s">
        <v>3482</v>
      </c>
      <c r="D2913" t="str">
        <f>[1]!EM_S_INFO_INDEX_EM(B2913,"1")</f>
        <v>交通运输</v>
      </c>
      <c r="E2913" s="4">
        <f t="shared" si="45"/>
        <v>43465</v>
      </c>
      <c r="F2913" s="11">
        <f>[1]!EM_S_PQ_PCTCHANGE(B2913,"2018-01-01","2019-12-31","3")</f>
        <v>-53.993055560000002</v>
      </c>
      <c r="G2913" s="11">
        <f>[1]!EM_S_PQ_PCTCHANGE(B2913,"2018-12-31","2019-12-30","1")</f>
        <v>-14.20500404</v>
      </c>
      <c r="H2913" s="11">
        <f>[1]!EM_S_FA_YOY_OR(B2913,E2913)</f>
        <v>112.8922340015</v>
      </c>
      <c r="I2913" s="11">
        <f>[1]!EM_S_FA_GROSSPROFITMARGIN(B2913,E2913)</f>
        <v>22.184878996599998</v>
      </c>
      <c r="J2913" s="11">
        <f>[1]!EM_S_FA_NETPROFITMARGIN(B2913,E2913)</f>
        <v>1.3681486802</v>
      </c>
      <c r="K2913" s="10">
        <f>[1]!EM_S_FA_ASSETSTURN(B2913,E2913)</f>
        <v>0.30734821527700001</v>
      </c>
      <c r="L2913" s="12">
        <f>[1]!EM_HKS_VAL_MV(B2913,"2019-12-31","2")</f>
        <v>7119130225.3999996</v>
      </c>
      <c r="M2913">
        <f>[1]!EM_S_VAL_PETTMDEDUCTED(B2913,E2913)</f>
        <v>-34.803190150492</v>
      </c>
      <c r="N2913" s="7">
        <f>[1]!EM_S_VAL_PBGOODWILLDEDUCTED(B2913,E2913)</f>
        <v>13.053650636434201</v>
      </c>
      <c r="O2913" s="7">
        <f>[1]!EM_S_VAL_PS_TTM(B2913,E2913)</f>
        <v>5.8636668944743997</v>
      </c>
      <c r="P2913" s="7">
        <f>[1]!EM_S_VAL_PCF_NCFTTM(B2913,E2913)</f>
        <v>-36.712001128497199</v>
      </c>
      <c r="Q2913" s="7">
        <f>[1]!EM_S_VAL_DIVIDENDYIELD2(B2913,E2913,"2019-11-29")</f>
        <v>0</v>
      </c>
      <c r="T2913"/>
      <c r="U2913">
        <f>[1]!EM_S_RATIO_EPS_TTM(B2913,E2913,"1")</f>
        <v>3.6556587057427703E-2</v>
      </c>
      <c r="AT2913" s="4" t="str">
        <f>[1]!EM_S_IPO_LISTEDDATE(B2913)</f>
        <v>1997-03-25</v>
      </c>
    </row>
    <row r="2914" spans="1:46">
      <c r="A2914">
        <v>3206</v>
      </c>
      <c r="B2914" t="str">
        <f>"603007"</f>
        <v>603007</v>
      </c>
      <c r="C2914" t="s">
        <v>1680</v>
      </c>
      <c r="D2914" t="str">
        <f>[1]!EM_S_INFO_INDEX_EM(B2914,"1")</f>
        <v>建筑</v>
      </c>
      <c r="E2914" s="4">
        <f t="shared" si="45"/>
        <v>43465</v>
      </c>
      <c r="F2914" s="11">
        <f>[1]!EM_S_PQ_PCTCHANGE(B2914,"2018-01-01","2019-12-31","3")</f>
        <v>-44.153203079999997</v>
      </c>
      <c r="G2914" s="11">
        <f>[1]!EM_S_PQ_PCTCHANGE(B2914,"2018-12-31","2019-12-30","1")</f>
        <v>-14.23173804</v>
      </c>
      <c r="H2914" s="11">
        <f>[1]!EM_S_FA_YOY_OR(B2914,E2914)</f>
        <v>21.948403776900001</v>
      </c>
      <c r="I2914" s="11">
        <f>[1]!EM_S_FA_GROSSPROFITMARGIN(B2914,E2914)</f>
        <v>28.979272065499998</v>
      </c>
      <c r="J2914" s="11">
        <f>[1]!EM_S_FA_NETPROFITMARGIN(B2914,E2914)</f>
        <v>8.9510544517999993</v>
      </c>
      <c r="K2914" s="10">
        <f>[1]!EM_S_FA_ASSETSTURN(B2914,E2914)</f>
        <v>0.41815493348600002</v>
      </c>
      <c r="L2914" s="12">
        <f>[1]!EM_HKS_VAL_MV(B2914,"2019-12-31","2")</f>
        <v>2315834406</v>
      </c>
      <c r="M2914">
        <f>[1]!EM_S_VAL_PETTMDEDUCTED(B2914,E2914)</f>
        <v>15.505188905453201</v>
      </c>
      <c r="N2914" s="7">
        <f>[1]!EM_S_VAL_PBGOODWILLDEDUCTED(B2914,E2914)</f>
        <v>3.3854642247355202</v>
      </c>
      <c r="O2914" s="7">
        <f>[1]!EM_S_VAL_PS_TTM(B2914,E2914)</f>
        <v>2.00930578853011</v>
      </c>
      <c r="P2914" s="7">
        <f>[1]!EM_S_VAL_PCF_NCFTTM(B2914,E2914)</f>
        <v>-107.059237164335</v>
      </c>
      <c r="Q2914" s="7">
        <f>[1]!EM_S_VAL_DIVIDENDYIELD2(B2914,E2914,"2019-11-29")</f>
        <v>0.47577568760611622</v>
      </c>
      <c r="T2914"/>
      <c r="U2914">
        <f>[1]!EM_S_RATIO_EPS_TTM(B2914,E2914,"1")</f>
        <v>0.29298587181193692</v>
      </c>
      <c r="AT2914" s="4" t="str">
        <f>[1]!EM_S_IPO_LISTEDDATE(B2914)</f>
        <v>2016-08-26</v>
      </c>
    </row>
    <row r="2915" spans="1:46">
      <c r="A2915">
        <v>767</v>
      </c>
      <c r="B2915" t="str">
        <f>"002256"</f>
        <v>002256</v>
      </c>
      <c r="C2915" t="s">
        <v>1903</v>
      </c>
      <c r="D2915" t="str">
        <f>[1]!EM_S_INFO_INDEX_EM(B2915,"1")</f>
        <v>基础化工</v>
      </c>
      <c r="E2915" s="4">
        <f t="shared" si="45"/>
        <v>43465</v>
      </c>
      <c r="F2915" s="11">
        <f>[1]!EM_S_PQ_PCTCHANGE(B2915,"2018-01-01","2019-12-31","3")</f>
        <v>-37.675104099999999</v>
      </c>
      <c r="G2915" s="11">
        <f>[1]!EM_S_PQ_PCTCHANGE(B2915,"2018-12-31","2019-12-30","1")</f>
        <v>-14.23728814</v>
      </c>
      <c r="H2915" s="11">
        <f>[1]!EM_S_FA_YOY_OR(B2915,E2915)</f>
        <v>-7.7188423874999996</v>
      </c>
      <c r="I2915" s="11">
        <f>[1]!EM_S_FA_GROSSPROFITMARGIN(B2915,E2915)</f>
        <v>37.1963825391</v>
      </c>
      <c r="J2915" s="11">
        <f>[1]!EM_S_FA_NETPROFITMARGIN(B2915,E2915)</f>
        <v>-36.088898182100003</v>
      </c>
      <c r="K2915" s="10">
        <f>[1]!EM_S_FA_ASSETSTURN(B2915,E2915)</f>
        <v>0.173410447622</v>
      </c>
      <c r="L2915" s="12">
        <f>[1]!EM_HKS_VAL_MV(B2915,"2019-12-31","2")</f>
        <v>4875446748.4799995</v>
      </c>
      <c r="M2915">
        <f>[1]!EM_S_VAL_PETTMDEDUCTED(B2915,E2915)</f>
        <v>45.7220409998503</v>
      </c>
      <c r="N2915" s="7">
        <f>[1]!EM_S_VAL_PBGOODWILLDEDUCTED(B2915,E2915)</f>
        <v>2.87233917888818</v>
      </c>
      <c r="O2915" s="7">
        <f>[1]!EM_S_VAL_PS_TTM(B2915,E2915)</f>
        <v>7.8132146090953203</v>
      </c>
      <c r="P2915" s="7">
        <f>[1]!EM_S_VAL_PCF_NCFTTM(B2915,E2915)</f>
        <v>-12.5733806481123</v>
      </c>
      <c r="Q2915" s="7">
        <f>[1]!EM_S_VAL_DIVIDENDYIELD2(B2915,E2915,"2019-11-29")</f>
        <v>0</v>
      </c>
      <c r="T2915"/>
      <c r="U2915">
        <f>[1]!EM_S_RATIO_EPS_TTM(B2915,E2915,"1")</f>
        <v>-0.1081044714851862</v>
      </c>
      <c r="AT2915" s="4" t="str">
        <f>[1]!EM_S_IPO_LISTEDDATE(B2915)</f>
        <v>2008-06-25</v>
      </c>
    </row>
    <row r="2916" spans="1:46">
      <c r="A2916">
        <v>1040</v>
      </c>
      <c r="B2916" t="str">
        <f>"002529"</f>
        <v>002529</v>
      </c>
      <c r="C2916" t="s">
        <v>1633</v>
      </c>
      <c r="D2916" t="str">
        <f>[1]!EM_S_INFO_INDEX_EM(B2916,"1")</f>
        <v>机械设备</v>
      </c>
      <c r="E2916" s="4">
        <f t="shared" si="45"/>
        <v>43465</v>
      </c>
      <c r="F2916" s="11">
        <f>[1]!EM_S_PQ_PCTCHANGE(B2916,"2018-01-01","2019-12-31","3")</f>
        <v>-62.703053930000003</v>
      </c>
      <c r="G2916" s="11">
        <f>[1]!EM_S_PQ_PCTCHANGE(B2916,"2018-12-31","2019-12-30","1")</f>
        <v>-14.432989689999999</v>
      </c>
      <c r="H2916" s="11">
        <f>[1]!EM_S_FA_YOY_OR(B2916,E2916)</f>
        <v>-11.6337156205</v>
      </c>
      <c r="I2916" s="11">
        <f>[1]!EM_S_FA_GROSSPROFITMARGIN(B2916,E2916)</f>
        <v>13.586240896</v>
      </c>
      <c r="J2916" s="11">
        <f>[1]!EM_S_FA_NETPROFITMARGIN(B2916,E2916)</f>
        <v>-72.784462061100001</v>
      </c>
      <c r="K2916" s="10">
        <f>[1]!EM_S_FA_ASSETSTURN(B2916,E2916)</f>
        <v>0.125940504604</v>
      </c>
      <c r="L2916" s="12">
        <f>[1]!EM_HKS_VAL_MV(B2916,"2019-12-31","2")</f>
        <v>1492400000</v>
      </c>
      <c r="M2916">
        <f>[1]!EM_S_VAL_PETTMDEDUCTED(B2916,E2916)</f>
        <v>-33.013755054254403</v>
      </c>
      <c r="N2916" s="7">
        <f>[1]!EM_S_VAL_PBGOODWILLDEDUCTED(B2916,E2916)</f>
        <v>1.2671731415238301</v>
      </c>
      <c r="O2916" s="7">
        <f>[1]!EM_S_VAL_PS_TTM(B2916,E2916)</f>
        <v>7.1451007541022502</v>
      </c>
      <c r="P2916" s="7">
        <f>[1]!EM_S_VAL_PCF_NCFTTM(B2916,E2916)</f>
        <v>-64.302877471339301</v>
      </c>
      <c r="Q2916" s="7">
        <f>[1]!EM_S_VAL_DIVIDENDYIELD2(B2916,E2916,"2019-11-29")</f>
        <v>0</v>
      </c>
      <c r="T2916"/>
      <c r="U2916">
        <f>[1]!EM_S_RATIO_EPS_TTM(B2916,E2916,"1")</f>
        <v>-0.67345800188461546</v>
      </c>
      <c r="AT2916" s="4" t="str">
        <f>[1]!EM_S_IPO_LISTEDDATE(B2916)</f>
        <v>2010-12-24</v>
      </c>
    </row>
    <row r="2917" spans="1:46">
      <c r="A2917">
        <v>1789</v>
      </c>
      <c r="B2917" t="str">
        <f>"300364"</f>
        <v>300364</v>
      </c>
      <c r="C2917" t="s">
        <v>3411</v>
      </c>
      <c r="D2917" t="str">
        <f>[1]!EM_S_INFO_INDEX_EM(B2917,"1")</f>
        <v>文化传媒</v>
      </c>
      <c r="E2917" s="4">
        <f t="shared" si="45"/>
        <v>43465</v>
      </c>
      <c r="F2917" s="11">
        <f>[1]!EM_S_PQ_PCTCHANGE(B2917,"2018-01-01","2019-12-31","3")</f>
        <v>-55.407034379999999</v>
      </c>
      <c r="G2917" s="11">
        <f>[1]!EM_S_PQ_PCTCHANGE(B2917,"2018-12-31","2019-12-30","1")</f>
        <v>-14.46280992</v>
      </c>
      <c r="H2917" s="11">
        <f>[1]!EM_S_FA_YOY_OR(B2917,E2917)</f>
        <v>23.537272828500001</v>
      </c>
      <c r="I2917" s="11">
        <f>[1]!EM_S_FA_GROSSPROFITMARGIN(B2917,E2917)</f>
        <v>39.763850171999998</v>
      </c>
      <c r="J2917" s="11">
        <f>[1]!EM_S_FA_NETPROFITMARGIN(B2917,E2917)</f>
        <v>-169.9544885466</v>
      </c>
      <c r="K2917" s="10">
        <f>[1]!EM_S_FA_ASSETSTURN(B2917,E2917)</f>
        <v>0.31887132396200002</v>
      </c>
      <c r="L2917" s="12">
        <f>[1]!EM_HKS_VAL_MV(B2917,"2019-12-31","2")</f>
        <v>2989183724.0999999</v>
      </c>
      <c r="M2917">
        <f>[1]!EM_S_VAL_PETTMDEDUCTED(B2917,E2917)</f>
        <v>-73.519782504359995</v>
      </c>
      <c r="N2917" s="7">
        <f>[1]!EM_S_VAL_PBGOODWILLDEDUCTED(B2917,E2917)</f>
        <v>1.74189852391199</v>
      </c>
      <c r="O2917" s="7">
        <f>[1]!EM_S_VAL_PS_TTM(B2917,E2917)</f>
        <v>3.9154570763251799</v>
      </c>
      <c r="P2917" s="7">
        <f>[1]!EM_S_VAL_PCF_NCFTTM(B2917,E2917)</f>
        <v>-6.7408702436392396</v>
      </c>
      <c r="Q2917" s="7">
        <f>[1]!EM_S_VAL_DIVIDENDYIELD2(B2917,E2917,"2019-11-29")</f>
        <v>0</v>
      </c>
      <c r="T2917"/>
      <c r="U2917">
        <f>[1]!EM_S_RATIO_EPS_TTM(B2917,E2917,"1")</f>
        <v>-1.9539698818617788</v>
      </c>
      <c r="AT2917" s="4" t="str">
        <f>[1]!EM_S_IPO_LISTEDDATE(B2917)</f>
        <v>2015-01-21</v>
      </c>
    </row>
    <row r="2918" spans="1:46">
      <c r="A2918">
        <v>90</v>
      </c>
      <c r="B2918" t="str">
        <f>"000409"</f>
        <v>000409</v>
      </c>
      <c r="C2918" t="s">
        <v>3655</v>
      </c>
      <c r="D2918" t="str">
        <f>[1]!EM_S_INFO_INDEX_EM(B2918,"1")</f>
        <v>综合</v>
      </c>
      <c r="E2918" s="4">
        <f t="shared" si="45"/>
        <v>43465</v>
      </c>
      <c r="F2918" s="11">
        <f>[1]!EM_S_PQ_PCTCHANGE(B2918,"2018-01-01","2019-12-31","3")</f>
        <v>-8.0152671800000004</v>
      </c>
      <c r="G2918" s="11">
        <f>[1]!EM_S_PQ_PCTCHANGE(B2918,"2018-12-31","2019-12-30","1")</f>
        <v>-14.487632509999999</v>
      </c>
      <c r="H2918" s="11">
        <f>[1]!EM_S_FA_YOY_OR(B2918,E2918)</f>
        <v>114.3247625134</v>
      </c>
      <c r="I2918" s="11">
        <f>[1]!EM_S_FA_GROSSPROFITMARGIN(B2918,E2918)</f>
        <v>4.1975491774</v>
      </c>
      <c r="J2918" s="11">
        <f>[1]!EM_S_FA_NETPROFITMARGIN(B2918,E2918)</f>
        <v>4.1546111580999998</v>
      </c>
      <c r="K2918" s="10">
        <f>[1]!EM_S_FA_ASSETSTURN(B2918,E2918)</f>
        <v>0.56938028011200004</v>
      </c>
      <c r="L2918" s="12">
        <f>[1]!EM_HKS_VAL_MV(B2918,"2019-12-31","2")</f>
        <v>2462688181.5599999</v>
      </c>
      <c r="M2918">
        <f>[1]!EM_S_VAL_PETTMDEDUCTED(B2918,E2918)</f>
        <v>-5.4738653076772197</v>
      </c>
      <c r="N2918" s="7">
        <f>[1]!EM_S_VAL_PBGOODWILLDEDUCTED(B2918,E2918)</f>
        <v>3.98274376129068</v>
      </c>
      <c r="O2918" s="7">
        <f>[1]!EM_S_VAL_PS_TTM(B2918,E2918)</f>
        <v>2.9310464539601302</v>
      </c>
      <c r="P2918" s="7">
        <f>[1]!EM_S_VAL_PCF_NCFTTM(B2918,E2918)</f>
        <v>175.62411984382899</v>
      </c>
      <c r="Q2918" s="7">
        <f>[1]!EM_S_VAL_DIVIDENDYIELD2(B2918,E2918,"2019-11-29")</f>
        <v>0</v>
      </c>
      <c r="T2918"/>
      <c r="U2918">
        <f>[1]!EM_S_RATIO_EPS_TTM(B2918,E2918,"1")</f>
        <v>6.0637010358252613E-2</v>
      </c>
      <c r="AT2918" s="4" t="str">
        <f>[1]!EM_S_IPO_LISTEDDATE(B2918)</f>
        <v>1996-06-27</v>
      </c>
    </row>
    <row r="2919" spans="1:46">
      <c r="A2919">
        <v>3391</v>
      </c>
      <c r="B2919" t="str">
        <f>"603387"</f>
        <v>603387</v>
      </c>
      <c r="C2919" t="s">
        <v>230</v>
      </c>
      <c r="D2919" t="str">
        <f>[1]!EM_S_INFO_INDEX_EM(B2919,"1")</f>
        <v>医药生物</v>
      </c>
      <c r="E2919" s="4">
        <f t="shared" si="45"/>
        <v>43465</v>
      </c>
      <c r="F2919" s="11">
        <f>[1]!EM_S_PQ_PCTCHANGE(B2919,"2018-01-01","2019-12-31","3")</f>
        <v>-23.393233429999999</v>
      </c>
      <c r="G2919" s="11">
        <f>[1]!EM_S_PQ_PCTCHANGE(B2919,"2018-12-31","2019-12-30","1")</f>
        <v>-14.490026350000001</v>
      </c>
      <c r="H2919" s="11">
        <f>[1]!EM_S_FA_YOY_OR(B2919,E2919)</f>
        <v>40.454870115699997</v>
      </c>
      <c r="I2919" s="11">
        <f>[1]!EM_S_FA_GROSSPROFITMARGIN(B2919,E2919)</f>
        <v>78.903920605799996</v>
      </c>
      <c r="J2919" s="11">
        <f>[1]!EM_S_FA_NETPROFITMARGIN(B2919,E2919)</f>
        <v>36.5243925742</v>
      </c>
      <c r="K2919" s="10">
        <f>[1]!EM_S_FA_ASSETSTURN(B2919,E2919)</f>
        <v>0.48377476611300002</v>
      </c>
      <c r="L2919" s="12">
        <f>[1]!EM_HKS_VAL_MV(B2919,"2019-12-31","2")</f>
        <v>6001760636.5500002</v>
      </c>
      <c r="M2919">
        <f>[1]!EM_S_VAL_PETTMDEDUCTED(B2919,E2919)</f>
        <v>24.578138154551301</v>
      </c>
      <c r="N2919" s="7">
        <f>[1]!EM_S_VAL_PBGOODWILLDEDUCTED(B2919,E2919)</f>
        <v>3.6744662063925899</v>
      </c>
      <c r="O2919" s="7">
        <f>[1]!EM_S_VAL_PS_TTM(B2919,E2919)</f>
        <v>8.0756807637938799</v>
      </c>
      <c r="P2919" s="7">
        <f>[1]!EM_S_VAL_PCF_NCFTTM(B2919,E2919)</f>
        <v>-43.2949139815629</v>
      </c>
      <c r="Q2919" s="7">
        <f>[1]!EM_S_VAL_DIVIDENDYIELD2(B2919,E2919,"2019-11-29")</f>
        <v>1.292583709960629</v>
      </c>
      <c r="T2919"/>
      <c r="U2919">
        <f>[1]!EM_S_RATIO_EPS_TTM(B2919,E2919,"1")</f>
        <v>1.3419090269911489</v>
      </c>
      <c r="AT2919" s="4" t="str">
        <f>[1]!EM_S_IPO_LISTEDDATE(B2919)</f>
        <v>2017-07-17</v>
      </c>
    </row>
    <row r="2920" spans="1:46">
      <c r="A2920">
        <v>3118</v>
      </c>
      <c r="B2920" t="str">
        <f>"601566"</f>
        <v>601566</v>
      </c>
      <c r="C2920" t="s">
        <v>577</v>
      </c>
      <c r="D2920" t="str">
        <f>[1]!EM_S_INFO_INDEX_EM(B2920,"1")</f>
        <v>纺织服装</v>
      </c>
      <c r="E2920" s="4">
        <f t="shared" si="45"/>
        <v>43465</v>
      </c>
      <c r="F2920" s="11">
        <f>[1]!EM_S_PQ_PCTCHANGE(B2920,"2018-01-01","2019-12-31","3")</f>
        <v>-7.9714277899999999</v>
      </c>
      <c r="G2920" s="11">
        <f>[1]!EM_S_PQ_PCTCHANGE(B2920,"2018-12-31","2019-12-30","1")</f>
        <v>-14.490566039999999</v>
      </c>
      <c r="H2920" s="11">
        <f>[1]!EM_S_FA_YOY_OR(B2920,E2920)</f>
        <v>6.5526172373999998</v>
      </c>
      <c r="I2920" s="11">
        <f>[1]!EM_S_FA_GROSSPROFITMARGIN(B2920,E2920)</f>
        <v>56.608037426400003</v>
      </c>
      <c r="J2920" s="11">
        <f>[1]!EM_S_FA_NETPROFITMARGIN(B2920,E2920)</f>
        <v>19.2707935402</v>
      </c>
      <c r="K2920" s="10">
        <f>[1]!EM_S_FA_ASSETSTURN(B2920,E2920)</f>
        <v>0.437306254625</v>
      </c>
      <c r="L2920" s="12">
        <f>[1]!EM_HKS_VAL_MV(B2920,"2019-12-31","2")</f>
        <v>6573848996</v>
      </c>
      <c r="M2920">
        <f>[1]!EM_S_VAL_PETTMDEDUCTED(B2920,E2920)</f>
        <v>17.651126426978301</v>
      </c>
      <c r="N2920" s="7">
        <f>[1]!EM_S_VAL_PBGOODWILLDEDUCTED(B2920,E2920)</f>
        <v>1.73319035642501</v>
      </c>
      <c r="O2920" s="7">
        <f>[1]!EM_S_VAL_PS_TTM(B2920,E2920)</f>
        <v>2.81675559927747</v>
      </c>
      <c r="P2920" s="7">
        <f>[1]!EM_S_VAL_PCF_NCFTTM(B2920,E2920)</f>
        <v>3723.1522209619802</v>
      </c>
      <c r="Q2920" s="7">
        <f>[1]!EM_S_VAL_DIVIDENDYIELD2(B2920,E2920,"2019-11-29")</f>
        <v>9.0497737556561084</v>
      </c>
      <c r="T2920"/>
      <c r="U2920">
        <f>[1]!EM_S_RATIO_EPS_TTM(B2920,E2920,"1")</f>
        <v>0.92857112675363929</v>
      </c>
      <c r="AT2920" s="4" t="str">
        <f>[1]!EM_S_IPO_LISTEDDATE(B2920)</f>
        <v>2011-05-30</v>
      </c>
    </row>
    <row r="2921" spans="1:46">
      <c r="A2921">
        <v>3452</v>
      </c>
      <c r="B2921" t="str">
        <f>"603602"</f>
        <v>603602</v>
      </c>
      <c r="C2921" t="s">
        <v>3298</v>
      </c>
      <c r="D2921" t="str">
        <f>[1]!EM_S_INFO_INDEX_EM(B2921,"1")</f>
        <v>信息技术</v>
      </c>
      <c r="E2921" s="4">
        <f t="shared" si="45"/>
        <v>43465</v>
      </c>
      <c r="F2921" s="11">
        <f>[1]!EM_S_PQ_PCTCHANGE(B2921,"2018-01-01","2019-12-31","3")</f>
        <v>-11.78371667</v>
      </c>
      <c r="G2921" s="11">
        <f>[1]!EM_S_PQ_PCTCHANGE(B2921,"2018-12-31","2019-12-30","1")</f>
        <v>-14.57049656</v>
      </c>
      <c r="H2921" s="11">
        <f>[1]!EM_S_FA_YOY_OR(B2921,E2921)</f>
        <v>-0.73162989140000001</v>
      </c>
      <c r="I2921" s="11">
        <f>[1]!EM_S_FA_GROSSPROFITMARGIN(B2921,E2921)</f>
        <v>17.216678251099999</v>
      </c>
      <c r="J2921" s="11">
        <f>[1]!EM_S_FA_NETPROFITMARGIN(B2921,E2921)</f>
        <v>7.4740622018999998</v>
      </c>
      <c r="K2921" s="10">
        <f>[1]!EM_S_FA_ASSETSTURN(B2921,E2921)</f>
        <v>0.55296045203400002</v>
      </c>
      <c r="L2921" s="12">
        <f>[1]!EM_HKS_VAL_MV(B2921,"2019-12-31","2")</f>
        <v>3708320000</v>
      </c>
      <c r="M2921">
        <f>[1]!EM_S_VAL_PETTMDEDUCTED(B2921,E2921)</f>
        <v>63.085592752748497</v>
      </c>
      <c r="N2921" s="7">
        <f>[1]!EM_S_VAL_PBGOODWILLDEDUCTED(B2921,E2921)</f>
        <v>4.5750933710359796</v>
      </c>
      <c r="O2921" s="7">
        <f>[1]!EM_S_VAL_PS_TTM(B2921,E2921)</f>
        <v>5.0452823430349003</v>
      </c>
      <c r="P2921" s="7">
        <f>[1]!EM_S_VAL_PCF_NCFTTM(B2921,E2921)</f>
        <v>41.867101445014903</v>
      </c>
      <c r="Q2921" s="7">
        <f>[1]!EM_S_VAL_DIVIDENDYIELD2(B2921,E2921,"2019-11-29")</f>
        <v>0.1815211472136504</v>
      </c>
      <c r="T2921"/>
      <c r="U2921">
        <f>[1]!EM_S_RATIO_EPS_TTM(B2921,E2921,"1")</f>
        <v>0.39752265544642856</v>
      </c>
      <c r="AT2921" s="4" t="str">
        <f>[1]!EM_S_IPO_LISTEDDATE(B2921)</f>
        <v>2017-08-10</v>
      </c>
    </row>
    <row r="2922" spans="1:46">
      <c r="A2922">
        <v>997</v>
      </c>
      <c r="B2922" t="str">
        <f>"002486"</f>
        <v>002486</v>
      </c>
      <c r="C2922" t="s">
        <v>3513</v>
      </c>
      <c r="D2922" t="str">
        <f>[1]!EM_S_INFO_INDEX_EM(B2922,"1")</f>
        <v>纺织服装</v>
      </c>
      <c r="E2922" s="4">
        <f t="shared" si="45"/>
        <v>43465</v>
      </c>
      <c r="F2922" s="11">
        <f>[1]!EM_S_PQ_PCTCHANGE(B2922,"2018-01-01","2019-12-31","3")</f>
        <v>-39.667896679999998</v>
      </c>
      <c r="G2922" s="11">
        <f>[1]!EM_S_PQ_PCTCHANGE(B2922,"2018-12-31","2019-12-30","1")</f>
        <v>-14.65968586</v>
      </c>
      <c r="H2922" s="11">
        <f>[1]!EM_S_FA_YOY_OR(B2922,E2922)</f>
        <v>-0.46934325469999999</v>
      </c>
      <c r="I2922" s="11">
        <f>[1]!EM_S_FA_GROSSPROFITMARGIN(B2922,E2922)</f>
        <v>20.287491975399998</v>
      </c>
      <c r="J2922" s="11">
        <f>[1]!EM_S_FA_NETPROFITMARGIN(B2922,E2922)</f>
        <v>2.0226296960000001</v>
      </c>
      <c r="K2922" s="10">
        <f>[1]!EM_S_FA_ASSETSTURN(B2922,E2922)</f>
        <v>0.67881601451999996</v>
      </c>
      <c r="L2922" s="12">
        <f>[1]!EM_HKS_VAL_MV(B2922,"2019-12-31","2")</f>
        <v>2720640000</v>
      </c>
      <c r="M2922">
        <f>[1]!EM_S_VAL_PETTMDEDUCTED(B2922,E2922)</f>
        <v>-175.495577824414</v>
      </c>
      <c r="N2922" s="7">
        <f>[1]!EM_S_VAL_PBGOODWILLDEDUCTED(B2922,E2922)</f>
        <v>3.3476088016752699</v>
      </c>
      <c r="O2922" s="7">
        <f>[1]!EM_S_VAL_PS_TTM(B2922,E2922)</f>
        <v>3.6191029247221902</v>
      </c>
      <c r="P2922" s="7">
        <f>[1]!EM_S_VAL_PCF_NCFTTM(B2922,E2922)</f>
        <v>-129.261915467254</v>
      </c>
      <c r="Q2922" s="7">
        <f>[1]!EM_S_VAL_DIVIDENDYIELD2(B2922,E2922,"2019-11-29")</f>
        <v>0</v>
      </c>
      <c r="T2922"/>
      <c r="U2922">
        <f>[1]!EM_S_RATIO_EPS_TTM(B2922,E2922,"1")</f>
        <v>2.112821111778846E-2</v>
      </c>
      <c r="AT2922" s="4" t="str">
        <f>[1]!EM_S_IPO_LISTEDDATE(B2922)</f>
        <v>2010-10-15</v>
      </c>
    </row>
    <row r="2923" spans="1:46">
      <c r="A2923">
        <v>3270</v>
      </c>
      <c r="B2923" t="str">
        <f>"603106"</f>
        <v>603106</v>
      </c>
      <c r="C2923" t="s">
        <v>1375</v>
      </c>
      <c r="D2923" t="str">
        <f>[1]!EM_S_INFO_INDEX_EM(B2923,"1")</f>
        <v>金融</v>
      </c>
      <c r="E2923" s="4">
        <f t="shared" si="45"/>
        <v>43465</v>
      </c>
      <c r="F2923" s="11">
        <f>[1]!EM_S_PQ_PCTCHANGE(B2923,"2018-01-01","2019-12-31","3")</f>
        <v>-48.781186849999997</v>
      </c>
      <c r="G2923" s="11">
        <f>[1]!EM_S_PQ_PCTCHANGE(B2923,"2018-12-31","2019-12-30","1")</f>
        <v>-14.66019417</v>
      </c>
      <c r="H2923" s="11">
        <f>[1]!EM_S_FA_YOY_OR(B2923,E2923)</f>
        <v>-34.352710234699998</v>
      </c>
      <c r="I2923" s="11">
        <f>[1]!EM_S_FA_GROSSPROFITMARGIN(B2923,E2923)</f>
        <v>31.952856531599998</v>
      </c>
      <c r="J2923" s="11">
        <f>[1]!EM_S_FA_NETPROFITMARGIN(B2923,E2923)</f>
        <v>8.2303249125000004</v>
      </c>
      <c r="K2923" s="10">
        <f>[1]!EM_S_FA_ASSETSTURN(B2923,E2923)</f>
        <v>0.41895606184500001</v>
      </c>
      <c r="L2923" s="12">
        <f>[1]!EM_HKS_VAL_MV(B2923,"2019-12-31","2")</f>
        <v>3527524000</v>
      </c>
      <c r="M2923">
        <f>[1]!EM_S_VAL_PETTMDEDUCTED(B2923,E2923)</f>
        <v>64.267662531386506</v>
      </c>
      <c r="N2923" s="7">
        <f>[1]!EM_S_VAL_PBGOODWILLDEDUCTED(B2923,E2923)</f>
        <v>1.9154854483125701</v>
      </c>
      <c r="O2923" s="7">
        <f>[1]!EM_S_VAL_PS_TTM(B2923,E2923)</f>
        <v>2.9390400072573701</v>
      </c>
      <c r="P2923" s="7">
        <f>[1]!EM_S_VAL_PCF_NCFTTM(B2923,E2923)</f>
        <v>-9.6743995389753508</v>
      </c>
      <c r="Q2923" s="7">
        <f>[1]!EM_S_VAL_DIVIDENDYIELD2(B2923,E2923,"2019-11-29")</f>
        <v>0.55674120812842165</v>
      </c>
      <c r="T2923"/>
      <c r="U2923">
        <f>[1]!EM_S_RATIO_EPS_TTM(B2923,E2923,"1")</f>
        <v>0.26035289405844159</v>
      </c>
      <c r="AT2923" s="4" t="str">
        <f>[1]!EM_S_IPO_LISTEDDATE(B2923)</f>
        <v>2017-09-20</v>
      </c>
    </row>
    <row r="2924" spans="1:46">
      <c r="A2924">
        <v>2369</v>
      </c>
      <c r="B2924" t="str">
        <f>"600235"</f>
        <v>600235</v>
      </c>
      <c r="C2924" t="s">
        <v>2666</v>
      </c>
      <c r="D2924" t="str">
        <f>[1]!EM_S_INFO_INDEX_EM(B2924,"1")</f>
        <v>轻工制造</v>
      </c>
      <c r="E2924" s="4">
        <f t="shared" si="45"/>
        <v>43465</v>
      </c>
      <c r="F2924" s="11">
        <f>[1]!EM_S_PQ_PCTCHANGE(B2924,"2018-01-01","2019-12-31","3")</f>
        <v>-11.560301040000001</v>
      </c>
      <c r="G2924" s="11">
        <f>[1]!EM_S_PQ_PCTCHANGE(B2924,"2018-12-31","2019-12-30","1")</f>
        <v>-14.72491909</v>
      </c>
      <c r="H2924" s="11">
        <f>[1]!EM_S_FA_YOY_OR(B2924,E2924)</f>
        <v>-5.6960759019999996</v>
      </c>
      <c r="I2924" s="11">
        <f>[1]!EM_S_FA_GROSSPROFITMARGIN(B2924,E2924)</f>
        <v>14.484108067699999</v>
      </c>
      <c r="J2924" s="11">
        <f>[1]!EM_S_FA_NETPROFITMARGIN(B2924,E2924)</f>
        <v>0.58276916209999996</v>
      </c>
      <c r="K2924" s="10">
        <f>[1]!EM_S_FA_ASSETSTURN(B2924,E2924)</f>
        <v>0.68753405970500003</v>
      </c>
      <c r="L2924" s="12">
        <f>[1]!EM_HKS_VAL_MV(B2924,"2019-12-31","2")</f>
        <v>2037540000</v>
      </c>
      <c r="M2924">
        <f>[1]!EM_S_VAL_PETTMDEDUCTED(B2924,E2924)</f>
        <v>118.650444459927</v>
      </c>
      <c r="N2924" s="7">
        <f>[1]!EM_S_VAL_PBGOODWILLDEDUCTED(B2924,E2924)</f>
        <v>1.6871023238082601</v>
      </c>
      <c r="O2924" s="7">
        <f>[1]!EM_S_VAL_PS_TTM(B2924,E2924)</f>
        <v>1.3942965452801499</v>
      </c>
      <c r="P2924" s="7">
        <f>[1]!EM_S_VAL_PCF_NCFTTM(B2924,E2924)</f>
        <v>-338.78207047175903</v>
      </c>
      <c r="Q2924" s="7">
        <f>[1]!EM_S_VAL_DIVIDENDYIELD2(B2924,E2924,"2019-11-29")</f>
        <v>0.10989010989010989</v>
      </c>
      <c r="T2924"/>
      <c r="U2924">
        <f>[1]!EM_S_RATIO_EPS_TTM(B2924,E2924,"1")</f>
        <v>2.853407634500427E-2</v>
      </c>
      <c r="AT2924" s="4" t="str">
        <f>[1]!EM_S_IPO_LISTEDDATE(B2924)</f>
        <v>2000-06-15</v>
      </c>
    </row>
    <row r="2925" spans="1:46">
      <c r="A2925">
        <v>3024</v>
      </c>
      <c r="B2925" t="str">
        <f>"601003"</f>
        <v>601003</v>
      </c>
      <c r="C2925" t="s">
        <v>60</v>
      </c>
      <c r="D2925" t="str">
        <f>[1]!EM_S_INFO_INDEX_EM(B2925,"1")</f>
        <v>钢铁</v>
      </c>
      <c r="E2925" s="4">
        <f t="shared" si="45"/>
        <v>43465</v>
      </c>
      <c r="F2925" s="11">
        <f>[1]!EM_S_PQ_PCTCHANGE(B2925,"2018-01-01","2019-12-31","3")</f>
        <v>-16.852237689999999</v>
      </c>
      <c r="G2925" s="11">
        <f>[1]!EM_S_PQ_PCTCHANGE(B2925,"2018-12-31","2019-12-30","1")</f>
        <v>-14.764079150000001</v>
      </c>
      <c r="H2925" s="11">
        <f>[1]!EM_S_FA_YOY_OR(B2925,E2925)</f>
        <v>13.9420977482</v>
      </c>
      <c r="I2925" s="11">
        <f>[1]!EM_S_FA_GROSSPROFITMARGIN(B2925,E2925)</f>
        <v>14.394534563600001</v>
      </c>
      <c r="J2925" s="11">
        <f>[1]!EM_S_FA_NETPROFITMARGIN(B2925,E2925)</f>
        <v>9.7351441767000004</v>
      </c>
      <c r="K2925" s="10">
        <f>[1]!EM_S_FA_ASSETSTURN(B2925,E2925)</f>
        <v>1.9719456510169999</v>
      </c>
      <c r="L2925" s="12">
        <f>[1]!EM_HKS_VAL_MV(B2925,"2019-12-31","2")</f>
        <v>14479781580</v>
      </c>
      <c r="M2925">
        <f>[1]!EM_S_VAL_PETTMDEDUCTED(B2925,E2925)</f>
        <v>3.8066293367102699</v>
      </c>
      <c r="N2925" s="7">
        <f>[1]!EM_S_VAL_PBGOODWILLDEDUCTED(B2925,E2925)</f>
        <v>1.5992209791610801</v>
      </c>
      <c r="O2925" s="7">
        <f>[1]!EM_S_VAL_PS_TTM(B2925,E2925)</f>
        <v>0.36530819665290698</v>
      </c>
      <c r="P2925" s="7">
        <f>[1]!EM_S_VAL_PCF_NCFTTM(B2925,E2925)</f>
        <v>6.7310666414983098</v>
      </c>
      <c r="Q2925" s="7">
        <f>[1]!EM_S_VAL_DIVIDENDYIELD2(B2925,E2925,"2019-11-29")</f>
        <v>11.928429423459244</v>
      </c>
      <c r="U2925">
        <f>[1]!EM_S_RATIO_EPS_TTM(B2925,E2925,"1")</f>
        <v>1.7987010601518687</v>
      </c>
      <c r="AT2925" s="4" t="str">
        <f>[1]!EM_S_IPO_LISTEDDATE(B2925)</f>
        <v>2007-02-27</v>
      </c>
    </row>
    <row r="2926" spans="1:46">
      <c r="A2926">
        <v>3574</v>
      </c>
      <c r="B2926" t="str">
        <f>"603876"</f>
        <v>603876</v>
      </c>
      <c r="C2926" t="s">
        <v>1079</v>
      </c>
      <c r="D2926" t="str">
        <f>[1]!EM_S_INFO_INDEX_EM(B2926,"1")</f>
        <v>有色金属</v>
      </c>
      <c r="E2926" s="4">
        <f t="shared" si="45"/>
        <v>43465</v>
      </c>
      <c r="F2926" s="11">
        <f>[1]!EM_S_PQ_PCTCHANGE(B2926,"2018-01-01","2019-12-31","3")</f>
        <v>18.286731580000001</v>
      </c>
      <c r="G2926" s="11">
        <f>[1]!EM_S_PQ_PCTCHANGE(B2926,"2018-12-31","2019-12-30","1")</f>
        <v>-14.778856530000001</v>
      </c>
      <c r="H2926" s="11">
        <f>[1]!EM_S_FA_YOY_OR(B2926,E2926)</f>
        <v>11.857894378099999</v>
      </c>
      <c r="I2926" s="11">
        <f>[1]!EM_S_FA_GROSSPROFITMARGIN(B2926,E2926)</f>
        <v>9.1107159032999991</v>
      </c>
      <c r="J2926" s="11">
        <f>[1]!EM_S_FA_NETPROFITMARGIN(B2926,E2926)</f>
        <v>2.7462845160999998</v>
      </c>
      <c r="K2926" s="10">
        <f>[1]!EM_S_FA_ASSETSTURN(B2926,E2926)</f>
        <v>1.2462913071020001</v>
      </c>
      <c r="L2926" s="12">
        <f>[1]!EM_HKS_VAL_MV(B2926,"2019-12-31","2")</f>
        <v>6877281762.7799997</v>
      </c>
      <c r="M2926">
        <f>[1]!EM_S_VAL_PETTMDEDUCTED(B2926,E2926)</f>
        <v>27.6522020118054</v>
      </c>
      <c r="N2926" s="7">
        <f>[1]!EM_S_VAL_PBGOODWILLDEDUCTED(B2926,E2926)</f>
        <v>2.35742058571901</v>
      </c>
      <c r="O2926" s="7">
        <f>[1]!EM_S_VAL_PS_TTM(B2926,E2926)</f>
        <v>0.77725274066775996</v>
      </c>
      <c r="P2926" s="7">
        <f>[1]!EM_S_VAL_PCF_NCFTTM(B2926,E2926)</f>
        <v>33.440388499284303</v>
      </c>
      <c r="Q2926" s="7">
        <f>[1]!EM_S_VAL_DIVIDENDYIELD2(B2926,E2926,"2019-11-29")</f>
        <v>0.75987841945288759</v>
      </c>
      <c r="T2926"/>
      <c r="U2926">
        <f>[1]!EM_S_RATIO_EPS_TTM(B2926,E2926,"1")</f>
        <v>0.64293525039534882</v>
      </c>
      <c r="AT2926" s="4" t="str">
        <f>[1]!EM_S_IPO_LISTEDDATE(B2926)</f>
        <v>2018-04-18</v>
      </c>
    </row>
    <row r="2927" spans="1:46">
      <c r="A2927">
        <v>3590</v>
      </c>
      <c r="B2927" t="str">
        <f>"603897"</f>
        <v>603897</v>
      </c>
      <c r="C2927" t="s">
        <v>283</v>
      </c>
      <c r="D2927" t="str">
        <f>[1]!EM_S_INFO_INDEX_EM(B2927,"1")</f>
        <v>电气设备</v>
      </c>
      <c r="E2927" s="4">
        <f t="shared" si="45"/>
        <v>43465</v>
      </c>
      <c r="F2927" s="11">
        <f>[1]!EM_S_PQ_PCTCHANGE(B2927,"2018-01-01","2019-12-31","3")</f>
        <v>9.7944235099999997</v>
      </c>
      <c r="G2927" s="11">
        <f>[1]!EM_S_PQ_PCTCHANGE(B2927,"2018-12-31","2019-12-30","1")</f>
        <v>-14.91882405</v>
      </c>
      <c r="H2927" s="11">
        <f>[1]!EM_S_FA_YOY_OR(B2927,E2927)</f>
        <v>8.6283852157999998</v>
      </c>
      <c r="I2927" s="11">
        <f>[1]!EM_S_FA_GROSSPROFITMARGIN(B2927,E2927)</f>
        <v>7.4922749935999997</v>
      </c>
      <c r="J2927" s="11">
        <f>[1]!EM_S_FA_NETPROFITMARGIN(B2927,E2927)</f>
        <v>3.6308999397999999</v>
      </c>
      <c r="K2927" s="10">
        <f>[1]!EM_S_FA_ASSETSTURN(B2927,E2927)</f>
        <v>3.1100402579919999</v>
      </c>
      <c r="L2927" s="12">
        <f>[1]!EM_HKS_VAL_MV(B2927,"2019-12-31","2")</f>
        <v>3434231839.5</v>
      </c>
      <c r="M2927">
        <f>[1]!EM_S_VAL_PETTMDEDUCTED(B2927,E2927)</f>
        <v>22.130498458126201</v>
      </c>
      <c r="N2927" s="7">
        <f>[1]!EM_S_VAL_PBGOODWILLDEDUCTED(B2927,E2927)</f>
        <v>2.4185878228353599</v>
      </c>
      <c r="O2927" s="7">
        <f>[1]!EM_S_VAL_PS_TTM(B2927,E2927)</f>
        <v>0.80274244806633899</v>
      </c>
      <c r="P2927" s="7">
        <f>[1]!EM_S_VAL_PCF_NCFTTM(B2927,E2927)</f>
        <v>50.178463679094698</v>
      </c>
      <c r="Q2927" s="7">
        <f>[1]!EM_S_VAL_DIVIDENDYIELD2(B2927,E2927,"2019-11-29")</f>
        <v>0.86805072872639133</v>
      </c>
      <c r="T2927"/>
      <c r="U2927">
        <f>[1]!EM_S_RATIO_EPS_TTM(B2927,E2927,"1")</f>
        <v>1.0134508950112107</v>
      </c>
      <c r="AT2927" s="4" t="str">
        <f>[1]!EM_S_IPO_LISTEDDATE(B2927)</f>
        <v>2018-04-10</v>
      </c>
    </row>
    <row r="2928" spans="1:46">
      <c r="A2928">
        <v>2279</v>
      </c>
      <c r="B2928" t="str">
        <f>"600133"</f>
        <v>600133</v>
      </c>
      <c r="C2928" t="s">
        <v>2430</v>
      </c>
      <c r="D2928" t="str">
        <f>[1]!EM_S_INFO_INDEX_EM(B2928,"1")</f>
        <v>建筑</v>
      </c>
      <c r="E2928" s="4">
        <f t="shared" si="45"/>
        <v>43465</v>
      </c>
      <c r="F2928" s="11">
        <f>[1]!EM_S_PQ_PCTCHANGE(B2928,"2018-01-01","2019-12-31","3")</f>
        <v>-41.066757969999998</v>
      </c>
      <c r="G2928" s="11">
        <f>[1]!EM_S_PQ_PCTCHANGE(B2928,"2018-12-31","2019-12-30","1")</f>
        <v>-14.920634919999999</v>
      </c>
      <c r="H2928" s="11">
        <f>[1]!EM_S_FA_YOY_OR(B2928,E2928)</f>
        <v>13.8819423582</v>
      </c>
      <c r="I2928" s="11">
        <f>[1]!EM_S_FA_GROSSPROFITMARGIN(B2928,E2928)</f>
        <v>15.3942583593</v>
      </c>
      <c r="J2928" s="11">
        <f>[1]!EM_S_FA_NETPROFITMARGIN(B2928,E2928)</f>
        <v>4.8667973696000004</v>
      </c>
      <c r="K2928" s="10">
        <f>[1]!EM_S_FA_ASSETSTURN(B2928,E2928)</f>
        <v>0.374120038514</v>
      </c>
      <c r="L2928" s="12">
        <f>[1]!EM_HKS_VAL_MV(B2928,"2019-12-31","2")</f>
        <v>4040381341.04</v>
      </c>
      <c r="M2928">
        <f>[1]!EM_S_VAL_PETTMDEDUCTED(B2928,E2928)</f>
        <v>12.612216788811301</v>
      </c>
      <c r="N2928" s="7">
        <f>[1]!EM_S_VAL_PBGOODWILLDEDUCTED(B2928,E2928)</f>
        <v>1.21455318658903</v>
      </c>
      <c r="O2928" s="7">
        <f>[1]!EM_S_VAL_PS_TTM(B2928,E2928)</f>
        <v>0.51611741184559401</v>
      </c>
      <c r="P2928" s="7">
        <f>[1]!EM_S_VAL_PCF_NCFTTM(B2928,E2928)</f>
        <v>-28.845370925375502</v>
      </c>
      <c r="Q2928" s="7">
        <f>[1]!EM_S_VAL_DIVIDENDYIELD2(B2928,E2928,"2019-11-29")</f>
        <v>0.4738309654507486</v>
      </c>
      <c r="T2928"/>
      <c r="U2928">
        <f>[1]!EM_S_RATIO_EPS_TTM(B2928,E2928,"1")</f>
        <v>0.46575381940268329</v>
      </c>
      <c r="AT2928" s="4" t="str">
        <f>[1]!EM_S_IPO_LISTEDDATE(B2928)</f>
        <v>1998-02-12</v>
      </c>
    </row>
    <row r="2929" spans="1:46">
      <c r="A2929">
        <v>3087</v>
      </c>
      <c r="B2929" t="str">
        <f>"601229"</f>
        <v>601229</v>
      </c>
      <c r="C2929" t="s">
        <v>645</v>
      </c>
      <c r="D2929" t="str">
        <f>[1]!EM_S_INFO_INDEX_EM(B2929,"1")</f>
        <v>金融</v>
      </c>
      <c r="E2929" s="4">
        <f t="shared" si="45"/>
        <v>43465</v>
      </c>
      <c r="F2929" s="11">
        <f>[1]!EM_S_PQ_PCTCHANGE(B2929,"2018-01-01","2019-12-31","3")</f>
        <v>30.68519371</v>
      </c>
      <c r="G2929" s="11">
        <f>[1]!EM_S_PQ_PCTCHANGE(B2929,"2018-12-31","2019-12-30","1")</f>
        <v>-14.92403932</v>
      </c>
      <c r="H2929" s="11">
        <f>[1]!EM_S_FA_YOY_OR(B2929,E2929)</f>
        <v>32.491558111899998</v>
      </c>
      <c r="I2929" s="11">
        <f>[1]!EM_S_FA_GROSSPROFITMARGIN(B2929,E2929)</f>
        <v>0</v>
      </c>
      <c r="J2929" s="11">
        <f>[1]!EM_S_FA_NETPROFITMARGIN(B2929,E2929)</f>
        <v>41.168219739900003</v>
      </c>
      <c r="K2929" s="10">
        <f>[1]!EM_S_FA_ASSETSTURN(B2929,E2929)</f>
        <v>0</v>
      </c>
      <c r="L2929" s="12">
        <f>[1]!EM_HKS_VAL_MV(B2929,"2019-12-31","2")</f>
        <v>134819957363</v>
      </c>
      <c r="M2929">
        <f>[1]!EM_S_VAL_PETTMDEDUCTED(B2929,E2929)</f>
        <v>6.8653476298169904</v>
      </c>
      <c r="N2929" s="7">
        <f>[1]!EM_S_VAL_PBGOODWILLDEDUCTED(B2929,E2929)</f>
        <v>0.86531251888674099</v>
      </c>
      <c r="O2929" s="7">
        <f>[1]!EM_S_VAL_PS_TTM(B2929,E2929)</f>
        <v>3.0323861930485401</v>
      </c>
      <c r="P2929" s="7">
        <f>[1]!EM_S_VAL_PCF_NCFTTM(B2929,E2929)</f>
        <v>-27.0820033171102</v>
      </c>
      <c r="Q2929" s="7">
        <f>[1]!EM_S_VAL_DIVIDENDYIELD2(B2929,E2929,"2019-11-29")</f>
        <v>3.7666359755587178</v>
      </c>
      <c r="T2929"/>
      <c r="U2929">
        <f>[1]!EM_S_RATIO_EPS_TTM(B2929,E2929,"1")</f>
        <v>1.6502449328103634</v>
      </c>
      <c r="AT2929" s="4" t="str">
        <f>[1]!EM_S_IPO_LISTEDDATE(B2929)</f>
        <v>2016-11-16</v>
      </c>
    </row>
    <row r="2930" spans="1:46">
      <c r="A2930">
        <v>517</v>
      </c>
      <c r="B2930" t="str">
        <f>"002006"</f>
        <v>002006</v>
      </c>
      <c r="C2930" t="s">
        <v>2063</v>
      </c>
      <c r="D2930" t="str">
        <f>[1]!EM_S_INFO_INDEX_EM(B2930,"1")</f>
        <v>机械设备</v>
      </c>
      <c r="E2930" s="4">
        <f t="shared" si="45"/>
        <v>43465</v>
      </c>
      <c r="F2930" s="11">
        <f>[1]!EM_S_PQ_PCTCHANGE(B2930,"2018-01-01","2019-12-31","3")</f>
        <v>-34.88813038</v>
      </c>
      <c r="G2930" s="11">
        <f>[1]!EM_S_PQ_PCTCHANGE(B2930,"2018-12-31","2019-12-30","1")</f>
        <v>-14.981949459999999</v>
      </c>
      <c r="H2930" s="11">
        <f>[1]!EM_S_FA_YOY_OR(B2930,E2930)</f>
        <v>5.6772195390000002</v>
      </c>
      <c r="I2930" s="11">
        <f>[1]!EM_S_FA_GROSSPROFITMARGIN(B2930,E2930)</f>
        <v>20.1541437596</v>
      </c>
      <c r="J2930" s="11">
        <f>[1]!EM_S_FA_NETPROFITMARGIN(B2930,E2930)</f>
        <v>0.66590317450000003</v>
      </c>
      <c r="K2930" s="10">
        <f>[1]!EM_S_FA_ASSETSTURN(B2930,E2930)</f>
        <v>0.54213288729300002</v>
      </c>
      <c r="L2930" s="12">
        <f>[1]!EM_HKS_VAL_MV(B2930,"2019-12-31","2")</f>
        <v>2121045600</v>
      </c>
      <c r="M2930">
        <f>[1]!EM_S_VAL_PETTMDEDUCTED(B2930,E2930)</f>
        <v>53.443885976232004</v>
      </c>
      <c r="N2930" s="7">
        <f>[1]!EM_S_VAL_PBGOODWILLDEDUCTED(B2930,E2930)</f>
        <v>2.4644855423483798</v>
      </c>
      <c r="O2930" s="7">
        <f>[1]!EM_S_VAL_PS_TTM(B2930,E2930)</f>
        <v>2.2371792605735101</v>
      </c>
      <c r="P2930" s="7">
        <f>[1]!EM_S_VAL_PCF_NCFTTM(B2930,E2930)</f>
        <v>35.971928757983498</v>
      </c>
      <c r="Q2930" s="7">
        <f>[1]!EM_S_VAL_DIVIDENDYIELD2(B2930,E2930,"2019-11-29")</f>
        <v>0</v>
      </c>
      <c r="T2930"/>
      <c r="U2930">
        <f>[1]!EM_S_RATIO_EPS_TTM(B2930,E2930,"1")</f>
        <v>1.2593684352755076E-2</v>
      </c>
      <c r="AT2930" s="4" t="str">
        <f>[1]!EM_S_IPO_LISTEDDATE(B2930)</f>
        <v>2004-06-25</v>
      </c>
    </row>
    <row r="2931" spans="1:46">
      <c r="A2931">
        <v>1960</v>
      </c>
      <c r="B2931" t="str">
        <f>"300536"</f>
        <v>300536</v>
      </c>
      <c r="C2931" t="s">
        <v>2368</v>
      </c>
      <c r="D2931" t="str">
        <f>[1]!EM_S_INFO_INDEX_EM(B2931,"1")</f>
        <v>建筑</v>
      </c>
      <c r="E2931" s="4">
        <f t="shared" si="45"/>
        <v>43465</v>
      </c>
      <c r="F2931" s="11">
        <f>[1]!EM_S_PQ_PCTCHANGE(B2931,"2018-01-01","2019-12-31","3")</f>
        <v>-26.110280209999999</v>
      </c>
      <c r="G2931" s="11">
        <f>[1]!EM_S_PQ_PCTCHANGE(B2931,"2018-12-31","2019-12-30","1")</f>
        <v>-15.03496503</v>
      </c>
      <c r="H2931" s="11">
        <f>[1]!EM_S_FA_YOY_OR(B2931,E2931)</f>
        <v>8.3866915215999995</v>
      </c>
      <c r="I2931" s="11">
        <f>[1]!EM_S_FA_GROSSPROFITMARGIN(B2931,E2931)</f>
        <v>28.3553886258</v>
      </c>
      <c r="J2931" s="11">
        <f>[1]!EM_S_FA_NETPROFITMARGIN(B2931,E2931)</f>
        <v>11.351342065400001</v>
      </c>
      <c r="K2931" s="10">
        <f>[1]!EM_S_FA_ASSETSTURN(B2931,E2931)</f>
        <v>0.41849124256800002</v>
      </c>
      <c r="L2931" s="12">
        <f>[1]!EM_HKS_VAL_MV(B2931,"2019-12-31","2")</f>
        <v>2182063709.52</v>
      </c>
      <c r="M2931">
        <f>[1]!EM_S_VAL_PETTMDEDUCTED(B2931,E2931)</f>
        <v>27.566166441369301</v>
      </c>
      <c r="N2931" s="7">
        <f>[1]!EM_S_VAL_PBGOODWILLDEDUCTED(B2931,E2931)</f>
        <v>2.5212733125650701</v>
      </c>
      <c r="O2931" s="7">
        <f>[1]!EM_S_VAL_PS_TTM(B2931,E2931)</f>
        <v>3.2098250185152701</v>
      </c>
      <c r="P2931" s="7">
        <f>[1]!EM_S_VAL_PCF_NCFTTM(B2931,E2931)</f>
        <v>52.3758262765244</v>
      </c>
      <c r="Q2931" s="7">
        <f>[1]!EM_S_VAL_DIVIDENDYIELD2(B2931,E2931,"2019-11-29")</f>
        <v>0.5247813415551974</v>
      </c>
      <c r="T2931"/>
      <c r="U2931">
        <f>[1]!EM_S_RATIO_EPS_TTM(B2931,E2931,"1")</f>
        <v>0.31174748132261842</v>
      </c>
      <c r="AT2931" s="4" t="str">
        <f>[1]!EM_S_IPO_LISTEDDATE(B2931)</f>
        <v>2016-09-20</v>
      </c>
    </row>
    <row r="2932" spans="1:46">
      <c r="A2932">
        <v>2452</v>
      </c>
      <c r="B2932" t="str">
        <f>"600327"</f>
        <v>600327</v>
      </c>
      <c r="C2932" t="s">
        <v>405</v>
      </c>
      <c r="D2932" t="str">
        <f>[1]!EM_S_INFO_INDEX_EM(B2932,"1")</f>
        <v>交运设备</v>
      </c>
      <c r="E2932" s="4">
        <f t="shared" si="45"/>
        <v>43465</v>
      </c>
      <c r="F2932" s="11">
        <f>[1]!EM_S_PQ_PCTCHANGE(B2932,"2018-01-01","2019-12-31","3")</f>
        <v>-21.61903302</v>
      </c>
      <c r="G2932" s="11">
        <f>[1]!EM_S_PQ_PCTCHANGE(B2932,"2018-12-31","2019-12-30","1")</f>
        <v>-15.048543690000001</v>
      </c>
      <c r="H2932" s="11">
        <f>[1]!EM_S_FA_YOY_OR(B2932,E2932)</f>
        <v>-0.152806258</v>
      </c>
      <c r="I2932" s="11">
        <f>[1]!EM_S_FA_GROSSPROFITMARGIN(B2932,E2932)</f>
        <v>12.379305517600001</v>
      </c>
      <c r="J2932" s="11">
        <f>[1]!EM_S_FA_NETPROFITMARGIN(B2932,E2932)</f>
        <v>3.2833113750999998</v>
      </c>
      <c r="K2932" s="10">
        <f>[1]!EM_S_FA_ASSETSTURN(B2932,E2932)</f>
        <v>1.844676285157</v>
      </c>
      <c r="L2932" s="12">
        <f>[1]!EM_HKS_VAL_MV(B2932,"2019-12-31","2")</f>
        <v>3114423903.3600001</v>
      </c>
      <c r="M2932">
        <f>[1]!EM_S_VAL_PETTMDEDUCTED(B2932,E2932)</f>
        <v>11.4336239634229</v>
      </c>
      <c r="N2932" s="7">
        <f>[1]!EM_S_VAL_PBGOODWILLDEDUCTED(B2932,E2932)</f>
        <v>1.1318587014582699</v>
      </c>
      <c r="O2932" s="7">
        <f>[1]!EM_S_VAL_PS_TTM(B2932,E2932)</f>
        <v>0.32059931087684701</v>
      </c>
      <c r="P2932" s="7">
        <f>[1]!EM_S_VAL_PCF_NCFTTM(B2932,E2932)</f>
        <v>-37.580029212059699</v>
      </c>
      <c r="Q2932" s="7">
        <f>[1]!EM_S_VAL_DIVIDENDYIELD2(B2932,E2932,"2019-11-29")</f>
        <v>4.9455984174085064</v>
      </c>
      <c r="T2932"/>
      <c r="U2932">
        <f>[1]!EM_S_RATIO_EPS_TTM(B2932,E2932,"1")</f>
        <v>0.39946217238270199</v>
      </c>
      <c r="AT2932" s="4" t="str">
        <f>[1]!EM_S_IPO_LISTEDDATE(B2932)</f>
        <v>2002-06-25</v>
      </c>
    </row>
    <row r="2933" spans="1:46">
      <c r="A2933">
        <v>2409</v>
      </c>
      <c r="B2933" t="str">
        <f>"600280"</f>
        <v>600280</v>
      </c>
      <c r="C2933" t="s">
        <v>1277</v>
      </c>
      <c r="D2933" t="str">
        <f>[1]!EM_S_INFO_INDEX_EM(B2933,"1")</f>
        <v>商贸零售</v>
      </c>
      <c r="E2933" s="4">
        <f t="shared" si="45"/>
        <v>43465</v>
      </c>
      <c r="F2933" s="11">
        <f>[1]!EM_S_PQ_PCTCHANGE(B2933,"2018-01-01","2019-12-31","3")</f>
        <v>-64.635752260000004</v>
      </c>
      <c r="G2933" s="11">
        <f>[1]!EM_S_PQ_PCTCHANGE(B2933,"2018-12-31","2019-12-30","1")</f>
        <v>-15.07692308</v>
      </c>
      <c r="H2933" s="11">
        <f>[1]!EM_S_FA_YOY_OR(B2933,E2933)</f>
        <v>-2.4068735006000002</v>
      </c>
      <c r="I2933" s="11">
        <f>[1]!EM_S_FA_GROSSPROFITMARGIN(B2933,E2933)</f>
        <v>19.774345153100001</v>
      </c>
      <c r="J2933" s="11">
        <f>[1]!EM_S_FA_NETPROFITMARGIN(B2933,E2933)</f>
        <v>-4.2061700073999999</v>
      </c>
      <c r="K2933" s="10">
        <f>[1]!EM_S_FA_ASSETSTURN(B2933,E2933)</f>
        <v>0.49177713572300003</v>
      </c>
      <c r="L2933" s="12">
        <f>[1]!EM_HKS_VAL_MV(B2933,"2019-12-31","2")</f>
        <v>3192370944.1599998</v>
      </c>
      <c r="M2933">
        <f>[1]!EM_S_VAL_PETTMDEDUCTED(B2933,E2933)</f>
        <v>101.617232459509</v>
      </c>
      <c r="N2933" s="7">
        <f>[1]!EM_S_VAL_PBGOODWILLDEDUCTED(B2933,E2933)</f>
        <v>2.7007095611715002</v>
      </c>
      <c r="O2933" s="7">
        <f>[1]!EM_S_VAL_PS_TTM(B2933,E2933)</f>
        <v>0.46927005321740001</v>
      </c>
      <c r="P2933" s="7">
        <f>[1]!EM_S_VAL_PCF_NCFTTM(B2933,E2933)</f>
        <v>12.5749189222871</v>
      </c>
      <c r="Q2933" s="7">
        <f>[1]!EM_S_VAL_DIVIDENDYIELD2(B2933,E2933,"2019-11-29")</f>
        <v>0</v>
      </c>
      <c r="T2933"/>
      <c r="U2933">
        <f>[1]!EM_S_RATIO_EPS_TTM(B2933,E2933,"1")</f>
        <v>-0.29640324661324052</v>
      </c>
      <c r="AT2933" s="4" t="str">
        <f>[1]!EM_S_IPO_LISTEDDATE(B2933)</f>
        <v>2000-09-26</v>
      </c>
    </row>
    <row r="2934" spans="1:46">
      <c r="A2934">
        <v>1245</v>
      </c>
      <c r="B2934" t="str">
        <f>"002735"</f>
        <v>002735</v>
      </c>
      <c r="C2934" t="s">
        <v>2005</v>
      </c>
      <c r="D2934" t="str">
        <f>[1]!EM_S_INFO_INDEX_EM(B2934,"1")</f>
        <v>轻工制造</v>
      </c>
      <c r="E2934" s="4">
        <f t="shared" si="45"/>
        <v>43465</v>
      </c>
      <c r="F2934" s="11">
        <f>[1]!EM_S_PQ_PCTCHANGE(B2934,"2018-01-01","2019-12-31","3")</f>
        <v>-2.1028825900000001</v>
      </c>
      <c r="G2934" s="11">
        <f>[1]!EM_S_PQ_PCTCHANGE(B2934,"2018-12-31","2019-12-30","1")</f>
        <v>-15.0812065</v>
      </c>
      <c r="H2934" s="11">
        <f>[1]!EM_S_FA_YOY_OR(B2934,E2934)</f>
        <v>52.409554691300002</v>
      </c>
      <c r="I2934" s="11">
        <f>[1]!EM_S_FA_GROSSPROFITMARGIN(B2934,E2934)</f>
        <v>24.360559610599999</v>
      </c>
      <c r="J2934" s="11">
        <f>[1]!EM_S_FA_NETPROFITMARGIN(B2934,E2934)</f>
        <v>6.3093074569000001</v>
      </c>
      <c r="K2934" s="10">
        <f>[1]!EM_S_FA_ASSETSTURN(B2934,E2934)</f>
        <v>0.994615307803</v>
      </c>
      <c r="L2934" s="12">
        <f>[1]!EM_HKS_VAL_MV(B2934,"2019-12-31","2")</f>
        <v>2604297447.5</v>
      </c>
      <c r="M2934">
        <f>[1]!EM_S_VAL_PETTMDEDUCTED(B2934,E2934)</f>
        <v>55.230588514563898</v>
      </c>
      <c r="N2934" s="7">
        <f>[1]!EM_S_VAL_PBGOODWILLDEDUCTED(B2934,E2934)</f>
        <v>3.5448423791696801</v>
      </c>
      <c r="O2934" s="7">
        <f>[1]!EM_S_VAL_PS_TTM(B2934,E2934)</f>
        <v>2.4026398818680001</v>
      </c>
      <c r="P2934" s="7">
        <f>[1]!EM_S_VAL_PCF_NCFTTM(B2934,E2934)</f>
        <v>-32.130538796821298</v>
      </c>
      <c r="Q2934" s="7">
        <f>[1]!EM_S_VAL_DIVIDENDYIELD2(B2934,E2934,"2019-11-29")</f>
        <v>0.83475419153168495</v>
      </c>
      <c r="T2934"/>
      <c r="U2934">
        <f>[1]!EM_S_RATIO_EPS_TTM(B2934,E2934,"1")</f>
        <v>0.59082080549582716</v>
      </c>
      <c r="AT2934" s="4" t="str">
        <f>[1]!EM_S_IPO_LISTEDDATE(B2934)</f>
        <v>2014-12-03</v>
      </c>
    </row>
    <row r="2935" spans="1:46">
      <c r="A2935">
        <v>1298</v>
      </c>
      <c r="B2935" t="str">
        <f>"002792"</f>
        <v>002792</v>
      </c>
      <c r="C2935" t="s">
        <v>3293</v>
      </c>
      <c r="D2935" t="str">
        <f>[1]!EM_S_INFO_INDEX_EM(B2935,"1")</f>
        <v>信息技术</v>
      </c>
      <c r="E2935" s="4">
        <f t="shared" si="45"/>
        <v>43465</v>
      </c>
      <c r="F2935" s="11">
        <f>[1]!EM_S_PQ_PCTCHANGE(B2935,"2018-01-01","2019-12-31","3")</f>
        <v>13.12208804</v>
      </c>
      <c r="G2935" s="11">
        <f>[1]!EM_S_PQ_PCTCHANGE(B2935,"2018-12-31","2019-12-30","1")</f>
        <v>-15.088177659999999</v>
      </c>
      <c r="H2935" s="11">
        <f>[1]!EM_S_FA_YOY_OR(B2935,E2935)</f>
        <v>-17.615505631000001</v>
      </c>
      <c r="I2935" s="11">
        <f>[1]!EM_S_FA_GROSSPROFITMARGIN(B2935,E2935)</f>
        <v>27.829002334999998</v>
      </c>
      <c r="J2935" s="11">
        <f>[1]!EM_S_FA_NETPROFITMARGIN(B2935,E2935)</f>
        <v>4.0181885793000003</v>
      </c>
      <c r="K2935" s="10">
        <f>[1]!EM_S_FA_ASSETSTURN(B2935,E2935)</f>
        <v>0.43296799767799998</v>
      </c>
      <c r="L2935" s="12">
        <f>[1]!EM_HKS_VAL_MV(B2935,"2019-12-31","2")</f>
        <v>9027090144</v>
      </c>
      <c r="M2935">
        <f>[1]!EM_S_VAL_PETTMDEDUCTED(B2935,E2935)</f>
        <v>225.48558970821199</v>
      </c>
      <c r="N2935" s="7">
        <f>[1]!EM_S_VAL_PBGOODWILLDEDUCTED(B2935,E2935)</f>
        <v>3.67897047692081</v>
      </c>
      <c r="O2935" s="7">
        <f>[1]!EM_S_VAL_PS_TTM(B2935,E2935)</f>
        <v>5.2006231856160596</v>
      </c>
      <c r="P2935" s="7">
        <f>[1]!EM_S_VAL_PCF_NCFTTM(B2935,E2935)</f>
        <v>-12.934799693127699</v>
      </c>
      <c r="Q2935" s="7">
        <f>[1]!EM_S_VAL_DIVIDENDYIELD2(B2935,E2935,"2019-11-29")</f>
        <v>0.10973936899862827</v>
      </c>
      <c r="T2935"/>
      <c r="U2935">
        <f>[1]!EM_S_RATIO_EPS_TTM(B2935,E2935,"1")</f>
        <v>0.19724337099315004</v>
      </c>
      <c r="AT2935" s="4" t="str">
        <f>[1]!EM_S_IPO_LISTEDDATE(B2935)</f>
        <v>2016-03-28</v>
      </c>
    </row>
    <row r="2936" spans="1:46">
      <c r="A2936">
        <v>942</v>
      </c>
      <c r="B2936" t="str">
        <f>"002431"</f>
        <v>002431</v>
      </c>
      <c r="C2936" t="s">
        <v>3044</v>
      </c>
      <c r="D2936" t="str">
        <f>[1]!EM_S_INFO_INDEX_EM(B2936,"1")</f>
        <v>建筑</v>
      </c>
      <c r="E2936" s="4">
        <f t="shared" si="45"/>
        <v>43465</v>
      </c>
      <c r="F2936" s="11">
        <f>[1]!EM_S_PQ_PCTCHANGE(B2936,"2018-01-01","2019-12-31","3")</f>
        <v>-63.528138480000003</v>
      </c>
      <c r="G2936" s="11">
        <f>[1]!EM_S_PQ_PCTCHANGE(B2936,"2018-12-31","2019-12-30","1")</f>
        <v>-15.12605042</v>
      </c>
      <c r="H2936" s="11">
        <f>[1]!EM_S_FA_YOY_OR(B2936,E2936)</f>
        <v>1.4380930645000001</v>
      </c>
      <c r="I2936" s="11">
        <f>[1]!EM_S_FA_GROSSPROFITMARGIN(B2936,E2936)</f>
        <v>15.8833414166</v>
      </c>
      <c r="J2936" s="11">
        <f>[1]!EM_S_FA_NETPROFITMARGIN(B2936,E2936)</f>
        <v>0.95187134330000001</v>
      </c>
      <c r="K2936" s="10">
        <f>[1]!EM_S_FA_ASSETSTURN(B2936,E2936)</f>
        <v>0.31989208831400001</v>
      </c>
      <c r="L2936" s="12">
        <f>[1]!EM_HKS_VAL_MV(B2936,"2019-12-31","2")</f>
        <v>4535305622.5</v>
      </c>
      <c r="M2936">
        <f>[1]!EM_S_VAL_PETTMDEDUCTED(B2936,E2936)</f>
        <v>49.160944876717998</v>
      </c>
      <c r="N2936" s="7">
        <f>[1]!EM_S_VAL_PBGOODWILLDEDUCTED(B2936,E2936)</f>
        <v>0.962101048754607</v>
      </c>
      <c r="O2936" s="7">
        <f>[1]!EM_S_VAL_PS_TTM(B2936,E2936)</f>
        <v>0.979165628411235</v>
      </c>
      <c r="P2936" s="7">
        <f>[1]!EM_S_VAL_PCF_NCFTTM(B2936,E2936)</f>
        <v>-8.0230538252455403</v>
      </c>
      <c r="Q2936" s="7">
        <f>[1]!EM_S_VAL_DIVIDENDYIELD2(B2936,E2936,"2019-11-29")</f>
        <v>0</v>
      </c>
      <c r="T2936"/>
      <c r="U2936">
        <f>[1]!EM_S_RATIO_EPS_TTM(B2936,E2936,"1")</f>
        <v>3.3759125423856708E-2</v>
      </c>
      <c r="AT2936" s="4" t="str">
        <f>[1]!EM_S_IPO_LISTEDDATE(B2936)</f>
        <v>2010-06-10</v>
      </c>
    </row>
    <row r="2937" spans="1:46">
      <c r="A2937">
        <v>377</v>
      </c>
      <c r="B2937" t="str">
        <f>"000821"</f>
        <v>000821</v>
      </c>
      <c r="C2937" t="s">
        <v>1229</v>
      </c>
      <c r="D2937" t="str">
        <f>[1]!EM_S_INFO_INDEX_EM(B2937,"1")</f>
        <v>机械设备</v>
      </c>
      <c r="E2937" s="4">
        <f t="shared" si="45"/>
        <v>43465</v>
      </c>
      <c r="F2937" s="11">
        <f>[1]!EM_S_PQ_PCTCHANGE(B2937,"2018-01-01","2019-12-31","3")</f>
        <v>-47.741040519999999</v>
      </c>
      <c r="G2937" s="11">
        <f>[1]!EM_S_PQ_PCTCHANGE(B2937,"2018-12-31","2019-12-30","1")</f>
        <v>-15.143603130000001</v>
      </c>
      <c r="H2937" s="11">
        <f>[1]!EM_S_FA_YOY_OR(B2937,E2937)</f>
        <v>46.361716160699999</v>
      </c>
      <c r="I2937" s="11">
        <f>[1]!EM_S_FA_GROSSPROFITMARGIN(B2937,E2937)</f>
        <v>22.901488964799999</v>
      </c>
      <c r="J2937" s="11">
        <f>[1]!EM_S_FA_NETPROFITMARGIN(B2937,E2937)</f>
        <v>6.9052617195000003</v>
      </c>
      <c r="K2937" s="10">
        <f>[1]!EM_S_FA_ASSETSTURN(B2937,E2937)</f>
        <v>0.54528816376900002</v>
      </c>
      <c r="L2937" s="12">
        <f>[1]!EM_HKS_VAL_MV(B2937,"2019-12-31","2")</f>
        <v>3493146967.1999998</v>
      </c>
      <c r="M2937">
        <f>[1]!EM_S_VAL_PETTMDEDUCTED(B2937,E2937)</f>
        <v>24.024441451443199</v>
      </c>
      <c r="N2937" s="7">
        <f>[1]!EM_S_VAL_PBGOODWILLDEDUCTED(B2937,E2937)</f>
        <v>2.6576777185101101</v>
      </c>
      <c r="O2937" s="7">
        <f>[1]!EM_S_VAL_PS_TTM(B2937,E2937)</f>
        <v>1.89636182495985</v>
      </c>
      <c r="P2937" s="7">
        <f>[1]!EM_S_VAL_PCF_NCFTTM(B2937,E2937)</f>
        <v>34.379072680821302</v>
      </c>
      <c r="Q2937" s="7">
        <f>[1]!EM_S_VAL_DIVIDENDYIELD2(B2937,E2937,"2019-11-29")</f>
        <v>0</v>
      </c>
      <c r="T2937"/>
      <c r="U2937">
        <f>[1]!EM_S_RATIO_EPS_TTM(B2937,E2937,"1")</f>
        <v>0.26735808849245263</v>
      </c>
      <c r="AT2937" s="4" t="str">
        <f>[1]!EM_S_IPO_LISTEDDATE(B2937)</f>
        <v>1998-06-26</v>
      </c>
    </row>
    <row r="2938" spans="1:46">
      <c r="A2938">
        <v>3286</v>
      </c>
      <c r="B2938" t="str">
        <f>"603138"</f>
        <v>603138</v>
      </c>
      <c r="C2938" t="s">
        <v>1508</v>
      </c>
      <c r="D2938" t="str">
        <f>[1]!EM_S_INFO_INDEX_EM(B2938,"1")</f>
        <v>信息技术</v>
      </c>
      <c r="E2938" s="4">
        <f t="shared" si="45"/>
        <v>43465</v>
      </c>
      <c r="F2938" s="11">
        <f>[1]!EM_S_PQ_PCTCHANGE(B2938,"2018-01-01","2019-12-31","3")</f>
        <v>-27.893684839999999</v>
      </c>
      <c r="G2938" s="11">
        <f>[1]!EM_S_PQ_PCTCHANGE(B2938,"2018-12-31","2019-12-30","1")</f>
        <v>-15.190552869999999</v>
      </c>
      <c r="H2938" s="11">
        <f>[1]!EM_S_FA_YOY_OR(B2938,E2938)</f>
        <v>3.6150990744999998</v>
      </c>
      <c r="I2938" s="11">
        <f>[1]!EM_S_FA_GROSSPROFITMARGIN(B2938,E2938)</f>
        <v>26.5250515177</v>
      </c>
      <c r="J2938" s="11">
        <f>[1]!EM_S_FA_NETPROFITMARGIN(B2938,E2938)</f>
        <v>10.009676733999999</v>
      </c>
      <c r="K2938" s="10">
        <f>[1]!EM_S_FA_ASSETSTURN(B2938,E2938)</f>
        <v>0.84712496667399995</v>
      </c>
      <c r="L2938" s="12">
        <f>[1]!EM_HKS_VAL_MV(B2938,"2019-12-31","2")</f>
        <v>3399242817.5999999</v>
      </c>
      <c r="M2938">
        <f>[1]!EM_S_VAL_PETTMDEDUCTED(B2938,E2938)</f>
        <v>56.275139170954702</v>
      </c>
      <c r="N2938" s="7">
        <f>[1]!EM_S_VAL_PBGOODWILLDEDUCTED(B2938,E2938)</f>
        <v>6.4371622716324399</v>
      </c>
      <c r="O2938" s="7">
        <f>[1]!EM_S_VAL_PS_TTM(B2938,E2938)</f>
        <v>5.3281878647465799</v>
      </c>
      <c r="P2938" s="7">
        <f>[1]!EM_S_VAL_PCF_NCFTTM(B2938,E2938)</f>
        <v>99.0892396536495</v>
      </c>
      <c r="Q2938" s="7">
        <f>[1]!EM_S_VAL_DIVIDENDYIELD2(B2938,E2938,"2019-11-29")</f>
        <v>0.5355925601324375</v>
      </c>
      <c r="T2938"/>
      <c r="U2938">
        <f>[1]!EM_S_RATIO_EPS_TTM(B2938,E2938,"1")</f>
        <v>0.35994211256764785</v>
      </c>
      <c r="AT2938" s="4" t="str">
        <f>[1]!EM_S_IPO_LISTEDDATE(B2938)</f>
        <v>2017-03-06</v>
      </c>
    </row>
    <row r="2939" spans="1:46">
      <c r="A2939">
        <v>1738</v>
      </c>
      <c r="B2939" t="str">
        <f>"300313"</f>
        <v>300313</v>
      </c>
      <c r="C2939" t="s">
        <v>3476</v>
      </c>
      <c r="D2939" t="str">
        <f>[1]!EM_S_INFO_INDEX_EM(B2939,"1")</f>
        <v>农林牧渔</v>
      </c>
      <c r="E2939" s="4">
        <f t="shared" si="45"/>
        <v>43465</v>
      </c>
      <c r="F2939" s="11">
        <f>[1]!EM_S_PQ_PCTCHANGE(B2939,"2018-01-01","2019-12-31","3")</f>
        <v>-54.89220564</v>
      </c>
      <c r="G2939" s="11">
        <f>[1]!EM_S_PQ_PCTCHANGE(B2939,"2018-12-31","2019-12-30","1")</f>
        <v>-15.213946119999999</v>
      </c>
      <c r="H2939" s="11">
        <f>[1]!EM_S_FA_YOY_OR(B2939,E2939)</f>
        <v>-46.122441475400002</v>
      </c>
      <c r="I2939" s="11">
        <f>[1]!EM_S_FA_GROSSPROFITMARGIN(B2939,E2939)</f>
        <v>25.3286867962</v>
      </c>
      <c r="J2939" s="11">
        <f>[1]!EM_S_FA_NETPROFITMARGIN(B2939,E2939)</f>
        <v>-1849.8112961761001</v>
      </c>
      <c r="K2939" s="10">
        <f>[1]!EM_S_FA_ASSETSTURN(B2939,E2939)</f>
        <v>0.100503283067</v>
      </c>
      <c r="L2939" s="12">
        <f>[1]!EM_HKS_VAL_MV(B2939,"2019-12-31","2")</f>
        <v>1702597034.24</v>
      </c>
      <c r="M2939">
        <f>[1]!EM_S_VAL_PETTMDEDUCTED(B2939,E2939)</f>
        <v>41.295617175610197</v>
      </c>
      <c r="N2939" s="7">
        <f>[1]!EM_S_VAL_PBGOODWILLDEDUCTED(B2939,E2939)</f>
        <v>9.4488122816611604</v>
      </c>
      <c r="O2939" s="7">
        <f>[1]!EM_S_VAL_PS_TTM(B2939,E2939)</f>
        <v>15.781306159899501</v>
      </c>
      <c r="P2939" s="7">
        <f>[1]!EM_S_VAL_PCF_NCFTTM(B2939,E2939)</f>
        <v>351.46488271022702</v>
      </c>
      <c r="Q2939" s="7">
        <f>[1]!EM_S_VAL_DIVIDENDYIELD2(B2939,E2939,"2019-11-29")</f>
        <v>0</v>
      </c>
      <c r="T2939"/>
      <c r="U2939">
        <f>[1]!EM_S_RATIO_EPS_TTM(B2939,E2939,"1")</f>
        <v>-6.2168834832084805</v>
      </c>
      <c r="AT2939" s="4" t="str">
        <f>[1]!EM_S_IPO_LISTEDDATE(B2939)</f>
        <v>2012-04-25</v>
      </c>
    </row>
    <row r="2940" spans="1:46">
      <c r="A2940">
        <v>1892</v>
      </c>
      <c r="B2940" t="str">
        <f>"300467"</f>
        <v>300467</v>
      </c>
      <c r="C2940" t="s">
        <v>104</v>
      </c>
      <c r="D2940" t="str">
        <f>[1]!EM_S_INFO_INDEX_EM(B2940,"1")</f>
        <v>信息技术</v>
      </c>
      <c r="E2940" s="4">
        <f t="shared" si="45"/>
        <v>43465</v>
      </c>
      <c r="F2940" s="11">
        <f>[1]!EM_S_PQ_PCTCHANGE(B2940,"2018-01-01","2019-12-31","3")</f>
        <v>-58.85913523</v>
      </c>
      <c r="G2940" s="11">
        <f>[1]!EM_S_PQ_PCTCHANGE(B2940,"2018-12-31","2019-12-30","1")</f>
        <v>-15.220235499999999</v>
      </c>
      <c r="H2940" s="11">
        <f>[1]!EM_S_FA_YOY_OR(B2940,E2940)</f>
        <v>162.7574267569</v>
      </c>
      <c r="I2940" s="11">
        <f>[1]!EM_S_FA_GROSSPROFITMARGIN(B2940,E2940)</f>
        <v>85.604039052700003</v>
      </c>
      <c r="J2940" s="11">
        <f>[1]!EM_S_FA_NETPROFITMARGIN(B2940,E2940)</f>
        <v>-109.82597187419999</v>
      </c>
      <c r="K2940" s="10">
        <f>[1]!EM_S_FA_ASSETSTURN(B2940,E2940)</f>
        <v>0.22948993253800001</v>
      </c>
      <c r="L2940" s="12">
        <f>[1]!EM_HKS_VAL_MV(B2940,"2019-12-31","2")</f>
        <v>4310617731.6999998</v>
      </c>
      <c r="M2940">
        <f>[1]!EM_S_VAL_PETTMDEDUCTED(B2940,E2940)</f>
        <v>23.555694303378701</v>
      </c>
      <c r="N2940" s="7">
        <f>[1]!EM_S_VAL_PBGOODWILLDEDUCTED(B2940,E2940)</f>
        <v>6.5031245317820501</v>
      </c>
      <c r="O2940" s="7">
        <f>[1]!EM_S_VAL_PS_TTM(B2940,E2940)</f>
        <v>7.7696166426763398</v>
      </c>
      <c r="P2940" s="7">
        <f>[1]!EM_S_VAL_PCF_NCFTTM(B2940,E2940)</f>
        <v>-138.85160256359799</v>
      </c>
      <c r="Q2940" s="7">
        <f>[1]!EM_S_VAL_DIVIDENDYIELD2(B2940,E2940,"2019-11-29")</f>
        <v>0</v>
      </c>
      <c r="U2940">
        <f>[1]!EM_S_RATIO_EPS_TTM(B2940,E2940,"1")</f>
        <v>-3.5011573356586441</v>
      </c>
      <c r="AT2940" s="4" t="str">
        <f>[1]!EM_S_IPO_LISTEDDATE(B2940)</f>
        <v>2015-05-27</v>
      </c>
    </row>
    <row r="2941" spans="1:46">
      <c r="A2941">
        <v>1070</v>
      </c>
      <c r="B2941" t="str">
        <f>"002559"</f>
        <v>002559</v>
      </c>
      <c r="C2941" t="s">
        <v>1937</v>
      </c>
      <c r="D2941" t="str">
        <f>[1]!EM_S_INFO_INDEX_EM(B2941,"1")</f>
        <v>机械设备</v>
      </c>
      <c r="E2941" s="4">
        <f t="shared" si="45"/>
        <v>43465</v>
      </c>
      <c r="F2941" s="11">
        <f>[1]!EM_S_PQ_PCTCHANGE(B2941,"2018-01-01","2019-12-31","3")</f>
        <v>-1.4743314000000001</v>
      </c>
      <c r="G2941" s="11">
        <f>[1]!EM_S_PQ_PCTCHANGE(B2941,"2018-12-31","2019-12-30","1")</f>
        <v>-15.220700150000001</v>
      </c>
      <c r="H2941" s="11">
        <f>[1]!EM_S_FA_YOY_OR(B2941,E2941)</f>
        <v>6.5213723914999999</v>
      </c>
      <c r="I2941" s="11">
        <f>[1]!EM_S_FA_GROSSPROFITMARGIN(B2941,E2941)</f>
        <v>27.9859170842</v>
      </c>
      <c r="J2941" s="11">
        <f>[1]!EM_S_FA_NETPROFITMARGIN(B2941,E2941)</f>
        <v>7.5097387625999996</v>
      </c>
      <c r="K2941" s="10">
        <f>[1]!EM_S_FA_ASSETSTURN(B2941,E2941)</f>
        <v>0.65209977180699996</v>
      </c>
      <c r="L2941" s="12">
        <f>[1]!EM_HKS_VAL_MV(B2941,"2019-12-31","2")</f>
        <v>3167753938.2800002</v>
      </c>
      <c r="M2941">
        <f>[1]!EM_S_VAL_PETTMDEDUCTED(B2941,E2941)</f>
        <v>24.622809188022899</v>
      </c>
      <c r="N2941" s="7">
        <f>[1]!EM_S_VAL_PBGOODWILLDEDUCTED(B2941,E2941)</f>
        <v>1.5457621128924499</v>
      </c>
      <c r="O2941" s="7">
        <f>[1]!EM_S_VAL_PS_TTM(B2941,E2941)</f>
        <v>1.5106525021417101</v>
      </c>
      <c r="P2941" s="7">
        <f>[1]!EM_S_VAL_PCF_NCFTTM(B2941,E2941)</f>
        <v>-9.4714960200273701</v>
      </c>
      <c r="Q2941" s="7">
        <f>[1]!EM_S_VAL_DIVIDENDYIELD2(B2941,E2941,"2019-11-29")</f>
        <v>4.044255433792614</v>
      </c>
      <c r="T2941"/>
      <c r="U2941">
        <f>[1]!EM_S_RATIO_EPS_TTM(B2941,E2941,"1")</f>
        <v>0.29899755557509128</v>
      </c>
      <c r="AT2941" s="4" t="str">
        <f>[1]!EM_S_IPO_LISTEDDATE(B2941)</f>
        <v>2011-03-03</v>
      </c>
    </row>
    <row r="2942" spans="1:46">
      <c r="A2942">
        <v>1982</v>
      </c>
      <c r="B2942" t="str">
        <f>"300559"</f>
        <v>300559</v>
      </c>
      <c r="C2942" t="s">
        <v>2127</v>
      </c>
      <c r="D2942" t="str">
        <f>[1]!EM_S_INFO_INDEX_EM(B2942,"1")</f>
        <v>信息技术</v>
      </c>
      <c r="E2942" s="4">
        <f t="shared" si="45"/>
        <v>43465</v>
      </c>
      <c r="F2942" s="11">
        <f>[1]!EM_S_PQ_PCTCHANGE(B2942,"2018-01-01","2019-12-31","3")</f>
        <v>166.28706188999999</v>
      </c>
      <c r="G2942" s="11">
        <f>[1]!EM_S_PQ_PCTCHANGE(B2942,"2018-12-31","2019-12-30","1")</f>
        <v>-15.2394775</v>
      </c>
      <c r="H2942" s="11">
        <f>[1]!EM_S_FA_YOY_OR(B2942,E2942)</f>
        <v>103.133311866</v>
      </c>
      <c r="I2942" s="11">
        <f>[1]!EM_S_FA_GROSSPROFITMARGIN(B2942,E2942)</f>
        <v>58.186547135799998</v>
      </c>
      <c r="J2942" s="11">
        <f>[1]!EM_S_FA_NETPROFITMARGIN(B2942,E2942)</f>
        <v>33.428109640999999</v>
      </c>
      <c r="K2942" s="10">
        <f>[1]!EM_S_FA_ASSETSTURN(B2942,E2942)</f>
        <v>0.44498853380100001</v>
      </c>
      <c r="L2942" s="12">
        <f>[1]!EM_HKS_VAL_MV(B2942,"2019-12-31","2")</f>
        <v>7804157403.5</v>
      </c>
      <c r="M2942">
        <f>[1]!EM_S_VAL_PETTMDEDUCTED(B2942,E2942)</f>
        <v>45.723652026238398</v>
      </c>
      <c r="N2942" s="7">
        <f>[1]!EM_S_VAL_PBGOODWILLDEDUCTED(B2942,E2942)</f>
        <v>6.7233932554518896</v>
      </c>
      <c r="O2942" s="7">
        <f>[1]!EM_S_VAL_PS_TTM(B2942,E2942)</f>
        <v>14.484315794895601</v>
      </c>
      <c r="P2942" s="7">
        <f>[1]!EM_S_VAL_PCF_NCFTTM(B2942,E2942)</f>
        <v>-104.251807847854</v>
      </c>
      <c r="Q2942" s="7">
        <f>[1]!EM_S_VAL_DIVIDENDYIELD2(B2942,E2942,"2019-11-29")</f>
        <v>0.3471485602977763</v>
      </c>
      <c r="T2942"/>
      <c r="U2942">
        <f>[1]!EM_S_RATIO_EPS_TTM(B2942,E2942,"1")</f>
        <v>0.88376148546202726</v>
      </c>
      <c r="AT2942" s="4" t="str">
        <f>[1]!EM_S_IPO_LISTEDDATE(B2942)</f>
        <v>2016-11-01</v>
      </c>
    </row>
    <row r="2943" spans="1:46">
      <c r="A2943">
        <v>3099</v>
      </c>
      <c r="B2943" t="str">
        <f>"601330"</f>
        <v>601330</v>
      </c>
      <c r="C2943" t="s">
        <v>1037</v>
      </c>
      <c r="D2943" t="str">
        <f>[1]!EM_S_INFO_INDEX_EM(B2943,"1")</f>
        <v>公用事业</v>
      </c>
      <c r="E2943" s="4">
        <f t="shared" si="45"/>
        <v>43465</v>
      </c>
      <c r="F2943" s="11">
        <f>[1]!EM_S_PQ_PCTCHANGE(B2943,"2018-01-01","2019-12-31","3")</f>
        <v>225.16616261999999</v>
      </c>
      <c r="G2943" s="11">
        <f>[1]!EM_S_PQ_PCTCHANGE(B2943,"2018-12-31","2019-12-30","1")</f>
        <v>-15.34136546</v>
      </c>
      <c r="H2943" s="11">
        <f>[1]!EM_S_FA_YOY_OR(B2943,E2943)</f>
        <v>34.430283928999998</v>
      </c>
      <c r="I2943" s="11">
        <f>[1]!EM_S_FA_GROSSPROFITMARGIN(B2943,E2943)</f>
        <v>55.584381417099998</v>
      </c>
      <c r="J2943" s="11">
        <f>[1]!EM_S_FA_NETPROFITMARGIN(B2943,E2943)</f>
        <v>25.856513543999998</v>
      </c>
      <c r="K2943" s="10">
        <f>[1]!EM_S_FA_ASSETSTURN(B2943,E2943)</f>
        <v>0.12160293552900001</v>
      </c>
      <c r="L2943" s="12">
        <f>[1]!EM_HKS_VAL_MV(B2943,"2019-12-31","2")</f>
        <v>12343556000</v>
      </c>
      <c r="M2943">
        <f>[1]!EM_S_VAL_PETTMDEDUCTED(B2943,E2943)</f>
        <v>52.172927409438898</v>
      </c>
      <c r="N2943" s="7">
        <f>[1]!EM_S_VAL_PBGOODWILLDEDUCTED(B2943,E2943)</f>
        <v>5.1475634970086004</v>
      </c>
      <c r="O2943" s="7">
        <f>[1]!EM_S_VAL_PS_TTM(B2943,E2943)</f>
        <v>14.698040531170999</v>
      </c>
      <c r="P2943" s="7">
        <f>[1]!EM_S_VAL_PCF_NCFTTM(B2943,E2943)</f>
        <v>-77.809693495419495</v>
      </c>
      <c r="Q2943" s="7">
        <f>[1]!EM_S_VAL_DIVIDENDYIELD2(B2943,E2943,"2019-11-29")</f>
        <v>0.95877277085330781</v>
      </c>
      <c r="T2943"/>
      <c r="U2943">
        <f>[1]!EM_S_RATIO_EPS_TTM(B2943,E2943,"1")</f>
        <v>0.23490640946434724</v>
      </c>
      <c r="AT2943" s="4" t="str">
        <f>[1]!EM_S_IPO_LISTEDDATE(B2943)</f>
        <v>2018-06-11</v>
      </c>
    </row>
    <row r="2944" spans="1:46">
      <c r="A2944">
        <v>3110</v>
      </c>
      <c r="B2944" t="str">
        <f>"601390"</f>
        <v>601390</v>
      </c>
      <c r="C2944" t="s">
        <v>1340</v>
      </c>
      <c r="D2944" t="str">
        <f>[1]!EM_S_INFO_INDEX_EM(B2944,"1")</f>
        <v>建筑</v>
      </c>
      <c r="E2944" s="4">
        <f t="shared" si="45"/>
        <v>43465</v>
      </c>
      <c r="F2944" s="11">
        <f>[1]!EM_S_PQ_PCTCHANGE(B2944,"2018-01-01","2019-12-31","3")</f>
        <v>-26.66054222</v>
      </c>
      <c r="G2944" s="11">
        <f>[1]!EM_S_PQ_PCTCHANGE(B2944,"2018-12-31","2019-12-30","1")</f>
        <v>-15.45064378</v>
      </c>
      <c r="H2944" s="11">
        <f>[1]!EM_S_FA_YOY_OR(B2944,E2944)</f>
        <v>6.9235954595000004</v>
      </c>
      <c r="I2944" s="11">
        <f>[1]!EM_S_FA_GROSSPROFITMARGIN(B2944,E2944)</f>
        <v>9.8998737656000007</v>
      </c>
      <c r="J2944" s="11">
        <f>[1]!EM_S_FA_NETPROFITMARGIN(B2944,E2944)</f>
        <v>2.3635557304999999</v>
      </c>
      <c r="K2944" s="10">
        <f>[1]!EM_S_FA_ASSETSTURN(B2944,E2944)</f>
        <v>0.82880346362000001</v>
      </c>
      <c r="L2944" s="12">
        <f>[1]!EM_HKS_VAL_MV(B2944,"2019-12-31","2")</f>
        <v>145951319941.01999</v>
      </c>
      <c r="M2944">
        <f>[1]!EM_S_VAL_PETTMDEDUCTED(B2944,E2944)</f>
        <v>9.3789317131020198</v>
      </c>
      <c r="N2944" s="7">
        <f>[1]!EM_S_VAL_PBGOODWILLDEDUCTED(B2944,E2944)</f>
        <v>1.00458619373747</v>
      </c>
      <c r="O2944" s="7">
        <f>[1]!EM_S_VAL_PS_TTM(B2944,E2944)</f>
        <v>0.222756112739315</v>
      </c>
      <c r="P2944" s="7">
        <f>[1]!EM_S_VAL_PCF_NCFTTM(B2944,E2944)</f>
        <v>39.9294509846778</v>
      </c>
      <c r="Q2944" s="7">
        <f>[1]!EM_S_VAL_DIVIDENDYIELD2(B2944,E2944,"2019-11-29")</f>
        <v>2.0733957452712128</v>
      </c>
      <c r="T2944"/>
      <c r="U2944">
        <f>[1]!EM_S_RATIO_EPS_TTM(B2944,E2944,"1")</f>
        <v>0.75284148949040164</v>
      </c>
      <c r="AT2944" s="4" t="str">
        <f>[1]!EM_S_IPO_LISTEDDATE(B2944)</f>
        <v>2007-12-03</v>
      </c>
    </row>
    <row r="2945" spans="1:46">
      <c r="A2945">
        <v>1920</v>
      </c>
      <c r="B2945" t="str">
        <f>"300495"</f>
        <v>300495</v>
      </c>
      <c r="C2945" t="s">
        <v>2756</v>
      </c>
      <c r="D2945" t="str">
        <f>[1]!EM_S_INFO_INDEX_EM(B2945,"1")</f>
        <v>建筑</v>
      </c>
      <c r="E2945" s="4">
        <f t="shared" si="45"/>
        <v>43465</v>
      </c>
      <c r="F2945" s="11">
        <f>[1]!EM_S_PQ_PCTCHANGE(B2945,"2018-01-01","2019-12-31","3")</f>
        <v>-24.157897200000001</v>
      </c>
      <c r="G2945" s="11">
        <f>[1]!EM_S_PQ_PCTCHANGE(B2945,"2018-12-31","2019-12-30","1")</f>
        <v>-15.454545449999999</v>
      </c>
      <c r="H2945" s="11">
        <f>[1]!EM_S_FA_YOY_OR(B2945,E2945)</f>
        <v>-0.2076265175</v>
      </c>
      <c r="I2945" s="11">
        <f>[1]!EM_S_FA_GROSSPROFITMARGIN(B2945,E2945)</f>
        <v>34.260642487200002</v>
      </c>
      <c r="J2945" s="11">
        <f>[1]!EM_S_FA_NETPROFITMARGIN(B2945,E2945)</f>
        <v>16.823628603300001</v>
      </c>
      <c r="K2945" s="10">
        <f>[1]!EM_S_FA_ASSETSTURN(B2945,E2945)</f>
        <v>0.304094883426</v>
      </c>
      <c r="L2945" s="12">
        <f>[1]!EM_HKS_VAL_MV(B2945,"2019-12-31","2")</f>
        <v>7471016727.04</v>
      </c>
      <c r="M2945">
        <f>[1]!EM_S_VAL_PETTMDEDUCTED(B2945,E2945)</f>
        <v>23.563836158451601</v>
      </c>
      <c r="N2945" s="7">
        <f>[1]!EM_S_VAL_PBGOODWILLDEDUCTED(B2945,E2945)</f>
        <v>3.1986353807771302</v>
      </c>
      <c r="O2945" s="7">
        <f>[1]!EM_S_VAL_PS_TTM(B2945,E2945)</f>
        <v>3.1048049510314599</v>
      </c>
      <c r="P2945" s="7">
        <f>[1]!EM_S_VAL_PCF_NCFTTM(B2945,E2945)</f>
        <v>13.6832199555465</v>
      </c>
      <c r="Q2945" s="7">
        <f>[1]!EM_S_VAL_DIVIDENDYIELD2(B2945,E2945,"2019-11-29")</f>
        <v>0.91575091575091561</v>
      </c>
      <c r="T2945"/>
      <c r="U2945">
        <f>[1]!EM_S_RATIO_EPS_TTM(B2945,E2945,"1")</f>
        <v>0.64378192751792085</v>
      </c>
      <c r="AT2945" s="4" t="str">
        <f>[1]!EM_S_IPO_LISTEDDATE(B2945)</f>
        <v>2015-12-22</v>
      </c>
    </row>
    <row r="2946" spans="1:46">
      <c r="A2946">
        <v>652</v>
      </c>
      <c r="B2946" t="str">
        <f>"002141"</f>
        <v>002141</v>
      </c>
      <c r="C2946" t="s">
        <v>3004</v>
      </c>
      <c r="D2946" t="str">
        <f>[1]!EM_S_INFO_INDEX_EM(B2946,"1")</f>
        <v>电子设备</v>
      </c>
      <c r="E2946" s="4">
        <f t="shared" si="45"/>
        <v>43465</v>
      </c>
      <c r="F2946" s="11">
        <f>[1]!EM_S_PQ_PCTCHANGE(B2946,"2018-01-01","2019-12-31","3")</f>
        <v>-53.603034129999998</v>
      </c>
      <c r="G2946" s="11">
        <f>[1]!EM_S_PQ_PCTCHANGE(B2946,"2018-12-31","2019-12-30","1")</f>
        <v>-15.47344111</v>
      </c>
      <c r="H2946" s="11">
        <f>[1]!EM_S_FA_YOY_OR(B2946,E2946)</f>
        <v>-13.707035725600001</v>
      </c>
      <c r="I2946" s="11">
        <f>[1]!EM_S_FA_GROSSPROFITMARGIN(B2946,E2946)</f>
        <v>13.0373554143</v>
      </c>
      <c r="J2946" s="11">
        <f>[1]!EM_S_FA_NETPROFITMARGIN(B2946,E2946)</f>
        <v>0.54884603750000005</v>
      </c>
      <c r="K2946" s="10">
        <f>[1]!EM_S_FA_ASSETSTURN(B2946,E2946)</f>
        <v>0.58169921218999998</v>
      </c>
      <c r="L2946" s="12">
        <f>[1]!EM_HKS_VAL_MV(B2946,"2019-12-31","2")</f>
        <v>4164189424.73</v>
      </c>
      <c r="M2946">
        <f>[1]!EM_S_VAL_PETTMDEDUCTED(B2946,E2946)</f>
        <v>1204.8501688059901</v>
      </c>
      <c r="N2946" s="7">
        <f>[1]!EM_S_VAL_PBGOODWILLDEDUCTED(B2946,E2946)</f>
        <v>3.6665966030023198</v>
      </c>
      <c r="O2946" s="7">
        <f>[1]!EM_S_VAL_PS_TTM(B2946,E2946)</f>
        <v>4.6535340797571001</v>
      </c>
      <c r="P2946" s="7">
        <f>[1]!EM_S_VAL_PCF_NCFTTM(B2946,E2946)</f>
        <v>-92.372294096654102</v>
      </c>
      <c r="Q2946" s="7">
        <f>[1]!EM_S_VAL_DIVIDENDYIELD2(B2946,E2946,"2019-11-29")</f>
        <v>0</v>
      </c>
      <c r="T2946"/>
      <c r="U2946">
        <f>[1]!EM_S_RATIO_EPS_TTM(B2946,E2946,"1")</f>
        <v>6.20472605771897E-3</v>
      </c>
      <c r="AT2946" s="4" t="str">
        <f>[1]!EM_S_IPO_LISTEDDATE(B2946)</f>
        <v>2007-07-20</v>
      </c>
    </row>
    <row r="2947" spans="1:46">
      <c r="A2947">
        <v>1401</v>
      </c>
      <c r="B2947" t="str">
        <f>"002903"</f>
        <v>002903</v>
      </c>
      <c r="C2947" t="s">
        <v>1400</v>
      </c>
      <c r="D2947" t="str">
        <f>[1]!EM_S_INFO_INDEX_EM(B2947,"1")</f>
        <v>机械设备</v>
      </c>
      <c r="E2947" s="4">
        <f t="shared" ref="E2947:E3010" si="46">$B$1</f>
        <v>43465</v>
      </c>
      <c r="F2947" s="11">
        <f>[1]!EM_S_PQ_PCTCHANGE(B2947,"2018-01-01","2019-12-31","3")</f>
        <v>-44.480921430000002</v>
      </c>
      <c r="G2947" s="11">
        <f>[1]!EM_S_PQ_PCTCHANGE(B2947,"2018-12-31","2019-12-30","1")</f>
        <v>-15.56712963</v>
      </c>
      <c r="H2947" s="11">
        <f>[1]!EM_S_FA_YOY_OR(B2947,E2947)</f>
        <v>-20.183921842699998</v>
      </c>
      <c r="I2947" s="11">
        <f>[1]!EM_S_FA_GROSSPROFITMARGIN(B2947,E2947)</f>
        <v>38.446037607900003</v>
      </c>
      <c r="J2947" s="11">
        <f>[1]!EM_S_FA_NETPROFITMARGIN(B2947,E2947)</f>
        <v>17.519326295199999</v>
      </c>
      <c r="K2947" s="10">
        <f>[1]!EM_S_FA_ASSETSTURN(B2947,E2947)</f>
        <v>0.27046777467999999</v>
      </c>
      <c r="L2947" s="12">
        <f>[1]!EM_HKS_VAL_MV(B2947,"2019-12-31","2")</f>
        <v>2193000000</v>
      </c>
      <c r="M2947">
        <f>[1]!EM_S_VAL_PETTMDEDUCTED(B2947,E2947)</f>
        <v>92.649803687505099</v>
      </c>
      <c r="N2947" s="7">
        <f>[1]!EM_S_VAL_PBGOODWILLDEDUCTED(B2947,E2947)</f>
        <v>4.2077420454276604</v>
      </c>
      <c r="O2947" s="7">
        <f>[1]!EM_S_VAL_PS_TTM(B2947,E2947)</f>
        <v>11.9482979446752</v>
      </c>
      <c r="P2947" s="7">
        <f>[1]!EM_S_VAL_PCF_NCFTTM(B2947,E2947)</f>
        <v>-29.906805513395799</v>
      </c>
      <c r="Q2947" s="7">
        <f>[1]!EM_S_VAL_DIVIDENDYIELD2(B2947,E2947,"2019-11-29")</f>
        <v>0.76219512195121952</v>
      </c>
      <c r="T2947"/>
      <c r="U2947">
        <f>[1]!EM_S_RATIO_EPS_TTM(B2947,E2947,"1")</f>
        <v>0.22897515173333333</v>
      </c>
      <c r="AT2947" s="4" t="str">
        <f>[1]!EM_S_IPO_LISTEDDATE(B2947)</f>
        <v>2017-10-13</v>
      </c>
    </row>
    <row r="2948" spans="1:46">
      <c r="A2948">
        <v>3331</v>
      </c>
      <c r="B2948" t="str">
        <f>"603266"</f>
        <v>603266</v>
      </c>
      <c r="C2948" t="s">
        <v>1479</v>
      </c>
      <c r="D2948" t="str">
        <f>[1]!EM_S_INFO_INDEX_EM(B2948,"1")</f>
        <v>基础化工</v>
      </c>
      <c r="E2948" s="4">
        <f t="shared" si="46"/>
        <v>43465</v>
      </c>
      <c r="F2948" s="11">
        <f>[1]!EM_S_PQ_PCTCHANGE(B2948,"2018-01-01","2019-12-31","3")</f>
        <v>-10.562498229999999</v>
      </c>
      <c r="G2948" s="11">
        <f>[1]!EM_S_PQ_PCTCHANGE(B2948,"2018-12-31","2019-12-30","1")</f>
        <v>-15.568428669999999</v>
      </c>
      <c r="H2948" s="11">
        <f>[1]!EM_S_FA_YOY_OR(B2948,E2948)</f>
        <v>8.1309883733999992</v>
      </c>
      <c r="I2948" s="11">
        <f>[1]!EM_S_FA_GROSSPROFITMARGIN(B2948,E2948)</f>
        <v>25.5349291337</v>
      </c>
      <c r="J2948" s="11">
        <f>[1]!EM_S_FA_NETPROFITMARGIN(B2948,E2948)</f>
        <v>7.7278856975999997</v>
      </c>
      <c r="K2948" s="10">
        <f>[1]!EM_S_FA_ASSETSTURN(B2948,E2948)</f>
        <v>0.86924323437499995</v>
      </c>
      <c r="L2948" s="12">
        <f>[1]!EM_HKS_VAL_MV(B2948,"2019-12-31","2")</f>
        <v>2291351408.4000001</v>
      </c>
      <c r="M2948">
        <f>[1]!EM_S_VAL_PETTMDEDUCTED(B2948,E2948)</f>
        <v>33.652857947926002</v>
      </c>
      <c r="N2948" s="7">
        <f>[1]!EM_S_VAL_PBGOODWILLDEDUCTED(B2948,E2948)</f>
        <v>2.2772929173647101</v>
      </c>
      <c r="O2948" s="7">
        <f>[1]!EM_S_VAL_PS_TTM(B2948,E2948)</f>
        <v>2.1066859322734102</v>
      </c>
      <c r="P2948" s="7">
        <f>[1]!EM_S_VAL_PCF_NCFTTM(B2948,E2948)</f>
        <v>-66.977846072085796</v>
      </c>
      <c r="Q2948" s="7">
        <f>[1]!EM_S_VAL_DIVIDENDYIELD2(B2948,E2948,"2019-11-29")</f>
        <v>0.68157033805888767</v>
      </c>
      <c r="T2948"/>
      <c r="U2948">
        <f>[1]!EM_S_RATIO_EPS_TTM(B2948,E2948,"1")</f>
        <v>0.4798129021428571</v>
      </c>
      <c r="AT2948" s="4" t="str">
        <f>[1]!EM_S_IPO_LISTEDDATE(B2948)</f>
        <v>2017-01-10</v>
      </c>
    </row>
    <row r="2949" spans="1:46">
      <c r="A2949">
        <v>694</v>
      </c>
      <c r="B2949" t="str">
        <f>"002183"</f>
        <v>002183</v>
      </c>
      <c r="C2949" t="s">
        <v>637</v>
      </c>
      <c r="D2949" t="str">
        <f>[1]!EM_S_INFO_INDEX_EM(B2949,"1")</f>
        <v>交通运输</v>
      </c>
      <c r="E2949" s="4">
        <f t="shared" si="46"/>
        <v>43465</v>
      </c>
      <c r="F2949" s="11">
        <f>[1]!EM_S_PQ_PCTCHANGE(B2949,"2018-01-01","2019-12-31","3")</f>
        <v>-39.447125759999999</v>
      </c>
      <c r="G2949" s="11">
        <f>[1]!EM_S_PQ_PCTCHANGE(B2949,"2018-12-31","2019-12-30","1")</f>
        <v>-15.568862279999999</v>
      </c>
      <c r="H2949" s="11">
        <f>[1]!EM_S_FA_YOY_OR(B2949,E2949)</f>
        <v>2.3985241372999999</v>
      </c>
      <c r="I2949" s="11">
        <f>[1]!EM_S_FA_GROSSPROFITMARGIN(B2949,E2949)</f>
        <v>6.6233442126000002</v>
      </c>
      <c r="J2949" s="11">
        <f>[1]!EM_S_FA_NETPROFITMARGIN(B2949,E2949)</f>
        <v>0.2265799879</v>
      </c>
      <c r="K2949" s="10">
        <f>[1]!EM_S_FA_ASSETSTURN(B2949,E2949)</f>
        <v>1.545912882551</v>
      </c>
      <c r="L2949" s="12">
        <f>[1]!EM_HKS_VAL_MV(B2949,"2019-12-31","2")</f>
        <v>8936557817.9899998</v>
      </c>
      <c r="M2949">
        <f>[1]!EM_S_VAL_PETTMDEDUCTED(B2949,E2949)</f>
        <v>22.047745245514701</v>
      </c>
      <c r="N2949" s="7">
        <f>[1]!EM_S_VAL_PBGOODWILLDEDUCTED(B2949,E2949)</f>
        <v>1.8798629097421999</v>
      </c>
      <c r="O2949" s="7">
        <f>[1]!EM_S_VAL_PS_TTM(B2949,E2949)</f>
        <v>0.14205453251394701</v>
      </c>
      <c r="P2949" s="7">
        <f>[1]!EM_S_VAL_PCF_NCFTTM(B2949,E2949)</f>
        <v>-131.23217472351701</v>
      </c>
      <c r="Q2949" s="7">
        <f>[1]!EM_S_VAL_DIVIDENDYIELD2(B2949,E2949,"2019-11-29")</f>
        <v>0.49019607843137253</v>
      </c>
      <c r="T2949"/>
      <c r="U2949">
        <f>[1]!EM_S_RATIO_EPS_TTM(B2949,E2949,"1")</f>
        <v>9.4261716485986552E-2</v>
      </c>
      <c r="AT2949" s="4" t="str">
        <f>[1]!EM_S_IPO_LISTEDDATE(B2949)</f>
        <v>2007-11-13</v>
      </c>
    </row>
    <row r="2950" spans="1:46">
      <c r="A2950">
        <v>3241</v>
      </c>
      <c r="B2950" t="str">
        <f>"603050"</f>
        <v>603050</v>
      </c>
      <c r="C2950" t="s">
        <v>2697</v>
      </c>
      <c r="D2950" t="str">
        <f>[1]!EM_S_INFO_INDEX_EM(B2950,"1")</f>
        <v>电气设备</v>
      </c>
      <c r="E2950" s="4">
        <f t="shared" si="46"/>
        <v>43465</v>
      </c>
      <c r="F2950" s="11">
        <f>[1]!EM_S_PQ_PCTCHANGE(B2950,"2018-01-01","2019-12-31","3")</f>
        <v>-42.157553370000002</v>
      </c>
      <c r="G2950" s="11">
        <f>[1]!EM_S_PQ_PCTCHANGE(B2950,"2018-12-31","2019-12-30","1")</f>
        <v>-15.64160972</v>
      </c>
      <c r="H2950" s="11">
        <f>[1]!EM_S_FA_YOY_OR(B2950,E2950)</f>
        <v>25.908884520499999</v>
      </c>
      <c r="I2950" s="11">
        <f>[1]!EM_S_FA_GROSSPROFITMARGIN(B2950,E2950)</f>
        <v>27.4845044166</v>
      </c>
      <c r="J2950" s="11">
        <f>[1]!EM_S_FA_NETPROFITMARGIN(B2950,E2950)</f>
        <v>7.0702480676999997</v>
      </c>
      <c r="K2950" s="10">
        <f>[1]!EM_S_FA_ASSETSTURN(B2950,E2950)</f>
        <v>0.666972713188</v>
      </c>
      <c r="L2950" s="12">
        <f>[1]!EM_HKS_VAL_MV(B2950,"2019-12-31","2")</f>
        <v>1808803175</v>
      </c>
      <c r="M2950">
        <f>[1]!EM_S_VAL_PETTMDEDUCTED(B2950,E2950)</f>
        <v>27.6567360519613</v>
      </c>
      <c r="N2950" s="7">
        <f>[1]!EM_S_VAL_PBGOODWILLDEDUCTED(B2950,E2950)</f>
        <v>2.0421923185097302</v>
      </c>
      <c r="O2950" s="7">
        <f>[1]!EM_S_VAL_PS_TTM(B2950,E2950)</f>
        <v>1.85943142967865</v>
      </c>
      <c r="P2950" s="7">
        <f>[1]!EM_S_VAL_PCF_NCFTTM(B2950,E2950)</f>
        <v>188.928748842955</v>
      </c>
      <c r="Q2950" s="7">
        <f>[1]!EM_S_VAL_DIVIDENDYIELD2(B2950,E2950,"2019-11-29")</f>
        <v>1.5553379763349033</v>
      </c>
      <c r="T2950"/>
      <c r="U2950">
        <f>[1]!EM_S_RATIO_EPS_TTM(B2950,E2950,"1")</f>
        <v>0.53656733339291385</v>
      </c>
      <c r="AT2950" s="4" t="str">
        <f>[1]!EM_S_IPO_LISTEDDATE(B2950)</f>
        <v>2017-04-14</v>
      </c>
    </row>
    <row r="2951" spans="1:46">
      <c r="A2951">
        <v>3222</v>
      </c>
      <c r="B2951" t="str">
        <f>"603025"</f>
        <v>603025</v>
      </c>
      <c r="C2951" t="s">
        <v>291</v>
      </c>
      <c r="D2951" t="str">
        <f>[1]!EM_S_INFO_INDEX_EM(B2951,"1")</f>
        <v>电子设备</v>
      </c>
      <c r="E2951" s="4">
        <f t="shared" si="46"/>
        <v>43465</v>
      </c>
      <c r="F2951" s="11">
        <f>[1]!EM_S_PQ_PCTCHANGE(B2951,"2018-01-01","2019-12-31","3")</f>
        <v>-30.744262519999999</v>
      </c>
      <c r="G2951" s="11">
        <f>[1]!EM_S_PQ_PCTCHANGE(B2951,"2018-12-31","2019-12-30","1")</f>
        <v>-15.69506726</v>
      </c>
      <c r="H2951" s="11">
        <f>[1]!EM_S_FA_YOY_OR(B2951,E2951)</f>
        <v>1.6703636336000001</v>
      </c>
      <c r="I2951" s="11">
        <f>[1]!EM_S_FA_GROSSPROFITMARGIN(B2951,E2951)</f>
        <v>48.934064257700001</v>
      </c>
      <c r="J2951" s="11">
        <f>[1]!EM_S_FA_NETPROFITMARGIN(B2951,E2951)</f>
        <v>34.477519080699999</v>
      </c>
      <c r="K2951" s="10">
        <f>[1]!EM_S_FA_ASSETSTURN(B2951,E2951)</f>
        <v>0.52412163035399995</v>
      </c>
      <c r="L2951" s="12">
        <f>[1]!EM_HKS_VAL_MV(B2951,"2019-12-31","2")</f>
        <v>8770656703.1700001</v>
      </c>
      <c r="M2951">
        <f>[1]!EM_S_VAL_PETTMDEDUCTED(B2951,E2951)</f>
        <v>27.771020970086798</v>
      </c>
      <c r="N2951" s="7">
        <f>[1]!EM_S_VAL_PBGOODWILLDEDUCTED(B2951,E2951)</f>
        <v>6.1513322059681599</v>
      </c>
      <c r="O2951" s="7">
        <f>[1]!EM_S_VAL_PS_TTM(B2951,E2951)</f>
        <v>8.9110015887050107</v>
      </c>
      <c r="P2951" s="7">
        <f>[1]!EM_S_VAL_PCF_NCFTTM(B2951,E2951)</f>
        <v>131.21743220158399</v>
      </c>
      <c r="Q2951" s="7">
        <f>[1]!EM_S_VAL_DIVIDENDYIELD2(B2951,E2951,"2019-11-29")</f>
        <v>3.4127974007489579</v>
      </c>
      <c r="T2951"/>
      <c r="U2951">
        <f>[1]!EM_S_RATIO_EPS_TTM(B2951,E2951,"1")</f>
        <v>0.40088452005239916</v>
      </c>
      <c r="AT2951" s="4" t="str">
        <f>[1]!EM_S_IPO_LISTEDDATE(B2951)</f>
        <v>2015-04-22</v>
      </c>
    </row>
    <row r="2952" spans="1:46">
      <c r="A2952">
        <v>2038</v>
      </c>
      <c r="B2952" t="str">
        <f>"300619"</f>
        <v>300619</v>
      </c>
      <c r="C2952" t="s">
        <v>2282</v>
      </c>
      <c r="D2952" t="str">
        <f>[1]!EM_S_INFO_INDEX_EM(B2952,"1")</f>
        <v>机械设备</v>
      </c>
      <c r="E2952" s="4">
        <f t="shared" si="46"/>
        <v>43465</v>
      </c>
      <c r="F2952" s="11">
        <f>[1]!EM_S_PQ_PCTCHANGE(B2952,"2018-01-01","2019-12-31","3")</f>
        <v>-49.738270079999999</v>
      </c>
      <c r="G2952" s="11">
        <f>[1]!EM_S_PQ_PCTCHANGE(B2952,"2018-12-31","2019-12-30","1")</f>
        <v>-15.70909091</v>
      </c>
      <c r="H2952" s="11">
        <f>[1]!EM_S_FA_YOY_OR(B2952,E2952)</f>
        <v>31.031689016800001</v>
      </c>
      <c r="I2952" s="11">
        <f>[1]!EM_S_FA_GROSSPROFITMARGIN(B2952,E2952)</f>
        <v>25.938918169000001</v>
      </c>
      <c r="J2952" s="11">
        <f>[1]!EM_S_FA_NETPROFITMARGIN(B2952,E2952)</f>
        <v>7.2057098915999998</v>
      </c>
      <c r="K2952" s="10">
        <f>[1]!EM_S_FA_ASSETSTURN(B2952,E2952)</f>
        <v>0.70109603685800004</v>
      </c>
      <c r="L2952" s="12">
        <f>[1]!EM_HKS_VAL_MV(B2952,"2019-12-31","2")</f>
        <v>1734816400</v>
      </c>
      <c r="M2952">
        <f>[1]!EM_S_VAL_PETTMDEDUCTED(B2952,E2952)</f>
        <v>47.434681046242403</v>
      </c>
      <c r="N2952" s="7">
        <f>[1]!EM_S_VAL_PBGOODWILLDEDUCTED(B2952,E2952)</f>
        <v>4.4914809565872096</v>
      </c>
      <c r="O2952" s="7">
        <f>[1]!EM_S_VAL_PS_TTM(B2952,E2952)</f>
        <v>3.2003460529371801</v>
      </c>
      <c r="P2952" s="7">
        <f>[1]!EM_S_VAL_PCF_NCFTTM(B2952,E2952)</f>
        <v>-26.321154330588499</v>
      </c>
      <c r="Q2952" s="7">
        <f>[1]!EM_S_VAL_DIVIDENDYIELD2(B2952,E2952,"2019-11-29")</f>
        <v>0.30148423005565861</v>
      </c>
      <c r="T2952"/>
      <c r="U2952">
        <f>[1]!EM_S_RATIO_EPS_TTM(B2952,E2952,"1")</f>
        <v>0.62084674758971614</v>
      </c>
      <c r="AT2952" s="4" t="str">
        <f>[1]!EM_S_IPO_LISTEDDATE(B2952)</f>
        <v>2017-03-01</v>
      </c>
    </row>
    <row r="2953" spans="1:46">
      <c r="A2953">
        <v>1261</v>
      </c>
      <c r="B2953" t="str">
        <f>"002752"</f>
        <v>002752</v>
      </c>
      <c r="C2953" t="s">
        <v>1829</v>
      </c>
      <c r="D2953" t="str">
        <f>[1]!EM_S_INFO_INDEX_EM(B2953,"1")</f>
        <v>轻工制造</v>
      </c>
      <c r="E2953" s="4">
        <f t="shared" si="46"/>
        <v>43465</v>
      </c>
      <c r="F2953" s="11">
        <f>[1]!EM_S_PQ_PCTCHANGE(B2953,"2018-01-01","2019-12-31","3")</f>
        <v>-42.793888369999998</v>
      </c>
      <c r="G2953" s="11">
        <f>[1]!EM_S_PQ_PCTCHANGE(B2953,"2018-12-31","2019-12-30","1")</f>
        <v>-15.724137929999999</v>
      </c>
      <c r="H2953" s="11">
        <f>[1]!EM_S_FA_YOY_OR(B2953,E2953)</f>
        <v>2.1012046763000001</v>
      </c>
      <c r="I2953" s="11">
        <f>[1]!EM_S_FA_GROSSPROFITMARGIN(B2953,E2953)</f>
        <v>13.756364119000001</v>
      </c>
      <c r="J2953" s="11">
        <f>[1]!EM_S_FA_NETPROFITMARGIN(B2953,E2953)</f>
        <v>1.9733342966</v>
      </c>
      <c r="K2953" s="10">
        <f>[1]!EM_S_FA_ASSETSTURN(B2953,E2953)</f>
        <v>0.60605184493399999</v>
      </c>
      <c r="L2953" s="12">
        <f>[1]!EM_HKS_VAL_MV(B2953,"2019-12-31","2")</f>
        <v>5115728386.6599998</v>
      </c>
      <c r="M2953">
        <f>[1]!EM_S_VAL_PETTMDEDUCTED(B2953,E2953)</f>
        <v>137.798241139921</v>
      </c>
      <c r="N2953" s="7">
        <f>[1]!EM_S_VAL_PBGOODWILLDEDUCTED(B2953,E2953)</f>
        <v>3.6664115286274899</v>
      </c>
      <c r="O2953" s="7">
        <f>[1]!EM_S_VAL_PS_TTM(B2953,E2953)</f>
        <v>2.8963282143729301</v>
      </c>
      <c r="P2953" s="7">
        <f>[1]!EM_S_VAL_PCF_NCFTTM(B2953,E2953)</f>
        <v>-85.1085050173849</v>
      </c>
      <c r="Q2953" s="7">
        <f>[1]!EM_S_VAL_DIVIDENDYIELD2(B2953,E2953,"2019-11-29")</f>
        <v>0.44247787610619471</v>
      </c>
      <c r="T2953"/>
      <c r="U2953">
        <f>[1]!EM_S_RATIO_EPS_TTM(B2953,E2953,"1")</f>
        <v>5.120749228655453E-2</v>
      </c>
      <c r="AT2953" s="4" t="str">
        <f>[1]!EM_S_IPO_LISTEDDATE(B2953)</f>
        <v>2015-04-22</v>
      </c>
    </row>
    <row r="2954" spans="1:46">
      <c r="A2954">
        <v>1141</v>
      </c>
      <c r="B2954" t="str">
        <f>"002630"</f>
        <v>002630</v>
      </c>
      <c r="C2954" t="s">
        <v>2622</v>
      </c>
      <c r="D2954" t="str">
        <f>[1]!EM_S_INFO_INDEX_EM(B2954,"1")</f>
        <v>电气设备</v>
      </c>
      <c r="E2954" s="4">
        <f t="shared" si="46"/>
        <v>43465</v>
      </c>
      <c r="F2954" s="11">
        <f>[1]!EM_S_PQ_PCTCHANGE(B2954,"2018-01-01","2019-12-31","3")</f>
        <v>-64.841821980000006</v>
      </c>
      <c r="G2954" s="11">
        <f>[1]!EM_S_PQ_PCTCHANGE(B2954,"2018-12-31","2019-12-30","1")</f>
        <v>-15.78947368</v>
      </c>
      <c r="H2954" s="11">
        <f>[1]!EM_S_FA_YOY_OR(B2954,E2954)</f>
        <v>-11.7653775484</v>
      </c>
      <c r="I2954" s="11">
        <f>[1]!EM_S_FA_GROSSPROFITMARGIN(B2954,E2954)</f>
        <v>20.424457720500001</v>
      </c>
      <c r="J2954" s="11">
        <f>[1]!EM_S_FA_NETPROFITMARGIN(B2954,E2954)</f>
        <v>-3.9711185534000002</v>
      </c>
      <c r="K2954" s="10">
        <f>[1]!EM_S_FA_ASSETSTURN(B2954,E2954)</f>
        <v>0.25190762513600001</v>
      </c>
      <c r="L2954" s="12">
        <f>[1]!EM_HKS_VAL_MV(B2954,"2019-12-31","2")</f>
        <v>2822112000</v>
      </c>
      <c r="M2954">
        <f>[1]!EM_S_VAL_PETTMDEDUCTED(B2954,E2954)</f>
        <v>28.829361906959399</v>
      </c>
      <c r="N2954" s="7">
        <f>[1]!EM_S_VAL_PBGOODWILLDEDUCTED(B2954,E2954)</f>
        <v>1.07343029965667</v>
      </c>
      <c r="O2954" s="7">
        <f>[1]!EM_S_VAL_PS_TTM(B2954,E2954)</f>
        <v>0.72003978887341502</v>
      </c>
      <c r="P2954" s="7">
        <f>[1]!EM_S_VAL_PCF_NCFTTM(B2954,E2954)</f>
        <v>-17.010113530539101</v>
      </c>
      <c r="Q2954" s="7">
        <f>[1]!EM_S_VAL_DIVIDENDYIELD2(B2954,E2954,"2019-11-29")</f>
        <v>0</v>
      </c>
      <c r="T2954"/>
      <c r="U2954">
        <f>[1]!EM_S_RATIO_EPS_TTM(B2954,E2954,"1")</f>
        <v>-0.12044274800135502</v>
      </c>
      <c r="AT2954" s="4" t="str">
        <f>[1]!EM_S_IPO_LISTEDDATE(B2954)</f>
        <v>2011-11-11</v>
      </c>
    </row>
    <row r="2955" spans="1:46">
      <c r="A2955">
        <v>2811</v>
      </c>
      <c r="B2955" t="str">
        <f>"600738"</f>
        <v>600738</v>
      </c>
      <c r="C2955" t="s">
        <v>782</v>
      </c>
      <c r="D2955" t="str">
        <f>[1]!EM_S_INFO_INDEX_EM(B2955,"1")</f>
        <v>商贸零售</v>
      </c>
      <c r="E2955" s="4">
        <f t="shared" si="46"/>
        <v>43465</v>
      </c>
      <c r="F2955" s="11">
        <f>[1]!EM_S_PQ_PCTCHANGE(B2955,"2018-01-01","2019-12-31","3")</f>
        <v>-16.81192721</v>
      </c>
      <c r="G2955" s="11">
        <f>[1]!EM_S_PQ_PCTCHANGE(B2955,"2018-12-31","2019-12-30","1")</f>
        <v>-15.78947368</v>
      </c>
      <c r="H2955" s="11">
        <f>[1]!EM_S_FA_YOY_OR(B2955,E2955)</f>
        <v>1.1819365739000001</v>
      </c>
      <c r="I2955" s="11">
        <f>[1]!EM_S_FA_GROSSPROFITMARGIN(B2955,E2955)</f>
        <v>34.920850870000002</v>
      </c>
      <c r="J2955" s="11">
        <f>[1]!EM_S_FA_NETPROFITMARGIN(B2955,E2955)</f>
        <v>114.59044455039999</v>
      </c>
      <c r="K2955" s="10">
        <f>[1]!EM_S_FA_ASSETSTURN(B2955,E2955)</f>
        <v>0.257813068679</v>
      </c>
      <c r="L2955" s="12">
        <f>[1]!EM_HKS_VAL_MV(B2955,"2019-12-31","2")</f>
        <v>3820914511.4400001</v>
      </c>
      <c r="M2955">
        <f>[1]!EM_S_VAL_PETTMDEDUCTED(B2955,E2955)</f>
        <v>33.332742905922203</v>
      </c>
      <c r="N2955" s="7">
        <f>[1]!EM_S_VAL_PBGOODWILLDEDUCTED(B2955,E2955)</f>
        <v>1.4754481176781999</v>
      </c>
      <c r="O2955" s="7">
        <f>[1]!EM_S_VAL_PS_TTM(B2955,E2955)</f>
        <v>3.17773157122644</v>
      </c>
      <c r="P2955" s="7">
        <f>[1]!EM_S_VAL_PCF_NCFTTM(B2955,E2955)</f>
        <v>3.02781859702195</v>
      </c>
      <c r="Q2955" s="7">
        <f>[1]!EM_S_VAL_DIVIDENDYIELD2(B2955,E2955,"2019-11-29")</f>
        <v>30.973666264208788</v>
      </c>
      <c r="T2955"/>
      <c r="U2955">
        <f>[1]!EM_S_RATIO_EPS_TTM(B2955,E2955,"1")</f>
        <v>2.0230330910394936</v>
      </c>
      <c r="AT2955" s="4" t="str">
        <f>[1]!EM_S_IPO_LISTEDDATE(B2955)</f>
        <v>1996-08-02</v>
      </c>
    </row>
    <row r="2956" spans="1:46">
      <c r="A2956">
        <v>1810</v>
      </c>
      <c r="B2956" t="str">
        <f>"300385"</f>
        <v>300385</v>
      </c>
      <c r="C2956" t="s">
        <v>1483</v>
      </c>
      <c r="D2956" t="str">
        <f>[1]!EM_S_INFO_INDEX_EM(B2956,"1")</f>
        <v>机械设备</v>
      </c>
      <c r="E2956" s="4">
        <f t="shared" si="46"/>
        <v>43465</v>
      </c>
      <c r="F2956" s="11">
        <f>[1]!EM_S_PQ_PCTCHANGE(B2956,"2018-01-01","2019-12-31","3")</f>
        <v>-20.35110559</v>
      </c>
      <c r="G2956" s="11">
        <f>[1]!EM_S_PQ_PCTCHANGE(B2956,"2018-12-31","2019-12-30","1")</f>
        <v>-15.804394050000001</v>
      </c>
      <c r="H2956" s="11">
        <f>[1]!EM_S_FA_YOY_OR(B2956,E2956)</f>
        <v>17.3207888305</v>
      </c>
      <c r="I2956" s="11">
        <f>[1]!EM_S_FA_GROSSPROFITMARGIN(B2956,E2956)</f>
        <v>24.662474811799999</v>
      </c>
      <c r="J2956" s="11">
        <f>[1]!EM_S_FA_NETPROFITMARGIN(B2956,E2956)</f>
        <v>3.9713016039000002</v>
      </c>
      <c r="K2956" s="10">
        <f>[1]!EM_S_FA_ASSETSTURN(B2956,E2956)</f>
        <v>0.39663383826900001</v>
      </c>
      <c r="L2956" s="12">
        <f>[1]!EM_HKS_VAL_MV(B2956,"2019-12-31","2")</f>
        <v>2521498278.8800001</v>
      </c>
      <c r="M2956">
        <f>[1]!EM_S_VAL_PETTMDEDUCTED(B2956,E2956)</f>
        <v>28.334062324295999</v>
      </c>
      <c r="N2956" s="7">
        <f>[1]!EM_S_VAL_PBGOODWILLDEDUCTED(B2956,E2956)</f>
        <v>1.61272332608948</v>
      </c>
      <c r="O2956" s="7">
        <f>[1]!EM_S_VAL_PS_TTM(B2956,E2956)</f>
        <v>2.0616223435888101</v>
      </c>
      <c r="P2956" s="7">
        <f>[1]!EM_S_VAL_PCF_NCFTTM(B2956,E2956)</f>
        <v>-34.791185755242701</v>
      </c>
      <c r="Q2956" s="7">
        <f>[1]!EM_S_VAL_DIVIDENDYIELD2(B2956,E2956,"2019-11-29")</f>
        <v>0.3916741271262309</v>
      </c>
      <c r="T2956"/>
      <c r="U2956">
        <f>[1]!EM_S_RATIO_EPS_TTM(B2956,E2956,"1")</f>
        <v>0.33288749271622503</v>
      </c>
      <c r="AT2956" s="4" t="str">
        <f>[1]!EM_S_IPO_LISTEDDATE(B2956)</f>
        <v>2014-06-26</v>
      </c>
    </row>
    <row r="2957" spans="1:46">
      <c r="A2957">
        <v>276</v>
      </c>
      <c r="B2957" t="str">
        <f>"000690"</f>
        <v>000690</v>
      </c>
      <c r="C2957" t="s">
        <v>2486</v>
      </c>
      <c r="D2957" t="str">
        <f>[1]!EM_S_INFO_INDEX_EM(B2957,"1")</f>
        <v>公用事业</v>
      </c>
      <c r="E2957" s="4">
        <f t="shared" si="46"/>
        <v>43465</v>
      </c>
      <c r="F2957" s="11">
        <f>[1]!EM_S_PQ_PCTCHANGE(B2957,"2018-01-01","2019-12-31","3")</f>
        <v>-28.01745601</v>
      </c>
      <c r="G2957" s="11">
        <f>[1]!EM_S_PQ_PCTCHANGE(B2957,"2018-12-31","2019-12-30","1")</f>
        <v>-15.89895988</v>
      </c>
      <c r="H2957" s="11">
        <f>[1]!EM_S_FA_YOY_OR(B2957,E2957)</f>
        <v>52.464676983499999</v>
      </c>
      <c r="I2957" s="11">
        <f>[1]!EM_S_FA_GROSSPROFITMARGIN(B2957,E2957)</f>
        <v>31.580872532899999</v>
      </c>
      <c r="J2957" s="11">
        <f>[1]!EM_S_FA_NETPROFITMARGIN(B2957,E2957)</f>
        <v>12.056450853499999</v>
      </c>
      <c r="K2957" s="10">
        <f>[1]!EM_S_FA_ASSETSTURN(B2957,E2957)</f>
        <v>0.19671973297000001</v>
      </c>
      <c r="L2957" s="12">
        <f>[1]!EM_HKS_VAL_MV(B2957,"2019-12-31","2")</f>
        <v>12293766420.299999</v>
      </c>
      <c r="M2957">
        <f>[1]!EM_S_VAL_PETTMDEDUCTED(B2957,E2957)</f>
        <v>75.557869401648901</v>
      </c>
      <c r="N2957" s="7">
        <f>[1]!EM_S_VAL_PBGOODWILLDEDUCTED(B2957,E2957)</f>
        <v>1.65308316756801</v>
      </c>
      <c r="O2957" s="7">
        <f>[1]!EM_S_VAL_PS_TTM(B2957,E2957)</f>
        <v>4.2058615941670903</v>
      </c>
      <c r="P2957" s="7">
        <f>[1]!EM_S_VAL_PCF_NCFTTM(B2957,E2957)</f>
        <v>6.3978903282962802</v>
      </c>
      <c r="Q2957" s="7">
        <f>[1]!EM_S_VAL_DIVIDENDYIELD2(B2957,E2957,"2019-11-29")</f>
        <v>1.7452006980802792</v>
      </c>
      <c r="T2957"/>
      <c r="U2957">
        <f>[1]!EM_S_RATIO_EPS_TTM(B2957,E2957,"1")</f>
        <v>0.21273670314725071</v>
      </c>
      <c r="AT2957" s="4" t="str">
        <f>[1]!EM_S_IPO_LISTEDDATE(B2957)</f>
        <v>1997-01-28</v>
      </c>
    </row>
    <row r="2958" spans="1:46">
      <c r="A2958">
        <v>1655</v>
      </c>
      <c r="B2958" t="str">
        <f>"300230"</f>
        <v>300230</v>
      </c>
      <c r="C2958" t="s">
        <v>1460</v>
      </c>
      <c r="D2958" t="str">
        <f>[1]!EM_S_INFO_INDEX_EM(B2958,"1")</f>
        <v>基础化工</v>
      </c>
      <c r="E2958" s="4">
        <f t="shared" si="46"/>
        <v>43465</v>
      </c>
      <c r="F2958" s="11">
        <f>[1]!EM_S_PQ_PCTCHANGE(B2958,"2018-01-01","2019-12-31","3")</f>
        <v>-43.419627920000003</v>
      </c>
      <c r="G2958" s="11">
        <f>[1]!EM_S_PQ_PCTCHANGE(B2958,"2018-12-31","2019-12-30","1")</f>
        <v>-15.98360656</v>
      </c>
      <c r="H2958" s="11">
        <f>[1]!EM_S_FA_YOY_OR(B2958,E2958)</f>
        <v>11.7702897358</v>
      </c>
      <c r="I2958" s="11">
        <f>[1]!EM_S_FA_GROSSPROFITMARGIN(B2958,E2958)</f>
        <v>28.8748044146</v>
      </c>
      <c r="J2958" s="11">
        <f>[1]!EM_S_FA_NETPROFITMARGIN(B2958,E2958)</f>
        <v>11.7659864903</v>
      </c>
      <c r="K2958" s="10">
        <f>[1]!EM_S_FA_ASSETSTURN(B2958,E2958)</f>
        <v>0.78534649816500002</v>
      </c>
      <c r="L2958" s="12">
        <f>[1]!EM_HKS_VAL_MV(B2958,"2019-12-31","2")</f>
        <v>3379093009.7399998</v>
      </c>
      <c r="M2958">
        <f>[1]!EM_S_VAL_PETTMDEDUCTED(B2958,E2958)</f>
        <v>11.174655354387699</v>
      </c>
      <c r="N2958" s="7">
        <f>[1]!EM_S_VAL_PBGOODWILLDEDUCTED(B2958,E2958)</f>
        <v>1.9806728589371601</v>
      </c>
      <c r="O2958" s="7">
        <f>[1]!EM_S_VAL_PS_TTM(B2958,E2958)</f>
        <v>1.1603226416319401</v>
      </c>
      <c r="P2958" s="7">
        <f>[1]!EM_S_VAL_PCF_NCFTTM(B2958,E2958)</f>
        <v>-19.7195848703252</v>
      </c>
      <c r="Q2958" s="7">
        <f>[1]!EM_S_VAL_DIVIDENDYIELD2(B2958,E2958,"2019-11-29")</f>
        <v>6.4473684210526319</v>
      </c>
      <c r="T2958"/>
      <c r="U2958">
        <f>[1]!EM_S_RATIO_EPS_TTM(B2958,E2958,"1")</f>
        <v>0.4751896082695129</v>
      </c>
      <c r="AT2958" s="4" t="str">
        <f>[1]!EM_S_IPO_LISTEDDATE(B2958)</f>
        <v>2011-06-15</v>
      </c>
    </row>
    <row r="2959" spans="1:46">
      <c r="A2959">
        <v>2159</v>
      </c>
      <c r="B2959" t="str">
        <f>"300747"</f>
        <v>300747</v>
      </c>
      <c r="C2959" t="s">
        <v>38</v>
      </c>
      <c r="D2959" t="str">
        <f>[1]!EM_S_INFO_INDEX_EM(B2959,"1")</f>
        <v>电子设备</v>
      </c>
      <c r="E2959" s="4">
        <f t="shared" si="46"/>
        <v>43465</v>
      </c>
      <c r="F2959" s="11">
        <f>[1]!EM_S_PQ_PCTCHANGE(B2959,"2018-01-01","2019-12-31","3")</f>
        <v>365.45263891000002</v>
      </c>
      <c r="G2959" s="11">
        <f>[1]!EM_S_PQ_PCTCHANGE(B2959,"2018-12-31","2019-12-30","1")</f>
        <v>-15.98837209</v>
      </c>
      <c r="H2959" s="11">
        <f>[1]!EM_S_FA_YOY_OR(B2959,E2959)</f>
        <v>53.625151000499997</v>
      </c>
      <c r="I2959" s="11">
        <f>[1]!EM_S_FA_GROSSPROFITMARGIN(B2959,E2959)</f>
        <v>45.3225616589</v>
      </c>
      <c r="J2959" s="11">
        <f>[1]!EM_S_FA_NETPROFITMARGIN(B2959,E2959)</f>
        <v>30.090569427599998</v>
      </c>
      <c r="K2959" s="10">
        <f>[1]!EM_S_FA_ASSETSTURN(B2959,E2959)</f>
        <v>0.92717400250100002</v>
      </c>
      <c r="L2959" s="12">
        <f>[1]!EM_HKS_VAL_MV(B2959,"2019-12-31","2")</f>
        <v>22617600000</v>
      </c>
      <c r="M2959">
        <f>[1]!EM_S_VAL_PETTMDEDUCTED(B2959,E2959)</f>
        <v>45.685670093792197</v>
      </c>
      <c r="N2959" s="7">
        <f>[1]!EM_S_VAL_PBGOODWILLDEDUCTED(B2959,E2959)</f>
        <v>8.6576038292961908</v>
      </c>
      <c r="O2959" s="7">
        <f>[1]!EM_S_VAL_PS_TTM(B2959,E2959)</f>
        <v>12.7289808042436</v>
      </c>
      <c r="P2959" s="7">
        <f>[1]!EM_S_VAL_PCF_NCFTTM(B2959,E2959)</f>
        <v>182.26030345053601</v>
      </c>
      <c r="Q2959" s="7">
        <f>[1]!EM_S_VAL_DIVIDENDYIELD2(B2959,E2959,"2019-11-29")</f>
        <v>0.32792261026397768</v>
      </c>
      <c r="T2959"/>
      <c r="U2959">
        <f>[1]!EM_S_RATIO_EPS_TTM(B2959,E2959,"1")</f>
        <v>3.3791012971875003</v>
      </c>
      <c r="AT2959" s="4" t="str">
        <f>[1]!EM_S_IPO_LISTEDDATE(B2959)</f>
        <v>2018-06-25</v>
      </c>
    </row>
    <row r="2960" spans="1:46">
      <c r="A2960">
        <v>775</v>
      </c>
      <c r="B2960" t="str">
        <f>"002264"</f>
        <v>002264</v>
      </c>
      <c r="C2960" t="s">
        <v>1581</v>
      </c>
      <c r="D2960" t="str">
        <f>[1]!EM_S_INFO_INDEX_EM(B2960,"1")</f>
        <v>商贸零售</v>
      </c>
      <c r="E2960" s="4">
        <f t="shared" si="46"/>
        <v>43465</v>
      </c>
      <c r="F2960" s="11">
        <f>[1]!EM_S_PQ_PCTCHANGE(B2960,"2018-01-01","2019-12-31","3")</f>
        <v>-50.565262079999997</v>
      </c>
      <c r="G2960" s="11">
        <f>[1]!EM_S_PQ_PCTCHANGE(B2960,"2018-12-31","2019-12-30","1")</f>
        <v>-16.055846420000002</v>
      </c>
      <c r="H2960" s="11">
        <f>[1]!EM_S_FA_YOY_OR(B2960,E2960)</f>
        <v>-1.7572519009000001</v>
      </c>
      <c r="I2960" s="11">
        <f>[1]!EM_S_FA_GROSSPROFITMARGIN(B2960,E2960)</f>
        <v>22.376387935299999</v>
      </c>
      <c r="J2960" s="11">
        <f>[1]!EM_S_FA_NETPROFITMARGIN(B2960,E2960)</f>
        <v>-9.4139200000000002E-5</v>
      </c>
      <c r="K2960" s="10">
        <f>[1]!EM_S_FA_ASSETSTURN(B2960,E2960)</f>
        <v>1.9179521791</v>
      </c>
      <c r="L2960" s="12">
        <f>[1]!EM_HKS_VAL_MV(B2960,"2019-12-31","2")</f>
        <v>3292752262.8000002</v>
      </c>
      <c r="M2960">
        <f>[1]!EM_S_VAL_PETTMDEDUCTED(B2960,E2960)</f>
        <v>-103.726808833992</v>
      </c>
      <c r="N2960" s="7">
        <f>[1]!EM_S_VAL_PBGOODWILLDEDUCTED(B2960,E2960)</f>
        <v>3.9999218117301001</v>
      </c>
      <c r="O2960" s="7">
        <f>[1]!EM_S_VAL_PS_TTM(B2960,E2960)</f>
        <v>0.57176371233897705</v>
      </c>
      <c r="P2960" s="7">
        <f>[1]!EM_S_VAL_PCF_NCFTTM(B2960,E2960)</f>
        <v>22.449325827917701</v>
      </c>
      <c r="Q2960" s="7">
        <f>[1]!EM_S_VAL_DIVIDENDYIELD2(B2960,E2960,"2019-11-29")</f>
        <v>0</v>
      </c>
      <c r="T2960"/>
      <c r="U2960">
        <f>[1]!EM_S_RATIO_EPS_TTM(B2960,E2960,"1")</f>
        <v>2.4730925833778058E-2</v>
      </c>
      <c r="AT2960" s="4" t="str">
        <f>[1]!EM_S_IPO_LISTEDDATE(B2960)</f>
        <v>2008-07-31</v>
      </c>
    </row>
    <row r="2961" spans="1:46">
      <c r="A2961">
        <v>847</v>
      </c>
      <c r="B2961" t="str">
        <f>"002336"</f>
        <v>002336</v>
      </c>
      <c r="C2961" t="s">
        <v>756</v>
      </c>
      <c r="D2961" t="str">
        <f>[1]!EM_S_INFO_INDEX_EM(B2961,"1")</f>
        <v>商贸零售</v>
      </c>
      <c r="E2961" s="4">
        <f t="shared" si="46"/>
        <v>43465</v>
      </c>
      <c r="F2961" s="11">
        <f>[1]!EM_S_PQ_PCTCHANGE(B2961,"2018-01-01","2019-12-31","3")</f>
        <v>-47.221983899999998</v>
      </c>
      <c r="G2961" s="11">
        <f>[1]!EM_S_PQ_PCTCHANGE(B2961,"2018-12-31","2019-12-30","1")</f>
        <v>-16.057233700000001</v>
      </c>
      <c r="H2961" s="11">
        <f>[1]!EM_S_FA_YOY_OR(B2961,E2961)</f>
        <v>-8.1800237114000005</v>
      </c>
      <c r="I2961" s="11">
        <f>[1]!EM_S_FA_GROSSPROFITMARGIN(B2961,E2961)</f>
        <v>25.1807616569</v>
      </c>
      <c r="J2961" s="11">
        <f>[1]!EM_S_FA_NETPROFITMARGIN(B2961,E2961)</f>
        <v>-4.3704115268999999</v>
      </c>
      <c r="K2961" s="10">
        <f>[1]!EM_S_FA_ASSETSTURN(B2961,E2961)</f>
        <v>1.6399804380780001</v>
      </c>
      <c r="L2961" s="12">
        <f>[1]!EM_HKS_VAL_MV(B2961,"2019-12-31","2")</f>
        <v>2305600000</v>
      </c>
      <c r="M2961">
        <f>[1]!EM_S_VAL_PETTMDEDUCTED(B2961,E2961)</f>
        <v>-10.0343669246265</v>
      </c>
      <c r="N2961" s="7">
        <f>[1]!EM_S_VAL_PBGOODWILLDEDUCTED(B2961,E2961)</f>
        <v>1.7800861735539499</v>
      </c>
      <c r="O2961" s="7">
        <f>[1]!EM_S_VAL_PS_TTM(B2961,E2961)</f>
        <v>0.30490846341670902</v>
      </c>
      <c r="P2961" s="7">
        <f>[1]!EM_S_VAL_PCF_NCFTTM(B2961,E2961)</f>
        <v>-8.0219540650601804</v>
      </c>
      <c r="Q2961" s="7">
        <f>[1]!EM_S_VAL_DIVIDENDYIELD2(B2961,E2961,"2019-11-29")</f>
        <v>0</v>
      </c>
      <c r="T2961"/>
      <c r="U2961">
        <f>[1]!EM_S_RATIO_EPS_TTM(B2961,E2961,"1")</f>
        <v>-0.88743553419999999</v>
      </c>
      <c r="AT2961" s="4" t="str">
        <f>[1]!EM_S_IPO_LISTEDDATE(B2961)</f>
        <v>2010-01-13</v>
      </c>
    </row>
    <row r="2962" spans="1:46">
      <c r="A2962">
        <v>1916</v>
      </c>
      <c r="B2962" t="str">
        <f>"300491"</f>
        <v>300491</v>
      </c>
      <c r="C2962" t="s">
        <v>3252</v>
      </c>
      <c r="D2962" t="str">
        <f>[1]!EM_S_INFO_INDEX_EM(B2962,"1")</f>
        <v>电气设备</v>
      </c>
      <c r="E2962" s="4">
        <f t="shared" si="46"/>
        <v>43465</v>
      </c>
      <c r="F2962" s="11">
        <f>[1]!EM_S_PQ_PCTCHANGE(B2962,"2018-01-01","2019-12-31","3")</f>
        <v>-26.920916399999999</v>
      </c>
      <c r="G2962" s="11">
        <f>[1]!EM_S_PQ_PCTCHANGE(B2962,"2018-12-31","2019-12-30","1")</f>
        <v>-16.164207829999999</v>
      </c>
      <c r="H2962" s="11">
        <f>[1]!EM_S_FA_YOY_OR(B2962,E2962)</f>
        <v>-25.309675859199999</v>
      </c>
      <c r="I2962" s="11">
        <f>[1]!EM_S_FA_GROSSPROFITMARGIN(B2962,E2962)</f>
        <v>36.200220176800002</v>
      </c>
      <c r="J2962" s="11">
        <f>[1]!EM_S_FA_NETPROFITMARGIN(B2962,E2962)</f>
        <v>-8.7446403781999997</v>
      </c>
      <c r="K2962" s="10">
        <f>[1]!EM_S_FA_ASSETSTURN(B2962,E2962)</f>
        <v>0.289702280975</v>
      </c>
      <c r="L2962" s="12">
        <f>[1]!EM_HKS_VAL_MV(B2962,"2019-12-31","2")</f>
        <v>2091507154.03</v>
      </c>
      <c r="M2962">
        <f>[1]!EM_S_VAL_PETTMDEDUCTED(B2962,E2962)</f>
        <v>165.71432251729399</v>
      </c>
      <c r="N2962" s="7">
        <f>[1]!EM_S_VAL_PBGOODWILLDEDUCTED(B2962,E2962)</f>
        <v>5.4692802888816399</v>
      </c>
      <c r="O2962" s="7">
        <f>[1]!EM_S_VAL_PS_TTM(B2962,E2962)</f>
        <v>10.931791590444501</v>
      </c>
      <c r="P2962" s="7">
        <f>[1]!EM_S_VAL_PCF_NCFTTM(B2962,E2962)</f>
        <v>-29.0422571347464</v>
      </c>
      <c r="Q2962" s="7">
        <f>[1]!EM_S_VAL_DIVIDENDYIELD2(B2962,E2962,"2019-11-29")</f>
        <v>0</v>
      </c>
      <c r="T2962"/>
      <c r="U2962">
        <f>[1]!EM_S_RATIO_EPS_TTM(B2962,E2962,"1")</f>
        <v>-9.7587622576880528E-2</v>
      </c>
      <c r="AT2962" s="4" t="str">
        <f>[1]!EM_S_IPO_LISTEDDATE(B2962)</f>
        <v>2015-12-31</v>
      </c>
    </row>
    <row r="2963" spans="1:46">
      <c r="A2963">
        <v>3457</v>
      </c>
      <c r="B2963" t="str">
        <f>"603608"</f>
        <v>603608</v>
      </c>
      <c r="C2963" t="s">
        <v>570</v>
      </c>
      <c r="D2963" t="str">
        <f>[1]!EM_S_INFO_INDEX_EM(B2963,"1")</f>
        <v>纺织服装</v>
      </c>
      <c r="E2963" s="4">
        <f t="shared" si="46"/>
        <v>43465</v>
      </c>
      <c r="F2963" s="11">
        <f>[1]!EM_S_PQ_PCTCHANGE(B2963,"2018-01-01","2019-12-31","3")</f>
        <v>-10.906367019999999</v>
      </c>
      <c r="G2963" s="11">
        <f>[1]!EM_S_PQ_PCTCHANGE(B2963,"2018-12-31","2019-12-30","1")</f>
        <v>-16.184448459999999</v>
      </c>
      <c r="H2963" s="11">
        <f>[1]!EM_S_FA_YOY_OR(B2963,E2963)</f>
        <v>18.369504442099998</v>
      </c>
      <c r="I2963" s="11">
        <f>[1]!EM_S_FA_GROSSPROFITMARGIN(B2963,E2963)</f>
        <v>56.013332942799998</v>
      </c>
      <c r="J2963" s="11">
        <f>[1]!EM_S_FA_NETPROFITMARGIN(B2963,E2963)</f>
        <v>11.930731246500001</v>
      </c>
      <c r="K2963" s="10">
        <f>[1]!EM_S_FA_ASSETSTURN(B2963,E2963)</f>
        <v>0.74018441805199997</v>
      </c>
      <c r="L2963" s="12">
        <f>[1]!EM_HKS_VAL_MV(B2963,"2019-12-31","2")</f>
        <v>4094006564.8299999</v>
      </c>
      <c r="M2963">
        <f>[1]!EM_S_VAL_PETTMDEDUCTED(B2963,E2963)</f>
        <v>23.646833449657599</v>
      </c>
      <c r="N2963" s="7">
        <f>[1]!EM_S_VAL_PBGOODWILLDEDUCTED(B2963,E2963)</f>
        <v>3.1036941777924598</v>
      </c>
      <c r="O2963" s="7">
        <f>[1]!EM_S_VAL_PS_TTM(B2963,E2963)</f>
        <v>2.3885577196900201</v>
      </c>
      <c r="P2963" s="7">
        <f>[1]!EM_S_VAL_PCF_NCFTTM(B2963,E2963)</f>
        <v>-152.451353376778</v>
      </c>
      <c r="Q2963" s="7">
        <f>[1]!EM_S_VAL_DIVIDENDYIELD2(B2963,E2963,"2019-11-29")</f>
        <v>4.0983606557377055</v>
      </c>
      <c r="T2963"/>
      <c r="U2963">
        <f>[1]!EM_S_RATIO_EPS_TTM(B2963,E2963,"1")</f>
        <v>0.56142596984219595</v>
      </c>
      <c r="AT2963" s="4" t="str">
        <f>[1]!EM_S_IPO_LISTEDDATE(B2963)</f>
        <v>2016-02-18</v>
      </c>
    </row>
    <row r="2964" spans="1:46">
      <c r="A2964">
        <v>548</v>
      </c>
      <c r="B2964" t="str">
        <f>"002037"</f>
        <v>002037</v>
      </c>
      <c r="C2964" t="s">
        <v>2912</v>
      </c>
      <c r="D2964" t="str">
        <f>[1]!EM_S_INFO_INDEX_EM(B2964,"1")</f>
        <v>基础化工</v>
      </c>
      <c r="E2964" s="4">
        <f t="shared" si="46"/>
        <v>43465</v>
      </c>
      <c r="F2964" s="11">
        <f>[1]!EM_S_PQ_PCTCHANGE(B2964,"2018-01-01","2019-12-31","3")</f>
        <v>-37.374173020000001</v>
      </c>
      <c r="G2964" s="11">
        <f>[1]!EM_S_PQ_PCTCHANGE(B2964,"2018-12-31","2019-12-30","1")</f>
        <v>-16.212871289999999</v>
      </c>
      <c r="H2964" s="11">
        <f>[1]!EM_S_FA_YOY_OR(B2964,E2964)</f>
        <v>12.708798711</v>
      </c>
      <c r="I2964" s="11">
        <f>[1]!EM_S_FA_GROSSPROFITMARGIN(B2964,E2964)</f>
        <v>21.920020426800001</v>
      </c>
      <c r="J2964" s="11">
        <f>[1]!EM_S_FA_NETPROFITMARGIN(B2964,E2964)</f>
        <v>3.9894571172000002</v>
      </c>
      <c r="K2964" s="10">
        <f>[1]!EM_S_FA_ASSETSTURN(B2964,E2964)</f>
        <v>0.63933261239600003</v>
      </c>
      <c r="L2964" s="12">
        <f>[1]!EM_HKS_VAL_MV(B2964,"2019-12-31","2")</f>
        <v>3359738379.0100002</v>
      </c>
      <c r="M2964">
        <f>[1]!EM_S_VAL_PETTMDEDUCTED(B2964,E2964)</f>
        <v>52.281953153079897</v>
      </c>
      <c r="N2964" s="7">
        <f>[1]!EM_S_VAL_PBGOODWILLDEDUCTED(B2964,E2964)</f>
        <v>1.2515422306094099</v>
      </c>
      <c r="O2964" s="7">
        <f>[1]!EM_S_VAL_PS_TTM(B2964,E2964)</f>
        <v>0.78597704308417204</v>
      </c>
      <c r="P2964" s="7">
        <f>[1]!EM_S_VAL_PCF_NCFTTM(B2964,E2964)</f>
        <v>-81.603813580166999</v>
      </c>
      <c r="Q2964" s="7">
        <f>[1]!EM_S_VAL_DIVIDENDYIELD2(B2964,E2964,"2019-11-29")</f>
        <v>1.0703812316715542</v>
      </c>
      <c r="T2964"/>
      <c r="U2964">
        <f>[1]!EM_S_RATIO_EPS_TTM(B2964,E2964,"1")</f>
        <v>0.36390232232593162</v>
      </c>
      <c r="AT2964" s="4" t="str">
        <f>[1]!EM_S_IPO_LISTEDDATE(B2964)</f>
        <v>2004-09-08</v>
      </c>
    </row>
    <row r="2965" spans="1:46">
      <c r="A2965">
        <v>2079</v>
      </c>
      <c r="B2965" t="str">
        <f>"300660"</f>
        <v>300660</v>
      </c>
      <c r="C2965" t="s">
        <v>1107</v>
      </c>
      <c r="D2965" t="str">
        <f>[1]!EM_S_INFO_INDEX_EM(B2965,"1")</f>
        <v>电气设备</v>
      </c>
      <c r="E2965" s="4">
        <f t="shared" si="46"/>
        <v>43465</v>
      </c>
      <c r="F2965" s="11">
        <f>[1]!EM_S_PQ_PCTCHANGE(B2965,"2018-01-01","2019-12-31","3")</f>
        <v>-39.388177650000003</v>
      </c>
      <c r="G2965" s="11">
        <f>[1]!EM_S_PQ_PCTCHANGE(B2965,"2018-12-31","2019-12-30","1")</f>
        <v>-16.233090529999998</v>
      </c>
      <c r="H2965" s="11">
        <f>[1]!EM_S_FA_YOY_OR(B2965,E2965)</f>
        <v>11.177623901700001</v>
      </c>
      <c r="I2965" s="11">
        <f>[1]!EM_S_FA_GROSSPROFITMARGIN(B2965,E2965)</f>
        <v>23.235843041999999</v>
      </c>
      <c r="J2965" s="11">
        <f>[1]!EM_S_FA_NETPROFITMARGIN(B2965,E2965)</f>
        <v>8.9322210539999993</v>
      </c>
      <c r="K2965" s="10">
        <f>[1]!EM_S_FA_ASSETSTURN(B2965,E2965)</f>
        <v>0.76506256719099996</v>
      </c>
      <c r="L2965" s="12">
        <f>[1]!EM_HKS_VAL_MV(B2965,"2019-12-31","2")</f>
        <v>4157736686.5999999</v>
      </c>
      <c r="M2965">
        <f>[1]!EM_S_VAL_PETTMDEDUCTED(B2965,E2965)</f>
        <v>18.6102826317913</v>
      </c>
      <c r="N2965" s="7">
        <f>[1]!EM_S_VAL_PBGOODWILLDEDUCTED(B2965,E2965)</f>
        <v>1.69061907906076</v>
      </c>
      <c r="O2965" s="7">
        <f>[1]!EM_S_VAL_PS_TTM(B2965,E2965)</f>
        <v>1.6323545740311001</v>
      </c>
      <c r="P2965" s="7">
        <f>[1]!EM_S_VAL_PCF_NCFTTM(B2965,E2965)</f>
        <v>22.752828371212299</v>
      </c>
      <c r="Q2965" s="7">
        <f>[1]!EM_S_VAL_DIVIDENDYIELD2(B2965,E2965,"2019-11-29")</f>
        <v>1.9175455417066156</v>
      </c>
      <c r="T2965"/>
      <c r="U2965">
        <f>[1]!EM_S_RATIO_EPS_TTM(B2965,E2965,"1")</f>
        <v>1.0737936116149767</v>
      </c>
      <c r="AT2965" s="4" t="str">
        <f>[1]!EM_S_IPO_LISTEDDATE(B2965)</f>
        <v>2017-06-02</v>
      </c>
    </row>
    <row r="2966" spans="1:46">
      <c r="A2966">
        <v>1677</v>
      </c>
      <c r="B2966" t="str">
        <f>"300252"</f>
        <v>300252</v>
      </c>
      <c r="C2966" t="s">
        <v>1228</v>
      </c>
      <c r="D2966" t="str">
        <f>[1]!EM_S_INFO_INDEX_EM(B2966,"1")</f>
        <v>信息技术</v>
      </c>
      <c r="E2966" s="4">
        <f t="shared" si="46"/>
        <v>43465</v>
      </c>
      <c r="F2966" s="11">
        <f>[1]!EM_S_PQ_PCTCHANGE(B2966,"2018-01-01","2019-12-31","3")</f>
        <v>-27.636269129999999</v>
      </c>
      <c r="G2966" s="11">
        <f>[1]!EM_S_PQ_PCTCHANGE(B2966,"2018-12-31","2019-12-30","1")</f>
        <v>-16.238532110000001</v>
      </c>
      <c r="H2966" s="11">
        <f>[1]!EM_S_FA_YOY_OR(B2966,E2966)</f>
        <v>13.4072101382</v>
      </c>
      <c r="I2966" s="11">
        <f>[1]!EM_S_FA_GROSSPROFITMARGIN(B2966,E2966)</f>
        <v>23.8857986979</v>
      </c>
      <c r="J2966" s="11">
        <f>[1]!EM_S_FA_NETPROFITMARGIN(B2966,E2966)</f>
        <v>5.9789359257000001</v>
      </c>
      <c r="K2966" s="10">
        <f>[1]!EM_S_FA_ASSETSTURN(B2966,E2966)</f>
        <v>0.47328804720000001</v>
      </c>
      <c r="L2966" s="12">
        <f>[1]!EM_HKS_VAL_MV(B2966,"2019-12-31","2")</f>
        <v>5286905081.1000004</v>
      </c>
      <c r="M2966">
        <f>[1]!EM_S_VAL_PETTMDEDUCTED(B2966,E2966)</f>
        <v>71.590766474718805</v>
      </c>
      <c r="N2966" s="7">
        <f>[1]!EM_S_VAL_PBGOODWILLDEDUCTED(B2966,E2966)</f>
        <v>2.9666146686094401</v>
      </c>
      <c r="O2966" s="7">
        <f>[1]!EM_S_VAL_PS_TTM(B2966,E2966)</f>
        <v>2.4255241548631199</v>
      </c>
      <c r="P2966" s="7">
        <f>[1]!EM_S_VAL_PCF_NCFTTM(B2966,E2966)</f>
        <v>-9.35698432079211</v>
      </c>
      <c r="Q2966" s="7">
        <f>[1]!EM_S_VAL_DIVIDENDYIELD2(B2966,E2966,"2019-11-29")</f>
        <v>0.56369785794813987</v>
      </c>
      <c r="T2966"/>
      <c r="U2966">
        <f>[1]!EM_S_RATIO_EPS_TTM(B2966,E2966,"1")</f>
        <v>0.22771863156242053</v>
      </c>
      <c r="AT2966" s="4" t="str">
        <f>[1]!EM_S_IPO_LISTEDDATE(B2966)</f>
        <v>2011-08-18</v>
      </c>
    </row>
    <row r="2967" spans="1:46">
      <c r="A2967">
        <v>2748</v>
      </c>
      <c r="B2967" t="str">
        <f>"600675"</f>
        <v>600675</v>
      </c>
      <c r="C2967" t="s">
        <v>1956</v>
      </c>
      <c r="D2967" t="str">
        <f>[1]!EM_S_INFO_INDEX_EM(B2967,"1")</f>
        <v>房地产</v>
      </c>
      <c r="E2967" s="4">
        <f t="shared" si="46"/>
        <v>43465</v>
      </c>
      <c r="F2967" s="11">
        <f>[1]!EM_S_PQ_PCTCHANGE(B2967,"2018-01-01","2019-12-31","3")</f>
        <v>-7.5515949600000001</v>
      </c>
      <c r="G2967" s="11">
        <f>[1]!EM_S_PQ_PCTCHANGE(B2967,"2018-12-31","2019-12-30","1")</f>
        <v>-16.308243730000001</v>
      </c>
      <c r="H2967" s="11">
        <f>[1]!EM_S_FA_YOY_OR(B2967,E2967)</f>
        <v>47.445651048499997</v>
      </c>
      <c r="I2967" s="11">
        <f>[1]!EM_S_FA_GROSSPROFITMARGIN(B2967,E2967)</f>
        <v>43.046270518900002</v>
      </c>
      <c r="J2967" s="11">
        <f>[1]!EM_S_FA_NETPROFITMARGIN(B2967,E2967)</f>
        <v>16.860304359800001</v>
      </c>
      <c r="K2967" s="10">
        <f>[1]!EM_S_FA_ASSETSTURN(B2967,E2967)</f>
        <v>0.45652882531200001</v>
      </c>
      <c r="L2967" s="12">
        <f>[1]!EM_HKS_VAL_MV(B2967,"2019-12-31","2")</f>
        <v>28347028921.799999</v>
      </c>
      <c r="M2967">
        <f>[1]!EM_S_VAL_PETTMDEDUCTED(B2967,E2967)</f>
        <v>31.711014832239002</v>
      </c>
      <c r="N2967" s="7">
        <f>[1]!EM_S_VAL_PBGOODWILLDEDUCTED(B2967,E2967)</f>
        <v>2.0630295628923601</v>
      </c>
      <c r="O2967" s="7">
        <f>[1]!EM_S_VAL_PS_TTM(B2967,E2967)</f>
        <v>2.9176013453010201</v>
      </c>
      <c r="P2967" s="7">
        <f>[1]!EM_S_VAL_PCF_NCFTTM(B2967,E2967)</f>
        <v>624.78002304124698</v>
      </c>
      <c r="Q2967" s="7">
        <f>[1]!EM_S_VAL_DIVIDENDYIELD2(B2967,E2967,"2019-11-29")</f>
        <v>3.4562211981566815</v>
      </c>
      <c r="T2967"/>
      <c r="U2967">
        <f>[1]!EM_S_RATIO_EPS_TTM(B2967,E2967,"1")</f>
        <v>0.51030520503550003</v>
      </c>
      <c r="AT2967" s="4" t="str">
        <f>[1]!EM_S_IPO_LISTEDDATE(B2967)</f>
        <v>1993-09-24</v>
      </c>
    </row>
    <row r="2968" spans="1:46">
      <c r="A2968">
        <v>1894</v>
      </c>
      <c r="B2968" t="str">
        <f>"300469"</f>
        <v>300469</v>
      </c>
      <c r="C2968" t="s">
        <v>3606</v>
      </c>
      <c r="D2968" t="str">
        <f>[1]!EM_S_INFO_INDEX_EM(B2968,"1")</f>
        <v>信息技术</v>
      </c>
      <c r="E2968" s="4">
        <f t="shared" si="46"/>
        <v>43465</v>
      </c>
      <c r="F2968" s="11">
        <f>[1]!EM_S_PQ_PCTCHANGE(B2968,"2018-01-01","2019-12-31","3")</f>
        <v>22.680234559999999</v>
      </c>
      <c r="G2968" s="11">
        <f>[1]!EM_S_PQ_PCTCHANGE(B2968,"2018-12-31","2019-12-30","1")</f>
        <v>-16.327595200000001</v>
      </c>
      <c r="H2968" s="11">
        <f>[1]!EM_S_FA_YOY_OR(B2968,E2968)</f>
        <v>25.2787715897</v>
      </c>
      <c r="I2968" s="11">
        <f>[1]!EM_S_FA_GROSSPROFITMARGIN(B2968,E2968)</f>
        <v>36.284582269799998</v>
      </c>
      <c r="J2968" s="11">
        <f>[1]!EM_S_FA_NETPROFITMARGIN(B2968,E2968)</f>
        <v>7.2639444048000001</v>
      </c>
      <c r="K2968" s="10">
        <f>[1]!EM_S_FA_ASSETSTURN(B2968,E2968)</f>
        <v>0.54541113860099999</v>
      </c>
      <c r="L2968" s="12">
        <f>[1]!EM_HKS_VAL_MV(B2968,"2019-12-31","2")</f>
        <v>3294474138.5599999</v>
      </c>
      <c r="M2968">
        <f>[1]!EM_S_VAL_PETTMDEDUCTED(B2968,E2968)</f>
        <v>97.192616202273499</v>
      </c>
      <c r="N2968" s="7">
        <f>[1]!EM_S_VAL_PBGOODWILLDEDUCTED(B2968,E2968)</f>
        <v>5.2928459987662304</v>
      </c>
      <c r="O2968" s="7">
        <f>[1]!EM_S_VAL_PS_TTM(B2968,E2968)</f>
        <v>3.9811248018165499</v>
      </c>
      <c r="P2968" s="7">
        <f>[1]!EM_S_VAL_PCF_NCFTTM(B2968,E2968)</f>
        <v>-40.195025104023401</v>
      </c>
      <c r="Q2968" s="7">
        <f>[1]!EM_S_VAL_DIVIDENDYIELD2(B2968,E2968,"2019-11-29")</f>
        <v>0.11557423016755755</v>
      </c>
      <c r="T2968"/>
      <c r="U2968">
        <f>[1]!EM_S_RATIO_EPS_TTM(B2968,E2968,"1")</f>
        <v>0.36725776276391481</v>
      </c>
      <c r="AT2968" s="4" t="str">
        <f>[1]!EM_S_IPO_LISTEDDATE(B2968)</f>
        <v>2015-06-11</v>
      </c>
    </row>
    <row r="2969" spans="1:46">
      <c r="A2969">
        <v>2063</v>
      </c>
      <c r="B2969" t="str">
        <f>"300644"</f>
        <v>300644</v>
      </c>
      <c r="C2969" t="s">
        <v>2185</v>
      </c>
      <c r="D2969" t="str">
        <f>[1]!EM_S_INFO_INDEX_EM(B2969,"1")</f>
        <v>基础化工</v>
      </c>
      <c r="E2969" s="4">
        <f t="shared" si="46"/>
        <v>43465</v>
      </c>
      <c r="F2969" s="11">
        <f>[1]!EM_S_PQ_PCTCHANGE(B2969,"2018-01-01","2019-12-31","3")</f>
        <v>66.366754709999995</v>
      </c>
      <c r="G2969" s="11">
        <f>[1]!EM_S_PQ_PCTCHANGE(B2969,"2018-12-31","2019-12-30","1")</f>
        <v>-16.327683619999998</v>
      </c>
      <c r="H2969" s="11">
        <f>[1]!EM_S_FA_YOY_OR(B2969,E2969)</f>
        <v>-0.5427416679</v>
      </c>
      <c r="I2969" s="11">
        <f>[1]!EM_S_FA_GROSSPROFITMARGIN(B2969,E2969)</f>
        <v>13.044749358000001</v>
      </c>
      <c r="J2969" s="11">
        <f>[1]!EM_S_FA_NETPROFITMARGIN(B2969,E2969)</f>
        <v>2.2055502768999999</v>
      </c>
      <c r="K2969" s="10">
        <f>[1]!EM_S_FA_ASSETSTURN(B2969,E2969)</f>
        <v>1.124534067485</v>
      </c>
      <c r="L2969" s="12">
        <f>[1]!EM_HKS_VAL_MV(B2969,"2019-12-31","2")</f>
        <v>1898240000</v>
      </c>
      <c r="M2969">
        <f>[1]!EM_S_VAL_PETTMDEDUCTED(B2969,E2969)</f>
        <v>55.417748410935999</v>
      </c>
      <c r="N2969" s="7">
        <f>[1]!EM_S_VAL_PBGOODWILLDEDUCTED(B2969,E2969)</f>
        <v>3.33130530540855</v>
      </c>
      <c r="O2969" s="7">
        <f>[1]!EM_S_VAL_PS_TTM(B2969,E2969)</f>
        <v>2.07939749031266</v>
      </c>
      <c r="P2969" s="7">
        <f>[1]!EM_S_VAL_PCF_NCFTTM(B2969,E2969)</f>
        <v>32.610820346737803</v>
      </c>
      <c r="Q2969" s="7">
        <f>[1]!EM_S_VAL_DIVIDENDYIELD2(B2969,E2969,"2019-11-29")</f>
        <v>0.55106539309331382</v>
      </c>
      <c r="T2969"/>
      <c r="U2969">
        <f>[1]!EM_S_RATIO_EPS_TTM(B2969,E2969,"1")</f>
        <v>0.35977478281250003</v>
      </c>
      <c r="AT2969" s="4" t="str">
        <f>[1]!EM_S_IPO_LISTEDDATE(B2969)</f>
        <v>2018-02-06</v>
      </c>
    </row>
    <row r="2970" spans="1:46">
      <c r="A2970">
        <v>1002</v>
      </c>
      <c r="B2970" t="str">
        <f>"002491"</f>
        <v>002491</v>
      </c>
      <c r="C2970" t="s">
        <v>687</v>
      </c>
      <c r="D2970" t="str">
        <f>[1]!EM_S_INFO_INDEX_EM(B2970,"1")</f>
        <v>信息技术</v>
      </c>
      <c r="E2970" s="4">
        <f t="shared" si="46"/>
        <v>43465</v>
      </c>
      <c r="F2970" s="11">
        <f>[1]!EM_S_PQ_PCTCHANGE(B2970,"2018-01-01","2019-12-31","3")</f>
        <v>-46.950308419999999</v>
      </c>
      <c r="G2970" s="11">
        <f>[1]!EM_S_PQ_PCTCHANGE(B2970,"2018-12-31","2019-12-30","1")</f>
        <v>-16.370558379999999</v>
      </c>
      <c r="H2970" s="11">
        <f>[1]!EM_S_FA_YOY_OR(B2970,E2970)</f>
        <v>5.0375574707000004</v>
      </c>
      <c r="I2970" s="11">
        <f>[1]!EM_S_FA_GROSSPROFITMARGIN(B2970,E2970)</f>
        <v>29.5082064546</v>
      </c>
      <c r="J2970" s="11">
        <f>[1]!EM_S_FA_NETPROFITMARGIN(B2970,E2970)</f>
        <v>12.739232943099999</v>
      </c>
      <c r="K2970" s="10">
        <f>[1]!EM_S_FA_ASSETSTURN(B2970,E2970)</f>
        <v>0.46682750303199999</v>
      </c>
      <c r="L2970" s="12">
        <f>[1]!EM_HKS_VAL_MV(B2970,"2019-12-31","2")</f>
        <v>8338866281.8400002</v>
      </c>
      <c r="M2970">
        <f>[1]!EM_S_VAL_PETTMDEDUCTED(B2970,E2970)</f>
        <v>19.032656589317501</v>
      </c>
      <c r="N2970" s="7">
        <f>[1]!EM_S_VAL_PBGOODWILLDEDUCTED(B2970,E2970)</f>
        <v>2.3805568059352198</v>
      </c>
      <c r="O2970" s="7">
        <f>[1]!EM_S_VAL_PS_TTM(B2970,E2970)</f>
        <v>2.25643715650593</v>
      </c>
      <c r="P2970" s="7">
        <f>[1]!EM_S_VAL_PCF_NCFTTM(B2970,E2970)</f>
        <v>40.333715638366499</v>
      </c>
      <c r="Q2970" s="7">
        <f>[1]!EM_S_VAL_DIVIDENDYIELD2(B2970,E2970,"2019-11-29")</f>
        <v>0.75528700906344415</v>
      </c>
      <c r="T2970"/>
      <c r="U2970">
        <f>[1]!EM_S_RATIO_EPS_TTM(B2970,E2970,"1")</f>
        <v>0.44748723174677452</v>
      </c>
      <c r="AT2970" s="4" t="str">
        <f>[1]!EM_S_IPO_LISTEDDATE(B2970)</f>
        <v>2010-10-21</v>
      </c>
    </row>
    <row r="2971" spans="1:46">
      <c r="A2971">
        <v>1962</v>
      </c>
      <c r="B2971" t="str">
        <f>"300538"</f>
        <v>300538</v>
      </c>
      <c r="C2971" t="s">
        <v>1406</v>
      </c>
      <c r="D2971" t="str">
        <f>[1]!EM_S_INFO_INDEX_EM(B2971,"1")</f>
        <v>基础化工</v>
      </c>
      <c r="E2971" s="4">
        <f t="shared" si="46"/>
        <v>43465</v>
      </c>
      <c r="F2971" s="11">
        <f>[1]!EM_S_PQ_PCTCHANGE(B2971,"2018-01-01","2019-12-31","3")</f>
        <v>31.983131060000002</v>
      </c>
      <c r="G2971" s="11">
        <f>[1]!EM_S_PQ_PCTCHANGE(B2971,"2018-12-31","2019-12-30","1")</f>
        <v>-16.398104270000001</v>
      </c>
      <c r="H2971" s="11">
        <f>[1]!EM_S_FA_YOY_OR(B2971,E2971)</f>
        <v>28.2646587847</v>
      </c>
      <c r="I2971" s="11">
        <f>[1]!EM_S_FA_GROSSPROFITMARGIN(B2971,E2971)</f>
        <v>10.294616549000001</v>
      </c>
      <c r="J2971" s="11">
        <f>[1]!EM_S_FA_NETPROFITMARGIN(B2971,E2971)</f>
        <v>2.2842479446000001</v>
      </c>
      <c r="K2971" s="10">
        <f>[1]!EM_S_FA_ASSETSTURN(B2971,E2971)</f>
        <v>2.1784931351919998</v>
      </c>
      <c r="L2971" s="12">
        <f>[1]!EM_HKS_VAL_MV(B2971,"2019-12-31","2")</f>
        <v>2680814298.2399998</v>
      </c>
      <c r="M2971">
        <f>[1]!EM_S_VAL_PETTMDEDUCTED(B2971,E2971)</f>
        <v>60.370981172973998</v>
      </c>
      <c r="N2971" s="7">
        <f>[1]!EM_S_VAL_PBGOODWILLDEDUCTED(B2971,E2971)</f>
        <v>4.1865392532047601</v>
      </c>
      <c r="O2971" s="7">
        <f>[1]!EM_S_VAL_PS_TTM(B2971,E2971)</f>
        <v>1.4365650038450599</v>
      </c>
      <c r="P2971" s="7">
        <f>[1]!EM_S_VAL_PCF_NCFTTM(B2971,E2971)</f>
        <v>-184.975151864342</v>
      </c>
      <c r="Q2971" s="7">
        <f>[1]!EM_S_VAL_DIVIDENDYIELD2(B2971,E2971,"2019-11-29")</f>
        <v>0.48116703116250942</v>
      </c>
      <c r="T2971"/>
      <c r="U2971">
        <f>[1]!EM_S_RATIO_EPS_TTM(B2971,E2971,"1")</f>
        <v>0.36096827809633225</v>
      </c>
      <c r="AT2971" s="4" t="str">
        <f>[1]!EM_S_IPO_LISTEDDATE(B2971)</f>
        <v>2016-08-26</v>
      </c>
    </row>
    <row r="2972" spans="1:46">
      <c r="A2972">
        <v>2052</v>
      </c>
      <c r="B2972" t="str">
        <f>"300633"</f>
        <v>300633</v>
      </c>
      <c r="C2972" t="s">
        <v>1399</v>
      </c>
      <c r="D2972" t="str">
        <f>[1]!EM_S_INFO_INDEX_EM(B2972,"1")</f>
        <v>医药生物</v>
      </c>
      <c r="E2972" s="4">
        <f t="shared" si="46"/>
        <v>43465</v>
      </c>
      <c r="F2972" s="11">
        <f>[1]!EM_S_PQ_PCTCHANGE(B2972,"2018-01-01","2019-12-31","3")</f>
        <v>-13.202911370000001</v>
      </c>
      <c r="G2972" s="11">
        <f>[1]!EM_S_PQ_PCTCHANGE(B2972,"2018-12-31","2019-12-30","1")</f>
        <v>-16.406533580000001</v>
      </c>
      <c r="H2972" s="11">
        <f>[1]!EM_S_FA_YOY_OR(B2972,E2972)</f>
        <v>24.040703219899999</v>
      </c>
      <c r="I2972" s="11">
        <f>[1]!EM_S_FA_GROSSPROFITMARGIN(B2972,E2972)</f>
        <v>69.874384417000002</v>
      </c>
      <c r="J2972" s="11">
        <f>[1]!EM_S_FA_NETPROFITMARGIN(B2972,E2972)</f>
        <v>20.591269740400001</v>
      </c>
      <c r="K2972" s="10">
        <f>[1]!EM_S_FA_ASSETSTURN(B2972,E2972)</f>
        <v>0.77379992278099996</v>
      </c>
      <c r="L2972" s="12">
        <f>[1]!EM_HKS_VAL_MV(B2972,"2019-12-31","2")</f>
        <v>9697664000</v>
      </c>
      <c r="M2972">
        <f>[1]!EM_S_VAL_PETTMDEDUCTED(B2972,E2972)</f>
        <v>51.691371113223603</v>
      </c>
      <c r="N2972" s="7">
        <f>[1]!EM_S_VAL_PBGOODWILLDEDUCTED(B2972,E2972)</f>
        <v>12.391477718982401</v>
      </c>
      <c r="O2972" s="7">
        <f>[1]!EM_S_VAL_PS_TTM(B2972,E2972)</f>
        <v>9.6369945579887499</v>
      </c>
      <c r="P2972" s="7">
        <f>[1]!EM_S_VAL_PCF_NCFTTM(B2972,E2972)</f>
        <v>-211.32335943243399</v>
      </c>
      <c r="Q2972" s="7">
        <f>[1]!EM_S_VAL_DIVIDENDYIELD2(B2972,E2972,"2019-11-29")</f>
        <v>0.30645092777820521</v>
      </c>
      <c r="T2972"/>
      <c r="U2972">
        <f>[1]!EM_S_RATIO_EPS_TTM(B2972,E2972,"1")</f>
        <v>0.63154366095847603</v>
      </c>
      <c r="AT2972" s="4" t="str">
        <f>[1]!EM_S_IPO_LISTEDDATE(B2972)</f>
        <v>2017-04-06</v>
      </c>
    </row>
    <row r="2973" spans="1:46">
      <c r="A2973">
        <v>910</v>
      </c>
      <c r="B2973" t="str">
        <f>"002399"</f>
        <v>002399</v>
      </c>
      <c r="C2973" t="s">
        <v>2633</v>
      </c>
      <c r="D2973" t="str">
        <f>[1]!EM_S_INFO_INDEX_EM(B2973,"1")</f>
        <v>医药生物</v>
      </c>
      <c r="E2973" s="4">
        <f t="shared" si="46"/>
        <v>43465</v>
      </c>
      <c r="F2973" s="11">
        <f>[1]!EM_S_PQ_PCTCHANGE(B2973,"2018-01-01","2019-12-31","3")</f>
        <v>28.56897575</v>
      </c>
      <c r="G2973" s="11">
        <f>[1]!EM_S_PQ_PCTCHANGE(B2973,"2018-12-31","2019-12-30","1")</f>
        <v>-16.52928416</v>
      </c>
      <c r="H2973" s="11">
        <f>[1]!EM_S_FA_YOY_OR(B2973,E2973)</f>
        <v>69.338071876300006</v>
      </c>
      <c r="I2973" s="11">
        <f>[1]!EM_S_FA_GROSSPROFITMARGIN(B2973,E2973)</f>
        <v>40.088488379399998</v>
      </c>
      <c r="J2973" s="11">
        <f>[1]!EM_S_FA_NETPROFITMARGIN(B2973,E2973)</f>
        <v>12.2988281416</v>
      </c>
      <c r="K2973" s="10">
        <f>[1]!EM_S_FA_ASSETSTURN(B2973,E2973)</f>
        <v>0.35873019229999997</v>
      </c>
      <c r="L2973" s="12">
        <f>[1]!EM_HKS_VAL_MV(B2973,"2019-12-31","2")</f>
        <v>24332905245.040001</v>
      </c>
      <c r="M2973">
        <f>[1]!EM_S_VAL_PETTMDEDUCTED(B2973,E2973)</f>
        <v>72.203367877258401</v>
      </c>
      <c r="N2973" s="7">
        <f>[1]!EM_S_VAL_PBGOODWILLDEDUCTED(B2973,E2973)</f>
        <v>7.6635530700766203</v>
      </c>
      <c r="O2973" s="7">
        <f>[1]!EM_S_VAL_PS_TTM(B2973,E2973)</f>
        <v>6.9539939884272197</v>
      </c>
      <c r="P2973" s="7">
        <f>[1]!EM_S_VAL_PCF_NCFTTM(B2973,E2973)</f>
        <v>-16.032057319342499</v>
      </c>
      <c r="Q2973" s="7">
        <f>[1]!EM_S_VAL_DIVIDENDYIELD2(B2973,E2973,"2019-11-29")</f>
        <v>0.57937427578215528</v>
      </c>
      <c r="T2973"/>
      <c r="U2973">
        <f>[1]!EM_S_RATIO_EPS_TTM(B2973,E2973,"1")</f>
        <v>0.49406104835629699</v>
      </c>
      <c r="AT2973" s="4" t="str">
        <f>[1]!EM_S_IPO_LISTEDDATE(B2973)</f>
        <v>2010-05-06</v>
      </c>
    </row>
    <row r="2974" spans="1:46">
      <c r="A2974">
        <v>2109</v>
      </c>
      <c r="B2974" t="str">
        <f>"300691"</f>
        <v>300691</v>
      </c>
      <c r="C2974" t="s">
        <v>2330</v>
      </c>
      <c r="D2974" t="str">
        <f>[1]!EM_S_INFO_INDEX_EM(B2974,"1")</f>
        <v>电子设备</v>
      </c>
      <c r="E2974" s="4">
        <f t="shared" si="46"/>
        <v>43465</v>
      </c>
      <c r="F2974" s="11">
        <f>[1]!EM_S_PQ_PCTCHANGE(B2974,"2018-01-01","2019-12-31","3")</f>
        <v>-42.319693430000001</v>
      </c>
      <c r="G2974" s="11">
        <f>[1]!EM_S_PQ_PCTCHANGE(B2974,"2018-12-31","2019-12-30","1")</f>
        <v>-16.576819409999999</v>
      </c>
      <c r="H2974" s="11">
        <f>[1]!EM_S_FA_YOY_OR(B2974,E2974)</f>
        <v>25.0849321948</v>
      </c>
      <c r="I2974" s="11">
        <f>[1]!EM_S_FA_GROSSPROFITMARGIN(B2974,E2974)</f>
        <v>22.3437452774</v>
      </c>
      <c r="J2974" s="11">
        <f>[1]!EM_S_FA_NETPROFITMARGIN(B2974,E2974)</f>
        <v>6.1880724594999998</v>
      </c>
      <c r="K2974" s="10">
        <f>[1]!EM_S_FA_ASSETSTURN(B2974,E2974)</f>
        <v>0.89079332600100003</v>
      </c>
      <c r="L2974" s="12">
        <f>[1]!EM_HKS_VAL_MV(B2974,"2019-12-31","2")</f>
        <v>4132187965.4400001</v>
      </c>
      <c r="M2974">
        <f>[1]!EM_S_VAL_PETTMDEDUCTED(B2974,E2974)</f>
        <v>54.006638665643301</v>
      </c>
      <c r="N2974" s="7">
        <f>[1]!EM_S_VAL_PBGOODWILLDEDUCTED(B2974,E2974)</f>
        <v>3.6938787511315199</v>
      </c>
      <c r="O2974" s="7">
        <f>[1]!EM_S_VAL_PS_TTM(B2974,E2974)</f>
        <v>2.8764268241709998</v>
      </c>
      <c r="P2974" s="7">
        <f>[1]!EM_S_VAL_PCF_NCFTTM(B2974,E2974)</f>
        <v>-11.272155707453001</v>
      </c>
      <c r="Q2974" s="7">
        <f>[1]!EM_S_VAL_DIVIDENDYIELD2(B2974,E2974,"2019-11-29")</f>
        <v>1.1072098978457692</v>
      </c>
      <c r="T2974"/>
      <c r="U2974">
        <f>[1]!EM_S_RATIO_EPS_TTM(B2974,E2974,"1")</f>
        <v>0.5163013311953486</v>
      </c>
      <c r="AT2974" s="4" t="str">
        <f>[1]!EM_S_IPO_LISTEDDATE(B2974)</f>
        <v>2017-08-11</v>
      </c>
    </row>
    <row r="2975" spans="1:46">
      <c r="A2975">
        <v>1249</v>
      </c>
      <c r="B2975" t="str">
        <f>"002739"</f>
        <v>002739</v>
      </c>
      <c r="C2975" t="s">
        <v>361</v>
      </c>
      <c r="D2975" t="str">
        <f>[1]!EM_S_INFO_INDEX_EM(B2975,"1")</f>
        <v>文化传媒</v>
      </c>
      <c r="E2975" s="4">
        <f t="shared" si="46"/>
        <v>43465</v>
      </c>
      <c r="F2975" s="11">
        <f>[1]!EM_S_PQ_PCTCHANGE(B2975,"2018-01-01","2019-12-31","3")</f>
        <v>-47.4826385</v>
      </c>
      <c r="G2975" s="11">
        <f>[1]!EM_S_PQ_PCTCHANGE(B2975,"2018-12-31","2019-12-30","1")</f>
        <v>-16.58268438</v>
      </c>
      <c r="H2975" s="11">
        <f>[1]!EM_S_FA_YOY_OR(B2975,E2975)</f>
        <v>6.4912596112000003</v>
      </c>
      <c r="I2975" s="11">
        <f>[1]!EM_S_FA_GROSSPROFITMARGIN(B2975,E2975)</f>
        <v>30.323257336699999</v>
      </c>
      <c r="J2975" s="11">
        <f>[1]!EM_S_FA_NETPROFITMARGIN(B2975,E2975)</f>
        <v>9.1743443257999999</v>
      </c>
      <c r="K2975" s="10">
        <f>[1]!EM_S_FA_ASSETSTURN(B2975,E2975)</f>
        <v>0.60920876474499996</v>
      </c>
      <c r="L2975" s="12">
        <f>[1]!EM_HKS_VAL_MV(B2975,"2019-12-31","2")</f>
        <v>37723473427.199997</v>
      </c>
      <c r="M2975">
        <f>[1]!EM_S_VAL_PETTMDEDUCTED(B2975,E2975)</f>
        <v>28.174894751159702</v>
      </c>
      <c r="N2975" s="7">
        <f>[1]!EM_S_VAL_PBGOODWILLDEDUCTED(B2975,E2975)</f>
        <v>12.722514413721299</v>
      </c>
      <c r="O2975" s="7">
        <f>[1]!EM_S_VAL_PS_TTM(B2975,E2975)</f>
        <v>2.7566982410528902</v>
      </c>
      <c r="P2975" s="7">
        <f>[1]!EM_S_VAL_PCF_NCFTTM(B2975,E2975)</f>
        <v>-37.111254639412103</v>
      </c>
      <c r="Q2975" s="7">
        <f>[1]!EM_S_VAL_DIVIDENDYIELD2(B2975,E2975,"2019-11-29")</f>
        <v>0</v>
      </c>
      <c r="T2975"/>
      <c r="U2975">
        <f>[1]!EM_S_RATIO_EPS_TTM(B2975,E2975,"1")</f>
        <v>0.73498369308357447</v>
      </c>
      <c r="AT2975" s="4" t="str">
        <f>[1]!EM_S_IPO_LISTEDDATE(B2975)</f>
        <v>2015-01-22</v>
      </c>
    </row>
    <row r="2976" spans="1:46">
      <c r="A2976">
        <v>2497</v>
      </c>
      <c r="B2976" t="str">
        <f>"600379"</f>
        <v>600379</v>
      </c>
      <c r="C2976" t="s">
        <v>2266</v>
      </c>
      <c r="D2976" t="str">
        <f>[1]!EM_S_INFO_INDEX_EM(B2976,"1")</f>
        <v>电气设备</v>
      </c>
      <c r="E2976" s="4">
        <f t="shared" si="46"/>
        <v>43465</v>
      </c>
      <c r="F2976" s="11">
        <f>[1]!EM_S_PQ_PCTCHANGE(B2976,"2018-01-01","2019-12-31","3")</f>
        <v>-27.011256849999999</v>
      </c>
      <c r="G2976" s="11">
        <f>[1]!EM_S_PQ_PCTCHANGE(B2976,"2018-12-31","2019-12-30","1")</f>
        <v>-16.591928249999999</v>
      </c>
      <c r="H2976" s="11">
        <f>[1]!EM_S_FA_YOY_OR(B2976,E2976)</f>
        <v>5.524040243</v>
      </c>
      <c r="I2976" s="11">
        <f>[1]!EM_S_FA_GROSSPROFITMARGIN(B2976,E2976)</f>
        <v>20.715368667</v>
      </c>
      <c r="J2976" s="11">
        <f>[1]!EM_S_FA_NETPROFITMARGIN(B2976,E2976)</f>
        <v>4.5288383649000004</v>
      </c>
      <c r="K2976" s="10">
        <f>[1]!EM_S_FA_ASSETSTURN(B2976,E2976)</f>
        <v>1.1338258532800001</v>
      </c>
      <c r="L2976" s="12">
        <f>[1]!EM_HKS_VAL_MV(B2976,"2019-12-31","2")</f>
        <v>1898658993</v>
      </c>
      <c r="M2976">
        <f>[1]!EM_S_VAL_PETTMDEDUCTED(B2976,E2976)</f>
        <v>48.2152012026515</v>
      </c>
      <c r="N2976" s="7">
        <f>[1]!EM_S_VAL_PBGOODWILLDEDUCTED(B2976,E2976)</f>
        <v>3.0335442804824702</v>
      </c>
      <c r="O2976" s="7">
        <f>[1]!EM_S_VAL_PS_TTM(B2976,E2976)</f>
        <v>1.8345288462309299</v>
      </c>
      <c r="P2976" s="7">
        <f>[1]!EM_S_VAL_PCF_NCFTTM(B2976,E2976)</f>
        <v>154.627682617744</v>
      </c>
      <c r="Q2976" s="7">
        <f>[1]!EM_S_VAL_DIVIDENDYIELD2(B2976,E2976,"2019-11-29")</f>
        <v>0.86138351444473904</v>
      </c>
      <c r="T2976"/>
      <c r="U2976">
        <f>[1]!EM_S_RATIO_EPS_TTM(B2976,E2976,"1")</f>
        <v>0.16308739931346902</v>
      </c>
      <c r="AT2976" s="4" t="str">
        <f>[1]!EM_S_IPO_LISTEDDATE(B2976)</f>
        <v>2002-01-16</v>
      </c>
    </row>
    <row r="2977" spans="1:46">
      <c r="A2977">
        <v>2182</v>
      </c>
      <c r="B2977" t="str">
        <f>"600023"</f>
        <v>600023</v>
      </c>
      <c r="C2977" t="s">
        <v>2281</v>
      </c>
      <c r="D2977" t="str">
        <f>[1]!EM_S_INFO_INDEX_EM(B2977,"1")</f>
        <v>公用事业</v>
      </c>
      <c r="E2977" s="4">
        <f t="shared" si="46"/>
        <v>43465</v>
      </c>
      <c r="F2977" s="11">
        <f>[1]!EM_S_PQ_PCTCHANGE(B2977,"2018-01-01","2019-12-31","3")</f>
        <v>-20.053624030000002</v>
      </c>
      <c r="G2977" s="11">
        <f>[1]!EM_S_PQ_PCTCHANGE(B2977,"2018-12-31","2019-12-30","1")</f>
        <v>-16.701902749999999</v>
      </c>
      <c r="H2977" s="11">
        <f>[1]!EM_S_FA_YOY_OR(B2977,E2977)</f>
        <v>10.6325480611</v>
      </c>
      <c r="I2977" s="11">
        <f>[1]!EM_S_FA_GROSSPROFITMARGIN(B2977,E2977)</f>
        <v>9.4867045223000002</v>
      </c>
      <c r="J2977" s="11">
        <f>[1]!EM_S_FA_NETPROFITMARGIN(B2977,E2977)</f>
        <v>7.6424128253000001</v>
      </c>
      <c r="K2977" s="10">
        <f>[1]!EM_S_FA_ASSETSTURN(B2977,E2977)</f>
        <v>0.50888406203400005</v>
      </c>
      <c r="L2977" s="12">
        <f>[1]!EM_HKS_VAL_MV(B2977,"2019-12-31","2")</f>
        <v>53858732352.480003</v>
      </c>
      <c r="M2977">
        <f>[1]!EM_S_VAL_PETTMDEDUCTED(B2977,E2977)</f>
        <v>15.6811784226709</v>
      </c>
      <c r="N2977" s="7">
        <f>[1]!EM_S_VAL_PBGOODWILLDEDUCTED(B2977,E2977)</f>
        <v>1.0512425017987701</v>
      </c>
      <c r="O2977" s="7">
        <f>[1]!EM_S_VAL_PS_TTM(B2977,E2977)</f>
        <v>1.13568722799322</v>
      </c>
      <c r="P2977" s="7">
        <f>[1]!EM_S_VAL_PCF_NCFTTM(B2977,E2977)</f>
        <v>-65.715161674256393</v>
      </c>
      <c r="Q2977" s="7">
        <f>[1]!EM_S_VAL_DIVIDENDYIELD2(B2977,E2977,"2019-11-29")</f>
        <v>4.6753246753246742</v>
      </c>
      <c r="T2977"/>
      <c r="U2977">
        <f>[1]!EM_S_RATIO_EPS_TTM(B2977,E2977,"1")</f>
        <v>0.29672833026050444</v>
      </c>
      <c r="AT2977" s="4" t="str">
        <f>[1]!EM_S_IPO_LISTEDDATE(B2977)</f>
        <v>2013-12-19</v>
      </c>
    </row>
    <row r="2978" spans="1:46">
      <c r="A2978">
        <v>1424</v>
      </c>
      <c r="B2978" t="str">
        <f>"002929"</f>
        <v>002929</v>
      </c>
      <c r="C2978" t="s">
        <v>709</v>
      </c>
      <c r="D2978" t="str">
        <f>[1]!EM_S_INFO_INDEX_EM(B2978,"1")</f>
        <v>信息技术</v>
      </c>
      <c r="E2978" s="4">
        <f t="shared" si="46"/>
        <v>43465</v>
      </c>
      <c r="F2978" s="11">
        <f>[1]!EM_S_PQ_PCTCHANGE(B2978,"2018-01-01","2019-12-31","3")</f>
        <v>16.478711090000001</v>
      </c>
      <c r="G2978" s="11">
        <f>[1]!EM_S_PQ_PCTCHANGE(B2978,"2018-12-31","2019-12-30","1")</f>
        <v>-16.748315980000001</v>
      </c>
      <c r="H2978" s="11">
        <f>[1]!EM_S_FA_YOY_OR(B2978,E2978)</f>
        <v>16.314654052200002</v>
      </c>
      <c r="I2978" s="11">
        <f>[1]!EM_S_FA_GROSSPROFITMARGIN(B2978,E2978)</f>
        <v>20.001379606099999</v>
      </c>
      <c r="J2978" s="11">
        <f>[1]!EM_S_FA_NETPROFITMARGIN(B2978,E2978)</f>
        <v>6.3706092469</v>
      </c>
      <c r="K2978" s="10">
        <f>[1]!EM_S_FA_ASSETSTURN(B2978,E2978)</f>
        <v>1.0258471291040001</v>
      </c>
      <c r="L2978" s="12">
        <f>[1]!EM_HKS_VAL_MV(B2978,"2019-12-31","2")</f>
        <v>6114673811.8999996</v>
      </c>
      <c r="M2978">
        <f>[1]!EM_S_VAL_PETTMDEDUCTED(B2978,E2978)</f>
        <v>31.232100647184499</v>
      </c>
      <c r="N2978" s="7">
        <f>[1]!EM_S_VAL_PBGOODWILLDEDUCTED(B2978,E2978)</f>
        <v>2.7516438870917801</v>
      </c>
      <c r="O2978" s="7">
        <f>[1]!EM_S_VAL_PS_TTM(B2978,E2978)</f>
        <v>2.2407772731260698</v>
      </c>
      <c r="P2978" s="7">
        <f>[1]!EM_S_VAL_PCF_NCFTTM(B2978,E2978)</f>
        <v>7.6521083661373899</v>
      </c>
      <c r="Q2978" s="7">
        <f>[1]!EM_S_VAL_DIVIDENDYIELD2(B2978,E2978,"2019-11-29")</f>
        <v>0.44411547002220586</v>
      </c>
      <c r="T2978"/>
      <c r="U2978">
        <f>[1]!EM_S_RATIO_EPS_TTM(B2978,E2978,"1")</f>
        <v>0.93264380787239021</v>
      </c>
      <c r="AT2978" s="4" t="str">
        <f>[1]!EM_S_IPO_LISTEDDATE(B2978)</f>
        <v>2018-03-01</v>
      </c>
    </row>
    <row r="2979" spans="1:46">
      <c r="A2979">
        <v>2102</v>
      </c>
      <c r="B2979" t="str">
        <f>"300684"</f>
        <v>300684</v>
      </c>
      <c r="C2979" t="s">
        <v>1140</v>
      </c>
      <c r="D2979" t="str">
        <f>[1]!EM_S_INFO_INDEX_EM(B2979,"1")</f>
        <v>基础化工</v>
      </c>
      <c r="E2979" s="4">
        <f t="shared" si="46"/>
        <v>43465</v>
      </c>
      <c r="F2979" s="11">
        <f>[1]!EM_S_PQ_PCTCHANGE(B2979,"2018-01-01","2019-12-31","3")</f>
        <v>440.75273155999997</v>
      </c>
      <c r="G2979" s="11">
        <f>[1]!EM_S_PQ_PCTCHANGE(B2979,"2018-12-31","2019-12-30","1")</f>
        <v>-16.80207995</v>
      </c>
      <c r="H2979" s="11">
        <f>[1]!EM_S_FA_YOY_OR(B2979,E2979)</f>
        <v>33.784777870500001</v>
      </c>
      <c r="I2979" s="11">
        <f>[1]!EM_S_FA_GROSSPROFITMARGIN(B2979,E2979)</f>
        <v>36.634743736899999</v>
      </c>
      <c r="J2979" s="11">
        <f>[1]!EM_S_FA_NETPROFITMARGIN(B2979,E2979)</f>
        <v>18.4972541898</v>
      </c>
      <c r="K2979" s="10">
        <f>[1]!EM_S_FA_ASSETSTURN(B2979,E2979)</f>
        <v>0.87795406486500005</v>
      </c>
      <c r="L2979" s="12">
        <f>[1]!EM_HKS_VAL_MV(B2979,"2019-12-31","2")</f>
        <v>6540707880</v>
      </c>
      <c r="M2979">
        <f>[1]!EM_S_VAL_PETTMDEDUCTED(B2979,E2979)</f>
        <v>30.423445546164501</v>
      </c>
      <c r="N2979" s="7">
        <f>[1]!EM_S_VAL_PBGOODWILLDEDUCTED(B2979,E2979)</f>
        <v>7.1358301063912402</v>
      </c>
      <c r="O2979" s="7">
        <f>[1]!EM_S_VAL_PS_TTM(B2979,E2979)</f>
        <v>5.6709589072915101</v>
      </c>
      <c r="P2979" s="7">
        <f>[1]!EM_S_VAL_PCF_NCFTTM(B2979,E2979)</f>
        <v>41.437741173164902</v>
      </c>
      <c r="Q2979" s="7">
        <f>[1]!EM_S_VAL_DIVIDENDYIELD2(B2979,E2979,"2019-11-29")</f>
        <v>0.44731610337972166</v>
      </c>
      <c r="T2979"/>
      <c r="U2979">
        <f>[1]!EM_S_RATIO_EPS_TTM(B2979,E2979,"1")</f>
        <v>0.89320364752446335</v>
      </c>
      <c r="AT2979" s="4" t="str">
        <f>[1]!EM_S_IPO_LISTEDDATE(B2979)</f>
        <v>2017-12-27</v>
      </c>
    </row>
    <row r="2980" spans="1:46">
      <c r="A2980">
        <v>3076</v>
      </c>
      <c r="B2980" t="str">
        <f>"601200"</f>
        <v>601200</v>
      </c>
      <c r="C2980" t="s">
        <v>956</v>
      </c>
      <c r="D2980" t="str">
        <f>[1]!EM_S_INFO_INDEX_EM(B2980,"1")</f>
        <v>公用事业</v>
      </c>
      <c r="E2980" s="4">
        <f t="shared" si="46"/>
        <v>43465</v>
      </c>
      <c r="F2980" s="11">
        <f>[1]!EM_S_PQ_PCTCHANGE(B2980,"2018-01-01","2019-12-31","3")</f>
        <v>-41.52999587</v>
      </c>
      <c r="G2980" s="11">
        <f>[1]!EM_S_PQ_PCTCHANGE(B2980,"2018-12-31","2019-12-30","1")</f>
        <v>-16.804822909999999</v>
      </c>
      <c r="H2980" s="11">
        <f>[1]!EM_S_FA_YOY_OR(B2980,E2980)</f>
        <v>0.65503851560000004</v>
      </c>
      <c r="I2980" s="11">
        <f>[1]!EM_S_FA_GROSSPROFITMARGIN(B2980,E2980)</f>
        <v>36.7520831259</v>
      </c>
      <c r="J2980" s="11">
        <f>[1]!EM_S_FA_NETPROFITMARGIN(B2980,E2980)</f>
        <v>26.096550637</v>
      </c>
      <c r="K2980" s="10">
        <f>[1]!EM_S_FA_ASSETSTURN(B2980,E2980)</f>
        <v>0.188444588469</v>
      </c>
      <c r="L2980" s="12">
        <f>[1]!EM_HKS_VAL_MV(B2980,"2019-12-31","2")</f>
        <v>10138602304.5</v>
      </c>
      <c r="M2980">
        <f>[1]!EM_S_VAL_PETTMDEDUCTED(B2980,E2980)</f>
        <v>23.294815029126202</v>
      </c>
      <c r="N2980" s="7">
        <f>[1]!EM_S_VAL_PBGOODWILLDEDUCTED(B2980,E2980)</f>
        <v>1.5810535928331599</v>
      </c>
      <c r="O2980" s="7">
        <f>[1]!EM_S_VAL_PS_TTM(B2980,E2980)</f>
        <v>3.5227102659096001</v>
      </c>
      <c r="P2980" s="7">
        <f>[1]!EM_S_VAL_PCF_NCFTTM(B2980,E2980)</f>
        <v>30.865323817338702</v>
      </c>
      <c r="Q2980" s="7">
        <f>[1]!EM_S_VAL_DIVIDENDYIELD2(B2980,E2980,"2019-11-29")</f>
        <v>0.6020682817581362</v>
      </c>
      <c r="T2980"/>
      <c r="U2980">
        <f>[1]!EM_S_RATIO_EPS_TTM(B2980,E2980,"1")</f>
        <v>0.82250847179818309</v>
      </c>
      <c r="AT2980" s="4" t="str">
        <f>[1]!EM_S_IPO_LISTEDDATE(B2980)</f>
        <v>2017-03-31</v>
      </c>
    </row>
    <row r="2981" spans="1:46">
      <c r="A2981">
        <v>1859</v>
      </c>
      <c r="B2981" t="str">
        <f>"300434"</f>
        <v>300434</v>
      </c>
      <c r="C2981" t="s">
        <v>1450</v>
      </c>
      <c r="D2981" t="str">
        <f>[1]!EM_S_INFO_INDEX_EM(B2981,"1")</f>
        <v>医药生物</v>
      </c>
      <c r="E2981" s="4">
        <f t="shared" si="46"/>
        <v>43465</v>
      </c>
      <c r="F2981" s="11">
        <f>[1]!EM_S_PQ_PCTCHANGE(B2981,"2018-01-01","2019-12-31","3")</f>
        <v>-41.964518949999999</v>
      </c>
      <c r="G2981" s="11">
        <f>[1]!EM_S_PQ_PCTCHANGE(B2981,"2018-12-31","2019-12-30","1")</f>
        <v>-16.81818182</v>
      </c>
      <c r="H2981" s="11">
        <f>[1]!EM_S_FA_YOY_OR(B2981,E2981)</f>
        <v>37.883422208200003</v>
      </c>
      <c r="I2981" s="11">
        <f>[1]!EM_S_FA_GROSSPROFITMARGIN(B2981,E2981)</f>
        <v>65.931037219399997</v>
      </c>
      <c r="J2981" s="11">
        <f>[1]!EM_S_FA_NETPROFITMARGIN(B2981,E2981)</f>
        <v>15.7939010439</v>
      </c>
      <c r="K2981" s="10">
        <f>[1]!EM_S_FA_ASSETSTURN(B2981,E2981)</f>
        <v>0.307216890347</v>
      </c>
      <c r="L2981" s="12">
        <f>[1]!EM_HKS_VAL_MV(B2981,"2019-12-31","2")</f>
        <v>3073340620.8000002</v>
      </c>
      <c r="M2981">
        <f>[1]!EM_S_VAL_PETTMDEDUCTED(B2981,E2981)</f>
        <v>24.3549025815656</v>
      </c>
      <c r="N2981" s="7">
        <f>[1]!EM_S_VAL_PBGOODWILLDEDUCTED(B2981,E2981)</f>
        <v>1.9039547448673699</v>
      </c>
      <c r="O2981" s="7">
        <f>[1]!EM_S_VAL_PS_TTM(B2981,E2981)</f>
        <v>3.5558403010173798</v>
      </c>
      <c r="P2981" s="7">
        <f>[1]!EM_S_VAL_PCF_NCFTTM(B2981,E2981)</f>
        <v>25.756474132336798</v>
      </c>
      <c r="Q2981" s="7">
        <f>[1]!EM_S_VAL_DIVIDENDYIELD2(B2981,E2981,"2019-11-29")</f>
        <v>1.1510791366906474</v>
      </c>
      <c r="T2981"/>
      <c r="U2981">
        <f>[1]!EM_S_RATIO_EPS_TTM(B2981,E2981,"1")</f>
        <v>0.3712647238089048</v>
      </c>
      <c r="AT2981" s="4" t="str">
        <f>[1]!EM_S_IPO_LISTEDDATE(B2981)</f>
        <v>2015-04-24</v>
      </c>
    </row>
    <row r="2982" spans="1:46">
      <c r="A2982">
        <v>2313</v>
      </c>
      <c r="B2982" t="str">
        <f>"600175"</f>
        <v>600175</v>
      </c>
      <c r="C2982" t="s">
        <v>2715</v>
      </c>
      <c r="D2982" t="str">
        <f>[1]!EM_S_INFO_INDEX_EM(B2982,"1")</f>
        <v>综合</v>
      </c>
      <c r="E2982" s="4">
        <f t="shared" si="46"/>
        <v>43465</v>
      </c>
      <c r="F2982" s="11">
        <f>[1]!EM_S_PQ_PCTCHANGE(B2982,"2018-01-01","2019-12-31","3")</f>
        <v>-65.200764820000003</v>
      </c>
      <c r="G2982" s="11">
        <f>[1]!EM_S_PQ_PCTCHANGE(B2982,"2018-12-31","2019-12-30","1")</f>
        <v>-16.81818182</v>
      </c>
      <c r="H2982" s="11">
        <f>[1]!EM_S_FA_YOY_OR(B2982,E2982)</f>
        <v>-18.6316414034</v>
      </c>
      <c r="I2982" s="11">
        <f>[1]!EM_S_FA_GROSSPROFITMARGIN(B2982,E2982)</f>
        <v>11.204767029899999</v>
      </c>
      <c r="J2982" s="11">
        <f>[1]!EM_S_FA_NETPROFITMARGIN(B2982,E2982)</f>
        <v>-24.088688127400001</v>
      </c>
      <c r="K2982" s="10">
        <f>[1]!EM_S_FA_ASSETSTURN(B2982,E2982)</f>
        <v>0.30036284923599998</v>
      </c>
      <c r="L2982" s="12">
        <f>[1]!EM_HKS_VAL_MV(B2982,"2019-12-31","2")</f>
        <v>6509209566.8599997</v>
      </c>
      <c r="M2982">
        <f>[1]!EM_S_VAL_PETTMDEDUCTED(B2982,E2982)</f>
        <v>27.260864158247202</v>
      </c>
      <c r="N2982" s="7">
        <f>[1]!EM_S_VAL_PBGOODWILLDEDUCTED(B2982,E2982)</f>
        <v>0.86212593168485396</v>
      </c>
      <c r="O2982" s="7">
        <f>[1]!EM_S_VAL_PS_TTM(B2982,E2982)</f>
        <v>1.2582424935270899</v>
      </c>
      <c r="P2982" s="7">
        <f>[1]!EM_S_VAL_PCF_NCFTTM(B2982,E2982)</f>
        <v>-4.6150099822768098</v>
      </c>
      <c r="Q2982" s="7">
        <f>[1]!EM_S_VAL_DIVIDENDYIELD2(B2982,E2982,"2019-11-29")</f>
        <v>0</v>
      </c>
      <c r="T2982"/>
      <c r="U2982">
        <f>[1]!EM_S_RATIO_EPS_TTM(B2982,E2982,"1")</f>
        <v>-0.30656293434700516</v>
      </c>
      <c r="AT2982" s="4" t="str">
        <f>[1]!EM_S_IPO_LISTEDDATE(B2982)</f>
        <v>1999-04-08</v>
      </c>
    </row>
    <row r="2983" spans="1:46">
      <c r="A2983">
        <v>2626</v>
      </c>
      <c r="B2983" t="str">
        <f>"600550"</f>
        <v>600550</v>
      </c>
      <c r="C2983" t="s">
        <v>3652</v>
      </c>
      <c r="D2983" t="str">
        <f>[1]!EM_S_INFO_INDEX_EM(B2983,"1")</f>
        <v>电气设备</v>
      </c>
      <c r="E2983" s="4">
        <f t="shared" si="46"/>
        <v>43465</v>
      </c>
      <c r="F2983" s="11">
        <f>[1]!EM_S_PQ_PCTCHANGE(B2983,"2018-01-01","2019-12-31","3")</f>
        <v>-50.641025640000002</v>
      </c>
      <c r="G2983" s="11">
        <f>[1]!EM_S_PQ_PCTCHANGE(B2983,"2018-12-31","2019-12-30","1")</f>
        <v>-16.847826090000002</v>
      </c>
      <c r="H2983" s="11">
        <f>[1]!EM_S_FA_YOY_OR(B2983,E2983)</f>
        <v>-27.040664985900001</v>
      </c>
      <c r="I2983" s="11">
        <f>[1]!EM_S_FA_GROSSPROFITMARGIN(B2983,E2983)</f>
        <v>12.085462698800001</v>
      </c>
      <c r="J2983" s="11">
        <f>[1]!EM_S_FA_NETPROFITMARGIN(B2983,E2983)</f>
        <v>-26.359014902999998</v>
      </c>
      <c r="K2983" s="10">
        <f>[1]!EM_S_FA_ASSETSTURN(B2983,E2983)</f>
        <v>0.389359295258</v>
      </c>
      <c r="L2983" s="12">
        <f>[1]!EM_HKS_VAL_MV(B2983,"2019-12-31","2")</f>
        <v>5671907718.3999996</v>
      </c>
      <c r="M2983">
        <f>[1]!EM_S_VAL_PETTMDEDUCTED(B2983,E2983)</f>
        <v>-31.345372003533601</v>
      </c>
      <c r="N2983" s="7">
        <f>[1]!EM_S_VAL_PBGOODWILLDEDUCTED(B2983,E2983)</f>
        <v>8.6047363787245903</v>
      </c>
      <c r="O2983" s="7">
        <f>[1]!EM_S_VAL_PS_TTM(B2983,E2983)</f>
        <v>1.66248998207257</v>
      </c>
      <c r="P2983" s="7">
        <f>[1]!EM_S_VAL_PCF_NCFTTM(B2983,E2983)</f>
        <v>-6.2804983612872398</v>
      </c>
      <c r="Q2983" s="7">
        <f>[1]!EM_S_VAL_DIVIDENDYIELD2(B2983,E2983,"2019-11-29")</f>
        <v>0</v>
      </c>
      <c r="T2983"/>
      <c r="U2983">
        <f>[1]!EM_S_RATIO_EPS_TTM(B2983,E2983,"1")</f>
        <v>-0.44338620649516103</v>
      </c>
      <c r="AT2983" s="4" t="str">
        <f>[1]!EM_S_IPO_LISTEDDATE(B2983)</f>
        <v>2001-02-28</v>
      </c>
    </row>
    <row r="2984" spans="1:46">
      <c r="A2984">
        <v>1672</v>
      </c>
      <c r="B2984" t="str">
        <f>"300247"</f>
        <v>300247</v>
      </c>
      <c r="C2984" t="s">
        <v>2216</v>
      </c>
      <c r="D2984" t="str">
        <f>[1]!EM_S_INFO_INDEX_EM(B2984,"1")</f>
        <v>家电</v>
      </c>
      <c r="E2984" s="4">
        <f t="shared" si="46"/>
        <v>43465</v>
      </c>
      <c r="F2984" s="11">
        <f>[1]!EM_S_PQ_PCTCHANGE(B2984,"2018-01-01","2019-12-31","3")</f>
        <v>-49.356380180000002</v>
      </c>
      <c r="G2984" s="11">
        <f>[1]!EM_S_PQ_PCTCHANGE(B2984,"2018-12-31","2019-12-30","1")</f>
        <v>-16.909620990000001</v>
      </c>
      <c r="H2984" s="11">
        <f>[1]!EM_S_FA_YOY_OR(B2984,E2984)</f>
        <v>-12.7003843074</v>
      </c>
      <c r="I2984" s="11">
        <f>[1]!EM_S_FA_GROSSPROFITMARGIN(B2984,E2984)</f>
        <v>24.399878273399999</v>
      </c>
      <c r="J2984" s="11">
        <f>[1]!EM_S_FA_NETPROFITMARGIN(B2984,E2984)</f>
        <v>-74.239622545100005</v>
      </c>
      <c r="K2984" s="10">
        <f>[1]!EM_S_FA_ASSETSTURN(B2984,E2984)</f>
        <v>0.417971918725</v>
      </c>
      <c r="L2984" s="12">
        <f>[1]!EM_HKS_VAL_MV(B2984,"2019-12-31","2")</f>
        <v>2275434085.79</v>
      </c>
      <c r="M2984">
        <f>[1]!EM_S_VAL_PETTMDEDUCTED(B2984,E2984)</f>
        <v>36.865518970283702</v>
      </c>
      <c r="N2984" s="7">
        <f>[1]!EM_S_VAL_PBGOODWILLDEDUCTED(B2984,E2984)</f>
        <v>2.2757333972359302</v>
      </c>
      <c r="O2984" s="7">
        <f>[1]!EM_S_VAL_PS_TTM(B2984,E2984)</f>
        <v>2.33066716122095</v>
      </c>
      <c r="P2984" s="7">
        <f>[1]!EM_S_VAL_PCF_NCFTTM(B2984,E2984)</f>
        <v>-16.682698727538899</v>
      </c>
      <c r="Q2984" s="7">
        <f>[1]!EM_S_VAL_DIVIDENDYIELD2(B2984,E2984,"2019-11-29")</f>
        <v>0</v>
      </c>
      <c r="T2984"/>
      <c r="U2984">
        <f>[1]!EM_S_RATIO_EPS_TTM(B2984,E2984,"1")</f>
        <v>-0.97219266892678635</v>
      </c>
      <c r="AT2984" s="4" t="str">
        <f>[1]!EM_S_IPO_LISTEDDATE(B2984)</f>
        <v>2011-07-29</v>
      </c>
    </row>
    <row r="2985" spans="1:46">
      <c r="A2985">
        <v>1095</v>
      </c>
      <c r="B2985" t="str">
        <f>"002584"</f>
        <v>002584</v>
      </c>
      <c r="C2985" t="s">
        <v>2632</v>
      </c>
      <c r="D2985" t="str">
        <f>[1]!EM_S_INFO_INDEX_EM(B2985,"1")</f>
        <v>基础化工</v>
      </c>
      <c r="E2985" s="4">
        <f t="shared" si="46"/>
        <v>43465</v>
      </c>
      <c r="F2985" s="11">
        <f>[1]!EM_S_PQ_PCTCHANGE(B2985,"2018-01-01","2019-12-31","3")</f>
        <v>-71.964679910000001</v>
      </c>
      <c r="G2985" s="11">
        <f>[1]!EM_S_PQ_PCTCHANGE(B2985,"2018-12-31","2019-12-30","1")</f>
        <v>-16.915422889999999</v>
      </c>
      <c r="H2985" s="11">
        <f>[1]!EM_S_FA_YOY_OR(B2985,E2985)</f>
        <v>4.2245652907000002</v>
      </c>
      <c r="I2985" s="11">
        <f>[1]!EM_S_FA_GROSSPROFITMARGIN(B2985,E2985)</f>
        <v>15.6723646188</v>
      </c>
      <c r="J2985" s="11">
        <f>[1]!EM_S_FA_NETPROFITMARGIN(B2985,E2985)</f>
        <v>1.9068270373</v>
      </c>
      <c r="K2985" s="10">
        <f>[1]!EM_S_FA_ASSETSTURN(B2985,E2985)</f>
        <v>1.1497802644499999</v>
      </c>
      <c r="L2985" s="12">
        <f>[1]!EM_HKS_VAL_MV(B2985,"2019-12-31","2")</f>
        <v>2972899423.7600002</v>
      </c>
      <c r="M2985">
        <f>[1]!EM_S_VAL_PETTMDEDUCTED(B2985,E2985)</f>
        <v>48.940691589193101</v>
      </c>
      <c r="N2985" s="7">
        <f>[1]!EM_S_VAL_PBGOODWILLDEDUCTED(B2985,E2985)</f>
        <v>2.6021649677469698</v>
      </c>
      <c r="O2985" s="7">
        <f>[1]!EM_S_VAL_PS_TTM(B2985,E2985)</f>
        <v>1.0049884870596799</v>
      </c>
      <c r="P2985" s="7">
        <f>[1]!EM_S_VAL_PCF_NCFTTM(B2985,E2985)</f>
        <v>31.701822262743601</v>
      </c>
      <c r="Q2985" s="7">
        <f>[1]!EM_S_VAL_DIVIDENDYIELD2(B2985,E2985,"2019-11-29")</f>
        <v>0</v>
      </c>
      <c r="T2985"/>
      <c r="U2985">
        <f>[1]!EM_S_RATIO_EPS_TTM(B2985,E2985,"1")</f>
        <v>0.12473535505126343</v>
      </c>
      <c r="AT2985" s="4" t="str">
        <f>[1]!EM_S_IPO_LISTEDDATE(B2985)</f>
        <v>2011-06-02</v>
      </c>
    </row>
    <row r="2986" spans="1:46">
      <c r="A2986">
        <v>3245</v>
      </c>
      <c r="B2986" t="str">
        <f>"603059"</f>
        <v>603059</v>
      </c>
      <c r="C2986" t="s">
        <v>612</v>
      </c>
      <c r="D2986" t="str">
        <f>[1]!EM_S_INFO_INDEX_EM(B2986,"1")</f>
        <v>轻工制造</v>
      </c>
      <c r="E2986" s="4">
        <f t="shared" si="46"/>
        <v>43465</v>
      </c>
      <c r="F2986" s="11">
        <f>[1]!EM_S_PQ_PCTCHANGE(B2986,"2018-01-01","2019-12-31","3")</f>
        <v>46.986632559999997</v>
      </c>
      <c r="G2986" s="11">
        <f>[1]!EM_S_PQ_PCTCHANGE(B2986,"2018-12-31","2019-12-30","1")</f>
        <v>-17.009168509999999</v>
      </c>
      <c r="H2986" s="11">
        <f>[1]!EM_S_FA_YOY_OR(B2986,E2986)</f>
        <v>12.951307351000001</v>
      </c>
      <c r="I2986" s="11">
        <f>[1]!EM_S_FA_GROSSPROFITMARGIN(B2986,E2986)</f>
        <v>24.8556118393</v>
      </c>
      <c r="J2986" s="11">
        <f>[1]!EM_S_FA_NETPROFITMARGIN(B2986,E2986)</f>
        <v>12.4968091618</v>
      </c>
      <c r="K2986" s="10">
        <f>[1]!EM_S_FA_ASSETSTURN(B2986,E2986)</f>
        <v>0.91418360896499995</v>
      </c>
      <c r="L2986" s="12">
        <f>[1]!EM_HKS_VAL_MV(B2986,"2019-12-31","2")</f>
        <v>2820000000</v>
      </c>
      <c r="M2986">
        <f>[1]!EM_S_VAL_PETTMDEDUCTED(B2986,E2986)</f>
        <v>28.749010423903201</v>
      </c>
      <c r="N2986" s="7">
        <f>[1]!EM_S_VAL_PBGOODWILLDEDUCTED(B2986,E2986)</f>
        <v>2.9038997734971499</v>
      </c>
      <c r="O2986" s="7">
        <f>[1]!EM_S_VAL_PS_TTM(B2986,E2986)</f>
        <v>3.47329979732354</v>
      </c>
      <c r="P2986" s="7">
        <f>[1]!EM_S_VAL_PCF_NCFTTM(B2986,E2986)</f>
        <v>37.519740774960397</v>
      </c>
      <c r="Q2986" s="7">
        <f>[1]!EM_S_VAL_DIVIDENDYIELD2(B2986,E2986,"2019-11-29")</f>
        <v>0.38161318300086738</v>
      </c>
      <c r="T2986"/>
      <c r="U2986">
        <f>[1]!EM_S_RATIO_EPS_TTM(B2986,E2986,"1")</f>
        <v>1.180151626125</v>
      </c>
      <c r="AT2986" s="4" t="str">
        <f>[1]!EM_S_IPO_LISTEDDATE(B2986)</f>
        <v>2018-03-02</v>
      </c>
    </row>
    <row r="2987" spans="1:46">
      <c r="A2987">
        <v>3268</v>
      </c>
      <c r="B2987" t="str">
        <f>"603103"</f>
        <v>603103</v>
      </c>
      <c r="C2987" t="s">
        <v>101</v>
      </c>
      <c r="D2987" t="str">
        <f>[1]!EM_S_INFO_INDEX_EM(B2987,"1")</f>
        <v>文化传媒</v>
      </c>
      <c r="E2987" s="4">
        <f t="shared" si="46"/>
        <v>43465</v>
      </c>
      <c r="F2987" s="11">
        <f>[1]!EM_S_PQ_PCTCHANGE(B2987,"2018-01-01","2019-12-31","3")</f>
        <v>-6.08741837</v>
      </c>
      <c r="G2987" s="11">
        <f>[1]!EM_S_PQ_PCTCHANGE(B2987,"2018-12-31","2019-12-30","1")</f>
        <v>-17.040358739999999</v>
      </c>
      <c r="H2987" s="11">
        <f>[1]!EM_S_FA_YOY_OR(B2987,E2987)</f>
        <v>8.2181005460000005</v>
      </c>
      <c r="I2987" s="11">
        <f>[1]!EM_S_FA_GROSSPROFITMARGIN(B2987,E2987)</f>
        <v>21.0588047647</v>
      </c>
      <c r="J2987" s="11">
        <f>[1]!EM_S_FA_NETPROFITMARGIN(B2987,E2987)</f>
        <v>11.7705411512</v>
      </c>
      <c r="K2987" s="10">
        <f>[1]!EM_S_FA_ASSETSTURN(B2987,E2987)</f>
        <v>0.86851194791200004</v>
      </c>
      <c r="L2987" s="12">
        <f>[1]!EM_HKS_VAL_MV(B2987,"2019-12-31","2")</f>
        <v>11929302000</v>
      </c>
      <c r="M2987">
        <f>[1]!EM_S_VAL_PETTMDEDUCTED(B2987,E2987)</f>
        <v>35.0180886850695</v>
      </c>
      <c r="N2987" s="7">
        <f>[1]!EM_S_VAL_PBGOODWILLDEDUCTED(B2987,E2987)</f>
        <v>4.6452475063313203</v>
      </c>
      <c r="O2987" s="7">
        <f>[1]!EM_S_VAL_PS_TTM(B2987,E2987)</f>
        <v>3.6232121898892902</v>
      </c>
      <c r="P2987" s="7">
        <f>[1]!EM_S_VAL_PCF_NCFTTM(B2987,E2987)</f>
        <v>-16.5311951520215</v>
      </c>
      <c r="Q2987" s="7">
        <f>[1]!EM_S_VAL_DIVIDENDYIELD2(B2987,E2987,"2019-11-29")</f>
        <v>1.1692597831211693</v>
      </c>
      <c r="U2987">
        <f>[1]!EM_S_RATIO_EPS_TTM(B2987,E2987,"1")</f>
        <v>0.70791822403973514</v>
      </c>
      <c r="AT2987" s="4" t="str">
        <f>[1]!EM_S_IPO_LISTEDDATE(B2987)</f>
        <v>2017-10-12</v>
      </c>
    </row>
    <row r="2988" spans="1:46">
      <c r="A2988">
        <v>1589</v>
      </c>
      <c r="B2988" t="str">
        <f>"300164"</f>
        <v>300164</v>
      </c>
      <c r="C2988" t="s">
        <v>2918</v>
      </c>
      <c r="D2988" t="str">
        <f>[1]!EM_S_INFO_INDEX_EM(B2988,"1")</f>
        <v>化石能源</v>
      </c>
      <c r="E2988" s="4">
        <f t="shared" si="46"/>
        <v>43465</v>
      </c>
      <c r="F2988" s="11">
        <f>[1]!EM_S_PQ_PCTCHANGE(B2988,"2018-01-01","2019-12-31","3")</f>
        <v>-16.556591600000001</v>
      </c>
      <c r="G2988" s="11">
        <f>[1]!EM_S_PQ_PCTCHANGE(B2988,"2018-12-31","2019-12-30","1")</f>
        <v>-17.041800640000002</v>
      </c>
      <c r="H2988" s="11">
        <f>[1]!EM_S_FA_YOY_OR(B2988,E2988)</f>
        <v>95.088835419099993</v>
      </c>
      <c r="I2988" s="11">
        <f>[1]!EM_S_FA_GROSSPROFITMARGIN(B2988,E2988)</f>
        <v>36.359404647799998</v>
      </c>
      <c r="J2988" s="11">
        <f>[1]!EM_S_FA_NETPROFITMARGIN(B2988,E2988)</f>
        <v>9.1607452580000004</v>
      </c>
      <c r="K2988" s="10">
        <f>[1]!EM_S_FA_ASSETSTURN(B2988,E2988)</f>
        <v>0.56541126639399997</v>
      </c>
      <c r="L2988" s="12">
        <f>[1]!EM_HKS_VAL_MV(B2988,"2019-12-31","2")</f>
        <v>2346251226.8000002</v>
      </c>
      <c r="M2988">
        <f>[1]!EM_S_VAL_PETTMDEDUCTED(B2988,E2988)</f>
        <v>26.063554484359599</v>
      </c>
      <c r="N2988" s="7">
        <f>[1]!EM_S_VAL_PBGOODWILLDEDUCTED(B2988,E2988)</f>
        <v>3.3469187323884202</v>
      </c>
      <c r="O2988" s="7">
        <f>[1]!EM_S_VAL_PS_TTM(B2988,E2988)</f>
        <v>1.8700228430175401</v>
      </c>
      <c r="P2988" s="7">
        <f>[1]!EM_S_VAL_PCF_NCFTTM(B2988,E2988)</f>
        <v>274.407075384579</v>
      </c>
      <c r="Q2988" s="7">
        <f>[1]!EM_S_VAL_DIVIDENDYIELD2(B2988,E2988,"2019-11-29")</f>
        <v>2.0576131687242802</v>
      </c>
      <c r="T2988"/>
      <c r="U2988">
        <f>[1]!EM_S_RATIO_EPS_TTM(B2988,E2988,"1")</f>
        <v>0.2296368815690884</v>
      </c>
      <c r="AT2988" s="4" t="str">
        <f>[1]!EM_S_IPO_LISTEDDATE(B2988)</f>
        <v>2011-01-13</v>
      </c>
    </row>
    <row r="2989" spans="1:46">
      <c r="A2989">
        <v>1276</v>
      </c>
      <c r="B2989" t="str">
        <f>"002769"</f>
        <v>002769</v>
      </c>
      <c r="C2989" t="s">
        <v>722</v>
      </c>
      <c r="D2989" t="str">
        <f>[1]!EM_S_INFO_INDEX_EM(B2989,"1")</f>
        <v>交通运输</v>
      </c>
      <c r="E2989" s="4">
        <f t="shared" si="46"/>
        <v>43465</v>
      </c>
      <c r="F2989" s="11">
        <f>[1]!EM_S_PQ_PCTCHANGE(B2989,"2018-01-01","2019-12-31","3")</f>
        <v>-40.279944049999997</v>
      </c>
      <c r="G2989" s="11">
        <f>[1]!EM_S_PQ_PCTCHANGE(B2989,"2018-12-31","2019-12-30","1")</f>
        <v>-17.061143980000001</v>
      </c>
      <c r="H2989" s="11">
        <f>[1]!EM_S_FA_YOY_OR(B2989,E2989)</f>
        <v>7.2782119622000003</v>
      </c>
      <c r="I2989" s="11">
        <f>[1]!EM_S_FA_GROSSPROFITMARGIN(B2989,E2989)</f>
        <v>8.7998255274999995</v>
      </c>
      <c r="J2989" s="11">
        <f>[1]!EM_S_FA_NETPROFITMARGIN(B2989,E2989)</f>
        <v>1.7699109732</v>
      </c>
      <c r="K2989" s="10">
        <f>[1]!EM_S_FA_ASSETSTURN(B2989,E2989)</f>
        <v>0.45208074356900002</v>
      </c>
      <c r="L2989" s="12">
        <f>[1]!EM_HKS_VAL_MV(B2989,"2019-12-31","2")</f>
        <v>3139604834.1399999</v>
      </c>
      <c r="M2989">
        <f>[1]!EM_S_VAL_PETTMDEDUCTED(B2989,E2989)</f>
        <v>-1125.4145635847699</v>
      </c>
      <c r="N2989" s="7">
        <f>[1]!EM_S_VAL_PBGOODWILLDEDUCTED(B2989,E2989)</f>
        <v>2.8266588278970701</v>
      </c>
      <c r="O2989" s="7">
        <f>[1]!EM_S_VAL_PS_TTM(B2989,E2989)</f>
        <v>0.63772013263546401</v>
      </c>
      <c r="P2989" s="7">
        <f>[1]!EM_S_VAL_PCF_NCFTTM(B2989,E2989)</f>
        <v>-6.5165242814992101</v>
      </c>
      <c r="Q2989" s="7">
        <f>[1]!EM_S_VAL_DIVIDENDYIELD2(B2989,E2989,"2019-11-29")</f>
        <v>0.5662650602409639</v>
      </c>
      <c r="T2989"/>
      <c r="U2989">
        <f>[1]!EM_S_RATIO_EPS_TTM(B2989,E2989,"1")</f>
        <v>0.27352691458634892</v>
      </c>
      <c r="AT2989" s="4" t="str">
        <f>[1]!EM_S_IPO_LISTEDDATE(B2989)</f>
        <v>2015-06-29</v>
      </c>
    </row>
    <row r="2990" spans="1:46">
      <c r="A2990">
        <v>3575</v>
      </c>
      <c r="B2990" t="str">
        <f>"603877"</f>
        <v>603877</v>
      </c>
      <c r="C2990" t="s">
        <v>500</v>
      </c>
      <c r="D2990" t="str">
        <f>[1]!EM_S_INFO_INDEX_EM(B2990,"1")</f>
        <v>纺织服装</v>
      </c>
      <c r="E2990" s="4">
        <f t="shared" si="46"/>
        <v>43465</v>
      </c>
      <c r="F2990" s="11">
        <f>[1]!EM_S_PQ_PCTCHANGE(B2990,"2018-01-01","2019-12-31","3")</f>
        <v>-39.126976480000003</v>
      </c>
      <c r="G2990" s="11">
        <f>[1]!EM_S_PQ_PCTCHANGE(B2990,"2018-12-31","2019-12-30","1")</f>
        <v>-17.08355508</v>
      </c>
      <c r="H2990" s="11">
        <f>[1]!EM_S_FA_YOY_OR(B2990,E2990)</f>
        <v>7.7811898974</v>
      </c>
      <c r="I2990" s="11">
        <f>[1]!EM_S_FA_GROSSPROFITMARGIN(B2990,E2990)</f>
        <v>53.427919490400001</v>
      </c>
      <c r="J2990" s="11">
        <f>[1]!EM_S_FA_NETPROFITMARGIN(B2990,E2990)</f>
        <v>7.2651347646</v>
      </c>
      <c r="K2990" s="10">
        <f>[1]!EM_S_FA_ASSETSTURN(B2990,E2990)</f>
        <v>1.2037939895259999</v>
      </c>
      <c r="L2990" s="12">
        <f>[1]!EM_HKS_VAL_MV(B2990,"2019-12-31","2")</f>
        <v>7312484620.5</v>
      </c>
      <c r="M2990">
        <f>[1]!EM_S_VAL_PETTMDEDUCTED(B2990,E2990)</f>
        <v>23.201634936745201</v>
      </c>
      <c r="N2990" s="7">
        <f>[1]!EM_S_VAL_PBGOODWILLDEDUCTED(B2990,E2990)</f>
        <v>2.55254383376323</v>
      </c>
      <c r="O2990" s="7">
        <f>[1]!EM_S_VAL_PS_TTM(B2990,E2990)</f>
        <v>1.17176725293874</v>
      </c>
      <c r="P2990" s="7">
        <f>[1]!EM_S_VAL_PCF_NCFTTM(B2990,E2990)</f>
        <v>-24.252399180287899</v>
      </c>
      <c r="Q2990" s="7">
        <f>[1]!EM_S_VAL_DIVIDENDYIELD2(B2990,E2990,"2019-11-29")</f>
        <v>7.1099585490735624</v>
      </c>
      <c r="T2990"/>
      <c r="U2990">
        <f>[1]!EM_S_RATIO_EPS_TTM(B2990,E2990,"1")</f>
        <v>1.1888262104342027</v>
      </c>
      <c r="AT2990" s="4" t="str">
        <f>[1]!EM_S_IPO_LISTEDDATE(B2990)</f>
        <v>2017-01-09</v>
      </c>
    </row>
    <row r="2991" spans="1:46">
      <c r="A2991">
        <v>883</v>
      </c>
      <c r="B2991" t="str">
        <f>"002372"</f>
        <v>002372</v>
      </c>
      <c r="C2991" t="s">
        <v>688</v>
      </c>
      <c r="D2991" t="str">
        <f>[1]!EM_S_INFO_INDEX_EM(B2991,"1")</f>
        <v>建材</v>
      </c>
      <c r="E2991" s="4">
        <f t="shared" si="46"/>
        <v>43465</v>
      </c>
      <c r="F2991" s="11">
        <f>[1]!EM_S_PQ_PCTCHANGE(B2991,"2018-01-01","2019-12-31","3")</f>
        <v>20.692101659999999</v>
      </c>
      <c r="G2991" s="11">
        <f>[1]!EM_S_PQ_PCTCHANGE(B2991,"2018-12-31","2019-12-30","1")</f>
        <v>-17.085751129999998</v>
      </c>
      <c r="H2991" s="11">
        <f>[1]!EM_S_FA_YOY_OR(B2991,E2991)</f>
        <v>17.078828705999999</v>
      </c>
      <c r="I2991" s="11">
        <f>[1]!EM_S_FA_GROSSPROFITMARGIN(B2991,E2991)</f>
        <v>46.772322911700002</v>
      </c>
      <c r="J2991" s="11">
        <f>[1]!EM_S_FA_NETPROFITMARGIN(B2991,E2991)</f>
        <v>21.427585213499999</v>
      </c>
      <c r="K2991" s="10">
        <f>[1]!EM_S_FA_ASSETSTURN(B2991,E2991)</f>
        <v>1.0371192091929999</v>
      </c>
      <c r="L2991" s="12">
        <f>[1]!EM_HKS_VAL_MV(B2991,"2019-12-31","2")</f>
        <v>20717898051.959999</v>
      </c>
      <c r="M2991">
        <f>[1]!EM_S_VAL_PETTMDEDUCTED(B2991,E2991)</f>
        <v>22.822405854986201</v>
      </c>
      <c r="N2991" s="7">
        <f>[1]!EM_S_VAL_PBGOODWILLDEDUCTED(B2991,E2991)</f>
        <v>5.5793922524688497</v>
      </c>
      <c r="O2991" s="7">
        <f>[1]!EM_S_VAL_PS_TTM(B2991,E2991)</f>
        <v>4.7345337002575496</v>
      </c>
      <c r="P2991" s="7">
        <f>[1]!EM_S_VAL_PCF_NCFTTM(B2991,E2991)</f>
        <v>-537.74359498300305</v>
      </c>
      <c r="Q2991" s="7">
        <f>[1]!EM_S_VAL_DIVIDENDYIELD2(B2991,E2991,"2019-11-29")</f>
        <v>4.0916530278232406</v>
      </c>
      <c r="T2991"/>
      <c r="U2991">
        <f>[1]!EM_S_RATIO_EPS_TTM(B2991,E2991,"1")</f>
        <v>0.74629167533133356</v>
      </c>
      <c r="AT2991" s="4" t="str">
        <f>[1]!EM_S_IPO_LISTEDDATE(B2991)</f>
        <v>2010-03-18</v>
      </c>
    </row>
    <row r="2992" spans="1:46">
      <c r="A2992">
        <v>280</v>
      </c>
      <c r="B2992" t="str">
        <f>"000695"</f>
        <v>000695</v>
      </c>
      <c r="C2992" t="s">
        <v>2654</v>
      </c>
      <c r="D2992" t="str">
        <f>[1]!EM_S_INFO_INDEX_EM(B2992,"1")</f>
        <v>公用事业</v>
      </c>
      <c r="E2992" s="4">
        <f t="shared" si="46"/>
        <v>43465</v>
      </c>
      <c r="F2992" s="11">
        <f>[1]!EM_S_PQ_PCTCHANGE(B2992,"2018-01-01","2019-12-31","3")</f>
        <v>-36.231884059999999</v>
      </c>
      <c r="G2992" s="11">
        <f>[1]!EM_S_PQ_PCTCHANGE(B2992,"2018-12-31","2019-12-30","1")</f>
        <v>-17.11111111</v>
      </c>
      <c r="H2992" s="11">
        <f>[1]!EM_S_FA_YOY_OR(B2992,E2992)</f>
        <v>3.9526383948000001</v>
      </c>
      <c r="I2992" s="11">
        <f>[1]!EM_S_FA_GROSSPROFITMARGIN(B2992,E2992)</f>
        <v>9.1865365098999998</v>
      </c>
      <c r="J2992" s="11">
        <f>[1]!EM_S_FA_NETPROFITMARGIN(B2992,E2992)</f>
        <v>5.3754016692000004</v>
      </c>
      <c r="K2992" s="10">
        <f>[1]!EM_S_FA_ASSETSTURN(B2992,E2992)</f>
        <v>0.80989879010700006</v>
      </c>
      <c r="L2992" s="12">
        <f>[1]!EM_HKS_VAL_MV(B2992,"2019-12-31","2")</f>
        <v>1661663591.72</v>
      </c>
      <c r="M2992">
        <f>[1]!EM_S_VAL_PETTMDEDUCTED(B2992,E2992)</f>
        <v>-176.04467197986199</v>
      </c>
      <c r="N2992" s="7">
        <f>[1]!EM_S_VAL_PBGOODWILLDEDUCTED(B2992,E2992)</f>
        <v>5.49158493571636</v>
      </c>
      <c r="O2992" s="7">
        <f>[1]!EM_S_VAL_PS_TTM(B2992,E2992)</f>
        <v>1.5320790714329</v>
      </c>
      <c r="P2992" s="7">
        <f>[1]!EM_S_VAL_PCF_NCFTTM(B2992,E2992)</f>
        <v>7.1520228830659898</v>
      </c>
      <c r="Q2992" s="7">
        <f>[1]!EM_S_VAL_DIVIDENDYIELD2(B2992,E2992,"2019-11-29")</f>
        <v>0</v>
      </c>
      <c r="T2992"/>
      <c r="U2992">
        <f>[1]!EM_S_RATIO_EPS_TTM(B2992,E2992,"1")</f>
        <v>0.16436954748348576</v>
      </c>
      <c r="AT2992" s="4" t="str">
        <f>[1]!EM_S_IPO_LISTEDDATE(B2992)</f>
        <v>1997-02-18</v>
      </c>
    </row>
    <row r="2993" spans="1:46">
      <c r="A2993">
        <v>2227</v>
      </c>
      <c r="B2993" t="str">
        <f>"600080"</f>
        <v>600080</v>
      </c>
      <c r="C2993" t="s">
        <v>2727</v>
      </c>
      <c r="D2993" t="str">
        <f>[1]!EM_S_INFO_INDEX_EM(B2993,"1")</f>
        <v>医药生物</v>
      </c>
      <c r="E2993" s="4">
        <f t="shared" si="46"/>
        <v>43465</v>
      </c>
      <c r="F2993" s="11">
        <f>[1]!EM_S_PQ_PCTCHANGE(B2993,"2018-01-01","2019-12-31","3")</f>
        <v>-25.500583880000001</v>
      </c>
      <c r="G2993" s="11">
        <f>[1]!EM_S_PQ_PCTCHANGE(B2993,"2018-12-31","2019-12-30","1")</f>
        <v>-17.178770950000001</v>
      </c>
      <c r="H2993" s="11">
        <f>[1]!EM_S_FA_YOY_OR(B2993,E2993)</f>
        <v>-1.5876191086</v>
      </c>
      <c r="I2993" s="11">
        <f>[1]!EM_S_FA_GROSSPROFITMARGIN(B2993,E2993)</f>
        <v>68.286172172799994</v>
      </c>
      <c r="J2993" s="11">
        <f>[1]!EM_S_FA_NETPROFITMARGIN(B2993,E2993)</f>
        <v>4.9502709829000002</v>
      </c>
      <c r="K2993" s="10">
        <f>[1]!EM_S_FA_ASSETSTURN(B2993,E2993)</f>
        <v>0.43911156159199999</v>
      </c>
      <c r="L2993" s="12">
        <f>[1]!EM_HKS_VAL_MV(B2993,"2019-12-31","2")</f>
        <v>2250819818.5500002</v>
      </c>
      <c r="M2993">
        <f>[1]!EM_S_VAL_PETTMDEDUCTED(B2993,E2993)</f>
        <v>66.776446440303204</v>
      </c>
      <c r="N2993" s="7">
        <f>[1]!EM_S_VAL_PBGOODWILLDEDUCTED(B2993,E2993)</f>
        <v>1.5088977444368901</v>
      </c>
      <c r="O2993" s="7">
        <f>[1]!EM_S_VAL_PS_TTM(B2993,E2993)</f>
        <v>3.5410792424117798</v>
      </c>
      <c r="P2993" s="7">
        <f>[1]!EM_S_VAL_PCF_NCFTTM(B2993,E2993)</f>
        <v>17.8480442999915</v>
      </c>
      <c r="Q2993" s="7">
        <f>[1]!EM_S_VAL_DIVIDENDYIELD2(B2993,E2993,"2019-11-29")</f>
        <v>0.68728522336769771</v>
      </c>
      <c r="T2993"/>
      <c r="U2993">
        <f>[1]!EM_S_RATIO_EPS_TTM(B2993,E2993,"1")</f>
        <v>0.10266558619848348</v>
      </c>
      <c r="AT2993" s="4" t="str">
        <f>[1]!EM_S_IPO_LISTEDDATE(B2993)</f>
        <v>1997-06-12</v>
      </c>
    </row>
    <row r="2994" spans="1:46">
      <c r="A2994">
        <v>1548</v>
      </c>
      <c r="B2994" t="str">
        <f>"300123"</f>
        <v>300123</v>
      </c>
      <c r="C2994" t="s">
        <v>2758</v>
      </c>
      <c r="D2994" t="str">
        <f>[1]!EM_S_INFO_INDEX_EM(B2994,"1")</f>
        <v>国防与装备</v>
      </c>
      <c r="E2994" s="4">
        <f t="shared" si="46"/>
        <v>43465</v>
      </c>
      <c r="F2994" s="11">
        <f>[1]!EM_S_PQ_PCTCHANGE(B2994,"2018-01-01","2019-12-31","3")</f>
        <v>13.680487960000001</v>
      </c>
      <c r="G2994" s="11">
        <f>[1]!EM_S_PQ_PCTCHANGE(B2994,"2018-12-31","2019-12-30","1")</f>
        <v>-17.19605696</v>
      </c>
      <c r="H2994" s="11">
        <f>[1]!EM_S_FA_YOY_OR(B2994,E2994)</f>
        <v>34.819887136399998</v>
      </c>
      <c r="I2994" s="11">
        <f>[1]!EM_S_FA_GROSSPROFITMARGIN(B2994,E2994)</f>
        <v>34.1729756282</v>
      </c>
      <c r="J2994" s="11">
        <f>[1]!EM_S_FA_NETPROFITMARGIN(B2994,E2994)</f>
        <v>11.958861538800001</v>
      </c>
      <c r="K2994" s="10">
        <f>[1]!EM_S_FA_ASSETSTURN(B2994,E2994)</f>
        <v>0.20435157351399999</v>
      </c>
      <c r="L2994" s="12">
        <f>[1]!EM_HKS_VAL_MV(B2994,"2019-12-31","2")</f>
        <v>7647917946.5699997</v>
      </c>
      <c r="M2994">
        <f>[1]!EM_S_VAL_PETTMDEDUCTED(B2994,E2994)</f>
        <v>37.131830677989299</v>
      </c>
      <c r="N2994" s="7">
        <f>[1]!EM_S_VAL_PBGOODWILLDEDUCTED(B2994,E2994)</f>
        <v>2.3871516645487199</v>
      </c>
      <c r="O2994" s="7">
        <f>[1]!EM_S_VAL_PS_TTM(B2994,E2994)</f>
        <v>3.5234600600557</v>
      </c>
      <c r="P2994" s="7">
        <f>[1]!EM_S_VAL_PCF_NCFTTM(B2994,E2994)</f>
        <v>30.692986404840301</v>
      </c>
      <c r="Q2994" s="7">
        <f>[1]!EM_S_VAL_DIVIDENDYIELD2(B2994,E2994,"2019-11-29")</f>
        <v>0.29505985517485217</v>
      </c>
      <c r="T2994"/>
      <c r="U2994">
        <f>[1]!EM_S_RATIO_EPS_TTM(B2994,E2994,"1")</f>
        <v>0.28481961350551921</v>
      </c>
      <c r="AT2994" s="4" t="str">
        <f>[1]!EM_S_IPO_LISTEDDATE(B2994)</f>
        <v>2010-09-28</v>
      </c>
    </row>
    <row r="2995" spans="1:46">
      <c r="A2995">
        <v>1364</v>
      </c>
      <c r="B2995" t="str">
        <f>"002864"</f>
        <v>002864</v>
      </c>
      <c r="C2995" t="s">
        <v>1588</v>
      </c>
      <c r="D2995" t="str">
        <f>[1]!EM_S_INFO_INDEX_EM(B2995,"1")</f>
        <v>医药生物</v>
      </c>
      <c r="E2995" s="4">
        <f t="shared" si="46"/>
        <v>43465</v>
      </c>
      <c r="F2995" s="11">
        <f>[1]!EM_S_PQ_PCTCHANGE(B2995,"2018-01-01","2019-12-31","3")</f>
        <v>-3.5964041500000001</v>
      </c>
      <c r="G2995" s="11">
        <f>[1]!EM_S_PQ_PCTCHANGE(B2995,"2018-12-31","2019-12-30","1")</f>
        <v>-17.204638039999999</v>
      </c>
      <c r="H2995" s="11">
        <f>[1]!EM_S_FA_YOY_OR(B2995,E2995)</f>
        <v>29.8988264338</v>
      </c>
      <c r="I2995" s="11">
        <f>[1]!EM_S_FA_GROSSPROFITMARGIN(B2995,E2995)</f>
        <v>71.148506323000007</v>
      </c>
      <c r="J2995" s="11">
        <f>[1]!EM_S_FA_NETPROFITMARGIN(B2995,E2995)</f>
        <v>13.215277089700001</v>
      </c>
      <c r="K2995" s="10">
        <f>[1]!EM_S_FA_ASSETSTURN(B2995,E2995)</f>
        <v>0.62319773935900002</v>
      </c>
      <c r="L2995" s="12">
        <f>[1]!EM_HKS_VAL_MV(B2995,"2019-12-31","2")</f>
        <v>2381691600</v>
      </c>
      <c r="M2995">
        <f>[1]!EM_S_VAL_PETTMDEDUCTED(B2995,E2995)</f>
        <v>68.902506781788702</v>
      </c>
      <c r="N2995" s="7">
        <f>[1]!EM_S_VAL_PBGOODWILLDEDUCTED(B2995,E2995)</f>
        <v>4.5219925290078802</v>
      </c>
      <c r="O2995" s="7">
        <f>[1]!EM_S_VAL_PS_TTM(B2995,E2995)</f>
        <v>6.2556435321084303</v>
      </c>
      <c r="P2995" s="7">
        <f>[1]!EM_S_VAL_PCF_NCFTTM(B2995,E2995)</f>
        <v>-74.588759532969604</v>
      </c>
      <c r="Q2995" s="7">
        <f>[1]!EM_S_VAL_DIVIDENDYIELD2(B2995,E2995,"2019-11-29")</f>
        <v>0.39888312724371761</v>
      </c>
      <c r="T2995"/>
      <c r="U2995">
        <f>[1]!EM_S_RATIO_EPS_TTM(B2995,E2995,"1")</f>
        <v>0.74630073277950848</v>
      </c>
      <c r="AT2995" s="4" t="str">
        <f>[1]!EM_S_IPO_LISTEDDATE(B2995)</f>
        <v>2017-11-16</v>
      </c>
    </row>
    <row r="2996" spans="1:46">
      <c r="A2996">
        <v>3565</v>
      </c>
      <c r="B2996" t="str">
        <f>"603856"</f>
        <v>603856</v>
      </c>
      <c r="C2996" t="s">
        <v>1029</v>
      </c>
      <c r="D2996" t="str">
        <f>[1]!EM_S_INFO_INDEX_EM(B2996,"1")</f>
        <v>建材</v>
      </c>
      <c r="E2996" s="4">
        <f t="shared" si="46"/>
        <v>43465</v>
      </c>
      <c r="F2996" s="11">
        <f>[1]!EM_S_PQ_PCTCHANGE(B2996,"2018-01-01","2019-12-31","3")</f>
        <v>-32.714946900000001</v>
      </c>
      <c r="G2996" s="11">
        <f>[1]!EM_S_PQ_PCTCHANGE(B2996,"2018-12-31","2019-12-30","1")</f>
        <v>-17.235901510000001</v>
      </c>
      <c r="H2996" s="11">
        <f>[1]!EM_S_FA_YOY_OR(B2996,E2996)</f>
        <v>8.6956385340000004</v>
      </c>
      <c r="I2996" s="11">
        <f>[1]!EM_S_FA_GROSSPROFITMARGIN(B2996,E2996)</f>
        <v>22.581760281800001</v>
      </c>
      <c r="J2996" s="11">
        <f>[1]!EM_S_FA_NETPROFITMARGIN(B2996,E2996)</f>
        <v>9.4344485523999992</v>
      </c>
      <c r="K2996" s="10">
        <f>[1]!EM_S_FA_ASSETSTURN(B2996,E2996)</f>
        <v>0.90655015801000005</v>
      </c>
      <c r="L2996" s="12">
        <f>[1]!EM_HKS_VAL_MV(B2996,"2019-12-31","2")</f>
        <v>2653891110</v>
      </c>
      <c r="M2996">
        <f>[1]!EM_S_VAL_PETTMDEDUCTED(B2996,E2996)</f>
        <v>28.379262201764799</v>
      </c>
      <c r="N2996" s="7">
        <f>[1]!EM_S_VAL_PBGOODWILLDEDUCTED(B2996,E2996)</f>
        <v>2.0815047346053701</v>
      </c>
      <c r="O2996" s="7">
        <f>[1]!EM_S_VAL_PS_TTM(B2996,E2996)</f>
        <v>1.85252726023587</v>
      </c>
      <c r="P2996" s="7">
        <f>[1]!EM_S_VAL_PCF_NCFTTM(B2996,E2996)</f>
        <v>24.144348490306601</v>
      </c>
      <c r="Q2996" s="7">
        <f>[1]!EM_S_VAL_DIVIDENDYIELD2(B2996,E2996,"2019-11-29")</f>
        <v>1.8507157464212678</v>
      </c>
      <c r="T2996"/>
      <c r="U2996">
        <f>[1]!EM_S_RATIO_EPS_TTM(B2996,E2996,"1")</f>
        <v>0.6024891687134819</v>
      </c>
      <c r="AT2996" s="4" t="str">
        <f>[1]!EM_S_IPO_LISTEDDATE(B2996)</f>
        <v>2017-11-06</v>
      </c>
    </row>
    <row r="2997" spans="1:46">
      <c r="A2997">
        <v>1013</v>
      </c>
      <c r="B2997" t="str">
        <f>"002502"</f>
        <v>002502</v>
      </c>
      <c r="C2997" t="s">
        <v>2968</v>
      </c>
      <c r="D2997" t="str">
        <f>[1]!EM_S_INFO_INDEX_EM(B2997,"1")</f>
        <v>文化传媒</v>
      </c>
      <c r="E2997" s="4">
        <f t="shared" si="46"/>
        <v>43465</v>
      </c>
      <c r="F2997" s="11">
        <f>[1]!EM_S_PQ_PCTCHANGE(B2997,"2018-01-01","2019-12-31","3")</f>
        <v>-63.173865200000002</v>
      </c>
      <c r="G2997" s="11">
        <f>[1]!EM_S_PQ_PCTCHANGE(B2997,"2018-12-31","2019-12-30","1")</f>
        <v>-17.25888325</v>
      </c>
      <c r="H2997" s="11">
        <f>[1]!EM_S_FA_YOY_OR(B2997,E2997)</f>
        <v>3.410785089</v>
      </c>
      <c r="I2997" s="11">
        <f>[1]!EM_S_FA_GROSSPROFITMARGIN(B2997,E2997)</f>
        <v>33.245507058500003</v>
      </c>
      <c r="J2997" s="11">
        <f>[1]!EM_S_FA_NETPROFITMARGIN(B2997,E2997)</f>
        <v>-170.08569010439999</v>
      </c>
      <c r="K2997" s="10">
        <f>[1]!EM_S_FA_ASSETSTURN(B2997,E2997)</f>
        <v>0.24159489743199999</v>
      </c>
      <c r="L2997" s="12">
        <f>[1]!EM_HKS_VAL_MV(B2997,"2019-12-31","2")</f>
        <v>2734255819.3200002</v>
      </c>
      <c r="M2997">
        <f>[1]!EM_S_VAL_PETTMDEDUCTED(B2997,E2997)</f>
        <v>43.872314048045801</v>
      </c>
      <c r="N2997" s="7">
        <f>[1]!EM_S_VAL_PBGOODWILLDEDUCTED(B2997,E2997)</f>
        <v>2.0740654934388298</v>
      </c>
      <c r="O2997" s="7">
        <f>[1]!EM_S_VAL_PS_TTM(B2997,E2997)</f>
        <v>14.7449776165919</v>
      </c>
      <c r="P2997" s="7">
        <f>[1]!EM_S_VAL_PCF_NCFTTM(B2997,E2997)</f>
        <v>-13.7075868964682</v>
      </c>
      <c r="Q2997" s="7">
        <f>[1]!EM_S_VAL_DIVIDENDYIELD2(B2997,E2997,"2019-11-29")</f>
        <v>0</v>
      </c>
      <c r="T2997"/>
      <c r="U2997">
        <f>[1]!EM_S_RATIO_EPS_TTM(B2997,E2997,"1")</f>
        <v>-1.4850638577647952</v>
      </c>
      <c r="AT2997" s="4" t="str">
        <f>[1]!EM_S_IPO_LISTEDDATE(B2997)</f>
        <v>2010-11-17</v>
      </c>
    </row>
    <row r="2998" spans="1:46">
      <c r="A2998">
        <v>1519</v>
      </c>
      <c r="B2998" t="str">
        <f>"300094"</f>
        <v>300094</v>
      </c>
      <c r="C2998" t="s">
        <v>315</v>
      </c>
      <c r="D2998" t="str">
        <f>[1]!EM_S_INFO_INDEX_EM(B2998,"1")</f>
        <v>农林牧渔</v>
      </c>
      <c r="E2998" s="4">
        <f t="shared" si="46"/>
        <v>43465</v>
      </c>
      <c r="F2998" s="11">
        <f>[1]!EM_S_PQ_PCTCHANGE(B2998,"2018-01-01","2019-12-31","3")</f>
        <v>-38.262691779999997</v>
      </c>
      <c r="G2998" s="11">
        <f>[1]!EM_S_PQ_PCTCHANGE(B2998,"2018-12-31","2019-12-30","1")</f>
        <v>-17.28880157</v>
      </c>
      <c r="H2998" s="11">
        <f>[1]!EM_S_FA_YOY_OR(B2998,E2998)</f>
        <v>15.673885973300001</v>
      </c>
      <c r="I2998" s="11">
        <f>[1]!EM_S_FA_GROSSPROFITMARGIN(B2998,E2998)</f>
        <v>13.804256410600001</v>
      </c>
      <c r="J2998" s="11">
        <f>[1]!EM_S_FA_NETPROFITMARGIN(B2998,E2998)</f>
        <v>4.8717947637999997</v>
      </c>
      <c r="K2998" s="10">
        <f>[1]!EM_S_FA_ASSETSTURN(B2998,E2998)</f>
        <v>1.0702966453239999</v>
      </c>
      <c r="L2998" s="12">
        <f>[1]!EM_HKS_VAL_MV(B2998,"2019-12-31","2")</f>
        <v>3868004963.75</v>
      </c>
      <c r="M2998">
        <f>[1]!EM_S_VAL_PETTMDEDUCTED(B2998,E2998)</f>
        <v>22.518248738101899</v>
      </c>
      <c r="N2998" s="7">
        <f>[1]!EM_S_VAL_PBGOODWILLDEDUCTED(B2998,E2998)</f>
        <v>1.83904584547367</v>
      </c>
      <c r="O2998" s="7">
        <f>[1]!EM_S_VAL_PS_TTM(B2998,E2998)</f>
        <v>0.87726084890018496</v>
      </c>
      <c r="P2998" s="7">
        <f>[1]!EM_S_VAL_PCF_NCFTTM(B2998,E2998)</f>
        <v>-51.685273716942703</v>
      </c>
      <c r="Q2998" s="7">
        <f>[1]!EM_S_VAL_DIVIDENDYIELD2(B2998,E2998,"2019-11-29")</f>
        <v>0.72639225181598066</v>
      </c>
      <c r="T2998"/>
      <c r="U2998">
        <f>[1]!EM_S_RATIO_EPS_TTM(B2998,E2998,"1")</f>
        <v>0.2948958810657985</v>
      </c>
      <c r="AT2998" s="4" t="str">
        <f>[1]!EM_S_IPO_LISTEDDATE(B2998)</f>
        <v>2010-07-08</v>
      </c>
    </row>
    <row r="2999" spans="1:46">
      <c r="A2999">
        <v>1686</v>
      </c>
      <c r="B2999" t="str">
        <f>"300261"</f>
        <v>300261</v>
      </c>
      <c r="C2999" t="s">
        <v>3146</v>
      </c>
      <c r="D2999" t="str">
        <f>[1]!EM_S_INFO_INDEX_EM(B2999,"1")</f>
        <v>基础化工</v>
      </c>
      <c r="E2999" s="4">
        <f t="shared" si="46"/>
        <v>43465</v>
      </c>
      <c r="F2999" s="11">
        <f>[1]!EM_S_PQ_PCTCHANGE(B2999,"2018-01-01","2019-12-31","3")</f>
        <v>-23.996526920000001</v>
      </c>
      <c r="G2999" s="11">
        <f>[1]!EM_S_PQ_PCTCHANGE(B2999,"2018-12-31","2019-12-30","1")</f>
        <v>-17.315175100000001</v>
      </c>
      <c r="H2999" s="11">
        <f>[1]!EM_S_FA_YOY_OR(B2999,E2999)</f>
        <v>49.495392523299998</v>
      </c>
      <c r="I2999" s="11">
        <f>[1]!EM_S_FA_GROSSPROFITMARGIN(B2999,E2999)</f>
        <v>28.515860797199998</v>
      </c>
      <c r="J2999" s="11">
        <f>[1]!EM_S_FA_NETPROFITMARGIN(B2999,E2999)</f>
        <v>10.2139646759</v>
      </c>
      <c r="K2999" s="10">
        <f>[1]!EM_S_FA_ASSETSTURN(B2999,E2999)</f>
        <v>0.529617459437</v>
      </c>
      <c r="L2999" s="12">
        <f>[1]!EM_HKS_VAL_MV(B2999,"2019-12-31","2")</f>
        <v>4132597630.5900002</v>
      </c>
      <c r="M2999">
        <f>[1]!EM_S_VAL_PETTMDEDUCTED(B2999,E2999)</f>
        <v>36.200706332497901</v>
      </c>
      <c r="N2999" s="7">
        <f>[1]!EM_S_VAL_PBGOODWILLDEDUCTED(B2999,E2999)</f>
        <v>3.0680916427182199</v>
      </c>
      <c r="O2999" s="7">
        <f>[1]!EM_S_VAL_PS_TTM(B2999,E2999)</f>
        <v>2.98341724961828</v>
      </c>
      <c r="P2999" s="7">
        <f>[1]!EM_S_VAL_PCF_NCFTTM(B2999,E2999)</f>
        <v>9.3044065248270407</v>
      </c>
      <c r="Q2999" s="7">
        <f>[1]!EM_S_VAL_DIVIDENDYIELD2(B2999,E2999,"2019-11-29")</f>
        <v>1.2376237623762376</v>
      </c>
      <c r="T2999"/>
      <c r="U2999">
        <f>[1]!EM_S_RATIO_EPS_TTM(B2999,E2999,"1")</f>
        <v>0.1667420883169122</v>
      </c>
      <c r="AT2999" s="4" t="str">
        <f>[1]!EM_S_IPO_LISTEDDATE(B2999)</f>
        <v>2011-09-06</v>
      </c>
    </row>
    <row r="3000" spans="1:46">
      <c r="A3000">
        <v>217</v>
      </c>
      <c r="B3000" t="str">
        <f>"000615"</f>
        <v>000615</v>
      </c>
      <c r="C3000" t="s">
        <v>3534</v>
      </c>
      <c r="D3000" t="str">
        <f>[1]!EM_S_INFO_INDEX_EM(B3000,"1")</f>
        <v>房地产</v>
      </c>
      <c r="E3000" s="4">
        <f t="shared" si="46"/>
        <v>43465</v>
      </c>
      <c r="F3000" s="11">
        <f>[1]!EM_S_PQ_PCTCHANGE(B3000,"2018-01-01","2019-12-31","3")</f>
        <v>-54.29235731</v>
      </c>
      <c r="G3000" s="11">
        <f>[1]!EM_S_PQ_PCTCHANGE(B3000,"2018-12-31","2019-12-30","1")</f>
        <v>-17.32580038</v>
      </c>
      <c r="H3000" s="11">
        <f>[1]!EM_S_FA_YOY_OR(B3000,E3000)</f>
        <v>3.3460864063</v>
      </c>
      <c r="I3000" s="11">
        <f>[1]!EM_S_FA_GROSSPROFITMARGIN(B3000,E3000)</f>
        <v>29.504290146399999</v>
      </c>
      <c r="J3000" s="11">
        <f>[1]!EM_S_FA_NETPROFITMARGIN(B3000,E3000)</f>
        <v>4.4343086548999997</v>
      </c>
      <c r="K3000" s="10">
        <f>[1]!EM_S_FA_ASSETSTURN(B3000,E3000)</f>
        <v>0.26945484628900002</v>
      </c>
      <c r="L3000" s="12">
        <f>[1]!EM_HKS_VAL_MV(B3000,"2019-12-31","2")</f>
        <v>3465623009.1100001</v>
      </c>
      <c r="M3000">
        <f>[1]!EM_S_VAL_PETTMDEDUCTED(B3000,E3000)</f>
        <v>11.9436566143777</v>
      </c>
      <c r="N3000" s="7">
        <f>[1]!EM_S_VAL_PBGOODWILLDEDUCTED(B3000,E3000)</f>
        <v>2.1724385199140799</v>
      </c>
      <c r="O3000" s="7">
        <f>[1]!EM_S_VAL_PS_TTM(B3000,E3000)</f>
        <v>1.17401588047037</v>
      </c>
      <c r="P3000" s="7">
        <f>[1]!EM_S_VAL_PCF_NCFTTM(B3000,E3000)</f>
        <v>5.35489210871284</v>
      </c>
      <c r="Q3000" s="7">
        <f>[1]!EM_S_VAL_DIVIDENDYIELD2(B3000,E3000,"2019-11-29")</f>
        <v>0</v>
      </c>
      <c r="T3000"/>
      <c r="U3000">
        <f>[1]!EM_S_RATIO_EPS_TTM(B3000,E3000,"1")</f>
        <v>0.20081446991800944</v>
      </c>
      <c r="AT3000" s="4" t="str">
        <f>[1]!EM_S_IPO_LISTEDDATE(B3000)</f>
        <v>1996-10-16</v>
      </c>
    </row>
    <row r="3001" spans="1:46">
      <c r="A3001">
        <v>3483</v>
      </c>
      <c r="B3001" t="str">
        <f>"603665"</f>
        <v>603665</v>
      </c>
      <c r="C3001" t="s">
        <v>1515</v>
      </c>
      <c r="D3001" t="str">
        <f>[1]!EM_S_INFO_INDEX_EM(B3001,"1")</f>
        <v>纺织服装</v>
      </c>
      <c r="E3001" s="4">
        <f t="shared" si="46"/>
        <v>43465</v>
      </c>
      <c r="F3001" s="11">
        <f>[1]!EM_S_PQ_PCTCHANGE(B3001,"2018-01-01","2019-12-31","3")</f>
        <v>-32.022870269999999</v>
      </c>
      <c r="G3001" s="11">
        <f>[1]!EM_S_PQ_PCTCHANGE(B3001,"2018-12-31","2019-12-30","1")</f>
        <v>-17.338403039999999</v>
      </c>
      <c r="H3001" s="11">
        <f>[1]!EM_S_FA_YOY_OR(B3001,E3001)</f>
        <v>18.002767908100001</v>
      </c>
      <c r="I3001" s="11">
        <f>[1]!EM_S_FA_GROSSPROFITMARGIN(B3001,E3001)</f>
        <v>28.903002724499999</v>
      </c>
      <c r="J3001" s="11">
        <f>[1]!EM_S_FA_NETPROFITMARGIN(B3001,E3001)</f>
        <v>9.4141540260000003</v>
      </c>
      <c r="K3001" s="10">
        <f>[1]!EM_S_FA_ASSETSTURN(B3001,E3001)</f>
        <v>0.72997759304400001</v>
      </c>
      <c r="L3001" s="12">
        <f>[1]!EM_HKS_VAL_MV(B3001,"2019-12-31","2")</f>
        <v>2188000000</v>
      </c>
      <c r="M3001">
        <f>[1]!EM_S_VAL_PETTMDEDUCTED(B3001,E3001)</f>
        <v>39.042549516985702</v>
      </c>
      <c r="N3001" s="7">
        <f>[1]!EM_S_VAL_PBGOODWILLDEDUCTED(B3001,E3001)</f>
        <v>2.8403142705739599</v>
      </c>
      <c r="O3001" s="7">
        <f>[1]!EM_S_VAL_PS_TTM(B3001,E3001)</f>
        <v>3.1171447329375099</v>
      </c>
      <c r="P3001" s="7">
        <f>[1]!EM_S_VAL_PCF_NCFTTM(B3001,E3001)</f>
        <v>52.877838055001398</v>
      </c>
      <c r="Q3001" s="7">
        <f>[1]!EM_S_VAL_DIVIDENDYIELD2(B3001,E3001,"2019-11-29")</f>
        <v>0.97799511002444983</v>
      </c>
      <c r="T3001"/>
      <c r="U3001">
        <f>[1]!EM_S_RATIO_EPS_TTM(B3001,E3001,"1")</f>
        <v>0.83566953860000004</v>
      </c>
      <c r="AT3001" s="4" t="str">
        <f>[1]!EM_S_IPO_LISTEDDATE(B3001)</f>
        <v>2017-03-13</v>
      </c>
    </row>
    <row r="3002" spans="1:46">
      <c r="A3002">
        <v>1932</v>
      </c>
      <c r="B3002" t="str">
        <f>"300507"</f>
        <v>300507</v>
      </c>
      <c r="C3002" t="s">
        <v>636</v>
      </c>
      <c r="D3002" t="str">
        <f>[1]!EM_S_INFO_INDEX_EM(B3002,"1")</f>
        <v>交运设备</v>
      </c>
      <c r="E3002" s="4">
        <f t="shared" si="46"/>
        <v>43465</v>
      </c>
      <c r="F3002" s="11">
        <f>[1]!EM_S_PQ_PCTCHANGE(B3002,"2018-01-01","2019-12-31","3")</f>
        <v>-5.3121602299999999</v>
      </c>
      <c r="G3002" s="11">
        <f>[1]!EM_S_PQ_PCTCHANGE(B3002,"2018-12-31","2019-12-30","1")</f>
        <v>-17.437097720000001</v>
      </c>
      <c r="H3002" s="11">
        <f>[1]!EM_S_FA_YOY_OR(B3002,E3002)</f>
        <v>10.8190117521</v>
      </c>
      <c r="I3002" s="11">
        <f>[1]!EM_S_FA_GROSSPROFITMARGIN(B3002,E3002)</f>
        <v>27.8813818916</v>
      </c>
      <c r="J3002" s="11">
        <f>[1]!EM_S_FA_NETPROFITMARGIN(B3002,E3002)</f>
        <v>14.2649837386</v>
      </c>
      <c r="K3002" s="10">
        <f>[1]!EM_S_FA_ASSETSTURN(B3002,E3002)</f>
        <v>0.60072132503099995</v>
      </c>
      <c r="L3002" s="12">
        <f>[1]!EM_HKS_VAL_MV(B3002,"2019-12-31","2")</f>
        <v>3150744318</v>
      </c>
      <c r="M3002">
        <f>[1]!EM_S_VAL_PETTMDEDUCTED(B3002,E3002)</f>
        <v>24.9760293377267</v>
      </c>
      <c r="N3002" s="7">
        <f>[1]!EM_S_VAL_PBGOODWILLDEDUCTED(B3002,E3002)</f>
        <v>2.2003020445330801</v>
      </c>
      <c r="O3002" s="7">
        <f>[1]!EM_S_VAL_PS_TTM(B3002,E3002)</f>
        <v>3.3191036269110898</v>
      </c>
      <c r="P3002" s="7">
        <f>[1]!EM_S_VAL_PCF_NCFTTM(B3002,E3002)</f>
        <v>-70.3673964968348</v>
      </c>
      <c r="Q3002" s="7">
        <f>[1]!EM_S_VAL_DIVIDENDYIELD2(B3002,E3002,"2019-11-29")</f>
        <v>0.72872253510646356</v>
      </c>
      <c r="T3002"/>
      <c r="U3002">
        <f>[1]!EM_S_RATIO_EPS_TTM(B3002,E3002,"1")</f>
        <v>0.71059384678316639</v>
      </c>
      <c r="AT3002" s="4" t="str">
        <f>[1]!EM_S_IPO_LISTEDDATE(B3002)</f>
        <v>2016-04-29</v>
      </c>
    </row>
    <row r="3003" spans="1:46">
      <c r="A3003">
        <v>3031</v>
      </c>
      <c r="B3003" t="str">
        <f>"601011"</f>
        <v>601011</v>
      </c>
      <c r="C3003" t="s">
        <v>2182</v>
      </c>
      <c r="D3003" t="str">
        <f>[1]!EM_S_INFO_INDEX_EM(B3003,"1")</f>
        <v>化石能源</v>
      </c>
      <c r="E3003" s="4">
        <f t="shared" si="46"/>
        <v>43465</v>
      </c>
      <c r="F3003" s="11">
        <f>[1]!EM_S_PQ_PCTCHANGE(B3003,"2018-01-01","2019-12-31","3")</f>
        <v>-48.759858719999997</v>
      </c>
      <c r="G3003" s="11">
        <f>[1]!EM_S_PQ_PCTCHANGE(B3003,"2018-12-31","2019-12-30","1")</f>
        <v>-17.454545450000001</v>
      </c>
      <c r="H3003" s="11">
        <f>[1]!EM_S_FA_YOY_OR(B3003,E3003)</f>
        <v>21.280208334699999</v>
      </c>
      <c r="I3003" s="11">
        <f>[1]!EM_S_FA_GROSSPROFITMARGIN(B3003,E3003)</f>
        <v>27.074779233299999</v>
      </c>
      <c r="J3003" s="11">
        <f>[1]!EM_S_FA_NETPROFITMARGIN(B3003,E3003)</f>
        <v>9.3295123488999998</v>
      </c>
      <c r="K3003" s="10">
        <f>[1]!EM_S_FA_ASSETSTURN(B3003,E3003)</f>
        <v>0.33623228439000002</v>
      </c>
      <c r="L3003" s="12">
        <f>[1]!EM_HKS_VAL_MV(B3003,"2019-12-31","2")</f>
        <v>7265315032.4700003</v>
      </c>
      <c r="M3003">
        <f>[1]!EM_S_VAL_PETTMDEDUCTED(B3003,E3003)</f>
        <v>34.819385861200303</v>
      </c>
      <c r="N3003" s="7">
        <f>[1]!EM_S_VAL_PBGOODWILLDEDUCTED(B3003,E3003)</f>
        <v>1.47895362778606</v>
      </c>
      <c r="O3003" s="7">
        <f>[1]!EM_S_VAL_PS_TTM(B3003,E3003)</f>
        <v>2.5194078996583702</v>
      </c>
      <c r="P3003" s="7">
        <f>[1]!EM_S_VAL_PCF_NCFTTM(B3003,E3003)</f>
        <v>-28.870988597374001</v>
      </c>
      <c r="Q3003" s="7">
        <f>[1]!EM_S_VAL_DIVIDENDYIELD2(B3003,E3003,"2019-11-29")</f>
        <v>0</v>
      </c>
      <c r="T3003"/>
      <c r="U3003">
        <f>[1]!EM_S_RATIO_EPS_TTM(B3003,E3003,"1")</f>
        <v>0.21265559717079396</v>
      </c>
      <c r="AT3003" s="4" t="str">
        <f>[1]!EM_S_IPO_LISTEDDATE(B3003)</f>
        <v>2011-03-09</v>
      </c>
    </row>
    <row r="3004" spans="1:46">
      <c r="A3004">
        <v>1903</v>
      </c>
      <c r="B3004" t="str">
        <f>"300478"</f>
        <v>300478</v>
      </c>
      <c r="C3004" t="s">
        <v>3202</v>
      </c>
      <c r="D3004" t="str">
        <f>[1]!EM_S_INFO_INDEX_EM(B3004,"1")</f>
        <v>有色金属</v>
      </c>
      <c r="E3004" s="4">
        <f t="shared" si="46"/>
        <v>43465</v>
      </c>
      <c r="F3004" s="11">
        <f>[1]!EM_S_PQ_PCTCHANGE(B3004,"2018-01-01","2019-12-31","3")</f>
        <v>-46.288317849999999</v>
      </c>
      <c r="G3004" s="11">
        <f>[1]!EM_S_PQ_PCTCHANGE(B3004,"2018-12-31","2019-12-30","1")</f>
        <v>-17.464788729999999</v>
      </c>
      <c r="H3004" s="11">
        <f>[1]!EM_S_FA_YOY_OR(B3004,E3004)</f>
        <v>30.951450848</v>
      </c>
      <c r="I3004" s="11">
        <f>[1]!EM_S_FA_GROSSPROFITMARGIN(B3004,E3004)</f>
        <v>18.189609821200001</v>
      </c>
      <c r="J3004" s="11">
        <f>[1]!EM_S_FA_NETPROFITMARGIN(B3004,E3004)</f>
        <v>2.4167469049000001</v>
      </c>
      <c r="K3004" s="10">
        <f>[1]!EM_S_FA_ASSETSTURN(B3004,E3004)</f>
        <v>0.688272594174</v>
      </c>
      <c r="L3004" s="12">
        <f>[1]!EM_HKS_VAL_MV(B3004,"2019-12-31","2")</f>
        <v>1503608510</v>
      </c>
      <c r="M3004">
        <f>[1]!EM_S_VAL_PETTMDEDUCTED(B3004,E3004)</f>
        <v>36.6364359799799</v>
      </c>
      <c r="N3004" s="7">
        <f>[1]!EM_S_VAL_PBGOODWILLDEDUCTED(B3004,E3004)</f>
        <v>3.2209284799080802</v>
      </c>
      <c r="O3004" s="7">
        <f>[1]!EM_S_VAL_PS_TTM(B3004,E3004)</f>
        <v>2.1688991538016</v>
      </c>
      <c r="P3004" s="7">
        <f>[1]!EM_S_VAL_PCF_NCFTTM(B3004,E3004)</f>
        <v>-14.1503324414867</v>
      </c>
      <c r="Q3004" s="7">
        <f>[1]!EM_S_VAL_DIVIDENDYIELD2(B3004,E3004,"2019-11-29")</f>
        <v>0.69955156950672648</v>
      </c>
      <c r="T3004"/>
      <c r="U3004">
        <f>[1]!EM_S_RATIO_EPS_TTM(B3004,E3004,"1")</f>
        <v>0.16719859741223464</v>
      </c>
      <c r="AT3004" s="4" t="str">
        <f>[1]!EM_S_IPO_LISTEDDATE(B3004)</f>
        <v>2015-06-10</v>
      </c>
    </row>
    <row r="3005" spans="1:46">
      <c r="A3005">
        <v>1272</v>
      </c>
      <c r="B3005" t="str">
        <f>"002765"</f>
        <v>002765</v>
      </c>
      <c r="C3005" t="s">
        <v>1286</v>
      </c>
      <c r="D3005" t="str">
        <f>[1]!EM_S_INFO_INDEX_EM(B3005,"1")</f>
        <v>交运设备</v>
      </c>
      <c r="E3005" s="4">
        <f t="shared" si="46"/>
        <v>43465</v>
      </c>
      <c r="F3005" s="11">
        <f>[1]!EM_S_PQ_PCTCHANGE(B3005,"2018-01-01","2019-12-31","3")</f>
        <v>-40.39918488</v>
      </c>
      <c r="G3005" s="11">
        <f>[1]!EM_S_PQ_PCTCHANGE(B3005,"2018-12-31","2019-12-30","1")</f>
        <v>-17.467948719999999</v>
      </c>
      <c r="H3005" s="11">
        <f>[1]!EM_S_FA_YOY_OR(B3005,E3005)</f>
        <v>-28.629163437100001</v>
      </c>
      <c r="I3005" s="11">
        <f>[1]!EM_S_FA_GROSSPROFITMARGIN(B3005,E3005)</f>
        <v>17.3760314978</v>
      </c>
      <c r="J3005" s="11">
        <f>[1]!EM_S_FA_NETPROFITMARGIN(B3005,E3005)</f>
        <v>0.3329734741</v>
      </c>
      <c r="K3005" s="10">
        <f>[1]!EM_S_FA_ASSETSTURN(B3005,E3005)</f>
        <v>0.35078328725199998</v>
      </c>
      <c r="L3005" s="12">
        <f>[1]!EM_HKS_VAL_MV(B3005,"2019-12-31","2")</f>
        <v>2470000592.6100001</v>
      </c>
      <c r="M3005">
        <f>[1]!EM_S_VAL_PETTMDEDUCTED(B3005,E3005)</f>
        <v>47.816634901553698</v>
      </c>
      <c r="N3005" s="7">
        <f>[1]!EM_S_VAL_PBGOODWILLDEDUCTED(B3005,E3005)</f>
        <v>2.1238756704947401</v>
      </c>
      <c r="O3005" s="7">
        <f>[1]!EM_S_VAL_PS_TTM(B3005,E3005)</f>
        <v>2.29673776485118</v>
      </c>
      <c r="P3005" s="7">
        <f>[1]!EM_S_VAL_PCF_NCFTTM(B3005,E3005)</f>
        <v>-13.2670503070121</v>
      </c>
      <c r="Q3005" s="7">
        <f>[1]!EM_S_VAL_DIVIDENDYIELD2(B3005,E3005,"2019-11-29")</f>
        <v>0</v>
      </c>
      <c r="T3005"/>
      <c r="U3005">
        <f>[1]!EM_S_RATIO_EPS_TTM(B3005,E3005,"1")</f>
        <v>6.5625498455316707E-3</v>
      </c>
      <c r="AT3005" s="4" t="str">
        <f>[1]!EM_S_IPO_LISTEDDATE(B3005)</f>
        <v>2015-06-12</v>
      </c>
    </row>
    <row r="3006" spans="1:46">
      <c r="A3006">
        <v>1527</v>
      </c>
      <c r="B3006" t="str">
        <f>"300102"</f>
        <v>300102</v>
      </c>
      <c r="C3006" t="s">
        <v>1577</v>
      </c>
      <c r="D3006" t="str">
        <f>[1]!EM_S_INFO_INDEX_EM(B3006,"1")</f>
        <v>电子设备</v>
      </c>
      <c r="E3006" s="4">
        <f t="shared" si="46"/>
        <v>43465</v>
      </c>
      <c r="F3006" s="11">
        <f>[1]!EM_S_PQ_PCTCHANGE(B3006,"2018-01-01","2019-12-31","3")</f>
        <v>-52.434023230000001</v>
      </c>
      <c r="G3006" s="11">
        <f>[1]!EM_S_PQ_PCTCHANGE(B3006,"2018-12-31","2019-12-30","1")</f>
        <v>-17.495711839999998</v>
      </c>
      <c r="H3006" s="11">
        <f>[1]!EM_S_FA_YOY_OR(B3006,E3006)</f>
        <v>-8.9115300987000001</v>
      </c>
      <c r="I3006" s="11">
        <f>[1]!EM_S_FA_GROSSPROFITMARGIN(B3006,E3006)</f>
        <v>29.1725913635</v>
      </c>
      <c r="J3006" s="11">
        <f>[1]!EM_S_FA_NETPROFITMARGIN(B3006,E3006)</f>
        <v>17.481901635</v>
      </c>
      <c r="K3006" s="10">
        <f>[1]!EM_S_FA_ASSETSTURN(B3006,E3006)</f>
        <v>0.17646038027300001</v>
      </c>
      <c r="L3006" s="12">
        <f>[1]!EM_HKS_VAL_MV(B3006,"2019-12-31","2")</f>
        <v>3360700102.25</v>
      </c>
      <c r="M3006">
        <f>[1]!EM_S_VAL_PETTMDEDUCTED(B3006,E3006)</f>
        <v>55.773195887720298</v>
      </c>
      <c r="N3006" s="7">
        <f>[1]!EM_S_VAL_PBGOODWILLDEDUCTED(B3006,E3006)</f>
        <v>1.45289813320026</v>
      </c>
      <c r="O3006" s="7">
        <f>[1]!EM_S_VAL_PS_TTM(B3006,E3006)</f>
        <v>3.9760964745343998</v>
      </c>
      <c r="P3006" s="7">
        <f>[1]!EM_S_VAL_PCF_NCFTTM(B3006,E3006)</f>
        <v>13.731944216019601</v>
      </c>
      <c r="Q3006" s="7">
        <f>[1]!EM_S_VAL_DIVIDENDYIELD2(B3006,E3006,"2019-11-29")</f>
        <v>0.61576354679802969</v>
      </c>
      <c r="T3006"/>
      <c r="U3006">
        <f>[1]!EM_S_RATIO_EPS_TTM(B3006,E3006,"1")</f>
        <v>0.25011796554949428</v>
      </c>
      <c r="AT3006" s="4" t="str">
        <f>[1]!EM_S_IPO_LISTEDDATE(B3006)</f>
        <v>2010-08-12</v>
      </c>
    </row>
    <row r="3007" spans="1:46">
      <c r="A3007">
        <v>1546</v>
      </c>
      <c r="B3007" t="str">
        <f>"300121"</f>
        <v>300121</v>
      </c>
      <c r="C3007" t="s">
        <v>113</v>
      </c>
      <c r="D3007" t="str">
        <f>[1]!EM_S_INFO_INDEX_EM(B3007,"1")</f>
        <v>基础化工</v>
      </c>
      <c r="E3007" s="4">
        <f t="shared" si="46"/>
        <v>43465</v>
      </c>
      <c r="F3007" s="11">
        <f>[1]!EM_S_PQ_PCTCHANGE(B3007,"2018-01-01","2019-12-31","3")</f>
        <v>-35.630391029999998</v>
      </c>
      <c r="G3007" s="11">
        <f>[1]!EM_S_PQ_PCTCHANGE(B3007,"2018-12-31","2019-12-30","1")</f>
        <v>-17.564402810000001</v>
      </c>
      <c r="H3007" s="11">
        <f>[1]!EM_S_FA_YOY_OR(B3007,E3007)</f>
        <v>27.1169641788</v>
      </c>
      <c r="I3007" s="11">
        <f>[1]!EM_S_FA_GROSSPROFITMARGIN(B3007,E3007)</f>
        <v>32.5399138983</v>
      </c>
      <c r="J3007" s="11">
        <f>[1]!EM_S_FA_NETPROFITMARGIN(B3007,E3007)</f>
        <v>17.639851828400001</v>
      </c>
      <c r="K3007" s="10">
        <f>[1]!EM_S_FA_ASSETSTURN(B3007,E3007)</f>
        <v>1.1179903163039999</v>
      </c>
      <c r="L3007" s="12">
        <f>[1]!EM_HKS_VAL_MV(B3007,"2019-12-31","2")</f>
        <v>2743598644.3600001</v>
      </c>
      <c r="M3007">
        <f>[1]!EM_S_VAL_PETTMDEDUCTED(B3007,E3007)</f>
        <v>8.36698804475974</v>
      </c>
      <c r="N3007" s="7">
        <f>[1]!EM_S_VAL_PBGOODWILLDEDUCTED(B3007,E3007)</f>
        <v>1.8777080795907199</v>
      </c>
      <c r="O3007" s="7">
        <f>[1]!EM_S_VAL_PS_TTM(B3007,E3007)</f>
        <v>1.5892684220264399</v>
      </c>
      <c r="P3007" s="7">
        <f>[1]!EM_S_VAL_PCF_NCFTTM(B3007,E3007)</f>
        <v>7.7309314935456799</v>
      </c>
      <c r="Q3007" s="7">
        <f>[1]!EM_S_VAL_DIVIDENDYIELD2(B3007,E3007,"2019-11-29")</f>
        <v>10.517799352750808</v>
      </c>
      <c r="U3007">
        <f>[1]!EM_S_RATIO_EPS_TTM(B3007,E3007,"1")</f>
        <v>0.97898556935094139</v>
      </c>
      <c r="AT3007" s="4" t="str">
        <f>[1]!EM_S_IPO_LISTEDDATE(B3007)</f>
        <v>2010-09-17</v>
      </c>
    </row>
    <row r="3008" spans="1:46">
      <c r="A3008">
        <v>434</v>
      </c>
      <c r="B3008" t="str">
        <f>"000908"</f>
        <v>000908</v>
      </c>
      <c r="C3008" t="s">
        <v>2586</v>
      </c>
      <c r="D3008" t="str">
        <f>[1]!EM_S_INFO_INDEX_EM(B3008,"1")</f>
        <v>医药生物</v>
      </c>
      <c r="E3008" s="4">
        <f t="shared" si="46"/>
        <v>43465</v>
      </c>
      <c r="F3008" s="11">
        <f>[1]!EM_S_PQ_PCTCHANGE(B3008,"2018-01-01","2019-12-31","3")</f>
        <v>-37.404504299999999</v>
      </c>
      <c r="G3008" s="11">
        <f>[1]!EM_S_PQ_PCTCHANGE(B3008,"2018-12-31","2019-12-30","1")</f>
        <v>-17.567567570000001</v>
      </c>
      <c r="H3008" s="11">
        <f>[1]!EM_S_FA_YOY_OR(B3008,E3008)</f>
        <v>7.9134744300000004E-2</v>
      </c>
      <c r="I3008" s="11">
        <f>[1]!EM_S_FA_GROSSPROFITMARGIN(B3008,E3008)</f>
        <v>75.658852080800003</v>
      </c>
      <c r="J3008" s="11">
        <f>[1]!EM_S_FA_NETPROFITMARGIN(B3008,E3008)</f>
        <v>7.6782441385000002</v>
      </c>
      <c r="K3008" s="10">
        <f>[1]!EM_S_FA_ASSETSTURN(B3008,E3008)</f>
        <v>0.51222825303899999</v>
      </c>
      <c r="L3008" s="12">
        <f>[1]!EM_HKS_VAL_MV(B3008,"2019-12-31","2")</f>
        <v>3334344790.29</v>
      </c>
      <c r="M3008">
        <f>[1]!EM_S_VAL_PETTMDEDUCTED(B3008,E3008)</f>
        <v>25.879525114479101</v>
      </c>
      <c r="N3008" s="7">
        <f>[1]!EM_S_VAL_PBGOODWILLDEDUCTED(B3008,E3008)</f>
        <v>2.2368526878205302</v>
      </c>
      <c r="O3008" s="7">
        <f>[1]!EM_S_VAL_PS_TTM(B3008,E3008)</f>
        <v>1.4564493947914701</v>
      </c>
      <c r="P3008" s="7">
        <f>[1]!EM_S_VAL_PCF_NCFTTM(B3008,E3008)</f>
        <v>-18.391707371075299</v>
      </c>
      <c r="Q3008" s="7">
        <f>[1]!EM_S_VAL_DIVIDENDYIELD2(B3008,E3008,"2019-11-29")</f>
        <v>0</v>
      </c>
      <c r="T3008"/>
      <c r="U3008">
        <f>[1]!EM_S_RATIO_EPS_TTM(B3008,E3008,"1")</f>
        <v>0.21234156254687175</v>
      </c>
      <c r="AT3008" s="4" t="str">
        <f>[1]!EM_S_IPO_LISTEDDATE(B3008)</f>
        <v>1999-02-03</v>
      </c>
    </row>
    <row r="3009" spans="1:46">
      <c r="A3009">
        <v>671</v>
      </c>
      <c r="B3009" t="str">
        <f>"002160"</f>
        <v>002160</v>
      </c>
      <c r="C3009" t="s">
        <v>2800</v>
      </c>
      <c r="D3009" t="str">
        <f>[1]!EM_S_INFO_INDEX_EM(B3009,"1")</f>
        <v>有色金属</v>
      </c>
      <c r="E3009" s="4">
        <f t="shared" si="46"/>
        <v>43465</v>
      </c>
      <c r="F3009" s="11">
        <f>[1]!EM_S_PQ_PCTCHANGE(B3009,"2018-01-01","2019-12-31","3")</f>
        <v>-52.883343609999997</v>
      </c>
      <c r="G3009" s="11">
        <f>[1]!EM_S_PQ_PCTCHANGE(B3009,"2018-12-31","2019-12-30","1")</f>
        <v>-17.61517615</v>
      </c>
      <c r="H3009" s="11">
        <f>[1]!EM_S_FA_YOY_OR(B3009,E3009)</f>
        <v>1.8160020327999999</v>
      </c>
      <c r="I3009" s="11">
        <f>[1]!EM_S_FA_GROSSPROFITMARGIN(B3009,E3009)</f>
        <v>15.3214799239</v>
      </c>
      <c r="J3009" s="11">
        <f>[1]!EM_S_FA_NETPROFITMARGIN(B3009,E3009)</f>
        <v>-10.416345059799999</v>
      </c>
      <c r="K3009" s="10">
        <f>[1]!EM_S_FA_ASSETSTURN(B3009,E3009)</f>
        <v>0.64024693038500002</v>
      </c>
      <c r="L3009" s="12">
        <f>[1]!EM_HKS_VAL_MV(B3009,"2019-12-31","2")</f>
        <v>2466304125.5999999</v>
      </c>
      <c r="M3009">
        <f>[1]!EM_S_VAL_PETTMDEDUCTED(B3009,E3009)</f>
        <v>33.295293654855499</v>
      </c>
      <c r="N3009" s="7">
        <f>[1]!EM_S_VAL_PBGOODWILLDEDUCTED(B3009,E3009)</f>
        <v>1.2293136028571501</v>
      </c>
      <c r="O3009" s="7">
        <f>[1]!EM_S_VAL_PS_TTM(B3009,E3009)</f>
        <v>0.64698358134692202</v>
      </c>
      <c r="P3009" s="7">
        <f>[1]!EM_S_VAL_PCF_NCFTTM(B3009,E3009)</f>
        <v>28.017375590589801</v>
      </c>
      <c r="Q3009" s="7">
        <f>[1]!EM_S_VAL_DIVIDENDYIELD2(B3009,E3009,"2019-11-29")</f>
        <v>0</v>
      </c>
      <c r="T3009"/>
      <c r="U3009">
        <f>[1]!EM_S_RATIO_EPS_TTM(B3009,E3009,"1")</f>
        <v>-0.56879658985350989</v>
      </c>
      <c r="AT3009" s="4" t="str">
        <f>[1]!EM_S_IPO_LISTEDDATE(B3009)</f>
        <v>2007-08-21</v>
      </c>
    </row>
    <row r="3010" spans="1:46">
      <c r="A3010">
        <v>3154</v>
      </c>
      <c r="B3010" t="str">
        <f>"601801"</f>
        <v>601801</v>
      </c>
      <c r="C3010" t="s">
        <v>162</v>
      </c>
      <c r="D3010" t="str">
        <f>[1]!EM_S_INFO_INDEX_EM(B3010,"1")</f>
        <v>文化传媒</v>
      </c>
      <c r="E3010" s="4">
        <f t="shared" si="46"/>
        <v>43465</v>
      </c>
      <c r="F3010" s="11">
        <f>[1]!EM_S_PQ_PCTCHANGE(B3010,"2018-01-01","2019-12-31","3")</f>
        <v>-45.619602039999997</v>
      </c>
      <c r="G3010" s="11">
        <f>[1]!EM_S_PQ_PCTCHANGE(B3010,"2018-12-31","2019-12-30","1")</f>
        <v>-17.814371260000001</v>
      </c>
      <c r="H3010" s="11">
        <f>[1]!EM_S_FA_YOY_OR(B3010,E3010)</f>
        <v>12.8875621149</v>
      </c>
      <c r="I3010" s="11">
        <f>[1]!EM_S_FA_GROSSPROFITMARGIN(B3010,E3010)</f>
        <v>18.049995817700001</v>
      </c>
      <c r="J3010" s="11">
        <f>[1]!EM_S_FA_NETPROFITMARGIN(B3010,E3010)</f>
        <v>11.2471532464</v>
      </c>
      <c r="K3010" s="10">
        <f>[1]!EM_S_FA_ASSETSTURN(B3010,E3010)</f>
        <v>0.77238033937799999</v>
      </c>
      <c r="L3010" s="12">
        <f>[1]!EM_HKS_VAL_MV(B3010,"2019-12-31","2")</f>
        <v>10900841958.76</v>
      </c>
      <c r="M3010">
        <f>[1]!EM_S_VAL_PETTMDEDUCTED(B3010,E3010)</f>
        <v>21.5821545334204</v>
      </c>
      <c r="N3010" s="7">
        <f>[1]!EM_S_VAL_PBGOODWILLDEDUCTED(B3010,E3010)</f>
        <v>1.3440396515964601</v>
      </c>
      <c r="O3010" s="7">
        <f>[1]!EM_S_VAL_PS_TTM(B3010,E3010)</f>
        <v>1.36668610039986</v>
      </c>
      <c r="P3010" s="7">
        <f>[1]!EM_S_VAL_PCF_NCFTTM(B3010,E3010)</f>
        <v>20.0531142729292</v>
      </c>
      <c r="Q3010" s="7">
        <f>[1]!EM_S_VAL_DIVIDENDYIELD2(B3010,E3010,"2019-11-29")</f>
        <v>3.4179687499999991</v>
      </c>
      <c r="T3010"/>
      <c r="U3010">
        <f>[1]!EM_S_RATIO_EPS_TTM(B3010,E3010,"1")</f>
        <v>0.54638117614738013</v>
      </c>
      <c r="AT3010" s="4" t="str">
        <f>[1]!EM_S_IPO_LISTEDDATE(B3010)</f>
        <v>2010-01-18</v>
      </c>
    </row>
    <row r="3011" spans="1:46">
      <c r="A3011">
        <v>2054</v>
      </c>
      <c r="B3011" t="str">
        <f>"300635"</f>
        <v>300635</v>
      </c>
      <c r="C3011" t="s">
        <v>1313</v>
      </c>
      <c r="D3011" t="str">
        <f>[1]!EM_S_INFO_INDEX_EM(B3011,"1")</f>
        <v>休闲、生活及专业服务</v>
      </c>
      <c r="E3011" s="4">
        <f t="shared" ref="E3011:E3074" si="47">$B$1</f>
        <v>43465</v>
      </c>
      <c r="F3011" s="11">
        <f>[1]!EM_S_PQ_PCTCHANGE(B3011,"2018-01-01","2019-12-31","3")</f>
        <v>-19.161257819999999</v>
      </c>
      <c r="G3011" s="11">
        <f>[1]!EM_S_PQ_PCTCHANGE(B3011,"2018-12-31","2019-12-30","1")</f>
        <v>-17.816091950000001</v>
      </c>
      <c r="H3011" s="11">
        <f>[1]!EM_S_FA_YOY_OR(B3011,E3011)</f>
        <v>22.100606689399999</v>
      </c>
      <c r="I3011" s="11">
        <f>[1]!EM_S_FA_GROSSPROFITMARGIN(B3011,E3011)</f>
        <v>39.451510130999999</v>
      </c>
      <c r="J3011" s="11">
        <f>[1]!EM_S_FA_NETPROFITMARGIN(B3011,E3011)</f>
        <v>13.1823569643</v>
      </c>
      <c r="K3011" s="10">
        <f>[1]!EM_S_FA_ASSETSTURN(B3011,E3011)</f>
        <v>0.57829728028600003</v>
      </c>
      <c r="L3011" s="12">
        <f>[1]!EM_HKS_VAL_MV(B3011,"2019-12-31","2")</f>
        <v>2173163960</v>
      </c>
      <c r="M3011">
        <f>[1]!EM_S_VAL_PETTMDEDUCTED(B3011,E3011)</f>
        <v>52.5800642267154</v>
      </c>
      <c r="N3011" s="7">
        <f>[1]!EM_S_VAL_PBGOODWILLDEDUCTED(B3011,E3011)</f>
        <v>5.0388178385438804</v>
      </c>
      <c r="O3011" s="7">
        <f>[1]!EM_S_VAL_PS_TTM(B3011,E3011)</f>
        <v>5.6312669737847898</v>
      </c>
      <c r="P3011" s="7">
        <f>[1]!EM_S_VAL_PCF_NCFTTM(B3011,E3011)</f>
        <v>91.278955057210297</v>
      </c>
      <c r="Q3011" s="7">
        <f>[1]!EM_S_VAL_DIVIDENDYIELD2(B3011,E3011,"2019-11-29")</f>
        <v>0.26744944553163724</v>
      </c>
      <c r="T3011"/>
      <c r="U3011">
        <f>[1]!EM_S_RATIO_EPS_TTM(B3011,E3011,"1")</f>
        <v>0.40293941848695114</v>
      </c>
      <c r="AT3011" s="4" t="str">
        <f>[1]!EM_S_IPO_LISTEDDATE(B3011)</f>
        <v>2017-03-31</v>
      </c>
    </row>
    <row r="3012" spans="1:46">
      <c r="A3012">
        <v>2643</v>
      </c>
      <c r="B3012" t="str">
        <f>"600569"</f>
        <v>600569</v>
      </c>
      <c r="C3012" t="s">
        <v>1383</v>
      </c>
      <c r="D3012" t="str">
        <f>[1]!EM_S_INFO_INDEX_EM(B3012,"1")</f>
        <v>钢铁</v>
      </c>
      <c r="E3012" s="4">
        <f t="shared" si="47"/>
        <v>43465</v>
      </c>
      <c r="F3012" s="11">
        <f>[1]!EM_S_PQ_PCTCHANGE(B3012,"2018-01-01","2019-12-31","3")</f>
        <v>-43.971631180000003</v>
      </c>
      <c r="G3012" s="11">
        <f>[1]!EM_S_PQ_PCTCHANGE(B3012,"2018-12-31","2019-12-30","1")</f>
        <v>-17.82178218</v>
      </c>
      <c r="H3012" s="11">
        <f>[1]!EM_S_FA_YOY_OR(B3012,E3012)</f>
        <v>22.743284116600002</v>
      </c>
      <c r="I3012" s="11">
        <f>[1]!EM_S_FA_GROSSPROFITMARGIN(B3012,E3012)</f>
        <v>12.6405669243</v>
      </c>
      <c r="J3012" s="11">
        <f>[1]!EM_S_FA_NETPROFITMARGIN(B3012,E3012)</f>
        <v>5.6077813056999997</v>
      </c>
      <c r="K3012" s="10">
        <f>[1]!EM_S_FA_ASSETSTURN(B3012,E3012)</f>
        <v>0.983941313737</v>
      </c>
      <c r="L3012" s="12">
        <f>[1]!EM_HKS_VAL_MV(B3012,"2019-12-31","2")</f>
        <v>7324674534.3000002</v>
      </c>
      <c r="M3012">
        <f>[1]!EM_S_VAL_PETTMDEDUCTED(B3012,E3012)</f>
        <v>3.3028424810384198</v>
      </c>
      <c r="N3012" s="7">
        <f>[1]!EM_S_VAL_PBGOODWILLDEDUCTED(B3012,E3012)</f>
        <v>0.87102998039945101</v>
      </c>
      <c r="O3012" s="7">
        <f>[1]!EM_S_VAL_PS_TTM(B3012,E3012)</f>
        <v>0.22206830627806501</v>
      </c>
      <c r="P3012" s="7">
        <f>[1]!EM_S_VAL_PCF_NCFTTM(B3012,E3012)</f>
        <v>19.131001056042301</v>
      </c>
      <c r="Q3012" s="7">
        <f>[1]!EM_S_VAL_DIVIDENDYIELD2(B3012,E3012,"2019-11-29")</f>
        <v>3.4293552821622457</v>
      </c>
      <c r="T3012"/>
      <c r="U3012">
        <f>[1]!EM_S_RATIO_EPS_TTM(B3012,E3012,"1")</f>
        <v>0.77565322821457283</v>
      </c>
      <c r="AT3012" s="4" t="str">
        <f>[1]!EM_S_IPO_LISTEDDATE(B3012)</f>
        <v>2001-08-20</v>
      </c>
    </row>
    <row r="3013" spans="1:46">
      <c r="A3013">
        <v>3446</v>
      </c>
      <c r="B3013" t="str">
        <f>"603595"</f>
        <v>603595</v>
      </c>
      <c r="C3013" t="s">
        <v>70</v>
      </c>
      <c r="D3013" t="str">
        <f>[1]!EM_S_INFO_INDEX_EM(B3013,"1")</f>
        <v>电子设备</v>
      </c>
      <c r="E3013" s="4">
        <f t="shared" si="47"/>
        <v>43465</v>
      </c>
      <c r="F3013" s="11">
        <f>[1]!EM_S_PQ_PCTCHANGE(B3013,"2018-01-01","2019-12-31","3")</f>
        <v>-33.849993009999999</v>
      </c>
      <c r="G3013" s="11">
        <f>[1]!EM_S_PQ_PCTCHANGE(B3013,"2018-12-31","2019-12-30","1")</f>
        <v>-17.845761629999998</v>
      </c>
      <c r="H3013" s="11">
        <f>[1]!EM_S_FA_YOY_OR(B3013,E3013)</f>
        <v>20.099920877999999</v>
      </c>
      <c r="I3013" s="11">
        <f>[1]!EM_S_FA_GROSSPROFITMARGIN(B3013,E3013)</f>
        <v>27.961625460600001</v>
      </c>
      <c r="J3013" s="11">
        <f>[1]!EM_S_FA_NETPROFITMARGIN(B3013,E3013)</f>
        <v>13.226138477399999</v>
      </c>
      <c r="K3013" s="10">
        <f>[1]!EM_S_FA_ASSETSTURN(B3013,E3013)</f>
        <v>0.65077722952100003</v>
      </c>
      <c r="L3013" s="12">
        <f>[1]!EM_HKS_VAL_MV(B3013,"2019-12-31","2")</f>
        <v>5526195902.3100004</v>
      </c>
      <c r="M3013">
        <f>[1]!EM_S_VAL_PETTMDEDUCTED(B3013,E3013)</f>
        <v>27.178457200621001</v>
      </c>
      <c r="N3013" s="7">
        <f>[1]!EM_S_VAL_PBGOODWILLDEDUCTED(B3013,E3013)</f>
        <v>5.0928896923600702</v>
      </c>
      <c r="O3013" s="7">
        <f>[1]!EM_S_VAL_PS_TTM(B3013,E3013)</f>
        <v>4.3802713423561404</v>
      </c>
      <c r="P3013" s="7">
        <f>[1]!EM_S_VAL_PCF_NCFTTM(B3013,E3013)</f>
        <v>-1147.4326426233499</v>
      </c>
      <c r="Q3013" s="7">
        <f>[1]!EM_S_VAL_DIVIDENDYIELD2(B3013,E3013,"2019-11-29")</f>
        <v>0.21122364535086183</v>
      </c>
      <c r="U3013">
        <f>[1]!EM_S_RATIO_EPS_TTM(B3013,E3013,"1")</f>
        <v>0.8078935525519807</v>
      </c>
      <c r="AT3013" s="4" t="str">
        <f>[1]!EM_S_IPO_LISTEDDATE(B3013)</f>
        <v>2017-07-12</v>
      </c>
    </row>
    <row r="3014" spans="1:46">
      <c r="A3014">
        <v>3395</v>
      </c>
      <c r="B3014" t="str">
        <f>"603396"</f>
        <v>603396</v>
      </c>
      <c r="C3014" t="s">
        <v>1183</v>
      </c>
      <c r="D3014" t="str">
        <f>[1]!EM_S_INFO_INDEX_EM(B3014,"1")</f>
        <v>电气设备</v>
      </c>
      <c r="E3014" s="4">
        <f t="shared" si="47"/>
        <v>43465</v>
      </c>
      <c r="F3014" s="11">
        <f>[1]!EM_S_PQ_PCTCHANGE(B3014,"2018-01-01","2019-12-31","3")</f>
        <v>-25.6726317</v>
      </c>
      <c r="G3014" s="11">
        <f>[1]!EM_S_PQ_PCTCHANGE(B3014,"2018-12-31","2019-12-30","1")</f>
        <v>-17.84638554</v>
      </c>
      <c r="H3014" s="11">
        <f>[1]!EM_S_FA_YOY_OR(B3014,E3014)</f>
        <v>32.495398747899998</v>
      </c>
      <c r="I3014" s="11">
        <f>[1]!EM_S_FA_GROSSPROFITMARGIN(B3014,E3014)</f>
        <v>37.3542913872</v>
      </c>
      <c r="J3014" s="11">
        <f>[1]!EM_S_FA_NETPROFITMARGIN(B3014,E3014)</f>
        <v>11.934072474200001</v>
      </c>
      <c r="K3014" s="10">
        <f>[1]!EM_S_FA_ASSETSTURN(B3014,E3014)</f>
        <v>0.48021465374200001</v>
      </c>
      <c r="L3014" s="12">
        <f>[1]!EM_HKS_VAL_MV(B3014,"2019-12-31","2")</f>
        <v>2266851127.6199999</v>
      </c>
      <c r="M3014">
        <f>[1]!EM_S_VAL_PETTMDEDUCTED(B3014,E3014)</f>
        <v>23.4377853470708</v>
      </c>
      <c r="N3014" s="7">
        <f>[1]!EM_S_VAL_PBGOODWILLDEDUCTED(B3014,E3014)</f>
        <v>2.2560641243186699</v>
      </c>
      <c r="O3014" s="7">
        <f>[1]!EM_S_VAL_PS_TTM(B3014,E3014)</f>
        <v>2.9318747346744898</v>
      </c>
      <c r="P3014" s="7">
        <f>[1]!EM_S_VAL_PCF_NCFTTM(B3014,E3014)</f>
        <v>6.4428269597224901</v>
      </c>
      <c r="Q3014" s="7">
        <f>[1]!EM_S_VAL_DIVIDENDYIELD2(B3014,E3014,"2019-11-29")</f>
        <v>1.4404338220519923</v>
      </c>
      <c r="T3014"/>
      <c r="U3014">
        <f>[1]!EM_S_RATIO_EPS_TTM(B3014,E3014,"1")</f>
        <v>1.1223264426155803</v>
      </c>
      <c r="AT3014" s="4" t="str">
        <f>[1]!EM_S_IPO_LISTEDDATE(B3014)</f>
        <v>2017-10-18</v>
      </c>
    </row>
    <row r="3015" spans="1:46">
      <c r="A3015">
        <v>3131</v>
      </c>
      <c r="B3015" t="str">
        <f>"601619"</f>
        <v>601619</v>
      </c>
      <c r="C3015" t="s">
        <v>1359</v>
      </c>
      <c r="D3015" t="str">
        <f>[1]!EM_S_INFO_INDEX_EM(B3015,"1")</f>
        <v>公用事业</v>
      </c>
      <c r="E3015" s="4">
        <f t="shared" si="47"/>
        <v>43465</v>
      </c>
      <c r="F3015" s="11">
        <f>[1]!EM_S_PQ_PCTCHANGE(B3015,"2018-01-01","2019-12-31","3")</f>
        <v>-51.004582659999997</v>
      </c>
      <c r="G3015" s="11">
        <f>[1]!EM_S_PQ_PCTCHANGE(B3015,"2018-12-31","2019-12-30","1")</f>
        <v>-17.849462370000001</v>
      </c>
      <c r="H3015" s="11">
        <f>[1]!EM_S_FA_YOY_OR(B3015,E3015)</f>
        <v>28.543323774200001</v>
      </c>
      <c r="I3015" s="11">
        <f>[1]!EM_S_FA_GROSSPROFITMARGIN(B3015,E3015)</f>
        <v>58.039389307900002</v>
      </c>
      <c r="J3015" s="11">
        <f>[1]!EM_S_FA_NETPROFITMARGIN(B3015,E3015)</f>
        <v>25.190826813200001</v>
      </c>
      <c r="K3015" s="10">
        <f>[1]!EM_S_FA_ASSETSTURN(B3015,E3015)</f>
        <v>0.12068620891200001</v>
      </c>
      <c r="L3015" s="12">
        <f>[1]!EM_HKS_VAL_MV(B3015,"2019-12-31","2")</f>
        <v>7923062000</v>
      </c>
      <c r="M3015">
        <f>[1]!EM_S_VAL_PETTMDEDUCTED(B3015,E3015)</f>
        <v>33.896634749229499</v>
      </c>
      <c r="N3015" s="7">
        <f>[1]!EM_S_VAL_PBGOODWILLDEDUCTED(B3015,E3015)</f>
        <v>3.3950712960190099</v>
      </c>
      <c r="O3015" s="7">
        <f>[1]!EM_S_VAL_PS_TTM(B3015,E3015)</f>
        <v>8.6336171058552296</v>
      </c>
      <c r="P3015" s="7">
        <f>[1]!EM_S_VAL_PCF_NCFTTM(B3015,E3015)</f>
        <v>-44.3330199037893</v>
      </c>
      <c r="Q3015" s="7">
        <f>[1]!EM_S_VAL_DIVIDENDYIELD2(B3015,E3015,"2019-11-29")</f>
        <v>1.1702127659574468</v>
      </c>
      <c r="T3015"/>
      <c r="U3015">
        <f>[1]!EM_S_RATIO_EPS_TTM(B3015,E3015,"1")</f>
        <v>0.1393235678375582</v>
      </c>
      <c r="AT3015" s="4" t="str">
        <f>[1]!EM_S_IPO_LISTEDDATE(B3015)</f>
        <v>2017-07-20</v>
      </c>
    </row>
    <row r="3016" spans="1:46">
      <c r="A3016">
        <v>3622</v>
      </c>
      <c r="B3016" t="str">
        <f>"603970"</f>
        <v>603970</v>
      </c>
      <c r="C3016" t="s">
        <v>826</v>
      </c>
      <c r="D3016" t="str">
        <f>[1]!EM_S_INFO_INDEX_EM(B3016,"1")</f>
        <v>基础化工</v>
      </c>
      <c r="E3016" s="4">
        <f t="shared" si="47"/>
        <v>43465</v>
      </c>
      <c r="F3016" s="11">
        <f>[1]!EM_S_PQ_PCTCHANGE(B3016,"2018-01-01","2019-12-31","3")</f>
        <v>-41.873630599999998</v>
      </c>
      <c r="G3016" s="11">
        <f>[1]!EM_S_PQ_PCTCHANGE(B3016,"2018-12-31","2019-12-30","1")</f>
        <v>-17.85252264</v>
      </c>
      <c r="H3016" s="11">
        <f>[1]!EM_S_FA_YOY_OR(B3016,E3016)</f>
        <v>6.5981872913000004</v>
      </c>
      <c r="I3016" s="11">
        <f>[1]!EM_S_FA_GROSSPROFITMARGIN(B3016,E3016)</f>
        <v>11.1671056045</v>
      </c>
      <c r="J3016" s="11">
        <f>[1]!EM_S_FA_NETPROFITMARGIN(B3016,E3016)</f>
        <v>3.0833024455000002</v>
      </c>
      <c r="K3016" s="10">
        <f>[1]!EM_S_FA_ASSETSTURN(B3016,E3016)</f>
        <v>1.391499540896</v>
      </c>
      <c r="L3016" s="12">
        <f>[1]!EM_HKS_VAL_MV(B3016,"2019-12-31","2")</f>
        <v>2474881237.4400001</v>
      </c>
      <c r="M3016">
        <f>[1]!EM_S_VAL_PETTMDEDUCTED(B3016,E3016)</f>
        <v>27.295448087413799</v>
      </c>
      <c r="N3016" s="7">
        <f>[1]!EM_S_VAL_PBGOODWILLDEDUCTED(B3016,E3016)</f>
        <v>2.8590428844668501</v>
      </c>
      <c r="O3016" s="7">
        <f>[1]!EM_S_VAL_PS_TTM(B3016,E3016)</f>
        <v>0.69462026802371601</v>
      </c>
      <c r="P3016" s="7">
        <f>[1]!EM_S_VAL_PCF_NCFTTM(B3016,E3016)</f>
        <v>31.47201496393</v>
      </c>
      <c r="Q3016" s="7">
        <f>[1]!EM_S_VAL_DIVIDENDYIELD2(B3016,E3016,"2019-11-29")</f>
        <v>1.7260425296879316</v>
      </c>
      <c r="T3016"/>
      <c r="U3016">
        <f>[1]!EM_S_RATIO_EPS_TTM(B3016,E3016,"1")</f>
        <v>0.72162079056460471</v>
      </c>
      <c r="AT3016" s="4" t="str">
        <f>[1]!EM_S_IPO_LISTEDDATE(B3016)</f>
        <v>2017-11-16</v>
      </c>
    </row>
    <row r="3017" spans="1:46">
      <c r="A3017">
        <v>478</v>
      </c>
      <c r="B3017" t="str">
        <f>"000965"</f>
        <v>000965</v>
      </c>
      <c r="C3017" t="s">
        <v>368</v>
      </c>
      <c r="D3017" t="str">
        <f>[1]!EM_S_INFO_INDEX_EM(B3017,"1")</f>
        <v>房地产</v>
      </c>
      <c r="E3017" s="4">
        <f t="shared" si="47"/>
        <v>43465</v>
      </c>
      <c r="F3017" s="11">
        <f>[1]!EM_S_PQ_PCTCHANGE(B3017,"2018-01-01","2019-12-31","3")</f>
        <v>-37.451458860000002</v>
      </c>
      <c r="G3017" s="11">
        <f>[1]!EM_S_PQ_PCTCHANGE(B3017,"2018-12-31","2019-12-30","1")</f>
        <v>-17.92207792</v>
      </c>
      <c r="H3017" s="11">
        <f>[1]!EM_S_FA_YOY_OR(B3017,E3017)</f>
        <v>24.029742418200001</v>
      </c>
      <c r="I3017" s="11">
        <f>[1]!EM_S_FA_GROSSPROFITMARGIN(B3017,E3017)</f>
        <v>57.646940911599998</v>
      </c>
      <c r="J3017" s="11">
        <f>[1]!EM_S_FA_NETPROFITMARGIN(B3017,E3017)</f>
        <v>4.2374583962000001</v>
      </c>
      <c r="K3017" s="10">
        <f>[1]!EM_S_FA_ASSETSTURN(B3017,E3017)</f>
        <v>0.229213145575</v>
      </c>
      <c r="L3017" s="12">
        <f>[1]!EM_HKS_VAL_MV(B3017,"2019-12-31","2")</f>
        <v>3529262246.0999999</v>
      </c>
      <c r="M3017">
        <f>[1]!EM_S_VAL_PETTMDEDUCTED(B3017,E3017)</f>
        <v>6.9581148569211697</v>
      </c>
      <c r="N3017" s="7">
        <f>[1]!EM_S_VAL_PBGOODWILLDEDUCTED(B3017,E3017)</f>
        <v>0.82190144670306997</v>
      </c>
      <c r="O3017" s="7">
        <f>[1]!EM_S_VAL_PS_TTM(B3017,E3017)</f>
        <v>1.2261128312684999</v>
      </c>
      <c r="P3017" s="7">
        <f>[1]!EM_S_VAL_PCF_NCFTTM(B3017,E3017)</f>
        <v>-1.9814546248804401</v>
      </c>
      <c r="Q3017" s="7">
        <f>[1]!EM_S_VAL_DIVIDENDYIELD2(B3017,E3017,"2019-11-29")</f>
        <v>2.6732673267326734</v>
      </c>
      <c r="T3017"/>
      <c r="U3017">
        <f>[1]!EM_S_RATIO_EPS_TTM(B3017,E3017,"1")</f>
        <v>8.6591885622358714E-2</v>
      </c>
      <c r="AT3017" s="4" t="str">
        <f>[1]!EM_S_IPO_LISTEDDATE(B3017)</f>
        <v>2000-04-06</v>
      </c>
    </row>
    <row r="3018" spans="1:46">
      <c r="A3018">
        <v>2250</v>
      </c>
      <c r="B3018" t="str">
        <f>"600103"</f>
        <v>600103</v>
      </c>
      <c r="C3018" t="s">
        <v>1742</v>
      </c>
      <c r="D3018" t="str">
        <f>[1]!EM_S_INFO_INDEX_EM(B3018,"1")</f>
        <v>轻工制造</v>
      </c>
      <c r="E3018" s="4">
        <f t="shared" si="47"/>
        <v>43465</v>
      </c>
      <c r="F3018" s="11">
        <f>[1]!EM_S_PQ_PCTCHANGE(B3018,"2018-01-01","2019-12-31","3")</f>
        <v>-28.287179290000001</v>
      </c>
      <c r="G3018" s="11">
        <f>[1]!EM_S_PQ_PCTCHANGE(B3018,"2018-12-31","2019-12-30","1")</f>
        <v>-17.96875</v>
      </c>
      <c r="H3018" s="11">
        <f>[1]!EM_S_FA_YOY_OR(B3018,E3018)</f>
        <v>7.7186205988000003</v>
      </c>
      <c r="I3018" s="11">
        <f>[1]!EM_S_FA_GROSSPROFITMARGIN(B3018,E3018)</f>
        <v>20.0383923415</v>
      </c>
      <c r="J3018" s="11">
        <f>[1]!EM_S_FA_NETPROFITMARGIN(B3018,E3018)</f>
        <v>6.1719872980000003</v>
      </c>
      <c r="K3018" s="10">
        <f>[1]!EM_S_FA_ASSETSTURN(B3018,E3018)</f>
        <v>0.57795318126600004</v>
      </c>
      <c r="L3018" s="12">
        <f>[1]!EM_HKS_VAL_MV(B3018,"2019-12-31","2")</f>
        <v>4773042860.4899998</v>
      </c>
      <c r="M3018">
        <f>[1]!EM_S_VAL_PETTMDEDUCTED(B3018,E3018)</f>
        <v>32.3065189409173</v>
      </c>
      <c r="N3018" s="7">
        <f>[1]!EM_S_VAL_PBGOODWILLDEDUCTED(B3018,E3018)</f>
        <v>1.3153611058178101</v>
      </c>
      <c r="O3018" s="7">
        <f>[1]!EM_S_VAL_PS_TTM(B3018,E3018)</f>
        <v>1.54844312241051</v>
      </c>
      <c r="P3018" s="7">
        <f>[1]!EM_S_VAL_PCF_NCFTTM(B3018,E3018)</f>
        <v>-398.58819145047801</v>
      </c>
      <c r="Q3018" s="7">
        <f>[1]!EM_S_VAL_DIVIDENDYIELD2(B3018,E3018,"2019-11-29")</f>
        <v>0</v>
      </c>
      <c r="T3018"/>
      <c r="U3018">
        <f>[1]!EM_S_RATIO_EPS_TTM(B3018,E3018,"1")</f>
        <v>8.727103438430317E-2</v>
      </c>
      <c r="AT3018" s="4" t="str">
        <f>[1]!EM_S_IPO_LISTEDDATE(B3018)</f>
        <v>1997-07-03</v>
      </c>
    </row>
    <row r="3019" spans="1:46">
      <c r="A3019">
        <v>3525</v>
      </c>
      <c r="B3019" t="str">
        <f>"603757"</f>
        <v>603757</v>
      </c>
      <c r="C3019" t="s">
        <v>457</v>
      </c>
      <c r="D3019" t="str">
        <f>[1]!EM_S_INFO_INDEX_EM(B3019,"1")</f>
        <v>机械设备</v>
      </c>
      <c r="E3019" s="4">
        <f t="shared" si="47"/>
        <v>43465</v>
      </c>
      <c r="F3019" s="11">
        <f>[1]!EM_S_PQ_PCTCHANGE(B3019,"2018-01-01","2019-12-31","3")</f>
        <v>-47.460714400000001</v>
      </c>
      <c r="G3019" s="11">
        <f>[1]!EM_S_PQ_PCTCHANGE(B3019,"2018-12-31","2019-12-30","1")</f>
        <v>-17.96916534</v>
      </c>
      <c r="H3019" s="11">
        <f>[1]!EM_S_FA_YOY_OR(B3019,E3019)</f>
        <v>-0.85783540150000004</v>
      </c>
      <c r="I3019" s="11">
        <f>[1]!EM_S_FA_GROSSPROFITMARGIN(B3019,E3019)</f>
        <v>30.645518600999999</v>
      </c>
      <c r="J3019" s="11">
        <f>[1]!EM_S_FA_NETPROFITMARGIN(B3019,E3019)</f>
        <v>15.043012949</v>
      </c>
      <c r="K3019" s="10">
        <f>[1]!EM_S_FA_ASSETSTURN(B3019,E3019)</f>
        <v>0.90953124235399996</v>
      </c>
      <c r="L3019" s="12">
        <f>[1]!EM_HKS_VAL_MV(B3019,"2019-12-31","2")</f>
        <v>2544201520</v>
      </c>
      <c r="M3019">
        <f>[1]!EM_S_VAL_PETTMDEDUCTED(B3019,E3019)</f>
        <v>12.025170163131801</v>
      </c>
      <c r="N3019" s="7">
        <f>[1]!EM_S_VAL_PBGOODWILLDEDUCTED(B3019,E3019)</f>
        <v>2.1903999475390399</v>
      </c>
      <c r="O3019" s="7">
        <f>[1]!EM_S_VAL_PS_TTM(B3019,E3019)</f>
        <v>1.8345795499561099</v>
      </c>
      <c r="P3019" s="7">
        <f>[1]!EM_S_VAL_PCF_NCFTTM(B3019,E3019)</f>
        <v>-17.820860870346898</v>
      </c>
      <c r="Q3019" s="7">
        <f>[1]!EM_S_VAL_DIVIDENDYIELD2(B3019,E3019,"2019-11-29")</f>
        <v>2.0395213923132705</v>
      </c>
      <c r="T3019"/>
      <c r="U3019">
        <f>[1]!EM_S_RATIO_EPS_TTM(B3019,E3019,"1")</f>
        <v>1.4278773265427889</v>
      </c>
      <c r="AT3019" s="4" t="str">
        <f>[1]!EM_S_IPO_LISTEDDATE(B3019)</f>
        <v>2017-07-11</v>
      </c>
    </row>
    <row r="3020" spans="1:46">
      <c r="A3020">
        <v>1902</v>
      </c>
      <c r="B3020" t="str">
        <f>"300477"</f>
        <v>300477</v>
      </c>
      <c r="C3020" t="s">
        <v>2889</v>
      </c>
      <c r="D3020" t="str">
        <f>[1]!EM_S_INFO_INDEX_EM(B3020,"1")</f>
        <v>电气设备</v>
      </c>
      <c r="E3020" s="4">
        <f t="shared" si="47"/>
        <v>43465</v>
      </c>
      <c r="F3020" s="11">
        <f>[1]!EM_S_PQ_PCTCHANGE(B3020,"2018-01-01","2019-12-31","3")</f>
        <v>-13.874131520000001</v>
      </c>
      <c r="G3020" s="11">
        <f>[1]!EM_S_PQ_PCTCHANGE(B3020,"2018-12-31","2019-12-30","1")</f>
        <v>-17.991169979999999</v>
      </c>
      <c r="H3020" s="11">
        <f>[1]!EM_S_FA_YOY_OR(B3020,E3020)</f>
        <v>-4.8276106950999997</v>
      </c>
      <c r="I3020" s="11">
        <f>[1]!EM_S_FA_GROSSPROFITMARGIN(B3020,E3020)</f>
        <v>21.247692608400001</v>
      </c>
      <c r="J3020" s="11">
        <f>[1]!EM_S_FA_NETPROFITMARGIN(B3020,E3020)</f>
        <v>2.5030761919</v>
      </c>
      <c r="K3020" s="10">
        <f>[1]!EM_S_FA_ASSETSTURN(B3020,E3020)</f>
        <v>0.46517742767800002</v>
      </c>
      <c r="L3020" s="12">
        <f>[1]!EM_HKS_VAL_MV(B3020,"2019-12-31","2")</f>
        <v>6164020165.1999998</v>
      </c>
      <c r="M3020">
        <f>[1]!EM_S_VAL_PETTMDEDUCTED(B3020,E3020)</f>
        <v>40.537410618755402</v>
      </c>
      <c r="N3020" s="7">
        <f>[1]!EM_S_VAL_PBGOODWILLDEDUCTED(B3020,E3020)</f>
        <v>3.43717092101127</v>
      </c>
      <c r="O3020" s="7">
        <f>[1]!EM_S_VAL_PS_TTM(B3020,E3020)</f>
        <v>2.1486144378346599</v>
      </c>
      <c r="P3020" s="7">
        <f>[1]!EM_S_VAL_PCF_NCFTTM(B3020,E3020)</f>
        <v>-18.431553767730499</v>
      </c>
      <c r="Q3020" s="7">
        <f>[1]!EM_S_VAL_DIVIDENDYIELD2(B3020,E3020,"2019-11-29")</f>
        <v>0.18504811269087856</v>
      </c>
      <c r="T3020"/>
      <c r="U3020">
        <f>[1]!EM_S_RATIO_EPS_TTM(B3020,E3020,"1")</f>
        <v>8.7674327961266257E-2</v>
      </c>
      <c r="AT3020" s="4" t="str">
        <f>[1]!EM_S_IPO_LISTEDDATE(B3020)</f>
        <v>2015-06-10</v>
      </c>
    </row>
    <row r="3021" spans="1:46">
      <c r="A3021">
        <v>679</v>
      </c>
      <c r="B3021" t="str">
        <f>"002168"</f>
        <v>002168</v>
      </c>
      <c r="C3021" t="s">
        <v>75</v>
      </c>
      <c r="D3021" t="str">
        <f>[1]!EM_S_INFO_INDEX_EM(B3021,"1")</f>
        <v>互联网</v>
      </c>
      <c r="E3021" s="4">
        <f t="shared" si="47"/>
        <v>43465</v>
      </c>
      <c r="F3021" s="11">
        <f>[1]!EM_S_PQ_PCTCHANGE(B3021,"2018-01-01","2019-12-31","3")</f>
        <v>-40.406976739999998</v>
      </c>
      <c r="G3021" s="11">
        <f>[1]!EM_S_PQ_PCTCHANGE(B3021,"2018-12-31","2019-12-30","1")</f>
        <v>-17.997977760000001</v>
      </c>
      <c r="H3021" s="11">
        <f>[1]!EM_S_FA_YOY_OR(B3021,E3021)</f>
        <v>408.65410278090002</v>
      </c>
      <c r="I3021" s="11">
        <f>[1]!EM_S_FA_GROSSPROFITMARGIN(B3021,E3021)</f>
        <v>71.359147168999996</v>
      </c>
      <c r="J3021" s="11">
        <f>[1]!EM_S_FA_NETPROFITMARGIN(B3021,E3021)</f>
        <v>21.203045693899998</v>
      </c>
      <c r="K3021" s="10">
        <f>[1]!EM_S_FA_ASSETSTURN(B3021,E3021)</f>
        <v>0.54736755409299997</v>
      </c>
      <c r="L3021" s="12">
        <f>[1]!EM_HKS_VAL_MV(B3021,"2019-12-31","2")</f>
        <v>6575822457.6000004</v>
      </c>
      <c r="M3021">
        <f>[1]!EM_S_VAL_PETTMDEDUCTED(B3021,E3021)</f>
        <v>26.048818753076901</v>
      </c>
      <c r="N3021" s="7">
        <f>[1]!EM_S_VAL_PBGOODWILLDEDUCTED(B3021,E3021)</f>
        <v>11.1320996633566</v>
      </c>
      <c r="O3021" s="7">
        <f>[1]!EM_S_VAL_PS_TTM(B3021,E3021)</f>
        <v>4.8393241729492003</v>
      </c>
      <c r="P3021" s="7">
        <f>[1]!EM_S_VAL_PCF_NCFTTM(B3021,E3021)</f>
        <v>19.9383112776801</v>
      </c>
      <c r="Q3021" s="7">
        <f>[1]!EM_S_VAL_DIVIDENDYIELD2(B3021,E3021,"2019-11-29")</f>
        <v>0</v>
      </c>
      <c r="U3021">
        <f>[1]!EM_S_RATIO_EPS_TTM(B3021,E3021,"1")</f>
        <v>0.41318444373901253</v>
      </c>
      <c r="AT3021" s="4" t="str">
        <f>[1]!EM_S_IPO_LISTEDDATE(B3021)</f>
        <v>2007-09-19</v>
      </c>
    </row>
    <row r="3022" spans="1:46">
      <c r="A3022">
        <v>2345</v>
      </c>
      <c r="B3022" t="str">
        <f>"600209"</f>
        <v>600209</v>
      </c>
      <c r="C3022" t="s">
        <v>3412</v>
      </c>
      <c r="D3022" t="str">
        <f>[1]!EM_S_INFO_INDEX_EM(B3022,"1")</f>
        <v>休闲、生活及专业服务</v>
      </c>
      <c r="E3022" s="4">
        <f t="shared" si="47"/>
        <v>43465</v>
      </c>
      <c r="F3022" s="11">
        <f>[1]!EM_S_PQ_PCTCHANGE(B3022,"2018-01-01","2019-12-31","3")</f>
        <v>-68.409645249999997</v>
      </c>
      <c r="G3022" s="11">
        <f>[1]!EM_S_PQ_PCTCHANGE(B3022,"2018-12-31","2019-12-30","1")</f>
        <v>-18.041237110000001</v>
      </c>
      <c r="H3022" s="11">
        <f>[1]!EM_S_FA_YOY_OR(B3022,E3022)</f>
        <v>6.4825587789999997</v>
      </c>
      <c r="I3022" s="11">
        <f>[1]!EM_S_FA_GROSSPROFITMARGIN(B3022,E3022)</f>
        <v>7.3227315653999998</v>
      </c>
      <c r="J3022" s="11">
        <f>[1]!EM_S_FA_NETPROFITMARGIN(B3022,E3022)</f>
        <v>1.2943643948000001</v>
      </c>
      <c r="K3022" s="10">
        <f>[1]!EM_S_FA_ASSETSTURN(B3022,E3022)</f>
        <v>0.18946081109099999</v>
      </c>
      <c r="L3022" s="12">
        <f>[1]!EM_HKS_VAL_MV(B3022,"2019-12-31","2")</f>
        <v>1426786299.25</v>
      </c>
      <c r="M3022">
        <f>[1]!EM_S_VAL_PETTMDEDUCTED(B3022,E3022)</f>
        <v>-33.461059899709298</v>
      </c>
      <c r="N3022" s="7">
        <f>[1]!EM_S_VAL_PBGOODWILLDEDUCTED(B3022,E3022)</f>
        <v>2.7175041506115298</v>
      </c>
      <c r="O3022" s="7">
        <f>[1]!EM_S_VAL_PS_TTM(B3022,E3022)</f>
        <v>12.9982629425587</v>
      </c>
      <c r="P3022" s="7">
        <f>[1]!EM_S_VAL_PCF_NCFTTM(B3022,E3022)</f>
        <v>-55.2206897963298</v>
      </c>
      <c r="Q3022" s="7">
        <f>[1]!EM_S_VAL_DIVIDENDYIELD2(B3022,E3022,"2019-11-29")</f>
        <v>0.19256756756756757</v>
      </c>
      <c r="T3022"/>
      <c r="U3022">
        <f>[1]!EM_S_RATIO_EPS_TTM(B3022,E3022,"1")</f>
        <v>1.8847804849356806E-2</v>
      </c>
      <c r="AT3022" s="4" t="str">
        <f>[1]!EM_S_IPO_LISTEDDATE(B3022)</f>
        <v>1999-03-25</v>
      </c>
    </row>
    <row r="3023" spans="1:46">
      <c r="A3023">
        <v>2601</v>
      </c>
      <c r="B3023" t="str">
        <f>"600520"</f>
        <v>600520</v>
      </c>
      <c r="C3023" t="s">
        <v>3514</v>
      </c>
      <c r="D3023" t="str">
        <f>[1]!EM_S_INFO_INDEX_EM(B3023,"1")</f>
        <v>机械设备</v>
      </c>
      <c r="E3023" s="4">
        <f t="shared" si="47"/>
        <v>43465</v>
      </c>
      <c r="F3023" s="11">
        <f>[1]!EM_S_PQ_PCTCHANGE(B3023,"2018-01-01","2019-12-31","3")</f>
        <v>-55.967413440000001</v>
      </c>
      <c r="G3023" s="11">
        <f>[1]!EM_S_PQ_PCTCHANGE(B3023,"2018-12-31","2019-12-30","1")</f>
        <v>-18.057663130000002</v>
      </c>
      <c r="H3023" s="11">
        <f>[1]!EM_S_FA_YOY_OR(B3023,E3023)</f>
        <v>-1.7326249853</v>
      </c>
      <c r="I3023" s="11">
        <f>[1]!EM_S_FA_GROSSPROFITMARGIN(B3023,E3023)</f>
        <v>22.719378671600001</v>
      </c>
      <c r="J3023" s="11">
        <f>[1]!EM_S_FA_NETPROFITMARGIN(B3023,E3023)</f>
        <v>2.2538804932000001</v>
      </c>
      <c r="K3023" s="10">
        <f>[1]!EM_S_FA_ASSETSTURN(B3023,E3023)</f>
        <v>0.33487598632100002</v>
      </c>
      <c r="L3023" s="12">
        <f>[1]!EM_HKS_VAL_MV(B3023,"2019-12-31","2")</f>
        <v>1712628300</v>
      </c>
      <c r="M3023">
        <f>[1]!EM_S_VAL_PETTMDEDUCTED(B3023,E3023)</f>
        <v>-108.003354771652</v>
      </c>
      <c r="N3023" s="7">
        <f>[1]!EM_S_VAL_PBGOODWILLDEDUCTED(B3023,E3023)</f>
        <v>4.7218888704904298</v>
      </c>
      <c r="O3023" s="7">
        <f>[1]!EM_S_VAL_PS_TTM(B3023,E3023)</f>
        <v>6.8736667049069897</v>
      </c>
      <c r="P3023" s="7">
        <f>[1]!EM_S_VAL_PCF_NCFTTM(B3023,E3023)</f>
        <v>406.69708784901599</v>
      </c>
      <c r="Q3023" s="7">
        <f>[1]!EM_S_VAL_DIVIDENDYIELD2(B3023,E3023,"2019-11-29")</f>
        <v>0</v>
      </c>
      <c r="T3023"/>
      <c r="U3023">
        <f>[1]!EM_S_RATIO_EPS_TTM(B3023,E3023,"1")</f>
        <v>3.1836308274947926E-2</v>
      </c>
      <c r="AT3023" s="4" t="str">
        <f>[1]!EM_S_IPO_LISTEDDATE(B3023)</f>
        <v>2002-01-08</v>
      </c>
    </row>
    <row r="3024" spans="1:46">
      <c r="A3024">
        <v>2696</v>
      </c>
      <c r="B3024" t="str">
        <f>"600623"</f>
        <v>600623</v>
      </c>
      <c r="C3024" t="s">
        <v>958</v>
      </c>
      <c r="D3024" t="str">
        <f>[1]!EM_S_INFO_INDEX_EM(B3024,"1")</f>
        <v>基础化工</v>
      </c>
      <c r="E3024" s="4">
        <f t="shared" si="47"/>
        <v>43465</v>
      </c>
      <c r="F3024" s="11">
        <f>[1]!EM_S_PQ_PCTCHANGE(B3024,"2018-01-01","2019-12-31","3")</f>
        <v>-18.677660379999999</v>
      </c>
      <c r="G3024" s="11">
        <f>[1]!EM_S_PQ_PCTCHANGE(B3024,"2018-12-31","2019-12-30","1")</f>
        <v>-18.06930693</v>
      </c>
      <c r="H3024" s="11">
        <f>[1]!EM_S_FA_YOY_OR(B3024,E3024)</f>
        <v>1.5561181745999999</v>
      </c>
      <c r="I3024" s="11">
        <f>[1]!EM_S_FA_GROSSPROFITMARGIN(B3024,E3024)</f>
        <v>10.872020774599999</v>
      </c>
      <c r="J3024" s="11">
        <f>[1]!EM_S_FA_NETPROFITMARGIN(B3024,E3024)</f>
        <v>3.9010989226000001</v>
      </c>
      <c r="K3024" s="10">
        <f>[1]!EM_S_FA_ASSETSTURN(B3024,E3024)</f>
        <v>1.0491263620969999</v>
      </c>
      <c r="L3024" s="12">
        <f>[1]!EM_HKS_VAL_MV(B3024,"2019-12-31","2")</f>
        <v>14000223473.950001</v>
      </c>
      <c r="M3024">
        <f>[1]!EM_S_VAL_PETTMDEDUCTED(B3024,E3024)</f>
        <v>17.628253501909398</v>
      </c>
      <c r="N3024" s="7">
        <f>[1]!EM_S_VAL_PBGOODWILLDEDUCTED(B3024,E3024)</f>
        <v>0.95379607013879697</v>
      </c>
      <c r="O3024" s="7">
        <f>[1]!EM_S_VAL_PS_TTM(B3024,E3024)</f>
        <v>0.415875469792442</v>
      </c>
      <c r="P3024" s="7">
        <f>[1]!EM_S_VAL_PCF_NCFTTM(B3024,E3024)</f>
        <v>5.4822022267329897</v>
      </c>
      <c r="Q3024" s="7">
        <f>[1]!EM_S_VAL_DIVIDENDYIELD2(B3024,E3024,"2019-11-29")</f>
        <v>3.8980509745127434</v>
      </c>
      <c r="T3024"/>
      <c r="U3024">
        <f>[1]!EM_S_RATIO_EPS_TTM(B3024,E3024,"1")</f>
        <v>0.85343926194488307</v>
      </c>
      <c r="AT3024" s="4" t="str">
        <f>[1]!EM_S_IPO_LISTEDDATE(B3024)</f>
        <v>1992-12-04</v>
      </c>
    </row>
    <row r="3025" spans="1:46">
      <c r="A3025">
        <v>1390</v>
      </c>
      <c r="B3025" t="str">
        <f>"002891"</f>
        <v>002891</v>
      </c>
      <c r="C3025" t="s">
        <v>1512</v>
      </c>
      <c r="D3025" t="str">
        <f>[1]!EM_S_INFO_INDEX_EM(B3025,"1")</f>
        <v>食品饮料</v>
      </c>
      <c r="E3025" s="4">
        <f t="shared" si="47"/>
        <v>43465</v>
      </c>
      <c r="F3025" s="11">
        <f>[1]!EM_S_PQ_PCTCHANGE(B3025,"2018-01-01","2019-12-31","3")</f>
        <v>30.934383440000001</v>
      </c>
      <c r="G3025" s="11">
        <f>[1]!EM_S_PQ_PCTCHANGE(B3025,"2018-12-31","2019-12-30","1")</f>
        <v>-18.071925050000001</v>
      </c>
      <c r="H3025" s="11">
        <f>[1]!EM_S_FA_YOY_OR(B3025,E3025)</f>
        <v>39.090559232099999</v>
      </c>
      <c r="I3025" s="11">
        <f>[1]!EM_S_FA_GROSSPROFITMARGIN(B3025,E3025)</f>
        <v>23.3101404069</v>
      </c>
      <c r="J3025" s="11">
        <f>[1]!EM_S_FA_NETPROFITMARGIN(B3025,E3025)</f>
        <v>4.3574175180000001</v>
      </c>
      <c r="K3025" s="10">
        <f>[1]!EM_S_FA_ASSETSTURN(B3025,E3025)</f>
        <v>1.170813511515</v>
      </c>
      <c r="L3025" s="12">
        <f>[1]!EM_HKS_VAL_MV(B3025,"2019-12-31","2")</f>
        <v>4671633553.0799999</v>
      </c>
      <c r="M3025">
        <f>[1]!EM_S_VAL_PETTMDEDUCTED(B3025,E3025)</f>
        <v>55.791558522223603</v>
      </c>
      <c r="N3025" s="7">
        <f>[1]!EM_S_VAL_PBGOODWILLDEDUCTED(B3025,E3025)</f>
        <v>4.9095685074804001</v>
      </c>
      <c r="O3025" s="7">
        <f>[1]!EM_S_VAL_PS_TTM(B3025,E3025)</f>
        <v>2.5469619628385298</v>
      </c>
      <c r="P3025" s="7">
        <f>[1]!EM_S_VAL_PCF_NCFTTM(B3025,E3025)</f>
        <v>-13.219510648152101</v>
      </c>
      <c r="Q3025" s="7">
        <f>[1]!EM_S_VAL_DIVIDENDYIELD2(B3025,E3025,"2019-11-29")</f>
        <v>0.25009824372215</v>
      </c>
      <c r="T3025"/>
      <c r="U3025">
        <f>[1]!EM_S_RATIO_EPS_TTM(B3025,E3025,"1")</f>
        <v>0.56444665009999995</v>
      </c>
      <c r="AT3025" s="4" t="str">
        <f>[1]!EM_S_IPO_LISTEDDATE(B3025)</f>
        <v>2017-08-21</v>
      </c>
    </row>
    <row r="3026" spans="1:46">
      <c r="A3026">
        <v>2711</v>
      </c>
      <c r="B3026" t="str">
        <f>"600638"</f>
        <v>600638</v>
      </c>
      <c r="C3026" t="s">
        <v>2544</v>
      </c>
      <c r="D3026" t="str">
        <f>[1]!EM_S_INFO_INDEX_EM(B3026,"1")</f>
        <v>房地产</v>
      </c>
      <c r="E3026" s="4">
        <f t="shared" si="47"/>
        <v>43465</v>
      </c>
      <c r="F3026" s="11">
        <f>[1]!EM_S_PQ_PCTCHANGE(B3026,"2018-01-01","2019-12-31","3")</f>
        <v>-38.451829240000002</v>
      </c>
      <c r="G3026" s="11">
        <f>[1]!EM_S_PQ_PCTCHANGE(B3026,"2018-12-31","2019-12-30","1")</f>
        <v>-18.075117370000001</v>
      </c>
      <c r="H3026" s="11">
        <f>[1]!EM_S_FA_YOY_OR(B3026,E3026)</f>
        <v>-40.012706876999999</v>
      </c>
      <c r="I3026" s="11">
        <f>[1]!EM_S_FA_GROSSPROFITMARGIN(B3026,E3026)</f>
        <v>34.5898868998</v>
      </c>
      <c r="J3026" s="11">
        <f>[1]!EM_S_FA_NETPROFITMARGIN(B3026,E3026)</f>
        <v>54.842279878500001</v>
      </c>
      <c r="K3026" s="10">
        <f>[1]!EM_S_FA_ASSETSTURN(B3026,E3026)</f>
        <v>9.4120019717E-2</v>
      </c>
      <c r="L3026" s="12">
        <f>[1]!EM_HKS_VAL_MV(B3026,"2019-12-31","2")</f>
        <v>4727245437.7200003</v>
      </c>
      <c r="M3026">
        <f>[1]!EM_S_VAL_PETTMDEDUCTED(B3026,E3026)</f>
        <v>61.6156954904393</v>
      </c>
      <c r="N3026" s="7">
        <f>[1]!EM_S_VAL_PBGOODWILLDEDUCTED(B3026,E3026)</f>
        <v>1.26275789970077</v>
      </c>
      <c r="O3026" s="7">
        <f>[1]!EM_S_VAL_PS_TTM(B3026,E3026)</f>
        <v>4.63321020646731</v>
      </c>
      <c r="P3026" s="7">
        <f>[1]!EM_S_VAL_PCF_NCFTTM(B3026,E3026)</f>
        <v>-8.7409937956748092</v>
      </c>
      <c r="Q3026" s="7">
        <f>[1]!EM_S_VAL_DIVIDENDYIELD2(B3026,E3026,"2019-11-29")</f>
        <v>3.7172011661807578</v>
      </c>
      <c r="T3026"/>
      <c r="U3026">
        <f>[1]!EM_S_RATIO_EPS_TTM(B3026,E3026,"1")</f>
        <v>0.84939909021187399</v>
      </c>
      <c r="AT3026" s="4" t="str">
        <f>[1]!EM_S_IPO_LISTEDDATE(B3026)</f>
        <v>1993-03-26</v>
      </c>
    </row>
    <row r="3027" spans="1:46">
      <c r="A3027">
        <v>1365</v>
      </c>
      <c r="B3027" t="str">
        <f>"002865"</f>
        <v>002865</v>
      </c>
      <c r="C3027" t="s">
        <v>1607</v>
      </c>
      <c r="D3027" t="str">
        <f>[1]!EM_S_INFO_INDEX_EM(B3027,"1")</f>
        <v>交运设备</v>
      </c>
      <c r="E3027" s="4">
        <f t="shared" si="47"/>
        <v>43465</v>
      </c>
      <c r="F3027" s="11">
        <f>[1]!EM_S_PQ_PCTCHANGE(B3027,"2018-01-01","2019-12-31","3")</f>
        <v>-27.014470840000001</v>
      </c>
      <c r="G3027" s="11">
        <f>[1]!EM_S_PQ_PCTCHANGE(B3027,"2018-12-31","2019-12-30","1")</f>
        <v>-18.09623431</v>
      </c>
      <c r="H3027" s="11">
        <f>[1]!EM_S_FA_YOY_OR(B3027,E3027)</f>
        <v>-21.714858335599999</v>
      </c>
      <c r="I3027" s="11">
        <f>[1]!EM_S_FA_GROSSPROFITMARGIN(B3027,E3027)</f>
        <v>26.347427825800001</v>
      </c>
      <c r="J3027" s="11">
        <f>[1]!EM_S_FA_NETPROFITMARGIN(B3027,E3027)</f>
        <v>4.6354284456999997</v>
      </c>
      <c r="K3027" s="10">
        <f>[1]!EM_S_FA_ASSETSTURN(B3027,E3027)</f>
        <v>0.49307439769099998</v>
      </c>
      <c r="L3027" s="12">
        <f>[1]!EM_HKS_VAL_MV(B3027,"2019-12-31","2")</f>
        <v>1910200613.4000001</v>
      </c>
      <c r="M3027">
        <f>[1]!EM_S_VAL_PETTMDEDUCTED(B3027,E3027)</f>
        <v>36.242386956945197</v>
      </c>
      <c r="N3027" s="7">
        <f>[1]!EM_S_VAL_PBGOODWILLDEDUCTED(B3027,E3027)</f>
        <v>2.68595551763763</v>
      </c>
      <c r="O3027" s="7">
        <f>[1]!EM_S_VAL_PS_TTM(B3027,E3027)</f>
        <v>2.0780292450111202</v>
      </c>
      <c r="P3027" s="7">
        <f>[1]!EM_S_VAL_PCF_NCFTTM(B3027,E3027)</f>
        <v>33.385965677260202</v>
      </c>
      <c r="Q3027" s="7">
        <f>[1]!EM_S_VAL_DIVIDENDYIELD2(B3027,E3027,"2019-11-29")</f>
        <v>1.042615778149858</v>
      </c>
      <c r="T3027"/>
      <c r="U3027">
        <f>[1]!EM_S_RATIO_EPS_TTM(B3027,E3027,"1")</f>
        <v>0.34378437754766605</v>
      </c>
      <c r="AT3027" s="4" t="str">
        <f>[1]!EM_S_IPO_LISTEDDATE(B3027)</f>
        <v>2017-04-25</v>
      </c>
    </row>
    <row r="3028" spans="1:46">
      <c r="A3028">
        <v>766</v>
      </c>
      <c r="B3028" t="str">
        <f>"002255"</f>
        <v>002255</v>
      </c>
      <c r="C3028" t="s">
        <v>2270</v>
      </c>
      <c r="D3028" t="str">
        <f>[1]!EM_S_INFO_INDEX_EM(B3028,"1")</f>
        <v>电气设备</v>
      </c>
      <c r="E3028" s="4">
        <f t="shared" si="47"/>
        <v>43465</v>
      </c>
      <c r="F3028" s="11">
        <f>[1]!EM_S_PQ_PCTCHANGE(B3028,"2018-01-01","2019-12-31","3")</f>
        <v>-52.245508979999997</v>
      </c>
      <c r="G3028" s="11">
        <f>[1]!EM_S_PQ_PCTCHANGE(B3028,"2018-12-31","2019-12-30","1")</f>
        <v>-18.158567770000001</v>
      </c>
      <c r="H3028" s="11">
        <f>[1]!EM_S_FA_YOY_OR(B3028,E3028)</f>
        <v>94.381772941400001</v>
      </c>
      <c r="I3028" s="11">
        <f>[1]!EM_S_FA_GROSSPROFITMARGIN(B3028,E3028)</f>
        <v>21.8240076911</v>
      </c>
      <c r="J3028" s="11">
        <f>[1]!EM_S_FA_NETPROFITMARGIN(B3028,E3028)</f>
        <v>-6.4975975555999996</v>
      </c>
      <c r="K3028" s="10">
        <f>[1]!EM_S_FA_ASSETSTURN(B3028,E3028)</f>
        <v>0.319171842165</v>
      </c>
      <c r="L3028" s="12">
        <f>[1]!EM_HKS_VAL_MV(B3028,"2019-12-31","2")</f>
        <v>2686844665.4499998</v>
      </c>
      <c r="M3028">
        <f>[1]!EM_S_VAL_PETTMDEDUCTED(B3028,E3028)</f>
        <v>31.951231093967099</v>
      </c>
      <c r="N3028" s="7">
        <f>[1]!EM_S_VAL_PBGOODWILLDEDUCTED(B3028,E3028)</f>
        <v>1.01976028087161</v>
      </c>
      <c r="O3028" s="7">
        <f>[1]!EM_S_VAL_PS_TTM(B3028,E3028)</f>
        <v>1.87092560540174</v>
      </c>
      <c r="P3028" s="7">
        <f>[1]!EM_S_VAL_PCF_NCFTTM(B3028,E3028)</f>
        <v>141.378549917664</v>
      </c>
      <c r="Q3028" s="7">
        <f>[1]!EM_S_VAL_DIVIDENDYIELD2(B3028,E3028,"2019-11-29")</f>
        <v>0</v>
      </c>
      <c r="T3028"/>
      <c r="U3028">
        <f>[1]!EM_S_RATIO_EPS_TTM(B3028,E3028,"1")</f>
        <v>-0.19379181929741132</v>
      </c>
      <c r="AT3028" s="4" t="str">
        <f>[1]!EM_S_IPO_LISTEDDATE(B3028)</f>
        <v>2008-06-25</v>
      </c>
    </row>
    <row r="3029" spans="1:46">
      <c r="A3029">
        <v>1607</v>
      </c>
      <c r="B3029" t="str">
        <f>"300182"</f>
        <v>300182</v>
      </c>
      <c r="C3029" t="s">
        <v>1345</v>
      </c>
      <c r="D3029" t="str">
        <f>[1]!EM_S_INFO_INDEX_EM(B3029,"1")</f>
        <v>文化传媒</v>
      </c>
      <c r="E3029" s="4">
        <f t="shared" si="47"/>
        <v>43465</v>
      </c>
      <c r="F3029" s="11">
        <f>[1]!EM_S_PQ_PCTCHANGE(B3029,"2018-01-01","2019-12-31","3")</f>
        <v>-59.236406430000002</v>
      </c>
      <c r="G3029" s="11">
        <f>[1]!EM_S_PQ_PCTCHANGE(B3029,"2018-12-31","2019-12-30","1")</f>
        <v>-18.18181818</v>
      </c>
      <c r="H3029" s="11">
        <f>[1]!EM_S_FA_YOY_OR(B3029,E3029)</f>
        <v>15.1714649371</v>
      </c>
      <c r="I3029" s="11">
        <f>[1]!EM_S_FA_GROSSPROFITMARGIN(B3029,E3029)</f>
        <v>33.615114874</v>
      </c>
      <c r="J3029" s="11">
        <f>[1]!EM_S_FA_NETPROFITMARGIN(B3029,E3029)</f>
        <v>1.8106248417999999</v>
      </c>
      <c r="K3029" s="10">
        <f>[1]!EM_S_FA_ASSETSTURN(B3029,E3029)</f>
        <v>0.32306881422200001</v>
      </c>
      <c r="L3029" s="12">
        <f>[1]!EM_HKS_VAL_MV(B3029,"2019-12-31","2")</f>
        <v>8986613216.4300003</v>
      </c>
      <c r="M3029">
        <f>[1]!EM_S_VAL_PETTMDEDUCTED(B3029,E3029)</f>
        <v>10.8054373727129</v>
      </c>
      <c r="N3029" s="7">
        <f>[1]!EM_S_VAL_PBGOODWILLDEDUCTED(B3029,E3029)</f>
        <v>2.1641691362830402</v>
      </c>
      <c r="O3029" s="7">
        <f>[1]!EM_S_VAL_PS_TTM(B3029,E3029)</f>
        <v>2.2012940455159602</v>
      </c>
      <c r="P3029" s="7">
        <f>[1]!EM_S_VAL_PCF_NCFTTM(B3029,E3029)</f>
        <v>56.606869456829102</v>
      </c>
      <c r="Q3029" s="7">
        <f>[1]!EM_S_VAL_DIVIDENDYIELD2(B3029,E3029,"2019-11-29")</f>
        <v>0</v>
      </c>
      <c r="T3029"/>
      <c r="U3029">
        <f>[1]!EM_S_RATIO_EPS_TTM(B3029,E3029,"1")</f>
        <v>3.6367477681768075E-2</v>
      </c>
      <c r="AT3029" s="4" t="str">
        <f>[1]!EM_S_IPO_LISTEDDATE(B3029)</f>
        <v>2011-02-22</v>
      </c>
    </row>
    <row r="3030" spans="1:46">
      <c r="A3030">
        <v>2502</v>
      </c>
      <c r="B3030" t="str">
        <f>"600385"</f>
        <v>600385</v>
      </c>
      <c r="C3030" t="s">
        <v>3587</v>
      </c>
      <c r="D3030" t="str">
        <f>[1]!EM_S_INFO_INDEX_EM(B3030,"1")</f>
        <v>轻工制造</v>
      </c>
      <c r="E3030" s="4">
        <f t="shared" si="47"/>
        <v>43465</v>
      </c>
      <c r="F3030" s="11">
        <f>[1]!EM_S_PQ_PCTCHANGE(B3030,"2018-01-01","2019-12-31","3")</f>
        <v>-38.23064771</v>
      </c>
      <c r="G3030" s="11">
        <f>[1]!EM_S_PQ_PCTCHANGE(B3030,"2018-12-31","2019-12-30","1")</f>
        <v>-18.191268189999999</v>
      </c>
      <c r="H3030" s="11">
        <f>[1]!EM_S_FA_YOY_OR(B3030,E3030)</f>
        <v>-78.061372734900004</v>
      </c>
      <c r="I3030" s="11">
        <f>[1]!EM_S_FA_GROSSPROFITMARGIN(B3030,E3030)</f>
        <v>90.468932511700004</v>
      </c>
      <c r="J3030" s="11">
        <f>[1]!EM_S_FA_NETPROFITMARGIN(B3030,E3030)</f>
        <v>-189.9301899564</v>
      </c>
      <c r="K3030" s="10">
        <f>[1]!EM_S_FA_ASSETSTURN(B3030,E3030)</f>
        <v>3.2677142659E-2</v>
      </c>
      <c r="L3030" s="12">
        <f>[1]!EM_HKS_VAL_MV(B3030,"2019-12-31","2")</f>
        <v>1158197897.3599999</v>
      </c>
      <c r="M3030">
        <f>[1]!EM_S_VAL_PETTMDEDUCTED(B3030,E3030)</f>
        <v>-294.75506417587297</v>
      </c>
      <c r="N3030" s="7">
        <f>[1]!EM_S_VAL_PBGOODWILLDEDUCTED(B3030,E3030)</f>
        <v>23.875401053725199</v>
      </c>
      <c r="O3030" s="7">
        <f>[1]!EM_S_VAL_PS_TTM(B3030,E3030)</f>
        <v>62.348698566628798</v>
      </c>
      <c r="P3030" s="7">
        <f>[1]!EM_S_VAL_PCF_NCFTTM(B3030,E3030)</f>
        <v>1067.8635698312501</v>
      </c>
      <c r="Q3030" s="7">
        <f>[1]!EM_S_VAL_DIVIDENDYIELD2(B3030,E3030,"2019-11-29")</f>
        <v>0</v>
      </c>
      <c r="T3030"/>
      <c r="U3030">
        <f>[1]!EM_S_RATIO_EPS_TTM(B3030,E3030,"1")</f>
        <v>-6.8597606983830384E-2</v>
      </c>
      <c r="AT3030" s="4" t="str">
        <f>[1]!EM_S_IPO_LISTEDDATE(B3030)</f>
        <v>2001-07-23</v>
      </c>
    </row>
    <row r="3031" spans="1:46">
      <c r="A3031">
        <v>1909</v>
      </c>
      <c r="B3031" t="str">
        <f>"300484"</f>
        <v>300484</v>
      </c>
      <c r="C3031" t="s">
        <v>2658</v>
      </c>
      <c r="D3031" t="str">
        <f>[1]!EM_S_INFO_INDEX_EM(B3031,"1")</f>
        <v>电气设备</v>
      </c>
      <c r="E3031" s="4">
        <f t="shared" si="47"/>
        <v>43465</v>
      </c>
      <c r="F3031" s="11">
        <f>[1]!EM_S_PQ_PCTCHANGE(B3031,"2018-01-01","2019-12-31","3")</f>
        <v>-57.279896479999998</v>
      </c>
      <c r="G3031" s="11">
        <f>[1]!EM_S_PQ_PCTCHANGE(B3031,"2018-12-31","2019-12-30","1")</f>
        <v>-18.230563</v>
      </c>
      <c r="H3031" s="11">
        <f>[1]!EM_S_FA_YOY_OR(B3031,E3031)</f>
        <v>-30.597988798199999</v>
      </c>
      <c r="I3031" s="11">
        <f>[1]!EM_S_FA_GROSSPROFITMARGIN(B3031,E3031)</f>
        <v>37.4482188542</v>
      </c>
      <c r="J3031" s="11">
        <f>[1]!EM_S_FA_NETPROFITMARGIN(B3031,E3031)</f>
        <v>6.1018586388999996</v>
      </c>
      <c r="K3031" s="10">
        <f>[1]!EM_S_FA_ASSETSTURN(B3031,E3031)</f>
        <v>0.36855463092099999</v>
      </c>
      <c r="L3031" s="12">
        <f>[1]!EM_HKS_VAL_MV(B3031,"2019-12-31","2")</f>
        <v>1903200000</v>
      </c>
      <c r="M3031">
        <f>[1]!EM_S_VAL_PETTMDEDUCTED(B3031,E3031)</f>
        <v>122.95312467430399</v>
      </c>
      <c r="N3031" s="7">
        <f>[1]!EM_S_VAL_PBGOODWILLDEDUCTED(B3031,E3031)</f>
        <v>3.30131621157873</v>
      </c>
      <c r="O3031" s="7">
        <f>[1]!EM_S_VAL_PS_TTM(B3031,E3031)</f>
        <v>5.7924713657893898</v>
      </c>
      <c r="P3031" s="7">
        <f>[1]!EM_S_VAL_PCF_NCFTTM(B3031,E3031)</f>
        <v>-30.963425915822</v>
      </c>
      <c r="Q3031" s="7">
        <f>[1]!EM_S_VAL_DIVIDENDYIELD2(B3031,E3031,"2019-11-29")</f>
        <v>0</v>
      </c>
      <c r="T3031"/>
      <c r="U3031">
        <f>[1]!EM_S_RATIO_EPS_TTM(B3031,E3031,"1")</f>
        <v>0.11788229038461538</v>
      </c>
      <c r="AT3031" s="4" t="str">
        <f>[1]!EM_S_IPO_LISTEDDATE(B3031)</f>
        <v>2016-03-22</v>
      </c>
    </row>
    <row r="3032" spans="1:46">
      <c r="A3032">
        <v>343</v>
      </c>
      <c r="B3032" t="str">
        <f>"000782"</f>
        <v>000782</v>
      </c>
      <c r="C3032" t="s">
        <v>1764</v>
      </c>
      <c r="D3032" t="str">
        <f>[1]!EM_S_INFO_INDEX_EM(B3032,"1")</f>
        <v>基础化工</v>
      </c>
      <c r="E3032" s="4">
        <f t="shared" si="47"/>
        <v>43465</v>
      </c>
      <c r="F3032" s="11">
        <f>[1]!EM_S_PQ_PCTCHANGE(B3032,"2018-01-01","2019-12-31","3")</f>
        <v>-55.141661480000003</v>
      </c>
      <c r="G3032" s="11">
        <f>[1]!EM_S_PQ_PCTCHANGE(B3032,"2018-12-31","2019-12-30","1")</f>
        <v>-18.26697892</v>
      </c>
      <c r="H3032" s="11">
        <f>[1]!EM_S_FA_YOY_OR(B3032,E3032)</f>
        <v>7.1536375882999996</v>
      </c>
      <c r="I3032" s="11">
        <f>[1]!EM_S_FA_GROSSPROFITMARGIN(B3032,E3032)</f>
        <v>8.0559248827999994</v>
      </c>
      <c r="J3032" s="11">
        <f>[1]!EM_S_FA_NETPROFITMARGIN(B3032,E3032)</f>
        <v>1.0020532257999999</v>
      </c>
      <c r="K3032" s="10">
        <f>[1]!EM_S_FA_ASSETSTURN(B3032,E3032)</f>
        <v>1.3796408202449999</v>
      </c>
      <c r="L3032" s="12">
        <f>[1]!EM_HKS_VAL_MV(B3032,"2019-12-31","2")</f>
        <v>1843207284.27</v>
      </c>
      <c r="M3032">
        <f>[1]!EM_S_VAL_PETTMDEDUCTED(B3032,E3032)</f>
        <v>43.754164000027799</v>
      </c>
      <c r="N3032" s="7">
        <f>[1]!EM_S_VAL_PBGOODWILLDEDUCTED(B3032,E3032)</f>
        <v>1.5686625700348</v>
      </c>
      <c r="O3032" s="7">
        <f>[1]!EM_S_VAL_PS_TTM(B3032,E3032)</f>
        <v>0.57564788155537405</v>
      </c>
      <c r="P3032" s="7">
        <f>[1]!EM_S_VAL_PCF_NCFTTM(B3032,E3032)</f>
        <v>5.3079313264104897</v>
      </c>
      <c r="Q3032" s="7">
        <f>[1]!EM_S_VAL_DIVIDENDYIELD2(B3032,E3032,"2019-11-29")</f>
        <v>0.50251256281407042</v>
      </c>
      <c r="T3032"/>
      <c r="U3032">
        <f>[1]!EM_S_RATIO_EPS_TTM(B3032,E3032,"1")</f>
        <v>7.0608047126204734E-2</v>
      </c>
      <c r="AT3032" s="4" t="str">
        <f>[1]!EM_S_IPO_LISTEDDATE(B3032)</f>
        <v>1997-06-19</v>
      </c>
    </row>
    <row r="3033" spans="1:46">
      <c r="A3033">
        <v>893</v>
      </c>
      <c r="B3033" t="str">
        <f>"002382"</f>
        <v>002382</v>
      </c>
      <c r="C3033" t="s">
        <v>475</v>
      </c>
      <c r="D3033" t="str">
        <f>[1]!EM_S_INFO_INDEX_EM(B3033,"1")</f>
        <v>医药生物</v>
      </c>
      <c r="E3033" s="4">
        <f t="shared" si="47"/>
        <v>43465</v>
      </c>
      <c r="F3033" s="11">
        <f>[1]!EM_S_PQ_PCTCHANGE(B3033,"2018-01-01","2019-12-31","3")</f>
        <v>1.0284024700000001</v>
      </c>
      <c r="G3033" s="11">
        <f>[1]!EM_S_PQ_PCTCHANGE(B3033,"2018-12-31","2019-12-30","1")</f>
        <v>-18.43876178</v>
      </c>
      <c r="H3033" s="11">
        <f>[1]!EM_S_FA_YOY_OR(B3033,E3033)</f>
        <v>68.3510248284</v>
      </c>
      <c r="I3033" s="11">
        <f>[1]!EM_S_FA_GROSSPROFITMARGIN(B3033,E3033)</f>
        <v>40.567444306200002</v>
      </c>
      <c r="J3033" s="11">
        <f>[1]!EM_S_FA_NETPROFITMARGIN(B3033,E3033)</f>
        <v>13.3931991221</v>
      </c>
      <c r="K3033" s="10">
        <f>[1]!EM_S_FA_ASSETSTURN(B3033,E3033)</f>
        <v>0.36505322138399998</v>
      </c>
      <c r="L3033" s="12">
        <f>[1]!EM_HKS_VAL_MV(B3033,"2019-12-31","2")</f>
        <v>11703337384.040001</v>
      </c>
      <c r="M3033">
        <f>[1]!EM_S_VAL_PETTMDEDUCTED(B3033,E3033)</f>
        <v>45.384627745685101</v>
      </c>
      <c r="N3033" s="7">
        <f>[1]!EM_S_VAL_PBGOODWILLDEDUCTED(B3033,E3033)</f>
        <v>10.092516847692799</v>
      </c>
      <c r="O3033" s="7">
        <f>[1]!EM_S_VAL_PS_TTM(B3033,E3033)</f>
        <v>6.4797577757598797</v>
      </c>
      <c r="P3033" s="7">
        <f>[1]!EM_S_VAL_PCF_NCFTTM(B3033,E3033)</f>
        <v>6.3896210376192899</v>
      </c>
      <c r="Q3033" s="7">
        <f>[1]!EM_S_VAL_DIVIDENDYIELD2(B3033,E3033,"2019-11-29")</f>
        <v>0.32948929159802304</v>
      </c>
      <c r="T3033"/>
      <c r="U3033">
        <f>[1]!EM_S_RATIO_EPS_TTM(B3033,E3033,"1")</f>
        <v>0.35965026044813664</v>
      </c>
      <c r="AT3033" s="4" t="str">
        <f>[1]!EM_S_IPO_LISTEDDATE(B3033)</f>
        <v>2010-04-02</v>
      </c>
    </row>
    <row r="3034" spans="1:46">
      <c r="A3034">
        <v>579</v>
      </c>
      <c r="B3034" t="str">
        <f>"002068"</f>
        <v>002068</v>
      </c>
      <c r="C3034" t="s">
        <v>446</v>
      </c>
      <c r="D3034" t="str">
        <f>[1]!EM_S_INFO_INDEX_EM(B3034,"1")</f>
        <v>基础化工</v>
      </c>
      <c r="E3034" s="4">
        <f t="shared" si="47"/>
        <v>43465</v>
      </c>
      <c r="F3034" s="11">
        <f>[1]!EM_S_PQ_PCTCHANGE(B3034,"2018-01-01","2019-12-31","3")</f>
        <v>-45.602301490000002</v>
      </c>
      <c r="G3034" s="11">
        <f>[1]!EM_S_PQ_PCTCHANGE(B3034,"2018-12-31","2019-12-30","1")</f>
        <v>-18.47457627</v>
      </c>
      <c r="H3034" s="11">
        <f>[1]!EM_S_FA_YOY_OR(B3034,E3034)</f>
        <v>13.6115702314</v>
      </c>
      <c r="I3034" s="11">
        <f>[1]!EM_S_FA_GROSSPROFITMARGIN(B3034,E3034)</f>
        <v>15.691955550799999</v>
      </c>
      <c r="J3034" s="11">
        <f>[1]!EM_S_FA_NETPROFITMARGIN(B3034,E3034)</f>
        <v>5.0892537132999998</v>
      </c>
      <c r="K3034" s="10">
        <f>[1]!EM_S_FA_ASSETSTURN(B3034,E3034)</f>
        <v>1.0804480701720001</v>
      </c>
      <c r="L3034" s="12">
        <f>[1]!EM_HKS_VAL_MV(B3034,"2019-12-31","2")</f>
        <v>3497175896.7600002</v>
      </c>
      <c r="M3034">
        <f>[1]!EM_S_VAL_PETTMDEDUCTED(B3034,E3034)</f>
        <v>7.1469085601737703</v>
      </c>
      <c r="N3034" s="7">
        <f>[1]!EM_S_VAL_PBGOODWILLDEDUCTED(B3034,E3034)</f>
        <v>1.2753318800946101</v>
      </c>
      <c r="O3034" s="7">
        <f>[1]!EM_S_VAL_PS_TTM(B3034,E3034)</f>
        <v>0.53610831287077498</v>
      </c>
      <c r="P3034" s="7">
        <f>[1]!EM_S_VAL_PCF_NCFTTM(B3034,E3034)</f>
        <v>17.708239884136901</v>
      </c>
      <c r="Q3034" s="7">
        <f>[1]!EM_S_VAL_DIVIDENDYIELD2(B3034,E3034,"2019-11-29")</f>
        <v>6.7264573991031389</v>
      </c>
      <c r="T3034"/>
      <c r="U3034">
        <f>[1]!EM_S_RATIO_EPS_TTM(B3034,E3034,"1")</f>
        <v>0.5517553921101559</v>
      </c>
      <c r="AT3034" s="4" t="str">
        <f>[1]!EM_S_IPO_LISTEDDATE(B3034)</f>
        <v>2006-09-15</v>
      </c>
    </row>
    <row r="3035" spans="1:46">
      <c r="A3035">
        <v>2621</v>
      </c>
      <c r="B3035" t="str">
        <f>"600545"</f>
        <v>600545</v>
      </c>
      <c r="C3035" t="s">
        <v>193</v>
      </c>
      <c r="D3035" t="str">
        <f>[1]!EM_S_INFO_INDEX_EM(B3035,"1")</f>
        <v>机械设备</v>
      </c>
      <c r="E3035" s="4">
        <f t="shared" si="47"/>
        <v>43465</v>
      </c>
      <c r="F3035" s="11">
        <f>[1]!EM_S_PQ_PCTCHANGE(B3035,"2018-01-01","2019-12-31","3")</f>
        <v>-43.551750210000002</v>
      </c>
      <c r="G3035" s="11">
        <f>[1]!EM_S_PQ_PCTCHANGE(B3035,"2018-12-31","2019-12-30","1")</f>
        <v>-18.513513509999999</v>
      </c>
      <c r="H3035" s="11">
        <f>[1]!EM_S_FA_YOY_OR(B3035,E3035)</f>
        <v>5.8225985411999996</v>
      </c>
      <c r="I3035" s="11">
        <f>[1]!EM_S_FA_GROSSPROFITMARGIN(B3035,E3035)</f>
        <v>28.734641042</v>
      </c>
      <c r="J3035" s="11">
        <f>[1]!EM_S_FA_NETPROFITMARGIN(B3035,E3035)</f>
        <v>9.2947879886999996</v>
      </c>
      <c r="K3035" s="10">
        <f>[1]!EM_S_FA_ASSETSTURN(B3035,E3035)</f>
        <v>0.63706821022500004</v>
      </c>
      <c r="L3035" s="12">
        <f>[1]!EM_HKS_VAL_MV(B3035,"2019-12-31","2")</f>
        <v>11505156879.65</v>
      </c>
      <c r="M3035">
        <f>[1]!EM_S_VAL_PETTMDEDUCTED(B3035,E3035)</f>
        <v>19.928442264439401</v>
      </c>
      <c r="N3035" s="7">
        <f>[1]!EM_S_VAL_PBGOODWILLDEDUCTED(B3035,E3035)</f>
        <v>3.4734992982945401</v>
      </c>
      <c r="O3035" s="7">
        <f>[1]!EM_S_VAL_PS_TTM(B3035,E3035)</f>
        <v>1.50354393330063</v>
      </c>
      <c r="P3035" s="7">
        <f>[1]!EM_S_VAL_PCF_NCFTTM(B3035,E3035)</f>
        <v>-9.1424750958828405</v>
      </c>
      <c r="Q3035" s="7">
        <f>[1]!EM_S_VAL_DIVIDENDYIELD2(B3035,E3035,"2019-11-29")</f>
        <v>2.1731092436974788</v>
      </c>
      <c r="T3035"/>
      <c r="U3035">
        <f>[1]!EM_S_RATIO_EPS_TTM(B3035,E3035,"1")</f>
        <v>0.42750260873884111</v>
      </c>
      <c r="AT3035" s="4" t="str">
        <f>[1]!EM_S_IPO_LISTEDDATE(B3035)</f>
        <v>2003-12-03</v>
      </c>
    </row>
    <row r="3036" spans="1:46">
      <c r="A3036">
        <v>2268</v>
      </c>
      <c r="B3036" t="str">
        <f>"600121"</f>
        <v>600121</v>
      </c>
      <c r="C3036" t="s">
        <v>2010</v>
      </c>
      <c r="D3036" t="str">
        <f>[1]!EM_S_INFO_INDEX_EM(B3036,"1")</f>
        <v>化石能源</v>
      </c>
      <c r="E3036" s="4">
        <f t="shared" si="47"/>
        <v>43465</v>
      </c>
      <c r="F3036" s="11">
        <f>[1]!EM_S_PQ_PCTCHANGE(B3036,"2018-01-01","2019-12-31","3")</f>
        <v>-51.953640659999998</v>
      </c>
      <c r="G3036" s="11">
        <f>[1]!EM_S_PQ_PCTCHANGE(B3036,"2018-12-31","2019-12-30","1")</f>
        <v>-18.62068966</v>
      </c>
      <c r="H3036" s="11">
        <f>[1]!EM_S_FA_YOY_OR(B3036,E3036)</f>
        <v>-15.793239266800001</v>
      </c>
      <c r="I3036" s="11">
        <f>[1]!EM_S_FA_GROSSPROFITMARGIN(B3036,E3036)</f>
        <v>34.327366490999999</v>
      </c>
      <c r="J3036" s="11">
        <f>[1]!EM_S_FA_NETPROFITMARGIN(B3036,E3036)</f>
        <v>8.1134270482000002</v>
      </c>
      <c r="K3036" s="10">
        <f>[1]!EM_S_FA_ASSETSTURN(B3036,E3036)</f>
        <v>0.40091015340500002</v>
      </c>
      <c r="L3036" s="12">
        <f>[1]!EM_HKS_VAL_MV(B3036,"2019-12-31","2")</f>
        <v>2887636530.0599999</v>
      </c>
      <c r="M3036">
        <f>[1]!EM_S_VAL_PETTMDEDUCTED(B3036,E3036)</f>
        <v>19.5803309803097</v>
      </c>
      <c r="N3036" s="7">
        <f>[1]!EM_S_VAL_PBGOODWILLDEDUCTED(B3036,E3036)</f>
        <v>0.87021785762784298</v>
      </c>
      <c r="O3036" s="7">
        <f>[1]!EM_S_VAL_PS_TTM(B3036,E3036)</f>
        <v>0.60544550070755798</v>
      </c>
      <c r="P3036" s="7">
        <f>[1]!EM_S_VAL_PCF_NCFTTM(B3036,E3036)</f>
        <v>-12.4400692479258</v>
      </c>
      <c r="Q3036" s="7">
        <f>[1]!EM_S_VAL_DIVIDENDYIELD2(B3036,E3036,"2019-11-29")</f>
        <v>1.795977011494253</v>
      </c>
      <c r="T3036"/>
      <c r="U3036">
        <f>[1]!EM_S_RATIO_EPS_TTM(B3036,E3036,"1")</f>
        <v>0.15016127613144939</v>
      </c>
      <c r="AT3036" s="4" t="str">
        <f>[1]!EM_S_IPO_LISTEDDATE(B3036)</f>
        <v>1998-01-07</v>
      </c>
    </row>
    <row r="3037" spans="1:46">
      <c r="A3037">
        <v>3148</v>
      </c>
      <c r="B3037" t="str">
        <f>"601777"</f>
        <v>601777</v>
      </c>
      <c r="C3037" t="s">
        <v>2377</v>
      </c>
      <c r="D3037" t="str">
        <f>[1]!EM_S_INFO_INDEX_EM(B3037,"1")</f>
        <v>交运设备</v>
      </c>
      <c r="E3037" s="4">
        <f t="shared" si="47"/>
        <v>43465</v>
      </c>
      <c r="F3037" s="11">
        <f>[1]!EM_S_PQ_PCTCHANGE(B3037,"2018-01-01","2019-12-31","3")</f>
        <v>-57.575757580000001</v>
      </c>
      <c r="G3037" s="11">
        <f>[1]!EM_S_PQ_PCTCHANGE(B3037,"2018-12-31","2019-12-30","1")</f>
        <v>-18.635170599999999</v>
      </c>
      <c r="H3037" s="11">
        <f>[1]!EM_S_FA_YOY_OR(B3037,E3037)</f>
        <v>-12.598199960100001</v>
      </c>
      <c r="I3037" s="11">
        <f>[1]!EM_S_FA_GROSSPROFITMARGIN(B3037,E3037)</f>
        <v>9.0763292570999994</v>
      </c>
      <c r="J3037" s="11">
        <f>[1]!EM_S_FA_NETPROFITMARGIN(B3037,E3037)</f>
        <v>2.2417062485999999</v>
      </c>
      <c r="K3037" s="10">
        <f>[1]!EM_S_FA_ASSETSTURN(B3037,E3037)</f>
        <v>0.38024847532900002</v>
      </c>
      <c r="L3037" s="12">
        <f>[1]!EM_HKS_VAL_MV(B3037,"2019-12-31","2")</f>
        <v>4046373343.3200002</v>
      </c>
      <c r="M3037">
        <f>[1]!EM_S_VAL_PETTMDEDUCTED(B3037,E3037)</f>
        <v>-23.530121636350302</v>
      </c>
      <c r="N3037" s="7">
        <f>[1]!EM_S_VAL_PBGOODWILLDEDUCTED(B3037,E3037)</f>
        <v>0.69012468589668796</v>
      </c>
      <c r="O3037" s="7">
        <f>[1]!EM_S_VAL_PS_TTM(B3037,E3037)</f>
        <v>0.42321863405594701</v>
      </c>
      <c r="P3037" s="7">
        <f>[1]!EM_S_VAL_PCF_NCFTTM(B3037,E3037)</f>
        <v>-15.244924406974199</v>
      </c>
      <c r="Q3037" s="7">
        <f>[1]!EM_S_VAL_DIVIDENDYIELD2(B3037,E3037,"2019-11-29")</f>
        <v>0</v>
      </c>
      <c r="T3037"/>
      <c r="U3037">
        <f>[1]!EM_S_RATIO_EPS_TTM(B3037,E3037,"1")</f>
        <v>0.19255610751456603</v>
      </c>
      <c r="AT3037" s="4" t="str">
        <f>[1]!EM_S_IPO_LISTEDDATE(B3037)</f>
        <v>2010-11-25</v>
      </c>
    </row>
    <row r="3038" spans="1:46">
      <c r="A3038">
        <v>3049</v>
      </c>
      <c r="B3038" t="str">
        <f>"601101"</f>
        <v>601101</v>
      </c>
      <c r="C3038" t="s">
        <v>608</v>
      </c>
      <c r="D3038" t="str">
        <f>[1]!EM_S_INFO_INDEX_EM(B3038,"1")</f>
        <v>化石能源</v>
      </c>
      <c r="E3038" s="4">
        <f t="shared" si="47"/>
        <v>43465</v>
      </c>
      <c r="F3038" s="11">
        <f>[1]!EM_S_PQ_PCTCHANGE(B3038,"2018-01-01","2019-12-31","3")</f>
        <v>-36.034995969999997</v>
      </c>
      <c r="G3038" s="11">
        <f>[1]!EM_S_PQ_PCTCHANGE(B3038,"2018-12-31","2019-12-30","1")</f>
        <v>-18.635607319999998</v>
      </c>
      <c r="H3038" s="11">
        <f>[1]!EM_S_FA_YOY_OR(B3038,E3038)</f>
        <v>4.1123804858000002</v>
      </c>
      <c r="I3038" s="11">
        <f>[1]!EM_S_FA_GROSSPROFITMARGIN(B3038,E3038)</f>
        <v>54.416675633099999</v>
      </c>
      <c r="J3038" s="11">
        <f>[1]!EM_S_FA_NETPROFITMARGIN(B3038,E3038)</f>
        <v>14.208281248800001</v>
      </c>
      <c r="K3038" s="10">
        <f>[1]!EM_S_FA_ASSETSTURN(B3038,E3038)</f>
        <v>0.28124466509200002</v>
      </c>
      <c r="L3038" s="12">
        <f>[1]!EM_HKS_VAL_MV(B3038,"2019-12-31","2")</f>
        <v>5867991550.0799999</v>
      </c>
      <c r="M3038">
        <f>[1]!EM_S_VAL_PETTMDEDUCTED(B3038,E3038)</f>
        <v>7.5475381606875498</v>
      </c>
      <c r="N3038" s="7">
        <f>[1]!EM_S_VAL_PBGOODWILLDEDUCTED(B3038,E3038)</f>
        <v>0.89599668011210298</v>
      </c>
      <c r="O3038" s="7">
        <f>[1]!EM_S_VAL_PS_TTM(B3038,E3038)</f>
        <v>1.33770559981474</v>
      </c>
      <c r="P3038" s="7">
        <f>[1]!EM_S_VAL_PCF_NCFTTM(B3038,E3038)</f>
        <v>4.6322565509732501</v>
      </c>
      <c r="Q3038" s="7">
        <f>[1]!EM_S_VAL_DIVIDENDYIELD2(B3038,E3038,"2019-11-29")</f>
        <v>3.5849056603773586</v>
      </c>
      <c r="T3038"/>
      <c r="U3038">
        <f>[1]!EM_S_RATIO_EPS_TTM(B3038,E3038,"1")</f>
        <v>0.60097934046025026</v>
      </c>
      <c r="AT3038" s="4" t="str">
        <f>[1]!EM_S_IPO_LISTEDDATE(B3038)</f>
        <v>2010-03-31</v>
      </c>
    </row>
    <row r="3039" spans="1:46">
      <c r="A3039">
        <v>2068</v>
      </c>
      <c r="B3039" t="str">
        <f>"300649"</f>
        <v>300649</v>
      </c>
      <c r="C3039" t="s">
        <v>313</v>
      </c>
      <c r="D3039" t="str">
        <f>[1]!EM_S_INFO_INDEX_EM(B3039,"1")</f>
        <v>建筑</v>
      </c>
      <c r="E3039" s="4">
        <f t="shared" si="47"/>
        <v>43465</v>
      </c>
      <c r="F3039" s="11">
        <f>[1]!EM_S_PQ_PCTCHANGE(B3039,"2018-01-01","2019-12-31","3")</f>
        <v>-46.240595579999997</v>
      </c>
      <c r="G3039" s="11">
        <f>[1]!EM_S_PQ_PCTCHANGE(B3039,"2018-12-31","2019-12-30","1")</f>
        <v>-18.70888158</v>
      </c>
      <c r="H3039" s="11">
        <f>[1]!EM_S_FA_YOY_OR(B3039,E3039)</f>
        <v>185.00927139379999</v>
      </c>
      <c r="I3039" s="11">
        <f>[1]!EM_S_FA_GROSSPROFITMARGIN(B3039,E3039)</f>
        <v>25.494988517900001</v>
      </c>
      <c r="J3039" s="11">
        <f>[1]!EM_S_FA_NETPROFITMARGIN(B3039,E3039)</f>
        <v>10.000410929999999</v>
      </c>
      <c r="K3039" s="10">
        <f>[1]!EM_S_FA_ASSETSTURN(B3039,E3039)</f>
        <v>1.173520629407</v>
      </c>
      <c r="L3039" s="12">
        <f>[1]!EM_HKS_VAL_MV(B3039,"2019-12-31","2")</f>
        <v>2561280000</v>
      </c>
      <c r="M3039">
        <f>[1]!EM_S_VAL_PETTMDEDUCTED(B3039,E3039)</f>
        <v>67.983043941797106</v>
      </c>
      <c r="N3039" s="7">
        <f>[1]!EM_S_VAL_PBGOODWILLDEDUCTED(B3039,E3039)</f>
        <v>8.7443264789370208</v>
      </c>
      <c r="O3039" s="7">
        <f>[1]!EM_S_VAL_PS_TTM(B3039,E3039)</f>
        <v>6.6992546305947798</v>
      </c>
      <c r="P3039" s="7">
        <f>[1]!EM_S_VAL_PCF_NCFTTM(B3039,E3039)</f>
        <v>-305.45956754804303</v>
      </c>
      <c r="Q3039" s="7">
        <f>[1]!EM_S_VAL_DIVIDENDYIELD2(B3039,E3039,"2019-11-29")</f>
        <v>0.52083333333333326</v>
      </c>
      <c r="T3039"/>
      <c r="U3039">
        <f>[1]!EM_S_RATIO_EPS_TTM(B3039,E3039,"1")</f>
        <v>0.40876097124999999</v>
      </c>
      <c r="AT3039" s="4" t="str">
        <f>[1]!EM_S_IPO_LISTEDDATE(B3039)</f>
        <v>2017-05-05</v>
      </c>
    </row>
    <row r="3040" spans="1:46">
      <c r="A3040">
        <v>3374</v>
      </c>
      <c r="B3040" t="str">
        <f>"603356"</f>
        <v>603356</v>
      </c>
      <c r="C3040" t="s">
        <v>666</v>
      </c>
      <c r="D3040" t="str">
        <f>[1]!EM_S_INFO_INDEX_EM(B3040,"1")</f>
        <v>机械设备</v>
      </c>
      <c r="E3040" s="4">
        <f t="shared" si="47"/>
        <v>43465</v>
      </c>
      <c r="F3040" s="11">
        <f>[1]!EM_S_PQ_PCTCHANGE(B3040,"2018-01-01","2019-12-31","3")</f>
        <v>28.10609079</v>
      </c>
      <c r="G3040" s="11">
        <f>[1]!EM_S_PQ_PCTCHANGE(B3040,"2018-12-31","2019-12-30","1")</f>
        <v>-18.849840260000001</v>
      </c>
      <c r="H3040" s="11">
        <f>[1]!EM_S_FA_YOY_OR(B3040,E3040)</f>
        <v>43.160328271899999</v>
      </c>
      <c r="I3040" s="11">
        <f>[1]!EM_S_FA_GROSSPROFITMARGIN(B3040,E3040)</f>
        <v>18.0696921732</v>
      </c>
      <c r="J3040" s="11">
        <f>[1]!EM_S_FA_NETPROFITMARGIN(B3040,E3040)</f>
        <v>6.2718481945000004</v>
      </c>
      <c r="K3040" s="10">
        <f>[1]!EM_S_FA_ASSETSTURN(B3040,E3040)</f>
        <v>1.2588857573759999</v>
      </c>
      <c r="L3040" s="12">
        <f>[1]!EM_HKS_VAL_MV(B3040,"2019-12-31","2")</f>
        <v>1709418800</v>
      </c>
      <c r="M3040">
        <f>[1]!EM_S_VAL_PETTMDEDUCTED(B3040,E3040)</f>
        <v>39.293223205694702</v>
      </c>
      <c r="N3040" s="7">
        <f>[1]!EM_S_VAL_PBGOODWILLDEDUCTED(B3040,E3040)</f>
        <v>3.03372889010627</v>
      </c>
      <c r="O3040" s="7">
        <f>[1]!EM_S_VAL_PS_TTM(B3040,E3040)</f>
        <v>2.3619993958588701</v>
      </c>
      <c r="P3040" s="7">
        <f>[1]!EM_S_VAL_PCF_NCFTTM(B3040,E3040)</f>
        <v>33.440989849773999</v>
      </c>
      <c r="Q3040" s="7">
        <f>[1]!EM_S_VAL_DIVIDENDYIELD2(B3040,E3040,"2019-11-29")</f>
        <v>1.5761821366024518</v>
      </c>
      <c r="T3040"/>
      <c r="U3040">
        <f>[1]!EM_S_RATIO_EPS_TTM(B3040,E3040,"1")</f>
        <v>0.45807685075746213</v>
      </c>
      <c r="AT3040" s="4" t="str">
        <f>[1]!EM_S_IPO_LISTEDDATE(B3040)</f>
        <v>2018-01-24</v>
      </c>
    </row>
    <row r="3041" spans="1:46">
      <c r="A3041">
        <v>1558</v>
      </c>
      <c r="B3041" t="str">
        <f>"300133"</f>
        <v>300133</v>
      </c>
      <c r="C3041" t="s">
        <v>2661</v>
      </c>
      <c r="D3041" t="str">
        <f>[1]!EM_S_INFO_INDEX_EM(B3041,"1")</f>
        <v>文化传媒</v>
      </c>
      <c r="E3041" s="4">
        <f t="shared" si="47"/>
        <v>43465</v>
      </c>
      <c r="F3041" s="11">
        <f>[1]!EM_S_PQ_PCTCHANGE(B3041,"2018-01-01","2019-12-31","3")</f>
        <v>-31.384394910000001</v>
      </c>
      <c r="G3041" s="11">
        <f>[1]!EM_S_PQ_PCTCHANGE(B3041,"2018-12-31","2019-12-30","1")</f>
        <v>-18.86160714</v>
      </c>
      <c r="H3041" s="11">
        <f>[1]!EM_S_FA_YOY_OR(B3041,E3041)</f>
        <v>10.515858997900001</v>
      </c>
      <c r="I3041" s="11">
        <f>[1]!EM_S_FA_GROSSPROFITMARGIN(B3041,E3041)</f>
        <v>25.916892928100001</v>
      </c>
      <c r="J3041" s="11">
        <f>[1]!EM_S_FA_NETPROFITMARGIN(B3041,E3041)</f>
        <v>4.3135263009000004</v>
      </c>
      <c r="K3041" s="10">
        <f>[1]!EM_S_FA_ASSETSTURN(B3041,E3041)</f>
        <v>0.45626304213199997</v>
      </c>
      <c r="L3041" s="12">
        <f>[1]!EM_HKS_VAL_MV(B3041,"2019-12-31","2")</f>
        <v>12991985387.4</v>
      </c>
      <c r="M3041">
        <f>[1]!EM_S_VAL_PETTMDEDUCTED(B3041,E3041)</f>
        <v>25.7828005787674</v>
      </c>
      <c r="N3041" s="7">
        <f>[1]!EM_S_VAL_PBGOODWILLDEDUCTED(B3041,E3041)</f>
        <v>2.8352394257630902</v>
      </c>
      <c r="O3041" s="7">
        <f>[1]!EM_S_VAL_PS_TTM(B3041,E3041)</f>
        <v>2.5102616100757</v>
      </c>
      <c r="P3041" s="7">
        <f>[1]!EM_S_VAL_PCF_NCFTTM(B3041,E3041)</f>
        <v>38.161660759915002</v>
      </c>
      <c r="Q3041" s="7">
        <f>[1]!EM_S_VAL_DIVIDENDYIELD2(B3041,E3041,"2019-11-29")</f>
        <v>0.24193548387096772</v>
      </c>
      <c r="T3041"/>
      <c r="U3041">
        <f>[1]!EM_S_RATIO_EPS_TTM(B3041,E3041,"1")</f>
        <v>0.1191145997897077</v>
      </c>
      <c r="AT3041" s="4" t="str">
        <f>[1]!EM_S_IPO_LISTEDDATE(B3041)</f>
        <v>2010-10-26</v>
      </c>
    </row>
    <row r="3042" spans="1:46">
      <c r="A3042">
        <v>2117</v>
      </c>
      <c r="B3042" t="str">
        <f>"300700"</f>
        <v>300700</v>
      </c>
      <c r="C3042" t="s">
        <v>151</v>
      </c>
      <c r="D3042" t="str">
        <f>[1]!EM_S_INFO_INDEX_EM(B3042,"1")</f>
        <v>机械设备</v>
      </c>
      <c r="E3042" s="4">
        <f t="shared" si="47"/>
        <v>43465</v>
      </c>
      <c r="F3042" s="11">
        <f>[1]!EM_S_PQ_PCTCHANGE(B3042,"2018-01-01","2019-12-31","3")</f>
        <v>-68.614905980000003</v>
      </c>
      <c r="G3042" s="11">
        <f>[1]!EM_S_PQ_PCTCHANGE(B3042,"2018-12-31","2019-12-30","1")</f>
        <v>-18.895116089999998</v>
      </c>
      <c r="H3042" s="11">
        <f>[1]!EM_S_FA_YOY_OR(B3042,E3042)</f>
        <v>-24.219234890999999</v>
      </c>
      <c r="I3042" s="11">
        <f>[1]!EM_S_FA_GROSSPROFITMARGIN(B3042,E3042)</f>
        <v>37.3054978873</v>
      </c>
      <c r="J3042" s="11">
        <f>[1]!EM_S_FA_NETPROFITMARGIN(B3042,E3042)</f>
        <v>10.3061751091</v>
      </c>
      <c r="K3042" s="10">
        <f>[1]!EM_S_FA_ASSETSTURN(B3042,E3042)</f>
        <v>0.329805045134</v>
      </c>
      <c r="L3042" s="12">
        <f>[1]!EM_HKS_VAL_MV(B3042,"2019-12-31","2")</f>
        <v>1664568799.2</v>
      </c>
      <c r="M3042">
        <f>[1]!EM_S_VAL_PETTMDEDUCTED(B3042,E3042)</f>
        <v>22.8521080971632</v>
      </c>
      <c r="N3042" s="7">
        <f>[1]!EM_S_VAL_PBGOODWILLDEDUCTED(B3042,E3042)</f>
        <v>3.7936043371115602</v>
      </c>
      <c r="O3042" s="7">
        <f>[1]!EM_S_VAL_PS_TTM(B3042,E3042)</f>
        <v>4.8835092955118</v>
      </c>
      <c r="P3042" s="7">
        <f>[1]!EM_S_VAL_PCF_NCFTTM(B3042,E3042)</f>
        <v>-31.959752504109598</v>
      </c>
      <c r="Q3042" s="7">
        <f>[1]!EM_S_VAL_DIVIDENDYIELD2(B3042,E3042,"2019-11-29")</f>
        <v>0.49126482543839256</v>
      </c>
      <c r="T3042"/>
      <c r="U3042">
        <f>[1]!EM_S_RATIO_EPS_TTM(B3042,E3042,"1")</f>
        <v>0.41273581080097088</v>
      </c>
      <c r="AT3042" s="4" t="str">
        <f>[1]!EM_S_IPO_LISTEDDATE(B3042)</f>
        <v>2017-09-12</v>
      </c>
    </row>
    <row r="3043" spans="1:46">
      <c r="A3043">
        <v>2382</v>
      </c>
      <c r="B3043" t="str">
        <f>"600250"</f>
        <v>600250</v>
      </c>
      <c r="C3043" t="s">
        <v>3648</v>
      </c>
      <c r="D3043" t="str">
        <f>[1]!EM_S_INFO_INDEX_EM(B3043,"1")</f>
        <v>商贸零售</v>
      </c>
      <c r="E3043" s="4">
        <f t="shared" si="47"/>
        <v>43465</v>
      </c>
      <c r="F3043" s="11">
        <f>[1]!EM_S_PQ_PCTCHANGE(B3043,"2018-01-01","2019-12-31","3")</f>
        <v>-47.734627830000001</v>
      </c>
      <c r="G3043" s="11">
        <f>[1]!EM_S_PQ_PCTCHANGE(B3043,"2018-12-31","2019-12-30","1")</f>
        <v>-18.91551072</v>
      </c>
      <c r="H3043" s="11">
        <f>[1]!EM_S_FA_YOY_OR(B3043,E3043)</f>
        <v>26.634675727600001</v>
      </c>
      <c r="I3043" s="11">
        <f>[1]!EM_S_FA_GROSSPROFITMARGIN(B3043,E3043)</f>
        <v>3.9449611989000002</v>
      </c>
      <c r="J3043" s="11">
        <f>[1]!EM_S_FA_NETPROFITMARGIN(B3043,E3043)</f>
        <v>18.253408831800002</v>
      </c>
      <c r="K3043" s="10">
        <f>[1]!EM_S_FA_ASSETSTURN(B3043,E3043)</f>
        <v>0.56550665011599999</v>
      </c>
      <c r="L3043" s="12">
        <f>[1]!EM_HKS_VAL_MV(B3043,"2019-12-31","2")</f>
        <v>2006436458.3399999</v>
      </c>
      <c r="M3043">
        <f>[1]!EM_S_VAL_PETTMDEDUCTED(B3043,E3043)</f>
        <v>12.038213838736301</v>
      </c>
      <c r="N3043" s="7">
        <f>[1]!EM_S_VAL_PBGOODWILLDEDUCTED(B3043,E3043)</f>
        <v>3.1684386765080701</v>
      </c>
      <c r="O3043" s="7">
        <f>[1]!EM_S_VAL_PS_TTM(B3043,E3043)</f>
        <v>1.8215695620519901</v>
      </c>
      <c r="P3043" s="7">
        <f>[1]!EM_S_VAL_PCF_NCFTTM(B3043,E3043)</f>
        <v>-13.7995489197887</v>
      </c>
      <c r="Q3043" s="7">
        <f>[1]!EM_S_VAL_DIVIDENDYIELD2(B3043,E3043,"2019-11-29")</f>
        <v>0</v>
      </c>
      <c r="T3043"/>
      <c r="U3043">
        <f>[1]!EM_S_RATIO_EPS_TTM(B3043,E3043,"1")</f>
        <v>0.71685864674988986</v>
      </c>
      <c r="AT3043" s="4" t="str">
        <f>[1]!EM_S_IPO_LISTEDDATE(B3043)</f>
        <v>2001-03-06</v>
      </c>
    </row>
    <row r="3044" spans="1:46">
      <c r="A3044">
        <v>1952</v>
      </c>
      <c r="B3044" t="str">
        <f>"300528"</f>
        <v>300528</v>
      </c>
      <c r="C3044" t="s">
        <v>1165</v>
      </c>
      <c r="D3044" t="str">
        <f>[1]!EM_S_INFO_INDEX_EM(B3044,"1")</f>
        <v>文化传媒</v>
      </c>
      <c r="E3044" s="4">
        <f t="shared" si="47"/>
        <v>43465</v>
      </c>
      <c r="F3044" s="11">
        <f>[1]!EM_S_PQ_PCTCHANGE(B3044,"2018-01-01","2019-12-31","3")</f>
        <v>-48.598475370000003</v>
      </c>
      <c r="G3044" s="11">
        <f>[1]!EM_S_PQ_PCTCHANGE(B3044,"2018-12-31","2019-12-30","1")</f>
        <v>-19.047619050000002</v>
      </c>
      <c r="H3044" s="11">
        <f>[1]!EM_S_FA_YOY_OR(B3044,E3044)</f>
        <v>9.0687475845000005</v>
      </c>
      <c r="I3044" s="11">
        <f>[1]!EM_S_FA_GROSSPROFITMARGIN(B3044,E3044)</f>
        <v>39.830245773100003</v>
      </c>
      <c r="J3044" s="11">
        <f>[1]!EM_S_FA_NETPROFITMARGIN(B3044,E3044)</f>
        <v>-37.597465543699997</v>
      </c>
      <c r="K3044" s="10">
        <f>[1]!EM_S_FA_ASSETSTURN(B3044,E3044)</f>
        <v>0.57812747851400004</v>
      </c>
      <c r="L3044" s="12">
        <f>[1]!EM_HKS_VAL_MV(B3044,"2019-12-31","2")</f>
        <v>2526282606.1199999</v>
      </c>
      <c r="M3044">
        <f>[1]!EM_S_VAL_PETTMDEDUCTED(B3044,E3044)</f>
        <v>34.333575380553697</v>
      </c>
      <c r="N3044" s="7">
        <f>[1]!EM_S_VAL_PBGOODWILLDEDUCTED(B3044,E3044)</f>
        <v>2.34806687066928</v>
      </c>
      <c r="O3044" s="7">
        <f>[1]!EM_S_VAL_PS_TTM(B3044,E3044)</f>
        <v>1.7439564195528501</v>
      </c>
      <c r="P3044" s="7">
        <f>[1]!EM_S_VAL_PCF_NCFTTM(B3044,E3044)</f>
        <v>-8.0527403119869607</v>
      </c>
      <c r="Q3044" s="7">
        <f>[1]!EM_S_VAL_DIVIDENDYIELD2(B3044,E3044,"2019-11-29")</f>
        <v>0</v>
      </c>
      <c r="T3044"/>
      <c r="U3044">
        <f>[1]!EM_S_RATIO_EPS_TTM(B3044,E3044,"1")</f>
        <v>-1.426983074821029</v>
      </c>
      <c r="AT3044" s="4" t="str">
        <f>[1]!EM_S_IPO_LISTEDDATE(B3044)</f>
        <v>2016-08-08</v>
      </c>
    </row>
    <row r="3045" spans="1:46">
      <c r="A3045">
        <v>2630</v>
      </c>
      <c r="B3045" t="str">
        <f>"600555"</f>
        <v>600555</v>
      </c>
      <c r="C3045" t="s">
        <v>2746</v>
      </c>
      <c r="D3045" t="str">
        <f>[1]!EM_S_INFO_INDEX_EM(B3045,"1")</f>
        <v>休闲、生活及专业服务</v>
      </c>
      <c r="E3045" s="4">
        <f t="shared" si="47"/>
        <v>43465</v>
      </c>
      <c r="F3045" s="11">
        <f>[1]!EM_S_PQ_PCTCHANGE(B3045,"2018-01-01","2019-12-31","3")</f>
        <v>-50.641025640000002</v>
      </c>
      <c r="G3045" s="11">
        <f>[1]!EM_S_PQ_PCTCHANGE(B3045,"2018-12-31","2019-12-30","1")</f>
        <v>-19.097222219999999</v>
      </c>
      <c r="H3045" s="11">
        <f>[1]!EM_S_FA_YOY_OR(B3045,E3045)</f>
        <v>-57.504908015600002</v>
      </c>
      <c r="I3045" s="11">
        <f>[1]!EM_S_FA_GROSSPROFITMARGIN(B3045,E3045)</f>
        <v>7.1302974442</v>
      </c>
      <c r="J3045" s="11">
        <f>[1]!EM_S_FA_NETPROFITMARGIN(B3045,E3045)</f>
        <v>-1464.6511918046001</v>
      </c>
      <c r="K3045" s="10">
        <f>[1]!EM_S_FA_ASSETSTURN(B3045,E3045)</f>
        <v>4.5940143459999999E-3</v>
      </c>
      <c r="L3045" s="12">
        <f>[1]!EM_HKS_VAL_MV(B3045,"2019-12-31","2")</f>
        <v>3011085000</v>
      </c>
      <c r="M3045">
        <f>[1]!EM_S_VAL_PETTMDEDUCTED(B3045,E3045)</f>
        <v>-33.626220742354299</v>
      </c>
      <c r="N3045" s="7">
        <f>[1]!EM_S_VAL_PBGOODWILLDEDUCTED(B3045,E3045)</f>
        <v>2.7146863073088299</v>
      </c>
      <c r="O3045" s="7">
        <f>[1]!EM_S_VAL_PS_TTM(B3045,E3045)</f>
        <v>446.36160078019998</v>
      </c>
      <c r="P3045" s="7">
        <f>[1]!EM_S_VAL_PCF_NCFTTM(B3045,E3045)</f>
        <v>49.2272527000911</v>
      </c>
      <c r="Q3045" s="7">
        <f>[1]!EM_S_VAL_DIVIDENDYIELD2(B3045,E3045,"2019-11-29")</f>
        <v>0</v>
      </c>
      <c r="T3045"/>
      <c r="U3045">
        <f>[1]!EM_S_RATIO_EPS_TTM(B3045,E3045,"1")</f>
        <v>-0.14712830801687762</v>
      </c>
      <c r="AT3045" s="4" t="str">
        <f>[1]!EM_S_IPO_LISTEDDATE(B3045)</f>
        <v>2001-03-28</v>
      </c>
    </row>
    <row r="3046" spans="1:46">
      <c r="A3046">
        <v>2017</v>
      </c>
      <c r="B3046" t="str">
        <f>"300597"</f>
        <v>300597</v>
      </c>
      <c r="C3046" t="s">
        <v>2771</v>
      </c>
      <c r="D3046" t="str">
        <f>[1]!EM_S_INFO_INDEX_EM(B3046,"1")</f>
        <v>信息技术</v>
      </c>
      <c r="E3046" s="4">
        <f t="shared" si="47"/>
        <v>43465</v>
      </c>
      <c r="F3046" s="11">
        <f>[1]!EM_S_PQ_PCTCHANGE(B3046,"2018-01-01","2019-12-31","3")</f>
        <v>-43.433369630000001</v>
      </c>
      <c r="G3046" s="11">
        <f>[1]!EM_S_PQ_PCTCHANGE(B3046,"2018-12-31","2019-12-30","1")</f>
        <v>-19.220246240000002</v>
      </c>
      <c r="H3046" s="11">
        <f>[1]!EM_S_FA_YOY_OR(B3046,E3046)</f>
        <v>-2.0523348417</v>
      </c>
      <c r="I3046" s="11">
        <f>[1]!EM_S_FA_GROSSPROFITMARGIN(B3046,E3046)</f>
        <v>25.951927782799999</v>
      </c>
      <c r="J3046" s="11">
        <f>[1]!EM_S_FA_NETPROFITMARGIN(B3046,E3046)</f>
        <v>10.209977328900001</v>
      </c>
      <c r="K3046" s="10">
        <f>[1]!EM_S_FA_ASSETSTURN(B3046,E3046)</f>
        <v>0.428226278026</v>
      </c>
      <c r="L3046" s="12">
        <f>[1]!EM_HKS_VAL_MV(B3046,"2019-12-31","2")</f>
        <v>2824800000</v>
      </c>
      <c r="M3046">
        <f>[1]!EM_S_VAL_PETTMDEDUCTED(B3046,E3046)</f>
        <v>112.729714503452</v>
      </c>
      <c r="N3046" s="7">
        <f>[1]!EM_S_VAL_PBGOODWILLDEDUCTED(B3046,E3046)</f>
        <v>4.5849193949996696</v>
      </c>
      <c r="O3046" s="7">
        <f>[1]!EM_S_VAL_PS_TTM(B3046,E3046)</f>
        <v>8.1165594035652493</v>
      </c>
      <c r="P3046" s="7">
        <f>[1]!EM_S_VAL_PCF_NCFTTM(B3046,E3046)</f>
        <v>39.555520928842498</v>
      </c>
      <c r="Q3046" s="7">
        <f>[1]!EM_S_VAL_DIVIDENDYIELD2(B3046,E3046,"2019-11-29")</f>
        <v>0.16754850088183421</v>
      </c>
      <c r="T3046"/>
      <c r="U3046">
        <f>[1]!EM_S_RATIO_EPS_TTM(B3046,E3046,"1")</f>
        <v>0.18284202379166667</v>
      </c>
      <c r="AT3046" s="4" t="str">
        <f>[1]!EM_S_IPO_LISTEDDATE(B3046)</f>
        <v>2017-01-23</v>
      </c>
    </row>
    <row r="3047" spans="1:46">
      <c r="A3047">
        <v>3399</v>
      </c>
      <c r="B3047" t="str">
        <f>"603421"</f>
        <v>603421</v>
      </c>
      <c r="C3047" t="s">
        <v>1851</v>
      </c>
      <c r="D3047" t="str">
        <f>[1]!EM_S_INFO_INDEX_EM(B3047,"1")</f>
        <v>信息技术</v>
      </c>
      <c r="E3047" s="4">
        <f t="shared" si="47"/>
        <v>43465</v>
      </c>
      <c r="F3047" s="11">
        <f>[1]!EM_S_PQ_PCTCHANGE(B3047,"2018-01-01","2019-12-31","3")</f>
        <v>-30.866480710000001</v>
      </c>
      <c r="G3047" s="11">
        <f>[1]!EM_S_PQ_PCTCHANGE(B3047,"2018-12-31","2019-12-30","1")</f>
        <v>-19.268635719999999</v>
      </c>
      <c r="H3047" s="11">
        <f>[1]!EM_S_FA_YOY_OR(B3047,E3047)</f>
        <v>15.153408032</v>
      </c>
      <c r="I3047" s="11">
        <f>[1]!EM_S_FA_GROSSPROFITMARGIN(B3047,E3047)</f>
        <v>50.884614480899998</v>
      </c>
      <c r="J3047" s="11">
        <f>[1]!EM_S_FA_NETPROFITMARGIN(B3047,E3047)</f>
        <v>11.691917762699999</v>
      </c>
      <c r="K3047" s="10">
        <f>[1]!EM_S_FA_ASSETSTURN(B3047,E3047)</f>
        <v>0.56113170220499997</v>
      </c>
      <c r="L3047" s="12">
        <f>[1]!EM_HKS_VAL_MV(B3047,"2019-12-31","2")</f>
        <v>8127338381.8000002</v>
      </c>
      <c r="M3047">
        <f>[1]!EM_S_VAL_PETTMDEDUCTED(B3047,E3047)</f>
        <v>35.4713883713152</v>
      </c>
      <c r="N3047" s="7">
        <f>[1]!EM_S_VAL_PBGOODWILLDEDUCTED(B3047,E3047)</f>
        <v>3.80329803824457</v>
      </c>
      <c r="O3047" s="7">
        <f>[1]!EM_S_VAL_PS_TTM(B3047,E3047)</f>
        <v>5.5222890702910803</v>
      </c>
      <c r="P3047" s="7">
        <f>[1]!EM_S_VAL_PCF_NCFTTM(B3047,E3047)</f>
        <v>-38.1948404204296</v>
      </c>
      <c r="Q3047" s="7">
        <f>[1]!EM_S_VAL_DIVIDENDYIELD2(B3047,E3047,"2019-11-29")</f>
        <v>0.80368098159509205</v>
      </c>
      <c r="T3047"/>
      <c r="U3047">
        <f>[1]!EM_S_RATIO_EPS_TTM(B3047,E3047,"1")</f>
        <v>0.45027426382047808</v>
      </c>
      <c r="AT3047" s="4" t="str">
        <f>[1]!EM_S_IPO_LISTEDDATE(B3047)</f>
        <v>2016-10-11</v>
      </c>
    </row>
    <row r="3048" spans="1:46">
      <c r="A3048">
        <v>3160</v>
      </c>
      <c r="B3048" t="str">
        <f>"601857"</f>
        <v>601857</v>
      </c>
      <c r="C3048" t="s">
        <v>2420</v>
      </c>
      <c r="D3048" t="str">
        <f>[1]!EM_S_INFO_INDEX_EM(B3048,"1")</f>
        <v>化石能源</v>
      </c>
      <c r="E3048" s="4">
        <f t="shared" si="47"/>
        <v>43465</v>
      </c>
      <c r="F3048" s="11">
        <f>[1]!EM_S_PQ_PCTCHANGE(B3048,"2018-01-01","2019-12-31","3")</f>
        <v>-24.706745550000001</v>
      </c>
      <c r="G3048" s="11">
        <f>[1]!EM_S_PQ_PCTCHANGE(B3048,"2018-12-31","2019-12-30","1")</f>
        <v>-19.27877947</v>
      </c>
      <c r="H3048" s="11">
        <f>[1]!EM_S_FA_YOY_OR(B3048,E3048)</f>
        <v>16.751806894200001</v>
      </c>
      <c r="I3048" s="11">
        <f>[1]!EM_S_FA_GROSSPROFITMARGIN(B3048,E3048)</f>
        <v>22.485073853199999</v>
      </c>
      <c r="J3048" s="11">
        <f>[1]!EM_S_FA_NETPROFITMARGIN(B3048,E3048)</f>
        <v>3.0765792483999999</v>
      </c>
      <c r="K3048" s="10">
        <f>[1]!EM_S_FA_ASSETSTURN(B3048,E3048)</f>
        <v>0.97306607506200005</v>
      </c>
      <c r="L3048" s="12">
        <f>[1]!EM_HKS_VAL_MV(B3048,"2019-12-31","2")</f>
        <v>1067012300678.9399</v>
      </c>
      <c r="M3048">
        <f>[1]!EM_S_VAL_PETTMDEDUCTED(B3048,E3048)</f>
        <v>20.945401661367001</v>
      </c>
      <c r="N3048" s="7">
        <f>[1]!EM_S_VAL_PBGOODWILLDEDUCTED(B3048,E3048)</f>
        <v>1.12563731722233</v>
      </c>
      <c r="O3048" s="7">
        <f>[1]!EM_S_VAL_PS_TTM(B3048,E3048)</f>
        <v>0.58179542169867604</v>
      </c>
      <c r="P3048" s="7">
        <f>[1]!EM_S_VAL_PCF_NCFTTM(B3048,E3048)</f>
        <v>-123.42916940115801</v>
      </c>
      <c r="Q3048" s="7">
        <f>[1]!EM_S_VAL_DIVIDENDYIELD2(B3048,E3048,"2019-11-29")</f>
        <v>1.6100178890876564</v>
      </c>
      <c r="T3048"/>
      <c r="U3048">
        <f>[1]!EM_S_RATIO_EPS_TTM(B3048,E3048,"1")</f>
        <v>0.28731679082324463</v>
      </c>
      <c r="AT3048" s="4" t="str">
        <f>[1]!EM_S_IPO_LISTEDDATE(B3048)</f>
        <v>2007-11-05</v>
      </c>
    </row>
    <row r="3049" spans="1:46">
      <c r="A3049">
        <v>3209</v>
      </c>
      <c r="B3049" t="str">
        <f>"603010"</f>
        <v>603010</v>
      </c>
      <c r="C3049" t="s">
        <v>2704</v>
      </c>
      <c r="D3049" t="str">
        <f>[1]!EM_S_INFO_INDEX_EM(B3049,"1")</f>
        <v>基础化工</v>
      </c>
      <c r="E3049" s="4">
        <f t="shared" si="47"/>
        <v>43465</v>
      </c>
      <c r="F3049" s="11">
        <f>[1]!EM_S_PQ_PCTCHANGE(B3049,"2018-01-01","2019-12-31","3")</f>
        <v>-42.099930970000003</v>
      </c>
      <c r="G3049" s="11">
        <f>[1]!EM_S_PQ_PCTCHANGE(B3049,"2018-12-31","2019-12-30","1")</f>
        <v>-19.288256230000002</v>
      </c>
      <c r="H3049" s="11">
        <f>[1]!EM_S_FA_YOY_OR(B3049,E3049)</f>
        <v>17.629892098199999</v>
      </c>
      <c r="I3049" s="11">
        <f>[1]!EM_S_FA_GROSSPROFITMARGIN(B3049,E3049)</f>
        <v>22.6417089125</v>
      </c>
      <c r="J3049" s="11">
        <f>[1]!EM_S_FA_NETPROFITMARGIN(B3049,E3049)</f>
        <v>5.9734746117000004</v>
      </c>
      <c r="K3049" s="10">
        <f>[1]!EM_S_FA_ASSETSTURN(B3049,E3049)</f>
        <v>0.891851941797</v>
      </c>
      <c r="L3049" s="12">
        <f>[1]!EM_HKS_VAL_MV(B3049,"2019-12-31","2")</f>
        <v>3922209874.4400001</v>
      </c>
      <c r="M3049">
        <f>[1]!EM_S_VAL_PETTMDEDUCTED(B3049,E3049)</f>
        <v>39.836899087756002</v>
      </c>
      <c r="N3049" s="7">
        <f>[1]!EM_S_VAL_PBGOODWILLDEDUCTED(B3049,E3049)</f>
        <v>3.574795492307</v>
      </c>
      <c r="O3049" s="7">
        <f>[1]!EM_S_VAL_PS_TTM(B3049,E3049)</f>
        <v>2.34089648918496</v>
      </c>
      <c r="P3049" s="7">
        <f>[1]!EM_S_VAL_PCF_NCFTTM(B3049,E3049)</f>
        <v>-152.06577040604</v>
      </c>
      <c r="Q3049" s="7">
        <f>[1]!EM_S_VAL_DIVIDENDYIELD2(B3049,E3049,"2019-11-29")</f>
        <v>0.93002058031366031</v>
      </c>
      <c r="T3049"/>
      <c r="U3049">
        <f>[1]!EM_S_RATIO_EPS_TTM(B3049,E3049,"1")</f>
        <v>0.42481237755094331</v>
      </c>
      <c r="AT3049" s="4" t="str">
        <f>[1]!EM_S_IPO_LISTEDDATE(B3049)</f>
        <v>2014-10-10</v>
      </c>
    </row>
    <row r="3050" spans="1:46">
      <c r="A3050">
        <v>2120</v>
      </c>
      <c r="B3050" t="str">
        <f>"300703"</f>
        <v>300703</v>
      </c>
      <c r="C3050" t="s">
        <v>2851</v>
      </c>
      <c r="D3050" t="str">
        <f>[1]!EM_S_INFO_INDEX_EM(B3050,"1")</f>
        <v>轻工制造</v>
      </c>
      <c r="E3050" s="4">
        <f t="shared" si="47"/>
        <v>43465</v>
      </c>
      <c r="F3050" s="11">
        <f>[1]!EM_S_PQ_PCTCHANGE(B3050,"2018-01-01","2019-12-31","3")</f>
        <v>-15.00624696</v>
      </c>
      <c r="G3050" s="11">
        <f>[1]!EM_S_PQ_PCTCHANGE(B3050,"2018-12-31","2019-12-30","1")</f>
        <v>-19.304229200000002</v>
      </c>
      <c r="H3050" s="11">
        <f>[1]!EM_S_FA_YOY_OR(B3050,E3050)</f>
        <v>18.1252101117</v>
      </c>
      <c r="I3050" s="11">
        <f>[1]!EM_S_FA_GROSSPROFITMARGIN(B3050,E3050)</f>
        <v>31.267491213700001</v>
      </c>
      <c r="J3050" s="11">
        <f>[1]!EM_S_FA_NETPROFITMARGIN(B3050,E3050)</f>
        <v>10.2283977641</v>
      </c>
      <c r="K3050" s="10">
        <f>[1]!EM_S_FA_ASSETSTURN(B3050,E3050)</f>
        <v>0.91208301445499995</v>
      </c>
      <c r="L3050" s="12">
        <f>[1]!EM_HKS_VAL_MV(B3050,"2019-12-31","2")</f>
        <v>2194255808</v>
      </c>
      <c r="M3050">
        <f>[1]!EM_S_VAL_PETTMDEDUCTED(B3050,E3050)</f>
        <v>27.6918188150274</v>
      </c>
      <c r="N3050" s="7">
        <f>[1]!EM_S_VAL_PBGOODWILLDEDUCTED(B3050,E3050)</f>
        <v>2.7550043882333801</v>
      </c>
      <c r="O3050" s="7">
        <f>[1]!EM_S_VAL_PS_TTM(B3050,E3050)</f>
        <v>2.2489270741513199</v>
      </c>
      <c r="P3050" s="7">
        <f>[1]!EM_S_VAL_PCF_NCFTTM(B3050,E3050)</f>
        <v>-7.1674389814130404</v>
      </c>
      <c r="Q3050" s="7">
        <f>[1]!EM_S_VAL_DIVIDENDYIELD2(B3050,E3050,"2019-11-29")</f>
        <v>1.6712357012787256</v>
      </c>
      <c r="T3050"/>
      <c r="U3050">
        <f>[1]!EM_S_RATIO_EPS_TTM(B3050,E3050,"1")</f>
        <v>0.69379931508333337</v>
      </c>
      <c r="AT3050" s="4" t="str">
        <f>[1]!EM_S_IPO_LISTEDDATE(B3050)</f>
        <v>2017-09-19</v>
      </c>
    </row>
    <row r="3051" spans="1:46">
      <c r="A3051">
        <v>3392</v>
      </c>
      <c r="B3051" t="str">
        <f>"603388"</f>
        <v>603388</v>
      </c>
      <c r="C3051" t="s">
        <v>2536</v>
      </c>
      <c r="D3051" t="str">
        <f>[1]!EM_S_INFO_INDEX_EM(B3051,"1")</f>
        <v>建筑</v>
      </c>
      <c r="E3051" s="4">
        <f t="shared" si="47"/>
        <v>43465</v>
      </c>
      <c r="F3051" s="11">
        <f>[1]!EM_S_PQ_PCTCHANGE(B3051,"2018-01-01","2019-12-31","3")</f>
        <v>-35.041811119999998</v>
      </c>
      <c r="G3051" s="11">
        <f>[1]!EM_S_PQ_PCTCHANGE(B3051,"2018-12-31","2019-12-30","1")</f>
        <v>-19.322709159999999</v>
      </c>
      <c r="H3051" s="11">
        <f>[1]!EM_S_FA_YOY_OR(B3051,E3051)</f>
        <v>47.801796420300001</v>
      </c>
      <c r="I3051" s="11">
        <f>[1]!EM_S_FA_GROSSPROFITMARGIN(B3051,E3051)</f>
        <v>25.011738422200001</v>
      </c>
      <c r="J3051" s="11">
        <f>[1]!EM_S_FA_NETPROFITMARGIN(B3051,E3051)</f>
        <v>10.880162780099999</v>
      </c>
      <c r="K3051" s="10">
        <f>[1]!EM_S_FA_ASSETSTURN(B3051,E3051)</f>
        <v>0.58618676190600005</v>
      </c>
      <c r="L3051" s="12">
        <f>[1]!EM_HKS_VAL_MV(B3051,"2019-12-31","2")</f>
        <v>2340769025</v>
      </c>
      <c r="M3051">
        <f>[1]!EM_S_VAL_PETTMDEDUCTED(B3051,E3051)</f>
        <v>17.212473150571899</v>
      </c>
      <c r="N3051" s="7">
        <f>[1]!EM_S_VAL_PBGOODWILLDEDUCTED(B3051,E3051)</f>
        <v>2.56822627224052</v>
      </c>
      <c r="O3051" s="7">
        <f>[1]!EM_S_VAL_PS_TTM(B3051,E3051)</f>
        <v>1.86739511733174</v>
      </c>
      <c r="P3051" s="7">
        <f>[1]!EM_S_VAL_PCF_NCFTTM(B3051,E3051)</f>
        <v>340.54899086642303</v>
      </c>
      <c r="Q3051" s="7">
        <f>[1]!EM_S_VAL_DIVIDENDYIELD2(B3051,E3051,"2019-11-29")</f>
        <v>1.0010910860085029</v>
      </c>
      <c r="T3051"/>
      <c r="U3051">
        <f>[1]!EM_S_RATIO_EPS_TTM(B3051,E3051,"1")</f>
        <v>0.65567222017726556</v>
      </c>
      <c r="AT3051" s="4" t="str">
        <f>[1]!EM_S_IPO_LISTEDDATE(B3051)</f>
        <v>2017-03-24</v>
      </c>
    </row>
    <row r="3052" spans="1:46">
      <c r="A3052">
        <v>2422</v>
      </c>
      <c r="B3052" t="str">
        <f>"600293"</f>
        <v>600293</v>
      </c>
      <c r="C3052" t="s">
        <v>901</v>
      </c>
      <c r="D3052" t="str">
        <f>[1]!EM_S_INFO_INDEX_EM(B3052,"1")</f>
        <v>信息技术</v>
      </c>
      <c r="E3052" s="4">
        <f t="shared" si="47"/>
        <v>43465</v>
      </c>
      <c r="F3052" s="11">
        <f>[1]!EM_S_PQ_PCTCHANGE(B3052,"2018-01-01","2019-12-31","3")</f>
        <v>-59.604529749999998</v>
      </c>
      <c r="G3052" s="11">
        <f>[1]!EM_S_PQ_PCTCHANGE(B3052,"2018-12-31","2019-12-30","1")</f>
        <v>-19.437340150000001</v>
      </c>
      <c r="H3052" s="11">
        <f>[1]!EM_S_FA_YOY_OR(B3052,E3052)</f>
        <v>-21.810762393400001</v>
      </c>
      <c r="I3052" s="11">
        <f>[1]!EM_S_FA_GROSSPROFITMARGIN(B3052,E3052)</f>
        <v>9.0864922847000003</v>
      </c>
      <c r="J3052" s="11">
        <f>[1]!EM_S_FA_NETPROFITMARGIN(B3052,E3052)</f>
        <v>2.5407212271000001</v>
      </c>
      <c r="K3052" s="10">
        <f>[1]!EM_S_FA_ASSETSTURN(B3052,E3052)</f>
        <v>1.3304895766610001</v>
      </c>
      <c r="L3052" s="12">
        <f>[1]!EM_HKS_VAL_MV(B3052,"2019-12-31","2")</f>
        <v>3649094624.4400001</v>
      </c>
      <c r="M3052">
        <f>[1]!EM_S_VAL_PETTMDEDUCTED(B3052,E3052)</f>
        <v>11.1112927751818</v>
      </c>
      <c r="N3052" s="7">
        <f>[1]!EM_S_VAL_PBGOODWILLDEDUCTED(B3052,E3052)</f>
        <v>1.70695329311977</v>
      </c>
      <c r="O3052" s="7">
        <f>[1]!EM_S_VAL_PS_TTM(B3052,E3052)</f>
        <v>0.37346456380075099</v>
      </c>
      <c r="P3052" s="7">
        <f>[1]!EM_S_VAL_PCF_NCFTTM(B3052,E3052)</f>
        <v>-16.336571659827001</v>
      </c>
      <c r="Q3052" s="7">
        <f>[1]!EM_S_VAL_DIVIDENDYIELD2(B3052,E3052,"2019-11-29")</f>
        <v>0</v>
      </c>
      <c r="T3052"/>
      <c r="U3052">
        <f>[1]!EM_S_RATIO_EPS_TTM(B3052,E3052,"1")</f>
        <v>0.20685947519254622</v>
      </c>
      <c r="AT3052" s="4" t="str">
        <f>[1]!EM_S_IPO_LISTEDDATE(B3052)</f>
        <v>2000-09-19</v>
      </c>
    </row>
    <row r="3053" spans="1:46">
      <c r="A3053">
        <v>1605</v>
      </c>
      <c r="B3053" t="str">
        <f>"300180"</f>
        <v>300180</v>
      </c>
      <c r="C3053" t="s">
        <v>1333</v>
      </c>
      <c r="D3053" t="str">
        <f>[1]!EM_S_INFO_INDEX_EM(B3053,"1")</f>
        <v>基础化工</v>
      </c>
      <c r="E3053" s="4">
        <f t="shared" si="47"/>
        <v>43465</v>
      </c>
      <c r="F3053" s="11">
        <f>[1]!EM_S_PQ_PCTCHANGE(B3053,"2018-01-01","2019-12-31","3")</f>
        <v>-2.4444085200000001</v>
      </c>
      <c r="G3053" s="11">
        <f>[1]!EM_S_PQ_PCTCHANGE(B3053,"2018-12-31","2019-12-30","1")</f>
        <v>-19.461883409999999</v>
      </c>
      <c r="H3053" s="11">
        <f>[1]!EM_S_FA_YOY_OR(B3053,E3053)</f>
        <v>22.331357975500001</v>
      </c>
      <c r="I3053" s="11">
        <f>[1]!EM_S_FA_GROSSPROFITMARGIN(B3053,E3053)</f>
        <v>26.585900024000001</v>
      </c>
      <c r="J3053" s="11">
        <f>[1]!EM_S_FA_NETPROFITMARGIN(B3053,E3053)</f>
        <v>9.8369393523999999</v>
      </c>
      <c r="K3053" s="10">
        <f>[1]!EM_S_FA_ASSETSTURN(B3053,E3053)</f>
        <v>0.43290809578200001</v>
      </c>
      <c r="L3053" s="12">
        <f>[1]!EM_HKS_VAL_MV(B3053,"2019-12-31","2")</f>
        <v>15061181514.6</v>
      </c>
      <c r="M3053">
        <f>[1]!EM_S_VAL_PETTMDEDUCTED(B3053,E3053)</f>
        <v>41.709491771695703</v>
      </c>
      <c r="N3053" s="7">
        <f>[1]!EM_S_VAL_PBGOODWILLDEDUCTED(B3053,E3053)</f>
        <v>3.6387207072074599</v>
      </c>
      <c r="O3053" s="7">
        <f>[1]!EM_S_VAL_PS_TTM(B3053,E3053)</f>
        <v>4.1566851283533399</v>
      </c>
      <c r="P3053" s="7">
        <f>[1]!EM_S_VAL_PCF_NCFTTM(B3053,E3053)</f>
        <v>-261.73778881949499</v>
      </c>
      <c r="Q3053" s="7">
        <f>[1]!EM_S_VAL_DIVIDENDYIELD2(B3053,E3053,"2019-11-29")</f>
        <v>0.26974951830443156</v>
      </c>
      <c r="T3053"/>
      <c r="U3053">
        <f>[1]!EM_S_RATIO_EPS_TTM(B3053,E3053,"1")</f>
        <v>0.26009157952077416</v>
      </c>
      <c r="AT3053" s="4" t="str">
        <f>[1]!EM_S_IPO_LISTEDDATE(B3053)</f>
        <v>2011-02-22</v>
      </c>
    </row>
    <row r="3054" spans="1:46">
      <c r="A3054">
        <v>3264</v>
      </c>
      <c r="B3054" t="str">
        <f>"603098"</f>
        <v>603098</v>
      </c>
      <c r="C3054" t="s">
        <v>1468</v>
      </c>
      <c r="D3054" t="str">
        <f>[1]!EM_S_INFO_INDEX_EM(B3054,"1")</f>
        <v>建筑</v>
      </c>
      <c r="E3054" s="4">
        <f t="shared" si="47"/>
        <v>43465</v>
      </c>
      <c r="F3054" s="11">
        <f>[1]!EM_S_PQ_PCTCHANGE(B3054,"2018-01-01","2019-12-31","3")</f>
        <v>-23.591360179999999</v>
      </c>
      <c r="G3054" s="11">
        <f>[1]!EM_S_PQ_PCTCHANGE(B3054,"2018-12-31","2019-12-30","1")</f>
        <v>-19.53182151</v>
      </c>
      <c r="H3054" s="11">
        <f>[1]!EM_S_FA_YOY_OR(B3054,E3054)</f>
        <v>37.2062812928</v>
      </c>
      <c r="I3054" s="11">
        <f>[1]!EM_S_FA_GROSSPROFITMARGIN(B3054,E3054)</f>
        <v>19.801770321199999</v>
      </c>
      <c r="J3054" s="11">
        <f>[1]!EM_S_FA_NETPROFITMARGIN(B3054,E3054)</f>
        <v>7.500492328</v>
      </c>
      <c r="K3054" s="10">
        <f>[1]!EM_S_FA_ASSETSTURN(B3054,E3054)</f>
        <v>0.91767781722999997</v>
      </c>
      <c r="L3054" s="12">
        <f>[1]!EM_HKS_VAL_MV(B3054,"2019-12-31","2")</f>
        <v>5318532960</v>
      </c>
      <c r="M3054">
        <f>[1]!EM_S_VAL_PETTMDEDUCTED(B3054,E3054)</f>
        <v>31.180424475848302</v>
      </c>
      <c r="N3054" s="7">
        <f>[1]!EM_S_VAL_PBGOODWILLDEDUCTED(B3054,E3054)</f>
        <v>3.5370510908496402</v>
      </c>
      <c r="O3054" s="7">
        <f>[1]!EM_S_VAL_PS_TTM(B3054,E3054)</f>
        <v>2.36368195592306</v>
      </c>
      <c r="P3054" s="7">
        <f>[1]!EM_S_VAL_PCF_NCFTTM(B3054,E3054)</f>
        <v>91.122040405578801</v>
      </c>
      <c r="Q3054" s="7">
        <f>[1]!EM_S_VAL_DIVIDENDYIELD2(B3054,E3054,"2019-11-29")</f>
        <v>1.0101010101010102</v>
      </c>
      <c r="T3054"/>
      <c r="U3054">
        <f>[1]!EM_S_RATIO_EPS_TTM(B3054,E3054,"1")</f>
        <v>0.45853364599218349</v>
      </c>
      <c r="AT3054" s="4" t="str">
        <f>[1]!EM_S_IPO_LISTEDDATE(B3054)</f>
        <v>2016-12-16</v>
      </c>
    </row>
    <row r="3055" spans="1:46">
      <c r="A3055">
        <v>2406</v>
      </c>
      <c r="B3055" t="str">
        <f>"600277"</f>
        <v>600277</v>
      </c>
      <c r="C3055" t="s">
        <v>2291</v>
      </c>
      <c r="D3055" t="str">
        <f>[1]!EM_S_INFO_INDEX_EM(B3055,"1")</f>
        <v>基础化工</v>
      </c>
      <c r="E3055" s="4">
        <f t="shared" si="47"/>
        <v>43465</v>
      </c>
      <c r="F3055" s="11">
        <f>[1]!EM_S_PQ_PCTCHANGE(B3055,"2018-01-01","2019-12-31","3")</f>
        <v>-27.12869121</v>
      </c>
      <c r="G3055" s="11">
        <f>[1]!EM_S_PQ_PCTCHANGE(B3055,"2018-12-31","2019-12-30","1")</f>
        <v>-19.611307419999999</v>
      </c>
      <c r="H3055" s="11">
        <f>[1]!EM_S_FA_YOY_OR(B3055,E3055)</f>
        <v>3.6655803840000001</v>
      </c>
      <c r="I3055" s="11">
        <f>[1]!EM_S_FA_GROSSPROFITMARGIN(B3055,E3055)</f>
        <v>16.808574671999999</v>
      </c>
      <c r="J3055" s="11">
        <f>[1]!EM_S_FA_NETPROFITMARGIN(B3055,E3055)</f>
        <v>6.4757345431999997</v>
      </c>
      <c r="K3055" s="10">
        <f>[1]!EM_S_FA_ASSETSTURN(B3055,E3055)</f>
        <v>0.52740937985699998</v>
      </c>
      <c r="L3055" s="12">
        <f>[1]!EM_HKS_VAL_MV(B3055,"2019-12-31","2")</f>
        <v>12489567079.440001</v>
      </c>
      <c r="M3055">
        <f>[1]!EM_S_VAL_PETTMDEDUCTED(B3055,E3055)</f>
        <v>20.434079295738702</v>
      </c>
      <c r="N3055" s="7">
        <f>[1]!EM_S_VAL_PBGOODWILLDEDUCTED(B3055,E3055)</f>
        <v>1.05447833166071</v>
      </c>
      <c r="O3055" s="7">
        <f>[1]!EM_S_VAL_PS_TTM(B3055,E3055)</f>
        <v>0.91906568377478104</v>
      </c>
      <c r="P3055" s="7">
        <f>[1]!EM_S_VAL_PCF_NCFTTM(B3055,E3055)</f>
        <v>131.63376400307499</v>
      </c>
      <c r="Q3055" s="7">
        <f>[1]!EM_S_VAL_DIVIDENDYIELD2(B3055,E3055,"2019-11-29")</f>
        <v>2.2486772486772488</v>
      </c>
      <c r="T3055"/>
      <c r="U3055">
        <f>[1]!EM_S_RATIO_EPS_TTM(B3055,E3055,"1")</f>
        <v>0.28139443655291063</v>
      </c>
      <c r="AT3055" s="4" t="str">
        <f>[1]!EM_S_IPO_LISTEDDATE(B3055)</f>
        <v>2000-07-25</v>
      </c>
    </row>
    <row r="3056" spans="1:46">
      <c r="A3056">
        <v>1502</v>
      </c>
      <c r="B3056" t="str">
        <f>"300077"</f>
        <v>300077</v>
      </c>
      <c r="C3056" t="s">
        <v>2618</v>
      </c>
      <c r="D3056" t="str">
        <f>[1]!EM_S_INFO_INDEX_EM(B3056,"1")</f>
        <v>电子设备</v>
      </c>
      <c r="E3056" s="4">
        <f t="shared" si="47"/>
        <v>43465</v>
      </c>
      <c r="F3056" s="11">
        <f>[1]!EM_S_PQ_PCTCHANGE(B3056,"2018-01-01","2019-12-31","3")</f>
        <v>-39.9</v>
      </c>
      <c r="G3056" s="11">
        <f>[1]!EM_S_PQ_PCTCHANGE(B3056,"2018-12-31","2019-12-30","1")</f>
        <v>-19.621109610000001</v>
      </c>
      <c r="H3056" s="11">
        <f>[1]!EM_S_FA_YOY_OR(B3056,E3056)</f>
        <v>-13.3673597023</v>
      </c>
      <c r="I3056" s="11">
        <f>[1]!EM_S_FA_GROSSPROFITMARGIN(B3056,E3056)</f>
        <v>35.055874896900001</v>
      </c>
      <c r="J3056" s="11">
        <f>[1]!EM_S_FA_NETPROFITMARGIN(B3056,E3056)</f>
        <v>-296.6252325383</v>
      </c>
      <c r="K3056" s="10">
        <f>[1]!EM_S_FA_ASSETSTURN(B3056,E3056)</f>
        <v>0.206569760809</v>
      </c>
      <c r="L3056" s="12">
        <f>[1]!EM_HKS_VAL_MV(B3056,"2019-12-31","2")</f>
        <v>3351266150</v>
      </c>
      <c r="M3056">
        <f>[1]!EM_S_VAL_PETTMDEDUCTED(B3056,E3056)</f>
        <v>-7.1306654609118203</v>
      </c>
      <c r="N3056" s="7">
        <f>[1]!EM_S_VAL_PBGOODWILLDEDUCTED(B3056,E3056)</f>
        <v>4.9433124217413402</v>
      </c>
      <c r="O3056" s="7">
        <f>[1]!EM_S_VAL_PS_TTM(B3056,E3056)</f>
        <v>6.26661259657127</v>
      </c>
      <c r="P3056" s="7">
        <f>[1]!EM_S_VAL_PCF_NCFTTM(B3056,E3056)</f>
        <v>-76.322352286382397</v>
      </c>
      <c r="Q3056" s="7">
        <f>[1]!EM_S_VAL_DIVIDENDYIELD2(B3056,E3056,"2019-11-29")</f>
        <v>0</v>
      </c>
      <c r="T3056"/>
      <c r="U3056">
        <f>[1]!EM_S_RATIO_EPS_TTM(B3056,E3056,"1")</f>
        <v>-2.894935422612376</v>
      </c>
      <c r="AT3056" s="4" t="str">
        <f>[1]!EM_S_IPO_LISTEDDATE(B3056)</f>
        <v>2010-04-30</v>
      </c>
    </row>
    <row r="3057" spans="1:46">
      <c r="A3057">
        <v>2425</v>
      </c>
      <c r="B3057" t="str">
        <f>"600297"</f>
        <v>600297</v>
      </c>
      <c r="C3057" t="s">
        <v>763</v>
      </c>
      <c r="D3057" t="str">
        <f>[1]!EM_S_INFO_INDEX_EM(B3057,"1")</f>
        <v>交运设备</v>
      </c>
      <c r="E3057" s="4">
        <f t="shared" si="47"/>
        <v>43465</v>
      </c>
      <c r="F3057" s="11">
        <f>[1]!EM_S_PQ_PCTCHANGE(B3057,"2018-01-01","2019-12-31","3")</f>
        <v>-58.337857280000001</v>
      </c>
      <c r="G3057" s="11">
        <f>[1]!EM_S_PQ_PCTCHANGE(B3057,"2018-12-31","2019-12-30","1")</f>
        <v>-19.7044335</v>
      </c>
      <c r="H3057" s="11">
        <f>[1]!EM_S_FA_YOY_OR(B3057,E3057)</f>
        <v>3.3983061059000002</v>
      </c>
      <c r="I3057" s="11">
        <f>[1]!EM_S_FA_GROSSPROFITMARGIN(B3057,E3057)</f>
        <v>10.3105878866</v>
      </c>
      <c r="J3057" s="11">
        <f>[1]!EM_S_FA_NETPROFITMARGIN(B3057,E3057)</f>
        <v>2.3914374450999998</v>
      </c>
      <c r="K3057" s="10">
        <f>[1]!EM_S_FA_ASSETSTURN(B3057,E3057)</f>
        <v>1.200938302727</v>
      </c>
      <c r="L3057" s="12">
        <f>[1]!EM_HKS_VAL_MV(B3057,"2019-12-31","2")</f>
        <v>26601532681</v>
      </c>
      <c r="M3057">
        <f>[1]!EM_S_VAL_PETTMDEDUCTED(B3057,E3057)</f>
        <v>9.9769641519570005</v>
      </c>
      <c r="N3057" s="7">
        <f>[1]!EM_S_VAL_PBGOODWILLDEDUCTED(B3057,E3057)</f>
        <v>1.9368964639431601</v>
      </c>
      <c r="O3057" s="7">
        <f>[1]!EM_S_VAL_PS_TTM(B3057,E3057)</f>
        <v>0.197436512053379</v>
      </c>
      <c r="P3057" s="7">
        <f>[1]!EM_S_VAL_PCF_NCFTTM(B3057,E3057)</f>
        <v>-28.111135155970501</v>
      </c>
      <c r="Q3057" s="7">
        <f>[1]!EM_S_VAL_DIVIDENDYIELD2(B3057,E3057,"2019-11-29")</f>
        <v>0.45040317122215578</v>
      </c>
      <c r="T3057"/>
      <c r="U3057">
        <f>[1]!EM_S_RATIO_EPS_TTM(B3057,E3057,"1")</f>
        <v>0.39639365957729966</v>
      </c>
      <c r="AT3057" s="4" t="str">
        <f>[1]!EM_S_IPO_LISTEDDATE(B3057)</f>
        <v>2000-11-16</v>
      </c>
    </row>
    <row r="3058" spans="1:46">
      <c r="A3058">
        <v>1635</v>
      </c>
      <c r="B3058" t="str">
        <f>"300210"</f>
        <v>300210</v>
      </c>
      <c r="C3058" t="s">
        <v>1880</v>
      </c>
      <c r="D3058" t="str">
        <f>[1]!EM_S_INFO_INDEX_EM(B3058,"1")</f>
        <v>机械设备</v>
      </c>
      <c r="E3058" s="4">
        <f t="shared" si="47"/>
        <v>43465</v>
      </c>
      <c r="F3058" s="11">
        <f>[1]!EM_S_PQ_PCTCHANGE(B3058,"2018-01-01","2019-12-31","3")</f>
        <v>-42.864285539999997</v>
      </c>
      <c r="G3058" s="11">
        <f>[1]!EM_S_PQ_PCTCHANGE(B3058,"2018-12-31","2019-12-30","1")</f>
        <v>-19.718309860000002</v>
      </c>
      <c r="H3058" s="11">
        <f>[1]!EM_S_FA_YOY_OR(B3058,E3058)</f>
        <v>-8.1952507706999995</v>
      </c>
      <c r="I3058" s="11">
        <f>[1]!EM_S_FA_GROSSPROFITMARGIN(B3058,E3058)</f>
        <v>35.550248378600003</v>
      </c>
      <c r="J3058" s="11">
        <f>[1]!EM_S_FA_NETPROFITMARGIN(B3058,E3058)</f>
        <v>-25.797876016699998</v>
      </c>
      <c r="K3058" s="10">
        <f>[1]!EM_S_FA_ASSETSTURN(B3058,E3058)</f>
        <v>0.16215025052099999</v>
      </c>
      <c r="L3058" s="12">
        <f>[1]!EM_HKS_VAL_MV(B3058,"2019-12-31","2")</f>
        <v>1656032239.26</v>
      </c>
      <c r="M3058">
        <f>[1]!EM_S_VAL_PETTMDEDUCTED(B3058,E3058)</f>
        <v>142.26979228995299</v>
      </c>
      <c r="N3058" s="7">
        <f>[1]!EM_S_VAL_PBGOODWILLDEDUCTED(B3058,E3058)</f>
        <v>1.7310200571638401</v>
      </c>
      <c r="O3058" s="7">
        <f>[1]!EM_S_VAL_PS_TTM(B3058,E3058)</f>
        <v>5.1852015627810699</v>
      </c>
      <c r="P3058" s="7">
        <f>[1]!EM_S_VAL_PCF_NCFTTM(B3058,E3058)</f>
        <v>-33.4921662002711</v>
      </c>
      <c r="Q3058" s="7">
        <f>[1]!EM_S_VAL_DIVIDENDYIELD2(B3058,E3058,"2019-11-29")</f>
        <v>0</v>
      </c>
      <c r="T3058"/>
      <c r="U3058">
        <f>[1]!EM_S_RATIO_EPS_TTM(B3058,E3058,"1")</f>
        <v>-0.19965086323074341</v>
      </c>
      <c r="AT3058" s="4" t="str">
        <f>[1]!EM_S_IPO_LISTEDDATE(B3058)</f>
        <v>2011-04-26</v>
      </c>
    </row>
    <row r="3059" spans="1:46">
      <c r="A3059">
        <v>3566</v>
      </c>
      <c r="B3059" t="str">
        <f>"603858"</f>
        <v>603858</v>
      </c>
      <c r="C3059" t="s">
        <v>1714</v>
      </c>
      <c r="D3059" t="str">
        <f>[1]!EM_S_INFO_INDEX_EM(B3059,"1")</f>
        <v>医药生物</v>
      </c>
      <c r="E3059" s="4">
        <f t="shared" si="47"/>
        <v>43465</v>
      </c>
      <c r="F3059" s="11">
        <f>[1]!EM_S_PQ_PCTCHANGE(B3059,"2018-01-01","2019-12-31","3")</f>
        <v>-24.816703820000001</v>
      </c>
      <c r="G3059" s="11">
        <f>[1]!EM_S_PQ_PCTCHANGE(B3059,"2018-12-31","2019-12-30","1")</f>
        <v>-19.738924050000001</v>
      </c>
      <c r="H3059" s="11">
        <f>[1]!EM_S_FA_YOY_OR(B3059,E3059)</f>
        <v>-1.4365783047</v>
      </c>
      <c r="I3059" s="11">
        <f>[1]!EM_S_FA_GROSSPROFITMARGIN(B3059,E3059)</f>
        <v>82.789513395300006</v>
      </c>
      <c r="J3059" s="11">
        <f>[1]!EM_S_FA_NETPROFITMARGIN(B3059,E3059)</f>
        <v>13.9592142872</v>
      </c>
      <c r="K3059" s="10">
        <f>[1]!EM_S_FA_ASSETSTURN(B3059,E3059)</f>
        <v>0.69679546281500004</v>
      </c>
      <c r="L3059" s="12">
        <f>[1]!EM_HKS_VAL_MV(B3059,"2019-12-31","2")</f>
        <v>23539392178.200001</v>
      </c>
      <c r="M3059">
        <f>[1]!EM_S_VAL_PETTMDEDUCTED(B3059,E3059)</f>
        <v>17.186135691696698</v>
      </c>
      <c r="N3059" s="7">
        <f>[1]!EM_S_VAL_PBGOODWILLDEDUCTED(B3059,E3059)</f>
        <v>2.5684236376627299</v>
      </c>
      <c r="O3059" s="7">
        <f>[1]!EM_S_VAL_PS_TTM(B3059,E3059)</f>
        <v>1.6349659429091801</v>
      </c>
      <c r="P3059" s="7">
        <f>[1]!EM_S_VAL_PCF_NCFTTM(B3059,E3059)</f>
        <v>19.4342979965494</v>
      </c>
      <c r="Q3059" s="7">
        <f>[1]!EM_S_VAL_DIVIDENDYIELD2(B3059,E3059,"2019-11-29")</f>
        <v>6.083171712058431</v>
      </c>
      <c r="T3059"/>
      <c r="U3059">
        <f>[1]!EM_S_RATIO_EPS_TTM(B3059,E3059,"1")</f>
        <v>2.1305654405194394</v>
      </c>
      <c r="AT3059" s="4" t="str">
        <f>[1]!EM_S_IPO_LISTEDDATE(B3059)</f>
        <v>2016-11-18</v>
      </c>
    </row>
    <row r="3060" spans="1:46">
      <c r="A3060">
        <v>1202</v>
      </c>
      <c r="B3060" t="str">
        <f>"002691"</f>
        <v>002691</v>
      </c>
      <c r="C3060" t="s">
        <v>3002</v>
      </c>
      <c r="D3060" t="str">
        <f>[1]!EM_S_INFO_INDEX_EM(B3060,"1")</f>
        <v>机械设备</v>
      </c>
      <c r="E3060" s="4">
        <f t="shared" si="47"/>
        <v>43465</v>
      </c>
      <c r="F3060" s="11">
        <f>[1]!EM_S_PQ_PCTCHANGE(B3060,"2018-01-01","2019-12-31","3")</f>
        <v>-57.592569240000003</v>
      </c>
      <c r="G3060" s="11">
        <f>[1]!EM_S_PQ_PCTCHANGE(B3060,"2018-12-31","2019-12-30","1")</f>
        <v>-19.756427599999999</v>
      </c>
      <c r="H3060" s="11">
        <f>[1]!EM_S_FA_YOY_OR(B3060,E3060)</f>
        <v>3.6746740342000002</v>
      </c>
      <c r="I3060" s="11">
        <f>[1]!EM_S_FA_GROSSPROFITMARGIN(B3060,E3060)</f>
        <v>33.331776312700001</v>
      </c>
      <c r="J3060" s="11">
        <f>[1]!EM_S_FA_NETPROFITMARGIN(B3060,E3060)</f>
        <v>3.6163693341999998</v>
      </c>
      <c r="K3060" s="10">
        <f>[1]!EM_S_FA_ASSETSTURN(B3060,E3060)</f>
        <v>0.419671961471</v>
      </c>
      <c r="L3060" s="12">
        <f>[1]!EM_HKS_VAL_MV(B3060,"2019-12-31","2")</f>
        <v>2040000000</v>
      </c>
      <c r="M3060">
        <f>[1]!EM_S_VAL_PETTMDEDUCTED(B3060,E3060)</f>
        <v>212.46719372838399</v>
      </c>
      <c r="N3060" s="7">
        <f>[1]!EM_S_VAL_PBGOODWILLDEDUCTED(B3060,E3060)</f>
        <v>2.8656808513427001</v>
      </c>
      <c r="O3060" s="7">
        <f>[1]!EM_S_VAL_PS_TTM(B3060,E3060)</f>
        <v>5.4704676196694297</v>
      </c>
      <c r="P3060" s="7">
        <f>[1]!EM_S_VAL_PCF_NCFTTM(B3060,E3060)</f>
        <v>88.507250621513904</v>
      </c>
      <c r="Q3060" s="7">
        <f>[1]!EM_S_VAL_DIVIDENDYIELD2(B3060,E3060,"2019-11-29")</f>
        <v>0.12089810017271159</v>
      </c>
      <c r="T3060"/>
      <c r="U3060">
        <f>[1]!EM_S_RATIO_EPS_TTM(B3060,E3060,"1")</f>
        <v>4.4314340117647059E-2</v>
      </c>
      <c r="AT3060" s="4" t="str">
        <f>[1]!EM_S_IPO_LISTEDDATE(B3060)</f>
        <v>2012-07-31</v>
      </c>
    </row>
    <row r="3061" spans="1:46">
      <c r="A3061">
        <v>2073</v>
      </c>
      <c r="B3061" t="str">
        <f>"300654"</f>
        <v>300654</v>
      </c>
      <c r="C3061" t="s">
        <v>2574</v>
      </c>
      <c r="D3061" t="str">
        <f>[1]!EM_S_INFO_INDEX_EM(B3061,"1")</f>
        <v>文化传媒</v>
      </c>
      <c r="E3061" s="4">
        <f t="shared" si="47"/>
        <v>43465</v>
      </c>
      <c r="F3061" s="11">
        <f>[1]!EM_S_PQ_PCTCHANGE(B3061,"2018-01-01","2019-12-31","3")</f>
        <v>-42.800949850000002</v>
      </c>
      <c r="G3061" s="11">
        <f>[1]!EM_S_PQ_PCTCHANGE(B3061,"2018-12-31","2019-12-30","1")</f>
        <v>-19.82758621</v>
      </c>
      <c r="H3061" s="11">
        <f>[1]!EM_S_FA_YOY_OR(B3061,E3061)</f>
        <v>0.11929099379999999</v>
      </c>
      <c r="I3061" s="11">
        <f>[1]!EM_S_FA_GROSSPROFITMARGIN(B3061,E3061)</f>
        <v>29.905816225399999</v>
      </c>
      <c r="J3061" s="11">
        <f>[1]!EM_S_FA_NETPROFITMARGIN(B3061,E3061)</f>
        <v>8.4265315753000003</v>
      </c>
      <c r="K3061" s="10">
        <f>[1]!EM_S_FA_ASSETSTURN(B3061,E3061)</f>
        <v>0.59557991095100005</v>
      </c>
      <c r="L3061" s="12">
        <f>[1]!EM_HKS_VAL_MV(B3061,"2019-12-31","2")</f>
        <v>1561278750</v>
      </c>
      <c r="M3061">
        <f>[1]!EM_S_VAL_PETTMDEDUCTED(B3061,E3061)</f>
        <v>57.760116030023397</v>
      </c>
      <c r="N3061" s="7">
        <f>[1]!EM_S_VAL_PBGOODWILLDEDUCTED(B3061,E3061)</f>
        <v>4.3632708732676004</v>
      </c>
      <c r="O3061" s="7">
        <f>[1]!EM_S_VAL_PS_TTM(B3061,E3061)</f>
        <v>4.9136811952196799</v>
      </c>
      <c r="P3061" s="7">
        <f>[1]!EM_S_VAL_PCF_NCFTTM(B3061,E3061)</f>
        <v>-17.379159988657101</v>
      </c>
      <c r="Q3061" s="7">
        <f>[1]!EM_S_VAL_DIVIDENDYIELD2(B3061,E3061,"2019-11-29")</f>
        <v>0.66539923954372615</v>
      </c>
      <c r="T3061"/>
      <c r="U3061">
        <f>[1]!EM_S_RATIO_EPS_TTM(B3061,E3061,"1")</f>
        <v>0.22715183110158899</v>
      </c>
      <c r="AT3061" s="4" t="str">
        <f>[1]!EM_S_IPO_LISTEDDATE(B3061)</f>
        <v>2017-09-26</v>
      </c>
    </row>
    <row r="3062" spans="1:46">
      <c r="A3062">
        <v>1309</v>
      </c>
      <c r="B3062" t="str">
        <f>"002805"</f>
        <v>002805</v>
      </c>
      <c r="C3062" t="s">
        <v>2024</v>
      </c>
      <c r="D3062" t="str">
        <f>[1]!EM_S_INFO_INDEX_EM(B3062,"1")</f>
        <v>基础化工</v>
      </c>
      <c r="E3062" s="4">
        <f t="shared" si="47"/>
        <v>43465</v>
      </c>
      <c r="F3062" s="11">
        <f>[1]!EM_S_PQ_PCTCHANGE(B3062,"2018-01-01","2019-12-31","3")</f>
        <v>-39.108033419999998</v>
      </c>
      <c r="G3062" s="11">
        <f>[1]!EM_S_PQ_PCTCHANGE(B3062,"2018-12-31","2019-12-30","1")</f>
        <v>-19.863945579999999</v>
      </c>
      <c r="H3062" s="11">
        <f>[1]!EM_S_FA_YOY_OR(B3062,E3062)</f>
        <v>-17.481053961200001</v>
      </c>
      <c r="I3062" s="11">
        <f>[1]!EM_S_FA_GROSSPROFITMARGIN(B3062,E3062)</f>
        <v>21.021942822700002</v>
      </c>
      <c r="J3062" s="11">
        <f>[1]!EM_S_FA_NETPROFITMARGIN(B3062,E3062)</f>
        <v>6.1586960166000004</v>
      </c>
      <c r="K3062" s="10">
        <f>[1]!EM_S_FA_ASSETSTURN(B3062,E3062)</f>
        <v>0.34523903969500003</v>
      </c>
      <c r="L3062" s="12">
        <f>[1]!EM_HKS_VAL_MV(B3062,"2019-12-31","2")</f>
        <v>1718281674</v>
      </c>
      <c r="M3062">
        <f>[1]!EM_S_VAL_PETTMDEDUCTED(B3062,E3062)</f>
        <v>71.557685971620899</v>
      </c>
      <c r="N3062" s="7">
        <f>[1]!EM_S_VAL_PBGOODWILLDEDUCTED(B3062,E3062)</f>
        <v>2.4546451160012199</v>
      </c>
      <c r="O3062" s="7">
        <f>[1]!EM_S_VAL_PS_TTM(B3062,E3062)</f>
        <v>4.8423834881299399</v>
      </c>
      <c r="P3062" s="7">
        <f>[1]!EM_S_VAL_PCF_NCFTTM(B3062,E3062)</f>
        <v>1137.97950878953</v>
      </c>
      <c r="Q3062" s="7">
        <f>[1]!EM_S_VAL_DIVIDENDYIELD2(B3062,E3062,"2019-11-29")</f>
        <v>0.18581081081081086</v>
      </c>
      <c r="T3062"/>
      <c r="U3062">
        <f>[1]!EM_S_RATIO_EPS_TTM(B3062,E3062,"1")</f>
        <v>0.16828249145116589</v>
      </c>
      <c r="AT3062" s="4" t="str">
        <f>[1]!EM_S_IPO_LISTEDDATE(B3062)</f>
        <v>2016-07-07</v>
      </c>
    </row>
    <row r="3063" spans="1:46">
      <c r="A3063">
        <v>991</v>
      </c>
      <c r="B3063" t="str">
        <f>"002480"</f>
        <v>002480</v>
      </c>
      <c r="C3063" t="s">
        <v>2937</v>
      </c>
      <c r="D3063" t="str">
        <f>[1]!EM_S_INFO_INDEX_EM(B3063,"1")</f>
        <v>交运设备</v>
      </c>
      <c r="E3063" s="4">
        <f t="shared" si="47"/>
        <v>43465</v>
      </c>
      <c r="F3063" s="11">
        <f>[1]!EM_S_PQ_PCTCHANGE(B3063,"2018-01-01","2019-12-31","3")</f>
        <v>-44.855643100000002</v>
      </c>
      <c r="G3063" s="11">
        <f>[1]!EM_S_PQ_PCTCHANGE(B3063,"2018-12-31","2019-12-30","1")</f>
        <v>-19.87704918</v>
      </c>
      <c r="H3063" s="11">
        <f>[1]!EM_S_FA_YOY_OR(B3063,E3063)</f>
        <v>18.068443704300002</v>
      </c>
      <c r="I3063" s="11">
        <f>[1]!EM_S_FA_GROSSPROFITMARGIN(B3063,E3063)</f>
        <v>21.803801671999999</v>
      </c>
      <c r="J3063" s="11">
        <f>[1]!EM_S_FA_NETPROFITMARGIN(B3063,E3063)</f>
        <v>1.4337402501000001</v>
      </c>
      <c r="K3063" s="10">
        <f>[1]!EM_S_FA_ASSETSTURN(B3063,E3063)</f>
        <v>0.30973655684899998</v>
      </c>
      <c r="L3063" s="12">
        <f>[1]!EM_HKS_VAL_MV(B3063,"2019-12-31","2")</f>
        <v>2578063098.5999999</v>
      </c>
      <c r="M3063">
        <f>[1]!EM_S_VAL_PETTMDEDUCTED(B3063,E3063)</f>
        <v>-18.773140612765399</v>
      </c>
      <c r="N3063" s="7">
        <f>[1]!EM_S_VAL_PBGOODWILLDEDUCTED(B3063,E3063)</f>
        <v>1.4172954573305001</v>
      </c>
      <c r="O3063" s="7">
        <f>[1]!EM_S_VAL_PS_TTM(B3063,E3063)</f>
        <v>1.50556198910834</v>
      </c>
      <c r="P3063" s="7">
        <f>[1]!EM_S_VAL_PCF_NCFTTM(B3063,E3063)</f>
        <v>-18.581752715976801</v>
      </c>
      <c r="Q3063" s="7">
        <f>[1]!EM_S_VAL_DIVIDENDYIELD2(B3063,E3063,"2019-11-29")</f>
        <v>0</v>
      </c>
      <c r="T3063"/>
      <c r="U3063">
        <f>[1]!EM_S_RATIO_EPS_TTM(B3063,E3063,"1")</f>
        <v>2.0089051194757894E-2</v>
      </c>
      <c r="AT3063" s="4" t="str">
        <f>[1]!EM_S_IPO_LISTEDDATE(B3063)</f>
        <v>2010-09-21</v>
      </c>
    </row>
    <row r="3064" spans="1:46">
      <c r="A3064">
        <v>216</v>
      </c>
      <c r="B3064" t="str">
        <f>"000613"</f>
        <v>000613</v>
      </c>
      <c r="C3064" t="s">
        <v>1042</v>
      </c>
      <c r="D3064" t="str">
        <f>[1]!EM_S_INFO_INDEX_EM(B3064,"1")</f>
        <v>休闲、生活及专业服务</v>
      </c>
      <c r="E3064" s="4">
        <f t="shared" si="47"/>
        <v>43465</v>
      </c>
      <c r="F3064" s="11">
        <f>[1]!EM_S_PQ_PCTCHANGE(B3064,"2018-01-01","2019-12-31","3")</f>
        <v>-21.614583329999999</v>
      </c>
      <c r="G3064" s="11">
        <f>[1]!EM_S_PQ_PCTCHANGE(B3064,"2018-12-31","2019-12-30","1")</f>
        <v>-19.946452480000001</v>
      </c>
      <c r="H3064" s="11">
        <f>[1]!EM_S_FA_YOY_OR(B3064,E3064)</f>
        <v>5.7657692532000002</v>
      </c>
      <c r="I3064" s="11">
        <f>[1]!EM_S_FA_GROSSPROFITMARGIN(B3064,E3064)</f>
        <v>60.1729215915</v>
      </c>
      <c r="J3064" s="11">
        <f>[1]!EM_S_FA_NETPROFITMARGIN(B3064,E3064)</f>
        <v>2.2133460264</v>
      </c>
      <c r="K3064" s="10">
        <f>[1]!EM_S_FA_ASSETSTURN(B3064,E3064)</f>
        <v>0.33604642177100003</v>
      </c>
      <c r="L3064" s="12">
        <f>[1]!EM_HKS_VAL_MV(B3064,"2019-12-31","2")</f>
        <v>2191882000</v>
      </c>
      <c r="M3064">
        <f>[1]!EM_S_VAL_PETTMDEDUCTED(B3064,E3064)</f>
        <v>2399.2336501431801</v>
      </c>
      <c r="N3064" s="7">
        <f>[1]!EM_S_VAL_PBGOODWILLDEDUCTED(B3064,E3064)</f>
        <v>34.964295967377502</v>
      </c>
      <c r="O3064" s="7">
        <f>[1]!EM_S_VAL_PS_TTM(B3064,E3064)</f>
        <v>92.058707134638098</v>
      </c>
      <c r="P3064" s="7">
        <f>[1]!EM_S_VAL_PCF_NCFTTM(B3064,E3064)</f>
        <v>486.40244419612497</v>
      </c>
      <c r="Q3064" s="7">
        <f>[1]!EM_S_VAL_DIVIDENDYIELD2(B3064,E3064,"2019-11-29")</f>
        <v>0</v>
      </c>
      <c r="T3064"/>
      <c r="U3064">
        <f>[1]!EM_S_RATIO_EPS_TTM(B3064,E3064,"1")</f>
        <v>1.7942383685800602E-3</v>
      </c>
      <c r="AT3064" s="4" t="str">
        <f>[1]!EM_S_IPO_LISTEDDATE(B3064)</f>
        <v>1997-01-28</v>
      </c>
    </row>
    <row r="3065" spans="1:46">
      <c r="A3065">
        <v>2144</v>
      </c>
      <c r="B3065" t="str">
        <f>"300730"</f>
        <v>300730</v>
      </c>
      <c r="C3065" t="s">
        <v>3552</v>
      </c>
      <c r="D3065" t="str">
        <f>[1]!EM_S_INFO_INDEX_EM(B3065,"1")</f>
        <v>信息技术</v>
      </c>
      <c r="E3065" s="4">
        <f t="shared" si="47"/>
        <v>43465</v>
      </c>
      <c r="F3065" s="11">
        <f>[1]!EM_S_PQ_PCTCHANGE(B3065,"2018-01-01","2019-12-31","3")</f>
        <v>-41.26952524</v>
      </c>
      <c r="G3065" s="11">
        <f>[1]!EM_S_PQ_PCTCHANGE(B3065,"2018-12-31","2019-12-30","1")</f>
        <v>-20</v>
      </c>
      <c r="H3065" s="11">
        <f>[1]!EM_S_FA_YOY_OR(B3065,E3065)</f>
        <v>8.1909250135999994</v>
      </c>
      <c r="I3065" s="11">
        <f>[1]!EM_S_FA_GROSSPROFITMARGIN(B3065,E3065)</f>
        <v>36.448457417599997</v>
      </c>
      <c r="J3065" s="11">
        <f>[1]!EM_S_FA_NETPROFITMARGIN(B3065,E3065)</f>
        <v>10.613976932</v>
      </c>
      <c r="K3065" s="10">
        <f>[1]!EM_S_FA_ASSETSTURN(B3065,E3065)</f>
        <v>0.54425725873899999</v>
      </c>
      <c r="L3065" s="12">
        <f>[1]!EM_HKS_VAL_MV(B3065,"2019-12-31","2")</f>
        <v>2256357067.4400001</v>
      </c>
      <c r="M3065">
        <f>[1]!EM_S_VAL_PETTMDEDUCTED(B3065,E3065)</f>
        <v>67.215970228426301</v>
      </c>
      <c r="N3065" s="7">
        <f>[1]!EM_S_VAL_PBGOODWILLDEDUCTED(B3065,E3065)</f>
        <v>6.9691748531114497</v>
      </c>
      <c r="O3065" s="7">
        <f>[1]!EM_S_VAL_PS_TTM(B3065,E3065)</f>
        <v>8.1788590336919107</v>
      </c>
      <c r="P3065" s="7">
        <f>[1]!EM_S_VAL_PCF_NCFTTM(B3065,E3065)</f>
        <v>28.936615303196199</v>
      </c>
      <c r="Q3065" s="7">
        <f>[1]!EM_S_VAL_DIVIDENDYIELD2(B3065,E3065,"2019-11-29")</f>
        <v>0.44378698224852065</v>
      </c>
      <c r="T3065"/>
      <c r="U3065">
        <f>[1]!EM_S_RATIO_EPS_TTM(B3065,E3065,"1")</f>
        <v>0.22221331294468658</v>
      </c>
      <c r="AT3065" s="4" t="str">
        <f>[1]!EM_S_IPO_LISTEDDATE(B3065)</f>
        <v>2017-12-05</v>
      </c>
    </row>
    <row r="3066" spans="1:46">
      <c r="A3066">
        <v>2774</v>
      </c>
      <c r="B3066" t="str">
        <f>"600701"</f>
        <v>600701</v>
      </c>
      <c r="C3066" t="s">
        <v>3343</v>
      </c>
      <c r="D3066" t="str">
        <f>[1]!EM_S_INFO_INDEX_EM(B3066,"1")</f>
        <v>信息技术</v>
      </c>
      <c r="E3066" s="4">
        <f t="shared" si="47"/>
        <v>43465</v>
      </c>
      <c r="F3066" s="11">
        <f>[1]!EM_S_PQ_PCTCHANGE(B3066,"2018-01-01","2019-12-31","3")</f>
        <v>-82.17821782</v>
      </c>
      <c r="G3066" s="11">
        <f>[1]!EM_S_PQ_PCTCHANGE(B3066,"2018-12-31","2019-12-30","1")</f>
        <v>-20</v>
      </c>
      <c r="H3066" s="11">
        <f>[1]!EM_S_FA_YOY_OR(B3066,E3066)</f>
        <v>-90.086128182099998</v>
      </c>
      <c r="I3066" s="11">
        <f>[1]!EM_S_FA_GROSSPROFITMARGIN(B3066,E3066)</f>
        <v>34.268468254600002</v>
      </c>
      <c r="J3066" s="11">
        <f>[1]!EM_S_FA_NETPROFITMARGIN(B3066,E3066)</f>
        <v>-1124.2892844989999</v>
      </c>
      <c r="K3066" s="10">
        <f>[1]!EM_S_FA_ASSETSTURN(B3066,E3066)</f>
        <v>4.0305056414E-2</v>
      </c>
      <c r="L3066" s="12">
        <f>[1]!EM_HKS_VAL_MV(B3066,"2019-12-31","2")</f>
        <v>1862523392.4000001</v>
      </c>
      <c r="M3066">
        <f>[1]!EM_S_VAL_PETTMDEDUCTED(B3066,E3066)</f>
        <v>-5.0594990574724203</v>
      </c>
      <c r="N3066" s="7">
        <f>[1]!EM_S_VAL_PBGOODWILLDEDUCTED(B3066,E3066)</f>
        <v>-53.658609957389601</v>
      </c>
      <c r="O3066" s="7">
        <f>[1]!EM_S_VAL_PS_TTM(B3066,E3066)</f>
        <v>1.4470402044922801</v>
      </c>
      <c r="P3066" s="7">
        <f>[1]!EM_S_VAL_PCF_NCFTTM(B3066,E3066)</f>
        <v>-2.1777157561452598</v>
      </c>
      <c r="Q3066" s="7">
        <f>[1]!EM_S_VAL_DIVIDENDYIELD2(B3066,E3066,"2019-11-29")</f>
        <v>0</v>
      </c>
      <c r="T3066"/>
      <c r="U3066">
        <f>[1]!EM_S_RATIO_EPS_TTM(B3066,E3066,"1")</f>
        <v>-3.5598400893125879</v>
      </c>
      <c r="AT3066" s="4" t="str">
        <f>[1]!EM_S_IPO_LISTEDDATE(B3066)</f>
        <v>1996-05-28</v>
      </c>
    </row>
    <row r="3067" spans="1:46">
      <c r="A3067">
        <v>2439</v>
      </c>
      <c r="B3067" t="str">
        <f>"600312"</f>
        <v>600312</v>
      </c>
      <c r="C3067" t="s">
        <v>3258</v>
      </c>
      <c r="D3067" t="str">
        <f>[1]!EM_S_INFO_INDEX_EM(B3067,"1")</f>
        <v>电气设备</v>
      </c>
      <c r="E3067" s="4">
        <f t="shared" si="47"/>
        <v>43465</v>
      </c>
      <c r="F3067" s="11">
        <f>[1]!EM_S_PQ_PCTCHANGE(B3067,"2018-01-01","2019-12-31","3")</f>
        <v>-33.153341410000003</v>
      </c>
      <c r="G3067" s="11">
        <f>[1]!EM_S_PQ_PCTCHANGE(B3067,"2018-12-31","2019-12-30","1")</f>
        <v>-20.049504949999999</v>
      </c>
      <c r="H3067" s="11">
        <f>[1]!EM_S_FA_YOY_OR(B3067,E3067)</f>
        <v>20.737036035999999</v>
      </c>
      <c r="I3067" s="11">
        <f>[1]!EM_S_FA_GROSSPROFITMARGIN(B3067,E3067)</f>
        <v>14.142296651900001</v>
      </c>
      <c r="J3067" s="11">
        <f>[1]!EM_S_FA_NETPROFITMARGIN(B3067,E3067)</f>
        <v>2.3880274997000002</v>
      </c>
      <c r="K3067" s="10">
        <f>[1]!EM_S_FA_ASSETSTURN(B3067,E3067)</f>
        <v>0.51875609623899999</v>
      </c>
      <c r="L3067" s="12">
        <f>[1]!EM_HKS_VAL_MV(B3067,"2019-12-31","2")</f>
        <v>8765711656.1399994</v>
      </c>
      <c r="M3067">
        <f>[1]!EM_S_VAL_PETTMDEDUCTED(B3067,E3067)</f>
        <v>71.291929231245106</v>
      </c>
      <c r="N3067" s="7">
        <f>[1]!EM_S_VAL_PBGOODWILLDEDUCTED(B3067,E3067)</f>
        <v>1.2648088824796799</v>
      </c>
      <c r="O3067" s="7">
        <f>[1]!EM_S_VAL_PS_TTM(B3067,E3067)</f>
        <v>1.3710299806600901</v>
      </c>
      <c r="P3067" s="7">
        <f>[1]!EM_S_VAL_PCF_NCFTTM(B3067,E3067)</f>
        <v>16.113566576122501</v>
      </c>
      <c r="Q3067" s="7">
        <f>[1]!EM_S_VAL_DIVIDENDYIELD2(B3067,E3067,"2019-11-29")</f>
        <v>0.99378881987577661</v>
      </c>
      <c r="T3067"/>
      <c r="U3067">
        <f>[1]!EM_S_RATIO_EPS_TTM(B3067,E3067,"1")</f>
        <v>0.2110160228311368</v>
      </c>
      <c r="AT3067" s="4" t="str">
        <f>[1]!EM_S_IPO_LISTEDDATE(B3067)</f>
        <v>2001-02-21</v>
      </c>
    </row>
    <row r="3068" spans="1:46">
      <c r="A3068">
        <v>2128</v>
      </c>
      <c r="B3068" t="str">
        <f>"300712"</f>
        <v>300712</v>
      </c>
      <c r="C3068" t="s">
        <v>1343</v>
      </c>
      <c r="D3068" t="str">
        <f>[1]!EM_S_INFO_INDEX_EM(B3068,"1")</f>
        <v>休闲、生活及专业服务</v>
      </c>
      <c r="E3068" s="4">
        <f t="shared" si="47"/>
        <v>43465</v>
      </c>
      <c r="F3068" s="11">
        <f>[1]!EM_S_PQ_PCTCHANGE(B3068,"2018-01-01","2019-12-31","3")</f>
        <v>-38.304216459999999</v>
      </c>
      <c r="G3068" s="11">
        <f>[1]!EM_S_PQ_PCTCHANGE(B3068,"2018-12-31","2019-12-30","1")</f>
        <v>-20.314637479999998</v>
      </c>
      <c r="H3068" s="11">
        <f>[1]!EM_S_FA_YOY_OR(B3068,E3068)</f>
        <v>21.5394149418</v>
      </c>
      <c r="I3068" s="11">
        <f>[1]!EM_S_FA_GROSSPROFITMARGIN(B3068,E3068)</f>
        <v>28.511480171599999</v>
      </c>
      <c r="J3068" s="11">
        <f>[1]!EM_S_FA_NETPROFITMARGIN(B3068,E3068)</f>
        <v>10.7197037853</v>
      </c>
      <c r="K3068" s="10">
        <f>[1]!EM_S_FA_ASSETSTURN(B3068,E3068)</f>
        <v>0.52306972982599997</v>
      </c>
      <c r="L3068" s="12">
        <f>[1]!EM_HKS_VAL_MV(B3068,"2019-12-31","2")</f>
        <v>2114227440</v>
      </c>
      <c r="M3068">
        <f>[1]!EM_S_VAL_PETTMDEDUCTED(B3068,E3068)</f>
        <v>27.605427512821201</v>
      </c>
      <c r="N3068" s="7">
        <f>[1]!EM_S_VAL_PBGOODWILLDEDUCTED(B3068,E3068)</f>
        <v>2.20229841505691</v>
      </c>
      <c r="O3068" s="7">
        <f>[1]!EM_S_VAL_PS_TTM(B3068,E3068)</f>
        <v>3.21872424903844</v>
      </c>
      <c r="P3068" s="7">
        <f>[1]!EM_S_VAL_PCF_NCFTTM(B3068,E3068)</f>
        <v>33.075578794708903</v>
      </c>
      <c r="Q3068" s="7">
        <f>[1]!EM_S_VAL_DIVIDENDYIELD2(B3068,E3068,"2019-11-29")</f>
        <v>0.66255880209368578</v>
      </c>
      <c r="T3068"/>
      <c r="U3068">
        <f>[1]!EM_S_RATIO_EPS_TTM(B3068,E3068,"1")</f>
        <v>0.52493813099657338</v>
      </c>
      <c r="AT3068" s="4" t="str">
        <f>[1]!EM_S_IPO_LISTEDDATE(B3068)</f>
        <v>2017-10-31</v>
      </c>
    </row>
    <row r="3069" spans="1:46">
      <c r="A3069">
        <v>1511</v>
      </c>
      <c r="B3069" t="str">
        <f>"300086"</f>
        <v>300086</v>
      </c>
      <c r="C3069" t="s">
        <v>2153</v>
      </c>
      <c r="D3069" t="str">
        <f>[1]!EM_S_INFO_INDEX_EM(B3069,"1")</f>
        <v>医药生物</v>
      </c>
      <c r="E3069" s="4">
        <f t="shared" si="47"/>
        <v>43465</v>
      </c>
      <c r="F3069" s="11">
        <f>[1]!EM_S_PQ_PCTCHANGE(B3069,"2018-01-01","2019-12-31","3")</f>
        <v>-50.127407410000004</v>
      </c>
      <c r="G3069" s="11">
        <f>[1]!EM_S_PQ_PCTCHANGE(B3069,"2018-12-31","2019-12-30","1")</f>
        <v>-20.333333329999999</v>
      </c>
      <c r="H3069" s="11">
        <f>[1]!EM_S_FA_YOY_OR(B3069,E3069)</f>
        <v>32.120327467499997</v>
      </c>
      <c r="I3069" s="11">
        <f>[1]!EM_S_FA_GROSSPROFITMARGIN(B3069,E3069)</f>
        <v>44.661305521499997</v>
      </c>
      <c r="J3069" s="11">
        <f>[1]!EM_S_FA_NETPROFITMARGIN(B3069,E3069)</f>
        <v>2.3811963273000001</v>
      </c>
      <c r="K3069" s="10">
        <f>[1]!EM_S_FA_ASSETSTURN(B3069,E3069)</f>
        <v>0.39975427227400001</v>
      </c>
      <c r="L3069" s="12">
        <f>[1]!EM_HKS_VAL_MV(B3069,"2019-12-31","2")</f>
        <v>2367000000</v>
      </c>
      <c r="M3069">
        <f>[1]!EM_S_VAL_PETTMDEDUCTED(B3069,E3069)</f>
        <v>76.757642575603299</v>
      </c>
      <c r="N3069" s="7">
        <f>[1]!EM_S_VAL_PBGOODWILLDEDUCTED(B3069,E3069)</f>
        <v>2.18843388403105</v>
      </c>
      <c r="O3069" s="7">
        <f>[1]!EM_S_VAL_PS_TTM(B3069,E3069)</f>
        <v>3.4416885537358599</v>
      </c>
      <c r="P3069" s="7">
        <f>[1]!EM_S_VAL_PCF_NCFTTM(B3069,E3069)</f>
        <v>-16.208163687041299</v>
      </c>
      <c r="Q3069" s="7">
        <f>[1]!EM_S_VAL_DIVIDENDYIELD2(B3069,E3069,"2019-11-29")</f>
        <v>3.3185840707964607</v>
      </c>
      <c r="T3069"/>
      <c r="U3069">
        <f>[1]!EM_S_RATIO_EPS_TTM(B3069,E3069,"1")</f>
        <v>2.9702707822222223E-2</v>
      </c>
      <c r="AT3069" s="4" t="str">
        <f>[1]!EM_S_IPO_LISTEDDATE(B3069)</f>
        <v>2010-05-26</v>
      </c>
    </row>
    <row r="3070" spans="1:46">
      <c r="A3070">
        <v>3366</v>
      </c>
      <c r="B3070" t="str">
        <f>"603335"</f>
        <v>603335</v>
      </c>
      <c r="C3070" t="s">
        <v>2620</v>
      </c>
      <c r="D3070" t="str">
        <f>[1]!EM_S_INFO_INDEX_EM(B3070,"1")</f>
        <v>交运设备</v>
      </c>
      <c r="E3070" s="4">
        <f t="shared" si="47"/>
        <v>43465</v>
      </c>
      <c r="F3070" s="11">
        <f>[1]!EM_S_PQ_PCTCHANGE(B3070,"2018-01-01","2019-12-31","3")</f>
        <v>-27.142147229999999</v>
      </c>
      <c r="G3070" s="11">
        <f>[1]!EM_S_PQ_PCTCHANGE(B3070,"2018-12-31","2019-12-30","1")</f>
        <v>-20.39473684</v>
      </c>
      <c r="H3070" s="11">
        <f>[1]!EM_S_FA_YOY_OR(B3070,E3070)</f>
        <v>1.8943667926000001</v>
      </c>
      <c r="I3070" s="11">
        <f>[1]!EM_S_FA_GROSSPROFITMARGIN(B3070,E3070)</f>
        <v>24.8997316795</v>
      </c>
      <c r="J3070" s="11">
        <f>[1]!EM_S_FA_NETPROFITMARGIN(B3070,E3070)</f>
        <v>2.1335214258000001</v>
      </c>
      <c r="K3070" s="10">
        <f>[1]!EM_S_FA_ASSETSTURN(B3070,E3070)</f>
        <v>0.94606666660399996</v>
      </c>
      <c r="L3070" s="12">
        <f>[1]!EM_HKS_VAL_MV(B3070,"2019-12-31","2")</f>
        <v>2076501310</v>
      </c>
      <c r="M3070">
        <f>[1]!EM_S_VAL_PETTMDEDUCTED(B3070,E3070)</f>
        <v>-4202.3993180962298</v>
      </c>
      <c r="N3070" s="7">
        <f>[1]!EM_S_VAL_PBGOODWILLDEDUCTED(B3070,E3070)</f>
        <v>3.6114253518689501</v>
      </c>
      <c r="O3070" s="7">
        <f>[1]!EM_S_VAL_PS_TTM(B3070,E3070)</f>
        <v>2.5240051292672199</v>
      </c>
      <c r="P3070" s="7">
        <f>[1]!EM_S_VAL_PCF_NCFTTM(B3070,E3070)</f>
        <v>-26.7581825345334</v>
      </c>
      <c r="Q3070" s="7">
        <f>[1]!EM_S_VAL_DIVIDENDYIELD2(B3070,E3070,"2019-11-29")</f>
        <v>0.33014196104324861</v>
      </c>
      <c r="T3070"/>
      <c r="U3070">
        <f>[1]!EM_S_RATIO_EPS_TTM(B3070,E3070,"1")</f>
        <v>4.1014406513593775E-2</v>
      </c>
      <c r="AT3070" s="4" t="str">
        <f>[1]!EM_S_IPO_LISTEDDATE(B3070)</f>
        <v>2017-06-20</v>
      </c>
    </row>
    <row r="3071" spans="1:46">
      <c r="A3071">
        <v>2652</v>
      </c>
      <c r="B3071" t="str">
        <f>"600579"</f>
        <v>600579</v>
      </c>
      <c r="C3071" t="s">
        <v>2769</v>
      </c>
      <c r="D3071" t="str">
        <f>[1]!EM_S_INFO_INDEX_EM(B3071,"1")</f>
        <v>机械设备</v>
      </c>
      <c r="E3071" s="4">
        <f t="shared" si="47"/>
        <v>43465</v>
      </c>
      <c r="F3071" s="11">
        <f>[1]!EM_S_PQ_PCTCHANGE(B3071,"2018-01-01","2019-12-31","3")</f>
        <v>-54.607508529999997</v>
      </c>
      <c r="G3071" s="11">
        <f>[1]!EM_S_PQ_PCTCHANGE(B3071,"2018-12-31","2019-12-30","1")</f>
        <v>-20.509708740000001</v>
      </c>
      <c r="H3071" s="11">
        <f>[1]!EM_S_FA_YOY_OR(B3071,E3071)</f>
        <v>3.5910889835000002</v>
      </c>
      <c r="I3071" s="11">
        <f>[1]!EM_S_FA_GROSSPROFITMARGIN(B3071,E3071)</f>
        <v>25.379555443600001</v>
      </c>
      <c r="J3071" s="11">
        <f>[1]!EM_S_FA_NETPROFITMARGIN(B3071,E3071)</f>
        <v>1.6871198774</v>
      </c>
      <c r="K3071" s="10">
        <f>[1]!EM_S_FA_ASSETSTURN(B3071,E3071)</f>
        <v>1.304234282338</v>
      </c>
      <c r="L3071" s="12">
        <f>[1]!EM_HKS_VAL_MV(B3071,"2019-12-31","2")</f>
        <v>5874585813.9499998</v>
      </c>
      <c r="M3071">
        <f>[1]!EM_S_VAL_PETTMDEDUCTED(B3071,E3071)</f>
        <v>-154.518827413753</v>
      </c>
      <c r="N3071" s="7">
        <f>[1]!EM_S_VAL_PBGOODWILLDEDUCTED(B3071,E3071)</f>
        <v>1.5203803923414301</v>
      </c>
      <c r="O3071" s="7">
        <f>[1]!EM_S_VAL_PS_TTM(B3071,E3071)</f>
        <v>5.4327413134604203</v>
      </c>
      <c r="P3071" s="7">
        <f>[1]!EM_S_VAL_PCF_NCFTTM(B3071,E3071)</f>
        <v>-9690.5836442989093</v>
      </c>
      <c r="Q3071" s="7">
        <f>[1]!EM_S_VAL_DIVIDENDYIELD2(B3071,E3071,"2019-11-29")</f>
        <v>0</v>
      </c>
      <c r="T3071"/>
      <c r="U3071">
        <f>[1]!EM_S_RATIO_EPS_TTM(B3071,E3071,"1")</f>
        <v>0.46443469633341283</v>
      </c>
      <c r="AT3071" s="4" t="str">
        <f>[1]!EM_S_IPO_LISTEDDATE(B3071)</f>
        <v>2002-08-09</v>
      </c>
    </row>
    <row r="3072" spans="1:46">
      <c r="A3072">
        <v>2981</v>
      </c>
      <c r="B3072" t="str">
        <f>"600929"</f>
        <v>600929</v>
      </c>
      <c r="C3072" t="s">
        <v>1156</v>
      </c>
      <c r="D3072" t="str">
        <f>[1]!EM_S_INFO_INDEX_EM(B3072,"1")</f>
        <v>食品饮料</v>
      </c>
      <c r="E3072" s="4">
        <f t="shared" si="47"/>
        <v>43465</v>
      </c>
      <c r="F3072" s="11">
        <f>[1]!EM_S_PQ_PCTCHANGE(B3072,"2018-01-01","2019-12-31","3")</f>
        <v>78.472330279999994</v>
      </c>
      <c r="G3072" s="11">
        <f>[1]!EM_S_PQ_PCTCHANGE(B3072,"2018-12-31","2019-12-30","1")</f>
        <v>-20.5346294</v>
      </c>
      <c r="H3072" s="11">
        <f>[1]!EM_S_FA_YOY_OR(B3072,E3072)</f>
        <v>4.4867761063999998</v>
      </c>
      <c r="I3072" s="11">
        <f>[1]!EM_S_FA_GROSSPROFITMARGIN(B3072,E3072)</f>
        <v>48.646764841299998</v>
      </c>
      <c r="J3072" s="11">
        <f>[1]!EM_S_FA_NETPROFITMARGIN(B3072,E3072)</f>
        <v>7.5158544337000004</v>
      </c>
      <c r="K3072" s="10">
        <f>[1]!EM_S_FA_ASSETSTURN(B3072,E3072)</f>
        <v>0.68959978092200003</v>
      </c>
      <c r="L3072" s="12">
        <f>[1]!EM_HKS_VAL_MV(B3072,"2019-12-31","2")</f>
        <v>6020447530.8800001</v>
      </c>
      <c r="M3072">
        <f>[1]!EM_S_VAL_PETTMDEDUCTED(B3072,E3072)</f>
        <v>46.086569496767702</v>
      </c>
      <c r="N3072" s="7">
        <f>[1]!EM_S_VAL_PBGOODWILLDEDUCTED(B3072,E3072)</f>
        <v>3.17884574849128</v>
      </c>
      <c r="O3072" s="7">
        <f>[1]!EM_S_VAL_PS_TTM(B3072,E3072)</f>
        <v>3.24390507257232</v>
      </c>
      <c r="P3072" s="7">
        <f>[1]!EM_S_VAL_PCF_NCFTTM(B3072,E3072)</f>
        <v>19.253458652228399</v>
      </c>
      <c r="Q3072" s="7">
        <f>[1]!EM_S_VAL_DIVIDENDYIELD2(B3072,E3072,"2019-11-29")</f>
        <v>0.73667711598746088</v>
      </c>
      <c r="T3072"/>
      <c r="U3072">
        <f>[1]!EM_S_RATIO_EPS_TTM(B3072,E3072,"1")</f>
        <v>0.15513604840513914</v>
      </c>
      <c r="AT3072" s="4" t="str">
        <f>[1]!EM_S_IPO_LISTEDDATE(B3072)</f>
        <v>2018-03-26</v>
      </c>
    </row>
    <row r="3073" spans="1:46">
      <c r="A3073">
        <v>1622</v>
      </c>
      <c r="B3073" t="str">
        <f>"300197"</f>
        <v>300197</v>
      </c>
      <c r="C3073" t="s">
        <v>3416</v>
      </c>
      <c r="D3073" t="str">
        <f>[1]!EM_S_INFO_INDEX_EM(B3073,"1")</f>
        <v>公用事业</v>
      </c>
      <c r="E3073" s="4">
        <f t="shared" si="47"/>
        <v>43465</v>
      </c>
      <c r="F3073" s="11">
        <f>[1]!EM_S_PQ_PCTCHANGE(B3073,"2018-01-01","2019-12-31","3")</f>
        <v>-61.907401370000002</v>
      </c>
      <c r="G3073" s="11">
        <f>[1]!EM_S_PQ_PCTCHANGE(B3073,"2018-12-31","2019-12-30","1")</f>
        <v>-20.580474930000001</v>
      </c>
      <c r="H3073" s="11">
        <f>[1]!EM_S_FA_YOY_OR(B3073,E3073)</f>
        <v>-5.3611623641000001</v>
      </c>
      <c r="I3073" s="11">
        <f>[1]!EM_S_FA_GROSSPROFITMARGIN(B3073,E3073)</f>
        <v>25.786782763400002</v>
      </c>
      <c r="J3073" s="11">
        <f>[1]!EM_S_FA_NETPROFITMARGIN(B3073,E3073)</f>
        <v>3.8673380608999999</v>
      </c>
      <c r="K3073" s="10">
        <f>[1]!EM_S_FA_ASSETSTURN(B3073,E3073)</f>
        <v>0.344502639542</v>
      </c>
      <c r="L3073" s="12">
        <f>[1]!EM_HKS_VAL_MV(B3073,"2019-12-31","2")</f>
        <v>7179757373.3400002</v>
      </c>
      <c r="M3073">
        <f>[1]!EM_S_VAL_PETTMDEDUCTED(B3073,E3073)</f>
        <v>13.424122095066201</v>
      </c>
      <c r="N3073" s="7">
        <f>[1]!EM_S_VAL_PBGOODWILLDEDUCTED(B3073,E3073)</f>
        <v>1.61951814673209</v>
      </c>
      <c r="O3073" s="7">
        <f>[1]!EM_S_VAL_PS_TTM(B3073,E3073)</f>
        <v>0.88443374840236499</v>
      </c>
      <c r="P3073" s="7">
        <f>[1]!EM_S_VAL_PCF_NCFTTM(B3073,E3073)</f>
        <v>-6.5084018213281496</v>
      </c>
      <c r="Q3073" s="7">
        <f>[1]!EM_S_VAL_DIVIDENDYIELD2(B3073,E3073,"2019-11-29")</f>
        <v>0.47318551243976598</v>
      </c>
      <c r="T3073"/>
      <c r="U3073">
        <f>[1]!EM_S_RATIO_EPS_TTM(B3073,E3073,"1")</f>
        <v>0.13349163802074671</v>
      </c>
      <c r="AT3073" s="4" t="str">
        <f>[1]!EM_S_IPO_LISTEDDATE(B3073)</f>
        <v>2011-03-29</v>
      </c>
    </row>
    <row r="3074" spans="1:46">
      <c r="A3074">
        <v>3572</v>
      </c>
      <c r="B3074" t="str">
        <f>"603869"</f>
        <v>603869</v>
      </c>
      <c r="C3074" t="s">
        <v>3205</v>
      </c>
      <c r="D3074" t="str">
        <f>[1]!EM_S_INFO_INDEX_EM(B3074,"1")</f>
        <v>信息技术</v>
      </c>
      <c r="E3074" s="4">
        <f t="shared" si="47"/>
        <v>43465</v>
      </c>
      <c r="F3074" s="11">
        <f>[1]!EM_S_PQ_PCTCHANGE(B3074,"2018-01-01","2019-12-31","3")</f>
        <v>-16.281676180000002</v>
      </c>
      <c r="G3074" s="11">
        <f>[1]!EM_S_PQ_PCTCHANGE(B3074,"2018-12-31","2019-12-30","1")</f>
        <v>-20.611702130000001</v>
      </c>
      <c r="H3074" s="11">
        <f>[1]!EM_S_FA_YOY_OR(B3074,E3074)</f>
        <v>20.695107829800001</v>
      </c>
      <c r="I3074" s="11">
        <f>[1]!EM_S_FA_GROSSPROFITMARGIN(B3074,E3074)</f>
        <v>40.39505217</v>
      </c>
      <c r="J3074" s="11">
        <f>[1]!EM_S_FA_NETPROFITMARGIN(B3074,E3074)</f>
        <v>12.081081131199999</v>
      </c>
      <c r="K3074" s="10">
        <f>[1]!EM_S_FA_ASSETSTURN(B3074,E3074)</f>
        <v>0.46332119895899998</v>
      </c>
      <c r="L3074" s="12">
        <f>[1]!EM_HKS_VAL_MV(B3074,"2019-12-31","2")</f>
        <v>6013646055.3599997</v>
      </c>
      <c r="M3074">
        <f>[1]!EM_S_VAL_PETTMDEDUCTED(B3074,E3074)</f>
        <v>18.095532350762099</v>
      </c>
      <c r="N3074" s="7">
        <f>[1]!EM_S_VAL_PBGOODWILLDEDUCTED(B3074,E3074)</f>
        <v>1.6424367988089701</v>
      </c>
      <c r="O3074" s="7">
        <f>[1]!EM_S_VAL_PS_TTM(B3074,E3074)</f>
        <v>1.8242423108655601</v>
      </c>
      <c r="P3074" s="7">
        <f>[1]!EM_S_VAL_PCF_NCFTTM(B3074,E3074)</f>
        <v>-18.2078343843142</v>
      </c>
      <c r="Q3074" s="7">
        <f>[1]!EM_S_VAL_DIVIDENDYIELD2(B3074,E3074,"2019-11-29")</f>
        <v>1.8199937704675064</v>
      </c>
      <c r="T3074"/>
      <c r="U3074">
        <f>[1]!EM_S_RATIO_EPS_TTM(B3074,E3074,"1")</f>
        <v>1.0831134962861388</v>
      </c>
      <c r="AT3074" s="4" t="str">
        <f>[1]!EM_S_IPO_LISTEDDATE(B3074)</f>
        <v>2015-03-26</v>
      </c>
    </row>
    <row r="3075" spans="1:46">
      <c r="A3075">
        <v>894</v>
      </c>
      <c r="B3075" t="str">
        <f>"002383"</f>
        <v>002383</v>
      </c>
      <c r="C3075" t="s">
        <v>1686</v>
      </c>
      <c r="D3075" t="str">
        <f>[1]!EM_S_INFO_INDEX_EM(B3075,"1")</f>
        <v>信息技术</v>
      </c>
      <c r="E3075" s="4">
        <f t="shared" ref="E3075:E3138" si="48">$B$1</f>
        <v>43465</v>
      </c>
      <c r="F3075" s="11">
        <f>[1]!EM_S_PQ_PCTCHANGE(B3075,"2018-01-01","2019-12-31","3")</f>
        <v>-53.32853806</v>
      </c>
      <c r="G3075" s="11">
        <f>[1]!EM_S_PQ_PCTCHANGE(B3075,"2018-12-31","2019-12-30","1")</f>
        <v>-20.625528320000001</v>
      </c>
      <c r="H3075" s="11">
        <f>[1]!EM_S_FA_YOY_OR(B3075,E3075)</f>
        <v>0.53711788709999997</v>
      </c>
      <c r="I3075" s="11">
        <f>[1]!EM_S_FA_GROSSPROFITMARGIN(B3075,E3075)</f>
        <v>44.313511091800002</v>
      </c>
      <c r="J3075" s="11">
        <f>[1]!EM_S_FA_NETPROFITMARGIN(B3075,E3075)</f>
        <v>8.2792592509999992</v>
      </c>
      <c r="K3075" s="10">
        <f>[1]!EM_S_FA_ASSETSTURN(B3075,E3075)</f>
        <v>0.25577656082700001</v>
      </c>
      <c r="L3075" s="12">
        <f>[1]!EM_HKS_VAL_MV(B3075,"2019-12-31","2")</f>
        <v>6944874274.8800001</v>
      </c>
      <c r="M3075">
        <f>[1]!EM_S_VAL_PETTMDEDUCTED(B3075,E3075)</f>
        <v>22.103515929376499</v>
      </c>
      <c r="N3075" s="7">
        <f>[1]!EM_S_VAL_PBGOODWILLDEDUCTED(B3075,E3075)</f>
        <v>3.2179983205352101</v>
      </c>
      <c r="O3075" s="7">
        <f>[1]!EM_S_VAL_PS_TTM(B3075,E3075)</f>
        <v>1.7565138980675301</v>
      </c>
      <c r="P3075" s="7">
        <f>[1]!EM_S_VAL_PCF_NCFTTM(B3075,E3075)</f>
        <v>-27.134800877379998</v>
      </c>
      <c r="Q3075" s="7">
        <f>[1]!EM_S_VAL_DIVIDENDYIELD2(B3075,E3075,"2019-11-29")</f>
        <v>0</v>
      </c>
      <c r="T3075"/>
      <c r="U3075">
        <f>[1]!EM_S_RATIO_EPS_TTM(B3075,E3075,"1")</f>
        <v>0.25693620365578645</v>
      </c>
      <c r="AT3075" s="4" t="str">
        <f>[1]!EM_S_IPO_LISTEDDATE(B3075)</f>
        <v>2010-04-02</v>
      </c>
    </row>
    <row r="3076" spans="1:46">
      <c r="A3076">
        <v>3147</v>
      </c>
      <c r="B3076" t="str">
        <f>"601766"</f>
        <v>601766</v>
      </c>
      <c r="C3076" t="s">
        <v>2196</v>
      </c>
      <c r="D3076" t="str">
        <f>[1]!EM_S_INFO_INDEX_EM(B3076,"1")</f>
        <v>交运设备</v>
      </c>
      <c r="E3076" s="4">
        <f t="shared" si="48"/>
        <v>43465</v>
      </c>
      <c r="F3076" s="11">
        <f>[1]!EM_S_PQ_PCTCHANGE(B3076,"2018-01-01","2019-12-31","3")</f>
        <v>-38.615839659999999</v>
      </c>
      <c r="G3076" s="11">
        <f>[1]!EM_S_PQ_PCTCHANGE(B3076,"2018-12-31","2019-12-30","1")</f>
        <v>-20.731707320000002</v>
      </c>
      <c r="H3076" s="11">
        <f>[1]!EM_S_FA_YOY_OR(B3076,E3076)</f>
        <v>3.8242707727999998</v>
      </c>
      <c r="I3076" s="11">
        <f>[1]!EM_S_FA_GROSSPROFITMARGIN(B3076,E3076)</f>
        <v>22.1636090282</v>
      </c>
      <c r="J3076" s="11">
        <f>[1]!EM_S_FA_NETPROFITMARGIN(B3076,E3076)</f>
        <v>5.9331524126000001</v>
      </c>
      <c r="K3076" s="10">
        <f>[1]!EM_S_FA_ASSETSTURN(B3076,E3076)</f>
        <v>0.59801952749099996</v>
      </c>
      <c r="L3076" s="12">
        <f>[1]!EM_HKS_VAL_MV(B3076,"2019-12-31","2")</f>
        <v>204909889588.32001</v>
      </c>
      <c r="M3076">
        <f>[1]!EM_S_VAL_PETTMDEDUCTED(B3076,E3076)</f>
        <v>30.836849163674302</v>
      </c>
      <c r="N3076" s="7">
        <f>[1]!EM_S_VAL_PBGOODWILLDEDUCTED(B3076,E3076)</f>
        <v>2.0264155719594799</v>
      </c>
      <c r="O3076" s="7">
        <f>[1]!EM_S_VAL_PS_TTM(B3076,E3076)</f>
        <v>1.2583775874455301</v>
      </c>
      <c r="P3076" s="7">
        <f>[1]!EM_S_VAL_PCF_NCFTTM(B3076,E3076)</f>
        <v>55.856027507229498</v>
      </c>
      <c r="Q3076" s="7">
        <f>[1]!EM_S_VAL_DIVIDENDYIELD2(B3076,E3076,"2019-11-29")</f>
        <v>2.1520803443328549</v>
      </c>
      <c r="T3076"/>
      <c r="U3076">
        <f>[1]!EM_S_RATIO_EPS_TTM(B3076,E3076,"1")</f>
        <v>0.39391956299507458</v>
      </c>
      <c r="AT3076" s="4" t="str">
        <f>[1]!EM_S_IPO_LISTEDDATE(B3076)</f>
        <v>2008-08-18</v>
      </c>
    </row>
    <row r="3077" spans="1:46">
      <c r="A3077">
        <v>2304</v>
      </c>
      <c r="B3077" t="str">
        <f>"600165"</f>
        <v>600165</v>
      </c>
      <c r="C3077" t="s">
        <v>3065</v>
      </c>
      <c r="D3077" t="str">
        <f>[1]!EM_S_INFO_INDEX_EM(B3077,"1")</f>
        <v>医药生物</v>
      </c>
      <c r="E3077" s="4">
        <f t="shared" si="48"/>
        <v>43465</v>
      </c>
      <c r="F3077" s="11">
        <f>[1]!EM_S_PQ_PCTCHANGE(B3077,"2018-01-01","2019-12-31","3")</f>
        <v>-75.902864260000001</v>
      </c>
      <c r="G3077" s="11">
        <f>[1]!EM_S_PQ_PCTCHANGE(B3077,"2018-12-31","2019-12-30","1")</f>
        <v>-20.73921971</v>
      </c>
      <c r="H3077" s="11">
        <f>[1]!EM_S_FA_YOY_OR(B3077,E3077)</f>
        <v>-55.760048651399998</v>
      </c>
      <c r="I3077" s="11">
        <f>[1]!EM_S_FA_GROSSPROFITMARGIN(B3077,E3077)</f>
        <v>8.4505666608999999</v>
      </c>
      <c r="J3077" s="11">
        <f>[1]!EM_S_FA_NETPROFITMARGIN(B3077,E3077)</f>
        <v>2.0961893125</v>
      </c>
      <c r="K3077" s="10">
        <f>[1]!EM_S_FA_ASSETSTURN(B3077,E3077)</f>
        <v>0.24648162852700001</v>
      </c>
      <c r="L3077" s="12">
        <f>[1]!EM_HKS_VAL_MV(B3077,"2019-12-31","2")</f>
        <v>2650500209.25</v>
      </c>
      <c r="M3077">
        <f>[1]!EM_S_VAL_PETTMDEDUCTED(B3077,E3077)</f>
        <v>-138.43384909164399</v>
      </c>
      <c r="N3077" s="7">
        <f>[1]!EM_S_VAL_PBGOODWILLDEDUCTED(B3077,E3077)</f>
        <v>3.8305495543609598</v>
      </c>
      <c r="O3077" s="7">
        <f>[1]!EM_S_VAL_PS_TTM(B3077,E3077)</f>
        <v>5.69290947817501</v>
      </c>
      <c r="P3077" s="7">
        <f>[1]!EM_S_VAL_PCF_NCFTTM(B3077,E3077)</f>
        <v>47.451943613250698</v>
      </c>
      <c r="Q3077" s="7">
        <f>[1]!EM_S_VAL_DIVIDENDYIELD2(B3077,E3077,"2019-11-29")</f>
        <v>0</v>
      </c>
      <c r="T3077"/>
      <c r="U3077">
        <f>[1]!EM_S_RATIO_EPS_TTM(B3077,E3077,"1")</f>
        <v>1.3725850418926919E-2</v>
      </c>
      <c r="AT3077" s="4" t="str">
        <f>[1]!EM_S_IPO_LISTEDDATE(B3077)</f>
        <v>1998-05-29</v>
      </c>
    </row>
    <row r="3078" spans="1:46">
      <c r="A3078">
        <v>928</v>
      </c>
      <c r="B3078" t="str">
        <f>"002417"</f>
        <v>002417</v>
      </c>
      <c r="C3078" t="s">
        <v>3596</v>
      </c>
      <c r="D3078" t="str">
        <f>[1]!EM_S_INFO_INDEX_EM(B3078,"1")</f>
        <v>信息技术</v>
      </c>
      <c r="E3078" s="4">
        <f t="shared" si="48"/>
        <v>43465</v>
      </c>
      <c r="F3078" s="11">
        <f>[1]!EM_S_PQ_PCTCHANGE(B3078,"2018-01-01","2019-12-31","3")</f>
        <v>-46.661550269999999</v>
      </c>
      <c r="G3078" s="11">
        <f>[1]!EM_S_PQ_PCTCHANGE(B3078,"2018-12-31","2019-12-30","1")</f>
        <v>-20.767494360000001</v>
      </c>
      <c r="H3078" s="11">
        <f>[1]!EM_S_FA_YOY_OR(B3078,E3078)</f>
        <v>73.301470448000003</v>
      </c>
      <c r="I3078" s="11">
        <f>[1]!EM_S_FA_GROSSPROFITMARGIN(B3078,E3078)</f>
        <v>34.368025846599998</v>
      </c>
      <c r="J3078" s="11">
        <f>[1]!EM_S_FA_NETPROFITMARGIN(B3078,E3078)</f>
        <v>-23.239986348399999</v>
      </c>
      <c r="K3078" s="10">
        <f>[1]!EM_S_FA_ASSETSTURN(B3078,E3078)</f>
        <v>0.44119701374100001</v>
      </c>
      <c r="L3078" s="12">
        <f>[1]!EM_HKS_VAL_MV(B3078,"2019-12-31","2")</f>
        <v>1876500000</v>
      </c>
      <c r="M3078">
        <f>[1]!EM_S_VAL_PETTMDEDUCTED(B3078,E3078)</f>
        <v>-55.875170338161503</v>
      </c>
      <c r="N3078" s="7">
        <f>[1]!EM_S_VAL_PBGOODWILLDEDUCTED(B3078,E3078)</f>
        <v>12.0068252835968</v>
      </c>
      <c r="O3078" s="7">
        <f>[1]!EM_S_VAL_PS_TTM(B3078,E3078)</f>
        <v>23.854890375166899</v>
      </c>
      <c r="P3078" s="7">
        <f>[1]!EM_S_VAL_PCF_NCFTTM(B3078,E3078)</f>
        <v>-21.3845256787354</v>
      </c>
      <c r="Q3078" s="7">
        <f>[1]!EM_S_VAL_DIVIDENDYIELD2(B3078,E3078,"2019-11-29")</f>
        <v>0</v>
      </c>
      <c r="T3078"/>
      <c r="U3078">
        <f>[1]!EM_S_RATIO_EPS_TTM(B3078,E3078,"1")</f>
        <v>-0.18173272429629631</v>
      </c>
      <c r="AT3078" s="4" t="str">
        <f>[1]!EM_S_IPO_LISTEDDATE(B3078)</f>
        <v>2010-06-01</v>
      </c>
    </row>
    <row r="3079" spans="1:46">
      <c r="A3079">
        <v>3255</v>
      </c>
      <c r="B3079" t="str">
        <f>"603080"</f>
        <v>603080</v>
      </c>
      <c r="C3079" t="s">
        <v>1235</v>
      </c>
      <c r="D3079" t="str">
        <f>[1]!EM_S_INFO_INDEX_EM(B3079,"1")</f>
        <v>公用事业</v>
      </c>
      <c r="E3079" s="4">
        <f t="shared" si="48"/>
        <v>43465</v>
      </c>
      <c r="F3079" s="11">
        <f>[1]!EM_S_PQ_PCTCHANGE(B3079,"2018-01-01","2019-12-31","3")</f>
        <v>22.677151540000001</v>
      </c>
      <c r="G3079" s="11">
        <f>[1]!EM_S_PQ_PCTCHANGE(B3079,"2018-12-31","2019-12-30","1")</f>
        <v>-20.921305180000001</v>
      </c>
      <c r="H3079" s="11">
        <f>[1]!EM_S_FA_YOY_OR(B3079,E3079)</f>
        <v>7.8321373416000002</v>
      </c>
      <c r="I3079" s="11">
        <f>[1]!EM_S_FA_GROSSPROFITMARGIN(B3079,E3079)</f>
        <v>41.196173207500003</v>
      </c>
      <c r="J3079" s="11">
        <f>[1]!EM_S_FA_NETPROFITMARGIN(B3079,E3079)</f>
        <v>23.662061363999999</v>
      </c>
      <c r="K3079" s="10">
        <f>[1]!EM_S_FA_ASSETSTURN(B3079,E3079)</f>
        <v>0.31667388724399997</v>
      </c>
      <c r="L3079" s="12">
        <f>[1]!EM_HKS_VAL_MV(B3079,"2019-12-31","2")</f>
        <v>2347485000</v>
      </c>
      <c r="M3079">
        <f>[1]!EM_S_VAL_PETTMDEDUCTED(B3079,E3079)</f>
        <v>32.706987371221103</v>
      </c>
      <c r="N3079" s="7">
        <f>[1]!EM_S_VAL_PBGOODWILLDEDUCTED(B3079,E3079)</f>
        <v>2.8742926137451099</v>
      </c>
      <c r="O3079" s="7">
        <f>[1]!EM_S_VAL_PS_TTM(B3079,E3079)</f>
        <v>7.5584024398098801</v>
      </c>
      <c r="P3079" s="7">
        <f>[1]!EM_S_VAL_PCF_NCFTTM(B3079,E3079)</f>
        <v>7.7663390133894596</v>
      </c>
      <c r="Q3079" s="7">
        <f>[1]!EM_S_VAL_DIVIDENDYIELD2(B3079,E3079,"2019-11-29")</f>
        <v>0</v>
      </c>
      <c r="T3079"/>
      <c r="U3079">
        <f>[1]!EM_S_RATIO_EPS_TTM(B3079,E3079,"1")</f>
        <v>0.65054860607773857</v>
      </c>
      <c r="AT3079" s="4" t="str">
        <f>[1]!EM_S_IPO_LISTEDDATE(B3079)</f>
        <v>2018-01-03</v>
      </c>
    </row>
    <row r="3080" spans="1:46">
      <c r="A3080">
        <v>1924</v>
      </c>
      <c r="B3080" t="str">
        <f>"300499"</f>
        <v>300499</v>
      </c>
      <c r="C3080" t="s">
        <v>3434</v>
      </c>
      <c r="D3080" t="str">
        <f>[1]!EM_S_INFO_INDEX_EM(B3080,"1")</f>
        <v>机械设备</v>
      </c>
      <c r="E3080" s="4">
        <f t="shared" si="48"/>
        <v>43465</v>
      </c>
      <c r="F3080" s="11">
        <f>[1]!EM_S_PQ_PCTCHANGE(B3080,"2018-01-01","2019-12-31","3")</f>
        <v>-15.560759129999999</v>
      </c>
      <c r="G3080" s="11">
        <f>[1]!EM_S_PQ_PCTCHANGE(B3080,"2018-12-31","2019-12-30","1")</f>
        <v>-20.976616230000001</v>
      </c>
      <c r="H3080" s="11">
        <f>[1]!EM_S_FA_YOY_OR(B3080,E3080)</f>
        <v>16.886569371899999</v>
      </c>
      <c r="I3080" s="11">
        <f>[1]!EM_S_FA_GROSSPROFITMARGIN(B3080,E3080)</f>
        <v>35.8044136189</v>
      </c>
      <c r="J3080" s="11">
        <f>[1]!EM_S_FA_NETPROFITMARGIN(B3080,E3080)</f>
        <v>8.7994330950999995</v>
      </c>
      <c r="K3080" s="10">
        <f>[1]!EM_S_FA_ASSETSTURN(B3080,E3080)</f>
        <v>0.553023708758</v>
      </c>
      <c r="L3080" s="12">
        <f>[1]!EM_HKS_VAL_MV(B3080,"2019-12-31","2")</f>
        <v>2207504178</v>
      </c>
      <c r="M3080">
        <f>[1]!EM_S_VAL_PETTMDEDUCTED(B3080,E3080)</f>
        <v>60.5713730367804</v>
      </c>
      <c r="N3080" s="7">
        <f>[1]!EM_S_VAL_PBGOODWILLDEDUCTED(B3080,E3080)</f>
        <v>2.6398186735281302</v>
      </c>
      <c r="O3080" s="7">
        <f>[1]!EM_S_VAL_PS_TTM(B3080,E3080)</f>
        <v>3.1841972717637201</v>
      </c>
      <c r="P3080" s="7">
        <f>[1]!EM_S_VAL_PCF_NCFTTM(B3080,E3080)</f>
        <v>-35.277654715527802</v>
      </c>
      <c r="Q3080" s="7">
        <f>[1]!EM_S_VAL_DIVIDENDYIELD2(B3080,E3080,"2019-11-29")</f>
        <v>0.70979237339737167</v>
      </c>
      <c r="T3080"/>
      <c r="U3080">
        <f>[1]!EM_S_RATIO_EPS_TTM(B3080,E3080,"1")</f>
        <v>0.46369461129765871</v>
      </c>
      <c r="AT3080" s="4" t="str">
        <f>[1]!EM_S_IPO_LISTEDDATE(B3080)</f>
        <v>2016-02-02</v>
      </c>
    </row>
    <row r="3081" spans="1:46">
      <c r="A3081">
        <v>2614</v>
      </c>
      <c r="B3081" t="str">
        <f>"600535"</f>
        <v>600535</v>
      </c>
      <c r="C3081" t="s">
        <v>432</v>
      </c>
      <c r="D3081" t="str">
        <f>[1]!EM_S_INFO_INDEX_EM(B3081,"1")</f>
        <v>医药生物</v>
      </c>
      <c r="E3081" s="4">
        <f t="shared" si="48"/>
        <v>43465</v>
      </c>
      <c r="F3081" s="11">
        <f>[1]!EM_S_PQ_PCTCHANGE(B3081,"2018-01-01","2019-12-31","3")</f>
        <v>-37.58267979</v>
      </c>
      <c r="G3081" s="11">
        <f>[1]!EM_S_PQ_PCTCHANGE(B3081,"2018-12-31","2019-12-30","1")</f>
        <v>-20.989583329999999</v>
      </c>
      <c r="H3081" s="11">
        <f>[1]!EM_S_FA_YOY_OR(B3081,E3081)</f>
        <v>11.776864681499999</v>
      </c>
      <c r="I3081" s="11">
        <f>[1]!EM_S_FA_GROSSPROFITMARGIN(B3081,E3081)</f>
        <v>36.198964850899998</v>
      </c>
      <c r="J3081" s="11">
        <f>[1]!EM_S_FA_NETPROFITMARGIN(B3081,E3081)</f>
        <v>8.8492099845999999</v>
      </c>
      <c r="K3081" s="10">
        <f>[1]!EM_S_FA_ASSETSTURN(B3081,E3081)</f>
        <v>0.77036928729800003</v>
      </c>
      <c r="L3081" s="12">
        <f>[1]!EM_HKS_VAL_MV(B3081,"2019-12-31","2")</f>
        <v>23325313251.18</v>
      </c>
      <c r="M3081">
        <f>[1]!EM_S_VAL_PETTMDEDUCTED(B3081,E3081)</f>
        <v>20.017452625892702</v>
      </c>
      <c r="N3081" s="7">
        <f>[1]!EM_S_VAL_PBGOODWILLDEDUCTED(B3081,E3081)</f>
        <v>2.8040912443259698</v>
      </c>
      <c r="O3081" s="7">
        <f>[1]!EM_S_VAL_PS_TTM(B3081,E3081)</f>
        <v>1.6173740709151101</v>
      </c>
      <c r="P3081" s="7">
        <f>[1]!EM_S_VAL_PCF_NCFTTM(B3081,E3081)</f>
        <v>18.856959004800199</v>
      </c>
      <c r="Q3081" s="7">
        <f>[1]!EM_S_VAL_DIVIDENDYIELD2(B3081,E3081,"2019-11-29")</f>
        <v>1.9659239842726079</v>
      </c>
      <c r="T3081"/>
      <c r="U3081">
        <f>[1]!EM_S_RATIO_EPS_TTM(B3081,E3081,"1")</f>
        <v>1.0214864015054308</v>
      </c>
      <c r="AT3081" s="4" t="str">
        <f>[1]!EM_S_IPO_LISTEDDATE(B3081)</f>
        <v>2002-08-23</v>
      </c>
    </row>
    <row r="3082" spans="1:46">
      <c r="A3082">
        <v>2404</v>
      </c>
      <c r="B3082" t="str">
        <f>"600275"</f>
        <v>600275</v>
      </c>
      <c r="C3082" t="s">
        <v>3639</v>
      </c>
      <c r="D3082" t="str">
        <f>[1]!EM_S_INFO_INDEX_EM(B3082,"1")</f>
        <v>农林牧渔</v>
      </c>
      <c r="E3082" s="4">
        <f t="shared" si="48"/>
        <v>43465</v>
      </c>
      <c r="F3082" s="11">
        <f>[1]!EM_S_PQ_PCTCHANGE(B3082,"2018-01-01","2019-12-31","3")</f>
        <v>-63.5</v>
      </c>
      <c r="G3082" s="11">
        <f>[1]!EM_S_PQ_PCTCHANGE(B3082,"2018-12-31","2019-12-30","1")</f>
        <v>-21.014492749999999</v>
      </c>
      <c r="H3082" s="11">
        <f>[1]!EM_S_FA_YOY_OR(B3082,E3082)</f>
        <v>161.8889240407</v>
      </c>
      <c r="I3082" s="11">
        <f>[1]!EM_S_FA_GROSSPROFITMARGIN(B3082,E3082)</f>
        <v>20.293382153700001</v>
      </c>
      <c r="J3082" s="11">
        <f>[1]!EM_S_FA_NETPROFITMARGIN(B3082,E3082)</f>
        <v>11.2938517559</v>
      </c>
      <c r="K3082" s="10">
        <f>[1]!EM_S_FA_ASSETSTURN(B3082,E3082)</f>
        <v>0.13314934323300001</v>
      </c>
      <c r="L3082" s="12">
        <f>[1]!EM_HKS_VAL_MV(B3082,"2019-12-31","2")</f>
        <v>1114353551.22</v>
      </c>
      <c r="M3082">
        <f>[1]!EM_S_VAL_PETTMDEDUCTED(B3082,E3082)</f>
        <v>-62.607838408139997</v>
      </c>
      <c r="N3082" s="7">
        <f>[1]!EM_S_VAL_PBGOODWILLDEDUCTED(B3082,E3082)</f>
        <v>9.2686137844935104</v>
      </c>
      <c r="O3082" s="7">
        <f>[1]!EM_S_VAL_PS_TTM(B3082,E3082)</f>
        <v>58.3550689544835</v>
      </c>
      <c r="P3082" s="7">
        <f>[1]!EM_S_VAL_PCF_NCFTTM(B3082,E3082)</f>
        <v>27.9679403027842</v>
      </c>
      <c r="Q3082" s="7">
        <f>[1]!EM_S_VAL_DIVIDENDYIELD2(B3082,E3082,"2019-11-29")</f>
        <v>0</v>
      </c>
      <c r="T3082"/>
      <c r="U3082">
        <f>[1]!EM_S_RATIO_EPS_TTM(B3082,E3082,"1")</f>
        <v>8.4136305880977997E-3</v>
      </c>
      <c r="AT3082" s="4" t="str">
        <f>[1]!EM_S_IPO_LISTEDDATE(B3082)</f>
        <v>2000-08-10</v>
      </c>
    </row>
    <row r="3083" spans="1:46">
      <c r="A3083">
        <v>3593</v>
      </c>
      <c r="B3083" t="str">
        <f>"603900"</f>
        <v>603900</v>
      </c>
      <c r="C3083" t="s">
        <v>317</v>
      </c>
      <c r="D3083" t="str">
        <f>[1]!EM_S_INFO_INDEX_EM(B3083,"1")</f>
        <v>轻工制造</v>
      </c>
      <c r="E3083" s="4">
        <f t="shared" si="48"/>
        <v>43465</v>
      </c>
      <c r="F3083" s="11">
        <f>[1]!EM_S_PQ_PCTCHANGE(B3083,"2018-01-01","2019-12-31","3")</f>
        <v>-65.398241960000007</v>
      </c>
      <c r="G3083" s="11">
        <f>[1]!EM_S_PQ_PCTCHANGE(B3083,"2018-12-31","2019-12-30","1")</f>
        <v>-21.074727119999999</v>
      </c>
      <c r="H3083" s="11">
        <f>[1]!EM_S_FA_YOY_OR(B3083,E3083)</f>
        <v>-15.293373771900001</v>
      </c>
      <c r="I3083" s="11">
        <f>[1]!EM_S_FA_GROSSPROFITMARGIN(B3083,E3083)</f>
        <v>55.494937890099997</v>
      </c>
      <c r="J3083" s="11">
        <f>[1]!EM_S_FA_NETPROFITMARGIN(B3083,E3083)</f>
        <v>12.5696624362</v>
      </c>
      <c r="K3083" s="10">
        <f>[1]!EM_S_FA_ASSETSTURN(B3083,E3083)</f>
        <v>0.59273532609299995</v>
      </c>
      <c r="L3083" s="12">
        <f>[1]!EM_HKS_VAL_MV(B3083,"2019-12-31","2")</f>
        <v>3217477788</v>
      </c>
      <c r="M3083">
        <f>[1]!EM_S_VAL_PETTMDEDUCTED(B3083,E3083)</f>
        <v>17.3904301556957</v>
      </c>
      <c r="N3083" s="7">
        <f>[1]!EM_S_VAL_PBGOODWILLDEDUCTED(B3083,E3083)</f>
        <v>1.7094897842819501</v>
      </c>
      <c r="O3083" s="7">
        <f>[1]!EM_S_VAL_PS_TTM(B3083,E3083)</f>
        <v>2.2105658887546</v>
      </c>
      <c r="P3083" s="7">
        <f>[1]!EM_S_VAL_PCF_NCFTTM(B3083,E3083)</f>
        <v>-38.300142439877597</v>
      </c>
      <c r="Q3083" s="7">
        <f>[1]!EM_S_VAL_DIVIDENDYIELD2(B3083,E3083,"2019-11-29")</f>
        <v>6.7340067340067336</v>
      </c>
      <c r="T3083"/>
      <c r="U3083">
        <f>[1]!EM_S_RATIO_EPS_TTM(B3083,E3083,"1")</f>
        <v>0.61563376234720413</v>
      </c>
      <c r="AT3083" s="4" t="str">
        <f>[1]!EM_S_IPO_LISTEDDATE(B3083)</f>
        <v>2016-11-23</v>
      </c>
    </row>
    <row r="3084" spans="1:46">
      <c r="A3084">
        <v>3482</v>
      </c>
      <c r="B3084" t="str">
        <f>"603663"</f>
        <v>603663</v>
      </c>
      <c r="C3084" t="s">
        <v>374</v>
      </c>
      <c r="D3084" t="str">
        <f>[1]!EM_S_INFO_INDEX_EM(B3084,"1")</f>
        <v>有色金属</v>
      </c>
      <c r="E3084" s="4">
        <f t="shared" si="48"/>
        <v>43465</v>
      </c>
      <c r="F3084" s="11">
        <f>[1]!EM_S_PQ_PCTCHANGE(B3084,"2018-01-01","2019-12-31","3")</f>
        <v>-6.0547123799999998</v>
      </c>
      <c r="G3084" s="11">
        <f>[1]!EM_S_PQ_PCTCHANGE(B3084,"2018-12-31","2019-12-30","1")</f>
        <v>-21.176470590000001</v>
      </c>
      <c r="H3084" s="11">
        <f>[1]!EM_S_FA_YOY_OR(B3084,E3084)</f>
        <v>46.7549459058</v>
      </c>
      <c r="I3084" s="11">
        <f>[1]!EM_S_FA_GROSSPROFITMARGIN(B3084,E3084)</f>
        <v>26.776445343199999</v>
      </c>
      <c r="J3084" s="11">
        <f>[1]!EM_S_FA_NETPROFITMARGIN(B3084,E3084)</f>
        <v>12.242200376</v>
      </c>
      <c r="K3084" s="10">
        <f>[1]!EM_S_FA_ASSETSTURN(B3084,E3084)</f>
        <v>0.84086811739099998</v>
      </c>
      <c r="L3084" s="12">
        <f>[1]!EM_HKS_VAL_MV(B3084,"2019-12-31","2")</f>
        <v>2542088999.52</v>
      </c>
      <c r="M3084">
        <f>[1]!EM_S_VAL_PETTMDEDUCTED(B3084,E3084)</f>
        <v>29.740433768653201</v>
      </c>
      <c r="N3084" s="7">
        <f>[1]!EM_S_VAL_PBGOODWILLDEDUCTED(B3084,E3084)</f>
        <v>4.6777775337233898</v>
      </c>
      <c r="O3084" s="7">
        <f>[1]!EM_S_VAL_PS_TTM(B3084,E3084)</f>
        <v>4.1143654367484297</v>
      </c>
      <c r="P3084" s="7">
        <f>[1]!EM_S_VAL_PCF_NCFTTM(B3084,E3084)</f>
        <v>-311.01581534630901</v>
      </c>
      <c r="Q3084" s="7">
        <f>[1]!EM_S_VAL_DIVIDENDYIELD2(B3084,E3084,"2019-11-29")</f>
        <v>0.85509063960779852</v>
      </c>
      <c r="T3084"/>
      <c r="U3084">
        <f>[1]!EM_S_RATIO_EPS_TTM(B3084,E3084,"1")</f>
        <v>0.54662149378449476</v>
      </c>
      <c r="AT3084" s="4" t="str">
        <f>[1]!EM_S_IPO_LISTEDDATE(B3084)</f>
        <v>2016-08-01</v>
      </c>
    </row>
    <row r="3085" spans="1:46">
      <c r="A3085">
        <v>2024</v>
      </c>
      <c r="B3085" t="str">
        <f>"300604"</f>
        <v>300604</v>
      </c>
      <c r="C3085" t="s">
        <v>1533</v>
      </c>
      <c r="D3085" t="str">
        <f>[1]!EM_S_INFO_INDEX_EM(B3085,"1")</f>
        <v>机械设备</v>
      </c>
      <c r="E3085" s="4">
        <f t="shared" si="48"/>
        <v>43465</v>
      </c>
      <c r="F3085" s="11">
        <f>[1]!EM_S_PQ_PCTCHANGE(B3085,"2018-01-01","2019-12-31","3")</f>
        <v>39.515395699999999</v>
      </c>
      <c r="G3085" s="11">
        <f>[1]!EM_S_PQ_PCTCHANGE(B3085,"2018-12-31","2019-12-30","1")</f>
        <v>-21.20915033</v>
      </c>
      <c r="H3085" s="11">
        <f>[1]!EM_S_FA_YOY_OR(B3085,E3085)</f>
        <v>20.204750671300001</v>
      </c>
      <c r="I3085" s="11">
        <f>[1]!EM_S_FA_GROSSPROFITMARGIN(B3085,E3085)</f>
        <v>55.604669120200001</v>
      </c>
      <c r="J3085" s="11">
        <f>[1]!EM_S_FA_NETPROFITMARGIN(B3085,E3085)</f>
        <v>16.875256663999998</v>
      </c>
      <c r="K3085" s="10">
        <f>[1]!EM_S_FA_ASSETSTURN(B3085,E3085)</f>
        <v>0.35491055254100001</v>
      </c>
      <c r="L3085" s="12">
        <f>[1]!EM_HKS_VAL_MV(B3085,"2019-12-31","2")</f>
        <v>7486025521.6199999</v>
      </c>
      <c r="M3085">
        <f>[1]!EM_S_VAL_PETTMDEDUCTED(B3085,E3085)</f>
        <v>100.473283152208</v>
      </c>
      <c r="N3085" s="7">
        <f>[1]!EM_S_VAL_PBGOODWILLDEDUCTED(B3085,E3085)</f>
        <v>9.6963325163212595</v>
      </c>
      <c r="O3085" s="7">
        <f>[1]!EM_S_VAL_PS_TTM(B3085,E3085)</f>
        <v>18.054558769452999</v>
      </c>
      <c r="P3085" s="7">
        <f>[1]!EM_S_VAL_PCF_NCFTTM(B3085,E3085)</f>
        <v>-352.464385285883</v>
      </c>
      <c r="Q3085" s="7">
        <f>[1]!EM_S_VAL_DIVIDENDYIELD2(B3085,E3085,"2019-11-29")</f>
        <v>0.24219105947975123</v>
      </c>
      <c r="T3085"/>
      <c r="U3085">
        <f>[1]!EM_S_RATIO_EPS_TTM(B3085,E3085,"1")</f>
        <v>0.24459426584954302</v>
      </c>
      <c r="AT3085" s="4" t="str">
        <f>[1]!EM_S_IPO_LISTEDDATE(B3085)</f>
        <v>2017-04-17</v>
      </c>
    </row>
    <row r="3086" spans="1:46">
      <c r="A3086">
        <v>3153</v>
      </c>
      <c r="B3086" t="str">
        <f>"601800"</f>
        <v>601800</v>
      </c>
      <c r="C3086" t="s">
        <v>1320</v>
      </c>
      <c r="D3086" t="str">
        <f>[1]!EM_S_INFO_INDEX_EM(B3086,"1")</f>
        <v>建筑</v>
      </c>
      <c r="E3086" s="4">
        <f t="shared" si="48"/>
        <v>43465</v>
      </c>
      <c r="F3086" s="11">
        <f>[1]!EM_S_PQ_PCTCHANGE(B3086,"2018-01-01","2019-12-31","3")</f>
        <v>-25.413147070000001</v>
      </c>
      <c r="G3086" s="11">
        <f>[1]!EM_S_PQ_PCTCHANGE(B3086,"2018-12-31","2019-12-30","1")</f>
        <v>-21.403197160000001</v>
      </c>
      <c r="H3086" s="11">
        <f>[1]!EM_S_FA_YOY_OR(B3086,E3086)</f>
        <v>1.6710261338000001</v>
      </c>
      <c r="I3086" s="11">
        <f>[1]!EM_S_FA_GROSSPROFITMARGIN(B3086,E3086)</f>
        <v>13.4865321682</v>
      </c>
      <c r="J3086" s="11">
        <f>[1]!EM_S_FA_NETPROFITMARGIN(B3086,E3086)</f>
        <v>4.1342243674999999</v>
      </c>
      <c r="K3086" s="10">
        <f>[1]!EM_S_FA_ASSETSTURN(B3086,E3086)</f>
        <v>0.54218705086399999</v>
      </c>
      <c r="L3086" s="12">
        <f>[1]!EM_HKS_VAL_MV(B3086,"2019-12-31","2")</f>
        <v>148160576493</v>
      </c>
      <c r="M3086">
        <f>[1]!EM_S_VAL_PETTMDEDUCTED(B3086,E3086)</f>
        <v>11.096774140407801</v>
      </c>
      <c r="N3086" s="7">
        <f>[1]!EM_S_VAL_PBGOODWILLDEDUCTED(B3086,E3086)</f>
        <v>1.0867369944657199</v>
      </c>
      <c r="O3086" s="7">
        <f>[1]!EM_S_VAL_PS_TTM(B3086,E3086)</f>
        <v>0.36132514019772</v>
      </c>
      <c r="P3086" s="7">
        <f>[1]!EM_S_VAL_PCF_NCFTTM(B3086,E3086)</f>
        <v>13.3146956233866</v>
      </c>
      <c r="Q3086" s="7">
        <f>[1]!EM_S_VAL_DIVIDENDYIELD2(B3086,E3086,"2019-11-29")</f>
        <v>2.564111111111111</v>
      </c>
      <c r="T3086"/>
      <c r="U3086">
        <f>[1]!EM_S_RATIO_EPS_TTM(B3086,E3086,"1")</f>
        <v>1.2167380336609122</v>
      </c>
      <c r="AT3086" s="4" t="str">
        <f>[1]!EM_S_IPO_LISTEDDATE(B3086)</f>
        <v>2012-03-09</v>
      </c>
    </row>
    <row r="3087" spans="1:46">
      <c r="A3087">
        <v>3260</v>
      </c>
      <c r="B3087" t="str">
        <f>"603088"</f>
        <v>603088</v>
      </c>
      <c r="C3087" t="s">
        <v>1549</v>
      </c>
      <c r="D3087" t="str">
        <f>[1]!EM_S_INFO_INDEX_EM(B3087,"1")</f>
        <v>机械设备</v>
      </c>
      <c r="E3087" s="4">
        <f t="shared" si="48"/>
        <v>43465</v>
      </c>
      <c r="F3087" s="11">
        <f>[1]!EM_S_PQ_PCTCHANGE(B3087,"2018-01-01","2019-12-31","3")</f>
        <v>-56.938807990000001</v>
      </c>
      <c r="G3087" s="11">
        <f>[1]!EM_S_PQ_PCTCHANGE(B3087,"2018-12-31","2019-12-30","1")</f>
        <v>-21.428571430000002</v>
      </c>
      <c r="H3087" s="11">
        <f>[1]!EM_S_FA_YOY_OR(B3087,E3087)</f>
        <v>11.682536818399999</v>
      </c>
      <c r="I3087" s="11">
        <f>[1]!EM_S_FA_GROSSPROFITMARGIN(B3087,E3087)</f>
        <v>36.661863356200001</v>
      </c>
      <c r="J3087" s="11">
        <f>[1]!EM_S_FA_NETPROFITMARGIN(B3087,E3087)</f>
        <v>11.8352614846</v>
      </c>
      <c r="K3087" s="10">
        <f>[1]!EM_S_FA_ASSETSTURN(B3087,E3087)</f>
        <v>0.452049198599</v>
      </c>
      <c r="L3087" s="12">
        <f>[1]!EM_HKS_VAL_MV(B3087,"2019-12-31","2")</f>
        <v>1392384000</v>
      </c>
      <c r="M3087">
        <f>[1]!EM_S_VAL_PETTMDEDUCTED(B3087,E3087)</f>
        <v>34.553619399159402</v>
      </c>
      <c r="N3087" s="7">
        <f>[1]!EM_S_VAL_PBGOODWILLDEDUCTED(B3087,E3087)</f>
        <v>2.4399385029261</v>
      </c>
      <c r="O3087" s="7">
        <f>[1]!EM_S_VAL_PS_TTM(B3087,E3087)</f>
        <v>3.8760336679923699</v>
      </c>
      <c r="P3087" s="7">
        <f>[1]!EM_S_VAL_PCF_NCFTTM(B3087,E3087)</f>
        <v>39.116403284193503</v>
      </c>
      <c r="Q3087" s="7">
        <f>[1]!EM_S_VAL_DIVIDENDYIELD2(B3087,E3087,"2019-11-29")</f>
        <v>2.7840612493474857</v>
      </c>
      <c r="T3087"/>
      <c r="U3087">
        <f>[1]!EM_S_RATIO_EPS_TTM(B3087,E3087,"1")</f>
        <v>0.36091587544642856</v>
      </c>
      <c r="AT3087" s="4" t="str">
        <f>[1]!EM_S_IPO_LISTEDDATE(B3087)</f>
        <v>2014-11-11</v>
      </c>
    </row>
    <row r="3088" spans="1:46">
      <c r="A3088">
        <v>3244</v>
      </c>
      <c r="B3088" t="str">
        <f>"603058"</f>
        <v>603058</v>
      </c>
      <c r="C3088" t="s">
        <v>452</v>
      </c>
      <c r="D3088" t="str">
        <f>[1]!EM_S_INFO_INDEX_EM(B3088,"1")</f>
        <v>轻工制造</v>
      </c>
      <c r="E3088" s="4">
        <f t="shared" si="48"/>
        <v>43465</v>
      </c>
      <c r="F3088" s="11">
        <f>[1]!EM_S_PQ_PCTCHANGE(B3088,"2018-01-01","2019-12-31","3")</f>
        <v>-38.302576129999998</v>
      </c>
      <c r="G3088" s="11">
        <f>[1]!EM_S_PQ_PCTCHANGE(B3088,"2018-12-31","2019-12-30","1")</f>
        <v>-21.451104099999998</v>
      </c>
      <c r="H3088" s="11">
        <f>[1]!EM_S_FA_YOY_OR(B3088,E3088)</f>
        <v>29.1029602162</v>
      </c>
      <c r="I3088" s="11">
        <f>[1]!EM_S_FA_GROSSPROFITMARGIN(B3088,E3088)</f>
        <v>40.757299481499999</v>
      </c>
      <c r="J3088" s="11">
        <f>[1]!EM_S_FA_NETPROFITMARGIN(B3088,E3088)</f>
        <v>25.828979906099999</v>
      </c>
      <c r="K3088" s="10">
        <f>[1]!EM_S_FA_ASSETSTURN(B3088,E3088)</f>
        <v>0.44094356850900002</v>
      </c>
      <c r="L3088" s="12">
        <f>[1]!EM_HKS_VAL_MV(B3088,"2019-12-31","2")</f>
        <v>3109532048</v>
      </c>
      <c r="M3088">
        <f>[1]!EM_S_VAL_PETTMDEDUCTED(B3088,E3088)</f>
        <v>35.215357192863202</v>
      </c>
      <c r="N3088" s="7">
        <f>[1]!EM_S_VAL_PBGOODWILLDEDUCTED(B3088,E3088)</f>
        <v>4.3208579247470098</v>
      </c>
      <c r="O3088" s="7">
        <f>[1]!EM_S_VAL_PS_TTM(B3088,E3088)</f>
        <v>9.4634922655584894</v>
      </c>
      <c r="P3088" s="7">
        <f>[1]!EM_S_VAL_PCF_NCFTTM(B3088,E3088)</f>
        <v>25.146405253771899</v>
      </c>
      <c r="Q3088" s="7">
        <f>[1]!EM_S_VAL_DIVIDENDYIELD2(B3088,E3088,"2019-11-29")</f>
        <v>0.708215297450425</v>
      </c>
      <c r="T3088"/>
      <c r="U3088">
        <f>[1]!EM_S_RATIO_EPS_TTM(B3088,E3088,"1")</f>
        <v>0.26342482460862787</v>
      </c>
      <c r="AT3088" s="4" t="str">
        <f>[1]!EM_S_IPO_LISTEDDATE(B3088)</f>
        <v>2016-12-23</v>
      </c>
    </row>
    <row r="3089" spans="1:46">
      <c r="A3089">
        <v>1839</v>
      </c>
      <c r="B3089" t="str">
        <f>"300414"</f>
        <v>300414</v>
      </c>
      <c r="C3089" t="s">
        <v>1910</v>
      </c>
      <c r="D3089" t="str">
        <f>[1]!EM_S_INFO_INDEX_EM(B3089,"1")</f>
        <v>电气设备</v>
      </c>
      <c r="E3089" s="4">
        <f t="shared" si="48"/>
        <v>43465</v>
      </c>
      <c r="F3089" s="11">
        <f>[1]!EM_S_PQ_PCTCHANGE(B3089,"2018-01-01","2019-12-31","3")</f>
        <v>5.6292873500000002</v>
      </c>
      <c r="G3089" s="11">
        <f>[1]!EM_S_PQ_PCTCHANGE(B3089,"2018-12-31","2019-12-30","1")</f>
        <v>-21.480026200000001</v>
      </c>
      <c r="H3089" s="11">
        <f>[1]!EM_S_FA_YOY_OR(B3089,E3089)</f>
        <v>4.2447654814</v>
      </c>
      <c r="I3089" s="11">
        <f>[1]!EM_S_FA_GROSSPROFITMARGIN(B3089,E3089)</f>
        <v>33.425862487300002</v>
      </c>
      <c r="J3089" s="11">
        <f>[1]!EM_S_FA_NETPROFITMARGIN(B3089,E3089)</f>
        <v>13.823547849300001</v>
      </c>
      <c r="K3089" s="10">
        <f>[1]!EM_S_FA_ASSETSTURN(B3089,E3089)</f>
        <v>0.38847389126300003</v>
      </c>
      <c r="L3089" s="12">
        <f>[1]!EM_HKS_VAL_MV(B3089,"2019-12-31","2")</f>
        <v>3939016942.5799999</v>
      </c>
      <c r="M3089">
        <f>[1]!EM_S_VAL_PETTMDEDUCTED(B3089,E3089)</f>
        <v>95.805218026351199</v>
      </c>
      <c r="N3089" s="7">
        <f>[1]!EM_S_VAL_PBGOODWILLDEDUCTED(B3089,E3089)</f>
        <v>3.2681373250578098</v>
      </c>
      <c r="O3089" s="7">
        <f>[1]!EM_S_VAL_PS_TTM(B3089,E3089)</f>
        <v>7.0559448834289702</v>
      </c>
      <c r="P3089" s="7">
        <f>[1]!EM_S_VAL_PCF_NCFTTM(B3089,E3089)</f>
        <v>-19.483532904796501</v>
      </c>
      <c r="Q3089" s="7">
        <f>[1]!EM_S_VAL_DIVIDENDYIELD2(B3089,E3089,"2019-11-29")</f>
        <v>0.35743007873166066</v>
      </c>
      <c r="T3089"/>
      <c r="U3089">
        <f>[1]!EM_S_RATIO_EPS_TTM(B3089,E3089,"1")</f>
        <v>0.3135211906364801</v>
      </c>
      <c r="AT3089" s="4" t="str">
        <f>[1]!EM_S_IPO_LISTEDDATE(B3089)</f>
        <v>2015-05-13</v>
      </c>
    </row>
    <row r="3090" spans="1:46">
      <c r="A3090">
        <v>1384</v>
      </c>
      <c r="B3090" t="str">
        <f>"002885"</f>
        <v>002885</v>
      </c>
      <c r="C3090" t="s">
        <v>2136</v>
      </c>
      <c r="D3090" t="str">
        <f>[1]!EM_S_INFO_INDEX_EM(B3090,"1")</f>
        <v>电子设备</v>
      </c>
      <c r="E3090" s="4">
        <f t="shared" si="48"/>
        <v>43465</v>
      </c>
      <c r="F3090" s="11">
        <f>[1]!EM_S_PQ_PCTCHANGE(B3090,"2018-01-01","2019-12-31","3")</f>
        <v>-2.5267809699999999</v>
      </c>
      <c r="G3090" s="11">
        <f>[1]!EM_S_PQ_PCTCHANGE(B3090,"2018-12-31","2019-12-30","1")</f>
        <v>-21.513002360000002</v>
      </c>
      <c r="H3090" s="11">
        <f>[1]!EM_S_FA_YOY_OR(B3090,E3090)</f>
        <v>2.3157233274000002</v>
      </c>
      <c r="I3090" s="11">
        <f>[1]!EM_S_FA_GROSSPROFITMARGIN(B3090,E3090)</f>
        <v>17.319091768900002</v>
      </c>
      <c r="J3090" s="11">
        <f>[1]!EM_S_FA_NETPROFITMARGIN(B3090,E3090)</f>
        <v>6.6419499626</v>
      </c>
      <c r="K3090" s="10">
        <f>[1]!EM_S_FA_ASSETSTURN(B3090,E3090)</f>
        <v>0.84186101446299999</v>
      </c>
      <c r="L3090" s="12">
        <f>[1]!EM_HKS_VAL_MV(B3090,"2019-12-31","2")</f>
        <v>3013200000</v>
      </c>
      <c r="M3090">
        <f>[1]!EM_S_VAL_PETTMDEDUCTED(B3090,E3090)</f>
        <v>43.9214312332278</v>
      </c>
      <c r="N3090" s="7">
        <f>[1]!EM_S_VAL_PBGOODWILLDEDUCTED(B3090,E3090)</f>
        <v>3.44409999615594</v>
      </c>
      <c r="O3090" s="7">
        <f>[1]!EM_S_VAL_PS_TTM(B3090,E3090)</f>
        <v>1.9878300740600301</v>
      </c>
      <c r="P3090" s="7">
        <f>[1]!EM_S_VAL_PCF_NCFTTM(B3090,E3090)</f>
        <v>-20.814840807103501</v>
      </c>
      <c r="Q3090" s="7">
        <f>[1]!EM_S_VAL_DIVIDENDYIELD2(B3090,E3090,"2019-11-29")</f>
        <v>0.31989763275751759</v>
      </c>
      <c r="T3090"/>
      <c r="U3090">
        <f>[1]!EM_S_RATIO_EPS_TTM(B3090,E3090,"1")</f>
        <v>0.66446225383333324</v>
      </c>
      <c r="AT3090" s="4" t="str">
        <f>[1]!EM_S_IPO_LISTEDDATE(B3090)</f>
        <v>2017-06-27</v>
      </c>
    </row>
    <row r="3091" spans="1:46">
      <c r="A3091">
        <v>3409</v>
      </c>
      <c r="B3091" t="str">
        <f>"603499"</f>
        <v>603499</v>
      </c>
      <c r="C3091" t="s">
        <v>1014</v>
      </c>
      <c r="D3091" t="str">
        <f>[1]!EM_S_INFO_INDEX_EM(B3091,"1")</f>
        <v>轻工制造</v>
      </c>
      <c r="E3091" s="4">
        <f t="shared" si="48"/>
        <v>43465</v>
      </c>
      <c r="F3091" s="11">
        <f>[1]!EM_S_PQ_PCTCHANGE(B3091,"2018-01-01","2019-12-31","3")</f>
        <v>-8.7371462900000001</v>
      </c>
      <c r="G3091" s="11">
        <f>[1]!EM_S_PQ_PCTCHANGE(B3091,"2018-12-31","2019-12-30","1")</f>
        <v>-21.593186370000002</v>
      </c>
      <c r="H3091" s="11">
        <f>[1]!EM_S_FA_YOY_OR(B3091,E3091)</f>
        <v>5.3478771945999997</v>
      </c>
      <c r="I3091" s="11">
        <f>[1]!EM_S_FA_GROSSPROFITMARGIN(B3091,E3091)</f>
        <v>23.163740045200001</v>
      </c>
      <c r="J3091" s="11">
        <f>[1]!EM_S_FA_NETPROFITMARGIN(B3091,E3091)</f>
        <v>13.4473419665</v>
      </c>
      <c r="K3091" s="10">
        <f>[1]!EM_S_FA_ASSETSTURN(B3091,E3091)</f>
        <v>0.52315755430800004</v>
      </c>
      <c r="L3091" s="12">
        <f>[1]!EM_HKS_VAL_MV(B3091,"2019-12-31","2")</f>
        <v>2255358714</v>
      </c>
      <c r="M3091">
        <f>[1]!EM_S_VAL_PETTMDEDUCTED(B3091,E3091)</f>
        <v>52.178062060419897</v>
      </c>
      <c r="N3091" s="7">
        <f>[1]!EM_S_VAL_PBGOODWILLDEDUCTED(B3091,E3091)</f>
        <v>3.7613591204971799</v>
      </c>
      <c r="O3091" s="7">
        <f>[1]!EM_S_VAL_PS_TTM(B3091,E3091)</f>
        <v>5.4741336532752403</v>
      </c>
      <c r="P3091" s="7">
        <f>[1]!EM_S_VAL_PCF_NCFTTM(B3091,E3091)</f>
        <v>49.253204376682902</v>
      </c>
      <c r="Q3091" s="7">
        <f>[1]!EM_S_VAL_DIVIDENDYIELD2(B3091,E3091,"2019-11-29")</f>
        <v>1.0497947974766144</v>
      </c>
      <c r="T3091"/>
      <c r="U3091">
        <f>[1]!EM_S_RATIO_EPS_TTM(B3091,E3091,"1")</f>
        <v>0.47440429962771563</v>
      </c>
      <c r="AT3091" s="4" t="str">
        <f>[1]!EM_S_IPO_LISTEDDATE(B3091)</f>
        <v>2017-10-16</v>
      </c>
    </row>
    <row r="3092" spans="1:46">
      <c r="A3092">
        <v>1701</v>
      </c>
      <c r="B3092" t="str">
        <f>"300276"</f>
        <v>300276</v>
      </c>
      <c r="C3092" t="s">
        <v>1775</v>
      </c>
      <c r="D3092" t="str">
        <f>[1]!EM_S_INFO_INDEX_EM(B3092,"1")</f>
        <v>机械设备</v>
      </c>
      <c r="E3092" s="4">
        <f t="shared" si="48"/>
        <v>43465</v>
      </c>
      <c r="F3092" s="11">
        <f>[1]!EM_S_PQ_PCTCHANGE(B3092,"2018-01-01","2019-12-31","3")</f>
        <v>-2.7875961399999998</v>
      </c>
      <c r="G3092" s="11">
        <f>[1]!EM_S_PQ_PCTCHANGE(B3092,"2018-12-31","2019-12-30","1")</f>
        <v>-21.629485939999999</v>
      </c>
      <c r="H3092" s="11">
        <f>[1]!EM_S_FA_YOY_OR(B3092,E3092)</f>
        <v>186.56321086720001</v>
      </c>
      <c r="I3092" s="11">
        <f>[1]!EM_S_FA_GROSSPROFITMARGIN(B3092,E3092)</f>
        <v>25.683077942200001</v>
      </c>
      <c r="J3092" s="11">
        <f>[1]!EM_S_FA_NETPROFITMARGIN(B3092,E3092)</f>
        <v>13.0212603269</v>
      </c>
      <c r="K3092" s="10">
        <f>[1]!EM_S_FA_ASSETSTURN(B3092,E3092)</f>
        <v>0.37603066174400002</v>
      </c>
      <c r="L3092" s="12">
        <f>[1]!EM_HKS_VAL_MV(B3092,"2019-12-31","2")</f>
        <v>6321594798.1499996</v>
      </c>
      <c r="M3092">
        <f>[1]!EM_S_VAL_PETTMDEDUCTED(B3092,E3092)</f>
        <v>25.798224149116301</v>
      </c>
      <c r="N3092" s="7">
        <f>[1]!EM_S_VAL_PBGOODWILLDEDUCTED(B3092,E3092)</f>
        <v>3.9186586306231201</v>
      </c>
      <c r="O3092" s="7">
        <f>[1]!EM_S_VAL_PS_TTM(B3092,E3092)</f>
        <v>3.4283923039271502</v>
      </c>
      <c r="P3092" s="7">
        <f>[1]!EM_S_VAL_PCF_NCFTTM(B3092,E3092)</f>
        <v>113.605062938654</v>
      </c>
      <c r="Q3092" s="7">
        <f>[1]!EM_S_VAL_DIVIDENDYIELD2(B3092,E3092,"2019-11-29")</f>
        <v>1.4007327495912882</v>
      </c>
      <c r="T3092"/>
      <c r="U3092">
        <f>[1]!EM_S_RATIO_EPS_TTM(B3092,E3092,"1")</f>
        <v>0.4297089572856006</v>
      </c>
      <c r="AT3092" s="4" t="str">
        <f>[1]!EM_S_IPO_LISTEDDATE(B3092)</f>
        <v>2011-11-15</v>
      </c>
    </row>
    <row r="3093" spans="1:46">
      <c r="A3093">
        <v>1183</v>
      </c>
      <c r="B3093" t="str">
        <f>"002672"</f>
        <v>002672</v>
      </c>
      <c r="C3093" t="s">
        <v>725</v>
      </c>
      <c r="D3093" t="str">
        <f>[1]!EM_S_INFO_INDEX_EM(B3093,"1")</f>
        <v>公用事业</v>
      </c>
      <c r="E3093" s="4">
        <f t="shared" si="48"/>
        <v>43465</v>
      </c>
      <c r="F3093" s="11">
        <f>[1]!EM_S_PQ_PCTCHANGE(B3093,"2018-01-01","2019-12-31","3")</f>
        <v>-43.226350279999998</v>
      </c>
      <c r="G3093" s="11">
        <f>[1]!EM_S_PQ_PCTCHANGE(B3093,"2018-12-31","2019-12-30","1")</f>
        <v>-21.67832168</v>
      </c>
      <c r="H3093" s="11">
        <f>[1]!EM_S_FA_YOY_OR(B3093,E3093)</f>
        <v>5.9497520712999998</v>
      </c>
      <c r="I3093" s="11">
        <f>[1]!EM_S_FA_GROSSPROFITMARGIN(B3093,E3093)</f>
        <v>35.286595084600002</v>
      </c>
      <c r="J3093" s="11">
        <f>[1]!EM_S_FA_NETPROFITMARGIN(B3093,E3093)</f>
        <v>14.4368305084</v>
      </c>
      <c r="K3093" s="10">
        <f>[1]!EM_S_FA_ASSETSTURN(B3093,E3093)</f>
        <v>0.34597302843599997</v>
      </c>
      <c r="L3093" s="12">
        <f>[1]!EM_HKS_VAL_MV(B3093,"2019-12-31","2")</f>
        <v>7913403918</v>
      </c>
      <c r="M3093">
        <f>[1]!EM_S_VAL_PETTMDEDUCTED(B3093,E3093)</f>
        <v>20.273511087060001</v>
      </c>
      <c r="N3093" s="7">
        <f>[1]!EM_S_VAL_PBGOODWILLDEDUCTED(B3093,E3093)</f>
        <v>3.58754413733066</v>
      </c>
      <c r="O3093" s="7">
        <f>[1]!EM_S_VAL_PS_TTM(B3093,E3093)</f>
        <v>2.9738028829844199</v>
      </c>
      <c r="P3093" s="7">
        <f>[1]!EM_S_VAL_PCF_NCFTTM(B3093,E3093)</f>
        <v>106.588250901207</v>
      </c>
      <c r="Q3093" s="7">
        <f>[1]!EM_S_VAL_DIVIDENDYIELD2(B3093,E3093,"2019-11-29")</f>
        <v>1.5392906884490296</v>
      </c>
      <c r="T3093"/>
      <c r="U3093">
        <f>[1]!EM_S_RATIO_EPS_TTM(B3093,E3093,"1")</f>
        <v>0.45983199102371425</v>
      </c>
      <c r="AT3093" s="4" t="str">
        <f>[1]!EM_S_IPO_LISTEDDATE(B3093)</f>
        <v>2012-04-26</v>
      </c>
    </row>
    <row r="3094" spans="1:46">
      <c r="A3094">
        <v>3440</v>
      </c>
      <c r="B3094" t="str">
        <f>"603580"</f>
        <v>603580</v>
      </c>
      <c r="C3094" t="s">
        <v>2195</v>
      </c>
      <c r="D3094" t="str">
        <f>[1]!EM_S_INFO_INDEX_EM(B3094,"1")</f>
        <v>基础化工</v>
      </c>
      <c r="E3094" s="4">
        <f t="shared" si="48"/>
        <v>43465</v>
      </c>
      <c r="F3094" s="11">
        <f>[1]!EM_S_PQ_PCTCHANGE(B3094,"2018-01-01","2019-12-31","3")</f>
        <v>-18.112757720000001</v>
      </c>
      <c r="G3094" s="11">
        <f>[1]!EM_S_PQ_PCTCHANGE(B3094,"2018-12-31","2019-12-30","1")</f>
        <v>-21.706399000000001</v>
      </c>
      <c r="H3094" s="11">
        <f>[1]!EM_S_FA_YOY_OR(B3094,E3094)</f>
        <v>21.347909850299999</v>
      </c>
      <c r="I3094" s="11">
        <f>[1]!EM_S_FA_GROSSPROFITMARGIN(B3094,E3094)</f>
        <v>46.466405907000002</v>
      </c>
      <c r="J3094" s="11">
        <f>[1]!EM_S_FA_NETPROFITMARGIN(B3094,E3094)</f>
        <v>19.545162476600002</v>
      </c>
      <c r="K3094" s="10">
        <f>[1]!EM_S_FA_ASSETSTURN(B3094,E3094)</f>
        <v>0.435740107451</v>
      </c>
      <c r="L3094" s="12">
        <f>[1]!EM_HKS_VAL_MV(B3094,"2019-12-31","2")</f>
        <v>1643868856</v>
      </c>
      <c r="M3094">
        <f>[1]!EM_S_VAL_PETTMDEDUCTED(B3094,E3094)</f>
        <v>42.693934454130897</v>
      </c>
      <c r="N3094" s="7">
        <f>[1]!EM_S_VAL_PBGOODWILLDEDUCTED(B3094,E3094)</f>
        <v>3.77079509031091</v>
      </c>
      <c r="O3094" s="7">
        <f>[1]!EM_S_VAL_PS_TTM(B3094,E3094)</f>
        <v>8.1058662021806391</v>
      </c>
      <c r="P3094" s="7">
        <f>[1]!EM_S_VAL_PCF_NCFTTM(B3094,E3094)</f>
        <v>110.421440999586</v>
      </c>
      <c r="Q3094" s="7">
        <f>[1]!EM_S_VAL_DIVIDENDYIELD2(B3094,E3094,"2019-11-29")</f>
        <v>0.7421150278293136</v>
      </c>
      <c r="T3094"/>
      <c r="U3094">
        <f>[1]!EM_S_RATIO_EPS_TTM(B3094,E3094,"1")</f>
        <v>0.38354463605391159</v>
      </c>
      <c r="AT3094" s="4" t="str">
        <f>[1]!EM_S_IPO_LISTEDDATE(B3094)</f>
        <v>2017-05-25</v>
      </c>
    </row>
    <row r="3095" spans="1:46">
      <c r="A3095">
        <v>962</v>
      </c>
      <c r="B3095" t="str">
        <f>"002451"</f>
        <v>002451</v>
      </c>
      <c r="C3095" t="s">
        <v>1545</v>
      </c>
      <c r="D3095" t="str">
        <f>[1]!EM_S_INFO_INDEX_EM(B3095,"1")</f>
        <v>电气设备</v>
      </c>
      <c r="E3095" s="4">
        <f t="shared" si="48"/>
        <v>43465</v>
      </c>
      <c r="F3095" s="11">
        <f>[1]!EM_S_PQ_PCTCHANGE(B3095,"2018-01-01","2019-12-31","3")</f>
        <v>-67.408156390000002</v>
      </c>
      <c r="G3095" s="11">
        <f>[1]!EM_S_PQ_PCTCHANGE(B3095,"2018-12-31","2019-12-30","1")</f>
        <v>-21.774856199999999</v>
      </c>
      <c r="H3095" s="11">
        <f>[1]!EM_S_FA_YOY_OR(B3095,E3095)</f>
        <v>25.1449346512</v>
      </c>
      <c r="I3095" s="11">
        <f>[1]!EM_S_FA_GROSSPROFITMARGIN(B3095,E3095)</f>
        <v>22.368070794699999</v>
      </c>
      <c r="J3095" s="11">
        <f>[1]!EM_S_FA_NETPROFITMARGIN(B3095,E3095)</f>
        <v>1.4541201612000001</v>
      </c>
      <c r="K3095" s="10">
        <f>[1]!EM_S_FA_ASSETSTURN(B3095,E3095)</f>
        <v>0.36281282155599998</v>
      </c>
      <c r="L3095" s="12">
        <f>[1]!EM_HKS_VAL_MV(B3095,"2019-12-31","2")</f>
        <v>4247064000</v>
      </c>
      <c r="M3095">
        <f>[1]!EM_S_VAL_PETTMDEDUCTED(B3095,E3095)</f>
        <v>604.40966447645701</v>
      </c>
      <c r="N3095" s="7">
        <f>[1]!EM_S_VAL_PBGOODWILLDEDUCTED(B3095,E3095)</f>
        <v>8.0878290701428099</v>
      </c>
      <c r="O3095" s="7">
        <f>[1]!EM_S_VAL_PS_TTM(B3095,E3095)</f>
        <v>9.1618644778927401</v>
      </c>
      <c r="P3095" s="7">
        <f>[1]!EM_S_VAL_PCF_NCFTTM(B3095,E3095)</f>
        <v>-345.269656381049</v>
      </c>
      <c r="Q3095" s="7">
        <f>[1]!EM_S_VAL_DIVIDENDYIELD2(B3095,E3095,"2019-11-29")</f>
        <v>0</v>
      </c>
      <c r="T3095"/>
      <c r="U3095">
        <f>[1]!EM_S_RATIO_EPS_TTM(B3095,E3095,"1")</f>
        <v>1.908781839708561E-2</v>
      </c>
      <c r="AT3095" s="4" t="str">
        <f>[1]!EM_S_IPO_LISTEDDATE(B3095)</f>
        <v>2010-07-20</v>
      </c>
    </row>
    <row r="3096" spans="1:46">
      <c r="A3096">
        <v>456</v>
      </c>
      <c r="B3096" t="str">
        <f>"000932"</f>
        <v>000932</v>
      </c>
      <c r="C3096" t="s">
        <v>59</v>
      </c>
      <c r="D3096" t="str">
        <f>[1]!EM_S_INFO_INDEX_EM(B3096,"1")</f>
        <v>钢铁</v>
      </c>
      <c r="E3096" s="4">
        <f t="shared" si="48"/>
        <v>43465</v>
      </c>
      <c r="F3096" s="11">
        <f>[1]!EM_S_PQ_PCTCHANGE(B3096,"2018-01-01","2019-12-31","3")</f>
        <v>-17.459345339999999</v>
      </c>
      <c r="G3096" s="11">
        <f>[1]!EM_S_PQ_PCTCHANGE(B3096,"2018-12-31","2019-12-30","1")</f>
        <v>-21.782178219999999</v>
      </c>
      <c r="H3096" s="11">
        <f>[1]!EM_S_FA_YOY_OR(B3096,E3096)</f>
        <v>19.085780198199998</v>
      </c>
      <c r="I3096" s="11">
        <f>[1]!EM_S_FA_GROSSPROFITMARGIN(B3096,E3096)</f>
        <v>17.430929107600001</v>
      </c>
      <c r="J3096" s="11">
        <f>[1]!EM_S_FA_NETPROFITMARGIN(B3096,E3096)</f>
        <v>9.4361045004000008</v>
      </c>
      <c r="K3096" s="10">
        <f>[1]!EM_S_FA_ASSETSTURN(B3096,E3096)</f>
        <v>1.216909821415</v>
      </c>
      <c r="L3096" s="12">
        <f>[1]!EM_HKS_VAL_MV(B3096,"2019-12-31","2")</f>
        <v>20180729967.299999</v>
      </c>
      <c r="M3096">
        <f>[1]!EM_S_VAL_PETTMDEDUCTED(B3096,E3096)</f>
        <v>2.60759071748488</v>
      </c>
      <c r="N3096" s="7">
        <f>[1]!EM_S_VAL_PBGOODWILLDEDUCTED(B3096,E3096)</f>
        <v>1.0423336302664601</v>
      </c>
      <c r="O3096" s="7">
        <f>[1]!EM_S_VAL_PS_TTM(B3096,E3096)</f>
        <v>0.20467440935456099</v>
      </c>
      <c r="P3096" s="7">
        <f>[1]!EM_S_VAL_PCF_NCFTTM(B3096,E3096)</f>
        <v>13.561124391664199</v>
      </c>
      <c r="Q3096" s="7">
        <f>[1]!EM_S_VAL_DIVIDENDYIELD2(B3096,E3096,"2019-11-29")</f>
        <v>0</v>
      </c>
      <c r="T3096"/>
      <c r="U3096">
        <f>[1]!EM_S_RATIO_EPS_TTM(B3096,E3096,"1")</f>
        <v>2.2482821781350442</v>
      </c>
      <c r="AT3096" s="4" t="str">
        <f>[1]!EM_S_IPO_LISTEDDATE(B3096)</f>
        <v>1999-08-03</v>
      </c>
    </row>
    <row r="3097" spans="1:46">
      <c r="A3097">
        <v>887</v>
      </c>
      <c r="B3097" t="str">
        <f>"002376"</f>
        <v>002376</v>
      </c>
      <c r="C3097" t="s">
        <v>819</v>
      </c>
      <c r="D3097" t="str">
        <f>[1]!EM_S_INFO_INDEX_EM(B3097,"1")</f>
        <v>信息技术</v>
      </c>
      <c r="E3097" s="4">
        <f t="shared" si="48"/>
        <v>43465</v>
      </c>
      <c r="F3097" s="11">
        <f>[1]!EM_S_PQ_PCTCHANGE(B3097,"2018-01-01","2019-12-31","3")</f>
        <v>11.862553480000001</v>
      </c>
      <c r="G3097" s="11">
        <f>[1]!EM_S_PQ_PCTCHANGE(B3097,"2018-12-31","2019-12-30","1")</f>
        <v>-21.838331159999999</v>
      </c>
      <c r="H3097" s="11">
        <f>[1]!EM_S_FA_YOY_OR(B3097,E3097)</f>
        <v>41.644383227299997</v>
      </c>
      <c r="I3097" s="11">
        <f>[1]!EM_S_FA_GROSSPROFITMARGIN(B3097,E3097)</f>
        <v>43.075100644800003</v>
      </c>
      <c r="J3097" s="11">
        <f>[1]!EM_S_FA_NETPROFITMARGIN(B3097,E3097)</f>
        <v>15.746409699299999</v>
      </c>
      <c r="K3097" s="10">
        <f>[1]!EM_S_FA_ASSETSTURN(B3097,E3097)</f>
        <v>0.60299237355500002</v>
      </c>
      <c r="L3097" s="12">
        <f>[1]!EM_HKS_VAL_MV(B3097,"2019-12-31","2")</f>
        <v>8055120064.1999998</v>
      </c>
      <c r="M3097">
        <f>[1]!EM_S_VAL_PETTMDEDUCTED(B3097,E3097)</f>
        <v>30.0375165210517</v>
      </c>
      <c r="N3097" s="7">
        <f>[1]!EM_S_VAL_PBGOODWILLDEDUCTED(B3097,E3097)</f>
        <v>3.5755416314406001</v>
      </c>
      <c r="O3097" s="7">
        <f>[1]!EM_S_VAL_PS_TTM(B3097,E3097)</f>
        <v>4.2764785033529202</v>
      </c>
      <c r="P3097" s="7">
        <f>[1]!EM_S_VAL_PCF_NCFTTM(B3097,E3097)</f>
        <v>43.4187967192223</v>
      </c>
      <c r="Q3097" s="7">
        <f>[1]!EM_S_VAL_DIVIDENDYIELD2(B3097,E3097,"2019-11-29")</f>
        <v>1.7152658662092626</v>
      </c>
      <c r="T3097"/>
      <c r="U3097">
        <f>[1]!EM_S_RATIO_EPS_TTM(B3097,E3097,"1")</f>
        <v>0.5714925141803201</v>
      </c>
      <c r="AT3097" s="4" t="str">
        <f>[1]!EM_S_IPO_LISTEDDATE(B3097)</f>
        <v>2010-03-23</v>
      </c>
    </row>
    <row r="3098" spans="1:46">
      <c r="A3098">
        <v>2563</v>
      </c>
      <c r="B3098" t="str">
        <f>"600477"</f>
        <v>600477</v>
      </c>
      <c r="C3098" t="s">
        <v>395</v>
      </c>
      <c r="D3098" t="str">
        <f>[1]!EM_S_INFO_INDEX_EM(B3098,"1")</f>
        <v>建筑</v>
      </c>
      <c r="E3098" s="4">
        <f t="shared" si="48"/>
        <v>43465</v>
      </c>
      <c r="F3098" s="11">
        <f>[1]!EM_S_PQ_PCTCHANGE(B3098,"2018-01-01","2019-12-31","3")</f>
        <v>-56.907629300000004</v>
      </c>
      <c r="G3098" s="11">
        <f>[1]!EM_S_PQ_PCTCHANGE(B3098,"2018-12-31","2019-12-30","1")</f>
        <v>-21.944444440000002</v>
      </c>
      <c r="H3098" s="11">
        <f>[1]!EM_S_FA_YOY_OR(B3098,E3098)</f>
        <v>33.624596470299998</v>
      </c>
      <c r="I3098" s="11">
        <f>[1]!EM_S_FA_GROSSPROFITMARGIN(B3098,E3098)</f>
        <v>21.681736645600001</v>
      </c>
      <c r="J3098" s="11">
        <f>[1]!EM_S_FA_NETPROFITMARGIN(B3098,E3098)</f>
        <v>9.2902155856000004</v>
      </c>
      <c r="K3098" s="10">
        <f>[1]!EM_S_FA_ASSETSTURN(B3098,E3098)</f>
        <v>0.83272496163099996</v>
      </c>
      <c r="L3098" s="12">
        <f>[1]!EM_HKS_VAL_MV(B3098,"2019-12-31","2")</f>
        <v>6075255187.0200005</v>
      </c>
      <c r="M3098">
        <f>[1]!EM_S_VAL_PETTMDEDUCTED(B3098,E3098)</f>
        <v>9.9851735126819108</v>
      </c>
      <c r="N3098" s="7">
        <f>[1]!EM_S_VAL_PBGOODWILLDEDUCTED(B3098,E3098)</f>
        <v>1.9908756235385701</v>
      </c>
      <c r="O3098" s="7">
        <f>[1]!EM_S_VAL_PS_TTM(B3098,E3098)</f>
        <v>1.1558506246726801</v>
      </c>
      <c r="P3098" s="7">
        <f>[1]!EM_S_VAL_PCF_NCFTTM(B3098,E3098)</f>
        <v>93.112605577119893</v>
      </c>
      <c r="Q3098" s="7">
        <f>[1]!EM_S_VAL_DIVIDENDYIELD2(B3098,E3098,"2019-11-29")</f>
        <v>3.1014713148457611</v>
      </c>
      <c r="T3098"/>
      <c r="U3098">
        <f>[1]!EM_S_RATIO_EPS_TTM(B3098,E3098,"1")</f>
        <v>0.3171936577880497</v>
      </c>
      <c r="AT3098" s="4" t="str">
        <f>[1]!EM_S_IPO_LISTEDDATE(B3098)</f>
        <v>2003-11-10</v>
      </c>
    </row>
    <row r="3099" spans="1:46">
      <c r="A3099">
        <v>3249</v>
      </c>
      <c r="B3099" t="str">
        <f>"603067"</f>
        <v>603067</v>
      </c>
      <c r="C3099" t="s">
        <v>458</v>
      </c>
      <c r="D3099" t="str">
        <f>[1]!EM_S_INFO_INDEX_EM(B3099,"1")</f>
        <v>基础化工</v>
      </c>
      <c r="E3099" s="4">
        <f t="shared" si="48"/>
        <v>43465</v>
      </c>
      <c r="F3099" s="11">
        <f>[1]!EM_S_PQ_PCTCHANGE(B3099,"2018-01-01","2019-12-31","3")</f>
        <v>-10.247149350000001</v>
      </c>
      <c r="G3099" s="11">
        <f>[1]!EM_S_PQ_PCTCHANGE(B3099,"2018-12-31","2019-12-30","1")</f>
        <v>-22.07792208</v>
      </c>
      <c r="H3099" s="11">
        <f>[1]!EM_S_FA_YOY_OR(B3099,E3099)</f>
        <v>18.505909022299999</v>
      </c>
      <c r="I3099" s="11">
        <f>[1]!EM_S_FA_GROSSPROFITMARGIN(B3099,E3099)</f>
        <v>29.127860797</v>
      </c>
      <c r="J3099" s="11">
        <f>[1]!EM_S_FA_NETPROFITMARGIN(B3099,E3099)</f>
        <v>10.4560223161</v>
      </c>
      <c r="K3099" s="10">
        <f>[1]!EM_S_FA_ASSETSTURN(B3099,E3099)</f>
        <v>1.089434611475</v>
      </c>
      <c r="L3099" s="12">
        <f>[1]!EM_HKS_VAL_MV(B3099,"2019-12-31","2")</f>
        <v>2613072000</v>
      </c>
      <c r="M3099">
        <f>[1]!EM_S_VAL_PETTMDEDUCTED(B3099,E3099)</f>
        <v>15.318577115333801</v>
      </c>
      <c r="N3099" s="7">
        <f>[1]!EM_S_VAL_PBGOODWILLDEDUCTED(B3099,E3099)</f>
        <v>1.91612959980925</v>
      </c>
      <c r="O3099" s="7">
        <f>[1]!EM_S_VAL_PS_TTM(B3099,E3099)</f>
        <v>1.73069456212428</v>
      </c>
      <c r="P3099" s="7">
        <f>[1]!EM_S_VAL_PCF_NCFTTM(B3099,E3099)</f>
        <v>176.273192183102</v>
      </c>
      <c r="Q3099" s="7">
        <f>[1]!EM_S_VAL_DIVIDENDYIELD2(B3099,E3099,"2019-11-29")</f>
        <v>1.5360983102918586</v>
      </c>
      <c r="T3099"/>
      <c r="U3099">
        <f>[1]!EM_S_RATIO_EPS_TTM(B3099,E3099,"1")</f>
        <v>0.47456173256493506</v>
      </c>
      <c r="AT3099" s="4" t="str">
        <f>[1]!EM_S_IPO_LISTEDDATE(B3099)</f>
        <v>2016-09-13</v>
      </c>
    </row>
    <row r="3100" spans="1:46">
      <c r="A3100">
        <v>1709</v>
      </c>
      <c r="B3100" t="str">
        <f>"300284"</f>
        <v>300284</v>
      </c>
      <c r="C3100" t="s">
        <v>1451</v>
      </c>
      <c r="D3100" t="str">
        <f>[1]!EM_S_INFO_INDEX_EM(B3100,"1")</f>
        <v>建筑</v>
      </c>
      <c r="E3100" s="4">
        <f t="shared" si="48"/>
        <v>43465</v>
      </c>
      <c r="F3100" s="11">
        <f>[1]!EM_S_PQ_PCTCHANGE(B3100,"2018-01-01","2019-12-31","3")</f>
        <v>-14.095077030000001</v>
      </c>
      <c r="G3100" s="11">
        <f>[1]!EM_S_PQ_PCTCHANGE(B3100,"2018-12-31","2019-12-30","1")</f>
        <v>-22.08293153</v>
      </c>
      <c r="H3100" s="11">
        <f>[1]!EM_S_FA_YOY_OR(B3100,E3100)</f>
        <v>7.8401963538999997</v>
      </c>
      <c r="I3100" s="11">
        <f>[1]!EM_S_FA_GROSSPROFITMARGIN(B3100,E3100)</f>
        <v>31.233190726899998</v>
      </c>
      <c r="J3100" s="11">
        <f>[1]!EM_S_FA_NETPROFITMARGIN(B3100,E3100)</f>
        <v>9.1578022083999997</v>
      </c>
      <c r="K3100" s="10">
        <f>[1]!EM_S_FA_ASSETSTURN(B3100,E3100)</f>
        <v>0.606630301132</v>
      </c>
      <c r="L3100" s="12">
        <f>[1]!EM_HKS_VAL_MV(B3100,"2019-12-31","2")</f>
        <v>7936386856.6000004</v>
      </c>
      <c r="M3100">
        <f>[1]!EM_S_VAL_PETTMDEDUCTED(B3100,E3100)</f>
        <v>16.807693661555799</v>
      </c>
      <c r="N3100" s="7">
        <f>[1]!EM_S_VAL_PBGOODWILLDEDUCTED(B3100,E3100)</f>
        <v>2.2912670507838802</v>
      </c>
      <c r="O3100" s="7">
        <f>[1]!EM_S_VAL_PS_TTM(B3100,E3100)</f>
        <v>1.1721687560567899</v>
      </c>
      <c r="P3100" s="7">
        <f>[1]!EM_S_VAL_PCF_NCFTTM(B3100,E3100)</f>
        <v>-325.51089238641799</v>
      </c>
      <c r="Q3100" s="7">
        <f>[1]!EM_S_VAL_DIVIDENDYIELD2(B3100,E3100,"2019-11-29")</f>
        <v>1.4767932501613585</v>
      </c>
      <c r="T3100"/>
      <c r="U3100">
        <f>[1]!EM_S_RATIO_EPS_TTM(B3100,E3100,"1")</f>
        <v>0.76995383336639212</v>
      </c>
      <c r="AT3100" s="4" t="str">
        <f>[1]!EM_S_IPO_LISTEDDATE(B3100)</f>
        <v>2012-01-10</v>
      </c>
    </row>
    <row r="3101" spans="1:46">
      <c r="A3101">
        <v>953</v>
      </c>
      <c r="B3101" t="str">
        <f>"002442"</f>
        <v>002442</v>
      </c>
      <c r="C3101" t="s">
        <v>915</v>
      </c>
      <c r="D3101" t="str">
        <f>[1]!EM_S_INFO_INDEX_EM(B3101,"1")</f>
        <v>基础化工</v>
      </c>
      <c r="E3101" s="4">
        <f t="shared" si="48"/>
        <v>43465</v>
      </c>
      <c r="F3101" s="11">
        <f>[1]!EM_S_PQ_PCTCHANGE(B3101,"2018-01-01","2019-12-31","3")</f>
        <v>-54.22454055</v>
      </c>
      <c r="G3101" s="11">
        <f>[1]!EM_S_PQ_PCTCHANGE(B3101,"2018-12-31","2019-12-30","1")</f>
        <v>-22.089947089999999</v>
      </c>
      <c r="H3101" s="11">
        <f>[1]!EM_S_FA_YOY_OR(B3101,E3101)</f>
        <v>14.1914920372</v>
      </c>
      <c r="I3101" s="11">
        <f>[1]!EM_S_FA_GROSSPROFITMARGIN(B3101,E3101)</f>
        <v>16.5667755861</v>
      </c>
      <c r="J3101" s="11">
        <f>[1]!EM_S_FA_NETPROFITMARGIN(B3101,E3101)</f>
        <v>4.3011089278999997</v>
      </c>
      <c r="K3101" s="10">
        <f>[1]!EM_S_FA_ASSETSTURN(B3101,E3101)</f>
        <v>1.0487265322199999</v>
      </c>
      <c r="L3101" s="12">
        <f>[1]!EM_HKS_VAL_MV(B3101,"2019-12-31","2")</f>
        <v>2716800000</v>
      </c>
      <c r="M3101">
        <f>[1]!EM_S_VAL_PETTMDEDUCTED(B3101,E3101)</f>
        <v>43.235137082672203</v>
      </c>
      <c r="N3101" s="7">
        <f>[1]!EM_S_VAL_PBGOODWILLDEDUCTED(B3101,E3101)</f>
        <v>2.9280079801966701</v>
      </c>
      <c r="O3101" s="7">
        <f>[1]!EM_S_VAL_PS_TTM(B3101,E3101)</f>
        <v>1.20255135165801</v>
      </c>
      <c r="P3101" s="7">
        <f>[1]!EM_S_VAL_PCF_NCFTTM(B3101,E3101)</f>
        <v>-33.7576377377504</v>
      </c>
      <c r="Q3101" s="7">
        <f>[1]!EM_S_VAL_DIVIDENDYIELD2(B3101,E3101,"2019-11-29")</f>
        <v>2.0533880903490758</v>
      </c>
      <c r="T3101"/>
      <c r="U3101">
        <f>[1]!EM_S_RATIO_EPS_TTM(B3101,E3101,"1")</f>
        <v>0.27650187666666665</v>
      </c>
      <c r="AT3101" s="4" t="str">
        <f>[1]!EM_S_IPO_LISTEDDATE(B3101)</f>
        <v>2010-07-06</v>
      </c>
    </row>
    <row r="3102" spans="1:46">
      <c r="A3102">
        <v>3010</v>
      </c>
      <c r="B3102" t="str">
        <f>"600987"</f>
        <v>600987</v>
      </c>
      <c r="C3102" t="s">
        <v>707</v>
      </c>
      <c r="D3102" t="str">
        <f>[1]!EM_S_INFO_INDEX_EM(B3102,"1")</f>
        <v>纺织服装</v>
      </c>
      <c r="E3102" s="4">
        <f t="shared" si="48"/>
        <v>43465</v>
      </c>
      <c r="F3102" s="11">
        <f>[1]!EM_S_PQ_PCTCHANGE(B3102,"2018-01-01","2019-12-31","3")</f>
        <v>-14.348650360000001</v>
      </c>
      <c r="G3102" s="11">
        <f>[1]!EM_S_PQ_PCTCHANGE(B3102,"2018-12-31","2019-12-30","1")</f>
        <v>-22.249388750000001</v>
      </c>
      <c r="H3102" s="11">
        <f>[1]!EM_S_FA_YOY_OR(B3102,E3102)</f>
        <v>8.4637530455000007</v>
      </c>
      <c r="I3102" s="11">
        <f>[1]!EM_S_FA_GROSSPROFITMARGIN(B3102,E3102)</f>
        <v>18.660961122500002</v>
      </c>
      <c r="J3102" s="11">
        <f>[1]!EM_S_FA_NETPROFITMARGIN(B3102,E3102)</f>
        <v>10.6075550945</v>
      </c>
      <c r="K3102" s="10">
        <f>[1]!EM_S_FA_ASSETSTURN(B3102,E3102)</f>
        <v>1.322247299035</v>
      </c>
      <c r="L3102" s="12">
        <f>[1]!EM_HKS_VAL_MV(B3102,"2019-12-31","2")</f>
        <v>6841583263.5299997</v>
      </c>
      <c r="M3102">
        <f>[1]!EM_S_VAL_PETTMDEDUCTED(B3102,E3102)</f>
        <v>10.6159686825587</v>
      </c>
      <c r="N3102" s="7">
        <f>[1]!EM_S_VAL_PBGOODWILLDEDUCTED(B3102,E3102)</f>
        <v>1.4203126521795999</v>
      </c>
      <c r="O3102" s="7">
        <f>[1]!EM_S_VAL_PS_TTM(B3102,E3102)</f>
        <v>1.55749636768336</v>
      </c>
      <c r="P3102" s="7">
        <f>[1]!EM_S_VAL_PCF_NCFTTM(B3102,E3102)</f>
        <v>25.004256401986002</v>
      </c>
      <c r="Q3102" s="7">
        <f>[1]!EM_S_VAL_DIVIDENDYIELD2(B3102,E3102,"2019-11-29")</f>
        <v>3.218390804002154</v>
      </c>
      <c r="T3102"/>
      <c r="U3102">
        <f>[1]!EM_S_RATIO_EPS_TTM(B3102,E3102,"1")</f>
        <v>0.88799685126612193</v>
      </c>
      <c r="AT3102" s="4" t="str">
        <f>[1]!EM_S_IPO_LISTEDDATE(B3102)</f>
        <v>2004-08-09</v>
      </c>
    </row>
    <row r="3103" spans="1:46">
      <c r="A3103">
        <v>2379</v>
      </c>
      <c r="B3103" t="str">
        <f>"600247"</f>
        <v>600247</v>
      </c>
      <c r="C3103" t="s">
        <v>36</v>
      </c>
      <c r="D3103" t="str">
        <f>[1]!EM_S_INFO_INDEX_EM(B3103,"1")</f>
        <v>商贸零售</v>
      </c>
      <c r="E3103" s="4">
        <f t="shared" si="48"/>
        <v>43465</v>
      </c>
      <c r="F3103" s="11">
        <f>[1]!EM_S_PQ_PCTCHANGE(B3103,"2018-01-01","2019-12-31","3")</f>
        <v>-59.513274340000002</v>
      </c>
      <c r="G3103" s="11">
        <f>[1]!EM_S_PQ_PCTCHANGE(B3103,"2018-12-31","2019-12-30","1")</f>
        <v>-22.269807279999998</v>
      </c>
      <c r="H3103" s="11">
        <f>[1]!EM_S_FA_YOY_OR(B3103,E3103)</f>
        <v>-84.433044787300005</v>
      </c>
      <c r="I3103" s="11">
        <f>[1]!EM_S_FA_GROSSPROFITMARGIN(B3103,E3103)</f>
        <v>31.649994087300001</v>
      </c>
      <c r="J3103" s="11">
        <f>[1]!EM_S_FA_NETPROFITMARGIN(B3103,E3103)</f>
        <v>27.338785745300001</v>
      </c>
      <c r="K3103" s="10">
        <f>[1]!EM_S_FA_ASSETSTURN(B3103,E3103)</f>
        <v>3.3999627822E-2</v>
      </c>
      <c r="L3103" s="12">
        <f>[1]!EM_HKS_VAL_MV(B3103,"2019-12-31","2")</f>
        <v>1231376256</v>
      </c>
      <c r="M3103">
        <f>[1]!EM_S_VAL_PETTMDEDUCTED(B3103,E3103)</f>
        <v>5.9519958501053001</v>
      </c>
      <c r="N3103" s="7">
        <f>[1]!EM_S_VAL_PBGOODWILLDEDUCTED(B3103,E3103)</f>
        <v>140.98355398685499</v>
      </c>
      <c r="O3103" s="7">
        <f>[1]!EM_S_VAL_PS_TTM(B3103,E3103)</f>
        <v>34.659225455827404</v>
      </c>
      <c r="P3103" s="7">
        <f>[1]!EM_S_VAL_PCF_NCFTTM(B3103,E3103)</f>
        <v>3131.5259568801198</v>
      </c>
      <c r="Q3103" s="7">
        <f>[1]!EM_S_VAL_DIVIDENDYIELD2(B3103,E3103,"2019-11-29")</f>
        <v>0</v>
      </c>
      <c r="T3103"/>
      <c r="U3103">
        <f>[1]!EM_S_RATIO_EPS_TTM(B3103,E3103,"1")</f>
        <v>2.2046836776427173E-2</v>
      </c>
      <c r="AT3103" s="4" t="str">
        <f>[1]!EM_S_IPO_LISTEDDATE(B3103)</f>
        <v>2000-11-23</v>
      </c>
    </row>
    <row r="3104" spans="1:46">
      <c r="A3104">
        <v>2105</v>
      </c>
      <c r="B3104" t="str">
        <f>"300687"</f>
        <v>300687</v>
      </c>
      <c r="C3104" t="s">
        <v>643</v>
      </c>
      <c r="D3104" t="str">
        <f>[1]!EM_S_INFO_INDEX_EM(B3104,"1")</f>
        <v>信息技术</v>
      </c>
      <c r="E3104" s="4">
        <f t="shared" si="48"/>
        <v>43465</v>
      </c>
      <c r="F3104" s="11">
        <f>[1]!EM_S_PQ_PCTCHANGE(B3104,"2018-01-01","2019-12-31","3")</f>
        <v>-10.85396853</v>
      </c>
      <c r="G3104" s="11">
        <f>[1]!EM_S_PQ_PCTCHANGE(B3104,"2018-12-31","2019-12-30","1")</f>
        <v>-22.277722279999999</v>
      </c>
      <c r="H3104" s="11">
        <f>[1]!EM_S_FA_YOY_OR(B3104,E3104)</f>
        <v>28.297742534200001</v>
      </c>
      <c r="I3104" s="11">
        <f>[1]!EM_S_FA_GROSSPROFITMARGIN(B3104,E3104)</f>
        <v>32.274022932100003</v>
      </c>
      <c r="J3104" s="11">
        <f>[1]!EM_S_FA_NETPROFITMARGIN(B3104,E3104)</f>
        <v>13.1412226923</v>
      </c>
      <c r="K3104" s="10">
        <f>[1]!EM_S_FA_ASSETSTURN(B3104,E3104)</f>
        <v>0.891959535212</v>
      </c>
      <c r="L3104" s="12">
        <f>[1]!EM_HKS_VAL_MV(B3104,"2019-12-31","2")</f>
        <v>3372982125</v>
      </c>
      <c r="M3104">
        <f>[1]!EM_S_VAL_PETTMDEDUCTED(B3104,E3104)</f>
        <v>31.8984871748054</v>
      </c>
      <c r="N3104" s="7">
        <f>[1]!EM_S_VAL_PBGOODWILLDEDUCTED(B3104,E3104)</f>
        <v>3.79622817025197</v>
      </c>
      <c r="O3104" s="7">
        <f>[1]!EM_S_VAL_PS_TTM(B3104,E3104)</f>
        <v>3.5216578034084902</v>
      </c>
      <c r="P3104" s="7">
        <f>[1]!EM_S_VAL_PCF_NCFTTM(B3104,E3104)</f>
        <v>-33.192331975483398</v>
      </c>
      <c r="Q3104" s="7">
        <f>[1]!EM_S_VAL_DIVIDENDYIELD2(B3104,E3104,"2019-11-29")</f>
        <v>0.42368510163983591</v>
      </c>
      <c r="T3104"/>
      <c r="U3104">
        <f>[1]!EM_S_RATIO_EPS_TTM(B3104,E3104,"1")</f>
        <v>0.78242540107909953</v>
      </c>
      <c r="AT3104" s="4" t="str">
        <f>[1]!EM_S_IPO_LISTEDDATE(B3104)</f>
        <v>2017-08-03</v>
      </c>
    </row>
    <row r="3105" spans="1:46">
      <c r="A3105">
        <v>844</v>
      </c>
      <c r="B3105" t="str">
        <f>"002333"</f>
        <v>002333</v>
      </c>
      <c r="C3105" t="s">
        <v>3505</v>
      </c>
      <c r="D3105" t="str">
        <f>[1]!EM_S_INFO_INDEX_EM(B3105,"1")</f>
        <v>建材</v>
      </c>
      <c r="E3105" s="4">
        <f t="shared" si="48"/>
        <v>43465</v>
      </c>
      <c r="F3105" s="11">
        <f>[1]!EM_S_PQ_PCTCHANGE(B3105,"2018-01-01","2019-12-31","3")</f>
        <v>-67.020655680000004</v>
      </c>
      <c r="G3105" s="11">
        <f>[1]!EM_S_PQ_PCTCHANGE(B3105,"2018-12-31","2019-12-30","1")</f>
        <v>-22.35494881</v>
      </c>
      <c r="H3105" s="11">
        <f>[1]!EM_S_FA_YOY_OR(B3105,E3105)</f>
        <v>6.8276029553999997</v>
      </c>
      <c r="I3105" s="11">
        <f>[1]!EM_S_FA_GROSSPROFITMARGIN(B3105,E3105)</f>
        <v>5.9726020695999997</v>
      </c>
      <c r="J3105" s="11">
        <f>[1]!EM_S_FA_NETPROFITMARGIN(B3105,E3105)</f>
        <v>-14.3428642549</v>
      </c>
      <c r="K3105" s="10">
        <f>[1]!EM_S_FA_ASSETSTURN(B3105,E3105)</f>
        <v>0.63946565620100004</v>
      </c>
      <c r="L3105" s="12">
        <f>[1]!EM_HKS_VAL_MV(B3105,"2019-12-31","2")</f>
        <v>2261716200</v>
      </c>
      <c r="M3105">
        <f>[1]!EM_S_VAL_PETTMDEDUCTED(B3105,E3105)</f>
        <v>-26.4012060166989</v>
      </c>
      <c r="N3105" s="7">
        <f>[1]!EM_S_VAL_PBGOODWILLDEDUCTED(B3105,E3105)</f>
        <v>2.2345035171559999</v>
      </c>
      <c r="O3105" s="7">
        <f>[1]!EM_S_VAL_PS_TTM(B3105,E3105)</f>
        <v>2.75849279856067</v>
      </c>
      <c r="P3105" s="7">
        <f>[1]!EM_S_VAL_PCF_NCFTTM(B3105,E3105)</f>
        <v>-157.75879993726801</v>
      </c>
      <c r="Q3105" s="7">
        <f>[1]!EM_S_VAL_DIVIDENDYIELD2(B3105,E3105,"2019-11-29")</f>
        <v>0</v>
      </c>
      <c r="T3105"/>
      <c r="U3105">
        <f>[1]!EM_S_RATIO_EPS_TTM(B3105,E3105,"1")</f>
        <v>-0.30464504800602304</v>
      </c>
      <c r="AT3105" s="4" t="str">
        <f>[1]!EM_S_IPO_LISTEDDATE(B3105)</f>
        <v>2010-01-12</v>
      </c>
    </row>
    <row r="3106" spans="1:46">
      <c r="A3106">
        <v>902</v>
      </c>
      <c r="B3106" t="str">
        <f>"002391"</f>
        <v>002391</v>
      </c>
      <c r="C3106" t="s">
        <v>1247</v>
      </c>
      <c r="D3106" t="str">
        <f>[1]!EM_S_INFO_INDEX_EM(B3106,"1")</f>
        <v>基础化工</v>
      </c>
      <c r="E3106" s="4">
        <f t="shared" si="48"/>
        <v>43465</v>
      </c>
      <c r="F3106" s="11">
        <f>[1]!EM_S_PQ_PCTCHANGE(B3106,"2018-01-01","2019-12-31","3")</f>
        <v>-10.6950363</v>
      </c>
      <c r="G3106" s="11">
        <f>[1]!EM_S_PQ_PCTCHANGE(B3106,"2018-12-31","2019-12-30","1")</f>
        <v>-22.36966825</v>
      </c>
      <c r="H3106" s="11">
        <f>[1]!EM_S_FA_YOY_OR(B3106,E3106)</f>
        <v>33.647494989499997</v>
      </c>
      <c r="I3106" s="11">
        <f>[1]!EM_S_FA_GROSSPROFITMARGIN(B3106,E3106)</f>
        <v>25.332217811700001</v>
      </c>
      <c r="J3106" s="11">
        <f>[1]!EM_S_FA_NETPROFITMARGIN(B3106,E3106)</f>
        <v>10.6868617275</v>
      </c>
      <c r="K3106" s="10">
        <f>[1]!EM_S_FA_ASSETSTURN(B3106,E3106)</f>
        <v>0.75992938518499997</v>
      </c>
      <c r="L3106" s="12">
        <f>[1]!EM_HKS_VAL_MV(B3106,"2019-12-31","2")</f>
        <v>4421953016.6000004</v>
      </c>
      <c r="M3106">
        <f>[1]!EM_S_VAL_PETTMDEDUCTED(B3106,E3106)</f>
        <v>11.9280256660204</v>
      </c>
      <c r="N3106" s="7">
        <f>[1]!EM_S_VAL_PBGOODWILLDEDUCTED(B3106,E3106)</f>
        <v>1.1637853213512599</v>
      </c>
      <c r="O3106" s="7">
        <f>[1]!EM_S_VAL_PS_TTM(B3106,E3106)</f>
        <v>1.26289113456531</v>
      </c>
      <c r="P3106" s="7">
        <f>[1]!EM_S_VAL_PCF_NCFTTM(B3106,E3106)</f>
        <v>47.873152107715498</v>
      </c>
      <c r="Q3106" s="7">
        <f>[1]!EM_S_VAL_DIVIDENDYIELD2(B3106,E3106,"2019-11-29")</f>
        <v>2.5738702025375444</v>
      </c>
      <c r="T3106"/>
      <c r="U3106">
        <f>[1]!EM_S_RATIO_EPS_TTM(B3106,E3106,"1")</f>
        <v>0.88858081740444106</v>
      </c>
      <c r="AT3106" s="4" t="str">
        <f>[1]!EM_S_IPO_LISTEDDATE(B3106)</f>
        <v>2010-04-16</v>
      </c>
    </row>
    <row r="3107" spans="1:46">
      <c r="A3107">
        <v>1251</v>
      </c>
      <c r="B3107" t="str">
        <f>"002741"</f>
        <v>002741</v>
      </c>
      <c r="C3107" t="s">
        <v>1118</v>
      </c>
      <c r="D3107" t="str">
        <f>[1]!EM_S_INFO_INDEX_EM(B3107,"1")</f>
        <v>基础化工</v>
      </c>
      <c r="E3107" s="4">
        <f t="shared" si="48"/>
        <v>43465</v>
      </c>
      <c r="F3107" s="11">
        <f>[1]!EM_S_PQ_PCTCHANGE(B3107,"2018-01-01","2019-12-31","3")</f>
        <v>-16.92859588</v>
      </c>
      <c r="G3107" s="11">
        <f>[1]!EM_S_PQ_PCTCHANGE(B3107,"2018-12-31","2019-12-30","1")</f>
        <v>-22.460567820000001</v>
      </c>
      <c r="H3107" s="11">
        <f>[1]!EM_S_FA_YOY_OR(B3107,E3107)</f>
        <v>17.0127877334</v>
      </c>
      <c r="I3107" s="11">
        <f>[1]!EM_S_FA_GROSSPROFITMARGIN(B3107,E3107)</f>
        <v>24.8950326537</v>
      </c>
      <c r="J3107" s="11">
        <f>[1]!EM_S_FA_NETPROFITMARGIN(B3107,E3107)</f>
        <v>8.6276443350999994</v>
      </c>
      <c r="K3107" s="10">
        <f>[1]!EM_S_FA_ASSETSTURN(B3107,E3107)</f>
        <v>0.75071952247600005</v>
      </c>
      <c r="L3107" s="12">
        <f>[1]!EM_HKS_VAL_MV(B3107,"2019-12-31","2")</f>
        <v>4662968448.8800001</v>
      </c>
      <c r="M3107">
        <f>[1]!EM_S_VAL_PETTMDEDUCTED(B3107,E3107)</f>
        <v>45.466235531929897</v>
      </c>
      <c r="N3107" s="7">
        <f>[1]!EM_S_VAL_PBGOODWILLDEDUCTED(B3107,E3107)</f>
        <v>4.93859664615794</v>
      </c>
      <c r="O3107" s="7">
        <f>[1]!EM_S_VAL_PS_TTM(B3107,E3107)</f>
        <v>3.7585679592087802</v>
      </c>
      <c r="P3107" s="7">
        <f>[1]!EM_S_VAL_PCF_NCFTTM(B3107,E3107)</f>
        <v>659.87171208843495</v>
      </c>
      <c r="Q3107" s="7">
        <f>[1]!EM_S_VAL_DIVIDENDYIELD2(B3107,E3107,"2019-11-29")</f>
        <v>0.76922220401894881</v>
      </c>
      <c r="T3107"/>
      <c r="U3107">
        <f>[1]!EM_S_RATIO_EPS_TTM(B3107,E3107,"1")</f>
        <v>0.35963613465685229</v>
      </c>
      <c r="AT3107" s="4" t="str">
        <f>[1]!EM_S_IPO_LISTEDDATE(B3107)</f>
        <v>2015-02-16</v>
      </c>
    </row>
    <row r="3108" spans="1:46">
      <c r="A3108">
        <v>2391</v>
      </c>
      <c r="B3108" t="str">
        <f>"600260"</f>
        <v>600260</v>
      </c>
      <c r="C3108" t="s">
        <v>191</v>
      </c>
      <c r="D3108" t="str">
        <f>[1]!EM_S_INFO_INDEX_EM(B3108,"1")</f>
        <v>信息技术</v>
      </c>
      <c r="E3108" s="4">
        <f t="shared" si="48"/>
        <v>43465</v>
      </c>
      <c r="F3108" s="11">
        <f>[1]!EM_S_PQ_PCTCHANGE(B3108,"2018-01-01","2019-12-31","3")</f>
        <v>-33.84380264</v>
      </c>
      <c r="G3108" s="11">
        <f>[1]!EM_S_PQ_PCTCHANGE(B3108,"2018-12-31","2019-12-30","1")</f>
        <v>-22.510312320000001</v>
      </c>
      <c r="H3108" s="11">
        <f>[1]!EM_S_FA_YOY_OR(B3108,E3108)</f>
        <v>12.018469066</v>
      </c>
      <c r="I3108" s="11">
        <f>[1]!EM_S_FA_GROSSPROFITMARGIN(B3108,E3108)</f>
        <v>15.113704548799999</v>
      </c>
      <c r="J3108" s="11">
        <f>[1]!EM_S_FA_NETPROFITMARGIN(B3108,E3108)</f>
        <v>5.3989625063000002</v>
      </c>
      <c r="K3108" s="10">
        <f>[1]!EM_S_FA_ASSETSTURN(B3108,E3108)</f>
        <v>0.84042271390400003</v>
      </c>
      <c r="L3108" s="12">
        <f>[1]!EM_HKS_VAL_MV(B3108,"2019-12-31","2")</f>
        <v>13579702943.530001</v>
      </c>
      <c r="M3108">
        <f>[1]!EM_S_VAL_PETTMDEDUCTED(B3108,E3108)</f>
        <v>12.113549759783201</v>
      </c>
      <c r="N3108" s="7">
        <f>[1]!EM_S_VAL_PBGOODWILLDEDUCTED(B3108,E3108)</f>
        <v>2.6340514025817501</v>
      </c>
      <c r="O3108" s="7">
        <f>[1]!EM_S_VAL_PS_TTM(B3108,E3108)</f>
        <v>0.77229329971182303</v>
      </c>
      <c r="P3108" s="7">
        <f>[1]!EM_S_VAL_PCF_NCFTTM(B3108,E3108)</f>
        <v>-34.909747486614698</v>
      </c>
      <c r="Q3108" s="7">
        <f>[1]!EM_S_VAL_DIVIDENDYIELD2(B3108,E3108,"2019-11-29")</f>
        <v>0.93830635665051454</v>
      </c>
      <c r="T3108"/>
      <c r="U3108">
        <f>[1]!EM_S_RATIO_EPS_TTM(B3108,E3108,"1")</f>
        <v>1.2657190938423366</v>
      </c>
      <c r="AT3108" s="4" t="str">
        <f>[1]!EM_S_IPO_LISTEDDATE(B3108)</f>
        <v>2000-07-06</v>
      </c>
    </row>
    <row r="3109" spans="1:46">
      <c r="A3109">
        <v>2583</v>
      </c>
      <c r="B3109" t="str">
        <f>"600500"</f>
        <v>600500</v>
      </c>
      <c r="C3109" t="s">
        <v>844</v>
      </c>
      <c r="D3109" t="str">
        <f>[1]!EM_S_INFO_INDEX_EM(B3109,"1")</f>
        <v>基础化工</v>
      </c>
      <c r="E3109" s="4">
        <f t="shared" si="48"/>
        <v>43465</v>
      </c>
      <c r="F3109" s="11">
        <f>[1]!EM_S_PQ_PCTCHANGE(B3109,"2018-01-01","2019-12-31","3")</f>
        <v>-15.598059190000001</v>
      </c>
      <c r="G3109" s="11">
        <f>[1]!EM_S_PQ_PCTCHANGE(B3109,"2018-12-31","2019-12-30","1")</f>
        <v>-22.514619880000001</v>
      </c>
      <c r="H3109" s="11">
        <f>[1]!EM_S_FA_YOY_OR(B3109,E3109)</f>
        <v>-4.0173825690999996</v>
      </c>
      <c r="I3109" s="11">
        <f>[1]!EM_S_FA_GROSSPROFITMARGIN(B3109,E3109)</f>
        <v>12.029650713300001</v>
      </c>
      <c r="J3109" s="11">
        <f>[1]!EM_S_FA_NETPROFITMARGIN(B3109,E3109)</f>
        <v>3.5163386527</v>
      </c>
      <c r="K3109" s="10">
        <f>[1]!EM_S_FA_ASSETSTURN(B3109,E3109)</f>
        <v>1.130299037766</v>
      </c>
      <c r="L3109" s="12">
        <f>[1]!EM_HKS_VAL_MV(B3109,"2019-12-31","2")</f>
        <v>14351957301.6</v>
      </c>
      <c r="M3109">
        <f>[1]!EM_S_VAL_PETTMDEDUCTED(B3109,E3109)</f>
        <v>27.7153477687073</v>
      </c>
      <c r="N3109" s="7">
        <f>[1]!EM_S_VAL_PBGOODWILLDEDUCTED(B3109,E3109)</f>
        <v>2.1355586158243902</v>
      </c>
      <c r="O3109" s="7">
        <f>[1]!EM_S_VAL_PS_TTM(B3109,E3109)</f>
        <v>0.238265523596429</v>
      </c>
      <c r="P3109" s="7">
        <f>[1]!EM_S_VAL_PCF_NCFTTM(B3109,E3109)</f>
        <v>3.6945321322031202</v>
      </c>
      <c r="Q3109" s="7">
        <f>[1]!EM_S_VAL_DIVIDENDYIELD2(B3109,E3109,"2019-11-29")</f>
        <v>2.29392873553476</v>
      </c>
      <c r="T3109"/>
      <c r="U3109">
        <f>[1]!EM_S_RATIO_EPS_TTM(B3109,E3109,"1")</f>
        <v>0.43739243735018069</v>
      </c>
      <c r="AT3109" s="4" t="str">
        <f>[1]!EM_S_IPO_LISTEDDATE(B3109)</f>
        <v>2000-03-01</v>
      </c>
    </row>
    <row r="3110" spans="1:46">
      <c r="A3110">
        <v>3194</v>
      </c>
      <c r="B3110" t="str">
        <f>"601991"</f>
        <v>601991</v>
      </c>
      <c r="C3110" t="s">
        <v>1947</v>
      </c>
      <c r="D3110" t="str">
        <f>[1]!EM_S_INFO_INDEX_EM(B3110,"1")</f>
        <v>公用事业</v>
      </c>
      <c r="E3110" s="4">
        <f t="shared" si="48"/>
        <v>43465</v>
      </c>
      <c r="F3110" s="11">
        <f>[1]!EM_S_PQ_PCTCHANGE(B3110,"2018-01-01","2019-12-31","3")</f>
        <v>-37.031464730000003</v>
      </c>
      <c r="G3110" s="11">
        <f>[1]!EM_S_PQ_PCTCHANGE(B3110,"2018-12-31","2019-12-30","1")</f>
        <v>-22.539682540000001</v>
      </c>
      <c r="H3110" s="11">
        <f>[1]!EM_S_FA_YOY_OR(B3110,E3110)</f>
        <v>10.9337116205</v>
      </c>
      <c r="I3110" s="11">
        <f>[1]!EM_S_FA_GROSSPROFITMARGIN(B3110,E3110)</f>
        <v>15.6694846992</v>
      </c>
      <c r="J3110" s="11">
        <f>[1]!EM_S_FA_NETPROFITMARGIN(B3110,E3110)</f>
        <v>2.9875781169</v>
      </c>
      <c r="K3110" s="10">
        <f>[1]!EM_S_FA_ASSETSTURN(B3110,E3110)</f>
        <v>0.356727951125</v>
      </c>
      <c r="L3110" s="12">
        <f>[1]!EM_HKS_VAL_MV(B3110,"2019-12-31","2")</f>
        <v>45341440734.800003</v>
      </c>
      <c r="M3110">
        <f>[1]!EM_S_VAL_PETTMDEDUCTED(B3110,E3110)</f>
        <v>39.236234665456998</v>
      </c>
      <c r="N3110" s="7">
        <f>[1]!EM_S_VAL_PBGOODWILLDEDUCTED(B3110,E3110)</f>
        <v>1.31811876497792</v>
      </c>
      <c r="O3110" s="7">
        <f>[1]!EM_S_VAL_PS_TTM(B3110,E3110)</f>
        <v>0.807241288477341</v>
      </c>
      <c r="P3110" s="7">
        <f>[1]!EM_S_VAL_PCF_NCFTTM(B3110,E3110)</f>
        <v>13.5352827802152</v>
      </c>
      <c r="Q3110" s="7">
        <f>[1]!EM_S_VAL_DIVIDENDYIELD2(B3110,E3110,"2019-11-29")</f>
        <v>4.1322314049586781</v>
      </c>
      <c r="T3110"/>
      <c r="U3110">
        <f>[1]!EM_S_RATIO_EPS_TTM(B3110,E3110,"1")</f>
        <v>6.6716826836035109E-2</v>
      </c>
      <c r="AT3110" s="4" t="str">
        <f>[1]!EM_S_IPO_LISTEDDATE(B3110)</f>
        <v>2006-12-20</v>
      </c>
    </row>
    <row r="3111" spans="1:46">
      <c r="A3111">
        <v>817</v>
      </c>
      <c r="B3111" t="str">
        <f>"002306"</f>
        <v>002306</v>
      </c>
      <c r="C3111" t="s">
        <v>3665</v>
      </c>
      <c r="D3111" t="str">
        <f>[1]!EM_S_INFO_INDEX_EM(B3111,"1")</f>
        <v>休闲、生活及专业服务</v>
      </c>
      <c r="E3111" s="4">
        <f t="shared" si="48"/>
        <v>43465</v>
      </c>
      <c r="F3111" s="11">
        <f>[1]!EM_S_PQ_PCTCHANGE(B3111,"2018-01-01","2019-12-31","3")</f>
        <v>-49.090909089999997</v>
      </c>
      <c r="G3111" s="11">
        <f>[1]!EM_S_PQ_PCTCHANGE(B3111,"2018-12-31","2019-12-30","1")</f>
        <v>-22.670807450000002</v>
      </c>
      <c r="H3111" s="11">
        <f>[1]!EM_S_FA_YOY_OR(B3111,E3111)</f>
        <v>-15.5514398117</v>
      </c>
      <c r="I3111" s="11">
        <f>[1]!EM_S_FA_GROSSPROFITMARGIN(B3111,E3111)</f>
        <v>44.015114545400003</v>
      </c>
      <c r="J3111" s="11">
        <f>[1]!EM_S_FA_NETPROFITMARGIN(B3111,E3111)</f>
        <v>9.6143865533999993</v>
      </c>
      <c r="K3111" s="10">
        <f>[1]!EM_S_FA_ASSETSTURN(B3111,E3111)</f>
        <v>0.84748369563500003</v>
      </c>
      <c r="L3111" s="12">
        <f>[1]!EM_HKS_VAL_MV(B3111,"2019-12-31","2")</f>
        <v>2016000000</v>
      </c>
      <c r="M3111">
        <f>[1]!EM_S_VAL_PETTMDEDUCTED(B3111,E3111)</f>
        <v>-118.29315001206299</v>
      </c>
      <c r="N3111" s="7">
        <f>[1]!EM_S_VAL_PBGOODWILLDEDUCTED(B3111,E3111)</f>
        <v>316.59836413379497</v>
      </c>
      <c r="O3111" s="7">
        <f>[1]!EM_S_VAL_PS_TTM(B3111,E3111)</f>
        <v>31.375746892590399</v>
      </c>
      <c r="P3111" s="7">
        <f>[1]!EM_S_VAL_PCF_NCFTTM(B3111,E3111)</f>
        <v>-524.96661219479199</v>
      </c>
      <c r="Q3111" s="7">
        <f>[1]!EM_S_VAL_DIVIDENDYIELD2(B3111,E3111,"2019-11-29")</f>
        <v>0</v>
      </c>
      <c r="T3111"/>
      <c r="U3111">
        <f>[1]!EM_S_RATIO_EPS_TTM(B3111,E3111,"1")</f>
        <v>1.00377264375E-2</v>
      </c>
      <c r="AT3111" s="4" t="str">
        <f>[1]!EM_S_IPO_LISTEDDATE(B3111)</f>
        <v>2009-11-11</v>
      </c>
    </row>
    <row r="3112" spans="1:46">
      <c r="A3112">
        <v>2883</v>
      </c>
      <c r="B3112" t="str">
        <f>"600810"</f>
        <v>600810</v>
      </c>
      <c r="C3112" t="s">
        <v>493</v>
      </c>
      <c r="D3112" t="str">
        <f>[1]!EM_S_INFO_INDEX_EM(B3112,"1")</f>
        <v>基础化工</v>
      </c>
      <c r="E3112" s="4">
        <f t="shared" si="48"/>
        <v>43465</v>
      </c>
      <c r="F3112" s="11">
        <f>[1]!EM_S_PQ_PCTCHANGE(B3112,"2018-01-01","2019-12-31","3")</f>
        <v>51.270951369999999</v>
      </c>
      <c r="G3112" s="11">
        <f>[1]!EM_S_PQ_PCTCHANGE(B3112,"2018-12-31","2019-12-30","1")</f>
        <v>-22.718253969999999</v>
      </c>
      <c r="H3112" s="11">
        <f>[1]!EM_S_FA_YOY_OR(B3112,E3112)</f>
        <v>4.3839893199000004</v>
      </c>
      <c r="I3112" s="11">
        <f>[1]!EM_S_FA_GROSSPROFITMARGIN(B3112,E3112)</f>
        <v>14.1709217526</v>
      </c>
      <c r="J3112" s="11">
        <f>[1]!EM_S_FA_NETPROFITMARGIN(B3112,E3112)</f>
        <v>8.6409936916000003</v>
      </c>
      <c r="K3112" s="10">
        <f>[1]!EM_S_FA_ASSETSTURN(B3112,E3112)</f>
        <v>1.0674716517880001</v>
      </c>
      <c r="L3112" s="12">
        <f>[1]!EM_HKS_VAL_MV(B3112,"2019-12-31","2")</f>
        <v>4536465960</v>
      </c>
      <c r="M3112">
        <f>[1]!EM_S_VAL_PETTMDEDUCTED(B3112,E3112)</f>
        <v>7.9888048484481802</v>
      </c>
      <c r="N3112" s="7">
        <f>[1]!EM_S_VAL_PBGOODWILLDEDUCTED(B3112,E3112)</f>
        <v>1.40234105975379</v>
      </c>
      <c r="O3112" s="7">
        <f>[1]!EM_S_VAL_PS_TTM(B3112,E3112)</f>
        <v>0.39268992870498598</v>
      </c>
      <c r="P3112" s="7">
        <f>[1]!EM_S_VAL_PCF_NCFTTM(B3112,E3112)</f>
        <v>26.509566395805901</v>
      </c>
      <c r="Q3112" s="7">
        <f>[1]!EM_S_VAL_DIVIDENDYIELD2(B3112,E3112,"2019-11-29")</f>
        <v>4.6967957415718606</v>
      </c>
      <c r="T3112"/>
      <c r="U3112">
        <f>[1]!EM_S_RATIO_EPS_TTM(B3112,E3112,"1")</f>
        <v>1.4685587091661392</v>
      </c>
      <c r="AT3112" s="4" t="str">
        <f>[1]!EM_S_IPO_LISTEDDATE(B3112)</f>
        <v>1994-01-06</v>
      </c>
    </row>
    <row r="3113" spans="1:46">
      <c r="A3113">
        <v>1205</v>
      </c>
      <c r="B3113" t="str">
        <f>"002694"</f>
        <v>002694</v>
      </c>
      <c r="C3113" t="s">
        <v>3487</v>
      </c>
      <c r="D3113" t="str">
        <f>[1]!EM_S_INFO_INDEX_EM(B3113,"1")</f>
        <v>建材</v>
      </c>
      <c r="E3113" s="4">
        <f t="shared" si="48"/>
        <v>43465</v>
      </c>
      <c r="F3113" s="11">
        <f>[1]!EM_S_PQ_PCTCHANGE(B3113,"2018-01-01","2019-12-31","3")</f>
        <v>-85.098578630000006</v>
      </c>
      <c r="G3113" s="11">
        <f>[1]!EM_S_PQ_PCTCHANGE(B3113,"2018-12-31","2019-12-30","1")</f>
        <v>-22.966507180000001</v>
      </c>
      <c r="H3113" s="11">
        <f>[1]!EM_S_FA_YOY_OR(B3113,E3113)</f>
        <v>-19.289465869800001</v>
      </c>
      <c r="I3113" s="11">
        <f>[1]!EM_S_FA_GROSSPROFITMARGIN(B3113,E3113)</f>
        <v>16.647766262400001</v>
      </c>
      <c r="J3113" s="11">
        <f>[1]!EM_S_FA_NETPROFITMARGIN(B3113,E3113)</f>
        <v>-8.3448868503</v>
      </c>
      <c r="K3113" s="10">
        <f>[1]!EM_S_FA_ASSETSTURN(B3113,E3113)</f>
        <v>0.60616476673300002</v>
      </c>
      <c r="L3113" s="12">
        <f>[1]!EM_HKS_VAL_MV(B3113,"2019-12-31","2")</f>
        <v>1940889600</v>
      </c>
      <c r="M3113">
        <f>[1]!EM_S_VAL_PETTMDEDUCTED(B3113,E3113)</f>
        <v>-775.48497575239003</v>
      </c>
      <c r="N3113" s="7">
        <f>[1]!EM_S_VAL_PBGOODWILLDEDUCTED(B3113,E3113)</f>
        <v>2.5556463496593098</v>
      </c>
      <c r="O3113" s="7">
        <f>[1]!EM_S_VAL_PS_TTM(B3113,E3113)</f>
        <v>1.3030334127791801</v>
      </c>
      <c r="P3113" s="7">
        <f>[1]!EM_S_VAL_PCF_NCFTTM(B3113,E3113)</f>
        <v>237.283123825411</v>
      </c>
      <c r="Q3113" s="7">
        <f>[1]!EM_S_VAL_DIVIDENDYIELD2(B3113,E3113,"2019-11-29")</f>
        <v>0</v>
      </c>
      <c r="T3113"/>
      <c r="U3113">
        <f>[1]!EM_S_RATIO_EPS_TTM(B3113,E3113,"1")</f>
        <v>-0.19381943950469929</v>
      </c>
      <c r="AT3113" s="4" t="str">
        <f>[1]!EM_S_IPO_LISTEDDATE(B3113)</f>
        <v>2012-08-16</v>
      </c>
    </row>
    <row r="3114" spans="1:46">
      <c r="A3114">
        <v>2761</v>
      </c>
      <c r="B3114" t="str">
        <f>"600688"</f>
        <v>600688</v>
      </c>
      <c r="C3114" t="s">
        <v>210</v>
      </c>
      <c r="D3114" t="str">
        <f>[1]!EM_S_INFO_INDEX_EM(B3114,"1")</f>
        <v>化石能源</v>
      </c>
      <c r="E3114" s="4">
        <f t="shared" si="48"/>
        <v>43465</v>
      </c>
      <c r="F3114" s="11">
        <f>[1]!EM_S_PQ_PCTCHANGE(B3114,"2018-01-01","2019-12-31","3")</f>
        <v>-32.112979840000001</v>
      </c>
      <c r="G3114" s="11">
        <f>[1]!EM_S_PQ_PCTCHANGE(B3114,"2018-12-31","2019-12-30","1")</f>
        <v>-23.046092179999999</v>
      </c>
      <c r="H3114" s="11">
        <f>[1]!EM_S_FA_YOY_OR(B3114,E3114)</f>
        <v>17.118495860100001</v>
      </c>
      <c r="I3114" s="11">
        <f>[1]!EM_S_FA_GROSSPROFITMARGIN(B3114,E3114)</f>
        <v>19.2412663685</v>
      </c>
      <c r="J3114" s="11">
        <f>[1]!EM_S_FA_NETPROFITMARGIN(B3114,E3114)</f>
        <v>4.8968380318999998</v>
      </c>
      <c r="K3114" s="10">
        <f>[1]!EM_S_FA_ASSETSTURN(B3114,E3114)</f>
        <v>2.561272809049</v>
      </c>
      <c r="L3114" s="12">
        <f>[1]!EM_HKS_VAL_MV(B3114,"2019-12-31","2")</f>
        <v>41888158245</v>
      </c>
      <c r="M3114">
        <f>[1]!EM_S_VAL_PETTMDEDUCTED(B3114,E3114)</f>
        <v>7.8953204703907396</v>
      </c>
      <c r="N3114" s="7">
        <f>[1]!EM_S_VAL_PBGOODWILLDEDUCTED(B3114,E3114)</f>
        <v>1.7784196669121499</v>
      </c>
      <c r="O3114" s="7">
        <f>[1]!EM_S_VAL_PS_TTM(B3114,E3114)</f>
        <v>0.515979276131456</v>
      </c>
      <c r="P3114" s="7">
        <f>[1]!EM_S_VAL_PCF_NCFTTM(B3114,E3114)</f>
        <v>17.867217406392101</v>
      </c>
      <c r="Q3114" s="7">
        <f>[1]!EM_S_VAL_DIVIDENDYIELD2(B3114,E3114,"2019-11-29")</f>
        <v>6.3938618925831205</v>
      </c>
      <c r="T3114"/>
      <c r="U3114">
        <f>[1]!EM_S_RATIO_EPS_TTM(B3114,E3114,"1")</f>
        <v>0.48755330087681203</v>
      </c>
      <c r="AT3114" s="4" t="str">
        <f>[1]!EM_S_IPO_LISTEDDATE(B3114)</f>
        <v>1993-11-08</v>
      </c>
    </row>
    <row r="3115" spans="1:46">
      <c r="A3115">
        <v>1983</v>
      </c>
      <c r="B3115" t="str">
        <f>"300560"</f>
        <v>300560</v>
      </c>
      <c r="C3115" t="s">
        <v>1472</v>
      </c>
      <c r="D3115" t="str">
        <f>[1]!EM_S_INFO_INDEX_EM(B3115,"1")</f>
        <v>信息技术</v>
      </c>
      <c r="E3115" s="4">
        <f t="shared" si="48"/>
        <v>43465</v>
      </c>
      <c r="F3115" s="11">
        <f>[1]!EM_S_PQ_PCTCHANGE(B3115,"2018-01-01","2019-12-31","3")</f>
        <v>-17.799797009999999</v>
      </c>
      <c r="G3115" s="11">
        <f>[1]!EM_S_PQ_PCTCHANGE(B3115,"2018-12-31","2019-12-30","1")</f>
        <v>-23.061825320000001</v>
      </c>
      <c r="H3115" s="11">
        <f>[1]!EM_S_FA_YOY_OR(B3115,E3115)</f>
        <v>40.560158531799999</v>
      </c>
      <c r="I3115" s="11">
        <f>[1]!EM_S_FA_GROSSPROFITMARGIN(B3115,E3115)</f>
        <v>29.951221138000001</v>
      </c>
      <c r="J3115" s="11">
        <f>[1]!EM_S_FA_NETPROFITMARGIN(B3115,E3115)</f>
        <v>12.5136454425</v>
      </c>
      <c r="K3115" s="10">
        <f>[1]!EM_S_FA_ASSETSTURN(B3115,E3115)</f>
        <v>0.66852034169499996</v>
      </c>
      <c r="L3115" s="12">
        <f>[1]!EM_HKS_VAL_MV(B3115,"2019-12-31","2")</f>
        <v>2972386800</v>
      </c>
      <c r="M3115">
        <f>[1]!EM_S_VAL_PETTMDEDUCTED(B3115,E3115)</f>
        <v>82.294361198180795</v>
      </c>
      <c r="N3115" s="7">
        <f>[1]!EM_S_VAL_PBGOODWILLDEDUCTED(B3115,E3115)</f>
        <v>8.5009317415785404</v>
      </c>
      <c r="O3115" s="7">
        <f>[1]!EM_S_VAL_PS_TTM(B3115,E3115)</f>
        <v>7.1475263465005998</v>
      </c>
      <c r="P3115" s="7">
        <f>[1]!EM_S_VAL_PCF_NCFTTM(B3115,E3115)</f>
        <v>-322.85631766922501</v>
      </c>
      <c r="Q3115" s="7">
        <f>[1]!EM_S_VAL_DIVIDENDYIELD2(B3115,E3115,"2019-11-29")</f>
        <v>0.3299776286353468</v>
      </c>
      <c r="T3115"/>
      <c r="U3115">
        <f>[1]!EM_S_RATIO_EPS_TTM(B3115,E3115,"1")</f>
        <v>0.37083153026557647</v>
      </c>
      <c r="AT3115" s="4" t="str">
        <f>[1]!EM_S_IPO_LISTEDDATE(B3115)</f>
        <v>2016-11-01</v>
      </c>
    </row>
    <row r="3116" spans="1:46">
      <c r="A3116">
        <v>3229</v>
      </c>
      <c r="B3116" t="str">
        <f>"603032"</f>
        <v>603032</v>
      </c>
      <c r="C3116" t="s">
        <v>3069</v>
      </c>
      <c r="D3116" t="str">
        <f>[1]!EM_S_INFO_INDEX_EM(B3116,"1")</f>
        <v>交通运输</v>
      </c>
      <c r="E3116" s="4">
        <f t="shared" si="48"/>
        <v>43465</v>
      </c>
      <c r="F3116" s="11">
        <f>[1]!EM_S_PQ_PCTCHANGE(B3116,"2018-01-01","2019-12-31","3")</f>
        <v>-50.592668060000001</v>
      </c>
      <c r="G3116" s="11">
        <f>[1]!EM_S_PQ_PCTCHANGE(B3116,"2018-12-31","2019-12-30","1")</f>
        <v>-23.071577479999998</v>
      </c>
      <c r="H3116" s="11">
        <f>[1]!EM_S_FA_YOY_OR(B3116,E3116)</f>
        <v>-13.6668910217</v>
      </c>
      <c r="I3116" s="11">
        <f>[1]!EM_S_FA_GROSSPROFITMARGIN(B3116,E3116)</f>
        <v>43.479236247700001</v>
      </c>
      <c r="J3116" s="11">
        <f>[1]!EM_S_FA_NETPROFITMARGIN(B3116,E3116)</f>
        <v>151.82537611660001</v>
      </c>
      <c r="K3116" s="10">
        <f>[1]!EM_S_FA_ASSETSTURN(B3116,E3116)</f>
        <v>0.26392916648199999</v>
      </c>
      <c r="L3116" s="12">
        <f>[1]!EM_HKS_VAL_MV(B3116,"2019-12-31","2")</f>
        <v>3552177600</v>
      </c>
      <c r="M3116">
        <f>[1]!EM_S_VAL_PETTMDEDUCTED(B3116,E3116)</f>
        <v>-1410.13763982927</v>
      </c>
      <c r="N3116" s="7">
        <f>[1]!EM_S_VAL_PBGOODWILLDEDUCTED(B3116,E3116)</f>
        <v>6.7273769509395596</v>
      </c>
      <c r="O3116" s="7">
        <f>[1]!EM_S_VAL_PS_TTM(B3116,E3116)</f>
        <v>32.177139425808399</v>
      </c>
      <c r="P3116" s="7">
        <f>[1]!EM_S_VAL_PCF_NCFTTM(B3116,E3116)</f>
        <v>-165.20236722295101</v>
      </c>
      <c r="Q3116" s="7">
        <f>[1]!EM_S_VAL_DIVIDENDYIELD2(B3116,E3116,"2019-11-29")</f>
        <v>0.27027027027027029</v>
      </c>
      <c r="T3116"/>
      <c r="U3116">
        <f>[1]!EM_S_RATIO_EPS_TTM(B3116,E3116,"1")</f>
        <v>1.6187925956827158</v>
      </c>
      <c r="AT3116" s="4" t="str">
        <f>[1]!EM_S_IPO_LISTEDDATE(B3116)</f>
        <v>2017-01-05</v>
      </c>
    </row>
    <row r="3117" spans="1:46">
      <c r="A3117">
        <v>2847</v>
      </c>
      <c r="B3117" t="str">
        <f>"600774"</f>
        <v>600774</v>
      </c>
      <c r="C3117" t="s">
        <v>1886</v>
      </c>
      <c r="D3117" t="str">
        <f>[1]!EM_S_INFO_INDEX_EM(B3117,"1")</f>
        <v>商贸零售</v>
      </c>
      <c r="E3117" s="4">
        <f t="shared" si="48"/>
        <v>43465</v>
      </c>
      <c r="F3117" s="11">
        <f>[1]!EM_S_PQ_PCTCHANGE(B3117,"2018-01-01","2019-12-31","3")</f>
        <v>-25.946633869999999</v>
      </c>
      <c r="G3117" s="11">
        <f>[1]!EM_S_PQ_PCTCHANGE(B3117,"2018-12-31","2019-12-30","1")</f>
        <v>-23.07692308</v>
      </c>
      <c r="H3117" s="11">
        <f>[1]!EM_S_FA_YOY_OR(B3117,E3117)</f>
        <v>6.8463054279</v>
      </c>
      <c r="I3117" s="11">
        <f>[1]!EM_S_FA_GROSSPROFITMARGIN(B3117,E3117)</f>
        <v>32.958818294300002</v>
      </c>
      <c r="J3117" s="11">
        <f>[1]!EM_S_FA_NETPROFITMARGIN(B3117,E3117)</f>
        <v>2.4963262236000001</v>
      </c>
      <c r="K3117" s="10">
        <f>[1]!EM_S_FA_ASSETSTURN(B3117,E3117)</f>
        <v>0.63108954546700002</v>
      </c>
      <c r="L3117" s="12">
        <f>[1]!EM_HKS_VAL_MV(B3117,"2019-12-31","2")</f>
        <v>2532739702.3200002</v>
      </c>
      <c r="M3117">
        <f>[1]!EM_S_VAL_PETTMDEDUCTED(B3117,E3117)</f>
        <v>195.56678058943601</v>
      </c>
      <c r="N3117" s="7">
        <f>[1]!EM_S_VAL_PBGOODWILLDEDUCTED(B3117,E3117)</f>
        <v>5.3786458916310398</v>
      </c>
      <c r="O3117" s="7">
        <f>[1]!EM_S_VAL_PS_TTM(B3117,E3117)</f>
        <v>2.9811699470408</v>
      </c>
      <c r="P3117" s="7">
        <f>[1]!EM_S_VAL_PCF_NCFTTM(B3117,E3117)</f>
        <v>49.023352683264001</v>
      </c>
      <c r="Q3117" s="7">
        <f>[1]!EM_S_VAL_DIVIDENDYIELD2(B3117,E3117,"2019-11-29")</f>
        <v>0.28409090909090912</v>
      </c>
      <c r="T3117"/>
      <c r="U3117">
        <f>[1]!EM_S_RATIO_EPS_TTM(B3117,E3117,"1")</f>
        <v>8.6216084554910505E-2</v>
      </c>
      <c r="AT3117" s="4" t="str">
        <f>[1]!EM_S_IPO_LISTEDDATE(B3117)</f>
        <v>1996-11-08</v>
      </c>
    </row>
    <row r="3118" spans="1:46">
      <c r="A3118">
        <v>2788</v>
      </c>
      <c r="B3118" t="str">
        <f>"600715"</f>
        <v>600715</v>
      </c>
      <c r="C3118" t="s">
        <v>2019</v>
      </c>
      <c r="D3118" t="str">
        <f>[1]!EM_S_INFO_INDEX_EM(B3118,"1")</f>
        <v>文化传媒</v>
      </c>
      <c r="E3118" s="4">
        <f t="shared" si="48"/>
        <v>43465</v>
      </c>
      <c r="F3118" s="11">
        <f>[1]!EM_S_PQ_PCTCHANGE(B3118,"2018-01-01","2019-12-31","3")</f>
        <v>-84.004374429999999</v>
      </c>
      <c r="G3118" s="11">
        <f>[1]!EM_S_PQ_PCTCHANGE(B3118,"2018-12-31","2019-12-30","1")</f>
        <v>-23.11111111</v>
      </c>
      <c r="H3118" s="11">
        <f>[1]!EM_S_FA_YOY_OR(B3118,E3118)</f>
        <v>-8.4053185631999998</v>
      </c>
      <c r="I3118" s="11">
        <f>[1]!EM_S_FA_GROSSPROFITMARGIN(B3118,E3118)</f>
        <v>4.8222436795999997</v>
      </c>
      <c r="J3118" s="11">
        <f>[1]!EM_S_FA_NETPROFITMARGIN(B3118,E3118)</f>
        <v>-33.395181061000002</v>
      </c>
      <c r="K3118" s="10">
        <f>[1]!EM_S_FA_ASSETSTURN(B3118,E3118)</f>
        <v>0.20717433858600001</v>
      </c>
      <c r="L3118" s="12">
        <f>[1]!EM_HKS_VAL_MV(B3118,"2019-12-31","2")</f>
        <v>6584729925</v>
      </c>
      <c r="M3118">
        <f>[1]!EM_S_VAL_PETTMDEDUCTED(B3118,E3118)</f>
        <v>145.03528484842599</v>
      </c>
      <c r="N3118" s="7">
        <f>[1]!EM_S_VAL_PBGOODWILLDEDUCTED(B3118,E3118)</f>
        <v>3.0573401283496899</v>
      </c>
      <c r="O3118" s="7">
        <f>[1]!EM_S_VAL_PS_TTM(B3118,E3118)</f>
        <v>4.0034948818646701</v>
      </c>
      <c r="P3118" s="7">
        <f>[1]!EM_S_VAL_PCF_NCFTTM(B3118,E3118)</f>
        <v>-18.078895864956301</v>
      </c>
      <c r="Q3118" s="7">
        <f>[1]!EM_S_VAL_DIVIDENDYIELD2(B3118,E3118,"2019-11-29")</f>
        <v>0</v>
      </c>
      <c r="T3118"/>
      <c r="U3118">
        <f>[1]!EM_S_RATIO_EPS_TTM(B3118,E3118,"1")</f>
        <v>-0.37016078502695765</v>
      </c>
      <c r="AT3118" s="4" t="str">
        <f>[1]!EM_S_IPO_LISTEDDATE(B3118)</f>
        <v>1996-07-01</v>
      </c>
    </row>
    <row r="3119" spans="1:46">
      <c r="A3119">
        <v>2702</v>
      </c>
      <c r="B3119" t="str">
        <f>"600629"</f>
        <v>600629</v>
      </c>
      <c r="C3119" t="s">
        <v>883</v>
      </c>
      <c r="D3119" t="str">
        <f>[1]!EM_S_INFO_INDEX_EM(B3119,"1")</f>
        <v>建筑</v>
      </c>
      <c r="E3119" s="4">
        <f t="shared" si="48"/>
        <v>43465</v>
      </c>
      <c r="F3119" s="11">
        <f>[1]!EM_S_PQ_PCTCHANGE(B3119,"2018-01-01","2019-12-31","3")</f>
        <v>-30.220930360000001</v>
      </c>
      <c r="G3119" s="11">
        <f>[1]!EM_S_PQ_PCTCHANGE(B3119,"2018-12-31","2019-12-30","1")</f>
        <v>-23.247559890000002</v>
      </c>
      <c r="H3119" s="11">
        <f>[1]!EM_S_FA_YOY_OR(B3119,E3119)</f>
        <v>12.6504191382</v>
      </c>
      <c r="I3119" s="11">
        <f>[1]!EM_S_FA_GROSSPROFITMARGIN(B3119,E3119)</f>
        <v>25.445898797000002</v>
      </c>
      <c r="J3119" s="11">
        <f>[1]!EM_S_FA_NETPROFITMARGIN(B3119,E3119)</f>
        <v>5.1427800431000001</v>
      </c>
      <c r="K3119" s="10">
        <f>[1]!EM_S_FA_ASSETSTURN(B3119,E3119)</f>
        <v>0.75009825738500002</v>
      </c>
      <c r="L3119" s="12">
        <f>[1]!EM_HKS_VAL_MV(B3119,"2019-12-31","2")</f>
        <v>4641789900.2200003</v>
      </c>
      <c r="M3119">
        <f>[1]!EM_S_VAL_PETTMDEDUCTED(B3119,E3119)</f>
        <v>18.6853933443758</v>
      </c>
      <c r="N3119" s="7">
        <f>[1]!EM_S_VAL_PBGOODWILLDEDUCTED(B3119,E3119)</f>
        <v>1.94399696114122</v>
      </c>
      <c r="O3119" s="7">
        <f>[1]!EM_S_VAL_PS_TTM(B3119,E3119)</f>
        <v>0.80199259951996005</v>
      </c>
      <c r="P3119" s="7">
        <f>[1]!EM_S_VAL_PCF_NCFTTM(B3119,E3119)</f>
        <v>-25.960430557274499</v>
      </c>
      <c r="Q3119" s="7">
        <f>[1]!EM_S_VAL_DIVIDENDYIELD2(B3119,E3119,"2019-11-29")</f>
        <v>1.8159806308998467</v>
      </c>
      <c r="T3119"/>
      <c r="U3119">
        <f>[1]!EM_S_RATIO_EPS_TTM(B3119,E3119,"1")</f>
        <v>0.60975422068180796</v>
      </c>
      <c r="AT3119" s="4" t="str">
        <f>[1]!EM_S_IPO_LISTEDDATE(B3119)</f>
        <v>1993-02-09</v>
      </c>
    </row>
    <row r="3120" spans="1:46">
      <c r="A3120">
        <v>636</v>
      </c>
      <c r="B3120" t="str">
        <f>"002125"</f>
        <v>002125</v>
      </c>
      <c r="C3120" t="s">
        <v>2294</v>
      </c>
      <c r="D3120" t="str">
        <f>[1]!EM_S_INFO_INDEX_EM(B3120,"1")</f>
        <v>基础化工</v>
      </c>
      <c r="E3120" s="4">
        <f t="shared" si="48"/>
        <v>43465</v>
      </c>
      <c r="F3120" s="11">
        <f>[1]!EM_S_PQ_PCTCHANGE(B3120,"2018-01-01","2019-12-31","3")</f>
        <v>-19.208122249999999</v>
      </c>
      <c r="G3120" s="11">
        <f>[1]!EM_S_PQ_PCTCHANGE(B3120,"2018-12-31","2019-12-30","1")</f>
        <v>-23.388305849999998</v>
      </c>
      <c r="H3120" s="11">
        <f>[1]!EM_S_FA_YOY_OR(B3120,E3120)</f>
        <v>45.655336236799997</v>
      </c>
      <c r="I3120" s="11">
        <f>[1]!EM_S_FA_GROSSPROFITMARGIN(B3120,E3120)</f>
        <v>25.958519082799999</v>
      </c>
      <c r="J3120" s="11">
        <f>[1]!EM_S_FA_NETPROFITMARGIN(B3120,E3120)</f>
        <v>6.9478030595</v>
      </c>
      <c r="K3120" s="10">
        <f>[1]!EM_S_FA_ASSETSTURN(B3120,E3120)</f>
        <v>0.37644874778100001</v>
      </c>
      <c r="L3120" s="12">
        <f>[1]!EM_HKS_VAL_MV(B3120,"2019-12-31","2")</f>
        <v>2836684676.8800001</v>
      </c>
      <c r="M3120">
        <f>[1]!EM_S_VAL_PETTMDEDUCTED(B3120,E3120)</f>
        <v>34.693422505884399</v>
      </c>
      <c r="N3120" s="7">
        <f>[1]!EM_S_VAL_PBGOODWILLDEDUCTED(B3120,E3120)</f>
        <v>2.0017457165848702</v>
      </c>
      <c r="O3120" s="7">
        <f>[1]!EM_S_VAL_PS_TTM(B3120,E3120)</f>
        <v>2.3605005824879099</v>
      </c>
      <c r="P3120" s="7">
        <f>[1]!EM_S_VAL_PCF_NCFTTM(B3120,E3120)</f>
        <v>10.536913766146901</v>
      </c>
      <c r="Q3120" s="7">
        <f>[1]!EM_S_VAL_DIVIDENDYIELD2(B3120,E3120,"2019-11-29")</f>
        <v>0.82056892778993429</v>
      </c>
      <c r="T3120"/>
      <c r="U3120">
        <f>[1]!EM_S_RATIO_EPS_TTM(B3120,E3120,"1")</f>
        <v>0.20467812031299712</v>
      </c>
      <c r="AT3120" s="4" t="str">
        <f>[1]!EM_S_IPO_LISTEDDATE(B3120)</f>
        <v>2007-04-03</v>
      </c>
    </row>
    <row r="3121" spans="1:46">
      <c r="A3121">
        <v>1496</v>
      </c>
      <c r="B3121" t="str">
        <f>"300071"</f>
        <v>300071</v>
      </c>
      <c r="C3121" t="s">
        <v>634</v>
      </c>
      <c r="D3121" t="str">
        <f>[1]!EM_S_INFO_INDEX_EM(B3121,"1")</f>
        <v>文化传媒</v>
      </c>
      <c r="E3121" s="4">
        <f t="shared" si="48"/>
        <v>43465</v>
      </c>
      <c r="F3121" s="11">
        <f>[1]!EM_S_PQ_PCTCHANGE(B3121,"2018-01-01","2019-12-31","3")</f>
        <v>-63.205128209999998</v>
      </c>
      <c r="G3121" s="11">
        <f>[1]!EM_S_PQ_PCTCHANGE(B3121,"2018-12-31","2019-12-30","1")</f>
        <v>-23.39832869</v>
      </c>
      <c r="H3121" s="11">
        <f>[1]!EM_S_FA_YOY_OR(B3121,E3121)</f>
        <v>-2.5030400953999998</v>
      </c>
      <c r="I3121" s="11">
        <f>[1]!EM_S_FA_GROSSPROFITMARGIN(B3121,E3121)</f>
        <v>16.265909043600001</v>
      </c>
      <c r="J3121" s="11">
        <f>[1]!EM_S_FA_NETPROFITMARGIN(B3121,E3121)</f>
        <v>-22.572071820200001</v>
      </c>
      <c r="K3121" s="10">
        <f>[1]!EM_S_FA_ASSETSTURN(B3121,E3121)</f>
        <v>1.0540495198140001</v>
      </c>
      <c r="L3121" s="12">
        <f>[1]!EM_HKS_VAL_MV(B3121,"2019-12-31","2")</f>
        <v>1926879025.4000001</v>
      </c>
      <c r="M3121">
        <f>[1]!EM_S_VAL_PETTMDEDUCTED(B3121,E3121)</f>
        <v>-6.3442738291240897</v>
      </c>
      <c r="N3121" s="7">
        <f>[1]!EM_S_VAL_PBGOODWILLDEDUCTED(B3121,E3121)</f>
        <v>-9.2621610823789897</v>
      </c>
      <c r="O3121" s="7">
        <f>[1]!EM_S_VAL_PS_TTM(B3121,E3121)</f>
        <v>0.76791112547562002</v>
      </c>
      <c r="P3121" s="7">
        <f>[1]!EM_S_VAL_PCF_NCFTTM(B3121,E3121)</f>
        <v>-101.022481154769</v>
      </c>
      <c r="Q3121" s="7">
        <f>[1]!EM_S_VAL_DIVIDENDYIELD2(B3121,E3121,"2019-11-29")</f>
        <v>0</v>
      </c>
      <c r="T3121"/>
      <c r="U3121">
        <f>[1]!EM_S_RATIO_EPS_TTM(B3121,E3121,"1")</f>
        <v>-1.1334562216939708</v>
      </c>
      <c r="AT3121" s="4" t="str">
        <f>[1]!EM_S_IPO_LISTEDDATE(B3121)</f>
        <v>2010-04-21</v>
      </c>
    </row>
    <row r="3122" spans="1:46">
      <c r="A3122">
        <v>36</v>
      </c>
      <c r="B3122" t="str">
        <f>"000036"</f>
        <v>000036</v>
      </c>
      <c r="C3122" t="s">
        <v>1133</v>
      </c>
      <c r="D3122" t="str">
        <f>[1]!EM_S_INFO_INDEX_EM(B3122,"1")</f>
        <v>房地产</v>
      </c>
      <c r="E3122" s="4">
        <f t="shared" si="48"/>
        <v>43465</v>
      </c>
      <c r="F3122" s="11">
        <f>[1]!EM_S_PQ_PCTCHANGE(B3122,"2018-01-01","2019-12-31","3")</f>
        <v>-27.06050084</v>
      </c>
      <c r="G3122" s="11">
        <f>[1]!EM_S_PQ_PCTCHANGE(B3122,"2018-12-31","2019-12-30","1")</f>
        <v>-23.411978220000002</v>
      </c>
      <c r="H3122" s="11">
        <f>[1]!EM_S_FA_YOY_OR(B3122,E3122)</f>
        <v>-16.042681536500002</v>
      </c>
      <c r="I3122" s="11">
        <f>[1]!EM_S_FA_GROSSPROFITMARGIN(B3122,E3122)</f>
        <v>72.1156506329</v>
      </c>
      <c r="J3122" s="11">
        <f>[1]!EM_S_FA_NETPROFITMARGIN(B3122,E3122)</f>
        <v>30.922637741799999</v>
      </c>
      <c r="K3122" s="10">
        <f>[1]!EM_S_FA_ASSETSTURN(B3122,E3122)</f>
        <v>0.34005944527999998</v>
      </c>
      <c r="L3122" s="12">
        <f>[1]!EM_HKS_VAL_MV(B3122,"2019-12-31","2")</f>
        <v>6395755647.75</v>
      </c>
      <c r="M3122">
        <f>[1]!EM_S_VAL_PETTMDEDUCTED(B3122,E3122)</f>
        <v>6.4251242929658803</v>
      </c>
      <c r="N3122" s="7">
        <f>[1]!EM_S_VAL_PBGOODWILLDEDUCTED(B3122,E3122)</f>
        <v>1.3062139957591701</v>
      </c>
      <c r="O3122" s="7">
        <f>[1]!EM_S_VAL_PS_TTM(B3122,E3122)</f>
        <v>1.72231514857462</v>
      </c>
      <c r="P3122" s="7">
        <f>[1]!EM_S_VAL_PCF_NCFTTM(B3122,E3122)</f>
        <v>3.1078407616602002</v>
      </c>
      <c r="Q3122" s="7">
        <f>[1]!EM_S_VAL_DIVIDENDYIELD2(B3122,E3122,"2019-11-29")</f>
        <v>11.743981214378515</v>
      </c>
      <c r="T3122"/>
      <c r="U3122">
        <f>[1]!EM_S_RATIO_EPS_TTM(B3122,E3122,"1")</f>
        <v>0.84858038900203248</v>
      </c>
      <c r="AT3122" s="4" t="str">
        <f>[1]!EM_S_IPO_LISTEDDATE(B3122)</f>
        <v>1994-06-17</v>
      </c>
    </row>
    <row r="3123" spans="1:46">
      <c r="A3123">
        <v>1335</v>
      </c>
      <c r="B3123" t="str">
        <f>"002832"</f>
        <v>002832</v>
      </c>
      <c r="C3123" t="s">
        <v>220</v>
      </c>
      <c r="D3123" t="str">
        <f>[1]!EM_S_INFO_INDEX_EM(B3123,"1")</f>
        <v>纺织服装</v>
      </c>
      <c r="E3123" s="4">
        <f t="shared" si="48"/>
        <v>43465</v>
      </c>
      <c r="F3123" s="11">
        <f>[1]!EM_S_PQ_PCTCHANGE(B3123,"2018-01-01","2019-12-31","3")</f>
        <v>27.827797700000001</v>
      </c>
      <c r="G3123" s="11">
        <f>[1]!EM_S_PQ_PCTCHANGE(B3123,"2018-12-31","2019-12-30","1")</f>
        <v>-23.413173650000001</v>
      </c>
      <c r="H3123" s="11">
        <f>[1]!EM_S_FA_YOY_OR(B3123,E3123)</f>
        <v>39.957107521300003</v>
      </c>
      <c r="I3123" s="11">
        <f>[1]!EM_S_FA_GROSSPROFITMARGIN(B3123,E3123)</f>
        <v>63.276323335100003</v>
      </c>
      <c r="J3123" s="11">
        <f>[1]!EM_S_FA_NETPROFITMARGIN(B3123,E3123)</f>
        <v>19.804122222899998</v>
      </c>
      <c r="K3123" s="10">
        <f>[1]!EM_S_FA_ASSETSTURN(B3123,E3123)</f>
        <v>0.76639724857299996</v>
      </c>
      <c r="L3123" s="12">
        <f>[1]!EM_HKS_VAL_MV(B3123,"2019-12-31","2")</f>
        <v>8005935511</v>
      </c>
      <c r="M3123">
        <f>[1]!EM_S_VAL_PETTMDEDUCTED(B3123,E3123)</f>
        <v>25.802343402889498</v>
      </c>
      <c r="N3123" s="7">
        <f>[1]!EM_S_VAL_PBGOODWILLDEDUCTED(B3123,E3123)</f>
        <v>3.7198020476889999</v>
      </c>
      <c r="O3123" s="7">
        <f>[1]!EM_S_VAL_PS_TTM(B3123,E3123)</f>
        <v>4.4686189436773702</v>
      </c>
      <c r="P3123" s="7">
        <f>[1]!EM_S_VAL_PCF_NCFTTM(B3123,E3123)</f>
        <v>-14.3889382704177</v>
      </c>
      <c r="Q3123" s="7">
        <f>[1]!EM_S_VAL_DIVIDENDYIELD2(B3123,E3123,"2019-11-29")</f>
        <v>1.1936592818945759</v>
      </c>
      <c r="T3123"/>
      <c r="U3123">
        <f>[1]!EM_S_RATIO_EPS_TTM(B3123,E3123,"1")</f>
        <v>1.6116633349693117</v>
      </c>
      <c r="AT3123" s="4" t="str">
        <f>[1]!EM_S_IPO_LISTEDDATE(B3123)</f>
        <v>2016-12-23</v>
      </c>
    </row>
    <row r="3124" spans="1:46">
      <c r="A3124">
        <v>2185</v>
      </c>
      <c r="B3124" t="str">
        <f>"600027"</f>
        <v>600027</v>
      </c>
      <c r="C3124" t="s">
        <v>1654</v>
      </c>
      <c r="D3124" t="str">
        <f>[1]!EM_S_INFO_INDEX_EM(B3124,"1")</f>
        <v>公用事业</v>
      </c>
      <c r="E3124" s="4">
        <f t="shared" si="48"/>
        <v>43465</v>
      </c>
      <c r="F3124" s="11">
        <f>[1]!EM_S_PQ_PCTCHANGE(B3124,"2018-01-01","2019-12-31","3")</f>
        <v>1.1782319000000001</v>
      </c>
      <c r="G3124" s="11">
        <f>[1]!EM_S_PQ_PCTCHANGE(B3124,"2018-12-31","2019-12-30","1")</f>
        <v>-23.578947370000002</v>
      </c>
      <c r="H3124" s="11">
        <f>[1]!EM_S_FA_YOY_OR(B3124,E3124)</f>
        <v>11.844839603500001</v>
      </c>
      <c r="I3124" s="11">
        <f>[1]!EM_S_FA_GROSSPROFITMARGIN(B3124,E3124)</f>
        <v>12.352437590499999</v>
      </c>
      <c r="J3124" s="11">
        <f>[1]!EM_S_FA_NETPROFITMARGIN(B3124,E3124)</f>
        <v>2.5708937090999999</v>
      </c>
      <c r="K3124" s="10">
        <f>[1]!EM_S_FA_ASSETSTURN(B3124,E3124)</f>
        <v>0.40047216476600001</v>
      </c>
      <c r="L3124" s="12">
        <f>[1]!EM_HKS_VAL_MV(B3124,"2019-12-31","2")</f>
        <v>36197124316.510002</v>
      </c>
      <c r="M3124">
        <f>[1]!EM_S_VAL_PETTMDEDUCTED(B3124,E3124)</f>
        <v>26.742574219427901</v>
      </c>
      <c r="N3124" s="7">
        <f>[1]!EM_S_VAL_PBGOODWILLDEDUCTED(B3124,E3124)</f>
        <v>1.11904449523896</v>
      </c>
      <c r="O3124" s="7">
        <f>[1]!EM_S_VAL_PS_TTM(B3124,E3124)</f>
        <v>0.54969380321252603</v>
      </c>
      <c r="P3124" s="7">
        <f>[1]!EM_S_VAL_PCF_NCFTTM(B3124,E3124)</f>
        <v>118.77049139627</v>
      </c>
      <c r="Q3124" s="7">
        <f>[1]!EM_S_VAL_DIVIDENDYIELD2(B3124,E3124,"2019-11-29")</f>
        <v>1.7789757412398921</v>
      </c>
      <c r="T3124"/>
      <c r="U3124">
        <f>[1]!EM_S_RATIO_EPS_TTM(B3124,E3124,"1")</f>
        <v>0.17189486091750156</v>
      </c>
      <c r="AT3124" s="4" t="str">
        <f>[1]!EM_S_IPO_LISTEDDATE(B3124)</f>
        <v>2005-02-03</v>
      </c>
    </row>
    <row r="3125" spans="1:46">
      <c r="A3125">
        <v>2772</v>
      </c>
      <c r="B3125" t="str">
        <f>"600699"</f>
        <v>600699</v>
      </c>
      <c r="C3125" t="s">
        <v>2896</v>
      </c>
      <c r="D3125" t="str">
        <f>[1]!EM_S_INFO_INDEX_EM(B3125,"1")</f>
        <v>交运设备</v>
      </c>
      <c r="E3125" s="4">
        <f t="shared" si="48"/>
        <v>43465</v>
      </c>
      <c r="F3125" s="11">
        <f>[1]!EM_S_PQ_PCTCHANGE(B3125,"2018-01-01","2019-12-31","3")</f>
        <v>-25.132561519999999</v>
      </c>
      <c r="G3125" s="11">
        <f>[1]!EM_S_PQ_PCTCHANGE(B3125,"2018-12-31","2019-12-30","1")</f>
        <v>-23.672945210000002</v>
      </c>
      <c r="H3125" s="11">
        <f>[1]!EM_S_FA_YOY_OR(B3125,E3125)</f>
        <v>111.16204624140001</v>
      </c>
      <c r="I3125" s="11">
        <f>[1]!EM_S_FA_GROSSPROFITMARGIN(B3125,E3125)</f>
        <v>16.998869079599999</v>
      </c>
      <c r="J3125" s="11">
        <f>[1]!EM_S_FA_NETPROFITMARGIN(B3125,E3125)</f>
        <v>3.7855163909999998</v>
      </c>
      <c r="K3125" s="10">
        <f>[1]!EM_S_FA_ASSETSTURN(B3125,E3125)</f>
        <v>1.1868137329020001</v>
      </c>
      <c r="L3125" s="12">
        <f>[1]!EM_HKS_VAL_MV(B3125,"2019-12-31","2")</f>
        <v>22147008863.5</v>
      </c>
      <c r="M3125">
        <f>[1]!EM_S_VAL_PETTMDEDUCTED(B3125,E3125)</f>
        <v>123.03077923827</v>
      </c>
      <c r="N3125" s="7">
        <f>[1]!EM_S_VAL_PBGOODWILLDEDUCTED(B3125,E3125)</f>
        <v>5.2107180904779904</v>
      </c>
      <c r="O3125" s="7">
        <f>[1]!EM_S_VAL_PS_TTM(B3125,E3125)</f>
        <v>0.475711325424934</v>
      </c>
      <c r="P3125" s="7">
        <f>[1]!EM_S_VAL_PCF_NCFTTM(B3125,E3125)</f>
        <v>6.7883565498295999</v>
      </c>
      <c r="Q3125" s="7">
        <f>[1]!EM_S_VAL_DIVIDENDYIELD2(B3125,E3125,"2019-11-29")</f>
        <v>0</v>
      </c>
      <c r="T3125"/>
      <c r="U3125">
        <f>[1]!EM_S_RATIO_EPS_TTM(B3125,E3125,"1")</f>
        <v>1.3883967783783442</v>
      </c>
      <c r="AT3125" s="4" t="str">
        <f>[1]!EM_S_IPO_LISTEDDATE(B3125)</f>
        <v>1993-12-06</v>
      </c>
    </row>
    <row r="3126" spans="1:46">
      <c r="A3126">
        <v>860</v>
      </c>
      <c r="B3126" t="str">
        <f>"002349"</f>
        <v>002349</v>
      </c>
      <c r="C3126" t="s">
        <v>1008</v>
      </c>
      <c r="D3126" t="str">
        <f>[1]!EM_S_INFO_INDEX_EM(B3126,"1")</f>
        <v>医药生物</v>
      </c>
      <c r="E3126" s="4">
        <f t="shared" si="48"/>
        <v>43465</v>
      </c>
      <c r="F3126" s="11">
        <f>[1]!EM_S_PQ_PCTCHANGE(B3126,"2018-01-01","2019-12-31","3")</f>
        <v>-40.427891989999999</v>
      </c>
      <c r="G3126" s="11">
        <f>[1]!EM_S_PQ_PCTCHANGE(B3126,"2018-12-31","2019-12-30","1")</f>
        <v>-23.734729489999999</v>
      </c>
      <c r="H3126" s="11">
        <f>[1]!EM_S_FA_YOY_OR(B3126,E3126)</f>
        <v>20.856572943300002</v>
      </c>
      <c r="I3126" s="11">
        <f>[1]!EM_S_FA_GROSSPROFITMARGIN(B3126,E3126)</f>
        <v>48.0395808436</v>
      </c>
      <c r="J3126" s="11">
        <f>[1]!EM_S_FA_NETPROFITMARGIN(B3126,E3126)</f>
        <v>19.197481163700001</v>
      </c>
      <c r="K3126" s="10">
        <f>[1]!EM_S_FA_ASSETSTURN(B3126,E3126)</f>
        <v>0.407964703915</v>
      </c>
      <c r="L3126" s="12">
        <f>[1]!EM_HKS_VAL_MV(B3126,"2019-12-31","2")</f>
        <v>3744045195.52</v>
      </c>
      <c r="M3126">
        <f>[1]!EM_S_VAL_PETTMDEDUCTED(B3126,E3126)</f>
        <v>28.621359091620999</v>
      </c>
      <c r="N3126" s="7">
        <f>[1]!EM_S_VAL_PBGOODWILLDEDUCTED(B3126,E3126)</f>
        <v>2.7972526032219398</v>
      </c>
      <c r="O3126" s="7">
        <f>[1]!EM_S_VAL_PS_TTM(B3126,E3126)</f>
        <v>3.8354691273822499</v>
      </c>
      <c r="P3126" s="7">
        <f>[1]!EM_S_VAL_PCF_NCFTTM(B3126,E3126)</f>
        <v>-25.514940970804101</v>
      </c>
      <c r="Q3126" s="7">
        <f>[1]!EM_S_VAL_DIVIDENDYIELD2(B3126,E3126,"2019-11-29")</f>
        <v>1.1600928074245942</v>
      </c>
      <c r="T3126"/>
      <c r="U3126">
        <f>[1]!EM_S_RATIO_EPS_TTM(B3126,E3126,"1")</f>
        <v>0.27480983293661843</v>
      </c>
      <c r="AT3126" s="4" t="str">
        <f>[1]!EM_S_IPO_LISTEDDATE(B3126)</f>
        <v>2010-02-03</v>
      </c>
    </row>
    <row r="3127" spans="1:46">
      <c r="A3127">
        <v>356</v>
      </c>
      <c r="B3127" t="str">
        <f>"000797"</f>
        <v>000797</v>
      </c>
      <c r="C3127" t="s">
        <v>2514</v>
      </c>
      <c r="D3127" t="str">
        <f>[1]!EM_S_INFO_INDEX_EM(B3127,"1")</f>
        <v>房地产</v>
      </c>
      <c r="E3127" s="4">
        <f t="shared" si="48"/>
        <v>43465</v>
      </c>
      <c r="F3127" s="11">
        <f>[1]!EM_S_PQ_PCTCHANGE(B3127,"2018-01-01","2019-12-31","3")</f>
        <v>-49.307692549999999</v>
      </c>
      <c r="G3127" s="11">
        <f>[1]!EM_S_PQ_PCTCHANGE(B3127,"2018-12-31","2019-12-30","1")</f>
        <v>-23.736263739999998</v>
      </c>
      <c r="H3127" s="11">
        <f>[1]!EM_S_FA_YOY_OR(B3127,E3127)</f>
        <v>16.6842721101</v>
      </c>
      <c r="I3127" s="11">
        <f>[1]!EM_S_FA_GROSSPROFITMARGIN(B3127,E3127)</f>
        <v>24.286645239199999</v>
      </c>
      <c r="J3127" s="11">
        <f>[1]!EM_S_FA_NETPROFITMARGIN(B3127,E3127)</f>
        <v>8.7615629290000001</v>
      </c>
      <c r="K3127" s="10">
        <f>[1]!EM_S_FA_ASSETSTURN(B3127,E3127)</f>
        <v>0.31310521967400001</v>
      </c>
      <c r="L3127" s="12">
        <f>[1]!EM_HKS_VAL_MV(B3127,"2019-12-31","2")</f>
        <v>5484586487.9700003</v>
      </c>
      <c r="M3127">
        <f>[1]!EM_S_VAL_PETTMDEDUCTED(B3127,E3127)</f>
        <v>18.4097723046863</v>
      </c>
      <c r="N3127" s="7">
        <f>[1]!EM_S_VAL_PBGOODWILLDEDUCTED(B3127,E3127)</f>
        <v>1.18845378299989</v>
      </c>
      <c r="O3127" s="7">
        <f>[1]!EM_S_VAL_PS_TTM(B3127,E3127)</f>
        <v>1.4455765556098701</v>
      </c>
      <c r="P3127" s="7">
        <f>[1]!EM_S_VAL_PCF_NCFTTM(B3127,E3127)</f>
        <v>-5.0479030708833603</v>
      </c>
      <c r="Q3127" s="7">
        <f>[1]!EM_S_VAL_DIVIDENDYIELD2(B3127,E3127,"2019-11-29")</f>
        <v>1.5340468012632589</v>
      </c>
      <c r="T3127"/>
      <c r="U3127">
        <f>[1]!EM_S_RATIO_EPS_TTM(B3127,E3127,"1")</f>
        <v>0.23283240696043014</v>
      </c>
      <c r="AT3127" s="4" t="str">
        <f>[1]!EM_S_IPO_LISTEDDATE(B3127)</f>
        <v>1997-07-15</v>
      </c>
    </row>
    <row r="3128" spans="1:46">
      <c r="A3128">
        <v>1869</v>
      </c>
      <c r="B3128" t="str">
        <f>"300444"</f>
        <v>300444</v>
      </c>
      <c r="C3128" t="s">
        <v>109</v>
      </c>
      <c r="D3128" t="str">
        <f>[1]!EM_S_INFO_INDEX_EM(B3128,"1")</f>
        <v>电气设备</v>
      </c>
      <c r="E3128" s="4">
        <f t="shared" si="48"/>
        <v>43465</v>
      </c>
      <c r="F3128" s="11">
        <f>[1]!EM_S_PQ_PCTCHANGE(B3128,"2018-01-01","2019-12-31","3")</f>
        <v>-46.785126320000003</v>
      </c>
      <c r="G3128" s="11">
        <f>[1]!EM_S_PQ_PCTCHANGE(B3128,"2018-12-31","2019-12-30","1")</f>
        <v>-23.74429224</v>
      </c>
      <c r="H3128" s="11">
        <f>[1]!EM_S_FA_YOY_OR(B3128,E3128)</f>
        <v>36.1025368118</v>
      </c>
      <c r="I3128" s="11">
        <f>[1]!EM_S_FA_GROSSPROFITMARGIN(B3128,E3128)</f>
        <v>26.6945828556</v>
      </c>
      <c r="J3128" s="11">
        <f>[1]!EM_S_FA_NETPROFITMARGIN(B3128,E3128)</f>
        <v>8.6273700517999998</v>
      </c>
      <c r="K3128" s="10">
        <f>[1]!EM_S_FA_ASSETSTURN(B3128,E3128)</f>
        <v>0.58251220190499997</v>
      </c>
      <c r="L3128" s="12">
        <f>[1]!EM_HKS_VAL_MV(B3128,"2019-12-31","2")</f>
        <v>2922746003.5799999</v>
      </c>
      <c r="M3128">
        <f>[1]!EM_S_VAL_PETTMDEDUCTED(B3128,E3128)</f>
        <v>25.421026163027999</v>
      </c>
      <c r="N3128" s="7">
        <f>[1]!EM_S_VAL_PBGOODWILLDEDUCTED(B3128,E3128)</f>
        <v>3.4235650346162001</v>
      </c>
      <c r="O3128" s="7">
        <f>[1]!EM_S_VAL_PS_TTM(B3128,E3128)</f>
        <v>2.04011739444379</v>
      </c>
      <c r="P3128" s="7">
        <f>[1]!EM_S_VAL_PCF_NCFTTM(B3128,E3128)</f>
        <v>39.227813064327599</v>
      </c>
      <c r="Q3128" s="7">
        <f>[1]!EM_S_VAL_DIVIDENDYIELD2(B3128,E3128,"2019-11-29")</f>
        <v>0.49904290983300215</v>
      </c>
      <c r="U3128">
        <f>[1]!EM_S_RATIO_EPS_TTM(B3128,E3128,"1")</f>
        <v>0.32206449909425849</v>
      </c>
      <c r="AT3128" s="4" t="str">
        <f>[1]!EM_S_IPO_LISTEDDATE(B3128)</f>
        <v>2015-04-23</v>
      </c>
    </row>
    <row r="3129" spans="1:46">
      <c r="A3129">
        <v>3235</v>
      </c>
      <c r="B3129" t="str">
        <f>"603039"</f>
        <v>603039</v>
      </c>
      <c r="C3129" t="s">
        <v>1155</v>
      </c>
      <c r="D3129" t="str">
        <f>[1]!EM_S_INFO_INDEX_EM(B3129,"1")</f>
        <v>信息技术</v>
      </c>
      <c r="E3129" s="4">
        <f t="shared" si="48"/>
        <v>43465</v>
      </c>
      <c r="F3129" s="11">
        <f>[1]!EM_S_PQ_PCTCHANGE(B3129,"2018-01-01","2019-12-31","3")</f>
        <v>101.7542715</v>
      </c>
      <c r="G3129" s="11">
        <f>[1]!EM_S_PQ_PCTCHANGE(B3129,"2018-12-31","2019-12-30","1")</f>
        <v>-23.762102349999999</v>
      </c>
      <c r="H3129" s="11">
        <f>[1]!EM_S_FA_YOY_OR(B3129,E3129)</f>
        <v>42.512863380500001</v>
      </c>
      <c r="I3129" s="11">
        <f>[1]!EM_S_FA_GROSSPROFITMARGIN(B3129,E3129)</f>
        <v>95.796244572700004</v>
      </c>
      <c r="J3129" s="11">
        <f>[1]!EM_S_FA_NETPROFITMARGIN(B3129,E3129)</f>
        <v>10.779723478899999</v>
      </c>
      <c r="K3129" s="10">
        <f>[1]!EM_S_FA_ASSETSTURN(B3129,E3129)</f>
        <v>0.68774320349899998</v>
      </c>
      <c r="L3129" s="12">
        <f>[1]!EM_HKS_VAL_MV(B3129,"2019-12-31","2")</f>
        <v>8870957316</v>
      </c>
      <c r="M3129">
        <f>[1]!EM_S_VAL_PETTMDEDUCTED(B3129,E3129)</f>
        <v>96.661180874808096</v>
      </c>
      <c r="N3129" s="7">
        <f>[1]!EM_S_VAL_PBGOODWILLDEDUCTED(B3129,E3129)</f>
        <v>10.2364847040056</v>
      </c>
      <c r="O3129" s="7">
        <f>[1]!EM_S_VAL_PS_TTM(B3129,E3129)</f>
        <v>8.4393417849875405</v>
      </c>
      <c r="P3129" s="7">
        <f>[1]!EM_S_VAL_PCF_NCFTTM(B3129,E3129)</f>
        <v>224.512910256194</v>
      </c>
      <c r="Q3129" s="7">
        <f>[1]!EM_S_VAL_DIVIDENDYIELD2(B3129,E3129,"2019-11-29")</f>
        <v>0.18362957113210718</v>
      </c>
      <c r="T3129"/>
      <c r="U3129">
        <f>[1]!EM_S_RATIO_EPS_TTM(B3129,E3129,"1")</f>
        <v>1.1167352937079686</v>
      </c>
      <c r="AT3129" s="4" t="str">
        <f>[1]!EM_S_IPO_LISTEDDATE(B3129)</f>
        <v>2017-01-13</v>
      </c>
    </row>
    <row r="3130" spans="1:46">
      <c r="A3130">
        <v>1493</v>
      </c>
      <c r="B3130" t="str">
        <f>"300068"</f>
        <v>300068</v>
      </c>
      <c r="C3130" t="s">
        <v>1227</v>
      </c>
      <c r="D3130" t="str">
        <f>[1]!EM_S_INFO_INDEX_EM(B3130,"1")</f>
        <v>电气设备</v>
      </c>
      <c r="E3130" s="4">
        <f t="shared" si="48"/>
        <v>43465</v>
      </c>
      <c r="F3130" s="11">
        <f>[1]!EM_S_PQ_PCTCHANGE(B3130,"2018-01-01","2019-12-31","3")</f>
        <v>-32.119047430000002</v>
      </c>
      <c r="G3130" s="11">
        <f>[1]!EM_S_PQ_PCTCHANGE(B3130,"2018-12-31","2019-12-30","1")</f>
        <v>-23.769338959999999</v>
      </c>
      <c r="H3130" s="11">
        <f>[1]!EM_S_FA_YOY_OR(B3130,E3130)</f>
        <v>-6.6422388889999997</v>
      </c>
      <c r="I3130" s="11">
        <f>[1]!EM_S_FA_GROSSPROFITMARGIN(B3130,E3130)</f>
        <v>14.1454147647</v>
      </c>
      <c r="J3130" s="11">
        <f>[1]!EM_S_FA_NETPROFITMARGIN(B3130,E3130)</f>
        <v>1.5109111294999999</v>
      </c>
      <c r="K3130" s="10">
        <f>[1]!EM_S_FA_ASSETSTURN(B3130,E3130)</f>
        <v>0.68402751224799996</v>
      </c>
      <c r="L3130" s="12">
        <f>[1]!EM_HKS_VAL_MV(B3130,"2019-12-31","2")</f>
        <v>9386519580.8999996</v>
      </c>
      <c r="M3130">
        <f>[1]!EM_S_VAL_PETTMDEDUCTED(B3130,E3130)</f>
        <v>40.657829452617896</v>
      </c>
      <c r="N3130" s="7">
        <f>[1]!EM_S_VAL_PBGOODWILLDEDUCTED(B3130,E3130)</f>
        <v>2.1489652824043901</v>
      </c>
      <c r="O3130" s="7">
        <f>[1]!EM_S_VAL_PS_TTM(B3130,E3130)</f>
        <v>1.4064857933154999</v>
      </c>
      <c r="P3130" s="7">
        <f>[1]!EM_S_VAL_PCF_NCFTTM(B3130,E3130)</f>
        <v>-23.481061567241401</v>
      </c>
      <c r="Q3130" s="7">
        <f>[1]!EM_S_VAL_DIVIDENDYIELD2(B3130,E3130,"2019-11-29")</f>
        <v>0</v>
      </c>
      <c r="T3130"/>
      <c r="U3130">
        <f>[1]!EM_S_RATIO_EPS_TTM(B3130,E3130,"1")</f>
        <v>0.27580724214206787</v>
      </c>
      <c r="AT3130" s="4" t="str">
        <f>[1]!EM_S_IPO_LISTEDDATE(B3130)</f>
        <v>2010-04-21</v>
      </c>
    </row>
    <row r="3131" spans="1:46">
      <c r="A3131">
        <v>2744</v>
      </c>
      <c r="B3131" t="str">
        <f>"600671"</f>
        <v>600671</v>
      </c>
      <c r="C3131" t="s">
        <v>46</v>
      </c>
      <c r="D3131" t="str">
        <f>[1]!EM_S_INFO_INDEX_EM(B3131,"1")</f>
        <v>医药生物</v>
      </c>
      <c r="E3131" s="4">
        <f t="shared" si="48"/>
        <v>43465</v>
      </c>
      <c r="F3131" s="11">
        <f>[1]!EM_S_PQ_PCTCHANGE(B3131,"2018-01-01","2019-12-31","3")</f>
        <v>-51.246537400000001</v>
      </c>
      <c r="G3131" s="11">
        <f>[1]!EM_S_PQ_PCTCHANGE(B3131,"2018-12-31","2019-12-30","1")</f>
        <v>-23.9375</v>
      </c>
      <c r="H3131" s="11">
        <f>[1]!EM_S_FA_YOY_OR(B3131,E3131)</f>
        <v>103.2345963185</v>
      </c>
      <c r="I3131" s="11">
        <f>[1]!EM_S_FA_GROSSPROFITMARGIN(B3131,E3131)</f>
        <v>38.1540364751</v>
      </c>
      <c r="J3131" s="11">
        <f>[1]!EM_S_FA_NETPROFITMARGIN(B3131,E3131)</f>
        <v>-1.5817640909999999</v>
      </c>
      <c r="K3131" s="10">
        <f>[1]!EM_S_FA_ASSETSTURN(B3131,E3131)</f>
        <v>0.80062404897600004</v>
      </c>
      <c r="L3131" s="12">
        <f>[1]!EM_HKS_VAL_MV(B3131,"2019-12-31","2")</f>
        <v>1500315863.2</v>
      </c>
      <c r="M3131">
        <f>[1]!EM_S_VAL_PETTMDEDUCTED(B3131,E3131)</f>
        <v>-146.22756867279199</v>
      </c>
      <c r="N3131" s="7">
        <f>[1]!EM_S_VAL_PBGOODWILLDEDUCTED(B3131,E3131)</f>
        <v>52.368765941351199</v>
      </c>
      <c r="O3131" s="7">
        <f>[1]!EM_S_VAL_PS_TTM(B3131,E3131)</f>
        <v>5.0992380112922602</v>
      </c>
      <c r="P3131" s="7">
        <f>[1]!EM_S_VAL_PCF_NCFTTM(B3131,E3131)</f>
        <v>-202.20461481817901</v>
      </c>
      <c r="Q3131" s="7">
        <f>[1]!EM_S_VAL_DIVIDENDYIELD2(B3131,E3131,"2019-11-29")</f>
        <v>0</v>
      </c>
      <c r="T3131"/>
      <c r="U3131">
        <f>[1]!EM_S_RATIO_EPS_TTM(B3131,E3131,"1")</f>
        <v>-7.2933379953347408E-2</v>
      </c>
      <c r="AT3131" s="4" t="str">
        <f>[1]!EM_S_IPO_LISTEDDATE(B3131)</f>
        <v>1993-08-23</v>
      </c>
    </row>
    <row r="3132" spans="1:46">
      <c r="A3132">
        <v>1310</v>
      </c>
      <c r="B3132" t="str">
        <f>"002806"</f>
        <v>002806</v>
      </c>
      <c r="C3132" t="s">
        <v>2252</v>
      </c>
      <c r="D3132" t="str">
        <f>[1]!EM_S_INFO_INDEX_EM(B3132,"1")</f>
        <v>有色金属</v>
      </c>
      <c r="E3132" s="4">
        <f t="shared" si="48"/>
        <v>43465</v>
      </c>
      <c r="F3132" s="11">
        <f>[1]!EM_S_PQ_PCTCHANGE(B3132,"2018-01-01","2019-12-31","3")</f>
        <v>-37.903750459999998</v>
      </c>
      <c r="G3132" s="11">
        <f>[1]!EM_S_PQ_PCTCHANGE(B3132,"2018-12-31","2019-12-30","1")</f>
        <v>-23.978201630000001</v>
      </c>
      <c r="H3132" s="11">
        <f>[1]!EM_S_FA_YOY_OR(B3132,E3132)</f>
        <v>47.886594483700001</v>
      </c>
      <c r="I3132" s="11">
        <f>[1]!EM_S_FA_GROSSPROFITMARGIN(B3132,E3132)</f>
        <v>26.179977750700001</v>
      </c>
      <c r="J3132" s="11">
        <f>[1]!EM_S_FA_NETPROFITMARGIN(B3132,E3132)</f>
        <v>12.167906411500001</v>
      </c>
      <c r="K3132" s="10">
        <f>[1]!EM_S_FA_ASSETSTURN(B3132,E3132)</f>
        <v>0.54016376748399997</v>
      </c>
      <c r="L3132" s="12">
        <f>[1]!EM_HKS_VAL_MV(B3132,"2019-12-31","2")</f>
        <v>2447962515.7800002</v>
      </c>
      <c r="M3132">
        <f>[1]!EM_S_VAL_PETTMDEDUCTED(B3132,E3132)</f>
        <v>117.770361065545</v>
      </c>
      <c r="N3132" s="7">
        <f>[1]!EM_S_VAL_PBGOODWILLDEDUCTED(B3132,E3132)</f>
        <v>5.6221953058788303</v>
      </c>
      <c r="O3132" s="7">
        <f>[1]!EM_S_VAL_PS_TTM(B3132,E3132)</f>
        <v>6.4926188132711999</v>
      </c>
      <c r="P3132" s="7">
        <f>[1]!EM_S_VAL_PCF_NCFTTM(B3132,E3132)</f>
        <v>178.030622673659</v>
      </c>
      <c r="Q3132" s="7">
        <f>[1]!EM_S_VAL_DIVIDENDYIELD2(B3132,E3132,"2019-11-29")</f>
        <v>0.64102564102564097</v>
      </c>
      <c r="T3132"/>
      <c r="U3132">
        <f>[1]!EM_S_RATIO_EPS_TTM(B3132,E3132,"1")</f>
        <v>0.44342787718705173</v>
      </c>
      <c r="AT3132" s="4" t="str">
        <f>[1]!EM_S_IPO_LISTEDDATE(B3132)</f>
        <v>2016-07-26</v>
      </c>
    </row>
    <row r="3133" spans="1:46">
      <c r="A3133">
        <v>993</v>
      </c>
      <c r="B3133" t="str">
        <f>"002482"</f>
        <v>002482</v>
      </c>
      <c r="C3133" t="s">
        <v>2190</v>
      </c>
      <c r="D3133" t="str">
        <f>[1]!EM_S_INFO_INDEX_EM(B3133,"1")</f>
        <v>建筑</v>
      </c>
      <c r="E3133" s="4">
        <f t="shared" si="48"/>
        <v>43465</v>
      </c>
      <c r="F3133" s="11">
        <f>[1]!EM_S_PQ_PCTCHANGE(B3133,"2018-01-01","2019-12-31","3")</f>
        <v>-44.572539280000001</v>
      </c>
      <c r="G3133" s="11">
        <f>[1]!EM_S_PQ_PCTCHANGE(B3133,"2018-12-31","2019-12-30","1")</f>
        <v>-24.006908459999998</v>
      </c>
      <c r="H3133" s="11">
        <f>[1]!EM_S_FA_YOY_OR(B3133,E3133)</f>
        <v>14.857385388599999</v>
      </c>
      <c r="I3133" s="11">
        <f>[1]!EM_S_FA_GROSSPROFITMARGIN(B3133,E3133)</f>
        <v>14.6453535367</v>
      </c>
      <c r="J3133" s="11">
        <f>[1]!EM_S_FA_NETPROFITMARGIN(B3133,E3133)</f>
        <v>2.2101332092999999</v>
      </c>
      <c r="K3133" s="10">
        <f>[1]!EM_S_FA_ASSETSTURN(B3133,E3133)</f>
        <v>0.78182016329399995</v>
      </c>
      <c r="L3133" s="12">
        <f>[1]!EM_HKS_VAL_MV(B3133,"2019-12-31","2")</f>
        <v>6733284897.6599998</v>
      </c>
      <c r="M3133">
        <f>[1]!EM_S_VAL_PETTMDEDUCTED(B3133,E3133)</f>
        <v>16.577070552008902</v>
      </c>
      <c r="N3133" s="7">
        <f>[1]!EM_S_VAL_PBGOODWILLDEDUCTED(B3133,E3133)</f>
        <v>1.35060975045287</v>
      </c>
      <c r="O3133" s="7">
        <f>[1]!EM_S_VAL_PS_TTM(B3133,E3133)</f>
        <v>0.641857369479789</v>
      </c>
      <c r="P3133" s="7">
        <f>[1]!EM_S_VAL_PCF_NCFTTM(B3133,E3133)</f>
        <v>-11.1339415584126</v>
      </c>
      <c r="Q3133" s="7">
        <f>[1]!EM_S_VAL_DIVIDENDYIELD2(B3133,E3133,"2019-11-29")</f>
        <v>0.73170731707317083</v>
      </c>
      <c r="T3133"/>
      <c r="U3133">
        <f>[1]!EM_S_RATIO_EPS_TTM(B3133,E3133,"1")</f>
        <v>0.22662631678212597</v>
      </c>
      <c r="AT3133" s="4" t="str">
        <f>[1]!EM_S_IPO_LISTEDDATE(B3133)</f>
        <v>2010-09-29</v>
      </c>
    </row>
    <row r="3134" spans="1:46">
      <c r="A3134">
        <v>2963</v>
      </c>
      <c r="B3134" t="str">
        <f>"600890"</f>
        <v>600890</v>
      </c>
      <c r="C3134" t="s">
        <v>3574</v>
      </c>
      <c r="D3134" t="str">
        <f>[1]!EM_S_INFO_INDEX_EM(B3134,"1")</f>
        <v>房地产</v>
      </c>
      <c r="E3134" s="4">
        <f t="shared" si="48"/>
        <v>43465</v>
      </c>
      <c r="F3134" s="11">
        <f>[1]!EM_S_PQ_PCTCHANGE(B3134,"2018-01-01","2019-12-31","3")</f>
        <v>-38.001958860000002</v>
      </c>
      <c r="G3134" s="11">
        <f>[1]!EM_S_PQ_PCTCHANGE(B3134,"2018-12-31","2019-12-30","1")</f>
        <v>-24.062877870000001</v>
      </c>
      <c r="H3134" s="11">
        <f>[1]!EM_S_FA_YOY_OR(B3134,E3134)</f>
        <v>-84.027956659500006</v>
      </c>
      <c r="I3134" s="11">
        <f>[1]!EM_S_FA_GROSSPROFITMARGIN(B3134,E3134)</f>
        <v>31.464504411</v>
      </c>
      <c r="J3134" s="11">
        <f>[1]!EM_S_FA_NETPROFITMARGIN(B3134,E3134)</f>
        <v>-343.7322466155</v>
      </c>
      <c r="K3134" s="10">
        <f>[1]!EM_S_FA_ASSETSTURN(B3134,E3134)</f>
        <v>4.0565007978999999E-2</v>
      </c>
      <c r="L3134" s="12">
        <f>[1]!EM_HKS_VAL_MV(B3134,"2019-12-31","2")</f>
        <v>3666303875.25</v>
      </c>
      <c r="M3134">
        <f>[1]!EM_S_VAL_PETTMDEDUCTED(B3134,E3134)</f>
        <v>-588.59518149631901</v>
      </c>
      <c r="N3134" s="7">
        <f>[1]!EM_S_VAL_PBGOODWILLDEDUCTED(B3134,E3134)</f>
        <v>19.016569545487201</v>
      </c>
      <c r="O3134" s="7">
        <f>[1]!EM_S_VAL_PS_TTM(B3134,E3134)</f>
        <v>63.363818206959401</v>
      </c>
      <c r="P3134" s="7">
        <f>[1]!EM_S_VAL_PCF_NCFTTM(B3134,E3134)</f>
        <v>62.844879872696197</v>
      </c>
      <c r="Q3134" s="7">
        <f>[1]!EM_S_VAL_DIVIDENDYIELD2(B3134,E3134,"2019-11-29")</f>
        <v>0</v>
      </c>
      <c r="T3134"/>
      <c r="U3134">
        <f>[1]!EM_S_RATIO_EPS_TTM(B3134,E3134,"1")</f>
        <v>-7.255239541334034E-2</v>
      </c>
      <c r="AT3134" s="4" t="str">
        <f>[1]!EM_S_IPO_LISTEDDATE(B3134)</f>
        <v>1996-03-18</v>
      </c>
    </row>
    <row r="3135" spans="1:46">
      <c r="A3135">
        <v>2642</v>
      </c>
      <c r="B3135" t="str">
        <f>"600568"</f>
        <v>600568</v>
      </c>
      <c r="C3135" t="s">
        <v>2184</v>
      </c>
      <c r="D3135" t="str">
        <f>[1]!EM_S_INFO_INDEX_EM(B3135,"1")</f>
        <v>医药生物</v>
      </c>
      <c r="E3135" s="4">
        <f t="shared" si="48"/>
        <v>43465</v>
      </c>
      <c r="F3135" s="11">
        <f>[1]!EM_S_PQ_PCTCHANGE(B3135,"2018-01-01","2019-12-31","3")</f>
        <v>-77.322149620000005</v>
      </c>
      <c r="G3135" s="11">
        <f>[1]!EM_S_PQ_PCTCHANGE(B3135,"2018-12-31","2019-12-30","1")</f>
        <v>-24.12280702</v>
      </c>
      <c r="H3135" s="11">
        <f>[1]!EM_S_FA_YOY_OR(B3135,E3135)</f>
        <v>-41.6057582153</v>
      </c>
      <c r="I3135" s="11">
        <f>[1]!EM_S_FA_GROSSPROFITMARGIN(B3135,E3135)</f>
        <v>26.884773599799999</v>
      </c>
      <c r="J3135" s="11">
        <f>[1]!EM_S_FA_NETPROFITMARGIN(B3135,E3135)</f>
        <v>-334.273613173</v>
      </c>
      <c r="K3135" s="10">
        <f>[1]!EM_S_FA_ASSETSTURN(B3135,E3135)</f>
        <v>8.8875526282000003E-2</v>
      </c>
      <c r="L3135" s="12">
        <f>[1]!EM_HKS_VAL_MV(B3135,"2019-12-31","2")</f>
        <v>3487521941.75</v>
      </c>
      <c r="M3135">
        <f>[1]!EM_S_VAL_PETTMDEDUCTED(B3135,E3135)</f>
        <v>-42.1337150069429</v>
      </c>
      <c r="N3135" s="7">
        <f>[1]!EM_S_VAL_PBGOODWILLDEDUCTED(B3135,E3135)</f>
        <v>1.1824228332203499</v>
      </c>
      <c r="O3135" s="7">
        <f>[1]!EM_S_VAL_PS_TTM(B3135,E3135)</f>
        <v>5.1840919501319798</v>
      </c>
      <c r="P3135" s="7">
        <f>[1]!EM_S_VAL_PCF_NCFTTM(B3135,E3135)</f>
        <v>-24.747198325973201</v>
      </c>
      <c r="Q3135" s="7">
        <f>[1]!EM_S_VAL_DIVIDENDYIELD2(B3135,E3135,"2019-11-29")</f>
        <v>0</v>
      </c>
      <c r="T3135"/>
      <c r="U3135">
        <f>[1]!EM_S_RATIO_EPS_TTM(B3135,E3135,"1")</f>
        <v>-0.95069680882460073</v>
      </c>
      <c r="AT3135" s="4" t="str">
        <f>[1]!EM_S_IPO_LISTEDDATE(B3135)</f>
        <v>2001-05-18</v>
      </c>
    </row>
    <row r="3136" spans="1:46">
      <c r="A3136">
        <v>1392</v>
      </c>
      <c r="B3136" t="str">
        <f>"002893"</f>
        <v>002893</v>
      </c>
      <c r="C3136" t="s">
        <v>66</v>
      </c>
      <c r="D3136" t="str">
        <f>[1]!EM_S_INFO_INDEX_EM(B3136,"1")</f>
        <v>公用事业</v>
      </c>
      <c r="E3136" s="4">
        <f t="shared" si="48"/>
        <v>43465</v>
      </c>
      <c r="F3136" s="11">
        <f>[1]!EM_S_PQ_PCTCHANGE(B3136,"2018-01-01","2019-12-31","3")</f>
        <v>-37.749595540000001</v>
      </c>
      <c r="G3136" s="11">
        <f>[1]!EM_S_PQ_PCTCHANGE(B3136,"2018-12-31","2019-12-30","1")</f>
        <v>-24.191542290000001</v>
      </c>
      <c r="H3136" s="11">
        <f>[1]!EM_S_FA_YOY_OR(B3136,E3136)</f>
        <v>5.5616838115</v>
      </c>
      <c r="I3136" s="11">
        <f>[1]!EM_S_FA_GROSSPROFITMARGIN(B3136,E3136)</f>
        <v>13.781516078399999</v>
      </c>
      <c r="J3136" s="11">
        <f>[1]!EM_S_FA_NETPROFITMARGIN(B3136,E3136)</f>
        <v>3.9597832212999999</v>
      </c>
      <c r="K3136" s="10">
        <f>[1]!EM_S_FA_ASSETSTURN(B3136,E3136)</f>
        <v>0.544717925499</v>
      </c>
      <c r="L3136" s="12">
        <f>[1]!EM_HKS_VAL_MV(B3136,"2019-12-31","2")</f>
        <v>1963317668</v>
      </c>
      <c r="M3136">
        <f>[1]!EM_S_VAL_PETTMDEDUCTED(B3136,E3136)</f>
        <v>58.359653358500303</v>
      </c>
      <c r="N3136" s="7">
        <f>[1]!EM_S_VAL_PBGOODWILLDEDUCTED(B3136,E3136)</f>
        <v>3.1844525077468502</v>
      </c>
      <c r="O3136" s="7">
        <f>[1]!EM_S_VAL_PS_TTM(B3136,E3136)</f>
        <v>2.06886818945291</v>
      </c>
      <c r="P3136" s="7">
        <f>[1]!EM_S_VAL_PCF_NCFTTM(B3136,E3136)</f>
        <v>-7.5272185061085004</v>
      </c>
      <c r="Q3136" s="7">
        <f>[1]!EM_S_VAL_DIVIDENDYIELD2(B3136,E3136,"2019-11-29")</f>
        <v>1.2692559272910096</v>
      </c>
      <c r="T3136"/>
      <c r="U3136">
        <f>[1]!EM_S_RATIO_EPS_TTM(B3136,E3136,"1")</f>
        <v>0.34747506074158396</v>
      </c>
      <c r="AT3136" s="4" t="str">
        <f>[1]!EM_S_IPO_LISTEDDATE(B3136)</f>
        <v>2017-09-15</v>
      </c>
    </row>
    <row r="3137" spans="1:46">
      <c r="A3137">
        <v>2799</v>
      </c>
      <c r="B3137" t="str">
        <f>"600726"</f>
        <v>600726</v>
      </c>
      <c r="C3137" t="s">
        <v>136</v>
      </c>
      <c r="D3137" t="str">
        <f>[1]!EM_S_INFO_INDEX_EM(B3137,"1")</f>
        <v>公用事业</v>
      </c>
      <c r="E3137" s="4">
        <f t="shared" si="48"/>
        <v>43465</v>
      </c>
      <c r="F3137" s="11">
        <f>[1]!EM_S_PQ_PCTCHANGE(B3137,"2018-01-01","2019-12-31","3")</f>
        <v>-44.16403785</v>
      </c>
      <c r="G3137" s="11">
        <f>[1]!EM_S_PQ_PCTCHANGE(B3137,"2018-12-31","2019-12-30","1")</f>
        <v>-24.242424239999998</v>
      </c>
      <c r="H3137" s="11">
        <f>[1]!EM_S_FA_YOY_OR(B3137,E3137)</f>
        <v>7.9842599478</v>
      </c>
      <c r="I3137" s="11">
        <f>[1]!EM_S_FA_GROSSPROFITMARGIN(B3137,E3137)</f>
        <v>1.728684399</v>
      </c>
      <c r="J3137" s="11">
        <f>[1]!EM_S_FA_NETPROFITMARGIN(B3137,E3137)</f>
        <v>-8.9869678338999996</v>
      </c>
      <c r="K3137" s="10">
        <f>[1]!EM_S_FA_ASSETSTURN(B3137,E3137)</f>
        <v>0.38820739424400003</v>
      </c>
      <c r="L3137" s="12">
        <f>[1]!EM_HKS_VAL_MV(B3137,"2019-12-31","2")</f>
        <v>3481015020.8099999</v>
      </c>
      <c r="M3137">
        <f>[1]!EM_S_VAL_PETTMDEDUCTED(B3137,E3137)</f>
        <v>-3.6079124349054799</v>
      </c>
      <c r="N3137" s="7">
        <f>[1]!EM_S_VAL_PBGOODWILLDEDUCTED(B3137,E3137)</f>
        <v>3.35987817141568</v>
      </c>
      <c r="O3137" s="7">
        <f>[1]!EM_S_VAL_PS_TTM(B3137,E3137)</f>
        <v>0.46977931135724998</v>
      </c>
      <c r="P3137" s="7">
        <f>[1]!EM_S_VAL_PCF_NCFTTM(B3137,E3137)</f>
        <v>7.8801764463408599</v>
      </c>
      <c r="Q3137" s="7">
        <f>[1]!EM_S_VAL_DIVIDENDYIELD2(B3137,E3137,"2019-11-29")</f>
        <v>0</v>
      </c>
      <c r="T3137"/>
      <c r="U3137">
        <f>[1]!EM_S_RATIO_EPS_TTM(B3137,E3137,"1")</f>
        <v>-0.38739897277280544</v>
      </c>
      <c r="AT3137" s="4" t="str">
        <f>[1]!EM_S_IPO_LISTEDDATE(B3137)</f>
        <v>1996-07-01</v>
      </c>
    </row>
    <row r="3138" spans="1:46">
      <c r="A3138">
        <v>2237</v>
      </c>
      <c r="B3138" t="str">
        <f>"600090"</f>
        <v>600090</v>
      </c>
      <c r="C3138" t="s">
        <v>1196</v>
      </c>
      <c r="D3138" t="str">
        <f>[1]!EM_S_INFO_INDEX_EM(B3138,"1")</f>
        <v>医药生物</v>
      </c>
      <c r="E3138" s="4">
        <f t="shared" si="48"/>
        <v>43465</v>
      </c>
      <c r="F3138" s="11">
        <f>[1]!EM_S_PQ_PCTCHANGE(B3138,"2018-01-01","2019-12-31","3")</f>
        <v>-45.08802592</v>
      </c>
      <c r="G3138" s="11">
        <f>[1]!EM_S_PQ_PCTCHANGE(B3138,"2018-12-31","2019-12-30","1")</f>
        <v>-24.264705880000001</v>
      </c>
      <c r="H3138" s="11">
        <f>[1]!EM_S_FA_YOY_OR(B3138,E3138)</f>
        <v>10.006701680000001</v>
      </c>
      <c r="I3138" s="11">
        <f>[1]!EM_S_FA_GROSSPROFITMARGIN(B3138,E3138)</f>
        <v>13.129224342100001</v>
      </c>
      <c r="J3138" s="11">
        <f>[1]!EM_S_FA_NETPROFITMARGIN(B3138,E3138)</f>
        <v>5.2079133892999998</v>
      </c>
      <c r="K3138" s="10">
        <f>[1]!EM_S_FA_ASSETSTURN(B3138,E3138)</f>
        <v>1.362293510692</v>
      </c>
      <c r="L3138" s="12">
        <f>[1]!EM_HKS_VAL_MV(B3138,"2019-12-31","2")</f>
        <v>6017791110.1000004</v>
      </c>
      <c r="M3138">
        <f>[1]!EM_S_VAL_PETTMDEDUCTED(B3138,E3138)</f>
        <v>15.175275529642599</v>
      </c>
      <c r="N3138" s="7">
        <f>[1]!EM_S_VAL_PBGOODWILLDEDUCTED(B3138,E3138)</f>
        <v>1.30338223140406</v>
      </c>
      <c r="O3138" s="7">
        <f>[1]!EM_S_VAL_PS_TTM(B3138,E3138)</f>
        <v>0.71949393859007305</v>
      </c>
      <c r="P3138" s="7">
        <f>[1]!EM_S_VAL_PCF_NCFTTM(B3138,E3138)</f>
        <v>-9.6088295991545092</v>
      </c>
      <c r="Q3138" s="7">
        <f>[1]!EM_S_VAL_DIVIDENDYIELD2(B3138,E3138,"2019-11-29")</f>
        <v>0</v>
      </c>
      <c r="T3138"/>
      <c r="U3138">
        <f>[1]!EM_S_RATIO_EPS_TTM(B3138,E3138,"1")</f>
        <v>0.36736382171731174</v>
      </c>
      <c r="AT3138" s="4" t="str">
        <f>[1]!EM_S_IPO_LISTEDDATE(B3138)</f>
        <v>1997-06-16</v>
      </c>
    </row>
    <row r="3139" spans="1:46">
      <c r="A3139">
        <v>586</v>
      </c>
      <c r="B3139" t="str">
        <f>"002075"</f>
        <v>002075</v>
      </c>
      <c r="C3139" t="s">
        <v>146</v>
      </c>
      <c r="D3139" t="str">
        <f>[1]!EM_S_INFO_INDEX_EM(B3139,"1")</f>
        <v>钢铁</v>
      </c>
      <c r="E3139" s="4">
        <f t="shared" ref="E3139:E3202" si="49">$B$1</f>
        <v>43465</v>
      </c>
      <c r="F3139" s="11">
        <f>[1]!EM_S_PQ_PCTCHANGE(B3139,"2018-01-01","2019-12-31","3")</f>
        <v>-61.159801209999998</v>
      </c>
      <c r="G3139" s="11">
        <f>[1]!EM_S_PQ_PCTCHANGE(B3139,"2018-12-31","2019-12-30","1")</f>
        <v>-24.283935240000002</v>
      </c>
      <c r="H3139" s="11">
        <f>[1]!EM_S_FA_YOY_OR(B3139,E3139)</f>
        <v>18.511646066600001</v>
      </c>
      <c r="I3139" s="11">
        <f>[1]!EM_S_FA_GROSSPROFITMARGIN(B3139,E3139)</f>
        <v>22.4147655312</v>
      </c>
      <c r="J3139" s="11">
        <f>[1]!EM_S_FA_NETPROFITMARGIN(B3139,E3139)</f>
        <v>15.4245036086</v>
      </c>
      <c r="K3139" s="10">
        <f>[1]!EM_S_FA_ASSETSTURN(B3139,E3139)</f>
        <v>1.389469665964</v>
      </c>
      <c r="L3139" s="12">
        <f>[1]!EM_HKS_VAL_MV(B3139,"2019-12-31","2")</f>
        <v>13748188139.559999</v>
      </c>
      <c r="M3139">
        <f>[1]!EM_S_VAL_PETTMDEDUCTED(B3139,E3139)</f>
        <v>14.879028777294099</v>
      </c>
      <c r="N3139" s="7">
        <f>[1]!EM_S_VAL_PBGOODWILLDEDUCTED(B3139,E3139)</f>
        <v>3.9724065230705299</v>
      </c>
      <c r="O3139" s="7">
        <f>[1]!EM_S_VAL_PS_TTM(B3139,E3139)</f>
        <v>1.2187672499779101</v>
      </c>
      <c r="P3139" s="7">
        <f>[1]!EM_S_VAL_PCF_NCFTTM(B3139,E3139)</f>
        <v>-89.413138434918096</v>
      </c>
      <c r="Q3139" s="7">
        <f>[1]!EM_S_VAL_DIVIDENDYIELD2(B3139,E3139,"2019-11-29")</f>
        <v>0.49180327868852453</v>
      </c>
      <c r="T3139"/>
      <c r="U3139">
        <f>[1]!EM_S_RATIO_EPS_TTM(B3139,E3139,"1")</f>
        <v>0.53337525106334382</v>
      </c>
      <c r="AT3139" s="4" t="str">
        <f>[1]!EM_S_IPO_LISTEDDATE(B3139)</f>
        <v>2006-10-25</v>
      </c>
    </row>
    <row r="3140" spans="1:46">
      <c r="A3140">
        <v>816</v>
      </c>
      <c r="B3140" t="str">
        <f>"002305"</f>
        <v>002305</v>
      </c>
      <c r="C3140" t="s">
        <v>2938</v>
      </c>
      <c r="D3140" t="str">
        <f>[1]!EM_S_INFO_INDEX_EM(B3140,"1")</f>
        <v>房地产</v>
      </c>
      <c r="E3140" s="4">
        <f t="shared" si="49"/>
        <v>43465</v>
      </c>
      <c r="F3140" s="11">
        <f>[1]!EM_S_PQ_PCTCHANGE(B3140,"2018-01-01","2019-12-31","3")</f>
        <v>-50.637247709999997</v>
      </c>
      <c r="G3140" s="11">
        <f>[1]!EM_S_PQ_PCTCHANGE(B3140,"2018-12-31","2019-12-30","1")</f>
        <v>-24.305555559999998</v>
      </c>
      <c r="H3140" s="11">
        <f>[1]!EM_S_FA_YOY_OR(B3140,E3140)</f>
        <v>27.344499541899999</v>
      </c>
      <c r="I3140" s="11">
        <f>[1]!EM_S_FA_GROSSPROFITMARGIN(B3140,E3140)</f>
        <v>12.667189030999999</v>
      </c>
      <c r="J3140" s="11">
        <f>[1]!EM_S_FA_NETPROFITMARGIN(B3140,E3140)</f>
        <v>2.7836617569</v>
      </c>
      <c r="K3140" s="10">
        <f>[1]!EM_S_FA_ASSETSTURN(B3140,E3140)</f>
        <v>0.17149651797000001</v>
      </c>
      <c r="L3140" s="12">
        <f>[1]!EM_HKS_VAL_MV(B3140,"2019-12-31","2")</f>
        <v>3815274694</v>
      </c>
      <c r="M3140">
        <f>[1]!EM_S_VAL_PETTMDEDUCTED(B3140,E3140)</f>
        <v>-64.773452968512501</v>
      </c>
      <c r="N3140" s="7">
        <f>[1]!EM_S_VAL_PBGOODWILLDEDUCTED(B3140,E3140)</f>
        <v>1.10738953384609</v>
      </c>
      <c r="O3140" s="7">
        <f>[1]!EM_S_VAL_PS_TTM(B3140,E3140)</f>
        <v>1.4889892484435301</v>
      </c>
      <c r="P3140" s="7">
        <f>[1]!EM_S_VAL_PCF_NCFTTM(B3140,E3140)</f>
        <v>-111.858395387678</v>
      </c>
      <c r="Q3140" s="7">
        <f>[1]!EM_S_VAL_DIVIDENDYIELD2(B3140,E3140,"2019-11-29")</f>
        <v>2.3255813953488373</v>
      </c>
      <c r="T3140"/>
      <c r="U3140">
        <f>[1]!EM_S_RATIO_EPS_TTM(B3140,E3140,"1")</f>
        <v>4.8635333387609544E-2</v>
      </c>
      <c r="AT3140" s="4" t="str">
        <f>[1]!EM_S_IPO_LISTEDDATE(B3140)</f>
        <v>2009-11-06</v>
      </c>
    </row>
    <row r="3141" spans="1:46">
      <c r="A3141">
        <v>1987</v>
      </c>
      <c r="B3141" t="str">
        <f>"300565"</f>
        <v>300565</v>
      </c>
      <c r="C3141" t="s">
        <v>2151</v>
      </c>
      <c r="D3141" t="str">
        <f>[1]!EM_S_INFO_INDEX_EM(B3141,"1")</f>
        <v>信息技术</v>
      </c>
      <c r="E3141" s="4">
        <f t="shared" si="49"/>
        <v>43465</v>
      </c>
      <c r="F3141" s="11">
        <f>[1]!EM_S_PQ_PCTCHANGE(B3141,"2018-01-01","2019-12-31","3")</f>
        <v>-32.617415479999998</v>
      </c>
      <c r="G3141" s="11">
        <f>[1]!EM_S_PQ_PCTCHANGE(B3141,"2018-12-31","2019-12-30","1")</f>
        <v>-24.348422500000002</v>
      </c>
      <c r="H3141" s="11">
        <f>[1]!EM_S_FA_YOY_OR(B3141,E3141)</f>
        <v>-19.1919171692</v>
      </c>
      <c r="I3141" s="11">
        <f>[1]!EM_S_FA_GROSSPROFITMARGIN(B3141,E3141)</f>
        <v>33.019030555599997</v>
      </c>
      <c r="J3141" s="11">
        <f>[1]!EM_S_FA_NETPROFITMARGIN(B3141,E3141)</f>
        <v>3.0781253057</v>
      </c>
      <c r="K3141" s="10">
        <f>[1]!EM_S_FA_ASSETSTURN(B3141,E3141)</f>
        <v>0.51003546911300002</v>
      </c>
      <c r="L3141" s="12">
        <f>[1]!EM_HKS_VAL_MV(B3141,"2019-12-31","2")</f>
        <v>2360800000</v>
      </c>
      <c r="M3141">
        <f>[1]!EM_S_VAL_PETTMDEDUCTED(B3141,E3141)</f>
        <v>113.817885571042</v>
      </c>
      <c r="N3141" s="7">
        <f>[1]!EM_S_VAL_PBGOODWILLDEDUCTED(B3141,E3141)</f>
        <v>4.1043294499470404</v>
      </c>
      <c r="O3141" s="7">
        <f>[1]!EM_S_VAL_PS_TTM(B3141,E3141)</f>
        <v>4.9085561904815203</v>
      </c>
      <c r="P3141" s="7">
        <f>[1]!EM_S_VAL_PCF_NCFTTM(B3141,E3141)</f>
        <v>18.280917363518601</v>
      </c>
      <c r="Q3141" s="7">
        <f>[1]!EM_S_VAL_DIVIDENDYIELD2(B3141,E3141,"2019-11-29")</f>
        <v>0</v>
      </c>
      <c r="T3141"/>
      <c r="U3141">
        <f>[1]!EM_S_RATIO_EPS_TTM(B3141,E3141,"1")</f>
        <v>8.0300620480769233E-2</v>
      </c>
      <c r="AT3141" s="4" t="str">
        <f>[1]!EM_S_IPO_LISTEDDATE(B3141)</f>
        <v>2016-11-22</v>
      </c>
    </row>
    <row r="3142" spans="1:46">
      <c r="A3142">
        <v>94</v>
      </c>
      <c r="B3142" t="str">
        <f>"000413"</f>
        <v>000413</v>
      </c>
      <c r="C3142" t="s">
        <v>1904</v>
      </c>
      <c r="D3142" t="str">
        <f>[1]!EM_S_INFO_INDEX_EM(B3142,"1")</f>
        <v>电子设备</v>
      </c>
      <c r="E3142" s="4">
        <f t="shared" si="49"/>
        <v>43465</v>
      </c>
      <c r="F3142" s="11">
        <f>[1]!EM_S_PQ_PCTCHANGE(B3142,"2018-01-01","2019-12-31","3")</f>
        <v>-63.228724759999999</v>
      </c>
      <c r="G3142" s="11">
        <f>[1]!EM_S_PQ_PCTCHANGE(B3142,"2018-12-31","2019-12-30","1")</f>
        <v>-24.444444440000002</v>
      </c>
      <c r="H3142" s="11">
        <f>[1]!EM_S_FA_YOY_OR(B3142,E3142)</f>
        <v>63.290794568099997</v>
      </c>
      <c r="I3142" s="11">
        <f>[1]!EM_S_FA_GROSSPROFITMARGIN(B3142,E3142)</f>
        <v>17.7501576473</v>
      </c>
      <c r="J3142" s="11">
        <f>[1]!EM_S_FA_NETPROFITMARGIN(B3142,E3142)</f>
        <v>8.0421530232999991</v>
      </c>
      <c r="K3142" s="10">
        <f>[1]!EM_S_FA_ASSETSTURN(B3142,E3142)</f>
        <v>0.402278771255</v>
      </c>
      <c r="L3142" s="12">
        <f>[1]!EM_HKS_VAL_MV(B3142,"2019-12-31","2")</f>
        <v>19253640396.48</v>
      </c>
      <c r="M3142">
        <f>[1]!EM_S_VAL_PETTMDEDUCTED(B3142,E3142)</f>
        <v>14.1375631359592</v>
      </c>
      <c r="N3142" s="7">
        <f>[1]!EM_S_VAL_PBGOODWILLDEDUCTED(B3142,E3142)</f>
        <v>0.86864501929495297</v>
      </c>
      <c r="O3142" s="7">
        <f>[1]!EM_S_VAL_PS_TTM(B3142,E3142)</f>
        <v>0.98009763235751401</v>
      </c>
      <c r="P3142" s="7">
        <f>[1]!EM_S_VAL_PCF_NCFTTM(B3142,E3142)</f>
        <v>-7.2643768648336202</v>
      </c>
      <c r="Q3142" s="7">
        <f>[1]!EM_S_VAL_DIVIDENDYIELD2(B3142,E3142,"2019-11-29")</f>
        <v>1.4583333333333333</v>
      </c>
      <c r="T3142"/>
      <c r="U3142">
        <f>[1]!EM_S_RATIO_EPS_TTM(B3142,E3142,"1")</f>
        <v>0.37757645143509944</v>
      </c>
      <c r="AT3142" s="4" t="str">
        <f>[1]!EM_S_IPO_LISTEDDATE(B3142)</f>
        <v>1996-09-25</v>
      </c>
    </row>
    <row r="3143" spans="1:46">
      <c r="A3143">
        <v>1948</v>
      </c>
      <c r="B3143" t="str">
        <f>"300523"</f>
        <v>300523</v>
      </c>
      <c r="C3143" t="s">
        <v>2186</v>
      </c>
      <c r="D3143" t="str">
        <f>[1]!EM_S_INFO_INDEX_EM(B3143,"1")</f>
        <v>互联网</v>
      </c>
      <c r="E3143" s="4">
        <f t="shared" si="49"/>
        <v>43465</v>
      </c>
      <c r="F3143" s="11">
        <f>[1]!EM_S_PQ_PCTCHANGE(B3143,"2018-01-01","2019-12-31","3")</f>
        <v>43.066533730000003</v>
      </c>
      <c r="G3143" s="11">
        <f>[1]!EM_S_PQ_PCTCHANGE(B3143,"2018-12-31","2019-12-30","1")</f>
        <v>-24.48739496</v>
      </c>
      <c r="H3143" s="11">
        <f>[1]!EM_S_FA_YOY_OR(B3143,E3143)</f>
        <v>61.6369263984</v>
      </c>
      <c r="I3143" s="11">
        <f>[1]!EM_S_FA_GROSSPROFITMARGIN(B3143,E3143)</f>
        <v>55.640189370000002</v>
      </c>
      <c r="J3143" s="11">
        <f>[1]!EM_S_FA_NETPROFITMARGIN(B3143,E3143)</f>
        <v>17.2499237854</v>
      </c>
      <c r="K3143" s="10">
        <f>[1]!EM_S_FA_ASSETSTURN(B3143,E3143)</f>
        <v>0.595310988639</v>
      </c>
      <c r="L3143" s="12">
        <f>[1]!EM_HKS_VAL_MV(B3143,"2019-12-31","2")</f>
        <v>10436124440.68</v>
      </c>
      <c r="M3143">
        <f>[1]!EM_S_VAL_PETTMDEDUCTED(B3143,E3143)</f>
        <v>52.618393904358697</v>
      </c>
      <c r="N3143" s="7">
        <f>[1]!EM_S_VAL_PBGOODWILLDEDUCTED(B3143,E3143)</f>
        <v>7.2301674387344397</v>
      </c>
      <c r="O3143" s="7">
        <f>[1]!EM_S_VAL_PS_TTM(B3143,E3143)</f>
        <v>9.6646325909400002</v>
      </c>
      <c r="P3143" s="7">
        <f>[1]!EM_S_VAL_PCF_NCFTTM(B3143,E3143)</f>
        <v>-104.649516278729</v>
      </c>
      <c r="Q3143" s="7">
        <f>[1]!EM_S_VAL_DIVIDENDYIELD2(B3143,E3143,"2019-11-29")</f>
        <v>0.31882671836418475</v>
      </c>
      <c r="T3143"/>
      <c r="U3143">
        <f>[1]!EM_S_RATIO_EPS_TTM(B3143,E3143,"1")</f>
        <v>0.94144507472222216</v>
      </c>
      <c r="AT3143" s="4" t="str">
        <f>[1]!EM_S_IPO_LISTEDDATE(B3143)</f>
        <v>2016-07-26</v>
      </c>
    </row>
    <row r="3144" spans="1:46">
      <c r="A3144">
        <v>2141</v>
      </c>
      <c r="B3144" t="str">
        <f>"300727"</f>
        <v>300727</v>
      </c>
      <c r="C3144" t="s">
        <v>1216</v>
      </c>
      <c r="D3144" t="str">
        <f>[1]!EM_S_INFO_INDEX_EM(B3144,"1")</f>
        <v>基础化工</v>
      </c>
      <c r="E3144" s="4">
        <f t="shared" si="49"/>
        <v>43465</v>
      </c>
      <c r="F3144" s="11">
        <f>[1]!EM_S_PQ_PCTCHANGE(B3144,"2018-01-01","2019-12-31","3")</f>
        <v>-40.705747250000002</v>
      </c>
      <c r="G3144" s="11">
        <f>[1]!EM_S_PQ_PCTCHANGE(B3144,"2018-12-31","2019-12-30","1")</f>
        <v>-24.5177665</v>
      </c>
      <c r="H3144" s="11">
        <f>[1]!EM_S_FA_YOY_OR(B3144,E3144)</f>
        <v>41.3135812031</v>
      </c>
      <c r="I3144" s="11">
        <f>[1]!EM_S_FA_GROSSPROFITMARGIN(B3144,E3144)</f>
        <v>26.659642691199998</v>
      </c>
      <c r="J3144" s="11">
        <f>[1]!EM_S_FA_NETPROFITMARGIN(B3144,E3144)</f>
        <v>10.150082378500001</v>
      </c>
      <c r="K3144" s="10">
        <f>[1]!EM_S_FA_ASSETSTURN(B3144,E3144)</f>
        <v>1.004252523761</v>
      </c>
      <c r="L3144" s="12">
        <f>[1]!EM_HKS_VAL_MV(B3144,"2019-12-31","2")</f>
        <v>1887974400</v>
      </c>
      <c r="M3144">
        <f>[1]!EM_S_VAL_PETTMDEDUCTED(B3144,E3144)</f>
        <v>42.9484893269371</v>
      </c>
      <c r="N3144" s="7">
        <f>[1]!EM_S_VAL_PBGOODWILLDEDUCTED(B3144,E3144)</f>
        <v>4.7540456215932503</v>
      </c>
      <c r="O3144" s="7">
        <f>[1]!EM_S_VAL_PS_TTM(B3144,E3144)</f>
        <v>4.0036654248798396</v>
      </c>
      <c r="P3144" s="7">
        <f>[1]!EM_S_VAL_PCF_NCFTTM(B3144,E3144)</f>
        <v>111.281358179855</v>
      </c>
      <c r="Q3144" s="7">
        <f>[1]!EM_S_VAL_DIVIDENDYIELD2(B3144,E3144,"2019-11-29")</f>
        <v>1.0281014393420151</v>
      </c>
      <c r="T3144"/>
      <c r="U3144">
        <f>[1]!EM_S_RATIO_EPS_TTM(B3144,E3144,"1")</f>
        <v>0.52144345523329128</v>
      </c>
      <c r="AT3144" s="4" t="str">
        <f>[1]!EM_S_IPO_LISTEDDATE(B3144)</f>
        <v>2017-11-27</v>
      </c>
    </row>
    <row r="3145" spans="1:46">
      <c r="A3145">
        <v>1703</v>
      </c>
      <c r="B3145" t="str">
        <f>"300278"</f>
        <v>300278</v>
      </c>
      <c r="C3145" t="s">
        <v>2447</v>
      </c>
      <c r="D3145" t="str">
        <f>[1]!EM_S_INFO_INDEX_EM(B3145,"1")</f>
        <v>机械设备</v>
      </c>
      <c r="E3145" s="4">
        <f t="shared" si="49"/>
        <v>43465</v>
      </c>
      <c r="F3145" s="11">
        <f>[1]!EM_S_PQ_PCTCHANGE(B3145,"2018-01-01","2019-12-31","3")</f>
        <v>-74.941588789999997</v>
      </c>
      <c r="G3145" s="11">
        <f>[1]!EM_S_PQ_PCTCHANGE(B3145,"2018-12-31","2019-12-30","1")</f>
        <v>-24.518388789999999</v>
      </c>
      <c r="H3145" s="11">
        <f>[1]!EM_S_FA_YOY_OR(B3145,E3145)</f>
        <v>-8.1101962652000008</v>
      </c>
      <c r="I3145" s="11">
        <f>[1]!EM_S_FA_GROSSPROFITMARGIN(B3145,E3145)</f>
        <v>19.3368317238</v>
      </c>
      <c r="J3145" s="11">
        <f>[1]!EM_S_FA_NETPROFITMARGIN(B3145,E3145)</f>
        <v>0.89339343810000005</v>
      </c>
      <c r="K3145" s="10">
        <f>[1]!EM_S_FA_ASSETSTURN(B3145,E3145)</f>
        <v>0.59729964447600004</v>
      </c>
      <c r="L3145" s="12">
        <f>[1]!EM_HKS_VAL_MV(B3145,"2019-12-31","2")</f>
        <v>2561916837.48</v>
      </c>
      <c r="M3145">
        <f>[1]!EM_S_VAL_PETTMDEDUCTED(B3145,E3145)</f>
        <v>152.564680592028</v>
      </c>
      <c r="N3145" s="7">
        <f>[1]!EM_S_VAL_PBGOODWILLDEDUCTED(B3145,E3145)</f>
        <v>4.2183990174691397</v>
      </c>
      <c r="O3145" s="7">
        <f>[1]!EM_S_VAL_PS_TTM(B3145,E3145)</f>
        <v>1.3005969049236901</v>
      </c>
      <c r="P3145" s="7">
        <f>[1]!EM_S_VAL_PCF_NCFTTM(B3145,E3145)</f>
        <v>-27.842828768890001</v>
      </c>
      <c r="Q3145" s="7">
        <f>[1]!EM_S_VAL_DIVIDENDYIELD2(B3145,E3145,"2019-11-29")</f>
        <v>0</v>
      </c>
      <c r="T3145"/>
      <c r="U3145">
        <f>[1]!EM_S_RATIO_EPS_TTM(B3145,E3145,"1")</f>
        <v>4.0507245779630052E-2</v>
      </c>
      <c r="AT3145" s="4" t="str">
        <f>[1]!EM_S_IPO_LISTEDDATE(B3145)</f>
        <v>2011-12-16</v>
      </c>
    </row>
    <row r="3146" spans="1:46">
      <c r="A3146">
        <v>2172</v>
      </c>
      <c r="B3146" t="str">
        <f>"600011"</f>
        <v>600011</v>
      </c>
      <c r="C3146" t="s">
        <v>1671</v>
      </c>
      <c r="D3146" t="str">
        <f>[1]!EM_S_INFO_INDEX_EM(B3146,"1")</f>
        <v>公用事业</v>
      </c>
      <c r="E3146" s="4">
        <f t="shared" si="49"/>
        <v>43465</v>
      </c>
      <c r="F3146" s="11">
        <f>[1]!EM_S_PQ_PCTCHANGE(B3146,"2018-01-01","2019-12-31","3")</f>
        <v>-6.7108103200000002</v>
      </c>
      <c r="G3146" s="11">
        <f>[1]!EM_S_PQ_PCTCHANGE(B3146,"2018-12-31","2019-12-30","1")</f>
        <v>-24.525745260000001</v>
      </c>
      <c r="H3146" s="11">
        <f>[1]!EM_S_FA_YOY_OR(B3146,E3146)</f>
        <v>11.0420003084</v>
      </c>
      <c r="I3146" s="11">
        <f>[1]!EM_S_FA_GROSSPROFITMARGIN(B3146,E3146)</f>
        <v>11.304366566400001</v>
      </c>
      <c r="J3146" s="11">
        <f>[1]!EM_S_FA_NETPROFITMARGIN(B3146,E3146)</f>
        <v>1.4172795752</v>
      </c>
      <c r="K3146" s="10">
        <f>[1]!EM_S_FA_ASSETSTURN(B3146,E3146)</f>
        <v>0.43435244407899998</v>
      </c>
      <c r="L3146" s="12">
        <f>[1]!EM_HKS_VAL_MV(B3146,"2019-12-31","2")</f>
        <v>87595360943.220001</v>
      </c>
      <c r="M3146">
        <f>[1]!EM_S_VAL_PETTMDEDUCTED(B3146,E3146)</f>
        <v>313.70937534121799</v>
      </c>
      <c r="N3146" s="7">
        <f>[1]!EM_S_VAL_PBGOODWILLDEDUCTED(B3146,E3146)</f>
        <v>1.9075125287209</v>
      </c>
      <c r="O3146" s="7">
        <f>[1]!EM_S_VAL_PS_TTM(B3146,E3146)</f>
        <v>0.69357178892123705</v>
      </c>
      <c r="P3146" s="7">
        <f>[1]!EM_S_VAL_PCF_NCFTTM(B3146,E3146)</f>
        <v>-39.848965308392501</v>
      </c>
      <c r="Q3146" s="7">
        <f>[1]!EM_S_VAL_DIVIDENDYIELD2(B3146,E3146,"2019-11-29")</f>
        <v>1.6694490818030052</v>
      </c>
      <c r="T3146"/>
      <c r="U3146">
        <f>[1]!EM_S_RATIO_EPS_TTM(B3146,E3146,"1")</f>
        <v>9.1659631147184076E-2</v>
      </c>
      <c r="AT3146" s="4" t="str">
        <f>[1]!EM_S_IPO_LISTEDDATE(B3146)</f>
        <v>2001-12-06</v>
      </c>
    </row>
    <row r="3147" spans="1:46">
      <c r="A3147">
        <v>796</v>
      </c>
      <c r="B3147" t="str">
        <f>"002285"</f>
        <v>002285</v>
      </c>
      <c r="C3147" t="s">
        <v>3307</v>
      </c>
      <c r="D3147" t="str">
        <f>[1]!EM_S_INFO_INDEX_EM(B3147,"1")</f>
        <v>房地产</v>
      </c>
      <c r="E3147" s="4">
        <f t="shared" si="49"/>
        <v>43465</v>
      </c>
      <c r="F3147" s="11">
        <f>[1]!EM_S_PQ_PCTCHANGE(B3147,"2018-01-01","2019-12-31","3")</f>
        <v>-65.889206799999997</v>
      </c>
      <c r="G3147" s="11">
        <f>[1]!EM_S_PQ_PCTCHANGE(B3147,"2018-12-31","2019-12-30","1")</f>
        <v>-24.60629921</v>
      </c>
      <c r="H3147" s="11">
        <f>[1]!EM_S_FA_YOY_OR(B3147,E3147)</f>
        <v>-8.2555517956000006</v>
      </c>
      <c r="I3147" s="11">
        <f>[1]!EM_S_FA_GROSSPROFITMARGIN(B3147,E3147)</f>
        <v>21.661708201900002</v>
      </c>
      <c r="J3147" s="11">
        <f>[1]!EM_S_FA_NETPROFITMARGIN(B3147,E3147)</f>
        <v>6.0220903781999997</v>
      </c>
      <c r="K3147" s="10">
        <f>[1]!EM_S_FA_ASSETSTURN(B3147,E3147)</f>
        <v>0.56108694558899996</v>
      </c>
      <c r="L3147" s="12">
        <f>[1]!EM_HKS_VAL_MV(B3147,"2019-12-31","2")</f>
        <v>7641587520</v>
      </c>
      <c r="M3147">
        <f>[1]!EM_S_VAL_PETTMDEDUCTED(B3147,E3147)</f>
        <v>12.9420466343489</v>
      </c>
      <c r="N3147" s="7">
        <f>[1]!EM_S_VAL_PBGOODWILLDEDUCTED(B3147,E3147)</f>
        <v>2.0659021013066501</v>
      </c>
      <c r="O3147" s="7">
        <f>[1]!EM_S_VAL_PS_TTM(B3147,E3147)</f>
        <v>1.2358638754603399</v>
      </c>
      <c r="P3147" s="7">
        <f>[1]!EM_S_VAL_PCF_NCFTTM(B3147,E3147)</f>
        <v>12.6827617771783</v>
      </c>
      <c r="Q3147" s="7">
        <f>[1]!EM_S_VAL_DIVIDENDYIELD2(B3147,E3147,"2019-11-29")</f>
        <v>0.65830721003134784</v>
      </c>
      <c r="T3147"/>
      <c r="U3147">
        <f>[1]!EM_S_RATIO_EPS_TTM(B3147,E3147,"1")</f>
        <v>0.20349027965532934</v>
      </c>
      <c r="AT3147" s="4" t="str">
        <f>[1]!EM_S_IPO_LISTEDDATE(B3147)</f>
        <v>2009-08-28</v>
      </c>
    </row>
    <row r="3148" spans="1:46">
      <c r="A3148">
        <v>1934</v>
      </c>
      <c r="B3148" t="str">
        <f>"300509"</f>
        <v>300509</v>
      </c>
      <c r="C3148" t="s">
        <v>1407</v>
      </c>
      <c r="D3148" t="str">
        <f>[1]!EM_S_INFO_INDEX_EM(B3148,"1")</f>
        <v>机械设备</v>
      </c>
      <c r="E3148" s="4">
        <f t="shared" si="49"/>
        <v>43465</v>
      </c>
      <c r="F3148" s="11">
        <f>[1]!EM_S_PQ_PCTCHANGE(B3148,"2018-01-01","2019-12-31","3")</f>
        <v>3.0285909999999999E-2</v>
      </c>
      <c r="G3148" s="11">
        <f>[1]!EM_S_PQ_PCTCHANGE(B3148,"2018-12-31","2019-12-30","1")</f>
        <v>-24.672131149999998</v>
      </c>
      <c r="H3148" s="11">
        <f>[1]!EM_S_FA_YOY_OR(B3148,E3148)</f>
        <v>11.1899698676</v>
      </c>
      <c r="I3148" s="11">
        <f>[1]!EM_S_FA_GROSSPROFITMARGIN(B3148,E3148)</f>
        <v>35.6702120876</v>
      </c>
      <c r="J3148" s="11">
        <f>[1]!EM_S_FA_NETPROFITMARGIN(B3148,E3148)</f>
        <v>8.3736162771</v>
      </c>
      <c r="K3148" s="10">
        <f>[1]!EM_S_FA_ASSETSTURN(B3148,E3148)</f>
        <v>0.42401942317000002</v>
      </c>
      <c r="L3148" s="12">
        <f>[1]!EM_HKS_VAL_MV(B3148,"2019-12-31","2")</f>
        <v>2097600000</v>
      </c>
      <c r="M3148">
        <f>[1]!EM_S_VAL_PETTMDEDUCTED(B3148,E3148)</f>
        <v>38.3243644073372</v>
      </c>
      <c r="N3148" s="7">
        <f>[1]!EM_S_VAL_PBGOODWILLDEDUCTED(B3148,E3148)</f>
        <v>3.1060148598796999</v>
      </c>
      <c r="O3148" s="7">
        <f>[1]!EM_S_VAL_PS_TTM(B3148,E3148)</f>
        <v>3.6121218679087499</v>
      </c>
      <c r="P3148" s="7">
        <f>[1]!EM_S_VAL_PCF_NCFTTM(B3148,E3148)</f>
        <v>-22.8326062568301</v>
      </c>
      <c r="Q3148" s="7">
        <f>[1]!EM_S_VAL_DIVIDENDYIELD2(B3148,E3148,"2019-11-29")</f>
        <v>1.8663680477790219</v>
      </c>
      <c r="T3148"/>
      <c r="U3148">
        <f>[1]!EM_S_RATIO_EPS_TTM(B3148,E3148,"1")</f>
        <v>0.28335891210526315</v>
      </c>
      <c r="AT3148" s="4" t="str">
        <f>[1]!EM_S_IPO_LISTEDDATE(B3148)</f>
        <v>2016-04-25</v>
      </c>
    </row>
    <row r="3149" spans="1:46">
      <c r="A3149">
        <v>3530</v>
      </c>
      <c r="B3149" t="str">
        <f>"603773"</f>
        <v>603773</v>
      </c>
      <c r="C3149" t="s">
        <v>142</v>
      </c>
      <c r="D3149" t="str">
        <f>[1]!EM_S_INFO_INDEX_EM(B3149,"1")</f>
        <v>电子设备</v>
      </c>
      <c r="E3149" s="4">
        <f t="shared" si="49"/>
        <v>43465</v>
      </c>
      <c r="F3149" s="11">
        <f>[1]!EM_S_PQ_PCTCHANGE(B3149,"2018-01-01","2019-12-31","3")</f>
        <v>3.1205351299999999</v>
      </c>
      <c r="G3149" s="11">
        <f>[1]!EM_S_PQ_PCTCHANGE(B3149,"2018-12-31","2019-12-30","1")</f>
        <v>-24.79205176</v>
      </c>
      <c r="H3149" s="11">
        <f>[1]!EM_S_FA_YOY_OR(B3149,E3149)</f>
        <v>7.0284297064999999</v>
      </c>
      <c r="I3149" s="11">
        <f>[1]!EM_S_FA_GROSSPROFITMARGIN(B3149,E3149)</f>
        <v>48.979414419800001</v>
      </c>
      <c r="J3149" s="11">
        <f>[1]!EM_S_FA_NETPROFITMARGIN(B3149,E3149)</f>
        <v>22.584668066500001</v>
      </c>
      <c r="K3149" s="10">
        <f>[1]!EM_S_FA_ASSETSTURN(B3149,E3149)</f>
        <v>0.497020623366</v>
      </c>
      <c r="L3149" s="12">
        <f>[1]!EM_HKS_VAL_MV(B3149,"2019-12-31","2")</f>
        <v>3186924281.6399999</v>
      </c>
      <c r="M3149">
        <f>[1]!EM_S_VAL_PETTMDEDUCTED(B3149,E3149)</f>
        <v>19.355718738817501</v>
      </c>
      <c r="N3149" s="7">
        <f>[1]!EM_S_VAL_PBGOODWILLDEDUCTED(B3149,E3149)</f>
        <v>2.5714842357321199</v>
      </c>
      <c r="O3149" s="7">
        <f>[1]!EM_S_VAL_PS_TTM(B3149,E3149)</f>
        <v>5.6376891758018202</v>
      </c>
      <c r="P3149" s="7">
        <f>[1]!EM_S_VAL_PCF_NCFTTM(B3149,E3149)</f>
        <v>5.6661256532632898</v>
      </c>
      <c r="Q3149" s="7">
        <f>[1]!EM_S_VAL_DIVIDENDYIELD2(B3149,E3149,"2019-11-29")</f>
        <v>2.3611111111111107</v>
      </c>
      <c r="T3149"/>
      <c r="U3149">
        <f>[1]!EM_S_RATIO_EPS_TTM(B3149,E3149,"1")</f>
        <v>1.6707646378229439</v>
      </c>
      <c r="AT3149" s="4" t="str">
        <f>[1]!EM_S_IPO_LISTEDDATE(B3149)</f>
        <v>2018-04-17</v>
      </c>
    </row>
    <row r="3150" spans="1:46">
      <c r="A3150">
        <v>1533</v>
      </c>
      <c r="B3150" t="str">
        <f>"300108"</f>
        <v>300108</v>
      </c>
      <c r="C3150" t="s">
        <v>1511</v>
      </c>
      <c r="D3150" t="str">
        <f>[1]!EM_S_INFO_INDEX_EM(B3150,"1")</f>
        <v>医药生物</v>
      </c>
      <c r="E3150" s="4">
        <f t="shared" si="49"/>
        <v>43465</v>
      </c>
      <c r="F3150" s="11">
        <f>[1]!EM_S_PQ_PCTCHANGE(B3150,"2018-01-01","2019-12-31","3")</f>
        <v>-60.06758482</v>
      </c>
      <c r="G3150" s="11">
        <f>[1]!EM_S_PQ_PCTCHANGE(B3150,"2018-12-31","2019-12-30","1")</f>
        <v>-24.8</v>
      </c>
      <c r="H3150" s="11">
        <f>[1]!EM_S_FA_YOY_OR(B3150,E3150)</f>
        <v>34.522992281599997</v>
      </c>
      <c r="I3150" s="11">
        <f>[1]!EM_S_FA_GROSSPROFITMARGIN(B3150,E3150)</f>
        <v>32.489592377100003</v>
      </c>
      <c r="J3150" s="11">
        <f>[1]!EM_S_FA_NETPROFITMARGIN(B3150,E3150)</f>
        <v>23.285692775200001</v>
      </c>
      <c r="K3150" s="10">
        <f>[1]!EM_S_FA_ASSETSTURN(B3150,E3150)</f>
        <v>0.235343356216</v>
      </c>
      <c r="L3150" s="12">
        <f>[1]!EM_HKS_VAL_MV(B3150,"2019-12-31","2")</f>
        <v>2624097815.5599999</v>
      </c>
      <c r="M3150">
        <f>[1]!EM_S_VAL_PETTMDEDUCTED(B3150,E3150)</f>
        <v>38.644075981334403</v>
      </c>
      <c r="N3150" s="7">
        <f>[1]!EM_S_VAL_PBGOODWILLDEDUCTED(B3150,E3150)</f>
        <v>2.4599126877742501</v>
      </c>
      <c r="O3150" s="7">
        <f>[1]!EM_S_VAL_PS_TTM(B3150,E3150)</f>
        <v>4.2913074543647598</v>
      </c>
      <c r="P3150" s="7">
        <f>[1]!EM_S_VAL_PCF_NCFTTM(B3150,E3150)</f>
        <v>88.742173628721702</v>
      </c>
      <c r="Q3150" s="7">
        <f>[1]!EM_S_VAL_DIVIDENDYIELD2(B3150,E3150,"2019-11-29")</f>
        <v>0</v>
      </c>
      <c r="T3150"/>
      <c r="U3150">
        <f>[1]!EM_S_RATIO_EPS_TTM(B3150,E3150,"1")</f>
        <v>0.32530801986503982</v>
      </c>
      <c r="AT3150" s="4" t="str">
        <f>[1]!EM_S_IPO_LISTEDDATE(B3150)</f>
        <v>2010-08-25</v>
      </c>
    </row>
    <row r="3151" spans="1:46">
      <c r="A3151">
        <v>3363</v>
      </c>
      <c r="B3151" t="str">
        <f>"603330"</f>
        <v>603330</v>
      </c>
      <c r="C3151" t="s">
        <v>2298</v>
      </c>
      <c r="D3151" t="str">
        <f>[1]!EM_S_INFO_INDEX_EM(B3151,"1")</f>
        <v>基础化工</v>
      </c>
      <c r="E3151" s="4">
        <f t="shared" si="49"/>
        <v>43465</v>
      </c>
      <c r="F3151" s="11">
        <f>[1]!EM_S_PQ_PCTCHANGE(B3151,"2018-01-01","2019-12-31","3")</f>
        <v>-21.20438794</v>
      </c>
      <c r="G3151" s="11">
        <f>[1]!EM_S_PQ_PCTCHANGE(B3151,"2018-12-31","2019-12-30","1")</f>
        <v>-24.92552135</v>
      </c>
      <c r="H3151" s="11">
        <f>[1]!EM_S_FA_YOY_OR(B3151,E3151)</f>
        <v>23.236897678199998</v>
      </c>
      <c r="I3151" s="11">
        <f>[1]!EM_S_FA_GROSSPROFITMARGIN(B3151,E3151)</f>
        <v>27.1899687481</v>
      </c>
      <c r="J3151" s="11">
        <f>[1]!EM_S_FA_NETPROFITMARGIN(B3151,E3151)</f>
        <v>6.8128733905000001</v>
      </c>
      <c r="K3151" s="10">
        <f>[1]!EM_S_FA_ASSETSTURN(B3151,E3151)</f>
        <v>0.622544964895</v>
      </c>
      <c r="L3151" s="12">
        <f>[1]!EM_HKS_VAL_MV(B3151,"2019-12-31","2")</f>
        <v>1653288000</v>
      </c>
      <c r="M3151">
        <f>[1]!EM_S_VAL_PETTMDEDUCTED(B3151,E3151)</f>
        <v>41.266958048959097</v>
      </c>
      <c r="N3151" s="7">
        <f>[1]!EM_S_VAL_PBGOODWILLDEDUCTED(B3151,E3151)</f>
        <v>2.6784856127087902</v>
      </c>
      <c r="O3151" s="7">
        <f>[1]!EM_S_VAL_PS_TTM(B3151,E3151)</f>
        <v>2.89505782459536</v>
      </c>
      <c r="P3151" s="7">
        <f>[1]!EM_S_VAL_PCF_NCFTTM(B3151,E3151)</f>
        <v>93.888188461213502</v>
      </c>
      <c r="Q3151" s="7">
        <f>[1]!EM_S_VAL_DIVIDENDYIELD2(B3151,E3151,"2019-11-29")</f>
        <v>1.2446304659103424</v>
      </c>
      <c r="T3151"/>
      <c r="U3151">
        <f>[1]!EM_S_RATIO_EPS_TTM(B3151,E3151,"1")</f>
        <v>0.45096073320512819</v>
      </c>
      <c r="AT3151" s="4" t="str">
        <f>[1]!EM_S_IPO_LISTEDDATE(B3151)</f>
        <v>2017-02-13</v>
      </c>
    </row>
    <row r="3152" spans="1:46">
      <c r="A3152">
        <v>1848</v>
      </c>
      <c r="B3152" t="str">
        <f>"300423"</f>
        <v>300423</v>
      </c>
      <c r="C3152" t="s">
        <v>631</v>
      </c>
      <c r="D3152" t="str">
        <f>[1]!EM_S_INFO_INDEX_EM(B3152,"1")</f>
        <v>电气设备</v>
      </c>
      <c r="E3152" s="4">
        <f t="shared" si="49"/>
        <v>43465</v>
      </c>
      <c r="F3152" s="11">
        <f>[1]!EM_S_PQ_PCTCHANGE(B3152,"2018-01-01","2019-12-31","3")</f>
        <v>39.695638170000002</v>
      </c>
      <c r="G3152" s="11">
        <f>[1]!EM_S_PQ_PCTCHANGE(B3152,"2018-12-31","2019-12-30","1")</f>
        <v>-24.957458880000001</v>
      </c>
      <c r="H3152" s="11">
        <f>[1]!EM_S_FA_YOY_OR(B3152,E3152)</f>
        <v>1048.1272759924</v>
      </c>
      <c r="I3152" s="11">
        <f>[1]!EM_S_FA_GROSSPROFITMARGIN(B3152,E3152)</f>
        <v>39.1698383624</v>
      </c>
      <c r="J3152" s="11">
        <f>[1]!EM_S_FA_NETPROFITMARGIN(B3152,E3152)</f>
        <v>14.8637871205</v>
      </c>
      <c r="K3152" s="10">
        <f>[1]!EM_S_FA_ASSETSTURN(B3152,E3152)</f>
        <v>0.80001228942299996</v>
      </c>
      <c r="L3152" s="12">
        <f>[1]!EM_HKS_VAL_MV(B3152,"2019-12-31","2")</f>
        <v>6610840435.6000004</v>
      </c>
      <c r="M3152">
        <f>[1]!EM_S_VAL_PETTMDEDUCTED(B3152,E3152)</f>
        <v>14.856593787240699</v>
      </c>
      <c r="N3152" s="7">
        <f>[1]!EM_S_VAL_PBGOODWILLDEDUCTED(B3152,E3152)</f>
        <v>3.7759964723718</v>
      </c>
      <c r="O3152" s="7">
        <f>[1]!EM_S_VAL_PS_TTM(B3152,E3152)</f>
        <v>2.2872264818800399</v>
      </c>
      <c r="P3152" s="7">
        <f>[1]!EM_S_VAL_PCF_NCFTTM(B3152,E3152)</f>
        <v>-2076.8204921794299</v>
      </c>
      <c r="Q3152" s="7">
        <f>[1]!EM_S_VAL_DIVIDENDYIELD2(B3152,E3152,"2019-11-29")</f>
        <v>1.1144290417881857</v>
      </c>
      <c r="T3152"/>
      <c r="U3152">
        <f>[1]!EM_S_RATIO_EPS_TTM(B3152,E3152,"1")</f>
        <v>1.5461104707366866</v>
      </c>
      <c r="AT3152" s="4" t="str">
        <f>[1]!EM_S_IPO_LISTEDDATE(B3152)</f>
        <v>2015-02-17</v>
      </c>
    </row>
    <row r="3153" spans="1:46">
      <c r="A3153">
        <v>3569</v>
      </c>
      <c r="B3153" t="str">
        <f>"603861"</f>
        <v>603861</v>
      </c>
      <c r="C3153" t="s">
        <v>2376</v>
      </c>
      <c r="D3153" t="str">
        <f>[1]!EM_S_INFO_INDEX_EM(B3153,"1")</f>
        <v>电气设备</v>
      </c>
      <c r="E3153" s="4">
        <f t="shared" si="49"/>
        <v>43465</v>
      </c>
      <c r="F3153" s="11">
        <f>[1]!EM_S_PQ_PCTCHANGE(B3153,"2018-01-01","2019-12-31","3")</f>
        <v>-46.987758820000003</v>
      </c>
      <c r="G3153" s="11">
        <f>[1]!EM_S_PQ_PCTCHANGE(B3153,"2018-12-31","2019-12-30","1")</f>
        <v>-25.086206900000001</v>
      </c>
      <c r="H3153" s="11">
        <f>[1]!EM_S_FA_YOY_OR(B3153,E3153)</f>
        <v>17.8383446319</v>
      </c>
      <c r="I3153" s="11">
        <f>[1]!EM_S_FA_GROSSPROFITMARGIN(B3153,E3153)</f>
        <v>27.745135443700001</v>
      </c>
      <c r="J3153" s="11">
        <f>[1]!EM_S_FA_NETPROFITMARGIN(B3153,E3153)</f>
        <v>6.9229521266000003</v>
      </c>
      <c r="K3153" s="10">
        <f>[1]!EM_S_FA_ASSETSTURN(B3153,E3153)</f>
        <v>0.59638239199200005</v>
      </c>
      <c r="L3153" s="12">
        <f>[1]!EM_HKS_VAL_MV(B3153,"2019-12-31","2")</f>
        <v>3945354557.04</v>
      </c>
      <c r="M3153">
        <f>[1]!EM_S_VAL_PETTMDEDUCTED(B3153,E3153)</f>
        <v>41.4431842723804</v>
      </c>
      <c r="N3153" s="7">
        <f>[1]!EM_S_VAL_PBGOODWILLDEDUCTED(B3153,E3153)</f>
        <v>2.2104528256388898</v>
      </c>
      <c r="O3153" s="7">
        <f>[1]!EM_S_VAL_PS_TTM(B3153,E3153)</f>
        <v>2.8110108616046698</v>
      </c>
      <c r="P3153" s="7">
        <f>[1]!EM_S_VAL_PCF_NCFTTM(B3153,E3153)</f>
        <v>13.7322744494329</v>
      </c>
      <c r="Q3153" s="7">
        <f>[1]!EM_S_VAL_DIVIDENDYIELD2(B3153,E3153,"2019-11-29")</f>
        <v>1.3541042965768022</v>
      </c>
      <c r="T3153"/>
      <c r="U3153">
        <f>[1]!EM_S_RATIO_EPS_TTM(B3153,E3153,"1")</f>
        <v>0.383186215149597</v>
      </c>
      <c r="AT3153" s="4" t="str">
        <f>[1]!EM_S_IPO_LISTEDDATE(B3153)</f>
        <v>2016-03-22</v>
      </c>
    </row>
    <row r="3154" spans="1:46">
      <c r="A3154">
        <v>1816</v>
      </c>
      <c r="B3154" t="str">
        <f>"300391"</f>
        <v>300391</v>
      </c>
      <c r="C3154" t="s">
        <v>2143</v>
      </c>
      <c r="D3154" t="str">
        <f>[1]!EM_S_INFO_INDEX_EM(B3154,"1")</f>
        <v>机械设备</v>
      </c>
      <c r="E3154" s="4">
        <f t="shared" si="49"/>
        <v>43465</v>
      </c>
      <c r="F3154" s="11">
        <f>[1]!EM_S_PQ_PCTCHANGE(B3154,"2018-01-01","2019-12-31","3")</f>
        <v>-16.424038190000001</v>
      </c>
      <c r="G3154" s="11">
        <f>[1]!EM_S_PQ_PCTCHANGE(B3154,"2018-12-31","2019-12-30","1")</f>
        <v>-25.205761320000001</v>
      </c>
      <c r="H3154" s="11">
        <f>[1]!EM_S_FA_YOY_OR(B3154,E3154)</f>
        <v>18.3923506661</v>
      </c>
      <c r="I3154" s="11">
        <f>[1]!EM_S_FA_GROSSPROFITMARGIN(B3154,E3154)</f>
        <v>31.771084728600002</v>
      </c>
      <c r="J3154" s="11">
        <f>[1]!EM_S_FA_NETPROFITMARGIN(B3154,E3154)</f>
        <v>11.307898660999999</v>
      </c>
      <c r="K3154" s="10">
        <f>[1]!EM_S_FA_ASSETSTURN(B3154,E3154)</f>
        <v>0.43472861069300001</v>
      </c>
      <c r="L3154" s="12">
        <f>[1]!EM_HKS_VAL_MV(B3154,"2019-12-31","2")</f>
        <v>2546943534.2399998</v>
      </c>
      <c r="M3154">
        <f>[1]!EM_S_VAL_PETTMDEDUCTED(B3154,E3154)</f>
        <v>21.710357621500901</v>
      </c>
      <c r="N3154" s="7">
        <f>[1]!EM_S_VAL_PBGOODWILLDEDUCTED(B3154,E3154)</f>
        <v>2.6593661951052501</v>
      </c>
      <c r="O3154" s="7">
        <f>[1]!EM_S_VAL_PS_TTM(B3154,E3154)</f>
        <v>2.39660443721966</v>
      </c>
      <c r="P3154" s="7">
        <f>[1]!EM_S_VAL_PCF_NCFTTM(B3154,E3154)</f>
        <v>13.913509606500901</v>
      </c>
      <c r="Q3154" s="7">
        <f>[1]!EM_S_VAL_DIVIDENDYIELD2(B3154,E3154,"2019-11-29")</f>
        <v>0.53850296176628965</v>
      </c>
      <c r="T3154"/>
      <c r="U3154">
        <f>[1]!EM_S_RATIO_EPS_TTM(B3154,E3154,"1")</f>
        <v>0.43667414475673577</v>
      </c>
      <c r="AT3154" s="4" t="str">
        <f>[1]!EM_S_IPO_LISTEDDATE(B3154)</f>
        <v>2014-08-01</v>
      </c>
    </row>
    <row r="3155" spans="1:46">
      <c r="A3155">
        <v>1532</v>
      </c>
      <c r="B3155" t="str">
        <f>"300107"</f>
        <v>300107</v>
      </c>
      <c r="C3155" t="s">
        <v>74</v>
      </c>
      <c r="D3155" t="str">
        <f>[1]!EM_S_INFO_INDEX_EM(B3155,"1")</f>
        <v>基础化工</v>
      </c>
      <c r="E3155" s="4">
        <f t="shared" si="49"/>
        <v>43465</v>
      </c>
      <c r="F3155" s="11">
        <f>[1]!EM_S_PQ_PCTCHANGE(B3155,"2018-01-01","2019-12-31","3")</f>
        <v>45.965005130000002</v>
      </c>
      <c r="G3155" s="11">
        <f>[1]!EM_S_PQ_PCTCHANGE(B3155,"2018-12-31","2019-12-30","1")</f>
        <v>-25.238600210000001</v>
      </c>
      <c r="H3155" s="11">
        <f>[1]!EM_S_FA_YOY_OR(B3155,E3155)</f>
        <v>164.6665601297</v>
      </c>
      <c r="I3155" s="11">
        <f>[1]!EM_S_FA_GROSSPROFITMARGIN(B3155,E3155)</f>
        <v>63.7849817086</v>
      </c>
      <c r="J3155" s="11">
        <f>[1]!EM_S_FA_NETPROFITMARGIN(B3155,E3155)</f>
        <v>46.253733158300001</v>
      </c>
      <c r="K3155" s="10">
        <f>[1]!EM_S_FA_ASSETSTURN(B3155,E3155)</f>
        <v>1.007630767892</v>
      </c>
      <c r="L3155" s="12">
        <f>[1]!EM_HKS_VAL_MV(B3155,"2019-12-31","2")</f>
        <v>4078013613.2399998</v>
      </c>
      <c r="M3155">
        <f>[1]!EM_S_VAL_PETTMDEDUCTED(B3155,E3155)</f>
        <v>9.5893552535179705</v>
      </c>
      <c r="N3155" s="7">
        <f>[1]!EM_S_VAL_PBGOODWILLDEDUCTED(B3155,E3155)</f>
        <v>3.2744979693136802</v>
      </c>
      <c r="O3155" s="7">
        <f>[1]!EM_S_VAL_PS_TTM(B3155,E3155)</f>
        <v>4.2113421218516898</v>
      </c>
      <c r="P3155" s="7">
        <f>[1]!EM_S_VAL_PCF_NCFTTM(B3155,E3155)</f>
        <v>21.0303317418939</v>
      </c>
      <c r="Q3155" s="7">
        <f>[1]!EM_S_VAL_DIVIDENDYIELD2(B3155,E3155,"2019-11-29")</f>
        <v>4.2151312068632683</v>
      </c>
      <c r="U3155">
        <f>[1]!EM_S_RATIO_EPS_TTM(B3155,E3155,"1")</f>
        <v>1.1974537347790677</v>
      </c>
      <c r="AT3155" s="4" t="str">
        <f>[1]!EM_S_IPO_LISTEDDATE(B3155)</f>
        <v>2010-08-20</v>
      </c>
    </row>
    <row r="3156" spans="1:46">
      <c r="A3156">
        <v>253</v>
      </c>
      <c r="B3156" t="str">
        <f>"000665"</f>
        <v>000665</v>
      </c>
      <c r="C3156" t="s">
        <v>1724</v>
      </c>
      <c r="D3156" t="str">
        <f>[1]!EM_S_INFO_INDEX_EM(B3156,"1")</f>
        <v>文化传媒</v>
      </c>
      <c r="E3156" s="4">
        <f t="shared" si="49"/>
        <v>43465</v>
      </c>
      <c r="F3156" s="11">
        <f>[1]!EM_S_PQ_PCTCHANGE(B3156,"2018-01-01","2019-12-31","3")</f>
        <v>-24.60867318</v>
      </c>
      <c r="G3156" s="11">
        <f>[1]!EM_S_PQ_PCTCHANGE(B3156,"2018-12-31","2019-12-30","1")</f>
        <v>-25.279329610000001</v>
      </c>
      <c r="H3156" s="11">
        <f>[1]!EM_S_FA_YOY_OR(B3156,E3156)</f>
        <v>5.1968401384999998</v>
      </c>
      <c r="I3156" s="11">
        <f>[1]!EM_S_FA_GROSSPROFITMARGIN(B3156,E3156)</f>
        <v>39.3503120624</v>
      </c>
      <c r="J3156" s="11">
        <f>[1]!EM_S_FA_NETPROFITMARGIN(B3156,E3156)</f>
        <v>7.5663901399000002</v>
      </c>
      <c r="K3156" s="10">
        <f>[1]!EM_S_FA_ASSETSTURN(B3156,E3156)</f>
        <v>0.26662172884099999</v>
      </c>
      <c r="L3156" s="12">
        <f>[1]!EM_HKS_VAL_MV(B3156,"2019-12-31","2")</f>
        <v>5155137468.9499998</v>
      </c>
      <c r="M3156">
        <f>[1]!EM_S_VAL_PETTMDEDUCTED(B3156,E3156)</f>
        <v>15.4722195210888</v>
      </c>
      <c r="N3156" s="7">
        <f>[1]!EM_S_VAL_PBGOODWILLDEDUCTED(B3156,E3156)</f>
        <v>0.83330025431700006</v>
      </c>
      <c r="O3156" s="7">
        <f>[1]!EM_S_VAL_PS_TTM(B3156,E3156)</f>
        <v>1.64640650095081</v>
      </c>
      <c r="P3156" s="7">
        <f>[1]!EM_S_VAL_PCF_NCFTTM(B3156,E3156)</f>
        <v>77.656441301350995</v>
      </c>
      <c r="Q3156" s="7">
        <f>[1]!EM_S_VAL_DIVIDENDYIELD2(B3156,E3156,"2019-11-29")</f>
        <v>0.86055302644249199</v>
      </c>
      <c r="T3156"/>
      <c r="U3156">
        <f>[1]!EM_S_RATIO_EPS_TTM(B3156,E3156,"1")</f>
        <v>0.28820406098010692</v>
      </c>
      <c r="AT3156" s="4" t="str">
        <f>[1]!EM_S_IPO_LISTEDDATE(B3156)</f>
        <v>1996-12-10</v>
      </c>
    </row>
    <row r="3157" spans="1:46">
      <c r="A3157">
        <v>398</v>
      </c>
      <c r="B3157" t="str">
        <f>"000856"</f>
        <v>000856</v>
      </c>
      <c r="C3157" t="s">
        <v>2870</v>
      </c>
      <c r="D3157" t="str">
        <f>[1]!EM_S_INFO_INDEX_EM(B3157,"1")</f>
        <v>机械设备</v>
      </c>
      <c r="E3157" s="4">
        <f t="shared" si="49"/>
        <v>43465</v>
      </c>
      <c r="F3157" s="11">
        <f>[1]!EM_S_PQ_PCTCHANGE(B3157,"2018-01-01","2019-12-31","3")</f>
        <v>-47.437774519999998</v>
      </c>
      <c r="G3157" s="11">
        <f>[1]!EM_S_PQ_PCTCHANGE(B3157,"2018-12-31","2019-12-30","1")</f>
        <v>-25.347222219999999</v>
      </c>
      <c r="H3157" s="11">
        <f>[1]!EM_S_FA_YOY_OR(B3157,E3157)</f>
        <v>15.0910561251</v>
      </c>
      <c r="I3157" s="11">
        <f>[1]!EM_S_FA_GROSSPROFITMARGIN(B3157,E3157)</f>
        <v>5.0234360755000003</v>
      </c>
      <c r="J3157" s="11">
        <f>[1]!EM_S_FA_NETPROFITMARGIN(B3157,E3157)</f>
        <v>0.68129404920000003</v>
      </c>
      <c r="K3157" s="10">
        <f>[1]!EM_S_FA_ASSETSTURN(B3157,E3157)</f>
        <v>1.0386307196290001</v>
      </c>
      <c r="L3157" s="12">
        <f>[1]!EM_HKS_VAL_MV(B3157,"2019-12-31","2")</f>
        <v>2444790000</v>
      </c>
      <c r="M3157">
        <f>[1]!EM_S_VAL_PETTMDEDUCTED(B3157,E3157)</f>
        <v>-447.44480496685401</v>
      </c>
      <c r="N3157" s="7">
        <f>[1]!EM_S_VAL_PBGOODWILLDEDUCTED(B3157,E3157)</f>
        <v>10.308052587204999</v>
      </c>
      <c r="O3157" s="7">
        <f>[1]!EM_S_VAL_PS_TTM(B3157,E3157)</f>
        <v>1.82313896678081</v>
      </c>
      <c r="P3157" s="7">
        <f>[1]!EM_S_VAL_PCF_NCFTTM(B3157,E3157)</f>
        <v>41.078374430516703</v>
      </c>
      <c r="Q3157" s="7">
        <f>[1]!EM_S_VAL_DIVIDENDYIELD2(B3157,E3157,"2019-11-29")</f>
        <v>0</v>
      </c>
      <c r="T3157"/>
      <c r="U3157">
        <f>[1]!EM_S_RATIO_EPS_TTM(B3157,E3157,"1")</f>
        <v>0.10149005572687224</v>
      </c>
      <c r="AT3157" s="4" t="str">
        <f>[1]!EM_S_IPO_LISTEDDATE(B3157)</f>
        <v>1998-08-13</v>
      </c>
    </row>
    <row r="3158" spans="1:46">
      <c r="A3158">
        <v>3308</v>
      </c>
      <c r="B3158" t="str">
        <f>"603196"</f>
        <v>603196</v>
      </c>
      <c r="C3158" t="s">
        <v>1542</v>
      </c>
      <c r="D3158" t="str">
        <f>[1]!EM_S_INFO_INDEX_EM(B3158,"1")</f>
        <v>纺织服装</v>
      </c>
      <c r="E3158" s="4">
        <f t="shared" si="49"/>
        <v>43465</v>
      </c>
      <c r="F3158" s="11">
        <f>[1]!EM_S_PQ_PCTCHANGE(B3158,"2018-01-01","2019-12-31","3")</f>
        <v>-10.68219534</v>
      </c>
      <c r="G3158" s="11">
        <f>[1]!EM_S_PQ_PCTCHANGE(B3158,"2018-12-31","2019-12-30","1")</f>
        <v>-25.401929259999999</v>
      </c>
      <c r="H3158" s="11">
        <f>[1]!EM_S_FA_YOY_OR(B3158,E3158)</f>
        <v>5.4645991239000002</v>
      </c>
      <c r="I3158" s="11">
        <f>[1]!EM_S_FA_GROSSPROFITMARGIN(B3158,E3158)</f>
        <v>59.8870578712</v>
      </c>
      <c r="J3158" s="11">
        <f>[1]!EM_S_FA_NETPROFITMARGIN(B3158,E3158)</f>
        <v>2.4954201200999999</v>
      </c>
      <c r="K3158" s="10">
        <f>[1]!EM_S_FA_ASSETSTURN(B3158,E3158)</f>
        <v>0.93647837583600002</v>
      </c>
      <c r="L3158" s="12">
        <f>[1]!EM_HKS_VAL_MV(B3158,"2019-12-31","2")</f>
        <v>2450400000</v>
      </c>
      <c r="M3158">
        <f>[1]!EM_S_VAL_PETTMDEDUCTED(B3158,E3158)</f>
        <v>71.013669751098604</v>
      </c>
      <c r="N3158" s="7">
        <f>[1]!EM_S_VAL_PBGOODWILLDEDUCTED(B3158,E3158)</f>
        <v>3.16031537904286</v>
      </c>
      <c r="O3158" s="7">
        <f>[1]!EM_S_VAL_PS_TTM(B3158,E3158)</f>
        <v>2.5963228643571301</v>
      </c>
      <c r="P3158" s="7">
        <f>[1]!EM_S_VAL_PCF_NCFTTM(B3158,E3158)</f>
        <v>1408.7464060888501</v>
      </c>
      <c r="Q3158" s="7">
        <f>[1]!EM_S_VAL_DIVIDENDYIELD2(B3158,E3158,"2019-11-29")</f>
        <v>1.3003901170351104</v>
      </c>
      <c r="T3158"/>
      <c r="U3158">
        <f>[1]!EM_S_RATIO_EPS_TTM(B3158,E3158,"1")</f>
        <v>0.15985114229166666</v>
      </c>
      <c r="AT3158" s="4" t="str">
        <f>[1]!EM_S_IPO_LISTEDDATE(B3158)</f>
        <v>2017-05-31</v>
      </c>
    </row>
    <row r="3159" spans="1:46">
      <c r="A3159">
        <v>1415</v>
      </c>
      <c r="B3159" t="str">
        <f>"002919"</f>
        <v>002919</v>
      </c>
      <c r="C3159" t="s">
        <v>1673</v>
      </c>
      <c r="D3159" t="str">
        <f>[1]!EM_S_INFO_INDEX_EM(B3159,"1")</f>
        <v>基础化工</v>
      </c>
      <c r="E3159" s="4">
        <f t="shared" si="49"/>
        <v>43465</v>
      </c>
      <c r="F3159" s="11">
        <f>[1]!EM_S_PQ_PCTCHANGE(B3159,"2018-01-01","2019-12-31","3")</f>
        <v>-34.852096660000001</v>
      </c>
      <c r="G3159" s="11">
        <f>[1]!EM_S_PQ_PCTCHANGE(B3159,"2018-12-31","2019-12-30","1")</f>
        <v>-25.488232350000001</v>
      </c>
      <c r="H3159" s="11">
        <f>[1]!EM_S_FA_YOY_OR(B3159,E3159)</f>
        <v>-14.8623492815</v>
      </c>
      <c r="I3159" s="11">
        <f>[1]!EM_S_FA_GROSSPROFITMARGIN(B3159,E3159)</f>
        <v>37.897391830300002</v>
      </c>
      <c r="J3159" s="11">
        <f>[1]!EM_S_FA_NETPROFITMARGIN(B3159,E3159)</f>
        <v>5.4296195110000003</v>
      </c>
      <c r="K3159" s="10">
        <f>[1]!EM_S_FA_ASSETSTURN(B3159,E3159)</f>
        <v>0.78977038320899995</v>
      </c>
      <c r="L3159" s="12">
        <f>[1]!EM_HKS_VAL_MV(B3159,"2019-12-31","2")</f>
        <v>1852799251.6500001</v>
      </c>
      <c r="M3159">
        <f>[1]!EM_S_VAL_PETTMDEDUCTED(B3159,E3159)</f>
        <v>55.979421343519498</v>
      </c>
      <c r="N3159" s="7">
        <f>[1]!EM_S_VAL_PBGOODWILLDEDUCTED(B3159,E3159)</f>
        <v>2.9516171400429099</v>
      </c>
      <c r="O3159" s="7">
        <f>[1]!EM_S_VAL_PS_TTM(B3159,E3159)</f>
        <v>2.9326216304666901</v>
      </c>
      <c r="P3159" s="7">
        <f>[1]!EM_S_VAL_PCF_NCFTTM(B3159,E3159)</f>
        <v>353.83018703178499</v>
      </c>
      <c r="Q3159" s="7">
        <f>[1]!EM_S_VAL_DIVIDENDYIELD2(B3159,E3159,"2019-11-29")</f>
        <v>0.46457607433217191</v>
      </c>
      <c r="T3159"/>
      <c r="U3159">
        <f>[1]!EM_S_RATIO_EPS_TTM(B3159,E3159,"1")</f>
        <v>0.36427587292319707</v>
      </c>
      <c r="AT3159" s="4" t="str">
        <f>[1]!EM_S_IPO_LISTEDDATE(B3159)</f>
        <v>2017-12-18</v>
      </c>
    </row>
    <row r="3160" spans="1:46">
      <c r="A3160">
        <v>3628</v>
      </c>
      <c r="B3160" t="str">
        <f>"603985"</f>
        <v>603985</v>
      </c>
      <c r="C3160" t="s">
        <v>986</v>
      </c>
      <c r="D3160" t="str">
        <f>[1]!EM_S_INFO_INDEX_EM(B3160,"1")</f>
        <v>机械设备</v>
      </c>
      <c r="E3160" s="4">
        <f t="shared" si="49"/>
        <v>43465</v>
      </c>
      <c r="F3160" s="11">
        <f>[1]!EM_S_PQ_PCTCHANGE(B3160,"2018-01-01","2019-12-31","3")</f>
        <v>-21.213968430000001</v>
      </c>
      <c r="G3160" s="11">
        <f>[1]!EM_S_PQ_PCTCHANGE(B3160,"2018-12-31","2019-12-30","1")</f>
        <v>-25.555555559999998</v>
      </c>
      <c r="H3160" s="11">
        <f>[1]!EM_S_FA_YOY_OR(B3160,E3160)</f>
        <v>60.033801520200001</v>
      </c>
      <c r="I3160" s="11">
        <f>[1]!EM_S_FA_GROSSPROFITMARGIN(B3160,E3160)</f>
        <v>24.732838150199999</v>
      </c>
      <c r="J3160" s="11">
        <f>[1]!EM_S_FA_NETPROFITMARGIN(B3160,E3160)</f>
        <v>10.7268150031</v>
      </c>
      <c r="K3160" s="10">
        <f>[1]!EM_S_FA_ASSETSTURN(B3160,E3160)</f>
        <v>0.78578837431000004</v>
      </c>
      <c r="L3160" s="12">
        <f>[1]!EM_HKS_VAL_MV(B3160,"2019-12-31","2")</f>
        <v>2271360000</v>
      </c>
      <c r="M3160">
        <f>[1]!EM_S_VAL_PETTMDEDUCTED(B3160,E3160)</f>
        <v>18.7864818191313</v>
      </c>
      <c r="N3160" s="7">
        <f>[1]!EM_S_VAL_PBGOODWILLDEDUCTED(B3160,E3160)</f>
        <v>2.1986181632125601</v>
      </c>
      <c r="O3160" s="7">
        <f>[1]!EM_S_VAL_PS_TTM(B3160,E3160)</f>
        <v>2.1717894325422198</v>
      </c>
      <c r="P3160" s="7">
        <f>[1]!EM_S_VAL_PCF_NCFTTM(B3160,E3160)</f>
        <v>-319.56042071287101</v>
      </c>
      <c r="Q3160" s="7">
        <f>[1]!EM_S_VAL_DIVIDENDYIELD2(B3160,E3160,"2019-11-29")</f>
        <v>2.0220402386007481</v>
      </c>
      <c r="T3160"/>
      <c r="U3160">
        <f>[1]!EM_S_RATIO_EPS_TTM(B3160,E3160,"1")</f>
        <v>1.2001857917307692</v>
      </c>
      <c r="AT3160" s="4" t="str">
        <f>[1]!EM_S_IPO_LISTEDDATE(B3160)</f>
        <v>2017-05-05</v>
      </c>
    </row>
    <row r="3161" spans="1:46">
      <c r="A3161">
        <v>1312</v>
      </c>
      <c r="B3161" t="str">
        <f>"002808"</f>
        <v>002808</v>
      </c>
      <c r="C3161" t="s">
        <v>2596</v>
      </c>
      <c r="D3161" t="str">
        <f>[1]!EM_S_INFO_INDEX_EM(B3161,"1")</f>
        <v>电子设备</v>
      </c>
      <c r="E3161" s="4">
        <f t="shared" si="49"/>
        <v>43465</v>
      </c>
      <c r="F3161" s="11">
        <f>[1]!EM_S_PQ_PCTCHANGE(B3161,"2018-01-01","2019-12-31","3")</f>
        <v>13.22473924</v>
      </c>
      <c r="G3161" s="11">
        <f>[1]!EM_S_PQ_PCTCHANGE(B3161,"2018-12-31","2019-12-30","1")</f>
        <v>-25.703125</v>
      </c>
      <c r="H3161" s="11">
        <f>[1]!EM_S_FA_YOY_OR(B3161,E3161)</f>
        <v>11.3332223369</v>
      </c>
      <c r="I3161" s="11">
        <f>[1]!EM_S_FA_GROSSPROFITMARGIN(B3161,E3161)</f>
        <v>20.0108754856</v>
      </c>
      <c r="J3161" s="11">
        <f>[1]!EM_S_FA_NETPROFITMARGIN(B3161,E3161)</f>
        <v>10.8714754738</v>
      </c>
      <c r="K3161" s="10">
        <f>[1]!EM_S_FA_ASSETSTURN(B3161,E3161)</f>
        <v>0.48665008621900002</v>
      </c>
      <c r="L3161" s="12">
        <f>[1]!EM_HKS_VAL_MV(B3161,"2019-12-31","2")</f>
        <v>2583168000</v>
      </c>
      <c r="M3161">
        <f>[1]!EM_S_VAL_PETTMDEDUCTED(B3161,E3161)</f>
        <v>74.111796200087397</v>
      </c>
      <c r="N3161" s="7">
        <f>[1]!EM_S_VAL_PBGOODWILLDEDUCTED(B3161,E3161)</f>
        <v>4.3372605388377101</v>
      </c>
      <c r="O3161" s="7">
        <f>[1]!EM_S_VAL_PS_TTM(B3161,E3161)</f>
        <v>8.1233085683985298</v>
      </c>
      <c r="P3161" s="7">
        <f>[1]!EM_S_VAL_PCF_NCFTTM(B3161,E3161)</f>
        <v>-105.421015787595</v>
      </c>
      <c r="Q3161" s="7">
        <f>[1]!EM_S_VAL_DIVIDENDYIELD2(B3161,E3161,"2019-11-29")</f>
        <v>0.32379225488926305</v>
      </c>
      <c r="T3161"/>
      <c r="U3161">
        <f>[1]!EM_S_RATIO_EPS_TTM(B3161,E3161,"1")</f>
        <v>0.18051951729166668</v>
      </c>
      <c r="AT3161" s="4" t="str">
        <f>[1]!EM_S_IPO_LISTEDDATE(B3161)</f>
        <v>2016-08-12</v>
      </c>
    </row>
    <row r="3162" spans="1:46">
      <c r="A3162">
        <v>946</v>
      </c>
      <c r="B3162" t="str">
        <f>"002435"</f>
        <v>002435</v>
      </c>
      <c r="C3162" t="s">
        <v>1805</v>
      </c>
      <c r="D3162" t="str">
        <f>[1]!EM_S_INFO_INDEX_EM(B3162,"1")</f>
        <v>医药生物</v>
      </c>
      <c r="E3162" s="4">
        <f t="shared" si="49"/>
        <v>43465</v>
      </c>
      <c r="F3162" s="11">
        <f>[1]!EM_S_PQ_PCTCHANGE(B3162,"2018-01-01","2019-12-31","3")</f>
        <v>-38.867805099999998</v>
      </c>
      <c r="G3162" s="11">
        <f>[1]!EM_S_PQ_PCTCHANGE(B3162,"2018-12-31","2019-12-30","1")</f>
        <v>-25.708884690000001</v>
      </c>
      <c r="H3162" s="11">
        <f>[1]!EM_S_FA_YOY_OR(B3162,E3162)</f>
        <v>56.4726824476</v>
      </c>
      <c r="I3162" s="11">
        <f>[1]!EM_S_FA_GROSSPROFITMARGIN(B3162,E3162)</f>
        <v>61.731392857899998</v>
      </c>
      <c r="J3162" s="11">
        <f>[1]!EM_S_FA_NETPROFITMARGIN(B3162,E3162)</f>
        <v>8.4517562449000003</v>
      </c>
      <c r="K3162" s="10">
        <f>[1]!EM_S_FA_ASSETSTURN(B3162,E3162)</f>
        <v>0.62064126374299999</v>
      </c>
      <c r="L3162" s="12">
        <f>[1]!EM_HKS_VAL_MV(B3162,"2019-12-31","2")</f>
        <v>4943932080</v>
      </c>
      <c r="M3162">
        <f>[1]!EM_S_VAL_PETTMDEDUCTED(B3162,E3162)</f>
        <v>14.6266510738453</v>
      </c>
      <c r="N3162" s="7">
        <f>[1]!EM_S_VAL_PBGOODWILLDEDUCTED(B3162,E3162)</f>
        <v>1.6765088738441301</v>
      </c>
      <c r="O3162" s="7">
        <f>[1]!EM_S_VAL_PS_TTM(B3162,E3162)</f>
        <v>1.010756943966</v>
      </c>
      <c r="P3162" s="7">
        <f>[1]!EM_S_VAL_PCF_NCFTTM(B3162,E3162)</f>
        <v>31.468359098396899</v>
      </c>
      <c r="Q3162" s="7">
        <f>[1]!EM_S_VAL_DIVIDENDYIELD2(B3162,E3162,"2019-11-29")</f>
        <v>1.7271157167530224</v>
      </c>
      <c r="T3162"/>
      <c r="U3162">
        <f>[1]!EM_S_RATIO_EPS_TTM(B3162,E3162,"1")</f>
        <v>0.44003416902528153</v>
      </c>
      <c r="AT3162" s="4" t="str">
        <f>[1]!EM_S_IPO_LISTEDDATE(B3162)</f>
        <v>2010-06-18</v>
      </c>
    </row>
    <row r="3163" spans="1:46">
      <c r="A3163">
        <v>2597</v>
      </c>
      <c r="B3163" t="str">
        <f>"600516"</f>
        <v>600516</v>
      </c>
      <c r="C3163" t="s">
        <v>53</v>
      </c>
      <c r="D3163" t="str">
        <f>[1]!EM_S_INFO_INDEX_EM(B3163,"1")</f>
        <v>有色金属</v>
      </c>
      <c r="E3163" s="4">
        <f t="shared" si="49"/>
        <v>43465</v>
      </c>
      <c r="F3163" s="11">
        <f>[1]!EM_S_PQ_PCTCHANGE(B3163,"2018-01-01","2019-12-31","3")</f>
        <v>-33.098168379999997</v>
      </c>
      <c r="G3163" s="11">
        <f>[1]!EM_S_PQ_PCTCHANGE(B3163,"2018-12-31","2019-12-30","1")</f>
        <v>-25.792938360000001</v>
      </c>
      <c r="H3163" s="11">
        <f>[1]!EM_S_FA_YOY_OR(B3163,E3163)</f>
        <v>39.524432698699997</v>
      </c>
      <c r="I3163" s="11">
        <f>[1]!EM_S_FA_GROSSPROFITMARGIN(B3163,E3163)</f>
        <v>75.097798272800006</v>
      </c>
      <c r="J3163" s="11">
        <f>[1]!EM_S_FA_NETPROFITMARGIN(B3163,E3163)</f>
        <v>51.397117134699997</v>
      </c>
      <c r="K3163" s="10">
        <f>[1]!EM_S_FA_ASSETSTURN(B3163,E3163)</f>
        <v>0.77558701683599995</v>
      </c>
      <c r="L3163" s="12">
        <f>[1]!EM_HKS_VAL_MV(B3163,"2019-12-31","2")</f>
        <v>33057571198.080002</v>
      </c>
      <c r="M3163">
        <f>[1]!EM_S_VAL_PETTMDEDUCTED(B3163,E3163)</f>
        <v>4.9630193167099801</v>
      </c>
      <c r="N3163" s="7">
        <f>[1]!EM_S_VAL_PBGOODWILLDEDUCTED(B3163,E3163)</f>
        <v>2.3920129479485599</v>
      </c>
      <c r="O3163" s="7">
        <f>[1]!EM_S_VAL_PS_TTM(B3163,E3163)</f>
        <v>2.45600130579097</v>
      </c>
      <c r="P3163" s="7">
        <f>[1]!EM_S_VAL_PCF_NCFTTM(B3163,E3163)</f>
        <v>83.269913816211798</v>
      </c>
      <c r="Q3163" s="7">
        <f>[1]!EM_S_VAL_DIVIDENDYIELD2(B3163,E3163,"2019-11-29")</f>
        <v>0</v>
      </c>
      <c r="U3163">
        <f>[1]!EM_S_RATIO_EPS_TTM(B3163,E3163,"1")</f>
        <v>3.0944061015863698</v>
      </c>
      <c r="AT3163" s="4" t="str">
        <f>[1]!EM_S_IPO_LISTEDDATE(B3163)</f>
        <v>2002-08-30</v>
      </c>
    </row>
    <row r="3164" spans="1:46">
      <c r="A3164">
        <v>922</v>
      </c>
      <c r="B3164" t="str">
        <f>"002411"</f>
        <v>002411</v>
      </c>
      <c r="C3164" t="s">
        <v>1144</v>
      </c>
      <c r="D3164" t="str">
        <f>[1]!EM_S_INFO_INDEX_EM(B3164,"1")</f>
        <v>医药生物</v>
      </c>
      <c r="E3164" s="4">
        <f t="shared" si="49"/>
        <v>43465</v>
      </c>
      <c r="F3164" s="11">
        <f>[1]!EM_S_PQ_PCTCHANGE(B3164,"2018-01-01","2019-12-31","3")</f>
        <v>-41.187300329999999</v>
      </c>
      <c r="G3164" s="11">
        <f>[1]!EM_S_PQ_PCTCHANGE(B3164,"2018-12-31","2019-12-30","1")</f>
        <v>-25.948766599999999</v>
      </c>
      <c r="H3164" s="11">
        <f>[1]!EM_S_FA_YOY_OR(B3164,E3164)</f>
        <v>57.354662277800003</v>
      </c>
      <c r="I3164" s="11">
        <f>[1]!EM_S_FA_GROSSPROFITMARGIN(B3164,E3164)</f>
        <v>25.393787953699999</v>
      </c>
      <c r="J3164" s="11">
        <f>[1]!EM_S_FA_NETPROFITMARGIN(B3164,E3164)</f>
        <v>5.0425844437</v>
      </c>
      <c r="K3164" s="10">
        <f>[1]!EM_S_FA_ASSETSTURN(B3164,E3164)</f>
        <v>0.41691770473500001</v>
      </c>
      <c r="L3164" s="12">
        <f>[1]!EM_HKS_VAL_MV(B3164,"2019-12-31","2")</f>
        <v>23949597497.669998</v>
      </c>
      <c r="M3164">
        <f>[1]!EM_S_VAL_PETTMDEDUCTED(B3164,E3164)</f>
        <v>34.998047947693202</v>
      </c>
      <c r="N3164" s="7">
        <f>[1]!EM_S_VAL_PBGOODWILLDEDUCTED(B3164,E3164)</f>
        <v>4.2293437186023404</v>
      </c>
      <c r="O3164" s="7">
        <f>[1]!EM_S_VAL_PS_TTM(B3164,E3164)</f>
        <v>4.1519889305870104</v>
      </c>
      <c r="P3164" s="7">
        <f>[1]!EM_S_VAL_PCF_NCFTTM(B3164,E3164)</f>
        <v>-20.019797559066902</v>
      </c>
      <c r="Q3164" s="7">
        <f>[1]!EM_S_VAL_DIVIDENDYIELD2(B3164,E3164,"2019-11-29")</f>
        <v>0</v>
      </c>
      <c r="T3164"/>
      <c r="U3164">
        <f>[1]!EM_S_RATIO_EPS_TTM(B3164,E3164,"1")</f>
        <v>0.26378518586923305</v>
      </c>
      <c r="AT3164" s="4" t="str">
        <f>[1]!EM_S_IPO_LISTEDDATE(B3164)</f>
        <v>2010-05-25</v>
      </c>
    </row>
    <row r="3165" spans="1:46">
      <c r="A3165">
        <v>975</v>
      </c>
      <c r="B3165" t="str">
        <f>"002464"</f>
        <v>002464</v>
      </c>
      <c r="C3165" t="s">
        <v>387</v>
      </c>
      <c r="D3165" t="str">
        <f>[1]!EM_S_INFO_INDEX_EM(B3165,"1")</f>
        <v>互联网</v>
      </c>
      <c r="E3165" s="4">
        <f t="shared" si="49"/>
        <v>43465</v>
      </c>
      <c r="F3165" s="11">
        <f>[1]!EM_S_PQ_PCTCHANGE(B3165,"2018-01-01","2019-12-31","3")</f>
        <v>-49.331957449999997</v>
      </c>
      <c r="G3165" s="11">
        <f>[1]!EM_S_PQ_PCTCHANGE(B3165,"2018-12-31","2019-12-30","1")</f>
        <v>-25.977011489999999</v>
      </c>
      <c r="H3165" s="11">
        <f>[1]!EM_S_FA_YOY_OR(B3165,E3165)</f>
        <v>56.778360102800001</v>
      </c>
      <c r="I3165" s="11">
        <f>[1]!EM_S_FA_GROSSPROFITMARGIN(B3165,E3165)</f>
        <v>62.181175729899998</v>
      </c>
      <c r="J3165" s="11">
        <f>[1]!EM_S_FA_NETPROFITMARGIN(B3165,E3165)</f>
        <v>12.6853294209</v>
      </c>
      <c r="K3165" s="10">
        <f>[1]!EM_S_FA_ASSETSTURN(B3165,E3165)</f>
        <v>0.25656623216500002</v>
      </c>
      <c r="L3165" s="12">
        <f>[1]!EM_HKS_VAL_MV(B3165,"2019-12-31","2")</f>
        <v>3329048195.4400001</v>
      </c>
      <c r="M3165">
        <f>[1]!EM_S_VAL_PETTMDEDUCTED(B3165,E3165)</f>
        <v>-118.701500791684</v>
      </c>
      <c r="N3165" s="7">
        <f>[1]!EM_S_VAL_PBGOODWILLDEDUCTED(B3165,E3165)</f>
        <v>-4.3211564556370297</v>
      </c>
      <c r="O3165" s="7">
        <f>[1]!EM_S_VAL_PS_TTM(B3165,E3165)</f>
        <v>3.4977969603060899</v>
      </c>
      <c r="P3165" s="7">
        <f>[1]!EM_S_VAL_PCF_NCFTTM(B3165,E3165)</f>
        <v>-72.844172508975703</v>
      </c>
      <c r="Q3165" s="7">
        <f>[1]!EM_S_VAL_DIVIDENDYIELD2(B3165,E3165,"2019-11-29")</f>
        <v>0</v>
      </c>
      <c r="T3165"/>
      <c r="U3165">
        <f>[1]!EM_S_RATIO_EPS_TTM(B3165,E3165,"1")</f>
        <v>0.30794435808620563</v>
      </c>
      <c r="AT3165" s="4" t="str">
        <f>[1]!EM_S_IPO_LISTEDDATE(B3165)</f>
        <v>2010-08-31</v>
      </c>
    </row>
    <row r="3166" spans="1:46">
      <c r="A3166">
        <v>1475</v>
      </c>
      <c r="B3166" t="str">
        <f>"300049"</f>
        <v>300049</v>
      </c>
      <c r="C3166" t="s">
        <v>2549</v>
      </c>
      <c r="D3166" t="str">
        <f>[1]!EM_S_INFO_INDEX_EM(B3166,"1")</f>
        <v>医药生物</v>
      </c>
      <c r="E3166" s="4">
        <f t="shared" si="49"/>
        <v>43465</v>
      </c>
      <c r="F3166" s="11">
        <f>[1]!EM_S_PQ_PCTCHANGE(B3166,"2018-01-01","2019-12-31","3")</f>
        <v>-42.641509239999998</v>
      </c>
      <c r="G3166" s="11">
        <f>[1]!EM_S_PQ_PCTCHANGE(B3166,"2018-12-31","2019-12-30","1")</f>
        <v>-26.035502959999999</v>
      </c>
      <c r="H3166" s="11">
        <f>[1]!EM_S_FA_YOY_OR(B3166,E3166)</f>
        <v>5.3074614111000002</v>
      </c>
      <c r="I3166" s="11">
        <f>[1]!EM_S_FA_GROSSPROFITMARGIN(B3166,E3166)</f>
        <v>69.991397396400004</v>
      </c>
      <c r="J3166" s="11">
        <f>[1]!EM_S_FA_NETPROFITMARGIN(B3166,E3166)</f>
        <v>5.2103097389000004</v>
      </c>
      <c r="K3166" s="10">
        <f>[1]!EM_S_FA_ASSETSTURN(B3166,E3166)</f>
        <v>0.37397436320799998</v>
      </c>
      <c r="L3166" s="12">
        <f>[1]!EM_HKS_VAL_MV(B3166,"2019-12-31","2")</f>
        <v>1999203560</v>
      </c>
      <c r="M3166">
        <f>[1]!EM_S_VAL_PETTMDEDUCTED(B3166,E3166)</f>
        <v>31.4133584714276</v>
      </c>
      <c r="N3166" s="7">
        <f>[1]!EM_S_VAL_PBGOODWILLDEDUCTED(B3166,E3166)</f>
        <v>2.2300397379116799</v>
      </c>
      <c r="O3166" s="7">
        <f>[1]!EM_S_VAL_PS_TTM(B3166,E3166)</f>
        <v>3.1357339751664002</v>
      </c>
      <c r="P3166" s="7">
        <f>[1]!EM_S_VAL_PCF_NCFTTM(B3166,E3166)</f>
        <v>-4.5172565522540502</v>
      </c>
      <c r="Q3166" s="7">
        <f>[1]!EM_S_VAL_DIVIDENDYIELD2(B3166,E3166,"2019-11-29")</f>
        <v>0</v>
      </c>
      <c r="T3166"/>
      <c r="U3166">
        <f>[1]!EM_S_RATIO_EPS_TTM(B3166,E3166,"1")</f>
        <v>0.13463479825936284</v>
      </c>
      <c r="AT3166" s="4" t="str">
        <f>[1]!EM_S_IPO_LISTEDDATE(B3166)</f>
        <v>2010-01-20</v>
      </c>
    </row>
    <row r="3167" spans="1:46">
      <c r="A3167">
        <v>1054</v>
      </c>
      <c r="B3167" t="str">
        <f>"002543"</f>
        <v>002543</v>
      </c>
      <c r="C3167" t="s">
        <v>329</v>
      </c>
      <c r="D3167" t="str">
        <f>[1]!EM_S_INFO_INDEX_EM(B3167,"1")</f>
        <v>家电</v>
      </c>
      <c r="E3167" s="4">
        <f t="shared" si="49"/>
        <v>43465</v>
      </c>
      <c r="F3167" s="11">
        <f>[1]!EM_S_PQ_PCTCHANGE(B3167,"2018-01-01","2019-12-31","3")</f>
        <v>-25.147542349999998</v>
      </c>
      <c r="G3167" s="11">
        <f>[1]!EM_S_PQ_PCTCHANGE(B3167,"2018-12-31","2019-12-30","1")</f>
        <v>-26.070038910000001</v>
      </c>
      <c r="H3167" s="11">
        <f>[1]!EM_S_FA_YOY_OR(B3167,E3167)</f>
        <v>5.8471504863000003</v>
      </c>
      <c r="I3167" s="11">
        <f>[1]!EM_S_FA_GROSSPROFITMARGIN(B3167,E3167)</f>
        <v>29.291087260299999</v>
      </c>
      <c r="J3167" s="11">
        <f>[1]!EM_S_FA_NETPROFITMARGIN(B3167,E3167)</f>
        <v>7.1562796841000003</v>
      </c>
      <c r="K3167" s="10">
        <f>[1]!EM_S_FA_ASSETSTURN(B3167,E3167)</f>
        <v>1.03895842888</v>
      </c>
      <c r="L3167" s="12">
        <f>[1]!EM_HKS_VAL_MV(B3167,"2019-12-31","2")</f>
        <v>7116252000</v>
      </c>
      <c r="M3167">
        <f>[1]!EM_S_VAL_PETTMDEDUCTED(B3167,E3167)</f>
        <v>16.709094546529801</v>
      </c>
      <c r="N3167" s="7">
        <f>[1]!EM_S_VAL_PBGOODWILLDEDUCTED(B3167,E3167)</f>
        <v>2.2376080982834301</v>
      </c>
      <c r="O3167" s="7">
        <f>[1]!EM_S_VAL_PS_TTM(B3167,E3167)</f>
        <v>1.0265792624623999</v>
      </c>
      <c r="P3167" s="7">
        <f>[1]!EM_S_VAL_PCF_NCFTTM(B3167,E3167)</f>
        <v>-42.374760305158098</v>
      </c>
      <c r="Q3167" s="7">
        <f>[1]!EM_S_VAL_DIVIDENDYIELD2(B3167,E3167,"2019-11-29")</f>
        <v>3.6549086272843181</v>
      </c>
      <c r="T3167"/>
      <c r="U3167">
        <f>[1]!EM_S_RATIO_EPS_TTM(B3167,E3167,"1")</f>
        <v>0.85475873926573431</v>
      </c>
      <c r="AT3167" s="4" t="str">
        <f>[1]!EM_S_IPO_LISTEDDATE(B3167)</f>
        <v>2011-01-28</v>
      </c>
    </row>
    <row r="3168" spans="1:46">
      <c r="A3168">
        <v>877</v>
      </c>
      <c r="B3168" t="str">
        <f>"002366"</f>
        <v>002366</v>
      </c>
      <c r="C3168" t="s">
        <v>176</v>
      </c>
      <c r="D3168" t="str">
        <f>[1]!EM_S_INFO_INDEX_EM(B3168,"1")</f>
        <v>机械设备</v>
      </c>
      <c r="E3168" s="4">
        <f t="shared" si="49"/>
        <v>43465</v>
      </c>
      <c r="F3168" s="11">
        <f>[1]!EM_S_PQ_PCTCHANGE(B3168,"2018-01-01","2019-12-31","3")</f>
        <v>-73.242226029999998</v>
      </c>
      <c r="G3168" s="11">
        <f>[1]!EM_S_PQ_PCTCHANGE(B3168,"2018-12-31","2019-12-30","1")</f>
        <v>-26.119402990000001</v>
      </c>
      <c r="H3168" s="11">
        <f>[1]!EM_S_FA_YOY_OR(B3168,E3168)</f>
        <v>-44.138817362899999</v>
      </c>
      <c r="I3168" s="11">
        <f>[1]!EM_S_FA_GROSSPROFITMARGIN(B3168,E3168)</f>
        <v>61.277127234300004</v>
      </c>
      <c r="J3168" s="11">
        <f>[1]!EM_S_FA_NETPROFITMARGIN(B3168,E3168)</f>
        <v>24.6297759835</v>
      </c>
      <c r="K3168" s="10">
        <f>[1]!EM_S_FA_ASSETSTURN(B3168,E3168)</f>
        <v>0.193161945822</v>
      </c>
      <c r="L3168" s="12">
        <f>[1]!EM_HKS_VAL_MV(B3168,"2019-12-31","2")</f>
        <v>6034719156</v>
      </c>
      <c r="M3168">
        <f>[1]!EM_S_VAL_PETTMDEDUCTED(B3168,E3168)</f>
        <v>12.541760012448499</v>
      </c>
      <c r="N3168" s="7">
        <f>[1]!EM_S_VAL_PBGOODWILLDEDUCTED(B3168,E3168)</f>
        <v>2.7168888653586198</v>
      </c>
      <c r="O3168" s="7">
        <f>[1]!EM_S_VAL_PS_TTM(B3168,E3168)</f>
        <v>4.2766137686248404</v>
      </c>
      <c r="P3168" s="7">
        <f>[1]!EM_S_VAL_PCF_NCFTTM(B3168,E3168)</f>
        <v>-68.234187780117594</v>
      </c>
      <c r="Q3168" s="7">
        <f>[1]!EM_S_VAL_DIVIDENDYIELD2(B3168,E3168,"2019-11-29")</f>
        <v>0.55873925501432664</v>
      </c>
      <c r="T3168"/>
      <c r="U3168">
        <f>[1]!EM_S_RATIO_EPS_TTM(B3168,E3168,"1")</f>
        <v>0.38704186576585736</v>
      </c>
      <c r="AT3168" s="4" t="str">
        <f>[1]!EM_S_IPO_LISTEDDATE(B3168)</f>
        <v>2010-03-12</v>
      </c>
    </row>
    <row r="3169" spans="1:46">
      <c r="A3169">
        <v>2362</v>
      </c>
      <c r="B3169" t="str">
        <f>"600228"</f>
        <v>600228</v>
      </c>
      <c r="C3169" t="s">
        <v>2528</v>
      </c>
      <c r="D3169" t="str">
        <f>[1]!EM_S_INFO_INDEX_EM(B3169,"1")</f>
        <v>基础化工</v>
      </c>
      <c r="E3169" s="4">
        <f t="shared" si="49"/>
        <v>43465</v>
      </c>
      <c r="F3169" s="11">
        <f>[1]!EM_S_PQ_PCTCHANGE(B3169,"2018-01-01","2019-12-31","3")</f>
        <v>-44.74845543</v>
      </c>
      <c r="G3169" s="11">
        <f>[1]!EM_S_PQ_PCTCHANGE(B3169,"2018-12-31","2019-12-30","1")</f>
        <v>-26.184834120000001</v>
      </c>
      <c r="H3169" s="11">
        <f>[1]!EM_S_FA_YOY_OR(B3169,E3169)</f>
        <v>-4.4738850776000003</v>
      </c>
      <c r="I3169" s="11">
        <f>[1]!EM_S_FA_GROSSPROFITMARGIN(B3169,E3169)</f>
        <v>16.541261425599998</v>
      </c>
      <c r="J3169" s="11">
        <f>[1]!EM_S_FA_NETPROFITMARGIN(B3169,E3169)</f>
        <v>2.5593885274999999</v>
      </c>
      <c r="K3169" s="10">
        <f>[1]!EM_S_FA_ASSETSTURN(B3169,E3169)</f>
        <v>1.748743804626</v>
      </c>
      <c r="L3169" s="12">
        <f>[1]!EM_HKS_VAL_MV(B3169,"2019-12-31","2")</f>
        <v>1510663200</v>
      </c>
      <c r="M3169">
        <f>[1]!EM_S_VAL_PETTMDEDUCTED(B3169,E3169)</f>
        <v>-105.057582448703</v>
      </c>
      <c r="N3169" s="7">
        <f>[1]!EM_S_VAL_PBGOODWILLDEDUCTED(B3169,E3169)</f>
        <v>33.275027385520197</v>
      </c>
      <c r="O3169" s="7">
        <f>[1]!EM_S_VAL_PS_TTM(B3169,E3169)</f>
        <v>3.6303336131415298</v>
      </c>
      <c r="P3169" s="7">
        <f>[1]!EM_S_VAL_PCF_NCFTTM(B3169,E3169)</f>
        <v>121.985392463116</v>
      </c>
      <c r="Q3169" s="7">
        <f>[1]!EM_S_VAL_DIVIDENDYIELD2(B3169,E3169,"2019-11-29")</f>
        <v>0</v>
      </c>
      <c r="T3169"/>
      <c r="U3169">
        <f>[1]!EM_S_RATIO_EPS_TTM(B3169,E3169,"1")</f>
        <v>3.3209422882479696E-2</v>
      </c>
      <c r="AT3169" s="4" t="str">
        <f>[1]!EM_S_IPO_LISTEDDATE(B3169)</f>
        <v>1999-01-19</v>
      </c>
    </row>
    <row r="3170" spans="1:46">
      <c r="A3170">
        <v>2158</v>
      </c>
      <c r="B3170" t="str">
        <f>"300746"</f>
        <v>300746</v>
      </c>
      <c r="C3170" t="s">
        <v>1398</v>
      </c>
      <c r="D3170" t="str">
        <f>[1]!EM_S_INFO_INDEX_EM(B3170,"1")</f>
        <v>休闲、生活及专业服务</v>
      </c>
      <c r="E3170" s="4">
        <f t="shared" si="49"/>
        <v>43465</v>
      </c>
      <c r="F3170" s="11">
        <f>[1]!EM_S_PQ_PCTCHANGE(B3170,"2018-01-01","2019-12-31","3")</f>
        <v>144.27286133999999</v>
      </c>
      <c r="G3170" s="11">
        <f>[1]!EM_S_PQ_PCTCHANGE(B3170,"2018-12-31","2019-12-30","1")</f>
        <v>-26.198257080000001</v>
      </c>
      <c r="H3170" s="11">
        <f>[1]!EM_S_FA_YOY_OR(B3170,E3170)</f>
        <v>30.073730713100002</v>
      </c>
      <c r="I3170" s="11">
        <f>[1]!EM_S_FA_GROSSPROFITMARGIN(B3170,E3170)</f>
        <v>20.184434964899999</v>
      </c>
      <c r="J3170" s="11">
        <f>[1]!EM_S_FA_NETPROFITMARGIN(B3170,E3170)</f>
        <v>8.0321250434000007</v>
      </c>
      <c r="K3170" s="10">
        <f>[1]!EM_S_FA_ASSETSTURN(B3170,E3170)</f>
        <v>0.93853978171200003</v>
      </c>
      <c r="L3170" s="12">
        <f>[1]!EM_HKS_VAL_MV(B3170,"2019-12-31","2")</f>
        <v>3085842943.7600002</v>
      </c>
      <c r="M3170">
        <f>[1]!EM_S_VAL_PETTMDEDUCTED(B3170,E3170)</f>
        <v>61.134989157133901</v>
      </c>
      <c r="N3170" s="7">
        <f>[1]!EM_S_VAL_PBGOODWILLDEDUCTED(B3170,E3170)</f>
        <v>4.2347738766485499</v>
      </c>
      <c r="O3170" s="7">
        <f>[1]!EM_S_VAL_PS_TTM(B3170,E3170)</f>
        <v>4.285117533697</v>
      </c>
      <c r="P3170" s="7">
        <f>[1]!EM_S_VAL_PCF_NCFTTM(B3170,E3170)</f>
        <v>45.051139471139798</v>
      </c>
      <c r="Q3170" s="7">
        <f>[1]!EM_S_VAL_DIVIDENDYIELD2(B3170,E3170,"2019-11-29")</f>
        <v>0.52510006748878557</v>
      </c>
      <c r="T3170"/>
      <c r="U3170">
        <f>[1]!EM_S_RATIO_EPS_TTM(B3170,E3170,"1")</f>
        <v>0.35957253350760454</v>
      </c>
      <c r="AT3170" s="4" t="str">
        <f>[1]!EM_S_IPO_LISTEDDATE(B3170)</f>
        <v>2018-05-25</v>
      </c>
    </row>
    <row r="3171" spans="1:46">
      <c r="A3171">
        <v>2053</v>
      </c>
      <c r="B3171" t="str">
        <f>"300634"</f>
        <v>300634</v>
      </c>
      <c r="C3171" t="s">
        <v>1039</v>
      </c>
      <c r="D3171" t="str">
        <f>[1]!EM_S_INFO_INDEX_EM(B3171,"1")</f>
        <v>信息技术</v>
      </c>
      <c r="E3171" s="4">
        <f t="shared" si="49"/>
        <v>43465</v>
      </c>
      <c r="F3171" s="11">
        <f>[1]!EM_S_PQ_PCTCHANGE(B3171,"2018-01-01","2019-12-31","3")</f>
        <v>152.74619586</v>
      </c>
      <c r="G3171" s="11">
        <f>[1]!EM_S_PQ_PCTCHANGE(B3171,"2018-12-31","2019-12-30","1")</f>
        <v>-26.225387520000002</v>
      </c>
      <c r="H3171" s="11">
        <f>[1]!EM_S_FA_YOY_OR(B3171,E3171)</f>
        <v>24.1764836798</v>
      </c>
      <c r="I3171" s="11">
        <f>[1]!EM_S_FA_GROSSPROFITMARGIN(B3171,E3171)</f>
        <v>44.379710405200001</v>
      </c>
      <c r="J3171" s="11">
        <f>[1]!EM_S_FA_NETPROFITMARGIN(B3171,E3171)</f>
        <v>21.921630972199999</v>
      </c>
      <c r="K3171" s="10">
        <f>[1]!EM_S_FA_ASSETSTURN(B3171,E3171)</f>
        <v>0.56869259162300001</v>
      </c>
      <c r="L3171" s="12">
        <f>[1]!EM_HKS_VAL_MV(B3171,"2019-12-31","2")</f>
        <v>7224180600</v>
      </c>
      <c r="M3171">
        <f>[1]!EM_S_VAL_PETTMDEDUCTED(B3171,E3171)</f>
        <v>71.121898507568304</v>
      </c>
      <c r="N3171" s="7">
        <f>[1]!EM_S_VAL_PBGOODWILLDEDUCTED(B3171,E3171)</f>
        <v>7.9893141055426904</v>
      </c>
      <c r="O3171" s="7">
        <f>[1]!EM_S_VAL_PS_TTM(B3171,E3171)</f>
        <v>12.830638118231199</v>
      </c>
      <c r="P3171" s="7">
        <f>[1]!EM_S_VAL_PCF_NCFTTM(B3171,E3171)</f>
        <v>-378.96485981950502</v>
      </c>
      <c r="Q3171" s="7">
        <f>[1]!EM_S_VAL_DIVIDENDYIELD2(B3171,E3171,"2019-11-29")</f>
        <v>0.48192771084337355</v>
      </c>
      <c r="T3171"/>
      <c r="U3171">
        <f>[1]!EM_S_RATIO_EPS_TTM(B3171,E3171,"1")</f>
        <v>0.39636168173295666</v>
      </c>
      <c r="AT3171" s="4" t="str">
        <f>[1]!EM_S_IPO_LISTEDDATE(B3171)</f>
        <v>2018-03-23</v>
      </c>
    </row>
    <row r="3172" spans="1:46">
      <c r="A3172">
        <v>1489</v>
      </c>
      <c r="B3172" t="str">
        <f>"300064"</f>
        <v>300064</v>
      </c>
      <c r="C3172" t="s">
        <v>1698</v>
      </c>
      <c r="D3172" t="str">
        <f>[1]!EM_S_INFO_INDEX_EM(B3172,"1")</f>
        <v>有色金属</v>
      </c>
      <c r="E3172" s="4">
        <f t="shared" si="49"/>
        <v>43465</v>
      </c>
      <c r="F3172" s="11">
        <f>[1]!EM_S_PQ_PCTCHANGE(B3172,"2018-01-01","2019-12-31","3")</f>
        <v>-76.27917626</v>
      </c>
      <c r="G3172" s="11">
        <f>[1]!EM_S_PQ_PCTCHANGE(B3172,"2018-12-31","2019-12-30","1")</f>
        <v>-26.23318386</v>
      </c>
      <c r="H3172" s="11">
        <f>[1]!EM_S_FA_YOY_OR(B3172,E3172)</f>
        <v>-19.089085933700002</v>
      </c>
      <c r="I3172" s="11">
        <f>[1]!EM_S_FA_GROSSPROFITMARGIN(B3172,E3172)</f>
        <v>33.284821686900003</v>
      </c>
      <c r="J3172" s="11">
        <f>[1]!EM_S_FA_NETPROFITMARGIN(B3172,E3172)</f>
        <v>7.4470524515000003</v>
      </c>
      <c r="K3172" s="10">
        <f>[1]!EM_S_FA_ASSETSTURN(B3172,E3172)</f>
        <v>0.132737649253</v>
      </c>
      <c r="L3172" s="12">
        <f>[1]!EM_HKS_VAL_MV(B3172,"2019-12-31","2")</f>
        <v>3978072763.5</v>
      </c>
      <c r="M3172">
        <f>[1]!EM_S_VAL_PETTMDEDUCTED(B3172,E3172)</f>
        <v>27.206907173716001</v>
      </c>
      <c r="N3172" s="7">
        <f>[1]!EM_S_VAL_PBGOODWILLDEDUCTED(B3172,E3172)</f>
        <v>0.77504550054178101</v>
      </c>
      <c r="O3172" s="7">
        <f>[1]!EM_S_VAL_PS_TTM(B3172,E3172)</f>
        <v>3.3008519299015799</v>
      </c>
      <c r="P3172" s="7">
        <f>[1]!EM_S_VAL_PCF_NCFTTM(B3172,E3172)</f>
        <v>-66.388508730853005</v>
      </c>
      <c r="Q3172" s="7">
        <f>[1]!EM_S_VAL_DIVIDENDYIELD2(B3172,E3172,"2019-11-29")</f>
        <v>0.43613707165109045</v>
      </c>
      <c r="T3172"/>
      <c r="U3172">
        <f>[1]!EM_S_RATIO_EPS_TTM(B3172,E3172,"1")</f>
        <v>7.9918613144040349E-2</v>
      </c>
      <c r="AT3172" s="4" t="str">
        <f>[1]!EM_S_IPO_LISTEDDATE(B3172)</f>
        <v>2010-03-26</v>
      </c>
    </row>
    <row r="3173" spans="1:46">
      <c r="A3173">
        <v>2023</v>
      </c>
      <c r="B3173" t="str">
        <f>"300603"</f>
        <v>300603</v>
      </c>
      <c r="C3173" t="s">
        <v>3432</v>
      </c>
      <c r="D3173" t="str">
        <f>[1]!EM_S_INFO_INDEX_EM(B3173,"1")</f>
        <v>信息技术</v>
      </c>
      <c r="E3173" s="4">
        <f t="shared" si="49"/>
        <v>43465</v>
      </c>
      <c r="F3173" s="11">
        <f>[1]!EM_S_PQ_PCTCHANGE(B3173,"2018-01-01","2019-12-31","3")</f>
        <v>-16.398651350000002</v>
      </c>
      <c r="G3173" s="11">
        <f>[1]!EM_S_PQ_PCTCHANGE(B3173,"2018-12-31","2019-12-30","1")</f>
        <v>-26.278290030000001</v>
      </c>
      <c r="H3173" s="11">
        <f>[1]!EM_S_FA_YOY_OR(B3173,E3173)</f>
        <v>-31.2864525486</v>
      </c>
      <c r="I3173" s="11">
        <f>[1]!EM_S_FA_GROSSPROFITMARGIN(B3173,E3173)</f>
        <v>25.894751610499998</v>
      </c>
      <c r="J3173" s="11">
        <f>[1]!EM_S_FA_NETPROFITMARGIN(B3173,E3173)</f>
        <v>6.1839654881000001</v>
      </c>
      <c r="K3173" s="10">
        <f>[1]!EM_S_FA_ASSETSTURN(B3173,E3173)</f>
        <v>0.48226370718299999</v>
      </c>
      <c r="L3173" s="12">
        <f>[1]!EM_HKS_VAL_MV(B3173,"2019-12-31","2")</f>
        <v>4943786614.2200003</v>
      </c>
      <c r="M3173">
        <f>[1]!EM_S_VAL_PETTMDEDUCTED(B3173,E3173)</f>
        <v>48.783687352990903</v>
      </c>
      <c r="N3173" s="7">
        <f>[1]!EM_S_VAL_PBGOODWILLDEDUCTED(B3173,E3173)</f>
        <v>5.3388948252500397</v>
      </c>
      <c r="O3173" s="7">
        <f>[1]!EM_S_VAL_PS_TTM(B3173,E3173)</f>
        <v>3.21577164728251</v>
      </c>
      <c r="P3173" s="7">
        <f>[1]!EM_S_VAL_PCF_NCFTTM(B3173,E3173)</f>
        <v>-54.206252371922503</v>
      </c>
      <c r="Q3173" s="7">
        <f>[1]!EM_S_VAL_DIVIDENDYIELD2(B3173,E3173,"2019-11-29")</f>
        <v>0.33291891642247484</v>
      </c>
      <c r="T3173"/>
      <c r="U3173">
        <f>[1]!EM_S_RATIO_EPS_TTM(B3173,E3173,"1")</f>
        <v>0.4034488660487805</v>
      </c>
      <c r="AT3173" s="4" t="str">
        <f>[1]!EM_S_IPO_LISTEDDATE(B3173)</f>
        <v>2017-01-26</v>
      </c>
    </row>
    <row r="3174" spans="1:46">
      <c r="A3174">
        <v>1258</v>
      </c>
      <c r="B3174" t="str">
        <f>"002749"</f>
        <v>002749</v>
      </c>
      <c r="C3174" t="s">
        <v>235</v>
      </c>
      <c r="D3174" t="str">
        <f>[1]!EM_S_INFO_INDEX_EM(B3174,"1")</f>
        <v>基础化工</v>
      </c>
      <c r="E3174" s="4">
        <f t="shared" si="49"/>
        <v>43465</v>
      </c>
      <c r="F3174" s="11">
        <f>[1]!EM_S_PQ_PCTCHANGE(B3174,"2018-01-01","2019-12-31","3")</f>
        <v>-2.0737205699999999</v>
      </c>
      <c r="G3174" s="11">
        <f>[1]!EM_S_PQ_PCTCHANGE(B3174,"2018-12-31","2019-12-30","1")</f>
        <v>-26.340057640000001</v>
      </c>
      <c r="H3174" s="11">
        <f>[1]!EM_S_FA_YOY_OR(B3174,E3174)</f>
        <v>17.373195172100001</v>
      </c>
      <c r="I3174" s="11">
        <f>[1]!EM_S_FA_GROSSPROFITMARGIN(B3174,E3174)</f>
        <v>48.812587196400003</v>
      </c>
      <c r="J3174" s="11">
        <f>[1]!EM_S_FA_NETPROFITMARGIN(B3174,E3174)</f>
        <v>27.106980564899999</v>
      </c>
      <c r="K3174" s="10">
        <f>[1]!EM_S_FA_ASSETSTURN(B3174,E3174)</f>
        <v>0.82002663232899997</v>
      </c>
      <c r="L3174" s="12">
        <f>[1]!EM_HKS_VAL_MV(B3174,"2019-12-31","2")</f>
        <v>4595525369.4200001</v>
      </c>
      <c r="M3174">
        <f>[1]!EM_S_VAL_PETTMDEDUCTED(B3174,E3174)</f>
        <v>19.132750655596499</v>
      </c>
      <c r="N3174" s="7">
        <f>[1]!EM_S_VAL_PBGOODWILLDEDUCTED(B3174,E3174)</f>
        <v>4.0125575566960503</v>
      </c>
      <c r="O3174" s="7">
        <f>[1]!EM_S_VAL_PS_TTM(B3174,E3174)</f>
        <v>4.62181132284603</v>
      </c>
      <c r="P3174" s="7">
        <f>[1]!EM_S_VAL_PCF_NCFTTM(B3174,E3174)</f>
        <v>-173.759202900551</v>
      </c>
      <c r="Q3174" s="7">
        <f>[1]!EM_S_VAL_DIVIDENDYIELD2(B3174,E3174,"2019-11-29")</f>
        <v>1.2553409887221267</v>
      </c>
      <c r="T3174"/>
      <c r="U3174">
        <f>[1]!EM_S_RATIO_EPS_TTM(B3174,E3174,"1")</f>
        <v>1.0696276110367875</v>
      </c>
      <c r="AT3174" s="4" t="str">
        <f>[1]!EM_S_IPO_LISTEDDATE(B3174)</f>
        <v>2015-03-20</v>
      </c>
    </row>
    <row r="3175" spans="1:46">
      <c r="A3175">
        <v>1170</v>
      </c>
      <c r="B3175" t="str">
        <f>"002659"</f>
        <v>002659</v>
      </c>
      <c r="C3175" t="s">
        <v>3450</v>
      </c>
      <c r="D3175" t="str">
        <f>[1]!EM_S_INFO_INDEX_EM(B3175,"1")</f>
        <v>文化传媒</v>
      </c>
      <c r="E3175" s="4">
        <f t="shared" si="49"/>
        <v>43465</v>
      </c>
      <c r="F3175" s="11">
        <f>[1]!EM_S_PQ_PCTCHANGE(B3175,"2018-01-01","2019-12-31","3")</f>
        <v>-50.436854650000001</v>
      </c>
      <c r="G3175" s="11">
        <f>[1]!EM_S_PQ_PCTCHANGE(B3175,"2018-12-31","2019-12-30","1")</f>
        <v>-26.340882000000001</v>
      </c>
      <c r="H3175" s="11">
        <f>[1]!EM_S_FA_YOY_OR(B3175,E3175)</f>
        <v>-61.0142753238</v>
      </c>
      <c r="I3175" s="11">
        <f>[1]!EM_S_FA_GROSSPROFITMARGIN(B3175,E3175)</f>
        <v>-6.7543884008999999</v>
      </c>
      <c r="J3175" s="11">
        <f>[1]!EM_S_FA_NETPROFITMARGIN(B3175,E3175)</f>
        <v>-39.1006708058</v>
      </c>
      <c r="K3175" s="10">
        <f>[1]!EM_S_FA_ASSETSTURN(B3175,E3175)</f>
        <v>6.9543035577999998E-2</v>
      </c>
      <c r="L3175" s="12">
        <f>[1]!EM_HKS_VAL_MV(B3175,"2019-12-31","2")</f>
        <v>3111057998.8800001</v>
      </c>
      <c r="M3175">
        <f>[1]!EM_S_VAL_PETTMDEDUCTED(B3175,E3175)</f>
        <v>-47.506956285798502</v>
      </c>
      <c r="N3175" s="7">
        <f>[1]!EM_S_VAL_PBGOODWILLDEDUCTED(B3175,E3175)</f>
        <v>2.2111843633157</v>
      </c>
      <c r="O3175" s="7">
        <f>[1]!EM_S_VAL_PS_TTM(B3175,E3175)</f>
        <v>12.7365811104044</v>
      </c>
      <c r="P3175" s="7">
        <f>[1]!EM_S_VAL_PCF_NCFTTM(B3175,E3175)</f>
        <v>10.3132852540638</v>
      </c>
      <c r="Q3175" s="7">
        <f>[1]!EM_S_VAL_DIVIDENDYIELD2(B3175,E3175,"2019-11-29")</f>
        <v>0</v>
      </c>
      <c r="T3175"/>
      <c r="U3175">
        <f>[1]!EM_S_RATIO_EPS_TTM(B3175,E3175,"1")</f>
        <v>-0.19647145359425894</v>
      </c>
      <c r="AT3175" s="4" t="str">
        <f>[1]!EM_S_IPO_LISTEDDATE(B3175)</f>
        <v>2012-03-09</v>
      </c>
    </row>
    <row r="3176" spans="1:46">
      <c r="A3176">
        <v>2266</v>
      </c>
      <c r="B3176" t="str">
        <f>"600119"</f>
        <v>600119</v>
      </c>
      <c r="C3176" t="s">
        <v>3026</v>
      </c>
      <c r="D3176" t="str">
        <f>[1]!EM_S_INFO_INDEX_EM(B3176,"1")</f>
        <v>交通运输</v>
      </c>
      <c r="E3176" s="4">
        <f t="shared" si="49"/>
        <v>43465</v>
      </c>
      <c r="F3176" s="11">
        <f>[1]!EM_S_PQ_PCTCHANGE(B3176,"2018-01-01","2019-12-31","3")</f>
        <v>-60.233918129999999</v>
      </c>
      <c r="G3176" s="11">
        <f>[1]!EM_S_PQ_PCTCHANGE(B3176,"2018-12-31","2019-12-30","1")</f>
        <v>-26.466575720000002</v>
      </c>
      <c r="H3176" s="11">
        <f>[1]!EM_S_FA_YOY_OR(B3176,E3176)</f>
        <v>-63.8782338607</v>
      </c>
      <c r="I3176" s="11">
        <f>[1]!EM_S_FA_GROSSPROFITMARGIN(B3176,E3176)</f>
        <v>13.425459339</v>
      </c>
      <c r="J3176" s="11">
        <f>[1]!EM_S_FA_NETPROFITMARGIN(B3176,E3176)</f>
        <v>-68.123707598600006</v>
      </c>
      <c r="K3176" s="10">
        <f>[1]!EM_S_FA_ASSETSTURN(B3176,E3176)</f>
        <v>0.56085897246799998</v>
      </c>
      <c r="L3176" s="12">
        <f>[1]!EM_HKS_VAL_MV(B3176,"2019-12-31","2")</f>
        <v>1672256000</v>
      </c>
      <c r="M3176">
        <f>[1]!EM_S_VAL_PETTMDEDUCTED(B3176,E3176)</f>
        <v>-5.1128052897419396</v>
      </c>
      <c r="N3176" s="7">
        <f>[1]!EM_S_VAL_PBGOODWILLDEDUCTED(B3176,E3176)</f>
        <v>-45.878202989384</v>
      </c>
      <c r="O3176" s="7">
        <f>[1]!EM_S_VAL_PS_TTM(B3176,E3176)</f>
        <v>1.5935514059767499</v>
      </c>
      <c r="P3176" s="7">
        <f>[1]!EM_S_VAL_PCF_NCFTTM(B3176,E3176)</f>
        <v>-11.595727679513899</v>
      </c>
      <c r="Q3176" s="7">
        <f>[1]!EM_S_VAL_DIVIDENDYIELD2(B3176,E3176,"2019-11-29")</f>
        <v>0</v>
      </c>
      <c r="T3176"/>
      <c r="U3176">
        <f>[1]!EM_S_RATIO_EPS_TTM(B3176,E3176,"1")</f>
        <v>-2.1933979992192585</v>
      </c>
      <c r="AT3176" s="4" t="str">
        <f>[1]!EM_S_IPO_LISTEDDATE(B3176)</f>
        <v>1998-01-15</v>
      </c>
    </row>
    <row r="3177" spans="1:46">
      <c r="A3177">
        <v>3505</v>
      </c>
      <c r="B3177" t="str">
        <f>"603706"</f>
        <v>603706</v>
      </c>
      <c r="C3177" t="s">
        <v>51</v>
      </c>
      <c r="D3177" t="str">
        <f>[1]!EM_S_INFO_INDEX_EM(B3177,"1")</f>
        <v>公用事业</v>
      </c>
      <c r="E3177" s="4">
        <f t="shared" si="49"/>
        <v>43465</v>
      </c>
      <c r="F3177" s="11">
        <f>[1]!EM_S_PQ_PCTCHANGE(B3177,"2018-01-01","2019-12-31","3")</f>
        <v>55.346353280000002</v>
      </c>
      <c r="G3177" s="11">
        <f>[1]!EM_S_PQ_PCTCHANGE(B3177,"2018-12-31","2019-12-30","1")</f>
        <v>-26.520771509999999</v>
      </c>
      <c r="H3177" s="11">
        <f>[1]!EM_S_FA_YOY_OR(B3177,E3177)</f>
        <v>-5.7769965445000002</v>
      </c>
      <c r="I3177" s="11">
        <f>[1]!EM_S_FA_GROSSPROFITMARGIN(B3177,E3177)</f>
        <v>37.394618004199998</v>
      </c>
      <c r="J3177" s="11">
        <f>[1]!EM_S_FA_NETPROFITMARGIN(B3177,E3177)</f>
        <v>22.3646535337</v>
      </c>
      <c r="K3177" s="10">
        <f>[1]!EM_S_FA_ASSETSTURN(B3177,E3177)</f>
        <v>0.39320064856300002</v>
      </c>
      <c r="L3177" s="12">
        <f>[1]!EM_HKS_VAL_MV(B3177,"2019-12-31","2")</f>
        <v>3201600000</v>
      </c>
      <c r="M3177">
        <f>[1]!EM_S_VAL_PETTMDEDUCTED(B3177,E3177)</f>
        <v>63.160582430842098</v>
      </c>
      <c r="N3177" s="7">
        <f>[1]!EM_S_VAL_PBGOODWILLDEDUCTED(B3177,E3177)</f>
        <v>3.89436051749807</v>
      </c>
      <c r="O3177" s="7">
        <f>[1]!EM_S_VAL_PS_TTM(B3177,E3177)</f>
        <v>10.7930046067115</v>
      </c>
      <c r="P3177" s="7">
        <f>[1]!EM_S_VAL_PCF_NCFTTM(B3177,E3177)</f>
        <v>63.174007472543998</v>
      </c>
      <c r="Q3177" s="7">
        <f>[1]!EM_S_VAL_DIVIDENDYIELD2(B3177,E3177,"2019-11-29")</f>
        <v>1.7318159327065807</v>
      </c>
      <c r="T3177"/>
      <c r="U3177">
        <f>[1]!EM_S_RATIO_EPS_TTM(B3177,E3177,"1")</f>
        <v>0.58674961612499998</v>
      </c>
      <c r="AT3177" s="4" t="str">
        <f>[1]!EM_S_IPO_LISTEDDATE(B3177)</f>
        <v>2018-07-09</v>
      </c>
    </row>
    <row r="3178" spans="1:46">
      <c r="A3178">
        <v>2127</v>
      </c>
      <c r="B3178" t="str">
        <f>"300711"</f>
        <v>300711</v>
      </c>
      <c r="C3178" t="s">
        <v>3388</v>
      </c>
      <c r="D3178" t="str">
        <f>[1]!EM_S_INFO_INDEX_EM(B3178,"1")</f>
        <v>信息技术</v>
      </c>
      <c r="E3178" s="4">
        <f t="shared" si="49"/>
        <v>43465</v>
      </c>
      <c r="F3178" s="11">
        <f>[1]!EM_S_PQ_PCTCHANGE(B3178,"2018-01-01","2019-12-31","3")</f>
        <v>-35.858940339999997</v>
      </c>
      <c r="G3178" s="11">
        <f>[1]!EM_S_PQ_PCTCHANGE(B3178,"2018-12-31","2019-12-30","1")</f>
        <v>-26.527494910000001</v>
      </c>
      <c r="H3178" s="11">
        <f>[1]!EM_S_FA_YOY_OR(B3178,E3178)</f>
        <v>-23.1644224295</v>
      </c>
      <c r="I3178" s="11">
        <f>[1]!EM_S_FA_GROSSPROFITMARGIN(B3178,E3178)</f>
        <v>48.193310941699998</v>
      </c>
      <c r="J3178" s="11">
        <f>[1]!EM_S_FA_NETPROFITMARGIN(B3178,E3178)</f>
        <v>7.7819795546000003</v>
      </c>
      <c r="K3178" s="10">
        <f>[1]!EM_S_FA_ASSETSTURN(B3178,E3178)</f>
        <v>0.31451422346899999</v>
      </c>
      <c r="L3178" s="12">
        <f>[1]!EM_HKS_VAL_MV(B3178,"2019-12-31","2")</f>
        <v>2474402559.1999998</v>
      </c>
      <c r="M3178">
        <f>[1]!EM_S_VAL_PETTMDEDUCTED(B3178,E3178)</f>
        <v>111.70533105719301</v>
      </c>
      <c r="N3178" s="7">
        <f>[1]!EM_S_VAL_PBGOODWILLDEDUCTED(B3178,E3178)</f>
        <v>5.0622377639807299</v>
      </c>
      <c r="O3178" s="7">
        <f>[1]!EM_S_VAL_PS_TTM(B3178,E3178)</f>
        <v>13.086502790080401</v>
      </c>
      <c r="P3178" s="7">
        <f>[1]!EM_S_VAL_PCF_NCFTTM(B3178,E3178)</f>
        <v>14.6814954738284</v>
      </c>
      <c r="Q3178" s="7">
        <f>[1]!EM_S_VAL_DIVIDENDYIELD2(B3178,E3178,"2019-11-29")</f>
        <v>0.17271157247380631</v>
      </c>
      <c r="T3178"/>
      <c r="U3178">
        <f>[1]!EM_S_RATIO_EPS_TTM(B3178,E3178,"1")</f>
        <v>0.10832145741065662</v>
      </c>
      <c r="AT3178" s="4" t="str">
        <f>[1]!EM_S_IPO_LISTEDDATE(B3178)</f>
        <v>2017-11-01</v>
      </c>
    </row>
    <row r="3179" spans="1:46">
      <c r="A3179">
        <v>3499</v>
      </c>
      <c r="B3179" t="str">
        <f>"603693"</f>
        <v>603693</v>
      </c>
      <c r="C3179" t="s">
        <v>767</v>
      </c>
      <c r="D3179" t="str">
        <f>[1]!EM_S_INFO_INDEX_EM(B3179,"1")</f>
        <v>公用事业</v>
      </c>
      <c r="E3179" s="4">
        <f t="shared" si="49"/>
        <v>43465</v>
      </c>
      <c r="F3179" s="11">
        <f>[1]!EM_S_PQ_PCTCHANGE(B3179,"2018-01-01","2019-12-31","3")</f>
        <v>16.648355850000002</v>
      </c>
      <c r="G3179" s="11">
        <f>[1]!EM_S_PQ_PCTCHANGE(B3179,"2018-12-31","2019-12-30","1")</f>
        <v>-26.540971720000002</v>
      </c>
      <c r="H3179" s="11">
        <f>[1]!EM_S_FA_YOY_OR(B3179,E3179)</f>
        <v>3.8878232880999999</v>
      </c>
      <c r="I3179" s="11">
        <f>[1]!EM_S_FA_GROSSPROFITMARGIN(B3179,E3179)</f>
        <v>41.244985671099997</v>
      </c>
      <c r="J3179" s="11">
        <f>[1]!EM_S_FA_NETPROFITMARGIN(B3179,E3179)</f>
        <v>24.520445812199998</v>
      </c>
      <c r="K3179" s="10">
        <f>[1]!EM_S_FA_ASSETSTURN(B3179,E3179)</f>
        <v>0.19521208393799999</v>
      </c>
      <c r="L3179" s="12">
        <f>[1]!EM_HKS_VAL_MV(B3179,"2019-12-31","2")</f>
        <v>6291240000</v>
      </c>
      <c r="M3179">
        <f>[1]!EM_S_VAL_PETTMDEDUCTED(B3179,E3179)</f>
        <v>23.131859665472099</v>
      </c>
      <c r="N3179" s="7">
        <f>[1]!EM_S_VAL_PBGOODWILLDEDUCTED(B3179,E3179)</f>
        <v>1.90994319693837</v>
      </c>
      <c r="O3179" s="7">
        <f>[1]!EM_S_VAL_PS_TTM(B3179,E3179)</f>
        <v>5.6512097870337996</v>
      </c>
      <c r="P3179" s="7">
        <f>[1]!EM_S_VAL_PCF_NCFTTM(B3179,E3179)</f>
        <v>7.4056965655987304</v>
      </c>
      <c r="Q3179" s="7">
        <f>[1]!EM_S_VAL_DIVIDENDYIELD2(B3179,E3179,"2019-11-29")</f>
        <v>2.0703933747412009</v>
      </c>
      <c r="T3179"/>
      <c r="U3179">
        <f>[1]!EM_S_RATIO_EPS_TTM(B3179,E3179,"1")</f>
        <v>0.50912865634304205</v>
      </c>
      <c r="AT3179" s="4" t="str">
        <f>[1]!EM_S_IPO_LISTEDDATE(B3179)</f>
        <v>2018-07-03</v>
      </c>
    </row>
    <row r="3180" spans="1:46">
      <c r="A3180">
        <v>1383</v>
      </c>
      <c r="B3180" t="str">
        <f>"002884"</f>
        <v>002884</v>
      </c>
      <c r="C3180" t="s">
        <v>704</v>
      </c>
      <c r="D3180" t="str">
        <f>[1]!EM_S_INFO_INDEX_EM(B3180,"1")</f>
        <v>机械设备</v>
      </c>
      <c r="E3180" s="4">
        <f t="shared" si="49"/>
        <v>43465</v>
      </c>
      <c r="F3180" s="11">
        <f>[1]!EM_S_PQ_PCTCHANGE(B3180,"2018-01-01","2019-12-31","3")</f>
        <v>-21.346676779999999</v>
      </c>
      <c r="G3180" s="11">
        <f>[1]!EM_S_PQ_PCTCHANGE(B3180,"2018-12-31","2019-12-30","1")</f>
        <v>-26.579835989999999</v>
      </c>
      <c r="H3180" s="11">
        <f>[1]!EM_S_FA_YOY_OR(B3180,E3180)</f>
        <v>12.273477592500001</v>
      </c>
      <c r="I3180" s="11">
        <f>[1]!EM_S_FA_GROSSPROFITMARGIN(B3180,E3180)</f>
        <v>29.553260568700001</v>
      </c>
      <c r="J3180" s="11">
        <f>[1]!EM_S_FA_NETPROFITMARGIN(B3180,E3180)</f>
        <v>20.207102725799999</v>
      </c>
      <c r="K3180" s="10">
        <f>[1]!EM_S_FA_ASSETSTURN(B3180,E3180)</f>
        <v>0.80589142771400002</v>
      </c>
      <c r="L3180" s="12">
        <f>[1]!EM_HKS_VAL_MV(B3180,"2019-12-31","2")</f>
        <v>2909570619.5999999</v>
      </c>
      <c r="M3180">
        <f>[1]!EM_S_VAL_PETTMDEDUCTED(B3180,E3180)</f>
        <v>14.358917497064301</v>
      </c>
      <c r="N3180" s="7">
        <f>[1]!EM_S_VAL_PBGOODWILLDEDUCTED(B3180,E3180)</f>
        <v>1.9364655734598</v>
      </c>
      <c r="O3180" s="7">
        <f>[1]!EM_S_VAL_PS_TTM(B3180,E3180)</f>
        <v>2.3869993688553399</v>
      </c>
      <c r="P3180" s="7">
        <f>[1]!EM_S_VAL_PCF_NCFTTM(B3180,E3180)</f>
        <v>-18.9919686399003</v>
      </c>
      <c r="Q3180" s="7">
        <f>[1]!EM_S_VAL_DIVIDENDYIELD2(B3180,E3180,"2019-11-29")</f>
        <v>6.8480643089286115</v>
      </c>
      <c r="T3180"/>
      <c r="U3180">
        <f>[1]!EM_S_RATIO_EPS_TTM(B3180,E3180,"1")</f>
        <v>1.8004667962598426</v>
      </c>
      <c r="AT3180" s="4" t="str">
        <f>[1]!EM_S_IPO_LISTEDDATE(B3180)</f>
        <v>2017-07-11</v>
      </c>
    </row>
    <row r="3181" spans="1:46">
      <c r="A3181">
        <v>1873</v>
      </c>
      <c r="B3181" t="str">
        <f>"300448"</f>
        <v>300448</v>
      </c>
      <c r="C3181" t="s">
        <v>2628</v>
      </c>
      <c r="D3181" t="str">
        <f>[1]!EM_S_INFO_INDEX_EM(B3181,"1")</f>
        <v>信息技术</v>
      </c>
      <c r="E3181" s="4">
        <f t="shared" si="49"/>
        <v>43465</v>
      </c>
      <c r="F3181" s="11">
        <f>[1]!EM_S_PQ_PCTCHANGE(B3181,"2018-01-01","2019-12-31","3")</f>
        <v>6.4842275999999996</v>
      </c>
      <c r="G3181" s="11">
        <f>[1]!EM_S_PQ_PCTCHANGE(B3181,"2018-12-31","2019-12-30","1")</f>
        <v>-26.595744679999999</v>
      </c>
      <c r="H3181" s="11">
        <f>[1]!EM_S_FA_YOY_OR(B3181,E3181)</f>
        <v>34.311833403000001</v>
      </c>
      <c r="I3181" s="11">
        <f>[1]!EM_S_FA_GROSSPROFITMARGIN(B3181,E3181)</f>
        <v>46.460784155399999</v>
      </c>
      <c r="J3181" s="11">
        <f>[1]!EM_S_FA_NETPROFITMARGIN(B3181,E3181)</f>
        <v>20.660198011799999</v>
      </c>
      <c r="K3181" s="10">
        <f>[1]!EM_S_FA_ASSETSTURN(B3181,E3181)</f>
        <v>0.51720680784899997</v>
      </c>
      <c r="L3181" s="12">
        <f>[1]!EM_HKS_VAL_MV(B3181,"2019-12-31","2")</f>
        <v>5261642746.3999996</v>
      </c>
      <c r="M3181">
        <f>[1]!EM_S_VAL_PETTMDEDUCTED(B3181,E3181)</f>
        <v>37.645033686199099</v>
      </c>
      <c r="N3181" s="7">
        <f>[1]!EM_S_VAL_PBGOODWILLDEDUCTED(B3181,E3181)</f>
        <v>3.66784230309537</v>
      </c>
      <c r="O3181" s="7">
        <f>[1]!EM_S_VAL_PS_TTM(B3181,E3181)</f>
        <v>6.4367442060865896</v>
      </c>
      <c r="P3181" s="7">
        <f>[1]!EM_S_VAL_PCF_NCFTTM(B3181,E3181)</f>
        <v>64.862209674150904</v>
      </c>
      <c r="Q3181" s="7">
        <f>[1]!EM_S_VAL_DIVIDENDYIELD2(B3181,E3181,"2019-11-29")</f>
        <v>0.40183506633085569</v>
      </c>
      <c r="T3181"/>
      <c r="U3181">
        <f>[1]!EM_S_RATIO_EPS_TTM(B3181,E3181,"1")</f>
        <v>0.34327712012379946</v>
      </c>
      <c r="AT3181" s="4" t="str">
        <f>[1]!EM_S_IPO_LISTEDDATE(B3181)</f>
        <v>2015-04-24</v>
      </c>
    </row>
    <row r="3182" spans="1:46">
      <c r="A3182">
        <v>820</v>
      </c>
      <c r="B3182" t="str">
        <f>"002309"</f>
        <v>002309</v>
      </c>
      <c r="C3182" t="s">
        <v>2910</v>
      </c>
      <c r="D3182" t="str">
        <f>[1]!EM_S_INFO_INDEX_EM(B3182,"1")</f>
        <v>电气设备</v>
      </c>
      <c r="E3182" s="4">
        <f t="shared" si="49"/>
        <v>43465</v>
      </c>
      <c r="F3182" s="11">
        <f>[1]!EM_S_PQ_PCTCHANGE(B3182,"2018-01-01","2019-12-31","3")</f>
        <v>-58.068314979999997</v>
      </c>
      <c r="G3182" s="11">
        <f>[1]!EM_S_PQ_PCTCHANGE(B3182,"2018-12-31","2019-12-30","1")</f>
        <v>-26.618705039999998</v>
      </c>
      <c r="H3182" s="11">
        <f>[1]!EM_S_FA_YOY_OR(B3182,E3182)</f>
        <v>-13.848400623</v>
      </c>
      <c r="I3182" s="11">
        <f>[1]!EM_S_FA_GROSSPROFITMARGIN(B3182,E3182)</f>
        <v>18.797695496599999</v>
      </c>
      <c r="J3182" s="11">
        <f>[1]!EM_S_FA_NETPROFITMARGIN(B3182,E3182)</f>
        <v>-1.2407733620000001</v>
      </c>
      <c r="K3182" s="10">
        <f>[1]!EM_S_FA_ASSETSTURN(B3182,E3182)</f>
        <v>0.58270165736299995</v>
      </c>
      <c r="L3182" s="12">
        <f>[1]!EM_HKS_VAL_MV(B3182,"2019-12-31","2")</f>
        <v>5361490468.1999998</v>
      </c>
      <c r="M3182">
        <f>[1]!EM_S_VAL_PETTMDEDUCTED(B3182,E3182)</f>
        <v>33.227719793370603</v>
      </c>
      <c r="N3182" s="7">
        <f>[1]!EM_S_VAL_PBGOODWILLDEDUCTED(B3182,E3182)</f>
        <v>0.85016018617266198</v>
      </c>
      <c r="O3182" s="7">
        <f>[1]!EM_S_VAL_PS_TTM(B3182,E3182)</f>
        <v>0.37255350577162399</v>
      </c>
      <c r="P3182" s="7">
        <f>[1]!EM_S_VAL_PCF_NCFTTM(B3182,E3182)</f>
        <v>18.818883540558801</v>
      </c>
      <c r="Q3182" s="7">
        <f>[1]!EM_S_VAL_DIVIDENDYIELD2(B3182,E3182,"2019-11-29")</f>
        <v>0</v>
      </c>
      <c r="T3182"/>
      <c r="U3182">
        <f>[1]!EM_S_RATIO_EPS_TTM(B3182,E3182,"1")</f>
        <v>-0.33031037498711779</v>
      </c>
      <c r="AT3182" s="4" t="str">
        <f>[1]!EM_S_IPO_LISTEDDATE(B3182)</f>
        <v>2009-11-27</v>
      </c>
    </row>
    <row r="3183" spans="1:46">
      <c r="A3183">
        <v>3432</v>
      </c>
      <c r="B3183" t="str">
        <f>"603559"</f>
        <v>603559</v>
      </c>
      <c r="C3183" t="s">
        <v>3024</v>
      </c>
      <c r="D3183" t="str">
        <f>[1]!EM_S_INFO_INDEX_EM(B3183,"1")</f>
        <v>信息技术</v>
      </c>
      <c r="E3183" s="4">
        <f t="shared" si="49"/>
        <v>43465</v>
      </c>
      <c r="F3183" s="11">
        <f>[1]!EM_S_PQ_PCTCHANGE(B3183,"2018-01-01","2019-12-31","3")</f>
        <v>-53.819254540000003</v>
      </c>
      <c r="G3183" s="11">
        <f>[1]!EM_S_PQ_PCTCHANGE(B3183,"2018-12-31","2019-12-30","1")</f>
        <v>-26.713751559999999</v>
      </c>
      <c r="H3183" s="11">
        <f>[1]!EM_S_FA_YOY_OR(B3183,E3183)</f>
        <v>33.1263808048</v>
      </c>
      <c r="I3183" s="11">
        <f>[1]!EM_S_FA_GROSSPROFITMARGIN(B3183,E3183)</f>
        <v>19.8384517601</v>
      </c>
      <c r="J3183" s="11">
        <f>[1]!EM_S_FA_NETPROFITMARGIN(B3183,E3183)</f>
        <v>6.7776169001</v>
      </c>
      <c r="K3183" s="10">
        <f>[1]!EM_S_FA_ASSETSTURN(B3183,E3183)</f>
        <v>0.57975702862099998</v>
      </c>
      <c r="L3183" s="12">
        <f>[1]!EM_HKS_VAL_MV(B3183,"2019-12-31","2")</f>
        <v>2549541952.5300002</v>
      </c>
      <c r="M3183">
        <f>[1]!EM_S_VAL_PETTMDEDUCTED(B3183,E3183)</f>
        <v>129.270204888265</v>
      </c>
      <c r="N3183" s="7">
        <f>[1]!EM_S_VAL_PBGOODWILLDEDUCTED(B3183,E3183)</f>
        <v>6.3813643228900698</v>
      </c>
      <c r="O3183" s="7">
        <f>[1]!EM_S_VAL_PS_TTM(B3183,E3183)</f>
        <v>5.8095076733478299</v>
      </c>
      <c r="P3183" s="7">
        <f>[1]!EM_S_VAL_PCF_NCFTTM(B3183,E3183)</f>
        <v>61.1491575103096</v>
      </c>
      <c r="Q3183" s="7">
        <f>[1]!EM_S_VAL_DIVIDENDYIELD2(B3183,E3183,"2019-11-29")</f>
        <v>0.13071895424836602</v>
      </c>
      <c r="T3183"/>
      <c r="U3183">
        <f>[1]!EM_S_RATIO_EPS_TTM(B3183,E3183,"1")</f>
        <v>0.34383873895167244</v>
      </c>
      <c r="AT3183" s="4" t="str">
        <f>[1]!EM_S_IPO_LISTEDDATE(B3183)</f>
        <v>2016-12-02</v>
      </c>
    </row>
    <row r="3184" spans="1:46">
      <c r="A3184">
        <v>2147</v>
      </c>
      <c r="B3184" t="str">
        <f>"300733"</f>
        <v>300733</v>
      </c>
      <c r="C3184" t="s">
        <v>1253</v>
      </c>
      <c r="D3184" t="str">
        <f>[1]!EM_S_INFO_INDEX_EM(B3184,"1")</f>
        <v>交运设备</v>
      </c>
      <c r="E3184" s="4">
        <f t="shared" si="49"/>
        <v>43465</v>
      </c>
      <c r="F3184" s="11">
        <f>[1]!EM_S_PQ_PCTCHANGE(B3184,"2018-01-01","2019-12-31","3")</f>
        <v>-8.5121233899999993</v>
      </c>
      <c r="G3184" s="11">
        <f>[1]!EM_S_PQ_PCTCHANGE(B3184,"2018-12-31","2019-12-30","1")</f>
        <v>-27.04402516</v>
      </c>
      <c r="H3184" s="11">
        <f>[1]!EM_S_FA_YOY_OR(B3184,E3184)</f>
        <v>-15.4058179342</v>
      </c>
      <c r="I3184" s="11">
        <f>[1]!EM_S_FA_GROSSPROFITMARGIN(B3184,E3184)</f>
        <v>28.3311312644</v>
      </c>
      <c r="J3184" s="11">
        <f>[1]!EM_S_FA_NETPROFITMARGIN(B3184,E3184)</f>
        <v>12.7987514124</v>
      </c>
      <c r="K3184" s="10">
        <f>[1]!EM_S_FA_ASSETSTURN(B3184,E3184)</f>
        <v>0.41063110236900002</v>
      </c>
      <c r="L3184" s="12">
        <f>[1]!EM_HKS_VAL_MV(B3184,"2019-12-31","2")</f>
        <v>1856000000</v>
      </c>
      <c r="M3184">
        <f>[1]!EM_S_VAL_PETTMDEDUCTED(B3184,E3184)</f>
        <v>36.255644697117297</v>
      </c>
      <c r="N3184" s="7">
        <f>[1]!EM_S_VAL_PBGOODWILLDEDUCTED(B3184,E3184)</f>
        <v>2.2349267692928301</v>
      </c>
      <c r="O3184" s="7">
        <f>[1]!EM_S_VAL_PS_TTM(B3184,E3184)</f>
        <v>4.3823432988604702</v>
      </c>
      <c r="P3184" s="7">
        <f>[1]!EM_S_VAL_PCF_NCFTTM(B3184,E3184)</f>
        <v>71.828646806685995</v>
      </c>
      <c r="Q3184" s="7">
        <f>[1]!EM_S_VAL_DIVIDENDYIELD2(B3184,E3184,"2019-11-29")</f>
        <v>1.1220825852782765</v>
      </c>
      <c r="T3184"/>
      <c r="U3184">
        <f>[1]!EM_S_RATIO_EPS_TTM(B3184,E3184,"1")</f>
        <v>0.41679751668750004</v>
      </c>
      <c r="AT3184" s="4" t="str">
        <f>[1]!EM_S_IPO_LISTEDDATE(B3184)</f>
        <v>2018-01-16</v>
      </c>
    </row>
    <row r="3185" spans="1:46">
      <c r="A3185">
        <v>2823</v>
      </c>
      <c r="B3185" t="str">
        <f>"600750"</f>
        <v>600750</v>
      </c>
      <c r="C3185" t="s">
        <v>511</v>
      </c>
      <c r="D3185" t="str">
        <f>[1]!EM_S_INFO_INDEX_EM(B3185,"1")</f>
        <v>医药生物</v>
      </c>
      <c r="E3185" s="4">
        <f t="shared" si="49"/>
        <v>43465</v>
      </c>
      <c r="F3185" s="11">
        <f>[1]!EM_S_PQ_PCTCHANGE(B3185,"2018-01-01","2019-12-31","3")</f>
        <v>-10.4552628</v>
      </c>
      <c r="G3185" s="11">
        <f>[1]!EM_S_PQ_PCTCHANGE(B3185,"2018-12-31","2019-12-30","1")</f>
        <v>-27.170702890000001</v>
      </c>
      <c r="H3185" s="11">
        <f>[1]!EM_S_FA_YOY_OR(B3185,E3185)</f>
        <v>0.49159994099999998</v>
      </c>
      <c r="I3185" s="11">
        <f>[1]!EM_S_FA_GROSSPROFITMARGIN(B3185,E3185)</f>
        <v>67.447766624300002</v>
      </c>
      <c r="J3185" s="11">
        <f>[1]!EM_S_FA_NETPROFITMARGIN(B3185,E3185)</f>
        <v>26.790381243300001</v>
      </c>
      <c r="K3185" s="10">
        <f>[1]!EM_S_FA_ASSETSTURN(B3185,E3185)</f>
        <v>0.48884860407800002</v>
      </c>
      <c r="L3185" s="12">
        <f>[1]!EM_HKS_VAL_MV(B3185,"2019-12-31","2")</f>
        <v>6578250000</v>
      </c>
      <c r="M3185">
        <f>[1]!EM_S_VAL_PETTMDEDUCTED(B3185,E3185)</f>
        <v>16.100676740322498</v>
      </c>
      <c r="N3185" s="7">
        <f>[1]!EM_S_VAL_PBGOODWILLDEDUCTED(B3185,E3185)</f>
        <v>2.1856600674129001</v>
      </c>
      <c r="O3185" s="7">
        <f>[1]!EM_S_VAL_PS_TTM(B3185,E3185)</f>
        <v>4.1088756886391504</v>
      </c>
      <c r="P3185" s="7">
        <f>[1]!EM_S_VAL_PCF_NCFTTM(B3185,E3185)</f>
        <v>42.227148765009701</v>
      </c>
      <c r="Q3185" s="7">
        <f>[1]!EM_S_VAL_DIVIDENDYIELD2(B3185,E3185,"2019-11-29")</f>
        <v>2.2969647251845777</v>
      </c>
      <c r="T3185"/>
      <c r="U3185">
        <f>[1]!EM_S_RATIO_EPS_TTM(B3185,E3185,"1")</f>
        <v>1.1196386306666666</v>
      </c>
      <c r="AT3185" s="4" t="str">
        <f>[1]!EM_S_IPO_LISTEDDATE(B3185)</f>
        <v>1996-09-23</v>
      </c>
    </row>
    <row r="3186" spans="1:46">
      <c r="A3186">
        <v>2806</v>
      </c>
      <c r="B3186" t="str">
        <f>"600733"</f>
        <v>600733</v>
      </c>
      <c r="C3186" t="s">
        <v>3413</v>
      </c>
      <c r="D3186" t="str">
        <f>[1]!EM_S_INFO_INDEX_EM(B3186,"1")</f>
        <v>交运设备</v>
      </c>
      <c r="E3186" s="4">
        <f t="shared" si="49"/>
        <v>43465</v>
      </c>
      <c r="F3186" s="11">
        <f>[1]!EM_S_PQ_PCTCHANGE(B3186,"2018-01-01","2019-12-31","3")</f>
        <v>-59.25504102</v>
      </c>
      <c r="G3186" s="11">
        <f>[1]!EM_S_PQ_PCTCHANGE(B3186,"2018-12-31","2019-12-30","1")</f>
        <v>-27.261306529999999</v>
      </c>
      <c r="H3186" s="11">
        <f>[1]!EM_S_FA_YOY_OR(B3186,E3186)</f>
        <v>43.020372207100003</v>
      </c>
      <c r="I3186" s="11">
        <f>[1]!EM_S_FA_GROSSPROFITMARGIN(B3186,E3186)</f>
        <v>11.796027546299999</v>
      </c>
      <c r="J3186" s="11">
        <f>[1]!EM_S_FA_NETPROFITMARGIN(B3186,E3186)</f>
        <v>0.87762719239999998</v>
      </c>
      <c r="K3186" s="10">
        <f>[1]!EM_S_FA_ASSETSTURN(B3186,E3186)</f>
        <v>0.75259934246000004</v>
      </c>
      <c r="L3186" s="12">
        <f>[1]!EM_HKS_VAL_MV(B3186,"2019-12-31","2")</f>
        <v>20402970528.080002</v>
      </c>
      <c r="M3186">
        <f>[1]!EM_S_VAL_PETTMDEDUCTED(B3186,E3186)</f>
        <v>1091.7003260096001</v>
      </c>
      <c r="N3186" s="7">
        <f>[1]!EM_S_VAL_PBGOODWILLDEDUCTED(B3186,E3186)</f>
        <v>1.64255020837954</v>
      </c>
      <c r="O3186" s="7">
        <f>[1]!EM_S_VAL_PS_TTM(B3186,E3186)</f>
        <v>6.9757367896702496</v>
      </c>
      <c r="P3186" s="7">
        <f>[1]!EM_S_VAL_PCF_NCFTTM(B3186,E3186)</f>
        <v>-5.2847031646878104</v>
      </c>
      <c r="Q3186" s="7">
        <f>[1]!EM_S_VAL_DIVIDENDYIELD2(B3186,E3186,"2019-11-29")</f>
        <v>0</v>
      </c>
      <c r="T3186"/>
      <c r="U3186">
        <f>[1]!EM_S_RATIO_EPS_TTM(B3186,E3186,"1")</f>
        <v>4.6242707004472298E-2</v>
      </c>
      <c r="AT3186" s="4" t="str">
        <f>[1]!EM_S_IPO_LISTEDDATE(B3186)</f>
        <v>1996-08-16</v>
      </c>
    </row>
    <row r="3187" spans="1:46">
      <c r="A3187">
        <v>1394</v>
      </c>
      <c r="B3187" t="str">
        <f>"002896"</f>
        <v>002896</v>
      </c>
      <c r="C3187" t="s">
        <v>1141</v>
      </c>
      <c r="D3187" t="str">
        <f>[1]!EM_S_INFO_INDEX_EM(B3187,"1")</f>
        <v>机械设备</v>
      </c>
      <c r="E3187" s="4">
        <f t="shared" si="49"/>
        <v>43465</v>
      </c>
      <c r="F3187" s="11">
        <f>[1]!EM_S_PQ_PCTCHANGE(B3187,"2018-01-01","2019-12-31","3")</f>
        <v>-47.874450320000001</v>
      </c>
      <c r="G3187" s="11">
        <f>[1]!EM_S_PQ_PCTCHANGE(B3187,"2018-12-31","2019-12-30","1")</f>
        <v>-27.263969169999999</v>
      </c>
      <c r="H3187" s="11">
        <f>[1]!EM_S_FA_YOY_OR(B3187,E3187)</f>
        <v>20.2636056411</v>
      </c>
      <c r="I3187" s="11">
        <f>[1]!EM_S_FA_GROSSPROFITMARGIN(B3187,E3187)</f>
        <v>30.058689381899999</v>
      </c>
      <c r="J3187" s="11">
        <f>[1]!EM_S_FA_NETPROFITMARGIN(B3187,E3187)</f>
        <v>12.157502514600001</v>
      </c>
      <c r="K3187" s="10">
        <f>[1]!EM_S_FA_ASSETSTURN(B3187,E3187)</f>
        <v>0.69744924288200005</v>
      </c>
      <c r="L3187" s="12">
        <f>[1]!EM_HKS_VAL_MV(B3187,"2019-12-31","2")</f>
        <v>1758400000</v>
      </c>
      <c r="M3187">
        <f>[1]!EM_S_VAL_PETTMDEDUCTED(B3187,E3187)</f>
        <v>40.912730735280903</v>
      </c>
      <c r="N3187" s="7">
        <f>[1]!EM_S_VAL_PBGOODWILLDEDUCTED(B3187,E3187)</f>
        <v>4.2207953034539996</v>
      </c>
      <c r="O3187" s="7">
        <f>[1]!EM_S_VAL_PS_TTM(B3187,E3187)</f>
        <v>4.3162065461691199</v>
      </c>
      <c r="P3187" s="7">
        <f>[1]!EM_S_VAL_PCF_NCFTTM(B3187,E3187)</f>
        <v>-14.3309716600571</v>
      </c>
      <c r="Q3187" s="7">
        <f>[1]!EM_S_VAL_DIVIDENDYIELD2(B3187,E3187,"2019-11-29")</f>
        <v>0.75757575757575757</v>
      </c>
      <c r="T3187"/>
      <c r="U3187">
        <f>[1]!EM_S_RATIO_EPS_TTM(B3187,E3187,"1")</f>
        <v>0.91095302150000002</v>
      </c>
      <c r="AT3187" s="4" t="str">
        <f>[1]!EM_S_IPO_LISTEDDATE(B3187)</f>
        <v>2017-08-29</v>
      </c>
    </row>
    <row r="3188" spans="1:46">
      <c r="A3188">
        <v>1935</v>
      </c>
      <c r="B3188" t="str">
        <f>"300510"</f>
        <v>300510</v>
      </c>
      <c r="C3188" t="s">
        <v>2491</v>
      </c>
      <c r="D3188" t="str">
        <f>[1]!EM_S_INFO_INDEX_EM(B3188,"1")</f>
        <v>电气设备</v>
      </c>
      <c r="E3188" s="4">
        <f t="shared" si="49"/>
        <v>43465</v>
      </c>
      <c r="F3188" s="11">
        <f>[1]!EM_S_PQ_PCTCHANGE(B3188,"2018-01-01","2019-12-31","3")</f>
        <v>-23.243280989999999</v>
      </c>
      <c r="G3188" s="11">
        <f>[1]!EM_S_PQ_PCTCHANGE(B3188,"2018-12-31","2019-12-30","1")</f>
        <v>-27.44886975</v>
      </c>
      <c r="H3188" s="11">
        <f>[1]!EM_S_FA_YOY_OR(B3188,E3188)</f>
        <v>67.534918335300006</v>
      </c>
      <c r="I3188" s="11">
        <f>[1]!EM_S_FA_GROSSPROFITMARGIN(B3188,E3188)</f>
        <v>36.023379492099998</v>
      </c>
      <c r="J3188" s="11">
        <f>[1]!EM_S_FA_NETPROFITMARGIN(B3188,E3188)</f>
        <v>15.9627672909</v>
      </c>
      <c r="K3188" s="10">
        <f>[1]!EM_S_FA_ASSETSTURN(B3188,E3188)</f>
        <v>0.29584763716700002</v>
      </c>
      <c r="L3188" s="12">
        <f>[1]!EM_HKS_VAL_MV(B3188,"2019-12-31","2")</f>
        <v>6180194888</v>
      </c>
      <c r="M3188">
        <f>[1]!EM_S_VAL_PETTMDEDUCTED(B3188,E3188)</f>
        <v>35.883590307817002</v>
      </c>
      <c r="N3188" s="7">
        <f>[1]!EM_S_VAL_PBGOODWILLDEDUCTED(B3188,E3188)</f>
        <v>2.3089117545616298</v>
      </c>
      <c r="O3188" s="7">
        <f>[1]!EM_S_VAL_PS_TTM(B3188,E3188)</f>
        <v>4.42346764329693</v>
      </c>
      <c r="P3188" s="7">
        <f>[1]!EM_S_VAL_PCF_NCFTTM(B3188,E3188)</f>
        <v>64.237071735170403</v>
      </c>
      <c r="Q3188" s="7">
        <f>[1]!EM_S_VAL_DIVIDENDYIELD2(B3188,E3188,"2019-11-29")</f>
        <v>0.55602583941913353</v>
      </c>
      <c r="T3188"/>
      <c r="U3188">
        <f>[1]!EM_S_RATIO_EPS_TTM(B3188,E3188,"1")</f>
        <v>0.37397337513988493</v>
      </c>
      <c r="AT3188" s="4" t="str">
        <f>[1]!EM_S_IPO_LISTEDDATE(B3188)</f>
        <v>2016-05-06</v>
      </c>
    </row>
    <row r="3189" spans="1:46">
      <c r="A3189">
        <v>1697</v>
      </c>
      <c r="B3189" t="str">
        <f>"300272"</f>
        <v>300272</v>
      </c>
      <c r="C3189" t="s">
        <v>41</v>
      </c>
      <c r="D3189" t="str">
        <f>[1]!EM_S_INFO_INDEX_EM(B3189,"1")</f>
        <v>机械设备</v>
      </c>
      <c r="E3189" s="4">
        <f t="shared" si="49"/>
        <v>43465</v>
      </c>
      <c r="F3189" s="11">
        <f>[1]!EM_S_PQ_PCTCHANGE(B3189,"2018-01-01","2019-12-31","3")</f>
        <v>-20.42713882</v>
      </c>
      <c r="G3189" s="11">
        <f>[1]!EM_S_PQ_PCTCHANGE(B3189,"2018-12-31","2019-12-30","1")</f>
        <v>-27.507598779999999</v>
      </c>
      <c r="H3189" s="11">
        <f>[1]!EM_S_FA_YOY_OR(B3189,E3189)</f>
        <v>27.352760932500001</v>
      </c>
      <c r="I3189" s="11">
        <f>[1]!EM_S_FA_GROSSPROFITMARGIN(B3189,E3189)</f>
        <v>38.9301193055</v>
      </c>
      <c r="J3189" s="11">
        <f>[1]!EM_S_FA_NETPROFITMARGIN(B3189,E3189)</f>
        <v>38.766793661000001</v>
      </c>
      <c r="K3189" s="10">
        <f>[1]!EM_S_FA_ASSETSTURN(B3189,E3189)</f>
        <v>0.424153575851</v>
      </c>
      <c r="L3189" s="12">
        <f>[1]!EM_HKS_VAL_MV(B3189,"2019-12-31","2")</f>
        <v>2845128371.9200001</v>
      </c>
      <c r="M3189">
        <f>[1]!EM_S_VAL_PETTMDEDUCTED(B3189,E3189)</f>
        <v>285.88974637970199</v>
      </c>
      <c r="N3189" s="7">
        <f>[1]!EM_S_VAL_PBGOODWILLDEDUCTED(B3189,E3189)</f>
        <v>2.8860668431543801</v>
      </c>
      <c r="O3189" s="7">
        <f>[1]!EM_S_VAL_PS_TTM(B3189,E3189)</f>
        <v>3.69651682943684</v>
      </c>
      <c r="P3189" s="7">
        <f>[1]!EM_S_VAL_PCF_NCFTTM(B3189,E3189)</f>
        <v>326.23701478671001</v>
      </c>
      <c r="Q3189" s="7">
        <f>[1]!EM_S_VAL_DIVIDENDYIELD2(B3189,E3189,"2019-11-29")</f>
        <v>1.8627237864262802</v>
      </c>
      <c r="U3189">
        <f>[1]!EM_S_RATIO_EPS_TTM(B3189,E3189,"1")</f>
        <v>0.71850188874622867</v>
      </c>
      <c r="AT3189" s="4" t="str">
        <f>[1]!EM_S_IPO_LISTEDDATE(B3189)</f>
        <v>2011-11-02</v>
      </c>
    </row>
    <row r="3190" spans="1:46">
      <c r="A3190">
        <v>2269</v>
      </c>
      <c r="B3190" t="str">
        <f>"600122"</f>
        <v>600122</v>
      </c>
      <c r="C3190" t="s">
        <v>2134</v>
      </c>
      <c r="D3190" t="str">
        <f>[1]!EM_S_INFO_INDEX_EM(B3190,"1")</f>
        <v>商贸零售</v>
      </c>
      <c r="E3190" s="4">
        <f t="shared" si="49"/>
        <v>43465</v>
      </c>
      <c r="F3190" s="11">
        <f>[1]!EM_S_PQ_PCTCHANGE(B3190,"2018-01-01","2019-12-31","3")</f>
        <v>-72.467436460000002</v>
      </c>
      <c r="G3190" s="11">
        <f>[1]!EM_S_PQ_PCTCHANGE(B3190,"2018-12-31","2019-12-30","1")</f>
        <v>-27.548209369999999</v>
      </c>
      <c r="H3190" s="11">
        <f>[1]!EM_S_FA_YOY_OR(B3190,E3190)</f>
        <v>-26.345151268199999</v>
      </c>
      <c r="I3190" s="11">
        <f>[1]!EM_S_FA_GROSSPROFITMARGIN(B3190,E3190)</f>
        <v>0.5533952311</v>
      </c>
      <c r="J3190" s="11">
        <f>[1]!EM_S_FA_NETPROFITMARGIN(B3190,E3190)</f>
        <v>-14.8324682582</v>
      </c>
      <c r="K3190" s="10">
        <f>[1]!EM_S_FA_ASSETSTURN(B3190,E3190)</f>
        <v>0.77506462769100004</v>
      </c>
      <c r="L3190" s="12">
        <f>[1]!EM_HKS_VAL_MV(B3190,"2019-12-31","2")</f>
        <v>3069384627.5</v>
      </c>
      <c r="M3190">
        <f>[1]!EM_S_VAL_PETTMDEDUCTED(B3190,E3190)</f>
        <v>-11.161562067069401</v>
      </c>
      <c r="N3190" s="7">
        <f>[1]!EM_S_VAL_PBGOODWILLDEDUCTED(B3190,E3190)</f>
        <v>0.69377785609440501</v>
      </c>
      <c r="O3190" s="7">
        <f>[1]!EM_S_VAL_PS_TTM(B3190,E3190)</f>
        <v>0.245206414437144</v>
      </c>
      <c r="P3190" s="7">
        <f>[1]!EM_S_VAL_PCF_NCFTTM(B3190,E3190)</f>
        <v>-0.61093581290995502</v>
      </c>
      <c r="Q3190" s="7">
        <f>[1]!EM_S_VAL_DIVIDENDYIELD2(B3190,E3190,"2019-11-29")</f>
        <v>0</v>
      </c>
      <c r="T3190"/>
      <c r="U3190">
        <f>[1]!EM_S_RATIO_EPS_TTM(B3190,E3190,"1")</f>
        <v>-1.7559813694414548</v>
      </c>
      <c r="AT3190" s="4" t="str">
        <f>[1]!EM_S_IPO_LISTEDDATE(B3190)</f>
        <v>1998-04-20</v>
      </c>
    </row>
    <row r="3191" spans="1:46">
      <c r="A3191">
        <v>1419</v>
      </c>
      <c r="B3191" t="str">
        <f>"002923"</f>
        <v>002923</v>
      </c>
      <c r="C3191" t="s">
        <v>933</v>
      </c>
      <c r="D3191" t="str">
        <f>[1]!EM_S_INFO_INDEX_EM(B3191,"1")</f>
        <v>医药生物</v>
      </c>
      <c r="E3191" s="4">
        <f t="shared" si="49"/>
        <v>43465</v>
      </c>
      <c r="F3191" s="11">
        <f>[1]!EM_S_PQ_PCTCHANGE(B3191,"2018-01-01","2019-12-31","3")</f>
        <v>91.834317330000005</v>
      </c>
      <c r="G3191" s="11">
        <f>[1]!EM_S_PQ_PCTCHANGE(B3191,"2018-12-31","2019-12-30","1")</f>
        <v>-27.55102041</v>
      </c>
      <c r="H3191" s="11">
        <f>[1]!EM_S_FA_YOY_OR(B3191,E3191)</f>
        <v>33.927677504199998</v>
      </c>
      <c r="I3191" s="11">
        <f>[1]!EM_S_FA_GROSSPROFITMARGIN(B3191,E3191)</f>
        <v>75.067244919299995</v>
      </c>
      <c r="J3191" s="11">
        <f>[1]!EM_S_FA_NETPROFITMARGIN(B3191,E3191)</f>
        <v>10.235502398</v>
      </c>
      <c r="K3191" s="10">
        <f>[1]!EM_S_FA_ASSETSTURN(B3191,E3191)</f>
        <v>1.1319095400270001</v>
      </c>
      <c r="L3191" s="12">
        <f>[1]!EM_HKS_VAL_MV(B3191,"2019-12-31","2")</f>
        <v>3228153495</v>
      </c>
      <c r="M3191">
        <f>[1]!EM_S_VAL_PETTMDEDUCTED(B3191,E3191)</f>
        <v>32.460891529856603</v>
      </c>
      <c r="N3191" s="7">
        <f>[1]!EM_S_VAL_PBGOODWILLDEDUCTED(B3191,E3191)</f>
        <v>3.23931785510824</v>
      </c>
      <c r="O3191" s="7">
        <f>[1]!EM_S_VAL_PS_TTM(B3191,E3191)</f>
        <v>2.90858086398408</v>
      </c>
      <c r="P3191" s="7">
        <f>[1]!EM_S_VAL_PCF_NCFTTM(B3191,E3191)</f>
        <v>-41.362303014565398</v>
      </c>
      <c r="Q3191" s="7">
        <f>[1]!EM_S_VAL_DIVIDENDYIELD2(B3191,E3191,"2019-11-29")</f>
        <v>2.4539877300613497</v>
      </c>
      <c r="T3191"/>
      <c r="U3191">
        <f>[1]!EM_S_RATIO_EPS_TTM(B3191,E3191,"1")</f>
        <v>0.89036969108333341</v>
      </c>
      <c r="AT3191" s="4" t="str">
        <f>[1]!EM_S_IPO_LISTEDDATE(B3191)</f>
        <v>2018-01-05</v>
      </c>
    </row>
    <row r="3192" spans="1:46">
      <c r="A3192">
        <v>1413</v>
      </c>
      <c r="B3192" t="str">
        <f>"002917"</f>
        <v>002917</v>
      </c>
      <c r="C3192" t="s">
        <v>1849</v>
      </c>
      <c r="D3192" t="str">
        <f>[1]!EM_S_INFO_INDEX_EM(B3192,"1")</f>
        <v>基础化工</v>
      </c>
      <c r="E3192" s="4">
        <f t="shared" si="49"/>
        <v>43465</v>
      </c>
      <c r="F3192" s="11">
        <f>[1]!EM_S_PQ_PCTCHANGE(B3192,"2018-01-01","2019-12-31","3")</f>
        <v>-18.973468990000001</v>
      </c>
      <c r="G3192" s="11">
        <f>[1]!EM_S_PQ_PCTCHANGE(B3192,"2018-12-31","2019-12-30","1")</f>
        <v>-27.65388046</v>
      </c>
      <c r="H3192" s="11">
        <f>[1]!EM_S_FA_YOY_OR(B3192,E3192)</f>
        <v>-3.1197055175999999</v>
      </c>
      <c r="I3192" s="11">
        <f>[1]!EM_S_FA_GROSSPROFITMARGIN(B3192,E3192)</f>
        <v>38.758799574599998</v>
      </c>
      <c r="J3192" s="11">
        <f>[1]!EM_S_FA_NETPROFITMARGIN(B3192,E3192)</f>
        <v>17.0881236245</v>
      </c>
      <c r="K3192" s="10">
        <f>[1]!EM_S_FA_ASSETSTURN(B3192,E3192)</f>
        <v>0.53316744753900003</v>
      </c>
      <c r="L3192" s="12">
        <f>[1]!EM_HKS_VAL_MV(B3192,"2019-12-31","2")</f>
        <v>2966694400</v>
      </c>
      <c r="M3192">
        <f>[1]!EM_S_VAL_PETTMDEDUCTED(B3192,E3192)</f>
        <v>49.137504326201601</v>
      </c>
      <c r="N3192" s="7">
        <f>[1]!EM_S_VAL_PBGOODWILLDEDUCTED(B3192,E3192)</f>
        <v>3.9623826549445198</v>
      </c>
      <c r="O3192" s="7">
        <f>[1]!EM_S_VAL_PS_TTM(B3192,E3192)</f>
        <v>6.0811164572964103</v>
      </c>
      <c r="P3192" s="7">
        <f>[1]!EM_S_VAL_PCF_NCFTTM(B3192,E3192)</f>
        <v>72.899558228691902</v>
      </c>
      <c r="Q3192" s="7">
        <f>[1]!EM_S_VAL_DIVIDENDYIELD2(B3192,E3192,"2019-11-29")</f>
        <v>0.38532675709001235</v>
      </c>
      <c r="T3192"/>
      <c r="U3192">
        <f>[1]!EM_S_RATIO_EPS_TTM(B3192,E3192,"1")</f>
        <v>0.57592651140987083</v>
      </c>
      <c r="AT3192" s="4" t="str">
        <f>[1]!EM_S_IPO_LISTEDDATE(B3192)</f>
        <v>2017-12-08</v>
      </c>
    </row>
    <row r="3193" spans="1:46">
      <c r="A3193">
        <v>351</v>
      </c>
      <c r="B3193" t="str">
        <f>"000791"</f>
        <v>000791</v>
      </c>
      <c r="C3193" t="s">
        <v>3478</v>
      </c>
      <c r="D3193" t="str">
        <f>[1]!EM_S_INFO_INDEX_EM(B3193,"1")</f>
        <v>公用事业</v>
      </c>
      <c r="E3193" s="4">
        <f t="shared" si="49"/>
        <v>43465</v>
      </c>
      <c r="F3193" s="11">
        <f>[1]!EM_S_PQ_PCTCHANGE(B3193,"2018-01-01","2019-12-31","3")</f>
        <v>-33.247933369999998</v>
      </c>
      <c r="G3193" s="11">
        <f>[1]!EM_S_PQ_PCTCHANGE(B3193,"2018-12-31","2019-12-30","1")</f>
        <v>-27.667984189999999</v>
      </c>
      <c r="H3193" s="11">
        <f>[1]!EM_S_FA_YOY_OR(B3193,E3193)</f>
        <v>16.068789270300002</v>
      </c>
      <c r="I3193" s="11">
        <f>[1]!EM_S_FA_GROSSPROFITMARGIN(B3193,E3193)</f>
        <v>48.585930709099998</v>
      </c>
      <c r="J3193" s="11">
        <f>[1]!EM_S_FA_NETPROFITMARGIN(B3193,E3193)</f>
        <v>22.0317269405</v>
      </c>
      <c r="K3193" s="10">
        <f>[1]!EM_S_FA_ASSETSTURN(B3193,E3193)</f>
        <v>0.12088102555999999</v>
      </c>
      <c r="L3193" s="12">
        <f>[1]!EM_HKS_VAL_MV(B3193,"2019-12-31","2")</f>
        <v>5003242182.3999996</v>
      </c>
      <c r="M3193">
        <f>[1]!EM_S_VAL_PETTMDEDUCTED(B3193,E3193)</f>
        <v>10.1232685283119</v>
      </c>
      <c r="N3193" s="7">
        <f>[1]!EM_S_VAL_PBGOODWILLDEDUCTED(B3193,E3193)</f>
        <v>0.81862651206216697</v>
      </c>
      <c r="O3193" s="7">
        <f>[1]!EM_S_VAL_PS_TTM(B3193,E3193)</f>
        <v>2.20660788532772</v>
      </c>
      <c r="P3193" s="7">
        <f>[1]!EM_S_VAL_PCF_NCFTTM(B3193,E3193)</f>
        <v>210.24210038866801</v>
      </c>
      <c r="Q3193" s="7">
        <f>[1]!EM_S_VAL_DIVIDENDYIELD2(B3193,E3193,"2019-11-29")</f>
        <v>3.0012004801920766</v>
      </c>
      <c r="T3193"/>
      <c r="U3193">
        <f>[1]!EM_S_RATIO_EPS_TTM(B3193,E3193,"1")</f>
        <v>0.49962531227146378</v>
      </c>
      <c r="AT3193" s="4" t="str">
        <f>[1]!EM_S_IPO_LISTEDDATE(B3193)</f>
        <v>1997-10-14</v>
      </c>
    </row>
    <row r="3194" spans="1:46">
      <c r="A3194">
        <v>1252</v>
      </c>
      <c r="B3194" t="str">
        <f>"002742"</f>
        <v>002742</v>
      </c>
      <c r="C3194" t="s">
        <v>1101</v>
      </c>
      <c r="D3194" t="str">
        <f>[1]!EM_S_INFO_INDEX_EM(B3194,"1")</f>
        <v>建材</v>
      </c>
      <c r="E3194" s="4">
        <f t="shared" si="49"/>
        <v>43465</v>
      </c>
      <c r="F3194" s="11">
        <f>[1]!EM_S_PQ_PCTCHANGE(B3194,"2018-01-01","2019-12-31","3")</f>
        <v>-71.445061100000004</v>
      </c>
      <c r="G3194" s="11">
        <f>[1]!EM_S_PQ_PCTCHANGE(B3194,"2018-12-31","2019-12-30","1")</f>
        <v>-27.791262140000001</v>
      </c>
      <c r="H3194" s="11">
        <f>[1]!EM_S_FA_YOY_OR(B3194,E3194)</f>
        <v>50.606257502399998</v>
      </c>
      <c r="I3194" s="11">
        <f>[1]!EM_S_FA_GROSSPROFITMARGIN(B3194,E3194)</f>
        <v>22.566607723800001</v>
      </c>
      <c r="J3194" s="11">
        <f>[1]!EM_S_FA_NETPROFITMARGIN(B3194,E3194)</f>
        <v>4.9042458742999999</v>
      </c>
      <c r="K3194" s="10">
        <f>[1]!EM_S_FA_ASSETSTURN(B3194,E3194)</f>
        <v>0.61786808647900004</v>
      </c>
      <c r="L3194" s="12">
        <f>[1]!EM_HKS_VAL_MV(B3194,"2019-12-31","2")</f>
        <v>2617920000</v>
      </c>
      <c r="M3194">
        <f>[1]!EM_S_VAL_PETTMDEDUCTED(B3194,E3194)</f>
        <v>31.3517817412746</v>
      </c>
      <c r="N3194" s="7">
        <f>[1]!EM_S_VAL_PBGOODWILLDEDUCTED(B3194,E3194)</f>
        <v>3.5080074560834298</v>
      </c>
      <c r="O3194" s="7">
        <f>[1]!EM_S_VAL_PS_TTM(B3194,E3194)</f>
        <v>1.4937788779679999</v>
      </c>
      <c r="P3194" s="7">
        <f>[1]!EM_S_VAL_PCF_NCFTTM(B3194,E3194)</f>
        <v>-14.020054461909201</v>
      </c>
      <c r="Q3194" s="7">
        <f>[1]!EM_S_VAL_DIVIDENDYIELD2(B3194,E3194,"2019-11-29")</f>
        <v>1.7605633802816902</v>
      </c>
      <c r="T3194"/>
      <c r="U3194">
        <f>[1]!EM_S_RATIO_EPS_TTM(B3194,E3194,"1")</f>
        <v>0.25656944335648146</v>
      </c>
      <c r="AT3194" s="4" t="str">
        <f>[1]!EM_S_IPO_LISTEDDATE(B3194)</f>
        <v>2015-02-17</v>
      </c>
    </row>
    <row r="3195" spans="1:46">
      <c r="A3195">
        <v>3001</v>
      </c>
      <c r="B3195" t="str">
        <f>"600978"</f>
        <v>600978</v>
      </c>
      <c r="C3195" t="s">
        <v>1170</v>
      </c>
      <c r="D3195" t="str">
        <f>[1]!EM_S_INFO_INDEX_EM(B3195,"1")</f>
        <v>轻工制造</v>
      </c>
      <c r="E3195" s="4">
        <f t="shared" si="49"/>
        <v>43465</v>
      </c>
      <c r="F3195" s="11">
        <f>[1]!EM_S_PQ_PCTCHANGE(B3195,"2018-01-01","2019-12-31","3")</f>
        <v>-66.988493430000005</v>
      </c>
      <c r="G3195" s="11">
        <f>[1]!EM_S_PQ_PCTCHANGE(B3195,"2018-12-31","2019-12-30","1")</f>
        <v>-27.804878049999999</v>
      </c>
      <c r="H3195" s="11">
        <f>[1]!EM_S_FA_YOY_OR(B3195,E3195)</f>
        <v>-7.7261400536</v>
      </c>
      <c r="I3195" s="11">
        <f>[1]!EM_S_FA_GROSSPROFITMARGIN(B3195,E3195)</f>
        <v>32.746008850499997</v>
      </c>
      <c r="J3195" s="11">
        <f>[1]!EM_S_FA_NETPROFITMARGIN(B3195,E3195)</f>
        <v>5.2095427790000004</v>
      </c>
      <c r="K3195" s="10">
        <f>[1]!EM_S_FA_ASSETSTURN(B3195,E3195)</f>
        <v>0.42837145936400001</v>
      </c>
      <c r="L3195" s="12">
        <f>[1]!EM_HKS_VAL_MV(B3195,"2019-12-31","2")</f>
        <v>4404123911.8800001</v>
      </c>
      <c r="M3195">
        <f>[1]!EM_S_VAL_PETTMDEDUCTED(B3195,E3195)</f>
        <v>11.144349297345601</v>
      </c>
      <c r="N3195" s="7">
        <f>[1]!EM_S_VAL_PBGOODWILLDEDUCTED(B3195,E3195)</f>
        <v>0.77245320969857301</v>
      </c>
      <c r="O3195" s="7">
        <f>[1]!EM_S_VAL_PS_TTM(B3195,E3195)</f>
        <v>0.74973957521451395</v>
      </c>
      <c r="P3195" s="7">
        <f>[1]!EM_S_VAL_PCF_NCFTTM(B3195,E3195)</f>
        <v>-9.7498976565220303</v>
      </c>
      <c r="Q3195" s="7">
        <f>[1]!EM_S_VAL_DIVIDENDYIELD2(B3195,E3195,"2019-11-29")</f>
        <v>0.91216216216216217</v>
      </c>
      <c r="T3195"/>
      <c r="U3195">
        <f>[1]!EM_S_RATIO_EPS_TTM(B3195,E3195,"1")</f>
        <v>0.2608130692014457</v>
      </c>
      <c r="AT3195" s="4" t="str">
        <f>[1]!EM_S_IPO_LISTEDDATE(B3195)</f>
        <v>2004-08-24</v>
      </c>
    </row>
    <row r="3196" spans="1:46">
      <c r="A3196">
        <v>3102</v>
      </c>
      <c r="B3196" t="str">
        <f>"601339"</f>
        <v>601339</v>
      </c>
      <c r="C3196" t="s">
        <v>2030</v>
      </c>
      <c r="D3196" t="str">
        <f>[1]!EM_S_INFO_INDEX_EM(B3196,"1")</f>
        <v>纺织服装</v>
      </c>
      <c r="E3196" s="4">
        <f t="shared" si="49"/>
        <v>43465</v>
      </c>
      <c r="F3196" s="11">
        <f>[1]!EM_S_PQ_PCTCHANGE(B3196,"2018-01-01","2019-12-31","3")</f>
        <v>-21.23691839</v>
      </c>
      <c r="G3196" s="11">
        <f>[1]!EM_S_PQ_PCTCHANGE(B3196,"2018-12-31","2019-12-30","1")</f>
        <v>-27.848101270000001</v>
      </c>
      <c r="H3196" s="11">
        <f>[1]!EM_S_FA_YOY_OR(B3196,E3196)</f>
        <v>0.76682470619999998</v>
      </c>
      <c r="I3196" s="11">
        <f>[1]!EM_S_FA_GROSSPROFITMARGIN(B3196,E3196)</f>
        <v>19.470836677200001</v>
      </c>
      <c r="J3196" s="11">
        <f>[1]!EM_S_FA_NETPROFITMARGIN(B3196,E3196)</f>
        <v>7.2947021982000004</v>
      </c>
      <c r="K3196" s="10">
        <f>[1]!EM_S_FA_ASSETSTURN(B3196,E3196)</f>
        <v>0.47637690680900002</v>
      </c>
      <c r="L3196" s="12">
        <f>[1]!EM_HKS_VAL_MV(B3196,"2019-12-31","2")</f>
        <v>5985000000</v>
      </c>
      <c r="M3196">
        <f>[1]!EM_S_VAL_PETTMDEDUCTED(B3196,E3196)</f>
        <v>17.8540523837863</v>
      </c>
      <c r="N3196" s="7">
        <f>[1]!EM_S_VAL_PBGOODWILLDEDUCTED(B3196,E3196)</f>
        <v>1.0725972034217099</v>
      </c>
      <c r="O3196" s="7">
        <f>[1]!EM_S_VAL_PS_TTM(B3196,E3196)</f>
        <v>1.39518339909248</v>
      </c>
      <c r="P3196" s="7">
        <f>[1]!EM_S_VAL_PCF_NCFTTM(B3196,E3196)</f>
        <v>-19.363717760996</v>
      </c>
      <c r="Q3196" s="7">
        <f>[1]!EM_S_VAL_DIVIDENDYIELD2(B3196,E3196,"2019-11-29")</f>
        <v>2.2622107969151668</v>
      </c>
      <c r="T3196"/>
      <c r="U3196">
        <f>[1]!EM_S_RATIO_EPS_TTM(B3196,E3196,"1")</f>
        <v>0.29168386714666666</v>
      </c>
      <c r="AT3196" s="4" t="str">
        <f>[1]!EM_S_IPO_LISTEDDATE(B3196)</f>
        <v>2012-06-12</v>
      </c>
    </row>
    <row r="3197" spans="1:46">
      <c r="A3197">
        <v>3487</v>
      </c>
      <c r="B3197" t="str">
        <f>"603669"</f>
        <v>603669</v>
      </c>
      <c r="C3197" t="s">
        <v>1066</v>
      </c>
      <c r="D3197" t="str">
        <f>[1]!EM_S_INFO_INDEX_EM(B3197,"1")</f>
        <v>医药生物</v>
      </c>
      <c r="E3197" s="4">
        <f t="shared" si="49"/>
        <v>43465</v>
      </c>
      <c r="F3197" s="11">
        <f>[1]!EM_S_PQ_PCTCHANGE(B3197,"2018-01-01","2019-12-31","3")</f>
        <v>-20.991176159999998</v>
      </c>
      <c r="G3197" s="11">
        <f>[1]!EM_S_PQ_PCTCHANGE(B3197,"2018-12-31","2019-12-30","1")</f>
        <v>-27.878787880000001</v>
      </c>
      <c r="H3197" s="11">
        <f>[1]!EM_S_FA_YOY_OR(B3197,E3197)</f>
        <v>66.0993544934</v>
      </c>
      <c r="I3197" s="11">
        <f>[1]!EM_S_FA_GROSSPROFITMARGIN(B3197,E3197)</f>
        <v>87.900409021900003</v>
      </c>
      <c r="J3197" s="11">
        <f>[1]!EM_S_FA_NETPROFITMARGIN(B3197,E3197)</f>
        <v>10.9440694894</v>
      </c>
      <c r="K3197" s="10">
        <f>[1]!EM_S_FA_ASSETSTURN(B3197,E3197)</f>
        <v>0.89764509852100005</v>
      </c>
      <c r="L3197" s="12">
        <f>[1]!EM_HKS_VAL_MV(B3197,"2019-12-31","2")</f>
        <v>3740464000</v>
      </c>
      <c r="M3197">
        <f>[1]!EM_S_VAL_PETTMDEDUCTED(B3197,E3197)</f>
        <v>27.748155395862302</v>
      </c>
      <c r="N3197" s="7">
        <f>[1]!EM_S_VAL_PBGOODWILLDEDUCTED(B3197,E3197)</f>
        <v>2.6190303326898401</v>
      </c>
      <c r="O3197" s="7">
        <f>[1]!EM_S_VAL_PS_TTM(B3197,E3197)</f>
        <v>2.23868261820959</v>
      </c>
      <c r="P3197" s="7">
        <f>[1]!EM_S_VAL_PCF_NCFTTM(B3197,E3197)</f>
        <v>21.306698523177499</v>
      </c>
      <c r="Q3197" s="7">
        <f>[1]!EM_S_VAL_DIVIDENDYIELD2(B3197,E3197,"2019-11-29")</f>
        <v>4.5592705167173255</v>
      </c>
      <c r="T3197"/>
      <c r="U3197">
        <f>[1]!EM_S_RATIO_EPS_TTM(B3197,E3197,"1")</f>
        <v>0.50193331159340659</v>
      </c>
      <c r="AT3197" s="4" t="str">
        <f>[1]!EM_S_IPO_LISTEDDATE(B3197)</f>
        <v>2015-05-28</v>
      </c>
    </row>
    <row r="3198" spans="1:46">
      <c r="A3198">
        <v>821</v>
      </c>
      <c r="B3198" t="str">
        <f>"002310"</f>
        <v>002310</v>
      </c>
      <c r="C3198" t="s">
        <v>3046</v>
      </c>
      <c r="D3198" t="str">
        <f>[1]!EM_S_INFO_INDEX_EM(B3198,"1")</f>
        <v>建筑</v>
      </c>
      <c r="E3198" s="4">
        <f t="shared" si="49"/>
        <v>43465</v>
      </c>
      <c r="F3198" s="11">
        <f>[1]!EM_S_PQ_PCTCHANGE(B3198,"2018-01-01","2019-12-31","3")</f>
        <v>-74.581791089999996</v>
      </c>
      <c r="G3198" s="11">
        <f>[1]!EM_S_PQ_PCTCHANGE(B3198,"2018-12-31","2019-12-30","1")</f>
        <v>-28.017241380000002</v>
      </c>
      <c r="H3198" s="11">
        <f>[1]!EM_S_FA_YOY_OR(B3198,E3198)</f>
        <v>-12.6949267868</v>
      </c>
      <c r="I3198" s="11">
        <f>[1]!EM_S_FA_GROSSPROFITMARGIN(B3198,E3198)</f>
        <v>34.068619200800001</v>
      </c>
      <c r="J3198" s="11">
        <f>[1]!EM_S_FA_NETPROFITMARGIN(B3198,E3198)</f>
        <v>11.9683604606</v>
      </c>
      <c r="K3198" s="10">
        <f>[1]!EM_S_FA_ASSETSTURN(B3198,E3198)</f>
        <v>0.34435129209100002</v>
      </c>
      <c r="L3198" s="12">
        <f>[1]!EM_HKS_VAL_MV(B3198,"2019-12-31","2")</f>
        <v>13481019260.08</v>
      </c>
      <c r="M3198">
        <f>[1]!EM_S_VAL_PETTMDEDUCTED(B3198,E3198)</f>
        <v>8.2519181163350304</v>
      </c>
      <c r="N3198" s="7">
        <f>[1]!EM_S_VAL_PBGOODWILLDEDUCTED(B3198,E3198)</f>
        <v>1.75244443844326</v>
      </c>
      <c r="O3198" s="7">
        <f>[1]!EM_S_VAL_PS_TTM(B3198,E3198)</f>
        <v>1.1509388237965501</v>
      </c>
      <c r="P3198" s="7">
        <f>[1]!EM_S_VAL_PCF_NCFTTM(B3198,E3198)</f>
        <v>-23.698914367706301</v>
      </c>
      <c r="Q3198" s="7">
        <f>[1]!EM_S_VAL_DIVIDENDYIELD2(B3198,E3198,"2019-11-29")</f>
        <v>2.0479302832244008</v>
      </c>
      <c r="T3198"/>
      <c r="U3198">
        <f>[1]!EM_S_RATIO_EPS_TTM(B3198,E3198,"1")</f>
        <v>0.59428178777166574</v>
      </c>
      <c r="AT3198" s="4" t="str">
        <f>[1]!EM_S_IPO_LISTEDDATE(B3198)</f>
        <v>2009-11-27</v>
      </c>
    </row>
    <row r="3199" spans="1:46">
      <c r="A3199">
        <v>839</v>
      </c>
      <c r="B3199" t="str">
        <f>"002328"</f>
        <v>002328</v>
      </c>
      <c r="C3199" t="s">
        <v>2465</v>
      </c>
      <c r="D3199" t="str">
        <f>[1]!EM_S_INFO_INDEX_EM(B3199,"1")</f>
        <v>交运设备</v>
      </c>
      <c r="E3199" s="4">
        <f t="shared" si="49"/>
        <v>43465</v>
      </c>
      <c r="F3199" s="11">
        <f>[1]!EM_S_PQ_PCTCHANGE(B3199,"2018-01-01","2019-12-31","3")</f>
        <v>0.40086734000000002</v>
      </c>
      <c r="G3199" s="11">
        <f>[1]!EM_S_PQ_PCTCHANGE(B3199,"2018-12-31","2019-12-30","1")</f>
        <v>-28.035714290000001</v>
      </c>
      <c r="H3199" s="11">
        <f>[1]!EM_S_FA_YOY_OR(B3199,E3199)</f>
        <v>3.3615007132999999</v>
      </c>
      <c r="I3199" s="11">
        <f>[1]!EM_S_FA_GROSSPROFITMARGIN(B3199,E3199)</f>
        <v>13.6642174887</v>
      </c>
      <c r="J3199" s="11">
        <f>[1]!EM_S_FA_NETPROFITMARGIN(B3199,E3199)</f>
        <v>4.4334897062999996</v>
      </c>
      <c r="K3199" s="10">
        <f>[1]!EM_S_FA_ASSETSTURN(B3199,E3199)</f>
        <v>1.0279569925930001</v>
      </c>
      <c r="L3199" s="12">
        <f>[1]!EM_HKS_VAL_MV(B3199,"2019-12-31","2")</f>
        <v>3031844600</v>
      </c>
      <c r="M3199">
        <f>[1]!EM_S_VAL_PETTMDEDUCTED(B3199,E3199)</f>
        <v>41.2529297962719</v>
      </c>
      <c r="N3199" s="7">
        <f>[1]!EM_S_VAL_PBGOODWILLDEDUCTED(B3199,E3199)</f>
        <v>1.0119240425062599</v>
      </c>
      <c r="O3199" s="7">
        <f>[1]!EM_S_VAL_PS_TTM(B3199,E3199)</f>
        <v>0.65965952283105</v>
      </c>
      <c r="P3199" s="7">
        <f>[1]!EM_S_VAL_PCF_NCFTTM(B3199,E3199)</f>
        <v>-347.34633956311302</v>
      </c>
      <c r="Q3199" s="7">
        <f>[1]!EM_S_VAL_DIVIDENDYIELD2(B3199,E3199,"2019-11-29")</f>
        <v>1.8199545011374718</v>
      </c>
      <c r="T3199"/>
      <c r="U3199">
        <f>[1]!EM_S_RATIO_EPS_TTM(B3199,E3199,"1")</f>
        <v>0.22370497072082124</v>
      </c>
      <c r="AT3199" s="4" t="str">
        <f>[1]!EM_S_IPO_LISTEDDATE(B3199)</f>
        <v>2009-12-30</v>
      </c>
    </row>
    <row r="3200" spans="1:46">
      <c r="A3200">
        <v>1473</v>
      </c>
      <c r="B3200" t="str">
        <f>"300047"</f>
        <v>300047</v>
      </c>
      <c r="C3200" t="s">
        <v>2967</v>
      </c>
      <c r="D3200" t="str">
        <f>[1]!EM_S_INFO_INDEX_EM(B3200,"1")</f>
        <v>信息技术</v>
      </c>
      <c r="E3200" s="4">
        <f t="shared" si="49"/>
        <v>43465</v>
      </c>
      <c r="F3200" s="11">
        <f>[1]!EM_S_PQ_PCTCHANGE(B3200,"2018-01-01","2019-12-31","3")</f>
        <v>16.170027990000001</v>
      </c>
      <c r="G3200" s="11">
        <f>[1]!EM_S_PQ_PCTCHANGE(B3200,"2018-12-31","2019-12-30","1")</f>
        <v>-28.17281728</v>
      </c>
      <c r="H3200" s="11">
        <f>[1]!EM_S_FA_YOY_OR(B3200,E3200)</f>
        <v>27.126273461099998</v>
      </c>
      <c r="I3200" s="11">
        <f>[1]!EM_S_FA_GROSSPROFITMARGIN(B3200,E3200)</f>
        <v>20.549259530899999</v>
      </c>
      <c r="J3200" s="11">
        <f>[1]!EM_S_FA_NETPROFITMARGIN(B3200,E3200)</f>
        <v>6.4892341463000003</v>
      </c>
      <c r="K3200" s="10">
        <f>[1]!EM_S_FA_ASSETSTURN(B3200,E3200)</f>
        <v>0.85863911943299998</v>
      </c>
      <c r="L3200" s="12">
        <f>[1]!EM_HKS_VAL_MV(B3200,"2019-12-31","2")</f>
        <v>5076447589.1199999</v>
      </c>
      <c r="M3200">
        <f>[1]!EM_S_VAL_PETTMDEDUCTED(B3200,E3200)</f>
        <v>23.903490231227401</v>
      </c>
      <c r="N3200" s="7">
        <f>[1]!EM_S_VAL_PBGOODWILLDEDUCTED(B3200,E3200)</f>
        <v>1.8710471410063201</v>
      </c>
      <c r="O3200" s="7">
        <f>[1]!EM_S_VAL_PS_TTM(B3200,E3200)</f>
        <v>1.34714388010166</v>
      </c>
      <c r="P3200" s="7">
        <f>[1]!EM_S_VAL_PCF_NCFTTM(B3200,E3200)</f>
        <v>309.58122106115201</v>
      </c>
      <c r="Q3200" s="7">
        <f>[1]!EM_S_VAL_DIVIDENDYIELD2(B3200,E3200,"2019-11-29")</f>
        <v>0.50330303166576595</v>
      </c>
      <c r="T3200"/>
      <c r="U3200">
        <f>[1]!EM_S_RATIO_EPS_TTM(B3200,E3200,"1")</f>
        <v>0.54009374112498565</v>
      </c>
      <c r="AT3200" s="4" t="str">
        <f>[1]!EM_S_IPO_LISTEDDATE(B3200)</f>
        <v>2010-01-20</v>
      </c>
    </row>
    <row r="3201" spans="1:46">
      <c r="A3201">
        <v>1405</v>
      </c>
      <c r="B3201" t="str">
        <f>"002908"</f>
        <v>002908</v>
      </c>
      <c r="C3201" t="s">
        <v>2013</v>
      </c>
      <c r="D3201" t="str">
        <f>[1]!EM_S_INFO_INDEX_EM(B3201,"1")</f>
        <v>信息技术</v>
      </c>
      <c r="E3201" s="4">
        <f t="shared" si="49"/>
        <v>43465</v>
      </c>
      <c r="F3201" s="11">
        <f>[1]!EM_S_PQ_PCTCHANGE(B3201,"2018-01-01","2019-12-31","3")</f>
        <v>-32.435215280000001</v>
      </c>
      <c r="G3201" s="11">
        <f>[1]!EM_S_PQ_PCTCHANGE(B3201,"2018-12-31","2019-12-30","1")</f>
        <v>-28.2208589</v>
      </c>
      <c r="H3201" s="11">
        <f>[1]!EM_S_FA_YOY_OR(B3201,E3201)</f>
        <v>7.7531220371999998</v>
      </c>
      <c r="I3201" s="11">
        <f>[1]!EM_S_FA_GROSSPROFITMARGIN(B3201,E3201)</f>
        <v>45.376979392599999</v>
      </c>
      <c r="J3201" s="11">
        <f>[1]!EM_S_FA_NETPROFITMARGIN(B3201,E3201)</f>
        <v>15.691215140000001</v>
      </c>
      <c r="K3201" s="10">
        <f>[1]!EM_S_FA_ASSETSTURN(B3201,E3201)</f>
        <v>0.56643252868399996</v>
      </c>
      <c r="L3201" s="12">
        <f>[1]!EM_HKS_VAL_MV(B3201,"2019-12-31","2")</f>
        <v>2579070006</v>
      </c>
      <c r="M3201">
        <f>[1]!EM_S_VAL_PETTMDEDUCTED(B3201,E3201)</f>
        <v>56.601681874090801</v>
      </c>
      <c r="N3201" s="7">
        <f>[1]!EM_S_VAL_PBGOODWILLDEDUCTED(B3201,E3201)</f>
        <v>3.5655214473547701</v>
      </c>
      <c r="O3201" s="7">
        <f>[1]!EM_S_VAL_PS_TTM(B3201,E3201)</f>
        <v>5.5210012846519003</v>
      </c>
      <c r="P3201" s="7">
        <f>[1]!EM_S_VAL_PCF_NCFTTM(B3201,E3201)</f>
        <v>31.047984867330499</v>
      </c>
      <c r="Q3201" s="7">
        <f>[1]!EM_S_VAL_DIVIDENDYIELD2(B3201,E3201,"2019-11-29")</f>
        <v>1.0822510822510822</v>
      </c>
      <c r="T3201"/>
      <c r="U3201">
        <f>[1]!EM_S_RATIO_EPS_TTM(B3201,E3201,"1")</f>
        <v>0.54130371523923804</v>
      </c>
      <c r="AT3201" s="4" t="str">
        <f>[1]!EM_S_IPO_LISTEDDATE(B3201)</f>
        <v>2017-10-20</v>
      </c>
    </row>
    <row r="3202" spans="1:46">
      <c r="A3202">
        <v>621</v>
      </c>
      <c r="B3202" t="str">
        <f>"002110"</f>
        <v>002110</v>
      </c>
      <c r="C3202" t="s">
        <v>117</v>
      </c>
      <c r="D3202" t="str">
        <f>[1]!EM_S_INFO_INDEX_EM(B3202,"1")</f>
        <v>钢铁</v>
      </c>
      <c r="E3202" s="4">
        <f t="shared" si="49"/>
        <v>43465</v>
      </c>
      <c r="F3202" s="11">
        <f>[1]!EM_S_PQ_PCTCHANGE(B3202,"2018-01-01","2019-12-31","3")</f>
        <v>-10.78990524</v>
      </c>
      <c r="G3202" s="11">
        <f>[1]!EM_S_PQ_PCTCHANGE(B3202,"2018-12-31","2019-12-30","1")</f>
        <v>-28.381548080000002</v>
      </c>
      <c r="H3202" s="11">
        <f>[1]!EM_S_FA_YOY_OR(B3202,E3202)</f>
        <v>14.399065739199999</v>
      </c>
      <c r="I3202" s="11">
        <f>[1]!EM_S_FA_GROSSPROFITMARGIN(B3202,E3202)</f>
        <v>28.666953016000001</v>
      </c>
      <c r="J3202" s="11">
        <f>[1]!EM_S_FA_NETPROFITMARGIN(B3202,E3202)</f>
        <v>17.979427428200001</v>
      </c>
      <c r="K3202" s="10">
        <f>[1]!EM_S_FA_ASSETSTURN(B3202,E3202)</f>
        <v>1.648802568919</v>
      </c>
      <c r="L3202" s="12">
        <f>[1]!EM_HKS_VAL_MV(B3202,"2019-12-31","2")</f>
        <v>22946753587.68</v>
      </c>
      <c r="M3202">
        <f>[1]!EM_S_VAL_PETTMDEDUCTED(B3202,E3202)</f>
        <v>3.5293519060127898</v>
      </c>
      <c r="N3202" s="7">
        <f>[1]!EM_S_VAL_PBGOODWILLDEDUCTED(B3202,E3202)</f>
        <v>1.14045679228243</v>
      </c>
      <c r="O3202" s="7">
        <f>[1]!EM_S_VAL_PS_TTM(B3202,E3202)</f>
        <v>0.77486514419177699</v>
      </c>
      <c r="P3202" s="7">
        <f>[1]!EM_S_VAL_PCF_NCFTTM(B3202,E3202)</f>
        <v>23.524468569166402</v>
      </c>
      <c r="Q3202" s="7">
        <f>[1]!EM_S_VAL_DIVIDENDYIELD2(B3202,E3202,"2019-11-29")</f>
        <v>15.797788312858616</v>
      </c>
      <c r="U3202">
        <f>[1]!EM_S_RATIO_EPS_TTM(B3202,E3202,"1")</f>
        <v>3.9812465071560936</v>
      </c>
      <c r="AT3202" s="4" t="str">
        <f>[1]!EM_S_IPO_LISTEDDATE(B3202)</f>
        <v>2007-01-26</v>
      </c>
    </row>
    <row r="3203" spans="1:46">
      <c r="A3203">
        <v>1814</v>
      </c>
      <c r="B3203" t="str">
        <f>"300389"</f>
        <v>300389</v>
      </c>
      <c r="C3203" t="s">
        <v>1294</v>
      </c>
      <c r="D3203" t="str">
        <f>[1]!EM_S_INFO_INDEX_EM(B3203,"1")</f>
        <v>电子设备</v>
      </c>
      <c r="E3203" s="4">
        <f t="shared" ref="E3203:E3266" si="50">$B$1</f>
        <v>43465</v>
      </c>
      <c r="F3203" s="11">
        <f>[1]!EM_S_PQ_PCTCHANGE(B3203,"2018-01-01","2019-12-31","3")</f>
        <v>-4.4179820400000001</v>
      </c>
      <c r="G3203" s="11">
        <f>[1]!EM_S_PQ_PCTCHANGE(B3203,"2018-12-31","2019-12-30","1")</f>
        <v>-28.470889320000001</v>
      </c>
      <c r="H3203" s="11">
        <f>[1]!EM_S_FA_YOY_OR(B3203,E3203)</f>
        <v>28.392716054499999</v>
      </c>
      <c r="I3203" s="11">
        <f>[1]!EM_S_FA_GROSSPROFITMARGIN(B3203,E3203)</f>
        <v>38.150153654100002</v>
      </c>
      <c r="J3203" s="11">
        <f>[1]!EM_S_FA_NETPROFITMARGIN(B3203,E3203)</f>
        <v>11.838940818999999</v>
      </c>
      <c r="K3203" s="10">
        <f>[1]!EM_S_FA_ASSETSTURN(B3203,E3203)</f>
        <v>1.0150431028619999</v>
      </c>
      <c r="L3203" s="12">
        <f>[1]!EM_HKS_VAL_MV(B3203,"2019-12-31","2")</f>
        <v>3501835327.3499999</v>
      </c>
      <c r="M3203">
        <f>[1]!EM_S_VAL_PETTMDEDUCTED(B3203,E3203)</f>
        <v>24.111969191924398</v>
      </c>
      <c r="N3203" s="7">
        <f>[1]!EM_S_VAL_PBGOODWILLDEDUCTED(B3203,E3203)</f>
        <v>3.9316784590852301</v>
      </c>
      <c r="O3203" s="7">
        <f>[1]!EM_S_VAL_PS_TTM(B3203,E3203)</f>
        <v>2.5005540611494301</v>
      </c>
      <c r="P3203" s="7">
        <f>[1]!EM_S_VAL_PCF_NCFTTM(B3203,E3203)</f>
        <v>-102.29044813534</v>
      </c>
      <c r="Q3203" s="7">
        <f>[1]!EM_S_VAL_DIVIDENDYIELD2(B3203,E3203,"2019-11-29")</f>
        <v>1.5461753006073065</v>
      </c>
      <c r="T3203"/>
      <c r="U3203">
        <f>[1]!EM_S_RATIO_EPS_TTM(B3203,E3203,"1")</f>
        <v>0.75225366160198892</v>
      </c>
      <c r="AT3203" s="4" t="str">
        <f>[1]!EM_S_IPO_LISTEDDATE(B3203)</f>
        <v>2014-08-01</v>
      </c>
    </row>
    <row r="3204" spans="1:46">
      <c r="A3204">
        <v>1211</v>
      </c>
      <c r="B3204" t="str">
        <f>"002700"</f>
        <v>002700</v>
      </c>
      <c r="C3204" t="s">
        <v>1224</v>
      </c>
      <c r="D3204" t="str">
        <f>[1]!EM_S_INFO_INDEX_EM(B3204,"1")</f>
        <v>公用事业</v>
      </c>
      <c r="E3204" s="4">
        <f t="shared" si="50"/>
        <v>43465</v>
      </c>
      <c r="F3204" s="11">
        <f>[1]!EM_S_PQ_PCTCHANGE(B3204,"2018-01-01","2019-12-31","3")</f>
        <v>-33.15381644</v>
      </c>
      <c r="G3204" s="11">
        <f>[1]!EM_S_PQ_PCTCHANGE(B3204,"2018-12-31","2019-12-30","1")</f>
        <v>-28.48484848</v>
      </c>
      <c r="H3204" s="11">
        <f>[1]!EM_S_FA_YOY_OR(B3204,E3204)</f>
        <v>12.982417353800001</v>
      </c>
      <c r="I3204" s="11">
        <f>[1]!EM_S_FA_GROSSPROFITMARGIN(B3204,E3204)</f>
        <v>32.003110536900003</v>
      </c>
      <c r="J3204" s="11">
        <f>[1]!EM_S_FA_NETPROFITMARGIN(B3204,E3204)</f>
        <v>17.004041066300001</v>
      </c>
      <c r="K3204" s="10">
        <f>[1]!EM_S_FA_ASSETSTURN(B3204,E3204)</f>
        <v>0.34751707474499999</v>
      </c>
      <c r="L3204" s="12">
        <f>[1]!EM_HKS_VAL_MV(B3204,"2019-12-31","2")</f>
        <v>2999230848</v>
      </c>
      <c r="M3204">
        <f>[1]!EM_S_VAL_PETTMDEDUCTED(B3204,E3204)</f>
        <v>60.800484586431899</v>
      </c>
      <c r="N3204" s="7">
        <f>[1]!EM_S_VAL_PBGOODWILLDEDUCTED(B3204,E3204)</f>
        <v>4.1129205114523701</v>
      </c>
      <c r="O3204" s="7">
        <f>[1]!EM_S_VAL_PS_TTM(B3204,E3204)</f>
        <v>10.8860346378521</v>
      </c>
      <c r="P3204" s="7">
        <f>[1]!EM_S_VAL_PCF_NCFTTM(B3204,E3204)</f>
        <v>7.09561103979153</v>
      </c>
      <c r="Q3204" s="7">
        <f>[1]!EM_S_VAL_DIVIDENDYIELD2(B3204,E3204,"2019-11-29")</f>
        <v>0.39318479685452157</v>
      </c>
      <c r="T3204"/>
      <c r="U3204">
        <f>[1]!EM_S_RATIO_EPS_TTM(B3204,E3204,"1")</f>
        <v>0.16513555169595268</v>
      </c>
      <c r="AT3204" s="4" t="str">
        <f>[1]!EM_S_IPO_LISTEDDATE(B3204)</f>
        <v>2012-09-21</v>
      </c>
    </row>
    <row r="3205" spans="1:46">
      <c r="A3205">
        <v>1662</v>
      </c>
      <c r="B3205" t="str">
        <f>"300237"</f>
        <v>300237</v>
      </c>
      <c r="C3205" t="s">
        <v>495</v>
      </c>
      <c r="D3205" t="str">
        <f>[1]!EM_S_INFO_INDEX_EM(B3205,"1")</f>
        <v>建筑</v>
      </c>
      <c r="E3205" s="4">
        <f t="shared" si="50"/>
        <v>43465</v>
      </c>
      <c r="F3205" s="11">
        <f>[1]!EM_S_PQ_PCTCHANGE(B3205,"2018-01-01","2019-12-31","3")</f>
        <v>-71.679487710000004</v>
      </c>
      <c r="G3205" s="11">
        <f>[1]!EM_S_PQ_PCTCHANGE(B3205,"2018-12-31","2019-12-30","1")</f>
        <v>-28.650137740000002</v>
      </c>
      <c r="H3205" s="11">
        <f>[1]!EM_S_FA_YOY_OR(B3205,E3205)</f>
        <v>-10.2345627886</v>
      </c>
      <c r="I3205" s="11">
        <f>[1]!EM_S_FA_GROSSPROFITMARGIN(B3205,E3205)</f>
        <v>31.617870204500001</v>
      </c>
      <c r="J3205" s="11">
        <f>[1]!EM_S_FA_NETPROFITMARGIN(B3205,E3205)</f>
        <v>10.860796023300001</v>
      </c>
      <c r="K3205" s="10">
        <f>[1]!EM_S_FA_ASSETSTURN(B3205,E3205)</f>
        <v>0.402408123916</v>
      </c>
      <c r="L3205" s="12">
        <f>[1]!EM_HKS_VAL_MV(B3205,"2019-12-31","2")</f>
        <v>3792519251.0999999</v>
      </c>
      <c r="M3205">
        <f>[1]!EM_S_VAL_PETTMDEDUCTED(B3205,E3205)</f>
        <v>9.5919513887190604</v>
      </c>
      <c r="N3205" s="7">
        <f>[1]!EM_S_VAL_PBGOODWILLDEDUCTED(B3205,E3205)</f>
        <v>1.7752243913910299</v>
      </c>
      <c r="O3205" s="7">
        <f>[1]!EM_S_VAL_PS_TTM(B3205,E3205)</f>
        <v>1.3210129301913001</v>
      </c>
      <c r="P3205" s="7">
        <f>[1]!EM_S_VAL_PCF_NCFTTM(B3205,E3205)</f>
        <v>-37.260534141754697</v>
      </c>
      <c r="Q3205" s="7">
        <f>[1]!EM_S_VAL_DIVIDENDYIELD2(B3205,E3205,"2019-11-29")</f>
        <v>0</v>
      </c>
      <c r="T3205"/>
      <c r="U3205">
        <f>[1]!EM_S_RATIO_EPS_TTM(B3205,E3205,"1")</f>
        <v>0.2560540635786992</v>
      </c>
      <c r="AT3205" s="4" t="str">
        <f>[1]!EM_S_IPO_LISTEDDATE(B3205)</f>
        <v>2011-06-29</v>
      </c>
    </row>
    <row r="3206" spans="1:46">
      <c r="A3206">
        <v>1926</v>
      </c>
      <c r="B3206" t="str">
        <f>"300501"</f>
        <v>300501</v>
      </c>
      <c r="C3206" t="s">
        <v>1024</v>
      </c>
      <c r="D3206" t="str">
        <f>[1]!EM_S_INFO_INDEX_EM(B3206,"1")</f>
        <v>基础化工</v>
      </c>
      <c r="E3206" s="4">
        <f t="shared" si="50"/>
        <v>43465</v>
      </c>
      <c r="F3206" s="11">
        <f>[1]!EM_S_PQ_PCTCHANGE(B3206,"2018-01-01","2019-12-31","3")</f>
        <v>-21.934257070000001</v>
      </c>
      <c r="G3206" s="11">
        <f>[1]!EM_S_PQ_PCTCHANGE(B3206,"2018-12-31","2019-12-30","1")</f>
        <v>-28.879568599999999</v>
      </c>
      <c r="H3206" s="11">
        <f>[1]!EM_S_FA_YOY_OR(B3206,E3206)</f>
        <v>35.0300162136</v>
      </c>
      <c r="I3206" s="11">
        <f>[1]!EM_S_FA_GROSSPROFITMARGIN(B3206,E3206)</f>
        <v>32.670362745799999</v>
      </c>
      <c r="J3206" s="11">
        <f>[1]!EM_S_FA_NETPROFITMARGIN(B3206,E3206)</f>
        <v>12.690115474700001</v>
      </c>
      <c r="K3206" s="10">
        <f>[1]!EM_S_FA_ASSETSTURN(B3206,E3206)</f>
        <v>0.61390659744200005</v>
      </c>
      <c r="L3206" s="12">
        <f>[1]!EM_HKS_VAL_MV(B3206,"2019-12-31","2")</f>
        <v>1890879984</v>
      </c>
      <c r="M3206">
        <f>[1]!EM_S_VAL_PETTMDEDUCTED(B3206,E3206)</f>
        <v>27.850510895345501</v>
      </c>
      <c r="N3206" s="7">
        <f>[1]!EM_S_VAL_PBGOODWILLDEDUCTED(B3206,E3206)</f>
        <v>2.62891174459183</v>
      </c>
      <c r="O3206" s="7">
        <f>[1]!EM_S_VAL_PS_TTM(B3206,E3206)</f>
        <v>3.63491114703054</v>
      </c>
      <c r="P3206" s="7">
        <f>[1]!EM_S_VAL_PCF_NCFTTM(B3206,E3206)</f>
        <v>3529.6463903697299</v>
      </c>
      <c r="Q3206" s="7">
        <f>[1]!EM_S_VAL_DIVIDENDYIELD2(B3206,E3206,"2019-11-29")</f>
        <v>1.7652250661959399</v>
      </c>
      <c r="T3206"/>
      <c r="U3206">
        <f>[1]!EM_S_RATIO_EPS_TTM(B3206,E3206,"1")</f>
        <v>0.65582591601396401</v>
      </c>
      <c r="AT3206" s="4" t="str">
        <f>[1]!EM_S_IPO_LISTEDDATE(B3206)</f>
        <v>2016-02-04</v>
      </c>
    </row>
    <row r="3207" spans="1:46">
      <c r="A3207">
        <v>1417</v>
      </c>
      <c r="B3207" t="str">
        <f>"002921"</f>
        <v>002921</v>
      </c>
      <c r="C3207" t="s">
        <v>1269</v>
      </c>
      <c r="D3207" t="str">
        <f>[1]!EM_S_INFO_INDEX_EM(B3207,"1")</f>
        <v>交运设备</v>
      </c>
      <c r="E3207" s="4">
        <f t="shared" si="50"/>
        <v>43465</v>
      </c>
      <c r="F3207" s="11">
        <f>[1]!EM_S_PQ_PCTCHANGE(B3207,"2018-01-01","2019-12-31","3")</f>
        <v>-7.56335902</v>
      </c>
      <c r="G3207" s="11">
        <f>[1]!EM_S_PQ_PCTCHANGE(B3207,"2018-12-31","2019-12-30","1")</f>
        <v>-29.179566560000001</v>
      </c>
      <c r="H3207" s="11">
        <f>[1]!EM_S_FA_YOY_OR(B3207,E3207)</f>
        <v>9.1350501616000006</v>
      </c>
      <c r="I3207" s="11">
        <f>[1]!EM_S_FA_GROSSPROFITMARGIN(B3207,E3207)</f>
        <v>24.0574517198</v>
      </c>
      <c r="J3207" s="11">
        <f>[1]!EM_S_FA_NETPROFITMARGIN(B3207,E3207)</f>
        <v>6.6989043281000002</v>
      </c>
      <c r="K3207" s="10">
        <f>[1]!EM_S_FA_ASSETSTURN(B3207,E3207)</f>
        <v>0.56052384790499998</v>
      </c>
      <c r="L3207" s="12">
        <f>[1]!EM_HKS_VAL_MV(B3207,"2019-12-31","2")</f>
        <v>1468800000</v>
      </c>
      <c r="M3207">
        <f>[1]!EM_S_VAL_PETTMDEDUCTED(B3207,E3207)</f>
        <v>54.675080748286298</v>
      </c>
      <c r="N3207" s="7">
        <f>[1]!EM_S_VAL_PBGOODWILLDEDUCTED(B3207,E3207)</f>
        <v>3.0765717619553299</v>
      </c>
      <c r="O3207" s="7">
        <f>[1]!EM_S_VAL_PS_TTM(B3207,E3207)</f>
        <v>3.1755066939101799</v>
      </c>
      <c r="P3207" s="7">
        <f>[1]!EM_S_VAL_PCF_NCFTTM(B3207,E3207)</f>
        <v>35.322168223328397</v>
      </c>
      <c r="Q3207" s="7">
        <f>[1]!EM_S_VAL_DIVIDENDYIELD2(B3207,E3207,"2019-11-29")</f>
        <v>0.88235294117647056</v>
      </c>
      <c r="T3207"/>
      <c r="U3207">
        <f>[1]!EM_S_RATIO_EPS_TTM(B3207,E3207,"1")</f>
        <v>0.56201929637500003</v>
      </c>
      <c r="AT3207" s="4" t="str">
        <f>[1]!EM_S_IPO_LISTEDDATE(B3207)</f>
        <v>2017-12-27</v>
      </c>
    </row>
    <row r="3208" spans="1:46">
      <c r="A3208">
        <v>268</v>
      </c>
      <c r="B3208" t="str">
        <f>"000681"</f>
        <v>000681</v>
      </c>
      <c r="C3208" t="s">
        <v>1731</v>
      </c>
      <c r="D3208" t="str">
        <f>[1]!EM_S_INFO_INDEX_EM(B3208,"1")</f>
        <v>文化传媒</v>
      </c>
      <c r="E3208" s="4">
        <f t="shared" si="50"/>
        <v>43465</v>
      </c>
      <c r="F3208" s="11">
        <f>[1]!EM_S_PQ_PCTCHANGE(B3208,"2018-01-01","2019-12-31","3")</f>
        <v>-11.231832109999999</v>
      </c>
      <c r="G3208" s="11">
        <f>[1]!EM_S_PQ_PCTCHANGE(B3208,"2018-12-31","2019-12-30","1")</f>
        <v>-29.28816467</v>
      </c>
      <c r="H3208" s="11">
        <f>[1]!EM_S_FA_YOY_OR(B3208,E3208)</f>
        <v>21.2739267818</v>
      </c>
      <c r="I3208" s="11">
        <f>[1]!EM_S_FA_GROSSPROFITMARGIN(B3208,E3208)</f>
        <v>64.653460162299993</v>
      </c>
      <c r="J3208" s="11">
        <f>[1]!EM_S_FA_NETPROFITMARGIN(B3208,E3208)</f>
        <v>33.937792838900002</v>
      </c>
      <c r="K3208" s="10">
        <f>[1]!EM_S_FA_ASSETSTURN(B3208,E3208)</f>
        <v>0.237190397177</v>
      </c>
      <c r="L3208" s="12">
        <f>[1]!EM_HKS_VAL_MV(B3208,"2019-12-31","2")</f>
        <v>12077954996.639999</v>
      </c>
      <c r="M3208">
        <f>[1]!EM_S_VAL_PETTMDEDUCTED(B3208,E3208)</f>
        <v>48.5493974851492</v>
      </c>
      <c r="N3208" s="7">
        <f>[1]!EM_S_VAL_PBGOODWILLDEDUCTED(B3208,E3208)</f>
        <v>9.54967699730833</v>
      </c>
      <c r="O3208" s="7">
        <f>[1]!EM_S_VAL_PS_TTM(B3208,E3208)</f>
        <v>17.452425710344102</v>
      </c>
      <c r="P3208" s="7">
        <f>[1]!EM_S_VAL_PCF_NCFTTM(B3208,E3208)</f>
        <v>-155.43097948732401</v>
      </c>
      <c r="Q3208" s="7">
        <f>[1]!EM_S_VAL_DIVIDENDYIELD2(B3208,E3208,"2019-11-29")</f>
        <v>0.23127199597787829</v>
      </c>
      <c r="T3208"/>
      <c r="U3208">
        <f>[1]!EM_S_RATIO_EPS_TTM(B3208,E3208,"1")</f>
        <v>0.45849516563647935</v>
      </c>
      <c r="AT3208" s="4" t="str">
        <f>[1]!EM_S_IPO_LISTEDDATE(B3208)</f>
        <v>1997-01-21</v>
      </c>
    </row>
    <row r="3209" spans="1:46">
      <c r="A3209">
        <v>3462</v>
      </c>
      <c r="B3209" t="str">
        <f>"603616"</f>
        <v>603616</v>
      </c>
      <c r="C3209" t="s">
        <v>2984</v>
      </c>
      <c r="D3209" t="str">
        <f>[1]!EM_S_INFO_INDEX_EM(B3209,"1")</f>
        <v>建材</v>
      </c>
      <c r="E3209" s="4">
        <f t="shared" si="50"/>
        <v>43465</v>
      </c>
      <c r="F3209" s="11">
        <f>[1]!EM_S_PQ_PCTCHANGE(B3209,"2018-01-01","2019-12-31","3")</f>
        <v>-46.297815890000003</v>
      </c>
      <c r="G3209" s="11">
        <f>[1]!EM_S_PQ_PCTCHANGE(B3209,"2018-12-31","2019-12-30","1")</f>
        <v>-29.350649350000001</v>
      </c>
      <c r="H3209" s="11">
        <f>[1]!EM_S_FA_YOY_OR(B3209,E3209)</f>
        <v>40.306805165</v>
      </c>
      <c r="I3209" s="11">
        <f>[1]!EM_S_FA_GROSSPROFITMARGIN(B3209,E3209)</f>
        <v>22.980451802800001</v>
      </c>
      <c r="J3209" s="11">
        <f>[1]!EM_S_FA_NETPROFITMARGIN(B3209,E3209)</f>
        <v>2.1230779618</v>
      </c>
      <c r="K3209" s="10">
        <f>[1]!EM_S_FA_ASSETSTURN(B3209,E3209)</f>
        <v>0.50489482143700004</v>
      </c>
      <c r="L3209" s="12">
        <f>[1]!EM_HKS_VAL_MV(B3209,"2019-12-31","2")</f>
        <v>2417286400</v>
      </c>
      <c r="M3209">
        <f>[1]!EM_S_VAL_PETTMDEDUCTED(B3209,E3209)</f>
        <v>-75.228980736207703</v>
      </c>
      <c r="N3209" s="7">
        <f>[1]!EM_S_VAL_PBGOODWILLDEDUCTED(B3209,E3209)</f>
        <v>8.8478787668390808</v>
      </c>
      <c r="O3209" s="7">
        <f>[1]!EM_S_VAL_PS_TTM(B3209,E3209)</f>
        <v>3.84955121204296</v>
      </c>
      <c r="P3209" s="7">
        <f>[1]!EM_S_VAL_PCF_NCFTTM(B3209,E3209)</f>
        <v>-24.920973087523301</v>
      </c>
      <c r="Q3209" s="7">
        <f>[1]!EM_S_VAL_DIVIDENDYIELD2(B3209,E3209,"2019-11-29")</f>
        <v>0.16500000000000001</v>
      </c>
      <c r="T3209"/>
      <c r="U3209">
        <f>[1]!EM_S_RATIO_EPS_TTM(B3209,E3209,"1")</f>
        <v>4.3983358433324238E-2</v>
      </c>
      <c r="AT3209" s="4" t="str">
        <f>[1]!EM_S_IPO_LISTEDDATE(B3209)</f>
        <v>2015-06-11</v>
      </c>
    </row>
    <row r="3210" spans="1:46">
      <c r="A3210">
        <v>2267</v>
      </c>
      <c r="B3210" t="str">
        <f>"600120"</f>
        <v>600120</v>
      </c>
      <c r="C3210" t="s">
        <v>1195</v>
      </c>
      <c r="D3210" t="str">
        <f>[1]!EM_S_INFO_INDEX_EM(B3210,"1")</f>
        <v>金融</v>
      </c>
      <c r="E3210" s="4">
        <f t="shared" si="50"/>
        <v>43465</v>
      </c>
      <c r="F3210" s="11">
        <f>[1]!EM_S_PQ_PCTCHANGE(B3210,"2018-01-01","2019-12-31","3")</f>
        <v>-14.995716760000001</v>
      </c>
      <c r="G3210" s="11">
        <f>[1]!EM_S_PQ_PCTCHANGE(B3210,"2018-12-31","2019-12-30","1")</f>
        <v>-29.77707006</v>
      </c>
      <c r="H3210" s="11">
        <f>[1]!EM_S_FA_YOY_OR(B3210,E3210)</f>
        <v>7.6936075580000001</v>
      </c>
      <c r="I3210" s="11">
        <f>[1]!EM_S_FA_GROSSPROFITMARGIN(B3210,E3210)</f>
        <v>3.6108357115</v>
      </c>
      <c r="J3210" s="11">
        <f>[1]!EM_S_FA_NETPROFITMARGIN(B3210,E3210)</f>
        <v>7.874064916</v>
      </c>
      <c r="K3210" s="10">
        <f>[1]!EM_S_FA_ASSETSTURN(B3210,E3210)</f>
        <v>0.57195652987699996</v>
      </c>
      <c r="L3210" s="12">
        <f>[1]!EM_HKS_VAL_MV(B3210,"2019-12-31","2")</f>
        <v>13892802660.9</v>
      </c>
      <c r="M3210">
        <f>[1]!EM_S_VAL_PETTMDEDUCTED(B3210,E3210)</f>
        <v>26.816258809310099</v>
      </c>
      <c r="N3210" s="7">
        <f>[1]!EM_S_VAL_PBGOODWILLDEDUCTED(B3210,E3210)</f>
        <v>1.1902463087872299</v>
      </c>
      <c r="O3210" s="7">
        <f>[1]!EM_S_VAL_PS_TTM(B3210,E3210)</f>
        <v>1.1761247608794201</v>
      </c>
      <c r="P3210" s="7">
        <f>[1]!EM_S_VAL_PCF_NCFTTM(B3210,E3210)</f>
        <v>8.9509596038550008</v>
      </c>
      <c r="Q3210" s="7">
        <f>[1]!EM_S_VAL_DIVIDENDYIELD2(B3210,E3210,"2019-11-29")</f>
        <v>0.68510043540530319</v>
      </c>
      <c r="T3210"/>
      <c r="U3210">
        <f>[1]!EM_S_RATIO_EPS_TTM(B3210,E3210,"1")</f>
        <v>0.80472142376257172</v>
      </c>
      <c r="AT3210" s="4" t="str">
        <f>[1]!EM_S_IPO_LISTEDDATE(B3210)</f>
        <v>1997-12-01</v>
      </c>
    </row>
    <row r="3211" spans="1:46">
      <c r="A3211">
        <v>239</v>
      </c>
      <c r="B3211" t="str">
        <f>"000639"</f>
        <v>000639</v>
      </c>
      <c r="C3211" t="s">
        <v>581</v>
      </c>
      <c r="D3211" t="str">
        <f>[1]!EM_S_INFO_INDEX_EM(B3211,"1")</f>
        <v>农林牧渔</v>
      </c>
      <c r="E3211" s="4">
        <f t="shared" si="50"/>
        <v>43465</v>
      </c>
      <c r="F3211" s="11">
        <f>[1]!EM_S_PQ_PCTCHANGE(B3211,"2018-01-01","2019-12-31","3")</f>
        <v>-52.445945870000003</v>
      </c>
      <c r="G3211" s="11">
        <f>[1]!EM_S_PQ_PCTCHANGE(B3211,"2018-12-31","2019-12-30","1")</f>
        <v>-29.797191890000001</v>
      </c>
      <c r="H3211" s="11">
        <f>[1]!EM_S_FA_YOY_OR(B3211,E3211)</f>
        <v>4.0349790720999996</v>
      </c>
      <c r="I3211" s="11">
        <f>[1]!EM_S_FA_GROSSPROFITMARGIN(B3211,E3211)</f>
        <v>36.302949278</v>
      </c>
      <c r="J3211" s="11">
        <f>[1]!EM_S_FA_NETPROFITMARGIN(B3211,E3211)</f>
        <v>9.1033948259000006</v>
      </c>
      <c r="K3211" s="10">
        <f>[1]!EM_S_FA_ASSETSTURN(B3211,E3211)</f>
        <v>0.64993289454900005</v>
      </c>
      <c r="L3211" s="12">
        <f>[1]!EM_HKS_VAL_MV(B3211,"2019-12-31","2")</f>
        <v>4889809270.3500004</v>
      </c>
      <c r="M3211">
        <f>[1]!EM_S_VAL_PETTMDEDUCTED(B3211,E3211)</f>
        <v>11.792647006276299</v>
      </c>
      <c r="N3211" s="7">
        <f>[1]!EM_S_VAL_PBGOODWILLDEDUCTED(B3211,E3211)</f>
        <v>2.0218521422819702</v>
      </c>
      <c r="O3211" s="7">
        <f>[1]!EM_S_VAL_PS_TTM(B3211,E3211)</f>
        <v>0.88458566552594697</v>
      </c>
      <c r="P3211" s="7">
        <f>[1]!EM_S_VAL_PCF_NCFTTM(B3211,E3211)</f>
        <v>4.1173216754473199</v>
      </c>
      <c r="Q3211" s="7">
        <f>[1]!EM_S_VAL_DIVIDENDYIELD2(B3211,E3211,"2019-11-29")</f>
        <v>1.2288786484611776</v>
      </c>
      <c r="T3211"/>
      <c r="U3211">
        <f>[1]!EM_S_RATIO_EPS_TTM(B3211,E3211,"1")</f>
        <v>0.60758849689240513</v>
      </c>
      <c r="AT3211" s="4" t="str">
        <f>[1]!EM_S_IPO_LISTEDDATE(B3211)</f>
        <v>1996-11-26</v>
      </c>
    </row>
    <row r="3212" spans="1:46">
      <c r="A3212">
        <v>670</v>
      </c>
      <c r="B3212" t="str">
        <f>"002159"</f>
        <v>002159</v>
      </c>
      <c r="C3212" t="s">
        <v>3582</v>
      </c>
      <c r="D3212" t="str">
        <f>[1]!EM_S_INFO_INDEX_EM(B3212,"1")</f>
        <v>休闲、生活及专业服务</v>
      </c>
      <c r="E3212" s="4">
        <f t="shared" si="50"/>
        <v>43465</v>
      </c>
      <c r="F3212" s="11">
        <f>[1]!EM_S_PQ_PCTCHANGE(B3212,"2018-01-01","2019-12-31","3")</f>
        <v>-34.660297239999998</v>
      </c>
      <c r="G3212" s="11">
        <f>[1]!EM_S_PQ_PCTCHANGE(B3212,"2018-12-31","2019-12-30","1")</f>
        <v>-29.806598409999999</v>
      </c>
      <c r="H3212" s="11">
        <f>[1]!EM_S_FA_YOY_OR(B3212,E3212)</f>
        <v>20.161611194300001</v>
      </c>
      <c r="I3212" s="11">
        <f>[1]!EM_S_FA_GROSSPROFITMARGIN(B3212,E3212)</f>
        <v>55.613923991999997</v>
      </c>
      <c r="J3212" s="11">
        <f>[1]!EM_S_FA_NETPROFITMARGIN(B3212,E3212)</f>
        <v>21.890739120999999</v>
      </c>
      <c r="K3212" s="10">
        <f>[1]!EM_S_FA_ASSETSTURN(B3212,E3212)</f>
        <v>0.23417598610900001</v>
      </c>
      <c r="L3212" s="12">
        <f>[1]!EM_HKS_VAL_MV(B3212,"2019-12-31","2")</f>
        <v>1706986658.46</v>
      </c>
      <c r="M3212">
        <f>[1]!EM_S_VAL_PETTMDEDUCTED(B3212,E3212)</f>
        <v>570.12570486040102</v>
      </c>
      <c r="N3212" s="7">
        <f>[1]!EM_S_VAL_PBGOODWILLDEDUCTED(B3212,E3212)</f>
        <v>2.7744555028809499</v>
      </c>
      <c r="O3212" s="7">
        <f>[1]!EM_S_VAL_PS_TTM(B3212,E3212)</f>
        <v>3.75496955843641</v>
      </c>
      <c r="P3212" s="7">
        <f>[1]!EM_S_VAL_PCF_NCFTTM(B3212,E3212)</f>
        <v>9.5681147700383509</v>
      </c>
      <c r="Q3212" s="7">
        <f>[1]!EM_S_VAL_DIVIDENDYIELD2(B3212,E3212,"2019-11-29")</f>
        <v>0</v>
      </c>
      <c r="T3212"/>
      <c r="U3212">
        <f>[1]!EM_S_RATIO_EPS_TTM(B3212,E3212,"1")</f>
        <v>0.97158694346916807</v>
      </c>
      <c r="AT3212" s="4" t="str">
        <f>[1]!EM_S_IPO_LISTEDDATE(B3212)</f>
        <v>2007-08-17</v>
      </c>
    </row>
    <row r="3213" spans="1:46">
      <c r="A3213">
        <v>1097</v>
      </c>
      <c r="B3213" t="str">
        <f>"002586"</f>
        <v>002586</v>
      </c>
      <c r="C3213" t="s">
        <v>2357</v>
      </c>
      <c r="D3213" t="str">
        <f>[1]!EM_S_INFO_INDEX_EM(B3213,"1")</f>
        <v>建筑</v>
      </c>
      <c r="E3213" s="4">
        <f t="shared" si="50"/>
        <v>43465</v>
      </c>
      <c r="F3213" s="11">
        <f>[1]!EM_S_PQ_PCTCHANGE(B3213,"2018-01-01","2019-12-31","3")</f>
        <v>-63.442913709999999</v>
      </c>
      <c r="G3213" s="11">
        <f>[1]!EM_S_PQ_PCTCHANGE(B3213,"2018-12-31","2019-12-30","1")</f>
        <v>-29.867256640000001</v>
      </c>
      <c r="H3213" s="11">
        <f>[1]!EM_S_FA_YOY_OR(B3213,E3213)</f>
        <v>23.3120136593</v>
      </c>
      <c r="I3213" s="11">
        <f>[1]!EM_S_FA_GROSSPROFITMARGIN(B3213,E3213)</f>
        <v>15.6220972748</v>
      </c>
      <c r="J3213" s="11">
        <f>[1]!EM_S_FA_NETPROFITMARGIN(B3213,E3213)</f>
        <v>7.3873994016999998</v>
      </c>
      <c r="K3213" s="10">
        <f>[1]!EM_S_FA_ASSETSTURN(B3213,E3213)</f>
        <v>0.35719314404699998</v>
      </c>
      <c r="L3213" s="12">
        <f>[1]!EM_HKS_VAL_MV(B3213,"2019-12-31","2")</f>
        <v>3569977987.6799998</v>
      </c>
      <c r="M3213">
        <f>[1]!EM_S_VAL_PETTMDEDUCTED(B3213,E3213)</f>
        <v>20.339749506653099</v>
      </c>
      <c r="N3213" s="7">
        <f>[1]!EM_S_VAL_PBGOODWILLDEDUCTED(B3213,E3213)</f>
        <v>1.1156581271933601</v>
      </c>
      <c r="O3213" s="7">
        <f>[1]!EM_S_VAL_PS_TTM(B3213,E3213)</f>
        <v>1.47543861263291</v>
      </c>
      <c r="P3213" s="7">
        <f>[1]!EM_S_VAL_PCF_NCFTTM(B3213,E3213)</f>
        <v>8.4466417076389195</v>
      </c>
      <c r="Q3213" s="7">
        <f>[1]!EM_S_VAL_DIVIDENDYIELD2(B3213,E3213,"2019-11-29")</f>
        <v>5.1020408163265305</v>
      </c>
      <c r="T3213"/>
      <c r="U3213">
        <f>[1]!EM_S_RATIO_EPS_TTM(B3213,E3213,"1")</f>
        <v>0.22103050273785882</v>
      </c>
      <c r="AT3213" s="4" t="str">
        <f>[1]!EM_S_IPO_LISTEDDATE(B3213)</f>
        <v>2011-06-02</v>
      </c>
    </row>
    <row r="3214" spans="1:46">
      <c r="A3214">
        <v>2771</v>
      </c>
      <c r="B3214" t="str">
        <f>"600698"</f>
        <v>600698</v>
      </c>
      <c r="C3214" t="s">
        <v>3268</v>
      </c>
      <c r="D3214" t="str">
        <f>[1]!EM_S_INFO_INDEX_EM(B3214,"1")</f>
        <v>交运设备</v>
      </c>
      <c r="E3214" s="4">
        <f t="shared" si="50"/>
        <v>43465</v>
      </c>
      <c r="F3214" s="11">
        <f>[1]!EM_S_PQ_PCTCHANGE(B3214,"2018-01-01","2019-12-31","3")</f>
        <v>-63.454317899999999</v>
      </c>
      <c r="G3214" s="11">
        <f>[1]!EM_S_PQ_PCTCHANGE(B3214,"2018-12-31","2019-12-30","1")</f>
        <v>-29.87951807</v>
      </c>
      <c r="H3214" s="11">
        <f>[1]!EM_S_FA_YOY_OR(B3214,E3214)</f>
        <v>-19.4709091908</v>
      </c>
      <c r="I3214" s="11">
        <f>[1]!EM_S_FA_GROSSPROFITMARGIN(B3214,E3214)</f>
        <v>12.685430804699999</v>
      </c>
      <c r="J3214" s="11">
        <f>[1]!EM_S_FA_NETPROFITMARGIN(B3214,E3214)</f>
        <v>-18.9568920864</v>
      </c>
      <c r="K3214" s="10">
        <f>[1]!EM_S_FA_ASSETSTURN(B3214,E3214)</f>
        <v>0.37630082693200001</v>
      </c>
      <c r="L3214" s="12">
        <f>[1]!EM_HKS_VAL_MV(B3214,"2019-12-31","2")</f>
        <v>3108077293.4400001</v>
      </c>
      <c r="M3214">
        <f>[1]!EM_S_VAL_PETTMDEDUCTED(B3214,E3214)</f>
        <v>-43.961101483989601</v>
      </c>
      <c r="N3214" s="7">
        <f>[1]!EM_S_VAL_PBGOODWILLDEDUCTED(B3214,E3214)</f>
        <v>8.2586725517499406</v>
      </c>
      <c r="O3214" s="7">
        <f>[1]!EM_S_VAL_PS_TTM(B3214,E3214)</f>
        <v>7.9878166858363597</v>
      </c>
      <c r="P3214" s="7">
        <f>[1]!EM_S_VAL_PCF_NCFTTM(B3214,E3214)</f>
        <v>-390.02400222913798</v>
      </c>
      <c r="Q3214" s="7">
        <f>[1]!EM_S_VAL_DIVIDENDYIELD2(B3214,E3214,"2019-11-29")</f>
        <v>0</v>
      </c>
      <c r="T3214"/>
      <c r="U3214">
        <f>[1]!EM_S_RATIO_EPS_TTM(B3214,E3214,"1")</f>
        <v>-9.1520057707546384E-2</v>
      </c>
      <c r="AT3214" s="4" t="str">
        <f>[1]!EM_S_IPO_LISTEDDATE(B3214)</f>
        <v>1993-12-06</v>
      </c>
    </row>
    <row r="3215" spans="1:46">
      <c r="A3215">
        <v>1028</v>
      </c>
      <c r="B3215" t="str">
        <f>"002517"</f>
        <v>002517</v>
      </c>
      <c r="C3215" t="s">
        <v>293</v>
      </c>
      <c r="D3215" t="str">
        <f>[1]!EM_S_INFO_INDEX_EM(B3215,"1")</f>
        <v>互联网</v>
      </c>
      <c r="E3215" s="4">
        <f t="shared" si="50"/>
        <v>43465</v>
      </c>
      <c r="F3215" s="11">
        <f>[1]!EM_S_PQ_PCTCHANGE(B3215,"2018-01-01","2019-12-31","3")</f>
        <v>-82.424809400000001</v>
      </c>
      <c r="G3215" s="11">
        <f>[1]!EM_S_PQ_PCTCHANGE(B3215,"2018-12-31","2019-12-30","1")</f>
        <v>-29.919137469999999</v>
      </c>
      <c r="H3215" s="11">
        <f>[1]!EM_S_FA_YOY_OR(B3215,E3215)</f>
        <v>-27.130082102100001</v>
      </c>
      <c r="I3215" s="11">
        <f>[1]!EM_S_FA_GROSSPROFITMARGIN(B3215,E3215)</f>
        <v>70.264901778500004</v>
      </c>
      <c r="J3215" s="11">
        <f>[1]!EM_S_FA_NETPROFITMARGIN(B3215,E3215)</f>
        <v>12.985736576900001</v>
      </c>
      <c r="K3215" s="10">
        <f>[1]!EM_S_FA_ASSETSTURN(B3215,E3215)</f>
        <v>0.375278287333</v>
      </c>
      <c r="L3215" s="12">
        <f>[1]!EM_HKS_VAL_MV(B3215,"2019-12-31","2")</f>
        <v>5553495495.7200003</v>
      </c>
      <c r="M3215">
        <f>[1]!EM_S_VAL_PETTMDEDUCTED(B3215,E3215)</f>
        <v>8.3614119461883103</v>
      </c>
      <c r="N3215" s="7">
        <f>[1]!EM_S_VAL_PBGOODWILLDEDUCTED(B3215,E3215)</f>
        <v>4.3110841041138404</v>
      </c>
      <c r="O3215" s="7">
        <f>[1]!EM_S_VAL_PS_TTM(B3215,E3215)</f>
        <v>2.8787037610694099</v>
      </c>
      <c r="P3215" s="7">
        <f>[1]!EM_S_VAL_PCF_NCFTTM(B3215,E3215)</f>
        <v>-37.653087020441298</v>
      </c>
      <c r="Q3215" s="7">
        <f>[1]!EM_S_VAL_DIVIDENDYIELD2(B3215,E3215,"2019-11-29")</f>
        <v>0</v>
      </c>
      <c r="T3215"/>
      <c r="U3215">
        <f>[1]!EM_S_RATIO_EPS_TTM(B3215,E3215,"1")</f>
        <v>8.1014583841499913E-2</v>
      </c>
      <c r="AT3215" s="4" t="str">
        <f>[1]!EM_S_IPO_LISTEDDATE(B3215)</f>
        <v>2010-12-07</v>
      </c>
    </row>
    <row r="3216" spans="1:46">
      <c r="A3216">
        <v>2975</v>
      </c>
      <c r="B3216" t="str">
        <f>"600903"</f>
        <v>600903</v>
      </c>
      <c r="C3216" t="s">
        <v>1774</v>
      </c>
      <c r="D3216" t="str">
        <f>[1]!EM_S_INFO_INDEX_EM(B3216,"1")</f>
        <v>公用事业</v>
      </c>
      <c r="E3216" s="4">
        <f t="shared" si="50"/>
        <v>43465</v>
      </c>
      <c r="F3216" s="11">
        <f>[1]!EM_S_PQ_PCTCHANGE(B3216,"2018-01-01","2019-12-31","3")</f>
        <v>23.27874387</v>
      </c>
      <c r="G3216" s="11">
        <f>[1]!EM_S_PQ_PCTCHANGE(B3216,"2018-12-31","2019-12-30","1")</f>
        <v>-29.952606639999999</v>
      </c>
      <c r="H3216" s="11">
        <f>[1]!EM_S_FA_YOY_OR(B3216,E3216)</f>
        <v>29.752406775200001</v>
      </c>
      <c r="I3216" s="11">
        <f>[1]!EM_S_FA_GROSSPROFITMARGIN(B3216,E3216)</f>
        <v>19.312289115399999</v>
      </c>
      <c r="J3216" s="11">
        <f>[1]!EM_S_FA_NETPROFITMARGIN(B3216,E3216)</f>
        <v>4.6802082781000003</v>
      </c>
      <c r="K3216" s="10">
        <f>[1]!EM_S_FA_ASSETSTURN(B3216,E3216)</f>
        <v>0.45449349113999998</v>
      </c>
      <c r="L3216" s="12">
        <f>[1]!EM_HKS_VAL_MV(B3216,"2019-12-31","2")</f>
        <v>16822374699.059999</v>
      </c>
      <c r="M3216">
        <f>[1]!EM_S_VAL_PETTMDEDUCTED(B3216,E3216)</f>
        <v>134.57676204441199</v>
      </c>
      <c r="N3216" s="7">
        <f>[1]!EM_S_VAL_PBGOODWILLDEDUCTED(B3216,E3216)</f>
        <v>7.5800967522151304</v>
      </c>
      <c r="O3216" s="7">
        <f>[1]!EM_S_VAL_PS_TTM(B3216,E3216)</f>
        <v>5.2845786197903397</v>
      </c>
      <c r="P3216" s="7">
        <f>[1]!EM_S_VAL_PCF_NCFTTM(B3216,E3216)</f>
        <v>37.556393384705899</v>
      </c>
      <c r="Q3216" s="7">
        <f>[1]!EM_S_VAL_DIVIDENDYIELD2(B3216,E3216,"2019-11-29")</f>
        <v>0.2993731873889045</v>
      </c>
      <c r="T3216"/>
      <c r="U3216">
        <f>[1]!EM_S_RATIO_EPS_TTM(B3216,E3216,"1")</f>
        <v>0.21120794552149735</v>
      </c>
      <c r="AT3216" s="4" t="str">
        <f>[1]!EM_S_IPO_LISTEDDATE(B3216)</f>
        <v>2017-11-07</v>
      </c>
    </row>
    <row r="3217" spans="1:46">
      <c r="A3217">
        <v>1173</v>
      </c>
      <c r="B3217" t="str">
        <f>"002662"</f>
        <v>002662</v>
      </c>
      <c r="C3217" t="s">
        <v>3297</v>
      </c>
      <c r="D3217" t="str">
        <f>[1]!EM_S_INFO_INDEX_EM(B3217,"1")</f>
        <v>交运设备</v>
      </c>
      <c r="E3217" s="4">
        <f t="shared" si="50"/>
        <v>43465</v>
      </c>
      <c r="F3217" s="11">
        <f>[1]!EM_S_PQ_PCTCHANGE(B3217,"2018-01-01","2019-12-31","3")</f>
        <v>-62.643885449999999</v>
      </c>
      <c r="G3217" s="11">
        <f>[1]!EM_S_PQ_PCTCHANGE(B3217,"2018-12-31","2019-12-30","1")</f>
        <v>-29.973474800000002</v>
      </c>
      <c r="H3217" s="11">
        <f>[1]!EM_S_FA_YOY_OR(B3217,E3217)</f>
        <v>-4.8744352423999997</v>
      </c>
      <c r="I3217" s="11">
        <f>[1]!EM_S_FA_GROSSPROFITMARGIN(B3217,E3217)</f>
        <v>15.291930213800001</v>
      </c>
      <c r="J3217" s="11">
        <f>[1]!EM_S_FA_NETPROFITMARGIN(B3217,E3217)</f>
        <v>1.6859601935999999</v>
      </c>
      <c r="K3217" s="10">
        <f>[1]!EM_S_FA_ASSETSTURN(B3217,E3217)</f>
        <v>0.55755778295199998</v>
      </c>
      <c r="L3217" s="12">
        <f>[1]!EM_HKS_VAL_MV(B3217,"2019-12-31","2")</f>
        <v>3960000000</v>
      </c>
      <c r="M3217">
        <f>[1]!EM_S_VAL_PETTMDEDUCTED(B3217,E3217)</f>
        <v>-11.998457373930201</v>
      </c>
      <c r="N3217" s="7">
        <f>[1]!EM_S_VAL_PBGOODWILLDEDUCTED(B3217,E3217)</f>
        <v>1.18658673237934</v>
      </c>
      <c r="O3217" s="7">
        <f>[1]!EM_S_VAL_PS_TTM(B3217,E3217)</f>
        <v>0.955726306991728</v>
      </c>
      <c r="P3217" s="7">
        <f>[1]!EM_S_VAL_PCF_NCFTTM(B3217,E3217)</f>
        <v>-22.720294986096999</v>
      </c>
      <c r="Q3217" s="7">
        <f>[1]!EM_S_VAL_DIVIDENDYIELD2(B3217,E3217,"2019-11-29")</f>
        <v>0.77220077220077221</v>
      </c>
      <c r="T3217"/>
      <c r="U3217">
        <f>[1]!EM_S_RATIO_EPS_TTM(B3217,E3217,"1")</f>
        <v>6.081787226666667E-2</v>
      </c>
      <c r="AT3217" s="4" t="str">
        <f>[1]!EM_S_IPO_LISTEDDATE(B3217)</f>
        <v>2012-03-09</v>
      </c>
    </row>
    <row r="3218" spans="1:46">
      <c r="A3218">
        <v>2739</v>
      </c>
      <c r="B3218" t="str">
        <f>"600666"</f>
        <v>600666</v>
      </c>
      <c r="C3218" t="s">
        <v>1376</v>
      </c>
      <c r="D3218" t="str">
        <f>[1]!EM_S_INFO_INDEX_EM(B3218,"1")</f>
        <v>机械设备</v>
      </c>
      <c r="E3218" s="4">
        <f t="shared" si="50"/>
        <v>43465</v>
      </c>
      <c r="F3218" s="11">
        <f>[1]!EM_S_PQ_PCTCHANGE(B3218,"2018-01-01","2019-12-31","3")</f>
        <v>-87.356321840000007</v>
      </c>
      <c r="G3218" s="11">
        <f>[1]!EM_S_PQ_PCTCHANGE(B3218,"2018-12-31","2019-12-30","1")</f>
        <v>-30.033003300000001</v>
      </c>
      <c r="H3218" s="11">
        <f>[1]!EM_S_FA_YOY_OR(B3218,E3218)</f>
        <v>-5.4181385002000004</v>
      </c>
      <c r="I3218" s="11">
        <f>[1]!EM_S_FA_GROSSPROFITMARGIN(B3218,E3218)</f>
        <v>17.789983510700001</v>
      </c>
      <c r="J3218" s="11">
        <f>[1]!EM_S_FA_NETPROFITMARGIN(B3218,E3218)</f>
        <v>-155.6155347449</v>
      </c>
      <c r="K3218" s="10">
        <f>[1]!EM_S_FA_ASSETSTURN(B3218,E3218)</f>
        <v>0.203557320918</v>
      </c>
      <c r="L3218" s="12">
        <f>[1]!EM_HKS_VAL_MV(B3218,"2019-12-31","2")</f>
        <v>2700117728</v>
      </c>
      <c r="M3218">
        <f>[1]!EM_S_VAL_PETTMDEDUCTED(B3218,E3218)</f>
        <v>-49.949997399907403</v>
      </c>
      <c r="N3218" s="7">
        <f>[1]!EM_S_VAL_PBGOODWILLDEDUCTED(B3218,E3218)</f>
        <v>20.226682898748301</v>
      </c>
      <c r="O3218" s="7">
        <f>[1]!EM_S_VAL_PS_TTM(B3218,E3218)</f>
        <v>2.8114809383815298</v>
      </c>
      <c r="P3218" s="7">
        <f>[1]!EM_S_VAL_PCF_NCFTTM(B3218,E3218)</f>
        <v>226.243059993782</v>
      </c>
      <c r="Q3218" s="7">
        <f>[1]!EM_S_VAL_DIVIDENDYIELD2(B3218,E3218,"2019-11-29")</f>
        <v>0</v>
      </c>
      <c r="T3218"/>
      <c r="U3218">
        <f>[1]!EM_S_RATIO_EPS_TTM(B3218,E3218,"1")</f>
        <v>-1.4187995127033217</v>
      </c>
      <c r="AT3218" s="4" t="str">
        <f>[1]!EM_S_IPO_LISTEDDATE(B3218)</f>
        <v>1993-07-12</v>
      </c>
    </row>
    <row r="3219" spans="1:46">
      <c r="A3219">
        <v>1151</v>
      </c>
      <c r="B3219" t="str">
        <f>"002640"</f>
        <v>002640</v>
      </c>
      <c r="C3219" t="s">
        <v>271</v>
      </c>
      <c r="D3219" t="str">
        <f>[1]!EM_S_INFO_INDEX_EM(B3219,"1")</f>
        <v>互联网</v>
      </c>
      <c r="E3219" s="4">
        <f t="shared" si="50"/>
        <v>43465</v>
      </c>
      <c r="F3219" s="11">
        <f>[1]!EM_S_PQ_PCTCHANGE(B3219,"2018-01-01","2019-12-31","3")</f>
        <v>-59.338853720000003</v>
      </c>
      <c r="G3219" s="11">
        <f>[1]!EM_S_PQ_PCTCHANGE(B3219,"2018-12-31","2019-12-30","1")</f>
        <v>-30.092592589999999</v>
      </c>
      <c r="H3219" s="11">
        <f>[1]!EM_S_FA_YOY_OR(B3219,E3219)</f>
        <v>53.617004939399997</v>
      </c>
      <c r="I3219" s="11">
        <f>[1]!EM_S_FA_GROSSPROFITMARGIN(B3219,E3219)</f>
        <v>40.584120810800002</v>
      </c>
      <c r="J3219" s="11">
        <f>[1]!EM_S_FA_NETPROFITMARGIN(B3219,E3219)</f>
        <v>2.8460603264</v>
      </c>
      <c r="K3219" s="10">
        <f>[1]!EM_S_FA_ASSETSTURN(B3219,E3219)</f>
        <v>2.0610040934049998</v>
      </c>
      <c r="L3219" s="12">
        <f>[1]!EM_HKS_VAL_MV(B3219,"2019-12-31","2")</f>
        <v>12028079067.6</v>
      </c>
      <c r="M3219">
        <f>[1]!EM_S_VAL_PETTMDEDUCTED(B3219,E3219)</f>
        <v>16.303007762141998</v>
      </c>
      <c r="N3219" s="7">
        <f>[1]!EM_S_VAL_PBGOODWILLDEDUCTED(B3219,E3219)</f>
        <v>3.5145335281556598</v>
      </c>
      <c r="O3219" s="7">
        <f>[1]!EM_S_VAL_PS_TTM(B3219,E3219)</f>
        <v>0.79869013644116804</v>
      </c>
      <c r="P3219" s="7">
        <f>[1]!EM_S_VAL_PCF_NCFTTM(B3219,E3219)</f>
        <v>26.331507028089302</v>
      </c>
      <c r="Q3219" s="7">
        <f>[1]!EM_S_VAL_DIVIDENDYIELD2(B3219,E3219,"2019-11-29")</f>
        <v>0.65312046444121907</v>
      </c>
      <c r="T3219"/>
      <c r="U3219">
        <f>[1]!EM_S_RATIO_EPS_TTM(B3219,E3219,"1")</f>
        <v>0.39971063134762924</v>
      </c>
      <c r="AT3219" s="4" t="str">
        <f>[1]!EM_S_IPO_LISTEDDATE(B3219)</f>
        <v>2011-12-08</v>
      </c>
    </row>
    <row r="3220" spans="1:46">
      <c r="A3220">
        <v>1140</v>
      </c>
      <c r="B3220" t="str">
        <f>"002629"</f>
        <v>002629</v>
      </c>
      <c r="C3220" t="s">
        <v>3501</v>
      </c>
      <c r="D3220" t="str">
        <f>[1]!EM_S_INFO_INDEX_EM(B3220,"1")</f>
        <v>化石能源</v>
      </c>
      <c r="E3220" s="4">
        <f t="shared" si="50"/>
        <v>43465</v>
      </c>
      <c r="F3220" s="11">
        <f>[1]!EM_S_PQ_PCTCHANGE(B3220,"2018-01-01","2019-12-31","3")</f>
        <v>-63.276836160000002</v>
      </c>
      <c r="G3220" s="11">
        <f>[1]!EM_S_PQ_PCTCHANGE(B3220,"2018-12-31","2019-12-30","1")</f>
        <v>-30.102040819999999</v>
      </c>
      <c r="H3220" s="11">
        <f>[1]!EM_S_FA_YOY_OR(B3220,E3220)</f>
        <v>-20.996543646700001</v>
      </c>
      <c r="I3220" s="11">
        <f>[1]!EM_S_FA_GROSSPROFITMARGIN(B3220,E3220)</f>
        <v>0.51243350129999998</v>
      </c>
      <c r="J3220" s="11">
        <f>[1]!EM_S_FA_NETPROFITMARGIN(B3220,E3220)</f>
        <v>-24.465822273299999</v>
      </c>
      <c r="K3220" s="10">
        <f>[1]!EM_S_FA_ASSETSTURN(B3220,E3220)</f>
        <v>4.6497568744439999</v>
      </c>
      <c r="L3220" s="12">
        <f>[1]!EM_HKS_VAL_MV(B3220,"2019-12-31","2")</f>
        <v>1071064800</v>
      </c>
      <c r="M3220">
        <f>[1]!EM_S_VAL_PETTMDEDUCTED(B3220,E3220)</f>
        <v>-207.887622268234</v>
      </c>
      <c r="N3220" s="7">
        <f>[1]!EM_S_VAL_PBGOODWILLDEDUCTED(B3220,E3220)</f>
        <v>64.053598546399201</v>
      </c>
      <c r="O3220" s="7">
        <f>[1]!EM_S_VAL_PS_TTM(B3220,E3220)</f>
        <v>0.48800577879243001</v>
      </c>
      <c r="P3220" s="7">
        <f>[1]!EM_S_VAL_PCF_NCFTTM(B3220,E3220)</f>
        <v>-84.382041331112305</v>
      </c>
      <c r="Q3220" s="7">
        <f>[1]!EM_S_VAL_DIVIDENDYIELD2(B3220,E3220,"2019-11-29")</f>
        <v>0</v>
      </c>
      <c r="T3220"/>
      <c r="U3220">
        <f>[1]!EM_S_RATIO_EPS_TTM(B3220,E3220,"1")</f>
        <v>-1.50167525731403</v>
      </c>
      <c r="AT3220" s="4" t="str">
        <f>[1]!EM_S_IPO_LISTEDDATE(B3220)</f>
        <v>2011-11-03</v>
      </c>
    </row>
    <row r="3221" spans="1:46">
      <c r="A3221">
        <v>2640</v>
      </c>
      <c r="B3221" t="str">
        <f>"600566"</f>
        <v>600566</v>
      </c>
      <c r="C3221" t="s">
        <v>88</v>
      </c>
      <c r="D3221" t="str">
        <f>[1]!EM_S_INFO_INDEX_EM(B3221,"1")</f>
        <v>医药生物</v>
      </c>
      <c r="E3221" s="4">
        <f t="shared" si="50"/>
        <v>43465</v>
      </c>
      <c r="F3221" s="11">
        <f>[1]!EM_S_PQ_PCTCHANGE(B3221,"2018-01-01","2019-12-31","3")</f>
        <v>-32.985540440000001</v>
      </c>
      <c r="G3221" s="11">
        <f>[1]!EM_S_PQ_PCTCHANGE(B3221,"2018-12-31","2019-12-30","1")</f>
        <v>-30.152102589999998</v>
      </c>
      <c r="H3221" s="11">
        <f>[1]!EM_S_FA_YOY_OR(B3221,E3221)</f>
        <v>27.759555346599999</v>
      </c>
      <c r="I3221" s="11">
        <f>[1]!EM_S_FA_GROSSPROFITMARGIN(B3221,E3221)</f>
        <v>84.793632346600006</v>
      </c>
      <c r="J3221" s="11">
        <f>[1]!EM_S_FA_NETPROFITMARGIN(B3221,E3221)</f>
        <v>23.415858398499999</v>
      </c>
      <c r="K3221" s="10">
        <f>[1]!EM_S_FA_ASSETSTURN(B3221,E3221)</f>
        <v>0.99699474119499998</v>
      </c>
      <c r="L3221" s="12">
        <f>[1]!EM_HKS_VAL_MV(B3221,"2019-12-31","2")</f>
        <v>19704818167.32</v>
      </c>
      <c r="M3221">
        <f>[1]!EM_S_VAL_PETTMDEDUCTED(B3221,E3221)</f>
        <v>17.812501180356101</v>
      </c>
      <c r="N3221" s="7">
        <f>[1]!EM_S_VAL_PBGOODWILLDEDUCTED(B3221,E3221)</f>
        <v>5.2651908887009498</v>
      </c>
      <c r="O3221" s="7">
        <f>[1]!EM_S_VAL_PS_TTM(B3221,E3221)</f>
        <v>3.9184364088987502</v>
      </c>
      <c r="P3221" s="7">
        <f>[1]!EM_S_VAL_PCF_NCFTTM(B3221,E3221)</f>
        <v>35.472303883175996</v>
      </c>
      <c r="Q3221" s="7">
        <f>[1]!EM_S_VAL_DIVIDENDYIELD2(B3221,E3221,"2019-11-29")</f>
        <v>5.4618091626535046</v>
      </c>
      <c r="U3221">
        <f>[1]!EM_S_RATIO_EPS_TTM(B3221,E3221,"1")</f>
        <v>2.0714620917732689</v>
      </c>
      <c r="AT3221" s="4" t="str">
        <f>[1]!EM_S_IPO_LISTEDDATE(B3221)</f>
        <v>2001-08-22</v>
      </c>
    </row>
    <row r="3222" spans="1:46">
      <c r="A3222">
        <v>2991</v>
      </c>
      <c r="B3222" t="str">
        <f>"600965"</f>
        <v>600965</v>
      </c>
      <c r="C3222" t="s">
        <v>1414</v>
      </c>
      <c r="D3222" t="str">
        <f>[1]!EM_S_INFO_INDEX_EM(B3222,"1")</f>
        <v>农林牧渔</v>
      </c>
      <c r="E3222" s="4">
        <f t="shared" si="50"/>
        <v>43465</v>
      </c>
      <c r="F3222" s="11">
        <f>[1]!EM_S_PQ_PCTCHANGE(B3222,"2018-01-01","2019-12-31","3")</f>
        <v>-32.865051530000002</v>
      </c>
      <c r="G3222" s="11">
        <f>[1]!EM_S_PQ_PCTCHANGE(B3222,"2018-12-31","2019-12-30","1")</f>
        <v>-30.430430430000001</v>
      </c>
      <c r="H3222" s="11">
        <f>[1]!EM_S_FA_YOY_OR(B3222,E3222)</f>
        <v>6.8472950309999998</v>
      </c>
      <c r="I3222" s="11">
        <f>[1]!EM_S_FA_GROSSPROFITMARGIN(B3222,E3222)</f>
        <v>34.514375825400002</v>
      </c>
      <c r="J3222" s="11">
        <f>[1]!EM_S_FA_NETPROFITMARGIN(B3222,E3222)</f>
        <v>11.063660086600001</v>
      </c>
      <c r="K3222" s="10">
        <f>[1]!EM_S_FA_ASSETSTURN(B3222,E3222)</f>
        <v>0.55644215708800004</v>
      </c>
      <c r="L3222" s="12">
        <f>[1]!EM_HKS_VAL_MV(B3222,"2019-12-31","2")</f>
        <v>5796402761.3999996</v>
      </c>
      <c r="M3222">
        <f>[1]!EM_S_VAL_PETTMDEDUCTED(B3222,E3222)</f>
        <v>48.379665933300899</v>
      </c>
      <c r="N3222" s="7">
        <f>[1]!EM_S_VAL_PBGOODWILLDEDUCTED(B3222,E3222)</f>
        <v>4.1829833275410904</v>
      </c>
      <c r="O3222" s="7">
        <f>[1]!EM_S_VAL_PS_TTM(B3222,E3222)</f>
        <v>5.6058647509908202</v>
      </c>
      <c r="P3222" s="7">
        <f>[1]!EM_S_VAL_PCF_NCFTTM(B3222,E3222)</f>
        <v>1098.30144867788</v>
      </c>
      <c r="Q3222" s="7">
        <f>[1]!EM_S_VAL_DIVIDENDYIELD2(B3222,E3222,"2019-11-29")</f>
        <v>2.1367521367521363</v>
      </c>
      <c r="T3222"/>
      <c r="U3222">
        <f>[1]!EM_S_RATIO_EPS_TTM(B3222,E3222,"1")</f>
        <v>0.19591140454941816</v>
      </c>
      <c r="AT3222" s="4" t="str">
        <f>[1]!EM_S_IPO_LISTEDDATE(B3222)</f>
        <v>2004-07-13</v>
      </c>
    </row>
    <row r="3223" spans="1:46">
      <c r="A3223">
        <v>2317</v>
      </c>
      <c r="B3223" t="str">
        <f>"600179"</f>
        <v>600179</v>
      </c>
      <c r="C3223" t="s">
        <v>272</v>
      </c>
      <c r="D3223" t="str">
        <f>[1]!EM_S_INFO_INDEX_EM(B3223,"1")</f>
        <v>交通运输</v>
      </c>
      <c r="E3223" s="4">
        <f t="shared" si="50"/>
        <v>43465</v>
      </c>
      <c r="F3223" s="11">
        <f>[1]!EM_S_PQ_PCTCHANGE(B3223,"2018-01-01","2019-12-31","3")</f>
        <v>-75.076242859999994</v>
      </c>
      <c r="G3223" s="11">
        <f>[1]!EM_S_PQ_PCTCHANGE(B3223,"2018-12-31","2019-12-30","1")</f>
        <v>-30.676691730000002</v>
      </c>
      <c r="H3223" s="11">
        <f>[1]!EM_S_FA_YOY_OR(B3223,E3223)</f>
        <v>48.766444173499998</v>
      </c>
      <c r="I3223" s="11">
        <f>[1]!EM_S_FA_GROSSPROFITMARGIN(B3223,E3223)</f>
        <v>11.665240923800001</v>
      </c>
      <c r="J3223" s="11">
        <f>[1]!EM_S_FA_NETPROFITMARGIN(B3223,E3223)</f>
        <v>4.8870183522000001</v>
      </c>
      <c r="K3223" s="10">
        <f>[1]!EM_S_FA_ASSETSTURN(B3223,E3223)</f>
        <v>1.0275686003919999</v>
      </c>
      <c r="L3223" s="12">
        <f>[1]!EM_HKS_VAL_MV(B3223,"2019-12-31","2")</f>
        <v>6512972027.6999998</v>
      </c>
      <c r="M3223">
        <f>[1]!EM_S_VAL_PETTMDEDUCTED(B3223,E3223)</f>
        <v>18.5753144536889</v>
      </c>
      <c r="N3223" s="7">
        <f>[1]!EM_S_VAL_PBGOODWILLDEDUCTED(B3223,E3223)</f>
        <v>2.92332213706604</v>
      </c>
      <c r="O3223" s="7">
        <f>[1]!EM_S_VAL_PS_TTM(B3223,E3223)</f>
        <v>1.02581389201053</v>
      </c>
      <c r="P3223" s="7">
        <f>[1]!EM_S_VAL_PCF_NCFTTM(B3223,E3223)</f>
        <v>281.56475877776103</v>
      </c>
      <c r="Q3223" s="7">
        <f>[1]!EM_S_VAL_DIVIDENDYIELD2(B3223,E3223,"2019-11-29")</f>
        <v>0</v>
      </c>
      <c r="T3223"/>
      <c r="U3223">
        <f>[1]!EM_S_RATIO_EPS_TTM(B3223,E3223,"1")</f>
        <v>0.33054492616330999</v>
      </c>
      <c r="AT3223" s="4" t="str">
        <f>[1]!EM_S_IPO_LISTEDDATE(B3223)</f>
        <v>1998-11-04</v>
      </c>
    </row>
    <row r="3224" spans="1:46">
      <c r="A3224">
        <v>1367</v>
      </c>
      <c r="B3224" t="str">
        <f>"002867"</f>
        <v>002867</v>
      </c>
      <c r="C3224" t="s">
        <v>347</v>
      </c>
      <c r="D3224" t="str">
        <f>[1]!EM_S_INFO_INDEX_EM(B3224,"1")</f>
        <v>轻工制造</v>
      </c>
      <c r="E3224" s="4">
        <f t="shared" si="50"/>
        <v>43465</v>
      </c>
      <c r="F3224" s="11">
        <f>[1]!EM_S_PQ_PCTCHANGE(B3224,"2018-01-01","2019-12-31","3")</f>
        <v>6.84962991</v>
      </c>
      <c r="G3224" s="11">
        <f>[1]!EM_S_PQ_PCTCHANGE(B3224,"2018-12-31","2019-12-30","1")</f>
        <v>-30.799855229999999</v>
      </c>
      <c r="H3224" s="11">
        <f>[1]!EM_S_FA_YOY_OR(B3224,E3224)</f>
        <v>27.973051738900001</v>
      </c>
      <c r="I3224" s="11">
        <f>[1]!EM_S_FA_GROSSPROFITMARGIN(B3224,E3224)</f>
        <v>33.999727164799999</v>
      </c>
      <c r="J3224" s="11">
        <f>[1]!EM_S_FA_NETPROFITMARGIN(B3224,E3224)</f>
        <v>16.552815421599998</v>
      </c>
      <c r="K3224" s="10">
        <f>[1]!EM_S_FA_ASSETSTURN(B3224,E3224)</f>
        <v>0.94854186090600001</v>
      </c>
      <c r="L3224" s="12">
        <f>[1]!EM_HKS_VAL_MV(B3224,"2019-12-31","2")</f>
        <v>13916434779.52</v>
      </c>
      <c r="M3224">
        <f>[1]!EM_S_VAL_PETTMDEDUCTED(B3224,E3224)</f>
        <v>18.548664645280098</v>
      </c>
      <c r="N3224" s="7">
        <f>[1]!EM_S_VAL_PBGOODWILLDEDUCTED(B3224,E3224)</f>
        <v>3.4026425433177199</v>
      </c>
      <c r="O3224" s="7">
        <f>[1]!EM_S_VAL_PS_TTM(B3224,E3224)</f>
        <v>2.89368812580142</v>
      </c>
      <c r="P3224" s="7">
        <f>[1]!EM_S_VAL_PCF_NCFTTM(B3224,E3224)</f>
        <v>61.465828351587497</v>
      </c>
      <c r="Q3224" s="7">
        <f>[1]!EM_S_VAL_DIVIDENDYIELD2(B3224,E3224,"2019-11-29")</f>
        <v>2.5035388159734362</v>
      </c>
      <c r="T3224"/>
      <c r="U3224">
        <f>[1]!EM_S_RATIO_EPS_TTM(B3224,E3224,"1")</f>
        <v>1.6607962370269036</v>
      </c>
      <c r="AT3224" s="4" t="str">
        <f>[1]!EM_S_IPO_LISTEDDATE(B3224)</f>
        <v>2017-04-27</v>
      </c>
    </row>
    <row r="3225" spans="1:46">
      <c r="A3225">
        <v>3595</v>
      </c>
      <c r="B3225" t="str">
        <f>"603903"</f>
        <v>603903</v>
      </c>
      <c r="C3225" t="s">
        <v>2051</v>
      </c>
      <c r="D3225" t="str">
        <f>[1]!EM_S_INFO_INDEX_EM(B3225,"1")</f>
        <v>公用事业</v>
      </c>
      <c r="E3225" s="4">
        <f t="shared" si="50"/>
        <v>43465</v>
      </c>
      <c r="F3225" s="11">
        <f>[1]!EM_S_PQ_PCTCHANGE(B3225,"2018-01-01","2019-12-31","3")</f>
        <v>-49.095910799999999</v>
      </c>
      <c r="G3225" s="11">
        <f>[1]!EM_S_PQ_PCTCHANGE(B3225,"2018-12-31","2019-12-30","1")</f>
        <v>-30.822942640000001</v>
      </c>
      <c r="H3225" s="11">
        <f>[1]!EM_S_FA_YOY_OR(B3225,E3225)</f>
        <v>95.361465102799997</v>
      </c>
      <c r="I3225" s="11">
        <f>[1]!EM_S_FA_GROSSPROFITMARGIN(B3225,E3225)</f>
        <v>28.435585607899998</v>
      </c>
      <c r="J3225" s="11">
        <f>[1]!EM_S_FA_NETPROFITMARGIN(B3225,E3225)</f>
        <v>10.3529872733</v>
      </c>
      <c r="K3225" s="10">
        <f>[1]!EM_S_FA_ASSETSTURN(B3225,E3225)</f>
        <v>0.55192378055900004</v>
      </c>
      <c r="L3225" s="12">
        <f>[1]!EM_HKS_VAL_MV(B3225,"2019-12-31","2")</f>
        <v>2007247872</v>
      </c>
      <c r="M3225">
        <f>[1]!EM_S_VAL_PETTMDEDUCTED(B3225,E3225)</f>
        <v>22.431878087511102</v>
      </c>
      <c r="N3225" s="7">
        <f>[1]!EM_S_VAL_PBGOODWILLDEDUCTED(B3225,E3225)</f>
        <v>3.65971843708587</v>
      </c>
      <c r="O3225" s="7">
        <f>[1]!EM_S_VAL_PS_TTM(B3225,E3225)</f>
        <v>2.2739274517477099</v>
      </c>
      <c r="P3225" s="7">
        <f>[1]!EM_S_VAL_PCF_NCFTTM(B3225,E3225)</f>
        <v>22.583002057944</v>
      </c>
      <c r="Q3225" s="7">
        <f>[1]!EM_S_VAL_DIVIDENDYIELD2(B3225,E3225,"2019-11-29")</f>
        <v>0.48960940050048962</v>
      </c>
      <c r="T3225"/>
      <c r="U3225">
        <f>[1]!EM_S_RATIO_EPS_TTM(B3225,E3225,"1")</f>
        <v>0.89647151215452514</v>
      </c>
      <c r="AT3225" s="4" t="str">
        <f>[1]!EM_S_IPO_LISTEDDATE(B3225)</f>
        <v>2017-03-14</v>
      </c>
    </row>
    <row r="3226" spans="1:46">
      <c r="A3226">
        <v>3288</v>
      </c>
      <c r="B3226" t="str">
        <f>"603156"</f>
        <v>603156</v>
      </c>
      <c r="C3226" t="s">
        <v>81</v>
      </c>
      <c r="D3226" t="str">
        <f>[1]!EM_S_INFO_INDEX_EM(B3226,"1")</f>
        <v>食品饮料</v>
      </c>
      <c r="E3226" s="4">
        <f t="shared" si="50"/>
        <v>43465</v>
      </c>
      <c r="F3226" s="11">
        <f>[1]!EM_S_PQ_PCTCHANGE(B3226,"2018-01-01","2019-12-31","3")</f>
        <v>-21.398340749999999</v>
      </c>
      <c r="G3226" s="11">
        <f>[1]!EM_S_PQ_PCTCHANGE(B3226,"2018-12-31","2019-12-30","1")</f>
        <v>-31.048581049999999</v>
      </c>
      <c r="H3226" s="11">
        <f>[1]!EM_S_FA_YOY_OR(B3226,E3226)</f>
        <v>5.2148499740999998</v>
      </c>
      <c r="I3226" s="11">
        <f>[1]!EM_S_FA_GROSSPROFITMARGIN(B3226,E3226)</f>
        <v>49.964490801399997</v>
      </c>
      <c r="J3226" s="11">
        <f>[1]!EM_S_FA_NETPROFITMARGIN(B3226,E3226)</f>
        <v>34.834217243200001</v>
      </c>
      <c r="K3226" s="10">
        <f>[1]!EM_S_FA_ASSETSTURN(B3226,E3226)</f>
        <v>0.61507356180799999</v>
      </c>
      <c r="L3226" s="12">
        <f>[1]!EM_HKS_VAL_MV(B3226,"2019-12-31","2")</f>
        <v>30614399340</v>
      </c>
      <c r="M3226">
        <f>[1]!EM_S_VAL_PETTMDEDUCTED(B3226,E3226)</f>
        <v>14.9546679900293</v>
      </c>
      <c r="N3226" s="7">
        <f>[1]!EM_S_VAL_PBGOODWILLDEDUCTED(B3226,E3226)</f>
        <v>2.6166083324992799</v>
      </c>
      <c r="O3226" s="7">
        <f>[1]!EM_S_VAL_PS_TTM(B3226,E3226)</f>
        <v>3.89728276209624</v>
      </c>
      <c r="P3226" s="7">
        <f>[1]!EM_S_VAL_PCF_NCFTTM(B3226,E3226)</f>
        <v>9.4941816809364692</v>
      </c>
      <c r="Q3226" s="7">
        <f>[1]!EM_S_VAL_DIVIDENDYIELD2(B3226,E3226,"2019-11-29")</f>
        <v>7.3160025362142127</v>
      </c>
      <c r="U3226">
        <f>[1]!EM_S_RATIO_EPS_TTM(B3226,E3226,"1")</f>
        <v>3.7662240672268905</v>
      </c>
      <c r="AT3226" s="4" t="str">
        <f>[1]!EM_S_IPO_LISTEDDATE(B3226)</f>
        <v>2018-02-12</v>
      </c>
    </row>
    <row r="3227" spans="1:46">
      <c r="A3227">
        <v>2965</v>
      </c>
      <c r="B3227" t="str">
        <f>"600892"</f>
        <v>600892</v>
      </c>
      <c r="C3227" t="s">
        <v>2802</v>
      </c>
      <c r="D3227" t="str">
        <f>[1]!EM_S_INFO_INDEX_EM(B3227,"1")</f>
        <v>互联网</v>
      </c>
      <c r="E3227" s="4">
        <f t="shared" si="50"/>
        <v>43465</v>
      </c>
      <c r="F3227" s="11">
        <f>[1]!EM_S_PQ_PCTCHANGE(B3227,"2018-01-01","2019-12-31","3")</f>
        <v>-39.060832439999999</v>
      </c>
      <c r="G3227" s="11">
        <f>[1]!EM_S_PQ_PCTCHANGE(B3227,"2018-12-31","2019-12-30","1")</f>
        <v>-31.11111111</v>
      </c>
      <c r="H3227" s="11">
        <f>[1]!EM_S_FA_YOY_OR(B3227,E3227)</f>
        <v>-36.1162239525</v>
      </c>
      <c r="I3227" s="11">
        <f>[1]!EM_S_FA_GROSSPROFITMARGIN(B3227,E3227)</f>
        <v>82.503945687200002</v>
      </c>
      <c r="J3227" s="11">
        <f>[1]!EM_S_FA_NETPROFITMARGIN(B3227,E3227)</f>
        <v>-562.98588544790005</v>
      </c>
      <c r="K3227" s="10">
        <f>[1]!EM_S_FA_ASSETSTURN(B3227,E3227)</f>
        <v>9.6635096719999994E-2</v>
      </c>
      <c r="L3227" s="12">
        <f>[1]!EM_HKS_VAL_MV(B3227,"2019-12-31","2")</f>
        <v>3194540513.48</v>
      </c>
      <c r="M3227">
        <f>[1]!EM_S_VAL_PETTMDEDUCTED(B3227,E3227)</f>
        <v>248.30680318929501</v>
      </c>
      <c r="N3227" s="7">
        <f>[1]!EM_S_VAL_PBGOODWILLDEDUCTED(B3227,E3227)</f>
        <v>10.510147883561499</v>
      </c>
      <c r="O3227" s="7">
        <f>[1]!EM_S_VAL_PS_TTM(B3227,E3227)</f>
        <v>16.813675552218299</v>
      </c>
      <c r="P3227" s="7">
        <f>[1]!EM_S_VAL_PCF_NCFTTM(B3227,E3227)</f>
        <v>57.005727864725699</v>
      </c>
      <c r="Q3227" s="7">
        <f>[1]!EM_S_VAL_DIVIDENDYIELD2(B3227,E3227,"2019-11-29")</f>
        <v>0</v>
      </c>
      <c r="T3227"/>
      <c r="U3227">
        <f>[1]!EM_S_RATIO_EPS_TTM(B3227,E3227,"1")</f>
        <v>-2.0176120612388511</v>
      </c>
      <c r="AT3227" s="4" t="str">
        <f>[1]!EM_S_IPO_LISTEDDATE(B3227)</f>
        <v>1996-03-15</v>
      </c>
    </row>
    <row r="3228" spans="1:46">
      <c r="A3228">
        <v>956</v>
      </c>
      <c r="B3228" t="str">
        <f>"002445"</f>
        <v>002445</v>
      </c>
      <c r="C3228" t="s">
        <v>2278</v>
      </c>
      <c r="D3228" t="str">
        <f>[1]!EM_S_INFO_INDEX_EM(B3228,"1")</f>
        <v>机械设备</v>
      </c>
      <c r="E3228" s="4">
        <f t="shared" si="50"/>
        <v>43465</v>
      </c>
      <c r="F3228" s="11">
        <f>[1]!EM_S_PQ_PCTCHANGE(B3228,"2018-01-01","2019-12-31","3")</f>
        <v>-81.897542450000003</v>
      </c>
      <c r="G3228" s="11">
        <f>[1]!EM_S_PQ_PCTCHANGE(B3228,"2018-12-31","2019-12-30","1")</f>
        <v>-31.122448980000001</v>
      </c>
      <c r="H3228" s="11">
        <f>[1]!EM_S_FA_YOY_OR(B3228,E3228)</f>
        <v>-36.395511089400003</v>
      </c>
      <c r="I3228" s="11">
        <f>[1]!EM_S_FA_GROSSPROFITMARGIN(B3228,E3228)</f>
        <v>16.1177564553</v>
      </c>
      <c r="J3228" s="11">
        <f>[1]!EM_S_FA_NETPROFITMARGIN(B3228,E3228)</f>
        <v>-215.31872479040001</v>
      </c>
      <c r="K3228" s="10">
        <f>[1]!EM_S_FA_ASSETSTURN(B3228,E3228)</f>
        <v>0.15097117077200001</v>
      </c>
      <c r="L3228" s="12">
        <f>[1]!EM_HKS_VAL_MV(B3228,"2019-12-31","2")</f>
        <v>1903465164.47</v>
      </c>
      <c r="M3228">
        <f>[1]!EM_S_VAL_PETTMDEDUCTED(B3228,E3228)</f>
        <v>407.48452754969998</v>
      </c>
      <c r="N3228" s="7">
        <f>[1]!EM_S_VAL_PBGOODWILLDEDUCTED(B3228,E3228)</f>
        <v>2.06787007169447</v>
      </c>
      <c r="O3228" s="7">
        <f>[1]!EM_S_VAL_PS_TTM(B3228,E3228)</f>
        <v>1.9975773317644201</v>
      </c>
      <c r="P3228" s="7">
        <f>[1]!EM_S_VAL_PCF_NCFTTM(B3228,E3228)</f>
        <v>-29.899032107625398</v>
      </c>
      <c r="Q3228" s="7">
        <f>[1]!EM_S_VAL_DIVIDENDYIELD2(B3228,E3228,"2019-11-29")</f>
        <v>0</v>
      </c>
      <c r="T3228"/>
      <c r="U3228">
        <f>[1]!EM_S_RATIO_EPS_TTM(B3228,E3228,"1")</f>
        <v>-1.4912535116945613</v>
      </c>
      <c r="AT3228" s="4" t="str">
        <f>[1]!EM_S_IPO_LISTEDDATE(B3228)</f>
        <v>2010-07-13</v>
      </c>
    </row>
    <row r="3229" spans="1:46">
      <c r="A3229">
        <v>1330</v>
      </c>
      <c r="B3229" t="str">
        <f>"002827"</f>
        <v>002827</v>
      </c>
      <c r="C3229" t="s">
        <v>2692</v>
      </c>
      <c r="D3229" t="str">
        <f>[1]!EM_S_INFO_INDEX_EM(B3229,"1")</f>
        <v>基础化工</v>
      </c>
      <c r="E3229" s="4">
        <f t="shared" si="50"/>
        <v>43465</v>
      </c>
      <c r="F3229" s="11">
        <f>[1]!EM_S_PQ_PCTCHANGE(B3229,"2018-01-01","2019-12-31","3")</f>
        <v>-15.927903710000001</v>
      </c>
      <c r="G3229" s="11">
        <f>[1]!EM_S_PQ_PCTCHANGE(B3229,"2018-12-31","2019-12-30","1")</f>
        <v>-31.200575130000001</v>
      </c>
      <c r="H3229" s="11">
        <f>[1]!EM_S_FA_YOY_OR(B3229,E3229)</f>
        <v>-20.465319645000001</v>
      </c>
      <c r="I3229" s="11">
        <f>[1]!EM_S_FA_GROSSPROFITMARGIN(B3229,E3229)</f>
        <v>49.310170962400001</v>
      </c>
      <c r="J3229" s="11">
        <f>[1]!EM_S_FA_NETPROFITMARGIN(B3229,E3229)</f>
        <v>17.3187710417</v>
      </c>
      <c r="K3229" s="10">
        <f>[1]!EM_S_FA_ASSETSTURN(B3229,E3229)</f>
        <v>0.38114474487799999</v>
      </c>
      <c r="L3229" s="12">
        <f>[1]!EM_HKS_VAL_MV(B3229,"2019-12-31","2")</f>
        <v>2685480000</v>
      </c>
      <c r="M3229">
        <f>[1]!EM_S_VAL_PETTMDEDUCTED(B3229,E3229)</f>
        <v>36.175733468406001</v>
      </c>
      <c r="N3229" s="7">
        <f>[1]!EM_S_VAL_PBGOODWILLDEDUCTED(B3229,E3229)</f>
        <v>3.18685588503054</v>
      </c>
      <c r="O3229" s="7">
        <f>[1]!EM_S_VAL_PS_TTM(B3229,E3229)</f>
        <v>6.5482416306414803</v>
      </c>
      <c r="P3229" s="7">
        <f>[1]!EM_S_VAL_PCF_NCFTTM(B3229,E3229)</f>
        <v>-83.807284432999197</v>
      </c>
      <c r="Q3229" s="7">
        <f>[1]!EM_S_VAL_DIVIDENDYIELD2(B3229,E3229,"2019-11-29")</f>
        <v>2.9861888764464353</v>
      </c>
      <c r="T3229"/>
      <c r="U3229">
        <f>[1]!EM_S_RATIO_EPS_TTM(B3229,E3229,"1")</f>
        <v>0.32821106298913044</v>
      </c>
      <c r="AT3229" s="4" t="str">
        <f>[1]!EM_S_IPO_LISTEDDATE(B3229)</f>
        <v>2016-12-09</v>
      </c>
    </row>
    <row r="3230" spans="1:46">
      <c r="A3230">
        <v>3516</v>
      </c>
      <c r="B3230" t="str">
        <f>"603725"</f>
        <v>603725</v>
      </c>
      <c r="C3230" t="s">
        <v>1413</v>
      </c>
      <c r="D3230" t="str">
        <f>[1]!EM_S_INFO_INDEX_EM(B3230,"1")</f>
        <v>基础化工</v>
      </c>
      <c r="E3230" s="4">
        <f t="shared" si="50"/>
        <v>43465</v>
      </c>
      <c r="F3230" s="11">
        <f>[1]!EM_S_PQ_PCTCHANGE(B3230,"2018-01-01","2019-12-31","3")</f>
        <v>-46.358702569999998</v>
      </c>
      <c r="G3230" s="11">
        <f>[1]!EM_S_PQ_PCTCHANGE(B3230,"2018-12-31","2019-12-30","1")</f>
        <v>-31.272401429999999</v>
      </c>
      <c r="H3230" s="11">
        <f>[1]!EM_S_FA_YOY_OR(B3230,E3230)</f>
        <v>-0.99298318990000001</v>
      </c>
      <c r="I3230" s="11">
        <f>[1]!EM_S_FA_GROSSPROFITMARGIN(B3230,E3230)</f>
        <v>20.5913831499</v>
      </c>
      <c r="J3230" s="11">
        <f>[1]!EM_S_FA_NETPROFITMARGIN(B3230,E3230)</f>
        <v>5.0557203757</v>
      </c>
      <c r="K3230" s="10">
        <f>[1]!EM_S_FA_ASSETSTURN(B3230,E3230)</f>
        <v>0.74013497550700003</v>
      </c>
      <c r="L3230" s="12">
        <f>[1]!EM_HKS_VAL_MV(B3230,"2019-12-31","2")</f>
        <v>1568889280</v>
      </c>
      <c r="M3230">
        <f>[1]!EM_S_VAL_PETTMDEDUCTED(B3230,E3230)</f>
        <v>33.141967617827603</v>
      </c>
      <c r="N3230" s="7">
        <f>[1]!EM_S_VAL_PBGOODWILLDEDUCTED(B3230,E3230)</f>
        <v>2.0071226450521502</v>
      </c>
      <c r="O3230" s="7">
        <f>[1]!EM_S_VAL_PS_TTM(B3230,E3230)</f>
        <v>1.60510267495401</v>
      </c>
      <c r="P3230" s="7">
        <f>[1]!EM_S_VAL_PCF_NCFTTM(B3230,E3230)</f>
        <v>-6.1001240321973702</v>
      </c>
      <c r="Q3230" s="7">
        <f>[1]!EM_S_VAL_DIVIDENDYIELD2(B3230,E3230,"2019-11-29")</f>
        <v>1.1904761904761905</v>
      </c>
      <c r="T3230"/>
      <c r="U3230">
        <f>[1]!EM_S_RATIO_EPS_TTM(B3230,E3230,"1")</f>
        <v>0.33403317316607584</v>
      </c>
      <c r="AT3230" s="4" t="str">
        <f>[1]!EM_S_IPO_LISTEDDATE(B3230)</f>
        <v>2017-09-06</v>
      </c>
    </row>
    <row r="3231" spans="1:46">
      <c r="A3231">
        <v>134</v>
      </c>
      <c r="B3231" t="str">
        <f>"000525"</f>
        <v>000525</v>
      </c>
      <c r="C3231" t="s">
        <v>549</v>
      </c>
      <c r="D3231" t="str">
        <f>[1]!EM_S_INFO_INDEX_EM(B3231,"1")</f>
        <v>基础化工</v>
      </c>
      <c r="E3231" s="4">
        <f t="shared" si="50"/>
        <v>43465</v>
      </c>
      <c r="F3231" s="11">
        <f>[1]!EM_S_PQ_PCTCHANGE(B3231,"2018-01-01","2019-12-31","3")</f>
        <v>-49.677634230000002</v>
      </c>
      <c r="G3231" s="11">
        <f>[1]!EM_S_PQ_PCTCHANGE(B3231,"2018-12-31","2019-12-30","1")</f>
        <v>-31.432644329999999</v>
      </c>
      <c r="H3231" s="11">
        <f>[1]!EM_S_FA_YOY_OR(B3231,E3231)</f>
        <v>16.491805911499998</v>
      </c>
      <c r="I3231" s="11">
        <f>[1]!EM_S_FA_GROSSPROFITMARGIN(B3231,E3231)</f>
        <v>28.918945849</v>
      </c>
      <c r="J3231" s="11">
        <f>[1]!EM_S_FA_NETPROFITMARGIN(B3231,E3231)</f>
        <v>10.7847186631</v>
      </c>
      <c r="K3231" s="10">
        <f>[1]!EM_S_FA_ASSETSTURN(B3231,E3231)</f>
        <v>0.46209676364399999</v>
      </c>
      <c r="L3231" s="12">
        <f>[1]!EM_HKS_VAL_MV(B3231,"2019-12-31","2")</f>
        <v>5645112325.5600004</v>
      </c>
      <c r="M3231">
        <f>[1]!EM_S_VAL_PETTMDEDUCTED(B3231,E3231)</f>
        <v>13.531020355940701</v>
      </c>
      <c r="N3231" s="7">
        <f>[1]!EM_S_VAL_PBGOODWILLDEDUCTED(B3231,E3231)</f>
        <v>2.0243529207306601</v>
      </c>
      <c r="O3231" s="7">
        <f>[1]!EM_S_VAL_PS_TTM(B3231,E3231)</f>
        <v>1.5003239602318399</v>
      </c>
      <c r="P3231" s="7">
        <f>[1]!EM_S_VAL_PCF_NCFTTM(B3231,E3231)</f>
        <v>-18.309429492873502</v>
      </c>
      <c r="Q3231" s="7">
        <f>[1]!EM_S_VAL_DIVIDENDYIELD2(B3231,E3231,"2019-11-29")</f>
        <v>1.8359853121175032</v>
      </c>
      <c r="T3231"/>
      <c r="U3231">
        <f>[1]!EM_S_RATIO_EPS_TTM(B3231,E3231,"1")</f>
        <v>1.0962571960553673</v>
      </c>
      <c r="AT3231" s="4" t="str">
        <f>[1]!EM_S_IPO_LISTEDDATE(B3231)</f>
        <v>1993-10-28</v>
      </c>
    </row>
    <row r="3232" spans="1:46">
      <c r="A3232">
        <v>730</v>
      </c>
      <c r="B3232" t="str">
        <f>"002219"</f>
        <v>002219</v>
      </c>
      <c r="C3232" t="s">
        <v>2029</v>
      </c>
      <c r="D3232" t="str">
        <f>[1]!EM_S_INFO_INDEX_EM(B3232,"1")</f>
        <v>医药生物</v>
      </c>
      <c r="E3232" s="4">
        <f t="shared" si="50"/>
        <v>43465</v>
      </c>
      <c r="F3232" s="11">
        <f>[1]!EM_S_PQ_PCTCHANGE(B3232,"2018-01-01","2019-12-31","3")</f>
        <v>-79.590093940000003</v>
      </c>
      <c r="G3232" s="11">
        <f>[1]!EM_S_PQ_PCTCHANGE(B3232,"2018-12-31","2019-12-30","1")</f>
        <v>-31.686046510000001</v>
      </c>
      <c r="H3232" s="11">
        <f>[1]!EM_S_FA_YOY_OR(B3232,E3232)</f>
        <v>12.916996109699999</v>
      </c>
      <c r="I3232" s="11">
        <f>[1]!EM_S_FA_GROSSPROFITMARGIN(B3232,E3232)</f>
        <v>21.5347193594</v>
      </c>
      <c r="J3232" s="11">
        <f>[1]!EM_S_FA_NETPROFITMARGIN(B3232,E3232)</f>
        <v>-36.152688044500003</v>
      </c>
      <c r="K3232" s="10">
        <f>[1]!EM_S_FA_ASSETSTURN(B3232,E3232)</f>
        <v>0.403781516507</v>
      </c>
      <c r="L3232" s="12">
        <f>[1]!EM_HKS_VAL_MV(B3232,"2019-12-31","2")</f>
        <v>4457915067.6999998</v>
      </c>
      <c r="M3232">
        <f>[1]!EM_S_VAL_PETTMDEDUCTED(B3232,E3232)</f>
        <v>-14.920716116106901</v>
      </c>
      <c r="N3232" s="7">
        <f>[1]!EM_S_VAL_PBGOODWILLDEDUCTED(B3232,E3232)</f>
        <v>-13.322913840504899</v>
      </c>
      <c r="O3232" s="7">
        <f>[1]!EM_S_VAL_PS_TTM(B3232,E3232)</f>
        <v>1.5394271078997901</v>
      </c>
      <c r="P3232" s="7">
        <f>[1]!EM_S_VAL_PCF_NCFTTM(B3232,E3232)</f>
        <v>-41.447426718483001</v>
      </c>
      <c r="Q3232" s="7">
        <f>[1]!EM_S_VAL_DIVIDENDYIELD2(B3232,E3232,"2019-11-29")</f>
        <v>0</v>
      </c>
      <c r="T3232"/>
      <c r="U3232">
        <f>[1]!EM_S_RATIO_EPS_TTM(B3232,E3232,"1")</f>
        <v>-0.76012761733374468</v>
      </c>
      <c r="AT3232" s="4" t="str">
        <f>[1]!EM_S_IPO_LISTEDDATE(B3232)</f>
        <v>2008-03-06</v>
      </c>
    </row>
    <row r="3233" spans="1:46">
      <c r="A3233">
        <v>2557</v>
      </c>
      <c r="B3233" t="str">
        <f>"600468"</f>
        <v>600468</v>
      </c>
      <c r="C3233" t="s">
        <v>2307</v>
      </c>
      <c r="D3233" t="str">
        <f>[1]!EM_S_INFO_INDEX_EM(B3233,"1")</f>
        <v>电气设备</v>
      </c>
      <c r="E3233" s="4">
        <f t="shared" si="50"/>
        <v>43465</v>
      </c>
      <c r="F3233" s="11">
        <f>[1]!EM_S_PQ_PCTCHANGE(B3233,"2018-01-01","2019-12-31","3")</f>
        <v>-20.738753240000001</v>
      </c>
      <c r="G3233" s="11">
        <f>[1]!EM_S_PQ_PCTCHANGE(B3233,"2018-12-31","2019-12-30","1")</f>
        <v>-31.775700929999999</v>
      </c>
      <c r="H3233" s="11">
        <f>[1]!EM_S_FA_YOY_OR(B3233,E3233)</f>
        <v>11.0945643023</v>
      </c>
      <c r="I3233" s="11">
        <f>[1]!EM_S_FA_GROSSPROFITMARGIN(B3233,E3233)</f>
        <v>20.147021968099999</v>
      </c>
      <c r="J3233" s="11">
        <f>[1]!EM_S_FA_NETPROFITMARGIN(B3233,E3233)</f>
        <v>4.0112039319999999</v>
      </c>
      <c r="K3233" s="10">
        <f>[1]!EM_S_FA_ASSETSTURN(B3233,E3233)</f>
        <v>0.49234319322100001</v>
      </c>
      <c r="L3233" s="12">
        <f>[1]!EM_HKS_VAL_MV(B3233,"2019-12-31","2")</f>
        <v>4151011640.5999999</v>
      </c>
      <c r="M3233">
        <f>[1]!EM_S_VAL_PETTMDEDUCTED(B3233,E3233)</f>
        <v>108.235104382489</v>
      </c>
      <c r="N3233" s="7">
        <f>[1]!EM_S_VAL_PBGOODWILLDEDUCTED(B3233,E3233)</f>
        <v>2.48863135495094</v>
      </c>
      <c r="O3233" s="7">
        <f>[1]!EM_S_VAL_PS_TTM(B3233,E3233)</f>
        <v>3.31627124374047</v>
      </c>
      <c r="P3233" s="7">
        <f>[1]!EM_S_VAL_PCF_NCFTTM(B3233,E3233)</f>
        <v>-420.45566726247301</v>
      </c>
      <c r="Q3233" s="7">
        <f>[1]!EM_S_VAL_DIVIDENDYIELD2(B3233,E3233,"2019-11-29")</f>
        <v>0</v>
      </c>
      <c r="T3233"/>
      <c r="U3233">
        <f>[1]!EM_S_RATIO_EPS_TTM(B3233,E3233,"1")</f>
        <v>5.8099705890982331E-2</v>
      </c>
      <c r="AT3233" s="4" t="str">
        <f>[1]!EM_S_IPO_LISTEDDATE(B3233)</f>
        <v>2001-06-15</v>
      </c>
    </row>
    <row r="3234" spans="1:46">
      <c r="A3234">
        <v>1048</v>
      </c>
      <c r="B3234" t="str">
        <f>"002537"</f>
        <v>002537</v>
      </c>
      <c r="C3234" t="s">
        <v>1914</v>
      </c>
      <c r="D3234" t="str">
        <f>[1]!EM_S_INFO_INDEX_EM(B3234,"1")</f>
        <v>交运设备</v>
      </c>
      <c r="E3234" s="4">
        <f t="shared" si="50"/>
        <v>43465</v>
      </c>
      <c r="F3234" s="11">
        <f>[1]!EM_S_PQ_PCTCHANGE(B3234,"2018-01-01","2019-12-31","3")</f>
        <v>-27.39465045</v>
      </c>
      <c r="G3234" s="11">
        <f>[1]!EM_S_PQ_PCTCHANGE(B3234,"2018-12-31","2019-12-30","1")</f>
        <v>-31.902439019999999</v>
      </c>
      <c r="H3234" s="11">
        <f>[1]!EM_S_FA_YOY_OR(B3234,E3234)</f>
        <v>25.404903813299999</v>
      </c>
      <c r="I3234" s="11">
        <f>[1]!EM_S_FA_GROSSPROFITMARGIN(B3234,E3234)</f>
        <v>21.591603018299999</v>
      </c>
      <c r="J3234" s="11">
        <f>[1]!EM_S_FA_NETPROFITMARGIN(B3234,E3234)</f>
        <v>2.7688257587999998</v>
      </c>
      <c r="K3234" s="10">
        <f>[1]!EM_S_FA_ASSETSTURN(B3234,E3234)</f>
        <v>0.35297390816899998</v>
      </c>
      <c r="L3234" s="12">
        <f>[1]!EM_HKS_VAL_MV(B3234,"2019-12-31","2")</f>
        <v>8729617377.7800007</v>
      </c>
      <c r="M3234">
        <f>[1]!EM_S_VAL_PETTMDEDUCTED(B3234,E3234)</f>
        <v>33.890150028181097</v>
      </c>
      <c r="N3234" s="7">
        <f>[1]!EM_S_VAL_PBGOODWILLDEDUCTED(B3234,E3234)</f>
        <v>2.9629719194499899</v>
      </c>
      <c r="O3234" s="7">
        <f>[1]!EM_S_VAL_PS_TTM(B3234,E3234)</f>
        <v>2.51642157072938</v>
      </c>
      <c r="P3234" s="7">
        <f>[1]!EM_S_VAL_PCF_NCFTTM(B3234,E3234)</f>
        <v>-12.6498894961394</v>
      </c>
      <c r="Q3234" s="7">
        <f>[1]!EM_S_VAL_DIVIDENDYIELD2(B3234,E3234,"2019-11-29")</f>
        <v>0.67570700641669723</v>
      </c>
      <c r="T3234"/>
      <c r="U3234">
        <f>[1]!EM_S_RATIO_EPS_TTM(B3234,E3234,"1")</f>
        <v>0.10681909584853796</v>
      </c>
      <c r="AT3234" s="4" t="str">
        <f>[1]!EM_S_IPO_LISTEDDATE(B3234)</f>
        <v>2011-01-10</v>
      </c>
    </row>
    <row r="3235" spans="1:46">
      <c r="A3235">
        <v>1925</v>
      </c>
      <c r="B3235" t="str">
        <f>"300500"</f>
        <v>300500</v>
      </c>
      <c r="C3235" t="s">
        <v>1896</v>
      </c>
      <c r="D3235" t="str">
        <f>[1]!EM_S_INFO_INDEX_EM(B3235,"1")</f>
        <v>休闲、生活及专业服务</v>
      </c>
      <c r="E3235" s="4">
        <f t="shared" si="50"/>
        <v>43465</v>
      </c>
      <c r="F3235" s="11">
        <f>[1]!EM_S_PQ_PCTCHANGE(B3235,"2018-01-01","2019-12-31","3")</f>
        <v>-45.850214340000001</v>
      </c>
      <c r="G3235" s="11">
        <f>[1]!EM_S_PQ_PCTCHANGE(B3235,"2018-12-31","2019-12-30","1")</f>
        <v>-31.912028729999999</v>
      </c>
      <c r="H3235" s="11">
        <f>[1]!EM_S_FA_YOY_OR(B3235,E3235)</f>
        <v>115.233248789</v>
      </c>
      <c r="I3235" s="11">
        <f>[1]!EM_S_FA_GROSSPROFITMARGIN(B3235,E3235)</f>
        <v>32.211205383699998</v>
      </c>
      <c r="J3235" s="11">
        <f>[1]!EM_S_FA_NETPROFITMARGIN(B3235,E3235)</f>
        <v>11.6358211119</v>
      </c>
      <c r="K3235" s="10">
        <f>[1]!EM_S_FA_ASSETSTURN(B3235,E3235)</f>
        <v>0.665432640086</v>
      </c>
      <c r="L3235" s="12">
        <f>[1]!EM_HKS_VAL_MV(B3235,"2019-12-31","2")</f>
        <v>2629416403.02</v>
      </c>
      <c r="M3235">
        <f>[1]!EM_S_VAL_PETTMDEDUCTED(B3235,E3235)</f>
        <v>36.8845089256112</v>
      </c>
      <c r="N3235" s="7">
        <f>[1]!EM_S_VAL_PBGOODWILLDEDUCTED(B3235,E3235)</f>
        <v>3.4285377760968099</v>
      </c>
      <c r="O3235" s="7">
        <f>[1]!EM_S_VAL_PS_TTM(B3235,E3235)</f>
        <v>3.7549681653034002</v>
      </c>
      <c r="P3235" s="7">
        <f>[1]!EM_S_VAL_PCF_NCFTTM(B3235,E3235)</f>
        <v>-64.551966795460004</v>
      </c>
      <c r="Q3235" s="7">
        <f>[1]!EM_S_VAL_DIVIDENDYIELD2(B3235,E3235,"2019-11-29")</f>
        <v>0.91644727155116268</v>
      </c>
      <c r="T3235"/>
      <c r="U3235">
        <f>[1]!EM_S_RATIO_EPS_TTM(B3235,E3235,"1")</f>
        <v>0.83206064610371444</v>
      </c>
      <c r="AT3235" s="4" t="str">
        <f>[1]!EM_S_IPO_LISTEDDATE(B3235)</f>
        <v>2016-02-04</v>
      </c>
    </row>
    <row r="3236" spans="1:46">
      <c r="A3236">
        <v>370</v>
      </c>
      <c r="B3236" t="str">
        <f>"000813"</f>
        <v>000813</v>
      </c>
      <c r="C3236" t="s">
        <v>527</v>
      </c>
      <c r="D3236" t="str">
        <f>[1]!EM_S_INFO_INDEX_EM(B3236,"1")</f>
        <v>医药生物</v>
      </c>
      <c r="E3236" s="4">
        <f t="shared" si="50"/>
        <v>43465</v>
      </c>
      <c r="F3236" s="11">
        <f>[1]!EM_S_PQ_PCTCHANGE(B3236,"2018-01-01","2019-12-31","3")</f>
        <v>-27.534562210000001</v>
      </c>
      <c r="G3236" s="11">
        <f>[1]!EM_S_PQ_PCTCHANGE(B3236,"2018-12-31","2019-12-30","1")</f>
        <v>-31.917211330000001</v>
      </c>
      <c r="H3236" s="11">
        <f>[1]!EM_S_FA_YOY_OR(B3236,E3236)</f>
        <v>48.215793892900003</v>
      </c>
      <c r="I3236" s="11">
        <f>[1]!EM_S_FA_GROSSPROFITMARGIN(B3236,E3236)</f>
        <v>92.626655570899999</v>
      </c>
      <c r="J3236" s="11">
        <f>[1]!EM_S_FA_NETPROFITMARGIN(B3236,E3236)</f>
        <v>28.276342194000001</v>
      </c>
      <c r="K3236" s="10">
        <f>[1]!EM_S_FA_ASSETSTURN(B3236,E3236)</f>
        <v>0.595053245663</v>
      </c>
      <c r="L3236" s="12">
        <f>[1]!EM_HKS_VAL_MV(B3236,"2019-12-31","2")</f>
        <v>14098920522</v>
      </c>
      <c r="M3236">
        <f>[1]!EM_S_VAL_PETTMDEDUCTED(B3236,E3236)</f>
        <v>23.2461447658807</v>
      </c>
      <c r="N3236" s="7">
        <f>[1]!EM_S_VAL_PBGOODWILLDEDUCTED(B3236,E3236)</f>
        <v>3.9131514293652998</v>
      </c>
      <c r="O3236" s="7">
        <f>[1]!EM_S_VAL_PS_TTM(B3236,E3236)</f>
        <v>5.8706684207200297</v>
      </c>
      <c r="P3236" s="7">
        <f>[1]!EM_S_VAL_PCF_NCFTTM(B3236,E3236)</f>
        <v>207.75161349531001</v>
      </c>
      <c r="Q3236" s="7">
        <f>[1]!EM_S_VAL_DIVIDENDYIELD2(B3236,E3236,"2019-11-29")</f>
        <v>0</v>
      </c>
      <c r="T3236"/>
      <c r="U3236">
        <f>[1]!EM_S_RATIO_EPS_TTM(B3236,E3236,"1")</f>
        <v>0.41513862436001042</v>
      </c>
      <c r="AT3236" s="4" t="str">
        <f>[1]!EM_S_IPO_LISTEDDATE(B3236)</f>
        <v>1998-05-19</v>
      </c>
    </row>
    <row r="3237" spans="1:46">
      <c r="A3237">
        <v>3557</v>
      </c>
      <c r="B3237" t="str">
        <f>"603828"</f>
        <v>603828</v>
      </c>
      <c r="C3237" t="s">
        <v>222</v>
      </c>
      <c r="D3237" t="str">
        <f>[1]!EM_S_INFO_INDEX_EM(B3237,"1")</f>
        <v>建筑</v>
      </c>
      <c r="E3237" s="4">
        <f t="shared" si="50"/>
        <v>43465</v>
      </c>
      <c r="F3237" s="11">
        <f>[1]!EM_S_PQ_PCTCHANGE(B3237,"2018-01-01","2019-12-31","3")</f>
        <v>-11.01206417</v>
      </c>
      <c r="G3237" s="11">
        <f>[1]!EM_S_PQ_PCTCHANGE(B3237,"2018-12-31","2019-12-30","1")</f>
        <v>-31.973684209999998</v>
      </c>
      <c r="H3237" s="11">
        <f>[1]!EM_S_FA_YOY_OR(B3237,E3237)</f>
        <v>17.2108777143</v>
      </c>
      <c r="I3237" s="11">
        <f>[1]!EM_S_FA_GROSSPROFITMARGIN(B3237,E3237)</f>
        <v>16.846580234299999</v>
      </c>
      <c r="J3237" s="11">
        <f>[1]!EM_S_FA_NETPROFITMARGIN(B3237,E3237)</f>
        <v>2.8561166514999998</v>
      </c>
      <c r="K3237" s="10">
        <f>[1]!EM_S_FA_ASSETSTURN(B3237,E3237)</f>
        <v>0.63201359537199997</v>
      </c>
      <c r="L3237" s="12">
        <f>[1]!EM_HKS_VAL_MV(B3237,"2019-12-31","2")</f>
        <v>2866272585.6799998</v>
      </c>
      <c r="M3237">
        <f>[1]!EM_S_VAL_PETTMDEDUCTED(B3237,E3237)</f>
        <v>40.403741346603098</v>
      </c>
      <c r="N3237" s="7">
        <f>[1]!EM_S_VAL_PBGOODWILLDEDUCTED(B3237,E3237)</f>
        <v>3.3927451679487102</v>
      </c>
      <c r="O3237" s="7">
        <f>[1]!EM_S_VAL_PS_TTM(B3237,E3237)</f>
        <v>1.5654929062824701</v>
      </c>
      <c r="P3237" s="7">
        <f>[1]!EM_S_VAL_PCF_NCFTTM(B3237,E3237)</f>
        <v>17.7483305155456</v>
      </c>
      <c r="Q3237" s="7">
        <f>[1]!EM_S_VAL_DIVIDENDYIELD2(B3237,E3237,"2019-11-29")</f>
        <v>0.3167420817341759</v>
      </c>
      <c r="T3237"/>
      <c r="U3237">
        <f>[1]!EM_S_RATIO_EPS_TTM(B3237,E3237,"1")</f>
        <v>0.13597585171153356</v>
      </c>
      <c r="AT3237" s="4" t="str">
        <f>[1]!EM_S_IPO_LISTEDDATE(B3237)</f>
        <v>2015-02-26</v>
      </c>
    </row>
    <row r="3238" spans="1:46">
      <c r="A3238">
        <v>3627</v>
      </c>
      <c r="B3238" t="str">
        <f>"603980"</f>
        <v>603980</v>
      </c>
      <c r="C3238" t="s">
        <v>805</v>
      </c>
      <c r="D3238" t="str">
        <f>[1]!EM_S_INFO_INDEX_EM(B3238,"1")</f>
        <v>基础化工</v>
      </c>
      <c r="E3238" s="4">
        <f t="shared" si="50"/>
        <v>43465</v>
      </c>
      <c r="F3238" s="11">
        <f>[1]!EM_S_PQ_PCTCHANGE(B3238,"2018-01-01","2019-12-31","3")</f>
        <v>-41.222863779999997</v>
      </c>
      <c r="G3238" s="11">
        <f>[1]!EM_S_PQ_PCTCHANGE(B3238,"2018-12-31","2019-12-30","1")</f>
        <v>-32.115547999999997</v>
      </c>
      <c r="H3238" s="11">
        <f>[1]!EM_S_FA_YOY_OR(B3238,E3238)</f>
        <v>18.688041183300001</v>
      </c>
      <c r="I3238" s="11">
        <f>[1]!EM_S_FA_GROSSPROFITMARGIN(B3238,E3238)</f>
        <v>37.6016232618</v>
      </c>
      <c r="J3238" s="11">
        <f>[1]!EM_S_FA_NETPROFITMARGIN(B3238,E3238)</f>
        <v>25.724165419599998</v>
      </c>
      <c r="K3238" s="10">
        <f>[1]!EM_S_FA_ASSETSTURN(B3238,E3238)</f>
        <v>0.59330597028700005</v>
      </c>
      <c r="L3238" s="12">
        <f>[1]!EM_HKS_VAL_MV(B3238,"2019-12-31","2")</f>
        <v>5775000000</v>
      </c>
      <c r="M3238">
        <f>[1]!EM_S_VAL_PETTMDEDUCTED(B3238,E3238)</f>
        <v>9.4321088344283606</v>
      </c>
      <c r="N3238" s="7">
        <f>[1]!EM_S_VAL_PBGOODWILLDEDUCTED(B3238,E3238)</f>
        <v>1.35494168460108</v>
      </c>
      <c r="O3238" s="7">
        <f>[1]!EM_S_VAL_PS_TTM(B3238,E3238)</f>
        <v>2.1619495869551302</v>
      </c>
      <c r="P3238" s="7">
        <f>[1]!EM_S_VAL_PCF_NCFTTM(B3238,E3238)</f>
        <v>-13.3312402393633</v>
      </c>
      <c r="Q3238" s="7">
        <f>[1]!EM_S_VAL_DIVIDENDYIELD2(B3238,E3238,"2019-11-29")</f>
        <v>4.2460841668239286</v>
      </c>
      <c r="T3238"/>
      <c r="U3238">
        <f>[1]!EM_S_RATIO_EPS_TTM(B3238,E3238,"1")</f>
        <v>1.40574296838</v>
      </c>
      <c r="AT3238" s="4" t="str">
        <f>[1]!EM_S_IPO_LISTEDDATE(B3238)</f>
        <v>2017-06-15</v>
      </c>
    </row>
    <row r="3239" spans="1:46">
      <c r="A3239">
        <v>1345</v>
      </c>
      <c r="B3239" t="str">
        <f>"002843"</f>
        <v>002843</v>
      </c>
      <c r="C3239" t="s">
        <v>1049</v>
      </c>
      <c r="D3239" t="str">
        <f>[1]!EM_S_INFO_INDEX_EM(B3239,"1")</f>
        <v>机械设备</v>
      </c>
      <c r="E3239" s="4">
        <f t="shared" si="50"/>
        <v>43465</v>
      </c>
      <c r="F3239" s="11">
        <f>[1]!EM_S_PQ_PCTCHANGE(B3239,"2018-01-01","2019-12-31","3")</f>
        <v>-39.546973039999997</v>
      </c>
      <c r="G3239" s="11">
        <f>[1]!EM_S_PQ_PCTCHANGE(B3239,"2018-12-31","2019-12-30","1")</f>
        <v>-32.116182569999999</v>
      </c>
      <c r="H3239" s="11">
        <f>[1]!EM_S_FA_YOY_OR(B3239,E3239)</f>
        <v>17.605252619400002</v>
      </c>
      <c r="I3239" s="11">
        <f>[1]!EM_S_FA_GROSSPROFITMARGIN(B3239,E3239)</f>
        <v>42.1608016502</v>
      </c>
      <c r="J3239" s="11">
        <f>[1]!EM_S_FA_NETPROFITMARGIN(B3239,E3239)</f>
        <v>15.7788250958</v>
      </c>
      <c r="K3239" s="10">
        <f>[1]!EM_S_FA_ASSETSTURN(B3239,E3239)</f>
        <v>0.47019835206999999</v>
      </c>
      <c r="L3239" s="12">
        <f>[1]!EM_HKS_VAL_MV(B3239,"2019-12-31","2")</f>
        <v>1722000000</v>
      </c>
      <c r="M3239">
        <f>[1]!EM_S_VAL_PETTMDEDUCTED(B3239,E3239)</f>
        <v>34.3407848258313</v>
      </c>
      <c r="N3239" s="7">
        <f>[1]!EM_S_VAL_PBGOODWILLDEDUCTED(B3239,E3239)</f>
        <v>2.5315228232543001</v>
      </c>
      <c r="O3239" s="7">
        <f>[1]!EM_S_VAL_PS_TTM(B3239,E3239)</f>
        <v>4.9395726896933096</v>
      </c>
      <c r="P3239" s="7">
        <f>[1]!EM_S_VAL_PCF_NCFTTM(B3239,E3239)</f>
        <v>-314.45337968807303</v>
      </c>
      <c r="Q3239" s="7">
        <f>[1]!EM_S_VAL_DIVIDENDYIELD2(B3239,E3239,"2019-11-29")</f>
        <v>8.1499592502037483</v>
      </c>
      <c r="T3239"/>
      <c r="U3239">
        <f>[1]!EM_S_RATIO_EPS_TTM(B3239,E3239,"1")</f>
        <v>0.3979914132857143</v>
      </c>
      <c r="AT3239" s="4" t="str">
        <f>[1]!EM_S_IPO_LISTEDDATE(B3239)</f>
        <v>2017-01-20</v>
      </c>
    </row>
    <row r="3240" spans="1:46">
      <c r="A3240">
        <v>3289</v>
      </c>
      <c r="B3240" t="str">
        <f>"603157"</f>
        <v>603157</v>
      </c>
      <c r="C3240" t="s">
        <v>384</v>
      </c>
      <c r="D3240" t="str">
        <f>[1]!EM_S_INFO_INDEX_EM(B3240,"1")</f>
        <v>纺织服装</v>
      </c>
      <c r="E3240" s="4">
        <f t="shared" si="50"/>
        <v>43465</v>
      </c>
      <c r="F3240" s="11">
        <f>[1]!EM_S_PQ_PCTCHANGE(B3240,"2018-01-01","2019-12-31","3")</f>
        <v>-66.159846180000002</v>
      </c>
      <c r="G3240" s="11">
        <f>[1]!EM_S_PQ_PCTCHANGE(B3240,"2018-12-31","2019-12-30","1")</f>
        <v>-32.126168219999997</v>
      </c>
      <c r="H3240" s="11">
        <f>[1]!EM_S_FA_YOY_OR(B3240,E3240)</f>
        <v>13.081254210999999</v>
      </c>
      <c r="I3240" s="11">
        <f>[1]!EM_S_FA_GROSSPROFITMARGIN(B3240,E3240)</f>
        <v>65.326376078699994</v>
      </c>
      <c r="J3240" s="11">
        <f>[1]!EM_S_FA_NETPROFITMARGIN(B3240,E3240)</f>
        <v>-1.9573985591</v>
      </c>
      <c r="K3240" s="10">
        <f>[1]!EM_S_FA_ASSETSTURN(B3240,E3240)</f>
        <v>1.228877962419</v>
      </c>
      <c r="L3240" s="12">
        <f>[1]!EM_HKS_VAL_MV(B3240,"2019-12-31","2")</f>
        <v>3121728359.4000001</v>
      </c>
      <c r="M3240">
        <f>[1]!EM_S_VAL_PETTMDEDUCTED(B3240,E3240)</f>
        <v>18.605221352509801</v>
      </c>
      <c r="N3240" s="7">
        <f>[1]!EM_S_VAL_PBGOODWILLDEDUCTED(B3240,E3240)</f>
        <v>1.40408311867172</v>
      </c>
      <c r="O3240" s="7">
        <f>[1]!EM_S_VAL_PS_TTM(B3240,E3240)</f>
        <v>0.52279642615932997</v>
      </c>
      <c r="P3240" s="7">
        <f>[1]!EM_S_VAL_PCF_NCFTTM(B3240,E3240)</f>
        <v>-8.1922874379558692</v>
      </c>
      <c r="Q3240" s="7">
        <f>[1]!EM_S_VAL_DIVIDENDYIELD2(B3240,E3240,"2019-11-29")</f>
        <v>0</v>
      </c>
      <c r="T3240"/>
      <c r="U3240">
        <f>[1]!EM_S_RATIO_EPS_TTM(B3240,E3240,"1")</f>
        <v>-0.29125663585115841</v>
      </c>
      <c r="AT3240" s="4" t="str">
        <f>[1]!EM_S_IPO_LISTEDDATE(B3240)</f>
        <v>2017-09-25</v>
      </c>
    </row>
    <row r="3241" spans="1:46">
      <c r="A3241">
        <v>1529</v>
      </c>
      <c r="B3241" t="str">
        <f>"300104"</f>
        <v>300104</v>
      </c>
      <c r="C3241" t="s">
        <v>3666</v>
      </c>
      <c r="D3241" t="str">
        <f>[1]!EM_S_INFO_INDEX_EM(B3241,"1")</f>
        <v>互联网</v>
      </c>
      <c r="E3241" s="4">
        <f t="shared" si="50"/>
        <v>43465</v>
      </c>
      <c r="F3241" s="11">
        <f>[1]!EM_S_PQ_PCTCHANGE(B3241,"2018-01-01","2019-12-31","3")</f>
        <v>-88.975864319999999</v>
      </c>
      <c r="G3241" s="11">
        <f>[1]!EM_S_PQ_PCTCHANGE(B3241,"2018-12-31","2019-12-30","1")</f>
        <v>-32.128514060000001</v>
      </c>
      <c r="H3241" s="11">
        <f>[1]!EM_S_FA_YOY_OR(B3241,E3241)</f>
        <v>-77.825906412799995</v>
      </c>
      <c r="I3241" s="11">
        <f>[1]!EM_S_FA_GROSSPROFITMARGIN(B3241,E3241)</f>
        <v>-40.761208972799999</v>
      </c>
      <c r="J3241" s="11">
        <f>[1]!EM_S_FA_NETPROFITMARGIN(B3241,E3241)</f>
        <v>-368.06827655939998</v>
      </c>
      <c r="K3241" s="10">
        <f>[1]!EM_S_FA_ASSETSTURN(B3241,E3241)</f>
        <v>0.120028018184</v>
      </c>
      <c r="L3241" s="12">
        <f>[1]!EM_HKS_VAL_MV(B3241,"2019-12-31","2")</f>
        <v>6742153924.4799995</v>
      </c>
      <c r="M3241">
        <f>[1]!EM_S_VAL_PETTMDEDUCTED(B3241,E3241)</f>
        <v>-0.73030008321763096</v>
      </c>
      <c r="N3241" s="7">
        <f>[1]!EM_S_VAL_PBGOODWILLDEDUCTED(B3241,E3241)</f>
        <v>-2.63235530587948</v>
      </c>
      <c r="O3241" s="7">
        <f>[1]!EM_S_VAL_PS_TTM(B3241,E3241)</f>
        <v>4.2915622306427297</v>
      </c>
      <c r="P3241" s="7">
        <f>[1]!EM_S_VAL_PCF_NCFTTM(B3241,E3241)</f>
        <v>-18.550109205033198</v>
      </c>
      <c r="Q3241" s="7">
        <f>[1]!EM_S_VAL_DIVIDENDYIELD2(B3241,E3241,"2019-11-29")</f>
        <v>0</v>
      </c>
      <c r="T3241"/>
      <c r="U3241">
        <f>[1]!EM_S_RATIO_EPS_TTM(B3241,E3241,"1")</f>
        <v>-1.0266150572009878</v>
      </c>
      <c r="AT3241" s="4" t="str">
        <f>[1]!EM_S_IPO_LISTEDDATE(B3241)</f>
        <v>2010-08-12</v>
      </c>
    </row>
    <row r="3242" spans="1:46">
      <c r="A3242">
        <v>1207</v>
      </c>
      <c r="B3242" t="str">
        <f>"002696"</f>
        <v>002696</v>
      </c>
      <c r="C3242" t="s">
        <v>2598</v>
      </c>
      <c r="D3242" t="str">
        <f>[1]!EM_S_INFO_INDEX_EM(B3242,"1")</f>
        <v>农林牧渔</v>
      </c>
      <c r="E3242" s="4">
        <f t="shared" si="50"/>
        <v>43465</v>
      </c>
      <c r="F3242" s="11">
        <f>[1]!EM_S_PQ_PCTCHANGE(B3242,"2018-01-01","2019-12-31","3")</f>
        <v>-43.478399170000003</v>
      </c>
      <c r="G3242" s="11">
        <f>[1]!EM_S_PQ_PCTCHANGE(B3242,"2018-12-31","2019-12-30","1")</f>
        <v>-32.142857139999997</v>
      </c>
      <c r="H3242" s="11">
        <f>[1]!EM_S_FA_YOY_OR(B3242,E3242)</f>
        <v>30.886189492900002</v>
      </c>
      <c r="I3242" s="11">
        <f>[1]!EM_S_FA_GROSSPROFITMARGIN(B3242,E3242)</f>
        <v>20.848475670399999</v>
      </c>
      <c r="J3242" s="11">
        <f>[1]!EM_S_FA_NETPROFITMARGIN(B3242,E3242)</f>
        <v>2.3143092458000001</v>
      </c>
      <c r="K3242" s="10">
        <f>[1]!EM_S_FA_ASSETSTURN(B3242,E3242)</f>
        <v>0.858737613866</v>
      </c>
      <c r="L3242" s="12">
        <f>[1]!EM_HKS_VAL_MV(B3242,"2019-12-31","2")</f>
        <v>2096321460</v>
      </c>
      <c r="M3242">
        <f>[1]!EM_S_VAL_PETTMDEDUCTED(B3242,E3242)</f>
        <v>19.405756526005302</v>
      </c>
      <c r="N3242" s="7">
        <f>[1]!EM_S_VAL_PBGOODWILLDEDUCTED(B3242,E3242)</f>
        <v>2.75058144683226</v>
      </c>
      <c r="O3242" s="7">
        <f>[1]!EM_S_VAL_PS_TTM(B3242,E3242)</f>
        <v>1.1867305989066099</v>
      </c>
      <c r="P3242" s="7">
        <f>[1]!EM_S_VAL_PCF_NCFTTM(B3242,E3242)</f>
        <v>-14.9770721389499</v>
      </c>
      <c r="Q3242" s="7">
        <f>[1]!EM_S_VAL_DIVIDENDYIELD2(B3242,E3242,"2019-11-29")</f>
        <v>0.94339622641509446</v>
      </c>
      <c r="T3242"/>
      <c r="U3242">
        <f>[1]!EM_S_RATIO_EPS_TTM(B3242,E3242,"1")</f>
        <v>0.1445461062675889</v>
      </c>
      <c r="AT3242" s="4" t="str">
        <f>[1]!EM_S_IPO_LISTEDDATE(B3242)</f>
        <v>2012-09-05</v>
      </c>
    </row>
    <row r="3243" spans="1:46">
      <c r="A3243">
        <v>3636</v>
      </c>
      <c r="B3243" t="str">
        <f>"603996"</f>
        <v>603996</v>
      </c>
      <c r="C3243" t="s">
        <v>2317</v>
      </c>
      <c r="D3243" t="str">
        <f>[1]!EM_S_INFO_INDEX_EM(B3243,"1")</f>
        <v>电子设备</v>
      </c>
      <c r="E3243" s="4">
        <f t="shared" si="50"/>
        <v>43465</v>
      </c>
      <c r="F3243" s="11">
        <f>[1]!EM_S_PQ_PCTCHANGE(B3243,"2018-01-01","2019-12-31","3")</f>
        <v>-72.616405299999997</v>
      </c>
      <c r="G3243" s="11">
        <f>[1]!EM_S_PQ_PCTCHANGE(B3243,"2018-12-31","2019-12-30","1")</f>
        <v>-32.228116710000002</v>
      </c>
      <c r="H3243" s="11">
        <f>[1]!EM_S_FA_YOY_OR(B3243,E3243)</f>
        <v>1.1377423548000001</v>
      </c>
      <c r="I3243" s="11">
        <f>[1]!EM_S_FA_GROSSPROFITMARGIN(B3243,E3243)</f>
        <v>8.4665718447000007</v>
      </c>
      <c r="J3243" s="11">
        <f>[1]!EM_S_FA_NETPROFITMARGIN(B3243,E3243)</f>
        <v>-1.1657341729999999</v>
      </c>
      <c r="K3243" s="10">
        <f>[1]!EM_S_FA_ASSETSTURN(B3243,E3243)</f>
        <v>1.4590972255920001</v>
      </c>
      <c r="L3243" s="12">
        <f>[1]!EM_HKS_VAL_MV(B3243,"2019-12-31","2")</f>
        <v>1509754500</v>
      </c>
      <c r="M3243">
        <f>[1]!EM_S_VAL_PETTMDEDUCTED(B3243,E3243)</f>
        <v>14.785036048193801</v>
      </c>
      <c r="N3243" s="7">
        <f>[1]!EM_S_VAL_PBGOODWILLDEDUCTED(B3243,E3243)</f>
        <v>1.61319129189503</v>
      </c>
      <c r="O3243" s="7">
        <f>[1]!EM_S_VAL_PS_TTM(B3243,E3243)</f>
        <v>0.27494332340497901</v>
      </c>
      <c r="P3243" s="7">
        <f>[1]!EM_S_VAL_PCF_NCFTTM(B3243,E3243)</f>
        <v>-24.920311365091901</v>
      </c>
      <c r="Q3243" s="7">
        <f>[1]!EM_S_VAL_DIVIDENDYIELD2(B3243,E3243,"2019-11-29")</f>
        <v>0</v>
      </c>
      <c r="T3243"/>
      <c r="U3243">
        <f>[1]!EM_S_RATIO_EPS_TTM(B3243,E3243,"1")</f>
        <v>-0.26142620959520241</v>
      </c>
      <c r="AT3243" s="4" t="str">
        <f>[1]!EM_S_IPO_LISTEDDATE(B3243)</f>
        <v>2015-12-22</v>
      </c>
    </row>
    <row r="3244" spans="1:46">
      <c r="A3244">
        <v>658</v>
      </c>
      <c r="B3244" t="str">
        <f>"002147"</f>
        <v>002147</v>
      </c>
      <c r="C3244" t="s">
        <v>3357</v>
      </c>
      <c r="D3244" t="str">
        <f>[1]!EM_S_INFO_INDEX_EM(B3244,"1")</f>
        <v>房地产</v>
      </c>
      <c r="E3244" s="4">
        <f t="shared" si="50"/>
        <v>43465</v>
      </c>
      <c r="F3244" s="11">
        <f>[1]!EM_S_PQ_PCTCHANGE(B3244,"2018-01-01","2019-12-31","3")</f>
        <v>-83.616692430000001</v>
      </c>
      <c r="G3244" s="11">
        <f>[1]!EM_S_PQ_PCTCHANGE(B3244,"2018-12-31","2019-12-30","1")</f>
        <v>-32.258064519999998</v>
      </c>
      <c r="H3244" s="11">
        <f>[1]!EM_S_FA_YOY_OR(B3244,E3244)</f>
        <v>7.7745506754000004</v>
      </c>
      <c r="I3244" s="11">
        <f>[1]!EM_S_FA_GROSSPROFITMARGIN(B3244,E3244)</f>
        <v>25.021777812700002</v>
      </c>
      <c r="J3244" s="11">
        <f>[1]!EM_S_FA_NETPROFITMARGIN(B3244,E3244)</f>
        <v>-9.9287271194999995</v>
      </c>
      <c r="K3244" s="10">
        <f>[1]!EM_S_FA_ASSETSTURN(B3244,E3244)</f>
        <v>0.138010514852</v>
      </c>
      <c r="L3244" s="12">
        <f>[1]!EM_HKS_VAL_MV(B3244,"2019-12-31","2")</f>
        <v>3875521999.8000002</v>
      </c>
      <c r="M3244">
        <f>[1]!EM_S_VAL_PETTMDEDUCTED(B3244,E3244)</f>
        <v>4.0304508321819004</v>
      </c>
      <c r="N3244" s="7">
        <f>[1]!EM_S_VAL_PBGOODWILLDEDUCTED(B3244,E3244)</f>
        <v>0.72759359822755698</v>
      </c>
      <c r="O3244" s="7">
        <f>[1]!EM_S_VAL_PS_TTM(B3244,E3244)</f>
        <v>3.0173385243862998</v>
      </c>
      <c r="P3244" s="7">
        <f>[1]!EM_S_VAL_PCF_NCFTTM(B3244,E3244)</f>
        <v>-30.008339805055002</v>
      </c>
      <c r="Q3244" s="7">
        <f>[1]!EM_S_VAL_DIVIDENDYIELD2(B3244,E3244,"2019-11-29")</f>
        <v>0</v>
      </c>
      <c r="T3244"/>
      <c r="U3244">
        <f>[1]!EM_S_RATIO_EPS_TTM(B3244,E3244,"1")</f>
        <v>-0.11620226233267168</v>
      </c>
      <c r="AT3244" s="4" t="str">
        <f>[1]!EM_S_IPO_LISTEDDATE(B3244)</f>
        <v>2007-08-08</v>
      </c>
    </row>
    <row r="3245" spans="1:46">
      <c r="A3245">
        <v>3343</v>
      </c>
      <c r="B3245" t="str">
        <f>"603301"</f>
        <v>603301</v>
      </c>
      <c r="C3245" t="s">
        <v>628</v>
      </c>
      <c r="D3245" t="str">
        <f>[1]!EM_S_INFO_INDEX_EM(B3245,"1")</f>
        <v>医药生物</v>
      </c>
      <c r="E3245" s="4">
        <f t="shared" si="50"/>
        <v>43465</v>
      </c>
      <c r="F3245" s="11">
        <f>[1]!EM_S_PQ_PCTCHANGE(B3245,"2018-01-01","2019-12-31","3")</f>
        <v>55.375500219999999</v>
      </c>
      <c r="G3245" s="11">
        <f>[1]!EM_S_PQ_PCTCHANGE(B3245,"2018-12-31","2019-12-30","1")</f>
        <v>-32.503937010000001</v>
      </c>
      <c r="H3245" s="11">
        <f>[1]!EM_S_FA_YOY_OR(B3245,E3245)</f>
        <v>9.3700366079999995</v>
      </c>
      <c r="I3245" s="11">
        <f>[1]!EM_S_FA_GROSSPROFITMARGIN(B3245,E3245)</f>
        <v>31.362613014800001</v>
      </c>
      <c r="J3245" s="11">
        <f>[1]!EM_S_FA_NETPROFITMARGIN(B3245,E3245)</f>
        <v>9.0897095885999999</v>
      </c>
      <c r="K3245" s="10">
        <f>[1]!EM_S_FA_ASSETSTURN(B3245,E3245)</f>
        <v>0.90898930037100001</v>
      </c>
      <c r="L3245" s="12">
        <f>[1]!EM_HKS_VAL_MV(B3245,"2019-12-31","2")</f>
        <v>3045000000</v>
      </c>
      <c r="M3245">
        <f>[1]!EM_S_VAL_PETTMDEDUCTED(B3245,E3245)</f>
        <v>39.2901345876123</v>
      </c>
      <c r="N3245" s="7">
        <f>[1]!EM_S_VAL_PBGOODWILLDEDUCTED(B3245,E3245)</f>
        <v>2.90814375136013</v>
      </c>
      <c r="O3245" s="7">
        <f>[1]!EM_S_VAL_PS_TTM(B3245,E3245)</f>
        <v>2.2881532566549798</v>
      </c>
      <c r="P3245" s="7">
        <f>[1]!EM_S_VAL_PCF_NCFTTM(B3245,E3245)</f>
        <v>17.441649134353501</v>
      </c>
      <c r="Q3245" s="7">
        <f>[1]!EM_S_VAL_DIVIDENDYIELD2(B3245,E3245,"2019-11-29")</f>
        <v>1.3269639065817411</v>
      </c>
      <c r="T3245"/>
      <c r="U3245">
        <f>[1]!EM_S_RATIO_EPS_TTM(B3245,E3245,"1")</f>
        <v>1.3020357712000001</v>
      </c>
      <c r="AT3245" s="4" t="str">
        <f>[1]!EM_S_IPO_LISTEDDATE(B3245)</f>
        <v>2018-04-12</v>
      </c>
    </row>
    <row r="3246" spans="1:46">
      <c r="A3246">
        <v>3330</v>
      </c>
      <c r="B3246" t="str">
        <f>"603260"</f>
        <v>603260</v>
      </c>
      <c r="C3246" t="s">
        <v>72</v>
      </c>
      <c r="D3246" t="str">
        <f>[1]!EM_S_INFO_INDEX_EM(B3246,"1")</f>
        <v>有色金属</v>
      </c>
      <c r="E3246" s="4">
        <f t="shared" si="50"/>
        <v>43465</v>
      </c>
      <c r="F3246" s="11">
        <f>[1]!EM_S_PQ_PCTCHANGE(B3246,"2018-01-01","2019-12-31","3")</f>
        <v>-25.53503268</v>
      </c>
      <c r="G3246" s="11">
        <f>[1]!EM_S_PQ_PCTCHANGE(B3246,"2018-12-31","2019-12-30","1")</f>
        <v>-32.602739730000003</v>
      </c>
      <c r="H3246" s="11">
        <f>[1]!EM_S_FA_YOY_OR(B3246,E3246)</f>
        <v>59.3719472282</v>
      </c>
      <c r="I3246" s="11">
        <f>[1]!EM_S_FA_GROSSPROFITMARGIN(B3246,E3246)</f>
        <v>40.840735851700003</v>
      </c>
      <c r="J3246" s="11">
        <f>[1]!EM_S_FA_NETPROFITMARGIN(B3246,E3246)</f>
        <v>25.744773949999999</v>
      </c>
      <c r="K3246" s="10">
        <f>[1]!EM_S_FA_ASSETSTURN(B3246,E3246)</f>
        <v>0.73293058343799999</v>
      </c>
      <c r="L3246" s="12">
        <f>[1]!EM_HKS_VAL_MV(B3246,"2019-12-31","2")</f>
        <v>27642860000</v>
      </c>
      <c r="M3246">
        <f>[1]!EM_S_VAL_PETTMDEDUCTED(B3246,E3246)</f>
        <v>10.915886687445999</v>
      </c>
      <c r="N3246" s="7">
        <f>[1]!EM_S_VAL_PBGOODWILLDEDUCTED(B3246,E3246)</f>
        <v>3.70191944627638</v>
      </c>
      <c r="O3246" s="7">
        <f>[1]!EM_S_VAL_PS_TTM(B3246,E3246)</f>
        <v>2.80302951303113</v>
      </c>
      <c r="P3246" s="7">
        <f>[1]!EM_S_VAL_PCF_NCFTTM(B3246,E3246)</f>
        <v>45.4408283516564</v>
      </c>
      <c r="Q3246" s="7">
        <f>[1]!EM_S_VAL_DIVIDENDYIELD2(B3246,E3246,"2019-11-29")</f>
        <v>2.1399864293543502</v>
      </c>
      <c r="U3246">
        <f>[1]!EM_S_RATIO_EPS_TTM(B3246,E3246,"1")</f>
        <v>4.1868319396567166</v>
      </c>
      <c r="AT3246" s="4" t="str">
        <f>[1]!EM_S_IPO_LISTEDDATE(B3246)</f>
        <v>2017-10-30</v>
      </c>
    </row>
    <row r="3247" spans="1:46">
      <c r="A3247">
        <v>2695</v>
      </c>
      <c r="B3247" t="str">
        <f>"600622"</f>
        <v>600622</v>
      </c>
      <c r="C3247" t="s">
        <v>920</v>
      </c>
      <c r="D3247" t="str">
        <f>[1]!EM_S_INFO_INDEX_EM(B3247,"1")</f>
        <v>房地产</v>
      </c>
      <c r="E3247" s="4">
        <f t="shared" si="50"/>
        <v>43465</v>
      </c>
      <c r="F3247" s="11">
        <f>[1]!EM_S_PQ_PCTCHANGE(B3247,"2018-01-01","2019-12-31","3")</f>
        <v>-61.638248220000001</v>
      </c>
      <c r="G3247" s="11">
        <f>[1]!EM_S_PQ_PCTCHANGE(B3247,"2018-12-31","2019-12-30","1")</f>
        <v>-32.627865960000001</v>
      </c>
      <c r="H3247" s="11">
        <f>[1]!EM_S_FA_YOY_OR(B3247,E3247)</f>
        <v>54.304766352000001</v>
      </c>
      <c r="I3247" s="11">
        <f>[1]!EM_S_FA_GROSSPROFITMARGIN(B3247,E3247)</f>
        <v>56.967951022299999</v>
      </c>
      <c r="J3247" s="11">
        <f>[1]!EM_S_FA_NETPROFITMARGIN(B3247,E3247)</f>
        <v>24.583974535900001</v>
      </c>
      <c r="K3247" s="10">
        <f>[1]!EM_S_FA_ASSETSTURN(B3247,E3247)</f>
        <v>0.246833161005</v>
      </c>
      <c r="L3247" s="12">
        <f>[1]!EM_HKS_VAL_MV(B3247,"2019-12-31","2")</f>
        <v>5848773067.8000002</v>
      </c>
      <c r="M3247">
        <f>[1]!EM_S_VAL_PETTMDEDUCTED(B3247,E3247)</f>
        <v>11.1973294329384</v>
      </c>
      <c r="N3247" s="7">
        <f>[1]!EM_S_VAL_PBGOODWILLDEDUCTED(B3247,E3247)</f>
        <v>1.3517193008942701</v>
      </c>
      <c r="O3247" s="7">
        <f>[1]!EM_S_VAL_PS_TTM(B3247,E3247)</f>
        <v>1.41142257775365</v>
      </c>
      <c r="P3247" s="7">
        <f>[1]!EM_S_VAL_PCF_NCFTTM(B3247,E3247)</f>
        <v>6.4400646145942204</v>
      </c>
      <c r="Q3247" s="7">
        <f>[1]!EM_S_VAL_DIVIDENDYIELD2(B3247,E3247,"2019-11-29")</f>
        <v>3.4093330510409379</v>
      </c>
      <c r="T3247"/>
      <c r="U3247">
        <f>[1]!EM_S_RATIO_EPS_TTM(B3247,E3247,"1")</f>
        <v>0.76409379839300784</v>
      </c>
      <c r="AT3247" s="4" t="str">
        <f>[1]!EM_S_IPO_LISTEDDATE(B3247)</f>
        <v>1992-12-03</v>
      </c>
    </row>
    <row r="3248" spans="1:46">
      <c r="A3248">
        <v>1878</v>
      </c>
      <c r="B3248" t="str">
        <f>"300453"</f>
        <v>300453</v>
      </c>
      <c r="C3248" t="s">
        <v>2104</v>
      </c>
      <c r="D3248" t="str">
        <f>[1]!EM_S_INFO_INDEX_EM(B3248,"1")</f>
        <v>医药生物</v>
      </c>
      <c r="E3248" s="4">
        <f t="shared" si="50"/>
        <v>43465</v>
      </c>
      <c r="F3248" s="11">
        <f>[1]!EM_S_PQ_PCTCHANGE(B3248,"2018-01-01","2019-12-31","3")</f>
        <v>-25.972127059999998</v>
      </c>
      <c r="G3248" s="11">
        <f>[1]!EM_S_PQ_PCTCHANGE(B3248,"2018-12-31","2019-12-30","1")</f>
        <v>-32.667876589999999</v>
      </c>
      <c r="H3248" s="11">
        <f>[1]!EM_S_FA_YOY_OR(B3248,E3248)</f>
        <v>31.552206163200001</v>
      </c>
      <c r="I3248" s="11">
        <f>[1]!EM_S_FA_GROSSPROFITMARGIN(B3248,E3248)</f>
        <v>29.959041406000001</v>
      </c>
      <c r="J3248" s="11">
        <f>[1]!EM_S_FA_NETPROFITMARGIN(B3248,E3248)</f>
        <v>7.6990506255</v>
      </c>
      <c r="K3248" s="10">
        <f>[1]!EM_S_FA_ASSETSTURN(B3248,E3248)</f>
        <v>0.70936484209999995</v>
      </c>
      <c r="L3248" s="12">
        <f>[1]!EM_HKS_VAL_MV(B3248,"2019-12-31","2")</f>
        <v>1983422750</v>
      </c>
      <c r="M3248">
        <f>[1]!EM_S_VAL_PETTMDEDUCTED(B3248,E3248)</f>
        <v>53.581225968443903</v>
      </c>
      <c r="N3248" s="7">
        <f>[1]!EM_S_VAL_PBGOODWILLDEDUCTED(B3248,E3248)</f>
        <v>2.9694469962514001</v>
      </c>
      <c r="O3248" s="7">
        <f>[1]!EM_S_VAL_PS_TTM(B3248,E3248)</f>
        <v>3.6917751246681498</v>
      </c>
      <c r="P3248" s="7">
        <f>[1]!EM_S_VAL_PCF_NCFTTM(B3248,E3248)</f>
        <v>-106.450906618122</v>
      </c>
      <c r="Q3248" s="7">
        <f>[1]!EM_S_VAL_DIVIDENDYIELD2(B3248,E3248,"2019-11-29")</f>
        <v>0.86103447190509597</v>
      </c>
      <c r="T3248"/>
      <c r="U3248">
        <f>[1]!EM_S_RATIO_EPS_TTM(B3248,E3248,"1")</f>
        <v>0.25194054440804581</v>
      </c>
      <c r="AT3248" s="4" t="str">
        <f>[1]!EM_S_IPO_LISTEDDATE(B3248)</f>
        <v>2015-05-15</v>
      </c>
    </row>
    <row r="3249" spans="1:46">
      <c r="A3249">
        <v>1874</v>
      </c>
      <c r="B3249" t="str">
        <f>"300449"</f>
        <v>300449</v>
      </c>
      <c r="C3249" t="s">
        <v>3406</v>
      </c>
      <c r="D3249" t="str">
        <f>[1]!EM_S_INFO_INDEX_EM(B3249,"1")</f>
        <v>信息技术</v>
      </c>
      <c r="E3249" s="4">
        <f t="shared" si="50"/>
        <v>43465</v>
      </c>
      <c r="F3249" s="11">
        <f>[1]!EM_S_PQ_PCTCHANGE(B3249,"2018-01-01","2019-12-31","3")</f>
        <v>-5.1594249200000002</v>
      </c>
      <c r="G3249" s="11">
        <f>[1]!EM_S_PQ_PCTCHANGE(B3249,"2018-12-31","2019-12-30","1")</f>
        <v>-32.749675750000002</v>
      </c>
      <c r="H3249" s="11">
        <f>[1]!EM_S_FA_YOY_OR(B3249,E3249)</f>
        <v>-23.817060108300002</v>
      </c>
      <c r="I3249" s="11">
        <f>[1]!EM_S_FA_GROSSPROFITMARGIN(B3249,E3249)</f>
        <v>39.967211643699997</v>
      </c>
      <c r="J3249" s="11">
        <f>[1]!EM_S_FA_NETPROFITMARGIN(B3249,E3249)</f>
        <v>2.0883512217</v>
      </c>
      <c r="K3249" s="10">
        <f>[1]!EM_S_FA_ASSETSTURN(B3249,E3249)</f>
        <v>0.258781737116</v>
      </c>
      <c r="L3249" s="12">
        <f>[1]!EM_HKS_VAL_MV(B3249,"2019-12-31","2")</f>
        <v>3118414393.6999998</v>
      </c>
      <c r="M3249">
        <f>[1]!EM_S_VAL_PETTMDEDUCTED(B3249,E3249)</f>
        <v>33.999116011343197</v>
      </c>
      <c r="N3249" s="7">
        <f>[1]!EM_S_VAL_PBGOODWILLDEDUCTED(B3249,E3249)</f>
        <v>4.3536239699888899</v>
      </c>
      <c r="O3249" s="7">
        <f>[1]!EM_S_VAL_PS_TTM(B3249,E3249)</f>
        <v>4.1216563188653002</v>
      </c>
      <c r="P3249" s="7">
        <f>[1]!EM_S_VAL_PCF_NCFTTM(B3249,E3249)</f>
        <v>27.991459795727501</v>
      </c>
      <c r="Q3249" s="7">
        <f>[1]!EM_S_VAL_DIVIDENDYIELD2(B3249,E3249,"2019-11-29")</f>
        <v>0.35966029265146771</v>
      </c>
      <c r="T3249"/>
      <c r="U3249">
        <f>[1]!EM_S_RATIO_EPS_TTM(B3249,E3249,"1")</f>
        <v>6.4914264894622792E-2</v>
      </c>
      <c r="AT3249" s="4" t="str">
        <f>[1]!EM_S_IPO_LISTEDDATE(B3249)</f>
        <v>2015-04-22</v>
      </c>
    </row>
    <row r="3250" spans="1:46">
      <c r="A3250">
        <v>719</v>
      </c>
      <c r="B3250" t="str">
        <f>"002208"</f>
        <v>002208</v>
      </c>
      <c r="C3250" t="s">
        <v>2980</v>
      </c>
      <c r="D3250" t="str">
        <f>[1]!EM_S_INFO_INDEX_EM(B3250,"1")</f>
        <v>房地产</v>
      </c>
      <c r="E3250" s="4">
        <f t="shared" si="50"/>
        <v>43465</v>
      </c>
      <c r="F3250" s="11">
        <f>[1]!EM_S_PQ_PCTCHANGE(B3250,"2018-01-01","2019-12-31","3")</f>
        <v>18.60447821</v>
      </c>
      <c r="G3250" s="11">
        <f>[1]!EM_S_PQ_PCTCHANGE(B3250,"2018-12-31","2019-12-30","1")</f>
        <v>-32.89473684</v>
      </c>
      <c r="H3250" s="11">
        <f>[1]!EM_S_FA_YOY_OR(B3250,E3250)</f>
        <v>-28.360211848199999</v>
      </c>
      <c r="I3250" s="11">
        <f>[1]!EM_S_FA_GROSSPROFITMARGIN(B3250,E3250)</f>
        <v>46.354126516599997</v>
      </c>
      <c r="J3250" s="11">
        <f>[1]!EM_S_FA_NETPROFITMARGIN(B3250,E3250)</f>
        <v>14.9201786028</v>
      </c>
      <c r="K3250" s="10">
        <f>[1]!EM_S_FA_ASSETSTURN(B3250,E3250)</f>
        <v>0.16171918824199999</v>
      </c>
      <c r="L3250" s="12">
        <f>[1]!EM_HKS_VAL_MV(B3250,"2019-12-31","2")</f>
        <v>3416107200</v>
      </c>
      <c r="M3250">
        <f>[1]!EM_S_VAL_PETTMDEDUCTED(B3250,E3250)</f>
        <v>10.923748001036399</v>
      </c>
      <c r="N3250" s="7">
        <f>[1]!EM_S_VAL_PBGOODWILLDEDUCTED(B3250,E3250)</f>
        <v>1.6990654156749601</v>
      </c>
      <c r="O3250" s="7">
        <f>[1]!EM_S_VAL_PS_TTM(B3250,E3250)</f>
        <v>1.0832444831644901</v>
      </c>
      <c r="P3250" s="7">
        <f>[1]!EM_S_VAL_PCF_NCFTTM(B3250,E3250)</f>
        <v>12.909134754532401</v>
      </c>
      <c r="Q3250" s="7">
        <f>[1]!EM_S_VAL_DIVIDENDYIELD2(B3250,E3250,"2019-11-29")</f>
        <v>0.96006144393241177</v>
      </c>
      <c r="T3250"/>
      <c r="U3250">
        <f>[1]!EM_S_RATIO_EPS_TTM(B3250,E3250,"1")</f>
        <v>0.77335098181818185</v>
      </c>
      <c r="AT3250" s="4" t="str">
        <f>[1]!EM_S_IPO_LISTEDDATE(B3250)</f>
        <v>2008-01-28</v>
      </c>
    </row>
    <row r="3251" spans="1:46">
      <c r="A3251">
        <v>2137</v>
      </c>
      <c r="B3251" t="str">
        <f>"300722"</f>
        <v>300722</v>
      </c>
      <c r="C3251" t="s">
        <v>1878</v>
      </c>
      <c r="D3251" t="str">
        <f>[1]!EM_S_INFO_INDEX_EM(B3251,"1")</f>
        <v>国防与装备</v>
      </c>
      <c r="E3251" s="4">
        <f t="shared" si="50"/>
        <v>43465</v>
      </c>
      <c r="F3251" s="11">
        <f>[1]!EM_S_PQ_PCTCHANGE(B3251,"2018-01-01","2019-12-31","3")</f>
        <v>-11.51442836</v>
      </c>
      <c r="G3251" s="11">
        <f>[1]!EM_S_PQ_PCTCHANGE(B3251,"2018-12-31","2019-12-30","1")</f>
        <v>-33.041504539999998</v>
      </c>
      <c r="H3251" s="11">
        <f>[1]!EM_S_FA_YOY_OR(B3251,E3251)</f>
        <v>6.7707988223999998</v>
      </c>
      <c r="I3251" s="11">
        <f>[1]!EM_S_FA_GROSSPROFITMARGIN(B3251,E3251)</f>
        <v>46.864575566900001</v>
      </c>
      <c r="J3251" s="11">
        <f>[1]!EM_S_FA_NETPROFITMARGIN(B3251,E3251)</f>
        <v>34.769704953800002</v>
      </c>
      <c r="K3251" s="10">
        <f>[1]!EM_S_FA_ASSETSTURN(B3251,E3251)</f>
        <v>0.39418080652199999</v>
      </c>
      <c r="L3251" s="12">
        <f>[1]!EM_HKS_VAL_MV(B3251,"2019-12-31","2")</f>
        <v>2350880000</v>
      </c>
      <c r="M3251">
        <f>[1]!EM_S_VAL_PETTMDEDUCTED(B3251,E3251)</f>
        <v>65.991715427006895</v>
      </c>
      <c r="N3251" s="7">
        <f>[1]!EM_S_VAL_PBGOODWILLDEDUCTED(B3251,E3251)</f>
        <v>5.6973876666515801</v>
      </c>
      <c r="O3251" s="7">
        <f>[1]!EM_S_VAL_PS_TTM(B3251,E3251)</f>
        <v>11.7388487109158</v>
      </c>
      <c r="P3251" s="7">
        <f>[1]!EM_S_VAL_PCF_NCFTTM(B3251,E3251)</f>
        <v>114.353698905176</v>
      </c>
      <c r="Q3251" s="7">
        <f>[1]!EM_S_VAL_DIVIDENDYIELD2(B3251,E3251,"2019-11-29")</f>
        <v>1.240694789081886</v>
      </c>
      <c r="T3251"/>
      <c r="U3251">
        <f>[1]!EM_S_RATIO_EPS_TTM(B3251,E3251,"1")</f>
        <v>0.92535432662499995</v>
      </c>
      <c r="AT3251" s="4" t="str">
        <f>[1]!EM_S_IPO_LISTEDDATE(B3251)</f>
        <v>2017-11-10</v>
      </c>
    </row>
    <row r="3252" spans="1:46">
      <c r="A3252">
        <v>1334</v>
      </c>
      <c r="B3252" t="str">
        <f>"002831"</f>
        <v>002831</v>
      </c>
      <c r="C3252" t="s">
        <v>930</v>
      </c>
      <c r="D3252" t="str">
        <f>[1]!EM_S_INFO_INDEX_EM(B3252,"1")</f>
        <v>轻工制造</v>
      </c>
      <c r="E3252" s="4">
        <f t="shared" si="50"/>
        <v>43465</v>
      </c>
      <c r="F3252" s="11">
        <f>[1]!EM_S_PQ_PCTCHANGE(B3252,"2018-01-01","2019-12-31","3")</f>
        <v>6.7685355899999999</v>
      </c>
      <c r="G3252" s="11">
        <f>[1]!EM_S_PQ_PCTCHANGE(B3252,"2018-12-31","2019-12-30","1")</f>
        <v>-33.07538692</v>
      </c>
      <c r="H3252" s="11">
        <f>[1]!EM_S_FA_YOY_OR(B3252,E3252)</f>
        <v>23.4681052577</v>
      </c>
      <c r="I3252" s="11">
        <f>[1]!EM_S_FA_GROSSPROFITMARGIN(B3252,E3252)</f>
        <v>28.499882979799999</v>
      </c>
      <c r="J3252" s="11">
        <f>[1]!EM_S_FA_NETPROFITMARGIN(B3252,E3252)</f>
        <v>11.4084340448</v>
      </c>
      <c r="K3252" s="10">
        <f>[1]!EM_S_FA_ASSETSTURN(B3252,E3252)</f>
        <v>0.85554338429599996</v>
      </c>
      <c r="L3252" s="12">
        <f>[1]!EM_HKS_VAL_MV(B3252,"2019-12-31","2")</f>
        <v>23286968254.799999</v>
      </c>
      <c r="M3252">
        <f>[1]!EM_S_VAL_PETTMDEDUCTED(B3252,E3252)</f>
        <v>21.055301904505399</v>
      </c>
      <c r="N3252" s="7">
        <f>[1]!EM_S_VAL_PBGOODWILLDEDUCTED(B3252,E3252)</f>
        <v>2.9433813855434399</v>
      </c>
      <c r="O3252" s="7">
        <f>[1]!EM_S_VAL_PS_TTM(B3252,E3252)</f>
        <v>2.0340037810411302</v>
      </c>
      <c r="P3252" s="7">
        <f>[1]!EM_S_VAL_PCF_NCFTTM(B3252,E3252)</f>
        <v>53.350122359588397</v>
      </c>
      <c r="Q3252" s="7">
        <f>[1]!EM_S_VAL_DIVIDENDYIELD2(B3252,E3252,"2019-11-29")</f>
        <v>1.1392018200572587</v>
      </c>
      <c r="T3252"/>
      <c r="U3252">
        <f>[1]!EM_S_RATIO_EPS_TTM(B3252,E3252,"1")</f>
        <v>2.3638868463788403</v>
      </c>
      <c r="AT3252" s="4" t="str">
        <f>[1]!EM_S_IPO_LISTEDDATE(B3252)</f>
        <v>2016-12-16</v>
      </c>
    </row>
    <row r="3253" spans="1:46">
      <c r="A3253">
        <v>1514</v>
      </c>
      <c r="B3253" t="str">
        <f>"300089"</f>
        <v>300089</v>
      </c>
      <c r="C3253" t="s">
        <v>2750</v>
      </c>
      <c r="D3253" t="str">
        <f>[1]!EM_S_INFO_INDEX_EM(B3253,"1")</f>
        <v>文化传媒</v>
      </c>
      <c r="E3253" s="4">
        <f t="shared" si="50"/>
        <v>43465</v>
      </c>
      <c r="F3253" s="11">
        <f>[1]!EM_S_PQ_PCTCHANGE(B3253,"2018-01-01","2019-12-31","3")</f>
        <v>-66.153846150000007</v>
      </c>
      <c r="G3253" s="11">
        <f>[1]!EM_S_PQ_PCTCHANGE(B3253,"2018-12-31","2019-12-30","1")</f>
        <v>-33.145009420000001</v>
      </c>
      <c r="H3253" s="11">
        <f>[1]!EM_S_FA_YOY_OR(B3253,E3253)</f>
        <v>117.31124471939999</v>
      </c>
      <c r="I3253" s="11">
        <f>[1]!EM_S_FA_GROSSPROFITMARGIN(B3253,E3253)</f>
        <v>51.2426920272</v>
      </c>
      <c r="J3253" s="11">
        <f>[1]!EM_S_FA_NETPROFITMARGIN(B3253,E3253)</f>
        <v>18.614925173300001</v>
      </c>
      <c r="K3253" s="10">
        <f>[1]!EM_S_FA_ASSETSTURN(B3253,E3253)</f>
        <v>0.32864605417300002</v>
      </c>
      <c r="L3253" s="12">
        <f>[1]!EM_HKS_VAL_MV(B3253,"2019-12-31","2")</f>
        <v>1693320182.4000001</v>
      </c>
      <c r="M3253">
        <f>[1]!EM_S_VAL_PETTMDEDUCTED(B3253,E3253)</f>
        <v>16.1813179897275</v>
      </c>
      <c r="N3253" s="7">
        <f>[1]!EM_S_VAL_PBGOODWILLDEDUCTED(B3253,E3253)</f>
        <v>3.33639657210295</v>
      </c>
      <c r="O3253" s="7">
        <f>[1]!EM_S_VAL_PS_TTM(B3253,E3253)</f>
        <v>2.7225288786186899</v>
      </c>
      <c r="P3253" s="7">
        <f>[1]!EM_S_VAL_PCF_NCFTTM(B3253,E3253)</f>
        <v>7.8464083351214002</v>
      </c>
      <c r="Q3253" s="7">
        <f>[1]!EM_S_VAL_DIVIDENDYIELD2(B3253,E3253,"2019-11-29")</f>
        <v>0</v>
      </c>
      <c r="T3253"/>
      <c r="U3253">
        <f>[1]!EM_S_RATIO_EPS_TTM(B3253,E3253,"1")</f>
        <v>0.42583603277508542</v>
      </c>
      <c r="AT3253" s="4" t="str">
        <f>[1]!EM_S_IPO_LISTEDDATE(B3253)</f>
        <v>2010-06-25</v>
      </c>
    </row>
    <row r="3254" spans="1:46">
      <c r="A3254">
        <v>3243</v>
      </c>
      <c r="B3254" t="str">
        <f>"603056"</f>
        <v>603056</v>
      </c>
      <c r="C3254" t="s">
        <v>827</v>
      </c>
      <c r="D3254" t="str">
        <f>[1]!EM_S_INFO_INDEX_EM(B3254,"1")</f>
        <v>交通运输</v>
      </c>
      <c r="E3254" s="4">
        <f t="shared" si="50"/>
        <v>43465</v>
      </c>
      <c r="F3254" s="11">
        <f>[1]!EM_S_PQ_PCTCHANGE(B3254,"2018-01-01","2019-12-31","3")</f>
        <v>134.60958213999999</v>
      </c>
      <c r="G3254" s="11">
        <f>[1]!EM_S_PQ_PCTCHANGE(B3254,"2018-12-31","2019-12-30","1")</f>
        <v>-33.172205439999999</v>
      </c>
      <c r="H3254" s="11">
        <f>[1]!EM_S_FA_YOY_OR(B3254,E3254)</f>
        <v>13.1459570952</v>
      </c>
      <c r="I3254" s="11">
        <f>[1]!EM_S_FA_GROSSPROFITMARGIN(B3254,E3254)</f>
        <v>14.0987119311</v>
      </c>
      <c r="J3254" s="11">
        <f>[1]!EM_S_FA_NETPROFITMARGIN(B3254,E3254)</f>
        <v>3.0418996198000001</v>
      </c>
      <c r="K3254" s="10">
        <f>[1]!EM_S_FA_ASSETSTURN(B3254,E3254)</f>
        <v>3.1237768808020001</v>
      </c>
      <c r="L3254" s="12">
        <f>[1]!EM_HKS_VAL_MV(B3254,"2019-12-31","2")</f>
        <v>10665600000</v>
      </c>
      <c r="M3254">
        <f>[1]!EM_S_VAL_PETTMDEDUCTED(B3254,E3254)</f>
        <v>41.152524679390702</v>
      </c>
      <c r="N3254" s="7">
        <f>[1]!EM_S_VAL_PBGOODWILLDEDUCTED(B3254,E3254)</f>
        <v>3.9451151494551802</v>
      </c>
      <c r="O3254" s="7">
        <f>[1]!EM_S_VAL_PS_TTM(B3254,E3254)</f>
        <v>0.73027022630124905</v>
      </c>
      <c r="P3254" s="7">
        <f>[1]!EM_S_VAL_PCF_NCFTTM(B3254,E3254)</f>
        <v>9.5433769166775804</v>
      </c>
      <c r="Q3254" s="7">
        <f>[1]!EM_S_VAL_DIVIDENDYIELD2(B3254,E3254,"2019-11-29")</f>
        <v>2.0202952029520294</v>
      </c>
      <c r="T3254"/>
      <c r="U3254">
        <f>[1]!EM_S_RATIO_EPS_TTM(B3254,E3254,"1")</f>
        <v>0.72959082144791665</v>
      </c>
      <c r="AT3254" s="4" t="str">
        <f>[1]!EM_S_IPO_LISTEDDATE(B3254)</f>
        <v>2018-01-16</v>
      </c>
    </row>
    <row r="3255" spans="1:46">
      <c r="A3255">
        <v>3335</v>
      </c>
      <c r="B3255" t="str">
        <f>"603278"</f>
        <v>603278</v>
      </c>
      <c r="C3255" t="s">
        <v>911</v>
      </c>
      <c r="D3255" t="str">
        <f>[1]!EM_S_INFO_INDEX_EM(B3255,"1")</f>
        <v>机械设备</v>
      </c>
      <c r="E3255" s="4">
        <f t="shared" si="50"/>
        <v>43465</v>
      </c>
      <c r="F3255" s="11">
        <f>[1]!EM_S_PQ_PCTCHANGE(B3255,"2018-01-01","2019-12-31","3")</f>
        <v>-41.082387259999997</v>
      </c>
      <c r="G3255" s="11">
        <f>[1]!EM_S_PQ_PCTCHANGE(B3255,"2018-12-31","2019-12-30","1")</f>
        <v>-33.243243239999998</v>
      </c>
      <c r="H3255" s="11">
        <f>[1]!EM_S_FA_YOY_OR(B3255,E3255)</f>
        <v>29.406538250899999</v>
      </c>
      <c r="I3255" s="11">
        <f>[1]!EM_S_FA_GROSSPROFITMARGIN(B3255,E3255)</f>
        <v>16.050494981300002</v>
      </c>
      <c r="J3255" s="11">
        <f>[1]!EM_S_FA_NETPROFITMARGIN(B3255,E3255)</f>
        <v>8.4186613300000008</v>
      </c>
      <c r="K3255" s="10">
        <f>[1]!EM_S_FA_ASSETSTURN(B3255,E3255)</f>
        <v>0.81034824484099999</v>
      </c>
      <c r="L3255" s="12">
        <f>[1]!EM_HKS_VAL_MV(B3255,"2019-12-31","2")</f>
        <v>2792004714</v>
      </c>
      <c r="M3255">
        <f>[1]!EM_S_VAL_PETTMDEDUCTED(B3255,E3255)</f>
        <v>18.920425858459701</v>
      </c>
      <c r="N3255" s="7">
        <f>[1]!EM_S_VAL_PBGOODWILLDEDUCTED(B3255,E3255)</f>
        <v>2.0162920681632301</v>
      </c>
      <c r="O3255" s="7">
        <f>[1]!EM_S_VAL_PS_TTM(B3255,E3255)</f>
        <v>1.32456191048467</v>
      </c>
      <c r="P3255" s="7">
        <f>[1]!EM_S_VAL_PCF_NCFTTM(B3255,E3255)</f>
        <v>20.614521772186801</v>
      </c>
      <c r="Q3255" s="7">
        <f>[1]!EM_S_VAL_DIVIDENDYIELD2(B3255,E3255,"2019-11-29")</f>
        <v>0.9273348899703252</v>
      </c>
      <c r="T3255"/>
      <c r="U3255">
        <f>[1]!EM_S_RATIO_EPS_TTM(B3255,E3255,"1")</f>
        <v>0.9873116055769231</v>
      </c>
      <c r="AT3255" s="4" t="str">
        <f>[1]!EM_S_IPO_LISTEDDATE(B3255)</f>
        <v>2017-11-13</v>
      </c>
    </row>
    <row r="3256" spans="1:46">
      <c r="A3256">
        <v>201</v>
      </c>
      <c r="B3256" t="str">
        <f>"000597"</f>
        <v>000597</v>
      </c>
      <c r="C3256" t="s">
        <v>1281</v>
      </c>
      <c r="D3256" t="str">
        <f>[1]!EM_S_INFO_INDEX_EM(B3256,"1")</f>
        <v>医药生物</v>
      </c>
      <c r="E3256" s="4">
        <f t="shared" si="50"/>
        <v>43465</v>
      </c>
      <c r="F3256" s="11">
        <f>[1]!EM_S_PQ_PCTCHANGE(B3256,"2018-01-01","2019-12-31","3")</f>
        <v>-5.4423897999999999</v>
      </c>
      <c r="G3256" s="11">
        <f>[1]!EM_S_PQ_PCTCHANGE(B3256,"2018-12-31","2019-12-30","1")</f>
        <v>-33.267716540000002</v>
      </c>
      <c r="H3256" s="11">
        <f>[1]!EM_S_FA_YOY_OR(B3256,E3256)</f>
        <v>31.537928290699998</v>
      </c>
      <c r="I3256" s="11">
        <f>[1]!EM_S_FA_GROSSPROFITMARGIN(B3256,E3256)</f>
        <v>41.376030005700002</v>
      </c>
      <c r="J3256" s="11">
        <f>[1]!EM_S_FA_NETPROFITMARGIN(B3256,E3256)</f>
        <v>2.6969473106000001</v>
      </c>
      <c r="K3256" s="10">
        <f>[1]!EM_S_FA_ASSETSTURN(B3256,E3256)</f>
        <v>0.66929249952400005</v>
      </c>
      <c r="L3256" s="12">
        <f>[1]!EM_HKS_VAL_MV(B3256,"2019-12-31","2")</f>
        <v>6749260659.8000002</v>
      </c>
      <c r="M3256">
        <f>[1]!EM_S_VAL_PETTMDEDUCTED(B3256,E3256)</f>
        <v>32.020497220007201</v>
      </c>
      <c r="N3256" s="7">
        <f>[1]!EM_S_VAL_PBGOODWILLDEDUCTED(B3256,E3256)</f>
        <v>1.67999920290661</v>
      </c>
      <c r="O3256" s="7">
        <f>[1]!EM_S_VAL_PS_TTM(B3256,E3256)</f>
        <v>0.81481211747030002</v>
      </c>
      <c r="P3256" s="7">
        <f>[1]!EM_S_VAL_PCF_NCFTTM(B3256,E3256)</f>
        <v>-14.2521055084809</v>
      </c>
      <c r="Q3256" s="7">
        <f>[1]!EM_S_VAL_DIVIDENDYIELD2(B3256,E3256,"2019-11-29")</f>
        <v>0</v>
      </c>
      <c r="T3256"/>
      <c r="U3256">
        <f>[1]!EM_S_RATIO_EPS_TTM(B3256,E3256,"1")</f>
        <v>0.34270451073399738</v>
      </c>
      <c r="AT3256" s="4" t="str">
        <f>[1]!EM_S_IPO_LISTEDDATE(B3256)</f>
        <v>1996-05-23</v>
      </c>
    </row>
    <row r="3257" spans="1:46">
      <c r="A3257">
        <v>1125</v>
      </c>
      <c r="B3257" t="str">
        <f>"002614"</f>
        <v>002614</v>
      </c>
      <c r="C3257" t="s">
        <v>2254</v>
      </c>
      <c r="D3257" t="str">
        <f>[1]!EM_S_INFO_INDEX_EM(B3257,"1")</f>
        <v>家电</v>
      </c>
      <c r="E3257" s="4">
        <f t="shared" si="50"/>
        <v>43465</v>
      </c>
      <c r="F3257" s="11">
        <f>[1]!EM_S_PQ_PCTCHANGE(B3257,"2018-01-01","2019-12-31","3")</f>
        <v>-44.760313259999997</v>
      </c>
      <c r="G3257" s="11">
        <f>[1]!EM_S_PQ_PCTCHANGE(B3257,"2018-12-31","2019-12-30","1")</f>
        <v>-33.291536049999998</v>
      </c>
      <c r="H3257" s="11">
        <f>[1]!EM_S_FA_YOY_OR(B3257,E3257)</f>
        <v>26.8577888465</v>
      </c>
      <c r="I3257" s="11">
        <f>[1]!EM_S_FA_GROSSPROFITMARGIN(B3257,E3257)</f>
        <v>36.2549717781</v>
      </c>
      <c r="J3257" s="11">
        <f>[1]!EM_S_FA_NETPROFITMARGIN(B3257,E3257)</f>
        <v>8.1293330200000007</v>
      </c>
      <c r="K3257" s="10">
        <f>[1]!EM_S_FA_ASSETSTURN(B3257,E3257)</f>
        <v>1.0078752414509999</v>
      </c>
      <c r="L3257" s="12">
        <f>[1]!EM_HKS_VAL_MV(B3257,"2019-12-31","2")</f>
        <v>5938051450</v>
      </c>
      <c r="M3257">
        <f>[1]!EM_S_VAL_PETTMDEDUCTED(B3257,E3257)</f>
        <v>27.972916684614901</v>
      </c>
      <c r="N3257" s="7">
        <f>[1]!EM_S_VAL_PBGOODWILLDEDUCTED(B3257,E3257)</f>
        <v>2.9272098843601602</v>
      </c>
      <c r="O3257" s="7">
        <f>[1]!EM_S_VAL_PS_TTM(B3257,E3257)</f>
        <v>1.72811311519865</v>
      </c>
      <c r="P3257" s="7">
        <f>[1]!EM_S_VAL_PCF_NCFTTM(B3257,E3257)</f>
        <v>49.340562469020099</v>
      </c>
      <c r="Q3257" s="7">
        <f>[1]!EM_S_VAL_DIVIDENDYIELD2(B3257,E3257,"2019-11-29")</f>
        <v>0.99826978861214488</v>
      </c>
      <c r="T3257"/>
      <c r="U3257">
        <f>[1]!EM_S_RATIO_EPS_TTM(B3257,E3257,"1")</f>
        <v>0.78190932742404773</v>
      </c>
      <c r="AT3257" s="4" t="str">
        <f>[1]!EM_S_IPO_LISTEDDATE(B3257)</f>
        <v>2011-09-09</v>
      </c>
    </row>
    <row r="3258" spans="1:46">
      <c r="A3258">
        <v>3059</v>
      </c>
      <c r="B3258" t="str">
        <f>"601127"</f>
        <v>601127</v>
      </c>
      <c r="C3258" t="s">
        <v>355</v>
      </c>
      <c r="D3258" t="str">
        <f>[1]!EM_S_INFO_INDEX_EM(B3258,"1")</f>
        <v>交运设备</v>
      </c>
      <c r="E3258" s="4">
        <f t="shared" si="50"/>
        <v>43465</v>
      </c>
      <c r="F3258" s="11">
        <f>[1]!EM_S_PQ_PCTCHANGE(B3258,"2018-01-01","2019-12-31","3")</f>
        <v>-42.137010850000003</v>
      </c>
      <c r="G3258" s="11">
        <f>[1]!EM_S_PQ_PCTCHANGE(B3258,"2018-12-31","2019-12-30","1")</f>
        <v>-33.488914819999998</v>
      </c>
      <c r="H3258" s="11">
        <f>[1]!EM_S_FA_YOY_OR(B3258,E3258)</f>
        <v>-7.7231574672000001</v>
      </c>
      <c r="I3258" s="11">
        <f>[1]!EM_S_FA_GROSSPROFITMARGIN(B3258,E3258)</f>
        <v>23.863828321700002</v>
      </c>
      <c r="J3258" s="11">
        <f>[1]!EM_S_FA_NETPROFITMARGIN(B3258,E3258)</f>
        <v>2.5091041119000002</v>
      </c>
      <c r="K3258" s="10">
        <f>[1]!EM_S_FA_ASSETSTURN(B3258,E3258)</f>
        <v>0.80511939840699998</v>
      </c>
      <c r="L3258" s="12">
        <f>[1]!EM_HKS_VAL_MV(B3258,"2019-12-31","2")</f>
        <v>10715377354.799999</v>
      </c>
      <c r="M3258">
        <f>[1]!EM_S_VAL_PETTMDEDUCTED(B3258,E3258)</f>
        <v>358.25916213977001</v>
      </c>
      <c r="N3258" s="7">
        <f>[1]!EM_S_VAL_PBGOODWILLDEDUCTED(B3258,E3258)</f>
        <v>3.3720103001973598</v>
      </c>
      <c r="O3258" s="7">
        <f>[1]!EM_S_VAL_PS_TTM(B3258,E3258)</f>
        <v>0.74298833553423405</v>
      </c>
      <c r="P3258" s="7">
        <f>[1]!EM_S_VAL_PCF_NCFTTM(B3258,E3258)</f>
        <v>44.4031762873567</v>
      </c>
      <c r="Q3258" s="7">
        <f>[1]!EM_S_VAL_DIVIDENDYIELD2(B3258,E3258,"2019-11-29")</f>
        <v>0.63441701200057898</v>
      </c>
      <c r="T3258"/>
      <c r="U3258">
        <f>[1]!EM_S_RATIO_EPS_TTM(B3258,E3258,"1")</f>
        <v>0.1124915644419556</v>
      </c>
      <c r="AT3258" s="4" t="str">
        <f>[1]!EM_S_IPO_LISTEDDATE(B3258)</f>
        <v>2016-06-15</v>
      </c>
    </row>
    <row r="3259" spans="1:46">
      <c r="A3259">
        <v>3480</v>
      </c>
      <c r="B3259" t="str">
        <f>"603660"</f>
        <v>603660</v>
      </c>
      <c r="C3259" t="s">
        <v>909</v>
      </c>
      <c r="D3259" t="str">
        <f>[1]!EM_S_INFO_INDEX_EM(B3259,"1")</f>
        <v>信息技术</v>
      </c>
      <c r="E3259" s="4">
        <f t="shared" si="50"/>
        <v>43465</v>
      </c>
      <c r="F3259" s="11">
        <f>[1]!EM_S_PQ_PCTCHANGE(B3259,"2018-01-01","2019-12-31","3")</f>
        <v>-37.167239260000002</v>
      </c>
      <c r="G3259" s="11">
        <f>[1]!EM_S_PQ_PCTCHANGE(B3259,"2018-12-31","2019-12-30","1")</f>
        <v>-33.773245350000003</v>
      </c>
      <c r="H3259" s="11">
        <f>[1]!EM_S_FA_YOY_OR(B3259,E3259)</f>
        <v>34.413794136299998</v>
      </c>
      <c r="I3259" s="11">
        <f>[1]!EM_S_FA_GROSSPROFITMARGIN(B3259,E3259)</f>
        <v>60.383476716899999</v>
      </c>
      <c r="J3259" s="11">
        <f>[1]!EM_S_FA_NETPROFITMARGIN(B3259,E3259)</f>
        <v>13.098225794499999</v>
      </c>
      <c r="K3259" s="10">
        <f>[1]!EM_S_FA_ASSETSTURN(B3259,E3259)</f>
        <v>1.0834115481540001</v>
      </c>
      <c r="L3259" s="12">
        <f>[1]!EM_HKS_VAL_MV(B3259,"2019-12-31","2")</f>
        <v>5541870587</v>
      </c>
      <c r="M3259">
        <f>[1]!EM_S_VAL_PETTMDEDUCTED(B3259,E3259)</f>
        <v>19.990802262453599</v>
      </c>
      <c r="N3259" s="7">
        <f>[1]!EM_S_VAL_PBGOODWILLDEDUCTED(B3259,E3259)</f>
        <v>3.4875730198110699</v>
      </c>
      <c r="O3259" s="7">
        <f>[1]!EM_S_VAL_PS_TTM(B3259,E3259)</f>
        <v>2.6338616906267398</v>
      </c>
      <c r="P3259" s="7">
        <f>[1]!EM_S_VAL_PCF_NCFTTM(B3259,E3259)</f>
        <v>44.158189867223797</v>
      </c>
      <c r="Q3259" s="7">
        <f>[1]!EM_S_VAL_DIVIDENDYIELD2(B3259,E3259,"2019-11-29")</f>
        <v>0.7223429453109681</v>
      </c>
      <c r="T3259"/>
      <c r="U3259">
        <f>[1]!EM_S_RATIO_EPS_TTM(B3259,E3259,"1")</f>
        <v>0.89408530863926683</v>
      </c>
      <c r="AT3259" s="4" t="str">
        <f>[1]!EM_S_IPO_LISTEDDATE(B3259)</f>
        <v>2016-12-01</v>
      </c>
    </row>
    <row r="3260" spans="1:46">
      <c r="A3260">
        <v>938</v>
      </c>
      <c r="B3260" t="str">
        <f>"002427"</f>
        <v>002427</v>
      </c>
      <c r="C3260" t="s">
        <v>2313</v>
      </c>
      <c r="D3260" t="str">
        <f>[1]!EM_S_INFO_INDEX_EM(B3260,"1")</f>
        <v>基础化工</v>
      </c>
      <c r="E3260" s="4">
        <f t="shared" si="50"/>
        <v>43465</v>
      </c>
      <c r="F3260" s="11">
        <f>[1]!EM_S_PQ_PCTCHANGE(B3260,"2018-01-01","2019-12-31","3")</f>
        <v>-72.676123110000006</v>
      </c>
      <c r="G3260" s="11">
        <f>[1]!EM_S_PQ_PCTCHANGE(B3260,"2018-12-31","2019-12-30","1")</f>
        <v>-33.847283410000003</v>
      </c>
      <c r="H3260" s="11">
        <f>[1]!EM_S_FA_YOY_OR(B3260,E3260)</f>
        <v>-24.072060318399998</v>
      </c>
      <c r="I3260" s="11">
        <f>[1]!EM_S_FA_GROSSPROFITMARGIN(B3260,E3260)</f>
        <v>21.5337418497</v>
      </c>
      <c r="J3260" s="11">
        <f>[1]!EM_S_FA_NETPROFITMARGIN(B3260,E3260)</f>
        <v>-27.047091605199999</v>
      </c>
      <c r="K3260" s="10">
        <f>[1]!EM_S_FA_ASSETSTURN(B3260,E3260)</f>
        <v>0.54297836205299999</v>
      </c>
      <c r="L3260" s="12">
        <f>[1]!EM_HKS_VAL_MV(B3260,"2019-12-31","2")</f>
        <v>3475890164.3400002</v>
      </c>
      <c r="M3260">
        <f>[1]!EM_S_VAL_PETTMDEDUCTED(B3260,E3260)</f>
        <v>57.623088997627697</v>
      </c>
      <c r="N3260" s="7">
        <f>[1]!EM_S_VAL_PBGOODWILLDEDUCTED(B3260,E3260)</f>
        <v>16.932238964417898</v>
      </c>
      <c r="O3260" s="7">
        <f>[1]!EM_S_VAL_PS_TTM(B3260,E3260)</f>
        <v>1.2625883370876201</v>
      </c>
      <c r="P3260" s="7">
        <f>[1]!EM_S_VAL_PCF_NCFTTM(B3260,E3260)</f>
        <v>-3.0492937091547399</v>
      </c>
      <c r="Q3260" s="7">
        <f>[1]!EM_S_VAL_DIVIDENDYIELD2(B3260,E3260,"2019-11-29")</f>
        <v>0</v>
      </c>
      <c r="T3260"/>
      <c r="U3260">
        <f>[1]!EM_S_RATIO_EPS_TTM(B3260,E3260,"1")</f>
        <v>-2.6294886671651096</v>
      </c>
      <c r="AT3260" s="4" t="str">
        <f>[1]!EM_S_IPO_LISTEDDATE(B3260)</f>
        <v>2010-06-08</v>
      </c>
    </row>
    <row r="3261" spans="1:46">
      <c r="A3261">
        <v>248</v>
      </c>
      <c r="B3261" t="str">
        <f>"000659"</f>
        <v>000659</v>
      </c>
      <c r="C3261" t="s">
        <v>3485</v>
      </c>
      <c r="D3261" t="str">
        <f>[1]!EM_S_INFO_INDEX_EM(B3261,"1")</f>
        <v>轻工制造</v>
      </c>
      <c r="E3261" s="4">
        <f t="shared" si="50"/>
        <v>43465</v>
      </c>
      <c r="F3261" s="11">
        <f>[1]!EM_S_PQ_PCTCHANGE(B3261,"2018-01-01","2019-12-31","3")</f>
        <v>-41.880341880000003</v>
      </c>
      <c r="G3261" s="11">
        <f>[1]!EM_S_PQ_PCTCHANGE(B3261,"2018-12-31","2019-12-30","1")</f>
        <v>-33.902439020000003</v>
      </c>
      <c r="H3261" s="11">
        <f>[1]!EM_S_FA_YOY_OR(B3261,E3261)</f>
        <v>0.238534354</v>
      </c>
      <c r="I3261" s="11">
        <f>[1]!EM_S_FA_GROSSPROFITMARGIN(B3261,E3261)</f>
        <v>19.756235455799999</v>
      </c>
      <c r="J3261" s="11">
        <f>[1]!EM_S_FA_NETPROFITMARGIN(B3261,E3261)</f>
        <v>1.2491697823000001</v>
      </c>
      <c r="K3261" s="10">
        <f>[1]!EM_S_FA_ASSETSTURN(B3261,E3261)</f>
        <v>0.63105398782300004</v>
      </c>
      <c r="L3261" s="12">
        <f>[1]!EM_HKS_VAL_MV(B3261,"2019-12-31","2")</f>
        <v>3497110854.4000001</v>
      </c>
      <c r="M3261">
        <f>[1]!EM_S_VAL_PETTMDEDUCTED(B3261,E3261)</f>
        <v>-253.00953427274999</v>
      </c>
      <c r="N3261" s="7">
        <f>[1]!EM_S_VAL_PBGOODWILLDEDUCTED(B3261,E3261)</f>
        <v>7.7248959155713903</v>
      </c>
      <c r="O3261" s="7">
        <f>[1]!EM_S_VAL_PS_TTM(B3261,E3261)</f>
        <v>3.2010169390665499</v>
      </c>
      <c r="P3261" s="7">
        <f>[1]!EM_S_VAL_PCF_NCFTTM(B3261,E3261)</f>
        <v>-326.63134130015601</v>
      </c>
      <c r="Q3261" s="7">
        <f>[1]!EM_S_VAL_DIVIDENDYIELD2(B3261,E3261,"2019-11-29")</f>
        <v>0</v>
      </c>
      <c r="T3261"/>
      <c r="U3261">
        <f>[1]!EM_S_RATIO_EPS_TTM(B3261,E3261,"1")</f>
        <v>1.7419979949949854E-2</v>
      </c>
      <c r="AT3261" s="4" t="str">
        <f>[1]!EM_S_IPO_LISTEDDATE(B3261)</f>
        <v>1996-12-03</v>
      </c>
    </row>
    <row r="3262" spans="1:46">
      <c r="A3262">
        <v>3319</v>
      </c>
      <c r="B3262" t="str">
        <f>"603225"</f>
        <v>603225</v>
      </c>
      <c r="C3262" t="s">
        <v>501</v>
      </c>
      <c r="D3262" t="str">
        <f>[1]!EM_S_INFO_INDEX_EM(B3262,"1")</f>
        <v>基础化工</v>
      </c>
      <c r="E3262" s="4">
        <f t="shared" si="50"/>
        <v>43465</v>
      </c>
      <c r="F3262" s="11">
        <f>[1]!EM_S_PQ_PCTCHANGE(B3262,"2018-01-01","2019-12-31","3")</f>
        <v>-31.301293309999998</v>
      </c>
      <c r="G3262" s="11">
        <f>[1]!EM_S_PQ_PCTCHANGE(B3262,"2018-12-31","2019-12-30","1")</f>
        <v>-34.08</v>
      </c>
      <c r="H3262" s="11">
        <f>[1]!EM_S_FA_YOY_OR(B3262,E3262)</f>
        <v>42.221712992</v>
      </c>
      <c r="I3262" s="11">
        <f>[1]!EM_S_FA_GROSSPROFITMARGIN(B3262,E3262)</f>
        <v>9.0800916637999993</v>
      </c>
      <c r="J3262" s="11">
        <f>[1]!EM_S_FA_NETPROFITMARGIN(B3262,E3262)</f>
        <v>4.3573418977999996</v>
      </c>
      <c r="K3262" s="10">
        <f>[1]!EM_S_FA_ASSETSTURN(B3262,E3262)</f>
        <v>2.3145767243340001</v>
      </c>
      <c r="L3262" s="12">
        <f>[1]!EM_HKS_VAL_MV(B3262,"2019-12-31","2")</f>
        <v>17284662132.400002</v>
      </c>
      <c r="M3262">
        <f>[1]!EM_S_VAL_PETTMDEDUCTED(B3262,E3262)</f>
        <v>8.1160346131424106</v>
      </c>
      <c r="N3262" s="7">
        <f>[1]!EM_S_VAL_PBGOODWILLDEDUCTED(B3262,E3262)</f>
        <v>2.0182223766802001</v>
      </c>
      <c r="O3262" s="7">
        <f>[1]!EM_S_VAL_PS_TTM(B3262,E3262)</f>
        <v>0.53249409686103399</v>
      </c>
      <c r="P3262" s="7">
        <f>[1]!EM_S_VAL_PCF_NCFTTM(B3262,E3262)</f>
        <v>9.8921182423469602</v>
      </c>
      <c r="Q3262" s="7">
        <f>[1]!EM_S_VAL_DIVIDENDYIELD2(B3262,E3262,"2019-11-29")</f>
        <v>1.09514837862919</v>
      </c>
      <c r="T3262"/>
      <c r="U3262">
        <f>[1]!EM_S_RATIO_EPS_TTM(B3262,E3262,"1")</f>
        <v>1.6884590550179515</v>
      </c>
      <c r="AT3262" s="4" t="str">
        <f>[1]!EM_S_IPO_LISTEDDATE(B3262)</f>
        <v>2017-04-18</v>
      </c>
    </row>
    <row r="3263" spans="1:46">
      <c r="A3263">
        <v>2092</v>
      </c>
      <c r="B3263" t="str">
        <f>"300673"</f>
        <v>300673</v>
      </c>
      <c r="C3263" t="s">
        <v>624</v>
      </c>
      <c r="D3263" t="str">
        <f>[1]!EM_S_INFO_INDEX_EM(B3263,"1")</f>
        <v>农林牧渔</v>
      </c>
      <c r="E3263" s="4">
        <f t="shared" si="50"/>
        <v>43465</v>
      </c>
      <c r="F3263" s="11">
        <f>[1]!EM_S_PQ_PCTCHANGE(B3263,"2018-01-01","2019-12-31","3")</f>
        <v>15.50570078</v>
      </c>
      <c r="G3263" s="11">
        <f>[1]!EM_S_PQ_PCTCHANGE(B3263,"2018-12-31","2019-12-30","1")</f>
        <v>-34.113475180000002</v>
      </c>
      <c r="H3263" s="11">
        <f>[1]!EM_S_FA_YOY_OR(B3263,E3263)</f>
        <v>37.551358200800003</v>
      </c>
      <c r="I3263" s="11">
        <f>[1]!EM_S_FA_GROSSPROFITMARGIN(B3263,E3263)</f>
        <v>34.761424729300003</v>
      </c>
      <c r="J3263" s="11">
        <f>[1]!EM_S_FA_NETPROFITMARGIN(B3263,E3263)</f>
        <v>16.269813981599999</v>
      </c>
      <c r="K3263" s="10">
        <f>[1]!EM_S_FA_ASSETSTURN(B3263,E3263)</f>
        <v>0.80288354352699998</v>
      </c>
      <c r="L3263" s="12">
        <f>[1]!EM_HKS_VAL_MV(B3263,"2019-12-31","2")</f>
        <v>4088869230</v>
      </c>
      <c r="M3263">
        <f>[1]!EM_S_VAL_PETTMDEDUCTED(B3263,E3263)</f>
        <v>38.451605249265398</v>
      </c>
      <c r="N3263" s="7">
        <f>[1]!EM_S_VAL_PBGOODWILLDEDUCTED(B3263,E3263)</f>
        <v>5.8560747408006701</v>
      </c>
      <c r="O3263" s="7">
        <f>[1]!EM_S_VAL_PS_TTM(B3263,E3263)</f>
        <v>6.3015547912461098</v>
      </c>
      <c r="P3263" s="7">
        <f>[1]!EM_S_VAL_PCF_NCFTTM(B3263,E3263)</f>
        <v>-5827.0681256501903</v>
      </c>
      <c r="Q3263" s="7">
        <f>[1]!EM_S_VAL_DIVIDENDYIELD2(B3263,E3263,"2019-11-29")</f>
        <v>1.7345368641222132</v>
      </c>
      <c r="T3263"/>
      <c r="U3263">
        <f>[1]!EM_S_RATIO_EPS_TTM(B3263,E3263,"1")</f>
        <v>1.1504326585765825</v>
      </c>
      <c r="AT3263" s="4" t="str">
        <f>[1]!EM_S_IPO_LISTEDDATE(B3263)</f>
        <v>2017-07-11</v>
      </c>
    </row>
    <row r="3264" spans="1:46">
      <c r="A3264">
        <v>3492</v>
      </c>
      <c r="B3264" t="str">
        <f>"603680"</f>
        <v>603680</v>
      </c>
      <c r="C3264" t="s">
        <v>652</v>
      </c>
      <c r="D3264" t="str">
        <f>[1]!EM_S_INFO_INDEX_EM(B3264,"1")</f>
        <v>交运设备</v>
      </c>
      <c r="E3264" s="4">
        <f t="shared" si="50"/>
        <v>43465</v>
      </c>
      <c r="F3264" s="11">
        <f>[1]!EM_S_PQ_PCTCHANGE(B3264,"2018-01-01","2019-12-31","3")</f>
        <v>-40.773777379999999</v>
      </c>
      <c r="G3264" s="11">
        <f>[1]!EM_S_PQ_PCTCHANGE(B3264,"2018-12-31","2019-12-30","1")</f>
        <v>-34.262191260000002</v>
      </c>
      <c r="H3264" s="11">
        <f>[1]!EM_S_FA_YOY_OR(B3264,E3264)</f>
        <v>10.1057023784</v>
      </c>
      <c r="I3264" s="11">
        <f>[1]!EM_S_FA_GROSSPROFITMARGIN(B3264,E3264)</f>
        <v>33.979060913300003</v>
      </c>
      <c r="J3264" s="11">
        <f>[1]!EM_S_FA_NETPROFITMARGIN(B3264,E3264)</f>
        <v>13.963866142800001</v>
      </c>
      <c r="K3264" s="10">
        <f>[1]!EM_S_FA_ASSETSTURN(B3264,E3264)</f>
        <v>0.47523508041099999</v>
      </c>
      <c r="L3264" s="12">
        <f>[1]!EM_HKS_VAL_MV(B3264,"2019-12-31","2")</f>
        <v>8234004987</v>
      </c>
      <c r="M3264">
        <f>[1]!EM_S_VAL_PETTMDEDUCTED(B3264,E3264)</f>
        <v>19.154408794132699</v>
      </c>
      <c r="N3264" s="7">
        <f>[1]!EM_S_VAL_PBGOODWILLDEDUCTED(B3264,E3264)</f>
        <v>2.5572063451181499</v>
      </c>
      <c r="O3264" s="7">
        <f>[1]!EM_S_VAL_PS_TTM(B3264,E3264)</f>
        <v>3.0996981821968399</v>
      </c>
      <c r="P3264" s="7">
        <f>[1]!EM_S_VAL_PCF_NCFTTM(B3264,E3264)</f>
        <v>-86.574747372605998</v>
      </c>
      <c r="Q3264" s="7">
        <f>[1]!EM_S_VAL_DIVIDENDYIELD2(B3264,E3264,"2019-11-29")</f>
        <v>1.5498057724475485</v>
      </c>
      <c r="T3264"/>
      <c r="U3264">
        <f>[1]!EM_S_RATIO_EPS_TTM(B3264,E3264,"1")</f>
        <v>0.72614406903973638</v>
      </c>
      <c r="AT3264" s="4" t="str">
        <f>[1]!EM_S_IPO_LISTEDDATE(B3264)</f>
        <v>2018-02-27</v>
      </c>
    </row>
    <row r="3265" spans="1:46">
      <c r="A3265">
        <v>3586</v>
      </c>
      <c r="B3265" t="str">
        <f>"603889"</f>
        <v>603889</v>
      </c>
      <c r="C3265" t="s">
        <v>1691</v>
      </c>
      <c r="D3265" t="str">
        <f>[1]!EM_S_INFO_INDEX_EM(B3265,"1")</f>
        <v>纺织服装</v>
      </c>
      <c r="E3265" s="4">
        <f t="shared" si="50"/>
        <v>43465</v>
      </c>
      <c r="F3265" s="11">
        <f>[1]!EM_S_PQ_PCTCHANGE(B3265,"2018-01-01","2019-12-31","3")</f>
        <v>-45.655833479999998</v>
      </c>
      <c r="G3265" s="11">
        <f>[1]!EM_S_PQ_PCTCHANGE(B3265,"2018-12-31","2019-12-30","1")</f>
        <v>-34.33179724</v>
      </c>
      <c r="H3265" s="11">
        <f>[1]!EM_S_FA_YOY_OR(B3265,E3265)</f>
        <v>10.992801700799999</v>
      </c>
      <c r="I3265" s="11">
        <f>[1]!EM_S_FA_GROSSPROFITMARGIN(B3265,E3265)</f>
        <v>18.159564137099999</v>
      </c>
      <c r="J3265" s="11">
        <f>[1]!EM_S_FA_NETPROFITMARGIN(B3265,E3265)</f>
        <v>7.8170136529000001</v>
      </c>
      <c r="K3265" s="10">
        <f>[1]!EM_S_FA_ASSETSTURN(B3265,E3265)</f>
        <v>0.89638854332100004</v>
      </c>
      <c r="L3265" s="12">
        <f>[1]!EM_HKS_VAL_MV(B3265,"2019-12-31","2")</f>
        <v>2922071875.48</v>
      </c>
      <c r="M3265">
        <f>[1]!EM_S_VAL_PETTMDEDUCTED(B3265,E3265)</f>
        <v>15.6369448203098</v>
      </c>
      <c r="N3265" s="7">
        <f>[1]!EM_S_VAL_PBGOODWILLDEDUCTED(B3265,E3265)</f>
        <v>1.4576680453120101</v>
      </c>
      <c r="O3265" s="7">
        <f>[1]!EM_S_VAL_PS_TTM(B3265,E3265)</f>
        <v>1.37489498462788</v>
      </c>
      <c r="P3265" s="7">
        <f>[1]!EM_S_VAL_PCF_NCFTTM(B3265,E3265)</f>
        <v>-8.9015544253286905</v>
      </c>
      <c r="Q3265" s="7">
        <f>[1]!EM_S_VAL_DIVIDENDYIELD2(B3265,E3265,"2019-11-29")</f>
        <v>4.0771948931026252</v>
      </c>
      <c r="T3265"/>
      <c r="U3265">
        <f>[1]!EM_S_RATIO_EPS_TTM(B3265,E3265,"1")</f>
        <v>0.50641415130112133</v>
      </c>
      <c r="AT3265" s="4" t="str">
        <f>[1]!EM_S_IPO_LISTEDDATE(B3265)</f>
        <v>2014-12-31</v>
      </c>
    </row>
    <row r="3266" spans="1:46">
      <c r="A3266">
        <v>3242</v>
      </c>
      <c r="B3266" t="str">
        <f>"603055"</f>
        <v>603055</v>
      </c>
      <c r="C3266" t="s">
        <v>663</v>
      </c>
      <c r="D3266" t="str">
        <f>[1]!EM_S_INFO_INDEX_EM(B3266,"1")</f>
        <v>基础化工</v>
      </c>
      <c r="E3266" s="4">
        <f t="shared" si="50"/>
        <v>43465</v>
      </c>
      <c r="F3266" s="11">
        <f>[1]!EM_S_PQ_PCTCHANGE(B3266,"2018-01-01","2019-12-31","3")</f>
        <v>-40.917580559999998</v>
      </c>
      <c r="G3266" s="11">
        <f>[1]!EM_S_PQ_PCTCHANGE(B3266,"2018-12-31","2019-12-30","1")</f>
        <v>-34.499054819999998</v>
      </c>
      <c r="H3266" s="11">
        <f>[1]!EM_S_FA_YOY_OR(B3266,E3266)</f>
        <v>9.0085134674000003</v>
      </c>
      <c r="I3266" s="11">
        <f>[1]!EM_S_FA_GROSSPROFITMARGIN(B3266,E3266)</f>
        <v>25.211849390099999</v>
      </c>
      <c r="J3266" s="11">
        <f>[1]!EM_S_FA_NETPROFITMARGIN(B3266,E3266)</f>
        <v>11.5859217634</v>
      </c>
      <c r="K3266" s="10">
        <f>[1]!EM_S_FA_ASSETSTURN(B3266,E3266)</f>
        <v>0.77924094818300005</v>
      </c>
      <c r="L3266" s="12">
        <f>[1]!EM_HKS_VAL_MV(B3266,"2019-12-31","2")</f>
        <v>5236164661.9300003</v>
      </c>
      <c r="M3266">
        <f>[1]!EM_S_VAL_PETTMDEDUCTED(B3266,E3266)</f>
        <v>14.0701375972902</v>
      </c>
      <c r="N3266" s="7">
        <f>[1]!EM_S_VAL_PBGOODWILLDEDUCTED(B3266,E3266)</f>
        <v>2.3178567058031998</v>
      </c>
      <c r="O3266" s="7">
        <f>[1]!EM_S_VAL_PS_TTM(B3266,E3266)</f>
        <v>1.94975325168111</v>
      </c>
      <c r="P3266" s="7">
        <f>[1]!EM_S_VAL_PCF_NCFTTM(B3266,E3266)</f>
        <v>-19.970080567827999</v>
      </c>
      <c r="Q3266" s="7">
        <f>[1]!EM_S_VAL_DIVIDENDYIELD2(B3266,E3266,"2019-11-29")</f>
        <v>2.2568210991821704</v>
      </c>
      <c r="T3266"/>
      <c r="U3266">
        <f>[1]!EM_S_RATIO_EPS_TTM(B3266,E3266,"1")</f>
        <v>0.62929847403214023</v>
      </c>
      <c r="AT3266" s="4" t="str">
        <f>[1]!EM_S_IPO_LISTEDDATE(B3266)</f>
        <v>2017-09-21</v>
      </c>
    </row>
    <row r="3267" spans="1:46">
      <c r="A3267">
        <v>1800</v>
      </c>
      <c r="B3267" t="str">
        <f>"300375"</f>
        <v>300375</v>
      </c>
      <c r="C3267" t="s">
        <v>1695</v>
      </c>
      <c r="D3267" t="str">
        <f>[1]!EM_S_INFO_INDEX_EM(B3267,"1")</f>
        <v>交运设备</v>
      </c>
      <c r="E3267" s="4">
        <f t="shared" ref="E3267:E3330" si="51">$B$1</f>
        <v>43465</v>
      </c>
      <c r="F3267" s="11">
        <f>[1]!EM_S_PQ_PCTCHANGE(B3267,"2018-01-01","2019-12-31","3")</f>
        <v>-43.242632729999997</v>
      </c>
      <c r="G3267" s="11">
        <f>[1]!EM_S_PQ_PCTCHANGE(B3267,"2018-12-31","2019-12-30","1")</f>
        <v>-34.565619220000002</v>
      </c>
      <c r="H3267" s="11">
        <f>[1]!EM_S_FA_YOY_OR(B3267,E3267)</f>
        <v>27.602017221000001</v>
      </c>
      <c r="I3267" s="11">
        <f>[1]!EM_S_FA_GROSSPROFITMARGIN(B3267,E3267)</f>
        <v>21.673488302399999</v>
      </c>
      <c r="J3267" s="11">
        <f>[1]!EM_S_FA_NETPROFITMARGIN(B3267,E3267)</f>
        <v>8.7197632593000005</v>
      </c>
      <c r="K3267" s="10">
        <f>[1]!EM_S_FA_ASSETSTURN(B3267,E3267)</f>
        <v>0.63172080733400005</v>
      </c>
      <c r="L3267" s="12">
        <f>[1]!EM_HKS_VAL_MV(B3267,"2019-12-31","2")</f>
        <v>2635576683.52</v>
      </c>
      <c r="M3267">
        <f>[1]!EM_S_VAL_PETTMDEDUCTED(B3267,E3267)</f>
        <v>24.435824045435101</v>
      </c>
      <c r="N3267" s="7">
        <f>[1]!EM_S_VAL_PBGOODWILLDEDUCTED(B3267,E3267)</f>
        <v>1.6824632985105299</v>
      </c>
      <c r="O3267" s="7">
        <f>[1]!EM_S_VAL_PS_TTM(B3267,E3267)</f>
        <v>1.57247755794459</v>
      </c>
      <c r="P3267" s="7">
        <f>[1]!EM_S_VAL_PCF_NCFTTM(B3267,E3267)</f>
        <v>-29.143344919251</v>
      </c>
      <c r="Q3267" s="7">
        <f>[1]!EM_S_VAL_DIVIDENDYIELD2(B3267,E3267,"2019-11-29")</f>
        <v>0.94809958621979751</v>
      </c>
      <c r="T3267"/>
      <c r="U3267">
        <f>[1]!EM_S_RATIO_EPS_TTM(B3267,E3267,"1")</f>
        <v>0.32889971736099666</v>
      </c>
      <c r="AT3267" s="4" t="str">
        <f>[1]!EM_S_IPO_LISTEDDATE(B3267)</f>
        <v>2014-01-27</v>
      </c>
    </row>
    <row r="3268" spans="1:46">
      <c r="A3268">
        <v>1707</v>
      </c>
      <c r="B3268" t="str">
        <f>"300282"</f>
        <v>300282</v>
      </c>
      <c r="C3268" t="s">
        <v>2481</v>
      </c>
      <c r="D3268" t="str">
        <f>[1]!EM_S_INFO_INDEX_EM(B3268,"1")</f>
        <v>文化传媒</v>
      </c>
      <c r="E3268" s="4">
        <f t="shared" si="51"/>
        <v>43465</v>
      </c>
      <c r="F3268" s="11">
        <f>[1]!EM_S_PQ_PCTCHANGE(B3268,"2018-01-01","2019-12-31","3")</f>
        <v>-36.517529099999997</v>
      </c>
      <c r="G3268" s="11">
        <f>[1]!EM_S_PQ_PCTCHANGE(B3268,"2018-12-31","2019-12-30","1")</f>
        <v>-34.583333330000002</v>
      </c>
      <c r="H3268" s="11">
        <f>[1]!EM_S_FA_YOY_OR(B3268,E3268)</f>
        <v>-38.983739479599997</v>
      </c>
      <c r="I3268" s="11">
        <f>[1]!EM_S_FA_GROSSPROFITMARGIN(B3268,E3268)</f>
        <v>30.6108495613</v>
      </c>
      <c r="J3268" s="11">
        <f>[1]!EM_S_FA_NETPROFITMARGIN(B3268,E3268)</f>
        <v>14.7681184534</v>
      </c>
      <c r="K3268" s="10">
        <f>[1]!EM_S_FA_ASSETSTURN(B3268,E3268)</f>
        <v>0.28724944166499999</v>
      </c>
      <c r="L3268" s="12">
        <f>[1]!EM_HKS_VAL_MV(B3268,"2019-12-31","2")</f>
        <v>2945138933.5500002</v>
      </c>
      <c r="M3268">
        <f>[1]!EM_S_VAL_PETTMDEDUCTED(B3268,E3268)</f>
        <v>39.351561166559499</v>
      </c>
      <c r="N3268" s="7">
        <f>[1]!EM_S_VAL_PBGOODWILLDEDUCTED(B3268,E3268)</f>
        <v>1.67105073100946</v>
      </c>
      <c r="O3268" s="7">
        <f>[1]!EM_S_VAL_PS_TTM(B3268,E3268)</f>
        <v>6.11152227674157</v>
      </c>
      <c r="P3268" s="7">
        <f>[1]!EM_S_VAL_PCF_NCFTTM(B3268,E3268)</f>
        <v>9.9312142460452097</v>
      </c>
      <c r="Q3268" s="7">
        <f>[1]!EM_S_VAL_DIVIDENDYIELD2(B3268,E3268,"2019-11-29")</f>
        <v>0.207569238674117</v>
      </c>
      <c r="T3268"/>
      <c r="U3268">
        <f>[1]!EM_S_RATIO_EPS_TTM(B3268,E3268,"1")</f>
        <v>0.45605903192871861</v>
      </c>
      <c r="AT3268" s="4" t="str">
        <f>[1]!EM_S_IPO_LISTEDDATE(B3268)</f>
        <v>2011-12-29</v>
      </c>
    </row>
    <row r="3269" spans="1:46">
      <c r="A3269">
        <v>1996</v>
      </c>
      <c r="B3269" t="str">
        <f>"300575"</f>
        <v>300575</v>
      </c>
      <c r="C3269" t="s">
        <v>693</v>
      </c>
      <c r="D3269" t="str">
        <f>[1]!EM_S_INFO_INDEX_EM(B3269,"1")</f>
        <v>基础化工</v>
      </c>
      <c r="E3269" s="4">
        <f t="shared" si="51"/>
        <v>43465</v>
      </c>
      <c r="F3269" s="11">
        <f>[1]!EM_S_PQ_PCTCHANGE(B3269,"2018-01-01","2019-12-31","3")</f>
        <v>28.359431220000001</v>
      </c>
      <c r="G3269" s="11">
        <f>[1]!EM_S_PQ_PCTCHANGE(B3269,"2018-12-31","2019-12-30","1")</f>
        <v>-34.813084109999998</v>
      </c>
      <c r="H3269" s="11">
        <f>[1]!EM_S_FA_YOY_OR(B3269,E3269)</f>
        <v>27.395628821599999</v>
      </c>
      <c r="I3269" s="11">
        <f>[1]!EM_S_FA_GROSSPROFITMARGIN(B3269,E3269)</f>
        <v>24.054969379199999</v>
      </c>
      <c r="J3269" s="11">
        <f>[1]!EM_S_FA_NETPROFITMARGIN(B3269,E3269)</f>
        <v>12.6774315069</v>
      </c>
      <c r="K3269" s="10">
        <f>[1]!EM_S_FA_ASSETSTURN(B3269,E3269)</f>
        <v>0.83334371133999996</v>
      </c>
      <c r="L3269" s="12">
        <f>[1]!EM_HKS_VAL_MV(B3269,"2019-12-31","2")</f>
        <v>3650629500</v>
      </c>
      <c r="M3269">
        <f>[1]!EM_S_VAL_PETTMDEDUCTED(B3269,E3269)</f>
        <v>18.856799410202601</v>
      </c>
      <c r="N3269" s="7">
        <f>[1]!EM_S_VAL_PBGOODWILLDEDUCTED(B3269,E3269)</f>
        <v>2.6250591892354902</v>
      </c>
      <c r="O3269" s="7">
        <f>[1]!EM_S_VAL_PS_TTM(B3269,E3269)</f>
        <v>2.00316878393348</v>
      </c>
      <c r="P3269" s="7">
        <f>[1]!EM_S_VAL_PCF_NCFTTM(B3269,E3269)</f>
        <v>-91.228574999833498</v>
      </c>
      <c r="Q3269" s="7">
        <f>[1]!EM_S_VAL_DIVIDENDYIELD2(B3269,E3269,"2019-11-29")</f>
        <v>1.4964459408903852</v>
      </c>
      <c r="T3269"/>
      <c r="U3269">
        <f>[1]!EM_S_RATIO_EPS_TTM(B3269,E3269,"1")</f>
        <v>2.851513820722563</v>
      </c>
      <c r="AT3269" s="4" t="str">
        <f>[1]!EM_S_IPO_LISTEDDATE(B3269)</f>
        <v>2016-12-20</v>
      </c>
    </row>
    <row r="3270" spans="1:46">
      <c r="A3270">
        <v>1913</v>
      </c>
      <c r="B3270" t="str">
        <f>"300488"</f>
        <v>300488</v>
      </c>
      <c r="C3270" t="s">
        <v>1058</v>
      </c>
      <c r="D3270" t="str">
        <f>[1]!EM_S_INFO_INDEX_EM(B3270,"1")</f>
        <v>机械设备</v>
      </c>
      <c r="E3270" s="4">
        <f t="shared" si="51"/>
        <v>43465</v>
      </c>
      <c r="F3270" s="11">
        <f>[1]!EM_S_PQ_PCTCHANGE(B3270,"2018-01-01","2019-12-31","3")</f>
        <v>-15.289651210000001</v>
      </c>
      <c r="G3270" s="11">
        <f>[1]!EM_S_PQ_PCTCHANGE(B3270,"2018-12-31","2019-12-30","1")</f>
        <v>-34.863876470000001</v>
      </c>
      <c r="H3270" s="11">
        <f>[1]!EM_S_FA_YOY_OR(B3270,E3270)</f>
        <v>11.866114942499999</v>
      </c>
      <c r="I3270" s="11">
        <f>[1]!EM_S_FA_GROSSPROFITMARGIN(B3270,E3270)</f>
        <v>54.794220035400002</v>
      </c>
      <c r="J3270" s="11">
        <f>[1]!EM_S_FA_NETPROFITMARGIN(B3270,E3270)</f>
        <v>19.158800336599999</v>
      </c>
      <c r="K3270" s="10">
        <f>[1]!EM_S_FA_ASSETSTURN(B3270,E3270)</f>
        <v>0.33533784821599999</v>
      </c>
      <c r="L3270" s="12">
        <f>[1]!EM_HKS_VAL_MV(B3270,"2019-12-31","2")</f>
        <v>2695195943.9899998</v>
      </c>
      <c r="M3270">
        <f>[1]!EM_S_VAL_PETTMDEDUCTED(B3270,E3270)</f>
        <v>28.0257987649337</v>
      </c>
      <c r="N3270" s="7">
        <f>[1]!EM_S_VAL_PBGOODWILLDEDUCTED(B3270,E3270)</f>
        <v>2.9726835104315801</v>
      </c>
      <c r="O3270" s="7">
        <f>[1]!EM_S_VAL_PS_TTM(B3270,E3270)</f>
        <v>7.3481966283571998</v>
      </c>
      <c r="P3270" s="7">
        <f>[1]!EM_S_VAL_PCF_NCFTTM(B3270,E3270)</f>
        <v>-264.55283953135302</v>
      </c>
      <c r="Q3270" s="7">
        <f>[1]!EM_S_VAL_DIVIDENDYIELD2(B3270,E3270,"2019-11-29")</f>
        <v>1.1697576631026305</v>
      </c>
      <c r="T3270"/>
      <c r="U3270">
        <f>[1]!EM_S_RATIO_EPS_TTM(B3270,E3270,"1")</f>
        <v>0.66005483673875054</v>
      </c>
      <c r="AT3270" s="4" t="str">
        <f>[1]!EM_S_IPO_LISTEDDATE(B3270)</f>
        <v>2015-07-01</v>
      </c>
    </row>
    <row r="3271" spans="1:46">
      <c r="A3271">
        <v>1132</v>
      </c>
      <c r="B3271" t="str">
        <f>"002621"</f>
        <v>002621</v>
      </c>
      <c r="C3271" t="s">
        <v>2991</v>
      </c>
      <c r="D3271" t="str">
        <f>[1]!EM_S_INFO_INDEX_EM(B3271,"1")</f>
        <v>文化传媒</v>
      </c>
      <c r="E3271" s="4">
        <f t="shared" si="51"/>
        <v>43465</v>
      </c>
      <c r="F3271" s="11">
        <f>[1]!EM_S_PQ_PCTCHANGE(B3271,"2018-01-01","2019-12-31","3")</f>
        <v>19.549794729999999</v>
      </c>
      <c r="G3271" s="11">
        <f>[1]!EM_S_PQ_PCTCHANGE(B3271,"2018-12-31","2019-12-30","1")</f>
        <v>-34.88783943</v>
      </c>
      <c r="H3271" s="11">
        <f>[1]!EM_S_FA_YOY_OR(B3271,E3271)</f>
        <v>49.775965645500001</v>
      </c>
      <c r="I3271" s="11">
        <f>[1]!EM_S_FA_GROSSPROFITMARGIN(B3271,E3271)</f>
        <v>52.583984321800003</v>
      </c>
      <c r="J3271" s="11">
        <f>[1]!EM_S_FA_NETPROFITMARGIN(B3271,E3271)</f>
        <v>14.7097861388</v>
      </c>
      <c r="K3271" s="10">
        <f>[1]!EM_S_FA_ASSETSTURN(B3271,E3271)</f>
        <v>9.6881899620999995E-2</v>
      </c>
      <c r="L3271" s="12">
        <f>[1]!EM_HKS_VAL_MV(B3271,"2019-12-31","2")</f>
        <v>6470152337.3999996</v>
      </c>
      <c r="M3271">
        <f>[1]!EM_S_VAL_PETTMDEDUCTED(B3271,E3271)</f>
        <v>-395.47163226939102</v>
      </c>
      <c r="N3271" s="7">
        <f>[1]!EM_S_VAL_PBGOODWILLDEDUCTED(B3271,E3271)</f>
        <v>-6.6687752823055497</v>
      </c>
      <c r="O3271" s="7">
        <f>[1]!EM_S_VAL_PS_TTM(B3271,E3271)</f>
        <v>28.430467663561501</v>
      </c>
      <c r="P3271" s="7">
        <f>[1]!EM_S_VAL_PCF_NCFTTM(B3271,E3271)</f>
        <v>67.103316892620995</v>
      </c>
      <c r="Q3271" s="7">
        <f>[1]!EM_S_VAL_DIVIDENDYIELD2(B3271,E3271,"2019-11-29")</f>
        <v>0.1020406581702836</v>
      </c>
      <c r="T3271"/>
      <c r="U3271">
        <f>[1]!EM_S_RATIO_EPS_TTM(B3271,E3271,"1")</f>
        <v>9.0770993972870723E-2</v>
      </c>
      <c r="AT3271" s="4" t="str">
        <f>[1]!EM_S_IPO_LISTEDDATE(B3271)</f>
        <v>2011-09-29</v>
      </c>
    </row>
    <row r="3272" spans="1:46">
      <c r="A3272">
        <v>2364</v>
      </c>
      <c r="B3272" t="str">
        <f>"600230"</f>
        <v>600230</v>
      </c>
      <c r="C3272" t="s">
        <v>61</v>
      </c>
      <c r="D3272" t="str">
        <f>[1]!EM_S_INFO_INDEX_EM(B3272,"1")</f>
        <v>基础化工</v>
      </c>
      <c r="E3272" s="4">
        <f t="shared" si="51"/>
        <v>43465</v>
      </c>
      <c r="F3272" s="11">
        <f>[1]!EM_S_PQ_PCTCHANGE(B3272,"2018-01-01","2019-12-31","3")</f>
        <v>-65.083871079999994</v>
      </c>
      <c r="G3272" s="11">
        <f>[1]!EM_S_PQ_PCTCHANGE(B3272,"2019-01-01","2019-12-31","3")</f>
        <v>-35.199941430000003</v>
      </c>
      <c r="H3272" s="11">
        <f>[1]!EM_S_FA_YOY_OR(B3272,E3272)</f>
        <v>0.32899456129999999</v>
      </c>
      <c r="I3272" s="11">
        <f>[1]!EM_S_FA_GROSSPROFITMARGIN(B3272,E3272)</f>
        <v>46.437344377300001</v>
      </c>
      <c r="J3272" s="11">
        <f>[1]!EM_S_FA_NETPROFITMARGIN(B3272,E3272)</f>
        <v>24.198316054900001</v>
      </c>
      <c r="K3272" s="10">
        <f>[1]!EM_S_FA_ASSETSTURN(B3272,E3272)</f>
        <v>0.98944475770100004</v>
      </c>
      <c r="L3272" s="12">
        <f>[1]!EM_HKS_VAL_MV(B3272,"2019-12-31","2")</f>
        <v>4254549975.6599998</v>
      </c>
      <c r="M3272">
        <f>[1]!EM_S_VAL_PETTMDEDUCTED(B3272,E3272)</f>
        <v>4.9243193606963596</v>
      </c>
      <c r="N3272" s="7">
        <f>[1]!EM_S_VAL_PBGOODWILLDEDUCTED(B3272,E3272)</f>
        <v>1.8538590157574799</v>
      </c>
      <c r="O3272" s="7">
        <f>[1]!EM_S_VAL_PS_TTM(B3272,E3272)</f>
        <v>1.37469298532763</v>
      </c>
      <c r="P3272" s="7">
        <f>[1]!EM_S_VAL_PCF_NCFTTM(B3272,E3272)</f>
        <v>9.2977773553614007</v>
      </c>
      <c r="Q3272" s="7">
        <f>[1]!EM_S_VAL_DIVIDENDYIELD2(B3272,E3272,"2019-11-29")</f>
        <v>2.1551724137931036</v>
      </c>
      <c r="T3272"/>
      <c r="U3272">
        <f>[1]!EM_S_RATIO_EPS_TTM(B3272,E3272,"1")</f>
        <v>2.4060130446324424</v>
      </c>
      <c r="AT3272" s="4" t="str">
        <f>[1]!EM_S_IPO_LISTEDDATE(B3272)</f>
        <v>2000-04-06</v>
      </c>
    </row>
    <row r="3273" spans="1:46">
      <c r="A3273">
        <v>1628</v>
      </c>
      <c r="B3273" t="str">
        <f>"300203"</f>
        <v>300203</v>
      </c>
      <c r="C3273" t="s">
        <v>2106</v>
      </c>
      <c r="D3273" t="str">
        <f>[1]!EM_S_INFO_INDEX_EM(B3273,"1")</f>
        <v>机械设备</v>
      </c>
      <c r="E3273" s="4">
        <f t="shared" si="51"/>
        <v>43465</v>
      </c>
      <c r="F3273" s="11">
        <f>[1]!EM_S_PQ_PCTCHANGE(B3273,"2018-01-01","2019-12-31","3")</f>
        <v>-51.587914040000001</v>
      </c>
      <c r="G3273" s="11">
        <f>[1]!EM_S_PQ_PCTCHANGE(B3273,"2018-12-31","2019-12-30","1")</f>
        <v>-35.204678360000003</v>
      </c>
      <c r="H3273" s="11">
        <f>[1]!EM_S_FA_YOY_OR(B3273,E3273)</f>
        <v>36.633069467299997</v>
      </c>
      <c r="I3273" s="11">
        <f>[1]!EM_S_FA_GROSSPROFITMARGIN(B3273,E3273)</f>
        <v>48.1273287299</v>
      </c>
      <c r="J3273" s="11">
        <f>[1]!EM_S_FA_NETPROFITMARGIN(B3273,E3273)</f>
        <v>17.4696114403</v>
      </c>
      <c r="K3273" s="10">
        <f>[1]!EM_S_FA_ASSETSTURN(B3273,E3273)</f>
        <v>0.53625586302299999</v>
      </c>
      <c r="L3273" s="12">
        <f>[1]!EM_HKS_VAL_MV(B3273,"2019-12-31","2")</f>
        <v>7561565754</v>
      </c>
      <c r="M3273">
        <f>[1]!EM_S_VAL_PETTMDEDUCTED(B3273,E3273)</f>
        <v>26.960328626889101</v>
      </c>
      <c r="N3273" s="7">
        <f>[1]!EM_S_VAL_PBGOODWILLDEDUCTED(B3273,E3273)</f>
        <v>4.2131554185297597</v>
      </c>
      <c r="O3273" s="7">
        <f>[1]!EM_S_VAL_PS_TTM(B3273,E3273)</f>
        <v>3.3761604756883798</v>
      </c>
      <c r="P3273" s="7">
        <f>[1]!EM_S_VAL_PCF_NCFTTM(B3273,E3273)</f>
        <v>261.23461215180299</v>
      </c>
      <c r="Q3273" s="7">
        <f>[1]!EM_S_VAL_DIVIDENDYIELD2(B3273,E3273,"2019-11-29")</f>
        <v>3.6075036075036073</v>
      </c>
      <c r="T3273"/>
      <c r="U3273">
        <f>[1]!EM_S_RATIO_EPS_TTM(B3273,E3273,"1")</f>
        <v>1.3285806165685561</v>
      </c>
      <c r="AT3273" s="4" t="str">
        <f>[1]!EM_S_IPO_LISTEDDATE(B3273)</f>
        <v>2011-04-15</v>
      </c>
    </row>
    <row r="3274" spans="1:46">
      <c r="A3274">
        <v>1423</v>
      </c>
      <c r="B3274" t="str">
        <f>"002928"</f>
        <v>002928</v>
      </c>
      <c r="C3274" t="s">
        <v>226</v>
      </c>
      <c r="D3274" t="str">
        <f>[1]!EM_S_INFO_INDEX_EM(B3274,"1")</f>
        <v>交通运输</v>
      </c>
      <c r="E3274" s="4">
        <f t="shared" si="51"/>
        <v>43465</v>
      </c>
      <c r="F3274" s="11">
        <f>[1]!EM_S_PQ_PCTCHANGE(B3274,"2018-01-01","2019-12-31","3")</f>
        <v>-10.59417944</v>
      </c>
      <c r="G3274" s="11">
        <f>[1]!EM_S_PQ_PCTCHANGE(B3274,"2018-12-31","2019-12-30","1")</f>
        <v>-35.32870123</v>
      </c>
      <c r="H3274" s="11">
        <f>[1]!EM_S_FA_YOY_OR(B3274,E3274)</f>
        <v>23.535023009300001</v>
      </c>
      <c r="I3274" s="11">
        <f>[1]!EM_S_FA_GROSSPROFITMARGIN(B3274,E3274)</f>
        <v>14.1433311097</v>
      </c>
      <c r="J3274" s="11">
        <f>[1]!EM_S_FA_NETPROFITMARGIN(B3274,E3274)</f>
        <v>5.8088912827000003</v>
      </c>
      <c r="K3274" s="10">
        <f>[1]!EM_S_FA_ASSETSTURN(B3274,E3274)</f>
        <v>0.642023025345</v>
      </c>
      <c r="L3274" s="12">
        <f>[1]!EM_HKS_VAL_MV(B3274,"2019-12-31","2")</f>
        <v>7317135000</v>
      </c>
      <c r="M3274">
        <f>[1]!EM_S_VAL_PETTMDEDUCTED(B3274,E3274)</f>
        <v>25.5190023686011</v>
      </c>
      <c r="N3274" s="7">
        <f>[1]!EM_S_VAL_PBGOODWILLDEDUCTED(B3274,E3274)</f>
        <v>3.5280292423786102</v>
      </c>
      <c r="O3274" s="7">
        <f>[1]!EM_S_VAL_PS_TTM(B3274,E3274)</f>
        <v>1.8290910084969501</v>
      </c>
      <c r="P3274" s="7">
        <f>[1]!EM_S_VAL_PCF_NCFTTM(B3274,E3274)</f>
        <v>-82.930439076048003</v>
      </c>
      <c r="Q3274" s="7">
        <f>[1]!EM_S_VAL_DIVIDENDYIELD2(B3274,E3274,"2019-11-29")</f>
        <v>0.83735909822866339</v>
      </c>
      <c r="T3274"/>
      <c r="U3274">
        <f>[1]!EM_S_RATIO_EPS_TTM(B3274,E3274,"1")</f>
        <v>0.61788035375780281</v>
      </c>
      <c r="AT3274" s="4" t="str">
        <f>[1]!EM_S_IPO_LISTEDDATE(B3274)</f>
        <v>2018-03-02</v>
      </c>
    </row>
    <row r="3275" spans="1:46">
      <c r="A3275">
        <v>3616</v>
      </c>
      <c r="B3275" t="str">
        <f>"603959"</f>
        <v>603959</v>
      </c>
      <c r="C3275" t="s">
        <v>860</v>
      </c>
      <c r="D3275" t="str">
        <f>[1]!EM_S_INFO_INDEX_EM(B3275,"1")</f>
        <v>建筑</v>
      </c>
      <c r="E3275" s="4">
        <f t="shared" si="51"/>
        <v>43465</v>
      </c>
      <c r="F3275" s="11">
        <f>[1]!EM_S_PQ_PCTCHANGE(B3275,"2018-01-01","2019-12-31","3")</f>
        <v>-35.745745159999998</v>
      </c>
      <c r="G3275" s="11">
        <f>[1]!EM_S_PQ_PCTCHANGE(B3275,"2018-12-31","2019-12-30","1")</f>
        <v>-35.341909280000003</v>
      </c>
      <c r="H3275" s="11">
        <f>[1]!EM_S_FA_YOY_OR(B3275,E3275)</f>
        <v>98.134138971300004</v>
      </c>
      <c r="I3275" s="11">
        <f>[1]!EM_S_FA_GROSSPROFITMARGIN(B3275,E3275)</f>
        <v>31.651832839000001</v>
      </c>
      <c r="J3275" s="11">
        <f>[1]!EM_S_FA_NETPROFITMARGIN(B3275,E3275)</f>
        <v>12.7820332777</v>
      </c>
      <c r="K3275" s="10">
        <f>[1]!EM_S_FA_ASSETSTURN(B3275,E3275)</f>
        <v>0.479876083023</v>
      </c>
      <c r="L3275" s="12">
        <f>[1]!EM_HKS_VAL_MV(B3275,"2019-12-31","2")</f>
        <v>4434304000</v>
      </c>
      <c r="M3275">
        <f>[1]!EM_S_VAL_PETTMDEDUCTED(B3275,E3275)</f>
        <v>34.945295209934002</v>
      </c>
      <c r="N3275" s="7">
        <f>[1]!EM_S_VAL_PBGOODWILLDEDUCTED(B3275,E3275)</f>
        <v>4.8783163757320098</v>
      </c>
      <c r="O3275" s="7">
        <f>[1]!EM_S_VAL_PS_TTM(B3275,E3275)</f>
        <v>6.41511812426711</v>
      </c>
      <c r="P3275" s="7">
        <f>[1]!EM_S_VAL_PCF_NCFTTM(B3275,E3275)</f>
        <v>121.316618807789</v>
      </c>
      <c r="Q3275" s="7">
        <f>[1]!EM_S_VAL_DIVIDENDYIELD2(B3275,E3275,"2019-11-29")</f>
        <v>0.84656084656084662</v>
      </c>
      <c r="T3275"/>
      <c r="U3275">
        <f>[1]!EM_S_RATIO_EPS_TTM(B3275,E3275,"1")</f>
        <v>0.47851086648596936</v>
      </c>
      <c r="AT3275" s="4" t="str">
        <f>[1]!EM_S_IPO_LISTEDDATE(B3275)</f>
        <v>2016-05-17</v>
      </c>
    </row>
    <row r="3276" spans="1:46">
      <c r="A3276">
        <v>3291</v>
      </c>
      <c r="B3276" t="str">
        <f>"603159"</f>
        <v>603159</v>
      </c>
      <c r="C3276" t="s">
        <v>1136</v>
      </c>
      <c r="D3276" t="str">
        <f>[1]!EM_S_INFO_INDEX_EM(B3276,"1")</f>
        <v>机械设备</v>
      </c>
      <c r="E3276" s="4">
        <f t="shared" si="51"/>
        <v>43465</v>
      </c>
      <c r="F3276" s="11">
        <f>[1]!EM_S_PQ_PCTCHANGE(B3276,"2018-01-01","2019-12-31","3")</f>
        <v>-34.047334319999997</v>
      </c>
      <c r="G3276" s="11">
        <f>[1]!EM_S_PQ_PCTCHANGE(B3276,"2018-12-31","2019-12-30","1")</f>
        <v>-35.420191770000002</v>
      </c>
      <c r="H3276" s="11">
        <f>[1]!EM_S_FA_YOY_OR(B3276,E3276)</f>
        <v>11.065194934699999</v>
      </c>
      <c r="I3276" s="11">
        <f>[1]!EM_S_FA_GROSSPROFITMARGIN(B3276,E3276)</f>
        <v>20.857444478400001</v>
      </c>
      <c r="J3276" s="11">
        <f>[1]!EM_S_FA_NETPROFITMARGIN(B3276,E3276)</f>
        <v>6.7352128767000004</v>
      </c>
      <c r="K3276" s="10">
        <f>[1]!EM_S_FA_ASSETSTURN(B3276,E3276)</f>
        <v>1.1409571451280001</v>
      </c>
      <c r="L3276" s="12">
        <f>[1]!EM_HKS_VAL_MV(B3276,"2019-12-31","2")</f>
        <v>1619800000</v>
      </c>
      <c r="M3276">
        <f>[1]!EM_S_VAL_PETTMDEDUCTED(B3276,E3276)</f>
        <v>45.222335024784101</v>
      </c>
      <c r="N3276" s="7">
        <f>[1]!EM_S_VAL_PBGOODWILLDEDUCTED(B3276,E3276)</f>
        <v>4.1866597772687202</v>
      </c>
      <c r="O3276" s="7">
        <f>[1]!EM_S_VAL_PS_TTM(B3276,E3276)</f>
        <v>2.8732289301977501</v>
      </c>
      <c r="P3276" s="7">
        <f>[1]!EM_S_VAL_PCF_NCFTTM(B3276,E3276)</f>
        <v>360.09786034075898</v>
      </c>
      <c r="Q3276" s="7">
        <f>[1]!EM_S_VAL_DIVIDENDYIELD2(B3276,E3276,"2019-11-29")</f>
        <v>1.0041504886865711</v>
      </c>
      <c r="T3276"/>
      <c r="U3276">
        <f>[1]!EM_S_RATIO_EPS_TTM(B3276,E3276,"1")</f>
        <v>0.42925958139999998</v>
      </c>
      <c r="AT3276" s="4" t="str">
        <f>[1]!EM_S_IPO_LISTEDDATE(B3276)</f>
        <v>2016-08-12</v>
      </c>
    </row>
    <row r="3277" spans="1:46">
      <c r="A3277">
        <v>2419</v>
      </c>
      <c r="B3277" t="str">
        <f>"600290"</f>
        <v>600290</v>
      </c>
      <c r="C3277" t="s">
        <v>3025</v>
      </c>
      <c r="D3277" t="str">
        <f>[1]!EM_S_INFO_INDEX_EM(B3277,"1")</f>
        <v>电气设备</v>
      </c>
      <c r="E3277" s="4">
        <f t="shared" si="51"/>
        <v>43465</v>
      </c>
      <c r="F3277" s="11">
        <f>[1]!EM_S_PQ_PCTCHANGE(B3277,"2018-01-01","2019-12-31","3")</f>
        <v>-78.458436680000005</v>
      </c>
      <c r="G3277" s="11">
        <f>[1]!EM_S_PQ_PCTCHANGE(B3277,"2018-12-31","2019-12-30","1")</f>
        <v>-35.560344829999998</v>
      </c>
      <c r="H3277" s="11">
        <f>[1]!EM_S_FA_YOY_OR(B3277,E3277)</f>
        <v>-28.0676553228</v>
      </c>
      <c r="I3277" s="11">
        <f>[1]!EM_S_FA_GROSSPROFITMARGIN(B3277,E3277)</f>
        <v>23.0853363447</v>
      </c>
      <c r="J3277" s="11">
        <f>[1]!EM_S_FA_NETPROFITMARGIN(B3277,E3277)</f>
        <v>-5.1754678225999999</v>
      </c>
      <c r="K3277" s="10">
        <f>[1]!EM_S_FA_ASSETSTURN(B3277,E3277)</f>
        <v>0.212451596209</v>
      </c>
      <c r="L3277" s="12">
        <f>[1]!EM_HKS_VAL_MV(B3277,"2019-12-31","2")</f>
        <v>2158125971.2399998</v>
      </c>
      <c r="M3277">
        <f>[1]!EM_S_VAL_PETTMDEDUCTED(B3277,E3277)</f>
        <v>619.91511152281305</v>
      </c>
      <c r="N3277" s="7">
        <f>[1]!EM_S_VAL_PBGOODWILLDEDUCTED(B3277,E3277)</f>
        <v>0.86922983444284296</v>
      </c>
      <c r="O3277" s="7">
        <f>[1]!EM_S_VAL_PS_TTM(B3277,E3277)</f>
        <v>1.7263244874794801</v>
      </c>
      <c r="P3277" s="7">
        <f>[1]!EM_S_VAL_PCF_NCFTTM(B3277,E3277)</f>
        <v>10.623674863106499</v>
      </c>
      <c r="Q3277" s="7">
        <f>[1]!EM_S_VAL_DIVIDENDYIELD2(B3277,E3277,"2019-11-29")</f>
        <v>0</v>
      </c>
      <c r="T3277"/>
      <c r="U3277">
        <f>[1]!EM_S_RATIO_EPS_TTM(B3277,E3277,"1")</f>
        <v>-0.10925679110331153</v>
      </c>
      <c r="AT3277" s="4" t="str">
        <f>[1]!EM_S_IPO_LISTEDDATE(B3277)</f>
        <v>2000-11-06</v>
      </c>
    </row>
    <row r="3278" spans="1:46">
      <c r="A3278">
        <v>2929</v>
      </c>
      <c r="B3278" t="str">
        <f>"600856"</f>
        <v>600856</v>
      </c>
      <c r="C3278" t="s">
        <v>969</v>
      </c>
      <c r="D3278" t="str">
        <f>[1]!EM_S_INFO_INDEX_EM(B3278,"1")</f>
        <v>公用事业</v>
      </c>
      <c r="E3278" s="4">
        <f t="shared" si="51"/>
        <v>43465</v>
      </c>
      <c r="F3278" s="11">
        <f>[1]!EM_S_PQ_PCTCHANGE(B3278,"2018-01-01","2019-12-31","3")</f>
        <v>-78.092690559999994</v>
      </c>
      <c r="G3278" s="11">
        <f>[1]!EM_S_PQ_PCTCHANGE(B3278,"2018-12-31","2019-12-30","1")</f>
        <v>-35.752688169999999</v>
      </c>
      <c r="H3278" s="11">
        <f>[1]!EM_S_FA_YOY_OR(B3278,E3278)</f>
        <v>-47.2377294701</v>
      </c>
      <c r="I3278" s="11">
        <f>[1]!EM_S_FA_GROSSPROFITMARGIN(B3278,E3278)</f>
        <v>12.24667904</v>
      </c>
      <c r="J3278" s="11">
        <f>[1]!EM_S_FA_NETPROFITMARGIN(B3278,E3278)</f>
        <v>-28.126867720100002</v>
      </c>
      <c r="K3278" s="10">
        <f>[1]!EM_S_FA_ASSETSTURN(B3278,E3278)</f>
        <v>0.217629346715</v>
      </c>
      <c r="L3278" s="12">
        <f>[1]!EM_HKS_VAL_MV(B3278,"2019-12-31","2")</f>
        <v>3430302491.29</v>
      </c>
      <c r="M3278">
        <f>[1]!EM_S_VAL_PETTMDEDUCTED(B3278,E3278)</f>
        <v>17.219763067681399</v>
      </c>
      <c r="N3278" s="7">
        <f>[1]!EM_S_VAL_PBGOODWILLDEDUCTED(B3278,E3278)</f>
        <v>1.4011051246610899</v>
      </c>
      <c r="O3278" s="7">
        <f>[1]!EM_S_VAL_PS_TTM(B3278,E3278)</f>
        <v>0.88463742897665298</v>
      </c>
      <c r="P3278" s="7">
        <f>[1]!EM_S_VAL_PCF_NCFTTM(B3278,E3278)</f>
        <v>-3.4374636042540399</v>
      </c>
      <c r="Q3278" s="7">
        <f>[1]!EM_S_VAL_DIVIDENDYIELD2(B3278,E3278,"2019-11-29")</f>
        <v>0</v>
      </c>
      <c r="T3278"/>
      <c r="U3278">
        <f>[1]!EM_S_RATIO_EPS_TTM(B3278,E3278,"1")</f>
        <v>-0.58626078474666055</v>
      </c>
      <c r="AT3278" s="4" t="str">
        <f>[1]!EM_S_IPO_LISTEDDATE(B3278)</f>
        <v>1994-04-25</v>
      </c>
    </row>
    <row r="3279" spans="1:46">
      <c r="A3279">
        <v>224</v>
      </c>
      <c r="B3279" t="str">
        <f>"000622"</f>
        <v>000622</v>
      </c>
      <c r="C3279" t="s">
        <v>3445</v>
      </c>
      <c r="D3279" t="str">
        <f>[1]!EM_S_INFO_INDEX_EM(B3279,"1")</f>
        <v>交运设备</v>
      </c>
      <c r="E3279" s="4">
        <f t="shared" si="51"/>
        <v>43465</v>
      </c>
      <c r="F3279" s="11">
        <f>[1]!EM_S_PQ_PCTCHANGE(B3279,"2018-01-01","2019-12-31","3")</f>
        <v>1.7057569299999999</v>
      </c>
      <c r="G3279" s="11">
        <f>[1]!EM_S_PQ_PCTCHANGE(B3279,"2018-12-31","2019-12-30","1")</f>
        <v>-35.95206391</v>
      </c>
      <c r="H3279" s="11">
        <f>[1]!EM_S_FA_YOY_OR(B3279,E3279)</f>
        <v>232.7036318465</v>
      </c>
      <c r="I3279" s="11">
        <f>[1]!EM_S_FA_GROSSPROFITMARGIN(B3279,E3279)</f>
        <v>9.5731170254000002</v>
      </c>
      <c r="J3279" s="11">
        <f>[1]!EM_S_FA_NETPROFITMARGIN(B3279,E3279)</f>
        <v>4.6653063412</v>
      </c>
      <c r="K3279" s="10">
        <f>[1]!EM_S_FA_ASSETSTURN(B3279,E3279)</f>
        <v>0.529921662558</v>
      </c>
      <c r="L3279" s="12">
        <f>[1]!EM_HKS_VAL_MV(B3279,"2019-12-31","2")</f>
        <v>2028328020</v>
      </c>
      <c r="M3279">
        <f>[1]!EM_S_VAL_PETTMDEDUCTED(B3279,E3279)</f>
        <v>-151.32032138971201</v>
      </c>
      <c r="N3279" s="7">
        <f>[1]!EM_S_VAL_PBGOODWILLDEDUCTED(B3279,E3279)</f>
        <v>16.745410502299801</v>
      </c>
      <c r="O3279" s="7">
        <f>[1]!EM_S_VAL_PS_TTM(B3279,E3279)</f>
        <v>43.144033724299597</v>
      </c>
      <c r="P3279" s="7">
        <f>[1]!EM_S_VAL_PCF_NCFTTM(B3279,E3279)</f>
        <v>-38.556952597317903</v>
      </c>
      <c r="Q3279" s="7">
        <f>[1]!EM_S_VAL_DIVIDENDYIELD2(B3279,E3279,"2019-11-29")</f>
        <v>0</v>
      </c>
      <c r="T3279"/>
      <c r="U3279">
        <f>[1]!EM_S_RATIO_EPS_TTM(B3279,E3279,"1")</f>
        <v>7.4140093503219468E-3</v>
      </c>
      <c r="AT3279" s="4" t="str">
        <f>[1]!EM_S_IPO_LISTEDDATE(B3279)</f>
        <v>1996-11-07</v>
      </c>
    </row>
    <row r="3280" spans="1:46">
      <c r="A3280">
        <v>426</v>
      </c>
      <c r="B3280" t="str">
        <f>"000898"</f>
        <v>000898</v>
      </c>
      <c r="C3280" t="s">
        <v>758</v>
      </c>
      <c r="D3280" t="str">
        <f>[1]!EM_S_INFO_INDEX_EM(B3280,"1")</f>
        <v>钢铁</v>
      </c>
      <c r="E3280" s="4">
        <f t="shared" si="51"/>
        <v>43465</v>
      </c>
      <c r="F3280" s="11">
        <f>[1]!EM_S_PQ_PCTCHANGE(B3280,"2018-01-01","2019-12-31","3")</f>
        <v>-25.407149350000001</v>
      </c>
      <c r="G3280" s="11">
        <f>[1]!EM_S_PQ_PCTCHANGE(B3280,"2018-12-31","2019-12-30","1")</f>
        <v>-36.062378170000002</v>
      </c>
      <c r="H3280" s="11">
        <f>[1]!EM_S_FA_YOY_OR(B3280,E3280)</f>
        <v>14.6962904792</v>
      </c>
      <c r="I3280" s="11">
        <f>[1]!EM_S_FA_GROSSPROFITMARGIN(B3280,E3280)</f>
        <v>16.1957834476</v>
      </c>
      <c r="J3280" s="11">
        <f>[1]!EM_S_FA_NETPROFITMARGIN(B3280,E3280)</f>
        <v>7.5620263034999997</v>
      </c>
      <c r="K3280" s="10">
        <f>[1]!EM_S_FA_ASSETSTURN(B3280,E3280)</f>
        <v>1.173443881536</v>
      </c>
      <c r="L3280" s="12">
        <f>[1]!EM_HKS_VAL_MV(B3280,"2019-12-31","2")</f>
        <v>31507588173.349998</v>
      </c>
      <c r="M3280">
        <f>[1]!EM_S_VAL_PETTMDEDUCTED(B3280,E3280)</f>
        <v>4.8238321101000796</v>
      </c>
      <c r="N3280" s="7">
        <f>[1]!EM_S_VAL_PBGOODWILLDEDUCTED(B3280,E3280)</f>
        <v>0.71426358213906305</v>
      </c>
      <c r="O3280" s="7">
        <f>[1]!EM_S_VAL_PS_TTM(B3280,E3280)</f>
        <v>0.38510572508544699</v>
      </c>
      <c r="P3280" s="7">
        <f>[1]!EM_S_VAL_PCF_NCFTTM(B3280,E3280)</f>
        <v>91.190575565380797</v>
      </c>
      <c r="Q3280" s="7">
        <f>[1]!EM_S_VAL_DIVIDENDYIELD2(B3280,E3280,"2019-11-29")</f>
        <v>5.3724053724725804</v>
      </c>
      <c r="T3280"/>
      <c r="U3280">
        <f>[1]!EM_S_RATIO_EPS_TTM(B3280,E3280,"1")</f>
        <v>1.0991307811025544</v>
      </c>
      <c r="AT3280" s="4" t="str">
        <f>[1]!EM_S_IPO_LISTEDDATE(B3280)</f>
        <v>1997-12-25</v>
      </c>
    </row>
    <row r="3281" spans="1:46">
      <c r="A3281">
        <v>601</v>
      </c>
      <c r="B3281" t="str">
        <f>"002090"</f>
        <v>002090</v>
      </c>
      <c r="C3281" t="s">
        <v>1522</v>
      </c>
      <c r="D3281" t="str">
        <f>[1]!EM_S_INFO_INDEX_EM(B3281,"1")</f>
        <v>电气设备</v>
      </c>
      <c r="E3281" s="4">
        <f t="shared" si="51"/>
        <v>43465</v>
      </c>
      <c r="F3281" s="11">
        <f>[1]!EM_S_PQ_PCTCHANGE(B3281,"2018-01-01","2019-12-31","3")</f>
        <v>-18.458036270000001</v>
      </c>
      <c r="G3281" s="11">
        <f>[1]!EM_S_PQ_PCTCHANGE(B3281,"2018-12-31","2019-12-30","1")</f>
        <v>-36.125965540000003</v>
      </c>
      <c r="H3281" s="11">
        <f>[1]!EM_S_FA_YOY_OR(B3281,E3281)</f>
        <v>-27.322875387900002</v>
      </c>
      <c r="I3281" s="11">
        <f>[1]!EM_S_FA_GROSSPROFITMARGIN(B3281,E3281)</f>
        <v>27.899578022099998</v>
      </c>
      <c r="J3281" s="11">
        <f>[1]!EM_S_FA_NETPROFITMARGIN(B3281,E3281)</f>
        <v>5.3729897892</v>
      </c>
      <c r="K3281" s="10">
        <f>[1]!EM_S_FA_ASSETSTURN(B3281,E3281)</f>
        <v>0.42754651990499998</v>
      </c>
      <c r="L3281" s="12">
        <f>[1]!EM_HKS_VAL_MV(B3281,"2019-12-31","2")</f>
        <v>4289250970.96</v>
      </c>
      <c r="M3281">
        <f>[1]!EM_S_VAL_PETTMDEDUCTED(B3281,E3281)</f>
        <v>47.422740346957802</v>
      </c>
      <c r="N3281" s="7">
        <f>[1]!EM_S_VAL_PBGOODWILLDEDUCTED(B3281,E3281)</f>
        <v>3.4239965935427299</v>
      </c>
      <c r="O3281" s="7">
        <f>[1]!EM_S_VAL_PS_TTM(B3281,E3281)</f>
        <v>2.2862934481857198</v>
      </c>
      <c r="P3281" s="7">
        <f>[1]!EM_S_VAL_PCF_NCFTTM(B3281,E3281)</f>
        <v>-15.102940416041999</v>
      </c>
      <c r="Q3281" s="7">
        <f>[1]!EM_S_VAL_DIVIDENDYIELD2(B3281,E3281,"2019-11-29")</f>
        <v>0.48364669704559587</v>
      </c>
      <c r="T3281"/>
      <c r="U3281">
        <f>[1]!EM_S_RATIO_EPS_TTM(B3281,E3281,"1")</f>
        <v>0.38706899950220958</v>
      </c>
      <c r="AT3281" s="4" t="str">
        <f>[1]!EM_S_IPO_LISTEDDATE(B3281)</f>
        <v>2006-12-08</v>
      </c>
    </row>
    <row r="3282" spans="1:46">
      <c r="A3282">
        <v>2157</v>
      </c>
      <c r="B3282" t="str">
        <f>"300745"</f>
        <v>300745</v>
      </c>
      <c r="C3282" t="s">
        <v>494</v>
      </c>
      <c r="D3282" t="str">
        <f>[1]!EM_S_INFO_INDEX_EM(B3282,"1")</f>
        <v>交运设备</v>
      </c>
      <c r="E3282" s="4">
        <f t="shared" si="51"/>
        <v>43465</v>
      </c>
      <c r="F3282" s="11">
        <f>[1]!EM_S_PQ_PCTCHANGE(B3282,"2018-01-01","2019-12-31","3")</f>
        <v>96.505745779999998</v>
      </c>
      <c r="G3282" s="11">
        <f>[1]!EM_S_PQ_PCTCHANGE(B3282,"2018-12-31","2019-12-30","1")</f>
        <v>-36.26070146</v>
      </c>
      <c r="H3282" s="11">
        <f>[1]!EM_S_FA_YOY_OR(B3282,E3282)</f>
        <v>46.140745847200002</v>
      </c>
      <c r="I3282" s="11">
        <f>[1]!EM_S_FA_GROSSPROFITMARGIN(B3282,E3282)</f>
        <v>26.744052869299999</v>
      </c>
      <c r="J3282" s="11">
        <f>[1]!EM_S_FA_NETPROFITMARGIN(B3282,E3282)</f>
        <v>11.4993329627</v>
      </c>
      <c r="K3282" s="10">
        <f>[1]!EM_S_FA_ASSETSTURN(B3282,E3282)</f>
        <v>0.50040849126800002</v>
      </c>
      <c r="L3282" s="12">
        <f>[1]!EM_HKS_VAL_MV(B3282,"2019-12-31","2")</f>
        <v>2610881625.5999999</v>
      </c>
      <c r="M3282">
        <f>[1]!EM_S_VAL_PETTMDEDUCTED(B3282,E3282)</f>
        <v>65.090189261927605</v>
      </c>
      <c r="N3282" s="7">
        <f>[1]!EM_S_VAL_PBGOODWILLDEDUCTED(B3282,E3282)</f>
        <v>3.8405436225067899</v>
      </c>
      <c r="O3282" s="7">
        <f>[1]!EM_S_VAL_PS_TTM(B3282,E3282)</f>
        <v>6.6808585064356798</v>
      </c>
      <c r="P3282" s="7">
        <f>[1]!EM_S_VAL_PCF_NCFTTM(B3282,E3282)</f>
        <v>30.3140748303971</v>
      </c>
      <c r="Q3282" s="7">
        <f>[1]!EM_S_VAL_DIVIDENDYIELD2(B3282,E3282,"2019-11-29")</f>
        <v>0.38610038610038611</v>
      </c>
      <c r="T3282"/>
      <c r="U3282">
        <f>[1]!EM_S_RATIO_EPS_TTM(B3282,E3282,"1")</f>
        <v>0.72007345408467383</v>
      </c>
      <c r="AT3282" s="4" t="str">
        <f>[1]!EM_S_IPO_LISTEDDATE(B3282)</f>
        <v>2018-05-23</v>
      </c>
    </row>
    <row r="3283" spans="1:46">
      <c r="A3283">
        <v>1497</v>
      </c>
      <c r="B3283" t="str">
        <f>"300072"</f>
        <v>300072</v>
      </c>
      <c r="C3283" t="s">
        <v>175</v>
      </c>
      <c r="D3283" t="str">
        <f>[1]!EM_S_INFO_INDEX_EM(B3283,"1")</f>
        <v>基础化工</v>
      </c>
      <c r="E3283" s="4">
        <f t="shared" si="51"/>
        <v>43465</v>
      </c>
      <c r="F3283" s="11">
        <f>[1]!EM_S_PQ_PCTCHANGE(B3283,"2018-01-01","2019-12-31","3")</f>
        <v>-76.428878179999998</v>
      </c>
      <c r="G3283" s="11">
        <f>[1]!EM_S_PQ_PCTCHANGE(B3283,"2018-12-31","2019-12-30","1")</f>
        <v>-36.483739839999998</v>
      </c>
      <c r="H3283" s="11">
        <f>[1]!EM_S_FA_YOY_OR(B3283,E3283)</f>
        <v>-31.574405954500001</v>
      </c>
      <c r="I3283" s="11">
        <f>[1]!EM_S_FA_GROSSPROFITMARGIN(B3283,E3283)</f>
        <v>20.6218420553</v>
      </c>
      <c r="J3283" s="11">
        <f>[1]!EM_S_FA_NETPROFITMARGIN(B3283,E3283)</f>
        <v>3.8247784909</v>
      </c>
      <c r="K3283" s="10">
        <f>[1]!EM_S_FA_ASSETSTURN(B3283,E3283)</f>
        <v>0.60489849553200004</v>
      </c>
      <c r="L3283" s="12">
        <f>[1]!EM_HKS_VAL_MV(B3283,"2019-12-31","2")</f>
        <v>14850232308.639999</v>
      </c>
      <c r="M3283">
        <f>[1]!EM_S_VAL_PETTMDEDUCTED(B3283,E3283)</f>
        <v>13.4161683408923</v>
      </c>
      <c r="N3283" s="7">
        <f>[1]!EM_S_VAL_PBGOODWILLDEDUCTED(B3283,E3283)</f>
        <v>2.5474091527170302</v>
      </c>
      <c r="O3283" s="7">
        <f>[1]!EM_S_VAL_PS_TTM(B3283,E3283)</f>
        <v>1.28471937634108</v>
      </c>
      <c r="P3283" s="7">
        <f>[1]!EM_S_VAL_PCF_NCFTTM(B3283,E3283)</f>
        <v>-19.6807290754649</v>
      </c>
      <c r="Q3283" s="7">
        <f>[1]!EM_S_VAL_DIVIDENDYIELD2(B3283,E3283,"2019-11-29")</f>
        <v>0.5069256756756757</v>
      </c>
      <c r="T3283"/>
      <c r="U3283">
        <f>[1]!EM_S_RATIO_EPS_TTM(B3283,E3283,"1")</f>
        <v>0.21506560781781897</v>
      </c>
      <c r="AT3283" s="4" t="str">
        <f>[1]!EM_S_IPO_LISTEDDATE(B3283)</f>
        <v>2010-04-27</v>
      </c>
    </row>
    <row r="3284" spans="1:46">
      <c r="A3284">
        <v>2070</v>
      </c>
      <c r="B3284" t="str">
        <f>"300651"</f>
        <v>300651</v>
      </c>
      <c r="C3284" t="s">
        <v>2816</v>
      </c>
      <c r="D3284" t="str">
        <f>[1]!EM_S_INFO_INDEX_EM(B3284,"1")</f>
        <v>轻工制造</v>
      </c>
      <c r="E3284" s="4">
        <f t="shared" si="51"/>
        <v>43465</v>
      </c>
      <c r="F3284" s="11">
        <f>[1]!EM_S_PQ_PCTCHANGE(B3284,"2018-01-01","2019-12-31","3")</f>
        <v>42.141890549999999</v>
      </c>
      <c r="G3284" s="11">
        <f>[1]!EM_S_PQ_PCTCHANGE(B3284,"2018-12-31","2019-12-30","1")</f>
        <v>-36.583679109999999</v>
      </c>
      <c r="H3284" s="11">
        <f>[1]!EM_S_FA_YOY_OR(B3284,E3284)</f>
        <v>35.163491020199999</v>
      </c>
      <c r="I3284" s="11">
        <f>[1]!EM_S_FA_GROSSPROFITMARGIN(B3284,E3284)</f>
        <v>35.2002142877</v>
      </c>
      <c r="J3284" s="11">
        <f>[1]!EM_S_FA_NETPROFITMARGIN(B3284,E3284)</f>
        <v>7.7787728301000003</v>
      </c>
      <c r="K3284" s="10">
        <f>[1]!EM_S_FA_ASSETSTURN(B3284,E3284)</f>
        <v>0.51267146159499999</v>
      </c>
      <c r="L3284" s="12">
        <f>[1]!EM_HKS_VAL_MV(B3284,"2019-12-31","2")</f>
        <v>3525086836.4000001</v>
      </c>
      <c r="M3284">
        <f>[1]!EM_S_VAL_PETTMDEDUCTED(B3284,E3284)</f>
        <v>73.027575894556193</v>
      </c>
      <c r="N3284" s="7">
        <f>[1]!EM_S_VAL_PBGOODWILLDEDUCTED(B3284,E3284)</f>
        <v>5.0708368014366698</v>
      </c>
      <c r="O3284" s="7">
        <f>[1]!EM_S_VAL_PS_TTM(B3284,E3284)</f>
        <v>8.3331149139872203</v>
      </c>
      <c r="P3284" s="7">
        <f>[1]!EM_S_VAL_PCF_NCFTTM(B3284,E3284)</f>
        <v>862.04826004679705</v>
      </c>
      <c r="Q3284" s="7">
        <f>[1]!EM_S_VAL_DIVIDENDYIELD2(B3284,E3284,"2019-11-29")</f>
        <v>0.64212819630776274</v>
      </c>
      <c r="T3284"/>
      <c r="U3284">
        <f>[1]!EM_S_RATIO_EPS_TTM(B3284,E3284,"1")</f>
        <v>0.4674837512907119</v>
      </c>
      <c r="AT3284" s="4" t="str">
        <f>[1]!EM_S_IPO_LISTEDDATE(B3284)</f>
        <v>2017-05-09</v>
      </c>
    </row>
    <row r="3285" spans="1:46">
      <c r="A3285">
        <v>3546</v>
      </c>
      <c r="B3285" t="str">
        <f>"603809"</f>
        <v>603809</v>
      </c>
      <c r="C3285" t="s">
        <v>766</v>
      </c>
      <c r="D3285" t="str">
        <f>[1]!EM_S_INFO_INDEX_EM(B3285,"1")</f>
        <v>交运设备</v>
      </c>
      <c r="E3285" s="4">
        <f t="shared" si="51"/>
        <v>43465</v>
      </c>
      <c r="F3285" s="11">
        <f>[1]!EM_S_PQ_PCTCHANGE(B3285,"2018-01-01","2019-12-31","3")</f>
        <v>-44.939639450000001</v>
      </c>
      <c r="G3285" s="11">
        <f>[1]!EM_S_PQ_PCTCHANGE(B3285,"2018-12-31","2019-12-30","1")</f>
        <v>-36.608344549999998</v>
      </c>
      <c r="H3285" s="11">
        <f>[1]!EM_S_FA_YOY_OR(B3285,E3285)</f>
        <v>10.4434579993</v>
      </c>
      <c r="I3285" s="11">
        <f>[1]!EM_S_FA_GROSSPROFITMARGIN(B3285,E3285)</f>
        <v>33.967749398599999</v>
      </c>
      <c r="J3285" s="11">
        <f>[1]!EM_S_FA_NETPROFITMARGIN(B3285,E3285)</f>
        <v>18.674847499599998</v>
      </c>
      <c r="K3285" s="10">
        <f>[1]!EM_S_FA_ASSETSTURN(B3285,E3285)</f>
        <v>0.39812776166500002</v>
      </c>
      <c r="L3285" s="12">
        <f>[1]!EM_HKS_VAL_MV(B3285,"2019-12-31","2")</f>
        <v>1994558328</v>
      </c>
      <c r="M3285">
        <f>[1]!EM_S_VAL_PETTMDEDUCTED(B3285,E3285)</f>
        <v>14.385868603799601</v>
      </c>
      <c r="N3285" s="7">
        <f>[1]!EM_S_VAL_PBGOODWILLDEDUCTED(B3285,E3285)</f>
        <v>1.4407824592376799</v>
      </c>
      <c r="O3285" s="7">
        <f>[1]!EM_S_VAL_PS_TTM(B3285,E3285)</f>
        <v>2.3644139612512798</v>
      </c>
      <c r="P3285" s="7">
        <f>[1]!EM_S_VAL_PCF_NCFTTM(B3285,E3285)</f>
        <v>-104.320096164438</v>
      </c>
      <c r="Q3285" s="7">
        <f>[1]!EM_S_VAL_DIVIDENDYIELD2(B3285,E3285,"2019-11-29")</f>
        <v>3.9948865452221156</v>
      </c>
      <c r="T3285"/>
      <c r="U3285">
        <f>[1]!EM_S_RATIO_EPS_TTM(B3285,E3285,"1")</f>
        <v>1.0779534427941984</v>
      </c>
      <c r="AT3285" s="4" t="str">
        <f>[1]!EM_S_IPO_LISTEDDATE(B3285)</f>
        <v>2017-11-28</v>
      </c>
    </row>
    <row r="3286" spans="1:46">
      <c r="A3286">
        <v>687</v>
      </c>
      <c r="B3286" t="str">
        <f>"002176"</f>
        <v>002176</v>
      </c>
      <c r="C3286" t="s">
        <v>318</v>
      </c>
      <c r="D3286" t="str">
        <f>[1]!EM_S_INFO_INDEX_EM(B3286,"1")</f>
        <v>交运设备</v>
      </c>
      <c r="E3286" s="4">
        <f t="shared" si="51"/>
        <v>43465</v>
      </c>
      <c r="F3286" s="11">
        <f>[1]!EM_S_PQ_PCTCHANGE(B3286,"2018-01-01","2019-12-31","3")</f>
        <v>-66.724333819999998</v>
      </c>
      <c r="G3286" s="11">
        <f>[1]!EM_S_PQ_PCTCHANGE(B3286,"2018-12-31","2019-12-30","1")</f>
        <v>-36.626916520000002</v>
      </c>
      <c r="H3286" s="11">
        <f>[1]!EM_S_FA_YOY_OR(B3286,E3286)</f>
        <v>-10.3566995078</v>
      </c>
      <c r="I3286" s="11">
        <f>[1]!EM_S_FA_GROSSPROFITMARGIN(B3286,E3286)</f>
        <v>18.747460307600001</v>
      </c>
      <c r="J3286" s="11">
        <f>[1]!EM_S_FA_NETPROFITMARGIN(B3286,E3286)</f>
        <v>-55.677265541200001</v>
      </c>
      <c r="K3286" s="10">
        <f>[1]!EM_S_FA_ASSETSTURN(B3286,E3286)</f>
        <v>0.31624054720299999</v>
      </c>
      <c r="L3286" s="12">
        <f>[1]!EM_HKS_VAL_MV(B3286,"2019-12-31","2")</f>
        <v>6415784184.5600004</v>
      </c>
      <c r="M3286">
        <f>[1]!EM_S_VAL_PETTMDEDUCTED(B3286,E3286)</f>
        <v>41.604203079318197</v>
      </c>
      <c r="N3286" s="7">
        <f>[1]!EM_S_VAL_PBGOODWILLDEDUCTED(B3286,E3286)</f>
        <v>2.9112491186223499</v>
      </c>
      <c r="O3286" s="7">
        <f>[1]!EM_S_VAL_PS_TTM(B3286,E3286)</f>
        <v>2.67738924367002</v>
      </c>
      <c r="P3286" s="7">
        <f>[1]!EM_S_VAL_PCF_NCFTTM(B3286,E3286)</f>
        <v>839.72896389537402</v>
      </c>
      <c r="Q3286" s="7">
        <f>[1]!EM_S_VAL_DIVIDENDYIELD2(B3286,E3286,"2019-11-29")</f>
        <v>0</v>
      </c>
      <c r="T3286"/>
      <c r="U3286">
        <f>[1]!EM_S_RATIO_EPS_TTM(B3286,E3286,"1")</f>
        <v>-0.9731312480745139</v>
      </c>
      <c r="AT3286" s="4" t="str">
        <f>[1]!EM_S_IPO_LISTEDDATE(B3286)</f>
        <v>2007-10-12</v>
      </c>
    </row>
    <row r="3287" spans="1:46">
      <c r="A3287">
        <v>1010</v>
      </c>
      <c r="B3287" t="str">
        <f>"002499"</f>
        <v>002499</v>
      </c>
      <c r="C3287" t="s">
        <v>673</v>
      </c>
      <c r="D3287" t="str">
        <f>[1]!EM_S_INFO_INDEX_EM(B3287,"1")</f>
        <v>机械设备</v>
      </c>
      <c r="E3287" s="4">
        <f t="shared" si="51"/>
        <v>43465</v>
      </c>
      <c r="F3287" s="11">
        <f>[1]!EM_S_PQ_PCTCHANGE(B3287,"2018-01-01","2019-12-31","3")</f>
        <v>-76.659705079999995</v>
      </c>
      <c r="G3287" s="11">
        <f>[1]!EM_S_PQ_PCTCHANGE(B3287,"2018-12-31","2019-12-30","1")</f>
        <v>-36.756756760000002</v>
      </c>
      <c r="H3287" s="11">
        <f>[1]!EM_S_FA_YOY_OR(B3287,E3287)</f>
        <v>-90.676185730200004</v>
      </c>
      <c r="I3287" s="11">
        <f>[1]!EM_S_FA_GROSSPROFITMARGIN(B3287,E3287)</f>
        <v>-72.848988202100003</v>
      </c>
      <c r="J3287" s="11">
        <f>[1]!EM_S_FA_NETPROFITMARGIN(B3287,E3287)</f>
        <v>-654.73464724739995</v>
      </c>
      <c r="K3287" s="10">
        <f>[1]!EM_S_FA_ASSETSTURN(B3287,E3287)</f>
        <v>5.7715629689E-2</v>
      </c>
      <c r="L3287" s="12">
        <f>[1]!EM_HKS_VAL_MV(B3287,"2019-12-31","2")</f>
        <v>882630000</v>
      </c>
      <c r="M3287">
        <f>[1]!EM_S_VAL_PETTMDEDUCTED(B3287,E3287)</f>
        <v>-48.101962987662901</v>
      </c>
      <c r="N3287" s="7">
        <f>[1]!EM_S_VAL_PBGOODWILLDEDUCTED(B3287,E3287)</f>
        <v>6.9960482114369498</v>
      </c>
      <c r="O3287" s="7">
        <f>[1]!EM_S_VAL_PS_TTM(B3287,E3287)</f>
        <v>11.657922978398901</v>
      </c>
      <c r="P3287" s="7">
        <f>[1]!EM_S_VAL_PCF_NCFTTM(B3287,E3287)</f>
        <v>-5.2020477114616499</v>
      </c>
      <c r="Q3287" s="7">
        <f>[1]!EM_S_VAL_DIVIDENDYIELD2(B3287,E3287,"2019-11-29")</f>
        <v>0</v>
      </c>
      <c r="T3287"/>
      <c r="U3287">
        <f>[1]!EM_S_RATIO_EPS_TTM(B3287,E3287,"1")</f>
        <v>-2.8492515705820107</v>
      </c>
      <c r="AT3287" s="4" t="str">
        <f>[1]!EM_S_IPO_LISTEDDATE(B3287)</f>
        <v>2010-11-09</v>
      </c>
    </row>
    <row r="3288" spans="1:46">
      <c r="A3288">
        <v>1294</v>
      </c>
      <c r="B3288" t="str">
        <f>"002788"</f>
        <v>002788</v>
      </c>
      <c r="C3288" t="s">
        <v>1246</v>
      </c>
      <c r="D3288" t="str">
        <f>[1]!EM_S_INFO_INDEX_EM(B3288,"1")</f>
        <v>医药生物</v>
      </c>
      <c r="E3288" s="4">
        <f t="shared" si="51"/>
        <v>43465</v>
      </c>
      <c r="F3288" s="11">
        <f>[1]!EM_S_PQ_PCTCHANGE(B3288,"2018-01-01","2019-12-31","3")</f>
        <v>-28.585115989999998</v>
      </c>
      <c r="G3288" s="11">
        <f>[1]!EM_S_PQ_PCTCHANGE(B3288,"2018-12-31","2019-12-30","1")</f>
        <v>-36.846275749999997</v>
      </c>
      <c r="H3288" s="11">
        <f>[1]!EM_S_FA_YOY_OR(B3288,E3288)</f>
        <v>37.929597296099999</v>
      </c>
      <c r="I3288" s="11">
        <f>[1]!EM_S_FA_GROSSPROFITMARGIN(B3288,E3288)</f>
        <v>7.8246448638999997</v>
      </c>
      <c r="J3288" s="11">
        <f>[1]!EM_S_FA_NETPROFITMARGIN(B3288,E3288)</f>
        <v>1.6049277288999999</v>
      </c>
      <c r="K3288" s="10">
        <f>[1]!EM_S_FA_ASSETSTURN(B3288,E3288)</f>
        <v>2.053191684008</v>
      </c>
      <c r="L3288" s="12">
        <f>[1]!EM_HKS_VAL_MV(B3288,"2019-12-31","2")</f>
        <v>2663668086</v>
      </c>
      <c r="M3288">
        <f>[1]!EM_S_VAL_PETTMDEDUCTED(B3288,E3288)</f>
        <v>14.764459103899799</v>
      </c>
      <c r="N3288" s="7">
        <f>[1]!EM_S_VAL_PBGOODWILLDEDUCTED(B3288,E3288)</f>
        <v>1.8951697463197601</v>
      </c>
      <c r="O3288" s="7">
        <f>[1]!EM_S_VAL_PS_TTM(B3288,E3288)</f>
        <v>0.22558946550398401</v>
      </c>
      <c r="P3288" s="7">
        <f>[1]!EM_S_VAL_PCF_NCFTTM(B3288,E3288)</f>
        <v>-27.297393319840602</v>
      </c>
      <c r="Q3288" s="7">
        <f>[1]!EM_S_VAL_DIVIDENDYIELD2(B3288,E3288,"2019-11-29")</f>
        <v>1.539882968894364</v>
      </c>
      <c r="T3288"/>
      <c r="U3288">
        <f>[1]!EM_S_RATIO_EPS_TTM(B3288,E3288,"1")</f>
        <v>0.93795394391354725</v>
      </c>
      <c r="AT3288" s="4" t="str">
        <f>[1]!EM_S_IPO_LISTEDDATE(B3288)</f>
        <v>2016-02-18</v>
      </c>
    </row>
    <row r="3289" spans="1:46">
      <c r="A3289">
        <v>1167</v>
      </c>
      <c r="B3289" t="str">
        <f>"002656"</f>
        <v>002656</v>
      </c>
      <c r="C3289" t="s">
        <v>1708</v>
      </c>
      <c r="D3289" t="str">
        <f>[1]!EM_S_INFO_INDEX_EM(B3289,"1")</f>
        <v>纺织服装</v>
      </c>
      <c r="E3289" s="4">
        <f t="shared" si="51"/>
        <v>43465</v>
      </c>
      <c r="F3289" s="11">
        <f>[1]!EM_S_PQ_PCTCHANGE(B3289,"2018-01-01","2019-12-31","3")</f>
        <v>-74.301957450000003</v>
      </c>
      <c r="G3289" s="11">
        <f>[1]!EM_S_PQ_PCTCHANGE(B3289,"2018-12-31","2019-12-30","1")</f>
        <v>-37.096774189999998</v>
      </c>
      <c r="H3289" s="11">
        <f>[1]!EM_S_FA_YOY_OR(B3289,E3289)</f>
        <v>69.555513448300005</v>
      </c>
      <c r="I3289" s="11">
        <f>[1]!EM_S_FA_GROSSPROFITMARGIN(B3289,E3289)</f>
        <v>41.458748881299996</v>
      </c>
      <c r="J3289" s="11">
        <f>[1]!EM_S_FA_NETPROFITMARGIN(B3289,E3289)</f>
        <v>0.50545313650000001</v>
      </c>
      <c r="K3289" s="10">
        <f>[1]!EM_S_FA_ASSETSTURN(B3289,E3289)</f>
        <v>0.46487465713999998</v>
      </c>
      <c r="L3289" s="12">
        <f>[1]!EM_HKS_VAL_MV(B3289,"2019-12-31","2")</f>
        <v>2800202986.9200001</v>
      </c>
      <c r="M3289">
        <f>[1]!EM_S_VAL_PETTMDEDUCTED(B3289,E3289)</f>
        <v>65.568823024804004</v>
      </c>
      <c r="N3289" s="7">
        <f>[1]!EM_S_VAL_PBGOODWILLDEDUCTED(B3289,E3289)</f>
        <v>2.239879645237</v>
      </c>
      <c r="O3289" s="7">
        <f>[1]!EM_S_VAL_PS_TTM(B3289,E3289)</f>
        <v>3.3623637147207899</v>
      </c>
      <c r="P3289" s="7">
        <f>[1]!EM_S_VAL_PCF_NCFTTM(B3289,E3289)</f>
        <v>-14.654060974811101</v>
      </c>
      <c r="Q3289" s="7">
        <f>[1]!EM_S_VAL_DIVIDENDYIELD2(B3289,E3289,"2019-11-29")</f>
        <v>0.111731843575419</v>
      </c>
      <c r="T3289"/>
      <c r="U3289">
        <f>[1]!EM_S_RATIO_EPS_TTM(B3289,E3289,"1")</f>
        <v>3.9093234251030909E-2</v>
      </c>
      <c r="AT3289" s="4" t="str">
        <f>[1]!EM_S_IPO_LISTEDDATE(B3289)</f>
        <v>2012-02-28</v>
      </c>
    </row>
    <row r="3290" spans="1:46">
      <c r="A3290">
        <v>3403</v>
      </c>
      <c r="B3290" t="str">
        <f>"603458"</f>
        <v>603458</v>
      </c>
      <c r="C3290" t="s">
        <v>871</v>
      </c>
      <c r="D3290" t="str">
        <f>[1]!EM_S_INFO_INDEX_EM(B3290,"1")</f>
        <v>休闲、生活及专业服务</v>
      </c>
      <c r="E3290" s="4">
        <f t="shared" si="51"/>
        <v>43465</v>
      </c>
      <c r="F3290" s="11">
        <f>[1]!EM_S_PQ_PCTCHANGE(B3290,"2018-01-01","2019-12-31","3")</f>
        <v>-61.868292099999998</v>
      </c>
      <c r="G3290" s="11">
        <f>[1]!EM_S_PQ_PCTCHANGE(B3290,"2018-12-31","2019-12-30","1")</f>
        <v>-37.2231405</v>
      </c>
      <c r="H3290" s="11">
        <f>[1]!EM_S_FA_YOY_OR(B3290,E3290)</f>
        <v>11.6614912409</v>
      </c>
      <c r="I3290" s="11">
        <f>[1]!EM_S_FA_GROSSPROFITMARGIN(B3290,E3290)</f>
        <v>39.7042146609</v>
      </c>
      <c r="J3290" s="11">
        <f>[1]!EM_S_FA_NETPROFITMARGIN(B3290,E3290)</f>
        <v>16.4012914616</v>
      </c>
      <c r="K3290" s="10">
        <f>[1]!EM_S_FA_ASSETSTURN(B3290,E3290)</f>
        <v>0.57866568401499996</v>
      </c>
      <c r="L3290" s="12">
        <f>[1]!EM_HKS_VAL_MV(B3290,"2019-12-31","2")</f>
        <v>3548652069.4299998</v>
      </c>
      <c r="M3290">
        <f>[1]!EM_S_VAL_PETTMDEDUCTED(B3290,E3290)</f>
        <v>15.237608118323401</v>
      </c>
      <c r="N3290" s="7">
        <f>[1]!EM_S_VAL_PBGOODWILLDEDUCTED(B3290,E3290)</f>
        <v>1.71189894158069</v>
      </c>
      <c r="O3290" s="7">
        <f>[1]!EM_S_VAL_PS_TTM(B3290,E3290)</f>
        <v>1.8492954628968401</v>
      </c>
      <c r="P3290" s="7">
        <f>[1]!EM_S_VAL_PCF_NCFTTM(B3290,E3290)</f>
        <v>536.92256732606495</v>
      </c>
      <c r="Q3290" s="7">
        <f>[1]!EM_S_VAL_DIVIDENDYIELD2(B3290,E3290,"2019-11-29")</f>
        <v>3.1621743739231158</v>
      </c>
      <c r="T3290"/>
      <c r="U3290">
        <f>[1]!EM_S_RATIO_EPS_TTM(B3290,E3290,"1")</f>
        <v>2.7977656220394236</v>
      </c>
      <c r="AT3290" s="4" t="str">
        <f>[1]!EM_S_IPO_LISTEDDATE(B3290)</f>
        <v>2017-08-09</v>
      </c>
    </row>
    <row r="3291" spans="1:46">
      <c r="A3291">
        <v>3517</v>
      </c>
      <c r="B3291" t="str">
        <f>"603726"</f>
        <v>603726</v>
      </c>
      <c r="C3291" t="s">
        <v>553</v>
      </c>
      <c r="D3291" t="str">
        <f>[1]!EM_S_INFO_INDEX_EM(B3291,"1")</f>
        <v>机械设备</v>
      </c>
      <c r="E3291" s="4">
        <f t="shared" si="51"/>
        <v>43465</v>
      </c>
      <c r="F3291" s="11">
        <f>[1]!EM_S_PQ_PCTCHANGE(B3291,"2018-01-01","2019-12-31","3")</f>
        <v>-21.089306390000001</v>
      </c>
      <c r="G3291" s="11">
        <f>[1]!EM_S_PQ_PCTCHANGE(B3291,"2018-12-31","2019-12-30","1")</f>
        <v>-37.299035369999999</v>
      </c>
      <c r="H3291" s="11">
        <f>[1]!EM_S_FA_YOY_OR(B3291,E3291)</f>
        <v>20.038433177400002</v>
      </c>
      <c r="I3291" s="11">
        <f>[1]!EM_S_FA_GROSSPROFITMARGIN(B3291,E3291)</f>
        <v>23.843006242800001</v>
      </c>
      <c r="J3291" s="11">
        <f>[1]!EM_S_FA_NETPROFITMARGIN(B3291,E3291)</f>
        <v>7.1025459506999997</v>
      </c>
      <c r="K3291" s="10">
        <f>[1]!EM_S_FA_ASSETSTURN(B3291,E3291)</f>
        <v>1.167321976805</v>
      </c>
      <c r="L3291" s="12">
        <f>[1]!EM_HKS_VAL_MV(B3291,"2019-12-31","2")</f>
        <v>2172119040</v>
      </c>
      <c r="M3291">
        <f>[1]!EM_S_VAL_PETTMDEDUCTED(B3291,E3291)</f>
        <v>22.429099103997999</v>
      </c>
      <c r="N3291" s="7">
        <f>[1]!EM_S_VAL_PBGOODWILLDEDUCTED(B3291,E3291)</f>
        <v>2.8065447297112498</v>
      </c>
      <c r="O3291" s="7">
        <f>[1]!EM_S_VAL_PS_TTM(B3291,E3291)</f>
        <v>1.57181837206839</v>
      </c>
      <c r="P3291" s="7">
        <f>[1]!EM_S_VAL_PCF_NCFTTM(B3291,E3291)</f>
        <v>508.03545359914102</v>
      </c>
      <c r="Q3291" s="7">
        <f>[1]!EM_S_VAL_DIVIDENDYIELD2(B3291,E3291,"2019-11-29")</f>
        <v>3.5910159310524943</v>
      </c>
      <c r="T3291"/>
      <c r="U3291">
        <f>[1]!EM_S_RATIO_EPS_TTM(B3291,E3291,"1")</f>
        <v>0.84079287976592665</v>
      </c>
      <c r="AT3291" s="4" t="str">
        <f>[1]!EM_S_IPO_LISTEDDATE(B3291)</f>
        <v>2016-04-21</v>
      </c>
    </row>
    <row r="3292" spans="1:46">
      <c r="A3292">
        <v>2129</v>
      </c>
      <c r="B3292" t="str">
        <f>"300713"</f>
        <v>300713</v>
      </c>
      <c r="C3292" t="s">
        <v>1356</v>
      </c>
      <c r="D3292" t="str">
        <f>[1]!EM_S_INFO_INDEX_EM(B3292,"1")</f>
        <v>电气设备</v>
      </c>
      <c r="E3292" s="4">
        <f t="shared" si="51"/>
        <v>43465</v>
      </c>
      <c r="F3292" s="11">
        <f>[1]!EM_S_PQ_PCTCHANGE(B3292,"2018-01-01","2019-12-31","3")</f>
        <v>-56.170263060000003</v>
      </c>
      <c r="G3292" s="11">
        <f>[1]!EM_S_PQ_PCTCHANGE(B3292,"2018-12-31","2019-12-30","1")</f>
        <v>-37.540603249999997</v>
      </c>
      <c r="H3292" s="11">
        <f>[1]!EM_S_FA_YOY_OR(B3292,E3292)</f>
        <v>-19.2653987319</v>
      </c>
      <c r="I3292" s="11">
        <f>[1]!EM_S_FA_GROSSPROFITMARGIN(B3292,E3292)</f>
        <v>37.501500746300003</v>
      </c>
      <c r="J3292" s="11">
        <f>[1]!EM_S_FA_NETPROFITMARGIN(B3292,E3292)</f>
        <v>5.0392858539000001</v>
      </c>
      <c r="K3292" s="10">
        <f>[1]!EM_S_FA_ASSETSTURN(B3292,E3292)</f>
        <v>0.32446500108100002</v>
      </c>
      <c r="L3292" s="12">
        <f>[1]!EM_HKS_VAL_MV(B3292,"2019-12-31","2")</f>
        <v>1973700000</v>
      </c>
      <c r="M3292">
        <f>[1]!EM_S_VAL_PETTMDEDUCTED(B3292,E3292)</f>
        <v>39.705473316978903</v>
      </c>
      <c r="N3292" s="7">
        <f>[1]!EM_S_VAL_PBGOODWILLDEDUCTED(B3292,E3292)</f>
        <v>2.9447828799170801</v>
      </c>
      <c r="O3292" s="7">
        <f>[1]!EM_S_VAL_PS_TTM(B3292,E3292)</f>
        <v>6.5935769578455501</v>
      </c>
      <c r="P3292" s="7">
        <f>[1]!EM_S_VAL_PCF_NCFTTM(B3292,E3292)</f>
        <v>-50.344099706730802</v>
      </c>
      <c r="Q3292" s="7">
        <f>[1]!EM_S_VAL_DIVIDENDYIELD2(B3292,E3292,"2019-11-29")</f>
        <v>0</v>
      </c>
      <c r="T3292"/>
      <c r="U3292">
        <f>[1]!EM_S_RATIO_EPS_TTM(B3292,E3292,"1")</f>
        <v>0.12561044538562091</v>
      </c>
      <c r="AT3292" s="4" t="str">
        <f>[1]!EM_S_IPO_LISTEDDATE(B3292)</f>
        <v>2017-11-01</v>
      </c>
    </row>
    <row r="3293" spans="1:46">
      <c r="A3293">
        <v>2707</v>
      </c>
      <c r="B3293" t="str">
        <f>"600634"</f>
        <v>600634</v>
      </c>
      <c r="C3293" t="s">
        <v>1814</v>
      </c>
      <c r="D3293" t="str">
        <f>[1]!EM_S_INFO_INDEX_EM(B3293,"1")</f>
        <v>互联网</v>
      </c>
      <c r="E3293" s="4">
        <f t="shared" si="51"/>
        <v>43465</v>
      </c>
      <c r="F3293" s="11">
        <f>[1]!EM_S_PQ_PCTCHANGE(B3293,"2018-01-01","2019-12-31","3")</f>
        <v>-91.915550980000006</v>
      </c>
      <c r="G3293" s="11">
        <f>[1]!EM_S_PQ_PCTCHANGE(B3293,"2018-12-31","2019-12-30","1")</f>
        <v>-37.647058819999998</v>
      </c>
      <c r="H3293" s="11">
        <f>[1]!EM_S_FA_YOY_OR(B3293,E3293)</f>
        <v>2.1385179112000001</v>
      </c>
      <c r="I3293" s="11">
        <f>[1]!EM_S_FA_GROSSPROFITMARGIN(B3293,E3293)</f>
        <v>78.075433665399999</v>
      </c>
      <c r="J3293" s="11">
        <f>[1]!EM_S_FA_NETPROFITMARGIN(B3293,E3293)</f>
        <v>-669.54159224119996</v>
      </c>
      <c r="K3293" s="10">
        <f>[1]!EM_S_FA_ASSETSTURN(B3293,E3293)</f>
        <v>0.16126314464899999</v>
      </c>
      <c r="L3293" s="12">
        <f>[1]!EM_HKS_VAL_MV(B3293,"2019-12-31","2")</f>
        <v>903899367.16999996</v>
      </c>
      <c r="M3293">
        <f>[1]!EM_S_VAL_PETTMDEDUCTED(B3293,E3293)</f>
        <v>-21.2637195085969</v>
      </c>
      <c r="N3293" s="7">
        <f>[1]!EM_S_VAL_PBGOODWILLDEDUCTED(B3293,E3293)</f>
        <v>-0.23999638266076201</v>
      </c>
      <c r="O3293" s="7">
        <f>[1]!EM_S_VAL_PS_TTM(B3293,E3293)</f>
        <v>1.8811867706538901</v>
      </c>
      <c r="P3293" s="7">
        <f>[1]!EM_S_VAL_PCF_NCFTTM(B3293,E3293)</f>
        <v>-0.76597342957636305</v>
      </c>
      <c r="Q3293" s="7">
        <f>[1]!EM_S_VAL_DIVIDENDYIELD2(B3293,E3293,"2019-11-29")</f>
        <v>0</v>
      </c>
      <c r="T3293"/>
      <c r="U3293">
        <f>[1]!EM_S_RATIO_EPS_TTM(B3293,E3293,"1")</f>
        <v>-9.5685822079280651</v>
      </c>
      <c r="AT3293" s="4" t="str">
        <f>[1]!EM_S_IPO_LISTEDDATE(B3293)</f>
        <v>1993-03-04</v>
      </c>
    </row>
    <row r="3294" spans="1:46">
      <c r="A3294">
        <v>1515</v>
      </c>
      <c r="B3294" t="str">
        <f>"300090"</f>
        <v>300090</v>
      </c>
      <c r="C3294" t="s">
        <v>2934</v>
      </c>
      <c r="D3294" t="str">
        <f>[1]!EM_S_INFO_INDEX_EM(B3294,"1")</f>
        <v>公用事业</v>
      </c>
      <c r="E3294" s="4">
        <f t="shared" si="51"/>
        <v>43465</v>
      </c>
      <c r="F3294" s="11">
        <f>[1]!EM_S_PQ_PCTCHANGE(B3294,"2018-01-01","2019-12-31","3")</f>
        <v>-85.281385279999995</v>
      </c>
      <c r="G3294" s="11">
        <f>[1]!EM_S_PQ_PCTCHANGE(B3294,"2018-12-31","2019-12-30","1")</f>
        <v>-37.674418600000003</v>
      </c>
      <c r="H3294" s="11">
        <f>[1]!EM_S_FA_YOY_OR(B3294,E3294)</f>
        <v>-62.0360880522</v>
      </c>
      <c r="I3294" s="11">
        <f>[1]!EM_S_FA_GROSSPROFITMARGIN(B3294,E3294)</f>
        <v>1.5817124364999999</v>
      </c>
      <c r="J3294" s="11">
        <f>[1]!EM_S_FA_NETPROFITMARGIN(B3294,E3294)</f>
        <v>-605.9579336882</v>
      </c>
      <c r="K3294" s="10">
        <f>[1]!EM_S_FA_ASSETSTURN(B3294,E3294)</f>
        <v>4.4155601941000003E-2</v>
      </c>
      <c r="L3294" s="12">
        <f>[1]!EM_HKS_VAL_MV(B3294,"2019-12-31","2")</f>
        <v>1795135973.9200001</v>
      </c>
      <c r="M3294">
        <f>[1]!EM_S_VAL_PETTMDEDUCTED(B3294,E3294)</f>
        <v>-2.04282215628275</v>
      </c>
      <c r="N3294" s="7">
        <f>[1]!EM_S_VAL_PBGOODWILLDEDUCTED(B3294,E3294)</f>
        <v>16.4465809742292</v>
      </c>
      <c r="O3294" s="7">
        <f>[1]!EM_S_VAL_PS_TTM(B3294,E3294)</f>
        <v>4.0014617106058497</v>
      </c>
      <c r="P3294" s="7">
        <f>[1]!EM_S_VAL_PCF_NCFTTM(B3294,E3294)</f>
        <v>-5.3042853636278</v>
      </c>
      <c r="Q3294" s="7">
        <f>[1]!EM_S_VAL_DIVIDENDYIELD2(B3294,E3294,"2019-11-29")</f>
        <v>0</v>
      </c>
      <c r="T3294"/>
      <c r="U3294">
        <f>[1]!EM_S_RATIO_EPS_TTM(B3294,E3294,"1")</f>
        <v>-2.358303636574699</v>
      </c>
      <c r="AT3294" s="4" t="str">
        <f>[1]!EM_S_IPO_LISTEDDATE(B3294)</f>
        <v>2010-06-25</v>
      </c>
    </row>
    <row r="3295" spans="1:46">
      <c r="A3295">
        <v>1372</v>
      </c>
      <c r="B3295" t="str">
        <f>"002872"</f>
        <v>002872</v>
      </c>
      <c r="C3295" t="s">
        <v>1301</v>
      </c>
      <c r="D3295" t="str">
        <f>[1]!EM_S_INFO_INDEX_EM(B3295,"1")</f>
        <v>医药生物</v>
      </c>
      <c r="E3295" s="4">
        <f t="shared" si="51"/>
        <v>43465</v>
      </c>
      <c r="F3295" s="11">
        <f>[1]!EM_S_PQ_PCTCHANGE(B3295,"2018-01-01","2019-12-31","3")</f>
        <v>-73.271122460000001</v>
      </c>
      <c r="G3295" s="11">
        <f>[1]!EM_S_PQ_PCTCHANGE(B3295,"2018-12-31","2019-12-30","1")</f>
        <v>-37.967289719999997</v>
      </c>
      <c r="H3295" s="11">
        <f>[1]!EM_S_FA_YOY_OR(B3295,E3295)</f>
        <v>-3.9786805292</v>
      </c>
      <c r="I3295" s="11">
        <f>[1]!EM_S_FA_GROSSPROFITMARGIN(B3295,E3295)</f>
        <v>28.684018492100002</v>
      </c>
      <c r="J3295" s="11">
        <f>[1]!EM_S_FA_NETPROFITMARGIN(B3295,E3295)</f>
        <v>5.4114724510999999</v>
      </c>
      <c r="K3295" s="10">
        <f>[1]!EM_S_FA_ASSETSTURN(B3295,E3295)</f>
        <v>0.447890659656</v>
      </c>
      <c r="L3295" s="12">
        <f>[1]!EM_HKS_VAL_MV(B3295,"2019-12-31","2")</f>
        <v>1707660000</v>
      </c>
      <c r="M3295">
        <f>[1]!EM_S_VAL_PETTMDEDUCTED(B3295,E3295)</f>
        <v>13.343059680467899</v>
      </c>
      <c r="N3295" s="7">
        <f>[1]!EM_S_VAL_PBGOODWILLDEDUCTED(B3295,E3295)</f>
        <v>0.85820980689305004</v>
      </c>
      <c r="O3295" s="7">
        <f>[1]!EM_S_VAL_PS_TTM(B3295,E3295)</f>
        <v>1.1691496161493</v>
      </c>
      <c r="P3295" s="7">
        <f>[1]!EM_S_VAL_PCF_NCFTTM(B3295,E3295)</f>
        <v>-10.2396965907541</v>
      </c>
      <c r="Q3295" s="7">
        <f>[1]!EM_S_VAL_DIVIDENDYIELD2(B3295,E3295,"2019-11-29")</f>
        <v>0</v>
      </c>
      <c r="T3295"/>
      <c r="U3295">
        <f>[1]!EM_S_RATIO_EPS_TTM(B3295,E3295,"1")</f>
        <v>0.34825856276729555</v>
      </c>
      <c r="AT3295" s="4" t="str">
        <f>[1]!EM_S_IPO_LISTEDDATE(B3295)</f>
        <v>2017-05-19</v>
      </c>
    </row>
    <row r="3296" spans="1:46">
      <c r="A3296">
        <v>1269</v>
      </c>
      <c r="B3296" t="str">
        <f>"002761"</f>
        <v>002761</v>
      </c>
      <c r="C3296" t="s">
        <v>2091</v>
      </c>
      <c r="D3296" t="str">
        <f>[1]!EM_S_INFO_INDEX_EM(B3296,"1")</f>
        <v>纺织服装</v>
      </c>
      <c r="E3296" s="4">
        <f t="shared" si="51"/>
        <v>43465</v>
      </c>
      <c r="F3296" s="11">
        <f>[1]!EM_S_PQ_PCTCHANGE(B3296,"2018-01-01","2019-12-31","3")</f>
        <v>-10.630670820000001</v>
      </c>
      <c r="G3296" s="11">
        <f>[1]!EM_S_PQ_PCTCHANGE(B3296,"2018-12-31","2019-12-30","1")</f>
        <v>-38.084755090000002</v>
      </c>
      <c r="H3296" s="11">
        <f>[1]!EM_S_FA_YOY_OR(B3296,E3296)</f>
        <v>32.607505828400001</v>
      </c>
      <c r="I3296" s="11">
        <f>[1]!EM_S_FA_GROSSPROFITMARGIN(B3296,E3296)</f>
        <v>38.964845790699997</v>
      </c>
      <c r="J3296" s="11">
        <f>[1]!EM_S_FA_NETPROFITMARGIN(B3296,E3296)</f>
        <v>4.0139555592000002</v>
      </c>
      <c r="K3296" s="10">
        <f>[1]!EM_S_FA_ASSETSTURN(B3296,E3296)</f>
        <v>0.92882387170799996</v>
      </c>
      <c r="L3296" s="12">
        <f>[1]!EM_HKS_VAL_MV(B3296,"2019-12-31","2")</f>
        <v>3783588000</v>
      </c>
      <c r="M3296">
        <f>[1]!EM_S_VAL_PETTMDEDUCTED(B3296,E3296)</f>
        <v>95.687568567952695</v>
      </c>
      <c r="N3296" s="7">
        <f>[1]!EM_S_VAL_PBGOODWILLDEDUCTED(B3296,E3296)</f>
        <v>5.3410329549599496</v>
      </c>
      <c r="O3296" s="7">
        <f>[1]!EM_S_VAL_PS_TTM(B3296,E3296)</f>
        <v>4.39409534172243</v>
      </c>
      <c r="P3296" s="7">
        <f>[1]!EM_S_VAL_PCF_NCFTTM(B3296,E3296)</f>
        <v>65.565154315043202</v>
      </c>
      <c r="Q3296" s="7">
        <f>[1]!EM_S_VAL_DIVIDENDYIELD2(B3296,E3296,"2019-11-29")</f>
        <v>0.10168285118714729</v>
      </c>
      <c r="T3296"/>
      <c r="U3296">
        <f>[1]!EM_S_RATIO_EPS_TTM(B3296,E3296,"1")</f>
        <v>0.13620013980392157</v>
      </c>
      <c r="AT3296" s="4" t="str">
        <f>[1]!EM_S_IPO_LISTEDDATE(B3296)</f>
        <v>2015-06-10</v>
      </c>
    </row>
    <row r="3297" spans="1:46">
      <c r="A3297">
        <v>2020</v>
      </c>
      <c r="B3297" t="str">
        <f>"300600"</f>
        <v>300600</v>
      </c>
      <c r="C3297" t="s">
        <v>977</v>
      </c>
      <c r="D3297" t="str">
        <f>[1]!EM_S_INFO_INDEX_EM(B3297,"1")</f>
        <v>国防与装备</v>
      </c>
      <c r="E3297" s="4">
        <f t="shared" si="51"/>
        <v>43465</v>
      </c>
      <c r="F3297" s="11">
        <f>[1]!EM_S_PQ_PCTCHANGE(B3297,"2018-01-01","2019-12-31","3")</f>
        <v>-33.128940819999997</v>
      </c>
      <c r="G3297" s="11">
        <f>[1]!EM_S_PQ_PCTCHANGE(B3297,"2018-12-31","2019-12-30","1")</f>
        <v>-38.2517049</v>
      </c>
      <c r="H3297" s="11">
        <f>[1]!EM_S_FA_YOY_OR(B3297,E3297)</f>
        <v>17.678678448900001</v>
      </c>
      <c r="I3297" s="11">
        <f>[1]!EM_S_FA_GROSSPROFITMARGIN(B3297,E3297)</f>
        <v>49.220118980300001</v>
      </c>
      <c r="J3297" s="11">
        <f>[1]!EM_S_FA_NETPROFITMARGIN(B3297,E3297)</f>
        <v>22.160484799199999</v>
      </c>
      <c r="K3297" s="10">
        <f>[1]!EM_S_FA_ASSETSTURN(B3297,E3297)</f>
        <v>0.41473961208900001</v>
      </c>
      <c r="L3297" s="12">
        <f>[1]!EM_HKS_VAL_MV(B3297,"2019-12-31","2")</f>
        <v>3032826138</v>
      </c>
      <c r="M3297">
        <f>[1]!EM_S_VAL_PETTMDEDUCTED(B3297,E3297)</f>
        <v>35.229471322929903</v>
      </c>
      <c r="N3297" s="7">
        <f>[1]!EM_S_VAL_PBGOODWILLDEDUCTED(B3297,E3297)</f>
        <v>2.4732656704799099</v>
      </c>
      <c r="O3297" s="7">
        <f>[1]!EM_S_VAL_PS_TTM(B3297,E3297)</f>
        <v>6.3206229957923199</v>
      </c>
      <c r="P3297" s="7">
        <f>[1]!EM_S_VAL_PCF_NCFTTM(B3297,E3297)</f>
        <v>164.516147141126</v>
      </c>
      <c r="Q3297" s="7">
        <f>[1]!EM_S_VAL_DIVIDENDYIELD2(B3297,E3297,"2019-11-29")</f>
        <v>1.1025358324145533</v>
      </c>
      <c r="T3297"/>
      <c r="U3297">
        <f>[1]!EM_S_RATIO_EPS_TTM(B3297,E3297,"1")</f>
        <v>0.64225387183607152</v>
      </c>
      <c r="AT3297" s="4" t="str">
        <f>[1]!EM_S_IPO_LISTEDDATE(B3297)</f>
        <v>2017-01-25</v>
      </c>
    </row>
    <row r="3298" spans="1:46">
      <c r="A3298">
        <v>1737</v>
      </c>
      <c r="B3298" t="str">
        <f>"300312"</f>
        <v>300312</v>
      </c>
      <c r="C3298" t="s">
        <v>2907</v>
      </c>
      <c r="D3298" t="str">
        <f>[1]!EM_S_INFO_INDEX_EM(B3298,"1")</f>
        <v>信息技术</v>
      </c>
      <c r="E3298" s="4">
        <f t="shared" si="51"/>
        <v>43465</v>
      </c>
      <c r="F3298" s="11">
        <f>[1]!EM_S_PQ_PCTCHANGE(B3298,"2018-01-01","2019-12-31","3")</f>
        <v>-58.094555870000001</v>
      </c>
      <c r="G3298" s="11">
        <f>[1]!EM_S_PQ_PCTCHANGE(B3298,"2018-12-31","2019-12-30","1")</f>
        <v>-38.780207130000001</v>
      </c>
      <c r="H3298" s="11">
        <f>[1]!EM_S_FA_YOY_OR(B3298,E3298)</f>
        <v>-44.307688651100001</v>
      </c>
      <c r="I3298" s="11">
        <f>[1]!EM_S_FA_GROSSPROFITMARGIN(B3298,E3298)</f>
        <v>35.395737621499997</v>
      </c>
      <c r="J3298" s="11">
        <f>[1]!EM_S_FA_NETPROFITMARGIN(B3298,E3298)</f>
        <v>-253.68124915909999</v>
      </c>
      <c r="K3298" s="10">
        <f>[1]!EM_S_FA_ASSETSTURN(B3298,E3298)</f>
        <v>0.190266706369</v>
      </c>
      <c r="L3298" s="12">
        <f>[1]!EM_HKS_VAL_MV(B3298,"2019-12-31","2")</f>
        <v>1872234000</v>
      </c>
      <c r="M3298">
        <f>[1]!EM_S_VAL_PETTMDEDUCTED(B3298,E3298)</f>
        <v>-23.3052569878508</v>
      </c>
      <c r="N3298" s="7">
        <f>[1]!EM_S_VAL_PBGOODWILLDEDUCTED(B3298,E3298)</f>
        <v>13.768343847509099</v>
      </c>
      <c r="O3298" s="7">
        <f>[1]!EM_S_VAL_PS_TTM(B3298,E3298)</f>
        <v>11.7545082403826</v>
      </c>
      <c r="P3298" s="7">
        <f>[1]!EM_S_VAL_PCF_NCFTTM(B3298,E3298)</f>
        <v>-186.10230708187501</v>
      </c>
      <c r="Q3298" s="7">
        <f>[1]!EM_S_VAL_DIVIDENDYIELD2(B3298,E3298,"2019-11-29")</f>
        <v>0</v>
      </c>
      <c r="T3298"/>
      <c r="U3298">
        <f>[1]!EM_S_RATIO_EPS_TTM(B3298,E3298,"1")</f>
        <v>-1.3809501600112486</v>
      </c>
      <c r="AT3298" s="4" t="str">
        <f>[1]!EM_S_IPO_LISTEDDATE(B3298)</f>
        <v>2012-05-08</v>
      </c>
    </row>
    <row r="3299" spans="1:46">
      <c r="A3299">
        <v>1790</v>
      </c>
      <c r="B3299" t="str">
        <f>"300365"</f>
        <v>300365</v>
      </c>
      <c r="C3299" t="s">
        <v>2576</v>
      </c>
      <c r="D3299" t="str">
        <f>[1]!EM_S_INFO_INDEX_EM(B3299,"1")</f>
        <v>信息技术</v>
      </c>
      <c r="E3299" s="4">
        <f t="shared" si="51"/>
        <v>43465</v>
      </c>
      <c r="F3299" s="11">
        <f>[1]!EM_S_PQ_PCTCHANGE(B3299,"2018-01-01","2019-12-31","3")</f>
        <v>23.587334030000001</v>
      </c>
      <c r="G3299" s="11">
        <f>[1]!EM_S_PQ_PCTCHANGE(B3299,"2018-12-31","2019-12-30","1")</f>
        <v>-38.947368419999997</v>
      </c>
      <c r="H3299" s="11">
        <f>[1]!EM_S_FA_YOY_OR(B3299,E3299)</f>
        <v>38.349469785300002</v>
      </c>
      <c r="I3299" s="11">
        <f>[1]!EM_S_FA_GROSSPROFITMARGIN(B3299,E3299)</f>
        <v>43.251237505100001</v>
      </c>
      <c r="J3299" s="11">
        <f>[1]!EM_S_FA_NETPROFITMARGIN(B3299,E3299)</f>
        <v>23.0088499298</v>
      </c>
      <c r="K3299" s="10">
        <f>[1]!EM_S_FA_ASSETSTURN(B3299,E3299)</f>
        <v>0.52587613834000002</v>
      </c>
      <c r="L3299" s="12">
        <f>[1]!EM_HKS_VAL_MV(B3299,"2019-12-31","2")</f>
        <v>7839556258.8599997</v>
      </c>
      <c r="M3299">
        <f>[1]!EM_S_VAL_PETTMDEDUCTED(B3299,E3299)</f>
        <v>36.724239889281499</v>
      </c>
      <c r="N3299" s="7">
        <f>[1]!EM_S_VAL_PBGOODWILLDEDUCTED(B3299,E3299)</f>
        <v>4.6681563276367699</v>
      </c>
      <c r="O3299" s="7">
        <f>[1]!EM_S_VAL_PS_TTM(B3299,E3299)</f>
        <v>7.6675772368715798</v>
      </c>
      <c r="P3299" s="7">
        <f>[1]!EM_S_VAL_PCF_NCFTTM(B3299,E3299)</f>
        <v>-55.762758834383497</v>
      </c>
      <c r="Q3299" s="7">
        <f>[1]!EM_S_VAL_DIVIDENDYIELD2(B3299,E3299,"2019-11-29")</f>
        <v>0.35148849143236671</v>
      </c>
      <c r="T3299"/>
      <c r="U3299">
        <f>[1]!EM_S_RATIO_EPS_TTM(B3299,E3299,"1")</f>
        <v>0.67542178293207267</v>
      </c>
      <c r="AT3299" s="4" t="str">
        <f>[1]!EM_S_IPO_LISTEDDATE(B3299)</f>
        <v>2014-01-23</v>
      </c>
    </row>
    <row r="3300" spans="1:46">
      <c r="A3300">
        <v>1321</v>
      </c>
      <c r="B3300" t="str">
        <f>"002818"</f>
        <v>002818</v>
      </c>
      <c r="C3300" t="s">
        <v>451</v>
      </c>
      <c r="D3300" t="str">
        <f>[1]!EM_S_INFO_INDEX_EM(B3300,"1")</f>
        <v>商贸零售</v>
      </c>
      <c r="E3300" s="4">
        <f t="shared" si="51"/>
        <v>43465</v>
      </c>
      <c r="F3300" s="11">
        <f>[1]!EM_S_PQ_PCTCHANGE(B3300,"2018-01-01","2019-12-31","3")</f>
        <v>-22.996207770000002</v>
      </c>
      <c r="G3300" s="11">
        <f>[1]!EM_S_PQ_PCTCHANGE(B3300,"2018-12-31","2019-12-30","1")</f>
        <v>-38.961038960000003</v>
      </c>
      <c r="H3300" s="11">
        <f>[1]!EM_S_FA_YOY_OR(B3300,E3300)</f>
        <v>12.9654209402</v>
      </c>
      <c r="I3300" s="11">
        <f>[1]!EM_S_FA_GROSSPROFITMARGIN(B3300,E3300)</f>
        <v>70.083667691900004</v>
      </c>
      <c r="J3300" s="11">
        <f>[1]!EM_S_FA_NETPROFITMARGIN(B3300,E3300)</f>
        <v>51.731890582600002</v>
      </c>
      <c r="K3300" s="10">
        <f>[1]!EM_S_FA_ASSETSTURN(B3300,E3300)</f>
        <v>0.25615711249400003</v>
      </c>
      <c r="L3300" s="12">
        <f>[1]!EM_HKS_VAL_MV(B3300,"2019-12-31","2")</f>
        <v>9569660485</v>
      </c>
      <c r="M3300">
        <f>[1]!EM_S_VAL_PETTMDEDUCTED(B3300,E3300)</f>
        <v>13.435421501121001</v>
      </c>
      <c r="N3300" s="7">
        <f>[1]!EM_S_VAL_PBGOODWILLDEDUCTED(B3300,E3300)</f>
        <v>2.0547787948540499</v>
      </c>
      <c r="O3300" s="7">
        <f>[1]!EM_S_VAL_PS_TTM(B3300,E3300)</f>
        <v>6.7212515609243901</v>
      </c>
      <c r="P3300" s="7">
        <f>[1]!EM_S_VAL_PCF_NCFTTM(B3300,E3300)</f>
        <v>18.695505717808501</v>
      </c>
      <c r="Q3300" s="7">
        <f>[1]!EM_S_VAL_DIVIDENDYIELD2(B3300,E3300,"2019-11-29")</f>
        <v>2.4761049604045899</v>
      </c>
      <c r="T3300"/>
      <c r="U3300">
        <f>[1]!EM_S_RATIO_EPS_TTM(B3300,E3300,"1")</f>
        <v>1.6518182786032538</v>
      </c>
      <c r="AT3300" s="4" t="str">
        <f>[1]!EM_S_IPO_LISTEDDATE(B3300)</f>
        <v>2016-11-09</v>
      </c>
    </row>
    <row r="3301" spans="1:46">
      <c r="A3301">
        <v>758</v>
      </c>
      <c r="B3301" t="str">
        <f>"002247"</f>
        <v>002247</v>
      </c>
      <c r="C3301" t="s">
        <v>718</v>
      </c>
      <c r="D3301" t="str">
        <f>[1]!EM_S_INFO_INDEX_EM(B3301,"1")</f>
        <v>互联网</v>
      </c>
      <c r="E3301" s="4">
        <f t="shared" si="51"/>
        <v>43465</v>
      </c>
      <c r="F3301" s="11">
        <f>[1]!EM_S_PQ_PCTCHANGE(B3301,"2018-01-01","2019-12-31","3")</f>
        <v>-78.90051004</v>
      </c>
      <c r="G3301" s="11">
        <f>[1]!EM_S_PQ_PCTCHANGE(B3301,"2018-12-31","2019-12-30","1")</f>
        <v>-39.055793989999998</v>
      </c>
      <c r="H3301" s="11">
        <f>[1]!EM_S_FA_YOY_OR(B3301,E3301)</f>
        <v>21.179311893800001</v>
      </c>
      <c r="I3301" s="11">
        <f>[1]!EM_S_FA_GROSSPROFITMARGIN(B3301,E3301)</f>
        <v>13.3794352654</v>
      </c>
      <c r="J3301" s="11">
        <f>[1]!EM_S_FA_NETPROFITMARGIN(B3301,E3301)</f>
        <v>-83.0153623482</v>
      </c>
      <c r="K3301" s="10">
        <f>[1]!EM_S_FA_ASSETSTURN(B3301,E3301)</f>
        <v>0.76495666123399997</v>
      </c>
      <c r="L3301" s="12">
        <f>[1]!EM_HKS_VAL_MV(B3301,"2019-12-31","2")</f>
        <v>2416470939.1599998</v>
      </c>
      <c r="M3301">
        <f>[1]!EM_S_VAL_PETTMDEDUCTED(B3301,E3301)</f>
        <v>7.8536150203707402</v>
      </c>
      <c r="N3301" s="7">
        <f>[1]!EM_S_VAL_PBGOODWILLDEDUCTED(B3301,E3301)</f>
        <v>2.2671199135368498</v>
      </c>
      <c r="O3301" s="7">
        <f>[1]!EM_S_VAL_PS_TTM(B3301,E3301)</f>
        <v>1.0008441460100399</v>
      </c>
      <c r="P3301" s="7">
        <f>[1]!EM_S_VAL_PCF_NCFTTM(B3301,E3301)</f>
        <v>-146.449519129485</v>
      </c>
      <c r="Q3301" s="7">
        <f>[1]!EM_S_VAL_DIVIDENDYIELD2(B3301,E3301,"2019-11-29")</f>
        <v>0</v>
      </c>
      <c r="T3301"/>
      <c r="U3301">
        <f>[1]!EM_S_RATIO_EPS_TTM(B3301,E3301,"1")</f>
        <v>-3.4047791856638732</v>
      </c>
      <c r="AT3301" s="4" t="str">
        <f>[1]!EM_S_IPO_LISTEDDATE(B3301)</f>
        <v>2008-06-12</v>
      </c>
    </row>
    <row r="3302" spans="1:46">
      <c r="A3302">
        <v>1624</v>
      </c>
      <c r="B3302" t="str">
        <f>"300199"</f>
        <v>300199</v>
      </c>
      <c r="C3302" t="s">
        <v>1053</v>
      </c>
      <c r="D3302" t="str">
        <f>[1]!EM_S_INFO_INDEX_EM(B3302,"1")</f>
        <v>医药生物</v>
      </c>
      <c r="E3302" s="4">
        <f t="shared" si="51"/>
        <v>43465</v>
      </c>
      <c r="F3302" s="11">
        <f>[1]!EM_S_PQ_PCTCHANGE(B3302,"2018-01-01","2019-12-31","3")</f>
        <v>-63.906537319999998</v>
      </c>
      <c r="G3302" s="11">
        <f>[1]!EM_S_PQ_PCTCHANGE(B3302,"2018-12-31","2019-12-30","1")</f>
        <v>-39.079229120000001</v>
      </c>
      <c r="H3302" s="11">
        <f>[1]!EM_S_FA_YOY_OR(B3302,E3302)</f>
        <v>1.4612834188999999</v>
      </c>
      <c r="I3302" s="11">
        <f>[1]!EM_S_FA_GROSSPROFITMARGIN(B3302,E3302)</f>
        <v>85.564649649900005</v>
      </c>
      <c r="J3302" s="11">
        <f>[1]!EM_S_FA_NETPROFITMARGIN(B3302,E3302)</f>
        <v>-26.950913580200002</v>
      </c>
      <c r="K3302" s="10">
        <f>[1]!EM_S_FA_ASSETSTURN(B3302,E3302)</f>
        <v>0.230773732738</v>
      </c>
      <c r="L3302" s="12">
        <f>[1]!EM_HKS_VAL_MV(B3302,"2019-12-31","2")</f>
        <v>5318176832</v>
      </c>
      <c r="M3302">
        <f>[1]!EM_S_VAL_PETTMDEDUCTED(B3302,E3302)</f>
        <v>23.632973592131599</v>
      </c>
      <c r="N3302" s="7">
        <f>[1]!EM_S_VAL_PBGOODWILLDEDUCTED(B3302,E3302)</f>
        <v>2.84484309752618</v>
      </c>
      <c r="O3302" s="7">
        <f>[1]!EM_S_VAL_PS_TTM(B3302,E3302)</f>
        <v>6.0351678713394596</v>
      </c>
      <c r="P3302" s="7">
        <f>[1]!EM_S_VAL_PCF_NCFTTM(B3302,E3302)</f>
        <v>17.8020900183284</v>
      </c>
      <c r="Q3302" s="7">
        <f>[1]!EM_S_VAL_DIVIDENDYIELD2(B3302,E3302,"2019-11-29")</f>
        <v>0</v>
      </c>
      <c r="T3302"/>
      <c r="U3302">
        <f>[1]!EM_S_RATIO_EPS_TTM(B3302,E3302,"1")</f>
        <v>-0.36705417040816057</v>
      </c>
      <c r="AT3302" s="4" t="str">
        <f>[1]!EM_S_IPO_LISTEDDATE(B3302)</f>
        <v>2011-04-07</v>
      </c>
    </row>
    <row r="3303" spans="1:46">
      <c r="A3303">
        <v>1340</v>
      </c>
      <c r="B3303" t="str">
        <f>"002838"</f>
        <v>002838</v>
      </c>
      <c r="C3303" t="s">
        <v>838</v>
      </c>
      <c r="D3303" t="str">
        <f>[1]!EM_S_INFO_INDEX_EM(B3303,"1")</f>
        <v>基础化工</v>
      </c>
      <c r="E3303" s="4">
        <f t="shared" si="51"/>
        <v>43465</v>
      </c>
      <c r="F3303" s="11">
        <f>[1]!EM_S_PQ_PCTCHANGE(B3303,"2018-01-01","2019-12-31","3")</f>
        <v>-16.23101269</v>
      </c>
      <c r="G3303" s="11">
        <f>[1]!EM_S_PQ_PCTCHANGE(B3303,"2018-12-31","2019-12-30","1")</f>
        <v>-39.132914999999997</v>
      </c>
      <c r="H3303" s="11">
        <f>[1]!EM_S_FA_YOY_OR(B3303,E3303)</f>
        <v>45.868185137899999</v>
      </c>
      <c r="I3303" s="11">
        <f>[1]!EM_S_FA_GROSSPROFITMARGIN(B3303,E3303)</f>
        <v>17.455752544500001</v>
      </c>
      <c r="J3303" s="11">
        <f>[1]!EM_S_FA_NETPROFITMARGIN(B3303,E3303)</f>
        <v>9.1322364113999992</v>
      </c>
      <c r="K3303" s="10">
        <f>[1]!EM_S_FA_ASSETSTURN(B3303,E3303)</f>
        <v>1.0008585642300001</v>
      </c>
      <c r="L3303" s="12">
        <f>[1]!EM_HKS_VAL_MV(B3303,"2019-12-31","2")</f>
        <v>4351123975</v>
      </c>
      <c r="M3303">
        <f>[1]!EM_S_VAL_PETTMDEDUCTED(B3303,E3303)</f>
        <v>45.168935536666503</v>
      </c>
      <c r="N3303" s="7">
        <f>[1]!EM_S_VAL_PBGOODWILLDEDUCTED(B3303,E3303)</f>
        <v>4.8129692686267997</v>
      </c>
      <c r="O3303" s="7">
        <f>[1]!EM_S_VAL_PS_TTM(B3303,E3303)</f>
        <v>4.0800297434445403</v>
      </c>
      <c r="P3303" s="7">
        <f>[1]!EM_S_VAL_PCF_NCFTTM(B3303,E3303)</f>
        <v>91.292656966492402</v>
      </c>
      <c r="Q3303" s="7">
        <f>[1]!EM_S_VAL_DIVIDENDYIELD2(B3303,E3303,"2019-11-29")</f>
        <v>0.61576354679802958</v>
      </c>
      <c r="T3303"/>
      <c r="U3303">
        <f>[1]!EM_S_RATIO_EPS_TTM(B3303,E3303,"1")</f>
        <v>0.48581168476190478</v>
      </c>
      <c r="AT3303" s="4" t="str">
        <f>[1]!EM_S_IPO_LISTEDDATE(B3303)</f>
        <v>2017-01-06</v>
      </c>
    </row>
    <row r="3304" spans="1:46">
      <c r="A3304">
        <v>1296</v>
      </c>
      <c r="B3304" t="str">
        <f>"002790"</f>
        <v>002790</v>
      </c>
      <c r="C3304" t="s">
        <v>1967</v>
      </c>
      <c r="D3304" t="str">
        <f>[1]!EM_S_INFO_INDEX_EM(B3304,"1")</f>
        <v>轻工制造</v>
      </c>
      <c r="E3304" s="4">
        <f t="shared" si="51"/>
        <v>43465</v>
      </c>
      <c r="F3304" s="11">
        <f>[1]!EM_S_PQ_PCTCHANGE(B3304,"2018-01-01","2019-12-31","3")</f>
        <v>-34.712870170000002</v>
      </c>
      <c r="G3304" s="11">
        <f>[1]!EM_S_PQ_PCTCHANGE(B3304,"2018-12-31","2019-12-30","1")</f>
        <v>-39.28234183</v>
      </c>
      <c r="H3304" s="11">
        <f>[1]!EM_S_FA_YOY_OR(B3304,E3304)</f>
        <v>8.3357146208999993</v>
      </c>
      <c r="I3304" s="11">
        <f>[1]!EM_S_FA_GROSSPROFITMARGIN(B3304,E3304)</f>
        <v>28.811406247099999</v>
      </c>
      <c r="J3304" s="11">
        <f>[1]!EM_S_FA_NETPROFITMARGIN(B3304,E3304)</f>
        <v>16.2052799756</v>
      </c>
      <c r="K3304" s="10">
        <f>[1]!EM_S_FA_ASSETSTURN(B3304,E3304)</f>
        <v>0.59383549534199997</v>
      </c>
      <c r="L3304" s="12">
        <f>[1]!EM_HKS_VAL_MV(B3304,"2019-12-31","2")</f>
        <v>2650112000</v>
      </c>
      <c r="M3304">
        <f>[1]!EM_S_VAL_PETTMDEDUCTED(B3304,E3304)</f>
        <v>19.968755895927998</v>
      </c>
      <c r="N3304" s="7">
        <f>[1]!EM_S_VAL_PBGOODWILLDEDUCTED(B3304,E3304)</f>
        <v>1.7656163578533799</v>
      </c>
      <c r="O3304" s="7">
        <f>[1]!EM_S_VAL_PS_TTM(B3304,E3304)</f>
        <v>2.8592898706729999</v>
      </c>
      <c r="P3304" s="7">
        <f>[1]!EM_S_VAL_PCF_NCFTTM(B3304,E3304)</f>
        <v>-106.256403651886</v>
      </c>
      <c r="Q3304" s="7">
        <f>[1]!EM_S_VAL_DIVIDENDYIELD2(B3304,E3304,"2019-11-29")</f>
        <v>2.7452415812591511</v>
      </c>
      <c r="T3304"/>
      <c r="U3304">
        <f>[1]!EM_S_RATIO_EPS_TTM(B3304,E3304,"1")</f>
        <v>0.62908468492187497</v>
      </c>
      <c r="AT3304" s="4" t="str">
        <f>[1]!EM_S_IPO_LISTEDDATE(B3304)</f>
        <v>2016-03-08</v>
      </c>
    </row>
    <row r="3305" spans="1:46">
      <c r="A3305">
        <v>1273</v>
      </c>
      <c r="B3305" t="str">
        <f>"002766"</f>
        <v>002766</v>
      </c>
      <c r="C3305" t="s">
        <v>1770</v>
      </c>
      <c r="D3305" t="str">
        <f>[1]!EM_S_INFO_INDEX_EM(B3305,"1")</f>
        <v>信息技术</v>
      </c>
      <c r="E3305" s="4">
        <f t="shared" si="51"/>
        <v>43465</v>
      </c>
      <c r="F3305" s="11">
        <f>[1]!EM_S_PQ_PCTCHANGE(B3305,"2018-01-01","2019-12-31","3")</f>
        <v>-77.756225970000003</v>
      </c>
      <c r="G3305" s="11">
        <f>[1]!EM_S_PQ_PCTCHANGE(B3305,"2018-12-31","2019-12-30","1")</f>
        <v>-39.377289380000001</v>
      </c>
      <c r="H3305" s="11">
        <f>[1]!EM_S_FA_YOY_OR(B3305,E3305)</f>
        <v>0.45137328500000001</v>
      </c>
      <c r="I3305" s="11">
        <f>[1]!EM_S_FA_GROSSPROFITMARGIN(B3305,E3305)</f>
        <v>4.7793975630999999</v>
      </c>
      <c r="J3305" s="11">
        <f>[1]!EM_S_FA_NETPROFITMARGIN(B3305,E3305)</f>
        <v>-63.778877951200002</v>
      </c>
      <c r="K3305" s="10">
        <f>[1]!EM_S_FA_ASSETSTURN(B3305,E3305)</f>
        <v>0.30370111502500002</v>
      </c>
      <c r="L3305" s="12">
        <f>[1]!EM_HKS_VAL_MV(B3305,"2019-12-31","2")</f>
        <v>1324307603.96</v>
      </c>
      <c r="M3305">
        <f>[1]!EM_S_VAL_PETTMDEDUCTED(B3305,E3305)</f>
        <v>25.851836810738199</v>
      </c>
      <c r="N3305" s="7">
        <f>[1]!EM_S_VAL_PBGOODWILLDEDUCTED(B3305,E3305)</f>
        <v>2.8365086554719099</v>
      </c>
      <c r="O3305" s="7">
        <f>[1]!EM_S_VAL_PS_TTM(B3305,E3305)</f>
        <v>1.3840755186502101</v>
      </c>
      <c r="P3305" s="7">
        <f>[1]!EM_S_VAL_PCF_NCFTTM(B3305,E3305)</f>
        <v>-12.029519401925199</v>
      </c>
      <c r="Q3305" s="7">
        <f>[1]!EM_S_VAL_DIVIDENDYIELD2(B3305,E3305,"2019-11-29")</f>
        <v>0</v>
      </c>
      <c r="T3305"/>
      <c r="U3305">
        <f>[1]!EM_S_RATIO_EPS_TTM(B3305,E3305,"1")</f>
        <v>-1.7054311568211891</v>
      </c>
      <c r="AT3305" s="4" t="str">
        <f>[1]!EM_S_IPO_LISTEDDATE(B3305)</f>
        <v>2015-06-11</v>
      </c>
    </row>
    <row r="3306" spans="1:46">
      <c r="A3306">
        <v>923</v>
      </c>
      <c r="B3306" t="str">
        <f>"002412"</f>
        <v>002412</v>
      </c>
      <c r="C3306" t="s">
        <v>830</v>
      </c>
      <c r="D3306" t="str">
        <f>[1]!EM_S_INFO_INDEX_EM(B3306,"1")</f>
        <v>医药生物</v>
      </c>
      <c r="E3306" s="4">
        <f t="shared" si="51"/>
        <v>43465</v>
      </c>
      <c r="F3306" s="11">
        <f>[1]!EM_S_PQ_PCTCHANGE(B3306,"2018-01-01","2019-12-31","3")</f>
        <v>-10.024139379999999</v>
      </c>
      <c r="G3306" s="11">
        <f>[1]!EM_S_PQ_PCTCHANGE(B3306,"2018-12-31","2019-12-30","1")</f>
        <v>-39.408867000000001</v>
      </c>
      <c r="H3306" s="11">
        <f>[1]!EM_S_FA_YOY_OR(B3306,E3306)</f>
        <v>11.0866123157</v>
      </c>
      <c r="I3306" s="11">
        <f>[1]!EM_S_FA_GROSSPROFITMARGIN(B3306,E3306)</f>
        <v>74.3222935119</v>
      </c>
      <c r="J3306" s="11">
        <f>[1]!EM_S_FA_NETPROFITMARGIN(B3306,E3306)</f>
        <v>16.002696818099999</v>
      </c>
      <c r="K3306" s="10">
        <f>[1]!EM_S_FA_ASSETSTURN(B3306,E3306)</f>
        <v>0.52701365848299997</v>
      </c>
      <c r="L3306" s="12">
        <f>[1]!EM_HKS_VAL_MV(B3306,"2019-12-31","2")</f>
        <v>4413064000</v>
      </c>
      <c r="M3306">
        <f>[1]!EM_S_VAL_PETTMDEDUCTED(B3306,E3306)</f>
        <v>32.799056942116202</v>
      </c>
      <c r="N3306" s="7">
        <f>[1]!EM_S_VAL_PBGOODWILLDEDUCTED(B3306,E3306)</f>
        <v>3.5073833671422601</v>
      </c>
      <c r="O3306" s="7">
        <f>[1]!EM_S_VAL_PS_TTM(B3306,E3306)</f>
        <v>4.69348071921757</v>
      </c>
      <c r="P3306" s="7">
        <f>[1]!EM_S_VAL_PCF_NCFTTM(B3306,E3306)</f>
        <v>408.83653669960199</v>
      </c>
      <c r="Q3306" s="7">
        <f>[1]!EM_S_VAL_DIVIDENDYIELD2(B3306,E3306,"2019-11-29")</f>
        <v>0</v>
      </c>
      <c r="T3306"/>
      <c r="U3306">
        <f>[1]!EM_S_RATIO_EPS_TTM(B3306,E3306,"1")</f>
        <v>0.49843525375000003</v>
      </c>
      <c r="AT3306" s="4" t="str">
        <f>[1]!EM_S_IPO_LISTEDDATE(B3306)</f>
        <v>2010-05-25</v>
      </c>
    </row>
    <row r="3307" spans="1:46">
      <c r="A3307">
        <v>3318</v>
      </c>
      <c r="B3307" t="str">
        <f>"603223"</f>
        <v>603223</v>
      </c>
      <c r="C3307" t="s">
        <v>759</v>
      </c>
      <c r="D3307" t="str">
        <f>[1]!EM_S_INFO_INDEX_EM(B3307,"1")</f>
        <v>交通运输</v>
      </c>
      <c r="E3307" s="4">
        <f t="shared" si="51"/>
        <v>43465</v>
      </c>
      <c r="F3307" s="11">
        <f>[1]!EM_S_PQ_PCTCHANGE(B3307,"2018-01-01","2019-12-31","3")</f>
        <v>-47.779731890000001</v>
      </c>
      <c r="G3307" s="11">
        <f>[1]!EM_S_PQ_PCTCHANGE(B3307,"2018-12-31","2019-12-30","1")</f>
        <v>-39.499036609999997</v>
      </c>
      <c r="H3307" s="11">
        <f>[1]!EM_S_FA_YOY_OR(B3307,E3307)</f>
        <v>47.665508706899999</v>
      </c>
      <c r="I3307" s="11">
        <f>[1]!EM_S_FA_GROSSPROFITMARGIN(B3307,E3307)</f>
        <v>3.1891982736000002</v>
      </c>
      <c r="J3307" s="11">
        <f>[1]!EM_S_FA_NETPROFITMARGIN(B3307,E3307)</f>
        <v>1.0318449001000001</v>
      </c>
      <c r="K3307" s="10">
        <f>[1]!EM_S_FA_ASSETSTURN(B3307,E3307)</f>
        <v>4.1166818880970002</v>
      </c>
      <c r="L3307" s="12">
        <f>[1]!EM_HKS_VAL_MV(B3307,"2019-12-31","2")</f>
        <v>1780934400</v>
      </c>
      <c r="M3307">
        <f>[1]!EM_S_VAL_PETTMDEDUCTED(B3307,E3307)</f>
        <v>33.714417736791198</v>
      </c>
      <c r="N3307" s="7">
        <f>[1]!EM_S_VAL_PBGOODWILLDEDUCTED(B3307,E3307)</f>
        <v>2.01216217795504</v>
      </c>
      <c r="O3307" s="7">
        <f>[1]!EM_S_VAL_PS_TTM(B3307,E3307)</f>
        <v>0.39327942047549702</v>
      </c>
      <c r="P3307" s="7">
        <f>[1]!EM_S_VAL_PCF_NCFTTM(B3307,E3307)</f>
        <v>37.409230556737199</v>
      </c>
      <c r="Q3307" s="7">
        <f>[1]!EM_S_VAL_DIVIDENDYIELD2(B3307,E3307,"2019-11-29")</f>
        <v>0.55766492643569054</v>
      </c>
      <c r="T3307"/>
      <c r="U3307">
        <f>[1]!EM_S_RATIO_EPS_TTM(B3307,E3307,"1")</f>
        <v>0.23347971458333333</v>
      </c>
      <c r="AT3307" s="4" t="str">
        <f>[1]!EM_S_IPO_LISTEDDATE(B3307)</f>
        <v>2015-06-30</v>
      </c>
    </row>
    <row r="3308" spans="1:46">
      <c r="A3308">
        <v>3358</v>
      </c>
      <c r="B3308" t="str">
        <f>"603322"</f>
        <v>603322</v>
      </c>
      <c r="C3308" t="s">
        <v>3451</v>
      </c>
      <c r="D3308" t="str">
        <f>[1]!EM_S_INFO_INDEX_EM(B3308,"1")</f>
        <v>信息技术</v>
      </c>
      <c r="E3308" s="4">
        <f t="shared" si="51"/>
        <v>43465</v>
      </c>
      <c r="F3308" s="11">
        <f>[1]!EM_S_PQ_PCTCHANGE(B3308,"2018-01-01","2019-12-31","3")</f>
        <v>-11.447660040000001</v>
      </c>
      <c r="G3308" s="11">
        <f>[1]!EM_S_PQ_PCTCHANGE(B3308,"2018-12-31","2019-12-30","1")</f>
        <v>-39.718392489999999</v>
      </c>
      <c r="H3308" s="11">
        <f>[1]!EM_S_FA_YOY_OR(B3308,E3308)</f>
        <v>46.980847982500002</v>
      </c>
      <c r="I3308" s="11">
        <f>[1]!EM_S_FA_GROSSPROFITMARGIN(B3308,E3308)</f>
        <v>21.301068390600001</v>
      </c>
      <c r="J3308" s="11">
        <f>[1]!EM_S_FA_NETPROFITMARGIN(B3308,E3308)</f>
        <v>3.9098619787</v>
      </c>
      <c r="K3308" s="10">
        <f>[1]!EM_S_FA_ASSETSTURN(B3308,E3308)</f>
        <v>0.79692901425899998</v>
      </c>
      <c r="L3308" s="12">
        <f>[1]!EM_HKS_VAL_MV(B3308,"2019-12-31","2")</f>
        <v>3263442000</v>
      </c>
      <c r="M3308">
        <f>[1]!EM_S_VAL_PETTMDEDUCTED(B3308,E3308)</f>
        <v>223.770767755149</v>
      </c>
      <c r="N3308" s="7">
        <f>[1]!EM_S_VAL_PBGOODWILLDEDUCTED(B3308,E3308)</f>
        <v>11.947703817547</v>
      </c>
      <c r="O3308" s="7">
        <f>[1]!EM_S_VAL_PS_TTM(B3308,E3308)</f>
        <v>3.1081043376760999</v>
      </c>
      <c r="P3308" s="7">
        <f>[1]!EM_S_VAL_PCF_NCFTTM(B3308,E3308)</f>
        <v>42.2282321411355</v>
      </c>
      <c r="Q3308" s="7">
        <f>[1]!EM_S_VAL_DIVIDENDYIELD2(B3308,E3308,"2019-11-29")</f>
        <v>0.33282023547031658</v>
      </c>
      <c r="T3308"/>
      <c r="U3308">
        <f>[1]!EM_S_RATIO_EPS_TTM(B3308,E3308,"1")</f>
        <v>0.22181041276785715</v>
      </c>
      <c r="AT3308" s="4" t="str">
        <f>[1]!EM_S_IPO_LISTEDDATE(B3308)</f>
        <v>2016-07-28</v>
      </c>
    </row>
    <row r="3309" spans="1:46">
      <c r="A3309">
        <v>1647</v>
      </c>
      <c r="B3309" t="str">
        <f>"300222"</f>
        <v>300222</v>
      </c>
      <c r="C3309" t="s">
        <v>1978</v>
      </c>
      <c r="D3309" t="str">
        <f>[1]!EM_S_INFO_INDEX_EM(B3309,"1")</f>
        <v>机械设备</v>
      </c>
      <c r="E3309" s="4">
        <f t="shared" si="51"/>
        <v>43465</v>
      </c>
      <c r="F3309" s="11">
        <f>[1]!EM_S_PQ_PCTCHANGE(B3309,"2018-01-01","2019-12-31","3")</f>
        <v>-52.241363210000003</v>
      </c>
      <c r="G3309" s="11">
        <f>[1]!EM_S_PQ_PCTCHANGE(B3309,"2018-12-31","2019-12-30","1")</f>
        <v>-39.806451610000003</v>
      </c>
      <c r="H3309" s="11">
        <f>[1]!EM_S_FA_YOY_OR(B3309,E3309)</f>
        <v>40.423750570099998</v>
      </c>
      <c r="I3309" s="11">
        <f>[1]!EM_S_FA_GROSSPROFITMARGIN(B3309,E3309)</f>
        <v>33.426958256299997</v>
      </c>
      <c r="J3309" s="11">
        <f>[1]!EM_S_FA_NETPROFITMARGIN(B3309,E3309)</f>
        <v>11.310465434199999</v>
      </c>
      <c r="K3309" s="10">
        <f>[1]!EM_S_FA_ASSETSTURN(B3309,E3309)</f>
        <v>0.51862909840799998</v>
      </c>
      <c r="L3309" s="12">
        <f>[1]!EM_HKS_VAL_MV(B3309,"2019-12-31","2")</f>
        <v>6761923004.6999998</v>
      </c>
      <c r="M3309">
        <f>[1]!EM_S_VAL_PETTMDEDUCTED(B3309,E3309)</f>
        <v>34.4117721163095</v>
      </c>
      <c r="N3309" s="7">
        <f>[1]!EM_S_VAL_PBGOODWILLDEDUCTED(B3309,E3309)</f>
        <v>4.1644758022321202</v>
      </c>
      <c r="O3309" s="7">
        <f>[1]!EM_S_VAL_PS_TTM(B3309,E3309)</f>
        <v>3.69522767060589</v>
      </c>
      <c r="P3309" s="7">
        <f>[1]!EM_S_VAL_PCF_NCFTTM(B3309,E3309)</f>
        <v>27.4019136980897</v>
      </c>
      <c r="Q3309" s="7">
        <f>[1]!EM_S_VAL_DIVIDENDYIELD2(B3309,E3309,"2019-11-29")</f>
        <v>0.94043983498031758</v>
      </c>
      <c r="T3309"/>
      <c r="U3309">
        <f>[1]!EM_S_RATIO_EPS_TTM(B3309,E3309,"1")</f>
        <v>0.53864397137453468</v>
      </c>
      <c r="AT3309" s="4" t="str">
        <f>[1]!EM_S_IPO_LISTEDDATE(B3309)</f>
        <v>2011-05-25</v>
      </c>
    </row>
    <row r="3310" spans="1:46">
      <c r="A3310">
        <v>1228</v>
      </c>
      <c r="B3310" t="str">
        <f>"002718"</f>
        <v>002718</v>
      </c>
      <c r="C3310" t="s">
        <v>2227</v>
      </c>
      <c r="D3310" t="str">
        <f>[1]!EM_S_INFO_INDEX_EM(B3310,"1")</f>
        <v>建材</v>
      </c>
      <c r="E3310" s="4">
        <f t="shared" si="51"/>
        <v>43465</v>
      </c>
      <c r="F3310" s="11">
        <f>[1]!EM_S_PQ_PCTCHANGE(B3310,"2018-01-01","2019-12-31","3")</f>
        <v>-43.289250819999999</v>
      </c>
      <c r="G3310" s="11">
        <f>[1]!EM_S_PQ_PCTCHANGE(B3310,"2018-12-31","2019-12-30","1")</f>
        <v>-39.81884058</v>
      </c>
      <c r="H3310" s="11">
        <f>[1]!EM_S_FA_YOY_OR(B3310,E3310)</f>
        <v>8.6053107281999992</v>
      </c>
      <c r="I3310" s="11">
        <f>[1]!EM_S_FA_GROSSPROFITMARGIN(B3310,E3310)</f>
        <v>36.435140355100003</v>
      </c>
      <c r="J3310" s="11">
        <f>[1]!EM_S_FA_NETPROFITMARGIN(B3310,E3310)</f>
        <v>14.0221104805</v>
      </c>
      <c r="K3310" s="10">
        <f>[1]!EM_S_FA_ASSETSTURN(B3310,E3310)</f>
        <v>0.49244527369199997</v>
      </c>
      <c r="L3310" s="12">
        <f>[1]!EM_HKS_VAL_MV(B3310,"2019-12-31","2")</f>
        <v>2200436657.46</v>
      </c>
      <c r="M3310">
        <f>[1]!EM_S_VAL_PETTMDEDUCTED(B3310,E3310)</f>
        <v>29.569127670315901</v>
      </c>
      <c r="N3310" s="7">
        <f>[1]!EM_S_VAL_PBGOODWILLDEDUCTED(B3310,E3310)</f>
        <v>2.0424694719834799</v>
      </c>
      <c r="O3310" s="7">
        <f>[1]!EM_S_VAL_PS_TTM(B3310,E3310)</f>
        <v>3.2192469330728199</v>
      </c>
      <c r="P3310" s="7">
        <f>[1]!EM_S_VAL_PCF_NCFTTM(B3310,E3310)</f>
        <v>-109.322782608078</v>
      </c>
      <c r="Q3310" s="7">
        <f>[1]!EM_S_VAL_DIVIDENDYIELD2(B3310,E3310,"2019-11-29")</f>
        <v>1.1325028312570782</v>
      </c>
      <c r="T3310"/>
      <c r="U3310">
        <f>[1]!EM_S_RATIO_EPS_TTM(B3310,E3310,"1")</f>
        <v>1.1914080312045321</v>
      </c>
      <c r="AT3310" s="4" t="str">
        <f>[1]!EM_S_IPO_LISTEDDATE(B3310)</f>
        <v>2014-01-28</v>
      </c>
    </row>
    <row r="3311" spans="1:46">
      <c r="A3311">
        <v>2135</v>
      </c>
      <c r="B3311" t="str">
        <f>"300720"</f>
        <v>300720</v>
      </c>
      <c r="C3311" t="s">
        <v>1901</v>
      </c>
      <c r="D3311" t="str">
        <f>[1]!EM_S_INFO_INDEX_EM(B3311,"1")</f>
        <v>机械设备</v>
      </c>
      <c r="E3311" s="4">
        <f t="shared" si="51"/>
        <v>43465</v>
      </c>
      <c r="F3311" s="11">
        <f>[1]!EM_S_PQ_PCTCHANGE(B3311,"2018-01-01","2019-12-31","3")</f>
        <v>-25.8112563</v>
      </c>
      <c r="G3311" s="11">
        <f>[1]!EM_S_PQ_PCTCHANGE(B3311,"2018-12-31","2019-12-30","1")</f>
        <v>-39.92932862</v>
      </c>
      <c r="H3311" s="11">
        <f>[1]!EM_S_FA_YOY_OR(B3311,E3311)</f>
        <v>7.6101072960999998</v>
      </c>
      <c r="I3311" s="11">
        <f>[1]!EM_S_FA_GROSSPROFITMARGIN(B3311,E3311)</f>
        <v>60.489839507600003</v>
      </c>
      <c r="J3311" s="11">
        <f>[1]!EM_S_FA_NETPROFITMARGIN(B3311,E3311)</f>
        <v>28.779663383399999</v>
      </c>
      <c r="K3311" s="10">
        <f>[1]!EM_S_FA_ASSETSTURN(B3311,E3311)</f>
        <v>0.34041144563499998</v>
      </c>
      <c r="L3311" s="12">
        <f>[1]!EM_HKS_VAL_MV(B3311,"2019-12-31","2")</f>
        <v>1655640000</v>
      </c>
      <c r="M3311">
        <f>[1]!EM_S_VAL_PETTMDEDUCTED(B3311,E3311)</f>
        <v>48.122469259563303</v>
      </c>
      <c r="N3311" s="7">
        <f>[1]!EM_S_VAL_PBGOODWILLDEDUCTED(B3311,E3311)</f>
        <v>4.0255384604654596</v>
      </c>
      <c r="O3311" s="7">
        <f>[1]!EM_S_VAL_PS_TTM(B3311,E3311)</f>
        <v>11.139255126364301</v>
      </c>
      <c r="P3311" s="7">
        <f>[1]!EM_S_VAL_PCF_NCFTTM(B3311,E3311)</f>
        <v>-580.44460954340002</v>
      </c>
      <c r="Q3311" s="7">
        <f>[1]!EM_S_VAL_DIVIDENDYIELD2(B3311,E3311,"2019-11-29")</f>
        <v>1.4214641080312722</v>
      </c>
      <c r="T3311"/>
      <c r="U3311">
        <f>[1]!EM_S_RATIO_EPS_TTM(B3311,E3311,"1")</f>
        <v>0.6477898488888888</v>
      </c>
      <c r="AT3311" s="4" t="str">
        <f>[1]!EM_S_IPO_LISTEDDATE(B3311)</f>
        <v>2017-11-06</v>
      </c>
    </row>
    <row r="3312" spans="1:46">
      <c r="A3312">
        <v>1938</v>
      </c>
      <c r="B3312" t="str">
        <f>"300513"</f>
        <v>300513</v>
      </c>
      <c r="C3312" t="s">
        <v>2914</v>
      </c>
      <c r="D3312" t="str">
        <f>[1]!EM_S_INFO_INDEX_EM(B3312,"1")</f>
        <v>信息技术</v>
      </c>
      <c r="E3312" s="4">
        <f t="shared" si="51"/>
        <v>43465</v>
      </c>
      <c r="F3312" s="11">
        <f>[1]!EM_S_PQ_PCTCHANGE(B3312,"2018-01-01","2019-12-31","3")</f>
        <v>-26.332177560000002</v>
      </c>
      <c r="G3312" s="11">
        <f>[1]!EM_S_PQ_PCTCHANGE(B3312,"2018-12-31","2019-12-30","1")</f>
        <v>-40</v>
      </c>
      <c r="H3312" s="11">
        <f>[1]!EM_S_FA_YOY_OR(B3312,E3312)</f>
        <v>99.968735864699994</v>
      </c>
      <c r="I3312" s="11">
        <f>[1]!EM_S_FA_GROSSPROFITMARGIN(B3312,E3312)</f>
        <v>30.993214817799998</v>
      </c>
      <c r="J3312" s="11">
        <f>[1]!EM_S_FA_NETPROFITMARGIN(B3312,E3312)</f>
        <v>11.099799605399999</v>
      </c>
      <c r="K3312" s="10">
        <f>[1]!EM_S_FA_ASSETSTURN(B3312,E3312)</f>
        <v>0.54213406961099997</v>
      </c>
      <c r="L3312" s="12">
        <f>[1]!EM_HKS_VAL_MV(B3312,"2019-12-31","2")</f>
        <v>4263062796.4499998</v>
      </c>
      <c r="M3312">
        <f>[1]!EM_S_VAL_PETTMDEDUCTED(B3312,E3312)</f>
        <v>35.597822713798998</v>
      </c>
      <c r="N3312" s="7">
        <f>[1]!EM_S_VAL_PBGOODWILLDEDUCTED(B3312,E3312)</f>
        <v>3.6168285998685699</v>
      </c>
      <c r="O3312" s="7">
        <f>[1]!EM_S_VAL_PS_TTM(B3312,E3312)</f>
        <v>4.4487105743971496</v>
      </c>
      <c r="P3312" s="7">
        <f>[1]!EM_S_VAL_PCF_NCFTTM(B3312,E3312)</f>
        <v>-75.221581180168002</v>
      </c>
      <c r="Q3312" s="7">
        <f>[1]!EM_S_VAL_DIVIDENDYIELD2(B3312,E3312,"2019-11-29")</f>
        <v>0.67312870263702862</v>
      </c>
      <c r="T3312"/>
      <c r="U3312">
        <f>[1]!EM_S_RATIO_EPS_TTM(B3312,E3312,"1")</f>
        <v>0.67467876780469771</v>
      </c>
      <c r="AT3312" s="4" t="str">
        <f>[1]!EM_S_IPO_LISTEDDATE(B3312)</f>
        <v>2016-05-30</v>
      </c>
    </row>
    <row r="3313" spans="1:46">
      <c r="A3313">
        <v>1020</v>
      </c>
      <c r="B3313" t="str">
        <f>"002509"</f>
        <v>002509</v>
      </c>
      <c r="C3313" t="s">
        <v>2161</v>
      </c>
      <c r="D3313" t="str">
        <f>[1]!EM_S_INFO_INDEX_EM(B3313,"1")</f>
        <v>建筑</v>
      </c>
      <c r="E3313" s="4">
        <f t="shared" si="51"/>
        <v>43465</v>
      </c>
      <c r="F3313" s="11">
        <f>[1]!EM_S_PQ_PCTCHANGE(B3313,"2018-01-01","2019-12-31","3")</f>
        <v>-84.182837399999997</v>
      </c>
      <c r="G3313" s="11">
        <f>[1]!EM_S_PQ_PCTCHANGE(B3313,"2018-12-31","2019-12-30","1")</f>
        <v>-40.084388189999999</v>
      </c>
      <c r="H3313" s="11">
        <f>[1]!EM_S_FA_YOY_OR(B3313,E3313)</f>
        <v>-37.686240932399997</v>
      </c>
      <c r="I3313" s="11">
        <f>[1]!EM_S_FA_GROSSPROFITMARGIN(B3313,E3313)</f>
        <v>27.617651476300001</v>
      </c>
      <c r="J3313" s="11">
        <f>[1]!EM_S_FA_NETPROFITMARGIN(B3313,E3313)</f>
        <v>-21.0240717816</v>
      </c>
      <c r="K3313" s="10">
        <f>[1]!EM_S_FA_ASSETSTURN(B3313,E3313)</f>
        <v>0.23940657071099999</v>
      </c>
      <c r="L3313" s="12">
        <f>[1]!EM_HKS_VAL_MV(B3313,"2019-12-31","2")</f>
        <v>3539339628.3200002</v>
      </c>
      <c r="M3313">
        <f>[1]!EM_S_VAL_PETTMDEDUCTED(B3313,E3313)</f>
        <v>13.177302365996001</v>
      </c>
      <c r="N3313" s="7">
        <f>[1]!EM_S_VAL_PBGOODWILLDEDUCTED(B3313,E3313)</f>
        <v>1.5394480919698601</v>
      </c>
      <c r="O3313" s="7">
        <f>[1]!EM_S_VAL_PS_TTM(B3313,E3313)</f>
        <v>2.0394506017649201</v>
      </c>
      <c r="P3313" s="7">
        <f>[1]!EM_S_VAL_PCF_NCFTTM(B3313,E3313)</f>
        <v>-215.59734815169</v>
      </c>
      <c r="Q3313" s="7">
        <f>[1]!EM_S_VAL_DIVIDENDYIELD2(B3313,E3313,"2019-11-29")</f>
        <v>0</v>
      </c>
      <c r="T3313"/>
      <c r="U3313">
        <f>[1]!EM_S_RATIO_EPS_TTM(B3313,E3313,"1")</f>
        <v>-0.18116187118808713</v>
      </c>
      <c r="AT3313" s="4" t="str">
        <f>[1]!EM_S_IPO_LISTEDDATE(B3313)</f>
        <v>2010-11-23</v>
      </c>
    </row>
    <row r="3314" spans="1:46">
      <c r="A3314">
        <v>3453</v>
      </c>
      <c r="B3314" t="str">
        <f>"603603"</f>
        <v>603603</v>
      </c>
      <c r="C3314" t="s">
        <v>890</v>
      </c>
      <c r="D3314" t="str">
        <f>[1]!EM_S_INFO_INDEX_EM(B3314,"1")</f>
        <v>公用事业</v>
      </c>
      <c r="E3314" s="4">
        <f t="shared" si="51"/>
        <v>43465</v>
      </c>
      <c r="F3314" s="11">
        <f>[1]!EM_S_PQ_PCTCHANGE(B3314,"2018-01-01","2019-12-31","3")</f>
        <v>-73.394132130000003</v>
      </c>
      <c r="G3314" s="11">
        <f>[1]!EM_S_PQ_PCTCHANGE(B3314,"2018-12-31","2019-12-30","1")</f>
        <v>-40.270270269999997</v>
      </c>
      <c r="H3314" s="11">
        <f>[1]!EM_S_FA_YOY_OR(B3314,E3314)</f>
        <v>42.345014537499999</v>
      </c>
      <c r="I3314" s="11">
        <f>[1]!EM_S_FA_GROSSPROFITMARGIN(B3314,E3314)</f>
        <v>21.354041632600001</v>
      </c>
      <c r="J3314" s="11">
        <f>[1]!EM_S_FA_NETPROFITMARGIN(B3314,E3314)</f>
        <v>4.2316480478000003</v>
      </c>
      <c r="K3314" s="10">
        <f>[1]!EM_S_FA_ASSETSTURN(B3314,E3314)</f>
        <v>0.42064131009</v>
      </c>
      <c r="L3314" s="12">
        <f>[1]!EM_HKS_VAL_MV(B3314,"2019-12-31","2")</f>
        <v>3835257634.0799999</v>
      </c>
      <c r="M3314">
        <f>[1]!EM_S_VAL_PETTMDEDUCTED(B3314,E3314)</f>
        <v>26.8043089685994</v>
      </c>
      <c r="N3314" s="7">
        <f>[1]!EM_S_VAL_PBGOODWILLDEDUCTED(B3314,E3314)</f>
        <v>4.55775183739898</v>
      </c>
      <c r="O3314" s="7">
        <f>[1]!EM_S_VAL_PS_TTM(B3314,E3314)</f>
        <v>1.33611747889065</v>
      </c>
      <c r="P3314" s="7">
        <f>[1]!EM_S_VAL_PCF_NCFTTM(B3314,E3314)</f>
        <v>-25.942263622331001</v>
      </c>
      <c r="Q3314" s="7">
        <f>[1]!EM_S_VAL_DIVIDENDYIELD2(B3314,E3314,"2019-11-29")</f>
        <v>1.065621222608409</v>
      </c>
      <c r="T3314"/>
      <c r="U3314">
        <f>[1]!EM_S_RATIO_EPS_TTM(B3314,E3314,"1")</f>
        <v>0.46043605241925439</v>
      </c>
      <c r="AT3314" s="4" t="str">
        <f>[1]!EM_S_IPO_LISTEDDATE(B3314)</f>
        <v>2017-02-17</v>
      </c>
    </row>
    <row r="3315" spans="1:46">
      <c r="A3315">
        <v>1376</v>
      </c>
      <c r="B3315" t="str">
        <f>"002877"</f>
        <v>002877</v>
      </c>
      <c r="C3315" t="s">
        <v>1513</v>
      </c>
      <c r="D3315" t="str">
        <f>[1]!EM_S_INFO_INDEX_EM(B3315,"1")</f>
        <v>机械设备</v>
      </c>
      <c r="E3315" s="4">
        <f t="shared" si="51"/>
        <v>43465</v>
      </c>
      <c r="F3315" s="11">
        <f>[1]!EM_S_PQ_PCTCHANGE(B3315,"2018-01-01","2019-12-31","3")</f>
        <v>-1.22804881</v>
      </c>
      <c r="G3315" s="11">
        <f>[1]!EM_S_PQ_PCTCHANGE(B3315,"2018-12-31","2019-12-30","1")</f>
        <v>-40.412371129999997</v>
      </c>
      <c r="H3315" s="11">
        <f>[1]!EM_S_FA_YOY_OR(B3315,E3315)</f>
        <v>22.323599389799998</v>
      </c>
      <c r="I3315" s="11">
        <f>[1]!EM_S_FA_GROSSPROFITMARGIN(B3315,E3315)</f>
        <v>38.181601044200001</v>
      </c>
      <c r="J3315" s="11">
        <f>[1]!EM_S_FA_NETPROFITMARGIN(B3315,E3315)</f>
        <v>16.7646842722</v>
      </c>
      <c r="K3315" s="10">
        <f>[1]!EM_S_FA_ASSETSTURN(B3315,E3315)</f>
        <v>0.413518416941</v>
      </c>
      <c r="L3315" s="12">
        <f>[1]!EM_HKS_VAL_MV(B3315,"2019-12-31","2")</f>
        <v>2849463296</v>
      </c>
      <c r="M3315">
        <f>[1]!EM_S_VAL_PETTMDEDUCTED(B3315,E3315)</f>
        <v>67.1209161767583</v>
      </c>
      <c r="N3315" s="7">
        <f>[1]!EM_S_VAL_PBGOODWILLDEDUCTED(B3315,E3315)</f>
        <v>4.7284366406540297</v>
      </c>
      <c r="O3315" s="7">
        <f>[1]!EM_S_VAL_PS_TTM(B3315,E3315)</f>
        <v>8.3340281160400593</v>
      </c>
      <c r="P3315" s="7">
        <f>[1]!EM_S_VAL_PCF_NCFTTM(B3315,E3315)</f>
        <v>113.842387797749</v>
      </c>
      <c r="Q3315" s="7">
        <f>[1]!EM_S_VAL_DIVIDENDYIELD2(B3315,E3315,"2019-11-29")</f>
        <v>0.49342105263157893</v>
      </c>
      <c r="T3315"/>
      <c r="U3315">
        <f>[1]!EM_S_RATIO_EPS_TTM(B3315,E3315,"1")</f>
        <v>0.30337515163035106</v>
      </c>
      <c r="AT3315" s="4" t="str">
        <f>[1]!EM_S_IPO_LISTEDDATE(B3315)</f>
        <v>2017-06-05</v>
      </c>
    </row>
    <row r="3316" spans="1:46">
      <c r="A3316">
        <v>3562</v>
      </c>
      <c r="B3316" t="str">
        <f>"603843"</f>
        <v>603843</v>
      </c>
      <c r="C3316" t="s">
        <v>1692</v>
      </c>
      <c r="D3316" t="str">
        <f>[1]!EM_S_INFO_INDEX_EM(B3316,"1")</f>
        <v>建筑</v>
      </c>
      <c r="E3316" s="4">
        <f t="shared" si="51"/>
        <v>43465</v>
      </c>
      <c r="F3316" s="11">
        <f>[1]!EM_S_PQ_PCTCHANGE(B3316,"2018-01-01","2019-12-31","3")</f>
        <v>-55.033955030000001</v>
      </c>
      <c r="G3316" s="11">
        <f>[1]!EM_S_PQ_PCTCHANGE(B3316,"2018-12-31","2019-12-30","1")</f>
        <v>-40.512820509999997</v>
      </c>
      <c r="H3316" s="11">
        <f>[1]!EM_S_FA_YOY_OR(B3316,E3316)</f>
        <v>83.717168748500001</v>
      </c>
      <c r="I3316" s="11">
        <f>[1]!EM_S_FA_GROSSPROFITMARGIN(B3316,E3316)</f>
        <v>11.431413596600001</v>
      </c>
      <c r="J3316" s="11">
        <f>[1]!EM_S_FA_NETPROFITMARGIN(B3316,E3316)</f>
        <v>3.3602049702999999</v>
      </c>
      <c r="K3316" s="10">
        <f>[1]!EM_S_FA_ASSETSTURN(B3316,E3316)</f>
        <v>0.59869257588400004</v>
      </c>
      <c r="L3316" s="12">
        <f>[1]!EM_HKS_VAL_MV(B3316,"2019-12-31","2")</f>
        <v>2620819656</v>
      </c>
      <c r="M3316">
        <f>[1]!EM_S_VAL_PETTMDEDUCTED(B3316,E3316)</f>
        <v>50.226936265448003</v>
      </c>
      <c r="N3316" s="7">
        <f>[1]!EM_S_VAL_PBGOODWILLDEDUCTED(B3316,E3316)</f>
        <v>2.40614297512984</v>
      </c>
      <c r="O3316" s="7">
        <f>[1]!EM_S_VAL_PS_TTM(B3316,E3316)</f>
        <v>1.4061813275414901</v>
      </c>
      <c r="P3316" s="7">
        <f>[1]!EM_S_VAL_PCF_NCFTTM(B3316,E3316)</f>
        <v>-7.5797497890239098</v>
      </c>
      <c r="Q3316" s="7">
        <f>[1]!EM_S_VAL_DIVIDENDYIELD2(B3316,E3316,"2019-11-29")</f>
        <v>0.46583850931677018</v>
      </c>
      <c r="T3316"/>
      <c r="U3316">
        <f>[1]!EM_S_RATIO_EPS_TTM(B3316,E3316,"1")</f>
        <v>0.17444093799296503</v>
      </c>
      <c r="AT3316" s="4" t="str">
        <f>[1]!EM_S_IPO_LISTEDDATE(B3316)</f>
        <v>2016-09-05</v>
      </c>
    </row>
    <row r="3317" spans="1:46">
      <c r="A3317">
        <v>3033</v>
      </c>
      <c r="B3317" t="str">
        <f>"601015"</f>
        <v>601015</v>
      </c>
      <c r="C3317" t="s">
        <v>1868</v>
      </c>
      <c r="D3317" t="str">
        <f>[1]!EM_S_INFO_INDEX_EM(B3317,"1")</f>
        <v>化石能源</v>
      </c>
      <c r="E3317" s="4">
        <f t="shared" si="51"/>
        <v>43465</v>
      </c>
      <c r="F3317" s="11">
        <f>[1]!EM_S_PQ_PCTCHANGE(B3317,"2018-01-01","2019-12-31","3")</f>
        <v>-59.683368119999997</v>
      </c>
      <c r="G3317" s="11">
        <f>[1]!EM_S_PQ_PCTCHANGE(B3317,"2018-12-31","2019-12-30","1")</f>
        <v>-40.866290020000001</v>
      </c>
      <c r="H3317" s="11">
        <f>[1]!EM_S_FA_YOY_OR(B3317,E3317)</f>
        <v>9.2745807060000001</v>
      </c>
      <c r="I3317" s="11">
        <f>[1]!EM_S_FA_GROSSPROFITMARGIN(B3317,E3317)</f>
        <v>13.333616145800001</v>
      </c>
      <c r="J3317" s="11">
        <f>[1]!EM_S_FA_NETPROFITMARGIN(B3317,E3317)</f>
        <v>4.3422633631999998</v>
      </c>
      <c r="K3317" s="10">
        <f>[1]!EM_S_FA_ASSETSTURN(B3317,E3317)</f>
        <v>0.73381230548800003</v>
      </c>
      <c r="L3317" s="12">
        <f>[1]!EM_HKS_VAL_MV(B3317,"2019-12-31","2")</f>
        <v>5215326313.6000004</v>
      </c>
      <c r="M3317">
        <f>[1]!EM_S_VAL_PETTMDEDUCTED(B3317,E3317)</f>
        <v>26.997843436132399</v>
      </c>
      <c r="N3317" s="7">
        <f>[1]!EM_S_VAL_PBGOODWILLDEDUCTED(B3317,E3317)</f>
        <v>1.16765596720774</v>
      </c>
      <c r="O3317" s="7">
        <f>[1]!EM_S_VAL_PS_TTM(B3317,E3317)</f>
        <v>0.72406675091881001</v>
      </c>
      <c r="P3317" s="7">
        <f>[1]!EM_S_VAL_PCF_NCFTTM(B3317,E3317)</f>
        <v>16.822633323898899</v>
      </c>
      <c r="Q3317" s="7">
        <f>[1]!EM_S_VAL_DIVIDENDYIELD2(B3317,E3317,"2019-11-29")</f>
        <v>1.2693577050012694</v>
      </c>
      <c r="T3317"/>
      <c r="U3317">
        <f>[1]!EM_S_RATIO_EPS_TTM(B3317,E3317,"1")</f>
        <v>0.25944822465300094</v>
      </c>
      <c r="AT3317" s="4" t="str">
        <f>[1]!EM_S_IPO_LISTEDDATE(B3317)</f>
        <v>2014-11-05</v>
      </c>
    </row>
    <row r="3318" spans="1:46">
      <c r="A3318">
        <v>3304</v>
      </c>
      <c r="B3318" t="str">
        <f>"603183"</f>
        <v>603183</v>
      </c>
      <c r="C3318" t="s">
        <v>1985</v>
      </c>
      <c r="D3318" t="str">
        <f>[1]!EM_S_INFO_INDEX_EM(B3318,"1")</f>
        <v>综合</v>
      </c>
      <c r="E3318" s="4">
        <f t="shared" si="51"/>
        <v>43465</v>
      </c>
      <c r="F3318" s="11">
        <f>[1]!EM_S_PQ_PCTCHANGE(B3318,"2018-01-01","2019-12-31","3")</f>
        <v>-46.184213190000001</v>
      </c>
      <c r="G3318" s="11">
        <f>[1]!EM_S_PQ_PCTCHANGE(B3318,"2018-12-31","2019-12-30","1")</f>
        <v>-40.9268565</v>
      </c>
      <c r="H3318" s="11">
        <f>[1]!EM_S_FA_YOY_OR(B3318,E3318)</f>
        <v>11.400705374799999</v>
      </c>
      <c r="I3318" s="11">
        <f>[1]!EM_S_FA_GROSSPROFITMARGIN(B3318,E3318)</f>
        <v>46.700374415399999</v>
      </c>
      <c r="J3318" s="11">
        <f>[1]!EM_S_FA_NETPROFITMARGIN(B3318,E3318)</f>
        <v>12.7851358337</v>
      </c>
      <c r="K3318" s="10">
        <f>[1]!EM_S_FA_ASSETSTURN(B3318,E3318)</f>
        <v>0.54927932106099997</v>
      </c>
      <c r="L3318" s="12">
        <f>[1]!EM_HKS_VAL_MV(B3318,"2019-12-31","2")</f>
        <v>2030806536.6400001</v>
      </c>
      <c r="M3318">
        <f>[1]!EM_S_VAL_PETTMDEDUCTED(B3318,E3318)</f>
        <v>38.090594074914399</v>
      </c>
      <c r="N3318" s="7">
        <f>[1]!EM_S_VAL_PBGOODWILLDEDUCTED(B3318,E3318)</f>
        <v>3.4327504945156599</v>
      </c>
      <c r="O3318" s="7">
        <f>[1]!EM_S_VAL_PS_TTM(B3318,E3318)</f>
        <v>4.6395185423235397</v>
      </c>
      <c r="P3318" s="7">
        <f>[1]!EM_S_VAL_PCF_NCFTTM(B3318,E3318)</f>
        <v>-15.5601443421182</v>
      </c>
      <c r="Q3318" s="7">
        <f>[1]!EM_S_VAL_DIVIDENDYIELD2(B3318,E3318,"2019-11-29")</f>
        <v>0.71544701560810342</v>
      </c>
      <c r="T3318"/>
      <c r="U3318">
        <f>[1]!EM_S_RATIO_EPS_TTM(B3318,E3318,"1")</f>
        <v>0.51633677380419496</v>
      </c>
      <c r="AT3318" s="4" t="str">
        <f>[1]!EM_S_IPO_LISTEDDATE(B3318)</f>
        <v>2017-09-05</v>
      </c>
    </row>
    <row r="3319" spans="1:46">
      <c r="A3319">
        <v>2233</v>
      </c>
      <c r="B3319" t="str">
        <f>"600086"</f>
        <v>600086</v>
      </c>
      <c r="C3319" t="s">
        <v>444</v>
      </c>
      <c r="D3319" t="str">
        <f>[1]!EM_S_INFO_INDEX_EM(B3319,"1")</f>
        <v>轻工制造</v>
      </c>
      <c r="E3319" s="4">
        <f t="shared" si="51"/>
        <v>43465</v>
      </c>
      <c r="F3319" s="11">
        <f>[1]!EM_S_PQ_PCTCHANGE(B3319,"2018-01-01","2019-12-31","3")</f>
        <v>-73.990610329999996</v>
      </c>
      <c r="G3319" s="11">
        <f>[1]!EM_S_PQ_PCTCHANGE(B3319,"2018-12-31","2019-12-30","1")</f>
        <v>-40.997830800000003</v>
      </c>
      <c r="H3319" s="11">
        <f>[1]!EM_S_FA_YOY_OR(B3319,E3319)</f>
        <v>-68.081308810899998</v>
      </c>
      <c r="I3319" s="11">
        <f>[1]!EM_S_FA_GROSSPROFITMARGIN(B3319,E3319)</f>
        <v>-5.2224896262999998</v>
      </c>
      <c r="J3319" s="11">
        <f>[1]!EM_S_FA_NETPROFITMARGIN(B3319,E3319)</f>
        <v>-58.038161203400001</v>
      </c>
      <c r="K3319" s="10">
        <f>[1]!EM_S_FA_ASSETSTURN(B3319,E3319)</f>
        <v>0.24678125158899999</v>
      </c>
      <c r="L3319" s="12">
        <f>[1]!EM_HKS_VAL_MV(B3319,"2019-12-31","2")</f>
        <v>3739500000</v>
      </c>
      <c r="M3319">
        <f>[1]!EM_S_VAL_PETTMDEDUCTED(B3319,E3319)</f>
        <v>-31.917092140531601</v>
      </c>
      <c r="N3319" s="7">
        <f>[1]!EM_S_VAL_PBGOODWILLDEDUCTED(B3319,E3319)</f>
        <v>4.1797413184118701</v>
      </c>
      <c r="O3319" s="7">
        <f>[1]!EM_S_VAL_PS_TTM(B3319,E3319)</f>
        <v>1.29303105741827</v>
      </c>
      <c r="P3319" s="7">
        <f>[1]!EM_S_VAL_PCF_NCFTTM(B3319,E3319)</f>
        <v>-83.367986025618507</v>
      </c>
      <c r="Q3319" s="7">
        <f>[1]!EM_S_VAL_DIVIDENDYIELD2(B3319,E3319,"2019-11-29")</f>
        <v>0</v>
      </c>
      <c r="T3319"/>
      <c r="U3319">
        <f>[1]!EM_S_RATIO_EPS_TTM(B3319,E3319,"1")</f>
        <v>-1.2729259986740742</v>
      </c>
      <c r="AT3319" s="4" t="str">
        <f>[1]!EM_S_IPO_LISTEDDATE(B3319)</f>
        <v>1997-06-06</v>
      </c>
    </row>
    <row r="3320" spans="1:46">
      <c r="A3320">
        <v>1931</v>
      </c>
      <c r="B3320" t="str">
        <f>"300506"</f>
        <v>300506</v>
      </c>
      <c r="C3320" t="s">
        <v>367</v>
      </c>
      <c r="D3320" t="str">
        <f>[1]!EM_S_INFO_INDEX_EM(B3320,"1")</f>
        <v>建筑</v>
      </c>
      <c r="E3320" s="4">
        <f t="shared" si="51"/>
        <v>43465</v>
      </c>
      <c r="F3320" s="11">
        <f>[1]!EM_S_PQ_PCTCHANGE(B3320,"2018-01-01","2019-12-31","3")</f>
        <v>-26.204302689999999</v>
      </c>
      <c r="G3320" s="11">
        <f>[1]!EM_S_PQ_PCTCHANGE(B3320,"2018-12-31","2019-12-30","1")</f>
        <v>-41.041666669999998</v>
      </c>
      <c r="H3320" s="11">
        <f>[1]!EM_S_FA_YOY_OR(B3320,E3320)</f>
        <v>91.608862481900005</v>
      </c>
      <c r="I3320" s="11">
        <f>[1]!EM_S_FA_GROSSPROFITMARGIN(B3320,E3320)</f>
        <v>52.833136747799998</v>
      </c>
      <c r="J3320" s="11">
        <f>[1]!EM_S_FA_NETPROFITMARGIN(B3320,E3320)</f>
        <v>26.326961022500001</v>
      </c>
      <c r="K3320" s="10">
        <f>[1]!EM_S_FA_ASSETSTURN(B3320,E3320)</f>
        <v>0.51965786825000004</v>
      </c>
      <c r="L3320" s="12">
        <f>[1]!EM_HKS_VAL_MV(B3320,"2019-12-31","2")</f>
        <v>5613742300.3199997</v>
      </c>
      <c r="M3320">
        <f>[1]!EM_S_VAL_PETTMDEDUCTED(B3320,E3320)</f>
        <v>15.8822590099736</v>
      </c>
      <c r="N3320" s="7">
        <f>[1]!EM_S_VAL_PBGOODWILLDEDUCTED(B3320,E3320)</f>
        <v>2.9250499986055098</v>
      </c>
      <c r="O3320" s="7">
        <f>[1]!EM_S_VAL_PS_TTM(B3320,E3320)</f>
        <v>3.9944746035729199</v>
      </c>
      <c r="P3320" s="7">
        <f>[1]!EM_S_VAL_PCF_NCFTTM(B3320,E3320)</f>
        <v>7.5160885139067801</v>
      </c>
      <c r="Q3320" s="7">
        <f>[1]!EM_S_VAL_DIVIDENDYIELD2(B3320,E3320,"2019-11-29")</f>
        <v>0.32935906750652311</v>
      </c>
      <c r="T3320"/>
      <c r="U3320">
        <f>[1]!EM_S_RATIO_EPS_TTM(B3320,E3320,"1")</f>
        <v>0.91587590885260828</v>
      </c>
      <c r="AT3320" s="4" t="str">
        <f>[1]!EM_S_IPO_LISTEDDATE(B3320)</f>
        <v>2016-03-24</v>
      </c>
    </row>
    <row r="3321" spans="1:46">
      <c r="A3321">
        <v>1734</v>
      </c>
      <c r="B3321" t="str">
        <f>"300309"</f>
        <v>300309</v>
      </c>
      <c r="C3321" t="s">
        <v>640</v>
      </c>
      <c r="D3321" t="str">
        <f>[1]!EM_S_INFO_INDEX_EM(B3321,"1")</f>
        <v>金融</v>
      </c>
      <c r="E3321" s="4">
        <f t="shared" si="51"/>
        <v>43465</v>
      </c>
      <c r="F3321" s="11">
        <f>[1]!EM_S_PQ_PCTCHANGE(B3321,"2018-01-01","2019-12-31","3")</f>
        <v>-60.327562319999998</v>
      </c>
      <c r="G3321" s="11">
        <f>[1]!EM_S_PQ_PCTCHANGE(B3321,"2018-12-31","2019-12-30","1")</f>
        <v>-41.066997520000001</v>
      </c>
      <c r="H3321" s="11">
        <f>[1]!EM_S_FA_YOY_OR(B3321,E3321)</f>
        <v>15.5637667966</v>
      </c>
      <c r="I3321" s="11">
        <f>[1]!EM_S_FA_GROSSPROFITMARGIN(B3321,E3321)</f>
        <v>57.002577579499999</v>
      </c>
      <c r="J3321" s="11">
        <f>[1]!EM_S_FA_NETPROFITMARGIN(B3321,E3321)</f>
        <v>23.092833838600001</v>
      </c>
      <c r="K3321" s="10">
        <f>[1]!EM_S_FA_ASSETSTURN(B3321,E3321)</f>
        <v>0.139491217626</v>
      </c>
      <c r="L3321" s="12">
        <f>[1]!EM_HKS_VAL_MV(B3321,"2019-12-31","2")</f>
        <v>4173642933.1500001</v>
      </c>
      <c r="M3321">
        <f>[1]!EM_S_VAL_PETTMDEDUCTED(B3321,E3321)</f>
        <v>21.894687674372999</v>
      </c>
      <c r="N3321" s="7">
        <f>[1]!EM_S_VAL_PBGOODWILLDEDUCTED(B3321,E3321)</f>
        <v>3.7447187413519099</v>
      </c>
      <c r="O3321" s="7">
        <f>[1]!EM_S_VAL_PS_TTM(B3321,E3321)</f>
        <v>7.8340067447516804</v>
      </c>
      <c r="P3321" s="7">
        <f>[1]!EM_S_VAL_PCF_NCFTTM(B3321,E3321)</f>
        <v>-41.585570664748602</v>
      </c>
      <c r="Q3321" s="7">
        <f>[1]!EM_S_VAL_DIVIDENDYIELD2(B3321,E3321,"2019-11-29")</f>
        <v>0</v>
      </c>
      <c r="T3321"/>
      <c r="U3321">
        <f>[1]!EM_S_RATIO_EPS_TTM(B3321,E3321,"1")</f>
        <v>0.22294699062568163</v>
      </c>
      <c r="AT3321" s="4" t="str">
        <f>[1]!EM_S_IPO_LISTEDDATE(B3321)</f>
        <v>2012-04-10</v>
      </c>
    </row>
    <row r="3322" spans="1:46">
      <c r="A3322">
        <v>1265</v>
      </c>
      <c r="B3322" t="str">
        <f>"002757"</f>
        <v>002757</v>
      </c>
      <c r="C3322" t="s">
        <v>822</v>
      </c>
      <c r="D3322" t="str">
        <f>[1]!EM_S_INFO_INDEX_EM(B3322,"1")</f>
        <v>机械设备</v>
      </c>
      <c r="E3322" s="4">
        <f t="shared" si="51"/>
        <v>43465</v>
      </c>
      <c r="F3322" s="11">
        <f>[1]!EM_S_PQ_PCTCHANGE(B3322,"2018-01-01","2019-12-31","3")</f>
        <v>-25.788262809999999</v>
      </c>
      <c r="G3322" s="11">
        <f>[1]!EM_S_PQ_PCTCHANGE(B3322,"2018-12-31","2019-12-30","1")</f>
        <v>-41.091549299999997</v>
      </c>
      <c r="H3322" s="11">
        <f>[1]!EM_S_FA_YOY_OR(B3322,E3322)</f>
        <v>44.123997584599998</v>
      </c>
      <c r="I3322" s="11">
        <f>[1]!EM_S_FA_GROSSPROFITMARGIN(B3322,E3322)</f>
        <v>29.845498955699998</v>
      </c>
      <c r="J3322" s="11">
        <f>[1]!EM_S_FA_NETPROFITMARGIN(B3322,E3322)</f>
        <v>14.5306360283</v>
      </c>
      <c r="K3322" s="10">
        <f>[1]!EM_S_FA_ASSETSTURN(B3322,E3322)</f>
        <v>0.74087862880900002</v>
      </c>
      <c r="L3322" s="12">
        <f>[1]!EM_HKS_VAL_MV(B3322,"2019-12-31","2")</f>
        <v>3311492035.2199998</v>
      </c>
      <c r="M3322">
        <f>[1]!EM_S_VAL_PETTMDEDUCTED(B3322,E3322)</f>
        <v>27.658141801417699</v>
      </c>
      <c r="N3322" s="7">
        <f>[1]!EM_S_VAL_PBGOODWILLDEDUCTED(B3322,E3322)</f>
        <v>3.4911234881278901</v>
      </c>
      <c r="O3322" s="7">
        <f>[1]!EM_S_VAL_PS_TTM(B3322,E3322)</f>
        <v>3.54151585721391</v>
      </c>
      <c r="P3322" s="7">
        <f>[1]!EM_S_VAL_PCF_NCFTTM(B3322,E3322)</f>
        <v>-67.663469919275897</v>
      </c>
      <c r="Q3322" s="7">
        <f>[1]!EM_S_VAL_DIVIDENDYIELD2(B3322,E3322,"2019-11-29")</f>
        <v>2.1020560220611793</v>
      </c>
      <c r="T3322"/>
      <c r="U3322">
        <f>[1]!EM_S_RATIO_EPS_TTM(B3322,E3322,"1")</f>
        <v>1.2447741132751078</v>
      </c>
      <c r="AT3322" s="4" t="str">
        <f>[1]!EM_S_IPO_LISTEDDATE(B3322)</f>
        <v>2015-05-27</v>
      </c>
    </row>
    <row r="3323" spans="1:46">
      <c r="A3323">
        <v>830</v>
      </c>
      <c r="B3323" t="str">
        <f>"002319"</f>
        <v>002319</v>
      </c>
      <c r="C3323" t="s">
        <v>3358</v>
      </c>
      <c r="D3323" t="str">
        <f>[1]!EM_S_INFO_INDEX_EM(B3323,"1")</f>
        <v>基础化工</v>
      </c>
      <c r="E3323" s="4">
        <f t="shared" si="51"/>
        <v>43465</v>
      </c>
      <c r="F3323" s="11">
        <f>[1]!EM_S_PQ_PCTCHANGE(B3323,"2018-01-01","2019-12-31","3")</f>
        <v>-42.108027139999997</v>
      </c>
      <c r="G3323" s="11">
        <f>[1]!EM_S_PQ_PCTCHANGE(B3323,"2018-12-31","2019-12-30","1")</f>
        <v>-41.268803140000003</v>
      </c>
      <c r="H3323" s="11">
        <f>[1]!EM_S_FA_YOY_OR(B3323,E3323)</f>
        <v>-8.3843134828999997</v>
      </c>
      <c r="I3323" s="11">
        <f>[1]!EM_S_FA_GROSSPROFITMARGIN(B3323,E3323)</f>
        <v>26.5844227031</v>
      </c>
      <c r="J3323" s="11">
        <f>[1]!EM_S_FA_NETPROFITMARGIN(B3323,E3323)</f>
        <v>-6.9231304004999998</v>
      </c>
      <c r="K3323" s="10">
        <f>[1]!EM_S_FA_ASSETSTURN(B3323,E3323)</f>
        <v>0.47541345846900002</v>
      </c>
      <c r="L3323" s="12">
        <f>[1]!EM_HKS_VAL_MV(B3323,"2019-12-31","2")</f>
        <v>1828000000</v>
      </c>
      <c r="M3323">
        <f>[1]!EM_S_VAL_PETTMDEDUCTED(B3323,E3323)</f>
        <v>-26016.703949051702</v>
      </c>
      <c r="N3323" s="7">
        <f>[1]!EM_S_VAL_PBGOODWILLDEDUCTED(B3323,E3323)</f>
        <v>16.360358633243099</v>
      </c>
      <c r="O3323" s="7">
        <f>[1]!EM_S_VAL_PS_TTM(B3323,E3323)</f>
        <v>6.2597436492160199</v>
      </c>
      <c r="P3323" s="7">
        <f>[1]!EM_S_VAL_PCF_NCFTTM(B3323,E3323)</f>
        <v>-368.04940489161402</v>
      </c>
      <c r="Q3323" s="7">
        <f>[1]!EM_S_VAL_DIVIDENDYIELD2(B3323,E3323,"2019-11-29")</f>
        <v>0</v>
      </c>
      <c r="T3323"/>
      <c r="U3323">
        <f>[1]!EM_S_RATIO_EPS_TTM(B3323,E3323,"1")</f>
        <v>-0.16872987550000001</v>
      </c>
      <c r="AT3323" s="4" t="str">
        <f>[1]!EM_S_IPO_LISTEDDATE(B3323)</f>
        <v>2009-12-11</v>
      </c>
    </row>
    <row r="3324" spans="1:46">
      <c r="A3324">
        <v>1103</v>
      </c>
      <c r="B3324" t="str">
        <f>"002592"</f>
        <v>002592</v>
      </c>
      <c r="C3324" t="s">
        <v>2853</v>
      </c>
      <c r="D3324" t="str">
        <f>[1]!EM_S_INFO_INDEX_EM(B3324,"1")</f>
        <v>交运设备</v>
      </c>
      <c r="E3324" s="4">
        <f t="shared" si="51"/>
        <v>43465</v>
      </c>
      <c r="F3324" s="11">
        <f>[1]!EM_S_PQ_PCTCHANGE(B3324,"2018-01-01","2019-12-31","3")</f>
        <v>-37.113402979999996</v>
      </c>
      <c r="G3324" s="11">
        <f>[1]!EM_S_PQ_PCTCHANGE(B3324,"2018-12-31","2019-12-30","1")</f>
        <v>-41.410256410000002</v>
      </c>
      <c r="H3324" s="11">
        <f>[1]!EM_S_FA_YOY_OR(B3324,E3324)</f>
        <v>-8.3306225614000002</v>
      </c>
      <c r="I3324" s="11">
        <f>[1]!EM_S_FA_GROSSPROFITMARGIN(B3324,E3324)</f>
        <v>11.8754293783</v>
      </c>
      <c r="J3324" s="11">
        <f>[1]!EM_S_FA_NETPROFITMARGIN(B3324,E3324)</f>
        <v>1.0149896343</v>
      </c>
      <c r="K3324" s="10">
        <f>[1]!EM_S_FA_ASSETSTURN(B3324,E3324)</f>
        <v>0.28564388888300002</v>
      </c>
      <c r="L3324" s="12">
        <f>[1]!EM_HKS_VAL_MV(B3324,"2019-12-31","2")</f>
        <v>3904303343.46</v>
      </c>
      <c r="M3324">
        <f>[1]!EM_S_VAL_PETTMDEDUCTED(B3324,E3324)</f>
        <v>156.48445270824499</v>
      </c>
      <c r="N3324" s="7">
        <f>[1]!EM_S_VAL_PBGOODWILLDEDUCTED(B3324,E3324)</f>
        <v>3.5628784317420998</v>
      </c>
      <c r="O3324" s="7">
        <f>[1]!EM_S_VAL_PS_TTM(B3324,E3324)</f>
        <v>8.9837201861722509</v>
      </c>
      <c r="P3324" s="7">
        <f>[1]!EM_S_VAL_PCF_NCFTTM(B3324,E3324)</f>
        <v>25.015473387283201</v>
      </c>
      <c r="Q3324" s="7">
        <f>[1]!EM_S_VAL_DIVIDENDYIELD2(B3324,E3324,"2019-11-29")</f>
        <v>0</v>
      </c>
      <c r="T3324"/>
      <c r="U3324">
        <f>[1]!EM_S_RATIO_EPS_TTM(B3324,E3324,"1")</f>
        <v>2.5674413880292027E-2</v>
      </c>
      <c r="AT3324" s="4" t="str">
        <f>[1]!EM_S_IPO_LISTEDDATE(B3324)</f>
        <v>2011-11-11</v>
      </c>
    </row>
    <row r="3325" spans="1:46">
      <c r="A3325">
        <v>3216</v>
      </c>
      <c r="B3325" t="str">
        <f>"603018"</f>
        <v>603018</v>
      </c>
      <c r="C3325" t="s">
        <v>936</v>
      </c>
      <c r="D3325" t="str">
        <f>[1]!EM_S_INFO_INDEX_EM(B3325,"1")</f>
        <v>休闲、生活及专业服务</v>
      </c>
      <c r="E3325" s="4">
        <f t="shared" si="51"/>
        <v>43465</v>
      </c>
      <c r="F3325" s="11">
        <f>[1]!EM_S_PQ_PCTCHANGE(B3325,"2018-01-01","2019-12-31","3")</f>
        <v>-18.40323583</v>
      </c>
      <c r="G3325" s="11">
        <f>[1]!EM_S_PQ_PCTCHANGE(B3325,"2018-12-31","2019-12-30","1")</f>
        <v>-41.504018369999997</v>
      </c>
      <c r="H3325" s="11">
        <f>[1]!EM_S_FA_YOY_OR(B3325,E3325)</f>
        <v>51.228450357</v>
      </c>
      <c r="I3325" s="11">
        <f>[1]!EM_S_FA_GROSSPROFITMARGIN(B3325,E3325)</f>
        <v>26.2242615091</v>
      </c>
      <c r="J3325" s="11">
        <f>[1]!EM_S_FA_NETPROFITMARGIN(B3325,E3325)</f>
        <v>9.666072153</v>
      </c>
      <c r="K3325" s="10">
        <f>[1]!EM_S_FA_ASSETSTURN(B3325,E3325)</f>
        <v>0.69812117183699995</v>
      </c>
      <c r="L3325" s="12">
        <f>[1]!EM_HKS_VAL_MV(B3325,"2019-12-31","2")</f>
        <v>4778394465.6000004</v>
      </c>
      <c r="M3325">
        <f>[1]!EM_S_VAL_PETTMDEDUCTED(B3325,E3325)</f>
        <v>16.481148712677701</v>
      </c>
      <c r="N3325" s="7">
        <f>[1]!EM_S_VAL_PBGOODWILLDEDUCTED(B3325,E3325)</f>
        <v>2.2776798431499601</v>
      </c>
      <c r="O3325" s="7">
        <f>[1]!EM_S_VAL_PS_TTM(B3325,E3325)</f>
        <v>1.4387661080073499</v>
      </c>
      <c r="P3325" s="7">
        <f>[1]!EM_S_VAL_PCF_NCFTTM(B3325,E3325)</f>
        <v>27.331936919189499</v>
      </c>
      <c r="Q3325" s="7">
        <f>[1]!EM_S_VAL_DIVIDENDYIELD2(B3325,E3325,"2019-11-29")</f>
        <v>2.529883108382601</v>
      </c>
      <c r="T3325"/>
      <c r="U3325">
        <f>[1]!EM_S_RATIO_EPS_TTM(B3325,E3325,"1")</f>
        <v>1.2624994595161461</v>
      </c>
      <c r="AT3325" s="4" t="str">
        <f>[1]!EM_S_IPO_LISTEDDATE(B3325)</f>
        <v>2014-10-13</v>
      </c>
    </row>
    <row r="3326" spans="1:46">
      <c r="A3326">
        <v>1525</v>
      </c>
      <c r="B3326" t="str">
        <f>"300100"</f>
        <v>300100</v>
      </c>
      <c r="C3326" t="s">
        <v>1631</v>
      </c>
      <c r="D3326" t="str">
        <f>[1]!EM_S_INFO_INDEX_EM(B3326,"1")</f>
        <v>交运设备</v>
      </c>
      <c r="E3326" s="4">
        <f t="shared" si="51"/>
        <v>43465</v>
      </c>
      <c r="F3326" s="11">
        <f>[1]!EM_S_PQ_PCTCHANGE(B3326,"2018-01-01","2019-12-31","3")</f>
        <v>-61.199901709999999</v>
      </c>
      <c r="G3326" s="11">
        <f>[1]!EM_S_PQ_PCTCHANGE(B3326,"2018-12-31","2019-12-30","1")</f>
        <v>-41.511285569999998</v>
      </c>
      <c r="H3326" s="11">
        <f>[1]!EM_S_FA_YOY_OR(B3326,E3326)</f>
        <v>29.9287500531</v>
      </c>
      <c r="I3326" s="11">
        <f>[1]!EM_S_FA_GROSSPROFITMARGIN(B3326,E3326)</f>
        <v>18.828641730600001</v>
      </c>
      <c r="J3326" s="11">
        <f>[1]!EM_S_FA_NETPROFITMARGIN(B3326,E3326)</f>
        <v>-2.1242576475999999</v>
      </c>
      <c r="K3326" s="10">
        <f>[1]!EM_S_FA_ASSETSTURN(B3326,E3326)</f>
        <v>0.70561925897199995</v>
      </c>
      <c r="L3326" s="12">
        <f>[1]!EM_HKS_VAL_MV(B3326,"2019-12-31","2")</f>
        <v>2730268363.6799998</v>
      </c>
      <c r="M3326">
        <f>[1]!EM_S_VAL_PETTMDEDUCTED(B3326,E3326)</f>
        <v>-286.09324263191297</v>
      </c>
      <c r="N3326" s="7">
        <f>[1]!EM_S_VAL_PBGOODWILLDEDUCTED(B3326,E3326)</f>
        <v>2.3910189059925999</v>
      </c>
      <c r="O3326" s="7">
        <f>[1]!EM_S_VAL_PS_TTM(B3326,E3326)</f>
        <v>1.22024549005633</v>
      </c>
      <c r="P3326" s="7">
        <f>[1]!EM_S_VAL_PCF_NCFTTM(B3326,E3326)</f>
        <v>23.905497861337</v>
      </c>
      <c r="Q3326" s="7">
        <f>[1]!EM_S_VAL_DIVIDENDYIELD2(B3326,E3326,"2019-11-29")</f>
        <v>0.53875559418018304</v>
      </c>
      <c r="T3326"/>
      <c r="U3326">
        <f>[1]!EM_S_RATIO_EPS_TTM(B3326,E3326,"1")</f>
        <v>-0.13274172383668836</v>
      </c>
      <c r="AT3326" s="4" t="str">
        <f>[1]!EM_S_IPO_LISTEDDATE(B3326)</f>
        <v>2010-08-06</v>
      </c>
    </row>
    <row r="3327" spans="1:46">
      <c r="A3327">
        <v>40</v>
      </c>
      <c r="B3327" t="str">
        <f>"000040"</f>
        <v>000040</v>
      </c>
      <c r="C3327" t="s">
        <v>103</v>
      </c>
      <c r="D3327" t="str">
        <f>[1]!EM_S_INFO_INDEX_EM(B3327,"1")</f>
        <v>公用事业</v>
      </c>
      <c r="E3327" s="4">
        <f t="shared" si="51"/>
        <v>43465</v>
      </c>
      <c r="F3327" s="11">
        <f>[1]!EM_S_PQ_PCTCHANGE(B3327,"2018-01-01","2019-12-31","3")</f>
        <v>-69.828544059999999</v>
      </c>
      <c r="G3327" s="11">
        <f>[1]!EM_S_PQ_PCTCHANGE(B3327,"2019-01-01","2019-12-31","3")</f>
        <v>-41.545998220000001</v>
      </c>
      <c r="H3327" s="11">
        <f>[1]!EM_S_FA_YOY_OR(B3327,E3327)</f>
        <v>6.7059703288000003</v>
      </c>
      <c r="I3327" s="11">
        <f>[1]!EM_S_FA_GROSSPROFITMARGIN(B3327,E3327)</f>
        <v>14.114201941099999</v>
      </c>
      <c r="J3327" s="11">
        <f>[1]!EM_S_FA_NETPROFITMARGIN(B3327,E3327)</f>
        <v>12.9829484267</v>
      </c>
      <c r="K3327" s="10">
        <f>[1]!EM_S_FA_ASSETSTURN(B3327,E3327)</f>
        <v>0.27401732241600002</v>
      </c>
      <c r="L3327" s="12">
        <f>[1]!EM_HKS_VAL_MV(B3327,"2019-12-31","2")</f>
        <v>6215132776.6000004</v>
      </c>
      <c r="M3327">
        <f>[1]!EM_S_VAL_PETTMDEDUCTED(B3327,E3327)</f>
        <v>19.8004905660429</v>
      </c>
      <c r="N3327" s="7">
        <f>[1]!EM_S_VAL_PBGOODWILLDEDUCTED(B3327,E3327)</f>
        <v>0.79456966861949796</v>
      </c>
      <c r="O3327" s="7">
        <f>[1]!EM_S_VAL_PS_TTM(B3327,E3327)</f>
        <v>1.3037332055450901</v>
      </c>
      <c r="P3327" s="7">
        <f>[1]!EM_S_VAL_PCF_NCFTTM(B3327,E3327)</f>
        <v>-3.7266060823377898</v>
      </c>
      <c r="Q3327" s="7">
        <f>[1]!EM_S_VAL_DIVIDENDYIELD2(B3327,E3327,"2019-11-29")</f>
        <v>2.0161290322580649</v>
      </c>
      <c r="U3327">
        <f>[1]!EM_S_RATIO_EPS_TTM(B3327,E3327,"1")</f>
        <v>0.75173308750795387</v>
      </c>
      <c r="AT3327" s="4" t="str">
        <f>[1]!EM_S_IPO_LISTEDDATE(B3327)</f>
        <v>1994-08-08</v>
      </c>
    </row>
    <row r="3328" spans="1:46">
      <c r="A3328">
        <v>1970</v>
      </c>
      <c r="B3328" t="str">
        <f>"300547"</f>
        <v>300547</v>
      </c>
      <c r="C3328" t="s">
        <v>535</v>
      </c>
      <c r="D3328" t="str">
        <f>[1]!EM_S_INFO_INDEX_EM(B3328,"1")</f>
        <v>交运设备</v>
      </c>
      <c r="E3328" s="4">
        <f t="shared" si="51"/>
        <v>43465</v>
      </c>
      <c r="F3328" s="11">
        <f>[1]!EM_S_PQ_PCTCHANGE(B3328,"2018-01-01","2019-12-31","3")</f>
        <v>-26.482441819999998</v>
      </c>
      <c r="G3328" s="11">
        <f>[1]!EM_S_PQ_PCTCHANGE(B3328,"2018-12-31","2019-12-30","1")</f>
        <v>-41.579914270000003</v>
      </c>
      <c r="H3328" s="11">
        <f>[1]!EM_S_FA_YOY_OR(B3328,E3328)</f>
        <v>-5.7748731838999996</v>
      </c>
      <c r="I3328" s="11">
        <f>[1]!EM_S_FA_GROSSPROFITMARGIN(B3328,E3328)</f>
        <v>32.360992803199998</v>
      </c>
      <c r="J3328" s="11">
        <f>[1]!EM_S_FA_NETPROFITMARGIN(B3328,E3328)</f>
        <v>22.4681800183</v>
      </c>
      <c r="K3328" s="10">
        <f>[1]!EM_S_FA_ASSETSTURN(B3328,E3328)</f>
        <v>0.64573441920399999</v>
      </c>
      <c r="L3328" s="12">
        <f>[1]!EM_HKS_VAL_MV(B3328,"2019-12-31","2")</f>
        <v>2075792085.1800001</v>
      </c>
      <c r="M3328">
        <f>[1]!EM_S_VAL_PETTMDEDUCTED(B3328,E3328)</f>
        <v>18.441131921362398</v>
      </c>
      <c r="N3328" s="7">
        <f>[1]!EM_S_VAL_PBGOODWILLDEDUCTED(B3328,E3328)</f>
        <v>2.55611696588671</v>
      </c>
      <c r="O3328" s="7">
        <f>[1]!EM_S_VAL_PS_TTM(B3328,E3328)</f>
        <v>3.0347386901132598</v>
      </c>
      <c r="P3328" s="7">
        <f>[1]!EM_S_VAL_PCF_NCFTTM(B3328,E3328)</f>
        <v>-71.330955233067101</v>
      </c>
      <c r="Q3328" s="7">
        <f>[1]!EM_S_VAL_DIVIDENDYIELD2(B3328,E3328,"2019-11-29")</f>
        <v>3.4221256437258853</v>
      </c>
      <c r="T3328"/>
      <c r="U3328">
        <f>[1]!EM_S_RATIO_EPS_TTM(B3328,E3328,"1")</f>
        <v>1.1105346551089847</v>
      </c>
      <c r="AT3328" s="4" t="str">
        <f>[1]!EM_S_IPO_LISTEDDATE(B3328)</f>
        <v>2016-09-30</v>
      </c>
    </row>
    <row r="3329" spans="1:46">
      <c r="A3329">
        <v>2106</v>
      </c>
      <c r="B3329" t="str">
        <f>"300688"</f>
        <v>300688</v>
      </c>
      <c r="C3329" t="s">
        <v>2053</v>
      </c>
      <c r="D3329" t="str">
        <f>[1]!EM_S_INFO_INDEX_EM(B3329,"1")</f>
        <v>休闲、生活及专业服务</v>
      </c>
      <c r="E3329" s="4">
        <f t="shared" si="51"/>
        <v>43465</v>
      </c>
      <c r="F3329" s="11">
        <f>[1]!EM_S_PQ_PCTCHANGE(B3329,"2018-01-01","2019-12-31","3")</f>
        <v>-42.561904159999997</v>
      </c>
      <c r="G3329" s="11">
        <f>[1]!EM_S_PQ_PCTCHANGE(B3329,"2018-12-31","2019-12-30","1")</f>
        <v>-41.62907268</v>
      </c>
      <c r="H3329" s="11">
        <f>[1]!EM_S_FA_YOY_OR(B3329,E3329)</f>
        <v>81.519356666999997</v>
      </c>
      <c r="I3329" s="11">
        <f>[1]!EM_S_FA_GROSSPROFITMARGIN(B3329,E3329)</f>
        <v>25.147655405399998</v>
      </c>
      <c r="J3329" s="11">
        <f>[1]!EM_S_FA_NETPROFITMARGIN(B3329,E3329)</f>
        <v>1.2922060710000001</v>
      </c>
      <c r="K3329" s="10">
        <f>[1]!EM_S_FA_ASSETSTURN(B3329,E3329)</f>
        <v>0.72102914090100001</v>
      </c>
      <c r="L3329" s="12">
        <f>[1]!EM_HKS_VAL_MV(B3329,"2019-12-31","2")</f>
        <v>2174368000</v>
      </c>
      <c r="M3329">
        <f>[1]!EM_S_VAL_PETTMDEDUCTED(B3329,E3329)</f>
        <v>78.929208470013904</v>
      </c>
      <c r="N3329" s="7">
        <f>[1]!EM_S_VAL_PBGOODWILLDEDUCTED(B3329,E3329)</f>
        <v>7.0850420609166296</v>
      </c>
      <c r="O3329" s="7">
        <f>[1]!EM_S_VAL_PS_TTM(B3329,E3329)</f>
        <v>9.7030515694680304</v>
      </c>
      <c r="P3329" s="7">
        <f>[1]!EM_S_VAL_PCF_NCFTTM(B3329,E3329)</f>
        <v>-11.487407747330501</v>
      </c>
      <c r="Q3329" s="7">
        <f>[1]!EM_S_VAL_DIVIDENDYIELD2(B3329,E3329,"2019-11-29")</f>
        <v>0.35325702981489332</v>
      </c>
      <c r="T3329"/>
      <c r="U3329">
        <f>[1]!EM_S_RATIO_EPS_TTM(B3329,E3329,"1")</f>
        <v>0.19771724455882353</v>
      </c>
      <c r="AT3329" s="4" t="str">
        <f>[1]!EM_S_IPO_LISTEDDATE(B3329)</f>
        <v>2017-08-10</v>
      </c>
    </row>
    <row r="3330" spans="1:46">
      <c r="A3330">
        <v>1012</v>
      </c>
      <c r="B3330" t="str">
        <f>"002501"</f>
        <v>002501</v>
      </c>
      <c r="C3330" t="s">
        <v>1980</v>
      </c>
      <c r="D3330" t="str">
        <f>[1]!EM_S_INFO_INDEX_EM(B3330,"1")</f>
        <v>机械设备</v>
      </c>
      <c r="E3330" s="4">
        <f t="shared" si="51"/>
        <v>43465</v>
      </c>
      <c r="F3330" s="11">
        <f>[1]!EM_S_PQ_PCTCHANGE(B3330,"2018-01-01","2019-12-31","3")</f>
        <v>-83.317261329999994</v>
      </c>
      <c r="G3330" s="11">
        <f>[1]!EM_S_PQ_PCTCHANGE(B3330,"2018-12-31","2019-12-30","1")</f>
        <v>-41.696113070000003</v>
      </c>
      <c r="H3330" s="11">
        <f>[1]!EM_S_FA_YOY_OR(B3330,E3330)</f>
        <v>-84.235986952199994</v>
      </c>
      <c r="I3330" s="11">
        <f>[1]!EM_S_FA_GROSSPROFITMARGIN(B3330,E3330)</f>
        <v>-59.9757953911</v>
      </c>
      <c r="J3330" s="11">
        <f>[1]!EM_S_FA_NETPROFITMARGIN(B3330,E3330)</f>
        <v>-845.36273719530004</v>
      </c>
      <c r="K3330" s="10">
        <f>[1]!EM_S_FA_ASSETSTURN(B3330,E3330)</f>
        <v>3.4730071373999999E-2</v>
      </c>
      <c r="L3330" s="12">
        <f>[1]!EM_HKS_VAL_MV(B3330,"2019-12-31","2")</f>
        <v>2101665553.4000001</v>
      </c>
      <c r="M3330">
        <f>[1]!EM_S_VAL_PETTMDEDUCTED(B3330,E3330)</f>
        <v>-3.8460623049799998</v>
      </c>
      <c r="N3330" s="7">
        <f>[1]!EM_S_VAL_PBGOODWILLDEDUCTED(B3330,E3330)</f>
        <v>0.86588652599420601</v>
      </c>
      <c r="O3330" s="7">
        <f>[1]!EM_S_VAL_PS_TTM(B3330,E3330)</f>
        <v>3.3132250116830799</v>
      </c>
      <c r="P3330" s="7">
        <f>[1]!EM_S_VAL_PCF_NCFTTM(B3330,E3330)</f>
        <v>-3.07563672214732</v>
      </c>
      <c r="Q3330" s="7">
        <f>[1]!EM_S_VAL_DIVIDENDYIELD2(B3330,E3330,"2019-11-29")</f>
        <v>0</v>
      </c>
      <c r="T3330"/>
      <c r="U3330">
        <f>[1]!EM_S_RATIO_EPS_TTM(B3330,E3330,"1")</f>
        <v>-3.3253003378942849</v>
      </c>
      <c r="AT3330" s="4" t="str">
        <f>[1]!EM_S_IPO_LISTEDDATE(B3330)</f>
        <v>2010-11-17</v>
      </c>
    </row>
    <row r="3331" spans="1:46">
      <c r="A3331">
        <v>1425</v>
      </c>
      <c r="B3331" t="str">
        <f>"002930"</f>
        <v>002930</v>
      </c>
      <c r="C3331" t="s">
        <v>1219</v>
      </c>
      <c r="D3331" t="str">
        <f>[1]!EM_S_INFO_INDEX_EM(B3331,"1")</f>
        <v>交通运输</v>
      </c>
      <c r="E3331" s="4">
        <f t="shared" ref="E3331:E3394" si="52">$B$1</f>
        <v>43465</v>
      </c>
      <c r="F3331" s="11">
        <f>[1]!EM_S_PQ_PCTCHANGE(B3331,"2018-01-01","2019-12-31","3")</f>
        <v>149.60957020999999</v>
      </c>
      <c r="G3331" s="11">
        <f>[1]!EM_S_PQ_PCTCHANGE(B3331,"2018-12-31","2019-12-30","1")</f>
        <v>-42.08897485</v>
      </c>
      <c r="H3331" s="11">
        <f>[1]!EM_S_FA_YOY_OR(B3331,E3331)</f>
        <v>9.1977453964000002</v>
      </c>
      <c r="I3331" s="11">
        <f>[1]!EM_S_FA_GROSSPROFITMARGIN(B3331,E3331)</f>
        <v>58.054975640899997</v>
      </c>
      <c r="J3331" s="11">
        <f>[1]!EM_S_FA_NETPROFITMARGIN(B3331,E3331)</f>
        <v>25.801023199100001</v>
      </c>
      <c r="K3331" s="10">
        <f>[1]!EM_S_FA_ASSETSTURN(B3331,E3331)</f>
        <v>0.16752374658499999</v>
      </c>
      <c r="L3331" s="12">
        <f>[1]!EM_HKS_VAL_MV(B3331,"2019-12-31","2")</f>
        <v>5126588970.1599998</v>
      </c>
      <c r="M3331">
        <f>[1]!EM_S_VAL_PETTMDEDUCTED(B3331,E3331)</f>
        <v>66.1761904600055</v>
      </c>
      <c r="N3331" s="7">
        <f>[1]!EM_S_VAL_PBGOODWILLDEDUCTED(B3331,E3331)</f>
        <v>4.0102331383368197</v>
      </c>
      <c r="O3331" s="7">
        <f>[1]!EM_S_VAL_PS_TTM(B3331,E3331)</f>
        <v>16.239397221492599</v>
      </c>
      <c r="P3331" s="7">
        <f>[1]!EM_S_VAL_PCF_NCFTTM(B3331,E3331)</f>
        <v>3031.0831485512299</v>
      </c>
      <c r="Q3331" s="7">
        <f>[1]!EM_S_VAL_DIVIDENDYIELD2(B3331,E3331,"2019-11-29")</f>
        <v>1.5027048687637747</v>
      </c>
      <c r="T3331"/>
      <c r="U3331">
        <f>[1]!EM_S_RATIO_EPS_TTM(B3331,E3331,"1")</f>
        <v>0.42215711101380027</v>
      </c>
      <c r="AT3331" s="4" t="str">
        <f>[1]!EM_S_IPO_LISTEDDATE(B3331)</f>
        <v>2018-03-28</v>
      </c>
    </row>
    <row r="3332" spans="1:46">
      <c r="A3332">
        <v>1113</v>
      </c>
      <c r="B3332" t="str">
        <f>"002602"</f>
        <v>002602</v>
      </c>
      <c r="C3332" t="s">
        <v>834</v>
      </c>
      <c r="D3332" t="str">
        <f>[1]!EM_S_INFO_INDEX_EM(B3332,"1")</f>
        <v>互联网</v>
      </c>
      <c r="E3332" s="4">
        <f t="shared" si="52"/>
        <v>43465</v>
      </c>
      <c r="F3332" s="11">
        <f>[1]!EM_S_PQ_PCTCHANGE(B3332,"2018-01-01","2019-12-31","3")</f>
        <v>-13.906270960000001</v>
      </c>
      <c r="G3332" s="11">
        <f>[1]!EM_S_PQ_PCTCHANGE(B3332,"2018-12-31","2019-12-30","1")</f>
        <v>-42.51815981</v>
      </c>
      <c r="H3332" s="11">
        <f>[1]!EM_S_FA_YOY_OR(B3332,E3332)</f>
        <v>132.72449625869999</v>
      </c>
      <c r="I3332" s="11">
        <f>[1]!EM_S_FA_GROSSPROFITMARGIN(B3332,E3332)</f>
        <v>38.236664249299999</v>
      </c>
      <c r="J3332" s="11">
        <f>[1]!EM_S_FA_NETPROFITMARGIN(B3332,E3332)</f>
        <v>11.8360408909</v>
      </c>
      <c r="K3332" s="10">
        <f>[1]!EM_S_FA_ASSETSTURN(B3332,E3332)</f>
        <v>0.70156001780499999</v>
      </c>
      <c r="L3332" s="12">
        <f>[1]!EM_HKS_VAL_MV(B3332,"2019-12-31","2")</f>
        <v>68082027932.699997</v>
      </c>
      <c r="M3332">
        <f>[1]!EM_S_VAL_PETTMDEDUCTED(B3332,E3332)</f>
        <v>62.3031705731035</v>
      </c>
      <c r="N3332" s="7">
        <f>[1]!EM_S_VAL_PBGOODWILLDEDUCTED(B3332,E3332)</f>
        <v>8.0777725533909202</v>
      </c>
      <c r="O3332" s="7">
        <f>[1]!EM_S_VAL_PS_TTM(B3332,E3332)</f>
        <v>6.6428732136542497</v>
      </c>
      <c r="P3332" s="7">
        <f>[1]!EM_S_VAL_PCF_NCFTTM(B3332,E3332)</f>
        <v>21.2699862597863</v>
      </c>
      <c r="Q3332" s="7">
        <f>[1]!EM_S_VAL_DIVIDENDYIELD2(B3332,E3332,"2019-11-29")</f>
        <v>0.40202279332957425</v>
      </c>
      <c r="T3332"/>
      <c r="U3332">
        <f>[1]!EM_S_RATIO_EPS_TTM(B3332,E3332,"1")</f>
        <v>0.41214712678159993</v>
      </c>
      <c r="AT3332" s="4" t="str">
        <f>[1]!EM_S_IPO_LISTEDDATE(B3332)</f>
        <v>2011-07-28</v>
      </c>
    </row>
    <row r="3333" spans="1:46">
      <c r="A3333">
        <v>2754</v>
      </c>
      <c r="B3333" t="str">
        <f>"600681"</f>
        <v>600681</v>
      </c>
      <c r="C3333" t="s">
        <v>147</v>
      </c>
      <c r="D3333" t="str">
        <f>[1]!EM_S_INFO_INDEX_EM(B3333,"1")</f>
        <v>公用事业</v>
      </c>
      <c r="E3333" s="4">
        <f t="shared" si="52"/>
        <v>43465</v>
      </c>
      <c r="F3333" s="11">
        <f>[1]!EM_S_PQ_PCTCHANGE(B3333,"2018-01-01","2019-12-31","3")</f>
        <v>-25.283415770000001</v>
      </c>
      <c r="G3333" s="11">
        <f>[1]!EM_S_PQ_PCTCHANGE(B3333,"2018-12-31","2019-12-30","1")</f>
        <v>-42.652027029999999</v>
      </c>
      <c r="H3333" s="11">
        <f>[1]!EM_S_FA_YOY_OR(B3333,E3333)</f>
        <v>59.895401647699998</v>
      </c>
      <c r="I3333" s="11">
        <f>[1]!EM_S_FA_GROSSPROFITMARGIN(B3333,E3333)</f>
        <v>31.551715074499999</v>
      </c>
      <c r="J3333" s="11">
        <f>[1]!EM_S_FA_NETPROFITMARGIN(B3333,E3333)</f>
        <v>21.266141790999999</v>
      </c>
      <c r="K3333" s="10">
        <f>[1]!EM_S_FA_ASSETSTURN(B3333,E3333)</f>
        <v>0.59601376909500003</v>
      </c>
      <c r="L3333" s="12">
        <f>[1]!EM_HKS_VAL_MV(B3333,"2019-12-31","2")</f>
        <v>9810634108</v>
      </c>
      <c r="M3333">
        <f>[1]!EM_S_VAL_PETTMDEDUCTED(B3333,E3333)</f>
        <v>10.610594556408801</v>
      </c>
      <c r="N3333" s="7">
        <f>[1]!EM_S_VAL_PBGOODWILLDEDUCTED(B3333,E3333)</f>
        <v>3.7239854587408598</v>
      </c>
      <c r="O3333" s="7">
        <f>[1]!EM_S_VAL_PS_TTM(B3333,E3333)</f>
        <v>2.7021385282224699</v>
      </c>
      <c r="P3333" s="7">
        <f>[1]!EM_S_VAL_PCF_NCFTTM(B3333,E3333)</f>
        <v>-32.455537622858699</v>
      </c>
      <c r="Q3333" s="7">
        <f>[1]!EM_S_VAL_DIVIDENDYIELD2(B3333,E3333,"2019-11-29")</f>
        <v>5.249401196290898</v>
      </c>
      <c r="T3333"/>
      <c r="U3333">
        <f>[1]!EM_S_RATIO_EPS_TTM(B3333,E3333,"1")</f>
        <v>0.97567343922079763</v>
      </c>
      <c r="AT3333" s="4" t="str">
        <f>[1]!EM_S_IPO_LISTEDDATE(B3333)</f>
        <v>1993-10-18</v>
      </c>
    </row>
    <row r="3334" spans="1:46">
      <c r="A3334">
        <v>2155</v>
      </c>
      <c r="B3334" t="str">
        <f>"300742"</f>
        <v>300742</v>
      </c>
      <c r="C3334" t="s">
        <v>3461</v>
      </c>
      <c r="D3334" t="str">
        <f>[1]!EM_S_INFO_INDEX_EM(B3334,"1")</f>
        <v>交运设备</v>
      </c>
      <c r="E3334" s="4">
        <f t="shared" si="52"/>
        <v>43465</v>
      </c>
      <c r="F3334" s="11">
        <f>[1]!EM_S_PQ_PCTCHANGE(B3334,"2018-01-01","2019-12-31","3")</f>
        <v>-5.2699228800000002</v>
      </c>
      <c r="G3334" s="11">
        <f>[1]!EM_S_PQ_PCTCHANGE(B3334,"2018-12-31","2019-12-30","1")</f>
        <v>-42.92260692</v>
      </c>
      <c r="H3334" s="11">
        <f>[1]!EM_S_FA_YOY_OR(B3334,E3334)</f>
        <v>-45.191616926599998</v>
      </c>
      <c r="I3334" s="11">
        <f>[1]!EM_S_FA_GROSSPROFITMARGIN(B3334,E3334)</f>
        <v>35.376638309999997</v>
      </c>
      <c r="J3334" s="11">
        <f>[1]!EM_S_FA_NETPROFITMARGIN(B3334,E3334)</f>
        <v>4.2998731792999996</v>
      </c>
      <c r="K3334" s="10">
        <f>[1]!EM_S_FA_ASSETSTURN(B3334,E3334)</f>
        <v>0.23101359409200001</v>
      </c>
      <c r="L3334" s="12">
        <f>[1]!EM_HKS_VAL_MV(B3334,"2019-12-31","2")</f>
        <v>1735603382.7</v>
      </c>
      <c r="M3334">
        <f>[1]!EM_S_VAL_PETTMDEDUCTED(B3334,E3334)</f>
        <v>43.2333427688339</v>
      </c>
      <c r="N3334" s="7">
        <f>[1]!EM_S_VAL_PBGOODWILLDEDUCTED(B3334,E3334)</f>
        <v>2.7762746708925099</v>
      </c>
      <c r="O3334" s="7">
        <f>[1]!EM_S_VAL_PS_TTM(B3334,E3334)</f>
        <v>3.84458938675616</v>
      </c>
      <c r="P3334" s="7">
        <f>[1]!EM_S_VAL_PCF_NCFTTM(B3334,E3334)</f>
        <v>61.806230627854497</v>
      </c>
      <c r="Q3334" s="7">
        <f>[1]!EM_S_VAL_DIVIDENDYIELD2(B3334,E3334,"2019-11-29")</f>
        <v>0</v>
      </c>
      <c r="T3334"/>
      <c r="U3334">
        <f>[1]!EM_S_RATIO_EPS_TTM(B3334,E3334,"1")</f>
        <v>0.2702194746987111</v>
      </c>
      <c r="AT3334" s="4" t="str">
        <f>[1]!EM_S_IPO_LISTEDDATE(B3334)</f>
        <v>2018-05-08</v>
      </c>
    </row>
    <row r="3335" spans="1:46">
      <c r="A3335">
        <v>686</v>
      </c>
      <c r="B3335" t="str">
        <f>"002175"</f>
        <v>002175</v>
      </c>
      <c r="C3335" t="s">
        <v>3597</v>
      </c>
      <c r="D3335" t="str">
        <f>[1]!EM_S_INFO_INDEX_EM(B3335,"1")</f>
        <v>机械设备</v>
      </c>
      <c r="E3335" s="4">
        <f t="shared" si="52"/>
        <v>43465</v>
      </c>
      <c r="F3335" s="11">
        <f>[1]!EM_S_PQ_PCTCHANGE(B3335,"2018-01-01","2019-12-31","3")</f>
        <v>-76.296296299999995</v>
      </c>
      <c r="G3335" s="11">
        <f>[1]!EM_S_PQ_PCTCHANGE(B3335,"2018-12-31","2019-12-30","1")</f>
        <v>-43.067846609999997</v>
      </c>
      <c r="H3335" s="11">
        <f>[1]!EM_S_FA_YOY_OR(B3335,E3335)</f>
        <v>-39.866471343400001</v>
      </c>
      <c r="I3335" s="11">
        <f>[1]!EM_S_FA_GROSSPROFITMARGIN(B3335,E3335)</f>
        <v>10.342861900700001</v>
      </c>
      <c r="J3335" s="11">
        <f>[1]!EM_S_FA_NETPROFITMARGIN(B3335,E3335)</f>
        <v>-336.2145568999</v>
      </c>
      <c r="K3335" s="10">
        <f>[1]!EM_S_FA_ASSETSTURN(B3335,E3335)</f>
        <v>0.14255521491699999</v>
      </c>
      <c r="L3335" s="12">
        <f>[1]!EM_HKS_VAL_MV(B3335,"2019-12-31","2")</f>
        <v>1447254167.04</v>
      </c>
      <c r="M3335">
        <f>[1]!EM_S_VAL_PETTMDEDUCTED(B3335,E3335)</f>
        <v>-6.5730281921460598</v>
      </c>
      <c r="N3335" s="7">
        <f>[1]!EM_S_VAL_PBGOODWILLDEDUCTED(B3335,E3335)</f>
        <v>13.7032801574149</v>
      </c>
      <c r="O3335" s="7">
        <f>[1]!EM_S_VAL_PS_TTM(B3335,E3335)</f>
        <v>13.3874812602788</v>
      </c>
      <c r="P3335" s="7">
        <f>[1]!EM_S_VAL_PCF_NCFTTM(B3335,E3335)</f>
        <v>-21.177320097319999</v>
      </c>
      <c r="Q3335" s="7">
        <f>[1]!EM_S_VAL_DIVIDENDYIELD2(B3335,E3335,"2019-11-29")</f>
        <v>0</v>
      </c>
      <c r="T3335"/>
      <c r="U3335">
        <f>[1]!EM_S_RATIO_EPS_TTM(B3335,E3335,"1")</f>
        <v>-1.077579829078424</v>
      </c>
      <c r="AT3335" s="4" t="str">
        <f>[1]!EM_S_IPO_LISTEDDATE(B3335)</f>
        <v>2007-10-12</v>
      </c>
    </row>
    <row r="3336" spans="1:46">
      <c r="A3336">
        <v>731</v>
      </c>
      <c r="B3336" t="str">
        <f>"002220"</f>
        <v>002220</v>
      </c>
      <c r="C3336" t="s">
        <v>2867</v>
      </c>
      <c r="D3336" t="str">
        <f>[1]!EM_S_INFO_INDEX_EM(B3336,"1")</f>
        <v>农林牧渔</v>
      </c>
      <c r="E3336" s="4">
        <f t="shared" si="52"/>
        <v>43465</v>
      </c>
      <c r="F3336" s="11">
        <f>[1]!EM_S_PQ_PCTCHANGE(B3336,"2018-01-01","2019-12-31","3")</f>
        <v>-71.289912029999996</v>
      </c>
      <c r="G3336" s="11">
        <f>[1]!EM_S_PQ_PCTCHANGE(B3336,"2018-12-31","2019-12-30","1")</f>
        <v>-43.137254900000002</v>
      </c>
      <c r="H3336" s="11">
        <f>[1]!EM_S_FA_YOY_OR(B3336,E3336)</f>
        <v>-29.0943185846</v>
      </c>
      <c r="I3336" s="11">
        <f>[1]!EM_S_FA_GROSSPROFITMARGIN(B3336,E3336)</f>
        <v>15.764666006000001</v>
      </c>
      <c r="J3336" s="11">
        <f>[1]!EM_S_FA_NETPROFITMARGIN(B3336,E3336)</f>
        <v>-15.9047013895</v>
      </c>
      <c r="K3336" s="10">
        <f>[1]!EM_S_FA_ASSETSTURN(B3336,E3336)</f>
        <v>0.20578232354600001</v>
      </c>
      <c r="L3336" s="12">
        <f>[1]!EM_HKS_VAL_MV(B3336,"2019-12-31","2")</f>
        <v>1126725824.9100001</v>
      </c>
      <c r="M3336">
        <f>[1]!EM_S_VAL_PETTMDEDUCTED(B3336,E3336)</f>
        <v>39.910127641889197</v>
      </c>
      <c r="N3336" s="7">
        <f>[1]!EM_S_VAL_PBGOODWILLDEDUCTED(B3336,E3336)</f>
        <v>0.75700983470790995</v>
      </c>
      <c r="O3336" s="7">
        <f>[1]!EM_S_VAL_PS_TTM(B3336,E3336)</f>
        <v>1.5766962062731</v>
      </c>
      <c r="P3336" s="7">
        <f>[1]!EM_S_VAL_PCF_NCFTTM(B3336,E3336)</f>
        <v>-3.5361949316369699</v>
      </c>
      <c r="Q3336" s="7">
        <f>[1]!EM_S_VAL_DIVIDENDYIELD2(B3336,E3336,"2019-11-29")</f>
        <v>0</v>
      </c>
      <c r="T3336"/>
      <c r="U3336">
        <f>[1]!EM_S_RATIO_EPS_TTM(B3336,E3336,"1")</f>
        <v>-0.21558033926026521</v>
      </c>
      <c r="AT3336" s="4" t="str">
        <f>[1]!EM_S_IPO_LISTEDDATE(B3336)</f>
        <v>2008-02-28</v>
      </c>
    </row>
    <row r="3337" spans="1:46">
      <c r="A3337">
        <v>572</v>
      </c>
      <c r="B3337" t="str">
        <f>"002061"</f>
        <v>002061</v>
      </c>
      <c r="C3337" t="s">
        <v>255</v>
      </c>
      <c r="D3337" t="str">
        <f>[1]!EM_S_INFO_INDEX_EM(B3337,"1")</f>
        <v>建筑</v>
      </c>
      <c r="E3337" s="4">
        <f t="shared" si="52"/>
        <v>43465</v>
      </c>
      <c r="F3337" s="11">
        <f>[1]!EM_S_PQ_PCTCHANGE(B3337,"2018-01-01","2019-12-31","3")</f>
        <v>-60.533138569999998</v>
      </c>
      <c r="G3337" s="11">
        <f>[1]!EM_S_PQ_PCTCHANGE(B3337,"2018-12-31","2019-12-30","1")</f>
        <v>-43.524829599999997</v>
      </c>
      <c r="H3337" s="11">
        <f>[1]!EM_S_FA_YOY_OR(B3337,E3337)</f>
        <v>27.005739090599999</v>
      </c>
      <c r="I3337" s="11">
        <f>[1]!EM_S_FA_GROSSPROFITMARGIN(B3337,E3337)</f>
        <v>9.6667530619999997</v>
      </c>
      <c r="J3337" s="11">
        <f>[1]!EM_S_FA_NETPROFITMARGIN(B3337,E3337)</f>
        <v>4.7452718238999996</v>
      </c>
      <c r="K3337" s="10">
        <f>[1]!EM_S_FA_ASSETSTURN(B3337,E3337)</f>
        <v>0.94627269409699999</v>
      </c>
      <c r="L3337" s="12">
        <f>[1]!EM_HKS_VAL_MV(B3337,"2019-12-31","2")</f>
        <v>8075000918.2600002</v>
      </c>
      <c r="M3337">
        <f>[1]!EM_S_VAL_PETTMDEDUCTED(B3337,E3337)</f>
        <v>13.865283056632499</v>
      </c>
      <c r="N3337" s="7">
        <f>[1]!EM_S_VAL_PBGOODWILLDEDUCTED(B3337,E3337)</f>
        <v>1.98279492937699</v>
      </c>
      <c r="O3337" s="7">
        <f>[1]!EM_S_VAL_PS_TTM(B3337,E3337)</f>
        <v>0.53922179707367401</v>
      </c>
      <c r="P3337" s="7">
        <f>[1]!EM_S_VAL_PCF_NCFTTM(B3337,E3337)</f>
        <v>11.1994476048295</v>
      </c>
      <c r="Q3337" s="7">
        <f>[1]!EM_S_VAL_DIVIDENDYIELD2(B3337,E3337,"2019-11-29")</f>
        <v>2.1428571428571423</v>
      </c>
      <c r="T3337"/>
      <c r="U3337">
        <f>[1]!EM_S_RATIO_EPS_TTM(B3337,E3337,"1")</f>
        <v>0.88168947272749532</v>
      </c>
      <c r="AT3337" s="4" t="str">
        <f>[1]!EM_S_IPO_LISTEDDATE(B3337)</f>
        <v>2006-08-16</v>
      </c>
    </row>
    <row r="3338" spans="1:46">
      <c r="A3338">
        <v>3368</v>
      </c>
      <c r="B3338" t="str">
        <f>"603337"</f>
        <v>603337</v>
      </c>
      <c r="C3338" t="s">
        <v>259</v>
      </c>
      <c r="D3338" t="str">
        <f>[1]!EM_S_INFO_INDEX_EM(B3338,"1")</f>
        <v>机械设备</v>
      </c>
      <c r="E3338" s="4">
        <f t="shared" si="52"/>
        <v>43465</v>
      </c>
      <c r="F3338" s="11">
        <f>[1]!EM_S_PQ_PCTCHANGE(B3338,"2018-01-01","2019-12-31","3")</f>
        <v>-10.535232779999999</v>
      </c>
      <c r="G3338" s="11">
        <f>[1]!EM_S_PQ_PCTCHANGE(B3338,"2018-12-31","2019-12-30","1")</f>
        <v>-43.581357320000002</v>
      </c>
      <c r="H3338" s="11">
        <f>[1]!EM_S_FA_YOY_OR(B3338,E3338)</f>
        <v>48.979625519099997</v>
      </c>
      <c r="I3338" s="11">
        <f>[1]!EM_S_FA_GROSSPROFITMARGIN(B3338,E3338)</f>
        <v>28.080531843300001</v>
      </c>
      <c r="J3338" s="11">
        <f>[1]!EM_S_FA_NETPROFITMARGIN(B3338,E3338)</f>
        <v>10.9678792998</v>
      </c>
      <c r="K3338" s="10">
        <f>[1]!EM_S_FA_ASSETSTURN(B3338,E3338)</f>
        <v>1.0965337396649999</v>
      </c>
      <c r="L3338" s="12">
        <f>[1]!EM_HKS_VAL_MV(B3338,"2019-12-31","2")</f>
        <v>9347108227.2000008</v>
      </c>
      <c r="M3338">
        <f>[1]!EM_S_VAL_PETTMDEDUCTED(B3338,E3338)</f>
        <v>23.637972989548999</v>
      </c>
      <c r="N3338" s="7">
        <f>[1]!EM_S_VAL_PBGOODWILLDEDUCTED(B3338,E3338)</f>
        <v>4.7358960879070802</v>
      </c>
      <c r="O3338" s="7">
        <f>[1]!EM_S_VAL_PS_TTM(B3338,E3338)</f>
        <v>2.8948865889510298</v>
      </c>
      <c r="P3338" s="7">
        <f>[1]!EM_S_VAL_PCF_NCFTTM(B3338,E3338)</f>
        <v>115.99177558070301</v>
      </c>
      <c r="Q3338" s="7">
        <f>[1]!EM_S_VAL_DIVIDENDYIELD2(B3338,E3338,"2019-11-29")</f>
        <v>1.8974639664294837</v>
      </c>
      <c r="T3338"/>
      <c r="U3338">
        <f>[1]!EM_S_RATIO_EPS_TTM(B3338,E3338,"1")</f>
        <v>1.4769835162945015</v>
      </c>
      <c r="AT3338" s="4" t="str">
        <f>[1]!EM_S_IPO_LISTEDDATE(B3338)</f>
        <v>2017-01-19</v>
      </c>
    </row>
    <row r="3339" spans="1:46">
      <c r="A3339">
        <v>2093</v>
      </c>
      <c r="B3339" t="str">
        <f>"300675"</f>
        <v>300675</v>
      </c>
      <c r="C3339" t="s">
        <v>3634</v>
      </c>
      <c r="D3339" t="str">
        <f>[1]!EM_S_INFO_INDEX_EM(B3339,"1")</f>
        <v>休闲、生活及专业服务</v>
      </c>
      <c r="E3339" s="4">
        <f t="shared" si="52"/>
        <v>43465</v>
      </c>
      <c r="F3339" s="11">
        <f>[1]!EM_S_PQ_PCTCHANGE(B3339,"2018-01-01","2019-12-31","3")</f>
        <v>-48.372592150000003</v>
      </c>
      <c r="G3339" s="11">
        <f>[1]!EM_S_PQ_PCTCHANGE(B3339,"2018-12-31","2019-12-30","1")</f>
        <v>-43.786521229999998</v>
      </c>
      <c r="H3339" s="11">
        <f>[1]!EM_S_FA_YOY_OR(B3339,E3339)</f>
        <v>3.9745173099</v>
      </c>
      <c r="I3339" s="11">
        <f>[1]!EM_S_FA_GROSSPROFITMARGIN(B3339,E3339)</f>
        <v>38.235355951599999</v>
      </c>
      <c r="J3339" s="11">
        <f>[1]!EM_S_FA_NETPROFITMARGIN(B3339,E3339)</f>
        <v>8.3200418404000001</v>
      </c>
      <c r="K3339" s="10">
        <f>[1]!EM_S_FA_ASSETSTURN(B3339,E3339)</f>
        <v>0.51592489585000001</v>
      </c>
      <c r="L3339" s="12">
        <f>[1]!EM_HKS_VAL_MV(B3339,"2019-12-31","2")</f>
        <v>2123733816</v>
      </c>
      <c r="M3339">
        <f>[1]!EM_S_VAL_PETTMDEDUCTED(B3339,E3339)</f>
        <v>220.107256253093</v>
      </c>
      <c r="N3339" s="7">
        <f>[1]!EM_S_VAL_PBGOODWILLDEDUCTED(B3339,E3339)</f>
        <v>8.4935402844037</v>
      </c>
      <c r="O3339" s="7">
        <f>[1]!EM_S_VAL_PS_TTM(B3339,E3339)</f>
        <v>9.1649405894603895</v>
      </c>
      <c r="P3339" s="7">
        <f>[1]!EM_S_VAL_PCF_NCFTTM(B3339,E3339)</f>
        <v>-354.77685261131103</v>
      </c>
      <c r="Q3339" s="7">
        <f>[1]!EM_S_VAL_DIVIDENDYIELD2(B3339,E3339,"2019-11-29")</f>
        <v>0.45513654096228862</v>
      </c>
      <c r="T3339"/>
      <c r="U3339">
        <f>[1]!EM_S_RATIO_EPS_TTM(B3339,E3339,"1")</f>
        <v>0.2361188509729884</v>
      </c>
      <c r="AT3339" s="4" t="str">
        <f>[1]!EM_S_IPO_LISTEDDATE(B3339)</f>
        <v>2017-07-19</v>
      </c>
    </row>
    <row r="3340" spans="1:46">
      <c r="A3340">
        <v>3267</v>
      </c>
      <c r="B3340" t="str">
        <f>"603101"</f>
        <v>603101</v>
      </c>
      <c r="C3340" t="s">
        <v>1600</v>
      </c>
      <c r="D3340" t="str">
        <f>[1]!EM_S_INFO_INDEX_EM(B3340,"1")</f>
        <v>商贸零售</v>
      </c>
      <c r="E3340" s="4">
        <f t="shared" si="52"/>
        <v>43465</v>
      </c>
      <c r="F3340" s="11">
        <f>[1]!EM_S_PQ_PCTCHANGE(B3340,"2018-01-01","2019-12-31","3")</f>
        <v>-7.1062484399999999</v>
      </c>
      <c r="G3340" s="11">
        <f>[1]!EM_S_PQ_PCTCHANGE(B3340,"2018-12-31","2019-12-30","1")</f>
        <v>-43.844221109999999</v>
      </c>
      <c r="H3340" s="11">
        <f>[1]!EM_S_FA_YOY_OR(B3340,E3340)</f>
        <v>19.725293776499999</v>
      </c>
      <c r="I3340" s="11">
        <f>[1]!EM_S_FA_GROSSPROFITMARGIN(B3340,E3340)</f>
        <v>17.194589526400001</v>
      </c>
      <c r="J3340" s="11">
        <f>[1]!EM_S_FA_NETPROFITMARGIN(B3340,E3340)</f>
        <v>1.9356470688</v>
      </c>
      <c r="K3340" s="10">
        <f>[1]!EM_S_FA_ASSETSTURN(B3340,E3340)</f>
        <v>1.1094860404369999</v>
      </c>
      <c r="L3340" s="12">
        <f>[1]!EM_HKS_VAL_MV(B3340,"2019-12-31","2")</f>
        <v>3007200000</v>
      </c>
      <c r="M3340">
        <f>[1]!EM_S_VAL_PETTMDEDUCTED(B3340,E3340)</f>
        <v>41.554428707221398</v>
      </c>
      <c r="N3340" s="7">
        <f>[1]!EM_S_VAL_PBGOODWILLDEDUCTED(B3340,E3340)</f>
        <v>3.5942807468582401</v>
      </c>
      <c r="O3340" s="7">
        <f>[1]!EM_S_VAL_PS_TTM(B3340,E3340)</f>
        <v>1.1169497122850101</v>
      </c>
      <c r="P3340" s="7">
        <f>[1]!EM_S_VAL_PCF_NCFTTM(B3340,E3340)</f>
        <v>44.937621077650199</v>
      </c>
      <c r="Q3340" s="7">
        <f>[1]!EM_S_VAL_DIVIDENDYIELD2(B3340,E3340,"2019-11-29")</f>
        <v>0</v>
      </c>
      <c r="T3340"/>
      <c r="U3340">
        <f>[1]!EM_S_RATIO_EPS_TTM(B3340,E3340,"1")</f>
        <v>0.29231792395833334</v>
      </c>
      <c r="AT3340" s="4" t="str">
        <f>[1]!EM_S_IPO_LISTEDDATE(B3340)</f>
        <v>2016-05-06</v>
      </c>
    </row>
    <row r="3341" spans="1:46">
      <c r="A3341">
        <v>2844</v>
      </c>
      <c r="B3341" t="str">
        <f>"600771"</f>
        <v>600771</v>
      </c>
      <c r="C3341" t="s">
        <v>973</v>
      </c>
      <c r="D3341" t="str">
        <f>[1]!EM_S_INFO_INDEX_EM(B3341,"1")</f>
        <v>医药生物</v>
      </c>
      <c r="E3341" s="4">
        <f t="shared" si="52"/>
        <v>43465</v>
      </c>
      <c r="F3341" s="11">
        <f>[1]!EM_S_PQ_PCTCHANGE(B3341,"2018-01-01","2019-12-31","3")</f>
        <v>-41.83466267</v>
      </c>
      <c r="G3341" s="11">
        <f>[1]!EM_S_PQ_PCTCHANGE(B3341,"2018-12-31","2019-12-30","1")</f>
        <v>-44.232767580000001</v>
      </c>
      <c r="H3341" s="11">
        <f>[1]!EM_S_FA_YOY_OR(B3341,E3341)</f>
        <v>38.511597894099999</v>
      </c>
      <c r="I3341" s="11">
        <f>[1]!EM_S_FA_GROSSPROFITMARGIN(B3341,E3341)</f>
        <v>81.115826034099996</v>
      </c>
      <c r="J3341" s="11">
        <f>[1]!EM_S_FA_NETPROFITMARGIN(B3341,E3341)</f>
        <v>24.342757814100001</v>
      </c>
      <c r="K3341" s="10">
        <f>[1]!EM_S_FA_ASSETSTURN(B3341,E3341)</f>
        <v>0.57849375327800001</v>
      </c>
      <c r="L3341" s="12">
        <f>[1]!EM_HKS_VAL_MV(B3341,"2019-12-31","2")</f>
        <v>8344314861.1199999</v>
      </c>
      <c r="M3341">
        <f>[1]!EM_S_VAL_PETTMDEDUCTED(B3341,E3341)</f>
        <v>30.300045207320501</v>
      </c>
      <c r="N3341" s="7">
        <f>[1]!EM_S_VAL_PBGOODWILLDEDUCTED(B3341,E3341)</f>
        <v>4.4534653481009796</v>
      </c>
      <c r="O3341" s="7">
        <f>[1]!EM_S_VAL_PS_TTM(B3341,E3341)</f>
        <v>7.0136186880824303</v>
      </c>
      <c r="P3341" s="7">
        <f>[1]!EM_S_VAL_PCF_NCFTTM(B3341,E3341)</f>
        <v>-236.75778099445</v>
      </c>
      <c r="Q3341" s="7">
        <f>[1]!EM_S_VAL_DIVIDENDYIELD2(B3341,E3341,"2019-11-29")</f>
        <v>0</v>
      </c>
      <c r="T3341"/>
      <c r="U3341">
        <f>[1]!EM_S_RATIO_EPS_TTM(B3341,E3341,"1")</f>
        <v>1.0601596161061309</v>
      </c>
      <c r="AT3341" s="4" t="str">
        <f>[1]!EM_S_IPO_LISTEDDATE(B3341)</f>
        <v>1996-11-05</v>
      </c>
    </row>
    <row r="3342" spans="1:46">
      <c r="A3342">
        <v>3312</v>
      </c>
      <c r="B3342" t="str">
        <f>"603200"</f>
        <v>603200</v>
      </c>
      <c r="C3342" t="s">
        <v>1547</v>
      </c>
      <c r="D3342" t="str">
        <f>[1]!EM_S_INFO_INDEX_EM(B3342,"1")</f>
        <v>公用事业</v>
      </c>
      <c r="E3342" s="4">
        <f t="shared" si="52"/>
        <v>43465</v>
      </c>
      <c r="F3342" s="11">
        <f>[1]!EM_S_PQ_PCTCHANGE(B3342,"2018-01-01","2019-12-31","3")</f>
        <v>-34.57384132</v>
      </c>
      <c r="G3342" s="11">
        <f>[1]!EM_S_PQ_PCTCHANGE(B3342,"2018-12-31","2019-12-30","1")</f>
        <v>-44.256559770000003</v>
      </c>
      <c r="H3342" s="11">
        <f>[1]!EM_S_FA_YOY_OR(B3342,E3342)</f>
        <v>37.453461062899997</v>
      </c>
      <c r="I3342" s="11">
        <f>[1]!EM_S_FA_GROSSPROFITMARGIN(B3342,E3342)</f>
        <v>38.196319254099997</v>
      </c>
      <c r="J3342" s="11">
        <f>[1]!EM_S_FA_NETPROFITMARGIN(B3342,E3342)</f>
        <v>19.432593718300001</v>
      </c>
      <c r="K3342" s="10">
        <f>[1]!EM_S_FA_ASSETSTURN(B3342,E3342)</f>
        <v>0.482099583389</v>
      </c>
      <c r="L3342" s="12">
        <f>[1]!EM_HKS_VAL_MV(B3342,"2019-12-31","2")</f>
        <v>1949065583.4000001</v>
      </c>
      <c r="M3342">
        <f>[1]!EM_S_VAL_PETTMDEDUCTED(B3342,E3342)</f>
        <v>42.935025390499902</v>
      </c>
      <c r="N3342" s="7">
        <f>[1]!EM_S_VAL_PBGOODWILLDEDUCTED(B3342,E3342)</f>
        <v>3.4801737178443699</v>
      </c>
      <c r="O3342" s="7">
        <f>[1]!EM_S_VAL_PS_TTM(B3342,E3342)</f>
        <v>7.3415697105167101</v>
      </c>
      <c r="P3342" s="7">
        <f>[1]!EM_S_VAL_PCF_NCFTTM(B3342,E3342)</f>
        <v>-15.373510134378</v>
      </c>
      <c r="Q3342" s="7">
        <f>[1]!EM_S_VAL_DIVIDENDYIELD2(B3342,E3342,"2019-11-29")</f>
        <v>1.3249021379102677</v>
      </c>
      <c r="T3342"/>
      <c r="U3342">
        <f>[1]!EM_S_RATIO_EPS_TTM(B3342,E3342,"1")</f>
        <v>1.0670901210615036</v>
      </c>
      <c r="AT3342" s="4" t="str">
        <f>[1]!EM_S_IPO_LISTEDDATE(B3342)</f>
        <v>2017-06-01</v>
      </c>
    </row>
    <row r="3343" spans="1:46">
      <c r="A3343">
        <v>3393</v>
      </c>
      <c r="B3343" t="str">
        <f>"603389"</f>
        <v>603389</v>
      </c>
      <c r="C3343" t="s">
        <v>3363</v>
      </c>
      <c r="D3343" t="str">
        <f>[1]!EM_S_INFO_INDEX_EM(B3343,"1")</f>
        <v>轻工制造</v>
      </c>
      <c r="E3343" s="4">
        <f t="shared" si="52"/>
        <v>43465</v>
      </c>
      <c r="F3343" s="11">
        <f>[1]!EM_S_PQ_PCTCHANGE(B3343,"2018-01-01","2019-12-31","3")</f>
        <v>-44.755805070000001</v>
      </c>
      <c r="G3343" s="11">
        <f>[1]!EM_S_PQ_PCTCHANGE(B3343,"2018-12-31","2019-12-30","1")</f>
        <v>-44.699140399999997</v>
      </c>
      <c r="H3343" s="11">
        <f>[1]!EM_S_FA_YOY_OR(B3343,E3343)</f>
        <v>-27.175187017900001</v>
      </c>
      <c r="I3343" s="11">
        <f>[1]!EM_S_FA_GROSSPROFITMARGIN(B3343,E3343)</f>
        <v>56.1912534063</v>
      </c>
      <c r="J3343" s="11">
        <f>[1]!EM_S_FA_NETPROFITMARGIN(B3343,E3343)</f>
        <v>-22.528306261299999</v>
      </c>
      <c r="K3343" s="10">
        <f>[1]!EM_S_FA_ASSETSTURN(B3343,E3343)</f>
        <v>0.4121658473</v>
      </c>
      <c r="L3343" s="12">
        <f>[1]!EM_HKS_VAL_MV(B3343,"2019-12-31","2")</f>
        <v>1534471680</v>
      </c>
      <c r="M3343">
        <f>[1]!EM_S_VAL_PETTMDEDUCTED(B3343,E3343)</f>
        <v>-204.93725375350499</v>
      </c>
      <c r="N3343" s="7">
        <f>[1]!EM_S_VAL_PBGOODWILLDEDUCTED(B3343,E3343)</f>
        <v>2.9408912039127202</v>
      </c>
      <c r="O3343" s="7">
        <f>[1]!EM_S_VAL_PS_TTM(B3343,E3343)</f>
        <v>4.6864363055005498</v>
      </c>
      <c r="P3343" s="7">
        <f>[1]!EM_S_VAL_PCF_NCFTTM(B3343,E3343)</f>
        <v>-708.45750928409996</v>
      </c>
      <c r="Q3343" s="7">
        <f>[1]!EM_S_VAL_DIVIDENDYIELD2(B3343,E3343,"2019-11-29")</f>
        <v>0</v>
      </c>
      <c r="T3343"/>
      <c r="U3343">
        <f>[1]!EM_S_RATIO_EPS_TTM(B3343,E3343,"1")</f>
        <v>-0.39326347506393861</v>
      </c>
      <c r="AT3343" s="4" t="str">
        <f>[1]!EM_S_IPO_LISTEDDATE(B3343)</f>
        <v>2016-12-15</v>
      </c>
    </row>
    <row r="3344" spans="1:46">
      <c r="A3344">
        <v>3269</v>
      </c>
      <c r="B3344" t="str">
        <f>"603105"</f>
        <v>603105</v>
      </c>
      <c r="C3344" t="s">
        <v>3090</v>
      </c>
      <c r="D3344" t="str">
        <f>[1]!EM_S_INFO_INDEX_EM(B3344,"1")</f>
        <v>电气设备</v>
      </c>
      <c r="E3344" s="4">
        <f t="shared" si="52"/>
        <v>43465</v>
      </c>
      <c r="F3344" s="11">
        <f>[1]!EM_S_PQ_PCTCHANGE(B3344,"2018-01-01","2019-12-31","3")</f>
        <v>49.229837670000002</v>
      </c>
      <c r="G3344" s="11">
        <f>[1]!EM_S_PQ_PCTCHANGE(B3344,"2018-12-31","2019-12-30","1")</f>
        <v>-45.107033639999997</v>
      </c>
      <c r="H3344" s="11">
        <f>[1]!EM_S_FA_YOY_OR(B3344,E3344)</f>
        <v>-58.972800521800004</v>
      </c>
      <c r="I3344" s="11">
        <f>[1]!EM_S_FA_GROSSPROFITMARGIN(B3344,E3344)</f>
        <v>45.953678066499997</v>
      </c>
      <c r="J3344" s="11">
        <f>[1]!EM_S_FA_NETPROFITMARGIN(B3344,E3344)</f>
        <v>17.222126661800001</v>
      </c>
      <c r="K3344" s="10">
        <f>[1]!EM_S_FA_ASSETSTURN(B3344,E3344)</f>
        <v>0.16152364400200001</v>
      </c>
      <c r="L3344" s="12">
        <f>[1]!EM_HKS_VAL_MV(B3344,"2019-12-31","2")</f>
        <v>3575000000</v>
      </c>
      <c r="M3344">
        <f>[1]!EM_S_VAL_PETTMDEDUCTED(B3344,E3344)</f>
        <v>56.193320216079599</v>
      </c>
      <c r="N3344" s="7">
        <f>[1]!EM_S_VAL_PBGOODWILLDEDUCTED(B3344,E3344)</f>
        <v>4.4816774252737899</v>
      </c>
      <c r="O3344" s="7">
        <f>[1]!EM_S_VAL_PS_TTM(B3344,E3344)</f>
        <v>11.1407167385234</v>
      </c>
      <c r="P3344" s="7">
        <f>[1]!EM_S_VAL_PCF_NCFTTM(B3344,E3344)</f>
        <v>32.700677423963398</v>
      </c>
      <c r="Q3344" s="7">
        <f>[1]!EM_S_VAL_DIVIDENDYIELD2(B3344,E3344,"2019-11-29")</f>
        <v>1.4184397163120568</v>
      </c>
      <c r="T3344"/>
      <c r="U3344">
        <f>[1]!EM_S_RATIO_EPS_TTM(B3344,E3344,"1")</f>
        <v>0.13232543882</v>
      </c>
      <c r="AT3344" s="4" t="str">
        <f>[1]!EM_S_IPO_LISTEDDATE(B3344)</f>
        <v>2018-07-09</v>
      </c>
    </row>
    <row r="3345" spans="1:46">
      <c r="A3345">
        <v>865</v>
      </c>
      <c r="B3345" t="str">
        <f>"002354"</f>
        <v>002354</v>
      </c>
      <c r="C3345" t="s">
        <v>1487</v>
      </c>
      <c r="D3345" t="str">
        <f>[1]!EM_S_INFO_INDEX_EM(B3345,"1")</f>
        <v>互联网</v>
      </c>
      <c r="E3345" s="4">
        <f t="shared" si="52"/>
        <v>43465</v>
      </c>
      <c r="F3345" s="11">
        <f>[1]!EM_S_PQ_PCTCHANGE(B3345,"2018-01-01","2019-12-31","3")</f>
        <v>-83.238652139999999</v>
      </c>
      <c r="G3345" s="11">
        <f>[1]!EM_S_PQ_PCTCHANGE(B3345,"2018-12-31","2019-12-30","1")</f>
        <v>-45.229007629999998</v>
      </c>
      <c r="H3345" s="11">
        <f>[1]!EM_S_FA_YOY_OR(B3345,E3345)</f>
        <v>-16.2045483305</v>
      </c>
      <c r="I3345" s="11">
        <f>[1]!EM_S_FA_GROSSPROFITMARGIN(B3345,E3345)</f>
        <v>65.093574086199993</v>
      </c>
      <c r="J3345" s="11">
        <f>[1]!EM_S_FA_NETPROFITMARGIN(B3345,E3345)</f>
        <v>-268.50579099340001</v>
      </c>
      <c r="K3345" s="10">
        <f>[1]!EM_S_FA_ASSETSTURN(B3345,E3345)</f>
        <v>0.226275212364</v>
      </c>
      <c r="L3345" s="12">
        <f>[1]!EM_HKS_VAL_MV(B3345,"2019-12-31","2")</f>
        <v>2665928694</v>
      </c>
      <c r="M3345">
        <f>[1]!EM_S_VAL_PETTMDEDUCTED(B3345,E3345)</f>
        <v>22.588115600737499</v>
      </c>
      <c r="N3345" s="7">
        <f>[1]!EM_S_VAL_PBGOODWILLDEDUCTED(B3345,E3345)</f>
        <v>-8.1289151147042293</v>
      </c>
      <c r="O3345" s="7">
        <f>[1]!EM_S_VAL_PS_TTM(B3345,E3345)</f>
        <v>1.78745665564829</v>
      </c>
      <c r="P3345" s="7">
        <f>[1]!EM_S_VAL_PCF_NCFTTM(B3345,E3345)</f>
        <v>-11.193137710413501</v>
      </c>
      <c r="Q3345" s="7">
        <f>[1]!EM_S_VAL_DIVIDENDYIELD2(B3345,E3345,"2019-11-29")</f>
        <v>0</v>
      </c>
      <c r="T3345"/>
      <c r="U3345">
        <f>[1]!EM_S_RATIO_EPS_TTM(B3345,E3345,"1")</f>
        <v>-7.671126266552049</v>
      </c>
      <c r="AT3345" s="4" t="str">
        <f>[1]!EM_S_IPO_LISTEDDATE(B3345)</f>
        <v>2010-02-09</v>
      </c>
    </row>
    <row r="3346" spans="1:46">
      <c r="A3346">
        <v>1603</v>
      </c>
      <c r="B3346" t="str">
        <f>"300178"</f>
        <v>300178</v>
      </c>
      <c r="C3346" t="s">
        <v>1206</v>
      </c>
      <c r="D3346" t="str">
        <f>[1]!EM_S_INFO_INDEX_EM(B3346,"1")</f>
        <v>休闲、生活及专业服务</v>
      </c>
      <c r="E3346" s="4">
        <f t="shared" si="52"/>
        <v>43465</v>
      </c>
      <c r="F3346" s="11">
        <f>[1]!EM_S_PQ_PCTCHANGE(B3346,"2018-01-01","2019-12-31","3")</f>
        <v>-62.413692189999999</v>
      </c>
      <c r="G3346" s="11">
        <f>[1]!EM_S_PQ_PCTCHANGE(B3346,"2018-12-31","2019-12-30","1")</f>
        <v>-45.575221239999998</v>
      </c>
      <c r="H3346" s="11">
        <f>[1]!EM_S_FA_YOY_OR(B3346,E3346)</f>
        <v>38.430370715099997</v>
      </c>
      <c r="I3346" s="11">
        <f>[1]!EM_S_FA_GROSSPROFITMARGIN(B3346,E3346)</f>
        <v>15.553985297600001</v>
      </c>
      <c r="J3346" s="11">
        <f>[1]!EM_S_FA_NETPROFITMARGIN(B3346,E3346)</f>
        <v>3.5250593220000002</v>
      </c>
      <c r="K3346" s="10">
        <f>[1]!EM_S_FA_ASSETSTURN(B3346,E3346)</f>
        <v>0.59923309369900002</v>
      </c>
      <c r="L3346" s="12">
        <f>[1]!EM_HKS_VAL_MV(B3346,"2019-12-31","2")</f>
        <v>3057881133.2800002</v>
      </c>
      <c r="M3346">
        <f>[1]!EM_S_VAL_PETTMDEDUCTED(B3346,E3346)</f>
        <v>20.749779363760901</v>
      </c>
      <c r="N3346" s="7">
        <f>[1]!EM_S_VAL_PBGOODWILLDEDUCTED(B3346,E3346)</f>
        <v>2.4728214335786598</v>
      </c>
      <c r="O3346" s="7">
        <f>[1]!EM_S_VAL_PS_TTM(B3346,E3346)</f>
        <v>1.06910627930347</v>
      </c>
      <c r="P3346" s="7">
        <f>[1]!EM_S_VAL_PCF_NCFTTM(B3346,E3346)</f>
        <v>-6.1144967082383896</v>
      </c>
      <c r="Q3346" s="7">
        <f>[1]!EM_S_VAL_DIVIDENDYIELD2(B3346,E3346,"2019-11-29")</f>
        <v>0.57259713701431503</v>
      </c>
      <c r="T3346"/>
      <c r="U3346">
        <f>[1]!EM_S_RATIO_EPS_TTM(B3346,E3346,"1")</f>
        <v>0.27209581557080531</v>
      </c>
      <c r="AT3346" s="4" t="str">
        <f>[1]!EM_S_IPO_LISTEDDATE(B3346)</f>
        <v>2011-02-15</v>
      </c>
    </row>
    <row r="3347" spans="1:46">
      <c r="A3347">
        <v>2259</v>
      </c>
      <c r="B3347" t="str">
        <f>"600112"</f>
        <v>600112</v>
      </c>
      <c r="C3347" t="s">
        <v>3492</v>
      </c>
      <c r="D3347" t="str">
        <f>[1]!EM_S_INFO_INDEX_EM(B3347,"1")</f>
        <v>电气设备</v>
      </c>
      <c r="E3347" s="4">
        <f t="shared" si="52"/>
        <v>43465</v>
      </c>
      <c r="F3347" s="11">
        <f>[1]!EM_S_PQ_PCTCHANGE(B3347,"2018-01-01","2019-12-31","3")</f>
        <v>-57.31707317</v>
      </c>
      <c r="G3347" s="11">
        <f>[1]!EM_S_PQ_PCTCHANGE(B3347,"2018-12-31","2019-12-30","1")</f>
        <v>-45.595854920000001</v>
      </c>
      <c r="H3347" s="11">
        <f>[1]!EM_S_FA_YOY_OR(B3347,E3347)</f>
        <v>-9.7895001427999997</v>
      </c>
      <c r="I3347" s="11">
        <f>[1]!EM_S_FA_GROSSPROFITMARGIN(B3347,E3347)</f>
        <v>21.5895765034</v>
      </c>
      <c r="J3347" s="11">
        <f>[1]!EM_S_FA_NETPROFITMARGIN(B3347,E3347)</f>
        <v>3.3676419931999999</v>
      </c>
      <c r="K3347" s="10">
        <f>[1]!EM_S_FA_ASSETSTURN(B3347,E3347)</f>
        <v>0.19413940272800001</v>
      </c>
      <c r="L3347" s="12">
        <f>[1]!EM_HKS_VAL_MV(B3347,"2019-12-31","2")</f>
        <v>1069330176.6</v>
      </c>
      <c r="M3347">
        <f>[1]!EM_S_VAL_PETTMDEDUCTED(B3347,E3347)</f>
        <v>-21.450585149599799</v>
      </c>
      <c r="N3347" s="7">
        <f>[1]!EM_S_VAL_PBGOODWILLDEDUCTED(B3347,E3347)</f>
        <v>1.6220832288471301</v>
      </c>
      <c r="O3347" s="7">
        <f>[1]!EM_S_VAL_PS_TTM(B3347,E3347)</f>
        <v>3.9000884534477498</v>
      </c>
      <c r="P3347" s="7">
        <f>[1]!EM_S_VAL_PCF_NCFTTM(B3347,E3347)</f>
        <v>-88.096094719312205</v>
      </c>
      <c r="Q3347" s="7">
        <f>[1]!EM_S_VAL_DIVIDENDYIELD2(B3347,E3347,"2019-11-29")</f>
        <v>0</v>
      </c>
      <c r="T3347"/>
      <c r="U3347">
        <f>[1]!EM_S_RATIO_EPS_TTM(B3347,E3347,"1")</f>
        <v>3.3710748718993926E-2</v>
      </c>
      <c r="AT3347" s="4" t="str">
        <f>[1]!EM_S_IPO_LISTEDDATE(B3347)</f>
        <v>1997-11-27</v>
      </c>
    </row>
    <row r="3348" spans="1:46">
      <c r="A3348">
        <v>1846</v>
      </c>
      <c r="B3348" t="str">
        <f>"300421"</f>
        <v>300421</v>
      </c>
      <c r="C3348" t="s">
        <v>1743</v>
      </c>
      <c r="D3348" t="str">
        <f>[1]!EM_S_INFO_INDEX_EM(B3348,"1")</f>
        <v>机械设备</v>
      </c>
      <c r="E3348" s="4">
        <f t="shared" si="52"/>
        <v>43465</v>
      </c>
      <c r="F3348" s="11">
        <f>[1]!EM_S_PQ_PCTCHANGE(B3348,"2018-01-01","2019-12-31","3")</f>
        <v>-29.36317597</v>
      </c>
      <c r="G3348" s="11">
        <f>[1]!EM_S_PQ_PCTCHANGE(B3348,"2018-12-31","2019-12-30","1")</f>
        <v>-45.770750990000003</v>
      </c>
      <c r="H3348" s="11">
        <f>[1]!EM_S_FA_YOY_OR(B3348,E3348)</f>
        <v>6.4703117350000001</v>
      </c>
      <c r="I3348" s="11">
        <f>[1]!EM_S_FA_GROSSPROFITMARGIN(B3348,E3348)</f>
        <v>25.634092842600001</v>
      </c>
      <c r="J3348" s="11">
        <f>[1]!EM_S_FA_NETPROFITMARGIN(B3348,E3348)</f>
        <v>10.345063894000001</v>
      </c>
      <c r="K3348" s="10">
        <f>[1]!EM_S_FA_ASSETSTURN(B3348,E3348)</f>
        <v>0.46835509955400001</v>
      </c>
      <c r="L3348" s="12">
        <f>[1]!EM_HKS_VAL_MV(B3348,"2019-12-31","2")</f>
        <v>1692972243.5599999</v>
      </c>
      <c r="M3348">
        <f>[1]!EM_S_VAL_PETTMDEDUCTED(B3348,E3348)</f>
        <v>26.288101430527998</v>
      </c>
      <c r="N3348" s="7">
        <f>[1]!EM_S_VAL_PBGOODWILLDEDUCTED(B3348,E3348)</f>
        <v>1.5695140500267699</v>
      </c>
      <c r="O3348" s="7">
        <f>[1]!EM_S_VAL_PS_TTM(B3348,E3348)</f>
        <v>2.3046611432158</v>
      </c>
      <c r="P3348" s="7">
        <f>[1]!EM_S_VAL_PCF_NCFTTM(B3348,E3348)</f>
        <v>-35.085822667284901</v>
      </c>
      <c r="Q3348" s="7">
        <f>[1]!EM_S_VAL_DIVIDENDYIELD2(B3348,E3348,"2019-11-29")</f>
        <v>3.3827152048737439</v>
      </c>
      <c r="T3348"/>
      <c r="U3348">
        <f>[1]!EM_S_RATIO_EPS_TTM(B3348,E3348,"1")</f>
        <v>0.5470786202359188</v>
      </c>
      <c r="AT3348" s="4" t="str">
        <f>[1]!EM_S_IPO_LISTEDDATE(B3348)</f>
        <v>2015-02-17</v>
      </c>
    </row>
    <row r="3349" spans="1:46">
      <c r="A3349">
        <v>1973</v>
      </c>
      <c r="B3349" t="str">
        <f>"300550"</f>
        <v>300550</v>
      </c>
      <c r="C3349" t="s">
        <v>2601</v>
      </c>
      <c r="D3349" t="str">
        <f>[1]!EM_S_INFO_INDEX_EM(B3349,"1")</f>
        <v>信息技术</v>
      </c>
      <c r="E3349" s="4">
        <f t="shared" si="52"/>
        <v>43465</v>
      </c>
      <c r="F3349" s="11">
        <f>[1]!EM_S_PQ_PCTCHANGE(B3349,"2018-01-01","2019-12-31","3")</f>
        <v>25.2396232</v>
      </c>
      <c r="G3349" s="11">
        <f>[1]!EM_S_PQ_PCTCHANGE(B3349,"2018-12-31","2019-12-30","1")</f>
        <v>-46.270084160000003</v>
      </c>
      <c r="H3349" s="11">
        <f>[1]!EM_S_FA_YOY_OR(B3349,E3349)</f>
        <v>41.686800514200002</v>
      </c>
      <c r="I3349" s="11">
        <f>[1]!EM_S_FA_GROSSPROFITMARGIN(B3349,E3349)</f>
        <v>46.113961082499998</v>
      </c>
      <c r="J3349" s="11">
        <f>[1]!EM_S_FA_NETPROFITMARGIN(B3349,E3349)</f>
        <v>9.8600511485000002</v>
      </c>
      <c r="K3349" s="10">
        <f>[1]!EM_S_FA_ASSETSTURN(B3349,E3349)</f>
        <v>0.47829316082000001</v>
      </c>
      <c r="L3349" s="12">
        <f>[1]!EM_HKS_VAL_MV(B3349,"2019-12-31","2")</f>
        <v>3269318220</v>
      </c>
      <c r="M3349">
        <f>[1]!EM_S_VAL_PETTMDEDUCTED(B3349,E3349)</f>
        <v>141.979845477894</v>
      </c>
      <c r="N3349" s="7">
        <f>[1]!EM_S_VAL_PBGOODWILLDEDUCTED(B3349,E3349)</f>
        <v>7.9520916677590101</v>
      </c>
      <c r="O3349" s="7">
        <f>[1]!EM_S_VAL_PS_TTM(B3349,E3349)</f>
        <v>13.0933366139966</v>
      </c>
      <c r="P3349" s="7">
        <f>[1]!EM_S_VAL_PCF_NCFTTM(B3349,E3349)</f>
        <v>99.030097115290502</v>
      </c>
      <c r="Q3349" s="7">
        <f>[1]!EM_S_VAL_DIVIDENDYIELD2(B3349,E3349,"2019-11-29")</f>
        <v>0.19974432726110578</v>
      </c>
      <c r="T3349"/>
      <c r="U3349">
        <f>[1]!EM_S_RATIO_EPS_TTM(B3349,E3349,"1")</f>
        <v>0.48674963088217593</v>
      </c>
      <c r="AT3349" s="4" t="str">
        <f>[1]!EM_S_IPO_LISTEDDATE(B3349)</f>
        <v>2016-10-18</v>
      </c>
    </row>
    <row r="3350" spans="1:46">
      <c r="A3350">
        <v>1047</v>
      </c>
      <c r="B3350" t="str">
        <f>"002536"</f>
        <v>002536</v>
      </c>
      <c r="C3350" t="s">
        <v>596</v>
      </c>
      <c r="D3350" t="str">
        <f>[1]!EM_S_INFO_INDEX_EM(B3350,"1")</f>
        <v>交运设备</v>
      </c>
      <c r="E3350" s="4">
        <f t="shared" si="52"/>
        <v>43465</v>
      </c>
      <c r="F3350" s="11">
        <f>[1]!EM_S_PQ_PCTCHANGE(B3350,"2018-01-01","2019-12-31","3")</f>
        <v>-44.748884140000001</v>
      </c>
      <c r="G3350" s="11">
        <f>[1]!EM_S_PQ_PCTCHANGE(B3350,"2018-12-31","2019-12-30","1")</f>
        <v>-46.601941750000002</v>
      </c>
      <c r="H3350" s="11">
        <f>[1]!EM_S_FA_YOY_OR(B3350,E3350)</f>
        <v>5.7978032732000004</v>
      </c>
      <c r="I3350" s="11">
        <f>[1]!EM_S_FA_GROSSPROFITMARGIN(B3350,E3350)</f>
        <v>27.901698340399999</v>
      </c>
      <c r="J3350" s="11">
        <f>[1]!EM_S_FA_NETPROFITMARGIN(B3350,E3350)</f>
        <v>8.5900552662000003</v>
      </c>
      <c r="K3350" s="10">
        <f>[1]!EM_S_FA_ASSETSTURN(B3350,E3350)</f>
        <v>0.81760257277500004</v>
      </c>
      <c r="L3350" s="12">
        <f>[1]!EM_HKS_VAL_MV(B3350,"2019-12-31","2")</f>
        <v>2498551951.8600001</v>
      </c>
      <c r="M3350">
        <f>[1]!EM_S_VAL_PETTMDEDUCTED(B3350,E3350)</f>
        <v>12.623192755616101</v>
      </c>
      <c r="N3350" s="7">
        <f>[1]!EM_S_VAL_PBGOODWILLDEDUCTED(B3350,E3350)</f>
        <v>1.4104840830169101</v>
      </c>
      <c r="O3350" s="7">
        <f>[1]!EM_S_VAL_PS_TTM(B3350,E3350)</f>
        <v>1.07299232032886</v>
      </c>
      <c r="P3350" s="7">
        <f>[1]!EM_S_VAL_PCF_NCFTTM(B3350,E3350)</f>
        <v>-115.733032714491</v>
      </c>
      <c r="Q3350" s="7">
        <f>[1]!EM_S_VAL_DIVIDENDYIELD2(B3350,E3350,"2019-11-29")</f>
        <v>7.4404761904761916</v>
      </c>
      <c r="T3350"/>
      <c r="U3350">
        <f>[1]!EM_S_RATIO_EPS_TTM(B3350,E3350,"1")</f>
        <v>0.73512971078010159</v>
      </c>
      <c r="AT3350" s="4" t="str">
        <f>[1]!EM_S_IPO_LISTEDDATE(B3350)</f>
        <v>2011-01-11</v>
      </c>
    </row>
    <row r="3351" spans="1:46">
      <c r="A3351">
        <v>1854</v>
      </c>
      <c r="B3351" t="str">
        <f>"300429"</f>
        <v>300429</v>
      </c>
      <c r="C3351" t="s">
        <v>644</v>
      </c>
      <c r="D3351" t="str">
        <f>[1]!EM_S_INFO_INDEX_EM(B3351,"1")</f>
        <v>基础化工</v>
      </c>
      <c r="E3351" s="4">
        <f t="shared" si="52"/>
        <v>43465</v>
      </c>
      <c r="F3351" s="11">
        <f>[1]!EM_S_PQ_PCTCHANGE(B3351,"2018-01-01","2019-12-31","3")</f>
        <v>34.614080520000002</v>
      </c>
      <c r="G3351" s="11">
        <f>[1]!EM_S_PQ_PCTCHANGE(B3351,"2018-12-31","2019-12-30","1")</f>
        <v>-46.82692308</v>
      </c>
      <c r="H3351" s="11">
        <f>[1]!EM_S_FA_YOY_OR(B3351,E3351)</f>
        <v>15.489941310500001</v>
      </c>
      <c r="I3351" s="11">
        <f>[1]!EM_S_FA_GROSSPROFITMARGIN(B3351,E3351)</f>
        <v>40.0363232371</v>
      </c>
      <c r="J3351" s="11">
        <f>[1]!EM_S_FA_NETPROFITMARGIN(B3351,E3351)</f>
        <v>18.519776474</v>
      </c>
      <c r="K3351" s="10">
        <f>[1]!EM_S_FA_ASSETSTURN(B3351,E3351)</f>
        <v>0.46700387892299999</v>
      </c>
      <c r="L3351" s="12">
        <f>[1]!EM_HKS_VAL_MV(B3351,"2019-12-31","2")</f>
        <v>8589273977.96</v>
      </c>
      <c r="M3351">
        <f>[1]!EM_S_VAL_PETTMDEDUCTED(B3351,E3351)</f>
        <v>64.460482332189898</v>
      </c>
      <c r="N3351" s="7">
        <f>[1]!EM_S_VAL_PBGOODWILLDEDUCTED(B3351,E3351)</f>
        <v>6.2245391202787896</v>
      </c>
      <c r="O3351" s="7">
        <f>[1]!EM_S_VAL_PS_TTM(B3351,E3351)</f>
        <v>12.4331000680037</v>
      </c>
      <c r="P3351" s="7">
        <f>[1]!EM_S_VAL_PCF_NCFTTM(B3351,E3351)</f>
        <v>300.36887108244599</v>
      </c>
      <c r="Q3351" s="7">
        <f>[1]!EM_S_VAL_DIVIDENDYIELD2(B3351,E3351,"2019-11-29")</f>
        <v>0.58049535671312436</v>
      </c>
      <c r="T3351"/>
      <c r="U3351">
        <f>[1]!EM_S_RATIO_EPS_TTM(B3351,E3351,"1")</f>
        <v>0.54042787644851609</v>
      </c>
      <c r="AT3351" s="4" t="str">
        <f>[1]!EM_S_IPO_LISTEDDATE(B3351)</f>
        <v>2015-03-24</v>
      </c>
    </row>
    <row r="3352" spans="1:46">
      <c r="A3352">
        <v>624</v>
      </c>
      <c r="B3352" t="str">
        <f>"002113"</f>
        <v>002113</v>
      </c>
      <c r="C3352" t="s">
        <v>2303</v>
      </c>
      <c r="D3352" t="str">
        <f>[1]!EM_S_INFO_INDEX_EM(B3352,"1")</f>
        <v>互联网</v>
      </c>
      <c r="E3352" s="4">
        <f t="shared" si="52"/>
        <v>43465</v>
      </c>
      <c r="F3352" s="11">
        <f>[1]!EM_S_PQ_PCTCHANGE(B3352,"2018-01-01","2019-12-31","3")</f>
        <v>-72.833281119999995</v>
      </c>
      <c r="G3352" s="11">
        <f>[1]!EM_S_PQ_PCTCHANGE(B3352,"2018-12-31","2019-12-30","1")</f>
        <v>-46.933333330000004</v>
      </c>
      <c r="H3352" s="11">
        <f>[1]!EM_S_FA_YOY_OR(B3352,E3352)</f>
        <v>154.95186338970001</v>
      </c>
      <c r="I3352" s="11">
        <f>[1]!EM_S_FA_GROSSPROFITMARGIN(B3352,E3352)</f>
        <v>50.320380265700003</v>
      </c>
      <c r="J3352" s="11">
        <f>[1]!EM_S_FA_NETPROFITMARGIN(B3352,E3352)</f>
        <v>-71.740502091699994</v>
      </c>
      <c r="K3352" s="10">
        <f>[1]!EM_S_FA_ASSETSTURN(B3352,E3352)</f>
        <v>0.17597881719</v>
      </c>
      <c r="L3352" s="12">
        <f>[1]!EM_HKS_VAL_MV(B3352,"2019-12-31","2")</f>
        <v>3004078142.8000002</v>
      </c>
      <c r="M3352">
        <f>[1]!EM_S_VAL_PETTMDEDUCTED(B3352,E3352)</f>
        <v>-17.964212385907501</v>
      </c>
      <c r="N3352" s="7">
        <f>[1]!EM_S_VAL_PBGOODWILLDEDUCTED(B3352,E3352)</f>
        <v>6.6279885494718398</v>
      </c>
      <c r="O3352" s="7">
        <f>[1]!EM_S_VAL_PS_TTM(B3352,E3352)</f>
        <v>12.640053734532</v>
      </c>
      <c r="P3352" s="7">
        <f>[1]!EM_S_VAL_PCF_NCFTTM(B3352,E3352)</f>
        <v>-51.690466071885702</v>
      </c>
      <c r="Q3352" s="7">
        <f>[1]!EM_S_VAL_DIVIDENDYIELD2(B3352,E3352,"2019-11-29")</f>
        <v>0</v>
      </c>
      <c r="T3352"/>
      <c r="U3352">
        <f>[1]!EM_S_RATIO_EPS_TTM(B3352,E3352,"1")</f>
        <v>-0.2457799044717979</v>
      </c>
      <c r="AT3352" s="4" t="str">
        <f>[1]!EM_S_IPO_LISTEDDATE(B3352)</f>
        <v>2007-02-08</v>
      </c>
    </row>
    <row r="3353" spans="1:46">
      <c r="A3353">
        <v>2153</v>
      </c>
      <c r="B3353" t="str">
        <f>"300740"</f>
        <v>300740</v>
      </c>
      <c r="C3353" t="s">
        <v>593</v>
      </c>
      <c r="D3353" t="str">
        <f>[1]!EM_S_INFO_INDEX_EM(B3353,"1")</f>
        <v>基础化工</v>
      </c>
      <c r="E3353" s="4">
        <f t="shared" si="52"/>
        <v>43465</v>
      </c>
      <c r="F3353" s="11">
        <f>[1]!EM_S_PQ_PCTCHANGE(B3353,"2018-01-01","2019-12-31","3")</f>
        <v>14.862637210000001</v>
      </c>
      <c r="G3353" s="11">
        <f>[1]!EM_S_PQ_PCTCHANGE(B3353,"2018-12-31","2019-12-30","1")</f>
        <v>-47.237569059999998</v>
      </c>
      <c r="H3353" s="11">
        <f>[1]!EM_S_FA_YOY_OR(B3353,E3353)</f>
        <v>36.3786686495</v>
      </c>
      <c r="I3353" s="11">
        <f>[1]!EM_S_FA_GROSSPROFITMARGIN(B3353,E3353)</f>
        <v>51.669494974199999</v>
      </c>
      <c r="J3353" s="11">
        <f>[1]!EM_S_FA_NETPROFITMARGIN(B3353,E3353)</f>
        <v>5.6808709190000002</v>
      </c>
      <c r="K3353" s="10">
        <f>[1]!EM_S_FA_ASSETSTURN(B3353,E3353)</f>
        <v>1.626687252163</v>
      </c>
      <c r="L3353" s="12">
        <f>[1]!EM_HKS_VAL_MV(B3353,"2019-12-31","2")</f>
        <v>3901536467.9200001</v>
      </c>
      <c r="M3353">
        <f>[1]!EM_S_VAL_PETTMDEDUCTED(B3353,E3353)</f>
        <v>32.853465937281896</v>
      </c>
      <c r="N3353" s="7">
        <f>[1]!EM_S_VAL_PBGOODWILLDEDUCTED(B3353,E3353)</f>
        <v>3.51746779687462</v>
      </c>
      <c r="O3353" s="7">
        <f>[1]!EM_S_VAL_PS_TTM(B3353,E3353)</f>
        <v>2.2424446470294002</v>
      </c>
      <c r="P3353" s="7">
        <f>[1]!EM_S_VAL_PCF_NCFTTM(B3353,E3353)</f>
        <v>79.205163481264904</v>
      </c>
      <c r="Q3353" s="7">
        <f>[1]!EM_S_VAL_DIVIDENDYIELD2(B3353,E3353,"2019-11-29")</f>
        <v>0</v>
      </c>
      <c r="T3353"/>
      <c r="U3353">
        <f>[1]!EM_S_RATIO_EPS_TTM(B3353,E3353,"1")</f>
        <v>0.48057403496323531</v>
      </c>
      <c r="AT3353" s="4" t="str">
        <f>[1]!EM_S_IPO_LISTEDDATE(B3353)</f>
        <v>2018-02-08</v>
      </c>
    </row>
    <row r="3354" spans="1:46">
      <c r="A3354">
        <v>3375</v>
      </c>
      <c r="B3354" t="str">
        <f>"603357"</f>
        <v>603357</v>
      </c>
      <c r="C3354" t="s">
        <v>198</v>
      </c>
      <c r="D3354" t="str">
        <f>[1]!EM_S_INFO_INDEX_EM(B3354,"1")</f>
        <v>休闲、生活及专业服务</v>
      </c>
      <c r="E3354" s="4">
        <f t="shared" si="52"/>
        <v>43465</v>
      </c>
      <c r="F3354" s="11">
        <f>[1]!EM_S_PQ_PCTCHANGE(B3354,"2018-01-01","2019-12-31","3")</f>
        <v>-30.40419984</v>
      </c>
      <c r="G3354" s="11">
        <f>[1]!EM_S_PQ_PCTCHANGE(B3354,"2018-12-31","2019-12-30","1")</f>
        <v>-47.418546370000001</v>
      </c>
      <c r="H3354" s="11">
        <f>[1]!EM_S_FA_YOY_OR(B3354,E3354)</f>
        <v>20.0379878255</v>
      </c>
      <c r="I3354" s="11">
        <f>[1]!EM_S_FA_GROSSPROFITMARGIN(B3354,E3354)</f>
        <v>47.509402950199998</v>
      </c>
      <c r="J3354" s="11">
        <f>[1]!EM_S_FA_NETPROFITMARGIN(B3354,E3354)</f>
        <v>26.4793286124</v>
      </c>
      <c r="K3354" s="10">
        <f>[1]!EM_S_FA_ASSETSTURN(B3354,E3354)</f>
        <v>0.57024957279300004</v>
      </c>
      <c r="L3354" s="12">
        <f>[1]!EM_HKS_VAL_MV(B3354,"2019-12-31","2")</f>
        <v>4781789182.96</v>
      </c>
      <c r="M3354">
        <f>[1]!EM_S_VAL_PETTMDEDUCTED(B3354,E3354)</f>
        <v>13.9653063458102</v>
      </c>
      <c r="N3354" s="7">
        <f>[1]!EM_S_VAL_PBGOODWILLDEDUCTED(B3354,E3354)</f>
        <v>3.0092702373814602</v>
      </c>
      <c r="O3354" s="7">
        <f>[1]!EM_S_VAL_PS_TTM(B3354,E3354)</f>
        <v>3.74012102607549</v>
      </c>
      <c r="P3354" s="7">
        <f>[1]!EM_S_VAL_PCF_NCFTTM(B3354,E3354)</f>
        <v>-35.389066976044901</v>
      </c>
      <c r="Q3354" s="7">
        <f>[1]!EM_S_VAL_DIVIDENDYIELD2(B3354,E3354,"2019-11-29")</f>
        <v>2.8186443033191404</v>
      </c>
      <c r="T3354"/>
      <c r="U3354">
        <f>[1]!EM_S_RATIO_EPS_TTM(B3354,E3354,"1")</f>
        <v>1.3453359720715734</v>
      </c>
      <c r="AT3354" s="4" t="str">
        <f>[1]!EM_S_IPO_LISTEDDATE(B3354)</f>
        <v>2017-08-01</v>
      </c>
    </row>
    <row r="3355" spans="1:46">
      <c r="A3355">
        <v>1227</v>
      </c>
      <c r="B3355" t="str">
        <f>"002717"</f>
        <v>002717</v>
      </c>
      <c r="C3355" t="s">
        <v>1113</v>
      </c>
      <c r="D3355" t="str">
        <f>[1]!EM_S_INFO_INDEX_EM(B3355,"1")</f>
        <v>公用事业</v>
      </c>
      <c r="E3355" s="4">
        <f t="shared" si="52"/>
        <v>43465</v>
      </c>
      <c r="F3355" s="11">
        <f>[1]!EM_S_PQ_PCTCHANGE(B3355,"2018-01-01","2019-12-31","3")</f>
        <v>-37.015574129999997</v>
      </c>
      <c r="G3355" s="11">
        <f>[1]!EM_S_PQ_PCTCHANGE(B3355,"2018-12-31","2019-12-30","1")</f>
        <v>-47.474747469999997</v>
      </c>
      <c r="H3355" s="11">
        <f>[1]!EM_S_FA_YOY_OR(B3355,E3355)</f>
        <v>85.046696051699996</v>
      </c>
      <c r="I3355" s="11">
        <f>[1]!EM_S_FA_GROSSPROFITMARGIN(B3355,E3355)</f>
        <v>25.024397732200001</v>
      </c>
      <c r="J3355" s="11">
        <f>[1]!EM_S_FA_NETPROFITMARGIN(B3355,E3355)</f>
        <v>9.0400854439000007</v>
      </c>
      <c r="K3355" s="10">
        <f>[1]!EM_S_FA_ASSETSTURN(B3355,E3355)</f>
        <v>0.64757102185500004</v>
      </c>
      <c r="L3355" s="12">
        <f>[1]!EM_HKS_VAL_MV(B3355,"2019-12-31","2")</f>
        <v>7224761195.1000004</v>
      </c>
      <c r="M3355">
        <f>[1]!EM_S_VAL_PETTMDEDUCTED(B3355,E3355)</f>
        <v>11.7603644580495</v>
      </c>
      <c r="N3355" s="7">
        <f>[1]!EM_S_VAL_PBGOODWILLDEDUCTED(B3355,E3355)</f>
        <v>2.7780595269717598</v>
      </c>
      <c r="O3355" s="7">
        <f>[1]!EM_S_VAL_PS_TTM(B3355,E3355)</f>
        <v>1.1498088595626901</v>
      </c>
      <c r="P3355" s="7">
        <f>[1]!EM_S_VAL_PCF_NCFTTM(B3355,E3355)</f>
        <v>11.378011527587301</v>
      </c>
      <c r="Q3355" s="7">
        <f>[1]!EM_S_VAL_DIVIDENDYIELD2(B3355,E3355,"2019-11-29")</f>
        <v>1.2176503955462401</v>
      </c>
      <c r="T3355"/>
      <c r="U3355">
        <f>[1]!EM_S_RATIO_EPS_TTM(B3355,E3355,"1")</f>
        <v>0.76025391439626877</v>
      </c>
      <c r="AT3355" s="4" t="str">
        <f>[1]!EM_S_IPO_LISTEDDATE(B3355)</f>
        <v>2014-02-19</v>
      </c>
    </row>
    <row r="3356" spans="1:46">
      <c r="A3356">
        <v>3598</v>
      </c>
      <c r="B3356" t="str">
        <f>"603909"</f>
        <v>603909</v>
      </c>
      <c r="C3356" t="s">
        <v>2724</v>
      </c>
      <c r="D3356" t="str">
        <f>[1]!EM_S_INFO_INDEX_EM(B3356,"1")</f>
        <v>休闲、生活及专业服务</v>
      </c>
      <c r="E3356" s="4">
        <f t="shared" si="52"/>
        <v>43465</v>
      </c>
      <c r="F3356" s="11">
        <f>[1]!EM_S_PQ_PCTCHANGE(B3356,"2018-01-01","2019-12-31","3")</f>
        <v>-41.471465629999997</v>
      </c>
      <c r="G3356" s="11">
        <f>[1]!EM_S_PQ_PCTCHANGE(B3356,"2018-12-31","2019-12-30","1")</f>
        <v>-48.171206230000003</v>
      </c>
      <c r="H3356" s="11">
        <f>[1]!EM_S_FA_YOY_OR(B3356,E3356)</f>
        <v>83.189738208700007</v>
      </c>
      <c r="I3356" s="11">
        <f>[1]!EM_S_FA_GROSSPROFITMARGIN(B3356,E3356)</f>
        <v>41.261114575599997</v>
      </c>
      <c r="J3356" s="11">
        <f>[1]!EM_S_FA_NETPROFITMARGIN(B3356,E3356)</f>
        <v>10.794718873300001</v>
      </c>
      <c r="K3356" s="10">
        <f>[1]!EM_S_FA_ASSETSTURN(B3356,E3356)</f>
        <v>0.60700521918999994</v>
      </c>
      <c r="L3356" s="12">
        <f>[1]!EM_HKS_VAL_MV(B3356,"2019-12-31","2")</f>
        <v>1940525720</v>
      </c>
      <c r="M3356">
        <f>[1]!EM_S_VAL_PETTMDEDUCTED(B3356,E3356)</f>
        <v>68.961571677091598</v>
      </c>
      <c r="N3356" s="7">
        <f>[1]!EM_S_VAL_PBGOODWILLDEDUCTED(B3356,E3356)</f>
        <v>4.4489601654059401</v>
      </c>
      <c r="O3356" s="7">
        <f>[1]!EM_S_VAL_PS_TTM(B3356,E3356)</f>
        <v>5.7283396492954202</v>
      </c>
      <c r="P3356" s="7">
        <f>[1]!EM_S_VAL_PCF_NCFTTM(B3356,E3356)</f>
        <v>-1295.73029654125</v>
      </c>
      <c r="Q3356" s="7">
        <f>[1]!EM_S_VAL_DIVIDENDYIELD2(B3356,E3356,"2019-11-29")</f>
        <v>0.71519278806569997</v>
      </c>
      <c r="T3356"/>
      <c r="U3356">
        <f>[1]!EM_S_RATIO_EPS_TTM(B3356,E3356,"1")</f>
        <v>0.66239779873170734</v>
      </c>
      <c r="AT3356" s="4" t="str">
        <f>[1]!EM_S_IPO_LISTEDDATE(B3356)</f>
        <v>2016-06-28</v>
      </c>
    </row>
    <row r="3357" spans="1:46">
      <c r="A3357">
        <v>801</v>
      </c>
      <c r="B3357" t="str">
        <f>"002290"</f>
        <v>002290</v>
      </c>
      <c r="C3357" t="s">
        <v>1652</v>
      </c>
      <c r="D3357" t="str">
        <f>[1]!EM_S_INFO_INDEX_EM(B3357,"1")</f>
        <v>家电</v>
      </c>
      <c r="E3357" s="4">
        <f t="shared" si="52"/>
        <v>43465</v>
      </c>
      <c r="F3357" s="11">
        <f>[1]!EM_S_PQ_PCTCHANGE(B3357,"2018-01-01","2019-12-31","3")</f>
        <v>-61.19664324</v>
      </c>
      <c r="G3357" s="11">
        <f>[1]!EM_S_PQ_PCTCHANGE(B3357,"2018-12-31","2019-12-30","1")</f>
        <v>-48.182762199999999</v>
      </c>
      <c r="H3357" s="11">
        <f>[1]!EM_S_FA_YOY_OR(B3357,E3357)</f>
        <v>21.143295662</v>
      </c>
      <c r="I3357" s="11">
        <f>[1]!EM_S_FA_GROSSPROFITMARGIN(B3357,E3357)</f>
        <v>14.806140367099999</v>
      </c>
      <c r="J3357" s="11">
        <f>[1]!EM_S_FA_NETPROFITMARGIN(B3357,E3357)</f>
        <v>3.6231808374000001</v>
      </c>
      <c r="K3357" s="10">
        <f>[1]!EM_S_FA_ASSETSTURN(B3357,E3357)</f>
        <v>0.52417106940699998</v>
      </c>
      <c r="L3357" s="12">
        <f>[1]!EM_HKS_VAL_MV(B3357,"2019-12-31","2")</f>
        <v>1211134526.7</v>
      </c>
      <c r="M3357">
        <f>[1]!EM_S_VAL_PETTMDEDUCTED(B3357,E3357)</f>
        <v>306.57398395477497</v>
      </c>
      <c r="N3357" s="7">
        <f>[1]!EM_S_VAL_PBGOODWILLDEDUCTED(B3357,E3357)</f>
        <v>1.88209924556488</v>
      </c>
      <c r="O3357" s="7">
        <f>[1]!EM_S_VAL_PS_TTM(B3357,E3357)</f>
        <v>1.4102643589267201</v>
      </c>
      <c r="P3357" s="7">
        <f>[1]!EM_S_VAL_PCF_NCFTTM(B3357,E3357)</f>
        <v>14.546297151482801</v>
      </c>
      <c r="Q3357" s="7">
        <f>[1]!EM_S_VAL_DIVIDENDYIELD2(B3357,E3357,"2019-11-29")</f>
        <v>0</v>
      </c>
      <c r="T3357"/>
      <c r="U3357">
        <f>[1]!EM_S_RATIO_EPS_TTM(B3357,E3357,"1")</f>
        <v>0.2588904928727766</v>
      </c>
      <c r="AT3357" s="4" t="str">
        <f>[1]!EM_S_IPO_LISTEDDATE(B3357)</f>
        <v>2009-09-03</v>
      </c>
    </row>
    <row r="3358" spans="1:46">
      <c r="A3358">
        <v>3240</v>
      </c>
      <c r="B3358" t="str">
        <f>"603045"</f>
        <v>603045</v>
      </c>
      <c r="C3358" t="s">
        <v>2149</v>
      </c>
      <c r="D3358" t="str">
        <f>[1]!EM_S_INFO_INDEX_EM(B3358,"1")</f>
        <v>电气设备</v>
      </c>
      <c r="E3358" s="4">
        <f t="shared" si="52"/>
        <v>43465</v>
      </c>
      <c r="F3358" s="11">
        <f>[1]!EM_S_PQ_PCTCHANGE(B3358,"2018-01-01","2019-12-31","3")</f>
        <v>118.56508678</v>
      </c>
      <c r="G3358" s="11">
        <f>[1]!EM_S_PQ_PCTCHANGE(B3358,"2018-12-31","2019-12-30","1")</f>
        <v>-48.188153309999997</v>
      </c>
      <c r="H3358" s="11">
        <f>[1]!EM_S_FA_YOY_OR(B3358,E3358)</f>
        <v>5.6221007970999999</v>
      </c>
      <c r="I3358" s="11">
        <f>[1]!EM_S_FA_GROSSPROFITMARGIN(B3358,E3358)</f>
        <v>14.7359476478</v>
      </c>
      <c r="J3358" s="11">
        <f>[1]!EM_S_FA_NETPROFITMARGIN(B3358,E3358)</f>
        <v>4.3630040494999998</v>
      </c>
      <c r="K3358" s="10">
        <f>[1]!EM_S_FA_ASSETSTURN(B3358,E3358)</f>
        <v>1.0968245070330001</v>
      </c>
      <c r="L3358" s="12">
        <f>[1]!EM_HKS_VAL_MV(B3358,"2019-12-31","2")</f>
        <v>2064300000</v>
      </c>
      <c r="M3358">
        <f>[1]!EM_S_VAL_PETTMDEDUCTED(B3358,E3358)</f>
        <v>62.793661126398398</v>
      </c>
      <c r="N3358" s="7">
        <f>[1]!EM_S_VAL_PBGOODWILLDEDUCTED(B3358,E3358)</f>
        <v>3.6716087562103499</v>
      </c>
      <c r="O3358" s="7">
        <f>[1]!EM_S_VAL_PS_TTM(B3358,E3358)</f>
        <v>2.2145645817439399</v>
      </c>
      <c r="P3358" s="7">
        <f>[1]!EM_S_VAL_PCF_NCFTTM(B3358,E3358)</f>
        <v>1021.91373438497</v>
      </c>
      <c r="Q3358" s="7">
        <f>[1]!EM_S_VAL_DIVIDENDYIELD2(B3358,E3358,"2019-11-29")</f>
        <v>0.60790273556231</v>
      </c>
      <c r="T3358"/>
      <c r="U3358">
        <f>[1]!EM_S_RATIO_EPS_TTM(B3358,E3358,"1")</f>
        <v>0.58830976459816886</v>
      </c>
      <c r="AT3358" s="4" t="str">
        <f>[1]!EM_S_IPO_LISTEDDATE(B3358)</f>
        <v>2018-05-17</v>
      </c>
    </row>
    <row r="3359" spans="1:46">
      <c r="A3359">
        <v>1787</v>
      </c>
      <c r="B3359" t="str">
        <f>"300362"</f>
        <v>300362</v>
      </c>
      <c r="C3359" t="s">
        <v>2877</v>
      </c>
      <c r="D3359" t="str">
        <f>[1]!EM_S_INFO_INDEX_EM(B3359,"1")</f>
        <v>机械设备</v>
      </c>
      <c r="E3359" s="4">
        <f t="shared" si="52"/>
        <v>43465</v>
      </c>
      <c r="F3359" s="11">
        <f>[1]!EM_S_PQ_PCTCHANGE(B3359,"2018-01-01","2019-12-31","3")</f>
        <v>-79.136459990000006</v>
      </c>
      <c r="G3359" s="11">
        <f>[1]!EM_S_PQ_PCTCHANGE(B3359,"2018-12-31","2019-12-30","1")</f>
        <v>-48.374760989999999</v>
      </c>
      <c r="H3359" s="11">
        <f>[1]!EM_S_FA_YOY_OR(B3359,E3359)</f>
        <v>-62.677156129799997</v>
      </c>
      <c r="I3359" s="11">
        <f>[1]!EM_S_FA_GROSSPROFITMARGIN(B3359,E3359)</f>
        <v>-21.318866036500001</v>
      </c>
      <c r="J3359" s="11">
        <f>[1]!EM_S_FA_NETPROFITMARGIN(B3359,E3359)</f>
        <v>-502.9992469915</v>
      </c>
      <c r="K3359" s="10">
        <f>[1]!EM_S_FA_ASSETSTURN(B3359,E3359)</f>
        <v>6.7975708832000006E-2</v>
      </c>
      <c r="L3359" s="12">
        <f>[1]!EM_HKS_VAL_MV(B3359,"2019-12-31","2")</f>
        <v>1175527821.0999999</v>
      </c>
      <c r="M3359">
        <f>[1]!EM_S_VAL_PETTMDEDUCTED(B3359,E3359)</f>
        <v>-8.7610383071579498</v>
      </c>
      <c r="N3359" s="7">
        <f>[1]!EM_S_VAL_PBGOODWILLDEDUCTED(B3359,E3359)</f>
        <v>-90.959335737144002</v>
      </c>
      <c r="O3359" s="7">
        <f>[1]!EM_S_VAL_PS_TTM(B3359,E3359)</f>
        <v>4.8632716395905202</v>
      </c>
      <c r="P3359" s="7">
        <f>[1]!EM_S_VAL_PCF_NCFTTM(B3359,E3359)</f>
        <v>-4.7165423264622897</v>
      </c>
      <c r="Q3359" s="7">
        <f>[1]!EM_S_VAL_DIVIDENDYIELD2(B3359,E3359,"2019-11-29")</f>
        <v>0</v>
      </c>
      <c r="T3359"/>
      <c r="U3359">
        <f>[1]!EM_S_RATIO_EPS_TTM(B3359,E3359,"1")</f>
        <v>-3.9913870585664015</v>
      </c>
      <c r="AT3359" s="4" t="str">
        <f>[1]!EM_S_IPO_LISTEDDATE(B3359)</f>
        <v>2014-01-21</v>
      </c>
    </row>
    <row r="3360" spans="1:46">
      <c r="A3360">
        <v>2376</v>
      </c>
      <c r="B3360" t="str">
        <f>"600242"</f>
        <v>600242</v>
      </c>
      <c r="C3360" t="s">
        <v>2581</v>
      </c>
      <c r="D3360" t="str">
        <f>[1]!EM_S_INFO_INDEX_EM(B3360,"1")</f>
        <v>互联网</v>
      </c>
      <c r="E3360" s="4">
        <f t="shared" si="52"/>
        <v>43465</v>
      </c>
      <c r="F3360" s="11">
        <f>[1]!EM_S_PQ_PCTCHANGE(B3360,"2018-01-01","2019-12-31","3")</f>
        <v>-54.42964679</v>
      </c>
      <c r="G3360" s="11">
        <f>[1]!EM_S_PQ_PCTCHANGE(B3360,"2018-12-31","2019-12-30","1")</f>
        <v>-48.576732669999998</v>
      </c>
      <c r="H3360" s="11">
        <f>[1]!EM_S_FA_YOY_OR(B3360,E3360)</f>
        <v>41.375131537199998</v>
      </c>
      <c r="I3360" s="11">
        <f>[1]!EM_S_FA_GROSSPROFITMARGIN(B3360,E3360)</f>
        <v>11.814143724599999</v>
      </c>
      <c r="J3360" s="11">
        <f>[1]!EM_S_FA_NETPROFITMARGIN(B3360,E3360)</f>
        <v>4.7086058388999996</v>
      </c>
      <c r="K3360" s="10">
        <f>[1]!EM_S_FA_ASSETSTURN(B3360,E3360)</f>
        <v>0.88552502525200005</v>
      </c>
      <c r="L3360" s="12">
        <f>[1]!EM_HKS_VAL_MV(B3360,"2019-12-31","2")</f>
        <v>3593954510.1399999</v>
      </c>
      <c r="M3360">
        <f>[1]!EM_S_VAL_PETTMDEDUCTED(B3360,E3360)</f>
        <v>61.9532480500744</v>
      </c>
      <c r="N3360" s="7">
        <f>[1]!EM_S_VAL_PBGOODWILLDEDUCTED(B3360,E3360)</f>
        <v>-139.926456532343</v>
      </c>
      <c r="O3360" s="7">
        <f>[1]!EM_S_VAL_PS_TTM(B3360,E3360)</f>
        <v>2.59662342367234</v>
      </c>
      <c r="P3360" s="7">
        <f>[1]!EM_S_VAL_PCF_NCFTTM(B3360,E3360)</f>
        <v>34.548532646472303</v>
      </c>
      <c r="Q3360" s="7">
        <f>[1]!EM_S_VAL_DIVIDENDYIELD2(B3360,E3360,"2019-11-29")</f>
        <v>0</v>
      </c>
      <c r="T3360"/>
      <c r="U3360">
        <f>[1]!EM_S_RATIO_EPS_TTM(B3360,E3360,"1")</f>
        <v>0.26578299185283522</v>
      </c>
      <c r="AT3360" s="4" t="str">
        <f>[1]!EM_S_IPO_LISTEDDATE(B3360)</f>
        <v>2000-12-07</v>
      </c>
    </row>
    <row r="3361" spans="1:46">
      <c r="A3361">
        <v>549</v>
      </c>
      <c r="B3361" t="str">
        <f>"002038"</f>
        <v>002038</v>
      </c>
      <c r="C3361" t="s">
        <v>439</v>
      </c>
      <c r="D3361" t="str">
        <f>[1]!EM_S_INFO_INDEX_EM(B3361,"1")</f>
        <v>医药生物</v>
      </c>
      <c r="E3361" s="4">
        <f t="shared" si="52"/>
        <v>43465</v>
      </c>
      <c r="F3361" s="11">
        <f>[1]!EM_S_PQ_PCTCHANGE(B3361,"2018-01-01","2019-12-31","3")</f>
        <v>-34.758178270000002</v>
      </c>
      <c r="G3361" s="11">
        <f>[1]!EM_S_PQ_PCTCHANGE(B3361,"2018-12-31","2019-12-30","1")</f>
        <v>-48.810963319999999</v>
      </c>
      <c r="H3361" s="11">
        <f>[1]!EM_S_FA_YOY_OR(B3361,E3361)</f>
        <v>74.503911062900002</v>
      </c>
      <c r="I3361" s="11">
        <f>[1]!EM_S_FA_GROSSPROFITMARGIN(B3361,E3361)</f>
        <v>79.318088776099998</v>
      </c>
      <c r="J3361" s="11">
        <f>[1]!EM_S_FA_NETPROFITMARGIN(B3361,E3361)</f>
        <v>25.993134683000001</v>
      </c>
      <c r="K3361" s="10">
        <f>[1]!EM_S_FA_ASSETSTURN(B3361,E3361)</f>
        <v>0.45281429428499997</v>
      </c>
      <c r="L3361" s="12">
        <f>[1]!EM_HKS_VAL_MV(B3361,"2019-12-31","2")</f>
        <v>13509652500</v>
      </c>
      <c r="M3361">
        <f>[1]!EM_S_VAL_PETTMDEDUCTED(B3361,E3361)</f>
        <v>30.851128523642</v>
      </c>
      <c r="N3361" s="7">
        <f>[1]!EM_S_VAL_PBGOODWILLDEDUCTED(B3361,E3361)</f>
        <v>3.77788958078547</v>
      </c>
      <c r="O3361" s="7">
        <f>[1]!EM_S_VAL_PS_TTM(B3361,E3361)</f>
        <v>8.4144710588537492</v>
      </c>
      <c r="P3361" s="7">
        <f>[1]!EM_S_VAL_PCF_NCFTTM(B3361,E3361)</f>
        <v>329.46334436258701</v>
      </c>
      <c r="Q3361" s="7">
        <f>[1]!EM_S_VAL_DIVIDENDYIELD2(B3361,E3361,"2019-11-29")</f>
        <v>1.6</v>
      </c>
      <c r="T3361"/>
      <c r="U3361">
        <f>[1]!EM_S_RATIO_EPS_TTM(B3361,E3361,"1")</f>
        <v>0.83435467748576442</v>
      </c>
      <c r="AT3361" s="4" t="str">
        <f>[1]!EM_S_IPO_LISTEDDATE(B3361)</f>
        <v>2004-09-09</v>
      </c>
    </row>
    <row r="3362" spans="1:46">
      <c r="A3362">
        <v>2089</v>
      </c>
      <c r="B3362" t="str">
        <f>"300670"</f>
        <v>300670</v>
      </c>
      <c r="C3362" t="s">
        <v>2236</v>
      </c>
      <c r="D3362" t="str">
        <f>[1]!EM_S_INFO_INDEX_EM(B3362,"1")</f>
        <v>电气设备</v>
      </c>
      <c r="E3362" s="4">
        <f t="shared" si="52"/>
        <v>43465</v>
      </c>
      <c r="F3362" s="11">
        <f>[1]!EM_S_PQ_PCTCHANGE(B3362,"2018-01-01","2019-12-31","3")</f>
        <v>1.1593461599999999</v>
      </c>
      <c r="G3362" s="11">
        <f>[1]!EM_S_PQ_PCTCHANGE(B3362,"2018-12-31","2019-12-30","1")</f>
        <v>-48.841463410000003</v>
      </c>
      <c r="H3362" s="11">
        <f>[1]!EM_S_FA_YOY_OR(B3362,E3362)</f>
        <v>4.5778957825999997</v>
      </c>
      <c r="I3362" s="11">
        <f>[1]!EM_S_FA_GROSSPROFITMARGIN(B3362,E3362)</f>
        <v>26.282260357599998</v>
      </c>
      <c r="J3362" s="11">
        <f>[1]!EM_S_FA_NETPROFITMARGIN(B3362,E3362)</f>
        <v>10.073018924799999</v>
      </c>
      <c r="K3362" s="10">
        <f>[1]!EM_S_FA_ASSETSTURN(B3362,E3362)</f>
        <v>0.46407924799700001</v>
      </c>
      <c r="L3362" s="12">
        <f>[1]!EM_HKS_VAL_MV(B3362,"2019-12-31","2")</f>
        <v>2647162214.02</v>
      </c>
      <c r="M3362">
        <f>[1]!EM_S_VAL_PETTMDEDUCTED(B3362,E3362)</f>
        <v>76.848202395129206</v>
      </c>
      <c r="N3362" s="7">
        <f>[1]!EM_S_VAL_PBGOODWILLDEDUCTED(B3362,E3362)</f>
        <v>5.4241033712995304</v>
      </c>
      <c r="O3362" s="7">
        <f>[1]!EM_S_VAL_PS_TTM(B3362,E3362)</f>
        <v>9.1154969449895091</v>
      </c>
      <c r="P3362" s="7">
        <f>[1]!EM_S_VAL_PCF_NCFTTM(B3362,E3362)</f>
        <v>-150.08614177950901</v>
      </c>
      <c r="Q3362" s="7">
        <f>[1]!EM_S_VAL_DIVIDENDYIELD2(B3362,E3362,"2019-11-29")</f>
        <v>0</v>
      </c>
      <c r="T3362"/>
      <c r="U3362">
        <f>[1]!EM_S_RATIO_EPS_TTM(B3362,E3362,"1")</f>
        <v>0.18413659290123455</v>
      </c>
      <c r="AT3362" s="4" t="str">
        <f>[1]!EM_S_IPO_LISTEDDATE(B3362)</f>
        <v>2017-07-03</v>
      </c>
    </row>
    <row r="3363" spans="1:46">
      <c r="A3363">
        <v>1705</v>
      </c>
      <c r="B3363" t="str">
        <f>"300280"</f>
        <v>300280</v>
      </c>
      <c r="C3363" t="s">
        <v>2965</v>
      </c>
      <c r="D3363" t="str">
        <f>[1]!EM_S_INFO_INDEX_EM(B3363,"1")</f>
        <v>文化传媒</v>
      </c>
      <c r="E3363" s="4">
        <f t="shared" si="52"/>
        <v>43465</v>
      </c>
      <c r="F3363" s="11">
        <f>[1]!EM_S_PQ_PCTCHANGE(B3363,"2018-01-01","2019-12-31","3")</f>
        <v>-53.054755040000003</v>
      </c>
      <c r="G3363" s="11">
        <f>[1]!EM_S_PQ_PCTCHANGE(B3363,"2018-12-31","2019-12-30","1")</f>
        <v>-49.157829069999998</v>
      </c>
      <c r="H3363" s="11">
        <f>[1]!EM_S_FA_YOY_OR(B3363,E3363)</f>
        <v>84.894784375200004</v>
      </c>
      <c r="I3363" s="11">
        <f>[1]!EM_S_FA_GROSSPROFITMARGIN(B3363,E3363)</f>
        <v>38.098358124199997</v>
      </c>
      <c r="J3363" s="11">
        <f>[1]!EM_S_FA_NETPROFITMARGIN(B3363,E3363)</f>
        <v>17.000953295999999</v>
      </c>
      <c r="K3363" s="10">
        <f>[1]!EM_S_FA_ASSETSTURN(B3363,E3363)</f>
        <v>0.40967205579499999</v>
      </c>
      <c r="L3363" s="12">
        <f>[1]!EM_HKS_VAL_MV(B3363,"2019-12-31","2")</f>
        <v>2640050969.7600002</v>
      </c>
      <c r="M3363">
        <f>[1]!EM_S_VAL_PETTMDEDUCTED(B3363,E3363)</f>
        <v>91.554098933456601</v>
      </c>
      <c r="N3363" s="7">
        <f>[1]!EM_S_VAL_PBGOODWILLDEDUCTED(B3363,E3363)</f>
        <v>19.9434660747343</v>
      </c>
      <c r="O3363" s="7">
        <f>[1]!EM_S_VAL_PS_TTM(B3363,E3363)</f>
        <v>7.7504638223485003</v>
      </c>
      <c r="P3363" s="7">
        <f>[1]!EM_S_VAL_PCF_NCFTTM(B3363,E3363)</f>
        <v>-45.171274756210302</v>
      </c>
      <c r="Q3363" s="7">
        <f>[1]!EM_S_VAL_DIVIDENDYIELD2(B3363,E3363,"2019-11-29")</f>
        <v>0</v>
      </c>
      <c r="T3363"/>
      <c r="U3363">
        <f>[1]!EM_S_RATIO_EPS_TTM(B3363,E3363,"1")</f>
        <v>0.53698211686623332</v>
      </c>
      <c r="AT3363" s="4" t="str">
        <f>[1]!EM_S_IPO_LISTEDDATE(B3363)</f>
        <v>2011-12-29</v>
      </c>
    </row>
    <row r="3364" spans="1:46">
      <c r="A3364">
        <v>2146</v>
      </c>
      <c r="B3364" t="str">
        <f>"300732"</f>
        <v>300732</v>
      </c>
      <c r="C3364" t="s">
        <v>851</v>
      </c>
      <c r="D3364" t="str">
        <f>[1]!EM_S_INFO_INDEX_EM(B3364,"1")</f>
        <v>休闲、生活及专业服务</v>
      </c>
      <c r="E3364" s="4">
        <f t="shared" si="52"/>
        <v>43465</v>
      </c>
      <c r="F3364" s="11">
        <f>[1]!EM_S_PQ_PCTCHANGE(B3364,"2018-01-01","2019-12-31","3")</f>
        <v>-45.766527629999999</v>
      </c>
      <c r="G3364" s="11">
        <f>[1]!EM_S_PQ_PCTCHANGE(B3364,"2018-12-31","2019-12-30","1")</f>
        <v>-49.255952379999997</v>
      </c>
      <c r="H3364" s="11">
        <f>[1]!EM_S_FA_YOY_OR(B3364,E3364)</f>
        <v>21.715007054400001</v>
      </c>
      <c r="I3364" s="11">
        <f>[1]!EM_S_FA_GROSSPROFITMARGIN(B3364,E3364)</f>
        <v>47.651033314700001</v>
      </c>
      <c r="J3364" s="11">
        <f>[1]!EM_S_FA_NETPROFITMARGIN(B3364,E3364)</f>
        <v>26.514043569199998</v>
      </c>
      <c r="K3364" s="10">
        <f>[1]!EM_S_FA_ASSETSTURN(B3364,E3364)</f>
        <v>0.35312962881299997</v>
      </c>
      <c r="L3364" s="12">
        <f>[1]!EM_HKS_VAL_MV(B3364,"2019-12-31","2")</f>
        <v>3288751931.8800001</v>
      </c>
      <c r="M3364">
        <f>[1]!EM_S_VAL_PETTMDEDUCTED(B3364,E3364)</f>
        <v>17.249925359567499</v>
      </c>
      <c r="N3364" s="7">
        <f>[1]!EM_S_VAL_PBGOODWILLDEDUCTED(B3364,E3364)</f>
        <v>2.0854750706063698</v>
      </c>
      <c r="O3364" s="7">
        <f>[1]!EM_S_VAL_PS_TTM(B3364,E3364)</f>
        <v>4.1933973135607001</v>
      </c>
      <c r="P3364" s="7">
        <f>[1]!EM_S_VAL_PCF_NCFTTM(B3364,E3364)</f>
        <v>14.528209962625599</v>
      </c>
      <c r="Q3364" s="7">
        <f>[1]!EM_S_VAL_DIVIDENDYIELD2(B3364,E3364,"2019-11-29")</f>
        <v>1.2963443103997156</v>
      </c>
      <c r="T3364"/>
      <c r="U3364">
        <f>[1]!EM_S_RATIO_EPS_TTM(B3364,E3364,"1")</f>
        <v>2.3273976611111111</v>
      </c>
      <c r="AT3364" s="4" t="str">
        <f>[1]!EM_S_IPO_LISTEDDATE(B3364)</f>
        <v>2017-12-12</v>
      </c>
    </row>
    <row r="3365" spans="1:46">
      <c r="A3365">
        <v>2056</v>
      </c>
      <c r="B3365" t="str">
        <f>"300637"</f>
        <v>300637</v>
      </c>
      <c r="C3365" t="s">
        <v>349</v>
      </c>
      <c r="D3365" t="str">
        <f>[1]!EM_S_INFO_INDEX_EM(B3365,"1")</f>
        <v>基础化工</v>
      </c>
      <c r="E3365" s="4">
        <f t="shared" si="52"/>
        <v>43465</v>
      </c>
      <c r="F3365" s="11">
        <f>[1]!EM_S_PQ_PCTCHANGE(B3365,"2018-01-01","2019-12-31","3")</f>
        <v>14.86785714</v>
      </c>
      <c r="G3365" s="11">
        <f>[1]!EM_S_PQ_PCTCHANGE(B3365,"2018-12-31","2019-12-30","1")</f>
        <v>-49.492488829999999</v>
      </c>
      <c r="H3365" s="11">
        <f>[1]!EM_S_FA_YOY_OR(B3365,E3365)</f>
        <v>20.5060957528</v>
      </c>
      <c r="I3365" s="11">
        <f>[1]!EM_S_FA_GROSSPROFITMARGIN(B3365,E3365)</f>
        <v>44.084997606199998</v>
      </c>
      <c r="J3365" s="11">
        <f>[1]!EM_S_FA_NETPROFITMARGIN(B3365,E3365)</f>
        <v>26.1389702315</v>
      </c>
      <c r="K3365" s="10">
        <f>[1]!EM_S_FA_ASSETSTURN(B3365,E3365)</f>
        <v>0.72577775168699998</v>
      </c>
      <c r="L3365" s="12">
        <f>[1]!EM_HKS_VAL_MV(B3365,"2019-12-31","2")</f>
        <v>2936850102</v>
      </c>
      <c r="M3365">
        <f>[1]!EM_S_VAL_PETTMDEDUCTED(B3365,E3365)</f>
        <v>27.111457370615799</v>
      </c>
      <c r="N3365" s="7">
        <f>[1]!EM_S_VAL_PBGOODWILLDEDUCTED(B3365,E3365)</f>
        <v>4.3383133004990304</v>
      </c>
      <c r="O3365" s="7">
        <f>[1]!EM_S_VAL_PS_TTM(B3365,E3365)</f>
        <v>6.0095715496395901</v>
      </c>
      <c r="P3365" s="7">
        <f>[1]!EM_S_VAL_PCF_NCFTTM(B3365,E3365)</f>
        <v>-269.81272128052098</v>
      </c>
      <c r="Q3365" s="7">
        <f>[1]!EM_S_VAL_DIVIDENDYIELD2(B3365,E3365,"2019-11-29")</f>
        <v>1.3279624629277147</v>
      </c>
      <c r="T3365"/>
      <c r="U3365">
        <f>[1]!EM_S_RATIO_EPS_TTM(B3365,E3365,"1")</f>
        <v>1.1125322914272766</v>
      </c>
      <c r="AT3365" s="4" t="str">
        <f>[1]!EM_S_IPO_LISTEDDATE(B3365)</f>
        <v>2017-04-12</v>
      </c>
    </row>
    <row r="3366" spans="1:46">
      <c r="A3366">
        <v>3419</v>
      </c>
      <c r="B3366" t="str">
        <f>"603518"</f>
        <v>603518</v>
      </c>
      <c r="C3366" t="s">
        <v>610</v>
      </c>
      <c r="D3366" t="str">
        <f>[1]!EM_S_INFO_INDEX_EM(B3366,"1")</f>
        <v>纺织服装</v>
      </c>
      <c r="E3366" s="4">
        <f t="shared" si="52"/>
        <v>43465</v>
      </c>
      <c r="F3366" s="11">
        <f>[1]!EM_S_PQ_PCTCHANGE(B3366,"2018-01-01","2019-12-31","3")</f>
        <v>-45.714961639999999</v>
      </c>
      <c r="G3366" s="11">
        <f>[1]!EM_S_PQ_PCTCHANGE(B3366,"2018-12-31","2019-12-30","1")</f>
        <v>-49.858156030000004</v>
      </c>
      <c r="H3366" s="11">
        <f>[1]!EM_S_FA_YOY_OR(B3366,E3366)</f>
        <v>20.336877528599999</v>
      </c>
      <c r="I3366" s="11">
        <f>[1]!EM_S_FA_GROSSPROFITMARGIN(B3366,E3366)</f>
        <v>69.045563878799996</v>
      </c>
      <c r="J3366" s="11">
        <f>[1]!EM_S_FA_NETPROFITMARGIN(B3366,E3366)</f>
        <v>10.074513061899999</v>
      </c>
      <c r="K3366" s="10">
        <f>[1]!EM_S_FA_ASSETSTURN(B3366,E3366)</f>
        <v>0.46553287504300001</v>
      </c>
      <c r="L3366" s="12">
        <f>[1]!EM_HKS_VAL_MV(B3366,"2019-12-31","2")</f>
        <v>1784272797.3</v>
      </c>
      <c r="M3366">
        <f>[1]!EM_S_VAL_PETTMDEDUCTED(B3366,E3366)</f>
        <v>11.8622727929114</v>
      </c>
      <c r="N3366" s="7">
        <f>[1]!EM_S_VAL_PBGOODWILLDEDUCTED(B3366,E3366)</f>
        <v>-23.206086974658898</v>
      </c>
      <c r="O3366" s="7">
        <f>[1]!EM_S_VAL_PS_TTM(B3366,E3366)</f>
        <v>0.83838347539547098</v>
      </c>
      <c r="P3366" s="7">
        <f>[1]!EM_S_VAL_PCF_NCFTTM(B3366,E3366)</f>
        <v>11.397962987743</v>
      </c>
      <c r="Q3366" s="7">
        <f>[1]!EM_S_VAL_DIVIDENDYIELD2(B3366,E3366,"2019-11-29")</f>
        <v>2.4679278123493464</v>
      </c>
      <c r="T3366"/>
      <c r="U3366">
        <f>[1]!EM_S_RATIO_EPS_TTM(B3366,E3366,"1")</f>
        <v>1.5111218158991364</v>
      </c>
      <c r="AT3366" s="4" t="str">
        <f>[1]!EM_S_IPO_LISTEDDATE(B3366)</f>
        <v>2014-12-03</v>
      </c>
    </row>
    <row r="3367" spans="1:46">
      <c r="A3367">
        <v>2725</v>
      </c>
      <c r="B3367" t="str">
        <f>"600652"</f>
        <v>600652</v>
      </c>
      <c r="C3367" t="s">
        <v>1860</v>
      </c>
      <c r="D3367" t="str">
        <f>[1]!EM_S_INFO_INDEX_EM(B3367,"1")</f>
        <v>互联网</v>
      </c>
      <c r="E3367" s="4">
        <f t="shared" si="52"/>
        <v>43465</v>
      </c>
      <c r="F3367" s="11">
        <f>[1]!EM_S_PQ_PCTCHANGE(B3367,"2018-01-01","2019-12-31","3")</f>
        <v>-68.131868130000001</v>
      </c>
      <c r="G3367" s="11">
        <f>[1]!EM_S_PQ_PCTCHANGE(B3367,"2018-12-31","2019-12-30","1")</f>
        <v>-49.88814318</v>
      </c>
      <c r="H3367" s="11">
        <f>[1]!EM_S_FA_YOY_OR(B3367,E3367)</f>
        <v>-52.0602246849</v>
      </c>
      <c r="I3367" s="11">
        <f>[1]!EM_S_FA_GROSSPROFITMARGIN(B3367,E3367)</f>
        <v>26.617769551799999</v>
      </c>
      <c r="J3367" s="11">
        <f>[1]!EM_S_FA_NETPROFITMARGIN(B3367,E3367)</f>
        <v>-1069.4937239668</v>
      </c>
      <c r="K3367" s="10">
        <f>[1]!EM_S_FA_ASSETSTURN(B3367,E3367)</f>
        <v>5.6295038552999999E-2</v>
      </c>
      <c r="L3367" s="12">
        <f>[1]!EM_HKS_VAL_MV(B3367,"2019-12-31","2")</f>
        <v>1931872115.3599999</v>
      </c>
      <c r="M3367">
        <f>[1]!EM_S_VAL_PETTMDEDUCTED(B3367,E3367)</f>
        <v>-7.5885159017862804</v>
      </c>
      <c r="N3367" s="7">
        <f>[1]!EM_S_VAL_PBGOODWILLDEDUCTED(B3367,E3367)</f>
        <v>4.5679141523392897</v>
      </c>
      <c r="O3367" s="7">
        <f>[1]!EM_S_VAL_PS_TTM(B3367,E3367)</f>
        <v>30.346904478914698</v>
      </c>
      <c r="P3367" s="7">
        <f>[1]!EM_S_VAL_PCF_NCFTTM(B3367,E3367)</f>
        <v>-71.527214001608698</v>
      </c>
      <c r="Q3367" s="7">
        <f>[1]!EM_S_VAL_DIVIDENDYIELD2(B3367,E3367,"2019-11-29")</f>
        <v>0</v>
      </c>
      <c r="T3367"/>
      <c r="U3367">
        <f>[1]!EM_S_RATIO_EPS_TTM(B3367,E3367,"1")</f>
        <v>-1.0870812231534543</v>
      </c>
      <c r="AT3367" s="4" t="str">
        <f>[1]!EM_S_IPO_LISTEDDATE(B3367)</f>
        <v>1990-12-19</v>
      </c>
    </row>
    <row r="3368" spans="1:46">
      <c r="A3368">
        <v>2156</v>
      </c>
      <c r="B3368" t="str">
        <f>"300743"</f>
        <v>300743</v>
      </c>
      <c r="C3368" t="s">
        <v>173</v>
      </c>
      <c r="D3368" t="str">
        <f>[1]!EM_S_INFO_INDEX_EM(B3368,"1")</f>
        <v>信息技术</v>
      </c>
      <c r="E3368" s="4">
        <f t="shared" si="52"/>
        <v>43465</v>
      </c>
      <c r="F3368" s="11">
        <f>[1]!EM_S_PQ_PCTCHANGE(B3368,"2018-01-01","2019-12-31","3")</f>
        <v>109.20392784000001</v>
      </c>
      <c r="G3368" s="11">
        <f>[1]!EM_S_PQ_PCTCHANGE(B3368,"2018-12-31","2019-12-30","1")</f>
        <v>-50.389294399999997</v>
      </c>
      <c r="H3368" s="11">
        <f>[1]!EM_S_FA_YOY_OR(B3368,E3368)</f>
        <v>7.6512954055</v>
      </c>
      <c r="I3368" s="11">
        <f>[1]!EM_S_FA_GROSSPROFITMARGIN(B3368,E3368)</f>
        <v>30.457551336800002</v>
      </c>
      <c r="J3368" s="11">
        <f>[1]!EM_S_FA_NETPROFITMARGIN(B3368,E3368)</f>
        <v>7.8266927254000001</v>
      </c>
      <c r="K3368" s="10">
        <f>[1]!EM_S_FA_ASSETSTURN(B3368,E3368)</f>
        <v>1.0144991188020001</v>
      </c>
      <c r="L3368" s="12">
        <f>[1]!EM_HKS_VAL_MV(B3368,"2019-12-31","2")</f>
        <v>1988660820</v>
      </c>
      <c r="M3368">
        <f>[1]!EM_S_VAL_PETTMDEDUCTED(B3368,E3368)</f>
        <v>67.201284614849101</v>
      </c>
      <c r="N3368" s="7">
        <f>[1]!EM_S_VAL_PBGOODWILLDEDUCTED(B3368,E3368)</f>
        <v>6.9876257074981796</v>
      </c>
      <c r="O3368" s="7">
        <f>[1]!EM_S_VAL_PS_TTM(B3368,E3368)</f>
        <v>6.9870767353422796</v>
      </c>
      <c r="P3368" s="7">
        <f>[1]!EM_S_VAL_PCF_NCFTTM(B3368,E3368)</f>
        <v>20.6485502357672</v>
      </c>
      <c r="Q3368" s="7">
        <f>[1]!EM_S_VAL_DIVIDENDYIELD2(B3368,E3368,"2019-11-29")</f>
        <v>1.0432968179447053</v>
      </c>
      <c r="T3368"/>
      <c r="U3368">
        <f>[1]!EM_S_RATIO_EPS_TTM(B3368,E3368,"1")</f>
        <v>0.48653663651089585</v>
      </c>
      <c r="AT3368" s="4" t="str">
        <f>[1]!EM_S_IPO_LISTEDDATE(B3368)</f>
        <v>2018-04-27</v>
      </c>
    </row>
    <row r="3369" spans="1:46">
      <c r="A3369">
        <v>2553</v>
      </c>
      <c r="B3369" t="str">
        <f>"600462"</f>
        <v>600462</v>
      </c>
      <c r="C3369" t="s">
        <v>2976</v>
      </c>
      <c r="D3369" t="str">
        <f>[1]!EM_S_INFO_INDEX_EM(B3369,"1")</f>
        <v>电子设备</v>
      </c>
      <c r="E3369" s="4">
        <f t="shared" si="52"/>
        <v>43465</v>
      </c>
      <c r="F3369" s="11">
        <f>[1]!EM_S_PQ_PCTCHANGE(B3369,"2018-01-01","2019-12-31","3")</f>
        <v>-63.796909489999997</v>
      </c>
      <c r="G3369" s="11">
        <f>[1]!EM_S_PQ_PCTCHANGE(B3369,"2018-12-31","2019-12-30","1")</f>
        <v>-50.595238100000003</v>
      </c>
      <c r="H3369" s="11">
        <f>[1]!EM_S_FA_YOY_OR(B3369,E3369)</f>
        <v>43.850257740099998</v>
      </c>
      <c r="I3369" s="11">
        <f>[1]!EM_S_FA_GROSSPROFITMARGIN(B3369,E3369)</f>
        <v>2.2481582266000002</v>
      </c>
      <c r="J3369" s="11">
        <f>[1]!EM_S_FA_NETPROFITMARGIN(B3369,E3369)</f>
        <v>-12.6374539959</v>
      </c>
      <c r="K3369" s="10">
        <f>[1]!EM_S_FA_ASSETSTURN(B3369,E3369)</f>
        <v>0.94130112325100002</v>
      </c>
      <c r="L3369" s="12">
        <f>[1]!EM_HKS_VAL_MV(B3369,"2019-12-31","2")</f>
        <v>875399200</v>
      </c>
      <c r="M3369">
        <f>[1]!EM_S_VAL_PETTMDEDUCTED(B3369,E3369)</f>
        <v>-215.03932422427999</v>
      </c>
      <c r="N3369" s="7">
        <f>[1]!EM_S_VAL_PBGOODWILLDEDUCTED(B3369,E3369)</f>
        <v>141.98724351706099</v>
      </c>
      <c r="O3369" s="7">
        <f>[1]!EM_S_VAL_PS_TTM(B3369,E3369)</f>
        <v>0.55008135628612198</v>
      </c>
      <c r="P3369" s="7">
        <f>[1]!EM_S_VAL_PCF_NCFTTM(B3369,E3369)</f>
        <v>-64.557940023234096</v>
      </c>
      <c r="Q3369" s="7">
        <f>[1]!EM_S_VAL_DIVIDENDYIELD2(B3369,E3369,"2019-11-29")</f>
        <v>0</v>
      </c>
      <c r="T3369"/>
      <c r="U3369">
        <f>[1]!EM_S_RATIO_EPS_TTM(B3369,E3369,"1")</f>
        <v>-0.51005765446438611</v>
      </c>
      <c r="AT3369" s="4" t="str">
        <f>[1]!EM_S_IPO_LISTEDDATE(B3369)</f>
        <v>2003-09-03</v>
      </c>
    </row>
    <row r="3370" spans="1:46">
      <c r="A3370">
        <v>1110</v>
      </c>
      <c r="B3370" t="str">
        <f>"002599"</f>
        <v>002599</v>
      </c>
      <c r="C3370" t="s">
        <v>2552</v>
      </c>
      <c r="D3370" t="str">
        <f>[1]!EM_S_INFO_INDEX_EM(B3370,"1")</f>
        <v>轻工制造</v>
      </c>
      <c r="E3370" s="4">
        <f t="shared" si="52"/>
        <v>43465</v>
      </c>
      <c r="F3370" s="11">
        <f>[1]!EM_S_PQ_PCTCHANGE(B3370,"2018-01-01","2019-12-31","3")</f>
        <v>-32.244063820000001</v>
      </c>
      <c r="G3370" s="11">
        <f>[1]!EM_S_PQ_PCTCHANGE(B3370,"2018-12-31","2019-12-30","1")</f>
        <v>-50.6122449</v>
      </c>
      <c r="H3370" s="11">
        <f>[1]!EM_S_FA_YOY_OR(B3370,E3370)</f>
        <v>31.415861566499999</v>
      </c>
      <c r="I3370" s="11">
        <f>[1]!EM_S_FA_GROSSPROFITMARGIN(B3370,E3370)</f>
        <v>19.819673237300002</v>
      </c>
      <c r="J3370" s="11">
        <f>[1]!EM_S_FA_NETPROFITMARGIN(B3370,E3370)</f>
        <v>6.8068833863</v>
      </c>
      <c r="K3370" s="10">
        <f>[1]!EM_S_FA_ASSETSTURN(B3370,E3370)</f>
        <v>0.77255229109300005</v>
      </c>
      <c r="L3370" s="12">
        <f>[1]!EM_HKS_VAL_MV(B3370,"2019-12-31","2")</f>
        <v>2582497771.23</v>
      </c>
      <c r="M3370">
        <f>[1]!EM_S_VAL_PETTMDEDUCTED(B3370,E3370)</f>
        <v>34.403024026466298</v>
      </c>
      <c r="N3370" s="7">
        <f>[1]!EM_S_VAL_PBGOODWILLDEDUCTED(B3370,E3370)</f>
        <v>2.76539031488092</v>
      </c>
      <c r="O3370" s="7">
        <f>[1]!EM_S_VAL_PS_TTM(B3370,E3370)</f>
        <v>1.7372060708192101</v>
      </c>
      <c r="P3370" s="7">
        <f>[1]!EM_S_VAL_PCF_NCFTTM(B3370,E3370)</f>
        <v>-53.2947447050419</v>
      </c>
      <c r="Q3370" s="7">
        <f>[1]!EM_S_VAL_DIVIDENDYIELD2(B3370,E3370,"2019-11-29")</f>
        <v>0</v>
      </c>
      <c r="T3370"/>
      <c r="U3370">
        <f>[1]!EM_S_RATIO_EPS_TTM(B3370,E3370,"1")</f>
        <v>0.38238549304485797</v>
      </c>
      <c r="AT3370" s="4" t="str">
        <f>[1]!EM_S_IPO_LISTEDDATE(B3370)</f>
        <v>2011-07-15</v>
      </c>
    </row>
    <row r="3371" spans="1:46">
      <c r="A3371">
        <v>1792</v>
      </c>
      <c r="B3371" t="str">
        <f>"300367"</f>
        <v>300367</v>
      </c>
      <c r="C3371" t="s">
        <v>1567</v>
      </c>
      <c r="D3371" t="str">
        <f>[1]!EM_S_INFO_INDEX_EM(B3371,"1")</f>
        <v>信息技术</v>
      </c>
      <c r="E3371" s="4">
        <f t="shared" si="52"/>
        <v>43465</v>
      </c>
      <c r="F3371" s="11">
        <f>[1]!EM_S_PQ_PCTCHANGE(B3371,"2018-01-01","2019-12-31","3")</f>
        <v>-59.525144570000002</v>
      </c>
      <c r="G3371" s="11">
        <f>[1]!EM_S_PQ_PCTCHANGE(B3371,"2018-12-31","2019-12-30","1")</f>
        <v>-50.732807219999998</v>
      </c>
      <c r="H3371" s="11">
        <f>[1]!EM_S_FA_YOY_OR(B3371,E3371)</f>
        <v>21.168305048000001</v>
      </c>
      <c r="I3371" s="11">
        <f>[1]!EM_S_FA_GROSSPROFITMARGIN(B3371,E3371)</f>
        <v>57.370787478799997</v>
      </c>
      <c r="J3371" s="11">
        <f>[1]!EM_S_FA_NETPROFITMARGIN(B3371,E3371)</f>
        <v>13.950845316900001</v>
      </c>
      <c r="K3371" s="10">
        <f>[1]!EM_S_FA_ASSETSTURN(B3371,E3371)</f>
        <v>0.31097813359600002</v>
      </c>
      <c r="L3371" s="12">
        <f>[1]!EM_HKS_VAL_MV(B3371,"2019-12-31","2")</f>
        <v>5177694994.2799997</v>
      </c>
      <c r="M3371">
        <f>[1]!EM_S_VAL_PETTMDEDUCTED(B3371,E3371)</f>
        <v>18.958584025358199</v>
      </c>
      <c r="N3371" s="7">
        <f>[1]!EM_S_VAL_PBGOODWILLDEDUCTED(B3371,E3371)</f>
        <v>2.3933622603479501</v>
      </c>
      <c r="O3371" s="7">
        <f>[1]!EM_S_VAL_PS_TTM(B3371,E3371)</f>
        <v>3.66507690542739</v>
      </c>
      <c r="P3371" s="7">
        <f>[1]!EM_S_VAL_PCF_NCFTTM(B3371,E3371)</f>
        <v>-38.181907210818103</v>
      </c>
      <c r="Q3371" s="7">
        <f>[1]!EM_S_VAL_DIVIDENDYIELD2(B3371,E3371,"2019-11-29")</f>
        <v>0.64491650577261339</v>
      </c>
      <c r="T3371"/>
      <c r="U3371">
        <f>[1]!EM_S_RATIO_EPS_TTM(B3371,E3371,"1")</f>
        <v>0.36816142361830906</v>
      </c>
      <c r="AT3371" s="4" t="str">
        <f>[1]!EM_S_IPO_LISTEDDATE(B3371)</f>
        <v>2014-01-29</v>
      </c>
    </row>
    <row r="3372" spans="1:46">
      <c r="A3372">
        <v>2149</v>
      </c>
      <c r="B3372" t="str">
        <f>"300736"</f>
        <v>300736</v>
      </c>
      <c r="C3372" t="s">
        <v>821</v>
      </c>
      <c r="D3372" t="str">
        <f>[1]!EM_S_INFO_INDEX_EM(B3372,"1")</f>
        <v>电子设备</v>
      </c>
      <c r="E3372" s="4">
        <f t="shared" si="52"/>
        <v>43465</v>
      </c>
      <c r="F3372" s="11">
        <f>[1]!EM_S_PQ_PCTCHANGE(B3372,"2018-01-01","2019-12-31","3")</f>
        <v>39.857541730000001</v>
      </c>
      <c r="G3372" s="11">
        <f>[1]!EM_S_PQ_PCTCHANGE(B3372,"2018-12-31","2019-12-30","1")</f>
        <v>-51.702508960000003</v>
      </c>
      <c r="H3372" s="11">
        <f>[1]!EM_S_FA_YOY_OR(B3372,E3372)</f>
        <v>-6.6012938592000001</v>
      </c>
      <c r="I3372" s="11">
        <f>[1]!EM_S_FA_GROSSPROFITMARGIN(B3372,E3372)</f>
        <v>23.284899575800001</v>
      </c>
      <c r="J3372" s="11">
        <f>[1]!EM_S_FA_NETPROFITMARGIN(B3372,E3372)</f>
        <v>4.2865062951999997</v>
      </c>
      <c r="K3372" s="10">
        <f>[1]!EM_S_FA_ASSETSTURN(B3372,E3372)</f>
        <v>1.690751628656</v>
      </c>
      <c r="L3372" s="12">
        <f>[1]!EM_HKS_VAL_MV(B3372,"2019-12-31","2")</f>
        <v>1420625971.2</v>
      </c>
      <c r="M3372">
        <f>[1]!EM_S_VAL_PETTMDEDUCTED(B3372,E3372)</f>
        <v>94.354072391681001</v>
      </c>
      <c r="N3372" s="7">
        <f>[1]!EM_S_VAL_PBGOODWILLDEDUCTED(B3372,E3372)</f>
        <v>4.9680398724836197</v>
      </c>
      <c r="O3372" s="7">
        <f>[1]!EM_S_VAL_PS_TTM(B3372,E3372)</f>
        <v>3.68815180649931</v>
      </c>
      <c r="P3372" s="7">
        <f>[1]!EM_S_VAL_PCF_NCFTTM(B3372,E3372)</f>
        <v>33.096676788846302</v>
      </c>
      <c r="Q3372" s="7">
        <f>[1]!EM_S_VAL_DIVIDENDYIELD2(B3372,E3372,"2019-11-29")</f>
        <v>1.8119612838788979</v>
      </c>
      <c r="T3372"/>
      <c r="U3372">
        <f>[1]!EM_S_RATIO_EPS_TTM(B3372,E3372,"1")</f>
        <v>0.33081813408434568</v>
      </c>
      <c r="AT3372" s="4" t="str">
        <f>[1]!EM_S_IPO_LISTEDDATE(B3372)</f>
        <v>2018-01-09</v>
      </c>
    </row>
    <row r="3373" spans="1:46">
      <c r="A3373">
        <v>2687</v>
      </c>
      <c r="B3373" t="str">
        <f>"600614"</f>
        <v>600614</v>
      </c>
      <c r="C3373" t="s">
        <v>1823</v>
      </c>
      <c r="D3373" t="str">
        <f>[1]!EM_S_INFO_INDEX_EM(B3373,"1")</f>
        <v>有色金属</v>
      </c>
      <c r="E3373" s="4">
        <f t="shared" si="52"/>
        <v>43465</v>
      </c>
      <c r="F3373" s="11">
        <f>[1]!EM_S_PQ_PCTCHANGE(B3373,"2018-01-01","2019-12-31","3")</f>
        <v>-83.956692910000001</v>
      </c>
      <c r="G3373" s="11">
        <f>[1]!EM_S_PQ_PCTCHANGE(B3373,"2018-12-31","2019-12-30","1")</f>
        <v>-52.089136490000001</v>
      </c>
      <c r="H3373" s="11">
        <f>[1]!EM_S_FA_YOY_OR(B3373,E3373)</f>
        <v>7.1668246986000002</v>
      </c>
      <c r="I3373" s="11">
        <f>[1]!EM_S_FA_GROSSPROFITMARGIN(B3373,E3373)</f>
        <v>24.963006786899999</v>
      </c>
      <c r="J3373" s="11">
        <f>[1]!EM_S_FA_NETPROFITMARGIN(B3373,E3373)</f>
        <v>-176.7420109995</v>
      </c>
      <c r="K3373" s="10">
        <f>[1]!EM_S_FA_ASSETSTURN(B3373,E3373)</f>
        <v>0.31822870724500002</v>
      </c>
      <c r="L3373" s="12">
        <f>[1]!EM_HKS_VAL_MV(B3373,"2019-12-31","2")</f>
        <v>2857021225.54</v>
      </c>
      <c r="M3373">
        <f>[1]!EM_S_VAL_PETTMDEDUCTED(B3373,E3373)</f>
        <v>21.6371672020144</v>
      </c>
      <c r="N3373" s="7">
        <f>[1]!EM_S_VAL_PBGOODWILLDEDUCTED(B3373,E3373)</f>
        <v>21.888443448306202</v>
      </c>
      <c r="O3373" s="7">
        <f>[1]!EM_S_VAL_PS_TTM(B3373,E3373)</f>
        <v>2.9522393079524099</v>
      </c>
      <c r="P3373" s="7">
        <f>[1]!EM_S_VAL_PCF_NCFTTM(B3373,E3373)</f>
        <v>-12.0794806450815</v>
      </c>
      <c r="Q3373" s="7">
        <f>[1]!EM_S_VAL_DIVIDENDYIELD2(B3373,E3373,"2019-11-29")</f>
        <v>0</v>
      </c>
      <c r="T3373"/>
      <c r="U3373">
        <f>[1]!EM_S_RATIO_EPS_TTM(B3373,E3373,"1")</f>
        <v>-2.1756407858372331</v>
      </c>
      <c r="AT3373" s="4" t="str">
        <f>[1]!EM_S_IPO_LISTEDDATE(B3373)</f>
        <v>1992-08-28</v>
      </c>
    </row>
    <row r="3374" spans="1:46">
      <c r="A3374">
        <v>2064</v>
      </c>
      <c r="B3374" t="str">
        <f>"300645"</f>
        <v>300645</v>
      </c>
      <c r="C3374" t="s">
        <v>3321</v>
      </c>
      <c r="D3374" t="str">
        <f>[1]!EM_S_INFO_INDEX_EM(B3374,"1")</f>
        <v>电子设备</v>
      </c>
      <c r="E3374" s="4">
        <f t="shared" si="52"/>
        <v>43465</v>
      </c>
      <c r="F3374" s="11">
        <f>[1]!EM_S_PQ_PCTCHANGE(B3374,"2018-01-01","2019-12-31","3")</f>
        <v>-29.21431969</v>
      </c>
      <c r="G3374" s="11">
        <f>[1]!EM_S_PQ_PCTCHANGE(B3374,"2018-12-31","2019-12-30","1")</f>
        <v>-52.229708049999999</v>
      </c>
      <c r="H3374" s="11">
        <f>[1]!EM_S_FA_YOY_OR(B3374,E3374)</f>
        <v>26.266078533600002</v>
      </c>
      <c r="I3374" s="11">
        <f>[1]!EM_S_FA_GROSSPROFITMARGIN(B3374,E3374)</f>
        <v>39.780796394900001</v>
      </c>
      <c r="J3374" s="11">
        <f>[1]!EM_S_FA_NETPROFITMARGIN(B3374,E3374)</f>
        <v>8.8443630801000008</v>
      </c>
      <c r="K3374" s="10">
        <f>[1]!EM_S_FA_ASSETSTURN(B3374,E3374)</f>
        <v>0.61887329373</v>
      </c>
      <c r="L3374" s="12">
        <f>[1]!EM_HKS_VAL_MV(B3374,"2019-12-31","2")</f>
        <v>1843000004.8499999</v>
      </c>
      <c r="M3374">
        <f>[1]!EM_S_VAL_PETTMDEDUCTED(B3374,E3374)</f>
        <v>51.720455890080601</v>
      </c>
      <c r="N3374" s="7">
        <f>[1]!EM_S_VAL_PBGOODWILLDEDUCTED(B3374,E3374)</f>
        <v>3.56994914300487</v>
      </c>
      <c r="O3374" s="7">
        <f>[1]!EM_S_VAL_PS_TTM(B3374,E3374)</f>
        <v>4.1592313179414901</v>
      </c>
      <c r="P3374" s="7">
        <f>[1]!EM_S_VAL_PCF_NCFTTM(B3374,E3374)</f>
        <v>53.968148579843103</v>
      </c>
      <c r="Q3374" s="7">
        <f>[1]!EM_S_VAL_DIVIDENDYIELD2(B3374,E3374,"2019-11-29")</f>
        <v>0.57836900079145226</v>
      </c>
      <c r="T3374"/>
      <c r="U3374">
        <f>[1]!EM_S_RATIO_EPS_TTM(B3374,E3374,"1")</f>
        <v>0.75530672862346626</v>
      </c>
      <c r="AT3374" s="4" t="str">
        <f>[1]!EM_S_IPO_LISTEDDATE(B3374)</f>
        <v>2017-04-21</v>
      </c>
    </row>
    <row r="3375" spans="1:46">
      <c r="A3375">
        <v>1226</v>
      </c>
      <c r="B3375" t="str">
        <f>"002716"</f>
        <v>002716</v>
      </c>
      <c r="C3375" t="s">
        <v>1431</v>
      </c>
      <c r="D3375" t="str">
        <f>[1]!EM_S_INFO_INDEX_EM(B3375,"1")</f>
        <v>有色金属</v>
      </c>
      <c r="E3375" s="4">
        <f t="shared" si="52"/>
        <v>43465</v>
      </c>
      <c r="F3375" s="11">
        <f>[1]!EM_S_PQ_PCTCHANGE(B3375,"2018-01-01","2019-12-31","3")</f>
        <v>-73.997455000000002</v>
      </c>
      <c r="G3375" s="11">
        <f>[1]!EM_S_PQ_PCTCHANGE(B3375,"2018-12-31","2019-12-30","1")</f>
        <v>-52.365415990000002</v>
      </c>
      <c r="H3375" s="11">
        <f>[1]!EM_S_FA_YOY_OR(B3375,E3375)</f>
        <v>-5.7086842093000003</v>
      </c>
      <c r="I3375" s="11">
        <f>[1]!EM_S_FA_GROSSPROFITMARGIN(B3375,E3375)</f>
        <v>7.9730213358000004</v>
      </c>
      <c r="J3375" s="11">
        <f>[1]!EM_S_FA_NETPROFITMARGIN(B3375,E3375)</f>
        <v>1.2441905950000001</v>
      </c>
      <c r="K3375" s="10">
        <f>[1]!EM_S_FA_ASSETSTURN(B3375,E3375)</f>
        <v>1.0008209022129999</v>
      </c>
      <c r="L3375" s="12">
        <f>[1]!EM_HKS_VAL_MV(B3375,"2019-12-31","2")</f>
        <v>2756572411.04</v>
      </c>
      <c r="M3375">
        <f>[1]!EM_S_VAL_PETTMDEDUCTED(B3375,E3375)</f>
        <v>20.894009978972701</v>
      </c>
      <c r="N3375" s="7">
        <f>[1]!EM_S_VAL_PBGOODWILLDEDUCTED(B3375,E3375)</f>
        <v>1.59236409660209</v>
      </c>
      <c r="O3375" s="7">
        <f>[1]!EM_S_VAL_PS_TTM(B3375,E3375)</f>
        <v>0.49269936683863502</v>
      </c>
      <c r="P3375" s="7">
        <f>[1]!EM_S_VAL_PCF_NCFTTM(B3375,E3375)</f>
        <v>-5.2483547395438102</v>
      </c>
      <c r="Q3375" s="7">
        <f>[1]!EM_S_VAL_DIVIDENDYIELD2(B3375,E3375,"2019-11-29")</f>
        <v>0</v>
      </c>
      <c r="T3375"/>
      <c r="U3375">
        <f>[1]!EM_S_RATIO_EPS_TTM(B3375,E3375,"1")</f>
        <v>0.1233084111919118</v>
      </c>
      <c r="AT3375" s="4" t="str">
        <f>[1]!EM_S_IPO_LISTEDDATE(B3375)</f>
        <v>2014-01-28</v>
      </c>
    </row>
    <row r="3376" spans="1:46">
      <c r="A3376">
        <v>852</v>
      </c>
      <c r="B3376" t="str">
        <f>"002341"</f>
        <v>002341</v>
      </c>
      <c r="C3376" t="s">
        <v>1747</v>
      </c>
      <c r="D3376" t="str">
        <f>[1]!EM_S_INFO_INDEX_EM(B3376,"1")</f>
        <v>基础化工</v>
      </c>
      <c r="E3376" s="4">
        <f t="shared" si="52"/>
        <v>43465</v>
      </c>
      <c r="F3376" s="11">
        <f>[1]!EM_S_PQ_PCTCHANGE(B3376,"2018-01-01","2019-12-31","3")</f>
        <v>-58.406616649999997</v>
      </c>
      <c r="G3376" s="11">
        <f>[1]!EM_S_PQ_PCTCHANGE(B3376,"2018-12-31","2019-12-30","1")</f>
        <v>-52.777777780000001</v>
      </c>
      <c r="H3376" s="11">
        <f>[1]!EM_S_FA_YOY_OR(B3376,E3376)</f>
        <v>55.670662679499998</v>
      </c>
      <c r="I3376" s="11">
        <f>[1]!EM_S_FA_GROSSPROFITMARGIN(B3376,E3376)</f>
        <v>26.298481579299999</v>
      </c>
      <c r="J3376" s="11">
        <f>[1]!EM_S_FA_NETPROFITMARGIN(B3376,E3376)</f>
        <v>8.8694164419000003</v>
      </c>
      <c r="K3376" s="10">
        <f>[1]!EM_S_FA_ASSETSTURN(B3376,E3376)</f>
        <v>0.39580352561400001</v>
      </c>
      <c r="L3376" s="12">
        <f>[1]!EM_HKS_VAL_MV(B3376,"2019-12-31","2")</f>
        <v>6544578882.5600004</v>
      </c>
      <c r="M3376">
        <f>[1]!EM_S_VAL_PETTMDEDUCTED(B3376,E3376)</f>
        <v>44.862358318881398</v>
      </c>
      <c r="N3376" s="7">
        <f>[1]!EM_S_VAL_PBGOODWILLDEDUCTED(B3376,E3376)</f>
        <v>4.0132621704454596</v>
      </c>
      <c r="O3376" s="7">
        <f>[1]!EM_S_VAL_PS_TTM(B3376,E3376)</f>
        <v>4.3462390434206402</v>
      </c>
      <c r="P3376" s="7">
        <f>[1]!EM_S_VAL_PCF_NCFTTM(B3376,E3376)</f>
        <v>-56.298651662697601</v>
      </c>
      <c r="Q3376" s="7">
        <f>[1]!EM_S_VAL_DIVIDENDYIELD2(B3376,E3376,"2019-11-29")</f>
        <v>0.5252003891050584</v>
      </c>
      <c r="T3376"/>
      <c r="U3376">
        <f>[1]!EM_S_RATIO_EPS_TTM(B3376,E3376,"1")</f>
        <v>0.26138767447424743</v>
      </c>
      <c r="AT3376" s="4" t="str">
        <f>[1]!EM_S_IPO_LISTEDDATE(B3376)</f>
        <v>2010-01-22</v>
      </c>
    </row>
    <row r="3377" spans="1:46">
      <c r="A3377">
        <v>1283</v>
      </c>
      <c r="B3377" t="str">
        <f>"002776"</f>
        <v>002776</v>
      </c>
      <c r="C3377" t="s">
        <v>1461</v>
      </c>
      <c r="D3377" t="str">
        <f>[1]!EM_S_INFO_INDEX_EM(B3377,"1")</f>
        <v>纺织服装</v>
      </c>
      <c r="E3377" s="4">
        <f t="shared" si="52"/>
        <v>43465</v>
      </c>
      <c r="F3377" s="11">
        <f>[1]!EM_S_PQ_PCTCHANGE(B3377,"2018-01-01","2019-12-31","3")</f>
        <v>-9.2365918899999997</v>
      </c>
      <c r="G3377" s="11">
        <f>[1]!EM_S_PQ_PCTCHANGE(B3377,"2018-12-31","2019-12-30","1")</f>
        <v>-52.829028289999997</v>
      </c>
      <c r="H3377" s="11">
        <f>[1]!EM_S_FA_YOY_OR(B3377,E3377)</f>
        <v>24.749034714499999</v>
      </c>
      <c r="I3377" s="11">
        <f>[1]!EM_S_FA_GROSSPROFITMARGIN(B3377,E3377)</f>
        <v>34.504616040599998</v>
      </c>
      <c r="J3377" s="11">
        <f>[1]!EM_S_FA_NETPROFITMARGIN(B3377,E3377)</f>
        <v>18.2608316237</v>
      </c>
      <c r="K3377" s="10">
        <f>[1]!EM_S_FA_ASSETSTURN(B3377,E3377)</f>
        <v>0.36982925001900002</v>
      </c>
      <c r="L3377" s="12">
        <f>[1]!EM_HKS_VAL_MV(B3377,"2019-12-31","2")</f>
        <v>4142516116.1999998</v>
      </c>
      <c r="M3377">
        <f>[1]!EM_S_VAL_PETTMDEDUCTED(B3377,E3377)</f>
        <v>48.1069228857612</v>
      </c>
      <c r="N3377" s="7">
        <f>[1]!EM_S_VAL_PBGOODWILLDEDUCTED(B3377,E3377)</f>
        <v>2.5306144812892799</v>
      </c>
      <c r="O3377" s="7">
        <f>[1]!EM_S_VAL_PS_TTM(B3377,E3377)</f>
        <v>6.5796321280725296</v>
      </c>
      <c r="P3377" s="7">
        <f>[1]!EM_S_VAL_PCF_NCFTTM(B3377,E3377)</f>
        <v>-70.521181995844302</v>
      </c>
      <c r="Q3377" s="7">
        <f>[1]!EM_S_VAL_DIVIDENDYIELD2(B3377,E3377,"2019-11-29")</f>
        <v>1.1155342326933069</v>
      </c>
      <c r="T3377"/>
      <c r="U3377">
        <f>[1]!EM_S_RATIO_EPS_TTM(B3377,E3377,"1")</f>
        <v>0.53363739140649102</v>
      </c>
      <c r="AT3377" s="4" t="str">
        <f>[1]!EM_S_IPO_LISTEDDATE(B3377)</f>
        <v>2015-06-26</v>
      </c>
    </row>
    <row r="3378" spans="1:46">
      <c r="A3378">
        <v>1422</v>
      </c>
      <c r="B3378" t="str">
        <f>"002927"</f>
        <v>002927</v>
      </c>
      <c r="C3378" t="s">
        <v>1595</v>
      </c>
      <c r="D3378" t="str">
        <f>[1]!EM_S_INFO_INDEX_EM(B3378,"1")</f>
        <v>电气设备</v>
      </c>
      <c r="E3378" s="4">
        <f t="shared" si="52"/>
        <v>43465</v>
      </c>
      <c r="F3378" s="11">
        <f>[1]!EM_S_PQ_PCTCHANGE(B3378,"2018-01-01","2019-12-31","3")</f>
        <v>148.94496097000001</v>
      </c>
      <c r="G3378" s="11">
        <f>[1]!EM_S_PQ_PCTCHANGE(B3378,"2018-12-31","2019-12-30","1")</f>
        <v>-53.620848709999997</v>
      </c>
      <c r="H3378" s="11">
        <f>[1]!EM_S_FA_YOY_OR(B3378,E3378)</f>
        <v>5.7224048403000003</v>
      </c>
      <c r="I3378" s="11">
        <f>[1]!EM_S_FA_GROSSPROFITMARGIN(B3378,E3378)</f>
        <v>54.060885481</v>
      </c>
      <c r="J3378" s="11">
        <f>[1]!EM_S_FA_NETPROFITMARGIN(B3378,E3378)</f>
        <v>21.056907414499999</v>
      </c>
      <c r="K3378" s="10">
        <f>[1]!EM_S_FA_ASSETSTURN(B3378,E3378)</f>
        <v>0.53894518146100001</v>
      </c>
      <c r="L3378" s="12">
        <f>[1]!EM_HKS_VAL_MV(B3378,"2019-12-31","2")</f>
        <v>3424562960</v>
      </c>
      <c r="M3378">
        <f>[1]!EM_S_VAL_PETTMDEDUCTED(B3378,E3378)</f>
        <v>82.900005959723501</v>
      </c>
      <c r="N3378" s="7">
        <f>[1]!EM_S_VAL_PBGOODWILLDEDUCTED(B3378,E3378)</f>
        <v>7.1939397622574299</v>
      </c>
      <c r="O3378" s="7">
        <f>[1]!EM_S_VAL_PS_TTM(B3378,E3378)</f>
        <v>15.395968838462901</v>
      </c>
      <c r="P3378" s="7">
        <f>[1]!EM_S_VAL_PCF_NCFTTM(B3378,E3378)</f>
        <v>65.187661064824695</v>
      </c>
      <c r="Q3378" s="7">
        <f>[1]!EM_S_VAL_DIVIDENDYIELD2(B3378,E3378,"2019-11-29")</f>
        <v>0.44526901669758817</v>
      </c>
      <c r="T3378"/>
      <c r="U3378">
        <f>[1]!EM_S_RATIO_EPS_TTM(B3378,E3378,"1")</f>
        <v>0.59983746170247665</v>
      </c>
      <c r="AT3378" s="4" t="str">
        <f>[1]!EM_S_IPO_LISTEDDATE(B3378)</f>
        <v>2018-02-23</v>
      </c>
    </row>
    <row r="3379" spans="1:46">
      <c r="A3379">
        <v>2854</v>
      </c>
      <c r="B3379" t="str">
        <f>"600781"</f>
        <v>600781</v>
      </c>
      <c r="C3379" t="s">
        <v>504</v>
      </c>
      <c r="D3379" t="str">
        <f>[1]!EM_S_INFO_INDEX_EM(B3379,"1")</f>
        <v>医药生物</v>
      </c>
      <c r="E3379" s="4">
        <f t="shared" si="52"/>
        <v>43465</v>
      </c>
      <c r="F3379" s="11">
        <f>[1]!EM_S_PQ_PCTCHANGE(B3379,"2018-01-01","2019-12-31","3")</f>
        <v>-74.519946169999997</v>
      </c>
      <c r="G3379" s="11">
        <f>[1]!EM_S_PQ_PCTCHANGE(B3379,"2018-12-31","2019-12-30","1")</f>
        <v>-53.833992090000002</v>
      </c>
      <c r="H3379" s="11">
        <f>[1]!EM_S_FA_YOY_OR(B3379,E3379)</f>
        <v>8.9206191280000002</v>
      </c>
      <c r="I3379" s="11">
        <f>[1]!EM_S_FA_GROSSPROFITMARGIN(B3379,E3379)</f>
        <v>44.003820814100003</v>
      </c>
      <c r="J3379" s="11">
        <f>[1]!EM_S_FA_NETPROFITMARGIN(B3379,E3379)</f>
        <v>14.1396377077</v>
      </c>
      <c r="K3379" s="10">
        <f>[1]!EM_S_FA_ASSETSTURN(B3379,E3379)</f>
        <v>0.61340755905199995</v>
      </c>
      <c r="L3379" s="12">
        <f>[1]!EM_HKS_VAL_MV(B3379,"2019-12-31","2")</f>
        <v>3643785144.7199998</v>
      </c>
      <c r="M3379">
        <f>[1]!EM_S_VAL_PETTMDEDUCTED(B3379,E3379)</f>
        <v>11.5311661606752</v>
      </c>
      <c r="N3379" s="7">
        <f>[1]!EM_S_VAL_PBGOODWILLDEDUCTED(B3379,E3379)</f>
        <v>1.46901277485459</v>
      </c>
      <c r="O3379" s="7">
        <f>[1]!EM_S_VAL_PS_TTM(B3379,E3379)</f>
        <v>1.2537134218860799</v>
      </c>
      <c r="P3379" s="7">
        <f>[1]!EM_S_VAL_PCF_NCFTTM(B3379,E3379)</f>
        <v>29.6205083808408</v>
      </c>
      <c r="Q3379" s="7">
        <f>[1]!EM_S_VAL_DIVIDENDYIELD2(B3379,E3379,"2019-11-29")</f>
        <v>1.8832391713747647</v>
      </c>
      <c r="T3379"/>
      <c r="U3379">
        <f>[1]!EM_S_RATIO_EPS_TTM(B3379,E3379,"1")</f>
        <v>1.4167991810963112</v>
      </c>
      <c r="AT3379" s="4" t="str">
        <f>[1]!EM_S_IPO_LISTEDDATE(B3379)</f>
        <v>1996-12-18</v>
      </c>
    </row>
    <row r="3380" spans="1:46">
      <c r="A3380">
        <v>961</v>
      </c>
      <c r="B3380" t="str">
        <f>"002450"</f>
        <v>002450</v>
      </c>
      <c r="C3380" t="s">
        <v>516</v>
      </c>
      <c r="D3380" t="str">
        <f>[1]!EM_S_INFO_INDEX_EM(B3380,"1")</f>
        <v>基础化工</v>
      </c>
      <c r="E3380" s="4">
        <f t="shared" si="52"/>
        <v>43465</v>
      </c>
      <c r="F3380" s="11">
        <f>[1]!EM_S_PQ_PCTCHANGE(B3380,"2018-01-01","2019-12-31","3")</f>
        <v>-84.078893719999996</v>
      </c>
      <c r="G3380" s="11">
        <f>[1]!EM_S_PQ_PCTCHANGE(B3380,"2018-12-31","2019-12-30","1")</f>
        <v>-53.926701569999999</v>
      </c>
      <c r="H3380" s="11">
        <f>[1]!EM_S_FA_YOY_OR(B3380,E3380)</f>
        <v>-22.383311984399999</v>
      </c>
      <c r="I3380" s="11">
        <f>[1]!EM_S_FA_GROSSPROFITMARGIN(B3380,E3380)</f>
        <v>40.0235259361</v>
      </c>
      <c r="J3380" s="11">
        <f>[1]!EM_S_FA_NETPROFITMARGIN(B3380,E3380)</f>
        <v>3.1005409854999999</v>
      </c>
      <c r="K3380" s="10">
        <f>[1]!EM_S_FA_ASSETSTURN(B3380,E3380)</f>
        <v>0.26709906844699999</v>
      </c>
      <c r="L3380" s="12">
        <f>[1]!EM_HKS_VAL_MV(B3380,"2019-12-31","2")</f>
        <v>12463968992.639999</v>
      </c>
      <c r="M3380">
        <f>[1]!EM_S_VAL_PETTMDEDUCTED(B3380,E3380)</f>
        <v>9.9316444577337695</v>
      </c>
      <c r="N3380" s="7">
        <f>[1]!EM_S_VAL_PBGOODWILLDEDUCTED(B3380,E3380)</f>
        <v>1.4921924895003</v>
      </c>
      <c r="O3380" s="7">
        <f>[1]!EM_S_VAL_PS_TTM(B3380,E3380)</f>
        <v>2.0536008512005699</v>
      </c>
      <c r="P3380" s="7">
        <f>[1]!EM_S_VAL_PCF_NCFTTM(B3380,E3380)</f>
        <v>-6.8508068289306303</v>
      </c>
      <c r="Q3380" s="7">
        <f>[1]!EM_S_VAL_DIVIDENDYIELD2(B3380,E3380,"2019-11-29")</f>
        <v>0</v>
      </c>
      <c r="T3380"/>
      <c r="U3380">
        <f>[1]!EM_S_RATIO_EPS_TTM(B3380,E3380,"1")</f>
        <v>7.9272869966689447E-2</v>
      </c>
      <c r="AT3380" s="4" t="str">
        <f>[1]!EM_S_IPO_LISTEDDATE(B3380)</f>
        <v>2010-07-16</v>
      </c>
    </row>
    <row r="3381" spans="1:46">
      <c r="A3381">
        <v>1581</v>
      </c>
      <c r="B3381" t="str">
        <f>"300156"</f>
        <v>300156</v>
      </c>
      <c r="C3381" t="s">
        <v>3525</v>
      </c>
      <c r="D3381" t="str">
        <f>[1]!EM_S_INFO_INDEX_EM(B3381,"1")</f>
        <v>公用事业</v>
      </c>
      <c r="E3381" s="4">
        <f t="shared" si="52"/>
        <v>43465</v>
      </c>
      <c r="F3381" s="11">
        <f>[1]!EM_S_PQ_PCTCHANGE(B3381,"2018-01-01","2019-12-31","3")</f>
        <v>-93.046357619999995</v>
      </c>
      <c r="G3381" s="11">
        <f>[1]!EM_S_PQ_PCTCHANGE(B3381,"2018-12-31","2019-12-30","1")</f>
        <v>-53.99449036</v>
      </c>
      <c r="H3381" s="11">
        <f>[1]!EM_S_FA_YOY_OR(B3381,E3381)</f>
        <v>-98.175656606199993</v>
      </c>
      <c r="I3381" s="11">
        <f>[1]!EM_S_FA_GROSSPROFITMARGIN(B3381,E3381)</f>
        <v>65.123784005299996</v>
      </c>
      <c r="J3381" s="11">
        <f>[1]!EM_S_FA_NETPROFITMARGIN(B3381,E3381)</f>
        <v>-2914.6029324378001</v>
      </c>
      <c r="K3381" s="10">
        <f>[1]!EM_S_FA_ASSETSTURN(B3381,E3381)</f>
        <v>8.0262175099999993E-3</v>
      </c>
      <c r="L3381" s="12">
        <f>[1]!EM_HKS_VAL_MV(B3381,"2019-12-31","2")</f>
        <v>1696841017.2</v>
      </c>
      <c r="M3381">
        <f>[1]!EM_S_VAL_PETTMDEDUCTED(B3381,E3381)</f>
        <v>-10.176571096513801</v>
      </c>
      <c r="N3381" s="7">
        <f>[1]!EM_S_VAL_PBGOODWILLDEDUCTED(B3381,E3381)</f>
        <v>2.8509163705744802</v>
      </c>
      <c r="O3381" s="7">
        <f>[1]!EM_S_VAL_PS_TTM(B3381,E3381)</f>
        <v>9.4818496647814996</v>
      </c>
      <c r="P3381" s="7">
        <f>[1]!EM_S_VAL_PCF_NCFTTM(B3381,E3381)</f>
        <v>-14.5945663168999</v>
      </c>
      <c r="Q3381" s="7">
        <f>[1]!EM_S_VAL_DIVIDENDYIELD2(B3381,E3381,"2019-11-29")</f>
        <v>0</v>
      </c>
      <c r="T3381"/>
      <c r="U3381">
        <f>[1]!EM_S_RATIO_EPS_TTM(B3381,E3381,"1")</f>
        <v>-1.4789949403351801</v>
      </c>
      <c r="AT3381" s="4" t="str">
        <f>[1]!EM_S_IPO_LISTEDDATE(B3381)</f>
        <v>2011-01-07</v>
      </c>
    </row>
    <row r="3382" spans="1:46">
      <c r="A3382">
        <v>1223</v>
      </c>
      <c r="B3382" t="str">
        <f>"002713"</f>
        <v>002713</v>
      </c>
      <c r="C3382" t="s">
        <v>3614</v>
      </c>
      <c r="D3382" t="str">
        <f>[1]!EM_S_INFO_INDEX_EM(B3382,"1")</f>
        <v>建筑</v>
      </c>
      <c r="E3382" s="4">
        <f t="shared" si="52"/>
        <v>43465</v>
      </c>
      <c r="F3382" s="11">
        <f>[1]!EM_S_PQ_PCTCHANGE(B3382,"2018-01-01","2019-12-31","3")</f>
        <v>-47.352033409999997</v>
      </c>
      <c r="G3382" s="11">
        <f>[1]!EM_S_PQ_PCTCHANGE(B3382,"2018-12-31","2019-12-30","1")</f>
        <v>-54.209183670000002</v>
      </c>
      <c r="H3382" s="11">
        <f>[1]!EM_S_FA_YOY_OR(B3382,E3382)</f>
        <v>16.357096837499999</v>
      </c>
      <c r="I3382" s="11">
        <f>[1]!EM_S_FA_GROSSPROFITMARGIN(B3382,E3382)</f>
        <v>37.1614025457</v>
      </c>
      <c r="J3382" s="11">
        <f>[1]!EM_S_FA_NETPROFITMARGIN(B3382,E3382)</f>
        <v>7.3244115312</v>
      </c>
      <c r="K3382" s="10">
        <f>[1]!EM_S_FA_ASSETSTURN(B3382,E3382)</f>
        <v>1.2270005345749999</v>
      </c>
      <c r="L3382" s="12">
        <f>[1]!EM_HKS_VAL_MV(B3382,"2019-12-31","2")</f>
        <v>2982907927.8000002</v>
      </c>
      <c r="M3382">
        <f>[1]!EM_S_VAL_PETTMDEDUCTED(B3382,E3382)</f>
        <v>17.264275628216399</v>
      </c>
      <c r="N3382" s="7">
        <f>[1]!EM_S_VAL_PBGOODWILLDEDUCTED(B3382,E3382)</f>
        <v>7.1254427147281802</v>
      </c>
      <c r="O3382" s="7">
        <f>[1]!EM_S_VAL_PS_TTM(B3382,E3382)</f>
        <v>0.98708796540455301</v>
      </c>
      <c r="P3382" s="7">
        <f>[1]!EM_S_VAL_PCF_NCFTTM(B3382,E3382)</f>
        <v>-38.2657460032191</v>
      </c>
      <c r="Q3382" s="7">
        <f>[1]!EM_S_VAL_DIVIDENDYIELD2(B3382,E3382,"2019-11-29")</f>
        <v>8.7172697422739418</v>
      </c>
      <c r="T3382"/>
      <c r="U3382">
        <f>[1]!EM_S_RATIO_EPS_TTM(B3382,E3382,"1")</f>
        <v>0.96185438595590211</v>
      </c>
      <c r="AT3382" s="4" t="str">
        <f>[1]!EM_S_IPO_LISTEDDATE(B3382)</f>
        <v>2014-02-19</v>
      </c>
    </row>
    <row r="3383" spans="1:46">
      <c r="A3383">
        <v>3534</v>
      </c>
      <c r="B3383" t="str">
        <f>"603779"</f>
        <v>603779</v>
      </c>
      <c r="C3383" t="s">
        <v>1916</v>
      </c>
      <c r="D3383" t="str">
        <f>[1]!EM_S_INFO_INDEX_EM(B3383,"1")</f>
        <v>食品饮料</v>
      </c>
      <c r="E3383" s="4">
        <f t="shared" si="52"/>
        <v>43465</v>
      </c>
      <c r="F3383" s="11">
        <f>[1]!EM_S_PQ_PCTCHANGE(B3383,"2018-01-01","2019-12-31","3")</f>
        <v>-47.595431230000003</v>
      </c>
      <c r="G3383" s="11">
        <f>[1]!EM_S_PQ_PCTCHANGE(B3383,"2018-12-31","2019-12-30","1")</f>
        <v>-54.792452830000002</v>
      </c>
      <c r="H3383" s="11">
        <f>[1]!EM_S_FA_YOY_OR(B3383,E3383)</f>
        <v>-5.1316294033999998</v>
      </c>
      <c r="I3383" s="11">
        <f>[1]!EM_S_FA_GROSSPROFITMARGIN(B3383,E3383)</f>
        <v>55.118448073000003</v>
      </c>
      <c r="J3383" s="11">
        <f>[1]!EM_S_FA_NETPROFITMARGIN(B3383,E3383)</f>
        <v>6.5533756163000003</v>
      </c>
      <c r="K3383" s="10">
        <f>[1]!EM_S_FA_ASSETSTURN(B3383,E3383)</f>
        <v>0.39487639209399999</v>
      </c>
      <c r="L3383" s="12">
        <f>[1]!EM_HKS_VAL_MV(B3383,"2019-12-31","2")</f>
        <v>1999822415.54</v>
      </c>
      <c r="M3383">
        <f>[1]!EM_S_VAL_PETTMDEDUCTED(B3383,E3383)</f>
        <v>47.880305220219199</v>
      </c>
      <c r="N3383" s="7">
        <f>[1]!EM_S_VAL_PBGOODWILLDEDUCTED(B3383,E3383)</f>
        <v>2.1616898611625799</v>
      </c>
      <c r="O3383" s="7">
        <f>[1]!EM_S_VAL_PS_TTM(B3383,E3383)</f>
        <v>3.6870748616430302</v>
      </c>
      <c r="P3383" s="7">
        <f>[1]!EM_S_VAL_PCF_NCFTTM(B3383,E3383)</f>
        <v>110.96376987644901</v>
      </c>
      <c r="Q3383" s="7">
        <f>[1]!EM_S_VAL_DIVIDENDYIELD2(B3383,E3383,"2019-11-29")</f>
        <v>1.2014210951173923</v>
      </c>
      <c r="T3383"/>
      <c r="U3383">
        <f>[1]!EM_S_RATIO_EPS_TTM(B3383,E3383,"1")</f>
        <v>0.22486862159407286</v>
      </c>
      <c r="AT3383" s="4" t="str">
        <f>[1]!EM_S_IPO_LISTEDDATE(B3383)</f>
        <v>2016-05-16</v>
      </c>
    </row>
    <row r="3384" spans="1:46">
      <c r="A3384">
        <v>3406</v>
      </c>
      <c r="B3384" t="str">
        <f>"603486"</f>
        <v>603486</v>
      </c>
      <c r="C3384" t="s">
        <v>42</v>
      </c>
      <c r="D3384" t="str">
        <f>[1]!EM_S_INFO_INDEX_EM(B3384,"1")</f>
        <v>机械设备</v>
      </c>
      <c r="E3384" s="4">
        <f t="shared" si="52"/>
        <v>43465</v>
      </c>
      <c r="F3384" s="11">
        <f>[1]!EM_S_PQ_PCTCHANGE(B3384,"2018-01-01","2019-12-31","3")</f>
        <v>43.274075949999997</v>
      </c>
      <c r="G3384" s="11">
        <f>[1]!EM_S_PQ_PCTCHANGE(B3384,"2018-12-31","2019-12-30","1")</f>
        <v>-55.876602220000002</v>
      </c>
      <c r="H3384" s="11">
        <f>[1]!EM_S_FA_YOY_OR(B3384,E3384)</f>
        <v>25.107098407300001</v>
      </c>
      <c r="I3384" s="11">
        <f>[1]!EM_S_FA_GROSSPROFITMARGIN(B3384,E3384)</f>
        <v>37.841032113300002</v>
      </c>
      <c r="J3384" s="11">
        <f>[1]!EM_S_FA_NETPROFITMARGIN(B3384,E3384)</f>
        <v>8.5209172046999999</v>
      </c>
      <c r="K3384" s="10">
        <f>[1]!EM_S_FA_ASSETSTURN(B3384,E3384)</f>
        <v>1.648094356346</v>
      </c>
      <c r="L3384" s="12">
        <f>[1]!EM_HKS_VAL_MV(B3384,"2019-12-31","2")</f>
        <v>11453250504</v>
      </c>
      <c r="M3384">
        <f>[1]!EM_S_VAL_PETTMDEDUCTED(B3384,E3384)</f>
        <v>41.431131201644099</v>
      </c>
      <c r="N3384" s="7">
        <f>[1]!EM_S_VAL_PBGOODWILLDEDUCTED(B3384,E3384)</f>
        <v>7.40102184057465</v>
      </c>
      <c r="O3384" s="7">
        <f>[1]!EM_S_VAL_PS_TTM(B3384,E3384)</f>
        <v>3.42553922856635</v>
      </c>
      <c r="P3384" s="7">
        <f>[1]!EM_S_VAL_PCF_NCFTTM(B3384,E3384)</f>
        <v>223.02011093277099</v>
      </c>
      <c r="Q3384" s="7">
        <f>[1]!EM_S_VAL_DIVIDENDYIELD2(B3384,E3384,"2019-11-29")</f>
        <v>1.4882875545046259</v>
      </c>
      <c r="T3384"/>
      <c r="U3384">
        <f>[1]!EM_S_RATIO_EPS_TTM(B3384,E3384,"1")</f>
        <v>1.2124097817545614</v>
      </c>
      <c r="AT3384" s="4" t="str">
        <f>[1]!EM_S_IPO_LISTEDDATE(B3384)</f>
        <v>2018-05-28</v>
      </c>
    </row>
    <row r="3385" spans="1:46">
      <c r="A3385">
        <v>312</v>
      </c>
      <c r="B3385" t="str">
        <f>"000732"</f>
        <v>000732</v>
      </c>
      <c r="C3385" t="s">
        <v>1808</v>
      </c>
      <c r="D3385" t="str">
        <f>[1]!EM_S_INFO_INDEX_EM(B3385,"1")</f>
        <v>房地产</v>
      </c>
      <c r="E3385" s="4">
        <f t="shared" si="52"/>
        <v>43465</v>
      </c>
      <c r="F3385" s="11">
        <f>[1]!EM_S_PQ_PCTCHANGE(B3385,"2018-01-01","2019-12-31","3")</f>
        <v>-37.032845399999999</v>
      </c>
      <c r="G3385" s="11">
        <f>[1]!EM_S_PQ_PCTCHANGE(B3385,"2018-12-31","2019-12-30","1")</f>
        <v>-55.991440799999999</v>
      </c>
      <c r="H3385" s="11">
        <f>[1]!EM_S_FA_YOY_OR(B3385,E3385)</f>
        <v>27.346629439600001</v>
      </c>
      <c r="I3385" s="11">
        <f>[1]!EM_S_FA_GROSSPROFITMARGIN(B3385,E3385)</f>
        <v>30.364788328500001</v>
      </c>
      <c r="J3385" s="11">
        <f>[1]!EM_S_FA_NETPROFITMARGIN(B3385,E3385)</f>
        <v>12.622348840400001</v>
      </c>
      <c r="K3385" s="10">
        <f>[1]!EM_S_FA_ASSETSTURN(B3385,E3385)</f>
        <v>0.13784636783400001</v>
      </c>
      <c r="L3385" s="12">
        <f>[1]!EM_HKS_VAL_MV(B3385,"2019-12-31","2")</f>
        <v>15306743856</v>
      </c>
      <c r="M3385">
        <f>[1]!EM_S_VAL_PETTMDEDUCTED(B3385,E3385)</f>
        <v>8.6683632563640796</v>
      </c>
      <c r="N3385" s="7">
        <f>[1]!EM_S_VAL_PBGOODWILLDEDUCTED(B3385,E3385)</f>
        <v>0.95487484883739804</v>
      </c>
      <c r="O3385" s="7">
        <f>[1]!EM_S_VAL_PS_TTM(B3385,E3385)</f>
        <v>0.62469666684023395</v>
      </c>
      <c r="P3385" s="7">
        <f>[1]!EM_S_VAL_PCF_NCFTTM(B3385,E3385)</f>
        <v>5.6839946520968203</v>
      </c>
      <c r="Q3385" s="7">
        <f>[1]!EM_S_VAL_DIVIDENDYIELD2(B3385,E3385,"2019-11-29")</f>
        <v>1.943462897526502</v>
      </c>
      <c r="T3385"/>
      <c r="U3385">
        <f>[1]!EM_S_RATIO_EPS_TTM(B3385,E3385,"1")</f>
        <v>2.0528536562942405</v>
      </c>
      <c r="AT3385" s="4" t="str">
        <f>[1]!EM_S_IPO_LISTEDDATE(B3385)</f>
        <v>1997-07-04</v>
      </c>
    </row>
    <row r="3386" spans="1:46">
      <c r="A3386">
        <v>1241</v>
      </c>
      <c r="B3386" t="str">
        <f>"002731"</f>
        <v>002731</v>
      </c>
      <c r="C3386" t="s">
        <v>2649</v>
      </c>
      <c r="D3386" t="str">
        <f>[1]!EM_S_INFO_INDEX_EM(B3386,"1")</f>
        <v>有色金属</v>
      </c>
      <c r="E3386" s="4">
        <f t="shared" si="52"/>
        <v>43465</v>
      </c>
      <c r="F3386" s="11">
        <f>[1]!EM_S_PQ_PCTCHANGE(B3386,"2018-01-01","2019-12-31","3")</f>
        <v>-27.591104210000001</v>
      </c>
      <c r="G3386" s="11">
        <f>[1]!EM_S_PQ_PCTCHANGE(B3386,"2018-12-31","2019-12-30","1")</f>
        <v>-56.242774570000002</v>
      </c>
      <c r="H3386" s="11">
        <f>[1]!EM_S_FA_YOY_OR(B3386,E3386)</f>
        <v>-1.9773203878000001</v>
      </c>
      <c r="I3386" s="11">
        <f>[1]!EM_S_FA_GROSSPROFITMARGIN(B3386,E3386)</f>
        <v>9.9087976674</v>
      </c>
      <c r="J3386" s="11">
        <f>[1]!EM_S_FA_NETPROFITMARGIN(B3386,E3386)</f>
        <v>1.038148115</v>
      </c>
      <c r="K3386" s="10">
        <f>[1]!EM_S_FA_ASSETSTURN(B3386,E3386)</f>
        <v>0.94850735851500001</v>
      </c>
      <c r="L3386" s="12">
        <f>[1]!EM_HKS_VAL_MV(B3386,"2019-12-31","2")</f>
        <v>1985209000</v>
      </c>
      <c r="M3386">
        <f>[1]!EM_S_VAL_PETTMDEDUCTED(B3386,E3386)</f>
        <v>58.064189723804198</v>
      </c>
      <c r="N3386" s="7">
        <f>[1]!EM_S_VAL_PBGOODWILLDEDUCTED(B3386,E3386)</f>
        <v>2.17190593213946</v>
      </c>
      <c r="O3386" s="7">
        <f>[1]!EM_S_VAL_PS_TTM(B3386,E3386)</f>
        <v>0.96303949615166695</v>
      </c>
      <c r="P3386" s="7">
        <f>[1]!EM_S_VAL_PCF_NCFTTM(B3386,E3386)</f>
        <v>-80.103718724377003</v>
      </c>
      <c r="Q3386" s="7">
        <f>[1]!EM_S_VAL_DIVIDENDYIELD2(B3386,E3386,"2019-11-29")</f>
        <v>0.40016006402561027</v>
      </c>
      <c r="T3386"/>
      <c r="U3386">
        <f>[1]!EM_S_RATIO_EPS_TTM(B3386,E3386,"1")</f>
        <v>0.19652332260419431</v>
      </c>
      <c r="AT3386" s="4" t="str">
        <f>[1]!EM_S_IPO_LISTEDDATE(B3386)</f>
        <v>2014-11-04</v>
      </c>
    </row>
    <row r="3387" spans="1:46">
      <c r="A3387">
        <v>1884</v>
      </c>
      <c r="B3387" t="str">
        <f>"300459"</f>
        <v>300459</v>
      </c>
      <c r="C3387" t="s">
        <v>794</v>
      </c>
      <c r="D3387" t="str">
        <f>[1]!EM_S_INFO_INDEX_EM(B3387,"1")</f>
        <v>互联网</v>
      </c>
      <c r="E3387" s="4">
        <f t="shared" si="52"/>
        <v>43465</v>
      </c>
      <c r="F3387" s="11">
        <f>[1]!EM_S_PQ_PCTCHANGE(B3387,"2018-01-01","2019-12-31","3")</f>
        <v>-47.802864620000001</v>
      </c>
      <c r="G3387" s="11">
        <f>[1]!EM_S_PQ_PCTCHANGE(B3387,"2018-12-31","2019-12-30","1")</f>
        <v>-56.46258503</v>
      </c>
      <c r="H3387" s="11">
        <f>[1]!EM_S_FA_YOY_OR(B3387,E3387)</f>
        <v>95.173309861299998</v>
      </c>
      <c r="I3387" s="11">
        <f>[1]!EM_S_FA_GROSSPROFITMARGIN(B3387,E3387)</f>
        <v>70.873818149200005</v>
      </c>
      <c r="J3387" s="11">
        <f>[1]!EM_S_FA_NETPROFITMARGIN(B3387,E3387)</f>
        <v>33.1582575897</v>
      </c>
      <c r="K3387" s="10">
        <f>[1]!EM_S_FA_ASSETSTURN(B3387,E3387)</f>
        <v>0.231254146045</v>
      </c>
      <c r="L3387" s="12">
        <f>[1]!EM_HKS_VAL_MV(B3387,"2019-12-31","2")</f>
        <v>11303905548.209999</v>
      </c>
      <c r="M3387">
        <f>[1]!EM_S_VAL_PETTMDEDUCTED(B3387,E3387)</f>
        <v>17.562149910910598</v>
      </c>
      <c r="N3387" s="7">
        <f>[1]!EM_S_VAL_PBGOODWILLDEDUCTED(B3387,E3387)</f>
        <v>39.533976920745502</v>
      </c>
      <c r="O3387" s="7">
        <f>[1]!EM_S_VAL_PS_TTM(B3387,E3387)</f>
        <v>6.53125013789563</v>
      </c>
      <c r="P3387" s="7">
        <f>[1]!EM_S_VAL_PCF_NCFTTM(B3387,E3387)</f>
        <v>45.293052032205701</v>
      </c>
      <c r="Q3387" s="7">
        <f>[1]!EM_S_VAL_DIVIDENDYIELD2(B3387,E3387,"2019-11-29")</f>
        <v>1.2515868023820225</v>
      </c>
      <c r="T3387"/>
      <c r="U3387">
        <f>[1]!EM_S_RATIO_EPS_TTM(B3387,E3387,"1")</f>
        <v>0.42717861419015052</v>
      </c>
      <c r="AT3387" s="4" t="str">
        <f>[1]!EM_S_IPO_LISTEDDATE(B3387)</f>
        <v>2015-05-15</v>
      </c>
    </row>
    <row r="3388" spans="1:46">
      <c r="A3388">
        <v>1856</v>
      </c>
      <c r="B3388" t="str">
        <f>"300431"</f>
        <v>300431</v>
      </c>
      <c r="C3388" t="s">
        <v>3558</v>
      </c>
      <c r="D3388" t="str">
        <f>[1]!EM_S_INFO_INDEX_EM(B3388,"1")</f>
        <v>互联网</v>
      </c>
      <c r="E3388" s="4">
        <f t="shared" si="52"/>
        <v>43465</v>
      </c>
      <c r="F3388" s="11">
        <f>[1]!EM_S_PQ_PCTCHANGE(B3388,"2018-01-01","2019-12-31","3")</f>
        <v>-83.243738629999996</v>
      </c>
      <c r="G3388" s="11">
        <f>[1]!EM_S_PQ_PCTCHANGE(B3388,"2018-12-31","2019-12-30","1")</f>
        <v>-56.474820139999999</v>
      </c>
      <c r="H3388" s="11">
        <f>[1]!EM_S_FA_YOY_OR(B3388,E3388)</f>
        <v>-41.1510154156</v>
      </c>
      <c r="I3388" s="11">
        <f>[1]!EM_S_FA_GROSSPROFITMARGIN(B3388,E3388)</f>
        <v>-17.077447020800001</v>
      </c>
      <c r="J3388" s="11">
        <f>[1]!EM_S_FA_NETPROFITMARGIN(B3388,E3388)</f>
        <v>-179.5560658011</v>
      </c>
      <c r="K3388" s="10">
        <f>[1]!EM_S_FA_ASSETSTURN(B3388,E3388)</f>
        <v>0.537420362496</v>
      </c>
      <c r="L3388" s="12">
        <f>[1]!EM_HKS_VAL_MV(B3388,"2019-12-31","2")</f>
        <v>1202764472.45</v>
      </c>
      <c r="M3388">
        <f>[1]!EM_S_VAL_PETTMDEDUCTED(B3388,E3388)</f>
        <v>-13.869195414687599</v>
      </c>
      <c r="N3388" s="7">
        <f>[1]!EM_S_VAL_PBGOODWILLDEDUCTED(B3388,E3388)</f>
        <v>-24.7969538416611</v>
      </c>
      <c r="O3388" s="7">
        <f>[1]!EM_S_VAL_PS_TTM(B3388,E3388)</f>
        <v>1.6410612719433599</v>
      </c>
      <c r="P3388" s="7">
        <f>[1]!EM_S_VAL_PCF_NCFTTM(B3388,E3388)</f>
        <v>-10.8179303398658</v>
      </c>
      <c r="Q3388" s="7">
        <f>[1]!EM_S_VAL_DIVIDENDYIELD2(B3388,E3388,"2019-11-29")</f>
        <v>0</v>
      </c>
      <c r="T3388"/>
      <c r="U3388">
        <f>[1]!EM_S_RATIO_EPS_TTM(B3388,E3388,"1")</f>
        <v>-3.3091900604068258</v>
      </c>
      <c r="AT3388" s="4" t="str">
        <f>[1]!EM_S_IPO_LISTEDDATE(B3388)</f>
        <v>2015-03-24</v>
      </c>
    </row>
    <row r="3389" spans="1:46">
      <c r="A3389">
        <v>1768</v>
      </c>
      <c r="B3389" t="str">
        <f>"300343"</f>
        <v>300343</v>
      </c>
      <c r="C3389" t="s">
        <v>2558</v>
      </c>
      <c r="D3389" t="str">
        <f>[1]!EM_S_INFO_INDEX_EM(B3389,"1")</f>
        <v>互联网</v>
      </c>
      <c r="E3389" s="4">
        <f t="shared" si="52"/>
        <v>43465</v>
      </c>
      <c r="F3389" s="11">
        <f>[1]!EM_S_PQ_PCTCHANGE(B3389,"2018-01-01","2019-12-31","3")</f>
        <v>-59.107986320000002</v>
      </c>
      <c r="G3389" s="11">
        <f>[1]!EM_S_PQ_PCTCHANGE(B3389,"2018-12-31","2019-12-30","1")</f>
        <v>-56.586826350000003</v>
      </c>
      <c r="H3389" s="11">
        <f>[1]!EM_S_FA_YOY_OR(B3389,E3389)</f>
        <v>30.058648743700001</v>
      </c>
      <c r="I3389" s="11">
        <f>[1]!EM_S_FA_GROSSPROFITMARGIN(B3389,E3389)</f>
        <v>16.3191501684</v>
      </c>
      <c r="J3389" s="11">
        <f>[1]!EM_S_FA_NETPROFITMARGIN(B3389,E3389)</f>
        <v>-52.719538884000002</v>
      </c>
      <c r="K3389" s="10">
        <f>[1]!EM_S_FA_ASSETSTURN(B3389,E3389)</f>
        <v>0.71130406584100003</v>
      </c>
      <c r="L3389" s="12">
        <f>[1]!EM_HKS_VAL_MV(B3389,"2019-12-31","2")</f>
        <v>3374282028.8800001</v>
      </c>
      <c r="M3389">
        <f>[1]!EM_S_VAL_PETTMDEDUCTED(B3389,E3389)</f>
        <v>15.649870409947299</v>
      </c>
      <c r="N3389" s="7">
        <f>[1]!EM_S_VAL_PBGOODWILLDEDUCTED(B3389,E3389)</f>
        <v>3.9989189120866402</v>
      </c>
      <c r="O3389" s="7">
        <f>[1]!EM_S_VAL_PS_TTM(B3389,E3389)</f>
        <v>1.2160479613475199</v>
      </c>
      <c r="P3389" s="7">
        <f>[1]!EM_S_VAL_PCF_NCFTTM(B3389,E3389)</f>
        <v>-10.1403510910576</v>
      </c>
      <c r="Q3389" s="7">
        <f>[1]!EM_S_VAL_DIVIDENDYIELD2(B3389,E3389,"2019-11-29")</f>
        <v>0</v>
      </c>
      <c r="T3389"/>
      <c r="U3389">
        <f>[1]!EM_S_RATIO_EPS_TTM(B3389,E3389,"1")</f>
        <v>-2.9753199251529563</v>
      </c>
      <c r="AT3389" s="4" t="str">
        <f>[1]!EM_S_IPO_LISTEDDATE(B3389)</f>
        <v>2012-08-01</v>
      </c>
    </row>
    <row r="3390" spans="1:46">
      <c r="A3390">
        <v>3054</v>
      </c>
      <c r="B3390" t="str">
        <f>"601113"</f>
        <v>601113</v>
      </c>
      <c r="C3390" t="s">
        <v>2241</v>
      </c>
      <c r="D3390" t="str">
        <f>[1]!EM_S_INFO_INDEX_EM(B3390,"1")</f>
        <v>基础化工</v>
      </c>
      <c r="E3390" s="4">
        <f t="shared" si="52"/>
        <v>43465</v>
      </c>
      <c r="F3390" s="11">
        <f>[1]!EM_S_PQ_PCTCHANGE(B3390,"2018-01-01","2019-12-31","3")</f>
        <v>-75.909724859999997</v>
      </c>
      <c r="G3390" s="11">
        <f>[1]!EM_S_PQ_PCTCHANGE(B3390,"2018-12-31","2019-12-30","1")</f>
        <v>-57.70653514</v>
      </c>
      <c r="H3390" s="11">
        <f>[1]!EM_S_FA_YOY_OR(B3390,E3390)</f>
        <v>132.9734544266</v>
      </c>
      <c r="I3390" s="11">
        <f>[1]!EM_S_FA_GROSSPROFITMARGIN(B3390,E3390)</f>
        <v>26.016955814300001</v>
      </c>
      <c r="J3390" s="11">
        <f>[1]!EM_S_FA_NETPROFITMARGIN(B3390,E3390)</f>
        <v>4.2304547113000002</v>
      </c>
      <c r="K3390" s="10">
        <f>[1]!EM_S_FA_ASSETSTURN(B3390,E3390)</f>
        <v>0.91327996694799995</v>
      </c>
      <c r="L3390" s="12">
        <f>[1]!EM_HKS_VAL_MV(B3390,"2019-12-31","2")</f>
        <v>3903865269.6599998</v>
      </c>
      <c r="M3390">
        <f>[1]!EM_S_VAL_PETTMDEDUCTED(B3390,E3390)</f>
        <v>34.177272863144097</v>
      </c>
      <c r="N3390" s="7">
        <f>[1]!EM_S_VAL_PBGOODWILLDEDUCTED(B3390,E3390)</f>
        <v>2.2093331806442902</v>
      </c>
      <c r="O3390" s="7">
        <f>[1]!EM_S_VAL_PS_TTM(B3390,E3390)</f>
        <v>1.72037091718316</v>
      </c>
      <c r="P3390" s="7">
        <f>[1]!EM_S_VAL_PCF_NCFTTM(B3390,E3390)</f>
        <v>475.43906539082701</v>
      </c>
      <c r="Q3390" s="7">
        <f>[1]!EM_S_VAL_DIVIDENDYIELD2(B3390,E3390,"2019-11-29")</f>
        <v>1.9787926515770327</v>
      </c>
      <c r="T3390"/>
      <c r="U3390">
        <f>[1]!EM_S_RATIO_EPS_TTM(B3390,E3390,"1")</f>
        <v>0.23432659218725638</v>
      </c>
      <c r="AT3390" s="4" t="str">
        <f>[1]!EM_S_IPO_LISTEDDATE(B3390)</f>
        <v>2011-05-09</v>
      </c>
    </row>
    <row r="3391" spans="1:46">
      <c r="A3391">
        <v>981</v>
      </c>
      <c r="B3391" t="str">
        <f>"002470"</f>
        <v>002470</v>
      </c>
      <c r="C3391" t="s">
        <v>243</v>
      </c>
      <c r="D3391" t="str">
        <f>[1]!EM_S_INFO_INDEX_EM(B3391,"1")</f>
        <v>基础化工</v>
      </c>
      <c r="E3391" s="4">
        <f t="shared" si="52"/>
        <v>43465</v>
      </c>
      <c r="F3391" s="11">
        <f>[1]!EM_S_PQ_PCTCHANGE(B3391,"2018-01-01","2019-12-31","3")</f>
        <v>-70.614255110000002</v>
      </c>
      <c r="G3391" s="11">
        <f>[1]!EM_S_PQ_PCTCHANGE(B3391,"2018-12-31","2019-12-30","1")</f>
        <v>-58.06962025</v>
      </c>
      <c r="H3391" s="11">
        <f>[1]!EM_S_FA_YOY_OR(B3391,E3391)</f>
        <v>-21.942456853500001</v>
      </c>
      <c r="I3391" s="11">
        <f>[1]!EM_S_FA_GROSSPROFITMARGIN(B3391,E3391)</f>
        <v>22.204834548699999</v>
      </c>
      <c r="J3391" s="11">
        <f>[1]!EM_S_FA_NETPROFITMARGIN(B3391,E3391)</f>
        <v>3.1210022423999999</v>
      </c>
      <c r="K3391" s="10">
        <f>[1]!EM_S_FA_ASSETSTURN(B3391,E3391)</f>
        <v>0.73232485136799996</v>
      </c>
      <c r="L3391" s="12">
        <f>[1]!EM_HKS_VAL_MV(B3391,"2019-12-31","2")</f>
        <v>8740833793.7199993</v>
      </c>
      <c r="M3391">
        <f>[1]!EM_S_VAL_PETTMDEDUCTED(B3391,E3391)</f>
        <v>29.5466646895769</v>
      </c>
      <c r="N3391" s="7">
        <f>[1]!EM_S_VAL_PBGOODWILLDEDUCTED(B3391,E3391)</f>
        <v>2.1335921614331901</v>
      </c>
      <c r="O3391" s="7">
        <f>[1]!EM_S_VAL_PS_TTM(B3391,E3391)</f>
        <v>0.93812667573082198</v>
      </c>
      <c r="P3391" s="7">
        <f>[1]!EM_S_VAL_PCF_NCFTTM(B3391,E3391)</f>
        <v>38.682817346134101</v>
      </c>
      <c r="Q3391" s="7">
        <f>[1]!EM_S_VAL_DIVIDENDYIELD2(B3391,E3391,"2019-11-29")</f>
        <v>0</v>
      </c>
      <c r="T3391"/>
      <c r="U3391">
        <f>[1]!EM_S_RATIO_EPS_TTM(B3391,E3391,"1")</f>
        <v>0.12807247344276154</v>
      </c>
      <c r="AT3391" s="4" t="str">
        <f>[1]!EM_S_IPO_LISTEDDATE(B3391)</f>
        <v>2010-09-08</v>
      </c>
    </row>
    <row r="3392" spans="1:46">
      <c r="A3392">
        <v>2760</v>
      </c>
      <c r="B3392" t="str">
        <f>"600687"</f>
        <v>600687</v>
      </c>
      <c r="C3392" t="s">
        <v>1527</v>
      </c>
      <c r="D3392" t="str">
        <f>[1]!EM_S_INFO_INDEX_EM(B3392,"1")</f>
        <v>有色金属</v>
      </c>
      <c r="E3392" s="4">
        <f t="shared" si="52"/>
        <v>43465</v>
      </c>
      <c r="F3392" s="11">
        <f>[1]!EM_S_PQ_PCTCHANGE(B3392,"2018-01-01","2019-12-31","3")</f>
        <v>-85.133088009999994</v>
      </c>
      <c r="G3392" s="11">
        <f>[1]!EM_S_PQ_PCTCHANGE(B3392,"2018-12-31","2019-12-30","1")</f>
        <v>-58.072289159999997</v>
      </c>
      <c r="H3392" s="11">
        <f>[1]!EM_S_FA_YOY_OR(B3392,E3392)</f>
        <v>34.328288287299998</v>
      </c>
      <c r="I3392" s="11">
        <f>[1]!EM_S_FA_GROSSPROFITMARGIN(B3392,E3392)</f>
        <v>7.2952762485999996</v>
      </c>
      <c r="J3392" s="11">
        <f>[1]!EM_S_FA_NETPROFITMARGIN(B3392,E3392)</f>
        <v>-10.640428372800001</v>
      </c>
      <c r="K3392" s="10">
        <f>[1]!EM_S_FA_ASSETSTURN(B3392,E3392)</f>
        <v>0.91034554354800001</v>
      </c>
      <c r="L3392" s="12">
        <f>[1]!EM_HKS_VAL_MV(B3392,"2019-12-31","2")</f>
        <v>2590364628.96</v>
      </c>
      <c r="M3392">
        <f>[1]!EM_S_VAL_PETTMDEDUCTED(B3392,E3392)</f>
        <v>34.631819279767697</v>
      </c>
      <c r="N3392" s="7">
        <f>[1]!EM_S_VAL_PBGOODWILLDEDUCTED(B3392,E3392)</f>
        <v>1.2890796383172201</v>
      </c>
      <c r="O3392" s="7">
        <f>[1]!EM_S_VAL_PS_TTM(B3392,E3392)</f>
        <v>0.58795578648017499</v>
      </c>
      <c r="P3392" s="7">
        <f>[1]!EM_S_VAL_PCF_NCFTTM(B3392,E3392)</f>
        <v>-6.0426418023910404</v>
      </c>
      <c r="Q3392" s="7">
        <f>[1]!EM_S_VAL_DIVIDENDYIELD2(B3392,E3392,"2019-11-29")</f>
        <v>0</v>
      </c>
      <c r="T3392"/>
      <c r="U3392">
        <f>[1]!EM_S_RATIO_EPS_TTM(B3392,E3392,"1")</f>
        <v>-0.78251508723658558</v>
      </c>
      <c r="AT3392" s="4" t="str">
        <f>[1]!EM_S_IPO_LISTEDDATE(B3392)</f>
        <v>1993-11-08</v>
      </c>
    </row>
    <row r="3393" spans="1:46">
      <c r="A3393">
        <v>2599</v>
      </c>
      <c r="B3393" t="str">
        <f>"600518"</f>
        <v>600518</v>
      </c>
      <c r="C3393" t="s">
        <v>322</v>
      </c>
      <c r="D3393" t="str">
        <f>[1]!EM_S_INFO_INDEX_EM(B3393,"1")</f>
        <v>医药生物</v>
      </c>
      <c r="E3393" s="4">
        <f t="shared" si="52"/>
        <v>43465</v>
      </c>
      <c r="F3393" s="11">
        <f>[1]!EM_S_PQ_PCTCHANGE(B3393,"2018-01-01","2019-12-31","3")</f>
        <v>-83.054289069999996</v>
      </c>
      <c r="G3393" s="11">
        <f>[1]!EM_S_PQ_PCTCHANGE(B3393,"2018-12-31","2019-12-30","1")</f>
        <v>-59.934853420000003</v>
      </c>
      <c r="H3393" s="11">
        <f>[1]!EM_S_FA_YOY_OR(B3393,E3393)</f>
        <v>10.112368737400001</v>
      </c>
      <c r="I3393" s="11">
        <f>[1]!EM_S_FA_GROSSPROFITMARGIN(B3393,E3393)</f>
        <v>30.035918589000001</v>
      </c>
      <c r="J3393" s="11">
        <f>[1]!EM_S_FA_NETPROFITMARGIN(B3393,E3393)</f>
        <v>5.7996850915999998</v>
      </c>
      <c r="K3393" s="10">
        <f>[1]!EM_S_FA_ASSETSTURN(B3393,E3393)</f>
        <v>0.27005565427900002</v>
      </c>
      <c r="L3393" s="12">
        <f>[1]!EM_HKS_VAL_MV(B3393,"2019-12-31","2")</f>
        <v>18552504047.75</v>
      </c>
      <c r="M3393">
        <f>[1]!EM_S_VAL_PETTMDEDUCTED(B3393,E3393)</f>
        <v>9.7647586159363904</v>
      </c>
      <c r="N3393" s="7">
        <f>[1]!EM_S_VAL_PBGOODWILLDEDUCTED(B3393,E3393)</f>
        <v>1.8577547651711801</v>
      </c>
      <c r="O3393" s="7">
        <f>[1]!EM_S_VAL_PS_TTM(B3393,E3393)</f>
        <v>1.41426452896278</v>
      </c>
      <c r="P3393" s="7">
        <f>[1]!EM_S_VAL_PCF_NCFTTM(B3393,E3393)</f>
        <v>9.0041947129338098</v>
      </c>
      <c r="Q3393" s="7">
        <f>[1]!EM_S_VAL_DIVIDENDYIELD2(B3393,E3393,"2019-11-29")</f>
        <v>0.66298342541436461</v>
      </c>
      <c r="T3393"/>
      <c r="U3393">
        <f>[1]!EM_S_RATIO_EPS_TTM(B3393,E3393,"1")</f>
        <v>0.22823081392588185</v>
      </c>
      <c r="AT3393" s="4" t="str">
        <f>[1]!EM_S_IPO_LISTEDDATE(B3393)</f>
        <v>2001-03-19</v>
      </c>
    </row>
    <row r="3394" spans="1:46">
      <c r="A3394">
        <v>869</v>
      </c>
      <c r="B3394" t="str">
        <f>"002358"</f>
        <v>002358</v>
      </c>
      <c r="C3394" t="s">
        <v>1651</v>
      </c>
      <c r="D3394" t="str">
        <f>[1]!EM_S_INFO_INDEX_EM(B3394,"1")</f>
        <v>电气设备</v>
      </c>
      <c r="E3394" s="4">
        <f t="shared" si="52"/>
        <v>43465</v>
      </c>
      <c r="F3394" s="11">
        <f>[1]!EM_S_PQ_PCTCHANGE(B3394,"2018-01-01","2019-12-31","3")</f>
        <v>-52.076912200000002</v>
      </c>
      <c r="G3394" s="11">
        <f>[1]!EM_S_PQ_PCTCHANGE(B3394,"2018-12-31","2019-12-30","1")</f>
        <v>-61.460674160000003</v>
      </c>
      <c r="H3394" s="11">
        <f>[1]!EM_S_FA_YOY_OR(B3394,E3394)</f>
        <v>-23.9542343745</v>
      </c>
      <c r="I3394" s="11">
        <f>[1]!EM_S_FA_GROSSPROFITMARGIN(B3394,E3394)</f>
        <v>32.648286184</v>
      </c>
      <c r="J3394" s="11">
        <f>[1]!EM_S_FA_NETPROFITMARGIN(B3394,E3394)</f>
        <v>10.265230274</v>
      </c>
      <c r="K3394" s="10">
        <f>[1]!EM_S_FA_ASSETSTURN(B3394,E3394)</f>
        <v>0.30272735033100001</v>
      </c>
      <c r="L3394" s="12">
        <f>[1]!EM_HKS_VAL_MV(B3394,"2019-12-31","2")</f>
        <v>6499001269.2299995</v>
      </c>
      <c r="M3394">
        <f>[1]!EM_S_VAL_PETTMDEDUCTED(B3394,E3394)</f>
        <v>37.148546525548603</v>
      </c>
      <c r="N3394" s="7">
        <f>[1]!EM_S_VAL_PBGOODWILLDEDUCTED(B3394,E3394)</f>
        <v>3.2828644295470801</v>
      </c>
      <c r="O3394" s="7">
        <f>[1]!EM_S_VAL_PS_TTM(B3394,E3394)</f>
        <v>5.2595473419173704</v>
      </c>
      <c r="P3394" s="7">
        <f>[1]!EM_S_VAL_PCF_NCFTTM(B3394,E3394)</f>
        <v>-19.322079323374599</v>
      </c>
      <c r="Q3394" s="7">
        <f>[1]!EM_S_VAL_DIVIDENDYIELD2(B3394,E3394,"2019-11-29")</f>
        <v>1.5174506828528074</v>
      </c>
      <c r="T3394"/>
      <c r="U3394">
        <f>[1]!EM_S_RATIO_EPS_TTM(B3394,E3394,"1")</f>
        <v>0.30255762659364266</v>
      </c>
      <c r="AT3394" s="4" t="str">
        <f>[1]!EM_S_IPO_LISTEDDATE(B3394)</f>
        <v>2010-02-10</v>
      </c>
    </row>
    <row r="3395" spans="1:46">
      <c r="A3395">
        <v>881</v>
      </c>
      <c r="B3395" t="str">
        <f>"002370"</f>
        <v>002370</v>
      </c>
      <c r="C3395" t="s">
        <v>934</v>
      </c>
      <c r="D3395" t="str">
        <f>[1]!EM_S_INFO_INDEX_EM(B3395,"1")</f>
        <v>医药生物</v>
      </c>
      <c r="E3395" s="4">
        <f t="shared" ref="E3395:E3458" si="53">$B$1</f>
        <v>43465</v>
      </c>
      <c r="F3395" s="11">
        <f>[1]!EM_S_PQ_PCTCHANGE(B3395,"2018-01-01","2019-12-31","3")</f>
        <v>-54.803296039999999</v>
      </c>
      <c r="G3395" s="11">
        <f>[1]!EM_S_PQ_PCTCHANGE(B3395,"2018-12-31","2019-12-30","1")</f>
        <v>-62.432269720000001</v>
      </c>
      <c r="H3395" s="11">
        <f>[1]!EM_S_FA_YOY_OR(B3395,E3395)</f>
        <v>20.938913827299999</v>
      </c>
      <c r="I3395" s="11">
        <f>[1]!EM_S_FA_GROSSPROFITMARGIN(B3395,E3395)</f>
        <v>43.920914204200002</v>
      </c>
      <c r="J3395" s="11">
        <f>[1]!EM_S_FA_NETPROFITMARGIN(B3395,E3395)</f>
        <v>15.9862182094</v>
      </c>
      <c r="K3395" s="10">
        <f>[1]!EM_S_FA_ASSETSTURN(B3395,E3395)</f>
        <v>0.434016956452</v>
      </c>
      <c r="L3395" s="12">
        <f>[1]!EM_HKS_VAL_MV(B3395,"2019-12-31","2")</f>
        <v>3449745063.98</v>
      </c>
      <c r="M3395">
        <f>[1]!EM_S_VAL_PETTMDEDUCTED(B3395,E3395)</f>
        <v>42.522055222541198</v>
      </c>
      <c r="N3395" s="7">
        <f>[1]!EM_S_VAL_PBGOODWILLDEDUCTED(B3395,E3395)</f>
        <v>4.8379908038972399</v>
      </c>
      <c r="O3395" s="7">
        <f>[1]!EM_S_VAL_PS_TTM(B3395,E3395)</f>
        <v>7.3211619209492396</v>
      </c>
      <c r="P3395" s="7">
        <f>[1]!EM_S_VAL_PCF_NCFTTM(B3395,E3395)</f>
        <v>-38.315455799182701</v>
      </c>
      <c r="Q3395" s="7">
        <f>[1]!EM_S_VAL_DIVIDENDYIELD2(B3395,E3395,"2019-11-29")</f>
        <v>0.79617834394904463</v>
      </c>
      <c r="T3395"/>
      <c r="U3395">
        <f>[1]!EM_S_RATIO_EPS_TTM(B3395,E3395,"1")</f>
        <v>0.38730275682476023</v>
      </c>
      <c r="AT3395" s="4" t="str">
        <f>[1]!EM_S_IPO_LISTEDDATE(B3395)</f>
        <v>2010-03-16</v>
      </c>
    </row>
    <row r="3396" spans="1:46">
      <c r="A3396">
        <v>1835</v>
      </c>
      <c r="B3396" t="str">
        <f>"300410"</f>
        <v>300410</v>
      </c>
      <c r="C3396" t="s">
        <v>1798</v>
      </c>
      <c r="D3396" t="str">
        <f>[1]!EM_S_INFO_INDEX_EM(B3396,"1")</f>
        <v>机械设备</v>
      </c>
      <c r="E3396" s="4">
        <f t="shared" si="53"/>
        <v>43465</v>
      </c>
      <c r="F3396" s="11">
        <f>[1]!EM_S_PQ_PCTCHANGE(B3396,"2018-01-01","2019-12-31","3")</f>
        <v>-54.565946169999997</v>
      </c>
      <c r="G3396" s="11">
        <f>[1]!EM_S_PQ_PCTCHANGE(B3396,"2018-12-31","2019-12-30","1")</f>
        <v>-63.85809313</v>
      </c>
      <c r="H3396" s="11">
        <f>[1]!EM_S_FA_YOY_OR(B3396,E3396)</f>
        <v>12.9294637687</v>
      </c>
      <c r="I3396" s="11">
        <f>[1]!EM_S_FA_GROSSPROFITMARGIN(B3396,E3396)</f>
        <v>38.622968358900003</v>
      </c>
      <c r="J3396" s="11">
        <f>[1]!EM_S_FA_NETPROFITMARGIN(B3396,E3396)</f>
        <v>1.3238786196000001</v>
      </c>
      <c r="K3396" s="10">
        <f>[1]!EM_S_FA_ASSETSTURN(B3396,E3396)</f>
        <v>0.47150131388299998</v>
      </c>
      <c r="L3396" s="12">
        <f>[1]!EM_HKS_VAL_MV(B3396,"2019-12-31","2")</f>
        <v>3103702439.6399999</v>
      </c>
      <c r="M3396">
        <f>[1]!EM_S_VAL_PETTMDEDUCTED(B3396,E3396)</f>
        <v>25.747985027737499</v>
      </c>
      <c r="N3396" s="7">
        <f>[1]!EM_S_VAL_PBGOODWILLDEDUCTED(B3396,E3396)</f>
        <v>3.79050668527809</v>
      </c>
      <c r="O3396" s="7">
        <f>[1]!EM_S_VAL_PS_TTM(B3396,E3396)</f>
        <v>3.09089048439081</v>
      </c>
      <c r="P3396" s="7">
        <f>[1]!EM_S_VAL_PCF_NCFTTM(B3396,E3396)</f>
        <v>-14317.862909671499</v>
      </c>
      <c r="Q3396" s="7">
        <f>[1]!EM_S_VAL_DIVIDENDYIELD2(B3396,E3396,"2019-11-29")</f>
        <v>3.0498153976428291</v>
      </c>
      <c r="T3396"/>
      <c r="U3396">
        <f>[1]!EM_S_RATIO_EPS_TTM(B3396,E3396,"1")</f>
        <v>8.6316797353785363E-2</v>
      </c>
      <c r="AT3396" s="4" t="str">
        <f>[1]!EM_S_IPO_LISTEDDATE(B3396)</f>
        <v>2014-12-31</v>
      </c>
    </row>
    <row r="3397" spans="1:46">
      <c r="A3397">
        <v>721</v>
      </c>
      <c r="B3397" t="str">
        <f>"002210"</f>
        <v>002210</v>
      </c>
      <c r="C3397" t="s">
        <v>1562</v>
      </c>
      <c r="D3397" t="str">
        <f>[1]!EM_S_INFO_INDEX_EM(B3397,"1")</f>
        <v>交通运输</v>
      </c>
      <c r="E3397" s="4">
        <f t="shared" si="53"/>
        <v>43465</v>
      </c>
      <c r="F3397" s="11">
        <f>[1]!EM_S_PQ_PCTCHANGE(B3397,"2018-01-01","2019-12-31","3")</f>
        <v>-89.554552979999997</v>
      </c>
      <c r="G3397" s="11">
        <f>[1]!EM_S_PQ_PCTCHANGE(B3397,"2018-12-31","2019-12-30","1")</f>
        <v>-65.667574930000001</v>
      </c>
      <c r="H3397" s="11">
        <f>[1]!EM_S_FA_YOY_OR(B3397,E3397)</f>
        <v>-33.128309928699998</v>
      </c>
      <c r="I3397" s="11">
        <f>[1]!EM_S_FA_GROSSPROFITMARGIN(B3397,E3397)</f>
        <v>0.29686355040000001</v>
      </c>
      <c r="J3397" s="11">
        <f>[1]!EM_S_FA_NETPROFITMARGIN(B3397,E3397)</f>
        <v>-5.9204253599000003</v>
      </c>
      <c r="K3397" s="10">
        <f>[1]!EM_S_FA_ASSETSTURN(B3397,E3397)</f>
        <v>2.1524300328230002</v>
      </c>
      <c r="L3397" s="12">
        <f>[1]!EM_HKS_VAL_MV(B3397,"2019-12-31","2")</f>
        <v>2132215697.9400001</v>
      </c>
      <c r="M3397">
        <f>[1]!EM_S_VAL_PETTMDEDUCTED(B3397,E3397)</f>
        <v>-219.94098508663399</v>
      </c>
      <c r="N3397" s="7">
        <f>[1]!EM_S_VAL_PBGOODWILLDEDUCTED(B3397,E3397)</f>
        <v>3.9049549043115102</v>
      </c>
      <c r="O3397" s="7">
        <f>[1]!EM_S_VAL_PS_TTM(B3397,E3397)</f>
        <v>0.112895053062365</v>
      </c>
      <c r="P3397" s="7">
        <f>[1]!EM_S_VAL_PCF_NCFTTM(B3397,E3397)</f>
        <v>-4.0703213316175004</v>
      </c>
      <c r="Q3397" s="7">
        <f>[1]!EM_S_VAL_DIVIDENDYIELD2(B3397,E3397,"2019-11-29")</f>
        <v>0</v>
      </c>
      <c r="T3397"/>
      <c r="U3397">
        <f>[1]!EM_S_RATIO_EPS_TTM(B3397,E3397,"1")</f>
        <v>-1.3358841493325095</v>
      </c>
      <c r="AT3397" s="4" t="str">
        <f>[1]!EM_S_IPO_LISTEDDATE(B3397)</f>
        <v>2008-01-30</v>
      </c>
    </row>
    <row r="3398" spans="1:46">
      <c r="A3398">
        <v>1221</v>
      </c>
      <c r="B3398" t="str">
        <f>"002711"</f>
        <v>002711</v>
      </c>
      <c r="C3398" t="s">
        <v>95</v>
      </c>
      <c r="D3398" t="str">
        <f>[1]!EM_S_INFO_INDEX_EM(B3398,"1")</f>
        <v>交通运输</v>
      </c>
      <c r="E3398" s="4">
        <f t="shared" si="53"/>
        <v>43465</v>
      </c>
      <c r="F3398" s="11">
        <f>[1]!EM_S_PQ_PCTCHANGE(B3398,"2018-01-01","2019-12-31","3")</f>
        <v>-88.289962829999993</v>
      </c>
      <c r="G3398" s="11">
        <f>[1]!EM_S_PQ_PCTCHANGE(B3398,"2018-12-31","2019-12-30","1")</f>
        <v>-65.809768640000001</v>
      </c>
      <c r="H3398" s="11">
        <f>[1]!EM_S_FA_YOY_OR(B3398,E3398)</f>
        <v>-29.374850333600001</v>
      </c>
      <c r="I3398" s="11">
        <f>[1]!EM_S_FA_GROSSPROFITMARGIN(B3398,E3398)</f>
        <v>4.2104150827</v>
      </c>
      <c r="J3398" s="11">
        <f>[1]!EM_S_FA_NETPROFITMARGIN(B3398,E3398)</f>
        <v>-85.227162014000001</v>
      </c>
      <c r="K3398" s="10">
        <f>[1]!EM_S_FA_ASSETSTURN(B3398,E3398)</f>
        <v>2.1964213868079998</v>
      </c>
      <c r="L3398" s="12">
        <f>[1]!EM_HKS_VAL_MV(B3398,"2019-12-31","2")</f>
        <v>1330648704</v>
      </c>
      <c r="M3398">
        <f>[1]!EM_S_VAL_PETTMDEDUCTED(B3398,E3398)</f>
        <v>30.7873020480225</v>
      </c>
      <c r="N3398" s="7">
        <f>[1]!EM_S_VAL_PBGOODWILLDEDUCTED(B3398,E3398)</f>
        <v>-1.6042114261388101</v>
      </c>
      <c r="O3398" s="7">
        <f>[1]!EM_S_VAL_PS_TTM(B3398,E3398)</f>
        <v>0.59055102316833297</v>
      </c>
      <c r="P3398" s="7">
        <f>[1]!EM_S_VAL_PCF_NCFTTM(B3398,E3398)</f>
        <v>-22.7029343060643</v>
      </c>
      <c r="Q3398" s="7">
        <f>[1]!EM_S_VAL_DIVIDENDYIELD2(B3398,E3398,"2019-11-29")</f>
        <v>0</v>
      </c>
      <c r="U3398">
        <f>[1]!EM_S_RATIO_EPS_TTM(B3398,E3398,"1")</f>
        <v>-3.9575055716645409</v>
      </c>
      <c r="AT3398" s="4" t="str">
        <f>[1]!EM_S_IPO_LISTEDDATE(B3398)</f>
        <v>2014-01-27</v>
      </c>
    </row>
    <row r="3399" spans="1:46">
      <c r="A3399">
        <v>69</v>
      </c>
      <c r="B3399" t="str">
        <f>"000150"</f>
        <v>000150</v>
      </c>
      <c r="C3399" t="s">
        <v>422</v>
      </c>
      <c r="D3399" t="str">
        <f>[1]!EM_S_INFO_INDEX_EM(B3399,"1")</f>
        <v>医药生物</v>
      </c>
      <c r="E3399" s="4">
        <f t="shared" si="53"/>
        <v>43465</v>
      </c>
      <c r="F3399" s="11">
        <f>[1]!EM_S_PQ_PCTCHANGE(B3399,"2018-01-01","2019-12-31","3")</f>
        <v>-69.179875129999999</v>
      </c>
      <c r="G3399" s="11">
        <f>[1]!EM_S_PQ_PCTCHANGE(B3399,"2018-12-31","2019-12-30","1")</f>
        <v>-67.888662589999996</v>
      </c>
      <c r="H3399" s="11">
        <f>[1]!EM_S_FA_YOY_OR(B3399,E3399)</f>
        <v>4.1503036011000001</v>
      </c>
      <c r="I3399" s="11">
        <f>[1]!EM_S_FA_GROSSPROFITMARGIN(B3399,E3399)</f>
        <v>31.108062360600002</v>
      </c>
      <c r="J3399" s="11">
        <f>[1]!EM_S_FA_NETPROFITMARGIN(B3399,E3399)</f>
        <v>9.1052654704999991</v>
      </c>
      <c r="K3399" s="10">
        <f>[1]!EM_S_FA_ASSETSTURN(B3399,E3399)</f>
        <v>0.27732949807500001</v>
      </c>
      <c r="L3399" s="12">
        <f>[1]!EM_HKS_VAL_MV(B3399,"2019-12-31","2")</f>
        <v>4204171298.0300002</v>
      </c>
      <c r="M3399">
        <f>[1]!EM_S_VAL_PETTMDEDUCTED(B3399,E3399)</f>
        <v>48.397706611587502</v>
      </c>
      <c r="N3399" s="7">
        <f>[1]!EM_S_VAL_PBGOODWILLDEDUCTED(B3399,E3399)</f>
        <v>19.031380935152701</v>
      </c>
      <c r="O3399" s="7">
        <f>[1]!EM_S_VAL_PS_TTM(B3399,E3399)</f>
        <v>3.8422880582446801</v>
      </c>
      <c r="P3399" s="7">
        <f>[1]!EM_S_VAL_PCF_NCFTTM(B3399,E3399)</f>
        <v>-50.544750991284197</v>
      </c>
      <c r="Q3399" s="7">
        <f>[1]!EM_S_VAL_DIVIDENDYIELD2(B3399,E3399,"2019-11-29")</f>
        <v>0</v>
      </c>
      <c r="T3399"/>
      <c r="U3399">
        <f>[1]!EM_S_RATIO_EPS_TTM(B3399,E3399,"1")</f>
        <v>0.28299199464629071</v>
      </c>
      <c r="AT3399" s="4" t="str">
        <f>[1]!EM_S_IPO_LISTEDDATE(B3399)</f>
        <v>2000-08-07</v>
      </c>
    </row>
    <row r="3400" spans="1:46">
      <c r="A3400">
        <v>867</v>
      </c>
      <c r="B3400" t="str">
        <f>"002356"</f>
        <v>002356</v>
      </c>
      <c r="C3400" t="s">
        <v>1981</v>
      </c>
      <c r="D3400" t="str">
        <f>[1]!EM_S_INFO_INDEX_EM(B3400,"1")</f>
        <v>轻工制造</v>
      </c>
      <c r="E3400" s="4">
        <f t="shared" si="53"/>
        <v>43465</v>
      </c>
      <c r="F3400" s="11">
        <f>[1]!EM_S_PQ_PCTCHANGE(B3400,"2018-01-01","2019-12-31","3")</f>
        <v>-85.746265899999997</v>
      </c>
      <c r="G3400" s="11">
        <f>[1]!EM_S_PQ_PCTCHANGE(B3400,"2018-12-31","2019-12-30","1")</f>
        <v>-70.244565219999998</v>
      </c>
      <c r="H3400" s="11">
        <f>[1]!EM_S_FA_YOY_OR(B3400,E3400)</f>
        <v>-20.444467334399999</v>
      </c>
      <c r="I3400" s="11">
        <f>[1]!EM_S_FA_GROSSPROFITMARGIN(B3400,E3400)</f>
        <v>48.4615400912</v>
      </c>
      <c r="J3400" s="11">
        <f>[1]!EM_S_FA_NETPROFITMARGIN(B3400,E3400)</f>
        <v>-104.7696539855</v>
      </c>
      <c r="K3400" s="10">
        <f>[1]!EM_S_FA_ASSETSTURN(B3400,E3400)</f>
        <v>0.33808297222900002</v>
      </c>
      <c r="L3400" s="12">
        <f>[1]!EM_HKS_VAL_MV(B3400,"2019-12-31","2")</f>
        <v>1161174405.5999999</v>
      </c>
      <c r="M3400">
        <f>[1]!EM_S_VAL_PETTMDEDUCTED(B3400,E3400)</f>
        <v>-9.1630206839011308</v>
      </c>
      <c r="N3400" s="7">
        <f>[1]!EM_S_VAL_PBGOODWILLDEDUCTED(B3400,E3400)</f>
        <v>25.306812827115401</v>
      </c>
      <c r="O3400" s="7">
        <f>[1]!EM_S_VAL_PS_TTM(B3400,E3400)</f>
        <v>1.83979934419701</v>
      </c>
      <c r="P3400" s="7">
        <f>[1]!EM_S_VAL_PCF_NCFTTM(B3400,E3400)</f>
        <v>-26.983946552784001</v>
      </c>
      <c r="Q3400" s="7">
        <f>[1]!EM_S_VAL_DIVIDENDYIELD2(B3400,E3400,"2019-11-29")</f>
        <v>0</v>
      </c>
      <c r="T3400"/>
      <c r="U3400">
        <f>[1]!EM_S_RATIO_EPS_TTM(B3400,E3400,"1")</f>
        <v>-3.0594322357857524</v>
      </c>
      <c r="AT3400" s="4" t="str">
        <f>[1]!EM_S_IPO_LISTEDDATE(B3400)</f>
        <v>2010-02-09</v>
      </c>
    </row>
    <row r="3401" spans="1:46">
      <c r="A3401">
        <v>870</v>
      </c>
      <c r="B3401" t="str">
        <f>"002359"</f>
        <v>002359</v>
      </c>
      <c r="C3401" t="s">
        <v>1609</v>
      </c>
      <c r="D3401" t="str">
        <f>[1]!EM_S_INFO_INDEX_EM(B3401,"1")</f>
        <v>信息技术</v>
      </c>
      <c r="E3401" s="4">
        <f t="shared" si="53"/>
        <v>43465</v>
      </c>
      <c r="F3401" s="11">
        <f>[1]!EM_S_PQ_PCTCHANGE(B3401,"2018-01-01","2019-12-31","3")</f>
        <v>-90.687361420000002</v>
      </c>
      <c r="G3401" s="11">
        <f>[1]!EM_S_PQ_PCTCHANGE(B3401,"2018-12-31","2019-12-30","1")</f>
        <v>-75.152253349999995</v>
      </c>
      <c r="H3401" s="11">
        <f>[1]!EM_S_FA_YOY_OR(B3401,E3401)</f>
        <v>28.657266903499998</v>
      </c>
      <c r="I3401" s="11">
        <f>[1]!EM_S_FA_GROSSPROFITMARGIN(B3401,E3401)</f>
        <v>24.955442289400001</v>
      </c>
      <c r="J3401" s="11">
        <f>[1]!EM_S_FA_NETPROFITMARGIN(B3401,E3401)</f>
        <v>-41.063387065100002</v>
      </c>
      <c r="K3401" s="10">
        <f>[1]!EM_S_FA_ASSETSTURN(B3401,E3401)</f>
        <v>0.18898982020300001</v>
      </c>
      <c r="L3401" s="12">
        <f>[1]!EM_HKS_VAL_MV(B3401,"2019-12-31","2")</f>
        <v>2283102696</v>
      </c>
      <c r="M3401">
        <f>[1]!EM_S_VAL_PETTMDEDUCTED(B3401,E3401)</f>
        <v>21.581278355664299</v>
      </c>
      <c r="N3401" s="7">
        <f>[1]!EM_S_VAL_PBGOODWILLDEDUCTED(B3401,E3401)</f>
        <v>2.4200441657927998</v>
      </c>
      <c r="O3401" s="7">
        <f>[1]!EM_S_VAL_PS_TTM(B3401,E3401)</f>
        <v>2.590885688233</v>
      </c>
      <c r="P3401" s="7">
        <f>[1]!EM_S_VAL_PCF_NCFTTM(B3401,E3401)</f>
        <v>-55.218847213678103</v>
      </c>
      <c r="Q3401" s="7">
        <f>[1]!EM_S_VAL_DIVIDENDYIELD2(B3401,E3401,"2019-11-29")</f>
        <v>0</v>
      </c>
      <c r="T3401"/>
      <c r="U3401">
        <f>[1]!EM_S_RATIO_EPS_TTM(B3401,E3401,"1")</f>
        <v>-1.0184689208737197</v>
      </c>
      <c r="AT3401" s="4" t="str">
        <f>[1]!EM_S_IPO_LISTEDDATE(B3401)</f>
        <v>2010-02-10</v>
      </c>
    </row>
    <row r="3402" spans="1:46">
      <c r="A3402">
        <v>1601</v>
      </c>
      <c r="B3402" t="str">
        <f>"300176"</f>
        <v>300176</v>
      </c>
      <c r="C3402" t="s">
        <v>52</v>
      </c>
      <c r="D3402" t="str">
        <f>[1]!EM_S_INFO_INDEX_EM(B3402,"1")</f>
        <v>交运设备</v>
      </c>
      <c r="E3402" s="4">
        <f t="shared" si="53"/>
        <v>43465</v>
      </c>
      <c r="F3402" s="11">
        <f>[1]!EM_S_PQ_PCTCHANGE(B3402,"2018-01-01","2019-12-31","3")</f>
        <v>-74.92299586</v>
      </c>
      <c r="G3402" s="11">
        <f>[1]!EM_S_PQ_PCTCHANGE(B3402,"2018-12-31","2019-12-30","1")</f>
        <v>-76.821541710000005</v>
      </c>
      <c r="H3402" s="11">
        <f>[1]!EM_S_FA_YOY_OR(B3402,E3402)</f>
        <v>17.1949500753</v>
      </c>
      <c r="I3402" s="11">
        <f>[1]!EM_S_FA_GROSSPROFITMARGIN(B3402,E3402)</f>
        <v>58.356584204999997</v>
      </c>
      <c r="J3402" s="11">
        <f>[1]!EM_S_FA_NETPROFITMARGIN(B3402,E3402)</f>
        <v>10.73961416</v>
      </c>
      <c r="K3402" s="10">
        <f>[1]!EM_S_FA_ASSETSTURN(B3402,E3402)</f>
        <v>1.2498485153300001</v>
      </c>
      <c r="L3402" s="12">
        <f>[1]!EM_HKS_VAL_MV(B3402,"2019-12-31","2")</f>
        <v>3470035968</v>
      </c>
      <c r="M3402">
        <f>[1]!EM_S_VAL_PETTMDEDUCTED(B3402,E3402)</f>
        <v>24.948163449083101</v>
      </c>
      <c r="N3402" s="7">
        <f>[1]!EM_S_VAL_PBGOODWILLDEDUCTED(B3402,E3402)</f>
        <v>11.8280596116055</v>
      </c>
      <c r="O3402" s="7">
        <f>[1]!EM_S_VAL_PS_TTM(B3402,E3402)</f>
        <v>3.8498091243799899</v>
      </c>
      <c r="P3402" s="7">
        <f>[1]!EM_S_VAL_PCF_NCFTTM(B3402,E3402)</f>
        <v>-82.421343168639794</v>
      </c>
      <c r="Q3402" s="7">
        <f>[1]!EM_S_VAL_DIVIDENDYIELD2(B3402,E3402,"2019-11-29")</f>
        <v>1.4253135689851768</v>
      </c>
      <c r="U3402">
        <f>[1]!EM_S_RATIO_EPS_TTM(B3402,E3402,"1")</f>
        <v>0.95446321952960234</v>
      </c>
      <c r="AT3402" s="4" t="str">
        <f>[1]!EM_S_IPO_LISTEDDATE(B3402)</f>
        <v>2011-02-15</v>
      </c>
    </row>
    <row r="3403" spans="1:46">
      <c r="A3403">
        <v>2964</v>
      </c>
      <c r="B3403" t="str">
        <f>"600891"</f>
        <v>600891</v>
      </c>
      <c r="C3403" t="s">
        <v>2165</v>
      </c>
      <c r="D3403" t="str">
        <f>[1]!EM_S_INFO_INDEX_EM(B3403,"1")</f>
        <v>轻工制造</v>
      </c>
      <c r="E3403" s="4">
        <f t="shared" si="53"/>
        <v>43465</v>
      </c>
      <c r="F3403" s="11">
        <f>[1]!EM_S_PQ_PCTCHANGE(B3403,"2018-01-01","2019-12-31","3")</f>
        <v>-80.314960630000002</v>
      </c>
      <c r="G3403" s="11">
        <f>[1]!EM_S_PQ_PCTCHANGE(B3403,"2018-12-31","2019-12-30","1")</f>
        <v>-78.908554570000007</v>
      </c>
      <c r="H3403" s="11">
        <f>[1]!EM_S_FA_YOY_OR(B3403,E3403)</f>
        <v>-30.676937476399999</v>
      </c>
      <c r="I3403" s="11">
        <f>[1]!EM_S_FA_GROSSPROFITMARGIN(B3403,E3403)</f>
        <v>5.1909285093999999</v>
      </c>
      <c r="J3403" s="11">
        <f>[1]!EM_S_FA_NETPROFITMARGIN(B3403,E3403)</f>
        <v>-87.698008326099995</v>
      </c>
      <c r="K3403" s="10">
        <f>[1]!EM_S_FA_ASSETSTURN(B3403,E3403)</f>
        <v>1.307424407414</v>
      </c>
      <c r="L3403" s="12">
        <f>[1]!EM_HKS_VAL_MV(B3403,"2019-12-31","2")</f>
        <v>926378704.5</v>
      </c>
      <c r="M3403">
        <f>[1]!EM_S_VAL_PETTMDEDUCTED(B3403,E3403)</f>
        <v>38.402127737802303</v>
      </c>
      <c r="N3403" s="7">
        <f>[1]!EM_S_VAL_PBGOODWILLDEDUCTED(B3403,E3403)</f>
        <v>-3.7652817968178298</v>
      </c>
      <c r="O3403" s="7">
        <f>[1]!EM_S_VAL_PS_TTM(B3403,E3403)</f>
        <v>0.59931283650770795</v>
      </c>
      <c r="P3403" s="7">
        <f>[1]!EM_S_VAL_PCF_NCFTTM(B3403,E3403)</f>
        <v>-40.791548224520497</v>
      </c>
      <c r="Q3403" s="7">
        <f>[1]!EM_S_VAL_DIVIDENDYIELD2(B3403,E3403,"2019-11-29")</f>
        <v>0</v>
      </c>
      <c r="T3403"/>
      <c r="U3403">
        <f>[1]!EM_S_RATIO_EPS_TTM(B3403,E3403,"1")</f>
        <v>-6.6894947192139389</v>
      </c>
      <c r="AT3403" s="4" t="str">
        <f>[1]!EM_S_IPO_LISTEDDATE(B3403)</f>
        <v>1996-03-25</v>
      </c>
    </row>
    <row r="3404" spans="1:46">
      <c r="A3404">
        <v>2820</v>
      </c>
      <c r="B3404" t="str">
        <f>"600747"</f>
        <v>600747</v>
      </c>
      <c r="C3404" t="s">
        <v>2843</v>
      </c>
      <c r="D3404">
        <f>[1]!EM_S_INFO_INDEX_EM(B3404,"1")</f>
        <v>0</v>
      </c>
      <c r="E3404" s="4">
        <f t="shared" si="53"/>
        <v>43465</v>
      </c>
      <c r="F3404" s="11">
        <f>[1]!EM_S_PQ_PCTCHANGE(B3404,"2018-01-01","2019-12-31","3")</f>
        <v>-90.47619048</v>
      </c>
      <c r="G3404" s="11">
        <f>[1]!EM_S_PQ_PCTCHANGE(B3404,"2018-12-31","2019-12-30","1")</f>
        <v>-80</v>
      </c>
      <c r="H3404" s="11">
        <f>[1]!EM_S_FA_YOY_OR(B3404,E3404)</f>
        <v>5.8168794805999999</v>
      </c>
      <c r="I3404" s="11">
        <f>[1]!EM_S_FA_GROSSPROFITMARGIN(B3404,E3404)</f>
        <v>12.669573999500001</v>
      </c>
      <c r="J3404" s="11">
        <f>[1]!EM_S_FA_NETPROFITMARGIN(B3404,E3404)</f>
        <v>-1421.2084869574001</v>
      </c>
      <c r="K3404" s="10">
        <f>[1]!EM_S_FA_ASSETSTURN(B3404,E3404)</f>
        <v>4.6035796598000001E-2</v>
      </c>
      <c r="L3404" s="12">
        <f>[1]!EM_HKS_VAL_MV(B3404,"2019-12-31","2")</f>
        <v>380725383.74000001</v>
      </c>
      <c r="M3404">
        <f>[1]!EM_S_VAL_PETTMDEDUCTED(B3404,E3404)</f>
        <v>-181.09313876653201</v>
      </c>
      <c r="N3404" s="7">
        <f>[1]!EM_S_VAL_PBGOODWILLDEDUCTED(B3404,E3404)</f>
        <v>4.4510358893328297</v>
      </c>
      <c r="O3404" s="7">
        <f>[1]!EM_S_VAL_PS_TTM(B3404,E3404)</f>
        <v>3.3199312801857301</v>
      </c>
      <c r="P3404" s="7">
        <f>[1]!EM_S_VAL_PCF_NCFTTM(B3404,E3404)</f>
        <v>-48.337671377392603</v>
      </c>
      <c r="Q3404" s="7">
        <f>[1]!EM_S_VAL_DIVIDENDYIELD2(B3404,E3404,"2019-11-29")</f>
        <v>0</v>
      </c>
      <c r="T3404"/>
      <c r="U3404">
        <f>[1]!EM_S_RATIO_EPS_TTM(B3404,E3404,"1")</f>
        <v>-1.0688286762852026</v>
      </c>
      <c r="AT3404" s="4" t="str">
        <f>[1]!EM_S_IPO_LISTEDDATE(B3404)</f>
        <v>1996-09-16</v>
      </c>
    </row>
    <row r="3405" spans="1:46">
      <c r="A3405">
        <v>2570</v>
      </c>
      <c r="B3405" t="str">
        <f>"600485"</f>
        <v>600485</v>
      </c>
      <c r="C3405" t="s">
        <v>3619</v>
      </c>
      <c r="D3405" t="str">
        <f>[1]!EM_S_INFO_INDEX_EM(B3405,"1")</f>
        <v>医药生物</v>
      </c>
      <c r="E3405" s="4">
        <f t="shared" si="53"/>
        <v>43465</v>
      </c>
      <c r="F3405" s="11">
        <f>[1]!EM_S_PQ_PCTCHANGE(B3405,"2018-01-01","2019-12-31","3")</f>
        <v>-79.026730639999997</v>
      </c>
      <c r="G3405" s="11">
        <f>[1]!EM_S_PQ_PCTCHANGE(B3405,"2018-12-31","2019-12-30","1")</f>
        <v>-80.054832079999997</v>
      </c>
      <c r="H3405" s="11">
        <f>[1]!EM_S_FA_YOY_OR(B3405,E3405)</f>
        <v>-22.8728730401</v>
      </c>
      <c r="I3405" s="11">
        <f>[1]!EM_S_FA_GROSSPROFITMARGIN(B3405,E3405)</f>
        <v>29.187907118599998</v>
      </c>
      <c r="J3405" s="11">
        <f>[1]!EM_S_FA_NETPROFITMARGIN(B3405,E3405)</f>
        <v>-591.71741198840004</v>
      </c>
      <c r="K3405" s="10">
        <f>[1]!EM_S_FA_ASSETSTURN(B3405,E3405)</f>
        <v>2.4675947508E-2</v>
      </c>
      <c r="L3405" s="12">
        <f>[1]!EM_HKS_VAL_MV(B3405,"2019-12-31","2")</f>
        <v>8946652912.9200001</v>
      </c>
      <c r="M3405">
        <f>[1]!EM_S_VAL_PETTMDEDUCTED(B3405,E3405)</f>
        <v>-14.077571669089</v>
      </c>
      <c r="N3405" s="7">
        <f>[1]!EM_S_VAL_PBGOODWILLDEDUCTED(B3405,E3405)</f>
        <v>5.9784561275227404</v>
      </c>
      <c r="O3405" s="7">
        <f>[1]!EM_S_VAL_PS_TTM(B3405,E3405)</f>
        <v>-28.385192503200901</v>
      </c>
      <c r="P3405" s="7">
        <f>[1]!EM_S_VAL_PCF_NCFTTM(B3405,E3405)</f>
        <v>-196.93143871688099</v>
      </c>
      <c r="Q3405" s="7">
        <f>[1]!EM_S_VAL_DIVIDENDYIELD2(B3405,E3405,"2019-11-29")</f>
        <v>0</v>
      </c>
      <c r="T3405"/>
      <c r="U3405">
        <f>[1]!EM_S_RATIO_EPS_TTM(B3405,E3405,"1")</f>
        <v>-0.99129854823528729</v>
      </c>
      <c r="AT3405" s="4" t="str">
        <f>[1]!EM_S_IPO_LISTEDDATE(B3405)</f>
        <v>2003-08-07</v>
      </c>
    </row>
    <row r="3406" spans="1:46">
      <c r="A3406">
        <v>1191</v>
      </c>
      <c r="B3406" t="str">
        <f>"002680"</f>
        <v>002680</v>
      </c>
      <c r="C3406" t="s">
        <v>479</v>
      </c>
      <c r="D3406">
        <f>[1]!EM_S_INFO_INDEX_EM(B3406,"1")</f>
        <v>0</v>
      </c>
      <c r="E3406" s="4">
        <f t="shared" si="53"/>
        <v>43465</v>
      </c>
      <c r="F3406" s="11">
        <f>[1]!EM_S_PQ_PCTCHANGE(B3406,"2018-01-01","2019-12-31","3")</f>
        <v>-94.556059250000004</v>
      </c>
      <c r="G3406" s="11">
        <f>[1]!EM_S_PQ_PCTCHANGE(B3406,"2018-12-31","2019-12-30","1")</f>
        <v>-80.456852789999999</v>
      </c>
      <c r="H3406" s="11">
        <f>[1]!EM_S_FA_YOY_OR(B3406,E3406)</f>
        <v>0</v>
      </c>
      <c r="I3406" s="11">
        <f>[1]!EM_S_FA_GROSSPROFITMARGIN(B3406,E3406)</f>
        <v>0</v>
      </c>
      <c r="J3406" s="11">
        <f>[1]!EM_S_FA_NETPROFITMARGIN(B3406,E3406)</f>
        <v>0</v>
      </c>
      <c r="K3406" s="10">
        <f>[1]!EM_S_FA_ASSETSTURN(B3406,E3406)</f>
        <v>0</v>
      </c>
      <c r="L3406" s="12">
        <f>[1]!EM_HKS_VAL_MV(B3406,"2019-12-31","2")</f>
        <v>749741591.05999994</v>
      </c>
      <c r="M3406">
        <f>[1]!EM_S_VAL_PETTMDEDUCTED(B3406,E3406)</f>
        <v>6.7716465351055097</v>
      </c>
      <c r="N3406" s="7">
        <f>[1]!EM_S_VAL_PBGOODWILLDEDUCTED(B3406,E3406)</f>
        <v>1.0373785695755999</v>
      </c>
      <c r="O3406" s="7">
        <f>[1]!EM_S_VAL_PS_TTM(B3406,E3406)</f>
        <v>2.2904787019142399</v>
      </c>
      <c r="P3406" s="7">
        <f>[1]!EM_S_VAL_PCF_NCFTTM(B3406,E3406)</f>
        <v>-15.906722660889301</v>
      </c>
      <c r="Q3406" s="7">
        <f>[1]!EM_S_VAL_DIVIDENDYIELD2(B3406,E3406,"2019-11-29")</f>
        <v>0</v>
      </c>
      <c r="T3406"/>
      <c r="U3406">
        <f>[1]!EM_S_RATIO_EPS_TTM(B3406,E3406,"1")</f>
        <v>0.56907768439506956</v>
      </c>
      <c r="AT3406" s="4" t="str">
        <f>[1]!EM_S_IPO_LISTEDDATE(B3406)</f>
        <v>2012-06-05</v>
      </c>
    </row>
    <row r="3407" spans="1:46">
      <c r="A3407">
        <v>2517</v>
      </c>
      <c r="B3407" t="str">
        <f>"600401"</f>
        <v>600401</v>
      </c>
      <c r="C3407" t="s">
        <v>3659</v>
      </c>
      <c r="D3407">
        <f>[1]!EM_S_INFO_INDEX_EM(B3407,"1")</f>
        <v>0</v>
      </c>
      <c r="E3407" s="4">
        <f t="shared" si="53"/>
        <v>43465</v>
      </c>
      <c r="F3407" s="11">
        <f>[1]!EM_S_PQ_PCTCHANGE(B3407,"2018-01-01","2019-12-31","3")</f>
        <v>-86.956521739999999</v>
      </c>
      <c r="G3407" s="11">
        <f>[1]!EM_S_PQ_PCTCHANGE(B3407,"2018-12-31","2019-12-30","1")</f>
        <v>-82.758620690000001</v>
      </c>
      <c r="H3407" s="11">
        <f>[1]!EM_S_FA_YOY_OR(B3407,E3407)</f>
        <v>-73.027884467299998</v>
      </c>
      <c r="I3407" s="11">
        <f>[1]!EM_S_FA_GROSSPROFITMARGIN(B3407,E3407)</f>
        <v>15.263451716900001</v>
      </c>
      <c r="J3407" s="11">
        <f>[1]!EM_S_FA_NETPROFITMARGIN(B3407,E3407)</f>
        <v>-426.06684842639999</v>
      </c>
      <c r="K3407" s="10">
        <f>[1]!EM_S_FA_ASSETSTURN(B3407,E3407)</f>
        <v>8.4842426915999997E-2</v>
      </c>
      <c r="L3407" s="12">
        <f>[1]!EM_HKS_VAL_MV(B3407,"2019-12-31","2")</f>
        <v>708740272.79999995</v>
      </c>
      <c r="M3407">
        <f>[1]!EM_S_VAL_PETTMDEDUCTED(B3407,E3407)</f>
        <v>-1.91044288447378</v>
      </c>
      <c r="N3407" s="7">
        <f>[1]!EM_S_VAL_PBGOODWILLDEDUCTED(B3407,E3407)</f>
        <v>-1.5431478703072601</v>
      </c>
      <c r="O3407" s="7">
        <f>[1]!EM_S_VAL_PS_TTM(B3407,E3407)</f>
        <v>2.5229626773724299</v>
      </c>
      <c r="P3407" s="7">
        <f>[1]!EM_S_VAL_PCF_NCFTTM(B3407,E3407)</f>
        <v>-26.1290350568996</v>
      </c>
      <c r="Q3407" s="7">
        <f>[1]!EM_S_VAL_DIVIDENDYIELD2(B3407,E3407,"2019-11-29")</f>
        <v>0</v>
      </c>
      <c r="T3407"/>
      <c r="U3407">
        <f>[1]!EM_S_RATIO_EPS_TTM(B3407,E3407,"1")</f>
        <v>-0.79094008681751315</v>
      </c>
      <c r="AT3407" s="4" t="str">
        <f>[1]!EM_S_IPO_LISTEDDATE(B3407)</f>
        <v>2003-09-24</v>
      </c>
    </row>
    <row r="3408" spans="1:46">
      <c r="A3408">
        <v>2374</v>
      </c>
      <c r="B3408" t="str">
        <f>"600240"</f>
        <v>600240</v>
      </c>
      <c r="C3408" t="s">
        <v>1123</v>
      </c>
      <c r="D3408" t="str">
        <f>[1]!EM_S_INFO_INDEX_EM(B3408,"1")</f>
        <v>房地产</v>
      </c>
      <c r="E3408" s="4">
        <f t="shared" si="53"/>
        <v>43465</v>
      </c>
      <c r="F3408" s="11">
        <f>[1]!EM_S_PQ_PCTCHANGE(B3408,"2018-01-01","2019-12-31","3")</f>
        <v>-95.865917229999994</v>
      </c>
      <c r="G3408" s="11">
        <f>[1]!EM_S_PQ_PCTCHANGE(B3408,"2018-12-31","2019-12-30","1")</f>
        <v>-86.100386099999994</v>
      </c>
      <c r="H3408" s="11">
        <f>[1]!EM_S_FA_YOY_OR(B3408,E3408)</f>
        <v>26.544457169800001</v>
      </c>
      <c r="I3408" s="11">
        <f>[1]!EM_S_FA_GROSSPROFITMARGIN(B3408,E3408)</f>
        <v>58.349317852600002</v>
      </c>
      <c r="J3408" s="11">
        <f>[1]!EM_S_FA_NETPROFITMARGIN(B3408,E3408)</f>
        <v>-132.34595740509999</v>
      </c>
      <c r="K3408" s="10">
        <f>[1]!EM_S_FA_ASSETSTURN(B3408,E3408)</f>
        <v>0.29622928806499998</v>
      </c>
      <c r="L3408" s="12">
        <f>[1]!EM_HKS_VAL_MV(B3408,"2019-12-31","2")</f>
        <v>498488760</v>
      </c>
      <c r="M3408">
        <f>[1]!EM_S_VAL_PETTMDEDUCTED(B3408,E3408)</f>
        <v>93.5645087555814</v>
      </c>
      <c r="N3408" s="7">
        <f>[1]!EM_S_VAL_PBGOODWILLDEDUCTED(B3408,E3408)</f>
        <v>123.03757518588699</v>
      </c>
      <c r="O3408" s="7">
        <f>[1]!EM_S_VAL_PS_TTM(B3408,E3408)</f>
        <v>0.70560811234154397</v>
      </c>
      <c r="P3408" s="7">
        <f>[1]!EM_S_VAL_PCF_NCFTTM(B3408,E3408)</f>
        <v>-5.3563086225850398</v>
      </c>
      <c r="Q3408" s="7">
        <f>[1]!EM_S_VAL_DIVIDENDYIELD2(B3408,E3408,"2019-11-29")</f>
        <v>0</v>
      </c>
      <c r="T3408"/>
      <c r="U3408">
        <f>[1]!EM_S_RATIO_EPS_TTM(B3408,E3408,"1")</f>
        <v>-4.5204731320321043</v>
      </c>
      <c r="AT3408" s="4" t="str">
        <f>[1]!EM_S_IPO_LISTEDDATE(B3408)</f>
        <v>2000-06-28</v>
      </c>
    </row>
    <row r="3409" spans="1:46">
      <c r="A3409">
        <v>18</v>
      </c>
      <c r="B3409" t="str">
        <f>"000018"</f>
        <v>000018</v>
      </c>
      <c r="C3409" t="s">
        <v>93</v>
      </c>
      <c r="D3409" t="str">
        <f>[1]!EM_S_INFO_INDEX_EM(B3409,"1")</f>
        <v>建筑</v>
      </c>
      <c r="E3409" s="4">
        <f t="shared" si="53"/>
        <v>43465</v>
      </c>
      <c r="F3409" s="11">
        <f>[1]!EM_S_PQ_PCTCHANGE(B3409,"2018-01-01","2019-12-31","3")</f>
        <v>-95.531854899999999</v>
      </c>
      <c r="G3409" s="11">
        <f>[1]!EM_S_PQ_PCTCHANGE(B3409,"2019-01-01","2019-12-31","3")</f>
        <v>-87.264150939999993</v>
      </c>
      <c r="H3409" s="11">
        <f>[1]!EM_S_FA_YOY_OR(B3409,E3409)</f>
        <v>-62.645205467099998</v>
      </c>
      <c r="I3409" s="11">
        <f>[1]!EM_S_FA_GROSSPROFITMARGIN(B3409,E3409)</f>
        <v>-0.92760865540000004</v>
      </c>
      <c r="J3409" s="11">
        <f>[1]!EM_S_FA_NETPROFITMARGIN(B3409,E3409)</f>
        <v>-70.860039735599997</v>
      </c>
      <c r="K3409" s="10">
        <f>[1]!EM_S_FA_ASSETSTURN(B3409,E3409)</f>
        <v>0.228193627949</v>
      </c>
      <c r="L3409" s="12">
        <f>[1]!EM_HKS_VAL_MV(B3409,"2019-12-31","2")</f>
        <v>458526152.97000003</v>
      </c>
      <c r="M3409">
        <f>[1]!EM_S_VAL_PETTMDEDUCTED(B3409,E3409)</f>
        <v>-17.265114227866601</v>
      </c>
      <c r="N3409" s="7">
        <f>[1]!EM_S_VAL_PBGOODWILLDEDUCTED(B3409,E3409)</f>
        <v>17.314509822820899</v>
      </c>
      <c r="O3409" s="7">
        <f>[1]!EM_S_VAL_PS_TTM(B3409,E3409)</f>
        <v>0.88437819136160301</v>
      </c>
      <c r="P3409" s="7">
        <f>[1]!EM_S_VAL_PCF_NCFTTM(B3409,E3409)</f>
        <v>-3.5784364822453698</v>
      </c>
      <c r="Q3409" s="7">
        <f>[1]!EM_S_VAL_DIVIDENDYIELD2(B3409,E3409,"2019-11-29")</f>
        <v>0</v>
      </c>
      <c r="T3409"/>
      <c r="U3409">
        <f>[1]!EM_S_RATIO_EPS_TTM(B3409,E3409,"1")</f>
        <v>-1.0038243747856945</v>
      </c>
      <c r="AT3409" s="4" t="str">
        <f>[1]!EM_S_IPO_LISTEDDATE(B3409)</f>
        <v>1992-06-16</v>
      </c>
    </row>
    <row r="3410" spans="1:46">
      <c r="A3410">
        <v>988</v>
      </c>
      <c r="B3410" t="str">
        <f>"002477"</f>
        <v>002477</v>
      </c>
      <c r="C3410" t="s">
        <v>145</v>
      </c>
      <c r="D3410">
        <f>[1]!EM_S_INFO_INDEX_EM(B3410,"1")</f>
        <v>0</v>
      </c>
      <c r="E3410" s="4">
        <f t="shared" si="53"/>
        <v>43465</v>
      </c>
      <c r="F3410" s="11">
        <f>[1]!EM_S_PQ_PCTCHANGE(B3410,"2018-01-01","2019-12-31","3")</f>
        <v>-96.147895599999998</v>
      </c>
      <c r="G3410" s="11">
        <f>[1]!EM_S_PQ_PCTCHANGE(B3410,"2018-12-31","2019-12-30","1")</f>
        <v>-88.666666669999998</v>
      </c>
      <c r="H3410" s="11">
        <f>[1]!EM_S_FA_YOY_OR(B3410,E3410)</f>
        <v>-37.597377412599997</v>
      </c>
      <c r="I3410" s="11">
        <f>[1]!EM_S_FA_GROSSPROFITMARGIN(B3410,E3410)</f>
        <v>-16.168915965299998</v>
      </c>
      <c r="J3410" s="11">
        <f>[1]!EM_S_FA_NETPROFITMARGIN(B3410,E3410)</f>
        <v>-116.71452316</v>
      </c>
      <c r="K3410" s="10">
        <f>[1]!EM_S_FA_ASSETSTURN(B3410,E3410)</f>
        <v>0.16189594968000001</v>
      </c>
      <c r="L3410" s="12">
        <f>[1]!EM_HKS_VAL_MV(B3410,"2019-12-31","2")</f>
        <v>532977137.10000002</v>
      </c>
      <c r="M3410">
        <f>[1]!EM_S_VAL_PETTMDEDUCTED(B3410,E3410)</f>
        <v>-3.09501084976299</v>
      </c>
      <c r="N3410" s="7">
        <f>[1]!EM_S_VAL_PBGOODWILLDEDUCTED(B3410,E3410)</f>
        <v>4.4056595162373799</v>
      </c>
      <c r="O3410" s="7">
        <f>[1]!EM_S_VAL_PS_TTM(B3410,E3410)</f>
        <v>0.94331203132487196</v>
      </c>
      <c r="P3410" s="7">
        <f>[1]!EM_S_VAL_PCF_NCFTTM(B3410,E3410)</f>
        <v>-2.0029511847428898</v>
      </c>
      <c r="Q3410" s="7">
        <f>[1]!EM_S_VAL_DIVIDENDYIELD2(B3410,E3410,"2019-11-29")</f>
        <v>0</v>
      </c>
      <c r="T3410"/>
      <c r="U3410">
        <f>[1]!EM_S_RATIO_EPS_TTM(B3410,E3410,"1")</f>
        <v>-1.2324716011190791</v>
      </c>
      <c r="AT3410" s="4" t="str">
        <f>[1]!EM_S_IPO_LISTEDDATE(B3410)</f>
        <v>2010-09-15</v>
      </c>
    </row>
    <row r="3411" spans="1:46">
      <c r="A3411">
        <v>654</v>
      </c>
      <c r="B3411" t="str">
        <f>"002143"</f>
        <v>002143</v>
      </c>
      <c r="C3411" t="s">
        <v>482</v>
      </c>
      <c r="D3411">
        <f>[1]!EM_S_INFO_INDEX_EM(B3411,"1")</f>
        <v>0</v>
      </c>
      <c r="E3411" s="4">
        <f t="shared" si="53"/>
        <v>43465</v>
      </c>
      <c r="F3411" s="11">
        <f>[1]!EM_S_PQ_PCTCHANGE(B3411,"2018-01-01","2019-12-31","3")</f>
        <v>-98.10606061</v>
      </c>
      <c r="G3411" s="11">
        <f>[1]!EM_S_PQ_PCTCHANGE(B3411,"2018-12-31","2019-12-30","1")</f>
        <v>-91.258741259999994</v>
      </c>
      <c r="H3411" s="11">
        <f>[1]!EM_S_FA_YOY_OR(B3411,E3411)</f>
        <v>-83.440475340399999</v>
      </c>
      <c r="I3411" s="11">
        <f>[1]!EM_S_FA_GROSSPROFITMARGIN(B3411,E3411)</f>
        <v>28.697689093000001</v>
      </c>
      <c r="J3411" s="11">
        <f>[1]!EM_S_FA_NETPROFITMARGIN(B3411,E3411)</f>
        <v>-499.3386507381</v>
      </c>
      <c r="K3411" s="10">
        <f>[1]!EM_S_FA_ASSETSTURN(B3411,E3411)</f>
        <v>9.7193384115000003E-2</v>
      </c>
      <c r="L3411" s="12">
        <f>[1]!EM_HKS_VAL_MV(B3411,"2019-12-31","2")</f>
        <v>442458546</v>
      </c>
      <c r="M3411">
        <f>[1]!EM_S_VAL_PETTMDEDUCTED(B3411,E3411)</f>
        <v>-16.768503295038499</v>
      </c>
      <c r="N3411" s="7">
        <f>[1]!EM_S_VAL_PBGOODWILLDEDUCTED(B3411,E3411)</f>
        <v>4.2239856079788503</v>
      </c>
      <c r="O3411" s="7">
        <f>[1]!EM_S_VAL_PS_TTM(B3411,E3411)</f>
        <v>3.9785849533539701</v>
      </c>
      <c r="P3411" s="7">
        <f>[1]!EM_S_VAL_PCF_NCFTTM(B3411,E3411)</f>
        <v>-15.5126181348357</v>
      </c>
      <c r="Q3411" s="7">
        <f>[1]!EM_S_VAL_DIVIDENDYIELD2(B3411,E3411,"2019-11-29")</f>
        <v>0</v>
      </c>
      <c r="T3411"/>
      <c r="U3411">
        <f>[1]!EM_S_RATIO_EPS_TTM(B3411,E3411,"1")</f>
        <v>-1.0091880720052813</v>
      </c>
      <c r="AT3411" s="4" t="str">
        <f>[1]!EM_S_IPO_LISTEDDATE(B3411)</f>
        <v>2007-07-20</v>
      </c>
    </row>
    <row r="3412" spans="1:46">
      <c r="A3412">
        <v>75</v>
      </c>
      <c r="B3412" t="str">
        <f>"000158"</f>
        <v>000158</v>
      </c>
      <c r="C3412" t="s">
        <v>3260</v>
      </c>
      <c r="D3412" t="str">
        <f>[1]!EM_S_INFO_INDEX_EM(B3412,"1")</f>
        <v>信息技术</v>
      </c>
      <c r="E3412" s="4">
        <f t="shared" si="53"/>
        <v>43465</v>
      </c>
      <c r="F3412" s="11">
        <f>[1]!EM_S_PQ_PCTCHANGE(B3412,"2018-01-01","2019-12-31","3")</f>
        <v>-13.44709555</v>
      </c>
      <c r="G3412" s="11"/>
      <c r="H3412" s="11">
        <f>[1]!EM_S_FA_YOY_OR(B3412,E3412)</f>
        <v>-14.2019913717</v>
      </c>
      <c r="I3412" s="11">
        <f>[1]!EM_S_FA_GROSSPROFITMARGIN(B3412,E3412)</f>
        <v>9.2372310785000007</v>
      </c>
      <c r="J3412" s="11">
        <f>[1]!EM_S_FA_NETPROFITMARGIN(B3412,E3412)</f>
        <v>1.8945089377</v>
      </c>
      <c r="K3412" s="10">
        <f>[1]!EM_S_FA_ASSETSTURN(B3412,E3412)</f>
        <v>0.71707438483800001</v>
      </c>
      <c r="L3412" s="12">
        <f>[1]!EM_HKS_VAL_MV(B3412,"2019-12-31","2")</f>
        <v>10902566037.219999</v>
      </c>
      <c r="M3412">
        <f>[1]!EM_S_VAL_PETTMDEDUCTED(B3412,E3412)</f>
        <v>-39.040476709717801</v>
      </c>
      <c r="N3412" s="7">
        <f>[1]!EM_S_VAL_PBGOODWILLDEDUCTED(B3412,E3412)</f>
        <v>2.18110248968381</v>
      </c>
      <c r="O3412" s="7">
        <f>[1]!EM_S_VAL_PS_TTM(B3412,E3412)</f>
        <v>0.79967949116190795</v>
      </c>
      <c r="P3412" s="7">
        <f>[1]!EM_S_VAL_PCF_NCFTTM(B3412,E3412)</f>
        <v>-42.5897555813129</v>
      </c>
      <c r="Q3412" s="7">
        <f>[1]!EM_S_VAL_DIVIDENDYIELD2(B3412,E3412,"2019-11-29")</f>
        <v>0</v>
      </c>
      <c r="T3412"/>
      <c r="U3412">
        <f>[1]!EM_S_RATIO_EPS_TTM(B3412,E3412,"1")</f>
        <v>0.11251461562312334</v>
      </c>
      <c r="AT3412" s="4" t="str">
        <f>[1]!EM_S_IPO_LISTEDDATE(B3412)</f>
        <v>2000-07-24</v>
      </c>
    </row>
    <row r="3413" spans="1:46">
      <c r="A3413">
        <v>77</v>
      </c>
      <c r="B3413" t="str">
        <f>"000166"</f>
        <v>000166</v>
      </c>
      <c r="C3413" t="s">
        <v>1726</v>
      </c>
      <c r="D3413" t="str">
        <f>[1]!EM_S_INFO_INDEX_EM(B3413,"1")</f>
        <v>金融</v>
      </c>
      <c r="E3413" s="4">
        <f t="shared" si="53"/>
        <v>43465</v>
      </c>
      <c r="F3413" s="11">
        <f>[1]!EM_S_PQ_PCTCHANGE(B3413,"2018-01-01","2019-12-31","3")</f>
        <v>-2.5336729899999999</v>
      </c>
      <c r="G3413" s="11"/>
      <c r="H3413" s="11">
        <f>[1]!EM_S_FA_YOY_OR(B3413,E3413)</f>
        <v>14.285412537199999</v>
      </c>
      <c r="I3413" s="11">
        <f>[1]!EM_S_FA_GROSSPROFITMARGIN(B3413,E3413)</f>
        <v>0</v>
      </c>
      <c r="J3413" s="11">
        <f>[1]!EM_S_FA_NETPROFITMARGIN(B3413,E3413)</f>
        <v>27.804472924399999</v>
      </c>
      <c r="K3413" s="10">
        <f>[1]!EM_S_FA_ASSETSTURN(B3413,E3413)</f>
        <v>0</v>
      </c>
      <c r="L3413" s="12">
        <f>[1]!EM_HKS_VAL_MV(B3413,"2019-12-31","2")</f>
        <v>128204516147.2</v>
      </c>
      <c r="M3413">
        <f>[1]!EM_S_VAL_PETTMDEDUCTED(B3413,E3413)</f>
        <v>21.988597843755802</v>
      </c>
      <c r="N3413" s="7">
        <f>[1]!EM_S_VAL_PBGOODWILLDEDUCTED(B3413,E3413)</f>
        <v>1.3216453435476501</v>
      </c>
      <c r="O3413" s="7">
        <f>[1]!EM_S_VAL_PS_TTM(B3413,E3413)</f>
        <v>7.0020019786762102</v>
      </c>
      <c r="P3413" s="7">
        <f>[1]!EM_S_VAL_PCF_NCFTTM(B3413,E3413)</f>
        <v>-7.7384881943171004</v>
      </c>
      <c r="Q3413" s="7">
        <f>[1]!EM_S_VAL_DIVIDENDYIELD2(B3413,E3413,"2019-11-29")</f>
        <v>1.0504201680672267</v>
      </c>
      <c r="T3413"/>
      <c r="U3413">
        <f>[1]!EM_S_RATIO_EPS_TTM(B3413,E3413,"1")</f>
        <v>0.18460236614861464</v>
      </c>
      <c r="AT3413" s="4" t="str">
        <f>[1]!EM_S_IPO_LISTEDDATE(B3413)</f>
        <v>2015-01-26</v>
      </c>
    </row>
    <row r="3414" spans="1:46">
      <c r="A3414">
        <v>81</v>
      </c>
      <c r="B3414" t="str">
        <f>"000400"</f>
        <v>000400</v>
      </c>
      <c r="C3414" t="s">
        <v>2801</v>
      </c>
      <c r="D3414" t="str">
        <f>[1]!EM_S_INFO_INDEX_EM(B3414,"1")</f>
        <v>电气设备</v>
      </c>
      <c r="E3414" s="4">
        <f t="shared" si="53"/>
        <v>43465</v>
      </c>
      <c r="F3414" s="11">
        <f>[1]!EM_S_PQ_PCTCHANGE(B3414,"2018-01-01","2019-12-31","3")</f>
        <v>-17.70604599</v>
      </c>
      <c r="G3414" s="11"/>
      <c r="H3414" s="11">
        <f>[1]!EM_S_FA_YOY_OR(B3414,E3414)</f>
        <v>-20.455325312500001</v>
      </c>
      <c r="I3414" s="11">
        <f>[1]!EM_S_FA_GROSSPROFITMARGIN(B3414,E3414)</f>
        <v>17.4144973776</v>
      </c>
      <c r="J3414" s="11">
        <f>[1]!EM_S_FA_NETPROFITMARGIN(B3414,E3414)</f>
        <v>3.331196641</v>
      </c>
      <c r="K3414" s="10">
        <f>[1]!EM_S_FA_ASSETSTURN(B3414,E3414)</f>
        <v>0.54986686596000001</v>
      </c>
      <c r="L3414" s="12">
        <f>[1]!EM_HKS_VAL_MV(B3414,"2019-12-31","2")</f>
        <v>10859685117.93</v>
      </c>
      <c r="M3414">
        <f>[1]!EM_S_VAL_PETTMDEDUCTED(B3414,E3414)</f>
        <v>20.234976029837402</v>
      </c>
      <c r="N3414" s="7">
        <f>[1]!EM_S_VAL_PBGOODWILLDEDUCTED(B3414,E3414)</f>
        <v>1.15589343995094</v>
      </c>
      <c r="O3414" s="7">
        <f>[1]!EM_S_VAL_PS_TTM(B3414,E3414)</f>
        <v>0.97178696586107904</v>
      </c>
      <c r="P3414" s="7">
        <f>[1]!EM_S_VAL_PCF_NCFTTM(B3414,E3414)</f>
        <v>-355.92212095093203</v>
      </c>
      <c r="Q3414" s="7">
        <f>[1]!EM_S_VAL_DIVIDENDYIELD2(B3414,E3414,"2019-11-29")</f>
        <v>0.49535603715170284</v>
      </c>
      <c r="T3414"/>
      <c r="U3414">
        <f>[1]!EM_S_RATIO_EPS_TTM(B3414,E3414,"1")</f>
        <v>0.19801184418778844</v>
      </c>
      <c r="AT3414" s="4" t="str">
        <f>[1]!EM_S_IPO_LISTEDDATE(B3414)</f>
        <v>1997-04-18</v>
      </c>
    </row>
    <row r="3415" spans="1:46">
      <c r="A3415">
        <v>83</v>
      </c>
      <c r="B3415" t="str">
        <f>"000402"</f>
        <v>000402</v>
      </c>
      <c r="C3415" t="s">
        <v>1494</v>
      </c>
      <c r="D3415" t="str">
        <f>[1]!EM_S_INFO_INDEX_EM(B3415,"1")</f>
        <v>房地产</v>
      </c>
      <c r="E3415" s="4">
        <f t="shared" si="53"/>
        <v>43465</v>
      </c>
      <c r="F3415" s="11">
        <f>[1]!EM_S_PQ_PCTCHANGE(B3415,"2018-01-01","2019-12-31","3")</f>
        <v>-21.349226560000002</v>
      </c>
      <c r="G3415" s="11"/>
      <c r="H3415" s="11">
        <f>[1]!EM_S_FA_YOY_OR(B3415,E3415)</f>
        <v>-13.346687273300001</v>
      </c>
      <c r="I3415" s="11">
        <f>[1]!EM_S_FA_GROSSPROFITMARGIN(B3415,E3415)</f>
        <v>48.599076431500002</v>
      </c>
      <c r="J3415" s="11">
        <f>[1]!EM_S_FA_NETPROFITMARGIN(B3415,E3415)</f>
        <v>18.258141177900001</v>
      </c>
      <c r="K3415" s="10">
        <f>[1]!EM_S_FA_ASSETSTURN(B3415,E3415)</f>
        <v>0.16156322761700001</v>
      </c>
      <c r="L3415" s="12">
        <f>[1]!EM_HKS_VAL_MV(B3415,"2019-12-31","2")</f>
        <v>24270110844.84</v>
      </c>
      <c r="M3415">
        <f>[1]!EM_S_VAL_PETTMDEDUCTED(B3415,E3415)</f>
        <v>15.3417022135471</v>
      </c>
      <c r="N3415" s="7">
        <f>[1]!EM_S_VAL_PBGOODWILLDEDUCTED(B3415,E3415)</f>
        <v>0.60222686946408599</v>
      </c>
      <c r="O3415" s="7">
        <f>[1]!EM_S_VAL_PS_TTM(B3415,E3415)</f>
        <v>1.0519436908112201</v>
      </c>
      <c r="P3415" s="7">
        <f>[1]!EM_S_VAL_PCF_NCFTTM(B3415,E3415)</f>
        <v>94.596699616299404</v>
      </c>
      <c r="Q3415" s="7">
        <f>[1]!EM_S_VAL_DIVIDENDYIELD2(B3415,E3415,"2019-11-29")</f>
        <v>3.8809831824062093</v>
      </c>
      <c r="T3415"/>
      <c r="U3415">
        <f>[1]!EM_S_RATIO_EPS_TTM(B3415,E3415,"1")</f>
        <v>1.0935588753537138</v>
      </c>
      <c r="AT3415" s="4" t="str">
        <f>[1]!EM_S_IPO_LISTEDDATE(B3415)</f>
        <v>1996-06-26</v>
      </c>
    </row>
    <row r="3416" spans="1:46">
      <c r="A3416">
        <v>86</v>
      </c>
      <c r="B3416" t="str">
        <f>"000405"</f>
        <v>000405</v>
      </c>
      <c r="C3416" t="s">
        <v>3192</v>
      </c>
      <c r="D3416">
        <f>[1]!EM_S_INFO_INDEX_EM(B3416,"1")</f>
        <v>0</v>
      </c>
      <c r="E3416" s="4">
        <f t="shared" si="53"/>
        <v>43465</v>
      </c>
      <c r="F3416" s="11">
        <f>[1]!EM_S_PQ_PCTCHANGE(B3416,"2018-01-01","2019-12-31","3")</f>
        <v>0</v>
      </c>
      <c r="G3416" s="11"/>
      <c r="H3416" s="11">
        <f>[1]!EM_S_FA_YOY_OR(B3416,E3416)</f>
        <v>-79.474037516300001</v>
      </c>
      <c r="I3416" s="11">
        <f>[1]!EM_S_FA_GROSSPROFITMARGIN(B3416,E3416)</f>
        <v>53.405545970600002</v>
      </c>
      <c r="J3416" s="11">
        <f>[1]!EM_S_FA_NETPROFITMARGIN(B3416,E3416)</f>
        <v>13.970134869400001</v>
      </c>
      <c r="K3416" s="10">
        <f>[1]!EM_S_FA_ASSETSTURN(B3416,E3416)</f>
        <v>0.19260906938200001</v>
      </c>
      <c r="L3416" s="12">
        <f>[1]!EM_HKS_VAL_MV(B3416,"2019-12-31","2")</f>
        <v>877642771.72000003</v>
      </c>
      <c r="M3416">
        <f>[1]!EM_S_VAL_PETTMDEDUCTED(B3416,E3416)</f>
        <v>-611.38597645055404</v>
      </c>
      <c r="N3416" s="7">
        <f>[1]!EM_S_VAL_PBGOODWILLDEDUCTED(B3416,E3416)</f>
        <v>60.847596966547101</v>
      </c>
      <c r="O3416" s="7">
        <f>[1]!EM_S_VAL_PS_TTM(B3416,E3416)</f>
        <v>529.66370620247301</v>
      </c>
      <c r="P3416" s="7">
        <f>[1]!EM_S_VAL_PCF_NCFTTM(B3416,E3416)</f>
        <v>-702.81123182077999</v>
      </c>
      <c r="Q3416" s="7">
        <f>[1]!EM_S_VAL_DIVIDENDYIELD2(B3416,E3416,"2019-11-29")</f>
        <v>0</v>
      </c>
      <c r="T3416"/>
      <c r="U3416">
        <f>[1]!EM_S_RATIO_EPS_TTM(B3416,E3416,"1")</f>
        <v>1.2697147975321331E-3</v>
      </c>
      <c r="AT3416" s="4" t="str">
        <f>[1]!EM_S_IPO_LISTEDDATE(B3416)</f>
        <v>1996-06-20</v>
      </c>
    </row>
    <row r="3417" spans="1:46">
      <c r="A3417">
        <v>87</v>
      </c>
      <c r="B3417" t="str">
        <f>"000406"</f>
        <v>000406</v>
      </c>
      <c r="C3417" t="s">
        <v>3191</v>
      </c>
      <c r="D3417">
        <f>[1]!EM_S_INFO_INDEX_EM(B3417,"1")</f>
        <v>0</v>
      </c>
      <c r="E3417" s="4">
        <f t="shared" si="53"/>
        <v>43465</v>
      </c>
      <c r="F3417" s="11">
        <f>[1]!EM_S_PQ_PCTCHANGE(B3417,"2018-01-01","2019-12-31","3")</f>
        <v>0</v>
      </c>
      <c r="G3417" s="11"/>
      <c r="H3417" s="11">
        <f>[1]!EM_S_FA_YOY_OR(B3417,E3417)</f>
        <v>0</v>
      </c>
      <c r="I3417" s="11">
        <f>[1]!EM_S_FA_GROSSPROFITMARGIN(B3417,E3417)</f>
        <v>0</v>
      </c>
      <c r="J3417" s="11">
        <f>[1]!EM_S_FA_NETPROFITMARGIN(B3417,E3417)</f>
        <v>0</v>
      </c>
      <c r="K3417" s="10">
        <f>[1]!EM_S_FA_ASSETSTURN(B3417,E3417)</f>
        <v>0</v>
      </c>
      <c r="L3417" s="12">
        <f>[1]!EM_HKS_VAL_MV(B3417,"2019-12-31","2")</f>
        <v>3683959392.96</v>
      </c>
      <c r="M3417">
        <f>[1]!EM_S_VAL_PETTMDEDUCTED(B3417,E3417)</f>
        <v>11.058201145611999</v>
      </c>
      <c r="N3417" s="7">
        <f>[1]!EM_S_VAL_PBGOODWILLDEDUCTED(B3417,E3417)</f>
        <v>2.0494883368216699</v>
      </c>
      <c r="O3417" s="7">
        <f>[1]!EM_S_VAL_PS_TTM(B3417,E3417)</f>
        <v>0</v>
      </c>
      <c r="P3417" s="7">
        <f>[1]!EM_S_VAL_PCF_NCFTTM(B3417,E3417)</f>
        <v>-168.81680453182199</v>
      </c>
      <c r="Q3417" s="7">
        <f>[1]!EM_S_VAL_DIVIDENDYIELD2(B3417,E3417,"2019-11-29")</f>
        <v>0</v>
      </c>
      <c r="T3417"/>
      <c r="U3417">
        <f>[1]!EM_S_RATIO_EPS_TTM(B3417,E3417,"1")</f>
        <v>0.51108297178932649</v>
      </c>
      <c r="AT3417" s="4" t="str">
        <f>[1]!EM_S_IPO_LISTEDDATE(B3417)</f>
        <v>1996-06-28</v>
      </c>
    </row>
    <row r="3418" spans="1:46">
      <c r="A3418">
        <v>89</v>
      </c>
      <c r="B3418" t="str">
        <f>"000408"</f>
        <v>000408</v>
      </c>
      <c r="C3418" t="s">
        <v>1971</v>
      </c>
      <c r="D3418" t="str">
        <f>[1]!EM_S_INFO_INDEX_EM(B3418,"1")</f>
        <v>基础化工</v>
      </c>
      <c r="E3418" s="4">
        <f t="shared" si="53"/>
        <v>43465</v>
      </c>
      <c r="F3418" s="11">
        <f>[1]!EM_S_PQ_PCTCHANGE(B3418,"2018-01-01","2019-12-31","3")</f>
        <v>-58.305084749999999</v>
      </c>
      <c r="G3418" s="11"/>
      <c r="H3418" s="11">
        <f>[1]!EM_S_FA_YOY_OR(B3418,E3418)</f>
        <v>-15.5241863589</v>
      </c>
      <c r="I3418" s="11">
        <f>[1]!EM_S_FA_GROSSPROFITMARGIN(B3418,E3418)</f>
        <v>68.347969344399999</v>
      </c>
      <c r="J3418" s="11">
        <f>[1]!EM_S_FA_NETPROFITMARGIN(B3418,E3418)</f>
        <v>31.716015808800002</v>
      </c>
      <c r="K3418" s="10">
        <f>[1]!EM_S_FA_ASSETSTURN(B3418,E3418)</f>
        <v>0.31296616895399998</v>
      </c>
      <c r="L3418" s="12">
        <f>[1]!EM_HKS_VAL_MV(B3418,"2019-12-31","2")</f>
        <v>14714092872.360001</v>
      </c>
      <c r="M3418">
        <f>[1]!EM_S_VAL_PETTMDEDUCTED(B3418,E3418)</f>
        <v>17.279916779878501</v>
      </c>
      <c r="N3418" s="7">
        <f>[1]!EM_S_VAL_PBGOODWILLDEDUCTED(B3418,E3418)</f>
        <v>3.0086885011468398</v>
      </c>
      <c r="O3418" s="7">
        <f>[1]!EM_S_VAL_PS_TTM(B3418,E3418)</f>
        <v>7.3812876819530597</v>
      </c>
      <c r="P3418" s="7">
        <f>[1]!EM_S_VAL_PCF_NCFTTM(B3418,E3418)</f>
        <v>-41.758250882920997</v>
      </c>
      <c r="Q3418" s="7">
        <f>[1]!EM_S_VAL_DIVIDENDYIELD2(B3418,E3418,"2019-11-29")</f>
        <v>0</v>
      </c>
      <c r="T3418"/>
      <c r="U3418">
        <f>[1]!EM_S_RATIO_EPS_TTM(B3418,E3418,"1")</f>
        <v>0.42641097981444709</v>
      </c>
      <c r="AT3418" s="4" t="str">
        <f>[1]!EM_S_IPO_LISTEDDATE(B3418)</f>
        <v>1996-06-28</v>
      </c>
    </row>
    <row r="3419" spans="1:46">
      <c r="A3419">
        <v>91</v>
      </c>
      <c r="B3419" t="str">
        <f>"000410"</f>
        <v>000410</v>
      </c>
      <c r="C3419" t="s">
        <v>1810</v>
      </c>
      <c r="D3419" t="str">
        <f>[1]!EM_S_INFO_INDEX_EM(B3419,"1")</f>
        <v>机械设备</v>
      </c>
      <c r="E3419" s="4">
        <f t="shared" si="53"/>
        <v>43465</v>
      </c>
      <c r="F3419" s="11">
        <f>[1]!EM_S_PQ_PCTCHANGE(B3419,"2018-01-01","2019-12-31","3")</f>
        <v>-30.225409840000001</v>
      </c>
      <c r="G3419" s="11"/>
      <c r="H3419" s="11">
        <f>[1]!EM_S_FA_YOY_OR(B3419,E3419)</f>
        <v>19.708949812899998</v>
      </c>
      <c r="I3419" s="11">
        <f>[1]!EM_S_FA_GROSSPROFITMARGIN(B3419,E3419)</f>
        <v>25.639242864500002</v>
      </c>
      <c r="J3419" s="11">
        <f>[1]!EM_S_FA_NETPROFITMARGIN(B3419,E3419)</f>
        <v>-17.2305490705</v>
      </c>
      <c r="K3419" s="10">
        <f>[1]!EM_S_FA_ASSETSTURN(B3419,E3419)</f>
        <v>0.23992935924600001</v>
      </c>
      <c r="L3419" s="12">
        <f>[1]!EM_HKS_VAL_MV(B3419,"2019-12-31","2")</f>
        <v>11468284778.639999</v>
      </c>
      <c r="M3419">
        <f>[1]!EM_S_VAL_PETTMDEDUCTED(B3419,E3419)</f>
        <v>-10.398966407359699</v>
      </c>
      <c r="N3419" s="7">
        <f>[1]!EM_S_VAL_PBGOODWILLDEDUCTED(B3419,E3419)</f>
        <v>71.759858492244604</v>
      </c>
      <c r="O3419" s="7">
        <f>[1]!EM_S_VAL_PS_TTM(B3419,E3419)</f>
        <v>0.92172908893794203</v>
      </c>
      <c r="P3419" s="7">
        <f>[1]!EM_S_VAL_PCF_NCFTTM(B3419,E3419)</f>
        <v>-56.837426209810801</v>
      </c>
      <c r="Q3419" s="7">
        <f>[1]!EM_S_VAL_DIVIDENDYIELD2(B3419,E3419,"2019-11-29")</f>
        <v>0</v>
      </c>
      <c r="T3419"/>
      <c r="U3419">
        <f>[1]!EM_S_RATIO_EPS_TTM(B3419,E3419,"1")</f>
        <v>-1.0297744972100076</v>
      </c>
      <c r="AT3419" s="4" t="str">
        <f>[1]!EM_S_IPO_LISTEDDATE(B3419)</f>
        <v>1996-07-18</v>
      </c>
    </row>
    <row r="3420" spans="1:46">
      <c r="A3420">
        <v>93</v>
      </c>
      <c r="B3420" t="str">
        <f>"000412"</f>
        <v>000412</v>
      </c>
      <c r="C3420" t="s">
        <v>3190</v>
      </c>
      <c r="D3420">
        <f>[1]!EM_S_INFO_INDEX_EM(B3420,"1")</f>
        <v>0</v>
      </c>
      <c r="E3420" s="4">
        <f t="shared" si="53"/>
        <v>43465</v>
      </c>
      <c r="F3420" s="11">
        <f>[1]!EM_S_PQ_PCTCHANGE(B3420,"2018-01-01","2019-12-31","3")</f>
        <v>0</v>
      </c>
      <c r="G3420" s="11"/>
      <c r="H3420" s="11">
        <f>[1]!EM_S_FA_YOY_OR(B3420,E3420)</f>
        <v>0</v>
      </c>
      <c r="I3420" s="11">
        <f>[1]!EM_S_FA_GROSSPROFITMARGIN(B3420,E3420)</f>
        <v>0</v>
      </c>
      <c r="J3420" s="11">
        <f>[1]!EM_S_FA_NETPROFITMARGIN(B3420,E3420)</f>
        <v>0</v>
      </c>
      <c r="K3420" s="10">
        <f>[1]!EM_S_FA_ASSETSTURN(B3420,E3420)</f>
        <v>0</v>
      </c>
      <c r="L3420" s="12">
        <f>[1]!EM_HKS_VAL_MV(B3420,"2019-12-31","2")</f>
        <v>835099243.63999999</v>
      </c>
      <c r="M3420">
        <f>[1]!EM_S_VAL_PETTMDEDUCTED(B3420,E3420)</f>
        <v>0</v>
      </c>
      <c r="N3420" s="7">
        <f>[1]!EM_S_VAL_PBGOODWILLDEDUCTED(B3420,E3420)</f>
        <v>-6.7490055690719704</v>
      </c>
      <c r="O3420" s="7">
        <f>[1]!EM_S_VAL_PS_TTM(B3420,E3420)</f>
        <v>0</v>
      </c>
      <c r="P3420" s="7">
        <f>[1]!EM_S_VAL_PCF_NCFTTM(B3420,E3420)</f>
        <v>0</v>
      </c>
      <c r="Q3420" s="7">
        <f>[1]!EM_S_VAL_DIVIDENDYIELD2(B3420,E3420,"2019-11-29")</f>
        <v>0</v>
      </c>
      <c r="T3420"/>
      <c r="U3420">
        <f>[1]!EM_S_RATIO_EPS_TTM(B3420,E3420,"1")</f>
        <v>-0.1252661179539947</v>
      </c>
      <c r="AT3420" s="4" t="str">
        <f>[1]!EM_S_IPO_LISTEDDATE(B3420)</f>
        <v>1996-07-15</v>
      </c>
    </row>
    <row r="3421" spans="1:46">
      <c r="A3421">
        <v>96</v>
      </c>
      <c r="B3421" t="str">
        <f>"000416"</f>
        <v>000416</v>
      </c>
      <c r="C3421" t="s">
        <v>2780</v>
      </c>
      <c r="D3421" t="str">
        <f>[1]!EM_S_INFO_INDEX_EM(B3421,"1")</f>
        <v>金融</v>
      </c>
      <c r="E3421" s="4">
        <f t="shared" si="53"/>
        <v>43465</v>
      </c>
      <c r="F3421" s="11">
        <f>[1]!EM_S_PQ_PCTCHANGE(B3421,"2018-01-01","2019-12-31","3")</f>
        <v>-20.93482328</v>
      </c>
      <c r="G3421" s="11"/>
      <c r="H3421" s="11">
        <f>[1]!EM_S_FA_YOY_OR(B3421,E3421)</f>
        <v>-0.76440146509999995</v>
      </c>
      <c r="I3421" s="11">
        <f>[1]!EM_S_FA_GROSSPROFITMARGIN(B3421,E3421)</f>
        <v>99.002074875100007</v>
      </c>
      <c r="J3421" s="11">
        <f>[1]!EM_S_FA_NETPROFITMARGIN(B3421,E3421)</f>
        <v>223.757564766</v>
      </c>
      <c r="K3421" s="10">
        <f>[1]!EM_S_FA_ASSETSTURN(B3421,E3421)</f>
        <v>8.6560842240999997E-2</v>
      </c>
      <c r="L3421" s="12">
        <f>[1]!EM_HKS_VAL_MV(B3421,"2019-12-31","2")</f>
        <v>2951886791.6999998</v>
      </c>
      <c r="M3421">
        <f>[1]!EM_S_VAL_PETTMDEDUCTED(B3421,E3421)</f>
        <v>159.06625790466299</v>
      </c>
      <c r="N3421" s="7">
        <f>[1]!EM_S_VAL_PBGOODWILLDEDUCTED(B3421,E3421)</f>
        <v>2.4947751782974401</v>
      </c>
      <c r="O3421" s="7">
        <f>[1]!EM_S_VAL_PS_TTM(B3421,E3421)</f>
        <v>27.837322299128701</v>
      </c>
      <c r="P3421" s="7">
        <f>[1]!EM_S_VAL_PCF_NCFTTM(B3421,E3421)</f>
        <v>-23.779053092297801</v>
      </c>
      <c r="Q3421" s="7">
        <f>[1]!EM_S_VAL_DIVIDENDYIELD2(B3421,E3421,"2019-11-29")</f>
        <v>0.5988023952095809</v>
      </c>
      <c r="T3421"/>
      <c r="U3421">
        <f>[1]!EM_S_RATIO_EPS_TTM(B3421,E3421,"1")</f>
        <v>3.7571887693608939E-2</v>
      </c>
      <c r="AT3421" s="4" t="str">
        <f>[1]!EM_S_IPO_LISTEDDATE(B3421)</f>
        <v>1996-07-19</v>
      </c>
    </row>
    <row r="3422" spans="1:46">
      <c r="A3422">
        <v>99</v>
      </c>
      <c r="B3422" t="str">
        <f>"000419"</f>
        <v>000419</v>
      </c>
      <c r="C3422" t="s">
        <v>1264</v>
      </c>
      <c r="D3422" t="str">
        <f>[1]!EM_S_INFO_INDEX_EM(B3422,"1")</f>
        <v>商贸零售</v>
      </c>
      <c r="E3422" s="4">
        <f t="shared" si="53"/>
        <v>43465</v>
      </c>
      <c r="F3422" s="11">
        <f>[1]!EM_S_PQ_PCTCHANGE(B3422,"2018-01-01","2019-12-31","3")</f>
        <v>-21.877313619999999</v>
      </c>
      <c r="G3422" s="11"/>
      <c r="H3422" s="11">
        <f>[1]!EM_S_FA_YOY_OR(B3422,E3422)</f>
        <v>-4.0527229910000004</v>
      </c>
      <c r="I3422" s="11">
        <f>[1]!EM_S_FA_GROSSPROFITMARGIN(B3422,E3422)</f>
        <v>21.297683206599999</v>
      </c>
      <c r="J3422" s="11">
        <f>[1]!EM_S_FA_NETPROFITMARGIN(B3422,E3422)</f>
        <v>4.4707726555000002</v>
      </c>
      <c r="K3422" s="10">
        <f>[1]!EM_S_FA_ASSETSTURN(B3422,E3422)</f>
        <v>0.86748977759000001</v>
      </c>
      <c r="L3422" s="12">
        <f>[1]!EM_HKS_VAL_MV(B3422,"2019-12-31","2")</f>
        <v>2484172733.3499999</v>
      </c>
      <c r="M3422">
        <f>[1]!EM_S_VAL_PETTMDEDUCTED(B3422,E3422)</f>
        <v>18.304300839369098</v>
      </c>
      <c r="N3422" s="7">
        <f>[1]!EM_S_VAL_PBGOODWILLDEDUCTED(B3422,E3422)</f>
        <v>0.80219586177520497</v>
      </c>
      <c r="O3422" s="7">
        <f>[1]!EM_S_VAL_PS_TTM(B3422,E3422)</f>
        <v>0.55546262900105603</v>
      </c>
      <c r="P3422" s="7">
        <f>[1]!EM_S_VAL_PCF_NCFTTM(B3422,E3422)</f>
        <v>15.0298271993403</v>
      </c>
      <c r="Q3422" s="7">
        <f>[1]!EM_S_VAL_DIVIDENDYIELD2(B3422,E3422,"2019-11-29")</f>
        <v>3.7296037296037294</v>
      </c>
      <c r="T3422"/>
      <c r="U3422">
        <f>[1]!EM_S_RATIO_EPS_TTM(B3422,E3422,"1")</f>
        <v>0.26018182325924288</v>
      </c>
      <c r="AT3422" s="4" t="str">
        <f>[1]!EM_S_IPO_LISTEDDATE(B3422)</f>
        <v>1996-08-16</v>
      </c>
    </row>
    <row r="3423" spans="1:46">
      <c r="A3423">
        <v>101</v>
      </c>
      <c r="B3423" t="str">
        <f>"000421"</f>
        <v>000421</v>
      </c>
      <c r="C3423" t="s">
        <v>1154</v>
      </c>
      <c r="D3423" t="str">
        <f>[1]!EM_S_INFO_INDEX_EM(B3423,"1")</f>
        <v>公用事业</v>
      </c>
      <c r="E3423" s="4">
        <f t="shared" si="53"/>
        <v>43465</v>
      </c>
      <c r="F3423" s="11">
        <f>[1]!EM_S_PQ_PCTCHANGE(B3423,"2018-01-01","2019-12-31","3")</f>
        <v>-24.886876139999998</v>
      </c>
      <c r="G3423" s="11"/>
      <c r="H3423" s="11">
        <f>[1]!EM_S_FA_YOY_OR(B3423,E3423)</f>
        <v>-2.8095660368000002</v>
      </c>
      <c r="I3423" s="11">
        <f>[1]!EM_S_FA_GROSSPROFITMARGIN(B3423,E3423)</f>
        <v>23.237901085200001</v>
      </c>
      <c r="J3423" s="11">
        <f>[1]!EM_S_FA_NETPROFITMARGIN(B3423,E3423)</f>
        <v>6.8707958586000002</v>
      </c>
      <c r="K3423" s="10">
        <f>[1]!EM_S_FA_ASSETSTURN(B3423,E3423)</f>
        <v>0.31384641173</v>
      </c>
      <c r="L3423" s="12">
        <f>[1]!EM_HKS_VAL_MV(B3423,"2019-12-31","2")</f>
        <v>2594090611.02</v>
      </c>
      <c r="M3423">
        <f>[1]!EM_S_VAL_PETTMDEDUCTED(B3423,E3423)</f>
        <v>17.760763490442699</v>
      </c>
      <c r="N3423" s="7">
        <f>[1]!EM_S_VAL_PBGOODWILLDEDUCTED(B3423,E3423)</f>
        <v>1.0000036937099399</v>
      </c>
      <c r="O3423" s="7">
        <f>[1]!EM_S_VAL_PS_TTM(B3423,E3423)</f>
        <v>0.74553888650868305</v>
      </c>
      <c r="P3423" s="7">
        <f>[1]!EM_S_VAL_PCF_NCFTTM(B3423,E3423)</f>
        <v>-7.4524460515992601</v>
      </c>
      <c r="Q3423" s="7">
        <f>[1]!EM_S_VAL_DIVIDENDYIELD2(B3423,E3423,"2019-11-29")</f>
        <v>2.3419203747072603</v>
      </c>
      <c r="T3423"/>
      <c r="U3423">
        <f>[1]!EM_S_RATIO_EPS_TTM(B3423,E3423,"1")</f>
        <v>0.2500747072715489</v>
      </c>
      <c r="AT3423" s="4" t="str">
        <f>[1]!EM_S_IPO_LISTEDDATE(B3423)</f>
        <v>1996-08-06</v>
      </c>
    </row>
    <row r="3424" spans="1:46">
      <c r="A3424">
        <v>103</v>
      </c>
      <c r="B3424" t="str">
        <f>"000423"</f>
        <v>000423</v>
      </c>
      <c r="C3424" t="s">
        <v>203</v>
      </c>
      <c r="D3424" t="str">
        <f>[1]!EM_S_INFO_INDEX_EM(B3424,"1")</f>
        <v>医药生物</v>
      </c>
      <c r="E3424" s="4">
        <f t="shared" si="53"/>
        <v>43465</v>
      </c>
      <c r="F3424" s="11">
        <f>[1]!EM_S_PQ_PCTCHANGE(B3424,"2018-01-01","2019-12-31","3")</f>
        <v>-38.251991769999997</v>
      </c>
      <c r="G3424" s="11"/>
      <c r="H3424" s="11">
        <f>[1]!EM_S_FA_YOY_OR(B3424,E3424)</f>
        <v>-0.46151028669999999</v>
      </c>
      <c r="I3424" s="11">
        <f>[1]!EM_S_FA_GROSSPROFITMARGIN(B3424,E3424)</f>
        <v>65.9902121163</v>
      </c>
      <c r="J3424" s="11">
        <f>[1]!EM_S_FA_NETPROFITMARGIN(B3424,E3424)</f>
        <v>28.434394180200002</v>
      </c>
      <c r="K3424" s="10">
        <f>[1]!EM_S_FA_ASSETSTURN(B3424,E3424)</f>
        <v>0.55919524784800001</v>
      </c>
      <c r="L3424" s="12">
        <f>[1]!EM_HKS_VAL_MV(B3424,"2019-12-31","2")</f>
        <v>23132741763.689999</v>
      </c>
      <c r="M3424">
        <f>[1]!EM_S_VAL_PETTMDEDUCTED(B3424,E3424)</f>
        <v>13.693591205203701</v>
      </c>
      <c r="N3424" s="7">
        <f>[1]!EM_S_VAL_PBGOODWILLDEDUCTED(B3424,E3424)</f>
        <v>2.28884366264717</v>
      </c>
      <c r="O3424" s="7">
        <f>[1]!EM_S_VAL_PS_TTM(B3424,E3424)</f>
        <v>3.5552042882316202</v>
      </c>
      <c r="P3424" s="7">
        <f>[1]!EM_S_VAL_PCF_NCFTTM(B3424,E3424)</f>
        <v>155.45645210876199</v>
      </c>
      <c r="Q3424" s="7">
        <f>[1]!EM_S_VAL_DIVIDENDYIELD2(B3424,E3424,"2019-11-29")</f>
        <v>2.9983079893079889</v>
      </c>
      <c r="T3424"/>
      <c r="U3424">
        <f>[1]!EM_S_RATIO_EPS_TTM(B3424,E3424,"1")</f>
        <v>3.187763605237361</v>
      </c>
      <c r="AT3424" s="4" t="str">
        <f>[1]!EM_S_IPO_LISTEDDATE(B3424)</f>
        <v>1996-07-29</v>
      </c>
    </row>
    <row r="3425" spans="1:46">
      <c r="A3425">
        <v>106</v>
      </c>
      <c r="B3425" t="str">
        <f>"000428"</f>
        <v>000428</v>
      </c>
      <c r="C3425" t="s">
        <v>3545</v>
      </c>
      <c r="D3425" t="str">
        <f>[1]!EM_S_INFO_INDEX_EM(B3425,"1")</f>
        <v>休闲、生活及专业服务</v>
      </c>
      <c r="E3425" s="4">
        <f t="shared" si="53"/>
        <v>43465</v>
      </c>
      <c r="F3425" s="11">
        <f>[1]!EM_S_PQ_PCTCHANGE(B3425,"2018-01-01","2019-12-31","3")</f>
        <v>-37.32057416</v>
      </c>
      <c r="G3425" s="11"/>
      <c r="H3425" s="11">
        <f>[1]!EM_S_FA_YOY_OR(B3425,E3425)</f>
        <v>-9.87351752</v>
      </c>
      <c r="I3425" s="11">
        <f>[1]!EM_S_FA_GROSSPROFITMARGIN(B3425,E3425)</f>
        <v>53.841389549699997</v>
      </c>
      <c r="J3425" s="11">
        <f>[1]!EM_S_FA_NETPROFITMARGIN(B3425,E3425)</f>
        <v>-72.880461279299993</v>
      </c>
      <c r="K3425" s="10">
        <f>[1]!EM_S_FA_ASSETSTURN(B3425,E3425)</f>
        <v>0.118112487228</v>
      </c>
      <c r="L3425" s="12">
        <f>[1]!EM_HKS_VAL_MV(B3425,"2019-12-31","2")</f>
        <v>2669586120</v>
      </c>
      <c r="M3425">
        <f>[1]!EM_S_VAL_PETTMDEDUCTED(B3425,E3425)</f>
        <v>-3.5750270300646001</v>
      </c>
      <c r="N3425" s="7">
        <f>[1]!EM_S_VAL_PBGOODWILLDEDUCTED(B3425,E3425)</f>
        <v>0.99776431915237895</v>
      </c>
      <c r="O3425" s="7">
        <f>[1]!EM_S_VAL_PS_TTM(B3425,E3425)</f>
        <v>2.37088794765303</v>
      </c>
      <c r="P3425" s="7">
        <f>[1]!EM_S_VAL_PCF_NCFTTM(B3425,E3425)</f>
        <v>-34.143603147936197</v>
      </c>
      <c r="Q3425" s="7">
        <f>[1]!EM_S_VAL_DIVIDENDYIELD2(B3425,E3425,"2019-11-29")</f>
        <v>0</v>
      </c>
      <c r="T3425"/>
      <c r="U3425">
        <f>[1]!EM_S_RATIO_EPS_TTM(B3425,E3425,"1")</f>
        <v>-0.46874226739723984</v>
      </c>
      <c r="AT3425" s="4" t="str">
        <f>[1]!EM_S_IPO_LISTEDDATE(B3425)</f>
        <v>1996-08-08</v>
      </c>
    </row>
    <row r="3426" spans="1:46">
      <c r="A3426">
        <v>108</v>
      </c>
      <c r="B3426" t="str">
        <f>"000430"</f>
        <v>000430</v>
      </c>
      <c r="C3426" t="s">
        <v>3366</v>
      </c>
      <c r="D3426" t="str">
        <f>[1]!EM_S_INFO_INDEX_EM(B3426,"1")</f>
        <v>休闲、生活及专业服务</v>
      </c>
      <c r="E3426" s="4">
        <f t="shared" si="53"/>
        <v>43465</v>
      </c>
      <c r="F3426" s="11">
        <f>[1]!EM_S_PQ_PCTCHANGE(B3426,"2018-01-01","2019-12-31","3")</f>
        <v>-39.064327489999997</v>
      </c>
      <c r="G3426" s="11"/>
      <c r="H3426" s="11">
        <f>[1]!EM_S_FA_YOY_OR(B3426,E3426)</f>
        <v>-14.7831858596</v>
      </c>
      <c r="I3426" s="11">
        <f>[1]!EM_S_FA_GROSSPROFITMARGIN(B3426,E3426)</f>
        <v>31.518197385600001</v>
      </c>
      <c r="J3426" s="11">
        <f>[1]!EM_S_FA_NETPROFITMARGIN(B3426,E3426)</f>
        <v>5.3343915038</v>
      </c>
      <c r="K3426" s="10">
        <f>[1]!EM_S_FA_ASSETSTURN(B3426,E3426)</f>
        <v>0.193863993805</v>
      </c>
      <c r="L3426" s="12">
        <f>[1]!EM_HKS_VAL_MV(B3426,"2019-12-31","2")</f>
        <v>2109100144.0599999</v>
      </c>
      <c r="M3426">
        <f>[1]!EM_S_VAL_PETTMDEDUCTED(B3426,E3426)</f>
        <v>429.920321412242</v>
      </c>
      <c r="N3426" s="7">
        <f>[1]!EM_S_VAL_PBGOODWILLDEDUCTED(B3426,E3426)</f>
        <v>1.2405445665447301</v>
      </c>
      <c r="O3426" s="7">
        <f>[1]!EM_S_VAL_PS_TTM(B3426,E3426)</f>
        <v>4.0040716274108403</v>
      </c>
      <c r="P3426" s="7">
        <f>[1]!EM_S_VAL_PCF_NCFTTM(B3426,E3426)</f>
        <v>-22.7274454992926</v>
      </c>
      <c r="Q3426" s="7">
        <f>[1]!EM_S_VAL_DIVIDENDYIELD2(B3426,E3426,"2019-11-29")</f>
        <v>0</v>
      </c>
      <c r="T3426"/>
      <c r="U3426">
        <f>[1]!EM_S_RATIO_EPS_TTM(B3426,E3426,"1")</f>
        <v>6.522424215428177E-2</v>
      </c>
      <c r="AT3426" s="4" t="str">
        <f>[1]!EM_S_IPO_LISTEDDATE(B3426)</f>
        <v>1996-08-29</v>
      </c>
    </row>
    <row r="3427" spans="1:46">
      <c r="A3427">
        <v>109</v>
      </c>
      <c r="B3427" t="str">
        <f>"000488"</f>
        <v>000488</v>
      </c>
      <c r="C3427" t="s">
        <v>683</v>
      </c>
      <c r="D3427" t="str">
        <f>[1]!EM_S_INFO_INDEX_EM(B3427,"1")</f>
        <v>轻工制造</v>
      </c>
      <c r="E3427" s="4">
        <f t="shared" si="53"/>
        <v>43465</v>
      </c>
      <c r="F3427" s="11">
        <f>[1]!EM_S_PQ_PCTCHANGE(B3427,"2018-01-01","2019-12-31","3")</f>
        <v>-49.558116179999999</v>
      </c>
      <c r="G3427" s="11"/>
      <c r="H3427" s="11">
        <f>[1]!EM_S_FA_YOY_OR(B3427,E3427)</f>
        <v>-2.0245935722000001</v>
      </c>
      <c r="I3427" s="11">
        <f>[1]!EM_S_FA_GROSSPROFITMARGIN(B3427,E3427)</f>
        <v>31.271906072</v>
      </c>
      <c r="J3427" s="11">
        <f>[1]!EM_S_FA_NETPROFITMARGIN(B3427,E3427)</f>
        <v>8.8819790787000006</v>
      </c>
      <c r="K3427" s="10">
        <f>[1]!EM_S_FA_ASSETSTURN(B3427,E3427)</f>
        <v>0.27377673041900003</v>
      </c>
      <c r="L3427" s="12">
        <f>[1]!EM_HKS_VAL_MV(B3427,"2019-12-31","2")</f>
        <v>14784455738</v>
      </c>
      <c r="M3427">
        <f>[1]!EM_S_VAL_PETTMDEDUCTED(B3427,E3427)</f>
        <v>5.3274984576019504</v>
      </c>
      <c r="N3427" s="7">
        <f>[1]!EM_S_VAL_PBGOODWILLDEDUCTED(B3427,E3427)</f>
        <v>0.92704154726983101</v>
      </c>
      <c r="O3427" s="7">
        <f>[1]!EM_S_VAL_PS_TTM(B3427,E3427)</f>
        <v>0.51869139658688201</v>
      </c>
      <c r="P3427" s="7">
        <f>[1]!EM_S_VAL_PCF_NCFTTM(B3427,E3427)</f>
        <v>19.872235189965998</v>
      </c>
      <c r="Q3427" s="7">
        <f>[1]!EM_S_VAL_DIVIDENDYIELD2(B3427,E3427,"2019-11-29")</f>
        <v>5.07399577167019</v>
      </c>
      <c r="T3427"/>
      <c r="U3427">
        <f>[1]!EM_S_RATIO_EPS_TTM(B3427,E3427,"1")</f>
        <v>0.86408516593391138</v>
      </c>
      <c r="AT3427" s="4" t="str">
        <f>[1]!EM_S_IPO_LISTEDDATE(B3427)</f>
        <v>2000-11-20</v>
      </c>
    </row>
    <row r="3428" spans="1:46">
      <c r="A3428">
        <v>111</v>
      </c>
      <c r="B3428" t="str">
        <f>"000501"</f>
        <v>000501</v>
      </c>
      <c r="C3428" t="s">
        <v>520</v>
      </c>
      <c r="D3428" t="str">
        <f>[1]!EM_S_INFO_INDEX_EM(B3428,"1")</f>
        <v>商贸零售</v>
      </c>
      <c r="E3428" s="4">
        <f t="shared" si="53"/>
        <v>43465</v>
      </c>
      <c r="F3428" s="11">
        <f>[1]!EM_S_PQ_PCTCHANGE(B3428,"2018-01-01","2019-12-31","3")</f>
        <v>-14.68548436</v>
      </c>
      <c r="G3428" s="11"/>
      <c r="H3428" s="11">
        <f>[1]!EM_S_FA_YOY_OR(B3428,E3428)</f>
        <v>-2.2985089196000001</v>
      </c>
      <c r="I3428" s="11">
        <f>[1]!EM_S_FA_GROSSPROFITMARGIN(B3428,E3428)</f>
        <v>22.3236176622</v>
      </c>
      <c r="J3428" s="11">
        <f>[1]!EM_S_FA_NETPROFITMARGIN(B3428,E3428)</f>
        <v>5.9300366823999999</v>
      </c>
      <c r="K3428" s="10">
        <f>[1]!EM_S_FA_ASSETSTURN(B3428,E3428)</f>
        <v>0.86565822230699996</v>
      </c>
      <c r="L3428" s="12">
        <f>[1]!EM_HKS_VAL_MV(B3428,"2019-12-31","2")</f>
        <v>10212223467.68</v>
      </c>
      <c r="M3428">
        <f>[1]!EM_S_VAL_PETTMDEDUCTED(B3428,E3428)</f>
        <v>6.4643677678153901</v>
      </c>
      <c r="N3428" s="7">
        <f>[1]!EM_S_VAL_PBGOODWILLDEDUCTED(B3428,E3428)</f>
        <v>0.88373946653556601</v>
      </c>
      <c r="O3428" s="7">
        <f>[1]!EM_S_VAL_PS_TTM(B3428,E3428)</f>
        <v>0.40415190290472502</v>
      </c>
      <c r="P3428" s="7">
        <f>[1]!EM_S_VAL_PCF_NCFTTM(B3428,E3428)</f>
        <v>13.242534402497199</v>
      </c>
      <c r="Q3428" s="7">
        <f>[1]!EM_S_VAL_DIVIDENDYIELD2(B3428,E3428,"2019-11-29")</f>
        <v>1.8450184501845022</v>
      </c>
      <c r="T3428"/>
      <c r="U3428">
        <f>[1]!EM_S_RATIO_EPS_TTM(B3428,E3428,"1")</f>
        <v>1.3653526240549079</v>
      </c>
      <c r="AT3428" s="4" t="str">
        <f>[1]!EM_S_IPO_LISTEDDATE(B3428)</f>
        <v>1992-11-20</v>
      </c>
    </row>
    <row r="3429" spans="1:46">
      <c r="A3429">
        <v>112</v>
      </c>
      <c r="B3429" t="str">
        <f>"000502"</f>
        <v>000502</v>
      </c>
      <c r="C3429" t="s">
        <v>3642</v>
      </c>
      <c r="D3429" t="str">
        <f>[1]!EM_S_INFO_INDEX_EM(B3429,"1")</f>
        <v>房地产</v>
      </c>
      <c r="E3429" s="4">
        <f t="shared" si="53"/>
        <v>43465</v>
      </c>
      <c r="F3429" s="11">
        <f>[1]!EM_S_PQ_PCTCHANGE(B3429,"2018-01-01","2019-12-31","3")</f>
        <v>-35.358114229999998</v>
      </c>
      <c r="G3429" s="11"/>
      <c r="H3429" s="11">
        <f>[1]!EM_S_FA_YOY_OR(B3429,E3429)</f>
        <v>-21.064303092599999</v>
      </c>
      <c r="I3429" s="11">
        <f>[1]!EM_S_FA_GROSSPROFITMARGIN(B3429,E3429)</f>
        <v>14.805873761300001</v>
      </c>
      <c r="J3429" s="11">
        <f>[1]!EM_S_FA_NETPROFITMARGIN(B3429,E3429)</f>
        <v>438.21328491029999</v>
      </c>
      <c r="K3429" s="10">
        <f>[1]!EM_S_FA_ASSETSTURN(B3429,E3429)</f>
        <v>3.7266750085000001E-2</v>
      </c>
      <c r="L3429" s="12">
        <f>[1]!EM_HKS_VAL_MV(B3429,"2019-12-31","2")</f>
        <v>1317763797.9100001</v>
      </c>
      <c r="M3429">
        <f>[1]!EM_S_VAL_PETTMDEDUCTED(B3429,E3429)</f>
        <v>-21.190788472571899</v>
      </c>
      <c r="N3429" s="7">
        <f>[1]!EM_S_VAL_PBGOODWILLDEDUCTED(B3429,E3429)</f>
        <v>6.8030307795171998</v>
      </c>
      <c r="O3429" s="7">
        <f>[1]!EM_S_VAL_PS_TTM(B3429,E3429)</f>
        <v>81.361498690574706</v>
      </c>
      <c r="P3429" s="7">
        <f>[1]!EM_S_VAL_PCF_NCFTTM(B3429,E3429)</f>
        <v>-161.56254438392401</v>
      </c>
      <c r="Q3429" s="7">
        <f>[1]!EM_S_VAL_DIVIDENDYIELD2(B3429,E3429,"2019-11-29")</f>
        <v>0</v>
      </c>
      <c r="T3429"/>
      <c r="U3429">
        <f>[1]!EM_S_RATIO_EPS_TTM(B3429,E3429,"1")</f>
        <v>0.41901133487422682</v>
      </c>
      <c r="AT3429" s="4" t="str">
        <f>[1]!EM_S_IPO_LISTEDDATE(B3429)</f>
        <v>1992-11-23</v>
      </c>
    </row>
    <row r="3430" spans="1:46">
      <c r="A3430">
        <v>113</v>
      </c>
      <c r="B3430" t="str">
        <f>"000503"</f>
        <v>000503</v>
      </c>
      <c r="C3430" t="s">
        <v>3603</v>
      </c>
      <c r="D3430" t="str">
        <f>[1]!EM_S_INFO_INDEX_EM(B3430,"1")</f>
        <v>医药生物</v>
      </c>
      <c r="E3430" s="4">
        <f t="shared" si="53"/>
        <v>43465</v>
      </c>
      <c r="F3430" s="11">
        <f>[1]!EM_S_PQ_PCTCHANGE(B3430,"2018-01-01","2019-12-31","3")</f>
        <v>-60.333642259999998</v>
      </c>
      <c r="G3430" s="11"/>
      <c r="H3430" s="11">
        <f>[1]!EM_S_FA_YOY_OR(B3430,E3430)</f>
        <v>-48.106910985799999</v>
      </c>
      <c r="I3430" s="11">
        <f>[1]!EM_S_FA_GROSSPROFITMARGIN(B3430,E3430)</f>
        <v>-62.920792820400003</v>
      </c>
      <c r="J3430" s="11">
        <f>[1]!EM_S_FA_NETPROFITMARGIN(B3430,E3430)</f>
        <v>-197.6448708787</v>
      </c>
      <c r="K3430" s="10">
        <f>[1]!EM_S_FA_ASSETSTURN(B3430,E3430)</f>
        <v>6.9976687443999999E-2</v>
      </c>
      <c r="L3430" s="12">
        <f>[1]!EM_HKS_VAL_MV(B3430,"2019-12-31","2")</f>
        <v>15387836132.48</v>
      </c>
      <c r="M3430">
        <f>[1]!EM_S_VAL_PETTMDEDUCTED(B3430,E3430)</f>
        <v>-64.658043676415502</v>
      </c>
      <c r="N3430" s="7">
        <f>[1]!EM_S_VAL_PBGOODWILLDEDUCTED(B3430,E3430)</f>
        <v>11.7650811809318</v>
      </c>
      <c r="O3430" s="7">
        <f>[1]!EM_S_VAL_PS_TTM(B3430,E3430)</f>
        <v>120.45981847421</v>
      </c>
      <c r="P3430" s="7">
        <f>[1]!EM_S_VAL_PCF_NCFTTM(B3430,E3430)</f>
        <v>128.73203046749899</v>
      </c>
      <c r="Q3430" s="7">
        <f>[1]!EM_S_VAL_DIVIDENDYIELD2(B3430,E3430,"2019-11-29")</f>
        <v>0</v>
      </c>
      <c r="T3430"/>
      <c r="U3430">
        <f>[1]!EM_S_RATIO_EPS_TTM(B3430,E3430,"1")</f>
        <v>-0.20889545050669442</v>
      </c>
      <c r="AT3430" s="4" t="str">
        <f>[1]!EM_S_IPO_LISTEDDATE(B3430)</f>
        <v>1992-11-30</v>
      </c>
    </row>
    <row r="3431" spans="1:46">
      <c r="A3431">
        <v>114</v>
      </c>
      <c r="B3431" t="str">
        <f>"000504"</f>
        <v>000504</v>
      </c>
      <c r="C3431" t="s">
        <v>3663</v>
      </c>
      <c r="D3431" t="str">
        <f>[1]!EM_S_INFO_INDEX_EM(B3431,"1")</f>
        <v>公用事业</v>
      </c>
      <c r="E3431" s="4">
        <f t="shared" si="53"/>
        <v>43465</v>
      </c>
      <c r="F3431" s="11">
        <f>[1]!EM_S_PQ_PCTCHANGE(B3431,"2018-01-01","2019-12-31","3")</f>
        <v>-65.617021280000003</v>
      </c>
      <c r="G3431" s="11"/>
      <c r="H3431" s="11">
        <f>[1]!EM_S_FA_YOY_OR(B3431,E3431)</f>
        <v>41.530617588699997</v>
      </c>
      <c r="I3431" s="11">
        <f>[1]!EM_S_FA_GROSSPROFITMARGIN(B3431,E3431)</f>
        <v>65.811140661699994</v>
      </c>
      <c r="J3431" s="11">
        <f>[1]!EM_S_FA_NETPROFITMARGIN(B3431,E3431)</f>
        <v>-39.892317212099996</v>
      </c>
      <c r="K3431" s="10">
        <f>[1]!EM_S_FA_ASSETSTURN(B3431,E3431)</f>
        <v>0.25520815289900001</v>
      </c>
      <c r="L3431" s="12">
        <f>[1]!EM_HKS_VAL_MV(B3431,"2019-12-31","2")</f>
        <v>2517517120.0799999</v>
      </c>
      <c r="M3431">
        <f>[1]!EM_S_VAL_PETTMDEDUCTED(B3431,E3431)</f>
        <v>-100.00044612845601</v>
      </c>
      <c r="N3431" s="7">
        <f>[1]!EM_S_VAL_PBGOODWILLDEDUCTED(B3431,E3431)</f>
        <v>-63.242028893948302</v>
      </c>
      <c r="O3431" s="7">
        <f>[1]!EM_S_VAL_PS_TTM(B3431,E3431)</f>
        <v>36.802319547237502</v>
      </c>
      <c r="P3431" s="7">
        <f>[1]!EM_S_VAL_PCF_NCFTTM(B3431,E3431)</f>
        <v>1700.8783024045099</v>
      </c>
      <c r="Q3431" s="7">
        <f>[1]!EM_S_VAL_DIVIDENDYIELD2(B3431,E3431,"2019-11-29")</f>
        <v>0</v>
      </c>
      <c r="T3431"/>
      <c r="U3431">
        <f>[1]!EM_S_RATIO_EPS_TTM(B3431,E3431,"1")</f>
        <v>-0.11293725237275248</v>
      </c>
      <c r="AT3431" s="4" t="str">
        <f>[1]!EM_S_IPO_LISTEDDATE(B3431)</f>
        <v>1992-12-08</v>
      </c>
    </row>
    <row r="3432" spans="1:46">
      <c r="A3432">
        <v>115</v>
      </c>
      <c r="B3432" t="str">
        <f>"000505"</f>
        <v>000505</v>
      </c>
      <c r="C3432" t="s">
        <v>1809</v>
      </c>
      <c r="D3432" t="str">
        <f>[1]!EM_S_INFO_INDEX_EM(B3432,"1")</f>
        <v>农林牧渔</v>
      </c>
      <c r="E3432" s="4">
        <f t="shared" si="53"/>
        <v>43465</v>
      </c>
      <c r="F3432" s="11">
        <f>[1]!EM_S_PQ_PCTCHANGE(B3432,"2018-01-01","2019-12-31","3")</f>
        <v>-34.367541770000003</v>
      </c>
      <c r="G3432" s="11"/>
      <c r="H3432" s="11">
        <f>[1]!EM_S_FA_YOY_OR(B3432,E3432)</f>
        <v>-6.4225552324999997</v>
      </c>
      <c r="I3432" s="11">
        <f>[1]!EM_S_FA_GROSSPROFITMARGIN(B3432,E3432)</f>
        <v>8.9593461806000008</v>
      </c>
      <c r="J3432" s="11">
        <f>[1]!EM_S_FA_NETPROFITMARGIN(B3432,E3432)</f>
        <v>2.8495421847000002</v>
      </c>
      <c r="K3432" s="10">
        <f>[1]!EM_S_FA_ASSETSTURN(B3432,E3432)</f>
        <v>1.3471707219069999</v>
      </c>
      <c r="L3432" s="12">
        <f>[1]!EM_HKS_VAL_MV(B3432,"2019-12-31","2")</f>
        <v>3771847002</v>
      </c>
      <c r="M3432">
        <f>[1]!EM_S_VAL_PETTMDEDUCTED(B3432,E3432)</f>
        <v>22.276184385634</v>
      </c>
      <c r="N3432" s="7">
        <f>[1]!EM_S_VAL_PBGOODWILLDEDUCTED(B3432,E3432)</f>
        <v>1.81904155037547</v>
      </c>
      <c r="O3432" s="7">
        <f>[1]!EM_S_VAL_PS_TTM(B3432,E3432)</f>
        <v>0.47666258215821</v>
      </c>
      <c r="P3432" s="7">
        <f>[1]!EM_S_VAL_PCF_NCFTTM(B3432,E3432)</f>
        <v>51.824997979505497</v>
      </c>
      <c r="Q3432" s="7">
        <f>[1]!EM_S_VAL_DIVIDENDYIELD2(B3432,E3432,"2019-11-29")</f>
        <v>0</v>
      </c>
      <c r="T3432"/>
      <c r="U3432">
        <f>[1]!EM_S_RATIO_EPS_TTM(B3432,E3432,"1")</f>
        <v>0.2449095087460284</v>
      </c>
      <c r="AT3432" s="4" t="str">
        <f>[1]!EM_S_IPO_LISTEDDATE(B3432)</f>
        <v>1992-12-21</v>
      </c>
    </row>
    <row r="3433" spans="1:46">
      <c r="A3433">
        <v>116</v>
      </c>
      <c r="B3433" t="str">
        <f>"000506"</f>
        <v>000506</v>
      </c>
      <c r="C3433" t="s">
        <v>3612</v>
      </c>
      <c r="D3433" t="str">
        <f>[1]!EM_S_INFO_INDEX_EM(B3433,"1")</f>
        <v>有色金属</v>
      </c>
      <c r="E3433" s="4">
        <f t="shared" si="53"/>
        <v>43465</v>
      </c>
      <c r="F3433" s="11">
        <f>[1]!EM_S_PQ_PCTCHANGE(B3433,"2018-01-01","2019-12-31","3")</f>
        <v>-60.922659430000003</v>
      </c>
      <c r="G3433" s="11"/>
      <c r="H3433" s="11">
        <f>[1]!EM_S_FA_YOY_OR(B3433,E3433)</f>
        <v>-35.447705987699997</v>
      </c>
      <c r="I3433" s="11">
        <f>[1]!EM_S_FA_GROSSPROFITMARGIN(B3433,E3433)</f>
        <v>5.9650131456000004</v>
      </c>
      <c r="J3433" s="11">
        <f>[1]!EM_S_FA_NETPROFITMARGIN(B3433,E3433)</f>
        <v>6.0135021674000004</v>
      </c>
      <c r="K3433" s="10">
        <f>[1]!EM_S_FA_ASSETSTURN(B3433,E3433)</f>
        <v>0.195451474638</v>
      </c>
      <c r="L3433" s="12">
        <f>[1]!EM_HKS_VAL_MV(B3433,"2019-12-31","2")</f>
        <v>2675571151.6799998</v>
      </c>
      <c r="M3433">
        <f>[1]!EM_S_VAL_PETTMDEDUCTED(B3433,E3433)</f>
        <v>-7.0928528131008601</v>
      </c>
      <c r="N3433" s="7">
        <f>[1]!EM_S_VAL_PBGOODWILLDEDUCTED(B3433,E3433)</f>
        <v>2.3744772080793899</v>
      </c>
      <c r="O3433" s="7">
        <f>[1]!EM_S_VAL_PS_TTM(B3433,E3433)</f>
        <v>5.02404259321826</v>
      </c>
      <c r="P3433" s="7">
        <f>[1]!EM_S_VAL_PCF_NCFTTM(B3433,E3433)</f>
        <v>-53.2468821577528</v>
      </c>
      <c r="Q3433" s="7">
        <f>[1]!EM_S_VAL_DIVIDENDYIELD2(B3433,E3433,"2019-11-29")</f>
        <v>0</v>
      </c>
      <c r="T3433"/>
      <c r="U3433">
        <f>[1]!EM_S_RATIO_EPS_TTM(B3433,E3433,"1")</f>
        <v>4.541338466402043E-2</v>
      </c>
      <c r="AT3433" s="4" t="str">
        <f>[1]!EM_S_IPO_LISTEDDATE(B3433)</f>
        <v>1993-03-12</v>
      </c>
    </row>
    <row r="3434" spans="1:46">
      <c r="A3434">
        <v>118</v>
      </c>
      <c r="B3434" t="str">
        <f>"000508"</f>
        <v>000508</v>
      </c>
      <c r="C3434" t="s">
        <v>3189</v>
      </c>
      <c r="D3434">
        <f>[1]!EM_S_INFO_INDEX_EM(B3434,"1")</f>
        <v>0</v>
      </c>
      <c r="E3434" s="4">
        <f t="shared" si="53"/>
        <v>43465</v>
      </c>
      <c r="F3434" s="11">
        <f>[1]!EM_S_PQ_PCTCHANGE(B3434,"2018-01-01","2019-12-31","3")</f>
        <v>0</v>
      </c>
      <c r="G3434" s="11"/>
      <c r="H3434" s="11">
        <f>[1]!EM_S_FA_YOY_OR(B3434,E3434)</f>
        <v>0</v>
      </c>
      <c r="I3434" s="11">
        <f>[1]!EM_S_FA_GROSSPROFITMARGIN(B3434,E3434)</f>
        <v>0</v>
      </c>
      <c r="J3434" s="11">
        <f>[1]!EM_S_FA_NETPROFITMARGIN(B3434,E3434)</f>
        <v>0</v>
      </c>
      <c r="K3434" s="10">
        <f>[1]!EM_S_FA_ASSETSTURN(B3434,E3434)</f>
        <v>0</v>
      </c>
      <c r="L3434" s="12">
        <f>[1]!EM_HKS_VAL_MV(B3434,"2019-12-31","2")</f>
        <v>13144163058</v>
      </c>
      <c r="M3434">
        <f>[1]!EM_S_VAL_PETTMDEDUCTED(B3434,E3434)</f>
        <v>0</v>
      </c>
      <c r="N3434" s="7">
        <f>[1]!EM_S_VAL_PBGOODWILLDEDUCTED(B3434,E3434)</f>
        <v>6.9912049191167798</v>
      </c>
      <c r="O3434" s="7">
        <f>[1]!EM_S_VAL_PS_TTM(B3434,E3434)</f>
        <v>0</v>
      </c>
      <c r="P3434" s="7">
        <f>[1]!EM_S_VAL_PCF_NCFTTM(B3434,E3434)</f>
        <v>0</v>
      </c>
      <c r="Q3434" s="7">
        <f>[1]!EM_S_VAL_DIVIDENDYIELD2(B3434,E3434,"2019-11-29")</f>
        <v>0</v>
      </c>
      <c r="T3434"/>
      <c r="U3434">
        <f>[1]!EM_S_RATIO_EPS_TTM(B3434,E3434,"1")</f>
        <v>0.86726715182994196</v>
      </c>
      <c r="AT3434" s="4" t="str">
        <f>[1]!EM_S_IPO_LISTEDDATE(B3434)</f>
        <v>1993-04-30</v>
      </c>
    </row>
    <row r="3435" spans="1:46">
      <c r="A3435">
        <v>119</v>
      </c>
      <c r="B3435" t="str">
        <f>"000509"</f>
        <v>000509</v>
      </c>
      <c r="C3435" t="s">
        <v>3649</v>
      </c>
      <c r="D3435" t="str">
        <f>[1]!EM_S_INFO_INDEX_EM(B3435,"1")</f>
        <v>建材</v>
      </c>
      <c r="E3435" s="4">
        <f t="shared" si="53"/>
        <v>43465</v>
      </c>
      <c r="F3435" s="11">
        <f>[1]!EM_S_PQ_PCTCHANGE(B3435,"2018-01-01","2019-12-31","3")</f>
        <v>-60.784313730000001</v>
      </c>
      <c r="G3435" s="11"/>
      <c r="H3435" s="11">
        <f>[1]!EM_S_FA_YOY_OR(B3435,E3435)</f>
        <v>-46.043588721900001</v>
      </c>
      <c r="I3435" s="11">
        <f>[1]!EM_S_FA_GROSSPROFITMARGIN(B3435,E3435)</f>
        <v>2.2270012502999998</v>
      </c>
      <c r="J3435" s="11">
        <f>[1]!EM_S_FA_NETPROFITMARGIN(B3435,E3435)</f>
        <v>-4.2096671444</v>
      </c>
      <c r="K3435" s="10">
        <f>[1]!EM_S_FA_ASSETSTURN(B3435,E3435)</f>
        <v>4.7259670187019998</v>
      </c>
      <c r="L3435" s="12">
        <f>[1]!EM_HKS_VAL_MV(B3435,"2019-12-31","2")</f>
        <v>1981159480.8</v>
      </c>
      <c r="M3435">
        <f>[1]!EM_S_VAL_PETTMDEDUCTED(B3435,E3435)</f>
        <v>-59.509696070483898</v>
      </c>
      <c r="N3435" s="7">
        <f>[1]!EM_S_VAL_PBGOODWILLDEDUCTED(B3435,E3435)</f>
        <v>213.01694806905101</v>
      </c>
      <c r="O3435" s="7">
        <f>[1]!EM_S_VAL_PS_TTM(B3435,E3435)</f>
        <v>1.1635607115634601</v>
      </c>
      <c r="P3435" s="7">
        <f>[1]!EM_S_VAL_PCF_NCFTTM(B3435,E3435)</f>
        <v>-79.141665480405095</v>
      </c>
      <c r="Q3435" s="7">
        <f>[1]!EM_S_VAL_DIVIDENDYIELD2(B3435,E3435,"2019-11-29")</f>
        <v>0</v>
      </c>
      <c r="T3435"/>
      <c r="U3435">
        <f>[1]!EM_S_RATIO_EPS_TTM(B3435,E3435,"1")</f>
        <v>-6.5078129284138947E-2</v>
      </c>
      <c r="AT3435" s="4" t="str">
        <f>[1]!EM_S_IPO_LISTEDDATE(B3435)</f>
        <v>1993-05-07</v>
      </c>
    </row>
    <row r="3436" spans="1:46">
      <c r="A3436">
        <v>121</v>
      </c>
      <c r="B3436" t="str">
        <f>"000511"</f>
        <v>000511</v>
      </c>
      <c r="C3436" t="s">
        <v>800</v>
      </c>
      <c r="D3436">
        <f>[1]!EM_S_INFO_INDEX_EM(B3436,"1")</f>
        <v>0</v>
      </c>
      <c r="E3436" s="4">
        <f t="shared" si="53"/>
        <v>43465</v>
      </c>
      <c r="F3436" s="11">
        <f>[1]!EM_S_PQ_PCTCHANGE(B3436,"2018-01-01","2019-12-31","3")</f>
        <v>-88.42504744</v>
      </c>
      <c r="G3436" s="11"/>
      <c r="H3436" s="11">
        <f>[1]!EM_S_FA_YOY_OR(B3436,E3436)</f>
        <v>-39.633429724800003</v>
      </c>
      <c r="I3436" s="11">
        <f>[1]!EM_S_FA_GROSSPROFITMARGIN(B3436,E3436)</f>
        <v>12.3182135132</v>
      </c>
      <c r="J3436" s="11">
        <f>[1]!EM_S_FA_NETPROFITMARGIN(B3436,E3436)</f>
        <v>-16.0155564497</v>
      </c>
      <c r="K3436" s="10">
        <f>[1]!EM_S_FA_ASSETSTURN(B3436,E3436)</f>
        <v>0.44156592784799997</v>
      </c>
      <c r="L3436" s="12">
        <f>[1]!EM_HKS_VAL_MV(B3436,"2019-12-31","2")</f>
        <v>704447526.71000004</v>
      </c>
      <c r="M3436">
        <f>[1]!EM_S_VAL_PETTMDEDUCTED(B3436,E3436)</f>
        <v>3.32933225563887</v>
      </c>
      <c r="N3436" s="7">
        <f>[1]!EM_S_VAL_PBGOODWILLDEDUCTED(B3436,E3436)</f>
        <v>0.89184269712559106</v>
      </c>
      <c r="O3436" s="7">
        <f>[1]!EM_S_VAL_PS_TTM(B3436,E3436)</f>
        <v>0.24619725121033501</v>
      </c>
      <c r="P3436" s="7">
        <f>[1]!EM_S_VAL_PCF_NCFTTM(B3436,E3436)</f>
        <v>-42.241240197980098</v>
      </c>
      <c r="Q3436" s="7">
        <f>[1]!EM_S_VAL_DIVIDENDYIELD2(B3436,E3436,"2019-11-29")</f>
        <v>0</v>
      </c>
      <c r="T3436"/>
      <c r="U3436">
        <f>[1]!EM_S_RATIO_EPS_TTM(B3436,E3436,"1")</f>
        <v>-0.19686554920930399</v>
      </c>
      <c r="AT3436" s="4" t="str">
        <f>[1]!EM_S_IPO_LISTEDDATE(B3436)</f>
        <v>1993-05-18</v>
      </c>
    </row>
    <row r="3437" spans="1:46">
      <c r="A3437">
        <v>123</v>
      </c>
      <c r="B3437" t="str">
        <f>"000514"</f>
        <v>000514</v>
      </c>
      <c r="C3437" t="s">
        <v>2982</v>
      </c>
      <c r="D3437" t="str">
        <f>[1]!EM_S_INFO_INDEX_EM(B3437,"1")</f>
        <v>房地产</v>
      </c>
      <c r="E3437" s="4">
        <f t="shared" si="53"/>
        <v>43465</v>
      </c>
      <c r="F3437" s="11">
        <f>[1]!EM_S_PQ_PCTCHANGE(B3437,"2018-01-01","2019-12-31","3")</f>
        <v>-22.783106549999999</v>
      </c>
      <c r="G3437" s="11"/>
      <c r="H3437" s="11">
        <f>[1]!EM_S_FA_YOY_OR(B3437,E3437)</f>
        <v>-48.1156755055</v>
      </c>
      <c r="I3437" s="11">
        <f>[1]!EM_S_FA_GROSSPROFITMARGIN(B3437,E3437)</f>
        <v>23.760308329499999</v>
      </c>
      <c r="J3437" s="11">
        <f>[1]!EM_S_FA_NETPROFITMARGIN(B3437,E3437)</f>
        <v>8.0551878992999999</v>
      </c>
      <c r="K3437" s="10">
        <f>[1]!EM_S_FA_ASSETSTURN(B3437,E3437)</f>
        <v>8.3870453117000004E-2</v>
      </c>
      <c r="L3437" s="12">
        <f>[1]!EM_HKS_VAL_MV(B3437,"2019-12-31","2")</f>
        <v>3974161245.1500001</v>
      </c>
      <c r="M3437">
        <f>[1]!EM_S_VAL_PETTMDEDUCTED(B3437,E3437)</f>
        <v>102.423152891819</v>
      </c>
      <c r="N3437" s="7">
        <f>[1]!EM_S_VAL_PBGOODWILLDEDUCTED(B3437,E3437)</f>
        <v>1.0290658696995301</v>
      </c>
      <c r="O3437" s="7">
        <f>[1]!EM_S_VAL_PS_TTM(B3437,E3437)</f>
        <v>4.4399944066881103</v>
      </c>
      <c r="P3437" s="7">
        <f>[1]!EM_S_VAL_PCF_NCFTTM(B3437,E3437)</f>
        <v>-3.5551056827737102</v>
      </c>
      <c r="Q3437" s="7">
        <f>[1]!EM_S_VAL_DIVIDENDYIELD2(B3437,E3437,"2019-11-29")</f>
        <v>0</v>
      </c>
      <c r="T3437"/>
      <c r="U3437">
        <f>[1]!EM_S_RATIO_EPS_TTM(B3437,E3437,"1")</f>
        <v>2.9843082488622965E-2</v>
      </c>
      <c r="AT3437" s="4" t="str">
        <f>[1]!EM_S_IPO_LISTEDDATE(B3437)</f>
        <v>1993-07-12</v>
      </c>
    </row>
    <row r="3438" spans="1:46">
      <c r="A3438">
        <v>124</v>
      </c>
      <c r="B3438" t="str">
        <f>"000515"</f>
        <v>000515</v>
      </c>
      <c r="C3438" t="s">
        <v>3188</v>
      </c>
      <c r="D3438">
        <f>[1]!EM_S_INFO_INDEX_EM(B3438,"1")</f>
        <v>0</v>
      </c>
      <c r="E3438" s="4">
        <f t="shared" si="53"/>
        <v>43465</v>
      </c>
      <c r="F3438" s="11">
        <f>[1]!EM_S_PQ_PCTCHANGE(B3438,"2018-01-01","2019-12-31","3")</f>
        <v>0</v>
      </c>
      <c r="G3438" s="11"/>
      <c r="H3438" s="11">
        <f>[1]!EM_S_FA_YOY_OR(B3438,E3438)</f>
        <v>0</v>
      </c>
      <c r="I3438" s="11">
        <f>[1]!EM_S_FA_GROSSPROFITMARGIN(B3438,E3438)</f>
        <v>0</v>
      </c>
      <c r="J3438" s="11">
        <f>[1]!EM_S_FA_NETPROFITMARGIN(B3438,E3438)</f>
        <v>0</v>
      </c>
      <c r="K3438" s="10">
        <f>[1]!EM_S_FA_ASSETSTURN(B3438,E3438)</f>
        <v>0</v>
      </c>
      <c r="L3438" s="12">
        <f>[1]!EM_HKS_VAL_MV(B3438,"2019-12-31","2")</f>
        <v>2862402491.52</v>
      </c>
      <c r="M3438">
        <f>[1]!EM_S_VAL_PETTMDEDUCTED(B3438,E3438)</f>
        <v>-26.9975999843026</v>
      </c>
      <c r="N3438" s="7">
        <f>[1]!EM_S_VAL_PBGOODWILLDEDUCTED(B3438,E3438)</f>
        <v>11.368590290394399</v>
      </c>
      <c r="O3438" s="7">
        <f>[1]!EM_S_VAL_PS_TTM(B3438,E3438)</f>
        <v>4.2328614911479097</v>
      </c>
      <c r="P3438" s="7">
        <f>[1]!EM_S_VAL_PCF_NCFTTM(B3438,E3438)</f>
        <v>-129.243507938742</v>
      </c>
      <c r="Q3438" s="7">
        <f>[1]!EM_S_VAL_DIVIDENDYIELD2(B3438,E3438,"2019-11-29")</f>
        <v>0</v>
      </c>
      <c r="T3438"/>
      <c r="U3438">
        <f>[1]!EM_S_RATIO_EPS_TTM(B3438,E3438,"1")</f>
        <v>-0.53325398570595639</v>
      </c>
      <c r="AT3438" s="4" t="str">
        <f>[1]!EM_S_IPO_LISTEDDATE(B3438)</f>
        <v>1993-07-12</v>
      </c>
    </row>
    <row r="3439" spans="1:46">
      <c r="A3439">
        <v>125</v>
      </c>
      <c r="B3439" t="str">
        <f>"000516"</f>
        <v>000516</v>
      </c>
      <c r="C3439" t="s">
        <v>1467</v>
      </c>
      <c r="D3439" t="str">
        <f>[1]!EM_S_INFO_INDEX_EM(B3439,"1")</f>
        <v>医药生物</v>
      </c>
      <c r="E3439" s="4">
        <f t="shared" si="53"/>
        <v>43465</v>
      </c>
      <c r="F3439" s="11">
        <f>[1]!EM_S_PQ_PCTCHANGE(B3439,"2018-01-01","2019-12-31","3")</f>
        <v>0.92203932</v>
      </c>
      <c r="G3439" s="11"/>
      <c r="H3439" s="11">
        <f>[1]!EM_S_FA_YOY_OR(B3439,E3439)</f>
        <v>-49.765205276000003</v>
      </c>
      <c r="I3439" s="11">
        <f>[1]!EM_S_FA_GROSSPROFITMARGIN(B3439,E3439)</f>
        <v>22.1037511241</v>
      </c>
      <c r="J3439" s="11">
        <f>[1]!EM_S_FA_NETPROFITMARGIN(B3439,E3439)</f>
        <v>109.9996921696</v>
      </c>
      <c r="K3439" s="10">
        <f>[1]!EM_S_FA_ASSETSTURN(B3439,E3439)</f>
        <v>0.31042761262700003</v>
      </c>
      <c r="L3439" s="12">
        <f>[1]!EM_HKS_VAL_MV(B3439,"2019-12-31","2")</f>
        <v>9559589114.7000008</v>
      </c>
      <c r="M3439">
        <f>[1]!EM_S_VAL_PETTMDEDUCTED(B3439,E3439)</f>
        <v>157.84620661648401</v>
      </c>
      <c r="N3439" s="7">
        <f>[1]!EM_S_VAL_PBGOODWILLDEDUCTED(B3439,E3439)</f>
        <v>1.7036222478252701</v>
      </c>
      <c r="O3439" s="7">
        <f>[1]!EM_S_VAL_PS_TTM(B3439,E3439)</f>
        <v>3.2820390945695599</v>
      </c>
      <c r="P3439" s="7">
        <f>[1]!EM_S_VAL_PCF_NCFTTM(B3439,E3439)</f>
        <v>15.751842561603</v>
      </c>
      <c r="Q3439" s="7">
        <f>[1]!EM_S_VAL_DIVIDENDYIELD2(B3439,E3439,"2019-11-29")</f>
        <v>1.8989234135667399</v>
      </c>
      <c r="T3439"/>
      <c r="U3439">
        <f>[1]!EM_S_RATIO_EPS_TTM(B3439,E3439,"1")</f>
        <v>1.1081886625076411</v>
      </c>
      <c r="AT3439" s="4" t="str">
        <f>[1]!EM_S_IPO_LISTEDDATE(B3439)</f>
        <v>1993-08-09</v>
      </c>
    </row>
    <row r="3440" spans="1:46">
      <c r="A3440">
        <v>126</v>
      </c>
      <c r="B3440" t="str">
        <f>"000517"</f>
        <v>000517</v>
      </c>
      <c r="C3440" t="s">
        <v>3370</v>
      </c>
      <c r="D3440" t="str">
        <f>[1]!EM_S_INFO_INDEX_EM(B3440,"1")</f>
        <v>房地产</v>
      </c>
      <c r="E3440" s="4">
        <f t="shared" si="53"/>
        <v>43465</v>
      </c>
      <c r="F3440" s="11">
        <f>[1]!EM_S_PQ_PCTCHANGE(B3440,"2018-01-01","2019-12-31","3")</f>
        <v>-17.819753939999998</v>
      </c>
      <c r="G3440" s="11"/>
      <c r="H3440" s="11">
        <f>[1]!EM_S_FA_YOY_OR(B3440,E3440)</f>
        <v>-6.9519526652000003</v>
      </c>
      <c r="I3440" s="11">
        <f>[1]!EM_S_FA_GROSSPROFITMARGIN(B3440,E3440)</f>
        <v>34.147141861999998</v>
      </c>
      <c r="J3440" s="11">
        <f>[1]!EM_S_FA_NETPROFITMARGIN(B3440,E3440)</f>
        <v>13.8150278481</v>
      </c>
      <c r="K3440" s="10">
        <f>[1]!EM_S_FA_ASSETSTURN(B3440,E3440)</f>
        <v>0.211551954934</v>
      </c>
      <c r="L3440" s="12">
        <f>[1]!EM_HKS_VAL_MV(B3440,"2019-12-31","2")</f>
        <v>8787626058.6000004</v>
      </c>
      <c r="M3440">
        <f>[1]!EM_S_VAL_PETTMDEDUCTED(B3440,E3440)</f>
        <v>17.4251087436745</v>
      </c>
      <c r="N3440" s="7">
        <f>[1]!EM_S_VAL_PBGOODWILLDEDUCTED(B3440,E3440)</f>
        <v>1.55138506488703</v>
      </c>
      <c r="O3440" s="7">
        <f>[1]!EM_S_VAL_PS_TTM(B3440,E3440)</f>
        <v>2.7250491449784202</v>
      </c>
      <c r="P3440" s="7">
        <f>[1]!EM_S_VAL_PCF_NCFTTM(B3440,E3440)</f>
        <v>7.5928305796224498</v>
      </c>
      <c r="Q3440" s="7">
        <f>[1]!EM_S_VAL_DIVIDENDYIELD2(B3440,E3440,"2019-11-29")</f>
        <v>0</v>
      </c>
      <c r="T3440"/>
      <c r="U3440">
        <f>[1]!EM_S_RATIO_EPS_TTM(B3440,E3440,"1")</f>
        <v>0.19111115245319799</v>
      </c>
      <c r="AT3440" s="4" t="str">
        <f>[1]!EM_S_IPO_LISTEDDATE(B3440)</f>
        <v>1993-08-06</v>
      </c>
    </row>
    <row r="3441" spans="1:46">
      <c r="A3441">
        <v>127</v>
      </c>
      <c r="B3441" t="str">
        <f>"000518"</f>
        <v>000518</v>
      </c>
      <c r="C3441" t="s">
        <v>2625</v>
      </c>
      <c r="D3441" t="str">
        <f>[1]!EM_S_INFO_INDEX_EM(B3441,"1")</f>
        <v>医药生物</v>
      </c>
      <c r="E3441" s="4">
        <f t="shared" si="53"/>
        <v>43465</v>
      </c>
      <c r="F3441" s="11">
        <f>[1]!EM_S_PQ_PCTCHANGE(B3441,"2018-01-01","2019-12-31","3")</f>
        <v>-46.92982456</v>
      </c>
      <c r="G3441" s="11"/>
      <c r="H3441" s="11">
        <f>[1]!EM_S_FA_YOY_OR(B3441,E3441)</f>
        <v>14.2923765204</v>
      </c>
      <c r="I3441" s="11">
        <f>[1]!EM_S_FA_GROSSPROFITMARGIN(B3441,E3441)</f>
        <v>75.129772742300005</v>
      </c>
      <c r="J3441" s="11">
        <f>[1]!EM_S_FA_NETPROFITMARGIN(B3441,E3441)</f>
        <v>-7.5134468145</v>
      </c>
      <c r="K3441" s="10">
        <f>[1]!EM_S_FA_ASSETSTURN(B3441,E3441)</f>
        <v>0.42585532228799999</v>
      </c>
      <c r="L3441" s="12">
        <f>[1]!EM_HKS_VAL_MV(B3441,"2019-12-31","2")</f>
        <v>3737289085.8600001</v>
      </c>
      <c r="M3441">
        <f>[1]!EM_S_VAL_PETTMDEDUCTED(B3441,E3441)</f>
        <v>-106.86600300095</v>
      </c>
      <c r="N3441" s="7">
        <f>[1]!EM_S_VAL_PBGOODWILLDEDUCTED(B3441,E3441)</f>
        <v>5.9450575237145902</v>
      </c>
      <c r="O3441" s="7">
        <f>[1]!EM_S_VAL_PS_TTM(B3441,E3441)</f>
        <v>10.4437899317</v>
      </c>
      <c r="P3441" s="7">
        <f>[1]!EM_S_VAL_PCF_NCFTTM(B3441,E3441)</f>
        <v>-846.89074211582999</v>
      </c>
      <c r="Q3441" s="7">
        <f>[1]!EM_S_VAL_DIVIDENDYIELD2(B3441,E3441,"2019-11-29")</f>
        <v>0</v>
      </c>
      <c r="T3441"/>
      <c r="U3441">
        <f>[1]!EM_S_RATIO_EPS_TTM(B3441,E3441,"1")</f>
        <v>-2.8594446141864023E-2</v>
      </c>
      <c r="AT3441" s="4" t="str">
        <f>[1]!EM_S_IPO_LISTEDDATE(B3441)</f>
        <v>1993-09-08</v>
      </c>
    </row>
    <row r="3442" spans="1:46">
      <c r="A3442">
        <v>131</v>
      </c>
      <c r="B3442" t="str">
        <f>"000522"</f>
        <v>000522</v>
      </c>
      <c r="C3442" t="s">
        <v>3187</v>
      </c>
      <c r="D3442">
        <f>[1]!EM_S_INFO_INDEX_EM(B3442,"1")</f>
        <v>0</v>
      </c>
      <c r="E3442" s="4">
        <f t="shared" si="53"/>
        <v>43465</v>
      </c>
      <c r="F3442" s="11">
        <f>[1]!EM_S_PQ_PCTCHANGE(B3442,"2018-01-01","2019-12-31","3")</f>
        <v>0</v>
      </c>
      <c r="G3442" s="11"/>
      <c r="H3442" s="11">
        <f>[1]!EM_S_FA_YOY_OR(B3442,E3442)</f>
        <v>0</v>
      </c>
      <c r="I3442" s="11">
        <f>[1]!EM_S_FA_GROSSPROFITMARGIN(B3442,E3442)</f>
        <v>0</v>
      </c>
      <c r="J3442" s="11">
        <f>[1]!EM_S_FA_NETPROFITMARGIN(B3442,E3442)</f>
        <v>0</v>
      </c>
      <c r="K3442" s="10">
        <f>[1]!EM_S_FA_ASSETSTURN(B3442,E3442)</f>
        <v>0</v>
      </c>
      <c r="L3442" s="12">
        <f>[1]!EM_HKS_VAL_MV(B3442,"2019-12-31","2")</f>
        <v>10914879343.030001</v>
      </c>
      <c r="M3442">
        <f>[1]!EM_S_VAL_PETTMDEDUCTED(B3442,E3442)</f>
        <v>32.1579268291812</v>
      </c>
      <c r="N3442" s="7">
        <f>[1]!EM_S_VAL_PBGOODWILLDEDUCTED(B3442,E3442)</f>
        <v>6.5488089963958798</v>
      </c>
      <c r="O3442" s="7">
        <f>[1]!EM_S_VAL_PS_TTM(B3442,E3442)</f>
        <v>2.53200783717825</v>
      </c>
      <c r="P3442" s="7">
        <f>[1]!EM_S_VAL_PCF_NCFTTM(B3442,E3442)</f>
        <v>87.0421048839778</v>
      </c>
      <c r="Q3442" s="7">
        <f>[1]!EM_S_VAL_DIVIDENDYIELD2(B3442,E3442,"2019-11-29")</f>
        <v>0</v>
      </c>
      <c r="T3442"/>
      <c r="U3442">
        <f>[1]!EM_S_RATIO_EPS_TTM(B3442,E3442,"1")</f>
        <v>0.74395445225887558</v>
      </c>
      <c r="AT3442" s="4" t="str">
        <f>[1]!EM_S_IPO_LISTEDDATE(B3442)</f>
        <v>1993-11-08</v>
      </c>
    </row>
    <row r="3443" spans="1:46">
      <c r="A3443">
        <v>136</v>
      </c>
      <c r="B3443" t="str">
        <f>"000527"</f>
        <v>000527</v>
      </c>
      <c r="C3443" t="s">
        <v>3186</v>
      </c>
      <c r="D3443">
        <f>[1]!EM_S_INFO_INDEX_EM(B3443,"1")</f>
        <v>0</v>
      </c>
      <c r="E3443" s="4">
        <f t="shared" si="53"/>
        <v>43465</v>
      </c>
      <c r="F3443" s="11">
        <f>[1]!EM_S_PQ_PCTCHANGE(B3443,"2018-01-01","2019-12-31","3")</f>
        <v>0</v>
      </c>
      <c r="G3443" s="11"/>
      <c r="H3443" s="11">
        <f>[1]!EM_S_FA_YOY_OR(B3443,E3443)</f>
        <v>0</v>
      </c>
      <c r="I3443" s="11">
        <f>[1]!EM_S_FA_GROSSPROFITMARGIN(B3443,E3443)</f>
        <v>0</v>
      </c>
      <c r="J3443" s="11">
        <f>[1]!EM_S_FA_NETPROFITMARGIN(B3443,E3443)</f>
        <v>0</v>
      </c>
      <c r="K3443" s="10">
        <f>[1]!EM_S_FA_ASSETSTURN(B3443,E3443)</f>
        <v>0</v>
      </c>
      <c r="L3443" s="12">
        <f>[1]!EM_HKS_VAL_MV(B3443,"2019-12-31","2")</f>
        <v>47448554053</v>
      </c>
      <c r="M3443">
        <f>[1]!EM_S_VAL_PETTMDEDUCTED(B3443,E3443)</f>
        <v>13.078139943685899</v>
      </c>
      <c r="N3443" s="7">
        <f>[1]!EM_S_VAL_PBGOODWILLDEDUCTED(B3443,E3443)</f>
        <v>2.3656039689684598</v>
      </c>
      <c r="O3443" s="7">
        <f>[1]!EM_S_VAL_PS_TTM(B3443,E3443)</f>
        <v>0.62955478185324498</v>
      </c>
      <c r="P3443" s="7">
        <f>[1]!EM_S_VAL_PCF_NCFTTM(B3443,E3443)</f>
        <v>8.8809071646029807</v>
      </c>
      <c r="Q3443" s="7">
        <f>[1]!EM_S_VAL_DIVIDENDYIELD2(B3443,E3443,"2019-11-29")</f>
        <v>0</v>
      </c>
      <c r="T3443"/>
      <c r="U3443">
        <f>[1]!EM_S_RATIO_EPS_TTM(B3443,E3443,"1")</f>
        <v>1.179856212466825</v>
      </c>
      <c r="AT3443" s="4" t="str">
        <f>[1]!EM_S_IPO_LISTEDDATE(B3443)</f>
        <v>1993-11-12</v>
      </c>
    </row>
    <row r="3444" spans="1:46">
      <c r="A3444">
        <v>139</v>
      </c>
      <c r="B3444" t="str">
        <f>"000530"</f>
        <v>000530</v>
      </c>
      <c r="C3444" t="s">
        <v>2487</v>
      </c>
      <c r="D3444" t="str">
        <f>[1]!EM_S_INFO_INDEX_EM(B3444,"1")</f>
        <v>机械设备</v>
      </c>
      <c r="E3444" s="4">
        <f t="shared" si="53"/>
        <v>43465</v>
      </c>
      <c r="F3444" s="11">
        <f>[1]!EM_S_PQ_PCTCHANGE(B3444,"2018-01-01","2019-12-31","3")</f>
        <v>-23.649212429999999</v>
      </c>
      <c r="G3444" s="11"/>
      <c r="H3444" s="11">
        <f>[1]!EM_S_FA_YOY_OR(B3444,E3444)</f>
        <v>-5.4647145004000004</v>
      </c>
      <c r="I3444" s="11">
        <f>[1]!EM_S_FA_GROSSPROFITMARGIN(B3444,E3444)</f>
        <v>16.010472619200002</v>
      </c>
      <c r="J3444" s="11">
        <f>[1]!EM_S_FA_NETPROFITMARGIN(B3444,E3444)</f>
        <v>5.6975932932999998</v>
      </c>
      <c r="K3444" s="10">
        <f>[1]!EM_S_FA_ASSETSTURN(B3444,E3444)</f>
        <v>0.351462641779</v>
      </c>
      <c r="L3444" s="12">
        <f>[1]!EM_HKS_VAL_MV(B3444,"2019-12-31","2")</f>
        <v>3313825152.5100002</v>
      </c>
      <c r="M3444">
        <f>[1]!EM_S_VAL_PETTMDEDUCTED(B3444,E3444)</f>
        <v>24.013392182706198</v>
      </c>
      <c r="N3444" s="7">
        <f>[1]!EM_S_VAL_PBGOODWILLDEDUCTED(B3444,E3444)</f>
        <v>0.83873966633761499</v>
      </c>
      <c r="O3444" s="7">
        <f>[1]!EM_S_VAL_PS_TTM(B3444,E3444)</f>
        <v>1.33098651329341</v>
      </c>
      <c r="P3444" s="7">
        <f>[1]!EM_S_VAL_PCF_NCFTTM(B3444,E3444)</f>
        <v>-15.983669779830199</v>
      </c>
      <c r="Q3444" s="7">
        <f>[1]!EM_S_VAL_DIVIDENDYIELD2(B3444,E3444,"2019-11-29")</f>
        <v>1.3900699289484124</v>
      </c>
      <c r="T3444"/>
      <c r="U3444">
        <f>[1]!EM_S_RATIO_EPS_TTM(B3444,E3444,"1")</f>
        <v>0.12917789643797536</v>
      </c>
      <c r="AT3444" s="4" t="str">
        <f>[1]!EM_S_IPO_LISTEDDATE(B3444)</f>
        <v>1993-12-08</v>
      </c>
    </row>
    <row r="3445" spans="1:46">
      <c r="A3445">
        <v>142</v>
      </c>
      <c r="B3445" t="str">
        <f>"000533"</f>
        <v>000533</v>
      </c>
      <c r="C3445" t="s">
        <v>2656</v>
      </c>
      <c r="D3445" t="str">
        <f>[1]!EM_S_INFO_INDEX_EM(B3445,"1")</f>
        <v>电气设备</v>
      </c>
      <c r="E3445" s="4">
        <f t="shared" si="53"/>
        <v>43465</v>
      </c>
      <c r="F3445" s="11">
        <f>[1]!EM_S_PQ_PCTCHANGE(B3445,"2018-01-01","2019-12-31","3")</f>
        <v>-73.985330599999998</v>
      </c>
      <c r="G3445" s="11"/>
      <c r="H3445" s="11">
        <f>[1]!EM_S_FA_YOY_OR(B3445,E3445)</f>
        <v>15.6344461032</v>
      </c>
      <c r="I3445" s="11">
        <f>[1]!EM_S_FA_GROSSPROFITMARGIN(B3445,E3445)</f>
        <v>3.4091253575999998</v>
      </c>
      <c r="J3445" s="11">
        <f>[1]!EM_S_FA_NETPROFITMARGIN(B3445,E3445)</f>
        <v>-12.835338764099999</v>
      </c>
      <c r="K3445" s="10">
        <f>[1]!EM_S_FA_ASSETSTURN(B3445,E3445)</f>
        <v>2.7885899854659999</v>
      </c>
      <c r="L3445" s="12">
        <f>[1]!EM_HKS_VAL_MV(B3445,"2019-12-31","2")</f>
        <v>1899744000</v>
      </c>
      <c r="M3445">
        <f>[1]!EM_S_VAL_PETTMDEDUCTED(B3445,E3445)</f>
        <v>-44.2094013307252</v>
      </c>
      <c r="N3445" s="7">
        <f>[1]!EM_S_VAL_PBGOODWILLDEDUCTED(B3445,E3445)</f>
        <v>2.9328999038235599</v>
      </c>
      <c r="O3445" s="7">
        <f>[1]!EM_S_VAL_PS_TTM(B3445,E3445)</f>
        <v>0.13833482523368401</v>
      </c>
      <c r="P3445" s="7">
        <f>[1]!EM_S_VAL_PCF_NCFTTM(B3445,E3445)</f>
        <v>-454.52111140945402</v>
      </c>
      <c r="Q3445" s="7">
        <f>[1]!EM_S_VAL_DIVIDENDYIELD2(B3445,E3445,"2019-11-29")</f>
        <v>0</v>
      </c>
      <c r="T3445"/>
      <c r="U3445">
        <f>[1]!EM_S_RATIO_EPS_TTM(B3445,E3445,"1")</f>
        <v>-1.4008862750717992</v>
      </c>
      <c r="AT3445" s="4" t="str">
        <f>[1]!EM_S_IPO_LISTEDDATE(B3445)</f>
        <v>1994-01-03</v>
      </c>
    </row>
    <row r="3446" spans="1:46">
      <c r="A3446">
        <v>144</v>
      </c>
      <c r="B3446" t="str">
        <f>"000535"</f>
        <v>000535</v>
      </c>
      <c r="C3446" t="s">
        <v>3185</v>
      </c>
      <c r="D3446">
        <f>[1]!EM_S_INFO_INDEX_EM(B3446,"1")</f>
        <v>0</v>
      </c>
      <c r="E3446" s="4">
        <f t="shared" si="53"/>
        <v>43465</v>
      </c>
      <c r="F3446" s="11">
        <f>[1]!EM_S_PQ_PCTCHANGE(B3446,"2018-01-01","2019-12-31","3")</f>
        <v>0</v>
      </c>
      <c r="G3446" s="11"/>
      <c r="H3446" s="11">
        <f>[1]!EM_S_FA_YOY_OR(B3446,E3446)</f>
        <v>-69.815533541799994</v>
      </c>
      <c r="I3446" s="11">
        <f>[1]!EM_S_FA_GROSSPROFITMARGIN(B3446,E3446)</f>
        <v>20.534551073599999</v>
      </c>
      <c r="J3446" s="11">
        <f>[1]!EM_S_FA_NETPROFITMARGIN(B3446,E3446)</f>
        <v>-56.0356802437</v>
      </c>
      <c r="K3446" s="10">
        <f>[1]!EM_S_FA_ASSETSTURN(B3446,E3446)</f>
        <v>0.141031060224</v>
      </c>
      <c r="L3446" s="12">
        <f>[1]!EM_HKS_VAL_MV(B3446,"2019-12-31","2")</f>
        <v>426362401</v>
      </c>
      <c r="M3446">
        <f>[1]!EM_S_VAL_PETTMDEDUCTED(B3446,E3446)</f>
        <v>121.87351948418601</v>
      </c>
      <c r="N3446" s="7">
        <f>[1]!EM_S_VAL_PBGOODWILLDEDUCTED(B3446,E3446)</f>
        <v>3.0146173213660599</v>
      </c>
      <c r="O3446" s="7">
        <f>[1]!EM_S_VAL_PS_TTM(B3446,E3446)</f>
        <v>2.1691577718089499</v>
      </c>
      <c r="P3446" s="7">
        <f>[1]!EM_S_VAL_PCF_NCFTTM(B3446,E3446)</f>
        <v>-48.345106193153697</v>
      </c>
      <c r="Q3446" s="7">
        <f>[1]!EM_S_VAL_DIVIDENDYIELD2(B3446,E3446,"2019-11-29")</f>
        <v>0</v>
      </c>
      <c r="T3446"/>
      <c r="U3446">
        <f>[1]!EM_S_RATIO_EPS_TTM(B3446,E3446,"1")</f>
        <v>-4.053531971736879E-2</v>
      </c>
      <c r="AT3446" s="4" t="str">
        <f>[1]!EM_S_IPO_LISTEDDATE(B3446)</f>
        <v>1993-11-30</v>
      </c>
    </row>
    <row r="3447" spans="1:46">
      <c r="A3447">
        <v>145</v>
      </c>
      <c r="B3447" t="str">
        <f>"000536"</f>
        <v>000536</v>
      </c>
      <c r="C3447" t="s">
        <v>3400</v>
      </c>
      <c r="D3447" t="str">
        <f>[1]!EM_S_INFO_INDEX_EM(B3447,"1")</f>
        <v>电子设备</v>
      </c>
      <c r="E3447" s="4">
        <f t="shared" si="53"/>
        <v>43465</v>
      </c>
      <c r="F3447" s="11">
        <f>[1]!EM_S_PQ_PCTCHANGE(B3447,"2018-01-01","2019-12-31","3")</f>
        <v>-43.800178270000004</v>
      </c>
      <c r="G3447" s="11"/>
      <c r="H3447" s="11">
        <f>[1]!EM_S_FA_YOY_OR(B3447,E3447)</f>
        <v>-7.5937613256000001</v>
      </c>
      <c r="I3447" s="11">
        <f>[1]!EM_S_FA_GROSSPROFITMARGIN(B3447,E3447)</f>
        <v>8.6013046232000008</v>
      </c>
      <c r="J3447" s="11">
        <f>[1]!EM_S_FA_NETPROFITMARGIN(B3447,E3447)</f>
        <v>-110.3650251421</v>
      </c>
      <c r="K3447" s="10">
        <f>[1]!EM_S_FA_ASSETSTURN(B3447,E3447)</f>
        <v>0.22527943345500001</v>
      </c>
      <c r="L3447" s="12">
        <f>[1]!EM_HKS_VAL_MV(B3447,"2019-12-31","2")</f>
        <v>7468288568.1000004</v>
      </c>
      <c r="M3447">
        <f>[1]!EM_S_VAL_PETTMDEDUCTED(B3447,E3447)</f>
        <v>-6.1467820906497401</v>
      </c>
      <c r="N3447" s="7">
        <f>[1]!EM_S_VAL_PBGOODWILLDEDUCTED(B3447,E3447)</f>
        <v>0.69271541293555094</v>
      </c>
      <c r="O3447" s="7">
        <f>[1]!EM_S_VAL_PS_TTM(B3447,E3447)</f>
        <v>1.0181389436263999</v>
      </c>
      <c r="P3447" s="7">
        <f>[1]!EM_S_VAL_PCF_NCFTTM(B3447,E3447)</f>
        <v>-5.6149035183497604</v>
      </c>
      <c r="Q3447" s="7">
        <f>[1]!EM_S_VAL_DIVIDENDYIELD2(B3447,E3447,"2019-11-29")</f>
        <v>0</v>
      </c>
      <c r="T3447"/>
      <c r="U3447">
        <f>[1]!EM_S_RATIO_EPS_TTM(B3447,E3447,"1")</f>
        <v>-1.7954870346380343</v>
      </c>
      <c r="AT3447" s="4" t="str">
        <f>[1]!EM_S_IPO_LISTEDDATE(B3447)</f>
        <v>1993-11-26</v>
      </c>
    </row>
    <row r="3448" spans="1:46">
      <c r="A3448">
        <v>149</v>
      </c>
      <c r="B3448" t="str">
        <f>"000540"</f>
        <v>000540</v>
      </c>
      <c r="C3448" t="s">
        <v>419</v>
      </c>
      <c r="D3448" t="str">
        <f>[1]!EM_S_INFO_INDEX_EM(B3448,"1")</f>
        <v>房地产</v>
      </c>
      <c r="E3448" s="4">
        <f t="shared" si="53"/>
        <v>43465</v>
      </c>
      <c r="F3448" s="11">
        <f>[1]!EM_S_PQ_PCTCHANGE(B3448,"2018-01-01","2019-12-31","3")</f>
        <v>-30.71770815</v>
      </c>
      <c r="G3448" s="11"/>
      <c r="H3448" s="11">
        <f>[1]!EM_S_FA_YOY_OR(B3448,E3448)</f>
        <v>-10.5149618828</v>
      </c>
      <c r="I3448" s="11">
        <f>[1]!EM_S_FA_GROSSPROFITMARGIN(B3448,E3448)</f>
        <v>29.6157664634</v>
      </c>
      <c r="J3448" s="11">
        <f>[1]!EM_S_FA_NETPROFITMARGIN(B3448,E3448)</f>
        <v>10.2488273599</v>
      </c>
      <c r="K3448" s="10">
        <f>[1]!EM_S_FA_ASSETSTURN(B3448,E3448)</f>
        <v>0.172804384374</v>
      </c>
      <c r="L3448" s="12">
        <f>[1]!EM_HKS_VAL_MV(B3448,"2019-12-31","2")</f>
        <v>23327498081.07</v>
      </c>
      <c r="M3448">
        <f>[1]!EM_S_VAL_PETTMDEDUCTED(B3448,E3448)</f>
        <v>103.494794026842</v>
      </c>
      <c r="N3448" s="7">
        <f>[1]!EM_S_VAL_PBGOODWILLDEDUCTED(B3448,E3448)</f>
        <v>2.8978110348084201</v>
      </c>
      <c r="O3448" s="7">
        <f>[1]!EM_S_VAL_PS_TTM(B3448,E3448)</f>
        <v>2.3648039398999199</v>
      </c>
      <c r="P3448" s="7">
        <f>[1]!EM_S_VAL_PCF_NCFTTM(B3448,E3448)</f>
        <v>2.77735929181847</v>
      </c>
      <c r="Q3448" s="7">
        <f>[1]!EM_S_VAL_DIVIDENDYIELD2(B3448,E3448,"2019-11-29")</f>
        <v>1.634758957654723</v>
      </c>
      <c r="T3448"/>
      <c r="U3448">
        <f>[1]!EM_S_RATIO_EPS_TTM(B3448,E3448,"1")</f>
        <v>0.20939299468829489</v>
      </c>
      <c r="AT3448" s="4" t="str">
        <f>[1]!EM_S_IPO_LISTEDDATE(B3448)</f>
        <v>1994-02-02</v>
      </c>
    </row>
    <row r="3449" spans="1:46">
      <c r="A3449">
        <v>151</v>
      </c>
      <c r="B3449" t="str">
        <f>"000542"</f>
        <v>000542</v>
      </c>
      <c r="C3449" t="s">
        <v>3184</v>
      </c>
      <c r="D3449">
        <f>[1]!EM_S_INFO_INDEX_EM(B3449,"1")</f>
        <v>0</v>
      </c>
      <c r="E3449" s="4">
        <f t="shared" si="53"/>
        <v>43465</v>
      </c>
      <c r="F3449" s="11">
        <f>[1]!EM_S_PQ_PCTCHANGE(B3449,"2018-01-01","2019-12-31","3")</f>
        <v>0</v>
      </c>
      <c r="G3449" s="11"/>
      <c r="H3449" s="11">
        <f>[1]!EM_S_FA_YOY_OR(B3449,E3449)</f>
        <v>0</v>
      </c>
      <c r="I3449" s="11">
        <f>[1]!EM_S_FA_GROSSPROFITMARGIN(B3449,E3449)</f>
        <v>0</v>
      </c>
      <c r="J3449" s="11">
        <f>[1]!EM_S_FA_NETPROFITMARGIN(B3449,E3449)</f>
        <v>0</v>
      </c>
      <c r="K3449" s="10">
        <f>[1]!EM_S_FA_ASSETSTURN(B3449,E3449)</f>
        <v>0</v>
      </c>
      <c r="L3449" s="12">
        <f>[1]!EM_HKS_VAL_MV(B3449,"2019-12-31","2")</f>
        <v>5142894592</v>
      </c>
      <c r="M3449">
        <f>[1]!EM_S_VAL_PETTMDEDUCTED(B3449,E3449)</f>
        <v>16.075762908608301</v>
      </c>
      <c r="N3449" s="7">
        <f>[1]!EM_S_VAL_PBGOODWILLDEDUCTED(B3449,E3449)</f>
        <v>-8.2225664179947007</v>
      </c>
      <c r="O3449" s="7">
        <f>[1]!EM_S_VAL_PS_TTM(B3449,E3449)</f>
        <v>0</v>
      </c>
      <c r="P3449" s="7">
        <f>[1]!EM_S_VAL_PCF_NCFTTM(B3449,E3449)</f>
        <v>36.495322500248399</v>
      </c>
      <c r="Q3449" s="7">
        <f>[1]!EM_S_VAL_DIVIDENDYIELD2(B3449,E3449,"2019-11-29")</f>
        <v>0</v>
      </c>
      <c r="T3449"/>
      <c r="U3449">
        <f>[1]!EM_S_RATIO_EPS_TTM(B3449,E3449,"1")</f>
        <v>1.4692973799737175</v>
      </c>
      <c r="AT3449" s="4" t="str">
        <f>[1]!EM_S_IPO_LISTEDDATE(B3449)</f>
        <v>1993-12-01</v>
      </c>
    </row>
    <row r="3450" spans="1:46">
      <c r="A3450">
        <v>157</v>
      </c>
      <c r="B3450" t="str">
        <f>"000548"</f>
        <v>000548</v>
      </c>
      <c r="C3450" t="s">
        <v>2961</v>
      </c>
      <c r="D3450" t="str">
        <f>[1]!EM_S_INFO_INDEX_EM(B3450,"1")</f>
        <v>交通运输</v>
      </c>
      <c r="E3450" s="4">
        <f t="shared" si="53"/>
        <v>43465</v>
      </c>
      <c r="F3450" s="11">
        <f>[1]!EM_S_PQ_PCTCHANGE(B3450,"2018-01-01","2019-12-31","3")</f>
        <v>-36.06957946</v>
      </c>
      <c r="G3450" s="11"/>
      <c r="H3450" s="11">
        <f>[1]!EM_S_FA_YOY_OR(B3450,E3450)</f>
        <v>-69.2368125789</v>
      </c>
      <c r="I3450" s="11">
        <f>[1]!EM_S_FA_GROSSPROFITMARGIN(B3450,E3450)</f>
        <v>59.3749781004</v>
      </c>
      <c r="J3450" s="11">
        <f>[1]!EM_S_FA_NETPROFITMARGIN(B3450,E3450)</f>
        <v>10.3216541378</v>
      </c>
      <c r="K3450" s="10">
        <f>[1]!EM_S_FA_ASSETSTURN(B3450,E3450)</f>
        <v>0.14176572477300001</v>
      </c>
      <c r="L3450" s="12">
        <f>[1]!EM_HKS_VAL_MV(B3450,"2019-12-31","2")</f>
        <v>2091714248.0899999</v>
      </c>
      <c r="M3450">
        <f>[1]!EM_S_VAL_PETTMDEDUCTED(B3450,E3450)</f>
        <v>174.923833518187</v>
      </c>
      <c r="N3450" s="7">
        <f>[1]!EM_S_VAL_PBGOODWILLDEDUCTED(B3450,E3450)</f>
        <v>1.3158733211037399</v>
      </c>
      <c r="O3450" s="7">
        <f>[1]!EM_S_VAL_PS_TTM(B3450,E3450)</f>
        <v>8.57900067174117</v>
      </c>
      <c r="P3450" s="7">
        <f>[1]!EM_S_VAL_PCF_NCFTTM(B3450,E3450)</f>
        <v>-18.952205939041399</v>
      </c>
      <c r="Q3450" s="7">
        <f>[1]!EM_S_VAL_DIVIDENDYIELD2(B3450,E3450,"2019-11-29")</f>
        <v>0.50377833753148615</v>
      </c>
      <c r="T3450"/>
      <c r="U3450">
        <f>[1]!EM_S_RATIO_EPS_TTM(B3450,E3450,"1")</f>
        <v>8.0611140499314032E-2</v>
      </c>
      <c r="AT3450" s="4" t="str">
        <f>[1]!EM_S_IPO_LISTEDDATE(B3450)</f>
        <v>1993-12-20</v>
      </c>
    </row>
    <row r="3451" spans="1:46">
      <c r="A3451">
        <v>158</v>
      </c>
      <c r="B3451" t="str">
        <f>"000549"</f>
        <v>000549</v>
      </c>
      <c r="C3451" t="s">
        <v>3183</v>
      </c>
      <c r="D3451">
        <f>[1]!EM_S_INFO_INDEX_EM(B3451,"1")</f>
        <v>0</v>
      </c>
      <c r="E3451" s="4">
        <f t="shared" si="53"/>
        <v>43465</v>
      </c>
      <c r="F3451" s="11">
        <f>[1]!EM_S_PQ_PCTCHANGE(B3451,"2018-01-01","2019-12-31","3")</f>
        <v>0</v>
      </c>
      <c r="G3451" s="11"/>
      <c r="H3451" s="11">
        <f>[1]!EM_S_FA_YOY_OR(B3451,E3451)</f>
        <v>0</v>
      </c>
      <c r="I3451" s="11">
        <f>[1]!EM_S_FA_GROSSPROFITMARGIN(B3451,E3451)</f>
        <v>0</v>
      </c>
      <c r="J3451" s="11">
        <f>[1]!EM_S_FA_NETPROFITMARGIN(B3451,E3451)</f>
        <v>0</v>
      </c>
      <c r="K3451" s="10">
        <f>[1]!EM_S_FA_ASSETSTURN(B3451,E3451)</f>
        <v>0</v>
      </c>
      <c r="L3451" s="12">
        <f>[1]!EM_HKS_VAL_MV(B3451,"2019-12-31","2")</f>
        <v>8332950384</v>
      </c>
      <c r="M3451">
        <f>[1]!EM_S_VAL_PETTMDEDUCTED(B3451,E3451)</f>
        <v>29.860145179735699</v>
      </c>
      <c r="N3451" s="7">
        <f>[1]!EM_S_VAL_PBGOODWILLDEDUCTED(B3451,E3451)</f>
        <v>4.2514975920547204</v>
      </c>
      <c r="O3451" s="7">
        <f>[1]!EM_S_VAL_PS_TTM(B3451,E3451)</f>
        <v>3.39896779953281</v>
      </c>
      <c r="P3451" s="7">
        <f>[1]!EM_S_VAL_PCF_NCFTTM(B3451,E3451)</f>
        <v>77.333755054297995</v>
      </c>
      <c r="Q3451" s="7">
        <f>[1]!EM_S_VAL_DIVIDENDYIELD2(B3451,E3451,"2019-11-29")</f>
        <v>0</v>
      </c>
      <c r="T3451"/>
      <c r="U3451">
        <f>[1]!EM_S_RATIO_EPS_TTM(B3451,E3451,"1")</f>
        <v>0.43033084164959068</v>
      </c>
      <c r="AT3451" s="4" t="str">
        <f>[1]!EM_S_IPO_LISTEDDATE(B3451)</f>
        <v>1993-12-20</v>
      </c>
    </row>
    <row r="3452" spans="1:46">
      <c r="A3452">
        <v>159</v>
      </c>
      <c r="B3452" t="str">
        <f>"000550"</f>
        <v>000550</v>
      </c>
      <c r="C3452" t="s">
        <v>2040</v>
      </c>
      <c r="D3452" t="str">
        <f>[1]!EM_S_INFO_INDEX_EM(B3452,"1")</f>
        <v>交运设备</v>
      </c>
      <c r="E3452" s="4">
        <f t="shared" si="53"/>
        <v>43465</v>
      </c>
      <c r="F3452" s="11">
        <f>[1]!EM_S_PQ_PCTCHANGE(B3452,"2018-01-01","2019-12-31","3")</f>
        <v>-0.12279854</v>
      </c>
      <c r="G3452" s="11"/>
      <c r="H3452" s="11">
        <f>[1]!EM_S_FA_YOY_OR(B3452,E3452)</f>
        <v>-9.8782367939999993</v>
      </c>
      <c r="I3452" s="11">
        <f>[1]!EM_S_FA_GROSSPROFITMARGIN(B3452,E3452)</f>
        <v>13.592505037600001</v>
      </c>
      <c r="J3452" s="11">
        <f>[1]!EM_S_FA_NETPROFITMARGIN(B3452,E3452)</f>
        <v>0.3250813897</v>
      </c>
      <c r="K3452" s="10">
        <f>[1]!EM_S_FA_ASSETSTURN(B3452,E3452)</f>
        <v>1.1349608265690001</v>
      </c>
      <c r="L3452" s="12">
        <f>[1]!EM_HKS_VAL_MV(B3452,"2019-12-31","2")</f>
        <v>11912353200</v>
      </c>
      <c r="M3452">
        <f>[1]!EM_S_VAL_PETTMDEDUCTED(B3452,E3452)</f>
        <v>-46.044513144998497</v>
      </c>
      <c r="N3452" s="7">
        <f>[1]!EM_S_VAL_PBGOODWILLDEDUCTED(B3452,E3452)</f>
        <v>1.0610319988696</v>
      </c>
      <c r="O3452" s="7">
        <f>[1]!EM_S_VAL_PS_TTM(B3452,E3452)</f>
        <v>0.378499992117317</v>
      </c>
      <c r="P3452" s="7">
        <f>[1]!EM_S_VAL_PCF_NCFTTM(B3452,E3452)</f>
        <v>-3.2289992111644001</v>
      </c>
      <c r="Q3452" s="7">
        <f>[1]!EM_S_VAL_DIVIDENDYIELD2(B3452,E3452,"2019-11-29")</f>
        <v>0.28109627547434995</v>
      </c>
      <c r="T3452"/>
      <c r="U3452">
        <f>[1]!EM_S_RATIO_EPS_TTM(B3452,E3452,"1")</f>
        <v>0.10638537604811785</v>
      </c>
      <c r="AT3452" s="4" t="str">
        <f>[1]!EM_S_IPO_LISTEDDATE(B3452)</f>
        <v>1993-12-01</v>
      </c>
    </row>
    <row r="3453" spans="1:46">
      <c r="A3453">
        <v>165</v>
      </c>
      <c r="B3453" t="str">
        <f>"000556"</f>
        <v>000556</v>
      </c>
      <c r="C3453" t="s">
        <v>3182</v>
      </c>
      <c r="D3453">
        <f>[1]!EM_S_INFO_INDEX_EM(B3453,"1")</f>
        <v>0</v>
      </c>
      <c r="E3453" s="4">
        <f t="shared" si="53"/>
        <v>43465</v>
      </c>
      <c r="F3453" s="11">
        <f>[1]!EM_S_PQ_PCTCHANGE(B3453,"2018-01-01","2019-12-31","3")</f>
        <v>0</v>
      </c>
      <c r="G3453" s="11"/>
      <c r="H3453" s="11">
        <f>[1]!EM_S_FA_YOY_OR(B3453,E3453)</f>
        <v>-60.062527058400001</v>
      </c>
      <c r="I3453" s="11">
        <f>[1]!EM_S_FA_GROSSPROFITMARGIN(B3453,E3453)</f>
        <v>15.627141442999999</v>
      </c>
      <c r="J3453" s="11">
        <f>[1]!EM_S_FA_NETPROFITMARGIN(B3453,E3453)</f>
        <v>6.5891260611</v>
      </c>
      <c r="K3453" s="10">
        <f>[1]!EM_S_FA_ASSETSTURN(B3453,E3453)</f>
        <v>0.84098498078499995</v>
      </c>
      <c r="L3453" s="12">
        <f>[1]!EM_HKS_VAL_MV(B3453,"2019-12-31","2")</f>
        <v>373077192</v>
      </c>
      <c r="M3453">
        <f>[1]!EM_S_VAL_PETTMDEDUCTED(B3453,E3453)</f>
        <v>41.070758081805799</v>
      </c>
      <c r="N3453" s="7">
        <f>[1]!EM_S_VAL_PBGOODWILLDEDUCTED(B3453,E3453)</f>
        <v>7.6654985266874096</v>
      </c>
      <c r="O3453" s="7">
        <f>[1]!EM_S_VAL_PS_TTM(B3453,E3453)</f>
        <v>2.6372974322309299</v>
      </c>
      <c r="P3453" s="7">
        <f>[1]!EM_S_VAL_PCF_NCFTTM(B3453,E3453)</f>
        <v>-137.38817139924299</v>
      </c>
      <c r="Q3453" s="7">
        <f>[1]!EM_S_VAL_DIVIDENDYIELD2(B3453,E3453,"2019-11-29")</f>
        <v>0</v>
      </c>
      <c r="T3453"/>
      <c r="U3453">
        <f>[1]!EM_S_RATIO_EPS_TTM(B3453,E3453,"1")</f>
        <v>2.1361570878339838E-2</v>
      </c>
      <c r="AT3453" s="4" t="str">
        <f>[1]!EM_S_IPO_LISTEDDATE(B3453)</f>
        <v>1994-05-25</v>
      </c>
    </row>
    <row r="3454" spans="1:46">
      <c r="A3454">
        <v>167</v>
      </c>
      <c r="B3454" t="str">
        <f>"000558"</f>
        <v>000558</v>
      </c>
      <c r="C3454" t="s">
        <v>2440</v>
      </c>
      <c r="D3454" t="str">
        <f>[1]!EM_S_INFO_INDEX_EM(B3454,"1")</f>
        <v>房地产</v>
      </c>
      <c r="E3454" s="4">
        <f t="shared" si="53"/>
        <v>43465</v>
      </c>
      <c r="F3454" s="11">
        <f>[1]!EM_S_PQ_PCTCHANGE(B3454,"2018-01-01","2019-12-31","3")</f>
        <v>-33.333333330000002</v>
      </c>
      <c r="G3454" s="11"/>
      <c r="H3454" s="11">
        <f>[1]!EM_S_FA_YOY_OR(B3454,E3454)</f>
        <v>-46.953023108899998</v>
      </c>
      <c r="I3454" s="11">
        <f>[1]!EM_S_FA_GROSSPROFITMARGIN(B3454,E3454)</f>
        <v>34.010524824299999</v>
      </c>
      <c r="J3454" s="11">
        <f>[1]!EM_S_FA_NETPROFITMARGIN(B3454,E3454)</f>
        <v>-7.7226408709000003</v>
      </c>
      <c r="K3454" s="10">
        <f>[1]!EM_S_FA_ASSETSTURN(B3454,E3454)</f>
        <v>0.26482895526700001</v>
      </c>
      <c r="L3454" s="12">
        <f>[1]!EM_HKS_VAL_MV(B3454,"2019-12-31","2")</f>
        <v>4254439031.6999998</v>
      </c>
      <c r="M3454">
        <f>[1]!EM_S_VAL_PETTMDEDUCTED(B3454,E3454)</f>
        <v>-41.288854483121099</v>
      </c>
      <c r="N3454" s="7">
        <f>[1]!EM_S_VAL_PBGOODWILLDEDUCTED(B3454,E3454)</f>
        <v>2.9544472528907599</v>
      </c>
      <c r="O3454" s="7">
        <f>[1]!EM_S_VAL_PS_TTM(B3454,E3454)</f>
        <v>4.9752697553198502</v>
      </c>
      <c r="P3454" s="7">
        <f>[1]!EM_S_VAL_PCF_NCFTTM(B3454,E3454)</f>
        <v>66.827066749878497</v>
      </c>
      <c r="Q3454" s="7">
        <f>[1]!EM_S_VAL_DIVIDENDYIELD2(B3454,E3454,"2019-11-29")</f>
        <v>0</v>
      </c>
      <c r="T3454"/>
      <c r="U3454">
        <f>[1]!EM_S_RATIO_EPS_TTM(B3454,E3454,"1")</f>
        <v>-4.7410966766023049E-2</v>
      </c>
      <c r="AT3454" s="4" t="str">
        <f>[1]!EM_S_IPO_LISTEDDATE(B3454)</f>
        <v>1994-05-09</v>
      </c>
    </row>
    <row r="3455" spans="1:46">
      <c r="A3455">
        <v>171</v>
      </c>
      <c r="B3455" t="str">
        <f>"000562"</f>
        <v>000562</v>
      </c>
      <c r="C3455" t="s">
        <v>3181</v>
      </c>
      <c r="D3455">
        <f>[1]!EM_S_INFO_INDEX_EM(B3455,"1")</f>
        <v>0</v>
      </c>
      <c r="E3455" s="4">
        <f t="shared" si="53"/>
        <v>43465</v>
      </c>
      <c r="F3455" s="11">
        <f>[1]!EM_S_PQ_PCTCHANGE(B3455,"2018-01-01","2019-12-31","3")</f>
        <v>0</v>
      </c>
      <c r="G3455" s="11"/>
      <c r="H3455" s="11">
        <f>[1]!EM_S_FA_YOY_OR(B3455,E3455)</f>
        <v>0</v>
      </c>
      <c r="I3455" s="11">
        <f>[1]!EM_S_FA_GROSSPROFITMARGIN(B3455,E3455)</f>
        <v>0</v>
      </c>
      <c r="J3455" s="11">
        <f>[1]!EM_S_FA_NETPROFITMARGIN(B3455,E3455)</f>
        <v>0</v>
      </c>
      <c r="K3455" s="10">
        <f>[1]!EM_S_FA_ASSETSTURN(B3455,E3455)</f>
        <v>0</v>
      </c>
      <c r="L3455" s="12">
        <f>[1]!EM_HKS_VAL_MV(B3455,"2019-12-31","2")</f>
        <v>121158454126</v>
      </c>
      <c r="M3455">
        <f>[1]!EM_S_VAL_PETTMDEDUCTED(B3455,E3455)</f>
        <v>90.796048539369593</v>
      </c>
      <c r="N3455" s="7">
        <f>[1]!EM_S_VAL_PBGOODWILLDEDUCTED(B3455,E3455)</f>
        <v>7.6771092663265197</v>
      </c>
      <c r="O3455" s="7">
        <f>[1]!EM_S_VAL_PS_TTM(B3455,E3455)</f>
        <v>21.633506673689801</v>
      </c>
      <c r="P3455" s="7">
        <f>[1]!EM_S_VAL_PCF_NCFTTM(B3455,E3455)</f>
        <v>36.150388432649201</v>
      </c>
      <c r="Q3455" s="7">
        <f>[1]!EM_S_VAL_DIVIDENDYIELD2(B3455,E3455,"2019-11-29")</f>
        <v>0</v>
      </c>
      <c r="T3455"/>
      <c r="U3455">
        <f>[1]!EM_S_RATIO_EPS_TTM(B3455,E3455,"1")</f>
        <v>0.48681551300300718</v>
      </c>
      <c r="AT3455" s="4" t="str">
        <f>[1]!EM_S_IPO_LISTEDDATE(B3455)</f>
        <v>1994-02-02</v>
      </c>
    </row>
    <row r="3456" spans="1:46">
      <c r="A3456">
        <v>172</v>
      </c>
      <c r="B3456" t="str">
        <f>"000563"</f>
        <v>000563</v>
      </c>
      <c r="C3456" t="s">
        <v>1748</v>
      </c>
      <c r="D3456" t="str">
        <f>[1]!EM_S_INFO_INDEX_EM(B3456,"1")</f>
        <v>金融</v>
      </c>
      <c r="E3456" s="4">
        <f t="shared" si="53"/>
        <v>43465</v>
      </c>
      <c r="F3456" s="11">
        <f>[1]!EM_S_PQ_PCTCHANGE(B3456,"2018-01-01","2019-12-31","3")</f>
        <v>8.8005681300000003</v>
      </c>
      <c r="G3456" s="11"/>
      <c r="H3456" s="11">
        <f>[1]!EM_S_FA_YOY_OR(B3456,E3456)</f>
        <v>-10.713023567700001</v>
      </c>
      <c r="I3456" s="11">
        <f>[1]!EM_S_FA_GROSSPROFITMARGIN(B3456,E3456)</f>
        <v>0</v>
      </c>
      <c r="J3456" s="11">
        <f>[1]!EM_S_FA_NETPROFITMARGIN(B3456,E3456)</f>
        <v>31.097390858000001</v>
      </c>
      <c r="K3456" s="10">
        <f>[1]!EM_S_FA_ASSETSTURN(B3456,E3456)</f>
        <v>0</v>
      </c>
      <c r="L3456" s="12">
        <f>[1]!EM_HKS_VAL_MV(B3456,"2019-12-31","2")</f>
        <v>17560576907.779999</v>
      </c>
      <c r="M3456">
        <f>[1]!EM_S_VAL_PETTMDEDUCTED(B3456,E3456)</f>
        <v>40.118821928986399</v>
      </c>
      <c r="N3456" s="7">
        <f>[1]!EM_S_VAL_PBGOODWILLDEDUCTED(B3456,E3456)</f>
        <v>1.0200383194293401</v>
      </c>
      <c r="O3456" s="7">
        <f>[1]!EM_S_VAL_PS_TTM(B3456,E3456)</f>
        <v>10.6855375933954</v>
      </c>
      <c r="P3456" s="7">
        <f>[1]!EM_S_VAL_PCF_NCFTTM(B3456,E3456)</f>
        <v>-72.8373568810065</v>
      </c>
      <c r="Q3456" s="7">
        <f>[1]!EM_S_VAL_DIVIDENDYIELD2(B3456,E3456,"2019-11-29")</f>
        <v>0.50251256281407031</v>
      </c>
      <c r="T3456"/>
      <c r="U3456">
        <f>[1]!EM_S_RATIO_EPS_TTM(B3456,E3456,"1")</f>
        <v>8.0593639198817055E-2</v>
      </c>
      <c r="AT3456" s="4" t="str">
        <f>[1]!EM_S_IPO_LISTEDDATE(B3456)</f>
        <v>1994-01-10</v>
      </c>
    </row>
    <row r="3457" spans="1:46">
      <c r="A3457">
        <v>173</v>
      </c>
      <c r="B3457" t="str">
        <f>"000564"</f>
        <v>000564</v>
      </c>
      <c r="C3457" t="s">
        <v>2599</v>
      </c>
      <c r="D3457" t="str">
        <f>[1]!EM_S_INFO_INDEX_EM(B3457,"1")</f>
        <v>商贸零售</v>
      </c>
      <c r="E3457" s="4">
        <f t="shared" si="53"/>
        <v>43465</v>
      </c>
      <c r="F3457" s="11">
        <f>[1]!EM_S_PQ_PCTCHANGE(B3457,"2018-01-01","2019-12-31","3")</f>
        <v>-49.895178209999997</v>
      </c>
      <c r="G3457" s="11"/>
      <c r="H3457" s="11">
        <f>[1]!EM_S_FA_YOY_OR(B3457,E3457)</f>
        <v>-41.657013488300002</v>
      </c>
      <c r="I3457" s="11">
        <f>[1]!EM_S_FA_GROSSPROFITMARGIN(B3457,E3457)</f>
        <v>17.597124405700001</v>
      </c>
      <c r="J3457" s="11">
        <f>[1]!EM_S_FA_NETPROFITMARGIN(B3457,E3457)</f>
        <v>4.6993468233</v>
      </c>
      <c r="K3457" s="10">
        <f>[1]!EM_S_FA_ASSETSTURN(B3457,E3457)</f>
        <v>0.29321126616499998</v>
      </c>
      <c r="L3457" s="12">
        <f>[1]!EM_HKS_VAL_MV(B3457,"2019-12-31","2")</f>
        <v>14358709472.09</v>
      </c>
      <c r="M3457">
        <f>[1]!EM_S_VAL_PETTMDEDUCTED(B3457,E3457)</f>
        <v>13.6203527073888</v>
      </c>
      <c r="N3457" s="7">
        <f>[1]!EM_S_VAL_PBGOODWILLDEDUCTED(B3457,E3457)</f>
        <v>0.51872315459727403</v>
      </c>
      <c r="O3457" s="7">
        <f>[1]!EM_S_VAL_PS_TTM(B3457,E3457)</f>
        <v>0.58438352024145401</v>
      </c>
      <c r="P3457" s="7">
        <f>[1]!EM_S_VAL_PCF_NCFTTM(B3457,E3457)</f>
        <v>-3.6463855318840301</v>
      </c>
      <c r="Q3457" s="7">
        <f>[1]!EM_S_VAL_DIVIDENDYIELD2(B3457,E3457,"2019-11-29")</f>
        <v>0</v>
      </c>
      <c r="T3457"/>
      <c r="U3457">
        <f>[1]!EM_S_RATIO_EPS_TTM(B3457,E3457,"1")</f>
        <v>0.12690877096416109</v>
      </c>
      <c r="AT3457" s="4" t="str">
        <f>[1]!EM_S_IPO_LISTEDDATE(B3457)</f>
        <v>1994-01-10</v>
      </c>
    </row>
    <row r="3458" spans="1:46">
      <c r="A3458">
        <v>174</v>
      </c>
      <c r="B3458" t="str">
        <f>"000565"</f>
        <v>000565</v>
      </c>
      <c r="C3458" t="s">
        <v>2193</v>
      </c>
      <c r="D3458" t="str">
        <f>[1]!EM_S_INFO_INDEX_EM(B3458,"1")</f>
        <v>基础化工</v>
      </c>
      <c r="E3458" s="4">
        <f t="shared" si="53"/>
        <v>43465</v>
      </c>
      <c r="F3458" s="11">
        <f>[1]!EM_S_PQ_PCTCHANGE(B3458,"2018-01-01","2019-12-31","3")</f>
        <v>-24.175143219999999</v>
      </c>
      <c r="G3458" s="11"/>
      <c r="H3458" s="11">
        <f>[1]!EM_S_FA_YOY_OR(B3458,E3458)</f>
        <v>-82.509491771399993</v>
      </c>
      <c r="I3458" s="11">
        <f>[1]!EM_S_FA_GROSSPROFITMARGIN(B3458,E3458)</f>
        <v>23.434837265700001</v>
      </c>
      <c r="J3458" s="11">
        <f>[1]!EM_S_FA_NETPROFITMARGIN(B3458,E3458)</f>
        <v>7.1639484108999998</v>
      </c>
      <c r="K3458" s="10">
        <f>[1]!EM_S_FA_ASSETSTURN(B3458,E3458)</f>
        <v>0.41532026221200002</v>
      </c>
      <c r="L3458" s="12">
        <f>[1]!EM_HKS_VAL_MV(B3458,"2019-12-31","2")</f>
        <v>2337062065.8000002</v>
      </c>
      <c r="M3458">
        <f>[1]!EM_S_VAL_PETTMDEDUCTED(B3458,E3458)</f>
        <v>52.219858693863301</v>
      </c>
      <c r="N3458" s="7">
        <f>[1]!EM_S_VAL_PBGOODWILLDEDUCTED(B3458,E3458)</f>
        <v>1.7120922127523399</v>
      </c>
      <c r="O3458" s="7">
        <f>[1]!EM_S_VAL_PS_TTM(B3458,E3458)</f>
        <v>1.9120547723651899</v>
      </c>
      <c r="P3458" s="7">
        <f>[1]!EM_S_VAL_PCF_NCFTTM(B3458,E3458)</f>
        <v>14.8273621289998</v>
      </c>
      <c r="Q3458" s="7">
        <f>[1]!EM_S_VAL_DIVIDENDYIELD2(B3458,E3458,"2019-11-29")</f>
        <v>0.26694045174537989</v>
      </c>
      <c r="T3458"/>
      <c r="U3458">
        <f>[1]!EM_S_RATIO_EPS_TTM(B3458,E3458,"1")</f>
        <v>0.10429517824374247</v>
      </c>
      <c r="AT3458" s="4" t="str">
        <f>[1]!EM_S_IPO_LISTEDDATE(B3458)</f>
        <v>1994-04-08</v>
      </c>
    </row>
    <row r="3459" spans="1:46">
      <c r="A3459">
        <v>176</v>
      </c>
      <c r="B3459" t="str">
        <f>"000567"</f>
        <v>000567</v>
      </c>
      <c r="C3459" t="s">
        <v>137</v>
      </c>
      <c r="D3459" t="str">
        <f>[1]!EM_S_INFO_INDEX_EM(B3459,"1")</f>
        <v>金融</v>
      </c>
      <c r="E3459" s="4">
        <f t="shared" ref="E3459:E3522" si="54">$B$1</f>
        <v>43465</v>
      </c>
      <c r="F3459" s="11">
        <f>[1]!EM_S_PQ_PCTCHANGE(B3459,"2018-01-01","2019-12-31","3")</f>
        <v>-45.334878799999998</v>
      </c>
      <c r="G3459" s="11"/>
      <c r="H3459" s="11">
        <f>[1]!EM_S_FA_YOY_OR(B3459,E3459)</f>
        <v>67.345908369499995</v>
      </c>
      <c r="I3459" s="11">
        <f>[1]!EM_S_FA_GROSSPROFITMARGIN(B3459,E3459)</f>
        <v>0</v>
      </c>
      <c r="J3459" s="11">
        <f>[1]!EM_S_FA_NETPROFITMARGIN(B3459,E3459)</f>
        <v>35.595549784500001</v>
      </c>
      <c r="K3459" s="10">
        <f>[1]!EM_S_FA_ASSETSTURN(B3459,E3459)</f>
        <v>7.8467970575999996E-2</v>
      </c>
      <c r="L3459" s="12">
        <f>[1]!EM_HKS_VAL_MV(B3459,"2019-12-31","2")</f>
        <v>5776661723.2600002</v>
      </c>
      <c r="M3459">
        <f>[1]!EM_S_VAL_PETTMDEDUCTED(B3459,E3459)</f>
        <v>52.7286782537617</v>
      </c>
      <c r="N3459" s="7">
        <f>[1]!EM_S_VAL_PBGOODWILLDEDUCTED(B3459,E3459)</f>
        <v>1.18732237004936</v>
      </c>
      <c r="O3459" s="7">
        <f>[1]!EM_S_VAL_PS_TTM(B3459,E3459)</f>
        <v>15.3971581328393</v>
      </c>
      <c r="P3459" s="7">
        <f>[1]!EM_S_VAL_PCF_NCFTTM(B3459,E3459)</f>
        <v>3.1183987698219999</v>
      </c>
      <c r="Q3459" s="7">
        <f>[1]!EM_S_VAL_DIVIDENDYIELD2(B3459,E3459,"2019-11-29")</f>
        <v>0.41276120086562385</v>
      </c>
      <c r="T3459"/>
      <c r="U3459">
        <f>[1]!EM_S_RATIO_EPS_TTM(B3459,E3459,"1")</f>
        <v>0.27281205409086667</v>
      </c>
      <c r="AT3459" s="4" t="str">
        <f>[1]!EM_S_IPO_LISTEDDATE(B3459)</f>
        <v>1994-05-25</v>
      </c>
    </row>
    <row r="3460" spans="1:46">
      <c r="A3460">
        <v>178</v>
      </c>
      <c r="B3460" t="str">
        <f>"000569"</f>
        <v>000569</v>
      </c>
      <c r="C3460" t="s">
        <v>3180</v>
      </c>
      <c r="D3460">
        <f>[1]!EM_S_INFO_INDEX_EM(B3460,"1")</f>
        <v>0</v>
      </c>
      <c r="E3460" s="4">
        <f t="shared" si="54"/>
        <v>43465</v>
      </c>
      <c r="F3460" s="11">
        <f>[1]!EM_S_PQ_PCTCHANGE(B3460,"2018-01-01","2019-12-31","3")</f>
        <v>0</v>
      </c>
      <c r="G3460" s="11"/>
      <c r="H3460" s="11">
        <f>[1]!EM_S_FA_YOY_OR(B3460,E3460)</f>
        <v>0</v>
      </c>
      <c r="I3460" s="11">
        <f>[1]!EM_S_FA_GROSSPROFITMARGIN(B3460,E3460)</f>
        <v>0</v>
      </c>
      <c r="J3460" s="11">
        <f>[1]!EM_S_FA_NETPROFITMARGIN(B3460,E3460)</f>
        <v>0</v>
      </c>
      <c r="K3460" s="10">
        <f>[1]!EM_S_FA_ASSETSTURN(B3460,E3460)</f>
        <v>0</v>
      </c>
      <c r="L3460" s="12">
        <f>[1]!EM_HKS_VAL_MV(B3460,"2019-12-31","2")</f>
        <v>5317913354.5500002</v>
      </c>
      <c r="M3460">
        <f>[1]!EM_S_VAL_PETTMDEDUCTED(B3460,E3460)</f>
        <v>-10.8603838436066</v>
      </c>
      <c r="N3460" s="7">
        <f>[1]!EM_S_VAL_PBGOODWILLDEDUCTED(B3460,E3460)</f>
        <v>152.944095846745</v>
      </c>
      <c r="O3460" s="7">
        <f>[1]!EM_S_VAL_PS_TTM(B3460,E3460)</f>
        <v>1.62893057446278</v>
      </c>
      <c r="P3460" s="7">
        <f>[1]!EM_S_VAL_PCF_NCFTTM(B3460,E3460)</f>
        <v>-123.62435313685999</v>
      </c>
      <c r="Q3460" s="7">
        <f>[1]!EM_S_VAL_DIVIDENDYIELD2(B3460,E3460,"2019-11-29")</f>
        <v>0</v>
      </c>
      <c r="T3460"/>
      <c r="U3460">
        <f>[1]!EM_S_RATIO_EPS_TTM(B3460,E3460,"1")</f>
        <v>-0.74876807402439249</v>
      </c>
      <c r="AT3460" s="4" t="str">
        <f>[1]!EM_S_IPO_LISTEDDATE(B3460)</f>
        <v>1994-04-25</v>
      </c>
    </row>
    <row r="3461" spans="1:46">
      <c r="A3461">
        <v>179</v>
      </c>
      <c r="B3461" t="str">
        <f>"000570"</f>
        <v>000570</v>
      </c>
      <c r="C3461" t="s">
        <v>2675</v>
      </c>
      <c r="D3461" t="str">
        <f>[1]!EM_S_INFO_INDEX_EM(B3461,"1")</f>
        <v>机械设备</v>
      </c>
      <c r="E3461" s="4">
        <f t="shared" si="54"/>
        <v>43465</v>
      </c>
      <c r="F3461" s="11">
        <f>[1]!EM_S_PQ_PCTCHANGE(B3461,"2018-01-01","2019-12-31","3")</f>
        <v>-16.83872672</v>
      </c>
      <c r="G3461" s="11"/>
      <c r="H3461" s="11">
        <f>[1]!EM_S_FA_YOY_OR(B3461,E3461)</f>
        <v>-11.974790736999999</v>
      </c>
      <c r="I3461" s="11">
        <f>[1]!EM_S_FA_GROSSPROFITMARGIN(B3461,E3461)</f>
        <v>14.9776232246</v>
      </c>
      <c r="J3461" s="11">
        <f>[1]!EM_S_FA_NETPROFITMARGIN(B3461,E3461)</f>
        <v>2.9146522856999999</v>
      </c>
      <c r="K3461" s="10">
        <f>[1]!EM_S_FA_ASSETSTURN(B3461,E3461)</f>
        <v>0.58717822167</v>
      </c>
      <c r="L3461" s="12">
        <f>[1]!EM_HKS_VAL_MV(B3461,"2019-12-31","2")</f>
        <v>2576708156.3400002</v>
      </c>
      <c r="M3461">
        <f>[1]!EM_S_VAL_PETTMDEDUCTED(B3461,E3461)</f>
        <v>241.43715081242999</v>
      </c>
      <c r="N3461" s="7">
        <f>[1]!EM_S_VAL_PBGOODWILLDEDUCTED(B3461,E3461)</f>
        <v>1.02752005657694</v>
      </c>
      <c r="O3461" s="7">
        <f>[1]!EM_S_VAL_PS_TTM(B3461,E3461)</f>
        <v>0.961808850045206</v>
      </c>
      <c r="P3461" s="7">
        <f>[1]!EM_S_VAL_PCF_NCFTTM(B3461,E3461)</f>
        <v>-8.4060992965100496</v>
      </c>
      <c r="Q3461" s="7">
        <f>[1]!EM_S_VAL_DIVIDENDYIELD2(B3461,E3461,"2019-11-29")</f>
        <v>0.57603686635944706</v>
      </c>
      <c r="T3461"/>
      <c r="U3461">
        <f>[1]!EM_S_RATIO_EPS_TTM(B3461,E3461,"1")</f>
        <v>0.11048131552777851</v>
      </c>
      <c r="AT3461" s="4" t="str">
        <f>[1]!EM_S_IPO_LISTEDDATE(B3461)</f>
        <v>1994-07-01</v>
      </c>
    </row>
    <row r="3462" spans="1:46">
      <c r="A3462">
        <v>180</v>
      </c>
      <c r="B3462" t="str">
        <f>"000571"</f>
        <v>000571</v>
      </c>
      <c r="C3462" t="s">
        <v>2407</v>
      </c>
      <c r="D3462" t="str">
        <f>[1]!EM_S_INFO_INDEX_EM(B3462,"1")</f>
        <v>综合</v>
      </c>
      <c r="E3462" s="4">
        <f t="shared" si="54"/>
        <v>43465</v>
      </c>
      <c r="F3462" s="11">
        <f>[1]!EM_S_PQ_PCTCHANGE(B3462,"2018-01-01","2019-12-31","3")</f>
        <v>-49.444444439999998</v>
      </c>
      <c r="G3462" s="11"/>
      <c r="H3462" s="11">
        <f>[1]!EM_S_FA_YOY_OR(B3462,E3462)</f>
        <v>-0.91380901010000004</v>
      </c>
      <c r="I3462" s="11">
        <f>[1]!EM_S_FA_GROSSPROFITMARGIN(B3462,E3462)</f>
        <v>27.7832090681</v>
      </c>
      <c r="J3462" s="11">
        <f>[1]!EM_S_FA_NETPROFITMARGIN(B3462,E3462)</f>
        <v>-66.872988650699995</v>
      </c>
      <c r="K3462" s="10">
        <f>[1]!EM_S_FA_ASSETSTURN(B3462,E3462)</f>
        <v>0.33772145349900001</v>
      </c>
      <c r="L3462" s="12">
        <f>[1]!EM_HKS_VAL_MV(B3462,"2019-12-31","2")</f>
        <v>2222394720</v>
      </c>
      <c r="M3462">
        <f>[1]!EM_S_VAL_PETTMDEDUCTED(B3462,E3462)</f>
        <v>-21.639216258848201</v>
      </c>
      <c r="N3462" s="7">
        <f>[1]!EM_S_VAL_PBGOODWILLDEDUCTED(B3462,E3462)</f>
        <v>2.1288937356829201</v>
      </c>
      <c r="O3462" s="7">
        <f>[1]!EM_S_VAL_PS_TTM(B3462,E3462)</f>
        <v>1.4078093799334801</v>
      </c>
      <c r="P3462" s="7">
        <f>[1]!EM_S_VAL_PCF_NCFTTM(B3462,E3462)</f>
        <v>-13.460397485986901</v>
      </c>
      <c r="Q3462" s="7">
        <f>[1]!EM_S_VAL_DIVIDENDYIELD2(B3462,E3462,"2019-11-29")</f>
        <v>0</v>
      </c>
      <c r="T3462"/>
      <c r="U3462">
        <f>[1]!EM_S_RATIO_EPS_TTM(B3462,E3462,"1")</f>
        <v>-1.0788028351824919</v>
      </c>
      <c r="AT3462" s="4" t="str">
        <f>[1]!EM_S_IPO_LISTEDDATE(B3462)</f>
        <v>1994-05-25</v>
      </c>
    </row>
    <row r="3463" spans="1:46">
      <c r="A3463">
        <v>181</v>
      </c>
      <c r="B3463" t="str">
        <f>"000572"</f>
        <v>000572</v>
      </c>
      <c r="C3463" t="s">
        <v>3436</v>
      </c>
      <c r="D3463" t="str">
        <f>[1]!EM_S_INFO_INDEX_EM(B3463,"1")</f>
        <v>交运设备</v>
      </c>
      <c r="E3463" s="4">
        <f t="shared" si="54"/>
        <v>43465</v>
      </c>
      <c r="F3463" s="11">
        <f>[1]!EM_S_PQ_PCTCHANGE(B3463,"2018-01-01","2019-12-31","3")</f>
        <v>-58.733624450000001</v>
      </c>
      <c r="G3463" s="11"/>
      <c r="H3463" s="11">
        <f>[1]!EM_S_FA_YOY_OR(B3463,E3463)</f>
        <v>-47.877173016199997</v>
      </c>
      <c r="I3463" s="11">
        <f>[1]!EM_S_FA_GROSSPROFITMARGIN(B3463,E3463)</f>
        <v>7.0066136959999996</v>
      </c>
      <c r="J3463" s="11">
        <f>[1]!EM_S_FA_NETPROFITMARGIN(B3463,E3463)</f>
        <v>-45.042161320200002</v>
      </c>
      <c r="K3463" s="10">
        <f>[1]!EM_S_FA_ASSETSTURN(B3463,E3463)</f>
        <v>0.388836745215</v>
      </c>
      <c r="L3463" s="12">
        <f>[1]!EM_HKS_VAL_MV(B3463,"2019-12-31","2")</f>
        <v>3108362845.1399999</v>
      </c>
      <c r="M3463">
        <f>[1]!EM_S_VAL_PETTMDEDUCTED(B3463,E3463)</f>
        <v>-2.3293075008116402</v>
      </c>
      <c r="N3463" s="7">
        <f>[1]!EM_S_VAL_PBGOODWILLDEDUCTED(B3463,E3463)</f>
        <v>0.717223915784443</v>
      </c>
      <c r="O3463" s="7">
        <f>[1]!EM_S_VAL_PS_TTM(B3463,E3463)</f>
        <v>0.49257401451555999</v>
      </c>
      <c r="P3463" s="7">
        <f>[1]!EM_S_VAL_PCF_NCFTTM(B3463,E3463)</f>
        <v>-2.2280781842509398</v>
      </c>
      <c r="Q3463" s="7">
        <f>[1]!EM_S_VAL_DIVIDENDYIELD2(B3463,E3463,"2019-11-29")</f>
        <v>0</v>
      </c>
      <c r="T3463"/>
      <c r="U3463">
        <f>[1]!EM_S_RATIO_EPS_TTM(B3463,E3463,"1")</f>
        <v>-0.99546642420651332</v>
      </c>
      <c r="AT3463" s="4" t="str">
        <f>[1]!EM_S_IPO_LISTEDDATE(B3463)</f>
        <v>1994-08-08</v>
      </c>
    </row>
    <row r="3464" spans="1:46">
      <c r="A3464">
        <v>184</v>
      </c>
      <c r="B3464" t="str">
        <f>"000578"</f>
        <v>000578</v>
      </c>
      <c r="C3464" t="s">
        <v>3179</v>
      </c>
      <c r="D3464">
        <f>[1]!EM_S_INFO_INDEX_EM(B3464,"1")</f>
        <v>0</v>
      </c>
      <c r="E3464" s="4">
        <f t="shared" si="54"/>
        <v>43465</v>
      </c>
      <c r="F3464" s="11">
        <f>[1]!EM_S_PQ_PCTCHANGE(B3464,"2018-01-01","2019-12-31","3")</f>
        <v>0</v>
      </c>
      <c r="G3464" s="11"/>
      <c r="H3464" s="11">
        <f>[1]!EM_S_FA_YOY_OR(B3464,E3464)</f>
        <v>0</v>
      </c>
      <c r="I3464" s="11">
        <f>[1]!EM_S_FA_GROSSPROFITMARGIN(B3464,E3464)</f>
        <v>0</v>
      </c>
      <c r="J3464" s="11">
        <f>[1]!EM_S_FA_NETPROFITMARGIN(B3464,E3464)</f>
        <v>0</v>
      </c>
      <c r="K3464" s="10">
        <f>[1]!EM_S_FA_ASSETSTURN(B3464,E3464)</f>
        <v>0</v>
      </c>
      <c r="L3464" s="12">
        <f>[1]!EM_HKS_VAL_MV(B3464,"2019-12-31","2")</f>
        <v>74972534037.960007</v>
      </c>
      <c r="M3464">
        <f>[1]!EM_S_VAL_PETTMDEDUCTED(B3464,E3464)</f>
        <v>49.576061385311803</v>
      </c>
      <c r="N3464" s="7">
        <f>[1]!EM_S_VAL_PBGOODWILLDEDUCTED(B3464,E3464)</f>
        <v>8.5971590800475806</v>
      </c>
      <c r="O3464" s="7">
        <f>[1]!EM_S_VAL_PS_TTM(B3464,E3464)</f>
        <v>12.714612073958801</v>
      </c>
      <c r="P3464" s="7">
        <f>[1]!EM_S_VAL_PCF_NCFTTM(B3464,E3464)</f>
        <v>-1380.8141560449401</v>
      </c>
      <c r="Q3464" s="7">
        <f>[1]!EM_S_VAL_DIVIDENDYIELD2(B3464,E3464,"2019-11-29")</f>
        <v>0</v>
      </c>
      <c r="T3464"/>
      <c r="U3464">
        <f>[1]!EM_S_RATIO_EPS_TTM(B3464,E3464,"1")</f>
        <v>0.48877312803809159</v>
      </c>
      <c r="AT3464" s="4" t="str">
        <f>[1]!EM_S_IPO_LISTEDDATE(B3464)</f>
        <v>1995-03-03</v>
      </c>
    </row>
    <row r="3465" spans="1:46">
      <c r="A3465">
        <v>185</v>
      </c>
      <c r="B3465" t="str">
        <f>"000581"</f>
        <v>000581</v>
      </c>
      <c r="C3465" t="s">
        <v>280</v>
      </c>
      <c r="D3465" t="str">
        <f>[1]!EM_S_INFO_INDEX_EM(B3465,"1")</f>
        <v>交运设备</v>
      </c>
      <c r="E3465" s="4">
        <f t="shared" si="54"/>
        <v>43465</v>
      </c>
      <c r="F3465" s="11">
        <f>[1]!EM_S_PQ_PCTCHANGE(B3465,"2018-01-01","2019-12-31","3")</f>
        <v>-10.735310610000001</v>
      </c>
      <c r="G3465" s="11"/>
      <c r="H3465" s="11">
        <f>[1]!EM_S_FA_YOY_OR(B3465,E3465)</f>
        <v>-3.2782112053999999</v>
      </c>
      <c r="I3465" s="11">
        <f>[1]!EM_S_FA_GROSSPROFITMARGIN(B3465,E3465)</f>
        <v>23.2732578058</v>
      </c>
      <c r="J3465" s="11">
        <f>[1]!EM_S_FA_NETPROFITMARGIN(B3465,E3465)</f>
        <v>28.277765411499999</v>
      </c>
      <c r="K3465" s="10">
        <f>[1]!EM_S_FA_ASSETSTURN(B3465,E3465)</f>
        <v>0.42417452801900002</v>
      </c>
      <c r="L3465" s="12">
        <f>[1]!EM_HKS_VAL_MV(B3465,"2019-12-31","2")</f>
        <v>19220508358.5</v>
      </c>
      <c r="M3465">
        <f>[1]!EM_S_VAL_PETTMDEDUCTED(B3465,E3465)</f>
        <v>7.2301719158397004</v>
      </c>
      <c r="N3465" s="7">
        <f>[1]!EM_S_VAL_PBGOODWILLDEDUCTED(B3465,E3465)</f>
        <v>1.1197848806398001</v>
      </c>
      <c r="O3465" s="7">
        <f>[1]!EM_S_VAL_PS_TTM(B3465,E3465)</f>
        <v>1.9126567192339099</v>
      </c>
      <c r="P3465" s="7">
        <f>[1]!EM_S_VAL_PCF_NCFTTM(B3465,E3465)</f>
        <v>16.834282847164101</v>
      </c>
      <c r="Q3465" s="7">
        <f>[1]!EM_S_VAL_DIVIDENDYIELD2(B3465,E3465,"2019-11-29")</f>
        <v>6.4516129032258061</v>
      </c>
      <c r="T3465"/>
      <c r="U3465">
        <f>[1]!EM_S_RATIO_EPS_TTM(B3465,E3465,"1")</f>
        <v>2.3748214099428084</v>
      </c>
      <c r="AT3465" s="4" t="str">
        <f>[1]!EM_S_IPO_LISTEDDATE(B3465)</f>
        <v>1998-09-24</v>
      </c>
    </row>
    <row r="3466" spans="1:46">
      <c r="A3466">
        <v>187</v>
      </c>
      <c r="B3466" t="str">
        <f>"000583"</f>
        <v>000583</v>
      </c>
      <c r="C3466" t="s">
        <v>3178</v>
      </c>
      <c r="D3466">
        <f>[1]!EM_S_INFO_INDEX_EM(B3466,"1")</f>
        <v>0</v>
      </c>
      <c r="E3466" s="4">
        <f t="shared" si="54"/>
        <v>43465</v>
      </c>
      <c r="F3466" s="11">
        <f>[1]!EM_S_PQ_PCTCHANGE(B3466,"2018-01-01","2019-12-31","3")</f>
        <v>0</v>
      </c>
      <c r="G3466" s="11"/>
      <c r="H3466" s="11">
        <f>[1]!EM_S_FA_YOY_OR(B3466,E3466)</f>
        <v>0</v>
      </c>
      <c r="I3466" s="11">
        <f>[1]!EM_S_FA_GROSSPROFITMARGIN(B3466,E3466)</f>
        <v>0</v>
      </c>
      <c r="J3466" s="11">
        <f>[1]!EM_S_FA_NETPROFITMARGIN(B3466,E3466)</f>
        <v>0</v>
      </c>
      <c r="K3466" s="10">
        <f>[1]!EM_S_FA_ASSETSTURN(B3466,E3466)</f>
        <v>0</v>
      </c>
      <c r="L3466" s="12">
        <f>[1]!EM_HKS_VAL_MV(B3466,"2019-12-31","2")</f>
        <v>176058707.44</v>
      </c>
      <c r="M3466">
        <f>[1]!EM_S_VAL_PETTMDEDUCTED(B3466,E3466)</f>
        <v>-9.4934623747962199</v>
      </c>
      <c r="N3466" s="7">
        <f>[1]!EM_S_VAL_PBGOODWILLDEDUCTED(B3466,E3466)</f>
        <v>-8.4972079176136597E-2</v>
      </c>
      <c r="O3466" s="7">
        <f>[1]!EM_S_VAL_PS_TTM(B3466,E3466)</f>
        <v>0</v>
      </c>
      <c r="P3466" s="7">
        <f>[1]!EM_S_VAL_PCF_NCFTTM(B3466,E3466)</f>
        <v>1746094.49013191</v>
      </c>
      <c r="Q3466" s="7">
        <f>[1]!EM_S_VAL_DIVIDENDYIELD2(B3466,E3466,"2019-11-29")</f>
        <v>0</v>
      </c>
      <c r="T3466"/>
      <c r="U3466">
        <f>[1]!EM_S_RATIO_EPS_TTM(B3466,E3466,"1")</f>
        <v>-8.5466291309266709E-2</v>
      </c>
      <c r="AT3466" s="4" t="str">
        <f>[1]!EM_S_IPO_LISTEDDATE(B3466)</f>
        <v>1995-11-01</v>
      </c>
    </row>
    <row r="3467" spans="1:46">
      <c r="A3467">
        <v>189</v>
      </c>
      <c r="B3467" t="str">
        <f>"000585"</f>
        <v>000585</v>
      </c>
      <c r="C3467" t="s">
        <v>3535</v>
      </c>
      <c r="D3467" t="str">
        <f>[1]!EM_S_INFO_INDEX_EM(B3467,"1")</f>
        <v>电气设备</v>
      </c>
      <c r="E3467" s="4">
        <f t="shared" si="54"/>
        <v>43465</v>
      </c>
      <c r="F3467" s="11">
        <f>[1]!EM_S_PQ_PCTCHANGE(B3467,"2018-01-01","2019-12-31","3")</f>
        <v>-62.73764259</v>
      </c>
      <c r="G3467" s="11"/>
      <c r="H3467" s="11">
        <f>[1]!EM_S_FA_YOY_OR(B3467,E3467)</f>
        <v>-2.0444293641</v>
      </c>
      <c r="I3467" s="11">
        <f>[1]!EM_S_FA_GROSSPROFITMARGIN(B3467,E3467)</f>
        <v>17.071293327799999</v>
      </c>
      <c r="J3467" s="11">
        <f>[1]!EM_S_FA_NETPROFITMARGIN(B3467,E3467)</f>
        <v>43.632178516000003</v>
      </c>
      <c r="K3467" s="10">
        <f>[1]!EM_S_FA_ASSETSTURN(B3467,E3467)</f>
        <v>7.9648658425000005E-2</v>
      </c>
      <c r="L3467" s="12">
        <f>[1]!EM_HKS_VAL_MV(B3467,"2019-12-31","2")</f>
        <v>1711805200</v>
      </c>
      <c r="M3467">
        <f>[1]!EM_S_VAL_PETTMDEDUCTED(B3467,E3467)</f>
        <v>-20.6888255175264</v>
      </c>
      <c r="N3467" s="7">
        <f>[1]!EM_S_VAL_PBGOODWILLDEDUCTED(B3467,E3467)</f>
        <v>206.709561005832</v>
      </c>
      <c r="O3467" s="7">
        <f>[1]!EM_S_VAL_PS_TTM(B3467,E3467)</f>
        <v>55.397288901103899</v>
      </c>
      <c r="P3467" s="7">
        <f>[1]!EM_S_VAL_PCF_NCFTTM(B3467,E3467)</f>
        <v>39.6161428607926</v>
      </c>
      <c r="Q3467" s="7">
        <f>[1]!EM_S_VAL_DIVIDENDYIELD2(B3467,E3467,"2019-11-29")</f>
        <v>0</v>
      </c>
      <c r="T3467"/>
      <c r="U3467">
        <f>[1]!EM_S_RATIO_EPS_TTM(B3467,E3467,"1")</f>
        <v>1.6712362950410477E-2</v>
      </c>
      <c r="AT3467" s="4" t="str">
        <f>[1]!EM_S_IPO_LISTEDDATE(B3467)</f>
        <v>1995-12-13</v>
      </c>
    </row>
    <row r="3468" spans="1:46">
      <c r="A3468">
        <v>190</v>
      </c>
      <c r="B3468" t="str">
        <f>"000586"</f>
        <v>000586</v>
      </c>
      <c r="C3468" t="s">
        <v>3504</v>
      </c>
      <c r="D3468" t="str">
        <f>[1]!EM_S_INFO_INDEX_EM(B3468,"1")</f>
        <v>信息技术</v>
      </c>
      <c r="E3468" s="4">
        <f t="shared" si="54"/>
        <v>43465</v>
      </c>
      <c r="F3468" s="11">
        <f>[1]!EM_S_PQ_PCTCHANGE(B3468,"2018-01-01","2019-12-31","3")</f>
        <v>-43.390964859999997</v>
      </c>
      <c r="G3468" s="11"/>
      <c r="H3468" s="11">
        <f>[1]!EM_S_FA_YOY_OR(B3468,E3468)</f>
        <v>9.3184566864999994</v>
      </c>
      <c r="I3468" s="11">
        <f>[1]!EM_S_FA_GROSSPROFITMARGIN(B3468,E3468)</f>
        <v>21.637089162399999</v>
      </c>
      <c r="J3468" s="11">
        <f>[1]!EM_S_FA_NETPROFITMARGIN(B3468,E3468)</f>
        <v>-0.43771631449999998</v>
      </c>
      <c r="K3468" s="10">
        <f>[1]!EM_S_FA_ASSETSTURN(B3468,E3468)</f>
        <v>0.73565504287100003</v>
      </c>
      <c r="L3468" s="12">
        <f>[1]!EM_HKS_VAL_MV(B3468,"2019-12-31","2")</f>
        <v>1963416000</v>
      </c>
      <c r="M3468">
        <f>[1]!EM_S_VAL_PETTMDEDUCTED(B3468,E3468)</f>
        <v>-315.08085110981398</v>
      </c>
      <c r="N3468" s="7">
        <f>[1]!EM_S_VAL_PBGOODWILLDEDUCTED(B3468,E3468)</f>
        <v>9.53387531729412</v>
      </c>
      <c r="O3468" s="7">
        <f>[1]!EM_S_VAL_PS_TTM(B3468,E3468)</f>
        <v>6.3575460134177799</v>
      </c>
      <c r="P3468" s="7">
        <f>[1]!EM_S_VAL_PCF_NCFTTM(B3468,E3468)</f>
        <v>-230.83321091198101</v>
      </c>
      <c r="Q3468" s="7">
        <f>[1]!EM_S_VAL_DIVIDENDYIELD2(B3468,E3468,"2019-11-29")</f>
        <v>0</v>
      </c>
      <c r="T3468"/>
      <c r="U3468">
        <f>[1]!EM_S_RATIO_EPS_TTM(B3468,E3468,"1")</f>
        <v>-1.4976131048387097E-2</v>
      </c>
      <c r="AT3468" s="4" t="str">
        <f>[1]!EM_S_IPO_LISTEDDATE(B3468)</f>
        <v>1995-12-20</v>
      </c>
    </row>
    <row r="3469" spans="1:46">
      <c r="A3469">
        <v>191</v>
      </c>
      <c r="B3469" t="str">
        <f>"000587"</f>
        <v>000587</v>
      </c>
      <c r="C3469" t="s">
        <v>2179</v>
      </c>
      <c r="D3469" t="str">
        <f>[1]!EM_S_INFO_INDEX_EM(B3469,"1")</f>
        <v>轻工制造</v>
      </c>
      <c r="E3469" s="4">
        <f t="shared" si="54"/>
        <v>43465</v>
      </c>
      <c r="F3469" s="11">
        <f>[1]!EM_S_PQ_PCTCHANGE(B3469,"2018-01-01","2019-12-31","3")</f>
        <v>-74</v>
      </c>
      <c r="G3469" s="11"/>
      <c r="H3469" s="11">
        <f>[1]!EM_S_FA_YOY_OR(B3469,E3469)</f>
        <v>-10.4123692546</v>
      </c>
      <c r="I3469" s="11">
        <f>[1]!EM_S_FA_GROSSPROFITMARGIN(B3469,E3469)</f>
        <v>2.1704286659999998</v>
      </c>
      <c r="J3469" s="11">
        <f>[1]!EM_S_FA_NETPROFITMARGIN(B3469,E3469)</f>
        <v>-29.3191873128</v>
      </c>
      <c r="K3469" s="10">
        <f>[1]!EM_S_FA_ASSETSTURN(B3469,E3469)</f>
        <v>0.31219765810400002</v>
      </c>
      <c r="L3469" s="12">
        <f>[1]!EM_HKS_VAL_MV(B3469,"2019-12-31","2")</f>
        <v>3865223780.5999999</v>
      </c>
      <c r="M3469">
        <f>[1]!EM_S_VAL_PETTMDEDUCTED(B3469,E3469)</f>
        <v>50.541437426901297</v>
      </c>
      <c r="N3469" s="7">
        <f>[1]!EM_S_VAL_PBGOODWILLDEDUCTED(B3469,E3469)</f>
        <v>1.4643094289145799</v>
      </c>
      <c r="O3469" s="7">
        <f>[1]!EM_S_VAL_PS_TTM(B3469,E3469)</f>
        <v>0.33475688078184701</v>
      </c>
      <c r="P3469" s="7">
        <f>[1]!EM_S_VAL_PCF_NCFTTM(B3469,E3469)</f>
        <v>-6.1588067825126398</v>
      </c>
      <c r="Q3469" s="7">
        <f>[1]!EM_S_VAL_DIVIDENDYIELD2(B3469,E3469,"2019-11-29")</f>
        <v>0</v>
      </c>
      <c r="T3469"/>
      <c r="U3469">
        <f>[1]!EM_S_RATIO_EPS_TTM(B3469,E3469,"1")</f>
        <v>-1.3405800896897753</v>
      </c>
      <c r="AT3469" s="4" t="str">
        <f>[1]!EM_S_IPO_LISTEDDATE(B3469)</f>
        <v>1996-04-25</v>
      </c>
    </row>
    <row r="3470" spans="1:46">
      <c r="A3470">
        <v>192</v>
      </c>
      <c r="B3470" t="str">
        <f>"000588"</f>
        <v>000588</v>
      </c>
      <c r="C3470" t="s">
        <v>3177</v>
      </c>
      <c r="D3470">
        <f>[1]!EM_S_INFO_INDEX_EM(B3470,"1")</f>
        <v>0</v>
      </c>
      <c r="E3470" s="4">
        <f t="shared" si="54"/>
        <v>43465</v>
      </c>
      <c r="F3470" s="11">
        <f>[1]!EM_S_PQ_PCTCHANGE(B3470,"2018-01-01","2019-12-31","3")</f>
        <v>0</v>
      </c>
      <c r="G3470" s="11"/>
      <c r="H3470" s="11">
        <f>[1]!EM_S_FA_YOY_OR(B3470,E3470)</f>
        <v>-5.7882616893999996</v>
      </c>
      <c r="I3470" s="11">
        <f>[1]!EM_S_FA_GROSSPROFITMARGIN(B3470,E3470)</f>
        <v>35.745389640900001</v>
      </c>
      <c r="J3470" s="11">
        <f>[1]!EM_S_FA_NETPROFITMARGIN(B3470,E3470)</f>
        <v>113.62121731240001</v>
      </c>
      <c r="K3470" s="10">
        <f>[1]!EM_S_FA_ASSETSTURN(B3470,E3470)</f>
        <v>0.22243312727699999</v>
      </c>
      <c r="L3470" s="12">
        <f>[1]!EM_HKS_VAL_MV(B3470,"2019-12-31","2")</f>
        <v>1743301240.53</v>
      </c>
      <c r="M3470">
        <f>[1]!EM_S_VAL_PETTMDEDUCTED(B3470,E3470)</f>
        <v>169.495006610947</v>
      </c>
      <c r="N3470" s="7">
        <f>[1]!EM_S_VAL_PBGOODWILLDEDUCTED(B3470,E3470)</f>
        <v>4.72882693087137</v>
      </c>
      <c r="O3470" s="7">
        <f>[1]!EM_S_VAL_PS_TTM(B3470,E3470)</f>
        <v>11.745106400150901</v>
      </c>
      <c r="P3470" s="7">
        <f>[1]!EM_S_VAL_PCF_NCFTTM(B3470,E3470)</f>
        <v>317.86678563673098</v>
      </c>
      <c r="Q3470" s="7">
        <f>[1]!EM_S_VAL_DIVIDENDYIELD2(B3470,E3470,"2019-11-29")</f>
        <v>0</v>
      </c>
      <c r="T3470"/>
      <c r="U3470">
        <f>[1]!EM_S_RATIO_EPS_TTM(B3470,E3470,"1")</f>
        <v>0.36216646497575583</v>
      </c>
      <c r="AT3470" s="4" t="str">
        <f>[1]!EM_S_IPO_LISTEDDATE(B3470)</f>
        <v>1996-01-23</v>
      </c>
    </row>
    <row r="3471" spans="1:46">
      <c r="A3471">
        <v>193</v>
      </c>
      <c r="B3471" t="str">
        <f>"000589"</f>
        <v>000589</v>
      </c>
      <c r="C3471" t="s">
        <v>3022</v>
      </c>
      <c r="D3471" t="str">
        <f>[1]!EM_S_INFO_INDEX_EM(B3471,"1")</f>
        <v>基础化工</v>
      </c>
      <c r="E3471" s="4">
        <f t="shared" si="54"/>
        <v>43465</v>
      </c>
      <c r="F3471" s="11">
        <f>[1]!EM_S_PQ_PCTCHANGE(B3471,"2018-01-01","2019-12-31","3")</f>
        <v>-0.21413276000000001</v>
      </c>
      <c r="G3471" s="11"/>
      <c r="H3471" s="11">
        <f>[1]!EM_S_FA_YOY_OR(B3471,E3471)</f>
        <v>-1.9294784304999999</v>
      </c>
      <c r="I3471" s="11">
        <f>[1]!EM_S_FA_GROSSPROFITMARGIN(B3471,E3471)</f>
        <v>15.172546265499999</v>
      </c>
      <c r="J3471" s="11">
        <f>[1]!EM_S_FA_NETPROFITMARGIN(B3471,E3471)</f>
        <v>1.2918526929</v>
      </c>
      <c r="K3471" s="10">
        <f>[1]!EM_S_FA_ASSETSTURN(B3471,E3471)</f>
        <v>0.67588384084300002</v>
      </c>
      <c r="L3471" s="12">
        <f>[1]!EM_HKS_VAL_MV(B3471,"2019-12-31","2")</f>
        <v>3613663656.6399999</v>
      </c>
      <c r="M3471">
        <f>[1]!EM_S_VAL_PETTMDEDUCTED(B3471,E3471)</f>
        <v>-20.743536377073699</v>
      </c>
      <c r="N3471" s="7">
        <f>[1]!EM_S_VAL_PBGOODWILLDEDUCTED(B3471,E3471)</f>
        <v>0.76332965899383898</v>
      </c>
      <c r="O3471" s="7">
        <f>[1]!EM_S_VAL_PS_TTM(B3471,E3471)</f>
        <v>0.36622524985358901</v>
      </c>
      <c r="P3471" s="7">
        <f>[1]!EM_S_VAL_PCF_NCFTTM(B3471,E3471)</f>
        <v>10.512668291311099</v>
      </c>
      <c r="Q3471" s="7">
        <f>[1]!EM_S_VAL_DIVIDENDYIELD2(B3471,E3471,"2019-11-29")</f>
        <v>0</v>
      </c>
      <c r="T3471"/>
      <c r="U3471">
        <f>[1]!EM_S_RATIO_EPS_TTM(B3471,E3471,"1")</f>
        <v>0.11370367860285158</v>
      </c>
      <c r="AT3471" s="4" t="str">
        <f>[1]!EM_S_IPO_LISTEDDATE(B3471)</f>
        <v>1996-03-08</v>
      </c>
    </row>
    <row r="3472" spans="1:46">
      <c r="A3472">
        <v>194</v>
      </c>
      <c r="B3472" t="str">
        <f>"000590"</f>
        <v>000590</v>
      </c>
      <c r="C3472" t="s">
        <v>2296</v>
      </c>
      <c r="D3472" t="str">
        <f>[1]!EM_S_INFO_INDEX_EM(B3472,"1")</f>
        <v>医药生物</v>
      </c>
      <c r="E3472" s="4">
        <f t="shared" si="54"/>
        <v>43465</v>
      </c>
      <c r="F3472" s="11">
        <f>[1]!EM_S_PQ_PCTCHANGE(B3472,"2018-01-01","2019-12-31","3")</f>
        <v>-23.480486240000001</v>
      </c>
      <c r="G3472" s="11"/>
      <c r="H3472" s="11">
        <f>[1]!EM_S_FA_YOY_OR(B3472,E3472)</f>
        <v>-45.912717897699999</v>
      </c>
      <c r="I3472" s="11">
        <f>[1]!EM_S_FA_GROSSPROFITMARGIN(B3472,E3472)</f>
        <v>47.228962995300002</v>
      </c>
      <c r="J3472" s="11">
        <f>[1]!EM_S_FA_NETPROFITMARGIN(B3472,E3472)</f>
        <v>-20.547977935999999</v>
      </c>
      <c r="K3472" s="10">
        <f>[1]!EM_S_FA_ASSETSTURN(B3472,E3472)</f>
        <v>0.21985114116099999</v>
      </c>
      <c r="L3472" s="12">
        <f>[1]!EM_HKS_VAL_MV(B3472,"2019-12-31","2")</f>
        <v>2864076353.3200002</v>
      </c>
      <c r="M3472">
        <f>[1]!EM_S_VAL_PETTMDEDUCTED(B3472,E3472)</f>
        <v>-139.001351390889</v>
      </c>
      <c r="N3472" s="7">
        <f>[1]!EM_S_VAL_PBGOODWILLDEDUCTED(B3472,E3472)</f>
        <v>3.1394216598654201</v>
      </c>
      <c r="O3472" s="7">
        <f>[1]!EM_S_VAL_PS_TTM(B3472,E3472)</f>
        <v>7.1827101745439297</v>
      </c>
      <c r="P3472" s="7">
        <f>[1]!EM_S_VAL_PCF_NCFTTM(B3472,E3472)</f>
        <v>15.937977385088599</v>
      </c>
      <c r="Q3472" s="7">
        <f>[1]!EM_S_VAL_DIVIDENDYIELD2(B3472,E3472,"2019-11-29")</f>
        <v>0</v>
      </c>
      <c r="T3472"/>
      <c r="U3472">
        <f>[1]!EM_S_RATIO_EPS_TTM(B3472,E3472,"1")</f>
        <v>-0.15943627374719654</v>
      </c>
      <c r="AT3472" s="4" t="str">
        <f>[1]!EM_S_IPO_LISTEDDATE(B3472)</f>
        <v>1996-01-19</v>
      </c>
    </row>
    <row r="3473" spans="1:46">
      <c r="A3473">
        <v>197</v>
      </c>
      <c r="B3473" t="str">
        <f>"000593"</f>
        <v>000593</v>
      </c>
      <c r="C3473" t="s">
        <v>3294</v>
      </c>
      <c r="D3473" t="str">
        <f>[1]!EM_S_INFO_INDEX_EM(B3473,"1")</f>
        <v>公用事业</v>
      </c>
      <c r="E3473" s="4">
        <f t="shared" si="54"/>
        <v>43465</v>
      </c>
      <c r="F3473" s="11">
        <f>[1]!EM_S_PQ_PCTCHANGE(B3473,"2018-01-01","2019-12-31","3")</f>
        <v>-32.814238039999999</v>
      </c>
      <c r="G3473" s="11"/>
      <c r="H3473" s="11">
        <f>[1]!EM_S_FA_YOY_OR(B3473,E3473)</f>
        <v>29.9378760737</v>
      </c>
      <c r="I3473" s="11">
        <f>[1]!EM_S_FA_GROSSPROFITMARGIN(B3473,E3473)</f>
        <v>22.5265232253</v>
      </c>
      <c r="J3473" s="11">
        <f>[1]!EM_S_FA_NETPROFITMARGIN(B3473,E3473)</f>
        <v>-29.5358700932</v>
      </c>
      <c r="K3473" s="10">
        <f>[1]!EM_S_FA_ASSETSTURN(B3473,E3473)</f>
        <v>0.37566754704400002</v>
      </c>
      <c r="L3473" s="12">
        <f>[1]!EM_HKS_VAL_MV(B3473,"2019-12-31","2")</f>
        <v>2166131294.3600001</v>
      </c>
      <c r="M3473">
        <f>[1]!EM_S_VAL_PETTMDEDUCTED(B3473,E3473)</f>
        <v>66.360028887951998</v>
      </c>
      <c r="N3473" s="7">
        <f>[1]!EM_S_VAL_PBGOODWILLDEDUCTED(B3473,E3473)</f>
        <v>3.61674645995345</v>
      </c>
      <c r="O3473" s="7">
        <f>[1]!EM_S_VAL_PS_TTM(B3473,E3473)</f>
        <v>3.7336843527080799</v>
      </c>
      <c r="P3473" s="7">
        <f>[1]!EM_S_VAL_PCF_NCFTTM(B3473,E3473)</f>
        <v>-888.14822474176594</v>
      </c>
      <c r="Q3473" s="7">
        <f>[1]!EM_S_VAL_DIVIDENDYIELD2(B3473,E3473,"2019-11-29")</f>
        <v>0</v>
      </c>
      <c r="T3473"/>
      <c r="U3473">
        <f>[1]!EM_S_RATIO_EPS_TTM(B3473,E3473,"1")</f>
        <v>-0.51761596758633888</v>
      </c>
      <c r="AT3473" s="4" t="str">
        <f>[1]!EM_S_IPO_LISTEDDATE(B3473)</f>
        <v>1996-03-12</v>
      </c>
    </row>
    <row r="3474" spans="1:46">
      <c r="A3474">
        <v>198</v>
      </c>
      <c r="B3474" t="str">
        <f>"000594"</f>
        <v>000594</v>
      </c>
      <c r="C3474" t="s">
        <v>3176</v>
      </c>
      <c r="D3474">
        <f>[1]!EM_S_INFO_INDEX_EM(B3474,"1")</f>
        <v>0</v>
      </c>
      <c r="E3474" s="4">
        <f t="shared" si="54"/>
        <v>43465</v>
      </c>
      <c r="F3474" s="11">
        <f>[1]!EM_S_PQ_PCTCHANGE(B3474,"2018-01-01","2019-12-31","3")</f>
        <v>0</v>
      </c>
      <c r="G3474" s="11"/>
      <c r="H3474" s="11">
        <f>[1]!EM_S_FA_YOY_OR(B3474,E3474)</f>
        <v>-83.331518520299994</v>
      </c>
      <c r="I3474" s="11">
        <f>[1]!EM_S_FA_GROSSPROFITMARGIN(B3474,E3474)</f>
        <v>-270.14440745360002</v>
      </c>
      <c r="J3474" s="11">
        <f>[1]!EM_S_FA_NETPROFITMARGIN(B3474,E3474)</f>
        <v>-119630.4547419656</v>
      </c>
      <c r="K3474" s="10">
        <f>[1]!EM_S_FA_ASSETSTURN(B3474,E3474)</f>
        <v>1.4913352589999999E-3</v>
      </c>
      <c r="L3474" s="12">
        <f>[1]!EM_HKS_VAL_MV(B3474,"2019-12-31","2")</f>
        <v>1926965740.6800001</v>
      </c>
      <c r="M3474">
        <f>[1]!EM_S_VAL_PETTMDEDUCTED(B3474,E3474)</f>
        <v>-61.578008849801101</v>
      </c>
      <c r="N3474" s="7">
        <f>[1]!EM_S_VAL_PBGOODWILLDEDUCTED(B3474,E3474)</f>
        <v>-0.429247872858744</v>
      </c>
      <c r="O3474" s="7">
        <f>[1]!EM_S_VAL_PS_TTM(B3474,E3474)</f>
        <v>230.17110198837199</v>
      </c>
      <c r="P3474" s="7">
        <f>[1]!EM_S_VAL_PCF_NCFTTM(B3474,E3474)</f>
        <v>6393.2087742925896</v>
      </c>
      <c r="Q3474" s="7">
        <f>[1]!EM_S_VAL_DIVIDENDYIELD2(B3474,E3474,"2019-11-29")</f>
        <v>0</v>
      </c>
      <c r="T3474"/>
      <c r="U3474">
        <f>[1]!EM_S_RATIO_EPS_TTM(B3474,E3474,"1")</f>
        <v>-1.1515556849894186</v>
      </c>
      <c r="AT3474" s="4" t="str">
        <f>[1]!EM_S_IPO_LISTEDDATE(B3474)</f>
        <v>1996-03-20</v>
      </c>
    </row>
    <row r="3475" spans="1:46">
      <c r="A3475">
        <v>199</v>
      </c>
      <c r="B3475" t="str">
        <f>"000595"</f>
        <v>000595</v>
      </c>
      <c r="C3475" t="s">
        <v>2287</v>
      </c>
      <c r="D3475" t="str">
        <f>[1]!EM_S_INFO_INDEX_EM(B3475,"1")</f>
        <v>机械设备</v>
      </c>
      <c r="E3475" s="4">
        <f t="shared" si="54"/>
        <v>43465</v>
      </c>
      <c r="F3475" s="11">
        <f>[1]!EM_S_PQ_PCTCHANGE(B3475,"2018-01-01","2019-12-31","3")</f>
        <v>-38.771593090000003</v>
      </c>
      <c r="G3475" s="11"/>
      <c r="H3475" s="11">
        <f>[1]!EM_S_FA_YOY_OR(B3475,E3475)</f>
        <v>-0.7903842579</v>
      </c>
      <c r="I3475" s="11">
        <f>[1]!EM_S_FA_GROSSPROFITMARGIN(B3475,E3475)</f>
        <v>22.9967940963</v>
      </c>
      <c r="J3475" s="11">
        <f>[1]!EM_S_FA_NETPROFITMARGIN(B3475,E3475)</f>
        <v>-22.46686412</v>
      </c>
      <c r="K3475" s="10">
        <f>[1]!EM_S_FA_ASSETSTURN(B3475,E3475)</f>
        <v>0.23318323626199999</v>
      </c>
      <c r="L3475" s="12">
        <f>[1]!EM_HKS_VAL_MV(B3475,"2019-12-31","2")</f>
        <v>2438050807.5</v>
      </c>
      <c r="M3475">
        <f>[1]!EM_S_VAL_PETTMDEDUCTED(B3475,E3475)</f>
        <v>-30.395218370509301</v>
      </c>
      <c r="N3475" s="7">
        <f>[1]!EM_S_VAL_PBGOODWILLDEDUCTED(B3475,E3475)</f>
        <v>5.5954318837734602</v>
      </c>
      <c r="O3475" s="7">
        <f>[1]!EM_S_VAL_PS_TTM(B3475,E3475)</f>
        <v>4.1515927221125004</v>
      </c>
      <c r="P3475" s="7">
        <f>[1]!EM_S_VAL_PCF_NCFTTM(B3475,E3475)</f>
        <v>-177.00278320285099</v>
      </c>
      <c r="Q3475" s="7">
        <f>[1]!EM_S_VAL_DIVIDENDYIELD2(B3475,E3475,"2019-11-29")</f>
        <v>0</v>
      </c>
      <c r="T3475"/>
      <c r="U3475">
        <f>[1]!EM_S_RATIO_EPS_TTM(B3475,E3475,"1")</f>
        <v>-0.12847977236069147</v>
      </c>
      <c r="AT3475" s="4" t="str">
        <f>[1]!EM_S_IPO_LISTEDDATE(B3475)</f>
        <v>1996-04-19</v>
      </c>
    </row>
    <row r="3476" spans="1:46">
      <c r="A3476">
        <v>203</v>
      </c>
      <c r="B3476" t="str">
        <f>"000599"</f>
        <v>000599</v>
      </c>
      <c r="C3476" t="s">
        <v>2406</v>
      </c>
      <c r="D3476" t="str">
        <f>[1]!EM_S_INFO_INDEX_EM(B3476,"1")</f>
        <v>基础化工</v>
      </c>
      <c r="E3476" s="4">
        <f t="shared" si="54"/>
        <v>43465</v>
      </c>
      <c r="F3476" s="11">
        <f>[1]!EM_S_PQ_PCTCHANGE(B3476,"2018-01-01","2019-12-31","3")</f>
        <v>-24.530313979999999</v>
      </c>
      <c r="G3476" s="11"/>
      <c r="H3476" s="11">
        <f>[1]!EM_S_FA_YOY_OR(B3476,E3476)</f>
        <v>-6.3123516041999999</v>
      </c>
      <c r="I3476" s="11">
        <f>[1]!EM_S_FA_GROSSPROFITMARGIN(B3476,E3476)</f>
        <v>9.7680070656000009</v>
      </c>
      <c r="J3476" s="11">
        <f>[1]!EM_S_FA_NETPROFITMARGIN(B3476,E3476)</f>
        <v>0.77108831119999999</v>
      </c>
      <c r="K3476" s="10">
        <f>[1]!EM_S_FA_ASSETSTURN(B3476,E3476)</f>
        <v>0.43186642393500002</v>
      </c>
      <c r="L3476" s="12">
        <f>[1]!EM_HKS_VAL_MV(B3476,"2019-12-31","2")</f>
        <v>3918820093.4299998</v>
      </c>
      <c r="M3476">
        <f>[1]!EM_S_VAL_PETTMDEDUCTED(B3476,E3476)</f>
        <v>-36.835110790257303</v>
      </c>
      <c r="N3476" s="7">
        <f>[1]!EM_S_VAL_PBGOODWILLDEDUCTED(B3476,E3476)</f>
        <v>0.84249580839292904</v>
      </c>
      <c r="O3476" s="7">
        <f>[1]!EM_S_VAL_PS_TTM(B3476,E3476)</f>
        <v>0.79987821404385795</v>
      </c>
      <c r="P3476" s="7">
        <f>[1]!EM_S_VAL_PCF_NCFTTM(B3476,E3476)</f>
        <v>-49.386491230600903</v>
      </c>
      <c r="Q3476" s="7">
        <f>[1]!EM_S_VAL_DIVIDENDYIELD2(B3476,E3476,"2019-11-29")</f>
        <v>0.22513392857142861</v>
      </c>
      <c r="T3476"/>
      <c r="U3476">
        <f>[1]!EM_S_RATIO_EPS_TTM(B3476,E3476,"1")</f>
        <v>3.2921803117598854E-2</v>
      </c>
      <c r="AT3476" s="4" t="str">
        <f>[1]!EM_S_IPO_LISTEDDATE(B3476)</f>
        <v>1996-04-30</v>
      </c>
    </row>
    <row r="3477" spans="1:46">
      <c r="A3477">
        <v>205</v>
      </c>
      <c r="B3477" t="str">
        <f>"000601"</f>
        <v>000601</v>
      </c>
      <c r="C3477" t="s">
        <v>1202</v>
      </c>
      <c r="D3477" t="str">
        <f>[1]!EM_S_INFO_INDEX_EM(B3477,"1")</f>
        <v>公用事业</v>
      </c>
      <c r="E3477" s="4">
        <f t="shared" si="54"/>
        <v>43465</v>
      </c>
      <c r="F3477" s="11">
        <f>[1]!EM_S_PQ_PCTCHANGE(B3477,"2018-01-01","2019-12-31","3")</f>
        <v>-17.248561039999998</v>
      </c>
      <c r="G3477" s="11"/>
      <c r="H3477" s="11">
        <f>[1]!EM_S_FA_YOY_OR(B3477,E3477)</f>
        <v>-4.6129432799999996</v>
      </c>
      <c r="I3477" s="11">
        <f>[1]!EM_S_FA_GROSSPROFITMARGIN(B3477,E3477)</f>
        <v>22.253745328200001</v>
      </c>
      <c r="J3477" s="11">
        <f>[1]!EM_S_FA_NETPROFITMARGIN(B3477,E3477)</f>
        <v>9.2420451393</v>
      </c>
      <c r="K3477" s="10">
        <f>[1]!EM_S_FA_ASSETSTURN(B3477,E3477)</f>
        <v>0.35738436108999999</v>
      </c>
      <c r="L3477" s="12">
        <f>[1]!EM_HKS_VAL_MV(B3477,"2019-12-31","2")</f>
        <v>5986256246.2600002</v>
      </c>
      <c r="M3477">
        <f>[1]!EM_S_VAL_PETTMDEDUCTED(B3477,E3477)</f>
        <v>22.897344698720701</v>
      </c>
      <c r="N3477" s="7">
        <f>[1]!EM_S_VAL_PBGOODWILLDEDUCTED(B3477,E3477)</f>
        <v>0.89115071086303999</v>
      </c>
      <c r="O3477" s="7">
        <f>[1]!EM_S_VAL_PS_TTM(B3477,E3477)</f>
        <v>1.1853174253851699</v>
      </c>
      <c r="P3477" s="7">
        <f>[1]!EM_S_VAL_PCF_NCFTTM(B3477,E3477)</f>
        <v>-7.3351399948000902</v>
      </c>
      <c r="Q3477" s="7">
        <f>[1]!EM_S_VAL_DIVIDENDYIELD2(B3477,E3477,"2019-11-29")</f>
        <v>2.4630541871921179</v>
      </c>
      <c r="T3477"/>
      <c r="U3477">
        <f>[1]!EM_S_RATIO_EPS_TTM(B3477,E3477,"1")</f>
        <v>0.28033376129096516</v>
      </c>
      <c r="AT3477" s="4" t="str">
        <f>[1]!EM_S_IPO_LISTEDDATE(B3477)</f>
        <v>1996-08-30</v>
      </c>
    </row>
    <row r="3478" spans="1:46">
      <c r="A3478">
        <v>206</v>
      </c>
      <c r="B3478" t="str">
        <f>"000602"</f>
        <v>000602</v>
      </c>
      <c r="C3478" t="s">
        <v>3175</v>
      </c>
      <c r="D3478">
        <f>[1]!EM_S_INFO_INDEX_EM(B3478,"1")</f>
        <v>0</v>
      </c>
      <c r="E3478" s="4">
        <f t="shared" si="54"/>
        <v>43465</v>
      </c>
      <c r="F3478" s="11">
        <f>[1]!EM_S_PQ_PCTCHANGE(B3478,"2018-01-01","2019-12-31","3")</f>
        <v>0</v>
      </c>
      <c r="G3478" s="11"/>
      <c r="H3478" s="11">
        <f>[1]!EM_S_FA_YOY_OR(B3478,E3478)</f>
        <v>0</v>
      </c>
      <c r="I3478" s="11">
        <f>[1]!EM_S_FA_GROSSPROFITMARGIN(B3478,E3478)</f>
        <v>0</v>
      </c>
      <c r="J3478" s="11">
        <f>[1]!EM_S_FA_NETPROFITMARGIN(B3478,E3478)</f>
        <v>0</v>
      </c>
      <c r="K3478" s="10">
        <f>[1]!EM_S_FA_ASSETSTURN(B3478,E3478)</f>
        <v>0</v>
      </c>
      <c r="L3478" s="12">
        <f>[1]!EM_HKS_VAL_MV(B3478,"2019-12-31","2")</f>
        <v>13532678676.18</v>
      </c>
      <c r="M3478">
        <f>[1]!EM_S_VAL_PETTMDEDUCTED(B3478,E3478)</f>
        <v>45.648537172898699</v>
      </c>
      <c r="N3478" s="7">
        <f>[1]!EM_S_VAL_PBGOODWILLDEDUCTED(B3478,E3478)</f>
        <v>3.7273505548791799</v>
      </c>
      <c r="O3478" s="7">
        <f>[1]!EM_S_VAL_PS_TTM(B3478,E3478)</f>
        <v>2.8862450662083501</v>
      </c>
      <c r="P3478" s="7">
        <f>[1]!EM_S_VAL_PCF_NCFTTM(B3478,E3478)</f>
        <v>-27.8590049976392</v>
      </c>
      <c r="Q3478" s="7">
        <f>[1]!EM_S_VAL_DIVIDENDYIELD2(B3478,E3478,"2019-11-29")</f>
        <v>0</v>
      </c>
      <c r="T3478"/>
      <c r="U3478">
        <f>[1]!EM_S_RATIO_EPS_TTM(B3478,E3478,"1")</f>
        <v>0.42045621984490528</v>
      </c>
      <c r="AT3478" s="4" t="str">
        <f>[1]!EM_S_IPO_LISTEDDATE(B3478)</f>
        <v>1996-08-19</v>
      </c>
    </row>
    <row r="3479" spans="1:46">
      <c r="A3479">
        <v>208</v>
      </c>
      <c r="B3479" t="str">
        <f>"000605"</f>
        <v>000605</v>
      </c>
      <c r="C3479" t="s">
        <v>2742</v>
      </c>
      <c r="D3479" t="str">
        <f>[1]!EM_S_INFO_INDEX_EM(B3479,"1")</f>
        <v>公用事业</v>
      </c>
      <c r="E3479" s="4">
        <f t="shared" si="54"/>
        <v>43465</v>
      </c>
      <c r="F3479" s="11">
        <f>[1]!EM_S_PQ_PCTCHANGE(B3479,"2018-01-01","2019-12-31","3")</f>
        <v>-45.881428880000001</v>
      </c>
      <c r="G3479" s="11"/>
      <c r="H3479" s="11">
        <f>[1]!EM_S_FA_YOY_OR(B3479,E3479)</f>
        <v>-5.7852263941000004</v>
      </c>
      <c r="I3479" s="11">
        <f>[1]!EM_S_FA_GROSSPROFITMARGIN(B3479,E3479)</f>
        <v>30.554751229299999</v>
      </c>
      <c r="J3479" s="11">
        <f>[1]!EM_S_FA_NETPROFITMARGIN(B3479,E3479)</f>
        <v>5.8711403721000002</v>
      </c>
      <c r="K3479" s="10">
        <f>[1]!EM_S_FA_ASSETSTURN(B3479,E3479)</f>
        <v>0.26118377510599999</v>
      </c>
      <c r="L3479" s="12">
        <f>[1]!EM_HKS_VAL_MV(B3479,"2019-12-31","2")</f>
        <v>2415711410</v>
      </c>
      <c r="M3479">
        <f>[1]!EM_S_VAL_PETTMDEDUCTED(B3479,E3479)</f>
        <v>51.590605629511003</v>
      </c>
      <c r="N3479" s="7">
        <f>[1]!EM_S_VAL_PBGOODWILLDEDUCTED(B3479,E3479)</f>
        <v>2.14943796267075</v>
      </c>
      <c r="O3479" s="7">
        <f>[1]!EM_S_VAL_PS_TTM(B3479,E3479)</f>
        <v>2.0463499953582298</v>
      </c>
      <c r="P3479" s="7">
        <f>[1]!EM_S_VAL_PCF_NCFTTM(B3479,E3479)</f>
        <v>87.4590724583948</v>
      </c>
      <c r="Q3479" s="7">
        <f>[1]!EM_S_VAL_DIVIDENDYIELD2(B3479,E3479,"2019-11-29")</f>
        <v>0.30303030303030304</v>
      </c>
      <c r="T3479"/>
      <c r="U3479">
        <f>[1]!EM_S_RATIO_EPS_TTM(B3479,E3479,"1")</f>
        <v>0.16979702752180154</v>
      </c>
      <c r="AT3479" s="4" t="str">
        <f>[1]!EM_S_IPO_LISTEDDATE(B3479)</f>
        <v>1996-09-13</v>
      </c>
    </row>
    <row r="3480" spans="1:46">
      <c r="A3480">
        <v>210</v>
      </c>
      <c r="B3480" t="str">
        <f>"000607"</f>
        <v>000607</v>
      </c>
      <c r="C3480" t="s">
        <v>3341</v>
      </c>
      <c r="D3480" t="str">
        <f>[1]!EM_S_INFO_INDEX_EM(B3480,"1")</f>
        <v>文化传媒</v>
      </c>
      <c r="E3480" s="4">
        <f t="shared" si="54"/>
        <v>43465</v>
      </c>
      <c r="F3480" s="11">
        <f>[1]!EM_S_PQ_PCTCHANGE(B3480,"2018-01-01","2019-12-31","3")</f>
        <v>-18.117059690000001</v>
      </c>
      <c r="G3480" s="11"/>
      <c r="H3480" s="11">
        <f>[1]!EM_S_FA_YOY_OR(B3480,E3480)</f>
        <v>-4.5162063913999999</v>
      </c>
      <c r="I3480" s="11">
        <f>[1]!EM_S_FA_GROSSPROFITMARGIN(B3480,E3480)</f>
        <v>27.5843374162</v>
      </c>
      <c r="J3480" s="11">
        <f>[1]!EM_S_FA_NETPROFITMARGIN(B3480,E3480)</f>
        <v>8.9597833336000008</v>
      </c>
      <c r="K3480" s="10">
        <f>[1]!EM_S_FA_ASSETSTURN(B3480,E3480)</f>
        <v>0.54255310146500002</v>
      </c>
      <c r="L3480" s="12">
        <f>[1]!EM_HKS_VAL_MV(B3480,"2019-12-31","2")</f>
        <v>5027430145.3999996</v>
      </c>
      <c r="M3480">
        <f>[1]!EM_S_VAL_PETTMDEDUCTED(B3480,E3480)</f>
        <v>40.455591795306198</v>
      </c>
      <c r="N3480" s="7">
        <f>[1]!EM_S_VAL_PBGOODWILLDEDUCTED(B3480,E3480)</f>
        <v>3.13443126595415</v>
      </c>
      <c r="O3480" s="7">
        <f>[1]!EM_S_VAL_PS_TTM(B3480,E3480)</f>
        <v>2.2939036951885399</v>
      </c>
      <c r="P3480" s="7">
        <f>[1]!EM_S_VAL_PCF_NCFTTM(B3480,E3480)</f>
        <v>32.594844058700602</v>
      </c>
      <c r="Q3480" s="7">
        <f>[1]!EM_S_VAL_DIVIDENDYIELD2(B3480,E3480,"2019-11-29")</f>
        <v>0.24444444444444444</v>
      </c>
      <c r="T3480"/>
      <c r="U3480">
        <f>[1]!EM_S_RATIO_EPS_TTM(B3480,E3480,"1")</f>
        <v>0.10335111969959744</v>
      </c>
      <c r="AT3480" s="4" t="str">
        <f>[1]!EM_S_IPO_LISTEDDATE(B3480)</f>
        <v>1996-08-30</v>
      </c>
    </row>
    <row r="3481" spans="1:46">
      <c r="A3481">
        <v>211</v>
      </c>
      <c r="B3481" t="str">
        <f>"000608"</f>
        <v>000608</v>
      </c>
      <c r="C3481" t="s">
        <v>3373</v>
      </c>
      <c r="D3481" t="str">
        <f>[1]!EM_S_INFO_INDEX_EM(B3481,"1")</f>
        <v>房地产</v>
      </c>
      <c r="E3481" s="4">
        <f t="shared" si="54"/>
        <v>43465</v>
      </c>
      <c r="F3481" s="11">
        <f>[1]!EM_S_PQ_PCTCHANGE(B3481,"2018-01-01","2019-12-31","3")</f>
        <v>-21.13835362</v>
      </c>
      <c r="G3481" s="11"/>
      <c r="H3481" s="11">
        <f>[1]!EM_S_FA_YOY_OR(B3481,E3481)</f>
        <v>-45.950937464900001</v>
      </c>
      <c r="I3481" s="11">
        <f>[1]!EM_S_FA_GROSSPROFITMARGIN(B3481,E3481)</f>
        <v>79.320336923400006</v>
      </c>
      <c r="J3481" s="11">
        <f>[1]!EM_S_FA_NETPROFITMARGIN(B3481,E3481)</f>
        <v>29.334358090199999</v>
      </c>
      <c r="K3481" s="10">
        <f>[1]!EM_S_FA_ASSETSTURN(B3481,E3481)</f>
        <v>4.1866378753999997E-2</v>
      </c>
      <c r="L3481" s="12">
        <f>[1]!EM_HKS_VAL_MV(B3481,"2019-12-31","2")</f>
        <v>3697072613.3699999</v>
      </c>
      <c r="M3481">
        <f>[1]!EM_S_VAL_PETTMDEDUCTED(B3481,E3481)</f>
        <v>-11.9971634907783</v>
      </c>
      <c r="N3481" s="7">
        <f>[1]!EM_S_VAL_PBGOODWILLDEDUCTED(B3481,E3481)</f>
        <v>1.23547567078954</v>
      </c>
      <c r="O3481" s="7">
        <f>[1]!EM_S_VAL_PS_TTM(B3481,E3481)</f>
        <v>11.7386942957726</v>
      </c>
      <c r="P3481" s="7">
        <f>[1]!EM_S_VAL_PCF_NCFTTM(B3481,E3481)</f>
        <v>-3.8747118295182799</v>
      </c>
      <c r="Q3481" s="7">
        <f>[1]!EM_S_VAL_DIVIDENDYIELD2(B3481,E3481,"2019-11-29")</f>
        <v>0</v>
      </c>
      <c r="T3481"/>
      <c r="U3481">
        <f>[1]!EM_S_RATIO_EPS_TTM(B3481,E3481,"1")</f>
        <v>1.5287100338687281E-2</v>
      </c>
      <c r="AT3481" s="4" t="str">
        <f>[1]!EM_S_IPO_LISTEDDATE(B3481)</f>
        <v>1996-09-19</v>
      </c>
    </row>
    <row r="3482" spans="1:46">
      <c r="A3482">
        <v>212</v>
      </c>
      <c r="B3482" t="str">
        <f>"000609"</f>
        <v>000609</v>
      </c>
      <c r="C3482" t="s">
        <v>3334</v>
      </c>
      <c r="D3482" t="str">
        <f>[1]!EM_S_INFO_INDEX_EM(B3482,"1")</f>
        <v>房地产</v>
      </c>
      <c r="E3482" s="4">
        <f t="shared" si="54"/>
        <v>43465</v>
      </c>
      <c r="F3482" s="11">
        <f>[1]!EM_S_PQ_PCTCHANGE(B3482,"2018-01-01","2019-12-31","3")</f>
        <v>-48.979591839999998</v>
      </c>
      <c r="G3482" s="11"/>
      <c r="H3482" s="11">
        <f>[1]!EM_S_FA_YOY_OR(B3482,E3482)</f>
        <v>-89.125965697400005</v>
      </c>
      <c r="I3482" s="11">
        <f>[1]!EM_S_FA_GROSSPROFITMARGIN(B3482,E3482)</f>
        <v>25.056584403700001</v>
      </c>
      <c r="J3482" s="11">
        <f>[1]!EM_S_FA_NETPROFITMARGIN(B3482,E3482)</f>
        <v>-208.83208148790001</v>
      </c>
      <c r="K3482" s="10">
        <f>[1]!EM_S_FA_ASSETSTURN(B3482,E3482)</f>
        <v>1.2502466895E-2</v>
      </c>
      <c r="L3482" s="12">
        <f>[1]!EM_HKS_VAL_MV(B3482,"2019-12-31","2")</f>
        <v>1645960371</v>
      </c>
      <c r="M3482">
        <f>[1]!EM_S_VAL_PETTMDEDUCTED(B3482,E3482)</f>
        <v>-100.24140653007601</v>
      </c>
      <c r="N3482" s="7">
        <f>[1]!EM_S_VAL_PBGOODWILLDEDUCTED(B3482,E3482)</f>
        <v>1.03862315970435</v>
      </c>
      <c r="O3482" s="7">
        <f>[1]!EM_S_VAL_PS_TTM(B3482,E3482)</f>
        <v>31.422916062735698</v>
      </c>
      <c r="P3482" s="7">
        <f>[1]!EM_S_VAL_PCF_NCFTTM(B3482,E3482)</f>
        <v>17.006204951462198</v>
      </c>
      <c r="Q3482" s="7">
        <f>[1]!EM_S_VAL_DIVIDENDYIELD2(B3482,E3482,"2019-11-29")</f>
        <v>0</v>
      </c>
      <c r="T3482"/>
      <c r="U3482">
        <f>[1]!EM_S_RATIO_EPS_TTM(B3482,E3482,"1")</f>
        <v>-0.203150106409304</v>
      </c>
      <c r="AT3482" s="4" t="str">
        <f>[1]!EM_S_IPO_LISTEDDATE(B3482)</f>
        <v>1996-10-10</v>
      </c>
    </row>
    <row r="3483" spans="1:46">
      <c r="A3483">
        <v>214</v>
      </c>
      <c r="B3483" t="str">
        <f>"000611"</f>
        <v>000611</v>
      </c>
      <c r="C3483" t="s">
        <v>3486</v>
      </c>
      <c r="D3483" t="str">
        <f>[1]!EM_S_INFO_INDEX_EM(B3483,"1")</f>
        <v>纺织服装</v>
      </c>
      <c r="E3483" s="4">
        <f t="shared" si="54"/>
        <v>43465</v>
      </c>
      <c r="F3483" s="11">
        <f>[1]!EM_S_PQ_PCTCHANGE(B3483,"2018-01-01","2019-12-31","3")</f>
        <v>-50.642673520000002</v>
      </c>
      <c r="G3483" s="11"/>
      <c r="H3483" s="11">
        <f>[1]!EM_S_FA_YOY_OR(B3483,E3483)</f>
        <v>-54.216831712000001</v>
      </c>
      <c r="I3483" s="11">
        <f>[1]!EM_S_FA_GROSSPROFITMARGIN(B3483,E3483)</f>
        <v>-17.7016719475</v>
      </c>
      <c r="J3483" s="11">
        <f>[1]!EM_S_FA_NETPROFITMARGIN(B3483,E3483)</f>
        <v>-867.22388934280002</v>
      </c>
      <c r="K3483" s="10">
        <f>[1]!EM_S_FA_ASSETSTURN(B3483,E3483)</f>
        <v>1.0371193656E-2</v>
      </c>
      <c r="L3483" s="12">
        <f>[1]!EM_HKS_VAL_MV(B3483,"2019-12-31","2")</f>
        <v>1297236564.48</v>
      </c>
      <c r="M3483">
        <f>[1]!EM_S_VAL_PETTMDEDUCTED(B3483,E3483)</f>
        <v>-31.653727361819499</v>
      </c>
      <c r="N3483" s="7">
        <f>[1]!EM_S_VAL_PBGOODWILLDEDUCTED(B3483,E3483)</f>
        <v>4.9282800855125997</v>
      </c>
      <c r="O3483" s="7">
        <f>[1]!EM_S_VAL_PS_TTM(B3483,E3483)</f>
        <v>86.366179827890306</v>
      </c>
      <c r="P3483" s="7">
        <f>[1]!EM_S_VAL_PCF_NCFTTM(B3483,E3483)</f>
        <v>-622.68047004115101</v>
      </c>
      <c r="Q3483" s="7">
        <f>[1]!EM_S_VAL_DIVIDENDYIELD2(B3483,E3483,"2019-11-29")</f>
        <v>0</v>
      </c>
      <c r="T3483"/>
      <c r="U3483">
        <f>[1]!EM_S_RATIO_EPS_TTM(B3483,E3483,"1")</f>
        <v>-0.41280621107643478</v>
      </c>
      <c r="AT3483" s="4" t="str">
        <f>[1]!EM_S_IPO_LISTEDDATE(B3483)</f>
        <v>1996-10-08</v>
      </c>
    </row>
    <row r="3484" spans="1:46">
      <c r="A3484">
        <v>215</v>
      </c>
      <c r="B3484" t="str">
        <f>"000612"</f>
        <v>000612</v>
      </c>
      <c r="C3484" t="s">
        <v>3512</v>
      </c>
      <c r="D3484" t="str">
        <f>[1]!EM_S_INFO_INDEX_EM(B3484,"1")</f>
        <v>有色金属</v>
      </c>
      <c r="E3484" s="4">
        <f t="shared" si="54"/>
        <v>43465</v>
      </c>
      <c r="F3484" s="11">
        <f>[1]!EM_S_PQ_PCTCHANGE(B3484,"2018-01-01","2019-12-31","3")</f>
        <v>-53.633679209999997</v>
      </c>
      <c r="G3484" s="11"/>
      <c r="H3484" s="11">
        <f>[1]!EM_S_FA_YOY_OR(B3484,E3484)</f>
        <v>-2.1515687601</v>
      </c>
      <c r="I3484" s="11">
        <f>[1]!EM_S_FA_GROSSPROFITMARGIN(B3484,E3484)</f>
        <v>-3.3221325813</v>
      </c>
      <c r="J3484" s="11">
        <f>[1]!EM_S_FA_NETPROFITMARGIN(B3484,E3484)</f>
        <v>-9.0063416383000003</v>
      </c>
      <c r="K3484" s="10">
        <f>[1]!EM_S_FA_ASSETSTURN(B3484,E3484)</f>
        <v>0.65850911712100002</v>
      </c>
      <c r="L3484" s="12">
        <f>[1]!EM_HKS_VAL_MV(B3484,"2019-12-31","2")</f>
        <v>5150301382.0799999</v>
      </c>
      <c r="M3484">
        <f>[1]!EM_S_VAL_PETTMDEDUCTED(B3484,E3484)</f>
        <v>-18.581644203539799</v>
      </c>
      <c r="N3484" s="7">
        <f>[1]!EM_S_VAL_PBGOODWILLDEDUCTED(B3484,E3484)</f>
        <v>1.1258517784981199</v>
      </c>
      <c r="O3484" s="7">
        <f>[1]!EM_S_VAL_PS_TTM(B3484,E3484)</f>
        <v>0.98960629424699198</v>
      </c>
      <c r="P3484" s="7">
        <f>[1]!EM_S_VAL_PCF_NCFTTM(B3484,E3484)</f>
        <v>21.4277740155764</v>
      </c>
      <c r="Q3484" s="7">
        <f>[1]!EM_S_VAL_DIVIDENDYIELD2(B3484,E3484,"2019-11-29")</f>
        <v>0</v>
      </c>
      <c r="T3484"/>
      <c r="U3484">
        <f>[1]!EM_S_RATIO_EPS_TTM(B3484,E3484,"1")</f>
        <v>-0.37083188171793352</v>
      </c>
      <c r="AT3484" s="4" t="str">
        <f>[1]!EM_S_IPO_LISTEDDATE(B3484)</f>
        <v>1996-09-26</v>
      </c>
    </row>
    <row r="3485" spans="1:46">
      <c r="A3485">
        <v>220</v>
      </c>
      <c r="B3485" t="str">
        <f>"000618"</f>
        <v>000618</v>
      </c>
      <c r="C3485" t="s">
        <v>3174</v>
      </c>
      <c r="D3485">
        <f>[1]!EM_S_INFO_INDEX_EM(B3485,"1")</f>
        <v>0</v>
      </c>
      <c r="E3485" s="4">
        <f t="shared" si="54"/>
        <v>43465</v>
      </c>
      <c r="F3485" s="11">
        <f>[1]!EM_S_PQ_PCTCHANGE(B3485,"2018-01-01","2019-12-31","3")</f>
        <v>0</v>
      </c>
      <c r="G3485" s="11"/>
      <c r="H3485" s="11">
        <f>[1]!EM_S_FA_YOY_OR(B3485,E3485)</f>
        <v>0</v>
      </c>
      <c r="I3485" s="11">
        <f>[1]!EM_S_FA_GROSSPROFITMARGIN(B3485,E3485)</f>
        <v>0</v>
      </c>
      <c r="J3485" s="11">
        <f>[1]!EM_S_FA_NETPROFITMARGIN(B3485,E3485)</f>
        <v>0</v>
      </c>
      <c r="K3485" s="10">
        <f>[1]!EM_S_FA_ASSETSTURN(B3485,E3485)</f>
        <v>0</v>
      </c>
      <c r="L3485" s="12">
        <f>[1]!EM_HKS_VAL_MV(B3485,"2019-12-31","2")</f>
        <v>18660048720</v>
      </c>
      <c r="M3485">
        <f>[1]!EM_S_VAL_PETTMDEDUCTED(B3485,E3485)</f>
        <v>104.117940969199</v>
      </c>
      <c r="N3485" s="7">
        <f>[1]!EM_S_VAL_PBGOODWILLDEDUCTED(B3485,E3485)</f>
        <v>3.27422287353399</v>
      </c>
      <c r="O3485" s="7">
        <f>[1]!EM_S_VAL_PS_TTM(B3485,E3485)</f>
        <v>0</v>
      </c>
      <c r="P3485" s="7">
        <f>[1]!EM_S_VAL_PCF_NCFTTM(B3485,E3485)</f>
        <v>-4254.3882030181503</v>
      </c>
      <c r="Q3485" s="7">
        <f>[1]!EM_S_VAL_DIVIDENDYIELD2(B3485,E3485,"2019-11-29")</f>
        <v>0</v>
      </c>
      <c r="T3485"/>
      <c r="U3485">
        <f>[1]!EM_S_RATIO_EPS_TTM(B3485,E3485,"1")</f>
        <v>0.72274745175477761</v>
      </c>
      <c r="AT3485" s="4" t="str">
        <f>[1]!EM_S_IPO_LISTEDDATE(B3485)</f>
        <v>1996-10-15</v>
      </c>
    </row>
    <row r="3486" spans="1:46">
      <c r="A3486">
        <v>223</v>
      </c>
      <c r="B3486" t="str">
        <f>"000621"</f>
        <v>000621</v>
      </c>
      <c r="C3486" t="s">
        <v>3173</v>
      </c>
      <c r="D3486">
        <f>[1]!EM_S_INFO_INDEX_EM(B3486,"1")</f>
        <v>0</v>
      </c>
      <c r="E3486" s="4">
        <f t="shared" si="54"/>
        <v>43465</v>
      </c>
      <c r="F3486" s="11">
        <f>[1]!EM_S_PQ_PCTCHANGE(B3486,"2018-01-01","2019-12-31","3")</f>
        <v>0</v>
      </c>
      <c r="G3486" s="11"/>
      <c r="H3486" s="11">
        <f>[1]!EM_S_FA_YOY_OR(B3486,E3486)</f>
        <v>0</v>
      </c>
      <c r="I3486" s="11">
        <f>[1]!EM_S_FA_GROSSPROFITMARGIN(B3486,E3486)</f>
        <v>0</v>
      </c>
      <c r="J3486" s="11">
        <f>[1]!EM_S_FA_NETPROFITMARGIN(B3486,E3486)</f>
        <v>0</v>
      </c>
      <c r="K3486" s="10">
        <f>[1]!EM_S_FA_ASSETSTURN(B3486,E3486)</f>
        <v>0</v>
      </c>
      <c r="L3486" s="12">
        <f>[1]!EM_HKS_VAL_MV(B3486,"2019-12-31","2")</f>
        <v>1728157176.3399999</v>
      </c>
      <c r="M3486">
        <f>[1]!EM_S_VAL_PETTMDEDUCTED(B3486,E3486)</f>
        <v>0</v>
      </c>
      <c r="N3486" s="7">
        <f>[1]!EM_S_VAL_PBGOODWILLDEDUCTED(B3486,E3486)</f>
        <v>0</v>
      </c>
      <c r="O3486" s="7">
        <f>[1]!EM_S_VAL_PS_TTM(B3486,E3486)</f>
        <v>0</v>
      </c>
      <c r="P3486" s="7">
        <f>[1]!EM_S_VAL_PCF_NCFTTM(B3486,E3486)</f>
        <v>24607.9914313968</v>
      </c>
      <c r="Q3486" s="7">
        <f>[1]!EM_S_VAL_DIVIDENDYIELD2(B3486,E3486,"2019-11-29")</f>
        <v>0</v>
      </c>
      <c r="T3486"/>
      <c r="U3486">
        <f>[1]!EM_S_RATIO_EPS_TTM(B3486,E3486,"1")</f>
        <v>-1.2615179595710931E-3</v>
      </c>
      <c r="AT3486" s="4" t="str">
        <f>[1]!EM_S_IPO_LISTEDDATE(B3486)</f>
        <v>1996-11-05</v>
      </c>
    </row>
    <row r="3487" spans="1:46">
      <c r="A3487">
        <v>226</v>
      </c>
      <c r="B3487" t="str">
        <f>"000625"</f>
        <v>000625</v>
      </c>
      <c r="C3487" t="s">
        <v>868</v>
      </c>
      <c r="D3487" t="str">
        <f>[1]!EM_S_INFO_INDEX_EM(B3487,"1")</f>
        <v>交运设备</v>
      </c>
      <c r="E3487" s="4">
        <f t="shared" si="54"/>
        <v>43465</v>
      </c>
      <c r="F3487" s="11">
        <f>[1]!EM_S_PQ_PCTCHANGE(B3487,"2018-01-01","2019-12-31","3")</f>
        <v>-15.96346984</v>
      </c>
      <c r="G3487" s="11"/>
      <c r="H3487" s="11">
        <f>[1]!EM_S_FA_YOY_OR(B3487,E3487)</f>
        <v>-17.139803560400001</v>
      </c>
      <c r="I3487" s="11">
        <f>[1]!EM_S_FA_GROSSPROFITMARGIN(B3487,E3487)</f>
        <v>14.653175661300001</v>
      </c>
      <c r="J3487" s="11">
        <f>[1]!EM_S_FA_NETPROFITMARGIN(B3487,E3487)</f>
        <v>1.0910682550999999</v>
      </c>
      <c r="K3487" s="10">
        <f>[1]!EM_S_FA_ASSETSTURN(B3487,E3487)</f>
        <v>0.66426483892199994</v>
      </c>
      <c r="L3487" s="12">
        <f>[1]!EM_HKS_VAL_MV(B3487,"2019-12-31","2")</f>
        <v>48170564565.330002</v>
      </c>
      <c r="M3487">
        <f>[1]!EM_S_VAL_PETTMDEDUCTED(B3487,E3487)</f>
        <v>29.8099763602461</v>
      </c>
      <c r="N3487" s="7">
        <f>[1]!EM_S_VAL_PBGOODWILLDEDUCTED(B3487,E3487)</f>
        <v>0.68453223912903904</v>
      </c>
      <c r="O3487" s="7">
        <f>[1]!EM_S_VAL_PS_TTM(B3487,E3487)</f>
        <v>0.40352379426249402</v>
      </c>
      <c r="P3487" s="7">
        <f>[1]!EM_S_VAL_PCF_NCFTTM(B3487,E3487)</f>
        <v>-4.2222010537188197</v>
      </c>
      <c r="Q3487" s="7">
        <f>[1]!EM_S_VAL_DIVIDENDYIELD2(B3487,E3487,"2019-11-29")</f>
        <v>0.21126760563380279</v>
      </c>
      <c r="T3487"/>
      <c r="U3487">
        <f>[1]!EM_S_RATIO_EPS_TTM(B3487,E3487,"1")</f>
        <v>0.14174020656953298</v>
      </c>
      <c r="AT3487" s="4" t="str">
        <f>[1]!EM_S_IPO_LISTEDDATE(B3487)</f>
        <v>1997-06-10</v>
      </c>
    </row>
    <row r="3488" spans="1:46">
      <c r="A3488">
        <v>227</v>
      </c>
      <c r="B3488" t="str">
        <f>"000626"</f>
        <v>000626</v>
      </c>
      <c r="C3488" t="s">
        <v>3407</v>
      </c>
      <c r="D3488" t="str">
        <f>[1]!EM_S_INFO_INDEX_EM(B3488,"1")</f>
        <v>商贸零售</v>
      </c>
      <c r="E3488" s="4">
        <f t="shared" si="54"/>
        <v>43465</v>
      </c>
      <c r="F3488" s="11">
        <f>[1]!EM_S_PQ_PCTCHANGE(B3488,"2018-01-01","2019-12-31","3")</f>
        <v>-43.159486020000003</v>
      </c>
      <c r="G3488" s="11"/>
      <c r="H3488" s="11">
        <f>[1]!EM_S_FA_YOY_OR(B3488,E3488)</f>
        <v>-34.965049759400003</v>
      </c>
      <c r="I3488" s="11">
        <f>[1]!EM_S_FA_GROSSPROFITMARGIN(B3488,E3488)</f>
        <v>0.72770033789999999</v>
      </c>
      <c r="J3488" s="11">
        <f>[1]!EM_S_FA_NETPROFITMARGIN(B3488,E3488)</f>
        <v>0.1412067078</v>
      </c>
      <c r="K3488" s="10">
        <f>[1]!EM_S_FA_ASSETSTURN(B3488,E3488)</f>
        <v>8.2733434854660004</v>
      </c>
      <c r="L3488" s="12">
        <f>[1]!EM_HKS_VAL_MV(B3488,"2019-12-31","2")</f>
        <v>4082419263.04</v>
      </c>
      <c r="M3488">
        <f>[1]!EM_S_VAL_PETTMDEDUCTED(B3488,E3488)</f>
        <v>-13.1448853141986</v>
      </c>
      <c r="N3488" s="7">
        <f>[1]!EM_S_VAL_PBGOODWILLDEDUCTED(B3488,E3488)</f>
        <v>1.3701947819628999</v>
      </c>
      <c r="O3488" s="7">
        <f>[1]!EM_S_VAL_PS_TTM(B3488,E3488)</f>
        <v>4.9717512439533103E-2</v>
      </c>
      <c r="P3488" s="7">
        <f>[1]!EM_S_VAL_PCF_NCFTTM(B3488,E3488)</f>
        <v>-1.1624542055721101</v>
      </c>
      <c r="Q3488" s="7">
        <f>[1]!EM_S_VAL_DIVIDENDYIELD2(B3488,E3488,"2019-11-29")</f>
        <v>0</v>
      </c>
      <c r="T3488"/>
      <c r="U3488">
        <f>[1]!EM_S_RATIO_EPS_TTM(B3488,E3488,"1")</f>
        <v>8.6661461759203778E-2</v>
      </c>
      <c r="AT3488" s="4" t="str">
        <f>[1]!EM_S_IPO_LISTEDDATE(B3488)</f>
        <v>1996-11-28</v>
      </c>
    </row>
    <row r="3489" spans="1:46">
      <c r="A3489">
        <v>228</v>
      </c>
      <c r="B3489" t="str">
        <f>"000627"</f>
        <v>000627</v>
      </c>
      <c r="C3489" t="s">
        <v>1564</v>
      </c>
      <c r="D3489" t="str">
        <f>[1]!EM_S_INFO_INDEX_EM(B3489,"1")</f>
        <v>金融</v>
      </c>
      <c r="E3489" s="4">
        <f t="shared" si="54"/>
        <v>43465</v>
      </c>
      <c r="F3489" s="11">
        <f>[1]!EM_S_PQ_PCTCHANGE(B3489,"2018-01-01","2019-12-31","3")</f>
        <v>-11.017236090000001</v>
      </c>
      <c r="G3489" s="11"/>
      <c r="H3489" s="11">
        <f>[1]!EM_S_FA_YOY_OR(B3489,E3489)</f>
        <v>-42.045673284099998</v>
      </c>
      <c r="I3489" s="11">
        <f>[1]!EM_S_FA_GROSSPROFITMARGIN(B3489,E3489)</f>
        <v>0</v>
      </c>
      <c r="J3489" s="11">
        <f>[1]!EM_S_FA_NETPROFITMARGIN(B3489,E3489)</f>
        <v>7.6807609475999996</v>
      </c>
      <c r="K3489" s="10">
        <f>[1]!EM_S_FA_ASSETSTURN(B3489,E3489)</f>
        <v>0</v>
      </c>
      <c r="L3489" s="12">
        <f>[1]!EM_HKS_VAL_MV(B3489,"2019-12-31","2")</f>
        <v>34782029321.599998</v>
      </c>
      <c r="M3489">
        <f>[1]!EM_S_VAL_PETTMDEDUCTED(B3489,E3489)</f>
        <v>22.269668878402701</v>
      </c>
      <c r="N3489" s="7">
        <f>[1]!EM_S_VAL_PBGOODWILLDEDUCTED(B3489,E3489)</f>
        <v>2.16441100045046</v>
      </c>
      <c r="O3489" s="7">
        <f>[1]!EM_S_VAL_PS_TTM(B3489,E3489)</f>
        <v>0.893613042468131</v>
      </c>
      <c r="P3489" s="7">
        <f>[1]!EM_S_VAL_PCF_NCFTTM(B3489,E3489)</f>
        <v>-6.97483074597117</v>
      </c>
      <c r="Q3489" s="7">
        <f>[1]!EM_S_VAL_DIVIDENDYIELD2(B3489,E3489,"2019-11-29")</f>
        <v>0</v>
      </c>
      <c r="T3489"/>
      <c r="U3489">
        <f>[1]!EM_S_RATIO_EPS_TTM(B3489,E3489,"1")</f>
        <v>0.2684921390553302</v>
      </c>
      <c r="AT3489" s="4" t="str">
        <f>[1]!EM_S_IPO_LISTEDDATE(B3489)</f>
        <v>1996-11-12</v>
      </c>
    </row>
    <row r="3490" spans="1:46">
      <c r="A3490">
        <v>232</v>
      </c>
      <c r="B3490" t="str">
        <f>"000631"</f>
        <v>000631</v>
      </c>
      <c r="C3490" t="s">
        <v>194</v>
      </c>
      <c r="D3490" t="str">
        <f>[1]!EM_S_INFO_INDEX_EM(B3490,"1")</f>
        <v>房地产</v>
      </c>
      <c r="E3490" s="4">
        <f t="shared" si="54"/>
        <v>43465</v>
      </c>
      <c r="F3490" s="11">
        <f>[1]!EM_S_PQ_PCTCHANGE(B3490,"2018-01-01","2019-12-31","3")</f>
        <v>-18.597149829999999</v>
      </c>
      <c r="G3490" s="11"/>
      <c r="H3490" s="11">
        <f>[1]!EM_S_FA_YOY_OR(B3490,E3490)</f>
        <v>-59.3558597452</v>
      </c>
      <c r="I3490" s="11">
        <f>[1]!EM_S_FA_GROSSPROFITMARGIN(B3490,E3490)</f>
        <v>46.8013894722</v>
      </c>
      <c r="J3490" s="11">
        <f>[1]!EM_S_FA_NETPROFITMARGIN(B3490,E3490)</f>
        <v>40.6819516049</v>
      </c>
      <c r="K3490" s="10">
        <f>[1]!EM_S_FA_ASSETSTURN(B3490,E3490)</f>
        <v>0.20634742278000001</v>
      </c>
      <c r="L3490" s="12">
        <f>[1]!EM_HKS_VAL_MV(B3490,"2019-12-31","2")</f>
        <v>7443508654.0799999</v>
      </c>
      <c r="M3490">
        <f>[1]!EM_S_VAL_PETTMDEDUCTED(B3490,E3490)</f>
        <v>7.5448253285164499</v>
      </c>
      <c r="N3490" s="7">
        <f>[1]!EM_S_VAL_PBGOODWILLDEDUCTED(B3490,E3490)</f>
        <v>1.13221031642567</v>
      </c>
      <c r="O3490" s="7">
        <f>[1]!EM_S_VAL_PS_TTM(B3490,E3490)</f>
        <v>2.5578526247634001</v>
      </c>
      <c r="P3490" s="7">
        <f>[1]!EM_S_VAL_PCF_NCFTTM(B3490,E3490)</f>
        <v>-34.717410736695797</v>
      </c>
      <c r="Q3490" s="7">
        <f>[1]!EM_S_VAL_DIVIDENDYIELD2(B3490,E3490,"2019-11-29")</f>
        <v>7.4074074074074066</v>
      </c>
      <c r="T3490"/>
      <c r="U3490">
        <f>[1]!EM_S_RATIO_EPS_TTM(B3490,E3490,"1")</f>
        <v>0.42249717451763985</v>
      </c>
      <c r="AT3490" s="4" t="str">
        <f>[1]!EM_S_IPO_LISTEDDATE(B3490)</f>
        <v>1996-11-22</v>
      </c>
    </row>
    <row r="3491" spans="1:46">
      <c r="A3491">
        <v>237</v>
      </c>
      <c r="B3491" t="str">
        <f>"000637"</f>
        <v>000637</v>
      </c>
      <c r="C3491" t="s">
        <v>1617</v>
      </c>
      <c r="D3491" t="str">
        <f>[1]!EM_S_INFO_INDEX_EM(B3491,"1")</f>
        <v>化石能源</v>
      </c>
      <c r="E3491" s="4">
        <f t="shared" si="54"/>
        <v>43465</v>
      </c>
      <c r="F3491" s="11">
        <f>[1]!EM_S_PQ_PCTCHANGE(B3491,"2018-01-01","2019-12-31","3")</f>
        <v>-21.124901430000001</v>
      </c>
      <c r="G3491" s="11"/>
      <c r="H3491" s="11">
        <f>[1]!EM_S_FA_YOY_OR(B3491,E3491)</f>
        <v>-1.9916880422000001</v>
      </c>
      <c r="I3491" s="11">
        <f>[1]!EM_S_FA_GROSSPROFITMARGIN(B3491,E3491)</f>
        <v>4.7713245117999996</v>
      </c>
      <c r="J3491" s="11">
        <f>[1]!EM_S_FA_NETPROFITMARGIN(B3491,E3491)</f>
        <v>0.93256288170000001</v>
      </c>
      <c r="K3491" s="10">
        <f>[1]!EM_S_FA_ASSETSTURN(B3491,E3491)</f>
        <v>3.5281223870649998</v>
      </c>
      <c r="L3491" s="12">
        <f>[1]!EM_HKS_VAL_MV(B3491,"2019-12-31","2")</f>
        <v>2329041594.8800001</v>
      </c>
      <c r="M3491">
        <f>[1]!EM_S_VAL_PETTMDEDUCTED(B3491,E3491)</f>
        <v>37.324028063217</v>
      </c>
      <c r="N3491" s="7">
        <f>[1]!EM_S_VAL_PBGOODWILLDEDUCTED(B3491,E3491)</f>
        <v>2.2706689566810399</v>
      </c>
      <c r="O3491" s="7">
        <f>[1]!EM_S_VAL_PS_TTM(B3491,E3491)</f>
        <v>0.46211550648194799</v>
      </c>
      <c r="P3491" s="7">
        <f>[1]!EM_S_VAL_PCF_NCFTTM(B3491,E3491)</f>
        <v>19.070680110633599</v>
      </c>
      <c r="Q3491" s="7">
        <f>[1]!EM_S_VAL_DIVIDENDYIELD2(B3491,E3491,"2019-11-29")</f>
        <v>1.4492753623188404</v>
      </c>
      <c r="T3491"/>
      <c r="U3491">
        <f>[1]!EM_S_RATIO_EPS_TTM(B3491,E3491,"1")</f>
        <v>7.1653698891624318E-2</v>
      </c>
      <c r="AT3491" s="4" t="str">
        <f>[1]!EM_S_IPO_LISTEDDATE(B3491)</f>
        <v>1996-11-14</v>
      </c>
    </row>
    <row r="3492" spans="1:46">
      <c r="A3492">
        <v>238</v>
      </c>
      <c r="B3492" t="str">
        <f>"000638"</f>
        <v>000638</v>
      </c>
      <c r="C3492" t="s">
        <v>3573</v>
      </c>
      <c r="D3492" t="str">
        <f>[1]!EM_S_INFO_INDEX_EM(B3492,"1")</f>
        <v>信息技术</v>
      </c>
      <c r="E3492" s="4">
        <f t="shared" si="54"/>
        <v>43465</v>
      </c>
      <c r="F3492" s="11">
        <f>[1]!EM_S_PQ_PCTCHANGE(B3492,"2018-01-01","2019-12-31","3")</f>
        <v>-55.655296229999998</v>
      </c>
      <c r="G3492" s="11"/>
      <c r="H3492" s="11">
        <f>[1]!EM_S_FA_YOY_OR(B3492,E3492)</f>
        <v>-7.5357023613000003</v>
      </c>
      <c r="I3492" s="11">
        <f>[1]!EM_S_FA_GROSSPROFITMARGIN(B3492,E3492)</f>
        <v>45.333138749699998</v>
      </c>
      <c r="J3492" s="11">
        <f>[1]!EM_S_FA_NETPROFITMARGIN(B3492,E3492)</f>
        <v>-121.943629061</v>
      </c>
      <c r="K3492" s="10">
        <f>[1]!EM_S_FA_ASSETSTURN(B3492,E3492)</f>
        <v>0.142276957127</v>
      </c>
      <c r="L3492" s="12">
        <f>[1]!EM_HKS_VAL_MV(B3492,"2019-12-31","2")</f>
        <v>1528436000</v>
      </c>
      <c r="M3492">
        <f>[1]!EM_S_VAL_PETTMDEDUCTED(B3492,E3492)</f>
        <v>-60.337276849688003</v>
      </c>
      <c r="N3492" s="7">
        <f>[1]!EM_S_VAL_PBGOODWILLDEDUCTED(B3492,E3492)</f>
        <v>36.658203257155201</v>
      </c>
      <c r="O3492" s="7">
        <f>[1]!EM_S_VAL_PS_TTM(B3492,E3492)</f>
        <v>25.039632370292299</v>
      </c>
      <c r="P3492" s="7">
        <f>[1]!EM_S_VAL_PCF_NCFTTM(B3492,E3492)</f>
        <v>-183.13891890565401</v>
      </c>
      <c r="Q3492" s="7">
        <f>[1]!EM_S_VAL_DIVIDENDYIELD2(B3492,E3492,"2019-11-29")</f>
        <v>0</v>
      </c>
      <c r="T3492"/>
      <c r="U3492">
        <f>[1]!EM_S_RATIO_EPS_TTM(B3492,E3492,"1")</f>
        <v>-0.4766445783451842</v>
      </c>
      <c r="AT3492" s="4" t="str">
        <f>[1]!EM_S_IPO_LISTEDDATE(B3492)</f>
        <v>1996-11-26</v>
      </c>
    </row>
    <row r="3493" spans="1:46">
      <c r="A3493">
        <v>243</v>
      </c>
      <c r="B3493" t="str">
        <f>"000653"</f>
        <v>000653</v>
      </c>
      <c r="C3493" t="s">
        <v>3172</v>
      </c>
      <c r="D3493">
        <f>[1]!EM_S_INFO_INDEX_EM(B3493,"1")</f>
        <v>0</v>
      </c>
      <c r="E3493" s="4">
        <f t="shared" si="54"/>
        <v>43465</v>
      </c>
      <c r="F3493" s="11">
        <f>[1]!EM_S_PQ_PCTCHANGE(B3493,"2018-01-01","2019-12-31","3")</f>
        <v>0</v>
      </c>
      <c r="G3493" s="11"/>
      <c r="H3493" s="11">
        <f>[1]!EM_S_FA_YOY_OR(B3493,E3493)</f>
        <v>0</v>
      </c>
      <c r="I3493" s="11">
        <f>[1]!EM_S_FA_GROSSPROFITMARGIN(B3493,E3493)</f>
        <v>0</v>
      </c>
      <c r="J3493" s="11">
        <f>[1]!EM_S_FA_NETPROFITMARGIN(B3493,E3493)</f>
        <v>0</v>
      </c>
      <c r="K3493" s="10">
        <f>[1]!EM_S_FA_ASSETSTURN(B3493,E3493)</f>
        <v>0</v>
      </c>
      <c r="L3493" s="12">
        <f>[1]!EM_HKS_VAL_MV(B3493,"2019-12-31","2")</f>
        <v>744745614</v>
      </c>
      <c r="M3493">
        <f>[1]!EM_S_VAL_PETTMDEDUCTED(B3493,E3493)</f>
        <v>0</v>
      </c>
      <c r="N3493" s="7">
        <f>[1]!EM_S_VAL_PBGOODWILLDEDUCTED(B3493,E3493)</f>
        <v>-0.448047021986271</v>
      </c>
      <c r="O3493" s="7">
        <f>[1]!EM_S_VAL_PS_TTM(B3493,E3493)</f>
        <v>0</v>
      </c>
      <c r="P3493" s="7">
        <f>[1]!EM_S_VAL_PCF_NCFTTM(B3493,E3493)</f>
        <v>204782.159443682</v>
      </c>
      <c r="Q3493" s="7">
        <f>[1]!EM_S_VAL_DIVIDENDYIELD2(B3493,E3493,"2019-11-29")</f>
        <v>0</v>
      </c>
      <c r="T3493"/>
      <c r="U3493">
        <f>[1]!EM_S_RATIO_EPS_TTM(B3493,E3493,"1")</f>
        <v>-0.16355380416795581</v>
      </c>
      <c r="AT3493" s="4" t="str">
        <f>[1]!EM_S_IPO_LISTEDDATE(B3493)</f>
        <v>1996-11-26</v>
      </c>
    </row>
    <row r="3494" spans="1:46">
      <c r="A3494">
        <v>244</v>
      </c>
      <c r="B3494" t="str">
        <f>"000655"</f>
        <v>000655</v>
      </c>
      <c r="C3494" t="s">
        <v>2587</v>
      </c>
      <c r="D3494" t="str">
        <f>[1]!EM_S_INFO_INDEX_EM(B3494,"1")</f>
        <v>钢铁</v>
      </c>
      <c r="E3494" s="4">
        <f t="shared" si="54"/>
        <v>43465</v>
      </c>
      <c r="F3494" s="11">
        <f>[1]!EM_S_PQ_PCTCHANGE(B3494,"2018-01-01","2019-12-31","3")</f>
        <v>-29.464285709999999</v>
      </c>
      <c r="G3494" s="11"/>
      <c r="H3494" s="11">
        <f>[1]!EM_S_FA_YOY_OR(B3494,E3494)</f>
        <v>-0.24401543959999999</v>
      </c>
      <c r="I3494" s="11">
        <f>[1]!EM_S_FA_GROSSPROFITMARGIN(B3494,E3494)</f>
        <v>24.115174515900001</v>
      </c>
      <c r="J3494" s="11">
        <f>[1]!EM_S_FA_NETPROFITMARGIN(B3494,E3494)</f>
        <v>9.6007447860999999</v>
      </c>
      <c r="K3494" s="10">
        <f>[1]!EM_S_FA_ASSETSTURN(B3494,E3494)</f>
        <v>0.38751337990700002</v>
      </c>
      <c r="L3494" s="12">
        <f>[1]!EM_HKS_VAL_MV(B3494,"2019-12-31","2")</f>
        <v>3292231471.9000001</v>
      </c>
      <c r="M3494">
        <f>[1]!EM_S_VAL_PETTMDEDUCTED(B3494,E3494)</f>
        <v>-6.9429315629743904</v>
      </c>
      <c r="N3494" s="7">
        <f>[1]!EM_S_VAL_PBGOODWILLDEDUCTED(B3494,E3494)</f>
        <v>0.83746212862941904</v>
      </c>
      <c r="O3494" s="7">
        <f>[1]!EM_S_VAL_PS_TTM(B3494,E3494)</f>
        <v>2.1435079149002298</v>
      </c>
      <c r="P3494" s="7">
        <f>[1]!EM_S_VAL_PCF_NCFTTM(B3494,E3494)</f>
        <v>10.9629450723498</v>
      </c>
      <c r="Q3494" s="7">
        <f>[1]!EM_S_VAL_DIVIDENDYIELD2(B3494,E3494,"2019-11-29")</f>
        <v>0</v>
      </c>
      <c r="T3494"/>
      <c r="U3494">
        <f>[1]!EM_S_RATIO_EPS_TTM(B3494,E3494,"1")</f>
        <v>0.16877036243628285</v>
      </c>
      <c r="AT3494" s="4" t="str">
        <f>[1]!EM_S_IPO_LISTEDDATE(B3494)</f>
        <v>1996-11-28</v>
      </c>
    </row>
    <row r="3495" spans="1:46">
      <c r="A3495">
        <v>247</v>
      </c>
      <c r="B3495" t="str">
        <f>"000658"</f>
        <v>000658</v>
      </c>
      <c r="C3495" t="s">
        <v>3171</v>
      </c>
      <c r="D3495">
        <f>[1]!EM_S_INFO_INDEX_EM(B3495,"1")</f>
        <v>0</v>
      </c>
      <c r="E3495" s="4">
        <f t="shared" si="54"/>
        <v>43465</v>
      </c>
      <c r="F3495" s="11">
        <f>[1]!EM_S_PQ_PCTCHANGE(B3495,"2018-01-01","2019-12-31","3")</f>
        <v>0</v>
      </c>
      <c r="G3495" s="11"/>
      <c r="H3495" s="11">
        <f>[1]!EM_S_FA_YOY_OR(B3495,E3495)</f>
        <v>19279.910769230799</v>
      </c>
      <c r="I3495" s="11">
        <f>[1]!EM_S_FA_GROSSPROFITMARGIN(B3495,E3495)</f>
        <v>64.887684645999997</v>
      </c>
      <c r="J3495" s="11">
        <f>[1]!EM_S_FA_NETPROFITMARGIN(B3495,E3495)</f>
        <v>-126.7446257989</v>
      </c>
      <c r="K3495" s="10">
        <f>[1]!EM_S_FA_ASSETSTURN(B3495,E3495)</f>
        <v>1.866195707E-3</v>
      </c>
      <c r="L3495" s="12">
        <f>[1]!EM_HKS_VAL_MV(B3495,"2019-12-31","2")</f>
        <v>665771592.48000002</v>
      </c>
      <c r="M3495">
        <f>[1]!EM_S_VAL_PETTMDEDUCTED(B3495,E3495)</f>
        <v>-959.66115003244295</v>
      </c>
      <c r="N3495" s="7">
        <f>[1]!EM_S_VAL_PBGOODWILLDEDUCTED(B3495,E3495)</f>
        <v>-2.77731395407538</v>
      </c>
      <c r="O3495" s="7">
        <f>[1]!EM_S_VAL_PS_TTM(B3495,E3495)</f>
        <v>5285.1842334433204</v>
      </c>
      <c r="P3495" s="7">
        <f>[1]!EM_S_VAL_PCF_NCFTTM(B3495,E3495)</f>
        <v>-31.631339628627501</v>
      </c>
      <c r="Q3495" s="7">
        <f>[1]!EM_S_VAL_DIVIDENDYIELD2(B3495,E3495,"2019-11-29")</f>
        <v>0</v>
      </c>
      <c r="T3495"/>
      <c r="U3495">
        <f>[1]!EM_S_RATIO_EPS_TTM(B3495,E3495,"1")</f>
        <v>-1.0167993955379465E-3</v>
      </c>
      <c r="AT3495" s="4" t="str">
        <f>[1]!EM_S_IPO_LISTEDDATE(B3495)</f>
        <v>1996-12-18</v>
      </c>
    </row>
    <row r="3496" spans="1:46">
      <c r="A3496">
        <v>249</v>
      </c>
      <c r="B3496" t="str">
        <f>"000660"</f>
        <v>000660</v>
      </c>
      <c r="C3496" t="s">
        <v>3170</v>
      </c>
      <c r="D3496">
        <f>[1]!EM_S_INFO_INDEX_EM(B3496,"1")</f>
        <v>0</v>
      </c>
      <c r="E3496" s="4">
        <f t="shared" si="54"/>
        <v>43465</v>
      </c>
      <c r="F3496" s="11">
        <f>[1]!EM_S_PQ_PCTCHANGE(B3496,"2018-01-01","2019-12-31","3")</f>
        <v>0</v>
      </c>
      <c r="G3496" s="11"/>
      <c r="H3496" s="11">
        <f>[1]!EM_S_FA_YOY_OR(B3496,E3496)</f>
        <v>-5.2973328239999997</v>
      </c>
      <c r="I3496" s="11">
        <f>[1]!EM_S_FA_GROSSPROFITMARGIN(B3496,E3496)</f>
        <v>13.1538436901</v>
      </c>
      <c r="J3496" s="11">
        <f>[1]!EM_S_FA_NETPROFITMARGIN(B3496,E3496)</f>
        <v>4.9007573291000002</v>
      </c>
      <c r="K3496" s="10">
        <f>[1]!EM_S_FA_ASSETSTURN(B3496,E3496)</f>
        <v>0.890296163664</v>
      </c>
      <c r="L3496" s="12">
        <f>[1]!EM_HKS_VAL_MV(B3496,"2019-12-31","2")</f>
        <v>569400531.98000002</v>
      </c>
      <c r="M3496">
        <f>[1]!EM_S_VAL_PETTMDEDUCTED(B3496,E3496)</f>
        <v>15.3838723359626</v>
      </c>
      <c r="N3496" s="7">
        <f>[1]!EM_S_VAL_PBGOODWILLDEDUCTED(B3496,E3496)</f>
        <v>1.9881463624865501</v>
      </c>
      <c r="O3496" s="7">
        <f>[1]!EM_S_VAL_PS_TTM(B3496,E3496)</f>
        <v>0.76636225781593004</v>
      </c>
      <c r="P3496" s="7">
        <f>[1]!EM_S_VAL_PCF_NCFTTM(B3496,E3496)</f>
        <v>-148.36946474634701</v>
      </c>
      <c r="Q3496" s="7">
        <f>[1]!EM_S_VAL_DIVIDENDYIELD2(B3496,E3496,"2019-11-29")</f>
        <v>0</v>
      </c>
      <c r="T3496"/>
      <c r="U3496">
        <f>[1]!EM_S_RATIO_EPS_TTM(B3496,E3496,"1")</f>
        <v>0.10084743561781033</v>
      </c>
      <c r="AT3496" s="4" t="str">
        <f>[1]!EM_S_IPO_LISTEDDATE(B3496)</f>
        <v>1996-12-09</v>
      </c>
    </row>
    <row r="3497" spans="1:46">
      <c r="A3497">
        <v>251</v>
      </c>
      <c r="B3497" t="str">
        <f>"000662"</f>
        <v>000662</v>
      </c>
      <c r="C3497" t="s">
        <v>1725</v>
      </c>
      <c r="D3497" t="str">
        <f>[1]!EM_S_INFO_INDEX_EM(B3497,"1")</f>
        <v>信息技术</v>
      </c>
      <c r="E3497" s="4">
        <f t="shared" si="54"/>
        <v>43465</v>
      </c>
      <c r="F3497" s="11">
        <f>[1]!EM_S_PQ_PCTCHANGE(B3497,"2018-01-01","2019-12-31","3")</f>
        <v>-52.663418419999999</v>
      </c>
      <c r="G3497" s="11"/>
      <c r="H3497" s="11">
        <f>[1]!EM_S_FA_YOY_OR(B3497,E3497)</f>
        <v>-34.485597599000002</v>
      </c>
      <c r="I3497" s="11">
        <f>[1]!EM_S_FA_GROSSPROFITMARGIN(B3497,E3497)</f>
        <v>45.153054658199999</v>
      </c>
      <c r="J3497" s="11">
        <f>[1]!EM_S_FA_NETPROFITMARGIN(B3497,E3497)</f>
        <v>13.825843734499999</v>
      </c>
      <c r="K3497" s="10">
        <f>[1]!EM_S_FA_ASSETSTURN(B3497,E3497)</f>
        <v>0.15347794410900001</v>
      </c>
      <c r="L3497" s="12">
        <f>[1]!EM_HKS_VAL_MV(B3497,"2019-12-31","2")</f>
        <v>5869934831.5799999</v>
      </c>
      <c r="M3497">
        <f>[1]!EM_S_VAL_PETTMDEDUCTED(B3497,E3497)</f>
        <v>13.198469704757899</v>
      </c>
      <c r="N3497" s="7">
        <f>[1]!EM_S_VAL_PBGOODWILLDEDUCTED(B3497,E3497)</f>
        <v>2.8844276843126302</v>
      </c>
      <c r="O3497" s="7">
        <f>[1]!EM_S_VAL_PS_TTM(B3497,E3497)</f>
        <v>4.1074420203919102</v>
      </c>
      <c r="P3497" s="7">
        <f>[1]!EM_S_VAL_PCF_NCFTTM(B3497,E3497)</f>
        <v>46.117086482918999</v>
      </c>
      <c r="Q3497" s="7">
        <f>[1]!EM_S_VAL_DIVIDENDYIELD2(B3497,E3497,"2019-11-29")</f>
        <v>0</v>
      </c>
      <c r="T3497"/>
      <c r="U3497">
        <f>[1]!EM_S_RATIO_EPS_TTM(B3497,E3497,"1")</f>
        <v>0.13801830643077703</v>
      </c>
      <c r="AT3497" s="4" t="str">
        <f>[1]!EM_S_IPO_LISTEDDATE(B3497)</f>
        <v>1996-12-16</v>
      </c>
    </row>
    <row r="3498" spans="1:46">
      <c r="A3498">
        <v>252</v>
      </c>
      <c r="B3498" t="str">
        <f>"000663"</f>
        <v>000663</v>
      </c>
      <c r="C3498" t="s">
        <v>3398</v>
      </c>
      <c r="D3498" t="str">
        <f>[1]!EM_S_INFO_INDEX_EM(B3498,"1")</f>
        <v>农林牧渔</v>
      </c>
      <c r="E3498" s="4">
        <f t="shared" si="54"/>
        <v>43465</v>
      </c>
      <c r="F3498" s="11">
        <f>[1]!EM_S_PQ_PCTCHANGE(B3498,"2018-01-01","2019-12-31","3")</f>
        <v>-73.303670749999995</v>
      </c>
      <c r="G3498" s="11"/>
      <c r="H3498" s="11">
        <f>[1]!EM_S_FA_YOY_OR(B3498,E3498)</f>
        <v>-36.659299192100001</v>
      </c>
      <c r="I3498" s="11">
        <f>[1]!EM_S_FA_GROSSPROFITMARGIN(B3498,E3498)</f>
        <v>7.5143914643</v>
      </c>
      <c r="J3498" s="11">
        <f>[1]!EM_S_FA_NETPROFITMARGIN(B3498,E3498)</f>
        <v>-177.4780758725</v>
      </c>
      <c r="K3498" s="10">
        <f>[1]!EM_S_FA_ASSETSTURN(B3498,E3498)</f>
        <v>0.217159796721</v>
      </c>
      <c r="L3498" s="12">
        <f>[1]!EM_HKS_VAL_MV(B3498,"2019-12-31","2")</f>
        <v>1616082859.2</v>
      </c>
      <c r="M3498">
        <f>[1]!EM_S_VAL_PETTMDEDUCTED(B3498,E3498)</f>
        <v>-14.355472934502099</v>
      </c>
      <c r="N3498" s="7">
        <f>[1]!EM_S_VAL_PBGOODWILLDEDUCTED(B3498,E3498)</f>
        <v>2.5736477274857901</v>
      </c>
      <c r="O3498" s="7">
        <f>[1]!EM_S_VAL_PS_TTM(B3498,E3498)</f>
        <v>2.05894734797165</v>
      </c>
      <c r="P3498" s="7">
        <f>[1]!EM_S_VAL_PCF_NCFTTM(B3498,E3498)</f>
        <v>151.27104421654099</v>
      </c>
      <c r="Q3498" s="7">
        <f>[1]!EM_S_VAL_DIVIDENDYIELD2(B3498,E3498,"2019-11-29")</f>
        <v>0</v>
      </c>
      <c r="T3498"/>
      <c r="U3498">
        <f>[1]!EM_S_RATIO_EPS_TTM(B3498,E3498,"1")</f>
        <v>-3.8989818388469653</v>
      </c>
      <c r="AT3498" s="4" t="str">
        <f>[1]!EM_S_IPO_LISTEDDATE(B3498)</f>
        <v>1996-12-06</v>
      </c>
    </row>
    <row r="3499" spans="1:46">
      <c r="A3499">
        <v>255</v>
      </c>
      <c r="B3499" t="str">
        <f>"000667"</f>
        <v>000667</v>
      </c>
      <c r="C3499" t="s">
        <v>3517</v>
      </c>
      <c r="D3499" t="str">
        <f>[1]!EM_S_INFO_INDEX_EM(B3499,"1")</f>
        <v>房地产</v>
      </c>
      <c r="E3499" s="4">
        <f t="shared" si="54"/>
        <v>43465</v>
      </c>
      <c r="F3499" s="11">
        <f>[1]!EM_S_PQ_PCTCHANGE(B3499,"2018-01-01","2019-12-31","3")</f>
        <v>-9.3461587700000006</v>
      </c>
      <c r="G3499" s="11"/>
      <c r="H3499" s="11">
        <f>[1]!EM_S_FA_YOY_OR(B3499,E3499)</f>
        <v>-43.213864666399999</v>
      </c>
      <c r="I3499" s="11">
        <f>[1]!EM_S_FA_GROSSPROFITMARGIN(B3499,E3499)</f>
        <v>24.8802781236</v>
      </c>
      <c r="J3499" s="11">
        <f>[1]!EM_S_FA_NETPROFITMARGIN(B3499,E3499)</f>
        <v>5.9153719551000004</v>
      </c>
      <c r="K3499" s="10">
        <f>[1]!EM_S_FA_ASSETSTURN(B3499,E3499)</f>
        <v>0.124949443265</v>
      </c>
      <c r="L3499" s="12">
        <f>[1]!EM_HKS_VAL_MV(B3499,"2019-12-31","2")</f>
        <v>6734878968.0900002</v>
      </c>
      <c r="M3499">
        <f>[1]!EM_S_VAL_PETTMDEDUCTED(B3499,E3499)</f>
        <v>-87.362718389536298</v>
      </c>
      <c r="N3499" s="7">
        <f>[1]!EM_S_VAL_PBGOODWILLDEDUCTED(B3499,E3499)</f>
        <v>0.89115717512303305</v>
      </c>
      <c r="O3499" s="7">
        <f>[1]!EM_S_VAL_PS_TTM(B3499,E3499)</f>
        <v>2.2833829701304</v>
      </c>
      <c r="P3499" s="7">
        <f>[1]!EM_S_VAL_PCF_NCFTTM(B3499,E3499)</f>
        <v>3.9860801083638902</v>
      </c>
      <c r="Q3499" s="7">
        <f>[1]!EM_S_VAL_DIVIDENDYIELD2(B3499,E3499,"2019-11-29")</f>
        <v>0</v>
      </c>
      <c r="T3499"/>
      <c r="U3499">
        <f>[1]!EM_S_RATIO_EPS_TTM(B3499,E3499,"1")</f>
        <v>9.7208481272321609E-2</v>
      </c>
      <c r="AT3499" s="4" t="str">
        <f>[1]!EM_S_IPO_LISTEDDATE(B3499)</f>
        <v>1996-12-05</v>
      </c>
    </row>
    <row r="3500" spans="1:46">
      <c r="A3500">
        <v>256</v>
      </c>
      <c r="B3500" t="str">
        <f>"000668"</f>
        <v>000668</v>
      </c>
      <c r="C3500" t="s">
        <v>2761</v>
      </c>
      <c r="D3500" t="str">
        <f>[1]!EM_S_INFO_INDEX_EM(B3500,"1")</f>
        <v>房地产</v>
      </c>
      <c r="E3500" s="4">
        <f t="shared" si="54"/>
        <v>43465</v>
      </c>
      <c r="F3500" s="11">
        <f>[1]!EM_S_PQ_PCTCHANGE(B3500,"2018-01-01","2019-12-31","3")</f>
        <v>-10.063559509999999</v>
      </c>
      <c r="G3500" s="11"/>
      <c r="H3500" s="11">
        <f>[1]!EM_S_FA_YOY_OR(B3500,E3500)</f>
        <v>-7.9707784545999996</v>
      </c>
      <c r="I3500" s="11">
        <f>[1]!EM_S_FA_GROSSPROFITMARGIN(B3500,E3500)</f>
        <v>49.639047328300002</v>
      </c>
      <c r="J3500" s="11">
        <f>[1]!EM_S_FA_NETPROFITMARGIN(B3500,E3500)</f>
        <v>4.4322333737999999</v>
      </c>
      <c r="K3500" s="10">
        <f>[1]!EM_S_FA_ASSETSTURN(B3500,E3500)</f>
        <v>9.7821177083000005E-2</v>
      </c>
      <c r="L3500" s="12">
        <f>[1]!EM_HKS_VAL_MV(B3500,"2019-12-31","2")</f>
        <v>1967681326</v>
      </c>
      <c r="M3500">
        <f>[1]!EM_S_VAL_PETTMDEDUCTED(B3500,E3500)</f>
        <v>42.668485491026303</v>
      </c>
      <c r="N3500" s="7">
        <f>[1]!EM_S_VAL_PBGOODWILLDEDUCTED(B3500,E3500)</f>
        <v>1.71233043181988</v>
      </c>
      <c r="O3500" s="7">
        <f>[1]!EM_S_VAL_PS_TTM(B3500,E3500)</f>
        <v>3.5776500862470599</v>
      </c>
      <c r="P3500" s="7">
        <f>[1]!EM_S_VAL_PCF_NCFTTM(B3500,E3500)</f>
        <v>14.6329110008352</v>
      </c>
      <c r="Q3500" s="7">
        <f>[1]!EM_S_VAL_DIVIDENDYIELD2(B3500,E3500,"2019-11-29")</f>
        <v>0.27027027027027029</v>
      </c>
      <c r="T3500"/>
      <c r="U3500">
        <f>[1]!EM_S_RATIO_EPS_TTM(B3500,E3500,"1")</f>
        <v>6.0119542591014048E-2</v>
      </c>
      <c r="AT3500" s="4" t="str">
        <f>[1]!EM_S_IPO_LISTEDDATE(B3500)</f>
        <v>1996-12-10</v>
      </c>
    </row>
    <row r="3501" spans="1:46">
      <c r="A3501">
        <v>257</v>
      </c>
      <c r="B3501" t="str">
        <f>"000669"</f>
        <v>000669</v>
      </c>
      <c r="C3501" t="s">
        <v>1412</v>
      </c>
      <c r="D3501" t="str">
        <f>[1]!EM_S_INFO_INDEX_EM(B3501,"1")</f>
        <v>公用事业</v>
      </c>
      <c r="E3501" s="4">
        <f t="shared" si="54"/>
        <v>43465</v>
      </c>
      <c r="F3501" s="11">
        <f>[1]!EM_S_PQ_PCTCHANGE(B3501,"2018-01-01","2019-12-31","3")</f>
        <v>-64.16382231</v>
      </c>
      <c r="G3501" s="11"/>
      <c r="H3501" s="11">
        <f>[1]!EM_S_FA_YOY_OR(B3501,E3501)</f>
        <v>17.6454841758</v>
      </c>
      <c r="I3501" s="11">
        <f>[1]!EM_S_FA_GROSSPROFITMARGIN(B3501,E3501)</f>
        <v>15.005859253400001</v>
      </c>
      <c r="J3501" s="11">
        <f>[1]!EM_S_FA_NETPROFITMARGIN(B3501,E3501)</f>
        <v>-39.7988987568</v>
      </c>
      <c r="K3501" s="10">
        <f>[1]!EM_S_FA_ASSETSTURN(B3501,E3501)</f>
        <v>0.35996809832600002</v>
      </c>
      <c r="L3501" s="12">
        <f>[1]!EM_HKS_VAL_MV(B3501,"2019-12-31","2")</f>
        <v>2551532988.75</v>
      </c>
      <c r="M3501">
        <f>[1]!EM_S_VAL_PETTMDEDUCTED(B3501,E3501)</f>
        <v>33.067892149023201</v>
      </c>
      <c r="N3501" s="7">
        <f>[1]!EM_S_VAL_PBGOODWILLDEDUCTED(B3501,E3501)</f>
        <v>1.83401703447558</v>
      </c>
      <c r="O3501" s="7">
        <f>[1]!EM_S_VAL_PS_TTM(B3501,E3501)</f>
        <v>0.88353273975845803</v>
      </c>
      <c r="P3501" s="7">
        <f>[1]!EM_S_VAL_PCF_NCFTTM(B3501,E3501)</f>
        <v>-12.6196729321471</v>
      </c>
      <c r="Q3501" s="7">
        <f>[1]!EM_S_VAL_DIVIDENDYIELD2(B3501,E3501,"2019-11-29")</f>
        <v>0</v>
      </c>
      <c r="T3501"/>
      <c r="U3501">
        <f>[1]!EM_S_RATIO_EPS_TTM(B3501,E3501,"1")</f>
        <v>-2.3312305572380776</v>
      </c>
      <c r="AT3501" s="4" t="str">
        <f>[1]!EM_S_IPO_LISTEDDATE(B3501)</f>
        <v>1996-12-10</v>
      </c>
    </row>
    <row r="3502" spans="1:46">
      <c r="A3502">
        <v>258</v>
      </c>
      <c r="B3502" t="str">
        <f>"000670"</f>
        <v>000670</v>
      </c>
      <c r="C3502" t="s">
        <v>3613</v>
      </c>
      <c r="D3502" t="str">
        <f>[1]!EM_S_INFO_INDEX_EM(B3502,"1")</f>
        <v>电子设备</v>
      </c>
      <c r="E3502" s="4">
        <f t="shared" si="54"/>
        <v>43465</v>
      </c>
      <c r="F3502" s="11">
        <f>[1]!EM_S_PQ_PCTCHANGE(B3502,"2018-01-01","2019-12-31","3")</f>
        <v>-69.130434780000002</v>
      </c>
      <c r="G3502" s="11"/>
      <c r="H3502" s="11">
        <f>[1]!EM_S_FA_YOY_OR(B3502,E3502)</f>
        <v>-57.449873054999998</v>
      </c>
      <c r="I3502" s="11">
        <f>[1]!EM_S_FA_GROSSPROFITMARGIN(B3502,E3502)</f>
        <v>5.6716024941000001</v>
      </c>
      <c r="J3502" s="11">
        <f>[1]!EM_S_FA_NETPROFITMARGIN(B3502,E3502)</f>
        <v>-175.18684983399999</v>
      </c>
      <c r="K3502" s="10">
        <f>[1]!EM_S_FA_ASSETSTURN(B3502,E3502)</f>
        <v>0.28964913054199998</v>
      </c>
      <c r="L3502" s="12">
        <f>[1]!EM_HKS_VAL_MV(B3502,"2019-12-31","2")</f>
        <v>1739416276.8</v>
      </c>
      <c r="M3502">
        <f>[1]!EM_S_VAL_PETTMDEDUCTED(B3502,E3502)</f>
        <v>-6.9746917176516998</v>
      </c>
      <c r="N3502" s="7">
        <f>[1]!EM_S_VAL_PBGOODWILLDEDUCTED(B3502,E3502)</f>
        <v>13.1423704614526</v>
      </c>
      <c r="O3502" s="7">
        <f>[1]!EM_S_VAL_PS_TTM(B3502,E3502)</f>
        <v>18.126216678209101</v>
      </c>
      <c r="P3502" s="7">
        <f>[1]!EM_S_VAL_PCF_NCFTTM(B3502,E3502)</f>
        <v>184.010462081452</v>
      </c>
      <c r="Q3502" s="7">
        <f>[1]!EM_S_VAL_DIVIDENDYIELD2(B3502,E3502,"2019-11-29")</f>
        <v>0</v>
      </c>
      <c r="T3502"/>
      <c r="U3502">
        <f>[1]!EM_S_RATIO_EPS_TTM(B3502,E3502,"1")</f>
        <v>-0.2176892192786683</v>
      </c>
      <c r="AT3502" s="4" t="str">
        <f>[1]!EM_S_IPO_LISTEDDATE(B3502)</f>
        <v>1996-12-17</v>
      </c>
    </row>
    <row r="3503" spans="1:46">
      <c r="A3503">
        <v>261</v>
      </c>
      <c r="B3503" t="str">
        <f>"000673"</f>
        <v>000673</v>
      </c>
      <c r="C3503" t="s">
        <v>429</v>
      </c>
      <c r="D3503" t="str">
        <f>[1]!EM_S_INFO_INDEX_EM(B3503,"1")</f>
        <v>文化传媒</v>
      </c>
      <c r="E3503" s="4">
        <f t="shared" si="54"/>
        <v>43465</v>
      </c>
      <c r="F3503" s="11">
        <f>[1]!EM_S_PQ_PCTCHANGE(B3503,"2018-01-01","2019-12-31","3")</f>
        <v>-61.246200610000002</v>
      </c>
      <c r="G3503" s="11"/>
      <c r="H3503" s="11">
        <f>[1]!EM_S_FA_YOY_OR(B3503,E3503)</f>
        <v>-5.3700578297000003</v>
      </c>
      <c r="I3503" s="11">
        <f>[1]!EM_S_FA_GROSSPROFITMARGIN(B3503,E3503)</f>
        <v>28.481290103500001</v>
      </c>
      <c r="J3503" s="11">
        <f>[1]!EM_S_FA_NETPROFITMARGIN(B3503,E3503)</f>
        <v>-206.39961950969999</v>
      </c>
      <c r="K3503" s="10">
        <f>[1]!EM_S_FA_ASSETSTURN(B3503,E3503)</f>
        <v>0.26751656214000002</v>
      </c>
      <c r="L3503" s="12">
        <f>[1]!EM_HKS_VAL_MV(B3503,"2019-12-31","2")</f>
        <v>4036907254.1999998</v>
      </c>
      <c r="M3503">
        <f>[1]!EM_S_VAL_PETTMDEDUCTED(B3503,E3503)</f>
        <v>21.4719571954281</v>
      </c>
      <c r="N3503" s="7">
        <f>[1]!EM_S_VAL_PBGOODWILLDEDUCTED(B3503,E3503)</f>
        <v>8.0876090735567203</v>
      </c>
      <c r="O3503" s="7">
        <f>[1]!EM_S_VAL_PS_TTM(B3503,E3503)</f>
        <v>4.4634719556271998</v>
      </c>
      <c r="P3503" s="7">
        <f>[1]!EM_S_VAL_PCF_NCFTTM(B3503,E3503)</f>
        <v>-27.983029481922198</v>
      </c>
      <c r="Q3503" s="7">
        <f>[1]!EM_S_VAL_DIVIDENDYIELD2(B3503,E3503,"2019-11-29")</f>
        <v>0</v>
      </c>
      <c r="T3503"/>
      <c r="U3503">
        <f>[1]!EM_S_RATIO_EPS_TTM(B3503,E3503,"1")</f>
        <v>-2.0226171261742532</v>
      </c>
      <c r="AT3503" s="4" t="str">
        <f>[1]!EM_S_IPO_LISTEDDATE(B3503)</f>
        <v>1997-01-24</v>
      </c>
    </row>
    <row r="3504" spans="1:46">
      <c r="A3504">
        <v>262</v>
      </c>
      <c r="B3504" t="str">
        <f>"000675"</f>
        <v>000675</v>
      </c>
      <c r="C3504" t="s">
        <v>3169</v>
      </c>
      <c r="D3504">
        <f>[1]!EM_S_INFO_INDEX_EM(B3504,"1")</f>
        <v>0</v>
      </c>
      <c r="E3504" s="4">
        <f t="shared" si="54"/>
        <v>43465</v>
      </c>
      <c r="F3504" s="11">
        <f>[1]!EM_S_PQ_PCTCHANGE(B3504,"2018-01-01","2019-12-31","3")</f>
        <v>0</v>
      </c>
      <c r="G3504" s="11"/>
      <c r="H3504" s="11">
        <f>[1]!EM_S_FA_YOY_OR(B3504,E3504)</f>
        <v>11.9338611437</v>
      </c>
      <c r="I3504" s="11">
        <f>[1]!EM_S_FA_GROSSPROFITMARGIN(B3504,E3504)</f>
        <v>0</v>
      </c>
      <c r="J3504" s="11">
        <f>[1]!EM_S_FA_NETPROFITMARGIN(B3504,E3504)</f>
        <v>1874.7974886070001</v>
      </c>
      <c r="K3504" s="10">
        <f>[1]!EM_S_FA_ASSETSTURN(B3504,E3504)</f>
        <v>1.4087215815E-2</v>
      </c>
      <c r="L3504" s="12">
        <f>[1]!EM_HKS_VAL_MV(B3504,"2019-12-31","2")</f>
        <v>907941080.27999997</v>
      </c>
      <c r="M3504">
        <f>[1]!EM_S_VAL_PETTMDEDUCTED(B3504,E3504)</f>
        <v>-16.2983393396525</v>
      </c>
      <c r="N3504" s="7">
        <f>[1]!EM_S_VAL_PBGOODWILLDEDUCTED(B3504,E3504)</f>
        <v>-0.71645541950098401</v>
      </c>
      <c r="O3504" s="7">
        <f>[1]!EM_S_VAL_PS_TTM(B3504,E3504)</f>
        <v>866.66837365597803</v>
      </c>
      <c r="P3504" s="7">
        <f>[1]!EM_S_VAL_PCF_NCFTTM(B3504,E3504)</f>
        <v>584.32238800306698</v>
      </c>
      <c r="Q3504" s="7">
        <f>[1]!EM_S_VAL_DIVIDENDYIELD2(B3504,E3504,"2019-11-29")</f>
        <v>0</v>
      </c>
      <c r="T3504"/>
      <c r="U3504">
        <f>[1]!EM_S_RATIO_EPS_TTM(B3504,E3504,"1")</f>
        <v>0.15351179518941549</v>
      </c>
      <c r="AT3504" s="4" t="str">
        <f>[1]!EM_S_IPO_LISTEDDATE(B3504)</f>
        <v>1996-12-26</v>
      </c>
    </row>
    <row r="3505" spans="1:46">
      <c r="A3505">
        <v>265</v>
      </c>
      <c r="B3505" t="str">
        <f>"000678"</f>
        <v>000678</v>
      </c>
      <c r="C3505" t="s">
        <v>3075</v>
      </c>
      <c r="D3505" t="str">
        <f>[1]!EM_S_INFO_INDEX_EM(B3505,"1")</f>
        <v>交运设备</v>
      </c>
      <c r="E3505" s="4">
        <f t="shared" si="54"/>
        <v>43465</v>
      </c>
      <c r="F3505" s="11">
        <f>[1]!EM_S_PQ_PCTCHANGE(B3505,"2018-01-01","2019-12-31","3")</f>
        <v>-13.895781639999999</v>
      </c>
      <c r="G3505" s="11"/>
      <c r="H3505" s="11">
        <f>[1]!EM_S_FA_YOY_OR(B3505,E3505)</f>
        <v>-2.0715631133999999</v>
      </c>
      <c r="I3505" s="11">
        <f>[1]!EM_S_FA_GROSSPROFITMARGIN(B3505,E3505)</f>
        <v>9.0038736498999992</v>
      </c>
      <c r="J3505" s="11">
        <f>[1]!EM_S_FA_NETPROFITMARGIN(B3505,E3505)</f>
        <v>-3.7577701402999999</v>
      </c>
      <c r="K3505" s="10">
        <f>[1]!EM_S_FA_ASSETSTURN(B3505,E3505)</f>
        <v>0.53650669302599996</v>
      </c>
      <c r="L3505" s="12">
        <f>[1]!EM_HKS_VAL_MV(B3505,"2019-12-31","2")</f>
        <v>3189705871.1799998</v>
      </c>
      <c r="M3505">
        <f>[1]!EM_S_VAL_PETTMDEDUCTED(B3505,E3505)</f>
        <v>-69.528694817502696</v>
      </c>
      <c r="N3505" s="7">
        <f>[1]!EM_S_VAL_PBGOODWILLDEDUCTED(B3505,E3505)</f>
        <v>1.93953818119677</v>
      </c>
      <c r="O3505" s="7">
        <f>[1]!EM_S_VAL_PS_TTM(B3505,E3505)</f>
        <v>1.5208694136024601</v>
      </c>
      <c r="P3505" s="7">
        <f>[1]!EM_S_VAL_PCF_NCFTTM(B3505,E3505)</f>
        <v>136.679595976754</v>
      </c>
      <c r="Q3505" s="7">
        <f>[1]!EM_S_VAL_DIVIDENDYIELD2(B3505,E3505,"2019-11-29")</f>
        <v>0</v>
      </c>
      <c r="T3505"/>
      <c r="U3505">
        <f>[1]!EM_S_RATIO_EPS_TTM(B3505,E3505,"1")</f>
        <v>-0.12985781285331108</v>
      </c>
      <c r="AT3505" s="4" t="str">
        <f>[1]!EM_S_IPO_LISTEDDATE(B3505)</f>
        <v>1997-01-06</v>
      </c>
    </row>
    <row r="3506" spans="1:46">
      <c r="A3506">
        <v>266</v>
      </c>
      <c r="B3506" t="str">
        <f>"000679"</f>
        <v>000679</v>
      </c>
      <c r="C3506" t="s">
        <v>2734</v>
      </c>
      <c r="D3506" t="str">
        <f>[1]!EM_S_INFO_INDEX_EM(B3506,"1")</f>
        <v>商贸零售</v>
      </c>
      <c r="E3506" s="4">
        <f t="shared" si="54"/>
        <v>43465</v>
      </c>
      <c r="F3506" s="11">
        <f>[1]!EM_S_PQ_PCTCHANGE(B3506,"2018-01-01","2019-12-31","3")</f>
        <v>-49.433427760000001</v>
      </c>
      <c r="G3506" s="11"/>
      <c r="H3506" s="11">
        <f>[1]!EM_S_FA_YOY_OR(B3506,E3506)</f>
        <v>-40.997642221500001</v>
      </c>
      <c r="I3506" s="11">
        <f>[1]!EM_S_FA_GROSSPROFITMARGIN(B3506,E3506)</f>
        <v>13.0114268079</v>
      </c>
      <c r="J3506" s="11">
        <f>[1]!EM_S_FA_NETPROFITMARGIN(B3506,E3506)</f>
        <v>-39.711666680599997</v>
      </c>
      <c r="K3506" s="10">
        <f>[1]!EM_S_FA_ASSETSTURN(B3506,E3506)</f>
        <v>0.18701044845600001</v>
      </c>
      <c r="L3506" s="12">
        <f>[1]!EM_HKS_VAL_MV(B3506,"2019-12-31","2")</f>
        <v>1272348000</v>
      </c>
      <c r="M3506">
        <f>[1]!EM_S_VAL_PETTMDEDUCTED(B3506,E3506)</f>
        <v>-7.1514134475146598</v>
      </c>
      <c r="N3506" s="7">
        <f>[1]!EM_S_VAL_PBGOODWILLDEDUCTED(B3506,E3506)</f>
        <v>1.46554028869661</v>
      </c>
      <c r="O3506" s="7">
        <f>[1]!EM_S_VAL_PS_TTM(B3506,E3506)</f>
        <v>1.0395348085946801</v>
      </c>
      <c r="P3506" s="7">
        <f>[1]!EM_S_VAL_PCF_NCFTTM(B3506,E3506)</f>
        <v>-2.3160452806440901</v>
      </c>
      <c r="Q3506" s="7">
        <f>[1]!EM_S_VAL_DIVIDENDYIELD2(B3506,E3506,"2019-11-29")</f>
        <v>0</v>
      </c>
      <c r="T3506"/>
      <c r="U3506">
        <f>[1]!EM_S_RATIO_EPS_TTM(B3506,E3506,"1")</f>
        <v>-1.1642170734287318</v>
      </c>
      <c r="AT3506" s="4" t="str">
        <f>[1]!EM_S_IPO_LISTEDDATE(B3506)</f>
        <v>1997-01-24</v>
      </c>
    </row>
    <row r="3507" spans="1:46">
      <c r="A3507">
        <v>270</v>
      </c>
      <c r="B3507" t="str">
        <f>"000683"</f>
        <v>000683</v>
      </c>
      <c r="C3507" t="s">
        <v>625</v>
      </c>
      <c r="D3507" t="str">
        <f>[1]!EM_S_INFO_INDEX_EM(B3507,"1")</f>
        <v>基础化工</v>
      </c>
      <c r="E3507" s="4">
        <f t="shared" si="54"/>
        <v>43465</v>
      </c>
      <c r="F3507" s="11">
        <f>[1]!EM_S_PQ_PCTCHANGE(B3507,"2018-01-01","2019-12-31","3")</f>
        <v>-21.399918970000002</v>
      </c>
      <c r="G3507" s="11"/>
      <c r="H3507" s="11">
        <f>[1]!EM_S_FA_YOY_OR(B3507,E3507)</f>
        <v>-13.396463001900001</v>
      </c>
      <c r="I3507" s="11">
        <f>[1]!EM_S_FA_GROSSPROFITMARGIN(B3507,E3507)</f>
        <v>41.321219762600002</v>
      </c>
      <c r="J3507" s="11">
        <f>[1]!EM_S_FA_NETPROFITMARGIN(B3507,E3507)</f>
        <v>18.360988733900001</v>
      </c>
      <c r="K3507" s="10">
        <f>[1]!EM_S_FA_ASSETSTURN(B3507,E3507)</f>
        <v>0.39093879596999997</v>
      </c>
      <c r="L3507" s="12">
        <f>[1]!EM_HKS_VAL_MV(B3507,"2019-12-31","2")</f>
        <v>8908385709.5699997</v>
      </c>
      <c r="M3507">
        <f>[1]!EM_S_VAL_PETTMDEDUCTED(B3507,E3507)</f>
        <v>8.4820526733943105</v>
      </c>
      <c r="N3507" s="7">
        <f>[1]!EM_S_VAL_PBGOODWILLDEDUCTED(B3507,E3507)</f>
        <v>0.96149423702450798</v>
      </c>
      <c r="O3507" s="7">
        <f>[1]!EM_S_VAL_PS_TTM(B3507,E3507)</f>
        <v>1.0605429520367899</v>
      </c>
      <c r="P3507" s="7">
        <f>[1]!EM_S_VAL_PCF_NCFTTM(B3507,E3507)</f>
        <v>-62.014527276343898</v>
      </c>
      <c r="Q3507" s="7">
        <f>[1]!EM_S_VAL_DIVIDENDYIELD2(B3507,E3507,"2019-11-29")</f>
        <v>0</v>
      </c>
      <c r="T3507"/>
      <c r="U3507">
        <f>[1]!EM_S_RATIO_EPS_TTM(B3507,E3507,"1")</f>
        <v>0.32706128378978261</v>
      </c>
      <c r="AT3507" s="4" t="str">
        <f>[1]!EM_S_IPO_LISTEDDATE(B3507)</f>
        <v>1997-01-31</v>
      </c>
    </row>
    <row r="3508" spans="1:46">
      <c r="A3508">
        <v>272</v>
      </c>
      <c r="B3508" t="str">
        <f>"000686"</f>
        <v>000686</v>
      </c>
      <c r="C3508" t="s">
        <v>2389</v>
      </c>
      <c r="D3508" t="str">
        <f>[1]!EM_S_INFO_INDEX_EM(B3508,"1")</f>
        <v>金融</v>
      </c>
      <c r="E3508" s="4">
        <f t="shared" si="54"/>
        <v>43465</v>
      </c>
      <c r="F3508" s="11">
        <f>[1]!EM_S_PQ_PCTCHANGE(B3508,"2018-01-01","2019-12-31","3")</f>
        <v>8.8043542699999993</v>
      </c>
      <c r="G3508" s="11"/>
      <c r="H3508" s="11">
        <f>[1]!EM_S_FA_YOY_OR(B3508,E3508)</f>
        <v>37.403411973700003</v>
      </c>
      <c r="I3508" s="11">
        <f>[1]!EM_S_FA_GROSSPROFITMARGIN(B3508,E3508)</f>
        <v>0</v>
      </c>
      <c r="J3508" s="11">
        <f>[1]!EM_S_FA_NETPROFITMARGIN(B3508,E3508)</f>
        <v>4.6010279391999998</v>
      </c>
      <c r="K3508" s="10">
        <f>[1]!EM_S_FA_ASSETSTURN(B3508,E3508)</f>
        <v>0</v>
      </c>
      <c r="L3508" s="12">
        <f>[1]!EM_HKS_VAL_MV(B3508,"2019-12-31","2")</f>
        <v>21766212109.5</v>
      </c>
      <c r="M3508">
        <f>[1]!EM_S_VAL_PETTMDEDUCTED(B3508,E3508)</f>
        <v>53.679642761072401</v>
      </c>
      <c r="N3508" s="7">
        <f>[1]!EM_S_VAL_PBGOODWILLDEDUCTED(B3508,E3508)</f>
        <v>0.97939309997159796</v>
      </c>
      <c r="O3508" s="7">
        <f>[1]!EM_S_VAL_PS_TTM(B3508,E3508)</f>
        <v>2.6622045669591201</v>
      </c>
      <c r="P3508" s="7">
        <f>[1]!EM_S_VAL_PCF_NCFTTM(B3508,E3508)</f>
        <v>-53.2970138170827</v>
      </c>
      <c r="Q3508" s="7">
        <f>[1]!EM_S_VAL_DIVIDENDYIELD2(B3508,E3508,"2019-11-29")</f>
        <v>1.2771392081736908</v>
      </c>
      <c r="T3508"/>
      <c r="U3508">
        <f>[1]!EM_S_RATIO_EPS_TTM(B3508,E3508,"1")</f>
        <v>0.1287584016233029</v>
      </c>
      <c r="AT3508" s="4" t="str">
        <f>[1]!EM_S_IPO_LISTEDDATE(B3508)</f>
        <v>1997-02-27</v>
      </c>
    </row>
    <row r="3509" spans="1:46">
      <c r="A3509">
        <v>273</v>
      </c>
      <c r="B3509" t="str">
        <f>"000687"</f>
        <v>000687</v>
      </c>
      <c r="C3509" t="s">
        <v>2055</v>
      </c>
      <c r="D3509" t="str">
        <f>[1]!EM_S_INFO_INDEX_EM(B3509,"1")</f>
        <v>国防与装备</v>
      </c>
      <c r="E3509" s="4">
        <f t="shared" si="54"/>
        <v>43465</v>
      </c>
      <c r="F3509" s="11">
        <f>[1]!EM_S_PQ_PCTCHANGE(B3509,"2018-01-01","2019-12-31","3")</f>
        <v>-36.156041860000002</v>
      </c>
      <c r="G3509" s="11"/>
      <c r="H3509" s="11">
        <f>[1]!EM_S_FA_YOY_OR(B3509,E3509)</f>
        <v>-13.7438845207</v>
      </c>
      <c r="I3509" s="11">
        <f>[1]!EM_S_FA_GROSSPROFITMARGIN(B3509,E3509)</f>
        <v>31.635233371999998</v>
      </c>
      <c r="J3509" s="11">
        <f>[1]!EM_S_FA_NETPROFITMARGIN(B3509,E3509)</f>
        <v>-32.796755943199997</v>
      </c>
      <c r="K3509" s="10">
        <f>[1]!EM_S_FA_ASSETSTURN(B3509,E3509)</f>
        <v>0.35743340093600001</v>
      </c>
      <c r="L3509" s="12">
        <f>[1]!EM_HKS_VAL_MV(B3509,"2019-12-31","2")</f>
        <v>5141197719.0200005</v>
      </c>
      <c r="M3509">
        <f>[1]!EM_S_VAL_PETTMDEDUCTED(B3509,E3509)</f>
        <v>47.810380486308198</v>
      </c>
      <c r="N3509" s="7">
        <f>[1]!EM_S_VAL_PBGOODWILLDEDUCTED(B3509,E3509)</f>
        <v>41.155708572421503</v>
      </c>
      <c r="O3509" s="7">
        <f>[1]!EM_S_VAL_PS_TTM(B3509,E3509)</f>
        <v>2.5118964856972799</v>
      </c>
      <c r="P3509" s="7">
        <f>[1]!EM_S_VAL_PCF_NCFTTM(B3509,E3509)</f>
        <v>-52.501406653207702</v>
      </c>
      <c r="Q3509" s="7">
        <f>[1]!EM_S_VAL_DIVIDENDYIELD2(B3509,E3509,"2019-11-29")</f>
        <v>0</v>
      </c>
      <c r="T3509"/>
      <c r="U3509">
        <f>[1]!EM_S_RATIO_EPS_TTM(B3509,E3509,"1")</f>
        <v>-0.63734182304108988</v>
      </c>
      <c r="AT3509" s="4" t="str">
        <f>[1]!EM_S_IPO_LISTEDDATE(B3509)</f>
        <v>1997-02-21</v>
      </c>
    </row>
    <row r="3510" spans="1:46">
      <c r="A3510">
        <v>274</v>
      </c>
      <c r="B3510" t="str">
        <f>"000688"</f>
        <v>000688</v>
      </c>
      <c r="C3510" t="s">
        <v>295</v>
      </c>
      <c r="D3510" t="str">
        <f>[1]!EM_S_INFO_INDEX_EM(B3510,"1")</f>
        <v>有色金属</v>
      </c>
      <c r="E3510" s="4">
        <f t="shared" si="54"/>
        <v>43465</v>
      </c>
      <c r="F3510" s="11">
        <f>[1]!EM_S_PQ_PCTCHANGE(B3510,"2018-01-01","2019-12-31","3")</f>
        <v>26.271058180000001</v>
      </c>
      <c r="G3510" s="11"/>
      <c r="H3510" s="11">
        <f>[1]!EM_S_FA_YOY_OR(B3510,E3510)</f>
        <v>-1.1781593888999999</v>
      </c>
      <c r="I3510" s="11">
        <f>[1]!EM_S_FA_GROSSPROFITMARGIN(B3510,E3510)</f>
        <v>54.365369492399999</v>
      </c>
      <c r="J3510" s="11">
        <f>[1]!EM_S_FA_NETPROFITMARGIN(B3510,E3510)</f>
        <v>32.893330416600001</v>
      </c>
      <c r="K3510" s="10">
        <f>[1]!EM_S_FA_ASSETSTURN(B3510,E3510)</f>
        <v>0.49026098777900001</v>
      </c>
      <c r="L3510" s="12">
        <f>[1]!EM_HKS_VAL_MV(B3510,"2019-12-31","2")</f>
        <v>15592373594.940001</v>
      </c>
      <c r="M3510">
        <f>[1]!EM_S_VAL_PETTMDEDUCTED(B3510,E3510)</f>
        <v>32.3635890258915</v>
      </c>
      <c r="N3510" s="7">
        <f>[1]!EM_S_VAL_PBGOODWILLDEDUCTED(B3510,E3510)</f>
        <v>5.6052451846050202</v>
      </c>
      <c r="O3510" s="7">
        <f>[1]!EM_S_VAL_PS_TTM(B3510,E3510)</f>
        <v>10.855963720801601</v>
      </c>
      <c r="P3510" s="7">
        <f>[1]!EM_S_VAL_PCF_NCFTTM(B3510,E3510)</f>
        <v>341.17794361769</v>
      </c>
      <c r="Q3510" s="7">
        <f>[1]!EM_S_VAL_DIVIDENDYIELD2(B3510,E3510,"2019-11-29")</f>
        <v>0</v>
      </c>
      <c r="T3510"/>
      <c r="U3510">
        <f>[1]!EM_S_RATIO_EPS_TTM(B3510,E3510,"1")</f>
        <v>0.35613424440173364</v>
      </c>
      <c r="AT3510" s="4" t="str">
        <f>[1]!EM_S_IPO_LISTEDDATE(B3510)</f>
        <v>1997-01-20</v>
      </c>
    </row>
    <row r="3511" spans="1:46">
      <c r="A3511">
        <v>275</v>
      </c>
      <c r="B3511" t="str">
        <f>"000689"</f>
        <v>000689</v>
      </c>
      <c r="C3511" t="s">
        <v>3168</v>
      </c>
      <c r="D3511">
        <f>[1]!EM_S_INFO_INDEX_EM(B3511,"1")</f>
        <v>0</v>
      </c>
      <c r="E3511" s="4">
        <f t="shared" si="54"/>
        <v>43465</v>
      </c>
      <c r="F3511" s="11">
        <f>[1]!EM_S_PQ_PCTCHANGE(B3511,"2018-01-01","2019-12-31","3")</f>
        <v>0</v>
      </c>
      <c r="G3511" s="11"/>
      <c r="H3511" s="11">
        <f>[1]!EM_S_FA_YOY_OR(B3511,E3511)</f>
        <v>0</v>
      </c>
      <c r="I3511" s="11">
        <f>[1]!EM_S_FA_GROSSPROFITMARGIN(B3511,E3511)</f>
        <v>0</v>
      </c>
      <c r="J3511" s="11">
        <f>[1]!EM_S_FA_NETPROFITMARGIN(B3511,E3511)</f>
        <v>0</v>
      </c>
      <c r="K3511" s="10">
        <f>[1]!EM_S_FA_ASSETSTURN(B3511,E3511)</f>
        <v>0</v>
      </c>
      <c r="L3511" s="12">
        <f>[1]!EM_HKS_VAL_MV(B3511,"2019-12-31","2")</f>
        <v>543046400</v>
      </c>
      <c r="M3511">
        <f>[1]!EM_S_VAL_PETTMDEDUCTED(B3511,E3511)</f>
        <v>0</v>
      </c>
      <c r="N3511" s="7">
        <f>[1]!EM_S_VAL_PBGOODWILLDEDUCTED(B3511,E3511)</f>
        <v>-0.50790286642264304</v>
      </c>
      <c r="O3511" s="7">
        <f>[1]!EM_S_VAL_PS_TTM(B3511,E3511)</f>
        <v>0</v>
      </c>
      <c r="P3511" s="7">
        <f>[1]!EM_S_VAL_PCF_NCFTTM(B3511,E3511)</f>
        <v>-19224.957030759098</v>
      </c>
      <c r="Q3511" s="7">
        <f>[1]!EM_S_VAL_DIVIDENDYIELD2(B3511,E3511,"2019-11-29")</f>
        <v>0</v>
      </c>
      <c r="T3511"/>
      <c r="U3511">
        <f>[1]!EM_S_RATIO_EPS_TTM(B3511,E3511,"1")</f>
        <v>-0.59013348256649889</v>
      </c>
      <c r="AT3511" s="4" t="str">
        <f>[1]!EM_S_IPO_LISTEDDATE(B3511)</f>
        <v>1996-12-31</v>
      </c>
    </row>
    <row r="3512" spans="1:46">
      <c r="A3512">
        <v>277</v>
      </c>
      <c r="B3512" t="str">
        <f>"000691"</f>
        <v>000691</v>
      </c>
      <c r="C3512" t="s">
        <v>3468</v>
      </c>
      <c r="D3512" t="str">
        <f>[1]!EM_S_INFO_INDEX_EM(B3512,"1")</f>
        <v>房地产</v>
      </c>
      <c r="E3512" s="4">
        <f t="shared" si="54"/>
        <v>43465</v>
      </c>
      <c r="F3512" s="11">
        <f>[1]!EM_S_PQ_PCTCHANGE(B3512,"2018-01-01","2019-12-31","3")</f>
        <v>-48.786717750000001</v>
      </c>
      <c r="G3512" s="11"/>
      <c r="H3512" s="11">
        <f>[1]!EM_S_FA_YOY_OR(B3512,E3512)</f>
        <v>-18.259359519699998</v>
      </c>
      <c r="I3512" s="11">
        <f>[1]!EM_S_FA_GROSSPROFITMARGIN(B3512,E3512)</f>
        <v>9.2847985712999996</v>
      </c>
      <c r="J3512" s="11">
        <f>[1]!EM_S_FA_NETPROFITMARGIN(B3512,E3512)</f>
        <v>28.524509471999998</v>
      </c>
      <c r="K3512" s="10">
        <f>[1]!EM_S_FA_ASSETSTURN(B3512,E3512)</f>
        <v>0.16710815238000001</v>
      </c>
      <c r="L3512" s="12">
        <f>[1]!EM_HKS_VAL_MV(B3512,"2019-12-31","2")</f>
        <v>1296312700</v>
      </c>
      <c r="M3512">
        <f>[1]!EM_S_VAL_PETTMDEDUCTED(B3512,E3512)</f>
        <v>-144.766069152954</v>
      </c>
      <c r="N3512" s="7">
        <f>[1]!EM_S_VAL_PBGOODWILLDEDUCTED(B3512,E3512)</f>
        <v>17.333947479905099</v>
      </c>
      <c r="O3512" s="7">
        <f>[1]!EM_S_VAL_PS_TTM(B3512,E3512)</f>
        <v>78.195267214061005</v>
      </c>
      <c r="P3512" s="7">
        <f>[1]!EM_S_VAL_PCF_NCFTTM(B3512,E3512)</f>
        <v>-70.502030772475194</v>
      </c>
      <c r="Q3512" s="7">
        <f>[1]!EM_S_VAL_DIVIDENDYIELD2(B3512,E3512,"2019-11-29")</f>
        <v>0</v>
      </c>
      <c r="T3512"/>
      <c r="U3512">
        <f>[1]!EM_S_RATIO_EPS_TTM(B3512,E3512,"1")</f>
        <v>3.4035216320722615E-2</v>
      </c>
      <c r="AT3512" s="4" t="str">
        <f>[1]!EM_S_IPO_LISTEDDATE(B3512)</f>
        <v>1997-02-28</v>
      </c>
    </row>
    <row r="3513" spans="1:46">
      <c r="A3513">
        <v>279</v>
      </c>
      <c r="B3513" t="str">
        <f>"000693"</f>
        <v>000693</v>
      </c>
      <c r="C3513" t="s">
        <v>3653</v>
      </c>
      <c r="D3513">
        <f>[1]!EM_S_INFO_INDEX_EM(B3513,"1")</f>
        <v>0</v>
      </c>
      <c r="E3513" s="4">
        <f t="shared" si="54"/>
        <v>43465</v>
      </c>
      <c r="F3513" s="11">
        <f>[1]!EM_S_PQ_PCTCHANGE(B3513,"2018-01-01","2019-12-31","3")</f>
        <v>-97.04</v>
      </c>
      <c r="G3513" s="11"/>
      <c r="H3513" s="11">
        <f>[1]!EM_S_FA_YOY_OR(B3513,E3513)</f>
        <v>0</v>
      </c>
      <c r="I3513" s="11">
        <f>[1]!EM_S_FA_GROSSPROFITMARGIN(B3513,E3513)</f>
        <v>0</v>
      </c>
      <c r="J3513" s="11">
        <f>[1]!EM_S_FA_NETPROFITMARGIN(B3513,E3513)</f>
        <v>0</v>
      </c>
      <c r="K3513" s="10">
        <f>[1]!EM_S_FA_ASSETSTURN(B3513,E3513)</f>
        <v>0</v>
      </c>
      <c r="L3513" s="12">
        <f>[1]!EM_HKS_VAL_MV(B3513,"2019-12-31","2")</f>
        <v>201092011.50999999</v>
      </c>
      <c r="M3513">
        <f>[1]!EM_S_VAL_PETTMDEDUCTED(B3513,E3513)</f>
        <v>-0.79417952661979796</v>
      </c>
      <c r="N3513" s="7">
        <f>[1]!EM_S_VAL_PBGOODWILLDEDUCTED(B3513,E3513)</f>
        <v>-1.1244241320767701</v>
      </c>
      <c r="O3513" s="7">
        <f>[1]!EM_S_VAL_PS_TTM(B3513,E3513)</f>
        <v>42.405244803340999</v>
      </c>
      <c r="P3513" s="7">
        <f>[1]!EM_S_VAL_PCF_NCFTTM(B3513,E3513)</f>
        <v>-2758.54687899598</v>
      </c>
      <c r="Q3513" s="7">
        <f>[1]!EM_S_VAL_DIVIDENDYIELD2(B3513,E3513,"2019-11-29")</f>
        <v>0</v>
      </c>
      <c r="T3513"/>
      <c r="U3513">
        <f>[1]!EM_S_RATIO_EPS_TTM(B3513,E3513,"1")</f>
        <v>-4.2821066479952092</v>
      </c>
      <c r="AT3513" s="4" t="str">
        <f>[1]!EM_S_IPO_LISTEDDATE(B3513)</f>
        <v>1997-02-26</v>
      </c>
    </row>
    <row r="3514" spans="1:46">
      <c r="A3514">
        <v>282</v>
      </c>
      <c r="B3514" t="str">
        <f>"000698"</f>
        <v>000698</v>
      </c>
      <c r="C3514" t="s">
        <v>2405</v>
      </c>
      <c r="D3514" t="str">
        <f>[1]!EM_S_INFO_INDEX_EM(B3514,"1")</f>
        <v>化石能源</v>
      </c>
      <c r="E3514" s="4">
        <f t="shared" si="54"/>
        <v>43465</v>
      </c>
      <c r="F3514" s="11">
        <f>[1]!EM_S_PQ_PCTCHANGE(B3514,"2018-01-01","2019-12-31","3")</f>
        <v>-42.327215899999999</v>
      </c>
      <c r="G3514" s="11"/>
      <c r="H3514" s="11">
        <f>[1]!EM_S_FA_YOY_OR(B3514,E3514)</f>
        <v>-9.3833218193000008</v>
      </c>
      <c r="I3514" s="11">
        <f>[1]!EM_S_FA_GROSSPROFITMARGIN(B3514,E3514)</f>
        <v>7.6015300444999996</v>
      </c>
      <c r="J3514" s="11">
        <f>[1]!EM_S_FA_NETPROFITMARGIN(B3514,E3514)</f>
        <v>1.0991404492000001</v>
      </c>
      <c r="K3514" s="10">
        <f>[1]!EM_S_FA_ASSETSTURN(B3514,E3514)</f>
        <v>1.1356593799750001</v>
      </c>
      <c r="L3514" s="12">
        <f>[1]!EM_HKS_VAL_MV(B3514,"2019-12-31","2")</f>
        <v>2753568367.1999998</v>
      </c>
      <c r="M3514">
        <f>[1]!EM_S_VAL_PETTMDEDUCTED(B3514,E3514)</f>
        <v>-484.02192863249797</v>
      </c>
      <c r="N3514" s="7">
        <f>[1]!EM_S_VAL_PBGOODWILLDEDUCTED(B3514,E3514)</f>
        <v>0.66086447798098602</v>
      </c>
      <c r="O3514" s="7">
        <f>[1]!EM_S_VAL_PS_TTM(B3514,E3514)</f>
        <v>0.30507972946045397</v>
      </c>
      <c r="P3514" s="7">
        <f>[1]!EM_S_VAL_PCF_NCFTTM(B3514,E3514)</f>
        <v>-200.57023615460699</v>
      </c>
      <c r="Q3514" s="7">
        <f>[1]!EM_S_VAL_DIVIDENDYIELD2(B3514,E3514,"2019-11-29")</f>
        <v>2.0440251572327046</v>
      </c>
      <c r="T3514"/>
      <c r="U3514">
        <f>[1]!EM_S_RATIO_EPS_TTM(B3514,E3514,"1")</f>
        <v>0.14388118072044359</v>
      </c>
      <c r="AT3514" s="4" t="str">
        <f>[1]!EM_S_IPO_LISTEDDATE(B3514)</f>
        <v>1997-02-20</v>
      </c>
    </row>
    <row r="3515" spans="1:46">
      <c r="A3515">
        <v>283</v>
      </c>
      <c r="B3515" t="str">
        <f>"000699"</f>
        <v>000699</v>
      </c>
      <c r="C3515" t="s">
        <v>3167</v>
      </c>
      <c r="D3515">
        <f>[1]!EM_S_INFO_INDEX_EM(B3515,"1")</f>
        <v>0</v>
      </c>
      <c r="E3515" s="4">
        <f t="shared" si="54"/>
        <v>43465</v>
      </c>
      <c r="F3515" s="11">
        <f>[1]!EM_S_PQ_PCTCHANGE(B3515,"2018-01-01","2019-12-31","3")</f>
        <v>0</v>
      </c>
      <c r="G3515" s="11"/>
      <c r="H3515" s="11">
        <f>[1]!EM_S_FA_YOY_OR(B3515,E3515)</f>
        <v>0</v>
      </c>
      <c r="I3515" s="11">
        <f>[1]!EM_S_FA_GROSSPROFITMARGIN(B3515,E3515)</f>
        <v>0</v>
      </c>
      <c r="J3515" s="11">
        <f>[1]!EM_S_FA_NETPROFITMARGIN(B3515,E3515)</f>
        <v>0</v>
      </c>
      <c r="K3515" s="10">
        <f>[1]!EM_S_FA_ASSETSTURN(B3515,E3515)</f>
        <v>0</v>
      </c>
      <c r="L3515" s="12">
        <f>[1]!EM_HKS_VAL_MV(B3515,"2019-12-31","2")</f>
        <v>291152431.25999999</v>
      </c>
      <c r="M3515">
        <f>[1]!EM_S_VAL_PETTMDEDUCTED(B3515,E3515)</f>
        <v>-179.43677479860199</v>
      </c>
      <c r="N3515" s="7">
        <f>[1]!EM_S_VAL_PBGOODWILLDEDUCTED(B3515,E3515)</f>
        <v>-904.47304007858497</v>
      </c>
      <c r="O3515" s="7">
        <f>[1]!EM_S_VAL_PS_TTM(B3515,E3515)</f>
        <v>0</v>
      </c>
      <c r="P3515" s="7">
        <f>[1]!EM_S_VAL_PCF_NCFTTM(B3515,E3515)</f>
        <v>-9.7222442512594291</v>
      </c>
      <c r="Q3515" s="7">
        <f>[1]!EM_S_VAL_DIVIDENDYIELD2(B3515,E3515,"2019-11-29")</f>
        <v>0</v>
      </c>
      <c r="T3515"/>
      <c r="U3515">
        <f>[1]!EM_S_RATIO_EPS_TTM(B3515,E3515,"1")</f>
        <v>0.15048319364049675</v>
      </c>
      <c r="AT3515" s="4" t="str">
        <f>[1]!EM_S_IPO_LISTEDDATE(B3515)</f>
        <v>1997-03-10</v>
      </c>
    </row>
    <row r="3516" spans="1:46">
      <c r="A3516">
        <v>286</v>
      </c>
      <c r="B3516" t="str">
        <f>"000702"</f>
        <v>000702</v>
      </c>
      <c r="C3516" t="s">
        <v>116</v>
      </c>
      <c r="D3516" t="str">
        <f>[1]!EM_S_INFO_INDEX_EM(B3516,"1")</f>
        <v>农林牧渔</v>
      </c>
      <c r="E3516" s="4">
        <f t="shared" si="54"/>
        <v>43465</v>
      </c>
      <c r="F3516" s="11">
        <f>[1]!EM_S_PQ_PCTCHANGE(B3516,"2018-01-01","2019-12-31","3")</f>
        <v>-16.642547029999999</v>
      </c>
      <c r="G3516" s="11"/>
      <c r="H3516" s="11">
        <f>[1]!EM_S_FA_YOY_OR(B3516,E3516)</f>
        <v>-0.48404151400000001</v>
      </c>
      <c r="I3516" s="11">
        <f>[1]!EM_S_FA_GROSSPROFITMARGIN(B3516,E3516)</f>
        <v>8.3462897383999994</v>
      </c>
      <c r="J3516" s="11">
        <f>[1]!EM_S_FA_NETPROFITMARGIN(B3516,E3516)</f>
        <v>3.9331104681000002</v>
      </c>
      <c r="K3516" s="10">
        <f>[1]!EM_S_FA_ASSETSTURN(B3516,E3516)</f>
        <v>1.88309662947</v>
      </c>
      <c r="L3516" s="12">
        <f>[1]!EM_HKS_VAL_MV(B3516,"2019-12-31","2")</f>
        <v>1535815157.76</v>
      </c>
      <c r="M3516">
        <f>[1]!EM_S_VAL_PETTMDEDUCTED(B3516,E3516)</f>
        <v>-260.61729300603997</v>
      </c>
      <c r="N3516" s="7">
        <f>[1]!EM_S_VAL_PBGOODWILLDEDUCTED(B3516,E3516)</f>
        <v>2.8505248598269599</v>
      </c>
      <c r="O3516" s="7">
        <f>[1]!EM_S_VAL_PS_TTM(B3516,E3516)</f>
        <v>1.0409286562765601</v>
      </c>
      <c r="P3516" s="7">
        <f>[1]!EM_S_VAL_PCF_NCFTTM(B3516,E3516)</f>
        <v>23.465228906020101</v>
      </c>
      <c r="Q3516" s="7">
        <f>[1]!EM_S_VAL_DIVIDENDYIELD2(B3516,E3516,"2019-11-29")</f>
        <v>0</v>
      </c>
      <c r="T3516"/>
      <c r="U3516">
        <f>[1]!EM_S_RATIO_EPS_TTM(B3516,E3516,"1")</f>
        <v>0.20913942361323762</v>
      </c>
      <c r="AT3516" s="4" t="str">
        <f>[1]!EM_S_IPO_LISTEDDATE(B3516)</f>
        <v>1997-03-18</v>
      </c>
    </row>
    <row r="3517" spans="1:46">
      <c r="A3517">
        <v>289</v>
      </c>
      <c r="B3517" t="str">
        <f>"000707"</f>
        <v>000707</v>
      </c>
      <c r="C3517" t="s">
        <v>3662</v>
      </c>
      <c r="D3517" t="str">
        <f>[1]!EM_S_INFO_INDEX_EM(B3517,"1")</f>
        <v>基础化工</v>
      </c>
      <c r="E3517" s="4">
        <f t="shared" si="54"/>
        <v>43465</v>
      </c>
      <c r="F3517" s="11">
        <f>[1]!EM_S_PQ_PCTCHANGE(B3517,"2018-01-01","2019-12-31","3")</f>
        <v>-44.40433213</v>
      </c>
      <c r="G3517" s="11"/>
      <c r="H3517" s="11">
        <f>[1]!EM_S_FA_YOY_OR(B3517,E3517)</f>
        <v>-11.9502300706</v>
      </c>
      <c r="I3517" s="11">
        <f>[1]!EM_S_FA_GROSSPROFITMARGIN(B3517,E3517)</f>
        <v>-2.5748050635999999</v>
      </c>
      <c r="J3517" s="11">
        <f>[1]!EM_S_FA_NETPROFITMARGIN(B3517,E3517)</f>
        <v>2.0868175120000001</v>
      </c>
      <c r="K3517" s="10">
        <f>[1]!EM_S_FA_ASSETSTURN(B3517,E3517)</f>
        <v>0.53984860540000001</v>
      </c>
      <c r="L3517" s="12">
        <f>[1]!EM_HKS_VAL_MV(B3517,"2019-12-31","2")</f>
        <v>1429568956.2</v>
      </c>
      <c r="M3517">
        <f>[1]!EM_S_VAL_PETTMDEDUCTED(B3517,E3517)</f>
        <v>-1.11224310446738</v>
      </c>
      <c r="N3517" s="7">
        <f>[1]!EM_S_VAL_PBGOODWILLDEDUCTED(B3517,E3517)</f>
        <v>7.1979562473179</v>
      </c>
      <c r="O3517" s="7">
        <f>[1]!EM_S_VAL_PS_TTM(B3517,E3517)</f>
        <v>0.33340574581358701</v>
      </c>
      <c r="P3517" s="7">
        <f>[1]!EM_S_VAL_PCF_NCFTTM(B3517,E3517)</f>
        <v>-1.24101379167738</v>
      </c>
      <c r="Q3517" s="7">
        <f>[1]!EM_S_VAL_DIVIDENDYIELD2(B3517,E3517,"2019-11-29")</f>
        <v>0</v>
      </c>
      <c r="T3517"/>
      <c r="U3517">
        <f>[1]!EM_S_RATIO_EPS_TTM(B3517,E3517,"1")</f>
        <v>0.29246163036734807</v>
      </c>
      <c r="AT3517" s="4" t="str">
        <f>[1]!EM_S_IPO_LISTEDDATE(B3517)</f>
        <v>1997-04-15</v>
      </c>
    </row>
    <row r="3518" spans="1:46">
      <c r="A3518">
        <v>294</v>
      </c>
      <c r="B3518" t="str">
        <f>"000712"</f>
        <v>000712</v>
      </c>
      <c r="C3518" t="s">
        <v>2238</v>
      </c>
      <c r="D3518" t="str">
        <f>[1]!EM_S_INFO_INDEX_EM(B3518,"1")</f>
        <v>金融</v>
      </c>
      <c r="E3518" s="4">
        <f t="shared" si="54"/>
        <v>43465</v>
      </c>
      <c r="F3518" s="11">
        <f>[1]!EM_S_PQ_PCTCHANGE(B3518,"2018-01-01","2019-12-31","3")</f>
        <v>-9.4210339699999999</v>
      </c>
      <c r="G3518" s="11"/>
      <c r="H3518" s="11">
        <f>[1]!EM_S_FA_YOY_OR(B3518,E3518)</f>
        <v>-16.734517432699999</v>
      </c>
      <c r="I3518" s="11">
        <f>[1]!EM_S_FA_GROSSPROFITMARGIN(B3518,E3518)</f>
        <v>0</v>
      </c>
      <c r="J3518" s="11">
        <f>[1]!EM_S_FA_NETPROFITMARGIN(B3518,E3518)</f>
        <v>-15.856635179</v>
      </c>
      <c r="K3518" s="10">
        <f>[1]!EM_S_FA_ASSETSTURN(B3518,E3518)</f>
        <v>0</v>
      </c>
      <c r="L3518" s="12">
        <f>[1]!EM_HKS_VAL_MV(B3518,"2019-12-31","2")</f>
        <v>13619200000</v>
      </c>
      <c r="M3518">
        <f>[1]!EM_S_VAL_PETTMDEDUCTED(B3518,E3518)</f>
        <v>-129.394205422152</v>
      </c>
      <c r="N3518" s="7">
        <f>[1]!EM_S_VAL_PBGOODWILLDEDUCTED(B3518,E3518)</f>
        <v>2.6727645576113899</v>
      </c>
      <c r="O3518" s="7">
        <f>[1]!EM_S_VAL_PS_TTM(B3518,E3518)</f>
        <v>7.3207623944873399</v>
      </c>
      <c r="P3518" s="7">
        <f>[1]!EM_S_VAL_PCF_NCFTTM(B3518,E3518)</f>
        <v>-11.3948393216087</v>
      </c>
      <c r="Q3518" s="7">
        <f>[1]!EM_S_VAL_DIVIDENDYIELD2(B3518,E3518,"2019-11-29")</f>
        <v>0</v>
      </c>
      <c r="T3518"/>
      <c r="U3518">
        <f>[1]!EM_S_RATIO_EPS_TTM(B3518,E3518,"1")</f>
        <v>-0.20219747014508929</v>
      </c>
      <c r="AT3518" s="4" t="str">
        <f>[1]!EM_S_IPO_LISTEDDATE(B3518)</f>
        <v>1997-04-15</v>
      </c>
    </row>
    <row r="3519" spans="1:46">
      <c r="A3519">
        <v>299</v>
      </c>
      <c r="B3519" t="str">
        <f>"000718"</f>
        <v>000718</v>
      </c>
      <c r="C3519" t="s">
        <v>690</v>
      </c>
      <c r="D3519" t="str">
        <f>[1]!EM_S_INFO_INDEX_EM(B3519,"1")</f>
        <v>房地产</v>
      </c>
      <c r="E3519" s="4">
        <f t="shared" si="54"/>
        <v>43465</v>
      </c>
      <c r="F3519" s="11">
        <f>[1]!EM_S_PQ_PCTCHANGE(B3519,"2018-01-01","2019-12-31","3")</f>
        <v>-2.4119413600000001</v>
      </c>
      <c r="G3519" s="11"/>
      <c r="H3519" s="11">
        <f>[1]!EM_S_FA_YOY_OR(B3519,E3519)</f>
        <v>-43.7620485315</v>
      </c>
      <c r="I3519" s="11">
        <f>[1]!EM_S_FA_GROSSPROFITMARGIN(B3519,E3519)</f>
        <v>60.950258673599997</v>
      </c>
      <c r="J3519" s="11">
        <f>[1]!EM_S_FA_NETPROFITMARGIN(B3519,E3519)</f>
        <v>30.174982832200001</v>
      </c>
      <c r="K3519" s="10">
        <f>[1]!EM_S_FA_ASSETSTURN(B3519,E3519)</f>
        <v>0.16810756551</v>
      </c>
      <c r="L3519" s="12">
        <f>[1]!EM_HKS_VAL_MV(B3519,"2019-12-31","2")</f>
        <v>11592310986.879999</v>
      </c>
      <c r="M3519">
        <f>[1]!EM_S_VAL_PETTMDEDUCTED(B3519,E3519)</f>
        <v>8.5026901840947193</v>
      </c>
      <c r="N3519" s="7">
        <f>[1]!EM_S_VAL_PBGOODWILLDEDUCTED(B3519,E3519)</f>
        <v>1.13064351869077</v>
      </c>
      <c r="O3519" s="7">
        <f>[1]!EM_S_VAL_PS_TTM(B3519,E3519)</f>
        <v>1.95158966014028</v>
      </c>
      <c r="P3519" s="7">
        <f>[1]!EM_S_VAL_PCF_NCFTTM(B3519,E3519)</f>
        <v>9.8821097331733494</v>
      </c>
      <c r="Q3519" s="7">
        <f>[1]!EM_S_VAL_DIVIDENDYIELD2(B3519,E3519,"2019-11-29")</f>
        <v>8.2417582417582409</v>
      </c>
      <c r="T3519"/>
      <c r="U3519">
        <f>[1]!EM_S_RATIO_EPS_TTM(B3519,E3519,"1")</f>
        <v>0.33633394621884294</v>
      </c>
      <c r="AT3519" s="4" t="str">
        <f>[1]!EM_S_IPO_LISTEDDATE(B3519)</f>
        <v>1997-04-08</v>
      </c>
    </row>
    <row r="3520" spans="1:46">
      <c r="A3520">
        <v>307</v>
      </c>
      <c r="B3520" t="str">
        <f>"000727"</f>
        <v>000727</v>
      </c>
      <c r="C3520" t="s">
        <v>3532</v>
      </c>
      <c r="D3520" t="str">
        <f>[1]!EM_S_INFO_INDEX_EM(B3520,"1")</f>
        <v>电子设备</v>
      </c>
      <c r="E3520" s="4">
        <f t="shared" si="54"/>
        <v>43465</v>
      </c>
      <c r="F3520" s="11">
        <f>[1]!EM_S_PQ_PCTCHANGE(B3520,"2018-01-01","2019-12-31","3")</f>
        <v>-12.18487395</v>
      </c>
      <c r="G3520" s="11"/>
      <c r="H3520" s="11">
        <f>[1]!EM_S_FA_YOY_OR(B3520,E3520)</f>
        <v>-4.8741937085</v>
      </c>
      <c r="I3520" s="11">
        <f>[1]!EM_S_FA_GROSSPROFITMARGIN(B3520,E3520)</f>
        <v>-15.0837820245</v>
      </c>
      <c r="J3520" s="11">
        <f>[1]!EM_S_FA_NETPROFITMARGIN(B3520,E3520)</f>
        <v>-28.579560467899999</v>
      </c>
      <c r="K3520" s="10">
        <f>[1]!EM_S_FA_ASSETSTURN(B3520,E3520)</f>
        <v>0.172889890011</v>
      </c>
      <c r="L3520" s="12">
        <f>[1]!EM_HKS_VAL_MV(B3520,"2019-12-31","2")</f>
        <v>9466794988.2000008</v>
      </c>
      <c r="M3520">
        <f>[1]!EM_S_VAL_PETTMDEDUCTED(B3520,E3520)</f>
        <v>-3.7848010613451599</v>
      </c>
      <c r="N3520" s="7">
        <f>[1]!EM_S_VAL_PBGOODWILLDEDUCTED(B3520,E3520)</f>
        <v>0.67977864502138496</v>
      </c>
      <c r="O3520" s="7">
        <f>[1]!EM_S_VAL_PS_TTM(B3520,E3520)</f>
        <v>1.2978456578436901</v>
      </c>
      <c r="P3520" s="7">
        <f>[1]!EM_S_VAL_PCF_NCFTTM(B3520,E3520)</f>
        <v>11.7014667416808</v>
      </c>
      <c r="Q3520" s="7">
        <f>[1]!EM_S_VAL_DIVIDENDYIELD2(B3520,E3520,"2019-11-29")</f>
        <v>0</v>
      </c>
      <c r="T3520"/>
      <c r="U3520">
        <f>[1]!EM_S_RATIO_EPS_TTM(B3520,E3520,"1")</f>
        <v>-0.21798056662140364</v>
      </c>
      <c r="AT3520" s="4" t="str">
        <f>[1]!EM_S_IPO_LISTEDDATE(B3520)</f>
        <v>1997-05-20</v>
      </c>
    </row>
    <row r="3521" spans="1:46">
      <c r="A3521">
        <v>308</v>
      </c>
      <c r="B3521" t="str">
        <f>"000728"</f>
        <v>000728</v>
      </c>
      <c r="C3521" t="s">
        <v>2568</v>
      </c>
      <c r="D3521" t="str">
        <f>[1]!EM_S_INFO_INDEX_EM(B3521,"1")</f>
        <v>金融</v>
      </c>
      <c r="E3521" s="4">
        <f t="shared" si="54"/>
        <v>43465</v>
      </c>
      <c r="F3521" s="11">
        <f>[1]!EM_S_PQ_PCTCHANGE(B3521,"2018-01-01","2019-12-31","3")</f>
        <v>-11.476722199999999</v>
      </c>
      <c r="G3521" s="11"/>
      <c r="H3521" s="11">
        <f>[1]!EM_S_FA_YOY_OR(B3521,E3521)</f>
        <v>-27.7094087997</v>
      </c>
      <c r="I3521" s="11">
        <f>[1]!EM_S_FA_GROSSPROFITMARGIN(B3521,E3521)</f>
        <v>0</v>
      </c>
      <c r="J3521" s="11">
        <f>[1]!EM_S_FA_NETPROFITMARGIN(B3521,E3521)</f>
        <v>26.420462300899999</v>
      </c>
      <c r="K3521" s="10">
        <f>[1]!EM_S_FA_ASSETSTURN(B3521,E3521)</f>
        <v>0</v>
      </c>
      <c r="L3521" s="12">
        <f>[1]!EM_HKS_VAL_MV(B3521,"2019-12-31","2")</f>
        <v>31197694125.689999</v>
      </c>
      <c r="M3521">
        <f>[1]!EM_S_VAL_PETTMDEDUCTED(B3521,E3521)</f>
        <v>36.727619811023601</v>
      </c>
      <c r="N3521" s="7">
        <f>[1]!EM_S_VAL_PBGOODWILLDEDUCTED(B3521,E3521)</f>
        <v>0.95820448344321596</v>
      </c>
      <c r="O3521" s="7">
        <f>[1]!EM_S_VAL_PS_TTM(B3521,E3521)</f>
        <v>8.9045777372301007</v>
      </c>
      <c r="P3521" s="7">
        <f>[1]!EM_S_VAL_PCF_NCFTTM(B3521,E3521)</f>
        <v>-8.2442082073498799</v>
      </c>
      <c r="Q3521" s="7">
        <f>[1]!EM_S_VAL_DIVIDENDYIELD2(B3521,E3521,"2019-11-29")</f>
        <v>1.7942583732057416</v>
      </c>
      <c r="T3521"/>
      <c r="U3521">
        <f>[1]!EM_S_RATIO_EPS_TTM(B3521,E3521,"1")</f>
        <v>0.19919220849354222</v>
      </c>
      <c r="AT3521" s="4" t="str">
        <f>[1]!EM_S_IPO_LISTEDDATE(B3521)</f>
        <v>1997-06-16</v>
      </c>
    </row>
    <row r="3522" spans="1:46">
      <c r="A3522">
        <v>313</v>
      </c>
      <c r="B3522" t="str">
        <f>"000733"</f>
        <v>000733</v>
      </c>
      <c r="C3522" t="s">
        <v>1338</v>
      </c>
      <c r="D3522" t="str">
        <f>[1]!EM_S_INFO_INDEX_EM(B3522,"1")</f>
        <v>电子设备</v>
      </c>
      <c r="E3522" s="4">
        <f t="shared" si="54"/>
        <v>43465</v>
      </c>
      <c r="F3522" s="11">
        <f>[1]!EM_S_PQ_PCTCHANGE(B3522,"2018-01-01","2019-12-31","3")</f>
        <v>15.89925292</v>
      </c>
      <c r="G3522" s="11"/>
      <c r="H3522" s="11">
        <f>[1]!EM_S_FA_YOY_OR(B3522,E3522)</f>
        <v>-33.428735956300002</v>
      </c>
      <c r="I3522" s="11">
        <f>[1]!EM_S_FA_GROSSPROFITMARGIN(B3522,E3522)</f>
        <v>25.1428416947</v>
      </c>
      <c r="J3522" s="11">
        <f>[1]!EM_S_FA_NETPROFITMARGIN(B3522,E3522)</f>
        <v>4.8170222243999996</v>
      </c>
      <c r="K3522" s="10">
        <f>[1]!EM_S_FA_ASSETSTURN(B3522,E3522)</f>
        <v>0.55792050923000003</v>
      </c>
      <c r="L3522" s="12">
        <f>[1]!EM_HKS_VAL_MV(B3522,"2019-12-31","2")</f>
        <v>8828916348.7000008</v>
      </c>
      <c r="M3522">
        <f>[1]!EM_S_VAL_PETTMDEDUCTED(B3522,E3522)</f>
        <v>33.399021864460899</v>
      </c>
      <c r="N3522" s="7">
        <f>[1]!EM_S_VAL_PBGOODWILLDEDUCTED(B3522,E3522)</f>
        <v>1.1673606226526501</v>
      </c>
      <c r="O3522" s="7">
        <f>[1]!EM_S_VAL_PS_TTM(B3522,E3522)</f>
        <v>0.92314039929262404</v>
      </c>
      <c r="P3522" s="7">
        <f>[1]!EM_S_VAL_PCF_NCFTTM(B3522,E3522)</f>
        <v>-33.829617910122998</v>
      </c>
      <c r="Q3522" s="7">
        <f>[1]!EM_S_VAL_DIVIDENDYIELD2(B3522,E3522,"2019-11-29")</f>
        <v>0.32916392363396973</v>
      </c>
      <c r="T3522"/>
      <c r="U3522">
        <f>[1]!EM_S_RATIO_EPS_TTM(B3522,E3522,"1")</f>
        <v>0.50301982901049069</v>
      </c>
      <c r="AT3522" s="4" t="str">
        <f>[1]!EM_S_IPO_LISTEDDATE(B3522)</f>
        <v>1997-07-03</v>
      </c>
    </row>
    <row r="3523" spans="1:46">
      <c r="A3523">
        <v>314</v>
      </c>
      <c r="B3523" t="str">
        <f>"000735"</f>
        <v>000735</v>
      </c>
      <c r="C3523" t="s">
        <v>107</v>
      </c>
      <c r="D3523" t="str">
        <f>[1]!EM_S_INFO_INDEX_EM(B3523,"1")</f>
        <v>农林牧渔</v>
      </c>
      <c r="E3523" s="4">
        <f t="shared" ref="E3523:E3586" si="55">$B$1</f>
        <v>43465</v>
      </c>
      <c r="F3523" s="11">
        <f>[1]!EM_S_PQ_PCTCHANGE(B3523,"2018-01-01","2019-12-31","3")</f>
        <v>26.16711622</v>
      </c>
      <c r="G3523" s="11"/>
      <c r="H3523" s="11">
        <f>[1]!EM_S_FA_YOY_OR(B3523,E3523)</f>
        <v>-13.626708776999999</v>
      </c>
      <c r="I3523" s="11">
        <f>[1]!EM_S_FA_GROSSPROFITMARGIN(B3523,E3523)</f>
        <v>24.735773889099999</v>
      </c>
      <c r="J3523" s="11">
        <f>[1]!EM_S_FA_NETPROFITMARGIN(B3523,E3523)</f>
        <v>34.851323553100002</v>
      </c>
      <c r="K3523" s="10">
        <f>[1]!EM_S_FA_ASSETSTURN(B3523,E3523)</f>
        <v>0.18389399563100001</v>
      </c>
      <c r="L3523" s="12">
        <f>[1]!EM_HKS_VAL_MV(B3523,"2019-12-31","2")</f>
        <v>11699377952.48</v>
      </c>
      <c r="M3523">
        <f>[1]!EM_S_VAL_PETTMDEDUCTED(B3523,E3523)</f>
        <v>-139.87016978036999</v>
      </c>
      <c r="N3523" s="7">
        <f>[1]!EM_S_VAL_PBGOODWILLDEDUCTED(B3523,E3523)</f>
        <v>2.8245066027466801</v>
      </c>
      <c r="O3523" s="7">
        <f>[1]!EM_S_VAL_PS_TTM(B3523,E3523)</f>
        <v>9.7745599309372206</v>
      </c>
      <c r="P3523" s="7">
        <f>[1]!EM_S_VAL_PCF_NCFTTM(B3523,E3523)</f>
        <v>-29.070952292968499</v>
      </c>
      <c r="Q3523" s="7">
        <f>[1]!EM_S_VAL_DIVIDENDYIELD2(B3523,E3523,"2019-11-29")</f>
        <v>0.21929824561403508</v>
      </c>
      <c r="T3523"/>
      <c r="U3523">
        <f>[1]!EM_S_RATIO_EPS_TTM(B3523,E3523,"1")</f>
        <v>0.33756068628832098</v>
      </c>
      <c r="AT3523" s="4" t="str">
        <f>[1]!EM_S_IPO_LISTEDDATE(B3523)</f>
        <v>1997-06-11</v>
      </c>
    </row>
    <row r="3524" spans="1:46">
      <c r="A3524">
        <v>316</v>
      </c>
      <c r="B3524" t="str">
        <f>"000737"</f>
        <v>000737</v>
      </c>
      <c r="C3524" t="s">
        <v>3165</v>
      </c>
      <c r="D3524" t="str">
        <f>[1]!EM_S_INFO_INDEX_EM(B3524,"1")</f>
        <v>基础化工</v>
      </c>
      <c r="E3524" s="4">
        <f t="shared" si="55"/>
        <v>43465</v>
      </c>
      <c r="F3524" s="11">
        <f>[1]!EM_S_PQ_PCTCHANGE(B3524,"2018-01-01","2019-12-31","3")</f>
        <v>-36.909871240000001</v>
      </c>
      <c r="G3524" s="11"/>
      <c r="H3524" s="11">
        <f>[1]!EM_S_FA_YOY_OR(B3524,E3524)</f>
        <v>-2.4237771027999999</v>
      </c>
      <c r="I3524" s="11">
        <f>[1]!EM_S_FA_GROSSPROFITMARGIN(B3524,E3524)</f>
        <v>24.753970586299999</v>
      </c>
      <c r="J3524" s="11">
        <f>[1]!EM_S_FA_NETPROFITMARGIN(B3524,E3524)</f>
        <v>14.259912461500001</v>
      </c>
      <c r="K3524" s="10">
        <f>[1]!EM_S_FA_ASSETSTURN(B3524,E3524)</f>
        <v>0.87246289159699997</v>
      </c>
      <c r="L3524" s="12">
        <f>[1]!EM_HKS_VAL_MV(B3524,"2019-12-31","2")</f>
        <v>1613354400</v>
      </c>
      <c r="M3524">
        <f>[1]!EM_S_VAL_PETTMDEDUCTED(B3524,E3524)</f>
        <v>-4.6548419810814199</v>
      </c>
      <c r="N3524" s="7">
        <f>[1]!EM_S_VAL_PBGOODWILLDEDUCTED(B3524,E3524)</f>
        <v>4.0761300565759502</v>
      </c>
      <c r="O3524" s="7">
        <f>[1]!EM_S_VAL_PS_TTM(B3524,E3524)</f>
        <v>0.80427614546098203</v>
      </c>
      <c r="P3524" s="7">
        <f>[1]!EM_S_VAL_PCF_NCFTTM(B3524,E3524)</f>
        <v>3.0656391841829902</v>
      </c>
      <c r="Q3524" s="7">
        <f>[1]!EM_S_VAL_DIVIDENDYIELD2(B3524,E3524,"2019-11-29")</f>
        <v>0</v>
      </c>
      <c r="T3524"/>
      <c r="U3524">
        <f>[1]!EM_S_RATIO_EPS_TTM(B3524,E3524,"1")</f>
        <v>0.48668257724688391</v>
      </c>
      <c r="AT3524" s="4" t="str">
        <f>[1]!EM_S_IPO_LISTEDDATE(B3524)</f>
        <v>1997-04-28</v>
      </c>
    </row>
    <row r="3525" spans="1:46">
      <c r="A3525">
        <v>319</v>
      </c>
      <c r="B3525" t="str">
        <f>"000748"</f>
        <v>000748</v>
      </c>
      <c r="C3525" t="s">
        <v>3164</v>
      </c>
      <c r="D3525">
        <f>[1]!EM_S_INFO_INDEX_EM(B3525,"1")</f>
        <v>0</v>
      </c>
      <c r="E3525" s="4">
        <f t="shared" si="55"/>
        <v>43465</v>
      </c>
      <c r="F3525" s="11">
        <f>[1]!EM_S_PQ_PCTCHANGE(B3525,"2018-01-01","2019-12-31","3")</f>
        <v>0</v>
      </c>
      <c r="G3525" s="11"/>
      <c r="H3525" s="11">
        <f>[1]!EM_S_FA_YOY_OR(B3525,E3525)</f>
        <v>0</v>
      </c>
      <c r="I3525" s="11">
        <f>[1]!EM_S_FA_GROSSPROFITMARGIN(B3525,E3525)</f>
        <v>0</v>
      </c>
      <c r="J3525" s="11">
        <f>[1]!EM_S_FA_NETPROFITMARGIN(B3525,E3525)</f>
        <v>0</v>
      </c>
      <c r="K3525" s="10">
        <f>[1]!EM_S_FA_ASSETSTURN(B3525,E3525)</f>
        <v>0</v>
      </c>
      <c r="L3525" s="12">
        <f>[1]!EM_HKS_VAL_MV(B3525,"2019-12-31","2")</f>
        <v>16548965887.860001</v>
      </c>
      <c r="M3525">
        <f>[1]!EM_S_VAL_PETTMDEDUCTED(B3525,E3525)</f>
        <v>129.03472644108899</v>
      </c>
      <c r="N3525" s="7">
        <f>[1]!EM_S_VAL_PBGOODWILLDEDUCTED(B3525,E3525)</f>
        <v>3.9460682828323601</v>
      </c>
      <c r="O3525" s="7">
        <f>[1]!EM_S_VAL_PS_TTM(B3525,E3525)</f>
        <v>8.1075880141597896</v>
      </c>
      <c r="P3525" s="7">
        <f>[1]!EM_S_VAL_PCF_NCFTTM(B3525,E3525)</f>
        <v>-1673.37047161649</v>
      </c>
      <c r="Q3525" s="7">
        <f>[1]!EM_S_VAL_DIVIDENDYIELD2(B3525,E3525,"2019-11-29")</f>
        <v>0</v>
      </c>
      <c r="T3525"/>
      <c r="U3525">
        <f>[1]!EM_S_RATIO_EPS_TTM(B3525,E3525,"1")</f>
        <v>0.19588051456448946</v>
      </c>
      <c r="AT3525" s="4" t="str">
        <f>[1]!EM_S_IPO_LISTEDDATE(B3525)</f>
        <v>1997-07-04</v>
      </c>
    </row>
    <row r="3526" spans="1:46">
      <c r="A3526">
        <v>320</v>
      </c>
      <c r="B3526" t="str">
        <f>"000750"</f>
        <v>000750</v>
      </c>
      <c r="C3526" t="s">
        <v>2230</v>
      </c>
      <c r="D3526" t="str">
        <f>[1]!EM_S_INFO_INDEX_EM(B3526,"1")</f>
        <v>金融</v>
      </c>
      <c r="E3526" s="4">
        <f t="shared" si="55"/>
        <v>43465</v>
      </c>
      <c r="F3526" s="11">
        <f>[1]!EM_S_PQ_PCTCHANGE(B3526,"2018-01-01","2019-12-31","3")</f>
        <v>11.0504348</v>
      </c>
      <c r="G3526" s="11"/>
      <c r="H3526" s="11">
        <f>[1]!EM_S_FA_YOY_OR(B3526,E3526)</f>
        <v>-20.169394553899998</v>
      </c>
      <c r="I3526" s="11">
        <f>[1]!EM_S_FA_GROSSPROFITMARGIN(B3526,E3526)</f>
        <v>0</v>
      </c>
      <c r="J3526" s="11">
        <f>[1]!EM_S_FA_NETPROFITMARGIN(B3526,E3526)</f>
        <v>5.2704028912999998</v>
      </c>
      <c r="K3526" s="10">
        <f>[1]!EM_S_FA_ASSETSTURN(B3526,E3526)</f>
        <v>0</v>
      </c>
      <c r="L3526" s="12">
        <f>[1]!EM_HKS_VAL_MV(B3526,"2019-12-31","2")</f>
        <v>22510994130.48</v>
      </c>
      <c r="M3526">
        <f>[1]!EM_S_VAL_PETTMDEDUCTED(B3526,E3526)</f>
        <v>-218.53835814361699</v>
      </c>
      <c r="N3526" s="7">
        <f>[1]!EM_S_VAL_PBGOODWILLDEDUCTED(B3526,E3526)</f>
        <v>1.3563531486806299</v>
      </c>
      <c r="O3526" s="7">
        <f>[1]!EM_S_VAL_PS_TTM(B3526,E3526)</f>
        <v>9.7504188055228003</v>
      </c>
      <c r="P3526" s="7">
        <f>[1]!EM_S_VAL_PCF_NCFTTM(B3526,E3526)</f>
        <v>-8.7656324525168792</v>
      </c>
      <c r="Q3526" s="7">
        <f>[1]!EM_S_VAL_DIVIDENDYIELD2(B3526,E3526,"2019-11-29")</f>
        <v>0.43196544276457877</v>
      </c>
      <c r="T3526"/>
      <c r="U3526">
        <f>[1]!EM_S_RATIO_EPS_TTM(B3526,E3526,"1")</f>
        <v>1.7350753249717611E-2</v>
      </c>
      <c r="AT3526" s="4" t="str">
        <f>[1]!EM_S_IPO_LISTEDDATE(B3526)</f>
        <v>1997-07-09</v>
      </c>
    </row>
    <row r="3527" spans="1:46">
      <c r="A3527">
        <v>322</v>
      </c>
      <c r="B3527" t="str">
        <f>"000752"</f>
        <v>000752</v>
      </c>
      <c r="C3527" t="s">
        <v>2753</v>
      </c>
      <c r="D3527" t="str">
        <f>[1]!EM_S_INFO_INDEX_EM(B3527,"1")</f>
        <v>食品饮料</v>
      </c>
      <c r="E3527" s="4">
        <f t="shared" si="55"/>
        <v>43465</v>
      </c>
      <c r="F3527" s="11">
        <f>[1]!EM_S_PQ_PCTCHANGE(B3527,"2018-01-01","2019-12-31","3")</f>
        <v>-66.8472048</v>
      </c>
      <c r="G3527" s="11"/>
      <c r="H3527" s="11">
        <f>[1]!EM_S_FA_YOY_OR(B3527,E3527)</f>
        <v>-10.630525995699999</v>
      </c>
      <c r="I3527" s="11">
        <f>[1]!EM_S_FA_GROSSPROFITMARGIN(B3527,E3527)</f>
        <v>26.3525272581</v>
      </c>
      <c r="J3527" s="11">
        <f>[1]!EM_S_FA_NETPROFITMARGIN(B3527,E3527)</f>
        <v>-118.5520479617</v>
      </c>
      <c r="K3527" s="10">
        <f>[1]!EM_S_FA_ASSETSTURN(B3527,E3527)</f>
        <v>0.24837496793700001</v>
      </c>
      <c r="L3527" s="12">
        <f>[1]!EM_HKS_VAL_MV(B3527,"2019-12-31","2")</f>
        <v>1200101134.05</v>
      </c>
      <c r="M3527">
        <f>[1]!EM_S_VAL_PETTMDEDUCTED(B3527,E3527)</f>
        <v>-1839.65759263877</v>
      </c>
      <c r="N3527" s="7">
        <f>[1]!EM_S_VAL_PBGOODWILLDEDUCTED(B3527,E3527)</f>
        <v>4.9702876142998003</v>
      </c>
      <c r="O3527" s="7">
        <f>[1]!EM_S_VAL_PS_TTM(B3527,E3527)</f>
        <v>5.1759043393267898</v>
      </c>
      <c r="P3527" s="7">
        <f>[1]!EM_S_VAL_PCF_NCFTTM(B3527,E3527)</f>
        <v>-7.7285536542906801</v>
      </c>
      <c r="Q3527" s="7">
        <f>[1]!EM_S_VAL_DIVIDENDYIELD2(B3527,E3527,"2019-11-29")</f>
        <v>0</v>
      </c>
      <c r="T3527"/>
      <c r="U3527">
        <f>[1]!EM_S_RATIO_EPS_TTM(B3527,E3527,"1")</f>
        <v>-1.5619179861777417</v>
      </c>
      <c r="AT3527" s="4" t="str">
        <f>[1]!EM_S_IPO_LISTEDDATE(B3527)</f>
        <v>1997-06-25</v>
      </c>
    </row>
    <row r="3528" spans="1:46">
      <c r="A3528">
        <v>324</v>
      </c>
      <c r="B3528" t="str">
        <f>"000755"</f>
        <v>000755</v>
      </c>
      <c r="C3528" t="s">
        <v>3605</v>
      </c>
      <c r="D3528" t="str">
        <f>[1]!EM_S_INFO_INDEX_EM(B3528,"1")</f>
        <v>交通运输</v>
      </c>
      <c r="E3528" s="4">
        <f t="shared" si="55"/>
        <v>43465</v>
      </c>
      <c r="F3528" s="11">
        <f>[1]!EM_S_PQ_PCTCHANGE(B3528,"2018-01-01","2019-12-31","3")</f>
        <v>-42.082111439999998</v>
      </c>
      <c r="G3528" s="11"/>
      <c r="H3528" s="11">
        <f>[1]!EM_S_FA_YOY_OR(B3528,E3528)</f>
        <v>-51.673445138600002</v>
      </c>
      <c r="I3528" s="11">
        <f>[1]!EM_S_FA_GROSSPROFITMARGIN(B3528,E3528)</f>
        <v>31.889637522600001</v>
      </c>
      <c r="J3528" s="11">
        <f>[1]!EM_S_FA_NETPROFITMARGIN(B3528,E3528)</f>
        <v>2.8532382445</v>
      </c>
      <c r="K3528" s="10">
        <f>[1]!EM_S_FA_ASSETSTURN(B3528,E3528)</f>
        <v>0.28732063765299998</v>
      </c>
      <c r="L3528" s="12">
        <f>[1]!EM_HKS_VAL_MV(B3528,"2019-12-31","2")</f>
        <v>1853595252.95</v>
      </c>
      <c r="M3528">
        <f>[1]!EM_S_VAL_PETTMDEDUCTED(B3528,E3528)</f>
        <v>-5.3299815150979404</v>
      </c>
      <c r="N3528" s="7">
        <f>[1]!EM_S_VAL_PBGOODWILLDEDUCTED(B3528,E3528)</f>
        <v>1.78474915951944</v>
      </c>
      <c r="O3528" s="7">
        <f>[1]!EM_S_VAL_PS_TTM(B3528,E3528)</f>
        <v>1.7153919489842899</v>
      </c>
      <c r="P3528" s="7">
        <f>[1]!EM_S_VAL_PCF_NCFTTM(B3528,E3528)</f>
        <v>-7.3126308200669303</v>
      </c>
      <c r="Q3528" s="7">
        <f>[1]!EM_S_VAL_DIVIDENDYIELD2(B3528,E3528,"2019-11-29")</f>
        <v>0</v>
      </c>
      <c r="T3528"/>
      <c r="U3528">
        <f>[1]!EM_S_RATIO_EPS_TTM(B3528,E3528,"1")</f>
        <v>0.10337563489577452</v>
      </c>
      <c r="AT3528" s="4" t="str">
        <f>[1]!EM_S_IPO_LISTEDDATE(B3528)</f>
        <v>1997-06-27</v>
      </c>
    </row>
    <row r="3529" spans="1:46">
      <c r="A3529">
        <v>327</v>
      </c>
      <c r="B3529" t="str">
        <f>"000758"</f>
        <v>000758</v>
      </c>
      <c r="C3529" t="s">
        <v>1537</v>
      </c>
      <c r="D3529" t="str">
        <f>[1]!EM_S_INFO_INDEX_EM(B3529,"1")</f>
        <v>有色金属</v>
      </c>
      <c r="E3529" s="4">
        <f t="shared" si="55"/>
        <v>43465</v>
      </c>
      <c r="F3529" s="11">
        <f>[1]!EM_S_PQ_PCTCHANGE(B3529,"2018-01-01","2019-12-31","3")</f>
        <v>-31.58715883</v>
      </c>
      <c r="G3529" s="11"/>
      <c r="H3529" s="11">
        <f>[1]!EM_S_FA_YOY_OR(B3529,E3529)</f>
        <v>-4.0531811297000004</v>
      </c>
      <c r="I3529" s="11">
        <f>[1]!EM_S_FA_GROSSPROFITMARGIN(B3529,E3529)</f>
        <v>13.1011898371</v>
      </c>
      <c r="J3529" s="11">
        <f>[1]!EM_S_FA_NETPROFITMARGIN(B3529,E3529)</f>
        <v>1.6735108578</v>
      </c>
      <c r="K3529" s="10">
        <f>[1]!EM_S_FA_ASSETSTURN(B3529,E3529)</f>
        <v>0.61916866490900002</v>
      </c>
      <c r="L3529" s="12">
        <f>[1]!EM_HKS_VAL_MV(B3529,"2019-12-31","2")</f>
        <v>8625877497.1200008</v>
      </c>
      <c r="M3529">
        <f>[1]!EM_S_VAL_PETTMDEDUCTED(B3529,E3529)</f>
        <v>75.129014780557497</v>
      </c>
      <c r="N3529" s="7">
        <f>[1]!EM_S_VAL_PBGOODWILLDEDUCTED(B3529,E3529)</f>
        <v>1.3975071951986899</v>
      </c>
      <c r="O3529" s="7">
        <f>[1]!EM_S_VAL_PS_TTM(B3529,E3529)</f>
        <v>0.47403880737938298</v>
      </c>
      <c r="P3529" s="7">
        <f>[1]!EM_S_VAL_PCF_NCFTTM(B3529,E3529)</f>
        <v>4.0535881472258897</v>
      </c>
      <c r="Q3529" s="7">
        <f>[1]!EM_S_VAL_DIVIDENDYIELD2(B3529,E3529,"2019-11-29")</f>
        <v>0.37037037037037041</v>
      </c>
      <c r="T3529"/>
      <c r="U3529">
        <f>[1]!EM_S_RATIO_EPS_TTM(B3529,E3529,"1")</f>
        <v>6.0793593202278319E-2</v>
      </c>
      <c r="AT3529" s="4" t="str">
        <f>[1]!EM_S_IPO_LISTEDDATE(B3529)</f>
        <v>1997-04-16</v>
      </c>
    </row>
    <row r="3530" spans="1:46">
      <c r="A3530">
        <v>329</v>
      </c>
      <c r="B3530" t="str">
        <f>"000760"</f>
        <v>000760</v>
      </c>
      <c r="C3530" t="s">
        <v>3484</v>
      </c>
      <c r="D3530" t="str">
        <f>[1]!EM_S_INFO_INDEX_EM(B3530,"1")</f>
        <v>交运设备</v>
      </c>
      <c r="E3530" s="4">
        <f t="shared" si="55"/>
        <v>43465</v>
      </c>
      <c r="F3530" s="11">
        <f>[1]!EM_S_PQ_PCTCHANGE(B3530,"2018-01-01","2019-12-31","3")</f>
        <v>-74.315068490000002</v>
      </c>
      <c r="G3530" s="11"/>
      <c r="H3530" s="11">
        <f>[1]!EM_S_FA_YOY_OR(B3530,E3530)</f>
        <v>43.718132053600002</v>
      </c>
      <c r="I3530" s="11">
        <f>[1]!EM_S_FA_GROSSPROFITMARGIN(B3530,E3530)</f>
        <v>2.7151881172999999</v>
      </c>
      <c r="J3530" s="11">
        <f>[1]!EM_S_FA_NETPROFITMARGIN(B3530,E3530)</f>
        <v>-601.46990183449998</v>
      </c>
      <c r="K3530" s="10">
        <f>[1]!EM_S_FA_ASSETSTURN(B3530,E3530)</f>
        <v>0.135771246988</v>
      </c>
      <c r="L3530" s="12">
        <f>[1]!EM_HKS_VAL_MV(B3530,"2019-12-31","2")</f>
        <v>1157766942</v>
      </c>
      <c r="M3530">
        <f>[1]!EM_S_VAL_PETTMDEDUCTED(B3530,E3530)</f>
        <v>-4.1262940450685903</v>
      </c>
      <c r="N3530" s="7">
        <f>[1]!EM_S_VAL_PBGOODWILLDEDUCTED(B3530,E3530)</f>
        <v>4.7322932774169599</v>
      </c>
      <c r="O3530" s="7">
        <f>[1]!EM_S_VAL_PS_TTM(B3530,E3530)</f>
        <v>12.0051508835726</v>
      </c>
      <c r="P3530" s="7">
        <f>[1]!EM_S_VAL_PCF_NCFTTM(B3530,E3530)</f>
        <v>-4.8611545070511903</v>
      </c>
      <c r="Q3530" s="7">
        <f>[1]!EM_S_VAL_DIVIDENDYIELD2(B3530,E3530,"2019-11-29")</f>
        <v>0</v>
      </c>
      <c r="T3530"/>
      <c r="U3530">
        <f>[1]!EM_S_RATIO_EPS_TTM(B3530,E3530,"1")</f>
        <v>-1.6951564514484125</v>
      </c>
      <c r="AT3530" s="4" t="str">
        <f>[1]!EM_S_IPO_LISTEDDATE(B3530)</f>
        <v>1997-06-27</v>
      </c>
    </row>
    <row r="3531" spans="1:46">
      <c r="A3531">
        <v>331</v>
      </c>
      <c r="B3531" t="str">
        <f>"000762"</f>
        <v>000762</v>
      </c>
      <c r="C3531" t="s">
        <v>3348</v>
      </c>
      <c r="D3531" t="str">
        <f>[1]!EM_S_INFO_INDEX_EM(B3531,"1")</f>
        <v>有色金属</v>
      </c>
      <c r="E3531" s="4">
        <f t="shared" si="55"/>
        <v>43465</v>
      </c>
      <c r="F3531" s="11">
        <f>[1]!EM_S_PQ_PCTCHANGE(B3531,"2018-01-01","2019-12-31","3")</f>
        <v>-52.484076430000002</v>
      </c>
      <c r="G3531" s="11"/>
      <c r="H3531" s="11">
        <f>[1]!EM_S_FA_YOY_OR(B3531,E3531)</f>
        <v>-25.138936732299999</v>
      </c>
      <c r="I3531" s="11">
        <f>[1]!EM_S_FA_GROSSPROFITMARGIN(B3531,E3531)</f>
        <v>10.8554433105</v>
      </c>
      <c r="J3531" s="11">
        <f>[1]!EM_S_FA_NETPROFITMARGIN(B3531,E3531)</f>
        <v>-39.383967808599998</v>
      </c>
      <c r="K3531" s="10">
        <f>[1]!EM_S_FA_ASSETSTURN(B3531,E3531)</f>
        <v>0.16914778324499999</v>
      </c>
      <c r="L3531" s="12">
        <f>[1]!EM_HKS_VAL_MV(B3531,"2019-12-31","2")</f>
        <v>3885311530.4000001</v>
      </c>
      <c r="M3531">
        <f>[1]!EM_S_VAL_PETTMDEDUCTED(B3531,E3531)</f>
        <v>-74.347018972586795</v>
      </c>
      <c r="N3531" s="7">
        <f>[1]!EM_S_VAL_PBGOODWILLDEDUCTED(B3531,E3531)</f>
        <v>1.7767091304893601</v>
      </c>
      <c r="O3531" s="7">
        <f>[1]!EM_S_VAL_PS_TTM(B3531,E3531)</f>
        <v>5.8377013546594103</v>
      </c>
      <c r="P3531" s="7">
        <f>[1]!EM_S_VAL_PCF_NCFTTM(B3531,E3531)</f>
        <v>-17.179681567960401</v>
      </c>
      <c r="Q3531" s="7">
        <f>[1]!EM_S_VAL_DIVIDENDYIELD2(B3531,E3531,"2019-11-29")</f>
        <v>0</v>
      </c>
      <c r="T3531"/>
      <c r="U3531">
        <f>[1]!EM_S_RATIO_EPS_TTM(B3531,E3531,"1")</f>
        <v>-0.34746849597952639</v>
      </c>
      <c r="AT3531" s="4" t="str">
        <f>[1]!EM_S_IPO_LISTEDDATE(B3531)</f>
        <v>1997-07-08</v>
      </c>
    </row>
    <row r="3532" spans="1:46">
      <c r="A3532">
        <v>332</v>
      </c>
      <c r="B3532" t="str">
        <f>"000763"</f>
        <v>000763</v>
      </c>
      <c r="C3532" t="s">
        <v>3163</v>
      </c>
      <c r="D3532">
        <f>[1]!EM_S_INFO_INDEX_EM(B3532,"1")</f>
        <v>0</v>
      </c>
      <c r="E3532" s="4">
        <f t="shared" si="55"/>
        <v>43465</v>
      </c>
      <c r="F3532" s="11">
        <f>[1]!EM_S_PQ_PCTCHANGE(B3532,"2018-01-01","2019-12-31","3")</f>
        <v>0</v>
      </c>
      <c r="G3532" s="11"/>
      <c r="H3532" s="11">
        <f>[1]!EM_S_FA_YOY_OR(B3532,E3532)</f>
        <v>0</v>
      </c>
      <c r="I3532" s="11">
        <f>[1]!EM_S_FA_GROSSPROFITMARGIN(B3532,E3532)</f>
        <v>0</v>
      </c>
      <c r="J3532" s="11">
        <f>[1]!EM_S_FA_NETPROFITMARGIN(B3532,E3532)</f>
        <v>0</v>
      </c>
      <c r="K3532" s="10">
        <f>[1]!EM_S_FA_ASSETSTURN(B3532,E3532)</f>
        <v>0</v>
      </c>
      <c r="L3532" s="12">
        <f>[1]!EM_HKS_VAL_MV(B3532,"2019-12-31","2")</f>
        <v>3323250000</v>
      </c>
      <c r="M3532">
        <f>[1]!EM_S_VAL_PETTMDEDUCTED(B3532,E3532)</f>
        <v>-4.7739795821188098</v>
      </c>
      <c r="N3532" s="7">
        <f>[1]!EM_S_VAL_PBGOODWILLDEDUCTED(B3532,E3532)</f>
        <v>4.1913394153694297</v>
      </c>
      <c r="O3532" s="7">
        <f>[1]!EM_S_VAL_PS_TTM(B3532,E3532)</f>
        <v>0</v>
      </c>
      <c r="P3532" s="7">
        <f>[1]!EM_S_VAL_PCF_NCFTTM(B3532,E3532)</f>
        <v>72.378389492394206</v>
      </c>
      <c r="Q3532" s="7">
        <f>[1]!EM_S_VAL_DIVIDENDYIELD2(B3532,E3532,"2019-11-29")</f>
        <v>0</v>
      </c>
      <c r="T3532"/>
      <c r="U3532">
        <f>[1]!EM_S_RATIO_EPS_TTM(B3532,E3532,"1")</f>
        <v>0.3398786907936508</v>
      </c>
      <c r="AT3532" s="4" t="str">
        <f>[1]!EM_S_IPO_LISTEDDATE(B3532)</f>
        <v>1997-09-15</v>
      </c>
    </row>
    <row r="3533" spans="1:46">
      <c r="A3533">
        <v>333</v>
      </c>
      <c r="B3533" t="str">
        <f>"000765"</f>
        <v>000765</v>
      </c>
      <c r="C3533" t="s">
        <v>3162</v>
      </c>
      <c r="D3533">
        <f>[1]!EM_S_INFO_INDEX_EM(B3533,"1")</f>
        <v>0</v>
      </c>
      <c r="E3533" s="4">
        <f t="shared" si="55"/>
        <v>43465</v>
      </c>
      <c r="F3533" s="11">
        <f>[1]!EM_S_PQ_PCTCHANGE(B3533,"2018-01-01","2019-12-31","3")</f>
        <v>0</v>
      </c>
      <c r="G3533" s="11"/>
      <c r="H3533" s="11">
        <f>[1]!EM_S_FA_YOY_OR(B3533,E3533)</f>
        <v>-19.996294010700002</v>
      </c>
      <c r="I3533" s="11">
        <f>[1]!EM_S_FA_GROSSPROFITMARGIN(B3533,E3533)</f>
        <v>20.038388835500001</v>
      </c>
      <c r="J3533" s="11">
        <f>[1]!EM_S_FA_NETPROFITMARGIN(B3533,E3533)</f>
        <v>12.1271802195</v>
      </c>
      <c r="K3533" s="10">
        <f>[1]!EM_S_FA_ASSETSTURN(B3533,E3533)</f>
        <v>0.38981606510200001</v>
      </c>
      <c r="L3533" s="12">
        <f>[1]!EM_HKS_VAL_MV(B3533,"2019-12-31","2")</f>
        <v>1652000000</v>
      </c>
      <c r="M3533">
        <f>[1]!EM_S_VAL_PETTMDEDUCTED(B3533,E3533)</f>
        <v>17.789226929973001</v>
      </c>
      <c r="N3533" s="7">
        <f>[1]!EM_S_VAL_PBGOODWILLDEDUCTED(B3533,E3533)</f>
        <v>1.69545171215041</v>
      </c>
      <c r="O3533" s="7">
        <f>[1]!EM_S_VAL_PS_TTM(B3533,E3533)</f>
        <v>2.3643716750615602</v>
      </c>
      <c r="P3533" s="7">
        <f>[1]!EM_S_VAL_PCF_NCFTTM(B3533,E3533)</f>
        <v>116.19419914345001</v>
      </c>
      <c r="Q3533" s="7">
        <f>[1]!EM_S_VAL_DIVIDENDYIELD2(B3533,E3533,"2019-11-29")</f>
        <v>0</v>
      </c>
      <c r="T3533"/>
      <c r="U3533">
        <f>[1]!EM_S_RATIO_EPS_TTM(B3533,E3533,"1")</f>
        <v>0.12845029335714284</v>
      </c>
      <c r="AT3533" s="4" t="str">
        <f>[1]!EM_S_IPO_LISTEDDATE(B3533)</f>
        <v>1997-11-03</v>
      </c>
    </row>
    <row r="3534" spans="1:46">
      <c r="A3534">
        <v>338</v>
      </c>
      <c r="B3534" t="str">
        <f>"000776"</f>
        <v>000776</v>
      </c>
      <c r="C3534" t="s">
        <v>1536</v>
      </c>
      <c r="D3534" t="str">
        <f>[1]!EM_S_INFO_INDEX_EM(B3534,"1")</f>
        <v>金融</v>
      </c>
      <c r="E3534" s="4">
        <f t="shared" si="55"/>
        <v>43465</v>
      </c>
      <c r="F3534" s="11">
        <f>[1]!EM_S_PQ_PCTCHANGE(B3534,"2018-01-01","2019-12-31","3")</f>
        <v>-4.8462652400000001</v>
      </c>
      <c r="G3534" s="11"/>
      <c r="H3534" s="11">
        <f>[1]!EM_S_FA_YOY_OR(B3534,E3534)</f>
        <v>-29.432224785399999</v>
      </c>
      <c r="I3534" s="11">
        <f>[1]!EM_S_FA_GROSSPROFITMARGIN(B3534,E3534)</f>
        <v>0</v>
      </c>
      <c r="J3534" s="11">
        <f>[1]!EM_S_FA_NETPROFITMARGIN(B3534,E3534)</f>
        <v>30.333542184999999</v>
      </c>
      <c r="K3534" s="10">
        <f>[1]!EM_S_FA_ASSETSTURN(B3534,E3534)</f>
        <v>0</v>
      </c>
      <c r="L3534" s="12">
        <f>[1]!EM_HKS_VAL_MV(B3534,"2019-12-31","2")</f>
        <v>115611899862.88</v>
      </c>
      <c r="M3534">
        <f>[1]!EM_S_VAL_PETTMDEDUCTED(B3534,E3534)</f>
        <v>16.419889472442801</v>
      </c>
      <c r="N3534" s="7">
        <f>[1]!EM_S_VAL_PBGOODWILLDEDUCTED(B3534,E3534)</f>
        <v>1.1366764318598499</v>
      </c>
      <c r="O3534" s="7">
        <f>[1]!EM_S_VAL_PS_TTM(B3534,E3534)</f>
        <v>5.4696375916224804</v>
      </c>
      <c r="P3534" s="7">
        <f>[1]!EM_S_VAL_PCF_NCFTTM(B3534,E3534)</f>
        <v>-19.503898444140798</v>
      </c>
      <c r="Q3534" s="7">
        <f>[1]!EM_S_VAL_DIVIDENDYIELD2(B3534,E3534,"2019-11-29")</f>
        <v>0</v>
      </c>
      <c r="T3534"/>
      <c r="U3534">
        <f>[1]!EM_S_RATIO_EPS_TTM(B3534,E3534,"1")</f>
        <v>0.56424050357046251</v>
      </c>
      <c r="AT3534" s="4" t="str">
        <f>[1]!EM_S_IPO_LISTEDDATE(B3534)</f>
        <v>1997-06-11</v>
      </c>
    </row>
    <row r="3535" spans="1:46">
      <c r="A3535">
        <v>340</v>
      </c>
      <c r="B3535" t="str">
        <f>"000778"</f>
        <v>000778</v>
      </c>
      <c r="C3535" t="s">
        <v>1439</v>
      </c>
      <c r="D3535" t="str">
        <f>[1]!EM_S_INFO_INDEX_EM(B3535,"1")</f>
        <v>钢铁</v>
      </c>
      <c r="E3535" s="4">
        <f t="shared" si="55"/>
        <v>43465</v>
      </c>
      <c r="F3535" s="11">
        <f>[1]!EM_S_PQ_PCTCHANGE(B3535,"2018-01-01","2019-12-31","3")</f>
        <v>-13.1990801</v>
      </c>
      <c r="G3535" s="11"/>
      <c r="H3535" s="11">
        <f>[1]!EM_S_FA_YOY_OR(B3535,E3535)</f>
        <v>-1.9864596746000001</v>
      </c>
      <c r="I3535" s="11">
        <f>[1]!EM_S_FA_GROSSPROFITMARGIN(B3535,E3535)</f>
        <v>17.9022633865</v>
      </c>
      <c r="J3535" s="11">
        <f>[1]!EM_S_FA_NETPROFITMARGIN(B3535,E3535)</f>
        <v>5.0164630769</v>
      </c>
      <c r="K3535" s="10">
        <f>[1]!EM_S_FA_ASSETSTURN(B3535,E3535)</f>
        <v>0.80395744490400001</v>
      </c>
      <c r="L3535" s="12">
        <f>[1]!EM_HKS_VAL_MV(B3535,"2019-12-31","2")</f>
        <v>16641970333.92</v>
      </c>
      <c r="M3535">
        <f>[1]!EM_S_VAL_PETTMDEDUCTED(B3535,E3535)</f>
        <v>10.099290486365099</v>
      </c>
      <c r="N3535" s="7">
        <f>[1]!EM_S_VAL_PBGOODWILLDEDUCTED(B3535,E3535)</f>
        <v>0.83931148770377395</v>
      </c>
      <c r="O3535" s="7">
        <f>[1]!EM_S_VAL_PS_TTM(B3535,E3535)</f>
        <v>0.45688285847823201</v>
      </c>
      <c r="P3535" s="7">
        <f>[1]!EM_S_VAL_PCF_NCFTTM(B3535,E3535)</f>
        <v>69.301597282335194</v>
      </c>
      <c r="Q3535" s="7">
        <f>[1]!EM_S_VAL_DIVIDENDYIELD2(B3535,E3535,"2019-11-29")</f>
        <v>5.025125628140704</v>
      </c>
      <c r="T3535"/>
      <c r="U3535">
        <f>[1]!EM_S_RATIO_EPS_TTM(B3535,E3535,"1")</f>
        <v>0.5265341463386497</v>
      </c>
      <c r="AT3535" s="4" t="str">
        <f>[1]!EM_S_IPO_LISTEDDATE(B3535)</f>
        <v>1997-06-06</v>
      </c>
    </row>
    <row r="3536" spans="1:46">
      <c r="A3536">
        <v>342</v>
      </c>
      <c r="B3536" t="str">
        <f>"000780"</f>
        <v>000780</v>
      </c>
      <c r="C3536" t="s">
        <v>3211</v>
      </c>
      <c r="D3536" t="str">
        <f>[1]!EM_S_INFO_INDEX_EM(B3536,"1")</f>
        <v>化石能源</v>
      </c>
      <c r="E3536" s="4">
        <f t="shared" si="55"/>
        <v>43465</v>
      </c>
      <c r="F3536" s="11">
        <f>[1]!EM_S_PQ_PCTCHANGE(B3536,"2018-01-01","2019-12-31","3")</f>
        <v>-33.17148736</v>
      </c>
      <c r="G3536" s="11"/>
      <c r="H3536" s="11">
        <f>[1]!EM_S_FA_YOY_OR(B3536,E3536)</f>
        <v>-20.785744283900002</v>
      </c>
      <c r="I3536" s="11">
        <f>[1]!EM_S_FA_GROSSPROFITMARGIN(B3536,E3536)</f>
        <v>29.5727751278</v>
      </c>
      <c r="J3536" s="11">
        <f>[1]!EM_S_FA_NETPROFITMARGIN(B3536,E3536)</f>
        <v>-11.285309618399999</v>
      </c>
      <c r="K3536" s="10">
        <f>[1]!EM_S_FA_ASSETSTURN(B3536,E3536)</f>
        <v>0.40068864488900002</v>
      </c>
      <c r="L3536" s="12">
        <f>[1]!EM_HKS_VAL_MV(B3536,"2019-12-31","2")</f>
        <v>3042918972</v>
      </c>
      <c r="M3536">
        <f>[1]!EM_S_VAL_PETTMDEDUCTED(B3536,E3536)</f>
        <v>125.805995296795</v>
      </c>
      <c r="N3536" s="7">
        <f>[1]!EM_S_VAL_PBGOODWILLDEDUCTED(B3536,E3536)</f>
        <v>0.731662093036198</v>
      </c>
      <c r="O3536" s="7">
        <f>[1]!EM_S_VAL_PS_TTM(B3536,E3536)</f>
        <v>1.32214307956698</v>
      </c>
      <c r="P3536" s="7">
        <f>[1]!EM_S_VAL_PCF_NCFTTM(B3536,E3536)</f>
        <v>-4.2353405690595496</v>
      </c>
      <c r="Q3536" s="7">
        <f>[1]!EM_S_VAL_DIVIDENDYIELD2(B3536,E3536,"2019-11-29")</f>
        <v>6.8027210884353746</v>
      </c>
      <c r="T3536"/>
      <c r="U3536">
        <f>[1]!EM_S_RATIO_EPS_TTM(B3536,E3536,"1")</f>
        <v>-0.24748182738334185</v>
      </c>
      <c r="AT3536" s="4" t="str">
        <f>[1]!EM_S_IPO_LISTEDDATE(B3536)</f>
        <v>1997-06-06</v>
      </c>
    </row>
    <row r="3537" spans="1:46">
      <c r="A3537">
        <v>344</v>
      </c>
      <c r="B3537" t="str">
        <f>"000783"</f>
        <v>000783</v>
      </c>
      <c r="C3537" t="s">
        <v>2039</v>
      </c>
      <c r="D3537" t="str">
        <f>[1]!EM_S_INFO_INDEX_EM(B3537,"1")</f>
        <v>金融</v>
      </c>
      <c r="E3537" s="4">
        <f t="shared" si="55"/>
        <v>43465</v>
      </c>
      <c r="F3537" s="11">
        <f>[1]!EM_S_PQ_PCTCHANGE(B3537,"2018-01-01","2019-12-31","3")</f>
        <v>-6.4198275200000001</v>
      </c>
      <c r="G3537" s="11"/>
      <c r="H3537" s="11">
        <f>[1]!EM_S_FA_YOY_OR(B3537,E3537)</f>
        <v>-22.8614830016</v>
      </c>
      <c r="I3537" s="11">
        <f>[1]!EM_S_FA_GROSSPROFITMARGIN(B3537,E3537)</f>
        <v>0</v>
      </c>
      <c r="J3537" s="11">
        <f>[1]!EM_S_FA_NETPROFITMARGIN(B3537,E3537)</f>
        <v>5.1947573370000004</v>
      </c>
      <c r="K3537" s="10">
        <f>[1]!EM_S_FA_ASSETSTURN(B3537,E3537)</f>
        <v>0</v>
      </c>
      <c r="L3537" s="12">
        <f>[1]!EM_HKS_VAL_MV(B3537,"2019-12-31","2")</f>
        <v>39481082875.919998</v>
      </c>
      <c r="M3537">
        <f>[1]!EM_S_VAL_PETTMDEDUCTED(B3537,E3537)</f>
        <v>50.308899795886902</v>
      </c>
      <c r="N3537" s="7">
        <f>[1]!EM_S_VAL_PBGOODWILLDEDUCTED(B3537,E3537)</f>
        <v>1.11527497920786</v>
      </c>
      <c r="O3537" s="7">
        <f>[1]!EM_S_VAL_PS_TTM(B3537,E3537)</f>
        <v>5.8705949426905804</v>
      </c>
      <c r="P3537" s="7">
        <f>[1]!EM_S_VAL_PCF_NCFTTM(B3537,E3537)</f>
        <v>28.048410621312399</v>
      </c>
      <c r="Q3537" s="7">
        <f>[1]!EM_S_VAL_DIVIDENDYIELD2(B3537,E3537,"2019-11-29")</f>
        <v>0.3205126198431863</v>
      </c>
      <c r="T3537"/>
      <c r="U3537">
        <f>[1]!EM_S_RATIO_EPS_TTM(B3537,E3537,"1")</f>
        <v>4.6514676377784579E-2</v>
      </c>
      <c r="AT3537" s="4" t="str">
        <f>[1]!EM_S_IPO_LISTEDDATE(B3537)</f>
        <v>1997-07-31</v>
      </c>
    </row>
    <row r="3538" spans="1:46">
      <c r="A3538">
        <v>347</v>
      </c>
      <c r="B3538" t="str">
        <f>"000787"</f>
        <v>000787</v>
      </c>
      <c r="C3538" t="s">
        <v>3160</v>
      </c>
      <c r="D3538">
        <f>[1]!EM_S_INFO_INDEX_EM(B3538,"1")</f>
        <v>0</v>
      </c>
      <c r="E3538" s="4">
        <f t="shared" si="55"/>
        <v>43465</v>
      </c>
      <c r="F3538" s="11">
        <f>[1]!EM_S_PQ_PCTCHANGE(B3538,"2018-01-01","2019-12-31","3")</f>
        <v>0</v>
      </c>
      <c r="G3538" s="11"/>
      <c r="H3538" s="11">
        <f>[1]!EM_S_FA_YOY_OR(B3538,E3538)</f>
        <v>-2.4468268160000002</v>
      </c>
      <c r="I3538" s="11">
        <f>[1]!EM_S_FA_GROSSPROFITMARGIN(B3538,E3538)</f>
        <v>21.601342695</v>
      </c>
      <c r="J3538" s="11">
        <f>[1]!EM_S_FA_NETPROFITMARGIN(B3538,E3538)</f>
        <v>2.5263509141</v>
      </c>
      <c r="K3538" s="10">
        <f>[1]!EM_S_FA_ASSETSTURN(B3538,E3538)</f>
        <v>0.78733307031099997</v>
      </c>
      <c r="L3538" s="12">
        <f>[1]!EM_HKS_VAL_MV(B3538,"2019-12-31","2")</f>
        <v>8820480244.6800003</v>
      </c>
      <c r="M3538">
        <f>[1]!EM_S_VAL_PETTMDEDUCTED(B3538,E3538)</f>
        <v>121.184174045357</v>
      </c>
      <c r="N3538" s="7">
        <f>[1]!EM_S_VAL_PBGOODWILLDEDUCTED(B3538,E3538)</f>
        <v>3.3658034728258901</v>
      </c>
      <c r="O3538" s="7">
        <f>[1]!EM_S_VAL_PS_TTM(B3538,E3538)</f>
        <v>1.2542346092159899</v>
      </c>
      <c r="P3538" s="7">
        <f>[1]!EM_S_VAL_PCF_NCFTTM(B3538,E3538)</f>
        <v>-10.7322774694843</v>
      </c>
      <c r="Q3538" s="7">
        <f>[1]!EM_S_VAL_DIVIDENDYIELD2(B3538,E3538,"2019-11-29")</f>
        <v>0</v>
      </c>
      <c r="T3538"/>
      <c r="U3538">
        <f>[1]!EM_S_RATIO_EPS_TTM(B3538,E3538,"1")</f>
        <v>9.9044457532084657E-2</v>
      </c>
      <c r="AT3538" s="4" t="str">
        <f>[1]!EM_S_IPO_LISTEDDATE(B3538)</f>
        <v>1997-06-26</v>
      </c>
    </row>
    <row r="3539" spans="1:46">
      <c r="A3539">
        <v>352</v>
      </c>
      <c r="B3539" t="str">
        <f>"000792"</f>
        <v>000792</v>
      </c>
      <c r="C3539" t="s">
        <v>3444</v>
      </c>
      <c r="D3539" t="str">
        <f>[1]!EM_S_INFO_INDEX_EM(B3539,"1")</f>
        <v>基础化工</v>
      </c>
      <c r="E3539" s="4">
        <f t="shared" si="55"/>
        <v>43465</v>
      </c>
      <c r="F3539" s="11">
        <f>[1]!EM_S_PQ_PCTCHANGE(B3539,"2018-01-01","2019-12-31","3")</f>
        <v>-36.736161039999999</v>
      </c>
      <c r="G3539" s="11"/>
      <c r="H3539" s="11">
        <f>[1]!EM_S_FA_YOY_OR(B3539,E3539)</f>
        <v>52.911485947800003</v>
      </c>
      <c r="I3539" s="11">
        <f>[1]!EM_S_FA_GROSSPROFITMARGIN(B3539,E3539)</f>
        <v>26.184862023099999</v>
      </c>
      <c r="J3539" s="11">
        <f>[1]!EM_S_FA_NETPROFITMARGIN(B3539,E3539)</f>
        <v>-20.126395181300001</v>
      </c>
      <c r="K3539" s="10">
        <f>[1]!EM_S_FA_ASSETSTURN(B3539,E3539)</f>
        <v>0.22729263370300001</v>
      </c>
      <c r="L3539" s="12">
        <f>[1]!EM_HKS_VAL_MV(B3539,"2019-12-31","2")</f>
        <v>24517597288.799999</v>
      </c>
      <c r="M3539">
        <f>[1]!EM_S_VAL_PETTMDEDUCTED(B3539,E3539)</f>
        <v>-3.0895310720556002</v>
      </c>
      <c r="N3539" s="7">
        <f>[1]!EM_S_VAL_PBGOODWILLDEDUCTED(B3539,E3539)</f>
        <v>1.27690920214293</v>
      </c>
      <c r="O3539" s="7">
        <f>[1]!EM_S_VAL_PS_TTM(B3539,E3539)</f>
        <v>1.1659435983909701</v>
      </c>
      <c r="P3539" s="7">
        <f>[1]!EM_S_VAL_PCF_NCFTTM(B3539,E3539)</f>
        <v>-20.8668302230931</v>
      </c>
      <c r="Q3539" s="7">
        <f>[1]!EM_S_VAL_DIVIDENDYIELD2(B3539,E3539,"2019-11-29")</f>
        <v>0</v>
      </c>
      <c r="T3539"/>
      <c r="U3539">
        <f>[1]!EM_S_RATIO_EPS_TTM(B3539,E3539,"1")</f>
        <v>-1.2370784625284339</v>
      </c>
      <c r="AT3539" s="4" t="str">
        <f>[1]!EM_S_IPO_LISTEDDATE(B3539)</f>
        <v>1997-09-04</v>
      </c>
    </row>
    <row r="3540" spans="1:46">
      <c r="A3540">
        <v>353</v>
      </c>
      <c r="B3540" t="str">
        <f>"000793"</f>
        <v>000793</v>
      </c>
      <c r="C3540" t="s">
        <v>2941</v>
      </c>
      <c r="D3540" t="str">
        <f>[1]!EM_S_INFO_INDEX_EM(B3540,"1")</f>
        <v>文化传媒</v>
      </c>
      <c r="E3540" s="4">
        <f t="shared" si="55"/>
        <v>43465</v>
      </c>
      <c r="F3540" s="11">
        <f>[1]!EM_S_PQ_PCTCHANGE(B3540,"2018-01-01","2019-12-31","3")</f>
        <v>-66.289075209999993</v>
      </c>
      <c r="G3540" s="11"/>
      <c r="H3540" s="11">
        <f>[1]!EM_S_FA_YOY_OR(B3540,E3540)</f>
        <v>10.637609314100001</v>
      </c>
      <c r="I3540" s="11">
        <f>[1]!EM_S_FA_GROSSPROFITMARGIN(B3540,E3540)</f>
        <v>24.744254205699999</v>
      </c>
      <c r="J3540" s="11">
        <f>[1]!EM_S_FA_NETPROFITMARGIN(B3540,E3540)</f>
        <v>-130.37286855439999</v>
      </c>
      <c r="K3540" s="10">
        <f>[1]!EM_S_FA_ASSETSTURN(B3540,E3540)</f>
        <v>0.26340499918299998</v>
      </c>
      <c r="L3540" s="12">
        <f>[1]!EM_HKS_VAL_MV(B3540,"2019-12-31","2")</f>
        <v>6730717190.0900002</v>
      </c>
      <c r="M3540">
        <f>[1]!EM_S_VAL_PETTMDEDUCTED(B3540,E3540)</f>
        <v>-19.7302753398852</v>
      </c>
      <c r="N3540" s="7">
        <f>[1]!EM_S_VAL_PBGOODWILLDEDUCTED(B3540,E3540)</f>
        <v>2.0065788459328702</v>
      </c>
      <c r="O3540" s="7">
        <f>[1]!EM_S_VAL_PS_TTM(B3540,E3540)</f>
        <v>1.64331288210529</v>
      </c>
      <c r="P3540" s="7">
        <f>[1]!EM_S_VAL_PCF_NCFTTM(B3540,E3540)</f>
        <v>-14.8080697971685</v>
      </c>
      <c r="Q3540" s="7">
        <f>[1]!EM_S_VAL_DIVIDENDYIELD2(B3540,E3540,"2019-11-29")</f>
        <v>0</v>
      </c>
      <c r="T3540"/>
      <c r="U3540">
        <f>[1]!EM_S_RATIO_EPS_TTM(B3540,E3540,"1")</f>
        <v>-2.4987465205384618</v>
      </c>
      <c r="AT3540" s="4" t="str">
        <f>[1]!EM_S_IPO_LISTEDDATE(B3540)</f>
        <v>1997-07-29</v>
      </c>
    </row>
    <row r="3541" spans="1:46">
      <c r="A3541">
        <v>357</v>
      </c>
      <c r="B3541" t="str">
        <f>"000798"</f>
        <v>000798</v>
      </c>
      <c r="C3541" t="s">
        <v>991</v>
      </c>
      <c r="D3541" t="str">
        <f>[1]!EM_S_INFO_INDEX_EM(B3541,"1")</f>
        <v>农林牧渔</v>
      </c>
      <c r="E3541" s="4">
        <f t="shared" si="55"/>
        <v>43465</v>
      </c>
      <c r="F3541" s="11">
        <f>[1]!EM_S_PQ_PCTCHANGE(B3541,"2018-01-01","2019-12-31","3")</f>
        <v>-26.61097852</v>
      </c>
      <c r="G3541" s="11"/>
      <c r="H3541" s="11">
        <f>[1]!EM_S_FA_YOY_OR(B3541,E3541)</f>
        <v>-16.297881767</v>
      </c>
      <c r="I3541" s="11">
        <f>[1]!EM_S_FA_GROSSPROFITMARGIN(B3541,E3541)</f>
        <v>5.8494326765000002</v>
      </c>
      <c r="J3541" s="11">
        <f>[1]!EM_S_FA_NETPROFITMARGIN(B3541,E3541)</f>
        <v>8.6558121065000009</v>
      </c>
      <c r="K3541" s="10">
        <f>[1]!EM_S_FA_ASSETSTURN(B3541,E3541)</f>
        <v>0.60416146942100002</v>
      </c>
      <c r="L3541" s="12">
        <f>[1]!EM_HKS_VAL_MV(B3541,"2019-12-31","2")</f>
        <v>1964648250</v>
      </c>
      <c r="M3541">
        <f>[1]!EM_S_VAL_PETTMDEDUCTED(B3541,E3541)</f>
        <v>559.77237057182504</v>
      </c>
      <c r="N3541" s="7">
        <f>[1]!EM_S_VAL_PBGOODWILLDEDUCTED(B3541,E3541)</f>
        <v>2.2413463830369098</v>
      </c>
      <c r="O3541" s="7">
        <f>[1]!EM_S_VAL_PS_TTM(B3541,E3541)</f>
        <v>2.8469392382966499</v>
      </c>
      <c r="P3541" s="7">
        <f>[1]!EM_S_VAL_PCF_NCFTTM(B3541,E3541)</f>
        <v>-17.792063662100201</v>
      </c>
      <c r="Q3541" s="7">
        <f>[1]!EM_S_VAL_DIVIDENDYIELD2(B3541,E3541,"2019-11-29")</f>
        <v>0</v>
      </c>
      <c r="T3541"/>
      <c r="U3541">
        <f>[1]!EM_S_RATIO_EPS_TTM(B3541,E3541,"1")</f>
        <v>0.17918190424316413</v>
      </c>
      <c r="AT3541" s="4" t="str">
        <f>[1]!EM_S_IPO_LISTEDDATE(B3541)</f>
        <v>1998-02-12</v>
      </c>
    </row>
    <row r="3542" spans="1:46">
      <c r="A3542">
        <v>359</v>
      </c>
      <c r="B3542" t="str">
        <f>"000800"</f>
        <v>000800</v>
      </c>
      <c r="C3542" t="s">
        <v>2567</v>
      </c>
      <c r="D3542" t="str">
        <f>[1]!EM_S_INFO_INDEX_EM(B3542,"1")</f>
        <v>交运设备</v>
      </c>
      <c r="E3542" s="4">
        <f t="shared" si="55"/>
        <v>43465</v>
      </c>
      <c r="F3542" s="11">
        <f>[1]!EM_S_PQ_PCTCHANGE(B3542,"2018-01-01","2019-12-31","3")</f>
        <v>-6.7959219500000003</v>
      </c>
      <c r="G3542" s="11"/>
      <c r="H3542" s="11">
        <f>[1]!EM_S_FA_YOY_OR(B3542,E3542)</f>
        <v>-6.5013200612000004</v>
      </c>
      <c r="I3542" s="11">
        <f>[1]!EM_S_FA_GROSSPROFITMARGIN(B3542,E3542)</f>
        <v>20.949763806899998</v>
      </c>
      <c r="J3542" s="11">
        <f>[1]!EM_S_FA_NETPROFITMARGIN(B3542,E3542)</f>
        <v>1.0793639468</v>
      </c>
      <c r="K3542" s="10">
        <f>[1]!EM_S_FA_ASSETSTURN(B3542,E3542)</f>
        <v>1.373532133418</v>
      </c>
      <c r="L3542" s="12">
        <f>[1]!EM_HKS_VAL_MV(B3542,"2019-12-31","2")</f>
        <v>16226175000</v>
      </c>
      <c r="M3542">
        <f>[1]!EM_S_VAL_PETTMDEDUCTED(B3542,E3542)</f>
        <v>309.41243322304302</v>
      </c>
      <c r="N3542" s="7">
        <f>[1]!EM_S_VAL_PBGOODWILLDEDUCTED(B3542,E3542)</f>
        <v>1.3382477547087901</v>
      </c>
      <c r="O3542" s="7">
        <f>[1]!EM_S_VAL_PS_TTM(B3542,E3542)</f>
        <v>0.40649454443931399</v>
      </c>
      <c r="P3542" s="7">
        <f>[1]!EM_S_VAL_PCF_NCFTTM(B3542,E3542)</f>
        <v>-42.164021254393802</v>
      </c>
      <c r="Q3542" s="7">
        <f>[1]!EM_S_VAL_DIVIDENDYIELD2(B3542,E3542,"2019-11-29")</f>
        <v>0.28544243577545197</v>
      </c>
      <c r="T3542"/>
      <c r="U3542">
        <f>[1]!EM_S_RATIO_EPS_TTM(B3542,E3542,"1")</f>
        <v>0.12495349922580645</v>
      </c>
      <c r="AT3542" s="4" t="str">
        <f>[1]!EM_S_IPO_LISTEDDATE(B3542)</f>
        <v>1997-06-18</v>
      </c>
    </row>
    <row r="3543" spans="1:46">
      <c r="A3543">
        <v>361</v>
      </c>
      <c r="B3543" t="str">
        <f>"000802"</f>
        <v>000802</v>
      </c>
      <c r="C3543" t="s">
        <v>2885</v>
      </c>
      <c r="D3543" t="str">
        <f>[1]!EM_S_INFO_INDEX_EM(B3543,"1")</f>
        <v>文化传媒</v>
      </c>
      <c r="E3543" s="4">
        <f t="shared" si="55"/>
        <v>43465</v>
      </c>
      <c r="F3543" s="11">
        <f>[1]!EM_S_PQ_PCTCHANGE(B3543,"2018-01-01","2019-12-31","3")</f>
        <v>-36.175128479999998</v>
      </c>
      <c r="G3543" s="11"/>
      <c r="H3543" s="11">
        <f>[1]!EM_S_FA_YOY_OR(B3543,E3543)</f>
        <v>-8.7774058507999992</v>
      </c>
      <c r="I3543" s="11">
        <f>[1]!EM_S_FA_GROSSPROFITMARGIN(B3543,E3543)</f>
        <v>51.0874705871</v>
      </c>
      <c r="J3543" s="11">
        <f>[1]!EM_S_FA_NETPROFITMARGIN(B3543,E3543)</f>
        <v>26.904530327300002</v>
      </c>
      <c r="K3543" s="10">
        <f>[1]!EM_S_FA_ASSETSTURN(B3543,E3543)</f>
        <v>0.19626409331799999</v>
      </c>
      <c r="L3543" s="12">
        <f>[1]!EM_HKS_VAL_MV(B3543,"2019-12-31","2")</f>
        <v>6650713368.9499998</v>
      </c>
      <c r="M3543">
        <f>[1]!EM_S_VAL_PETTMDEDUCTED(B3543,E3543)</f>
        <v>23.9398755422386</v>
      </c>
      <c r="N3543" s="7">
        <f>[1]!EM_S_VAL_PBGOODWILLDEDUCTED(B3543,E3543)</f>
        <v>2.2636806696170502</v>
      </c>
      <c r="O3543" s="7">
        <f>[1]!EM_S_VAL_PS_TTM(B3543,E3543)</f>
        <v>5.5344984596608198</v>
      </c>
      <c r="P3543" s="7">
        <f>[1]!EM_S_VAL_PCF_NCFTTM(B3543,E3543)</f>
        <v>36.590142778824898</v>
      </c>
      <c r="Q3543" s="7">
        <f>[1]!EM_S_VAL_DIVIDENDYIELD2(B3543,E3543,"2019-11-29")</f>
        <v>0.73891625615763534</v>
      </c>
      <c r="T3543"/>
      <c r="U3543">
        <f>[1]!EM_S_RATIO_EPS_TTM(B3543,E3543,"1")</f>
        <v>0.45511641139169595</v>
      </c>
      <c r="AT3543" s="4" t="str">
        <f>[1]!EM_S_IPO_LISTEDDATE(B3543)</f>
        <v>1998-01-08</v>
      </c>
    </row>
    <row r="3544" spans="1:46">
      <c r="A3544">
        <v>363</v>
      </c>
      <c r="B3544" t="str">
        <f>"000805"</f>
        <v>000805</v>
      </c>
      <c r="C3544" t="s">
        <v>3159</v>
      </c>
      <c r="D3544">
        <f>[1]!EM_S_INFO_INDEX_EM(B3544,"1")</f>
        <v>0</v>
      </c>
      <c r="E3544" s="4">
        <f t="shared" si="55"/>
        <v>43465</v>
      </c>
      <c r="F3544" s="11">
        <f>[1]!EM_S_PQ_PCTCHANGE(B3544,"2018-01-01","2019-12-31","3")</f>
        <v>0</v>
      </c>
      <c r="G3544" s="11"/>
      <c r="H3544" s="11">
        <f>[1]!EM_S_FA_YOY_OR(B3544,E3544)</f>
        <v>0</v>
      </c>
      <c r="I3544" s="11">
        <f>[1]!EM_S_FA_GROSSPROFITMARGIN(B3544,E3544)</f>
        <v>0</v>
      </c>
      <c r="J3544" s="11">
        <f>[1]!EM_S_FA_NETPROFITMARGIN(B3544,E3544)</f>
        <v>0</v>
      </c>
      <c r="K3544" s="10">
        <f>[1]!EM_S_FA_ASSETSTURN(B3544,E3544)</f>
        <v>0</v>
      </c>
      <c r="L3544" s="12">
        <f>[1]!EM_HKS_VAL_MV(B3544,"2019-12-31","2")</f>
        <v>322699723.31999999</v>
      </c>
      <c r="M3544">
        <f>[1]!EM_S_VAL_PETTMDEDUCTED(B3544,E3544)</f>
        <v>35.435129056761298</v>
      </c>
      <c r="N3544" s="7">
        <f>[1]!EM_S_VAL_PBGOODWILLDEDUCTED(B3544,E3544)</f>
        <v>1.0893112080717999</v>
      </c>
      <c r="O3544" s="7">
        <f>[1]!EM_S_VAL_PS_TTM(B3544,E3544)</f>
        <v>1.31525459581847</v>
      </c>
      <c r="P3544" s="7">
        <f>[1]!EM_S_VAL_PCF_NCFTTM(B3544,E3544)</f>
        <v>-5.8976045057131801</v>
      </c>
      <c r="Q3544" s="7">
        <f>[1]!EM_S_VAL_DIVIDENDYIELD2(B3544,E3544,"2019-11-29")</f>
        <v>0</v>
      </c>
      <c r="T3544"/>
      <c r="U3544">
        <f>[1]!EM_S_RATIO_EPS_TTM(B3544,E3544,"1")</f>
        <v>5.2997161838409475E-2</v>
      </c>
      <c r="AT3544" s="4" t="str">
        <f>[1]!EM_S_IPO_LISTEDDATE(B3544)</f>
        <v>1998-05-29</v>
      </c>
    </row>
    <row r="3545" spans="1:46">
      <c r="A3545">
        <v>364</v>
      </c>
      <c r="B3545" t="str">
        <f>"000806"</f>
        <v>000806</v>
      </c>
      <c r="C3545" t="s">
        <v>3372</v>
      </c>
      <c r="D3545" t="str">
        <f>[1]!EM_S_INFO_INDEX_EM(B3545,"1")</f>
        <v>电气设备</v>
      </c>
      <c r="E3545" s="4">
        <f t="shared" si="55"/>
        <v>43465</v>
      </c>
      <c r="F3545" s="11">
        <f>[1]!EM_S_PQ_PCTCHANGE(B3545,"2018-01-01","2019-12-31","3")</f>
        <v>-78.996282530000002</v>
      </c>
      <c r="G3545" s="11"/>
      <c r="H3545" s="11">
        <f>[1]!EM_S_FA_YOY_OR(B3545,E3545)</f>
        <v>-27.202059000599998</v>
      </c>
      <c r="I3545" s="11">
        <f>[1]!EM_S_FA_GROSSPROFITMARGIN(B3545,E3545)</f>
        <v>20.665268650600002</v>
      </c>
      <c r="J3545" s="11">
        <f>[1]!EM_S_FA_NETPROFITMARGIN(B3545,E3545)</f>
        <v>-96.726875565100002</v>
      </c>
      <c r="K3545" s="10">
        <f>[1]!EM_S_FA_ASSETSTURN(B3545,E3545)</f>
        <v>0.26178070279799998</v>
      </c>
      <c r="L3545" s="12">
        <f>[1]!EM_HKS_VAL_MV(B3545,"2019-12-31","2")</f>
        <v>2485800582.1199999</v>
      </c>
      <c r="M3545">
        <f>[1]!EM_S_VAL_PETTMDEDUCTED(B3545,E3545)</f>
        <v>-32.632987007202203</v>
      </c>
      <c r="N3545" s="7">
        <f>[1]!EM_S_VAL_PBGOODWILLDEDUCTED(B3545,E3545)</f>
        <v>3.06936479818292</v>
      </c>
      <c r="O3545" s="7">
        <f>[1]!EM_S_VAL_PS_TTM(B3545,E3545)</f>
        <v>5.2340376343603001</v>
      </c>
      <c r="P3545" s="7">
        <f>[1]!EM_S_VAL_PCF_NCFTTM(B3545,E3545)</f>
        <v>-22.610707159456201</v>
      </c>
      <c r="Q3545" s="7">
        <f>[1]!EM_S_VAL_DIVIDENDYIELD2(B3545,E3545,"2019-11-29")</f>
        <v>0</v>
      </c>
      <c r="T3545"/>
      <c r="U3545">
        <f>[1]!EM_S_RATIO_EPS_TTM(B3545,E3545,"1")</f>
        <v>-0.64183631784819484</v>
      </c>
      <c r="AT3545" s="4" t="str">
        <f>[1]!EM_S_IPO_LISTEDDATE(B3545)</f>
        <v>1998-04-16</v>
      </c>
    </row>
    <row r="3546" spans="1:46">
      <c r="A3546">
        <v>365</v>
      </c>
      <c r="B3546" t="str">
        <f>"000807"</f>
        <v>000807</v>
      </c>
      <c r="C3546" t="s">
        <v>3390</v>
      </c>
      <c r="D3546" t="str">
        <f>[1]!EM_S_INFO_INDEX_EM(B3546,"1")</f>
        <v>有色金属</v>
      </c>
      <c r="E3546" s="4">
        <f t="shared" si="55"/>
        <v>43465</v>
      </c>
      <c r="F3546" s="11">
        <f>[1]!EM_S_PQ_PCTCHANGE(B3546,"2018-01-01","2019-12-31","3")</f>
        <v>-49.259554729999998</v>
      </c>
      <c r="G3546" s="11"/>
      <c r="H3546" s="11">
        <f>[1]!EM_S_FA_YOY_OR(B3546,E3546)</f>
        <v>-1.9909300456000001</v>
      </c>
      <c r="I3546" s="11">
        <f>[1]!EM_S_FA_GROSSPROFITMARGIN(B3546,E3546)</f>
        <v>7.1220917120999996</v>
      </c>
      <c r="J3546" s="11">
        <f>[1]!EM_S_FA_NETPROFITMARGIN(B3546,E3546)</f>
        <v>-8.0485244734000005</v>
      </c>
      <c r="K3546" s="10">
        <f>[1]!EM_S_FA_ASSETSTURN(B3546,E3546)</f>
        <v>0.59100037224799995</v>
      </c>
      <c r="L3546" s="12">
        <f>[1]!EM_HKS_VAL_MV(B3546,"2019-12-31","2")</f>
        <v>13399151416.58</v>
      </c>
      <c r="M3546">
        <f>[1]!EM_S_VAL_PETTMDEDUCTED(B3546,E3546)</f>
        <v>34.001902024237801</v>
      </c>
      <c r="N3546" s="7">
        <f>[1]!EM_S_VAL_PBGOODWILLDEDUCTED(B3546,E3546)</f>
        <v>1.22385675453983</v>
      </c>
      <c r="O3546" s="7">
        <f>[1]!EM_S_VAL_PS_TTM(B3546,E3546)</f>
        <v>0.46767713645903403</v>
      </c>
      <c r="P3546" s="7">
        <f>[1]!EM_S_VAL_PCF_NCFTTM(B3546,E3546)</f>
        <v>-21.2662135886718</v>
      </c>
      <c r="Q3546" s="7">
        <f>[1]!EM_S_VAL_DIVIDENDYIELD2(B3546,E3546,"2019-11-29")</f>
        <v>0</v>
      </c>
      <c r="T3546"/>
      <c r="U3546">
        <f>[1]!EM_S_RATIO_EPS_TTM(B3546,E3546,"1")</f>
        <v>-0.56237425379625416</v>
      </c>
      <c r="AT3546" s="4" t="str">
        <f>[1]!EM_S_IPO_LISTEDDATE(B3546)</f>
        <v>1998-04-08</v>
      </c>
    </row>
    <row r="3547" spans="1:46">
      <c r="A3547">
        <v>372</v>
      </c>
      <c r="B3547" t="str">
        <f>"000816"</f>
        <v>000816</v>
      </c>
      <c r="C3547" t="s">
        <v>3493</v>
      </c>
      <c r="D3547" t="str">
        <f>[1]!EM_S_INFO_INDEX_EM(B3547,"1")</f>
        <v>机械设备</v>
      </c>
      <c r="E3547" s="4">
        <f t="shared" si="55"/>
        <v>43465</v>
      </c>
      <c r="F3547" s="11">
        <f>[1]!EM_S_PQ_PCTCHANGE(B3547,"2018-01-01","2019-12-31","3")</f>
        <v>-53.008505829999997</v>
      </c>
      <c r="G3547" s="11"/>
      <c r="H3547" s="11">
        <f>[1]!EM_S_FA_YOY_OR(B3547,E3547)</f>
        <v>-12.206813010199999</v>
      </c>
      <c r="I3547" s="11">
        <f>[1]!EM_S_FA_GROSSPROFITMARGIN(B3547,E3547)</f>
        <v>12.8898028158</v>
      </c>
      <c r="J3547" s="11">
        <f>[1]!EM_S_FA_NETPROFITMARGIN(B3547,E3547)</f>
        <v>0.15755825239999999</v>
      </c>
      <c r="K3547" s="10">
        <f>[1]!EM_S_FA_ASSETSTURN(B3547,E3547)</f>
        <v>0.26029986701699998</v>
      </c>
      <c r="L3547" s="12">
        <f>[1]!EM_HKS_VAL_MV(B3547,"2019-12-31","2")</f>
        <v>2128204977</v>
      </c>
      <c r="M3547">
        <f>[1]!EM_S_VAL_PETTMDEDUCTED(B3547,E3547)</f>
        <v>-7.4947356637978197</v>
      </c>
      <c r="N3547" s="7">
        <f>[1]!EM_S_VAL_PBGOODWILLDEDUCTED(B3547,E3547)</f>
        <v>0.69694073928881095</v>
      </c>
      <c r="O3547" s="7">
        <f>[1]!EM_S_VAL_PS_TTM(B3547,E3547)</f>
        <v>1.45010921113147</v>
      </c>
      <c r="P3547" s="7">
        <f>[1]!EM_S_VAL_PCF_NCFTTM(B3547,E3547)</f>
        <v>-3.9354854975703</v>
      </c>
      <c r="Q3547" s="7">
        <f>[1]!EM_S_VAL_DIVIDENDYIELD2(B3547,E3547,"2019-11-29")</f>
        <v>0.7142857142857143</v>
      </c>
      <c r="T3547"/>
      <c r="U3547">
        <f>[1]!EM_S_RATIO_EPS_TTM(B3547,E3547,"1")</f>
        <v>2.9012993272405075E-2</v>
      </c>
      <c r="AT3547" s="4" t="str">
        <f>[1]!EM_S_IPO_LISTEDDATE(B3547)</f>
        <v>1997-08-18</v>
      </c>
    </row>
    <row r="3548" spans="1:46">
      <c r="A3548">
        <v>373</v>
      </c>
      <c r="B3548" t="str">
        <f>"000817"</f>
        <v>000817</v>
      </c>
      <c r="C3548" t="s">
        <v>3158</v>
      </c>
      <c r="D3548">
        <f>[1]!EM_S_INFO_INDEX_EM(B3548,"1")</f>
        <v>0</v>
      </c>
      <c r="E3548" s="4">
        <f t="shared" si="55"/>
        <v>43465</v>
      </c>
      <c r="F3548" s="11">
        <f>[1]!EM_S_PQ_PCTCHANGE(B3548,"2018-01-01","2019-12-31","3")</f>
        <v>0</v>
      </c>
      <c r="G3548" s="11"/>
      <c r="H3548" s="11">
        <f>[1]!EM_S_FA_YOY_OR(B3548,E3548)</f>
        <v>0</v>
      </c>
      <c r="I3548" s="11">
        <f>[1]!EM_S_FA_GROSSPROFITMARGIN(B3548,E3548)</f>
        <v>0</v>
      </c>
      <c r="J3548" s="11">
        <f>[1]!EM_S_FA_NETPROFITMARGIN(B3548,E3548)</f>
        <v>0</v>
      </c>
      <c r="K3548" s="10">
        <f>[1]!EM_S_FA_ASSETSTURN(B3548,E3548)</f>
        <v>0</v>
      </c>
      <c r="L3548" s="12">
        <f>[1]!EM_HKS_VAL_MV(B3548,"2019-12-31","2")</f>
        <v>9625000000</v>
      </c>
      <c r="M3548">
        <f>[1]!EM_S_VAL_PETTMDEDUCTED(B3548,E3548)</f>
        <v>12.223072943908299</v>
      </c>
      <c r="N3548" s="7">
        <f>[1]!EM_S_VAL_PBGOODWILLDEDUCTED(B3548,E3548)</f>
        <v>2.96541002831469</v>
      </c>
      <c r="O3548" s="7">
        <f>[1]!EM_S_VAL_PS_TTM(B3548,E3548)</f>
        <v>0</v>
      </c>
      <c r="P3548" s="7">
        <f>[1]!EM_S_VAL_PCF_NCFTTM(B3548,E3548)</f>
        <v>56.768336048950999</v>
      </c>
      <c r="Q3548" s="7">
        <f>[1]!EM_S_VAL_DIVIDENDYIELD2(B3548,E3548,"2019-11-29")</f>
        <v>0</v>
      </c>
      <c r="T3548"/>
      <c r="U3548">
        <f>[1]!EM_S_RATIO_EPS_TTM(B3548,E3548,"1")</f>
        <v>0.56233799119090899</v>
      </c>
      <c r="AT3548" s="4" t="str">
        <f>[1]!EM_S_IPO_LISTEDDATE(B3548)</f>
        <v>1998-05-28</v>
      </c>
    </row>
    <row r="3549" spans="1:46">
      <c r="A3549">
        <v>376</v>
      </c>
      <c r="B3549" t="str">
        <f>"000820"</f>
        <v>000820</v>
      </c>
      <c r="C3549" t="s">
        <v>3632</v>
      </c>
      <c r="D3549" t="str">
        <f>[1]!EM_S_INFO_INDEX_EM(B3549,"1")</f>
        <v>公用事业</v>
      </c>
      <c r="E3549" s="4">
        <f t="shared" si="55"/>
        <v>43465</v>
      </c>
      <c r="F3549" s="11">
        <f>[1]!EM_S_PQ_PCTCHANGE(B3549,"2018-01-01","2019-12-31","3")</f>
        <v>-94.198895030000003</v>
      </c>
      <c r="G3549" s="11"/>
      <c r="H3549" s="11">
        <f>[1]!EM_S_FA_YOY_OR(B3549,E3549)</f>
        <v>-98.823250190099998</v>
      </c>
      <c r="I3549" s="11">
        <f>[1]!EM_S_FA_GROSSPROFITMARGIN(B3549,E3549)</f>
        <v>57.276827953599998</v>
      </c>
      <c r="J3549" s="11">
        <f>[1]!EM_S_FA_NETPROFITMARGIN(B3549,E3549)</f>
        <v>-5432.6068593338996</v>
      </c>
      <c r="K3549" s="10">
        <f>[1]!EM_S_FA_ASSETSTURN(B3549,E3549)</f>
        <v>5.4300301739999999E-3</v>
      </c>
      <c r="L3549" s="12">
        <f>[1]!EM_HKS_VAL_MV(B3549,"2019-12-31","2")</f>
        <v>1070571972.96</v>
      </c>
      <c r="M3549">
        <f>[1]!EM_S_VAL_PETTMDEDUCTED(B3549,E3549)</f>
        <v>-39.0679009308299</v>
      </c>
      <c r="N3549" s="7">
        <f>[1]!EM_S_VAL_PBGOODWILLDEDUCTED(B3549,E3549)</f>
        <v>18.659462043796399</v>
      </c>
      <c r="O3549" s="7">
        <f>[1]!EM_S_VAL_PS_TTM(B3549,E3549)</f>
        <v>7.9187720569023501</v>
      </c>
      <c r="P3549" s="7">
        <f>[1]!EM_S_VAL_PCF_NCFTTM(B3549,E3549)</f>
        <v>-5.9761819027214402</v>
      </c>
      <c r="Q3549" s="7">
        <f>[1]!EM_S_VAL_DIVIDENDYIELD2(B3549,E3549,"2019-11-29")</f>
        <v>0</v>
      </c>
      <c r="T3549"/>
      <c r="U3549">
        <f>[1]!EM_S_RATIO_EPS_TTM(B3549,E3549,"1")</f>
        <v>-1.0993637560612419</v>
      </c>
      <c r="AT3549" s="4" t="str">
        <f>[1]!EM_S_IPO_LISTEDDATE(B3549)</f>
        <v>1998-06-30</v>
      </c>
    </row>
    <row r="3550" spans="1:46">
      <c r="A3550">
        <v>382</v>
      </c>
      <c r="B3550" t="str">
        <f>"000827"</f>
        <v>000827</v>
      </c>
      <c r="C3550" t="s">
        <v>3157</v>
      </c>
      <c r="D3550">
        <f>[1]!EM_S_INFO_INDEX_EM(B3550,"1")</f>
        <v>0</v>
      </c>
      <c r="E3550" s="4">
        <f t="shared" si="55"/>
        <v>43465</v>
      </c>
      <c r="F3550" s="11">
        <f>[1]!EM_S_PQ_PCTCHANGE(B3550,"2018-01-01","2019-12-31","3")</f>
        <v>0</v>
      </c>
      <c r="G3550" s="11"/>
      <c r="H3550" s="11">
        <f>[1]!EM_S_FA_YOY_OR(B3550,E3550)</f>
        <v>0</v>
      </c>
      <c r="I3550" s="11">
        <f>[1]!EM_S_FA_GROSSPROFITMARGIN(B3550,E3550)</f>
        <v>0</v>
      </c>
      <c r="J3550" s="11">
        <f>[1]!EM_S_FA_NETPROFITMARGIN(B3550,E3550)</f>
        <v>0</v>
      </c>
      <c r="K3550" s="10">
        <f>[1]!EM_S_FA_ASSETSTURN(B3550,E3550)</f>
        <v>0</v>
      </c>
      <c r="L3550" s="12">
        <f>[1]!EM_HKS_VAL_MV(B3550,"2019-12-31","2")</f>
        <v>77417472</v>
      </c>
      <c r="M3550">
        <f>[1]!EM_S_VAL_PETTMDEDUCTED(B3550,E3550)</f>
        <v>0</v>
      </c>
      <c r="N3550" s="7">
        <f>[1]!EM_S_VAL_PBGOODWILLDEDUCTED(B3550,E3550)</f>
        <v>-9.5269296597034607</v>
      </c>
      <c r="O3550" s="7">
        <f>[1]!EM_S_VAL_PS_TTM(B3550,E3550)</f>
        <v>61.933977599999999</v>
      </c>
      <c r="P3550" s="7">
        <f>[1]!EM_S_VAL_PCF_NCFTTM(B3550,E3550)</f>
        <v>609.63934111757897</v>
      </c>
      <c r="Q3550" s="7">
        <f>[1]!EM_S_VAL_DIVIDENDYIELD2(B3550,E3550,"2019-11-29")</f>
        <v>0</v>
      </c>
      <c r="T3550"/>
      <c r="U3550">
        <f>[1]!EM_S_RATIO_EPS_TTM(B3550,E3550,"1")</f>
        <v>-0.31124726757288074</v>
      </c>
      <c r="AT3550" s="4" t="str">
        <f>[1]!EM_S_IPO_LISTEDDATE(B3550)</f>
        <v>1998-10-16</v>
      </c>
    </row>
    <row r="3551" spans="1:46">
      <c r="A3551">
        <v>384</v>
      </c>
      <c r="B3551" t="str">
        <f>"000829"</f>
        <v>000829</v>
      </c>
      <c r="C3551" t="s">
        <v>3006</v>
      </c>
      <c r="D3551" t="str">
        <f>[1]!EM_S_INFO_INDEX_EM(B3551,"1")</f>
        <v>商贸零售</v>
      </c>
      <c r="E3551" s="4">
        <f t="shared" si="55"/>
        <v>43465</v>
      </c>
      <c r="F3551" s="11">
        <f>[1]!EM_S_PQ_PCTCHANGE(B3551,"2018-01-01","2019-12-31","3")</f>
        <v>-33.842105580000002</v>
      </c>
      <c r="G3551" s="11"/>
      <c r="H3551" s="11">
        <f>[1]!EM_S_FA_YOY_OR(B3551,E3551)</f>
        <v>7.1632529647999998</v>
      </c>
      <c r="I3551" s="11">
        <f>[1]!EM_S_FA_GROSSPROFITMARGIN(B3551,E3551)</f>
        <v>3.3114646654</v>
      </c>
      <c r="J3551" s="11">
        <f>[1]!EM_S_FA_NETPROFITMARGIN(B3551,E3551)</f>
        <v>-0.54305667909999999</v>
      </c>
      <c r="K3551" s="10">
        <f>[1]!EM_S_FA_ASSETSTURN(B3551,E3551)</f>
        <v>3.1612002255120002</v>
      </c>
      <c r="L3551" s="12">
        <f>[1]!EM_HKS_VAL_MV(B3551,"2019-12-31","2")</f>
        <v>6504030251.7299995</v>
      </c>
      <c r="M3551">
        <f>[1]!EM_S_VAL_PETTMDEDUCTED(B3551,E3551)</f>
        <v>29.274520913788798</v>
      </c>
      <c r="N3551" s="7">
        <f>[1]!EM_S_VAL_PBGOODWILLDEDUCTED(B3551,E3551)</f>
        <v>3.9413282026804701</v>
      </c>
      <c r="O3551" s="7">
        <f>[1]!EM_S_VAL_PS_TTM(B3551,E3551)</f>
        <v>0.13443999493769501</v>
      </c>
      <c r="P3551" s="7">
        <f>[1]!EM_S_VAL_PCF_NCFTTM(B3551,E3551)</f>
        <v>-3.1186628515880801</v>
      </c>
      <c r="Q3551" s="7">
        <f>[1]!EM_S_VAL_DIVIDENDYIELD2(B3551,E3551,"2019-11-29")</f>
        <v>0</v>
      </c>
      <c r="T3551"/>
      <c r="U3551">
        <f>[1]!EM_S_RATIO_EPS_TTM(B3551,E3551,"1")</f>
        <v>-0.22231621952890504</v>
      </c>
      <c r="AT3551" s="4" t="str">
        <f>[1]!EM_S_IPO_LISTEDDATE(B3551)</f>
        <v>1997-12-02</v>
      </c>
    </row>
    <row r="3552" spans="1:46">
      <c r="A3552">
        <v>387</v>
      </c>
      <c r="B3552" t="str">
        <f>"000832"</f>
        <v>000832</v>
      </c>
      <c r="C3552" t="s">
        <v>3156</v>
      </c>
      <c r="D3552">
        <f>[1]!EM_S_INFO_INDEX_EM(B3552,"1")</f>
        <v>0</v>
      </c>
      <c r="E3552" s="4">
        <f t="shared" si="55"/>
        <v>43465</v>
      </c>
      <c r="F3552" s="11">
        <f>[1]!EM_S_PQ_PCTCHANGE(B3552,"2018-01-01","2019-12-31","3")</f>
        <v>0</v>
      </c>
      <c r="G3552" s="11"/>
      <c r="H3552" s="11">
        <f>[1]!EM_S_FA_YOY_OR(B3552,E3552)</f>
        <v>0</v>
      </c>
      <c r="I3552" s="11">
        <f>[1]!EM_S_FA_GROSSPROFITMARGIN(B3552,E3552)</f>
        <v>0</v>
      </c>
      <c r="J3552" s="11">
        <f>[1]!EM_S_FA_NETPROFITMARGIN(B3552,E3552)</f>
        <v>0</v>
      </c>
      <c r="K3552" s="10">
        <f>[1]!EM_S_FA_ASSETSTURN(B3552,E3552)</f>
        <v>0</v>
      </c>
      <c r="L3552" s="12">
        <f>[1]!EM_HKS_VAL_MV(B3552,"2019-12-31","2")</f>
        <v>510501170.85000002</v>
      </c>
      <c r="M3552">
        <f>[1]!EM_S_VAL_PETTMDEDUCTED(B3552,E3552)</f>
        <v>-75.923186365472702</v>
      </c>
      <c r="N3552" s="7">
        <f>[1]!EM_S_VAL_PBGOODWILLDEDUCTED(B3552,E3552)</f>
        <v>-1.1325046690527001</v>
      </c>
      <c r="O3552" s="7">
        <f>[1]!EM_S_VAL_PS_TTM(B3552,E3552)</f>
        <v>1483.9413089913601</v>
      </c>
      <c r="P3552" s="7">
        <f>[1]!EM_S_VAL_PCF_NCFTTM(B3552,E3552)</f>
        <v>0</v>
      </c>
      <c r="Q3552" s="7">
        <f>[1]!EM_S_VAL_DIVIDENDYIELD2(B3552,E3552,"2019-11-29")</f>
        <v>0</v>
      </c>
      <c r="T3552"/>
      <c r="U3552">
        <f>[1]!EM_S_RATIO_EPS_TTM(B3552,E3552,"1")</f>
        <v>-4.1104179085547339E-3</v>
      </c>
      <c r="AT3552" s="4" t="str">
        <f>[1]!EM_S_IPO_LISTEDDATE(B3552)</f>
        <v>1998-08-25</v>
      </c>
    </row>
    <row r="3553" spans="1:46">
      <c r="A3553">
        <v>389</v>
      </c>
      <c r="B3553" t="str">
        <f>"000835"</f>
        <v>000835</v>
      </c>
      <c r="C3553" t="s">
        <v>3592</v>
      </c>
      <c r="D3553" t="str">
        <f>[1]!EM_S_INFO_INDEX_EM(B3553,"1")</f>
        <v>互联网</v>
      </c>
      <c r="E3553" s="4">
        <f t="shared" si="55"/>
        <v>43465</v>
      </c>
      <c r="F3553" s="11">
        <f>[1]!EM_S_PQ_PCTCHANGE(B3553,"2018-01-01","2019-12-31","3")</f>
        <v>-42.028985509999998</v>
      </c>
      <c r="G3553" s="11"/>
      <c r="H3553" s="11">
        <f>[1]!EM_S_FA_YOY_OR(B3553,E3553)</f>
        <v>-74.241467156200002</v>
      </c>
      <c r="I3553" s="11">
        <f>[1]!EM_S_FA_GROSSPROFITMARGIN(B3553,E3553)</f>
        <v>37.1232862592</v>
      </c>
      <c r="J3553" s="11">
        <f>[1]!EM_S_FA_NETPROFITMARGIN(B3553,E3553)</f>
        <v>-598.62931014369997</v>
      </c>
      <c r="K3553" s="10">
        <f>[1]!EM_S_FA_ASSETSTURN(B3553,E3553)</f>
        <v>6.2708552318999994E-2</v>
      </c>
      <c r="L3553" s="12">
        <f>[1]!EM_HKS_VAL_MV(B3553,"2019-12-31","2")</f>
        <v>1568449795.2</v>
      </c>
      <c r="M3553">
        <f>[1]!EM_S_VAL_PETTMDEDUCTED(B3553,E3553)</f>
        <v>-35.107881493340699</v>
      </c>
      <c r="N3553" s="7">
        <f>[1]!EM_S_VAL_PBGOODWILLDEDUCTED(B3553,E3553)</f>
        <v>-5.7399534932153697</v>
      </c>
      <c r="O3553" s="7">
        <f>[1]!EM_S_VAL_PS_TTM(B3553,E3553)</f>
        <v>6.4706883137085303</v>
      </c>
      <c r="P3553" s="7">
        <f>[1]!EM_S_VAL_PCF_NCFTTM(B3553,E3553)</f>
        <v>-22.264790222024899</v>
      </c>
      <c r="Q3553" s="7">
        <f>[1]!EM_S_VAL_DIVIDENDYIELD2(B3553,E3553,"2019-11-29")</f>
        <v>0</v>
      </c>
      <c r="T3553"/>
      <c r="U3553">
        <f>[1]!EM_S_RATIO_EPS_TTM(B3553,E3553,"1")</f>
        <v>-1.3730781929512665</v>
      </c>
      <c r="AT3553" s="4" t="str">
        <f>[1]!EM_S_IPO_LISTEDDATE(B3553)</f>
        <v>1999-06-25</v>
      </c>
    </row>
    <row r="3554" spans="1:46">
      <c r="A3554">
        <v>391</v>
      </c>
      <c r="B3554" t="str">
        <f>"000837"</f>
        <v>000837</v>
      </c>
      <c r="C3554" t="s">
        <v>2994</v>
      </c>
      <c r="D3554" t="str">
        <f>[1]!EM_S_INFO_INDEX_EM(B3554,"1")</f>
        <v>机械设备</v>
      </c>
      <c r="E3554" s="4">
        <f t="shared" si="55"/>
        <v>43465</v>
      </c>
      <c r="F3554" s="11">
        <f>[1]!EM_S_PQ_PCTCHANGE(B3554,"2018-01-01","2019-12-31","3")</f>
        <v>-30.065359480000001</v>
      </c>
      <c r="G3554" s="11"/>
      <c r="H3554" s="11">
        <f>[1]!EM_S_FA_YOY_OR(B3554,E3554)</f>
        <v>6.2787422809000004</v>
      </c>
      <c r="I3554" s="11">
        <f>[1]!EM_S_FA_GROSSPROFITMARGIN(B3554,E3554)</f>
        <v>15.7288026687</v>
      </c>
      <c r="J3554" s="11">
        <f>[1]!EM_S_FA_NETPROFITMARGIN(B3554,E3554)</f>
        <v>-8.7725189929000003</v>
      </c>
      <c r="K3554" s="10">
        <f>[1]!EM_S_FA_ASSETSTURN(B3554,E3554)</f>
        <v>0.35910537965</v>
      </c>
      <c r="L3554" s="12">
        <f>[1]!EM_HKS_VAL_MV(B3554,"2019-12-31","2")</f>
        <v>2967627494.8000002</v>
      </c>
      <c r="M3554">
        <f>[1]!EM_S_VAL_PETTMDEDUCTED(B3554,E3554)</f>
        <v>-33.0404344785373</v>
      </c>
      <c r="N3554" s="7">
        <f>[1]!EM_S_VAL_PBGOODWILLDEDUCTED(B3554,E3554)</f>
        <v>1.06688555348299</v>
      </c>
      <c r="O3554" s="7">
        <f>[1]!EM_S_VAL_PS_TTM(B3554,E3554)</f>
        <v>0.86027061452762399</v>
      </c>
      <c r="P3554" s="7">
        <f>[1]!EM_S_VAL_PCF_NCFTTM(B3554,E3554)</f>
        <v>-6.56333076149678</v>
      </c>
      <c r="Q3554" s="7">
        <f>[1]!EM_S_VAL_DIVIDENDYIELD2(B3554,E3554,"2019-11-29")</f>
        <v>0</v>
      </c>
      <c r="T3554"/>
      <c r="U3554">
        <f>[1]!EM_S_RATIO_EPS_TTM(B3554,E3554,"1")</f>
        <v>-0.40350002275117075</v>
      </c>
      <c r="AT3554" s="4" t="str">
        <f>[1]!EM_S_IPO_LISTEDDATE(B3554)</f>
        <v>1998-09-28</v>
      </c>
    </row>
    <row r="3555" spans="1:46">
      <c r="A3555">
        <v>393</v>
      </c>
      <c r="B3555" t="str">
        <f>"000839"</f>
        <v>000839</v>
      </c>
      <c r="C3555" t="s">
        <v>2560</v>
      </c>
      <c r="D3555" t="str">
        <f>[1]!EM_S_INFO_INDEX_EM(B3555,"1")</f>
        <v>信息技术</v>
      </c>
      <c r="E3555" s="4">
        <f t="shared" si="55"/>
        <v>43465</v>
      </c>
      <c r="F3555" s="11">
        <f>[1]!EM_S_PQ_PCTCHANGE(B3555,"2018-01-01","2019-12-31","3")</f>
        <v>-62.671790649999998</v>
      </c>
      <c r="G3555" s="11"/>
      <c r="H3555" s="11">
        <f>[1]!EM_S_FA_YOY_OR(B3555,E3555)</f>
        <v>-8.8947040028999993</v>
      </c>
      <c r="I3555" s="11">
        <f>[1]!EM_S_FA_GROSSPROFITMARGIN(B3555,E3555)</f>
        <v>12.5787599222</v>
      </c>
      <c r="J3555" s="11">
        <f>[1]!EM_S_FA_NETPROFITMARGIN(B3555,E3555)</f>
        <v>48.2906948543</v>
      </c>
      <c r="K3555" s="10">
        <f>[1]!EM_S_FA_ASSETSTURN(B3555,E3555)</f>
        <v>0.231125872398</v>
      </c>
      <c r="L3555" s="12">
        <f>[1]!EM_HKS_VAL_MV(B3555,"2019-12-31","2")</f>
        <v>13876185286.08</v>
      </c>
      <c r="M3555">
        <f>[1]!EM_S_VAL_PETTMDEDUCTED(B3555,E3555)</f>
        <v>-137.932071006256</v>
      </c>
      <c r="N3555" s="7">
        <f>[1]!EM_S_VAL_PBGOODWILLDEDUCTED(B3555,E3555)</f>
        <v>1.4322912470863201</v>
      </c>
      <c r="O3555" s="7">
        <f>[1]!EM_S_VAL_PS_TTM(B3555,E3555)</f>
        <v>3.1953311066974299</v>
      </c>
      <c r="P3555" s="7">
        <f>[1]!EM_S_VAL_PCF_NCFTTM(B3555,E3555)</f>
        <v>-11.143904112384901</v>
      </c>
      <c r="Q3555" s="7">
        <f>[1]!EM_S_VAL_DIVIDENDYIELD2(B3555,E3555,"2019-11-29")</f>
        <v>0</v>
      </c>
      <c r="T3555"/>
      <c r="U3555">
        <f>[1]!EM_S_RATIO_EPS_TTM(B3555,E3555,"1")</f>
        <v>0.51179709934252726</v>
      </c>
      <c r="AT3555" s="4" t="str">
        <f>[1]!EM_S_IPO_LISTEDDATE(B3555)</f>
        <v>1997-10-31</v>
      </c>
    </row>
    <row r="3556" spans="1:46">
      <c r="A3556">
        <v>402</v>
      </c>
      <c r="B3556" t="str">
        <f>"000861"</f>
        <v>000861</v>
      </c>
      <c r="C3556" t="s">
        <v>2206</v>
      </c>
      <c r="D3556" t="str">
        <f>[1]!EM_S_INFO_INDEX_EM(B3556,"1")</f>
        <v>商贸零售</v>
      </c>
      <c r="E3556" s="4">
        <f t="shared" si="55"/>
        <v>43465</v>
      </c>
      <c r="F3556" s="11">
        <f>[1]!EM_S_PQ_PCTCHANGE(B3556,"2018-01-01","2019-12-31","3")</f>
        <v>-17.30407666</v>
      </c>
      <c r="G3556" s="11"/>
      <c r="H3556" s="11">
        <f>[1]!EM_S_FA_YOY_OR(B3556,E3556)</f>
        <v>-2.1178457844</v>
      </c>
      <c r="I3556" s="11">
        <f>[1]!EM_S_FA_GROSSPROFITMARGIN(B3556,E3556)</f>
        <v>38.552407741099998</v>
      </c>
      <c r="J3556" s="11">
        <f>[1]!EM_S_FA_NETPROFITMARGIN(B3556,E3556)</f>
        <v>7.2263425672999997</v>
      </c>
      <c r="K3556" s="10">
        <f>[1]!EM_S_FA_ASSETSTURN(B3556,E3556)</f>
        <v>0.213690219603</v>
      </c>
      <c r="L3556" s="12">
        <f>[1]!EM_HKS_VAL_MV(B3556,"2019-12-31","2")</f>
        <v>5523625478.9300003</v>
      </c>
      <c r="M3556">
        <f>[1]!EM_S_VAL_PETTMDEDUCTED(B3556,E3556)</f>
        <v>27.1486151711463</v>
      </c>
      <c r="N3556" s="7">
        <f>[1]!EM_S_VAL_PBGOODWILLDEDUCTED(B3556,E3556)</f>
        <v>2.03506853957537</v>
      </c>
      <c r="O3556" s="7">
        <f>[1]!EM_S_VAL_PS_TTM(B3556,E3556)</f>
        <v>1.9411929845398701</v>
      </c>
      <c r="P3556" s="7">
        <f>[1]!EM_S_VAL_PCF_NCFTTM(B3556,E3556)</f>
        <v>-19.393270846276199</v>
      </c>
      <c r="Q3556" s="7">
        <f>[1]!EM_S_VAL_DIVIDENDYIELD2(B3556,E3556,"2019-11-29")</f>
        <v>0.63800374259130099</v>
      </c>
      <c r="T3556"/>
      <c r="U3556">
        <f>[1]!EM_S_RATIO_EPS_TTM(B3556,E3556,"1")</f>
        <v>6.1207498190644576E-2</v>
      </c>
      <c r="AT3556" s="4" t="str">
        <f>[1]!EM_S_IPO_LISTEDDATE(B3556)</f>
        <v>1998-10-28</v>
      </c>
    </row>
    <row r="3557" spans="1:46">
      <c r="A3557">
        <v>404</v>
      </c>
      <c r="B3557" t="str">
        <f>"000863"</f>
        <v>000863</v>
      </c>
      <c r="C3557" t="s">
        <v>3426</v>
      </c>
      <c r="D3557" t="str">
        <f>[1]!EM_S_INFO_INDEX_EM(B3557,"1")</f>
        <v>房地产</v>
      </c>
      <c r="E3557" s="4">
        <f t="shared" si="55"/>
        <v>43465</v>
      </c>
      <c r="F3557" s="11">
        <f>[1]!EM_S_PQ_PCTCHANGE(B3557,"2018-01-01","2019-12-31","3")</f>
        <v>-8.4318331200000003</v>
      </c>
      <c r="G3557" s="11"/>
      <c r="H3557" s="11">
        <f>[1]!EM_S_FA_YOY_OR(B3557,E3557)</f>
        <v>-33.990394944199998</v>
      </c>
      <c r="I3557" s="11">
        <f>[1]!EM_S_FA_GROSSPROFITMARGIN(B3557,E3557)</f>
        <v>40.396939132599996</v>
      </c>
      <c r="J3557" s="11">
        <f>[1]!EM_S_FA_NETPROFITMARGIN(B3557,E3557)</f>
        <v>-30.5345924477</v>
      </c>
      <c r="K3557" s="10">
        <f>[1]!EM_S_FA_ASSETSTURN(B3557,E3557)</f>
        <v>0.12507856969600001</v>
      </c>
      <c r="L3557" s="12">
        <f>[1]!EM_HKS_VAL_MV(B3557,"2019-12-31","2")</f>
        <v>6362697894.7200003</v>
      </c>
      <c r="M3557">
        <f>[1]!EM_S_VAL_PETTMDEDUCTED(B3557,E3557)</f>
        <v>18.5702937585563</v>
      </c>
      <c r="N3557" s="7">
        <f>[1]!EM_S_VAL_PBGOODWILLDEDUCTED(B3557,E3557)</f>
        <v>0.99271470542080698</v>
      </c>
      <c r="O3557" s="7">
        <f>[1]!EM_S_VAL_PS_TTM(B3557,E3557)</f>
        <v>1.8844878649455199</v>
      </c>
      <c r="P3557" s="7">
        <f>[1]!EM_S_VAL_PCF_NCFTTM(B3557,E3557)</f>
        <v>-9.4043516046408797</v>
      </c>
      <c r="Q3557" s="7">
        <f>[1]!EM_S_VAL_DIVIDENDYIELD2(B3557,E3557,"2019-11-29")</f>
        <v>0</v>
      </c>
      <c r="T3557"/>
      <c r="U3557">
        <f>[1]!EM_S_RATIO_EPS_TTM(B3557,E3557,"1")</f>
        <v>-0.33227459830120332</v>
      </c>
      <c r="AT3557" s="4" t="str">
        <f>[1]!EM_S_IPO_LISTEDDATE(B3557)</f>
        <v>1997-09-25</v>
      </c>
    </row>
    <row r="3558" spans="1:46">
      <c r="A3558">
        <v>405</v>
      </c>
      <c r="B3558" t="str">
        <f>"000866"</f>
        <v>000866</v>
      </c>
      <c r="C3558" t="s">
        <v>3155</v>
      </c>
      <c r="D3558">
        <f>[1]!EM_S_INFO_INDEX_EM(B3558,"1")</f>
        <v>0</v>
      </c>
      <c r="E3558" s="4">
        <f t="shared" si="55"/>
        <v>43465</v>
      </c>
      <c r="F3558" s="11">
        <f>[1]!EM_S_PQ_PCTCHANGE(B3558,"2018-01-01","2019-12-31","3")</f>
        <v>0</v>
      </c>
      <c r="G3558" s="11"/>
      <c r="H3558" s="11">
        <f>[1]!EM_S_FA_YOY_OR(B3558,E3558)</f>
        <v>0</v>
      </c>
      <c r="I3558" s="11">
        <f>[1]!EM_S_FA_GROSSPROFITMARGIN(B3558,E3558)</f>
        <v>0</v>
      </c>
      <c r="J3558" s="11">
        <f>[1]!EM_S_FA_NETPROFITMARGIN(B3558,E3558)</f>
        <v>0</v>
      </c>
      <c r="K3558" s="10">
        <f>[1]!EM_S_FA_ASSETSTURN(B3558,E3558)</f>
        <v>0</v>
      </c>
      <c r="L3558" s="12">
        <f>[1]!EM_HKS_VAL_MV(B3558,"2019-12-31","2")</f>
        <v>32247200000</v>
      </c>
      <c r="M3558">
        <f>[1]!EM_S_VAL_PETTMDEDUCTED(B3558,E3558)</f>
        <v>16.9068534394948</v>
      </c>
      <c r="N3558" s="7">
        <f>[1]!EM_S_VAL_PBGOODWILLDEDUCTED(B3558,E3558)</f>
        <v>2.2591591503755102</v>
      </c>
      <c r="O3558" s="7">
        <f>[1]!EM_S_VAL_PS_TTM(B3558,E3558)</f>
        <v>0</v>
      </c>
      <c r="P3558" s="7">
        <f>[1]!EM_S_VAL_PCF_NCFTTM(B3558,E3558)</f>
        <v>-44.472543374706802</v>
      </c>
      <c r="Q3558" s="7">
        <f>[1]!EM_S_VAL_DIVIDENDYIELD2(B3558,E3558,"2019-11-29")</f>
        <v>0</v>
      </c>
      <c r="T3558"/>
      <c r="U3558">
        <f>[1]!EM_S_RATIO_EPS_TTM(B3558,E3558,"1")</f>
        <v>1.5109034797038627</v>
      </c>
      <c r="AT3558" s="4" t="str">
        <f>[1]!EM_S_IPO_LISTEDDATE(B3558)</f>
        <v>1998-05-12</v>
      </c>
    </row>
    <row r="3559" spans="1:46">
      <c r="A3559">
        <v>406</v>
      </c>
      <c r="B3559" t="str">
        <f>"000868"</f>
        <v>000868</v>
      </c>
      <c r="C3559" t="s">
        <v>3640</v>
      </c>
      <c r="D3559" t="str">
        <f>[1]!EM_S_INFO_INDEX_EM(B3559,"1")</f>
        <v>交运设备</v>
      </c>
      <c r="E3559" s="4">
        <f t="shared" si="55"/>
        <v>43465</v>
      </c>
      <c r="F3559" s="11">
        <f>[1]!EM_S_PQ_PCTCHANGE(B3559,"2018-01-01","2019-12-31","3")</f>
        <v>-35.57692308</v>
      </c>
      <c r="G3559" s="11"/>
      <c r="H3559" s="11">
        <f>[1]!EM_S_FA_YOY_OR(B3559,E3559)</f>
        <v>-42.249082820600002</v>
      </c>
      <c r="I3559" s="11">
        <f>[1]!EM_S_FA_GROSSPROFITMARGIN(B3559,E3559)</f>
        <v>4.7191288455000002</v>
      </c>
      <c r="J3559" s="11">
        <f>[1]!EM_S_FA_NETPROFITMARGIN(B3559,E3559)</f>
        <v>-27.828557343</v>
      </c>
      <c r="K3559" s="10">
        <f>[1]!EM_S_FA_ASSETSTURN(B3559,E3559)</f>
        <v>0.41651085386600001</v>
      </c>
      <c r="L3559" s="12">
        <f>[1]!EM_HKS_VAL_MV(B3559,"2019-12-31","2")</f>
        <v>3930644340.48</v>
      </c>
      <c r="M3559">
        <f>[1]!EM_S_VAL_PETTMDEDUCTED(B3559,E3559)</f>
        <v>-6.2833104099078998</v>
      </c>
      <c r="N3559" s="7">
        <f>[1]!EM_S_VAL_PBGOODWILLDEDUCTED(B3559,E3559)</f>
        <v>7.0150175513859798</v>
      </c>
      <c r="O3559" s="7">
        <f>[1]!EM_S_VAL_PS_TTM(B3559,E3559)</f>
        <v>0.635316918493675</v>
      </c>
      <c r="P3559" s="7">
        <f>[1]!EM_S_VAL_PCF_NCFTTM(B3559,E3559)</f>
        <v>26.075633244802699</v>
      </c>
      <c r="Q3559" s="7">
        <f>[1]!EM_S_VAL_DIVIDENDYIELD2(B3559,E3559,"2019-11-29")</f>
        <v>0</v>
      </c>
      <c r="T3559"/>
      <c r="U3559">
        <f>[1]!EM_S_RATIO_EPS_TTM(B3559,E3559,"1")</f>
        <v>-1.2181968541444952</v>
      </c>
      <c r="AT3559" s="4" t="str">
        <f>[1]!EM_S_IPO_LISTEDDATE(B3559)</f>
        <v>1997-07-25</v>
      </c>
    </row>
    <row r="3560" spans="1:46">
      <c r="A3560">
        <v>411</v>
      </c>
      <c r="B3560" t="str">
        <f>"000878"</f>
        <v>000878</v>
      </c>
      <c r="C3560" t="s">
        <v>1389</v>
      </c>
      <c r="D3560" t="str">
        <f>[1]!EM_S_INFO_INDEX_EM(B3560,"1")</f>
        <v>有色金属</v>
      </c>
      <c r="E3560" s="4">
        <f t="shared" si="55"/>
        <v>43465</v>
      </c>
      <c r="F3560" s="11">
        <f>[1]!EM_S_PQ_PCTCHANGE(B3560,"2018-01-01","2019-12-31","3")</f>
        <v>-3.73502467</v>
      </c>
      <c r="G3560" s="11"/>
      <c r="H3560" s="11">
        <f>[1]!EM_S_FA_YOY_OR(B3560,E3560)</f>
        <v>-16.798674096399999</v>
      </c>
      <c r="I3560" s="11">
        <f>[1]!EM_S_FA_GROSSPROFITMARGIN(B3560,E3560)</f>
        <v>7.6334197607999998</v>
      </c>
      <c r="J3560" s="11">
        <f>[1]!EM_S_FA_NETPROFITMARGIN(B3560,E3560)</f>
        <v>0.84702552190000002</v>
      </c>
      <c r="K3560" s="10">
        <f>[1]!EM_S_FA_ASSETSTURN(B3560,E3560)</f>
        <v>1.479442662364</v>
      </c>
      <c r="L3560" s="12">
        <f>[1]!EM_HKS_VAL_MV(B3560,"2019-12-31","2")</f>
        <v>23217609129.599998</v>
      </c>
      <c r="M3560">
        <f>[1]!EM_S_VAL_PETTMDEDUCTED(B3560,E3560)</f>
        <v>28.675318931174001</v>
      </c>
      <c r="N3560" s="7">
        <f>[1]!EM_S_VAL_PBGOODWILLDEDUCTED(B3560,E3560)</f>
        <v>1.46018792201056</v>
      </c>
      <c r="O3560" s="7">
        <f>[1]!EM_S_VAL_PS_TTM(B3560,E3560)</f>
        <v>0.26116689125961601</v>
      </c>
      <c r="P3560" s="7">
        <f>[1]!EM_S_VAL_PCF_NCFTTM(B3560,E3560)</f>
        <v>-29.4726302850313</v>
      </c>
      <c r="Q3560" s="7">
        <f>[1]!EM_S_VAL_DIVIDENDYIELD2(B3560,E3560,"2019-11-29")</f>
        <v>0</v>
      </c>
      <c r="T3560"/>
      <c r="U3560">
        <f>[1]!EM_S_RATIO_EPS_TTM(B3560,E3560,"1")</f>
        <v>7.3407975270335823E-2</v>
      </c>
      <c r="AT3560" s="4" t="str">
        <f>[1]!EM_S_IPO_LISTEDDATE(B3560)</f>
        <v>1998-06-02</v>
      </c>
    </row>
    <row r="3561" spans="1:46">
      <c r="A3561">
        <v>416</v>
      </c>
      <c r="B3561" t="str">
        <f>"000885"</f>
        <v>000885</v>
      </c>
      <c r="C3561" t="s">
        <v>169</v>
      </c>
      <c r="D3561" t="str">
        <f>[1]!EM_S_INFO_INDEX_EM(B3561,"1")</f>
        <v>交通运输</v>
      </c>
      <c r="E3561" s="4">
        <f t="shared" si="55"/>
        <v>43465</v>
      </c>
      <c r="F3561" s="11">
        <f>[1]!EM_S_PQ_PCTCHANGE(B3561,"2018-01-01","2019-12-31","3")</f>
        <v>-27.328942430000001</v>
      </c>
      <c r="G3561" s="11"/>
      <c r="H3561" s="11">
        <f>[1]!EM_S_FA_YOY_OR(B3561,E3561)</f>
        <v>-57.036765644500001</v>
      </c>
      <c r="I3561" s="11">
        <f>[1]!EM_S_FA_GROSSPROFITMARGIN(B3561,E3561)</f>
        <v>59.5904308052</v>
      </c>
      <c r="J3561" s="11">
        <f>[1]!EM_S_FA_NETPROFITMARGIN(B3561,E3561)</f>
        <v>29.057319522899999</v>
      </c>
      <c r="K3561" s="10">
        <f>[1]!EM_S_FA_ASSETSTURN(B3561,E3561)</f>
        <v>0.24993029770299999</v>
      </c>
      <c r="L3561" s="12">
        <f>[1]!EM_HKS_VAL_MV(B3561,"2019-12-31","2")</f>
        <v>5455237993.1700001</v>
      </c>
      <c r="M3561">
        <f>[1]!EM_S_VAL_PETTMDEDUCTED(B3561,E3561)</f>
        <v>7.5078618265939596</v>
      </c>
      <c r="N3561" s="7">
        <f>[1]!EM_S_VAL_PBGOODWILLDEDUCTED(B3561,E3561)</f>
        <v>1.43167509601691</v>
      </c>
      <c r="O3561" s="7">
        <f>[1]!EM_S_VAL_PS_TTM(B3561,E3561)</f>
        <v>1.52898898470581</v>
      </c>
      <c r="P3561" s="7">
        <f>[1]!EM_S_VAL_PCF_NCFTTM(B3561,E3561)</f>
        <v>19.277772833644299</v>
      </c>
      <c r="Q3561" s="7">
        <f>[1]!EM_S_VAL_DIVIDENDYIELD2(B3561,E3561,"2019-11-29")</f>
        <v>2.2526934378060721</v>
      </c>
      <c r="T3561"/>
      <c r="U3561">
        <f>[1]!EM_S_RATIO_EPS_TTM(B3561,E3561,"1")</f>
        <v>1.1734794589432147</v>
      </c>
      <c r="AT3561" s="4" t="str">
        <f>[1]!EM_S_IPO_LISTEDDATE(B3561)</f>
        <v>1999-03-19</v>
      </c>
    </row>
    <row r="3562" spans="1:46">
      <c r="A3562">
        <v>417</v>
      </c>
      <c r="B3562" t="str">
        <f>"000886"</f>
        <v>000886</v>
      </c>
      <c r="C3562" t="s">
        <v>1966</v>
      </c>
      <c r="D3562" t="str">
        <f>[1]!EM_S_INFO_INDEX_EM(B3562,"1")</f>
        <v>房地产</v>
      </c>
      <c r="E3562" s="4">
        <f t="shared" si="55"/>
        <v>43465</v>
      </c>
      <c r="F3562" s="11">
        <f>[1]!EM_S_PQ_PCTCHANGE(B3562,"2018-01-01","2019-12-31","3")</f>
        <v>-42.610704779999999</v>
      </c>
      <c r="G3562" s="11"/>
      <c r="H3562" s="11">
        <f>[1]!EM_S_FA_YOY_OR(B3562,E3562)</f>
        <v>-20.813710290100001</v>
      </c>
      <c r="I3562" s="11">
        <f>[1]!EM_S_FA_GROSSPROFITMARGIN(B3562,E3562)</f>
        <v>59.191286854399998</v>
      </c>
      <c r="J3562" s="11">
        <f>[1]!EM_S_FA_NETPROFITMARGIN(B3562,E3562)</f>
        <v>35.960154262800003</v>
      </c>
      <c r="K3562" s="10">
        <f>[1]!EM_S_FA_ASSETSTURN(B3562,E3562)</f>
        <v>0.14300164968599999</v>
      </c>
      <c r="L3562" s="12">
        <f>[1]!EM_HKS_VAL_MV(B3562,"2019-12-31","2")</f>
        <v>4113525728</v>
      </c>
      <c r="M3562">
        <f>[1]!EM_S_VAL_PETTMDEDUCTED(B3562,E3562)</f>
        <v>86.967975901574604</v>
      </c>
      <c r="N3562" s="7">
        <f>[1]!EM_S_VAL_PBGOODWILLDEDUCTED(B3562,E3562)</f>
        <v>1.3363056395754001</v>
      </c>
      <c r="O3562" s="7">
        <f>[1]!EM_S_VAL_PS_TTM(B3562,E3562)</f>
        <v>7.1134934496887796</v>
      </c>
      <c r="P3562" s="7">
        <f>[1]!EM_S_VAL_PCF_NCFTTM(B3562,E3562)</f>
        <v>6.4735046458262602</v>
      </c>
      <c r="Q3562" s="7">
        <f>[1]!EM_S_VAL_DIVIDENDYIELD2(B3562,E3562,"2019-11-29")</f>
        <v>1.400560224089636</v>
      </c>
      <c r="T3562"/>
      <c r="U3562">
        <f>[1]!EM_S_RATIO_EPS_TTM(B3562,E3562,"1")</f>
        <v>0.16795983083210705</v>
      </c>
      <c r="AT3562" s="4" t="str">
        <f>[1]!EM_S_IPO_LISTEDDATE(B3562)</f>
        <v>1998-01-23</v>
      </c>
    </row>
    <row r="3563" spans="1:46">
      <c r="A3563">
        <v>419</v>
      </c>
      <c r="B3563" t="str">
        <f>"000888"</f>
        <v>000888</v>
      </c>
      <c r="C3563" t="s">
        <v>2404</v>
      </c>
      <c r="D3563" t="str">
        <f>[1]!EM_S_INFO_INDEX_EM(B3563,"1")</f>
        <v>休闲、生活及专业服务</v>
      </c>
      <c r="E3563" s="4">
        <f t="shared" si="55"/>
        <v>43465</v>
      </c>
      <c r="F3563" s="11">
        <f>[1]!EM_S_PQ_PCTCHANGE(B3563,"2018-01-01","2019-12-31","3")</f>
        <v>-37.412720909999997</v>
      </c>
      <c r="G3563" s="11"/>
      <c r="H3563" s="11">
        <f>[1]!EM_S_FA_YOY_OR(B3563,E3563)</f>
        <v>-0.61512577150000003</v>
      </c>
      <c r="I3563" s="11">
        <f>[1]!EM_S_FA_GROSSPROFITMARGIN(B3563,E3563)</f>
        <v>42.577565807900001</v>
      </c>
      <c r="J3563" s="11">
        <f>[1]!EM_S_FA_NETPROFITMARGIN(B3563,E3563)</f>
        <v>19.471160094399998</v>
      </c>
      <c r="K3563" s="10">
        <f>[1]!EM_S_FA_ASSETSTURN(B3563,E3563)</f>
        <v>0.38474968492200001</v>
      </c>
      <c r="L3563" s="12">
        <f>[1]!EM_HKS_VAL_MV(B3563,"2019-12-31","2")</f>
        <v>3456549949.1199999</v>
      </c>
      <c r="M3563">
        <f>[1]!EM_S_VAL_PETTMDEDUCTED(B3563,E3563)</f>
        <v>14.001228834041999</v>
      </c>
      <c r="N3563" s="7">
        <f>[1]!EM_S_VAL_PBGOODWILLDEDUCTED(B3563,E3563)</f>
        <v>1.2626760756911599</v>
      </c>
      <c r="O3563" s="7">
        <f>[1]!EM_S_VAL_PS_TTM(B3563,E3563)</f>
        <v>2.79395087608507</v>
      </c>
      <c r="P3563" s="7">
        <f>[1]!EM_S_VAL_PCF_NCFTTM(B3563,E3563)</f>
        <v>16.622336226273099</v>
      </c>
      <c r="Q3563" s="7">
        <f>[1]!EM_S_VAL_DIVIDENDYIELD2(B3563,E3563,"2019-11-29")</f>
        <v>1.6</v>
      </c>
      <c r="T3563"/>
      <c r="U3563">
        <f>[1]!EM_S_RATIO_EPS_TTM(B3563,E3563,"1")</f>
        <v>0.39709975672611003</v>
      </c>
      <c r="AT3563" s="4" t="str">
        <f>[1]!EM_S_IPO_LISTEDDATE(B3563)</f>
        <v>1997-10-21</v>
      </c>
    </row>
    <row r="3564" spans="1:46">
      <c r="A3564">
        <v>421</v>
      </c>
      <c r="B3564" t="str">
        <f>"000890"</f>
        <v>000890</v>
      </c>
      <c r="C3564" t="s">
        <v>2522</v>
      </c>
      <c r="D3564" t="str">
        <f>[1]!EM_S_INFO_INDEX_EM(B3564,"1")</f>
        <v>机械设备</v>
      </c>
      <c r="E3564" s="4">
        <f t="shared" si="55"/>
        <v>43465</v>
      </c>
      <c r="F3564" s="11">
        <f>[1]!EM_S_PQ_PCTCHANGE(B3564,"2018-01-01","2019-12-31","3")</f>
        <v>-17.469879519999999</v>
      </c>
      <c r="G3564" s="11"/>
      <c r="H3564" s="11">
        <f>[1]!EM_S_FA_YOY_OR(B3564,E3564)</f>
        <v>-15.277515985200001</v>
      </c>
      <c r="I3564" s="11">
        <f>[1]!EM_S_FA_GROSSPROFITMARGIN(B3564,E3564)</f>
        <v>12.7791684738</v>
      </c>
      <c r="J3564" s="11">
        <f>[1]!EM_S_FA_NETPROFITMARGIN(B3564,E3564)</f>
        <v>-8.5524674116000003</v>
      </c>
      <c r="K3564" s="10">
        <f>[1]!EM_S_FA_ASSETSTURN(B3564,E3564)</f>
        <v>0.197409893073</v>
      </c>
      <c r="L3564" s="12">
        <f>[1]!EM_HKS_VAL_MV(B3564,"2019-12-31","2")</f>
        <v>2080435968</v>
      </c>
      <c r="M3564">
        <f>[1]!EM_S_VAL_PETTMDEDUCTED(B3564,E3564)</f>
        <v>17.982634705667</v>
      </c>
      <c r="N3564" s="7">
        <f>[1]!EM_S_VAL_PBGOODWILLDEDUCTED(B3564,E3564)</f>
        <v>2.9231716268991201</v>
      </c>
      <c r="O3564" s="7">
        <f>[1]!EM_S_VAL_PS_TTM(B3564,E3564)</f>
        <v>1.0119476554064999</v>
      </c>
      <c r="P3564" s="7">
        <f>[1]!EM_S_VAL_PCF_NCFTTM(B3564,E3564)</f>
        <v>-1.78782739104693</v>
      </c>
      <c r="Q3564" s="7">
        <f>[1]!EM_S_VAL_DIVIDENDYIELD2(B3564,E3564,"2019-11-29")</f>
        <v>0</v>
      </c>
      <c r="T3564"/>
      <c r="U3564">
        <f>[1]!EM_S_RATIO_EPS_TTM(B3564,E3564,"1")</f>
        <v>-0.38254112829047182</v>
      </c>
      <c r="AT3564" s="4" t="str">
        <f>[1]!EM_S_IPO_LISTEDDATE(B3564)</f>
        <v>1999-01-19</v>
      </c>
    </row>
    <row r="3565" spans="1:46">
      <c r="A3565">
        <v>422</v>
      </c>
      <c r="B3565" t="str">
        <f>"000892"</f>
        <v>000892</v>
      </c>
      <c r="C3565" t="s">
        <v>2883</v>
      </c>
      <c r="D3565" t="str">
        <f>[1]!EM_S_INFO_INDEX_EM(B3565,"1")</f>
        <v>文化传媒</v>
      </c>
      <c r="E3565" s="4">
        <f t="shared" si="55"/>
        <v>43465</v>
      </c>
      <c r="F3565" s="11">
        <f>[1]!EM_S_PQ_PCTCHANGE(B3565,"2018-01-01","2019-12-31","3")</f>
        <v>-35.60411311</v>
      </c>
      <c r="G3565" s="11"/>
      <c r="H3565" s="11">
        <f>[1]!EM_S_FA_YOY_OR(B3565,E3565)</f>
        <v>-15.233856281</v>
      </c>
      <c r="I3565" s="11">
        <f>[1]!EM_S_FA_GROSSPROFITMARGIN(B3565,E3565)</f>
        <v>58.657547769300002</v>
      </c>
      <c r="J3565" s="11">
        <f>[1]!EM_S_FA_NETPROFITMARGIN(B3565,E3565)</f>
        <v>24.335250498699999</v>
      </c>
      <c r="K3565" s="10">
        <f>[1]!EM_S_FA_ASSETSTURN(B3565,E3565)</f>
        <v>0.29466018280299999</v>
      </c>
      <c r="L3565" s="12">
        <f>[1]!EM_HKS_VAL_MV(B3565,"2019-12-31","2")</f>
        <v>4914712169.7299995</v>
      </c>
      <c r="M3565">
        <f>[1]!EM_S_VAL_PETTMDEDUCTED(B3565,E3565)</f>
        <v>7.8371043211059304</v>
      </c>
      <c r="N3565" s="7">
        <f>[1]!EM_S_VAL_PBGOODWILLDEDUCTED(B3565,E3565)</f>
        <v>1.35483396401223</v>
      </c>
      <c r="O3565" s="7">
        <f>[1]!EM_S_VAL_PS_TTM(B3565,E3565)</f>
        <v>2.8085361298251601</v>
      </c>
      <c r="P3565" s="7">
        <f>[1]!EM_S_VAL_PCF_NCFTTM(B3565,E3565)</f>
        <v>-497.351376892144</v>
      </c>
      <c r="Q3565" s="7">
        <f>[1]!EM_S_VAL_DIVIDENDYIELD2(B3565,E3565,"2019-11-29")</f>
        <v>0</v>
      </c>
      <c r="T3565"/>
      <c r="U3565">
        <f>[1]!EM_S_RATIO_EPS_TTM(B3565,E3565,"1")</f>
        <v>0.33091031381824459</v>
      </c>
      <c r="AT3565" s="4" t="str">
        <f>[1]!EM_S_IPO_LISTEDDATE(B3565)</f>
        <v>1999-01-15</v>
      </c>
    </row>
    <row r="3566" spans="1:46">
      <c r="A3566">
        <v>423</v>
      </c>
      <c r="B3566" t="str">
        <f>"000893"</f>
        <v>000893</v>
      </c>
      <c r="C3566" t="s">
        <v>3255</v>
      </c>
      <c r="D3566" t="str">
        <f>[1]!EM_S_INFO_INDEX_EM(B3566,"1")</f>
        <v>基础化工</v>
      </c>
      <c r="E3566" s="4">
        <f t="shared" si="55"/>
        <v>43465</v>
      </c>
      <c r="F3566" s="11">
        <f>[1]!EM_S_PQ_PCTCHANGE(B3566,"2018-01-01","2019-12-31","3")</f>
        <v>-36</v>
      </c>
      <c r="G3566" s="11"/>
      <c r="H3566" s="11">
        <f>[1]!EM_S_FA_YOY_OR(B3566,E3566)</f>
        <v>-72.585532673000003</v>
      </c>
      <c r="I3566" s="11">
        <f>[1]!EM_S_FA_GROSSPROFITMARGIN(B3566,E3566)</f>
        <v>35.611751937299999</v>
      </c>
      <c r="J3566" s="11">
        <f>[1]!EM_S_FA_NETPROFITMARGIN(B3566,E3566)</f>
        <v>-0.30004237610000001</v>
      </c>
      <c r="K3566" s="10">
        <f>[1]!EM_S_FA_ASSETSTURN(B3566,E3566)</f>
        <v>9.9542532786000004E-2</v>
      </c>
      <c r="L3566" s="12">
        <f>[1]!EM_HKS_VAL_MV(B3566,"2019-12-31","2")</f>
        <v>4601971893.7600002</v>
      </c>
      <c r="M3566">
        <f>[1]!EM_S_VAL_PETTMDEDUCTED(B3566,E3566)</f>
        <v>-4.8427249237356396</v>
      </c>
      <c r="N3566" s="7">
        <f>[1]!EM_S_VAL_PBGOODWILLDEDUCTED(B3566,E3566)</f>
        <v>0.90307536040008896</v>
      </c>
      <c r="O3566" s="7">
        <f>[1]!EM_S_VAL_PS_TTM(B3566,E3566)</f>
        <v>3.1972201169342802</v>
      </c>
      <c r="P3566" s="7">
        <f>[1]!EM_S_VAL_PCF_NCFTTM(B3566,E3566)</f>
        <v>-192.32774502218399</v>
      </c>
      <c r="Q3566" s="7">
        <f>[1]!EM_S_VAL_DIVIDENDYIELD2(B3566,E3566,"2019-11-29")</f>
        <v>0</v>
      </c>
      <c r="T3566"/>
      <c r="U3566">
        <f>[1]!EM_S_RATIO_EPS_TTM(B3566,E3566,"1")</f>
        <v>5.2885786309561627E-3</v>
      </c>
      <c r="AT3566" s="4" t="str">
        <f>[1]!EM_S_IPO_LISTEDDATE(B3566)</f>
        <v>1998-12-24</v>
      </c>
    </row>
    <row r="3567" spans="1:46">
      <c r="A3567">
        <v>424</v>
      </c>
      <c r="B3567" t="str">
        <f>"000895"</f>
        <v>000895</v>
      </c>
      <c r="C3567" t="s">
        <v>155</v>
      </c>
      <c r="D3567" t="str">
        <f>[1]!EM_S_INFO_INDEX_EM(B3567,"1")</f>
        <v>食品饮料</v>
      </c>
      <c r="E3567" s="4">
        <f t="shared" si="55"/>
        <v>43465</v>
      </c>
      <c r="F3567" s="11">
        <f>[1]!EM_S_PQ_PCTCHANGE(B3567,"2018-01-01","2019-12-31","3")</f>
        <v>21.369533310000001</v>
      </c>
      <c r="G3567" s="11"/>
      <c r="H3567" s="11">
        <f>[1]!EM_S_FA_YOY_OR(B3567,E3567)</f>
        <v>-3.3234130135000002</v>
      </c>
      <c r="I3567" s="11">
        <f>[1]!EM_S_FA_GROSSPROFITMARGIN(B3567,E3567)</f>
        <v>21.415449044799999</v>
      </c>
      <c r="J3567" s="11">
        <f>[1]!EM_S_FA_NETPROFITMARGIN(B3567,E3567)</f>
        <v>10.4094209965</v>
      </c>
      <c r="K3567" s="10">
        <f>[1]!EM_S_FA_ASSETSTURN(B3567,E3567)</f>
        <v>2.1538351111699998</v>
      </c>
      <c r="L3567" s="12">
        <f>[1]!EM_HKS_VAL_MV(B3567,"2019-12-31","2")</f>
        <v>96358761975.699997</v>
      </c>
      <c r="M3567">
        <f>[1]!EM_S_VAL_PETTMDEDUCTED(B3567,E3567)</f>
        <v>17.512200130302698</v>
      </c>
      <c r="N3567" s="7">
        <f>[1]!EM_S_VAL_PBGOODWILLDEDUCTED(B3567,E3567)</f>
        <v>5.9993621076621499</v>
      </c>
      <c r="O3567" s="7">
        <f>[1]!EM_S_VAL_PS_TTM(B3567,E3567)</f>
        <v>1.55995540524082</v>
      </c>
      <c r="P3567" s="7">
        <f>[1]!EM_S_VAL_PCF_NCFTTM(B3567,E3567)</f>
        <v>-69.320928165539001</v>
      </c>
      <c r="Q3567" s="7">
        <f>[1]!EM_S_VAL_DIVIDENDYIELD2(B3567,E3567,"2019-11-29")</f>
        <v>1.7642200027002168</v>
      </c>
      <c r="T3567"/>
      <c r="U3567">
        <f>[1]!EM_S_RATIO_EPS_TTM(B3567,E3567,"1")</f>
        <v>1.4894421572672545</v>
      </c>
      <c r="AT3567" s="4" t="str">
        <f>[1]!EM_S_IPO_LISTEDDATE(B3567)</f>
        <v>1998-12-10</v>
      </c>
    </row>
    <row r="3568" spans="1:46">
      <c r="A3568">
        <v>425</v>
      </c>
      <c r="B3568" t="str">
        <f>"000897"</f>
        <v>000897</v>
      </c>
      <c r="C3568" t="s">
        <v>3359</v>
      </c>
      <c r="D3568" t="str">
        <f>[1]!EM_S_INFO_INDEX_EM(B3568,"1")</f>
        <v>房地产</v>
      </c>
      <c r="E3568" s="4">
        <f t="shared" si="55"/>
        <v>43465</v>
      </c>
      <c r="F3568" s="11">
        <f>[1]!EM_S_PQ_PCTCHANGE(B3568,"2018-01-01","2019-12-31","3")</f>
        <v>-37.869822489999997</v>
      </c>
      <c r="G3568" s="11"/>
      <c r="H3568" s="11">
        <f>[1]!EM_S_FA_YOY_OR(B3568,E3568)</f>
        <v>-84.144835700399994</v>
      </c>
      <c r="I3568" s="11">
        <f>[1]!EM_S_FA_GROSSPROFITMARGIN(B3568,E3568)</f>
        <v>25.272652620599999</v>
      </c>
      <c r="J3568" s="11">
        <f>[1]!EM_S_FA_NETPROFITMARGIN(B3568,E3568)</f>
        <v>-96.522900029300004</v>
      </c>
      <c r="K3568" s="10">
        <f>[1]!EM_S_FA_ASSETSTURN(B3568,E3568)</f>
        <v>2.3815711478999999E-2</v>
      </c>
      <c r="L3568" s="12">
        <f>[1]!EM_HKS_VAL_MV(B3568,"2019-12-31","2")</f>
        <v>3396271691.4000001</v>
      </c>
      <c r="M3568">
        <f>[1]!EM_S_VAL_PETTMDEDUCTED(B3568,E3568)</f>
        <v>-33.609020705257201</v>
      </c>
      <c r="N3568" s="7">
        <f>[1]!EM_S_VAL_PBGOODWILLDEDUCTED(B3568,E3568)</f>
        <v>3.5883794819341199</v>
      </c>
      <c r="O3568" s="7">
        <f>[1]!EM_S_VAL_PS_TTM(B3568,E3568)</f>
        <v>22.242375415204499</v>
      </c>
      <c r="P3568" s="7">
        <f>[1]!EM_S_VAL_PCF_NCFTTM(B3568,E3568)</f>
        <v>257.32858246928703</v>
      </c>
      <c r="Q3568" s="7">
        <f>[1]!EM_S_VAL_DIVIDENDYIELD2(B3568,E3568,"2019-11-29")</f>
        <v>0</v>
      </c>
      <c r="T3568"/>
      <c r="U3568">
        <f>[1]!EM_S_RATIO_EPS_TTM(B3568,E3568,"1")</f>
        <v>-8.0060731717230479E-2</v>
      </c>
      <c r="AT3568" s="4" t="str">
        <f>[1]!EM_S_IPO_LISTEDDATE(B3568)</f>
        <v>1999-04-22</v>
      </c>
    </row>
    <row r="3569" spans="1:46">
      <c r="A3569">
        <v>429</v>
      </c>
      <c r="B3569" t="str">
        <f>"000901"</f>
        <v>000901</v>
      </c>
      <c r="C3569" t="s">
        <v>3244</v>
      </c>
      <c r="D3569" t="str">
        <f>[1]!EM_S_INFO_INDEX_EM(B3569,"1")</f>
        <v>机械设备</v>
      </c>
      <c r="E3569" s="4">
        <f t="shared" si="55"/>
        <v>43465</v>
      </c>
      <c r="F3569" s="11">
        <f>[1]!EM_S_PQ_PCTCHANGE(B3569,"2018-01-01","2019-12-31","3")</f>
        <v>-27.673294200000001</v>
      </c>
      <c r="G3569" s="11"/>
      <c r="H3569" s="11">
        <f>[1]!EM_S_FA_YOY_OR(B3569,E3569)</f>
        <v>-1.33983878E-2</v>
      </c>
      <c r="I3569" s="11">
        <f>[1]!EM_S_FA_GROSSPROFITMARGIN(B3569,E3569)</f>
        <v>20.771362225899999</v>
      </c>
      <c r="J3569" s="11">
        <f>[1]!EM_S_FA_NETPROFITMARGIN(B3569,E3569)</f>
        <v>2.9792465155999999</v>
      </c>
      <c r="K3569" s="10">
        <f>[1]!EM_S_FA_ASSETSTURN(B3569,E3569)</f>
        <v>0.90890110360599996</v>
      </c>
      <c r="L3569" s="12">
        <f>[1]!EM_HKS_VAL_MV(B3569,"2019-12-31","2")</f>
        <v>6878936041.6000004</v>
      </c>
      <c r="M3569">
        <f>[1]!EM_S_VAL_PETTMDEDUCTED(B3569,E3569)</f>
        <v>41.644291429293098</v>
      </c>
      <c r="N3569" s="7">
        <f>[1]!EM_S_VAL_PBGOODWILLDEDUCTED(B3569,E3569)</f>
        <v>1.7824030220470299</v>
      </c>
      <c r="O3569" s="7">
        <f>[1]!EM_S_VAL_PS_TTM(B3569,E3569)</f>
        <v>0.91826761821904301</v>
      </c>
      <c r="P3569" s="7">
        <f>[1]!EM_S_VAL_PCF_NCFTTM(B3569,E3569)</f>
        <v>-7761.8727057358201</v>
      </c>
      <c r="Q3569" s="7">
        <f>[1]!EM_S_VAL_DIVIDENDYIELD2(B3569,E3569,"2019-11-29")</f>
        <v>0.68124392614188523</v>
      </c>
      <c r="T3569"/>
      <c r="U3569">
        <f>[1]!EM_S_RATIO_EPS_TTM(B3569,E3569,"1")</f>
        <v>0.25568063493593857</v>
      </c>
      <c r="AT3569" s="4" t="str">
        <f>[1]!EM_S_IPO_LISTEDDATE(B3569)</f>
        <v>1999-04-01</v>
      </c>
    </row>
    <row r="3570" spans="1:46">
      <c r="A3570">
        <v>432</v>
      </c>
      <c r="B3570" t="str">
        <f>"000905"</f>
        <v>000905</v>
      </c>
      <c r="C3570" t="s">
        <v>2732</v>
      </c>
      <c r="D3570" t="str">
        <f>[1]!EM_S_INFO_INDEX_EM(B3570,"1")</f>
        <v>交通运输</v>
      </c>
      <c r="E3570" s="4">
        <f t="shared" si="55"/>
        <v>43465</v>
      </c>
      <c r="F3570" s="11">
        <f>[1]!EM_S_PQ_PCTCHANGE(B3570,"2018-01-01","2019-12-31","3")</f>
        <v>-28.88275097</v>
      </c>
      <c r="G3570" s="11"/>
      <c r="H3570" s="11">
        <f>[1]!EM_S_FA_YOY_OR(B3570,E3570)</f>
        <v>-2.3470250228</v>
      </c>
      <c r="I3570" s="11">
        <f>[1]!EM_S_FA_GROSSPROFITMARGIN(B3570,E3570)</f>
        <v>3.7467713434999999</v>
      </c>
      <c r="J3570" s="11">
        <f>[1]!EM_S_FA_NETPROFITMARGIN(B3570,E3570)</f>
        <v>0.79954824930000001</v>
      </c>
      <c r="K3570" s="10">
        <f>[1]!EM_S_FA_ASSETSTURN(B3570,E3570)</f>
        <v>1.6099029503769999</v>
      </c>
      <c r="L3570" s="12">
        <f>[1]!EM_HKS_VAL_MV(B3570,"2019-12-31","2")</f>
        <v>3966570000</v>
      </c>
      <c r="M3570">
        <f>[1]!EM_S_VAL_PETTMDEDUCTED(B3570,E3570)</f>
        <v>-412.34549436968803</v>
      </c>
      <c r="N3570" s="7">
        <f>[1]!EM_S_VAL_PBGOODWILLDEDUCTED(B3570,E3570)</f>
        <v>1.20797092154478</v>
      </c>
      <c r="O3570" s="7">
        <f>[1]!EM_S_VAL_PS_TTM(B3570,E3570)</f>
        <v>0.235813390435437</v>
      </c>
      <c r="P3570" s="7">
        <f>[1]!EM_S_VAL_PCF_NCFTTM(B3570,E3570)</f>
        <v>18.153059596024502</v>
      </c>
      <c r="Q3570" s="7">
        <f>[1]!EM_S_VAL_DIVIDENDYIELD2(B3570,E3570,"2019-11-29")</f>
        <v>0.14556040756914121</v>
      </c>
      <c r="T3570"/>
      <c r="U3570">
        <f>[1]!EM_S_RATIO_EPS_TTM(B3570,E3570,"1")</f>
        <v>4.745606446327684E-2</v>
      </c>
      <c r="AT3570" s="4" t="str">
        <f>[1]!EM_S_IPO_LISTEDDATE(B3570)</f>
        <v>1999-04-29</v>
      </c>
    </row>
    <row r="3571" spans="1:46">
      <c r="A3571">
        <v>435</v>
      </c>
      <c r="B3571" t="str">
        <f>"000909"</f>
        <v>000909</v>
      </c>
      <c r="C3571" t="s">
        <v>2640</v>
      </c>
      <c r="D3571" t="str">
        <f>[1]!EM_S_INFO_INDEX_EM(B3571,"1")</f>
        <v>房地产</v>
      </c>
      <c r="E3571" s="4">
        <f t="shared" si="55"/>
        <v>43465</v>
      </c>
      <c r="F3571" s="11">
        <f>[1]!EM_S_PQ_PCTCHANGE(B3571,"2018-01-01","2019-12-31","3")</f>
        <v>-25.745811979999999</v>
      </c>
      <c r="G3571" s="11"/>
      <c r="H3571" s="11">
        <f>[1]!EM_S_FA_YOY_OR(B3571,E3571)</f>
        <v>-42.288589039500003</v>
      </c>
      <c r="I3571" s="11">
        <f>[1]!EM_S_FA_GROSSPROFITMARGIN(B3571,E3571)</f>
        <v>20.565546305600002</v>
      </c>
      <c r="J3571" s="11">
        <f>[1]!EM_S_FA_NETPROFITMARGIN(B3571,E3571)</f>
        <v>4.1746601075000003</v>
      </c>
      <c r="K3571" s="10">
        <f>[1]!EM_S_FA_ASSETSTURN(B3571,E3571)</f>
        <v>0.42897076321900002</v>
      </c>
      <c r="L3571" s="12">
        <f>[1]!EM_HKS_VAL_MV(B3571,"2019-12-31","2")</f>
        <v>2430102169.9200001</v>
      </c>
      <c r="M3571">
        <f>[1]!EM_S_VAL_PETTMDEDUCTED(B3571,E3571)</f>
        <v>116.504284147923</v>
      </c>
      <c r="N3571" s="7">
        <f>[1]!EM_S_VAL_PBGOODWILLDEDUCTED(B3571,E3571)</f>
        <v>1.9580952738375199</v>
      </c>
      <c r="O3571" s="7">
        <f>[1]!EM_S_VAL_PS_TTM(B3571,E3571)</f>
        <v>0.84765501926957798</v>
      </c>
      <c r="P3571" s="7">
        <f>[1]!EM_S_VAL_PCF_NCFTTM(B3571,E3571)</f>
        <v>-12.376063633602501</v>
      </c>
      <c r="Q3571" s="7">
        <f>[1]!EM_S_VAL_DIVIDENDYIELD2(B3571,E3571,"2019-11-29")</f>
        <v>0</v>
      </c>
      <c r="T3571"/>
      <c r="U3571">
        <f>[1]!EM_S_RATIO_EPS_TTM(B3571,E3571,"1")</f>
        <v>0.11819719574871033</v>
      </c>
      <c r="AT3571" s="4" t="str">
        <f>[1]!EM_S_IPO_LISTEDDATE(B3571)</f>
        <v>1999-05-07</v>
      </c>
    </row>
    <row r="3572" spans="1:46">
      <c r="A3572">
        <v>437</v>
      </c>
      <c r="B3572" t="str">
        <f>"000911"</f>
        <v>000911</v>
      </c>
      <c r="C3572" t="s">
        <v>3656</v>
      </c>
      <c r="D3572" t="str">
        <f>[1]!EM_S_INFO_INDEX_EM(B3572,"1")</f>
        <v>农林牧渔</v>
      </c>
      <c r="E3572" s="4">
        <f t="shared" si="55"/>
        <v>43465</v>
      </c>
      <c r="F3572" s="11">
        <f>[1]!EM_S_PQ_PCTCHANGE(B3572,"2018-01-01","2019-12-31","3")</f>
        <v>-35.897435899999998</v>
      </c>
      <c r="G3572" s="11"/>
      <c r="H3572" s="11">
        <f>[1]!EM_S_FA_YOY_OR(B3572,E3572)</f>
        <v>23.803495374499999</v>
      </c>
      <c r="I3572" s="11">
        <f>[1]!EM_S_FA_GROSSPROFITMARGIN(B3572,E3572)</f>
        <v>-5.9536138118000004</v>
      </c>
      <c r="J3572" s="11">
        <f>[1]!EM_S_FA_NETPROFITMARGIN(B3572,E3572)</f>
        <v>-38.417841909300002</v>
      </c>
      <c r="K3572" s="10">
        <f>[1]!EM_S_FA_ASSETSTURN(B3572,E3572)</f>
        <v>0.54498151021999997</v>
      </c>
      <c r="L3572" s="12">
        <f>[1]!EM_HKS_VAL_MV(B3572,"2019-12-31","2")</f>
        <v>1944485622</v>
      </c>
      <c r="M3572">
        <f>[1]!EM_S_VAL_PETTMDEDUCTED(B3572,E3572)</f>
        <v>-2.1053090104931198</v>
      </c>
      <c r="N3572" s="7">
        <f>[1]!EM_S_VAL_PBGOODWILLDEDUCTED(B3572,E3572)</f>
        <v>-79.630321704630504</v>
      </c>
      <c r="O3572" s="7">
        <f>[1]!EM_S_VAL_PS_TTM(B3572,E3572)</f>
        <v>0.43595923214424098</v>
      </c>
      <c r="P3572" s="7">
        <f>[1]!EM_S_VAL_PCF_NCFTTM(B3572,E3572)</f>
        <v>-13.5494908382733</v>
      </c>
      <c r="Q3572" s="7">
        <f>[1]!EM_S_VAL_DIVIDENDYIELD2(B3572,E3572,"2019-11-29")</f>
        <v>0</v>
      </c>
      <c r="T3572"/>
      <c r="U3572">
        <f>[1]!EM_S_RATIO_EPS_TTM(B3572,E3572,"1")</f>
        <v>-4.2058683997818731</v>
      </c>
      <c r="AT3572" s="4" t="str">
        <f>[1]!EM_S_IPO_LISTEDDATE(B3572)</f>
        <v>1999-05-27</v>
      </c>
    </row>
    <row r="3573" spans="1:46">
      <c r="A3573">
        <v>440</v>
      </c>
      <c r="B3573" t="str">
        <f>"000915"</f>
        <v>000915</v>
      </c>
      <c r="C3573" t="s">
        <v>319</v>
      </c>
      <c r="D3573" t="str">
        <f>[1]!EM_S_INFO_INDEX_EM(B3573,"1")</f>
        <v>医药生物</v>
      </c>
      <c r="E3573" s="4">
        <f t="shared" si="55"/>
        <v>43465</v>
      </c>
      <c r="F3573" s="11">
        <f>[1]!EM_S_PQ_PCTCHANGE(B3573,"2018-01-01","2019-12-31","3")</f>
        <v>-9.5164972999999993</v>
      </c>
      <c r="G3573" s="11"/>
      <c r="H3573" s="11">
        <f>[1]!EM_S_FA_YOY_OR(B3573,E3573)</f>
        <v>-13.6372452612</v>
      </c>
      <c r="I3573" s="11">
        <f>[1]!EM_S_FA_GROSSPROFITMARGIN(B3573,E3573)</f>
        <v>60.316788260700001</v>
      </c>
      <c r="J3573" s="11">
        <f>[1]!EM_S_FA_NETPROFITMARGIN(B3573,E3573)</f>
        <v>15.6958320039</v>
      </c>
      <c r="K3573" s="10">
        <f>[1]!EM_S_FA_ASSETSTURN(B3573,E3573)</f>
        <v>0.53790545947900004</v>
      </c>
      <c r="L3573" s="12">
        <f>[1]!EM_HKS_VAL_MV(B3573,"2019-12-31","2")</f>
        <v>6209784352.5</v>
      </c>
      <c r="M3573">
        <f>[1]!EM_S_VAL_PETTMDEDUCTED(B3573,E3573)</f>
        <v>16.853803158899201</v>
      </c>
      <c r="N3573" s="7">
        <f>[1]!EM_S_VAL_PBGOODWILLDEDUCTED(B3573,E3573)</f>
        <v>2.2064816039786699</v>
      </c>
      <c r="O3573" s="7">
        <f>[1]!EM_S_VAL_PS_TTM(B3573,E3573)</f>
        <v>2.0408091633330501</v>
      </c>
      <c r="P3573" s="7">
        <f>[1]!EM_S_VAL_PCF_NCFTTM(B3573,E3573)</f>
        <v>43.404432571133398</v>
      </c>
      <c r="Q3573" s="7">
        <f>[1]!EM_S_VAL_DIVIDENDYIELD2(B3573,E3573,"2019-11-29")</f>
        <v>1.4591439688715953</v>
      </c>
      <c r="T3573"/>
      <c r="U3573">
        <f>[1]!EM_S_RATIO_EPS_TTM(B3573,E3573,"1")</f>
        <v>0.55344871326189904</v>
      </c>
      <c r="AT3573" s="4" t="str">
        <f>[1]!EM_S_IPO_LISTEDDATE(B3573)</f>
        <v>1999-06-09</v>
      </c>
    </row>
    <row r="3574" spans="1:46">
      <c r="A3574">
        <v>441</v>
      </c>
      <c r="B3574" t="str">
        <f>"000916"</f>
        <v>000916</v>
      </c>
      <c r="C3574" t="s">
        <v>3154</v>
      </c>
      <c r="D3574">
        <f>[1]!EM_S_INFO_INDEX_EM(B3574,"1")</f>
        <v>0</v>
      </c>
      <c r="E3574" s="4">
        <f t="shared" si="55"/>
        <v>43465</v>
      </c>
      <c r="F3574" s="11">
        <f>[1]!EM_S_PQ_PCTCHANGE(B3574,"2018-01-01","2019-12-31","3")</f>
        <v>0</v>
      </c>
      <c r="G3574" s="11"/>
      <c r="H3574" s="11">
        <f>[1]!EM_S_FA_YOY_OR(B3574,E3574)</f>
        <v>0</v>
      </c>
      <c r="I3574" s="11">
        <f>[1]!EM_S_FA_GROSSPROFITMARGIN(B3574,E3574)</f>
        <v>0</v>
      </c>
      <c r="J3574" s="11">
        <f>[1]!EM_S_FA_NETPROFITMARGIN(B3574,E3574)</f>
        <v>0</v>
      </c>
      <c r="K3574" s="10">
        <f>[1]!EM_S_FA_ASSETSTURN(B3574,E3574)</f>
        <v>0</v>
      </c>
      <c r="L3574" s="12">
        <f>[1]!EM_HKS_VAL_MV(B3574,"2019-12-31","2")</f>
        <v>9613800000</v>
      </c>
      <c r="M3574">
        <f>[1]!EM_S_VAL_PETTMDEDUCTED(B3574,E3574)</f>
        <v>0</v>
      </c>
      <c r="N3574" s="7">
        <f>[1]!EM_S_VAL_PBGOODWILLDEDUCTED(B3574,E3574)</f>
        <v>1.92297108319357</v>
      </c>
      <c r="O3574" s="7">
        <f>[1]!EM_S_VAL_PS_TTM(B3574,E3574)</f>
        <v>9.5034066705548099</v>
      </c>
      <c r="P3574" s="7">
        <f>[1]!EM_S_VAL_PCF_NCFTTM(B3574,E3574)</f>
        <v>-7136.9496664654198</v>
      </c>
      <c r="Q3574" s="7">
        <f>[1]!EM_S_VAL_DIVIDENDYIELD2(B3574,E3574,"2019-11-29")</f>
        <v>0</v>
      </c>
      <c r="T3574"/>
      <c r="U3574">
        <f>[1]!EM_S_RATIO_EPS_TTM(B3574,E3574,"1")</f>
        <v>0.36084206835779814</v>
      </c>
      <c r="AT3574" s="4" t="str">
        <f>[1]!EM_S_IPO_LISTEDDATE(B3574)</f>
        <v>1999-09-27</v>
      </c>
    </row>
    <row r="3575" spans="1:46">
      <c r="A3575">
        <v>443</v>
      </c>
      <c r="B3575" t="str">
        <f>"000918"</f>
        <v>000918</v>
      </c>
      <c r="C3575" t="s">
        <v>3491</v>
      </c>
      <c r="D3575" t="str">
        <f>[1]!EM_S_INFO_INDEX_EM(B3575,"1")</f>
        <v>房地产</v>
      </c>
      <c r="E3575" s="4">
        <f t="shared" si="55"/>
        <v>43465</v>
      </c>
      <c r="F3575" s="11">
        <f>[1]!EM_S_PQ_PCTCHANGE(B3575,"2018-01-01","2019-12-31","3")</f>
        <v>-14.71428571</v>
      </c>
      <c r="G3575" s="11"/>
      <c r="H3575" s="11">
        <f>[1]!EM_S_FA_YOY_OR(B3575,E3575)</f>
        <v>34.5922623405</v>
      </c>
      <c r="I3575" s="11">
        <f>[1]!EM_S_FA_GROSSPROFITMARGIN(B3575,E3575)</f>
        <v>13.1801041523</v>
      </c>
      <c r="J3575" s="11">
        <f>[1]!EM_S_FA_NETPROFITMARGIN(B3575,E3575)</f>
        <v>-97.665555437699993</v>
      </c>
      <c r="K3575" s="10">
        <f>[1]!EM_S_FA_ASSETSTURN(B3575,E3575)</f>
        <v>7.5342835679000006E-2</v>
      </c>
      <c r="L3575" s="12">
        <f>[1]!EM_HKS_VAL_MV(B3575,"2019-12-31","2")</f>
        <v>10771023255</v>
      </c>
      <c r="M3575">
        <f>[1]!EM_S_VAL_PETTMDEDUCTED(B3575,E3575)</f>
        <v>-9.6733596832622304</v>
      </c>
      <c r="N3575" s="7">
        <f>[1]!EM_S_VAL_PBGOODWILLDEDUCTED(B3575,E3575)</f>
        <v>4.0739853001167301</v>
      </c>
      <c r="O3575" s="7">
        <f>[1]!EM_S_VAL_PS_TTM(B3575,E3575)</f>
        <v>12.6674020263091</v>
      </c>
      <c r="P3575" s="7">
        <f>[1]!EM_S_VAL_PCF_NCFTTM(B3575,E3575)</f>
        <v>-10.249052871861799</v>
      </c>
      <c r="Q3575" s="7">
        <f>[1]!EM_S_VAL_DIVIDENDYIELD2(B3575,E3575,"2019-11-29")</f>
        <v>0</v>
      </c>
      <c r="T3575"/>
      <c r="U3575">
        <f>[1]!EM_S_RATIO_EPS_TTM(B3575,E3575,"1")</f>
        <v>-0.86689634126421722</v>
      </c>
      <c r="AT3575" s="4" t="str">
        <f>[1]!EM_S_IPO_LISTEDDATE(B3575)</f>
        <v>1999-07-20</v>
      </c>
    </row>
    <row r="3576" spans="1:46">
      <c r="A3576">
        <v>444</v>
      </c>
      <c r="B3576" t="str">
        <f>"000919"</f>
        <v>000919</v>
      </c>
      <c r="C3576" t="s">
        <v>1523</v>
      </c>
      <c r="D3576" t="str">
        <f>[1]!EM_S_INFO_INDEX_EM(B3576,"1")</f>
        <v>医药生物</v>
      </c>
      <c r="E3576" s="4">
        <f t="shared" si="55"/>
        <v>43465</v>
      </c>
      <c r="F3576" s="11">
        <f>[1]!EM_S_PQ_PCTCHANGE(B3576,"2018-01-01","2019-12-31","3")</f>
        <v>-13.48886433</v>
      </c>
      <c r="G3576" s="11"/>
      <c r="H3576" s="11">
        <f>[1]!EM_S_FA_YOY_OR(B3576,E3576)</f>
        <v>-9.1713689360000004</v>
      </c>
      <c r="I3576" s="11">
        <f>[1]!EM_S_FA_GROSSPROFITMARGIN(B3576,E3576)</f>
        <v>24.018693019400001</v>
      </c>
      <c r="J3576" s="11">
        <f>[1]!EM_S_FA_NETPROFITMARGIN(B3576,E3576)</f>
        <v>9.9644802558999999</v>
      </c>
      <c r="K3576" s="10">
        <f>[1]!EM_S_FA_ASSETSTURN(B3576,E3576)</f>
        <v>0.74893159638700002</v>
      </c>
      <c r="L3576" s="12">
        <f>[1]!EM_HKS_VAL_MV(B3576,"2019-12-31","2")</f>
        <v>3679200000</v>
      </c>
      <c r="M3576">
        <f>[1]!EM_S_VAL_PETTMDEDUCTED(B3576,E3576)</f>
        <v>27.481991491884902</v>
      </c>
      <c r="N3576" s="7">
        <f>[1]!EM_S_VAL_PBGOODWILLDEDUCTED(B3576,E3576)</f>
        <v>1.2447181144280901</v>
      </c>
      <c r="O3576" s="7">
        <f>[1]!EM_S_VAL_PS_TTM(B3576,E3576)</f>
        <v>1.0421886617829099</v>
      </c>
      <c r="P3576" s="7">
        <f>[1]!EM_S_VAL_PCF_NCFTTM(B3576,E3576)</f>
        <v>-23.582825830790402</v>
      </c>
      <c r="Q3576" s="7">
        <f>[1]!EM_S_VAL_DIVIDENDYIELD2(B3576,E3576,"2019-11-29")</f>
        <v>2.3709902370990235</v>
      </c>
      <c r="T3576"/>
      <c r="U3576">
        <f>[1]!EM_S_RATIO_EPS_TTM(B3576,E3576,"1")</f>
        <v>0.47973586672619051</v>
      </c>
      <c r="AT3576" s="4" t="str">
        <f>[1]!EM_S_IPO_LISTEDDATE(B3576)</f>
        <v>1999-11-18</v>
      </c>
    </row>
    <row r="3577" spans="1:46">
      <c r="A3577">
        <v>448</v>
      </c>
      <c r="B3577" t="str">
        <f>"000923"</f>
        <v>000923</v>
      </c>
      <c r="C3577" t="s">
        <v>2674</v>
      </c>
      <c r="D3577" t="str">
        <f>[1]!EM_S_INFO_INDEX_EM(B3577,"1")</f>
        <v>钢铁</v>
      </c>
      <c r="E3577" s="4">
        <f t="shared" si="55"/>
        <v>43465</v>
      </c>
      <c r="F3577" s="11">
        <f>[1]!EM_S_PQ_PCTCHANGE(B3577,"2018-01-01","2019-12-31","3")</f>
        <v>-35.180553719999999</v>
      </c>
      <c r="G3577" s="11"/>
      <c r="H3577" s="11">
        <f>[1]!EM_S_FA_YOY_OR(B3577,E3577)</f>
        <v>-7.9465623623999999</v>
      </c>
      <c r="I3577" s="11">
        <f>[1]!EM_S_FA_GROSSPROFITMARGIN(B3577,E3577)</f>
        <v>56.366488505500001</v>
      </c>
      <c r="J3577" s="11">
        <f>[1]!EM_S_FA_NETPROFITMARGIN(B3577,E3577)</f>
        <v>4.2697192114</v>
      </c>
      <c r="K3577" s="10">
        <f>[1]!EM_S_FA_ASSETSTURN(B3577,E3577)</f>
        <v>0.383021846926</v>
      </c>
      <c r="L3577" s="12">
        <f>[1]!EM_HKS_VAL_MV(B3577,"2019-12-31","2")</f>
        <v>9640806753.9699993</v>
      </c>
      <c r="M3577">
        <f>[1]!EM_S_VAL_PETTMDEDUCTED(B3577,E3577)</f>
        <v>-206.43990911417399</v>
      </c>
      <c r="N3577" s="7">
        <f>[1]!EM_S_VAL_PBGOODWILLDEDUCTED(B3577,E3577)</f>
        <v>1.3970688880109601</v>
      </c>
      <c r="O3577" s="7">
        <f>[1]!EM_S_VAL_PS_TTM(B3577,E3577)</f>
        <v>1.7658253239525299</v>
      </c>
      <c r="P3577" s="7">
        <f>[1]!EM_S_VAL_PCF_NCFTTM(B3577,E3577)</f>
        <v>-9.47899655449792</v>
      </c>
      <c r="Q3577" s="7">
        <f>[1]!EM_S_VAL_DIVIDENDYIELD2(B3577,E3577,"2019-11-29")</f>
        <v>7.02247191011236E-2</v>
      </c>
      <c r="T3577"/>
      <c r="U3577">
        <f>[1]!EM_S_RATIO_EPS_TTM(B3577,E3577,"1")</f>
        <v>0.20551840531862045</v>
      </c>
      <c r="AT3577" s="4" t="str">
        <f>[1]!EM_S_IPO_LISTEDDATE(B3577)</f>
        <v>1999-07-14</v>
      </c>
    </row>
    <row r="3578" spans="1:46">
      <c r="A3578">
        <v>450</v>
      </c>
      <c r="B3578" t="str">
        <f>"000926"</f>
        <v>000926</v>
      </c>
      <c r="C3578" t="s">
        <v>1208</v>
      </c>
      <c r="D3578" t="str">
        <f>[1]!EM_S_INFO_INDEX_EM(B3578,"1")</f>
        <v>房地产</v>
      </c>
      <c r="E3578" s="4">
        <f t="shared" si="55"/>
        <v>43465</v>
      </c>
      <c r="F3578" s="11">
        <f>[1]!EM_S_PQ_PCTCHANGE(B3578,"2018-01-01","2019-12-31","3")</f>
        <v>-37.982902969999998</v>
      </c>
      <c r="G3578" s="11"/>
      <c r="H3578" s="11">
        <f>[1]!EM_S_FA_YOY_OR(B3578,E3578)</f>
        <v>-7.9193893146000001</v>
      </c>
      <c r="I3578" s="11">
        <f>[1]!EM_S_FA_GROSSPROFITMARGIN(B3578,E3578)</f>
        <v>30.5040384305</v>
      </c>
      <c r="J3578" s="11">
        <f>[1]!EM_S_FA_NETPROFITMARGIN(B3578,E3578)</f>
        <v>11.0452483571</v>
      </c>
      <c r="K3578" s="10">
        <f>[1]!EM_S_FA_ASSETSTURN(B3578,E3578)</f>
        <v>0.222534541802</v>
      </c>
      <c r="L3578" s="12">
        <f>[1]!EM_HKS_VAL_MV(B3578,"2019-12-31","2")</f>
        <v>6256006081</v>
      </c>
      <c r="M3578">
        <f>[1]!EM_S_VAL_PETTMDEDUCTED(B3578,E3578)</f>
        <v>8.8081800293727603</v>
      </c>
      <c r="N3578" s="7">
        <f>[1]!EM_S_VAL_PBGOODWILLDEDUCTED(B3578,E3578)</f>
        <v>0.54592309550417395</v>
      </c>
      <c r="O3578" s="7">
        <f>[1]!EM_S_VAL_PS_TTM(B3578,E3578)</f>
        <v>0.50114009233300605</v>
      </c>
      <c r="P3578" s="7">
        <f>[1]!EM_S_VAL_PCF_NCFTTM(B3578,E3578)</f>
        <v>-2.0250032749509099</v>
      </c>
      <c r="Q3578" s="7">
        <f>[1]!EM_S_VAL_DIVIDENDYIELD2(B3578,E3578,"2019-11-29")</f>
        <v>1.5748031496062995</v>
      </c>
      <c r="T3578"/>
      <c r="U3578">
        <f>[1]!EM_S_RATIO_EPS_TTM(B3578,E3578,"1")</f>
        <v>1.178758585033415</v>
      </c>
      <c r="AT3578" s="4" t="str">
        <f>[1]!EM_S_IPO_LISTEDDATE(B3578)</f>
        <v>1999-06-18</v>
      </c>
    </row>
    <row r="3579" spans="1:46">
      <c r="A3579">
        <v>451</v>
      </c>
      <c r="B3579" t="str">
        <f>"000927"</f>
        <v>000927</v>
      </c>
      <c r="C3579" t="s">
        <v>3670</v>
      </c>
      <c r="D3579" t="str">
        <f>[1]!EM_S_INFO_INDEX_EM(B3579,"1")</f>
        <v>交运设备</v>
      </c>
      <c r="E3579" s="4">
        <f t="shared" si="55"/>
        <v>43465</v>
      </c>
      <c r="F3579" s="11">
        <f>[1]!EM_S_PQ_PCTCHANGE(B3579,"2018-01-01","2019-12-31","3")</f>
        <v>13.12910284</v>
      </c>
      <c r="G3579" s="11"/>
      <c r="H3579" s="11">
        <f>[1]!EM_S_FA_YOY_OR(B3579,E3579)</f>
        <v>-22.498239961500001</v>
      </c>
      <c r="I3579" s="11">
        <f>[1]!EM_S_FA_GROSSPROFITMARGIN(B3579,E3579)</f>
        <v>-31.1572312445</v>
      </c>
      <c r="J3579" s="11">
        <f>[1]!EM_S_FA_NETPROFITMARGIN(B3579,E3579)</f>
        <v>3.2536382696000001</v>
      </c>
      <c r="K3579" s="10">
        <f>[1]!EM_S_FA_ASSETSTURN(B3579,E3579)</f>
        <v>0.23895031238799999</v>
      </c>
      <c r="L3579" s="12">
        <f>[1]!EM_HKS_VAL_MV(B3579,"2019-12-31","2")</f>
        <v>8247049683.3999996</v>
      </c>
      <c r="M3579">
        <f>[1]!EM_S_VAL_PETTMDEDUCTED(B3579,E3579)</f>
        <v>-3.2756770113797402</v>
      </c>
      <c r="N3579" s="7">
        <f>[1]!EM_S_VAL_PBGOODWILLDEDUCTED(B3579,E3579)</f>
        <v>53.832296277160701</v>
      </c>
      <c r="O3579" s="7">
        <f>[1]!EM_S_VAL_PS_TTM(B3579,E3579)</f>
        <v>3.5978229278182901</v>
      </c>
      <c r="P3579" s="7">
        <f>[1]!EM_S_VAL_PCF_NCFTTM(B3579,E3579)</f>
        <v>-6.7633557269249502</v>
      </c>
      <c r="Q3579" s="7">
        <f>[1]!EM_S_VAL_DIVIDENDYIELD2(B3579,E3579,"2019-11-29")</f>
        <v>0</v>
      </c>
      <c r="T3579"/>
      <c r="U3579">
        <f>[1]!EM_S_RATIO_EPS_TTM(B3579,E3579,"1")</f>
        <v>2.338835512754903E-2</v>
      </c>
      <c r="AT3579" s="4" t="str">
        <f>[1]!EM_S_IPO_LISTEDDATE(B3579)</f>
        <v>1999-07-27</v>
      </c>
    </row>
    <row r="3580" spans="1:46">
      <c r="A3580">
        <v>453</v>
      </c>
      <c r="B3580" t="str">
        <f>"000929"</f>
        <v>000929</v>
      </c>
      <c r="C3580" t="s">
        <v>3346</v>
      </c>
      <c r="D3580" t="str">
        <f>[1]!EM_S_INFO_INDEX_EM(B3580,"1")</f>
        <v>食品饮料</v>
      </c>
      <c r="E3580" s="4">
        <f t="shared" si="55"/>
        <v>43465</v>
      </c>
      <c r="F3580" s="11">
        <f>[1]!EM_S_PQ_PCTCHANGE(B3580,"2018-01-01","2019-12-31","3")</f>
        <v>-41.827326069999998</v>
      </c>
      <c r="G3580" s="11"/>
      <c r="H3580" s="11">
        <f>[1]!EM_S_FA_YOY_OR(B3580,E3580)</f>
        <v>-14.6816136991</v>
      </c>
      <c r="I3580" s="11">
        <f>[1]!EM_S_FA_GROSSPROFITMARGIN(B3580,E3580)</f>
        <v>31.0862591689</v>
      </c>
      <c r="J3580" s="11">
        <f>[1]!EM_S_FA_NETPROFITMARGIN(B3580,E3580)</f>
        <v>-12.921351656600001</v>
      </c>
      <c r="K3580" s="10">
        <f>[1]!EM_S_FA_ASSETSTURN(B3580,E3580)</f>
        <v>0.35775071490600002</v>
      </c>
      <c r="L3580" s="12">
        <f>[1]!EM_HKS_VAL_MV(B3580,"2019-12-31","2")</f>
        <v>1289216040</v>
      </c>
      <c r="M3580">
        <f>[1]!EM_S_VAL_PETTMDEDUCTED(B3580,E3580)</f>
        <v>105.275187448037</v>
      </c>
      <c r="N3580" s="7">
        <f>[1]!EM_S_VAL_PBGOODWILLDEDUCTED(B3580,E3580)</f>
        <v>1.7331172205959899</v>
      </c>
      <c r="O3580" s="7">
        <f>[1]!EM_S_VAL_PS_TTM(B3580,E3580)</f>
        <v>2.2964128933989301</v>
      </c>
      <c r="P3580" s="7">
        <f>[1]!EM_S_VAL_PCF_NCFTTM(B3580,E3580)</f>
        <v>71.025226367135701</v>
      </c>
      <c r="Q3580" s="7">
        <f>[1]!EM_S_VAL_DIVIDENDYIELD2(B3580,E3580,"2019-11-29")</f>
        <v>0</v>
      </c>
      <c r="T3580"/>
      <c r="U3580">
        <f>[1]!EM_S_RATIO_EPS_TTM(B3580,E3580,"1")</f>
        <v>-0.36363154565421008</v>
      </c>
      <c r="AT3580" s="4" t="str">
        <f>[1]!EM_S_IPO_LISTEDDATE(B3580)</f>
        <v>1999-06-23</v>
      </c>
    </row>
    <row r="3581" spans="1:46">
      <c r="A3581">
        <v>457</v>
      </c>
      <c r="B3581" t="str">
        <f>"000933"</f>
        <v>000933</v>
      </c>
      <c r="C3581" t="s">
        <v>2364</v>
      </c>
      <c r="D3581" t="str">
        <f>[1]!EM_S_INFO_INDEX_EM(B3581,"1")</f>
        <v>有色金属</v>
      </c>
      <c r="E3581" s="4">
        <f t="shared" si="55"/>
        <v>43465</v>
      </c>
      <c r="F3581" s="11">
        <f>[1]!EM_S_PQ_PCTCHANGE(B3581,"2018-01-01","2019-12-31","3")</f>
        <v>-45.629168309999997</v>
      </c>
      <c r="G3581" s="11"/>
      <c r="H3581" s="11">
        <f>[1]!EM_S_FA_YOY_OR(B3581,E3581)</f>
        <v>-0.34063186979999999</v>
      </c>
      <c r="I3581" s="11">
        <f>[1]!EM_S_FA_GROSSPROFITMARGIN(B3581,E3581)</f>
        <v>12.6254532362</v>
      </c>
      <c r="J3581" s="11">
        <f>[1]!EM_S_FA_NETPROFITMARGIN(B3581,E3581)</f>
        <v>-0.33949966320000002</v>
      </c>
      <c r="K3581" s="10">
        <f>[1]!EM_S_FA_ASSETSTURN(B3581,E3581)</f>
        <v>0.35073825656699997</v>
      </c>
      <c r="L3581" s="12">
        <f>[1]!EM_HKS_VAL_MV(B3581,"2019-12-31","2")</f>
        <v>10414740000</v>
      </c>
      <c r="M3581">
        <f>[1]!EM_S_VAL_PETTMDEDUCTED(B3581,E3581)</f>
        <v>-10.0751181855011</v>
      </c>
      <c r="N3581" s="7">
        <f>[1]!EM_S_VAL_PBGOODWILLDEDUCTED(B3581,E3581)</f>
        <v>1.22243634377183</v>
      </c>
      <c r="O3581" s="7">
        <f>[1]!EM_S_VAL_PS_TTM(B3581,E3581)</f>
        <v>0.39070890507810802</v>
      </c>
      <c r="P3581" s="7">
        <f>[1]!EM_S_VAL_PCF_NCFTTM(B3581,E3581)</f>
        <v>-18.867112614924299</v>
      </c>
      <c r="Q3581" s="7">
        <f>[1]!EM_S_VAL_DIVIDENDYIELD2(B3581,E3581,"2019-11-29")</f>
        <v>0.3125</v>
      </c>
      <c r="T3581"/>
      <c r="U3581">
        <f>[1]!EM_S_RATIO_EPS_TTM(B3581,E3581,"1")</f>
        <v>0.12568395478032096</v>
      </c>
      <c r="AT3581" s="4" t="str">
        <f>[1]!EM_S_IPO_LISTEDDATE(B3581)</f>
        <v>1999-08-31</v>
      </c>
    </row>
    <row r="3582" spans="1:46">
      <c r="A3582">
        <v>458</v>
      </c>
      <c r="B3582" t="str">
        <f>"000935"</f>
        <v>000935</v>
      </c>
      <c r="C3582" t="s">
        <v>689</v>
      </c>
      <c r="D3582" t="str">
        <f>[1]!EM_S_INFO_INDEX_EM(B3582,"1")</f>
        <v>建材</v>
      </c>
      <c r="E3582" s="4">
        <f t="shared" si="55"/>
        <v>43465</v>
      </c>
      <c r="F3582" s="11">
        <f>[1]!EM_S_PQ_PCTCHANGE(B3582,"2018-01-01","2019-12-31","3")</f>
        <v>-0.35640370999999998</v>
      </c>
      <c r="G3582" s="11"/>
      <c r="H3582" s="11">
        <f>[1]!EM_S_FA_YOY_OR(B3582,E3582)</f>
        <v>-29.417783936900001</v>
      </c>
      <c r="I3582" s="11">
        <f>[1]!EM_S_FA_GROSSPROFITMARGIN(B3582,E3582)</f>
        <v>46.592312589999999</v>
      </c>
      <c r="J3582" s="11">
        <f>[1]!EM_S_FA_NETPROFITMARGIN(B3582,E3582)</f>
        <v>36.283003512199997</v>
      </c>
      <c r="K3582" s="10">
        <f>[1]!EM_S_FA_ASSETSTURN(B3582,E3582)</f>
        <v>0.37741857631100001</v>
      </c>
      <c r="L3582" s="12">
        <f>[1]!EM_HKS_VAL_MV(B3582,"2019-12-31","2")</f>
        <v>12589131091.17</v>
      </c>
      <c r="M3582">
        <f>[1]!EM_S_VAL_PETTMDEDUCTED(B3582,E3582)</f>
        <v>19.4918571059507</v>
      </c>
      <c r="N3582" s="7">
        <f>[1]!EM_S_VAL_PBGOODWILLDEDUCTED(B3582,E3582)</f>
        <v>3.3103109796430901</v>
      </c>
      <c r="O3582" s="7">
        <f>[1]!EM_S_VAL_PS_TTM(B3582,E3582)</f>
        <v>4.8616564803469799</v>
      </c>
      <c r="P3582" s="7">
        <f>[1]!EM_S_VAL_PCF_NCFTTM(B3582,E3582)</f>
        <v>12.631195542389801</v>
      </c>
      <c r="Q3582" s="7">
        <f>[1]!EM_S_VAL_DIVIDENDYIELD2(B3582,E3582,"2019-11-29")</f>
        <v>0</v>
      </c>
      <c r="T3582"/>
      <c r="U3582">
        <f>[1]!EM_S_RATIO_EPS_TTM(B3582,E3582,"1")</f>
        <v>0.91121473631915129</v>
      </c>
      <c r="AT3582" s="4" t="str">
        <f>[1]!EM_S_IPO_LISTEDDATE(B3582)</f>
        <v>1999-08-24</v>
      </c>
    </row>
    <row r="3583" spans="1:46">
      <c r="A3583">
        <v>462</v>
      </c>
      <c r="B3583" t="str">
        <f>"000939"</f>
        <v>000939</v>
      </c>
      <c r="C3583" t="s">
        <v>1821</v>
      </c>
      <c r="D3583" t="str">
        <f>[1]!EM_S_INFO_INDEX_EM(B3583,"1")</f>
        <v>公用事业</v>
      </c>
      <c r="E3583" s="4">
        <f t="shared" si="55"/>
        <v>43465</v>
      </c>
      <c r="F3583" s="11">
        <f>[1]!EM_S_PQ_PCTCHANGE(B3583,"2018-01-01","2019-12-31","3")</f>
        <v>-78.957915830000005</v>
      </c>
      <c r="G3583" s="11"/>
      <c r="H3583" s="11">
        <f>[1]!EM_S_FA_YOY_OR(B3583,E3583)</f>
        <v>-56.084078637399998</v>
      </c>
      <c r="I3583" s="11">
        <f>[1]!EM_S_FA_GROSSPROFITMARGIN(B3583,E3583)</f>
        <v>-60.651524984600002</v>
      </c>
      <c r="J3583" s="11">
        <f>[1]!EM_S_FA_NETPROFITMARGIN(B3583,E3583)</f>
        <v>-202.4601265416</v>
      </c>
      <c r="K3583" s="10">
        <f>[1]!EM_S_FA_ASSETSTURN(B3583,E3583)</f>
        <v>6.7629096600999999E-2</v>
      </c>
      <c r="L3583" s="12">
        <f>[1]!EM_HKS_VAL_MV(B3583,"2019-12-31","2")</f>
        <v>4126075268.6999998</v>
      </c>
      <c r="M3583">
        <f>[1]!EM_S_VAL_PETTMDEDUCTED(B3583,E3583)</f>
        <v>-1.0425720716515601</v>
      </c>
      <c r="N3583" s="7">
        <f>[1]!EM_S_VAL_PBGOODWILLDEDUCTED(B3583,E3583)</f>
        <v>2.2501349507705699</v>
      </c>
      <c r="O3583" s="7">
        <f>[1]!EM_S_VAL_PS_TTM(B3583,E3583)</f>
        <v>1.3337159172992601</v>
      </c>
      <c r="P3583" s="7">
        <f>[1]!EM_S_VAL_PCF_NCFTTM(B3583,E3583)</f>
        <v>-2.2163368851348602</v>
      </c>
      <c r="Q3583" s="7">
        <f>[1]!EM_S_VAL_DIVIDENDYIELD2(B3583,E3583,"2019-11-29")</f>
        <v>0</v>
      </c>
      <c r="T3583"/>
      <c r="U3583">
        <f>[1]!EM_S_RATIO_EPS_TTM(B3583,E3583,"1")</f>
        <v>-1.2239417291916306</v>
      </c>
      <c r="AT3583" s="4" t="str">
        <f>[1]!EM_S_IPO_LISTEDDATE(B3583)</f>
        <v>1999-09-23</v>
      </c>
    </row>
    <row r="3584" spans="1:46">
      <c r="A3584">
        <v>468</v>
      </c>
      <c r="B3584" t="str">
        <f>"000953"</f>
        <v>000953</v>
      </c>
      <c r="C3584" t="s">
        <v>3153</v>
      </c>
      <c r="D3584" t="str">
        <f>[1]!EM_S_INFO_INDEX_EM(B3584,"1")</f>
        <v>基础化工</v>
      </c>
      <c r="E3584" s="4">
        <f t="shared" si="55"/>
        <v>43465</v>
      </c>
      <c r="F3584" s="11">
        <f>[1]!EM_S_PQ_PCTCHANGE(B3584,"2018-01-01","2019-12-31","3")</f>
        <v>-47.39393939</v>
      </c>
      <c r="G3584" s="11"/>
      <c r="H3584" s="11">
        <f>[1]!EM_S_FA_YOY_OR(B3584,E3584)</f>
        <v>4.6303702548999999</v>
      </c>
      <c r="I3584" s="11">
        <f>[1]!EM_S_FA_GROSSPROFITMARGIN(B3584,E3584)</f>
        <v>-15.458019524499999</v>
      </c>
      <c r="J3584" s="11">
        <f>[1]!EM_S_FA_NETPROFITMARGIN(B3584,E3584)</f>
        <v>-118.46936440659999</v>
      </c>
      <c r="K3584" s="10">
        <f>[1]!EM_S_FA_ASSETSTURN(B3584,E3584)</f>
        <v>0.38356477402400002</v>
      </c>
      <c r="L3584" s="12">
        <f>[1]!EM_HKS_VAL_MV(B3584,"2019-12-31","2")</f>
        <v>1276217956.5799999</v>
      </c>
      <c r="M3584">
        <f>[1]!EM_S_VAL_PETTMDEDUCTED(B3584,E3584)</f>
        <v>-7.9133136030170101</v>
      </c>
      <c r="N3584" s="7">
        <f>[1]!EM_S_VAL_PBGOODWILLDEDUCTED(B3584,E3584)</f>
        <v>-4.5791597385625504</v>
      </c>
      <c r="O3584" s="7">
        <f>[1]!EM_S_VAL_PS_TTM(B3584,E3584)</f>
        <v>4.9851915513366096</v>
      </c>
      <c r="P3584" s="7">
        <f>[1]!EM_S_VAL_PCF_NCFTTM(B3584,E3584)</f>
        <v>-114.956342255561</v>
      </c>
      <c r="Q3584" s="7">
        <f>[1]!EM_S_VAL_DIVIDENDYIELD2(B3584,E3584,"2019-11-29")</f>
        <v>0</v>
      </c>
      <c r="T3584"/>
      <c r="U3584">
        <f>[1]!EM_S_RATIO_EPS_TTM(B3584,E3584,"1")</f>
        <v>-0.93108280905128715</v>
      </c>
      <c r="AT3584" s="4" t="str">
        <f>[1]!EM_S_IPO_LISTEDDATE(B3584)</f>
        <v>1999-12-02</v>
      </c>
    </row>
    <row r="3585" spans="1:46">
      <c r="A3585">
        <v>469</v>
      </c>
      <c r="B3585" t="str">
        <f>"000955"</f>
        <v>000955</v>
      </c>
      <c r="C3585" t="s">
        <v>3438</v>
      </c>
      <c r="D3585" t="str">
        <f>[1]!EM_S_INFO_INDEX_EM(B3585,"1")</f>
        <v>纺织服装</v>
      </c>
      <c r="E3585" s="4">
        <f t="shared" si="55"/>
        <v>43465</v>
      </c>
      <c r="F3585" s="11">
        <f>[1]!EM_S_PQ_PCTCHANGE(B3585,"2018-01-01","2019-12-31","3")</f>
        <v>21.301775150000001</v>
      </c>
      <c r="G3585" s="11"/>
      <c r="H3585" s="11">
        <f>[1]!EM_S_FA_YOY_OR(B3585,E3585)</f>
        <v>17.5915371249</v>
      </c>
      <c r="I3585" s="11">
        <f>[1]!EM_S_FA_GROSSPROFITMARGIN(B3585,E3585)</f>
        <v>11.8817642109</v>
      </c>
      <c r="J3585" s="11">
        <f>[1]!EM_S_FA_NETPROFITMARGIN(B3585,E3585)</f>
        <v>-15.2483622933</v>
      </c>
      <c r="K3585" s="10">
        <f>[1]!EM_S_FA_ASSETSTURN(B3585,E3585)</f>
        <v>0.602549629004</v>
      </c>
      <c r="L3585" s="12">
        <f>[1]!EM_HKS_VAL_MV(B3585,"2019-12-31","2")</f>
        <v>4414839000</v>
      </c>
      <c r="M3585">
        <f>[1]!EM_S_VAL_PETTMDEDUCTED(B3585,E3585)</f>
        <v>-29.133131034255602</v>
      </c>
      <c r="N3585" s="7">
        <f>[1]!EM_S_VAL_PBGOODWILLDEDUCTED(B3585,E3585)</f>
        <v>3.54393342095939</v>
      </c>
      <c r="O3585" s="7">
        <f>[1]!EM_S_VAL_PS_TTM(B3585,E3585)</f>
        <v>3.0651175281750902</v>
      </c>
      <c r="P3585" s="7">
        <f>[1]!EM_S_VAL_PCF_NCFTTM(B3585,E3585)</f>
        <v>-23.473603987206999</v>
      </c>
      <c r="Q3585" s="7">
        <f>[1]!EM_S_VAL_DIVIDENDYIELD2(B3585,E3585,"2019-11-29")</f>
        <v>0</v>
      </c>
      <c r="T3585"/>
      <c r="U3585">
        <f>[1]!EM_S_RATIO_EPS_TTM(B3585,E3585,"1")</f>
        <v>-0.20195651300625003</v>
      </c>
      <c r="AT3585" s="4" t="str">
        <f>[1]!EM_S_IPO_LISTEDDATE(B3585)</f>
        <v>1999-12-09</v>
      </c>
    </row>
    <row r="3586" spans="1:46">
      <c r="A3586">
        <v>470</v>
      </c>
      <c r="B3586" t="str">
        <f>"000956"</f>
        <v>000956</v>
      </c>
      <c r="C3586" t="s">
        <v>3152</v>
      </c>
      <c r="D3586">
        <f>[1]!EM_S_INFO_INDEX_EM(B3586,"1")</f>
        <v>0</v>
      </c>
      <c r="E3586" s="4">
        <f t="shared" si="55"/>
        <v>43465</v>
      </c>
      <c r="F3586" s="11">
        <f>[1]!EM_S_PQ_PCTCHANGE(B3586,"2018-01-01","2019-12-31","3")</f>
        <v>0</v>
      </c>
      <c r="G3586" s="11"/>
      <c r="H3586" s="11">
        <f>[1]!EM_S_FA_YOY_OR(B3586,E3586)</f>
        <v>0</v>
      </c>
      <c r="I3586" s="11">
        <f>[1]!EM_S_FA_GROSSPROFITMARGIN(B3586,E3586)</f>
        <v>0</v>
      </c>
      <c r="J3586" s="11">
        <f>[1]!EM_S_FA_NETPROFITMARGIN(B3586,E3586)</f>
        <v>0</v>
      </c>
      <c r="K3586" s="10">
        <f>[1]!EM_S_FA_ASSETSTURN(B3586,E3586)</f>
        <v>0</v>
      </c>
      <c r="L3586" s="12">
        <f>[1]!EM_HKS_VAL_MV(B3586,"2019-12-31","2")</f>
        <v>10417081500</v>
      </c>
      <c r="M3586">
        <f>[1]!EM_S_VAL_PETTMDEDUCTED(B3586,E3586)</f>
        <v>13.1511606197682</v>
      </c>
      <c r="N3586" s="7">
        <f>[1]!EM_S_VAL_PBGOODWILLDEDUCTED(B3586,E3586)</f>
        <v>1.9082537751152899</v>
      </c>
      <c r="O3586" s="7">
        <f>[1]!EM_S_VAL_PS_TTM(B3586,E3586)</f>
        <v>0</v>
      </c>
      <c r="P3586" s="7">
        <f>[1]!EM_S_VAL_PCF_NCFTTM(B3586,E3586)</f>
        <v>-52.034696215222297</v>
      </c>
      <c r="Q3586" s="7">
        <f>[1]!EM_S_VAL_DIVIDENDYIELD2(B3586,E3586,"2019-11-29")</f>
        <v>0</v>
      </c>
      <c r="T3586"/>
      <c r="U3586">
        <f>[1]!EM_S_RATIO_EPS_TTM(B3586,E3586,"1")</f>
        <v>0.8458066328016921</v>
      </c>
      <c r="AT3586" s="4" t="str">
        <f>[1]!EM_S_IPO_LISTEDDATE(B3586)</f>
        <v>1999-11-10</v>
      </c>
    </row>
    <row r="3587" spans="1:46">
      <c r="A3587">
        <v>471</v>
      </c>
      <c r="B3587" t="str">
        <f>"000957"</f>
        <v>000957</v>
      </c>
      <c r="C3587" t="s">
        <v>3072</v>
      </c>
      <c r="D3587" t="str">
        <f>[1]!EM_S_INFO_INDEX_EM(B3587,"1")</f>
        <v>交运设备</v>
      </c>
      <c r="E3587" s="4">
        <f t="shared" ref="E3587:E3641" si="56">$B$1</f>
        <v>43465</v>
      </c>
      <c r="F3587" s="11">
        <f>[1]!EM_S_PQ_PCTCHANGE(B3587,"2018-01-01","2019-12-31","3")</f>
        <v>-38.91552085</v>
      </c>
      <c r="G3587" s="11"/>
      <c r="H3587" s="11">
        <f>[1]!EM_S_FA_YOY_OR(B3587,E3587)</f>
        <v>-22.581299084600001</v>
      </c>
      <c r="I3587" s="11">
        <f>[1]!EM_S_FA_GROSSPROFITMARGIN(B3587,E3587)</f>
        <v>16.331427438599999</v>
      </c>
      <c r="J3587" s="11">
        <f>[1]!EM_S_FA_NETPROFITMARGIN(B3587,E3587)</f>
        <v>0.60164040289999998</v>
      </c>
      <c r="K3587" s="10">
        <f>[1]!EM_S_FA_ASSETSTURN(B3587,E3587)</f>
        <v>0.49272410581800002</v>
      </c>
      <c r="L3587" s="12">
        <f>[1]!EM_HKS_VAL_MV(B3587,"2019-12-31","2")</f>
        <v>3954669253.1199999</v>
      </c>
      <c r="M3587">
        <f>[1]!EM_S_VAL_PETTMDEDUCTED(B3587,E3587)</f>
        <v>42.152803344676897</v>
      </c>
      <c r="N3587" s="7">
        <f>[1]!EM_S_VAL_PBGOODWILLDEDUCTED(B3587,E3587)</f>
        <v>0.97342706552761604</v>
      </c>
      <c r="O3587" s="7">
        <f>[1]!EM_S_VAL_PS_TTM(B3587,E3587)</f>
        <v>0.39113850902763397</v>
      </c>
      <c r="P3587" s="7">
        <f>[1]!EM_S_VAL_PCF_NCFTTM(B3587,E3587)</f>
        <v>-34.915431278638003</v>
      </c>
      <c r="Q3587" s="7">
        <f>[1]!EM_S_VAL_DIVIDENDYIELD2(B3587,E3587,"2019-11-29")</f>
        <v>0</v>
      </c>
      <c r="T3587"/>
      <c r="U3587">
        <f>[1]!EM_S_RATIO_EPS_TTM(B3587,E3587,"1")</f>
        <v>6.1681589039071588E-2</v>
      </c>
      <c r="AT3587" s="4" t="str">
        <f>[1]!EM_S_IPO_LISTEDDATE(B3587)</f>
        <v>2000-01-13</v>
      </c>
    </row>
    <row r="3588" spans="1:46">
      <c r="A3588">
        <v>482</v>
      </c>
      <c r="B3588" t="str">
        <f>"000969"</f>
        <v>000969</v>
      </c>
      <c r="C3588" t="s">
        <v>2940</v>
      </c>
      <c r="D3588" t="str">
        <f>[1]!EM_S_INFO_INDEX_EM(B3588,"1")</f>
        <v>有色金属</v>
      </c>
      <c r="E3588" s="4">
        <f t="shared" si="56"/>
        <v>43465</v>
      </c>
      <c r="F3588" s="11">
        <f>[1]!EM_S_PQ_PCTCHANGE(B3588,"2018-01-01","2019-12-31","3")</f>
        <v>-24.723035020000001</v>
      </c>
      <c r="G3588" s="11"/>
      <c r="H3588" s="11">
        <f>[1]!EM_S_FA_YOY_OR(B3588,E3588)</f>
        <v>8.4647793311000008</v>
      </c>
      <c r="I3588" s="11">
        <f>[1]!EM_S_FA_GROSSPROFITMARGIN(B3588,E3588)</f>
        <v>17.619121204100001</v>
      </c>
      <c r="J3588" s="11">
        <f>[1]!EM_S_FA_NETPROFITMARGIN(B3588,E3588)</f>
        <v>-6.5591125340999996</v>
      </c>
      <c r="K3588" s="10">
        <f>[1]!EM_S_FA_ASSETSTURN(B3588,E3588)</f>
        <v>0.51149666666799998</v>
      </c>
      <c r="L3588" s="12">
        <f>[1]!EM_HKS_VAL_MV(B3588,"2019-12-31","2")</f>
        <v>6833213926.0200005</v>
      </c>
      <c r="M3588">
        <f>[1]!EM_S_VAL_PETTMDEDUCTED(B3588,E3588)</f>
        <v>-29.578805395860901</v>
      </c>
      <c r="N3588" s="7">
        <f>[1]!EM_S_VAL_PBGOODWILLDEDUCTED(B3588,E3588)</f>
        <v>1.2833629058032401</v>
      </c>
      <c r="O3588" s="7">
        <f>[1]!EM_S_VAL_PS_TTM(B3588,E3588)</f>
        <v>0.92952761284799501</v>
      </c>
      <c r="P3588" s="7">
        <f>[1]!EM_S_VAL_PCF_NCFTTM(B3588,E3588)</f>
        <v>104.30514578720801</v>
      </c>
      <c r="Q3588" s="7">
        <f>[1]!EM_S_VAL_DIVIDENDYIELD2(B3588,E3588,"2019-11-29")</f>
        <v>0</v>
      </c>
      <c r="T3588"/>
      <c r="U3588">
        <f>[1]!EM_S_RATIO_EPS_TTM(B3588,E3588,"1")</f>
        <v>-0.21213883516749674</v>
      </c>
      <c r="AT3588" s="4" t="str">
        <f>[1]!EM_S_IPO_LISTEDDATE(B3588)</f>
        <v>2000-05-29</v>
      </c>
    </row>
    <row r="3589" spans="1:46">
      <c r="A3589">
        <v>484</v>
      </c>
      <c r="B3589" t="str">
        <f>"000971"</f>
        <v>000971</v>
      </c>
      <c r="C3589" t="s">
        <v>2708</v>
      </c>
      <c r="D3589" t="str">
        <f>[1]!EM_S_INFO_INDEX_EM(B3589,"1")</f>
        <v>互联网</v>
      </c>
      <c r="E3589" s="4">
        <f t="shared" si="56"/>
        <v>43465</v>
      </c>
      <c r="F3589" s="11">
        <f>[1]!EM_S_PQ_PCTCHANGE(B3589,"2018-01-01","2019-12-31","3")</f>
        <v>-62.984014969999997</v>
      </c>
      <c r="G3589" s="11"/>
      <c r="H3589" s="11">
        <f>[1]!EM_S_FA_YOY_OR(B3589,E3589)</f>
        <v>3.7567664315</v>
      </c>
      <c r="I3589" s="11">
        <f>[1]!EM_S_FA_GROSSPROFITMARGIN(B3589,E3589)</f>
        <v>21.166591538500001</v>
      </c>
      <c r="J3589" s="11">
        <f>[1]!EM_S_FA_NETPROFITMARGIN(B3589,E3589)</f>
        <v>-243.7523193259</v>
      </c>
      <c r="K3589" s="10">
        <f>[1]!EM_S_FA_ASSETSTURN(B3589,E3589)</f>
        <v>0.24794317831599999</v>
      </c>
      <c r="L3589" s="12">
        <f>[1]!EM_HKS_VAL_MV(B3589,"2019-12-31","2")</f>
        <v>3294329466.75</v>
      </c>
      <c r="M3589">
        <f>[1]!EM_S_VAL_PETTMDEDUCTED(B3589,E3589)</f>
        <v>69.1504938101818</v>
      </c>
      <c r="N3589" s="7">
        <f>[1]!EM_S_VAL_PBGOODWILLDEDUCTED(B3589,E3589)</f>
        <v>5.8125612495216101</v>
      </c>
      <c r="O3589" s="7">
        <f>[1]!EM_S_VAL_PS_TTM(B3589,E3589)</f>
        <v>4.07388732461113</v>
      </c>
      <c r="P3589" s="7">
        <f>[1]!EM_S_VAL_PCF_NCFTTM(B3589,E3589)</f>
        <v>479.57673869791898</v>
      </c>
      <c r="Q3589" s="7">
        <f>[1]!EM_S_VAL_DIVIDENDYIELD2(B3589,E3589,"2019-11-29")</f>
        <v>0</v>
      </c>
      <c r="T3589"/>
      <c r="U3589">
        <f>[1]!EM_S_RATIO_EPS_TTM(B3589,E3589,"1")</f>
        <v>-2.0175012975384932</v>
      </c>
      <c r="AT3589" s="4" t="str">
        <f>[1]!EM_S_IPO_LISTEDDATE(B3589)</f>
        <v>2000-04-27</v>
      </c>
    </row>
    <row r="3590" spans="1:46">
      <c r="A3590">
        <v>485</v>
      </c>
      <c r="B3590" t="str">
        <f>"000972"</f>
        <v>000972</v>
      </c>
      <c r="C3590" t="s">
        <v>3405</v>
      </c>
      <c r="D3590" t="str">
        <f>[1]!EM_S_INFO_INDEX_EM(B3590,"1")</f>
        <v>农林牧渔</v>
      </c>
      <c r="E3590" s="4">
        <f t="shared" si="56"/>
        <v>43465</v>
      </c>
      <c r="F3590" s="11">
        <f>[1]!EM_S_PQ_PCTCHANGE(B3590,"2018-01-01","2019-12-31","3")</f>
        <v>-17.422434370000001</v>
      </c>
      <c r="G3590" s="11"/>
      <c r="H3590" s="11">
        <f>[1]!EM_S_FA_YOY_OR(B3590,E3590)</f>
        <v>21.046311152200001</v>
      </c>
      <c r="I3590" s="11">
        <f>[1]!EM_S_FA_GROSSPROFITMARGIN(B3590,E3590)</f>
        <v>-17.857952953200002</v>
      </c>
      <c r="J3590" s="11">
        <f>[1]!EM_S_FA_NETPROFITMARGIN(B3590,E3590)</f>
        <v>-73.8459656287</v>
      </c>
      <c r="K3590" s="10">
        <f>[1]!EM_S_FA_ASSETSTURN(B3590,E3590)</f>
        <v>0.35069250858099998</v>
      </c>
      <c r="L3590" s="12">
        <f>[1]!EM_HKS_VAL_MV(B3590,"2019-12-31","2")</f>
        <v>2668641183.3400002</v>
      </c>
      <c r="M3590">
        <f>[1]!EM_S_VAL_PETTMDEDUCTED(B3590,E3590)</f>
        <v>-21.275879535102799</v>
      </c>
      <c r="N3590" s="7">
        <f>[1]!EM_S_VAL_PBGOODWILLDEDUCTED(B3590,E3590)</f>
        <v>4.8899065973039804</v>
      </c>
      <c r="O3590" s="7">
        <f>[1]!EM_S_VAL_PS_TTM(B3590,E3590)</f>
        <v>3.6467840988704898</v>
      </c>
      <c r="P3590" s="7">
        <f>[1]!EM_S_VAL_PCF_NCFTTM(B3590,E3590)</f>
        <v>-31.557616535193599</v>
      </c>
      <c r="Q3590" s="7">
        <f>[1]!EM_S_VAL_DIVIDENDYIELD2(B3590,E3590,"2019-11-29")</f>
        <v>0</v>
      </c>
      <c r="T3590"/>
      <c r="U3590">
        <f>[1]!EM_S_RATIO_EPS_TTM(B3590,E3590,"1")</f>
        <v>-0.54954413735807017</v>
      </c>
      <c r="AT3590" s="4" t="str">
        <f>[1]!EM_S_IPO_LISTEDDATE(B3590)</f>
        <v>2000-09-26</v>
      </c>
    </row>
    <row r="3591" spans="1:46">
      <c r="A3591">
        <v>488</v>
      </c>
      <c r="B3591" t="str">
        <f>"000976"</f>
        <v>000976</v>
      </c>
      <c r="C3591" t="s">
        <v>2665</v>
      </c>
      <c r="D3591" t="str">
        <f>[1]!EM_S_INFO_INDEX_EM(B3591,"1")</f>
        <v>交运设备</v>
      </c>
      <c r="E3591" s="4">
        <f t="shared" si="56"/>
        <v>43465</v>
      </c>
      <c r="F3591" s="11">
        <f>[1]!EM_S_PQ_PCTCHANGE(B3591,"2018-01-01","2019-12-31","3")</f>
        <v>-37.009803920000003</v>
      </c>
      <c r="G3591" s="11"/>
      <c r="H3591" s="11">
        <f>[1]!EM_S_FA_YOY_OR(B3591,E3591)</f>
        <v>-0.3982531768</v>
      </c>
      <c r="I3591" s="11">
        <f>[1]!EM_S_FA_GROSSPROFITMARGIN(B3591,E3591)</f>
        <v>30.659416796599999</v>
      </c>
      <c r="J3591" s="11">
        <f>[1]!EM_S_FA_NETPROFITMARGIN(B3591,E3591)</f>
        <v>7.7025900226999999</v>
      </c>
      <c r="K3591" s="10">
        <f>[1]!EM_S_FA_ASSETSTURN(B3591,E3591)</f>
        <v>0.34477888594099998</v>
      </c>
      <c r="L3591" s="12">
        <f>[1]!EM_HKS_VAL_MV(B3591,"2019-12-31","2")</f>
        <v>8201789011.4399996</v>
      </c>
      <c r="M3591">
        <f>[1]!EM_S_VAL_PETTMDEDUCTED(B3591,E3591)</f>
        <v>21.102732795163099</v>
      </c>
      <c r="N3591" s="7">
        <f>[1]!EM_S_VAL_PBGOODWILLDEDUCTED(B3591,E3591)</f>
        <v>4.18866792922584</v>
      </c>
      <c r="O3591" s="7">
        <f>[1]!EM_S_VAL_PS_TTM(B3591,E3591)</f>
        <v>4.2648893741737997</v>
      </c>
      <c r="P3591" s="7">
        <f>[1]!EM_S_VAL_PCF_NCFTTM(B3591,E3591)</f>
        <v>-42.359897106862697</v>
      </c>
      <c r="Q3591" s="7">
        <f>[1]!EM_S_VAL_DIVIDENDYIELD2(B3591,E3591,"2019-11-29")</f>
        <v>0</v>
      </c>
      <c r="T3591"/>
      <c r="U3591">
        <f>[1]!EM_S_RATIO_EPS_TTM(B3591,E3591,"1")</f>
        <v>9.126213151108388E-2</v>
      </c>
      <c r="AT3591" s="4" t="str">
        <f>[1]!EM_S_IPO_LISTEDDATE(B3591)</f>
        <v>2000-06-01</v>
      </c>
    </row>
    <row r="3592" spans="1:46">
      <c r="A3592">
        <v>491</v>
      </c>
      <c r="B3592" t="str">
        <f>"000979"</f>
        <v>000979</v>
      </c>
      <c r="C3592" t="s">
        <v>3604</v>
      </c>
      <c r="D3592">
        <f>[1]!EM_S_INFO_INDEX_EM(B3592,"1")</f>
        <v>0</v>
      </c>
      <c r="E3592" s="4">
        <f t="shared" si="56"/>
        <v>43465</v>
      </c>
      <c r="F3592" s="11">
        <f>[1]!EM_S_PQ_PCTCHANGE(B3592,"2018-01-01","2019-12-31","3")</f>
        <v>-88.659793809999996</v>
      </c>
      <c r="G3592" s="11"/>
      <c r="H3592" s="11">
        <f>[1]!EM_S_FA_YOY_OR(B3592,E3592)</f>
        <v>0</v>
      </c>
      <c r="I3592" s="11">
        <f>[1]!EM_S_FA_GROSSPROFITMARGIN(B3592,E3592)</f>
        <v>0</v>
      </c>
      <c r="J3592" s="11">
        <f>[1]!EM_S_FA_NETPROFITMARGIN(B3592,E3592)</f>
        <v>0</v>
      </c>
      <c r="K3592" s="10">
        <f>[1]!EM_S_FA_ASSETSTURN(B3592,E3592)</f>
        <v>0</v>
      </c>
      <c r="L3592" s="12">
        <f>[1]!EM_HKS_VAL_MV(B3592,"2019-12-31","2")</f>
        <v>1845932263.78</v>
      </c>
      <c r="M3592">
        <f>[1]!EM_S_VAL_PETTMDEDUCTED(B3592,E3592)</f>
        <v>-0.43090182178496</v>
      </c>
      <c r="N3592" s="7">
        <f>[1]!EM_S_VAL_PBGOODWILLDEDUCTED(B3592,E3592)</f>
        <v>0.62202414069510104</v>
      </c>
      <c r="O3592" s="7">
        <f>[1]!EM_S_VAL_PS_TTM(B3592,E3592)</f>
        <v>1.2862919038715901</v>
      </c>
      <c r="P3592" s="7">
        <f>[1]!EM_S_VAL_PCF_NCFTTM(B3592,E3592)</f>
        <v>-0.44218116616119302</v>
      </c>
      <c r="Q3592" s="7">
        <f>[1]!EM_S_VAL_DIVIDENDYIELD2(B3592,E3592,"2019-11-29")</f>
        <v>0</v>
      </c>
      <c r="T3592"/>
      <c r="U3592">
        <f>[1]!EM_S_RATIO_EPS_TTM(B3592,E3592,"1")</f>
        <v>-0.53378414705537236</v>
      </c>
      <c r="AT3592" s="4" t="str">
        <f>[1]!EM_S_IPO_LISTEDDATE(B3592)</f>
        <v>2000-06-16</v>
      </c>
    </row>
    <row r="3593" spans="1:46">
      <c r="A3593">
        <v>492</v>
      </c>
      <c r="B3593" t="str">
        <f>"000980"</f>
        <v>000980</v>
      </c>
      <c r="C3593" t="s">
        <v>2397</v>
      </c>
      <c r="D3593" t="str">
        <f>[1]!EM_S_INFO_INDEX_EM(B3593,"1")</f>
        <v>交运设备</v>
      </c>
      <c r="E3593" s="4">
        <f t="shared" si="56"/>
        <v>43465</v>
      </c>
      <c r="F3593" s="11">
        <f>[1]!EM_S_PQ_PCTCHANGE(B3593,"2018-01-01","2019-12-31","3")</f>
        <v>-75.432814179999994</v>
      </c>
      <c r="G3593" s="11"/>
      <c r="H3593" s="11">
        <f>[1]!EM_S_FA_YOY_OR(B3593,E3593)</f>
        <v>-29.031847105299999</v>
      </c>
      <c r="I3593" s="11">
        <f>[1]!EM_S_FA_GROSSPROFITMARGIN(B3593,E3593)</f>
        <v>13.5407207691</v>
      </c>
      <c r="J3593" s="11">
        <f>[1]!EM_S_FA_NETPROFITMARGIN(B3593,E3593)</f>
        <v>5.4236050223000003</v>
      </c>
      <c r="K3593" s="10">
        <f>[1]!EM_S_FA_ASSETSTURN(B3593,E3593)</f>
        <v>0.44978623587700001</v>
      </c>
      <c r="L3593" s="12">
        <f>[1]!EM_HKS_VAL_MV(B3593,"2019-12-31","2")</f>
        <v>5941076873.8400002</v>
      </c>
      <c r="M3593">
        <f>[1]!EM_S_VAL_PETTMDEDUCTED(B3593,E3593)</f>
        <v>8.6522028713586003</v>
      </c>
      <c r="N3593" s="7">
        <f>[1]!EM_S_VAL_PBGOODWILLDEDUCTED(B3593,E3593)</f>
        <v>0.77627704604911596</v>
      </c>
      <c r="O3593" s="7">
        <f>[1]!EM_S_VAL_PS_TTM(B3593,E3593)</f>
        <v>0.38893010667528899</v>
      </c>
      <c r="P3593" s="7">
        <f>[1]!EM_S_VAL_PCF_NCFTTM(B3593,E3593)</f>
        <v>-6.0664537668068803</v>
      </c>
      <c r="Q3593" s="7">
        <f>[1]!EM_S_VAL_DIVIDENDYIELD2(B3593,E3593,"2019-11-29")</f>
        <v>0</v>
      </c>
      <c r="T3593"/>
      <c r="U3593">
        <f>[1]!EM_S_RATIO_EPS_TTM(B3593,E3593,"1")</f>
        <v>0.39448544314052547</v>
      </c>
      <c r="AT3593" s="4" t="str">
        <f>[1]!EM_S_IPO_LISTEDDATE(B3593)</f>
        <v>2000-06-16</v>
      </c>
    </row>
    <row r="3594" spans="1:46">
      <c r="A3594">
        <v>493</v>
      </c>
      <c r="B3594" t="str">
        <f>"000981"</f>
        <v>000981</v>
      </c>
      <c r="C3594" t="s">
        <v>1115</v>
      </c>
      <c r="D3594" t="str">
        <f>[1]!EM_S_INFO_INDEX_EM(B3594,"1")</f>
        <v>交运设备</v>
      </c>
      <c r="E3594" s="4">
        <f t="shared" si="56"/>
        <v>43465</v>
      </c>
      <c r="F3594" s="11">
        <f>[1]!EM_S_PQ_PCTCHANGE(B3594,"2018-01-01","2019-12-31","3")</f>
        <v>-77.50059985</v>
      </c>
      <c r="G3594" s="11"/>
      <c r="H3594" s="11">
        <f>[1]!EM_S_FA_YOY_OR(B3594,E3594)</f>
        <v>-29.387227657699999</v>
      </c>
      <c r="I3594" s="11">
        <f>[1]!EM_S_FA_GROSSPROFITMARGIN(B3594,E3594)</f>
        <v>28.451729657800001</v>
      </c>
      <c r="J3594" s="11">
        <f>[1]!EM_S_FA_NETPROFITMARGIN(B3594,E3594)</f>
        <v>-5.2823575490000003</v>
      </c>
      <c r="K3594" s="10">
        <f>[1]!EM_S_FA_ASSETSTURN(B3594,E3594)</f>
        <v>0.22224416347100001</v>
      </c>
      <c r="L3594" s="12">
        <f>[1]!EM_HKS_VAL_MV(B3594,"2019-12-31","2")</f>
        <v>7411501382.8800001</v>
      </c>
      <c r="M3594">
        <f>[1]!EM_S_VAL_PETTMDEDUCTED(B3594,E3594)</f>
        <v>-116.072943863397</v>
      </c>
      <c r="N3594" s="7">
        <f>[1]!EM_S_VAL_PBGOODWILLDEDUCTED(B3594,E3594)</f>
        <v>1.4650391782047301</v>
      </c>
      <c r="O3594" s="7">
        <f>[1]!EM_S_VAL_PS_TTM(B3594,E3594)</f>
        <v>1.18792578570565</v>
      </c>
      <c r="P3594" s="7">
        <f>[1]!EM_S_VAL_PCF_NCFTTM(B3594,E3594)</f>
        <v>-7.5748747262263896</v>
      </c>
      <c r="Q3594" s="7">
        <f>[1]!EM_S_VAL_DIVIDENDYIELD2(B3594,E3594,"2019-11-29")</f>
        <v>0</v>
      </c>
      <c r="T3594"/>
      <c r="U3594">
        <f>[1]!EM_S_RATIO_EPS_TTM(B3594,E3594,"1")</f>
        <v>-0.14235867903056465</v>
      </c>
      <c r="AT3594" s="4" t="str">
        <f>[1]!EM_S_IPO_LISTEDDATE(B3594)</f>
        <v>2000-06-22</v>
      </c>
    </row>
    <row r="3595" spans="1:46">
      <c r="A3595">
        <v>494</v>
      </c>
      <c r="B3595" t="str">
        <f>"000982"</f>
        <v>000982</v>
      </c>
      <c r="C3595" t="s">
        <v>3645</v>
      </c>
      <c r="D3595" t="str">
        <f>[1]!EM_S_INFO_INDEX_EM(B3595,"1")</f>
        <v>纺织服装</v>
      </c>
      <c r="E3595" s="4">
        <f t="shared" si="56"/>
        <v>43465</v>
      </c>
      <c r="F3595" s="11">
        <f>[1]!EM_S_PQ_PCTCHANGE(B3595,"2018-01-01","2019-12-31","3")</f>
        <v>-46.857142860000003</v>
      </c>
      <c r="G3595" s="11"/>
      <c r="H3595" s="11">
        <f>[1]!EM_S_FA_YOY_OR(B3595,E3595)</f>
        <v>-27.778492418799999</v>
      </c>
      <c r="I3595" s="11">
        <f>[1]!EM_S_FA_GROSSPROFITMARGIN(B3595,E3595)</f>
        <v>1.6684835025</v>
      </c>
      <c r="J3595" s="11">
        <f>[1]!EM_S_FA_NETPROFITMARGIN(B3595,E3595)</f>
        <v>-148.06290050679999</v>
      </c>
      <c r="K3595" s="10">
        <f>[1]!EM_S_FA_ASSETSTURN(B3595,E3595)</f>
        <v>0.19673606008</v>
      </c>
      <c r="L3595" s="12">
        <f>[1]!EM_HKS_VAL_MV(B3595,"2019-12-31","2")</f>
        <v>7927091318.5799999</v>
      </c>
      <c r="M3595">
        <f>[1]!EM_S_VAL_PETTMDEDUCTED(B3595,E3595)</f>
        <v>-2.6656737600989402</v>
      </c>
      <c r="N3595" s="7">
        <f>[1]!EM_S_VAL_PBGOODWILLDEDUCTED(B3595,E3595)</f>
        <v>-2.12998054949152</v>
      </c>
      <c r="O3595" s="7">
        <f>[1]!EM_S_VAL_PS_TTM(B3595,E3595)</f>
        <v>0.85898254529238605</v>
      </c>
      <c r="P3595" s="7">
        <f>[1]!EM_S_VAL_PCF_NCFTTM(B3595,E3595)</f>
        <v>-96.293160203730693</v>
      </c>
      <c r="Q3595" s="7">
        <f>[1]!EM_S_VAL_DIVIDENDYIELD2(B3595,E3595,"2019-11-29")</f>
        <v>0</v>
      </c>
      <c r="T3595"/>
      <c r="U3595">
        <f>[1]!EM_S_RATIO_EPS_TTM(B3595,E3595,"1")</f>
        <v>-1.6526136221523804</v>
      </c>
      <c r="AT3595" s="4" t="str">
        <f>[1]!EM_S_IPO_LISTEDDATE(B3595)</f>
        <v>2000-07-06</v>
      </c>
    </row>
    <row r="3596" spans="1:46">
      <c r="A3596">
        <v>496</v>
      </c>
      <c r="B3596" t="str">
        <f>"000985"</f>
        <v>000985</v>
      </c>
      <c r="C3596" t="s">
        <v>3443</v>
      </c>
      <c r="D3596" t="str">
        <f>[1]!EM_S_INFO_INDEX_EM(B3596,"1")</f>
        <v>基础化工</v>
      </c>
      <c r="E3596" s="4">
        <f t="shared" si="56"/>
        <v>43465</v>
      </c>
      <c r="F3596" s="11">
        <f>[1]!EM_S_PQ_PCTCHANGE(B3596,"2018-01-01","2019-12-31","3")</f>
        <v>-20.128688189999998</v>
      </c>
      <c r="G3596" s="11"/>
      <c r="H3596" s="11">
        <f>[1]!EM_S_FA_YOY_OR(B3596,E3596)</f>
        <v>10.4394784798</v>
      </c>
      <c r="I3596" s="11">
        <f>[1]!EM_S_FA_GROSSPROFITMARGIN(B3596,E3596)</f>
        <v>5.9097968306000004</v>
      </c>
      <c r="J3596" s="11">
        <f>[1]!EM_S_FA_NETPROFITMARGIN(B3596,E3596)</f>
        <v>-0.1703986562</v>
      </c>
      <c r="K3596" s="10">
        <f>[1]!EM_S_FA_ASSETSTURN(B3596,E3596)</f>
        <v>2.4265445753370001</v>
      </c>
      <c r="L3596" s="12">
        <f>[1]!EM_HKS_VAL_MV(B3596,"2019-12-31","2")</f>
        <v>2131273380</v>
      </c>
      <c r="M3596">
        <f>[1]!EM_S_VAL_PETTMDEDUCTED(B3596,E3596)</f>
        <v>-152.57903862940199</v>
      </c>
      <c r="N3596" s="7">
        <f>[1]!EM_S_VAL_PBGOODWILLDEDUCTED(B3596,E3596)</f>
        <v>3.05474099272611</v>
      </c>
      <c r="O3596" s="7">
        <f>[1]!EM_S_VAL_PS_TTM(B3596,E3596)</f>
        <v>1.0359685217180801</v>
      </c>
      <c r="P3596" s="7">
        <f>[1]!EM_S_VAL_PCF_NCFTTM(B3596,E3596)</f>
        <v>-74.874051336631894</v>
      </c>
      <c r="Q3596" s="7">
        <f>[1]!EM_S_VAL_DIVIDENDYIELD2(B3596,E3596,"2019-11-29")</f>
        <v>0</v>
      </c>
      <c r="T3596"/>
      <c r="U3596">
        <f>[1]!EM_S_RATIO_EPS_TTM(B3596,E3596,"1")</f>
        <v>-2.2215645925817363E-2</v>
      </c>
      <c r="AT3596" s="4" t="str">
        <f>[1]!EM_S_IPO_LISTEDDATE(B3596)</f>
        <v>2000-07-26</v>
      </c>
    </row>
    <row r="3597" spans="1:46">
      <c r="A3597">
        <v>497</v>
      </c>
      <c r="B3597" t="str">
        <f>"000987"</f>
        <v>000987</v>
      </c>
      <c r="C3597" t="s">
        <v>2374</v>
      </c>
      <c r="D3597" t="str">
        <f>[1]!EM_S_INFO_INDEX_EM(B3597,"1")</f>
        <v>金融</v>
      </c>
      <c r="E3597" s="4">
        <f t="shared" si="56"/>
        <v>43465</v>
      </c>
      <c r="F3597" s="11">
        <f>[1]!EM_S_PQ_PCTCHANGE(B3597,"2018-01-01","2019-12-31","3")</f>
        <v>0.13604029000000001</v>
      </c>
      <c r="G3597" s="11"/>
      <c r="H3597" s="11">
        <f>[1]!EM_S_FA_YOY_OR(B3597,E3597)</f>
        <v>25.135438235799999</v>
      </c>
      <c r="I3597" s="11">
        <f>[1]!EM_S_FA_GROSSPROFITMARGIN(B3597,E3597)</f>
        <v>0</v>
      </c>
      <c r="J3597" s="11">
        <f>[1]!EM_S_FA_NETPROFITMARGIN(B3597,E3597)</f>
        <v>9.1095725129999998</v>
      </c>
      <c r="K3597" s="10">
        <f>[1]!EM_S_FA_ASSETSTURN(B3597,E3597)</f>
        <v>0</v>
      </c>
      <c r="L3597" s="12">
        <f>[1]!EM_HKS_VAL_MV(B3597,"2019-12-31","2")</f>
        <v>26620395571.18</v>
      </c>
      <c r="M3597">
        <f>[1]!EM_S_VAL_PETTMDEDUCTED(B3597,E3597)</f>
        <v>50.6643307787214</v>
      </c>
      <c r="N3597" s="7">
        <f>[1]!EM_S_VAL_PBGOODWILLDEDUCTED(B3597,E3597)</f>
        <v>1.3038586151048299</v>
      </c>
      <c r="O3597" s="7">
        <f>[1]!EM_S_VAL_PS_TTM(B3597,E3597)</f>
        <v>3.7430847793705602</v>
      </c>
      <c r="P3597" s="7">
        <f>[1]!EM_S_VAL_PCF_NCFTTM(B3597,E3597)</f>
        <v>67.022771285257804</v>
      </c>
      <c r="Q3597" s="7">
        <f>[1]!EM_S_VAL_DIVIDENDYIELD2(B3597,E3597,"2019-11-29")</f>
        <v>1.0625737898465171</v>
      </c>
      <c r="T3597"/>
      <c r="U3597">
        <f>[1]!EM_S_RATIO_EPS_TTM(B3597,E3597,"1")</f>
        <v>0.16345936321749849</v>
      </c>
      <c r="AT3597" s="4" t="str">
        <f>[1]!EM_S_IPO_LISTEDDATE(B3597)</f>
        <v>2000-07-18</v>
      </c>
    </row>
    <row r="3598" spans="1:46">
      <c r="A3598">
        <v>499</v>
      </c>
      <c r="B3598" t="str">
        <f>"000989"</f>
        <v>000989</v>
      </c>
      <c r="C3598" t="s">
        <v>765</v>
      </c>
      <c r="D3598" t="str">
        <f>[1]!EM_S_INFO_INDEX_EM(B3598,"1")</f>
        <v>医药生物</v>
      </c>
      <c r="E3598" s="4">
        <f t="shared" si="56"/>
        <v>43465</v>
      </c>
      <c r="F3598" s="11">
        <f>[1]!EM_S_PQ_PCTCHANGE(B3598,"2018-01-01","2019-12-31","3")</f>
        <v>-52.053804030000002</v>
      </c>
      <c r="G3598" s="11"/>
      <c r="H3598" s="11">
        <f>[1]!EM_S_FA_YOY_OR(B3598,E3598)</f>
        <v>-18.605445463399999</v>
      </c>
      <c r="I3598" s="11">
        <f>[1]!EM_S_FA_GROSSPROFITMARGIN(B3598,E3598)</f>
        <v>61.9861519743</v>
      </c>
      <c r="J3598" s="11">
        <f>[1]!EM_S_FA_NETPROFITMARGIN(B3598,E3598)</f>
        <v>10.3571504209</v>
      </c>
      <c r="K3598" s="10">
        <f>[1]!EM_S_FA_ASSETSTURN(B3598,E3598)</f>
        <v>0.56141878760599995</v>
      </c>
      <c r="L3598" s="12">
        <f>[1]!EM_HKS_VAL_MV(B3598,"2019-12-31","2")</f>
        <v>7259107870.6000004</v>
      </c>
      <c r="M3598">
        <f>[1]!EM_S_VAL_PETTMDEDUCTED(B3598,E3598)</f>
        <v>18.6157938066364</v>
      </c>
      <c r="N3598" s="7">
        <f>[1]!EM_S_VAL_PBGOODWILLDEDUCTED(B3598,E3598)</f>
        <v>2.0516435011069101</v>
      </c>
      <c r="O3598" s="7">
        <f>[1]!EM_S_VAL_PS_TTM(B3598,E3598)</f>
        <v>2.34701961660096</v>
      </c>
      <c r="P3598" s="7">
        <f>[1]!EM_S_VAL_PCF_NCFTTM(B3598,E3598)</f>
        <v>30.348955038872401</v>
      </c>
      <c r="Q3598" s="7">
        <f>[1]!EM_S_VAL_DIVIDENDYIELD2(B3598,E3598,"2019-11-29")</f>
        <v>5</v>
      </c>
      <c r="T3598"/>
      <c r="U3598">
        <f>[1]!EM_S_RATIO_EPS_TTM(B3598,E3598,"1")</f>
        <v>0.37650272245294492</v>
      </c>
      <c r="AT3598" s="4" t="str">
        <f>[1]!EM_S_IPO_LISTEDDATE(B3598)</f>
        <v>2000-06-28</v>
      </c>
    </row>
    <row r="3599" spans="1:46">
      <c r="A3599">
        <v>501</v>
      </c>
      <c r="B3599" t="str">
        <f>"000991"</f>
        <v>000991</v>
      </c>
      <c r="C3599" t="s">
        <v>3151</v>
      </c>
      <c r="D3599">
        <f>[1]!EM_S_INFO_INDEX_EM(B3599,"1")</f>
        <v>0</v>
      </c>
      <c r="E3599" s="4">
        <f t="shared" si="56"/>
        <v>43465</v>
      </c>
      <c r="F3599" s="11">
        <f>[1]!EM_S_PQ_PCTCHANGE(B3599,"2018-01-01","2019-12-31","3")</f>
        <v>0</v>
      </c>
      <c r="G3599" s="11"/>
      <c r="H3599" s="11">
        <f>[1]!EM_S_FA_YOY_OR(B3599,E3599)</f>
        <v>0</v>
      </c>
      <c r="I3599" s="11">
        <f>[1]!EM_S_FA_GROSSPROFITMARGIN(B3599,E3599)</f>
        <v>0</v>
      </c>
      <c r="J3599" s="11">
        <f>[1]!EM_S_FA_NETPROFITMARGIN(B3599,E3599)</f>
        <v>0</v>
      </c>
      <c r="K3599" s="10">
        <f>[1]!EM_S_FA_ASSETSTURN(B3599,E3599)</f>
        <v>0</v>
      </c>
      <c r="L3599" s="12">
        <f>[1]!EM_HKS_VAL_MV(B3599,"2019-12-31","2")</f>
        <v>0</v>
      </c>
      <c r="M3599">
        <f>[1]!EM_S_VAL_PETTMDEDUCTED(B3599,E3599)</f>
        <v>0</v>
      </c>
      <c r="N3599" s="7">
        <f>[1]!EM_S_VAL_PBGOODWILLDEDUCTED(B3599,E3599)</f>
        <v>0</v>
      </c>
      <c r="O3599" s="7">
        <f>[1]!EM_S_VAL_PS_TTM(B3599,E3599)</f>
        <v>0</v>
      </c>
      <c r="P3599" s="7">
        <f>[1]!EM_S_VAL_PCF_NCFTTM(B3599,E3599)</f>
        <v>0</v>
      </c>
      <c r="Q3599" s="7">
        <f>[1]!EM_S_VAL_DIVIDENDYIELD2(B3599,E3599,"2019-11-29")</f>
        <v>0</v>
      </c>
      <c r="T3599"/>
      <c r="U3599">
        <f>[1]!EM_S_RATIO_EPS_TTM(B3599,E3599,"1")</f>
        <v>0.29234016974285715</v>
      </c>
      <c r="AT3599" s="4">
        <f>[1]!EM_S_IPO_LISTEDDATE(B3599)</f>
        <v>0</v>
      </c>
    </row>
    <row r="3600" spans="1:46">
      <c r="A3600">
        <v>502</v>
      </c>
      <c r="B3600" t="str">
        <f>"000993"</f>
        <v>000993</v>
      </c>
      <c r="C3600" t="s">
        <v>3560</v>
      </c>
      <c r="D3600" t="str">
        <f>[1]!EM_S_INFO_INDEX_EM(B3600,"1")</f>
        <v>公用事业</v>
      </c>
      <c r="E3600" s="4">
        <f t="shared" si="56"/>
        <v>43465</v>
      </c>
      <c r="F3600" s="11">
        <f>[1]!EM_S_PQ_PCTCHANGE(B3600,"2018-01-01","2019-12-31","3")</f>
        <v>-7.2060682700000003</v>
      </c>
      <c r="G3600" s="11"/>
      <c r="H3600" s="11">
        <f>[1]!EM_S_FA_YOY_OR(B3600,E3600)</f>
        <v>-38.110868719499997</v>
      </c>
      <c r="I3600" s="11">
        <f>[1]!EM_S_FA_GROSSPROFITMARGIN(B3600,E3600)</f>
        <v>41.925545819299998</v>
      </c>
      <c r="J3600" s="11">
        <f>[1]!EM_S_FA_NETPROFITMARGIN(B3600,E3600)</f>
        <v>-71.307115366399998</v>
      </c>
      <c r="K3600" s="10">
        <f>[1]!EM_S_FA_ASSETSTURN(B3600,E3600)</f>
        <v>0.13463732308599999</v>
      </c>
      <c r="L3600" s="12">
        <f>[1]!EM_HKS_VAL_MV(B3600,"2019-12-31","2")</f>
        <v>3361363679.6999998</v>
      </c>
      <c r="M3600">
        <f>[1]!EM_S_VAL_PETTMDEDUCTED(B3600,E3600)</f>
        <v>-13.1849456525597</v>
      </c>
      <c r="N3600" s="7">
        <f>[1]!EM_S_VAL_PBGOODWILLDEDUCTED(B3600,E3600)</f>
        <v>1.1643739621120901</v>
      </c>
      <c r="O3600" s="7">
        <f>[1]!EM_S_VAL_PS_TTM(B3600,E3600)</f>
        <v>3.7672692153173699</v>
      </c>
      <c r="P3600" s="7">
        <f>[1]!EM_S_VAL_PCF_NCFTTM(B3600,E3600)</f>
        <v>11.9714358881784</v>
      </c>
      <c r="Q3600" s="7">
        <f>[1]!EM_S_VAL_DIVIDENDYIELD2(B3600,E3600,"2019-11-29")</f>
        <v>0</v>
      </c>
      <c r="T3600"/>
      <c r="U3600">
        <f>[1]!EM_S_RATIO_EPS_TTM(B3600,E3600,"1")</f>
        <v>-0.85244229279716999</v>
      </c>
      <c r="AT3600" s="4" t="str">
        <f>[1]!EM_S_IPO_LISTEDDATE(B3600)</f>
        <v>2000-07-31</v>
      </c>
    </row>
    <row r="3601" spans="1:46">
      <c r="A3601">
        <v>503</v>
      </c>
      <c r="B3601" t="str">
        <f>"000995"</f>
        <v>000995</v>
      </c>
      <c r="C3601" t="s">
        <v>3150</v>
      </c>
      <c r="D3601" t="str">
        <f>[1]!EM_S_INFO_INDEX_EM(B3601,"1")</f>
        <v>食品饮料</v>
      </c>
      <c r="E3601" s="4">
        <f t="shared" si="56"/>
        <v>43465</v>
      </c>
      <c r="F3601" s="11">
        <f>[1]!EM_S_PQ_PCTCHANGE(B3601,"2018-01-01","2019-12-31","3")</f>
        <v>-47.689075629999998</v>
      </c>
      <c r="G3601" s="11"/>
      <c r="H3601" s="11">
        <f>[1]!EM_S_FA_YOY_OR(B3601,E3601)</f>
        <v>-46.469206867700002</v>
      </c>
      <c r="I3601" s="11">
        <f>[1]!EM_S_FA_GROSSPROFITMARGIN(B3601,E3601)</f>
        <v>24.073094411700001</v>
      </c>
      <c r="J3601" s="11">
        <f>[1]!EM_S_FA_NETPROFITMARGIN(B3601,E3601)</f>
        <v>-374.70757579420001</v>
      </c>
      <c r="K3601" s="10">
        <f>[1]!EM_S_FA_ASSETSTURN(B3601,E3601)</f>
        <v>0.106023309831</v>
      </c>
      <c r="L3601" s="12">
        <f>[1]!EM_HKS_VAL_MV(B3601,"2019-12-31","2")</f>
        <v>1325237760</v>
      </c>
      <c r="M3601">
        <f>[1]!EM_S_VAL_PETTMDEDUCTED(B3601,E3601)</f>
        <v>-5.82177269742881</v>
      </c>
      <c r="N3601" s="7">
        <f>[1]!EM_S_VAL_PBGOODWILLDEDUCTED(B3601,E3601)</f>
        <v>-3.9030151642544801</v>
      </c>
      <c r="O3601" s="7">
        <f>[1]!EM_S_VAL_PS_TTM(B3601,E3601)</f>
        <v>56.431688074961897</v>
      </c>
      <c r="P3601" s="7">
        <f>[1]!EM_S_VAL_PCF_NCFTTM(B3601,E3601)</f>
        <v>-509.301626484971</v>
      </c>
      <c r="Q3601" s="7">
        <f>[1]!EM_S_VAL_DIVIDENDYIELD2(B3601,E3601,"2019-11-29")</f>
        <v>0</v>
      </c>
      <c r="T3601"/>
      <c r="U3601">
        <f>[1]!EM_S_RATIO_EPS_TTM(B3601,E3601,"1")</f>
        <v>-0.53820284834956711</v>
      </c>
      <c r="AT3601" s="4" t="str">
        <f>[1]!EM_S_IPO_LISTEDDATE(B3601)</f>
        <v>2000-08-07</v>
      </c>
    </row>
    <row r="3602" spans="1:46">
      <c r="A3602">
        <v>509</v>
      </c>
      <c r="B3602" t="str">
        <f>"001896"</f>
        <v>001896</v>
      </c>
      <c r="C3602" t="s">
        <v>3578</v>
      </c>
      <c r="D3602" t="str">
        <f>[1]!EM_S_INFO_INDEX_EM(B3602,"1")</f>
        <v>公用事业</v>
      </c>
      <c r="E3602" s="4">
        <f t="shared" si="56"/>
        <v>43465</v>
      </c>
      <c r="F3602" s="11">
        <f>[1]!EM_S_PQ_PCTCHANGE(B3602,"2018-01-01","2019-12-31","3")</f>
        <v>-34.317343170000001</v>
      </c>
      <c r="G3602" s="11"/>
      <c r="H3602" s="11">
        <f>[1]!EM_S_FA_YOY_OR(B3602,E3602)</f>
        <v>-7.7477714421000003</v>
      </c>
      <c r="I3602" s="11">
        <f>[1]!EM_S_FA_GROSSPROFITMARGIN(B3602,E3602)</f>
        <v>-3.2894495697999999</v>
      </c>
      <c r="J3602" s="11">
        <f>[1]!EM_S_FA_NETPROFITMARGIN(B3602,E3602)</f>
        <v>-10.7937243109</v>
      </c>
      <c r="K3602" s="10">
        <f>[1]!EM_S_FA_ASSETSTURN(B3602,E3602)</f>
        <v>0.382944759463</v>
      </c>
      <c r="L3602" s="12">
        <f>[1]!EM_HKS_VAL_MV(B3602,"2019-12-31","2")</f>
        <v>4096092735.3200002</v>
      </c>
      <c r="M3602">
        <f>[1]!EM_S_VAL_PETTMDEDUCTED(B3602,E3602)</f>
        <v>-9.2121944096450594</v>
      </c>
      <c r="N3602" s="7">
        <f>[1]!EM_S_VAL_PBGOODWILLDEDUCTED(B3602,E3602)</f>
        <v>0.61640295235904496</v>
      </c>
      <c r="O3602" s="7">
        <f>[1]!EM_S_VAL_PS_TTM(B3602,E3602)</f>
        <v>0.37837479156159598</v>
      </c>
      <c r="P3602" s="7">
        <f>[1]!EM_S_VAL_PCF_NCFTTM(B3602,E3602)</f>
        <v>-62.378129419207099</v>
      </c>
      <c r="Q3602" s="7">
        <f>[1]!EM_S_VAL_DIVIDENDYIELD2(B3602,E3602,"2019-11-29")</f>
        <v>0</v>
      </c>
      <c r="T3602"/>
      <c r="U3602">
        <f>[1]!EM_S_RATIO_EPS_TTM(B3602,E3602,"1")</f>
        <v>-0.5739679491591223</v>
      </c>
      <c r="AT3602" s="4" t="str">
        <f>[1]!EM_S_IPO_LISTEDDATE(B3602)</f>
        <v>1998-01-22</v>
      </c>
    </row>
    <row r="3603" spans="1:46">
      <c r="A3603">
        <v>513</v>
      </c>
      <c r="B3603" t="str">
        <f>"002002"</f>
        <v>002002</v>
      </c>
      <c r="C3603" t="s">
        <v>418</v>
      </c>
      <c r="D3603" t="str">
        <f>[1]!EM_S_INFO_INDEX_EM(B3603,"1")</f>
        <v>基础化工</v>
      </c>
      <c r="E3603" s="4">
        <f t="shared" si="56"/>
        <v>43465</v>
      </c>
      <c r="F3603" s="11">
        <f>[1]!EM_S_PQ_PCTCHANGE(B3603,"2018-01-01","2019-12-31","3")</f>
        <v>-37.338589290000002</v>
      </c>
      <c r="G3603" s="11"/>
      <c r="H3603" s="11">
        <f>[1]!EM_S_FA_YOY_OR(B3603,E3603)</f>
        <v>-7.5822409966000004</v>
      </c>
      <c r="I3603" s="11">
        <f>[1]!EM_S_FA_GROSSPROFITMARGIN(B3603,E3603)</f>
        <v>32.3973333956</v>
      </c>
      <c r="J3603" s="11">
        <f>[1]!EM_S_FA_NETPROFITMARGIN(B3603,E3603)</f>
        <v>10.123684413499999</v>
      </c>
      <c r="K3603" s="10">
        <f>[1]!EM_S_FA_ASSETSTURN(B3603,E3603)</f>
        <v>0.42449339559499999</v>
      </c>
      <c r="L3603" s="12">
        <f>[1]!EM_HKS_VAL_MV(B3603,"2019-12-31","2")</f>
        <v>10769049362.24</v>
      </c>
      <c r="M3603">
        <f>[1]!EM_S_VAL_PETTMDEDUCTED(B3603,E3603)</f>
        <v>9.3293481419615905</v>
      </c>
      <c r="N3603" s="7">
        <f>[1]!EM_S_VAL_PBGOODWILLDEDUCTED(B3603,E3603)</f>
        <v>1.2243967916206799</v>
      </c>
      <c r="O3603" s="7">
        <f>[1]!EM_S_VAL_PS_TTM(B3603,E3603)</f>
        <v>1.2340016443103901</v>
      </c>
      <c r="P3603" s="7">
        <f>[1]!EM_S_VAL_PCF_NCFTTM(B3603,E3603)</f>
        <v>-12.5427619323317</v>
      </c>
      <c r="Q3603" s="7">
        <f>[1]!EM_S_VAL_DIVIDENDYIELD2(B3603,E3603,"2019-11-29")</f>
        <v>1.5113350125944585</v>
      </c>
      <c r="T3603"/>
      <c r="U3603">
        <f>[1]!EM_S_RATIO_EPS_TTM(B3603,E3603,"1")</f>
        <v>0.23599081062027749</v>
      </c>
      <c r="AT3603" s="4" t="str">
        <f>[1]!EM_S_IPO_LISTEDDATE(B3603)</f>
        <v>2004-06-25</v>
      </c>
    </row>
    <row r="3604" spans="1:46">
      <c r="A3604">
        <v>516</v>
      </c>
      <c r="B3604" t="str">
        <f>"002005"</f>
        <v>002005</v>
      </c>
      <c r="C3604" t="s">
        <v>3078</v>
      </c>
      <c r="D3604" t="str">
        <f>[1]!EM_S_INFO_INDEX_EM(B3604,"1")</f>
        <v>电子设备</v>
      </c>
      <c r="E3604" s="4">
        <f t="shared" si="56"/>
        <v>43465</v>
      </c>
      <c r="F3604" s="11">
        <f>[1]!EM_S_PQ_PCTCHANGE(B3604,"2018-01-01","2019-12-31","3")</f>
        <v>-55.50458716</v>
      </c>
      <c r="G3604" s="11"/>
      <c r="H3604" s="11">
        <f>[1]!EM_S_FA_YOY_OR(B3604,E3604)</f>
        <v>-4.7995935222000004</v>
      </c>
      <c r="I3604" s="11">
        <f>[1]!EM_S_FA_GROSSPROFITMARGIN(B3604,E3604)</f>
        <v>13.0566646531</v>
      </c>
      <c r="J3604" s="11">
        <f>[1]!EM_S_FA_NETPROFITMARGIN(B3604,E3604)</f>
        <v>-101.30082019149999</v>
      </c>
      <c r="K3604" s="10">
        <f>[1]!EM_S_FA_ASSETSTURN(B3604,E3604)</f>
        <v>0.37022866447199998</v>
      </c>
      <c r="L3604" s="12">
        <f>[1]!EM_HKS_VAL_MV(B3604,"2019-12-31","2")</f>
        <v>3423556800</v>
      </c>
      <c r="M3604">
        <f>[1]!EM_S_VAL_PETTMDEDUCTED(B3604,E3604)</f>
        <v>-4.01079948572698</v>
      </c>
      <c r="N3604" s="7">
        <f>[1]!EM_S_VAL_PBGOODWILLDEDUCTED(B3604,E3604)</f>
        <v>1.7182183906397599</v>
      </c>
      <c r="O3604" s="7">
        <f>[1]!EM_S_VAL_PS_TTM(B3604,E3604)</f>
        <v>0.95837569045904902</v>
      </c>
      <c r="P3604" s="7">
        <f>[1]!EM_S_VAL_PCF_NCFTTM(B3604,E3604)</f>
        <v>-7.27224024529652</v>
      </c>
      <c r="Q3604" s="7">
        <f>[1]!EM_S_VAL_DIVIDENDYIELD2(B3604,E3604,"2019-11-29")</f>
        <v>0</v>
      </c>
      <c r="T3604"/>
      <c r="U3604">
        <f>[1]!EM_S_RATIO_EPS_TTM(B3604,E3604,"1")</f>
        <v>-2.2481161803798906</v>
      </c>
      <c r="AT3604" s="4" t="str">
        <f>[1]!EM_S_IPO_LISTEDDATE(B3604)</f>
        <v>2004-06-25</v>
      </c>
    </row>
    <row r="3605" spans="1:46">
      <c r="A3605">
        <v>519</v>
      </c>
      <c r="B3605" t="str">
        <f>"002008"</f>
        <v>002008</v>
      </c>
      <c r="C3605" t="s">
        <v>307</v>
      </c>
      <c r="D3605" t="str">
        <f>[1]!EM_S_INFO_INDEX_EM(B3605,"1")</f>
        <v>电子设备</v>
      </c>
      <c r="E3605" s="4">
        <f t="shared" si="56"/>
        <v>43465</v>
      </c>
      <c r="F3605" s="11">
        <f>[1]!EM_S_PQ_PCTCHANGE(B3605,"2018-01-01","2019-12-31","3")</f>
        <v>-18.229183259999999</v>
      </c>
      <c r="G3605" s="11"/>
      <c r="H3605" s="11">
        <f>[1]!EM_S_FA_YOY_OR(B3605,E3605)</f>
        <v>-4.5899960067999999</v>
      </c>
      <c r="I3605" s="11">
        <f>[1]!EM_S_FA_GROSSPROFITMARGIN(B3605,E3605)</f>
        <v>37.479229572599998</v>
      </c>
      <c r="J3605" s="11">
        <f>[1]!EM_S_FA_NETPROFITMARGIN(B3605,E3605)</f>
        <v>15.6410245332</v>
      </c>
      <c r="K3605" s="10">
        <f>[1]!EM_S_FA_ASSETSTURN(B3605,E3605)</f>
        <v>0.66748304146899995</v>
      </c>
      <c r="L3605" s="12">
        <f>[1]!EM_HKS_VAL_MV(B3605,"2019-12-31","2")</f>
        <v>42682770600</v>
      </c>
      <c r="M3605">
        <f>[1]!EM_S_VAL_PETTMDEDUCTED(B3605,E3605)</f>
        <v>21.2438959364429</v>
      </c>
      <c r="N3605" s="7">
        <f>[1]!EM_S_VAL_PBGOODWILLDEDUCTED(B3605,E3605)</f>
        <v>4.3535060480278904</v>
      </c>
      <c r="O3605" s="7">
        <f>[1]!EM_S_VAL_PS_TTM(B3605,E3605)</f>
        <v>2.8664491230350602</v>
      </c>
      <c r="P3605" s="7">
        <f>[1]!EM_S_VAL_PCF_NCFTTM(B3605,E3605)</f>
        <v>53.658175306504802</v>
      </c>
      <c r="Q3605" s="7">
        <f>[1]!EM_S_VAL_DIVIDENDYIELD2(B3605,E3605,"2019-11-29")</f>
        <v>0.57159112917861132</v>
      </c>
      <c r="T3605"/>
      <c r="U3605">
        <f>[1]!EM_S_RATIO_EPS_TTM(B3605,E3605,"1")</f>
        <v>1.6106101223741474</v>
      </c>
      <c r="AT3605" s="4" t="str">
        <f>[1]!EM_S_IPO_LISTEDDATE(B3605)</f>
        <v>2004-06-25</v>
      </c>
    </row>
    <row r="3606" spans="1:46">
      <c r="A3606">
        <v>522</v>
      </c>
      <c r="B3606" t="str">
        <f>"002011"</f>
        <v>002011</v>
      </c>
      <c r="C3606" t="s">
        <v>2314</v>
      </c>
      <c r="D3606" t="str">
        <f>[1]!EM_S_INFO_INDEX_EM(B3606,"1")</f>
        <v>机械设备</v>
      </c>
      <c r="E3606" s="4">
        <f t="shared" si="56"/>
        <v>43465</v>
      </c>
      <c r="F3606" s="11">
        <f>[1]!EM_S_PQ_PCTCHANGE(B3606,"2018-01-01","2019-12-31","3")</f>
        <v>-39.676616920000001</v>
      </c>
      <c r="G3606" s="11"/>
      <c r="H3606" s="11">
        <f>[1]!EM_S_FA_YOY_OR(B3606,E3606)</f>
        <v>13.550047021299999</v>
      </c>
      <c r="I3606" s="11">
        <f>[1]!EM_S_FA_GROSSPROFITMARGIN(B3606,E3606)</f>
        <v>11.9679185054</v>
      </c>
      <c r="J3606" s="11">
        <f>[1]!EM_S_FA_NETPROFITMARGIN(B3606,E3606)</f>
        <v>-24.546679304000001</v>
      </c>
      <c r="K3606" s="10">
        <f>[1]!EM_S_FA_ASSETSTURN(B3606,E3606)</f>
        <v>0.77852203244899998</v>
      </c>
      <c r="L3606" s="12">
        <f>[1]!EM_HKS_VAL_MV(B3606,"2019-12-31","2")</f>
        <v>4448479073</v>
      </c>
      <c r="M3606">
        <f>[1]!EM_S_VAL_PETTMDEDUCTED(B3606,E3606)</f>
        <v>-120.07994774213</v>
      </c>
      <c r="N3606" s="7">
        <f>[1]!EM_S_VAL_PBGOODWILLDEDUCTED(B3606,E3606)</f>
        <v>1.7552587880543999</v>
      </c>
      <c r="O3606" s="7">
        <f>[1]!EM_S_VAL_PS_TTM(B3606,E3606)</f>
        <v>0.42339054989525798</v>
      </c>
      <c r="P3606" s="7">
        <f>[1]!EM_S_VAL_PCF_NCFTTM(B3606,E3606)</f>
        <v>-83.126950561527295</v>
      </c>
      <c r="Q3606" s="7">
        <f>[1]!EM_S_VAL_DIVIDENDYIELD2(B3606,E3606,"2019-11-29")</f>
        <v>0</v>
      </c>
      <c r="T3606"/>
      <c r="U3606">
        <f>[1]!EM_S_RATIO_EPS_TTM(B3606,E3606,"1")</f>
        <v>-2.3625769044737281</v>
      </c>
      <c r="AT3606" s="4" t="str">
        <f>[1]!EM_S_IPO_LISTEDDATE(B3606)</f>
        <v>2004-07-05</v>
      </c>
    </row>
    <row r="3607" spans="1:46">
      <c r="A3607">
        <v>528</v>
      </c>
      <c r="B3607" t="str">
        <f>"002017"</f>
        <v>002017</v>
      </c>
      <c r="C3607" t="s">
        <v>2295</v>
      </c>
      <c r="D3607" t="str">
        <f>[1]!EM_S_INFO_INDEX_EM(B3607,"1")</f>
        <v>信息技术</v>
      </c>
      <c r="E3607" s="4">
        <f t="shared" si="56"/>
        <v>43465</v>
      </c>
      <c r="F3607" s="11">
        <f>[1]!EM_S_PQ_PCTCHANGE(B3607,"2018-01-01","2019-12-31","3")</f>
        <v>104.3092468</v>
      </c>
      <c r="G3607" s="11"/>
      <c r="H3607" s="11">
        <f>[1]!EM_S_FA_YOY_OR(B3607,E3607)</f>
        <v>-3.1178689682999998</v>
      </c>
      <c r="I3607" s="11">
        <f>[1]!EM_S_FA_GROSSPROFITMARGIN(B3607,E3607)</f>
        <v>25.871016152700001</v>
      </c>
      <c r="J3607" s="11">
        <f>[1]!EM_S_FA_NETPROFITMARGIN(B3607,E3607)</f>
        <v>3.3703108538</v>
      </c>
      <c r="K3607" s="10">
        <f>[1]!EM_S_FA_ASSETSTURN(B3607,E3607)</f>
        <v>0.72041767388300004</v>
      </c>
      <c r="L3607" s="12">
        <f>[1]!EM_HKS_VAL_MV(B3607,"2019-12-31","2")</f>
        <v>6657107512.4399996</v>
      </c>
      <c r="M3607">
        <f>[1]!EM_S_VAL_PETTMDEDUCTED(B3607,E3607)</f>
        <v>100.4727140855</v>
      </c>
      <c r="N3607" s="7">
        <f>[1]!EM_S_VAL_PBGOODWILLDEDUCTED(B3607,E3607)</f>
        <v>3.3183601203943498</v>
      </c>
      <c r="O3607" s="7">
        <f>[1]!EM_S_VAL_PS_TTM(B3607,E3607)</f>
        <v>2.7957396239349199</v>
      </c>
      <c r="P3607" s="7">
        <f>[1]!EM_S_VAL_PCF_NCFTTM(B3607,E3607)</f>
        <v>26.731216651873002</v>
      </c>
      <c r="Q3607" s="7">
        <f>[1]!EM_S_VAL_DIVIDENDYIELD2(B3607,E3607,"2019-11-29")</f>
        <v>0.19206145966709345</v>
      </c>
      <c r="T3607"/>
      <c r="U3607">
        <f>[1]!EM_S_RATIO_EPS_TTM(B3607,E3607,"1")</f>
        <v>0.11320822317775792</v>
      </c>
      <c r="AT3607" s="4" t="str">
        <f>[1]!EM_S_IPO_LISTEDDATE(B3607)</f>
        <v>2004-07-13</v>
      </c>
    </row>
    <row r="3608" spans="1:46">
      <c r="A3608">
        <v>529</v>
      </c>
      <c r="B3608" t="str">
        <f>"002018"</f>
        <v>002018</v>
      </c>
      <c r="C3608" t="s">
        <v>3162</v>
      </c>
      <c r="D3608">
        <f>[1]!EM_S_INFO_INDEX_EM(B3608,"1")</f>
        <v>0</v>
      </c>
      <c r="E3608" s="4">
        <f t="shared" si="56"/>
        <v>43465</v>
      </c>
      <c r="F3608" s="11">
        <f>[1]!EM_S_PQ_PCTCHANGE(B3608,"2018-01-01","2019-12-31","3")</f>
        <v>-96.322489390000001</v>
      </c>
      <c r="G3608" s="11"/>
      <c r="H3608" s="11">
        <f>[1]!EM_S_FA_YOY_OR(B3608,E3608)</f>
        <v>-94.123083681799997</v>
      </c>
      <c r="I3608" s="11">
        <f>[1]!EM_S_FA_GROSSPROFITMARGIN(B3608,E3608)</f>
        <v>11.1147039155</v>
      </c>
      <c r="J3608" s="11">
        <f>[1]!EM_S_FA_NETPROFITMARGIN(B3608,E3608)</f>
        <v>-118.34063284360001</v>
      </c>
      <c r="K3608" s="10">
        <f>[1]!EM_S_FA_ASSETSTURN(B3608,E3608)</f>
        <v>0.25349460970100002</v>
      </c>
      <c r="L3608" s="12">
        <f>[1]!EM_HKS_VAL_MV(B3608,"2019-12-31","2")</f>
        <v>592235129.72000003</v>
      </c>
      <c r="M3608">
        <f>[1]!EM_S_VAL_PETTMDEDUCTED(B3608,E3608)</f>
        <v>-2.32700240069398</v>
      </c>
      <c r="N3608" s="7">
        <f>[1]!EM_S_VAL_PBGOODWILLDEDUCTED(B3608,E3608)</f>
        <v>-2.1653098322075799</v>
      </c>
      <c r="O3608" s="7">
        <f>[1]!EM_S_VAL_PS_TTM(B3608,E3608)</f>
        <v>0.68437031585683605</v>
      </c>
      <c r="P3608" s="7">
        <f>[1]!EM_S_VAL_PCF_NCFTTM(B3608,E3608)</f>
        <v>-27.246244851318199</v>
      </c>
      <c r="Q3608" s="7">
        <f>[1]!EM_S_VAL_DIVIDENDYIELD2(B3608,E3608,"2019-11-29")</f>
        <v>0</v>
      </c>
      <c r="T3608"/>
      <c r="U3608">
        <f>[1]!EM_S_RATIO_EPS_TTM(B3608,E3608,"1")</f>
        <v>-0.53140538362962952</v>
      </c>
      <c r="AT3608" s="4" t="str">
        <f>[1]!EM_S_IPO_LISTEDDATE(B3608)</f>
        <v>2004-07-13</v>
      </c>
    </row>
    <row r="3609" spans="1:46">
      <c r="A3609">
        <v>532</v>
      </c>
      <c r="B3609" t="str">
        <f>"002021"</f>
        <v>002021</v>
      </c>
      <c r="C3609" t="s">
        <v>3428</v>
      </c>
      <c r="D3609" t="str">
        <f>[1]!EM_S_INFO_INDEX_EM(B3609,"1")</f>
        <v>机械设备</v>
      </c>
      <c r="E3609" s="4">
        <f t="shared" si="56"/>
        <v>43465</v>
      </c>
      <c r="F3609" s="11">
        <f>[1]!EM_S_PQ_PCTCHANGE(B3609,"2018-01-01","2019-12-31","3")</f>
        <v>-42.325581399999997</v>
      </c>
      <c r="G3609" s="11"/>
      <c r="H3609" s="11">
        <f>[1]!EM_S_FA_YOY_OR(B3609,E3609)</f>
        <v>13.8481190338</v>
      </c>
      <c r="I3609" s="11">
        <f>[1]!EM_S_FA_GROSSPROFITMARGIN(B3609,E3609)</f>
        <v>18.768988647299999</v>
      </c>
      <c r="J3609" s="11">
        <f>[1]!EM_S_FA_NETPROFITMARGIN(B3609,E3609)</f>
        <v>-20.720268584300001</v>
      </c>
      <c r="K3609" s="10">
        <f>[1]!EM_S_FA_ASSETSTURN(B3609,E3609)</f>
        <v>0.73521291612399997</v>
      </c>
      <c r="L3609" s="12">
        <f>[1]!EM_HKS_VAL_MV(B3609,"2019-12-31","2")</f>
        <v>1705781299.2</v>
      </c>
      <c r="M3609">
        <f>[1]!EM_S_VAL_PETTMDEDUCTED(B3609,E3609)</f>
        <v>-32.769791713762402</v>
      </c>
      <c r="N3609" s="7">
        <f>[1]!EM_S_VAL_PBGOODWILLDEDUCTED(B3609,E3609)</f>
        <v>2.9712994550743299</v>
      </c>
      <c r="O3609" s="7">
        <f>[1]!EM_S_VAL_PS_TTM(B3609,E3609)</f>
        <v>1.7030447569673499</v>
      </c>
      <c r="P3609" s="7">
        <f>[1]!EM_S_VAL_PCF_NCFTTM(B3609,E3609)</f>
        <v>-21.230226624455302</v>
      </c>
      <c r="Q3609" s="7">
        <f>[1]!EM_S_VAL_DIVIDENDYIELD2(B3609,E3609,"2019-11-29")</f>
        <v>0</v>
      </c>
      <c r="T3609"/>
      <c r="U3609">
        <f>[1]!EM_S_RATIO_EPS_TTM(B3609,E3609,"1")</f>
        <v>-0.34576921356648438</v>
      </c>
      <c r="AT3609" s="4" t="str">
        <f>[1]!EM_S_IPO_LISTEDDATE(B3609)</f>
        <v>2004-07-15</v>
      </c>
    </row>
    <row r="3610" spans="1:46">
      <c r="A3610">
        <v>541</v>
      </c>
      <c r="B3610" t="str">
        <f>"002030"</f>
        <v>002030</v>
      </c>
      <c r="C3610" t="s">
        <v>1676</v>
      </c>
      <c r="D3610" t="str">
        <f>[1]!EM_S_INFO_INDEX_EM(B3610,"1")</f>
        <v>医药生物</v>
      </c>
      <c r="E3610" s="4">
        <f t="shared" si="56"/>
        <v>43465</v>
      </c>
      <c r="F3610" s="11">
        <f>[1]!EM_S_PQ_PCTCHANGE(B3610,"2018-01-01","2019-12-31","3")</f>
        <v>-31.534926070000001</v>
      </c>
      <c r="G3610" s="11"/>
      <c r="H3610" s="11">
        <f>[1]!EM_S_FA_YOY_OR(B3610,E3610)</f>
        <v>-4.1341418374999996</v>
      </c>
      <c r="I3610" s="11">
        <f>[1]!EM_S_FA_GROSSPROFITMARGIN(B3610,E3610)</f>
        <v>41.611643518599998</v>
      </c>
      <c r="J3610" s="11">
        <f>[1]!EM_S_FA_NETPROFITMARGIN(B3610,E3610)</f>
        <v>5.8506265448999999</v>
      </c>
      <c r="K3610" s="10">
        <f>[1]!EM_S_FA_ASSETSTURN(B3610,E3610)</f>
        <v>0.35608466469200001</v>
      </c>
      <c r="L3610" s="12">
        <f>[1]!EM_HKS_VAL_MV(B3610,"2019-12-31","2")</f>
        <v>9170243968.5</v>
      </c>
      <c r="M3610">
        <f>[1]!EM_S_VAL_PETTMDEDUCTED(B3610,E3610)</f>
        <v>134.78122930469999</v>
      </c>
      <c r="N3610" s="7">
        <f>[1]!EM_S_VAL_PBGOODWILLDEDUCTED(B3610,E3610)</f>
        <v>4.4766220996067396</v>
      </c>
      <c r="O3610" s="7">
        <f>[1]!EM_S_VAL_PS_TTM(B3610,E3610)</f>
        <v>5.1433729827047996</v>
      </c>
      <c r="P3610" s="7">
        <f>[1]!EM_S_VAL_PCF_NCFTTM(B3610,E3610)</f>
        <v>783.97258605406398</v>
      </c>
      <c r="Q3610" s="7">
        <f>[1]!EM_S_VAL_DIVIDENDYIELD2(B3610,E3610,"2019-11-29")</f>
        <v>0.39122137404580148</v>
      </c>
      <c r="T3610"/>
      <c r="U3610">
        <f>[1]!EM_S_RATIO_EPS_TTM(B3610,E3610,"1")</f>
        <v>0.12739074974317027</v>
      </c>
      <c r="AT3610" s="4" t="str">
        <f>[1]!EM_S_IPO_LISTEDDATE(B3610)</f>
        <v>2004-08-09</v>
      </c>
    </row>
    <row r="3611" spans="1:46">
      <c r="A3611">
        <v>544</v>
      </c>
      <c r="B3611" t="str">
        <f>"002033"</f>
        <v>002033</v>
      </c>
      <c r="C3611" t="s">
        <v>1396</v>
      </c>
      <c r="D3611" t="str">
        <f>[1]!EM_S_INFO_INDEX_EM(B3611,"1")</f>
        <v>休闲、生活及专业服务</v>
      </c>
      <c r="E3611" s="4">
        <f t="shared" si="56"/>
        <v>43465</v>
      </c>
      <c r="F3611" s="11">
        <f>[1]!EM_S_PQ_PCTCHANGE(B3611,"2018-01-01","2019-12-31","3")</f>
        <v>-28.201512659999999</v>
      </c>
      <c r="G3611" s="11"/>
      <c r="H3611" s="11">
        <f>[1]!EM_S_FA_YOY_OR(B3611,E3611)</f>
        <v>-1.2778916697</v>
      </c>
      <c r="I3611" s="11">
        <f>[1]!EM_S_FA_GROSSPROFITMARGIN(B3611,E3611)</f>
        <v>67.158653478800005</v>
      </c>
      <c r="J3611" s="11">
        <f>[1]!EM_S_FA_NETPROFITMARGIN(B3611,E3611)</f>
        <v>29.554897289700001</v>
      </c>
      <c r="K3611" s="10">
        <f>[1]!EM_S_FA_ASSETSTURN(B3611,E3611)</f>
        <v>0.25100126707100001</v>
      </c>
      <c r="L3611" s="12">
        <f>[1]!EM_HKS_VAL_MV(B3611,"2019-12-31","2")</f>
        <v>3434316943.75</v>
      </c>
      <c r="M3611">
        <f>[1]!EM_S_VAL_PETTMDEDUCTED(B3611,E3611)</f>
        <v>14.207171043472499</v>
      </c>
      <c r="N3611" s="7">
        <f>[1]!EM_S_VAL_PBGOODWILLDEDUCTED(B3611,E3611)</f>
        <v>1.29398117744479</v>
      </c>
      <c r="O3611" s="7">
        <f>[1]!EM_S_VAL_PS_TTM(B3611,E3611)</f>
        <v>4.3893606736217299</v>
      </c>
      <c r="P3611" s="7">
        <f>[1]!EM_S_VAL_PCF_NCFTTM(B3611,E3611)</f>
        <v>-69.383451714348396</v>
      </c>
      <c r="Q3611" s="7">
        <f>[1]!EM_S_VAL_DIVIDENDYIELD2(B3611,E3611,"2019-11-29")</f>
        <v>2.5125628140703515</v>
      </c>
      <c r="T3611"/>
      <c r="U3611">
        <f>[1]!EM_S_RATIO_EPS_TTM(B3611,E3611,"1")</f>
        <v>0.34874364904414185</v>
      </c>
      <c r="AT3611" s="4" t="str">
        <f>[1]!EM_S_IPO_LISTEDDATE(B3611)</f>
        <v>2004-08-25</v>
      </c>
    </row>
    <row r="3612" spans="1:46">
      <c r="A3612">
        <v>545</v>
      </c>
      <c r="B3612" t="str">
        <f>"002034"</f>
        <v>002034</v>
      </c>
      <c r="C3612" t="s">
        <v>1820</v>
      </c>
      <c r="D3612" t="str">
        <f>[1]!EM_S_INFO_INDEX_EM(B3612,"1")</f>
        <v>公用事业</v>
      </c>
      <c r="E3612" s="4">
        <f t="shared" si="56"/>
        <v>43465</v>
      </c>
      <c r="F3612" s="11">
        <f>[1]!EM_S_PQ_PCTCHANGE(B3612,"2018-01-01","2019-12-31","3")</f>
        <v>-54.068564840000001</v>
      </c>
      <c r="G3612" s="11"/>
      <c r="H3612" s="11">
        <f>[1]!EM_S_FA_YOY_OR(B3612,E3612)</f>
        <v>-40.467184078899997</v>
      </c>
      <c r="I3612" s="11">
        <f>[1]!EM_S_FA_GROSSPROFITMARGIN(B3612,E3612)</f>
        <v>52.1334927845</v>
      </c>
      <c r="J3612" s="11">
        <f>[1]!EM_S_FA_NETPROFITMARGIN(B3612,E3612)</f>
        <v>37.274317103400001</v>
      </c>
      <c r="K3612" s="10">
        <f>[1]!EM_S_FA_ASSETSTURN(B3612,E3612)</f>
        <v>0.15026494587700001</v>
      </c>
      <c r="L3612" s="12">
        <f>[1]!EM_HKS_VAL_MV(B3612,"2019-12-31","2")</f>
        <v>6169328316.4499998</v>
      </c>
      <c r="M3612">
        <f>[1]!EM_S_VAL_PETTMDEDUCTED(B3612,E3612)</f>
        <v>19.5688532708274</v>
      </c>
      <c r="N3612" s="7">
        <f>[1]!EM_S_VAL_PBGOODWILLDEDUCTED(B3612,E3612)</f>
        <v>1.2534607186087701</v>
      </c>
      <c r="O3612" s="7">
        <f>[1]!EM_S_VAL_PS_TTM(B3612,E3612)</f>
        <v>5.0363504948265501</v>
      </c>
      <c r="P3612" s="7">
        <f>[1]!EM_S_VAL_PCF_NCFTTM(B3612,E3612)</f>
        <v>14.1001685097332</v>
      </c>
      <c r="Q3612" s="7">
        <f>[1]!EM_S_VAL_DIVIDENDYIELD2(B3612,E3612,"2019-11-29")</f>
        <v>0.69930069930069927</v>
      </c>
      <c r="T3612"/>
      <c r="U3612">
        <f>[1]!EM_S_RATIO_EPS_TTM(B3612,E3612,"1")</f>
        <v>0.73527630408835665</v>
      </c>
      <c r="AT3612" s="4" t="str">
        <f>[1]!EM_S_IPO_LISTEDDATE(B3612)</f>
        <v>2004-08-26</v>
      </c>
    </row>
    <row r="3613" spans="1:46">
      <c r="A3613">
        <v>547</v>
      </c>
      <c r="B3613" t="str">
        <f>"002036"</f>
        <v>002036</v>
      </c>
      <c r="C3613" t="s">
        <v>2062</v>
      </c>
      <c r="D3613" t="str">
        <f>[1]!EM_S_INFO_INDEX_EM(B3613,"1")</f>
        <v>电子设备</v>
      </c>
      <c r="E3613" s="4">
        <f t="shared" si="56"/>
        <v>43465</v>
      </c>
      <c r="F3613" s="11">
        <f>[1]!EM_S_PQ_PCTCHANGE(B3613,"2018-01-01","2019-12-31","3")</f>
        <v>37.17548961</v>
      </c>
      <c r="G3613" s="11"/>
      <c r="H3613" s="11">
        <f>[1]!EM_S_FA_YOY_OR(B3613,E3613)</f>
        <v>-4.9881332149000004</v>
      </c>
      <c r="I3613" s="11">
        <f>[1]!EM_S_FA_GROSSPROFITMARGIN(B3613,E3613)</f>
        <v>13.1052807893</v>
      </c>
      <c r="J3613" s="11">
        <f>[1]!EM_S_FA_NETPROFITMARGIN(B3613,E3613)</f>
        <v>5.0322625743999998</v>
      </c>
      <c r="K3613" s="10">
        <f>[1]!EM_S_FA_ASSETSTURN(B3613,E3613)</f>
        <v>0.81716159299000002</v>
      </c>
      <c r="L3613" s="12">
        <f>[1]!EM_HKS_VAL_MV(B3613,"2019-12-31","2")</f>
        <v>12167107411.41</v>
      </c>
      <c r="M3613">
        <f>[1]!EM_S_VAL_PETTMDEDUCTED(B3613,E3613)</f>
        <v>18.432297755805099</v>
      </c>
      <c r="N3613" s="7">
        <f>[1]!EM_S_VAL_PBGOODWILLDEDUCTED(B3613,E3613)</f>
        <v>2.2943461860428398</v>
      </c>
      <c r="O3613" s="7">
        <f>[1]!EM_S_VAL_PS_TTM(B3613,E3613)</f>
        <v>0.95143145103851401</v>
      </c>
      <c r="P3613" s="7">
        <f>[1]!EM_S_VAL_PCF_NCFTTM(B3613,E3613)</f>
        <v>48.698253438740302</v>
      </c>
      <c r="Q3613" s="7">
        <f>[1]!EM_S_VAL_DIVIDENDYIELD2(B3613,E3613,"2019-11-29")</f>
        <v>0.24662497243792439</v>
      </c>
      <c r="T3613"/>
      <c r="U3613">
        <f>[1]!EM_S_RATIO_EPS_TTM(B3613,E3613,"1")</f>
        <v>0.44606323016950372</v>
      </c>
      <c r="AT3613" s="4" t="str">
        <f>[1]!EM_S_IPO_LISTEDDATE(B3613)</f>
        <v>2004-09-03</v>
      </c>
    </row>
    <row r="3614" spans="1:46">
      <c r="A3614">
        <v>550</v>
      </c>
      <c r="B3614" t="str">
        <f>"002039"</f>
        <v>002039</v>
      </c>
      <c r="C3614" t="s">
        <v>2396</v>
      </c>
      <c r="D3614" t="str">
        <f>[1]!EM_S_INFO_INDEX_EM(B3614,"1")</f>
        <v>公用事业</v>
      </c>
      <c r="E3614" s="4">
        <f t="shared" si="56"/>
        <v>43465</v>
      </c>
      <c r="F3614" s="11">
        <f>[1]!EM_S_PQ_PCTCHANGE(B3614,"2018-01-01","2019-12-31","3")</f>
        <v>-1.9083368300000001</v>
      </c>
      <c r="G3614" s="11"/>
      <c r="H3614" s="11">
        <f>[1]!EM_S_FA_YOY_OR(B3614,E3614)</f>
        <v>-1.2709559546</v>
      </c>
      <c r="I3614" s="11">
        <f>[1]!EM_S_FA_GROSSPROFITMARGIN(B3614,E3614)</f>
        <v>50.617902826600002</v>
      </c>
      <c r="J3614" s="11">
        <f>[1]!EM_S_FA_NETPROFITMARGIN(B3614,E3614)</f>
        <v>23.054073665299999</v>
      </c>
      <c r="K3614" s="10">
        <f>[1]!EM_S_FA_ASSETSTURN(B3614,E3614)</f>
        <v>0.14115898903499999</v>
      </c>
      <c r="L3614" s="12">
        <f>[1]!EM_HKS_VAL_MV(B3614,"2019-12-31","2")</f>
        <v>4458820465.1999998</v>
      </c>
      <c r="M3614">
        <f>[1]!EM_S_VAL_PETTMDEDUCTED(B3614,E3614)</f>
        <v>15.0699193767996</v>
      </c>
      <c r="N3614" s="7">
        <f>[1]!EM_S_VAL_PBGOODWILLDEDUCTED(B3614,E3614)</f>
        <v>1.50798837893518</v>
      </c>
      <c r="O3614" s="7">
        <f>[1]!EM_S_VAL_PS_TTM(B3614,E3614)</f>
        <v>1.8200568209508701</v>
      </c>
      <c r="P3614" s="7">
        <f>[1]!EM_S_VAL_PCF_NCFTTM(B3614,E3614)</f>
        <v>-322.87136840792402</v>
      </c>
      <c r="Q3614" s="7">
        <f>[1]!EM_S_VAL_DIVIDENDYIELD2(B3614,E3614,"2019-11-29")</f>
        <v>2.0161290322580641</v>
      </c>
      <c r="T3614"/>
      <c r="U3614">
        <f>[1]!EM_S_RATIO_EPS_TTM(B3614,E3614,"1")</f>
        <v>1.2043096416381811</v>
      </c>
      <c r="AT3614" s="4" t="str">
        <f>[1]!EM_S_IPO_LISTEDDATE(B3614)</f>
        <v>2005-03-03</v>
      </c>
    </row>
    <row r="3615" spans="1:46">
      <c r="A3615">
        <v>552</v>
      </c>
      <c r="B3615" t="str">
        <f>"002041"</f>
        <v>002041</v>
      </c>
      <c r="C3615" t="s">
        <v>2533</v>
      </c>
      <c r="D3615" t="str">
        <f>[1]!EM_S_INFO_INDEX_EM(B3615,"1")</f>
        <v>农林牧渔</v>
      </c>
      <c r="E3615" s="4">
        <f t="shared" si="56"/>
        <v>43465</v>
      </c>
      <c r="F3615" s="11">
        <f>[1]!EM_S_PQ_PCTCHANGE(B3615,"2018-01-01","2019-12-31","3")</f>
        <v>-24.664764770000001</v>
      </c>
      <c r="G3615" s="11"/>
      <c r="H3615" s="11">
        <f>[1]!EM_S_FA_YOY_OR(B3615,E3615)</f>
        <v>-5.3190082504999996</v>
      </c>
      <c r="I3615" s="11">
        <f>[1]!EM_S_FA_GROSSPROFITMARGIN(B3615,E3615)</f>
        <v>33.591053777799999</v>
      </c>
      <c r="J3615" s="11">
        <f>[1]!EM_S_FA_NETPROFITMARGIN(B3615,E3615)</f>
        <v>-3.2439137803999998</v>
      </c>
      <c r="K3615" s="10">
        <f>[1]!EM_S_FA_ASSETSTURN(B3615,E3615)</f>
        <v>0.18552473195499999</v>
      </c>
      <c r="L3615" s="12">
        <f>[1]!EM_HKS_VAL_MV(B3615,"2019-12-31","2")</f>
        <v>8474400000</v>
      </c>
      <c r="M3615">
        <f>[1]!EM_S_VAL_PETTMDEDUCTED(B3615,E3615)</f>
        <v>90.783235638351698</v>
      </c>
      <c r="N3615" s="7">
        <f>[1]!EM_S_VAL_PBGOODWILLDEDUCTED(B3615,E3615)</f>
        <v>1.69877537793956</v>
      </c>
      <c r="O3615" s="7">
        <f>[1]!EM_S_VAL_PS_TTM(B3615,E3615)</f>
        <v>7.4083864720298296</v>
      </c>
      <c r="P3615" s="7">
        <f>[1]!EM_S_VAL_PCF_NCFTTM(B3615,E3615)</f>
        <v>-63.910771835555103</v>
      </c>
      <c r="Q3615" s="7">
        <f>[1]!EM_S_VAL_DIVIDENDYIELD2(B3615,E3615,"2019-11-29")</f>
        <v>0</v>
      </c>
      <c r="T3615"/>
      <c r="U3615">
        <f>[1]!EM_S_RATIO_EPS_TTM(B3615,E3615,"1")</f>
        <v>3.6966885329545451E-2</v>
      </c>
      <c r="AT3615" s="4" t="str">
        <f>[1]!EM_S_IPO_LISTEDDATE(B3615)</f>
        <v>2005-04-18</v>
      </c>
    </row>
    <row r="3616" spans="1:46">
      <c r="A3616">
        <v>558</v>
      </c>
      <c r="B3616" t="str">
        <f>"002047"</f>
        <v>002047</v>
      </c>
      <c r="C3616" t="s">
        <v>1289</v>
      </c>
      <c r="D3616" t="str">
        <f>[1]!EM_S_INFO_INDEX_EM(B3616,"1")</f>
        <v>建筑</v>
      </c>
      <c r="E3616" s="4">
        <f t="shared" si="56"/>
        <v>43465</v>
      </c>
      <c r="F3616" s="11">
        <f>[1]!EM_S_PQ_PCTCHANGE(B3616,"2018-01-01","2019-12-31","3")</f>
        <v>-22.76355586</v>
      </c>
      <c r="G3616" s="11"/>
      <c r="H3616" s="11">
        <f>[1]!EM_S_FA_YOY_OR(B3616,E3616)</f>
        <v>-4.3078123437000002</v>
      </c>
      <c r="I3616" s="11">
        <f>[1]!EM_S_FA_GROSSPROFITMARGIN(B3616,E3616)</f>
        <v>17.182777720299999</v>
      </c>
      <c r="J3616" s="11">
        <f>[1]!EM_S_FA_NETPROFITMARGIN(B3616,E3616)</f>
        <v>3.9725000828999999</v>
      </c>
      <c r="K3616" s="10">
        <f>[1]!EM_S_FA_ASSETSTURN(B3616,E3616)</f>
        <v>0.77778550798199997</v>
      </c>
      <c r="L3616" s="12">
        <f>[1]!EM_HKS_VAL_MV(B3616,"2019-12-31","2")</f>
        <v>7739283234.1700001</v>
      </c>
      <c r="M3616">
        <f>[1]!EM_S_VAL_PETTMDEDUCTED(B3616,E3616)</f>
        <v>26.379319188167202</v>
      </c>
      <c r="N3616" s="7">
        <f>[1]!EM_S_VAL_PBGOODWILLDEDUCTED(B3616,E3616)</f>
        <v>2.3984190968023702</v>
      </c>
      <c r="O3616" s="7">
        <f>[1]!EM_S_VAL_PS_TTM(B3616,E3616)</f>
        <v>1.2308805752694501</v>
      </c>
      <c r="P3616" s="7">
        <f>[1]!EM_S_VAL_PCF_NCFTTM(B3616,E3616)</f>
        <v>-22.498614694330101</v>
      </c>
      <c r="Q3616" s="7">
        <f>[1]!EM_S_VAL_DIVIDENDYIELD2(B3616,E3616,"2019-11-29")</f>
        <v>0.36496350364963503</v>
      </c>
      <c r="T3616"/>
      <c r="U3616">
        <f>[1]!EM_S_RATIO_EPS_TTM(B3616,E3616,"1")</f>
        <v>0.21256266075481431</v>
      </c>
      <c r="AT3616" s="4" t="str">
        <f>[1]!EM_S_IPO_LISTEDDATE(B3616)</f>
        <v>2005-05-31</v>
      </c>
    </row>
    <row r="3617" spans="1:46">
      <c r="A3617">
        <v>562</v>
      </c>
      <c r="B3617" t="str">
        <f>"002051"</f>
        <v>002051</v>
      </c>
      <c r="C3617" t="s">
        <v>1003</v>
      </c>
      <c r="D3617" t="str">
        <f>[1]!EM_S_INFO_INDEX_EM(B3617,"1")</f>
        <v>建筑</v>
      </c>
      <c r="E3617" s="4">
        <f t="shared" si="56"/>
        <v>43465</v>
      </c>
      <c r="F3617" s="11">
        <f>[1]!EM_S_PQ_PCTCHANGE(B3617,"2018-01-01","2019-12-31","3")</f>
        <v>-44.686415119999999</v>
      </c>
      <c r="G3617" s="11"/>
      <c r="H3617" s="11">
        <f>[1]!EM_S_FA_YOY_OR(B3617,E3617)</f>
        <v>-6.9498354724000002</v>
      </c>
      <c r="I3617" s="11">
        <f>[1]!EM_S_FA_GROSSPROFITMARGIN(B3617,E3617)</f>
        <v>19.2790746324</v>
      </c>
      <c r="J3617" s="11">
        <f>[1]!EM_S_FA_NETPROFITMARGIN(B3617,E3617)</f>
        <v>11.6131745535</v>
      </c>
      <c r="K3617" s="10">
        <f>[1]!EM_S_FA_ASSETSTURN(B3617,E3617)</f>
        <v>0.55345124891499997</v>
      </c>
      <c r="L3617" s="12">
        <f>[1]!EM_HKS_VAL_MV(B3617,"2019-12-31","2")</f>
        <v>12027614867.639999</v>
      </c>
      <c r="M3617">
        <f>[1]!EM_S_VAL_PETTMDEDUCTED(B3617,E3617)</f>
        <v>7.7524251499566503</v>
      </c>
      <c r="N3617" s="7">
        <f>[1]!EM_S_VAL_PBGOODWILLDEDUCTED(B3617,E3617)</f>
        <v>1.3985075907997999</v>
      </c>
      <c r="O3617" s="7">
        <f>[1]!EM_S_VAL_PS_TTM(B3617,E3617)</f>
        <v>0.98159407727718595</v>
      </c>
      <c r="P3617" s="7">
        <f>[1]!EM_S_VAL_PCF_NCFTTM(B3617,E3617)</f>
        <v>13.6786169741134</v>
      </c>
      <c r="Q3617" s="7">
        <f>[1]!EM_S_VAL_DIVIDENDYIELD2(B3617,E3617,"2019-11-29")</f>
        <v>3.3146488093729629</v>
      </c>
      <c r="T3617"/>
      <c r="U3617">
        <f>[1]!EM_S_RATIO_EPS_TTM(B3617,E3617,"1")</f>
        <v>1.0788015490884253</v>
      </c>
      <c r="AT3617" s="4" t="str">
        <f>[1]!EM_S_IPO_LISTEDDATE(B3617)</f>
        <v>2006-06-19</v>
      </c>
    </row>
    <row r="3618" spans="1:46">
      <c r="A3618">
        <v>563</v>
      </c>
      <c r="B3618" t="str">
        <f>"002052"</f>
        <v>002052</v>
      </c>
      <c r="C3618" t="s">
        <v>3565</v>
      </c>
      <c r="D3618" t="str">
        <f>[1]!EM_S_INFO_INDEX_EM(B3618,"1")</f>
        <v>家电</v>
      </c>
      <c r="E3618" s="4">
        <f t="shared" si="56"/>
        <v>43465</v>
      </c>
      <c r="F3618" s="11">
        <f>[1]!EM_S_PQ_PCTCHANGE(B3618,"2018-01-01","2019-12-31","3")</f>
        <v>-43.214285709999999</v>
      </c>
      <c r="G3618" s="11"/>
      <c r="H3618" s="11">
        <f>[1]!EM_S_FA_YOY_OR(B3618,E3618)</f>
        <v>18.617137936399999</v>
      </c>
      <c r="I3618" s="11">
        <f>[1]!EM_S_FA_GROSSPROFITMARGIN(B3618,E3618)</f>
        <v>11.8433679427</v>
      </c>
      <c r="J3618" s="11">
        <f>[1]!EM_S_FA_NETPROFITMARGIN(B3618,E3618)</f>
        <v>-41.4624606008</v>
      </c>
      <c r="K3618" s="10">
        <f>[1]!EM_S_FA_ASSETSTURN(B3618,E3618)</f>
        <v>0.47892943975800001</v>
      </c>
      <c r="L3618" s="12">
        <f>[1]!EM_HKS_VAL_MV(B3618,"2019-12-31","2")</f>
        <v>2372151826.9200001</v>
      </c>
      <c r="M3618">
        <f>[1]!EM_S_VAL_PETTMDEDUCTED(B3618,E3618)</f>
        <v>-27.242122973071801</v>
      </c>
      <c r="N3618" s="7">
        <f>[1]!EM_S_VAL_PBGOODWILLDEDUCTED(B3618,E3618)</f>
        <v>5.1558859498143201</v>
      </c>
      <c r="O3618" s="7">
        <f>[1]!EM_S_VAL_PS_TTM(B3618,E3618)</f>
        <v>4.0715398262601497</v>
      </c>
      <c r="P3618" s="7">
        <f>[1]!EM_S_VAL_PCF_NCFTTM(B3618,E3618)</f>
        <v>86.687465247716801</v>
      </c>
      <c r="Q3618" s="7">
        <f>[1]!EM_S_VAL_DIVIDENDYIELD2(B3618,E3618,"2019-11-29")</f>
        <v>0</v>
      </c>
      <c r="T3618"/>
      <c r="U3618">
        <f>[1]!EM_S_RATIO_EPS_TTM(B3618,E3618,"1")</f>
        <v>-0.44362417473992904</v>
      </c>
      <c r="AT3618" s="4" t="str">
        <f>[1]!EM_S_IPO_LISTEDDATE(B3618)</f>
        <v>2006-06-27</v>
      </c>
    </row>
    <row r="3619" spans="1:46">
      <c r="A3619">
        <v>564</v>
      </c>
      <c r="B3619" t="str">
        <f>"002053"</f>
        <v>002053</v>
      </c>
      <c r="C3619" t="s">
        <v>1723</v>
      </c>
      <c r="D3619" t="str">
        <f>[1]!EM_S_INFO_INDEX_EM(B3619,"1")</f>
        <v>基础化工</v>
      </c>
      <c r="E3619" s="4">
        <f t="shared" si="56"/>
        <v>43465</v>
      </c>
      <c r="F3619" s="11">
        <f>[1]!EM_S_PQ_PCTCHANGE(B3619,"2018-01-01","2019-12-31","3")</f>
        <v>-36.076277830000002</v>
      </c>
      <c r="G3619" s="11"/>
      <c r="H3619" s="11">
        <f>[1]!EM_S_FA_YOY_OR(B3619,E3619)</f>
        <v>-1.1561497379000001</v>
      </c>
      <c r="I3619" s="11">
        <f>[1]!EM_S_FA_GROSSPROFITMARGIN(B3619,E3619)</f>
        <v>50.7384166748</v>
      </c>
      <c r="J3619" s="11">
        <f>[1]!EM_S_FA_NETPROFITMARGIN(B3619,E3619)</f>
        <v>8.4155464782999996</v>
      </c>
      <c r="K3619" s="10">
        <f>[1]!EM_S_FA_ASSETSTURN(B3619,E3619)</f>
        <v>0.36404642922199998</v>
      </c>
      <c r="L3619" s="12">
        <f>[1]!EM_HKS_VAL_MV(B3619,"2019-12-31","2")</f>
        <v>5509484817.8400002</v>
      </c>
      <c r="M3619">
        <f>[1]!EM_S_VAL_PETTMDEDUCTED(B3619,E3619)</f>
        <v>39.0487553765211</v>
      </c>
      <c r="N3619" s="7">
        <f>[1]!EM_S_VAL_PBGOODWILLDEDUCTED(B3619,E3619)</f>
        <v>1.5848638199751299</v>
      </c>
      <c r="O3619" s="7">
        <f>[1]!EM_S_VAL_PS_TTM(B3619,E3619)</f>
        <v>2.98158813610232</v>
      </c>
      <c r="P3619" s="7">
        <f>[1]!EM_S_VAL_PCF_NCFTTM(B3619,E3619)</f>
        <v>-431.64459965628498</v>
      </c>
      <c r="Q3619" s="7">
        <f>[1]!EM_S_VAL_DIVIDENDYIELD2(B3619,E3619,"2019-11-29")</f>
        <v>0.7142857142857143</v>
      </c>
      <c r="T3619"/>
      <c r="U3619">
        <f>[1]!EM_S_RATIO_EPS_TTM(B3619,E3619,"1")</f>
        <v>0.20568891409639273</v>
      </c>
      <c r="AT3619" s="4" t="str">
        <f>[1]!EM_S_IPO_LISTEDDATE(B3619)</f>
        <v>2006-06-27</v>
      </c>
    </row>
    <row r="3620" spans="1:46">
      <c r="A3620">
        <v>565</v>
      </c>
      <c r="B3620" t="str">
        <f>"002054"</f>
        <v>002054</v>
      </c>
      <c r="C3620" t="s">
        <v>2981</v>
      </c>
      <c r="D3620" t="str">
        <f>[1]!EM_S_INFO_INDEX_EM(B3620,"1")</f>
        <v>基础化工</v>
      </c>
      <c r="E3620" s="4">
        <f t="shared" si="56"/>
        <v>43465</v>
      </c>
      <c r="F3620" s="11">
        <f>[1]!EM_S_PQ_PCTCHANGE(B3620,"2018-01-01","2019-12-31","3")</f>
        <v>-48.100219699999997</v>
      </c>
      <c r="G3620" s="11"/>
      <c r="H3620" s="11">
        <f>[1]!EM_S_FA_YOY_OR(B3620,E3620)</f>
        <v>-32.378843218500002</v>
      </c>
      <c r="I3620" s="11">
        <f>[1]!EM_S_FA_GROSSPROFITMARGIN(B3620,E3620)</f>
        <v>30.347473836399999</v>
      </c>
      <c r="J3620" s="11">
        <f>[1]!EM_S_FA_NETPROFITMARGIN(B3620,E3620)</f>
        <v>3.8105249171</v>
      </c>
      <c r="K3620" s="10">
        <f>[1]!EM_S_FA_ASSETSTURN(B3620,E3620)</f>
        <v>0.55880831158400002</v>
      </c>
      <c r="L3620" s="12">
        <f>[1]!EM_HKS_VAL_MV(B3620,"2019-12-31","2")</f>
        <v>3194538909.3600001</v>
      </c>
      <c r="M3620">
        <f>[1]!EM_S_VAL_PETTMDEDUCTED(B3620,E3620)</f>
        <v>125.392576599451</v>
      </c>
      <c r="N3620" s="7">
        <f>[1]!EM_S_VAL_PBGOODWILLDEDUCTED(B3620,E3620)</f>
        <v>1.5249309503985</v>
      </c>
      <c r="O3620" s="7">
        <f>[1]!EM_S_VAL_PS_TTM(B3620,E3620)</f>
        <v>1.4916686352445401</v>
      </c>
      <c r="P3620" s="7">
        <f>[1]!EM_S_VAL_PCF_NCFTTM(B3620,E3620)</f>
        <v>190.77808853398099</v>
      </c>
      <c r="Q3620" s="7">
        <f>[1]!EM_S_VAL_DIVIDENDYIELD2(B3620,E3620,"2019-11-29")</f>
        <v>0.72423398328690813</v>
      </c>
      <c r="T3620"/>
      <c r="U3620">
        <f>[1]!EM_S_RATIO_EPS_TTM(B3620,E3620,"1")</f>
        <v>0.12482964675966053</v>
      </c>
      <c r="AT3620" s="4" t="str">
        <f>[1]!EM_S_IPO_LISTEDDATE(B3620)</f>
        <v>2006-07-25</v>
      </c>
    </row>
    <row r="3621" spans="1:46">
      <c r="A3621">
        <v>580</v>
      </c>
      <c r="B3621" t="str">
        <f>"002069"</f>
        <v>002069</v>
      </c>
      <c r="C3621" t="s">
        <v>3547</v>
      </c>
      <c r="D3621" t="str">
        <f>[1]!EM_S_INFO_INDEX_EM(B3621,"1")</f>
        <v>农林牧渔</v>
      </c>
      <c r="E3621" s="4">
        <f t="shared" si="56"/>
        <v>43465</v>
      </c>
      <c r="F3621" s="11">
        <f>[1]!EM_S_PQ_PCTCHANGE(B3621,"2018-01-01","2019-12-31","3")</f>
        <v>-66.416040100000004</v>
      </c>
      <c r="G3621" s="11"/>
      <c r="H3621" s="11">
        <f>[1]!EM_S_FA_YOY_OR(B3621,E3621)</f>
        <v>-12.7220272746</v>
      </c>
      <c r="I3621" s="11">
        <f>[1]!EM_S_FA_GROSSPROFITMARGIN(B3621,E3621)</f>
        <v>16.713349253600001</v>
      </c>
      <c r="J3621" s="11">
        <f>[1]!EM_S_FA_NETPROFITMARGIN(B3621,E3621)</f>
        <v>1.2146875579</v>
      </c>
      <c r="K3621" s="10">
        <f>[1]!EM_S_FA_ASSETSTURN(B3621,E3621)</f>
        <v>0.74629623541000001</v>
      </c>
      <c r="L3621" s="12">
        <f>[1]!EM_HKS_VAL_MV(B3621,"2019-12-31","2")</f>
        <v>1905780679.9200001</v>
      </c>
      <c r="M3621">
        <f>[1]!EM_S_VAL_PETTMDEDUCTED(B3621,E3621)</f>
        <v>-13.657820264335999</v>
      </c>
      <c r="N3621" s="7">
        <f>[1]!EM_S_VAL_PBGOODWILLDEDUCTED(B3621,E3621)</f>
        <v>6.04450801489965</v>
      </c>
      <c r="O3621" s="7">
        <f>[1]!EM_S_VAL_PS_TTM(B3621,E3621)</f>
        <v>0.77613134884979795</v>
      </c>
      <c r="P3621" s="7">
        <f>[1]!EM_S_VAL_PCF_NCFTTM(B3621,E3621)</f>
        <v>-14.284586227621</v>
      </c>
      <c r="Q3621" s="7">
        <f>[1]!EM_S_VAL_DIVIDENDYIELD2(B3621,E3621,"2019-11-29")</f>
        <v>0</v>
      </c>
      <c r="T3621"/>
      <c r="U3621">
        <f>[1]!EM_S_RATIO_EPS_TTM(B3621,E3621,"1")</f>
        <v>4.5153484261584748E-2</v>
      </c>
      <c r="AT3621" s="4" t="str">
        <f>[1]!EM_S_IPO_LISTEDDATE(B3621)</f>
        <v>2006-09-28</v>
      </c>
    </row>
    <row r="3622" spans="1:46">
      <c r="A3622">
        <v>581</v>
      </c>
      <c r="B3622" t="str">
        <f>"002070"</f>
        <v>002070</v>
      </c>
      <c r="C3622" t="s">
        <v>3646</v>
      </c>
      <c r="D3622">
        <f>[1]!EM_S_INFO_INDEX_EM(B3622,"1")</f>
        <v>0</v>
      </c>
      <c r="E3622" s="4">
        <f t="shared" si="56"/>
        <v>43465</v>
      </c>
      <c r="F3622" s="11">
        <f>[1]!EM_S_PQ_PCTCHANGE(B3622,"2018-01-01","2019-12-31","3")</f>
        <v>-86.47619048</v>
      </c>
      <c r="G3622" s="11"/>
      <c r="H3622" s="11">
        <f>[1]!EM_S_FA_YOY_OR(B3622,E3622)</f>
        <v>-73.287307656199999</v>
      </c>
      <c r="I3622" s="11">
        <f>[1]!EM_S_FA_GROSSPROFITMARGIN(B3622,E3622)</f>
        <v>8.5182830647000003</v>
      </c>
      <c r="J3622" s="11">
        <f>[1]!EM_S_FA_NETPROFITMARGIN(B3622,E3622)</f>
        <v>-291.18572944620001</v>
      </c>
      <c r="K3622" s="10">
        <f>[1]!EM_S_FA_ASSETSTURN(B3622,E3622)</f>
        <v>0.11319285885700001</v>
      </c>
      <c r="L3622" s="12">
        <f>[1]!EM_HKS_VAL_MV(B3622,"2019-12-31","2")</f>
        <v>451033290.75999999</v>
      </c>
      <c r="M3622">
        <f>[1]!EM_S_VAL_PETTMDEDUCTED(B3622,E3622)</f>
        <v>-6.4058519423331104</v>
      </c>
      <c r="N3622" s="7">
        <f>[1]!EM_S_VAL_PBGOODWILLDEDUCTED(B3622,E3622)</f>
        <v>-2.23865186455114</v>
      </c>
      <c r="O3622" s="7">
        <f>[1]!EM_S_VAL_PS_TTM(B3622,E3622)</f>
        <v>7.6850650270015199</v>
      </c>
      <c r="P3622" s="7">
        <f>[1]!EM_S_VAL_PCF_NCFTTM(B3622,E3622)</f>
        <v>-2697.0663912268501</v>
      </c>
      <c r="Q3622" s="7">
        <f>[1]!EM_S_VAL_DIVIDENDYIELD2(B3622,E3622,"2019-11-29")</f>
        <v>0</v>
      </c>
      <c r="T3622"/>
      <c r="U3622">
        <f>[1]!EM_S_RATIO_EPS_TTM(B3622,E3622,"1")</f>
        <v>-0.90170283461893874</v>
      </c>
      <c r="AT3622" s="4" t="str">
        <f>[1]!EM_S_IPO_LISTEDDATE(B3622)</f>
        <v>2006-10-12</v>
      </c>
    </row>
    <row r="3623" spans="1:46">
      <c r="A3623">
        <v>582</v>
      </c>
      <c r="B3623" t="str">
        <f>"002071"</f>
        <v>002071</v>
      </c>
      <c r="C3623" t="s">
        <v>2452</v>
      </c>
      <c r="D3623" t="str">
        <f>[1]!EM_S_INFO_INDEX_EM(B3623,"1")</f>
        <v>文化传媒</v>
      </c>
      <c r="E3623" s="4">
        <f t="shared" si="56"/>
        <v>43465</v>
      </c>
      <c r="F3623" s="11">
        <f>[1]!EM_S_PQ_PCTCHANGE(B3623,"2018-01-01","2019-12-31","3")</f>
        <v>-66.110019649999998</v>
      </c>
      <c r="G3623" s="11"/>
      <c r="H3623" s="11">
        <f>[1]!EM_S_FA_YOY_OR(B3623,E3623)</f>
        <v>16.170425933099999</v>
      </c>
      <c r="I3623" s="11">
        <f>[1]!EM_S_FA_GROSSPROFITMARGIN(B3623,E3623)</f>
        <v>29.247739572699999</v>
      </c>
      <c r="J3623" s="11">
        <f>[1]!EM_S_FA_NETPROFITMARGIN(B3623,E3623)</f>
        <v>-25.644760124299999</v>
      </c>
      <c r="K3623" s="10">
        <f>[1]!EM_S_FA_ASSETSTURN(B3623,E3623)</f>
        <v>0.433200393736</v>
      </c>
      <c r="L3623" s="12">
        <f>[1]!EM_HKS_VAL_MV(B3623,"2019-12-31","2")</f>
        <v>1812733079.0999999</v>
      </c>
      <c r="M3623">
        <f>[1]!EM_S_VAL_PETTMDEDUCTED(B3623,E3623)</f>
        <v>20.8218423019174</v>
      </c>
      <c r="N3623" s="7">
        <f>[1]!EM_S_VAL_PBGOODWILLDEDUCTED(B3623,E3623)</f>
        <v>-3.2548405574155499</v>
      </c>
      <c r="O3623" s="7">
        <f>[1]!EM_S_VAL_PS_TTM(B3623,E3623)</f>
        <v>1.6360811506116399</v>
      </c>
      <c r="P3623" s="7">
        <f>[1]!EM_S_VAL_PCF_NCFTTM(B3623,E3623)</f>
        <v>-21.372603235649599</v>
      </c>
      <c r="Q3623" s="7">
        <f>[1]!EM_S_VAL_DIVIDENDYIELD2(B3623,E3623,"2019-11-29")</f>
        <v>0</v>
      </c>
      <c r="T3623"/>
      <c r="U3623">
        <f>[1]!EM_S_RATIO_EPS_TTM(B3623,E3623,"1")</f>
        <v>-0.78841862317924749</v>
      </c>
      <c r="AT3623" s="4" t="str">
        <f>[1]!EM_S_IPO_LISTEDDATE(B3623)</f>
        <v>2006-10-12</v>
      </c>
    </row>
    <row r="3624" spans="1:46">
      <c r="A3624">
        <v>583</v>
      </c>
      <c r="B3624" t="str">
        <f>"002072"</f>
        <v>002072</v>
      </c>
      <c r="C3624" t="s">
        <v>3644</v>
      </c>
      <c r="D3624" t="str">
        <f>[1]!EM_S_INFO_INDEX_EM(B3624,"1")</f>
        <v>互联网</v>
      </c>
      <c r="E3624" s="4">
        <f t="shared" si="56"/>
        <v>43465</v>
      </c>
      <c r="F3624" s="11">
        <f>[1]!EM_S_PQ_PCTCHANGE(B3624,"2018-01-01","2019-12-31","3")</f>
        <v>-79.861591700000005</v>
      </c>
      <c r="G3624" s="11"/>
      <c r="H3624" s="11">
        <f>[1]!EM_S_FA_YOY_OR(B3624,E3624)</f>
        <v>-67.911692711300006</v>
      </c>
      <c r="I3624" s="11">
        <f>[1]!EM_S_FA_GROSSPROFITMARGIN(B3624,E3624)</f>
        <v>34.508769751999999</v>
      </c>
      <c r="J3624" s="11">
        <f>[1]!EM_S_FA_NETPROFITMARGIN(B3624,E3624)</f>
        <v>-1005.7496138552</v>
      </c>
      <c r="K3624" s="10">
        <f>[1]!EM_S_FA_ASSETSTURN(B3624,E3624)</f>
        <v>4.4906171473000002E-2</v>
      </c>
      <c r="L3624" s="12">
        <f>[1]!EM_HKS_VAL_MV(B3624,"2019-12-31","2")</f>
        <v>1024320000</v>
      </c>
      <c r="M3624">
        <f>[1]!EM_S_VAL_PETTMDEDUCTED(B3624,E3624)</f>
        <v>-19.133740035588399</v>
      </c>
      <c r="N3624" s="7">
        <f>[1]!EM_S_VAL_PBGOODWILLDEDUCTED(B3624,E3624)</f>
        <v>-5.7219220077678798</v>
      </c>
      <c r="O3624" s="7">
        <f>[1]!EM_S_VAL_PS_TTM(B3624,E3624)</f>
        <v>18.698274012714101</v>
      </c>
      <c r="P3624" s="7">
        <f>[1]!EM_S_VAL_PCF_NCFTTM(B3624,E3624)</f>
        <v>-85.089887314747102</v>
      </c>
      <c r="Q3624" s="7">
        <f>[1]!EM_S_VAL_DIVIDENDYIELD2(B3624,E3624,"2019-11-29")</f>
        <v>0</v>
      </c>
      <c r="T3624"/>
      <c r="U3624">
        <f>[1]!EM_S_RATIO_EPS_TTM(B3624,E3624,"1")</f>
        <v>-1.4217300547159091</v>
      </c>
      <c r="AT3624" s="4" t="str">
        <f>[1]!EM_S_IPO_LISTEDDATE(B3624)</f>
        <v>2006-10-18</v>
      </c>
    </row>
    <row r="3625" spans="1:46">
      <c r="A3625">
        <v>584</v>
      </c>
      <c r="B3625" t="str">
        <f>"002073"</f>
        <v>002073</v>
      </c>
      <c r="C3625" t="s">
        <v>2811</v>
      </c>
      <c r="D3625" t="str">
        <f>[1]!EM_S_INFO_INDEX_EM(B3625,"1")</f>
        <v>机械设备</v>
      </c>
      <c r="E3625" s="4">
        <f t="shared" si="56"/>
        <v>43465</v>
      </c>
      <c r="F3625" s="11">
        <f>[1]!EM_S_PQ_PCTCHANGE(B3625,"2018-01-01","2019-12-31","3")</f>
        <v>-41.5</v>
      </c>
      <c r="G3625" s="11"/>
      <c r="H3625" s="11">
        <f>[1]!EM_S_FA_YOY_OR(B3625,E3625)</f>
        <v>0.99625065069999996</v>
      </c>
      <c r="I3625" s="11">
        <f>[1]!EM_S_FA_GROSSPROFITMARGIN(B3625,E3625)</f>
        <v>21.675849863100002</v>
      </c>
      <c r="J3625" s="11">
        <f>[1]!EM_S_FA_NETPROFITMARGIN(B3625,E3625)</f>
        <v>-12.2879395851</v>
      </c>
      <c r="K3625" s="10">
        <f>[1]!EM_S_FA_ASSETSTURN(B3625,E3625)</f>
        <v>0.32143697440199998</v>
      </c>
      <c r="L3625" s="12">
        <f>[1]!EM_HKS_VAL_MV(B3625,"2019-12-31","2")</f>
        <v>4371057634.3199997</v>
      </c>
      <c r="M3625">
        <f>[1]!EM_S_VAL_PETTMDEDUCTED(B3625,E3625)</f>
        <v>-261.09201013417902</v>
      </c>
      <c r="N3625" s="7">
        <f>[1]!EM_S_VAL_PBGOODWILLDEDUCTED(B3625,E3625)</f>
        <v>1.0021969280655101</v>
      </c>
      <c r="O3625" s="7">
        <f>[1]!EM_S_VAL_PS_TTM(B3625,E3625)</f>
        <v>1.57899068122259</v>
      </c>
      <c r="P3625" s="7">
        <f>[1]!EM_S_VAL_PCF_NCFTTM(B3625,E3625)</f>
        <v>-8.5774407414991796</v>
      </c>
      <c r="Q3625" s="7">
        <f>[1]!EM_S_VAL_DIVIDENDYIELD2(B3625,E3625,"2019-11-29")</f>
        <v>0</v>
      </c>
      <c r="T3625"/>
      <c r="U3625">
        <f>[1]!EM_S_RATIO_EPS_TTM(B3625,E3625,"1")</f>
        <v>-0.33497116154785739</v>
      </c>
      <c r="AT3625" s="4" t="str">
        <f>[1]!EM_S_IPO_LISTEDDATE(B3625)</f>
        <v>2006-10-18</v>
      </c>
    </row>
    <row r="3626" spans="1:46">
      <c r="A3626">
        <v>587</v>
      </c>
      <c r="B3626" t="str">
        <f>"002076"</f>
        <v>002076</v>
      </c>
      <c r="C3626" t="s">
        <v>2072</v>
      </c>
      <c r="D3626" t="str">
        <f>[1]!EM_S_INFO_INDEX_EM(B3626,"1")</f>
        <v>电子设备</v>
      </c>
      <c r="E3626" s="4">
        <f t="shared" si="56"/>
        <v>43465</v>
      </c>
      <c r="F3626" s="11">
        <f>[1]!EM_S_PQ_PCTCHANGE(B3626,"2018-01-01","2019-12-31","3")</f>
        <v>-55.555555560000002</v>
      </c>
      <c r="G3626" s="11"/>
      <c r="H3626" s="11">
        <f>[1]!EM_S_FA_YOY_OR(B3626,E3626)</f>
        <v>-44.804459089700003</v>
      </c>
      <c r="I3626" s="11">
        <f>[1]!EM_S_FA_GROSSPROFITMARGIN(B3626,E3626)</f>
        <v>23.112482066999998</v>
      </c>
      <c r="J3626" s="11">
        <f>[1]!EM_S_FA_NETPROFITMARGIN(B3626,E3626)</f>
        <v>-153.77334917889999</v>
      </c>
      <c r="K3626" s="10">
        <f>[1]!EM_S_FA_ASSETSTURN(B3626,E3626)</f>
        <v>0.29780996754700001</v>
      </c>
      <c r="L3626" s="12">
        <f>[1]!EM_HKS_VAL_MV(B3626,"2019-12-31","2")</f>
        <v>1929198314.0799999</v>
      </c>
      <c r="M3626">
        <f>[1]!EM_S_VAL_PETTMDEDUCTED(B3626,E3626)</f>
        <v>-78.581823624272801</v>
      </c>
      <c r="N3626" s="7">
        <f>[1]!EM_S_VAL_PBGOODWILLDEDUCTED(B3626,E3626)</f>
        <v>6.2338372285722397</v>
      </c>
      <c r="O3626" s="7">
        <f>[1]!EM_S_VAL_PS_TTM(B3626,E3626)</f>
        <v>2.8448964426924199</v>
      </c>
      <c r="P3626" s="7">
        <f>[1]!EM_S_VAL_PCF_NCFTTM(B3626,E3626)</f>
        <v>-43.895363366394797</v>
      </c>
      <c r="Q3626" s="7">
        <f>[1]!EM_S_VAL_DIVIDENDYIELD2(B3626,E3626,"2019-11-29")</f>
        <v>0</v>
      </c>
      <c r="T3626"/>
      <c r="U3626">
        <f>[1]!EM_S_RATIO_EPS_TTM(B3626,E3626,"1")</f>
        <v>-1.0720851559984481</v>
      </c>
      <c r="AT3626" s="4" t="str">
        <f>[1]!EM_S_IPO_LISTEDDATE(B3626)</f>
        <v>2006-10-25</v>
      </c>
    </row>
    <row r="3627" spans="1:46">
      <c r="A3627">
        <v>588</v>
      </c>
      <c r="B3627" t="str">
        <f>"002077"</f>
        <v>002077</v>
      </c>
      <c r="C3627" t="s">
        <v>3290</v>
      </c>
      <c r="D3627" t="str">
        <f>[1]!EM_S_INFO_INDEX_EM(B3627,"1")</f>
        <v>房地产</v>
      </c>
      <c r="E3627" s="4">
        <f t="shared" si="56"/>
        <v>43465</v>
      </c>
      <c r="F3627" s="11">
        <f>[1]!EM_S_PQ_PCTCHANGE(B3627,"2018-01-01","2019-12-31","3")</f>
        <v>-60.147354319999998</v>
      </c>
      <c r="G3627" s="11"/>
      <c r="H3627" s="11">
        <f>[1]!EM_S_FA_YOY_OR(B3627,E3627)</f>
        <v>28.9357844709</v>
      </c>
      <c r="I3627" s="11">
        <f>[1]!EM_S_FA_GROSSPROFITMARGIN(B3627,E3627)</f>
        <v>2.8870608945999998</v>
      </c>
      <c r="J3627" s="11">
        <f>[1]!EM_S_FA_NETPROFITMARGIN(B3627,E3627)</f>
        <v>-33.735142698700002</v>
      </c>
      <c r="K3627" s="10">
        <f>[1]!EM_S_FA_ASSETSTURN(B3627,E3627)</f>
        <v>0.23255932363199999</v>
      </c>
      <c r="L3627" s="12">
        <f>[1]!EM_HKS_VAL_MV(B3627,"2019-12-31","2")</f>
        <v>3453073652.3499999</v>
      </c>
      <c r="M3627">
        <f>[1]!EM_S_VAL_PETTMDEDUCTED(B3627,E3627)</f>
        <v>-17.5473514224125</v>
      </c>
      <c r="N3627" s="7">
        <f>[1]!EM_S_VAL_PBGOODWILLDEDUCTED(B3627,E3627)</f>
        <v>0.74765672519106097</v>
      </c>
      <c r="O3627" s="7">
        <f>[1]!EM_S_VAL_PS_TTM(B3627,E3627)</f>
        <v>1.73371851170921</v>
      </c>
      <c r="P3627" s="7">
        <f>[1]!EM_S_VAL_PCF_NCFTTM(B3627,E3627)</f>
        <v>-171.64458346482701</v>
      </c>
      <c r="Q3627" s="7">
        <f>[1]!EM_S_VAL_DIVIDENDYIELD2(B3627,E3627,"2019-11-29")</f>
        <v>0</v>
      </c>
      <c r="T3627"/>
      <c r="U3627">
        <f>[1]!EM_S_RATIO_EPS_TTM(B3627,E3627,"1")</f>
        <v>-0.98288407927737731</v>
      </c>
      <c r="AT3627" s="4" t="str">
        <f>[1]!EM_S_IPO_LISTEDDATE(B3627)</f>
        <v>2006-11-16</v>
      </c>
    </row>
    <row r="3628" spans="1:46">
      <c r="A3628">
        <v>593</v>
      </c>
      <c r="B3628" t="str">
        <f>"002082"</f>
        <v>002082</v>
      </c>
      <c r="C3628" t="s">
        <v>2566</v>
      </c>
      <c r="D3628" t="str">
        <f>[1]!EM_S_INFO_INDEX_EM(B3628,"1")</f>
        <v>有色金属</v>
      </c>
      <c r="E3628" s="4">
        <f t="shared" si="56"/>
        <v>43465</v>
      </c>
      <c r="F3628" s="11">
        <f>[1]!EM_S_PQ_PCTCHANGE(B3628,"2018-01-01","2019-12-31","3")</f>
        <v>-32.355046530000003</v>
      </c>
      <c r="G3628" s="11"/>
      <c r="H3628" s="11">
        <f>[1]!EM_S_FA_YOY_OR(B3628,E3628)</f>
        <v>-2.0508258102000001</v>
      </c>
      <c r="I3628" s="11">
        <f>[1]!EM_S_FA_GROSSPROFITMARGIN(B3628,E3628)</f>
        <v>3.6432951097999999</v>
      </c>
      <c r="J3628" s="11">
        <f>[1]!EM_S_FA_NETPROFITMARGIN(B3628,E3628)</f>
        <v>0.87329213189999999</v>
      </c>
      <c r="K3628" s="10">
        <f>[1]!EM_S_FA_ASSETSTURN(B3628,E3628)</f>
        <v>5.79734196244</v>
      </c>
      <c r="L3628" s="12">
        <f>[1]!EM_HKS_VAL_MV(B3628,"2019-12-31","2")</f>
        <v>2249100000</v>
      </c>
      <c r="M3628">
        <f>[1]!EM_S_VAL_PETTMDEDUCTED(B3628,E3628)</f>
        <v>29.7445603073547</v>
      </c>
      <c r="N3628" s="7">
        <f>[1]!EM_S_VAL_PBGOODWILLDEDUCTED(B3628,E3628)</f>
        <v>1.4705894566039801</v>
      </c>
      <c r="O3628" s="7">
        <f>[1]!EM_S_VAL_PS_TTM(B3628,E3628)</f>
        <v>0.118645110591192</v>
      </c>
      <c r="P3628" s="7">
        <f>[1]!EM_S_VAL_PCF_NCFTTM(B3628,E3628)</f>
        <v>-12.5429329742555</v>
      </c>
      <c r="Q3628" s="7">
        <f>[1]!EM_S_VAL_DIVIDENDYIELD2(B3628,E3628,"2019-11-29")</f>
        <v>0</v>
      </c>
      <c r="T3628"/>
      <c r="U3628">
        <f>[1]!EM_S_RATIO_EPS_TTM(B3628,E3628,"1")</f>
        <v>0.35327927294117645</v>
      </c>
      <c r="AT3628" s="4" t="str">
        <f>[1]!EM_S_IPO_LISTEDDATE(B3628)</f>
        <v>2006-11-20</v>
      </c>
    </row>
    <row r="3629" spans="1:46">
      <c r="A3629">
        <v>597</v>
      </c>
      <c r="B3629" t="str">
        <f>"002086"</f>
        <v>002086</v>
      </c>
      <c r="C3629" t="s">
        <v>3035</v>
      </c>
      <c r="D3629" t="str">
        <f>[1]!EM_S_INFO_INDEX_EM(B3629,"1")</f>
        <v>农林牧渔</v>
      </c>
      <c r="E3629" s="4">
        <f t="shared" si="56"/>
        <v>43465</v>
      </c>
      <c r="F3629" s="11">
        <f>[1]!EM_S_PQ_PCTCHANGE(B3629,"2018-01-01","2019-12-31","3")</f>
        <v>-68.907563030000006</v>
      </c>
      <c r="G3629" s="11"/>
      <c r="H3629" s="11">
        <f>[1]!EM_S_FA_YOY_OR(B3629,E3629)</f>
        <v>-6.9761970055000004</v>
      </c>
      <c r="I3629" s="11">
        <f>[1]!EM_S_FA_GROSSPROFITMARGIN(B3629,E3629)</f>
        <v>23.685326980300001</v>
      </c>
      <c r="J3629" s="11">
        <f>[1]!EM_S_FA_NETPROFITMARGIN(B3629,E3629)</f>
        <v>-109.1222288069</v>
      </c>
      <c r="K3629" s="10">
        <f>[1]!EM_S_FA_ASSETSTURN(B3629,E3629)</f>
        <v>0.17662226237500001</v>
      </c>
      <c r="L3629" s="12">
        <f>[1]!EM_HKS_VAL_MV(B3629,"2019-12-31","2")</f>
        <v>2798495000</v>
      </c>
      <c r="M3629">
        <f>[1]!EM_S_VAL_PETTMDEDUCTED(B3629,E3629)</f>
        <v>54.982728840661203</v>
      </c>
      <c r="N3629" s="7">
        <f>[1]!EM_S_VAL_PBGOODWILLDEDUCTED(B3629,E3629)</f>
        <v>1.1989761121617399</v>
      </c>
      <c r="O3629" s="7">
        <f>[1]!EM_S_VAL_PS_TTM(B3629,E3629)</f>
        <v>4.09765449540755</v>
      </c>
      <c r="P3629" s="7">
        <f>[1]!EM_S_VAL_PCF_NCFTTM(B3629,E3629)</f>
        <v>7.5698153380746103</v>
      </c>
      <c r="Q3629" s="7">
        <f>[1]!EM_S_VAL_DIVIDENDYIELD2(B3629,E3629,"2019-11-29")</f>
        <v>0</v>
      </c>
      <c r="T3629"/>
      <c r="U3629">
        <f>[1]!EM_S_RATIO_EPS_TTM(B3629,E3629,"1")</f>
        <v>-1.0420454123091163</v>
      </c>
      <c r="AT3629" s="4" t="str">
        <f>[1]!EM_S_IPO_LISTEDDATE(B3629)</f>
        <v>2006-11-28</v>
      </c>
    </row>
    <row r="3630" spans="1:46">
      <c r="A3630">
        <v>600</v>
      </c>
      <c r="B3630" t="str">
        <f>"002089"</f>
        <v>002089</v>
      </c>
      <c r="C3630" t="s">
        <v>2203</v>
      </c>
      <c r="D3630" t="str">
        <f>[1]!EM_S_INFO_INDEX_EM(B3630,"1")</f>
        <v>信息技术</v>
      </c>
      <c r="E3630" s="4">
        <f t="shared" si="56"/>
        <v>43465</v>
      </c>
      <c r="F3630" s="11">
        <f>[1]!EM_S_PQ_PCTCHANGE(B3630,"2018-01-01","2019-12-31","3")</f>
        <v>-67.081850529999997</v>
      </c>
      <c r="G3630" s="11"/>
      <c r="H3630" s="11">
        <f>[1]!EM_S_FA_YOY_OR(B3630,E3630)</f>
        <v>-52.688362393299997</v>
      </c>
      <c r="I3630" s="11">
        <f>[1]!EM_S_FA_GROSSPROFITMARGIN(B3630,E3630)</f>
        <v>15.213642785999999</v>
      </c>
      <c r="J3630" s="11">
        <f>[1]!EM_S_FA_NETPROFITMARGIN(B3630,E3630)</f>
        <v>-60.978575430699998</v>
      </c>
      <c r="K3630" s="10">
        <f>[1]!EM_S_FA_ASSETSTURN(B3630,E3630)</f>
        <v>0.16028684506999999</v>
      </c>
      <c r="L3630" s="12">
        <f>[1]!EM_HKS_VAL_MV(B3630,"2019-12-31","2")</f>
        <v>2543138789.5999999</v>
      </c>
      <c r="M3630">
        <f>[1]!EM_S_VAL_PETTMDEDUCTED(B3630,E3630)</f>
        <v>-17.3327115987335</v>
      </c>
      <c r="N3630" s="7">
        <f>[1]!EM_S_VAL_PBGOODWILLDEDUCTED(B3630,E3630)</f>
        <v>4.5130189223221198</v>
      </c>
      <c r="O3630" s="7">
        <f>[1]!EM_S_VAL_PS_TTM(B3630,E3630)</f>
        <v>9.0533439993806706</v>
      </c>
      <c r="P3630" s="7">
        <f>[1]!EM_S_VAL_PCF_NCFTTM(B3630,E3630)</f>
        <v>-94.690953130190195</v>
      </c>
      <c r="Q3630" s="7">
        <f>[1]!EM_S_VAL_DIVIDENDYIELD2(B3630,E3630,"2019-11-29")</f>
        <v>0</v>
      </c>
      <c r="T3630"/>
      <c r="U3630">
        <f>[1]!EM_S_RATIO_EPS_TTM(B3630,E3630,"1")</f>
        <v>-0.32897950709488877</v>
      </c>
      <c r="AT3630" s="4" t="str">
        <f>[1]!EM_S_IPO_LISTEDDATE(B3630)</f>
        <v>2006-11-30</v>
      </c>
    </row>
    <row r="3631" spans="1:46">
      <c r="A3631">
        <v>604</v>
      </c>
      <c r="B3631" t="str">
        <f>"002093"</f>
        <v>002093</v>
      </c>
      <c r="C3631" t="s">
        <v>1288</v>
      </c>
      <c r="D3631" t="str">
        <f>[1]!EM_S_INFO_INDEX_EM(B3631,"1")</f>
        <v>信息技术</v>
      </c>
      <c r="E3631" s="4">
        <f t="shared" si="56"/>
        <v>43465</v>
      </c>
      <c r="F3631" s="11">
        <f>[1]!EM_S_PQ_PCTCHANGE(B3631,"2018-01-01","2019-12-31","3")</f>
        <v>-14.86663684</v>
      </c>
      <c r="G3631" s="11"/>
      <c r="H3631" s="11">
        <f>[1]!EM_S_FA_YOY_OR(B3631,E3631)</f>
        <v>-35.151800684400001</v>
      </c>
      <c r="I3631" s="11">
        <f>[1]!EM_S_FA_GROSSPROFITMARGIN(B3631,E3631)</f>
        <v>37.4765875274</v>
      </c>
      <c r="J3631" s="11">
        <f>[1]!EM_S_FA_NETPROFITMARGIN(B3631,E3631)</f>
        <v>10.643931067500001</v>
      </c>
      <c r="K3631" s="10">
        <f>[1]!EM_S_FA_ASSETSTURN(B3631,E3631)</f>
        <v>0.21383487641900001</v>
      </c>
      <c r="L3631" s="12">
        <f>[1]!EM_HKS_VAL_MV(B3631,"2019-12-31","2")</f>
        <v>8120450000</v>
      </c>
      <c r="M3631">
        <f>[1]!EM_S_VAL_PETTMDEDUCTED(B3631,E3631)</f>
        <v>52.248541942055297</v>
      </c>
      <c r="N3631" s="7">
        <f>[1]!EM_S_VAL_PBGOODWILLDEDUCTED(B3631,E3631)</f>
        <v>2.33256020660603</v>
      </c>
      <c r="O3631" s="7">
        <f>[1]!EM_S_VAL_PS_TTM(B3631,E3631)</f>
        <v>5.7485181029848</v>
      </c>
      <c r="P3631" s="7">
        <f>[1]!EM_S_VAL_PCF_NCFTTM(B3631,E3631)</f>
        <v>-4318.8472277934698</v>
      </c>
      <c r="Q3631" s="7">
        <f>[1]!EM_S_VAL_DIVIDENDYIELD2(B3631,E3631,"2019-11-29")</f>
        <v>0.1918158567774936</v>
      </c>
      <c r="T3631"/>
      <c r="U3631">
        <f>[1]!EM_S_RATIO_EPS_TTM(B3631,E3631,"1")</f>
        <v>0.12927077889826302</v>
      </c>
      <c r="AT3631" s="4" t="str">
        <f>[1]!EM_S_IPO_LISTEDDATE(B3631)</f>
        <v>2006-12-15</v>
      </c>
    </row>
    <row r="3632" spans="1:46">
      <c r="A3632">
        <v>607</v>
      </c>
      <c r="B3632" t="str">
        <f>"002096"</f>
        <v>002096</v>
      </c>
      <c r="C3632" t="s">
        <v>3397</v>
      </c>
      <c r="D3632" t="str">
        <f>[1]!EM_S_INFO_INDEX_EM(B3632,"1")</f>
        <v>基础化工</v>
      </c>
      <c r="E3632" s="4">
        <f t="shared" si="56"/>
        <v>43465</v>
      </c>
      <c r="F3632" s="11">
        <f>[1]!EM_S_PQ_PCTCHANGE(B3632,"2018-01-01","2019-12-31","3")</f>
        <v>-20.502599400000001</v>
      </c>
      <c r="G3632" s="11"/>
      <c r="H3632" s="11">
        <f>[1]!EM_S_FA_YOY_OR(B3632,E3632)</f>
        <v>-17.159614635899999</v>
      </c>
      <c r="I3632" s="11">
        <f>[1]!EM_S_FA_GROSSPROFITMARGIN(B3632,E3632)</f>
        <v>27.944303242699998</v>
      </c>
      <c r="J3632" s="11">
        <f>[1]!EM_S_FA_NETPROFITMARGIN(B3632,E3632)</f>
        <v>1.0763049169000001</v>
      </c>
      <c r="K3632" s="10">
        <f>[1]!EM_S_FA_ASSETSTURN(B3632,E3632)</f>
        <v>0.57053302526299998</v>
      </c>
      <c r="L3632" s="12">
        <f>[1]!EM_HKS_VAL_MV(B3632,"2019-12-31","2")</f>
        <v>2413365500</v>
      </c>
      <c r="M3632">
        <f>[1]!EM_S_VAL_PETTMDEDUCTED(B3632,E3632)</f>
        <v>-1589.57394390268</v>
      </c>
      <c r="N3632" s="7">
        <f>[1]!EM_S_VAL_PBGOODWILLDEDUCTED(B3632,E3632)</f>
        <v>0.98423897940655702</v>
      </c>
      <c r="O3632" s="7">
        <f>[1]!EM_S_VAL_PS_TTM(B3632,E3632)</f>
        <v>0.95195626570646596</v>
      </c>
      <c r="P3632" s="7">
        <f>[1]!EM_S_VAL_PCF_NCFTTM(B3632,E3632)</f>
        <v>-22.507106195313401</v>
      </c>
      <c r="Q3632" s="7">
        <f>[1]!EM_S_VAL_DIVIDENDYIELD2(B3632,E3632,"2019-11-29")</f>
        <v>0.33613445378151263</v>
      </c>
      <c r="T3632"/>
      <c r="U3632">
        <f>[1]!EM_S_RATIO_EPS_TTM(B3632,E3632,"1")</f>
        <v>6.1186580623614616E-2</v>
      </c>
      <c r="AT3632" s="4" t="str">
        <f>[1]!EM_S_IPO_LISTEDDATE(B3632)</f>
        <v>2006-12-22</v>
      </c>
    </row>
    <row r="3633" spans="1:46">
      <c r="A3633">
        <v>609</v>
      </c>
      <c r="B3633" t="str">
        <f>"002098"</f>
        <v>002098</v>
      </c>
      <c r="C3633" t="s">
        <v>2882</v>
      </c>
      <c r="D3633" t="str">
        <f>[1]!EM_S_INFO_INDEX_EM(B3633,"1")</f>
        <v>纺织服装</v>
      </c>
      <c r="E3633" s="4">
        <f t="shared" si="56"/>
        <v>43465</v>
      </c>
      <c r="F3633" s="11">
        <f>[1]!EM_S_PQ_PCTCHANGE(B3633,"2018-01-01","2019-12-31","3")</f>
        <v>-57.265481289999997</v>
      </c>
      <c r="G3633" s="11"/>
      <c r="H3633" s="11">
        <f>[1]!EM_S_FA_YOY_OR(B3633,E3633)</f>
        <v>22.183656281000001</v>
      </c>
      <c r="I3633" s="11">
        <f>[1]!EM_S_FA_GROSSPROFITMARGIN(B3633,E3633)</f>
        <v>35.607098613700003</v>
      </c>
      <c r="J3633" s="11">
        <f>[1]!EM_S_FA_NETPROFITMARGIN(B3633,E3633)</f>
        <v>-29.794733968700001</v>
      </c>
      <c r="K3633" s="10">
        <f>[1]!EM_S_FA_ASSETSTURN(B3633,E3633)</f>
        <v>0.85413003827900003</v>
      </c>
      <c r="L3633" s="12">
        <f>[1]!EM_HKS_VAL_MV(B3633,"2019-12-31","2")</f>
        <v>2495260000</v>
      </c>
      <c r="M3633">
        <f>[1]!EM_S_VAL_PETTMDEDUCTED(B3633,E3633)</f>
        <v>37.020916414816803</v>
      </c>
      <c r="N3633" s="7">
        <f>[1]!EM_S_VAL_PBGOODWILLDEDUCTED(B3633,E3633)</f>
        <v>4.9992904412132404</v>
      </c>
      <c r="O3633" s="7">
        <f>[1]!EM_S_VAL_PS_TTM(B3633,E3633)</f>
        <v>1.1392814589131399</v>
      </c>
      <c r="P3633" s="7">
        <f>[1]!EM_S_VAL_PCF_NCFTTM(B3633,E3633)</f>
        <v>-30.536824084132999</v>
      </c>
      <c r="Q3633" s="7">
        <f>[1]!EM_S_VAL_DIVIDENDYIELD2(B3633,E3633,"2019-11-29")</f>
        <v>0</v>
      </c>
      <c r="T3633"/>
      <c r="U3633">
        <f>[1]!EM_S_RATIO_EPS_TTM(B3633,E3633,"1")</f>
        <v>-1.814885895810056</v>
      </c>
      <c r="AT3633" s="4" t="str">
        <f>[1]!EM_S_IPO_LISTEDDATE(B3633)</f>
        <v>2006-12-22</v>
      </c>
    </row>
    <row r="3634" spans="1:46">
      <c r="A3634">
        <v>613</v>
      </c>
      <c r="B3634" t="str">
        <f>"002102"</f>
        <v>002102</v>
      </c>
      <c r="C3634" t="s">
        <v>316</v>
      </c>
      <c r="D3634" t="str">
        <f>[1]!EM_S_INFO_INDEX_EM(B3634,"1")</f>
        <v>商贸零售</v>
      </c>
      <c r="E3634" s="4">
        <f t="shared" si="56"/>
        <v>43465</v>
      </c>
      <c r="F3634" s="11">
        <f>[1]!EM_S_PQ_PCTCHANGE(B3634,"2018-01-01","2019-12-31","3")</f>
        <v>-47.965405650000001</v>
      </c>
      <c r="G3634" s="11"/>
      <c r="H3634" s="11">
        <f>[1]!EM_S_FA_YOY_OR(B3634,E3634)</f>
        <v>46.808558731399998</v>
      </c>
      <c r="I3634" s="11">
        <f>[1]!EM_S_FA_GROSSPROFITMARGIN(B3634,E3634)</f>
        <v>5.2344527487999999</v>
      </c>
      <c r="J3634" s="11">
        <f>[1]!EM_S_FA_NETPROFITMARGIN(B3634,E3634)</f>
        <v>-19.353843856200001</v>
      </c>
      <c r="K3634" s="10">
        <f>[1]!EM_S_FA_ASSETSTURN(B3634,E3634)</f>
        <v>1.800200976076</v>
      </c>
      <c r="L3634" s="12">
        <f>[1]!EM_HKS_VAL_MV(B3634,"2019-12-31","2")</f>
        <v>5820778200.8999996</v>
      </c>
      <c r="M3634">
        <f>[1]!EM_S_VAL_PETTMDEDUCTED(B3634,E3634)</f>
        <v>9.1422344237944806</v>
      </c>
      <c r="N3634" s="7">
        <f>[1]!EM_S_VAL_PBGOODWILLDEDUCTED(B3634,E3634)</f>
        <v>-49.951157947060402</v>
      </c>
      <c r="O3634" s="7">
        <f>[1]!EM_S_VAL_PS_TTM(B3634,E3634)</f>
        <v>0.32406724953333399</v>
      </c>
      <c r="P3634" s="7">
        <f>[1]!EM_S_VAL_PCF_NCFTTM(B3634,E3634)</f>
        <v>13.847536560419799</v>
      </c>
      <c r="Q3634" s="7">
        <f>[1]!EM_S_VAL_DIVIDENDYIELD2(B3634,E3634,"2019-11-29")</f>
        <v>0</v>
      </c>
      <c r="T3634"/>
      <c r="U3634">
        <f>[1]!EM_S_RATIO_EPS_TTM(B3634,E3634,"1")</f>
        <v>-1.0298650230383151</v>
      </c>
      <c r="AT3634" s="4" t="str">
        <f>[1]!EM_S_IPO_LISTEDDATE(B3634)</f>
        <v>2006-12-29</v>
      </c>
    </row>
    <row r="3635" spans="1:46">
      <c r="A3635">
        <v>614</v>
      </c>
      <c r="B3635" t="str">
        <f>"002103"</f>
        <v>002103</v>
      </c>
      <c r="C3635" t="s">
        <v>2495</v>
      </c>
      <c r="D3635" t="str">
        <f>[1]!EM_S_INFO_INDEX_EM(B3635,"1")</f>
        <v>文化传媒</v>
      </c>
      <c r="E3635" s="4">
        <f t="shared" si="56"/>
        <v>43465</v>
      </c>
      <c r="F3635" s="11">
        <f>[1]!EM_S_PQ_PCTCHANGE(B3635,"2018-01-01","2019-12-31","3")</f>
        <v>-47.918376520000002</v>
      </c>
      <c r="G3635" s="11"/>
      <c r="H3635" s="11">
        <f>[1]!EM_S_FA_YOY_OR(B3635,E3635)</f>
        <v>-13.8821784726</v>
      </c>
      <c r="I3635" s="11">
        <f>[1]!EM_S_FA_GROSSPROFITMARGIN(B3635,E3635)</f>
        <v>19.223240569600001</v>
      </c>
      <c r="J3635" s="11">
        <f>[1]!EM_S_FA_NETPROFITMARGIN(B3635,E3635)</f>
        <v>-33.0982619754</v>
      </c>
      <c r="K3635" s="10">
        <f>[1]!EM_S_FA_ASSETSTURN(B3635,E3635)</f>
        <v>0.868976858904</v>
      </c>
      <c r="L3635" s="12">
        <f>[1]!EM_HKS_VAL_MV(B3635,"2019-12-31","2")</f>
        <v>2673554811.9000001</v>
      </c>
      <c r="M3635">
        <f>[1]!EM_S_VAL_PETTMDEDUCTED(B3635,E3635)</f>
        <v>-46.735766483699699</v>
      </c>
      <c r="N3635" s="7">
        <f>[1]!EM_S_VAL_PBGOODWILLDEDUCTED(B3635,E3635)</f>
        <v>2.5293518669151198</v>
      </c>
      <c r="O3635" s="7">
        <f>[1]!EM_S_VAL_PS_TTM(B3635,E3635)</f>
        <v>0.97379490065952801</v>
      </c>
      <c r="P3635" s="7">
        <f>[1]!EM_S_VAL_PCF_NCFTTM(B3635,E3635)</f>
        <v>51.397974668024702</v>
      </c>
      <c r="Q3635" s="7">
        <f>[1]!EM_S_VAL_DIVIDENDYIELD2(B3635,E3635,"2019-11-29")</f>
        <v>0</v>
      </c>
      <c r="T3635"/>
      <c r="U3635">
        <f>[1]!EM_S_RATIO_EPS_TTM(B3635,E3635,"1")</f>
        <v>-1.2416347785474777</v>
      </c>
      <c r="AT3635" s="4" t="str">
        <f>[1]!EM_S_IPO_LISTEDDATE(B3635)</f>
        <v>2007-01-10</v>
      </c>
    </row>
    <row r="3636" spans="1:46">
      <c r="A3636">
        <v>616</v>
      </c>
      <c r="B3636" t="str">
        <f>"002105"</f>
        <v>002105</v>
      </c>
      <c r="C3636" t="s">
        <v>3381</v>
      </c>
      <c r="D3636" t="str">
        <f>[1]!EM_S_INFO_INDEX_EM(B3636,"1")</f>
        <v>交运设备</v>
      </c>
      <c r="E3636" s="4">
        <f t="shared" si="56"/>
        <v>43465</v>
      </c>
      <c r="F3636" s="11">
        <f>[1]!EM_S_PQ_PCTCHANGE(B3636,"2018-01-01","2019-12-31","3")</f>
        <v>-8.5700193200000001</v>
      </c>
      <c r="G3636" s="11"/>
      <c r="H3636" s="11">
        <f>[1]!EM_S_FA_YOY_OR(B3636,E3636)</f>
        <v>-13.8762346464</v>
      </c>
      <c r="I3636" s="11">
        <f>[1]!EM_S_FA_GROSSPROFITMARGIN(B3636,E3636)</f>
        <v>13.6438812571</v>
      </c>
      <c r="J3636" s="11">
        <f>[1]!EM_S_FA_NETPROFITMARGIN(B3636,E3636)</f>
        <v>-0.51761315490000004</v>
      </c>
      <c r="K3636" s="10">
        <f>[1]!EM_S_FA_ASSETSTURN(B3636,E3636)</f>
        <v>0.96659667929199999</v>
      </c>
      <c r="L3636" s="12">
        <f>[1]!EM_HKS_VAL_MV(B3636,"2019-12-31","2")</f>
        <v>2174150000</v>
      </c>
      <c r="M3636">
        <f>[1]!EM_S_VAL_PETTMDEDUCTED(B3636,E3636)</f>
        <v>-896.46311581748296</v>
      </c>
      <c r="N3636" s="7">
        <f>[1]!EM_S_VAL_PBGOODWILLDEDUCTED(B3636,E3636)</f>
        <v>2.8798378757438599</v>
      </c>
      <c r="O3636" s="7">
        <f>[1]!EM_S_VAL_PS_TTM(B3636,E3636)</f>
        <v>1.01125071701089</v>
      </c>
      <c r="P3636" s="7">
        <f>[1]!EM_S_VAL_PCF_NCFTTM(B3636,E3636)</f>
        <v>-46.2995568428776</v>
      </c>
      <c r="Q3636" s="7">
        <f>[1]!EM_S_VAL_DIVIDENDYIELD2(B3636,E3636,"2019-11-29")</f>
        <v>0</v>
      </c>
      <c r="T3636"/>
      <c r="U3636">
        <f>[1]!EM_S_RATIO_EPS_TTM(B3636,E3636,"1")</f>
        <v>2.9647552971506105E-2</v>
      </c>
      <c r="AT3636" s="4" t="str">
        <f>[1]!EM_S_IPO_LISTEDDATE(B3636)</f>
        <v>2007-01-12</v>
      </c>
    </row>
    <row r="3637" spans="1:46">
      <c r="A3637">
        <v>619</v>
      </c>
      <c r="B3637" t="str">
        <f>"002108"</f>
        <v>002108</v>
      </c>
      <c r="C3637" t="s">
        <v>1571</v>
      </c>
      <c r="D3637" t="str">
        <f>[1]!EM_S_INFO_INDEX_EM(B3637,"1")</f>
        <v>建材</v>
      </c>
      <c r="E3637" s="4">
        <f t="shared" si="56"/>
        <v>43465</v>
      </c>
      <c r="F3637" s="11">
        <f>[1]!EM_S_PQ_PCTCHANGE(B3637,"2018-01-01","2019-12-31","3")</f>
        <v>-53.040235770000002</v>
      </c>
      <c r="G3637" s="11"/>
      <c r="H3637" s="11">
        <f>[1]!EM_S_FA_YOY_OR(B3637,E3637)</f>
        <v>-5.6559334101000003</v>
      </c>
      <c r="I3637" s="11">
        <f>[1]!EM_S_FA_GROSSPROFITMARGIN(B3637,E3637)</f>
        <v>16.555522943700002</v>
      </c>
      <c r="J3637" s="11">
        <f>[1]!EM_S_FA_NETPROFITMARGIN(B3637,E3637)</f>
        <v>8.8034688132000003</v>
      </c>
      <c r="K3637" s="10">
        <f>[1]!EM_S_FA_ASSETSTURN(B3637,E3637)</f>
        <v>0.76656806662900001</v>
      </c>
      <c r="L3637" s="12">
        <f>[1]!EM_HKS_VAL_MV(B3637,"2019-12-31","2")</f>
        <v>5544083618.0900002</v>
      </c>
      <c r="M3637">
        <f>[1]!EM_S_VAL_PETTMDEDUCTED(B3637,E3637)</f>
        <v>22.506398073701799</v>
      </c>
      <c r="N3637" s="7">
        <f>[1]!EM_S_VAL_PBGOODWILLDEDUCTED(B3637,E3637)</f>
        <v>1.8399989422426399</v>
      </c>
      <c r="O3637" s="7">
        <f>[1]!EM_S_VAL_PS_TTM(B3637,E3637)</f>
        <v>1.76118079945488</v>
      </c>
      <c r="P3637" s="7">
        <f>[1]!EM_S_VAL_PCF_NCFTTM(B3637,E3637)</f>
        <v>-978.05507861480396</v>
      </c>
      <c r="Q3637" s="7">
        <f>[1]!EM_S_VAL_DIVIDENDYIELD2(B3637,E3637,"2019-11-29")</f>
        <v>2.8169014084507045</v>
      </c>
      <c r="T3637"/>
      <c r="U3637">
        <f>[1]!EM_S_RATIO_EPS_TTM(B3637,E3637,"1")</f>
        <v>0.21008191949194599</v>
      </c>
      <c r="AT3637" s="4" t="str">
        <f>[1]!EM_S_IPO_LISTEDDATE(B3637)</f>
        <v>2007-01-24</v>
      </c>
    </row>
    <row r="3638" spans="1:46">
      <c r="A3638">
        <v>625</v>
      </c>
      <c r="B3638" t="str">
        <f>"002114"</f>
        <v>002114</v>
      </c>
      <c r="C3638" t="s">
        <v>2741</v>
      </c>
      <c r="D3638" t="str">
        <f>[1]!EM_S_INFO_INDEX_EM(B3638,"1")</f>
        <v>有色金属</v>
      </c>
      <c r="E3638" s="4">
        <f t="shared" si="56"/>
        <v>43465</v>
      </c>
      <c r="F3638" s="11">
        <f>[1]!EM_S_PQ_PCTCHANGE(B3638,"2018-01-01","2019-12-31","3")</f>
        <v>-57.909604520000002</v>
      </c>
      <c r="G3638" s="11"/>
      <c r="H3638" s="11">
        <f>[1]!EM_S_FA_YOY_OR(B3638,E3638)</f>
        <v>-33.657567514100002</v>
      </c>
      <c r="I3638" s="11">
        <f>[1]!EM_S_FA_GROSSPROFITMARGIN(B3638,E3638)</f>
        <v>4.1221988006999997</v>
      </c>
      <c r="J3638" s="11">
        <f>[1]!EM_S_FA_NETPROFITMARGIN(B3638,E3638)</f>
        <v>-24.071023856</v>
      </c>
      <c r="K3638" s="10">
        <f>[1]!EM_S_FA_ASSETSTURN(B3638,E3638)</f>
        <v>0.47211167575599999</v>
      </c>
      <c r="L3638" s="12">
        <f>[1]!EM_HKS_VAL_MV(B3638,"2019-12-31","2")</f>
        <v>2409294739.1500001</v>
      </c>
      <c r="M3638">
        <f>[1]!EM_S_VAL_PETTMDEDUCTED(B3638,E3638)</f>
        <v>-17.762381155457302</v>
      </c>
      <c r="N3638" s="7">
        <f>[1]!EM_S_VAL_PBGOODWILLDEDUCTED(B3638,E3638)</f>
        <v>1.40065590504472</v>
      </c>
      <c r="O3638" s="7">
        <f>[1]!EM_S_VAL_PS_TTM(B3638,E3638)</f>
        <v>1.68332347609003</v>
      </c>
      <c r="P3638" s="7">
        <f>[1]!EM_S_VAL_PCF_NCFTTM(B3638,E3638)</f>
        <v>-16.1578143333338</v>
      </c>
      <c r="Q3638" s="7">
        <f>[1]!EM_S_VAL_DIVIDENDYIELD2(B3638,E3638,"2019-11-29")</f>
        <v>0</v>
      </c>
      <c r="T3638"/>
      <c r="U3638">
        <f>[1]!EM_S_RATIO_EPS_TTM(B3638,E3638,"1")</f>
        <v>-0.79708470309802026</v>
      </c>
      <c r="AT3638" s="4" t="str">
        <f>[1]!EM_S_IPO_LISTEDDATE(B3638)</f>
        <v>2007-02-15</v>
      </c>
    </row>
    <row r="3639" spans="1:46">
      <c r="A3639">
        <v>632</v>
      </c>
      <c r="B3639" t="str">
        <f>"002121"</f>
        <v>002121</v>
      </c>
      <c r="C3639" t="s">
        <v>2578</v>
      </c>
      <c r="D3639" t="str">
        <f>[1]!EM_S_INFO_INDEX_EM(B3639,"1")</f>
        <v>电气设备</v>
      </c>
      <c r="E3639" s="4">
        <f t="shared" si="56"/>
        <v>43465</v>
      </c>
      <c r="F3639" s="11">
        <f>[1]!EM_S_PQ_PCTCHANGE(B3639,"2018-01-01","2019-12-31","3")</f>
        <v>-51.986460399999999</v>
      </c>
      <c r="G3639" s="11"/>
      <c r="H3639" s="11">
        <f>[1]!EM_S_FA_YOY_OR(B3639,E3639)</f>
        <v>-13.361540203900001</v>
      </c>
      <c r="I3639" s="11">
        <f>[1]!EM_S_FA_GROSSPROFITMARGIN(B3639,E3639)</f>
        <v>26.436436869800001</v>
      </c>
      <c r="J3639" s="11">
        <f>[1]!EM_S_FA_NETPROFITMARGIN(B3639,E3639)</f>
        <v>-32.090036075599997</v>
      </c>
      <c r="K3639" s="10">
        <f>[1]!EM_S_FA_ASSETSTURN(B3639,E3639)</f>
        <v>0.26260049332199997</v>
      </c>
      <c r="L3639" s="12">
        <f>[1]!EM_HKS_VAL_MV(B3639,"2019-12-31","2")</f>
        <v>6027734349.1599998</v>
      </c>
      <c r="M3639">
        <f>[1]!EM_S_VAL_PETTMDEDUCTED(B3639,E3639)</f>
        <v>-29.224265108145399</v>
      </c>
      <c r="N3639" s="7">
        <f>[1]!EM_S_VAL_PBGOODWILLDEDUCTED(B3639,E3639)</f>
        <v>2.1115584597670298</v>
      </c>
      <c r="O3639" s="7">
        <f>[1]!EM_S_VAL_PS_TTM(B3639,E3639)</f>
        <v>1.4252956553018601</v>
      </c>
      <c r="P3639" s="7">
        <f>[1]!EM_S_VAL_PCF_NCFTTM(B3639,E3639)</f>
        <v>-24.768872382395401</v>
      </c>
      <c r="Q3639" s="7">
        <f>[1]!EM_S_VAL_DIVIDENDYIELD2(B3639,E3639,"2019-11-29")</f>
        <v>0</v>
      </c>
      <c r="T3639"/>
      <c r="U3639">
        <f>[1]!EM_S_RATIO_EPS_TTM(B3639,E3639,"1")</f>
        <v>-0.86614251447407598</v>
      </c>
      <c r="AT3639" s="4" t="str">
        <f>[1]!EM_S_IPO_LISTEDDATE(B3639)</f>
        <v>2007-03-06</v>
      </c>
    </row>
    <row r="3640" spans="1:46">
      <c r="A3640">
        <v>633</v>
      </c>
      <c r="B3640" t="str">
        <f>"002122"</f>
        <v>002122</v>
      </c>
      <c r="C3640" t="s">
        <v>3287</v>
      </c>
      <c r="D3640" t="str">
        <f>[1]!EM_S_INFO_INDEX_EM(B3640,"1")</f>
        <v>机械设备</v>
      </c>
      <c r="E3640" s="4">
        <f t="shared" si="56"/>
        <v>43465</v>
      </c>
      <c r="F3640" s="11">
        <f>[1]!EM_S_PQ_PCTCHANGE(B3640,"2018-01-01","2019-12-31","3")</f>
        <v>-77.031802119999995</v>
      </c>
      <c r="G3640" s="11"/>
      <c r="H3640" s="11">
        <f>[1]!EM_S_FA_YOY_OR(B3640,E3640)</f>
        <v>-26.254910450699999</v>
      </c>
      <c r="I3640" s="11">
        <f>[1]!EM_S_FA_GROSSPROFITMARGIN(B3640,E3640)</f>
        <v>11.333491766</v>
      </c>
      <c r="J3640" s="11">
        <f>[1]!EM_S_FA_NETPROFITMARGIN(B3640,E3640)</f>
        <v>-33.879052471000001</v>
      </c>
      <c r="K3640" s="10">
        <f>[1]!EM_S_FA_ASSETSTURN(B3640,E3640)</f>
        <v>0.21525369503299999</v>
      </c>
      <c r="L3640" s="12">
        <f>[1]!EM_HKS_VAL_MV(B3640,"2019-12-31","2")</f>
        <v>2316600000</v>
      </c>
      <c r="M3640">
        <f>[1]!EM_S_VAL_PETTMDEDUCTED(B3640,E3640)</f>
        <v>-3.4974198577726399</v>
      </c>
      <c r="N3640" s="7">
        <f>[1]!EM_S_VAL_PBGOODWILLDEDUCTED(B3640,E3640)</f>
        <v>0.61097489331578403</v>
      </c>
      <c r="O3640" s="7">
        <f>[1]!EM_S_VAL_PS_TTM(B3640,E3640)</f>
        <v>0.97479538535682198</v>
      </c>
      <c r="P3640" s="7">
        <f>[1]!EM_S_VAL_PCF_NCFTTM(B3640,E3640)</f>
        <v>-2.1925597892905402</v>
      </c>
      <c r="Q3640" s="7">
        <f>[1]!EM_S_VAL_DIVIDENDYIELD2(B3640,E3640,"2019-11-29")</f>
        <v>0</v>
      </c>
      <c r="T3640"/>
      <c r="U3640">
        <f>[1]!EM_S_RATIO_EPS_TTM(B3640,E3640,"1")</f>
        <v>-0.53449113890572386</v>
      </c>
      <c r="AT3640" s="4" t="str">
        <f>[1]!EM_S_IPO_LISTEDDATE(B3640)</f>
        <v>2007-03-28</v>
      </c>
    </row>
    <row r="3641" spans="1:46">
      <c r="A3641">
        <v>635</v>
      </c>
      <c r="B3641" t="str">
        <f>"002124"</f>
        <v>002124</v>
      </c>
      <c r="C3641" t="s">
        <v>2178</v>
      </c>
      <c r="D3641" t="str">
        <f>[1]!EM_S_INFO_INDEX_EM(B3641,"1")</f>
        <v>农林牧渔</v>
      </c>
      <c r="E3641" s="4">
        <f t="shared" si="56"/>
        <v>43465</v>
      </c>
      <c r="F3641" s="11">
        <f>[1]!EM_S_PQ_PCTCHANGE(B3641,"2018-01-01","2019-12-31","3")</f>
        <v>128.66394994999999</v>
      </c>
      <c r="G3641" s="11"/>
      <c r="H3641" s="11">
        <f>[1]!EM_S_FA_YOY_OR(B3641,E3641)</f>
        <v>47.626954117799997</v>
      </c>
      <c r="I3641" s="11">
        <f>[1]!EM_S_FA_GROSSPROFITMARGIN(B3641,E3641)</f>
        <v>11.6926205876</v>
      </c>
      <c r="J3641" s="11">
        <f>[1]!EM_S_FA_NETPROFITMARGIN(B3641,E3641)</f>
        <v>-12.727818258699999</v>
      </c>
      <c r="K3641" s="10">
        <f>[1]!EM_S_FA_ASSETSTURN(B3641,E3641)</f>
        <v>0.84688574172700004</v>
      </c>
      <c r="L3641" s="12">
        <f>[1]!EM_HKS_VAL_MV(B3641,"2019-12-31","2")</f>
        <v>14553332629.9</v>
      </c>
      <c r="M3641">
        <f>[1]!EM_S_VAL_PETTMDEDUCTED(B3641,E3641)</f>
        <v>411.72231862733702</v>
      </c>
      <c r="N3641" s="7">
        <f>[1]!EM_S_VAL_PBGOODWILLDEDUCTED(B3641,E3641)</f>
        <v>3.38407096311342</v>
      </c>
      <c r="O3641" s="7">
        <f>[1]!EM_S_VAL_PS_TTM(B3641,E3641)</f>
        <v>1.9832286322744299</v>
      </c>
      <c r="P3641" s="7">
        <f>[1]!EM_S_VAL_PCF_NCFTTM(B3641,E3641)</f>
        <v>-44.996076903167499</v>
      </c>
      <c r="Q3641" s="7">
        <f>[1]!EM_S_VAL_DIVIDENDYIELD2(B3641,E3641,"2019-11-29")</f>
        <v>0</v>
      </c>
      <c r="T3641"/>
      <c r="U3641">
        <f>[1]!EM_S_RATIO_EPS_TTM(B3641,E3641,"1")</f>
        <v>-0.49323078277980809</v>
      </c>
      <c r="AT3641" s="4" t="str">
        <f>[1]!EM_S_IPO_LISTEDDATE(B3641)</f>
        <v>2007-04-03</v>
      </c>
    </row>
  </sheetData>
  <autoFilter ref="A2:AT3641" xr:uid="{9D014D8A-DB25-42EE-81A5-CF342BB4DA2F}"/>
  <phoneticPr fontId="3" type="noConversion"/>
  <pageMargins left="0.69930555555555596" right="0.69930555555555596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66B0A-1B80-4349-8E8A-3412D32B32B0}">
  <dimension ref="A1:AT3641"/>
  <sheetViews>
    <sheetView tabSelected="1" workbookViewId="0">
      <pane xSplit="5" ySplit="2" topLeftCell="F30" activePane="bottomRight" state="frozen"/>
      <selection pane="topRight" activeCell="F1" sqref="F1"/>
      <selection pane="bottomLeft" activeCell="A3" sqref="A3"/>
      <selection pane="bottomRight" activeCell="L25" sqref="L25"/>
    </sheetView>
  </sheetViews>
  <sheetFormatPr defaultRowHeight="14.25"/>
  <cols>
    <col min="1" max="1" width="8.86328125" style="2"/>
    <col min="2" max="2" width="10.53125" bestFit="1" customWidth="1"/>
    <col min="4" max="4" width="9.53125" bestFit="1" customWidth="1"/>
    <col min="5" max="5" width="10.53125" bestFit="1" customWidth="1"/>
    <col min="12" max="12" width="12" bestFit="1" customWidth="1"/>
  </cols>
  <sheetData>
    <row r="1" spans="1:46">
      <c r="A1" s="9" t="s">
        <v>3684</v>
      </c>
      <c r="B1" s="4">
        <v>43465</v>
      </c>
      <c r="D1" s="13" t="s">
        <v>3688</v>
      </c>
      <c r="K1" s="10"/>
      <c r="L1" s="10"/>
      <c r="T1" s="2"/>
    </row>
    <row r="2" spans="1:46" s="1" customFormat="1" ht="42.75">
      <c r="A2" s="3" t="s">
        <v>0</v>
      </c>
      <c r="B2" s="1" t="s">
        <v>1</v>
      </c>
      <c r="C2" s="1" t="s">
        <v>2</v>
      </c>
      <c r="D2" s="1" t="s">
        <v>3671</v>
      </c>
      <c r="E2" s="1" t="s">
        <v>3</v>
      </c>
      <c r="F2" s="1" t="s">
        <v>3687</v>
      </c>
      <c r="G2" s="1" t="s">
        <v>3686</v>
      </c>
      <c r="H2" s="1" t="s">
        <v>3682</v>
      </c>
      <c r="I2" s="1" t="s">
        <v>19</v>
      </c>
      <c r="J2" s="1" t="s">
        <v>3683</v>
      </c>
      <c r="K2" s="1" t="s">
        <v>3681</v>
      </c>
      <c r="L2" s="1" t="s">
        <v>3685</v>
      </c>
      <c r="M2" s="1" t="s">
        <v>3672</v>
      </c>
      <c r="N2" s="1" t="s">
        <v>27</v>
      </c>
      <c r="O2" s="1" t="s">
        <v>3673</v>
      </c>
      <c r="P2" s="1" t="s">
        <v>3674</v>
      </c>
      <c r="Q2" s="1" t="s">
        <v>3675</v>
      </c>
      <c r="R2" s="1" t="s">
        <v>4</v>
      </c>
      <c r="S2" s="1" t="s">
        <v>5</v>
      </c>
      <c r="T2" s="3" t="s">
        <v>6</v>
      </c>
      <c r="U2" s="1" t="s">
        <v>7</v>
      </c>
      <c r="V2" s="1" t="s">
        <v>8</v>
      </c>
      <c r="W2" s="1" t="s">
        <v>9</v>
      </c>
      <c r="X2" s="1" t="s">
        <v>10</v>
      </c>
      <c r="Y2" s="1" t="s">
        <v>11</v>
      </c>
      <c r="Z2" s="1" t="s">
        <v>12</v>
      </c>
      <c r="AA2" s="1" t="s">
        <v>13</v>
      </c>
      <c r="AB2" s="1" t="s">
        <v>14</v>
      </c>
      <c r="AC2" s="1" t="s">
        <v>15</v>
      </c>
      <c r="AD2" s="1" t="s">
        <v>16</v>
      </c>
      <c r="AE2" s="1" t="s">
        <v>17</v>
      </c>
      <c r="AF2" s="1" t="s">
        <v>18</v>
      </c>
      <c r="AG2" s="1" t="s">
        <v>20</v>
      </c>
      <c r="AH2" s="1" t="s">
        <v>21</v>
      </c>
      <c r="AI2" s="1" t="s">
        <v>22</v>
      </c>
      <c r="AJ2" s="1" t="s">
        <v>23</v>
      </c>
      <c r="AK2" s="1" t="s">
        <v>24</v>
      </c>
      <c r="AL2" s="1" t="s">
        <v>25</v>
      </c>
      <c r="AM2" s="1" t="s">
        <v>26</v>
      </c>
      <c r="AN2" s="1" t="s">
        <v>28</v>
      </c>
      <c r="AO2" s="1" t="s">
        <v>29</v>
      </c>
      <c r="AP2" s="1" t="s">
        <v>30</v>
      </c>
      <c r="AQ2" s="1" t="s">
        <v>31</v>
      </c>
      <c r="AR2" s="1" t="s">
        <v>32</v>
      </c>
      <c r="AS2" s="1" t="s">
        <v>33</v>
      </c>
      <c r="AT2" s="1" t="s">
        <v>34</v>
      </c>
    </row>
    <row r="3" spans="1:46">
      <c r="A3" s="2">
        <v>22</v>
      </c>
      <c r="B3" t="s">
        <v>3697</v>
      </c>
      <c r="C3" t="s">
        <v>848</v>
      </c>
      <c r="D3" t="s">
        <v>3698</v>
      </c>
      <c r="E3" s="4">
        <v>43465</v>
      </c>
      <c r="F3" s="11" t="s">
        <v>3698</v>
      </c>
      <c r="G3" s="11" t="s">
        <v>3698</v>
      </c>
      <c r="H3" s="11">
        <v>28.613170233999998</v>
      </c>
      <c r="I3" s="11">
        <v>40.853261986100001</v>
      </c>
      <c r="J3" s="11">
        <v>29.7412902001</v>
      </c>
      <c r="K3" s="10">
        <v>0.142703742454</v>
      </c>
      <c r="L3" s="12" t="s">
        <v>3698</v>
      </c>
      <c r="M3" t="s">
        <v>3698</v>
      </c>
      <c r="N3" s="7" t="s">
        <v>3698</v>
      </c>
      <c r="O3" s="7" t="s">
        <v>3698</v>
      </c>
      <c r="P3" s="7" t="s">
        <v>3698</v>
      </c>
      <c r="Q3" s="7" t="s">
        <v>3698</v>
      </c>
      <c r="U3">
        <v>0.60801348543497113</v>
      </c>
      <c r="AT3" s="4" t="s">
        <v>3699</v>
      </c>
    </row>
    <row r="4" spans="1:46">
      <c r="A4" s="2">
        <v>42</v>
      </c>
      <c r="B4" t="s">
        <v>3700</v>
      </c>
      <c r="C4" t="s">
        <v>1678</v>
      </c>
      <c r="D4" t="s">
        <v>3698</v>
      </c>
      <c r="E4" s="4">
        <v>43465</v>
      </c>
      <c r="F4" s="11" t="s">
        <v>3698</v>
      </c>
      <c r="G4" s="11" t="s">
        <v>3698</v>
      </c>
      <c r="H4" s="11">
        <v>12.936371554799999</v>
      </c>
      <c r="I4" s="11">
        <v>19.640528675999999</v>
      </c>
      <c r="J4" s="11">
        <v>12.3801933417</v>
      </c>
      <c r="K4" s="10">
        <v>0.41148062909299998</v>
      </c>
      <c r="L4" s="12" t="s">
        <v>3698</v>
      </c>
      <c r="M4">
        <v>-20.877764308329301</v>
      </c>
      <c r="N4" s="7">
        <v>1.03032739003707</v>
      </c>
      <c r="O4" s="7">
        <v>0.81013323118601699</v>
      </c>
      <c r="P4" s="7">
        <v>5.5155787776960299</v>
      </c>
      <c r="Q4" s="7">
        <v>1.4962593516209477</v>
      </c>
      <c r="U4">
        <v>1.2843522082542778</v>
      </c>
      <c r="AT4" s="4" t="s">
        <v>3701</v>
      </c>
    </row>
    <row r="5" spans="1:46">
      <c r="A5" s="2">
        <v>768</v>
      </c>
      <c r="B5" t="s">
        <v>3702</v>
      </c>
      <c r="C5" t="s">
        <v>45</v>
      </c>
      <c r="D5" t="s">
        <v>3698</v>
      </c>
      <c r="E5" s="4">
        <v>43465</v>
      </c>
      <c r="F5" s="11" t="s">
        <v>3698</v>
      </c>
      <c r="G5" s="11" t="s">
        <v>3698</v>
      </c>
      <c r="H5" s="11" t="s">
        <v>3698</v>
      </c>
      <c r="I5" s="11" t="s">
        <v>3698</v>
      </c>
      <c r="J5" s="11" t="s">
        <v>3698</v>
      </c>
      <c r="K5" s="10" t="s">
        <v>3698</v>
      </c>
      <c r="L5" s="12" t="s">
        <v>3698</v>
      </c>
      <c r="M5" t="s">
        <v>3698</v>
      </c>
      <c r="N5" s="7" t="s">
        <v>3698</v>
      </c>
      <c r="O5" s="7" t="s">
        <v>3698</v>
      </c>
      <c r="P5" s="7" t="s">
        <v>3698</v>
      </c>
      <c r="Q5" s="7" t="s">
        <v>3698</v>
      </c>
      <c r="U5">
        <v>1.1544018035806953</v>
      </c>
      <c r="AT5" s="4" t="s">
        <v>3698</v>
      </c>
    </row>
    <row r="6" spans="1:46">
      <c r="A6" s="2">
        <v>1036</v>
      </c>
      <c r="B6" t="s">
        <v>3703</v>
      </c>
      <c r="C6" t="s">
        <v>3148</v>
      </c>
      <c r="D6" t="s">
        <v>3698</v>
      </c>
      <c r="E6" s="4">
        <v>43465</v>
      </c>
      <c r="F6" s="11" t="s">
        <v>3698</v>
      </c>
      <c r="G6" s="11" t="s">
        <v>3698</v>
      </c>
      <c r="H6" s="11" t="s">
        <v>3698</v>
      </c>
      <c r="I6" s="11" t="s">
        <v>3698</v>
      </c>
      <c r="J6" s="11" t="s">
        <v>3698</v>
      </c>
      <c r="K6" s="10" t="s">
        <v>3698</v>
      </c>
      <c r="L6" s="12" t="s">
        <v>3698</v>
      </c>
      <c r="M6" t="s">
        <v>3698</v>
      </c>
      <c r="N6" s="7" t="s">
        <v>3698</v>
      </c>
      <c r="O6" s="7" t="s">
        <v>3698</v>
      </c>
      <c r="P6" s="7" t="s">
        <v>3698</v>
      </c>
      <c r="Q6" s="7" t="s">
        <v>3698</v>
      </c>
      <c r="U6">
        <v>0.77646045529411767</v>
      </c>
      <c r="AT6" s="4" t="s">
        <v>3698</v>
      </c>
    </row>
    <row r="7" spans="1:46">
      <c r="A7" s="2">
        <v>1220</v>
      </c>
      <c r="B7" t="s">
        <v>3704</v>
      </c>
      <c r="C7" t="s">
        <v>170</v>
      </c>
      <c r="D7" t="s">
        <v>3698</v>
      </c>
      <c r="E7" s="4">
        <v>43465</v>
      </c>
      <c r="F7" s="11" t="s">
        <v>3698</v>
      </c>
      <c r="G7" s="11" t="s">
        <v>3698</v>
      </c>
      <c r="H7" s="11" t="s">
        <v>3698</v>
      </c>
      <c r="I7" s="11" t="s">
        <v>3698</v>
      </c>
      <c r="J7" s="11" t="s">
        <v>3698</v>
      </c>
      <c r="K7" s="10" t="s">
        <v>3698</v>
      </c>
      <c r="L7" s="12" t="s">
        <v>3698</v>
      </c>
      <c r="M7" t="s">
        <v>3698</v>
      </c>
      <c r="N7" s="7" t="s">
        <v>3698</v>
      </c>
      <c r="O7" s="7" t="s">
        <v>3698</v>
      </c>
      <c r="P7" s="7" t="s">
        <v>3698</v>
      </c>
      <c r="Q7" s="7" t="s">
        <v>3698</v>
      </c>
      <c r="U7">
        <v>0.80265081000000005</v>
      </c>
      <c r="AT7" s="4" t="s">
        <v>3698</v>
      </c>
    </row>
    <row r="8" spans="1:46">
      <c r="A8" s="2">
        <v>1230</v>
      </c>
      <c r="B8" t="s">
        <v>3705</v>
      </c>
      <c r="C8" t="s">
        <v>615</v>
      </c>
      <c r="D8" t="s">
        <v>3698</v>
      </c>
      <c r="E8" s="4">
        <v>43465</v>
      </c>
      <c r="F8" s="11" t="s">
        <v>3698</v>
      </c>
      <c r="G8" s="11" t="s">
        <v>3698</v>
      </c>
      <c r="H8" s="11" t="s">
        <v>3698</v>
      </c>
      <c r="I8" s="11" t="s">
        <v>3698</v>
      </c>
      <c r="J8" s="11" t="s">
        <v>3698</v>
      </c>
      <c r="K8" s="10" t="s">
        <v>3698</v>
      </c>
      <c r="L8" s="12" t="s">
        <v>3698</v>
      </c>
      <c r="M8" t="s">
        <v>3698</v>
      </c>
      <c r="N8" s="7" t="s">
        <v>3698</v>
      </c>
      <c r="O8" s="7" t="s">
        <v>3698</v>
      </c>
      <c r="P8" s="7" t="s">
        <v>3698</v>
      </c>
      <c r="Q8" s="7" t="s">
        <v>3698</v>
      </c>
      <c r="U8">
        <v>0.41885434946081607</v>
      </c>
      <c r="AT8" s="4" t="s">
        <v>3698</v>
      </c>
    </row>
    <row r="9" spans="1:46">
      <c r="A9" s="2">
        <v>1786</v>
      </c>
      <c r="B9" t="s">
        <v>3706</v>
      </c>
      <c r="C9" t="s">
        <v>40</v>
      </c>
      <c r="D9" t="s">
        <v>3698</v>
      </c>
      <c r="E9" s="4">
        <v>43465</v>
      </c>
      <c r="F9" s="11" t="s">
        <v>3698</v>
      </c>
      <c r="G9" s="11" t="s">
        <v>3698</v>
      </c>
      <c r="H9" s="11" t="s">
        <v>3698</v>
      </c>
      <c r="I9" s="11" t="s">
        <v>3698</v>
      </c>
      <c r="J9" s="11" t="s">
        <v>3698</v>
      </c>
      <c r="K9" s="10" t="s">
        <v>3698</v>
      </c>
      <c r="L9" s="12" t="s">
        <v>3698</v>
      </c>
      <c r="M9" t="s">
        <v>3698</v>
      </c>
      <c r="N9" s="7" t="s">
        <v>3698</v>
      </c>
      <c r="O9" s="7" t="s">
        <v>3698</v>
      </c>
      <c r="P9" s="7" t="s">
        <v>3698</v>
      </c>
      <c r="Q9" s="7" t="s">
        <v>3698</v>
      </c>
      <c r="U9">
        <v>1.5095231101428572</v>
      </c>
      <c r="AT9" s="4" t="s">
        <v>3698</v>
      </c>
    </row>
    <row r="10" spans="1:46">
      <c r="A10" s="2">
        <v>2065</v>
      </c>
      <c r="B10" t="s">
        <v>3707</v>
      </c>
      <c r="C10" t="s">
        <v>58</v>
      </c>
      <c r="D10" t="s">
        <v>3698</v>
      </c>
      <c r="E10" s="4">
        <v>43465</v>
      </c>
      <c r="F10" s="11" t="s">
        <v>3698</v>
      </c>
      <c r="G10" s="11" t="s">
        <v>3698</v>
      </c>
      <c r="H10" s="11" t="s">
        <v>3698</v>
      </c>
      <c r="I10" s="11" t="s">
        <v>3698</v>
      </c>
      <c r="J10" s="11" t="s">
        <v>3698</v>
      </c>
      <c r="K10" s="10" t="s">
        <v>3698</v>
      </c>
      <c r="L10" s="12" t="s">
        <v>3698</v>
      </c>
      <c r="M10" t="s">
        <v>3698</v>
      </c>
      <c r="N10" s="7" t="s">
        <v>3698</v>
      </c>
      <c r="O10" s="7" t="s">
        <v>3698</v>
      </c>
      <c r="P10" s="7" t="s">
        <v>3698</v>
      </c>
      <c r="Q10" s="7" t="s">
        <v>3698</v>
      </c>
      <c r="U10">
        <v>0.47919500377777779</v>
      </c>
      <c r="AT10" s="4" t="s">
        <v>3698</v>
      </c>
    </row>
    <row r="11" spans="1:46">
      <c r="A11" s="2">
        <v>2142</v>
      </c>
      <c r="B11" t="s">
        <v>3708</v>
      </c>
      <c r="C11" t="s">
        <v>197</v>
      </c>
      <c r="D11" t="s">
        <v>3698</v>
      </c>
      <c r="E11" s="4">
        <v>43465</v>
      </c>
      <c r="F11" s="11" t="s">
        <v>3698</v>
      </c>
      <c r="G11" s="11" t="s">
        <v>3698</v>
      </c>
      <c r="H11" s="11" t="s">
        <v>3698</v>
      </c>
      <c r="I11" s="11" t="s">
        <v>3698</v>
      </c>
      <c r="J11" s="11" t="s">
        <v>3698</v>
      </c>
      <c r="K11" s="10" t="s">
        <v>3698</v>
      </c>
      <c r="L11" s="12" t="s">
        <v>3698</v>
      </c>
      <c r="M11" t="s">
        <v>3698</v>
      </c>
      <c r="N11" s="7" t="s">
        <v>3698</v>
      </c>
      <c r="O11" s="7" t="s">
        <v>3698</v>
      </c>
      <c r="P11" s="7" t="s">
        <v>3698</v>
      </c>
      <c r="Q11" s="7" t="s">
        <v>3698</v>
      </c>
      <c r="U11">
        <v>0.46156009677777776</v>
      </c>
      <c r="AT11" s="4" t="s">
        <v>3698</v>
      </c>
    </row>
    <row r="12" spans="1:46">
      <c r="A12" s="2">
        <v>2469</v>
      </c>
      <c r="B12" t="s">
        <v>3709</v>
      </c>
      <c r="C12" t="s">
        <v>3126</v>
      </c>
      <c r="D12" t="s">
        <v>3698</v>
      </c>
      <c r="E12" s="4">
        <v>43465</v>
      </c>
      <c r="F12" s="11" t="s">
        <v>3698</v>
      </c>
      <c r="G12" s="11" t="s">
        <v>3698</v>
      </c>
      <c r="H12" s="11" t="s">
        <v>3698</v>
      </c>
      <c r="I12" s="11" t="s">
        <v>3698</v>
      </c>
      <c r="J12" s="11" t="s">
        <v>3698</v>
      </c>
      <c r="K12" s="10" t="s">
        <v>3698</v>
      </c>
      <c r="L12" s="12" t="s">
        <v>3698</v>
      </c>
      <c r="M12" t="s">
        <v>3698</v>
      </c>
      <c r="N12" s="7" t="s">
        <v>3698</v>
      </c>
      <c r="O12" s="7" t="s">
        <v>3698</v>
      </c>
      <c r="P12" s="7" t="s">
        <v>3698</v>
      </c>
      <c r="Q12" s="7" t="s">
        <v>3698</v>
      </c>
      <c r="U12">
        <v>0.24407552710428576</v>
      </c>
      <c r="AT12" s="4" t="s">
        <v>3698</v>
      </c>
    </row>
    <row r="13" spans="1:46">
      <c r="A13" s="2">
        <v>3077</v>
      </c>
      <c r="B13" t="s">
        <v>3710</v>
      </c>
      <c r="C13" t="s">
        <v>76</v>
      </c>
      <c r="D13" t="s">
        <v>3698</v>
      </c>
      <c r="E13" s="4">
        <v>43465</v>
      </c>
      <c r="F13" s="11" t="s">
        <v>3698</v>
      </c>
      <c r="G13" s="11" t="s">
        <v>3698</v>
      </c>
      <c r="H13" s="11" t="s">
        <v>3698</v>
      </c>
      <c r="I13" s="11" t="s">
        <v>3698</v>
      </c>
      <c r="J13" s="11" t="s">
        <v>3698</v>
      </c>
      <c r="K13" s="10" t="s">
        <v>3698</v>
      </c>
      <c r="L13" s="12" t="s">
        <v>3698</v>
      </c>
      <c r="M13" t="s">
        <v>3698</v>
      </c>
      <c r="N13" s="7" t="s">
        <v>3698</v>
      </c>
      <c r="O13" s="7" t="s">
        <v>3698</v>
      </c>
      <c r="P13" s="7" t="s">
        <v>3698</v>
      </c>
      <c r="Q13" s="7" t="s">
        <v>3698</v>
      </c>
      <c r="U13">
        <v>0.84504398579710149</v>
      </c>
      <c r="AT13" s="4" t="s">
        <v>3698</v>
      </c>
    </row>
    <row r="14" spans="1:46">
      <c r="A14" s="2">
        <v>3344</v>
      </c>
      <c r="B14" t="s">
        <v>3711</v>
      </c>
      <c r="C14" t="s">
        <v>54</v>
      </c>
      <c r="D14" t="s">
        <v>3698</v>
      </c>
      <c r="E14" s="4">
        <v>43465</v>
      </c>
      <c r="F14" s="11" t="s">
        <v>3698</v>
      </c>
      <c r="G14" s="11" t="s">
        <v>3698</v>
      </c>
      <c r="H14" s="11" t="s">
        <v>3698</v>
      </c>
      <c r="I14" s="11" t="s">
        <v>3698</v>
      </c>
      <c r="J14" s="11" t="s">
        <v>3698</v>
      </c>
      <c r="K14" s="10" t="s">
        <v>3698</v>
      </c>
      <c r="L14" s="12" t="s">
        <v>3698</v>
      </c>
      <c r="M14" t="s">
        <v>3698</v>
      </c>
      <c r="N14" s="7" t="s">
        <v>3698</v>
      </c>
      <c r="O14" s="7" t="s">
        <v>3698</v>
      </c>
      <c r="P14" s="7" t="s">
        <v>3698</v>
      </c>
      <c r="Q14" s="7" t="s">
        <v>3698</v>
      </c>
      <c r="U14">
        <v>0.54570464193410873</v>
      </c>
      <c r="AT14" s="4" t="s">
        <v>3698</v>
      </c>
    </row>
    <row r="15" spans="1:46">
      <c r="A15" s="2">
        <v>1975</v>
      </c>
      <c r="B15" t="s">
        <v>3712</v>
      </c>
      <c r="C15" t="s">
        <v>3528</v>
      </c>
      <c r="D15" t="s">
        <v>3713</v>
      </c>
      <c r="E15" s="4">
        <v>43465</v>
      </c>
      <c r="F15" s="11">
        <v>228.53976814999999</v>
      </c>
      <c r="G15" s="11">
        <v>480.27777778000001</v>
      </c>
      <c r="H15" s="11">
        <v>10.1333008937</v>
      </c>
      <c r="I15" s="11">
        <v>34.685706325200002</v>
      </c>
      <c r="J15" s="11">
        <v>0.8939925178</v>
      </c>
      <c r="K15" s="10">
        <v>0.584753308804</v>
      </c>
      <c r="L15" s="12">
        <v>9278733440</v>
      </c>
      <c r="M15">
        <v>3800.7891964225901</v>
      </c>
      <c r="N15" s="7">
        <v>2.0451172166922298</v>
      </c>
      <c r="O15" s="7">
        <v>2.3364676630787602</v>
      </c>
      <c r="P15" s="7">
        <v>230.67238246721999</v>
      </c>
      <c r="Q15" s="7">
        <v>1.7246201136459419E-2</v>
      </c>
      <c r="U15">
        <v>6.1098751333211937E-2</v>
      </c>
      <c r="AT15" s="4" t="s">
        <v>3714</v>
      </c>
    </row>
    <row r="16" spans="1:46">
      <c r="A16" s="2">
        <v>2018</v>
      </c>
      <c r="B16" t="s">
        <v>3715</v>
      </c>
      <c r="C16" t="s">
        <v>3460</v>
      </c>
      <c r="D16" t="s">
        <v>3713</v>
      </c>
      <c r="E16" s="4">
        <v>43465</v>
      </c>
      <c r="F16" s="11">
        <v>333.46422747000003</v>
      </c>
      <c r="G16" s="11">
        <v>476.57326596000001</v>
      </c>
      <c r="H16" s="11">
        <v>9.8621682707999998</v>
      </c>
      <c r="I16" s="11">
        <v>27.738515146899999</v>
      </c>
      <c r="J16" s="11">
        <v>2.7382040621999999</v>
      </c>
      <c r="K16" s="10">
        <v>0.94121973434700001</v>
      </c>
      <c r="L16" s="12">
        <v>10053600000</v>
      </c>
      <c r="M16">
        <v>193.230765689924</v>
      </c>
      <c r="N16" s="7">
        <v>3.80183397913604</v>
      </c>
      <c r="O16" s="7">
        <v>3.4790013501039398</v>
      </c>
      <c r="P16" s="7">
        <v>-32.876345318771797</v>
      </c>
      <c r="Q16" s="7">
        <v>2.7775205999444493E-2</v>
      </c>
      <c r="U16">
        <v>0.19897354075000001</v>
      </c>
      <c r="AT16" s="4" t="s">
        <v>3716</v>
      </c>
    </row>
    <row r="17" spans="1:46">
      <c r="A17" s="2">
        <v>1063</v>
      </c>
      <c r="B17" t="s">
        <v>3717</v>
      </c>
      <c r="C17" t="s">
        <v>2386</v>
      </c>
      <c r="D17" t="s">
        <v>3718</v>
      </c>
      <c r="E17" s="4">
        <v>43465</v>
      </c>
      <c r="F17" s="11">
        <v>165.36842104999999</v>
      </c>
      <c r="G17" s="11">
        <v>392.3828125</v>
      </c>
      <c r="H17" s="11">
        <v>30.314615863299998</v>
      </c>
      <c r="I17" s="11">
        <v>21.893630484900001</v>
      </c>
      <c r="J17" s="11">
        <v>9.2286652983999993</v>
      </c>
      <c r="K17" s="10">
        <v>0.37211606228499999</v>
      </c>
      <c r="L17" s="12">
        <v>7720117240.9799995</v>
      </c>
      <c r="M17">
        <v>-6.6391676205655603</v>
      </c>
      <c r="N17" s="7">
        <v>2.5852031606128199</v>
      </c>
      <c r="O17" s="7">
        <v>5.5327785723179401</v>
      </c>
      <c r="P17" s="7">
        <v>-21.004148610985101</v>
      </c>
      <c r="Q17" s="7" t="s">
        <v>3698</v>
      </c>
      <c r="U17">
        <v>9.3689235328242831E-2</v>
      </c>
      <c r="AT17" s="4" t="s">
        <v>3719</v>
      </c>
    </row>
    <row r="18" spans="1:46">
      <c r="A18" s="2">
        <v>3411</v>
      </c>
      <c r="B18" t="s">
        <v>3720</v>
      </c>
      <c r="C18" t="s">
        <v>619</v>
      </c>
      <c r="D18" t="s">
        <v>3721</v>
      </c>
      <c r="E18" s="4">
        <v>43465</v>
      </c>
      <c r="F18" s="11">
        <v>244.82930225000001</v>
      </c>
      <c r="G18" s="11">
        <v>389.96257229999998</v>
      </c>
      <c r="H18" s="11">
        <v>64.740123307199994</v>
      </c>
      <c r="I18" s="11">
        <v>23.4108109543</v>
      </c>
      <c r="J18" s="11">
        <v>2.9186631650999999</v>
      </c>
      <c r="K18" s="10">
        <v>1.0676435314399999</v>
      </c>
      <c r="L18" s="12">
        <v>123849144853.2</v>
      </c>
      <c r="M18">
        <v>49.069320719196</v>
      </c>
      <c r="N18" s="7">
        <v>8.5820808004047304</v>
      </c>
      <c r="O18" s="7">
        <v>3.4339845965756801</v>
      </c>
      <c r="P18" s="7">
        <v>275.93879305656799</v>
      </c>
      <c r="Q18" s="7">
        <v>7.5858997455470936E-2</v>
      </c>
      <c r="U18">
        <v>0.30451978774497329</v>
      </c>
      <c r="AT18" s="4" t="s">
        <v>3722</v>
      </c>
    </row>
    <row r="19" spans="1:46">
      <c r="A19" s="2">
        <v>2080</v>
      </c>
      <c r="B19" t="s">
        <v>3723</v>
      </c>
      <c r="C19" t="s">
        <v>1189</v>
      </c>
      <c r="D19" t="s">
        <v>3721</v>
      </c>
      <c r="E19" s="4">
        <v>43465</v>
      </c>
      <c r="F19" s="11">
        <v>356.14945417000001</v>
      </c>
      <c r="G19" s="11">
        <v>379.99932917000001</v>
      </c>
      <c r="H19" s="11">
        <v>7.6927594818999996</v>
      </c>
      <c r="I19" s="11">
        <v>45.937184818399999</v>
      </c>
      <c r="J19" s="11">
        <v>18.115902977099999</v>
      </c>
      <c r="K19" s="10">
        <v>0.571342027679</v>
      </c>
      <c r="L19" s="12">
        <v>26162475743.040001</v>
      </c>
      <c r="M19">
        <v>55.7995643581637</v>
      </c>
      <c r="N19" s="7">
        <v>6.27030539310568</v>
      </c>
      <c r="O19" s="7">
        <v>9.1253133920952703</v>
      </c>
      <c r="P19" s="7">
        <v>44.884878865237802</v>
      </c>
      <c r="Q19" s="7">
        <v>0.12550807194200089</v>
      </c>
      <c r="U19">
        <v>1.3061374081762804</v>
      </c>
      <c r="AT19" s="4" t="s">
        <v>3724</v>
      </c>
    </row>
    <row r="20" spans="1:46">
      <c r="A20" s="2">
        <v>1648</v>
      </c>
      <c r="B20" t="s">
        <v>3725</v>
      </c>
      <c r="C20" t="s">
        <v>2892</v>
      </c>
      <c r="D20" t="s">
        <v>3721</v>
      </c>
      <c r="E20" s="4">
        <v>43465</v>
      </c>
      <c r="F20" s="11">
        <v>195.51670041</v>
      </c>
      <c r="G20" s="11">
        <v>378.04994295</v>
      </c>
      <c r="H20" s="11">
        <v>40.767770931199998</v>
      </c>
      <c r="I20" s="11">
        <v>39.863106747899998</v>
      </c>
      <c r="J20" s="11">
        <v>5.2048523980999999</v>
      </c>
      <c r="K20" s="10">
        <v>0.220550967003</v>
      </c>
      <c r="L20" s="12">
        <v>17545697551.200001</v>
      </c>
      <c r="M20">
        <v>-461.485586233834</v>
      </c>
      <c r="N20" s="7">
        <v>3.2067813373371199</v>
      </c>
      <c r="O20" s="7">
        <v>16.506021113312599</v>
      </c>
      <c r="P20" s="7">
        <v>71.418842049227095</v>
      </c>
      <c r="Q20" s="7">
        <v>4.7500751792232947E-2</v>
      </c>
      <c r="U20">
        <v>6.7353550592321662E-2</v>
      </c>
      <c r="AT20" s="4" t="s">
        <v>3726</v>
      </c>
    </row>
    <row r="21" spans="1:46">
      <c r="A21" s="2">
        <v>1950</v>
      </c>
      <c r="B21" t="s">
        <v>3727</v>
      </c>
      <c r="C21" t="s">
        <v>1767</v>
      </c>
      <c r="D21" t="s">
        <v>3728</v>
      </c>
      <c r="E21" s="4">
        <v>43465</v>
      </c>
      <c r="F21" s="11">
        <v>206.98760813999999</v>
      </c>
      <c r="G21" s="11">
        <v>363.96074933</v>
      </c>
      <c r="H21" s="11">
        <v>4.2435433471000001</v>
      </c>
      <c r="I21" s="11">
        <v>31.993938886199999</v>
      </c>
      <c r="J21" s="11">
        <v>5.6626851208</v>
      </c>
      <c r="K21" s="10">
        <v>0.42084472240300003</v>
      </c>
      <c r="L21" s="12">
        <v>9557005696</v>
      </c>
      <c r="M21">
        <v>84.985457058006006</v>
      </c>
      <c r="N21" s="7">
        <v>3.8205503910418801</v>
      </c>
      <c r="O21" s="7">
        <v>4.7780006485424202</v>
      </c>
      <c r="P21" s="7">
        <v>92.755554012043007</v>
      </c>
      <c r="Q21" s="7">
        <v>7.0804087385482731E-2</v>
      </c>
      <c r="U21">
        <v>0.13238144664034165</v>
      </c>
      <c r="AT21" s="4" t="s">
        <v>3729</v>
      </c>
    </row>
    <row r="22" spans="1:46">
      <c r="A22" s="2">
        <v>862</v>
      </c>
      <c r="B22" t="s">
        <v>3730</v>
      </c>
      <c r="C22" t="s">
        <v>2006</v>
      </c>
      <c r="D22" t="s">
        <v>3721</v>
      </c>
      <c r="E22" s="4">
        <v>43465</v>
      </c>
      <c r="F22" s="11">
        <v>171.37527483</v>
      </c>
      <c r="G22" s="11">
        <v>354.45344130000001</v>
      </c>
      <c r="H22" s="11">
        <v>-2.2118431759999999</v>
      </c>
      <c r="I22" s="11">
        <v>31.3491923126</v>
      </c>
      <c r="J22" s="11">
        <v>5.2188296298000001</v>
      </c>
      <c r="K22" s="10">
        <v>0.44046125723700003</v>
      </c>
      <c r="L22" s="12">
        <v>13337212500</v>
      </c>
      <c r="M22">
        <v>93.072896735017395</v>
      </c>
      <c r="N22" s="7">
        <v>1.6494927594812701</v>
      </c>
      <c r="O22" s="7">
        <v>3.3829711722810099</v>
      </c>
      <c r="P22" s="7">
        <v>-115.880599319323</v>
      </c>
      <c r="Q22" s="7">
        <v>0.65390277274018094</v>
      </c>
      <c r="U22">
        <v>8.9669082234576827E-2</v>
      </c>
      <c r="AT22" s="4" t="s">
        <v>3731</v>
      </c>
    </row>
    <row r="23" spans="1:46">
      <c r="A23" s="2">
        <v>1111</v>
      </c>
      <c r="B23" t="s">
        <v>3732</v>
      </c>
      <c r="C23" t="s">
        <v>339</v>
      </c>
      <c r="D23" t="s">
        <v>3721</v>
      </c>
      <c r="E23" s="4">
        <v>43465</v>
      </c>
      <c r="F23" s="11">
        <v>29.62962963</v>
      </c>
      <c r="G23" s="11">
        <v>340</v>
      </c>
      <c r="H23" s="11">
        <v>133.4804933826</v>
      </c>
      <c r="I23" s="11">
        <v>20.179311592099999</v>
      </c>
      <c r="J23" s="11">
        <v>-3.3140861951999998</v>
      </c>
      <c r="K23" s="10">
        <v>1.216849070346</v>
      </c>
      <c r="L23" s="12">
        <v>74073790224</v>
      </c>
      <c r="M23">
        <v>-16.9156823930077</v>
      </c>
      <c r="N23" s="7">
        <v>2.0986640011560498</v>
      </c>
      <c r="O23" s="7">
        <v>0.646570251401274</v>
      </c>
      <c r="P23" s="7">
        <v>10.557344082743001</v>
      </c>
      <c r="Q23" s="7" t="s">
        <v>3698</v>
      </c>
      <c r="U23">
        <v>-9.9614737829107097E-2</v>
      </c>
      <c r="AT23" s="4" t="s">
        <v>3733</v>
      </c>
    </row>
    <row r="24" spans="1:46">
      <c r="A24" s="2">
        <v>2818</v>
      </c>
      <c r="B24" t="s">
        <v>3734</v>
      </c>
      <c r="C24" t="s">
        <v>3473</v>
      </c>
      <c r="D24" t="s">
        <v>3721</v>
      </c>
      <c r="E24" s="4">
        <v>43465</v>
      </c>
      <c r="F24" s="11">
        <v>174.41653054</v>
      </c>
      <c r="G24" s="11">
        <v>337.05631803</v>
      </c>
      <c r="H24" s="11">
        <v>2.4761777377</v>
      </c>
      <c r="I24" s="11">
        <v>9.0631336064999992</v>
      </c>
      <c r="J24" s="11">
        <v>0.41614815129999999</v>
      </c>
      <c r="K24" s="10">
        <v>1.2445539324599999</v>
      </c>
      <c r="L24" s="12">
        <v>103973118082.5</v>
      </c>
      <c r="M24">
        <v>-74.311286967004904</v>
      </c>
      <c r="N24" s="7">
        <v>5.8687222124387199</v>
      </c>
      <c r="O24" s="7">
        <v>0.87642275306489004</v>
      </c>
      <c r="P24" s="7">
        <v>59.9728360574749</v>
      </c>
      <c r="Q24" s="7" t="s">
        <v>3698</v>
      </c>
      <c r="U24">
        <v>9.5751584792122424E-2</v>
      </c>
      <c r="AT24" s="4" t="s">
        <v>3735</v>
      </c>
    </row>
    <row r="25" spans="1:46">
      <c r="A25" s="2">
        <v>1995</v>
      </c>
      <c r="B25" t="s">
        <v>3736</v>
      </c>
      <c r="C25" t="s">
        <v>3285</v>
      </c>
      <c r="D25" t="s">
        <v>3737</v>
      </c>
      <c r="E25" s="4">
        <v>43465</v>
      </c>
      <c r="F25" s="11">
        <v>200.65443522999999</v>
      </c>
      <c r="G25" s="11">
        <v>332.24271267</v>
      </c>
      <c r="H25" s="11">
        <v>19.776863513399999</v>
      </c>
      <c r="I25" s="11">
        <v>72.319679255599993</v>
      </c>
      <c r="J25" s="11">
        <v>2.0891030547999998</v>
      </c>
      <c r="K25" s="10">
        <v>0.62270296551000004</v>
      </c>
      <c r="L25" s="12">
        <v>6047064800</v>
      </c>
      <c r="M25">
        <v>180.09388386981101</v>
      </c>
      <c r="N25" s="7">
        <v>2.5400182477620499</v>
      </c>
      <c r="O25" s="7">
        <v>3.3328215664669099</v>
      </c>
      <c r="P25" s="7">
        <v>-574.133350103716</v>
      </c>
      <c r="Q25" s="7">
        <v>0.294811320754717</v>
      </c>
      <c r="U25">
        <v>0.16570015601116098</v>
      </c>
      <c r="AT25" s="4" t="s">
        <v>3738</v>
      </c>
    </row>
    <row r="26" spans="1:46">
      <c r="A26" s="2">
        <v>1369</v>
      </c>
      <c r="B26" t="s">
        <v>3739</v>
      </c>
      <c r="C26" t="s">
        <v>2550</v>
      </c>
      <c r="D26" t="s">
        <v>3721</v>
      </c>
      <c r="E26" s="4">
        <v>43465</v>
      </c>
      <c r="F26" s="11">
        <v>108.72750480000001</v>
      </c>
      <c r="G26" s="11">
        <v>307.96963947</v>
      </c>
      <c r="H26" s="11">
        <v>-2.9859102475000001</v>
      </c>
      <c r="I26" s="11">
        <v>38.390646288200003</v>
      </c>
      <c r="J26" s="11">
        <v>2.7497113232000001</v>
      </c>
      <c r="K26" s="10">
        <v>0.43741649551200001</v>
      </c>
      <c r="L26" s="12">
        <v>7873451458.1300001</v>
      </c>
      <c r="M26">
        <v>160.270755272266</v>
      </c>
      <c r="N26" s="7">
        <v>1.8458985229424301</v>
      </c>
      <c r="O26" s="7">
        <v>3.45190080286168</v>
      </c>
      <c r="P26" s="7">
        <v>-4.3669882310656902</v>
      </c>
      <c r="Q26" s="7">
        <v>9.9603877020298395E-2</v>
      </c>
      <c r="U26">
        <v>0.18377861281833616</v>
      </c>
      <c r="AT26" s="4" t="s">
        <v>3740</v>
      </c>
    </row>
    <row r="27" spans="1:46">
      <c r="A27" s="2">
        <v>1645</v>
      </c>
      <c r="B27" t="s">
        <v>3741</v>
      </c>
      <c r="C27" t="s">
        <v>1568</v>
      </c>
      <c r="D27" t="s">
        <v>3721</v>
      </c>
      <c r="E27" s="4">
        <v>43465</v>
      </c>
      <c r="F27" s="11">
        <v>94.005139729999996</v>
      </c>
      <c r="G27" s="11">
        <v>300.94395544999998</v>
      </c>
      <c r="H27" s="11">
        <v>15.051751300099999</v>
      </c>
      <c r="I27" s="11">
        <v>33.420942792200002</v>
      </c>
      <c r="J27" s="11">
        <v>3.6876493156999999</v>
      </c>
      <c r="K27" s="10">
        <v>0.60233732787899996</v>
      </c>
      <c r="L27" s="12">
        <v>4924080000</v>
      </c>
      <c r="M27">
        <v>-21.3069607773642</v>
      </c>
      <c r="N27" s="7">
        <v>4.9021281845954103</v>
      </c>
      <c r="O27" s="7">
        <v>6.4253405780317401</v>
      </c>
      <c r="P27" s="7">
        <v>215.799184014188</v>
      </c>
      <c r="Q27" s="7">
        <v>1.8242626938279112E-2</v>
      </c>
      <c r="U27">
        <v>5.6682874603174602E-2</v>
      </c>
      <c r="AT27" s="4" t="s">
        <v>3742</v>
      </c>
    </row>
    <row r="28" spans="1:46">
      <c r="A28" s="2">
        <v>802</v>
      </c>
      <c r="B28" t="s">
        <v>3743</v>
      </c>
      <c r="C28" t="s">
        <v>2201</v>
      </c>
      <c r="D28" t="s">
        <v>3728</v>
      </c>
      <c r="E28" s="4">
        <v>43465</v>
      </c>
      <c r="F28" s="11">
        <v>180.19943019999999</v>
      </c>
      <c r="G28" s="11">
        <v>298.21826281</v>
      </c>
      <c r="H28" s="11">
        <v>1.8711409262000001</v>
      </c>
      <c r="I28" s="11">
        <v>54.219187511000001</v>
      </c>
      <c r="J28" s="11">
        <v>1.1304444781</v>
      </c>
      <c r="K28" s="10">
        <v>0.48964725478900001</v>
      </c>
      <c r="L28" s="12">
        <v>12958858319.120001</v>
      </c>
      <c r="M28">
        <v>-5.0336717121863304</v>
      </c>
      <c r="N28" s="7">
        <v>1.57725868861881</v>
      </c>
      <c r="O28" s="7">
        <v>1.1890886130850999</v>
      </c>
      <c r="P28" s="7">
        <v>37.136855670176502</v>
      </c>
      <c r="Q28" s="7" t="s">
        <v>3698</v>
      </c>
      <c r="U28">
        <v>2.2394242236315458E-2</v>
      </c>
      <c r="AT28" s="4" t="s">
        <v>3744</v>
      </c>
    </row>
    <row r="29" spans="1:46">
      <c r="A29" s="2">
        <v>3317</v>
      </c>
      <c r="B29" t="s">
        <v>3745</v>
      </c>
      <c r="C29" t="s">
        <v>1865</v>
      </c>
      <c r="D29" t="s">
        <v>3737</v>
      </c>
      <c r="E29" s="4">
        <v>43465</v>
      </c>
      <c r="F29" s="11">
        <v>274.44147598000001</v>
      </c>
      <c r="G29" s="11">
        <v>291.2371134</v>
      </c>
      <c r="H29" s="11">
        <v>15.7460815312</v>
      </c>
      <c r="I29" s="11">
        <v>41.523157231200003</v>
      </c>
      <c r="J29" s="11">
        <v>6.1681453999000002</v>
      </c>
      <c r="K29" s="10">
        <v>0.37723190317299998</v>
      </c>
      <c r="L29" s="12">
        <v>17600000000</v>
      </c>
      <c r="M29">
        <v>92.864781029037999</v>
      </c>
      <c r="N29" s="7">
        <v>6.8224064666407802</v>
      </c>
      <c r="O29" s="7">
        <v>6.2821406181220398</v>
      </c>
      <c r="P29" s="7">
        <v>-227.52353203727901</v>
      </c>
      <c r="Q29" s="7">
        <v>4.3059257740414185E-2</v>
      </c>
      <c r="U29">
        <v>0.10019630843749999</v>
      </c>
      <c r="AT29" s="4" t="s">
        <v>3746</v>
      </c>
    </row>
    <row r="30" spans="1:46">
      <c r="A30" s="2">
        <v>2125</v>
      </c>
      <c r="B30" t="s">
        <v>3747</v>
      </c>
      <c r="C30" t="s">
        <v>2946</v>
      </c>
      <c r="D30" t="s">
        <v>3721</v>
      </c>
      <c r="E30" s="4">
        <v>43465</v>
      </c>
      <c r="F30" s="11">
        <v>36.646216580000001</v>
      </c>
      <c r="G30" s="11">
        <v>283.47859038000001</v>
      </c>
      <c r="H30" s="11">
        <v>-4.3340552442</v>
      </c>
      <c r="I30" s="11">
        <v>30.195050033400001</v>
      </c>
      <c r="J30" s="11">
        <v>4.2145668853</v>
      </c>
      <c r="K30" s="10">
        <v>0.54541112616700005</v>
      </c>
      <c r="L30" s="12">
        <v>8666798805</v>
      </c>
      <c r="M30">
        <v>42.384407303492701</v>
      </c>
      <c r="N30" s="7">
        <v>1.8366479632106001</v>
      </c>
      <c r="O30" s="7">
        <v>2.8435601385634799</v>
      </c>
      <c r="P30" s="7">
        <v>25.969937686271098</v>
      </c>
      <c r="Q30" s="7">
        <v>0.13791840612480735</v>
      </c>
      <c r="U30">
        <v>0.42256468670454544</v>
      </c>
      <c r="AT30" s="4" t="s">
        <v>3748</v>
      </c>
    </row>
    <row r="31" spans="1:46">
      <c r="A31" s="2">
        <v>2615</v>
      </c>
      <c r="B31" t="s">
        <v>3749</v>
      </c>
      <c r="C31" t="s">
        <v>3622</v>
      </c>
      <c r="D31" t="s">
        <v>3713</v>
      </c>
      <c r="E31" s="4">
        <v>43465</v>
      </c>
      <c r="F31" s="11">
        <v>334.70603962000001</v>
      </c>
      <c r="G31" s="11">
        <v>241.9971333</v>
      </c>
      <c r="H31" s="11">
        <v>-6.6727585797</v>
      </c>
      <c r="I31" s="11">
        <v>39.0970933149</v>
      </c>
      <c r="J31" s="11">
        <v>2.6199196936</v>
      </c>
      <c r="K31" s="10">
        <v>0.84168772832100003</v>
      </c>
      <c r="L31" s="12">
        <v>232450111235.20001</v>
      </c>
      <c r="M31">
        <v>794.850931596485</v>
      </c>
      <c r="N31" s="7">
        <v>4.7165038000617798</v>
      </c>
      <c r="O31" s="7">
        <v>2.2915123793007202</v>
      </c>
      <c r="P31" s="7">
        <v>-77.843834540759403</v>
      </c>
      <c r="Q31" s="7">
        <v>0.10327530244910001</v>
      </c>
      <c r="U31">
        <v>0.22405482907931396</v>
      </c>
      <c r="AT31" s="4" t="s">
        <v>3750</v>
      </c>
    </row>
    <row r="32" spans="1:46">
      <c r="A32" s="2">
        <v>712</v>
      </c>
      <c r="B32" t="s">
        <v>3751</v>
      </c>
      <c r="C32" t="s">
        <v>2881</v>
      </c>
      <c r="D32" t="s">
        <v>3752</v>
      </c>
      <c r="E32" s="4">
        <v>43465</v>
      </c>
      <c r="F32" s="11">
        <v>92.17470428</v>
      </c>
      <c r="G32" s="11">
        <v>235.22906793000001</v>
      </c>
      <c r="H32" s="11">
        <v>7.7273293482999996</v>
      </c>
      <c r="I32" s="11">
        <v>25.1645299626</v>
      </c>
      <c r="J32" s="11">
        <v>1.7369807177000001</v>
      </c>
      <c r="K32" s="10">
        <v>0.42327471902399999</v>
      </c>
      <c r="L32" s="12">
        <v>35455205841.580002</v>
      </c>
      <c r="M32">
        <v>-164.12197841125001</v>
      </c>
      <c r="N32" s="7">
        <v>2.3416791401708399</v>
      </c>
      <c r="O32" s="7">
        <v>2.0273258326141299</v>
      </c>
      <c r="P32" s="7">
        <v>-38.237844920184699</v>
      </c>
      <c r="Q32" s="7" t="s">
        <v>3698</v>
      </c>
      <c r="U32">
        <v>5.5956754175077637E-2</v>
      </c>
      <c r="AT32" s="4" t="s">
        <v>3753</v>
      </c>
    </row>
    <row r="33" spans="1:46">
      <c r="A33" s="2">
        <v>58</v>
      </c>
      <c r="B33" t="s">
        <v>3754</v>
      </c>
      <c r="C33" t="s">
        <v>1174</v>
      </c>
      <c r="D33" t="s">
        <v>3713</v>
      </c>
      <c r="E33" s="4">
        <v>43465</v>
      </c>
      <c r="F33" s="11">
        <v>116.34940679</v>
      </c>
      <c r="G33" s="11">
        <v>229.97092352000001</v>
      </c>
      <c r="H33" s="11">
        <v>5.2871902982999996</v>
      </c>
      <c r="I33" s="11">
        <v>21.927186724199998</v>
      </c>
      <c r="J33" s="11">
        <v>10.5536474703</v>
      </c>
      <c r="K33" s="10">
        <v>0.64155527250099997</v>
      </c>
      <c r="L33" s="12">
        <v>7021712966.3999996</v>
      </c>
      <c r="M33">
        <v>-300.98955700905202</v>
      </c>
      <c r="N33" s="7">
        <v>2.2388458534198699</v>
      </c>
      <c r="O33" s="7">
        <v>1.51283653730017</v>
      </c>
      <c r="P33" s="7">
        <v>70.145628417657704</v>
      </c>
      <c r="Q33" s="7">
        <v>0.33761832931360181</v>
      </c>
      <c r="U33">
        <v>0.33618685812117488</v>
      </c>
      <c r="AT33" s="4" t="s">
        <v>3755</v>
      </c>
    </row>
    <row r="34" spans="1:46">
      <c r="A34" s="2">
        <v>3629</v>
      </c>
      <c r="B34" s="17" t="s">
        <v>3756</v>
      </c>
      <c r="C34" s="17" t="s">
        <v>279</v>
      </c>
      <c r="D34" s="17" t="s">
        <v>3721</v>
      </c>
      <c r="E34" s="18">
        <v>43465</v>
      </c>
      <c r="F34" s="19">
        <v>76.898897230000003</v>
      </c>
      <c r="G34" s="19">
        <v>229.97059687000001</v>
      </c>
      <c r="H34" s="19">
        <v>10.6457383077</v>
      </c>
      <c r="I34" s="19">
        <v>38.250577599000003</v>
      </c>
      <c r="J34" s="19">
        <v>17.988248935400001</v>
      </c>
      <c r="K34" s="20">
        <v>0.82638529212900003</v>
      </c>
      <c r="L34" s="12">
        <v>45562512744.68</v>
      </c>
      <c r="M34">
        <v>45.423159654167002</v>
      </c>
      <c r="N34" s="7">
        <v>9.35022922496041</v>
      </c>
      <c r="O34" s="7">
        <v>7.94132521231161</v>
      </c>
      <c r="P34" s="7">
        <v>-65.523219479606993</v>
      </c>
      <c r="Q34" s="7">
        <v>0.15289236308129028</v>
      </c>
      <c r="U34">
        <v>1.4228500197762479</v>
      </c>
      <c r="AT34" s="4" t="s">
        <v>3757</v>
      </c>
    </row>
    <row r="35" spans="1:46">
      <c r="A35" s="2">
        <v>1804</v>
      </c>
      <c r="B35" s="16" t="s">
        <v>3758</v>
      </c>
      <c r="C35" s="16" t="s">
        <v>2916</v>
      </c>
      <c r="D35" s="17" t="s">
        <v>3713</v>
      </c>
      <c r="E35" s="18">
        <v>43465</v>
      </c>
      <c r="F35" s="19">
        <v>265.90189873000003</v>
      </c>
      <c r="G35" s="19">
        <v>229.18149466</v>
      </c>
      <c r="H35" s="19">
        <v>27.072959975900002</v>
      </c>
      <c r="I35" s="19">
        <v>75.408600407199998</v>
      </c>
      <c r="J35" s="19">
        <v>32.836392157299997</v>
      </c>
      <c r="K35" s="20">
        <v>0.207008996088</v>
      </c>
      <c r="L35" s="12">
        <v>65785225989.139999</v>
      </c>
      <c r="M35">
        <v>-11.4968770630118</v>
      </c>
      <c r="N35" s="7">
        <v>11.2734002775425</v>
      </c>
      <c r="O35" s="7">
        <v>13.233617039237901</v>
      </c>
      <c r="P35" s="7">
        <v>97.290449605530696</v>
      </c>
      <c r="Q35" s="7" t="s">
        <v>3698</v>
      </c>
      <c r="U35">
        <v>0.44099127855068487</v>
      </c>
      <c r="AT35" s="4" t="s">
        <v>3759</v>
      </c>
    </row>
    <row r="36" spans="1:46">
      <c r="A36" s="2">
        <v>1766</v>
      </c>
      <c r="B36" t="s">
        <v>3760</v>
      </c>
      <c r="C36" t="s">
        <v>2144</v>
      </c>
      <c r="D36" t="s">
        <v>3761</v>
      </c>
      <c r="E36" s="4">
        <v>43465</v>
      </c>
      <c r="F36" s="11">
        <v>128.82539256999999</v>
      </c>
      <c r="G36" s="11">
        <v>224.62461117999999</v>
      </c>
      <c r="H36" s="11">
        <v>13.300230317700001</v>
      </c>
      <c r="I36" s="11">
        <v>44.410835394099998</v>
      </c>
      <c r="J36" s="11">
        <v>15.2666658654</v>
      </c>
      <c r="K36" s="10">
        <v>0.71632947127299995</v>
      </c>
      <c r="L36" s="12">
        <v>13000930870</v>
      </c>
      <c r="M36">
        <v>18.875044962442299</v>
      </c>
      <c r="N36" s="7">
        <v>2.9766329855946299</v>
      </c>
      <c r="O36" s="7">
        <v>2.72847733319123</v>
      </c>
      <c r="P36" s="7">
        <v>-28.376448496613499</v>
      </c>
      <c r="Q36" s="7">
        <v>0.38283828382838281</v>
      </c>
      <c r="U36">
        <v>0.28965370488717362</v>
      </c>
      <c r="AT36" s="4" t="s">
        <v>3762</v>
      </c>
    </row>
    <row r="37" spans="1:46">
      <c r="A37" s="2">
        <v>2277</v>
      </c>
      <c r="B37" t="s">
        <v>3763</v>
      </c>
      <c r="C37" t="s">
        <v>744</v>
      </c>
      <c r="D37" t="s">
        <v>3764</v>
      </c>
      <c r="E37" s="4">
        <v>43465</v>
      </c>
      <c r="F37" s="11">
        <v>190.18579968</v>
      </c>
      <c r="G37" s="11">
        <v>224.59016392999999</v>
      </c>
      <c r="H37" s="11">
        <v>36.485656800100003</v>
      </c>
      <c r="I37" s="11">
        <v>16.174482652999998</v>
      </c>
      <c r="J37" s="11">
        <v>9.0706908821999992</v>
      </c>
      <c r="K37" s="10">
        <v>0.46940002357100002</v>
      </c>
      <c r="L37" s="12">
        <v>7698364740.2399998</v>
      </c>
      <c r="M37">
        <v>25.628351786216399</v>
      </c>
      <c r="N37" s="7">
        <v>2.52431358504333</v>
      </c>
      <c r="O37" s="7">
        <v>2.90123159226123</v>
      </c>
      <c r="P37" s="7">
        <v>209.437424612451</v>
      </c>
      <c r="Q37" s="7">
        <v>0.28264556246466926</v>
      </c>
      <c r="U37">
        <v>0.2040193700312376</v>
      </c>
      <c r="AT37" s="4" t="s">
        <v>3765</v>
      </c>
    </row>
    <row r="38" spans="1:46">
      <c r="A38" s="2">
        <v>2078</v>
      </c>
      <c r="B38" s="17" t="s">
        <v>3766</v>
      </c>
      <c r="C38" s="17" t="s">
        <v>3523</v>
      </c>
      <c r="D38" s="17" t="s">
        <v>3713</v>
      </c>
      <c r="E38" s="18">
        <v>43465</v>
      </c>
      <c r="F38" s="19">
        <v>156.77528189</v>
      </c>
      <c r="G38" s="19">
        <v>224.35573522000001</v>
      </c>
      <c r="H38" s="19">
        <v>26.6442807235</v>
      </c>
      <c r="I38" s="19">
        <v>66.537829119899996</v>
      </c>
      <c r="J38" s="19">
        <v>11.919106599099999</v>
      </c>
      <c r="K38" s="20">
        <v>0.62461367515699995</v>
      </c>
      <c r="L38" s="12">
        <v>21947602694.82</v>
      </c>
      <c r="M38">
        <v>126.786637512105</v>
      </c>
      <c r="N38" s="7">
        <v>5.8211833679975999</v>
      </c>
      <c r="O38" s="7">
        <v>8.3341558565649603</v>
      </c>
      <c r="P38" s="7">
        <v>45.590172873390898</v>
      </c>
      <c r="Q38" s="7">
        <v>0.19421246844047388</v>
      </c>
      <c r="U38">
        <v>0.31946256886466462</v>
      </c>
      <c r="AT38" s="4" t="s">
        <v>3767</v>
      </c>
    </row>
    <row r="39" spans="1:46">
      <c r="A39" s="2">
        <v>1440</v>
      </c>
      <c r="B39" t="s">
        <v>3768</v>
      </c>
      <c r="C39" t="s">
        <v>1130</v>
      </c>
      <c r="D39" t="s">
        <v>3769</v>
      </c>
      <c r="E39" s="4">
        <v>43465</v>
      </c>
      <c r="F39" s="11">
        <v>157.2321757</v>
      </c>
      <c r="G39" s="11">
        <v>213.80407124999999</v>
      </c>
      <c r="H39" s="11">
        <v>45.9002658741</v>
      </c>
      <c r="I39" s="11">
        <v>23.737763136000002</v>
      </c>
      <c r="J39" s="11">
        <v>13.397214913099999</v>
      </c>
      <c r="K39" s="10">
        <v>0.49749906297599999</v>
      </c>
      <c r="L39" s="12">
        <v>8497327010</v>
      </c>
      <c r="M39">
        <v>40.908646592047603</v>
      </c>
      <c r="N39" s="7">
        <v>3.8465416841349702</v>
      </c>
      <c r="O39" s="7">
        <v>3.35840557195875</v>
      </c>
      <c r="P39" s="7">
        <v>15.2681286000459</v>
      </c>
      <c r="Q39" s="7" t="s">
        <v>3698</v>
      </c>
      <c r="U39">
        <v>0.66711941145638143</v>
      </c>
      <c r="AT39" s="4" t="s">
        <v>3770</v>
      </c>
    </row>
    <row r="40" spans="1:46">
      <c r="A40" s="2">
        <v>1822</v>
      </c>
      <c r="B40" s="21" t="s">
        <v>3771</v>
      </c>
      <c r="C40" s="21" t="s">
        <v>3389</v>
      </c>
      <c r="D40" s="21" t="s">
        <v>3721</v>
      </c>
      <c r="E40" s="22">
        <v>43465</v>
      </c>
      <c r="F40" s="23">
        <v>52.822371830000002</v>
      </c>
      <c r="G40" s="23">
        <v>212.93743372</v>
      </c>
      <c r="H40" s="23">
        <v>-25.4497612758</v>
      </c>
      <c r="I40" s="23">
        <v>33.797002990700001</v>
      </c>
      <c r="J40" s="23">
        <v>-64.260464718899996</v>
      </c>
      <c r="K40" s="24">
        <v>0.17585200366199999</v>
      </c>
      <c r="L40" s="12">
        <v>48612047101.199997</v>
      </c>
      <c r="M40">
        <v>-11.2457820677448</v>
      </c>
      <c r="N40" s="7">
        <v>2.3352535894187398</v>
      </c>
      <c r="O40" s="7">
        <v>9.0596284267616696</v>
      </c>
      <c r="P40" s="7">
        <v>46.064016465083597</v>
      </c>
      <c r="Q40" s="7" t="s">
        <v>3698</v>
      </c>
      <c r="U40">
        <v>-0.7092323227916667</v>
      </c>
      <c r="AT40" s="4" t="s">
        <v>3772</v>
      </c>
    </row>
    <row r="41" spans="1:46">
      <c r="A41" s="2">
        <v>974</v>
      </c>
      <c r="B41" t="s">
        <v>3773</v>
      </c>
      <c r="C41" t="s">
        <v>1379</v>
      </c>
      <c r="D41" t="s">
        <v>3721</v>
      </c>
      <c r="E41" s="4">
        <v>43465</v>
      </c>
      <c r="F41" s="11">
        <v>325.36650141000001</v>
      </c>
      <c r="G41" s="11">
        <v>212.69348622000001</v>
      </c>
      <c r="H41" s="11">
        <v>18.806765067000001</v>
      </c>
      <c r="I41" s="11">
        <v>23.406997474000001</v>
      </c>
      <c r="J41" s="11">
        <v>10.3776593024</v>
      </c>
      <c r="K41" s="10">
        <v>0.87318996350400002</v>
      </c>
      <c r="L41" s="12">
        <v>7082400000</v>
      </c>
      <c r="M41">
        <v>33.569022090054403</v>
      </c>
      <c r="N41" s="7">
        <v>3.0743499833510501</v>
      </c>
      <c r="O41" s="7">
        <v>2.4168521748892702</v>
      </c>
      <c r="P41" s="7">
        <v>-84.779131493199301</v>
      </c>
      <c r="Q41" s="7">
        <v>0.44474603620044728</v>
      </c>
      <c r="U41">
        <v>0.33182546942605157</v>
      </c>
      <c r="AT41" s="4" t="s">
        <v>3774</v>
      </c>
    </row>
    <row r="42" spans="1:46">
      <c r="A42" s="2">
        <v>1297</v>
      </c>
      <c r="B42" t="s">
        <v>3775</v>
      </c>
      <c r="C42" t="s">
        <v>3401</v>
      </c>
      <c r="D42" t="s">
        <v>3718</v>
      </c>
      <c r="E42" s="4">
        <v>43465</v>
      </c>
      <c r="F42" s="11">
        <v>56.410664519999997</v>
      </c>
      <c r="G42" s="11">
        <v>207.40365112000001</v>
      </c>
      <c r="H42" s="11">
        <v>21.2165493551</v>
      </c>
      <c r="I42" s="11">
        <v>38.005003896200002</v>
      </c>
      <c r="J42" s="11">
        <v>4.3913019996999996</v>
      </c>
      <c r="K42" s="10">
        <v>1.028601112447</v>
      </c>
      <c r="L42" s="12">
        <v>38305972632.230003</v>
      </c>
      <c r="M42">
        <v>29.783423752009099</v>
      </c>
      <c r="N42" s="7">
        <v>1.15060512168905</v>
      </c>
      <c r="O42" s="7">
        <v>0.87547863265185799</v>
      </c>
      <c r="P42" s="7">
        <v>-39.634299385875998</v>
      </c>
      <c r="Q42" s="7">
        <v>0.36036036036036034</v>
      </c>
      <c r="U42">
        <v>0.53531740844062947</v>
      </c>
      <c r="AT42" s="4" t="s">
        <v>3776</v>
      </c>
    </row>
    <row r="43" spans="1:46">
      <c r="A43" s="2">
        <v>304</v>
      </c>
      <c r="B43" t="s">
        <v>3777</v>
      </c>
      <c r="C43" t="s">
        <v>491</v>
      </c>
      <c r="D43" t="s">
        <v>3778</v>
      </c>
      <c r="E43" s="4">
        <v>43465</v>
      </c>
      <c r="F43" s="11">
        <v>44.323606589999997</v>
      </c>
      <c r="G43" s="11">
        <v>198.44236760000001</v>
      </c>
      <c r="H43" s="11">
        <v>23.768788963799999</v>
      </c>
      <c r="I43" s="11">
        <v>29.967645085000001</v>
      </c>
      <c r="J43" s="11">
        <v>13.6584359806</v>
      </c>
      <c r="K43" s="10">
        <v>0.93202049445400004</v>
      </c>
      <c r="L43" s="12">
        <v>9803754600</v>
      </c>
      <c r="M43">
        <v>8.8197599651603298</v>
      </c>
      <c r="N43" s="7">
        <v>1.86385365818586</v>
      </c>
      <c r="O43" s="7">
        <v>0.98784104570509201</v>
      </c>
      <c r="P43" s="7">
        <v>-39.038204271559501</v>
      </c>
      <c r="Q43" s="7" t="s">
        <v>3698</v>
      </c>
      <c r="U43">
        <v>0.43926663771665059</v>
      </c>
      <c r="AT43" s="4" t="s">
        <v>3779</v>
      </c>
    </row>
    <row r="44" spans="1:46">
      <c r="A44" s="2">
        <v>668</v>
      </c>
      <c r="B44" t="s">
        <v>3780</v>
      </c>
      <c r="C44" t="s">
        <v>2228</v>
      </c>
      <c r="D44" t="s">
        <v>3781</v>
      </c>
      <c r="E44" s="4">
        <v>43465</v>
      </c>
      <c r="F44" s="11">
        <v>187.37468683</v>
      </c>
      <c r="G44" s="11">
        <v>196.79849340999999</v>
      </c>
      <c r="H44" s="11">
        <v>7.2668797378000001</v>
      </c>
      <c r="I44" s="11">
        <v>10.229288798600001</v>
      </c>
      <c r="J44" s="11">
        <v>0.87074686290000003</v>
      </c>
      <c r="K44" s="10">
        <v>1.165639791477</v>
      </c>
      <c r="L44" s="12">
        <v>38656050580.360001</v>
      </c>
      <c r="M44">
        <v>68.313396305476601</v>
      </c>
      <c r="N44" s="7">
        <v>1.95161961785615</v>
      </c>
      <c r="O44" s="7">
        <v>0.53549522331780697</v>
      </c>
      <c r="P44" s="7">
        <v>-31.143107262521401</v>
      </c>
      <c r="Q44" s="7">
        <v>0.26540885330662478</v>
      </c>
      <c r="U44">
        <v>8.1716742906564374E-2</v>
      </c>
      <c r="AT44" s="4" t="s">
        <v>3782</v>
      </c>
    </row>
    <row r="45" spans="1:46">
      <c r="A45" s="2">
        <v>1224</v>
      </c>
      <c r="B45" t="s">
        <v>3783</v>
      </c>
      <c r="C45" t="s">
        <v>2173</v>
      </c>
      <c r="D45" t="s">
        <v>3781</v>
      </c>
      <c r="E45" s="4">
        <v>43465</v>
      </c>
      <c r="F45" s="11">
        <v>207.37938438</v>
      </c>
      <c r="G45" s="11">
        <v>196</v>
      </c>
      <c r="H45" s="11">
        <v>33.316104188300002</v>
      </c>
      <c r="I45" s="11">
        <v>9.8154856472999992</v>
      </c>
      <c r="J45" s="11">
        <v>3.9443739150999999</v>
      </c>
      <c r="K45" s="10">
        <v>0.49690212691199998</v>
      </c>
      <c r="L45" s="12">
        <v>39784305967.199997</v>
      </c>
      <c r="M45">
        <v>68.615464261813599</v>
      </c>
      <c r="N45" s="7">
        <v>6.0989903125197804</v>
      </c>
      <c r="O45" s="7">
        <v>4.9682555027889901</v>
      </c>
      <c r="P45" s="7">
        <v>2036.0088375118401</v>
      </c>
      <c r="Q45" s="7">
        <v>5.5560987880321738E-2</v>
      </c>
      <c r="U45">
        <v>0.24947261303867094</v>
      </c>
      <c r="AT45" s="4" t="s">
        <v>3759</v>
      </c>
    </row>
    <row r="46" spans="1:46">
      <c r="A46" s="2">
        <v>1079</v>
      </c>
      <c r="B46" t="s">
        <v>3784</v>
      </c>
      <c r="C46" t="s">
        <v>1890</v>
      </c>
      <c r="D46" t="s">
        <v>3785</v>
      </c>
      <c r="E46" s="4">
        <v>43465</v>
      </c>
      <c r="F46" s="11">
        <v>104.09920214</v>
      </c>
      <c r="G46" s="11">
        <v>193.03706360000001</v>
      </c>
      <c r="H46" s="11">
        <v>4.9547196017999999</v>
      </c>
      <c r="I46" s="11">
        <v>68.681990731699997</v>
      </c>
      <c r="J46" s="11">
        <v>10.057346642800001</v>
      </c>
      <c r="K46" s="10">
        <v>0.51845653302100003</v>
      </c>
      <c r="L46" s="12">
        <v>191954907615.38</v>
      </c>
      <c r="M46">
        <v>32.1472358731382</v>
      </c>
      <c r="N46" s="7">
        <v>2.5296929524809202</v>
      </c>
      <c r="O46" s="7">
        <v>3.9795041501255302</v>
      </c>
      <c r="P46" s="7">
        <v>-1049.42313334803</v>
      </c>
      <c r="Q46" s="7" t="s">
        <v>3698</v>
      </c>
      <c r="U46">
        <v>0.23274591402438755</v>
      </c>
      <c r="AT46" s="4" t="s">
        <v>3786</v>
      </c>
    </row>
    <row r="47" spans="1:46">
      <c r="A47" s="2">
        <v>705</v>
      </c>
      <c r="B47" t="s">
        <v>3787</v>
      </c>
      <c r="C47" t="s">
        <v>3563</v>
      </c>
      <c r="D47" t="s">
        <v>3713</v>
      </c>
      <c r="E47" s="4">
        <v>43465</v>
      </c>
      <c r="F47" s="11">
        <v>88.096374600000004</v>
      </c>
      <c r="G47" s="11">
        <v>191.32492113999999</v>
      </c>
      <c r="H47" s="11">
        <v>-16.1550344493</v>
      </c>
      <c r="I47" s="11">
        <v>14.1760334283</v>
      </c>
      <c r="J47" s="11">
        <v>15.7989572814</v>
      </c>
      <c r="K47" s="10">
        <v>0.58073042508700001</v>
      </c>
      <c r="L47" s="12">
        <v>13655215615.5</v>
      </c>
      <c r="M47">
        <v>-16.6682544928378</v>
      </c>
      <c r="N47" s="7">
        <v>2.1927183361227498</v>
      </c>
      <c r="O47" s="7">
        <v>3.1642930110246299</v>
      </c>
      <c r="P47" s="7">
        <v>-11.1661117998545</v>
      </c>
      <c r="Q47" s="7">
        <v>0.26925148088314482</v>
      </c>
      <c r="U47">
        <v>0.33437242684317331</v>
      </c>
      <c r="AT47" s="4" t="s">
        <v>3788</v>
      </c>
    </row>
    <row r="48" spans="1:46">
      <c r="A48" s="2">
        <v>1459</v>
      </c>
      <c r="B48" s="21" t="s">
        <v>3789</v>
      </c>
      <c r="C48" s="21" t="s">
        <v>1129</v>
      </c>
      <c r="D48" s="21" t="s">
        <v>3790</v>
      </c>
      <c r="E48" s="22">
        <v>43465</v>
      </c>
      <c r="F48" s="23">
        <v>123.39006571</v>
      </c>
      <c r="G48" s="23">
        <v>191.30890052000001</v>
      </c>
      <c r="H48" s="23">
        <v>-1.6181650863000001</v>
      </c>
      <c r="I48" s="23">
        <v>89.467036423899998</v>
      </c>
      <c r="J48" s="23">
        <v>45.709146580199999</v>
      </c>
      <c r="K48" s="24">
        <v>0.33251034111700001</v>
      </c>
      <c r="L48" s="12">
        <v>10926359120.700001</v>
      </c>
      <c r="M48">
        <v>36.999647927026899</v>
      </c>
      <c r="N48" s="7">
        <v>6.15598077143492</v>
      </c>
      <c r="O48" s="7">
        <v>15.4046079507365</v>
      </c>
      <c r="P48" s="7">
        <v>-30.2009205841727</v>
      </c>
      <c r="Q48" s="7">
        <v>0.52608505041648401</v>
      </c>
      <c r="U48">
        <v>1.1791931150855655</v>
      </c>
      <c r="AT48" s="4" t="s">
        <v>3791</v>
      </c>
    </row>
    <row r="49" spans="1:46">
      <c r="A49" s="2">
        <v>1066</v>
      </c>
      <c r="B49" t="s">
        <v>3792</v>
      </c>
      <c r="C49" t="s">
        <v>181</v>
      </c>
      <c r="D49" t="s">
        <v>3790</v>
      </c>
      <c r="E49" s="4">
        <v>43465</v>
      </c>
      <c r="F49" s="11">
        <v>36.13864779</v>
      </c>
      <c r="G49" s="11">
        <v>191.02447842999999</v>
      </c>
      <c r="H49" s="11">
        <v>23.3299669094</v>
      </c>
      <c r="I49" s="11">
        <v>76.267562392499997</v>
      </c>
      <c r="J49" s="11">
        <v>15.085525453000001</v>
      </c>
      <c r="K49" s="10">
        <v>0.86952875424200005</v>
      </c>
      <c r="L49" s="12">
        <v>58657536000</v>
      </c>
      <c r="M49">
        <v>17.499782956001201</v>
      </c>
      <c r="N49" s="7">
        <v>4.5649253844794204</v>
      </c>
      <c r="O49" s="7">
        <v>2.7632041274174699</v>
      </c>
      <c r="P49" s="7">
        <v>217.98545608383901</v>
      </c>
      <c r="Q49" s="7">
        <v>0.92208390963577691</v>
      </c>
      <c r="U49">
        <v>0.4746187944304569</v>
      </c>
      <c r="AT49" s="4" t="s">
        <v>3793</v>
      </c>
    </row>
    <row r="50" spans="1:46">
      <c r="A50" s="2">
        <v>3378</v>
      </c>
      <c r="B50" t="s">
        <v>3794</v>
      </c>
      <c r="C50" t="s">
        <v>510</v>
      </c>
      <c r="D50" t="s">
        <v>3752</v>
      </c>
      <c r="E50" s="4">
        <v>43465</v>
      </c>
      <c r="F50" s="11">
        <v>134.58440859000001</v>
      </c>
      <c r="G50" s="11">
        <v>189.07766989999999</v>
      </c>
      <c r="H50" s="11">
        <v>28.707809530900001</v>
      </c>
      <c r="I50" s="11">
        <v>48.266106445299997</v>
      </c>
      <c r="J50" s="11">
        <v>27.4655151957</v>
      </c>
      <c r="K50" s="10">
        <v>0.63000831038600003</v>
      </c>
      <c r="L50" s="12">
        <v>56882938200.209999</v>
      </c>
      <c r="M50">
        <v>19.3602415210073</v>
      </c>
      <c r="N50" s="7">
        <v>2.8865143259333799</v>
      </c>
      <c r="O50" s="7">
        <v>4.4643656873138298</v>
      </c>
      <c r="P50" s="7">
        <v>57.1152764096677</v>
      </c>
      <c r="Q50" s="7">
        <v>1.340666895840495</v>
      </c>
      <c r="U50">
        <v>0.77775132957637827</v>
      </c>
      <c r="AT50" s="4" t="s">
        <v>3795</v>
      </c>
    </row>
    <row r="51" spans="1:46">
      <c r="A51" s="2">
        <v>752</v>
      </c>
      <c r="B51" s="21" t="s">
        <v>3796</v>
      </c>
      <c r="C51" s="21" t="s">
        <v>2016</v>
      </c>
      <c r="D51" s="21" t="s">
        <v>3721</v>
      </c>
      <c r="E51" s="22">
        <v>43465</v>
      </c>
      <c r="F51" s="23">
        <v>17.147478570000001</v>
      </c>
      <c r="G51" s="23">
        <v>187.64534884</v>
      </c>
      <c r="H51" s="23">
        <v>-6.9922421715</v>
      </c>
      <c r="I51" s="23">
        <v>18.814980170599998</v>
      </c>
      <c r="J51" s="23">
        <v>3.5555862272000001</v>
      </c>
      <c r="K51" s="10">
        <v>0.843519888286</v>
      </c>
      <c r="L51" s="12">
        <v>6528059720</v>
      </c>
      <c r="M51">
        <v>15.6625168976254</v>
      </c>
      <c r="N51" s="7">
        <v>1.4704373612283701</v>
      </c>
      <c r="O51" s="7">
        <v>0.94106364722707403</v>
      </c>
      <c r="P51" s="7">
        <v>-71.076014338218101</v>
      </c>
      <c r="Q51" s="7">
        <v>0.51572975760701389</v>
      </c>
      <c r="U51">
        <v>0.26739441181993223</v>
      </c>
      <c r="AT51" s="4" t="s">
        <v>3797</v>
      </c>
    </row>
    <row r="52" spans="1:46">
      <c r="A52" s="2">
        <v>2665</v>
      </c>
      <c r="B52" t="s">
        <v>3798</v>
      </c>
      <c r="C52" t="s">
        <v>1951</v>
      </c>
      <c r="D52" t="s">
        <v>3718</v>
      </c>
      <c r="E52" s="4">
        <v>43465</v>
      </c>
      <c r="F52" s="11">
        <v>62.78419667</v>
      </c>
      <c r="G52" s="11">
        <v>184.88805970000001</v>
      </c>
      <c r="H52" s="11">
        <v>15.1993314252</v>
      </c>
      <c r="I52" s="11">
        <v>27.876603422799999</v>
      </c>
      <c r="J52" s="11">
        <v>8.2410532487000001</v>
      </c>
      <c r="K52" s="10">
        <v>0.37492346101500001</v>
      </c>
      <c r="L52" s="12">
        <v>64642470644.160004</v>
      </c>
      <c r="M52">
        <v>39.891012606414101</v>
      </c>
      <c r="N52" s="7">
        <v>1.16739192102824</v>
      </c>
      <c r="O52" s="7">
        <v>2.0787118763332599</v>
      </c>
      <c r="P52" s="7">
        <v>80.377979044610498</v>
      </c>
      <c r="Q52" s="7">
        <v>0.71225071225071224</v>
      </c>
      <c r="U52">
        <v>0.21962552035356481</v>
      </c>
      <c r="AT52" s="4" t="s">
        <v>3799</v>
      </c>
    </row>
    <row r="53" spans="1:46">
      <c r="A53" s="2">
        <v>611</v>
      </c>
      <c r="B53" t="s">
        <v>3800</v>
      </c>
      <c r="C53" t="s">
        <v>1500</v>
      </c>
      <c r="D53" t="s">
        <v>3781</v>
      </c>
      <c r="E53" s="4">
        <v>43465</v>
      </c>
      <c r="F53" s="11">
        <v>61.906949310000002</v>
      </c>
      <c r="G53" s="11">
        <v>183.80952381</v>
      </c>
      <c r="H53" s="11">
        <v>13.887754580599999</v>
      </c>
      <c r="I53" s="11">
        <v>21.042896939599999</v>
      </c>
      <c r="J53" s="11">
        <v>5.7093837078999998</v>
      </c>
      <c r="K53" s="10">
        <v>0.73330295650699995</v>
      </c>
      <c r="L53" s="12">
        <v>6189084814.79</v>
      </c>
      <c r="M53">
        <v>12.166888843162599</v>
      </c>
      <c r="N53" s="7">
        <v>1.2786765239281599</v>
      </c>
      <c r="O53" s="7">
        <v>0.83004897754345996</v>
      </c>
      <c r="P53" s="7">
        <v>4.1196893401453698</v>
      </c>
      <c r="Q53" s="7">
        <v>0.77312887043944745</v>
      </c>
      <c r="U53">
        <v>0.32564316129687054</v>
      </c>
      <c r="AT53" s="4" t="s">
        <v>3801</v>
      </c>
    </row>
    <row r="54" spans="1:46">
      <c r="A54" s="2">
        <v>1893</v>
      </c>
      <c r="B54" t="s">
        <v>3802</v>
      </c>
      <c r="C54" t="s">
        <v>1888</v>
      </c>
      <c r="D54" t="s">
        <v>3713</v>
      </c>
      <c r="E54" s="4">
        <v>43465</v>
      </c>
      <c r="F54" s="11">
        <v>58.523981390000003</v>
      </c>
      <c r="G54" s="11">
        <v>181.57676348999999</v>
      </c>
      <c r="H54" s="11">
        <v>-3.9363988914000001</v>
      </c>
      <c r="I54" s="11">
        <v>39.184455214099998</v>
      </c>
      <c r="J54" s="11">
        <v>14.1045602664</v>
      </c>
      <c r="K54" s="10">
        <v>0.40456447288300001</v>
      </c>
      <c r="L54" s="12">
        <v>13597849288.26</v>
      </c>
      <c r="M54">
        <v>27.691872347501999</v>
      </c>
      <c r="N54" s="7">
        <v>2.2246118678235498</v>
      </c>
      <c r="O54" s="7">
        <v>4.70366780537318</v>
      </c>
      <c r="P54" s="7">
        <v>-47.988598098496396</v>
      </c>
      <c r="Q54" s="7">
        <v>0.51734697986577183</v>
      </c>
      <c r="U54">
        <v>0.35352815813746097</v>
      </c>
      <c r="AT54" s="4" t="s">
        <v>3803</v>
      </c>
    </row>
    <row r="55" spans="1:46">
      <c r="A55" s="2">
        <v>1842</v>
      </c>
      <c r="B55" t="s">
        <v>3804</v>
      </c>
      <c r="C55" t="s">
        <v>1788</v>
      </c>
      <c r="D55" t="s">
        <v>3718</v>
      </c>
      <c r="E55" s="4">
        <v>43465</v>
      </c>
      <c r="F55" s="11">
        <v>86.740682770000006</v>
      </c>
      <c r="G55" s="11">
        <v>179.47019868000001</v>
      </c>
      <c r="H55" s="11">
        <v>-17.994317846200001</v>
      </c>
      <c r="I55" s="11">
        <v>48.888578807000002</v>
      </c>
      <c r="J55" s="11">
        <v>18.271539518099999</v>
      </c>
      <c r="K55" s="10">
        <v>0.33515126218699998</v>
      </c>
      <c r="L55" s="12">
        <v>6513735956.6700001</v>
      </c>
      <c r="M55">
        <v>44.027703859510197</v>
      </c>
      <c r="N55" s="7">
        <v>3.0627590344498499</v>
      </c>
      <c r="O55" s="7">
        <v>7.7123027460086497</v>
      </c>
      <c r="P55" s="7">
        <v>108.355711539691</v>
      </c>
      <c r="Q55" s="7">
        <v>0.61500615006150061</v>
      </c>
      <c r="U55">
        <v>0.34170314840686272</v>
      </c>
      <c r="AT55" s="4" t="s">
        <v>3805</v>
      </c>
    </row>
    <row r="56" spans="1:46">
      <c r="A56" s="2">
        <v>992</v>
      </c>
      <c r="B56" t="s">
        <v>3806</v>
      </c>
      <c r="C56" t="s">
        <v>1201</v>
      </c>
      <c r="D56" t="s">
        <v>3785</v>
      </c>
      <c r="E56" s="4">
        <v>43465</v>
      </c>
      <c r="F56" s="11">
        <v>55.427399899999998</v>
      </c>
      <c r="G56" s="11">
        <v>179.28571428999999</v>
      </c>
      <c r="H56" s="11">
        <v>15.0576404223</v>
      </c>
      <c r="I56" s="11">
        <v>14.751230681199999</v>
      </c>
      <c r="J56" s="11">
        <v>3.8575915376999999</v>
      </c>
      <c r="K56" s="10">
        <v>0.58553976454699996</v>
      </c>
      <c r="L56" s="12">
        <v>3439440000</v>
      </c>
      <c r="M56">
        <v>184.700074753595</v>
      </c>
      <c r="N56" s="7">
        <v>1.3455239881277701</v>
      </c>
      <c r="O56" s="7">
        <v>1.2841903639108001</v>
      </c>
      <c r="P56" s="7">
        <v>-20.9032076740856</v>
      </c>
      <c r="Q56" s="7" t="s">
        <v>3698</v>
      </c>
      <c r="U56">
        <v>7.3899437754847627E-2</v>
      </c>
      <c r="AT56" s="4" t="s">
        <v>3807</v>
      </c>
    </row>
    <row r="57" spans="1:46">
      <c r="A57" s="2">
        <v>745</v>
      </c>
      <c r="B57" t="s">
        <v>3808</v>
      </c>
      <c r="C57" t="s">
        <v>3524</v>
      </c>
      <c r="D57" t="s">
        <v>3781</v>
      </c>
      <c r="E57" s="4">
        <v>43465</v>
      </c>
      <c r="F57" s="11">
        <v>179.03508772000001</v>
      </c>
      <c r="G57" s="11">
        <v>173.36244540999999</v>
      </c>
      <c r="H57" s="11">
        <v>70.305730196900001</v>
      </c>
      <c r="I57" s="11">
        <v>34.310957236699998</v>
      </c>
      <c r="J57" s="11">
        <v>20.929795261500001</v>
      </c>
      <c r="K57" s="10">
        <v>0.74195553565899997</v>
      </c>
      <c r="L57" s="12">
        <v>9872516600</v>
      </c>
      <c r="M57">
        <v>27.0818687009046</v>
      </c>
      <c r="N57" s="7">
        <v>3.0863580732876899</v>
      </c>
      <c r="O57" s="7">
        <v>2.3185227948759102</v>
      </c>
      <c r="P57" s="7">
        <v>-84.815984083796195</v>
      </c>
      <c r="Q57" s="7" t="s">
        <v>3698</v>
      </c>
      <c r="U57">
        <v>1.260244521283058</v>
      </c>
      <c r="AT57" s="4" t="s">
        <v>3809</v>
      </c>
    </row>
    <row r="58" spans="1:46">
      <c r="A58" s="2">
        <v>2785</v>
      </c>
      <c r="B58" t="s">
        <v>3810</v>
      </c>
      <c r="C58" t="s">
        <v>3201</v>
      </c>
      <c r="D58" t="s">
        <v>3811</v>
      </c>
      <c r="E58" s="4">
        <v>43465</v>
      </c>
      <c r="F58" s="11">
        <v>23.46938776</v>
      </c>
      <c r="G58" s="11">
        <v>172.40437158</v>
      </c>
      <c r="H58" s="11">
        <v>-8.2529429904999994</v>
      </c>
      <c r="I58" s="11">
        <v>16.796120888600001</v>
      </c>
      <c r="J58" s="11">
        <v>-2.1068692296</v>
      </c>
      <c r="K58" s="10">
        <v>0.99366006786200001</v>
      </c>
      <c r="L58" s="12">
        <v>9608103363.9200001</v>
      </c>
      <c r="M58">
        <v>-73.506405205773405</v>
      </c>
      <c r="N58" s="7">
        <v>1.9598773283519999</v>
      </c>
      <c r="O58" s="7">
        <v>0.84882724759603101</v>
      </c>
      <c r="P58" s="7">
        <v>21.469913549276701</v>
      </c>
      <c r="Q58" s="7" t="s">
        <v>3698</v>
      </c>
      <c r="U58">
        <v>-8.2372982687621027E-2</v>
      </c>
      <c r="AT58" s="4" t="s">
        <v>3812</v>
      </c>
    </row>
    <row r="59" spans="1:46">
      <c r="A59" s="2">
        <v>3426</v>
      </c>
      <c r="B59" t="s">
        <v>3813</v>
      </c>
      <c r="C59" t="s">
        <v>2836</v>
      </c>
      <c r="D59" t="s">
        <v>3785</v>
      </c>
      <c r="E59" s="4">
        <v>43465</v>
      </c>
      <c r="F59" s="11">
        <v>72.322293029999997</v>
      </c>
      <c r="G59" s="11">
        <v>172.24242423999999</v>
      </c>
      <c r="H59" s="11">
        <v>11.0030153005</v>
      </c>
      <c r="I59" s="11">
        <v>22.622958584599999</v>
      </c>
      <c r="J59" s="11">
        <v>4.3377595811000003</v>
      </c>
      <c r="K59" s="10">
        <v>0.95953284031499997</v>
      </c>
      <c r="L59" s="12">
        <v>5272263884.8000002</v>
      </c>
      <c r="M59">
        <v>30.8867684001703</v>
      </c>
      <c r="N59" s="7">
        <v>2.10141780054518</v>
      </c>
      <c r="O59" s="7">
        <v>1.3758787804927</v>
      </c>
      <c r="P59" s="7">
        <v>-67.496452042423996</v>
      </c>
      <c r="Q59" s="7">
        <v>1.098901098901099</v>
      </c>
      <c r="U59">
        <v>0.27060007494047622</v>
      </c>
      <c r="AT59" s="4" t="s">
        <v>3814</v>
      </c>
    </row>
    <row r="60" spans="1:46">
      <c r="A60" s="2">
        <v>3200</v>
      </c>
      <c r="B60" t="s">
        <v>3815</v>
      </c>
      <c r="C60" t="s">
        <v>3522</v>
      </c>
      <c r="D60" t="s">
        <v>3790</v>
      </c>
      <c r="E60" s="4">
        <v>43465</v>
      </c>
      <c r="F60" s="11">
        <v>84.975591100000003</v>
      </c>
      <c r="G60" s="11">
        <v>171.23287671</v>
      </c>
      <c r="H60" s="11">
        <v>20.958073627800001</v>
      </c>
      <c r="I60" s="11">
        <v>44.685904225500003</v>
      </c>
      <c r="J60" s="11">
        <v>15.4768112175</v>
      </c>
      <c r="K60" s="10">
        <v>0.43533841354399999</v>
      </c>
      <c r="L60" s="12">
        <v>3966480000</v>
      </c>
      <c r="M60">
        <v>66.481763864367096</v>
      </c>
      <c r="N60" s="7">
        <v>2.69877896269979</v>
      </c>
      <c r="O60" s="7">
        <v>5.49443930598449</v>
      </c>
      <c r="P60" s="7">
        <v>31.8296351198968</v>
      </c>
      <c r="Q60" s="7">
        <v>0.69967707212055974</v>
      </c>
      <c r="U60">
        <v>0.19344579855224947</v>
      </c>
      <c r="AT60" s="4" t="s">
        <v>3816</v>
      </c>
    </row>
    <row r="61" spans="1:46">
      <c r="A61" s="2">
        <v>2657</v>
      </c>
      <c r="B61" t="s">
        <v>3817</v>
      </c>
      <c r="C61" t="s">
        <v>3059</v>
      </c>
      <c r="D61" t="s">
        <v>3721</v>
      </c>
      <c r="E61" s="4">
        <v>43465</v>
      </c>
      <c r="F61" s="11">
        <v>3.15102102</v>
      </c>
      <c r="G61" s="11">
        <v>166.99029125999999</v>
      </c>
      <c r="H61" s="11">
        <v>4.0870498E-3</v>
      </c>
      <c r="I61" s="11">
        <v>11.4255255355</v>
      </c>
      <c r="J61" s="11">
        <v>-3.8842285664</v>
      </c>
      <c r="K61" s="10">
        <v>0.73262440960099995</v>
      </c>
      <c r="L61" s="12">
        <v>21881625998.240002</v>
      </c>
      <c r="M61">
        <v>-450.49469396518799</v>
      </c>
      <c r="N61" s="7">
        <v>1.31801103786396</v>
      </c>
      <c r="O61" s="7">
        <v>0.52660021539934299</v>
      </c>
      <c r="P61" s="7">
        <v>4.6955520880494301</v>
      </c>
      <c r="Q61" s="7" t="s">
        <v>3698</v>
      </c>
      <c r="U61">
        <v>-0.58601922393733419</v>
      </c>
      <c r="AT61" s="4" t="s">
        <v>3818</v>
      </c>
    </row>
    <row r="62" spans="1:46">
      <c r="A62" s="2">
        <v>556</v>
      </c>
      <c r="B62" t="s">
        <v>3819</v>
      </c>
      <c r="C62" t="s">
        <v>2439</v>
      </c>
      <c r="D62" t="s">
        <v>3721</v>
      </c>
      <c r="E62" s="4">
        <v>43465</v>
      </c>
      <c r="F62" s="11">
        <v>-25.885694149999999</v>
      </c>
      <c r="G62" s="11">
        <v>166.30434783000001</v>
      </c>
      <c r="H62" s="11">
        <v>-0.17079343450000001</v>
      </c>
      <c r="I62" s="11">
        <v>12.222737047800001</v>
      </c>
      <c r="J62" s="11">
        <v>-5.4578441247000002</v>
      </c>
      <c r="K62" s="10">
        <v>0.90114098159099998</v>
      </c>
      <c r="L62" s="12">
        <v>35231182718.900002</v>
      </c>
      <c r="M62">
        <v>-31.708324955915401</v>
      </c>
      <c r="N62" s="7">
        <v>1.3009938765220199</v>
      </c>
      <c r="O62" s="7">
        <v>0.48476343942572397</v>
      </c>
      <c r="P62" s="7">
        <v>7.9939381047127398</v>
      </c>
      <c r="Q62" s="7">
        <v>0.6294256490952006</v>
      </c>
      <c r="U62">
        <v>-0.46768775340070229</v>
      </c>
      <c r="AT62" s="4" t="s">
        <v>3820</v>
      </c>
    </row>
    <row r="63" spans="1:46">
      <c r="A63" s="2">
        <v>409</v>
      </c>
      <c r="B63" t="s">
        <v>3821</v>
      </c>
      <c r="C63" t="s">
        <v>878</v>
      </c>
      <c r="D63" t="s">
        <v>3781</v>
      </c>
      <c r="E63" s="4">
        <v>43465</v>
      </c>
      <c r="F63" s="11">
        <v>174.70184835000001</v>
      </c>
      <c r="G63" s="11">
        <v>166.20879120999999</v>
      </c>
      <c r="H63" s="11">
        <v>10.383097195</v>
      </c>
      <c r="I63" s="11">
        <v>8.7309801592999996</v>
      </c>
      <c r="J63" s="11">
        <v>3.9410312283</v>
      </c>
      <c r="K63" s="10">
        <v>1.528024858108</v>
      </c>
      <c r="L63" s="12">
        <v>5709599899.4700003</v>
      </c>
      <c r="M63">
        <v>15.243889994408599</v>
      </c>
      <c r="N63" s="7">
        <v>1.48204293412538</v>
      </c>
      <c r="O63" s="7">
        <v>0.45458503948823897</v>
      </c>
      <c r="P63" s="7">
        <v>12.756777465691799</v>
      </c>
      <c r="Q63" s="7">
        <v>0.14584346135148274</v>
      </c>
      <c r="U63">
        <v>0.40432654473503088</v>
      </c>
      <c r="AT63" s="4" t="s">
        <v>3822</v>
      </c>
    </row>
    <row r="64" spans="1:46">
      <c r="A64" s="2">
        <v>399</v>
      </c>
      <c r="B64" s="21" t="s">
        <v>3823</v>
      </c>
      <c r="C64" s="21" t="s">
        <v>105</v>
      </c>
      <c r="D64" s="21" t="s">
        <v>3785</v>
      </c>
      <c r="E64" s="22">
        <v>43465</v>
      </c>
      <c r="F64" s="23">
        <v>72.588128179999998</v>
      </c>
      <c r="G64" s="23">
        <v>165.98412397999999</v>
      </c>
      <c r="H64" s="23">
        <v>32.6083439748</v>
      </c>
      <c r="I64" s="23">
        <v>73.8028147279</v>
      </c>
      <c r="J64" s="23">
        <v>35.0701564664</v>
      </c>
      <c r="K64" s="24">
        <v>0.50988386007200004</v>
      </c>
      <c r="L64" s="12">
        <v>84109499429.550003</v>
      </c>
      <c r="M64">
        <v>16.271914903589501</v>
      </c>
      <c r="N64" s="7">
        <v>3.1108797040268201</v>
      </c>
      <c r="O64" s="7">
        <v>5.2722638376835</v>
      </c>
      <c r="P64" s="7">
        <v>54.286009547830503</v>
      </c>
      <c r="Q64" s="7">
        <v>1.3328106624852998</v>
      </c>
      <c r="T64" s="2"/>
      <c r="U64">
        <v>3.4481190955808532</v>
      </c>
      <c r="AT64" s="4" t="s">
        <v>3824</v>
      </c>
    </row>
    <row r="65" spans="1:46">
      <c r="A65" s="2">
        <v>2713</v>
      </c>
      <c r="B65" t="s">
        <v>3825</v>
      </c>
      <c r="C65" t="s">
        <v>2164</v>
      </c>
      <c r="D65" t="s">
        <v>3790</v>
      </c>
      <c r="E65" s="4">
        <v>43465</v>
      </c>
      <c r="F65" s="11">
        <v>79.763995109999996</v>
      </c>
      <c r="G65" s="11">
        <v>164.83180428</v>
      </c>
      <c r="H65" s="11">
        <v>-18.307496884199999</v>
      </c>
      <c r="I65" s="11">
        <v>22.933639060400001</v>
      </c>
      <c r="J65" s="11">
        <v>6.0524340409999997</v>
      </c>
      <c r="K65" s="10">
        <v>0.68885140866399996</v>
      </c>
      <c r="L65" s="12">
        <v>516292680745.04999</v>
      </c>
      <c r="M65">
        <v>52.116551340075397</v>
      </c>
      <c r="N65" s="7">
        <v>1.74360536268651</v>
      </c>
      <c r="O65" s="7">
        <v>1.82046423754607</v>
      </c>
      <c r="P65" s="7">
        <v>-9.3495267219271998</v>
      </c>
      <c r="Q65" s="7">
        <v>0.54171180931744312</v>
      </c>
      <c r="U65">
        <v>0.32963700220714964</v>
      </c>
      <c r="AT65" s="4" t="s">
        <v>3826</v>
      </c>
    </row>
    <row r="66" spans="1:46">
      <c r="A66" s="2">
        <v>1243</v>
      </c>
      <c r="B66" t="s">
        <v>3827</v>
      </c>
      <c r="C66" t="s">
        <v>3333</v>
      </c>
      <c r="D66" t="s">
        <v>3761</v>
      </c>
      <c r="E66" s="4">
        <v>43465</v>
      </c>
      <c r="F66" s="11">
        <v>57.624144440000002</v>
      </c>
      <c r="G66" s="11">
        <v>163.6097561</v>
      </c>
      <c r="H66" s="11">
        <v>11.283561799999999</v>
      </c>
      <c r="I66" s="11">
        <v>12.7631755308</v>
      </c>
      <c r="J66" s="11">
        <v>2.9662625055</v>
      </c>
      <c r="K66" s="10">
        <v>0.76589579818999998</v>
      </c>
      <c r="L66" s="12">
        <v>20536912211.400002</v>
      </c>
      <c r="M66">
        <v>129.75942738765099</v>
      </c>
      <c r="N66" s="7">
        <v>1.51095082903418</v>
      </c>
      <c r="O66" s="7">
        <v>1.2235462331871501</v>
      </c>
      <c r="P66" s="7">
        <v>-9.3141010443763896</v>
      </c>
      <c r="Q66" s="7">
        <v>0.64157399486740807</v>
      </c>
      <c r="U66">
        <v>0.26912552481917656</v>
      </c>
      <c r="AT66" s="4" t="s">
        <v>3828</v>
      </c>
    </row>
    <row r="67" spans="1:46">
      <c r="A67" s="2">
        <v>37</v>
      </c>
      <c r="B67" t="s">
        <v>3829</v>
      </c>
      <c r="C67" t="s">
        <v>3312</v>
      </c>
      <c r="D67" t="s">
        <v>3764</v>
      </c>
      <c r="E67" s="4">
        <v>43465</v>
      </c>
      <c r="F67" s="11">
        <v>75.630252100000007</v>
      </c>
      <c r="G67" s="11">
        <v>163.44537815000001</v>
      </c>
      <c r="H67" s="11">
        <v>-7.8615861907999998</v>
      </c>
      <c r="I67" s="11">
        <v>7.0444674873000004</v>
      </c>
      <c r="J67" s="11">
        <v>0.66064934949999998</v>
      </c>
      <c r="K67" s="10">
        <v>0.60893281071000005</v>
      </c>
      <c r="L67" s="12">
        <v>9411043004.1599998</v>
      </c>
      <c r="M67">
        <v>55.157949773283804</v>
      </c>
      <c r="N67" s="7">
        <v>1.4506247989573</v>
      </c>
      <c r="O67" s="7">
        <v>1.3696840803667101</v>
      </c>
      <c r="P67" s="7">
        <v>6.6159815782532201</v>
      </c>
      <c r="Q67" s="7" t="s">
        <v>3698</v>
      </c>
      <c r="U67">
        <v>3.1942536328183183E-2</v>
      </c>
      <c r="AT67" s="4" t="s">
        <v>3830</v>
      </c>
    </row>
    <row r="68" spans="1:46">
      <c r="A68" s="2">
        <v>1917</v>
      </c>
      <c r="B68" t="s">
        <v>3831</v>
      </c>
      <c r="C68" t="s">
        <v>2595</v>
      </c>
      <c r="D68" t="s">
        <v>3832</v>
      </c>
      <c r="E68" s="4">
        <v>43465</v>
      </c>
      <c r="F68" s="11">
        <v>12.96220389</v>
      </c>
      <c r="G68" s="11">
        <v>163.41844710999999</v>
      </c>
      <c r="H68" s="11">
        <v>44.021144143800001</v>
      </c>
      <c r="I68" s="11">
        <v>37.947228360799997</v>
      </c>
      <c r="J68" s="11">
        <v>12.357316513000001</v>
      </c>
      <c r="K68" s="10">
        <v>0.54558051753500003</v>
      </c>
      <c r="L68" s="12">
        <v>7558642953.8400002</v>
      </c>
      <c r="M68">
        <v>71.072122058499502</v>
      </c>
      <c r="N68" s="7">
        <v>5.06969084874867</v>
      </c>
      <c r="O68" s="7">
        <v>8.3125184063914404</v>
      </c>
      <c r="P68" s="7">
        <v>36.608563422388002</v>
      </c>
      <c r="Q68" s="7">
        <v>0.81879245283018876</v>
      </c>
      <c r="U68">
        <v>0.32145171838942305</v>
      </c>
      <c r="AT68" s="4" t="s">
        <v>3833</v>
      </c>
    </row>
    <row r="69" spans="1:46">
      <c r="A69" s="2">
        <v>3292</v>
      </c>
      <c r="B69" t="s">
        <v>3834</v>
      </c>
      <c r="C69" t="s">
        <v>2635</v>
      </c>
      <c r="D69" t="s">
        <v>3721</v>
      </c>
      <c r="E69" s="4">
        <v>43465</v>
      </c>
      <c r="F69" s="11">
        <v>115.46779484</v>
      </c>
      <c r="G69" s="11">
        <v>163.05653085</v>
      </c>
      <c r="H69" s="11">
        <v>1.0782659267000001</v>
      </c>
      <c r="I69" s="11">
        <v>52.183545109599997</v>
      </c>
      <c r="J69" s="11">
        <v>19.952712895400001</v>
      </c>
      <c r="K69" s="10">
        <v>0.76231284807400002</v>
      </c>
      <c r="L69" s="12">
        <v>4212416000</v>
      </c>
      <c r="M69">
        <v>92.4752788925896</v>
      </c>
      <c r="N69" s="7">
        <v>8.8427762877240408</v>
      </c>
      <c r="O69" s="7">
        <v>11.261695492112199</v>
      </c>
      <c r="P69" s="7">
        <v>-19.890084992199899</v>
      </c>
      <c r="Q69" s="7">
        <v>0.25818927225954663</v>
      </c>
      <c r="U69">
        <v>1.6259628786764135</v>
      </c>
      <c r="AT69" s="4" t="s">
        <v>3835</v>
      </c>
    </row>
    <row r="70" spans="1:46">
      <c r="A70" s="2">
        <v>2769</v>
      </c>
      <c r="B70" t="s">
        <v>3836</v>
      </c>
      <c r="C70" t="s">
        <v>1104</v>
      </c>
      <c r="D70" t="s">
        <v>3837</v>
      </c>
      <c r="E70" s="4">
        <v>43465</v>
      </c>
      <c r="F70" s="11">
        <v>119.45392491</v>
      </c>
      <c r="G70" s="11">
        <v>162.04081633000001</v>
      </c>
      <c r="H70" s="11">
        <v>528.67656181140001</v>
      </c>
      <c r="I70" s="11">
        <v>5.4329482130000004</v>
      </c>
      <c r="J70" s="11">
        <v>1.8300531262999999</v>
      </c>
      <c r="K70" s="10">
        <v>1.793533443244</v>
      </c>
      <c r="L70" s="12">
        <v>94017573077.399994</v>
      </c>
      <c r="M70">
        <v>73.111891827788597</v>
      </c>
      <c r="N70" s="7">
        <v>5.6376214031843803</v>
      </c>
      <c r="O70" s="7">
        <v>3.7939074149128298</v>
      </c>
      <c r="P70" s="7">
        <v>-38.059096289746897</v>
      </c>
      <c r="Q70" s="7" t="s">
        <v>3698</v>
      </c>
      <c r="U70">
        <v>5.6436349184466841E-2</v>
      </c>
      <c r="AT70" s="4" t="s">
        <v>3838</v>
      </c>
    </row>
    <row r="71" spans="1:46">
      <c r="A71" s="2">
        <v>2598</v>
      </c>
      <c r="B71" t="s">
        <v>3839</v>
      </c>
      <c r="C71" t="s">
        <v>3503</v>
      </c>
      <c r="D71" t="s">
        <v>3761</v>
      </c>
      <c r="E71" s="4">
        <v>43465</v>
      </c>
      <c r="F71" s="11">
        <v>30.817821859999999</v>
      </c>
      <c r="G71" s="11">
        <v>161.94968553000001</v>
      </c>
      <c r="H71" s="11">
        <v>-13.971767075000001</v>
      </c>
      <c r="I71" s="11">
        <v>15.38550354</v>
      </c>
      <c r="J71" s="11">
        <v>0.1665279767</v>
      </c>
      <c r="K71" s="10">
        <v>0.54801721523000002</v>
      </c>
      <c r="L71" s="12">
        <v>4301276882.6599998</v>
      </c>
      <c r="M71">
        <v>-61.3016417640738</v>
      </c>
      <c r="N71" s="7">
        <v>1.3373974394816199</v>
      </c>
      <c r="O71" s="7">
        <v>0.92289501542435504</v>
      </c>
      <c r="P71" s="7">
        <v>-29.506776588353599</v>
      </c>
      <c r="Q71" s="7" t="s">
        <v>3698</v>
      </c>
      <c r="U71">
        <v>1.428657509152538E-2</v>
      </c>
      <c r="AT71" s="4" t="s">
        <v>3840</v>
      </c>
    </row>
    <row r="72" spans="1:46">
      <c r="A72" s="2">
        <v>290</v>
      </c>
      <c r="B72" t="s">
        <v>3841</v>
      </c>
      <c r="C72" t="s">
        <v>1221</v>
      </c>
      <c r="D72" t="s">
        <v>3842</v>
      </c>
      <c r="E72" s="4">
        <v>43465</v>
      </c>
      <c r="F72" s="11">
        <v>119.12751280000001</v>
      </c>
      <c r="G72" s="11">
        <v>161.68757127000001</v>
      </c>
      <c r="H72" s="11">
        <v>22.939139517499999</v>
      </c>
      <c r="I72" s="11">
        <v>12.5986510606</v>
      </c>
      <c r="J72" s="11">
        <v>4.0577077552</v>
      </c>
      <c r="K72" s="10">
        <v>1.7638191455029999</v>
      </c>
      <c r="L72" s="12">
        <v>11174822861.52</v>
      </c>
      <c r="M72">
        <v>7.3375134523240098</v>
      </c>
      <c r="N72" s="7">
        <v>0.89500886220562703</v>
      </c>
      <c r="O72" s="7">
        <v>0.321780431488775</v>
      </c>
      <c r="P72" s="7">
        <v>4.5860155814542596</v>
      </c>
      <c r="Q72" s="7">
        <v>0.52264703449205774</v>
      </c>
      <c r="U72">
        <v>1.1352222235770895</v>
      </c>
      <c r="AT72" s="4" t="s">
        <v>3843</v>
      </c>
    </row>
    <row r="73" spans="1:46">
      <c r="A73" s="2">
        <v>1116</v>
      </c>
      <c r="B73" s="21" t="s">
        <v>3844</v>
      </c>
      <c r="C73" s="21" t="s">
        <v>2333</v>
      </c>
      <c r="D73" s="21" t="s">
        <v>3790</v>
      </c>
      <c r="E73" s="22">
        <v>43465</v>
      </c>
      <c r="F73" s="23">
        <v>52.670269150000003</v>
      </c>
      <c r="G73" s="23">
        <v>161.47828548999999</v>
      </c>
      <c r="H73" s="23">
        <v>42.418611567500001</v>
      </c>
      <c r="I73" s="23">
        <v>47.305709503800003</v>
      </c>
      <c r="J73" s="23">
        <v>20.4556559219</v>
      </c>
      <c r="K73" s="10">
        <v>0.40925770041699999</v>
      </c>
      <c r="L73" s="12" t="s">
        <v>3698</v>
      </c>
      <c r="M73">
        <v>32.724918252250298</v>
      </c>
      <c r="N73" s="7">
        <v>2.97492365373743</v>
      </c>
      <c r="O73" s="7">
        <v>3.82505405024573</v>
      </c>
      <c r="P73" s="7">
        <v>16.216880656802498</v>
      </c>
      <c r="Q73" s="7">
        <v>0.62085445120611993</v>
      </c>
      <c r="U73">
        <v>0.32609643285416173</v>
      </c>
      <c r="AT73" s="4" t="s">
        <v>3845</v>
      </c>
    </row>
    <row r="74" spans="1:46">
      <c r="A74" s="2">
        <v>2882</v>
      </c>
      <c r="B74" t="s">
        <v>3846</v>
      </c>
      <c r="C74" t="s">
        <v>69</v>
      </c>
      <c r="D74" t="s">
        <v>3785</v>
      </c>
      <c r="E74" s="4">
        <v>43465</v>
      </c>
      <c r="F74" s="11">
        <v>61.096864330000002</v>
      </c>
      <c r="G74" s="11">
        <v>158.65235726</v>
      </c>
      <c r="H74" s="11">
        <v>47.480977166499997</v>
      </c>
      <c r="I74" s="11">
        <v>66.213453314399999</v>
      </c>
      <c r="J74" s="11">
        <v>16.6265242849</v>
      </c>
      <c r="K74" s="10">
        <v>0.90346682328100003</v>
      </c>
      <c r="L74" s="12">
        <v>7768594306.0500002</v>
      </c>
      <c r="M74">
        <v>21.613439417730898</v>
      </c>
      <c r="N74" s="7">
        <v>4.8836813948175797</v>
      </c>
      <c r="O74" s="7">
        <v>3.7480531177324399</v>
      </c>
      <c r="P74" s="7">
        <v>-63.674391809635701</v>
      </c>
      <c r="Q74" s="7">
        <v>0.83948959032907988</v>
      </c>
      <c r="T74" s="2"/>
      <c r="U74">
        <v>1.693984705017588</v>
      </c>
      <c r="AT74" s="4" t="s">
        <v>3847</v>
      </c>
    </row>
    <row r="75" spans="1:46">
      <c r="A75" s="2">
        <v>3282</v>
      </c>
      <c r="B75" t="s">
        <v>3848</v>
      </c>
      <c r="C75" t="s">
        <v>1599</v>
      </c>
      <c r="D75" t="s">
        <v>3849</v>
      </c>
      <c r="E75" s="4">
        <v>43465</v>
      </c>
      <c r="F75" s="11">
        <v>63.03721504</v>
      </c>
      <c r="G75" s="11">
        <v>156.13266583000001</v>
      </c>
      <c r="H75" s="11">
        <v>40.027847560600001</v>
      </c>
      <c r="I75" s="11">
        <v>30.540759070499998</v>
      </c>
      <c r="J75" s="11">
        <v>4.6667068047000004</v>
      </c>
      <c r="K75" s="10">
        <v>1.3522224067969999</v>
      </c>
      <c r="L75" s="12">
        <v>78176085460.199997</v>
      </c>
      <c r="M75">
        <v>24.073009483274198</v>
      </c>
      <c r="N75" s="7">
        <v>2.2300107430869698</v>
      </c>
      <c r="O75" s="7">
        <v>0.91070437369419899</v>
      </c>
      <c r="P75" s="7">
        <v>-5.2012681491771602</v>
      </c>
      <c r="Q75" s="7">
        <v>0.89961559582646922</v>
      </c>
      <c r="U75">
        <v>0.89341230196349974</v>
      </c>
      <c r="AT75" s="4" t="s">
        <v>3850</v>
      </c>
    </row>
    <row r="76" spans="1:46">
      <c r="A76" s="2">
        <v>200</v>
      </c>
      <c r="B76" t="s">
        <v>3851</v>
      </c>
      <c r="C76" t="s">
        <v>111</v>
      </c>
      <c r="D76" t="s">
        <v>3785</v>
      </c>
      <c r="E76" s="4">
        <v>43465</v>
      </c>
      <c r="F76" s="11">
        <v>112.17346571</v>
      </c>
      <c r="G76" s="11">
        <v>155.30992298000001</v>
      </c>
      <c r="H76" s="11">
        <v>24.651767481699999</v>
      </c>
      <c r="I76" s="11">
        <v>77.756923527400005</v>
      </c>
      <c r="J76" s="11">
        <v>20.0424307386</v>
      </c>
      <c r="K76" s="10">
        <v>0.76655523162799999</v>
      </c>
      <c r="L76" s="12">
        <v>5684502420</v>
      </c>
      <c r="M76">
        <v>17.422578766647401</v>
      </c>
      <c r="N76" s="7">
        <v>3.8146263852992699</v>
      </c>
      <c r="O76" s="7">
        <v>3.2401491382510201</v>
      </c>
      <c r="P76" s="7">
        <v>17.1979144611085</v>
      </c>
      <c r="Q76" s="7">
        <v>1.3868343195266273</v>
      </c>
      <c r="T76" s="2"/>
      <c r="U76">
        <v>3.3662264556195391</v>
      </c>
      <c r="AT76" s="4" t="s">
        <v>3852</v>
      </c>
    </row>
    <row r="77" spans="1:46">
      <c r="A77" s="2">
        <v>634</v>
      </c>
      <c r="B77" t="s">
        <v>3853</v>
      </c>
      <c r="C77" t="s">
        <v>2388</v>
      </c>
      <c r="D77" t="s">
        <v>3713</v>
      </c>
      <c r="E77" s="4">
        <v>43465</v>
      </c>
      <c r="F77" s="11">
        <v>84.830917869999993</v>
      </c>
      <c r="G77" s="11">
        <v>154.55820477</v>
      </c>
      <c r="H77" s="11">
        <v>8.5747822417999995</v>
      </c>
      <c r="I77" s="11">
        <v>24.644005818299998</v>
      </c>
      <c r="J77" s="11">
        <v>3.2763765868000001</v>
      </c>
      <c r="K77" s="10">
        <v>0.41296943548300002</v>
      </c>
      <c r="L77" s="12">
        <v>68449312000</v>
      </c>
      <c r="M77">
        <v>55.2763602585391</v>
      </c>
      <c r="N77" s="7">
        <v>2.8803520595715701</v>
      </c>
      <c r="O77" s="7">
        <v>2.0033308937872101</v>
      </c>
      <c r="P77" s="7">
        <v>-14.946248379583899</v>
      </c>
      <c r="Q77" s="7" t="s">
        <v>3698</v>
      </c>
      <c r="U77">
        <v>9.6928530918957492E-2</v>
      </c>
      <c r="AT77" s="4" t="s">
        <v>3854</v>
      </c>
    </row>
    <row r="78" spans="1:46">
      <c r="A78" s="2">
        <v>3048</v>
      </c>
      <c r="B78" t="s">
        <v>3855</v>
      </c>
      <c r="C78" t="s">
        <v>476</v>
      </c>
      <c r="D78" t="s">
        <v>3718</v>
      </c>
      <c r="E78" s="4">
        <v>43465</v>
      </c>
      <c r="F78" s="11">
        <v>158.19980792999999</v>
      </c>
      <c r="G78" s="11">
        <v>153.53670656</v>
      </c>
      <c r="H78" s="11">
        <v>50.649610062400001</v>
      </c>
      <c r="I78" s="11">
        <v>36.5773837829</v>
      </c>
      <c r="J78" s="11">
        <v>19.875478606000001</v>
      </c>
      <c r="K78" s="10">
        <v>0.62721959233199998</v>
      </c>
      <c r="L78" s="12">
        <v>15382447060.549999</v>
      </c>
      <c r="M78">
        <v>24.237686984154902</v>
      </c>
      <c r="N78" s="7">
        <v>3.84303423154793</v>
      </c>
      <c r="O78" s="7">
        <v>4.4475618320281596</v>
      </c>
      <c r="P78" s="7">
        <v>99.683293626692702</v>
      </c>
      <c r="Q78" s="7">
        <v>0.68775790921595592</v>
      </c>
      <c r="U78">
        <v>0.94857535267573689</v>
      </c>
      <c r="AT78" s="4" t="s">
        <v>3856</v>
      </c>
    </row>
    <row r="79" spans="1:46">
      <c r="A79" s="2">
        <v>834</v>
      </c>
      <c r="B79" t="s">
        <v>3857</v>
      </c>
      <c r="C79" t="s">
        <v>2760</v>
      </c>
      <c r="D79" t="s">
        <v>3858</v>
      </c>
      <c r="E79" s="4">
        <v>43465</v>
      </c>
      <c r="F79" s="11">
        <v>-53.812316719999998</v>
      </c>
      <c r="G79" s="11">
        <v>153.4351145</v>
      </c>
      <c r="H79" s="11">
        <v>-83.346855225100001</v>
      </c>
      <c r="I79" s="11">
        <v>-34.148689017000002</v>
      </c>
      <c r="J79" s="11">
        <v>-200.53854251050001</v>
      </c>
      <c r="K79" s="10">
        <v>0.106659698575</v>
      </c>
      <c r="L79" s="12">
        <v>43879500000</v>
      </c>
      <c r="M79">
        <v>11.3464994344844</v>
      </c>
      <c r="N79" s="7">
        <v>2.7401246745705201</v>
      </c>
      <c r="O79" s="7">
        <v>1.36467374959127</v>
      </c>
      <c r="P79" s="7">
        <v>41.980794031939098</v>
      </c>
      <c r="Q79" s="7" t="s">
        <v>3698</v>
      </c>
      <c r="U79">
        <v>-0.6167627978040342</v>
      </c>
      <c r="AT79" s="4" t="s">
        <v>3859</v>
      </c>
    </row>
    <row r="80" spans="1:46">
      <c r="A80" s="2">
        <v>986</v>
      </c>
      <c r="B80" t="s">
        <v>3860</v>
      </c>
      <c r="C80" t="s">
        <v>1034</v>
      </c>
      <c r="D80" t="s">
        <v>3721</v>
      </c>
      <c r="E80" s="4">
        <v>43465</v>
      </c>
      <c r="F80" s="11">
        <v>164.30047847</v>
      </c>
      <c r="G80" s="11">
        <v>150.28449502000001</v>
      </c>
      <c r="H80" s="11">
        <v>57.056897540000001</v>
      </c>
      <c r="I80" s="11">
        <v>21.047533654399999</v>
      </c>
      <c r="J80" s="11">
        <v>7.8475402377999997</v>
      </c>
      <c r="K80" s="10">
        <v>1.132211533042</v>
      </c>
      <c r="L80" s="12">
        <v>2349048416.4000001</v>
      </c>
      <c r="M80">
        <v>28.327101890086201</v>
      </c>
      <c r="N80" s="7">
        <v>3.8627796862356298</v>
      </c>
      <c r="O80" s="7">
        <v>1.86264350851487</v>
      </c>
      <c r="P80" s="7">
        <v>60.3978809916226</v>
      </c>
      <c r="Q80" s="7">
        <v>0.11302244627050459</v>
      </c>
      <c r="U80">
        <v>0.66169738500129494</v>
      </c>
      <c r="AT80" s="4" t="s">
        <v>3861</v>
      </c>
    </row>
    <row r="81" spans="1:46">
      <c r="A81" s="2">
        <v>3305</v>
      </c>
      <c r="B81" t="s">
        <v>3862</v>
      </c>
      <c r="C81" t="s">
        <v>1495</v>
      </c>
      <c r="D81" t="s">
        <v>3721</v>
      </c>
      <c r="E81" s="4">
        <v>43465</v>
      </c>
      <c r="F81" s="11">
        <v>61.626586619999998</v>
      </c>
      <c r="G81" s="11">
        <v>150.16501650000001</v>
      </c>
      <c r="H81" s="11">
        <v>10.8540261781</v>
      </c>
      <c r="I81" s="11">
        <v>19.142000059699999</v>
      </c>
      <c r="J81" s="11">
        <v>4.4911817117000004</v>
      </c>
      <c r="K81" s="10">
        <v>0.86028057469200003</v>
      </c>
      <c r="L81" s="12">
        <v>195238563437</v>
      </c>
      <c r="M81">
        <v>27.3800037187752</v>
      </c>
      <c r="N81" s="7">
        <v>2.93747772384478</v>
      </c>
      <c r="O81" s="7">
        <v>1.2268452901161899</v>
      </c>
      <c r="P81" s="7">
        <v>-37.808219088293399</v>
      </c>
      <c r="Q81" s="7">
        <v>0.37917087967644081</v>
      </c>
      <c r="U81">
        <v>0.57457948718144947</v>
      </c>
      <c r="AT81" s="4" t="s">
        <v>3863</v>
      </c>
    </row>
    <row r="82" spans="1:46">
      <c r="A82" s="2">
        <v>2353</v>
      </c>
      <c r="B82" t="s">
        <v>3864</v>
      </c>
      <c r="C82" t="s">
        <v>2002</v>
      </c>
      <c r="D82" t="s">
        <v>3718</v>
      </c>
      <c r="E82" s="4">
        <v>43465</v>
      </c>
      <c r="F82" s="11">
        <v>58.654722800000002</v>
      </c>
      <c r="G82" s="11">
        <v>149.77777778000001</v>
      </c>
      <c r="H82" s="11">
        <v>8.8742071605999993</v>
      </c>
      <c r="I82" s="11">
        <v>11.214197366100001</v>
      </c>
      <c r="J82" s="11">
        <v>0.98977180300000001</v>
      </c>
      <c r="K82" s="10">
        <v>0.94717545522400004</v>
      </c>
      <c r="L82" s="12">
        <v>4935996000</v>
      </c>
      <c r="M82">
        <v>-208.17125911233501</v>
      </c>
      <c r="N82" s="7">
        <v>0.85644546839209001</v>
      </c>
      <c r="O82" s="7">
        <v>0.48141455694104202</v>
      </c>
      <c r="P82" s="7">
        <v>13.6092038820052</v>
      </c>
      <c r="Q82" s="7" t="s">
        <v>3698</v>
      </c>
      <c r="U82">
        <v>0.10761376718959742</v>
      </c>
      <c r="AT82" s="4" t="s">
        <v>3865</v>
      </c>
    </row>
    <row r="83" spans="1:46">
      <c r="A83" s="2">
        <v>590</v>
      </c>
      <c r="B83" t="s">
        <v>3866</v>
      </c>
      <c r="C83" t="s">
        <v>2591</v>
      </c>
      <c r="D83" t="s">
        <v>3721</v>
      </c>
      <c r="E83" s="4">
        <v>43465</v>
      </c>
      <c r="F83" s="11">
        <v>27.965231769999999</v>
      </c>
      <c r="G83" s="11">
        <v>149.46466809</v>
      </c>
      <c r="H83" s="11">
        <v>1.6571857827000001</v>
      </c>
      <c r="I83" s="11">
        <v>18.189853131500001</v>
      </c>
      <c r="J83" s="11">
        <v>7.0126455401000003</v>
      </c>
      <c r="K83" s="10">
        <v>0.934397482364</v>
      </c>
      <c r="L83" s="12">
        <v>4122680900</v>
      </c>
      <c r="M83">
        <v>33.090445517838397</v>
      </c>
      <c r="N83" s="7">
        <v>2.1068020004803998</v>
      </c>
      <c r="O83" s="7">
        <v>1.7643713248923001</v>
      </c>
      <c r="P83" s="7">
        <v>-20.180303048921999</v>
      </c>
      <c r="Q83" s="7">
        <v>0.3891050583657587</v>
      </c>
      <c r="U83">
        <v>0.12988217978103309</v>
      </c>
      <c r="AT83" s="4" t="s">
        <v>3867</v>
      </c>
    </row>
    <row r="84" spans="1:46">
      <c r="A84" s="2">
        <v>250</v>
      </c>
      <c r="B84" t="s">
        <v>3868</v>
      </c>
      <c r="C84" t="s">
        <v>348</v>
      </c>
      <c r="D84" t="s">
        <v>3737</v>
      </c>
      <c r="E84" s="4">
        <v>43465</v>
      </c>
      <c r="F84" s="11">
        <v>145.87932291000001</v>
      </c>
      <c r="G84" s="11">
        <v>149.08000000000001</v>
      </c>
      <c r="H84" s="11">
        <v>31.025157854500002</v>
      </c>
      <c r="I84" s="11">
        <v>85.102406238599997</v>
      </c>
      <c r="J84" s="11">
        <v>27.2152341878</v>
      </c>
      <c r="K84" s="10">
        <v>0.64123603885699998</v>
      </c>
      <c r="L84" s="12">
        <v>8619182406.0799999</v>
      </c>
      <c r="M84">
        <v>30.008193461893399</v>
      </c>
      <c r="N84" s="7">
        <v>5.6221662349222701</v>
      </c>
      <c r="O84" s="7">
        <v>5.3213951067390797</v>
      </c>
      <c r="P84" s="7">
        <v>-957.91700506551297</v>
      </c>
      <c r="Q84" s="7">
        <v>0.18223234624145787</v>
      </c>
      <c r="U84">
        <v>5.9166536843184119</v>
      </c>
      <c r="AT84" s="4" t="s">
        <v>3869</v>
      </c>
    </row>
    <row r="85" spans="1:46">
      <c r="A85" s="2">
        <v>2358</v>
      </c>
      <c r="B85" t="s">
        <v>3870</v>
      </c>
      <c r="C85" t="s">
        <v>2300</v>
      </c>
      <c r="D85" t="s">
        <v>3871</v>
      </c>
      <c r="E85" s="4">
        <v>43465</v>
      </c>
      <c r="F85" s="11">
        <v>120.88028905</v>
      </c>
      <c r="G85" s="11">
        <v>148.7012987</v>
      </c>
      <c r="H85" s="11">
        <v>6.4534290570000001</v>
      </c>
      <c r="I85" s="11">
        <v>20.265710064</v>
      </c>
      <c r="J85" s="11">
        <v>2.6629815300000002</v>
      </c>
      <c r="K85" s="10">
        <v>0.191199802636</v>
      </c>
      <c r="L85" s="12">
        <v>90454984815</v>
      </c>
      <c r="M85">
        <v>22.455289299297998</v>
      </c>
      <c r="N85" s="7">
        <v>1.2649744666415601</v>
      </c>
      <c r="O85" s="7">
        <v>0.352344192784044</v>
      </c>
      <c r="P85" s="7">
        <v>-8.7680955502816609</v>
      </c>
      <c r="Q85" s="7">
        <v>0.92936802973977695</v>
      </c>
      <c r="U85">
        <v>0.16190358515956554</v>
      </c>
      <c r="AT85" s="4" t="s">
        <v>3872</v>
      </c>
    </row>
    <row r="86" spans="1:46">
      <c r="A86" s="2">
        <v>1351</v>
      </c>
      <c r="B86" t="s">
        <v>3873</v>
      </c>
      <c r="C86" t="s">
        <v>2251</v>
      </c>
      <c r="D86" t="s">
        <v>3769</v>
      </c>
      <c r="E86" s="4">
        <v>43465</v>
      </c>
      <c r="F86" s="11">
        <v>8.5425189699999997</v>
      </c>
      <c r="G86" s="11">
        <v>147.64227642</v>
      </c>
      <c r="H86" s="11">
        <v>37.797725122000003</v>
      </c>
      <c r="I86" s="11">
        <v>20.179348837700001</v>
      </c>
      <c r="J86" s="11">
        <v>4.0207528167</v>
      </c>
      <c r="K86" s="10">
        <v>0.60916804476499997</v>
      </c>
      <c r="L86" s="12">
        <v>8438160240</v>
      </c>
      <c r="M86">
        <v>317.78892282089498</v>
      </c>
      <c r="N86" s="7">
        <v>1.68800021724239</v>
      </c>
      <c r="O86" s="7">
        <v>2.4179643239798998</v>
      </c>
      <c r="P86" s="7">
        <v>-54.652732814598899</v>
      </c>
      <c r="Q86" s="7">
        <v>0.55340343110127277</v>
      </c>
      <c r="U86">
        <v>0.39184392233333332</v>
      </c>
      <c r="AT86" s="4" t="s">
        <v>3874</v>
      </c>
    </row>
    <row r="87" spans="1:46">
      <c r="A87" s="2">
        <v>3388</v>
      </c>
      <c r="B87" t="s">
        <v>3875</v>
      </c>
      <c r="C87" t="s">
        <v>2822</v>
      </c>
      <c r="D87" t="s">
        <v>3713</v>
      </c>
      <c r="E87" s="4">
        <v>43465</v>
      </c>
      <c r="F87" s="11">
        <v>130.85183477999999</v>
      </c>
      <c r="G87" s="11">
        <v>147.04630656</v>
      </c>
      <c r="H87" s="11">
        <v>21.226590668699998</v>
      </c>
      <c r="I87" s="11">
        <v>74.231180657699994</v>
      </c>
      <c r="J87" s="11">
        <v>39.620335195400003</v>
      </c>
      <c r="K87" s="10">
        <v>0.246693019382</v>
      </c>
      <c r="L87" s="12">
        <v>9555000000</v>
      </c>
      <c r="M87">
        <v>37.621330096990299</v>
      </c>
      <c r="N87" s="7">
        <v>3.4447048158193998</v>
      </c>
      <c r="O87" s="7">
        <v>12.7212332546792</v>
      </c>
      <c r="P87" s="7">
        <v>21.056617114899399</v>
      </c>
      <c r="Q87" s="7">
        <v>0.75948187788427568</v>
      </c>
      <c r="U87">
        <v>0.99636778423109496</v>
      </c>
      <c r="AT87" s="4" t="s">
        <v>3876</v>
      </c>
    </row>
    <row r="88" spans="1:46">
      <c r="A88" s="2">
        <v>864</v>
      </c>
      <c r="B88" t="s">
        <v>3877</v>
      </c>
      <c r="C88" t="s">
        <v>2752</v>
      </c>
      <c r="D88" t="s">
        <v>3778</v>
      </c>
      <c r="E88" s="4">
        <v>43465</v>
      </c>
      <c r="F88" s="11">
        <v>185.29111265</v>
      </c>
      <c r="G88" s="11">
        <v>146.66666667000001</v>
      </c>
      <c r="H88" s="11">
        <v>44.231591065899998</v>
      </c>
      <c r="I88" s="11">
        <v>31.651877991199999</v>
      </c>
      <c r="J88" s="11">
        <v>13.850546466000001</v>
      </c>
      <c r="K88" s="10">
        <v>0.41236543262000003</v>
      </c>
      <c r="L88" s="12">
        <v>8769916962.7999992</v>
      </c>
      <c r="M88">
        <v>41.907864166233999</v>
      </c>
      <c r="N88" s="7">
        <v>1.72606309727583</v>
      </c>
      <c r="O88" s="7">
        <v>3.55156768873591</v>
      </c>
      <c r="P88" s="7">
        <v>49.215385799705601</v>
      </c>
      <c r="Q88" s="7">
        <v>0.37842951750236514</v>
      </c>
      <c r="U88">
        <v>0.64231233694122347</v>
      </c>
      <c r="AT88" s="4" t="s">
        <v>3731</v>
      </c>
    </row>
    <row r="89" spans="1:46">
      <c r="A89" s="2">
        <v>3254</v>
      </c>
      <c r="B89" t="s">
        <v>3878</v>
      </c>
      <c r="C89" t="s">
        <v>771</v>
      </c>
      <c r="D89" t="s">
        <v>3737</v>
      </c>
      <c r="E89" s="4">
        <v>43465</v>
      </c>
      <c r="F89" s="11">
        <v>7.4483382699999998</v>
      </c>
      <c r="G89" s="11">
        <v>146.65427509</v>
      </c>
      <c r="H89" s="11">
        <v>-3.1168838460999999</v>
      </c>
      <c r="I89" s="11">
        <v>33.550109519599999</v>
      </c>
      <c r="J89" s="11">
        <v>8.6427662651000006</v>
      </c>
      <c r="K89" s="10">
        <v>0.440176847835</v>
      </c>
      <c r="L89" s="12">
        <v>35402283544.32</v>
      </c>
      <c r="M89">
        <v>28.952282094013398</v>
      </c>
      <c r="N89" s="7">
        <v>2.31652232653378</v>
      </c>
      <c r="O89" s="7">
        <v>3.6623674278979701</v>
      </c>
      <c r="P89" s="7">
        <v>-28.100800068274101</v>
      </c>
      <c r="Q89" s="7">
        <v>0.34188034188034189</v>
      </c>
      <c r="U89">
        <v>0.39771808544642856</v>
      </c>
      <c r="AT89" s="4" t="s">
        <v>3879</v>
      </c>
    </row>
    <row r="90" spans="1:46">
      <c r="A90" s="2">
        <v>1543</v>
      </c>
      <c r="B90" t="s">
        <v>3880</v>
      </c>
      <c r="C90" t="s">
        <v>2157</v>
      </c>
      <c r="D90" t="s">
        <v>3761</v>
      </c>
      <c r="E90" s="4">
        <v>43465</v>
      </c>
      <c r="F90" s="11">
        <v>15.900393169999999</v>
      </c>
      <c r="G90" s="11">
        <v>146.04569420000001</v>
      </c>
      <c r="H90" s="11">
        <v>-14.8412809473</v>
      </c>
      <c r="I90" s="11">
        <v>18.109740130500001</v>
      </c>
      <c r="J90" s="11">
        <v>2.3410404265000002</v>
      </c>
      <c r="K90" s="10">
        <v>0.55264706263499996</v>
      </c>
      <c r="L90" s="12">
        <v>4459840000</v>
      </c>
      <c r="M90">
        <v>11.236232004635101</v>
      </c>
      <c r="N90" s="7">
        <v>0.72243006116858699</v>
      </c>
      <c r="O90" s="7">
        <v>0.47568833506233699</v>
      </c>
      <c r="P90" s="7">
        <v>-5.8424300438246002</v>
      </c>
      <c r="Q90" s="7">
        <v>0.51545836909871245</v>
      </c>
      <c r="U90">
        <v>0.25695949907288768</v>
      </c>
      <c r="AT90" s="4" t="s">
        <v>3881</v>
      </c>
    </row>
    <row r="91" spans="1:46">
      <c r="A91" s="2">
        <v>1239</v>
      </c>
      <c r="B91" t="s">
        <v>3882</v>
      </c>
      <c r="C91" t="s">
        <v>2225</v>
      </c>
      <c r="D91" t="s">
        <v>3721</v>
      </c>
      <c r="E91" s="4">
        <v>43465</v>
      </c>
      <c r="F91" s="11">
        <v>-18.504200669999999</v>
      </c>
      <c r="G91" s="11">
        <v>144.43395708</v>
      </c>
      <c r="H91" s="11">
        <v>4.2976549544999996</v>
      </c>
      <c r="I91" s="11">
        <v>39.625705071799999</v>
      </c>
      <c r="J91" s="11">
        <v>11.6626401546</v>
      </c>
      <c r="K91" s="10">
        <v>0.377708237291</v>
      </c>
      <c r="L91" s="12">
        <v>12483835182.85</v>
      </c>
      <c r="M91">
        <v>89.504483215074004</v>
      </c>
      <c r="N91" s="7">
        <v>3.1684915127599398</v>
      </c>
      <c r="O91" s="7">
        <v>8.04774783144358</v>
      </c>
      <c r="P91" s="7">
        <v>38.441282980399798</v>
      </c>
      <c r="Q91" s="7">
        <v>0.17650025214321732</v>
      </c>
      <c r="U91">
        <v>0.30933566481703656</v>
      </c>
      <c r="AT91" s="4" t="s">
        <v>3883</v>
      </c>
    </row>
    <row r="92" spans="1:46">
      <c r="A92" s="2">
        <v>2021</v>
      </c>
      <c r="B92" t="s">
        <v>3884</v>
      </c>
      <c r="C92" t="s">
        <v>96</v>
      </c>
      <c r="D92" t="s">
        <v>3737</v>
      </c>
      <c r="E92" s="4">
        <v>43465</v>
      </c>
      <c r="F92" s="11">
        <v>179.78194803</v>
      </c>
      <c r="G92" s="11">
        <v>143.85131358000001</v>
      </c>
      <c r="H92" s="11">
        <v>73.694868731300005</v>
      </c>
      <c r="I92" s="11">
        <v>91.104520956900004</v>
      </c>
      <c r="J92" s="11">
        <v>21.601691214500001</v>
      </c>
      <c r="K92" s="10">
        <v>0.72718429901399995</v>
      </c>
      <c r="L92" s="12">
        <v>3350670000</v>
      </c>
      <c r="M92">
        <v>56.825943315630603</v>
      </c>
      <c r="N92" s="7">
        <v>12.863253948853499</v>
      </c>
      <c r="O92" s="7">
        <v>12.239106263728999</v>
      </c>
      <c r="P92" s="7">
        <v>91.103873121550805</v>
      </c>
      <c r="Q92" s="7">
        <v>0.32709668978149942</v>
      </c>
      <c r="U92">
        <v>0.6823016137504373</v>
      </c>
      <c r="AT92" s="4" t="s">
        <v>3885</v>
      </c>
    </row>
    <row r="93" spans="1:46">
      <c r="A93" s="2">
        <v>2074</v>
      </c>
      <c r="B93" t="s">
        <v>3886</v>
      </c>
      <c r="C93" t="s">
        <v>1324</v>
      </c>
      <c r="D93" t="s">
        <v>3752</v>
      </c>
      <c r="E93" s="4">
        <v>43465</v>
      </c>
      <c r="F93" s="11">
        <v>82.390337650000006</v>
      </c>
      <c r="G93" s="11">
        <v>143.72230428</v>
      </c>
      <c r="H93" s="11">
        <v>51.693369757600003</v>
      </c>
      <c r="I93" s="11">
        <v>28.597851508200002</v>
      </c>
      <c r="J93" s="11">
        <v>7.0013471441000004</v>
      </c>
      <c r="K93" s="10">
        <v>0.77198092382200001</v>
      </c>
      <c r="L93" s="12">
        <v>56643943688.900002</v>
      </c>
      <c r="M93">
        <v>45.479542841406499</v>
      </c>
      <c r="N93" s="7">
        <v>4.2226699303161004</v>
      </c>
      <c r="O93" s="7">
        <v>2.76856143327216</v>
      </c>
      <c r="P93" s="7">
        <v>-330.51907125126002</v>
      </c>
      <c r="Q93" s="7">
        <v>0.55248618784530379</v>
      </c>
      <c r="U93">
        <v>0.33163493951668943</v>
      </c>
      <c r="AT93" s="4" t="s">
        <v>3887</v>
      </c>
    </row>
    <row r="94" spans="1:46">
      <c r="A94" s="2">
        <v>1118</v>
      </c>
      <c r="B94" t="s">
        <v>3888</v>
      </c>
      <c r="C94" t="s">
        <v>2644</v>
      </c>
      <c r="D94" t="s">
        <v>3889</v>
      </c>
      <c r="E94" s="4">
        <v>43465</v>
      </c>
      <c r="F94" s="11">
        <v>382.95497169999999</v>
      </c>
      <c r="G94" s="11">
        <v>143.61111111</v>
      </c>
      <c r="H94" s="11">
        <v>54.715695361999998</v>
      </c>
      <c r="I94" s="11">
        <v>59.077157599400003</v>
      </c>
      <c r="J94" s="11">
        <v>18.484682844799998</v>
      </c>
      <c r="K94" s="10">
        <v>1.054443762265</v>
      </c>
      <c r="L94" s="12">
        <v>4874402521.5299997</v>
      </c>
      <c r="M94">
        <v>204.69846723256501</v>
      </c>
      <c r="N94" s="7">
        <v>2.06946205154996</v>
      </c>
      <c r="O94" s="7">
        <v>0.92233305520240805</v>
      </c>
      <c r="P94" s="7">
        <v>-16.6133132530586</v>
      </c>
      <c r="Q94" s="7">
        <v>1.2582056892778992</v>
      </c>
      <c r="U94">
        <v>1.4053844673833389</v>
      </c>
      <c r="AT94" s="4" t="s">
        <v>3890</v>
      </c>
    </row>
    <row r="95" spans="1:46">
      <c r="A95" s="2">
        <v>1513</v>
      </c>
      <c r="B95" t="s">
        <v>3891</v>
      </c>
      <c r="C95" t="s">
        <v>724</v>
      </c>
      <c r="D95" t="s">
        <v>3721</v>
      </c>
      <c r="E95" s="4">
        <v>43465</v>
      </c>
      <c r="F95" s="11">
        <v>36.842757110000001</v>
      </c>
      <c r="G95" s="11">
        <v>140.48192771000001</v>
      </c>
      <c r="H95" s="11">
        <v>-11.6634864257</v>
      </c>
      <c r="I95" s="11">
        <v>15.065020518700001</v>
      </c>
      <c r="J95" s="11">
        <v>7.5485410484999997</v>
      </c>
      <c r="K95" s="10">
        <v>1.14374865773</v>
      </c>
      <c r="L95" s="12">
        <v>110273101075.32001</v>
      </c>
      <c r="M95">
        <v>14.3378164115923</v>
      </c>
      <c r="N95" s="7">
        <v>2.08185599099459</v>
      </c>
      <c r="O95" s="7">
        <v>1.0314765124366401</v>
      </c>
      <c r="P95" s="7">
        <v>-96.494601383565197</v>
      </c>
      <c r="Q95" s="7">
        <v>1.6280064407209809</v>
      </c>
      <c r="U95">
        <v>0.30972538412571404</v>
      </c>
      <c r="AT95" s="4" t="s">
        <v>3892</v>
      </c>
    </row>
    <row r="96" spans="1:46">
      <c r="A96" s="2">
        <v>1753</v>
      </c>
      <c r="B96" t="s">
        <v>3893</v>
      </c>
      <c r="C96" t="s">
        <v>2772</v>
      </c>
      <c r="D96" t="s">
        <v>3718</v>
      </c>
      <c r="E96" s="4">
        <v>43465</v>
      </c>
      <c r="F96" s="11">
        <v>52.998823510000001</v>
      </c>
      <c r="G96" s="11">
        <v>140.22801303</v>
      </c>
      <c r="H96" s="11">
        <v>21.593935807000001</v>
      </c>
      <c r="I96" s="11">
        <v>23.315680132000001</v>
      </c>
      <c r="J96" s="11">
        <v>4.0190950655000002</v>
      </c>
      <c r="K96" s="10">
        <v>0.56588303417100005</v>
      </c>
      <c r="L96" s="12">
        <v>23743975835.060001</v>
      </c>
      <c r="M96">
        <v>58.762623890728101</v>
      </c>
      <c r="N96" s="7">
        <v>2.65574643546331</v>
      </c>
      <c r="O96" s="7">
        <v>2.9990461618453201</v>
      </c>
      <c r="P96" s="7">
        <v>-23.453846398787999</v>
      </c>
      <c r="Q96" s="7">
        <v>0.41220115416323161</v>
      </c>
      <c r="U96">
        <v>0.11776000889888469</v>
      </c>
      <c r="AT96" s="4" t="s">
        <v>3894</v>
      </c>
    </row>
    <row r="97" spans="1:46">
      <c r="A97" s="2">
        <v>3204</v>
      </c>
      <c r="B97" t="s">
        <v>3895</v>
      </c>
      <c r="C97" t="s">
        <v>2616</v>
      </c>
      <c r="D97" t="s">
        <v>3721</v>
      </c>
      <c r="E97" s="4">
        <v>43465</v>
      </c>
      <c r="F97" s="11">
        <v>12.36559003</v>
      </c>
      <c r="G97" s="11">
        <v>139.76857491000001</v>
      </c>
      <c r="H97" s="11">
        <v>-9.9471905001999996</v>
      </c>
      <c r="I97" s="11">
        <v>27.935101901100001</v>
      </c>
      <c r="J97" s="11">
        <v>12.561033270299999</v>
      </c>
      <c r="K97" s="10">
        <v>0.25811699196100002</v>
      </c>
      <c r="L97" s="12">
        <v>6784562576</v>
      </c>
      <c r="M97">
        <v>99.035512010418302</v>
      </c>
      <c r="N97" s="7">
        <v>2.0418370762756499</v>
      </c>
      <c r="O97" s="7">
        <v>6.4024080822613101</v>
      </c>
      <c r="P97" s="7">
        <v>236.184077796672</v>
      </c>
      <c r="Q97" s="7">
        <v>0.23791762088603002</v>
      </c>
      <c r="U97">
        <v>0.30370301891881807</v>
      </c>
      <c r="AT97" s="4" t="s">
        <v>3896</v>
      </c>
    </row>
    <row r="98" spans="1:46">
      <c r="A98" s="2">
        <v>3115</v>
      </c>
      <c r="B98" t="s">
        <v>3897</v>
      </c>
      <c r="C98" t="s">
        <v>3031</v>
      </c>
      <c r="D98" t="s">
        <v>3713</v>
      </c>
      <c r="E98" s="4">
        <v>43465</v>
      </c>
      <c r="F98" s="11">
        <v>59.072580649999999</v>
      </c>
      <c r="G98" s="11">
        <v>139.52095808000001</v>
      </c>
      <c r="H98" s="11">
        <v>-6.9877046184999996</v>
      </c>
      <c r="I98" s="11">
        <v>58.067953404800001</v>
      </c>
      <c r="J98" s="11">
        <v>18.245794765799999</v>
      </c>
      <c r="K98" s="10">
        <v>0.29442164184500003</v>
      </c>
      <c r="L98" s="12">
        <v>9044776937.8999996</v>
      </c>
      <c r="M98">
        <v>-568.42613862149199</v>
      </c>
      <c r="N98" s="7">
        <v>5.7913803334401699</v>
      </c>
      <c r="O98" s="7">
        <v>11.4187342449918</v>
      </c>
      <c r="P98" s="7">
        <v>-27.469461067723099</v>
      </c>
      <c r="Q98" s="7" t="s">
        <v>3698</v>
      </c>
      <c r="U98">
        <v>5.4491822790159482E-2</v>
      </c>
      <c r="AT98" s="4" t="s">
        <v>3898</v>
      </c>
    </row>
    <row r="99" spans="1:46">
      <c r="A99" s="2">
        <v>2242</v>
      </c>
      <c r="B99" t="s">
        <v>3899</v>
      </c>
      <c r="C99" t="s">
        <v>3342</v>
      </c>
      <c r="D99" t="s">
        <v>3871</v>
      </c>
      <c r="E99" s="4">
        <v>43465</v>
      </c>
      <c r="F99" s="11">
        <v>59.343425019999998</v>
      </c>
      <c r="G99" s="11">
        <v>139.41018767</v>
      </c>
      <c r="H99" s="11">
        <v>34.5237830007</v>
      </c>
      <c r="I99" s="11">
        <v>32.644784296799997</v>
      </c>
      <c r="J99" s="11">
        <v>5.9700556379999998</v>
      </c>
      <c r="K99" s="10">
        <v>0.28568122624699999</v>
      </c>
      <c r="L99" s="12">
        <v>15682953000</v>
      </c>
      <c r="M99">
        <v>98.128342542007999</v>
      </c>
      <c r="N99" s="7">
        <v>1.81029342893903</v>
      </c>
      <c r="O99" s="7">
        <v>5.7513816035737104</v>
      </c>
      <c r="P99" s="7">
        <v>-47.429610753473298</v>
      </c>
      <c r="Q99" s="7">
        <v>0.17218543046357618</v>
      </c>
      <c r="U99">
        <v>4.1899117421376274E-2</v>
      </c>
      <c r="AT99" s="4" t="s">
        <v>3900</v>
      </c>
    </row>
    <row r="100" spans="1:46">
      <c r="A100" s="2">
        <v>906</v>
      </c>
      <c r="B100" t="s">
        <v>3901</v>
      </c>
      <c r="C100" t="s">
        <v>2880</v>
      </c>
      <c r="D100" t="s">
        <v>3752</v>
      </c>
      <c r="E100" s="4">
        <v>43465</v>
      </c>
      <c r="F100" s="11">
        <v>115.37545286</v>
      </c>
      <c r="G100" s="11">
        <v>139.38832252</v>
      </c>
      <c r="H100" s="11">
        <v>9.5969469898999993</v>
      </c>
      <c r="I100" s="11">
        <v>10.8086601579</v>
      </c>
      <c r="J100" s="11">
        <v>2.5722898105000001</v>
      </c>
      <c r="K100" s="10">
        <v>1.075109881315</v>
      </c>
      <c r="L100" s="12">
        <v>3547608208.3000002</v>
      </c>
      <c r="M100">
        <v>132.62231369812699</v>
      </c>
      <c r="N100" s="7">
        <v>2.2490383818077202</v>
      </c>
      <c r="O100" s="7">
        <v>1.4353128257305801</v>
      </c>
      <c r="P100" s="7">
        <v>-6235.9477532115598</v>
      </c>
      <c r="Q100" s="7">
        <v>0.80128205128205121</v>
      </c>
      <c r="U100">
        <v>0.12437626830195855</v>
      </c>
      <c r="AT100" s="4" t="s">
        <v>3902</v>
      </c>
    </row>
    <row r="101" spans="1:46">
      <c r="A101" s="2">
        <v>667</v>
      </c>
      <c r="B101" t="s">
        <v>3903</v>
      </c>
      <c r="C101" t="s">
        <v>2590</v>
      </c>
      <c r="D101" t="s">
        <v>3721</v>
      </c>
      <c r="E101" s="4">
        <v>43465</v>
      </c>
      <c r="F101" s="11">
        <v>25.018243210000001</v>
      </c>
      <c r="G101" s="11">
        <v>135.48387097</v>
      </c>
      <c r="H101" s="11">
        <v>10.792764057299999</v>
      </c>
      <c r="I101" s="11">
        <v>15.9043382919</v>
      </c>
      <c r="J101" s="11">
        <v>2.1187086971000002</v>
      </c>
      <c r="K101" s="10">
        <v>0.55316279695799997</v>
      </c>
      <c r="L101" s="12">
        <v>4613194800</v>
      </c>
      <c r="M101">
        <v>107.887973487446</v>
      </c>
      <c r="N101" s="7">
        <v>1.6228495937478</v>
      </c>
      <c r="O101" s="7">
        <v>1.1508719702124699</v>
      </c>
      <c r="P101" s="7">
        <v>13541.6622328911</v>
      </c>
      <c r="Q101" s="7">
        <v>0.29389017788089716</v>
      </c>
      <c r="U101">
        <v>0.11002778643751444</v>
      </c>
      <c r="AT101" s="4" t="s">
        <v>3904</v>
      </c>
    </row>
    <row r="102" spans="1:46">
      <c r="A102" s="2">
        <v>882</v>
      </c>
      <c r="B102" t="s">
        <v>3905</v>
      </c>
      <c r="C102" t="s">
        <v>2712</v>
      </c>
      <c r="D102" t="s">
        <v>3721</v>
      </c>
      <c r="E102" s="4">
        <v>43465</v>
      </c>
      <c r="F102" s="11">
        <v>112.64186209</v>
      </c>
      <c r="G102" s="11">
        <v>134.66631355999999</v>
      </c>
      <c r="H102" s="11">
        <v>49.533171595600002</v>
      </c>
      <c r="I102" s="11">
        <v>38.375533269899996</v>
      </c>
      <c r="J102" s="11">
        <v>8.5096686069</v>
      </c>
      <c r="K102" s="10">
        <v>0.36632752553800002</v>
      </c>
      <c r="L102" s="12">
        <v>18978440209.400002</v>
      </c>
      <c r="M102">
        <v>234.43336158213501</v>
      </c>
      <c r="N102" s="7">
        <v>4.8995371739653697</v>
      </c>
      <c r="O102" s="7">
        <v>6.2337801762655696</v>
      </c>
      <c r="P102" s="7">
        <v>40.735078456769799</v>
      </c>
      <c r="Q102" s="7">
        <v>6.207221847554991E-2</v>
      </c>
      <c r="U102">
        <v>0.51023907009778502</v>
      </c>
      <c r="AT102" s="4" t="s">
        <v>3906</v>
      </c>
    </row>
    <row r="103" spans="1:46">
      <c r="A103" s="2">
        <v>1728</v>
      </c>
      <c r="B103" t="s">
        <v>3907</v>
      </c>
      <c r="C103" t="s">
        <v>1372</v>
      </c>
      <c r="D103" t="s">
        <v>3721</v>
      </c>
      <c r="E103" s="4">
        <v>43465</v>
      </c>
      <c r="F103" s="11">
        <v>59.483372340000003</v>
      </c>
      <c r="G103" s="11">
        <v>133.6882239</v>
      </c>
      <c r="H103" s="11">
        <v>14.105347264200001</v>
      </c>
      <c r="I103" s="11">
        <v>21.8626377555</v>
      </c>
      <c r="J103" s="11">
        <v>6.5205374082000001</v>
      </c>
      <c r="K103" s="10">
        <v>0.71385403250000001</v>
      </c>
      <c r="L103" s="12">
        <v>43176916024</v>
      </c>
      <c r="M103">
        <v>59.142456032586601</v>
      </c>
      <c r="N103" s="7">
        <v>1.62392789715444</v>
      </c>
      <c r="O103" s="7">
        <v>1.3033333947961701</v>
      </c>
      <c r="P103" s="7">
        <v>-102.037567095885</v>
      </c>
      <c r="Q103" s="7">
        <v>1.2040104706891426</v>
      </c>
      <c r="U103">
        <v>0.12556869588015757</v>
      </c>
      <c r="AT103" s="4" t="s">
        <v>3908</v>
      </c>
    </row>
    <row r="104" spans="1:46">
      <c r="A104" s="2">
        <v>2119</v>
      </c>
      <c r="B104" t="s">
        <v>3909</v>
      </c>
      <c r="C104" t="s">
        <v>1705</v>
      </c>
      <c r="D104" t="s">
        <v>3737</v>
      </c>
      <c r="E104" s="4">
        <v>43465</v>
      </c>
      <c r="F104" s="11">
        <v>83.322098199999999</v>
      </c>
      <c r="G104" s="11">
        <v>132.95194508</v>
      </c>
      <c r="H104" s="11">
        <v>23.451788610000001</v>
      </c>
      <c r="I104" s="11">
        <v>40.266254362300003</v>
      </c>
      <c r="J104" s="11">
        <v>11.1565657909</v>
      </c>
      <c r="K104" s="10">
        <v>0.61949536093699997</v>
      </c>
      <c r="L104" s="12">
        <v>7173151095.9899998</v>
      </c>
      <c r="M104">
        <v>42.964605814516503</v>
      </c>
      <c r="N104" s="7">
        <v>2.7495204855961801</v>
      </c>
      <c r="O104" s="7">
        <v>3.0383368702497102</v>
      </c>
      <c r="P104" s="7">
        <v>-8.2224652229774993</v>
      </c>
      <c r="Q104" s="7">
        <v>0.29856687898089168</v>
      </c>
      <c r="U104">
        <v>0.89915755705928824</v>
      </c>
      <c r="AT104" s="4" t="s">
        <v>3910</v>
      </c>
    </row>
    <row r="105" spans="1:46">
      <c r="A105" s="2">
        <v>2998</v>
      </c>
      <c r="B105" t="s">
        <v>3911</v>
      </c>
      <c r="C105" t="s">
        <v>3267</v>
      </c>
      <c r="D105" t="s">
        <v>3781</v>
      </c>
      <c r="E105" s="4">
        <v>43465</v>
      </c>
      <c r="F105" s="11">
        <v>43.143050770000002</v>
      </c>
      <c r="G105" s="11">
        <v>132.24852071000001</v>
      </c>
      <c r="H105" s="11">
        <v>18.408962600799999</v>
      </c>
      <c r="I105" s="11">
        <v>3.3904156451</v>
      </c>
      <c r="J105" s="11">
        <v>-1.8326689976999999</v>
      </c>
      <c r="K105" s="10">
        <v>1.2106248250780001</v>
      </c>
      <c r="L105" s="12">
        <v>9133829906.8799992</v>
      </c>
      <c r="M105">
        <v>-33.700346603617398</v>
      </c>
      <c r="N105" s="7">
        <v>2.00130595585847</v>
      </c>
      <c r="O105" s="7">
        <v>1.34325470084084</v>
      </c>
      <c r="P105" s="7">
        <v>-1128.17912742211</v>
      </c>
      <c r="Q105" s="7" t="s">
        <v>3698</v>
      </c>
      <c r="U105">
        <v>-5.490982769779848E-2</v>
      </c>
      <c r="AT105" s="4" t="s">
        <v>3912</v>
      </c>
    </row>
    <row r="106" spans="1:46">
      <c r="A106" s="2">
        <v>2885</v>
      </c>
      <c r="B106" t="s">
        <v>3913</v>
      </c>
      <c r="C106" t="s">
        <v>2678</v>
      </c>
      <c r="D106" t="s">
        <v>3737</v>
      </c>
      <c r="E106" s="4">
        <v>43465</v>
      </c>
      <c r="F106" s="11">
        <v>101.03290883</v>
      </c>
      <c r="G106" s="11">
        <v>132</v>
      </c>
      <c r="H106" s="11">
        <v>19.517831365399999</v>
      </c>
      <c r="I106" s="11">
        <v>42.188075532299997</v>
      </c>
      <c r="J106" s="11">
        <v>1.5825947695</v>
      </c>
      <c r="K106" s="10">
        <v>0.52547575293600002</v>
      </c>
      <c r="L106" s="12">
        <v>5247511695.3599997</v>
      </c>
      <c r="M106">
        <v>290.42912343069901</v>
      </c>
      <c r="N106" s="7">
        <v>1.1993133781410801</v>
      </c>
      <c r="O106" s="7">
        <v>0.71755292697837703</v>
      </c>
      <c r="P106" s="7">
        <v>-237.675051779824</v>
      </c>
      <c r="Q106" s="7">
        <v>0.41958041958041958</v>
      </c>
      <c r="U106">
        <v>9.237551078992487E-2</v>
      </c>
      <c r="AT106" s="4" t="s">
        <v>3914</v>
      </c>
    </row>
    <row r="107" spans="1:46">
      <c r="A107" s="2">
        <v>1632</v>
      </c>
      <c r="B107" t="s">
        <v>3915</v>
      </c>
      <c r="C107" t="s">
        <v>541</v>
      </c>
      <c r="D107" t="s">
        <v>3721</v>
      </c>
      <c r="E107" s="4">
        <v>43465</v>
      </c>
      <c r="F107" s="11">
        <v>105.96328167</v>
      </c>
      <c r="G107" s="11">
        <v>131.66472643</v>
      </c>
      <c r="H107" s="11">
        <v>44.809341359699999</v>
      </c>
      <c r="I107" s="11">
        <v>14.8348914012</v>
      </c>
      <c r="J107" s="11">
        <v>3.4705914054</v>
      </c>
      <c r="K107" s="10">
        <v>1.2817311646339999</v>
      </c>
      <c r="L107" s="12">
        <v>16047118533.360001</v>
      </c>
      <c r="M107">
        <v>25.441329329088301</v>
      </c>
      <c r="N107" s="7">
        <v>2.5143963769393198</v>
      </c>
      <c r="O107" s="7">
        <v>0.73400629121489602</v>
      </c>
      <c r="P107" s="7">
        <v>36.416667684331898</v>
      </c>
      <c r="Q107" s="7">
        <v>0.74017245304496293</v>
      </c>
      <c r="U107">
        <v>0.45317658410414013</v>
      </c>
      <c r="AT107" s="4" t="s">
        <v>3916</v>
      </c>
    </row>
    <row r="108" spans="1:46">
      <c r="A108" s="2">
        <v>3384</v>
      </c>
      <c r="B108" t="s">
        <v>3917</v>
      </c>
      <c r="C108" t="s">
        <v>99</v>
      </c>
      <c r="D108" t="s">
        <v>3785</v>
      </c>
      <c r="E108" s="4">
        <v>43465</v>
      </c>
      <c r="F108" s="11">
        <v>116.21609239</v>
      </c>
      <c r="G108" s="11">
        <v>128.65725936000001</v>
      </c>
      <c r="H108" s="11">
        <v>26.550475154000001</v>
      </c>
      <c r="I108" s="11">
        <v>72.871148356500001</v>
      </c>
      <c r="J108" s="11">
        <v>30.801120480800002</v>
      </c>
      <c r="K108" s="10">
        <v>0.47320827876100002</v>
      </c>
      <c r="L108" s="12">
        <v>30212044864</v>
      </c>
      <c r="M108">
        <v>16.292353202332599</v>
      </c>
      <c r="N108" s="7">
        <v>2.9825590115303</v>
      </c>
      <c r="O108" s="7">
        <v>4.8818735322795499</v>
      </c>
      <c r="P108" s="7">
        <v>-105.529499140025</v>
      </c>
      <c r="Q108" s="7">
        <v>1.0934393638170974</v>
      </c>
      <c r="T108" s="2"/>
      <c r="U108">
        <v>0.91726638742128341</v>
      </c>
      <c r="AT108" s="4" t="s">
        <v>3918</v>
      </c>
    </row>
    <row r="109" spans="1:46">
      <c r="A109" s="2">
        <v>2057</v>
      </c>
      <c r="B109" t="s">
        <v>3919</v>
      </c>
      <c r="C109" t="s">
        <v>1520</v>
      </c>
      <c r="D109" t="s">
        <v>3713</v>
      </c>
      <c r="E109" s="4">
        <v>43465</v>
      </c>
      <c r="F109" s="11">
        <v>110.38337657</v>
      </c>
      <c r="G109" s="11">
        <v>128.34360275</v>
      </c>
      <c r="H109" s="11">
        <v>121.74527930310001</v>
      </c>
      <c r="I109" s="11">
        <v>23.194428974099999</v>
      </c>
      <c r="J109" s="11">
        <v>6.9487496289999999</v>
      </c>
      <c r="K109" s="10">
        <v>1.5448116227899999</v>
      </c>
      <c r="L109" s="12">
        <v>41047240000</v>
      </c>
      <c r="M109">
        <v>47.123757066570199</v>
      </c>
      <c r="N109" s="7">
        <v>7.7106060400284901</v>
      </c>
      <c r="O109" s="7">
        <v>3.0014369754874002</v>
      </c>
      <c r="P109" s="7">
        <v>40.6351255787432</v>
      </c>
      <c r="Q109" s="7">
        <v>0.38424843840988482</v>
      </c>
      <c r="U109">
        <v>0.71621346611810022</v>
      </c>
      <c r="AT109" s="4" t="s">
        <v>3920</v>
      </c>
    </row>
    <row r="110" spans="1:46">
      <c r="A110" s="2">
        <v>1194</v>
      </c>
      <c r="B110" t="s">
        <v>3921</v>
      </c>
      <c r="C110" t="s">
        <v>2852</v>
      </c>
      <c r="D110" t="s">
        <v>3718</v>
      </c>
      <c r="E110" s="4">
        <v>43465</v>
      </c>
      <c r="F110" s="11">
        <v>161.9773472</v>
      </c>
      <c r="G110" s="11">
        <v>126.9744836</v>
      </c>
      <c r="H110" s="11">
        <v>14.9261484978</v>
      </c>
      <c r="I110" s="11">
        <v>21.468331399099998</v>
      </c>
      <c r="J110" s="11">
        <v>5.7847565181</v>
      </c>
      <c r="K110" s="10">
        <v>0.70612942498800002</v>
      </c>
      <c r="L110" s="12">
        <v>8415857653.5</v>
      </c>
      <c r="M110">
        <v>28.597699985071898</v>
      </c>
      <c r="N110" s="7">
        <v>2.7939565744390902</v>
      </c>
      <c r="O110" s="7">
        <v>1.2723735567594801</v>
      </c>
      <c r="P110" s="7">
        <v>-42.449781988086201</v>
      </c>
      <c r="Q110" s="7">
        <v>1.0980966325036601</v>
      </c>
      <c r="U110">
        <v>0.30269829764890077</v>
      </c>
      <c r="AT110" s="4" t="s">
        <v>3922</v>
      </c>
    </row>
    <row r="111" spans="1:46">
      <c r="A111" s="2">
        <v>1438</v>
      </c>
      <c r="B111" t="s">
        <v>3923</v>
      </c>
      <c r="C111" t="s">
        <v>3371</v>
      </c>
      <c r="D111" t="s">
        <v>3832</v>
      </c>
      <c r="E111" s="4">
        <v>43465</v>
      </c>
      <c r="F111" s="11">
        <v>236.74432207000001</v>
      </c>
      <c r="G111" s="11">
        <v>126.87022901</v>
      </c>
      <c r="H111" s="11">
        <v>26.5622979951</v>
      </c>
      <c r="I111" s="11">
        <v>44.7989263471</v>
      </c>
      <c r="J111" s="11">
        <v>10.5401358413</v>
      </c>
      <c r="K111" s="10">
        <v>0.70774529430499999</v>
      </c>
      <c r="L111" s="12">
        <v>13329003726.35</v>
      </c>
      <c r="M111">
        <v>84.825801796611103</v>
      </c>
      <c r="N111" s="7">
        <v>4.26423059778827</v>
      </c>
      <c r="O111" s="7">
        <v>4.2768811869205896</v>
      </c>
      <c r="P111" s="7">
        <v>-1019.01401882762</v>
      </c>
      <c r="Q111" s="7">
        <v>0.25773195876288657</v>
      </c>
      <c r="U111">
        <v>0.16288306246734199</v>
      </c>
      <c r="AT111" s="4" t="s">
        <v>3770</v>
      </c>
    </row>
    <row r="112" spans="1:46">
      <c r="A112" s="2">
        <v>1974</v>
      </c>
      <c r="B112" t="s">
        <v>3924</v>
      </c>
      <c r="C112" t="s">
        <v>3544</v>
      </c>
      <c r="D112" t="s">
        <v>3718</v>
      </c>
      <c r="E112" s="4">
        <v>43465</v>
      </c>
      <c r="F112" s="11">
        <v>58.668518570000003</v>
      </c>
      <c r="G112" s="11">
        <v>126.24113475</v>
      </c>
      <c r="H112" s="11">
        <v>10.101849920599999</v>
      </c>
      <c r="I112" s="11">
        <v>47.725894700700003</v>
      </c>
      <c r="J112" s="11">
        <v>4.8144843575999996</v>
      </c>
      <c r="K112" s="10">
        <v>0.36043921155600001</v>
      </c>
      <c r="L112" s="12">
        <v>24713782945.740002</v>
      </c>
      <c r="M112">
        <v>259.67060351885601</v>
      </c>
      <c r="N112" s="7">
        <v>2.3297978088541398</v>
      </c>
      <c r="O112" s="7">
        <v>5.6573152054270599</v>
      </c>
      <c r="P112" s="7">
        <v>162.11103408310299</v>
      </c>
      <c r="Q112" s="7">
        <v>9.3619070436032584E-2</v>
      </c>
      <c r="U112">
        <v>0.11499760468920392</v>
      </c>
      <c r="AT112" s="4" t="s">
        <v>3925</v>
      </c>
    </row>
    <row r="113" spans="1:46">
      <c r="A113" s="2">
        <v>358</v>
      </c>
      <c r="B113" t="s">
        <v>3926</v>
      </c>
      <c r="C113" t="s">
        <v>780</v>
      </c>
      <c r="D113" t="s">
        <v>3785</v>
      </c>
      <c r="E113" s="4">
        <v>43465</v>
      </c>
      <c r="F113" s="11">
        <v>32.356363600000002</v>
      </c>
      <c r="G113" s="11">
        <v>125.75507406</v>
      </c>
      <c r="H113" s="11">
        <v>35.129396224799997</v>
      </c>
      <c r="I113" s="11">
        <v>78.834250674800003</v>
      </c>
      <c r="J113" s="11">
        <v>18.7616367848</v>
      </c>
      <c r="K113" s="10">
        <v>0.438629104198</v>
      </c>
      <c r="L113" s="12">
        <v>3161804800</v>
      </c>
      <c r="M113">
        <v>25.420818726525699</v>
      </c>
      <c r="N113" s="7">
        <v>2.3822205144594601</v>
      </c>
      <c r="O113" s="7">
        <v>4.7769276855666103</v>
      </c>
      <c r="P113" s="7">
        <v>13.007023866575301</v>
      </c>
      <c r="Q113" s="7">
        <v>0.39609189331925004</v>
      </c>
      <c r="U113">
        <v>0.68531543572998621</v>
      </c>
      <c r="AT113" s="4" t="s">
        <v>3927</v>
      </c>
    </row>
    <row r="114" spans="1:46">
      <c r="A114" s="2">
        <v>1770</v>
      </c>
      <c r="B114" t="s">
        <v>3928</v>
      </c>
      <c r="C114" t="s">
        <v>3076</v>
      </c>
      <c r="D114" t="s">
        <v>3718</v>
      </c>
      <c r="E114" s="4">
        <v>43465</v>
      </c>
      <c r="F114" s="11">
        <v>16.566265059999999</v>
      </c>
      <c r="G114" s="11">
        <v>125.57471264</v>
      </c>
      <c r="H114" s="11">
        <v>-30.8106524606</v>
      </c>
      <c r="I114" s="11">
        <v>5.8647590442000004</v>
      </c>
      <c r="J114" s="11">
        <v>-285.16375796459999</v>
      </c>
      <c r="K114" s="10">
        <v>0.12706333913599999</v>
      </c>
      <c r="L114" s="12">
        <v>11648703933</v>
      </c>
      <c r="M114">
        <v>-14.807438327939799</v>
      </c>
      <c r="N114" s="7">
        <v>3.4392809982269501</v>
      </c>
      <c r="O114" s="7">
        <v>12.9134327647579</v>
      </c>
      <c r="P114" s="7">
        <v>-20.068008799712601</v>
      </c>
      <c r="Q114" s="7" t="s">
        <v>3698</v>
      </c>
      <c r="U114">
        <v>-0.6462127299408591</v>
      </c>
      <c r="AT114" s="4" t="s">
        <v>3929</v>
      </c>
    </row>
    <row r="115" spans="1:46">
      <c r="A115" s="2">
        <v>3580</v>
      </c>
      <c r="B115" t="s">
        <v>3930</v>
      </c>
      <c r="C115" t="s">
        <v>2634</v>
      </c>
      <c r="D115" t="s">
        <v>3737</v>
      </c>
      <c r="E115" s="4">
        <v>43465</v>
      </c>
      <c r="F115" s="11">
        <v>62.919398770000001</v>
      </c>
      <c r="G115" s="11">
        <v>125.08976661</v>
      </c>
      <c r="H115" s="11">
        <v>19.345721552000001</v>
      </c>
      <c r="I115" s="11">
        <v>38.832597846500001</v>
      </c>
      <c r="J115" s="11">
        <v>5.6437473922999999</v>
      </c>
      <c r="K115" s="10">
        <v>1.2434630347390001</v>
      </c>
      <c r="L115" s="12">
        <v>3415627038.4200001</v>
      </c>
      <c r="M115">
        <v>65.107960182551807</v>
      </c>
      <c r="N115" s="7">
        <v>5.39208105967582</v>
      </c>
      <c r="O115" s="7">
        <v>2.36739666999856</v>
      </c>
      <c r="P115" s="7">
        <v>-176.465427276946</v>
      </c>
      <c r="Q115" s="7">
        <v>0.22222222222222227</v>
      </c>
      <c r="U115">
        <v>0.50956380221122843</v>
      </c>
      <c r="AT115" s="4" t="s">
        <v>3931</v>
      </c>
    </row>
    <row r="116" spans="1:46">
      <c r="A116" s="2">
        <v>2007</v>
      </c>
      <c r="B116" t="s">
        <v>3932</v>
      </c>
      <c r="C116" t="s">
        <v>1385</v>
      </c>
      <c r="D116" t="s">
        <v>3752</v>
      </c>
      <c r="E116" s="4">
        <v>43465</v>
      </c>
      <c r="F116" s="11">
        <v>107.9314471</v>
      </c>
      <c r="G116" s="11">
        <v>124.83091786999999</v>
      </c>
      <c r="H116" s="11">
        <v>25.762045525400001</v>
      </c>
      <c r="I116" s="11">
        <v>20.838930185500001</v>
      </c>
      <c r="J116" s="11">
        <v>10.843574669600001</v>
      </c>
      <c r="K116" s="10">
        <v>0.65657211209099997</v>
      </c>
      <c r="L116" s="12">
        <v>23452848033.939999</v>
      </c>
      <c r="M116">
        <v>54.714418484794599</v>
      </c>
      <c r="N116" s="7">
        <v>4.1098943317085297</v>
      </c>
      <c r="O116" s="7">
        <v>4.4454887478154799</v>
      </c>
      <c r="P116" s="7">
        <v>15.787093907248799</v>
      </c>
      <c r="Q116" s="7" t="s">
        <v>3698</v>
      </c>
      <c r="U116">
        <v>0.26373290870833332</v>
      </c>
      <c r="AT116" s="4" t="s">
        <v>3933</v>
      </c>
    </row>
    <row r="117" spans="1:46">
      <c r="A117" s="2">
        <v>574</v>
      </c>
      <c r="B117" t="s">
        <v>3934</v>
      </c>
      <c r="C117" t="s">
        <v>2855</v>
      </c>
      <c r="D117" t="s">
        <v>3713</v>
      </c>
      <c r="E117" s="4">
        <v>43465</v>
      </c>
      <c r="F117" s="11">
        <v>60.628555509999998</v>
      </c>
      <c r="G117" s="11">
        <v>123.67378033999999</v>
      </c>
      <c r="H117" s="11">
        <v>8.4055275348999992</v>
      </c>
      <c r="I117" s="11">
        <v>65.986909868200001</v>
      </c>
      <c r="J117" s="11">
        <v>14.6781679654</v>
      </c>
      <c r="K117" s="10">
        <v>0.49277862335400002</v>
      </c>
      <c r="L117" s="12">
        <v>5100000000</v>
      </c>
      <c r="M117">
        <v>28.905282336943699</v>
      </c>
      <c r="N117" s="7">
        <v>2.0773787828685202</v>
      </c>
      <c r="O117" s="7">
        <v>3.7397150332009899</v>
      </c>
      <c r="P117" s="7">
        <v>-891.23754852835202</v>
      </c>
      <c r="Q117" s="7">
        <v>0.46040515653775327</v>
      </c>
      <c r="U117">
        <v>0.22921462968358711</v>
      </c>
      <c r="AT117" s="4" t="s">
        <v>3935</v>
      </c>
    </row>
    <row r="118" spans="1:46">
      <c r="A118" s="2">
        <v>3155</v>
      </c>
      <c r="B118" t="s">
        <v>3936</v>
      </c>
      <c r="C118" t="s">
        <v>3502</v>
      </c>
      <c r="D118" t="s">
        <v>3778</v>
      </c>
      <c r="E118" s="4">
        <v>43465</v>
      </c>
      <c r="F118" s="11">
        <v>84.234014819999999</v>
      </c>
      <c r="G118" s="11">
        <v>123.41920374999999</v>
      </c>
      <c r="H118" s="11">
        <v>25.288404493400002</v>
      </c>
      <c r="I118" s="11">
        <v>10.9460137205</v>
      </c>
      <c r="J118" s="11">
        <v>0.40404846729999999</v>
      </c>
      <c r="K118" s="10">
        <v>0.295479274806</v>
      </c>
      <c r="L118" s="12">
        <v>10223927551.9</v>
      </c>
      <c r="M118">
        <v>-54.918323018867902</v>
      </c>
      <c r="N118" s="7">
        <v>1.18011995822964</v>
      </c>
      <c r="O118" s="7">
        <v>2.1028292561319399</v>
      </c>
      <c r="P118" s="7">
        <v>-187.487512019278</v>
      </c>
      <c r="Q118" s="7">
        <v>0.41966426858513178</v>
      </c>
      <c r="U118">
        <v>1.4838302185098809E-2</v>
      </c>
      <c r="AT118" s="4" t="s">
        <v>3937</v>
      </c>
    </row>
    <row r="119" spans="1:46">
      <c r="A119" s="2">
        <v>1035</v>
      </c>
      <c r="B119" t="s">
        <v>3938</v>
      </c>
      <c r="C119" t="s">
        <v>3465</v>
      </c>
      <c r="D119" t="s">
        <v>3737</v>
      </c>
      <c r="E119" s="4">
        <v>43465</v>
      </c>
      <c r="F119" s="11">
        <v>64.094488190000007</v>
      </c>
      <c r="G119" s="11">
        <v>122.87581699</v>
      </c>
      <c r="H119" s="11">
        <v>112.14850120209999</v>
      </c>
      <c r="I119" s="11">
        <v>29.258847402499999</v>
      </c>
      <c r="J119" s="11">
        <v>-4.2823886479000004</v>
      </c>
      <c r="K119" s="10">
        <v>0.54084275351199995</v>
      </c>
      <c r="L119" s="12">
        <v>91614566400</v>
      </c>
      <c r="M119">
        <v>-395.37884048493902</v>
      </c>
      <c r="N119" s="7">
        <v>12.1080262676558</v>
      </c>
      <c r="O119" s="7">
        <v>2.4774499032900699</v>
      </c>
      <c r="P119" s="7">
        <v>17.840864285700501</v>
      </c>
      <c r="Q119" s="7" t="s">
        <v>3698</v>
      </c>
      <c r="U119">
        <v>-0.14865141717368707</v>
      </c>
      <c r="AT119" s="4" t="s">
        <v>3939</v>
      </c>
    </row>
    <row r="120" spans="1:46">
      <c r="A120" s="2">
        <v>1259</v>
      </c>
      <c r="B120" t="s">
        <v>3940</v>
      </c>
      <c r="C120" t="s">
        <v>2121</v>
      </c>
      <c r="D120" t="s">
        <v>3737</v>
      </c>
      <c r="E120" s="4">
        <v>43465</v>
      </c>
      <c r="F120" s="11">
        <v>35.189075459999998</v>
      </c>
      <c r="G120" s="11">
        <v>122.32142856999999</v>
      </c>
      <c r="H120" s="11">
        <v>10.358837936400001</v>
      </c>
      <c r="I120" s="11">
        <v>90.134796277099994</v>
      </c>
      <c r="J120" s="11">
        <v>4.1155841378</v>
      </c>
      <c r="K120" s="10">
        <v>0.42725000853200001</v>
      </c>
      <c r="L120" s="12">
        <v>5373902338.2200003</v>
      </c>
      <c r="M120">
        <v>-666.39335862894495</v>
      </c>
      <c r="N120" s="7">
        <v>3.4643439124438999</v>
      </c>
      <c r="O120" s="7">
        <v>6.5750437048890804</v>
      </c>
      <c r="P120" s="7">
        <v>-147.010006040598</v>
      </c>
      <c r="Q120" s="7" t="s">
        <v>3698</v>
      </c>
      <c r="U120">
        <v>3.4631968489388265E-2</v>
      </c>
      <c r="AT120" s="4" t="s">
        <v>3941</v>
      </c>
    </row>
    <row r="121" spans="1:46">
      <c r="A121" s="2">
        <v>1777</v>
      </c>
      <c r="B121" t="s">
        <v>3942</v>
      </c>
      <c r="C121" t="s">
        <v>3060</v>
      </c>
      <c r="D121" t="s">
        <v>3713</v>
      </c>
      <c r="E121" s="4">
        <v>43465</v>
      </c>
      <c r="F121" s="11">
        <v>83.870274780000003</v>
      </c>
      <c r="G121" s="11">
        <v>121.27659574</v>
      </c>
      <c r="H121" s="11">
        <v>11.177535754799999</v>
      </c>
      <c r="I121" s="11">
        <v>72.951243044500004</v>
      </c>
      <c r="J121" s="11">
        <v>16.3291657336</v>
      </c>
      <c r="K121" s="10">
        <v>0.22560223283600001</v>
      </c>
      <c r="L121" s="12">
        <v>5154435000</v>
      </c>
      <c r="M121">
        <v>86.152035546035407</v>
      </c>
      <c r="N121" s="7">
        <v>2.1615156248896699</v>
      </c>
      <c r="O121" s="7">
        <v>8.8326492833856793</v>
      </c>
      <c r="P121" s="7">
        <v>96.472051542760596</v>
      </c>
      <c r="Q121" s="7">
        <v>0.12224938875305626</v>
      </c>
      <c r="U121">
        <v>6.4897579081261328E-2</v>
      </c>
      <c r="AT121" s="4" t="s">
        <v>3943</v>
      </c>
    </row>
    <row r="122" spans="1:46">
      <c r="A122" s="2">
        <v>1747</v>
      </c>
      <c r="B122" t="s">
        <v>3944</v>
      </c>
      <c r="C122" t="s">
        <v>1033</v>
      </c>
      <c r="D122" t="s">
        <v>3721</v>
      </c>
      <c r="E122" s="4">
        <v>43465</v>
      </c>
      <c r="F122" s="11">
        <v>74.060501680000002</v>
      </c>
      <c r="G122" s="11">
        <v>120.96436059</v>
      </c>
      <c r="H122" s="11">
        <v>-16.796522636900001</v>
      </c>
      <c r="I122" s="11">
        <v>21.7898038485</v>
      </c>
      <c r="J122" s="11">
        <v>4.1290226963999999</v>
      </c>
      <c r="K122" s="10">
        <v>0.89493199532199996</v>
      </c>
      <c r="L122" s="12">
        <v>10569217594.23</v>
      </c>
      <c r="M122">
        <v>96.200978244086699</v>
      </c>
      <c r="N122" s="7">
        <v>7.1093568889784597</v>
      </c>
      <c r="O122" s="7">
        <v>2.0730087560000499</v>
      </c>
      <c r="P122" s="7">
        <v>63.152959035620597</v>
      </c>
      <c r="Q122" s="7">
        <v>0.15503875968992248</v>
      </c>
      <c r="U122">
        <v>0.15340551798517024</v>
      </c>
      <c r="AT122" s="4" t="s">
        <v>3945</v>
      </c>
    </row>
    <row r="123" spans="1:46">
      <c r="A123" s="2">
        <v>3523</v>
      </c>
      <c r="B123" t="s">
        <v>3946</v>
      </c>
      <c r="C123" t="s">
        <v>3332</v>
      </c>
      <c r="D123" t="s">
        <v>3752</v>
      </c>
      <c r="E123" s="4">
        <v>43465</v>
      </c>
      <c r="F123" s="11">
        <v>110.66412692</v>
      </c>
      <c r="G123" s="11">
        <v>119.77447745000001</v>
      </c>
      <c r="H123" s="11">
        <v>36.822724912300004</v>
      </c>
      <c r="I123" s="11">
        <v>39.965427738000002</v>
      </c>
      <c r="J123" s="11">
        <v>6.2077842479000003</v>
      </c>
      <c r="K123" s="10">
        <v>1.364102855287</v>
      </c>
      <c r="L123" s="12">
        <v>8322511131</v>
      </c>
      <c r="M123">
        <v>25.9694186344604</v>
      </c>
      <c r="N123" s="7">
        <v>3.6284299374854001</v>
      </c>
      <c r="O123" s="7">
        <v>1.51229033627861</v>
      </c>
      <c r="P123" s="7">
        <v>-1535.8917387584099</v>
      </c>
      <c r="Q123" s="7">
        <v>0.44555493430248816</v>
      </c>
      <c r="U123">
        <v>1.6712224291018973</v>
      </c>
      <c r="AT123" s="4" t="s">
        <v>3947</v>
      </c>
    </row>
    <row r="124" spans="1:46">
      <c r="A124" s="2">
        <v>1540</v>
      </c>
      <c r="B124" t="s">
        <v>3948</v>
      </c>
      <c r="C124" t="s">
        <v>2541</v>
      </c>
      <c r="D124" t="s">
        <v>3721</v>
      </c>
      <c r="E124" s="4">
        <v>43465</v>
      </c>
      <c r="F124" s="11">
        <v>-9.8845967300000002</v>
      </c>
      <c r="G124" s="11">
        <v>119.53601954</v>
      </c>
      <c r="H124" s="11">
        <v>2.3004902962</v>
      </c>
      <c r="I124" s="11">
        <v>19.937857254699999</v>
      </c>
      <c r="J124" s="11">
        <v>0.1025050433</v>
      </c>
      <c r="K124" s="10">
        <v>0.86711066446600005</v>
      </c>
      <c r="L124" s="12">
        <v>15031585792.65</v>
      </c>
      <c r="M124">
        <v>45.326225578959999</v>
      </c>
      <c r="N124" s="7">
        <v>1.80294764287386</v>
      </c>
      <c r="O124" s="7">
        <v>0.87717598076227599</v>
      </c>
      <c r="P124" s="7">
        <v>-56.772519746638302</v>
      </c>
      <c r="Q124" s="7">
        <v>0.63734862970044615</v>
      </c>
      <c r="U124">
        <v>4.2276491057480645E-2</v>
      </c>
      <c r="AT124" s="4" t="s">
        <v>3881</v>
      </c>
    </row>
    <row r="125" spans="1:46">
      <c r="A125" s="2">
        <v>3402</v>
      </c>
      <c r="B125" t="s">
        <v>3949</v>
      </c>
      <c r="C125" t="s">
        <v>1435</v>
      </c>
      <c r="D125" t="s">
        <v>3737</v>
      </c>
      <c r="E125" s="4">
        <v>43465</v>
      </c>
      <c r="F125" s="11">
        <v>67.918578690000004</v>
      </c>
      <c r="G125" s="11">
        <v>119.02515723</v>
      </c>
      <c r="H125" s="11">
        <v>8.4302513199</v>
      </c>
      <c r="I125" s="11">
        <v>33.321124168499999</v>
      </c>
      <c r="J125" s="11">
        <v>8.3728718307999994</v>
      </c>
      <c r="K125" s="10">
        <v>0.57766508319099996</v>
      </c>
      <c r="L125" s="12">
        <v>16186414060.98</v>
      </c>
      <c r="M125">
        <v>33.698319583385</v>
      </c>
      <c r="N125" s="7">
        <v>1.84795790447171</v>
      </c>
      <c r="O125" s="7">
        <v>2.9253463315202901</v>
      </c>
      <c r="P125" s="7">
        <v>-341.01861403676202</v>
      </c>
      <c r="Q125" s="7">
        <v>1.576487797478517</v>
      </c>
      <c r="U125">
        <v>0.19499884391671518</v>
      </c>
      <c r="AT125" s="4" t="s">
        <v>3950</v>
      </c>
    </row>
    <row r="126" spans="1:46">
      <c r="A126" s="2">
        <v>2543</v>
      </c>
      <c r="B126" t="s">
        <v>3951</v>
      </c>
      <c r="C126" t="s">
        <v>3441</v>
      </c>
      <c r="D126" t="s">
        <v>3713</v>
      </c>
      <c r="E126" s="4">
        <v>43465</v>
      </c>
      <c r="F126" s="11">
        <v>36.263116660000001</v>
      </c>
      <c r="G126" s="11">
        <v>117.68421053</v>
      </c>
      <c r="H126" s="11">
        <v>15.678959516800001</v>
      </c>
      <c r="I126" s="11">
        <v>23.093669349799999</v>
      </c>
      <c r="J126" s="11">
        <v>-2.5983769124</v>
      </c>
      <c r="K126" s="10">
        <v>1.1658859356669999</v>
      </c>
      <c r="L126" s="12">
        <v>11230933451.74</v>
      </c>
      <c r="M126">
        <v>59.156463795894503</v>
      </c>
      <c r="N126" s="7">
        <v>5.1442220481723098</v>
      </c>
      <c r="O126" s="7">
        <v>1.6203474044402799</v>
      </c>
      <c r="P126" s="7">
        <v>-74.924605340817394</v>
      </c>
      <c r="Q126" s="7" t="s">
        <v>3698</v>
      </c>
      <c r="U126">
        <v>-0.13638077128925669</v>
      </c>
      <c r="AT126" s="4" t="s">
        <v>3952</v>
      </c>
    </row>
    <row r="127" spans="1:46">
      <c r="A127" s="2">
        <v>1744</v>
      </c>
      <c r="B127" t="s">
        <v>3953</v>
      </c>
      <c r="C127" t="s">
        <v>2034</v>
      </c>
      <c r="D127" t="s">
        <v>3721</v>
      </c>
      <c r="E127" s="4">
        <v>43465</v>
      </c>
      <c r="F127" s="11">
        <v>91.666666669999998</v>
      </c>
      <c r="G127" s="11">
        <v>117.64705882</v>
      </c>
      <c r="H127" s="11">
        <v>15.978501457</v>
      </c>
      <c r="I127" s="11">
        <v>18.652007453</v>
      </c>
      <c r="J127" s="11">
        <v>8.5100965995000006</v>
      </c>
      <c r="K127" s="10">
        <v>0.53371135363400002</v>
      </c>
      <c r="L127" s="12">
        <v>17707865160.720001</v>
      </c>
      <c r="M127">
        <v>-11.595488489713601</v>
      </c>
      <c r="N127" s="7">
        <v>2.40947610280553</v>
      </c>
      <c r="O127" s="7">
        <v>2.5673481527528201</v>
      </c>
      <c r="P127" s="7">
        <v>-4.6358270524220302</v>
      </c>
      <c r="Q127" s="7" t="s">
        <v>3698</v>
      </c>
      <c r="U127">
        <v>0.18942495654966016</v>
      </c>
      <c r="AT127" s="4" t="s">
        <v>3954</v>
      </c>
    </row>
    <row r="128" spans="1:46">
      <c r="A128" s="2">
        <v>177</v>
      </c>
      <c r="B128" t="s">
        <v>3955</v>
      </c>
      <c r="C128" t="s">
        <v>129</v>
      </c>
      <c r="D128" t="s">
        <v>3785</v>
      </c>
      <c r="E128" s="4">
        <v>43465</v>
      </c>
      <c r="F128" s="11">
        <v>36.54854417</v>
      </c>
      <c r="G128" s="11">
        <v>117.06764819</v>
      </c>
      <c r="H128" s="11">
        <v>25.595307201000001</v>
      </c>
      <c r="I128" s="11">
        <v>77.526639704000004</v>
      </c>
      <c r="J128" s="11">
        <v>26.888859827299999</v>
      </c>
      <c r="K128" s="10">
        <v>0.61639532098600003</v>
      </c>
      <c r="L128" s="12">
        <v>8794279633.1499996</v>
      </c>
      <c r="M128">
        <v>18.101244385636601</v>
      </c>
      <c r="N128" s="7">
        <v>3.5106389038276302</v>
      </c>
      <c r="O128" s="7">
        <v>4.8116098745646001</v>
      </c>
      <c r="P128" s="7">
        <v>75.9487030320728</v>
      </c>
      <c r="Q128" s="7">
        <v>1.8960244648318043</v>
      </c>
      <c r="U128">
        <v>2.3796805713540912</v>
      </c>
      <c r="AT128" s="4" t="s">
        <v>3956</v>
      </c>
    </row>
    <row r="129" spans="1:46">
      <c r="A129" s="2">
        <v>3088</v>
      </c>
      <c r="B129" t="s">
        <v>3957</v>
      </c>
      <c r="C129" t="s">
        <v>1252</v>
      </c>
      <c r="D129" t="s">
        <v>3721</v>
      </c>
      <c r="E129" s="4">
        <v>43465</v>
      </c>
      <c r="F129" s="11">
        <v>25.589672360000002</v>
      </c>
      <c r="G129" s="11">
        <v>116.44444444</v>
      </c>
      <c r="H129" s="11">
        <v>12.9422702539</v>
      </c>
      <c r="I129" s="11">
        <v>10.8575928319</v>
      </c>
      <c r="J129" s="11">
        <v>3.5170131864999998</v>
      </c>
      <c r="K129" s="10">
        <v>1.788642663072</v>
      </c>
      <c r="L129" s="12">
        <v>126964744619.67999</v>
      </c>
      <c r="M129">
        <v>17.271262842533201</v>
      </c>
      <c r="N129" s="7">
        <v>2.0815522205792099</v>
      </c>
      <c r="O129" s="7">
        <v>0.61849601750861105</v>
      </c>
      <c r="P129" s="7">
        <v>-49.513471467563498</v>
      </c>
      <c r="Q129" s="7">
        <v>1.0161090458488227</v>
      </c>
      <c r="U129">
        <v>0.54216754065416217</v>
      </c>
      <c r="AT129" s="4" t="s">
        <v>3958</v>
      </c>
    </row>
    <row r="130" spans="1:46">
      <c r="A130" s="2">
        <v>3506</v>
      </c>
      <c r="B130" t="s">
        <v>3959</v>
      </c>
      <c r="C130" t="s">
        <v>216</v>
      </c>
      <c r="D130" t="s">
        <v>3737</v>
      </c>
      <c r="E130" s="4">
        <v>43465</v>
      </c>
      <c r="F130" s="11">
        <v>150.44504297</v>
      </c>
      <c r="G130" s="11">
        <v>115.823122</v>
      </c>
      <c r="H130" s="11">
        <v>52.8076689337</v>
      </c>
      <c r="I130" s="11">
        <v>49.466324545299997</v>
      </c>
      <c r="J130" s="11">
        <v>24.9686219783</v>
      </c>
      <c r="K130" s="10">
        <v>0.55775210952800003</v>
      </c>
      <c r="L130" s="12">
        <v>41843010443.400002</v>
      </c>
      <c r="M130">
        <v>25.584598508769002</v>
      </c>
      <c r="N130" s="7">
        <v>4.2827555784264604</v>
      </c>
      <c r="O130" s="7">
        <v>6.3489393201300803</v>
      </c>
      <c r="P130" s="7">
        <v>127.964258648545</v>
      </c>
      <c r="Q130" s="7">
        <v>0.30646644192460926</v>
      </c>
      <c r="U130">
        <v>0.76851779878532134</v>
      </c>
      <c r="AT130" s="4" t="s">
        <v>3960</v>
      </c>
    </row>
    <row r="131" spans="1:46">
      <c r="A131" s="2">
        <v>2496</v>
      </c>
      <c r="B131" t="s">
        <v>3961</v>
      </c>
      <c r="C131" t="s">
        <v>2573</v>
      </c>
      <c r="D131" t="s">
        <v>3752</v>
      </c>
      <c r="E131" s="4">
        <v>43465</v>
      </c>
      <c r="F131" s="11">
        <v>42.905241869999998</v>
      </c>
      <c r="G131" s="11">
        <v>115.42792793</v>
      </c>
      <c r="H131" s="11">
        <v>14.702244374899999</v>
      </c>
      <c r="I131" s="11">
        <v>31.060547787499999</v>
      </c>
      <c r="J131" s="11">
        <v>12.789878378399999</v>
      </c>
      <c r="K131" s="10">
        <v>0.89611784122399996</v>
      </c>
      <c r="L131" s="12">
        <v>29802313507.720001</v>
      </c>
      <c r="M131">
        <v>114.610479250381</v>
      </c>
      <c r="N131" s="7">
        <v>1.5278912177075901</v>
      </c>
      <c r="O131" s="7">
        <v>12.868914903132501</v>
      </c>
      <c r="P131" s="7">
        <v>-1045.5091876819999</v>
      </c>
      <c r="Q131" s="7">
        <v>0.38522351646664094</v>
      </c>
      <c r="U131">
        <v>0.62688797576271937</v>
      </c>
      <c r="AT131" s="4" t="s">
        <v>3962</v>
      </c>
    </row>
    <row r="132" spans="1:46">
      <c r="A132" s="2">
        <v>3498</v>
      </c>
      <c r="B132" t="s">
        <v>3963</v>
      </c>
      <c r="C132" t="s">
        <v>2676</v>
      </c>
      <c r="D132" t="s">
        <v>3718</v>
      </c>
      <c r="E132" s="4">
        <v>43465</v>
      </c>
      <c r="F132" s="11">
        <v>61.427907490000003</v>
      </c>
      <c r="G132" s="11">
        <v>115.15965174</v>
      </c>
      <c r="H132" s="11">
        <v>82.641828613200005</v>
      </c>
      <c r="I132" s="11">
        <v>28.1903008761</v>
      </c>
      <c r="J132" s="11">
        <v>4.6723661290000003</v>
      </c>
      <c r="K132" s="10">
        <v>0.549687741816</v>
      </c>
      <c r="L132" s="12">
        <v>17313822126.669998</v>
      </c>
      <c r="M132">
        <v>86.499778436497294</v>
      </c>
      <c r="N132" s="7">
        <v>7.4407054477213297</v>
      </c>
      <c r="O132" s="7">
        <v>6.9026435415122602</v>
      </c>
      <c r="P132" s="7">
        <v>-69.013997869393407</v>
      </c>
      <c r="Q132" s="7">
        <v>0.17218188887999741</v>
      </c>
      <c r="U132">
        <v>0.1537835627666635</v>
      </c>
      <c r="AT132" s="4" t="s">
        <v>3964</v>
      </c>
    </row>
    <row r="133" spans="1:46">
      <c r="A133" s="2">
        <v>21</v>
      </c>
      <c r="B133" t="s">
        <v>3965</v>
      </c>
      <c r="C133" t="s">
        <v>1832</v>
      </c>
      <c r="D133" t="s">
        <v>3713</v>
      </c>
      <c r="E133" s="4">
        <v>43465</v>
      </c>
      <c r="F133" s="11">
        <v>27.662594850000001</v>
      </c>
      <c r="G133" s="11">
        <v>114.40304648</v>
      </c>
      <c r="H133" s="11">
        <v>13.027841413799999</v>
      </c>
      <c r="I133" s="11">
        <v>4.7006354738000002</v>
      </c>
      <c r="J133" s="11">
        <v>3.5201530353999999</v>
      </c>
      <c r="K133" s="10">
        <v>0.99947568962</v>
      </c>
      <c r="L133" s="12">
        <v>8437829905.2200003</v>
      </c>
      <c r="M133">
        <v>-329.45348238203798</v>
      </c>
      <c r="N133" s="7">
        <v>1.3480278080247401</v>
      </c>
      <c r="O133" s="7">
        <v>0.52560199413651398</v>
      </c>
      <c r="P133" s="7">
        <v>11.7783433482258</v>
      </c>
      <c r="Q133" s="7">
        <v>1.044932079414838</v>
      </c>
      <c r="U133">
        <v>0.36028536546346523</v>
      </c>
      <c r="AT133" s="4" t="s">
        <v>3966</v>
      </c>
    </row>
    <row r="134" spans="1:46">
      <c r="A134" s="2">
        <v>898</v>
      </c>
      <c r="B134" t="s">
        <v>3967</v>
      </c>
      <c r="C134" t="s">
        <v>3583</v>
      </c>
      <c r="D134" t="s">
        <v>3721</v>
      </c>
      <c r="E134" s="4">
        <v>43465</v>
      </c>
      <c r="F134" s="11">
        <v>-4.9611476400000001</v>
      </c>
      <c r="G134" s="11">
        <v>113.91076115</v>
      </c>
      <c r="H134" s="11">
        <v>5504.4428991492996</v>
      </c>
      <c r="I134" s="11">
        <v>-2.4001543798</v>
      </c>
      <c r="J134" s="11">
        <v>1.7160599227</v>
      </c>
      <c r="K134" s="10">
        <v>7.7192080146E-2</v>
      </c>
      <c r="L134" s="12">
        <v>17919939041.34</v>
      </c>
      <c r="M134">
        <v>-11.8291227634006</v>
      </c>
      <c r="N134" s="7">
        <v>0.73841697260116901</v>
      </c>
      <c r="O134" s="7">
        <v>11.066260873209499</v>
      </c>
      <c r="P134" s="7">
        <v>1.5086470638322</v>
      </c>
      <c r="Q134" s="7" t="s">
        <v>3698</v>
      </c>
      <c r="U134">
        <v>2.5327479309549174E-2</v>
      </c>
      <c r="AT134" s="4" t="s">
        <v>3968</v>
      </c>
    </row>
    <row r="135" spans="1:46">
      <c r="A135" s="2">
        <v>2836</v>
      </c>
      <c r="B135" t="s">
        <v>3969</v>
      </c>
      <c r="C135" t="s">
        <v>202</v>
      </c>
      <c r="D135" t="s">
        <v>3737</v>
      </c>
      <c r="E135" s="4">
        <v>43465</v>
      </c>
      <c r="F135" s="11">
        <v>217.44107294</v>
      </c>
      <c r="G135" s="11">
        <v>113.39793554000001</v>
      </c>
      <c r="H135" s="11">
        <v>31.050860205599999</v>
      </c>
      <c r="I135" s="11">
        <v>43.289339135600002</v>
      </c>
      <c r="J135" s="11">
        <v>23.233588121</v>
      </c>
      <c r="K135" s="10">
        <v>0.78734672835599995</v>
      </c>
      <c r="L135" s="12">
        <v>21745842431.400002</v>
      </c>
      <c r="M135">
        <v>50.013945998719898</v>
      </c>
      <c r="N135" s="7">
        <v>11.953685370926699</v>
      </c>
      <c r="O135" s="7">
        <v>10.332861710298699</v>
      </c>
      <c r="P135" s="7">
        <v>74.556271652915697</v>
      </c>
      <c r="Q135" s="7" t="s">
        <v>3698</v>
      </c>
      <c r="U135">
        <v>1.0357188698228543</v>
      </c>
      <c r="AT135" s="4" t="s">
        <v>3970</v>
      </c>
    </row>
    <row r="136" spans="1:46">
      <c r="A136" s="2">
        <v>3163</v>
      </c>
      <c r="B136" t="s">
        <v>3971</v>
      </c>
      <c r="C136" t="s">
        <v>2842</v>
      </c>
      <c r="D136" t="s">
        <v>3972</v>
      </c>
      <c r="E136" s="4">
        <v>43465</v>
      </c>
      <c r="F136" s="11">
        <v>92.539706269999996</v>
      </c>
      <c r="G136" s="11">
        <v>113.27913279000001</v>
      </c>
      <c r="H136" s="11">
        <v>13.784874118799999</v>
      </c>
      <c r="I136" s="11">
        <v>17.720794433999998</v>
      </c>
      <c r="J136" s="11">
        <v>9.9698598522000008</v>
      </c>
      <c r="K136" s="10">
        <v>0.24915191758399999</v>
      </c>
      <c r="L136" s="12">
        <v>32875219200</v>
      </c>
      <c r="M136">
        <v>-549.40481752016206</v>
      </c>
      <c r="N136" s="7">
        <v>1.1070857788473301</v>
      </c>
      <c r="O136" s="7">
        <v>3.4664112589882001</v>
      </c>
      <c r="P136" s="7">
        <v>-16.6228936763601</v>
      </c>
      <c r="Q136" s="7">
        <v>0.97643097643097621</v>
      </c>
      <c r="U136">
        <v>0.19236334889511311</v>
      </c>
      <c r="AT136" s="4" t="s">
        <v>3973</v>
      </c>
    </row>
    <row r="137" spans="1:46">
      <c r="A137" s="2">
        <v>2321</v>
      </c>
      <c r="B137" t="s">
        <v>3974</v>
      </c>
      <c r="C137" t="s">
        <v>459</v>
      </c>
      <c r="D137" t="s">
        <v>3721</v>
      </c>
      <c r="E137" s="4">
        <v>43465</v>
      </c>
      <c r="F137" s="11">
        <v>86.196086550000004</v>
      </c>
      <c r="G137" s="11">
        <v>113.19982036</v>
      </c>
      <c r="H137" s="11">
        <v>11.4529596394</v>
      </c>
      <c r="I137" s="11">
        <v>22.176097835099998</v>
      </c>
      <c r="J137" s="11">
        <v>8.8886939600999995</v>
      </c>
      <c r="K137" s="10">
        <v>0.93140543294900002</v>
      </c>
      <c r="L137" s="12">
        <v>50110220546.82</v>
      </c>
      <c r="M137">
        <v>21.849999011001</v>
      </c>
      <c r="N137" s="7">
        <v>3.4874803462530499</v>
      </c>
      <c r="O137" s="7">
        <v>1.7755308193419801</v>
      </c>
      <c r="P137" s="7">
        <v>44.788342250396703</v>
      </c>
      <c r="Q137" s="7">
        <v>1.4234480467619584</v>
      </c>
      <c r="U137">
        <v>0.47247835910662778</v>
      </c>
      <c r="AT137" s="4" t="s">
        <v>3975</v>
      </c>
    </row>
    <row r="138" spans="1:46">
      <c r="A138" s="2">
        <v>367</v>
      </c>
      <c r="B138" t="s">
        <v>3976</v>
      </c>
      <c r="C138" t="s">
        <v>1078</v>
      </c>
      <c r="D138" t="s">
        <v>3977</v>
      </c>
      <c r="E138" s="4">
        <v>43465</v>
      </c>
      <c r="F138" s="11">
        <v>74.039643799999993</v>
      </c>
      <c r="G138" s="11">
        <v>112.05035971</v>
      </c>
      <c r="H138" s="11">
        <v>7.0239282833000001</v>
      </c>
      <c r="I138" s="11">
        <v>16.5901517703</v>
      </c>
      <c r="J138" s="11">
        <v>4.0729542149000002</v>
      </c>
      <c r="K138" s="10">
        <v>0.97483527299100003</v>
      </c>
      <c r="L138" s="12">
        <v>47617922832.800003</v>
      </c>
      <c r="M138">
        <v>26.4554249480781</v>
      </c>
      <c r="N138" s="7">
        <v>2.0202658048209101</v>
      </c>
      <c r="O138" s="7">
        <v>0.78720504292135196</v>
      </c>
      <c r="P138" s="7">
        <v>-11.793922893750899</v>
      </c>
      <c r="Q138" s="7" t="s">
        <v>3698</v>
      </c>
      <c r="U138">
        <v>0.30532103403501387</v>
      </c>
      <c r="AT138" s="4" t="s">
        <v>3978</v>
      </c>
    </row>
    <row r="139" spans="1:46">
      <c r="A139" s="2">
        <v>1858</v>
      </c>
      <c r="B139" t="s">
        <v>3979</v>
      </c>
      <c r="C139" t="s">
        <v>2562</v>
      </c>
      <c r="D139" t="s">
        <v>3721</v>
      </c>
      <c r="E139" s="4">
        <v>43465</v>
      </c>
      <c r="F139" s="11">
        <v>-29.559188420000002</v>
      </c>
      <c r="G139" s="11">
        <v>111.82795699</v>
      </c>
      <c r="H139" s="11">
        <v>16.936847563499999</v>
      </c>
      <c r="I139" s="11">
        <v>22.630778678799999</v>
      </c>
      <c r="J139" s="11">
        <v>2.1668740877000001</v>
      </c>
      <c r="K139" s="10">
        <v>0.70293425415599997</v>
      </c>
      <c r="L139" s="12">
        <v>12688761948.719999</v>
      </c>
      <c r="M139">
        <v>24.5785708026905</v>
      </c>
      <c r="N139" s="7">
        <v>1.5856287951497099</v>
      </c>
      <c r="O139" s="7">
        <v>0.92690161624235301</v>
      </c>
      <c r="P139" s="7">
        <v>11.168491217011001</v>
      </c>
      <c r="Q139" s="7">
        <v>0.18416642882224962</v>
      </c>
      <c r="U139">
        <v>0.16222058792326766</v>
      </c>
      <c r="AT139" s="4" t="s">
        <v>3980</v>
      </c>
    </row>
    <row r="140" spans="1:46">
      <c r="A140" s="2">
        <v>3401</v>
      </c>
      <c r="B140" t="s">
        <v>3981</v>
      </c>
      <c r="C140" t="s">
        <v>179</v>
      </c>
      <c r="D140" t="s">
        <v>3790</v>
      </c>
      <c r="E140" s="4">
        <v>43465</v>
      </c>
      <c r="F140" s="11">
        <v>72.74578339</v>
      </c>
      <c r="G140" s="11">
        <v>111.11875021</v>
      </c>
      <c r="H140" s="11">
        <v>14.908766352700001</v>
      </c>
      <c r="I140" s="11">
        <v>92.239647581900002</v>
      </c>
      <c r="J140" s="11">
        <v>55.500228496399998</v>
      </c>
      <c r="K140" s="10">
        <v>0.46273554830000002</v>
      </c>
      <c r="L140" s="12">
        <v>57418513281.580002</v>
      </c>
      <c r="M140">
        <v>17.8344825427755</v>
      </c>
      <c r="N140" s="7">
        <v>3.6644732436449101</v>
      </c>
      <c r="O140" s="7">
        <v>6.9317587647050001</v>
      </c>
      <c r="P140" s="7">
        <v>-88.016495155865201</v>
      </c>
      <c r="Q140" s="7">
        <v>3.4098271217649265</v>
      </c>
      <c r="U140">
        <v>10.057726439742231</v>
      </c>
      <c r="AT140" s="4" t="s">
        <v>3933</v>
      </c>
    </row>
    <row r="141" spans="1:46">
      <c r="A141" s="2">
        <v>1961</v>
      </c>
      <c r="B141" t="s">
        <v>3982</v>
      </c>
      <c r="C141" t="s">
        <v>1797</v>
      </c>
      <c r="D141" t="s">
        <v>3752</v>
      </c>
      <c r="E141" s="4">
        <v>43465</v>
      </c>
      <c r="F141" s="11">
        <v>22.529685090000001</v>
      </c>
      <c r="G141" s="11">
        <v>110.66376495999999</v>
      </c>
      <c r="H141" s="11">
        <v>42.400097450700002</v>
      </c>
      <c r="I141" s="11">
        <v>37.285563732200004</v>
      </c>
      <c r="J141" s="11">
        <v>8.5170814531999994</v>
      </c>
      <c r="K141" s="10">
        <v>0.380315822631</v>
      </c>
      <c r="L141" s="12">
        <v>21456125340.25</v>
      </c>
      <c r="M141">
        <v>35.752693556412098</v>
      </c>
      <c r="N141" s="7">
        <v>2.9740996293130402</v>
      </c>
      <c r="O141" s="7">
        <v>2.9596260264380798</v>
      </c>
      <c r="P141" s="7">
        <v>-9.9662809273906703</v>
      </c>
      <c r="Q141" s="7">
        <v>0.33726812816188867</v>
      </c>
      <c r="U141">
        <v>0.28508504370028276</v>
      </c>
      <c r="AT141" s="4" t="s">
        <v>3983</v>
      </c>
    </row>
    <row r="142" spans="1:46">
      <c r="A142" s="2">
        <v>1794</v>
      </c>
      <c r="B142" t="s">
        <v>3984</v>
      </c>
      <c r="C142" t="s">
        <v>3375</v>
      </c>
      <c r="D142" t="s">
        <v>3713</v>
      </c>
      <c r="E142" s="4">
        <v>43465</v>
      </c>
      <c r="F142" s="11">
        <v>101.28587782</v>
      </c>
      <c r="G142" s="11">
        <v>110.39260969999999</v>
      </c>
      <c r="H142" s="11">
        <v>7.1651084848000002</v>
      </c>
      <c r="I142" s="11">
        <v>76.926842909200005</v>
      </c>
      <c r="J142" s="11">
        <v>12.450957798899999</v>
      </c>
      <c r="K142" s="10">
        <v>0.35426651993000002</v>
      </c>
      <c r="L142" s="12">
        <v>3640500234.2399998</v>
      </c>
      <c r="M142">
        <v>66.117355520901299</v>
      </c>
      <c r="N142" s="7">
        <v>2.5773821660187801</v>
      </c>
      <c r="O142" s="7">
        <v>4.9900238207576004</v>
      </c>
      <c r="P142" s="7">
        <v>246.01661300969701</v>
      </c>
      <c r="Q142" s="7">
        <v>0.34626692650980156</v>
      </c>
      <c r="U142">
        <v>0.21017329690044334</v>
      </c>
      <c r="AT142" s="4" t="s">
        <v>3985</v>
      </c>
    </row>
    <row r="143" spans="1:46">
      <c r="A143" s="2">
        <v>913</v>
      </c>
      <c r="B143" t="s">
        <v>3986</v>
      </c>
      <c r="C143" t="s">
        <v>580</v>
      </c>
      <c r="D143" t="s">
        <v>3721</v>
      </c>
      <c r="E143" s="4">
        <v>43465</v>
      </c>
      <c r="F143" s="11">
        <v>41.70037851</v>
      </c>
      <c r="G143" s="11">
        <v>110.0552036</v>
      </c>
      <c r="H143" s="11">
        <v>35.002247538299997</v>
      </c>
      <c r="I143" s="11">
        <v>20.622807654599999</v>
      </c>
      <c r="J143" s="11">
        <v>8.8239173902000001</v>
      </c>
      <c r="K143" s="10">
        <v>0.93362173852700003</v>
      </c>
      <c r="L143" s="12">
        <v>14461892017.32</v>
      </c>
      <c r="M143">
        <v>25.368300954295201</v>
      </c>
      <c r="N143" s="7">
        <v>5.0159771450442303</v>
      </c>
      <c r="O143" s="7">
        <v>2.1535268412491302</v>
      </c>
      <c r="P143" s="7">
        <v>-398.27317514387801</v>
      </c>
      <c r="Q143" s="7">
        <v>0.36900369003690042</v>
      </c>
      <c r="U143">
        <v>0.25934933403563371</v>
      </c>
      <c r="AT143" s="4" t="s">
        <v>3987</v>
      </c>
    </row>
    <row r="144" spans="1:46">
      <c r="A144" s="2">
        <v>1561</v>
      </c>
      <c r="B144" t="s">
        <v>3988</v>
      </c>
      <c r="C144" t="s">
        <v>141</v>
      </c>
      <c r="D144" t="s">
        <v>3721</v>
      </c>
      <c r="E144" s="4">
        <v>43465</v>
      </c>
      <c r="F144" s="11">
        <v>-10.283662830000001</v>
      </c>
      <c r="G144" s="11">
        <v>109.99537251</v>
      </c>
      <c r="H144" s="11">
        <v>37.037194881399998</v>
      </c>
      <c r="I144" s="11">
        <v>36.511472802599997</v>
      </c>
      <c r="J144" s="11">
        <v>21.030730646599999</v>
      </c>
      <c r="K144" s="10">
        <v>0.75010019730800004</v>
      </c>
      <c r="L144" s="12">
        <v>11060779670.280001</v>
      </c>
      <c r="M144">
        <v>24.659635089978199</v>
      </c>
      <c r="N144" s="7">
        <v>6.7215121374399702</v>
      </c>
      <c r="O144" s="7">
        <v>4.8907420097779797</v>
      </c>
      <c r="P144" s="7">
        <v>193.18268269276601</v>
      </c>
      <c r="Q144" s="7" t="s">
        <v>3698</v>
      </c>
      <c r="U144">
        <v>1.0125103734919167</v>
      </c>
      <c r="AT144" s="4" t="s">
        <v>3989</v>
      </c>
    </row>
    <row r="145" spans="1:46">
      <c r="A145" s="2">
        <v>2587</v>
      </c>
      <c r="B145" t="s">
        <v>3990</v>
      </c>
      <c r="C145" t="s">
        <v>2998</v>
      </c>
      <c r="D145" t="s">
        <v>3764</v>
      </c>
      <c r="E145" s="4">
        <v>43465</v>
      </c>
      <c r="F145" s="11">
        <v>33.728576889999999</v>
      </c>
      <c r="G145" s="11">
        <v>109.36819172</v>
      </c>
      <c r="H145" s="11">
        <v>2.7877971292999999</v>
      </c>
      <c r="I145" s="11">
        <v>24.145712487099999</v>
      </c>
      <c r="J145" s="11">
        <v>7.4767446180999997</v>
      </c>
      <c r="K145" s="10">
        <v>0.34456757847399999</v>
      </c>
      <c r="L145" s="12">
        <v>43956881657.080002</v>
      </c>
      <c r="M145">
        <v>36.410431797891398</v>
      </c>
      <c r="N145" s="7">
        <v>1.5030424357657499</v>
      </c>
      <c r="O145" s="7">
        <v>1.7697284185400199</v>
      </c>
      <c r="P145" s="7">
        <v>15.0231473038082</v>
      </c>
      <c r="Q145" s="7">
        <v>0.58492688413948257</v>
      </c>
      <c r="U145">
        <v>0.17288307139281478</v>
      </c>
      <c r="AT145" s="4" t="s">
        <v>3991</v>
      </c>
    </row>
    <row r="146" spans="1:46">
      <c r="A146" s="2">
        <v>2714</v>
      </c>
      <c r="B146" t="s">
        <v>3992</v>
      </c>
      <c r="C146" t="s">
        <v>98</v>
      </c>
      <c r="D146" t="s">
        <v>3871</v>
      </c>
      <c r="E146" s="4">
        <v>43465</v>
      </c>
      <c r="F146" s="11">
        <v>49.998744790000003</v>
      </c>
      <c r="G146" s="11">
        <v>108.70044052999999</v>
      </c>
      <c r="H146" s="11">
        <v>27.812924678200002</v>
      </c>
      <c r="I146" s="11">
        <v>55.034875020000001</v>
      </c>
      <c r="J146" s="11">
        <v>36.297810152499999</v>
      </c>
      <c r="K146" s="10">
        <v>0.31847095975400003</v>
      </c>
      <c r="L146" s="12">
        <v>3477973950</v>
      </c>
      <c r="M146">
        <v>7.6209893162128504</v>
      </c>
      <c r="N146" s="7">
        <v>1.23956593436929</v>
      </c>
      <c r="O146" s="7">
        <v>2.7166005046300898</v>
      </c>
      <c r="P146" s="7">
        <v>21.137596563842699</v>
      </c>
      <c r="Q146" s="7">
        <v>1.4000000000000001</v>
      </c>
      <c r="T146" s="2"/>
      <c r="U146">
        <v>1.2058533133724674</v>
      </c>
      <c r="AT146" s="4" t="s">
        <v>3826</v>
      </c>
    </row>
    <row r="147" spans="1:46">
      <c r="A147" s="2">
        <v>2189</v>
      </c>
      <c r="B147" t="s">
        <v>3993</v>
      </c>
      <c r="C147" t="s">
        <v>221</v>
      </c>
      <c r="D147" t="s">
        <v>3718</v>
      </c>
      <c r="E147" s="4">
        <v>43465</v>
      </c>
      <c r="F147" s="11">
        <v>95.130944499999998</v>
      </c>
      <c r="G147" s="11">
        <v>108.47546917</v>
      </c>
      <c r="H147" s="11">
        <v>45.614653228800002</v>
      </c>
      <c r="I147" s="11">
        <v>30.621794067</v>
      </c>
      <c r="J147" s="11">
        <v>11.2922199302</v>
      </c>
      <c r="K147" s="10">
        <v>0.84570083572400001</v>
      </c>
      <c r="L147" s="12">
        <v>15155784462.4</v>
      </c>
      <c r="M147">
        <v>11.884231925442</v>
      </c>
      <c r="N147" s="7">
        <v>2.0936654244591599</v>
      </c>
      <c r="O147" s="7">
        <v>1.26898358209743</v>
      </c>
      <c r="P147" s="7">
        <v>8.2920953881459507</v>
      </c>
      <c r="Q147" s="7">
        <v>1.785412023086657</v>
      </c>
      <c r="U147">
        <v>0.78406797394792793</v>
      </c>
      <c r="AT147" s="4" t="s">
        <v>3994</v>
      </c>
    </row>
    <row r="148" spans="1:46">
      <c r="A148" s="2">
        <v>2062</v>
      </c>
      <c r="B148" t="s">
        <v>3995</v>
      </c>
      <c r="C148" t="s">
        <v>3028</v>
      </c>
      <c r="D148" t="s">
        <v>3849</v>
      </c>
      <c r="E148" s="4">
        <v>43465</v>
      </c>
      <c r="F148" s="11">
        <v>69.644861559999995</v>
      </c>
      <c r="G148" s="11">
        <v>108.08270677</v>
      </c>
      <c r="H148" s="11">
        <v>-2.0629353957999998</v>
      </c>
      <c r="I148" s="11">
        <v>27.6604528282</v>
      </c>
      <c r="J148" s="11">
        <v>10.0947756378</v>
      </c>
      <c r="K148" s="10">
        <v>0.62926722058499995</v>
      </c>
      <c r="L148" s="12">
        <v>143608559235.89999</v>
      </c>
      <c r="M148">
        <v>77.622715254303301</v>
      </c>
      <c r="N148" s="7">
        <v>5.0277649174024903</v>
      </c>
      <c r="O148" s="7">
        <v>6.8697459041528397</v>
      </c>
      <c r="P148" s="7">
        <v>328.52110787562299</v>
      </c>
      <c r="Q148" s="7">
        <v>0.51150895140664965</v>
      </c>
      <c r="U148">
        <v>0.16236097224999999</v>
      </c>
      <c r="AT148" s="4" t="s">
        <v>3996</v>
      </c>
    </row>
    <row r="149" spans="1:46">
      <c r="A149" s="2">
        <v>260</v>
      </c>
      <c r="B149" t="s">
        <v>3997</v>
      </c>
      <c r="C149" t="s">
        <v>149</v>
      </c>
      <c r="D149" t="s">
        <v>3998</v>
      </c>
      <c r="E149" s="4">
        <v>43465</v>
      </c>
      <c r="F149" s="11">
        <v>96.612045730000006</v>
      </c>
      <c r="G149" s="11">
        <v>106.87203791</v>
      </c>
      <c r="H149" s="11">
        <v>15.6302464367</v>
      </c>
      <c r="I149" s="11">
        <v>46.703542539200001</v>
      </c>
      <c r="J149" s="11">
        <v>28.0323693962</v>
      </c>
      <c r="K149" s="10">
        <v>0.81670513390499999</v>
      </c>
      <c r="L149" s="12">
        <v>4440000000</v>
      </c>
      <c r="M149">
        <v>5.54151967561081</v>
      </c>
      <c r="N149" s="7">
        <v>2.0683586232900502</v>
      </c>
      <c r="O149" s="7">
        <v>1.3022388651704899</v>
      </c>
      <c r="P149" s="7">
        <v>26.752325778600799</v>
      </c>
      <c r="Q149" s="7">
        <v>2.5157232704402519</v>
      </c>
      <c r="U149">
        <v>1.8096360249662586</v>
      </c>
      <c r="AT149" s="4" t="s">
        <v>3869</v>
      </c>
    </row>
    <row r="150" spans="1:46">
      <c r="A150" s="2">
        <v>400</v>
      </c>
      <c r="B150" t="s">
        <v>3999</v>
      </c>
      <c r="C150" t="s">
        <v>2951</v>
      </c>
      <c r="D150" t="s">
        <v>3752</v>
      </c>
      <c r="E150" s="4">
        <v>43465</v>
      </c>
      <c r="F150" s="11">
        <v>36.277423540000001</v>
      </c>
      <c r="G150" s="11">
        <v>106.33802817</v>
      </c>
      <c r="H150" s="11">
        <v>5.2088767905999998</v>
      </c>
      <c r="I150" s="11">
        <v>10.045321166600001</v>
      </c>
      <c r="J150" s="11">
        <v>7.0346903674999997</v>
      </c>
      <c r="K150" s="10">
        <v>0.57993503852600004</v>
      </c>
      <c r="L150" s="12">
        <v>14881107440.59</v>
      </c>
      <c r="M150">
        <v>-36.548709636163402</v>
      </c>
      <c r="N150" s="7">
        <v>1.34227941014267</v>
      </c>
      <c r="O150" s="7">
        <v>1.7138672282299701</v>
      </c>
      <c r="P150" s="7">
        <v>-42.142342462680404</v>
      </c>
      <c r="Q150" s="7">
        <v>0.18214936247723132</v>
      </c>
      <c r="U150">
        <v>0.1380823324122385</v>
      </c>
      <c r="AT150" s="4" t="s">
        <v>4000</v>
      </c>
    </row>
    <row r="151" spans="1:46">
      <c r="A151" s="2">
        <v>782</v>
      </c>
      <c r="B151" t="s">
        <v>4001</v>
      </c>
      <c r="C151" t="s">
        <v>1819</v>
      </c>
      <c r="D151" t="s">
        <v>3998</v>
      </c>
      <c r="E151" s="4">
        <v>43465</v>
      </c>
      <c r="F151" s="11">
        <v>14.12311467</v>
      </c>
      <c r="G151" s="11">
        <v>106.26306725000001</v>
      </c>
      <c r="H151" s="11">
        <v>36.459296703</v>
      </c>
      <c r="I151" s="11">
        <v>34.5914794296</v>
      </c>
      <c r="J151" s="11">
        <v>10.757269103200001</v>
      </c>
      <c r="K151" s="10">
        <v>0.85206657838099997</v>
      </c>
      <c r="L151" s="12">
        <v>4229652455.5999999</v>
      </c>
      <c r="M151">
        <v>14.7462161959174</v>
      </c>
      <c r="N151" s="7">
        <v>2.5991858110134198</v>
      </c>
      <c r="O151" s="7">
        <v>1.53073215070919</v>
      </c>
      <c r="P151" s="7">
        <v>-41.590685635142599</v>
      </c>
      <c r="Q151" s="7">
        <v>1.2568832785070767</v>
      </c>
      <c r="U151">
        <v>1.0108161479325617</v>
      </c>
      <c r="AT151" s="4" t="s">
        <v>4002</v>
      </c>
    </row>
    <row r="152" spans="1:46">
      <c r="A152" s="2">
        <v>1166</v>
      </c>
      <c r="B152" t="s">
        <v>4003</v>
      </c>
      <c r="C152" t="s">
        <v>3575</v>
      </c>
      <c r="D152" t="s">
        <v>3721</v>
      </c>
      <c r="E152" s="4">
        <v>43465</v>
      </c>
      <c r="F152" s="11">
        <v>39.479166669999998</v>
      </c>
      <c r="G152" s="11">
        <v>105.81929556</v>
      </c>
      <c r="H152" s="11">
        <v>2.2651614265000002</v>
      </c>
      <c r="I152" s="11">
        <v>25.333646655500001</v>
      </c>
      <c r="J152" s="11">
        <v>2.6530084360999999</v>
      </c>
      <c r="K152" s="10">
        <v>0.73122933811400004</v>
      </c>
      <c r="L152" s="12">
        <v>39142289248.830002</v>
      </c>
      <c r="M152">
        <v>-13.0694854898576</v>
      </c>
      <c r="N152" s="7">
        <v>4.8114000069002696</v>
      </c>
      <c r="O152" s="7">
        <v>2.9353542412179099</v>
      </c>
      <c r="P152" s="7">
        <v>-54.669499497743701</v>
      </c>
      <c r="Q152" s="7" t="s">
        <v>3698</v>
      </c>
      <c r="U152">
        <v>5.9306941416666668E-2</v>
      </c>
      <c r="AT152" s="4" t="s">
        <v>4004</v>
      </c>
    </row>
    <row r="153" spans="1:46">
      <c r="A153" s="2">
        <v>1681</v>
      </c>
      <c r="B153" t="s">
        <v>4005</v>
      </c>
      <c r="C153" t="s">
        <v>2517</v>
      </c>
      <c r="D153" t="s">
        <v>3721</v>
      </c>
      <c r="E153" s="4">
        <v>43465</v>
      </c>
      <c r="F153" s="11">
        <v>-5.5459359999999999E-2</v>
      </c>
      <c r="G153" s="11">
        <v>105.72390572</v>
      </c>
      <c r="H153" s="11">
        <v>-32.373690583699997</v>
      </c>
      <c r="I153" s="11">
        <v>7.3172010329999999</v>
      </c>
      <c r="J153" s="11">
        <v>-46.052553982799999</v>
      </c>
      <c r="K153" s="10">
        <v>0.44623297200399997</v>
      </c>
      <c r="L153" s="12">
        <v>4820400000</v>
      </c>
      <c r="M153">
        <v>-64.377860968667605</v>
      </c>
      <c r="N153" s="7">
        <v>3.6403506852485301</v>
      </c>
      <c r="O153" s="7">
        <v>0.58568428108264403</v>
      </c>
      <c r="P153" s="7">
        <v>-17.387295357540701</v>
      </c>
      <c r="Q153" s="7" t="s">
        <v>3698</v>
      </c>
      <c r="U153">
        <v>-1.7569913523472938</v>
      </c>
      <c r="AT153" s="4" t="s">
        <v>4006</v>
      </c>
    </row>
    <row r="154" spans="1:46">
      <c r="A154" s="2">
        <v>907</v>
      </c>
      <c r="B154" t="s">
        <v>4007</v>
      </c>
      <c r="C154" t="s">
        <v>3232</v>
      </c>
      <c r="D154" t="s">
        <v>3713</v>
      </c>
      <c r="E154" s="4">
        <v>43465</v>
      </c>
      <c r="F154" s="11">
        <v>66.702361510000003</v>
      </c>
      <c r="G154" s="11">
        <v>105.57491288999999</v>
      </c>
      <c r="H154" s="11">
        <v>18.512798116399999</v>
      </c>
      <c r="I154" s="11">
        <v>32.572140501600003</v>
      </c>
      <c r="J154" s="11">
        <v>9.0756198057000006</v>
      </c>
      <c r="K154" s="10">
        <v>1.3589637983189999</v>
      </c>
      <c r="L154" s="12">
        <v>5785935831.8400002</v>
      </c>
      <c r="M154">
        <v>21.3633888282599</v>
      </c>
      <c r="N154" s="7">
        <v>2.9155804858547598</v>
      </c>
      <c r="O154" s="7">
        <v>1.0818228284308</v>
      </c>
      <c r="P154" s="7">
        <v>64.028329601775695</v>
      </c>
      <c r="Q154" s="7">
        <v>0.34722222222222227</v>
      </c>
      <c r="U154">
        <v>0.99660895045726194</v>
      </c>
      <c r="AT154" s="4" t="s">
        <v>4008</v>
      </c>
    </row>
    <row r="155" spans="1:46">
      <c r="A155" s="2">
        <v>1921</v>
      </c>
      <c r="B155" t="s">
        <v>4009</v>
      </c>
      <c r="C155" t="s">
        <v>2492</v>
      </c>
      <c r="D155" t="s">
        <v>3713</v>
      </c>
      <c r="E155" s="4">
        <v>43465</v>
      </c>
      <c r="F155" s="11">
        <v>40.47526568</v>
      </c>
      <c r="G155" s="11">
        <v>104.88057818999999</v>
      </c>
      <c r="H155" s="11">
        <v>26.004424051099999</v>
      </c>
      <c r="I155" s="11">
        <v>41.708201602199999</v>
      </c>
      <c r="J155" s="11">
        <v>11.3930396822</v>
      </c>
      <c r="K155" s="10">
        <v>0.55673790891300001</v>
      </c>
      <c r="L155" s="12">
        <v>20741446685.68</v>
      </c>
      <c r="M155">
        <v>90.882525471582596</v>
      </c>
      <c r="N155" s="7">
        <v>8.2997706131187599</v>
      </c>
      <c r="O155" s="7">
        <v>6.5434106353962997</v>
      </c>
      <c r="P155" s="7">
        <v>-140.10532260938101</v>
      </c>
      <c r="Q155" s="7">
        <v>0.20177571140488462</v>
      </c>
      <c r="U155">
        <v>0.40761104357202138</v>
      </c>
      <c r="AT155" s="4" t="s">
        <v>4010</v>
      </c>
    </row>
    <row r="156" spans="1:46">
      <c r="A156" s="2">
        <v>1981</v>
      </c>
      <c r="B156" t="s">
        <v>4011</v>
      </c>
      <c r="C156" t="s">
        <v>1314</v>
      </c>
      <c r="D156" t="s">
        <v>3737</v>
      </c>
      <c r="E156" s="4">
        <v>43465</v>
      </c>
      <c r="F156" s="11">
        <v>4.3272177799999998</v>
      </c>
      <c r="G156" s="11">
        <v>104.72317798</v>
      </c>
      <c r="H156" s="11">
        <v>19.2732930745</v>
      </c>
      <c r="I156" s="11">
        <v>94.364415493500005</v>
      </c>
      <c r="J156" s="11">
        <v>13.3578257287</v>
      </c>
      <c r="K156" s="10">
        <v>0.39279713111600001</v>
      </c>
      <c r="L156" s="12">
        <v>18169531478.580002</v>
      </c>
      <c r="M156">
        <v>74.074028333564797</v>
      </c>
      <c r="N156" s="7">
        <v>7.2259814083060103</v>
      </c>
      <c r="O156" s="7">
        <v>10.8123917410038</v>
      </c>
      <c r="P156" s="7">
        <v>-445.39934721041902</v>
      </c>
      <c r="Q156" s="7">
        <v>0.16459673799191982</v>
      </c>
      <c r="U156">
        <v>0.41600589441396507</v>
      </c>
      <c r="AT156" s="4" t="s">
        <v>4012</v>
      </c>
    </row>
    <row r="157" spans="1:46">
      <c r="A157" s="2">
        <v>32</v>
      </c>
      <c r="B157" t="s">
        <v>4013</v>
      </c>
      <c r="C157" t="s">
        <v>1634</v>
      </c>
      <c r="D157" t="s">
        <v>3811</v>
      </c>
      <c r="E157" s="4">
        <v>43465</v>
      </c>
      <c r="F157" s="11">
        <v>42.80136195</v>
      </c>
      <c r="G157" s="11">
        <v>104.09336576</v>
      </c>
      <c r="H157" s="11">
        <v>-14.9627506087</v>
      </c>
      <c r="I157" s="11">
        <v>22.154614788500002</v>
      </c>
      <c r="J157" s="11">
        <v>6.9827758379000002</v>
      </c>
      <c r="K157" s="10">
        <v>0.78450503982399999</v>
      </c>
      <c r="L157" s="12">
        <v>26345700000</v>
      </c>
      <c r="M157">
        <v>90.181257555372</v>
      </c>
      <c r="N157" s="7">
        <v>2.12362338118725</v>
      </c>
      <c r="O157" s="7">
        <v>1.7513436083601099</v>
      </c>
      <c r="P157" s="7">
        <v>-54.305052671049403</v>
      </c>
      <c r="Q157" s="7">
        <v>0.61491160645657184</v>
      </c>
      <c r="U157">
        <v>0.25898426815175185</v>
      </c>
      <c r="AT157" s="4" t="s">
        <v>4014</v>
      </c>
    </row>
    <row r="158" spans="1:46">
      <c r="A158" s="2">
        <v>3007</v>
      </c>
      <c r="B158" t="s">
        <v>4015</v>
      </c>
      <c r="C158" t="s">
        <v>3231</v>
      </c>
      <c r="D158" t="s">
        <v>3718</v>
      </c>
      <c r="E158" s="4">
        <v>43465</v>
      </c>
      <c r="F158" s="11">
        <v>109.05020626</v>
      </c>
      <c r="G158" s="11">
        <v>103.74753452</v>
      </c>
      <c r="H158" s="11">
        <v>21.765046141700001</v>
      </c>
      <c r="I158" s="11">
        <v>32.9190045669</v>
      </c>
      <c r="J158" s="11">
        <v>6.8825635529999998</v>
      </c>
      <c r="K158" s="10">
        <v>0.30829833746599999</v>
      </c>
      <c r="L158" s="12">
        <v>5867719186.1999998</v>
      </c>
      <c r="M158">
        <v>41.906001064404997</v>
      </c>
      <c r="N158" s="7">
        <v>1.43127985233149</v>
      </c>
      <c r="O158" s="7">
        <v>1.9767254116147099</v>
      </c>
      <c r="P158" s="7">
        <v>40.864542497932803</v>
      </c>
      <c r="Q158" s="7" t="s">
        <v>3698</v>
      </c>
      <c r="U158">
        <v>0.18514663036769277</v>
      </c>
      <c r="AT158" s="4" t="s">
        <v>4016</v>
      </c>
    </row>
    <row r="159" spans="1:46">
      <c r="A159" s="2">
        <v>2600</v>
      </c>
      <c r="B159" t="s">
        <v>4017</v>
      </c>
      <c r="C159" t="s">
        <v>106</v>
      </c>
      <c r="D159" t="s">
        <v>3785</v>
      </c>
      <c r="E159" s="4">
        <v>43465</v>
      </c>
      <c r="F159" s="11">
        <v>74.562541120000006</v>
      </c>
      <c r="G159" s="11">
        <v>103.47443353</v>
      </c>
      <c r="H159" s="11">
        <v>26.488453415799999</v>
      </c>
      <c r="I159" s="11">
        <v>91.142012876799996</v>
      </c>
      <c r="J159" s="11">
        <v>51.371804768399997</v>
      </c>
      <c r="K159" s="10">
        <v>0.52435118706399997</v>
      </c>
      <c r="L159" s="12">
        <v>8551106483.1199999</v>
      </c>
      <c r="M159">
        <v>23.113805197316701</v>
      </c>
      <c r="N159" s="7">
        <v>6.56840388182325</v>
      </c>
      <c r="O159" s="7">
        <v>10.3595345978687</v>
      </c>
      <c r="P159" s="7">
        <v>76.015540895724996</v>
      </c>
      <c r="Q159" s="7">
        <v>1.2877767936226747</v>
      </c>
      <c r="T159" s="2"/>
      <c r="U159">
        <v>28.023950737073413</v>
      </c>
      <c r="AT159" s="4" t="s">
        <v>4018</v>
      </c>
    </row>
    <row r="160" spans="1:46">
      <c r="A160" s="2">
        <v>1997</v>
      </c>
      <c r="B160" t="s">
        <v>4019</v>
      </c>
      <c r="C160" t="s">
        <v>1285</v>
      </c>
      <c r="D160" t="s">
        <v>3752</v>
      </c>
      <c r="E160" s="4">
        <v>43465</v>
      </c>
      <c r="F160" s="11">
        <v>57.155114480000002</v>
      </c>
      <c r="G160" s="11">
        <v>103.37401292</v>
      </c>
      <c r="H160" s="11">
        <v>16.423976585799998</v>
      </c>
      <c r="I160" s="11">
        <v>29.4583479944</v>
      </c>
      <c r="J160" s="11">
        <v>9.9611724902999992</v>
      </c>
      <c r="K160" s="10">
        <v>0.81205596637699995</v>
      </c>
      <c r="L160" s="12">
        <v>1486081997400</v>
      </c>
      <c r="M160">
        <v>57.971044669357198</v>
      </c>
      <c r="N160" s="7">
        <v>3.8192333273554802</v>
      </c>
      <c r="O160" s="7">
        <v>4.0338330176697097</v>
      </c>
      <c r="P160" s="7">
        <v>-2783.71753720063</v>
      </c>
      <c r="Q160" s="7">
        <v>0.55066079295154191</v>
      </c>
      <c r="U160">
        <v>0.35116441641666668</v>
      </c>
      <c r="AT160" s="4" t="s">
        <v>4020</v>
      </c>
    </row>
    <row r="161" spans="1:46">
      <c r="A161" s="2">
        <v>80</v>
      </c>
      <c r="B161" t="s">
        <v>4021</v>
      </c>
      <c r="C161" t="s">
        <v>265</v>
      </c>
      <c r="D161" t="s">
        <v>3849</v>
      </c>
      <c r="E161" s="4">
        <v>43465</v>
      </c>
      <c r="F161" s="11">
        <v>107.6050469</v>
      </c>
      <c r="G161" s="11">
        <v>103.24675325</v>
      </c>
      <c r="H161" s="11">
        <v>5.0712349880999996</v>
      </c>
      <c r="I161" s="11">
        <v>22.3347666857</v>
      </c>
      <c r="J161" s="11">
        <v>7.3000362847</v>
      </c>
      <c r="K161" s="10">
        <v>0.80653315824799998</v>
      </c>
      <c r="L161" s="12">
        <v>3190800000</v>
      </c>
      <c r="M161">
        <v>8.0150710782195702</v>
      </c>
      <c r="N161" s="7">
        <v>3.7833262624912001</v>
      </c>
      <c r="O161" s="7">
        <v>0.38924323140233003</v>
      </c>
      <c r="P161" s="7">
        <v>-60.5746350614926</v>
      </c>
      <c r="Q161" s="7">
        <v>2.1452732510528527</v>
      </c>
      <c r="U161">
        <v>1.0825645937139903</v>
      </c>
      <c r="AT161" s="4" t="s">
        <v>4022</v>
      </c>
    </row>
    <row r="162" spans="1:46">
      <c r="A162" s="2">
        <v>466</v>
      </c>
      <c r="B162" t="s">
        <v>4023</v>
      </c>
      <c r="C162" t="s">
        <v>656</v>
      </c>
      <c r="D162" t="s">
        <v>3849</v>
      </c>
      <c r="E162" s="4">
        <v>43465</v>
      </c>
      <c r="F162" s="11">
        <v>39.463846650000001</v>
      </c>
      <c r="G162" s="11">
        <v>102.96229803</v>
      </c>
      <c r="H162" s="11">
        <v>8.2214995661000003</v>
      </c>
      <c r="I162" s="11">
        <v>8.8576648645000002</v>
      </c>
      <c r="J162" s="11">
        <v>3.0047180243999998</v>
      </c>
      <c r="K162" s="10">
        <v>1.6451868018169999</v>
      </c>
      <c r="L162" s="12">
        <v>125989917452.60001</v>
      </c>
      <c r="M162">
        <v>9.6573500787049191</v>
      </c>
      <c r="N162" s="7">
        <v>1.23109791304937</v>
      </c>
      <c r="O162" s="7">
        <v>0.18565972100252601</v>
      </c>
      <c r="P162" s="7">
        <v>6.9448401675837603</v>
      </c>
      <c r="Q162" s="7">
        <v>2.4287222808870119</v>
      </c>
      <c r="U162">
        <v>1.3487844001944325</v>
      </c>
      <c r="AT162" s="4" t="s">
        <v>4024</v>
      </c>
    </row>
    <row r="163" spans="1:46">
      <c r="A163" s="2">
        <v>772</v>
      </c>
      <c r="B163" t="s">
        <v>4025</v>
      </c>
      <c r="C163" t="s">
        <v>3056</v>
      </c>
      <c r="D163" t="s">
        <v>3889</v>
      </c>
      <c r="E163" s="4">
        <v>43465</v>
      </c>
      <c r="F163" s="11">
        <v>7.2198727500000004</v>
      </c>
      <c r="G163" s="11">
        <v>102.8436019</v>
      </c>
      <c r="H163" s="11">
        <v>5.9152595711</v>
      </c>
      <c r="I163" s="11">
        <v>49.634835032600002</v>
      </c>
      <c r="J163" s="11">
        <v>-115.29269991709999</v>
      </c>
      <c r="K163" s="10">
        <v>0.314656886611</v>
      </c>
      <c r="L163" s="12">
        <v>15099318000</v>
      </c>
      <c r="M163">
        <v>-108.87944800925899</v>
      </c>
      <c r="N163" s="7">
        <v>2.8262932165570702</v>
      </c>
      <c r="O163" s="7">
        <v>4.1351459417243701</v>
      </c>
      <c r="P163" s="7">
        <v>71.826027957608204</v>
      </c>
      <c r="Q163" s="7" t="s">
        <v>3698</v>
      </c>
      <c r="U163">
        <v>-1.2408295128437885</v>
      </c>
      <c r="AT163" s="4" t="s">
        <v>4026</v>
      </c>
    </row>
    <row r="164" spans="1:46">
      <c r="A164" s="2">
        <v>1538</v>
      </c>
      <c r="B164" t="s">
        <v>4027</v>
      </c>
      <c r="C164" t="s">
        <v>281</v>
      </c>
      <c r="D164" t="s">
        <v>3790</v>
      </c>
      <c r="E164" s="4">
        <v>43465</v>
      </c>
      <c r="F164" s="11">
        <v>42.152567419999997</v>
      </c>
      <c r="G164" s="11">
        <v>101.3375295</v>
      </c>
      <c r="H164" s="11">
        <v>9.3100794297</v>
      </c>
      <c r="I164" s="11">
        <v>64.172746559299995</v>
      </c>
      <c r="J164" s="11">
        <v>21.701486355</v>
      </c>
      <c r="K164" s="10">
        <v>0.50465042942299998</v>
      </c>
      <c r="L164" s="12">
        <v>9114349716.7199993</v>
      </c>
      <c r="M164">
        <v>16.031273608987501</v>
      </c>
      <c r="N164" s="7">
        <v>4.4859834507315801</v>
      </c>
      <c r="O164" s="7">
        <v>4.0903214490389397</v>
      </c>
      <c r="P164" s="7">
        <v>20.265514868649198</v>
      </c>
      <c r="Q164" s="7" t="s">
        <v>3698</v>
      </c>
      <c r="U164">
        <v>0.46327378184280044</v>
      </c>
      <c r="AT164" s="4" t="s">
        <v>4028</v>
      </c>
    </row>
    <row r="165" spans="1:46">
      <c r="A165" s="2">
        <v>3152</v>
      </c>
      <c r="B165" t="s">
        <v>4029</v>
      </c>
      <c r="C165" t="s">
        <v>723</v>
      </c>
      <c r="D165" t="s">
        <v>3849</v>
      </c>
      <c r="E165" s="4">
        <v>43465</v>
      </c>
      <c r="F165" s="11">
        <v>97.793579390000005</v>
      </c>
      <c r="G165" s="11">
        <v>100.67368421</v>
      </c>
      <c r="H165" s="11">
        <v>19.237863602699999</v>
      </c>
      <c r="I165" s="11">
        <v>22.556379701499999</v>
      </c>
      <c r="J165" s="11">
        <v>11.9878232533</v>
      </c>
      <c r="K165" s="10">
        <v>0.74037424801100005</v>
      </c>
      <c r="L165" s="12">
        <v>17836239195.599998</v>
      </c>
      <c r="M165">
        <v>25.377694873020999</v>
      </c>
      <c r="N165" s="7">
        <v>3.0027814318241401</v>
      </c>
      <c r="O165" s="7">
        <v>2.6380338677132502</v>
      </c>
      <c r="P165" s="7">
        <v>68.252533486940607</v>
      </c>
      <c r="Q165" s="7">
        <v>1.1785714285714286</v>
      </c>
      <c r="U165">
        <v>2.2108456871459889</v>
      </c>
      <c r="AT165" s="4" t="s">
        <v>4030</v>
      </c>
    </row>
    <row r="166" spans="1:46">
      <c r="A166" s="2">
        <v>3041</v>
      </c>
      <c r="B166" t="s">
        <v>4031</v>
      </c>
      <c r="C166" t="s">
        <v>1369</v>
      </c>
      <c r="D166" t="s">
        <v>3752</v>
      </c>
      <c r="E166" s="4">
        <v>43465</v>
      </c>
      <c r="F166" s="11">
        <v>28.140495820000002</v>
      </c>
      <c r="G166" s="11">
        <v>100.44843049000001</v>
      </c>
      <c r="H166" s="11">
        <v>-0.88468074149999998</v>
      </c>
      <c r="I166" s="11">
        <v>19.824311706100001</v>
      </c>
      <c r="J166" s="11">
        <v>4.8004916446000001</v>
      </c>
      <c r="K166" s="10">
        <v>0.90199893770899997</v>
      </c>
      <c r="L166" s="12">
        <v>26229223935.360001</v>
      </c>
      <c r="M166">
        <v>9.6938323919611609</v>
      </c>
      <c r="N166" s="7">
        <v>1.03723512998217</v>
      </c>
      <c r="O166" s="7">
        <v>0.435633828547484</v>
      </c>
      <c r="P166" s="7">
        <v>11.7600128307775</v>
      </c>
      <c r="Q166" s="7">
        <v>1.1342907235869453</v>
      </c>
      <c r="U166">
        <v>0.24732331271062494</v>
      </c>
      <c r="AT166" s="4" t="s">
        <v>4032</v>
      </c>
    </row>
    <row r="167" spans="1:46">
      <c r="A167" s="2">
        <v>2436</v>
      </c>
      <c r="B167" t="s">
        <v>4033</v>
      </c>
      <c r="C167" t="s">
        <v>62</v>
      </c>
      <c r="D167" t="s">
        <v>3752</v>
      </c>
      <c r="E167" s="4">
        <v>43465</v>
      </c>
      <c r="F167" s="11">
        <v>62.226849970000004</v>
      </c>
      <c r="G167" s="11">
        <v>100.25008932</v>
      </c>
      <c r="H167" s="11">
        <v>14.1144056692</v>
      </c>
      <c r="I167" s="11">
        <v>33.827833787300001</v>
      </c>
      <c r="J167" s="11">
        <v>21.1636248909</v>
      </c>
      <c r="K167" s="10">
        <v>0.84939088118200001</v>
      </c>
      <c r="L167" s="12">
        <v>12070165230.66</v>
      </c>
      <c r="M167">
        <v>6.6975617651857204</v>
      </c>
      <c r="N167" s="7">
        <v>2.2842459147818799</v>
      </c>
      <c r="O167" s="7">
        <v>1.2736571155843699</v>
      </c>
      <c r="P167" s="7">
        <v>124.80371963180001</v>
      </c>
      <c r="Q167" s="7">
        <v>4.1313778145011355</v>
      </c>
      <c r="T167" s="2"/>
      <c r="U167">
        <v>3.8808815596254704</v>
      </c>
      <c r="AT167" s="4" t="s">
        <v>4034</v>
      </c>
    </row>
    <row r="168" spans="1:46">
      <c r="A168" s="2">
        <v>3454</v>
      </c>
      <c r="B168" t="s">
        <v>4035</v>
      </c>
      <c r="C168" t="s">
        <v>336</v>
      </c>
      <c r="D168" t="s">
        <v>3752</v>
      </c>
      <c r="E168" s="4">
        <v>43465</v>
      </c>
      <c r="F168" s="11">
        <v>211.3695597</v>
      </c>
      <c r="G168" s="11">
        <v>99.931926480000001</v>
      </c>
      <c r="H168" s="11">
        <v>32.429091997</v>
      </c>
      <c r="I168" s="11">
        <v>64.025963030100002</v>
      </c>
      <c r="J168" s="11">
        <v>12.138474758799999</v>
      </c>
      <c r="K168" s="10">
        <v>0.91452679896199995</v>
      </c>
      <c r="L168" s="12">
        <v>176359567982.42001</v>
      </c>
      <c r="M168">
        <v>36.812408000979801</v>
      </c>
      <c r="N168" s="7">
        <v>5.2375504668934401</v>
      </c>
      <c r="O168" s="7">
        <v>4.1667022491978498</v>
      </c>
      <c r="P168" s="7">
        <v>29.309078986235299</v>
      </c>
      <c r="Q168" s="7">
        <v>0.51222127214204183</v>
      </c>
      <c r="U168">
        <v>1.4262288776002261</v>
      </c>
      <c r="AT168" s="4" t="s">
        <v>4036</v>
      </c>
    </row>
    <row r="169" spans="1:46">
      <c r="A169" s="2">
        <v>1885</v>
      </c>
      <c r="B169" t="s">
        <v>4037</v>
      </c>
      <c r="C169" t="s">
        <v>2804</v>
      </c>
      <c r="D169" t="s">
        <v>3721</v>
      </c>
      <c r="E169" s="4">
        <v>43465</v>
      </c>
      <c r="F169" s="11">
        <v>23.98968378</v>
      </c>
      <c r="G169" s="11">
        <v>99.761051370000004</v>
      </c>
      <c r="H169" s="11">
        <v>-12.1920822495</v>
      </c>
      <c r="I169" s="11">
        <v>25.3162681845</v>
      </c>
      <c r="J169" s="11">
        <v>-6.9891219587000002</v>
      </c>
      <c r="K169" s="10">
        <v>0.30292799634399997</v>
      </c>
      <c r="L169" s="12">
        <v>17721784758</v>
      </c>
      <c r="M169">
        <v>85.607515083736899</v>
      </c>
      <c r="N169" s="7">
        <v>2.5310231162145</v>
      </c>
      <c r="O169" s="7">
        <v>3.9612196891081601</v>
      </c>
      <c r="P169" s="7">
        <v>90.387726685429797</v>
      </c>
      <c r="Q169" s="7" t="s">
        <v>3698</v>
      </c>
      <c r="U169">
        <v>-0.13248847012792217</v>
      </c>
      <c r="AT169" s="4" t="s">
        <v>4038</v>
      </c>
    </row>
    <row r="170" spans="1:46">
      <c r="A170" s="2">
        <v>1927</v>
      </c>
      <c r="B170" t="s">
        <v>4039</v>
      </c>
      <c r="C170" t="s">
        <v>3250</v>
      </c>
      <c r="D170" t="s">
        <v>3713</v>
      </c>
      <c r="E170" s="4">
        <v>43465</v>
      </c>
      <c r="F170" s="11">
        <v>40.067670630000002</v>
      </c>
      <c r="G170" s="11">
        <v>99.745547070000001</v>
      </c>
      <c r="H170" s="11">
        <v>-13.3826889452</v>
      </c>
      <c r="I170" s="11">
        <v>19.508775288799999</v>
      </c>
      <c r="J170" s="11">
        <v>4.1887389529999997</v>
      </c>
      <c r="K170" s="10">
        <v>0.54635474806399997</v>
      </c>
      <c r="L170" s="12">
        <v>2764745106</v>
      </c>
      <c r="M170">
        <v>495.245699125633</v>
      </c>
      <c r="N170" s="7">
        <v>4.1238915855940901</v>
      </c>
      <c r="O170" s="7">
        <v>6.2492125314614198</v>
      </c>
      <c r="P170" s="7">
        <v>109.852671518422</v>
      </c>
      <c r="Q170" s="7">
        <v>0.32508983022556998</v>
      </c>
      <c r="U170">
        <v>0.13354589580995332</v>
      </c>
      <c r="AT170" s="4" t="s">
        <v>4040</v>
      </c>
    </row>
    <row r="171" spans="1:46">
      <c r="A171" s="2">
        <v>895</v>
      </c>
      <c r="B171" t="s">
        <v>4041</v>
      </c>
      <c r="C171" t="s">
        <v>1446</v>
      </c>
      <c r="D171" t="s">
        <v>3713</v>
      </c>
      <c r="E171" s="4">
        <v>43465</v>
      </c>
      <c r="F171" s="11">
        <v>22.560433660000001</v>
      </c>
      <c r="G171" s="11">
        <v>98.671390610000003</v>
      </c>
      <c r="H171" s="11">
        <v>28.8237791275</v>
      </c>
      <c r="I171" s="11">
        <v>15.956862646799999</v>
      </c>
      <c r="J171" s="11">
        <v>4.0909382387999997</v>
      </c>
      <c r="K171" s="10">
        <v>0.74462877986999998</v>
      </c>
      <c r="L171" s="12">
        <v>9491470281</v>
      </c>
      <c r="M171">
        <v>35.284852968114002</v>
      </c>
      <c r="N171" s="7">
        <v>2.92826217776213</v>
      </c>
      <c r="O171" s="7">
        <v>0.98780796712918195</v>
      </c>
      <c r="P171" s="7">
        <v>-24.902971427293402</v>
      </c>
      <c r="Q171" s="7">
        <v>0.2879581151832461</v>
      </c>
      <c r="U171">
        <v>0.50484021129536627</v>
      </c>
      <c r="AT171" s="4" t="s">
        <v>4042</v>
      </c>
    </row>
    <row r="172" spans="1:46">
      <c r="A172" s="2">
        <v>1659</v>
      </c>
      <c r="B172" t="s">
        <v>4043</v>
      </c>
      <c r="C172" t="s">
        <v>3219</v>
      </c>
      <c r="D172" t="s">
        <v>3769</v>
      </c>
      <c r="E172" s="4">
        <v>43465</v>
      </c>
      <c r="F172" s="11">
        <v>23.600439080000001</v>
      </c>
      <c r="G172" s="11">
        <v>98.412698410000004</v>
      </c>
      <c r="H172" s="11">
        <v>-18.016954930699999</v>
      </c>
      <c r="I172" s="11">
        <v>7.6752794200999999</v>
      </c>
      <c r="J172" s="11">
        <v>-28.497813221299999</v>
      </c>
      <c r="K172" s="10">
        <v>0.241189512134</v>
      </c>
      <c r="L172" s="12">
        <v>37192152842.550003</v>
      </c>
      <c r="M172">
        <v>-73.918509142731494</v>
      </c>
      <c r="N172" s="7">
        <v>1.8159552539822199</v>
      </c>
      <c r="O172" s="7">
        <v>4.6477644895170602</v>
      </c>
      <c r="P172" s="7">
        <v>-858.39409278690903</v>
      </c>
      <c r="Q172" s="7" t="s">
        <v>3698</v>
      </c>
      <c r="U172">
        <v>-0.24686994525849187</v>
      </c>
      <c r="AT172" s="4" t="s">
        <v>4044</v>
      </c>
    </row>
    <row r="173" spans="1:46">
      <c r="A173" s="2">
        <v>2935</v>
      </c>
      <c r="B173" t="s">
        <v>4045</v>
      </c>
      <c r="C173" t="s">
        <v>1885</v>
      </c>
      <c r="D173" t="s">
        <v>4046</v>
      </c>
      <c r="E173" s="4">
        <v>43465</v>
      </c>
      <c r="F173" s="11">
        <v>15.13132117</v>
      </c>
      <c r="G173" s="11">
        <v>97.678571430000005</v>
      </c>
      <c r="H173" s="11">
        <v>-12.855363545499999</v>
      </c>
      <c r="I173" s="11">
        <v>35.763799428699997</v>
      </c>
      <c r="J173" s="11">
        <v>13.614880631</v>
      </c>
      <c r="K173" s="10">
        <v>0.35878754062899998</v>
      </c>
      <c r="L173" s="12">
        <v>3260159460.8800001</v>
      </c>
      <c r="M173">
        <v>678.28861215294398</v>
      </c>
      <c r="N173" s="7">
        <v>2.0552393362619199</v>
      </c>
      <c r="O173" s="7">
        <v>2.8477208758689598</v>
      </c>
      <c r="P173" s="7">
        <v>-9.7724482456541306</v>
      </c>
      <c r="Q173" s="7">
        <v>1.1434511434511436</v>
      </c>
      <c r="U173">
        <v>0.21826989197445429</v>
      </c>
      <c r="AT173" s="4" t="s">
        <v>4047</v>
      </c>
    </row>
    <row r="174" spans="1:46">
      <c r="A174" s="2">
        <v>1510</v>
      </c>
      <c r="B174" t="s">
        <v>4048</v>
      </c>
      <c r="C174" t="s">
        <v>3418</v>
      </c>
      <c r="D174" t="s">
        <v>3713</v>
      </c>
      <c r="E174" s="4">
        <v>43465</v>
      </c>
      <c r="F174" s="11">
        <v>13.979344879999999</v>
      </c>
      <c r="G174" s="11">
        <v>97.361809050000005</v>
      </c>
      <c r="H174" s="11">
        <v>13.2068670137</v>
      </c>
      <c r="I174" s="11">
        <v>31.9622351507</v>
      </c>
      <c r="J174" s="11">
        <v>1.6681765769000001</v>
      </c>
      <c r="K174" s="10">
        <v>0.59420851497500005</v>
      </c>
      <c r="L174" s="12">
        <v>15351401159.139999</v>
      </c>
      <c r="M174">
        <v>-526.25280897535595</v>
      </c>
      <c r="N174" s="7">
        <v>4.7044421881290797</v>
      </c>
      <c r="O174" s="7">
        <v>4.2125376496763698</v>
      </c>
      <c r="P174" s="7">
        <v>-46.324022040551398</v>
      </c>
      <c r="Q174" s="7">
        <v>0.13368983957219252</v>
      </c>
      <c r="U174">
        <v>5.0592537392438144E-2</v>
      </c>
      <c r="AT174" s="4" t="s">
        <v>3892</v>
      </c>
    </row>
    <row r="175" spans="1:46">
      <c r="A175" s="2">
        <v>374</v>
      </c>
      <c r="B175" t="s">
        <v>4049</v>
      </c>
      <c r="C175" t="s">
        <v>290</v>
      </c>
      <c r="D175" t="s">
        <v>3752</v>
      </c>
      <c r="E175" s="4">
        <v>43465</v>
      </c>
      <c r="F175" s="11">
        <v>57.112651390000003</v>
      </c>
      <c r="G175" s="11">
        <v>96.749729139999999</v>
      </c>
      <c r="H175" s="11">
        <v>12.4798303903</v>
      </c>
      <c r="I175" s="11">
        <v>25.7646152708</v>
      </c>
      <c r="J175" s="11">
        <v>13.515681943300001</v>
      </c>
      <c r="K175" s="10">
        <v>0.95349320527799997</v>
      </c>
      <c r="L175" s="12">
        <v>10938795481.799999</v>
      </c>
      <c r="M175">
        <v>14.866829199527899</v>
      </c>
      <c r="N175" s="7">
        <v>4.1326780094500597</v>
      </c>
      <c r="O175" s="7">
        <v>1.6466862435171901</v>
      </c>
      <c r="P175" s="7">
        <v>-43.9560009944976</v>
      </c>
      <c r="Q175" s="7">
        <v>1.413760603204524</v>
      </c>
      <c r="U175">
        <v>0.72942813837681164</v>
      </c>
      <c r="AT175" s="4" t="s">
        <v>4050</v>
      </c>
    </row>
    <row r="176" spans="1:46">
      <c r="A176" s="2">
        <v>1186</v>
      </c>
      <c r="B176" t="s">
        <v>4051</v>
      </c>
      <c r="C176" t="s">
        <v>1780</v>
      </c>
      <c r="D176" t="s">
        <v>3737</v>
      </c>
      <c r="E176" s="4">
        <v>43465</v>
      </c>
      <c r="F176" s="11">
        <v>37.593869040000001</v>
      </c>
      <c r="G176" s="11">
        <v>96.060991110000003</v>
      </c>
      <c r="H176" s="11">
        <v>46.2033889585</v>
      </c>
      <c r="I176" s="11">
        <v>57.312247350100002</v>
      </c>
      <c r="J176" s="11">
        <v>16.6661848615</v>
      </c>
      <c r="K176" s="10">
        <v>0.381164603968</v>
      </c>
      <c r="L176" s="12">
        <v>13786200000</v>
      </c>
      <c r="M176">
        <v>26.692995908977199</v>
      </c>
      <c r="N176" s="7">
        <v>4.2481670132610496</v>
      </c>
      <c r="O176" s="7">
        <v>3.0088180555453499</v>
      </c>
      <c r="P176" s="7">
        <v>6314.3596922646702</v>
      </c>
      <c r="Q176" s="7">
        <v>0.30476190476190479</v>
      </c>
      <c r="U176">
        <v>0.34956587039309495</v>
      </c>
      <c r="AT176" s="4" t="s">
        <v>4052</v>
      </c>
    </row>
    <row r="177" spans="1:46">
      <c r="A177" s="2">
        <v>642</v>
      </c>
      <c r="B177" t="s">
        <v>4053</v>
      </c>
      <c r="C177" t="s">
        <v>1845</v>
      </c>
      <c r="D177" t="s">
        <v>3790</v>
      </c>
      <c r="E177" s="4">
        <v>43465</v>
      </c>
      <c r="F177" s="11">
        <v>14.70872262</v>
      </c>
      <c r="G177" s="11">
        <v>95.918367349999997</v>
      </c>
      <c r="H177" s="11">
        <v>15.8655672943</v>
      </c>
      <c r="I177" s="11">
        <v>11.5092090657</v>
      </c>
      <c r="J177" s="11">
        <v>-15.1178971332</v>
      </c>
      <c r="K177" s="10">
        <v>0.89030359922299995</v>
      </c>
      <c r="L177" s="12">
        <v>12923672791.860001</v>
      </c>
      <c r="M177">
        <v>121.162872014681</v>
      </c>
      <c r="N177" s="7">
        <v>1.79654344730875</v>
      </c>
      <c r="O177" s="7">
        <v>0.70155065044114895</v>
      </c>
      <c r="P177" s="7">
        <v>8.1538326561685803</v>
      </c>
      <c r="Q177" s="7" t="s">
        <v>3698</v>
      </c>
      <c r="U177">
        <v>-0.30698615924190931</v>
      </c>
      <c r="AT177" s="4" t="s">
        <v>4054</v>
      </c>
    </row>
    <row r="178" spans="1:46">
      <c r="A178" s="2">
        <v>1663</v>
      </c>
      <c r="B178" t="s">
        <v>4055</v>
      </c>
      <c r="C178" t="s">
        <v>2577</v>
      </c>
      <c r="D178" t="s">
        <v>3737</v>
      </c>
      <c r="E178" s="4">
        <v>43465</v>
      </c>
      <c r="F178" s="11">
        <v>-19.661903550000002</v>
      </c>
      <c r="G178" s="11">
        <v>95.492662469999999</v>
      </c>
      <c r="H178" s="11">
        <v>-0.46346578770000002</v>
      </c>
      <c r="I178" s="11">
        <v>72.524906365500001</v>
      </c>
      <c r="J178" s="11">
        <v>7.6590445570999997</v>
      </c>
      <c r="K178" s="10">
        <v>0.273119210896</v>
      </c>
      <c r="L178" s="12">
        <v>19753886961.27</v>
      </c>
      <c r="M178">
        <v>49.641733154486701</v>
      </c>
      <c r="N178" s="7">
        <v>4.3048820235071696</v>
      </c>
      <c r="O178" s="7">
        <v>5.7915689234113303</v>
      </c>
      <c r="P178" s="7">
        <v>-26.2418317195235</v>
      </c>
      <c r="Q178" s="7" t="s">
        <v>3698</v>
      </c>
      <c r="U178">
        <v>0.17252705986510167</v>
      </c>
      <c r="AT178" s="4" t="s">
        <v>4056</v>
      </c>
    </row>
    <row r="179" spans="1:46">
      <c r="A179" s="2">
        <v>1857</v>
      </c>
      <c r="B179" t="s">
        <v>4057</v>
      </c>
      <c r="C179" t="s">
        <v>2582</v>
      </c>
      <c r="D179" t="s">
        <v>3849</v>
      </c>
      <c r="E179" s="4">
        <v>43465</v>
      </c>
      <c r="F179" s="11">
        <v>-28.72216551</v>
      </c>
      <c r="G179" s="11">
        <v>95.486111109999996</v>
      </c>
      <c r="H179" s="11">
        <v>-36.494142033300001</v>
      </c>
      <c r="I179" s="11">
        <v>32.278082748899998</v>
      </c>
      <c r="J179" s="11">
        <v>-157.47969977689999</v>
      </c>
      <c r="K179" s="10">
        <v>0.33719754208699998</v>
      </c>
      <c r="L179" s="12">
        <v>5067125446.1099997</v>
      </c>
      <c r="M179">
        <v>18.365732987920602</v>
      </c>
      <c r="N179" s="7">
        <v>1.7387894510347299</v>
      </c>
      <c r="O179" s="7">
        <v>1.64671062094224</v>
      </c>
      <c r="P179" s="7">
        <v>48.0446195034678</v>
      </c>
      <c r="Q179" s="7" t="s">
        <v>3698</v>
      </c>
      <c r="U179">
        <v>-4.67285657374764</v>
      </c>
      <c r="AT179" s="4" t="s">
        <v>4058</v>
      </c>
    </row>
    <row r="180" spans="1:46">
      <c r="A180" s="2">
        <v>3314</v>
      </c>
      <c r="B180" t="s">
        <v>4059</v>
      </c>
      <c r="C180" t="s">
        <v>2272</v>
      </c>
      <c r="D180" t="s">
        <v>4060</v>
      </c>
      <c r="E180" s="4">
        <v>43465</v>
      </c>
      <c r="F180" s="11">
        <v>23.573483710000001</v>
      </c>
      <c r="G180" s="11">
        <v>95.171551879999996</v>
      </c>
      <c r="H180" s="11">
        <v>27.0501427769</v>
      </c>
      <c r="I180" s="11">
        <v>32.731500149399999</v>
      </c>
      <c r="J180" s="11">
        <v>11.594283922000001</v>
      </c>
      <c r="K180" s="10">
        <v>0.66476144208999999</v>
      </c>
      <c r="L180" s="12">
        <v>5386240916.2799997</v>
      </c>
      <c r="M180">
        <v>18.144062410498599</v>
      </c>
      <c r="N180" s="7">
        <v>1.9592940044762299</v>
      </c>
      <c r="O180" s="7">
        <v>1.81302759580771</v>
      </c>
      <c r="P180" s="7">
        <v>-49.742912671999797</v>
      </c>
      <c r="Q180" s="7">
        <v>1.1412829594647775</v>
      </c>
      <c r="U180">
        <v>1.8894946207536643</v>
      </c>
      <c r="AT180" s="4" t="s">
        <v>4061</v>
      </c>
    </row>
    <row r="181" spans="1:46">
      <c r="A181" s="2">
        <v>680</v>
      </c>
      <c r="B181" t="s">
        <v>4062</v>
      </c>
      <c r="C181" t="s">
        <v>2702</v>
      </c>
      <c r="D181" t="s">
        <v>3761</v>
      </c>
      <c r="E181" s="4">
        <v>43465</v>
      </c>
      <c r="F181" s="11">
        <v>32.311465349999999</v>
      </c>
      <c r="G181" s="11">
        <v>94.972067039999999</v>
      </c>
      <c r="H181" s="11">
        <v>47.592869573500003</v>
      </c>
      <c r="I181" s="11">
        <v>18.703051899999998</v>
      </c>
      <c r="J181" s="11">
        <v>2.9822907145999999</v>
      </c>
      <c r="K181" s="10">
        <v>0.57123557524199997</v>
      </c>
      <c r="L181" s="12">
        <v>4118386468.5599999</v>
      </c>
      <c r="M181">
        <v>26.0546104615917</v>
      </c>
      <c r="N181" s="7">
        <v>1.02197955527988</v>
      </c>
      <c r="O181" s="7">
        <v>1.03817306514235</v>
      </c>
      <c r="P181" s="7">
        <v>19.316062898448301</v>
      </c>
      <c r="Q181" s="7">
        <v>0.89820359281437123</v>
      </c>
      <c r="U181">
        <v>0.10018219338492033</v>
      </c>
      <c r="AT181" s="4" t="s">
        <v>4063</v>
      </c>
    </row>
    <row r="182" spans="1:46">
      <c r="A182" s="2">
        <v>1907</v>
      </c>
      <c r="B182" t="s">
        <v>4064</v>
      </c>
      <c r="C182" t="s">
        <v>275</v>
      </c>
      <c r="D182" t="s">
        <v>3737</v>
      </c>
      <c r="E182" s="4">
        <v>43465</v>
      </c>
      <c r="F182" s="11">
        <v>28.602479670000001</v>
      </c>
      <c r="G182" s="11">
        <v>94.805194810000003</v>
      </c>
      <c r="H182" s="11">
        <v>44.0490425359</v>
      </c>
      <c r="I182" s="11">
        <v>60.985424813500003</v>
      </c>
      <c r="J182" s="11">
        <v>21.004402085999999</v>
      </c>
      <c r="K182" s="10">
        <v>0.75238151736400005</v>
      </c>
      <c r="L182" s="12">
        <v>5341229719.3199997</v>
      </c>
      <c r="M182">
        <v>34.373847413377703</v>
      </c>
      <c r="N182" s="7">
        <v>4.8955257062876001</v>
      </c>
      <c r="O182" s="7">
        <v>5.65116472019238</v>
      </c>
      <c r="P182" s="7">
        <v>-113.083328324051</v>
      </c>
      <c r="Q182" s="7">
        <v>0.46105847357752661</v>
      </c>
      <c r="U182">
        <v>0.8973930771563976</v>
      </c>
      <c r="AT182" s="4" t="s">
        <v>4065</v>
      </c>
    </row>
    <row r="183" spans="1:46">
      <c r="A183" s="2">
        <v>1399</v>
      </c>
      <c r="B183" t="s">
        <v>4066</v>
      </c>
      <c r="C183" t="s">
        <v>247</v>
      </c>
      <c r="D183" t="s">
        <v>3737</v>
      </c>
      <c r="E183" s="4">
        <v>43465</v>
      </c>
      <c r="F183" s="11">
        <v>61.868642399999999</v>
      </c>
      <c r="G183" s="11">
        <v>94.62656303</v>
      </c>
      <c r="H183" s="11">
        <v>30.042173403500001</v>
      </c>
      <c r="I183" s="11">
        <v>80.396320061400004</v>
      </c>
      <c r="J183" s="11">
        <v>48.944967655200003</v>
      </c>
      <c r="K183" s="10">
        <v>0.50597260861000004</v>
      </c>
      <c r="L183" s="12">
        <v>17741224530.810001</v>
      </c>
      <c r="M183">
        <v>38.465441510426203</v>
      </c>
      <c r="N183" s="7">
        <v>8.3598725348016405</v>
      </c>
      <c r="O183" s="7">
        <v>17.045948437012701</v>
      </c>
      <c r="P183" s="7">
        <v>-25.964092137350399</v>
      </c>
      <c r="Q183" s="7">
        <v>0.83402918802685311</v>
      </c>
      <c r="U183">
        <v>0.92417359497922513</v>
      </c>
      <c r="AT183" s="4" t="s">
        <v>4067</v>
      </c>
    </row>
    <row r="184" spans="1:46">
      <c r="A184" s="2">
        <v>3220</v>
      </c>
      <c r="B184" t="s">
        <v>4068</v>
      </c>
      <c r="C184" t="s">
        <v>2100</v>
      </c>
      <c r="D184" t="s">
        <v>4060</v>
      </c>
      <c r="E184" s="4">
        <v>43465</v>
      </c>
      <c r="F184" s="11">
        <v>4.9802339800000004</v>
      </c>
      <c r="G184" s="11">
        <v>94.264705879999994</v>
      </c>
      <c r="H184" s="11">
        <v>11.179507386599999</v>
      </c>
      <c r="I184" s="11">
        <v>18.896728076399999</v>
      </c>
      <c r="J184" s="11">
        <v>4.7055809004000002</v>
      </c>
      <c r="K184" s="10">
        <v>0.82876514141199997</v>
      </c>
      <c r="L184" s="12">
        <v>23769844759</v>
      </c>
      <c r="M184">
        <v>39.794457856402403</v>
      </c>
      <c r="N184" s="7">
        <v>2.2030415801585401</v>
      </c>
      <c r="O184" s="7">
        <v>2.0603900814020601</v>
      </c>
      <c r="P184" s="7">
        <v>31.867565886926499</v>
      </c>
      <c r="Q184" s="7">
        <v>0.33667621776504297</v>
      </c>
      <c r="U184">
        <v>0.15656730425000001</v>
      </c>
      <c r="AT184" s="4" t="s">
        <v>4069</v>
      </c>
    </row>
    <row r="185" spans="1:46">
      <c r="A185" s="2">
        <v>2653</v>
      </c>
      <c r="B185" t="s">
        <v>4070</v>
      </c>
      <c r="C185" t="s">
        <v>1355</v>
      </c>
      <c r="D185" t="s">
        <v>3761</v>
      </c>
      <c r="E185" s="4">
        <v>43465</v>
      </c>
      <c r="F185" s="11">
        <v>54.702676140000001</v>
      </c>
      <c r="G185" s="11">
        <v>94.053222939999998</v>
      </c>
      <c r="H185" s="11">
        <v>9.8155118114000004</v>
      </c>
      <c r="I185" s="11">
        <v>26.128061040399999</v>
      </c>
      <c r="J185" s="11">
        <v>6.2118127850000002</v>
      </c>
      <c r="K185" s="10">
        <v>0.62878190246300003</v>
      </c>
      <c r="L185" s="12">
        <v>2546000000</v>
      </c>
      <c r="M185">
        <v>18.180197416223901</v>
      </c>
      <c r="N185" s="7">
        <v>1.72426549711687</v>
      </c>
      <c r="O185" s="7">
        <v>0.760507368301369</v>
      </c>
      <c r="P185" s="7">
        <v>-12.8277524677298</v>
      </c>
      <c r="Q185" s="7">
        <v>1.4591439688715953</v>
      </c>
      <c r="U185">
        <v>0.49235030653313866</v>
      </c>
      <c r="AT185" s="4" t="s">
        <v>4071</v>
      </c>
    </row>
    <row r="186" spans="1:46">
      <c r="A186" s="2">
        <v>1785</v>
      </c>
      <c r="B186" t="s">
        <v>4072</v>
      </c>
      <c r="C186" t="s">
        <v>1558</v>
      </c>
      <c r="D186" t="s">
        <v>3761</v>
      </c>
      <c r="E186" s="4">
        <v>43465</v>
      </c>
      <c r="F186" s="11">
        <v>16.07076021</v>
      </c>
      <c r="G186" s="11">
        <v>93.740458020000005</v>
      </c>
      <c r="H186" s="11">
        <v>-10.4052154683</v>
      </c>
      <c r="I186" s="11">
        <v>35.7642163565</v>
      </c>
      <c r="J186" s="11">
        <v>15.59680932</v>
      </c>
      <c r="K186" s="10">
        <v>0.33700560112799999</v>
      </c>
      <c r="L186" s="12">
        <v>15543778223.719999</v>
      </c>
      <c r="M186">
        <v>18.878069899802401</v>
      </c>
      <c r="N186" s="7">
        <v>1.28236197213155</v>
      </c>
      <c r="O186" s="7">
        <v>2.97078951324136</v>
      </c>
      <c r="P186" s="7">
        <v>12.4081467465359</v>
      </c>
      <c r="Q186" s="7">
        <v>0.81766148814390838</v>
      </c>
      <c r="U186">
        <v>0.33158272387899829</v>
      </c>
      <c r="AT186" s="4" t="s">
        <v>4073</v>
      </c>
    </row>
    <row r="187" spans="1:46">
      <c r="A187" s="2">
        <v>3478</v>
      </c>
      <c r="B187" t="s">
        <v>4074</v>
      </c>
      <c r="C187" t="s">
        <v>234</v>
      </c>
      <c r="D187" t="s">
        <v>3737</v>
      </c>
      <c r="E187" s="4">
        <v>43465</v>
      </c>
      <c r="F187" s="11">
        <v>85.272973339999993</v>
      </c>
      <c r="G187" s="11">
        <v>93.700143179999998</v>
      </c>
      <c r="H187" s="11">
        <v>37.820018407799999</v>
      </c>
      <c r="I187" s="11">
        <v>66.377043365399999</v>
      </c>
      <c r="J187" s="11">
        <v>29.798196597299999</v>
      </c>
      <c r="K187" s="10">
        <v>0.79674652375800004</v>
      </c>
      <c r="L187" s="12">
        <v>5181682247.5</v>
      </c>
      <c r="M187">
        <v>40.375617514639401</v>
      </c>
      <c r="N187" s="7">
        <v>11.640796028210101</v>
      </c>
      <c r="O187" s="7">
        <v>11.552376860453601</v>
      </c>
      <c r="P187" s="7">
        <v>1204.2816405119099</v>
      </c>
      <c r="Q187" s="7">
        <v>0.78064012490241996</v>
      </c>
      <c r="U187">
        <v>1.3394545078571427</v>
      </c>
      <c r="AT187" s="4" t="s">
        <v>4075</v>
      </c>
    </row>
    <row r="188" spans="1:46">
      <c r="A188" s="2">
        <v>725</v>
      </c>
      <c r="B188" t="s">
        <v>4076</v>
      </c>
      <c r="C188" t="s">
        <v>2939</v>
      </c>
      <c r="D188" t="s">
        <v>3721</v>
      </c>
      <c r="E188" s="4">
        <v>43465</v>
      </c>
      <c r="F188" s="11">
        <v>33.94616869</v>
      </c>
      <c r="G188" s="11">
        <v>93.584270149999995</v>
      </c>
      <c r="H188" s="11">
        <v>40.463605918900001</v>
      </c>
      <c r="I188" s="11">
        <v>50.181445535599998</v>
      </c>
      <c r="J188" s="11">
        <v>13.145123852999999</v>
      </c>
      <c r="K188" s="10">
        <v>0.29400396820699998</v>
      </c>
      <c r="L188" s="12">
        <v>40479600000</v>
      </c>
      <c r="M188">
        <v>131.434824962253</v>
      </c>
      <c r="N188" s="7">
        <v>2.4238247167040998</v>
      </c>
      <c r="O188" s="7">
        <v>6.8071814354087001</v>
      </c>
      <c r="P188" s="7">
        <v>52.2227769043268</v>
      </c>
      <c r="Q188" s="7">
        <v>0.32154340836012857</v>
      </c>
      <c r="U188">
        <v>0.11964756706344123</v>
      </c>
      <c r="AT188" s="4" t="s">
        <v>4077</v>
      </c>
    </row>
    <row r="189" spans="1:46">
      <c r="A189" s="2">
        <v>969</v>
      </c>
      <c r="B189" t="s">
        <v>4078</v>
      </c>
      <c r="C189" t="s">
        <v>2361</v>
      </c>
      <c r="D189" t="s">
        <v>3781</v>
      </c>
      <c r="E189" s="4">
        <v>43465</v>
      </c>
      <c r="F189" s="11">
        <v>111.23980089</v>
      </c>
      <c r="G189" s="11">
        <v>93.519163759999998</v>
      </c>
      <c r="H189" s="11">
        <v>124.42230960480001</v>
      </c>
      <c r="I189" s="11">
        <v>37.0537906554</v>
      </c>
      <c r="J189" s="11">
        <v>24.420277599199999</v>
      </c>
      <c r="K189" s="10">
        <v>0.66133062694599998</v>
      </c>
      <c r="L189" s="12">
        <v>4857279992.9399996</v>
      </c>
      <c r="M189">
        <v>299.25163530291201</v>
      </c>
      <c r="N189" s="7">
        <v>3.0358513523244199</v>
      </c>
      <c r="O189" s="7">
        <v>4.3145362893510901</v>
      </c>
      <c r="P189" s="7">
        <v>63.315951478045797</v>
      </c>
      <c r="Q189" s="7">
        <v>0.40729279696323245</v>
      </c>
      <c r="U189">
        <v>1.0754606046989315</v>
      </c>
      <c r="AT189" s="4" t="s">
        <v>4079</v>
      </c>
    </row>
    <row r="190" spans="1:46">
      <c r="A190" s="2">
        <v>2622</v>
      </c>
      <c r="B190" t="s">
        <v>4080</v>
      </c>
      <c r="C190" t="s">
        <v>2556</v>
      </c>
      <c r="D190" t="s">
        <v>3778</v>
      </c>
      <c r="E190" s="4">
        <v>43465</v>
      </c>
      <c r="F190" s="11">
        <v>43.032786889999997</v>
      </c>
      <c r="G190" s="11">
        <v>93.373493980000006</v>
      </c>
      <c r="H190" s="11">
        <v>-6.7911199622999998</v>
      </c>
      <c r="I190" s="11">
        <v>20.031739613300001</v>
      </c>
      <c r="J190" s="11">
        <v>3.7020481452</v>
      </c>
      <c r="K190" s="10">
        <v>0.80954006235200004</v>
      </c>
      <c r="L190" s="12">
        <v>16330711603.5</v>
      </c>
      <c r="M190">
        <v>-6.04368981709713</v>
      </c>
      <c r="N190" s="7">
        <v>1.88160745607036</v>
      </c>
      <c r="O190" s="7">
        <v>0.169981882050387</v>
      </c>
      <c r="P190" s="7">
        <v>2.9140634351446901</v>
      </c>
      <c r="Q190" s="7" t="s">
        <v>3698</v>
      </c>
      <c r="U190">
        <v>0.11102663194354453</v>
      </c>
      <c r="AT190" s="4" t="s">
        <v>4081</v>
      </c>
    </row>
    <row r="191" spans="1:46">
      <c r="A191" s="2">
        <v>2288</v>
      </c>
      <c r="B191" t="s">
        <v>4082</v>
      </c>
      <c r="C191" t="s">
        <v>2821</v>
      </c>
      <c r="D191" t="s">
        <v>3728</v>
      </c>
      <c r="E191" s="4">
        <v>43465</v>
      </c>
      <c r="F191" s="11">
        <v>-46.892210859999999</v>
      </c>
      <c r="G191" s="11">
        <v>93.009118540000003</v>
      </c>
      <c r="H191" s="11">
        <v>-1.1397469367999999</v>
      </c>
      <c r="I191" s="11">
        <v>34.548902420499999</v>
      </c>
      <c r="J191" s="11">
        <v>-84.650295833499996</v>
      </c>
      <c r="K191" s="10">
        <v>0.66685928281200002</v>
      </c>
      <c r="L191" s="12">
        <v>13837543857.200001</v>
      </c>
      <c r="M191">
        <v>-18.741456391051202</v>
      </c>
      <c r="N191" s="7">
        <v>2.6393846204535998</v>
      </c>
      <c r="O191" s="7">
        <v>1.1774282598235599</v>
      </c>
      <c r="P191" s="7">
        <v>-138.63040900123801</v>
      </c>
      <c r="Q191" s="7" t="s">
        <v>3698</v>
      </c>
      <c r="U191">
        <v>-3.890528282379726</v>
      </c>
      <c r="AT191" s="4" t="s">
        <v>4083</v>
      </c>
    </row>
    <row r="192" spans="1:46">
      <c r="A192" s="2">
        <v>2490</v>
      </c>
      <c r="B192" t="s">
        <v>4084</v>
      </c>
      <c r="C192" t="s">
        <v>993</v>
      </c>
      <c r="D192" t="s">
        <v>3781</v>
      </c>
      <c r="E192" s="4">
        <v>43465</v>
      </c>
      <c r="F192" s="11">
        <v>18.755734329999999</v>
      </c>
      <c r="G192" s="11">
        <v>92.8</v>
      </c>
      <c r="H192" s="11">
        <v>2.3729616115000001</v>
      </c>
      <c r="I192" s="11">
        <v>48.988784629599998</v>
      </c>
      <c r="J192" s="11">
        <v>22.0518303592</v>
      </c>
      <c r="K192" s="10">
        <v>0.339369863913</v>
      </c>
      <c r="L192" s="12">
        <v>6344595000</v>
      </c>
      <c r="M192">
        <v>23.791794724636301</v>
      </c>
      <c r="N192" s="7">
        <v>2.9522616179618399</v>
      </c>
      <c r="O192" s="7">
        <v>5.1799155651185398</v>
      </c>
      <c r="P192" s="7">
        <v>58.491246468573699</v>
      </c>
      <c r="Q192" s="7">
        <v>1.8298261665141813</v>
      </c>
      <c r="U192">
        <v>0.23119292704167776</v>
      </c>
      <c r="AT192" s="4" t="s">
        <v>4085</v>
      </c>
    </row>
    <row r="193" spans="1:46">
      <c r="A193" s="2">
        <v>1587</v>
      </c>
      <c r="B193" t="s">
        <v>4086</v>
      </c>
      <c r="C193" t="s">
        <v>3061</v>
      </c>
      <c r="D193" t="s">
        <v>3721</v>
      </c>
      <c r="E193" s="4">
        <v>43465</v>
      </c>
      <c r="F193" s="11">
        <v>18.132856709999999</v>
      </c>
      <c r="G193" s="11">
        <v>92.783505149999996</v>
      </c>
      <c r="H193" s="11">
        <v>13.8110316488</v>
      </c>
      <c r="I193" s="11">
        <v>23.415719459799998</v>
      </c>
      <c r="J193" s="11">
        <v>-5.1033293189000002</v>
      </c>
      <c r="K193" s="10">
        <v>0.53917534300100001</v>
      </c>
      <c r="L193" s="12">
        <v>2745732000</v>
      </c>
      <c r="M193">
        <v>1014.39120776433</v>
      </c>
      <c r="N193" s="7">
        <v>2.0121105882606098</v>
      </c>
      <c r="O193" s="7">
        <v>2.4281172309586698</v>
      </c>
      <c r="P193" s="7">
        <v>23.583734319674701</v>
      </c>
      <c r="Q193" s="7" t="s">
        <v>3698</v>
      </c>
      <c r="U193">
        <v>-0.10437119155064019</v>
      </c>
      <c r="AT193" s="4" t="s">
        <v>4087</v>
      </c>
    </row>
    <row r="194" spans="1:46">
      <c r="A194" s="2">
        <v>1889</v>
      </c>
      <c r="B194" t="s">
        <v>4088</v>
      </c>
      <c r="C194" t="s">
        <v>3470</v>
      </c>
      <c r="D194" t="s">
        <v>3718</v>
      </c>
      <c r="E194" s="4">
        <v>43465</v>
      </c>
      <c r="F194" s="11">
        <v>39.832089549999999</v>
      </c>
      <c r="G194" s="11">
        <v>92.692307690000007</v>
      </c>
      <c r="H194" s="11">
        <v>35.211673223699997</v>
      </c>
      <c r="I194" s="11">
        <v>12.866670752199999</v>
      </c>
      <c r="J194" s="11">
        <v>0.49077548869999998</v>
      </c>
      <c r="K194" s="10">
        <v>0.361639482949</v>
      </c>
      <c r="L194" s="12">
        <v>3145590270</v>
      </c>
      <c r="M194">
        <v>-151.32372090221301</v>
      </c>
      <c r="N194" s="7">
        <v>-3.1965068715515299</v>
      </c>
      <c r="O194" s="7">
        <v>2.5275319407566901</v>
      </c>
      <c r="P194" s="7">
        <v>-106.070097432221</v>
      </c>
      <c r="Q194" s="7" t="s">
        <v>3698</v>
      </c>
      <c r="U194">
        <v>9.8900997701705587E-3</v>
      </c>
      <c r="AT194" s="4" t="s">
        <v>4089</v>
      </c>
    </row>
    <row r="195" spans="1:46">
      <c r="A195" s="2">
        <v>3365</v>
      </c>
      <c r="B195" t="s">
        <v>4090</v>
      </c>
      <c r="C195" t="s">
        <v>3296</v>
      </c>
      <c r="D195" t="s">
        <v>3761</v>
      </c>
      <c r="E195" s="4">
        <v>43465</v>
      </c>
      <c r="F195" s="11">
        <v>60.883567970000001</v>
      </c>
      <c r="G195" s="11">
        <v>92.614770460000003</v>
      </c>
      <c r="H195" s="11">
        <v>72.292407822000001</v>
      </c>
      <c r="I195" s="11">
        <v>19.249336035900001</v>
      </c>
      <c r="J195" s="11">
        <v>3.6805733724</v>
      </c>
      <c r="K195" s="10">
        <v>0.776648932495</v>
      </c>
      <c r="L195" s="12">
        <v>5293301403.25</v>
      </c>
      <c r="M195">
        <v>62.595991159937597</v>
      </c>
      <c r="N195" s="7">
        <v>1.84055200336171</v>
      </c>
      <c r="O195" s="7">
        <v>1.92136415947905</v>
      </c>
      <c r="P195" s="7">
        <v>60.685289011035799</v>
      </c>
      <c r="Q195" s="7">
        <v>0.32105760151085927</v>
      </c>
      <c r="U195">
        <v>0.11149270205094182</v>
      </c>
      <c r="AT195" s="4" t="s">
        <v>4091</v>
      </c>
    </row>
    <row r="196" spans="1:46">
      <c r="A196" s="2">
        <v>727</v>
      </c>
      <c r="B196" t="s">
        <v>4092</v>
      </c>
      <c r="C196" t="s">
        <v>1874</v>
      </c>
      <c r="D196" t="s">
        <v>3785</v>
      </c>
      <c r="E196" s="4">
        <v>43465</v>
      </c>
      <c r="F196" s="11">
        <v>77.614050309999996</v>
      </c>
      <c r="G196" s="11">
        <v>92.032967029999995</v>
      </c>
      <c r="H196" s="11">
        <v>5.3929101030000002</v>
      </c>
      <c r="I196" s="11">
        <v>35.520541160999997</v>
      </c>
      <c r="J196" s="11">
        <v>1.8322458574</v>
      </c>
      <c r="K196" s="10">
        <v>1.2347799729140001</v>
      </c>
      <c r="L196" s="12">
        <v>5318628150</v>
      </c>
      <c r="M196">
        <v>96.303814246639703</v>
      </c>
      <c r="N196" s="7">
        <v>2.8867435258577299</v>
      </c>
      <c r="O196" s="7">
        <v>1.0596261144708601</v>
      </c>
      <c r="P196" s="7">
        <v>-39.116547410199601</v>
      </c>
      <c r="Q196" s="7">
        <v>0.25167785234899326</v>
      </c>
      <c r="U196">
        <v>0.12585724820462937</v>
      </c>
      <c r="AT196" s="4" t="s">
        <v>4093</v>
      </c>
    </row>
    <row r="197" spans="1:46">
      <c r="A197" s="2">
        <v>2219</v>
      </c>
      <c r="B197" t="s">
        <v>4094</v>
      </c>
      <c r="C197" t="s">
        <v>2845</v>
      </c>
      <c r="D197" t="s">
        <v>3858</v>
      </c>
      <c r="E197" s="4">
        <v>43465</v>
      </c>
      <c r="F197" s="11">
        <v>2.84006158</v>
      </c>
      <c r="G197" s="11">
        <v>91.535150650000006</v>
      </c>
      <c r="H197" s="11">
        <v>-23.4367382153</v>
      </c>
      <c r="I197" s="11">
        <v>10.0744850105</v>
      </c>
      <c r="J197" s="11">
        <v>0.61668132220000005</v>
      </c>
      <c r="K197" s="10">
        <v>0.304049062092</v>
      </c>
      <c r="L197" s="12">
        <v>11429392631.799999</v>
      </c>
      <c r="M197">
        <v>-1141.6210532462601</v>
      </c>
      <c r="N197" s="7">
        <v>1.3801236352608599</v>
      </c>
      <c r="O197" s="7">
        <v>1.3539630517783401</v>
      </c>
      <c r="P197" s="7">
        <v>36.8690734539259</v>
      </c>
      <c r="Q197" s="7">
        <v>0.14880952380952381</v>
      </c>
      <c r="U197">
        <v>8.8865793857110867E-2</v>
      </c>
      <c r="AT197" s="4" t="s">
        <v>4095</v>
      </c>
    </row>
    <row r="198" spans="1:46">
      <c r="A198" s="2">
        <v>1971</v>
      </c>
      <c r="B198" t="s">
        <v>4096</v>
      </c>
      <c r="C198" t="s">
        <v>1197</v>
      </c>
      <c r="D198" t="s">
        <v>3713</v>
      </c>
      <c r="E198" s="4">
        <v>43465</v>
      </c>
      <c r="F198" s="11">
        <v>40.405875739999999</v>
      </c>
      <c r="G198" s="11">
        <v>91.099050199999994</v>
      </c>
      <c r="H198" s="11">
        <v>-21.225080693500001</v>
      </c>
      <c r="I198" s="11">
        <v>29.459340184399998</v>
      </c>
      <c r="J198" s="11">
        <v>0.84730632139999995</v>
      </c>
      <c r="K198" s="10">
        <v>0.39154350327999998</v>
      </c>
      <c r="L198" s="12">
        <v>9851023434.5400009</v>
      </c>
      <c r="M198">
        <v>55.652541785669499</v>
      </c>
      <c r="N198" s="7">
        <v>5.9680956540774499</v>
      </c>
      <c r="O198" s="7">
        <v>10.756994527581</v>
      </c>
      <c r="P198" s="7">
        <v>29.322034842290801</v>
      </c>
      <c r="Q198" s="7">
        <v>0.16087516087516088</v>
      </c>
      <c r="U198">
        <v>2.7966794721055788E-2</v>
      </c>
      <c r="AT198" s="4" t="s">
        <v>4097</v>
      </c>
    </row>
    <row r="199" spans="1:46">
      <c r="A199" s="2">
        <v>2551</v>
      </c>
      <c r="B199" t="s">
        <v>4098</v>
      </c>
      <c r="C199" t="s">
        <v>2233</v>
      </c>
      <c r="D199" t="s">
        <v>3721</v>
      </c>
      <c r="E199" s="4">
        <v>43465</v>
      </c>
      <c r="F199" s="11">
        <v>0.83906491999999999</v>
      </c>
      <c r="G199" s="11">
        <v>91.009852219999999</v>
      </c>
      <c r="H199" s="11">
        <v>10.3605737023</v>
      </c>
      <c r="I199" s="11">
        <v>25.455429212399999</v>
      </c>
      <c r="J199" s="11">
        <v>2.4540519799</v>
      </c>
      <c r="K199" s="10">
        <v>0.420819759839</v>
      </c>
      <c r="L199" s="12">
        <v>5796716100</v>
      </c>
      <c r="M199">
        <v>94.040271485655296</v>
      </c>
      <c r="N199" s="7">
        <v>3.1085998370971701</v>
      </c>
      <c r="O199" s="7">
        <v>3.6260421294583298</v>
      </c>
      <c r="P199" s="7">
        <v>19.518705138111699</v>
      </c>
      <c r="Q199" s="7">
        <v>0.27341079972658922</v>
      </c>
      <c r="U199">
        <v>0.12991965242418865</v>
      </c>
      <c r="AT199" s="4" t="s">
        <v>4099</v>
      </c>
    </row>
    <row r="200" spans="1:46">
      <c r="A200" s="2">
        <v>2793</v>
      </c>
      <c r="B200" t="s">
        <v>4100</v>
      </c>
      <c r="C200" t="s">
        <v>3549</v>
      </c>
      <c r="D200" t="s">
        <v>3998</v>
      </c>
      <c r="E200" s="4">
        <v>43465</v>
      </c>
      <c r="F200" s="11">
        <v>29.981436410000001</v>
      </c>
      <c r="G200" s="11">
        <v>90.232558139999995</v>
      </c>
      <c r="H200" s="11">
        <v>-3.2537296556999999</v>
      </c>
      <c r="I200" s="11">
        <v>33.101127099700001</v>
      </c>
      <c r="J200" s="11">
        <v>11.926930639</v>
      </c>
      <c r="K200" s="10">
        <v>0.58206369248900003</v>
      </c>
      <c r="L200" s="12">
        <v>20297593168.580002</v>
      </c>
      <c r="M200">
        <v>9.0320150218656305</v>
      </c>
      <c r="N200" s="7">
        <v>0.88342460449244198</v>
      </c>
      <c r="O200" s="7">
        <v>0.88495698507392095</v>
      </c>
      <c r="P200" s="7">
        <v>28.1195420664504</v>
      </c>
      <c r="Q200" s="7">
        <v>2.7663551401869162</v>
      </c>
      <c r="U200">
        <v>0.84346489030246541</v>
      </c>
      <c r="AT200" s="4" t="s">
        <v>4101</v>
      </c>
    </row>
    <row r="201" spans="1:46">
      <c r="A201" s="2">
        <v>2483</v>
      </c>
      <c r="B201" t="s">
        <v>4102</v>
      </c>
      <c r="C201" t="s">
        <v>1556</v>
      </c>
      <c r="D201" t="s">
        <v>3721</v>
      </c>
      <c r="E201" s="4">
        <v>43465</v>
      </c>
      <c r="F201" s="11">
        <v>22.854173729999999</v>
      </c>
      <c r="G201" s="11">
        <v>90</v>
      </c>
      <c r="H201" s="11">
        <v>14.498555055700001</v>
      </c>
      <c r="I201" s="11">
        <v>12.4821646577</v>
      </c>
      <c r="J201" s="11">
        <v>7.3646702745999999</v>
      </c>
      <c r="K201" s="10">
        <v>0.73289939713100005</v>
      </c>
      <c r="L201" s="12">
        <v>9742443039.1000004</v>
      </c>
      <c r="M201">
        <v>19.053931101884299</v>
      </c>
      <c r="N201" s="7">
        <v>1.4503837721010999</v>
      </c>
      <c r="O201" s="7">
        <v>1.0628636423571001</v>
      </c>
      <c r="P201" s="7">
        <v>-31.8668639059733</v>
      </c>
      <c r="Q201" s="7">
        <v>0.36723163841807915</v>
      </c>
      <c r="U201">
        <v>0.51222920439459341</v>
      </c>
      <c r="AT201" s="4" t="s">
        <v>4103</v>
      </c>
    </row>
    <row r="202" spans="1:46">
      <c r="A202" s="2">
        <v>2683</v>
      </c>
      <c r="B202" t="s">
        <v>4104</v>
      </c>
      <c r="C202" t="s">
        <v>3082</v>
      </c>
      <c r="D202" t="s">
        <v>3858</v>
      </c>
      <c r="E202" s="4">
        <v>43465</v>
      </c>
      <c r="F202" s="11">
        <v>-40.183486240000001</v>
      </c>
      <c r="G202" s="11">
        <v>89.534883719999996</v>
      </c>
      <c r="H202" s="11" t="s">
        <v>3698</v>
      </c>
      <c r="I202" s="11" t="s">
        <v>3698</v>
      </c>
      <c r="J202" s="11" t="s">
        <v>3698</v>
      </c>
      <c r="K202" s="10" t="s">
        <v>3698</v>
      </c>
      <c r="L202" s="12">
        <v>6780759507.5</v>
      </c>
      <c r="M202">
        <v>-1.6674213565182101</v>
      </c>
      <c r="N202" s="7">
        <v>-3.98224780546906</v>
      </c>
      <c r="O202" s="7">
        <v>-4.4921889810976801</v>
      </c>
      <c r="P202" s="7">
        <v>-40.909956004282797</v>
      </c>
      <c r="Q202" s="7" t="s">
        <v>3698</v>
      </c>
      <c r="U202">
        <v>-0.46464069564124505</v>
      </c>
      <c r="AT202" s="4" t="s">
        <v>4105</v>
      </c>
    </row>
    <row r="203" spans="1:46">
      <c r="A203" s="2">
        <v>132</v>
      </c>
      <c r="B203" t="s">
        <v>4106</v>
      </c>
      <c r="C203" t="s">
        <v>2686</v>
      </c>
      <c r="D203" t="s">
        <v>3752</v>
      </c>
      <c r="E203" s="4">
        <v>43465</v>
      </c>
      <c r="F203" s="11">
        <v>13.082163059999999</v>
      </c>
      <c r="G203" s="11">
        <v>88.860759490000007</v>
      </c>
      <c r="H203" s="11">
        <v>1.3821462151999999</v>
      </c>
      <c r="I203" s="11">
        <v>3.3657666365000001</v>
      </c>
      <c r="J203" s="11">
        <v>0.2763036867</v>
      </c>
      <c r="K203" s="10">
        <v>2.016244683249</v>
      </c>
      <c r="L203" s="12">
        <v>3492355212.3000002</v>
      </c>
      <c r="M203">
        <v>142.311317824464</v>
      </c>
      <c r="N203" s="7">
        <v>1.30596861993497</v>
      </c>
      <c r="O203" s="7">
        <v>0.20087184821843301</v>
      </c>
      <c r="P203" s="7">
        <v>-16.1406758649563</v>
      </c>
      <c r="Q203" s="7">
        <v>0.37313432835820892</v>
      </c>
      <c r="U203">
        <v>5.3052538620969217E-2</v>
      </c>
      <c r="AT203" s="4" t="s">
        <v>4107</v>
      </c>
    </row>
    <row r="204" spans="1:46">
      <c r="A204" s="2">
        <v>2104</v>
      </c>
      <c r="B204" t="s">
        <v>4108</v>
      </c>
      <c r="C204" t="s">
        <v>2637</v>
      </c>
      <c r="D204" t="s">
        <v>3721</v>
      </c>
      <c r="E204" s="4">
        <v>43465</v>
      </c>
      <c r="F204" s="11">
        <v>47.283601240000003</v>
      </c>
      <c r="G204" s="11">
        <v>88.790181039999993</v>
      </c>
      <c r="H204" s="11">
        <v>14.5885576931</v>
      </c>
      <c r="I204" s="11">
        <v>19.2246104032</v>
      </c>
      <c r="J204" s="11">
        <v>1.0490843269000001</v>
      </c>
      <c r="K204" s="10">
        <v>0.67611742084000004</v>
      </c>
      <c r="L204" s="12">
        <v>4650020456.25</v>
      </c>
      <c r="M204">
        <v>102.533867244409</v>
      </c>
      <c r="N204" s="7">
        <v>3.6722339683296301</v>
      </c>
      <c r="O204" s="7">
        <v>3.8121570792969299</v>
      </c>
      <c r="P204" s="7">
        <v>-20.9061588259089</v>
      </c>
      <c r="Q204" s="7">
        <v>6.2332702050793151E-2</v>
      </c>
      <c r="U204">
        <v>3.301354922455136E-2</v>
      </c>
      <c r="AT204" s="4" t="s">
        <v>4109</v>
      </c>
    </row>
    <row r="205" spans="1:46">
      <c r="A205" s="2">
        <v>489</v>
      </c>
      <c r="B205" t="s">
        <v>4110</v>
      </c>
      <c r="C205" t="s">
        <v>2485</v>
      </c>
      <c r="D205" t="s">
        <v>3713</v>
      </c>
      <c r="E205" s="4">
        <v>43465</v>
      </c>
      <c r="F205" s="11">
        <v>52.018462790000001</v>
      </c>
      <c r="G205" s="11">
        <v>88.630653269999996</v>
      </c>
      <c r="H205" s="11">
        <v>84.167046154000005</v>
      </c>
      <c r="I205" s="11">
        <v>11.0218852484</v>
      </c>
      <c r="J205" s="11">
        <v>1.3875920407</v>
      </c>
      <c r="K205" s="10">
        <v>2.159152968536</v>
      </c>
      <c r="L205" s="12">
        <v>4254895840</v>
      </c>
      <c r="M205">
        <v>41.569114884469698</v>
      </c>
      <c r="N205" s="7">
        <v>2.5727483439176102</v>
      </c>
      <c r="O205" s="7">
        <v>0.48290136203088702</v>
      </c>
      <c r="P205" s="7">
        <v>42.766672085692697</v>
      </c>
      <c r="Q205" s="7">
        <v>0.20040080160320639</v>
      </c>
      <c r="U205">
        <v>0.5108371748632875</v>
      </c>
      <c r="AT205" s="4" t="s">
        <v>4111</v>
      </c>
    </row>
    <row r="206" spans="1:46">
      <c r="A206" s="2">
        <v>475</v>
      </c>
      <c r="B206" t="s">
        <v>4112</v>
      </c>
      <c r="C206" t="s">
        <v>1057</v>
      </c>
      <c r="D206" t="s">
        <v>3871</v>
      </c>
      <c r="E206" s="4">
        <v>43465</v>
      </c>
      <c r="F206" s="11">
        <v>67.413858660000002</v>
      </c>
      <c r="G206" s="11">
        <v>88.591800359999993</v>
      </c>
      <c r="H206" s="11">
        <v>31.283372487899999</v>
      </c>
      <c r="I206" s="11">
        <v>19.559270843</v>
      </c>
      <c r="J206" s="11">
        <v>5.7655039882999999</v>
      </c>
      <c r="K206" s="10">
        <v>0.19532653341100001</v>
      </c>
      <c r="L206" s="12">
        <v>38806490347.099998</v>
      </c>
      <c r="M206">
        <v>20.387024012156299</v>
      </c>
      <c r="N206" s="7">
        <v>1.1964896977989701</v>
      </c>
      <c r="O206" s="7">
        <v>0.50115370242989998</v>
      </c>
      <c r="P206" s="7">
        <v>2.5416414325378098</v>
      </c>
      <c r="Q206" s="7">
        <v>1.4707561462514098</v>
      </c>
      <c r="U206">
        <v>0.5911651549607071</v>
      </c>
      <c r="AT206" s="4" t="s">
        <v>4113</v>
      </c>
    </row>
    <row r="207" spans="1:46">
      <c r="A207" s="2">
        <v>1756</v>
      </c>
      <c r="B207" t="s">
        <v>4114</v>
      </c>
      <c r="C207" t="s">
        <v>2067</v>
      </c>
      <c r="D207" t="s">
        <v>3721</v>
      </c>
      <c r="E207" s="4">
        <v>43465</v>
      </c>
      <c r="F207" s="11">
        <v>25.057859010000001</v>
      </c>
      <c r="G207" s="11">
        <v>88.288288289999997</v>
      </c>
      <c r="H207" s="11">
        <v>20.2195405175</v>
      </c>
      <c r="I207" s="11">
        <v>27.885966098099999</v>
      </c>
      <c r="J207" s="11">
        <v>4.9790784579</v>
      </c>
      <c r="K207" s="10">
        <v>0.57850518261999995</v>
      </c>
      <c r="L207" s="12">
        <v>39326580889.449997</v>
      </c>
      <c r="M207">
        <v>37.547505915858103</v>
      </c>
      <c r="N207" s="7">
        <v>2.4656225557660298</v>
      </c>
      <c r="O207" s="7">
        <v>2.2760851511572802</v>
      </c>
      <c r="P207" s="7">
        <v>-26.877302408041601</v>
      </c>
      <c r="Q207" s="7">
        <v>0.51334702258726894</v>
      </c>
      <c r="U207">
        <v>0.27439685921680967</v>
      </c>
      <c r="AT207" s="4" t="s">
        <v>4115</v>
      </c>
    </row>
    <row r="208" spans="1:46">
      <c r="A208" s="2">
        <v>1324</v>
      </c>
      <c r="B208" t="s">
        <v>4116</v>
      </c>
      <c r="C208" t="s">
        <v>796</v>
      </c>
      <c r="D208" t="s">
        <v>3737</v>
      </c>
      <c r="E208" s="4">
        <v>43465</v>
      </c>
      <c r="F208" s="11">
        <v>118.33156563999999</v>
      </c>
      <c r="G208" s="11">
        <v>87.98820929</v>
      </c>
      <c r="H208" s="11">
        <v>28.941288932500001</v>
      </c>
      <c r="I208" s="11">
        <v>46.499205802799999</v>
      </c>
      <c r="J208" s="11">
        <v>22.1513627213</v>
      </c>
      <c r="K208" s="10">
        <v>0.63026659697599996</v>
      </c>
      <c r="L208" s="12">
        <v>4704076381.21</v>
      </c>
      <c r="M208">
        <v>41.1423785858657</v>
      </c>
      <c r="N208" s="7">
        <v>6.2389588670710099</v>
      </c>
      <c r="O208" s="7">
        <v>9.0431953117825898</v>
      </c>
      <c r="P208" s="7">
        <v>-22.0278920152147</v>
      </c>
      <c r="Q208" s="7">
        <v>0.32520325203252037</v>
      </c>
      <c r="U208">
        <v>1.8552781171636497</v>
      </c>
      <c r="AT208" s="4" t="s">
        <v>4117</v>
      </c>
    </row>
    <row r="209" spans="1:46">
      <c r="A209" s="2">
        <v>2631</v>
      </c>
      <c r="B209" t="s">
        <v>4118</v>
      </c>
      <c r="C209" t="s">
        <v>3598</v>
      </c>
      <c r="D209" t="s">
        <v>4119</v>
      </c>
      <c r="E209" s="4">
        <v>43465</v>
      </c>
      <c r="F209" s="11">
        <v>73.428571430000005</v>
      </c>
      <c r="G209" s="11">
        <v>87.942122190000006</v>
      </c>
      <c r="H209" s="11">
        <v>1.5761361616</v>
      </c>
      <c r="I209" s="11">
        <v>6.3693797378000001</v>
      </c>
      <c r="J209" s="11">
        <v>-57.579505848799997</v>
      </c>
      <c r="K209" s="10">
        <v>0.57385718009599995</v>
      </c>
      <c r="L209" s="12">
        <v>29963989979</v>
      </c>
      <c r="M209">
        <v>-262.65715743759199</v>
      </c>
      <c r="N209" s="7">
        <v>60.679744731961101</v>
      </c>
      <c r="O209" s="7">
        <v>31.589472779121401</v>
      </c>
      <c r="P209" s="7">
        <v>4407.6682126306996</v>
      </c>
      <c r="Q209" s="7" t="s">
        <v>3698</v>
      </c>
      <c r="U209">
        <v>-9.4093514428553154E-2</v>
      </c>
      <c r="AT209" s="4" t="s">
        <v>4120</v>
      </c>
    </row>
    <row r="210" spans="1:46">
      <c r="A210" s="2">
        <v>2955</v>
      </c>
      <c r="B210" t="s">
        <v>4121</v>
      </c>
      <c r="C210" t="s">
        <v>3483</v>
      </c>
      <c r="D210" t="s">
        <v>3785</v>
      </c>
      <c r="E210" s="4">
        <v>43465</v>
      </c>
      <c r="F210" s="11">
        <v>59.868421050000002</v>
      </c>
      <c r="G210" s="11">
        <v>87.744458929999993</v>
      </c>
      <c r="H210" s="11">
        <v>24.815918494200002</v>
      </c>
      <c r="I210" s="11">
        <v>26.9566111199</v>
      </c>
      <c r="J210" s="11">
        <v>0.86813327250000005</v>
      </c>
      <c r="K210" s="10">
        <v>0.45891467697799998</v>
      </c>
      <c r="L210" s="12">
        <v>20400302624.099998</v>
      </c>
      <c r="M210">
        <v>-135.60428550754199</v>
      </c>
      <c r="N210" s="7">
        <v>4.1155384805963999</v>
      </c>
      <c r="O210" s="7">
        <v>2.9875271926074101</v>
      </c>
      <c r="P210" s="7">
        <v>-15.860315851618999</v>
      </c>
      <c r="Q210" s="7" t="s">
        <v>3698</v>
      </c>
      <c r="U210">
        <v>2.5967807901778703E-2</v>
      </c>
      <c r="AT210" s="4" t="s">
        <v>4122</v>
      </c>
    </row>
    <row r="211" spans="1:46">
      <c r="A211" s="2">
        <v>68</v>
      </c>
      <c r="B211" t="s">
        <v>4123</v>
      </c>
      <c r="C211" t="s">
        <v>1120</v>
      </c>
      <c r="D211" t="s">
        <v>3977</v>
      </c>
      <c r="E211" s="4">
        <v>43465</v>
      </c>
      <c r="F211" s="11">
        <v>21.452612899999998</v>
      </c>
      <c r="G211" s="11">
        <v>87.17563801</v>
      </c>
      <c r="H211" s="11">
        <v>1.5977380788</v>
      </c>
      <c r="I211" s="11">
        <v>18.308462496099999</v>
      </c>
      <c r="J211" s="11">
        <v>3.5860932203</v>
      </c>
      <c r="K211" s="10">
        <v>0.64265622570400005</v>
      </c>
      <c r="L211" s="12">
        <v>5968425716.1000004</v>
      </c>
      <c r="M211">
        <v>19.638010241780101</v>
      </c>
      <c r="N211" s="7">
        <v>1.1015150863998799</v>
      </c>
      <c r="O211" s="7">
        <v>0.29718921766182099</v>
      </c>
      <c r="P211" s="7">
        <v>-8.1385646054946008</v>
      </c>
      <c r="Q211" s="7">
        <v>2.6082494602590338</v>
      </c>
      <c r="U211">
        <v>0.25596317116331524</v>
      </c>
      <c r="AT211" s="4" t="s">
        <v>4124</v>
      </c>
    </row>
    <row r="212" spans="1:46">
      <c r="A212" s="2">
        <v>1905</v>
      </c>
      <c r="B212" t="s">
        <v>4125</v>
      </c>
      <c r="C212" t="s">
        <v>2603</v>
      </c>
      <c r="D212" t="s">
        <v>3718</v>
      </c>
      <c r="E212" s="4">
        <v>43465</v>
      </c>
      <c r="F212" s="11">
        <v>3.2402295400000001</v>
      </c>
      <c r="G212" s="11">
        <v>86.870897159999998</v>
      </c>
      <c r="H212" s="11">
        <v>31.770613627500001</v>
      </c>
      <c r="I212" s="11">
        <v>53.266992420699999</v>
      </c>
      <c r="J212" s="11">
        <v>16.386740764700001</v>
      </c>
      <c r="K212" s="10">
        <v>0.32522568307499999</v>
      </c>
      <c r="L212" s="12">
        <v>60472121073.93</v>
      </c>
      <c r="M212">
        <v>48.852290439834299</v>
      </c>
      <c r="N212" s="7">
        <v>3.4102888843361598</v>
      </c>
      <c r="O212" s="7">
        <v>7.6015201735988098</v>
      </c>
      <c r="P212" s="7">
        <v>165.3588186522</v>
      </c>
      <c r="Q212" s="7">
        <v>0.34036759700476515</v>
      </c>
      <c r="U212">
        <v>0.22021537758175261</v>
      </c>
      <c r="AT212" s="4" t="s">
        <v>4126</v>
      </c>
    </row>
    <row r="213" spans="1:46">
      <c r="A213" s="2">
        <v>1771</v>
      </c>
      <c r="B213" t="s">
        <v>4127</v>
      </c>
      <c r="C213" t="s">
        <v>2352</v>
      </c>
      <c r="D213" t="s">
        <v>3721</v>
      </c>
      <c r="E213" s="4">
        <v>43465</v>
      </c>
      <c r="F213" s="11">
        <v>59.724815139999997</v>
      </c>
      <c r="G213" s="11">
        <v>86.794582390000002</v>
      </c>
      <c r="H213" s="11">
        <v>28.757067594900001</v>
      </c>
      <c r="I213" s="11">
        <v>52.225124140600002</v>
      </c>
      <c r="J213" s="11">
        <v>24.313883554899999</v>
      </c>
      <c r="K213" s="10">
        <v>0.16187791549200001</v>
      </c>
      <c r="L213" s="12">
        <v>3239551504.5900002</v>
      </c>
      <c r="M213">
        <v>54.740288676966102</v>
      </c>
      <c r="N213" s="7">
        <v>2.0418618181468799</v>
      </c>
      <c r="O213" s="7">
        <v>9.9635029524414502</v>
      </c>
      <c r="P213" s="7">
        <v>92.836397683040502</v>
      </c>
      <c r="Q213" s="7">
        <v>0.22534577203624689</v>
      </c>
      <c r="U213">
        <v>0.18737909523865245</v>
      </c>
      <c r="AT213" s="4" t="s">
        <v>4128</v>
      </c>
    </row>
    <row r="214" spans="1:46">
      <c r="A214" s="2">
        <v>1988</v>
      </c>
      <c r="B214" t="s">
        <v>4129</v>
      </c>
      <c r="C214" t="s">
        <v>1205</v>
      </c>
      <c r="D214" t="s">
        <v>3721</v>
      </c>
      <c r="E214" s="4">
        <v>43465</v>
      </c>
      <c r="F214" s="11">
        <v>-13.526311160000001</v>
      </c>
      <c r="G214" s="11">
        <v>86.363636360000001</v>
      </c>
      <c r="H214" s="11">
        <v>23.047951302600001</v>
      </c>
      <c r="I214" s="11">
        <v>25.092538571999999</v>
      </c>
      <c r="J214" s="11">
        <v>4.5848544461999996</v>
      </c>
      <c r="K214" s="10">
        <v>0.51844367286799997</v>
      </c>
      <c r="L214" s="12">
        <v>6668940949.5500002</v>
      </c>
      <c r="M214">
        <v>63.580215186381203</v>
      </c>
      <c r="N214" s="7">
        <v>3.4973831407645402</v>
      </c>
      <c r="O214" s="7">
        <v>2.32419354500857</v>
      </c>
      <c r="P214" s="7">
        <v>3103.8143656399402</v>
      </c>
      <c r="Q214" s="7">
        <v>0.23551577955723035</v>
      </c>
      <c r="U214">
        <v>0.27468133208333734</v>
      </c>
      <c r="AT214" s="4" t="s">
        <v>4130</v>
      </c>
    </row>
    <row r="215" spans="1:46">
      <c r="A215" s="2">
        <v>346</v>
      </c>
      <c r="B215" t="s">
        <v>4131</v>
      </c>
      <c r="C215" t="s">
        <v>523</v>
      </c>
      <c r="D215" t="s">
        <v>3998</v>
      </c>
      <c r="E215" s="4">
        <v>43465</v>
      </c>
      <c r="F215" s="11">
        <v>17.839581030000002</v>
      </c>
      <c r="G215" s="11">
        <v>86.337209299999998</v>
      </c>
      <c r="H215" s="11">
        <v>12.5450028797</v>
      </c>
      <c r="I215" s="11">
        <v>35.315386871999998</v>
      </c>
      <c r="J215" s="11">
        <v>19.742833130299999</v>
      </c>
      <c r="K215" s="10">
        <v>0.73870561913199995</v>
      </c>
      <c r="L215" s="12">
        <v>3817932300</v>
      </c>
      <c r="M215">
        <v>8.2369316457766999</v>
      </c>
      <c r="N215" s="7">
        <v>1.6296339917024201</v>
      </c>
      <c r="O215" s="7">
        <v>1.8495080175601299</v>
      </c>
      <c r="P215" s="7">
        <v>-30.138680352428</v>
      </c>
      <c r="Q215" s="7">
        <v>2.0609318996415769</v>
      </c>
      <c r="U215">
        <v>1.4595849436962838</v>
      </c>
      <c r="AT215" s="4" t="s">
        <v>4132</v>
      </c>
    </row>
    <row r="216" spans="1:46">
      <c r="A216" s="2">
        <v>1544</v>
      </c>
      <c r="B216" t="s">
        <v>4133</v>
      </c>
      <c r="C216" t="s">
        <v>1409</v>
      </c>
      <c r="D216" t="s">
        <v>3781</v>
      </c>
      <c r="E216" s="4">
        <v>43465</v>
      </c>
      <c r="F216" s="11">
        <v>24.056214099999998</v>
      </c>
      <c r="G216" s="11">
        <v>86.284953400000006</v>
      </c>
      <c r="H216" s="11">
        <v>13.608978318</v>
      </c>
      <c r="I216" s="11">
        <v>50.112568513299998</v>
      </c>
      <c r="J216" s="11">
        <v>11.853837048899999</v>
      </c>
      <c r="K216" s="10">
        <v>0.40180121113400002</v>
      </c>
      <c r="L216" s="12">
        <v>42997974578.900002</v>
      </c>
      <c r="M216">
        <v>33.291452074525097</v>
      </c>
      <c r="N216" s="7">
        <v>1.5639385572973401</v>
      </c>
      <c r="O216" s="7">
        <v>2.57551331983603</v>
      </c>
      <c r="P216" s="7">
        <v>-53.945603418669499</v>
      </c>
      <c r="Q216" s="7">
        <v>1.1035436193222785</v>
      </c>
      <c r="U216">
        <v>0.2941428343429125</v>
      </c>
      <c r="AT216" s="4" t="s">
        <v>4134</v>
      </c>
    </row>
    <row r="217" spans="1:46">
      <c r="A217" s="2">
        <v>3348</v>
      </c>
      <c r="B217" t="s">
        <v>4135</v>
      </c>
      <c r="C217" t="s">
        <v>2098</v>
      </c>
      <c r="D217" t="s">
        <v>3718</v>
      </c>
      <c r="E217" s="4">
        <v>43465</v>
      </c>
      <c r="F217" s="11">
        <v>-4.7552308300000004</v>
      </c>
      <c r="G217" s="11">
        <v>86.159600999999995</v>
      </c>
      <c r="H217" s="11">
        <v>22.291178915700002</v>
      </c>
      <c r="I217" s="11">
        <v>35.643808640499998</v>
      </c>
      <c r="J217" s="11">
        <v>4.0417118823999996</v>
      </c>
      <c r="K217" s="10">
        <v>0.226388845832</v>
      </c>
      <c r="L217" s="12">
        <v>5844930540.3500004</v>
      </c>
      <c r="M217">
        <v>95.428008480818207</v>
      </c>
      <c r="N217" s="7">
        <v>1.2073554353435001</v>
      </c>
      <c r="O217" s="7">
        <v>2.1714372555105301</v>
      </c>
      <c r="P217" s="7">
        <v>36.528016603389702</v>
      </c>
      <c r="Q217" s="7">
        <v>0.39216614313905102</v>
      </c>
      <c r="U217">
        <v>0.16862254607383859</v>
      </c>
      <c r="AT217" s="4" t="s">
        <v>4136</v>
      </c>
    </row>
    <row r="218" spans="1:46">
      <c r="A218" s="2">
        <v>1325</v>
      </c>
      <c r="B218" t="s">
        <v>4137</v>
      </c>
      <c r="C218" t="s">
        <v>1790</v>
      </c>
      <c r="D218" t="s">
        <v>3858</v>
      </c>
      <c r="E218" s="4">
        <v>43465</v>
      </c>
      <c r="F218" s="11">
        <v>27.687764659999999</v>
      </c>
      <c r="G218" s="11">
        <v>85.90733591</v>
      </c>
      <c r="H218" s="11">
        <v>30.655534864300002</v>
      </c>
      <c r="I218" s="11">
        <v>14.5778461182</v>
      </c>
      <c r="J218" s="11">
        <v>3.9819201182000001</v>
      </c>
      <c r="K218" s="10">
        <v>0.93453073045299995</v>
      </c>
      <c r="L218" s="12">
        <v>7324310910.8599997</v>
      </c>
      <c r="M218">
        <v>17.740860500745601</v>
      </c>
      <c r="N218" s="7">
        <v>1.4307366870073399</v>
      </c>
      <c r="O218" s="7">
        <v>0.78353848679503202</v>
      </c>
      <c r="P218" s="7">
        <v>-19.149051422789299</v>
      </c>
      <c r="Q218" s="7">
        <v>0.31521122425430564</v>
      </c>
      <c r="U218">
        <v>0.2784845672166667</v>
      </c>
      <c r="AT218" s="4" t="s">
        <v>4138</v>
      </c>
    </row>
    <row r="219" spans="1:46">
      <c r="A219" s="2">
        <v>3223</v>
      </c>
      <c r="B219" t="s">
        <v>4139</v>
      </c>
      <c r="C219" t="s">
        <v>435</v>
      </c>
      <c r="D219" t="s">
        <v>3752</v>
      </c>
      <c r="E219" s="4">
        <v>43465</v>
      </c>
      <c r="F219" s="11">
        <v>46.49463471</v>
      </c>
      <c r="G219" s="11">
        <v>85.492227979999996</v>
      </c>
      <c r="H219" s="11">
        <v>11.7377837478</v>
      </c>
      <c r="I219" s="11">
        <v>11.499942321600001</v>
      </c>
      <c r="J219" s="11">
        <v>3.8189961853000001</v>
      </c>
      <c r="K219" s="10">
        <v>1.969596988747</v>
      </c>
      <c r="L219" s="12">
        <v>6675699204.96</v>
      </c>
      <c r="M219">
        <v>17.276241062629101</v>
      </c>
      <c r="N219" s="7">
        <v>2.4205412704900899</v>
      </c>
      <c r="O219" s="7">
        <v>0.74547081342517496</v>
      </c>
      <c r="P219" s="7">
        <v>258.06927761245998</v>
      </c>
      <c r="Q219" s="7">
        <v>1.692524682651622</v>
      </c>
      <c r="U219">
        <v>1.0133876612887309</v>
      </c>
      <c r="AT219" s="4" t="s">
        <v>4140</v>
      </c>
    </row>
    <row r="220" spans="1:46">
      <c r="A220" s="2">
        <v>947</v>
      </c>
      <c r="B220" t="s">
        <v>4141</v>
      </c>
      <c r="C220" t="s">
        <v>2373</v>
      </c>
      <c r="D220" t="s">
        <v>3721</v>
      </c>
      <c r="E220" s="4">
        <v>43465</v>
      </c>
      <c r="F220" s="11">
        <v>40.581038679999999</v>
      </c>
      <c r="G220" s="11">
        <v>85.398230089999998</v>
      </c>
      <c r="H220" s="11">
        <v>5.7964010435000004</v>
      </c>
      <c r="I220" s="11">
        <v>29.561209071</v>
      </c>
      <c r="J220" s="11">
        <v>6.9400077770999999</v>
      </c>
      <c r="K220" s="10">
        <v>0.75790453248</v>
      </c>
      <c r="L220" s="12">
        <v>7097853600</v>
      </c>
      <c r="M220">
        <v>44.642015452208902</v>
      </c>
      <c r="N220" s="7">
        <v>2.9196397637308902</v>
      </c>
      <c r="O220" s="7">
        <v>1.9725804504662501</v>
      </c>
      <c r="P220" s="7">
        <v>-205.16280392452001</v>
      </c>
      <c r="Q220" s="7">
        <v>0.85592011412268176</v>
      </c>
      <c r="U220">
        <v>0.14431059435667717</v>
      </c>
      <c r="AT220" s="4" t="s">
        <v>4142</v>
      </c>
    </row>
    <row r="221" spans="1:46">
      <c r="A221" s="2">
        <v>2937</v>
      </c>
      <c r="B221" t="s">
        <v>4143</v>
      </c>
      <c r="C221" t="s">
        <v>2923</v>
      </c>
      <c r="D221" t="s">
        <v>3837</v>
      </c>
      <c r="E221" s="4">
        <v>43465</v>
      </c>
      <c r="F221" s="11">
        <v>3.8449289100000001</v>
      </c>
      <c r="G221" s="11">
        <v>85.168539330000002</v>
      </c>
      <c r="H221" s="11">
        <v>0.38558334220000001</v>
      </c>
      <c r="I221" s="11">
        <v>14.2381827096</v>
      </c>
      <c r="J221" s="11">
        <v>-14.603518792999999</v>
      </c>
      <c r="K221" s="10">
        <v>6.4956685082000004E-2</v>
      </c>
      <c r="L221" s="12">
        <v>12111567082.559999</v>
      </c>
      <c r="M221">
        <v>-40.556821319461001</v>
      </c>
      <c r="N221" s="7">
        <v>0.74897064969353699</v>
      </c>
      <c r="O221" s="7">
        <v>3.4623463167083299</v>
      </c>
      <c r="P221" s="7">
        <v>-14.966317107584899</v>
      </c>
      <c r="Q221" s="7" t="s">
        <v>3698</v>
      </c>
      <c r="U221">
        <v>-6.7373966962042522E-2</v>
      </c>
      <c r="AT221" s="4" t="s">
        <v>4144</v>
      </c>
    </row>
    <row r="222" spans="1:46">
      <c r="A222" s="2">
        <v>74</v>
      </c>
      <c r="B222" t="s">
        <v>4145</v>
      </c>
      <c r="C222" t="s">
        <v>2239</v>
      </c>
      <c r="D222" t="s">
        <v>3718</v>
      </c>
      <c r="E222" s="4">
        <v>43465</v>
      </c>
      <c r="F222" s="11">
        <v>63.340543699999998</v>
      </c>
      <c r="G222" s="11">
        <v>84.831460669999998</v>
      </c>
      <c r="H222" s="11">
        <v>23.304575878000001</v>
      </c>
      <c r="I222" s="11">
        <v>27.088487923700001</v>
      </c>
      <c r="J222" s="11">
        <v>6.8183500715000003</v>
      </c>
      <c r="K222" s="10">
        <v>0.32497863592699999</v>
      </c>
      <c r="L222" s="12">
        <v>16769398391.200001</v>
      </c>
      <c r="M222">
        <v>31.8359378155142</v>
      </c>
      <c r="N222" s="7">
        <v>0.76963993140262998</v>
      </c>
      <c r="O222" s="7">
        <v>1.0510678932281901</v>
      </c>
      <c r="P222" s="7">
        <v>-8.7861761009619102</v>
      </c>
      <c r="Q222" s="7">
        <v>4.1904421610469038</v>
      </c>
      <c r="U222">
        <v>0.2586729238310535</v>
      </c>
      <c r="AT222" s="4" t="s">
        <v>4146</v>
      </c>
    </row>
    <row r="223" spans="1:46">
      <c r="A223" s="2">
        <v>2082</v>
      </c>
      <c r="B223" t="s">
        <v>4147</v>
      </c>
      <c r="C223" t="s">
        <v>3567</v>
      </c>
      <c r="D223" t="s">
        <v>3837</v>
      </c>
      <c r="E223" s="4">
        <v>43465</v>
      </c>
      <c r="F223" s="11">
        <v>169.75943237000001</v>
      </c>
      <c r="G223" s="11">
        <v>84.765342959999998</v>
      </c>
      <c r="H223" s="11">
        <v>12.358355868</v>
      </c>
      <c r="I223" s="11">
        <v>41.172659130200003</v>
      </c>
      <c r="J223" s="11">
        <v>5.5871331101999999</v>
      </c>
      <c r="K223" s="10">
        <v>0.59273288645300004</v>
      </c>
      <c r="L223" s="12">
        <v>52581846331.760002</v>
      </c>
      <c r="M223">
        <v>78.981428025445098</v>
      </c>
      <c r="N223" s="7">
        <v>4.1073844824110504</v>
      </c>
      <c r="O223" s="7">
        <v>4.0139659156188197</v>
      </c>
      <c r="P223" s="7">
        <v>27.653432983736501</v>
      </c>
      <c r="Q223" s="7">
        <v>9.3557872381474061E-2</v>
      </c>
      <c r="U223">
        <v>0.21133318546900179</v>
      </c>
      <c r="AT223" s="4" t="s">
        <v>4148</v>
      </c>
    </row>
    <row r="224" spans="1:46">
      <c r="A224" s="2">
        <v>3228</v>
      </c>
      <c r="B224" t="s">
        <v>4149</v>
      </c>
      <c r="C224" t="s">
        <v>2305</v>
      </c>
      <c r="D224" t="s">
        <v>3811</v>
      </c>
      <c r="E224" s="4">
        <v>43465</v>
      </c>
      <c r="F224" s="11">
        <v>39.886576030000001</v>
      </c>
      <c r="G224" s="11">
        <v>84.272497900000005</v>
      </c>
      <c r="H224" s="11">
        <v>5.7261713033000001</v>
      </c>
      <c r="I224" s="11">
        <v>19.7048539223</v>
      </c>
      <c r="J224" s="11">
        <v>0.32492453999999998</v>
      </c>
      <c r="K224" s="10">
        <v>1.0853850052089999</v>
      </c>
      <c r="L224" s="12">
        <v>7702974383.1499996</v>
      </c>
      <c r="M224">
        <v>78.586471890635806</v>
      </c>
      <c r="N224" s="7">
        <v>2.2066765105477102</v>
      </c>
      <c r="O224" s="7">
        <v>0.72928809025216701</v>
      </c>
      <c r="P224" s="7">
        <v>26.9138435720273</v>
      </c>
      <c r="Q224" s="7" t="s">
        <v>3698</v>
      </c>
      <c r="U224">
        <v>5.230541392857143E-2</v>
      </c>
      <c r="AT224" s="4" t="s">
        <v>4150</v>
      </c>
    </row>
    <row r="225" spans="1:46">
      <c r="A225" s="2">
        <v>1460</v>
      </c>
      <c r="B225" t="s">
        <v>4151</v>
      </c>
      <c r="C225" t="s">
        <v>1779</v>
      </c>
      <c r="D225" t="s">
        <v>3718</v>
      </c>
      <c r="E225" s="4">
        <v>43465</v>
      </c>
      <c r="F225" s="11">
        <v>31.55322129</v>
      </c>
      <c r="G225" s="11">
        <v>84.186046509999997</v>
      </c>
      <c r="H225" s="11">
        <v>32.252856326699998</v>
      </c>
      <c r="I225" s="11">
        <v>29.359930010500001</v>
      </c>
      <c r="J225" s="11">
        <v>13.482579916400001</v>
      </c>
      <c r="K225" s="10">
        <v>0.39821431566299997</v>
      </c>
      <c r="L225" s="12">
        <v>2699200000</v>
      </c>
      <c r="M225">
        <v>50.383937245644503</v>
      </c>
      <c r="N225" s="7">
        <v>2.61687618149882</v>
      </c>
      <c r="O225" s="7">
        <v>5.3328126490995098</v>
      </c>
      <c r="P225" s="7">
        <v>-103.920124739402</v>
      </c>
      <c r="Q225" s="7">
        <v>0.76218346592176689</v>
      </c>
      <c r="U225">
        <v>0.23784436736564946</v>
      </c>
      <c r="AT225" s="4" t="s">
        <v>3791</v>
      </c>
    </row>
    <row r="226" spans="1:46">
      <c r="A226" s="2">
        <v>2240</v>
      </c>
      <c r="B226" t="s">
        <v>4152</v>
      </c>
      <c r="C226" t="s">
        <v>743</v>
      </c>
      <c r="D226" t="s">
        <v>3837</v>
      </c>
      <c r="E226" s="4">
        <v>43465</v>
      </c>
      <c r="F226" s="11">
        <v>34.749034809999998</v>
      </c>
      <c r="G226" s="11">
        <v>84.036939309999994</v>
      </c>
      <c r="H226" s="11">
        <v>-12.226529795199999</v>
      </c>
      <c r="I226" s="11">
        <v>3.0357126736</v>
      </c>
      <c r="J226" s="11">
        <v>6.2831673618000004</v>
      </c>
      <c r="K226" s="10">
        <v>0.96606097746999997</v>
      </c>
      <c r="L226" s="12">
        <v>7495374428.5200005</v>
      </c>
      <c r="M226">
        <v>9.7465864954002104</v>
      </c>
      <c r="N226" s="7">
        <v>1.2014283421035199</v>
      </c>
      <c r="O226" s="7">
        <v>0.46637087807464001</v>
      </c>
      <c r="P226" s="7">
        <v>-21.451821093504499</v>
      </c>
      <c r="Q226" s="7" t="s">
        <v>3698</v>
      </c>
      <c r="U226">
        <v>0.72516422907975653</v>
      </c>
      <c r="AT226" s="4" t="s">
        <v>3755</v>
      </c>
    </row>
    <row r="227" spans="1:46">
      <c r="A227" s="2">
        <v>61</v>
      </c>
      <c r="B227" t="s">
        <v>4153</v>
      </c>
      <c r="C227" t="s">
        <v>1043</v>
      </c>
      <c r="D227" t="s">
        <v>3713</v>
      </c>
      <c r="E227" s="4">
        <v>43465</v>
      </c>
      <c r="F227" s="11">
        <v>40.339285169999997</v>
      </c>
      <c r="G227" s="11">
        <v>83.833072110000003</v>
      </c>
      <c r="H227" s="11">
        <v>4.2558705993999997</v>
      </c>
      <c r="I227" s="11">
        <v>16.296074769600001</v>
      </c>
      <c r="J227" s="11">
        <v>5.4886490614000003</v>
      </c>
      <c r="K227" s="10">
        <v>0.83664635907499996</v>
      </c>
      <c r="L227" s="12">
        <v>15669367100</v>
      </c>
      <c r="M227">
        <v>19.1693873262662</v>
      </c>
      <c r="N227" s="7">
        <v>2.5040742823181099</v>
      </c>
      <c r="O227" s="7">
        <v>0.77482459924755598</v>
      </c>
      <c r="P227" s="7">
        <v>185.900601087697</v>
      </c>
      <c r="Q227" s="7">
        <v>0.33614929630017432</v>
      </c>
      <c r="U227">
        <v>0.43963764603858413</v>
      </c>
      <c r="AT227" s="4" t="s">
        <v>4154</v>
      </c>
    </row>
    <row r="228" spans="1:46">
      <c r="A228" s="2">
        <v>241</v>
      </c>
      <c r="B228" t="s">
        <v>4155</v>
      </c>
      <c r="C228" t="s">
        <v>119</v>
      </c>
      <c r="D228" t="s">
        <v>3977</v>
      </c>
      <c r="E228" s="4">
        <v>43465</v>
      </c>
      <c r="F228" s="11">
        <v>56.530205819999999</v>
      </c>
      <c r="G228" s="11">
        <v>83.748949289999999</v>
      </c>
      <c r="H228" s="11">
        <v>33.608416038400001</v>
      </c>
      <c r="I228" s="11">
        <v>30.228169281500001</v>
      </c>
      <c r="J228" s="11">
        <v>13.314459322199999</v>
      </c>
      <c r="K228" s="10">
        <v>0.85809983892099995</v>
      </c>
      <c r="L228" s="12">
        <v>8824584170.5</v>
      </c>
      <c r="M228">
        <v>7.9790784415212297</v>
      </c>
      <c r="N228" s="7">
        <v>2.3522404951595299</v>
      </c>
      <c r="O228" s="7">
        <v>1.14176764818762</v>
      </c>
      <c r="P228" s="7">
        <v>-7.9953253821833501</v>
      </c>
      <c r="Q228" s="7">
        <v>2.5992029111072603</v>
      </c>
      <c r="T228" s="2"/>
      <c r="U228">
        <v>4.3557114194130007</v>
      </c>
      <c r="AT228" s="4" t="s">
        <v>4156</v>
      </c>
    </row>
    <row r="229" spans="1:46">
      <c r="A229" s="2">
        <v>3379</v>
      </c>
      <c r="B229" t="s">
        <v>4157</v>
      </c>
      <c r="C229" t="s">
        <v>1622</v>
      </c>
      <c r="D229" t="s">
        <v>3781</v>
      </c>
      <c r="E229" s="4">
        <v>43465</v>
      </c>
      <c r="F229" s="11">
        <v>-3.84749381</v>
      </c>
      <c r="G229" s="11">
        <v>83.571428569999995</v>
      </c>
      <c r="H229" s="11">
        <v>17.5258294988</v>
      </c>
      <c r="I229" s="11">
        <v>13.6961876693</v>
      </c>
      <c r="J229" s="11">
        <v>0.17776253189999999</v>
      </c>
      <c r="K229" s="10">
        <v>1.9721993452990001</v>
      </c>
      <c r="L229" s="12">
        <v>394511630979.23999</v>
      </c>
      <c r="M229">
        <v>93.948093288302204</v>
      </c>
      <c r="N229" s="7">
        <v>4.51247795500643</v>
      </c>
      <c r="O229" s="7">
        <v>0.63053331676693802</v>
      </c>
      <c r="P229" s="7">
        <v>-20.458047350671301</v>
      </c>
      <c r="Q229" s="7">
        <v>0.15384615384615385</v>
      </c>
      <c r="U229">
        <v>7.0720818606507349E-2</v>
      </c>
      <c r="AT229" s="4" t="s">
        <v>4158</v>
      </c>
    </row>
    <row r="230" spans="1:46">
      <c r="A230" s="2">
        <v>1303</v>
      </c>
      <c r="B230" t="s">
        <v>4159</v>
      </c>
      <c r="C230" t="s">
        <v>1270</v>
      </c>
      <c r="D230" t="s">
        <v>4060</v>
      </c>
      <c r="E230" s="4">
        <v>43465</v>
      </c>
      <c r="F230" s="11">
        <v>33.927225579999998</v>
      </c>
      <c r="G230" s="11">
        <v>83.445190159999996</v>
      </c>
      <c r="H230" s="11">
        <v>707.30927713230005</v>
      </c>
      <c r="I230" s="11">
        <v>35.002883877400002</v>
      </c>
      <c r="J230" s="11">
        <v>8.7211194602000006</v>
      </c>
      <c r="K230" s="10">
        <v>1.2168971564910001</v>
      </c>
      <c r="L230" s="12">
        <v>6877819080</v>
      </c>
      <c r="M230">
        <v>18.334376022435698</v>
      </c>
      <c r="N230" s="7">
        <v>1.8962411133961801</v>
      </c>
      <c r="O230" s="7">
        <v>1.5469388660663499</v>
      </c>
      <c r="P230" s="7">
        <v>39.602418756990502</v>
      </c>
      <c r="Q230" s="7">
        <v>1.3150707107803683</v>
      </c>
      <c r="U230">
        <v>0.98758449824655503</v>
      </c>
      <c r="AT230" s="4" t="s">
        <v>4160</v>
      </c>
    </row>
    <row r="231" spans="1:46">
      <c r="A231" s="2">
        <v>2342</v>
      </c>
      <c r="B231" t="s">
        <v>4161</v>
      </c>
      <c r="C231" t="s">
        <v>3050</v>
      </c>
      <c r="D231" t="s">
        <v>3769</v>
      </c>
      <c r="E231" s="4">
        <v>43465</v>
      </c>
      <c r="F231" s="11">
        <v>1.9431406899999999</v>
      </c>
      <c r="G231" s="11">
        <v>83.307810110000005</v>
      </c>
      <c r="H231" s="11">
        <v>16.871346751400001</v>
      </c>
      <c r="I231" s="11">
        <v>6.5162973653999998</v>
      </c>
      <c r="J231" s="11">
        <v>1.7303288059999999</v>
      </c>
      <c r="K231" s="10">
        <v>1.3937165998800001</v>
      </c>
      <c r="L231" s="12">
        <v>9643262128.2000008</v>
      </c>
      <c r="M231">
        <v>441.96464956691398</v>
      </c>
      <c r="N231" s="7">
        <v>1.8814660659881099</v>
      </c>
      <c r="O231" s="7">
        <v>1.2407370398612001</v>
      </c>
      <c r="P231" s="7">
        <v>-189.35464621350701</v>
      </c>
      <c r="Q231" s="7">
        <v>6.2996440214990665E-2</v>
      </c>
      <c r="U231">
        <v>9.3223706246330945E-2</v>
      </c>
      <c r="AT231" s="4" t="s">
        <v>4162</v>
      </c>
    </row>
    <row r="232" spans="1:46">
      <c r="A232" s="2">
        <v>1201</v>
      </c>
      <c r="B232" t="s">
        <v>4163</v>
      </c>
      <c r="C232" t="s">
        <v>1401</v>
      </c>
      <c r="D232" t="s">
        <v>3718</v>
      </c>
      <c r="E232" s="4">
        <v>43465</v>
      </c>
      <c r="F232" s="11">
        <v>113.11419465</v>
      </c>
      <c r="G232" s="11">
        <v>82.612781949999999</v>
      </c>
      <c r="H232" s="11">
        <v>13.325962502599999</v>
      </c>
      <c r="I232" s="11">
        <v>54.935752362400002</v>
      </c>
      <c r="J232" s="11">
        <v>36.112579553300002</v>
      </c>
      <c r="K232" s="10">
        <v>0.454576614923</v>
      </c>
      <c r="L232" s="12">
        <v>10329512250.4</v>
      </c>
      <c r="M232">
        <v>39.402270871722898</v>
      </c>
      <c r="N232" s="7">
        <v>6.2293648374289798</v>
      </c>
      <c r="O232" s="7">
        <v>12.2053601209627</v>
      </c>
      <c r="P232" s="7">
        <v>-79.252684843435503</v>
      </c>
      <c r="Q232" s="7">
        <v>1.8761726078799248</v>
      </c>
      <c r="U232">
        <v>0.66254861744082838</v>
      </c>
      <c r="AT232" s="4" t="s">
        <v>4164</v>
      </c>
    </row>
    <row r="233" spans="1:46">
      <c r="A233" s="2">
        <v>2295</v>
      </c>
      <c r="B233" t="s">
        <v>4165</v>
      </c>
      <c r="C233" t="s">
        <v>2726</v>
      </c>
      <c r="D233" t="s">
        <v>3837</v>
      </c>
      <c r="E233" s="4">
        <v>43465</v>
      </c>
      <c r="F233" s="11">
        <v>37.50655939</v>
      </c>
      <c r="G233" s="11">
        <v>82.602921649999999</v>
      </c>
      <c r="H233" s="11">
        <v>-58.405729079099999</v>
      </c>
      <c r="I233" s="11">
        <v>79.360057950799998</v>
      </c>
      <c r="J233" s="11">
        <v>107.9868293209</v>
      </c>
      <c r="K233" s="10">
        <v>4.7190174408000003E-2</v>
      </c>
      <c r="L233" s="12">
        <v>26431600000</v>
      </c>
      <c r="M233">
        <v>96.816146932867795</v>
      </c>
      <c r="N233" s="7">
        <v>1.1663609208282699</v>
      </c>
      <c r="O233" s="7">
        <v>6.7416671342458603</v>
      </c>
      <c r="P233" s="7">
        <v>-13.939554079593799</v>
      </c>
      <c r="Q233" s="7" t="s">
        <v>3698</v>
      </c>
      <c r="U233">
        <v>8.5919037067196447E-2</v>
      </c>
      <c r="AT233" s="4" t="s">
        <v>4166</v>
      </c>
    </row>
    <row r="234" spans="1:46">
      <c r="A234" s="2">
        <v>2571</v>
      </c>
      <c r="B234" t="s">
        <v>4167</v>
      </c>
      <c r="C234" t="s">
        <v>167</v>
      </c>
      <c r="D234" t="s">
        <v>3752</v>
      </c>
      <c r="E234" s="4">
        <v>43465</v>
      </c>
      <c r="F234" s="11">
        <v>41.658407510000004</v>
      </c>
      <c r="G234" s="11">
        <v>82.474774300000007</v>
      </c>
      <c r="H234" s="11">
        <v>19.208062147</v>
      </c>
      <c r="I234" s="11">
        <v>29.638087803600001</v>
      </c>
      <c r="J234" s="11">
        <v>17.7543640807</v>
      </c>
      <c r="K234" s="10">
        <v>0.72863408067400004</v>
      </c>
      <c r="L234" s="12">
        <v>24405979771.439999</v>
      </c>
      <c r="M234">
        <v>12.382552668088801</v>
      </c>
      <c r="N234" s="7">
        <v>2.52164293871992</v>
      </c>
      <c r="O234" s="7">
        <v>2.0707125436016498</v>
      </c>
      <c r="P234" s="7">
        <v>27.7804987410649</v>
      </c>
      <c r="Q234" s="7">
        <v>1.5480427046263341</v>
      </c>
      <c r="U234">
        <v>2.8892550479050252</v>
      </c>
      <c r="AT234" s="4" t="s">
        <v>4168</v>
      </c>
    </row>
    <row r="235" spans="1:46">
      <c r="A235" s="2">
        <v>1504</v>
      </c>
      <c r="B235" t="s">
        <v>4169</v>
      </c>
      <c r="C235" t="s">
        <v>1778</v>
      </c>
      <c r="D235" t="s">
        <v>3713</v>
      </c>
      <c r="E235" s="4">
        <v>43465</v>
      </c>
      <c r="F235" s="11">
        <v>41.270726860000003</v>
      </c>
      <c r="G235" s="11">
        <v>82.370820670000001</v>
      </c>
      <c r="H235" s="11">
        <v>16.004224577900001</v>
      </c>
      <c r="I235" s="11">
        <v>35.928089593499998</v>
      </c>
      <c r="J235" s="11">
        <v>5.3641823956000003</v>
      </c>
      <c r="K235" s="10">
        <v>0.353648601397</v>
      </c>
      <c r="L235" s="12">
        <v>21268361987.41</v>
      </c>
      <c r="M235">
        <v>134.10290245722501</v>
      </c>
      <c r="N235" s="7">
        <v>1.2775708474754801</v>
      </c>
      <c r="O235" s="7">
        <v>3.4252049162183198</v>
      </c>
      <c r="P235" s="7">
        <v>158.986995781991</v>
      </c>
      <c r="Q235" s="7">
        <v>0.20931732776617956</v>
      </c>
      <c r="U235">
        <v>5.8821277967476063E-2</v>
      </c>
      <c r="AT235" s="4" t="s">
        <v>4170</v>
      </c>
    </row>
    <row r="236" spans="1:46">
      <c r="A236" s="2">
        <v>1347</v>
      </c>
      <c r="B236" t="s">
        <v>4171</v>
      </c>
      <c r="C236" t="s">
        <v>1842</v>
      </c>
      <c r="D236" t="s">
        <v>4060</v>
      </c>
      <c r="E236" s="4">
        <v>43465</v>
      </c>
      <c r="F236" s="11">
        <v>-0.75530699999999995</v>
      </c>
      <c r="G236" s="11">
        <v>82.072829130000002</v>
      </c>
      <c r="H236" s="11">
        <v>78.851298636199999</v>
      </c>
      <c r="I236" s="11">
        <v>18.304555503100001</v>
      </c>
      <c r="J236" s="11">
        <v>5.4022857126000003</v>
      </c>
      <c r="K236" s="10">
        <v>0.89914995181199997</v>
      </c>
      <c r="L236" s="12">
        <v>8464468463.04</v>
      </c>
      <c r="M236">
        <v>76.400554185857004</v>
      </c>
      <c r="N236" s="7">
        <v>3.9049738040306798</v>
      </c>
      <c r="O236" s="7">
        <v>3.1364559695993699</v>
      </c>
      <c r="P236" s="7">
        <v>-51.209106967963002</v>
      </c>
      <c r="Q236" s="7">
        <v>0.35816618911174786</v>
      </c>
      <c r="U236">
        <v>0.21641211848140596</v>
      </c>
      <c r="AT236" s="4" t="s">
        <v>3885</v>
      </c>
    </row>
    <row r="237" spans="1:46">
      <c r="A237" s="2">
        <v>1888</v>
      </c>
      <c r="B237" t="s">
        <v>4172</v>
      </c>
      <c r="C237" t="s">
        <v>499</v>
      </c>
      <c r="D237" t="s">
        <v>3737</v>
      </c>
      <c r="E237" s="4">
        <v>43465</v>
      </c>
      <c r="F237" s="11">
        <v>13.79671909</v>
      </c>
      <c r="G237" s="11">
        <v>81.917808219999998</v>
      </c>
      <c r="H237" s="11">
        <v>36.311021566199997</v>
      </c>
      <c r="I237" s="11">
        <v>51.801328351499997</v>
      </c>
      <c r="J237" s="11">
        <v>17.9837912385</v>
      </c>
      <c r="K237" s="10">
        <v>0.659807786708</v>
      </c>
      <c r="L237" s="12">
        <v>3657246720</v>
      </c>
      <c r="M237">
        <v>19.075354514161798</v>
      </c>
      <c r="N237" s="7">
        <v>3.04668932449305</v>
      </c>
      <c r="O237" s="7">
        <v>3.1721217371263899</v>
      </c>
      <c r="P237" s="7">
        <v>-233.76379452043599</v>
      </c>
      <c r="Q237" s="7">
        <v>0.59615829544149324</v>
      </c>
      <c r="U237">
        <v>0.79736291883512544</v>
      </c>
      <c r="AT237" s="4" t="s">
        <v>4173</v>
      </c>
    </row>
    <row r="238" spans="1:46">
      <c r="A238" s="2">
        <v>1518</v>
      </c>
      <c r="B238" t="s">
        <v>4174</v>
      </c>
      <c r="C238" t="s">
        <v>3079</v>
      </c>
      <c r="D238" t="s">
        <v>3998</v>
      </c>
      <c r="E238" s="4">
        <v>43465</v>
      </c>
      <c r="F238" s="11">
        <v>-2.6959587200000001</v>
      </c>
      <c r="G238" s="11">
        <v>81.505728309999995</v>
      </c>
      <c r="H238" s="11">
        <v>22.833918023399999</v>
      </c>
      <c r="I238" s="11">
        <v>30.0767084019</v>
      </c>
      <c r="J238" s="11">
        <v>1.7189273416999999</v>
      </c>
      <c r="K238" s="10">
        <v>0.50067816380499996</v>
      </c>
      <c r="L238" s="12">
        <v>15041148502.799999</v>
      </c>
      <c r="M238">
        <v>69.6434108606</v>
      </c>
      <c r="N238" s="7">
        <v>1.8260287165545801</v>
      </c>
      <c r="O238" s="7">
        <v>1.9159266213750801</v>
      </c>
      <c r="P238" s="7">
        <v>-2661.0717540287201</v>
      </c>
      <c r="Q238" s="7" t="s">
        <v>3698</v>
      </c>
      <c r="U238">
        <v>5.858052009259259E-2</v>
      </c>
      <c r="AT238" s="4" t="s">
        <v>4175</v>
      </c>
    </row>
    <row r="239" spans="1:46">
      <c r="A239" s="2">
        <v>1215</v>
      </c>
      <c r="B239" t="s">
        <v>4176</v>
      </c>
      <c r="C239" t="s">
        <v>2092</v>
      </c>
      <c r="D239" t="s">
        <v>3977</v>
      </c>
      <c r="E239" s="4">
        <v>43465</v>
      </c>
      <c r="F239" s="11">
        <v>43.150358519999997</v>
      </c>
      <c r="G239" s="11">
        <v>81.481481479999999</v>
      </c>
      <c r="H239" s="11">
        <v>2.7003507201999999</v>
      </c>
      <c r="I239" s="11">
        <v>20.558019233300001</v>
      </c>
      <c r="J239" s="11">
        <v>5.9635786854999999</v>
      </c>
      <c r="K239" s="10">
        <v>1.2252692348800001</v>
      </c>
      <c r="L239" s="12">
        <v>2371680000</v>
      </c>
      <c r="M239">
        <v>15.536108684084599</v>
      </c>
      <c r="N239" s="7">
        <v>1.91330587526538</v>
      </c>
      <c r="O239" s="7">
        <v>0.89986343833948601</v>
      </c>
      <c r="P239" s="7">
        <v>-14.5142381459797</v>
      </c>
      <c r="Q239" s="7">
        <v>2.2095959595959598</v>
      </c>
      <c r="U239">
        <v>0.61800540772284385</v>
      </c>
      <c r="AT239" s="4" t="s">
        <v>4073</v>
      </c>
    </row>
    <row r="240" spans="1:46">
      <c r="A240" s="2">
        <v>3479</v>
      </c>
      <c r="B240" t="s">
        <v>4177</v>
      </c>
      <c r="C240" t="s">
        <v>301</v>
      </c>
      <c r="D240" t="s">
        <v>3769</v>
      </c>
      <c r="E240" s="4">
        <v>43465</v>
      </c>
      <c r="F240" s="11">
        <v>56.001065349999998</v>
      </c>
      <c r="G240" s="11">
        <v>81.223628689999998</v>
      </c>
      <c r="H240" s="11">
        <v>47.1986315694</v>
      </c>
      <c r="I240" s="11">
        <v>31.911765956899998</v>
      </c>
      <c r="J240" s="11">
        <v>18.142894330899999</v>
      </c>
      <c r="K240" s="10">
        <v>0.60204083161400002</v>
      </c>
      <c r="L240" s="12">
        <v>13216287873.65</v>
      </c>
      <c r="M240">
        <v>45.1850458184595</v>
      </c>
      <c r="N240" s="7">
        <v>7.30288028198901</v>
      </c>
      <c r="O240" s="7">
        <v>6.8911518282620703</v>
      </c>
      <c r="P240" s="7">
        <v>26.586250849508001</v>
      </c>
      <c r="Q240" s="7">
        <v>0.59842364992306118</v>
      </c>
      <c r="U240">
        <v>1.3670667397983187</v>
      </c>
      <c r="AT240" s="4" t="s">
        <v>4178</v>
      </c>
    </row>
    <row r="241" spans="1:46">
      <c r="A241" s="2">
        <v>940</v>
      </c>
      <c r="B241" t="s">
        <v>4179</v>
      </c>
      <c r="C241" t="s">
        <v>1347</v>
      </c>
      <c r="D241" t="s">
        <v>3977</v>
      </c>
      <c r="E241" s="4">
        <v>43465</v>
      </c>
      <c r="F241" s="11">
        <v>-2.7932960900000001</v>
      </c>
      <c r="G241" s="11">
        <v>81.052631579999996</v>
      </c>
      <c r="H241" s="11">
        <v>25.8009829889</v>
      </c>
      <c r="I241" s="11">
        <v>10.0980544614</v>
      </c>
      <c r="J241" s="11">
        <v>3.2359754019000002</v>
      </c>
      <c r="K241" s="10">
        <v>0.72933897261699998</v>
      </c>
      <c r="L241" s="12">
        <v>37058882608.150002</v>
      </c>
      <c r="M241">
        <v>34.286902027986002</v>
      </c>
      <c r="N241" s="7">
        <v>1.0934391728330699</v>
      </c>
      <c r="O241" s="7">
        <v>0.68509825538855595</v>
      </c>
      <c r="P241" s="7">
        <v>11.6483526864016</v>
      </c>
      <c r="Q241" s="7" t="s">
        <v>3698</v>
      </c>
      <c r="U241">
        <v>9.8385376607614941E-2</v>
      </c>
      <c r="AT241" s="4" t="s">
        <v>4180</v>
      </c>
    </row>
    <row r="242" spans="1:46">
      <c r="A242" s="2">
        <v>696</v>
      </c>
      <c r="B242" t="s">
        <v>4181</v>
      </c>
      <c r="C242" t="s">
        <v>1763</v>
      </c>
      <c r="D242" t="s">
        <v>3721</v>
      </c>
      <c r="E242" s="4">
        <v>43465</v>
      </c>
      <c r="F242" s="11">
        <v>-1.46178892</v>
      </c>
      <c r="G242" s="11">
        <v>81.034482760000003</v>
      </c>
      <c r="H242" s="11">
        <v>1.5953231474</v>
      </c>
      <c r="I242" s="11">
        <v>16.321873801500001</v>
      </c>
      <c r="J242" s="11">
        <v>6.0271671366000001</v>
      </c>
      <c r="K242" s="10">
        <v>0.65309412761399999</v>
      </c>
      <c r="L242" s="12">
        <v>15753753312.360001</v>
      </c>
      <c r="M242">
        <v>24.349880826174299</v>
      </c>
      <c r="N242" s="7">
        <v>1.52437179020698</v>
      </c>
      <c r="O242" s="7">
        <v>1.1941937076304201</v>
      </c>
      <c r="P242" s="7">
        <v>23.905993203691899</v>
      </c>
      <c r="Q242" s="7">
        <v>0.25882774556617139</v>
      </c>
      <c r="U242">
        <v>0.18292138355103532</v>
      </c>
      <c r="AT242" s="4" t="s">
        <v>4182</v>
      </c>
    </row>
    <row r="243" spans="1:46">
      <c r="A243" s="2">
        <v>1290</v>
      </c>
      <c r="B243" t="s">
        <v>4183</v>
      </c>
      <c r="C243" t="s">
        <v>2505</v>
      </c>
      <c r="D243" t="s">
        <v>3752</v>
      </c>
      <c r="E243" s="4">
        <v>43465</v>
      </c>
      <c r="F243" s="11">
        <v>5.2628579799999997</v>
      </c>
      <c r="G243" s="11">
        <v>81.026438569999996</v>
      </c>
      <c r="H243" s="11">
        <v>37.2537149562</v>
      </c>
      <c r="I243" s="11">
        <v>33.790450365399998</v>
      </c>
      <c r="J243" s="11">
        <v>7.0807130350999996</v>
      </c>
      <c r="K243" s="10">
        <v>0.60139748973899998</v>
      </c>
      <c r="L243" s="12">
        <v>20467828191.779999</v>
      </c>
      <c r="M243">
        <v>21.546832250991098</v>
      </c>
      <c r="N243" s="7">
        <v>1.7301305218946199</v>
      </c>
      <c r="O243" s="7">
        <v>1.2789168787431799</v>
      </c>
      <c r="P243" s="7">
        <v>5.9023739722120601</v>
      </c>
      <c r="Q243" s="7">
        <v>1.7927068235203534</v>
      </c>
      <c r="U243">
        <v>0.24488994255421109</v>
      </c>
      <c r="AT243" s="4" t="s">
        <v>4184</v>
      </c>
    </row>
    <row r="244" spans="1:46">
      <c r="A244" s="2">
        <v>56</v>
      </c>
      <c r="B244" t="s">
        <v>4185</v>
      </c>
      <c r="C244" t="s">
        <v>266</v>
      </c>
      <c r="D244" t="s">
        <v>3713</v>
      </c>
      <c r="E244" s="4">
        <v>43465</v>
      </c>
      <c r="F244" s="11">
        <v>-2.66776678</v>
      </c>
      <c r="G244" s="11">
        <v>80.653394590000005</v>
      </c>
      <c r="H244" s="11">
        <v>-21.4143863794</v>
      </c>
      <c r="I244" s="11">
        <v>32.913735489799997</v>
      </c>
      <c r="J244" s="11">
        <v>-8.1266331553000004</v>
      </c>
      <c r="K244" s="10">
        <v>0.62575260791499998</v>
      </c>
      <c r="L244" s="12">
        <v>4354321280.3999996</v>
      </c>
      <c r="M244">
        <v>-28.150676773938301</v>
      </c>
      <c r="N244" s="7">
        <v>3.6164459213323501</v>
      </c>
      <c r="O244" s="7">
        <v>0.90255921980782305</v>
      </c>
      <c r="P244" s="7">
        <v>-6.7310496046015196</v>
      </c>
      <c r="Q244" s="7" t="s">
        <v>3698</v>
      </c>
      <c r="U244">
        <v>-1.6656829490864591</v>
      </c>
      <c r="AT244" s="4" t="s">
        <v>4186</v>
      </c>
    </row>
    <row r="245" spans="1:46">
      <c r="A245" s="2">
        <v>1625</v>
      </c>
      <c r="B245" t="s">
        <v>4187</v>
      </c>
      <c r="C245" t="s">
        <v>1789</v>
      </c>
      <c r="D245" t="s">
        <v>3752</v>
      </c>
      <c r="E245" s="4">
        <v>43465</v>
      </c>
      <c r="F245" s="11">
        <v>33.112176910000002</v>
      </c>
      <c r="G245" s="11">
        <v>80.425531910000004</v>
      </c>
      <c r="H245" s="11">
        <v>19.064869757699999</v>
      </c>
      <c r="I245" s="11">
        <v>31.519626388799999</v>
      </c>
      <c r="J245" s="11">
        <v>8.2335226647000006</v>
      </c>
      <c r="K245" s="10">
        <v>0.58098645795699999</v>
      </c>
      <c r="L245" s="12">
        <v>149608704205.69</v>
      </c>
      <c r="M245">
        <v>32.518125949589901</v>
      </c>
      <c r="N245" s="7">
        <v>2.2136396529476801</v>
      </c>
      <c r="O245" s="7">
        <v>1.7767093811061401</v>
      </c>
      <c r="P245" s="7">
        <v>-37.072026108174299</v>
      </c>
      <c r="Q245" s="7">
        <v>1.9681349578256795</v>
      </c>
      <c r="U245">
        <v>0.32104677527038616</v>
      </c>
      <c r="AT245" s="4" t="s">
        <v>4188</v>
      </c>
    </row>
    <row r="246" spans="1:46">
      <c r="A246" s="2">
        <v>3491</v>
      </c>
      <c r="B246" t="s">
        <v>4189</v>
      </c>
      <c r="C246" t="s">
        <v>1230</v>
      </c>
      <c r="D246" t="s">
        <v>3977</v>
      </c>
      <c r="E246" s="4">
        <v>43465</v>
      </c>
      <c r="F246" s="11">
        <v>62.979469960000003</v>
      </c>
      <c r="G246" s="11">
        <v>80.248007090000002</v>
      </c>
      <c r="H246" s="11">
        <v>9.6228949841000002</v>
      </c>
      <c r="I246" s="11">
        <v>35.492631902299998</v>
      </c>
      <c r="J246" s="11">
        <v>13.399377011</v>
      </c>
      <c r="K246" s="10">
        <v>0.66241485983000004</v>
      </c>
      <c r="L246" s="12">
        <v>3346321596.0500002</v>
      </c>
      <c r="M246">
        <v>37.372967065054603</v>
      </c>
      <c r="N246" s="7">
        <v>3.90430801634631</v>
      </c>
      <c r="O246" s="7">
        <v>4.0337295263467201</v>
      </c>
      <c r="P246" s="7">
        <v>25.5745934379316</v>
      </c>
      <c r="Q246" s="7">
        <v>0.24570653190838207</v>
      </c>
      <c r="U246">
        <v>0.69854924725220324</v>
      </c>
      <c r="AT246" s="4" t="s">
        <v>4190</v>
      </c>
    </row>
    <row r="247" spans="1:46">
      <c r="A247" s="2">
        <v>2658</v>
      </c>
      <c r="B247" t="s">
        <v>4191</v>
      </c>
      <c r="C247" t="s">
        <v>274</v>
      </c>
      <c r="D247" t="s">
        <v>3998</v>
      </c>
      <c r="E247" s="4">
        <v>43465</v>
      </c>
      <c r="F247" s="11">
        <v>101.69526195</v>
      </c>
      <c r="G247" s="11">
        <v>80.225409839999998</v>
      </c>
      <c r="H247" s="11">
        <v>70.496916777799996</v>
      </c>
      <c r="I247" s="11">
        <v>36.738029306900003</v>
      </c>
      <c r="J247" s="11">
        <v>23.859336438</v>
      </c>
      <c r="K247" s="10">
        <v>0.94521444030099999</v>
      </c>
      <c r="L247" s="12">
        <v>4205284000</v>
      </c>
      <c r="M247">
        <v>5.9183879786581697</v>
      </c>
      <c r="N247" s="7">
        <v>1.38323375817977</v>
      </c>
      <c r="O247" s="7">
        <v>1.5055034714307001</v>
      </c>
      <c r="P247" s="7">
        <v>11.5249564778627</v>
      </c>
      <c r="Q247" s="7">
        <v>3.6899563318777293</v>
      </c>
      <c r="U247">
        <v>5.6260770893037169</v>
      </c>
      <c r="AT247" s="4" t="s">
        <v>4192</v>
      </c>
    </row>
    <row r="248" spans="1:46">
      <c r="A248" s="2">
        <v>3544</v>
      </c>
      <c r="B248" t="s">
        <v>4193</v>
      </c>
      <c r="C248" t="s">
        <v>1366</v>
      </c>
      <c r="D248" t="s">
        <v>3761</v>
      </c>
      <c r="E248" s="4">
        <v>43465</v>
      </c>
      <c r="F248" s="11">
        <v>90.423140880000005</v>
      </c>
      <c r="G248" s="11">
        <v>80.111940300000001</v>
      </c>
      <c r="H248" s="11">
        <v>4.9033864925000001</v>
      </c>
      <c r="I248" s="11">
        <v>19.6673754527</v>
      </c>
      <c r="J248" s="11">
        <v>15.5945174791</v>
      </c>
      <c r="K248" s="10">
        <v>0.79112168202400002</v>
      </c>
      <c r="L248" s="12">
        <v>290401781329.20001</v>
      </c>
      <c r="M248">
        <v>27.4069608749762</v>
      </c>
      <c r="N248" s="7">
        <v>2.52177893431982</v>
      </c>
      <c r="O248" s="7">
        <v>3.0471043422140802</v>
      </c>
      <c r="P248" s="7">
        <v>115.654563086927</v>
      </c>
      <c r="Q248" s="7">
        <v>1.0997067448680353</v>
      </c>
      <c r="U248">
        <v>1.4375382534825871</v>
      </c>
      <c r="AT248" s="4" t="s">
        <v>4194</v>
      </c>
    </row>
    <row r="249" spans="1:46">
      <c r="A249" s="2">
        <v>1041</v>
      </c>
      <c r="B249" t="s">
        <v>4195</v>
      </c>
      <c r="C249" t="s">
        <v>2607</v>
      </c>
      <c r="D249" t="s">
        <v>3790</v>
      </c>
      <c r="E249" s="4">
        <v>43465</v>
      </c>
      <c r="F249" s="11">
        <v>-22.8681938</v>
      </c>
      <c r="G249" s="11">
        <v>79.969650990000005</v>
      </c>
      <c r="H249" s="11">
        <v>26.695026803400001</v>
      </c>
      <c r="I249" s="11">
        <v>48.144572375800003</v>
      </c>
      <c r="J249" s="11">
        <v>24.905914967499999</v>
      </c>
      <c r="K249" s="10">
        <v>0.25328903617999998</v>
      </c>
      <c r="L249" s="12">
        <v>25398360000</v>
      </c>
      <c r="M249">
        <v>22.709927640163599</v>
      </c>
      <c r="N249" s="7">
        <v>2.1883288653451101</v>
      </c>
      <c r="O249" s="7">
        <v>4.3885364189579796</v>
      </c>
      <c r="P249" s="7">
        <v>-7.3963336047691204</v>
      </c>
      <c r="Q249" s="7" t="s">
        <v>3698</v>
      </c>
      <c r="U249">
        <v>0.37066719104368623</v>
      </c>
      <c r="AT249" s="4" t="s">
        <v>4196</v>
      </c>
    </row>
    <row r="250" spans="1:46">
      <c r="A250" s="2">
        <v>1552</v>
      </c>
      <c r="B250" t="s">
        <v>4197</v>
      </c>
      <c r="C250" t="s">
        <v>852</v>
      </c>
      <c r="D250" t="s">
        <v>3769</v>
      </c>
      <c r="E250" s="4">
        <v>43465</v>
      </c>
      <c r="F250" s="11">
        <v>15.761096930000001</v>
      </c>
      <c r="G250" s="11">
        <v>79.813953490000003</v>
      </c>
      <c r="H250" s="11">
        <v>13.7288133332</v>
      </c>
      <c r="I250" s="11">
        <v>35.805408831000001</v>
      </c>
      <c r="J250" s="11">
        <v>26.293112841999999</v>
      </c>
      <c r="K250" s="10">
        <v>0.46166700820500001</v>
      </c>
      <c r="L250" s="12">
        <v>9015322884.75</v>
      </c>
      <c r="M250">
        <v>21.017607409985299</v>
      </c>
      <c r="N250" s="7">
        <v>2.83661887449029</v>
      </c>
      <c r="O250" s="7">
        <v>5.6602790491133401</v>
      </c>
      <c r="P250" s="7">
        <v>13.733182405801699</v>
      </c>
      <c r="Q250" s="7">
        <v>1.977401129943503</v>
      </c>
      <c r="U250">
        <v>0.48398459964085622</v>
      </c>
      <c r="AT250" s="4" t="s">
        <v>4198</v>
      </c>
    </row>
    <row r="251" spans="1:46">
      <c r="A251" s="2">
        <v>295</v>
      </c>
      <c r="B251" t="s">
        <v>4199</v>
      </c>
      <c r="C251" t="s">
        <v>2095</v>
      </c>
      <c r="D251" t="s">
        <v>3781</v>
      </c>
      <c r="E251" s="4">
        <v>43465</v>
      </c>
      <c r="F251" s="11">
        <v>60.106788289999997</v>
      </c>
      <c r="G251" s="11">
        <v>79.694323139999995</v>
      </c>
      <c r="H251" s="11">
        <v>33.208460163399998</v>
      </c>
      <c r="I251" s="11">
        <v>16.272357251500001</v>
      </c>
      <c r="J251" s="11">
        <v>2.9769263554999998</v>
      </c>
      <c r="K251" s="10">
        <v>0.83148850612500003</v>
      </c>
      <c r="L251" s="12">
        <v>6101003276.8000002</v>
      </c>
      <c r="M251">
        <v>-29.334045869305299</v>
      </c>
      <c r="N251" s="7">
        <v>0.94207059026111395</v>
      </c>
      <c r="O251" s="7">
        <v>0.84141264571587704</v>
      </c>
      <c r="P251" s="7">
        <v>4304.5759807295099</v>
      </c>
      <c r="Q251" s="7">
        <v>0.19206760811216766</v>
      </c>
      <c r="U251">
        <v>0.17796534132848044</v>
      </c>
      <c r="AT251" s="4" t="s">
        <v>4200</v>
      </c>
    </row>
    <row r="252" spans="1:46">
      <c r="A252" s="2">
        <v>841</v>
      </c>
      <c r="B252" t="s">
        <v>4201</v>
      </c>
      <c r="C252" t="s">
        <v>2494</v>
      </c>
      <c r="D252" t="s">
        <v>3785</v>
      </c>
      <c r="E252" s="4">
        <v>43465</v>
      </c>
      <c r="F252" s="11">
        <v>-12.072828879999999</v>
      </c>
      <c r="G252" s="11">
        <v>78.935185189999999</v>
      </c>
      <c r="H252" s="11">
        <v>25.479299725600001</v>
      </c>
      <c r="I252" s="11">
        <v>10.6736801624</v>
      </c>
      <c r="J252" s="11">
        <v>0.39436700499999999</v>
      </c>
      <c r="K252" s="10">
        <v>1.166042292744</v>
      </c>
      <c r="L252" s="12">
        <v>3710404811.3400002</v>
      </c>
      <c r="M252">
        <v>-209.32504807913</v>
      </c>
      <c r="N252" s="7">
        <v>1.62935807673772</v>
      </c>
      <c r="O252" s="7">
        <v>1.1050793880462599</v>
      </c>
      <c r="P252" s="7">
        <v>86.638925130321894</v>
      </c>
      <c r="Q252" s="7" t="s">
        <v>3698</v>
      </c>
      <c r="U252">
        <v>1.5939403804780875E-2</v>
      </c>
      <c r="AT252" s="4" t="s">
        <v>4202</v>
      </c>
    </row>
    <row r="253" spans="1:46">
      <c r="A253" s="2">
        <v>1740</v>
      </c>
      <c r="B253" t="s">
        <v>4203</v>
      </c>
      <c r="C253" t="s">
        <v>1735</v>
      </c>
      <c r="D253" t="s">
        <v>3790</v>
      </c>
      <c r="E253" s="4">
        <v>43465</v>
      </c>
      <c r="F253" s="11">
        <v>11.26021029</v>
      </c>
      <c r="G253" s="11">
        <v>78.470254960000005</v>
      </c>
      <c r="H253" s="11">
        <v>11.4301230688</v>
      </c>
      <c r="I253" s="11">
        <v>61.271213430800003</v>
      </c>
      <c r="J253" s="11">
        <v>-157.103550219</v>
      </c>
      <c r="K253" s="10">
        <v>0.25033825902399998</v>
      </c>
      <c r="L253" s="12">
        <v>3885480000</v>
      </c>
      <c r="M253">
        <v>42.5663720506274</v>
      </c>
      <c r="N253" s="7">
        <v>3.1226471078103502</v>
      </c>
      <c r="O253" s="7">
        <v>4.6997320368703202</v>
      </c>
      <c r="P253" s="7">
        <v>96.112670356945699</v>
      </c>
      <c r="Q253" s="7" t="s">
        <v>3698</v>
      </c>
      <c r="U253">
        <v>-1.1423215550169143</v>
      </c>
      <c r="AT253" s="4" t="s">
        <v>4204</v>
      </c>
    </row>
    <row r="254" spans="1:46">
      <c r="A254" s="2">
        <v>2849</v>
      </c>
      <c r="B254" t="s">
        <v>4205</v>
      </c>
      <c r="C254" t="s">
        <v>2538</v>
      </c>
      <c r="D254" t="s">
        <v>3713</v>
      </c>
      <c r="E254" s="4">
        <v>43465</v>
      </c>
      <c r="F254" s="11">
        <v>192.35112889000001</v>
      </c>
      <c r="G254" s="11">
        <v>78.116826500000002</v>
      </c>
      <c r="H254" s="11">
        <v>-1.3319371269</v>
      </c>
      <c r="I254" s="11">
        <v>16.424850578600001</v>
      </c>
      <c r="J254" s="11">
        <v>5.4194772596999998</v>
      </c>
      <c r="K254" s="10">
        <v>0.63496297500700005</v>
      </c>
      <c r="L254" s="12">
        <v>17013677464.639999</v>
      </c>
      <c r="M254">
        <v>248.914866512939</v>
      </c>
      <c r="N254" s="7">
        <v>4.7061224530430801</v>
      </c>
      <c r="O254" s="7">
        <v>5.9957411321795204</v>
      </c>
      <c r="P254" s="7">
        <v>-70.117409275884398</v>
      </c>
      <c r="Q254" s="7">
        <v>0.31512605042016806</v>
      </c>
      <c r="U254">
        <v>0.10143508596986824</v>
      </c>
      <c r="AT254" s="4" t="s">
        <v>4206</v>
      </c>
    </row>
    <row r="255" spans="1:46">
      <c r="A255" s="2">
        <v>2982</v>
      </c>
      <c r="B255" t="s">
        <v>4207</v>
      </c>
      <c r="C255" t="s">
        <v>701</v>
      </c>
      <c r="D255" t="s">
        <v>3849</v>
      </c>
      <c r="E255" s="4">
        <v>43465</v>
      </c>
      <c r="F255" s="11">
        <v>-5.1485056599999997</v>
      </c>
      <c r="G255" s="11">
        <v>78.06788512</v>
      </c>
      <c r="H255" s="11">
        <v>15.306517359000001</v>
      </c>
      <c r="I255" s="11">
        <v>34.2274976482</v>
      </c>
      <c r="J255" s="11">
        <v>18.929796755800002</v>
      </c>
      <c r="K255" s="10">
        <v>0.53744921883999996</v>
      </c>
      <c r="L255" s="12">
        <v>26162481333.119999</v>
      </c>
      <c r="M255">
        <v>15.218298880297001</v>
      </c>
      <c r="N255" s="7">
        <v>1.7097718039941301</v>
      </c>
      <c r="O255" s="7">
        <v>2.6265592514429299</v>
      </c>
      <c r="P255" s="7">
        <v>12.8834040421831</v>
      </c>
      <c r="Q255" s="7">
        <v>2.0060627213175688</v>
      </c>
      <c r="U255">
        <v>0.55056621443354736</v>
      </c>
      <c r="AT255" s="4" t="s">
        <v>4208</v>
      </c>
    </row>
    <row r="256" spans="1:46">
      <c r="A256" s="2">
        <v>1308</v>
      </c>
      <c r="B256" t="s">
        <v>4209</v>
      </c>
      <c r="C256" t="s">
        <v>506</v>
      </c>
      <c r="D256" t="s">
        <v>4060</v>
      </c>
      <c r="E256" s="4">
        <v>43465</v>
      </c>
      <c r="F256" s="11">
        <v>2.10241736</v>
      </c>
      <c r="G256" s="11">
        <v>78.033898309999998</v>
      </c>
      <c r="H256" s="11">
        <v>100.3371810169</v>
      </c>
      <c r="I256" s="11">
        <v>43.057990677500001</v>
      </c>
      <c r="J256" s="11">
        <v>10.0637928028</v>
      </c>
      <c r="K256" s="10">
        <v>1.6582126773670001</v>
      </c>
      <c r="L256" s="12">
        <v>11953598790</v>
      </c>
      <c r="M256">
        <v>17.2604188185291</v>
      </c>
      <c r="N256" s="7">
        <v>5.3577667748254996</v>
      </c>
      <c r="O256" s="7">
        <v>1.41670634633305</v>
      </c>
      <c r="P256" s="7">
        <v>22.725061634963801</v>
      </c>
      <c r="Q256" s="7">
        <v>2.0545431354359924</v>
      </c>
      <c r="U256">
        <v>1.0809824821501013</v>
      </c>
      <c r="AT256" s="4" t="s">
        <v>4210</v>
      </c>
    </row>
    <row r="257" spans="1:46">
      <c r="A257" s="2">
        <v>2033</v>
      </c>
      <c r="B257" t="s">
        <v>4211</v>
      </c>
      <c r="C257" t="s">
        <v>1605</v>
      </c>
      <c r="D257" t="s">
        <v>3721</v>
      </c>
      <c r="E257" s="4">
        <v>43465</v>
      </c>
      <c r="F257" s="11">
        <v>-22.490746260000002</v>
      </c>
      <c r="G257" s="11">
        <v>78.017337190000006</v>
      </c>
      <c r="H257" s="11">
        <v>-8.2831290152000001</v>
      </c>
      <c r="I257" s="11">
        <v>41.944412994499999</v>
      </c>
      <c r="J257" s="11">
        <v>11.229111448099999</v>
      </c>
      <c r="K257" s="10">
        <v>0.36327260271200001</v>
      </c>
      <c r="L257" s="12">
        <v>5894281149.5200005</v>
      </c>
      <c r="M257">
        <v>68.932351400627894</v>
      </c>
      <c r="N257" s="7">
        <v>3.9824238370200402</v>
      </c>
      <c r="O257" s="7">
        <v>9.5362444147911596</v>
      </c>
      <c r="P257" s="7">
        <v>-20.620309382648902</v>
      </c>
      <c r="Q257" s="7">
        <v>8.2918739635157543E-2</v>
      </c>
      <c r="U257">
        <v>1.2026426364697602</v>
      </c>
      <c r="AT257" s="4" t="s">
        <v>4212</v>
      </c>
    </row>
    <row r="258" spans="1:46">
      <c r="A258" s="2">
        <v>1430</v>
      </c>
      <c r="B258" t="s">
        <v>4213</v>
      </c>
      <c r="C258" t="s">
        <v>3310</v>
      </c>
      <c r="D258" t="s">
        <v>3718</v>
      </c>
      <c r="E258" s="4">
        <v>43465</v>
      </c>
      <c r="F258" s="11">
        <v>-33.976833980000002</v>
      </c>
      <c r="G258" s="11">
        <v>77.994428970000001</v>
      </c>
      <c r="H258" s="11">
        <v>8.6981035065000007</v>
      </c>
      <c r="I258" s="11">
        <v>29.2846497548</v>
      </c>
      <c r="J258" s="11">
        <v>-109.2108902264</v>
      </c>
      <c r="K258" s="10">
        <v>0.28242031411599999</v>
      </c>
      <c r="L258" s="12">
        <v>7208057664</v>
      </c>
      <c r="M258">
        <v>-6.5403251986682198</v>
      </c>
      <c r="N258" s="7">
        <v>0.88030240776361601</v>
      </c>
      <c r="O258" s="7">
        <v>1.9904128597453601</v>
      </c>
      <c r="P258" s="7">
        <v>-26.9259912632862</v>
      </c>
      <c r="Q258" s="7" t="s">
        <v>3698</v>
      </c>
      <c r="U258">
        <v>-2.0724948105041232</v>
      </c>
      <c r="AT258" s="4" t="s">
        <v>3770</v>
      </c>
    </row>
    <row r="259" spans="1:46">
      <c r="A259" s="2">
        <v>2910</v>
      </c>
      <c r="B259" t="s">
        <v>4214</v>
      </c>
      <c r="C259" t="s">
        <v>1795</v>
      </c>
      <c r="D259" t="s">
        <v>3837</v>
      </c>
      <c r="E259" s="4">
        <v>43465</v>
      </c>
      <c r="F259" s="11">
        <v>24.44395652</v>
      </c>
      <c r="G259" s="11">
        <v>77.954545449999998</v>
      </c>
      <c r="H259" s="11">
        <v>-15.791599094</v>
      </c>
      <c r="I259" s="11" t="s">
        <v>3698</v>
      </c>
      <c r="J259" s="11">
        <v>24.282368763499999</v>
      </c>
      <c r="K259" s="10" t="s">
        <v>3698</v>
      </c>
      <c r="L259" s="12">
        <v>3283156210.3200002</v>
      </c>
      <c r="M259">
        <v>18.314440017436102</v>
      </c>
      <c r="N259" s="7">
        <v>0.889314114547612</v>
      </c>
      <c r="O259" s="7">
        <v>4.0252275296057904</v>
      </c>
      <c r="P259" s="7">
        <v>41.667018261818001</v>
      </c>
      <c r="Q259" s="7">
        <v>1.0917030567685591</v>
      </c>
      <c r="U259">
        <v>0.45307156323586945</v>
      </c>
      <c r="AT259" s="4" t="s">
        <v>4215</v>
      </c>
    </row>
    <row r="260" spans="1:46">
      <c r="A260" s="2">
        <v>3277</v>
      </c>
      <c r="B260" t="s">
        <v>4216</v>
      </c>
      <c r="C260" t="s">
        <v>3080</v>
      </c>
      <c r="D260" t="s">
        <v>3713</v>
      </c>
      <c r="E260" s="4">
        <v>43465</v>
      </c>
      <c r="F260" s="11">
        <v>35.27286213</v>
      </c>
      <c r="G260" s="11">
        <v>77.936507939999998</v>
      </c>
      <c r="H260" s="11">
        <v>10.305502837400001</v>
      </c>
      <c r="I260" s="11">
        <v>12.6656581179</v>
      </c>
      <c r="J260" s="11">
        <v>2.3248303648999999</v>
      </c>
      <c r="K260" s="10">
        <v>1.087610190633</v>
      </c>
      <c r="L260" s="12">
        <v>177816282000</v>
      </c>
      <c r="M260">
        <v>89.287486108404593</v>
      </c>
      <c r="N260" s="7">
        <v>1.2494377966252399</v>
      </c>
      <c r="O260" s="7">
        <v>0.60961882562599701</v>
      </c>
      <c r="P260" s="7">
        <v>-22.085307307623999</v>
      </c>
      <c r="Q260" s="7">
        <v>4.7229791099000904</v>
      </c>
      <c r="U260">
        <v>0.2461114017076774</v>
      </c>
      <c r="AT260" s="4" t="s">
        <v>4217</v>
      </c>
    </row>
    <row r="261" spans="1:46">
      <c r="A261" s="2">
        <v>560</v>
      </c>
      <c r="B261" t="s">
        <v>4218</v>
      </c>
      <c r="C261" t="s">
        <v>1915</v>
      </c>
      <c r="D261" t="s">
        <v>3721</v>
      </c>
      <c r="E261" s="4">
        <v>43465</v>
      </c>
      <c r="F261" s="11">
        <v>6.1903031300000002</v>
      </c>
      <c r="G261" s="11">
        <v>77.854671280000005</v>
      </c>
      <c r="H261" s="11">
        <v>34.406495410399998</v>
      </c>
      <c r="I261" s="11">
        <v>30.147519450099999</v>
      </c>
      <c r="J261" s="11">
        <v>14.177909268900001</v>
      </c>
      <c r="K261" s="10">
        <v>0.449723362869</v>
      </c>
      <c r="L261" s="12">
        <v>8719242651.6800003</v>
      </c>
      <c r="M261">
        <v>87.550137576508305</v>
      </c>
      <c r="N261" s="7">
        <v>5.8697493147376196</v>
      </c>
      <c r="O261" s="7">
        <v>7.8560247504875402</v>
      </c>
      <c r="P261" s="7">
        <v>-167.21137521542801</v>
      </c>
      <c r="Q261" s="7">
        <v>0.1294642857142857</v>
      </c>
      <c r="U261">
        <v>0.57344011014848528</v>
      </c>
      <c r="AT261" s="4" t="s">
        <v>4219</v>
      </c>
    </row>
    <row r="262" spans="1:46">
      <c r="A262" s="2">
        <v>1461</v>
      </c>
      <c r="B262" t="s">
        <v>4220</v>
      </c>
      <c r="C262" t="s">
        <v>1065</v>
      </c>
      <c r="D262" t="s">
        <v>3769</v>
      </c>
      <c r="E262" s="4">
        <v>43465</v>
      </c>
      <c r="F262" s="11">
        <v>6.0033830200000002</v>
      </c>
      <c r="G262" s="11">
        <v>77.777777779999994</v>
      </c>
      <c r="H262" s="11">
        <v>47.222194860099997</v>
      </c>
      <c r="I262" s="11">
        <v>38.018381215799998</v>
      </c>
      <c r="J262" s="11">
        <v>21.049195681200001</v>
      </c>
      <c r="K262" s="10">
        <v>0.36142557648399998</v>
      </c>
      <c r="L262" s="12">
        <v>30850625493.119999</v>
      </c>
      <c r="M262">
        <v>38.910448762648599</v>
      </c>
      <c r="N262" s="7">
        <v>3.0147467217842299</v>
      </c>
      <c r="O262" s="7">
        <v>4.10316225258412</v>
      </c>
      <c r="P262" s="7">
        <v>354.28000124499601</v>
      </c>
      <c r="Q262" s="7">
        <v>0.47068533758436909</v>
      </c>
      <c r="U262">
        <v>0.25165158904377138</v>
      </c>
      <c r="AT262" s="4" t="s">
        <v>3791</v>
      </c>
    </row>
    <row r="263" spans="1:46">
      <c r="A263" s="2">
        <v>1412</v>
      </c>
      <c r="B263" t="s">
        <v>4221</v>
      </c>
      <c r="C263" t="s">
        <v>585</v>
      </c>
      <c r="D263" t="s">
        <v>3721</v>
      </c>
      <c r="E263" s="4">
        <v>43465</v>
      </c>
      <c r="F263" s="11">
        <v>98.164748500000002</v>
      </c>
      <c r="G263" s="11">
        <v>77.585131599999997</v>
      </c>
      <c r="H263" s="11">
        <v>33.677205114899998</v>
      </c>
      <c r="I263" s="11">
        <v>23.1295922555</v>
      </c>
      <c r="J263" s="11">
        <v>9.1857826294000002</v>
      </c>
      <c r="K263" s="10">
        <v>0.95212437254500004</v>
      </c>
      <c r="L263" s="12">
        <v>5041556816.8800001</v>
      </c>
      <c r="M263">
        <v>42.473457661323501</v>
      </c>
      <c r="N263" s="7">
        <v>6.0303446134542602</v>
      </c>
      <c r="O263" s="7">
        <v>3.2965432563871002</v>
      </c>
      <c r="P263" s="7">
        <v>169.39453090191199</v>
      </c>
      <c r="Q263" s="7">
        <v>0.42781846806762958</v>
      </c>
      <c r="U263">
        <v>2.4901869929285714</v>
      </c>
      <c r="AT263" s="4" t="s">
        <v>4222</v>
      </c>
    </row>
    <row r="264" spans="1:46">
      <c r="A264" s="2">
        <v>1</v>
      </c>
      <c r="B264" t="s">
        <v>4223</v>
      </c>
      <c r="C264" t="s">
        <v>903</v>
      </c>
      <c r="D264" t="s">
        <v>3837</v>
      </c>
      <c r="E264" s="4">
        <v>43465</v>
      </c>
      <c r="F264" s="11">
        <v>27.012383320000001</v>
      </c>
      <c r="G264" s="11">
        <v>77.220555840000003</v>
      </c>
      <c r="H264" s="11">
        <v>10.332180061600001</v>
      </c>
      <c r="I264" s="11" t="s">
        <v>3698</v>
      </c>
      <c r="J264" s="11">
        <v>21.2635799719</v>
      </c>
      <c r="K264" s="10" t="s">
        <v>3698</v>
      </c>
      <c r="L264" s="12">
        <v>48223056000</v>
      </c>
      <c r="M264">
        <v>6.6064423730702702</v>
      </c>
      <c r="N264" s="7">
        <v>0.75784726503771405</v>
      </c>
      <c r="O264" s="7">
        <v>1.4301306950317001</v>
      </c>
      <c r="P264" s="7">
        <v>4.1652690566395103</v>
      </c>
      <c r="Q264" s="7">
        <v>0.83908705390280169</v>
      </c>
      <c r="R264" s="5">
        <v>17170411366</v>
      </c>
      <c r="S264">
        <v>17170246773</v>
      </c>
      <c r="U264">
        <v>1.4453934428818274</v>
      </c>
      <c r="V264">
        <v>12.82</v>
      </c>
      <c r="W264" s="6">
        <v>11.49</v>
      </c>
      <c r="X264">
        <v>116716000000</v>
      </c>
      <c r="Y264" s="7">
        <v>10.332180061600001</v>
      </c>
      <c r="Z264">
        <v>32305000000</v>
      </c>
      <c r="AQ264">
        <v>10.339024004132609</v>
      </c>
      <c r="AT264" s="4" t="s">
        <v>4224</v>
      </c>
    </row>
    <row r="265" spans="1:46">
      <c r="A265" s="2">
        <v>2165</v>
      </c>
      <c r="B265" t="s">
        <v>4225</v>
      </c>
      <c r="C265" t="s">
        <v>889</v>
      </c>
      <c r="D265" t="s">
        <v>3972</v>
      </c>
      <c r="E265" s="4">
        <v>43465</v>
      </c>
      <c r="F265" s="11">
        <v>21.890280789999998</v>
      </c>
      <c r="G265" s="11">
        <v>77.01492537</v>
      </c>
      <c r="H265" s="11">
        <v>14.571612631700001</v>
      </c>
      <c r="I265" s="11">
        <v>29.748148832799998</v>
      </c>
      <c r="J265" s="11">
        <v>14.998790016799999</v>
      </c>
      <c r="K265" s="10">
        <v>0.31246933143599998</v>
      </c>
      <c r="L265" s="12">
        <v>319227354357.09998</v>
      </c>
      <c r="M265">
        <v>16.245419561819201</v>
      </c>
      <c r="N265" s="7">
        <v>1.3317779562232801</v>
      </c>
      <c r="O265" s="7">
        <v>2.7197788736409798</v>
      </c>
      <c r="P265" s="7">
        <v>8.3909293294714509</v>
      </c>
      <c r="Q265" s="7">
        <v>1.0179640718562872</v>
      </c>
      <c r="U265">
        <v>0.54567233798272785</v>
      </c>
      <c r="AT265" s="4" t="s">
        <v>4226</v>
      </c>
    </row>
    <row r="266" spans="1:46">
      <c r="A266" s="2">
        <v>379</v>
      </c>
      <c r="B266" t="s">
        <v>4227</v>
      </c>
      <c r="C266" t="s">
        <v>2884</v>
      </c>
      <c r="D266" t="s">
        <v>3721</v>
      </c>
      <c r="E266" s="4">
        <v>43465</v>
      </c>
      <c r="F266" s="11">
        <v>2.00073151</v>
      </c>
      <c r="G266" s="11">
        <v>76.666666669999998</v>
      </c>
      <c r="H266" s="11">
        <v>14.0341500213</v>
      </c>
      <c r="I266" s="11">
        <v>20.020079695900002</v>
      </c>
      <c r="J266" s="11">
        <v>6.6810806568999999</v>
      </c>
      <c r="K266" s="10">
        <v>0.93885209053899998</v>
      </c>
      <c r="L266" s="12">
        <v>36109642969.300003</v>
      </c>
      <c r="M266">
        <v>17.982440389592298</v>
      </c>
      <c r="N266" s="7">
        <v>1.2639851853439501</v>
      </c>
      <c r="O266" s="7">
        <v>0.85753009701853999</v>
      </c>
      <c r="P266" s="7">
        <v>111.50223217105599</v>
      </c>
      <c r="Q266" s="7">
        <v>0.99700897308075775</v>
      </c>
      <c r="U266">
        <v>0.50253374777918902</v>
      </c>
      <c r="AT266" s="4" t="s">
        <v>4228</v>
      </c>
    </row>
    <row r="267" spans="1:46">
      <c r="A267" s="2">
        <v>939</v>
      </c>
      <c r="B267" t="s">
        <v>4229</v>
      </c>
      <c r="C267" t="s">
        <v>3029</v>
      </c>
      <c r="D267" t="s">
        <v>3769</v>
      </c>
      <c r="E267" s="4">
        <v>43465</v>
      </c>
      <c r="F267" s="11">
        <v>-29.49461475</v>
      </c>
      <c r="G267" s="11">
        <v>76.400000000000006</v>
      </c>
      <c r="H267" s="11">
        <v>0.16400909020000001</v>
      </c>
      <c r="I267" s="11">
        <v>20.904579553400001</v>
      </c>
      <c r="J267" s="11">
        <v>1.6365740481</v>
      </c>
      <c r="K267" s="10">
        <v>0.23967249902900001</v>
      </c>
      <c r="L267" s="12">
        <v>7254410660</v>
      </c>
      <c r="M267">
        <v>7630.0293712672301</v>
      </c>
      <c r="N267" s="7">
        <v>2.1892508142796698</v>
      </c>
      <c r="O267" s="7">
        <v>6.4381714208390202</v>
      </c>
      <c r="P267" s="7">
        <v>158.28933873127599</v>
      </c>
      <c r="Q267" s="7" t="s">
        <v>3698</v>
      </c>
      <c r="U267">
        <v>1.3199291508451739E-2</v>
      </c>
      <c r="AT267" s="4" t="s">
        <v>4230</v>
      </c>
    </row>
    <row r="268" spans="1:46">
      <c r="A268" s="2">
        <v>1416</v>
      </c>
      <c r="B268" t="s">
        <v>4231</v>
      </c>
      <c r="C268" t="s">
        <v>427</v>
      </c>
      <c r="D268" t="s">
        <v>3849</v>
      </c>
      <c r="E268" s="4">
        <v>43465</v>
      </c>
      <c r="F268" s="11">
        <v>-21.184712659999999</v>
      </c>
      <c r="G268" s="11">
        <v>76.368876080000007</v>
      </c>
      <c r="H268" s="11">
        <v>-10.0088297228</v>
      </c>
      <c r="I268" s="11">
        <v>23.991651408700001</v>
      </c>
      <c r="J268" s="11">
        <v>7.6940506325999998</v>
      </c>
      <c r="K268" s="10">
        <v>0.90914776881600001</v>
      </c>
      <c r="L268" s="12">
        <v>5558051200</v>
      </c>
      <c r="M268">
        <v>21.5470661983213</v>
      </c>
      <c r="N268" s="7">
        <v>2.4022298968054301</v>
      </c>
      <c r="O268" s="7">
        <v>1.69656349341169</v>
      </c>
      <c r="P268" s="7">
        <v>32.627906036416597</v>
      </c>
      <c r="Q268" s="7">
        <v>0.78895463510848129</v>
      </c>
      <c r="U268">
        <v>0.75658421316363633</v>
      </c>
      <c r="AT268" s="4" t="s">
        <v>4232</v>
      </c>
    </row>
    <row r="269" spans="1:46">
      <c r="A269" s="2">
        <v>1494</v>
      </c>
      <c r="B269" t="s">
        <v>4233</v>
      </c>
      <c r="C269" t="s">
        <v>2159</v>
      </c>
      <c r="D269" t="s">
        <v>3761</v>
      </c>
      <c r="E269" s="4">
        <v>43465</v>
      </c>
      <c r="F269" s="11">
        <v>-52.81564908</v>
      </c>
      <c r="G269" s="11">
        <v>76.28541448</v>
      </c>
      <c r="H269" s="11">
        <v>-29.1417034372</v>
      </c>
      <c r="I269" s="11">
        <v>31.367125728600001</v>
      </c>
      <c r="J269" s="11">
        <v>-93.719696647600003</v>
      </c>
      <c r="K269" s="10">
        <v>0.24704689620699999</v>
      </c>
      <c r="L269" s="12">
        <v>16681500000</v>
      </c>
      <c r="M269">
        <v>-50.181080382454297</v>
      </c>
      <c r="N269" s="7">
        <v>3.9872132429633198</v>
      </c>
      <c r="O269" s="7">
        <v>6.0202668519994704</v>
      </c>
      <c r="P269" s="7">
        <v>121.903466394125</v>
      </c>
      <c r="Q269" s="7" t="s">
        <v>3698</v>
      </c>
      <c r="U269">
        <v>-1.525474951965812</v>
      </c>
      <c r="AT269" s="4" t="s">
        <v>4234</v>
      </c>
    </row>
    <row r="270" spans="1:46">
      <c r="A270" s="2">
        <v>761</v>
      </c>
      <c r="B270" t="s">
        <v>4235</v>
      </c>
      <c r="C270" t="s">
        <v>2148</v>
      </c>
      <c r="D270" t="s">
        <v>3752</v>
      </c>
      <c r="E270" s="4">
        <v>43465</v>
      </c>
      <c r="F270" s="11">
        <v>63.561206830000003</v>
      </c>
      <c r="G270" s="11">
        <v>75.927889710000002</v>
      </c>
      <c r="H270" s="11">
        <v>0.1640763288</v>
      </c>
      <c r="I270" s="11">
        <v>27.636000885200001</v>
      </c>
      <c r="J270" s="11">
        <v>1.1427529006999999</v>
      </c>
      <c r="K270" s="10">
        <v>0.47625611612899998</v>
      </c>
      <c r="L270" s="12">
        <v>1862640000</v>
      </c>
      <c r="M270">
        <v>79.153861312770999</v>
      </c>
      <c r="N270" s="7">
        <v>1.6896705931518801</v>
      </c>
      <c r="O270" s="7">
        <v>2.2930819094340702</v>
      </c>
      <c r="P270" s="7">
        <v>-13.0660067975593</v>
      </c>
      <c r="Q270" s="7">
        <v>0.14302877960892152</v>
      </c>
      <c r="U270">
        <v>4.0534744908267056E-2</v>
      </c>
      <c r="AT270" s="4" t="s">
        <v>4236</v>
      </c>
    </row>
    <row r="271" spans="1:46">
      <c r="A271" s="2">
        <v>2523</v>
      </c>
      <c r="B271" t="s">
        <v>4237</v>
      </c>
      <c r="C271" t="s">
        <v>2777</v>
      </c>
      <c r="D271" t="s">
        <v>3713</v>
      </c>
      <c r="E271" s="4">
        <v>43465</v>
      </c>
      <c r="F271" s="11">
        <v>-1.30845185</v>
      </c>
      <c r="G271" s="11">
        <v>75.767918089999995</v>
      </c>
      <c r="H271" s="11">
        <v>-3.8125959191000001</v>
      </c>
      <c r="I271" s="11">
        <v>15.696861995800001</v>
      </c>
      <c r="J271" s="11">
        <v>-5.5175355407</v>
      </c>
      <c r="K271" s="10">
        <v>0.47104256137799999</v>
      </c>
      <c r="L271" s="12">
        <v>15826031099.280001</v>
      </c>
      <c r="M271">
        <v>-118.677720683491</v>
      </c>
      <c r="N271" s="7">
        <v>1.6716832637630601</v>
      </c>
      <c r="O271" s="7">
        <v>1.2306820658120801</v>
      </c>
      <c r="P271" s="7">
        <v>-8.6800147830169596</v>
      </c>
      <c r="Q271" s="7" t="s">
        <v>3698</v>
      </c>
      <c r="U271">
        <v>-0.2049060654012517</v>
      </c>
      <c r="AT271" s="4" t="s">
        <v>4238</v>
      </c>
    </row>
    <row r="272" spans="1:46">
      <c r="A272" s="2">
        <v>3448</v>
      </c>
      <c r="B272" t="s">
        <v>4239</v>
      </c>
      <c r="C272" t="s">
        <v>1265</v>
      </c>
      <c r="D272" t="s">
        <v>3889</v>
      </c>
      <c r="E272" s="4">
        <v>43465</v>
      </c>
      <c r="F272" s="11">
        <v>14.98391814</v>
      </c>
      <c r="G272" s="11">
        <v>75.699888020000003</v>
      </c>
      <c r="H272" s="11">
        <v>21.878943163399999</v>
      </c>
      <c r="I272" s="11">
        <v>8.4183952148000003</v>
      </c>
      <c r="J272" s="11">
        <v>1.9429545579</v>
      </c>
      <c r="K272" s="10">
        <v>1.656850449285</v>
      </c>
      <c r="L272" s="12">
        <v>11328044278.73</v>
      </c>
      <c r="M272">
        <v>28.438302571847402</v>
      </c>
      <c r="N272" s="7">
        <v>-96.210412463718399</v>
      </c>
      <c r="O272" s="7">
        <v>0.67130253990816402</v>
      </c>
      <c r="P272" s="7">
        <v>13.627542341522499</v>
      </c>
      <c r="Q272" s="7" t="s">
        <v>3698</v>
      </c>
      <c r="U272">
        <v>0.20925438817099803</v>
      </c>
      <c r="AT272" s="4" t="s">
        <v>3803</v>
      </c>
    </row>
    <row r="273" spans="1:46">
      <c r="A273" s="2">
        <v>3323</v>
      </c>
      <c r="B273" t="s">
        <v>4240</v>
      </c>
      <c r="C273" t="s">
        <v>2791</v>
      </c>
      <c r="D273" t="s">
        <v>3737</v>
      </c>
      <c r="E273" s="4">
        <v>43465</v>
      </c>
      <c r="F273" s="11">
        <v>20.20274071</v>
      </c>
      <c r="G273" s="11">
        <v>75.437062940000004</v>
      </c>
      <c r="H273" s="11">
        <v>1.5391105512000001</v>
      </c>
      <c r="I273" s="11">
        <v>44.6523824979</v>
      </c>
      <c r="J273" s="11">
        <v>17.985558578999999</v>
      </c>
      <c r="K273" s="10">
        <v>0.31600284430499997</v>
      </c>
      <c r="L273" s="12">
        <v>4597884770</v>
      </c>
      <c r="M273">
        <v>38.204548665540401</v>
      </c>
      <c r="N273" s="7">
        <v>3.0629246720699901</v>
      </c>
      <c r="O273" s="7">
        <v>7.1852439147055298</v>
      </c>
      <c r="P273" s="7">
        <v>20.084799969871</v>
      </c>
      <c r="Q273" s="7">
        <v>0.27322404371584702</v>
      </c>
      <c r="U273">
        <v>0.27415056712500002</v>
      </c>
      <c r="AT273" s="4" t="s">
        <v>4241</v>
      </c>
    </row>
    <row r="274" spans="1:46">
      <c r="A274" s="2">
        <v>589</v>
      </c>
      <c r="B274" t="s">
        <v>4242</v>
      </c>
      <c r="C274" t="s">
        <v>212</v>
      </c>
      <c r="D274" t="s">
        <v>4060</v>
      </c>
      <c r="E274" s="4">
        <v>43465</v>
      </c>
      <c r="F274" s="11">
        <v>8.7338684600000001</v>
      </c>
      <c r="G274" s="11">
        <v>75.263157890000002</v>
      </c>
      <c r="H274" s="11">
        <v>15.2115312301</v>
      </c>
      <c r="I274" s="11">
        <v>23.451817896200001</v>
      </c>
      <c r="J274" s="11">
        <v>10.3002253263</v>
      </c>
      <c r="K274" s="10">
        <v>0.78332590035100003</v>
      </c>
      <c r="L274" s="12">
        <v>3241600000</v>
      </c>
      <c r="M274">
        <v>6.0159805130672996</v>
      </c>
      <c r="N274" s="7">
        <v>1.2031018343975</v>
      </c>
      <c r="O274" s="7">
        <v>0.69385217320263204</v>
      </c>
      <c r="P274" s="7">
        <v>-47.5526267574933</v>
      </c>
      <c r="Q274" s="7">
        <v>1.1073274834067788</v>
      </c>
      <c r="U274">
        <v>0.86307645438268521</v>
      </c>
      <c r="AT274" s="4" t="s">
        <v>3867</v>
      </c>
    </row>
    <row r="275" spans="1:46">
      <c r="A275" s="2">
        <v>1068</v>
      </c>
      <c r="B275" t="s">
        <v>4243</v>
      </c>
      <c r="C275" t="s">
        <v>954</v>
      </c>
      <c r="D275" t="s">
        <v>3785</v>
      </c>
      <c r="E275" s="4">
        <v>43465</v>
      </c>
      <c r="F275" s="11">
        <v>124.41991115</v>
      </c>
      <c r="G275" s="11">
        <v>75.052521010000007</v>
      </c>
      <c r="H275" s="11">
        <v>16.4959918363</v>
      </c>
      <c r="I275" s="11">
        <v>31.1621685464</v>
      </c>
      <c r="J275" s="11">
        <v>10.520982091500001</v>
      </c>
      <c r="K275" s="10">
        <v>0.85636443262600004</v>
      </c>
      <c r="L275" s="12">
        <v>25503011752.080002</v>
      </c>
      <c r="M275">
        <v>32.579779280407202</v>
      </c>
      <c r="N275" s="7">
        <v>2.9022345999771</v>
      </c>
      <c r="O275" s="7">
        <v>2.4118726535207098</v>
      </c>
      <c r="P275" s="7">
        <v>10851.278875432199</v>
      </c>
      <c r="Q275" s="7">
        <v>1.5451174289245984</v>
      </c>
      <c r="U275">
        <v>0.85366570629191318</v>
      </c>
      <c r="AT275" s="4" t="s">
        <v>3793</v>
      </c>
    </row>
    <row r="276" spans="1:46">
      <c r="A276" s="2">
        <v>3514</v>
      </c>
      <c r="B276" t="s">
        <v>4244</v>
      </c>
      <c r="C276" t="s">
        <v>1739</v>
      </c>
      <c r="D276" t="s">
        <v>3889</v>
      </c>
      <c r="E276" s="4">
        <v>43465</v>
      </c>
      <c r="F276" s="11">
        <v>25.110028360000001</v>
      </c>
      <c r="G276" s="11">
        <v>74.61538462</v>
      </c>
      <c r="H276" s="11">
        <v>-20.156404296800002</v>
      </c>
      <c r="I276" s="11">
        <v>27.478779836899999</v>
      </c>
      <c r="J276" s="11">
        <v>8.7382440855999999</v>
      </c>
      <c r="K276" s="10">
        <v>0.49185896943700003</v>
      </c>
      <c r="L276" s="12">
        <v>17222790000</v>
      </c>
      <c r="M276">
        <v>112.628103677689</v>
      </c>
      <c r="N276" s="7">
        <v>2.6611324193195598</v>
      </c>
      <c r="O276" s="7">
        <v>4.2339671307354401</v>
      </c>
      <c r="P276" s="7">
        <v>-17.4506733488873</v>
      </c>
      <c r="Q276" s="7">
        <v>0.68965517241379315</v>
      </c>
      <c r="U276">
        <v>0.2738368377</v>
      </c>
      <c r="AT276" s="4" t="s">
        <v>4245</v>
      </c>
    </row>
    <row r="277" spans="1:46">
      <c r="A277" s="2">
        <v>672</v>
      </c>
      <c r="B277" t="s">
        <v>4246</v>
      </c>
      <c r="C277" t="s">
        <v>3447</v>
      </c>
      <c r="D277" t="s">
        <v>3721</v>
      </c>
      <c r="E277" s="4">
        <v>43465</v>
      </c>
      <c r="F277" s="11">
        <v>6.9977426600000001</v>
      </c>
      <c r="G277" s="11">
        <v>74.538745390000003</v>
      </c>
      <c r="H277" s="11">
        <v>-17.495884498199999</v>
      </c>
      <c r="I277" s="11">
        <v>35.384113410399998</v>
      </c>
      <c r="J277" s="11">
        <v>-44.638914716899997</v>
      </c>
      <c r="K277" s="10">
        <v>0.19805890392200001</v>
      </c>
      <c r="L277" s="12">
        <v>3424200000</v>
      </c>
      <c r="M277">
        <v>-37.9738447541705</v>
      </c>
      <c r="N277" s="7">
        <v>2.8844093600619498</v>
      </c>
      <c r="O277" s="7">
        <v>8.6983238220943999</v>
      </c>
      <c r="P277" s="7">
        <v>-131.37136181119101</v>
      </c>
      <c r="Q277" s="7" t="s">
        <v>3698</v>
      </c>
      <c r="U277">
        <v>-0.24201294059376763</v>
      </c>
      <c r="AT277" s="4" t="s">
        <v>4247</v>
      </c>
    </row>
    <row r="278" spans="1:46">
      <c r="A278" s="2">
        <v>663</v>
      </c>
      <c r="B278" t="s">
        <v>4248</v>
      </c>
      <c r="C278" t="s">
        <v>1287</v>
      </c>
      <c r="D278" t="s">
        <v>3713</v>
      </c>
      <c r="E278" s="4">
        <v>43465</v>
      </c>
      <c r="F278" s="11">
        <v>35.39832303</v>
      </c>
      <c r="G278" s="11">
        <v>74.509803919999996</v>
      </c>
      <c r="H278" s="11">
        <v>24.532584888799999</v>
      </c>
      <c r="I278" s="11">
        <v>41.3825623914</v>
      </c>
      <c r="J278" s="11">
        <v>14.361749615300001</v>
      </c>
      <c r="K278" s="10">
        <v>0.41780951042499997</v>
      </c>
      <c r="L278" s="12">
        <v>7012900152</v>
      </c>
      <c r="M278">
        <v>23.494219020117502</v>
      </c>
      <c r="N278" s="7">
        <v>1.77594513230936</v>
      </c>
      <c r="O278" s="7">
        <v>2.6171000617111901</v>
      </c>
      <c r="P278" s="7">
        <v>-31.3727513129509</v>
      </c>
      <c r="Q278" s="7">
        <v>1.5432509619210983</v>
      </c>
      <c r="U278">
        <v>0.2759689501324728</v>
      </c>
      <c r="AT278" s="4" t="s">
        <v>4249</v>
      </c>
    </row>
    <row r="279" spans="1:46">
      <c r="A279" s="2">
        <v>1436</v>
      </c>
      <c r="B279" t="s">
        <v>4250</v>
      </c>
      <c r="C279" t="s">
        <v>2841</v>
      </c>
      <c r="D279" t="s">
        <v>3889</v>
      </c>
      <c r="E279" s="4">
        <v>43465</v>
      </c>
      <c r="F279" s="11">
        <v>15.577439569999999</v>
      </c>
      <c r="G279" s="11">
        <v>74.380165289999994</v>
      </c>
      <c r="H279" s="11">
        <v>-9.6571066883000007</v>
      </c>
      <c r="I279" s="11">
        <v>39.064146739199998</v>
      </c>
      <c r="J279" s="11">
        <v>-71.384264030099999</v>
      </c>
      <c r="K279" s="10">
        <v>0.25017117750099999</v>
      </c>
      <c r="L279" s="12">
        <v>23150431869.110001</v>
      </c>
      <c r="M279">
        <v>52.709565207674501</v>
      </c>
      <c r="N279" s="7">
        <v>16.619295805645599</v>
      </c>
      <c r="O279" s="7">
        <v>2.8781961386587001</v>
      </c>
      <c r="P279" s="7">
        <v>2492.90151529168</v>
      </c>
      <c r="Q279" s="7" t="s">
        <v>3698</v>
      </c>
      <c r="U279">
        <v>-1.6040580893818623</v>
      </c>
      <c r="AT279" s="4" t="s">
        <v>3770</v>
      </c>
    </row>
    <row r="280" spans="1:46">
      <c r="A280" s="2">
        <v>2805</v>
      </c>
      <c r="B280" t="s">
        <v>4251</v>
      </c>
      <c r="C280" t="s">
        <v>3040</v>
      </c>
      <c r="D280" t="s">
        <v>3761</v>
      </c>
      <c r="E280" s="4">
        <v>43465</v>
      </c>
      <c r="F280" s="11">
        <v>3.0423280400000001</v>
      </c>
      <c r="G280" s="11">
        <v>74.336283190000003</v>
      </c>
      <c r="H280" s="11">
        <v>241.2447151751</v>
      </c>
      <c r="I280" s="11">
        <v>51.920632020600003</v>
      </c>
      <c r="J280" s="11">
        <v>12.3250695493</v>
      </c>
      <c r="K280" s="10">
        <v>0.28003991618599999</v>
      </c>
      <c r="L280" s="12">
        <v>11210071192.77</v>
      </c>
      <c r="M280">
        <v>-101.105164458128</v>
      </c>
      <c r="N280" s="7">
        <v>4.3270122533446704</v>
      </c>
      <c r="O280" s="7">
        <v>56.022863337417398</v>
      </c>
      <c r="P280" s="7">
        <v>67.192025697365594</v>
      </c>
      <c r="Q280" s="7" t="s">
        <v>3698</v>
      </c>
      <c r="U280">
        <v>3.5834981738107098E-2</v>
      </c>
      <c r="AT280" s="4" t="s">
        <v>4252</v>
      </c>
    </row>
    <row r="281" spans="1:46">
      <c r="A281" s="2">
        <v>803</v>
      </c>
      <c r="B281" t="s">
        <v>4253</v>
      </c>
      <c r="C281" t="s">
        <v>2336</v>
      </c>
      <c r="D281" t="s">
        <v>3889</v>
      </c>
      <c r="E281" s="4">
        <v>43465</v>
      </c>
      <c r="F281" s="11">
        <v>-30.510846749999999</v>
      </c>
      <c r="G281" s="11">
        <v>74.028268550000007</v>
      </c>
      <c r="H281" s="11">
        <v>-22.036566722900002</v>
      </c>
      <c r="I281" s="11">
        <v>38.530967414999999</v>
      </c>
      <c r="J281" s="11">
        <v>-59.5713162407</v>
      </c>
      <c r="K281" s="10">
        <v>0.37736190593500002</v>
      </c>
      <c r="L281" s="12">
        <v>14254829311.700001</v>
      </c>
      <c r="M281">
        <v>-22.220708211238001</v>
      </c>
      <c r="N281" s="7">
        <v>4.11580377786564</v>
      </c>
      <c r="O281" s="7">
        <v>2.4570151497480701</v>
      </c>
      <c r="P281" s="7">
        <v>-21068.722645403599</v>
      </c>
      <c r="Q281" s="7" t="s">
        <v>3698</v>
      </c>
      <c r="U281">
        <v>-1.2011779205395916</v>
      </c>
      <c r="AT281" s="4" t="s">
        <v>4254</v>
      </c>
    </row>
    <row r="282" spans="1:46">
      <c r="A282" s="2">
        <v>747</v>
      </c>
      <c r="B282" t="s">
        <v>4255</v>
      </c>
      <c r="C282" t="s">
        <v>907</v>
      </c>
      <c r="D282" t="s">
        <v>3713</v>
      </c>
      <c r="E282" s="4">
        <v>43465</v>
      </c>
      <c r="F282" s="11">
        <v>-12.680113499999999</v>
      </c>
      <c r="G282" s="11">
        <v>73.909249560000006</v>
      </c>
      <c r="H282" s="11">
        <v>25.584339112799999</v>
      </c>
      <c r="I282" s="11">
        <v>37.161425436099996</v>
      </c>
      <c r="J282" s="11">
        <v>10.963520979</v>
      </c>
      <c r="K282" s="10">
        <v>0.99260335646700004</v>
      </c>
      <c r="L282" s="12">
        <v>13476594083.25</v>
      </c>
      <c r="M282">
        <v>13.5075385133776</v>
      </c>
      <c r="N282" s="7">
        <v>2.7462395256493299</v>
      </c>
      <c r="O282" s="7">
        <v>1.5507816193598201</v>
      </c>
      <c r="P282" s="7">
        <v>-337.80500713887801</v>
      </c>
      <c r="Q282" s="7">
        <v>0.59032703659976393</v>
      </c>
      <c r="U282">
        <v>0.84381103677407376</v>
      </c>
      <c r="AT282" s="4" t="s">
        <v>4256</v>
      </c>
    </row>
    <row r="283" spans="1:46">
      <c r="A283" s="2">
        <v>688</v>
      </c>
      <c r="B283" t="s">
        <v>4257</v>
      </c>
      <c r="C283" t="s">
        <v>2921</v>
      </c>
      <c r="D283" t="s">
        <v>3713</v>
      </c>
      <c r="E283" s="4">
        <v>43465</v>
      </c>
      <c r="F283" s="11">
        <v>10.722538460000001</v>
      </c>
      <c r="G283" s="11">
        <v>73.899371070000001</v>
      </c>
      <c r="H283" s="11">
        <v>-30.805013359899998</v>
      </c>
      <c r="I283" s="11">
        <v>31.465189429599999</v>
      </c>
      <c r="J283" s="11">
        <v>-24.052315674100001</v>
      </c>
      <c r="K283" s="10">
        <v>0.206587284461</v>
      </c>
      <c r="L283" s="12">
        <v>59798865652.400002</v>
      </c>
      <c r="M283">
        <v>-91.624468416586097</v>
      </c>
      <c r="N283" s="7">
        <v>1.5277977630791999</v>
      </c>
      <c r="O283" s="7">
        <v>5.0166324159975497</v>
      </c>
      <c r="P283" s="7">
        <v>13.319372862466</v>
      </c>
      <c r="Q283" s="7" t="s">
        <v>3698</v>
      </c>
      <c r="U283">
        <v>-0.12456472299064419</v>
      </c>
      <c r="AT283" s="4" t="s">
        <v>4258</v>
      </c>
    </row>
    <row r="284" spans="1:46">
      <c r="A284" s="2">
        <v>3613</v>
      </c>
      <c r="B284" t="s">
        <v>4259</v>
      </c>
      <c r="C284" t="s">
        <v>752</v>
      </c>
      <c r="D284" t="s">
        <v>3737</v>
      </c>
      <c r="E284" s="4">
        <v>43465</v>
      </c>
      <c r="F284" s="11">
        <v>62.631068300000003</v>
      </c>
      <c r="G284" s="11">
        <v>73.860911270000003</v>
      </c>
      <c r="H284" s="11">
        <v>43.7948508602</v>
      </c>
      <c r="I284" s="11">
        <v>39.731851028900003</v>
      </c>
      <c r="J284" s="11">
        <v>6.3879101808999996</v>
      </c>
      <c r="K284" s="10">
        <v>1.0928368178650001</v>
      </c>
      <c r="L284" s="12">
        <v>4194164029.9400001</v>
      </c>
      <c r="M284">
        <v>41.2490330934314</v>
      </c>
      <c r="N284" s="7">
        <v>11.8501566943791</v>
      </c>
      <c r="O284" s="7">
        <v>2.5954791640137902</v>
      </c>
      <c r="P284" s="7">
        <v>87.929674219469206</v>
      </c>
      <c r="Q284" s="7">
        <v>0.39027253736332762</v>
      </c>
      <c r="U284">
        <v>1.1051153550084336</v>
      </c>
      <c r="AT284" s="4" t="s">
        <v>3746</v>
      </c>
    </row>
    <row r="285" spans="1:46">
      <c r="A285" s="2">
        <v>1361</v>
      </c>
      <c r="B285" t="s">
        <v>4260</v>
      </c>
      <c r="C285" t="s">
        <v>2682</v>
      </c>
      <c r="D285" t="s">
        <v>3721</v>
      </c>
      <c r="E285" s="4">
        <v>43465</v>
      </c>
      <c r="F285" s="11">
        <v>22.159905800000001</v>
      </c>
      <c r="G285" s="11">
        <v>73.854447440000001</v>
      </c>
      <c r="H285" s="11">
        <v>24.2154396285</v>
      </c>
      <c r="I285" s="11">
        <v>25.238100015899999</v>
      </c>
      <c r="J285" s="11">
        <v>7.0638735851999996</v>
      </c>
      <c r="K285" s="10">
        <v>0.684346176749</v>
      </c>
      <c r="L285" s="12">
        <v>27744705889.32</v>
      </c>
      <c r="M285">
        <v>34.961973112543802</v>
      </c>
      <c r="N285" s="7">
        <v>2.46288118197401</v>
      </c>
      <c r="O285" s="7">
        <v>2.6286294150516198</v>
      </c>
      <c r="P285" s="7">
        <v>-14.173017255358101</v>
      </c>
      <c r="Q285" s="7">
        <v>0.52493438320209973</v>
      </c>
      <c r="U285">
        <v>0.52559886803739897</v>
      </c>
      <c r="AT285" s="4" t="s">
        <v>3920</v>
      </c>
    </row>
    <row r="286" spans="1:46">
      <c r="A286" s="2">
        <v>3638</v>
      </c>
      <c r="B286" t="s">
        <v>4261</v>
      </c>
      <c r="C286" t="s">
        <v>1135</v>
      </c>
      <c r="D286" t="s">
        <v>3737</v>
      </c>
      <c r="E286" s="4">
        <v>43465</v>
      </c>
      <c r="F286" s="11">
        <v>-25.399687360000001</v>
      </c>
      <c r="G286" s="11">
        <v>73.661670240000007</v>
      </c>
      <c r="H286" s="11">
        <v>45.827152734899997</v>
      </c>
      <c r="I286" s="11">
        <v>74.034319037700001</v>
      </c>
      <c r="J286" s="11">
        <v>7.5928660411999997</v>
      </c>
      <c r="K286" s="10">
        <v>0.69709293049800003</v>
      </c>
      <c r="L286" s="12">
        <v>3953342448</v>
      </c>
      <c r="M286">
        <v>61.629142922581202</v>
      </c>
      <c r="N286" s="7">
        <v>2.1182535929253499</v>
      </c>
      <c r="O286" s="7">
        <v>2.0023203874295499</v>
      </c>
      <c r="P286" s="7">
        <v>-180.896088571425</v>
      </c>
      <c r="Q286" s="7">
        <v>0.39470697207527733</v>
      </c>
      <c r="U286">
        <v>0.17032263669597764</v>
      </c>
      <c r="AT286" s="4" t="s">
        <v>4262</v>
      </c>
    </row>
    <row r="287" spans="1:46">
      <c r="A287" s="2">
        <v>3336</v>
      </c>
      <c r="B287" t="s">
        <v>4263</v>
      </c>
      <c r="C287" t="s">
        <v>753</v>
      </c>
      <c r="D287" t="s">
        <v>3718</v>
      </c>
      <c r="E287" s="4">
        <v>43465</v>
      </c>
      <c r="F287" s="11">
        <v>119.58037501</v>
      </c>
      <c r="G287" s="11">
        <v>73.618940249999994</v>
      </c>
      <c r="H287" s="11">
        <v>32.379829944500003</v>
      </c>
      <c r="I287" s="11">
        <v>47.7808888215</v>
      </c>
      <c r="J287" s="11">
        <v>13.4088244424</v>
      </c>
      <c r="K287" s="10">
        <v>0.75857887704600002</v>
      </c>
      <c r="L287" s="12">
        <v>3605990776</v>
      </c>
      <c r="M287">
        <v>31.369532579992502</v>
      </c>
      <c r="N287" s="7">
        <v>4.1811558419347001</v>
      </c>
      <c r="O287" s="7">
        <v>3.3578432289845401</v>
      </c>
      <c r="P287" s="7">
        <v>64.110153606074604</v>
      </c>
      <c r="Q287" s="7">
        <v>1.1900533549097405</v>
      </c>
      <c r="U287">
        <v>0.74364207910967972</v>
      </c>
      <c r="AT287" s="4" t="s">
        <v>4264</v>
      </c>
    </row>
    <row r="288" spans="1:46">
      <c r="A288" s="2">
        <v>472</v>
      </c>
      <c r="B288" t="s">
        <v>4265</v>
      </c>
      <c r="C288" t="s">
        <v>481</v>
      </c>
      <c r="D288" t="s">
        <v>3764</v>
      </c>
      <c r="E288" s="4">
        <v>43465</v>
      </c>
      <c r="F288" s="11">
        <v>14.66718635</v>
      </c>
      <c r="G288" s="11">
        <v>73.602484469999993</v>
      </c>
      <c r="H288" s="11">
        <v>11.876486702499999</v>
      </c>
      <c r="I288" s="11">
        <v>13.482374113100001</v>
      </c>
      <c r="J288" s="11">
        <v>4.3988002991000004</v>
      </c>
      <c r="K288" s="10">
        <v>0.32369001557900001</v>
      </c>
      <c r="L288" s="12">
        <v>5502825531.25</v>
      </c>
      <c r="M288">
        <v>156.225114122782</v>
      </c>
      <c r="N288" s="7">
        <v>1.3457545129470101</v>
      </c>
      <c r="O288" s="7">
        <v>1.37615392604447</v>
      </c>
      <c r="P288" s="7">
        <v>9.1019149526866396</v>
      </c>
      <c r="Q288" s="7">
        <v>0.95057034220532322</v>
      </c>
      <c r="U288">
        <v>0.12611185054766086</v>
      </c>
      <c r="AT288" s="4" t="s">
        <v>4266</v>
      </c>
    </row>
    <row r="289" spans="1:46">
      <c r="A289" s="2">
        <v>2006</v>
      </c>
      <c r="B289" t="s">
        <v>4267</v>
      </c>
      <c r="C289" t="s">
        <v>680</v>
      </c>
      <c r="D289" t="s">
        <v>3849</v>
      </c>
      <c r="E289" s="4">
        <v>43465</v>
      </c>
      <c r="F289" s="11">
        <v>-9.1678681799999993</v>
      </c>
      <c r="G289" s="11">
        <v>73.416289590000005</v>
      </c>
      <c r="H289" s="11">
        <v>-11.648443586699999</v>
      </c>
      <c r="I289" s="11">
        <v>36.374933740499998</v>
      </c>
      <c r="J289" s="11">
        <v>13.128637576599999</v>
      </c>
      <c r="K289" s="10">
        <v>0.49455954677800001</v>
      </c>
      <c r="L289" s="12">
        <v>6150684601.0799999</v>
      </c>
      <c r="M289">
        <v>35.765231841012103</v>
      </c>
      <c r="N289" s="7">
        <v>3.5253981947328499</v>
      </c>
      <c r="O289" s="7">
        <v>4.0331283145838199</v>
      </c>
      <c r="P289" s="7">
        <v>-18.436337674650598</v>
      </c>
      <c r="Q289" s="7" t="s">
        <v>3698</v>
      </c>
      <c r="U289">
        <v>0.27568157992668468</v>
      </c>
      <c r="AT289" s="4" t="s">
        <v>4268</v>
      </c>
    </row>
    <row r="290" spans="1:46">
      <c r="A290" s="2">
        <v>305</v>
      </c>
      <c r="B290" t="s">
        <v>4269</v>
      </c>
      <c r="C290" t="s">
        <v>1145</v>
      </c>
      <c r="D290" t="s">
        <v>3721</v>
      </c>
      <c r="E290" s="4">
        <v>43465</v>
      </c>
      <c r="F290" s="11">
        <v>-19.737614270000002</v>
      </c>
      <c r="G290" s="11">
        <v>73.384030420000002</v>
      </c>
      <c r="H290" s="11">
        <v>3.5270456480000001</v>
      </c>
      <c r="I290" s="11">
        <v>20.392206891000001</v>
      </c>
      <c r="J290" s="11">
        <v>2.9656139786</v>
      </c>
      <c r="K290" s="10">
        <v>0.34673240475099998</v>
      </c>
      <c r="L290" s="12">
        <v>2697600000</v>
      </c>
      <c r="M290">
        <v>49.173286555515702</v>
      </c>
      <c r="N290" s="7">
        <v>1.0773069652940399</v>
      </c>
      <c r="O290" s="7">
        <v>0.97510298479002999</v>
      </c>
      <c r="P290" s="7">
        <v>223.93841384478699</v>
      </c>
      <c r="Q290" s="7">
        <v>0.76923076923076927</v>
      </c>
      <c r="U290">
        <v>9.8715116129207053E-2</v>
      </c>
      <c r="AT290" s="4" t="s">
        <v>4270</v>
      </c>
    </row>
    <row r="291" spans="1:46">
      <c r="A291" s="2">
        <v>354</v>
      </c>
      <c r="B291" t="s">
        <v>4271</v>
      </c>
      <c r="C291" t="s">
        <v>2417</v>
      </c>
      <c r="D291" t="s">
        <v>3769</v>
      </c>
      <c r="E291" s="4">
        <v>43465</v>
      </c>
      <c r="F291" s="11">
        <v>-1.7741935499999999</v>
      </c>
      <c r="G291" s="11">
        <v>72.829131649999994</v>
      </c>
      <c r="H291" s="11">
        <v>14.9711703955</v>
      </c>
      <c r="I291" s="11">
        <v>22.337269853199999</v>
      </c>
      <c r="J291" s="11">
        <v>5.6784074806999998</v>
      </c>
      <c r="K291" s="10">
        <v>0.77915881015400001</v>
      </c>
      <c r="L291" s="12">
        <v>157984730384.01999</v>
      </c>
      <c r="M291">
        <v>124.965984560725</v>
      </c>
      <c r="N291" s="7">
        <v>1.85131773933226</v>
      </c>
      <c r="O291" s="7">
        <v>1.9856509014380099</v>
      </c>
      <c r="P291" s="7">
        <v>-75.4879322871559</v>
      </c>
      <c r="Q291" s="7" t="s">
        <v>3698</v>
      </c>
      <c r="U291">
        <v>9.8934171629643117E-2</v>
      </c>
      <c r="AT291" s="4" t="s">
        <v>4272</v>
      </c>
    </row>
    <row r="292" spans="1:46">
      <c r="A292" s="2">
        <v>3584</v>
      </c>
      <c r="B292" t="s">
        <v>4273</v>
      </c>
      <c r="C292" t="s">
        <v>1250</v>
      </c>
      <c r="D292" t="s">
        <v>3858</v>
      </c>
      <c r="E292" s="4">
        <v>43465</v>
      </c>
      <c r="F292" s="11">
        <v>38.634119859999998</v>
      </c>
      <c r="G292" s="11">
        <v>72.824536379999998</v>
      </c>
      <c r="H292" s="11">
        <v>55.0441125539</v>
      </c>
      <c r="I292" s="11">
        <v>18.394573846699998</v>
      </c>
      <c r="J292" s="11">
        <v>5.7269080022000001</v>
      </c>
      <c r="K292" s="10">
        <v>0.86488945249500004</v>
      </c>
      <c r="L292" s="12">
        <v>6904136187.2700005</v>
      </c>
      <c r="M292">
        <v>27.581888248284201</v>
      </c>
      <c r="N292" s="7">
        <v>2.3496609707708198</v>
      </c>
      <c r="O292" s="7">
        <v>1.6478372866292801</v>
      </c>
      <c r="P292" s="7">
        <v>-39.471915277774301</v>
      </c>
      <c r="Q292" s="7" t="s">
        <v>3698</v>
      </c>
      <c r="U292">
        <v>0.50055399923717059</v>
      </c>
      <c r="AT292" s="4" t="s">
        <v>4274</v>
      </c>
    </row>
    <row r="293" spans="1:46">
      <c r="A293" s="2">
        <v>920</v>
      </c>
      <c r="B293" t="s">
        <v>4275</v>
      </c>
      <c r="C293" t="s">
        <v>2138</v>
      </c>
      <c r="D293" t="s">
        <v>3752</v>
      </c>
      <c r="E293" s="4">
        <v>43465</v>
      </c>
      <c r="F293" s="11">
        <v>-18.38049444</v>
      </c>
      <c r="G293" s="11">
        <v>72.81903389</v>
      </c>
      <c r="H293" s="11">
        <v>36.584744106300001</v>
      </c>
      <c r="I293" s="11">
        <v>28.008687012799999</v>
      </c>
      <c r="J293" s="11">
        <v>9.1458741628000002</v>
      </c>
      <c r="K293" s="10">
        <v>0.47394665073300002</v>
      </c>
      <c r="L293" s="12">
        <v>6646059060.9399996</v>
      </c>
      <c r="M293">
        <v>86.614849923423506</v>
      </c>
      <c r="N293" s="7">
        <v>2.5720675151069701</v>
      </c>
      <c r="O293" s="7">
        <v>4.5588681640019901</v>
      </c>
      <c r="P293" s="7">
        <v>-478.244405489239</v>
      </c>
      <c r="Q293" s="7">
        <v>0.48128342245989297</v>
      </c>
      <c r="U293">
        <v>0.28712554518573019</v>
      </c>
      <c r="AT293" s="4" t="s">
        <v>4276</v>
      </c>
    </row>
    <row r="294" spans="1:46">
      <c r="A294" s="2">
        <v>9</v>
      </c>
      <c r="B294" t="s">
        <v>4277</v>
      </c>
      <c r="C294" t="s">
        <v>2812</v>
      </c>
      <c r="D294" t="s">
        <v>4119</v>
      </c>
      <c r="E294" s="4">
        <v>43465</v>
      </c>
      <c r="F294" s="11">
        <v>3.39901901</v>
      </c>
      <c r="G294" s="11">
        <v>72.77765789</v>
      </c>
      <c r="H294" s="11">
        <v>66.804704483999998</v>
      </c>
      <c r="I294" s="11">
        <v>36.996826920899998</v>
      </c>
      <c r="J294" s="11">
        <v>5.6768201854000004</v>
      </c>
      <c r="K294" s="10">
        <v>0.41321022228299997</v>
      </c>
      <c r="L294" s="12">
        <v>10738201269.6</v>
      </c>
      <c r="M294">
        <v>-699.09855107812098</v>
      </c>
      <c r="N294" s="7">
        <v>1.94393911784337</v>
      </c>
      <c r="O294" s="7">
        <v>1.0461504535049599</v>
      </c>
      <c r="P294" s="7">
        <v>78.638613235991002</v>
      </c>
      <c r="Q294" s="7">
        <v>0.37285607758297656</v>
      </c>
      <c r="U294">
        <v>9.946313296117229E-2</v>
      </c>
      <c r="AT294" s="4" t="s">
        <v>4278</v>
      </c>
    </row>
    <row r="295" spans="1:46">
      <c r="A295" s="2">
        <v>2804</v>
      </c>
      <c r="B295" t="s">
        <v>4279</v>
      </c>
      <c r="C295" t="s">
        <v>2480</v>
      </c>
      <c r="D295" t="s">
        <v>3752</v>
      </c>
      <c r="E295" s="4">
        <v>43465</v>
      </c>
      <c r="F295" s="11">
        <v>1.83356841</v>
      </c>
      <c r="G295" s="11">
        <v>72.74881517</v>
      </c>
      <c r="H295" s="11">
        <v>33.6684949172</v>
      </c>
      <c r="I295" s="11">
        <v>24.246116990400001</v>
      </c>
      <c r="J295" s="11">
        <v>4.7746316109000002</v>
      </c>
      <c r="K295" s="10">
        <v>0.78831345502700001</v>
      </c>
      <c r="L295" s="12">
        <v>15965334443.35</v>
      </c>
      <c r="M295">
        <v>21.1990633892575</v>
      </c>
      <c r="N295" s="7">
        <v>1.40133130754167</v>
      </c>
      <c r="O295" s="7">
        <v>1.0776963387996099</v>
      </c>
      <c r="P295" s="7">
        <v>21.891187691058001</v>
      </c>
      <c r="Q295" s="7" t="s">
        <v>3698</v>
      </c>
      <c r="U295">
        <v>0.14497503208536522</v>
      </c>
      <c r="AT295" s="4" t="s">
        <v>4280</v>
      </c>
    </row>
    <row r="296" spans="1:46">
      <c r="A296" s="2">
        <v>3143</v>
      </c>
      <c r="B296" t="s">
        <v>4281</v>
      </c>
      <c r="C296" t="s">
        <v>2133</v>
      </c>
      <c r="D296" t="s">
        <v>3761</v>
      </c>
      <c r="E296" s="4">
        <v>43465</v>
      </c>
      <c r="F296" s="11">
        <v>-15.06730636</v>
      </c>
      <c r="G296" s="11">
        <v>72.513089010000002</v>
      </c>
      <c r="H296" s="11">
        <v>-9.6560943258999998</v>
      </c>
      <c r="I296" s="11">
        <v>12.533161011300001</v>
      </c>
      <c r="J296" s="11">
        <v>1.5158329948</v>
      </c>
      <c r="K296" s="10">
        <v>0.43429255507100001</v>
      </c>
      <c r="L296" s="12">
        <v>2564707879.5599999</v>
      </c>
      <c r="M296">
        <v>-581.80554304488703</v>
      </c>
      <c r="N296" s="7">
        <v>1.52147474840139</v>
      </c>
      <c r="O296" s="7">
        <v>1.91141218016686</v>
      </c>
      <c r="P296" s="7">
        <v>146.973160078012</v>
      </c>
      <c r="Q296" s="7">
        <v>3.5225048923679059</v>
      </c>
      <c r="U296">
        <v>2.755460106138902E-2</v>
      </c>
      <c r="AT296" s="4" t="s">
        <v>4282</v>
      </c>
    </row>
    <row r="297" spans="1:46">
      <c r="A297" s="2">
        <v>2310</v>
      </c>
      <c r="B297" t="s">
        <v>4283</v>
      </c>
      <c r="C297" t="s">
        <v>2457</v>
      </c>
      <c r="D297" t="s">
        <v>3721</v>
      </c>
      <c r="E297" s="4">
        <v>43465</v>
      </c>
      <c r="F297" s="11">
        <v>-2.28993943</v>
      </c>
      <c r="G297" s="11">
        <v>72.376873660000001</v>
      </c>
      <c r="H297" s="11">
        <v>39.594369774299999</v>
      </c>
      <c r="I297" s="11">
        <v>25.612053920600001</v>
      </c>
      <c r="J297" s="11">
        <v>13.176006366199999</v>
      </c>
      <c r="K297" s="10">
        <v>0.28753265847199999</v>
      </c>
      <c r="L297" s="12">
        <v>7320678720</v>
      </c>
      <c r="M297">
        <v>70.7554144427137</v>
      </c>
      <c r="N297" s="7">
        <v>3.3128632783507701</v>
      </c>
      <c r="O297" s="7">
        <v>8.6903883290631594</v>
      </c>
      <c r="P297" s="7">
        <v>362.422029852001</v>
      </c>
      <c r="Q297" s="7">
        <v>0.31700551782386255</v>
      </c>
      <c r="U297">
        <v>0.14584868058269432</v>
      </c>
      <c r="AT297" s="4" t="s">
        <v>4284</v>
      </c>
    </row>
    <row r="298" spans="1:46">
      <c r="A298" s="2">
        <v>1627</v>
      </c>
      <c r="B298" t="s">
        <v>4285</v>
      </c>
      <c r="C298" t="s">
        <v>2829</v>
      </c>
      <c r="D298" t="s">
        <v>3713</v>
      </c>
      <c r="E298" s="4">
        <v>43465</v>
      </c>
      <c r="F298" s="11">
        <v>-37.570076489999998</v>
      </c>
      <c r="G298" s="11">
        <v>72.36024845</v>
      </c>
      <c r="H298" s="11">
        <v>-8.8390821859000006</v>
      </c>
      <c r="I298" s="11">
        <v>41.156270925900003</v>
      </c>
      <c r="J298" s="11">
        <v>-21.839145975200001</v>
      </c>
      <c r="K298" s="10">
        <v>0.249165224593</v>
      </c>
      <c r="L298" s="12">
        <v>11085491245.5</v>
      </c>
      <c r="M298">
        <v>78.5685057009687</v>
      </c>
      <c r="N298" s="7">
        <v>2.2150998927355001</v>
      </c>
      <c r="O298" s="7">
        <v>4.5816466984043904</v>
      </c>
      <c r="P298" s="7">
        <v>32.125730012530703</v>
      </c>
      <c r="Q298" s="7" t="s">
        <v>3698</v>
      </c>
      <c r="U298">
        <v>-0.24123395762360239</v>
      </c>
      <c r="AT298" s="4" t="s">
        <v>4286</v>
      </c>
    </row>
    <row r="299" spans="1:46">
      <c r="A299" s="2">
        <v>1731</v>
      </c>
      <c r="B299" t="s">
        <v>4287</v>
      </c>
      <c r="C299" t="s">
        <v>2261</v>
      </c>
      <c r="D299" t="s">
        <v>3718</v>
      </c>
      <c r="E299" s="4">
        <v>43465</v>
      </c>
      <c r="F299" s="11">
        <v>-24.567943700000001</v>
      </c>
      <c r="G299" s="11">
        <v>72.245467219999995</v>
      </c>
      <c r="H299" s="11">
        <v>-24.370306444299999</v>
      </c>
      <c r="I299" s="11">
        <v>59.895678810900002</v>
      </c>
      <c r="J299" s="11">
        <v>-114.7026886812</v>
      </c>
      <c r="K299" s="10">
        <v>0.21761576720299999</v>
      </c>
      <c r="L299" s="12">
        <v>6126969600</v>
      </c>
      <c r="M299">
        <v>-28.002085692102</v>
      </c>
      <c r="N299" s="7">
        <v>1.4511744392779</v>
      </c>
      <c r="O299" s="7">
        <v>3.9944328232961599</v>
      </c>
      <c r="P299" s="7">
        <v>-20.1290853933892</v>
      </c>
      <c r="Q299" s="7" t="s">
        <v>3698</v>
      </c>
      <c r="U299">
        <v>-1.6874957867493865</v>
      </c>
      <c r="AT299" s="4" t="s">
        <v>4288</v>
      </c>
    </row>
    <row r="300" spans="1:46">
      <c r="A300" s="2">
        <v>1841</v>
      </c>
      <c r="B300" t="s">
        <v>4289</v>
      </c>
      <c r="C300" t="s">
        <v>2709</v>
      </c>
      <c r="D300" t="s">
        <v>3718</v>
      </c>
      <c r="E300" s="4">
        <v>43465</v>
      </c>
      <c r="F300" s="11">
        <v>34.051877169999997</v>
      </c>
      <c r="G300" s="11">
        <v>71.891891889999997</v>
      </c>
      <c r="H300" s="11">
        <v>28.106599714400001</v>
      </c>
      <c r="I300" s="11">
        <v>46.056218576799999</v>
      </c>
      <c r="J300" s="11">
        <v>13.6673489356</v>
      </c>
      <c r="K300" s="10">
        <v>0.49797013148199998</v>
      </c>
      <c r="L300" s="12">
        <v>3325416588.7199998</v>
      </c>
      <c r="M300">
        <v>42.104906224161198</v>
      </c>
      <c r="N300" s="7">
        <v>3.1618622480114902</v>
      </c>
      <c r="O300" s="7">
        <v>4.54242913302377</v>
      </c>
      <c r="P300" s="7">
        <v>15.1137101519271</v>
      </c>
      <c r="Q300" s="7">
        <v>0.38520801232665641</v>
      </c>
      <c r="U300">
        <v>0.53075079773360967</v>
      </c>
      <c r="AT300" s="4" t="s">
        <v>4290</v>
      </c>
    </row>
    <row r="301" spans="1:46">
      <c r="A301" s="2">
        <v>2694</v>
      </c>
      <c r="B301" t="s">
        <v>4291</v>
      </c>
      <c r="C301" t="s">
        <v>2826</v>
      </c>
      <c r="D301" t="s">
        <v>3837</v>
      </c>
      <c r="E301" s="4">
        <v>43465</v>
      </c>
      <c r="F301" s="11">
        <v>27.269943640000001</v>
      </c>
      <c r="G301" s="11">
        <v>71.867881550000007</v>
      </c>
      <c r="H301" s="11">
        <v>-94.862284662500002</v>
      </c>
      <c r="I301" s="11">
        <v>37.817003479299999</v>
      </c>
      <c r="J301" s="11">
        <v>-20.411219533699999</v>
      </c>
      <c r="K301" s="10">
        <v>6.3570356531999994E-2</v>
      </c>
      <c r="L301" s="12">
        <v>4357461717.7799997</v>
      </c>
      <c r="M301">
        <v>13.776281326245201</v>
      </c>
      <c r="N301" s="7">
        <v>1.5168743214951499</v>
      </c>
      <c r="O301" s="7">
        <v>2.8255148570919202</v>
      </c>
      <c r="P301" s="7">
        <v>-11.296803460488899</v>
      </c>
      <c r="Q301" s="7">
        <v>5.2790346907993974E-2</v>
      </c>
      <c r="U301">
        <v>2.0592281006065558E-2</v>
      </c>
      <c r="AT301" s="4" t="s">
        <v>4292</v>
      </c>
    </row>
    <row r="302" spans="1:46">
      <c r="A302" s="2">
        <v>653</v>
      </c>
      <c r="B302" t="s">
        <v>4293</v>
      </c>
      <c r="C302" t="s">
        <v>252</v>
      </c>
      <c r="D302" t="s">
        <v>3837</v>
      </c>
      <c r="E302" s="4">
        <v>43465</v>
      </c>
      <c r="F302" s="11">
        <v>64.797588129999994</v>
      </c>
      <c r="G302" s="11">
        <v>71.701602960000002</v>
      </c>
      <c r="H302" s="11">
        <v>14.2843418271</v>
      </c>
      <c r="I302" s="11" t="s">
        <v>3698</v>
      </c>
      <c r="J302" s="11">
        <v>38.785060813699999</v>
      </c>
      <c r="K302" s="10" t="s">
        <v>3698</v>
      </c>
      <c r="L302" s="12">
        <v>16242368160.52</v>
      </c>
      <c r="M302">
        <v>7.8066949065999198</v>
      </c>
      <c r="N302" s="7">
        <v>1.3068470788465001</v>
      </c>
      <c r="O302" s="7">
        <v>3.02359276971332</v>
      </c>
      <c r="P302" s="7">
        <v>-32.694723601349402</v>
      </c>
      <c r="Q302" s="7">
        <v>1.4362131633181303</v>
      </c>
      <c r="U302">
        <v>2.1476887657540948</v>
      </c>
      <c r="AT302" s="4" t="s">
        <v>4294</v>
      </c>
    </row>
    <row r="303" spans="1:46">
      <c r="A303" s="2">
        <v>1812</v>
      </c>
      <c r="B303" t="s">
        <v>4295</v>
      </c>
      <c r="C303" t="s">
        <v>1076</v>
      </c>
      <c r="D303" t="s">
        <v>3752</v>
      </c>
      <c r="E303" s="4">
        <v>43465</v>
      </c>
      <c r="F303" s="11">
        <v>26.3520267</v>
      </c>
      <c r="G303" s="11">
        <v>71.225577259999994</v>
      </c>
      <c r="H303" s="11">
        <v>8.7925052953999998</v>
      </c>
      <c r="I303" s="11">
        <v>34.934912363800002</v>
      </c>
      <c r="J303" s="11">
        <v>10.4576924947</v>
      </c>
      <c r="K303" s="10">
        <v>0.43070064087999999</v>
      </c>
      <c r="L303" s="12">
        <v>158437476213.20001</v>
      </c>
      <c r="M303">
        <v>23.673482930752201</v>
      </c>
      <c r="N303" s="7">
        <v>2.5110413957850501</v>
      </c>
      <c r="O303" s="7">
        <v>2.4905730722516899</v>
      </c>
      <c r="P303" s="7">
        <v>6.7929642966924302</v>
      </c>
      <c r="Q303" s="7">
        <v>0.52137363731242437</v>
      </c>
      <c r="U303">
        <v>0.2262767909340295</v>
      </c>
      <c r="AT303" s="4" t="s">
        <v>4296</v>
      </c>
    </row>
    <row r="304" spans="1:46">
      <c r="A304" s="2">
        <v>723</v>
      </c>
      <c r="B304" t="s">
        <v>4297</v>
      </c>
      <c r="C304" t="s">
        <v>3233</v>
      </c>
      <c r="D304" t="s">
        <v>3761</v>
      </c>
      <c r="E304" s="4">
        <v>43465</v>
      </c>
      <c r="F304" s="11">
        <v>-4.7015375099999996</v>
      </c>
      <c r="G304" s="11">
        <v>71.133093529999996</v>
      </c>
      <c r="H304" s="11">
        <v>22.739210212500002</v>
      </c>
      <c r="I304" s="11">
        <v>24.702740917</v>
      </c>
      <c r="J304" s="11">
        <v>7.7297806933000004</v>
      </c>
      <c r="K304" s="10">
        <v>0.64380350313699997</v>
      </c>
      <c r="L304" s="12">
        <v>3005509285.4000001</v>
      </c>
      <c r="M304">
        <v>36.4766610771484</v>
      </c>
      <c r="N304" s="7">
        <v>3.5317118425501399</v>
      </c>
      <c r="O304" s="7">
        <v>2.0199568712162002</v>
      </c>
      <c r="P304" s="7">
        <v>66.207604625883206</v>
      </c>
      <c r="Q304" s="7" t="s">
        <v>3698</v>
      </c>
      <c r="U304">
        <v>0.42310326106150475</v>
      </c>
      <c r="AT304" s="4" t="s">
        <v>4298</v>
      </c>
    </row>
    <row r="305" spans="1:46">
      <c r="A305" s="2">
        <v>569</v>
      </c>
      <c r="B305" t="s">
        <v>4299</v>
      </c>
      <c r="C305" t="s">
        <v>3496</v>
      </c>
      <c r="D305" t="s">
        <v>3761</v>
      </c>
      <c r="E305" s="4">
        <v>43465</v>
      </c>
      <c r="F305" s="11">
        <v>5.7558037300000002</v>
      </c>
      <c r="G305" s="11">
        <v>71.073094870000006</v>
      </c>
      <c r="H305" s="11">
        <v>4.5587780089000001</v>
      </c>
      <c r="I305" s="11">
        <v>37.208555983799997</v>
      </c>
      <c r="J305" s="11">
        <v>3.9002830316999999</v>
      </c>
      <c r="K305" s="10">
        <v>0.52915976071799997</v>
      </c>
      <c r="L305" s="12">
        <v>22022767247.849998</v>
      </c>
      <c r="M305">
        <v>478.62734652211799</v>
      </c>
      <c r="N305" s="7">
        <v>9.6728529113814794</v>
      </c>
      <c r="O305" s="7">
        <v>15.103843820068001</v>
      </c>
      <c r="P305" s="7">
        <v>-85.413218650874398</v>
      </c>
      <c r="Q305" s="7">
        <v>5.0658561296859174E-2</v>
      </c>
      <c r="U305">
        <v>3.1833812051575476E-2</v>
      </c>
      <c r="AT305" s="4" t="s">
        <v>4300</v>
      </c>
    </row>
    <row r="306" spans="1:46">
      <c r="A306" s="2">
        <v>2768</v>
      </c>
      <c r="B306" t="s">
        <v>4301</v>
      </c>
      <c r="C306" t="s">
        <v>3555</v>
      </c>
      <c r="D306" t="s">
        <v>3790</v>
      </c>
      <c r="E306" s="4">
        <v>43465</v>
      </c>
      <c r="F306" s="11">
        <v>-20.489573889999999</v>
      </c>
      <c r="G306" s="11">
        <v>70.919324579999994</v>
      </c>
      <c r="H306" s="11">
        <v>-4.1537996132000004</v>
      </c>
      <c r="I306" s="11">
        <v>84.116440411900001</v>
      </c>
      <c r="J306" s="11">
        <v>135.87799335989999</v>
      </c>
      <c r="K306" s="10">
        <v>4.4254634674000003E-2</v>
      </c>
      <c r="L306" s="12">
        <v>3233325403.2800002</v>
      </c>
      <c r="M306">
        <v>-57.0255974936195</v>
      </c>
      <c r="N306" s="7">
        <v>5.7852320616507296</v>
      </c>
      <c r="O306" s="7">
        <v>77.5558309175087</v>
      </c>
      <c r="P306" s="7">
        <v>-47.059938347034198</v>
      </c>
      <c r="Q306" s="7" t="s">
        <v>3698</v>
      </c>
      <c r="U306">
        <v>9.1431679346214295E-2</v>
      </c>
      <c r="AT306" s="4" t="s">
        <v>4302</v>
      </c>
    </row>
    <row r="307" spans="1:46">
      <c r="A307" s="2">
        <v>3132</v>
      </c>
      <c r="B307" t="s">
        <v>4303</v>
      </c>
      <c r="C307" t="s">
        <v>436</v>
      </c>
      <c r="D307" t="s">
        <v>3837</v>
      </c>
      <c r="E307" s="4">
        <v>43465</v>
      </c>
      <c r="F307" s="11">
        <v>17.118658740000001</v>
      </c>
      <c r="G307" s="11">
        <v>70.720941640000007</v>
      </c>
      <c r="H307" s="11">
        <v>-1.5453271994</v>
      </c>
      <c r="I307" s="11" t="s">
        <v>3698</v>
      </c>
      <c r="J307" s="11">
        <v>1.8560070658000001</v>
      </c>
      <c r="K307" s="10" t="s">
        <v>3698</v>
      </c>
      <c r="L307" s="12">
        <v>6236628517</v>
      </c>
      <c r="M307">
        <v>22.567934171985701</v>
      </c>
      <c r="N307" s="7">
        <v>1.8556163788717901</v>
      </c>
      <c r="O307" s="7">
        <v>0.89144626340106803</v>
      </c>
      <c r="P307" s="7">
        <v>49.073342553644402</v>
      </c>
      <c r="Q307" s="7">
        <v>0.48765620237732393</v>
      </c>
      <c r="U307">
        <v>0.40315297824619079</v>
      </c>
      <c r="AT307" s="4" t="s">
        <v>4304</v>
      </c>
    </row>
    <row r="308" spans="1:46">
      <c r="A308" s="2">
        <v>1159</v>
      </c>
      <c r="B308" t="s">
        <v>4305</v>
      </c>
      <c r="C308" t="s">
        <v>1721</v>
      </c>
      <c r="D308" t="s">
        <v>3752</v>
      </c>
      <c r="E308" s="4">
        <v>43465</v>
      </c>
      <c r="F308" s="11">
        <v>-0.36993549999999997</v>
      </c>
      <c r="G308" s="11">
        <v>70.630816960000004</v>
      </c>
      <c r="H308" s="11">
        <v>22.488994127200002</v>
      </c>
      <c r="I308" s="11">
        <v>20.6855583416</v>
      </c>
      <c r="J308" s="11">
        <v>9.3266203073000007</v>
      </c>
      <c r="K308" s="10">
        <v>0.83848839549800003</v>
      </c>
      <c r="L308" s="12">
        <v>985590263350</v>
      </c>
      <c r="M308">
        <v>11.160512084857899</v>
      </c>
      <c r="N308" s="7">
        <v>1.2888361783580899</v>
      </c>
      <c r="O308" s="7">
        <v>1.1461473947740499</v>
      </c>
      <c r="P308" s="7">
        <v>-15.967151357992901</v>
      </c>
      <c r="Q308" s="7">
        <v>0.60559876950174774</v>
      </c>
      <c r="U308">
        <v>0.88271233417841299</v>
      </c>
      <c r="AT308" s="4" t="s">
        <v>4306</v>
      </c>
    </row>
    <row r="309" spans="1:46">
      <c r="A309" s="2">
        <v>1554</v>
      </c>
      <c r="B309" t="s">
        <v>4307</v>
      </c>
      <c r="C309" t="s">
        <v>2589</v>
      </c>
      <c r="D309" t="s">
        <v>3761</v>
      </c>
      <c r="E309" s="4">
        <v>43465</v>
      </c>
      <c r="F309" s="11">
        <v>-37.016674770000002</v>
      </c>
      <c r="G309" s="11">
        <v>70.629370629999997</v>
      </c>
      <c r="H309" s="11">
        <v>-7.3883048855000002</v>
      </c>
      <c r="I309" s="11">
        <v>16.937564688399998</v>
      </c>
      <c r="J309" s="11">
        <v>0.62272774779999995</v>
      </c>
      <c r="K309" s="10">
        <v>0.440939685774</v>
      </c>
      <c r="L309" s="12">
        <v>17424289928.099998</v>
      </c>
      <c r="M309">
        <v>164.14578160529601</v>
      </c>
      <c r="N309" s="7">
        <v>0.93791538111242401</v>
      </c>
      <c r="O309" s="7">
        <v>1.7651079936381799</v>
      </c>
      <c r="P309" s="7">
        <v>13.8413071614586</v>
      </c>
      <c r="Q309" s="7">
        <v>1.7621145374449341</v>
      </c>
      <c r="U309">
        <v>1.4643463228650112E-2</v>
      </c>
      <c r="AT309" s="4" t="s">
        <v>4308</v>
      </c>
    </row>
    <row r="310" spans="1:46">
      <c r="A310" s="2">
        <v>3450</v>
      </c>
      <c r="B310" t="s">
        <v>4309</v>
      </c>
      <c r="C310" t="s">
        <v>528</v>
      </c>
      <c r="D310" t="s">
        <v>4060</v>
      </c>
      <c r="E310" s="4">
        <v>43465</v>
      </c>
      <c r="F310" s="11">
        <v>-5.1747358200000004</v>
      </c>
      <c r="G310" s="11">
        <v>70.285714290000001</v>
      </c>
      <c r="H310" s="11">
        <v>30.9920973917</v>
      </c>
      <c r="I310" s="11">
        <v>15.6403634005</v>
      </c>
      <c r="J310" s="11">
        <v>4.3872603895999998</v>
      </c>
      <c r="K310" s="10">
        <v>1.6848228153660001</v>
      </c>
      <c r="L310" s="12">
        <v>3495084824.1599998</v>
      </c>
      <c r="M310">
        <v>37.885452884941699</v>
      </c>
      <c r="N310" s="7">
        <v>1.80564906553932</v>
      </c>
      <c r="O310" s="7">
        <v>0.94897490082258096</v>
      </c>
      <c r="P310" s="7">
        <v>-26.026209865469401</v>
      </c>
      <c r="Q310" s="7">
        <v>1.8075446512304103</v>
      </c>
      <c r="U310">
        <v>0.34330318222484169</v>
      </c>
      <c r="AT310" s="4" t="s">
        <v>3805</v>
      </c>
    </row>
    <row r="311" spans="1:46">
      <c r="A311" s="2">
        <v>1696</v>
      </c>
      <c r="B311" t="s">
        <v>4310</v>
      </c>
      <c r="C311" t="s">
        <v>1902</v>
      </c>
      <c r="D311" t="s">
        <v>3713</v>
      </c>
      <c r="E311" s="4">
        <v>43465</v>
      </c>
      <c r="F311" s="11">
        <v>71.766327059999995</v>
      </c>
      <c r="G311" s="11">
        <v>70.086608929999997</v>
      </c>
      <c r="H311" s="11">
        <v>15.8395229391</v>
      </c>
      <c r="I311" s="11">
        <v>43.424420700799999</v>
      </c>
      <c r="J311" s="11">
        <v>18.045333383300001</v>
      </c>
      <c r="K311" s="10">
        <v>0.49416875641399999</v>
      </c>
      <c r="L311" s="12">
        <v>3715235408</v>
      </c>
      <c r="M311">
        <v>26.8276413609019</v>
      </c>
      <c r="N311" s="7">
        <v>4.3774839713482399</v>
      </c>
      <c r="O311" s="7">
        <v>4.3560231618412901</v>
      </c>
      <c r="P311" s="7">
        <v>6843.6995261593402</v>
      </c>
      <c r="Q311" s="7">
        <v>0.2612454034295425</v>
      </c>
      <c r="U311">
        <v>0.65966053903380162</v>
      </c>
      <c r="AT311" s="4" t="s">
        <v>4311</v>
      </c>
    </row>
    <row r="312" spans="1:46">
      <c r="A312" s="2">
        <v>2278</v>
      </c>
      <c r="B312" t="s">
        <v>4312</v>
      </c>
      <c r="C312" t="s">
        <v>188</v>
      </c>
      <c r="D312" t="s">
        <v>3785</v>
      </c>
      <c r="E312" s="4">
        <v>43465</v>
      </c>
      <c r="F312" s="11">
        <v>161.09542214999999</v>
      </c>
      <c r="G312" s="11">
        <v>69.996745849999996</v>
      </c>
      <c r="H312" s="11">
        <v>9.1895642984000006</v>
      </c>
      <c r="I312" s="11">
        <v>39.9329187023</v>
      </c>
      <c r="J312" s="11">
        <v>12.149369978099999</v>
      </c>
      <c r="K312" s="10">
        <v>1.019232668785</v>
      </c>
      <c r="L312" s="12">
        <v>20558524364.200001</v>
      </c>
      <c r="M312">
        <v>41.408739233212998</v>
      </c>
      <c r="N312" s="7">
        <v>12.9888609599933</v>
      </c>
      <c r="O312" s="7">
        <v>4.3584272017074701</v>
      </c>
      <c r="P312" s="7">
        <v>46.7279413365221</v>
      </c>
      <c r="Q312" s="7">
        <v>1.6433853738701727</v>
      </c>
      <c r="U312">
        <v>0.83472494828090993</v>
      </c>
      <c r="AT312" s="4" t="s">
        <v>4313</v>
      </c>
    </row>
    <row r="313" spans="1:46">
      <c r="A313" s="2">
        <v>1870</v>
      </c>
      <c r="B313" t="s">
        <v>4314</v>
      </c>
      <c r="C313" t="s">
        <v>1473</v>
      </c>
      <c r="D313" t="s">
        <v>3718</v>
      </c>
      <c r="E313" s="4">
        <v>43465</v>
      </c>
      <c r="F313" s="11">
        <v>6.1490155700000004</v>
      </c>
      <c r="G313" s="11">
        <v>69.846153849999993</v>
      </c>
      <c r="H313" s="11">
        <v>18.534811026700002</v>
      </c>
      <c r="I313" s="11">
        <v>72.041041701899999</v>
      </c>
      <c r="J313" s="11">
        <v>30.773521951700001</v>
      </c>
      <c r="K313" s="10">
        <v>0.42248361717299998</v>
      </c>
      <c r="L313" s="12">
        <v>25147143448.080002</v>
      </c>
      <c r="M313">
        <v>26.5872623430364</v>
      </c>
      <c r="N313" s="7">
        <v>2.9910693566436701</v>
      </c>
      <c r="O313" s="7">
        <v>6.8285961952422598</v>
      </c>
      <c r="P313" s="7">
        <v>-34.702777439120503</v>
      </c>
      <c r="Q313" s="7">
        <v>1.0252904989747096</v>
      </c>
      <c r="U313">
        <v>0.45148977967393739</v>
      </c>
      <c r="AT313" s="4" t="s">
        <v>4315</v>
      </c>
    </row>
    <row r="314" spans="1:46">
      <c r="A314" s="2">
        <v>879</v>
      </c>
      <c r="B314" t="s">
        <v>4316</v>
      </c>
      <c r="C314" t="s">
        <v>2532</v>
      </c>
      <c r="D314" t="s">
        <v>3713</v>
      </c>
      <c r="E314" s="4">
        <v>43465</v>
      </c>
      <c r="F314" s="11">
        <v>55.855361430000002</v>
      </c>
      <c r="G314" s="11">
        <v>69.827586210000007</v>
      </c>
      <c r="H314" s="11">
        <v>13.520105150999999</v>
      </c>
      <c r="I314" s="11">
        <v>22.215260884100001</v>
      </c>
      <c r="J314" s="11">
        <v>5.2345179800999997</v>
      </c>
      <c r="K314" s="10">
        <v>0.66981923267400001</v>
      </c>
      <c r="L314" s="12">
        <v>2696555064</v>
      </c>
      <c r="M314">
        <v>35.388695753651902</v>
      </c>
      <c r="N314" s="7">
        <v>3.8979291236039</v>
      </c>
      <c r="O314" s="7">
        <v>1.7372616685037501</v>
      </c>
      <c r="P314" s="7">
        <v>100.42527810073599</v>
      </c>
      <c r="Q314" s="7">
        <v>0.67495888998716891</v>
      </c>
      <c r="U314">
        <v>0.76134657073264056</v>
      </c>
      <c r="AT314" s="4" t="s">
        <v>4317</v>
      </c>
    </row>
    <row r="315" spans="1:46">
      <c r="A315" s="2">
        <v>967</v>
      </c>
      <c r="B315" t="s">
        <v>4318</v>
      </c>
      <c r="C315" t="s">
        <v>732</v>
      </c>
      <c r="D315" t="s">
        <v>3721</v>
      </c>
      <c r="E315" s="4">
        <v>43465</v>
      </c>
      <c r="F315" s="11">
        <v>-23.99830051</v>
      </c>
      <c r="G315" s="11">
        <v>69.749727969999995</v>
      </c>
      <c r="H315" s="11">
        <v>27.379390653000002</v>
      </c>
      <c r="I315" s="11">
        <v>12.315380682400001</v>
      </c>
      <c r="J315" s="11">
        <v>-1.2314213969000001</v>
      </c>
      <c r="K315" s="10">
        <v>1.2512197106139999</v>
      </c>
      <c r="L315" s="12">
        <v>16065301195.16</v>
      </c>
      <c r="M315">
        <v>21.996072659012999</v>
      </c>
      <c r="N315" s="7">
        <v>2.9442978152130599</v>
      </c>
      <c r="O315" s="7">
        <v>0.615884612884668</v>
      </c>
      <c r="P315" s="7">
        <v>-16.614282071511902</v>
      </c>
      <c r="Q315" s="7" t="s">
        <v>3698</v>
      </c>
      <c r="U315">
        <v>-0.19131357801020205</v>
      </c>
      <c r="AT315" s="4" t="s">
        <v>4319</v>
      </c>
    </row>
    <row r="316" spans="1:46">
      <c r="A316" s="2">
        <v>1914</v>
      </c>
      <c r="B316" t="s">
        <v>4320</v>
      </c>
      <c r="C316" t="s">
        <v>2547</v>
      </c>
      <c r="D316" t="s">
        <v>3769</v>
      </c>
      <c r="E316" s="4">
        <v>43465</v>
      </c>
      <c r="F316" s="11">
        <v>-0.96512266999999996</v>
      </c>
      <c r="G316" s="11">
        <v>69.691780820000005</v>
      </c>
      <c r="H316" s="11">
        <v>2.2249725817999999</v>
      </c>
      <c r="I316" s="11">
        <v>18.804249864599999</v>
      </c>
      <c r="J316" s="11">
        <v>0.93983568129999995</v>
      </c>
      <c r="K316" s="10">
        <v>0.22144501365300001</v>
      </c>
      <c r="L316" s="12">
        <v>42320727150</v>
      </c>
      <c r="M316">
        <v>-527.13394584166599</v>
      </c>
      <c r="N316" s="7">
        <v>2.2703004357894798</v>
      </c>
      <c r="O316" s="7">
        <v>7.7021585250508497</v>
      </c>
      <c r="P316" s="7">
        <v>-73.492078612875403</v>
      </c>
      <c r="Q316" s="7">
        <v>1.1474469305794608E-2</v>
      </c>
      <c r="U316">
        <v>1.5229391515151515E-2</v>
      </c>
      <c r="AT316" s="4" t="s">
        <v>4321</v>
      </c>
    </row>
    <row r="317" spans="1:46">
      <c r="A317" s="2">
        <v>784</v>
      </c>
      <c r="B317" t="s">
        <v>4322</v>
      </c>
      <c r="C317" t="s">
        <v>1627</v>
      </c>
      <c r="D317" t="s">
        <v>3721</v>
      </c>
      <c r="E317" s="4">
        <v>43465</v>
      </c>
      <c r="F317" s="11">
        <v>17.189486859999999</v>
      </c>
      <c r="G317" s="11">
        <v>69.665271970000006</v>
      </c>
      <c r="H317" s="11">
        <v>8.3887466986000003</v>
      </c>
      <c r="I317" s="11">
        <v>27.835015870300001</v>
      </c>
      <c r="J317" s="11">
        <v>20.608205287200001</v>
      </c>
      <c r="K317" s="10">
        <v>0.42951787080999998</v>
      </c>
      <c r="L317" s="12">
        <v>1820445000</v>
      </c>
      <c r="M317">
        <v>24.910966680578799</v>
      </c>
      <c r="N317" s="7">
        <v>2.2916486839767098</v>
      </c>
      <c r="O317" s="7">
        <v>3.6462321311486998</v>
      </c>
      <c r="P317" s="7">
        <v>22.898524988000499</v>
      </c>
      <c r="Q317" s="7">
        <v>0.57732134181325778</v>
      </c>
      <c r="U317">
        <v>0.5428973039331394</v>
      </c>
      <c r="AT317" s="4" t="s">
        <v>4323</v>
      </c>
    </row>
    <row r="318" spans="1:46">
      <c r="A318" s="2">
        <v>104</v>
      </c>
      <c r="B318" t="s">
        <v>4324</v>
      </c>
      <c r="C318" t="s">
        <v>1209</v>
      </c>
      <c r="D318" t="s">
        <v>3718</v>
      </c>
      <c r="E318" s="4">
        <v>43465</v>
      </c>
      <c r="F318" s="11">
        <v>20.8740804</v>
      </c>
      <c r="G318" s="11">
        <v>69.659442720000001</v>
      </c>
      <c r="H318" s="11">
        <v>52.448752696299998</v>
      </c>
      <c r="I318" s="11">
        <v>16.6889394329</v>
      </c>
      <c r="J318" s="11">
        <v>4.6288020269999999</v>
      </c>
      <c r="K318" s="10">
        <v>0.80003679702800001</v>
      </c>
      <c r="L318" s="12">
        <v>18630748084.32</v>
      </c>
      <c r="M318">
        <v>16.6229997282738</v>
      </c>
      <c r="N318" s="7">
        <v>0.99396049254166297</v>
      </c>
      <c r="O318" s="7">
        <v>0.60732408243310598</v>
      </c>
      <c r="P318" s="7">
        <v>-57.632114660040699</v>
      </c>
      <c r="Q318" s="7">
        <v>1.3100436681222707</v>
      </c>
      <c r="U318">
        <v>0.26114631603574268</v>
      </c>
      <c r="AT318" s="4" t="s">
        <v>3735</v>
      </c>
    </row>
    <row r="319" spans="1:46">
      <c r="A319" s="2">
        <v>2051</v>
      </c>
      <c r="B319" t="s">
        <v>4325</v>
      </c>
      <c r="C319" t="s">
        <v>1178</v>
      </c>
      <c r="D319" t="s">
        <v>3721</v>
      </c>
      <c r="E319" s="4">
        <v>43465</v>
      </c>
      <c r="F319" s="11">
        <v>69.42236939</v>
      </c>
      <c r="G319" s="11">
        <v>69.592696630000006</v>
      </c>
      <c r="H319" s="11">
        <v>56.339785761500004</v>
      </c>
      <c r="I319" s="11">
        <v>32.812927866999999</v>
      </c>
      <c r="J319" s="11">
        <v>15.516755076200001</v>
      </c>
      <c r="K319" s="10">
        <v>0.81702764640199999</v>
      </c>
      <c r="L319" s="12">
        <v>42850166312.099998</v>
      </c>
      <c r="M319">
        <v>26.584731115090499</v>
      </c>
      <c r="N319" s="7">
        <v>3.6494617409952501</v>
      </c>
      <c r="O319" s="7">
        <v>3.3797081372042799</v>
      </c>
      <c r="P319" s="7">
        <v>-618.93689835094301</v>
      </c>
      <c r="Q319" s="7">
        <v>0.1694889411319179</v>
      </c>
      <c r="U319">
        <v>0.78750893855453696</v>
      </c>
      <c r="AT319" s="4" t="s">
        <v>4326</v>
      </c>
    </row>
    <row r="320" spans="1:46">
      <c r="A320" s="2">
        <v>1337</v>
      </c>
      <c r="B320" t="s">
        <v>4327</v>
      </c>
      <c r="C320" t="s">
        <v>3440</v>
      </c>
      <c r="D320" t="s">
        <v>3713</v>
      </c>
      <c r="E320" s="4">
        <v>43465</v>
      </c>
      <c r="F320" s="11">
        <v>9.1187777699999994</v>
      </c>
      <c r="G320" s="11">
        <v>69.467787110000003</v>
      </c>
      <c r="H320" s="11">
        <v>16.7725920962</v>
      </c>
      <c r="I320" s="11">
        <v>25.5483729404</v>
      </c>
      <c r="J320" s="11">
        <v>0.65091180969999995</v>
      </c>
      <c r="K320" s="10">
        <v>0.73932522675500001</v>
      </c>
      <c r="L320" s="12">
        <v>4411720057.6700001</v>
      </c>
      <c r="M320">
        <v>-82.038878395971295</v>
      </c>
      <c r="N320" s="7">
        <v>2.3791473691697602</v>
      </c>
      <c r="O320" s="7">
        <v>2.76424769051382</v>
      </c>
      <c r="P320" s="7">
        <v>-25.728516961097402</v>
      </c>
      <c r="Q320" s="7">
        <v>2.685828225939809E-2</v>
      </c>
      <c r="U320">
        <v>1.8376220787037038E-2</v>
      </c>
      <c r="AT320" s="4" t="s">
        <v>4328</v>
      </c>
    </row>
    <row r="321" spans="1:46">
      <c r="A321" s="2">
        <v>3554</v>
      </c>
      <c r="B321" t="s">
        <v>4329</v>
      </c>
      <c r="C321" t="s">
        <v>861</v>
      </c>
      <c r="D321" t="s">
        <v>3752</v>
      </c>
      <c r="E321" s="4">
        <v>43465</v>
      </c>
      <c r="F321" s="11">
        <v>58.510884699999998</v>
      </c>
      <c r="G321" s="11">
        <v>69.346405230000002</v>
      </c>
      <c r="H321" s="11">
        <v>19.999567447</v>
      </c>
      <c r="I321" s="11">
        <v>22.924509368399999</v>
      </c>
      <c r="J321" s="11">
        <v>11.8200884267</v>
      </c>
      <c r="K321" s="10">
        <v>0.832183178084</v>
      </c>
      <c r="L321" s="12">
        <v>2702060231.5700002</v>
      </c>
      <c r="M321">
        <v>21.5711256998439</v>
      </c>
      <c r="N321" s="7">
        <v>2.4340513377520701</v>
      </c>
      <c r="O321" s="7">
        <v>1.9336590894119201</v>
      </c>
      <c r="P321" s="7">
        <v>-291.36281481859999</v>
      </c>
      <c r="Q321" s="7">
        <v>1.1519716437749226</v>
      </c>
      <c r="U321">
        <v>0.84242205466666675</v>
      </c>
      <c r="AT321" s="4" t="s">
        <v>4020</v>
      </c>
    </row>
    <row r="322" spans="1:46">
      <c r="A322" s="2">
        <v>1953</v>
      </c>
      <c r="B322" t="s">
        <v>4330</v>
      </c>
      <c r="C322" t="s">
        <v>192</v>
      </c>
      <c r="D322" t="s">
        <v>3737</v>
      </c>
      <c r="E322" s="4">
        <v>43465</v>
      </c>
      <c r="F322" s="11">
        <v>129.30648776000001</v>
      </c>
      <c r="G322" s="11">
        <v>69.277108429999998</v>
      </c>
      <c r="H322" s="11">
        <v>41.478265758600003</v>
      </c>
      <c r="I322" s="11">
        <v>84.806817154699999</v>
      </c>
      <c r="J322" s="11">
        <v>39.443383346600001</v>
      </c>
      <c r="K322" s="10">
        <v>0.54150864225100004</v>
      </c>
      <c r="L322" s="12">
        <v>5962500000</v>
      </c>
      <c r="M322">
        <v>52.638060377796698</v>
      </c>
      <c r="N322" s="7">
        <v>10.467169132838899</v>
      </c>
      <c r="O322" s="7">
        <v>18.725010910030701</v>
      </c>
      <c r="P322" s="7">
        <v>23.259551749085301</v>
      </c>
      <c r="Q322" s="7">
        <v>0.853328139408706</v>
      </c>
      <c r="U322">
        <v>0.96334208806516852</v>
      </c>
      <c r="AT322" s="4" t="s">
        <v>3729</v>
      </c>
    </row>
    <row r="323" spans="1:46">
      <c r="A323" s="2">
        <v>2417</v>
      </c>
      <c r="B323" t="s">
        <v>4331</v>
      </c>
      <c r="C323" t="s">
        <v>2592</v>
      </c>
      <c r="D323" t="s">
        <v>3721</v>
      </c>
      <c r="E323" s="4">
        <v>43465</v>
      </c>
      <c r="F323" s="11">
        <v>34.870319680000001</v>
      </c>
      <c r="G323" s="11">
        <v>69.275362319999999</v>
      </c>
      <c r="H323" s="11">
        <v>12.676904047400001</v>
      </c>
      <c r="I323" s="11">
        <v>24.618145073099999</v>
      </c>
      <c r="J323" s="11">
        <v>2.1397762954999999</v>
      </c>
      <c r="K323" s="10">
        <v>1.0581860831909999</v>
      </c>
      <c r="L323" s="12">
        <v>30076775782.400002</v>
      </c>
      <c r="M323">
        <v>60.987948984484802</v>
      </c>
      <c r="N323" s="7">
        <v>2.0224144460255</v>
      </c>
      <c r="O323" s="7">
        <v>0.93309167382147296</v>
      </c>
      <c r="P323" s="7">
        <v>-20.704396043825898</v>
      </c>
      <c r="Q323" s="7">
        <v>0.10752688172043011</v>
      </c>
      <c r="U323">
        <v>0.11594486680402931</v>
      </c>
      <c r="AT323" s="4" t="s">
        <v>4332</v>
      </c>
    </row>
    <row r="324" spans="1:46">
      <c r="A324" s="2">
        <v>135</v>
      </c>
      <c r="B324" t="s">
        <v>4333</v>
      </c>
      <c r="C324" t="s">
        <v>434</v>
      </c>
      <c r="D324" t="s">
        <v>3889</v>
      </c>
      <c r="E324" s="4">
        <v>43465</v>
      </c>
      <c r="F324" s="11">
        <v>-15.212649949999999</v>
      </c>
      <c r="G324" s="11">
        <v>69.188596489999995</v>
      </c>
      <c r="H324" s="11">
        <v>2.8881550752999998</v>
      </c>
      <c r="I324" s="11">
        <v>27.271803002199999</v>
      </c>
      <c r="J324" s="11">
        <v>0.35479467869999998</v>
      </c>
      <c r="K324" s="10">
        <v>0.79943657725200001</v>
      </c>
      <c r="L324" s="12">
        <v>5119296000</v>
      </c>
      <c r="M324">
        <v>316.89398902227202</v>
      </c>
      <c r="N324" s="7">
        <v>-1.21471562701985</v>
      </c>
      <c r="O324" s="7">
        <v>0.61096923620237298</v>
      </c>
      <c r="P324" s="7">
        <v>8.4074457994921499</v>
      </c>
      <c r="Q324" s="7" t="s">
        <v>3698</v>
      </c>
      <c r="U324">
        <v>0.13463062107722382</v>
      </c>
      <c r="AT324" s="4" t="s">
        <v>4334</v>
      </c>
    </row>
    <row r="325" spans="1:46">
      <c r="A325" s="2">
        <v>2992</v>
      </c>
      <c r="B325" t="s">
        <v>4335</v>
      </c>
      <c r="C325" t="s">
        <v>467</v>
      </c>
      <c r="D325" t="s">
        <v>4060</v>
      </c>
      <c r="E325" s="4">
        <v>43465</v>
      </c>
      <c r="F325" s="11">
        <v>-9.40511096</v>
      </c>
      <c r="G325" s="11">
        <v>69.108280250000007</v>
      </c>
      <c r="H325" s="11">
        <v>-6.8719321329999996</v>
      </c>
      <c r="I325" s="11">
        <v>16.039764434199999</v>
      </c>
      <c r="J325" s="11">
        <v>3.0697283027000002</v>
      </c>
      <c r="K325" s="10">
        <v>0.52387610830099995</v>
      </c>
      <c r="L325" s="12">
        <v>2991667827.6999998</v>
      </c>
      <c r="M325">
        <v>5.5284835873932199</v>
      </c>
      <c r="N325" s="7">
        <v>0.81694441862693001</v>
      </c>
      <c r="O325" s="7">
        <v>0.46498285306120202</v>
      </c>
      <c r="P325" s="7">
        <v>-103.069588530941</v>
      </c>
      <c r="Q325" s="7">
        <v>0.34979423868312759</v>
      </c>
      <c r="U325">
        <v>0.19145204664254808</v>
      </c>
      <c r="AT325" s="4" t="s">
        <v>4336</v>
      </c>
    </row>
    <row r="326" spans="1:46">
      <c r="A326" s="2">
        <v>2210</v>
      </c>
      <c r="B326" t="s">
        <v>4337</v>
      </c>
      <c r="C326" t="s">
        <v>2718</v>
      </c>
      <c r="D326" t="s">
        <v>3752</v>
      </c>
      <c r="E326" s="4">
        <v>43465</v>
      </c>
      <c r="F326" s="11">
        <v>5.9286859400000003</v>
      </c>
      <c r="G326" s="11">
        <v>69.098712449999994</v>
      </c>
      <c r="H326" s="11">
        <v>24.470955640300001</v>
      </c>
      <c r="I326" s="11">
        <v>16.536118826100001</v>
      </c>
      <c r="J326" s="11">
        <v>2.2218319209000001</v>
      </c>
      <c r="K326" s="10">
        <v>0.64962507764599997</v>
      </c>
      <c r="L326" s="12">
        <v>7098643169.2799997</v>
      </c>
      <c r="M326">
        <v>70.409455735196005</v>
      </c>
      <c r="N326" s="7">
        <v>0.97483588150164602</v>
      </c>
      <c r="O326" s="7">
        <v>0.79458315184600103</v>
      </c>
      <c r="P326" s="7">
        <v>-24.035622746226899</v>
      </c>
      <c r="Q326" s="7">
        <v>0.71633237822349571</v>
      </c>
      <c r="U326">
        <v>6.7554769256303659E-2</v>
      </c>
      <c r="AT326" s="4" t="s">
        <v>4338</v>
      </c>
    </row>
    <row r="327" spans="1:46">
      <c r="A327" s="2">
        <v>498</v>
      </c>
      <c r="B327" t="s">
        <v>4339</v>
      </c>
      <c r="C327" t="s">
        <v>2081</v>
      </c>
      <c r="D327" t="s">
        <v>3721</v>
      </c>
      <c r="E327" s="4">
        <v>43465</v>
      </c>
      <c r="F327" s="11">
        <v>22.870765670000001</v>
      </c>
      <c r="G327" s="11">
        <v>69.095477389999999</v>
      </c>
      <c r="H327" s="11">
        <v>16.790028619800001</v>
      </c>
      <c r="I327" s="11">
        <v>24.5827282417</v>
      </c>
      <c r="J327" s="11">
        <v>5.1667700098999996</v>
      </c>
      <c r="K327" s="10">
        <v>0.60322663593199999</v>
      </c>
      <c r="L327" s="12">
        <v>7549507192.6400003</v>
      </c>
      <c r="M327">
        <v>52.602427363399499</v>
      </c>
      <c r="N327" s="7">
        <v>2.1114285418032699</v>
      </c>
      <c r="O327" s="7">
        <v>2.3021180674404702</v>
      </c>
      <c r="P327" s="7">
        <v>17.2305252482433</v>
      </c>
      <c r="Q327" s="7">
        <v>0.16528925619834711</v>
      </c>
      <c r="U327">
        <v>0.28205740900108783</v>
      </c>
      <c r="AT327" s="4" t="s">
        <v>4111</v>
      </c>
    </row>
    <row r="328" spans="1:46">
      <c r="A328" s="2">
        <v>649</v>
      </c>
      <c r="B328" t="s">
        <v>4340</v>
      </c>
      <c r="C328" t="s">
        <v>1056</v>
      </c>
      <c r="D328" t="s">
        <v>3721</v>
      </c>
      <c r="E328" s="4">
        <v>43465</v>
      </c>
      <c r="F328" s="11">
        <v>42.377949030000003</v>
      </c>
      <c r="G328" s="11">
        <v>69.075144510000001</v>
      </c>
      <c r="H328" s="11">
        <v>18.841459824600001</v>
      </c>
      <c r="I328" s="11">
        <v>34.641562975299998</v>
      </c>
      <c r="J328" s="11">
        <v>20.4471294461</v>
      </c>
      <c r="K328" s="10">
        <v>0.47214028196800001</v>
      </c>
      <c r="L328" s="12">
        <v>20401649925.029999</v>
      </c>
      <c r="M328">
        <v>31.524082441282498</v>
      </c>
      <c r="N328" s="7">
        <v>2.8323335093214501</v>
      </c>
      <c r="O328" s="7">
        <v>4.7880074031271196</v>
      </c>
      <c r="P328" s="7">
        <v>647.63641899492097</v>
      </c>
      <c r="Q328" s="7">
        <v>0.85034013605442171</v>
      </c>
      <c r="U328">
        <v>0.58936250694940318</v>
      </c>
      <c r="AT328" s="4" t="s">
        <v>4341</v>
      </c>
    </row>
    <row r="329" spans="1:46">
      <c r="A329" s="2">
        <v>2000</v>
      </c>
      <c r="B329" t="s">
        <v>4342</v>
      </c>
      <c r="C329" t="s">
        <v>2126</v>
      </c>
      <c r="D329" t="s">
        <v>3713</v>
      </c>
      <c r="E329" s="4">
        <v>43465</v>
      </c>
      <c r="F329" s="11">
        <v>96.528571290000002</v>
      </c>
      <c r="G329" s="11">
        <v>68.997361479999995</v>
      </c>
      <c r="H329" s="11">
        <v>28.445182275400001</v>
      </c>
      <c r="I329" s="11">
        <v>58.615769812899998</v>
      </c>
      <c r="J329" s="11">
        <v>12.947849147499999</v>
      </c>
      <c r="K329" s="10">
        <v>0.649294997865</v>
      </c>
      <c r="L329" s="12">
        <v>18625953977.400002</v>
      </c>
      <c r="M329">
        <v>40.102714709316203</v>
      </c>
      <c r="N329" s="7">
        <v>4.4565152602203</v>
      </c>
      <c r="O329" s="7">
        <v>4.7412328780879598</v>
      </c>
      <c r="P329" s="7">
        <v>-72.873288395882597</v>
      </c>
      <c r="Q329" s="7">
        <v>0.33333333333333337</v>
      </c>
      <c r="U329">
        <v>0.7204616724166667</v>
      </c>
      <c r="AT329" s="4" t="s">
        <v>4343</v>
      </c>
    </row>
    <row r="330" spans="1:46">
      <c r="A330" s="2">
        <v>403</v>
      </c>
      <c r="B330" t="s">
        <v>4344</v>
      </c>
      <c r="C330" t="s">
        <v>2685</v>
      </c>
      <c r="D330" t="s">
        <v>3764</v>
      </c>
      <c r="E330" s="4">
        <v>43465</v>
      </c>
      <c r="F330" s="11">
        <v>4.1322314000000002</v>
      </c>
      <c r="G330" s="11">
        <v>68.918918919999996</v>
      </c>
      <c r="H330" s="11">
        <v>21.954929890599999</v>
      </c>
      <c r="I330" s="11">
        <v>38.131914284499999</v>
      </c>
      <c r="J330" s="11">
        <v>4.386697045</v>
      </c>
      <c r="K330" s="10">
        <v>0.12624880911899999</v>
      </c>
      <c r="L330" s="12">
        <v>6996600000</v>
      </c>
      <c r="M330">
        <v>-65.423587090834005</v>
      </c>
      <c r="N330" s="7">
        <v>0.80459170198768404</v>
      </c>
      <c r="O330" s="7">
        <v>1.97116220934283</v>
      </c>
      <c r="P330" s="7">
        <v>-9.04428991999389</v>
      </c>
      <c r="Q330" s="7" t="s">
        <v>3698</v>
      </c>
      <c r="U330">
        <v>7.5276525551400797E-2</v>
      </c>
      <c r="AT330" s="4" t="s">
        <v>4345</v>
      </c>
    </row>
    <row r="331" spans="1:46">
      <c r="A331" s="2">
        <v>1019</v>
      </c>
      <c r="B331" t="s">
        <v>4346</v>
      </c>
      <c r="C331" t="s">
        <v>237</v>
      </c>
      <c r="D331" t="s">
        <v>3977</v>
      </c>
      <c r="E331" s="4">
        <v>43465</v>
      </c>
      <c r="F331" s="11">
        <v>-26.10991241</v>
      </c>
      <c r="G331" s="11">
        <v>68.895492820000001</v>
      </c>
      <c r="H331" s="11">
        <v>5.8068285546</v>
      </c>
      <c r="I331" s="11">
        <v>53.524329132600002</v>
      </c>
      <c r="J331" s="11">
        <v>19.984792344399999</v>
      </c>
      <c r="K331" s="10">
        <v>0.85432001425100002</v>
      </c>
      <c r="L331" s="12">
        <v>3558839744.8800001</v>
      </c>
      <c r="M331">
        <v>13.4509824389679</v>
      </c>
      <c r="N331" s="7">
        <v>3.2123439798709899</v>
      </c>
      <c r="O331" s="7">
        <v>2.5811736377534502</v>
      </c>
      <c r="P331" s="7">
        <v>67.437745913239993</v>
      </c>
      <c r="Q331" s="7">
        <v>2.6936026936026933</v>
      </c>
      <c r="U331">
        <v>1.5527172788991781</v>
      </c>
      <c r="AT331" s="4" t="s">
        <v>4347</v>
      </c>
    </row>
    <row r="332" spans="1:46">
      <c r="A332" s="2">
        <v>2530</v>
      </c>
      <c r="B332" t="s">
        <v>4348</v>
      </c>
      <c r="C332" t="s">
        <v>1215</v>
      </c>
      <c r="D332" t="s">
        <v>3737</v>
      </c>
      <c r="E332" s="4">
        <v>43465</v>
      </c>
      <c r="F332" s="11">
        <v>18.490572790000002</v>
      </c>
      <c r="G332" s="11">
        <v>68.770226539999996</v>
      </c>
      <c r="H332" s="11">
        <v>21.353876700299999</v>
      </c>
      <c r="I332" s="11">
        <v>49.885840438499997</v>
      </c>
      <c r="J332" s="11">
        <v>4.8111342496000002</v>
      </c>
      <c r="K332" s="10">
        <v>1.0736345081650001</v>
      </c>
      <c r="L332" s="12">
        <v>32086503130.5</v>
      </c>
      <c r="M332">
        <v>19.457393754261801</v>
      </c>
      <c r="N332" s="7">
        <v>1.26356131738531</v>
      </c>
      <c r="O332" s="7">
        <v>0.69323347055617202</v>
      </c>
      <c r="P332" s="7">
        <v>37.085364920386297</v>
      </c>
      <c r="Q332" s="7">
        <v>0.96711798839458418</v>
      </c>
      <c r="U332">
        <v>0.44010934744970409</v>
      </c>
      <c r="AT332" s="4" t="s">
        <v>4349</v>
      </c>
    </row>
    <row r="333" spans="1:46">
      <c r="A333" s="2">
        <v>1619</v>
      </c>
      <c r="B333" t="s">
        <v>4350</v>
      </c>
      <c r="C333" t="s">
        <v>1295</v>
      </c>
      <c r="D333" t="s">
        <v>3737</v>
      </c>
      <c r="E333" s="4">
        <v>43465</v>
      </c>
      <c r="F333" s="11">
        <v>-1.8940016</v>
      </c>
      <c r="G333" s="11">
        <v>68.535825549999998</v>
      </c>
      <c r="H333" s="11">
        <v>27.668229266899999</v>
      </c>
      <c r="I333" s="11">
        <v>61.674400101499998</v>
      </c>
      <c r="J333" s="11">
        <v>-13.484166957899999</v>
      </c>
      <c r="K333" s="10">
        <v>0.59440408388099997</v>
      </c>
      <c r="L333" s="12">
        <v>8164969808.1599998</v>
      </c>
      <c r="M333">
        <v>15.4661543192052</v>
      </c>
      <c r="N333" s="7">
        <v>1.2798422329799299</v>
      </c>
      <c r="O333" s="7">
        <v>1.43529908116687</v>
      </c>
      <c r="P333" s="7">
        <v>10.3368917407151</v>
      </c>
      <c r="Q333" s="7" t="s">
        <v>3698</v>
      </c>
      <c r="U333">
        <v>-0.30257425451423098</v>
      </c>
      <c r="AT333" s="4" t="s">
        <v>4351</v>
      </c>
    </row>
    <row r="334" spans="1:46">
      <c r="A334" s="2">
        <v>3412</v>
      </c>
      <c r="B334" t="s">
        <v>4352</v>
      </c>
      <c r="C334" t="s">
        <v>910</v>
      </c>
      <c r="D334" t="s">
        <v>3769</v>
      </c>
      <c r="E334" s="4">
        <v>43465</v>
      </c>
      <c r="F334" s="11">
        <v>1.6653040400000001</v>
      </c>
      <c r="G334" s="11">
        <v>68.455284550000002</v>
      </c>
      <c r="H334" s="11">
        <v>55.640610686999999</v>
      </c>
      <c r="I334" s="11">
        <v>53.984082528099997</v>
      </c>
      <c r="J334" s="11">
        <v>23.406799015800001</v>
      </c>
      <c r="K334" s="10">
        <v>0.42855518960400002</v>
      </c>
      <c r="L334" s="12">
        <v>6591006596.2799997</v>
      </c>
      <c r="M334">
        <v>31.204350051551899</v>
      </c>
      <c r="N334" s="7">
        <v>3.5099267666118399</v>
      </c>
      <c r="O334" s="7">
        <v>5.82819048576214</v>
      </c>
      <c r="P334" s="7">
        <v>73.463542265797699</v>
      </c>
      <c r="Q334" s="7">
        <v>1.066350710900474</v>
      </c>
      <c r="U334">
        <v>0.57349449633333338</v>
      </c>
      <c r="AT334" s="4" t="s">
        <v>4353</v>
      </c>
    </row>
    <row r="335" spans="1:46">
      <c r="A335" s="2">
        <v>1076</v>
      </c>
      <c r="B335" t="s">
        <v>4354</v>
      </c>
      <c r="C335" t="s">
        <v>1254</v>
      </c>
      <c r="D335" t="s">
        <v>4060</v>
      </c>
      <c r="E335" s="4">
        <v>43465</v>
      </c>
      <c r="F335" s="11">
        <v>52.465295830000002</v>
      </c>
      <c r="G335" s="11">
        <v>68.435013260000005</v>
      </c>
      <c r="H335" s="11">
        <v>5.4526743255000003</v>
      </c>
      <c r="I335" s="11">
        <v>25.6035543512</v>
      </c>
      <c r="J335" s="11">
        <v>5.5450369114000004</v>
      </c>
      <c r="K335" s="10">
        <v>0.54471474499100003</v>
      </c>
      <c r="L335" s="12">
        <v>4989600000</v>
      </c>
      <c r="M335">
        <v>39.128435720342203</v>
      </c>
      <c r="N335" s="7">
        <v>1.52726578679908</v>
      </c>
      <c r="O335" s="7">
        <v>1.2837047471376799</v>
      </c>
      <c r="P335" s="7">
        <v>17.093257935637101</v>
      </c>
      <c r="Q335" s="7" t="s">
        <v>3698</v>
      </c>
      <c r="U335">
        <v>0.14296531965174139</v>
      </c>
      <c r="AT335" s="4" t="s">
        <v>4355</v>
      </c>
    </row>
    <row r="336" spans="1:46">
      <c r="A336" s="2">
        <v>1164</v>
      </c>
      <c r="B336" t="s">
        <v>4356</v>
      </c>
      <c r="C336" t="s">
        <v>818</v>
      </c>
      <c r="D336" t="s">
        <v>3737</v>
      </c>
      <c r="E336" s="4">
        <v>43465</v>
      </c>
      <c r="F336" s="11">
        <v>86.251186340000004</v>
      </c>
      <c r="G336" s="11">
        <v>68.208578639999999</v>
      </c>
      <c r="H336" s="11">
        <v>84.610300369100003</v>
      </c>
      <c r="I336" s="11">
        <v>56.542095100499999</v>
      </c>
      <c r="J336" s="11">
        <v>9.2667843211999994</v>
      </c>
      <c r="K336" s="10">
        <v>0.80868236416899997</v>
      </c>
      <c r="L336" s="12">
        <v>6785004300.8000002</v>
      </c>
      <c r="M336">
        <v>114.90083012163799</v>
      </c>
      <c r="N336" s="7">
        <v>6.3375459094067796</v>
      </c>
      <c r="O336" s="7">
        <v>4.8940661169958704</v>
      </c>
      <c r="P336" s="7">
        <v>-62.149659996799897</v>
      </c>
      <c r="Q336" s="7">
        <v>0.88662215513262421</v>
      </c>
      <c r="U336">
        <v>0.30846780635396709</v>
      </c>
      <c r="AT336" s="4" t="s">
        <v>4357</v>
      </c>
    </row>
    <row r="337" spans="1:46">
      <c r="A337" s="2">
        <v>3167</v>
      </c>
      <c r="B337" t="s">
        <v>4358</v>
      </c>
      <c r="C337" t="s">
        <v>1716</v>
      </c>
      <c r="D337" t="s">
        <v>3837</v>
      </c>
      <c r="E337" s="4">
        <v>43465</v>
      </c>
      <c r="F337" s="11">
        <v>13.229239140000001</v>
      </c>
      <c r="G337" s="11">
        <v>68.181818179999993</v>
      </c>
      <c r="H337" s="11">
        <v>-12.506718551900001</v>
      </c>
      <c r="I337" s="11" t="s">
        <v>3698</v>
      </c>
      <c r="J337" s="11">
        <v>29.537701627699999</v>
      </c>
      <c r="K337" s="10" t="s">
        <v>3698</v>
      </c>
      <c r="L337" s="12">
        <v>22076348000</v>
      </c>
      <c r="M337">
        <v>27.717364622938099</v>
      </c>
      <c r="N337" s="7">
        <v>1.05135882052379</v>
      </c>
      <c r="O337" s="7">
        <v>7.8969108685964198</v>
      </c>
      <c r="P337" s="7">
        <v>-7.5872688467915301</v>
      </c>
      <c r="Q337" s="7">
        <v>0.8754863813229572</v>
      </c>
      <c r="U337">
        <v>0.28480349834084834</v>
      </c>
      <c r="AT337" s="4" t="s">
        <v>4359</v>
      </c>
    </row>
    <row r="338" spans="1:46">
      <c r="A338" s="2">
        <v>1636</v>
      </c>
      <c r="B338" t="s">
        <v>4360</v>
      </c>
      <c r="C338" t="s">
        <v>2785</v>
      </c>
      <c r="D338" t="s">
        <v>3713</v>
      </c>
      <c r="E338" s="4">
        <v>43465</v>
      </c>
      <c r="F338" s="11">
        <v>15.23069701</v>
      </c>
      <c r="G338" s="11">
        <v>68.115942029999999</v>
      </c>
      <c r="H338" s="11">
        <v>-24.4999323899</v>
      </c>
      <c r="I338" s="11">
        <v>21.2143101128</v>
      </c>
      <c r="J338" s="11">
        <v>3.8918622822</v>
      </c>
      <c r="K338" s="10">
        <v>0.22923244920800001</v>
      </c>
      <c r="L338" s="12">
        <v>117693574168.77</v>
      </c>
      <c r="M338">
        <v>687.76611679985001</v>
      </c>
      <c r="N338" s="7">
        <v>2.9793914398811401</v>
      </c>
      <c r="O338" s="7">
        <v>9.7361980644129993</v>
      </c>
      <c r="P338" s="7">
        <v>12.231570556653599</v>
      </c>
      <c r="Q338" s="7">
        <v>0.83217753120665738</v>
      </c>
      <c r="U338">
        <v>1.6450055518612307E-2</v>
      </c>
      <c r="AT338" s="4" t="s">
        <v>4361</v>
      </c>
    </row>
    <row r="339" spans="1:46">
      <c r="A339" s="2">
        <v>318</v>
      </c>
      <c r="B339" t="s">
        <v>4362</v>
      </c>
      <c r="C339" t="s">
        <v>1232</v>
      </c>
      <c r="D339" t="s">
        <v>3737</v>
      </c>
      <c r="E339" s="4">
        <v>43465</v>
      </c>
      <c r="F339" s="11">
        <v>104.61344645</v>
      </c>
      <c r="G339" s="11">
        <v>67.741935479999995</v>
      </c>
      <c r="H339" s="11">
        <v>14.853616117</v>
      </c>
      <c r="I339" s="11">
        <v>31.928212950900001</v>
      </c>
      <c r="J339" s="11">
        <v>5.8115363723</v>
      </c>
      <c r="K339" s="10">
        <v>1.114571198103</v>
      </c>
      <c r="L339" s="12">
        <v>2424434543.73</v>
      </c>
      <c r="M339">
        <v>27.870022749441901</v>
      </c>
      <c r="N339" s="7">
        <v>2.6451866421653998</v>
      </c>
      <c r="O339" s="7">
        <v>1.4037403724216699</v>
      </c>
      <c r="P339" s="7">
        <v>79.5070481273019</v>
      </c>
      <c r="Q339" s="7">
        <v>0.80350620891161439</v>
      </c>
      <c r="U339">
        <v>0.31443314016688267</v>
      </c>
      <c r="AT339" s="4" t="s">
        <v>4363</v>
      </c>
    </row>
    <row r="340" spans="1:46">
      <c r="A340" s="2">
        <v>1896</v>
      </c>
      <c r="B340" t="s">
        <v>4364</v>
      </c>
      <c r="C340" t="s">
        <v>3539</v>
      </c>
      <c r="D340" t="s">
        <v>3718</v>
      </c>
      <c r="E340" s="4">
        <v>43465</v>
      </c>
      <c r="F340" s="11">
        <v>-26.863705039999999</v>
      </c>
      <c r="G340" s="11">
        <v>67.647058819999998</v>
      </c>
      <c r="H340" s="11">
        <v>-49.874551117099998</v>
      </c>
      <c r="I340" s="11">
        <v>6.4710045862000003</v>
      </c>
      <c r="J340" s="11">
        <v>-130.7261984653</v>
      </c>
      <c r="K340" s="10">
        <v>0.15095536839099999</v>
      </c>
      <c r="L340" s="12">
        <v>15285449691.24</v>
      </c>
      <c r="M340">
        <v>-10.1589157710096</v>
      </c>
      <c r="N340" s="7">
        <v>1.6708329149258201</v>
      </c>
      <c r="O340" s="7">
        <v>6.4190446039518596</v>
      </c>
      <c r="P340" s="7">
        <v>-8.7916387872982895</v>
      </c>
      <c r="Q340" s="7" t="s">
        <v>3698</v>
      </c>
      <c r="U340">
        <v>-1.3140237410890547</v>
      </c>
      <c r="AT340" s="4" t="s">
        <v>4365</v>
      </c>
    </row>
    <row r="341" spans="1:46">
      <c r="A341" s="2">
        <v>3496</v>
      </c>
      <c r="B341" t="s">
        <v>4366</v>
      </c>
      <c r="C341" t="s">
        <v>1489</v>
      </c>
      <c r="D341" t="s">
        <v>3769</v>
      </c>
      <c r="E341" s="4">
        <v>43465</v>
      </c>
      <c r="F341" s="11">
        <v>22.040635949999999</v>
      </c>
      <c r="G341" s="11">
        <v>67.454545449999998</v>
      </c>
      <c r="H341" s="11">
        <v>12.462034254600001</v>
      </c>
      <c r="I341" s="11">
        <v>43.735866147800003</v>
      </c>
      <c r="J341" s="11">
        <v>22.477796852200001</v>
      </c>
      <c r="K341" s="10">
        <v>0.43753048147500001</v>
      </c>
      <c r="L341" s="12">
        <v>3318952000</v>
      </c>
      <c r="M341">
        <v>30.908125306116201</v>
      </c>
      <c r="N341" s="7">
        <v>2.6669042135586798</v>
      </c>
      <c r="O341" s="7">
        <v>5.9875877159306397</v>
      </c>
      <c r="P341" s="7">
        <v>-46.836337507480103</v>
      </c>
      <c r="Q341" s="7">
        <v>0.84360804672290712</v>
      </c>
      <c r="U341">
        <v>0.42203600190455526</v>
      </c>
      <c r="AT341" s="4" t="s">
        <v>4367</v>
      </c>
    </row>
    <row r="342" spans="1:46">
      <c r="A342" s="2">
        <v>1727</v>
      </c>
      <c r="B342" t="s">
        <v>4368</v>
      </c>
      <c r="C342" t="s">
        <v>1642</v>
      </c>
      <c r="D342" t="s">
        <v>3713</v>
      </c>
      <c r="E342" s="4">
        <v>43465</v>
      </c>
      <c r="F342" s="11">
        <v>6.2263201800000001</v>
      </c>
      <c r="G342" s="11">
        <v>67.429340510000003</v>
      </c>
      <c r="H342" s="11">
        <v>-0.56224274510000005</v>
      </c>
      <c r="I342" s="11">
        <v>32.042901394899999</v>
      </c>
      <c r="J342" s="11">
        <v>5.3563939818000001</v>
      </c>
      <c r="K342" s="10">
        <v>0.41439046035100002</v>
      </c>
      <c r="L342" s="12">
        <v>6341176080</v>
      </c>
      <c r="M342">
        <v>60.205752671818402</v>
      </c>
      <c r="N342" s="7">
        <v>3.8308365984733199</v>
      </c>
      <c r="O342" s="7">
        <v>6.56031726414838</v>
      </c>
      <c r="P342" s="7">
        <v>-113.99051515247599</v>
      </c>
      <c r="Q342" s="7" t="s">
        <v>3698</v>
      </c>
      <c r="U342">
        <v>4.8020404220815383E-2</v>
      </c>
      <c r="AT342" s="4" t="s">
        <v>4369</v>
      </c>
    </row>
    <row r="343" spans="1:46">
      <c r="A343" s="2">
        <v>446</v>
      </c>
      <c r="B343" t="s">
        <v>4370</v>
      </c>
      <c r="C343" t="s">
        <v>390</v>
      </c>
      <c r="D343" t="s">
        <v>3977</v>
      </c>
      <c r="E343" s="4">
        <v>43465</v>
      </c>
      <c r="F343" s="11">
        <v>-4.8922786499999997</v>
      </c>
      <c r="G343" s="11">
        <v>67.326732669999998</v>
      </c>
      <c r="H343" s="11">
        <v>7.5610334694999999</v>
      </c>
      <c r="I343" s="11">
        <v>19.012076389200001</v>
      </c>
      <c r="J343" s="11">
        <v>3.9508335535999999</v>
      </c>
      <c r="K343" s="10">
        <v>1.663662391763</v>
      </c>
      <c r="L343" s="12">
        <v>5583602856.96</v>
      </c>
      <c r="M343">
        <v>8.5270229465139398</v>
      </c>
      <c r="N343" s="7">
        <v>1.3104867428467699</v>
      </c>
      <c r="O343" s="7">
        <v>0.26835690749291502</v>
      </c>
      <c r="P343" s="7">
        <v>-32.597151046185999</v>
      </c>
      <c r="Q343" s="7">
        <v>2.9618768328445748</v>
      </c>
      <c r="U343">
        <v>1.0108105477628262</v>
      </c>
      <c r="AT343" s="4" t="s">
        <v>4371</v>
      </c>
    </row>
    <row r="344" spans="1:46">
      <c r="A344" s="2">
        <v>1306</v>
      </c>
      <c r="B344" t="s">
        <v>4372</v>
      </c>
      <c r="C344" t="s">
        <v>1239</v>
      </c>
      <c r="D344" t="s">
        <v>3761</v>
      </c>
      <c r="E344" s="4">
        <v>43465</v>
      </c>
      <c r="F344" s="11">
        <v>11.69302882</v>
      </c>
      <c r="G344" s="11">
        <v>67.216203489999998</v>
      </c>
      <c r="H344" s="11">
        <v>13.6985772757</v>
      </c>
      <c r="I344" s="11">
        <v>29.711270284200001</v>
      </c>
      <c r="J344" s="11">
        <v>15.2471614322</v>
      </c>
      <c r="K344" s="10">
        <v>0.62230471466699999</v>
      </c>
      <c r="L344" s="12">
        <v>16802403812.1</v>
      </c>
      <c r="M344">
        <v>28.929004024277599</v>
      </c>
      <c r="N344" s="7">
        <v>2.8346110817778101</v>
      </c>
      <c r="O344" s="7">
        <v>4.1090084396017099</v>
      </c>
      <c r="P344" s="7">
        <v>-170.70893445381699</v>
      </c>
      <c r="Q344" s="7">
        <v>0.88261253309796994</v>
      </c>
      <c r="U344">
        <v>0.82606024949048917</v>
      </c>
      <c r="AT344" s="4" t="s">
        <v>4373</v>
      </c>
    </row>
    <row r="345" spans="1:46">
      <c r="A345" s="2">
        <v>595</v>
      </c>
      <c r="B345" t="s">
        <v>4374</v>
      </c>
      <c r="C345" t="s">
        <v>1920</v>
      </c>
      <c r="D345" t="s">
        <v>3718</v>
      </c>
      <c r="E345" s="4">
        <v>43465</v>
      </c>
      <c r="F345" s="11">
        <v>1.8382351400000001</v>
      </c>
      <c r="G345" s="11">
        <v>67.095115680000006</v>
      </c>
      <c r="H345" s="11">
        <v>7.4395541674999999</v>
      </c>
      <c r="I345" s="11">
        <v>19.6998266286</v>
      </c>
      <c r="J345" s="11">
        <v>1.8790671611</v>
      </c>
      <c r="K345" s="10">
        <v>0.83727600800199997</v>
      </c>
      <c r="L345" s="12">
        <v>4375961600</v>
      </c>
      <c r="M345">
        <v>54.122667452342597</v>
      </c>
      <c r="N345" s="7">
        <v>1.2397235382420799</v>
      </c>
      <c r="O345" s="7">
        <v>0.923848681179958</v>
      </c>
      <c r="P345" s="7">
        <v>10.4530480705107</v>
      </c>
      <c r="Q345" s="7" t="s">
        <v>3698</v>
      </c>
      <c r="U345">
        <v>8.2837729975800523E-2</v>
      </c>
      <c r="AT345" s="4" t="s">
        <v>4375</v>
      </c>
    </row>
    <row r="346" spans="1:46">
      <c r="A346" s="2">
        <v>3504</v>
      </c>
      <c r="B346" t="s">
        <v>4376</v>
      </c>
      <c r="C346" t="s">
        <v>3367</v>
      </c>
      <c r="D346" t="s">
        <v>3761</v>
      </c>
      <c r="E346" s="4">
        <v>43465</v>
      </c>
      <c r="F346" s="11">
        <v>-9.1711449500000004</v>
      </c>
      <c r="G346" s="11">
        <v>67.070484579999999</v>
      </c>
      <c r="H346" s="11">
        <v>-30.741622457999998</v>
      </c>
      <c r="I346" s="11">
        <v>17.2380274247</v>
      </c>
      <c r="J346" s="11">
        <v>-14.6155250651</v>
      </c>
      <c r="K346" s="10">
        <v>0.50931696032899998</v>
      </c>
      <c r="L346" s="12">
        <v>3286488155.7199998</v>
      </c>
      <c r="M346">
        <v>-139.645093985795</v>
      </c>
      <c r="N346" s="7">
        <v>7.83212280674441</v>
      </c>
      <c r="O346" s="7">
        <v>3.2852320676172702</v>
      </c>
      <c r="P346" s="7">
        <v>46.551213932208498</v>
      </c>
      <c r="Q346" s="7" t="s">
        <v>3698</v>
      </c>
      <c r="U346">
        <v>-0.39142113064867218</v>
      </c>
      <c r="AT346" s="4" t="s">
        <v>4377</v>
      </c>
    </row>
    <row r="347" spans="1:46">
      <c r="A347" s="2">
        <v>48</v>
      </c>
      <c r="B347" t="s">
        <v>4378</v>
      </c>
      <c r="C347" t="s">
        <v>1727</v>
      </c>
      <c r="D347" t="s">
        <v>3721</v>
      </c>
      <c r="E347" s="4">
        <v>43465</v>
      </c>
      <c r="F347" s="11">
        <v>-16.574904700000001</v>
      </c>
      <c r="G347" s="11">
        <v>66.887700339999995</v>
      </c>
      <c r="H347" s="11">
        <v>21.3542513103</v>
      </c>
      <c r="I347" s="11">
        <v>15.190683780900001</v>
      </c>
      <c r="J347" s="11">
        <v>3.4030676596</v>
      </c>
      <c r="K347" s="10">
        <v>0.64470477259600001</v>
      </c>
      <c r="L347" s="12">
        <v>3498331000</v>
      </c>
      <c r="M347">
        <v>-76.441480247595706</v>
      </c>
      <c r="N347" s="7">
        <v>0.78224120382233597</v>
      </c>
      <c r="O347" s="7">
        <v>1.04366229481121</v>
      </c>
      <c r="P347" s="7">
        <v>-79.088482481628901</v>
      </c>
      <c r="Q347" s="7">
        <v>0.45662100456621002</v>
      </c>
      <c r="U347">
        <v>0.45189781376568278</v>
      </c>
      <c r="AT347" s="4" t="s">
        <v>4379</v>
      </c>
    </row>
    <row r="348" spans="1:46">
      <c r="A348" s="2">
        <v>950</v>
      </c>
      <c r="B348" t="s">
        <v>4380</v>
      </c>
      <c r="C348" t="s">
        <v>2651</v>
      </c>
      <c r="D348" t="s">
        <v>3713</v>
      </c>
      <c r="E348" s="4">
        <v>43465</v>
      </c>
      <c r="F348" s="11">
        <v>45.305884980000002</v>
      </c>
      <c r="G348" s="11">
        <v>66.877431909999999</v>
      </c>
      <c r="H348" s="11">
        <v>10.6771025574</v>
      </c>
      <c r="I348" s="11">
        <v>65.469093430800001</v>
      </c>
      <c r="J348" s="11">
        <v>22.211284826699998</v>
      </c>
      <c r="K348" s="10">
        <v>0.54969841988500001</v>
      </c>
      <c r="L348" s="12">
        <v>33363924500.790001</v>
      </c>
      <c r="M348">
        <v>58.2943947725322</v>
      </c>
      <c r="N348" s="7">
        <v>6.3904666330979198</v>
      </c>
      <c r="O348" s="7">
        <v>7.6657968752322301</v>
      </c>
      <c r="P348" s="7">
        <v>924.87012697922898</v>
      </c>
      <c r="Q348" s="7">
        <v>0.12987012987012989</v>
      </c>
      <c r="U348">
        <v>0.63450320338156196</v>
      </c>
      <c r="AT348" s="4" t="s">
        <v>4008</v>
      </c>
    </row>
    <row r="349" spans="1:46">
      <c r="A349" s="2">
        <v>1651</v>
      </c>
      <c r="B349" t="s">
        <v>4381</v>
      </c>
      <c r="C349" t="s">
        <v>1093</v>
      </c>
      <c r="D349" t="s">
        <v>3790</v>
      </c>
      <c r="E349" s="4">
        <v>43465</v>
      </c>
      <c r="F349" s="11">
        <v>107.61672165</v>
      </c>
      <c r="G349" s="11">
        <v>66.835053810000005</v>
      </c>
      <c r="H349" s="11">
        <v>30.337768109599999</v>
      </c>
      <c r="I349" s="11">
        <v>0.730260295</v>
      </c>
      <c r="J349" s="11">
        <v>0.2103754763</v>
      </c>
      <c r="K349" s="10">
        <v>9.6634125792279999</v>
      </c>
      <c r="L349" s="12">
        <v>30308209440.599998</v>
      </c>
      <c r="M349">
        <v>64.383400300525395</v>
      </c>
      <c r="N349" s="7">
        <v>7.9767022762506299</v>
      </c>
      <c r="O349" s="7">
        <v>7.6982579373990001E-2</v>
      </c>
      <c r="P349" s="7">
        <v>36.457532637311601</v>
      </c>
      <c r="Q349" s="7">
        <v>6.404879842234204E-2</v>
      </c>
      <c r="U349">
        <v>0.75989131080515115</v>
      </c>
      <c r="AT349" s="4" t="s">
        <v>4382</v>
      </c>
    </row>
    <row r="350" spans="1:46">
      <c r="A350" s="2">
        <v>3371</v>
      </c>
      <c r="B350" t="s">
        <v>4383</v>
      </c>
      <c r="C350" t="s">
        <v>751</v>
      </c>
      <c r="D350" t="s">
        <v>3785</v>
      </c>
      <c r="E350" s="4">
        <v>43465</v>
      </c>
      <c r="F350" s="11">
        <v>148.54172306999999</v>
      </c>
      <c r="G350" s="11">
        <v>66.711956520000001</v>
      </c>
      <c r="H350" s="11">
        <v>22.246752475499999</v>
      </c>
      <c r="I350" s="11">
        <v>26.512072144499999</v>
      </c>
      <c r="J350" s="11">
        <v>6.3453991715000004</v>
      </c>
      <c r="K350" s="10">
        <v>1.0900869455610001</v>
      </c>
      <c r="L350" s="12">
        <v>12378668530</v>
      </c>
      <c r="M350">
        <v>34.067028048694503</v>
      </c>
      <c r="N350" s="7">
        <v>4.1805214445818102</v>
      </c>
      <c r="O350" s="7">
        <v>1.9944917105805799</v>
      </c>
      <c r="P350" s="7">
        <v>172.47740707335601</v>
      </c>
      <c r="Q350" s="7">
        <v>0.61135353791257674</v>
      </c>
      <c r="U350">
        <v>1.2509547851786706</v>
      </c>
      <c r="AT350" s="4" t="s">
        <v>4384</v>
      </c>
    </row>
    <row r="351" spans="1:46">
      <c r="A351" s="2">
        <v>1433</v>
      </c>
      <c r="B351" t="s">
        <v>4385</v>
      </c>
      <c r="C351" t="s">
        <v>1625</v>
      </c>
      <c r="D351" t="s">
        <v>3718</v>
      </c>
      <c r="E351" s="4">
        <v>43465</v>
      </c>
      <c r="F351" s="11">
        <v>23.86551115</v>
      </c>
      <c r="G351" s="11">
        <v>66.666666669999998</v>
      </c>
      <c r="H351" s="11">
        <v>4.7190476186000003</v>
      </c>
      <c r="I351" s="11">
        <v>35.225177721999998</v>
      </c>
      <c r="J351" s="11">
        <v>7.1445881354000003</v>
      </c>
      <c r="K351" s="10">
        <v>0.32358297564499999</v>
      </c>
      <c r="L351" s="12">
        <v>13668259617.09</v>
      </c>
      <c r="M351">
        <v>55.533734893971001</v>
      </c>
      <c r="N351" s="7">
        <v>2.5244086347121999</v>
      </c>
      <c r="O351" s="7">
        <v>1.8901055655852199</v>
      </c>
      <c r="P351" s="7">
        <v>55.369665278594297</v>
      </c>
      <c r="Q351" s="7">
        <v>0.1072961373390558</v>
      </c>
      <c r="U351">
        <v>0.21041826740953398</v>
      </c>
      <c r="AT351" s="4" t="s">
        <v>3770</v>
      </c>
    </row>
    <row r="352" spans="1:46">
      <c r="A352" s="2">
        <v>2675</v>
      </c>
      <c r="B352" t="s">
        <v>4386</v>
      </c>
      <c r="C352" t="s">
        <v>1718</v>
      </c>
      <c r="D352" t="s">
        <v>3713</v>
      </c>
      <c r="E352" s="4">
        <v>43465</v>
      </c>
      <c r="F352" s="11">
        <v>22.629195450000001</v>
      </c>
      <c r="G352" s="11">
        <v>66.666666669999998</v>
      </c>
      <c r="H352" s="11">
        <v>5.7576974581</v>
      </c>
      <c r="I352" s="11">
        <v>18.538665443799999</v>
      </c>
      <c r="J352" s="11">
        <v>6.6986285735999997</v>
      </c>
      <c r="K352" s="10">
        <v>0.81300925477899999</v>
      </c>
      <c r="L352" s="12">
        <v>4793853106.1599998</v>
      </c>
      <c r="M352">
        <v>45.0031130789163</v>
      </c>
      <c r="N352" s="7">
        <v>1.82164662102771</v>
      </c>
      <c r="O352" s="7">
        <v>1.4627401941195799</v>
      </c>
      <c r="P352" s="7">
        <v>36.733367223983798</v>
      </c>
      <c r="Q352" s="7">
        <v>0.75282308657465491</v>
      </c>
      <c r="U352">
        <v>0.19905229269072858</v>
      </c>
      <c r="AT352" s="4" t="s">
        <v>4387</v>
      </c>
    </row>
    <row r="353" spans="1:46">
      <c r="A353" s="2">
        <v>3604</v>
      </c>
      <c r="B353" t="s">
        <v>4388</v>
      </c>
      <c r="C353" t="s">
        <v>2180</v>
      </c>
      <c r="D353" t="s">
        <v>3721</v>
      </c>
      <c r="E353" s="4">
        <v>43465</v>
      </c>
      <c r="F353" s="11">
        <v>4.0802404000000001</v>
      </c>
      <c r="G353" s="11">
        <v>66.582703609999996</v>
      </c>
      <c r="H353" s="11">
        <v>10.7340689178</v>
      </c>
      <c r="I353" s="11">
        <v>22.730177596299999</v>
      </c>
      <c r="J353" s="11">
        <v>10.417968693900001</v>
      </c>
      <c r="K353" s="10">
        <v>0.71735861533800005</v>
      </c>
      <c r="L353" s="12">
        <v>11269629269.200001</v>
      </c>
      <c r="M353">
        <v>27.2932359130807</v>
      </c>
      <c r="N353" s="7">
        <v>2.03753016826722</v>
      </c>
      <c r="O353" s="7">
        <v>2.3218274411180602</v>
      </c>
      <c r="P353" s="7">
        <v>190.30422218350199</v>
      </c>
      <c r="Q353" s="7">
        <v>2.8826456876460611</v>
      </c>
      <c r="U353">
        <v>0.55164151880518542</v>
      </c>
      <c r="AT353" s="4" t="s">
        <v>4389</v>
      </c>
    </row>
    <row r="354" spans="1:46">
      <c r="A354" s="2">
        <v>2852</v>
      </c>
      <c r="B354" t="s">
        <v>4390</v>
      </c>
      <c r="C354" t="s">
        <v>97</v>
      </c>
      <c r="D354" t="s">
        <v>3785</v>
      </c>
      <c r="E354" s="4">
        <v>43465</v>
      </c>
      <c r="F354" s="11">
        <v>14.31564837</v>
      </c>
      <c r="G354" s="11">
        <v>66.498263339999994</v>
      </c>
      <c r="H354" s="11">
        <v>37.623979746499998</v>
      </c>
      <c r="I354" s="11">
        <v>81.865886694500006</v>
      </c>
      <c r="J354" s="11">
        <v>20.5547015858</v>
      </c>
      <c r="K354" s="10">
        <v>0.94174852793099995</v>
      </c>
      <c r="L354" s="12">
        <v>7820623208</v>
      </c>
      <c r="M354">
        <v>25.80065316792</v>
      </c>
      <c r="N354" s="7">
        <v>8.3325990078812904</v>
      </c>
      <c r="O354" s="7">
        <v>5.6972793357185703</v>
      </c>
      <c r="P354" s="7">
        <v>-364.55913940719699</v>
      </c>
      <c r="Q354" s="7">
        <v>2.0259003015788539</v>
      </c>
      <c r="T354" s="2"/>
      <c r="U354">
        <v>1.1860710335433147</v>
      </c>
      <c r="AT354" s="4" t="s">
        <v>4391</v>
      </c>
    </row>
    <row r="355" spans="1:46">
      <c r="A355" s="2">
        <v>3061</v>
      </c>
      <c r="B355" t="s">
        <v>4392</v>
      </c>
      <c r="C355" t="s">
        <v>1361</v>
      </c>
      <c r="D355" t="s">
        <v>3769</v>
      </c>
      <c r="E355" s="4">
        <v>43465</v>
      </c>
      <c r="F355" s="11">
        <v>0.13817238000000001</v>
      </c>
      <c r="G355" s="11">
        <v>66.422287389999994</v>
      </c>
      <c r="H355" s="11">
        <v>5.9419981740000001</v>
      </c>
      <c r="I355" s="11">
        <v>15.1172930849</v>
      </c>
      <c r="J355" s="11">
        <v>5.5769897242999997</v>
      </c>
      <c r="K355" s="10">
        <v>1.1978566927980001</v>
      </c>
      <c r="L355" s="12">
        <v>25282239871.5</v>
      </c>
      <c r="M355">
        <v>12.781885178284799</v>
      </c>
      <c r="N355" s="7">
        <v>1.1326287749002399</v>
      </c>
      <c r="O355" s="7">
        <v>0.60076813347383795</v>
      </c>
      <c r="P355" s="7">
        <v>12.9165139192548</v>
      </c>
      <c r="Q355" s="7">
        <v>0.7580481061671317</v>
      </c>
      <c r="U355">
        <v>0.6322548985179528</v>
      </c>
      <c r="AT355" s="4" t="s">
        <v>4393</v>
      </c>
    </row>
    <row r="356" spans="1:46">
      <c r="A356" s="2">
        <v>3386</v>
      </c>
      <c r="B356" t="s">
        <v>4394</v>
      </c>
      <c r="C356" t="s">
        <v>3437</v>
      </c>
      <c r="D356" t="s">
        <v>3752</v>
      </c>
      <c r="E356" s="4">
        <v>43465</v>
      </c>
      <c r="F356" s="11">
        <v>-0.46891528999999998</v>
      </c>
      <c r="G356" s="11">
        <v>66.416791599999996</v>
      </c>
      <c r="H356" s="11">
        <v>22.644410729600001</v>
      </c>
      <c r="I356" s="11">
        <v>29.4901248161</v>
      </c>
      <c r="J356" s="11">
        <v>3.5332782469000001</v>
      </c>
      <c r="K356" s="10">
        <v>0.72156880576500004</v>
      </c>
      <c r="L356" s="12">
        <v>7707700525.9799995</v>
      </c>
      <c r="M356">
        <v>35.096159003550902</v>
      </c>
      <c r="N356" s="7">
        <v>1.9804205641574599</v>
      </c>
      <c r="O356" s="7">
        <v>1.6862306883025</v>
      </c>
      <c r="P356" s="7">
        <v>-17.912490144824201</v>
      </c>
      <c r="Q356" s="7">
        <v>0.48777777777777775</v>
      </c>
      <c r="U356">
        <v>0.30149967926078031</v>
      </c>
      <c r="AT356" s="4" t="s">
        <v>4395</v>
      </c>
    </row>
    <row r="357" spans="1:46">
      <c r="A357" s="2">
        <v>1906</v>
      </c>
      <c r="B357" t="s">
        <v>4396</v>
      </c>
      <c r="C357" t="s">
        <v>694</v>
      </c>
      <c r="D357" t="s">
        <v>3752</v>
      </c>
      <c r="E357" s="4">
        <v>43465</v>
      </c>
      <c r="F357" s="11">
        <v>22.643031350000001</v>
      </c>
      <c r="G357" s="11">
        <v>66.387337059999993</v>
      </c>
      <c r="H357" s="11">
        <v>17.548458064399998</v>
      </c>
      <c r="I357" s="11">
        <v>32.7709423254</v>
      </c>
      <c r="J357" s="11">
        <v>16.630901441999999</v>
      </c>
      <c r="K357" s="10">
        <v>0.82241833045000001</v>
      </c>
      <c r="L357" s="12">
        <v>4347936000</v>
      </c>
      <c r="M357">
        <v>28.635961565686699</v>
      </c>
      <c r="N357" s="7">
        <v>3.6084128360638901</v>
      </c>
      <c r="O357" s="7">
        <v>4.4105473085733697</v>
      </c>
      <c r="P357" s="7">
        <v>30.2362117452926</v>
      </c>
      <c r="Q357" s="7">
        <v>1.2763241863433312</v>
      </c>
      <c r="U357">
        <v>0.41086944340708925</v>
      </c>
      <c r="AT357" s="4" t="s">
        <v>4065</v>
      </c>
    </row>
    <row r="358" spans="1:46">
      <c r="A358" s="2">
        <v>746</v>
      </c>
      <c r="B358" t="s">
        <v>4397</v>
      </c>
      <c r="C358" t="s">
        <v>2060</v>
      </c>
      <c r="D358" t="s">
        <v>3790</v>
      </c>
      <c r="E358" s="4">
        <v>43465</v>
      </c>
      <c r="F358" s="11">
        <v>25.92768495</v>
      </c>
      <c r="G358" s="11">
        <v>66.213592230000003</v>
      </c>
      <c r="H358" s="11">
        <v>8.5738545025999997</v>
      </c>
      <c r="I358" s="11">
        <v>25.8308602888</v>
      </c>
      <c r="J358" s="11">
        <v>10.573968985900001</v>
      </c>
      <c r="K358" s="10">
        <v>0.28493917084600001</v>
      </c>
      <c r="L358" s="12">
        <v>4609157520</v>
      </c>
      <c r="M358">
        <v>-7.6617301030149498</v>
      </c>
      <c r="N358" s="7">
        <v>2.2269267457540001</v>
      </c>
      <c r="O358" s="7">
        <v>4.6444092619042099</v>
      </c>
      <c r="P358" s="7">
        <v>-10.6421467205622</v>
      </c>
      <c r="Q358" s="7" t="s">
        <v>3698</v>
      </c>
      <c r="U358">
        <v>0.12104081550688732</v>
      </c>
      <c r="AT358" s="4" t="s">
        <v>3809</v>
      </c>
    </row>
    <row r="359" spans="1:46">
      <c r="A359" s="2">
        <v>1567</v>
      </c>
      <c r="B359" t="s">
        <v>4398</v>
      </c>
      <c r="C359" t="s">
        <v>2475</v>
      </c>
      <c r="D359" t="s">
        <v>3737</v>
      </c>
      <c r="E359" s="4">
        <v>43465</v>
      </c>
      <c r="F359" s="11">
        <v>77.953071989999998</v>
      </c>
      <c r="G359" s="11">
        <v>66.020942410000004</v>
      </c>
      <c r="H359" s="11">
        <v>31.541365172599999</v>
      </c>
      <c r="I359" s="11">
        <v>80.394614548099995</v>
      </c>
      <c r="J359" s="11">
        <v>120.8915944578</v>
      </c>
      <c r="K359" s="10">
        <v>0.13407233571300001</v>
      </c>
      <c r="L359" s="12">
        <v>5008818285.2399998</v>
      </c>
      <c r="M359">
        <v>-280.346903675818</v>
      </c>
      <c r="N359" s="7">
        <v>6.4675471983152004</v>
      </c>
      <c r="O359" s="7">
        <v>36.405783434928203</v>
      </c>
      <c r="P359" s="7">
        <v>21.146724695674401</v>
      </c>
      <c r="Q359" s="7">
        <v>9.9337748344370841E-2</v>
      </c>
      <c r="U359">
        <v>0.68048607957124574</v>
      </c>
      <c r="AT359" s="4" t="s">
        <v>4399</v>
      </c>
    </row>
    <row r="360" spans="1:46">
      <c r="A360" s="2">
        <v>787</v>
      </c>
      <c r="B360" t="s">
        <v>4400</v>
      </c>
      <c r="C360" t="s">
        <v>3336</v>
      </c>
      <c r="D360" t="s">
        <v>3761</v>
      </c>
      <c r="E360" s="4">
        <v>43465</v>
      </c>
      <c r="F360" s="11">
        <v>-3.2476308700000001</v>
      </c>
      <c r="G360" s="11">
        <v>65.873015870000003</v>
      </c>
      <c r="H360" s="11">
        <v>17.966640223599999</v>
      </c>
      <c r="I360" s="11">
        <v>14.8136183819</v>
      </c>
      <c r="J360" s="11">
        <v>1.3180826032999999</v>
      </c>
      <c r="K360" s="10">
        <v>1.214962625888</v>
      </c>
      <c r="L360" s="12">
        <v>49874455760.959999</v>
      </c>
      <c r="M360">
        <v>70.652315319865906</v>
      </c>
      <c r="N360" s="7">
        <v>1.39509217849761</v>
      </c>
      <c r="O360" s="7">
        <v>0.60982487059483004</v>
      </c>
      <c r="P360" s="7">
        <v>24.850452093783002</v>
      </c>
      <c r="Q360" s="7">
        <v>0.29895366218236175</v>
      </c>
      <c r="U360">
        <v>0.10788593664170089</v>
      </c>
      <c r="AT360" s="4" t="s">
        <v>4401</v>
      </c>
    </row>
    <row r="361" spans="1:46">
      <c r="A361" s="2">
        <v>1736</v>
      </c>
      <c r="B361" t="s">
        <v>4402</v>
      </c>
      <c r="C361" t="s">
        <v>2284</v>
      </c>
      <c r="D361" t="s">
        <v>3790</v>
      </c>
      <c r="E361" s="4">
        <v>43465</v>
      </c>
      <c r="F361" s="11">
        <v>3.8452122399999999</v>
      </c>
      <c r="G361" s="11">
        <v>65.748709120000001</v>
      </c>
      <c r="H361" s="11">
        <v>11.682170474599999</v>
      </c>
      <c r="I361" s="11">
        <v>51.154558256199998</v>
      </c>
      <c r="J361" s="11">
        <v>11.483545944899999</v>
      </c>
      <c r="K361" s="10">
        <v>0.51465125209399998</v>
      </c>
      <c r="L361" s="12">
        <v>8604914404.3799992</v>
      </c>
      <c r="M361">
        <v>-91.092898599387894</v>
      </c>
      <c r="N361" s="7">
        <v>5.6937574044635797</v>
      </c>
      <c r="O361" s="7">
        <v>3.1091744363979701</v>
      </c>
      <c r="P361" s="7">
        <v>-32.242313594583898</v>
      </c>
      <c r="Q361" s="7">
        <v>0.34485057471264374</v>
      </c>
      <c r="U361">
        <v>0.20464418413869892</v>
      </c>
      <c r="AT361" s="4" t="s">
        <v>4403</v>
      </c>
    </row>
    <row r="362" spans="1:46">
      <c r="A362" s="2">
        <v>1305</v>
      </c>
      <c r="B362" t="s">
        <v>4404</v>
      </c>
      <c r="C362" t="s">
        <v>3509</v>
      </c>
      <c r="D362" t="s">
        <v>3972</v>
      </c>
      <c r="E362" s="4">
        <v>43465</v>
      </c>
      <c r="F362" s="11">
        <v>-11.09404479</v>
      </c>
      <c r="G362" s="11">
        <v>65.660832830000004</v>
      </c>
      <c r="H362" s="11">
        <v>-6.7430773533000004</v>
      </c>
      <c r="I362" s="11">
        <v>9.2738720895999993</v>
      </c>
      <c r="J362" s="11">
        <v>-9.0654147899999996E-2</v>
      </c>
      <c r="K362" s="10">
        <v>1.062586207362</v>
      </c>
      <c r="L362" s="12">
        <v>6589091675.4899998</v>
      </c>
      <c r="M362">
        <v>-224.355639273739</v>
      </c>
      <c r="N362" s="7">
        <v>2.8013149053165698</v>
      </c>
      <c r="O362" s="7">
        <v>1.66982118177905</v>
      </c>
      <c r="P362" s="7">
        <v>-48.3479959225117</v>
      </c>
      <c r="Q362" s="7">
        <v>6.0767185719711361E-2</v>
      </c>
      <c r="U362">
        <v>7.779147254954473E-2</v>
      </c>
      <c r="AT362" s="4" t="s">
        <v>4405</v>
      </c>
    </row>
    <row r="363" spans="1:46">
      <c r="A363" s="2">
        <v>1863</v>
      </c>
      <c r="B363" t="s">
        <v>4406</v>
      </c>
      <c r="C363" t="s">
        <v>589</v>
      </c>
      <c r="D363" t="s">
        <v>3769</v>
      </c>
      <c r="E363" s="4">
        <v>43465</v>
      </c>
      <c r="F363" s="11">
        <v>-9.0007656600000008</v>
      </c>
      <c r="G363" s="11">
        <v>65.222772280000001</v>
      </c>
      <c r="H363" s="11">
        <v>22.4071760641</v>
      </c>
      <c r="I363" s="11">
        <v>23.239325909800002</v>
      </c>
      <c r="J363" s="11">
        <v>10.624200694600001</v>
      </c>
      <c r="K363" s="10">
        <v>0.58929666093800004</v>
      </c>
      <c r="L363" s="12">
        <v>2061168000</v>
      </c>
      <c r="M363">
        <v>17.4284573910275</v>
      </c>
      <c r="N363" s="7">
        <v>2.0966523614253201</v>
      </c>
      <c r="O363" s="7">
        <v>1.85531682887574</v>
      </c>
      <c r="P363" s="7">
        <v>448.96265881661998</v>
      </c>
      <c r="Q363" s="7">
        <v>0.26652566371681413</v>
      </c>
      <c r="U363">
        <v>0.94184189749288993</v>
      </c>
      <c r="AT363" s="4" t="s">
        <v>4315</v>
      </c>
    </row>
    <row r="364" spans="1:46">
      <c r="A364" s="2">
        <v>1951</v>
      </c>
      <c r="B364" t="s">
        <v>4407</v>
      </c>
      <c r="C364" t="s">
        <v>2784</v>
      </c>
      <c r="D364" t="s">
        <v>3718</v>
      </c>
      <c r="E364" s="4">
        <v>43465</v>
      </c>
      <c r="F364" s="11">
        <v>-14.24920515</v>
      </c>
      <c r="G364" s="11">
        <v>65.151515149999994</v>
      </c>
      <c r="H364" s="11">
        <v>5.8273216217000003</v>
      </c>
      <c r="I364" s="11">
        <v>21.721939948199999</v>
      </c>
      <c r="J364" s="11">
        <v>9.0339240569000001</v>
      </c>
      <c r="K364" s="10">
        <v>0.72353691036800005</v>
      </c>
      <c r="L364" s="12">
        <v>7534870196.3999996</v>
      </c>
      <c r="M364">
        <v>31.390030512291201</v>
      </c>
      <c r="N364" s="7">
        <v>2.8180702756351401</v>
      </c>
      <c r="O364" s="7">
        <v>2.6887593094936202</v>
      </c>
      <c r="P364" s="7">
        <v>-17.582599548186099</v>
      </c>
      <c r="Q364" s="7">
        <v>0.22566470861353241</v>
      </c>
      <c r="U364">
        <v>0.25563161154392838</v>
      </c>
      <c r="AT364" s="4" t="s">
        <v>4408</v>
      </c>
    </row>
    <row r="365" spans="1:46">
      <c r="A365" s="2">
        <v>1559</v>
      </c>
      <c r="B365" t="s">
        <v>4409</v>
      </c>
      <c r="C365" t="s">
        <v>2612</v>
      </c>
      <c r="D365" t="s">
        <v>3713</v>
      </c>
      <c r="E365" s="4">
        <v>43465</v>
      </c>
      <c r="F365" s="11">
        <v>-6.2613981799999996</v>
      </c>
      <c r="G365" s="11">
        <v>65.106382980000006</v>
      </c>
      <c r="H365" s="11">
        <v>2.3715382535999998</v>
      </c>
      <c r="I365" s="11">
        <v>13.921838567</v>
      </c>
      <c r="J365" s="11">
        <v>-0.12588505429999999</v>
      </c>
      <c r="K365" s="10">
        <v>0.26523324071299997</v>
      </c>
      <c r="L365" s="12">
        <v>9997060778.1000004</v>
      </c>
      <c r="M365">
        <v>-23.911305641406202</v>
      </c>
      <c r="N365" s="7">
        <v>1.3565874525436401</v>
      </c>
      <c r="O365" s="7">
        <v>3.99611099625458</v>
      </c>
      <c r="P365" s="7">
        <v>15.0821184149966</v>
      </c>
      <c r="Q365" s="7" t="s">
        <v>3698</v>
      </c>
      <c r="U365">
        <v>3.2191122852246214E-2</v>
      </c>
      <c r="AT365" s="4" t="s">
        <v>4410</v>
      </c>
    </row>
    <row r="366" spans="1:46">
      <c r="A366" s="2">
        <v>1348</v>
      </c>
      <c r="B366" t="s">
        <v>4411</v>
      </c>
      <c r="C366" t="s">
        <v>381</v>
      </c>
      <c r="D366" t="s">
        <v>3785</v>
      </c>
      <c r="E366" s="4">
        <v>43465</v>
      </c>
      <c r="F366" s="11">
        <v>39.07261871</v>
      </c>
      <c r="G366" s="11">
        <v>64.930232559999993</v>
      </c>
      <c r="H366" s="11">
        <v>46.807544380400003</v>
      </c>
      <c r="I366" s="11">
        <v>39.130326432799997</v>
      </c>
      <c r="J366" s="11">
        <v>6.4304177770999997</v>
      </c>
      <c r="K366" s="10">
        <v>1.0425823314260001</v>
      </c>
      <c r="L366" s="12">
        <v>4975374786.1999998</v>
      </c>
      <c r="M366">
        <v>122.71698021612301</v>
      </c>
      <c r="N366" s="7">
        <v>4.1602016519861804</v>
      </c>
      <c r="O366" s="7">
        <v>2.7691566930284202</v>
      </c>
      <c r="P366" s="7">
        <v>-22.918621252287998</v>
      </c>
      <c r="Q366" s="7">
        <v>0.51546948877897758</v>
      </c>
      <c r="U366">
        <v>0.56865589967741936</v>
      </c>
      <c r="AT366" s="4" t="s">
        <v>4412</v>
      </c>
    </row>
    <row r="367" spans="1:46">
      <c r="A367" s="2">
        <v>1887</v>
      </c>
      <c r="B367" t="s">
        <v>4413</v>
      </c>
      <c r="C367" t="s">
        <v>356</v>
      </c>
      <c r="D367" t="s">
        <v>3713</v>
      </c>
      <c r="E367" s="4">
        <v>43465</v>
      </c>
      <c r="F367" s="11">
        <v>8.3074721700000005</v>
      </c>
      <c r="G367" s="11">
        <v>64.901960779999996</v>
      </c>
      <c r="H367" s="11">
        <v>9.5763232758000001</v>
      </c>
      <c r="I367" s="11">
        <v>36.668696085500002</v>
      </c>
      <c r="J367" s="11">
        <v>19.7709748487</v>
      </c>
      <c r="K367" s="10">
        <v>0.30808143008799999</v>
      </c>
      <c r="L367" s="12">
        <v>11834819252.52</v>
      </c>
      <c r="M367">
        <v>59.5389790724034</v>
      </c>
      <c r="N367" s="7">
        <v>3.3616164021923698</v>
      </c>
      <c r="O367" s="7">
        <v>7.9208797706604201</v>
      </c>
      <c r="P367" s="7">
        <v>-184.29739643867799</v>
      </c>
      <c r="Q367" s="7">
        <v>0.19866093012961683</v>
      </c>
      <c r="U367">
        <v>0.38187838211382114</v>
      </c>
      <c r="AT367" s="4" t="s">
        <v>3803</v>
      </c>
    </row>
    <row r="368" spans="1:46">
      <c r="A368" s="2">
        <v>3342</v>
      </c>
      <c r="B368" t="s">
        <v>4414</v>
      </c>
      <c r="C368" t="s">
        <v>1864</v>
      </c>
      <c r="D368" t="s">
        <v>3718</v>
      </c>
      <c r="E368" s="4">
        <v>43465</v>
      </c>
      <c r="F368" s="11">
        <v>33.918721400000003</v>
      </c>
      <c r="G368" s="11">
        <v>64.791666669999998</v>
      </c>
      <c r="H368" s="11">
        <v>27.993012807500001</v>
      </c>
      <c r="I368" s="11">
        <v>70.127964693199999</v>
      </c>
      <c r="J368" s="11">
        <v>14.930123850999999</v>
      </c>
      <c r="K368" s="10">
        <v>0.15129492690400001</v>
      </c>
      <c r="L368" s="12">
        <v>4635240000</v>
      </c>
      <c r="M368">
        <v>39.567294266789403</v>
      </c>
      <c r="N368" s="7">
        <v>1.5764401513811599</v>
      </c>
      <c r="O368" s="7">
        <v>2.7376115022791101</v>
      </c>
      <c r="P368" s="7">
        <v>-6.8203876106967298</v>
      </c>
      <c r="Q368" s="7" t="s">
        <v>3698</v>
      </c>
      <c r="U368">
        <v>-5.9320787759152886E-2</v>
      </c>
      <c r="AT368" s="4" t="s">
        <v>4140</v>
      </c>
    </row>
    <row r="369" spans="1:46">
      <c r="A369" s="2">
        <v>401</v>
      </c>
      <c r="B369" t="s">
        <v>4415</v>
      </c>
      <c r="C369" t="s">
        <v>287</v>
      </c>
      <c r="D369" t="s">
        <v>3785</v>
      </c>
      <c r="E369" s="4">
        <v>43465</v>
      </c>
      <c r="F369" s="11">
        <v>259.28314669999997</v>
      </c>
      <c r="G369" s="11">
        <v>64.722483539999999</v>
      </c>
      <c r="H369" s="11">
        <v>2.9021180174999999</v>
      </c>
      <c r="I369" s="11">
        <v>39.958820276099999</v>
      </c>
      <c r="J369" s="11">
        <v>6.0300487854</v>
      </c>
      <c r="K369" s="10">
        <v>0.63112744480100003</v>
      </c>
      <c r="L369" s="12">
        <v>4859120295.25</v>
      </c>
      <c r="M369">
        <v>28.969968971034302</v>
      </c>
      <c r="N369" s="7">
        <v>2.7158147559893102</v>
      </c>
      <c r="O369" s="7">
        <v>1.5052485920638301</v>
      </c>
      <c r="P369" s="7">
        <v>7.7961199390817102</v>
      </c>
      <c r="Q369" s="7">
        <v>0.23053869226363163</v>
      </c>
      <c r="U369">
        <v>1.3043620451373077</v>
      </c>
      <c r="AT369" s="4" t="s">
        <v>4416</v>
      </c>
    </row>
    <row r="370" spans="1:46">
      <c r="A370" s="2">
        <v>1649</v>
      </c>
      <c r="B370" t="s">
        <v>4417</v>
      </c>
      <c r="C370" t="s">
        <v>2383</v>
      </c>
      <c r="D370" t="s">
        <v>3769</v>
      </c>
      <c r="E370" s="4">
        <v>43465</v>
      </c>
      <c r="F370" s="11">
        <v>1.2565103099999999</v>
      </c>
      <c r="G370" s="11">
        <v>64.685908319999996</v>
      </c>
      <c r="H370" s="11">
        <v>40.889933299200003</v>
      </c>
      <c r="I370" s="11">
        <v>17.644978075600001</v>
      </c>
      <c r="J370" s="11">
        <v>-5.2372285408000003</v>
      </c>
      <c r="K370" s="10">
        <v>0.44231711812500002</v>
      </c>
      <c r="L370" s="12">
        <v>5291046082.3199997</v>
      </c>
      <c r="M370">
        <v>108.19982438303001</v>
      </c>
      <c r="N370" s="7">
        <v>1.83513287195196</v>
      </c>
      <c r="O370" s="7">
        <v>2.9976758153352998</v>
      </c>
      <c r="P370" s="7">
        <v>56.803477497663401</v>
      </c>
      <c r="Q370" s="7" t="s">
        <v>3698</v>
      </c>
      <c r="U370">
        <v>-9.943806452499844E-2</v>
      </c>
      <c r="AT370" s="4" t="s">
        <v>3726</v>
      </c>
    </row>
    <row r="371" spans="1:46">
      <c r="A371" s="2">
        <v>259</v>
      </c>
      <c r="B371" t="s">
        <v>4418</v>
      </c>
      <c r="C371" t="s">
        <v>2073</v>
      </c>
      <c r="D371" t="s">
        <v>3871</v>
      </c>
      <c r="E371" s="4">
        <v>43465</v>
      </c>
      <c r="F371" s="11">
        <v>9.9867860099999994</v>
      </c>
      <c r="G371" s="11">
        <v>64.547206169999995</v>
      </c>
      <c r="H371" s="11">
        <v>70.279736164100001</v>
      </c>
      <c r="I371" s="11">
        <v>26.058651881399999</v>
      </c>
      <c r="J371" s="11">
        <v>6.9175805244999999</v>
      </c>
      <c r="K371" s="10">
        <v>0.23694737036399999</v>
      </c>
      <c r="L371" s="12">
        <v>39076284980.519997</v>
      </c>
      <c r="M371">
        <v>7.5878171747410903</v>
      </c>
      <c r="N371" s="7">
        <v>1.16939114849829</v>
      </c>
      <c r="O371" s="7">
        <v>0.48231119976443898</v>
      </c>
      <c r="P371" s="7">
        <v>5.2364251637600399</v>
      </c>
      <c r="Q371" s="7">
        <v>0.81385913454919834</v>
      </c>
      <c r="U371">
        <v>0.74513704101921918</v>
      </c>
      <c r="AT371" s="4" t="s">
        <v>3869</v>
      </c>
    </row>
    <row r="372" spans="1:46">
      <c r="A372" s="2">
        <v>1840</v>
      </c>
      <c r="B372" t="s">
        <v>4419</v>
      </c>
      <c r="C372" t="s">
        <v>366</v>
      </c>
      <c r="D372" t="s">
        <v>3718</v>
      </c>
      <c r="E372" s="4">
        <v>43465</v>
      </c>
      <c r="F372" s="11">
        <v>-41.278103010000002</v>
      </c>
      <c r="G372" s="11">
        <v>64.521452150000002</v>
      </c>
      <c r="H372" s="11">
        <v>0.33138470590000002</v>
      </c>
      <c r="I372" s="11">
        <v>34.819565199300001</v>
      </c>
      <c r="J372" s="11">
        <v>8.9354150298999997</v>
      </c>
      <c r="K372" s="10">
        <v>0.80537050180400005</v>
      </c>
      <c r="L372" s="12">
        <v>7824865944.2399998</v>
      </c>
      <c r="M372">
        <v>13.111807860360599</v>
      </c>
      <c r="N372" s="7">
        <v>2.3134908258136901</v>
      </c>
      <c r="O372" s="7">
        <v>1.2642035373546401</v>
      </c>
      <c r="P372" s="7">
        <v>22.485160932034301</v>
      </c>
      <c r="Q372" s="7">
        <v>1.2594458438287155</v>
      </c>
      <c r="U372">
        <v>0.40588849127314813</v>
      </c>
      <c r="AT372" s="4" t="s">
        <v>3805</v>
      </c>
    </row>
    <row r="373" spans="1:46">
      <c r="A373" s="2">
        <v>2776</v>
      </c>
      <c r="B373" t="s">
        <v>4420</v>
      </c>
      <c r="C373" t="s">
        <v>321</v>
      </c>
      <c r="D373" t="s">
        <v>3721</v>
      </c>
      <c r="E373" s="4">
        <v>43465</v>
      </c>
      <c r="F373" s="11">
        <v>-25.44084119</v>
      </c>
      <c r="G373" s="11">
        <v>64.456233420000004</v>
      </c>
      <c r="H373" s="11">
        <v>-0.34968450169999998</v>
      </c>
      <c r="I373" s="11">
        <v>44.708266400699998</v>
      </c>
      <c r="J373" s="11">
        <v>33.834506322400003</v>
      </c>
      <c r="K373" s="10">
        <v>0.298589080871</v>
      </c>
      <c r="L373" s="12">
        <v>34437205277.5</v>
      </c>
      <c r="M373">
        <v>16.523609311667901</v>
      </c>
      <c r="N373" s="7">
        <v>2.1719909128949499</v>
      </c>
      <c r="O373" s="7">
        <v>5.4238163467228997</v>
      </c>
      <c r="P373" s="7">
        <v>-257.49954675697802</v>
      </c>
      <c r="Q373" s="7">
        <v>1.2026458208057726</v>
      </c>
      <c r="U373">
        <v>0.69393408389592892</v>
      </c>
      <c r="AT373" s="4" t="s">
        <v>4421</v>
      </c>
    </row>
    <row r="374" spans="1:46">
      <c r="A374" s="2">
        <v>3207</v>
      </c>
      <c r="B374" t="s">
        <v>4422</v>
      </c>
      <c r="C374" t="s">
        <v>1427</v>
      </c>
      <c r="D374" t="s">
        <v>4060</v>
      </c>
      <c r="E374" s="4">
        <v>43465</v>
      </c>
      <c r="F374" s="11">
        <v>-16.114015179999999</v>
      </c>
      <c r="G374" s="11">
        <v>64.425162689999993</v>
      </c>
      <c r="H374" s="11">
        <v>32.113638443699998</v>
      </c>
      <c r="I374" s="11">
        <v>28.8395788815</v>
      </c>
      <c r="J374" s="11">
        <v>-10.064421253200001</v>
      </c>
      <c r="K374" s="10">
        <v>0.71491624533200004</v>
      </c>
      <c r="L374" s="12">
        <v>4237920000</v>
      </c>
      <c r="M374">
        <v>17.7270989573978</v>
      </c>
      <c r="N374" s="7">
        <v>2.08660785841096</v>
      </c>
      <c r="O374" s="7">
        <v>0.88704582629803996</v>
      </c>
      <c r="P374" s="7">
        <v>-41.462689161865399</v>
      </c>
      <c r="Q374" s="7" t="s">
        <v>3698</v>
      </c>
      <c r="U374">
        <v>-1.1099370983406742</v>
      </c>
      <c r="AT374" s="4" t="s">
        <v>4423</v>
      </c>
    </row>
    <row r="375" spans="1:46">
      <c r="A375" s="2">
        <v>1508</v>
      </c>
      <c r="B375" t="s">
        <v>4424</v>
      </c>
      <c r="C375" t="s">
        <v>3010</v>
      </c>
      <c r="D375" t="s">
        <v>3721</v>
      </c>
      <c r="E375" s="4">
        <v>43465</v>
      </c>
      <c r="F375" s="11">
        <v>-47.430830039999996</v>
      </c>
      <c r="G375" s="11">
        <v>64.406779659999998</v>
      </c>
      <c r="H375" s="11">
        <v>-14.251303948</v>
      </c>
      <c r="I375" s="11">
        <v>12.5411865646</v>
      </c>
      <c r="J375" s="11">
        <v>-52.082104538099998</v>
      </c>
      <c r="K375" s="10">
        <v>0.56182181933999997</v>
      </c>
      <c r="L375" s="12">
        <v>74879881678.080002</v>
      </c>
      <c r="M375">
        <v>-41.0389770601032</v>
      </c>
      <c r="N375" s="7">
        <v>3.1250371984553298</v>
      </c>
      <c r="O375" s="7">
        <v>0.57077083169471199</v>
      </c>
      <c r="P375" s="7">
        <v>-13.739931174721001</v>
      </c>
      <c r="Q375" s="7" t="s">
        <v>3698</v>
      </c>
      <c r="U375">
        <v>-2.001578760099648</v>
      </c>
      <c r="AT375" s="4" t="s">
        <v>4425</v>
      </c>
    </row>
    <row r="376" spans="1:46">
      <c r="A376" s="2">
        <v>1576</v>
      </c>
      <c r="B376" t="s">
        <v>4426</v>
      </c>
      <c r="C376" t="s">
        <v>2076</v>
      </c>
      <c r="D376" t="s">
        <v>3718</v>
      </c>
      <c r="E376" s="4">
        <v>43465</v>
      </c>
      <c r="F376" s="11">
        <v>18.427532459999998</v>
      </c>
      <c r="G376" s="11">
        <v>64.326375709999994</v>
      </c>
      <c r="H376" s="11">
        <v>15.8400716897</v>
      </c>
      <c r="I376" s="11">
        <v>25.082366816699999</v>
      </c>
      <c r="J376" s="11">
        <v>8.0181756123000003</v>
      </c>
      <c r="K376" s="10">
        <v>0.68961160263800003</v>
      </c>
      <c r="L376" s="12">
        <v>6050901564.8900003</v>
      </c>
      <c r="M376">
        <v>55.506759250914698</v>
      </c>
      <c r="N376" s="7">
        <v>3.04653024057962</v>
      </c>
      <c r="O376" s="7">
        <v>3.9232463522796901</v>
      </c>
      <c r="P376" s="7">
        <v>-601.24380040090296</v>
      </c>
      <c r="Q376" s="7">
        <v>0.72753333333333337</v>
      </c>
      <c r="U376">
        <v>0.11312447936318408</v>
      </c>
      <c r="AT376" s="4" t="s">
        <v>4427</v>
      </c>
    </row>
    <row r="377" spans="1:46">
      <c r="A377" s="2">
        <v>884</v>
      </c>
      <c r="B377" t="s">
        <v>4428</v>
      </c>
      <c r="C377" t="s">
        <v>1336</v>
      </c>
      <c r="D377" t="s">
        <v>3713</v>
      </c>
      <c r="E377" s="4">
        <v>43465</v>
      </c>
      <c r="F377" s="11">
        <v>23.82954342</v>
      </c>
      <c r="G377" s="11">
        <v>64.298561149999998</v>
      </c>
      <c r="H377" s="11">
        <v>35.351629812500001</v>
      </c>
      <c r="I377" s="11">
        <v>32.8728750561</v>
      </c>
      <c r="J377" s="11">
        <v>12.2666272205</v>
      </c>
      <c r="K377" s="10">
        <v>0.719927086291</v>
      </c>
      <c r="L377" s="12">
        <v>5709438901.3199997</v>
      </c>
      <c r="M377">
        <v>34.914545783300397</v>
      </c>
      <c r="N377" s="7">
        <v>3.5840622615718698</v>
      </c>
      <c r="O377" s="7">
        <v>4.5236391960002802</v>
      </c>
      <c r="P377" s="7">
        <v>-54.677955000494997</v>
      </c>
      <c r="Q377" s="7">
        <v>0.32777115613825986</v>
      </c>
      <c r="U377">
        <v>0.51298342881886327</v>
      </c>
      <c r="AT377" s="4" t="s">
        <v>4429</v>
      </c>
    </row>
    <row r="378" spans="1:46">
      <c r="A378" s="2">
        <v>800</v>
      </c>
      <c r="B378" t="s">
        <v>4430</v>
      </c>
      <c r="C378" t="s">
        <v>3546</v>
      </c>
      <c r="D378" t="s">
        <v>3721</v>
      </c>
      <c r="E378" s="4">
        <v>43465</v>
      </c>
      <c r="F378" s="11">
        <v>-30.907534250000001</v>
      </c>
      <c r="G378" s="11">
        <v>64.271047229999994</v>
      </c>
      <c r="H378" s="11">
        <v>-19.099446418500001</v>
      </c>
      <c r="I378" s="11">
        <v>3.0072877093999999</v>
      </c>
      <c r="J378" s="11">
        <v>-47.5830755928</v>
      </c>
      <c r="K378" s="10">
        <v>0.48642363925600002</v>
      </c>
      <c r="L378" s="12">
        <v>4301400000</v>
      </c>
      <c r="M378">
        <v>-11.643037293565699</v>
      </c>
      <c r="N378" s="7">
        <v>4.3090096742503903</v>
      </c>
      <c r="O378" s="7">
        <v>4.2022185344668097</v>
      </c>
      <c r="P378" s="7">
        <v>62.4024347497745</v>
      </c>
      <c r="Q378" s="7" t="s">
        <v>3698</v>
      </c>
      <c r="U378">
        <v>-0.55064548292742987</v>
      </c>
      <c r="AT378" s="4" t="s">
        <v>3744</v>
      </c>
    </row>
    <row r="379" spans="1:46">
      <c r="A379" s="2">
        <v>1949</v>
      </c>
      <c r="B379" t="s">
        <v>4431</v>
      </c>
      <c r="C379" t="s">
        <v>3553</v>
      </c>
      <c r="D379" t="s">
        <v>3713</v>
      </c>
      <c r="E379" s="4">
        <v>43465</v>
      </c>
      <c r="F379" s="11">
        <v>155.95410009</v>
      </c>
      <c r="G379" s="11">
        <v>64.23757372</v>
      </c>
      <c r="H379" s="11">
        <v>80.260231622999996</v>
      </c>
      <c r="I379" s="11">
        <v>64.539181892399995</v>
      </c>
      <c r="J379" s="11">
        <v>17.516937715000001</v>
      </c>
      <c r="K379" s="10">
        <v>0.59638819661300002</v>
      </c>
      <c r="L379" s="12">
        <v>26897996741</v>
      </c>
      <c r="M379">
        <v>71.665927384904506</v>
      </c>
      <c r="N379" s="7">
        <v>8.6882979928910107</v>
      </c>
      <c r="O379" s="7">
        <v>7.5981085906230499</v>
      </c>
      <c r="P379" s="7">
        <v>-26.422331334611599</v>
      </c>
      <c r="Q379" s="7">
        <v>0.36976437240333954</v>
      </c>
      <c r="U379">
        <v>0.65837596122990527</v>
      </c>
      <c r="AT379" s="4" t="s">
        <v>4432</v>
      </c>
    </row>
    <row r="380" spans="1:46">
      <c r="A380" s="2">
        <v>748</v>
      </c>
      <c r="B380" t="s">
        <v>4433</v>
      </c>
      <c r="C380" t="s">
        <v>867</v>
      </c>
      <c r="D380" t="s">
        <v>3769</v>
      </c>
      <c r="E380" s="4">
        <v>43465</v>
      </c>
      <c r="F380" s="11">
        <v>33.540127849999998</v>
      </c>
      <c r="G380" s="11">
        <v>64.200477329999998</v>
      </c>
      <c r="H380" s="11">
        <v>7.2078393284000004</v>
      </c>
      <c r="I380" s="11">
        <v>7.0184365622999998</v>
      </c>
      <c r="J380" s="11">
        <v>1.8483446823</v>
      </c>
      <c r="K380" s="10">
        <v>1.522495661489</v>
      </c>
      <c r="L380" s="12">
        <v>2261647625.3099999</v>
      </c>
      <c r="M380">
        <v>16.543183371333601</v>
      </c>
      <c r="N380" s="7">
        <v>1.7511583263144701</v>
      </c>
      <c r="O380" s="7">
        <v>0.42106167103551001</v>
      </c>
      <c r="P380" s="7">
        <v>35.386165487709903</v>
      </c>
      <c r="Q380" s="7" t="s">
        <v>3698</v>
      </c>
      <c r="U380">
        <v>0.44570325608523725</v>
      </c>
      <c r="AT380" s="4" t="s">
        <v>4256</v>
      </c>
    </row>
    <row r="381" spans="1:46">
      <c r="A381" s="2">
        <v>3225</v>
      </c>
      <c r="B381" t="s">
        <v>4434</v>
      </c>
      <c r="C381" t="s">
        <v>2554</v>
      </c>
      <c r="D381" t="s">
        <v>3858</v>
      </c>
      <c r="E381" s="4">
        <v>43465</v>
      </c>
      <c r="F381" s="11">
        <v>15.003472289999999</v>
      </c>
      <c r="G381" s="11">
        <v>64.197530860000001</v>
      </c>
      <c r="H381" s="11">
        <v>-1.3275930886</v>
      </c>
      <c r="I381" s="11">
        <v>19.368644098800001</v>
      </c>
      <c r="J381" s="11">
        <v>3.0896023918000002</v>
      </c>
      <c r="K381" s="10">
        <v>0.56808470999500005</v>
      </c>
      <c r="L381" s="12">
        <v>8267949968.8999996</v>
      </c>
      <c r="M381">
        <v>208.03034035312601</v>
      </c>
      <c r="N381" s="7">
        <v>2.3023990558961702</v>
      </c>
      <c r="O381" s="7">
        <v>2.54969853709839</v>
      </c>
      <c r="P381" s="7">
        <v>63.715321246817297</v>
      </c>
      <c r="Q381" s="7">
        <v>0.21988527724665394</v>
      </c>
      <c r="U381">
        <v>7.6591061775362332E-2</v>
      </c>
      <c r="AT381" s="4" t="s">
        <v>4435</v>
      </c>
    </row>
    <row r="382" spans="1:46">
      <c r="A382" s="2">
        <v>640</v>
      </c>
      <c r="B382" t="s">
        <v>4436</v>
      </c>
      <c r="C382" t="s">
        <v>2191</v>
      </c>
      <c r="D382" t="s">
        <v>3761</v>
      </c>
      <c r="E382" s="4">
        <v>43465</v>
      </c>
      <c r="F382" s="11">
        <v>3.3814837299999998</v>
      </c>
      <c r="G382" s="11">
        <v>64.177040109999993</v>
      </c>
      <c r="H382" s="11">
        <v>42.632196703799998</v>
      </c>
      <c r="I382" s="11">
        <v>17.3521753978</v>
      </c>
      <c r="J382" s="11">
        <v>5.7359623622000004</v>
      </c>
      <c r="K382" s="10">
        <v>0.37326966775600001</v>
      </c>
      <c r="L382" s="12">
        <v>12782016000</v>
      </c>
      <c r="M382">
        <v>55.310042046883098</v>
      </c>
      <c r="N382" s="7">
        <v>1.63127961019467</v>
      </c>
      <c r="O382" s="7">
        <v>1.6715085756464301</v>
      </c>
      <c r="P382" s="7">
        <v>-30.2736998996978</v>
      </c>
      <c r="Q382" s="7">
        <v>0.29673590504451042</v>
      </c>
      <c r="U382">
        <v>0.22700944203647261</v>
      </c>
      <c r="AT382" s="4" t="s">
        <v>4437</v>
      </c>
    </row>
    <row r="383" spans="1:46">
      <c r="A383" s="2">
        <v>3187</v>
      </c>
      <c r="B383" t="s">
        <v>4438</v>
      </c>
      <c r="C383" t="s">
        <v>1046</v>
      </c>
      <c r="D383" t="s">
        <v>3752</v>
      </c>
      <c r="E383" s="4">
        <v>43465</v>
      </c>
      <c r="F383" s="11">
        <v>35.696561860000003</v>
      </c>
      <c r="G383" s="11">
        <v>63.809523810000002</v>
      </c>
      <c r="H383" s="11">
        <v>9.9403897834000006</v>
      </c>
      <c r="I383" s="11">
        <v>23.7034421802</v>
      </c>
      <c r="J383" s="11">
        <v>7.7205024066999997</v>
      </c>
      <c r="K383" s="10">
        <v>0.67736903294200002</v>
      </c>
      <c r="L383" s="12">
        <v>2609856000</v>
      </c>
      <c r="M383">
        <v>14.027869367378001</v>
      </c>
      <c r="N383" s="7">
        <v>1.68224096960278</v>
      </c>
      <c r="O383" s="7">
        <v>1.1183350258914699</v>
      </c>
      <c r="P383" s="7">
        <v>12.6256504764419</v>
      </c>
      <c r="Q383" s="7">
        <v>1.4619855616743715</v>
      </c>
      <c r="U383">
        <v>0.98434435783452379</v>
      </c>
      <c r="AT383" s="4" t="s">
        <v>4439</v>
      </c>
    </row>
    <row r="384" spans="1:46">
      <c r="A384" s="2">
        <v>1700</v>
      </c>
      <c r="B384" t="s">
        <v>4440</v>
      </c>
      <c r="C384" t="s">
        <v>2460</v>
      </c>
      <c r="D384" t="s">
        <v>3721</v>
      </c>
      <c r="E384" s="4">
        <v>43465</v>
      </c>
      <c r="F384" s="11">
        <v>-12.136266859999999</v>
      </c>
      <c r="G384" s="11">
        <v>63.793103449999997</v>
      </c>
      <c r="H384" s="11">
        <v>-18.763076714</v>
      </c>
      <c r="I384" s="11">
        <v>42.442244127000002</v>
      </c>
      <c r="J384" s="11">
        <v>-23.263914002100002</v>
      </c>
      <c r="K384" s="10">
        <v>0.23420911682199999</v>
      </c>
      <c r="L384" s="12">
        <v>32892697946.130001</v>
      </c>
      <c r="M384">
        <v>89.195108785547404</v>
      </c>
      <c r="N384" s="7">
        <v>2.6154758055504201</v>
      </c>
      <c r="O384" s="7">
        <v>7.2064213784255804</v>
      </c>
      <c r="P384" s="7">
        <v>-7.78881507197665</v>
      </c>
      <c r="Q384" s="7" t="s">
        <v>3698</v>
      </c>
      <c r="U384">
        <v>-0.36298956658306752</v>
      </c>
      <c r="AT384" s="4" t="s">
        <v>4441</v>
      </c>
    </row>
    <row r="385" spans="1:46">
      <c r="A385" s="2">
        <v>2666</v>
      </c>
      <c r="B385" t="s">
        <v>4442</v>
      </c>
      <c r="C385" t="s">
        <v>3520</v>
      </c>
      <c r="D385" t="s">
        <v>3832</v>
      </c>
      <c r="E385" s="4">
        <v>43465</v>
      </c>
      <c r="F385" s="11">
        <v>119.33669922999999</v>
      </c>
      <c r="G385" s="11">
        <v>63.684409209999998</v>
      </c>
      <c r="H385" s="11">
        <v>0.83953042249999998</v>
      </c>
      <c r="I385" s="11">
        <v>66.014451833300001</v>
      </c>
      <c r="J385" s="11">
        <v>15.278402312900001</v>
      </c>
      <c r="K385" s="10">
        <v>0.234971709631</v>
      </c>
      <c r="L385" s="12">
        <v>27516272889.93</v>
      </c>
      <c r="M385">
        <v>63.894447952231502</v>
      </c>
      <c r="N385" s="7">
        <v>6.7618750468668498</v>
      </c>
      <c r="O385" s="7">
        <v>9.7730631911970498</v>
      </c>
      <c r="P385" s="7">
        <v>-158.76361963385401</v>
      </c>
      <c r="Q385" s="7" t="s">
        <v>3698</v>
      </c>
      <c r="U385">
        <v>0.44764026234472049</v>
      </c>
      <c r="AT385" s="4" t="s">
        <v>4443</v>
      </c>
    </row>
    <row r="386" spans="1:46">
      <c r="A386" s="2">
        <v>1880</v>
      </c>
      <c r="B386" t="s">
        <v>4444</v>
      </c>
      <c r="C386" t="s">
        <v>1497</v>
      </c>
      <c r="D386" t="s">
        <v>3713</v>
      </c>
      <c r="E386" s="4">
        <v>43465</v>
      </c>
      <c r="F386" s="11">
        <v>17.904306309999999</v>
      </c>
      <c r="G386" s="11">
        <v>63.68</v>
      </c>
      <c r="H386" s="11">
        <v>5.9156526739000004</v>
      </c>
      <c r="I386" s="11">
        <v>40.717994517400001</v>
      </c>
      <c r="J386" s="11">
        <v>24.222199403200001</v>
      </c>
      <c r="K386" s="10">
        <v>0.37181718824100002</v>
      </c>
      <c r="L386" s="12">
        <v>2081251320</v>
      </c>
      <c r="M386">
        <v>47.183720707347099</v>
      </c>
      <c r="N386" s="7">
        <v>4.26440342727554</v>
      </c>
      <c r="O386" s="7">
        <v>10.243759442182901</v>
      </c>
      <c r="P386" s="7">
        <v>-26.430670475718902</v>
      </c>
      <c r="Q386" s="7">
        <v>0.46877818059377213</v>
      </c>
      <c r="U386">
        <v>0.14846403938383046</v>
      </c>
      <c r="AT386" s="4" t="s">
        <v>4038</v>
      </c>
    </row>
    <row r="387" spans="1:46">
      <c r="A387" s="2">
        <v>1138</v>
      </c>
      <c r="B387" t="s">
        <v>4445</v>
      </c>
      <c r="C387" t="s">
        <v>2643</v>
      </c>
      <c r="D387" t="s">
        <v>3972</v>
      </c>
      <c r="E387" s="4">
        <v>43465</v>
      </c>
      <c r="F387" s="11">
        <v>-5.3398366099999999</v>
      </c>
      <c r="G387" s="11">
        <v>63.536776209999999</v>
      </c>
      <c r="H387" s="11">
        <v>-1.9895080410999999</v>
      </c>
      <c r="I387" s="11">
        <v>13.221468184200001</v>
      </c>
      <c r="J387" s="11">
        <v>4.9834700855999996</v>
      </c>
      <c r="K387" s="10">
        <v>0.54686054796100003</v>
      </c>
      <c r="L387" s="12">
        <v>5597648000</v>
      </c>
      <c r="M387">
        <v>38.6215970424172</v>
      </c>
      <c r="N387" s="7">
        <v>0.97309975425831297</v>
      </c>
      <c r="O387" s="7">
        <v>0.96215885884161101</v>
      </c>
      <c r="P387" s="7">
        <v>-3.15814031015459</v>
      </c>
      <c r="Q387" s="7">
        <v>1.5051898668475328</v>
      </c>
      <c r="U387">
        <v>0.30181511499027186</v>
      </c>
      <c r="AT387" s="4" t="s">
        <v>4446</v>
      </c>
    </row>
    <row r="388" spans="1:46">
      <c r="A388" s="2">
        <v>1445</v>
      </c>
      <c r="B388" t="s">
        <v>4447</v>
      </c>
      <c r="C388" t="s">
        <v>3226</v>
      </c>
      <c r="D388" t="s">
        <v>3752</v>
      </c>
      <c r="E388" s="4">
        <v>43465</v>
      </c>
      <c r="F388" s="11">
        <v>2.1765109300000001</v>
      </c>
      <c r="G388" s="11">
        <v>63.484087100000004</v>
      </c>
      <c r="H388" s="11">
        <v>19.546331368600001</v>
      </c>
      <c r="I388" s="11">
        <v>24.466409460000001</v>
      </c>
      <c r="J388" s="11">
        <v>7.4828710252999997</v>
      </c>
      <c r="K388" s="10">
        <v>0.87276615515800005</v>
      </c>
      <c r="L388" s="12">
        <v>7227923115.5200005</v>
      </c>
      <c r="M388">
        <v>67.837373243131694</v>
      </c>
      <c r="N388" s="7">
        <v>2.62068067033865</v>
      </c>
      <c r="O388" s="7">
        <v>2.4187116709184502</v>
      </c>
      <c r="P388" s="7">
        <v>-83.743876836682801</v>
      </c>
      <c r="Q388" s="7" t="s">
        <v>3698</v>
      </c>
      <c r="U388">
        <v>0.19683011125552413</v>
      </c>
      <c r="AT388" s="4" t="s">
        <v>3770</v>
      </c>
    </row>
    <row r="389" spans="1:46">
      <c r="A389" s="2">
        <v>2225</v>
      </c>
      <c r="B389" t="s">
        <v>4448</v>
      </c>
      <c r="C389" t="s">
        <v>3001</v>
      </c>
      <c r="D389" t="s">
        <v>3752</v>
      </c>
      <c r="E389" s="4">
        <v>43465</v>
      </c>
      <c r="F389" s="11">
        <v>-1.2874436899999999</v>
      </c>
      <c r="G389" s="11">
        <v>63.406940059999997</v>
      </c>
      <c r="H389" s="11">
        <v>5.1620550212999996</v>
      </c>
      <c r="I389" s="11">
        <v>16.263734660600001</v>
      </c>
      <c r="J389" s="11">
        <v>2.4746412189</v>
      </c>
      <c r="K389" s="10">
        <v>0.39145891155099999</v>
      </c>
      <c r="L389" s="12">
        <v>3363416987.1100001</v>
      </c>
      <c r="M389">
        <v>-65.617277202389602</v>
      </c>
      <c r="N389" s="7">
        <v>1.2525909023086901</v>
      </c>
      <c r="O389" s="7">
        <v>0.70741972884311199</v>
      </c>
      <c r="P389" s="7">
        <v>2.5380489635624</v>
      </c>
      <c r="Q389" s="7">
        <v>0.21008403361344538</v>
      </c>
      <c r="U389">
        <v>2.9179568388630395E-2</v>
      </c>
      <c r="AT389" s="4" t="s">
        <v>4449</v>
      </c>
    </row>
    <row r="390" spans="1:46">
      <c r="A390" s="2">
        <v>1899</v>
      </c>
      <c r="B390" t="s">
        <v>4450</v>
      </c>
      <c r="C390" t="s">
        <v>1872</v>
      </c>
      <c r="D390" t="s">
        <v>3721</v>
      </c>
      <c r="E390" s="4">
        <v>43465</v>
      </c>
      <c r="F390" s="11">
        <v>9.4238905099999997</v>
      </c>
      <c r="G390" s="11">
        <v>63.27433628</v>
      </c>
      <c r="H390" s="11">
        <v>29.705534657699999</v>
      </c>
      <c r="I390" s="11">
        <v>76.517716242199995</v>
      </c>
      <c r="J390" s="11">
        <v>35.820910043399998</v>
      </c>
      <c r="K390" s="10">
        <v>0.222567327038</v>
      </c>
      <c r="L390" s="12">
        <v>3348727744.1199999</v>
      </c>
      <c r="M390">
        <v>101.095747234933</v>
      </c>
      <c r="N390" s="7">
        <v>4.9288540249567996</v>
      </c>
      <c r="O390" s="7">
        <v>30.9255289017397</v>
      </c>
      <c r="P390" s="7">
        <v>-239.96998676430201</v>
      </c>
      <c r="Q390" s="7">
        <v>0.31592798062805449</v>
      </c>
      <c r="U390">
        <v>0.47207884076374851</v>
      </c>
      <c r="AT390" s="4" t="s">
        <v>4435</v>
      </c>
    </row>
    <row r="391" spans="1:46">
      <c r="A391" s="2">
        <v>2548</v>
      </c>
      <c r="B391" t="s">
        <v>4451</v>
      </c>
      <c r="C391" t="s">
        <v>3239</v>
      </c>
      <c r="D391" t="s">
        <v>3769</v>
      </c>
      <c r="E391" s="4">
        <v>43465</v>
      </c>
      <c r="F391" s="11">
        <v>3.7046915399999998</v>
      </c>
      <c r="G391" s="11">
        <v>63.22067594</v>
      </c>
      <c r="H391" s="11">
        <v>18.558052057299999</v>
      </c>
      <c r="I391" s="11">
        <v>19.840044176199999</v>
      </c>
      <c r="J391" s="11">
        <v>4.8249449364999997</v>
      </c>
      <c r="K391" s="10">
        <v>0.48114963586699999</v>
      </c>
      <c r="L391" s="12">
        <v>3418875962.7600002</v>
      </c>
      <c r="M391">
        <v>58.861006813984901</v>
      </c>
      <c r="N391" s="7">
        <v>1.8317558588648899</v>
      </c>
      <c r="O391" s="7">
        <v>1.88447849500547</v>
      </c>
      <c r="P391" s="7">
        <v>55.201592085031699</v>
      </c>
      <c r="Q391" s="7">
        <v>0.45146726862302478</v>
      </c>
      <c r="U391">
        <v>0.32791882250897531</v>
      </c>
      <c r="AT391" s="4" t="s">
        <v>4452</v>
      </c>
    </row>
    <row r="392" spans="1:46">
      <c r="A392" s="2">
        <v>2148</v>
      </c>
      <c r="B392" t="s">
        <v>4453</v>
      </c>
      <c r="C392" t="s">
        <v>2235</v>
      </c>
      <c r="D392" t="s">
        <v>3721</v>
      </c>
      <c r="E392" s="4">
        <v>43465</v>
      </c>
      <c r="F392" s="11">
        <v>141.27934791000001</v>
      </c>
      <c r="G392" s="11">
        <v>63.078848559999997</v>
      </c>
      <c r="H392" s="11">
        <v>25.4275208611</v>
      </c>
      <c r="I392" s="11">
        <v>31.911540844200001</v>
      </c>
      <c r="J392" s="11">
        <v>17.1335366705</v>
      </c>
      <c r="K392" s="10">
        <v>0.80063296320599997</v>
      </c>
      <c r="L392" s="12">
        <v>17648580189.720001</v>
      </c>
      <c r="M392">
        <v>30.7834161017499</v>
      </c>
      <c r="N392" s="7">
        <v>3.1254805941828501</v>
      </c>
      <c r="O392" s="7">
        <v>4.0076880984573</v>
      </c>
      <c r="P392" s="7">
        <v>68.207048257697807</v>
      </c>
      <c r="Q392" s="7">
        <v>0.86592581902150378</v>
      </c>
      <c r="U392">
        <v>0.7706052875267847</v>
      </c>
      <c r="AT392" s="4" t="s">
        <v>4454</v>
      </c>
    </row>
    <row r="393" spans="1:46">
      <c r="A393" s="2">
        <v>2291</v>
      </c>
      <c r="B393" t="s">
        <v>4455</v>
      </c>
      <c r="C393" t="s">
        <v>2641</v>
      </c>
      <c r="D393" t="s">
        <v>4046</v>
      </c>
      <c r="E393" s="4">
        <v>43465</v>
      </c>
      <c r="F393" s="11">
        <v>-11.308875929999999</v>
      </c>
      <c r="G393" s="11">
        <v>62.909367860000003</v>
      </c>
      <c r="H393" s="11">
        <v>1.3133103329</v>
      </c>
      <c r="I393" s="11">
        <v>13.3224250548</v>
      </c>
      <c r="J393" s="11">
        <v>3.5880240176</v>
      </c>
      <c r="K393" s="10">
        <v>0.34653400150699998</v>
      </c>
      <c r="L393" s="12">
        <v>10451153853</v>
      </c>
      <c r="M393">
        <v>-6.4944806683944902</v>
      </c>
      <c r="N393" s="7">
        <v>1.19870926505046</v>
      </c>
      <c r="O393" s="7">
        <v>1.1584752223738299</v>
      </c>
      <c r="P393" s="7">
        <v>-9.4876141722778407</v>
      </c>
      <c r="Q393" s="7">
        <v>0.53154495777446598</v>
      </c>
      <c r="U393">
        <v>0.3549866545278671</v>
      </c>
      <c r="AT393" s="4" t="s">
        <v>4456</v>
      </c>
    </row>
    <row r="394" spans="1:46">
      <c r="A394" s="2">
        <v>1090</v>
      </c>
      <c r="B394" t="s">
        <v>4457</v>
      </c>
      <c r="C394" t="s">
        <v>1804</v>
      </c>
      <c r="D394" t="s">
        <v>3721</v>
      </c>
      <c r="E394" s="4">
        <v>43465</v>
      </c>
      <c r="F394" s="11">
        <v>39.487939740000002</v>
      </c>
      <c r="G394" s="11">
        <v>62.863795109999998</v>
      </c>
      <c r="H394" s="11">
        <v>63.6089359562</v>
      </c>
      <c r="I394" s="11">
        <v>20.479437711100001</v>
      </c>
      <c r="J394" s="11">
        <v>5.3122060035000001</v>
      </c>
      <c r="K394" s="10">
        <v>0.79144334096900004</v>
      </c>
      <c r="L394" s="12">
        <v>12025070720</v>
      </c>
      <c r="M394">
        <v>48.867547762279301</v>
      </c>
      <c r="N394" s="7">
        <v>3.6323393277080198</v>
      </c>
      <c r="O394" s="7">
        <v>2.09537842755172</v>
      </c>
      <c r="P394" s="7">
        <v>31.718621417293001</v>
      </c>
      <c r="Q394" s="7">
        <v>0.84433739711951683</v>
      </c>
      <c r="U394">
        <v>0.21878734408733685</v>
      </c>
      <c r="AT394" s="4" t="s">
        <v>4458</v>
      </c>
    </row>
    <row r="395" spans="1:46">
      <c r="A395" s="2">
        <v>3064</v>
      </c>
      <c r="B395" t="s">
        <v>4459</v>
      </c>
      <c r="C395" t="s">
        <v>1584</v>
      </c>
      <c r="D395" t="s">
        <v>3871</v>
      </c>
      <c r="E395" s="4">
        <v>43465</v>
      </c>
      <c r="F395" s="11">
        <v>41.202360259999999</v>
      </c>
      <c r="G395" s="11">
        <v>62.769100889999997</v>
      </c>
      <c r="H395" s="11">
        <v>33.577782145100002</v>
      </c>
      <c r="I395" s="11">
        <v>36.687325274300001</v>
      </c>
      <c r="J395" s="11">
        <v>22.553230795400001</v>
      </c>
      <c r="K395" s="10">
        <v>0.210698956677</v>
      </c>
      <c r="L395" s="12">
        <v>29987838932.48</v>
      </c>
      <c r="M395">
        <v>9.2673466552912007</v>
      </c>
      <c r="N395" s="7">
        <v>1.8126760146092999</v>
      </c>
      <c r="O395" s="7">
        <v>1.1031202715972199</v>
      </c>
      <c r="P395" s="7">
        <v>3.5042282282168</v>
      </c>
      <c r="Q395" s="7">
        <v>4.5941807044410412</v>
      </c>
      <c r="U395">
        <v>4.6489005311701836</v>
      </c>
      <c r="AT395" s="4" t="s">
        <v>4460</v>
      </c>
    </row>
    <row r="396" spans="1:46">
      <c r="A396" s="2">
        <v>2740</v>
      </c>
      <c r="B396" t="s">
        <v>4461</v>
      </c>
      <c r="C396" t="s">
        <v>1957</v>
      </c>
      <c r="D396" t="s">
        <v>3858</v>
      </c>
      <c r="E396" s="4">
        <v>43465</v>
      </c>
      <c r="F396" s="11">
        <v>-6.47799295</v>
      </c>
      <c r="G396" s="11">
        <v>62.426614479999998</v>
      </c>
      <c r="H396" s="11">
        <v>30.066483852800001</v>
      </c>
      <c r="I396" s="11">
        <v>13.252895107700001</v>
      </c>
      <c r="J396" s="11">
        <v>4.3104037817999998</v>
      </c>
      <c r="K396" s="10">
        <v>0.90177181744000001</v>
      </c>
      <c r="L396" s="12">
        <v>5186197785.6000004</v>
      </c>
      <c r="M396">
        <v>22.597140306152198</v>
      </c>
      <c r="N396" s="7">
        <v>1.8353660714562801</v>
      </c>
      <c r="O396" s="7">
        <v>0.71963010388605497</v>
      </c>
      <c r="P396" s="7">
        <v>19.971906329823799</v>
      </c>
      <c r="Q396" s="7">
        <v>1.9571428571428573</v>
      </c>
      <c r="U396">
        <v>0.27201964903949905</v>
      </c>
      <c r="AT396" s="4" t="s">
        <v>4462</v>
      </c>
    </row>
    <row r="397" spans="1:46">
      <c r="A397" s="2">
        <v>1684</v>
      </c>
      <c r="B397" t="s">
        <v>4463</v>
      </c>
      <c r="C397" t="s">
        <v>2262</v>
      </c>
      <c r="D397" t="s">
        <v>3718</v>
      </c>
      <c r="E397" s="4">
        <v>43465</v>
      </c>
      <c r="F397" s="11">
        <v>1.6860583600000001</v>
      </c>
      <c r="G397" s="11">
        <v>62.31884058</v>
      </c>
      <c r="H397" s="11">
        <v>14.816160634599999</v>
      </c>
      <c r="I397" s="11">
        <v>49.8670048683</v>
      </c>
      <c r="J397" s="11">
        <v>18.352484419100001</v>
      </c>
      <c r="K397" s="10">
        <v>0.358328908833</v>
      </c>
      <c r="L397" s="12">
        <v>87380360481.919998</v>
      </c>
      <c r="M397">
        <v>23.9652883968281</v>
      </c>
      <c r="N397" s="7">
        <v>1.76558227526325</v>
      </c>
      <c r="O397" s="7">
        <v>3.95091832248163</v>
      </c>
      <c r="P397" s="7">
        <v>-17.822563498527501</v>
      </c>
      <c r="Q397" s="7">
        <v>0.27932960893854747</v>
      </c>
      <c r="U397">
        <v>0.12682157299699917</v>
      </c>
      <c r="AT397" s="4" t="s">
        <v>4464</v>
      </c>
    </row>
    <row r="398" spans="1:46">
      <c r="A398" s="2">
        <v>1831</v>
      </c>
      <c r="B398" t="s">
        <v>4465</v>
      </c>
      <c r="C398" t="s">
        <v>559</v>
      </c>
      <c r="D398" t="s">
        <v>3737</v>
      </c>
      <c r="E398" s="4">
        <v>43465</v>
      </c>
      <c r="F398" s="11">
        <v>10.28775469</v>
      </c>
      <c r="G398" s="11">
        <v>62.156663279999997</v>
      </c>
      <c r="H398" s="11">
        <v>11.508489465</v>
      </c>
      <c r="I398" s="11">
        <v>68.709801793799997</v>
      </c>
      <c r="J398" s="11">
        <v>38.836702094899998</v>
      </c>
      <c r="K398" s="10">
        <v>0.42497541494699997</v>
      </c>
      <c r="L398" s="12">
        <v>17081202343.58</v>
      </c>
      <c r="M398">
        <v>18.023280347424102</v>
      </c>
      <c r="N398" s="7">
        <v>3.4726637793487001</v>
      </c>
      <c r="O398" s="7">
        <v>6.5373779714612503</v>
      </c>
      <c r="P398" s="7">
        <v>-218.776274290391</v>
      </c>
      <c r="Q398" s="7">
        <v>0.87209302325581395</v>
      </c>
      <c r="U398">
        <v>0.59918793491217859</v>
      </c>
      <c r="AT398" s="4" t="s">
        <v>4466</v>
      </c>
    </row>
    <row r="399" spans="1:46">
      <c r="A399" s="2">
        <v>2405</v>
      </c>
      <c r="B399" t="s">
        <v>4467</v>
      </c>
      <c r="C399" t="s">
        <v>205</v>
      </c>
      <c r="D399" t="s">
        <v>3737</v>
      </c>
      <c r="E399" s="4">
        <v>43465</v>
      </c>
      <c r="F399" s="11">
        <v>98.797553320000006</v>
      </c>
      <c r="G399" s="11">
        <v>62.085308060000003</v>
      </c>
      <c r="H399" s="11">
        <v>25.891642398399998</v>
      </c>
      <c r="I399" s="11">
        <v>86.596731267099997</v>
      </c>
      <c r="J399" s="11">
        <v>23.316152035199998</v>
      </c>
      <c r="K399" s="10">
        <v>0.862259216361</v>
      </c>
      <c r="L399" s="12">
        <v>5125868696.8800001</v>
      </c>
      <c r="M399">
        <v>53.8691172290997</v>
      </c>
      <c r="N399" s="7">
        <v>9.8452865362822806</v>
      </c>
      <c r="O399" s="7">
        <v>11.968587318753</v>
      </c>
      <c r="P399" s="7">
        <v>199.453055581222</v>
      </c>
      <c r="Q399" s="7">
        <v>0.21343709425564175</v>
      </c>
      <c r="U399">
        <v>1.1041620127769898</v>
      </c>
      <c r="AT399" s="4" t="s">
        <v>4468</v>
      </c>
    </row>
    <row r="400" spans="1:46">
      <c r="A400" s="2">
        <v>3585</v>
      </c>
      <c r="B400" t="s">
        <v>4469</v>
      </c>
      <c r="C400" t="s">
        <v>2345</v>
      </c>
      <c r="D400" t="s">
        <v>3790</v>
      </c>
      <c r="E400" s="4">
        <v>43465</v>
      </c>
      <c r="F400" s="11">
        <v>-8.6730225500000007</v>
      </c>
      <c r="G400" s="11">
        <v>62.071651090000003</v>
      </c>
      <c r="H400" s="11">
        <v>4.5005692280999998</v>
      </c>
      <c r="I400" s="11">
        <v>45.150544573300003</v>
      </c>
      <c r="J400" s="11">
        <v>18.024772126999999</v>
      </c>
      <c r="K400" s="10">
        <v>0.40668859973499999</v>
      </c>
      <c r="L400" s="12">
        <v>8159071953.1800003</v>
      </c>
      <c r="M400">
        <v>35.289218685654497</v>
      </c>
      <c r="N400" s="7">
        <v>2.3518996895530502</v>
      </c>
      <c r="O400" s="7">
        <v>4.2536500750810404</v>
      </c>
      <c r="P400" s="7">
        <v>111.21218307297001</v>
      </c>
      <c r="Q400" s="7">
        <v>1.222879684418146</v>
      </c>
      <c r="U400">
        <v>0.54928790411779405</v>
      </c>
      <c r="AT400" s="4" t="s">
        <v>4470</v>
      </c>
    </row>
    <row r="401" spans="1:46">
      <c r="A401" s="2">
        <v>826</v>
      </c>
      <c r="B401" t="s">
        <v>4471</v>
      </c>
      <c r="C401" t="s">
        <v>2673</v>
      </c>
      <c r="D401" t="s">
        <v>3790</v>
      </c>
      <c r="E401" s="4">
        <v>43465</v>
      </c>
      <c r="F401" s="11">
        <v>-6.3791322900000003</v>
      </c>
      <c r="G401" s="11">
        <v>61.896697709999998</v>
      </c>
      <c r="H401" s="11">
        <v>-27.735940292399999</v>
      </c>
      <c r="I401" s="11">
        <v>69.558370756299993</v>
      </c>
      <c r="J401" s="11">
        <v>6.1475078420999996</v>
      </c>
      <c r="K401" s="10">
        <v>0.35306271943099998</v>
      </c>
      <c r="L401" s="12">
        <v>387084698521.44</v>
      </c>
      <c r="M401">
        <v>71.778754984799903</v>
      </c>
      <c r="N401" s="7">
        <v>1.56537667017666</v>
      </c>
      <c r="O401" s="7">
        <v>3.03236538654583</v>
      </c>
      <c r="P401" s="7">
        <v>22.431895921175698</v>
      </c>
      <c r="Q401" s="7">
        <v>2.7932960893854748</v>
      </c>
      <c r="U401">
        <v>0.23959843531914893</v>
      </c>
      <c r="AT401" s="4" t="s">
        <v>4472</v>
      </c>
    </row>
    <row r="402" spans="1:46">
      <c r="A402" s="2">
        <v>1919</v>
      </c>
      <c r="B402" t="s">
        <v>4473</v>
      </c>
      <c r="C402" t="s">
        <v>1315</v>
      </c>
      <c r="D402" t="s">
        <v>3790</v>
      </c>
      <c r="E402" s="4">
        <v>43465</v>
      </c>
      <c r="F402" s="11">
        <v>-12.9511333</v>
      </c>
      <c r="G402" s="11">
        <v>61.847389560000003</v>
      </c>
      <c r="H402" s="11">
        <v>27.383564535800001</v>
      </c>
      <c r="I402" s="11">
        <v>36.430264555199997</v>
      </c>
      <c r="J402" s="11">
        <v>10.802398389</v>
      </c>
      <c r="K402" s="10">
        <v>0.46716797977000002</v>
      </c>
      <c r="L402" s="12">
        <v>10951519496</v>
      </c>
      <c r="M402">
        <v>40.449486423215099</v>
      </c>
      <c r="N402" s="7">
        <v>2.4178339415996102</v>
      </c>
      <c r="O402" s="7">
        <v>5.0143267423664</v>
      </c>
      <c r="P402" s="7">
        <v>51.208907635239498</v>
      </c>
      <c r="Q402" s="7">
        <v>0.52449965493443751</v>
      </c>
      <c r="U402">
        <v>0.22267286387499999</v>
      </c>
      <c r="AT402" s="4" t="s">
        <v>4474</v>
      </c>
    </row>
    <row r="403" spans="1:46">
      <c r="A403" s="2">
        <v>2228</v>
      </c>
      <c r="B403" t="s">
        <v>4475</v>
      </c>
      <c r="C403" t="s">
        <v>532</v>
      </c>
      <c r="D403" t="s">
        <v>3849</v>
      </c>
      <c r="E403" s="4">
        <v>43465</v>
      </c>
      <c r="F403" s="11">
        <v>-1.00967553</v>
      </c>
      <c r="G403" s="11">
        <v>61.82572614</v>
      </c>
      <c r="H403" s="11">
        <v>3.2130146310000001</v>
      </c>
      <c r="I403" s="11">
        <v>16.655526558199998</v>
      </c>
      <c r="J403" s="11">
        <v>4.3101074557999999</v>
      </c>
      <c r="K403" s="10">
        <v>1.1820648969600001</v>
      </c>
      <c r="L403" s="12">
        <v>4493200000</v>
      </c>
      <c r="M403">
        <v>17.017932215071902</v>
      </c>
      <c r="N403" s="7">
        <v>1.75692705984028</v>
      </c>
      <c r="O403" s="7">
        <v>0.35923078229238498</v>
      </c>
      <c r="P403" s="7">
        <v>17.404062741075101</v>
      </c>
      <c r="Q403" s="7">
        <v>1.3759689922480618</v>
      </c>
      <c r="U403">
        <v>0.46851359251817831</v>
      </c>
      <c r="AT403" s="4" t="s">
        <v>4476</v>
      </c>
    </row>
    <row r="404" spans="1:46">
      <c r="A404" s="2">
        <v>692</v>
      </c>
      <c r="B404" t="s">
        <v>4477</v>
      </c>
      <c r="C404" t="s">
        <v>3212</v>
      </c>
      <c r="D404" t="s">
        <v>3889</v>
      </c>
      <c r="E404" s="4">
        <v>43465</v>
      </c>
      <c r="F404" s="11">
        <v>15.697405910000001</v>
      </c>
      <c r="G404" s="11">
        <v>61.49584488</v>
      </c>
      <c r="H404" s="11">
        <v>-10.8339208746</v>
      </c>
      <c r="I404" s="11">
        <v>30.5415384808</v>
      </c>
      <c r="J404" s="11">
        <v>6.3300232138999997</v>
      </c>
      <c r="K404" s="10">
        <v>0.18304007429300001</v>
      </c>
      <c r="L404" s="12">
        <v>3808800000</v>
      </c>
      <c r="M404">
        <v>45.6875640333744</v>
      </c>
      <c r="N404" s="7">
        <v>1.0569605485251301</v>
      </c>
      <c r="O404" s="7">
        <v>5.1612925391364604</v>
      </c>
      <c r="P404" s="7">
        <v>-24.956250428724399</v>
      </c>
      <c r="Q404" s="7">
        <v>0.25641025641025639</v>
      </c>
      <c r="U404">
        <v>4.6974978688707807E-2</v>
      </c>
      <c r="AT404" s="4" t="s">
        <v>4478</v>
      </c>
    </row>
    <row r="405" spans="1:46">
      <c r="A405" s="2">
        <v>410</v>
      </c>
      <c r="B405" t="s">
        <v>4479</v>
      </c>
      <c r="C405" t="s">
        <v>3238</v>
      </c>
      <c r="D405" t="s">
        <v>3998</v>
      </c>
      <c r="E405" s="4">
        <v>43465</v>
      </c>
      <c r="F405" s="11">
        <v>19.091566199999999</v>
      </c>
      <c r="G405" s="11">
        <v>61.462728550000001</v>
      </c>
      <c r="H405" s="11">
        <v>12.034382412999999</v>
      </c>
      <c r="I405" s="11">
        <v>36.176123981400004</v>
      </c>
      <c r="J405" s="11">
        <v>15.608378714800001</v>
      </c>
      <c r="K405" s="10">
        <v>0.44686237832600001</v>
      </c>
      <c r="L405" s="12">
        <v>3627889200</v>
      </c>
      <c r="M405">
        <v>12.2397226885048</v>
      </c>
      <c r="N405" s="7">
        <v>0.88989414165648195</v>
      </c>
      <c r="O405" s="7">
        <v>0.971398736956266</v>
      </c>
      <c r="P405" s="7">
        <v>23.203994561620199</v>
      </c>
      <c r="Q405" s="7">
        <v>3.6156041864890582</v>
      </c>
      <c r="U405">
        <v>1.1834537440121018</v>
      </c>
      <c r="AT405" s="4" t="s">
        <v>4480</v>
      </c>
    </row>
    <row r="406" spans="1:46">
      <c r="A406" s="2">
        <v>3175</v>
      </c>
      <c r="B406" t="s">
        <v>4481</v>
      </c>
      <c r="C406" t="s">
        <v>2392</v>
      </c>
      <c r="D406" t="s">
        <v>3837</v>
      </c>
      <c r="E406" s="4">
        <v>43465</v>
      </c>
      <c r="F406" s="11">
        <v>26.604493099999999</v>
      </c>
      <c r="G406" s="11">
        <v>61.393596989999999</v>
      </c>
      <c r="H406" s="11">
        <v>-4.0080310227</v>
      </c>
      <c r="I406" s="11" t="s">
        <v>3698</v>
      </c>
      <c r="J406" s="11">
        <v>11.888469134299999</v>
      </c>
      <c r="K406" s="10" t="s">
        <v>3698</v>
      </c>
      <c r="L406" s="12">
        <v>6525146937.8800001</v>
      </c>
      <c r="M406">
        <v>99.934552983472699</v>
      </c>
      <c r="N406" s="7">
        <v>1.31545075087802</v>
      </c>
      <c r="O406" s="7">
        <v>8.8326787701192302</v>
      </c>
      <c r="P406" s="7">
        <v>-19.572618942272602</v>
      </c>
      <c r="Q406" s="7">
        <v>0.38863976083707025</v>
      </c>
      <c r="U406">
        <v>8.0339862056570302E-2</v>
      </c>
      <c r="AT406" s="4" t="s">
        <v>3890</v>
      </c>
    </row>
    <row r="407" spans="1:46">
      <c r="A407" s="2">
        <v>700</v>
      </c>
      <c r="B407" t="s">
        <v>4482</v>
      </c>
      <c r="C407" t="s">
        <v>2038</v>
      </c>
      <c r="D407" t="s">
        <v>3721</v>
      </c>
      <c r="E407" s="4">
        <v>43465</v>
      </c>
      <c r="F407" s="11">
        <v>12.601158359999999</v>
      </c>
      <c r="G407" s="11">
        <v>61.365461850000003</v>
      </c>
      <c r="H407" s="11">
        <v>55.340512953299999</v>
      </c>
      <c r="I407" s="11">
        <v>20.887658222199999</v>
      </c>
      <c r="J407" s="11">
        <v>6.4501839532999998</v>
      </c>
      <c r="K407" s="10">
        <v>1.4692342264160001</v>
      </c>
      <c r="L407" s="12">
        <v>12427367064.15</v>
      </c>
      <c r="M407">
        <v>64.081953470510001</v>
      </c>
      <c r="N407" s="7">
        <v>3.2044616869364102</v>
      </c>
      <c r="O407" s="7">
        <v>3.05662833825262</v>
      </c>
      <c r="P407" s="7">
        <v>243.525015753312</v>
      </c>
      <c r="Q407" s="7">
        <v>0.32848136482939633</v>
      </c>
      <c r="U407">
        <v>0.68218364210589855</v>
      </c>
      <c r="AT407" s="4" t="s">
        <v>4483</v>
      </c>
    </row>
    <row r="408" spans="1:46">
      <c r="A408" s="2">
        <v>3171</v>
      </c>
      <c r="B408" t="s">
        <v>4484</v>
      </c>
      <c r="C408" t="s">
        <v>3246</v>
      </c>
      <c r="D408" t="s">
        <v>4046</v>
      </c>
      <c r="E408" s="4">
        <v>43465</v>
      </c>
      <c r="F408" s="11">
        <v>-10.895533090000001</v>
      </c>
      <c r="G408" s="11">
        <v>61.363636360000001</v>
      </c>
      <c r="H408" s="11">
        <v>1.8026265912999999</v>
      </c>
      <c r="I408" s="11">
        <v>18.273749048100001</v>
      </c>
      <c r="J408" s="11">
        <v>-2.2982640127999998</v>
      </c>
      <c r="K408" s="10">
        <v>0.273699590572</v>
      </c>
      <c r="L408" s="12">
        <v>71372319094.649994</v>
      </c>
      <c r="M408">
        <v>-65.446426971560697</v>
      </c>
      <c r="N408" s="7">
        <v>1.16232617886298</v>
      </c>
      <c r="O408" s="7">
        <v>3.3805377461093702</v>
      </c>
      <c r="P408" s="7">
        <v>-7.2485741212877599</v>
      </c>
      <c r="Q408" s="7" t="s">
        <v>3698</v>
      </c>
      <c r="U408">
        <v>-1.5304589899937462E-2</v>
      </c>
      <c r="AT408" s="4" t="s">
        <v>4485</v>
      </c>
    </row>
    <row r="409" spans="1:46">
      <c r="A409" s="2">
        <v>1370</v>
      </c>
      <c r="B409" t="s">
        <v>4486</v>
      </c>
      <c r="C409" t="s">
        <v>2584</v>
      </c>
      <c r="D409" t="s">
        <v>3718</v>
      </c>
      <c r="E409" s="4">
        <v>43465</v>
      </c>
      <c r="F409" s="11">
        <v>-8.0186005599999994</v>
      </c>
      <c r="G409" s="11">
        <v>61.307901909999998</v>
      </c>
      <c r="H409" s="11">
        <v>0.95458832689999995</v>
      </c>
      <c r="I409" s="11">
        <v>28.9645941044</v>
      </c>
      <c r="J409" s="11">
        <v>3.657897357</v>
      </c>
      <c r="K409" s="10">
        <v>0.904486722854</v>
      </c>
      <c r="L409" s="12">
        <v>5324882406.4799995</v>
      </c>
      <c r="M409">
        <v>94.594651604678205</v>
      </c>
      <c r="N409" s="7">
        <v>1.94407862133367</v>
      </c>
      <c r="O409" s="7">
        <v>1.7618381212721199</v>
      </c>
      <c r="P409" s="7">
        <v>-340.87279670877899</v>
      </c>
      <c r="Q409" s="7">
        <v>0.81117620549797198</v>
      </c>
      <c r="U409">
        <v>0.34664935352978682</v>
      </c>
      <c r="AT409" s="4" t="s">
        <v>3740</v>
      </c>
    </row>
    <row r="410" spans="1:46">
      <c r="A410" s="2">
        <v>2235</v>
      </c>
      <c r="B410" t="s">
        <v>4487</v>
      </c>
      <c r="C410" t="s">
        <v>1223</v>
      </c>
      <c r="D410" t="s">
        <v>3889</v>
      </c>
      <c r="E410" s="4">
        <v>43465</v>
      </c>
      <c r="F410" s="11">
        <v>22.482027810000002</v>
      </c>
      <c r="G410" s="11">
        <v>61.104441780000002</v>
      </c>
      <c r="H410" s="11">
        <v>12.9274491365</v>
      </c>
      <c r="I410" s="11">
        <v>35.0216875092</v>
      </c>
      <c r="J410" s="11">
        <v>15.328927825699999</v>
      </c>
      <c r="K410" s="10">
        <v>0.54168227850600004</v>
      </c>
      <c r="L410" s="12">
        <v>5487768000</v>
      </c>
      <c r="M410">
        <v>38.548966856103</v>
      </c>
      <c r="N410" s="7">
        <v>2.8101336311027598</v>
      </c>
      <c r="O410" s="7">
        <v>4.6392420820869598</v>
      </c>
      <c r="P410" s="7">
        <v>-62.922542103152701</v>
      </c>
      <c r="Q410" s="7">
        <v>0.69433359936153227</v>
      </c>
      <c r="U410">
        <v>0.2879520654683958</v>
      </c>
      <c r="AT410" s="4" t="s">
        <v>4488</v>
      </c>
    </row>
    <row r="411" spans="1:46">
      <c r="A411" s="2">
        <v>1617</v>
      </c>
      <c r="B411" t="s">
        <v>4489</v>
      </c>
      <c r="C411" t="s">
        <v>1655</v>
      </c>
      <c r="D411" t="s">
        <v>3752</v>
      </c>
      <c r="E411" s="4">
        <v>43465</v>
      </c>
      <c r="F411" s="11">
        <v>4.6268656699999999</v>
      </c>
      <c r="G411" s="11">
        <v>61.098398170000003</v>
      </c>
      <c r="H411" s="11">
        <v>103.2234251126</v>
      </c>
      <c r="I411" s="11">
        <v>37.347383635</v>
      </c>
      <c r="J411" s="11">
        <v>9.3193636409000007</v>
      </c>
      <c r="K411" s="10">
        <v>0.57693585933799996</v>
      </c>
      <c r="L411" s="12">
        <v>2595211500</v>
      </c>
      <c r="M411">
        <v>86.097231150164205</v>
      </c>
      <c r="N411" s="7">
        <v>15.1717344738238</v>
      </c>
      <c r="O411" s="7">
        <v>2.5270565790464601</v>
      </c>
      <c r="P411" s="7">
        <v>15.119713824963</v>
      </c>
      <c r="Q411" s="7" t="s">
        <v>3698</v>
      </c>
      <c r="U411">
        <v>0.11544661900639044</v>
      </c>
      <c r="AT411" s="4" t="s">
        <v>4351</v>
      </c>
    </row>
    <row r="412" spans="1:46">
      <c r="A412" s="2">
        <v>1137</v>
      </c>
      <c r="B412" t="s">
        <v>4490</v>
      </c>
      <c r="C412" t="s">
        <v>67</v>
      </c>
      <c r="D412" t="s">
        <v>3737</v>
      </c>
      <c r="E412" s="4">
        <v>43465</v>
      </c>
      <c r="F412" s="11">
        <v>12.84062142</v>
      </c>
      <c r="G412" s="11">
        <v>60.981697169999997</v>
      </c>
      <c r="H412" s="11">
        <v>37.8005431586</v>
      </c>
      <c r="I412" s="11">
        <v>52.062652553200003</v>
      </c>
      <c r="J412" s="11">
        <v>23.886350826299999</v>
      </c>
      <c r="K412" s="10">
        <v>0.72619162359800005</v>
      </c>
      <c r="L412" s="12">
        <v>5293472184</v>
      </c>
      <c r="M412">
        <v>8.6041423896744895</v>
      </c>
      <c r="N412" s="7">
        <v>3.3369576433196801</v>
      </c>
      <c r="O412" s="7">
        <v>2.6537147373325798</v>
      </c>
      <c r="P412" s="7">
        <v>-48.1621413816097</v>
      </c>
      <c r="Q412" s="7">
        <v>4.5714285714285712</v>
      </c>
      <c r="T412" s="2"/>
      <c r="U412">
        <v>1.1147956039107048</v>
      </c>
      <c r="AT412" s="4" t="s">
        <v>3856</v>
      </c>
    </row>
    <row r="413" spans="1:46">
      <c r="A413" s="2">
        <v>3594</v>
      </c>
      <c r="B413" t="s">
        <v>4491</v>
      </c>
      <c r="C413" t="s">
        <v>1792</v>
      </c>
      <c r="D413" t="s">
        <v>3718</v>
      </c>
      <c r="E413" s="4">
        <v>43465</v>
      </c>
      <c r="F413" s="11">
        <v>22.279557390000001</v>
      </c>
      <c r="G413" s="11">
        <v>60.757575760000002</v>
      </c>
      <c r="H413" s="11">
        <v>19.921890021700001</v>
      </c>
      <c r="I413" s="11">
        <v>29.774755460400002</v>
      </c>
      <c r="J413" s="11">
        <v>4.3579446472000001</v>
      </c>
      <c r="K413" s="10">
        <v>0.6292894966</v>
      </c>
      <c r="L413" s="12">
        <v>3400551000</v>
      </c>
      <c r="M413">
        <v>47.8454198367915</v>
      </c>
      <c r="N413" s="7">
        <v>2.5527316771555402</v>
      </c>
      <c r="O413" s="7">
        <v>1.83640619559826</v>
      </c>
      <c r="P413" s="7">
        <v>9.0538472055184602</v>
      </c>
      <c r="Q413" s="7">
        <v>0.53191489361702138</v>
      </c>
      <c r="U413">
        <v>0.16883517969335901</v>
      </c>
      <c r="AT413" s="4" t="s">
        <v>4140</v>
      </c>
    </row>
    <row r="414" spans="1:46">
      <c r="A414" s="2">
        <v>2335</v>
      </c>
      <c r="B414" t="s">
        <v>4492</v>
      </c>
      <c r="C414" t="s">
        <v>3133</v>
      </c>
      <c r="D414" t="s">
        <v>3713</v>
      </c>
      <c r="E414" s="4">
        <v>43465</v>
      </c>
      <c r="F414" s="11">
        <v>-5.0621669599999999</v>
      </c>
      <c r="G414" s="11">
        <v>60.74074074</v>
      </c>
      <c r="H414" s="11">
        <v>-44.418741489399999</v>
      </c>
      <c r="I414" s="11">
        <v>25.322490183599999</v>
      </c>
      <c r="J414" s="11">
        <v>23.672785630900002</v>
      </c>
      <c r="K414" s="10">
        <v>0.29984199620000002</v>
      </c>
      <c r="L414" s="12">
        <v>12021397576.5</v>
      </c>
      <c r="M414">
        <v>-1.8363188254740099</v>
      </c>
      <c r="N414" s="7">
        <v>-10.6615594186583</v>
      </c>
      <c r="O414" s="7">
        <v>2.9063018593448802</v>
      </c>
      <c r="P414" s="7">
        <v>-10.4500045017466</v>
      </c>
      <c r="Q414" s="7" t="s">
        <v>3698</v>
      </c>
      <c r="U414">
        <v>0.65705741130213291</v>
      </c>
      <c r="AT414" s="4" t="s">
        <v>4493</v>
      </c>
    </row>
    <row r="415" spans="1:46">
      <c r="A415" s="2">
        <v>2533</v>
      </c>
      <c r="B415" t="s">
        <v>4494</v>
      </c>
      <c r="C415" t="s">
        <v>132</v>
      </c>
      <c r="D415" t="s">
        <v>3752</v>
      </c>
      <c r="E415" s="4">
        <v>43465</v>
      </c>
      <c r="F415" s="11">
        <v>27.515388999999999</v>
      </c>
      <c r="G415" s="11">
        <v>60.646230320000001</v>
      </c>
      <c r="H415" s="11">
        <v>37.939267829099997</v>
      </c>
      <c r="I415" s="11">
        <v>30.482795279699999</v>
      </c>
      <c r="J415" s="11">
        <v>21.032885399600001</v>
      </c>
      <c r="K415" s="10">
        <v>0.82798817296399996</v>
      </c>
      <c r="L415" s="12">
        <v>4675099236.6400003</v>
      </c>
      <c r="M415">
        <v>6.6977387045193497</v>
      </c>
      <c r="N415" s="7">
        <v>1.6206052771900901</v>
      </c>
      <c r="O415" s="7">
        <v>1.39452685812816</v>
      </c>
      <c r="P415" s="7">
        <v>11.107724366278999</v>
      </c>
      <c r="Q415" s="7">
        <v>1.1976047904191618</v>
      </c>
      <c r="U415">
        <v>1.8636039746477531</v>
      </c>
      <c r="AT415" s="4" t="s">
        <v>4495</v>
      </c>
    </row>
    <row r="416" spans="1:46">
      <c r="A416" s="2">
        <v>3524</v>
      </c>
      <c r="B416" t="s">
        <v>4496</v>
      </c>
      <c r="C416" t="s">
        <v>1391</v>
      </c>
      <c r="D416" t="s">
        <v>3721</v>
      </c>
      <c r="E416" s="4">
        <v>43465</v>
      </c>
      <c r="F416" s="11">
        <v>14.519969980000001</v>
      </c>
      <c r="G416" s="11">
        <v>60.632411070000003</v>
      </c>
      <c r="H416" s="11">
        <v>13.211077656700001</v>
      </c>
      <c r="I416" s="11">
        <v>24.227462998699998</v>
      </c>
      <c r="J416" s="11">
        <v>7.2157455910000001</v>
      </c>
      <c r="K416" s="10">
        <v>0.49618272608500003</v>
      </c>
      <c r="L416" s="12">
        <v>9429739565.6800003</v>
      </c>
      <c r="M416">
        <v>37.731511899196398</v>
      </c>
      <c r="N416" s="7">
        <v>3.3498329697253899</v>
      </c>
      <c r="O416" s="7">
        <v>3.0735787545265398</v>
      </c>
      <c r="P416" s="7">
        <v>53.486967059680701</v>
      </c>
      <c r="Q416" s="7">
        <v>0.56612108134063166</v>
      </c>
      <c r="U416">
        <v>0.22906656466006908</v>
      </c>
      <c r="AT416" s="4" t="s">
        <v>4497</v>
      </c>
    </row>
    <row r="417" spans="1:46">
      <c r="A417" s="2">
        <v>3421</v>
      </c>
      <c r="B417" t="s">
        <v>4498</v>
      </c>
      <c r="C417" t="s">
        <v>1021</v>
      </c>
      <c r="D417" t="s">
        <v>3737</v>
      </c>
      <c r="E417" s="4">
        <v>43465</v>
      </c>
      <c r="F417" s="11">
        <v>112.2796553</v>
      </c>
      <c r="G417" s="11">
        <v>60.538286579999998</v>
      </c>
      <c r="H417" s="11">
        <v>25.252765461700001</v>
      </c>
      <c r="I417" s="11">
        <v>40.473682384200004</v>
      </c>
      <c r="J417" s="11">
        <v>10.7290672886</v>
      </c>
      <c r="K417" s="10">
        <v>0.35056913759199998</v>
      </c>
      <c r="L417" s="12">
        <v>32321729232.5</v>
      </c>
      <c r="M417">
        <v>40.1192637072688</v>
      </c>
      <c r="N417" s="7">
        <v>9.1779174555282204</v>
      </c>
      <c r="O417" s="7">
        <v>3.9893335069337001</v>
      </c>
      <c r="P417" s="7">
        <v>46.028258967295798</v>
      </c>
      <c r="Q417" s="7">
        <v>0.47817885786515091</v>
      </c>
      <c r="U417">
        <v>0.78063646283333343</v>
      </c>
      <c r="AT417" s="4" t="s">
        <v>4499</v>
      </c>
    </row>
    <row r="418" spans="1:46">
      <c r="A418" s="2">
        <v>2628</v>
      </c>
      <c r="B418" t="s">
        <v>4500</v>
      </c>
      <c r="C418" t="s">
        <v>2617</v>
      </c>
      <c r="D418" t="s">
        <v>3721</v>
      </c>
      <c r="E418" s="4">
        <v>43465</v>
      </c>
      <c r="F418" s="11">
        <v>-20.217096340000001</v>
      </c>
      <c r="G418" s="11">
        <v>60.490463220000002</v>
      </c>
      <c r="H418" s="11">
        <v>-14.063373753600001</v>
      </c>
      <c r="I418" s="11">
        <v>14.9267190806</v>
      </c>
      <c r="J418" s="11">
        <v>1.8800615536</v>
      </c>
      <c r="K418" s="10">
        <v>0.54012165039100002</v>
      </c>
      <c r="L418" s="12">
        <v>3272030403.8400002</v>
      </c>
      <c r="M418">
        <v>-32.245320019361003</v>
      </c>
      <c r="N418" s="7">
        <v>1.27070342249672</v>
      </c>
      <c r="O418" s="7">
        <v>0.91227974539699697</v>
      </c>
      <c r="P418" s="7">
        <v>-26.319294535214802</v>
      </c>
      <c r="Q418" s="7" t="s">
        <v>3698</v>
      </c>
      <c r="U418">
        <v>5.6392529207081724E-2</v>
      </c>
      <c r="AT418" s="4" t="s">
        <v>4501</v>
      </c>
    </row>
    <row r="419" spans="1:46">
      <c r="A419" s="2">
        <v>622</v>
      </c>
      <c r="B419" t="s">
        <v>4502</v>
      </c>
      <c r="C419" t="s">
        <v>1417</v>
      </c>
      <c r="D419" t="s">
        <v>3718</v>
      </c>
      <c r="E419" s="4">
        <v>43465</v>
      </c>
      <c r="F419" s="11">
        <v>12.63272615</v>
      </c>
      <c r="G419" s="11">
        <v>60.472279260000001</v>
      </c>
      <c r="H419" s="11">
        <v>21.233029560199999</v>
      </c>
      <c r="I419" s="11">
        <v>32.472756191999999</v>
      </c>
      <c r="J419" s="11">
        <v>10.7447288542</v>
      </c>
      <c r="K419" s="10">
        <v>0.48255498084699999</v>
      </c>
      <c r="L419" s="12">
        <v>7135681490</v>
      </c>
      <c r="M419">
        <v>33.595585431034699</v>
      </c>
      <c r="N419" s="7">
        <v>1.6047919603452401</v>
      </c>
      <c r="O419" s="7">
        <v>1.8020741867560299</v>
      </c>
      <c r="P419" s="7">
        <v>-31.933423408138299</v>
      </c>
      <c r="Q419" s="7">
        <v>2.5125105932203389</v>
      </c>
      <c r="U419">
        <v>0.61498337008221382</v>
      </c>
      <c r="AT419" s="4" t="s">
        <v>4503</v>
      </c>
    </row>
    <row r="420" spans="1:46">
      <c r="A420" s="2">
        <v>1098</v>
      </c>
      <c r="B420" t="s">
        <v>4504</v>
      </c>
      <c r="C420" t="s">
        <v>539</v>
      </c>
      <c r="D420" t="s">
        <v>3721</v>
      </c>
      <c r="E420" s="4">
        <v>43465</v>
      </c>
      <c r="F420" s="11">
        <v>16.86245139</v>
      </c>
      <c r="G420" s="11">
        <v>60.288065840000002</v>
      </c>
      <c r="H420" s="11">
        <v>51.122479411900002</v>
      </c>
      <c r="I420" s="11">
        <v>33.518656330500001</v>
      </c>
      <c r="J420" s="11">
        <v>11.7132315694</v>
      </c>
      <c r="K420" s="10">
        <v>0.774567221862</v>
      </c>
      <c r="L420" s="12">
        <v>4491637937.6400003</v>
      </c>
      <c r="M420">
        <v>19.758544810293898</v>
      </c>
      <c r="N420" s="7">
        <v>2.78850724958312</v>
      </c>
      <c r="O420" s="7">
        <v>2.01225394689222</v>
      </c>
      <c r="P420" s="7">
        <v>-34.620661827110297</v>
      </c>
      <c r="Q420" s="7">
        <v>1.5051073306989629</v>
      </c>
      <c r="U420">
        <v>0.29014536198918001</v>
      </c>
      <c r="AT420" s="4" t="s">
        <v>4505</v>
      </c>
    </row>
    <row r="421" spans="1:46">
      <c r="A421" s="2">
        <v>2188</v>
      </c>
      <c r="B421" t="s">
        <v>4506</v>
      </c>
      <c r="C421" t="s">
        <v>1539</v>
      </c>
      <c r="D421" t="s">
        <v>3837</v>
      </c>
      <c r="E421" s="4">
        <v>43465</v>
      </c>
      <c r="F421" s="11">
        <v>45.522082529999999</v>
      </c>
      <c r="G421" s="11">
        <v>60.274828229999997</v>
      </c>
      <c r="H421" s="11">
        <v>-14.0233237529</v>
      </c>
      <c r="I421" s="11" t="s">
        <v>3698</v>
      </c>
      <c r="J421" s="11">
        <v>26.534766338600001</v>
      </c>
      <c r="K421" s="10" t="s">
        <v>3698</v>
      </c>
      <c r="L421" s="12">
        <v>5971782162.5600004</v>
      </c>
      <c r="M421">
        <v>17.987472109007001</v>
      </c>
      <c r="N421" s="7">
        <v>1.3600732679184699</v>
      </c>
      <c r="O421" s="7">
        <v>4.6187302830696897</v>
      </c>
      <c r="P421" s="7">
        <v>-112.180305756176</v>
      </c>
      <c r="Q421" s="7">
        <v>1.6347501167678655</v>
      </c>
      <c r="U421">
        <v>0.77494156759821675</v>
      </c>
      <c r="AT421" s="4" t="s">
        <v>4507</v>
      </c>
    </row>
    <row r="422" spans="1:46">
      <c r="A422" s="2">
        <v>645</v>
      </c>
      <c r="B422" t="s">
        <v>4508</v>
      </c>
      <c r="C422" t="s">
        <v>3403</v>
      </c>
      <c r="D422" t="s">
        <v>3721</v>
      </c>
      <c r="E422" s="4">
        <v>43465</v>
      </c>
      <c r="F422" s="11">
        <v>4.7991071400000003</v>
      </c>
      <c r="G422" s="11">
        <v>60.169491530000002</v>
      </c>
      <c r="H422" s="11">
        <v>-9.0798033096000008</v>
      </c>
      <c r="I422" s="11">
        <v>7.6310124502000001</v>
      </c>
      <c r="J422" s="11">
        <v>-15.1031313668</v>
      </c>
      <c r="K422" s="10">
        <v>0.64338096154400004</v>
      </c>
      <c r="L422" s="12">
        <v>4836289255.1999998</v>
      </c>
      <c r="M422">
        <v>-67.449288740449106</v>
      </c>
      <c r="N422" s="7">
        <v>3.8321508235148301</v>
      </c>
      <c r="O422" s="7">
        <v>3.5649283786413899</v>
      </c>
      <c r="P422" s="7">
        <v>-47.7792639121135</v>
      </c>
      <c r="Q422" s="7" t="s">
        <v>3698</v>
      </c>
      <c r="U422">
        <v>-0.24103024848085275</v>
      </c>
      <c r="AT422" s="4" t="s">
        <v>4509</v>
      </c>
    </row>
    <row r="423" spans="1:46">
      <c r="A423" s="2">
        <v>1883</v>
      </c>
      <c r="B423" t="s">
        <v>4510</v>
      </c>
      <c r="C423" t="s">
        <v>3324</v>
      </c>
      <c r="D423" t="s">
        <v>3721</v>
      </c>
      <c r="E423" s="4">
        <v>43465</v>
      </c>
      <c r="F423" s="11">
        <v>14.127031430000001</v>
      </c>
      <c r="G423" s="11">
        <v>60.1</v>
      </c>
      <c r="H423" s="11">
        <v>13.634133157200001</v>
      </c>
      <c r="I423" s="11">
        <v>34.195747213200001</v>
      </c>
      <c r="J423" s="11">
        <v>7.8951829517999998</v>
      </c>
      <c r="K423" s="10">
        <v>0.56400641248899996</v>
      </c>
      <c r="L423" s="12">
        <v>306557782520</v>
      </c>
      <c r="M423">
        <v>71.302040538782705</v>
      </c>
      <c r="N423" s="7">
        <v>3.1233269251273899</v>
      </c>
      <c r="O423" s="7">
        <v>4.5134637498516597</v>
      </c>
      <c r="P423" s="7">
        <v>25.149972013552901</v>
      </c>
      <c r="Q423" s="7">
        <v>1.0975128208715468</v>
      </c>
      <c r="U423">
        <v>0.35644690905608628</v>
      </c>
      <c r="AT423" s="4" t="s">
        <v>4038</v>
      </c>
    </row>
    <row r="424" spans="1:46">
      <c r="A424" s="2">
        <v>1637</v>
      </c>
      <c r="B424" t="s">
        <v>4511</v>
      </c>
      <c r="C424" t="s">
        <v>1827</v>
      </c>
      <c r="D424" t="s">
        <v>3713</v>
      </c>
      <c r="E424" s="4">
        <v>43465</v>
      </c>
      <c r="F424" s="11">
        <v>79.644296019999999</v>
      </c>
      <c r="G424" s="11">
        <v>60.086872589999999</v>
      </c>
      <c r="H424" s="11">
        <v>-1.7370563917999999</v>
      </c>
      <c r="I424" s="11">
        <v>38.800197893000004</v>
      </c>
      <c r="J424" s="11">
        <v>12.100958522000001</v>
      </c>
      <c r="K424" s="10">
        <v>0.293319764935</v>
      </c>
      <c r="L424" s="12">
        <v>2308529321.52</v>
      </c>
      <c r="M424">
        <v>43.8309688999936</v>
      </c>
      <c r="N424" s="7">
        <v>3.51833066272994</v>
      </c>
      <c r="O424" s="7">
        <v>2.91649248583593</v>
      </c>
      <c r="P424" s="7">
        <v>-31.674328375212301</v>
      </c>
      <c r="Q424" s="7">
        <v>0.43080236988979631</v>
      </c>
      <c r="U424">
        <v>0.66903826969368341</v>
      </c>
      <c r="AT424" s="4" t="s">
        <v>4361</v>
      </c>
    </row>
    <row r="425" spans="1:46">
      <c r="A425" s="2">
        <v>921</v>
      </c>
      <c r="B425" t="s">
        <v>4512</v>
      </c>
      <c r="C425" t="s">
        <v>1499</v>
      </c>
      <c r="D425" t="s">
        <v>3713</v>
      </c>
      <c r="E425" s="4">
        <v>43465</v>
      </c>
      <c r="F425" s="11">
        <v>76.424763389999995</v>
      </c>
      <c r="G425" s="11">
        <v>60.067275350000003</v>
      </c>
      <c r="H425" s="11">
        <v>22.302925017500002</v>
      </c>
      <c r="I425" s="11">
        <v>93.421047440300001</v>
      </c>
      <c r="J425" s="11">
        <v>15.120650570800001</v>
      </c>
      <c r="K425" s="10">
        <v>0.55359277320199995</v>
      </c>
      <c r="L425" s="12">
        <v>10576238116.43</v>
      </c>
      <c r="M425">
        <v>57.784269921328701</v>
      </c>
      <c r="N425" s="7">
        <v>9.3032006547598307</v>
      </c>
      <c r="O425" s="7">
        <v>8.5549889470098694</v>
      </c>
      <c r="P425" s="7">
        <v>96.958874103447698</v>
      </c>
      <c r="Q425" s="7">
        <v>0.60515634336430379</v>
      </c>
      <c r="U425">
        <v>0.38975294770674573</v>
      </c>
      <c r="AT425" s="4" t="s">
        <v>4276</v>
      </c>
    </row>
    <row r="426" spans="1:46">
      <c r="A426" s="2">
        <v>972</v>
      </c>
      <c r="B426" t="s">
        <v>4513</v>
      </c>
      <c r="C426" t="s">
        <v>2929</v>
      </c>
      <c r="D426" t="s">
        <v>3785</v>
      </c>
      <c r="E426" s="4">
        <v>43465</v>
      </c>
      <c r="F426" s="11">
        <v>23.845316100000002</v>
      </c>
      <c r="G426" s="11">
        <v>60</v>
      </c>
      <c r="H426" s="11">
        <v>7.3251442183000002</v>
      </c>
      <c r="I426" s="11">
        <v>40.551436440800003</v>
      </c>
      <c r="J426" s="11">
        <v>9.3873767298999997</v>
      </c>
      <c r="K426" s="10">
        <v>0.34380615275300003</v>
      </c>
      <c r="L426" s="12">
        <v>18114693616.799999</v>
      </c>
      <c r="M426">
        <v>68.617984227885103</v>
      </c>
      <c r="N426" s="7">
        <v>1.1847956770006001</v>
      </c>
      <c r="O426" s="7">
        <v>2.4486007962299601</v>
      </c>
      <c r="P426" s="7">
        <v>42.250132180755998</v>
      </c>
      <c r="Q426" s="7">
        <v>1.4064697609001409</v>
      </c>
      <c r="U426">
        <v>0.165555800402478</v>
      </c>
      <c r="AT426" s="4" t="s">
        <v>3774</v>
      </c>
    </row>
    <row r="427" spans="1:46">
      <c r="A427" s="2">
        <v>2058</v>
      </c>
      <c r="B427" t="s">
        <v>4514</v>
      </c>
      <c r="C427" t="s">
        <v>1977</v>
      </c>
      <c r="D427" t="s">
        <v>3737</v>
      </c>
      <c r="E427" s="4">
        <v>43465</v>
      </c>
      <c r="F427" s="11">
        <v>-25.06476791</v>
      </c>
      <c r="G427" s="11">
        <v>59.972770590000003</v>
      </c>
      <c r="H427" s="11">
        <v>21.137566726300001</v>
      </c>
      <c r="I427" s="11">
        <v>83.496454422300005</v>
      </c>
      <c r="J427" s="11">
        <v>18.3928602899</v>
      </c>
      <c r="K427" s="10">
        <v>0.51406341465600003</v>
      </c>
      <c r="L427" s="12">
        <v>38314214887.220001</v>
      </c>
      <c r="M427">
        <v>28.556145518239301</v>
      </c>
      <c r="N427" s="7">
        <v>2.7636577347554199</v>
      </c>
      <c r="O427" s="7">
        <v>4.87897164904322</v>
      </c>
      <c r="P427" s="7">
        <v>-22.383289834434201</v>
      </c>
      <c r="Q427" s="7">
        <v>0.82734698654499306</v>
      </c>
      <c r="U427">
        <v>0.62678304898685777</v>
      </c>
      <c r="AT427" s="4" t="s">
        <v>4515</v>
      </c>
    </row>
    <row r="428" spans="1:46">
      <c r="A428" s="2">
        <v>1206</v>
      </c>
      <c r="B428" t="s">
        <v>4516</v>
      </c>
      <c r="C428" t="s">
        <v>866</v>
      </c>
      <c r="D428" t="s">
        <v>3785</v>
      </c>
      <c r="E428" s="4">
        <v>43465</v>
      </c>
      <c r="F428" s="11">
        <v>-2.3918414800000001</v>
      </c>
      <c r="G428" s="11">
        <v>59.959758549999997</v>
      </c>
      <c r="H428" s="11">
        <v>28.4073712219</v>
      </c>
      <c r="I428" s="11">
        <v>34.472118849099999</v>
      </c>
      <c r="J428" s="11">
        <v>9.4826992254999993</v>
      </c>
      <c r="K428" s="10">
        <v>0.82952417275599999</v>
      </c>
      <c r="L428" s="12">
        <v>15803165347.200001</v>
      </c>
      <c r="M428">
        <v>28.703238534980098</v>
      </c>
      <c r="N428" s="7">
        <v>2.7538955915967001</v>
      </c>
      <c r="O428" s="7">
        <v>2.83779353867294</v>
      </c>
      <c r="P428" s="7">
        <v>15.054563323734</v>
      </c>
      <c r="Q428" s="7">
        <v>0.53383546883459265</v>
      </c>
      <c r="U428">
        <v>0.33648080261549279</v>
      </c>
      <c r="AT428" s="4" t="s">
        <v>4517</v>
      </c>
    </row>
    <row r="429" spans="1:46">
      <c r="A429" s="2">
        <v>1660</v>
      </c>
      <c r="B429" t="s">
        <v>4518</v>
      </c>
      <c r="C429" t="s">
        <v>1745</v>
      </c>
      <c r="D429" t="s">
        <v>3889</v>
      </c>
      <c r="E429" s="4">
        <v>43465</v>
      </c>
      <c r="F429" s="11">
        <v>17.264957259999999</v>
      </c>
      <c r="G429" s="11">
        <v>59.877300609999999</v>
      </c>
      <c r="H429" s="11">
        <v>6.7002840623999997</v>
      </c>
      <c r="I429" s="11">
        <v>61.909271848000003</v>
      </c>
      <c r="J429" s="11">
        <v>11.2919740017</v>
      </c>
      <c r="K429" s="10">
        <v>0.17394918133000001</v>
      </c>
      <c r="L429" s="12">
        <v>5312800120.6800003</v>
      </c>
      <c r="M429">
        <v>122.67858192922</v>
      </c>
      <c r="N429" s="7">
        <v>2.3011109003633301</v>
      </c>
      <c r="O429" s="7">
        <v>12.055522436477</v>
      </c>
      <c r="P429" s="7">
        <v>24.8904410003063</v>
      </c>
      <c r="Q429" s="7" t="s">
        <v>3698</v>
      </c>
      <c r="U429">
        <v>7.3383641552944689E-2</v>
      </c>
      <c r="AT429" s="4" t="s">
        <v>4519</v>
      </c>
    </row>
    <row r="430" spans="1:46">
      <c r="A430" s="2">
        <v>301</v>
      </c>
      <c r="B430" t="s">
        <v>4520</v>
      </c>
      <c r="C430" t="s">
        <v>39</v>
      </c>
      <c r="D430" t="s">
        <v>3761</v>
      </c>
      <c r="E430" s="4">
        <v>43465</v>
      </c>
      <c r="F430" s="11">
        <v>21.651785709999999</v>
      </c>
      <c r="G430" s="11">
        <v>59.365994239999999</v>
      </c>
      <c r="H430" s="11">
        <v>-5.1668194134999998</v>
      </c>
      <c r="I430" s="11">
        <v>34.667063595099997</v>
      </c>
      <c r="J430" s="11">
        <v>41.6017026305</v>
      </c>
      <c r="K430" s="10">
        <v>0.36488645304099998</v>
      </c>
      <c r="L430" s="12">
        <v>8419405694.3999996</v>
      </c>
      <c r="M430">
        <v>10.5040067410783</v>
      </c>
      <c r="N430" s="7">
        <v>2.0998967004419402</v>
      </c>
      <c r="O430" s="7">
        <v>2.3399493578918702</v>
      </c>
      <c r="P430" s="7">
        <v>7.76872152727565</v>
      </c>
      <c r="Q430" s="7" t="s">
        <v>3698</v>
      </c>
      <c r="U430">
        <v>0.83199811527764367</v>
      </c>
      <c r="AT430" s="4" t="s">
        <v>4363</v>
      </c>
    </row>
    <row r="431" spans="1:46">
      <c r="A431" s="2">
        <v>1539</v>
      </c>
      <c r="B431" t="s">
        <v>4521</v>
      </c>
      <c r="C431" t="s">
        <v>1697</v>
      </c>
      <c r="D431" t="s">
        <v>3718</v>
      </c>
      <c r="E431" s="4">
        <v>43465</v>
      </c>
      <c r="F431" s="11">
        <v>12.028320839999999</v>
      </c>
      <c r="G431" s="11">
        <v>59.129213479999997</v>
      </c>
      <c r="H431" s="11">
        <v>11.8737509537</v>
      </c>
      <c r="I431" s="11">
        <v>38.518972482899997</v>
      </c>
      <c r="J431" s="11">
        <v>12.7683040099</v>
      </c>
      <c r="K431" s="10">
        <v>0.64958344407699997</v>
      </c>
      <c r="L431" s="12">
        <v>2302642554.8000002</v>
      </c>
      <c r="M431">
        <v>27.2351211059867</v>
      </c>
      <c r="N431" s="7">
        <v>2.9510422991760401</v>
      </c>
      <c r="O431" s="7">
        <v>3.0940665967840801</v>
      </c>
      <c r="P431" s="7">
        <v>-30.902800157098699</v>
      </c>
      <c r="Q431" s="7">
        <v>0.4178272980501393</v>
      </c>
      <c r="U431">
        <v>0.2643940975308845</v>
      </c>
      <c r="AT431" s="4" t="s">
        <v>4028</v>
      </c>
    </row>
    <row r="432" spans="1:46">
      <c r="A432" s="2">
        <v>1150</v>
      </c>
      <c r="B432" t="s">
        <v>4522</v>
      </c>
      <c r="C432" t="s">
        <v>3043</v>
      </c>
      <c r="D432" t="s">
        <v>3718</v>
      </c>
      <c r="E432" s="4">
        <v>43465</v>
      </c>
      <c r="F432" s="11">
        <v>5.1881324400000004</v>
      </c>
      <c r="G432" s="11">
        <v>59.09943715</v>
      </c>
      <c r="H432" s="11">
        <v>39.1750219543</v>
      </c>
      <c r="I432" s="11">
        <v>23.0750255317</v>
      </c>
      <c r="J432" s="11">
        <v>1.11770389</v>
      </c>
      <c r="K432" s="10">
        <v>0.35142727881300001</v>
      </c>
      <c r="L432" s="12">
        <v>7028597742.8999996</v>
      </c>
      <c r="M432">
        <v>-42.925748476823003</v>
      </c>
      <c r="N432" s="7">
        <v>1.9516074269480499</v>
      </c>
      <c r="O432" s="7">
        <v>3.1309957558260502</v>
      </c>
      <c r="P432" s="7">
        <v>-38.471832927254098</v>
      </c>
      <c r="Q432" s="7">
        <v>8.8516129032258056E-2</v>
      </c>
      <c r="U432">
        <v>2.285469911292233E-2</v>
      </c>
      <c r="AT432" s="4" t="s">
        <v>4523</v>
      </c>
    </row>
    <row r="433" spans="1:46">
      <c r="A433" s="2">
        <v>682</v>
      </c>
      <c r="B433" t="s">
        <v>4524</v>
      </c>
      <c r="C433" t="s">
        <v>840</v>
      </c>
      <c r="D433" t="s">
        <v>3769</v>
      </c>
      <c r="E433" s="4">
        <v>43465</v>
      </c>
      <c r="F433" s="11">
        <v>4.16797956</v>
      </c>
      <c r="G433" s="11">
        <v>58.963282939999999</v>
      </c>
      <c r="H433" s="11">
        <v>18.680521115800001</v>
      </c>
      <c r="I433" s="11">
        <v>7.9586025860999996</v>
      </c>
      <c r="J433" s="11">
        <v>3.1197341394000002</v>
      </c>
      <c r="K433" s="10">
        <v>2.3071733306029998</v>
      </c>
      <c r="L433" s="12">
        <v>6722854478.6199999</v>
      </c>
      <c r="M433">
        <v>21.851919587847799</v>
      </c>
      <c r="N433" s="7">
        <v>1.4822168821828501</v>
      </c>
      <c r="O433" s="7">
        <v>0.38231862861316801</v>
      </c>
      <c r="P433" s="7">
        <v>17.019319940857201</v>
      </c>
      <c r="Q433" s="7" t="s">
        <v>3698</v>
      </c>
      <c r="U433">
        <v>0.38214509850269962</v>
      </c>
      <c r="AT433" s="4" t="s">
        <v>4525</v>
      </c>
    </row>
    <row r="434" spans="1:46">
      <c r="A434" s="2">
        <v>2103</v>
      </c>
      <c r="B434" t="s">
        <v>4526</v>
      </c>
      <c r="C434" t="s">
        <v>543</v>
      </c>
      <c r="D434" t="s">
        <v>3737</v>
      </c>
      <c r="E434" s="4">
        <v>43465</v>
      </c>
      <c r="F434" s="11">
        <v>33.427864290000002</v>
      </c>
      <c r="G434" s="11">
        <v>58.885358099999998</v>
      </c>
      <c r="H434" s="11">
        <v>32.8903191578</v>
      </c>
      <c r="I434" s="11">
        <v>91.035209442400003</v>
      </c>
      <c r="J434" s="11">
        <v>28.867614233000001</v>
      </c>
      <c r="K434" s="10">
        <v>0.58011745085199995</v>
      </c>
      <c r="L434" s="12">
        <v>5743099974.8400002</v>
      </c>
      <c r="M434">
        <v>59.961023252396998</v>
      </c>
      <c r="N434" s="7">
        <v>7.7847651603881003</v>
      </c>
      <c r="O434" s="7">
        <v>14.7934370294752</v>
      </c>
      <c r="P434" s="7">
        <v>-141.70440451116201</v>
      </c>
      <c r="Q434" s="7">
        <v>0.25513819985825659</v>
      </c>
      <c r="U434">
        <v>0.88012440631944444</v>
      </c>
      <c r="AT434" s="4" t="s">
        <v>4527</v>
      </c>
    </row>
    <row r="435" spans="1:46">
      <c r="A435" s="2">
        <v>2697</v>
      </c>
      <c r="B435" t="s">
        <v>4528</v>
      </c>
      <c r="C435" t="s">
        <v>2349</v>
      </c>
      <c r="D435" t="s">
        <v>3737</v>
      </c>
      <c r="E435" s="4">
        <v>43465</v>
      </c>
      <c r="F435" s="11">
        <v>46.590505540000002</v>
      </c>
      <c r="G435" s="11">
        <v>58.842975209999999</v>
      </c>
      <c r="H435" s="11">
        <v>37.037189873800003</v>
      </c>
      <c r="I435" s="11">
        <v>54.601725700899998</v>
      </c>
      <c r="J435" s="11">
        <v>4.9147273107</v>
      </c>
      <c r="K435" s="10">
        <v>0.40317338670300001</v>
      </c>
      <c r="L435" s="12">
        <v>9882478583.25</v>
      </c>
      <c r="M435">
        <v>382.724157861072</v>
      </c>
      <c r="N435" s="7">
        <v>3.6102353247349099</v>
      </c>
      <c r="O435" s="7">
        <v>4.4504553731084604</v>
      </c>
      <c r="P435" s="7">
        <v>75.797180592939398</v>
      </c>
      <c r="Q435" s="7">
        <v>0.31525851197982346</v>
      </c>
      <c r="U435">
        <v>6.2487070031092343E-2</v>
      </c>
      <c r="AT435" s="4" t="s">
        <v>4529</v>
      </c>
    </row>
    <row r="436" spans="1:46">
      <c r="A436" s="2">
        <v>233</v>
      </c>
      <c r="B436" t="s">
        <v>4530</v>
      </c>
      <c r="C436" t="s">
        <v>2326</v>
      </c>
      <c r="D436" t="s">
        <v>3871</v>
      </c>
      <c r="E436" s="4">
        <v>43465</v>
      </c>
      <c r="F436" s="11">
        <v>5.8919803599999998</v>
      </c>
      <c r="G436" s="11">
        <v>58.808290159999999</v>
      </c>
      <c r="H436" s="11">
        <v>5.2724656566999997</v>
      </c>
      <c r="I436" s="11">
        <v>8.8878337570999992</v>
      </c>
      <c r="J436" s="11">
        <v>0.44744027949999998</v>
      </c>
      <c r="K436" s="10">
        <v>0.94636448637699999</v>
      </c>
      <c r="L436" s="12">
        <v>9836304920</v>
      </c>
      <c r="M436">
        <v>56.610328545312797</v>
      </c>
      <c r="N436" s="7">
        <v>1.3785929327017501</v>
      </c>
      <c r="O436" s="7">
        <v>0.2398146847598</v>
      </c>
      <c r="P436" s="7">
        <v>14.275011883704201</v>
      </c>
      <c r="Q436" s="7" t="s">
        <v>3698</v>
      </c>
      <c r="U436">
        <v>7.1156398688029379E-2</v>
      </c>
      <c r="AT436" s="4" t="s">
        <v>4531</v>
      </c>
    </row>
    <row r="437" spans="1:46">
      <c r="A437" s="2">
        <v>3592</v>
      </c>
      <c r="B437" t="s">
        <v>4532</v>
      </c>
      <c r="C437" t="s">
        <v>160</v>
      </c>
      <c r="D437" t="s">
        <v>4060</v>
      </c>
      <c r="E437" s="4">
        <v>43465</v>
      </c>
      <c r="F437" s="11">
        <v>100.96314932</v>
      </c>
      <c r="G437" s="11">
        <v>58.512396690000003</v>
      </c>
      <c r="H437" s="11">
        <v>34.259090116199999</v>
      </c>
      <c r="I437" s="11">
        <v>25.829464588</v>
      </c>
      <c r="J437" s="11">
        <v>9.4649969917999996</v>
      </c>
      <c r="K437" s="10">
        <v>1.695842642073</v>
      </c>
      <c r="L437" s="12">
        <v>6634859376.8999996</v>
      </c>
      <c r="M437">
        <v>41.153893122059003</v>
      </c>
      <c r="N437" s="7">
        <v>8.1596692901843504</v>
      </c>
      <c r="O437" s="7">
        <v>3.48410865224609</v>
      </c>
      <c r="P437" s="7">
        <v>108.497401352873</v>
      </c>
      <c r="Q437" s="7">
        <v>0.6531678641410843</v>
      </c>
      <c r="U437">
        <v>0.87700794392391301</v>
      </c>
      <c r="AT437" s="4" t="s">
        <v>4533</v>
      </c>
    </row>
    <row r="438" spans="1:46">
      <c r="A438" s="2">
        <v>2547</v>
      </c>
      <c r="B438" t="s">
        <v>4534</v>
      </c>
      <c r="C438" t="s">
        <v>3240</v>
      </c>
      <c r="D438" t="s">
        <v>3713</v>
      </c>
      <c r="E438" s="4">
        <v>43465</v>
      </c>
      <c r="F438" s="11">
        <v>-2.27904391</v>
      </c>
      <c r="G438" s="11">
        <v>58.481127790000002</v>
      </c>
      <c r="H438" s="11">
        <v>16.2758436604</v>
      </c>
      <c r="I438" s="11">
        <v>55.474608771500002</v>
      </c>
      <c r="J438" s="11">
        <v>5.3275339649999998</v>
      </c>
      <c r="K438" s="10">
        <v>0.258668213265</v>
      </c>
      <c r="L438" s="12">
        <v>3011911617.9000001</v>
      </c>
      <c r="M438">
        <v>1210.71850376522</v>
      </c>
      <c r="N438" s="7">
        <v>10.4208928685073</v>
      </c>
      <c r="O438" s="7">
        <v>8.1776634469571903</v>
      </c>
      <c r="P438" s="7">
        <v>29.675701067591699</v>
      </c>
      <c r="Q438" s="7" t="s">
        <v>3698</v>
      </c>
      <c r="U438">
        <v>5.0679242530980814E-2</v>
      </c>
      <c r="AT438" s="4" t="s">
        <v>4535</v>
      </c>
    </row>
    <row r="439" spans="1:46">
      <c r="A439" s="2">
        <v>2923</v>
      </c>
      <c r="B439" t="s">
        <v>4536</v>
      </c>
      <c r="C439" t="s">
        <v>646</v>
      </c>
      <c r="D439" t="s">
        <v>3713</v>
      </c>
      <c r="E439" s="4">
        <v>43465</v>
      </c>
      <c r="F439" s="11">
        <v>32.252411879999997</v>
      </c>
      <c r="G439" s="11">
        <v>58.402029169999999</v>
      </c>
      <c r="H439" s="11">
        <v>10.7030603945</v>
      </c>
      <c r="I439" s="11">
        <v>15.721425763599999</v>
      </c>
      <c r="J439" s="11">
        <v>4.4360241571000003</v>
      </c>
      <c r="K439" s="10">
        <v>1.2243945661269999</v>
      </c>
      <c r="L439" s="12">
        <v>44840800000</v>
      </c>
      <c r="M439">
        <v>21.743204125350001</v>
      </c>
      <c r="N439" s="7">
        <v>2.84505937251074</v>
      </c>
      <c r="O439" s="7">
        <v>0.94128229342025804</v>
      </c>
      <c r="P439" s="7">
        <v>-112.692880388964</v>
      </c>
      <c r="Q439" s="7">
        <v>1.4935341678645149</v>
      </c>
      <c r="U439">
        <v>0.71363876697021111</v>
      </c>
      <c r="AT439" s="4" t="s">
        <v>4537</v>
      </c>
    </row>
    <row r="440" spans="1:46">
      <c r="A440" s="2">
        <v>2918</v>
      </c>
      <c r="B440" t="s">
        <v>4538</v>
      </c>
      <c r="C440" t="s">
        <v>793</v>
      </c>
      <c r="D440" t="s">
        <v>3713</v>
      </c>
      <c r="E440" s="4">
        <v>43465</v>
      </c>
      <c r="F440" s="11">
        <v>134.36204286</v>
      </c>
      <c r="G440" s="11">
        <v>58.273381290000003</v>
      </c>
      <c r="H440" s="11">
        <v>14.559370404399999</v>
      </c>
      <c r="I440" s="11">
        <v>27.941298633599999</v>
      </c>
      <c r="J440" s="11">
        <v>13.031274398000001</v>
      </c>
      <c r="K440" s="10">
        <v>0.60561771919999996</v>
      </c>
      <c r="L440" s="12">
        <v>2196023280</v>
      </c>
      <c r="M440">
        <v>32.458436156769203</v>
      </c>
      <c r="N440" s="7">
        <v>2.7664226135258998</v>
      </c>
      <c r="O440" s="7">
        <v>3.37354434755773</v>
      </c>
      <c r="P440" s="7">
        <v>10.706249453067599</v>
      </c>
      <c r="Q440" s="7">
        <v>0.85074161487100286</v>
      </c>
      <c r="U440">
        <v>0.76270244273171839</v>
      </c>
      <c r="AT440" s="4" t="s">
        <v>4539</v>
      </c>
    </row>
    <row r="441" spans="1:46">
      <c r="A441" s="2">
        <v>3567</v>
      </c>
      <c r="B441" t="s">
        <v>4540</v>
      </c>
      <c r="C441" t="s">
        <v>2346</v>
      </c>
      <c r="D441" t="s">
        <v>3761</v>
      </c>
      <c r="E441" s="4">
        <v>43465</v>
      </c>
      <c r="F441" s="11">
        <v>24.216359870000002</v>
      </c>
      <c r="G441" s="11">
        <v>57.987492889999999</v>
      </c>
      <c r="H441" s="11">
        <v>78.120252712699994</v>
      </c>
      <c r="I441" s="11">
        <v>48.2815784561</v>
      </c>
      <c r="J441" s="11">
        <v>15.4440233439</v>
      </c>
      <c r="K441" s="10">
        <v>0.458432706829</v>
      </c>
      <c r="L441" s="12">
        <v>10815521235.84</v>
      </c>
      <c r="M441">
        <v>65.341282536612496</v>
      </c>
      <c r="N441" s="7">
        <v>2.8145492824646201</v>
      </c>
      <c r="O441" s="7">
        <v>5.3282894623103196</v>
      </c>
      <c r="P441" s="7">
        <v>-60.248627709304898</v>
      </c>
      <c r="Q441" s="7">
        <v>0.16169347565493025</v>
      </c>
      <c r="U441">
        <v>0.44655789917224376</v>
      </c>
      <c r="AT441" s="4" t="s">
        <v>3714</v>
      </c>
    </row>
    <row r="442" spans="1:46">
      <c r="A442" s="2">
        <v>79</v>
      </c>
      <c r="B442" t="s">
        <v>4541</v>
      </c>
      <c r="C442" t="s">
        <v>163</v>
      </c>
      <c r="D442" t="s">
        <v>3977</v>
      </c>
      <c r="E442" s="4">
        <v>43465</v>
      </c>
      <c r="F442" s="11">
        <v>10.360319580000001</v>
      </c>
      <c r="G442" s="11">
        <v>57.976125879999998</v>
      </c>
      <c r="H442" s="11">
        <v>7.8735149476000004</v>
      </c>
      <c r="I442" s="11">
        <v>27.535598776899999</v>
      </c>
      <c r="J442" s="11">
        <v>8.3378329802</v>
      </c>
      <c r="K442" s="10">
        <v>1.023116605956</v>
      </c>
      <c r="L442" s="12">
        <v>37518181290.800003</v>
      </c>
      <c r="M442">
        <v>12.997275086633</v>
      </c>
      <c r="N442" s="7">
        <v>4.5505178850711596</v>
      </c>
      <c r="O442" s="7">
        <v>0.93898180169035095</v>
      </c>
      <c r="P442" s="7">
        <v>-9.3959674448378401</v>
      </c>
      <c r="Q442" s="7">
        <v>2.2861383775458481</v>
      </c>
      <c r="U442">
        <v>3.036272906417337</v>
      </c>
      <c r="AT442" s="4" t="s">
        <v>4542</v>
      </c>
    </row>
    <row r="443" spans="1:46">
      <c r="A443" s="2">
        <v>990</v>
      </c>
      <c r="B443" t="s">
        <v>4543</v>
      </c>
      <c r="C443" t="s">
        <v>1674</v>
      </c>
      <c r="D443" t="s">
        <v>3764</v>
      </c>
      <c r="E443" s="4">
        <v>43465</v>
      </c>
      <c r="F443" s="11">
        <v>-25.93795987</v>
      </c>
      <c r="G443" s="11">
        <v>57.96766744</v>
      </c>
      <c r="H443" s="11">
        <v>-9.4235666994000002</v>
      </c>
      <c r="I443" s="11">
        <v>19.373731790699999</v>
      </c>
      <c r="J443" s="11">
        <v>5.8025024507999996</v>
      </c>
      <c r="K443" s="10">
        <v>0.55005563585299999</v>
      </c>
      <c r="L443" s="12">
        <v>3840603342</v>
      </c>
      <c r="M443">
        <v>14.9096750560104</v>
      </c>
      <c r="N443" s="7">
        <v>1.17562828793694</v>
      </c>
      <c r="O443" s="7">
        <v>1.3085890399586599</v>
      </c>
      <c r="P443" s="7">
        <v>21.923512835971099</v>
      </c>
      <c r="Q443" s="7">
        <v>0.60594187100211194</v>
      </c>
      <c r="U443">
        <v>0.14018719307683705</v>
      </c>
      <c r="AT443" s="4" t="s">
        <v>3807</v>
      </c>
    </row>
    <row r="444" spans="1:46">
      <c r="A444" s="2">
        <v>3133</v>
      </c>
      <c r="B444" t="s">
        <v>4544</v>
      </c>
      <c r="C444" t="s">
        <v>447</v>
      </c>
      <c r="D444" t="s">
        <v>3849</v>
      </c>
      <c r="E444" s="4">
        <v>43465</v>
      </c>
      <c r="F444" s="11">
        <v>-19.011476510000001</v>
      </c>
      <c r="G444" s="11">
        <v>57.857142860000003</v>
      </c>
      <c r="H444" s="11">
        <v>-2.6785905360000002</v>
      </c>
      <c r="I444" s="11">
        <v>16.686032870399998</v>
      </c>
      <c r="J444" s="11">
        <v>5.3656919111999999</v>
      </c>
      <c r="K444" s="10">
        <v>0.89256676023799997</v>
      </c>
      <c r="L444" s="12">
        <v>404191101788.75</v>
      </c>
      <c r="M444">
        <v>9.3113008062951508</v>
      </c>
      <c r="N444" s="7">
        <v>0.97319646682931404</v>
      </c>
      <c r="O444" s="7">
        <v>0.489652450557993</v>
      </c>
      <c r="P444" s="7">
        <v>9.04423677558656</v>
      </c>
      <c r="Q444" s="7">
        <v>3.1115879828326176</v>
      </c>
      <c r="U444">
        <v>0.57052267964930148</v>
      </c>
      <c r="AT444" s="4" t="s">
        <v>4545</v>
      </c>
    </row>
    <row r="445" spans="1:46">
      <c r="A445" s="2">
        <v>1808</v>
      </c>
      <c r="B445" t="s">
        <v>4546</v>
      </c>
      <c r="C445" t="s">
        <v>1278</v>
      </c>
      <c r="D445" t="s">
        <v>3790</v>
      </c>
      <c r="E445" s="4">
        <v>43465</v>
      </c>
      <c r="F445" s="11">
        <v>52.561461010000002</v>
      </c>
      <c r="G445" s="11">
        <v>57.853196529999998</v>
      </c>
      <c r="H445" s="11">
        <v>47.729098479599998</v>
      </c>
      <c r="I445" s="11">
        <v>21.279280383</v>
      </c>
      <c r="J445" s="11">
        <v>11.355674156699999</v>
      </c>
      <c r="K445" s="10">
        <v>0.54754897247000001</v>
      </c>
      <c r="L445" s="12">
        <v>6231104880</v>
      </c>
      <c r="M445">
        <v>33.347356436859897</v>
      </c>
      <c r="N445" s="7">
        <v>3.8229844421908901</v>
      </c>
      <c r="O445" s="7">
        <v>3.4445724488449301</v>
      </c>
      <c r="P445" s="7">
        <v>408.69285995186902</v>
      </c>
      <c r="Q445" s="7">
        <v>0.10435946120900487</v>
      </c>
      <c r="U445">
        <v>0.43350189451341653</v>
      </c>
      <c r="AT445" s="4" t="s">
        <v>3985</v>
      </c>
    </row>
    <row r="446" spans="1:46">
      <c r="A446" s="2">
        <v>2540</v>
      </c>
      <c r="B446" t="s">
        <v>4547</v>
      </c>
      <c r="C446" t="s">
        <v>1122</v>
      </c>
      <c r="D446" t="s">
        <v>3781</v>
      </c>
      <c r="E446" s="4">
        <v>43465</v>
      </c>
      <c r="F446" s="11">
        <v>11.005494880000001</v>
      </c>
      <c r="G446" s="11">
        <v>57.85024155</v>
      </c>
      <c r="H446" s="11">
        <v>5.5306070388000004</v>
      </c>
      <c r="I446" s="11">
        <v>18.914979719000002</v>
      </c>
      <c r="J446" s="11">
        <v>7.3760941536000004</v>
      </c>
      <c r="K446" s="10">
        <v>0.86004285659599999</v>
      </c>
      <c r="L446" s="12">
        <v>80776330650</v>
      </c>
      <c r="M446">
        <v>15.7042414170252</v>
      </c>
      <c r="N446" s="7">
        <v>2.2795540564594399</v>
      </c>
      <c r="O446" s="7">
        <v>1.1537383162828301</v>
      </c>
      <c r="P446" s="7">
        <v>89.097413735096296</v>
      </c>
      <c r="Q446" s="7">
        <v>1.2213071370443322</v>
      </c>
      <c r="U446">
        <v>0.51997745044909682</v>
      </c>
      <c r="AT446" s="4" t="s">
        <v>4548</v>
      </c>
    </row>
    <row r="447" spans="1:46">
      <c r="A447" s="2">
        <v>1135</v>
      </c>
      <c r="B447" t="s">
        <v>4549</v>
      </c>
      <c r="C447" t="s">
        <v>376</v>
      </c>
      <c r="D447" t="s">
        <v>3790</v>
      </c>
      <c r="E447" s="4">
        <v>43465</v>
      </c>
      <c r="F447" s="11">
        <v>33.553194329999997</v>
      </c>
      <c r="G447" s="11">
        <v>57.809694790000002</v>
      </c>
      <c r="H447" s="11">
        <v>1.3108756262000001</v>
      </c>
      <c r="I447" s="11">
        <v>55.812168336900001</v>
      </c>
      <c r="J447" s="11">
        <v>21.8998834452</v>
      </c>
      <c r="K447" s="10">
        <v>0.49342630087099998</v>
      </c>
      <c r="L447" s="12">
        <v>30955271149.529999</v>
      </c>
      <c r="M447">
        <v>24.403367733116401</v>
      </c>
      <c r="N447" s="7">
        <v>4.8777493244052703</v>
      </c>
      <c r="O447" s="7">
        <v>4.6241740354901397</v>
      </c>
      <c r="P447" s="7">
        <v>124.523577744012</v>
      </c>
      <c r="Q447" s="7">
        <v>0.53066897403153535</v>
      </c>
      <c r="U447">
        <v>1.2976133138081081</v>
      </c>
      <c r="AT447" s="4" t="s">
        <v>3856</v>
      </c>
    </row>
    <row r="448" spans="1:46">
      <c r="A448" s="2">
        <v>1598</v>
      </c>
      <c r="B448" t="s">
        <v>4550</v>
      </c>
      <c r="C448" t="s">
        <v>2604</v>
      </c>
      <c r="D448" t="s">
        <v>3718</v>
      </c>
      <c r="E448" s="4">
        <v>43465</v>
      </c>
      <c r="F448" s="11">
        <v>-6.2261751900000002</v>
      </c>
      <c r="G448" s="11">
        <v>57.615894040000001</v>
      </c>
      <c r="H448" s="11">
        <v>-44.059478834399997</v>
      </c>
      <c r="I448" s="11">
        <v>38.347525442600002</v>
      </c>
      <c r="J448" s="11">
        <v>-237.85087960089999</v>
      </c>
      <c r="K448" s="10">
        <v>0.15465939501600001</v>
      </c>
      <c r="L448" s="12">
        <v>50978339920.82</v>
      </c>
      <c r="M448">
        <v>62.649481848990398</v>
      </c>
      <c r="N448" s="7">
        <v>3.61944536114465</v>
      </c>
      <c r="O448" s="7">
        <v>4.2856978858882897</v>
      </c>
      <c r="P448" s="7">
        <v>-10.510750163152</v>
      </c>
      <c r="Q448" s="7" t="s">
        <v>3698</v>
      </c>
      <c r="U448">
        <v>-1.4227697516578779</v>
      </c>
      <c r="AT448" s="4" t="s">
        <v>4030</v>
      </c>
    </row>
    <row r="449" spans="1:46">
      <c r="A449" s="2">
        <v>2241</v>
      </c>
      <c r="B449" t="s">
        <v>4551</v>
      </c>
      <c r="C449" t="s">
        <v>2838</v>
      </c>
      <c r="D449" t="s">
        <v>3871</v>
      </c>
      <c r="E449" s="4">
        <v>43465</v>
      </c>
      <c r="F449" s="11">
        <v>-15.28393322</v>
      </c>
      <c r="G449" s="11">
        <v>57.26027397</v>
      </c>
      <c r="H449" s="11">
        <v>30.636535383599998</v>
      </c>
      <c r="I449" s="11">
        <v>32.484917188600001</v>
      </c>
      <c r="J449" s="11">
        <v>5.6980458144000004</v>
      </c>
      <c r="K449" s="10">
        <v>0.25536235131000001</v>
      </c>
      <c r="L449" s="12">
        <v>57059684555.620003</v>
      </c>
      <c r="M449">
        <v>12.178053625033399</v>
      </c>
      <c r="N449" s="7">
        <v>0.74333752485072102</v>
      </c>
      <c r="O449" s="7">
        <v>0.68662561498303498</v>
      </c>
      <c r="P449" s="7">
        <v>-6.3209332183855897</v>
      </c>
      <c r="Q449" s="7">
        <v>0.31897926634768742</v>
      </c>
      <c r="U449">
        <v>0.22246159939389329</v>
      </c>
      <c r="AT449" s="4" t="s">
        <v>4476</v>
      </c>
    </row>
    <row r="450" spans="1:46">
      <c r="A450" s="2">
        <v>1000</v>
      </c>
      <c r="B450" t="s">
        <v>4552</v>
      </c>
      <c r="C450" t="s">
        <v>2342</v>
      </c>
      <c r="D450" t="s">
        <v>4060</v>
      </c>
      <c r="E450" s="4">
        <v>43465</v>
      </c>
      <c r="F450" s="11">
        <v>-28.906220430000001</v>
      </c>
      <c r="G450" s="11">
        <v>57.196969699999997</v>
      </c>
      <c r="H450" s="11">
        <v>-3.3115147729999999</v>
      </c>
      <c r="I450" s="11">
        <v>20.256953820700002</v>
      </c>
      <c r="J450" s="11">
        <v>-1.9819131477</v>
      </c>
      <c r="K450" s="10">
        <v>0.57667852213500004</v>
      </c>
      <c r="L450" s="12">
        <v>4326012112.1400003</v>
      </c>
      <c r="M450">
        <v>-44.329923049642503</v>
      </c>
      <c r="N450" s="7">
        <v>1.9286224617866701</v>
      </c>
      <c r="O450" s="7">
        <v>1.3962731637052499</v>
      </c>
      <c r="P450" s="7">
        <v>-13.447118132344601</v>
      </c>
      <c r="Q450" s="7">
        <v>1.4150943396226416</v>
      </c>
      <c r="U450">
        <v>-4.9536055520230424E-2</v>
      </c>
      <c r="AT450" s="4" t="s">
        <v>4553</v>
      </c>
    </row>
    <row r="451" spans="1:46">
      <c r="A451" s="2">
        <v>3272</v>
      </c>
      <c r="B451" t="s">
        <v>4554</v>
      </c>
      <c r="C451" t="s">
        <v>1930</v>
      </c>
      <c r="D451" t="s">
        <v>3752</v>
      </c>
      <c r="E451" s="4">
        <v>43465</v>
      </c>
      <c r="F451" s="11">
        <v>-11.005844659999999</v>
      </c>
      <c r="G451" s="11">
        <v>57.183364840000003</v>
      </c>
      <c r="H451" s="11">
        <v>-0.6924922926</v>
      </c>
      <c r="I451" s="11">
        <v>28.816714735000001</v>
      </c>
      <c r="J451" s="11">
        <v>8.3579595439999999</v>
      </c>
      <c r="K451" s="10">
        <v>0.53364435539099997</v>
      </c>
      <c r="L451" s="12">
        <v>14480651583.450001</v>
      </c>
      <c r="M451">
        <v>53.032689979490897</v>
      </c>
      <c r="N451" s="7">
        <v>2.4003607443746899</v>
      </c>
      <c r="O451" s="7">
        <v>4.1334090533699701</v>
      </c>
      <c r="P451" s="7">
        <v>27.0972035610258</v>
      </c>
      <c r="Q451" s="7">
        <v>1.9350380096751902</v>
      </c>
      <c r="U451">
        <v>0.22818837510117693</v>
      </c>
      <c r="AT451" s="4" t="s">
        <v>4555</v>
      </c>
    </row>
    <row r="452" spans="1:46">
      <c r="A452" s="2">
        <v>3445</v>
      </c>
      <c r="B452" t="s">
        <v>4556</v>
      </c>
      <c r="C452" t="s">
        <v>115</v>
      </c>
      <c r="D452" t="s">
        <v>3785</v>
      </c>
      <c r="E452" s="4">
        <v>43465</v>
      </c>
      <c r="F452" s="11">
        <v>23.855559070000002</v>
      </c>
      <c r="G452" s="11">
        <v>57.114342739999998</v>
      </c>
      <c r="H452" s="11">
        <v>18.495219222100001</v>
      </c>
      <c r="I452" s="11">
        <v>74.367815358800001</v>
      </c>
      <c r="J452" s="11">
        <v>35.902464795100002</v>
      </c>
      <c r="K452" s="10">
        <v>0.51686722543600006</v>
      </c>
      <c r="L452" s="12">
        <v>9116335947.5699997</v>
      </c>
      <c r="M452">
        <v>16.106850426132301</v>
      </c>
      <c r="N452" s="7">
        <v>3.4118117222788502</v>
      </c>
      <c r="O452" s="7">
        <v>5.1385741415487898</v>
      </c>
      <c r="P452" s="7">
        <v>-148.80779639305999</v>
      </c>
      <c r="Q452" s="7">
        <v>2.785515320334262</v>
      </c>
      <c r="T452" s="2"/>
      <c r="U452">
        <v>2.5544392245999998</v>
      </c>
      <c r="AT452" s="4" t="s">
        <v>4557</v>
      </c>
    </row>
    <row r="453" spans="1:46">
      <c r="A453" s="2">
        <v>1758</v>
      </c>
      <c r="B453" t="s">
        <v>4558</v>
      </c>
      <c r="C453" t="s">
        <v>2706</v>
      </c>
      <c r="D453" t="s">
        <v>3713</v>
      </c>
      <c r="E453" s="4">
        <v>43465</v>
      </c>
      <c r="F453" s="11">
        <v>25.625359490000001</v>
      </c>
      <c r="G453" s="11">
        <v>56.932153390000003</v>
      </c>
      <c r="H453" s="11">
        <v>-6.6014669863000002</v>
      </c>
      <c r="I453" s="11">
        <v>62.076607235600001</v>
      </c>
      <c r="J453" s="11">
        <v>14.6709115124</v>
      </c>
      <c r="K453" s="10">
        <v>0.242056790828</v>
      </c>
      <c r="L453" s="12">
        <v>2355790098.1999998</v>
      </c>
      <c r="M453">
        <v>1954.5184094625999</v>
      </c>
      <c r="N453" s="7">
        <v>2.7783071667892401</v>
      </c>
      <c r="O453" s="7">
        <v>9.8922239821874403</v>
      </c>
      <c r="P453" s="7">
        <v>-257.365908662224</v>
      </c>
      <c r="Q453" s="7">
        <v>0.61475409836065575</v>
      </c>
      <c r="U453">
        <v>3.6371047023809527E-2</v>
      </c>
      <c r="AT453" s="4" t="s">
        <v>4115</v>
      </c>
    </row>
    <row r="454" spans="1:46">
      <c r="A454" s="2">
        <v>2055</v>
      </c>
      <c r="B454" t="s">
        <v>4559</v>
      </c>
      <c r="C454" t="s">
        <v>2275</v>
      </c>
      <c r="D454" t="s">
        <v>3737</v>
      </c>
      <c r="E454" s="4">
        <v>43465</v>
      </c>
      <c r="F454" s="11">
        <v>-2.7767966500000001</v>
      </c>
      <c r="G454" s="11">
        <v>56.926528320000003</v>
      </c>
      <c r="H454" s="11">
        <v>-9.9731658244000005</v>
      </c>
      <c r="I454" s="11">
        <v>29.269433667000001</v>
      </c>
      <c r="J454" s="11">
        <v>9.1833053206000006</v>
      </c>
      <c r="K454" s="10">
        <v>0.35012091374400001</v>
      </c>
      <c r="L454" s="12">
        <v>32946000000</v>
      </c>
      <c r="M454">
        <v>53.963902157750198</v>
      </c>
      <c r="N454" s="7">
        <v>2.2050458086902398</v>
      </c>
      <c r="O454" s="7">
        <v>5.5447564550213801</v>
      </c>
      <c r="P454" s="7">
        <v>-59.698454491220602</v>
      </c>
      <c r="Q454" s="7">
        <v>0.16860858895705522</v>
      </c>
      <c r="U454">
        <v>0.30137989741384608</v>
      </c>
      <c r="AT454" s="4" t="s">
        <v>4560</v>
      </c>
    </row>
    <row r="455" spans="1:46">
      <c r="A455" s="2">
        <v>807</v>
      </c>
      <c r="B455" t="s">
        <v>4561</v>
      </c>
      <c r="C455" t="s">
        <v>2930</v>
      </c>
      <c r="D455" t="s">
        <v>3713</v>
      </c>
      <c r="E455" s="4">
        <v>43465</v>
      </c>
      <c r="F455" s="11">
        <v>6.7024128699999999</v>
      </c>
      <c r="G455" s="11">
        <v>56.862745099999998</v>
      </c>
      <c r="H455" s="11">
        <v>-3.3250240939000002</v>
      </c>
      <c r="I455" s="11">
        <v>47.335528423600003</v>
      </c>
      <c r="J455" s="11">
        <v>6.5167265822999996</v>
      </c>
      <c r="K455" s="10">
        <v>0.24603148408200001</v>
      </c>
      <c r="L455" s="12">
        <v>3548160000</v>
      </c>
      <c r="M455">
        <v>-12.5008535334733</v>
      </c>
      <c r="N455" s="7">
        <v>1.3537384324383399</v>
      </c>
      <c r="O455" s="7">
        <v>3.8617343955121699</v>
      </c>
      <c r="P455" s="7">
        <v>-5.7948712223010697</v>
      </c>
      <c r="Q455" s="7" t="s">
        <v>3698</v>
      </c>
      <c r="U455">
        <v>7.3629431512145738E-2</v>
      </c>
      <c r="AT455" s="4" t="s">
        <v>4562</v>
      </c>
    </row>
    <row r="456" spans="1:46">
      <c r="A456" s="2">
        <v>843</v>
      </c>
      <c r="B456" t="s">
        <v>4563</v>
      </c>
      <c r="C456" t="s">
        <v>1596</v>
      </c>
      <c r="D456" t="s">
        <v>3737</v>
      </c>
      <c r="E456" s="4">
        <v>43465</v>
      </c>
      <c r="F456" s="11">
        <v>22.6773019</v>
      </c>
      <c r="G456" s="11">
        <v>56.769983689999997</v>
      </c>
      <c r="H456" s="11">
        <v>26.965277776299999</v>
      </c>
      <c r="I456" s="11">
        <v>59.085790109500003</v>
      </c>
      <c r="J456" s="11">
        <v>9.5359969249999992</v>
      </c>
      <c r="K456" s="10">
        <v>0.68477929549299998</v>
      </c>
      <c r="L456" s="12">
        <v>2402625680</v>
      </c>
      <c r="M456">
        <v>22.306377809387399</v>
      </c>
      <c r="N456" s="7">
        <v>2.7726648228535899</v>
      </c>
      <c r="O456" s="7">
        <v>1.5983281470188899</v>
      </c>
      <c r="P456" s="7">
        <v>59.945987995383497</v>
      </c>
      <c r="Q456" s="7">
        <v>0.60634328358208944</v>
      </c>
      <c r="U456">
        <v>0.32892268892879989</v>
      </c>
      <c r="AT456" s="4" t="s">
        <v>4564</v>
      </c>
    </row>
    <row r="457" spans="1:46">
      <c r="A457" s="2">
        <v>1911</v>
      </c>
      <c r="B457" t="s">
        <v>4565</v>
      </c>
      <c r="C457" t="s">
        <v>1816</v>
      </c>
      <c r="D457" t="s">
        <v>3718</v>
      </c>
      <c r="E457" s="4">
        <v>43465</v>
      </c>
      <c r="F457" s="11">
        <v>0.32755643000000001</v>
      </c>
      <c r="G457" s="11">
        <v>56.714178539999999</v>
      </c>
      <c r="H457" s="11">
        <v>37.510506634000002</v>
      </c>
      <c r="I457" s="11">
        <v>26.356202224499999</v>
      </c>
      <c r="J457" s="11">
        <v>9.0635698869999999</v>
      </c>
      <c r="K457" s="10">
        <v>0.44743029987799998</v>
      </c>
      <c r="L457" s="12">
        <v>2998185103.1999998</v>
      </c>
      <c r="M457">
        <v>46.901170899357403</v>
      </c>
      <c r="N457" s="7">
        <v>2.6544492069707601</v>
      </c>
      <c r="O457" s="7">
        <v>4.2135619222345602</v>
      </c>
      <c r="P457" s="7">
        <v>-68.784435351770597</v>
      </c>
      <c r="Q457" s="7">
        <v>0.18134715025906734</v>
      </c>
      <c r="U457">
        <v>0.39452821055866605</v>
      </c>
      <c r="AT457" s="4" t="s">
        <v>4065</v>
      </c>
    </row>
    <row r="458" spans="1:46">
      <c r="A458" s="2">
        <v>568</v>
      </c>
      <c r="B458" t="s">
        <v>4566</v>
      </c>
      <c r="C458" t="s">
        <v>908</v>
      </c>
      <c r="D458" t="s">
        <v>3769</v>
      </c>
      <c r="E458" s="4">
        <v>43465</v>
      </c>
      <c r="F458" s="11">
        <v>62.621436549999999</v>
      </c>
      <c r="G458" s="11">
        <v>56.701030930000002</v>
      </c>
      <c r="H458" s="11">
        <v>10.5906307401</v>
      </c>
      <c r="I458" s="11">
        <v>25.172187770099999</v>
      </c>
      <c r="J458" s="11">
        <v>9.5594760003000001</v>
      </c>
      <c r="K458" s="10">
        <v>0.75054078286799997</v>
      </c>
      <c r="L458" s="12">
        <v>9043014078.4200001</v>
      </c>
      <c r="M458">
        <v>23.660533404159299</v>
      </c>
      <c r="N458" s="7">
        <v>1.67680065538515</v>
      </c>
      <c r="O458" s="7">
        <v>1.77374356431823</v>
      </c>
      <c r="P458" s="7">
        <v>-31.478817202726901</v>
      </c>
      <c r="Q458" s="7">
        <v>0.82610491532424613</v>
      </c>
      <c r="U458">
        <v>0.31889893381812445</v>
      </c>
      <c r="AT458" s="4" t="s">
        <v>4300</v>
      </c>
    </row>
    <row r="459" spans="1:46">
      <c r="A459" s="2">
        <v>1432</v>
      </c>
      <c r="B459" t="s">
        <v>4567</v>
      </c>
      <c r="C459" t="s">
        <v>1000</v>
      </c>
      <c r="D459" t="s">
        <v>3737</v>
      </c>
      <c r="E459" s="4">
        <v>43465</v>
      </c>
      <c r="F459" s="11">
        <v>-9.2167793400000004</v>
      </c>
      <c r="G459" s="11">
        <v>56.666666669999998</v>
      </c>
      <c r="H459" s="11">
        <v>21.862754988399999</v>
      </c>
      <c r="I459" s="11">
        <v>60.796153596099998</v>
      </c>
      <c r="J459" s="11">
        <v>5.8331213163999998</v>
      </c>
      <c r="K459" s="10">
        <v>0.53131581612599998</v>
      </c>
      <c r="L459" s="12">
        <v>3712785679.8000002</v>
      </c>
      <c r="M459">
        <v>75.2650842848536</v>
      </c>
      <c r="N459" s="7">
        <v>1.8647947082168399</v>
      </c>
      <c r="O459" s="7">
        <v>1.98005759872698</v>
      </c>
      <c r="P459" s="7">
        <v>-26.432324756536001</v>
      </c>
      <c r="Q459" s="7">
        <v>1.0224948875255624</v>
      </c>
      <c r="U459">
        <v>0.12065789859799098</v>
      </c>
      <c r="AT459" s="4" t="s">
        <v>3770</v>
      </c>
    </row>
    <row r="460" spans="1:46">
      <c r="A460" s="2">
        <v>26</v>
      </c>
      <c r="B460" t="s">
        <v>4568</v>
      </c>
      <c r="C460" t="s">
        <v>1121</v>
      </c>
      <c r="D460" t="s">
        <v>4060</v>
      </c>
      <c r="E460" s="4">
        <v>43465</v>
      </c>
      <c r="F460" s="11">
        <v>2.3453269300000001</v>
      </c>
      <c r="G460" s="11">
        <v>56.607089299999998</v>
      </c>
      <c r="H460" s="11">
        <v>1.6331142758999999</v>
      </c>
      <c r="I460" s="11">
        <v>41.366306740100001</v>
      </c>
      <c r="J460" s="11">
        <v>5.4061980873</v>
      </c>
      <c r="K460" s="10">
        <v>0.94726915145199997</v>
      </c>
      <c r="L460" s="12">
        <v>5281141783.6800003</v>
      </c>
      <c r="M460">
        <v>23.396887489905499</v>
      </c>
      <c r="N460" s="7">
        <v>1.24446787918299</v>
      </c>
      <c r="O460" s="7">
        <v>0.93117794967371703</v>
      </c>
      <c r="P460" s="7">
        <v>-37.394044279007502</v>
      </c>
      <c r="Q460" s="7">
        <v>2.3792985781990525</v>
      </c>
      <c r="U460">
        <v>0.41900225678074632</v>
      </c>
      <c r="AT460" s="4" t="s">
        <v>4569</v>
      </c>
    </row>
    <row r="461" spans="1:46">
      <c r="A461" s="2">
        <v>1965</v>
      </c>
      <c r="B461" t="s">
        <v>4570</v>
      </c>
      <c r="C461" t="s">
        <v>3322</v>
      </c>
      <c r="D461" t="s">
        <v>3713</v>
      </c>
      <c r="E461" s="4">
        <v>43465</v>
      </c>
      <c r="F461" s="11">
        <v>39.113891610000003</v>
      </c>
      <c r="G461" s="11">
        <v>56.578947370000002</v>
      </c>
      <c r="H461" s="11">
        <v>37.418420534600003</v>
      </c>
      <c r="I461" s="11">
        <v>15.8688614842</v>
      </c>
      <c r="J461" s="11">
        <v>3.6816752967999999</v>
      </c>
      <c r="K461" s="10">
        <v>1.049810924845</v>
      </c>
      <c r="L461" s="12">
        <v>4589162808.25</v>
      </c>
      <c r="M461">
        <v>53.134894829518799</v>
      </c>
      <c r="N461" s="7">
        <v>3.1946484684654299</v>
      </c>
      <c r="O461" s="7">
        <v>1.86999774535487</v>
      </c>
      <c r="P461" s="7">
        <v>-11.259090868977299</v>
      </c>
      <c r="Q461" s="7">
        <v>0.317164673711334</v>
      </c>
      <c r="U461">
        <v>0.28254658668624172</v>
      </c>
      <c r="AT461" s="4" t="s">
        <v>4571</v>
      </c>
    </row>
    <row r="462" spans="1:46">
      <c r="A462" s="2">
        <v>3250</v>
      </c>
      <c r="B462" t="s">
        <v>4572</v>
      </c>
      <c r="C462" t="s">
        <v>1824</v>
      </c>
      <c r="D462" t="s">
        <v>3972</v>
      </c>
      <c r="E462" s="4">
        <v>43465</v>
      </c>
      <c r="F462" s="11">
        <v>-17.896982869999999</v>
      </c>
      <c r="G462" s="11">
        <v>56.534954409999997</v>
      </c>
      <c r="H462" s="11">
        <v>1.0645972105999999</v>
      </c>
      <c r="I462" s="11">
        <v>23.766887375900001</v>
      </c>
      <c r="J462" s="11">
        <v>5.4023743112</v>
      </c>
      <c r="K462" s="10">
        <v>0.586015250145</v>
      </c>
      <c r="L462" s="12">
        <v>4912524890.29</v>
      </c>
      <c r="M462">
        <v>59.044790827765802</v>
      </c>
      <c r="N462" s="7">
        <v>1.87089678137079</v>
      </c>
      <c r="O462" s="7">
        <v>1.8990014179404699</v>
      </c>
      <c r="P462" s="7">
        <v>-23.7953258627679</v>
      </c>
      <c r="Q462" s="7">
        <v>0.77419354838709675</v>
      </c>
      <c r="U462">
        <v>0.18632697693037975</v>
      </c>
      <c r="AT462" s="4" t="s">
        <v>4210</v>
      </c>
    </row>
    <row r="463" spans="1:46">
      <c r="A463" s="2">
        <v>386</v>
      </c>
      <c r="B463" t="s">
        <v>4573</v>
      </c>
      <c r="C463" t="s">
        <v>1928</v>
      </c>
      <c r="D463" t="s">
        <v>3769</v>
      </c>
      <c r="E463" s="4">
        <v>43465</v>
      </c>
      <c r="F463" s="11">
        <v>4.6849757700000003</v>
      </c>
      <c r="G463" s="11">
        <v>56.391875749999997</v>
      </c>
      <c r="H463" s="11">
        <v>29.1845034991</v>
      </c>
      <c r="I463" s="11">
        <v>20.087708630600002</v>
      </c>
      <c r="J463" s="11">
        <v>10.965082130900001</v>
      </c>
      <c r="K463" s="10">
        <v>0.40582195881400002</v>
      </c>
      <c r="L463" s="12">
        <v>4109084622.1799998</v>
      </c>
      <c r="M463">
        <v>106.20438259871599</v>
      </c>
      <c r="N463" s="7">
        <v>3.8657343559472599</v>
      </c>
      <c r="O463" s="7">
        <v>11.7454662590764</v>
      </c>
      <c r="P463" s="7">
        <v>-122.34511934031499</v>
      </c>
      <c r="Q463" s="7" t="s">
        <v>3698</v>
      </c>
      <c r="U463">
        <v>0.10376658004276225</v>
      </c>
      <c r="AT463" s="4" t="s">
        <v>4574</v>
      </c>
    </row>
    <row r="464" spans="1:46">
      <c r="A464" s="2">
        <v>3165</v>
      </c>
      <c r="B464" t="s">
        <v>4575</v>
      </c>
      <c r="C464" t="s">
        <v>1793</v>
      </c>
      <c r="D464" t="s">
        <v>3837</v>
      </c>
      <c r="E464" s="4">
        <v>43465</v>
      </c>
      <c r="F464" s="11">
        <v>-31.533794489999998</v>
      </c>
      <c r="G464" s="11">
        <v>56.336088150000002</v>
      </c>
      <c r="H464" s="11">
        <v>-19.867656484499999</v>
      </c>
      <c r="I464" s="11" t="s">
        <v>3698</v>
      </c>
      <c r="J464" s="11">
        <v>19.945790960499998</v>
      </c>
      <c r="K464" s="10" t="s">
        <v>3698</v>
      </c>
      <c r="L464" s="12">
        <v>3270600000</v>
      </c>
      <c r="M464">
        <v>30.228497295926299</v>
      </c>
      <c r="N464" s="7">
        <v>1.77363162696071</v>
      </c>
      <c r="O464" s="7">
        <v>6.1701086919294603</v>
      </c>
      <c r="P464" s="7">
        <v>-16.959112984803301</v>
      </c>
      <c r="Q464" s="7">
        <v>0.83631723235222355</v>
      </c>
      <c r="U464">
        <v>0.22108720294225595</v>
      </c>
      <c r="AT464" s="4" t="s">
        <v>4576</v>
      </c>
    </row>
    <row r="465" spans="1:46">
      <c r="A465" s="2">
        <v>2917</v>
      </c>
      <c r="B465" t="s">
        <v>4577</v>
      </c>
      <c r="C465" t="s">
        <v>2850</v>
      </c>
      <c r="D465" t="s">
        <v>3752</v>
      </c>
      <c r="E465" s="4">
        <v>43465</v>
      </c>
      <c r="F465" s="11">
        <v>-14.65517241</v>
      </c>
      <c r="G465" s="11">
        <v>56.329113919999998</v>
      </c>
      <c r="H465" s="11">
        <v>7.6554230144000002</v>
      </c>
      <c r="I465" s="11">
        <v>23.421009998199999</v>
      </c>
      <c r="J465" s="11">
        <v>0.60507219960000003</v>
      </c>
      <c r="K465" s="10">
        <v>0.39818905044199998</v>
      </c>
      <c r="L465" s="12">
        <v>12712321193.76</v>
      </c>
      <c r="M465">
        <v>-82.148418276962801</v>
      </c>
      <c r="N465" s="7">
        <v>1.5120855926811401</v>
      </c>
      <c r="O465" s="7">
        <v>2.1434408074743998</v>
      </c>
      <c r="P465" s="7">
        <v>54.446632506452097</v>
      </c>
      <c r="Q465" s="7" t="s">
        <v>3698</v>
      </c>
      <c r="U465">
        <v>2.0233314455934664E-3</v>
      </c>
      <c r="AT465" s="4" t="s">
        <v>4539</v>
      </c>
    </row>
    <row r="466" spans="1:46">
      <c r="A466" s="2">
        <v>1875</v>
      </c>
      <c r="B466" t="s">
        <v>4578</v>
      </c>
      <c r="C466" t="s">
        <v>201</v>
      </c>
      <c r="D466" t="s">
        <v>3718</v>
      </c>
      <c r="E466" s="4">
        <v>43465</v>
      </c>
      <c r="F466" s="11">
        <v>59.67191794</v>
      </c>
      <c r="G466" s="11">
        <v>56.288873529999996</v>
      </c>
      <c r="H466" s="11">
        <v>78.696464503599998</v>
      </c>
      <c r="I466" s="11">
        <v>39.0824581639</v>
      </c>
      <c r="J466" s="11">
        <v>19.085722262400001</v>
      </c>
      <c r="K466" s="10">
        <v>0.51603210712100001</v>
      </c>
      <c r="L466" s="12">
        <v>37100131998.089996</v>
      </c>
      <c r="M466">
        <v>32.154164434579798</v>
      </c>
      <c r="N466" s="7">
        <v>10.857543647194101</v>
      </c>
      <c r="O466" s="7">
        <v>6.6708735798190801</v>
      </c>
      <c r="P466" s="7">
        <v>-114.22527615350801</v>
      </c>
      <c r="Q466" s="7">
        <v>0.74091961994186151</v>
      </c>
      <c r="U466">
        <v>0.8420955912758934</v>
      </c>
      <c r="AT466" s="4" t="s">
        <v>4069</v>
      </c>
    </row>
    <row r="467" spans="1:46">
      <c r="A467" s="2">
        <v>3338</v>
      </c>
      <c r="B467" t="s">
        <v>4579</v>
      </c>
      <c r="C467" t="s">
        <v>92</v>
      </c>
      <c r="D467" t="s">
        <v>3785</v>
      </c>
      <c r="E467" s="4">
        <v>43465</v>
      </c>
      <c r="F467" s="11">
        <v>104.82553905</v>
      </c>
      <c r="G467" s="11">
        <v>56.264534879999999</v>
      </c>
      <c r="H467" s="11">
        <v>16.8</v>
      </c>
      <c r="I467" s="11">
        <v>46.467085377499998</v>
      </c>
      <c r="J467" s="11">
        <v>25.6343306427</v>
      </c>
      <c r="K467" s="10">
        <v>0.93391271933099995</v>
      </c>
      <c r="L467" s="12">
        <v>5031794988</v>
      </c>
      <c r="M467">
        <v>47.597759580545201</v>
      </c>
      <c r="N467" s="7">
        <v>13.421024355972699</v>
      </c>
      <c r="O467" s="7">
        <v>11.2937677889736</v>
      </c>
      <c r="P467" s="7">
        <v>56.090448973344301</v>
      </c>
      <c r="Q467" s="7">
        <v>0.91605907646289031</v>
      </c>
      <c r="T467" s="2"/>
      <c r="U467">
        <v>1.6163763094273615</v>
      </c>
      <c r="AT467" s="4" t="s">
        <v>4580</v>
      </c>
    </row>
    <row r="468" spans="1:46">
      <c r="A468" s="2">
        <v>1264</v>
      </c>
      <c r="B468" t="s">
        <v>4581</v>
      </c>
      <c r="C468" t="s">
        <v>967</v>
      </c>
      <c r="D468" t="s">
        <v>3842</v>
      </c>
      <c r="E468" s="4">
        <v>43465</v>
      </c>
      <c r="F468" s="11">
        <v>-25.625187149999999</v>
      </c>
      <c r="G468" s="11">
        <v>56.12416107</v>
      </c>
      <c r="H468" s="11">
        <v>18.929889135300002</v>
      </c>
      <c r="I468" s="11">
        <v>14.9533185895</v>
      </c>
      <c r="J468" s="11">
        <v>8.0564599264000005</v>
      </c>
      <c r="K468" s="10">
        <v>1.154422813374</v>
      </c>
      <c r="L468" s="12">
        <v>39612195373.800003</v>
      </c>
      <c r="M468">
        <v>12.6047683875821</v>
      </c>
      <c r="N468" s="7">
        <v>1.3180679334572101</v>
      </c>
      <c r="O468" s="7">
        <v>0.90449676333958196</v>
      </c>
      <c r="P468" s="7">
        <v>75.293930616102898</v>
      </c>
      <c r="Q468" s="7">
        <v>6.3011972274732191</v>
      </c>
      <c r="U468">
        <v>1.0758225358611111</v>
      </c>
      <c r="AT468" s="4" t="s">
        <v>4038</v>
      </c>
    </row>
    <row r="469" spans="1:46">
      <c r="A469" s="2">
        <v>3052</v>
      </c>
      <c r="B469" t="s">
        <v>4582</v>
      </c>
      <c r="C469" t="s">
        <v>1637</v>
      </c>
      <c r="D469" t="s">
        <v>3837</v>
      </c>
      <c r="E469" s="4">
        <v>43465</v>
      </c>
      <c r="F469" s="11">
        <v>-36.904658879999999</v>
      </c>
      <c r="G469" s="11">
        <v>56.094182830000001</v>
      </c>
      <c r="H469" s="11">
        <v>-21.132600211500002</v>
      </c>
      <c r="I469" s="11" t="s">
        <v>3698</v>
      </c>
      <c r="J469" s="11">
        <v>25.664292942399999</v>
      </c>
      <c r="K469" s="10" t="s">
        <v>3698</v>
      </c>
      <c r="L469" s="12">
        <v>290316707743.40002</v>
      </c>
      <c r="M469">
        <v>27.248769085858399</v>
      </c>
      <c r="N469" s="7">
        <v>1.3520537321472099</v>
      </c>
      <c r="O469" s="7">
        <v>8.0103160301057095</v>
      </c>
      <c r="P469" s="7">
        <v>73.046340224919206</v>
      </c>
      <c r="Q469" s="7">
        <v>0.73375262054507329</v>
      </c>
      <c r="U469">
        <v>0.22815159278629144</v>
      </c>
      <c r="AT469" s="4" t="s">
        <v>4583</v>
      </c>
    </row>
    <row r="470" spans="1:46">
      <c r="A470" s="2">
        <v>1824</v>
      </c>
      <c r="B470" t="s">
        <v>4584</v>
      </c>
      <c r="C470" t="s">
        <v>3338</v>
      </c>
      <c r="D470" t="s">
        <v>3713</v>
      </c>
      <c r="E470" s="4">
        <v>43465</v>
      </c>
      <c r="F470" s="11">
        <v>-10.600804</v>
      </c>
      <c r="G470" s="11">
        <v>56</v>
      </c>
      <c r="H470" s="11">
        <v>7.5584464525000001</v>
      </c>
      <c r="I470" s="11">
        <v>21.188407701199999</v>
      </c>
      <c r="J470" s="11">
        <v>7.5935609944999998</v>
      </c>
      <c r="K470" s="10">
        <v>0.66019943019600003</v>
      </c>
      <c r="L470" s="12">
        <v>6462000000</v>
      </c>
      <c r="M470">
        <v>175.75341111297701</v>
      </c>
      <c r="N470" s="7">
        <v>3.9972637436401599</v>
      </c>
      <c r="O470" s="7">
        <v>5.2401822047588302</v>
      </c>
      <c r="P470" s="7">
        <v>293.49653089392098</v>
      </c>
      <c r="Q470" s="7">
        <v>0.19247594050743655</v>
      </c>
      <c r="U470">
        <v>0.1270438281882591</v>
      </c>
      <c r="AT470" s="4" t="s">
        <v>4585</v>
      </c>
    </row>
    <row r="471" spans="1:46">
      <c r="A471" s="2">
        <v>3639</v>
      </c>
      <c r="B471" t="s">
        <v>4586</v>
      </c>
      <c r="C471" t="s">
        <v>2904</v>
      </c>
      <c r="D471" t="s">
        <v>3889</v>
      </c>
      <c r="E471" s="4">
        <v>43465</v>
      </c>
      <c r="F471" s="11">
        <v>-3.56615774</v>
      </c>
      <c r="G471" s="11">
        <v>55.991735540000001</v>
      </c>
      <c r="H471" s="11">
        <v>-8.4206160285999996</v>
      </c>
      <c r="I471" s="11">
        <v>20.675757431499999</v>
      </c>
      <c r="J471" s="11">
        <v>5.3148143496999998</v>
      </c>
      <c r="K471" s="10">
        <v>0.38172400174799997</v>
      </c>
      <c r="L471" s="12">
        <v>40699260000</v>
      </c>
      <c r="M471">
        <v>79.779871998972595</v>
      </c>
      <c r="N471" s="7">
        <v>1.6595884608139</v>
      </c>
      <c r="O471" s="7">
        <v>3.8029073945150702</v>
      </c>
      <c r="P471" s="7">
        <v>-771.578769381803</v>
      </c>
      <c r="Q471" s="7">
        <v>0.36163522012578619</v>
      </c>
      <c r="U471">
        <v>7.3737039010416658E-2</v>
      </c>
      <c r="AT471" s="4" t="s">
        <v>4010</v>
      </c>
    </row>
    <row r="472" spans="1:46">
      <c r="A472" s="2">
        <v>617</v>
      </c>
      <c r="B472" t="s">
        <v>4587</v>
      </c>
      <c r="C472" t="s">
        <v>3311</v>
      </c>
      <c r="D472" t="s">
        <v>3721</v>
      </c>
      <c r="E472" s="4">
        <v>43465</v>
      </c>
      <c r="F472" s="11">
        <v>-3.6902863300000002</v>
      </c>
      <c r="G472" s="11">
        <v>55.940594060000002</v>
      </c>
      <c r="H472" s="11">
        <v>10.696838681799999</v>
      </c>
      <c r="I472" s="11">
        <v>12.673622122199999</v>
      </c>
      <c r="J472" s="11">
        <v>5.1520408661000001</v>
      </c>
      <c r="K472" s="10">
        <v>0.92805295812199995</v>
      </c>
      <c r="L472" s="12">
        <v>2722928000</v>
      </c>
      <c r="M472">
        <v>22.8722729071693</v>
      </c>
      <c r="N472" s="7">
        <v>1.1132994884557701</v>
      </c>
      <c r="O472" s="7">
        <v>0.99281744672452699</v>
      </c>
      <c r="P472" s="7">
        <v>43.976305907586301</v>
      </c>
      <c r="Q472" s="7">
        <v>1.1235955056179776</v>
      </c>
      <c r="U472">
        <v>0.31870542751528957</v>
      </c>
      <c r="AT472" s="4" t="s">
        <v>4588</v>
      </c>
    </row>
    <row r="473" spans="1:46">
      <c r="A473" s="2">
        <v>1355</v>
      </c>
      <c r="B473" t="s">
        <v>4589</v>
      </c>
      <c r="C473" t="s">
        <v>2542</v>
      </c>
      <c r="D473" t="s">
        <v>3721</v>
      </c>
      <c r="E473" s="4">
        <v>43465</v>
      </c>
      <c r="F473" s="11">
        <v>2.0129446999999998</v>
      </c>
      <c r="G473" s="11">
        <v>55.8411215</v>
      </c>
      <c r="H473" s="11">
        <v>44.965526840099997</v>
      </c>
      <c r="I473" s="11">
        <v>15.730302438400001</v>
      </c>
      <c r="J473" s="11">
        <v>1.1591545818</v>
      </c>
      <c r="K473" s="10">
        <v>0.98062813750300004</v>
      </c>
      <c r="L473" s="12">
        <v>4227840000</v>
      </c>
      <c r="M473">
        <v>42.439336881543703</v>
      </c>
      <c r="N473" s="7">
        <v>1.76115465480403</v>
      </c>
      <c r="O473" s="7">
        <v>0.99392048905071195</v>
      </c>
      <c r="P473" s="7">
        <v>-11.5023869396839</v>
      </c>
      <c r="Q473" s="7">
        <v>0.22999080036798528</v>
      </c>
      <c r="U473">
        <v>0.12219902341666668</v>
      </c>
      <c r="AT473" s="4" t="s">
        <v>4590</v>
      </c>
    </row>
    <row r="474" spans="1:46">
      <c r="A474" s="2">
        <v>822</v>
      </c>
      <c r="B474" t="s">
        <v>4591</v>
      </c>
      <c r="C474" t="s">
        <v>1737</v>
      </c>
      <c r="D474" t="s">
        <v>3781</v>
      </c>
      <c r="E474" s="4">
        <v>43465</v>
      </c>
      <c r="F474" s="11">
        <v>57.194172799999997</v>
      </c>
      <c r="G474" s="11">
        <v>55.761760899999999</v>
      </c>
      <c r="H474" s="11">
        <v>29.487061331900001</v>
      </c>
      <c r="I474" s="11">
        <v>10.7718352833</v>
      </c>
      <c r="J474" s="11">
        <v>3.5200636367999998</v>
      </c>
      <c r="K474" s="10">
        <v>2.7620036887260002</v>
      </c>
      <c r="L474" s="12">
        <v>6712311681.6000004</v>
      </c>
      <c r="M474">
        <v>28.5308531862077</v>
      </c>
      <c r="N474" s="7">
        <v>4.97374379134693</v>
      </c>
      <c r="O474" s="7">
        <v>0.99310049972210801</v>
      </c>
      <c r="P474" s="7">
        <v>45.7374459967089</v>
      </c>
      <c r="Q474" s="7">
        <v>0.97719869706840379</v>
      </c>
      <c r="U474">
        <v>0.90897524487628745</v>
      </c>
      <c r="AT474" s="4" t="s">
        <v>4592</v>
      </c>
    </row>
    <row r="475" spans="1:46">
      <c r="A475" s="2">
        <v>1890</v>
      </c>
      <c r="B475" t="s">
        <v>4593</v>
      </c>
      <c r="C475" t="s">
        <v>3018</v>
      </c>
      <c r="D475" t="s">
        <v>3713</v>
      </c>
      <c r="E475" s="4">
        <v>43465</v>
      </c>
      <c r="F475" s="11">
        <v>9.6683275599999998</v>
      </c>
      <c r="G475" s="11">
        <v>55.740432609999999</v>
      </c>
      <c r="H475" s="11">
        <v>20.608324190400001</v>
      </c>
      <c r="I475" s="11">
        <v>22.8812193196</v>
      </c>
      <c r="J475" s="11">
        <v>6.9427420805000004</v>
      </c>
      <c r="K475" s="10">
        <v>0.68826178477099997</v>
      </c>
      <c r="L475" s="12">
        <v>3306934385</v>
      </c>
      <c r="M475">
        <v>54.3098796955003</v>
      </c>
      <c r="N475" s="7">
        <v>10.143414251763501</v>
      </c>
      <c r="O475" s="7">
        <v>1.7824174292503601</v>
      </c>
      <c r="P475" s="7">
        <v>22.0066622706983</v>
      </c>
      <c r="Q475" s="7">
        <v>0.40748482580503065</v>
      </c>
      <c r="U475">
        <v>0.2338553746220135</v>
      </c>
      <c r="AT475" s="4" t="s">
        <v>4173</v>
      </c>
    </row>
    <row r="476" spans="1:46">
      <c r="A476" s="2">
        <v>1555</v>
      </c>
      <c r="B476" t="s">
        <v>4594</v>
      </c>
      <c r="C476" t="s">
        <v>2719</v>
      </c>
      <c r="D476" t="s">
        <v>3713</v>
      </c>
      <c r="E476" s="4">
        <v>43465</v>
      </c>
      <c r="F476" s="11">
        <v>36.657598499999999</v>
      </c>
      <c r="G476" s="11">
        <v>55.653710250000003</v>
      </c>
      <c r="H476" s="11">
        <v>87.509251465299997</v>
      </c>
      <c r="I476" s="11">
        <v>31.986516508499999</v>
      </c>
      <c r="J476" s="11">
        <v>10.6930336061</v>
      </c>
      <c r="K476" s="10">
        <v>0.57589378612599995</v>
      </c>
      <c r="L476" s="12">
        <v>56892869784</v>
      </c>
      <c r="M476">
        <v>50.348064975744002</v>
      </c>
      <c r="N476" s="7">
        <v>5.3865991386166998</v>
      </c>
      <c r="O476" s="7">
        <v>2.6896321106960301</v>
      </c>
      <c r="P476" s="7">
        <v>103.45850210246</v>
      </c>
      <c r="Q476" s="7" t="s">
        <v>3698</v>
      </c>
      <c r="U476">
        <v>0.5186880791687335</v>
      </c>
      <c r="AT476" s="4" t="s">
        <v>4308</v>
      </c>
    </row>
    <row r="477" spans="1:46">
      <c r="A477" s="2">
        <v>65</v>
      </c>
      <c r="B477" t="s">
        <v>4595</v>
      </c>
      <c r="C477" t="s">
        <v>2408</v>
      </c>
      <c r="D477" t="s">
        <v>3858</v>
      </c>
      <c r="E477" s="4">
        <v>43465</v>
      </c>
      <c r="F477" s="11">
        <v>-12.07154281</v>
      </c>
      <c r="G477" s="11">
        <v>55.612333139999997</v>
      </c>
      <c r="H477" s="11">
        <v>51.2607231175</v>
      </c>
      <c r="I477" s="11">
        <v>21.648869750799999</v>
      </c>
      <c r="J477" s="11">
        <v>7.5947055427999999</v>
      </c>
      <c r="K477" s="10">
        <v>0.35490363096400002</v>
      </c>
      <c r="L477" s="12">
        <v>4508089477.1300001</v>
      </c>
      <c r="M477">
        <v>27.535532160242902</v>
      </c>
      <c r="N477" s="7">
        <v>0.96048348331781797</v>
      </c>
      <c r="O477" s="7">
        <v>0.96557759901837403</v>
      </c>
      <c r="P477" s="7">
        <v>3.90591304947842</v>
      </c>
      <c r="Q477" s="7">
        <v>3.8156288168540344</v>
      </c>
      <c r="U477">
        <v>0.54376575289832663</v>
      </c>
      <c r="AT477" s="4" t="s">
        <v>4596</v>
      </c>
    </row>
    <row r="478" spans="1:46">
      <c r="A478" s="2">
        <v>1741</v>
      </c>
      <c r="B478" t="s">
        <v>4597</v>
      </c>
      <c r="C478" t="s">
        <v>555</v>
      </c>
      <c r="D478" t="s">
        <v>3761</v>
      </c>
      <c r="E478" s="4">
        <v>43465</v>
      </c>
      <c r="F478" s="11">
        <v>-1.0993642400000001</v>
      </c>
      <c r="G478" s="11">
        <v>55.588822360000002</v>
      </c>
      <c r="H478" s="11">
        <v>30.113339487499999</v>
      </c>
      <c r="I478" s="11">
        <v>39.507626158400001</v>
      </c>
      <c r="J478" s="11">
        <v>22.415618408</v>
      </c>
      <c r="K478" s="10">
        <v>0.41060035046999999</v>
      </c>
      <c r="L478" s="12">
        <v>8544019865.6300001</v>
      </c>
      <c r="M478">
        <v>24.083003909813598</v>
      </c>
      <c r="N478" s="7">
        <v>3.1722038472474101</v>
      </c>
      <c r="O478" s="7">
        <v>4.9871554629788397</v>
      </c>
      <c r="P478" s="7">
        <v>-237.84534101327401</v>
      </c>
      <c r="Q478" s="7">
        <v>0.73863229584303669</v>
      </c>
      <c r="U478">
        <v>0.45316701155943906</v>
      </c>
      <c r="AT478" s="4" t="s">
        <v>4204</v>
      </c>
    </row>
    <row r="479" spans="1:46">
      <c r="A479" s="2">
        <v>2199</v>
      </c>
      <c r="B479" t="s">
        <v>4598</v>
      </c>
      <c r="C479" t="s">
        <v>1518</v>
      </c>
      <c r="D479" t="s">
        <v>3871</v>
      </c>
      <c r="E479" s="4">
        <v>43465</v>
      </c>
      <c r="F479" s="11">
        <v>21.942523059999999</v>
      </c>
      <c r="G479" s="11">
        <v>55.555555560000002</v>
      </c>
      <c r="H479" s="11">
        <v>-1.5917022430000001</v>
      </c>
      <c r="I479" s="11">
        <v>25.438016151799999</v>
      </c>
      <c r="J479" s="11">
        <v>14.5712210002</v>
      </c>
      <c r="K479" s="10">
        <v>0.13186549554300001</v>
      </c>
      <c r="L479" s="12">
        <v>9903290800.2000008</v>
      </c>
      <c r="M479">
        <v>10.8714747833099</v>
      </c>
      <c r="N479" s="7">
        <v>1.0827696870015699</v>
      </c>
      <c r="O479" s="7">
        <v>2.23016392853128</v>
      </c>
      <c r="P479" s="7">
        <v>1.4857196345649</v>
      </c>
      <c r="Q479" s="7">
        <v>1.8509615384615388</v>
      </c>
      <c r="U479">
        <v>0.13514332286460864</v>
      </c>
      <c r="AT479" s="4" t="s">
        <v>4599</v>
      </c>
    </row>
    <row r="480" spans="1:46">
      <c r="A480" s="2">
        <v>3433</v>
      </c>
      <c r="B480" t="s">
        <v>4600</v>
      </c>
      <c r="C480" t="s">
        <v>1102</v>
      </c>
      <c r="D480" t="s">
        <v>3781</v>
      </c>
      <c r="E480" s="4">
        <v>43465</v>
      </c>
      <c r="F480" s="11">
        <v>-11.85756439</v>
      </c>
      <c r="G480" s="11">
        <v>55.546147329999997</v>
      </c>
      <c r="H480" s="11">
        <v>14.750851984400001</v>
      </c>
      <c r="I480" s="11">
        <v>67.070598689299999</v>
      </c>
      <c r="J480" s="11">
        <v>22.302896098000002</v>
      </c>
      <c r="K480" s="10">
        <v>0.327954675222</v>
      </c>
      <c r="L480" s="12">
        <v>20192172802.080002</v>
      </c>
      <c r="M480">
        <v>43.679310215181097</v>
      </c>
      <c r="N480" s="7">
        <v>2.3376372736856998</v>
      </c>
      <c r="O480" s="7">
        <v>6.5949661565214504</v>
      </c>
      <c r="P480" s="7">
        <v>419.558249384296</v>
      </c>
      <c r="Q480" s="7">
        <v>1.600224294326734</v>
      </c>
      <c r="U480">
        <v>0.41890043303268054</v>
      </c>
      <c r="AT480" s="4" t="s">
        <v>4069</v>
      </c>
    </row>
    <row r="481" spans="1:46">
      <c r="A481" s="2">
        <v>1751</v>
      </c>
      <c r="B481" t="s">
        <v>4601</v>
      </c>
      <c r="C481" t="s">
        <v>1116</v>
      </c>
      <c r="D481" t="s">
        <v>3737</v>
      </c>
      <c r="E481" s="4">
        <v>43465</v>
      </c>
      <c r="F481" s="11">
        <v>63.793100459999998</v>
      </c>
      <c r="G481" s="11">
        <v>55.529411760000002</v>
      </c>
      <c r="H481" s="11">
        <v>16.0345733216</v>
      </c>
      <c r="I481" s="11">
        <v>60.392359143500002</v>
      </c>
      <c r="J481" s="11">
        <v>49.4529564308</v>
      </c>
      <c r="K481" s="10">
        <v>0.29721069561800001</v>
      </c>
      <c r="L481" s="12">
        <v>3923050914</v>
      </c>
      <c r="M481">
        <v>34.0623642308489</v>
      </c>
      <c r="N481" s="7">
        <v>4.8026117626392502</v>
      </c>
      <c r="O481" s="7">
        <v>6.6621768513806803</v>
      </c>
      <c r="P481" s="7">
        <v>30.649040530566101</v>
      </c>
      <c r="Q481" s="7">
        <v>0.53814741641337371</v>
      </c>
      <c r="U481">
        <v>0.64281688161481876</v>
      </c>
      <c r="AT481" s="4" t="s">
        <v>4602</v>
      </c>
    </row>
    <row r="482" spans="1:46">
      <c r="A482" s="2">
        <v>2027</v>
      </c>
      <c r="B482" t="s">
        <v>4603</v>
      </c>
      <c r="C482" t="s">
        <v>402</v>
      </c>
      <c r="D482" t="s">
        <v>3718</v>
      </c>
      <c r="E482" s="4">
        <v>43465</v>
      </c>
      <c r="F482" s="11">
        <v>-28.459364780000001</v>
      </c>
      <c r="G482" s="11">
        <v>55.382113820000001</v>
      </c>
      <c r="H482" s="11">
        <v>56.732359886899999</v>
      </c>
      <c r="I482" s="11">
        <v>36.111437351799999</v>
      </c>
      <c r="J482" s="11">
        <v>14.2246588602</v>
      </c>
      <c r="K482" s="10">
        <v>0.83413782691799998</v>
      </c>
      <c r="L482" s="12">
        <v>6082704320</v>
      </c>
      <c r="M482">
        <v>26.983812100079199</v>
      </c>
      <c r="N482" s="7">
        <v>5.0339106759466796</v>
      </c>
      <c r="O482" s="7">
        <v>3.6215797809154902</v>
      </c>
      <c r="P482" s="7">
        <v>33.685465698733097</v>
      </c>
      <c r="Q482" s="7">
        <v>0.66330742615040206</v>
      </c>
      <c r="U482">
        <v>1.3172618335425601</v>
      </c>
      <c r="AT482" s="4" t="s">
        <v>4604</v>
      </c>
    </row>
    <row r="483" spans="1:46">
      <c r="A483" s="2">
        <v>1078</v>
      </c>
      <c r="B483" t="s">
        <v>4605</v>
      </c>
      <c r="C483" t="s">
        <v>1968</v>
      </c>
      <c r="D483" t="s">
        <v>3781</v>
      </c>
      <c r="E483" s="4">
        <v>43465</v>
      </c>
      <c r="F483" s="11">
        <v>20.219117579999999</v>
      </c>
      <c r="G483" s="11">
        <v>55.379188710000001</v>
      </c>
      <c r="H483" s="11">
        <v>12.2645645779</v>
      </c>
      <c r="I483" s="11">
        <v>8.3437156795000007</v>
      </c>
      <c r="J483" s="11">
        <v>1.2658303712000001</v>
      </c>
      <c r="K483" s="10">
        <v>2.4506286639920001</v>
      </c>
      <c r="L483" s="12">
        <v>9787562123.3999996</v>
      </c>
      <c r="M483">
        <v>20.748064576577701</v>
      </c>
      <c r="N483" s="7">
        <v>1.67938016361395</v>
      </c>
      <c r="O483" s="7">
        <v>0.328118643121733</v>
      </c>
      <c r="P483" s="7">
        <v>-12.4547639487987</v>
      </c>
      <c r="Q483" s="7">
        <v>1.1286681715575622</v>
      </c>
      <c r="U483">
        <v>0.16368388273136461</v>
      </c>
      <c r="AT483" s="4" t="s">
        <v>3786</v>
      </c>
    </row>
    <row r="484" spans="1:46">
      <c r="A484" s="2">
        <v>2390</v>
      </c>
      <c r="B484" t="s">
        <v>4606</v>
      </c>
      <c r="C484" t="s">
        <v>2964</v>
      </c>
      <c r="D484" t="s">
        <v>3769</v>
      </c>
      <c r="E484" s="4">
        <v>43465</v>
      </c>
      <c r="F484" s="11">
        <v>-11.50419954</v>
      </c>
      <c r="G484" s="11">
        <v>55.366726300000003</v>
      </c>
      <c r="H484" s="11">
        <v>-56.130704176499997</v>
      </c>
      <c r="I484" s="11">
        <v>2.1613793435000002</v>
      </c>
      <c r="J484" s="11">
        <v>-12.249181411</v>
      </c>
      <c r="K484" s="10">
        <v>0.59500855590900004</v>
      </c>
      <c r="L484" s="12">
        <v>7071261308.6000004</v>
      </c>
      <c r="M484">
        <v>-34.799426908040097</v>
      </c>
      <c r="N484" s="7">
        <v>4.0149773540072902</v>
      </c>
      <c r="O484" s="7">
        <v>2.1982270058942901</v>
      </c>
      <c r="P484" s="7">
        <v>-48.4361986281111</v>
      </c>
      <c r="Q484" s="7" t="s">
        <v>3698</v>
      </c>
      <c r="U484">
        <v>-0.88183566929914392</v>
      </c>
      <c r="AT484" s="4" t="s">
        <v>4607</v>
      </c>
    </row>
    <row r="485" spans="1:46">
      <c r="A485" s="2">
        <v>1375</v>
      </c>
      <c r="B485" t="s">
        <v>4608</v>
      </c>
      <c r="C485" t="s">
        <v>1761</v>
      </c>
      <c r="D485" t="s">
        <v>3721</v>
      </c>
      <c r="E485" s="4">
        <v>43465</v>
      </c>
      <c r="F485" s="11">
        <v>6.77654932</v>
      </c>
      <c r="G485" s="11">
        <v>55.350438050000001</v>
      </c>
      <c r="H485" s="11">
        <v>7.9923558446999996</v>
      </c>
      <c r="I485" s="11">
        <v>18.0621519482</v>
      </c>
      <c r="J485" s="11">
        <v>3.0885848107</v>
      </c>
      <c r="K485" s="10">
        <v>0.47824223185999998</v>
      </c>
      <c r="L485" s="12">
        <v>7495674359.04</v>
      </c>
      <c r="M485">
        <v>87.684441782370797</v>
      </c>
      <c r="N485" s="7">
        <v>2.9272705627855</v>
      </c>
      <c r="O485" s="7">
        <v>2.9996227907820501</v>
      </c>
      <c r="P485" s="7">
        <v>15.597001670512901</v>
      </c>
      <c r="Q485" s="7">
        <v>7.4447691190976939E-2</v>
      </c>
      <c r="U485">
        <v>0.34623089337499996</v>
      </c>
      <c r="AT485" s="4" t="s">
        <v>4609</v>
      </c>
    </row>
    <row r="486" spans="1:46">
      <c r="A486" s="2">
        <v>2088</v>
      </c>
      <c r="B486" t="s">
        <v>4610</v>
      </c>
      <c r="C486" t="s">
        <v>2059</v>
      </c>
      <c r="D486" t="s">
        <v>3718</v>
      </c>
      <c r="E486" s="4">
        <v>43465</v>
      </c>
      <c r="F486" s="11">
        <v>18.08057599</v>
      </c>
      <c r="G486" s="11">
        <v>55.317982460000003</v>
      </c>
      <c r="H486" s="11">
        <v>7.4247392011000004</v>
      </c>
      <c r="I486" s="11">
        <v>30.795168269800001</v>
      </c>
      <c r="J486" s="11">
        <v>13.6159643285</v>
      </c>
      <c r="K486" s="10">
        <v>0.55366359627299999</v>
      </c>
      <c r="L486" s="12">
        <v>10493665658.07</v>
      </c>
      <c r="M486">
        <v>51.387995923849601</v>
      </c>
      <c r="N486" s="7">
        <v>3.31660169825214</v>
      </c>
      <c r="O486" s="7">
        <v>5.7258903760364301</v>
      </c>
      <c r="P486" s="7">
        <v>-163.09128323641599</v>
      </c>
      <c r="Q486" s="7">
        <v>0.78821677174640592</v>
      </c>
      <c r="U486">
        <v>0.45057700380047505</v>
      </c>
      <c r="AT486" s="4" t="s">
        <v>4611</v>
      </c>
    </row>
    <row r="487" spans="1:46">
      <c r="A487" s="2">
        <v>2602</v>
      </c>
      <c r="B487" t="s">
        <v>4612</v>
      </c>
      <c r="C487" t="s">
        <v>702</v>
      </c>
      <c r="D487" t="s">
        <v>3737</v>
      </c>
      <c r="E487" s="4">
        <v>43465</v>
      </c>
      <c r="F487" s="11">
        <v>-30.856815009999998</v>
      </c>
      <c r="G487" s="11">
        <v>55.153707050000001</v>
      </c>
      <c r="H487" s="11">
        <v>1.8511286280999999</v>
      </c>
      <c r="I487" s="11">
        <v>59.751944712700002</v>
      </c>
      <c r="J487" s="11">
        <v>2.6479230775000002</v>
      </c>
      <c r="K487" s="10">
        <v>0.54679715957399999</v>
      </c>
      <c r="L487" s="12">
        <v>5075200000</v>
      </c>
      <c r="M487">
        <v>29.612937861679899</v>
      </c>
      <c r="N487" s="7">
        <v>3.4595657845196501</v>
      </c>
      <c r="O487" s="7">
        <v>2.59320012161779</v>
      </c>
      <c r="P487" s="7">
        <v>-432.61496338031299</v>
      </c>
      <c r="Q487" s="7" t="s">
        <v>3698</v>
      </c>
      <c r="U487">
        <v>8.5953982027536319E-2</v>
      </c>
      <c r="AT487" s="4" t="s">
        <v>4613</v>
      </c>
    </row>
    <row r="488" spans="1:46">
      <c r="A488" s="2">
        <v>971</v>
      </c>
      <c r="B488" t="s">
        <v>4614</v>
      </c>
      <c r="C488" t="s">
        <v>112</v>
      </c>
      <c r="D488" t="s">
        <v>3769</v>
      </c>
      <c r="E488" s="4">
        <v>43465</v>
      </c>
      <c r="F488" s="11">
        <v>-25.755234139999999</v>
      </c>
      <c r="G488" s="11">
        <v>55.117753620000002</v>
      </c>
      <c r="H488" s="11">
        <v>14.1540862592</v>
      </c>
      <c r="I488" s="11">
        <v>36.1039925137</v>
      </c>
      <c r="J488" s="11">
        <v>24.458667979400001</v>
      </c>
      <c r="K488" s="10">
        <v>0.46504883687100002</v>
      </c>
      <c r="L488" s="12">
        <v>2421785510.5500002</v>
      </c>
      <c r="M488">
        <v>21.327825390699001</v>
      </c>
      <c r="N488" s="7">
        <v>3.7712026821539402</v>
      </c>
      <c r="O488" s="7">
        <v>5.6547783865979602</v>
      </c>
      <c r="P488" s="7">
        <v>85.563244504845102</v>
      </c>
      <c r="Q488" s="7">
        <v>1.0810807980482218</v>
      </c>
      <c r="T488" s="2"/>
      <c r="U488">
        <v>0.93019823057716255</v>
      </c>
      <c r="AT488" s="4" t="s">
        <v>4079</v>
      </c>
    </row>
    <row r="489" spans="1:46">
      <c r="A489" s="2">
        <v>1469</v>
      </c>
      <c r="B489" t="s">
        <v>4615</v>
      </c>
      <c r="C489" t="s">
        <v>2111</v>
      </c>
      <c r="D489" t="s">
        <v>3790</v>
      </c>
      <c r="E489" s="4">
        <v>43465</v>
      </c>
      <c r="F489" s="11">
        <v>-15.037448169999999</v>
      </c>
      <c r="G489" s="11">
        <v>54.819277110000002</v>
      </c>
      <c r="H489" s="11">
        <v>2.3529760338000001</v>
      </c>
      <c r="I489" s="11">
        <v>45.090119191600003</v>
      </c>
      <c r="J489" s="11">
        <v>8.5381120416999998</v>
      </c>
      <c r="K489" s="10">
        <v>0.472605509486</v>
      </c>
      <c r="L489" s="12">
        <v>22824122631.52</v>
      </c>
      <c r="M489">
        <v>24.993705635405501</v>
      </c>
      <c r="N489" s="7">
        <v>2.4318260902867102</v>
      </c>
      <c r="O489" s="7">
        <v>1.4120523160914999</v>
      </c>
      <c r="P489" s="7">
        <v>-16.4349619618439</v>
      </c>
      <c r="Q489" s="7">
        <v>0.64794816414686829</v>
      </c>
      <c r="U489">
        <v>0.19166029768109305</v>
      </c>
      <c r="AT489" s="4" t="s">
        <v>4616</v>
      </c>
    </row>
    <row r="490" spans="1:46">
      <c r="A490" s="2">
        <v>1702</v>
      </c>
      <c r="B490" t="s">
        <v>4617</v>
      </c>
      <c r="C490" t="s">
        <v>3278</v>
      </c>
      <c r="D490" t="s">
        <v>3713</v>
      </c>
      <c r="E490" s="4">
        <v>43465</v>
      </c>
      <c r="F490" s="11">
        <v>16.334797170000002</v>
      </c>
      <c r="G490" s="11">
        <v>54.796747969999998</v>
      </c>
      <c r="H490" s="11">
        <v>-11.2970339515</v>
      </c>
      <c r="I490" s="11">
        <v>22.6136685683</v>
      </c>
      <c r="J490" s="11">
        <v>4.1507743895000004</v>
      </c>
      <c r="K490" s="10">
        <v>0.365942471469</v>
      </c>
      <c r="L490" s="12">
        <v>45021270747.779999</v>
      </c>
      <c r="M490">
        <v>423.58244549506998</v>
      </c>
      <c r="N490" s="7">
        <v>4.3032363726264702</v>
      </c>
      <c r="O490" s="7">
        <v>6.9530939077880198</v>
      </c>
      <c r="P490" s="7">
        <v>96.325812270328299</v>
      </c>
      <c r="Q490" s="7">
        <v>0.55970149253731338</v>
      </c>
      <c r="U490">
        <v>2.3935095970149256E-2</v>
      </c>
      <c r="AT490" s="4" t="s">
        <v>4618</v>
      </c>
    </row>
    <row r="491" spans="1:46">
      <c r="A491" s="2">
        <v>630</v>
      </c>
      <c r="B491" t="s">
        <v>4619</v>
      </c>
      <c r="C491" t="s">
        <v>1153</v>
      </c>
      <c r="D491" t="s">
        <v>3721</v>
      </c>
      <c r="E491" s="4">
        <v>43465</v>
      </c>
      <c r="F491" s="11">
        <v>20.498268769999999</v>
      </c>
      <c r="G491" s="11">
        <v>54.725787629999999</v>
      </c>
      <c r="H491" s="11">
        <v>13.752415496099999</v>
      </c>
      <c r="I491" s="11">
        <v>20.253725379599999</v>
      </c>
      <c r="J491" s="11">
        <v>6.2280102053000004</v>
      </c>
      <c r="K491" s="10">
        <v>0.88600549370500004</v>
      </c>
      <c r="L491" s="12">
        <v>6382737797.1300001</v>
      </c>
      <c r="M491">
        <v>36.2292843986382</v>
      </c>
      <c r="N491" s="7">
        <v>3.0694941877439699</v>
      </c>
      <c r="O491" s="7">
        <v>1.63765488064609</v>
      </c>
      <c r="P491" s="7">
        <v>66.8337395523602</v>
      </c>
      <c r="Q491" s="7">
        <v>0.17155012694709393</v>
      </c>
      <c r="U491">
        <v>0.27794309740889567</v>
      </c>
      <c r="AT491" s="4" t="s">
        <v>4620</v>
      </c>
    </row>
    <row r="492" spans="1:46">
      <c r="A492" s="2">
        <v>1409</v>
      </c>
      <c r="B492" t="s">
        <v>4621</v>
      </c>
      <c r="C492" t="s">
        <v>2893</v>
      </c>
      <c r="D492" t="s">
        <v>3713</v>
      </c>
      <c r="E492" s="4">
        <v>43465</v>
      </c>
      <c r="F492" s="11">
        <v>81.638283250000001</v>
      </c>
      <c r="G492" s="11">
        <v>54.515173949999998</v>
      </c>
      <c r="H492" s="11">
        <v>38.849593352100001</v>
      </c>
      <c r="I492" s="11">
        <v>78.665958429699998</v>
      </c>
      <c r="J492" s="11">
        <v>29.622751677899998</v>
      </c>
      <c r="K492" s="10">
        <v>0.36641070905400003</v>
      </c>
      <c r="L492" s="12">
        <v>3172450000</v>
      </c>
      <c r="M492">
        <v>46.322485949436199</v>
      </c>
      <c r="N492" s="7">
        <v>6.68590348513397</v>
      </c>
      <c r="O492" s="7">
        <v>12.9165630348327</v>
      </c>
      <c r="P492" s="7">
        <v>17.012148114779201</v>
      </c>
      <c r="Q492" s="7">
        <v>0.65052041633306645</v>
      </c>
      <c r="U492">
        <v>1.9186171649175412</v>
      </c>
      <c r="AT492" s="4" t="s">
        <v>4622</v>
      </c>
    </row>
    <row r="493" spans="1:46">
      <c r="A493" s="2">
        <v>2378</v>
      </c>
      <c r="B493" t="s">
        <v>4623</v>
      </c>
      <c r="C493" t="s">
        <v>3016</v>
      </c>
      <c r="D493" t="s">
        <v>3871</v>
      </c>
      <c r="E493" s="4">
        <v>43465</v>
      </c>
      <c r="F493" s="11">
        <v>34.56956091</v>
      </c>
      <c r="G493" s="11">
        <v>54.491017960000001</v>
      </c>
      <c r="H493" s="11">
        <v>10.6165879326</v>
      </c>
      <c r="I493" s="11">
        <v>34.055443263100003</v>
      </c>
      <c r="J493" s="11">
        <v>11.821771032999999</v>
      </c>
      <c r="K493" s="10">
        <v>0.27612448694500002</v>
      </c>
      <c r="L493" s="12">
        <v>4792376680</v>
      </c>
      <c r="M493">
        <v>19.9288994432175</v>
      </c>
      <c r="N493" s="7">
        <v>1.0207335402356901</v>
      </c>
      <c r="O493" s="7">
        <v>1.4317112885144301</v>
      </c>
      <c r="P493" s="7">
        <v>38.917165222032999</v>
      </c>
      <c r="Q493" s="7">
        <v>1.1059907834101383</v>
      </c>
      <c r="U493">
        <v>0.15933437608648182</v>
      </c>
      <c r="AT493" s="4" t="s">
        <v>4624</v>
      </c>
    </row>
    <row r="494" spans="1:46">
      <c r="A494" s="2">
        <v>3405</v>
      </c>
      <c r="B494" t="s">
        <v>4625</v>
      </c>
      <c r="C494" t="s">
        <v>1749</v>
      </c>
      <c r="D494" t="s">
        <v>3728</v>
      </c>
      <c r="E494" s="4">
        <v>43465</v>
      </c>
      <c r="F494" s="11">
        <v>-35.194004219999997</v>
      </c>
      <c r="G494" s="11">
        <v>54.472630170000002</v>
      </c>
      <c r="H494" s="11">
        <v>-5.5829575708999997</v>
      </c>
      <c r="I494" s="11">
        <v>18.559701952200001</v>
      </c>
      <c r="J494" s="11">
        <v>9.6906960252999994</v>
      </c>
      <c r="K494" s="10">
        <v>0.44728246944900002</v>
      </c>
      <c r="L494" s="12">
        <v>13446720000</v>
      </c>
      <c r="M494">
        <v>28.7348343201988</v>
      </c>
      <c r="N494" s="7">
        <v>2.1622734749936301</v>
      </c>
      <c r="O494" s="7">
        <v>2.7399407936067801</v>
      </c>
      <c r="P494" s="7">
        <v>7.8380819321289303</v>
      </c>
      <c r="Q494" s="7">
        <v>0.69084628670120896</v>
      </c>
      <c r="U494">
        <v>0.24573148608333331</v>
      </c>
      <c r="AT494" s="4" t="s">
        <v>4626</v>
      </c>
    </row>
    <row r="495" spans="1:46">
      <c r="A495" s="2">
        <v>2958</v>
      </c>
      <c r="B495" t="s">
        <v>4627</v>
      </c>
      <c r="C495" t="s">
        <v>448</v>
      </c>
      <c r="D495" t="s">
        <v>3761</v>
      </c>
      <c r="E495" s="4">
        <v>43465</v>
      </c>
      <c r="F495" s="11">
        <v>19.183453159999999</v>
      </c>
      <c r="G495" s="11">
        <v>54.255319149999998</v>
      </c>
      <c r="H495" s="11">
        <v>14.2780725198</v>
      </c>
      <c r="I495" s="11">
        <v>36.835483899000003</v>
      </c>
      <c r="J495" s="11">
        <v>13.9587910061</v>
      </c>
      <c r="K495" s="10">
        <v>0.83211472961699995</v>
      </c>
      <c r="L495" s="12">
        <v>10804088928.52</v>
      </c>
      <c r="M495">
        <v>27.196071397858798</v>
      </c>
      <c r="N495" s="7">
        <v>3.8024768037369698</v>
      </c>
      <c r="O495" s="7">
        <v>2.56009698963509</v>
      </c>
      <c r="P495" s="7">
        <v>68.906471470230102</v>
      </c>
      <c r="Q495" s="7">
        <v>0.99896658629004453</v>
      </c>
      <c r="U495">
        <v>0.9383490878030718</v>
      </c>
      <c r="AT495" s="4" t="s">
        <v>4628</v>
      </c>
    </row>
    <row r="496" spans="1:46">
      <c r="A496" s="2">
        <v>610</v>
      </c>
      <c r="B496" t="s">
        <v>4629</v>
      </c>
      <c r="C496" t="s">
        <v>2362</v>
      </c>
      <c r="D496" t="s">
        <v>3737</v>
      </c>
      <c r="E496" s="4">
        <v>43465</v>
      </c>
      <c r="F496" s="11">
        <v>29.331493330000001</v>
      </c>
      <c r="G496" s="11">
        <v>54.203539820000003</v>
      </c>
      <c r="H496" s="11">
        <v>17.743630837400001</v>
      </c>
      <c r="I496" s="11">
        <v>44.385353342499997</v>
      </c>
      <c r="J496" s="11">
        <v>22.254169910600002</v>
      </c>
      <c r="K496" s="10">
        <v>0.37492103317499997</v>
      </c>
      <c r="L496" s="12">
        <v>2894400000</v>
      </c>
      <c r="M496">
        <v>14.375052385226899</v>
      </c>
      <c r="N496" s="7">
        <v>1.5794005256752099</v>
      </c>
      <c r="O496" s="7">
        <v>2.7598217334258899</v>
      </c>
      <c r="P496" s="7">
        <v>-10.356671285403699</v>
      </c>
      <c r="Q496" s="7">
        <v>4.3481081141619136</v>
      </c>
      <c r="U496">
        <v>0.37373131430670331</v>
      </c>
      <c r="AT496" s="4" t="s">
        <v>3801</v>
      </c>
    </row>
    <row r="497" spans="1:46">
      <c r="A497" s="2">
        <v>3108</v>
      </c>
      <c r="B497" t="s">
        <v>4630</v>
      </c>
      <c r="C497" t="s">
        <v>2142</v>
      </c>
      <c r="D497" t="s">
        <v>3837</v>
      </c>
      <c r="E497" s="4">
        <v>43465</v>
      </c>
      <c r="F497" s="11">
        <v>1.2976991</v>
      </c>
      <c r="G497" s="11">
        <v>54.094827590000001</v>
      </c>
      <c r="H497" s="11">
        <v>-26.314205366500001</v>
      </c>
      <c r="I497" s="11" t="s">
        <v>3698</v>
      </c>
      <c r="J497" s="11">
        <v>8.8530629910999998</v>
      </c>
      <c r="K497" s="10" t="s">
        <v>3698</v>
      </c>
      <c r="L497" s="12">
        <v>25657035466.400002</v>
      </c>
      <c r="M497">
        <v>32.829734744177102</v>
      </c>
      <c r="N497" s="7">
        <v>0.95627921022615903</v>
      </c>
      <c r="O497" s="7">
        <v>4.32231337877574</v>
      </c>
      <c r="P497" s="7">
        <v>4.3181214998103501</v>
      </c>
      <c r="Q497" s="7">
        <v>0.80775444264943475</v>
      </c>
      <c r="U497">
        <v>2.0211244897296123E-2</v>
      </c>
      <c r="AT497" s="4" t="s">
        <v>4198</v>
      </c>
    </row>
    <row r="498" spans="1:46">
      <c r="A498" s="2">
        <v>1291</v>
      </c>
      <c r="B498" t="s">
        <v>4631</v>
      </c>
      <c r="C498" t="s">
        <v>2605</v>
      </c>
      <c r="D498" t="s">
        <v>3858</v>
      </c>
      <c r="E498" s="4">
        <v>43465</v>
      </c>
      <c r="F498" s="11">
        <v>7.0472387000000003</v>
      </c>
      <c r="G498" s="11">
        <v>54.079497910000001</v>
      </c>
      <c r="H498" s="11">
        <v>24.415696682</v>
      </c>
      <c r="I498" s="11">
        <v>15.7944240064</v>
      </c>
      <c r="J498" s="11">
        <v>0.81826837799999996</v>
      </c>
      <c r="K498" s="10">
        <v>0.86806033089900003</v>
      </c>
      <c r="L498" s="12">
        <v>11525252601.360001</v>
      </c>
      <c r="M498">
        <v>-136.97030390253201</v>
      </c>
      <c r="N498" s="7">
        <v>2.9232084681330499</v>
      </c>
      <c r="O498" s="7">
        <v>1.9437823227020099</v>
      </c>
      <c r="P498" s="7">
        <v>-186.91574532291699</v>
      </c>
      <c r="Q498" s="7">
        <v>3.7429819089207735E-2</v>
      </c>
      <c r="U498">
        <v>5.1025747649999995E-2</v>
      </c>
      <c r="AT498" s="4" t="s">
        <v>3833</v>
      </c>
    </row>
    <row r="499" spans="1:46">
      <c r="A499" s="2">
        <v>1676</v>
      </c>
      <c r="B499" t="s">
        <v>4632</v>
      </c>
      <c r="C499" t="s">
        <v>48</v>
      </c>
      <c r="D499" t="s">
        <v>3889</v>
      </c>
      <c r="E499" s="4">
        <v>43465</v>
      </c>
      <c r="F499" s="11">
        <v>15.75796826</v>
      </c>
      <c r="G499" s="11">
        <v>54.078947370000002</v>
      </c>
      <c r="H499" s="11">
        <v>-19.090280331900001</v>
      </c>
      <c r="I499" s="11">
        <v>32.263190360599999</v>
      </c>
      <c r="J499" s="11">
        <v>91.591631351399997</v>
      </c>
      <c r="K499" s="10">
        <v>0.13123578220500001</v>
      </c>
      <c r="L499" s="12">
        <v>47412435451.919998</v>
      </c>
      <c r="M499">
        <v>55.275161749006003</v>
      </c>
      <c r="N499" s="7">
        <v>2.5838223368497801</v>
      </c>
      <c r="O499" s="7">
        <v>14.1170853118153</v>
      </c>
      <c r="P499" s="7">
        <v>-108.05278277698901</v>
      </c>
      <c r="Q499" s="7">
        <v>0.50251256281407031</v>
      </c>
      <c r="U499">
        <v>0.46812479565098275</v>
      </c>
      <c r="AT499" s="4" t="s">
        <v>4633</v>
      </c>
    </row>
    <row r="500" spans="1:46">
      <c r="A500" s="2">
        <v>2977</v>
      </c>
      <c r="B500" t="s">
        <v>4634</v>
      </c>
      <c r="C500" t="s">
        <v>1955</v>
      </c>
      <c r="D500" t="s">
        <v>3837</v>
      </c>
      <c r="E500" s="4">
        <v>43465</v>
      </c>
      <c r="F500" s="11">
        <v>2.46529277</v>
      </c>
      <c r="G500" s="11">
        <v>54.02542373</v>
      </c>
      <c r="H500" s="11">
        <v>-8.1541231563000007</v>
      </c>
      <c r="I500" s="11" t="s">
        <v>3698</v>
      </c>
      <c r="J500" s="11">
        <v>32.807652658599999</v>
      </c>
      <c r="K500" s="10" t="s">
        <v>3698</v>
      </c>
      <c r="L500" s="12">
        <v>2866000000</v>
      </c>
      <c r="M500">
        <v>43.066042139832</v>
      </c>
      <c r="N500" s="7">
        <v>1.36501697886711</v>
      </c>
      <c r="O500" s="7">
        <v>10.6424342207635</v>
      </c>
      <c r="P500" s="7">
        <v>-4.80536252550064</v>
      </c>
      <c r="Q500" s="7">
        <v>1.0033444816053512</v>
      </c>
      <c r="U500">
        <v>0.15292597523336096</v>
      </c>
      <c r="AT500" s="4" t="s">
        <v>4635</v>
      </c>
    </row>
    <row r="501" spans="1:46">
      <c r="A501" s="2">
        <v>3547</v>
      </c>
      <c r="B501" t="s">
        <v>4636</v>
      </c>
      <c r="C501" t="s">
        <v>831</v>
      </c>
      <c r="D501" t="s">
        <v>3737</v>
      </c>
      <c r="E501" s="4">
        <v>43465</v>
      </c>
      <c r="F501" s="11">
        <v>24.740011160000002</v>
      </c>
      <c r="G501" s="11">
        <v>53.789279110000003</v>
      </c>
      <c r="H501" s="11">
        <v>60.099336486299997</v>
      </c>
      <c r="I501" s="11">
        <v>64.303194383999994</v>
      </c>
      <c r="J501" s="11">
        <v>17.845560557900001</v>
      </c>
      <c r="K501" s="10">
        <v>0.73307821322300004</v>
      </c>
      <c r="L501" s="12">
        <v>34616579497.599998</v>
      </c>
      <c r="M501">
        <v>20.493734629940398</v>
      </c>
      <c r="N501" s="7">
        <v>2.9758179477858699</v>
      </c>
      <c r="O501" s="7">
        <v>3.7683393864446901</v>
      </c>
      <c r="P501" s="7">
        <v>-19.367903802687501</v>
      </c>
      <c r="Q501" s="7">
        <v>1.1591962905718702</v>
      </c>
      <c r="U501">
        <v>0.81247124857478203</v>
      </c>
      <c r="AT501" s="4" t="s">
        <v>4637</v>
      </c>
    </row>
    <row r="502" spans="1:46">
      <c r="A502" s="2">
        <v>753</v>
      </c>
      <c r="B502" t="s">
        <v>4638</v>
      </c>
      <c r="C502" t="s">
        <v>469</v>
      </c>
      <c r="D502" t="s">
        <v>3977</v>
      </c>
      <c r="E502" s="4">
        <v>43465</v>
      </c>
      <c r="F502" s="11">
        <v>64.573690290000002</v>
      </c>
      <c r="G502" s="11">
        <v>53.778888190000004</v>
      </c>
      <c r="H502" s="11">
        <v>12.710323411899999</v>
      </c>
      <c r="I502" s="11">
        <v>32.128622546300001</v>
      </c>
      <c r="J502" s="11">
        <v>9.0792995063999999</v>
      </c>
      <c r="K502" s="10">
        <v>1.360223562871</v>
      </c>
      <c r="L502" s="12">
        <v>26433300000</v>
      </c>
      <c r="M502">
        <v>20.822017935608301</v>
      </c>
      <c r="N502" s="7">
        <v>3.2249111246780502</v>
      </c>
      <c r="O502" s="7">
        <v>1.6126266221461001</v>
      </c>
      <c r="P502" s="7">
        <v>-69.240969751512694</v>
      </c>
      <c r="Q502" s="7">
        <v>3.54230844414323</v>
      </c>
      <c r="U502">
        <v>0.98272879601725582</v>
      </c>
      <c r="AT502" s="4" t="s">
        <v>4639</v>
      </c>
    </row>
    <row r="503" spans="1:46">
      <c r="A503" s="2">
        <v>1302</v>
      </c>
      <c r="B503" t="s">
        <v>4640</v>
      </c>
      <c r="C503" t="s">
        <v>2449</v>
      </c>
      <c r="D503" t="s">
        <v>3837</v>
      </c>
      <c r="E503" s="4">
        <v>43465</v>
      </c>
      <c r="F503" s="11">
        <v>-15.060884659999999</v>
      </c>
      <c r="G503" s="11">
        <v>53.690036900000003</v>
      </c>
      <c r="H503" s="11">
        <v>-9.4026049964999991</v>
      </c>
      <c r="I503" s="11" t="s">
        <v>3698</v>
      </c>
      <c r="J503" s="11">
        <v>7.4362105270000001</v>
      </c>
      <c r="K503" s="10" t="s">
        <v>3698</v>
      </c>
      <c r="L503" s="12">
        <v>3069074400</v>
      </c>
      <c r="M503">
        <v>80.150966630865</v>
      </c>
      <c r="N503" s="7">
        <v>2.1601538927928599</v>
      </c>
      <c r="O503" s="7">
        <v>10.3052121565812</v>
      </c>
      <c r="P503" s="7">
        <v>-33.916363986176101</v>
      </c>
      <c r="Q503" s="7">
        <v>0.13908205841446453</v>
      </c>
      <c r="U503">
        <v>3.5505600291228873E-2</v>
      </c>
      <c r="AT503" s="4" t="s">
        <v>4641</v>
      </c>
    </row>
    <row r="504" spans="1:46">
      <c r="A504" s="2">
        <v>3284</v>
      </c>
      <c r="B504" t="s">
        <v>4642</v>
      </c>
      <c r="C504" t="s">
        <v>2267</v>
      </c>
      <c r="D504" t="s">
        <v>3769</v>
      </c>
      <c r="E504" s="4">
        <v>43465</v>
      </c>
      <c r="F504" s="11">
        <v>-22.61962685</v>
      </c>
      <c r="G504" s="11">
        <v>53.638119770000003</v>
      </c>
      <c r="H504" s="11">
        <v>8.4394943932000004</v>
      </c>
      <c r="I504" s="11">
        <v>22.947103230500002</v>
      </c>
      <c r="J504" s="11">
        <v>9.3935091502999999</v>
      </c>
      <c r="K504" s="10">
        <v>0.45678055400399997</v>
      </c>
      <c r="L504" s="12">
        <v>19305569920</v>
      </c>
      <c r="M504">
        <v>78.934937810776304</v>
      </c>
      <c r="N504" s="7">
        <v>3.57072417753364</v>
      </c>
      <c r="O504" s="7">
        <v>6.1871752281404504</v>
      </c>
      <c r="P504" s="7">
        <v>-123.376459539904</v>
      </c>
      <c r="Q504" s="7">
        <v>0.37394624041551872</v>
      </c>
      <c r="U504">
        <v>0.25548536865101035</v>
      </c>
      <c r="AT504" s="4" t="s">
        <v>4643</v>
      </c>
    </row>
    <row r="505" spans="1:46">
      <c r="A505" s="2">
        <v>1120</v>
      </c>
      <c r="B505" t="s">
        <v>4644</v>
      </c>
      <c r="C505" t="s">
        <v>3402</v>
      </c>
      <c r="D505" t="s">
        <v>3713</v>
      </c>
      <c r="E505" s="4">
        <v>43465</v>
      </c>
      <c r="F505" s="11">
        <v>-37.29660432</v>
      </c>
      <c r="G505" s="11">
        <v>53.6101083</v>
      </c>
      <c r="H505" s="11">
        <v>-4.8373099459000004</v>
      </c>
      <c r="I505" s="11">
        <v>42.687988192100001</v>
      </c>
      <c r="J505" s="11">
        <v>10.6874635434</v>
      </c>
      <c r="K505" s="10">
        <v>0.34827102910199997</v>
      </c>
      <c r="L505" s="12">
        <v>28999872000</v>
      </c>
      <c r="M505">
        <v>31.198445192880399</v>
      </c>
      <c r="N505" s="7">
        <v>1.9004550776954201</v>
      </c>
      <c r="O505" s="7">
        <v>3.97996410089078</v>
      </c>
      <c r="P505" s="7">
        <v>-38.972936807184702</v>
      </c>
      <c r="Q505" s="7">
        <v>1.8328781543167461</v>
      </c>
      <c r="U505">
        <v>0.14214801994427409</v>
      </c>
      <c r="AT505" s="4" t="s">
        <v>4645</v>
      </c>
    </row>
    <row r="506" spans="1:46">
      <c r="A506" s="2">
        <v>1429</v>
      </c>
      <c r="B506" t="s">
        <v>4646</v>
      </c>
      <c r="C506" t="s">
        <v>360</v>
      </c>
      <c r="D506" t="s">
        <v>3737</v>
      </c>
      <c r="E506" s="4">
        <v>43465</v>
      </c>
      <c r="F506" s="11">
        <v>38.424894180000003</v>
      </c>
      <c r="G506" s="11">
        <v>53.531955789999998</v>
      </c>
      <c r="H506" s="11">
        <v>40.0794481573</v>
      </c>
      <c r="I506" s="11">
        <v>72.748410402199994</v>
      </c>
      <c r="J506" s="11">
        <v>19.742191719800001</v>
      </c>
      <c r="K506" s="10">
        <v>0.45558354815300001</v>
      </c>
      <c r="L506" s="12">
        <v>5247141750</v>
      </c>
      <c r="M506">
        <v>32.649548134351697</v>
      </c>
      <c r="N506" s="7">
        <v>8.8274493462786108</v>
      </c>
      <c r="O506" s="7">
        <v>6.3576206534750099</v>
      </c>
      <c r="P506" s="7">
        <v>46.169062629161999</v>
      </c>
      <c r="Q506" s="7">
        <v>0.51131081499845055</v>
      </c>
      <c r="U506">
        <v>0.68402374269168897</v>
      </c>
      <c r="AT506" s="4" t="s">
        <v>3770</v>
      </c>
    </row>
    <row r="507" spans="1:46">
      <c r="A507" s="2">
        <v>1478</v>
      </c>
      <c r="B507" t="s">
        <v>4647</v>
      </c>
      <c r="C507" t="s">
        <v>1452</v>
      </c>
      <c r="D507" t="s">
        <v>3790</v>
      </c>
      <c r="E507" s="4">
        <v>43465</v>
      </c>
      <c r="F507" s="11">
        <v>9.1736232500000003</v>
      </c>
      <c r="G507" s="11">
        <v>53.465346529999998</v>
      </c>
      <c r="H507" s="11">
        <v>6.6349814626999999</v>
      </c>
      <c r="I507" s="11">
        <v>58.911458295899997</v>
      </c>
      <c r="J507" s="11">
        <v>11.3910746483</v>
      </c>
      <c r="K507" s="10">
        <v>0.28213002166500001</v>
      </c>
      <c r="L507" s="12">
        <v>5543983775.1899996</v>
      </c>
      <c r="M507">
        <v>189.89132828890101</v>
      </c>
      <c r="N507" s="7">
        <v>3.6932645156283299</v>
      </c>
      <c r="O507" s="7">
        <v>9.4445187511082604</v>
      </c>
      <c r="P507" s="7">
        <v>-27.489409833697799</v>
      </c>
      <c r="Q507" s="7">
        <v>0.15303843919489046</v>
      </c>
      <c r="U507">
        <v>0.13736562858176876</v>
      </c>
      <c r="AT507" s="4" t="s">
        <v>4648</v>
      </c>
    </row>
    <row r="508" spans="1:46">
      <c r="A508" s="2">
        <v>559</v>
      </c>
      <c r="B508" t="s">
        <v>4649</v>
      </c>
      <c r="C508" t="s">
        <v>1943</v>
      </c>
      <c r="D508" t="s">
        <v>3849</v>
      </c>
      <c r="E508" s="4">
        <v>43465</v>
      </c>
      <c r="F508" s="11">
        <v>-33.31321389</v>
      </c>
      <c r="G508" s="11">
        <v>53.403643340000002</v>
      </c>
      <c r="H508" s="11">
        <v>0.81360807420000003</v>
      </c>
      <c r="I508" s="11">
        <v>19.796439597799999</v>
      </c>
      <c r="J508" s="11">
        <v>6.8236458002999996</v>
      </c>
      <c r="K508" s="10">
        <v>0.91953135334500002</v>
      </c>
      <c r="L508" s="12">
        <v>58937078626.68</v>
      </c>
      <c r="M508">
        <v>10.7229655657184</v>
      </c>
      <c r="N508" s="7">
        <v>0.92181885011386</v>
      </c>
      <c r="O508" s="7">
        <v>0.44228674320370898</v>
      </c>
      <c r="P508" s="7">
        <v>10.4928520198819</v>
      </c>
      <c r="Q508" s="7">
        <v>1.0504201680672267</v>
      </c>
      <c r="U508">
        <v>1.1685794394142315</v>
      </c>
      <c r="AT508" s="4" t="s">
        <v>4650</v>
      </c>
    </row>
    <row r="509" spans="1:46">
      <c r="A509" s="2">
        <v>2170</v>
      </c>
      <c r="B509" t="s">
        <v>4651</v>
      </c>
      <c r="C509" t="s">
        <v>487</v>
      </c>
      <c r="D509" t="s">
        <v>3972</v>
      </c>
      <c r="E509" s="4">
        <v>43465</v>
      </c>
      <c r="F509" s="11">
        <v>78.098758599999996</v>
      </c>
      <c r="G509" s="11">
        <v>53.388494880000003</v>
      </c>
      <c r="H509" s="11">
        <v>15.5132331557</v>
      </c>
      <c r="I509" s="11">
        <v>51.688065594299999</v>
      </c>
      <c r="J509" s="11">
        <v>47.582132315999999</v>
      </c>
      <c r="K509" s="10">
        <v>0.318527060513</v>
      </c>
      <c r="L509" s="12">
        <v>4086912900</v>
      </c>
      <c r="M509">
        <v>23.6702800445508</v>
      </c>
      <c r="N509" s="7">
        <v>3.4628757670928998</v>
      </c>
      <c r="O509" s="7">
        <v>10.923795062882901</v>
      </c>
      <c r="P509" s="7">
        <v>186.491416259939</v>
      </c>
      <c r="Q509" s="7">
        <v>0.87847730600292828</v>
      </c>
      <c r="U509">
        <v>2.1959124439252049</v>
      </c>
      <c r="AT509" s="4" t="s">
        <v>4652</v>
      </c>
    </row>
    <row r="510" spans="1:46">
      <c r="A510" s="2">
        <v>2758</v>
      </c>
      <c r="B510" t="s">
        <v>4653</v>
      </c>
      <c r="C510" t="s">
        <v>2924</v>
      </c>
      <c r="D510" t="s">
        <v>4046</v>
      </c>
      <c r="E510" s="4">
        <v>43465</v>
      </c>
      <c r="F510" s="11">
        <v>-44.673668419999998</v>
      </c>
      <c r="G510" s="11">
        <v>53.242677819999997</v>
      </c>
      <c r="H510" s="11">
        <v>-16.171804274599999</v>
      </c>
      <c r="I510" s="11">
        <v>-0.25436857969999999</v>
      </c>
      <c r="J510" s="11">
        <v>-12.8770798528</v>
      </c>
      <c r="K510" s="10">
        <v>0.419359730928</v>
      </c>
      <c r="L510" s="12">
        <v>9681474274.4400005</v>
      </c>
      <c r="M510">
        <v>-11.2364938900495</v>
      </c>
      <c r="N510" s="7">
        <v>1.4100834603521399</v>
      </c>
      <c r="O510" s="7">
        <v>0.72717988894004904</v>
      </c>
      <c r="P510" s="7">
        <v>856.94347030062897</v>
      </c>
      <c r="Q510" s="7" t="s">
        <v>3698</v>
      </c>
      <c r="U510">
        <v>-1.3222537861657955</v>
      </c>
      <c r="AT510" s="4" t="s">
        <v>4014</v>
      </c>
    </row>
    <row r="511" spans="1:46">
      <c r="A511" s="2">
        <v>3579</v>
      </c>
      <c r="B511" t="s">
        <v>4654</v>
      </c>
      <c r="C511" t="s">
        <v>565</v>
      </c>
      <c r="D511" t="s">
        <v>3713</v>
      </c>
      <c r="E511" s="4">
        <v>43465</v>
      </c>
      <c r="F511" s="11">
        <v>-16.485281990000001</v>
      </c>
      <c r="G511" s="11">
        <v>53.193209379999999</v>
      </c>
      <c r="H511" s="11">
        <v>74.861318931400007</v>
      </c>
      <c r="I511" s="11">
        <v>29.767177712900001</v>
      </c>
      <c r="J511" s="11">
        <v>15.746094428799999</v>
      </c>
      <c r="K511" s="10">
        <v>0.41844631658699999</v>
      </c>
      <c r="L511" s="12">
        <v>151747977780</v>
      </c>
      <c r="M511">
        <v>40.775492694889699</v>
      </c>
      <c r="N511" s="7">
        <v>5.2833200374220999</v>
      </c>
      <c r="O511" s="7">
        <v>8.0473480545172293</v>
      </c>
      <c r="P511" s="7">
        <v>-81.683033719732705</v>
      </c>
      <c r="Q511" s="7">
        <v>0.19178082191780821</v>
      </c>
      <c r="U511">
        <v>0.67836900828423441</v>
      </c>
      <c r="AT511" s="4" t="s">
        <v>4412</v>
      </c>
    </row>
    <row r="512" spans="1:46">
      <c r="A512" s="2">
        <v>1549</v>
      </c>
      <c r="B512" t="s">
        <v>4655</v>
      </c>
      <c r="C512" t="s">
        <v>617</v>
      </c>
      <c r="D512" t="s">
        <v>3718</v>
      </c>
      <c r="E512" s="4">
        <v>43465</v>
      </c>
      <c r="F512" s="11">
        <v>7.4545395900000004</v>
      </c>
      <c r="G512" s="11">
        <v>53.17775571</v>
      </c>
      <c r="H512" s="11">
        <v>22.964081584599999</v>
      </c>
      <c r="I512" s="11">
        <v>41.811829040200003</v>
      </c>
      <c r="J512" s="11">
        <v>20.576219889800001</v>
      </c>
      <c r="K512" s="10">
        <v>0.606339218392</v>
      </c>
      <c r="L512" s="12">
        <v>20849219075.5</v>
      </c>
      <c r="M512">
        <v>32.581888224730697</v>
      </c>
      <c r="N512" s="7">
        <v>5.65135282466861</v>
      </c>
      <c r="O512" s="7">
        <v>5.99928851878171</v>
      </c>
      <c r="P512" s="7">
        <v>77.103890673251897</v>
      </c>
      <c r="Q512" s="7">
        <v>0.76132470498667693</v>
      </c>
      <c r="U512">
        <v>0.70119167501755275</v>
      </c>
      <c r="AT512" s="4" t="s">
        <v>4656</v>
      </c>
    </row>
    <row r="513" spans="1:46">
      <c r="A513" s="2">
        <v>269</v>
      </c>
      <c r="B513" t="s">
        <v>4657</v>
      </c>
      <c r="C513" t="s">
        <v>2733</v>
      </c>
      <c r="D513" t="s">
        <v>3761</v>
      </c>
      <c r="E513" s="4">
        <v>43465</v>
      </c>
      <c r="F513" s="11">
        <v>8.3870967699999994</v>
      </c>
      <c r="G513" s="11">
        <v>53.172205439999999</v>
      </c>
      <c r="H513" s="11">
        <v>12.327729353500001</v>
      </c>
      <c r="I513" s="11">
        <v>32.3683476287</v>
      </c>
      <c r="J513" s="11">
        <v>7.3371160710999996</v>
      </c>
      <c r="K513" s="10">
        <v>0.611806033779</v>
      </c>
      <c r="L513" s="12">
        <v>7991757978.6000004</v>
      </c>
      <c r="M513">
        <v>45.2569980358873</v>
      </c>
      <c r="N513" s="7">
        <v>1.4682794902523499</v>
      </c>
      <c r="O513" s="7">
        <v>1.56026699074025</v>
      </c>
      <c r="P513" s="7">
        <v>-13.6507148924043</v>
      </c>
      <c r="Q513" s="7" t="s">
        <v>3698</v>
      </c>
      <c r="U513">
        <v>0.12761808188891058</v>
      </c>
      <c r="AT513" s="4" t="s">
        <v>4658</v>
      </c>
    </row>
    <row r="514" spans="1:46">
      <c r="A514" s="2">
        <v>3096</v>
      </c>
      <c r="B514" t="s">
        <v>4659</v>
      </c>
      <c r="C514" t="s">
        <v>262</v>
      </c>
      <c r="D514" t="s">
        <v>3837</v>
      </c>
      <c r="E514" s="4">
        <v>43465</v>
      </c>
      <c r="F514" s="11">
        <v>28.60168183</v>
      </c>
      <c r="G514" s="11">
        <v>53.101604279999997</v>
      </c>
      <c r="H514" s="11">
        <v>9.6477423496999997</v>
      </c>
      <c r="I514" s="11" t="s">
        <v>3698</v>
      </c>
      <c r="J514" s="11">
        <v>12.330881871200001</v>
      </c>
      <c r="K514" s="10" t="s">
        <v>3698</v>
      </c>
      <c r="L514" s="12">
        <v>53094194803.839996</v>
      </c>
      <c r="M514">
        <v>10.033475619812201</v>
      </c>
      <c r="N514" s="7">
        <v>1.9133292967398501</v>
      </c>
      <c r="O514" s="7">
        <v>1.0482304066302399</v>
      </c>
      <c r="P514" s="7">
        <v>23.563290820757299</v>
      </c>
      <c r="Q514" s="7">
        <v>1.3154747668022004</v>
      </c>
      <c r="U514">
        <v>5.8754147492409947</v>
      </c>
      <c r="AT514" s="4" t="s">
        <v>4660</v>
      </c>
    </row>
    <row r="515" spans="1:46">
      <c r="A515" s="2">
        <v>641</v>
      </c>
      <c r="B515" t="s">
        <v>4661</v>
      </c>
      <c r="C515" t="s">
        <v>2177</v>
      </c>
      <c r="D515" t="s">
        <v>3769</v>
      </c>
      <c r="E515" s="4">
        <v>43465</v>
      </c>
      <c r="F515" s="11">
        <v>-13.91669211</v>
      </c>
      <c r="G515" s="11">
        <v>53.086419749999997</v>
      </c>
      <c r="H515" s="11">
        <v>36.645981114199998</v>
      </c>
      <c r="I515" s="11">
        <v>32.200598408600001</v>
      </c>
      <c r="J515" s="11">
        <v>0.96522262999999997</v>
      </c>
      <c r="K515" s="10">
        <v>0.55698044902499999</v>
      </c>
      <c r="L515" s="12">
        <v>6757264115.2799997</v>
      </c>
      <c r="M515">
        <v>37.594617799682297</v>
      </c>
      <c r="N515" s="7">
        <v>2.2593341816816799</v>
      </c>
      <c r="O515" s="7">
        <v>1.27907223142811</v>
      </c>
      <c r="P515" s="7">
        <v>-34.959916703964602</v>
      </c>
      <c r="Q515" s="7" t="s">
        <v>3698</v>
      </c>
      <c r="U515">
        <v>1.6257221983020341E-2</v>
      </c>
      <c r="AT515" s="4" t="s">
        <v>4437</v>
      </c>
    </row>
    <row r="516" spans="1:46">
      <c r="A516" s="2">
        <v>2208</v>
      </c>
      <c r="B516" t="s">
        <v>4662</v>
      </c>
      <c r="C516" t="s">
        <v>1895</v>
      </c>
      <c r="D516" t="s">
        <v>3837</v>
      </c>
      <c r="E516" s="4">
        <v>43465</v>
      </c>
      <c r="F516" s="11">
        <v>16.28790575</v>
      </c>
      <c r="G516" s="11">
        <v>53.058954389999997</v>
      </c>
      <c r="H516" s="11">
        <v>235.4892556968</v>
      </c>
      <c r="I516" s="11">
        <v>0.9585240572</v>
      </c>
      <c r="J516" s="11">
        <v>85.657781815600003</v>
      </c>
      <c r="K516" s="10">
        <v>7.0594815426000004E-2</v>
      </c>
      <c r="L516" s="12">
        <v>1562229430898.6001</v>
      </c>
      <c r="M516">
        <v>22.0710859589995</v>
      </c>
      <c r="N516" s="7">
        <v>1.19577824408248</v>
      </c>
      <c r="O516" s="7">
        <v>3.4301502473143399</v>
      </c>
      <c r="P516" s="7">
        <v>120.16700172770901</v>
      </c>
      <c r="Q516" s="7">
        <v>0.67782426778242688</v>
      </c>
      <c r="U516">
        <v>0.39730490460294315</v>
      </c>
      <c r="AT516" s="4" t="s">
        <v>4663</v>
      </c>
    </row>
    <row r="517" spans="1:46">
      <c r="A517" s="2">
        <v>164</v>
      </c>
      <c r="B517" t="s">
        <v>4664</v>
      </c>
      <c r="C517" t="s">
        <v>2609</v>
      </c>
      <c r="D517" t="s">
        <v>3713</v>
      </c>
      <c r="E517" s="4">
        <v>43465</v>
      </c>
      <c r="F517" s="11">
        <v>26.681308219999998</v>
      </c>
      <c r="G517" s="11">
        <v>52.997858669999999</v>
      </c>
      <c r="H517" s="11">
        <v>10.8743384054</v>
      </c>
      <c r="I517" s="11">
        <v>18.627764384599999</v>
      </c>
      <c r="J517" s="11">
        <v>0.52074586940000001</v>
      </c>
      <c r="K517" s="10">
        <v>0.84771222337600005</v>
      </c>
      <c r="L517" s="12">
        <v>6219376326.2799997</v>
      </c>
      <c r="M517">
        <v>32.476271029291098</v>
      </c>
      <c r="N517" s="7">
        <v>2.6450836746309099</v>
      </c>
      <c r="O517" s="7">
        <v>1.0108480151358601</v>
      </c>
      <c r="P517" s="7">
        <v>-27.8190278284398</v>
      </c>
      <c r="Q517" s="7">
        <v>0.28671060507877699</v>
      </c>
      <c r="U517">
        <v>4.3694081352495188E-2</v>
      </c>
      <c r="AT517" s="4" t="s">
        <v>4665</v>
      </c>
    </row>
    <row r="518" spans="1:46">
      <c r="A518" s="2">
        <v>1763</v>
      </c>
      <c r="B518" t="s">
        <v>4666</v>
      </c>
      <c r="C518" t="s">
        <v>2436</v>
      </c>
      <c r="D518" t="s">
        <v>3889</v>
      </c>
      <c r="E518" s="4">
        <v>43465</v>
      </c>
      <c r="F518" s="11">
        <v>-50.575206620000003</v>
      </c>
      <c r="G518" s="11">
        <v>52.96671491</v>
      </c>
      <c r="H518" s="11">
        <v>48.245316242000001</v>
      </c>
      <c r="I518" s="11">
        <v>70.1255668055</v>
      </c>
      <c r="J518" s="11">
        <v>7.2364578500999999</v>
      </c>
      <c r="K518" s="10">
        <v>0.48272087563999999</v>
      </c>
      <c r="L518" s="12">
        <v>63998744066.779999</v>
      </c>
      <c r="M518">
        <v>16.261827841037402</v>
      </c>
      <c r="N518" s="7">
        <v>2.9388367894704701</v>
      </c>
      <c r="O518" s="7">
        <v>1.7323203497458699</v>
      </c>
      <c r="P518" s="7">
        <v>-27.015650416493699</v>
      </c>
      <c r="Q518" s="7">
        <v>0.13024630642627599</v>
      </c>
      <c r="U518">
        <v>0.28564639661012625</v>
      </c>
      <c r="AT518" s="4" t="s">
        <v>3762</v>
      </c>
    </row>
    <row r="519" spans="1:46">
      <c r="A519" s="2">
        <v>3089</v>
      </c>
      <c r="B519" t="s">
        <v>4667</v>
      </c>
      <c r="C519" t="s">
        <v>568</v>
      </c>
      <c r="D519" t="s">
        <v>3752</v>
      </c>
      <c r="E519" s="4">
        <v>43465</v>
      </c>
      <c r="F519" s="11">
        <v>-5.4386906599999998</v>
      </c>
      <c r="G519" s="11">
        <v>52.868852459999999</v>
      </c>
      <c r="H519" s="11">
        <v>26.778290091300001</v>
      </c>
      <c r="I519" s="11">
        <v>11.678344557100001</v>
      </c>
      <c r="J519" s="11">
        <v>5.1235877987</v>
      </c>
      <c r="K519" s="10">
        <v>1.359092449851</v>
      </c>
      <c r="L519" s="12">
        <v>14371346653.129999</v>
      </c>
      <c r="M519">
        <v>5.7642177744715397</v>
      </c>
      <c r="N519" s="7">
        <v>1.16100925855841</v>
      </c>
      <c r="O519" s="7">
        <v>0.44043018374137699</v>
      </c>
      <c r="P519" s="7">
        <v>7.23480162200915</v>
      </c>
      <c r="Q519" s="7">
        <v>0.92431222098899402</v>
      </c>
      <c r="U519">
        <v>1.1637390535857788</v>
      </c>
      <c r="AT519" s="4" t="s">
        <v>4668</v>
      </c>
    </row>
    <row r="520" spans="1:46">
      <c r="A520" s="2">
        <v>1623</v>
      </c>
      <c r="B520" t="s">
        <v>4669</v>
      </c>
      <c r="C520" t="s">
        <v>2764</v>
      </c>
      <c r="D520" t="s">
        <v>3998</v>
      </c>
      <c r="E520" s="4">
        <v>43465</v>
      </c>
      <c r="F520" s="11">
        <v>-35.124076700000003</v>
      </c>
      <c r="G520" s="11">
        <v>52.81690141</v>
      </c>
      <c r="H520" s="11">
        <v>-23.349485898200001</v>
      </c>
      <c r="I520" s="11">
        <v>16.675072904499999</v>
      </c>
      <c r="J520" s="11">
        <v>-35.412410027200004</v>
      </c>
      <c r="K520" s="10">
        <v>0.36006022063499998</v>
      </c>
      <c r="L520" s="12">
        <v>3638864375.1999998</v>
      </c>
      <c r="M520">
        <v>120.89016676249101</v>
      </c>
      <c r="N520" s="7">
        <v>2.6120485375650802</v>
      </c>
      <c r="O520" s="7">
        <v>1.97448005542796</v>
      </c>
      <c r="P520" s="7">
        <v>-30.799300195399901</v>
      </c>
      <c r="Q520" s="7" t="s">
        <v>3698</v>
      </c>
      <c r="U520">
        <v>-0.38499503988440525</v>
      </c>
      <c r="AT520" s="4" t="s">
        <v>4188</v>
      </c>
    </row>
    <row r="521" spans="1:46">
      <c r="A521" s="2">
        <v>2218</v>
      </c>
      <c r="B521" t="s">
        <v>4670</v>
      </c>
      <c r="C521" t="s">
        <v>3302</v>
      </c>
      <c r="D521" t="s">
        <v>3721</v>
      </c>
      <c r="E521" s="4">
        <v>43465</v>
      </c>
      <c r="F521" s="11">
        <v>-31.377245510000002</v>
      </c>
      <c r="G521" s="11">
        <v>52.80748663</v>
      </c>
      <c r="H521" s="11">
        <v>-2.1061711368</v>
      </c>
      <c r="I521" s="11">
        <v>13.4150213235</v>
      </c>
      <c r="J521" s="11">
        <v>-1.1349543498000001</v>
      </c>
      <c r="K521" s="10">
        <v>0.80838185735000001</v>
      </c>
      <c r="L521" s="12">
        <v>27700437347.25</v>
      </c>
      <c r="M521">
        <v>-86.930003603616399</v>
      </c>
      <c r="N521" s="7">
        <v>4.3103115761180897</v>
      </c>
      <c r="O521" s="7">
        <v>2.2542383238095201</v>
      </c>
      <c r="P521" s="7">
        <v>99.886552877965201</v>
      </c>
      <c r="Q521" s="7" t="s">
        <v>3698</v>
      </c>
      <c r="U521">
        <v>-3.1451108376122576E-2</v>
      </c>
      <c r="AT521" s="4" t="s">
        <v>4338</v>
      </c>
    </row>
    <row r="522" spans="1:46">
      <c r="A522" s="2">
        <v>1058</v>
      </c>
      <c r="B522" t="s">
        <v>4671</v>
      </c>
      <c r="C522" t="s">
        <v>3019</v>
      </c>
      <c r="D522" t="s">
        <v>3721</v>
      </c>
      <c r="E522" s="4">
        <v>43465</v>
      </c>
      <c r="F522" s="11">
        <v>3.1367628600000002</v>
      </c>
      <c r="G522" s="11">
        <v>52.74102079</v>
      </c>
      <c r="H522" s="11">
        <v>29.658477732000001</v>
      </c>
      <c r="I522" s="11">
        <v>17.772515787500001</v>
      </c>
      <c r="J522" s="11">
        <v>1.6125954913</v>
      </c>
      <c r="K522" s="10">
        <v>0.57839942857100002</v>
      </c>
      <c r="L522" s="12">
        <v>4456289692.8000002</v>
      </c>
      <c r="M522">
        <v>-16.0419686720535</v>
      </c>
      <c r="N522" s="7">
        <v>2.6292252422898601</v>
      </c>
      <c r="O522" s="7">
        <v>1.22640633109663</v>
      </c>
      <c r="P522" s="7">
        <v>-11.0448261590971</v>
      </c>
      <c r="Q522" s="7" t="s">
        <v>3698</v>
      </c>
      <c r="U522">
        <v>3.5456399059023577E-2</v>
      </c>
      <c r="AT522" s="4" t="s">
        <v>4672</v>
      </c>
    </row>
    <row r="523" spans="1:46">
      <c r="A523" s="2">
        <v>998</v>
      </c>
      <c r="B523" t="s">
        <v>4673</v>
      </c>
      <c r="C523" t="s">
        <v>2711</v>
      </c>
      <c r="D523" t="s">
        <v>3718</v>
      </c>
      <c r="E523" s="4">
        <v>43465</v>
      </c>
      <c r="F523" s="11">
        <v>13.45163835</v>
      </c>
      <c r="G523" s="11">
        <v>52.694610779999998</v>
      </c>
      <c r="H523" s="11">
        <v>-5.0222905396000002</v>
      </c>
      <c r="I523" s="11">
        <v>20.359424205900002</v>
      </c>
      <c r="J523" s="11">
        <v>6.4701107442000003</v>
      </c>
      <c r="K523" s="10">
        <v>0.34002556379499999</v>
      </c>
      <c r="L523" s="12">
        <v>3226836767.9400001</v>
      </c>
      <c r="M523">
        <v>62.916123160484403</v>
      </c>
      <c r="N523" s="7">
        <v>1.01667856138307</v>
      </c>
      <c r="O523" s="7">
        <v>1.7415772984992799</v>
      </c>
      <c r="P523" s="7">
        <v>31.1679625037501</v>
      </c>
      <c r="Q523" s="7">
        <v>0.20161290322580644</v>
      </c>
      <c r="U523">
        <v>0.11362901923216226</v>
      </c>
      <c r="AT523" s="4" t="s">
        <v>4674</v>
      </c>
    </row>
    <row r="524" spans="1:46">
      <c r="A524" s="2">
        <v>3047</v>
      </c>
      <c r="B524" t="s">
        <v>4675</v>
      </c>
      <c r="C524" t="s">
        <v>3070</v>
      </c>
      <c r="D524" t="s">
        <v>3837</v>
      </c>
      <c r="E524" s="4">
        <v>43465</v>
      </c>
      <c r="F524" s="11">
        <v>5.0660839400000004</v>
      </c>
      <c r="G524" s="11">
        <v>52.610441770000001</v>
      </c>
      <c r="H524" s="11">
        <v>-69.963710272499995</v>
      </c>
      <c r="I524" s="11" t="s">
        <v>3698</v>
      </c>
      <c r="J524" s="11">
        <v>-337.68246956799999</v>
      </c>
      <c r="K524" s="10" t="s">
        <v>3698</v>
      </c>
      <c r="L524" s="12">
        <v>9272629920.9599991</v>
      </c>
      <c r="M524">
        <v>-121.370637134866</v>
      </c>
      <c r="N524" s="7">
        <v>1.64940285418951</v>
      </c>
      <c r="O524" s="7">
        <v>16.085212308033601</v>
      </c>
      <c r="P524" s="7">
        <v>-23.161235639645401</v>
      </c>
      <c r="Q524" s="7" t="s">
        <v>3698</v>
      </c>
      <c r="U524">
        <v>-0.1939840751141661</v>
      </c>
      <c r="AT524" s="4" t="s">
        <v>4676</v>
      </c>
    </row>
    <row r="525" spans="1:46">
      <c r="A525" s="2">
        <v>546</v>
      </c>
      <c r="B525" t="s">
        <v>4677</v>
      </c>
      <c r="C525" t="s">
        <v>282</v>
      </c>
      <c r="D525" t="s">
        <v>3977</v>
      </c>
      <c r="E525" s="4">
        <v>43465</v>
      </c>
      <c r="F525" s="11">
        <v>-30.594588510000001</v>
      </c>
      <c r="G525" s="11">
        <v>52.542372880000002</v>
      </c>
      <c r="H525" s="11">
        <v>6.3579225628999998</v>
      </c>
      <c r="I525" s="11">
        <v>47.337562818400002</v>
      </c>
      <c r="J525" s="11">
        <v>11.3810000604</v>
      </c>
      <c r="K525" s="10">
        <v>1.2825567094770001</v>
      </c>
      <c r="L525" s="12">
        <v>3019689600</v>
      </c>
      <c r="M525">
        <v>12.633613107426999</v>
      </c>
      <c r="N525" s="7">
        <v>3.1376797686347899</v>
      </c>
      <c r="O525" s="7">
        <v>1.2397530393291101</v>
      </c>
      <c r="P525" s="7">
        <v>10.185693928744501</v>
      </c>
      <c r="Q525" s="7">
        <v>2.6798158502782918</v>
      </c>
      <c r="U525">
        <v>0.76783563093111429</v>
      </c>
      <c r="AT525" s="4" t="s">
        <v>4678</v>
      </c>
    </row>
    <row r="526" spans="1:46">
      <c r="A526" s="2">
        <v>1479</v>
      </c>
      <c r="B526" t="s">
        <v>4679</v>
      </c>
      <c r="C526" t="s">
        <v>2146</v>
      </c>
      <c r="D526" t="s">
        <v>3713</v>
      </c>
      <c r="E526" s="4">
        <v>43465</v>
      </c>
      <c r="F526" s="11">
        <v>-12.617446409999999</v>
      </c>
      <c r="G526" s="11">
        <v>52.450980389999998</v>
      </c>
      <c r="H526" s="11">
        <v>22.621771169999999</v>
      </c>
      <c r="I526" s="11">
        <v>36.022457017699999</v>
      </c>
      <c r="J526" s="11">
        <v>10.468918178099999</v>
      </c>
      <c r="K526" s="10">
        <v>0.26436288664000002</v>
      </c>
      <c r="L526" s="12">
        <v>25833839042.299999</v>
      </c>
      <c r="M526">
        <v>64.521144887449296</v>
      </c>
      <c r="N526" s="7">
        <v>2.4210083218121401</v>
      </c>
      <c r="O526" s="7">
        <v>6.8431339904183197</v>
      </c>
      <c r="P526" s="7">
        <v>435.80654126912799</v>
      </c>
      <c r="Q526" s="7">
        <v>0.18789981273408241</v>
      </c>
      <c r="U526">
        <v>0.13519069690806379</v>
      </c>
      <c r="AT526" s="4" t="s">
        <v>4648</v>
      </c>
    </row>
    <row r="527" spans="1:46">
      <c r="A527" s="2">
        <v>1654</v>
      </c>
      <c r="B527" t="s">
        <v>4680</v>
      </c>
      <c r="C527" t="s">
        <v>3042</v>
      </c>
      <c r="D527" t="s">
        <v>3713</v>
      </c>
      <c r="E527" s="4">
        <v>43465</v>
      </c>
      <c r="F527" s="11">
        <v>-9.1363150100000006</v>
      </c>
      <c r="G527" s="11">
        <v>52.37543453</v>
      </c>
      <c r="H527" s="11">
        <v>2.9196400131</v>
      </c>
      <c r="I527" s="11">
        <v>59.435312462200002</v>
      </c>
      <c r="J527" s="11">
        <v>8.7263129757000009</v>
      </c>
      <c r="K527" s="10">
        <v>0.34748357382599998</v>
      </c>
      <c r="L527" s="12">
        <v>11710870724.08</v>
      </c>
      <c r="M527">
        <v>32.312944942274001</v>
      </c>
      <c r="N527" s="7">
        <v>3.2764105985569199</v>
      </c>
      <c r="O527" s="7">
        <v>4.9482643512345996</v>
      </c>
      <c r="P527" s="7">
        <v>-27.975164437378002</v>
      </c>
      <c r="Q527" s="7">
        <v>0.43240353914330149</v>
      </c>
      <c r="U527">
        <v>0.12838396763138951</v>
      </c>
      <c r="AT527" s="4" t="s">
        <v>4681</v>
      </c>
    </row>
    <row r="528" spans="1:46">
      <c r="A528" s="2">
        <v>1809</v>
      </c>
      <c r="B528" t="s">
        <v>4682</v>
      </c>
      <c r="C528" t="s">
        <v>952</v>
      </c>
      <c r="D528" t="s">
        <v>3752</v>
      </c>
      <c r="E528" s="4">
        <v>43465</v>
      </c>
      <c r="F528" s="11">
        <v>16.814095330000001</v>
      </c>
      <c r="G528" s="11">
        <v>52.28040541</v>
      </c>
      <c r="H528" s="11">
        <v>111.2844985894</v>
      </c>
      <c r="I528" s="11">
        <v>40.148307875100002</v>
      </c>
      <c r="J528" s="11">
        <v>18.490211778700001</v>
      </c>
      <c r="K528" s="10">
        <v>0.25847584518599998</v>
      </c>
      <c r="L528" s="12">
        <v>8720804993.0400009</v>
      </c>
      <c r="M528">
        <v>29.2814487067999</v>
      </c>
      <c r="N528" s="7">
        <v>2.6416739537864</v>
      </c>
      <c r="O528" s="7">
        <v>7.0389995316827001</v>
      </c>
      <c r="P528" s="7">
        <v>17.686515110160599</v>
      </c>
      <c r="Q528" s="7">
        <v>0.25036506091474697</v>
      </c>
      <c r="U528">
        <v>0.35578971382906605</v>
      </c>
      <c r="AT528" s="4" t="s">
        <v>4683</v>
      </c>
    </row>
    <row r="529" spans="1:46">
      <c r="A529" s="2">
        <v>3420</v>
      </c>
      <c r="B529" t="s">
        <v>4684</v>
      </c>
      <c r="C529" t="s">
        <v>1168</v>
      </c>
      <c r="D529" t="s">
        <v>3752</v>
      </c>
      <c r="E529" s="4">
        <v>43465</v>
      </c>
      <c r="F529" s="11">
        <v>-2.2159064900000001</v>
      </c>
      <c r="G529" s="11">
        <v>52.222222219999999</v>
      </c>
      <c r="H529" s="11">
        <v>4.8589743937999996</v>
      </c>
      <c r="I529" s="11">
        <v>14.966160394199999</v>
      </c>
      <c r="J529" s="11">
        <v>7.1304192161</v>
      </c>
      <c r="K529" s="10">
        <v>1.354711363007</v>
      </c>
      <c r="L529" s="12">
        <v>6166344738</v>
      </c>
      <c r="M529">
        <v>24.373338991471499</v>
      </c>
      <c r="N529" s="7">
        <v>2.8001125982945898</v>
      </c>
      <c r="O529" s="7">
        <v>1.62721515643467</v>
      </c>
      <c r="P529" s="7">
        <v>-141.978497191294</v>
      </c>
      <c r="Q529" s="7">
        <v>3.3624747814391389</v>
      </c>
      <c r="U529">
        <v>0.41209525304480449</v>
      </c>
      <c r="AT529" s="4" t="s">
        <v>4058</v>
      </c>
    </row>
    <row r="530" spans="1:46">
      <c r="A530" s="2">
        <v>1467</v>
      </c>
      <c r="B530" t="s">
        <v>4685</v>
      </c>
      <c r="C530" t="s">
        <v>698</v>
      </c>
      <c r="D530" t="s">
        <v>3752</v>
      </c>
      <c r="E530" s="4">
        <v>43465</v>
      </c>
      <c r="F530" s="11">
        <v>7.7940153700000003</v>
      </c>
      <c r="G530" s="11">
        <v>52.173913040000002</v>
      </c>
      <c r="H530" s="11">
        <v>14.810411265700001</v>
      </c>
      <c r="I530" s="11">
        <v>25.3396613514</v>
      </c>
      <c r="J530" s="11">
        <v>6.8225499995999996</v>
      </c>
      <c r="K530" s="10">
        <v>0.74790250420500004</v>
      </c>
      <c r="L530" s="12">
        <v>5713786845.1000004</v>
      </c>
      <c r="M530">
        <v>25.822646101559499</v>
      </c>
      <c r="N530" s="7">
        <v>1.6111771489107101</v>
      </c>
      <c r="O530" s="7">
        <v>1.63064289441891</v>
      </c>
      <c r="P530" s="7">
        <v>-22.379684771004001</v>
      </c>
      <c r="Q530" s="7">
        <v>1.5269949949949952</v>
      </c>
      <c r="U530">
        <v>0.27897731727399105</v>
      </c>
      <c r="AT530" s="4" t="s">
        <v>4686</v>
      </c>
    </row>
    <row r="531" spans="1:46">
      <c r="A531" s="2">
        <v>1463</v>
      </c>
      <c r="B531" t="s">
        <v>4687</v>
      </c>
      <c r="C531" t="s">
        <v>1307</v>
      </c>
      <c r="D531" t="s">
        <v>3752</v>
      </c>
      <c r="E531" s="4">
        <v>43465</v>
      </c>
      <c r="F531" s="11">
        <v>76.978112899999999</v>
      </c>
      <c r="G531" s="11">
        <v>52.016632020000003</v>
      </c>
      <c r="H531" s="11">
        <v>19.231881276300001</v>
      </c>
      <c r="I531" s="11">
        <v>34.194885708900003</v>
      </c>
      <c r="J531" s="11">
        <v>15.2149950618</v>
      </c>
      <c r="K531" s="10">
        <v>0.53393552686500001</v>
      </c>
      <c r="L531" s="12">
        <v>3109377522.6599998</v>
      </c>
      <c r="M531">
        <v>34.706386317314198</v>
      </c>
      <c r="N531" s="7">
        <v>3.8663228639527301</v>
      </c>
      <c r="O531" s="7">
        <v>4.36114284971692</v>
      </c>
      <c r="P531" s="7">
        <v>-246.26433165223099</v>
      </c>
      <c r="Q531" s="7">
        <v>0.56988716582127452</v>
      </c>
      <c r="U531">
        <v>0.84350314477200727</v>
      </c>
      <c r="AT531" s="4" t="s">
        <v>4686</v>
      </c>
    </row>
    <row r="532" spans="1:46">
      <c r="A532" s="2">
        <v>1380</v>
      </c>
      <c r="B532" t="s">
        <v>4688</v>
      </c>
      <c r="C532" t="s">
        <v>1300</v>
      </c>
      <c r="D532" t="s">
        <v>3721</v>
      </c>
      <c r="E532" s="4">
        <v>43465</v>
      </c>
      <c r="F532" s="11">
        <v>49.737812249999998</v>
      </c>
      <c r="G532" s="11">
        <v>51.993262209999997</v>
      </c>
      <c r="H532" s="11">
        <v>54.066389855399997</v>
      </c>
      <c r="I532" s="11">
        <v>16.459417281699999</v>
      </c>
      <c r="J532" s="11">
        <v>4.7135033784000004</v>
      </c>
      <c r="K532" s="10">
        <v>1.1556829719170001</v>
      </c>
      <c r="L532" s="12">
        <v>4316723857.6800003</v>
      </c>
      <c r="M532">
        <v>66.681009864826294</v>
      </c>
      <c r="N532" s="7">
        <v>6.1014738871933796</v>
      </c>
      <c r="O532" s="7">
        <v>4.00725727356894</v>
      </c>
      <c r="P532" s="7">
        <v>21.135628695813399</v>
      </c>
      <c r="Q532" s="7">
        <v>0.10575793184488839</v>
      </c>
      <c r="U532">
        <v>0.25728371640959752</v>
      </c>
      <c r="AT532" s="4" t="s">
        <v>4689</v>
      </c>
    </row>
    <row r="533" spans="1:46">
      <c r="A533" s="2">
        <v>3400</v>
      </c>
      <c r="B533" t="s">
        <v>4690</v>
      </c>
      <c r="C533" t="s">
        <v>236</v>
      </c>
      <c r="D533" t="s">
        <v>4060</v>
      </c>
      <c r="E533" s="4">
        <v>43465</v>
      </c>
      <c r="F533" s="11">
        <v>55.188868030000002</v>
      </c>
      <c r="G533" s="11">
        <v>51.986032299999998</v>
      </c>
      <c r="H533" s="11">
        <v>95.995877896099998</v>
      </c>
      <c r="I533" s="11">
        <v>47.262331908299998</v>
      </c>
      <c r="J533" s="11">
        <v>25.614768348999998</v>
      </c>
      <c r="K533" s="10">
        <v>0.51342126787599995</v>
      </c>
      <c r="L533" s="12">
        <v>13765641713.120001</v>
      </c>
      <c r="M533">
        <v>46.464841629654899</v>
      </c>
      <c r="N533" s="7">
        <v>7.7537924203744897</v>
      </c>
      <c r="O533" s="7">
        <v>12.0710744184549</v>
      </c>
      <c r="P533" s="7">
        <v>75.834256193454706</v>
      </c>
      <c r="Q533" s="7">
        <v>0.42148377596205228</v>
      </c>
      <c r="U533">
        <v>0.60614305672268909</v>
      </c>
      <c r="AT533" s="4" t="s">
        <v>4691</v>
      </c>
    </row>
    <row r="534" spans="1:46">
      <c r="A534" s="2">
        <v>1192</v>
      </c>
      <c r="B534" t="s">
        <v>4692</v>
      </c>
      <c r="C534" t="s">
        <v>2356</v>
      </c>
      <c r="D534" t="s">
        <v>3721</v>
      </c>
      <c r="E534" s="4">
        <v>43465</v>
      </c>
      <c r="F534" s="11">
        <v>-29.659643129999999</v>
      </c>
      <c r="G534" s="11">
        <v>51.912568309999997</v>
      </c>
      <c r="H534" s="11">
        <v>4.2258654476000004</v>
      </c>
      <c r="I534" s="11">
        <v>17.950252096</v>
      </c>
      <c r="J534" s="11">
        <v>-23.3656760762</v>
      </c>
      <c r="K534" s="10">
        <v>0.40621460772500001</v>
      </c>
      <c r="L534" s="12">
        <v>4834497740</v>
      </c>
      <c r="M534">
        <v>20.1511211369194</v>
      </c>
      <c r="N534" s="7">
        <v>3.11280656100493</v>
      </c>
      <c r="O534" s="7">
        <v>1.9743155546922</v>
      </c>
      <c r="P534" s="7">
        <v>-13.374007915404</v>
      </c>
      <c r="Q534" s="7" t="s">
        <v>3698</v>
      </c>
      <c r="U534">
        <v>-0.37770634172909939</v>
      </c>
      <c r="AT534" s="4" t="s">
        <v>4693</v>
      </c>
    </row>
    <row r="535" spans="1:46">
      <c r="A535" s="2">
        <v>1052</v>
      </c>
      <c r="B535" t="s">
        <v>4694</v>
      </c>
      <c r="C535" t="s">
        <v>1969</v>
      </c>
      <c r="D535" t="s">
        <v>3858</v>
      </c>
      <c r="E535" s="4">
        <v>43465</v>
      </c>
      <c r="F535" s="11">
        <v>17.945417070000001</v>
      </c>
      <c r="G535" s="11">
        <v>51.566951570000001</v>
      </c>
      <c r="H535" s="11">
        <v>56.4617607363</v>
      </c>
      <c r="I535" s="11">
        <v>15.6179902668</v>
      </c>
      <c r="J535" s="11">
        <v>5.2835794049000002</v>
      </c>
      <c r="K535" s="10">
        <v>0.83119428983999999</v>
      </c>
      <c r="L535" s="12">
        <v>9394009701.5</v>
      </c>
      <c r="M535">
        <v>17.738714771242201</v>
      </c>
      <c r="N535" s="7">
        <v>0.83114556876182499</v>
      </c>
      <c r="O535" s="7">
        <v>0.54885427124300801</v>
      </c>
      <c r="P535" s="7">
        <v>-18.479595507091801</v>
      </c>
      <c r="Q535" s="7">
        <v>0.87358684480986626</v>
      </c>
      <c r="U535">
        <v>0.79442459196709503</v>
      </c>
      <c r="AT535" s="4" t="s">
        <v>4282</v>
      </c>
    </row>
    <row r="536" spans="1:46">
      <c r="A536" s="2">
        <v>2072</v>
      </c>
      <c r="B536" t="s">
        <v>4695</v>
      </c>
      <c r="C536" t="s">
        <v>375</v>
      </c>
      <c r="D536" t="s">
        <v>3737</v>
      </c>
      <c r="E536" s="4">
        <v>43465</v>
      </c>
      <c r="F536" s="11">
        <v>106.39724626</v>
      </c>
      <c r="G536" s="11">
        <v>51.545277720000001</v>
      </c>
      <c r="H536" s="11">
        <v>17.923802932000001</v>
      </c>
      <c r="I536" s="11">
        <v>93.077693144600005</v>
      </c>
      <c r="J536" s="11">
        <v>39.813318217800003</v>
      </c>
      <c r="K536" s="10">
        <v>0.38669445139300002</v>
      </c>
      <c r="L536" s="12">
        <v>11346340595.76</v>
      </c>
      <c r="M536">
        <v>44.815540212316201</v>
      </c>
      <c r="N536" s="7">
        <v>6.9973795513582804</v>
      </c>
      <c r="O536" s="7">
        <v>17.134225451045999</v>
      </c>
      <c r="P536" s="7">
        <v>365.44203515530302</v>
      </c>
      <c r="Q536" s="7">
        <v>0.79365079365079361</v>
      </c>
      <c r="U536">
        <v>1.0726883435000001</v>
      </c>
      <c r="AT536" s="4" t="s">
        <v>4696</v>
      </c>
    </row>
    <row r="537" spans="1:46">
      <c r="A537" s="2">
        <v>3603</v>
      </c>
      <c r="B537" t="s">
        <v>4697</v>
      </c>
      <c r="C537" t="s">
        <v>182</v>
      </c>
      <c r="D537" t="s">
        <v>3785</v>
      </c>
      <c r="E537" s="4">
        <v>43465</v>
      </c>
      <c r="F537" s="11">
        <v>0.84028773000000001</v>
      </c>
      <c r="G537" s="11">
        <v>51.455479449999999</v>
      </c>
      <c r="H537" s="11">
        <v>9.723497214</v>
      </c>
      <c r="I537" s="11">
        <v>62.298510261399997</v>
      </c>
      <c r="J537" s="11">
        <v>17.684221944600001</v>
      </c>
      <c r="K537" s="10">
        <v>0.58106964469300004</v>
      </c>
      <c r="L537" s="12">
        <v>362747778794.72998</v>
      </c>
      <c r="M537">
        <v>18.331600307967499</v>
      </c>
      <c r="N537" s="7">
        <v>2.1271934293092301</v>
      </c>
      <c r="O537" s="7">
        <v>3.1343295738566299</v>
      </c>
      <c r="P537" s="7">
        <v>29.2611619983408</v>
      </c>
      <c r="Q537" s="7">
        <v>1.3186384236741431</v>
      </c>
      <c r="U537">
        <v>0.71048432788461535</v>
      </c>
      <c r="AT537" s="4" t="s">
        <v>4698</v>
      </c>
    </row>
    <row r="538" spans="1:46">
      <c r="A538" s="2">
        <v>664</v>
      </c>
      <c r="B538" t="s">
        <v>4699</v>
      </c>
      <c r="C538" t="s">
        <v>1983</v>
      </c>
      <c r="D538" t="s">
        <v>3713</v>
      </c>
      <c r="E538" s="4">
        <v>43465</v>
      </c>
      <c r="F538" s="11">
        <v>47.251621960000001</v>
      </c>
      <c r="G538" s="11">
        <v>51.386748840000003</v>
      </c>
      <c r="H538" s="11">
        <v>4.6039922388000001</v>
      </c>
      <c r="I538" s="11">
        <v>44.906339122200002</v>
      </c>
      <c r="J538" s="11">
        <v>17.519213194199999</v>
      </c>
      <c r="K538" s="10">
        <v>0.36407609668899998</v>
      </c>
      <c r="L538" s="12">
        <v>5546182653.2700005</v>
      </c>
      <c r="M538">
        <v>66.503165788163201</v>
      </c>
      <c r="N538" s="7">
        <v>4.1455188769545801</v>
      </c>
      <c r="O538" s="7">
        <v>9.2716949761407808</v>
      </c>
      <c r="P538" s="7">
        <v>8.3488348757003195</v>
      </c>
      <c r="Q538" s="7">
        <v>0.27682292126959357</v>
      </c>
      <c r="U538">
        <v>0.434418411364764</v>
      </c>
      <c r="AT538" s="4" t="s">
        <v>4249</v>
      </c>
    </row>
    <row r="539" spans="1:46">
      <c r="A539" s="2">
        <v>1779</v>
      </c>
      <c r="B539" t="s">
        <v>4700</v>
      </c>
      <c r="C539" t="s">
        <v>3414</v>
      </c>
      <c r="D539" t="s">
        <v>3718</v>
      </c>
      <c r="E539" s="4">
        <v>43465</v>
      </c>
      <c r="F539" s="11">
        <v>-2.4128486200000001</v>
      </c>
      <c r="G539" s="11">
        <v>51.288343560000001</v>
      </c>
      <c r="H539" s="11">
        <v>3.6361354255</v>
      </c>
      <c r="I539" s="11">
        <v>60.714967332199997</v>
      </c>
      <c r="J539" s="11">
        <v>13.133439410999999</v>
      </c>
      <c r="K539" s="10">
        <v>0.34001652625700002</v>
      </c>
      <c r="L539" s="12">
        <v>5640000000</v>
      </c>
      <c r="M539">
        <v>235.40981632498799</v>
      </c>
      <c r="N539" s="7">
        <v>3.1509761014743098</v>
      </c>
      <c r="O539" s="7">
        <v>8.6727392306750701</v>
      </c>
      <c r="P539" s="7">
        <v>-33.902415895154299</v>
      </c>
      <c r="Q539" s="7">
        <v>0.2652519893899204</v>
      </c>
      <c r="U539">
        <v>0.1274194256701521</v>
      </c>
      <c r="AT539" s="4" t="s">
        <v>4701</v>
      </c>
    </row>
    <row r="540" spans="1:46">
      <c r="A540" s="2">
        <v>1999</v>
      </c>
      <c r="B540" t="s">
        <v>4702</v>
      </c>
      <c r="C540" t="s">
        <v>1344</v>
      </c>
      <c r="D540" t="s">
        <v>3713</v>
      </c>
      <c r="E540" s="4">
        <v>43465</v>
      </c>
      <c r="F540" s="11">
        <v>28.78571385</v>
      </c>
      <c r="G540" s="11">
        <v>51.260997070000002</v>
      </c>
      <c r="H540" s="11">
        <v>-16.335847545899998</v>
      </c>
      <c r="I540" s="11">
        <v>47.0885880947</v>
      </c>
      <c r="J540" s="11">
        <v>7.2171170471000003</v>
      </c>
      <c r="K540" s="10">
        <v>0.60960610987700004</v>
      </c>
      <c r="L540" s="12">
        <v>6910441964.5799999</v>
      </c>
      <c r="M540">
        <v>64.815956976203395</v>
      </c>
      <c r="N540" s="7">
        <v>7.1548901822578301</v>
      </c>
      <c r="O540" s="7">
        <v>9.4570333018123396</v>
      </c>
      <c r="P540" s="7">
        <v>-41.4898726650828</v>
      </c>
      <c r="Q540" s="7">
        <v>0.43920697423715344</v>
      </c>
      <c r="U540">
        <v>0.12182396136841835</v>
      </c>
      <c r="AT540" s="4" t="s">
        <v>4703</v>
      </c>
    </row>
    <row r="541" spans="1:46">
      <c r="A541" s="2">
        <v>1009</v>
      </c>
      <c r="B541" t="s">
        <v>4704</v>
      </c>
      <c r="C541" t="s">
        <v>2372</v>
      </c>
      <c r="D541" t="s">
        <v>3761</v>
      </c>
      <c r="E541" s="4">
        <v>43465</v>
      </c>
      <c r="F541" s="11">
        <v>-6.3990056900000001</v>
      </c>
      <c r="G541" s="11">
        <v>51.25628141</v>
      </c>
      <c r="H541" s="11">
        <v>17.348695963699999</v>
      </c>
      <c r="I541" s="11">
        <v>18.342205612099999</v>
      </c>
      <c r="J541" s="11">
        <v>3.9702076435000002</v>
      </c>
      <c r="K541" s="10">
        <v>0.865425465359</v>
      </c>
      <c r="L541" s="12">
        <v>41648617959</v>
      </c>
      <c r="M541">
        <v>34.784669082697299</v>
      </c>
      <c r="N541" s="7">
        <v>1.4095291455435099</v>
      </c>
      <c r="O541" s="7">
        <v>1.28424670363446</v>
      </c>
      <c r="P541" s="7">
        <v>166.649535412723</v>
      </c>
      <c r="Q541" s="7">
        <v>1.2676056338028168</v>
      </c>
      <c r="U541">
        <v>6.6542516598553092E-2</v>
      </c>
      <c r="AT541" s="4" t="s">
        <v>4705</v>
      </c>
    </row>
    <row r="542" spans="1:46">
      <c r="A542" s="2">
        <v>3309</v>
      </c>
      <c r="B542" t="s">
        <v>4706</v>
      </c>
      <c r="C542" t="s">
        <v>557</v>
      </c>
      <c r="D542" t="s">
        <v>3849</v>
      </c>
      <c r="E542" s="4">
        <v>43465</v>
      </c>
      <c r="F542" s="11">
        <v>-19.604174</v>
      </c>
      <c r="G542" s="11">
        <v>51.161665050000003</v>
      </c>
      <c r="H542" s="11">
        <v>10.7683917411</v>
      </c>
      <c r="I542" s="11">
        <v>32.917902091899997</v>
      </c>
      <c r="J542" s="11">
        <v>8.7907185385000002</v>
      </c>
      <c r="K542" s="10">
        <v>0.83406427372600001</v>
      </c>
      <c r="L542" s="12">
        <v>1708254482.3499999</v>
      </c>
      <c r="M542">
        <v>26.4965854292894</v>
      </c>
      <c r="N542" s="7">
        <v>3.7342965727916799</v>
      </c>
      <c r="O542" s="7">
        <v>1.5251005241553</v>
      </c>
      <c r="P542" s="7">
        <v>18.4301932461332</v>
      </c>
      <c r="Q542" s="7">
        <v>0.94698662286545821</v>
      </c>
      <c r="U542">
        <v>0.92723510549409804</v>
      </c>
      <c r="AT542" s="4" t="s">
        <v>4707</v>
      </c>
    </row>
    <row r="543" spans="1:46">
      <c r="A543" s="2">
        <v>138</v>
      </c>
      <c r="B543" t="s">
        <v>4708</v>
      </c>
      <c r="C543" t="s">
        <v>1501</v>
      </c>
      <c r="D543" t="s">
        <v>3785</v>
      </c>
      <c r="E543" s="4">
        <v>43465</v>
      </c>
      <c r="F543" s="11">
        <v>3.4838641799999999</v>
      </c>
      <c r="G543" s="11">
        <v>51.116071429999998</v>
      </c>
      <c r="H543" s="11">
        <v>8.3638765809999995</v>
      </c>
      <c r="I543" s="11">
        <v>21.638923447500002</v>
      </c>
      <c r="J543" s="11">
        <v>7.6586639779999999</v>
      </c>
      <c r="K543" s="10">
        <v>1.2037927816909999</v>
      </c>
      <c r="L543" s="12">
        <v>4443764322.0500002</v>
      </c>
      <c r="M543">
        <v>16.343284846533699</v>
      </c>
      <c r="N543" s="7">
        <v>1.74773131839282</v>
      </c>
      <c r="O543" s="7">
        <v>1.0776760005883399</v>
      </c>
      <c r="P543" s="7">
        <v>22.012752531703502</v>
      </c>
      <c r="Q543" s="7">
        <v>1.1182108626198082</v>
      </c>
      <c r="U543">
        <v>0.28634191897286138</v>
      </c>
      <c r="AT543" s="4" t="s">
        <v>4709</v>
      </c>
    </row>
    <row r="544" spans="1:46">
      <c r="A544" s="2">
        <v>1146</v>
      </c>
      <c r="B544" t="s">
        <v>4710</v>
      </c>
      <c r="C544" t="s">
        <v>1802</v>
      </c>
      <c r="D544" t="s">
        <v>3721</v>
      </c>
      <c r="E544" s="4">
        <v>43465</v>
      </c>
      <c r="F544" s="11">
        <v>-35.296770180000003</v>
      </c>
      <c r="G544" s="11">
        <v>51.103265669999999</v>
      </c>
      <c r="H544" s="11">
        <v>30.9311842967</v>
      </c>
      <c r="I544" s="11">
        <v>31.275403697200002</v>
      </c>
      <c r="J544" s="11">
        <v>15.329076603500001</v>
      </c>
      <c r="K544" s="10">
        <v>0.40587346259599999</v>
      </c>
      <c r="L544" s="12">
        <v>10013655960</v>
      </c>
      <c r="M544">
        <v>38.392544203660698</v>
      </c>
      <c r="N544" s="7">
        <v>1.84803620272262</v>
      </c>
      <c r="O544" s="7">
        <v>2.3495879140026101</v>
      </c>
      <c r="P544" s="7">
        <v>-7.3373581348440897</v>
      </c>
      <c r="Q544" s="7">
        <v>0.67221916064578469</v>
      </c>
      <c r="U544">
        <v>0.74190950707187819</v>
      </c>
      <c r="AT544" s="4" t="s">
        <v>4711</v>
      </c>
    </row>
    <row r="545" spans="1:46">
      <c r="A545" s="2">
        <v>3458</v>
      </c>
      <c r="B545" t="s">
        <v>4712</v>
      </c>
      <c r="C545" t="s">
        <v>968</v>
      </c>
      <c r="D545" t="s">
        <v>3781</v>
      </c>
      <c r="E545" s="4">
        <v>43465</v>
      </c>
      <c r="F545" s="11">
        <v>36.57531642</v>
      </c>
      <c r="G545" s="11">
        <v>50.967741940000003</v>
      </c>
      <c r="H545" s="11">
        <v>15.0042213041</v>
      </c>
      <c r="I545" s="11">
        <v>8.4408449215000001</v>
      </c>
      <c r="J545" s="11">
        <v>3.8391016710999999</v>
      </c>
      <c r="K545" s="10">
        <v>2.4388540475129998</v>
      </c>
      <c r="L545" s="12">
        <v>5236437668.9099998</v>
      </c>
      <c r="M545">
        <v>11.9643904232608</v>
      </c>
      <c r="N545" s="7">
        <v>1.6724413923674299</v>
      </c>
      <c r="O545" s="7">
        <v>0.42433915185474702</v>
      </c>
      <c r="P545" s="7">
        <v>-61.088446378175902</v>
      </c>
      <c r="Q545" s="7">
        <v>1.5267175572519083</v>
      </c>
      <c r="U545">
        <v>0.66403301697656703</v>
      </c>
      <c r="AT545" s="4" t="s">
        <v>4713</v>
      </c>
    </row>
    <row r="546" spans="1:46">
      <c r="A546" s="2">
        <v>1246</v>
      </c>
      <c r="B546" t="s">
        <v>4714</v>
      </c>
      <c r="C546" t="s">
        <v>1861</v>
      </c>
      <c r="D546" t="s">
        <v>3837</v>
      </c>
      <c r="E546" s="4">
        <v>43465</v>
      </c>
      <c r="F546" s="11">
        <v>18.58172248</v>
      </c>
      <c r="G546" s="11">
        <v>50.89605735</v>
      </c>
      <c r="H546" s="11">
        <v>-15.8733658634</v>
      </c>
      <c r="I546" s="11" t="s">
        <v>3698</v>
      </c>
      <c r="J546" s="11">
        <v>34.206732135400003</v>
      </c>
      <c r="K546" s="10" t="s">
        <v>3698</v>
      </c>
      <c r="L546" s="12">
        <v>3998963760.5</v>
      </c>
      <c r="M546">
        <v>21.764860531163301</v>
      </c>
      <c r="N546" s="7">
        <v>1.45094052474892</v>
      </c>
      <c r="O546" s="7">
        <v>7.2114201871833101</v>
      </c>
      <c r="P546" s="7">
        <v>-5.1662820473482496</v>
      </c>
      <c r="Q546" s="7">
        <v>1.056338028169014</v>
      </c>
      <c r="U546">
        <v>0.41748739587560973</v>
      </c>
      <c r="AT546" s="4" t="s">
        <v>4715</v>
      </c>
    </row>
    <row r="547" spans="1:46">
      <c r="A547" s="2">
        <v>1985</v>
      </c>
      <c r="B547" t="s">
        <v>4716</v>
      </c>
      <c r="C547" t="s">
        <v>2594</v>
      </c>
      <c r="D547" t="s">
        <v>3737</v>
      </c>
      <c r="E547" s="4">
        <v>43465</v>
      </c>
      <c r="F547" s="11">
        <v>-33.253953860000003</v>
      </c>
      <c r="G547" s="11">
        <v>50.862944159999998</v>
      </c>
      <c r="H547" s="11">
        <v>-10.5571343958</v>
      </c>
      <c r="I547" s="11">
        <v>25.9145174672</v>
      </c>
      <c r="J547" s="11">
        <v>2.8428302950000002</v>
      </c>
      <c r="K547" s="10">
        <v>0.94906254996799999</v>
      </c>
      <c r="L547" s="12">
        <v>11489131883.57</v>
      </c>
      <c r="M547">
        <v>78.889504421519007</v>
      </c>
      <c r="N547" s="7">
        <v>3.64469912538003</v>
      </c>
      <c r="O547" s="7">
        <v>2.4690940877274201</v>
      </c>
      <c r="P547" s="7">
        <v>24.020390067598399</v>
      </c>
      <c r="Q547" s="7">
        <v>0.1294744859101295</v>
      </c>
      <c r="U547">
        <v>0.12720270455508476</v>
      </c>
      <c r="AT547" s="4" t="s">
        <v>4717</v>
      </c>
    </row>
    <row r="548" spans="1:46">
      <c r="A548" s="2">
        <v>1524</v>
      </c>
      <c r="B548" t="s">
        <v>4718</v>
      </c>
      <c r="C548" t="s">
        <v>2972</v>
      </c>
      <c r="D548" t="s">
        <v>3718</v>
      </c>
      <c r="E548" s="4">
        <v>43465</v>
      </c>
      <c r="F548" s="11">
        <v>6.1170767100000001</v>
      </c>
      <c r="G548" s="11">
        <v>50.855745720000002</v>
      </c>
      <c r="H548" s="11">
        <v>5.4962560846999997</v>
      </c>
      <c r="I548" s="11">
        <v>50.914583206300001</v>
      </c>
      <c r="J548" s="11">
        <v>19.3701425014</v>
      </c>
      <c r="K548" s="10">
        <v>0.23171168258200001</v>
      </c>
      <c r="L548" s="12">
        <v>10910861004.68</v>
      </c>
      <c r="M548">
        <v>28.5396097724939</v>
      </c>
      <c r="N548" s="7">
        <v>2.2550960745326298</v>
      </c>
      <c r="O548" s="7">
        <v>6.2799091377994998</v>
      </c>
      <c r="P548" s="7">
        <v>-16.389076451019701</v>
      </c>
      <c r="Q548" s="7">
        <v>1.7064846416382253</v>
      </c>
      <c r="U548">
        <v>0.14560918712473764</v>
      </c>
      <c r="AT548" s="4" t="s">
        <v>4719</v>
      </c>
    </row>
    <row r="549" spans="1:46">
      <c r="A549" s="2">
        <v>1803</v>
      </c>
      <c r="B549" t="s">
        <v>4720</v>
      </c>
      <c r="C549" t="s">
        <v>2917</v>
      </c>
      <c r="D549" t="s">
        <v>3713</v>
      </c>
      <c r="E549" s="4">
        <v>43465</v>
      </c>
      <c r="F549" s="11">
        <v>2.3577804699999998</v>
      </c>
      <c r="G549" s="11">
        <v>50.663942800000001</v>
      </c>
      <c r="H549" s="11">
        <v>10.3242621569</v>
      </c>
      <c r="I549" s="11">
        <v>83.5202526092</v>
      </c>
      <c r="J549" s="11">
        <v>5.9965224103999999</v>
      </c>
      <c r="K549" s="10">
        <v>0.60863303927400003</v>
      </c>
      <c r="L549" s="12">
        <v>102910000000</v>
      </c>
      <c r="M549">
        <v>47.709827052166901</v>
      </c>
      <c r="N549" s="7">
        <v>1.96232915040216</v>
      </c>
      <c r="O549" s="7">
        <v>1.99887611483983</v>
      </c>
      <c r="P549" s="7">
        <v>-45.655034863035603</v>
      </c>
      <c r="Q549" s="7">
        <v>0.73463870957117461</v>
      </c>
      <c r="U549">
        <v>0.29939023063232406</v>
      </c>
      <c r="AT549" s="4" t="s">
        <v>4721</v>
      </c>
    </row>
    <row r="550" spans="1:46">
      <c r="A550" s="2">
        <v>567</v>
      </c>
      <c r="B550" t="s">
        <v>4722</v>
      </c>
      <c r="C550" t="s">
        <v>1194</v>
      </c>
      <c r="D550" t="s">
        <v>3721</v>
      </c>
      <c r="E550" s="4">
        <v>43465</v>
      </c>
      <c r="F550" s="11">
        <v>-20.908188540000001</v>
      </c>
      <c r="G550" s="11">
        <v>50.632911389999997</v>
      </c>
      <c r="H550" s="11">
        <v>3.0448407681999998</v>
      </c>
      <c r="I550" s="11">
        <v>24.3728547085</v>
      </c>
      <c r="J550" s="11">
        <v>10.624859966900001</v>
      </c>
      <c r="K550" s="10">
        <v>0.97237799030399996</v>
      </c>
      <c r="L550" s="12">
        <v>2873531863.8600001</v>
      </c>
      <c r="M550">
        <v>15.967729716730499</v>
      </c>
      <c r="N550" s="7">
        <v>1.9207815488239099</v>
      </c>
      <c r="O550" s="7">
        <v>1.4639195559098199</v>
      </c>
      <c r="P550" s="7">
        <v>118.85738434136201</v>
      </c>
      <c r="Q550" s="7">
        <v>2.2004336283185841</v>
      </c>
      <c r="U550">
        <v>0.4191749055062059</v>
      </c>
      <c r="AT550" s="4" t="s">
        <v>4300</v>
      </c>
    </row>
    <row r="551" spans="1:46">
      <c r="A551" s="2">
        <v>1819</v>
      </c>
      <c r="B551" t="s">
        <v>4723</v>
      </c>
      <c r="C551" t="s">
        <v>676</v>
      </c>
      <c r="D551" t="s">
        <v>3721</v>
      </c>
      <c r="E551" s="4">
        <v>43465</v>
      </c>
      <c r="F551" s="11">
        <v>76.494000610000001</v>
      </c>
      <c r="G551" s="11">
        <v>50.599917249999997</v>
      </c>
      <c r="H551" s="11">
        <v>31.035229817400001</v>
      </c>
      <c r="I551" s="11">
        <v>51.274176633000003</v>
      </c>
      <c r="J551" s="11">
        <v>30.728705204499999</v>
      </c>
      <c r="K551" s="10">
        <v>0.42495037048899997</v>
      </c>
      <c r="L551" s="12">
        <v>4142126738.4499998</v>
      </c>
      <c r="M551">
        <v>43.920396477219597</v>
      </c>
      <c r="N551" s="7">
        <v>4.4910770469925501</v>
      </c>
      <c r="O551" s="7">
        <v>11.7044884817079</v>
      </c>
      <c r="P551" s="7">
        <v>-56.675187562154697</v>
      </c>
      <c r="Q551" s="7">
        <v>1.1008021935029821</v>
      </c>
      <c r="U551">
        <v>0.68126421205064336</v>
      </c>
      <c r="AT551" s="4" t="s">
        <v>3746</v>
      </c>
    </row>
    <row r="552" spans="1:46">
      <c r="A552" s="2">
        <v>2645</v>
      </c>
      <c r="B552" t="s">
        <v>4724</v>
      </c>
      <c r="C552" t="s">
        <v>2887</v>
      </c>
      <c r="D552" t="s">
        <v>3713</v>
      </c>
      <c r="E552" s="4">
        <v>43465</v>
      </c>
      <c r="F552" s="11">
        <v>-7.3347346499999997</v>
      </c>
      <c r="G552" s="11">
        <v>50.47619048</v>
      </c>
      <c r="H552" s="11">
        <v>-7.5071397344999999</v>
      </c>
      <c r="I552" s="11">
        <v>49.372392955899997</v>
      </c>
      <c r="J552" s="11">
        <v>-0.37606279390000003</v>
      </c>
      <c r="K552" s="10">
        <v>0.64543012376700004</v>
      </c>
      <c r="L552" s="12">
        <v>3967973298.7600002</v>
      </c>
      <c r="M552">
        <v>-8.8210155315313106</v>
      </c>
      <c r="N552" s="7">
        <v>2.68805158842529</v>
      </c>
      <c r="O552" s="7">
        <v>2.1028152518790799</v>
      </c>
      <c r="P552" s="7">
        <v>-27.587619731495401</v>
      </c>
      <c r="Q552" s="7">
        <v>4.1019955654101992</v>
      </c>
      <c r="U552">
        <v>6.2514916522618091E-2</v>
      </c>
      <c r="AT552" s="4" t="s">
        <v>4725</v>
      </c>
    </row>
    <row r="553" spans="1:46">
      <c r="A553" s="2">
        <v>1134</v>
      </c>
      <c r="B553" t="s">
        <v>4726</v>
      </c>
      <c r="C553" t="s">
        <v>2808</v>
      </c>
      <c r="D553" t="s">
        <v>3761</v>
      </c>
      <c r="E553" s="4">
        <v>43465</v>
      </c>
      <c r="F553" s="11">
        <v>-1.02086107</v>
      </c>
      <c r="G553" s="11">
        <v>50.391644909999997</v>
      </c>
      <c r="H553" s="11">
        <v>-5.0904877614000004</v>
      </c>
      <c r="I553" s="11">
        <v>10.5975692532</v>
      </c>
      <c r="J553" s="11">
        <v>5.3866798361999999</v>
      </c>
      <c r="K553" s="10">
        <v>0.34131229004899999</v>
      </c>
      <c r="L553" s="12">
        <v>13477520000</v>
      </c>
      <c r="M553">
        <v>175.117931857396</v>
      </c>
      <c r="N553" s="7">
        <v>1.1059270317686201</v>
      </c>
      <c r="O553" s="7">
        <v>1.49509473339335</v>
      </c>
      <c r="P553" s="7">
        <v>-12.413514305942099</v>
      </c>
      <c r="Q553" s="7" t="s">
        <v>3698</v>
      </c>
      <c r="U553">
        <v>0.49519925218749994</v>
      </c>
      <c r="AT553" s="4" t="s">
        <v>4727</v>
      </c>
    </row>
    <row r="554" spans="1:46">
      <c r="A554" s="2">
        <v>575</v>
      </c>
      <c r="B554" t="s">
        <v>4728</v>
      </c>
      <c r="C554" t="s">
        <v>733</v>
      </c>
      <c r="D554" t="s">
        <v>3752</v>
      </c>
      <c r="E554" s="4">
        <v>43465</v>
      </c>
      <c r="F554" s="11">
        <v>28.929780000000001</v>
      </c>
      <c r="G554" s="11">
        <v>50.35799523</v>
      </c>
      <c r="H554" s="11">
        <v>6.8928059136000002</v>
      </c>
      <c r="I554" s="11">
        <v>22.848761570000001</v>
      </c>
      <c r="J554" s="11">
        <v>10.0371985122</v>
      </c>
      <c r="K554" s="10">
        <v>0.77139193000499995</v>
      </c>
      <c r="L554" s="12">
        <v>7609987076.6000004</v>
      </c>
      <c r="M554">
        <v>16.336180720319199</v>
      </c>
      <c r="N554" s="7">
        <v>1.8482915420862001</v>
      </c>
      <c r="O554" s="7">
        <v>1.5693016490874001</v>
      </c>
      <c r="P554" s="7">
        <v>28.519314328396401</v>
      </c>
      <c r="Q554" s="7">
        <v>0.52631578947368418</v>
      </c>
      <c r="U554">
        <v>0.26551849287333018</v>
      </c>
      <c r="AT554" s="4" t="s">
        <v>3935</v>
      </c>
    </row>
    <row r="555" spans="1:46">
      <c r="A555" s="2">
        <v>693</v>
      </c>
      <c r="B555" t="s">
        <v>4729</v>
      </c>
      <c r="C555" t="s">
        <v>575</v>
      </c>
      <c r="D555" t="s">
        <v>3769</v>
      </c>
      <c r="E555" s="4">
        <v>43465</v>
      </c>
      <c r="F555" s="11">
        <v>1.2850629099999999</v>
      </c>
      <c r="G555" s="11">
        <v>50.320512819999998</v>
      </c>
      <c r="H555" s="11">
        <v>3.5355646695999998</v>
      </c>
      <c r="I555" s="11">
        <v>15.2995793287</v>
      </c>
      <c r="J555" s="11">
        <v>6.4413325312999996</v>
      </c>
      <c r="K555" s="10">
        <v>1.2367850471590001</v>
      </c>
      <c r="L555" s="12">
        <v>4190142947.54</v>
      </c>
      <c r="M555">
        <v>27.902356116708901</v>
      </c>
      <c r="N555" s="7">
        <v>2.2081237171047099</v>
      </c>
      <c r="O555" s="7">
        <v>0.78477927267428205</v>
      </c>
      <c r="P555" s="7">
        <v>-63.505833298443498</v>
      </c>
      <c r="Q555" s="7">
        <v>1.2210012210012211</v>
      </c>
      <c r="U555">
        <v>0.5097323526334101</v>
      </c>
      <c r="AT555" s="4" t="s">
        <v>4730</v>
      </c>
    </row>
    <row r="556" spans="1:46">
      <c r="A556" s="2">
        <v>2488</v>
      </c>
      <c r="B556" t="s">
        <v>4731</v>
      </c>
      <c r="C556" t="s">
        <v>1908</v>
      </c>
      <c r="D556" t="s">
        <v>3837</v>
      </c>
      <c r="E556" s="4">
        <v>43465</v>
      </c>
      <c r="F556" s="11">
        <v>14.383075959999999</v>
      </c>
      <c r="G556" s="11">
        <v>50.287356320000001</v>
      </c>
      <c r="H556" s="11">
        <v>-10.3441588374</v>
      </c>
      <c r="I556" s="11" t="s">
        <v>3698</v>
      </c>
      <c r="J556" s="11">
        <v>7.8430562301000002</v>
      </c>
      <c r="K556" s="10" t="s">
        <v>3698</v>
      </c>
      <c r="L556" s="12">
        <v>3568000000</v>
      </c>
      <c r="M556">
        <v>63.476231559620203</v>
      </c>
      <c r="N556" s="7">
        <v>1.06815012611965</v>
      </c>
      <c r="O556" s="7">
        <v>7.3796498112589699</v>
      </c>
      <c r="P556" s="7">
        <v>-8.92513007016505</v>
      </c>
      <c r="Q556" s="7">
        <v>0.69284064665127021</v>
      </c>
      <c r="U556">
        <v>4.0183916180749457E-2</v>
      </c>
      <c r="AT556" s="4" t="s">
        <v>4732</v>
      </c>
    </row>
    <row r="557" spans="1:46">
      <c r="A557" s="2">
        <v>345</v>
      </c>
      <c r="B557" t="s">
        <v>4733</v>
      </c>
      <c r="C557" t="s">
        <v>207</v>
      </c>
      <c r="D557" t="s">
        <v>3811</v>
      </c>
      <c r="E557" s="4">
        <v>43465</v>
      </c>
      <c r="F557" s="11">
        <v>3.05993337</v>
      </c>
      <c r="G557" s="11">
        <v>50.229709040000003</v>
      </c>
      <c r="H557" s="11">
        <v>1.1786259247999999</v>
      </c>
      <c r="I557" s="11">
        <v>22.1019346858</v>
      </c>
      <c r="J557" s="11">
        <v>2.7233938905000001</v>
      </c>
      <c r="K557" s="10">
        <v>1.455242736208</v>
      </c>
      <c r="L557" s="12">
        <v>26863495131.25</v>
      </c>
      <c r="M557">
        <v>61.658089426428099</v>
      </c>
      <c r="N557" s="7">
        <v>1.4282817860110699</v>
      </c>
      <c r="O557" s="7">
        <v>0.403520612309196</v>
      </c>
      <c r="P557" s="7">
        <v>6.4468157884279602</v>
      </c>
      <c r="Q557" s="7" t="s">
        <v>3698</v>
      </c>
      <c r="U557">
        <v>0.26415863668750461</v>
      </c>
      <c r="AT557" s="4" t="s">
        <v>4734</v>
      </c>
    </row>
    <row r="558" spans="1:46">
      <c r="A558" s="2">
        <v>1154</v>
      </c>
      <c r="B558" t="s">
        <v>4735</v>
      </c>
      <c r="C558" t="s">
        <v>1709</v>
      </c>
      <c r="D558" t="s">
        <v>3752</v>
      </c>
      <c r="E558" s="4">
        <v>43465</v>
      </c>
      <c r="F558" s="11">
        <v>47.280957880000003</v>
      </c>
      <c r="G558" s="11">
        <v>50.197628459999997</v>
      </c>
      <c r="H558" s="11">
        <v>7.1354041272000002</v>
      </c>
      <c r="I558" s="11">
        <v>40.602234977800002</v>
      </c>
      <c r="J558" s="11">
        <v>17.156010428199998</v>
      </c>
      <c r="K558" s="10">
        <v>0.54427536385700004</v>
      </c>
      <c r="L558" s="12">
        <v>5979408476.5</v>
      </c>
      <c r="M558">
        <v>24.108578669231399</v>
      </c>
      <c r="N558" s="7">
        <v>2.4835018399045201</v>
      </c>
      <c r="O558" s="7">
        <v>3.6669381401310099</v>
      </c>
      <c r="P558" s="7">
        <v>34.755015420481598</v>
      </c>
      <c r="Q558" s="7">
        <v>1.3696498054474708</v>
      </c>
      <c r="U558">
        <v>0.4889017494757355</v>
      </c>
      <c r="AT558" s="4" t="s">
        <v>4736</v>
      </c>
    </row>
    <row r="559" spans="1:46">
      <c r="A559" s="2">
        <v>2192</v>
      </c>
      <c r="B559" t="s">
        <v>4737</v>
      </c>
      <c r="C559" t="s">
        <v>292</v>
      </c>
      <c r="D559" t="s">
        <v>3837</v>
      </c>
      <c r="E559" s="4">
        <v>43465</v>
      </c>
      <c r="F559" s="11">
        <v>37.315059290000001</v>
      </c>
      <c r="G559" s="11">
        <v>50.119047620000003</v>
      </c>
      <c r="H559" s="11">
        <v>12.520767597600001</v>
      </c>
      <c r="I559" s="11" t="s">
        <v>3698</v>
      </c>
      <c r="J559" s="11">
        <v>32.515539820199997</v>
      </c>
      <c r="K559" s="10" t="s">
        <v>3698</v>
      </c>
      <c r="L559" s="12">
        <v>29298116353.560001</v>
      </c>
      <c r="M559">
        <v>8.1054484707775902</v>
      </c>
      <c r="N559" s="7">
        <v>1.28107516674132</v>
      </c>
      <c r="O559" s="7">
        <v>2.6169529519474599</v>
      </c>
      <c r="P559" s="7">
        <v>56.2673846078088</v>
      </c>
      <c r="Q559" s="7">
        <v>2.6089369969469889</v>
      </c>
      <c r="U559">
        <v>3.1943098016748244</v>
      </c>
      <c r="AT559" s="4" t="s">
        <v>4738</v>
      </c>
    </row>
    <row r="560" spans="1:46">
      <c r="A560" s="2">
        <v>1343</v>
      </c>
      <c r="B560" t="s">
        <v>4739</v>
      </c>
      <c r="C560" t="s">
        <v>297</v>
      </c>
      <c r="D560" t="s">
        <v>3721</v>
      </c>
      <c r="E560" s="4">
        <v>43465</v>
      </c>
      <c r="F560" s="11">
        <v>91.744726799999995</v>
      </c>
      <c r="G560" s="11">
        <v>50.087873459999997</v>
      </c>
      <c r="H560" s="11">
        <v>56.278086852400001</v>
      </c>
      <c r="I560" s="11">
        <v>20.0706718687</v>
      </c>
      <c r="J560" s="11">
        <v>6.2474237960999996</v>
      </c>
      <c r="K560" s="10">
        <v>2.8422359543129998</v>
      </c>
      <c r="L560" s="12">
        <v>59957507805.959999</v>
      </c>
      <c r="M560">
        <v>41.218399516560702</v>
      </c>
      <c r="N560" s="7">
        <v>11.075489327642901</v>
      </c>
      <c r="O560" s="7">
        <v>2.42074440390211</v>
      </c>
      <c r="P560" s="7">
        <v>42.476043318450103</v>
      </c>
      <c r="Q560" s="7">
        <v>0.63307501424969692</v>
      </c>
      <c r="U560">
        <v>1.5321192963163472</v>
      </c>
      <c r="AT560" s="4" t="s">
        <v>4740</v>
      </c>
    </row>
    <row r="561" spans="1:46">
      <c r="A561" s="2">
        <v>34</v>
      </c>
      <c r="B561" t="s">
        <v>4741</v>
      </c>
      <c r="C561" t="s">
        <v>699</v>
      </c>
      <c r="D561" t="s">
        <v>3713</v>
      </c>
      <c r="E561" s="4">
        <v>43465</v>
      </c>
      <c r="F561" s="11">
        <v>-6.4501983000000003</v>
      </c>
      <c r="G561" s="11">
        <v>49.957898030000003</v>
      </c>
      <c r="H561" s="11">
        <v>31.5708494203</v>
      </c>
      <c r="I561" s="11">
        <v>4.027054648</v>
      </c>
      <c r="J561" s="11">
        <v>0.63039184810000004</v>
      </c>
      <c r="K561" s="10">
        <v>3.2574717774059998</v>
      </c>
      <c r="L561" s="12">
        <v>13809733535.85</v>
      </c>
      <c r="M561">
        <v>22.7160261433927</v>
      </c>
      <c r="N561" s="7">
        <v>3.0229436144404498</v>
      </c>
      <c r="O561" s="7">
        <v>0.116718530685456</v>
      </c>
      <c r="P561" s="7">
        <v>95.540658734824802</v>
      </c>
      <c r="Q561" s="7">
        <v>1.5231788079470201</v>
      </c>
      <c r="U561">
        <v>0.78341411172852371</v>
      </c>
      <c r="AT561" s="4" t="s">
        <v>3956</v>
      </c>
    </row>
    <row r="562" spans="1:46">
      <c r="A562" s="2">
        <v>512</v>
      </c>
      <c r="B562" t="s">
        <v>4742</v>
      </c>
      <c r="C562" t="s">
        <v>87</v>
      </c>
      <c r="D562" t="s">
        <v>3737</v>
      </c>
      <c r="E562" s="4">
        <v>43465</v>
      </c>
      <c r="F562" s="11">
        <v>9.6869704700000003</v>
      </c>
      <c r="G562" s="11">
        <v>49.700199869999999</v>
      </c>
      <c r="H562" s="11">
        <v>39.265936334599999</v>
      </c>
      <c r="I562" s="11">
        <v>53.374189685600001</v>
      </c>
      <c r="J562" s="11">
        <v>35.6823936328</v>
      </c>
      <c r="K562" s="10">
        <v>0.43289525690000003</v>
      </c>
      <c r="L562" s="12">
        <v>947761797685.57996</v>
      </c>
      <c r="M562">
        <v>10.049614783728501</v>
      </c>
      <c r="N562" s="7">
        <v>1.9944731692481099</v>
      </c>
      <c r="O562" s="7">
        <v>3.6391442558701699</v>
      </c>
      <c r="P562" s="7">
        <v>2062.2093577388</v>
      </c>
      <c r="Q562" s="7">
        <v>3.286384976525822</v>
      </c>
      <c r="T562" s="2"/>
      <c r="U562">
        <v>1.4329308764992992</v>
      </c>
      <c r="AT562" s="4" t="s">
        <v>4743</v>
      </c>
    </row>
    <row r="563" spans="1:46">
      <c r="A563" s="2">
        <v>829</v>
      </c>
      <c r="B563" t="s">
        <v>4744</v>
      </c>
      <c r="C563" t="s">
        <v>1644</v>
      </c>
      <c r="D563" t="s">
        <v>3842</v>
      </c>
      <c r="E563" s="4">
        <v>43465</v>
      </c>
      <c r="F563" s="11">
        <v>39.942184609999998</v>
      </c>
      <c r="G563" s="11">
        <v>49.68454259</v>
      </c>
      <c r="H563" s="11">
        <v>43.418738123799997</v>
      </c>
      <c r="I563" s="11">
        <v>25.061976916599999</v>
      </c>
      <c r="J563" s="11">
        <v>7.5844854036999996</v>
      </c>
      <c r="K563" s="10">
        <v>0.80193833245599999</v>
      </c>
      <c r="L563" s="12">
        <v>56190104164.400002</v>
      </c>
      <c r="M563">
        <v>24.325871094361698</v>
      </c>
      <c r="N563" s="7">
        <v>1.79771719263354</v>
      </c>
      <c r="O563" s="7">
        <v>1.3958841971828699</v>
      </c>
      <c r="P563" s="7">
        <v>11.9661055699295</v>
      </c>
      <c r="Q563" s="7">
        <v>3.4843099993641493</v>
      </c>
      <c r="U563">
        <v>0.36081894977305634</v>
      </c>
      <c r="AT563" s="4" t="s">
        <v>4745</v>
      </c>
    </row>
    <row r="564" spans="1:46">
      <c r="A564" s="2">
        <v>2498</v>
      </c>
      <c r="B564" t="s">
        <v>4746</v>
      </c>
      <c r="C564" t="s">
        <v>804</v>
      </c>
      <c r="D564" t="s">
        <v>3737</v>
      </c>
      <c r="E564" s="4">
        <v>43465</v>
      </c>
      <c r="F564" s="11">
        <v>5.9246392999999999</v>
      </c>
      <c r="G564" s="11">
        <v>49.625187410000002</v>
      </c>
      <c r="H564" s="11">
        <v>3.9400281046000001</v>
      </c>
      <c r="I564" s="11">
        <v>62.386968140500002</v>
      </c>
      <c r="J564" s="11">
        <v>13.027528241800001</v>
      </c>
      <c r="K564" s="10">
        <v>0.47477096848599998</v>
      </c>
      <c r="L564" s="12">
        <v>12983298114.9</v>
      </c>
      <c r="M564">
        <v>19.399850760990301</v>
      </c>
      <c r="N564" s="7">
        <v>1.43167690294195</v>
      </c>
      <c r="O564" s="7">
        <v>1.15338092256753</v>
      </c>
      <c r="P564" s="7">
        <v>-16.676389184504401</v>
      </c>
      <c r="Q564" s="7">
        <v>1.6293279022403258</v>
      </c>
      <c r="U564">
        <v>0.36088690623958708</v>
      </c>
      <c r="AT564" s="4" t="s">
        <v>4747</v>
      </c>
    </row>
    <row r="565" spans="1:46">
      <c r="A565" s="2">
        <v>1171</v>
      </c>
      <c r="B565" t="s">
        <v>4748</v>
      </c>
      <c r="C565" t="s">
        <v>3299</v>
      </c>
      <c r="D565" t="s">
        <v>3721</v>
      </c>
      <c r="E565" s="4">
        <v>43465</v>
      </c>
      <c r="F565" s="11">
        <v>-8.4551148200000004</v>
      </c>
      <c r="G565" s="11">
        <v>49.576988159999999</v>
      </c>
      <c r="H565" s="11">
        <v>-19.0246162561</v>
      </c>
      <c r="I565" s="11">
        <v>18.962749327899999</v>
      </c>
      <c r="J565" s="11">
        <v>-20.417238929900002</v>
      </c>
      <c r="K565" s="10">
        <v>0.71293563407399996</v>
      </c>
      <c r="L565" s="12">
        <v>49977885098</v>
      </c>
      <c r="M565">
        <v>-81.328729686161097</v>
      </c>
      <c r="N565" s="7">
        <v>2.9195272345389198</v>
      </c>
      <c r="O565" s="7">
        <v>1.2145850942041601</v>
      </c>
      <c r="P565" s="7">
        <v>-14.881022216096</v>
      </c>
      <c r="Q565" s="7" t="s">
        <v>3698</v>
      </c>
      <c r="U565">
        <v>-0.93231923952180296</v>
      </c>
      <c r="AT565" s="4" t="s">
        <v>4749</v>
      </c>
    </row>
    <row r="566" spans="1:46">
      <c r="A566" s="2">
        <v>31</v>
      </c>
      <c r="B566" t="s">
        <v>4750</v>
      </c>
      <c r="C566" t="s">
        <v>537</v>
      </c>
      <c r="D566" t="s">
        <v>3871</v>
      </c>
      <c r="E566" s="4">
        <v>43465</v>
      </c>
      <c r="F566" s="11">
        <v>-8.0267895300000003</v>
      </c>
      <c r="G566" s="11">
        <v>49.453159429999999</v>
      </c>
      <c r="H566" s="11">
        <v>0.54990207270000002</v>
      </c>
      <c r="I566" s="11">
        <v>42.506864201200003</v>
      </c>
      <c r="J566" s="11">
        <v>14.1956370489</v>
      </c>
      <c r="K566" s="10">
        <v>0.16917429968799999</v>
      </c>
      <c r="L566" s="12">
        <v>7893583995.5</v>
      </c>
      <c r="M566">
        <v>6.7945066535527898</v>
      </c>
      <c r="N566" s="7">
        <v>1.1454676913228901</v>
      </c>
      <c r="O566" s="7">
        <v>0.65981375021560695</v>
      </c>
      <c r="P566" s="7">
        <v>11.3250210226951</v>
      </c>
      <c r="Q566" s="7">
        <v>1.5965166908563138</v>
      </c>
      <c r="U566">
        <v>0.76569724274682593</v>
      </c>
      <c r="AT566" s="4" t="s">
        <v>4751</v>
      </c>
    </row>
    <row r="567" spans="1:46">
      <c r="A567" s="2">
        <v>1410</v>
      </c>
      <c r="B567" t="s">
        <v>4752</v>
      </c>
      <c r="C567" t="s">
        <v>1193</v>
      </c>
      <c r="D567" t="s">
        <v>3721</v>
      </c>
      <c r="E567" s="4">
        <v>43465</v>
      </c>
      <c r="F567" s="11">
        <v>25.535471650000002</v>
      </c>
      <c r="G567" s="11">
        <v>49.423847700000003</v>
      </c>
      <c r="H567" s="11">
        <v>28.709195818000001</v>
      </c>
      <c r="I567" s="11">
        <v>23.944159515599999</v>
      </c>
      <c r="J567" s="11">
        <v>10.689029062099999</v>
      </c>
      <c r="K567" s="10">
        <v>0.73812795850400004</v>
      </c>
      <c r="L567" s="12">
        <v>20058645048.299999</v>
      </c>
      <c r="M567">
        <v>26.8676000294221</v>
      </c>
      <c r="N567" s="7">
        <v>2.7025891153770201</v>
      </c>
      <c r="O567" s="7">
        <v>2.7195650123822199</v>
      </c>
      <c r="P567" s="7">
        <v>57.296814957620903</v>
      </c>
      <c r="Q567" s="7">
        <v>0.84586466165413532</v>
      </c>
      <c r="U567">
        <v>1.6230346568489242</v>
      </c>
      <c r="AT567" s="4" t="s">
        <v>4753</v>
      </c>
    </row>
    <row r="568" spans="1:46">
      <c r="A568" s="2">
        <v>2281</v>
      </c>
      <c r="B568" t="s">
        <v>4754</v>
      </c>
      <c r="C568" t="s">
        <v>1244</v>
      </c>
      <c r="D568" t="s">
        <v>3889</v>
      </c>
      <c r="E568" s="4">
        <v>43465</v>
      </c>
      <c r="F568" s="11">
        <v>-11.41111454</v>
      </c>
      <c r="G568" s="11">
        <v>49.326805389999997</v>
      </c>
      <c r="H568" s="11">
        <v>192.60669103230001</v>
      </c>
      <c r="I568" s="11">
        <v>34.971280476700002</v>
      </c>
      <c r="J568" s="11">
        <v>3.0298392544000001</v>
      </c>
      <c r="K568" s="10">
        <v>0.33861889936799999</v>
      </c>
      <c r="L568" s="12">
        <v>2405853990.3899999</v>
      </c>
      <c r="M568">
        <v>19.836499281467699</v>
      </c>
      <c r="N568" s="7">
        <v>-7.3045462333382103</v>
      </c>
      <c r="O568" s="7">
        <v>2.16688331433688</v>
      </c>
      <c r="P568" s="7">
        <v>11.8466972160331</v>
      </c>
      <c r="Q568" s="7">
        <v>0.25081788440567065</v>
      </c>
      <c r="U568">
        <v>0.36533794844050393</v>
      </c>
      <c r="AT568" s="4" t="s">
        <v>4755</v>
      </c>
    </row>
    <row r="569" spans="1:46">
      <c r="A569" s="2">
        <v>2472</v>
      </c>
      <c r="B569" t="s">
        <v>4756</v>
      </c>
      <c r="C569" t="s">
        <v>225</v>
      </c>
      <c r="D569" t="s">
        <v>3752</v>
      </c>
      <c r="E569" s="4">
        <v>43465</v>
      </c>
      <c r="F569" s="11">
        <v>27.876956150000002</v>
      </c>
      <c r="G569" s="11">
        <v>49.326424869999997</v>
      </c>
      <c r="H569" s="11">
        <v>26.322142836400001</v>
      </c>
      <c r="I569" s="11">
        <v>45.432555714899998</v>
      </c>
      <c r="J569" s="11">
        <v>22.083142343599999</v>
      </c>
      <c r="K569" s="10">
        <v>0.38705409613899999</v>
      </c>
      <c r="L569" s="12">
        <v>28187749026.84</v>
      </c>
      <c r="M569">
        <v>9.1238470327240808</v>
      </c>
      <c r="N569" s="7">
        <v>1.5872893128442001</v>
      </c>
      <c r="O569" s="7">
        <v>1.7014783762369701</v>
      </c>
      <c r="P569" s="7">
        <v>-33.4079803959781</v>
      </c>
      <c r="Q569" s="7">
        <v>1.8982536066818527</v>
      </c>
      <c r="U569">
        <v>1.2637397000655199</v>
      </c>
      <c r="AT569" s="4" t="s">
        <v>4757</v>
      </c>
    </row>
    <row r="570" spans="1:46">
      <c r="A570" s="2">
        <v>483</v>
      </c>
      <c r="B570" t="s">
        <v>4758</v>
      </c>
      <c r="C570" t="s">
        <v>2257</v>
      </c>
      <c r="D570" t="s">
        <v>3769</v>
      </c>
      <c r="E570" s="4">
        <v>43465</v>
      </c>
      <c r="F570" s="11">
        <v>-24.039909269999999</v>
      </c>
      <c r="G570" s="11">
        <v>49.249658940000003</v>
      </c>
      <c r="H570" s="11">
        <v>6.9128542167000004</v>
      </c>
      <c r="I570" s="11">
        <v>19.5580952344</v>
      </c>
      <c r="J570" s="11">
        <v>7.1513037870999998</v>
      </c>
      <c r="K570" s="10">
        <v>0.67083785362399995</v>
      </c>
      <c r="L570" s="12">
        <v>8758913352.6599998</v>
      </c>
      <c r="M570">
        <v>31.434255981762998</v>
      </c>
      <c r="N570" s="7">
        <v>1.7636453155176399</v>
      </c>
      <c r="O570" s="7">
        <v>1.89039239655143</v>
      </c>
      <c r="P570" s="7">
        <v>-22.2420641306337</v>
      </c>
      <c r="Q570" s="7">
        <v>1.0044642857142858</v>
      </c>
      <c r="U570">
        <v>0.23309044996244838</v>
      </c>
      <c r="AT570" s="4" t="s">
        <v>4759</v>
      </c>
    </row>
    <row r="571" spans="1:46">
      <c r="A571" s="2">
        <v>1820</v>
      </c>
      <c r="B571" t="s">
        <v>4760</v>
      </c>
      <c r="C571" t="s">
        <v>1179</v>
      </c>
      <c r="D571" t="s">
        <v>3769</v>
      </c>
      <c r="E571" s="4">
        <v>43465</v>
      </c>
      <c r="F571" s="11">
        <v>31.620508180000002</v>
      </c>
      <c r="G571" s="11">
        <v>49.198606269999999</v>
      </c>
      <c r="H571" s="11">
        <v>32.412309757899997</v>
      </c>
      <c r="I571" s="11">
        <v>45.424352148700002</v>
      </c>
      <c r="J571" s="11">
        <v>22.376869481</v>
      </c>
      <c r="K571" s="10">
        <v>0.56373217867699998</v>
      </c>
      <c r="L571" s="12">
        <v>7190809062.8999996</v>
      </c>
      <c r="M571">
        <v>28.106929987357901</v>
      </c>
      <c r="N571" s="7">
        <v>4.4933537283604297</v>
      </c>
      <c r="O571" s="7">
        <v>6.2626010095039</v>
      </c>
      <c r="P571" s="7">
        <v>-124.656304925551</v>
      </c>
      <c r="Q571" s="7">
        <v>0.87073466283059298</v>
      </c>
      <c r="U571">
        <v>0.53810360999202267</v>
      </c>
      <c r="AT571" s="4" t="s">
        <v>3772</v>
      </c>
    </row>
    <row r="572" spans="1:46">
      <c r="A572" s="2">
        <v>3149</v>
      </c>
      <c r="B572" t="s">
        <v>4761</v>
      </c>
      <c r="C572" t="s">
        <v>1773</v>
      </c>
      <c r="D572" t="s">
        <v>3837</v>
      </c>
      <c r="E572" s="4">
        <v>43465</v>
      </c>
      <c r="F572" s="11">
        <v>0.29403854000000001</v>
      </c>
      <c r="G572" s="11">
        <v>49.144811859999997</v>
      </c>
      <c r="H572" s="11">
        <v>-21.6084441062</v>
      </c>
      <c r="I572" s="11" t="s">
        <v>3698</v>
      </c>
      <c r="J572" s="11">
        <v>3.1618084412999998</v>
      </c>
      <c r="K572" s="10" t="s">
        <v>3698</v>
      </c>
      <c r="L572" s="12">
        <v>47075712014.199997</v>
      </c>
      <c r="M572">
        <v>22.781418342509902</v>
      </c>
      <c r="N572" s="7">
        <v>0.880090203598063</v>
      </c>
      <c r="O572" s="7">
        <v>4.4859774512936701</v>
      </c>
      <c r="P572" s="7">
        <v>-18.644080044524699</v>
      </c>
      <c r="Q572" s="7">
        <v>0.89206066012488849</v>
      </c>
      <c r="U572">
        <v>2.2408939189923077E-2</v>
      </c>
      <c r="AT572" s="4" t="s">
        <v>4762</v>
      </c>
    </row>
    <row r="573" spans="1:46">
      <c r="A573" s="2">
        <v>1788</v>
      </c>
      <c r="B573" t="s">
        <v>4763</v>
      </c>
      <c r="C573" t="s">
        <v>1682</v>
      </c>
      <c r="D573" t="s">
        <v>3737</v>
      </c>
      <c r="E573" s="4">
        <v>43465</v>
      </c>
      <c r="F573" s="11">
        <v>8.7505564099999997</v>
      </c>
      <c r="G573" s="11">
        <v>49.097065460000003</v>
      </c>
      <c r="H573" s="11">
        <v>6.5408020999999997E-2</v>
      </c>
      <c r="I573" s="11">
        <v>33.4629913988</v>
      </c>
      <c r="J573" s="11">
        <v>9.4054170661000001</v>
      </c>
      <c r="K573" s="10">
        <v>0.32810305118900002</v>
      </c>
      <c r="L573" s="12">
        <v>11450900000</v>
      </c>
      <c r="M573">
        <v>74.273134592928102</v>
      </c>
      <c r="N573" s="7">
        <v>1.8240584369108299</v>
      </c>
      <c r="O573" s="7">
        <v>4.0371230430078704</v>
      </c>
      <c r="P573" s="7">
        <v>3.0182112989878802</v>
      </c>
      <c r="Q573" s="7">
        <v>0.3781174577634755</v>
      </c>
      <c r="U573">
        <v>0.22937755562308562</v>
      </c>
      <c r="AT573" s="4" t="s">
        <v>3985</v>
      </c>
    </row>
    <row r="574" spans="1:46">
      <c r="A574" s="2">
        <v>3481</v>
      </c>
      <c r="B574" t="s">
        <v>4764</v>
      </c>
      <c r="C574" t="s">
        <v>2297</v>
      </c>
      <c r="D574" t="s">
        <v>4060</v>
      </c>
      <c r="E574" s="4">
        <v>43465</v>
      </c>
      <c r="F574" s="11">
        <v>-34.103191760000001</v>
      </c>
      <c r="G574" s="11">
        <v>49.055967629999998</v>
      </c>
      <c r="H574" s="11">
        <v>22.2542696567</v>
      </c>
      <c r="I574" s="11">
        <v>19.597670665599999</v>
      </c>
      <c r="J574" s="11">
        <v>7.4582676332000002</v>
      </c>
      <c r="K574" s="10">
        <v>0.83804112203000003</v>
      </c>
      <c r="L574" s="12">
        <v>7405667733.6000004</v>
      </c>
      <c r="M574">
        <v>30.990909275358501</v>
      </c>
      <c r="N574" s="7">
        <v>1.31175574766069</v>
      </c>
      <c r="O574" s="7">
        <v>1.3779718966202199</v>
      </c>
      <c r="P574" s="7">
        <v>59.665284432980499</v>
      </c>
      <c r="Q574" s="7">
        <v>0.70475711049584688</v>
      </c>
      <c r="U574">
        <v>1.7095047881999998</v>
      </c>
      <c r="AT574" s="4" t="s">
        <v>4622</v>
      </c>
    </row>
    <row r="575" spans="1:46">
      <c r="A575" s="2">
        <v>1537</v>
      </c>
      <c r="B575" t="s">
        <v>4765</v>
      </c>
      <c r="C575" t="s">
        <v>2700</v>
      </c>
      <c r="D575" t="s">
        <v>3718</v>
      </c>
      <c r="E575" s="4">
        <v>43465</v>
      </c>
      <c r="F575" s="11">
        <v>-2.73806079</v>
      </c>
      <c r="G575" s="11">
        <v>49.035369770000003</v>
      </c>
      <c r="H575" s="11">
        <v>7.5438876159000001</v>
      </c>
      <c r="I575" s="11">
        <v>54.208392122500001</v>
      </c>
      <c r="J575" s="11">
        <v>9.6717764143</v>
      </c>
      <c r="K575" s="10">
        <v>0.492177021484</v>
      </c>
      <c r="L575" s="12">
        <v>7011159036</v>
      </c>
      <c r="M575">
        <v>42.058989675076603</v>
      </c>
      <c r="N575" s="7">
        <v>2.2197201550494601</v>
      </c>
      <c r="O575" s="7">
        <v>3.112469080456</v>
      </c>
      <c r="P575" s="7">
        <v>19.868764161723199</v>
      </c>
      <c r="Q575" s="7">
        <v>1.6528925619834711</v>
      </c>
      <c r="U575">
        <v>0.19645867582754836</v>
      </c>
      <c r="AT575" s="4" t="s">
        <v>4028</v>
      </c>
    </row>
    <row r="576" spans="1:46">
      <c r="A576" s="2">
        <v>530</v>
      </c>
      <c r="B576" t="s">
        <v>4766</v>
      </c>
      <c r="C576" t="s">
        <v>302</v>
      </c>
      <c r="D576" t="s">
        <v>3737</v>
      </c>
      <c r="E576" s="4">
        <v>43465</v>
      </c>
      <c r="F576" s="11">
        <v>-24.122580989999999</v>
      </c>
      <c r="G576" s="11">
        <v>48.971962619999999</v>
      </c>
      <c r="H576" s="11">
        <v>5.9109097741000003</v>
      </c>
      <c r="I576" s="11">
        <v>44.0774765703</v>
      </c>
      <c r="J576" s="11">
        <v>14.9763844767</v>
      </c>
      <c r="K576" s="10">
        <v>0.49958386404100003</v>
      </c>
      <c r="L576" s="12">
        <v>60401318070.900002</v>
      </c>
      <c r="M576">
        <v>11.732790657168801</v>
      </c>
      <c r="N576" s="7">
        <v>3.2458746791267199</v>
      </c>
      <c r="O576" s="7">
        <v>2.7235388284979098</v>
      </c>
      <c r="P576" s="7">
        <v>-146.39986650763399</v>
      </c>
      <c r="Q576" s="7">
        <v>0.70493099417847949</v>
      </c>
      <c r="U576">
        <v>0.61097948749089526</v>
      </c>
      <c r="AT576" s="4" t="s">
        <v>4767</v>
      </c>
    </row>
    <row r="577" spans="1:46">
      <c r="A577" s="2">
        <v>3116</v>
      </c>
      <c r="B577" t="s">
        <v>4768</v>
      </c>
      <c r="C577" t="s">
        <v>2862</v>
      </c>
      <c r="D577" t="s">
        <v>3837</v>
      </c>
      <c r="E577" s="4">
        <v>43465</v>
      </c>
      <c r="F577" s="11">
        <v>5.6248632199999999</v>
      </c>
      <c r="G577" s="11">
        <v>48.955223879999998</v>
      </c>
      <c r="H577" s="11">
        <v>0.42673529609999999</v>
      </c>
      <c r="I577" s="11" t="s">
        <v>3698</v>
      </c>
      <c r="J577" s="11">
        <v>8.3478767603000001</v>
      </c>
      <c r="K577" s="10" t="s">
        <v>3698</v>
      </c>
      <c r="L577" s="12">
        <v>7766717197.2299995</v>
      </c>
      <c r="M577">
        <v>127.296026943336</v>
      </c>
      <c r="N577" s="7">
        <v>1.00897837630496</v>
      </c>
      <c r="O577" s="7">
        <v>5.8070754555059096</v>
      </c>
      <c r="P577" s="7">
        <v>-6.1096041228908797</v>
      </c>
      <c r="Q577" s="7">
        <v>1.0550996483001172</v>
      </c>
      <c r="U577">
        <v>0.11947039176333334</v>
      </c>
      <c r="AT577" s="4" t="s">
        <v>4769</v>
      </c>
    </row>
    <row r="578" spans="1:46">
      <c r="A578" s="2">
        <v>2644</v>
      </c>
      <c r="B578" t="s">
        <v>4770</v>
      </c>
      <c r="C578" t="s">
        <v>1480</v>
      </c>
      <c r="D578" t="s">
        <v>3713</v>
      </c>
      <c r="E578" s="4">
        <v>43465</v>
      </c>
      <c r="F578" s="11">
        <v>119.63905808</v>
      </c>
      <c r="G578" s="11">
        <v>48.922662559999999</v>
      </c>
      <c r="H578" s="11">
        <v>22.382994654699999</v>
      </c>
      <c r="I578" s="11">
        <v>97.105051970900007</v>
      </c>
      <c r="J578" s="11">
        <v>20.790233743400002</v>
      </c>
      <c r="K578" s="10">
        <v>0.54072680743599999</v>
      </c>
      <c r="L578" s="12">
        <v>4394000000</v>
      </c>
      <c r="M578">
        <v>116.890756100554</v>
      </c>
      <c r="N578" s="7">
        <v>11.361827015833899</v>
      </c>
      <c r="O578" s="7">
        <v>10.7813545491922</v>
      </c>
      <c r="P578" s="7">
        <v>198.04490066214001</v>
      </c>
      <c r="Q578" s="7">
        <v>0.33807697590145053</v>
      </c>
      <c r="U578">
        <v>1.0446180449474378</v>
      </c>
      <c r="AT578" s="4" t="s">
        <v>4771</v>
      </c>
    </row>
    <row r="579" spans="1:46">
      <c r="A579" s="2">
        <v>2783</v>
      </c>
      <c r="B579" t="s">
        <v>4772</v>
      </c>
      <c r="C579" t="s">
        <v>1420</v>
      </c>
      <c r="D579" t="s">
        <v>3811</v>
      </c>
      <c r="E579" s="4">
        <v>43465</v>
      </c>
      <c r="F579" s="11">
        <v>-15.620961810000001</v>
      </c>
      <c r="G579" s="11">
        <v>48.780487800000003</v>
      </c>
      <c r="H579" s="11">
        <v>10.6270989658</v>
      </c>
      <c r="I579" s="11">
        <v>6.1353566449999999</v>
      </c>
      <c r="J579" s="11">
        <v>1.5107120703000001</v>
      </c>
      <c r="K579" s="10">
        <v>1.950547089968</v>
      </c>
      <c r="L579" s="12">
        <v>234973728080</v>
      </c>
      <c r="M579">
        <v>13.629512026555201</v>
      </c>
      <c r="N579" s="7">
        <v>1.1041946742320301</v>
      </c>
      <c r="O579" s="7">
        <v>5.91243725744343E-2</v>
      </c>
      <c r="P579" s="7">
        <v>4.5809937982698097</v>
      </c>
      <c r="Q579" s="7">
        <v>1.988636363636364</v>
      </c>
      <c r="U579">
        <v>0.34855204715550692</v>
      </c>
      <c r="AT579" s="4" t="s">
        <v>4773</v>
      </c>
    </row>
    <row r="580" spans="1:46">
      <c r="A580" s="2">
        <v>2874</v>
      </c>
      <c r="B580" t="s">
        <v>4774</v>
      </c>
      <c r="C580" t="s">
        <v>392</v>
      </c>
      <c r="D580" t="s">
        <v>3998</v>
      </c>
      <c r="E580" s="4">
        <v>43465</v>
      </c>
      <c r="F580" s="11">
        <v>178.79515008999999</v>
      </c>
      <c r="G580" s="11">
        <v>48.744019139999999</v>
      </c>
      <c r="H580" s="11">
        <v>31.483845858199999</v>
      </c>
      <c r="I580" s="11">
        <v>39.651978105300003</v>
      </c>
      <c r="J580" s="11">
        <v>20.7729031348</v>
      </c>
      <c r="K580" s="10">
        <v>0.86288680179499999</v>
      </c>
      <c r="L580" s="12">
        <v>2713309478.4000001</v>
      </c>
      <c r="M580">
        <v>5.9917532766859196</v>
      </c>
      <c r="N580" s="7">
        <v>1.54321330897501</v>
      </c>
      <c r="O580" s="7">
        <v>0.97888365568253399</v>
      </c>
      <c r="P580" s="7">
        <v>17.801378594808899</v>
      </c>
      <c r="Q580" s="7">
        <v>3.7269898885143893</v>
      </c>
      <c r="U580">
        <v>3.4599010574671629</v>
      </c>
      <c r="AT580" s="4" t="s">
        <v>4775</v>
      </c>
    </row>
    <row r="581" spans="1:46">
      <c r="A581" s="2">
        <v>3415</v>
      </c>
      <c r="B581" t="s">
        <v>4776</v>
      </c>
      <c r="C581" t="s">
        <v>1211</v>
      </c>
      <c r="D581" t="s">
        <v>3713</v>
      </c>
      <c r="E581" s="4">
        <v>43465</v>
      </c>
      <c r="F581" s="11">
        <v>55.355966080000002</v>
      </c>
      <c r="G581" s="11">
        <v>48.731474499999997</v>
      </c>
      <c r="H581" s="11">
        <v>17.677394055699999</v>
      </c>
      <c r="I581" s="11">
        <v>60.938399607999997</v>
      </c>
      <c r="J581" s="11">
        <v>35.325196065299998</v>
      </c>
      <c r="K581" s="10">
        <v>0.19232984380000001</v>
      </c>
      <c r="L581" s="12">
        <v>20099699376.25</v>
      </c>
      <c r="M581">
        <v>52.626156677839703</v>
      </c>
      <c r="N581" s="7">
        <v>2.3876370586531501</v>
      </c>
      <c r="O581" s="7">
        <v>11.826669783922499</v>
      </c>
      <c r="P581" s="7">
        <v>-81.229992162373193</v>
      </c>
      <c r="Q581" s="7">
        <v>0.74179965391270897</v>
      </c>
      <c r="U581">
        <v>1.1739427189375</v>
      </c>
      <c r="AT581" s="4" t="s">
        <v>4777</v>
      </c>
    </row>
    <row r="582" spans="1:46">
      <c r="A582" s="2">
        <v>2670</v>
      </c>
      <c r="B582" t="s">
        <v>4778</v>
      </c>
      <c r="C582" t="s">
        <v>1084</v>
      </c>
      <c r="D582" t="s">
        <v>3785</v>
      </c>
      <c r="E582" s="4">
        <v>43465</v>
      </c>
      <c r="F582" s="11">
        <v>-14.27261581</v>
      </c>
      <c r="G582" s="11">
        <v>48.684210530000001</v>
      </c>
      <c r="H582" s="11">
        <v>-4.7087767328999997</v>
      </c>
      <c r="I582" s="11">
        <v>33.319754404400001</v>
      </c>
      <c r="J582" s="11">
        <v>2.5093158820000001</v>
      </c>
      <c r="K582" s="10">
        <v>1.217506464315</v>
      </c>
      <c r="L582" s="12">
        <v>29970000000</v>
      </c>
      <c r="M582">
        <v>22.531281990246999</v>
      </c>
      <c r="N582" s="7">
        <v>2.01353867086224</v>
      </c>
      <c r="O582" s="7">
        <v>0.49382581101491702</v>
      </c>
      <c r="P582" s="7">
        <v>-289.45166839267102</v>
      </c>
      <c r="Q582" s="7">
        <v>0.89686098654708524</v>
      </c>
      <c r="U582">
        <v>0.27910183361453955</v>
      </c>
      <c r="AT582" s="4" t="s">
        <v>4779</v>
      </c>
    </row>
    <row r="583" spans="1:46">
      <c r="A583" s="2">
        <v>1029</v>
      </c>
      <c r="B583" t="s">
        <v>4780</v>
      </c>
      <c r="C583" t="s">
        <v>1485</v>
      </c>
      <c r="D583" t="s">
        <v>3761</v>
      </c>
      <c r="E583" s="4">
        <v>43465</v>
      </c>
      <c r="F583" s="11">
        <v>-32.55733085</v>
      </c>
      <c r="G583" s="11">
        <v>48.611111110000003</v>
      </c>
      <c r="H583" s="11">
        <v>-0.5494048856</v>
      </c>
      <c r="I583" s="11">
        <v>29.739692504299999</v>
      </c>
      <c r="J583" s="11">
        <v>8.5299910979</v>
      </c>
      <c r="K583" s="10">
        <v>0.73787324513899999</v>
      </c>
      <c r="L583" s="12">
        <v>62428595633.82</v>
      </c>
      <c r="M583">
        <v>13.008776496751</v>
      </c>
      <c r="N583" s="7">
        <v>1.7339920709785099</v>
      </c>
      <c r="O583" s="7">
        <v>1.4869745202260101</v>
      </c>
      <c r="P583" s="7">
        <v>-25.6997927404507</v>
      </c>
      <c r="Q583" s="7">
        <v>2.0661157024793391</v>
      </c>
      <c r="U583">
        <v>0.39504069540294107</v>
      </c>
      <c r="AT583" s="4" t="s">
        <v>4781</v>
      </c>
    </row>
    <row r="584" spans="1:46">
      <c r="A584" s="2">
        <v>2609</v>
      </c>
      <c r="B584" t="s">
        <v>4782</v>
      </c>
      <c r="C584" t="s">
        <v>1047</v>
      </c>
      <c r="D584" t="s">
        <v>3737</v>
      </c>
      <c r="E584" s="4">
        <v>43465</v>
      </c>
      <c r="F584" s="11">
        <v>149.95113244000001</v>
      </c>
      <c r="G584" s="11">
        <v>48.578947370000002</v>
      </c>
      <c r="H584" s="11">
        <v>10.904959445399999</v>
      </c>
      <c r="I584" s="11">
        <v>35.987945258700002</v>
      </c>
      <c r="J584" s="11">
        <v>13.8592511053</v>
      </c>
      <c r="K584" s="10">
        <v>0.58715681276700005</v>
      </c>
      <c r="L584" s="12">
        <v>7252459358.6999998</v>
      </c>
      <c r="M584">
        <v>25.603254393153001</v>
      </c>
      <c r="N584" s="7">
        <v>2.29019186447325</v>
      </c>
      <c r="O584" s="7">
        <v>3.1709096489706599</v>
      </c>
      <c r="P584" s="7">
        <v>-15.0575560586867</v>
      </c>
      <c r="Q584" s="7">
        <v>0.96178507277235892</v>
      </c>
      <c r="U584">
        <v>0.84289267525047629</v>
      </c>
      <c r="AT584" s="4" t="s">
        <v>4783</v>
      </c>
    </row>
    <row r="585" spans="1:46">
      <c r="A585" s="2">
        <v>1639</v>
      </c>
      <c r="B585" t="s">
        <v>4784</v>
      </c>
      <c r="C585" t="s">
        <v>1231</v>
      </c>
      <c r="D585" t="s">
        <v>3752</v>
      </c>
      <c r="E585" s="4">
        <v>43465</v>
      </c>
      <c r="F585" s="11">
        <v>69.683106460000005</v>
      </c>
      <c r="G585" s="11">
        <v>48.545454550000002</v>
      </c>
      <c r="H585" s="11">
        <v>-25.4108632911</v>
      </c>
      <c r="I585" s="11">
        <v>13.0415122927</v>
      </c>
      <c r="J585" s="11">
        <v>6.5508448945</v>
      </c>
      <c r="K585" s="10">
        <v>0.88446669548500001</v>
      </c>
      <c r="L585" s="12">
        <v>55413134167.650002</v>
      </c>
      <c r="M585">
        <v>32.966021666082597</v>
      </c>
      <c r="N585" s="7">
        <v>1.4441750917904601</v>
      </c>
      <c r="O585" s="7">
        <v>1.47947560659156</v>
      </c>
      <c r="P585" s="7">
        <v>-77.603627144203699</v>
      </c>
      <c r="Q585" s="7">
        <v>0.61728395061728403</v>
      </c>
      <c r="U585">
        <v>0.24134506820880605</v>
      </c>
      <c r="AT585" s="4" t="s">
        <v>4785</v>
      </c>
    </row>
    <row r="586" spans="1:46">
      <c r="A586" s="2">
        <v>3307</v>
      </c>
      <c r="B586" t="s">
        <v>4786</v>
      </c>
      <c r="C586" t="s">
        <v>3352</v>
      </c>
      <c r="D586" t="s">
        <v>3713</v>
      </c>
      <c r="E586" s="4">
        <v>43465</v>
      </c>
      <c r="F586" s="11">
        <v>4.9026085799999999</v>
      </c>
      <c r="G586" s="11">
        <v>48.520179370000001</v>
      </c>
      <c r="H586" s="11">
        <v>2.6380195870000001</v>
      </c>
      <c r="I586" s="11">
        <v>41.688195808300001</v>
      </c>
      <c r="J586" s="11">
        <v>3.9611893944999998</v>
      </c>
      <c r="K586" s="10">
        <v>0.22977663280300001</v>
      </c>
      <c r="L586" s="12">
        <v>11524639284.18</v>
      </c>
      <c r="M586">
        <v>204.202767874161</v>
      </c>
      <c r="N586" s="7">
        <v>3.0990951715475701</v>
      </c>
      <c r="O586" s="7">
        <v>13.1849489923618</v>
      </c>
      <c r="P586" s="7">
        <v>-23.6686551818533</v>
      </c>
      <c r="Q586" s="7">
        <v>0.20477815699658702</v>
      </c>
      <c r="U586">
        <v>3.6205022599637683E-2</v>
      </c>
      <c r="AT586" s="4" t="s">
        <v>4787</v>
      </c>
    </row>
    <row r="587" spans="1:46">
      <c r="A587" s="2">
        <v>3518</v>
      </c>
      <c r="B587" t="s">
        <v>4788</v>
      </c>
      <c r="C587" t="s">
        <v>3475</v>
      </c>
      <c r="D587" t="s">
        <v>3778</v>
      </c>
      <c r="E587" s="4">
        <v>43465</v>
      </c>
      <c r="F587" s="11">
        <v>-15.98114515</v>
      </c>
      <c r="G587" s="11">
        <v>48.379254459999999</v>
      </c>
      <c r="H587" s="11">
        <v>-18.913895630399999</v>
      </c>
      <c r="I587" s="11">
        <v>13.452685473200001</v>
      </c>
      <c r="J587" s="11">
        <v>1.8034015540999999</v>
      </c>
      <c r="K587" s="10">
        <v>0.14092359033999999</v>
      </c>
      <c r="L587" s="12">
        <v>15538746489.209999</v>
      </c>
      <c r="M587">
        <v>-35.855975861403998</v>
      </c>
      <c r="N587" s="7">
        <v>1.20243596206863</v>
      </c>
      <c r="O587" s="7">
        <v>10.7786640448588</v>
      </c>
      <c r="P587" s="7">
        <v>-4.3727241040128897</v>
      </c>
      <c r="Q587" s="7">
        <v>0.16629711751662971</v>
      </c>
      <c r="U587">
        <v>3.0548444809840057E-2</v>
      </c>
      <c r="AT587" s="4" t="s">
        <v>4789</v>
      </c>
    </row>
    <row r="588" spans="1:46">
      <c r="A588" s="2">
        <v>2501</v>
      </c>
      <c r="B588" t="s">
        <v>4790</v>
      </c>
      <c r="C588" t="s">
        <v>974</v>
      </c>
      <c r="D588" t="s">
        <v>3871</v>
      </c>
      <c r="E588" s="4">
        <v>43465</v>
      </c>
      <c r="F588" s="11">
        <v>27.409708089999999</v>
      </c>
      <c r="G588" s="11">
        <v>48.336798340000001</v>
      </c>
      <c r="H588" s="11">
        <v>34.767853799400001</v>
      </c>
      <c r="I588" s="11">
        <v>42.684589982799999</v>
      </c>
      <c r="J588" s="11">
        <v>24.059278368299999</v>
      </c>
      <c r="K588" s="10">
        <v>0.208511869505</v>
      </c>
      <c r="L588" s="12">
        <v>6214692353.9799995</v>
      </c>
      <c r="M588">
        <v>5.2968378736166297</v>
      </c>
      <c r="N588" s="7">
        <v>0.93665913861638805</v>
      </c>
      <c r="O588" s="7">
        <v>0.864021787699355</v>
      </c>
      <c r="P588" s="7">
        <v>6.8754997827967204</v>
      </c>
      <c r="Q588" s="7">
        <v>5.0420168067226889</v>
      </c>
      <c r="U588">
        <v>1.793835899611518</v>
      </c>
      <c r="AT588" s="4" t="s">
        <v>4791</v>
      </c>
    </row>
    <row r="589" spans="1:46">
      <c r="A589" s="2">
        <v>1501</v>
      </c>
      <c r="B589" t="s">
        <v>4792</v>
      </c>
      <c r="C589" t="s">
        <v>572</v>
      </c>
      <c r="D589" t="s">
        <v>3721</v>
      </c>
      <c r="E589" s="4">
        <v>43465</v>
      </c>
      <c r="F589" s="11">
        <v>-4.9780037400000001</v>
      </c>
      <c r="G589" s="11">
        <v>48.25</v>
      </c>
      <c r="H589" s="11">
        <v>47.148145989699998</v>
      </c>
      <c r="I589" s="11">
        <v>46.588632287899998</v>
      </c>
      <c r="J589" s="11">
        <v>9.3620881641999993</v>
      </c>
      <c r="K589" s="10">
        <v>0.18017945987299999</v>
      </c>
      <c r="L589" s="12">
        <v>16444908527.08</v>
      </c>
      <c r="M589">
        <v>-16.446731820909399</v>
      </c>
      <c r="N589" s="7">
        <v>1.68026779522087</v>
      </c>
      <c r="O589" s="7">
        <v>8.2615329540509208</v>
      </c>
      <c r="P589" s="7">
        <v>-103.13900985866999</v>
      </c>
      <c r="Q589" s="7">
        <v>0.37579617834394907</v>
      </c>
      <c r="U589">
        <v>4.425851301886792E-2</v>
      </c>
      <c r="AT589" s="4" t="s">
        <v>4170</v>
      </c>
    </row>
    <row r="590" spans="1:46">
      <c r="A590" s="2">
        <v>1472</v>
      </c>
      <c r="B590" t="s">
        <v>4793</v>
      </c>
      <c r="C590" t="s">
        <v>937</v>
      </c>
      <c r="D590" t="s">
        <v>3721</v>
      </c>
      <c r="E590" s="4">
        <v>43465</v>
      </c>
      <c r="F590" s="11">
        <v>10.600108519999999</v>
      </c>
      <c r="G590" s="11">
        <v>48.148148149999997</v>
      </c>
      <c r="H590" s="11">
        <v>50.0470421534</v>
      </c>
      <c r="I590" s="11">
        <v>35.727558371199997</v>
      </c>
      <c r="J590" s="11">
        <v>20.514081400399999</v>
      </c>
      <c r="K590" s="10">
        <v>0.402781402467</v>
      </c>
      <c r="L590" s="12">
        <v>3534244696.1999998</v>
      </c>
      <c r="M590">
        <v>85.183170359396001</v>
      </c>
      <c r="N590" s="7">
        <v>3.8841090176200499</v>
      </c>
      <c r="O590" s="7">
        <v>7.6337324091462104</v>
      </c>
      <c r="P590" s="7">
        <v>-27.350848392205101</v>
      </c>
      <c r="Q590" s="7">
        <v>2.1246458923512748</v>
      </c>
      <c r="U590">
        <v>0.40245745706644143</v>
      </c>
      <c r="AT590" s="4" t="s">
        <v>4616</v>
      </c>
    </row>
    <row r="591" spans="1:46">
      <c r="A591" s="2">
        <v>1604</v>
      </c>
      <c r="B591" t="s">
        <v>4794</v>
      </c>
      <c r="C591" t="s">
        <v>1934</v>
      </c>
      <c r="D591" t="s">
        <v>3769</v>
      </c>
      <c r="E591" s="4">
        <v>43465</v>
      </c>
      <c r="F591" s="11">
        <v>-0.17351907999999999</v>
      </c>
      <c r="G591" s="11">
        <v>48.138957820000002</v>
      </c>
      <c r="H591" s="11">
        <v>19.7776754456</v>
      </c>
      <c r="I591" s="11">
        <v>50.677023580899998</v>
      </c>
      <c r="J591" s="11">
        <v>17.168078454300002</v>
      </c>
      <c r="K591" s="10">
        <v>0.36438881088000002</v>
      </c>
      <c r="L591" s="12">
        <v>3746976000</v>
      </c>
      <c r="M591">
        <v>46.158489215618602</v>
      </c>
      <c r="N591" s="7">
        <v>2.4588954948422002</v>
      </c>
      <c r="O591" s="7">
        <v>5.7121497605891802</v>
      </c>
      <c r="P591" s="7">
        <v>11.292775231094801</v>
      </c>
      <c r="Q591" s="7">
        <v>2.9619746410723637</v>
      </c>
      <c r="U591">
        <v>0.12913007658705031</v>
      </c>
      <c r="AT591" s="4" t="s">
        <v>4795</v>
      </c>
    </row>
    <row r="592" spans="1:46">
      <c r="A592" s="2">
        <v>2351</v>
      </c>
      <c r="B592" t="s">
        <v>4796</v>
      </c>
      <c r="C592" t="s">
        <v>196</v>
      </c>
      <c r="D592" t="s">
        <v>3737</v>
      </c>
      <c r="E592" s="4">
        <v>43465</v>
      </c>
      <c r="F592" s="11">
        <v>1.4163743200000001</v>
      </c>
      <c r="G592" s="11">
        <v>48.041474649999998</v>
      </c>
      <c r="H592" s="11">
        <v>20.485634639400001</v>
      </c>
      <c r="I592" s="11">
        <v>41.9338810713</v>
      </c>
      <c r="J592" s="11">
        <v>4.7706397467999997</v>
      </c>
      <c r="K592" s="10">
        <v>0.69135910932300004</v>
      </c>
      <c r="L592" s="12">
        <v>4547095900</v>
      </c>
      <c r="M592">
        <v>13.083657128297901</v>
      </c>
      <c r="N592" s="7">
        <v>1.0964053866151</v>
      </c>
      <c r="O592" s="7">
        <v>1.2179708194679799</v>
      </c>
      <c r="P592" s="7">
        <v>-47.3654155443433</v>
      </c>
      <c r="Q592" s="7">
        <v>1.2059501975393978</v>
      </c>
      <c r="U592">
        <v>0.37767101234074202</v>
      </c>
      <c r="AT592" s="4" t="s">
        <v>4797</v>
      </c>
    </row>
    <row r="593" spans="1:46">
      <c r="A593" s="2">
        <v>2949</v>
      </c>
      <c r="B593" t="s">
        <v>4798</v>
      </c>
      <c r="C593" t="s">
        <v>2745</v>
      </c>
      <c r="D593" t="s">
        <v>3998</v>
      </c>
      <c r="E593" s="4">
        <v>43465</v>
      </c>
      <c r="F593" s="11">
        <v>-19.99007937</v>
      </c>
      <c r="G593" s="11">
        <v>48.021582729999999</v>
      </c>
      <c r="H593" s="11">
        <v>-6.6174836261000003</v>
      </c>
      <c r="I593" s="11">
        <v>21.7772748545</v>
      </c>
      <c r="J593" s="11">
        <v>1.6529153823</v>
      </c>
      <c r="K593" s="10">
        <v>0.47734327213900002</v>
      </c>
      <c r="L593" s="12">
        <v>65461461794</v>
      </c>
      <c r="M593">
        <v>-126.750046259529</v>
      </c>
      <c r="N593" s="7">
        <v>4.99908816246489</v>
      </c>
      <c r="O593" s="7">
        <v>22.162646137974001</v>
      </c>
      <c r="P593" s="7">
        <v>73.321754806440396</v>
      </c>
      <c r="Q593" s="7" t="s">
        <v>3698</v>
      </c>
      <c r="U593">
        <v>2.7948166107119282E-2</v>
      </c>
      <c r="AT593" s="4" t="s">
        <v>4799</v>
      </c>
    </row>
    <row r="594" spans="1:46">
      <c r="A594" s="2">
        <v>591</v>
      </c>
      <c r="B594" t="s">
        <v>4800</v>
      </c>
      <c r="C594" t="s">
        <v>1628</v>
      </c>
      <c r="D594" t="s">
        <v>3752</v>
      </c>
      <c r="E594" s="4">
        <v>43465</v>
      </c>
      <c r="F594" s="11">
        <v>1.4745214499999999</v>
      </c>
      <c r="G594" s="11">
        <v>47.960444989999999</v>
      </c>
      <c r="H594" s="11">
        <v>11.4829662881</v>
      </c>
      <c r="I594" s="11">
        <v>26.9298653261</v>
      </c>
      <c r="J594" s="11">
        <v>8.6628190706999995</v>
      </c>
      <c r="K594" s="10">
        <v>0.49252687048600002</v>
      </c>
      <c r="L594" s="12">
        <v>2476160000</v>
      </c>
      <c r="M594">
        <v>12.7071819518506</v>
      </c>
      <c r="N594" s="7">
        <v>1.0972774884868</v>
      </c>
      <c r="O594" s="7">
        <v>0.96355383734111499</v>
      </c>
      <c r="P594" s="7">
        <v>-185.03078359535499</v>
      </c>
      <c r="Q594" s="7">
        <v>2.0908621589730143</v>
      </c>
      <c r="U594">
        <v>0.72365577558742855</v>
      </c>
      <c r="AT594" s="4" t="s">
        <v>4801</v>
      </c>
    </row>
    <row r="595" spans="1:46">
      <c r="A595" s="2">
        <v>1007</v>
      </c>
      <c r="B595" t="s">
        <v>4802</v>
      </c>
      <c r="C595" t="s">
        <v>705</v>
      </c>
      <c r="D595" t="s">
        <v>3752</v>
      </c>
      <c r="E595" s="4">
        <v>43465</v>
      </c>
      <c r="F595" s="11">
        <v>-45.159292729999997</v>
      </c>
      <c r="G595" s="11">
        <v>47.916666669999998</v>
      </c>
      <c r="H595" s="11">
        <v>-36.250074081599998</v>
      </c>
      <c r="I595" s="11">
        <v>34.864701514799997</v>
      </c>
      <c r="J595" s="11">
        <v>-23.314957518100002</v>
      </c>
      <c r="K595" s="10">
        <v>0.35781425950200002</v>
      </c>
      <c r="L595" s="12">
        <v>3409920000</v>
      </c>
      <c r="M595">
        <v>-22.537486084084001</v>
      </c>
      <c r="N595" s="7">
        <v>0.94641466704027699</v>
      </c>
      <c r="O595" s="7">
        <v>0.83318637998549405</v>
      </c>
      <c r="P595" s="7">
        <v>-13.502966755797599</v>
      </c>
      <c r="Q595" s="7" t="s">
        <v>3698</v>
      </c>
      <c r="U595">
        <v>-0.36273317441181474</v>
      </c>
      <c r="AT595" s="4" t="s">
        <v>4705</v>
      </c>
    </row>
    <row r="596" spans="1:46">
      <c r="A596" s="2">
        <v>3170</v>
      </c>
      <c r="B596" t="s">
        <v>4803</v>
      </c>
      <c r="C596" t="s">
        <v>126</v>
      </c>
      <c r="D596" t="s">
        <v>3832</v>
      </c>
      <c r="E596" s="4">
        <v>43465</v>
      </c>
      <c r="F596" s="11">
        <v>107.93204391</v>
      </c>
      <c r="G596" s="11">
        <v>47.840531560000002</v>
      </c>
      <c r="H596" s="11">
        <v>66.207640057000006</v>
      </c>
      <c r="I596" s="11">
        <v>41.459477442000001</v>
      </c>
      <c r="J596" s="11">
        <v>8.3713770820000004</v>
      </c>
      <c r="K596" s="10">
        <v>1.967671895401</v>
      </c>
      <c r="L596" s="12">
        <v>2990700000</v>
      </c>
      <c r="M596">
        <v>36.020220698688298</v>
      </c>
      <c r="N596" s="7">
        <v>7.6260436352725396</v>
      </c>
      <c r="O596" s="7">
        <v>2.82280410919974</v>
      </c>
      <c r="P596" s="7">
        <v>43.410937523567704</v>
      </c>
      <c r="Q596" s="7">
        <v>0.65632458233890212</v>
      </c>
      <c r="U596">
        <v>1.5850381614050064</v>
      </c>
      <c r="AT596" s="4" t="s">
        <v>4804</v>
      </c>
    </row>
    <row r="597" spans="1:46">
      <c r="A597" s="2">
        <v>1616</v>
      </c>
      <c r="B597" t="s">
        <v>4805</v>
      </c>
      <c r="C597" t="s">
        <v>2786</v>
      </c>
      <c r="D597" t="s">
        <v>3778</v>
      </c>
      <c r="E597" s="4">
        <v>43465</v>
      </c>
      <c r="F597" s="11">
        <v>-4.1848899199999998</v>
      </c>
      <c r="G597" s="11">
        <v>47.486413040000002</v>
      </c>
      <c r="H597" s="11">
        <v>32.944882882000002</v>
      </c>
      <c r="I597" s="11">
        <v>38.896454583299999</v>
      </c>
      <c r="J597" s="11">
        <v>64.151458156800004</v>
      </c>
      <c r="K597" s="10">
        <v>8.175801194E-2</v>
      </c>
      <c r="L597" s="12">
        <v>12884458800</v>
      </c>
      <c r="M597">
        <v>302.95492310583899</v>
      </c>
      <c r="N597" s="7">
        <v>3.98152077889055</v>
      </c>
      <c r="O597" s="7">
        <v>38.3547298696027</v>
      </c>
      <c r="P597" s="7">
        <v>98.204241624161199</v>
      </c>
      <c r="Q597" s="7">
        <v>9.3196644920782848E-2</v>
      </c>
      <c r="U597">
        <v>9.0620167593749995E-2</v>
      </c>
      <c r="AT597" s="4" t="s">
        <v>4806</v>
      </c>
    </row>
    <row r="598" spans="1:46">
      <c r="A598" s="2">
        <v>2701</v>
      </c>
      <c r="B598" t="s">
        <v>4807</v>
      </c>
      <c r="C598" t="s">
        <v>870</v>
      </c>
      <c r="D598" t="s">
        <v>3811</v>
      </c>
      <c r="E598" s="4">
        <v>43465</v>
      </c>
      <c r="F598" s="11">
        <v>-2.9290964499999999</v>
      </c>
      <c r="G598" s="11">
        <v>47.476340690000001</v>
      </c>
      <c r="H598" s="11">
        <v>-8.1509823575000002</v>
      </c>
      <c r="I598" s="11">
        <v>31.662089567799999</v>
      </c>
      <c r="J598" s="11">
        <v>9.8491829215000006</v>
      </c>
      <c r="K598" s="10">
        <v>0.476617327067</v>
      </c>
      <c r="L598" s="12">
        <v>8910155690.1700001</v>
      </c>
      <c r="M598">
        <v>20.109016820525</v>
      </c>
      <c r="N598" s="7">
        <v>0.92556250013264996</v>
      </c>
      <c r="O598" s="7">
        <v>1.44374750678986</v>
      </c>
      <c r="P598" s="7">
        <v>-63.647319537431002</v>
      </c>
      <c r="Q598" s="7">
        <v>1.3471502590673574</v>
      </c>
      <c r="U598">
        <v>0.42180600421487052</v>
      </c>
      <c r="AT598" s="4" t="s">
        <v>4808</v>
      </c>
    </row>
    <row r="599" spans="1:46">
      <c r="A599" s="2">
        <v>3476</v>
      </c>
      <c r="B599" t="s">
        <v>4809</v>
      </c>
      <c r="C599" t="s">
        <v>944</v>
      </c>
      <c r="D599" t="s">
        <v>3849</v>
      </c>
      <c r="E599" s="4">
        <v>43465</v>
      </c>
      <c r="F599" s="11">
        <v>139.64052257</v>
      </c>
      <c r="G599" s="11">
        <v>47.435897439999998</v>
      </c>
      <c r="H599" s="11">
        <v>-7.0188884674000001</v>
      </c>
      <c r="I599" s="11">
        <v>42.459227833100002</v>
      </c>
      <c r="J599" s="11">
        <v>17.329852971699999</v>
      </c>
      <c r="K599" s="10">
        <v>0.34454150956500001</v>
      </c>
      <c r="L599" s="12">
        <v>20808732441.599998</v>
      </c>
      <c r="M599">
        <v>57.595648484078602</v>
      </c>
      <c r="N599" s="7">
        <v>3.4392103593380701</v>
      </c>
      <c r="O599" s="7">
        <v>8.9244678715722294</v>
      </c>
      <c r="P599" s="7">
        <v>23.185189229444699</v>
      </c>
      <c r="Q599" s="7">
        <v>0.56401579244218836</v>
      </c>
      <c r="U599">
        <v>0.28498192933962263</v>
      </c>
      <c r="AT599" s="4" t="s">
        <v>4454</v>
      </c>
    </row>
    <row r="600" spans="1:46">
      <c r="A600" s="2">
        <v>2339</v>
      </c>
      <c r="B600" t="s">
        <v>4810</v>
      </c>
      <c r="C600" t="s">
        <v>3550</v>
      </c>
      <c r="D600" t="s">
        <v>3718</v>
      </c>
      <c r="E600" s="4">
        <v>43465</v>
      </c>
      <c r="F600" s="11">
        <v>-20.52117264</v>
      </c>
      <c r="G600" s="11">
        <v>47.416413370000001</v>
      </c>
      <c r="H600" s="11">
        <v>181.13859148809999</v>
      </c>
      <c r="I600" s="11">
        <v>21.8390580085</v>
      </c>
      <c r="J600" s="11">
        <v>2.7106442638999999</v>
      </c>
      <c r="K600" s="10">
        <v>0.46195844520399998</v>
      </c>
      <c r="L600" s="12">
        <v>4311627983.5200005</v>
      </c>
      <c r="M600">
        <v>-21.669740830915099</v>
      </c>
      <c r="N600" s="7">
        <v>2.0457121801870102</v>
      </c>
      <c r="O600" s="7">
        <v>2.9117003892407798</v>
      </c>
      <c r="P600" s="7">
        <v>-50.8067879973107</v>
      </c>
      <c r="Q600" s="7" t="s">
        <v>3698</v>
      </c>
      <c r="U600">
        <v>5.4363344518788756E-2</v>
      </c>
      <c r="AT600" s="4" t="s">
        <v>4811</v>
      </c>
    </row>
    <row r="601" spans="1:46">
      <c r="A601" s="2">
        <v>1165</v>
      </c>
      <c r="B601" t="s">
        <v>4812</v>
      </c>
      <c r="C601" t="s">
        <v>1616</v>
      </c>
      <c r="D601" t="s">
        <v>3889</v>
      </c>
      <c r="E601" s="4">
        <v>43465</v>
      </c>
      <c r="F601" s="11">
        <v>-14.45513755</v>
      </c>
      <c r="G601" s="11">
        <v>47.088607590000002</v>
      </c>
      <c r="H601" s="11">
        <v>50.454498430400001</v>
      </c>
      <c r="I601" s="11">
        <v>14.1245967264</v>
      </c>
      <c r="J601" s="11">
        <v>-24.359134362999999</v>
      </c>
      <c r="K601" s="10">
        <v>1.0322541099260001</v>
      </c>
      <c r="L601" s="12">
        <v>173672699638.79999</v>
      </c>
      <c r="M601">
        <v>164.553115474046</v>
      </c>
      <c r="N601" s="7">
        <v>3.27936654609768</v>
      </c>
      <c r="O601" s="7">
        <v>0.81067123251812201</v>
      </c>
      <c r="P601" s="7">
        <v>-1575.7289828857799</v>
      </c>
      <c r="Q601" s="7" t="s">
        <v>3698</v>
      </c>
      <c r="U601">
        <v>-1.2564486744283503</v>
      </c>
      <c r="AT601" s="4" t="s">
        <v>4004</v>
      </c>
    </row>
    <row r="602" spans="1:46">
      <c r="A602" s="2">
        <v>1441</v>
      </c>
      <c r="B602" t="s">
        <v>4813</v>
      </c>
      <c r="C602" t="s">
        <v>456</v>
      </c>
      <c r="D602" t="s">
        <v>3737</v>
      </c>
      <c r="E602" s="4">
        <v>43465</v>
      </c>
      <c r="F602" s="11">
        <v>153.35907456999999</v>
      </c>
      <c r="G602" s="11">
        <v>47.072243350000001</v>
      </c>
      <c r="H602" s="11">
        <v>34.307921847899998</v>
      </c>
      <c r="I602" s="11">
        <v>46.996700459700001</v>
      </c>
      <c r="J602" s="11">
        <v>13.308850488799999</v>
      </c>
      <c r="K602" s="10">
        <v>0.84570466803800004</v>
      </c>
      <c r="L602" s="12">
        <v>6921600000</v>
      </c>
      <c r="M602">
        <v>60.3149747343762</v>
      </c>
      <c r="N602" s="7">
        <v>17.262400873605898</v>
      </c>
      <c r="O602" s="7">
        <v>8.1356514096489896</v>
      </c>
      <c r="P602" s="7">
        <v>119.14513028098899</v>
      </c>
      <c r="Q602" s="7">
        <v>0.38545868129521177</v>
      </c>
      <c r="U602">
        <v>0.42332204081948238</v>
      </c>
      <c r="AT602" s="4" t="s">
        <v>3770</v>
      </c>
    </row>
    <row r="603" spans="1:46">
      <c r="A603" s="2">
        <v>523</v>
      </c>
      <c r="B603" t="s">
        <v>4814</v>
      </c>
      <c r="C603" t="s">
        <v>2722</v>
      </c>
      <c r="D603" t="s">
        <v>4060</v>
      </c>
      <c r="E603" s="4">
        <v>43465</v>
      </c>
      <c r="F603" s="11">
        <v>-44.649805450000002</v>
      </c>
      <c r="G603" s="11">
        <v>46.938775509999999</v>
      </c>
      <c r="H603" s="11">
        <v>9.7168231541000001</v>
      </c>
      <c r="I603" s="11">
        <v>22.969322737300001</v>
      </c>
      <c r="J603" s="11">
        <v>3.4212808122</v>
      </c>
      <c r="K603" s="10">
        <v>0.61995463283600005</v>
      </c>
      <c r="L603" s="12">
        <v>6093566117.2799997</v>
      </c>
      <c r="M603">
        <v>113.21501804645</v>
      </c>
      <c r="N603" s="7">
        <v>1.4840464373117701</v>
      </c>
      <c r="O603" s="7">
        <v>1.6097998635294699</v>
      </c>
      <c r="P603" s="7">
        <v>-83.044389048039804</v>
      </c>
      <c r="Q603" s="7">
        <v>0.10183299389002037</v>
      </c>
      <c r="U603">
        <v>5.3050805658639594E-2</v>
      </c>
      <c r="AT603" s="4" t="s">
        <v>4815</v>
      </c>
    </row>
    <row r="604" spans="1:46">
      <c r="A604" s="2">
        <v>2011</v>
      </c>
      <c r="B604" t="s">
        <v>4816</v>
      </c>
      <c r="C604" t="s">
        <v>2490</v>
      </c>
      <c r="D604" t="s">
        <v>3713</v>
      </c>
      <c r="E604" s="4">
        <v>43465</v>
      </c>
      <c r="F604" s="11">
        <v>30.64359679</v>
      </c>
      <c r="G604" s="11">
        <v>46.89265537</v>
      </c>
      <c r="H604" s="11">
        <v>31.391123894</v>
      </c>
      <c r="I604" s="11">
        <v>46.460571221599999</v>
      </c>
      <c r="J604" s="11">
        <v>26.164351595999999</v>
      </c>
      <c r="K604" s="10">
        <v>0.49013209837499999</v>
      </c>
      <c r="L604" s="12">
        <v>2338360000</v>
      </c>
      <c r="M604">
        <v>39.402498789577699</v>
      </c>
      <c r="N604" s="7">
        <v>4.6303276324054297</v>
      </c>
      <c r="O604" s="7">
        <v>8.7923477004169701</v>
      </c>
      <c r="P604" s="7">
        <v>-44.369756654203897</v>
      </c>
      <c r="Q604" s="7">
        <v>0.73942620526471459</v>
      </c>
      <c r="U604">
        <v>0.77156674660969715</v>
      </c>
      <c r="AT604" s="4" t="s">
        <v>4817</v>
      </c>
    </row>
    <row r="605" spans="1:46">
      <c r="A605" s="2">
        <v>2286</v>
      </c>
      <c r="B605" t="s">
        <v>4818</v>
      </c>
      <c r="C605" t="s">
        <v>1482</v>
      </c>
      <c r="D605" t="s">
        <v>3752</v>
      </c>
      <c r="E605" s="4">
        <v>43465</v>
      </c>
      <c r="F605" s="11">
        <v>15.249525999999999</v>
      </c>
      <c r="G605" s="11">
        <v>46.868686869999998</v>
      </c>
      <c r="H605" s="11">
        <v>9.4187104201</v>
      </c>
      <c r="I605" s="11">
        <v>13.483990932499999</v>
      </c>
      <c r="J605" s="11">
        <v>2.4686749111999999</v>
      </c>
      <c r="K605" s="10">
        <v>1.1717774292150001</v>
      </c>
      <c r="L605" s="12">
        <v>1870702479.3599999</v>
      </c>
      <c r="M605">
        <v>29.373379338274201</v>
      </c>
      <c r="N605" s="7">
        <v>1.32481224352759</v>
      </c>
      <c r="O605" s="7">
        <v>0.53577052411438497</v>
      </c>
      <c r="P605" s="7">
        <v>17.2466408103462</v>
      </c>
      <c r="Q605" s="7">
        <v>1.6571849706217685</v>
      </c>
      <c r="U605">
        <v>0.22969950544695078</v>
      </c>
      <c r="AT605" s="4" t="s">
        <v>4819</v>
      </c>
    </row>
    <row r="606" spans="1:46">
      <c r="A606" s="2">
        <v>1022</v>
      </c>
      <c r="B606" t="s">
        <v>4820</v>
      </c>
      <c r="C606" t="s">
        <v>731</v>
      </c>
      <c r="D606" t="s">
        <v>4060</v>
      </c>
      <c r="E606" s="4">
        <v>43465</v>
      </c>
      <c r="F606" s="11">
        <v>33.279292779999999</v>
      </c>
      <c r="G606" s="11">
        <v>46.713615019999999</v>
      </c>
      <c r="H606" s="11">
        <v>22.4253910324</v>
      </c>
      <c r="I606" s="11">
        <v>34.065448538600002</v>
      </c>
      <c r="J606" s="11">
        <v>7.1672434766000004</v>
      </c>
      <c r="K606" s="10">
        <v>1.038332976018</v>
      </c>
      <c r="L606" s="12">
        <v>4846278904.5</v>
      </c>
      <c r="M606">
        <v>28.661841625558001</v>
      </c>
      <c r="N606" s="7">
        <v>3.3107920877757802</v>
      </c>
      <c r="O606" s="7">
        <v>2.0425218055389398</v>
      </c>
      <c r="P606" s="7">
        <v>-100.438892549892</v>
      </c>
      <c r="Q606" s="7">
        <v>0.17795089122760738</v>
      </c>
      <c r="U606">
        <v>0.31630953603087125</v>
      </c>
      <c r="AT606" s="4" t="s">
        <v>4821</v>
      </c>
    </row>
    <row r="607" spans="1:46">
      <c r="A607" s="2">
        <v>1912</v>
      </c>
      <c r="B607" t="s">
        <v>4822</v>
      </c>
      <c r="C607" t="s">
        <v>1086</v>
      </c>
      <c r="D607" t="s">
        <v>3752</v>
      </c>
      <c r="E607" s="4">
        <v>43465</v>
      </c>
      <c r="F607" s="11">
        <v>115.78223291</v>
      </c>
      <c r="G607" s="11">
        <v>46.691027200000001</v>
      </c>
      <c r="H607" s="11">
        <v>42.261675008600001</v>
      </c>
      <c r="I607" s="11">
        <v>41.224313817499997</v>
      </c>
      <c r="J607" s="11">
        <v>22.421424415499999</v>
      </c>
      <c r="K607" s="10">
        <v>0.43325351058799999</v>
      </c>
      <c r="L607" s="12">
        <v>122549412140.12</v>
      </c>
      <c r="M607">
        <v>50.066155770268203</v>
      </c>
      <c r="N607" s="7">
        <v>5.2678252986023004</v>
      </c>
      <c r="O607" s="7">
        <v>9.3895019594431108</v>
      </c>
      <c r="P607" s="7">
        <v>27.550495207718001</v>
      </c>
      <c r="Q607" s="7">
        <v>0.43310100404757967</v>
      </c>
      <c r="U607">
        <v>0.7076988214804063</v>
      </c>
      <c r="AT607" s="4" t="s">
        <v>4126</v>
      </c>
    </row>
    <row r="608" spans="1:46">
      <c r="A608" s="2">
        <v>2140</v>
      </c>
      <c r="B608" t="s">
        <v>4823</v>
      </c>
      <c r="C608" t="s">
        <v>789</v>
      </c>
      <c r="D608" t="s">
        <v>3721</v>
      </c>
      <c r="E608" s="4">
        <v>43465</v>
      </c>
      <c r="F608" s="11">
        <v>-7.6193428599999997</v>
      </c>
      <c r="G608" s="11">
        <v>46.626106190000002</v>
      </c>
      <c r="H608" s="11">
        <v>21.349312454900002</v>
      </c>
      <c r="I608" s="11">
        <v>66.053468915699995</v>
      </c>
      <c r="J608" s="11">
        <v>34.413952639999998</v>
      </c>
      <c r="K608" s="10">
        <v>0.40318485779899998</v>
      </c>
      <c r="L608" s="12">
        <v>2660788924.3000002</v>
      </c>
      <c r="M608">
        <v>32.487849976005798</v>
      </c>
      <c r="N608" s="7">
        <v>4.6570014238354904</v>
      </c>
      <c r="O608" s="7">
        <v>11.6980335873301</v>
      </c>
      <c r="P608" s="7">
        <v>34.653101865957503</v>
      </c>
      <c r="Q608" s="7">
        <v>1.019160211985324</v>
      </c>
      <c r="U608">
        <v>0.55733974511372164</v>
      </c>
      <c r="AT608" s="4" t="s">
        <v>4622</v>
      </c>
    </row>
    <row r="609" spans="1:46">
      <c r="A609" s="2">
        <v>1778</v>
      </c>
      <c r="B609" t="s">
        <v>4824</v>
      </c>
      <c r="C609" t="s">
        <v>2629</v>
      </c>
      <c r="D609" t="s">
        <v>3713</v>
      </c>
      <c r="E609" s="4">
        <v>43465</v>
      </c>
      <c r="F609" s="11">
        <v>-1.8220756600000001</v>
      </c>
      <c r="G609" s="11">
        <v>46.620847650000002</v>
      </c>
      <c r="H609" s="11">
        <v>16.255917841300001</v>
      </c>
      <c r="I609" s="11">
        <v>49.791200337799999</v>
      </c>
      <c r="J609" s="11">
        <v>9.7090598196000002</v>
      </c>
      <c r="K609" s="10">
        <v>0.29760199618099997</v>
      </c>
      <c r="L609" s="12">
        <v>5842708200</v>
      </c>
      <c r="M609">
        <v>89.466455533183805</v>
      </c>
      <c r="N609" s="7">
        <v>4.2991548409980203</v>
      </c>
      <c r="O609" s="7">
        <v>5.2730031744574797</v>
      </c>
      <c r="P609" s="7">
        <v>-7631.8549309881701</v>
      </c>
      <c r="Q609" s="7">
        <v>0.32578832560047272</v>
      </c>
      <c r="U609">
        <v>0.18360251419628221</v>
      </c>
      <c r="AT609" s="4" t="s">
        <v>4825</v>
      </c>
    </row>
    <row r="610" spans="1:46">
      <c r="A610" s="2">
        <v>2673</v>
      </c>
      <c r="B610" t="s">
        <v>4826</v>
      </c>
      <c r="C610" t="s">
        <v>531</v>
      </c>
      <c r="D610" t="s">
        <v>3785</v>
      </c>
      <c r="E610" s="4">
        <v>43465</v>
      </c>
      <c r="F610" s="11">
        <v>32.425580189999998</v>
      </c>
      <c r="G610" s="11">
        <v>46.557659209999997</v>
      </c>
      <c r="H610" s="11">
        <v>1.1348439108999999</v>
      </c>
      <c r="I610" s="11">
        <v>37.702291657099998</v>
      </c>
      <c r="J610" s="11">
        <v>5.8739283667000004</v>
      </c>
      <c r="K610" s="10">
        <v>0.817071935114</v>
      </c>
      <c r="L610" s="12">
        <v>18735970657.040001</v>
      </c>
      <c r="M610">
        <v>43.280142147559502</v>
      </c>
      <c r="N610" s="7">
        <v>2.8262751423387198</v>
      </c>
      <c r="O610" s="7">
        <v>1.77497651761255</v>
      </c>
      <c r="P610" s="7">
        <v>21.583375324265699</v>
      </c>
      <c r="Q610" s="7">
        <v>0.94693233379364739</v>
      </c>
      <c r="U610">
        <v>1.0527148904216801</v>
      </c>
      <c r="AT610" s="4" t="s">
        <v>4827</v>
      </c>
    </row>
    <row r="611" spans="1:46">
      <c r="A611" s="2">
        <v>2656</v>
      </c>
      <c r="B611" t="s">
        <v>4828</v>
      </c>
      <c r="C611" t="s">
        <v>3469</v>
      </c>
      <c r="D611" t="s">
        <v>3778</v>
      </c>
      <c r="E611" s="4">
        <v>43465</v>
      </c>
      <c r="F611" s="11">
        <v>22.127659229999999</v>
      </c>
      <c r="G611" s="11">
        <v>46.530612240000004</v>
      </c>
      <c r="H611" s="11">
        <v>7.7988890492999996</v>
      </c>
      <c r="I611" s="11">
        <v>9.2688239710999998</v>
      </c>
      <c r="J611" s="11">
        <v>0.72238507969999999</v>
      </c>
      <c r="K611" s="10">
        <v>0.377558854808</v>
      </c>
      <c r="L611" s="12">
        <v>16570563516.18</v>
      </c>
      <c r="M611">
        <v>-122.468885192179</v>
      </c>
      <c r="N611" s="7">
        <v>0.94688657524932296</v>
      </c>
      <c r="O611" s="7">
        <v>2.1544830075468102</v>
      </c>
      <c r="P611" s="7">
        <v>-4.26155681400334</v>
      </c>
      <c r="Q611" s="7">
        <v>0.71633237822349571</v>
      </c>
      <c r="U611">
        <v>1.804379256557289E-2</v>
      </c>
      <c r="AT611" s="4" t="s">
        <v>4829</v>
      </c>
    </row>
    <row r="612" spans="1:46">
      <c r="A612" s="2">
        <v>3256</v>
      </c>
      <c r="B612" t="s">
        <v>4830</v>
      </c>
      <c r="C612" t="s">
        <v>1045</v>
      </c>
      <c r="D612" t="s">
        <v>3858</v>
      </c>
      <c r="E612" s="4">
        <v>43465</v>
      </c>
      <c r="F612" s="11">
        <v>-36.714257609999997</v>
      </c>
      <c r="G612" s="11">
        <v>46.517626829999998</v>
      </c>
      <c r="H612" s="11">
        <v>5.1711186534999998</v>
      </c>
      <c r="I612" s="11">
        <v>31.672294833199999</v>
      </c>
      <c r="J612" s="11">
        <v>12.7970465618</v>
      </c>
      <c r="K612" s="10">
        <v>0.59618756396700001</v>
      </c>
      <c r="L612" s="12">
        <v>7542861875</v>
      </c>
      <c r="M612">
        <v>22.210204029067299</v>
      </c>
      <c r="N612" s="7">
        <v>2.72839219613858</v>
      </c>
      <c r="O612" s="7">
        <v>2.6362453982916101</v>
      </c>
      <c r="P612" s="7">
        <v>10.802231189900301</v>
      </c>
      <c r="Q612" s="7">
        <v>0.69164265129683</v>
      </c>
      <c r="U612">
        <v>0.57238403357391732</v>
      </c>
      <c r="AT612" s="4" t="s">
        <v>4831</v>
      </c>
    </row>
    <row r="613" spans="1:46">
      <c r="A613" s="2">
        <v>660</v>
      </c>
      <c r="B613" t="s">
        <v>4832</v>
      </c>
      <c r="C613" t="s">
        <v>3062</v>
      </c>
      <c r="D613" t="s">
        <v>3769</v>
      </c>
      <c r="E613" s="4">
        <v>43465</v>
      </c>
      <c r="F613" s="11">
        <v>-17.906423190000002</v>
      </c>
      <c r="G613" s="11">
        <v>46.516007530000003</v>
      </c>
      <c r="H613" s="11">
        <v>10.3310132283</v>
      </c>
      <c r="I613" s="11">
        <v>21.2641075447</v>
      </c>
      <c r="J613" s="11">
        <v>5.985163537</v>
      </c>
      <c r="K613" s="10">
        <v>0.462342957517</v>
      </c>
      <c r="L613" s="12">
        <v>10530632000</v>
      </c>
      <c r="M613">
        <v>129.68828659462901</v>
      </c>
      <c r="N613" s="7">
        <v>1.2560407266976401</v>
      </c>
      <c r="O613" s="7">
        <v>1.3188071989629899</v>
      </c>
      <c r="P613" s="7">
        <v>-32.357415677165797</v>
      </c>
      <c r="Q613" s="7">
        <v>1.4245014245014247</v>
      </c>
      <c r="U613">
        <v>0.14178302540925083</v>
      </c>
      <c r="AT613" s="4" t="s">
        <v>4833</v>
      </c>
    </row>
    <row r="614" spans="1:46">
      <c r="A614" s="2">
        <v>576</v>
      </c>
      <c r="B614" t="s">
        <v>4834</v>
      </c>
      <c r="C614" t="s">
        <v>1850</v>
      </c>
      <c r="D614" t="s">
        <v>3713</v>
      </c>
      <c r="E614" s="4">
        <v>43465</v>
      </c>
      <c r="F614" s="11">
        <v>29.149999170000001</v>
      </c>
      <c r="G614" s="11">
        <v>46.474820139999999</v>
      </c>
      <c r="H614" s="11">
        <v>16.1926177052</v>
      </c>
      <c r="I614" s="11">
        <v>26.7650206221</v>
      </c>
      <c r="J614" s="11">
        <v>9.4185713464000003</v>
      </c>
      <c r="K614" s="10">
        <v>0.56171587450299998</v>
      </c>
      <c r="L614" s="12">
        <v>6550775099.54</v>
      </c>
      <c r="M614">
        <v>55.942407718200201</v>
      </c>
      <c r="N614" s="7">
        <v>2.5796470703500001</v>
      </c>
      <c r="O614" s="7">
        <v>2.68094553858008</v>
      </c>
      <c r="P614" s="7">
        <v>-61.300665200275397</v>
      </c>
      <c r="Q614" s="7">
        <v>1.0905125408942202</v>
      </c>
      <c r="U614">
        <v>0.2588393960598156</v>
      </c>
      <c r="AT614" s="4" t="s">
        <v>3935</v>
      </c>
    </row>
    <row r="615" spans="1:46">
      <c r="A615" s="2">
        <v>3349</v>
      </c>
      <c r="B615" t="s">
        <v>4835</v>
      </c>
      <c r="C615" t="s">
        <v>2524</v>
      </c>
      <c r="D615" t="s">
        <v>3737</v>
      </c>
      <c r="E615" s="4">
        <v>43465</v>
      </c>
      <c r="F615" s="11">
        <v>-18.946434060000001</v>
      </c>
      <c r="G615" s="11">
        <v>46.354166669999998</v>
      </c>
      <c r="H615" s="11">
        <v>18.406199315399999</v>
      </c>
      <c r="I615" s="11">
        <v>35.168588481299999</v>
      </c>
      <c r="J615" s="11">
        <v>7.5678804803000004</v>
      </c>
      <c r="K615" s="10">
        <v>0.61507428550499998</v>
      </c>
      <c r="L615" s="12">
        <v>68900122545</v>
      </c>
      <c r="M615">
        <v>40.219779805290003</v>
      </c>
      <c r="N615" s="7">
        <v>3.0242105365163301</v>
      </c>
      <c r="O615" s="7">
        <v>2.8158786310542601</v>
      </c>
      <c r="P615" s="7">
        <v>-24.972160911455699</v>
      </c>
      <c r="Q615" s="7">
        <v>0.78740157480314954</v>
      </c>
      <c r="U615">
        <v>0.32701504719999996</v>
      </c>
      <c r="AT615" s="4" t="s">
        <v>4836</v>
      </c>
    </row>
    <row r="616" spans="1:46">
      <c r="A616" s="2">
        <v>2545</v>
      </c>
      <c r="B616" t="s">
        <v>4837</v>
      </c>
      <c r="C616" t="s">
        <v>3507</v>
      </c>
      <c r="D616" t="s">
        <v>3998</v>
      </c>
      <c r="E616" s="4">
        <v>43465</v>
      </c>
      <c r="F616" s="11">
        <v>4.5254535499999999</v>
      </c>
      <c r="G616" s="11">
        <v>46.268656720000003</v>
      </c>
      <c r="H616" s="11">
        <v>-6.9041812802999996</v>
      </c>
      <c r="I616" s="11">
        <v>36.2411704521</v>
      </c>
      <c r="J616" s="11">
        <v>11.4899413695</v>
      </c>
      <c r="K616" s="10">
        <v>0.57748620228000003</v>
      </c>
      <c r="L616" s="12">
        <v>32629598424</v>
      </c>
      <c r="M616">
        <v>10.620536454032999</v>
      </c>
      <c r="N616" s="7">
        <v>0.72762331507594002</v>
      </c>
      <c r="O616" s="7">
        <v>0.89322485571258103</v>
      </c>
      <c r="P616" s="7">
        <v>58.5191536608449</v>
      </c>
      <c r="Q616" s="7">
        <v>2.9791459781529297</v>
      </c>
      <c r="U616">
        <v>0.8956312212185108</v>
      </c>
      <c r="AT616" s="4" t="s">
        <v>4838</v>
      </c>
    </row>
    <row r="617" spans="1:46">
      <c r="A617" s="2">
        <v>1185</v>
      </c>
      <c r="B617" t="s">
        <v>4839</v>
      </c>
      <c r="C617" t="s">
        <v>2765</v>
      </c>
      <c r="D617" t="s">
        <v>3728</v>
      </c>
      <c r="E617" s="4">
        <v>43465</v>
      </c>
      <c r="F617" s="11">
        <v>17.242827370000001</v>
      </c>
      <c r="G617" s="11">
        <v>46.24505929</v>
      </c>
      <c r="H617" s="11">
        <v>-14.4810788367</v>
      </c>
      <c r="I617" s="11">
        <v>13.805088015200001</v>
      </c>
      <c r="J617" s="11">
        <v>6.4058217011999998</v>
      </c>
      <c r="K617" s="10">
        <v>0.64385863200500004</v>
      </c>
      <c r="L617" s="12">
        <v>6553358000</v>
      </c>
      <c r="M617">
        <v>41.546471328440198</v>
      </c>
      <c r="N617" s="7">
        <v>0.99017499167079703</v>
      </c>
      <c r="O617" s="7">
        <v>1.1473976988632499</v>
      </c>
      <c r="P617" s="7">
        <v>7.7074475823078599</v>
      </c>
      <c r="Q617" s="7">
        <v>5.4595086442220193</v>
      </c>
      <c r="U617">
        <v>0.38314151114953954</v>
      </c>
      <c r="AT617" s="4" t="s">
        <v>4091</v>
      </c>
    </row>
    <row r="618" spans="1:46">
      <c r="A618" s="2">
        <v>837</v>
      </c>
      <c r="B618" t="s">
        <v>4840</v>
      </c>
      <c r="C618" t="s">
        <v>738</v>
      </c>
      <c r="D618" t="s">
        <v>3752</v>
      </c>
      <c r="E618" s="4">
        <v>43465</v>
      </c>
      <c r="F618" s="11">
        <v>-3.5876802900000002</v>
      </c>
      <c r="G618" s="11">
        <v>46.208869810000003</v>
      </c>
      <c r="H618" s="11">
        <v>19.779254621</v>
      </c>
      <c r="I618" s="11">
        <v>26.7320594802</v>
      </c>
      <c r="J618" s="11">
        <v>13.078485128700001</v>
      </c>
      <c r="K618" s="10">
        <v>0.52673288210199998</v>
      </c>
      <c r="L618" s="12">
        <v>3284198195.2800002</v>
      </c>
      <c r="M618">
        <v>85.451038888520401</v>
      </c>
      <c r="N618" s="7">
        <v>2.5209746382954799</v>
      </c>
      <c r="O618" s="7">
        <v>1.92718536345219</v>
      </c>
      <c r="P618" s="7">
        <v>-34.675697364022703</v>
      </c>
      <c r="Q618" s="7">
        <v>1.476248040392774</v>
      </c>
      <c r="U618">
        <v>0.538548185511461</v>
      </c>
      <c r="AT618" s="4" t="s">
        <v>4841</v>
      </c>
    </row>
    <row r="619" spans="1:46">
      <c r="A619" s="2">
        <v>1614</v>
      </c>
      <c r="B619" t="s">
        <v>4842</v>
      </c>
      <c r="C619" t="s">
        <v>2315</v>
      </c>
      <c r="D619" t="s">
        <v>3781</v>
      </c>
      <c r="E619" s="4">
        <v>43465</v>
      </c>
      <c r="F619" s="11">
        <v>3.1428571399999998</v>
      </c>
      <c r="G619" s="11">
        <v>46.15384615</v>
      </c>
      <c r="H619" s="11">
        <v>-61.922733490100001</v>
      </c>
      <c r="I619" s="11">
        <v>7.8515723733999998</v>
      </c>
      <c r="J619" s="11">
        <v>9.9056534971999994</v>
      </c>
      <c r="K619" s="10">
        <v>8.6186193665999999E-2</v>
      </c>
      <c r="L619" s="12">
        <v>32151778110</v>
      </c>
      <c r="M619">
        <v>-46.346597585608798</v>
      </c>
      <c r="N619" s="7">
        <v>1.8094733501814899</v>
      </c>
      <c r="O619" s="7">
        <v>8.0567625513441694</v>
      </c>
      <c r="P619" s="7">
        <v>-27.8759683853552</v>
      </c>
      <c r="Q619" s="7" t="s">
        <v>3698</v>
      </c>
      <c r="U619">
        <v>1.9936797226562501E-2</v>
      </c>
      <c r="AT619" s="4" t="s">
        <v>4806</v>
      </c>
    </row>
    <row r="620" spans="1:46">
      <c r="A620" s="2">
        <v>207</v>
      </c>
      <c r="B620" t="s">
        <v>4843</v>
      </c>
      <c r="C620" t="s">
        <v>943</v>
      </c>
      <c r="D620" t="s">
        <v>3769</v>
      </c>
      <c r="E620" s="4">
        <v>43465</v>
      </c>
      <c r="F620" s="11">
        <v>24.70881864</v>
      </c>
      <c r="G620" s="11">
        <v>46.1</v>
      </c>
      <c r="H620" s="11">
        <v>80.026793405000006</v>
      </c>
      <c r="I620" s="11">
        <v>34.6229267545</v>
      </c>
      <c r="J620" s="11">
        <v>23.210908594300001</v>
      </c>
      <c r="K620" s="10">
        <v>0.69834631747099996</v>
      </c>
      <c r="L620" s="12">
        <v>2932000000</v>
      </c>
      <c r="M620">
        <v>20.301884393812699</v>
      </c>
      <c r="N620" s="7">
        <v>3.7974614354074099</v>
      </c>
      <c r="O620" s="7">
        <v>3.7921039043284899</v>
      </c>
      <c r="P620" s="7">
        <v>-23.5774959108128</v>
      </c>
      <c r="Q620" s="7" t="s">
        <v>3698</v>
      </c>
      <c r="U620">
        <v>0.59677337263907948</v>
      </c>
      <c r="AT620" s="4" t="s">
        <v>4844</v>
      </c>
    </row>
    <row r="621" spans="1:46">
      <c r="A621" s="2">
        <v>702</v>
      </c>
      <c r="B621" t="s">
        <v>4845</v>
      </c>
      <c r="C621" t="s">
        <v>710</v>
      </c>
      <c r="D621" t="s">
        <v>4060</v>
      </c>
      <c r="E621" s="4">
        <v>43465</v>
      </c>
      <c r="F621" s="11">
        <v>31.577181759999998</v>
      </c>
      <c r="G621" s="11">
        <v>45.966709350000002</v>
      </c>
      <c r="H621" s="11">
        <v>14.5558078832</v>
      </c>
      <c r="I621" s="11">
        <v>43.656329633399999</v>
      </c>
      <c r="J621" s="11">
        <v>24.167887308899999</v>
      </c>
      <c r="K621" s="10">
        <v>0.41329456708700002</v>
      </c>
      <c r="L621" s="12">
        <v>5336500428.7200003</v>
      </c>
      <c r="M621">
        <v>18.032454086470398</v>
      </c>
      <c r="N621" s="7">
        <v>2.1211060899628</v>
      </c>
      <c r="O621" s="7">
        <v>3.6227381623374701</v>
      </c>
      <c r="P621" s="7">
        <v>51.205283081279802</v>
      </c>
      <c r="Q621" s="7">
        <v>2.6929982046678633</v>
      </c>
      <c r="U621">
        <v>0.48520967504746626</v>
      </c>
      <c r="AT621" s="4" t="s">
        <v>4846</v>
      </c>
    </row>
    <row r="622" spans="1:46">
      <c r="A622" s="2">
        <v>2867</v>
      </c>
      <c r="B622" t="s">
        <v>4847</v>
      </c>
      <c r="C622" t="s">
        <v>1623</v>
      </c>
      <c r="D622" t="s">
        <v>3972</v>
      </c>
      <c r="E622" s="4">
        <v>43465</v>
      </c>
      <c r="F622" s="11">
        <v>-14.014232509999999</v>
      </c>
      <c r="G622" s="11">
        <v>45.945945950000002</v>
      </c>
      <c r="H622" s="11">
        <v>30.107786381299999</v>
      </c>
      <c r="I622" s="11">
        <v>11.3888535282</v>
      </c>
      <c r="J622" s="11">
        <v>3.3153247372000001</v>
      </c>
      <c r="K622" s="10">
        <v>0.42113545210300002</v>
      </c>
      <c r="L622" s="12">
        <v>3341028711.7199998</v>
      </c>
      <c r="M622">
        <v>-3565.8821694799599</v>
      </c>
      <c r="N622" s="7">
        <v>1.7637568562036501</v>
      </c>
      <c r="O622" s="7">
        <v>2.1387070756811402</v>
      </c>
      <c r="P622" s="7">
        <v>-17.488377014255899</v>
      </c>
      <c r="Q622" s="7">
        <v>0.32171581769437002</v>
      </c>
      <c r="U622">
        <v>2.929122559817381E-2</v>
      </c>
      <c r="AT622" s="4" t="s">
        <v>4848</v>
      </c>
    </row>
    <row r="623" spans="1:46">
      <c r="A623" s="2">
        <v>1168</v>
      </c>
      <c r="B623" t="s">
        <v>4849</v>
      </c>
      <c r="C623" t="s">
        <v>2079</v>
      </c>
      <c r="D623" t="s">
        <v>3790</v>
      </c>
      <c r="E623" s="4">
        <v>43465</v>
      </c>
      <c r="F623" s="11">
        <v>-18.75547765</v>
      </c>
      <c r="G623" s="11">
        <v>45.859872609999996</v>
      </c>
      <c r="H623" s="11">
        <v>21.174867882200001</v>
      </c>
      <c r="I623" s="11">
        <v>19.649658257500001</v>
      </c>
      <c r="J623" s="11">
        <v>-0.871691243</v>
      </c>
      <c r="K623" s="10">
        <v>0.35545129799399999</v>
      </c>
      <c r="L623" s="12">
        <v>8702065043.1000004</v>
      </c>
      <c r="M623">
        <v>-11.9605904611127</v>
      </c>
      <c r="N623" s="7">
        <v>1.8922327012556901</v>
      </c>
      <c r="O623" s="7">
        <v>3.2252385667498502</v>
      </c>
      <c r="P623" s="7">
        <v>-5.4341555349081796</v>
      </c>
      <c r="Q623" s="7">
        <v>2.923976608187134E-2</v>
      </c>
      <c r="U623">
        <v>2.4318962388297161E-2</v>
      </c>
      <c r="AT623" s="4" t="s">
        <v>4850</v>
      </c>
    </row>
    <row r="624" spans="1:46">
      <c r="A624" s="2">
        <v>1208</v>
      </c>
      <c r="B624" t="s">
        <v>4851</v>
      </c>
      <c r="C624" t="s">
        <v>1157</v>
      </c>
      <c r="D624" t="s">
        <v>3811</v>
      </c>
      <c r="E624" s="4">
        <v>43465</v>
      </c>
      <c r="F624" s="11">
        <v>19.7436455</v>
      </c>
      <c r="G624" s="11">
        <v>45.808966859999998</v>
      </c>
      <c r="H624" s="11">
        <v>4.0506646370999997</v>
      </c>
      <c r="I624" s="11">
        <v>29.363616667900001</v>
      </c>
      <c r="J624" s="11">
        <v>4.4586035166000002</v>
      </c>
      <c r="K624" s="10">
        <v>1.5864077124560001</v>
      </c>
      <c r="L624" s="12">
        <v>3696640000</v>
      </c>
      <c r="M624">
        <v>25.8682291275498</v>
      </c>
      <c r="N624" s="7">
        <v>2.6700909397486501</v>
      </c>
      <c r="O624" s="7">
        <v>0.97099322860059001</v>
      </c>
      <c r="P624" s="7">
        <v>8.7713113821706905</v>
      </c>
      <c r="Q624" s="7">
        <v>0.66750629722921906</v>
      </c>
      <c r="U624">
        <v>0.23728670444852942</v>
      </c>
      <c r="AT624" s="4" t="s">
        <v>4517</v>
      </c>
    </row>
    <row r="625" spans="1:46">
      <c r="A625" s="2">
        <v>1600</v>
      </c>
      <c r="B625" t="s">
        <v>4852</v>
      </c>
      <c r="C625" t="s">
        <v>3303</v>
      </c>
      <c r="D625" t="s">
        <v>3781</v>
      </c>
      <c r="E625" s="4">
        <v>43465</v>
      </c>
      <c r="F625" s="11">
        <v>-18.573737789999999</v>
      </c>
      <c r="G625" s="11">
        <v>45.783132530000003</v>
      </c>
      <c r="H625" s="11">
        <v>-8.1188759310999998</v>
      </c>
      <c r="I625" s="11">
        <v>13.832487431400001</v>
      </c>
      <c r="J625" s="11">
        <v>16.737065532500001</v>
      </c>
      <c r="K625" s="10">
        <v>0.30233778616500001</v>
      </c>
      <c r="L625" s="12" t="s">
        <v>3698</v>
      </c>
      <c r="M625">
        <v>-249.32821644791699</v>
      </c>
      <c r="N625" s="7">
        <v>2.7227190799524501</v>
      </c>
      <c r="O625" s="7">
        <v>6.0432326975571096</v>
      </c>
      <c r="P625" s="7">
        <v>24.639498919652802</v>
      </c>
      <c r="Q625" s="7">
        <v>0.16366612111292964</v>
      </c>
      <c r="U625">
        <v>0.12421553088360238</v>
      </c>
      <c r="AT625" s="4" t="s">
        <v>4795</v>
      </c>
    </row>
    <row r="626" spans="1:46">
      <c r="A626" s="2">
        <v>3490</v>
      </c>
      <c r="B626" t="s">
        <v>4853</v>
      </c>
      <c r="C626" t="s">
        <v>1251</v>
      </c>
      <c r="D626" t="s">
        <v>3721</v>
      </c>
      <c r="E626" s="4">
        <v>43465</v>
      </c>
      <c r="F626" s="11">
        <v>-16.388459619999999</v>
      </c>
      <c r="G626" s="11">
        <v>45.719720989999999</v>
      </c>
      <c r="H626" s="11">
        <v>7.2142143881000003</v>
      </c>
      <c r="I626" s="11">
        <v>35.073570996100003</v>
      </c>
      <c r="J626" s="11">
        <v>16.58489058</v>
      </c>
      <c r="K626" s="10">
        <v>0.57272005136699999</v>
      </c>
      <c r="L626" s="12">
        <v>16714171834.5</v>
      </c>
      <c r="M626">
        <v>26.116312961714399</v>
      </c>
      <c r="N626" s="7">
        <v>2.5880370426648698</v>
      </c>
      <c r="O626" s="7">
        <v>3.55454895764607</v>
      </c>
      <c r="P626" s="7">
        <v>1076.2181613903001</v>
      </c>
      <c r="Q626" s="7">
        <v>0.48355899419729209</v>
      </c>
      <c r="U626">
        <v>0.7360308730974795</v>
      </c>
      <c r="AT626" s="4" t="s">
        <v>4854</v>
      </c>
    </row>
    <row r="627" spans="1:46">
      <c r="A627" s="2">
        <v>1266</v>
      </c>
      <c r="B627" t="s">
        <v>4855</v>
      </c>
      <c r="C627" t="s">
        <v>1936</v>
      </c>
      <c r="D627" t="s">
        <v>3737</v>
      </c>
      <c r="E627" s="4">
        <v>43465</v>
      </c>
      <c r="F627" s="11">
        <v>5.0409809599999997</v>
      </c>
      <c r="G627" s="11">
        <v>45.606694560000001</v>
      </c>
      <c r="H627" s="11">
        <v>11.2184050325</v>
      </c>
      <c r="I627" s="11">
        <v>14.6719394985</v>
      </c>
      <c r="J627" s="11">
        <v>2.0400203993999999</v>
      </c>
      <c r="K627" s="10">
        <v>1.1177374311129999</v>
      </c>
      <c r="L627" s="12">
        <v>4630421239.7399998</v>
      </c>
      <c r="M627">
        <v>46.882194321538002</v>
      </c>
      <c r="N627" s="7">
        <v>2.5173897810599799</v>
      </c>
      <c r="O627" s="7">
        <v>1.0145541320803699</v>
      </c>
      <c r="P627" s="7">
        <v>6.41589066255339</v>
      </c>
      <c r="Q627" s="7">
        <v>0.77696157298542068</v>
      </c>
      <c r="U627">
        <v>0.16458439945566178</v>
      </c>
      <c r="AT627" s="4" t="s">
        <v>3803</v>
      </c>
    </row>
    <row r="628" spans="1:46">
      <c r="A628" s="2">
        <v>3559</v>
      </c>
      <c r="B628" t="s">
        <v>4856</v>
      </c>
      <c r="C628" t="s">
        <v>2066</v>
      </c>
      <c r="D628" t="s">
        <v>4060</v>
      </c>
      <c r="E628" s="4">
        <v>43465</v>
      </c>
      <c r="F628" s="11">
        <v>0.63177274000000005</v>
      </c>
      <c r="G628" s="11">
        <v>45.383843450000001</v>
      </c>
      <c r="H628" s="11">
        <v>18.5290990803</v>
      </c>
      <c r="I628" s="11">
        <v>38.375203882199997</v>
      </c>
      <c r="J628" s="11">
        <v>13.657186036800001</v>
      </c>
      <c r="K628" s="10">
        <v>1.1071580796789999</v>
      </c>
      <c r="L628" s="12">
        <v>6258671758.4399996</v>
      </c>
      <c r="M628">
        <v>23.204058749805199</v>
      </c>
      <c r="N628" s="7">
        <v>4.4313250961140103</v>
      </c>
      <c r="O628" s="7">
        <v>3.0449073486627798</v>
      </c>
      <c r="P628" s="7">
        <v>-34.698873588649398</v>
      </c>
      <c r="Q628" s="7">
        <v>0.75761431698930259</v>
      </c>
      <c r="U628">
        <v>3.7399957414930736</v>
      </c>
      <c r="AT628" s="4" t="s">
        <v>4857</v>
      </c>
    </row>
    <row r="629" spans="1:46">
      <c r="A629" s="2">
        <v>1480</v>
      </c>
      <c r="B629" t="s">
        <v>4858</v>
      </c>
      <c r="C629" t="s">
        <v>1911</v>
      </c>
      <c r="D629" t="s">
        <v>3752</v>
      </c>
      <c r="E629" s="4">
        <v>43465</v>
      </c>
      <c r="F629" s="11">
        <v>-12.9276333</v>
      </c>
      <c r="G629" s="11">
        <v>45.368916800000001</v>
      </c>
      <c r="H629" s="11">
        <v>-21.328971875299999</v>
      </c>
      <c r="I629" s="11">
        <v>38.872689853300002</v>
      </c>
      <c r="J629" s="11">
        <v>20.280496639399999</v>
      </c>
      <c r="K629" s="10">
        <v>0.33978505192899999</v>
      </c>
      <c r="L629" s="12">
        <v>10268000000</v>
      </c>
      <c r="M629">
        <v>21.171346572241902</v>
      </c>
      <c r="N629" s="7">
        <v>2.1758418333544398</v>
      </c>
      <c r="O629" s="7">
        <v>4.2394858936654298</v>
      </c>
      <c r="P629" s="7">
        <v>-21.303214442886201</v>
      </c>
      <c r="Q629" s="7">
        <v>0.24937655860349131</v>
      </c>
      <c r="U629">
        <v>0.30530091199071624</v>
      </c>
      <c r="AT629" s="4" t="s">
        <v>4648</v>
      </c>
    </row>
    <row r="630" spans="1:46">
      <c r="A630" s="2">
        <v>3247</v>
      </c>
      <c r="B630" t="s">
        <v>4859</v>
      </c>
      <c r="C630" t="s">
        <v>2365</v>
      </c>
      <c r="D630" t="s">
        <v>3761</v>
      </c>
      <c r="E630" s="4">
        <v>43465</v>
      </c>
      <c r="F630" s="11">
        <v>-47.63227156</v>
      </c>
      <c r="G630" s="11">
        <v>45.324881140000002</v>
      </c>
      <c r="H630" s="11">
        <v>34.534773159399997</v>
      </c>
      <c r="I630" s="11">
        <v>44.951731470799999</v>
      </c>
      <c r="J630" s="11">
        <v>8.8910298247000004</v>
      </c>
      <c r="K630" s="10">
        <v>0.36479663478500002</v>
      </c>
      <c r="L630" s="12">
        <v>2848340000</v>
      </c>
      <c r="M630">
        <v>51.074399690085102</v>
      </c>
      <c r="N630" s="7">
        <v>1.3216259753159501</v>
      </c>
      <c r="O630" s="7">
        <v>3.8142852110681398</v>
      </c>
      <c r="P630" s="7">
        <v>-16.385271334672399</v>
      </c>
      <c r="Q630" s="7">
        <v>0.18359853121175032</v>
      </c>
      <c r="U630">
        <v>0.12791045811904761</v>
      </c>
      <c r="AT630" s="4" t="s">
        <v>4860</v>
      </c>
    </row>
    <row r="631" spans="1:46">
      <c r="A631" s="2">
        <v>2487</v>
      </c>
      <c r="B631" t="s">
        <v>4861</v>
      </c>
      <c r="C631" t="s">
        <v>341</v>
      </c>
      <c r="D631" t="s">
        <v>3972</v>
      </c>
      <c r="E631" s="4">
        <v>43465</v>
      </c>
      <c r="F631" s="11">
        <v>22.236068809999999</v>
      </c>
      <c r="G631" s="11">
        <v>45.276872959999999</v>
      </c>
      <c r="H631" s="11">
        <v>1.5163592004999999</v>
      </c>
      <c r="I631" s="11">
        <v>50.698546749800002</v>
      </c>
      <c r="J631" s="11">
        <v>22.280322304999999</v>
      </c>
      <c r="K631" s="10">
        <v>0.17086502673100001</v>
      </c>
      <c r="L631" s="12">
        <v>10384156893</v>
      </c>
      <c r="M631">
        <v>11.583101972659099</v>
      </c>
      <c r="N631" s="7">
        <v>0.96780118997070297</v>
      </c>
      <c r="O631" s="7">
        <v>1.8636941874797599</v>
      </c>
      <c r="P631" s="7">
        <v>-38.195661408229398</v>
      </c>
      <c r="Q631" s="7">
        <v>2.6573426573426571</v>
      </c>
      <c r="U631">
        <v>0.37679388955539245</v>
      </c>
      <c r="AT631" s="4" t="s">
        <v>4862</v>
      </c>
    </row>
    <row r="632" spans="1:46">
      <c r="A632" s="2">
        <v>543</v>
      </c>
      <c r="B632" t="s">
        <v>4863</v>
      </c>
      <c r="C632" t="s">
        <v>124</v>
      </c>
      <c r="D632" t="s">
        <v>3977</v>
      </c>
      <c r="E632" s="4">
        <v>43465</v>
      </c>
      <c r="F632" s="11">
        <v>98.158083669999996</v>
      </c>
      <c r="G632" s="11">
        <v>45.276190479999997</v>
      </c>
      <c r="H632" s="11">
        <v>22.754964515200001</v>
      </c>
      <c r="I632" s="11">
        <v>30.862383685299999</v>
      </c>
      <c r="J632" s="11">
        <v>9.3482520811000001</v>
      </c>
      <c r="K632" s="10">
        <v>1.802717444038</v>
      </c>
      <c r="L632" s="12">
        <v>42587810145.639999</v>
      </c>
      <c r="M632">
        <v>31.150186377274402</v>
      </c>
      <c r="N632" s="7">
        <v>7.2986024886395304</v>
      </c>
      <c r="O632" s="7">
        <v>2.5601244402712702</v>
      </c>
      <c r="P632" s="7">
        <v>-95.202524868279994</v>
      </c>
      <c r="Q632" s="7">
        <v>1.4208274312567926</v>
      </c>
      <c r="T632" s="2"/>
      <c r="U632">
        <v>2.0333463883253402</v>
      </c>
      <c r="AT632" s="4" t="s">
        <v>4864</v>
      </c>
    </row>
    <row r="633" spans="1:46">
      <c r="A633" s="2">
        <v>3600</v>
      </c>
      <c r="B633" t="s">
        <v>4865</v>
      </c>
      <c r="C633" t="s">
        <v>1690</v>
      </c>
      <c r="D633" t="s">
        <v>3752</v>
      </c>
      <c r="E633" s="4">
        <v>43465</v>
      </c>
      <c r="F633" s="11">
        <v>1.35359242</v>
      </c>
      <c r="G633" s="11">
        <v>45.259391770000001</v>
      </c>
      <c r="H633" s="11">
        <v>37.882703875899999</v>
      </c>
      <c r="I633" s="11">
        <v>37.382700660099999</v>
      </c>
      <c r="J633" s="11">
        <v>11.6435926041</v>
      </c>
      <c r="K633" s="10">
        <v>0.73900948180600001</v>
      </c>
      <c r="L633" s="12">
        <v>2238028647.75</v>
      </c>
      <c r="M633">
        <v>29.089181544426602</v>
      </c>
      <c r="N633" s="7">
        <v>1.65851168885691</v>
      </c>
      <c r="O633" s="7">
        <v>1.6463224015778699</v>
      </c>
      <c r="P633" s="7">
        <v>43.6083152071581</v>
      </c>
      <c r="Q633" s="7">
        <v>1.6820124750792727</v>
      </c>
      <c r="U633">
        <v>0.86772475846238395</v>
      </c>
      <c r="AT633" s="4" t="s">
        <v>4866</v>
      </c>
    </row>
    <row r="634" spans="1:46">
      <c r="A634" s="2">
        <v>1148</v>
      </c>
      <c r="B634" t="s">
        <v>4867</v>
      </c>
      <c r="C634" t="s">
        <v>1466</v>
      </c>
      <c r="D634" t="s">
        <v>3752</v>
      </c>
      <c r="E634" s="4">
        <v>43465</v>
      </c>
      <c r="F634" s="11">
        <v>-2.0715753299999999</v>
      </c>
      <c r="G634" s="11">
        <v>45.23809524</v>
      </c>
      <c r="H634" s="11">
        <v>2.2550836421999998</v>
      </c>
      <c r="I634" s="11">
        <v>13.3539371658</v>
      </c>
      <c r="J634" s="11">
        <v>2.9514696543999999</v>
      </c>
      <c r="K634" s="10">
        <v>1.055887984573</v>
      </c>
      <c r="L634" s="12">
        <v>49159909305</v>
      </c>
      <c r="M634">
        <v>24.694564003286899</v>
      </c>
      <c r="N634" s="7">
        <v>1.50615791375015</v>
      </c>
      <c r="O634" s="7">
        <v>0.462967067064321</v>
      </c>
      <c r="P634" s="7">
        <v>-93.899625826187602</v>
      </c>
      <c r="Q634" s="7">
        <v>1.1243790225525816</v>
      </c>
      <c r="U634">
        <v>0.42053458306765851</v>
      </c>
      <c r="AT634" s="4" t="s">
        <v>4711</v>
      </c>
    </row>
    <row r="635" spans="1:46">
      <c r="A635" s="2">
        <v>129</v>
      </c>
      <c r="B635" t="s">
        <v>4868</v>
      </c>
      <c r="C635" t="s">
        <v>377</v>
      </c>
      <c r="D635" t="s">
        <v>3972</v>
      </c>
      <c r="E635" s="4">
        <v>43465</v>
      </c>
      <c r="F635" s="11">
        <v>4.9751243799999996</v>
      </c>
      <c r="G635" s="11">
        <v>45.138888889999997</v>
      </c>
      <c r="H635" s="11">
        <v>0.97398269920000002</v>
      </c>
      <c r="I635" s="11">
        <v>19.267425820700002</v>
      </c>
      <c r="J635" s="11">
        <v>7.2828083790999996</v>
      </c>
      <c r="K635" s="10">
        <v>1.4616023782909999</v>
      </c>
      <c r="L635" s="12">
        <v>9716535684.8999996</v>
      </c>
      <c r="M635">
        <v>39.896230879554501</v>
      </c>
      <c r="N635" s="7">
        <v>7.7131946816682397</v>
      </c>
      <c r="O635" s="7">
        <v>3.3138376551661302</v>
      </c>
      <c r="P635" s="7">
        <v>-69.887439403850394</v>
      </c>
      <c r="Q635" s="7" t="s">
        <v>3698</v>
      </c>
      <c r="U635">
        <v>6.0484039520238966E-2</v>
      </c>
      <c r="AT635" s="4" t="s">
        <v>4869</v>
      </c>
    </row>
    <row r="636" spans="1:46">
      <c r="A636" s="2">
        <v>2812</v>
      </c>
      <c r="B636" t="s">
        <v>4870</v>
      </c>
      <c r="C636" t="s">
        <v>2502</v>
      </c>
      <c r="D636" t="s">
        <v>3811</v>
      </c>
      <c r="E636" s="4">
        <v>43465</v>
      </c>
      <c r="F636" s="11">
        <v>-12.41912584</v>
      </c>
      <c r="G636" s="11">
        <v>45.124282979999997</v>
      </c>
      <c r="H636" s="11">
        <v>37.691211813300001</v>
      </c>
      <c r="I636" s="11">
        <v>11.9982620592</v>
      </c>
      <c r="J636" s="11">
        <v>4.434286588</v>
      </c>
      <c r="K636" s="10">
        <v>0.54065863868999997</v>
      </c>
      <c r="L636" s="12">
        <v>4024512600</v>
      </c>
      <c r="M636">
        <v>18.341316445804701</v>
      </c>
      <c r="N636" s="7">
        <v>0.79268821426871805</v>
      </c>
      <c r="O636" s="7">
        <v>0.87096374859004499</v>
      </c>
      <c r="P636" s="7">
        <v>131.41602043163999</v>
      </c>
      <c r="Q636" s="7" t="s">
        <v>3698</v>
      </c>
      <c r="U636">
        <v>0.49801915347060832</v>
      </c>
      <c r="AT636" s="4" t="s">
        <v>4871</v>
      </c>
    </row>
    <row r="637" spans="1:46">
      <c r="A637" s="2">
        <v>525</v>
      </c>
      <c r="B637" t="s">
        <v>4872</v>
      </c>
      <c r="C637" t="s">
        <v>1110</v>
      </c>
      <c r="D637" t="s">
        <v>4060</v>
      </c>
      <c r="E637" s="4">
        <v>43465</v>
      </c>
      <c r="F637" s="11">
        <v>32.12239537</v>
      </c>
      <c r="G637" s="11">
        <v>45.12195122</v>
      </c>
      <c r="H637" s="11">
        <v>16.134750777000001</v>
      </c>
      <c r="I637" s="11">
        <v>21.951567105300001</v>
      </c>
      <c r="J637" s="11">
        <v>9.8866923701000005</v>
      </c>
      <c r="K637" s="10">
        <v>0.94458932288300002</v>
      </c>
      <c r="L637" s="12">
        <v>5087856947.3599997</v>
      </c>
      <c r="M637">
        <v>16.559620504201899</v>
      </c>
      <c r="N637" s="7">
        <v>1.79700251103065</v>
      </c>
      <c r="O637" s="7">
        <v>1.4798707290736199</v>
      </c>
      <c r="P637" s="7">
        <v>18.881893739073799</v>
      </c>
      <c r="Q637" s="7">
        <v>4.3050430504305037</v>
      </c>
      <c r="U637">
        <v>0.44741242890099098</v>
      </c>
      <c r="AT637" s="4" t="s">
        <v>4873</v>
      </c>
    </row>
    <row r="638" spans="1:46">
      <c r="A638" s="2">
        <v>810</v>
      </c>
      <c r="B638" t="s">
        <v>4874</v>
      </c>
      <c r="C638" t="s">
        <v>1364</v>
      </c>
      <c r="D638" t="s">
        <v>3781</v>
      </c>
      <c r="E638" s="4">
        <v>43465</v>
      </c>
      <c r="F638" s="11">
        <v>73.248248480000001</v>
      </c>
      <c r="G638" s="11">
        <v>45.102781139999998</v>
      </c>
      <c r="H638" s="11">
        <v>13.667308805899999</v>
      </c>
      <c r="I638" s="11">
        <v>20.526086102600001</v>
      </c>
      <c r="J638" s="11">
        <v>13.433800904</v>
      </c>
      <c r="K638" s="10">
        <v>0.82900860250499997</v>
      </c>
      <c r="L638" s="12">
        <v>63045586689.800003</v>
      </c>
      <c r="M638">
        <v>24.9647596791403</v>
      </c>
      <c r="N638" s="7">
        <v>2.6439453190735498</v>
      </c>
      <c r="O638" s="7">
        <v>1.89065179501823</v>
      </c>
      <c r="P638" s="7">
        <v>338.265756339218</v>
      </c>
      <c r="Q638" s="7">
        <v>4.2087542087542094</v>
      </c>
      <c r="U638">
        <v>1.2146097933703948</v>
      </c>
      <c r="AT638" s="4" t="s">
        <v>4875</v>
      </c>
    </row>
    <row r="639" spans="1:46">
      <c r="A639" s="2">
        <v>638</v>
      </c>
      <c r="B639" t="s">
        <v>4876</v>
      </c>
      <c r="C639" t="s">
        <v>846</v>
      </c>
      <c r="D639" t="s">
        <v>3889</v>
      </c>
      <c r="E639" s="4">
        <v>43465</v>
      </c>
      <c r="F639" s="11">
        <v>34.719535710000002</v>
      </c>
      <c r="G639" s="11">
        <v>45.079787230000001</v>
      </c>
      <c r="H639" s="11">
        <v>240.12018284870001</v>
      </c>
      <c r="I639" s="11">
        <v>34.469619790300001</v>
      </c>
      <c r="J639" s="11">
        <v>26.4633684376</v>
      </c>
      <c r="K639" s="10">
        <v>0.80118301302100003</v>
      </c>
      <c r="L639" s="12">
        <v>5243096800</v>
      </c>
      <c r="M639">
        <v>26.251479149717699</v>
      </c>
      <c r="N639" s="7">
        <v>6.4801132781431603</v>
      </c>
      <c r="O639" s="7">
        <v>7.02150221996492</v>
      </c>
      <c r="P639" s="7">
        <v>-60.8982364356198</v>
      </c>
      <c r="Q639" s="7" t="s">
        <v>3698</v>
      </c>
      <c r="U639">
        <v>0.36110755007135098</v>
      </c>
      <c r="AT639" s="4" t="s">
        <v>4877</v>
      </c>
    </row>
    <row r="640" spans="1:46">
      <c r="A640" s="2">
        <v>3040</v>
      </c>
      <c r="B640" t="s">
        <v>4878</v>
      </c>
      <c r="C640" t="s">
        <v>2242</v>
      </c>
      <c r="D640" t="s">
        <v>3718</v>
      </c>
      <c r="E640" s="4">
        <v>43465</v>
      </c>
      <c r="F640" s="11">
        <v>-16.98564593</v>
      </c>
      <c r="G640" s="11">
        <v>45.0617284</v>
      </c>
      <c r="H640" s="11">
        <v>-23.247538935000001</v>
      </c>
      <c r="I640" s="11">
        <v>7.9872390143000001</v>
      </c>
      <c r="J640" s="11">
        <v>-24.634047140900002</v>
      </c>
      <c r="K640" s="10">
        <v>0.41709357089400001</v>
      </c>
      <c r="L640" s="12">
        <v>4459274000</v>
      </c>
      <c r="M640">
        <v>-8.4100050262753001</v>
      </c>
      <c r="N640" s="7">
        <v>1.1956908798488499</v>
      </c>
      <c r="O640" s="7">
        <v>0.77645894088796996</v>
      </c>
      <c r="P640" s="7">
        <v>-5.3120953558270099</v>
      </c>
      <c r="Q640" s="7" t="s">
        <v>3698</v>
      </c>
      <c r="U640">
        <v>-1.3187693603692245</v>
      </c>
      <c r="AT640" s="4" t="s">
        <v>4879</v>
      </c>
    </row>
    <row r="641" spans="1:46">
      <c r="A641" s="2">
        <v>1284</v>
      </c>
      <c r="B641" t="s">
        <v>4880</v>
      </c>
      <c r="C641" t="s">
        <v>1979</v>
      </c>
      <c r="D641" t="s">
        <v>3713</v>
      </c>
      <c r="E641" s="4">
        <v>43465</v>
      </c>
      <c r="F641" s="11">
        <v>42.156602210000003</v>
      </c>
      <c r="G641" s="11">
        <v>45.038167940000001</v>
      </c>
      <c r="H641" s="11">
        <v>25.1562480927</v>
      </c>
      <c r="I641" s="11">
        <v>42.6955294491</v>
      </c>
      <c r="J641" s="11">
        <v>15.329457062199999</v>
      </c>
      <c r="K641" s="10">
        <v>0.531069841175</v>
      </c>
      <c r="L641" s="12">
        <v>4270992180.0999999</v>
      </c>
      <c r="M641">
        <v>42.951717340348701</v>
      </c>
      <c r="N641" s="7">
        <v>4.1317746368697303</v>
      </c>
      <c r="O641" s="7">
        <v>5.3569821069605696</v>
      </c>
      <c r="P641" s="7">
        <v>19.661059687013399</v>
      </c>
      <c r="Q641" s="7">
        <v>0.60455106199970721</v>
      </c>
      <c r="U641">
        <v>0.68793549612951377</v>
      </c>
      <c r="AT641" s="4" t="s">
        <v>4474</v>
      </c>
    </row>
    <row r="642" spans="1:46">
      <c r="A642" s="2">
        <v>2138</v>
      </c>
      <c r="B642" t="s">
        <v>4881</v>
      </c>
      <c r="C642" t="s">
        <v>633</v>
      </c>
      <c r="D642" t="s">
        <v>3737</v>
      </c>
      <c r="E642" s="4">
        <v>43465</v>
      </c>
      <c r="F642" s="11">
        <v>7.7479503899999997</v>
      </c>
      <c r="G642" s="11">
        <v>44.923192210000003</v>
      </c>
      <c r="H642" s="11">
        <v>3.574584046</v>
      </c>
      <c r="I642" s="11">
        <v>72.475855956700002</v>
      </c>
      <c r="J642" s="11">
        <v>14.528022851899999</v>
      </c>
      <c r="K642" s="10">
        <v>0.87626723311200005</v>
      </c>
      <c r="L642" s="12">
        <v>23297480497.68</v>
      </c>
      <c r="M642">
        <v>26.246831770078099</v>
      </c>
      <c r="N642" s="7">
        <v>3.3198069650158999</v>
      </c>
      <c r="O642" s="7">
        <v>3.0229165517707401</v>
      </c>
      <c r="P642" s="7">
        <v>11.4426480510636</v>
      </c>
      <c r="Q642" s="7">
        <v>0.6300136453001538</v>
      </c>
      <c r="U642">
        <v>1.2895465321946356</v>
      </c>
      <c r="AT642" s="4" t="s">
        <v>4882</v>
      </c>
    </row>
    <row r="643" spans="1:46">
      <c r="A643" s="2">
        <v>3063</v>
      </c>
      <c r="B643" t="s">
        <v>4883</v>
      </c>
      <c r="C643" t="s">
        <v>919</v>
      </c>
      <c r="D643" t="s">
        <v>3764</v>
      </c>
      <c r="E643" s="4">
        <v>43465</v>
      </c>
      <c r="F643" s="11">
        <v>31.711399199999999</v>
      </c>
      <c r="G643" s="11">
        <v>44.87895717</v>
      </c>
      <c r="H643" s="11">
        <v>15.2151748271</v>
      </c>
      <c r="I643" s="11">
        <v>20.9549028526</v>
      </c>
      <c r="J643" s="11">
        <v>8.4350864149000007</v>
      </c>
      <c r="K643" s="10">
        <v>0.66199557470299997</v>
      </c>
      <c r="L643" s="12">
        <v>4895154557.2799997</v>
      </c>
      <c r="M643">
        <v>17.240049058509101</v>
      </c>
      <c r="N643" s="7">
        <v>1.8045979026373</v>
      </c>
      <c r="O643" s="7">
        <v>1.2160749617548301</v>
      </c>
      <c r="P643" s="7">
        <v>72.194484397943896</v>
      </c>
      <c r="Q643" s="7">
        <v>2.1429184393336875</v>
      </c>
      <c r="U643">
        <v>0.35832407682149608</v>
      </c>
      <c r="AT643" s="4" t="s">
        <v>3791</v>
      </c>
    </row>
    <row r="644" spans="1:46">
      <c r="A644" s="2">
        <v>1764</v>
      </c>
      <c r="B644" t="s">
        <v>4884</v>
      </c>
      <c r="C644" t="s">
        <v>2168</v>
      </c>
      <c r="D644" t="s">
        <v>3713</v>
      </c>
      <c r="E644" s="4">
        <v>43465</v>
      </c>
      <c r="F644" s="11">
        <v>33.349200789999998</v>
      </c>
      <c r="G644" s="11">
        <v>44.846491229999998</v>
      </c>
      <c r="H644" s="11">
        <v>26.411057767100001</v>
      </c>
      <c r="I644" s="11">
        <v>40.972765322199997</v>
      </c>
      <c r="J644" s="11">
        <v>15.110590417099999</v>
      </c>
      <c r="K644" s="10">
        <v>0.34532449682400002</v>
      </c>
      <c r="L644" s="12">
        <v>29846690849.360001</v>
      </c>
      <c r="M644">
        <v>25.600248277206301</v>
      </c>
      <c r="N644" s="7">
        <v>3.6540660763639901</v>
      </c>
      <c r="O644" s="7">
        <v>3.5335539158210101</v>
      </c>
      <c r="P644" s="7">
        <v>21.5548334672038</v>
      </c>
      <c r="Q644" s="7" t="s">
        <v>3698</v>
      </c>
      <c r="U644">
        <v>0.39474339385593571</v>
      </c>
      <c r="AT644" s="4" t="s">
        <v>4885</v>
      </c>
    </row>
    <row r="645" spans="1:46">
      <c r="A645" s="2">
        <v>2674</v>
      </c>
      <c r="B645" t="s">
        <v>4886</v>
      </c>
      <c r="C645" t="s">
        <v>3543</v>
      </c>
      <c r="D645" t="s">
        <v>3713</v>
      </c>
      <c r="E645" s="4">
        <v>43465</v>
      </c>
      <c r="F645" s="11">
        <v>0.86764459999999999</v>
      </c>
      <c r="G645" s="11">
        <v>44.841269840000002</v>
      </c>
      <c r="H645" s="11">
        <v>11.811590346299999</v>
      </c>
      <c r="I645" s="11">
        <v>16.723321248000001</v>
      </c>
      <c r="J645" s="11">
        <v>0.98614738589999995</v>
      </c>
      <c r="K645" s="10">
        <v>0.51446131457499999</v>
      </c>
      <c r="L645" s="12">
        <v>26782636096.73</v>
      </c>
      <c r="M645">
        <v>-5.9183868604727401</v>
      </c>
      <c r="N645" s="7">
        <v>1.75805647985858</v>
      </c>
      <c r="O645" s="7">
        <v>1.09138083066206</v>
      </c>
      <c r="P645" s="7">
        <v>12.857611692298001</v>
      </c>
      <c r="Q645" s="7">
        <v>0.3048780487804878</v>
      </c>
      <c r="U645">
        <v>2.5095891787081034E-2</v>
      </c>
      <c r="AT645" s="4" t="s">
        <v>4387</v>
      </c>
    </row>
    <row r="646" spans="1:46">
      <c r="A646" s="2">
        <v>1319</v>
      </c>
      <c r="B646" t="s">
        <v>4887</v>
      </c>
      <c r="C646" t="s">
        <v>3317</v>
      </c>
      <c r="D646" t="s">
        <v>3718</v>
      </c>
      <c r="E646" s="4">
        <v>43465</v>
      </c>
      <c r="F646" s="11">
        <v>1.2009504600000001</v>
      </c>
      <c r="G646" s="11">
        <v>44.763175449999999</v>
      </c>
      <c r="H646" s="11">
        <v>-0.86486058960000001</v>
      </c>
      <c r="I646" s="11">
        <v>29.419815241599999</v>
      </c>
      <c r="J646" s="11">
        <v>1.8666128662999999</v>
      </c>
      <c r="K646" s="10">
        <v>0.50313119931399997</v>
      </c>
      <c r="L646" s="12">
        <v>6841799000</v>
      </c>
      <c r="M646">
        <v>154.53854186749601</v>
      </c>
      <c r="N646" s="7">
        <v>2.8426362240722201</v>
      </c>
      <c r="O646" s="7">
        <v>4.67593308195754</v>
      </c>
      <c r="P646" s="7">
        <v>40.814498988363397</v>
      </c>
      <c r="Q646" s="7">
        <v>4.7147571900047147E-2</v>
      </c>
      <c r="U646">
        <v>6.4333542800000004E-2</v>
      </c>
      <c r="AT646" s="4" t="s">
        <v>4888</v>
      </c>
    </row>
    <row r="647" spans="1:46">
      <c r="A647" s="2">
        <v>828</v>
      </c>
      <c r="B647" t="s">
        <v>4889</v>
      </c>
      <c r="C647" t="s">
        <v>706</v>
      </c>
      <c r="D647" t="s">
        <v>3737</v>
      </c>
      <c r="E647" s="4">
        <v>43465</v>
      </c>
      <c r="F647" s="11">
        <v>4.0406214599999997</v>
      </c>
      <c r="G647" s="11">
        <v>44.670658680000003</v>
      </c>
      <c r="H647" s="11">
        <v>20.225250258500001</v>
      </c>
      <c r="I647" s="11">
        <v>61.721712755399999</v>
      </c>
      <c r="J647" s="11">
        <v>18.229918445300001</v>
      </c>
      <c r="K647" s="10">
        <v>0.46760507697699999</v>
      </c>
      <c r="L647" s="12">
        <v>8164620791.6000004</v>
      </c>
      <c r="M647">
        <v>17.404558428485402</v>
      </c>
      <c r="N647" s="7">
        <v>2.66503934504256</v>
      </c>
      <c r="O647" s="7">
        <v>2.9488987138610501</v>
      </c>
      <c r="P647" s="7">
        <v>15.4551325810433</v>
      </c>
      <c r="Q647" s="7">
        <v>2.0304568527918785</v>
      </c>
      <c r="U647">
        <v>0.53489151040779759</v>
      </c>
      <c r="AT647" s="4" t="s">
        <v>4745</v>
      </c>
    </row>
    <row r="648" spans="1:46">
      <c r="A648" s="2">
        <v>2455</v>
      </c>
      <c r="B648" t="s">
        <v>4890</v>
      </c>
      <c r="C648" t="s">
        <v>1243</v>
      </c>
      <c r="D648" t="s">
        <v>3769</v>
      </c>
      <c r="E648" s="4">
        <v>43465</v>
      </c>
      <c r="F648" s="11">
        <v>-11.62797028</v>
      </c>
      <c r="G648" s="11">
        <v>44.646098000000002</v>
      </c>
      <c r="H648" s="11">
        <v>19.7698450617</v>
      </c>
      <c r="I648" s="11">
        <v>29.075908994900001</v>
      </c>
      <c r="J648" s="11">
        <v>11.127860550899999</v>
      </c>
      <c r="K648" s="10">
        <v>0.458138770862</v>
      </c>
      <c r="L648" s="12">
        <v>6181437808</v>
      </c>
      <c r="M648">
        <v>30.842048268070101</v>
      </c>
      <c r="N648" s="7">
        <v>1.4727470078945499</v>
      </c>
      <c r="O648" s="7">
        <v>2.1784769425364598</v>
      </c>
      <c r="P648" s="7">
        <v>32.6339931388653</v>
      </c>
      <c r="Q648" s="7">
        <v>0.85034013605442182</v>
      </c>
      <c r="U648">
        <v>0.28452360024461204</v>
      </c>
      <c r="AT648" s="4" t="s">
        <v>4891</v>
      </c>
    </row>
    <row r="649" spans="1:46">
      <c r="A649" s="2">
        <v>2340</v>
      </c>
      <c r="B649" t="s">
        <v>4892</v>
      </c>
      <c r="C649" t="s">
        <v>1719</v>
      </c>
      <c r="D649" t="s">
        <v>3721</v>
      </c>
      <c r="E649" s="4">
        <v>43465</v>
      </c>
      <c r="F649" s="11">
        <v>-27.927927929999999</v>
      </c>
      <c r="G649" s="11">
        <v>44.597701149999999</v>
      </c>
      <c r="H649" s="11">
        <v>33.964609721499997</v>
      </c>
      <c r="I649" s="11">
        <v>6.8234863739999998</v>
      </c>
      <c r="J649" s="11">
        <v>0.26540650929999998</v>
      </c>
      <c r="K649" s="10">
        <v>1.693204746938</v>
      </c>
      <c r="L649" s="12">
        <v>22525089869.52</v>
      </c>
      <c r="M649">
        <v>-8.9058097856351601</v>
      </c>
      <c r="N649" s="7">
        <v>1.33043599146242</v>
      </c>
      <c r="O649" s="7">
        <v>0.20928233345585601</v>
      </c>
      <c r="P649" s="7">
        <v>-22.2356017674411</v>
      </c>
      <c r="Q649" s="7" t="s">
        <v>3698</v>
      </c>
      <c r="U649">
        <v>9.1260792246865313E-2</v>
      </c>
      <c r="AT649" s="4" t="s">
        <v>4893</v>
      </c>
    </row>
    <row r="650" spans="1:46">
      <c r="A650" s="2">
        <v>554</v>
      </c>
      <c r="B650" t="s">
        <v>4894</v>
      </c>
      <c r="C650" t="s">
        <v>892</v>
      </c>
      <c r="D650" t="s">
        <v>3998</v>
      </c>
      <c r="E650" s="4">
        <v>43465</v>
      </c>
      <c r="F650" s="11">
        <v>-35.694095560000001</v>
      </c>
      <c r="G650" s="11">
        <v>44.57593688</v>
      </c>
      <c r="H650" s="11">
        <v>4.5368510960000004</v>
      </c>
      <c r="I650" s="11">
        <v>16.682784529999999</v>
      </c>
      <c r="J650" s="11">
        <v>7.6581716444000003</v>
      </c>
      <c r="K650" s="10">
        <v>1.523743274109</v>
      </c>
      <c r="L650" s="12">
        <v>11046218364.67</v>
      </c>
      <c r="M650">
        <v>14.009176930999599</v>
      </c>
      <c r="N650" s="7">
        <v>3.33209001383808</v>
      </c>
      <c r="O650" s="7">
        <v>0.95495356863224801</v>
      </c>
      <c r="P650" s="7">
        <v>21.299236859562299</v>
      </c>
      <c r="Q650" s="7">
        <v>3.6603221083455346</v>
      </c>
      <c r="U650">
        <v>0.41064243107022236</v>
      </c>
      <c r="AT650" s="4" t="s">
        <v>4895</v>
      </c>
    </row>
    <row r="651" spans="1:46">
      <c r="A651" s="2">
        <v>1304</v>
      </c>
      <c r="B651" t="s">
        <v>4896</v>
      </c>
      <c r="C651" t="s">
        <v>1913</v>
      </c>
      <c r="D651" t="s">
        <v>4060</v>
      </c>
      <c r="E651" s="4">
        <v>43465</v>
      </c>
      <c r="F651" s="11">
        <v>-18.048762490000001</v>
      </c>
      <c r="G651" s="11">
        <v>44.555278469999998</v>
      </c>
      <c r="H651" s="11">
        <v>26.6795454433</v>
      </c>
      <c r="I651" s="11">
        <v>20.720139403299999</v>
      </c>
      <c r="J651" s="11">
        <v>5.5935239769000002</v>
      </c>
      <c r="K651" s="10">
        <v>0.63310467560899997</v>
      </c>
      <c r="L651" s="12">
        <v>8033301806.6400003</v>
      </c>
      <c r="M651">
        <v>84.9949870573666</v>
      </c>
      <c r="N651" s="7">
        <v>4.14428260055612</v>
      </c>
      <c r="O651" s="7">
        <v>3.7641086542733899</v>
      </c>
      <c r="P651" s="7">
        <v>31.2775395041221</v>
      </c>
      <c r="Q651" s="7">
        <v>0.21565003080714723</v>
      </c>
      <c r="U651">
        <v>0.18741513140000002</v>
      </c>
      <c r="AT651" s="4" t="s">
        <v>4897</v>
      </c>
    </row>
    <row r="652" spans="1:46">
      <c r="A652" s="2">
        <v>486</v>
      </c>
      <c r="B652" t="s">
        <v>4898</v>
      </c>
      <c r="C652" t="s">
        <v>2521</v>
      </c>
      <c r="D652" t="s">
        <v>3752</v>
      </c>
      <c r="E652" s="4">
        <v>43465</v>
      </c>
      <c r="F652" s="11">
        <v>-21.990768599999999</v>
      </c>
      <c r="G652" s="11">
        <v>44.548286599999997</v>
      </c>
      <c r="H652" s="11">
        <v>12.384463094599999</v>
      </c>
      <c r="I652" s="11">
        <v>24.120295803000001</v>
      </c>
      <c r="J652" s="11">
        <v>4.2840925812000004</v>
      </c>
      <c r="K652" s="10">
        <v>0.49427621573399999</v>
      </c>
      <c r="L652" s="12">
        <v>2160000000</v>
      </c>
      <c r="M652">
        <v>68.293916313784607</v>
      </c>
      <c r="N652" s="7">
        <v>1.3771472711675601</v>
      </c>
      <c r="O652" s="7">
        <v>1.3226062017640201</v>
      </c>
      <c r="P652" s="7">
        <v>-240.72404309732099</v>
      </c>
      <c r="Q652" s="7" t="s">
        <v>3698</v>
      </c>
      <c r="U652">
        <v>0.12004128810555438</v>
      </c>
      <c r="AT652" s="4" t="s">
        <v>4607</v>
      </c>
    </row>
    <row r="653" spans="1:46">
      <c r="A653" s="2">
        <v>1652</v>
      </c>
      <c r="B653" t="s">
        <v>4899</v>
      </c>
      <c r="C653" t="s">
        <v>1855</v>
      </c>
      <c r="D653" t="s">
        <v>3721</v>
      </c>
      <c r="E653" s="4">
        <v>43465</v>
      </c>
      <c r="F653" s="11">
        <v>-4.3116894099999996</v>
      </c>
      <c r="G653" s="11">
        <v>44.467860909999999</v>
      </c>
      <c r="H653" s="11">
        <v>13.0383115801</v>
      </c>
      <c r="I653" s="11">
        <v>42.266277221499998</v>
      </c>
      <c r="J653" s="11">
        <v>11.7123069511</v>
      </c>
      <c r="K653" s="10">
        <v>0.52377313863800001</v>
      </c>
      <c r="L653" s="12">
        <v>10343655665.200001</v>
      </c>
      <c r="M653">
        <v>32.849118681796803</v>
      </c>
      <c r="N653" s="7">
        <v>3.2708245934580802</v>
      </c>
      <c r="O653" s="7">
        <v>3.5061867914626701</v>
      </c>
      <c r="P653" s="7">
        <v>43.898675003471702</v>
      </c>
      <c r="Q653" s="7">
        <v>0.25635782292854115</v>
      </c>
      <c r="U653">
        <v>0.30669616137072686</v>
      </c>
      <c r="AT653" s="4" t="s">
        <v>4382</v>
      </c>
    </row>
    <row r="654" spans="1:46">
      <c r="A654" s="2">
        <v>987</v>
      </c>
      <c r="B654" t="s">
        <v>4900</v>
      </c>
      <c r="C654" t="s">
        <v>3430</v>
      </c>
      <c r="D654" t="s">
        <v>3752</v>
      </c>
      <c r="E654" s="4">
        <v>43465</v>
      </c>
      <c r="F654" s="11">
        <v>13.79024517</v>
      </c>
      <c r="G654" s="11">
        <v>44.394618829999999</v>
      </c>
      <c r="H654" s="11">
        <v>9.7753640799999992</v>
      </c>
      <c r="I654" s="11">
        <v>11.327202875999999</v>
      </c>
      <c r="J654" s="11">
        <v>-58.700062347799999</v>
      </c>
      <c r="K654" s="10">
        <v>0.38643103961800002</v>
      </c>
      <c r="L654" s="12">
        <v>8012388469.1999998</v>
      </c>
      <c r="M654">
        <v>-499.97888179413201</v>
      </c>
      <c r="N654" s="7">
        <v>3.8007845023377298</v>
      </c>
      <c r="O654" s="7">
        <v>5.6391715937778804</v>
      </c>
      <c r="P654" s="7">
        <v>21.562805787323299</v>
      </c>
      <c r="Q654" s="7" t="s">
        <v>3698</v>
      </c>
      <c r="U654">
        <v>-0.43151327254901961</v>
      </c>
      <c r="AT654" s="4" t="s">
        <v>3861</v>
      </c>
    </row>
    <row r="655" spans="1:46">
      <c r="A655" s="2">
        <v>1287</v>
      </c>
      <c r="B655" t="s">
        <v>4901</v>
      </c>
      <c r="C655" t="s">
        <v>2908</v>
      </c>
      <c r="D655" t="s">
        <v>3728</v>
      </c>
      <c r="E655" s="4">
        <v>43465</v>
      </c>
      <c r="F655" s="11">
        <v>0.1333577</v>
      </c>
      <c r="G655" s="11">
        <v>44.338875690000002</v>
      </c>
      <c r="H655" s="11">
        <v>19.618428152300002</v>
      </c>
      <c r="I655" s="11">
        <v>42.860279914000003</v>
      </c>
      <c r="J655" s="11">
        <v>1.123050635</v>
      </c>
      <c r="K655" s="10">
        <v>0.49662302430999999</v>
      </c>
      <c r="L655" s="12">
        <v>2921261568</v>
      </c>
      <c r="M655">
        <v>-211.57819518402499</v>
      </c>
      <c r="N655" s="7">
        <v>2.2158977808729299</v>
      </c>
      <c r="O655" s="7">
        <v>3.5575355890584399</v>
      </c>
      <c r="P655" s="7">
        <v>10.356902135367701</v>
      </c>
      <c r="Q655" s="7">
        <v>9.1575091952535798E-2</v>
      </c>
      <c r="U655">
        <v>4.4845192982280908E-2</v>
      </c>
      <c r="AT655" s="4" t="s">
        <v>4184</v>
      </c>
    </row>
    <row r="656" spans="1:46">
      <c r="A656" s="2">
        <v>3535</v>
      </c>
      <c r="B656" t="s">
        <v>4902</v>
      </c>
      <c r="C656" t="s">
        <v>1507</v>
      </c>
      <c r="D656" t="s">
        <v>3849</v>
      </c>
      <c r="E656" s="4">
        <v>43465</v>
      </c>
      <c r="F656" s="11">
        <v>0.90467580000000003</v>
      </c>
      <c r="G656" s="11">
        <v>44.306418219999998</v>
      </c>
      <c r="H656" s="11">
        <v>13.1419207879</v>
      </c>
      <c r="I656" s="11">
        <v>15.271591603499999</v>
      </c>
      <c r="J656" s="11">
        <v>2.9062266848</v>
      </c>
      <c r="K656" s="10">
        <v>1.6007646638690001</v>
      </c>
      <c r="L656" s="12">
        <v>5694456614.6999998</v>
      </c>
      <c r="M656">
        <v>41.4558303434019</v>
      </c>
      <c r="N656" s="7">
        <v>2.0882986923505902</v>
      </c>
      <c r="O656" s="7">
        <v>0.66810450431843105</v>
      </c>
      <c r="P656" s="7">
        <v>-25.951987702830799</v>
      </c>
      <c r="Q656" s="7">
        <v>2.0408163265306123</v>
      </c>
      <c r="U656">
        <v>0.43458042838235295</v>
      </c>
      <c r="AT656" s="4" t="s">
        <v>4903</v>
      </c>
    </row>
    <row r="657" spans="1:46">
      <c r="A657" s="2">
        <v>1456</v>
      </c>
      <c r="B657" t="s">
        <v>4904</v>
      </c>
      <c r="C657" t="s">
        <v>2796</v>
      </c>
      <c r="D657" t="s">
        <v>3737</v>
      </c>
      <c r="E657" s="4">
        <v>43465</v>
      </c>
      <c r="F657" s="11">
        <v>-16.175869760000001</v>
      </c>
      <c r="G657" s="11">
        <v>44.271844659999999</v>
      </c>
      <c r="H657" s="11">
        <v>5.6475545299999999E-2</v>
      </c>
      <c r="I657" s="11">
        <v>40.651671428199997</v>
      </c>
      <c r="J657" s="11">
        <v>-25.636641236700001</v>
      </c>
      <c r="K657" s="10">
        <v>0.33771003687099999</v>
      </c>
      <c r="L657" s="12">
        <v>2712000000</v>
      </c>
      <c r="M657">
        <v>2269.65572551579</v>
      </c>
      <c r="N657" s="7">
        <v>2.1019370669786199</v>
      </c>
      <c r="O657" s="7">
        <v>2.80766719588717</v>
      </c>
      <c r="P657" s="7">
        <v>-11.700319351835899</v>
      </c>
      <c r="Q657" s="7" t="s">
        <v>3698</v>
      </c>
      <c r="U657">
        <v>-0.44301560395175688</v>
      </c>
      <c r="AT657" s="4" t="s">
        <v>3791</v>
      </c>
    </row>
    <row r="658" spans="1:46">
      <c r="A658" s="2">
        <v>1569</v>
      </c>
      <c r="B658" t="s">
        <v>4905</v>
      </c>
      <c r="C658" t="s">
        <v>403</v>
      </c>
      <c r="D658" t="s">
        <v>3832</v>
      </c>
      <c r="E658" s="4">
        <v>43465</v>
      </c>
      <c r="F658" s="11">
        <v>67.529053309999995</v>
      </c>
      <c r="G658" s="11">
        <v>44.262295080000001</v>
      </c>
      <c r="H658" s="11">
        <v>6.1961653575</v>
      </c>
      <c r="I658" s="11">
        <v>66.427017169500004</v>
      </c>
      <c r="J658" s="11">
        <v>39.784523865099999</v>
      </c>
      <c r="K658" s="10">
        <v>0.32814417280500002</v>
      </c>
      <c r="L658" s="12">
        <v>4488843513.4399996</v>
      </c>
      <c r="M658">
        <v>23.932989454179001</v>
      </c>
      <c r="N658" s="7">
        <v>5.4560579851412001</v>
      </c>
      <c r="O658" s="7">
        <v>9.7512899532691808</v>
      </c>
      <c r="P658" s="7">
        <v>51.384723557740799</v>
      </c>
      <c r="Q658" s="7">
        <v>0.43891733723482074</v>
      </c>
      <c r="U658">
        <v>0.88612118660659822</v>
      </c>
      <c r="AT658" s="4" t="s">
        <v>4906</v>
      </c>
    </row>
    <row r="659" spans="1:46">
      <c r="A659" s="2">
        <v>1039</v>
      </c>
      <c r="B659" t="s">
        <v>4907</v>
      </c>
      <c r="C659" t="s">
        <v>3203</v>
      </c>
      <c r="D659" t="s">
        <v>3713</v>
      </c>
      <c r="E659" s="4">
        <v>43465</v>
      </c>
      <c r="F659" s="11">
        <v>2.5341130600000001</v>
      </c>
      <c r="G659" s="11">
        <v>44.23076923</v>
      </c>
      <c r="H659" s="11">
        <v>46.985973328900002</v>
      </c>
      <c r="I659" s="11">
        <v>22.527919985699999</v>
      </c>
      <c r="J659" s="11">
        <v>3.2698791437999999</v>
      </c>
      <c r="K659" s="10">
        <v>0.86544321131000002</v>
      </c>
      <c r="L659" s="12">
        <v>3357428471.8200002</v>
      </c>
      <c r="M659">
        <v>47.035011829425201</v>
      </c>
      <c r="N659" s="7">
        <v>1.6518761127371799</v>
      </c>
      <c r="O659" s="7">
        <v>1.16508269081171</v>
      </c>
      <c r="P659" s="7">
        <v>45.561648302129903</v>
      </c>
      <c r="Q659" s="7" t="s">
        <v>3698</v>
      </c>
      <c r="U659">
        <v>0.11579595388635935</v>
      </c>
      <c r="AT659" s="4" t="s">
        <v>4908</v>
      </c>
    </row>
    <row r="660" spans="1:46">
      <c r="A660" s="2">
        <v>3134</v>
      </c>
      <c r="B660" t="s">
        <v>4909</v>
      </c>
      <c r="C660" t="s">
        <v>372</v>
      </c>
      <c r="D660" t="s">
        <v>3998</v>
      </c>
      <c r="E660" s="4">
        <v>43465</v>
      </c>
      <c r="F660" s="11">
        <v>0.20697974</v>
      </c>
      <c r="G660" s="11">
        <v>44.21052632</v>
      </c>
      <c r="H660" s="11">
        <v>10.458838915299999</v>
      </c>
      <c r="I660" s="11">
        <v>28.791035174299999</v>
      </c>
      <c r="J660" s="11">
        <v>14.4141802552</v>
      </c>
      <c r="K660" s="10">
        <v>0.65574170673999999</v>
      </c>
      <c r="L660" s="12">
        <v>3904560000</v>
      </c>
      <c r="M660">
        <v>8.6740135559139908</v>
      </c>
      <c r="N660" s="7">
        <v>1.3494974133055699</v>
      </c>
      <c r="O660" s="7">
        <v>1.2528597074499801</v>
      </c>
      <c r="P660" s="7">
        <v>-17.275795631346998</v>
      </c>
      <c r="Q660" s="7">
        <v>6.8038904353509437</v>
      </c>
      <c r="U660">
        <v>0.44921973313960328</v>
      </c>
      <c r="AT660" s="4" t="s">
        <v>4910</v>
      </c>
    </row>
    <row r="661" spans="1:46">
      <c r="A661" s="2">
        <v>2217</v>
      </c>
      <c r="B661" t="s">
        <v>4911</v>
      </c>
      <c r="C661" t="s">
        <v>2421</v>
      </c>
      <c r="D661" t="s">
        <v>3728</v>
      </c>
      <c r="E661" s="4">
        <v>43465</v>
      </c>
      <c r="F661" s="11">
        <v>2.2682285200000001</v>
      </c>
      <c r="G661" s="11">
        <v>44.171779139999998</v>
      </c>
      <c r="H661" s="11">
        <v>43.571623523900001</v>
      </c>
      <c r="I661" s="11">
        <v>19.2070549257</v>
      </c>
      <c r="J661" s="11">
        <v>10.376648911</v>
      </c>
      <c r="K661" s="10">
        <v>0.71384119299299997</v>
      </c>
      <c r="L661" s="12">
        <v>2691613780.7600002</v>
      </c>
      <c r="M661">
        <v>23.554213764085901</v>
      </c>
      <c r="N661" s="7">
        <v>2.16998299605046</v>
      </c>
      <c r="O661" s="7">
        <v>1.48630829903035</v>
      </c>
      <c r="P661" s="7">
        <v>96.962170718029995</v>
      </c>
      <c r="Q661" s="7">
        <v>0.82135523613963046</v>
      </c>
      <c r="U661">
        <v>0.41534847485923826</v>
      </c>
      <c r="AT661" s="4" t="s">
        <v>4912</v>
      </c>
    </row>
    <row r="662" spans="1:46">
      <c r="A662" s="2">
        <v>2349</v>
      </c>
      <c r="B662" t="s">
        <v>4913</v>
      </c>
      <c r="C662" t="s">
        <v>1531</v>
      </c>
      <c r="D662" t="s">
        <v>3849</v>
      </c>
      <c r="E662" s="4">
        <v>43465</v>
      </c>
      <c r="F662" s="11">
        <v>-18.650421739999999</v>
      </c>
      <c r="G662" s="11">
        <v>44.166666669999998</v>
      </c>
      <c r="H662" s="11">
        <v>2.9687757670999999</v>
      </c>
      <c r="I662" s="11">
        <v>18.9188638575</v>
      </c>
      <c r="J662" s="11">
        <v>0.63515557980000004</v>
      </c>
      <c r="K662" s="10">
        <v>0.49423708753599999</v>
      </c>
      <c r="L662" s="12">
        <v>2821320000</v>
      </c>
      <c r="M662">
        <v>32.738150922182299</v>
      </c>
      <c r="N662" s="7">
        <v>7.1606007814620103</v>
      </c>
      <c r="O662" s="7">
        <v>0.49913402859497003</v>
      </c>
      <c r="P662" s="7">
        <v>-4.5887521788314398</v>
      </c>
      <c r="Q662" s="7" t="s">
        <v>3698</v>
      </c>
      <c r="U662">
        <v>5.9418974363636363E-2</v>
      </c>
      <c r="AT662" s="4" t="s">
        <v>4914</v>
      </c>
    </row>
    <row r="663" spans="1:46">
      <c r="A663" s="2">
        <v>3003</v>
      </c>
      <c r="B663" t="s">
        <v>4915</v>
      </c>
      <c r="C663" t="s">
        <v>2537</v>
      </c>
      <c r="D663" t="s">
        <v>3718</v>
      </c>
      <c r="E663" s="4">
        <v>43465</v>
      </c>
      <c r="F663" s="11">
        <v>-9.34834721</v>
      </c>
      <c r="G663" s="11">
        <v>44.126659859999997</v>
      </c>
      <c r="H663" s="11">
        <v>8.3053358847999998</v>
      </c>
      <c r="I663" s="11">
        <v>27.3072543663</v>
      </c>
      <c r="J663" s="11">
        <v>7.1715397222000004</v>
      </c>
      <c r="K663" s="10">
        <v>0.61748410891100003</v>
      </c>
      <c r="L663" s="12">
        <v>2201714160.9499998</v>
      </c>
      <c r="M663">
        <v>54.0523685259408</v>
      </c>
      <c r="N663" s="7">
        <v>2.5806126631246999</v>
      </c>
      <c r="O663" s="7">
        <v>3.2258049911027</v>
      </c>
      <c r="P663" s="7">
        <v>-39.7569891419638</v>
      </c>
      <c r="Q663" s="7">
        <v>0.23510971786833854</v>
      </c>
      <c r="U663">
        <v>0.22255408761901657</v>
      </c>
      <c r="AT663" s="4" t="s">
        <v>4916</v>
      </c>
    </row>
    <row r="664" spans="1:46">
      <c r="A664" s="2">
        <v>464</v>
      </c>
      <c r="B664" t="s">
        <v>4917</v>
      </c>
      <c r="C664" t="s">
        <v>3063</v>
      </c>
      <c r="D664" t="s">
        <v>3752</v>
      </c>
      <c r="E664" s="4">
        <v>43465</v>
      </c>
      <c r="F664" s="11">
        <v>-13.27059611</v>
      </c>
      <c r="G664" s="11">
        <v>44.029850750000001</v>
      </c>
      <c r="H664" s="11">
        <v>9.4162516827000005</v>
      </c>
      <c r="I664" s="11">
        <v>12.644543991600001</v>
      </c>
      <c r="J664" s="11">
        <v>2.5242305701999999</v>
      </c>
      <c r="K664" s="10">
        <v>0.62604858627100002</v>
      </c>
      <c r="L664" s="12">
        <v>44900107098</v>
      </c>
      <c r="M664">
        <v>69.891615312881399</v>
      </c>
      <c r="N664" s="7">
        <v>0.92081448519516396</v>
      </c>
      <c r="O664" s="7">
        <v>0.752155335044839</v>
      </c>
      <c r="P664" s="7">
        <v>1005.9174520515</v>
      </c>
      <c r="Q664" s="7">
        <v>0.2785515320334262</v>
      </c>
      <c r="U664">
        <v>8.9853814705422697E-2</v>
      </c>
      <c r="AT664" s="4" t="s">
        <v>4797</v>
      </c>
    </row>
    <row r="665" spans="1:46">
      <c r="A665" s="2">
        <v>1669</v>
      </c>
      <c r="B665" t="s">
        <v>4918</v>
      </c>
      <c r="C665" t="s">
        <v>965</v>
      </c>
      <c r="D665" t="s">
        <v>3737</v>
      </c>
      <c r="E665" s="4">
        <v>43465</v>
      </c>
      <c r="F665" s="11">
        <v>-6.1088496000000001</v>
      </c>
      <c r="G665" s="11">
        <v>43.902439020000003</v>
      </c>
      <c r="H665" s="11">
        <v>39.222311816800001</v>
      </c>
      <c r="I665" s="11">
        <v>34.043430979199997</v>
      </c>
      <c r="J665" s="11">
        <v>8.4465903721999993</v>
      </c>
      <c r="K665" s="10">
        <v>0.77173529577599997</v>
      </c>
      <c r="L665" s="12">
        <v>6305030931.3199997</v>
      </c>
      <c r="M665">
        <v>34.082215868451797</v>
      </c>
      <c r="N665" s="7">
        <v>4.6001911071923898</v>
      </c>
      <c r="O665" s="7">
        <v>1.34513697896177</v>
      </c>
      <c r="P665" s="7">
        <v>64.061818302600699</v>
      </c>
      <c r="Q665" s="7">
        <v>0.11478420569329661</v>
      </c>
      <c r="U665">
        <v>0.70524076862729879</v>
      </c>
      <c r="AT665" s="4" t="s">
        <v>4919</v>
      </c>
    </row>
    <row r="666" spans="1:46">
      <c r="A666" s="2">
        <v>1772</v>
      </c>
      <c r="B666" t="s">
        <v>4920</v>
      </c>
      <c r="C666" t="s">
        <v>545</v>
      </c>
      <c r="D666" t="s">
        <v>3737</v>
      </c>
      <c r="E666" s="4">
        <v>43465</v>
      </c>
      <c r="F666" s="11">
        <v>171.32647445999999</v>
      </c>
      <c r="G666" s="11">
        <v>43.85964912</v>
      </c>
      <c r="H666" s="11">
        <v>36.373093176300003</v>
      </c>
      <c r="I666" s="11">
        <v>43.107042276900003</v>
      </c>
      <c r="J666" s="11">
        <v>22.028341118899998</v>
      </c>
      <c r="K666" s="10">
        <v>0.58518948161999995</v>
      </c>
      <c r="L666" s="12">
        <v>14755489140.6</v>
      </c>
      <c r="M666">
        <v>63.899760213061199</v>
      </c>
      <c r="N666" s="7">
        <v>13.072755528434</v>
      </c>
      <c r="O666" s="7">
        <v>10.1505863838807</v>
      </c>
      <c r="P666" s="7">
        <v>932.52735895375099</v>
      </c>
      <c r="Q666" s="7">
        <v>0.37190068530891346</v>
      </c>
      <c r="U666">
        <v>0.94403454924555963</v>
      </c>
      <c r="AT666" s="4" t="s">
        <v>4921</v>
      </c>
    </row>
    <row r="667" spans="1:46">
      <c r="A667" s="2">
        <v>3515</v>
      </c>
      <c r="B667" t="s">
        <v>4922</v>
      </c>
      <c r="C667" t="s">
        <v>1662</v>
      </c>
      <c r="D667" t="s">
        <v>3752</v>
      </c>
      <c r="E667" s="4">
        <v>43465</v>
      </c>
      <c r="F667" s="11">
        <v>-19.304984749999999</v>
      </c>
      <c r="G667" s="11">
        <v>43.770415309999997</v>
      </c>
      <c r="H667" s="11">
        <v>45.237698266800003</v>
      </c>
      <c r="I667" s="11">
        <v>18.292036392299998</v>
      </c>
      <c r="J667" s="11">
        <v>7.9121552907000003</v>
      </c>
      <c r="K667" s="10">
        <v>0.63176230048699999</v>
      </c>
      <c r="L667" s="12">
        <v>5036780038.6999998</v>
      </c>
      <c r="M667">
        <v>49.788296377709003</v>
      </c>
      <c r="N667" s="7">
        <v>3.5803747921542901</v>
      </c>
      <c r="O667" s="7">
        <v>4.8680995244669498</v>
      </c>
      <c r="P667" s="7">
        <v>-399.06962387842401</v>
      </c>
      <c r="Q667" s="7">
        <v>0.87221979938944605</v>
      </c>
      <c r="U667">
        <v>0.38551949584775086</v>
      </c>
      <c r="AT667" s="4" t="s">
        <v>4923</v>
      </c>
    </row>
    <row r="668" spans="1:46">
      <c r="A668" s="2">
        <v>1992</v>
      </c>
      <c r="B668" t="s">
        <v>4924</v>
      </c>
      <c r="C668" t="s">
        <v>1437</v>
      </c>
      <c r="D668" t="s">
        <v>3713</v>
      </c>
      <c r="E668" s="4">
        <v>43465</v>
      </c>
      <c r="F668" s="11">
        <v>32.90164128</v>
      </c>
      <c r="G668" s="11">
        <v>43.572984750000003</v>
      </c>
      <c r="H668" s="11">
        <v>62.126271579600001</v>
      </c>
      <c r="I668" s="11">
        <v>34.412420228800002</v>
      </c>
      <c r="J668" s="11">
        <v>19.0454068439</v>
      </c>
      <c r="K668" s="10">
        <v>0.57885757588999998</v>
      </c>
      <c r="L668" s="12">
        <v>1909600000</v>
      </c>
      <c r="M668">
        <v>40.487351511985402</v>
      </c>
      <c r="N668" s="7">
        <v>3.4690183503538301</v>
      </c>
      <c r="O668" s="7">
        <v>6.8837472470450498</v>
      </c>
      <c r="P668" s="7">
        <v>-37.880607173943702</v>
      </c>
      <c r="Q668" s="7">
        <v>1.5</v>
      </c>
      <c r="U668">
        <v>0.66407213461230763</v>
      </c>
      <c r="AT668" s="4" t="s">
        <v>4635</v>
      </c>
    </row>
    <row r="669" spans="1:46">
      <c r="A669" s="2">
        <v>1865</v>
      </c>
      <c r="B669" t="s">
        <v>4925</v>
      </c>
      <c r="C669" t="s">
        <v>2818</v>
      </c>
      <c r="D669" t="s">
        <v>3713</v>
      </c>
      <c r="E669" s="4">
        <v>43465</v>
      </c>
      <c r="F669" s="11">
        <v>-17.154679040000001</v>
      </c>
      <c r="G669" s="11">
        <v>43.562610229999997</v>
      </c>
      <c r="H669" s="11">
        <v>-24.675271659300002</v>
      </c>
      <c r="I669" s="11">
        <v>58.525495903600003</v>
      </c>
      <c r="J669" s="11">
        <v>19.970818060100001</v>
      </c>
      <c r="K669" s="10">
        <v>0.28121196787000002</v>
      </c>
      <c r="L669" s="12">
        <v>2182250912.8000002</v>
      </c>
      <c r="M669">
        <v>45.163523301908903</v>
      </c>
      <c r="N669" s="7">
        <v>2.2689860384084501</v>
      </c>
      <c r="O669" s="7">
        <v>5.2814750515403102</v>
      </c>
      <c r="P669" s="7">
        <v>-11.1172086900797</v>
      </c>
      <c r="Q669" s="7">
        <v>0.63270201342281873</v>
      </c>
      <c r="U669">
        <v>0.23509741763392855</v>
      </c>
      <c r="AT669" s="4" t="s">
        <v>4377</v>
      </c>
    </row>
    <row r="670" spans="1:46">
      <c r="A670" s="2">
        <v>2432</v>
      </c>
      <c r="B670" t="s">
        <v>4926</v>
      </c>
      <c r="C670" t="s">
        <v>719</v>
      </c>
      <c r="D670" t="s">
        <v>3785</v>
      </c>
      <c r="E670" s="4">
        <v>43465</v>
      </c>
      <c r="F670" s="11">
        <v>71.28986562</v>
      </c>
      <c r="G670" s="11">
        <v>43.55769231</v>
      </c>
      <c r="H670" s="11">
        <v>9.8665064326999996</v>
      </c>
      <c r="I670" s="11">
        <v>42.193568467200002</v>
      </c>
      <c r="J670" s="11">
        <v>17.9397959894</v>
      </c>
      <c r="K670" s="10">
        <v>0.62505714100200005</v>
      </c>
      <c r="L670" s="12">
        <v>4867128909.6300001</v>
      </c>
      <c r="M670">
        <v>38.690179923825703</v>
      </c>
      <c r="N670" s="7">
        <v>4.0048297154866797</v>
      </c>
      <c r="O670" s="7">
        <v>4.90200499770188</v>
      </c>
      <c r="P670" s="7">
        <v>185.70624765908099</v>
      </c>
      <c r="Q670" s="7">
        <v>0.87209302325581395</v>
      </c>
      <c r="U670">
        <v>0.38873561255215622</v>
      </c>
      <c r="AT670" s="4" t="s">
        <v>4927</v>
      </c>
    </row>
    <row r="671" spans="1:46">
      <c r="A671" s="2">
        <v>3521</v>
      </c>
      <c r="B671" t="s">
        <v>4928</v>
      </c>
      <c r="C671" t="s">
        <v>335</v>
      </c>
      <c r="D671" t="s">
        <v>3849</v>
      </c>
      <c r="E671" s="4">
        <v>43465</v>
      </c>
      <c r="F671" s="11">
        <v>-12.339560840000001</v>
      </c>
      <c r="G671" s="11">
        <v>43.51364289</v>
      </c>
      <c r="H671" s="11">
        <v>31.6112025362</v>
      </c>
      <c r="I671" s="11">
        <v>28.718400234800001</v>
      </c>
      <c r="J671" s="11">
        <v>13.0482472857</v>
      </c>
      <c r="K671" s="10">
        <v>0.95494470694699995</v>
      </c>
      <c r="L671" s="12">
        <v>13730742090.48</v>
      </c>
      <c r="M671">
        <v>15.0828351056601</v>
      </c>
      <c r="N671" s="7">
        <v>3.07630163970832</v>
      </c>
      <c r="O671" s="7">
        <v>2.2197958459863201</v>
      </c>
      <c r="P671" s="7">
        <v>115.78283278793</v>
      </c>
      <c r="Q671" s="7">
        <v>1.8497965223825381</v>
      </c>
      <c r="U671">
        <v>1.3602697556939349</v>
      </c>
      <c r="AT671" s="4" t="s">
        <v>4860</v>
      </c>
    </row>
    <row r="672" spans="1:46">
      <c r="A672" s="2">
        <v>47</v>
      </c>
      <c r="B672" t="s">
        <v>4929</v>
      </c>
      <c r="C672" t="s">
        <v>268</v>
      </c>
      <c r="D672" t="s">
        <v>3769</v>
      </c>
      <c r="E672" s="4">
        <v>43465</v>
      </c>
      <c r="F672" s="11">
        <v>4.7486785400000002</v>
      </c>
      <c r="G672" s="11">
        <v>43.508031240000001</v>
      </c>
      <c r="H672" s="11">
        <v>38.148866769900003</v>
      </c>
      <c r="I672" s="11">
        <v>8.1982690234</v>
      </c>
      <c r="J672" s="11">
        <v>3.0471813340999998</v>
      </c>
      <c r="K672" s="10">
        <v>2.0983074543910001</v>
      </c>
      <c r="L672" s="12">
        <v>47334532506.900002</v>
      </c>
      <c r="M672">
        <v>15.8733166882358</v>
      </c>
      <c r="N672" s="7">
        <v>3.3628061814247299</v>
      </c>
      <c r="O672" s="7">
        <v>0.35907507480298101</v>
      </c>
      <c r="P672" s="7">
        <v>-27.637779555158499</v>
      </c>
      <c r="Q672" s="7">
        <v>0.66552633372459946</v>
      </c>
      <c r="U672">
        <v>1.9555771443316825</v>
      </c>
      <c r="AT672" s="4" t="s">
        <v>4930</v>
      </c>
    </row>
    <row r="673" spans="1:46">
      <c r="A673" s="2">
        <v>1666</v>
      </c>
      <c r="B673" t="s">
        <v>4931</v>
      </c>
      <c r="C673" t="s">
        <v>1166</v>
      </c>
      <c r="D673" t="s">
        <v>3721</v>
      </c>
      <c r="E673" s="4">
        <v>43465</v>
      </c>
      <c r="F673" s="11">
        <v>-26.220534799999999</v>
      </c>
      <c r="G673" s="11">
        <v>43.506493509999999</v>
      </c>
      <c r="H673" s="11">
        <v>-1.369275722</v>
      </c>
      <c r="I673" s="11">
        <v>19.702655740299999</v>
      </c>
      <c r="J673" s="11">
        <v>5.4438517012999998</v>
      </c>
      <c r="K673" s="10">
        <v>0.64928304357699995</v>
      </c>
      <c r="L673" s="12">
        <v>2722380000</v>
      </c>
      <c r="M673">
        <v>37.991811197018897</v>
      </c>
      <c r="N673" s="7">
        <v>2.03753687301228</v>
      </c>
      <c r="O673" s="7">
        <v>1.6894633430780901</v>
      </c>
      <c r="P673" s="7">
        <v>-62.6554500779108</v>
      </c>
      <c r="Q673" s="7">
        <v>0.1784706170177057</v>
      </c>
      <c r="U673">
        <v>0.15604482641231998</v>
      </c>
      <c r="AT673" s="4" t="s">
        <v>4932</v>
      </c>
    </row>
    <row r="674" spans="1:46">
      <c r="A674" s="2">
        <v>3324</v>
      </c>
      <c r="B674" t="s">
        <v>4933</v>
      </c>
      <c r="C674" t="s">
        <v>2861</v>
      </c>
      <c r="D674" t="s">
        <v>3713</v>
      </c>
      <c r="E674" s="4">
        <v>43465</v>
      </c>
      <c r="F674" s="11">
        <v>34.511615679999998</v>
      </c>
      <c r="G674" s="11">
        <v>43.432574430000003</v>
      </c>
      <c r="H674" s="11">
        <v>13.5951958282</v>
      </c>
      <c r="I674" s="11">
        <v>59.552758815399997</v>
      </c>
      <c r="J674" s="11">
        <v>23.308351377899999</v>
      </c>
      <c r="K674" s="10">
        <v>0.445295759929</v>
      </c>
      <c r="L674" s="12">
        <v>6262812864</v>
      </c>
      <c r="M674">
        <v>37.387309469262497</v>
      </c>
      <c r="N674" s="7">
        <v>3.1370244415225801</v>
      </c>
      <c r="O674" s="7">
        <v>6.4550857486026398</v>
      </c>
      <c r="P674" s="7">
        <v>-11.5863383177151</v>
      </c>
      <c r="Q674" s="7">
        <v>0.72680832507021476</v>
      </c>
      <c r="U674">
        <v>0.84074881451990635</v>
      </c>
      <c r="AT674" s="4" t="s">
        <v>4934</v>
      </c>
    </row>
    <row r="675" spans="1:46">
      <c r="A675" s="2">
        <v>3183</v>
      </c>
      <c r="B675" t="s">
        <v>4935</v>
      </c>
      <c r="C675" t="s">
        <v>3368</v>
      </c>
      <c r="D675" t="s">
        <v>3889</v>
      </c>
      <c r="E675" s="4">
        <v>43465</v>
      </c>
      <c r="F675" s="11">
        <v>-12.489221499999999</v>
      </c>
      <c r="G675" s="11">
        <v>43.280182230000001</v>
      </c>
      <c r="H675" s="11">
        <v>13.5174267726</v>
      </c>
      <c r="I675" s="11">
        <v>33.248523730899997</v>
      </c>
      <c r="J675" s="11">
        <v>11.604723888000001</v>
      </c>
      <c r="K675" s="10">
        <v>0.47063848479499998</v>
      </c>
      <c r="L675" s="12">
        <v>3615360000</v>
      </c>
      <c r="M675">
        <v>16.723522291278702</v>
      </c>
      <c r="N675" s="7">
        <v>1.3136225644920001</v>
      </c>
      <c r="O675" s="7">
        <v>1.5516722445789399</v>
      </c>
      <c r="P675" s="7">
        <v>-9.9818471303523193</v>
      </c>
      <c r="Q675" s="7">
        <v>1.7482517482517483</v>
      </c>
      <c r="U675">
        <v>0.33003597114403288</v>
      </c>
      <c r="AT675" s="4" t="s">
        <v>4936</v>
      </c>
    </row>
    <row r="676" spans="1:46">
      <c r="A676" s="2">
        <v>3032</v>
      </c>
      <c r="B676" t="s">
        <v>4937</v>
      </c>
      <c r="C676" t="s">
        <v>544</v>
      </c>
      <c r="D676" t="s">
        <v>3761</v>
      </c>
      <c r="E676" s="4">
        <v>43465</v>
      </c>
      <c r="F676" s="11">
        <v>19.097370489999999</v>
      </c>
      <c r="G676" s="11">
        <v>43.233944950000001</v>
      </c>
      <c r="H676" s="11">
        <v>34.379859716399999</v>
      </c>
      <c r="I676" s="11">
        <v>22.248527321000001</v>
      </c>
      <c r="J676" s="11">
        <v>11.673044469100001</v>
      </c>
      <c r="K676" s="10">
        <v>0.60619582329900001</v>
      </c>
      <c r="L676" s="12">
        <v>11949280850</v>
      </c>
      <c r="M676">
        <v>17.0361660738841</v>
      </c>
      <c r="N676" s="7">
        <v>3.0781662959524798</v>
      </c>
      <c r="O676" s="7">
        <v>2.4109963939927899</v>
      </c>
      <c r="P676" s="7">
        <v>184.93861607304299</v>
      </c>
      <c r="Q676" s="7">
        <v>0.40285895615742456</v>
      </c>
      <c r="U676">
        <v>0.91657401315099296</v>
      </c>
      <c r="AT676" s="4" t="s">
        <v>4938</v>
      </c>
    </row>
    <row r="677" spans="1:46">
      <c r="A677" s="2">
        <v>2306</v>
      </c>
      <c r="B677" t="s">
        <v>4939</v>
      </c>
      <c r="C677" t="s">
        <v>123</v>
      </c>
      <c r="D677" t="s">
        <v>3764</v>
      </c>
      <c r="E677" s="4">
        <v>43465</v>
      </c>
      <c r="F677" s="11">
        <v>50.38881275</v>
      </c>
      <c r="G677" s="11">
        <v>43.141592920000001</v>
      </c>
      <c r="H677" s="11">
        <v>11.8949419546</v>
      </c>
      <c r="I677" s="11">
        <v>52.555859499</v>
      </c>
      <c r="J677" s="11">
        <v>44.420061783400001</v>
      </c>
      <c r="K677" s="10">
        <v>0.27437817945100001</v>
      </c>
      <c r="L677" s="12">
        <v>12101960449.200001</v>
      </c>
      <c r="M677">
        <v>15.697806908536499</v>
      </c>
      <c r="N677" s="7">
        <v>2.6059737592196699</v>
      </c>
      <c r="O677" s="7">
        <v>6.2812560961420596</v>
      </c>
      <c r="P677" s="7">
        <v>-38.419079956264099</v>
      </c>
      <c r="Q677" s="7">
        <v>0.96475430932024175</v>
      </c>
      <c r="U677">
        <v>0.74813941953112928</v>
      </c>
      <c r="AT677" s="4" t="s">
        <v>4940</v>
      </c>
    </row>
    <row r="678" spans="1:46">
      <c r="A678" s="2">
        <v>650</v>
      </c>
      <c r="B678" t="s">
        <v>4941</v>
      </c>
      <c r="C678" t="s">
        <v>1240</v>
      </c>
      <c r="D678" t="s">
        <v>3721</v>
      </c>
      <c r="E678" s="4">
        <v>43465</v>
      </c>
      <c r="F678" s="11">
        <v>-27.563478740000001</v>
      </c>
      <c r="G678" s="11">
        <v>43.1122449</v>
      </c>
      <c r="H678" s="11">
        <v>26.993874226999999</v>
      </c>
      <c r="I678" s="11">
        <v>19.951146688200001</v>
      </c>
      <c r="J678" s="11">
        <v>6.9496961321999997</v>
      </c>
      <c r="K678" s="10">
        <v>0.95184809185899999</v>
      </c>
      <c r="L678" s="12">
        <v>8441235846.1199999</v>
      </c>
      <c r="M678">
        <v>17.7445152382403</v>
      </c>
      <c r="N678" s="7">
        <v>2.0274194887851702</v>
      </c>
      <c r="O678" s="7">
        <v>1.22718148961607</v>
      </c>
      <c r="P678" s="7">
        <v>51.006900088058799</v>
      </c>
      <c r="Q678" s="7">
        <v>2.0282406736778995</v>
      </c>
      <c r="U678">
        <v>0.21803381598479726</v>
      </c>
      <c r="AT678" s="4" t="s">
        <v>4942</v>
      </c>
    </row>
    <row r="679" spans="1:46">
      <c r="A679" s="2">
        <v>1866</v>
      </c>
      <c r="B679" t="s">
        <v>4943</v>
      </c>
      <c r="C679" t="s">
        <v>1010</v>
      </c>
      <c r="D679" t="s">
        <v>3718</v>
      </c>
      <c r="E679" s="4">
        <v>43465</v>
      </c>
      <c r="F679" s="11">
        <v>-26.746893400000001</v>
      </c>
      <c r="G679" s="11">
        <v>43.067846609999997</v>
      </c>
      <c r="H679" s="11">
        <v>35.060596277199998</v>
      </c>
      <c r="I679" s="11">
        <v>35.968335906500002</v>
      </c>
      <c r="J679" s="11">
        <v>10.3989907843</v>
      </c>
      <c r="K679" s="10">
        <v>0.55396605893200002</v>
      </c>
      <c r="L679" s="12">
        <v>3556054003.9499998</v>
      </c>
      <c r="M679">
        <v>27.441505435405201</v>
      </c>
      <c r="N679" s="7">
        <v>4.7156417606383698</v>
      </c>
      <c r="O679" s="7">
        <v>3.1454556498862201</v>
      </c>
      <c r="P679" s="7">
        <v>34.477261321536197</v>
      </c>
      <c r="Q679" s="7">
        <v>0.71783828239886727</v>
      </c>
      <c r="U679">
        <v>0.18309133591619556</v>
      </c>
      <c r="AT679" s="4" t="s">
        <v>4377</v>
      </c>
    </row>
    <row r="680" spans="1:46">
      <c r="A680" s="2">
        <v>1793</v>
      </c>
      <c r="B680" t="s">
        <v>4944</v>
      </c>
      <c r="C680" t="s">
        <v>2890</v>
      </c>
      <c r="D680" t="s">
        <v>3713</v>
      </c>
      <c r="E680" s="4">
        <v>43465</v>
      </c>
      <c r="F680" s="11">
        <v>-4.1958042000000004</v>
      </c>
      <c r="G680" s="11">
        <v>43.033509700000003</v>
      </c>
      <c r="H680" s="11">
        <v>33.134989911799998</v>
      </c>
      <c r="I680" s="11">
        <v>32.743517898999997</v>
      </c>
      <c r="J680" s="11">
        <v>4.2463786142000002</v>
      </c>
      <c r="K680" s="10">
        <v>0.51526446447200003</v>
      </c>
      <c r="L680" s="12">
        <v>3942422680</v>
      </c>
      <c r="M680">
        <v>-13.103627947938801</v>
      </c>
      <c r="N680" s="7">
        <v>6.0801387394481203</v>
      </c>
      <c r="O680" s="7">
        <v>3.1692597575404999</v>
      </c>
      <c r="P680" s="7">
        <v>-66.491208045413202</v>
      </c>
      <c r="Q680" s="7" t="s">
        <v>3698</v>
      </c>
      <c r="U680">
        <v>8.9329413561679685E-2</v>
      </c>
      <c r="AT680" s="4" t="s">
        <v>4945</v>
      </c>
    </row>
    <row r="681" spans="1:46">
      <c r="A681" s="2">
        <v>1957</v>
      </c>
      <c r="B681" t="s">
        <v>4946</v>
      </c>
      <c r="C681" t="s">
        <v>2021</v>
      </c>
      <c r="D681" t="s">
        <v>3790</v>
      </c>
      <c r="E681" s="4">
        <v>43465</v>
      </c>
      <c r="F681" s="11">
        <v>-9.6308451999999996</v>
      </c>
      <c r="G681" s="11">
        <v>42.861665080000002</v>
      </c>
      <c r="H681" s="11">
        <v>-1.7854300973999999</v>
      </c>
      <c r="I681" s="11">
        <v>90.1157453191</v>
      </c>
      <c r="J681" s="11">
        <v>34.258238897799998</v>
      </c>
      <c r="K681" s="10">
        <v>0.164301277287</v>
      </c>
      <c r="L681" s="12">
        <v>11536425000</v>
      </c>
      <c r="M681">
        <v>38.0921163054321</v>
      </c>
      <c r="N681" s="7">
        <v>2.0268731893873899</v>
      </c>
      <c r="O681" s="7">
        <v>11.644405236036899</v>
      </c>
      <c r="P681" s="7">
        <v>51.129998510098098</v>
      </c>
      <c r="Q681" s="7">
        <v>1.0145033792278291</v>
      </c>
      <c r="U681">
        <v>0.9865896860122868</v>
      </c>
      <c r="AT681" s="4" t="s">
        <v>3757</v>
      </c>
    </row>
    <row r="682" spans="1:46">
      <c r="A682" s="2">
        <v>2604</v>
      </c>
      <c r="B682" t="s">
        <v>4947</v>
      </c>
      <c r="C682" t="s">
        <v>2668</v>
      </c>
      <c r="D682" t="s">
        <v>3849</v>
      </c>
      <c r="E682" s="4">
        <v>43465</v>
      </c>
      <c r="F682" s="11">
        <v>21.449554729999999</v>
      </c>
      <c r="G682" s="11">
        <v>42.857142860000003</v>
      </c>
      <c r="H682" s="11">
        <v>-17.476175466499999</v>
      </c>
      <c r="I682" s="11">
        <v>22.450374311400001</v>
      </c>
      <c r="J682" s="11">
        <v>4.7952942585000002</v>
      </c>
      <c r="K682" s="10">
        <v>0.818318455311</v>
      </c>
      <c r="L682" s="12">
        <v>93659176076.309998</v>
      </c>
      <c r="M682">
        <v>29.505050838783902</v>
      </c>
      <c r="N682" s="7">
        <v>1.6771148540569301</v>
      </c>
      <c r="O682" s="7">
        <v>1.23760105539069</v>
      </c>
      <c r="P682" s="7">
        <v>1190.2824596912001</v>
      </c>
      <c r="Q682" s="7">
        <v>1.1583011583011582</v>
      </c>
      <c r="U682">
        <v>0.29072202794124091</v>
      </c>
      <c r="AT682" s="4" t="s">
        <v>4948</v>
      </c>
    </row>
    <row r="683" spans="1:46">
      <c r="A683" s="2">
        <v>1149</v>
      </c>
      <c r="B683" t="s">
        <v>4949</v>
      </c>
      <c r="C683" t="s">
        <v>2189</v>
      </c>
      <c r="D683" t="s">
        <v>3721</v>
      </c>
      <c r="E683" s="4">
        <v>43465</v>
      </c>
      <c r="F683" s="11">
        <v>-19.43231441</v>
      </c>
      <c r="G683" s="11">
        <v>42.801556419999997</v>
      </c>
      <c r="H683" s="11">
        <v>-19.352308109599999</v>
      </c>
      <c r="I683" s="11">
        <v>23.001927531100002</v>
      </c>
      <c r="J683" s="11">
        <v>-96.372829829500006</v>
      </c>
      <c r="K683" s="10">
        <v>0.209477056095</v>
      </c>
      <c r="L683" s="12">
        <v>30111652291</v>
      </c>
      <c r="M683">
        <v>64.486377929851301</v>
      </c>
      <c r="N683" s="7">
        <v>1.11792268697007</v>
      </c>
      <c r="O683" s="7">
        <v>2.8069014796692802</v>
      </c>
      <c r="P683" s="7">
        <v>-14.4407769971553</v>
      </c>
      <c r="Q683" s="7" t="s">
        <v>3698</v>
      </c>
      <c r="U683">
        <v>-0.82236489226702836</v>
      </c>
      <c r="AT683" s="4" t="s">
        <v>4711</v>
      </c>
    </row>
    <row r="684" spans="1:46">
      <c r="A684" s="2">
        <v>1752</v>
      </c>
      <c r="B684" t="s">
        <v>4950</v>
      </c>
      <c r="C684" t="s">
        <v>396</v>
      </c>
      <c r="D684" t="s">
        <v>3721</v>
      </c>
      <c r="E684" s="4">
        <v>43465</v>
      </c>
      <c r="F684" s="11">
        <v>3.9092940199999999</v>
      </c>
      <c r="G684" s="11">
        <v>42.731760829999999</v>
      </c>
      <c r="H684" s="11">
        <v>10.4977681429</v>
      </c>
      <c r="I684" s="11">
        <v>43.843107424000003</v>
      </c>
      <c r="J684" s="11">
        <v>21.293025415100001</v>
      </c>
      <c r="K684" s="10">
        <v>0.75272641061099999</v>
      </c>
      <c r="L684" s="12">
        <v>5664314774</v>
      </c>
      <c r="M684">
        <v>28.809451929639799</v>
      </c>
      <c r="N684" s="7">
        <v>4.8954767329709297</v>
      </c>
      <c r="O684" s="7">
        <v>5.5490238465876098</v>
      </c>
      <c r="P684" s="7">
        <v>-22.398645149180801</v>
      </c>
      <c r="Q684" s="7">
        <v>1.7422951835217593</v>
      </c>
      <c r="U684">
        <v>0.72841632647298382</v>
      </c>
      <c r="AT684" s="4" t="s">
        <v>4602</v>
      </c>
    </row>
    <row r="685" spans="1:46">
      <c r="A685" s="2">
        <v>779</v>
      </c>
      <c r="B685" t="s">
        <v>4951</v>
      </c>
      <c r="C685" t="s">
        <v>3516</v>
      </c>
      <c r="D685" t="s">
        <v>3713</v>
      </c>
      <c r="E685" s="4">
        <v>43465</v>
      </c>
      <c r="F685" s="11">
        <v>12.34794967</v>
      </c>
      <c r="G685" s="11">
        <v>42.721164610000002</v>
      </c>
      <c r="H685" s="11">
        <v>-9.6369399795999993</v>
      </c>
      <c r="I685" s="11">
        <v>35.010650632199997</v>
      </c>
      <c r="J685" s="11">
        <v>6.4465235488000001</v>
      </c>
      <c r="K685" s="10">
        <v>0.32253574087600001</v>
      </c>
      <c r="L685" s="12">
        <v>6442206469.4799995</v>
      </c>
      <c r="M685">
        <v>116.29788994512499</v>
      </c>
      <c r="N685" s="7">
        <v>3.3975714945989299</v>
      </c>
      <c r="O685" s="7">
        <v>6.9782240547211796</v>
      </c>
      <c r="P685" s="7">
        <v>-11.614342663599899</v>
      </c>
      <c r="Q685" s="7">
        <v>6.3104753891459822E-2</v>
      </c>
      <c r="U685">
        <v>0.14338464495766606</v>
      </c>
      <c r="AT685" s="4" t="s">
        <v>4952</v>
      </c>
    </row>
    <row r="686" spans="1:46">
      <c r="A686" s="2">
        <v>3127</v>
      </c>
      <c r="B686" t="s">
        <v>4953</v>
      </c>
      <c r="C686" t="s">
        <v>3081</v>
      </c>
      <c r="D686" t="s">
        <v>3718</v>
      </c>
      <c r="E686" s="4">
        <v>43465</v>
      </c>
      <c r="F686" s="11">
        <v>-9.37920804</v>
      </c>
      <c r="G686" s="11">
        <v>42.69230769</v>
      </c>
      <c r="H686" s="11">
        <v>12.551616409299999</v>
      </c>
      <c r="I686" s="11">
        <v>24.455045393599999</v>
      </c>
      <c r="J686" s="11">
        <v>2.9050256455999999</v>
      </c>
      <c r="K686" s="10">
        <v>0.26400382728999999</v>
      </c>
      <c r="L686" s="12">
        <v>4372575364.5</v>
      </c>
      <c r="M686">
        <v>-233.05183880295101</v>
      </c>
      <c r="N686" s="7">
        <v>1.7435589145711501</v>
      </c>
      <c r="O686" s="7">
        <v>2.3092780610341102</v>
      </c>
      <c r="P686" s="7">
        <v>-10.0958592809162</v>
      </c>
      <c r="Q686" s="7">
        <v>8.7078651685393263E-2</v>
      </c>
      <c r="U686">
        <v>2.4464034849374486E-2</v>
      </c>
      <c r="AT686" s="4" t="s">
        <v>4954</v>
      </c>
    </row>
    <row r="687" spans="1:46">
      <c r="A687" s="2">
        <v>3060</v>
      </c>
      <c r="B687" t="s">
        <v>4955</v>
      </c>
      <c r="C687" t="s">
        <v>678</v>
      </c>
      <c r="D687" t="s">
        <v>3837</v>
      </c>
      <c r="E687" s="4">
        <v>43465</v>
      </c>
      <c r="F687" s="11">
        <v>34.58466147</v>
      </c>
      <c r="G687" s="11">
        <v>42.508143320000002</v>
      </c>
      <c r="H687" s="11">
        <v>16.548492785200001</v>
      </c>
      <c r="I687" s="11" t="s">
        <v>3698</v>
      </c>
      <c r="J687" s="11">
        <v>27.2124523299</v>
      </c>
      <c r="K687" s="10" t="s">
        <v>3698</v>
      </c>
      <c r="L687" s="12">
        <v>4518021196</v>
      </c>
      <c r="M687">
        <v>9.1747615749241493</v>
      </c>
      <c r="N687" s="7">
        <v>1.1154325075104901</v>
      </c>
      <c r="O687" s="7">
        <v>2.4122515322405298</v>
      </c>
      <c r="P687" s="7">
        <v>-3.52835086070978</v>
      </c>
      <c r="Q687" s="7">
        <v>2.2277227722772275</v>
      </c>
      <c r="U687">
        <v>0.65670706326562989</v>
      </c>
      <c r="AT687" s="4" t="s">
        <v>4956</v>
      </c>
    </row>
    <row r="688" spans="1:46">
      <c r="A688" s="2">
        <v>1658</v>
      </c>
      <c r="B688" t="s">
        <v>4957</v>
      </c>
      <c r="C688" t="s">
        <v>1474</v>
      </c>
      <c r="D688" t="s">
        <v>3737</v>
      </c>
      <c r="E688" s="4">
        <v>43465</v>
      </c>
      <c r="F688" s="11">
        <v>9.1039648</v>
      </c>
      <c r="G688" s="11">
        <v>42.490842489999999</v>
      </c>
      <c r="H688" s="11">
        <v>7.8883795580999996</v>
      </c>
      <c r="I688" s="11">
        <v>50.065944017900001</v>
      </c>
      <c r="J688" s="11">
        <v>9.3855318494999995</v>
      </c>
      <c r="K688" s="10">
        <v>0.59034766788600002</v>
      </c>
      <c r="L688" s="12">
        <v>5539065084</v>
      </c>
      <c r="M688">
        <v>16.0597150042579</v>
      </c>
      <c r="N688" s="7">
        <v>1.8018358568458599</v>
      </c>
      <c r="O688" s="7">
        <v>1.741521822505</v>
      </c>
      <c r="P688" s="7">
        <v>69.511438832610096</v>
      </c>
      <c r="Q688" s="7">
        <v>1.2683916793505836</v>
      </c>
      <c r="U688">
        <v>0.67114817990683806</v>
      </c>
      <c r="AT688" s="4" t="s">
        <v>4044</v>
      </c>
    </row>
    <row r="689" spans="1:46">
      <c r="A689" s="2">
        <v>2842</v>
      </c>
      <c r="B689" t="s">
        <v>4958</v>
      </c>
      <c r="C689" t="s">
        <v>1275</v>
      </c>
      <c r="D689" t="s">
        <v>3858</v>
      </c>
      <c r="E689" s="4">
        <v>43465</v>
      </c>
      <c r="F689" s="11">
        <v>-7.6539101499999997</v>
      </c>
      <c r="G689" s="11">
        <v>42.30769231</v>
      </c>
      <c r="H689" s="11">
        <v>-36.076284922900001</v>
      </c>
      <c r="I689" s="11">
        <v>14.978560376600001</v>
      </c>
      <c r="J689" s="11">
        <v>13.648915024300001</v>
      </c>
      <c r="K689" s="10">
        <v>0.26290680917499998</v>
      </c>
      <c r="L689" s="12">
        <v>5603949768.0600004</v>
      </c>
      <c r="M689">
        <v>-1893.2157263101899</v>
      </c>
      <c r="N689" s="7">
        <v>28.498025709776101</v>
      </c>
      <c r="O689" s="7">
        <v>43.445058095464098</v>
      </c>
      <c r="P689" s="7">
        <v>-83.940829485386203</v>
      </c>
      <c r="Q689" s="7" t="s">
        <v>3698</v>
      </c>
      <c r="U689">
        <v>1.3580740189003491E-2</v>
      </c>
      <c r="AT689" s="4" t="s">
        <v>4959</v>
      </c>
    </row>
    <row r="690" spans="1:46">
      <c r="A690" s="2">
        <v>1811</v>
      </c>
      <c r="B690" t="s">
        <v>4960</v>
      </c>
      <c r="C690" t="s">
        <v>3008</v>
      </c>
      <c r="D690" t="s">
        <v>3713</v>
      </c>
      <c r="E690" s="4">
        <v>43465</v>
      </c>
      <c r="F690" s="11">
        <v>0.29863843000000001</v>
      </c>
      <c r="G690" s="11">
        <v>42.220019819999997</v>
      </c>
      <c r="H690" s="11">
        <v>-2.8345185013999998</v>
      </c>
      <c r="I690" s="11">
        <v>37.612576669900001</v>
      </c>
      <c r="J690" s="11">
        <v>12.5069631261</v>
      </c>
      <c r="K690" s="10">
        <v>0.53829060490699998</v>
      </c>
      <c r="L690" s="12">
        <v>6544549432.96</v>
      </c>
      <c r="M690">
        <v>40.852022820592303</v>
      </c>
      <c r="N690" s="7">
        <v>2.5580016170320299</v>
      </c>
      <c r="O690" s="7">
        <v>3.8243555028592202</v>
      </c>
      <c r="P690" s="7">
        <v>36.874271427831502</v>
      </c>
      <c r="Q690" s="7">
        <v>0.37735849056603776</v>
      </c>
      <c r="U690">
        <v>0.31880252427974087</v>
      </c>
      <c r="AT690" s="4" t="s">
        <v>4961</v>
      </c>
    </row>
    <row r="691" spans="1:46">
      <c r="A691" s="2">
        <v>1189</v>
      </c>
      <c r="B691" t="s">
        <v>4962</v>
      </c>
      <c r="C691" t="s">
        <v>1050</v>
      </c>
      <c r="D691" t="s">
        <v>4060</v>
      </c>
      <c r="E691" s="4">
        <v>43465</v>
      </c>
      <c r="F691" s="11">
        <v>-1.87787222</v>
      </c>
      <c r="G691" s="11">
        <v>42.132867130000001</v>
      </c>
      <c r="H691" s="11">
        <v>10.298316419700001</v>
      </c>
      <c r="I691" s="11">
        <v>31.3225945312</v>
      </c>
      <c r="J691" s="11">
        <v>8.8150993203999999</v>
      </c>
      <c r="K691" s="10">
        <v>0.46210301756200001</v>
      </c>
      <c r="L691" s="12">
        <v>21620686162.119999</v>
      </c>
      <c r="M691">
        <v>53.105176245473601</v>
      </c>
      <c r="N691" s="7">
        <v>2.3728855126687201</v>
      </c>
      <c r="O691" s="7">
        <v>3.8730154605299099</v>
      </c>
      <c r="P691" s="7">
        <v>-9.4784019946999098</v>
      </c>
      <c r="Q691" s="7">
        <v>0.808457711442786</v>
      </c>
      <c r="U691">
        <v>0.12975761433851418</v>
      </c>
      <c r="AT691" s="4" t="s">
        <v>4963</v>
      </c>
    </row>
    <row r="692" spans="1:46">
      <c r="A692" s="2">
        <v>3442</v>
      </c>
      <c r="B692" t="s">
        <v>4964</v>
      </c>
      <c r="C692" t="s">
        <v>2997</v>
      </c>
      <c r="D692" t="s">
        <v>3849</v>
      </c>
      <c r="E692" s="4">
        <v>43465</v>
      </c>
      <c r="F692" s="11">
        <v>-24.378201990000001</v>
      </c>
      <c r="G692" s="11">
        <v>42.101105850000003</v>
      </c>
      <c r="H692" s="11">
        <v>-6.6834505004000002</v>
      </c>
      <c r="I692" s="11">
        <v>25.167719835100002</v>
      </c>
      <c r="J692" s="11">
        <v>6.3085014825999997</v>
      </c>
      <c r="K692" s="10">
        <v>0.49254445334399999</v>
      </c>
      <c r="L692" s="12">
        <v>16142639769.959999</v>
      </c>
      <c r="M692">
        <v>32.813710267704799</v>
      </c>
      <c r="N692" s="7">
        <v>1.27461901591071</v>
      </c>
      <c r="O692" s="7">
        <v>1.9226952936331501</v>
      </c>
      <c r="P692" s="7">
        <v>-6.2339142995714703</v>
      </c>
      <c r="Q692" s="7">
        <v>1.2353304508956144</v>
      </c>
      <c r="U692">
        <v>0.40974276196792475</v>
      </c>
      <c r="AT692" s="4" t="s">
        <v>4326</v>
      </c>
    </row>
    <row r="693" spans="1:46">
      <c r="A693" s="2">
        <v>264</v>
      </c>
      <c r="B693" t="s">
        <v>4965</v>
      </c>
      <c r="C693" t="s">
        <v>3230</v>
      </c>
      <c r="D693" t="s">
        <v>3752</v>
      </c>
      <c r="E693" s="4">
        <v>43465</v>
      </c>
      <c r="F693" s="11">
        <v>-7.2864321600000004</v>
      </c>
      <c r="G693" s="11">
        <v>41.92307692</v>
      </c>
      <c r="H693" s="11">
        <v>27.513647543699999</v>
      </c>
      <c r="I693" s="11">
        <v>11.8347496592</v>
      </c>
      <c r="J693" s="11">
        <v>0.90598625710000003</v>
      </c>
      <c r="K693" s="10">
        <v>0.82309755733400003</v>
      </c>
      <c r="L693" s="12">
        <v>24969197476.75</v>
      </c>
      <c r="M693">
        <v>-20526.1351208632</v>
      </c>
      <c r="N693" s="7">
        <v>8.2044485240037996</v>
      </c>
      <c r="O693" s="7">
        <v>3.4422873298021299</v>
      </c>
      <c r="P693" s="7">
        <v>-54.142642141209897</v>
      </c>
      <c r="Q693" s="7" t="s">
        <v>3698</v>
      </c>
      <c r="U693">
        <v>1.5403331567439495E-3</v>
      </c>
      <c r="AT693" s="4" t="s">
        <v>4966</v>
      </c>
    </row>
    <row r="694" spans="1:46">
      <c r="A694" s="2">
        <v>691</v>
      </c>
      <c r="B694" t="s">
        <v>4967</v>
      </c>
      <c r="C694" t="s">
        <v>1296</v>
      </c>
      <c r="D694" t="s">
        <v>3721</v>
      </c>
      <c r="E694" s="4">
        <v>43465</v>
      </c>
      <c r="F694" s="11">
        <v>21.525325989999999</v>
      </c>
      <c r="G694" s="11">
        <v>41.884816749999999</v>
      </c>
      <c r="H694" s="11">
        <v>2.8256215841999999</v>
      </c>
      <c r="I694" s="11">
        <v>35.6829545688</v>
      </c>
      <c r="J694" s="11">
        <v>5.5548754647000003</v>
      </c>
      <c r="K694" s="10">
        <v>0.61212069604700003</v>
      </c>
      <c r="L694" s="12">
        <v>7804071924.3000002</v>
      </c>
      <c r="M694">
        <v>85.152763471361993</v>
      </c>
      <c r="N694" s="7">
        <v>-3.16523691617724</v>
      </c>
      <c r="O694" s="7">
        <v>1.1627754673981501</v>
      </c>
      <c r="P694" s="7">
        <v>11.9933977208415</v>
      </c>
      <c r="Q694" s="7">
        <v>0.28268551236749118</v>
      </c>
      <c r="U694">
        <v>0.89386168625391083</v>
      </c>
      <c r="AT694" s="4" t="s">
        <v>4730</v>
      </c>
    </row>
    <row r="695" spans="1:46">
      <c r="A695" s="2">
        <v>1599</v>
      </c>
      <c r="B695" t="s">
        <v>4968</v>
      </c>
      <c r="C695" t="s">
        <v>110</v>
      </c>
      <c r="D695" t="s">
        <v>3790</v>
      </c>
      <c r="E695" s="4">
        <v>43465</v>
      </c>
      <c r="F695" s="11">
        <v>-45.254874749999999</v>
      </c>
      <c r="G695" s="11">
        <v>41.80690877</v>
      </c>
      <c r="H695" s="11">
        <v>99.421053838199995</v>
      </c>
      <c r="I695" s="11">
        <v>25.9457435122</v>
      </c>
      <c r="J695" s="11">
        <v>6.188842653</v>
      </c>
      <c r="K695" s="10">
        <v>1.1510834623099999</v>
      </c>
      <c r="L695" s="12">
        <v>2081123460</v>
      </c>
      <c r="M695">
        <v>31.6811366963395</v>
      </c>
      <c r="N695" s="7">
        <v>8.5795468611873709</v>
      </c>
      <c r="O695" s="7">
        <v>1.7756484767115099</v>
      </c>
      <c r="P695" s="7">
        <v>23.184472999451899</v>
      </c>
      <c r="Q695" s="7">
        <v>0.29994001199760051</v>
      </c>
      <c r="T695" s="2"/>
      <c r="U695">
        <v>0.33756401960784316</v>
      </c>
      <c r="AT695" s="4" t="s">
        <v>4030</v>
      </c>
    </row>
    <row r="696" spans="1:46">
      <c r="A696" s="2">
        <v>1791</v>
      </c>
      <c r="B696" t="s">
        <v>4969</v>
      </c>
      <c r="C696" t="s">
        <v>2474</v>
      </c>
      <c r="D696" t="s">
        <v>3713</v>
      </c>
      <c r="E696" s="4">
        <v>43465</v>
      </c>
      <c r="F696" s="11">
        <v>-13.473154729999999</v>
      </c>
      <c r="G696" s="11">
        <v>41.803278689999999</v>
      </c>
      <c r="H696" s="11">
        <v>-0.2684037044</v>
      </c>
      <c r="I696" s="11">
        <v>27.645807250499999</v>
      </c>
      <c r="J696" s="11">
        <v>-26.189054361499998</v>
      </c>
      <c r="K696" s="10">
        <v>0.440940198718</v>
      </c>
      <c r="L696" s="12">
        <v>6600914760</v>
      </c>
      <c r="M696">
        <v>24.567062069697101</v>
      </c>
      <c r="N696" s="7">
        <v>2.37526976312324</v>
      </c>
      <c r="O696" s="7">
        <v>2.4511247676574701</v>
      </c>
      <c r="P696" s="7">
        <v>-675.86985028291804</v>
      </c>
      <c r="Q696" s="7" t="s">
        <v>3698</v>
      </c>
      <c r="U696">
        <v>-0.73496247744499066</v>
      </c>
      <c r="AT696" s="4" t="s">
        <v>4721</v>
      </c>
    </row>
    <row r="697" spans="1:46">
      <c r="A697" s="2">
        <v>2184</v>
      </c>
      <c r="B697" t="s">
        <v>4970</v>
      </c>
      <c r="C697" t="s">
        <v>3249</v>
      </c>
      <c r="D697" t="s">
        <v>3972</v>
      </c>
      <c r="E697" s="4">
        <v>43465</v>
      </c>
      <c r="F697" s="11">
        <v>5.8478777500000003</v>
      </c>
      <c r="G697" s="11">
        <v>41.666666669999998</v>
      </c>
      <c r="H697" s="11">
        <v>25.644401322499998</v>
      </c>
      <c r="I697" s="11">
        <v>15.609077128599999</v>
      </c>
      <c r="J697" s="11">
        <v>2.6359976099</v>
      </c>
      <c r="K697" s="10">
        <v>0.19847985582</v>
      </c>
      <c r="L697" s="12">
        <v>11314808290.59</v>
      </c>
      <c r="M697">
        <v>-102.49773295226601</v>
      </c>
      <c r="N697" s="7">
        <v>0.63667536331959196</v>
      </c>
      <c r="O697" s="7">
        <v>1.6612838312757101</v>
      </c>
      <c r="P697" s="7">
        <v>-8.0378667060184501</v>
      </c>
      <c r="Q697" s="7">
        <v>0.34782608695652173</v>
      </c>
      <c r="U697">
        <v>2.6074027755797105E-2</v>
      </c>
      <c r="AT697" s="4" t="s">
        <v>4971</v>
      </c>
    </row>
    <row r="698" spans="1:46">
      <c r="A698" s="2">
        <v>3310</v>
      </c>
      <c r="B698" t="s">
        <v>4972</v>
      </c>
      <c r="C698" t="s">
        <v>133</v>
      </c>
      <c r="D698" t="s">
        <v>3785</v>
      </c>
      <c r="E698" s="4">
        <v>43465</v>
      </c>
      <c r="F698" s="11">
        <v>22.466668250000001</v>
      </c>
      <c r="G698" s="11">
        <v>41.601700919999999</v>
      </c>
      <c r="H698" s="11">
        <v>11.1656173122</v>
      </c>
      <c r="I698" s="11">
        <v>60.924899346700002</v>
      </c>
      <c r="J698" s="11">
        <v>22.337716122500002</v>
      </c>
      <c r="K698" s="10">
        <v>0.56675100590500005</v>
      </c>
      <c r="L698" s="12">
        <v>3644885343</v>
      </c>
      <c r="M698">
        <v>16.313136492085601</v>
      </c>
      <c r="N698" s="7">
        <v>2.6022665953620399</v>
      </c>
      <c r="O698" s="7">
        <v>3.3286214547054702</v>
      </c>
      <c r="P698" s="7">
        <v>-66.263412171769502</v>
      </c>
      <c r="Q698" s="7">
        <v>3.4313725490196081</v>
      </c>
      <c r="U698">
        <v>0.97336587510000006</v>
      </c>
      <c r="AT698" s="4" t="s">
        <v>4173</v>
      </c>
    </row>
    <row r="699" spans="1:46">
      <c r="A699" s="2">
        <v>1586</v>
      </c>
      <c r="B699" t="s">
        <v>4973</v>
      </c>
      <c r="C699" t="s">
        <v>3452</v>
      </c>
      <c r="D699" t="s">
        <v>3718</v>
      </c>
      <c r="E699" s="4">
        <v>43465</v>
      </c>
      <c r="F699" s="11">
        <v>-12.302180809999999</v>
      </c>
      <c r="G699" s="11">
        <v>41.5821501</v>
      </c>
      <c r="H699" s="11">
        <v>-16.810557484</v>
      </c>
      <c r="I699" s="11">
        <v>34.2098202118</v>
      </c>
      <c r="J699" s="11">
        <v>1.3006802347999999</v>
      </c>
      <c r="K699" s="10">
        <v>0.34147350910699997</v>
      </c>
      <c r="L699" s="12">
        <v>3188078628.1199999</v>
      </c>
      <c r="M699">
        <v>-13.234753538727199</v>
      </c>
      <c r="N699" s="7">
        <v>1.7193027914696399</v>
      </c>
      <c r="O699" s="7">
        <v>2.2431517547258801</v>
      </c>
      <c r="P699" s="7">
        <v>-40.392759196199997</v>
      </c>
      <c r="Q699" s="7">
        <v>0.14306151645207438</v>
      </c>
      <c r="U699">
        <v>9.656563390927396E-2</v>
      </c>
      <c r="AT699" s="4" t="s">
        <v>4087</v>
      </c>
    </row>
    <row r="700" spans="1:46">
      <c r="A700" s="2">
        <v>945</v>
      </c>
      <c r="B700" t="s">
        <v>4974</v>
      </c>
      <c r="C700" t="s">
        <v>1279</v>
      </c>
      <c r="D700" t="s">
        <v>3849</v>
      </c>
      <c r="E700" s="4">
        <v>43465</v>
      </c>
      <c r="F700" s="11">
        <v>-6.0943946000000002</v>
      </c>
      <c r="G700" s="11">
        <v>41.578148710000001</v>
      </c>
      <c r="H700" s="11">
        <v>-13.109729063</v>
      </c>
      <c r="I700" s="11">
        <v>24.136128057099999</v>
      </c>
      <c r="J700" s="11">
        <v>8.0647260966999994</v>
      </c>
      <c r="K700" s="10">
        <v>0.46103545033799997</v>
      </c>
      <c r="L700" s="12">
        <v>35007566593.160004</v>
      </c>
      <c r="M700">
        <v>30.122815238944799</v>
      </c>
      <c r="N700" s="7">
        <v>1.8891056627613201</v>
      </c>
      <c r="O700" s="7">
        <v>1.9811976570148599</v>
      </c>
      <c r="P700" s="7">
        <v>-71.606997068723999</v>
      </c>
      <c r="Q700" s="7">
        <v>1.7301038062283738</v>
      </c>
      <c r="U700">
        <v>0.26045137654074074</v>
      </c>
      <c r="AT700" s="4" t="s">
        <v>4142</v>
      </c>
    </row>
    <row r="701" spans="1:46">
      <c r="A701" s="2">
        <v>896</v>
      </c>
      <c r="B701" t="s">
        <v>4975</v>
      </c>
      <c r="C701" t="s">
        <v>1561</v>
      </c>
      <c r="D701" t="s">
        <v>3781</v>
      </c>
      <c r="E701" s="4">
        <v>43465</v>
      </c>
      <c r="F701" s="11">
        <v>-13.463403720000001</v>
      </c>
      <c r="G701" s="11">
        <v>41.5625</v>
      </c>
      <c r="H701" s="11">
        <v>2.9897340697999999</v>
      </c>
      <c r="I701" s="11">
        <v>18.697739568300001</v>
      </c>
      <c r="J701" s="11">
        <v>2.5177198717999998</v>
      </c>
      <c r="K701" s="10">
        <v>1.0334798254790001</v>
      </c>
      <c r="L701" s="12">
        <v>3892320000</v>
      </c>
      <c r="M701">
        <v>41.294731005269597</v>
      </c>
      <c r="N701" s="7">
        <v>1.43152206814779</v>
      </c>
      <c r="O701" s="7">
        <v>0.69362767844073003</v>
      </c>
      <c r="P701" s="7">
        <v>17.419841812728599</v>
      </c>
      <c r="Q701" s="7" t="s">
        <v>3698</v>
      </c>
      <c r="U701">
        <v>0.11947018489738023</v>
      </c>
      <c r="AT701" s="4" t="s">
        <v>4042</v>
      </c>
    </row>
    <row r="702" spans="1:46">
      <c r="A702" s="2">
        <v>1222</v>
      </c>
      <c r="B702" t="s">
        <v>4976</v>
      </c>
      <c r="C702" t="s">
        <v>839</v>
      </c>
      <c r="D702" t="s">
        <v>3889</v>
      </c>
      <c r="E702" s="4">
        <v>43465</v>
      </c>
      <c r="F702" s="11">
        <v>-37.79455024</v>
      </c>
      <c r="G702" s="11">
        <v>41.541038530000002</v>
      </c>
      <c r="H702" s="11">
        <v>26.159942629500001</v>
      </c>
      <c r="I702" s="11">
        <v>11.2902174876</v>
      </c>
      <c r="J702" s="11">
        <v>0.73661352030000005</v>
      </c>
      <c r="K702" s="10">
        <v>1.107989151175</v>
      </c>
      <c r="L702" s="12">
        <v>5434457391</v>
      </c>
      <c r="M702">
        <v>15.039680929888601</v>
      </c>
      <c r="N702" s="7">
        <v>2.2334663206624898</v>
      </c>
      <c r="O702" s="7">
        <v>0.64659341863465603</v>
      </c>
      <c r="P702" s="7">
        <v>9.2267360272758907</v>
      </c>
      <c r="Q702" s="7">
        <v>0.12422372372372374</v>
      </c>
      <c r="U702">
        <v>5.4235427601954794E-2</v>
      </c>
      <c r="AT702" s="4" t="s">
        <v>4945</v>
      </c>
    </row>
    <row r="703" spans="1:46">
      <c r="A703" s="2">
        <v>2324</v>
      </c>
      <c r="B703" t="s">
        <v>4977</v>
      </c>
      <c r="C703" t="s">
        <v>3668</v>
      </c>
      <c r="D703" t="s">
        <v>3785</v>
      </c>
      <c r="E703" s="4">
        <v>43465</v>
      </c>
      <c r="F703" s="11">
        <v>-9.4771241800000006</v>
      </c>
      <c r="G703" s="11">
        <v>41.269841270000001</v>
      </c>
      <c r="H703" s="11">
        <v>-6.6973099732000003</v>
      </c>
      <c r="I703" s="11">
        <v>9.7015127565999997</v>
      </c>
      <c r="J703" s="11">
        <v>-22.2197765821</v>
      </c>
      <c r="K703" s="10">
        <v>0.961048057856</v>
      </c>
      <c r="L703" s="12">
        <v>25724369653.18</v>
      </c>
      <c r="M703">
        <v>-12.3205041570153</v>
      </c>
      <c r="N703" s="7">
        <v>-6.7268986587864799</v>
      </c>
      <c r="O703" s="7">
        <v>1.1358343574884</v>
      </c>
      <c r="P703" s="7">
        <v>-52.364110663974103</v>
      </c>
      <c r="Q703" s="7" t="s">
        <v>3698</v>
      </c>
      <c r="U703">
        <v>-0.31310993757467764</v>
      </c>
      <c r="AT703" s="4" t="s">
        <v>4978</v>
      </c>
    </row>
    <row r="704" spans="1:46">
      <c r="A704" s="2">
        <v>1491</v>
      </c>
      <c r="B704" t="s">
        <v>4979</v>
      </c>
      <c r="C704" t="s">
        <v>2077</v>
      </c>
      <c r="D704" t="s">
        <v>3718</v>
      </c>
      <c r="E704" s="4">
        <v>43465</v>
      </c>
      <c r="F704" s="11">
        <v>2.7268107399999999</v>
      </c>
      <c r="G704" s="11">
        <v>41.265060239999997</v>
      </c>
      <c r="H704" s="11">
        <v>12.5859515436</v>
      </c>
      <c r="I704" s="11">
        <v>33.913390724599999</v>
      </c>
      <c r="J704" s="11">
        <v>14.8489435727</v>
      </c>
      <c r="K704" s="10">
        <v>0.371636001193</v>
      </c>
      <c r="L704" s="12">
        <v>15936000000</v>
      </c>
      <c r="M704">
        <v>38.587020781027903</v>
      </c>
      <c r="N704" s="7">
        <v>2.1766944773206101</v>
      </c>
      <c r="O704" s="7">
        <v>5.0644750637026501</v>
      </c>
      <c r="P704" s="7">
        <v>-153.337789006615</v>
      </c>
      <c r="Q704" s="7">
        <v>0.46620046620046629</v>
      </c>
      <c r="U704">
        <v>9.4037392950226631E-2</v>
      </c>
      <c r="AT704" s="4" t="s">
        <v>4980</v>
      </c>
    </row>
    <row r="705" spans="1:46">
      <c r="A705" s="2">
        <v>3389</v>
      </c>
      <c r="B705" t="s">
        <v>4981</v>
      </c>
      <c r="C705" t="s">
        <v>1786</v>
      </c>
      <c r="D705" t="s">
        <v>4060</v>
      </c>
      <c r="E705" s="4">
        <v>43465</v>
      </c>
      <c r="F705" s="11">
        <v>-28.547138619999998</v>
      </c>
      <c r="G705" s="11">
        <v>41.198501870000001</v>
      </c>
      <c r="H705" s="11">
        <v>5.5237913812999997</v>
      </c>
      <c r="I705" s="11">
        <v>28.352308503100002</v>
      </c>
      <c r="J705" s="11">
        <v>8.9375783866000003</v>
      </c>
      <c r="K705" s="10">
        <v>0.68355430371299997</v>
      </c>
      <c r="L705" s="12">
        <v>2429083647.0599999</v>
      </c>
      <c r="M705">
        <v>14.144294936894299</v>
      </c>
      <c r="N705" s="7">
        <v>0.93970683248261799</v>
      </c>
      <c r="O705" s="7">
        <v>1.0410641011577899</v>
      </c>
      <c r="P705" s="7">
        <v>-6.8669636915139298</v>
      </c>
      <c r="Q705" s="7">
        <v>2.182163187855787</v>
      </c>
      <c r="U705">
        <v>0.6465280460036047</v>
      </c>
      <c r="AT705" s="4" t="s">
        <v>4982</v>
      </c>
    </row>
    <row r="706" spans="1:46">
      <c r="A706" s="2">
        <v>2476</v>
      </c>
      <c r="B706" t="s">
        <v>4983</v>
      </c>
      <c r="C706" t="s">
        <v>2350</v>
      </c>
      <c r="D706" t="s">
        <v>4060</v>
      </c>
      <c r="E706" s="4">
        <v>43465</v>
      </c>
      <c r="F706" s="11">
        <v>-4.1500155999999997</v>
      </c>
      <c r="G706" s="11">
        <v>41.165755920000002</v>
      </c>
      <c r="H706" s="11">
        <v>11.546563967599999</v>
      </c>
      <c r="I706" s="11">
        <v>23.210893176300001</v>
      </c>
      <c r="J706" s="11">
        <v>4.0046932914999998</v>
      </c>
      <c r="K706" s="10">
        <v>0.59129968030699998</v>
      </c>
      <c r="L706" s="12">
        <v>12703200000</v>
      </c>
      <c r="M706">
        <v>21.7840984249776</v>
      </c>
      <c r="N706" s="7">
        <v>0.77716285877340596</v>
      </c>
      <c r="O706" s="7">
        <v>1.06734725353246</v>
      </c>
      <c r="P706" s="7">
        <v>-5.6148391243746198</v>
      </c>
      <c r="Q706" s="7">
        <v>0.88888888888888884</v>
      </c>
      <c r="U706">
        <v>0.22359406252261854</v>
      </c>
      <c r="AT706" s="4" t="s">
        <v>4984</v>
      </c>
    </row>
    <row r="707" spans="1:46">
      <c r="A707" s="2">
        <v>1145</v>
      </c>
      <c r="B707" t="s">
        <v>4985</v>
      </c>
      <c r="C707" t="s">
        <v>2493</v>
      </c>
      <c r="D707" t="s">
        <v>3728</v>
      </c>
      <c r="E707" s="4">
        <v>43465</v>
      </c>
      <c r="F707" s="11">
        <v>-2.4317362500000002</v>
      </c>
      <c r="G707" s="11">
        <v>41.093117409999998</v>
      </c>
      <c r="H707" s="11">
        <v>-4.2806323480000001</v>
      </c>
      <c r="I707" s="11">
        <v>26.387586999300002</v>
      </c>
      <c r="J707" s="11">
        <v>2.8204154248000002</v>
      </c>
      <c r="K707" s="10">
        <v>0.39926684696100001</v>
      </c>
      <c r="L707" s="12">
        <v>20892740885.099998</v>
      </c>
      <c r="M707">
        <v>71.879827011958497</v>
      </c>
      <c r="N707" s="7">
        <v>3.3200837233111602</v>
      </c>
      <c r="O707" s="7">
        <v>5.3259627031689396</v>
      </c>
      <c r="P707" s="7">
        <v>-85.041319632171096</v>
      </c>
      <c r="Q707" s="7" t="s">
        <v>3698</v>
      </c>
      <c r="U707">
        <v>3.9362893276680723E-2</v>
      </c>
      <c r="AT707" s="4" t="s">
        <v>4523</v>
      </c>
    </row>
    <row r="708" spans="1:46">
      <c r="A708" s="2">
        <v>236</v>
      </c>
      <c r="B708" t="s">
        <v>4986</v>
      </c>
      <c r="C708" t="s">
        <v>1020</v>
      </c>
      <c r="D708" t="s">
        <v>3721</v>
      </c>
      <c r="E708" s="4">
        <v>43465</v>
      </c>
      <c r="F708" s="11">
        <v>28.962337170000001</v>
      </c>
      <c r="G708" s="11">
        <v>41.061452510000002</v>
      </c>
      <c r="H708" s="11">
        <v>36.510936909100003</v>
      </c>
      <c r="I708" s="11">
        <v>41.669477221699999</v>
      </c>
      <c r="J708" s="11">
        <v>22.462355366200001</v>
      </c>
      <c r="K708" s="10">
        <v>0.68503313060799997</v>
      </c>
      <c r="L708" s="12">
        <v>4876288874.3199997</v>
      </c>
      <c r="M708">
        <v>11.0919831781012</v>
      </c>
      <c r="N708" s="7">
        <v>1.8264117276263201</v>
      </c>
      <c r="O708" s="7">
        <v>2.10132659691262</v>
      </c>
      <c r="P708" s="7">
        <v>16.783652181808701</v>
      </c>
      <c r="Q708" s="7">
        <v>2.2624434389140271</v>
      </c>
      <c r="U708">
        <v>1.1362093137660991</v>
      </c>
      <c r="AT708" s="4" t="s">
        <v>4987</v>
      </c>
    </row>
    <row r="709" spans="1:46">
      <c r="A709" s="2">
        <v>4</v>
      </c>
      <c r="B709" t="s">
        <v>4988</v>
      </c>
      <c r="C709" t="s">
        <v>1701</v>
      </c>
      <c r="D709" t="s">
        <v>3737</v>
      </c>
      <c r="E709" s="4">
        <v>43465</v>
      </c>
      <c r="F709" s="11">
        <v>0.9383378</v>
      </c>
      <c r="G709" s="11">
        <v>40.923268870000001</v>
      </c>
      <c r="H709" s="11">
        <v>164.68495083560001</v>
      </c>
      <c r="I709" s="11">
        <v>81.879185085200007</v>
      </c>
      <c r="J709" s="11">
        <v>-5.8911201561000004</v>
      </c>
      <c r="K709" s="10">
        <v>1.1834062122669999</v>
      </c>
      <c r="L709" s="12">
        <v>2941807341.4699998</v>
      </c>
      <c r="M709">
        <v>-1583.3798703755001</v>
      </c>
      <c r="N709" s="7">
        <v>12.323309242299199</v>
      </c>
      <c r="O709" s="7">
        <v>4.1575100673054504</v>
      </c>
      <c r="P709" s="7">
        <v>322.609974850252</v>
      </c>
      <c r="Q709" s="7" t="s">
        <v>3698</v>
      </c>
      <c r="U709">
        <v>-0.24138585634079099</v>
      </c>
      <c r="V709">
        <v>1.3007869627240001</v>
      </c>
      <c r="AT709" s="4" t="s">
        <v>4989</v>
      </c>
    </row>
    <row r="710" spans="1:46">
      <c r="A710" s="2">
        <v>2473</v>
      </c>
      <c r="B710" t="s">
        <v>4990</v>
      </c>
      <c r="C710" t="s">
        <v>2265</v>
      </c>
      <c r="D710" t="s">
        <v>3721</v>
      </c>
      <c r="E710" s="4">
        <v>43465</v>
      </c>
      <c r="F710" s="11">
        <v>-6.6673232899999997</v>
      </c>
      <c r="G710" s="11">
        <v>40.852130330000001</v>
      </c>
      <c r="H710" s="11">
        <v>-0.26728506540000002</v>
      </c>
      <c r="I710" s="11">
        <v>18.475917393100001</v>
      </c>
      <c r="J710" s="11">
        <v>5.8099607916</v>
      </c>
      <c r="K710" s="10">
        <v>0.61736328300999999</v>
      </c>
      <c r="L710" s="12">
        <v>4815354003.0600004</v>
      </c>
      <c r="M710">
        <v>47.1694001285789</v>
      </c>
      <c r="N710" s="7">
        <v>2.1250479277342702</v>
      </c>
      <c r="O710" s="7">
        <v>2.0878570640954801</v>
      </c>
      <c r="P710" s="7">
        <v>-21.010814219308799</v>
      </c>
      <c r="Q710" s="7">
        <v>1.2072434607645874</v>
      </c>
      <c r="U710">
        <v>0.10370835238725815</v>
      </c>
      <c r="AT710" s="4" t="s">
        <v>4991</v>
      </c>
    </row>
    <row r="711" spans="1:46">
      <c r="A711" s="2">
        <v>3219</v>
      </c>
      <c r="B711" t="s">
        <v>4992</v>
      </c>
      <c r="C711" t="s">
        <v>2943</v>
      </c>
      <c r="D711" t="s">
        <v>3998</v>
      </c>
      <c r="E711" s="4">
        <v>43465</v>
      </c>
      <c r="F711" s="11">
        <v>-12.51240087</v>
      </c>
      <c r="G711" s="11">
        <v>40.798611110000003</v>
      </c>
      <c r="H711" s="11">
        <v>2.2247709808999998</v>
      </c>
      <c r="I711" s="11">
        <v>22.8836172468</v>
      </c>
      <c r="J711" s="11">
        <v>1.3991091751</v>
      </c>
      <c r="K711" s="10">
        <v>0.26726143315500001</v>
      </c>
      <c r="L711" s="12">
        <v>4251753070.4400001</v>
      </c>
      <c r="M711">
        <v>-37.823871743180398</v>
      </c>
      <c r="N711" s="7">
        <v>1.3717010189709999</v>
      </c>
      <c r="O711" s="7">
        <v>2.2331296741821598</v>
      </c>
      <c r="P711" s="7">
        <v>-9.2726683385556203</v>
      </c>
      <c r="Q711" s="7">
        <v>0.21621621621621623</v>
      </c>
      <c r="U711">
        <v>6.1721777474700812E-2</v>
      </c>
      <c r="AT711" s="4" t="s">
        <v>4377</v>
      </c>
    </row>
    <row r="712" spans="1:46">
      <c r="A712" s="2">
        <v>1152</v>
      </c>
      <c r="B712" t="s">
        <v>4993</v>
      </c>
      <c r="C712" t="s">
        <v>2865</v>
      </c>
      <c r="D712" t="s">
        <v>3998</v>
      </c>
      <c r="E712" s="4">
        <v>43465</v>
      </c>
      <c r="F712" s="11">
        <v>6.86532126</v>
      </c>
      <c r="G712" s="11">
        <v>40.797546009999998</v>
      </c>
      <c r="H712" s="11">
        <v>17.1576203055</v>
      </c>
      <c r="I712" s="11">
        <v>23.592996146499999</v>
      </c>
      <c r="J712" s="11">
        <v>4.5700527582000001</v>
      </c>
      <c r="K712" s="10">
        <v>1.064937411898</v>
      </c>
      <c r="L712" s="12">
        <v>2315168179.5</v>
      </c>
      <c r="M712">
        <v>16.916212897190601</v>
      </c>
      <c r="N712" s="7">
        <v>1.2794466874258701</v>
      </c>
      <c r="O712" s="7">
        <v>0.72215720110336101</v>
      </c>
      <c r="P712" s="7">
        <v>58.533406245237899</v>
      </c>
      <c r="Q712" s="7">
        <v>0.73991031390134532</v>
      </c>
      <c r="U712">
        <v>0.21783334350961539</v>
      </c>
      <c r="AT712" s="4" t="s">
        <v>4994</v>
      </c>
    </row>
    <row r="713" spans="1:46">
      <c r="A713" s="2">
        <v>2870</v>
      </c>
      <c r="B713" t="s">
        <v>4995</v>
      </c>
      <c r="C713" t="s">
        <v>2441</v>
      </c>
      <c r="D713" t="s">
        <v>3713</v>
      </c>
      <c r="E713" s="4">
        <v>43465</v>
      </c>
      <c r="F713" s="11">
        <v>-14.10027141</v>
      </c>
      <c r="G713" s="11">
        <v>40.776699030000003</v>
      </c>
      <c r="H713" s="11">
        <v>9.3571422684000005</v>
      </c>
      <c r="I713" s="11">
        <v>30.529159933100001</v>
      </c>
      <c r="J713" s="11">
        <v>5.8207578667000002</v>
      </c>
      <c r="K713" s="10">
        <v>0.53631022836300002</v>
      </c>
      <c r="L713" s="12">
        <v>3233841691.52</v>
      </c>
      <c r="M713">
        <v>41.308596844817501</v>
      </c>
      <c r="N713" s="7">
        <v>2.3194312024955601</v>
      </c>
      <c r="O713" s="7">
        <v>2.1302669538779999</v>
      </c>
      <c r="P713" s="7">
        <v>-10.800024304044101</v>
      </c>
      <c r="Q713" s="7">
        <v>0.30551535215509434</v>
      </c>
      <c r="U713">
        <v>0.16735807313902876</v>
      </c>
      <c r="AT713" s="4" t="s">
        <v>4996</v>
      </c>
    </row>
    <row r="714" spans="1:46">
      <c r="A714" s="2">
        <v>455</v>
      </c>
      <c r="B714" t="s">
        <v>4997</v>
      </c>
      <c r="C714" t="s">
        <v>2683</v>
      </c>
      <c r="D714" t="s">
        <v>3737</v>
      </c>
      <c r="E714" s="4">
        <v>43465</v>
      </c>
      <c r="F714" s="11">
        <v>43.002915450000003</v>
      </c>
      <c r="G714" s="11">
        <v>40.751445089999997</v>
      </c>
      <c r="H714" s="11">
        <v>1.9345730941999999</v>
      </c>
      <c r="I714" s="11">
        <v>53.437151685300002</v>
      </c>
      <c r="J714" s="11">
        <v>6.8158913061000002</v>
      </c>
      <c r="K714" s="10">
        <v>0.49424677714699999</v>
      </c>
      <c r="L714" s="12">
        <v>13330021022.790001</v>
      </c>
      <c r="M714">
        <v>43.759851357497404</v>
      </c>
      <c r="N714" s="7">
        <v>3.5290233394594601</v>
      </c>
      <c r="O714" s="7">
        <v>2.8233239805552302</v>
      </c>
      <c r="P714" s="7">
        <v>-117.164206213683</v>
      </c>
      <c r="Q714" s="7" t="s">
        <v>3698</v>
      </c>
      <c r="U714">
        <v>0.12367130253739868</v>
      </c>
      <c r="AT714" s="4" t="s">
        <v>4998</v>
      </c>
    </row>
    <row r="715" spans="1:46">
      <c r="A715" s="2">
        <v>1045</v>
      </c>
      <c r="B715" t="s">
        <v>4999</v>
      </c>
      <c r="C715" t="s">
        <v>1027</v>
      </c>
      <c r="D715" t="s">
        <v>3761</v>
      </c>
      <c r="E715" s="4">
        <v>43465</v>
      </c>
      <c r="F715" s="11">
        <v>-24.494346119999999</v>
      </c>
      <c r="G715" s="11">
        <v>40.747663549999999</v>
      </c>
      <c r="H715" s="11">
        <v>2.0169667268000002</v>
      </c>
      <c r="I715" s="11">
        <v>24.773565737399998</v>
      </c>
      <c r="J715" s="11">
        <v>6.3170151448</v>
      </c>
      <c r="K715" s="10">
        <v>0.43451542539600002</v>
      </c>
      <c r="L715" s="12">
        <v>1897033291.5599999</v>
      </c>
      <c r="M715">
        <v>34.963656878304697</v>
      </c>
      <c r="N715" s="7">
        <v>1.2795654515538899</v>
      </c>
      <c r="O715" s="7">
        <v>1.19711639325573</v>
      </c>
      <c r="P715" s="7">
        <v>-37.950494093678302</v>
      </c>
      <c r="Q715" s="7">
        <v>2.6281208935611038</v>
      </c>
      <c r="U715">
        <v>0.33012665170707522</v>
      </c>
      <c r="AT715" s="4" t="s">
        <v>5000</v>
      </c>
    </row>
    <row r="716" spans="1:46">
      <c r="A716" s="2">
        <v>2168</v>
      </c>
      <c r="B716" t="s">
        <v>5001</v>
      </c>
      <c r="C716" t="s">
        <v>778</v>
      </c>
      <c r="D716" t="s">
        <v>3871</v>
      </c>
      <c r="E716" s="4">
        <v>43465</v>
      </c>
      <c r="F716" s="11">
        <v>6.78237603</v>
      </c>
      <c r="G716" s="11">
        <v>40.703125</v>
      </c>
      <c r="H716" s="11">
        <v>14.614594368300001</v>
      </c>
      <c r="I716" s="11">
        <v>51.557552043400001</v>
      </c>
      <c r="J716" s="11">
        <v>24.456999225400001</v>
      </c>
      <c r="K716" s="10">
        <v>0.27864171622700001</v>
      </c>
      <c r="L716" s="12">
        <v>3050269200</v>
      </c>
      <c r="M716">
        <v>16.812220154206202</v>
      </c>
      <c r="N716" s="7">
        <v>1.8632223329234401</v>
      </c>
      <c r="O716" s="7">
        <v>4.1446425411094703</v>
      </c>
      <c r="P716" s="7">
        <v>-36.269973972166298</v>
      </c>
      <c r="Q716" s="7">
        <v>1.9643953345610803</v>
      </c>
      <c r="U716">
        <v>0.76905068126595755</v>
      </c>
      <c r="AT716" s="4" t="s">
        <v>5002</v>
      </c>
    </row>
    <row r="717" spans="1:46">
      <c r="A717" s="2">
        <v>1821</v>
      </c>
      <c r="B717" t="s">
        <v>5003</v>
      </c>
      <c r="C717" t="s">
        <v>929</v>
      </c>
      <c r="D717" t="s">
        <v>3737</v>
      </c>
      <c r="E717" s="4">
        <v>43465</v>
      </c>
      <c r="F717" s="11">
        <v>-28.554279829999999</v>
      </c>
      <c r="G717" s="11">
        <v>40.572390570000003</v>
      </c>
      <c r="H717" s="11">
        <v>7.5750432872999998</v>
      </c>
      <c r="I717" s="11">
        <v>65.108811649100005</v>
      </c>
      <c r="J717" s="11">
        <v>25.707398815800001</v>
      </c>
      <c r="K717" s="10">
        <v>0.48616334137299999</v>
      </c>
      <c r="L717" s="12">
        <v>2652369500.3000002</v>
      </c>
      <c r="M717">
        <v>18.832621752401401</v>
      </c>
      <c r="N717" s="7">
        <v>3.33270323355719</v>
      </c>
      <c r="O717" s="7">
        <v>3.5359218368576202</v>
      </c>
      <c r="P717" s="7">
        <v>29.899650703915999</v>
      </c>
      <c r="Q717" s="7">
        <v>1.7146356399265155</v>
      </c>
      <c r="U717">
        <v>0.71632748523711187</v>
      </c>
      <c r="AT717" s="4" t="s">
        <v>3772</v>
      </c>
    </row>
    <row r="718" spans="1:46">
      <c r="A718" s="2">
        <v>3449</v>
      </c>
      <c r="B718" t="s">
        <v>5004</v>
      </c>
      <c r="C718" t="s">
        <v>955</v>
      </c>
      <c r="D718" t="s">
        <v>3752</v>
      </c>
      <c r="E718" s="4">
        <v>43465</v>
      </c>
      <c r="F718" s="11">
        <v>-21.557801779999998</v>
      </c>
      <c r="G718" s="11">
        <v>40.571428570000002</v>
      </c>
      <c r="H718" s="11">
        <v>21.346284967199999</v>
      </c>
      <c r="I718" s="11">
        <v>36.090559309299998</v>
      </c>
      <c r="J718" s="11">
        <v>16.4758532737</v>
      </c>
      <c r="K718" s="10">
        <v>0.49981411931000003</v>
      </c>
      <c r="L718" s="12">
        <v>5245344000</v>
      </c>
      <c r="M718">
        <v>12.0835750995089</v>
      </c>
      <c r="N718" s="7">
        <v>1.0518465075496199</v>
      </c>
      <c r="O718" s="7">
        <v>1.75513027760469</v>
      </c>
      <c r="P718" s="7">
        <v>6.7250377025055998</v>
      </c>
      <c r="Q718" s="7">
        <v>1.258447160316319</v>
      </c>
      <c r="U718">
        <v>1.0094316018944987</v>
      </c>
      <c r="AT718" s="4" t="s">
        <v>5005</v>
      </c>
    </row>
    <row r="719" spans="1:46">
      <c r="A719" s="2">
        <v>2</v>
      </c>
      <c r="B719" t="s">
        <v>5006</v>
      </c>
      <c r="C719" t="s">
        <v>2561</v>
      </c>
      <c r="D719" t="s">
        <v>3871</v>
      </c>
      <c r="E719" s="4">
        <v>43465</v>
      </c>
      <c r="F719" s="11">
        <v>11.99087817</v>
      </c>
      <c r="G719" s="11">
        <v>40.535643890000003</v>
      </c>
      <c r="H719" s="11">
        <v>22.553673362400001</v>
      </c>
      <c r="I719" s="11">
        <v>37.481643904499997</v>
      </c>
      <c r="J719" s="11">
        <v>16.5521382865</v>
      </c>
      <c r="K719" s="10">
        <v>0.22100035471999999</v>
      </c>
      <c r="L719" s="12">
        <v>10539620602.77</v>
      </c>
      <c r="M719">
        <v>8.5846765268363701</v>
      </c>
      <c r="N719" s="7">
        <v>1.69050231098653</v>
      </c>
      <c r="O719" s="7">
        <v>0.87122686832229601</v>
      </c>
      <c r="P719" s="7">
        <v>7.1906393054784798</v>
      </c>
      <c r="Q719" s="7">
        <v>3.7729314079422385</v>
      </c>
      <c r="R719" s="5">
        <v>11039152001</v>
      </c>
      <c r="S719">
        <v>9715170043</v>
      </c>
      <c r="U719">
        <v>3.0593519933008122</v>
      </c>
      <c r="V719">
        <v>14.11</v>
      </c>
      <c r="AT719" s="4" t="s">
        <v>5007</v>
      </c>
    </row>
    <row r="720" spans="1:46">
      <c r="A720" s="2">
        <v>949</v>
      </c>
      <c r="B720" t="s">
        <v>5008</v>
      </c>
      <c r="C720" t="s">
        <v>1964</v>
      </c>
      <c r="D720" t="s">
        <v>3718</v>
      </c>
      <c r="E720" s="4">
        <v>43465</v>
      </c>
      <c r="F720" s="11">
        <v>14.97246331</v>
      </c>
      <c r="G720" s="11">
        <v>40.488656200000001</v>
      </c>
      <c r="H720" s="11">
        <v>43.908896181099998</v>
      </c>
      <c r="I720" s="11">
        <v>32.125711929399998</v>
      </c>
      <c r="J720" s="11">
        <v>9.5032252973000002</v>
      </c>
      <c r="K720" s="10">
        <v>0.35066311107600001</v>
      </c>
      <c r="L720" s="12">
        <v>7388175693.4200001</v>
      </c>
      <c r="M720">
        <v>46.471400229505399</v>
      </c>
      <c r="N720" s="7">
        <v>1.77211494569762</v>
      </c>
      <c r="O720" s="7">
        <v>2.5161239816621199</v>
      </c>
      <c r="P720" s="7">
        <v>30.432161308050699</v>
      </c>
      <c r="Q720" s="7">
        <v>0.30193236714975852</v>
      </c>
      <c r="U720">
        <v>0.21274203066920944</v>
      </c>
      <c r="AT720" s="4" t="s">
        <v>4008</v>
      </c>
    </row>
    <row r="721" spans="1:46">
      <c r="A721" s="2">
        <v>3328</v>
      </c>
      <c r="B721" t="s">
        <v>5009</v>
      </c>
      <c r="C721" t="s">
        <v>1836</v>
      </c>
      <c r="D721" t="s">
        <v>3790</v>
      </c>
      <c r="E721" s="4">
        <v>43465</v>
      </c>
      <c r="F721" s="11">
        <v>-26.446942320000002</v>
      </c>
      <c r="G721" s="11">
        <v>40.388007049999999</v>
      </c>
      <c r="H721" s="11">
        <v>-10.190555248300001</v>
      </c>
      <c r="I721" s="11">
        <v>82.600074556500005</v>
      </c>
      <c r="J721" s="11">
        <v>27.083508393399999</v>
      </c>
      <c r="K721" s="10">
        <v>0.233142589751</v>
      </c>
      <c r="L721" s="12">
        <v>5707132362</v>
      </c>
      <c r="M721">
        <v>45.520783128166997</v>
      </c>
      <c r="N721" s="7">
        <v>2.4185053579234799</v>
      </c>
      <c r="O721" s="7">
        <v>9.0689037380646802</v>
      </c>
      <c r="P721" s="7">
        <v>-13.6459239237067</v>
      </c>
      <c r="Q721" s="7">
        <v>0.78596901975966549</v>
      </c>
      <c r="U721">
        <v>0.5334689513610914</v>
      </c>
      <c r="AT721" s="4" t="s">
        <v>5010</v>
      </c>
    </row>
    <row r="722" spans="1:46">
      <c r="A722" s="2">
        <v>3156</v>
      </c>
      <c r="B722" t="s">
        <v>5011</v>
      </c>
      <c r="C722" t="s">
        <v>1257</v>
      </c>
      <c r="D722" t="s">
        <v>4060</v>
      </c>
      <c r="E722" s="4">
        <v>43465</v>
      </c>
      <c r="F722" s="11">
        <v>3.5143503599999999</v>
      </c>
      <c r="G722" s="11">
        <v>40.386680990000002</v>
      </c>
      <c r="H722" s="11">
        <v>11.4445059078</v>
      </c>
      <c r="I722" s="11">
        <v>37.5193772342</v>
      </c>
      <c r="J722" s="11">
        <v>11.3199422827</v>
      </c>
      <c r="K722" s="10">
        <v>0.64021655832799995</v>
      </c>
      <c r="L722" s="12">
        <v>17627444345</v>
      </c>
      <c r="M722">
        <v>14.7119297867791</v>
      </c>
      <c r="N722" s="7">
        <v>1.4394859472391801</v>
      </c>
      <c r="O722" s="7">
        <v>1.4704776749221</v>
      </c>
      <c r="P722" s="7">
        <v>66.021943077455603</v>
      </c>
      <c r="Q722" s="7">
        <v>2.4691358024691357</v>
      </c>
      <c r="U722">
        <v>0.75551453068912444</v>
      </c>
      <c r="AT722" s="4" t="s">
        <v>5012</v>
      </c>
    </row>
    <row r="723" spans="1:46">
      <c r="A723" s="2">
        <v>2261</v>
      </c>
      <c r="B723" t="s">
        <v>5013</v>
      </c>
      <c r="C723" t="s">
        <v>832</v>
      </c>
      <c r="D723" t="s">
        <v>3718</v>
      </c>
      <c r="E723" s="4">
        <v>43465</v>
      </c>
      <c r="F723" s="11">
        <v>-11.25205184</v>
      </c>
      <c r="G723" s="11">
        <v>40.350877189999999</v>
      </c>
      <c r="H723" s="11">
        <v>7.5875530154000002</v>
      </c>
      <c r="I723" s="11">
        <v>31.629589082799999</v>
      </c>
      <c r="J723" s="11">
        <v>18.085521162900001</v>
      </c>
      <c r="K723" s="10">
        <v>0.56929520037799997</v>
      </c>
      <c r="L723" s="12">
        <v>4673187900</v>
      </c>
      <c r="M723">
        <v>15.963221893544899</v>
      </c>
      <c r="N723" s="7">
        <v>1.5150498686203799</v>
      </c>
      <c r="O723" s="7">
        <v>2.0388730110855202</v>
      </c>
      <c r="P723" s="7">
        <v>-37.262126742376303</v>
      </c>
      <c r="Q723" s="7">
        <v>6.866433340693705</v>
      </c>
      <c r="U723">
        <v>0.50805006547629106</v>
      </c>
      <c r="AT723" s="4" t="s">
        <v>5014</v>
      </c>
    </row>
    <row r="724" spans="1:46">
      <c r="A724" s="2">
        <v>2133</v>
      </c>
      <c r="B724" t="s">
        <v>5015</v>
      </c>
      <c r="C724" t="s">
        <v>951</v>
      </c>
      <c r="D724" t="s">
        <v>3718</v>
      </c>
      <c r="E724" s="4">
        <v>43465</v>
      </c>
      <c r="F724" s="11">
        <v>4.4997286699999997</v>
      </c>
      <c r="G724" s="11">
        <v>40.303657690000001</v>
      </c>
      <c r="H724" s="11">
        <v>16.956861307899999</v>
      </c>
      <c r="I724" s="11">
        <v>36.157615305999997</v>
      </c>
      <c r="J724" s="11">
        <v>22.5831051794</v>
      </c>
      <c r="K724" s="10">
        <v>0.56035581942099999</v>
      </c>
      <c r="L724" s="12">
        <v>6965540233.6499996</v>
      </c>
      <c r="M724">
        <v>24.9559130903652</v>
      </c>
      <c r="N724" s="7">
        <v>2.5481794725641498</v>
      </c>
      <c r="O724" s="7">
        <v>4.4172489916980897</v>
      </c>
      <c r="P724" s="7">
        <v>35.297603103479702</v>
      </c>
      <c r="Q724" s="7">
        <v>1.9021739130434785</v>
      </c>
      <c r="U724">
        <v>0.74408234398989903</v>
      </c>
      <c r="AT724" s="4" t="s">
        <v>5016</v>
      </c>
    </row>
    <row r="725" spans="1:46">
      <c r="A725" s="2">
        <v>1011</v>
      </c>
      <c r="B725" t="s">
        <v>5017</v>
      </c>
      <c r="C725" t="s">
        <v>2520</v>
      </c>
      <c r="D725" t="s">
        <v>3837</v>
      </c>
      <c r="E725" s="4">
        <v>43465</v>
      </c>
      <c r="F725" s="11">
        <v>-8.4157472599999998</v>
      </c>
      <c r="G725" s="11">
        <v>40.202702700000003</v>
      </c>
      <c r="H725" s="11">
        <v>55.955890189100003</v>
      </c>
      <c r="I725" s="11" t="s">
        <v>3698</v>
      </c>
      <c r="J725" s="11">
        <v>3.1999887751</v>
      </c>
      <c r="K725" s="10" t="s">
        <v>3698</v>
      </c>
      <c r="L725" s="12">
        <v>363702961772.17999</v>
      </c>
      <c r="M725">
        <v>118.591952870662</v>
      </c>
      <c r="N725" s="7">
        <v>1.3994296327216</v>
      </c>
      <c r="O725" s="7">
        <v>3.1344121259659401</v>
      </c>
      <c r="P725" s="7">
        <v>-14.1403051460273</v>
      </c>
      <c r="Q725" s="7">
        <v>0.67204301075268813</v>
      </c>
      <c r="U725">
        <v>7.8396819063460285E-2</v>
      </c>
      <c r="AT725" s="4" t="s">
        <v>5018</v>
      </c>
    </row>
    <row r="726" spans="1:46">
      <c r="A726" s="2">
        <v>812</v>
      </c>
      <c r="B726" t="s">
        <v>5019</v>
      </c>
      <c r="C726" t="s">
        <v>2028</v>
      </c>
      <c r="D726" t="s">
        <v>4060</v>
      </c>
      <c r="E726" s="4">
        <v>43465</v>
      </c>
      <c r="F726" s="11">
        <v>8.9045121100000006</v>
      </c>
      <c r="G726" s="11">
        <v>40.070921990000002</v>
      </c>
      <c r="H726" s="11">
        <v>33.303667145399999</v>
      </c>
      <c r="I726" s="11">
        <v>18.208344247599999</v>
      </c>
      <c r="J726" s="11">
        <v>4.560727193</v>
      </c>
      <c r="K726" s="10">
        <v>0.72238217861599996</v>
      </c>
      <c r="L726" s="12">
        <v>3929767302.04</v>
      </c>
      <c r="M726">
        <v>35.970195203215603</v>
      </c>
      <c r="N726" s="7">
        <v>3.2289952859252198</v>
      </c>
      <c r="O726" s="7">
        <v>1.45543448825932</v>
      </c>
      <c r="P726" s="7">
        <v>8.3722988875327999</v>
      </c>
      <c r="Q726" s="7">
        <v>2.0638027990217815</v>
      </c>
      <c r="U726">
        <v>0.29880034660022592</v>
      </c>
      <c r="AT726" s="4" t="s">
        <v>4875</v>
      </c>
    </row>
    <row r="727" spans="1:46">
      <c r="A727" s="2">
        <v>675</v>
      </c>
      <c r="B727" t="s">
        <v>5020</v>
      </c>
      <c r="C727" t="s">
        <v>1781</v>
      </c>
      <c r="D727" t="s">
        <v>3718</v>
      </c>
      <c r="E727" s="4">
        <v>43465</v>
      </c>
      <c r="F727" s="11">
        <v>-55.436598789999998</v>
      </c>
      <c r="G727" s="11">
        <v>40</v>
      </c>
      <c r="H727" s="11">
        <v>-8.6215790302999995</v>
      </c>
      <c r="I727" s="11">
        <v>2.7394231902000001</v>
      </c>
      <c r="J727" s="11">
        <v>-23.829477845500001</v>
      </c>
      <c r="K727" s="10">
        <v>1.299925697033</v>
      </c>
      <c r="L727" s="12">
        <v>5733369880</v>
      </c>
      <c r="M727">
        <v>-0.60289354677455897</v>
      </c>
      <c r="N727" s="7">
        <v>3.48319450619366</v>
      </c>
      <c r="O727" s="7">
        <v>9.8585346997762197E-2</v>
      </c>
      <c r="P727" s="7">
        <v>-4.4420382511019598</v>
      </c>
      <c r="Q727" s="7" t="s">
        <v>3698</v>
      </c>
      <c r="U727">
        <v>-4.0046512122284907</v>
      </c>
      <c r="AT727" s="4" t="s">
        <v>5021</v>
      </c>
    </row>
    <row r="728" spans="1:46">
      <c r="A728" s="2">
        <v>741</v>
      </c>
      <c r="B728" t="s">
        <v>5022</v>
      </c>
      <c r="C728" t="s">
        <v>2176</v>
      </c>
      <c r="D728" t="s">
        <v>3713</v>
      </c>
      <c r="E728" s="4">
        <v>43465</v>
      </c>
      <c r="F728" s="11">
        <v>-12.14359784</v>
      </c>
      <c r="G728" s="11">
        <v>39.8538961</v>
      </c>
      <c r="H728" s="11">
        <v>45.411852586599998</v>
      </c>
      <c r="I728" s="11">
        <v>50.026079648600003</v>
      </c>
      <c r="J728" s="11">
        <v>7.8054031482999999</v>
      </c>
      <c r="K728" s="10">
        <v>0.55282226054000005</v>
      </c>
      <c r="L728" s="12">
        <v>16274362790</v>
      </c>
      <c r="M728">
        <v>196.749059225417</v>
      </c>
      <c r="N728" s="7">
        <v>7.5281468943474703</v>
      </c>
      <c r="O728" s="7">
        <v>7.0232714062551098</v>
      </c>
      <c r="P728" s="7">
        <v>-65.993233368545603</v>
      </c>
      <c r="Q728" s="7" t="s">
        <v>3698</v>
      </c>
      <c r="U728">
        <v>0.25904807890369325</v>
      </c>
      <c r="AT728" s="4" t="s">
        <v>5023</v>
      </c>
    </row>
    <row r="729" spans="1:46">
      <c r="A729" s="2">
        <v>2108</v>
      </c>
      <c r="B729" t="s">
        <v>5024</v>
      </c>
      <c r="C729" t="s">
        <v>1532</v>
      </c>
      <c r="D729" t="s">
        <v>3761</v>
      </c>
      <c r="E729" s="4">
        <v>43465</v>
      </c>
      <c r="F729" s="11">
        <v>-27.35049111</v>
      </c>
      <c r="G729" s="11">
        <v>39.835164839999997</v>
      </c>
      <c r="H729" s="11">
        <v>-9.8399280478000009</v>
      </c>
      <c r="I729" s="11">
        <v>36.974453998500003</v>
      </c>
      <c r="J729" s="11">
        <v>16.133929488500002</v>
      </c>
      <c r="K729" s="10">
        <v>0.50399746752100005</v>
      </c>
      <c r="L729" s="12">
        <v>5289484517.46</v>
      </c>
      <c r="M729">
        <v>25.699268504017901</v>
      </c>
      <c r="N729" s="7">
        <v>2.2094814454706699</v>
      </c>
      <c r="O729" s="7">
        <v>3.9317925765203601</v>
      </c>
      <c r="P729" s="7">
        <v>-179.53083927606599</v>
      </c>
      <c r="Q729" s="7">
        <v>1.9570004345936549</v>
      </c>
      <c r="U729">
        <v>0.79215891783241998</v>
      </c>
      <c r="AT729" s="4" t="s">
        <v>5025</v>
      </c>
    </row>
    <row r="730" spans="1:46">
      <c r="A730" s="2">
        <v>2939</v>
      </c>
      <c r="B730" t="s">
        <v>5026</v>
      </c>
      <c r="C730" t="s">
        <v>2366</v>
      </c>
      <c r="D730" t="s">
        <v>3785</v>
      </c>
      <c r="E730" s="4">
        <v>43465</v>
      </c>
      <c r="F730" s="11">
        <v>-3.4782608700000002</v>
      </c>
      <c r="G730" s="11">
        <v>39.808917200000003</v>
      </c>
      <c r="H730" s="11">
        <v>25.0579716861</v>
      </c>
      <c r="I730" s="11">
        <v>25.841601173699999</v>
      </c>
      <c r="J730" s="11">
        <v>4.9214107792000004</v>
      </c>
      <c r="K730" s="10">
        <v>0.59370546512199995</v>
      </c>
      <c r="L730" s="12">
        <v>4104540000</v>
      </c>
      <c r="M730">
        <v>-23.534799172746101</v>
      </c>
      <c r="N730" s="7">
        <v>2.1188829615322202</v>
      </c>
      <c r="O730" s="7">
        <v>2.3879556144954801</v>
      </c>
      <c r="P730" s="7">
        <v>217.76346028958301</v>
      </c>
      <c r="Q730" s="7" t="s">
        <v>3698</v>
      </c>
      <c r="U730">
        <v>6.5510941840726575E-2</v>
      </c>
      <c r="AT730" s="4" t="s">
        <v>5027</v>
      </c>
    </row>
    <row r="731" spans="1:46">
      <c r="A731" s="2">
        <v>2632</v>
      </c>
      <c r="B731" t="s">
        <v>5028</v>
      </c>
      <c r="C731" t="s">
        <v>963</v>
      </c>
      <c r="D731" t="s">
        <v>3737</v>
      </c>
      <c r="E731" s="4">
        <v>43465</v>
      </c>
      <c r="F731" s="11">
        <v>10.522048059999999</v>
      </c>
      <c r="G731" s="11">
        <v>39.785992219999997</v>
      </c>
      <c r="H731" s="11">
        <v>16.768158654400001</v>
      </c>
      <c r="I731" s="11">
        <v>76.334012756299998</v>
      </c>
      <c r="J731" s="11">
        <v>11.444153847300001</v>
      </c>
      <c r="K731" s="10">
        <v>0.69544839346300003</v>
      </c>
      <c r="L731" s="12">
        <v>23450131518.369999</v>
      </c>
      <c r="M731">
        <v>17.081103514241502</v>
      </c>
      <c r="N731" s="7">
        <v>1.7085651815849301</v>
      </c>
      <c r="O731" s="7">
        <v>1.75178365035718</v>
      </c>
      <c r="P731" s="7">
        <v>86.026502173913599</v>
      </c>
      <c r="Q731" s="7">
        <v>0.56258790436005623</v>
      </c>
      <c r="U731">
        <v>0.69979197678181138</v>
      </c>
      <c r="AT731" s="4" t="s">
        <v>5029</v>
      </c>
    </row>
    <row r="732" spans="1:46">
      <c r="A732" s="2">
        <v>976</v>
      </c>
      <c r="B732" t="s">
        <v>5030</v>
      </c>
      <c r="C732" t="s">
        <v>2833</v>
      </c>
      <c r="D732" t="s">
        <v>3713</v>
      </c>
      <c r="E732" s="4">
        <v>43465</v>
      </c>
      <c r="F732" s="11">
        <v>15.180402409999999</v>
      </c>
      <c r="G732" s="11">
        <v>39.743589739999997</v>
      </c>
      <c r="H732" s="11">
        <v>21.411397382600001</v>
      </c>
      <c r="I732" s="11">
        <v>37.6029045979</v>
      </c>
      <c r="J732" s="11">
        <v>10.9738429727</v>
      </c>
      <c r="K732" s="10">
        <v>0.34848578336000002</v>
      </c>
      <c r="L732" s="12">
        <v>8925684403.8400002</v>
      </c>
      <c r="M732">
        <v>101.661950124212</v>
      </c>
      <c r="N732" s="7">
        <v>2.5680508637351198</v>
      </c>
      <c r="O732" s="7">
        <v>4.9135642751744797</v>
      </c>
      <c r="P732" s="7">
        <v>52.9795777210011</v>
      </c>
      <c r="Q732" s="7">
        <v>1.1692721589195656</v>
      </c>
      <c r="U732">
        <v>0.18647896347334028</v>
      </c>
      <c r="AT732" s="4" t="s">
        <v>5031</v>
      </c>
    </row>
    <row r="733" spans="1:46">
      <c r="A733" s="2">
        <v>2097</v>
      </c>
      <c r="B733" t="s">
        <v>5032</v>
      </c>
      <c r="C733" t="s">
        <v>1323</v>
      </c>
      <c r="D733" t="s">
        <v>3721</v>
      </c>
      <c r="E733" s="4">
        <v>43465</v>
      </c>
      <c r="F733" s="11">
        <v>-3.00278709</v>
      </c>
      <c r="G733" s="11">
        <v>39.713971399999998</v>
      </c>
      <c r="H733" s="11">
        <v>-5.7454735147999996</v>
      </c>
      <c r="I733" s="11">
        <v>37.861919258299999</v>
      </c>
      <c r="J733" s="11">
        <v>17.868922196300002</v>
      </c>
      <c r="K733" s="10">
        <v>0.37167825808999999</v>
      </c>
      <c r="L733" s="12">
        <v>2650526198.7800002</v>
      </c>
      <c r="M733">
        <v>22.986936612728101</v>
      </c>
      <c r="N733" s="7">
        <v>1.7693896475081199</v>
      </c>
      <c r="O733" s="7">
        <v>4.48299526279611</v>
      </c>
      <c r="P733" s="7">
        <v>-11.2952653721327</v>
      </c>
      <c r="Q733" s="7">
        <v>0.23369036027263873</v>
      </c>
      <c r="U733">
        <v>1.110508635462963</v>
      </c>
      <c r="AT733" s="4" t="s">
        <v>5033</v>
      </c>
    </row>
    <row r="734" spans="1:46">
      <c r="A734" s="2">
        <v>1671</v>
      </c>
      <c r="B734" t="s">
        <v>5034</v>
      </c>
      <c r="C734" t="s">
        <v>574</v>
      </c>
      <c r="D734" t="s">
        <v>3737</v>
      </c>
      <c r="E734" s="4">
        <v>43465</v>
      </c>
      <c r="F734" s="11">
        <v>-24.258069160000002</v>
      </c>
      <c r="G734" s="11">
        <v>39.672429479999998</v>
      </c>
      <c r="H734" s="11">
        <v>14.324160192900001</v>
      </c>
      <c r="I734" s="11">
        <v>37.223961083699997</v>
      </c>
      <c r="J734" s="11">
        <v>9.6187177345000006</v>
      </c>
      <c r="K734" s="10">
        <v>0.94668921668700001</v>
      </c>
      <c r="L734" s="12">
        <v>75806868310.160004</v>
      </c>
      <c r="M734">
        <v>36.587600277242899</v>
      </c>
      <c r="N734" s="7">
        <v>3.4287228482819798</v>
      </c>
      <c r="O734" s="7">
        <v>2.03023048647453</v>
      </c>
      <c r="P734" s="7">
        <v>-184.12958447559399</v>
      </c>
      <c r="Q734" s="7">
        <v>0.71275837491090521</v>
      </c>
      <c r="U734">
        <v>0.43941597899895951</v>
      </c>
      <c r="AT734" s="4" t="s">
        <v>4919</v>
      </c>
    </row>
    <row r="735" spans="1:46">
      <c r="A735" s="2">
        <v>12</v>
      </c>
      <c r="B735" t="s">
        <v>5035</v>
      </c>
      <c r="C735" t="s">
        <v>1477</v>
      </c>
      <c r="D735" t="s">
        <v>3998</v>
      </c>
      <c r="E735" s="4">
        <v>43465</v>
      </c>
      <c r="F735" s="11">
        <v>-23.55676133</v>
      </c>
      <c r="G735" s="11">
        <v>39.648644419999997</v>
      </c>
      <c r="H735" s="11">
        <v>-2.4765861769000002</v>
      </c>
      <c r="I735" s="11">
        <v>23.463617304</v>
      </c>
      <c r="J735" s="11">
        <v>4.4506148372999998</v>
      </c>
      <c r="K735" s="10">
        <v>0.54903868523900001</v>
      </c>
      <c r="L735" s="12">
        <v>2803175299.3299999</v>
      </c>
      <c r="M735">
        <v>21.7242477422969</v>
      </c>
      <c r="N735" s="7">
        <v>1.30918030075976</v>
      </c>
      <c r="O735" s="7">
        <v>1.0163780197854499</v>
      </c>
      <c r="P735" s="7">
        <v>9.5314588727211493</v>
      </c>
      <c r="Q735" s="7">
        <v>1.0401497820368879</v>
      </c>
      <c r="U735">
        <v>0.15819842201858819</v>
      </c>
      <c r="AT735" s="4" t="s">
        <v>5036</v>
      </c>
    </row>
    <row r="736" spans="1:46">
      <c r="A736" s="2">
        <v>1723</v>
      </c>
      <c r="B736" t="s">
        <v>5037</v>
      </c>
      <c r="C736" t="s">
        <v>411</v>
      </c>
      <c r="D736" t="s">
        <v>3737</v>
      </c>
      <c r="E736" s="4">
        <v>43465</v>
      </c>
      <c r="F736" s="11">
        <v>-6.3486310599999998</v>
      </c>
      <c r="G736" s="11">
        <v>39.622641510000001</v>
      </c>
      <c r="H736" s="11">
        <v>50.096987051299998</v>
      </c>
      <c r="I736" s="11">
        <v>63.8196866953</v>
      </c>
      <c r="J736" s="11">
        <v>20.022295080100001</v>
      </c>
      <c r="K736" s="10">
        <v>0.66505908755900001</v>
      </c>
      <c r="L736" s="12">
        <v>3281245097.04</v>
      </c>
      <c r="M736">
        <v>24.072199532795398</v>
      </c>
      <c r="N736" s="7">
        <v>2.7786448369897898</v>
      </c>
      <c r="O736" s="7">
        <v>4.1946393444802297</v>
      </c>
      <c r="P736" s="7">
        <v>10.503951506543901</v>
      </c>
      <c r="Q736" s="7">
        <v>2.1754894851341549</v>
      </c>
      <c r="U736">
        <v>0.54916021884545474</v>
      </c>
      <c r="AT736" s="4" t="s">
        <v>3908</v>
      </c>
    </row>
    <row r="737" spans="1:46">
      <c r="A737" s="2">
        <v>539</v>
      </c>
      <c r="B737" t="s">
        <v>5038</v>
      </c>
      <c r="C737" t="s">
        <v>3227</v>
      </c>
      <c r="D737" t="s">
        <v>3761</v>
      </c>
      <c r="E737" s="4">
        <v>43465</v>
      </c>
      <c r="F737" s="11">
        <v>-11.77865239</v>
      </c>
      <c r="G737" s="11">
        <v>39.614994930000002</v>
      </c>
      <c r="H737" s="11">
        <v>6.9375602839999999</v>
      </c>
      <c r="I737" s="11">
        <v>30.593878879999998</v>
      </c>
      <c r="J737" s="11">
        <v>6.1161965661000002</v>
      </c>
      <c r="K737" s="10">
        <v>0.66902625928600001</v>
      </c>
      <c r="L737" s="12">
        <v>8739066500.1200008</v>
      </c>
      <c r="M737">
        <v>33.130454134490698</v>
      </c>
      <c r="N737" s="7">
        <v>1.66054714038002</v>
      </c>
      <c r="O737" s="7">
        <v>1.58930651338609</v>
      </c>
      <c r="P737" s="7">
        <v>-85.435495218381305</v>
      </c>
      <c r="Q737" s="7">
        <v>0.7087172218284904</v>
      </c>
      <c r="U737">
        <v>0.38755735363410099</v>
      </c>
      <c r="AT737" s="4" t="s">
        <v>5039</v>
      </c>
    </row>
    <row r="738" spans="1:46">
      <c r="A738" s="2">
        <v>1901</v>
      </c>
      <c r="B738" t="s">
        <v>5040</v>
      </c>
      <c r="C738" t="s">
        <v>720</v>
      </c>
      <c r="D738" t="s">
        <v>3721</v>
      </c>
      <c r="E738" s="4">
        <v>43465</v>
      </c>
      <c r="F738" s="11">
        <v>25.6894326</v>
      </c>
      <c r="G738" s="11">
        <v>39.572649570000003</v>
      </c>
      <c r="H738" s="11">
        <v>35.288843868599997</v>
      </c>
      <c r="I738" s="11">
        <v>27.561488751300001</v>
      </c>
      <c r="J738" s="11">
        <v>11.5162712624</v>
      </c>
      <c r="K738" s="10">
        <v>0.696333919696</v>
      </c>
      <c r="L738" s="12">
        <v>24966668017.200001</v>
      </c>
      <c r="M738">
        <v>21.193000915440098</v>
      </c>
      <c r="N738" s="7">
        <v>3.0262359908195302</v>
      </c>
      <c r="O738" s="7">
        <v>2.8911786968236401</v>
      </c>
      <c r="P738" s="7">
        <v>66.590709663861801</v>
      </c>
      <c r="Q738" s="7">
        <v>1.1582055172413792</v>
      </c>
      <c r="U738">
        <v>0.49433262746173318</v>
      </c>
      <c r="AT738" s="4" t="s">
        <v>4365</v>
      </c>
    </row>
    <row r="739" spans="1:46">
      <c r="A739" s="2">
        <v>3398</v>
      </c>
      <c r="B739" t="s">
        <v>5041</v>
      </c>
      <c r="C739" t="s">
        <v>854</v>
      </c>
      <c r="D739" t="s">
        <v>3761</v>
      </c>
      <c r="E739" s="4">
        <v>43465</v>
      </c>
      <c r="F739" s="11">
        <v>-9.6060471199999995</v>
      </c>
      <c r="G739" s="11">
        <v>39.444995040000002</v>
      </c>
      <c r="H739" s="11">
        <v>22.086984913999999</v>
      </c>
      <c r="I739" s="11">
        <v>39.719266665100001</v>
      </c>
      <c r="J739" s="11">
        <v>25.175222913799999</v>
      </c>
      <c r="K739" s="10">
        <v>0.50585576089399997</v>
      </c>
      <c r="L739" s="12">
        <v>10684440000</v>
      </c>
      <c r="M739">
        <v>24.9756404740188</v>
      </c>
      <c r="N739" s="7">
        <v>2.6764062724304298</v>
      </c>
      <c r="O739" s="7">
        <v>4.88815134798676</v>
      </c>
      <c r="P739" s="7">
        <v>57.595337332963098</v>
      </c>
      <c r="Q739" s="7">
        <v>0.58823529411764708</v>
      </c>
      <c r="U739">
        <v>1.0574132647268071</v>
      </c>
      <c r="AT739" s="4" t="s">
        <v>5042</v>
      </c>
    </row>
    <row r="740" spans="1:46">
      <c r="A740" s="2">
        <v>1615</v>
      </c>
      <c r="B740" t="s">
        <v>5043</v>
      </c>
      <c r="C740" t="s">
        <v>1942</v>
      </c>
      <c r="D740" t="s">
        <v>3764</v>
      </c>
      <c r="E740" s="4">
        <v>43465</v>
      </c>
      <c r="F740" s="11">
        <v>5.0416717000000002</v>
      </c>
      <c r="G740" s="11">
        <v>39.430894309999999</v>
      </c>
      <c r="H740" s="11">
        <v>45.640721619499999</v>
      </c>
      <c r="I740" s="11">
        <v>32.554707841899997</v>
      </c>
      <c r="J740" s="11">
        <v>11.962471534300001</v>
      </c>
      <c r="K740" s="10">
        <v>0.30928617414999998</v>
      </c>
      <c r="L740" s="12">
        <v>2261442240</v>
      </c>
      <c r="M740">
        <v>22.009433750077299</v>
      </c>
      <c r="N740" s="7">
        <v>1.54333764905078</v>
      </c>
      <c r="O740" s="7">
        <v>2.1227538306484002</v>
      </c>
      <c r="P740" s="7">
        <v>-6.3919804075814701</v>
      </c>
      <c r="Q740" s="7">
        <v>0.78864353312302837</v>
      </c>
      <c r="U740">
        <v>0.28542341026611756</v>
      </c>
      <c r="AT740" s="4" t="s">
        <v>4806</v>
      </c>
    </row>
    <row r="741" spans="1:46">
      <c r="A741" s="2">
        <v>1711</v>
      </c>
      <c r="B741" t="s">
        <v>5044</v>
      </c>
      <c r="C741" t="s">
        <v>769</v>
      </c>
      <c r="D741" t="s">
        <v>3761</v>
      </c>
      <c r="E741" s="4">
        <v>43465</v>
      </c>
      <c r="F741" s="11">
        <v>0.61474667000000005</v>
      </c>
      <c r="G741" s="11">
        <v>39.429928740000001</v>
      </c>
      <c r="H741" s="11">
        <v>12.939531391299999</v>
      </c>
      <c r="I741" s="11">
        <v>49.885987561699999</v>
      </c>
      <c r="J741" s="11">
        <v>21.2067932432</v>
      </c>
      <c r="K741" s="10">
        <v>0.50165181834100003</v>
      </c>
      <c r="L741" s="12">
        <v>15572062776.629999</v>
      </c>
      <c r="M741">
        <v>21.547054107702198</v>
      </c>
      <c r="N741" s="7">
        <v>2.47055774052536</v>
      </c>
      <c r="O741" s="7">
        <v>4.0902791805198602</v>
      </c>
      <c r="P741" s="7">
        <v>-107.43871765943101</v>
      </c>
      <c r="Q741" s="7">
        <v>1.9865867392154055</v>
      </c>
      <c r="U741">
        <v>0.44836618564174846</v>
      </c>
      <c r="AT741" s="4" t="s">
        <v>5045</v>
      </c>
    </row>
    <row r="742" spans="1:46">
      <c r="A742" s="2">
        <v>2763</v>
      </c>
      <c r="B742" t="s">
        <v>5046</v>
      </c>
      <c r="C742" t="s">
        <v>204</v>
      </c>
      <c r="D742" t="s">
        <v>3977</v>
      </c>
      <c r="E742" s="4">
        <v>43465</v>
      </c>
      <c r="F742" s="11">
        <v>7.6781184099999997</v>
      </c>
      <c r="G742" s="11">
        <v>39.422382669999998</v>
      </c>
      <c r="H742" s="11">
        <v>12.1690495468</v>
      </c>
      <c r="I742" s="11">
        <v>29.0003344649</v>
      </c>
      <c r="J742" s="11">
        <v>5.3299057371999998</v>
      </c>
      <c r="K742" s="10">
        <v>1.1523449241020001</v>
      </c>
      <c r="L742" s="12">
        <v>8474067862.6599998</v>
      </c>
      <c r="M742">
        <v>13.6722763744177</v>
      </c>
      <c r="N742" s="7">
        <v>5.0859752164314296</v>
      </c>
      <c r="O742" s="7">
        <v>0.50430546625705697</v>
      </c>
      <c r="P742" s="7">
        <v>65.482344530504207</v>
      </c>
      <c r="Q742" s="7">
        <v>2.0418964764507104</v>
      </c>
      <c r="U742">
        <v>1.1683011973604052</v>
      </c>
      <c r="AT742" s="4" t="s">
        <v>5047</v>
      </c>
    </row>
    <row r="743" spans="1:46">
      <c r="A743" s="2">
        <v>2558</v>
      </c>
      <c r="B743" t="s">
        <v>5048</v>
      </c>
      <c r="C743" t="s">
        <v>3623</v>
      </c>
      <c r="D743" t="s">
        <v>3752</v>
      </c>
      <c r="E743" s="4">
        <v>43465</v>
      </c>
      <c r="F743" s="11">
        <v>-13.234862769999999</v>
      </c>
      <c r="G743" s="11">
        <v>39.376770540000003</v>
      </c>
      <c r="H743" s="11">
        <v>-14.855312122699999</v>
      </c>
      <c r="I743" s="11">
        <v>18.139383159200001</v>
      </c>
      <c r="J743" s="11">
        <v>0.29380829419999999</v>
      </c>
      <c r="K743" s="10">
        <v>0.85406695193000004</v>
      </c>
      <c r="L743" s="12">
        <v>10468081813.139999</v>
      </c>
      <c r="M743">
        <v>-7.0378474800326902</v>
      </c>
      <c r="N743" s="7">
        <v>0.98408184326997405</v>
      </c>
      <c r="O743" s="7">
        <v>0.31352764213065598</v>
      </c>
      <c r="P743" s="7">
        <v>-7.4265152894308804</v>
      </c>
      <c r="Q743" s="7">
        <v>0.42826552462526768</v>
      </c>
      <c r="U743">
        <v>3.2486573973184434E-2</v>
      </c>
      <c r="AT743" s="4" t="s">
        <v>5049</v>
      </c>
    </row>
    <row r="744" spans="1:46">
      <c r="A744" s="2">
        <v>1710</v>
      </c>
      <c r="B744" t="s">
        <v>5050</v>
      </c>
      <c r="C744" t="s">
        <v>519</v>
      </c>
      <c r="D744" t="s">
        <v>3752</v>
      </c>
      <c r="E744" s="4">
        <v>43465</v>
      </c>
      <c r="F744" s="11">
        <v>72.501492529999993</v>
      </c>
      <c r="G744" s="11">
        <v>39.172165569999997</v>
      </c>
      <c r="H744" s="11">
        <v>47.646857892500002</v>
      </c>
      <c r="I744" s="11">
        <v>44.818068645399997</v>
      </c>
      <c r="J744" s="11">
        <v>31.0524507262</v>
      </c>
      <c r="K744" s="10">
        <v>0.46894829733400001</v>
      </c>
      <c r="L744" s="12">
        <v>12707936092.25</v>
      </c>
      <c r="M744">
        <v>35.230415396419403</v>
      </c>
      <c r="N744" s="7">
        <v>6.36665996885535</v>
      </c>
      <c r="O744" s="7">
        <v>6.7411885864344301</v>
      </c>
      <c r="P744" s="7">
        <v>-57.905933752450402</v>
      </c>
      <c r="Q744" s="7">
        <v>0.30609121534099387</v>
      </c>
      <c r="U744">
        <v>0.84554746466715924</v>
      </c>
      <c r="AT744" s="4" t="s">
        <v>5045</v>
      </c>
    </row>
    <row r="745" spans="1:46">
      <c r="A745" s="2">
        <v>941</v>
      </c>
      <c r="B745" t="s">
        <v>5051</v>
      </c>
      <c r="C745" t="s">
        <v>681</v>
      </c>
      <c r="D745" t="s">
        <v>3718</v>
      </c>
      <c r="E745" s="4">
        <v>43465</v>
      </c>
      <c r="F745" s="11">
        <v>-1.8290673200000001</v>
      </c>
      <c r="G745" s="11">
        <v>39.037433159999999</v>
      </c>
      <c r="H745" s="11">
        <v>22.465334243600001</v>
      </c>
      <c r="I745" s="11">
        <v>23.284295853500002</v>
      </c>
      <c r="J745" s="11">
        <v>10.0579738324</v>
      </c>
      <c r="K745" s="10">
        <v>0.70433306553899999</v>
      </c>
      <c r="L745" s="12">
        <v>3934274400</v>
      </c>
      <c r="M745">
        <v>13.8982832350687</v>
      </c>
      <c r="N745" s="7">
        <v>1.6991880038298399</v>
      </c>
      <c r="O745" s="7">
        <v>1.1608572527660801</v>
      </c>
      <c r="P745" s="7">
        <v>-63.353912973292601</v>
      </c>
      <c r="Q745" s="7">
        <v>1.5177065767284992</v>
      </c>
      <c r="U745">
        <v>0.76804910802251602</v>
      </c>
      <c r="AT745" s="4" t="s">
        <v>4180</v>
      </c>
    </row>
    <row r="746" spans="1:46">
      <c r="A746" s="2">
        <v>328</v>
      </c>
      <c r="B746" t="s">
        <v>5052</v>
      </c>
      <c r="C746" t="s">
        <v>2608</v>
      </c>
      <c r="D746" t="s">
        <v>3811</v>
      </c>
      <c r="E746" s="4">
        <v>43465</v>
      </c>
      <c r="F746" s="11">
        <v>-21.80289226</v>
      </c>
      <c r="G746" s="11">
        <v>39.015151520000003</v>
      </c>
      <c r="H746" s="11">
        <v>1.55931935E-2</v>
      </c>
      <c r="I746" s="11">
        <v>22.490585258399999</v>
      </c>
      <c r="J746" s="11">
        <v>2.8753378542000001</v>
      </c>
      <c r="K746" s="10">
        <v>1.9301258083970001</v>
      </c>
      <c r="L746" s="12">
        <v>5384602654.5900002</v>
      </c>
      <c r="M746">
        <v>49.446829852009799</v>
      </c>
      <c r="N746" s="7">
        <v>1.0712729825785601</v>
      </c>
      <c r="O746" s="7">
        <v>0.23262211216568901</v>
      </c>
      <c r="P746" s="7">
        <v>5.8602004836940598</v>
      </c>
      <c r="Q746" s="7">
        <v>0.76103500761035003</v>
      </c>
      <c r="U746">
        <v>0.63279476004795743</v>
      </c>
      <c r="AT746" s="4" t="s">
        <v>4663</v>
      </c>
    </row>
    <row r="747" spans="1:46">
      <c r="A747" s="2">
        <v>2392</v>
      </c>
      <c r="B747" t="s">
        <v>5053</v>
      </c>
      <c r="C747" t="s">
        <v>1283</v>
      </c>
      <c r="D747" t="s">
        <v>3977</v>
      </c>
      <c r="E747" s="4">
        <v>43465</v>
      </c>
      <c r="F747" s="11">
        <v>-7.0159212499999999</v>
      </c>
      <c r="G747" s="11">
        <v>39.002932549999997</v>
      </c>
      <c r="H747" s="11">
        <v>11.4713228526</v>
      </c>
      <c r="I747" s="11">
        <v>24.279989115700001</v>
      </c>
      <c r="J747" s="11">
        <v>7.0576257332000001</v>
      </c>
      <c r="K747" s="10">
        <v>0.85745296144500005</v>
      </c>
      <c r="L747" s="12">
        <v>2485580625</v>
      </c>
      <c r="M747">
        <v>16.6645885089243</v>
      </c>
      <c r="N747" s="7">
        <v>1.4822907896631901</v>
      </c>
      <c r="O747" s="7">
        <v>0.89288649906554896</v>
      </c>
      <c r="P747" s="7">
        <v>-10.0383905826604</v>
      </c>
      <c r="Q747" s="7">
        <v>3.5211267605633805</v>
      </c>
      <c r="U747">
        <v>0.26481518252290831</v>
      </c>
      <c r="AT747" s="4" t="s">
        <v>5054</v>
      </c>
    </row>
    <row r="748" spans="1:46">
      <c r="A748" s="2">
        <v>629</v>
      </c>
      <c r="B748" t="s">
        <v>5055</v>
      </c>
      <c r="C748" t="s">
        <v>711</v>
      </c>
      <c r="D748" t="s">
        <v>3737</v>
      </c>
      <c r="E748" s="4">
        <v>43465</v>
      </c>
      <c r="F748" s="11">
        <v>-17.0212766</v>
      </c>
      <c r="G748" s="11">
        <v>38.990825690000001</v>
      </c>
      <c r="H748" s="11">
        <v>-0.17101223639999999</v>
      </c>
      <c r="I748" s="11">
        <v>64.8391838119</v>
      </c>
      <c r="J748" s="11">
        <v>13.131555308099999</v>
      </c>
      <c r="K748" s="10">
        <v>0.14096308074</v>
      </c>
      <c r="L748" s="12">
        <v>128301549226.5</v>
      </c>
      <c r="M748">
        <v>10.3136756192556</v>
      </c>
      <c r="N748" s="7">
        <v>1.29837832877715</v>
      </c>
      <c r="O748" s="7">
        <v>3.0111846308291499</v>
      </c>
      <c r="P748" s="7">
        <v>60.440793093549999</v>
      </c>
      <c r="Q748" s="7" t="s">
        <v>3698</v>
      </c>
      <c r="U748">
        <v>0.13591318441307823</v>
      </c>
      <c r="AT748" s="4" t="s">
        <v>4620</v>
      </c>
    </row>
    <row r="749" spans="1:46">
      <c r="A749" s="2">
        <v>2550</v>
      </c>
      <c r="B749" t="s">
        <v>5056</v>
      </c>
      <c r="C749" t="s">
        <v>2212</v>
      </c>
      <c r="D749" t="s">
        <v>3769</v>
      </c>
      <c r="E749" s="4">
        <v>43465</v>
      </c>
      <c r="F749" s="11">
        <v>-3.6137749499999998</v>
      </c>
      <c r="G749" s="11">
        <v>38.989169680000003</v>
      </c>
      <c r="H749" s="11">
        <v>10.5723650002</v>
      </c>
      <c r="I749" s="11">
        <v>3.4765447943000001</v>
      </c>
      <c r="J749" s="11">
        <v>1.0820112849000001</v>
      </c>
      <c r="K749" s="10">
        <v>3.0396898488850002</v>
      </c>
      <c r="L749" s="12">
        <v>2767073052.2399998</v>
      </c>
      <c r="M749">
        <v>30.457776016853099</v>
      </c>
      <c r="N749" s="7">
        <v>1.88857339701556</v>
      </c>
      <c r="O749" s="7">
        <v>0.214762560943284</v>
      </c>
      <c r="P749" s="7">
        <v>-58.810633584670299</v>
      </c>
      <c r="Q749" s="7">
        <v>1.3235294117647058</v>
      </c>
      <c r="U749">
        <v>0.46318285212445098</v>
      </c>
      <c r="AT749" s="4" t="s">
        <v>5057</v>
      </c>
    </row>
    <row r="750" spans="1:46">
      <c r="A750" s="2">
        <v>1389</v>
      </c>
      <c r="B750" t="s">
        <v>5058</v>
      </c>
      <c r="C750" t="s">
        <v>1800</v>
      </c>
      <c r="D750" t="s">
        <v>3718</v>
      </c>
      <c r="E750" s="4">
        <v>43465</v>
      </c>
      <c r="F750" s="11">
        <v>-24.465456710000002</v>
      </c>
      <c r="G750" s="11">
        <v>38.807588080000002</v>
      </c>
      <c r="H750" s="11">
        <v>-15.575735460600001</v>
      </c>
      <c r="I750" s="11">
        <v>16.328722319400001</v>
      </c>
      <c r="J750" s="11">
        <v>11.7512508121</v>
      </c>
      <c r="K750" s="10">
        <v>0.38517227593699999</v>
      </c>
      <c r="L750" s="12">
        <v>22012343198.150002</v>
      </c>
      <c r="M750">
        <v>142.79861808635999</v>
      </c>
      <c r="N750" s="7">
        <v>2.3201814222498802</v>
      </c>
      <c r="O750" s="7">
        <v>5.6497171645864404</v>
      </c>
      <c r="P750" s="7">
        <v>-24.340465539593701</v>
      </c>
      <c r="Q750" s="7" t="s">
        <v>3698</v>
      </c>
      <c r="U750">
        <v>0.42186320713964304</v>
      </c>
      <c r="AT750" s="4" t="s">
        <v>4527</v>
      </c>
    </row>
    <row r="751" spans="1:46">
      <c r="A751" s="2">
        <v>1234</v>
      </c>
      <c r="B751" t="s">
        <v>5059</v>
      </c>
      <c r="C751" t="s">
        <v>2226</v>
      </c>
      <c r="D751" t="s">
        <v>3977</v>
      </c>
      <c r="E751" s="4">
        <v>43465</v>
      </c>
      <c r="F751" s="11">
        <v>-6.6355002599999997</v>
      </c>
      <c r="G751" s="11">
        <v>38.771593090000003</v>
      </c>
      <c r="H751" s="11">
        <v>14.243130944600001</v>
      </c>
      <c r="I751" s="11">
        <v>71.340105578099994</v>
      </c>
      <c r="J751" s="11">
        <v>15.1572876635</v>
      </c>
      <c r="K751" s="10">
        <v>0.58931385375000001</v>
      </c>
      <c r="L751" s="12">
        <v>12983566838.42</v>
      </c>
      <c r="M751">
        <v>28.100726992078702</v>
      </c>
      <c r="N751" s="7">
        <v>1.9756961075419299</v>
      </c>
      <c r="O751" s="7">
        <v>3.0312571854843702</v>
      </c>
      <c r="P751" s="7">
        <v>-6.0773952746973796</v>
      </c>
      <c r="Q751" s="7">
        <v>1.5128593040847202</v>
      </c>
      <c r="U751">
        <v>0.26382027583333334</v>
      </c>
      <c r="AT751" s="4" t="s">
        <v>5060</v>
      </c>
    </row>
    <row r="752" spans="1:46">
      <c r="A752" s="2">
        <v>1755</v>
      </c>
      <c r="B752" t="s">
        <v>5061</v>
      </c>
      <c r="C752" t="s">
        <v>3204</v>
      </c>
      <c r="D752" t="s">
        <v>3713</v>
      </c>
      <c r="E752" s="4">
        <v>43465</v>
      </c>
      <c r="F752" s="11">
        <v>-9.0654205599999997</v>
      </c>
      <c r="G752" s="11">
        <v>38.769670959999999</v>
      </c>
      <c r="H752" s="11">
        <v>-7.3857497748999998</v>
      </c>
      <c r="I752" s="11">
        <v>17.0820278315</v>
      </c>
      <c r="J752" s="11">
        <v>-9.3172696981000005</v>
      </c>
      <c r="K752" s="10">
        <v>0.39502937510000002</v>
      </c>
      <c r="L752" s="12">
        <v>5073610175</v>
      </c>
      <c r="M752">
        <v>-108.938402613693</v>
      </c>
      <c r="N752" s="7">
        <v>3.1857465075096099</v>
      </c>
      <c r="O752" s="7">
        <v>6.3690921770880999</v>
      </c>
      <c r="P752" s="7">
        <v>244.36006372988399</v>
      </c>
      <c r="Q752" s="7" t="s">
        <v>3698</v>
      </c>
      <c r="U752">
        <v>-0.11491620791666667</v>
      </c>
      <c r="AT752" s="4" t="s">
        <v>3894</v>
      </c>
    </row>
    <row r="753" spans="1:46">
      <c r="A753" s="2">
        <v>1967</v>
      </c>
      <c r="B753" t="s">
        <v>5062</v>
      </c>
      <c r="C753" t="s">
        <v>2222</v>
      </c>
      <c r="D753" t="s">
        <v>3721</v>
      </c>
      <c r="E753" s="4">
        <v>43465</v>
      </c>
      <c r="F753" s="11">
        <v>-24.63050574</v>
      </c>
      <c r="G753" s="11">
        <v>38.747785</v>
      </c>
      <c r="H753" s="11">
        <v>1.4388613142</v>
      </c>
      <c r="I753" s="11">
        <v>14.789775133799999</v>
      </c>
      <c r="J753" s="11">
        <v>3.7088355174999998</v>
      </c>
      <c r="K753" s="10">
        <v>1.1188237284760001</v>
      </c>
      <c r="L753" s="12">
        <v>6897488917.5</v>
      </c>
      <c r="M753">
        <v>50.317315191184797</v>
      </c>
      <c r="N753" s="7">
        <v>3.0661617801566101</v>
      </c>
      <c r="O753" s="7">
        <v>1.6123861873766101</v>
      </c>
      <c r="P753" s="7">
        <v>-16.834979591523801</v>
      </c>
      <c r="Q753" s="7">
        <v>0.35885167464114831</v>
      </c>
      <c r="U753">
        <v>0.37145486699999997</v>
      </c>
      <c r="AT753" s="4" t="s">
        <v>5063</v>
      </c>
    </row>
    <row r="754" spans="1:46">
      <c r="A754" s="2">
        <v>1128</v>
      </c>
      <c r="B754" t="s">
        <v>5064</v>
      </c>
      <c r="C754" t="s">
        <v>895</v>
      </c>
      <c r="D754" t="s">
        <v>3761</v>
      </c>
      <c r="E754" s="4">
        <v>43465</v>
      </c>
      <c r="F754" s="11">
        <v>-50.203998800000001</v>
      </c>
      <c r="G754" s="11">
        <v>38.693467339999998</v>
      </c>
      <c r="H754" s="11">
        <v>-6.9281080778000002</v>
      </c>
      <c r="I754" s="11">
        <v>13.9467561824</v>
      </c>
      <c r="J754" s="11">
        <v>-32.2346241941</v>
      </c>
      <c r="K754" s="10">
        <v>0.52458734505799998</v>
      </c>
      <c r="L754" s="12">
        <v>7991941314.2399998</v>
      </c>
      <c r="M754">
        <v>20.2607568147602</v>
      </c>
      <c r="N754" s="7">
        <v>2.9861067983591001</v>
      </c>
      <c r="O754" s="7">
        <v>1.25950826298036</v>
      </c>
      <c r="P754" s="7">
        <v>-86.800139157661306</v>
      </c>
      <c r="Q754" s="7" t="s">
        <v>3698</v>
      </c>
      <c r="U754">
        <v>-0.88294935189763835</v>
      </c>
      <c r="AT754" s="4" t="s">
        <v>5065</v>
      </c>
    </row>
    <row r="755" spans="1:46">
      <c r="A755" s="2">
        <v>3313</v>
      </c>
      <c r="B755" t="s">
        <v>5066</v>
      </c>
      <c r="C755" t="s">
        <v>497</v>
      </c>
      <c r="D755" t="s">
        <v>3718</v>
      </c>
      <c r="E755" s="4">
        <v>43465</v>
      </c>
      <c r="F755" s="11">
        <v>-9.0400913700000007</v>
      </c>
      <c r="G755" s="11">
        <v>38.622448980000001</v>
      </c>
      <c r="H755" s="11">
        <v>19.497430947400002</v>
      </c>
      <c r="I755" s="11">
        <v>55.025682790799998</v>
      </c>
      <c r="J755" s="11">
        <v>36.330434577200002</v>
      </c>
      <c r="K755" s="10">
        <v>0.44816293599500001</v>
      </c>
      <c r="L755" s="12">
        <v>6609390966.1000004</v>
      </c>
      <c r="M755">
        <v>24.055112916010099</v>
      </c>
      <c r="N755" s="7">
        <v>3.56397846280273</v>
      </c>
      <c r="O755" s="7">
        <v>7.54389204821471</v>
      </c>
      <c r="P755" s="7">
        <v>32.012451051107803</v>
      </c>
      <c r="Q755" s="7">
        <v>1.4699366650633532</v>
      </c>
      <c r="U755">
        <v>0.99229657367291724</v>
      </c>
      <c r="AT755" s="4" t="s">
        <v>5067</v>
      </c>
    </row>
    <row r="756" spans="1:46">
      <c r="A756" s="2">
        <v>2273</v>
      </c>
      <c r="B756" t="s">
        <v>5068</v>
      </c>
      <c r="C756" t="s">
        <v>2569</v>
      </c>
      <c r="D756" t="s">
        <v>3781</v>
      </c>
      <c r="E756" s="4">
        <v>43465</v>
      </c>
      <c r="F756" s="11">
        <v>-12.06140351</v>
      </c>
      <c r="G756" s="11">
        <v>38.596491229999998</v>
      </c>
      <c r="H756" s="11">
        <v>9.1178699897000008</v>
      </c>
      <c r="I756" s="11">
        <v>11.5054796136</v>
      </c>
      <c r="J756" s="11">
        <v>-1.8035162012999999</v>
      </c>
      <c r="K756" s="10">
        <v>1.423222574802</v>
      </c>
      <c r="L756" s="12">
        <v>1712085600</v>
      </c>
      <c r="M756">
        <v>-54.910827732186199</v>
      </c>
      <c r="N756" s="7">
        <v>2.6070286709025101</v>
      </c>
      <c r="O756" s="7">
        <v>0.619354476302034</v>
      </c>
      <c r="P756" s="7">
        <v>93.853896575813394</v>
      </c>
      <c r="Q756" s="7" t="s">
        <v>3698</v>
      </c>
      <c r="U756">
        <v>-8.2805248703153214E-2</v>
      </c>
      <c r="AT756" s="4" t="s">
        <v>5069</v>
      </c>
    </row>
    <row r="757" spans="1:46">
      <c r="A757" s="2">
        <v>963</v>
      </c>
      <c r="B757" t="s">
        <v>5070</v>
      </c>
      <c r="C757" t="s">
        <v>3409</v>
      </c>
      <c r="D757" t="s">
        <v>3761</v>
      </c>
      <c r="E757" s="4">
        <v>43465</v>
      </c>
      <c r="F757" s="11">
        <v>-21.562343569999999</v>
      </c>
      <c r="G757" s="11">
        <v>38.439306360000003</v>
      </c>
      <c r="H757" s="11">
        <v>-25.5978375328</v>
      </c>
      <c r="I757" s="11">
        <v>26.2339189341</v>
      </c>
      <c r="J757" s="11">
        <v>-23.300022905999999</v>
      </c>
      <c r="K757" s="10">
        <v>0.39559647258500003</v>
      </c>
      <c r="L757" s="12">
        <v>5140800000</v>
      </c>
      <c r="M757">
        <v>-34.744628611921698</v>
      </c>
      <c r="N757" s="7">
        <v>1.86826180405819</v>
      </c>
      <c r="O757" s="7">
        <v>1.83061282392875</v>
      </c>
      <c r="P757" s="7">
        <v>-13.209861901961</v>
      </c>
      <c r="Q757" s="7" t="s">
        <v>3698</v>
      </c>
      <c r="U757">
        <v>-0.464782510464677</v>
      </c>
      <c r="AT757" s="4" t="s">
        <v>5071</v>
      </c>
    </row>
    <row r="758" spans="1:46">
      <c r="A758" s="2">
        <v>3020</v>
      </c>
      <c r="B758" t="s">
        <v>5072</v>
      </c>
      <c r="C758" t="s">
        <v>1884</v>
      </c>
      <c r="D758" t="s">
        <v>3837</v>
      </c>
      <c r="E758" s="4">
        <v>43465</v>
      </c>
      <c r="F758" s="11">
        <v>11.20796674</v>
      </c>
      <c r="G758" s="11">
        <v>38.432835820000001</v>
      </c>
      <c r="H758" s="11">
        <v>-15.214330732100001</v>
      </c>
      <c r="I758" s="11" t="s">
        <v>3698</v>
      </c>
      <c r="J758" s="11">
        <v>39.272336160000002</v>
      </c>
      <c r="K758" s="10" t="s">
        <v>3698</v>
      </c>
      <c r="L758" s="12">
        <v>1634640000</v>
      </c>
      <c r="M758">
        <v>19.2925674054691</v>
      </c>
      <c r="N758" s="7">
        <v>1.3661200197888299</v>
      </c>
      <c r="O758" s="7">
        <v>7.7254483063741803</v>
      </c>
      <c r="P758" s="7">
        <v>-40.801171422905398</v>
      </c>
      <c r="Q758" s="7">
        <v>1.6019417475728155</v>
      </c>
      <c r="U758">
        <v>0.66050389275594601</v>
      </c>
      <c r="AT758" s="4" t="s">
        <v>5073</v>
      </c>
    </row>
    <row r="759" spans="1:46">
      <c r="A759" s="2">
        <v>1108</v>
      </c>
      <c r="B759" t="s">
        <v>5074</v>
      </c>
      <c r="C759" t="s">
        <v>120</v>
      </c>
      <c r="D759" t="s">
        <v>3752</v>
      </c>
      <c r="E759" s="4">
        <v>43465</v>
      </c>
      <c r="F759" s="11">
        <v>-9.0399046500000004</v>
      </c>
      <c r="G759" s="11">
        <v>38.388923849999998</v>
      </c>
      <c r="H759" s="11">
        <v>-7.7475341290999999</v>
      </c>
      <c r="I759" s="11">
        <v>33.0440530598</v>
      </c>
      <c r="J759" s="11">
        <v>22.057198523699999</v>
      </c>
      <c r="K759" s="10">
        <v>0.72708687589499998</v>
      </c>
      <c r="L759" s="12">
        <v>2816133306</v>
      </c>
      <c r="M759">
        <v>8.6565445353047199</v>
      </c>
      <c r="N759" s="7">
        <v>2.3581900308269801</v>
      </c>
      <c r="O759" s="7">
        <v>1.9625672249680099</v>
      </c>
      <c r="P759" s="7">
        <v>13.036345725535</v>
      </c>
      <c r="Q759" s="7">
        <v>1.887780788725804</v>
      </c>
      <c r="U759">
        <v>1.6314078543393009</v>
      </c>
      <c r="AT759" s="4" t="s">
        <v>5075</v>
      </c>
    </row>
    <row r="760" spans="1:46">
      <c r="A760" s="2">
        <v>2814</v>
      </c>
      <c r="B760" t="s">
        <v>5076</v>
      </c>
      <c r="C760" t="s">
        <v>164</v>
      </c>
      <c r="D760" t="s">
        <v>3849</v>
      </c>
      <c r="E760" s="4">
        <v>43465</v>
      </c>
      <c r="F760" s="11">
        <v>-4.0456196699999998</v>
      </c>
      <c r="G760" s="11">
        <v>38.369565219999998</v>
      </c>
      <c r="H760" s="11">
        <v>11.875087926400001</v>
      </c>
      <c r="I760" s="11">
        <v>13.7980369853</v>
      </c>
      <c r="J760" s="11">
        <v>6.6459846505</v>
      </c>
      <c r="K760" s="10">
        <v>1.222831643221</v>
      </c>
      <c r="L760" s="12">
        <v>8187822912.2799997</v>
      </c>
      <c r="M760">
        <v>8.7890522643182294</v>
      </c>
      <c r="N760" s="7">
        <v>1.3032693543079701</v>
      </c>
      <c r="O760" s="7">
        <v>0.37295883165357702</v>
      </c>
      <c r="P760" s="7">
        <v>-82.326511058838506</v>
      </c>
      <c r="Q760" s="7">
        <v>4.0509259259259265</v>
      </c>
      <c r="U760">
        <v>2.5461083769012873</v>
      </c>
      <c r="AT760" s="4" t="s">
        <v>5077</v>
      </c>
    </row>
    <row r="761" spans="1:46">
      <c r="A761" s="2">
        <v>16</v>
      </c>
      <c r="B761" t="s">
        <v>5078</v>
      </c>
      <c r="C761" t="s">
        <v>2523</v>
      </c>
      <c r="D761" t="s">
        <v>3977</v>
      </c>
      <c r="E761" s="4">
        <v>43465</v>
      </c>
      <c r="F761" s="11">
        <v>-23.920590700000002</v>
      </c>
      <c r="G761" s="11">
        <v>38.134431339999999</v>
      </c>
      <c r="H761" s="11">
        <v>47.710858995800002</v>
      </c>
      <c r="I761" s="11">
        <v>6.2852476086999998</v>
      </c>
      <c r="J761" s="11">
        <v>1.4495227505999999</v>
      </c>
      <c r="K761" s="10">
        <v>1.631542255594</v>
      </c>
      <c r="L761" s="12">
        <v>4359401402.3999996</v>
      </c>
      <c r="M761">
        <v>-14.957875982909799</v>
      </c>
      <c r="N761" s="7">
        <v>1.0762442124686999</v>
      </c>
      <c r="O761" s="7">
        <v>0.19109800541526001</v>
      </c>
      <c r="P761" s="7">
        <v>5.7986044102803298</v>
      </c>
      <c r="Q761" s="7">
        <v>2.481389578163772</v>
      </c>
      <c r="U761">
        <v>0.17080526132924689</v>
      </c>
      <c r="AT761" s="4" t="s">
        <v>5079</v>
      </c>
    </row>
    <row r="762" spans="1:46">
      <c r="A762" s="2">
        <v>2686</v>
      </c>
      <c r="B762" t="s">
        <v>5080</v>
      </c>
      <c r="C762" t="s">
        <v>2020</v>
      </c>
      <c r="D762" t="s">
        <v>3737</v>
      </c>
      <c r="E762" s="4">
        <v>43465</v>
      </c>
      <c r="F762" s="11">
        <v>-13.227702560000001</v>
      </c>
      <c r="G762" s="11">
        <v>38.085539709999999</v>
      </c>
      <c r="H762" s="11">
        <v>6.7516805466000003</v>
      </c>
      <c r="I762" s="11">
        <v>60.9421513733</v>
      </c>
      <c r="J762" s="11">
        <v>5.3128231383999998</v>
      </c>
      <c r="K762" s="10">
        <v>0.59556338267300002</v>
      </c>
      <c r="L762" s="12">
        <v>2573550704.1799998</v>
      </c>
      <c r="M762">
        <v>27.458905417638601</v>
      </c>
      <c r="N762" s="7">
        <v>1.2614921309682801</v>
      </c>
      <c r="O762" s="7">
        <v>1.3928298919915001</v>
      </c>
      <c r="P762" s="7">
        <v>-19.022736572849201</v>
      </c>
      <c r="Q762" s="7" t="s">
        <v>3698</v>
      </c>
      <c r="U762">
        <v>0.19864637136275662</v>
      </c>
      <c r="AT762" s="4" t="s">
        <v>5081</v>
      </c>
    </row>
    <row r="763" spans="1:46">
      <c r="A763" s="2">
        <v>3074</v>
      </c>
      <c r="B763" t="s">
        <v>5082</v>
      </c>
      <c r="C763" t="s">
        <v>1848</v>
      </c>
      <c r="D763" t="s">
        <v>3837</v>
      </c>
      <c r="E763" s="4">
        <v>43465</v>
      </c>
      <c r="F763" s="11">
        <v>-6.4886611099999998</v>
      </c>
      <c r="G763" s="11">
        <v>38.075313809999997</v>
      </c>
      <c r="H763" s="11">
        <v>-8.7712674648999993</v>
      </c>
      <c r="I763" s="11" t="s">
        <v>3698</v>
      </c>
      <c r="J763" s="11">
        <v>30.423454823699998</v>
      </c>
      <c r="K763" s="10" t="s">
        <v>3698</v>
      </c>
      <c r="L763" s="12">
        <v>2530532000</v>
      </c>
      <c r="M763">
        <v>23.083518802929198</v>
      </c>
      <c r="N763" s="7">
        <v>1.34379670133681</v>
      </c>
      <c r="O763" s="7">
        <v>7.8158097606221899</v>
      </c>
      <c r="P763" s="7">
        <v>-18.704870409859701</v>
      </c>
      <c r="Q763" s="7">
        <v>1.0156971375807942</v>
      </c>
      <c r="U763">
        <v>0.36550450124858325</v>
      </c>
      <c r="AT763" s="4" t="s">
        <v>5083</v>
      </c>
    </row>
    <row r="764" spans="1:46">
      <c r="A764" s="2">
        <v>3466</v>
      </c>
      <c r="B764" t="s">
        <v>5084</v>
      </c>
      <c r="C764" t="s">
        <v>842</v>
      </c>
      <c r="D764" t="s">
        <v>3718</v>
      </c>
      <c r="E764" s="4">
        <v>43465</v>
      </c>
      <c r="F764" s="11">
        <v>-46.500486510000002</v>
      </c>
      <c r="G764" s="11">
        <v>38.007863700000001</v>
      </c>
      <c r="H764" s="11">
        <v>11.2409718851</v>
      </c>
      <c r="I764" s="11">
        <v>24.073194260899999</v>
      </c>
      <c r="J764" s="11">
        <v>5.1679097471000004</v>
      </c>
      <c r="K764" s="10">
        <v>0.57329335181399999</v>
      </c>
      <c r="L764" s="12">
        <v>122532196627.41</v>
      </c>
      <c r="M764">
        <v>20.482926717722801</v>
      </c>
      <c r="N764" s="7">
        <v>1.79112807450306</v>
      </c>
      <c r="O764" s="7">
        <v>1.4226231624971899</v>
      </c>
      <c r="P764" s="7">
        <v>-141.234964044587</v>
      </c>
      <c r="Q764" s="7">
        <v>3.1254504948077315</v>
      </c>
      <c r="U764">
        <v>0.30002373943894656</v>
      </c>
      <c r="AT764" s="4" t="s">
        <v>4604</v>
      </c>
    </row>
    <row r="765" spans="1:46">
      <c r="A765" s="2">
        <v>2196</v>
      </c>
      <c r="B765" t="s">
        <v>5085</v>
      </c>
      <c r="C765" t="s">
        <v>1557</v>
      </c>
      <c r="D765" t="s">
        <v>3871</v>
      </c>
      <c r="E765" s="4">
        <v>43465</v>
      </c>
      <c r="F765" s="11">
        <v>22.593749949999999</v>
      </c>
      <c r="G765" s="11">
        <v>37.998303649999997</v>
      </c>
      <c r="H765" s="11">
        <v>32.6625680621</v>
      </c>
      <c r="I765" s="11">
        <v>32.478431051500003</v>
      </c>
      <c r="J765" s="11">
        <v>13.443329397799999</v>
      </c>
      <c r="K765" s="10">
        <v>0.25218709209200002</v>
      </c>
      <c r="L765" s="12">
        <v>12633792119.27</v>
      </c>
      <c r="M765">
        <v>8.6286290508088204</v>
      </c>
      <c r="N765" s="7">
        <v>1.2155410459831499</v>
      </c>
      <c r="O765" s="7">
        <v>0.846181308940538</v>
      </c>
      <c r="P765" s="7">
        <v>4.4234366991752196</v>
      </c>
      <c r="Q765" s="7">
        <v>3.4545285718019167</v>
      </c>
      <c r="U765">
        <v>1.5892113510885335</v>
      </c>
      <c r="AT765" s="4" t="s">
        <v>5086</v>
      </c>
    </row>
    <row r="766" spans="1:46">
      <c r="A766" s="2">
        <v>2114</v>
      </c>
      <c r="B766" t="s">
        <v>5087</v>
      </c>
      <c r="C766" t="s">
        <v>1085</v>
      </c>
      <c r="D766" t="s">
        <v>3769</v>
      </c>
      <c r="E766" s="4">
        <v>43465</v>
      </c>
      <c r="F766" s="11">
        <v>-21.13143041</v>
      </c>
      <c r="G766" s="11">
        <v>37.931034480000001</v>
      </c>
      <c r="H766" s="11">
        <v>7.4702385182000004</v>
      </c>
      <c r="I766" s="11">
        <v>10.985415426199999</v>
      </c>
      <c r="J766" s="11">
        <v>4.6993559986999998</v>
      </c>
      <c r="K766" s="10">
        <v>1.244299645426</v>
      </c>
      <c r="L766" s="12">
        <v>81939296344.160004</v>
      </c>
      <c r="M766">
        <v>37.940121895770702</v>
      </c>
      <c r="N766" s="7">
        <v>3.0480975159094599</v>
      </c>
      <c r="O766" s="7">
        <v>1.6350715987574</v>
      </c>
      <c r="P766" s="7">
        <v>-9.1700957868189104</v>
      </c>
      <c r="Q766" s="7">
        <v>1.791044776119403</v>
      </c>
      <c r="U766">
        <v>0.31894405076923077</v>
      </c>
      <c r="AT766" s="4" t="s">
        <v>5088</v>
      </c>
    </row>
    <row r="767" spans="1:46">
      <c r="A767" s="2">
        <v>878</v>
      </c>
      <c r="B767" t="s">
        <v>5089</v>
      </c>
      <c r="C767" t="s">
        <v>2565</v>
      </c>
      <c r="D767" t="s">
        <v>3718</v>
      </c>
      <c r="E767" s="4">
        <v>43465</v>
      </c>
      <c r="F767" s="11">
        <v>12.178841520000001</v>
      </c>
      <c r="G767" s="11">
        <v>37.881508080000003</v>
      </c>
      <c r="H767" s="11">
        <v>-5.7348459283000004</v>
      </c>
      <c r="I767" s="11">
        <v>26.0288049097</v>
      </c>
      <c r="J767" s="11">
        <v>0.47585064449999998</v>
      </c>
      <c r="K767" s="10">
        <v>0.55621710007299996</v>
      </c>
      <c r="L767" s="12">
        <v>10522721432.959999</v>
      </c>
      <c r="M767">
        <v>125.602503246284</v>
      </c>
      <c r="N767" s="7">
        <v>1.4095436057656301</v>
      </c>
      <c r="O767" s="7">
        <v>1.4285277440439801</v>
      </c>
      <c r="P767" s="7">
        <v>-73.064262384262307</v>
      </c>
      <c r="Q767" s="7">
        <v>7.4738415545590433</v>
      </c>
      <c r="U767">
        <v>1.9491903498094779E-2</v>
      </c>
      <c r="AT767" s="4" t="s">
        <v>4317</v>
      </c>
    </row>
    <row r="768" spans="1:46">
      <c r="A768" s="2">
        <v>1385</v>
      </c>
      <c r="B768" t="s">
        <v>5090</v>
      </c>
      <c r="C768" t="s">
        <v>1683</v>
      </c>
      <c r="D768" t="s">
        <v>3752</v>
      </c>
      <c r="E768" s="4">
        <v>43465</v>
      </c>
      <c r="F768" s="11">
        <v>-0.72401833000000004</v>
      </c>
      <c r="G768" s="11">
        <v>37.865748709999998</v>
      </c>
      <c r="H768" s="11">
        <v>5.6526707069000004</v>
      </c>
      <c r="I768" s="11">
        <v>16.236708522200001</v>
      </c>
      <c r="J768" s="11">
        <v>4.3366824606999996</v>
      </c>
      <c r="K768" s="10">
        <v>0.78964829647799994</v>
      </c>
      <c r="L768" s="12">
        <v>3855997154.1599998</v>
      </c>
      <c r="M768">
        <v>78.008873375027093</v>
      </c>
      <c r="N768" s="7">
        <v>3.1410707454906301</v>
      </c>
      <c r="O768" s="7">
        <v>2.5738311839360599</v>
      </c>
      <c r="P768" s="7">
        <v>-33.819784274507803</v>
      </c>
      <c r="Q768" s="7">
        <v>0.25658392349007619</v>
      </c>
      <c r="U768">
        <v>0.29790469891986426</v>
      </c>
      <c r="AT768" s="4" t="s">
        <v>5091</v>
      </c>
    </row>
    <row r="769" spans="1:46">
      <c r="A769" s="2">
        <v>1196</v>
      </c>
      <c r="B769" t="s">
        <v>5092</v>
      </c>
      <c r="C769" t="s">
        <v>799</v>
      </c>
      <c r="D769" t="s">
        <v>3842</v>
      </c>
      <c r="E769" s="4">
        <v>43465</v>
      </c>
      <c r="F769" s="11">
        <v>-32.904921399999999</v>
      </c>
      <c r="G769" s="11">
        <v>37.804878049999999</v>
      </c>
      <c r="H769" s="11">
        <v>98.877038063900002</v>
      </c>
      <c r="I769" s="11">
        <v>6.7624094119000002</v>
      </c>
      <c r="J769" s="11">
        <v>3.2465671406999999</v>
      </c>
      <c r="K769" s="10">
        <v>1.681098377376</v>
      </c>
      <c r="L769" s="12">
        <v>36239603032.980003</v>
      </c>
      <c r="M769">
        <v>11.4492922589082</v>
      </c>
      <c r="N769" s="7">
        <v>2.0815785826932802</v>
      </c>
      <c r="O769" s="7">
        <v>0.56916621051451999</v>
      </c>
      <c r="P769" s="7">
        <v>-74.259462825375607</v>
      </c>
      <c r="Q769" s="7">
        <v>0.74294205052005946</v>
      </c>
      <c r="U769">
        <v>0.30549545022518476</v>
      </c>
      <c r="AT769" s="4" t="s">
        <v>3922</v>
      </c>
    </row>
    <row r="770" spans="1:46">
      <c r="A770" s="2">
        <v>355</v>
      </c>
      <c r="B770" t="s">
        <v>5093</v>
      </c>
      <c r="C770" t="s">
        <v>1899</v>
      </c>
      <c r="D770" t="s">
        <v>3832</v>
      </c>
      <c r="E770" s="4">
        <v>43465</v>
      </c>
      <c r="F770" s="11">
        <v>-35.298295449999998</v>
      </c>
      <c r="G770" s="11">
        <v>37.801204820000002</v>
      </c>
      <c r="H770" s="11">
        <v>1.6693218588000001</v>
      </c>
      <c r="I770" s="11">
        <v>18.098673419600001</v>
      </c>
      <c r="J770" s="11">
        <v>2.6725751018000001</v>
      </c>
      <c r="K770" s="10">
        <v>1.3433258679240001</v>
      </c>
      <c r="L770" s="12">
        <v>4290392956.4299998</v>
      </c>
      <c r="M770">
        <v>32.926991892462098</v>
      </c>
      <c r="N770" s="7">
        <v>2.5504304412931398</v>
      </c>
      <c r="O770" s="7">
        <v>0.61056849568607197</v>
      </c>
      <c r="P770" s="7">
        <v>-6.9323492374858704</v>
      </c>
      <c r="Q770" s="7" t="s">
        <v>3698</v>
      </c>
      <c r="U770">
        <v>0.24177107534627965</v>
      </c>
      <c r="AT770" s="4" t="s">
        <v>4476</v>
      </c>
    </row>
    <row r="771" spans="1:46">
      <c r="A771" s="2">
        <v>3038</v>
      </c>
      <c r="B771" t="s">
        <v>5094</v>
      </c>
      <c r="C771" t="s">
        <v>498</v>
      </c>
      <c r="D771" t="s">
        <v>3972</v>
      </c>
      <c r="E771" s="4">
        <v>43465</v>
      </c>
      <c r="F771" s="11">
        <v>18.930764100000001</v>
      </c>
      <c r="G771" s="11">
        <v>37.786859479999997</v>
      </c>
      <c r="H771" s="11">
        <v>19.538160253099999</v>
      </c>
      <c r="I771" s="11">
        <v>9.6815419392000006</v>
      </c>
      <c r="J771" s="11">
        <v>11.4597780846</v>
      </c>
      <c r="K771" s="10">
        <v>0.55594098975899997</v>
      </c>
      <c r="L771" s="12">
        <v>193070684121.16</v>
      </c>
      <c r="M771">
        <v>22.478580810710799</v>
      </c>
      <c r="N771" s="7">
        <v>2.1889096039845799</v>
      </c>
      <c r="O771" s="7">
        <v>2.2917698758691998</v>
      </c>
      <c r="P771" s="7">
        <v>19.735786085746899</v>
      </c>
      <c r="Q771" s="7">
        <v>0.49648502203153855</v>
      </c>
      <c r="U771">
        <v>1.6390487321457634</v>
      </c>
      <c r="AT771" s="4" t="s">
        <v>5095</v>
      </c>
    </row>
    <row r="772" spans="1:46">
      <c r="A772" s="2">
        <v>1216</v>
      </c>
      <c r="B772" t="s">
        <v>5096</v>
      </c>
      <c r="C772" t="s">
        <v>1535</v>
      </c>
      <c r="D772" t="s">
        <v>3761</v>
      </c>
      <c r="E772" s="4">
        <v>43465</v>
      </c>
      <c r="F772" s="11">
        <v>6.6920453000000002</v>
      </c>
      <c r="G772" s="11">
        <v>37.763371149999998</v>
      </c>
      <c r="H772" s="11">
        <v>8.3839111024000008</v>
      </c>
      <c r="I772" s="11">
        <v>40.836420781000001</v>
      </c>
      <c r="J772" s="11">
        <v>14.1038962069</v>
      </c>
      <c r="K772" s="10">
        <v>0.74942515039500002</v>
      </c>
      <c r="L772" s="12">
        <v>3130400000</v>
      </c>
      <c r="M772">
        <v>23.683444097781901</v>
      </c>
      <c r="N772" s="7">
        <v>2.7829385444640899</v>
      </c>
      <c r="O772" s="7">
        <v>3.0883318005934002</v>
      </c>
      <c r="P772" s="7">
        <v>59.104702582808002</v>
      </c>
      <c r="Q772" s="7">
        <v>3.2604273629621616</v>
      </c>
      <c r="U772">
        <v>0.28266799121177499</v>
      </c>
      <c r="AT772" s="4" t="s">
        <v>4073</v>
      </c>
    </row>
    <row r="773" spans="1:46">
      <c r="A773" s="2">
        <v>985</v>
      </c>
      <c r="B773" t="s">
        <v>5097</v>
      </c>
      <c r="C773" t="s">
        <v>2218</v>
      </c>
      <c r="D773" t="s">
        <v>3713</v>
      </c>
      <c r="E773" s="4">
        <v>43465</v>
      </c>
      <c r="F773" s="11">
        <v>1.7685308799999999</v>
      </c>
      <c r="G773" s="11">
        <v>37.741935480000002</v>
      </c>
      <c r="H773" s="11">
        <v>9.4990814008999997</v>
      </c>
      <c r="I773" s="11">
        <v>32.904630011599998</v>
      </c>
      <c r="J773" s="11">
        <v>3.8333792544</v>
      </c>
      <c r="K773" s="10">
        <v>0.31735636958899999</v>
      </c>
      <c r="L773" s="12">
        <v>6341338861.6499996</v>
      </c>
      <c r="M773">
        <v>331.54543222198402</v>
      </c>
      <c r="N773" s="7">
        <v>2.6476941981125202</v>
      </c>
      <c r="O773" s="7">
        <v>5.0421746829641902</v>
      </c>
      <c r="P773" s="7">
        <v>-17.3605896341512</v>
      </c>
      <c r="Q773" s="7">
        <v>0.12360939431396785</v>
      </c>
      <c r="U773">
        <v>5.6033650353584055E-2</v>
      </c>
      <c r="AT773" s="4" t="s">
        <v>3861</v>
      </c>
    </row>
    <row r="774" spans="1:46">
      <c r="A774" s="2">
        <v>3625</v>
      </c>
      <c r="B774" t="s">
        <v>5098</v>
      </c>
      <c r="C774" t="s">
        <v>1044</v>
      </c>
      <c r="D774" t="s">
        <v>3769</v>
      </c>
      <c r="E774" s="4">
        <v>43465</v>
      </c>
      <c r="F774" s="11">
        <v>-44.231555839999999</v>
      </c>
      <c r="G774" s="11">
        <v>37.665782489999998</v>
      </c>
      <c r="H774" s="11">
        <v>8.9950565169000001</v>
      </c>
      <c r="I774" s="11">
        <v>20.5859123191</v>
      </c>
      <c r="J774" s="11">
        <v>11.3728921244</v>
      </c>
      <c r="K774" s="10">
        <v>0.62472644229300001</v>
      </c>
      <c r="L774" s="12">
        <v>2852094000</v>
      </c>
      <c r="M774">
        <v>34.521922191039103</v>
      </c>
      <c r="N774" s="7">
        <v>2.1365624808514299</v>
      </c>
      <c r="O774" s="7">
        <v>2.8872121131031201</v>
      </c>
      <c r="P774" s="7">
        <v>-12.693434031734901</v>
      </c>
      <c r="Q774" s="7" t="s">
        <v>3698</v>
      </c>
      <c r="U774">
        <v>0.78185797806250001</v>
      </c>
      <c r="AT774" s="4" t="s">
        <v>5099</v>
      </c>
    </row>
    <row r="775" spans="1:46">
      <c r="A775" s="2">
        <v>2336</v>
      </c>
      <c r="B775" t="s">
        <v>5100</v>
      </c>
      <c r="C775" t="s">
        <v>2828</v>
      </c>
      <c r="D775" t="s">
        <v>3785</v>
      </c>
      <c r="E775" s="4">
        <v>43465</v>
      </c>
      <c r="F775" s="11">
        <v>-18.7377255</v>
      </c>
      <c r="G775" s="11">
        <v>37.636761489999998</v>
      </c>
      <c r="H775" s="11">
        <v>1.892041318</v>
      </c>
      <c r="I775" s="11">
        <v>51.245852059199997</v>
      </c>
      <c r="J775" s="11">
        <v>7.8172221151999999</v>
      </c>
      <c r="K775" s="10">
        <v>0.41543138409399999</v>
      </c>
      <c r="L775" s="12">
        <v>6832142545.9799995</v>
      </c>
      <c r="M775">
        <v>-180.03452624871099</v>
      </c>
      <c r="N775" s="7">
        <v>1.08465286495894</v>
      </c>
      <c r="O775" s="7">
        <v>2.0202018144361902</v>
      </c>
      <c r="P775" s="7">
        <v>-9.5783868047299805</v>
      </c>
      <c r="Q775" s="7">
        <v>0.2669039145907473</v>
      </c>
      <c r="U775">
        <v>0.18332748326813014</v>
      </c>
      <c r="AT775" s="4" t="s">
        <v>5101</v>
      </c>
    </row>
    <row r="776" spans="1:46">
      <c r="A776" s="2">
        <v>2100</v>
      </c>
      <c r="B776" t="s">
        <v>5102</v>
      </c>
      <c r="C776" t="s">
        <v>3497</v>
      </c>
      <c r="D776" t="s">
        <v>3713</v>
      </c>
      <c r="E776" s="4">
        <v>43465</v>
      </c>
      <c r="F776" s="11">
        <v>24.42871573</v>
      </c>
      <c r="G776" s="11">
        <v>37.614678900000001</v>
      </c>
      <c r="H776" s="11">
        <v>29.7011228557</v>
      </c>
      <c r="I776" s="11">
        <v>49.781521741900001</v>
      </c>
      <c r="J776" s="11">
        <v>11.0260015667</v>
      </c>
      <c r="K776" s="10">
        <v>0.53821679299000003</v>
      </c>
      <c r="L776" s="12" t="s">
        <v>3698</v>
      </c>
      <c r="M776">
        <v>201.73090061765501</v>
      </c>
      <c r="N776" s="7">
        <v>5.2807439001735501</v>
      </c>
      <c r="O776" s="7">
        <v>9.1495149743631803</v>
      </c>
      <c r="P776" s="7">
        <v>46.167459309893403</v>
      </c>
      <c r="Q776" s="7">
        <v>0.25249076658696334</v>
      </c>
      <c r="U776">
        <v>0.31145555501452288</v>
      </c>
      <c r="AT776" s="4" t="s">
        <v>5103</v>
      </c>
    </row>
    <row r="777" spans="1:46">
      <c r="A777" s="2">
        <v>3224</v>
      </c>
      <c r="B777" t="s">
        <v>5104</v>
      </c>
      <c r="C777" t="s">
        <v>91</v>
      </c>
      <c r="D777" t="s">
        <v>3785</v>
      </c>
      <c r="E777" s="4">
        <v>43465</v>
      </c>
      <c r="F777" s="11">
        <v>67.956812780000007</v>
      </c>
      <c r="G777" s="11">
        <v>37.516254879999998</v>
      </c>
      <c r="H777" s="11">
        <v>12.3689887095</v>
      </c>
      <c r="I777" s="11">
        <v>45.7449253622</v>
      </c>
      <c r="J777" s="11">
        <v>22.527997432999999</v>
      </c>
      <c r="K777" s="10">
        <v>0.68139028761599996</v>
      </c>
      <c r="L777" s="12">
        <v>40235179323.57</v>
      </c>
      <c r="M777">
        <v>39.796261016138303</v>
      </c>
      <c r="N777" s="7">
        <v>4.0582302512060497</v>
      </c>
      <c r="O777" s="7">
        <v>4.9945033426274996</v>
      </c>
      <c r="P777" s="7">
        <v>25.6017426273241</v>
      </c>
      <c r="Q777" s="7">
        <v>0.73083271649463555</v>
      </c>
      <c r="U777">
        <v>0.73581117179178346</v>
      </c>
      <c r="AT777" s="4" t="s">
        <v>5105</v>
      </c>
    </row>
    <row r="778" spans="1:46">
      <c r="A778" s="2">
        <v>2029</v>
      </c>
      <c r="B778" t="s">
        <v>5106</v>
      </c>
      <c r="C778" t="s">
        <v>3209</v>
      </c>
      <c r="D778" t="s">
        <v>3713</v>
      </c>
      <c r="E778" s="4">
        <v>43465</v>
      </c>
      <c r="F778" s="11">
        <v>4.2546003499999996</v>
      </c>
      <c r="G778" s="11">
        <v>37.486177660000003</v>
      </c>
      <c r="H778" s="11">
        <v>22.665755141199998</v>
      </c>
      <c r="I778" s="11">
        <v>69.988563473799999</v>
      </c>
      <c r="J778" s="11">
        <v>26.718767705499999</v>
      </c>
      <c r="K778" s="10">
        <v>0.43041428677799998</v>
      </c>
      <c r="L778" s="12">
        <v>6594133644</v>
      </c>
      <c r="M778">
        <v>49.563034600675302</v>
      </c>
      <c r="N778" s="7">
        <v>5.2446719244629696</v>
      </c>
      <c r="O778" s="7">
        <v>11.889661377751599</v>
      </c>
      <c r="P778" s="7">
        <v>-24.275391740582901</v>
      </c>
      <c r="Q778" s="7">
        <v>0.7315418114745873</v>
      </c>
      <c r="U778">
        <v>0.64909869808480714</v>
      </c>
      <c r="AT778" s="4" t="s">
        <v>5107</v>
      </c>
    </row>
    <row r="779" spans="1:46">
      <c r="A779" s="2">
        <v>1292</v>
      </c>
      <c r="B779" t="s">
        <v>5108</v>
      </c>
      <c r="C779" t="s">
        <v>3464</v>
      </c>
      <c r="D779" t="s">
        <v>3718</v>
      </c>
      <c r="E779" s="4">
        <v>43465</v>
      </c>
      <c r="F779" s="11">
        <v>-10.558182710000001</v>
      </c>
      <c r="G779" s="11">
        <v>37.438423649999997</v>
      </c>
      <c r="H779" s="11">
        <v>3.6245275531000001</v>
      </c>
      <c r="I779" s="11">
        <v>17.104680761899999</v>
      </c>
      <c r="J779" s="11">
        <v>1.4012615745000001</v>
      </c>
      <c r="K779" s="10">
        <v>0.75885683790799996</v>
      </c>
      <c r="L779" s="12">
        <v>5319810000</v>
      </c>
      <c r="M779">
        <v>188.02805137362199</v>
      </c>
      <c r="N779" s="7">
        <v>2.0423105792718301</v>
      </c>
      <c r="O779" s="7">
        <v>0.76701139741277402</v>
      </c>
      <c r="P779" s="7">
        <v>-23.937791734360601</v>
      </c>
      <c r="Q779" s="7">
        <v>0.26184538653366579</v>
      </c>
      <c r="U779">
        <v>0.10928269837897388</v>
      </c>
      <c r="AT779" s="4" t="s">
        <v>3833</v>
      </c>
    </row>
    <row r="780" spans="1:46">
      <c r="A780" s="2">
        <v>2312</v>
      </c>
      <c r="B780" t="s">
        <v>5109</v>
      </c>
      <c r="C780" t="s">
        <v>199</v>
      </c>
      <c r="D780" t="s">
        <v>3871</v>
      </c>
      <c r="E780" s="4">
        <v>43465</v>
      </c>
      <c r="F780" s="11">
        <v>-6.20521615</v>
      </c>
      <c r="G780" s="11">
        <v>37.400530500000002</v>
      </c>
      <c r="H780" s="11">
        <v>81.618145358899994</v>
      </c>
      <c r="I780" s="11">
        <v>44.726113173599998</v>
      </c>
      <c r="J780" s="11">
        <v>23.819061896800001</v>
      </c>
      <c r="K780" s="10">
        <v>0.47661960360299999</v>
      </c>
      <c r="L780" s="12">
        <v>4129600000</v>
      </c>
      <c r="M780">
        <v>6.7759936087792898</v>
      </c>
      <c r="N780" s="7">
        <v>1.1832948711689599</v>
      </c>
      <c r="O780" s="7">
        <v>1.09629630810982</v>
      </c>
      <c r="P780" s="7">
        <v>-2616.61626376203</v>
      </c>
      <c r="Q780" s="7">
        <v>2.0366598778004072</v>
      </c>
      <c r="U780">
        <v>0.79270367854520196</v>
      </c>
      <c r="AT780" s="4" t="s">
        <v>5110</v>
      </c>
    </row>
    <row r="781" spans="1:46">
      <c r="A781" s="2">
        <v>1042</v>
      </c>
      <c r="B781" t="s">
        <v>5111</v>
      </c>
      <c r="C781" t="s">
        <v>1569</v>
      </c>
      <c r="D781" t="s">
        <v>3761</v>
      </c>
      <c r="E781" s="4">
        <v>43465</v>
      </c>
      <c r="F781" s="11">
        <v>-20.636149209999999</v>
      </c>
      <c r="G781" s="11">
        <v>37.303370790000002</v>
      </c>
      <c r="H781" s="11">
        <v>16.793360810199999</v>
      </c>
      <c r="I781" s="11">
        <v>26.050797491600001</v>
      </c>
      <c r="J781" s="11">
        <v>12.9921630896</v>
      </c>
      <c r="K781" s="10">
        <v>0.335884249862</v>
      </c>
      <c r="L781" s="12">
        <v>4098074213.52</v>
      </c>
      <c r="M781">
        <v>17.4034533202611</v>
      </c>
      <c r="N781" s="7">
        <v>1.5329146670796601</v>
      </c>
      <c r="O781" s="7">
        <v>2.2787573291116598</v>
      </c>
      <c r="P781" s="7">
        <v>41.412809651696598</v>
      </c>
      <c r="Q781" s="7">
        <v>1.0191762711864407</v>
      </c>
      <c r="U781">
        <v>0.26398711208964365</v>
      </c>
      <c r="AT781" s="4" t="s">
        <v>4196</v>
      </c>
    </row>
    <row r="782" spans="1:46">
      <c r="A782" s="2">
        <v>2904</v>
      </c>
      <c r="B782" t="s">
        <v>5112</v>
      </c>
      <c r="C782" t="s">
        <v>1732</v>
      </c>
      <c r="D782" t="s">
        <v>3889</v>
      </c>
      <c r="E782" s="4">
        <v>43465</v>
      </c>
      <c r="F782" s="11">
        <v>14.010462199999999</v>
      </c>
      <c r="G782" s="11">
        <v>37.075332349999996</v>
      </c>
      <c r="H782" s="11">
        <v>-4.8879870766</v>
      </c>
      <c r="I782" s="11">
        <v>32.256577608199997</v>
      </c>
      <c r="J782" s="11">
        <v>3.4189997731999999</v>
      </c>
      <c r="K782" s="10">
        <v>0.35507155104100002</v>
      </c>
      <c r="L782" s="12">
        <v>15394136546.59</v>
      </c>
      <c r="M782">
        <v>24.195629454207499</v>
      </c>
      <c r="N782" s="7">
        <v>1.3499070709544501</v>
      </c>
      <c r="O782" s="7">
        <v>1.3507028443547899</v>
      </c>
      <c r="P782" s="7">
        <v>20.0143593240212</v>
      </c>
      <c r="Q782" s="7">
        <v>0.12018769222134984</v>
      </c>
      <c r="U782">
        <v>0.17366837346911596</v>
      </c>
      <c r="AT782" s="4" t="s">
        <v>4215</v>
      </c>
    </row>
    <row r="783" spans="1:46">
      <c r="A783" s="2">
        <v>2827</v>
      </c>
      <c r="B783" t="s">
        <v>5113</v>
      </c>
      <c r="C783" t="s">
        <v>1504</v>
      </c>
      <c r="D783" t="s">
        <v>3832</v>
      </c>
      <c r="E783" s="4">
        <v>43465</v>
      </c>
      <c r="F783" s="11">
        <v>-7.3920422700000001</v>
      </c>
      <c r="G783" s="11">
        <v>37.042253520000003</v>
      </c>
      <c r="H783" s="11">
        <v>8.2078377970999998</v>
      </c>
      <c r="I783" s="11">
        <v>89.600430223100005</v>
      </c>
      <c r="J783" s="11">
        <v>8.3530338672000006</v>
      </c>
      <c r="K783" s="10">
        <v>0.35122557426500001</v>
      </c>
      <c r="L783" s="12">
        <v>9903986349.7199993</v>
      </c>
      <c r="M783">
        <v>23.844856813616701</v>
      </c>
      <c r="N783" s="7">
        <v>17.071569148127399</v>
      </c>
      <c r="O783" s="7">
        <v>1.4063271017143699</v>
      </c>
      <c r="P783" s="7">
        <v>23.214233560231399</v>
      </c>
      <c r="Q783" s="7">
        <v>2.4916943521594686</v>
      </c>
      <c r="U783">
        <v>1.1299915418814215</v>
      </c>
      <c r="AT783" s="4" t="s">
        <v>5114</v>
      </c>
    </row>
    <row r="784" spans="1:46">
      <c r="A784" s="2">
        <v>156</v>
      </c>
      <c r="B784" t="s">
        <v>5115</v>
      </c>
      <c r="C784" t="s">
        <v>1822</v>
      </c>
      <c r="D784" t="s">
        <v>3713</v>
      </c>
      <c r="E784" s="4">
        <v>43465</v>
      </c>
      <c r="F784" s="11">
        <v>-5.6325023099999996</v>
      </c>
      <c r="G784" s="11">
        <v>37.037037040000001</v>
      </c>
      <c r="H784" s="11">
        <v>41.145652127399998</v>
      </c>
      <c r="I784" s="11">
        <v>32.594419221700001</v>
      </c>
      <c r="J784" s="11">
        <v>14.440048171999999</v>
      </c>
      <c r="K784" s="10">
        <v>0.41484599509999998</v>
      </c>
      <c r="L784" s="12">
        <v>3746364566.0799999</v>
      </c>
      <c r="M784">
        <v>39.478172504499902</v>
      </c>
      <c r="N784" s="7">
        <v>2.5311837741152901</v>
      </c>
      <c r="O784" s="7">
        <v>4.7219945314454499</v>
      </c>
      <c r="P784" s="7">
        <v>332.14288867006297</v>
      </c>
      <c r="Q784" s="7" t="s">
        <v>3698</v>
      </c>
      <c r="U784">
        <v>0.2863807369097956</v>
      </c>
      <c r="AT784" s="4" t="s">
        <v>5116</v>
      </c>
    </row>
    <row r="785" spans="1:46">
      <c r="A785" s="2">
        <v>561</v>
      </c>
      <c r="B785" t="s">
        <v>5117</v>
      </c>
      <c r="C785" t="s">
        <v>764</v>
      </c>
      <c r="D785" t="s">
        <v>3977</v>
      </c>
      <c r="E785" s="4">
        <v>43465</v>
      </c>
      <c r="F785" s="11">
        <v>27.09208138</v>
      </c>
      <c r="G785" s="11">
        <v>37.037037040000001</v>
      </c>
      <c r="H785" s="11">
        <v>13.095866277000001</v>
      </c>
      <c r="I785" s="11">
        <v>28.586050269600001</v>
      </c>
      <c r="J785" s="11">
        <v>12.1014060795</v>
      </c>
      <c r="K785" s="10">
        <v>0.82465246077499998</v>
      </c>
      <c r="L785" s="12">
        <v>3175729200</v>
      </c>
      <c r="M785">
        <v>20.966588349036801</v>
      </c>
      <c r="N785" s="7">
        <v>3.1502119479440398</v>
      </c>
      <c r="O785" s="7">
        <v>2.5371546132518001</v>
      </c>
      <c r="P785" s="7">
        <v>-21.150636249951098</v>
      </c>
      <c r="Q785" s="7">
        <v>1.3039847855111637</v>
      </c>
      <c r="U785">
        <v>0.6065527899512263</v>
      </c>
      <c r="AT785" s="4" t="s">
        <v>5118</v>
      </c>
    </row>
    <row r="786" spans="1:46">
      <c r="A786" s="2">
        <v>1781</v>
      </c>
      <c r="B786" t="s">
        <v>5119</v>
      </c>
      <c r="C786" t="s">
        <v>3500</v>
      </c>
      <c r="D786" t="s">
        <v>3761</v>
      </c>
      <c r="E786" s="4">
        <v>43465</v>
      </c>
      <c r="F786" s="11">
        <v>14.73533619</v>
      </c>
      <c r="G786" s="11">
        <v>37.024221449999999</v>
      </c>
      <c r="H786" s="11">
        <v>-19.305464949099999</v>
      </c>
      <c r="I786" s="11">
        <v>34.497239747199998</v>
      </c>
      <c r="J786" s="11">
        <v>4.9298299784999999</v>
      </c>
      <c r="K786" s="10">
        <v>0.238356670163</v>
      </c>
      <c r="L786" s="12">
        <v>3652826051.2399998</v>
      </c>
      <c r="M786">
        <v>-5.9202680214333698</v>
      </c>
      <c r="N786" s="7">
        <v>2.2636494260464302</v>
      </c>
      <c r="O786" s="7">
        <v>4.61017699297369</v>
      </c>
      <c r="P786" s="7">
        <v>-19.910899844310801</v>
      </c>
      <c r="Q786" s="7" t="s">
        <v>3698</v>
      </c>
      <c r="U786">
        <v>5.6926400369801039E-2</v>
      </c>
      <c r="AT786" s="4" t="s">
        <v>5120</v>
      </c>
    </row>
    <row r="787" spans="1:46">
      <c r="A787" s="2">
        <v>3418</v>
      </c>
      <c r="B787" t="s">
        <v>5121</v>
      </c>
      <c r="C787" t="s">
        <v>223</v>
      </c>
      <c r="D787" t="s">
        <v>3785</v>
      </c>
      <c r="E787" s="4">
        <v>43465</v>
      </c>
      <c r="F787" s="11">
        <v>68.807122539999995</v>
      </c>
      <c r="G787" s="11">
        <v>36.997885840000002</v>
      </c>
      <c r="H787" s="11">
        <v>13.4491644714</v>
      </c>
      <c r="I787" s="11">
        <v>34.2966840948</v>
      </c>
      <c r="J787" s="11">
        <v>14.436701765800001</v>
      </c>
      <c r="K787" s="10">
        <v>1.2461437907740001</v>
      </c>
      <c r="L787" s="12">
        <v>11243400377.040001</v>
      </c>
      <c r="M787">
        <v>22.7113001939741</v>
      </c>
      <c r="N787" s="7">
        <v>4.4883300432051403</v>
      </c>
      <c r="O787" s="7">
        <v>3.21175431978389</v>
      </c>
      <c r="P787" s="7">
        <v>-48.763423288115298</v>
      </c>
      <c r="Q787" s="7">
        <v>0.9392512529410677</v>
      </c>
      <c r="U787">
        <v>1.5625107160487806</v>
      </c>
      <c r="AT787" s="4" t="s">
        <v>5122</v>
      </c>
    </row>
    <row r="788" spans="1:46">
      <c r="A788" s="2">
        <v>2801</v>
      </c>
      <c r="B788" t="s">
        <v>5123</v>
      </c>
      <c r="C788" t="s">
        <v>2306</v>
      </c>
      <c r="D788" t="s">
        <v>3713</v>
      </c>
      <c r="E788" s="4">
        <v>43465</v>
      </c>
      <c r="F788" s="11">
        <v>14.736745060000001</v>
      </c>
      <c r="G788" s="11">
        <v>36.865021769999998</v>
      </c>
      <c r="H788" s="11">
        <v>8.5388346410999993</v>
      </c>
      <c r="I788" s="11">
        <v>14.821961786599999</v>
      </c>
      <c r="J788" s="11">
        <v>5.5989713520000004</v>
      </c>
      <c r="K788" s="10">
        <v>0.682508517609</v>
      </c>
      <c r="L788" s="12">
        <v>6563866789.5600004</v>
      </c>
      <c r="M788">
        <v>46.947079617030603</v>
      </c>
      <c r="N788" s="7">
        <v>3.4233155626942402</v>
      </c>
      <c r="O788" s="7">
        <v>2.36141691985484</v>
      </c>
      <c r="P788" s="7">
        <v>-56.261698097387502</v>
      </c>
      <c r="Q788" s="7">
        <v>0.63114501107620247</v>
      </c>
      <c r="U788">
        <v>0.16192988986630238</v>
      </c>
      <c r="AT788" s="4" t="s">
        <v>4101</v>
      </c>
    </row>
    <row r="789" spans="1:46">
      <c r="A789" s="2">
        <v>2525</v>
      </c>
      <c r="B789" t="s">
        <v>5124</v>
      </c>
      <c r="C789" t="s">
        <v>3562</v>
      </c>
      <c r="D789" t="s">
        <v>3811</v>
      </c>
      <c r="E789" s="4">
        <v>43465</v>
      </c>
      <c r="F789" s="11">
        <v>-42.622542299999999</v>
      </c>
      <c r="G789" s="11">
        <v>36.821705430000002</v>
      </c>
      <c r="H789" s="11">
        <v>-36.131689377999997</v>
      </c>
      <c r="I789" s="11">
        <v>7.8391348813999997</v>
      </c>
      <c r="J789" s="11">
        <v>-32.083303812899999</v>
      </c>
      <c r="K789" s="10">
        <v>0.29221890407099999</v>
      </c>
      <c r="L789" s="12">
        <v>27502355192.400002</v>
      </c>
      <c r="M789">
        <v>-10.601370007529701</v>
      </c>
      <c r="N789" s="7">
        <v>1.0745582260639801</v>
      </c>
      <c r="O789" s="7">
        <v>0.64469265452161595</v>
      </c>
      <c r="P789" s="7">
        <v>-13.7686569800169</v>
      </c>
      <c r="Q789" s="7" t="s">
        <v>3698</v>
      </c>
      <c r="U789">
        <v>-2.0212803355915425</v>
      </c>
      <c r="AT789" s="4" t="s">
        <v>5125</v>
      </c>
    </row>
    <row r="790" spans="1:46">
      <c r="A790" s="2">
        <v>1366</v>
      </c>
      <c r="B790" t="s">
        <v>5126</v>
      </c>
      <c r="C790" t="s">
        <v>865</v>
      </c>
      <c r="D790" t="s">
        <v>3721</v>
      </c>
      <c r="E790" s="4">
        <v>43465</v>
      </c>
      <c r="F790" s="11">
        <v>-34.175874520000001</v>
      </c>
      <c r="G790" s="11">
        <v>36.711281069999998</v>
      </c>
      <c r="H790" s="11">
        <v>70.949546810499996</v>
      </c>
      <c r="I790" s="11">
        <v>23.075591575000001</v>
      </c>
      <c r="J790" s="11">
        <v>8.4251163666999993</v>
      </c>
      <c r="K790" s="10">
        <v>0.84947196291600002</v>
      </c>
      <c r="L790" s="12">
        <v>16410038163.82</v>
      </c>
      <c r="M790">
        <v>25.0782999057149</v>
      </c>
      <c r="N790" s="7">
        <v>2.9189842931296002</v>
      </c>
      <c r="O790" s="7">
        <v>2.83556852032592</v>
      </c>
      <c r="P790" s="7">
        <v>-12.9944400110776</v>
      </c>
      <c r="Q790" s="7">
        <v>0.765878238341969</v>
      </c>
      <c r="U790">
        <v>0.39441061560772395</v>
      </c>
      <c r="AT790" s="4" t="s">
        <v>4389</v>
      </c>
    </row>
    <row r="791" spans="1:46">
      <c r="A791" s="2">
        <v>984</v>
      </c>
      <c r="B791" t="s">
        <v>5127</v>
      </c>
      <c r="C791" t="s">
        <v>3568</v>
      </c>
      <c r="D791" t="s">
        <v>3977</v>
      </c>
      <c r="E791" s="4">
        <v>43465</v>
      </c>
      <c r="F791" s="11">
        <v>-17.212347990000001</v>
      </c>
      <c r="G791" s="11">
        <v>36.626139819999999</v>
      </c>
      <c r="H791" s="11">
        <v>25.5983958781</v>
      </c>
      <c r="I791" s="11">
        <v>21.900214356100001</v>
      </c>
      <c r="J791" s="11">
        <v>7.7703275681999999</v>
      </c>
      <c r="K791" s="10">
        <v>0.38971907781800003</v>
      </c>
      <c r="L791" s="12">
        <v>47928851372.339996</v>
      </c>
      <c r="M791">
        <v>-16.218363036754599</v>
      </c>
      <c r="N791" s="7">
        <v>3.5323977529708599</v>
      </c>
      <c r="O791" s="7">
        <v>7.17206320196708</v>
      </c>
      <c r="P791" s="7">
        <v>-11.005210719428399</v>
      </c>
      <c r="Q791" s="7" t="s">
        <v>3698</v>
      </c>
      <c r="U791">
        <v>7.5505499125E-2</v>
      </c>
      <c r="AT791" s="4" t="s">
        <v>5128</v>
      </c>
    </row>
    <row r="792" spans="1:46">
      <c r="A792" s="2">
        <v>3360</v>
      </c>
      <c r="B792" t="s">
        <v>5129</v>
      </c>
      <c r="C792" t="s">
        <v>3295</v>
      </c>
      <c r="D792" t="s">
        <v>4060</v>
      </c>
      <c r="E792" s="4">
        <v>43465</v>
      </c>
      <c r="F792" s="11">
        <v>12.549686749999999</v>
      </c>
      <c r="G792" s="11">
        <v>36.517857139999997</v>
      </c>
      <c r="H792" s="11">
        <v>18.2556134704</v>
      </c>
      <c r="I792" s="11">
        <v>37.3961164997</v>
      </c>
      <c r="J792" s="11">
        <v>9.4109153805000005</v>
      </c>
      <c r="K792" s="10">
        <v>0.88602281738300004</v>
      </c>
      <c r="L792" s="12">
        <v>3297169327.4000001</v>
      </c>
      <c r="M792">
        <v>25.980597990392098</v>
      </c>
      <c r="N792" s="7">
        <v>3.0571220164753399</v>
      </c>
      <c r="O792" s="7">
        <v>2.3676846606042501</v>
      </c>
      <c r="P792" s="7">
        <v>-32.6892580876561</v>
      </c>
      <c r="Q792" s="7">
        <v>1.0546953719590402</v>
      </c>
      <c r="U792">
        <v>0.45060402196327648</v>
      </c>
      <c r="AT792" s="4" t="s">
        <v>5130</v>
      </c>
    </row>
    <row r="793" spans="1:46">
      <c r="A793" s="2">
        <v>3185</v>
      </c>
      <c r="B793" t="s">
        <v>5131</v>
      </c>
      <c r="C793" t="s">
        <v>2677</v>
      </c>
      <c r="D793" t="s">
        <v>3769</v>
      </c>
      <c r="E793" s="4">
        <v>43465</v>
      </c>
      <c r="F793" s="11">
        <v>13.774440869999999</v>
      </c>
      <c r="G793" s="11">
        <v>36.486486489999997</v>
      </c>
      <c r="H793" s="11">
        <v>-13.9879352983</v>
      </c>
      <c r="I793" s="11">
        <v>18.375092140100001</v>
      </c>
      <c r="J793" s="11">
        <v>5.2090292314999997</v>
      </c>
      <c r="K793" s="10">
        <v>0.55726461671299998</v>
      </c>
      <c r="L793" s="12">
        <v>28270895782.75</v>
      </c>
      <c r="M793">
        <v>82.406301229401905</v>
      </c>
      <c r="N793" s="7">
        <v>1.4664184270874601</v>
      </c>
      <c r="O793" s="7">
        <v>2.2322470668985201</v>
      </c>
      <c r="P793" s="7">
        <v>27.193902304764901</v>
      </c>
      <c r="Q793" s="7">
        <v>1.392757660167131</v>
      </c>
      <c r="U793">
        <v>0.11819308687175904</v>
      </c>
      <c r="AT793" s="4" t="s">
        <v>5132</v>
      </c>
    </row>
    <row r="794" spans="1:46">
      <c r="A794" s="2">
        <v>1990</v>
      </c>
      <c r="B794" t="s">
        <v>5133</v>
      </c>
      <c r="C794" t="s">
        <v>154</v>
      </c>
      <c r="D794" t="s">
        <v>3769</v>
      </c>
      <c r="E794" s="4">
        <v>43465</v>
      </c>
      <c r="F794" s="11">
        <v>14.90758035</v>
      </c>
      <c r="G794" s="11">
        <v>36.4578639</v>
      </c>
      <c r="H794" s="11">
        <v>11.9191790452</v>
      </c>
      <c r="I794" s="11">
        <v>48.253509552300002</v>
      </c>
      <c r="J794" s="11">
        <v>34.732266259299998</v>
      </c>
      <c r="K794" s="10">
        <v>0.19638413669999999</v>
      </c>
      <c r="L794" s="12">
        <v>15672236614.440001</v>
      </c>
      <c r="M794">
        <v>42.997866943074101</v>
      </c>
      <c r="N794" s="7">
        <v>2.97799309764966</v>
      </c>
      <c r="O794" s="7">
        <v>7.6352103159122899</v>
      </c>
      <c r="P794" s="7">
        <v>-12.6182628913144</v>
      </c>
      <c r="Q794" s="7">
        <v>0.67311552981143496</v>
      </c>
      <c r="U794">
        <v>1.157029131717594</v>
      </c>
      <c r="AT794" s="4" t="s">
        <v>5134</v>
      </c>
    </row>
    <row r="795" spans="1:46">
      <c r="A795" s="2">
        <v>1431</v>
      </c>
      <c r="B795" t="s">
        <v>5135</v>
      </c>
      <c r="C795" t="s">
        <v>2353</v>
      </c>
      <c r="D795" t="s">
        <v>3728</v>
      </c>
      <c r="E795" s="4">
        <v>43465</v>
      </c>
      <c r="F795" s="11">
        <v>-19.489981790000002</v>
      </c>
      <c r="G795" s="11">
        <v>36.391437310000001</v>
      </c>
      <c r="H795" s="11">
        <v>-34.344361262100001</v>
      </c>
      <c r="I795" s="11">
        <v>28.949365317000002</v>
      </c>
      <c r="J795" s="11">
        <v>-11.3851305329</v>
      </c>
      <c r="K795" s="10">
        <v>0.65505925768200002</v>
      </c>
      <c r="L795" s="12">
        <v>6753257080.5</v>
      </c>
      <c r="M795">
        <v>-12.3692163468753</v>
      </c>
      <c r="N795" s="7">
        <v>1.2490105362061701</v>
      </c>
      <c r="O795" s="7">
        <v>1.2560408084317101</v>
      </c>
      <c r="P795" s="7">
        <v>7.3847852725686298</v>
      </c>
      <c r="Q795" s="7" t="s">
        <v>3698</v>
      </c>
      <c r="U795">
        <v>-0.2041107345664063</v>
      </c>
      <c r="AT795" s="4" t="s">
        <v>3770</v>
      </c>
    </row>
    <row r="796" spans="1:46">
      <c r="A796" s="2">
        <v>2967</v>
      </c>
      <c r="B796" t="s">
        <v>5136</v>
      </c>
      <c r="C796" t="s">
        <v>2849</v>
      </c>
      <c r="D796" t="s">
        <v>3718</v>
      </c>
      <c r="E796" s="4">
        <v>43465</v>
      </c>
      <c r="F796" s="11">
        <v>-17.139929850000001</v>
      </c>
      <c r="G796" s="11">
        <v>36.330275229999998</v>
      </c>
      <c r="H796" s="11">
        <v>13.6052428961</v>
      </c>
      <c r="I796" s="11">
        <v>14.6345502889</v>
      </c>
      <c r="J796" s="11">
        <v>2.5219473447</v>
      </c>
      <c r="K796" s="10">
        <v>0.57878799565799999</v>
      </c>
      <c r="L796" s="12">
        <v>3491155245.0999999</v>
      </c>
      <c r="M796">
        <v>21.661844830788699</v>
      </c>
      <c r="N796" s="7">
        <v>0.67472657284473903</v>
      </c>
      <c r="O796" s="7">
        <v>0.87525560589255302</v>
      </c>
      <c r="P796" s="7">
        <v>23.499779672901902</v>
      </c>
      <c r="Q796" s="7">
        <v>0.708215297450425</v>
      </c>
      <c r="U796">
        <v>0.15589742929416589</v>
      </c>
      <c r="AT796" s="4" t="s">
        <v>5137</v>
      </c>
    </row>
    <row r="797" spans="1:46">
      <c r="A797" s="2">
        <v>3271</v>
      </c>
      <c r="B797" t="s">
        <v>5138</v>
      </c>
      <c r="C797" t="s">
        <v>1083</v>
      </c>
      <c r="D797" t="s">
        <v>3737</v>
      </c>
      <c r="E797" s="4">
        <v>43465</v>
      </c>
      <c r="F797" s="11">
        <v>-17.757039639999999</v>
      </c>
      <c r="G797" s="11">
        <v>36.300417250000002</v>
      </c>
      <c r="H797" s="11">
        <v>38.101454859500002</v>
      </c>
      <c r="I797" s="11">
        <v>27.511181775699999</v>
      </c>
      <c r="J797" s="11">
        <v>7.2438321934000003</v>
      </c>
      <c r="K797" s="10">
        <v>0.813227499518</v>
      </c>
      <c r="L797" s="12">
        <v>1416000000</v>
      </c>
      <c r="M797">
        <v>13.971713103816899</v>
      </c>
      <c r="N797" s="7">
        <v>4.9032697161941101</v>
      </c>
      <c r="O797" s="7">
        <v>0.72737307697102904</v>
      </c>
      <c r="P797" s="7">
        <v>-15.2225181530284</v>
      </c>
      <c r="Q797" s="7">
        <v>0.94246031746031755</v>
      </c>
      <c r="U797">
        <v>0.45200757941967379</v>
      </c>
      <c r="AT797" s="4" t="s">
        <v>3803</v>
      </c>
    </row>
    <row r="798" spans="1:46">
      <c r="A798" s="2">
        <v>2474</v>
      </c>
      <c r="B798" t="s">
        <v>5139</v>
      </c>
      <c r="C798" t="s">
        <v>3610</v>
      </c>
      <c r="D798" t="s">
        <v>3781</v>
      </c>
      <c r="E798" s="4">
        <v>43465</v>
      </c>
      <c r="F798" s="11">
        <v>-29.195088680000001</v>
      </c>
      <c r="G798" s="11">
        <v>36.164383559999997</v>
      </c>
      <c r="H798" s="11">
        <v>58.182823180500002</v>
      </c>
      <c r="I798" s="11">
        <v>11.2136982507</v>
      </c>
      <c r="J798" s="11">
        <v>-34.4948743972</v>
      </c>
      <c r="K798" s="10">
        <v>0.31374465478199998</v>
      </c>
      <c r="L798" s="12">
        <v>3468179000</v>
      </c>
      <c r="M798">
        <v>-8.01894611504148</v>
      </c>
      <c r="N798" s="7">
        <v>2.7592014603897699</v>
      </c>
      <c r="O798" s="7">
        <v>2.9665253315469902</v>
      </c>
      <c r="P798" s="7">
        <v>169.33521742467201</v>
      </c>
      <c r="Q798" s="7" t="s">
        <v>3698</v>
      </c>
      <c r="U798">
        <v>-0.41223249876165702</v>
      </c>
      <c r="AT798" s="4" t="s">
        <v>5140</v>
      </c>
    </row>
    <row r="799" spans="1:46">
      <c r="A799" s="2">
        <v>656</v>
      </c>
      <c r="B799" t="s">
        <v>5141</v>
      </c>
      <c r="C799" t="s">
        <v>1062</v>
      </c>
      <c r="D799" t="s">
        <v>3752</v>
      </c>
      <c r="E799" s="4">
        <v>43465</v>
      </c>
      <c r="F799" s="11">
        <v>-26.37782855</v>
      </c>
      <c r="G799" s="11">
        <v>36.024844719999997</v>
      </c>
      <c r="H799" s="11">
        <v>-5.1443949444000001</v>
      </c>
      <c r="I799" s="11">
        <v>29.7276430607</v>
      </c>
      <c r="J799" s="11">
        <v>13.0481978619</v>
      </c>
      <c r="K799" s="10">
        <v>0.55310277911299999</v>
      </c>
      <c r="L799" s="12">
        <v>25845101244</v>
      </c>
      <c r="M799">
        <v>12.7220703152495</v>
      </c>
      <c r="N799" s="7">
        <v>1.8330056040384</v>
      </c>
      <c r="O799" s="7">
        <v>1.66221949650373</v>
      </c>
      <c r="P799" s="7">
        <v>-29.3832549014266</v>
      </c>
      <c r="Q799" s="7">
        <v>0.47619047619047622</v>
      </c>
      <c r="U799">
        <v>0.25328806421768801</v>
      </c>
      <c r="AT799" s="4" t="s">
        <v>5142</v>
      </c>
    </row>
    <row r="800" spans="1:46">
      <c r="A800" s="2">
        <v>140</v>
      </c>
      <c r="B800" t="s">
        <v>5143</v>
      </c>
      <c r="C800" t="s">
        <v>2952</v>
      </c>
      <c r="D800" t="s">
        <v>3764</v>
      </c>
      <c r="E800" s="4">
        <v>43465</v>
      </c>
      <c r="F800" s="11">
        <v>-9.1026787599999999</v>
      </c>
      <c r="G800" s="11">
        <v>35.770750990000003</v>
      </c>
      <c r="H800" s="11">
        <v>5.1779852039999996</v>
      </c>
      <c r="I800" s="11">
        <v>18.209031060800001</v>
      </c>
      <c r="J800" s="11">
        <v>3.2848631957999999</v>
      </c>
      <c r="K800" s="10">
        <v>0.31984753080799999</v>
      </c>
      <c r="L800" s="12">
        <v>6960590213.46</v>
      </c>
      <c r="M800">
        <v>34.270144500524403</v>
      </c>
      <c r="N800" s="7">
        <v>0.88674779466864395</v>
      </c>
      <c r="O800" s="7">
        <v>1.1124332528679399</v>
      </c>
      <c r="P800" s="7">
        <v>7.4264743479015101</v>
      </c>
      <c r="Q800" s="7">
        <v>3.2507739938080502</v>
      </c>
      <c r="U800">
        <v>0.1196069925239112</v>
      </c>
      <c r="AT800" s="4" t="s">
        <v>3847</v>
      </c>
    </row>
    <row r="801" spans="1:46">
      <c r="A801" s="2">
        <v>1160</v>
      </c>
      <c r="B801" t="s">
        <v>5144</v>
      </c>
      <c r="C801" t="s">
        <v>1791</v>
      </c>
      <c r="D801" t="s">
        <v>3713</v>
      </c>
      <c r="E801" s="4">
        <v>43465</v>
      </c>
      <c r="F801" s="11">
        <v>-18.689080180000001</v>
      </c>
      <c r="G801" s="11">
        <v>35.74351978</v>
      </c>
      <c r="H801" s="11">
        <v>28.103337424199999</v>
      </c>
      <c r="I801" s="11">
        <v>23.9896122211</v>
      </c>
      <c r="J801" s="11">
        <v>7.8177230902000003</v>
      </c>
      <c r="K801" s="10">
        <v>0.92648972199699997</v>
      </c>
      <c r="L801" s="12">
        <v>3939519055.6799998</v>
      </c>
      <c r="M801">
        <v>21.567651247386401</v>
      </c>
      <c r="N801" s="7">
        <v>2.0878059995025202</v>
      </c>
      <c r="O801" s="7">
        <v>1.4596794350928199</v>
      </c>
      <c r="P801" s="7">
        <v>43.184930635804399</v>
      </c>
      <c r="Q801" s="7">
        <v>0.98662128965219908</v>
      </c>
      <c r="U801">
        <v>0.42190857216638256</v>
      </c>
      <c r="AT801" s="4" t="s">
        <v>5145</v>
      </c>
    </row>
    <row r="802" spans="1:46">
      <c r="A802" s="2">
        <v>1716</v>
      </c>
      <c r="B802" t="s">
        <v>5146</v>
      </c>
      <c r="C802" t="s">
        <v>3339</v>
      </c>
      <c r="D802" t="s">
        <v>3889</v>
      </c>
      <c r="E802" s="4">
        <v>43465</v>
      </c>
      <c r="F802" s="11">
        <v>-46.524972640000001</v>
      </c>
      <c r="G802" s="11">
        <v>35.730337079999998</v>
      </c>
      <c r="H802" s="11">
        <v>-71.991697662199996</v>
      </c>
      <c r="I802" s="11">
        <v>-19.683366991700002</v>
      </c>
      <c r="J802" s="11">
        <v>-543.12467502250001</v>
      </c>
      <c r="K802" s="10">
        <v>0.118937857252</v>
      </c>
      <c r="L802" s="12">
        <v>6458201181.4499998</v>
      </c>
      <c r="M802">
        <v>-11.6501774621688</v>
      </c>
      <c r="N802" s="7">
        <v>1.22200912935799</v>
      </c>
      <c r="O802" s="7">
        <v>3.00035958797619</v>
      </c>
      <c r="P802" s="7">
        <v>-11.911142049631</v>
      </c>
      <c r="Q802" s="7" t="s">
        <v>3698</v>
      </c>
      <c r="U802">
        <v>-4.2063119096659456</v>
      </c>
      <c r="AT802" s="4" t="s">
        <v>5147</v>
      </c>
    </row>
    <row r="803" spans="1:46">
      <c r="A803" s="2">
        <v>1199</v>
      </c>
      <c r="B803" t="s">
        <v>5148</v>
      </c>
      <c r="C803" t="s">
        <v>1373</v>
      </c>
      <c r="D803" t="s">
        <v>3781</v>
      </c>
      <c r="E803" s="4">
        <v>43465</v>
      </c>
      <c r="F803" s="11">
        <v>5.49245407</v>
      </c>
      <c r="G803" s="11">
        <v>35.650224219999998</v>
      </c>
      <c r="H803" s="11">
        <v>11.734164176</v>
      </c>
      <c r="I803" s="11">
        <v>37.837283543600002</v>
      </c>
      <c r="J803" s="11">
        <v>10.092978328999999</v>
      </c>
      <c r="K803" s="10">
        <v>0.51749683233099997</v>
      </c>
      <c r="L803" s="12">
        <v>5760568745.2600002</v>
      </c>
      <c r="M803">
        <v>21.234552236593</v>
      </c>
      <c r="N803" s="7">
        <v>2.13577001931196</v>
      </c>
      <c r="O803" s="7">
        <v>1.76704581926064</v>
      </c>
      <c r="P803" s="7">
        <v>80.2613987534628</v>
      </c>
      <c r="Q803" s="7">
        <v>4.7801147227533463</v>
      </c>
      <c r="U803">
        <v>0.25756578927764845</v>
      </c>
      <c r="AT803" s="4" t="s">
        <v>5149</v>
      </c>
    </row>
    <row r="804" spans="1:46">
      <c r="A804" s="2">
        <v>2724</v>
      </c>
      <c r="B804" t="s">
        <v>5150</v>
      </c>
      <c r="C804" t="s">
        <v>3628</v>
      </c>
      <c r="D804" t="s">
        <v>3977</v>
      </c>
      <c r="E804" s="4">
        <v>43465</v>
      </c>
      <c r="F804" s="11">
        <v>-51.441738129999997</v>
      </c>
      <c r="G804" s="11">
        <v>35.603715170000001</v>
      </c>
      <c r="H804" s="11">
        <v>-39.352844015400002</v>
      </c>
      <c r="I804" s="11">
        <v>27.366304381500001</v>
      </c>
      <c r="J804" s="11">
        <v>-100.85049417419999</v>
      </c>
      <c r="K804" s="10">
        <v>0.23893874642999999</v>
      </c>
      <c r="L804" s="12">
        <v>2739292795.1999998</v>
      </c>
      <c r="M804">
        <v>-3.2478731459691099</v>
      </c>
      <c r="N804" s="7">
        <v>67.585406587006901</v>
      </c>
      <c r="O804" s="7">
        <v>0.90214188791322403</v>
      </c>
      <c r="P804" s="7">
        <v>-835.60770278213397</v>
      </c>
      <c r="Q804" s="7" t="s">
        <v>3698</v>
      </c>
      <c r="U804">
        <v>-3.3318629492928893</v>
      </c>
      <c r="AT804" s="4" t="s">
        <v>4387</v>
      </c>
    </row>
    <row r="805" spans="1:46">
      <c r="A805" s="2">
        <v>2985</v>
      </c>
      <c r="B805" t="s">
        <v>5151</v>
      </c>
      <c r="C805" t="s">
        <v>2398</v>
      </c>
      <c r="D805" t="s">
        <v>3837</v>
      </c>
      <c r="E805" s="4">
        <v>43465</v>
      </c>
      <c r="F805" s="11">
        <v>-19.84157196</v>
      </c>
      <c r="G805" s="11">
        <v>35.50815558</v>
      </c>
      <c r="H805" s="11">
        <v>-2.1651254474999999</v>
      </c>
      <c r="I805" s="11" t="s">
        <v>3698</v>
      </c>
      <c r="J805" s="11">
        <v>12.4280907819</v>
      </c>
      <c r="K805" s="10" t="s">
        <v>3698</v>
      </c>
      <c r="L805" s="12">
        <v>6953743167.1199999</v>
      </c>
      <c r="M805">
        <v>31.483574162864901</v>
      </c>
      <c r="N805" s="7">
        <v>1.07797912421096</v>
      </c>
      <c r="O805" s="7">
        <v>5.5529117112934596</v>
      </c>
      <c r="P805" s="7">
        <v>23.600325802914998</v>
      </c>
      <c r="Q805" s="7">
        <v>1.0288065843621399</v>
      </c>
      <c r="U805">
        <v>0.17601855790242699</v>
      </c>
      <c r="AT805" s="4" t="s">
        <v>5152</v>
      </c>
    </row>
    <row r="806" spans="1:46">
      <c r="A806" s="2">
        <v>297</v>
      </c>
      <c r="B806" t="s">
        <v>5153</v>
      </c>
      <c r="C806" t="s">
        <v>2695</v>
      </c>
      <c r="D806" t="s">
        <v>3785</v>
      </c>
      <c r="E806" s="4">
        <v>43465</v>
      </c>
      <c r="F806" s="11">
        <v>-24.215726740000001</v>
      </c>
      <c r="G806" s="11">
        <v>35.483870969999998</v>
      </c>
      <c r="H806" s="11">
        <v>43.027336419599997</v>
      </c>
      <c r="I806" s="11">
        <v>20.5695340049</v>
      </c>
      <c r="J806" s="11">
        <v>0.61065726220000005</v>
      </c>
      <c r="K806" s="10">
        <v>0.75899268555400001</v>
      </c>
      <c r="L806" s="12">
        <v>4706518973.3999996</v>
      </c>
      <c r="M806">
        <v>70.471860664506295</v>
      </c>
      <c r="N806" s="7">
        <v>0.95803487795944897</v>
      </c>
      <c r="O806" s="7">
        <v>0.58517378698855704</v>
      </c>
      <c r="P806" s="7">
        <v>-18.6686269812988</v>
      </c>
      <c r="Q806" s="7" t="s">
        <v>3698</v>
      </c>
      <c r="U806">
        <v>8.0269672768368147E-2</v>
      </c>
      <c r="AT806" s="4" t="s">
        <v>4996</v>
      </c>
    </row>
    <row r="807" spans="1:46">
      <c r="A807" s="2">
        <v>3029</v>
      </c>
      <c r="B807" t="s">
        <v>5154</v>
      </c>
      <c r="C807" t="s">
        <v>288</v>
      </c>
      <c r="D807" t="s">
        <v>3837</v>
      </c>
      <c r="E807" s="4">
        <v>43465</v>
      </c>
      <c r="F807" s="11">
        <v>24.12447345</v>
      </c>
      <c r="G807" s="11">
        <v>35.448916410000002</v>
      </c>
      <c r="H807" s="11">
        <v>10.333943308</v>
      </c>
      <c r="I807" s="11" t="s">
        <v>3698</v>
      </c>
      <c r="J807" s="11">
        <v>40.822814116799996</v>
      </c>
      <c r="K807" s="10" t="s">
        <v>3698</v>
      </c>
      <c r="L807" s="12">
        <v>5204895347.5200005</v>
      </c>
      <c r="M807">
        <v>5.0643145663585702</v>
      </c>
      <c r="N807" s="7">
        <v>0.80630938001582897</v>
      </c>
      <c r="O807" s="7">
        <v>2.0706203808455799</v>
      </c>
      <c r="P807" s="7">
        <v>-14.595133200324501</v>
      </c>
      <c r="Q807" s="7">
        <v>4.7400241837968569</v>
      </c>
      <c r="U807">
        <v>1.3054279144313039</v>
      </c>
      <c r="AT807" s="4" t="s">
        <v>4294</v>
      </c>
    </row>
    <row r="808" spans="1:46">
      <c r="A808" s="2">
        <v>1102</v>
      </c>
      <c r="B808" t="s">
        <v>5155</v>
      </c>
      <c r="C808" t="s">
        <v>2631</v>
      </c>
      <c r="D808" t="s">
        <v>3889</v>
      </c>
      <c r="E808" s="4">
        <v>43465</v>
      </c>
      <c r="F808" s="11">
        <v>-5.0272259100000003</v>
      </c>
      <c r="G808" s="11">
        <v>35.441176470000002</v>
      </c>
      <c r="H808" s="11">
        <v>29.323018986800001</v>
      </c>
      <c r="I808" s="11">
        <v>49.651356723100001</v>
      </c>
      <c r="J808" s="11">
        <v>9.1347702004000002</v>
      </c>
      <c r="K808" s="10">
        <v>0.22607779505700001</v>
      </c>
      <c r="L808" s="12">
        <v>4937465503.04</v>
      </c>
      <c r="M808">
        <v>127.47647801630799</v>
      </c>
      <c r="N808" s="7">
        <v>3.0723278675994798</v>
      </c>
      <c r="O808" s="7">
        <v>6.46382607828148</v>
      </c>
      <c r="P808" s="7">
        <v>-69.785310558029295</v>
      </c>
      <c r="Q808" s="7" t="s">
        <v>3698</v>
      </c>
      <c r="U808">
        <v>0.11377216449912646</v>
      </c>
      <c r="AT808" s="4" t="s">
        <v>5156</v>
      </c>
    </row>
    <row r="809" spans="1:46">
      <c r="A809" s="2">
        <v>2510</v>
      </c>
      <c r="B809" t="s">
        <v>5157</v>
      </c>
      <c r="C809" t="s">
        <v>959</v>
      </c>
      <c r="D809" t="s">
        <v>3871</v>
      </c>
      <c r="E809" s="4">
        <v>43465</v>
      </c>
      <c r="F809" s="11">
        <v>-55.47118227</v>
      </c>
      <c r="G809" s="11">
        <v>35.377358489999999</v>
      </c>
      <c r="H809" s="11">
        <v>-41.515755336300003</v>
      </c>
      <c r="I809" s="11">
        <v>31.1282826984</v>
      </c>
      <c r="J809" s="11">
        <v>7.4421739103000002</v>
      </c>
      <c r="K809" s="10">
        <v>0.17005180466399999</v>
      </c>
      <c r="L809" s="12">
        <v>3995971929.9499998</v>
      </c>
      <c r="M809">
        <v>18.350010817901602</v>
      </c>
      <c r="N809" s="7">
        <v>0.918238367777515</v>
      </c>
      <c r="O809" s="7">
        <v>1.75552495673775</v>
      </c>
      <c r="P809" s="7">
        <v>74.788712313086407</v>
      </c>
      <c r="Q809" s="7" t="s">
        <v>3698</v>
      </c>
      <c r="U809">
        <v>0.11432947816334688</v>
      </c>
      <c r="AT809" s="4" t="s">
        <v>5158</v>
      </c>
    </row>
    <row r="810" spans="1:46">
      <c r="A810" s="2">
        <v>2933</v>
      </c>
      <c r="B810" t="s">
        <v>5159</v>
      </c>
      <c r="C810" t="s">
        <v>3593</v>
      </c>
      <c r="D810" t="s">
        <v>3718</v>
      </c>
      <c r="E810" s="4">
        <v>43465</v>
      </c>
      <c r="F810" s="11">
        <v>-12.663755460000001</v>
      </c>
      <c r="G810" s="11">
        <v>35.346756149999997</v>
      </c>
      <c r="H810" s="11">
        <v>-6.8078864285999998</v>
      </c>
      <c r="I810" s="11">
        <v>9.3437920786999999</v>
      </c>
      <c r="J810" s="11">
        <v>-11.826752842799999</v>
      </c>
      <c r="K810" s="10">
        <v>0.60616120292099995</v>
      </c>
      <c r="L810" s="12">
        <v>4354672408.8400002</v>
      </c>
      <c r="M810">
        <v>-43.417345528663901</v>
      </c>
      <c r="N810" s="7">
        <v>4.0403421033794702</v>
      </c>
      <c r="O810" s="7">
        <v>1.68663229753902</v>
      </c>
      <c r="P810" s="7">
        <v>43.303555013215998</v>
      </c>
      <c r="Q810" s="7" t="s">
        <v>3698</v>
      </c>
      <c r="U810">
        <v>-0.22259752440758293</v>
      </c>
      <c r="AT810" s="4" t="s">
        <v>5160</v>
      </c>
    </row>
    <row r="811" spans="1:46">
      <c r="A811" s="2">
        <v>2928</v>
      </c>
      <c r="B811" t="s">
        <v>5161</v>
      </c>
      <c r="C811" t="s">
        <v>3540</v>
      </c>
      <c r="D811" t="s">
        <v>3713</v>
      </c>
      <c r="E811" s="4">
        <v>43465</v>
      </c>
      <c r="F811" s="11">
        <v>-16.65599903</v>
      </c>
      <c r="G811" s="11">
        <v>35.326688820000001</v>
      </c>
      <c r="H811" s="11">
        <v>40.306200447400002</v>
      </c>
      <c r="I811" s="11">
        <v>19.182461097800001</v>
      </c>
      <c r="J811" s="11">
        <v>5.3051218147999997</v>
      </c>
      <c r="K811" s="10">
        <v>0.958517775668</v>
      </c>
      <c r="L811" s="12">
        <v>75251736440.279999</v>
      </c>
      <c r="M811">
        <v>204.589115972879</v>
      </c>
      <c r="N811" s="7">
        <v>3.0525403265975299</v>
      </c>
      <c r="O811" s="7">
        <v>1.8569947800639</v>
      </c>
      <c r="P811" s="7">
        <v>-70.420178957091593</v>
      </c>
      <c r="Q811" s="7">
        <v>0.54918609321756429</v>
      </c>
      <c r="U811">
        <v>0.2155384082752739</v>
      </c>
      <c r="AT811" s="4" t="s">
        <v>5162</v>
      </c>
    </row>
    <row r="812" spans="1:46">
      <c r="A812" s="2">
        <v>2662</v>
      </c>
      <c r="B812" t="s">
        <v>5163</v>
      </c>
      <c r="C812" t="s">
        <v>2166</v>
      </c>
      <c r="D812" t="s">
        <v>3752</v>
      </c>
      <c r="E812" s="4">
        <v>43465</v>
      </c>
      <c r="F812" s="11">
        <v>-8.7392137099999996</v>
      </c>
      <c r="G812" s="11">
        <v>35.294117649999997</v>
      </c>
      <c r="H812" s="11">
        <v>3.4522097801</v>
      </c>
      <c r="I812" s="11">
        <v>26.7643281452</v>
      </c>
      <c r="J812" s="11">
        <v>9.0338626786000003</v>
      </c>
      <c r="K812" s="10">
        <v>0.30157386851599999</v>
      </c>
      <c r="L812" s="12">
        <v>3105006964.8000002</v>
      </c>
      <c r="M812">
        <v>20.607238730132401</v>
      </c>
      <c r="N812" s="7">
        <v>1.34892528013586</v>
      </c>
      <c r="O812" s="7">
        <v>1.6165197071770601</v>
      </c>
      <c r="P812" s="7">
        <v>-3.1933513605749599</v>
      </c>
      <c r="Q812" s="7">
        <v>0.43462365031806299</v>
      </c>
      <c r="U812">
        <v>0.21789565885497408</v>
      </c>
      <c r="AT812" s="4" t="s">
        <v>5164</v>
      </c>
    </row>
    <row r="813" spans="1:46">
      <c r="A813" s="2">
        <v>3581</v>
      </c>
      <c r="B813" t="s">
        <v>5165</v>
      </c>
      <c r="C813" t="s">
        <v>391</v>
      </c>
      <c r="D813" t="s">
        <v>3737</v>
      </c>
      <c r="E813" s="4">
        <v>43465</v>
      </c>
      <c r="F813" s="11">
        <v>3.8883301100000001</v>
      </c>
      <c r="G813" s="11">
        <v>35.246769749999999</v>
      </c>
      <c r="H813" s="11">
        <v>26.257078333900001</v>
      </c>
      <c r="I813" s="11">
        <v>35.207256394700003</v>
      </c>
      <c r="J813" s="11">
        <v>5.3215032998999998</v>
      </c>
      <c r="K813" s="10">
        <v>1.2475365984639999</v>
      </c>
      <c r="L813" s="12">
        <v>74388963493.479996</v>
      </c>
      <c r="M813">
        <v>34.1953932188338</v>
      </c>
      <c r="N813" s="7">
        <v>12.705987578112</v>
      </c>
      <c r="O813" s="7">
        <v>1.4922704289092401</v>
      </c>
      <c r="P813" s="7">
        <v>-179.25049229097499</v>
      </c>
      <c r="Q813" s="7">
        <v>0.73066020529572273</v>
      </c>
      <c r="U813">
        <v>1.5267378963930567</v>
      </c>
      <c r="AT813" s="4" t="s">
        <v>4377</v>
      </c>
    </row>
    <row r="814" spans="1:46">
      <c r="A814" s="2">
        <v>835</v>
      </c>
      <c r="B814" t="s">
        <v>5166</v>
      </c>
      <c r="C814" t="s">
        <v>1337</v>
      </c>
      <c r="D814" t="s">
        <v>3752</v>
      </c>
      <c r="E814" s="4">
        <v>43465</v>
      </c>
      <c r="F814" s="11">
        <v>12.518314950000001</v>
      </c>
      <c r="G814" s="11">
        <v>35.135135140000003</v>
      </c>
      <c r="H814" s="11">
        <v>7.8892736618999999</v>
      </c>
      <c r="I814" s="11">
        <v>16.681488332200001</v>
      </c>
      <c r="J814" s="11">
        <v>1.9324527462000001</v>
      </c>
      <c r="K814" s="10">
        <v>0.94531761047200003</v>
      </c>
      <c r="L814" s="12">
        <v>2809582762.4400001</v>
      </c>
      <c r="M814">
        <v>41.605635030115302</v>
      </c>
      <c r="N814" s="7">
        <v>2.0164372378956399</v>
      </c>
      <c r="O814" s="7">
        <v>1.1015296589041601</v>
      </c>
      <c r="P814" s="7">
        <v>59.935791504660997</v>
      </c>
      <c r="Q814" s="7">
        <v>1.2066365009826094</v>
      </c>
      <c r="U814">
        <v>0.17800613132533954</v>
      </c>
      <c r="AT814" s="4" t="s">
        <v>3859</v>
      </c>
    </row>
    <row r="815" spans="1:46">
      <c r="A815" s="2">
        <v>3298</v>
      </c>
      <c r="B815" t="s">
        <v>5167</v>
      </c>
      <c r="C815" t="s">
        <v>3472</v>
      </c>
      <c r="D815" t="s">
        <v>3718</v>
      </c>
      <c r="E815" s="4">
        <v>43465</v>
      </c>
      <c r="F815" s="11">
        <v>-30.393325390000001</v>
      </c>
      <c r="G815" s="11">
        <v>35.128805620000001</v>
      </c>
      <c r="H815" s="11">
        <v>-14.6785456684</v>
      </c>
      <c r="I815" s="11">
        <v>-14.846208364300001</v>
      </c>
      <c r="J815" s="11">
        <v>-58.2804638502</v>
      </c>
      <c r="K815" s="10">
        <v>0.22890728783799999</v>
      </c>
      <c r="L815" s="12">
        <v>6847869249</v>
      </c>
      <c r="M815">
        <v>-23.267166160844901</v>
      </c>
      <c r="N815" s="7">
        <v>2.9723778081523702</v>
      </c>
      <c r="O815" s="7">
        <v>1.49469695112712</v>
      </c>
      <c r="P815" s="7">
        <v>-251.16000991363299</v>
      </c>
      <c r="Q815" s="7" t="s">
        <v>3698</v>
      </c>
      <c r="U815">
        <v>-1.4367418682644231</v>
      </c>
      <c r="AT815" s="4" t="s">
        <v>4585</v>
      </c>
    </row>
    <row r="816" spans="1:46">
      <c r="A816" s="2">
        <v>722</v>
      </c>
      <c r="B816" t="s">
        <v>5168</v>
      </c>
      <c r="C816" t="s">
        <v>2395</v>
      </c>
      <c r="D816" t="s">
        <v>3752</v>
      </c>
      <c r="E816" s="4">
        <v>43465</v>
      </c>
      <c r="F816" s="11">
        <v>-11.9047619</v>
      </c>
      <c r="G816" s="11">
        <v>35.106382979999999</v>
      </c>
      <c r="H816" s="11">
        <v>14.2955483364</v>
      </c>
      <c r="I816" s="11">
        <v>9.2909551062000002</v>
      </c>
      <c r="J816" s="11">
        <v>1.1794855213</v>
      </c>
      <c r="K816" s="10">
        <v>0.90927563237599995</v>
      </c>
      <c r="L816" s="12">
        <v>2532000000</v>
      </c>
      <c r="M816">
        <v>-1266.8771076898699</v>
      </c>
      <c r="N816" s="7">
        <v>2.5586426883662798</v>
      </c>
      <c r="O816" s="7">
        <v>1.8353316437325899</v>
      </c>
      <c r="P816" s="7">
        <v>435.600302900337</v>
      </c>
      <c r="Q816" s="7" t="s">
        <v>3698</v>
      </c>
      <c r="U816">
        <v>2.5741062506994178E-2</v>
      </c>
      <c r="AT816" s="4" t="s">
        <v>4298</v>
      </c>
    </row>
    <row r="817" spans="1:46">
      <c r="A817" s="2">
        <v>2541</v>
      </c>
      <c r="B817" t="s">
        <v>5169</v>
      </c>
      <c r="C817" t="s">
        <v>1481</v>
      </c>
      <c r="D817" t="s">
        <v>4060</v>
      </c>
      <c r="E817" s="4">
        <v>43465</v>
      </c>
      <c r="F817" s="11">
        <v>-34.042240970000002</v>
      </c>
      <c r="G817" s="11">
        <v>35.09433962</v>
      </c>
      <c r="H817" s="11">
        <v>-3.3545861710999998</v>
      </c>
      <c r="I817" s="11">
        <v>34.853128839</v>
      </c>
      <c r="J817" s="11">
        <v>12.4094277398</v>
      </c>
      <c r="K817" s="10">
        <v>0.40386977012800002</v>
      </c>
      <c r="L817" s="12">
        <v>5402574459.2299995</v>
      </c>
      <c r="M817">
        <v>12.341614082385201</v>
      </c>
      <c r="N817" s="7">
        <v>1.0557051160211199</v>
      </c>
      <c r="O817" s="7">
        <v>1.54297376955454</v>
      </c>
      <c r="P817" s="7">
        <v>116.125142775363</v>
      </c>
      <c r="Q817" s="7">
        <v>1.5151515151515151</v>
      </c>
      <c r="U817">
        <v>0.20686122835643539</v>
      </c>
      <c r="AT817" s="4" t="s">
        <v>5170</v>
      </c>
    </row>
    <row r="818" spans="1:46">
      <c r="A818" s="2">
        <v>1630</v>
      </c>
      <c r="B818" t="s">
        <v>5171</v>
      </c>
      <c r="C818" t="s">
        <v>2384</v>
      </c>
      <c r="D818" t="s">
        <v>3713</v>
      </c>
      <c r="E818" s="4">
        <v>43465</v>
      </c>
      <c r="F818" s="11">
        <v>17.80669382</v>
      </c>
      <c r="G818" s="11">
        <v>35.012285009999999</v>
      </c>
      <c r="H818" s="11">
        <v>23.806804302700002</v>
      </c>
      <c r="I818" s="11">
        <v>27.534675996600001</v>
      </c>
      <c r="J818" s="11">
        <v>4.7568272992000002</v>
      </c>
      <c r="K818" s="10">
        <v>1.2193388398280001</v>
      </c>
      <c r="L818" s="12">
        <v>3829941048.6399999</v>
      </c>
      <c r="M818">
        <v>86.310599360248901</v>
      </c>
      <c r="N818" s="7">
        <v>2.7992489733333601</v>
      </c>
      <c r="O818" s="7">
        <v>1.6597104760170001</v>
      </c>
      <c r="P818" s="7">
        <v>28.0967127293987</v>
      </c>
      <c r="Q818" s="7">
        <v>0.96618357487922701</v>
      </c>
      <c r="U818">
        <v>0.23490595529419425</v>
      </c>
      <c r="AT818" s="4" t="s">
        <v>3916</v>
      </c>
    </row>
    <row r="819" spans="1:46">
      <c r="A819" s="2">
        <v>3459</v>
      </c>
      <c r="B819" t="s">
        <v>5172</v>
      </c>
      <c r="C819" t="s">
        <v>1090</v>
      </c>
      <c r="D819" t="s">
        <v>3718</v>
      </c>
      <c r="E819" s="4">
        <v>43465</v>
      </c>
      <c r="F819" s="11">
        <v>15.38049045</v>
      </c>
      <c r="G819" s="11">
        <v>34.77198697</v>
      </c>
      <c r="H819" s="11">
        <v>20.429972388500001</v>
      </c>
      <c r="I819" s="11">
        <v>24.029595126299998</v>
      </c>
      <c r="J819" s="11">
        <v>7.8188057325999996</v>
      </c>
      <c r="K819" s="10">
        <v>0.78538186476899996</v>
      </c>
      <c r="L819" s="12">
        <v>18370924426.799999</v>
      </c>
      <c r="M819">
        <v>21.180589081631201</v>
      </c>
      <c r="N819" s="7">
        <v>2.47126809607829</v>
      </c>
      <c r="O819" s="7">
        <v>1.36121782718801</v>
      </c>
      <c r="P819" s="7">
        <v>-157.03803856066301</v>
      </c>
      <c r="Q819" s="7">
        <v>3.0318887707482807</v>
      </c>
      <c r="U819">
        <v>0.70379460431272223</v>
      </c>
      <c r="AT819" s="4" t="s">
        <v>5173</v>
      </c>
    </row>
    <row r="820" spans="1:46">
      <c r="A820" s="2">
        <v>2960</v>
      </c>
      <c r="B820" t="s">
        <v>5174</v>
      </c>
      <c r="C820" t="s">
        <v>122</v>
      </c>
      <c r="D820" t="s">
        <v>3785</v>
      </c>
      <c r="E820" s="4">
        <v>43465</v>
      </c>
      <c r="F820" s="11">
        <v>0.74183489000000002</v>
      </c>
      <c r="G820" s="11">
        <v>34.746503500000003</v>
      </c>
      <c r="H820" s="11">
        <v>16.919867791400002</v>
      </c>
      <c r="I820" s="11">
        <v>37.821879185699999</v>
      </c>
      <c r="J820" s="11">
        <v>8.1695253677000004</v>
      </c>
      <c r="K820" s="10">
        <v>1.64185536472</v>
      </c>
      <c r="L820" s="12">
        <v>7087873072.9399996</v>
      </c>
      <c r="M820">
        <v>25.502032944274902</v>
      </c>
      <c r="N820" s="7">
        <v>4.9836241523363096</v>
      </c>
      <c r="O820" s="7">
        <v>1.8080840671480101</v>
      </c>
      <c r="P820" s="7">
        <v>-15.320518813294299</v>
      </c>
      <c r="Q820" s="7">
        <v>2.3988275389900453</v>
      </c>
      <c r="T820" s="2"/>
      <c r="U820">
        <v>1.0594956253211985</v>
      </c>
      <c r="AT820" s="4" t="s">
        <v>5175</v>
      </c>
    </row>
    <row r="821" spans="1:46">
      <c r="A821" s="2">
        <v>3066</v>
      </c>
      <c r="B821" t="s">
        <v>5176</v>
      </c>
      <c r="C821" t="s">
        <v>2009</v>
      </c>
      <c r="D821" t="s">
        <v>3752</v>
      </c>
      <c r="E821" s="4">
        <v>43465</v>
      </c>
      <c r="F821" s="11">
        <v>-22.228626930000001</v>
      </c>
      <c r="G821" s="11">
        <v>34.739676840000001</v>
      </c>
      <c r="H821" s="11">
        <v>-5.1730181394999999</v>
      </c>
      <c r="I821" s="11">
        <v>21.337387352099999</v>
      </c>
      <c r="J821" s="11">
        <v>6.4321087355</v>
      </c>
      <c r="K821" s="10">
        <v>0.51600655014899999</v>
      </c>
      <c r="L821" s="12">
        <v>6140774751.8400002</v>
      </c>
      <c r="M821">
        <v>25.397509469996301</v>
      </c>
      <c r="N821" s="7">
        <v>0.95091577868468902</v>
      </c>
      <c r="O821" s="7">
        <v>1.2006677680603</v>
      </c>
      <c r="P821" s="7">
        <v>-11.286260950149799</v>
      </c>
      <c r="Q821" s="7">
        <v>1.4245014245014245</v>
      </c>
      <c r="U821">
        <v>0.60380155023750004</v>
      </c>
      <c r="AT821" s="4" t="s">
        <v>5177</v>
      </c>
    </row>
    <row r="822" spans="1:46">
      <c r="A822" s="2">
        <v>2829</v>
      </c>
      <c r="B822" t="s">
        <v>5178</v>
      </c>
      <c r="C822" t="s">
        <v>2290</v>
      </c>
      <c r="D822" t="s">
        <v>3713</v>
      </c>
      <c r="E822" s="4">
        <v>43465</v>
      </c>
      <c r="F822" s="11">
        <v>17.49856917</v>
      </c>
      <c r="G822" s="11">
        <v>34.728580770000001</v>
      </c>
      <c r="H822" s="11">
        <v>-6.8827638611999999</v>
      </c>
      <c r="I822" s="11">
        <v>53.081241333400001</v>
      </c>
      <c r="J822" s="11">
        <v>25.887591243399999</v>
      </c>
      <c r="K822" s="10">
        <v>0.40119233262699999</v>
      </c>
      <c r="L822" s="12">
        <v>2720272649.9099998</v>
      </c>
      <c r="M822">
        <v>27.061394422706101</v>
      </c>
      <c r="N822" s="7">
        <v>2.0331279000428202</v>
      </c>
      <c r="O822" s="7">
        <v>4.0407660139941202</v>
      </c>
      <c r="P822" s="7">
        <v>-84.036812734951496</v>
      </c>
      <c r="Q822" s="7">
        <v>0.5710029791459782</v>
      </c>
      <c r="U822">
        <v>0.96879626688967846</v>
      </c>
      <c r="AT822" s="4" t="s">
        <v>5179</v>
      </c>
    </row>
    <row r="823" spans="1:46">
      <c r="A823" s="2">
        <v>1180</v>
      </c>
      <c r="B823" t="s">
        <v>5180</v>
      </c>
      <c r="C823" t="s">
        <v>2606</v>
      </c>
      <c r="D823" t="s">
        <v>3752</v>
      </c>
      <c r="E823" s="4">
        <v>43465</v>
      </c>
      <c r="F823" s="11">
        <v>-40.091368760000002</v>
      </c>
      <c r="G823" s="11">
        <v>34.714003939999998</v>
      </c>
      <c r="H823" s="11">
        <v>68.845165909399995</v>
      </c>
      <c r="I823" s="11">
        <v>28.829405686899999</v>
      </c>
      <c r="J823" s="11">
        <v>8.5905338946000001</v>
      </c>
      <c r="K823" s="10">
        <v>0.46109706132200001</v>
      </c>
      <c r="L823" s="12">
        <v>4063827729.5999999</v>
      </c>
      <c r="M823">
        <v>55.850013549833001</v>
      </c>
      <c r="N823" s="7">
        <v>1.5422797859189099</v>
      </c>
      <c r="O823" s="7">
        <v>2.9030439000259398</v>
      </c>
      <c r="P823" s="7">
        <v>-6.74547029148522</v>
      </c>
      <c r="Q823" s="7">
        <v>0.66551426101987898</v>
      </c>
      <c r="U823">
        <v>0.33360859428241668</v>
      </c>
      <c r="AT823" s="4" t="s">
        <v>5181</v>
      </c>
    </row>
    <row r="824" spans="1:46">
      <c r="A824" s="2">
        <v>2605</v>
      </c>
      <c r="B824" t="s">
        <v>5182</v>
      </c>
      <c r="C824" t="s">
        <v>2211</v>
      </c>
      <c r="D824" t="s">
        <v>3769</v>
      </c>
      <c r="E824" s="4">
        <v>43465</v>
      </c>
      <c r="F824" s="11">
        <v>-62.103172280000003</v>
      </c>
      <c r="G824" s="11">
        <v>34.703196349999999</v>
      </c>
      <c r="H824" s="11">
        <v>22.277309731599999</v>
      </c>
      <c r="I824" s="11">
        <v>41.110704433800002</v>
      </c>
      <c r="J824" s="11">
        <v>-0.19590168899999999</v>
      </c>
      <c r="K824" s="10">
        <v>0.39690515812900001</v>
      </c>
      <c r="L824" s="12">
        <v>18666960000</v>
      </c>
      <c r="M824">
        <v>15.424223893514499</v>
      </c>
      <c r="N824" s="7">
        <v>2.5535416840320502</v>
      </c>
      <c r="O824" s="7">
        <v>0.97937116560067095</v>
      </c>
      <c r="P824" s="7">
        <v>11.0767650914442</v>
      </c>
      <c r="Q824" s="7" t="s">
        <v>3698</v>
      </c>
      <c r="U824">
        <v>8.429736293209654E-2</v>
      </c>
      <c r="AT824" s="4" t="s">
        <v>5183</v>
      </c>
    </row>
    <row r="825" spans="1:46">
      <c r="A825" s="2">
        <v>1706</v>
      </c>
      <c r="B825" t="s">
        <v>5184</v>
      </c>
      <c r="C825" t="s">
        <v>2446</v>
      </c>
      <c r="D825" t="s">
        <v>3718</v>
      </c>
      <c r="E825" s="4">
        <v>43465</v>
      </c>
      <c r="F825" s="11">
        <v>-32.59472822</v>
      </c>
      <c r="G825" s="11">
        <v>34.666666669999998</v>
      </c>
      <c r="H825" s="11">
        <v>-9.8994870793</v>
      </c>
      <c r="I825" s="11">
        <v>24.945932902300001</v>
      </c>
      <c r="J825" s="11">
        <v>5.3190317213</v>
      </c>
      <c r="K825" s="10">
        <v>0.248946835629</v>
      </c>
      <c r="L825" s="12">
        <v>4713413760</v>
      </c>
      <c r="M825">
        <v>61.042600830048599</v>
      </c>
      <c r="N825" s="7">
        <v>1.5635345012689601</v>
      </c>
      <c r="O825" s="7">
        <v>4.3427283805047496</v>
      </c>
      <c r="P825" s="7">
        <v>-5.7658181211704598</v>
      </c>
      <c r="Q825" s="7">
        <v>0.26548672566371678</v>
      </c>
      <c r="U825">
        <v>4.741646643523862E-2</v>
      </c>
      <c r="AT825" s="4" t="s">
        <v>5185</v>
      </c>
    </row>
    <row r="826" spans="1:46">
      <c r="A826" s="2">
        <v>2389</v>
      </c>
      <c r="B826" t="s">
        <v>5186</v>
      </c>
      <c r="C826" t="s">
        <v>2215</v>
      </c>
      <c r="D826" t="s">
        <v>3832</v>
      </c>
      <c r="E826" s="4">
        <v>43465</v>
      </c>
      <c r="F826" s="11">
        <v>-7.5707398899999996</v>
      </c>
      <c r="G826" s="11">
        <v>34.649122810000001</v>
      </c>
      <c r="H826" s="11">
        <v>1.4513858225</v>
      </c>
      <c r="I826" s="11">
        <v>94.474213756799998</v>
      </c>
      <c r="J826" s="11">
        <v>10.450364609399999</v>
      </c>
      <c r="K826" s="10">
        <v>0.50718511962199997</v>
      </c>
      <c r="L826" s="12">
        <v>4419692308.0799999</v>
      </c>
      <c r="M826">
        <v>21.868261835239501</v>
      </c>
      <c r="N826" s="7">
        <v>4.4998808535989099</v>
      </c>
      <c r="O826" s="7">
        <v>1.8437443612578199</v>
      </c>
      <c r="P826" s="7">
        <v>-45.991555869125598</v>
      </c>
      <c r="Q826" s="7">
        <v>0.6186726659167604</v>
      </c>
      <c r="U826">
        <v>0.87549362014864451</v>
      </c>
      <c r="AT826" s="4" t="s">
        <v>5187</v>
      </c>
    </row>
    <row r="827" spans="1:46">
      <c r="A827" s="2">
        <v>73</v>
      </c>
      <c r="B827" t="s">
        <v>5188</v>
      </c>
      <c r="C827" t="s">
        <v>1784</v>
      </c>
      <c r="D827" t="s">
        <v>3889</v>
      </c>
      <c r="E827" s="4">
        <v>43465</v>
      </c>
      <c r="F827" s="11">
        <v>-4.0637610500000001</v>
      </c>
      <c r="G827" s="11">
        <v>34.616481450000002</v>
      </c>
      <c r="H827" s="11">
        <v>7.0634050223999996</v>
      </c>
      <c r="I827" s="11">
        <v>40.694748390900003</v>
      </c>
      <c r="J827" s="11">
        <v>18.748232579</v>
      </c>
      <c r="K827" s="10">
        <v>0.23539473842</v>
      </c>
      <c r="L827" s="12">
        <v>188621961866.51999</v>
      </c>
      <c r="M827">
        <v>20.985729896083399</v>
      </c>
      <c r="N827" s="7">
        <v>1.09148894351042</v>
      </c>
      <c r="O827" s="7">
        <v>3.3867351006414301</v>
      </c>
      <c r="P827" s="7">
        <v>57.384556500059603</v>
      </c>
      <c r="Q827" s="7">
        <v>2.6221692491060788</v>
      </c>
      <c r="U827">
        <v>0.44942781356144601</v>
      </c>
      <c r="AT827" s="4" t="s">
        <v>5189</v>
      </c>
    </row>
    <row r="828" spans="1:46">
      <c r="A828" s="2">
        <v>2183</v>
      </c>
      <c r="B828" t="s">
        <v>5190</v>
      </c>
      <c r="C828" t="s">
        <v>2234</v>
      </c>
      <c r="D828" t="s">
        <v>3764</v>
      </c>
      <c r="E828" s="4">
        <v>43465</v>
      </c>
      <c r="F828" s="11">
        <v>-16.11222553</v>
      </c>
      <c r="G828" s="11">
        <v>34.603174600000003</v>
      </c>
      <c r="H828" s="11">
        <v>20.775753532</v>
      </c>
      <c r="I828" s="11">
        <v>50.917927165400002</v>
      </c>
      <c r="J828" s="11">
        <v>38.993009642899999</v>
      </c>
      <c r="K828" s="10">
        <v>9.2265014421000005E-2</v>
      </c>
      <c r="L828" s="12">
        <v>12240000000</v>
      </c>
      <c r="M828">
        <v>18.151922636074801</v>
      </c>
      <c r="N828" s="7">
        <v>1.2811670522093599</v>
      </c>
      <c r="O828" s="7">
        <v>3.7662840828410502</v>
      </c>
      <c r="P828" s="7">
        <v>196.735308135445</v>
      </c>
      <c r="Q828" s="7">
        <v>3.5198564593301436</v>
      </c>
      <c r="U828">
        <v>0.32237394198000002</v>
      </c>
      <c r="AT828" s="4" t="s">
        <v>5191</v>
      </c>
    </row>
    <row r="829" spans="1:46">
      <c r="A829" s="2">
        <v>3125</v>
      </c>
      <c r="B829" t="s">
        <v>5192</v>
      </c>
      <c r="C829" t="s">
        <v>949</v>
      </c>
      <c r="D829" t="s">
        <v>3837</v>
      </c>
      <c r="E829" s="4">
        <v>43465</v>
      </c>
      <c r="F829" s="11">
        <v>-3.8905201300000001</v>
      </c>
      <c r="G829" s="11">
        <v>34.540977839999996</v>
      </c>
      <c r="H829" s="11">
        <v>10.804573980100001</v>
      </c>
      <c r="I829" s="11" t="s">
        <v>3698</v>
      </c>
      <c r="J829" s="11">
        <v>5.2020103678999998</v>
      </c>
      <c r="K829" s="10" t="s">
        <v>3698</v>
      </c>
      <c r="L829" s="12">
        <v>6702362212.04</v>
      </c>
      <c r="M829">
        <v>15.752531947416699</v>
      </c>
      <c r="N829" s="7">
        <v>1.73818916603135</v>
      </c>
      <c r="O829" s="7">
        <v>0.73504115537473502</v>
      </c>
      <c r="P829" s="7">
        <v>-86.309098827470706</v>
      </c>
      <c r="Q829" s="7">
        <v>2.9197080291970803</v>
      </c>
      <c r="U829">
        <v>1.9884131538291767</v>
      </c>
      <c r="AT829" s="4" t="s">
        <v>5193</v>
      </c>
    </row>
    <row r="830" spans="1:46">
      <c r="A830" s="2">
        <v>1688</v>
      </c>
      <c r="B830" t="s">
        <v>5194</v>
      </c>
      <c r="C830" t="s">
        <v>2671</v>
      </c>
      <c r="D830" t="s">
        <v>3764</v>
      </c>
      <c r="E830" s="4">
        <v>43465</v>
      </c>
      <c r="F830" s="11">
        <v>-23.443564240000001</v>
      </c>
      <c r="G830" s="11">
        <v>34.5</v>
      </c>
      <c r="H830" s="11">
        <v>50.817975187800002</v>
      </c>
      <c r="I830" s="11">
        <v>28.014053832199998</v>
      </c>
      <c r="J830" s="11">
        <v>9.2309982511000008</v>
      </c>
      <c r="K830" s="10">
        <v>0.39797912566100002</v>
      </c>
      <c r="L830" s="12">
        <v>3348056132.46</v>
      </c>
      <c r="M830">
        <v>44.3313413768307</v>
      </c>
      <c r="N830" s="7">
        <v>1.88165315041054</v>
      </c>
      <c r="O830" s="7">
        <v>2.6338958459803798</v>
      </c>
      <c r="P830" s="7">
        <v>1573.5560665989799</v>
      </c>
      <c r="Q830" s="7">
        <v>0.45813753979861982</v>
      </c>
      <c r="U830">
        <v>0.14844515951199447</v>
      </c>
      <c r="AT830" s="4" t="s">
        <v>5195</v>
      </c>
    </row>
    <row r="831" spans="1:46">
      <c r="A831" s="2">
        <v>3173</v>
      </c>
      <c r="B831" t="s">
        <v>5196</v>
      </c>
      <c r="C831" t="s">
        <v>775</v>
      </c>
      <c r="D831" t="s">
        <v>3769</v>
      </c>
      <c r="E831" s="4">
        <v>43465</v>
      </c>
      <c r="F831" s="11">
        <v>5.4816258900000001</v>
      </c>
      <c r="G831" s="11">
        <v>34.431137720000002</v>
      </c>
      <c r="H831" s="11">
        <v>12.1055464735</v>
      </c>
      <c r="I831" s="11">
        <v>12.588298078499999</v>
      </c>
      <c r="J831" s="11">
        <v>4.4178591991999996</v>
      </c>
      <c r="K831" s="10">
        <v>1.0484381206690001</v>
      </c>
      <c r="L831" s="12">
        <v>7743246651.3599997</v>
      </c>
      <c r="M831">
        <v>17.893628578093299</v>
      </c>
      <c r="N831" s="7">
        <v>2.1880971163921501</v>
      </c>
      <c r="O831" s="7">
        <v>0.70738776001436698</v>
      </c>
      <c r="P831" s="7">
        <v>-66.675109656774893</v>
      </c>
      <c r="Q831" s="7">
        <v>2.4734543643201943</v>
      </c>
      <c r="U831">
        <v>0.17774889159686377</v>
      </c>
      <c r="AT831" s="4" t="s">
        <v>5197</v>
      </c>
    </row>
    <row r="832" spans="1:46">
      <c r="A832" s="2">
        <v>1188</v>
      </c>
      <c r="B832" t="s">
        <v>5198</v>
      </c>
      <c r="C832" t="s">
        <v>354</v>
      </c>
      <c r="D832" t="s">
        <v>3977</v>
      </c>
      <c r="E832" s="4">
        <v>43465</v>
      </c>
      <c r="F832" s="11">
        <v>-16.390523470000002</v>
      </c>
      <c r="G832" s="11">
        <v>34.403209629999999</v>
      </c>
      <c r="H832" s="11">
        <v>36.492198477999999</v>
      </c>
      <c r="I832" s="11">
        <v>51.541425070300001</v>
      </c>
      <c r="J832" s="11">
        <v>26.9487622101</v>
      </c>
      <c r="K832" s="10">
        <v>0.81064440372699997</v>
      </c>
      <c r="L832" s="12">
        <v>2521919951.5999999</v>
      </c>
      <c r="M832">
        <v>17.9706213338956</v>
      </c>
      <c r="N832" s="7">
        <v>4.71851661139981</v>
      </c>
      <c r="O832" s="7">
        <v>4.9375629359828697</v>
      </c>
      <c r="P832" s="7">
        <v>13.416137431389201</v>
      </c>
      <c r="Q832" s="7">
        <v>3.5361216730038025</v>
      </c>
      <c r="U832">
        <v>0.58435745989205712</v>
      </c>
      <c r="AT832" s="4" t="s">
        <v>4052</v>
      </c>
    </row>
    <row r="833" spans="1:46">
      <c r="A833" s="2">
        <v>2418</v>
      </c>
      <c r="B833" t="s">
        <v>5199</v>
      </c>
      <c r="C833" t="s">
        <v>3658</v>
      </c>
      <c r="D833" t="s">
        <v>3713</v>
      </c>
      <c r="E833" s="4">
        <v>43465</v>
      </c>
      <c r="F833" s="11">
        <v>-64.486921530000004</v>
      </c>
      <c r="G833" s="11">
        <v>34.4</v>
      </c>
      <c r="H833" s="11">
        <v>-7.1079673890999997</v>
      </c>
      <c r="I833" s="11">
        <v>62.138677188800003</v>
      </c>
      <c r="J833" s="11">
        <v>-117.63832993779999</v>
      </c>
      <c r="K833" s="10">
        <v>0.44048741426799998</v>
      </c>
      <c r="L833" s="12">
        <v>20356970246.82</v>
      </c>
      <c r="M833">
        <v>-1.64339633821095</v>
      </c>
      <c r="N833" s="7">
        <v>-2.0480143410597602</v>
      </c>
      <c r="O833" s="7">
        <v>1.34286340416561</v>
      </c>
      <c r="P833" s="7">
        <v>-1.8988243888452201</v>
      </c>
      <c r="Q833" s="7" t="s">
        <v>3698</v>
      </c>
      <c r="U833">
        <v>-2.3365667444472003</v>
      </c>
      <c r="AT833" s="4" t="s">
        <v>5054</v>
      </c>
    </row>
    <row r="834" spans="1:46">
      <c r="A834" s="2">
        <v>1550</v>
      </c>
      <c r="B834" t="s">
        <v>5200</v>
      </c>
      <c r="C834" t="s">
        <v>2036</v>
      </c>
      <c r="D834" t="s">
        <v>3761</v>
      </c>
      <c r="E834" s="4">
        <v>43465</v>
      </c>
      <c r="F834" s="11">
        <v>43.099038100000001</v>
      </c>
      <c r="G834" s="11">
        <v>34.387351780000003</v>
      </c>
      <c r="H834" s="11">
        <v>35.117812477400001</v>
      </c>
      <c r="I834" s="11">
        <v>28.938903699499999</v>
      </c>
      <c r="J834" s="11">
        <v>23.772079502899999</v>
      </c>
      <c r="K834" s="10">
        <v>0.11482661605699999</v>
      </c>
      <c r="L834" s="12">
        <v>14964193856.879999</v>
      </c>
      <c r="M834">
        <v>-8.8041296102335398</v>
      </c>
      <c r="N834" s="7">
        <v>2.94580926356435</v>
      </c>
      <c r="O834" s="7">
        <v>15.3130528666372</v>
      </c>
      <c r="P834" s="7">
        <v>-15.7594974888757</v>
      </c>
      <c r="Q834" s="7" t="s">
        <v>3698</v>
      </c>
      <c r="U834">
        <v>0.20727951966101693</v>
      </c>
      <c r="AT834" s="4" t="s">
        <v>4198</v>
      </c>
    </row>
    <row r="835" spans="1:46">
      <c r="A835" s="2">
        <v>701</v>
      </c>
      <c r="B835" t="s">
        <v>5201</v>
      </c>
      <c r="C835" t="s">
        <v>3435</v>
      </c>
      <c r="D835" t="s">
        <v>3761</v>
      </c>
      <c r="E835" s="4">
        <v>43465</v>
      </c>
      <c r="F835" s="11">
        <v>0</v>
      </c>
      <c r="G835" s="11">
        <v>34.324659230000002</v>
      </c>
      <c r="H835" s="11">
        <v>10.445618811299999</v>
      </c>
      <c r="I835" s="11">
        <v>1.4632223487</v>
      </c>
      <c r="J835" s="11">
        <v>-30.1055839747</v>
      </c>
      <c r="K835" s="10">
        <v>0.231888391114</v>
      </c>
      <c r="L835" s="12">
        <v>75960000000</v>
      </c>
      <c r="M835">
        <v>-25.817293231691501</v>
      </c>
      <c r="N835" s="7">
        <v>3.2211467860818099</v>
      </c>
      <c r="O835" s="7">
        <v>2.5589926305351001</v>
      </c>
      <c r="P835" s="7">
        <v>-45.790744230649999</v>
      </c>
      <c r="Q835" s="7" t="s">
        <v>3698</v>
      </c>
      <c r="U835">
        <v>-0.57050079965161926</v>
      </c>
      <c r="AT835" s="4" t="s">
        <v>4483</v>
      </c>
    </row>
    <row r="836" spans="1:46">
      <c r="A836" s="2">
        <v>368</v>
      </c>
      <c r="B836" t="s">
        <v>5202</v>
      </c>
      <c r="C836" t="s">
        <v>3349</v>
      </c>
      <c r="D836" t="s">
        <v>3718</v>
      </c>
      <c r="E836" s="4">
        <v>43465</v>
      </c>
      <c r="F836" s="11">
        <v>-9.0211302399999997</v>
      </c>
      <c r="G836" s="11">
        <v>34.235976790000002</v>
      </c>
      <c r="H836" s="11">
        <v>4.4715875308999999</v>
      </c>
      <c r="I836" s="11">
        <v>29.249043005400001</v>
      </c>
      <c r="J836" s="11">
        <v>8.3712702541000006</v>
      </c>
      <c r="K836" s="10">
        <v>0.62127107763900002</v>
      </c>
      <c r="L836" s="12">
        <v>342906080000</v>
      </c>
      <c r="M836">
        <v>14.6556635528984</v>
      </c>
      <c r="N836" s="7">
        <v>1.6748335592254</v>
      </c>
      <c r="O836" s="7">
        <v>0.94626261534144396</v>
      </c>
      <c r="P836" s="7">
        <v>-47.693710719631603</v>
      </c>
      <c r="Q836" s="7">
        <v>0.65933590545820764</v>
      </c>
      <c r="U836">
        <v>0.43237831210110472</v>
      </c>
      <c r="AT836" s="4" t="s">
        <v>5203</v>
      </c>
    </row>
    <row r="837" spans="1:46">
      <c r="A837" s="2">
        <v>3376</v>
      </c>
      <c r="B837" t="s">
        <v>5204</v>
      </c>
      <c r="C837" t="s">
        <v>742</v>
      </c>
      <c r="D837" t="s">
        <v>3849</v>
      </c>
      <c r="E837" s="4">
        <v>43465</v>
      </c>
      <c r="F837" s="11">
        <v>-16.896381009999999</v>
      </c>
      <c r="G837" s="11">
        <v>34.232558140000002</v>
      </c>
      <c r="H837" s="11">
        <v>27.743053736899999</v>
      </c>
      <c r="I837" s="11">
        <v>17.281966760500001</v>
      </c>
      <c r="J837" s="11">
        <v>5.2701839847</v>
      </c>
      <c r="K837" s="10">
        <v>0.94064093226500001</v>
      </c>
      <c r="L837" s="12">
        <v>5004335092.8800001</v>
      </c>
      <c r="M837">
        <v>15.062167945478</v>
      </c>
      <c r="N837" s="7">
        <v>1.3534166435365</v>
      </c>
      <c r="O837" s="7">
        <v>0.91927437499260301</v>
      </c>
      <c r="P837" s="7">
        <v>15.0411523999995</v>
      </c>
      <c r="Q837" s="7">
        <v>2.2338049143708116</v>
      </c>
      <c r="U837">
        <v>0.65633076973852034</v>
      </c>
      <c r="AT837" s="4" t="s">
        <v>4703</v>
      </c>
    </row>
    <row r="838" spans="1:46">
      <c r="A838" s="2">
        <v>2639</v>
      </c>
      <c r="B838" t="s">
        <v>5205</v>
      </c>
      <c r="C838" t="s">
        <v>1740</v>
      </c>
      <c r="D838" t="s">
        <v>3871</v>
      </c>
      <c r="E838" s="4">
        <v>43465</v>
      </c>
      <c r="F838" s="11">
        <v>-1.01113531</v>
      </c>
      <c r="G838" s="11">
        <v>34.23076923</v>
      </c>
      <c r="H838" s="11">
        <v>38.872080608300003</v>
      </c>
      <c r="I838" s="11">
        <v>29.924394613299999</v>
      </c>
      <c r="J838" s="11">
        <v>7.9578118246000003</v>
      </c>
      <c r="K838" s="10">
        <v>0.27474363341899999</v>
      </c>
      <c r="L838" s="12">
        <v>116481623152.14</v>
      </c>
      <c r="M838">
        <v>12.278646387729699</v>
      </c>
      <c r="N838" s="7">
        <v>0.75601294466286895</v>
      </c>
      <c r="O838" s="7">
        <v>0.80316817271583696</v>
      </c>
      <c r="P838" s="7">
        <v>33.836124714408797</v>
      </c>
      <c r="Q838" s="7">
        <v>8.8680344080876399</v>
      </c>
      <c r="U838">
        <v>0.4227883939675679</v>
      </c>
      <c r="AT838" s="4" t="s">
        <v>5206</v>
      </c>
    </row>
    <row r="839" spans="1:46">
      <c r="A839" s="2">
        <v>2485</v>
      </c>
      <c r="B839" t="s">
        <v>5207</v>
      </c>
      <c r="C839" t="s">
        <v>2748</v>
      </c>
      <c r="D839" t="s">
        <v>3769</v>
      </c>
      <c r="E839" s="4">
        <v>43465</v>
      </c>
      <c r="F839" s="11">
        <v>-29.29654991</v>
      </c>
      <c r="G839" s="11">
        <v>34.131736529999998</v>
      </c>
      <c r="H839" s="11">
        <v>7.4202278819999998</v>
      </c>
      <c r="I839" s="11">
        <v>19.592842467299999</v>
      </c>
      <c r="J839" s="11">
        <v>4.4979729209999997</v>
      </c>
      <c r="K839" s="10">
        <v>0.34575745145699999</v>
      </c>
      <c r="L839" s="12">
        <v>8631250003.9200001</v>
      </c>
      <c r="M839">
        <v>52.138742398256802</v>
      </c>
      <c r="N839" s="7">
        <v>1.1374761181299999</v>
      </c>
      <c r="O839" s="7">
        <v>2.4366382751938298</v>
      </c>
      <c r="P839" s="7">
        <v>-41.313304181406899</v>
      </c>
      <c r="Q839" s="7">
        <v>1.6556291390728477</v>
      </c>
      <c r="U839">
        <v>8.9103732872381311E-2</v>
      </c>
      <c r="AT839" s="4" t="s">
        <v>5208</v>
      </c>
    </row>
    <row r="840" spans="1:46">
      <c r="A840" s="2">
        <v>76</v>
      </c>
      <c r="B840" t="s">
        <v>5209</v>
      </c>
      <c r="C840" t="s">
        <v>3335</v>
      </c>
      <c r="D840" t="s">
        <v>3778</v>
      </c>
      <c r="E840" s="4">
        <v>43465</v>
      </c>
      <c r="F840" s="11">
        <v>8.3975246099999996</v>
      </c>
      <c r="G840" s="11">
        <v>34.123222749999996</v>
      </c>
      <c r="H840" s="11">
        <v>55.010644218000003</v>
      </c>
      <c r="I840" s="11">
        <v>20.660573092500002</v>
      </c>
      <c r="J840" s="11">
        <v>9.0506920234999999</v>
      </c>
      <c r="K840" s="10">
        <v>0.19088123282800001</v>
      </c>
      <c r="L840" s="12">
        <v>2227613803.5700002</v>
      </c>
      <c r="M840">
        <v>-88.116493063464603</v>
      </c>
      <c r="N840" s="7">
        <v>0.969288666135387</v>
      </c>
      <c r="O840" s="7">
        <v>3.47620828019231</v>
      </c>
      <c r="P840" s="7">
        <v>-21.3081569444034</v>
      </c>
      <c r="Q840" s="7">
        <v>0.51418306302275951</v>
      </c>
      <c r="U840">
        <v>0.1245380118756212</v>
      </c>
      <c r="AT840" s="4" t="s">
        <v>5210</v>
      </c>
    </row>
    <row r="841" spans="1:46">
      <c r="A841" s="2">
        <v>1299</v>
      </c>
      <c r="B841" t="s">
        <v>5211</v>
      </c>
      <c r="C841" t="s">
        <v>978</v>
      </c>
      <c r="D841" t="s">
        <v>3718</v>
      </c>
      <c r="E841" s="4">
        <v>43465</v>
      </c>
      <c r="F841" s="11">
        <v>54.070506289999997</v>
      </c>
      <c r="G841" s="11">
        <v>34.117647060000003</v>
      </c>
      <c r="H841" s="11">
        <v>12.9705401952</v>
      </c>
      <c r="I841" s="11">
        <v>25.958054960999998</v>
      </c>
      <c r="J841" s="11">
        <v>11.9029493755</v>
      </c>
      <c r="K841" s="10">
        <v>0.81319803584700001</v>
      </c>
      <c r="L841" s="12">
        <v>4516154914.9499998</v>
      </c>
      <c r="M841">
        <v>19.430803787354701</v>
      </c>
      <c r="N841" s="7">
        <v>2.4126873594229501</v>
      </c>
      <c r="O841" s="7">
        <v>2.3638977413476301</v>
      </c>
      <c r="P841" s="7">
        <v>7.1009946491022902</v>
      </c>
      <c r="Q841" s="7">
        <v>1.351650945842835</v>
      </c>
      <c r="U841">
        <v>0.55672821235000003</v>
      </c>
      <c r="AT841" s="4" t="s">
        <v>5212</v>
      </c>
    </row>
    <row r="842" spans="1:46">
      <c r="A842" s="2">
        <v>82</v>
      </c>
      <c r="B842" t="s">
        <v>5213</v>
      </c>
      <c r="C842" t="s">
        <v>3620</v>
      </c>
      <c r="D842" t="s">
        <v>3998</v>
      </c>
      <c r="E842" s="4">
        <v>43465</v>
      </c>
      <c r="F842" s="11">
        <v>26.401589439999999</v>
      </c>
      <c r="G842" s="11">
        <v>34.087237479999999</v>
      </c>
      <c r="H842" s="11">
        <v>22.570946471399999</v>
      </c>
      <c r="I842" s="11">
        <v>30.635780480800001</v>
      </c>
      <c r="J842" s="11">
        <v>8.2973739119999994</v>
      </c>
      <c r="K842" s="10">
        <v>0.59884099479700004</v>
      </c>
      <c r="L842" s="12">
        <v>7762902982.5200005</v>
      </c>
      <c r="M842">
        <v>29.8638645465971</v>
      </c>
      <c r="N842" s="7">
        <v>1.4756935112351</v>
      </c>
      <c r="O842" s="7">
        <v>0.91759198264929498</v>
      </c>
      <c r="P842" s="7">
        <v>-30.800540715383001</v>
      </c>
      <c r="Q842" s="7">
        <v>2.6899798251513114</v>
      </c>
      <c r="U842">
        <v>1.1007075779640509</v>
      </c>
      <c r="AT842" s="4" t="s">
        <v>5214</v>
      </c>
    </row>
    <row r="843" spans="1:46">
      <c r="A843" s="2">
        <v>909</v>
      </c>
      <c r="B843" t="s">
        <v>5215</v>
      </c>
      <c r="C843" t="s">
        <v>1335</v>
      </c>
      <c r="D843" t="s">
        <v>3998</v>
      </c>
      <c r="E843" s="4">
        <v>43465</v>
      </c>
      <c r="F843" s="11">
        <v>-18.031788179999999</v>
      </c>
      <c r="G843" s="11">
        <v>34.075723830000001</v>
      </c>
      <c r="H843" s="11">
        <v>35.944314303200002</v>
      </c>
      <c r="I843" s="11">
        <v>26.347581784399999</v>
      </c>
      <c r="J843" s="11">
        <v>9.3683382062000007</v>
      </c>
      <c r="K843" s="10">
        <v>0.79890713782599998</v>
      </c>
      <c r="L843" s="12">
        <v>5228323006.04</v>
      </c>
      <c r="M843">
        <v>13.380866291356099</v>
      </c>
      <c r="N843" s="7">
        <v>1.39832118315725</v>
      </c>
      <c r="O843" s="7">
        <v>1.2191372231605599</v>
      </c>
      <c r="P843" s="7">
        <v>55.0626412151029</v>
      </c>
      <c r="Q843" s="7">
        <v>1.3086295326896762</v>
      </c>
      <c r="U843">
        <v>0.35968636377820234</v>
      </c>
      <c r="AT843" s="4" t="s">
        <v>5216</v>
      </c>
    </row>
    <row r="844" spans="1:46">
      <c r="A844" s="2">
        <v>1320</v>
      </c>
      <c r="B844" t="s">
        <v>5217</v>
      </c>
      <c r="C844" t="s">
        <v>1684</v>
      </c>
      <c r="D844" t="s">
        <v>3737</v>
      </c>
      <c r="E844" s="4">
        <v>43465</v>
      </c>
      <c r="F844" s="11">
        <v>-25.73413845</v>
      </c>
      <c r="G844" s="11">
        <v>33.953488370000002</v>
      </c>
      <c r="H844" s="11">
        <v>3.0612129954</v>
      </c>
      <c r="I844" s="11">
        <v>33.281248515000001</v>
      </c>
      <c r="J844" s="11">
        <v>11.5596289057</v>
      </c>
      <c r="K844" s="10">
        <v>0.38809043217400002</v>
      </c>
      <c r="L844" s="12">
        <v>4638144000</v>
      </c>
      <c r="M844">
        <v>57.9865954062779</v>
      </c>
      <c r="N844" s="7">
        <v>2.15255790517902</v>
      </c>
      <c r="O844" s="7">
        <v>5.21257510789117</v>
      </c>
      <c r="P844" s="7">
        <v>6.5803648203476603</v>
      </c>
      <c r="Q844" s="7">
        <v>0.41975308641975301</v>
      </c>
      <c r="U844">
        <v>0.41497875031729548</v>
      </c>
      <c r="AT844" s="4" t="s">
        <v>4888</v>
      </c>
    </row>
    <row r="845" spans="1:46">
      <c r="A845" s="2">
        <v>3341</v>
      </c>
      <c r="B845" t="s">
        <v>5218</v>
      </c>
      <c r="C845" t="s">
        <v>1811</v>
      </c>
      <c r="D845" t="s">
        <v>3785</v>
      </c>
      <c r="E845" s="4">
        <v>43465</v>
      </c>
      <c r="F845" s="11">
        <v>-26.075580030000001</v>
      </c>
      <c r="G845" s="11">
        <v>33.723196880000003</v>
      </c>
      <c r="H845" s="11">
        <v>6.2835545143999996</v>
      </c>
      <c r="I845" s="11">
        <v>26.8131567571</v>
      </c>
      <c r="J845" s="11">
        <v>5.2861083653999996</v>
      </c>
      <c r="K845" s="10">
        <v>0.59991112679900005</v>
      </c>
      <c r="L845" s="12">
        <v>8720795096.7199993</v>
      </c>
      <c r="M845">
        <v>16.996295477562501</v>
      </c>
      <c r="N845" s="7">
        <v>1.2915244870217799</v>
      </c>
      <c r="O845" s="7">
        <v>1.0539499782778601</v>
      </c>
      <c r="P845" s="7">
        <v>-26.1440957771919</v>
      </c>
      <c r="Q845" s="7">
        <v>0.92879256965944257</v>
      </c>
      <c r="U845">
        <v>0.25894805376805374</v>
      </c>
      <c r="AT845" s="4" t="s">
        <v>4474</v>
      </c>
    </row>
    <row r="846" spans="1:46">
      <c r="A846" s="2">
        <v>891</v>
      </c>
      <c r="B846" t="s">
        <v>5219</v>
      </c>
      <c r="C846" t="s">
        <v>2759</v>
      </c>
      <c r="D846" t="s">
        <v>3713</v>
      </c>
      <c r="E846" s="4">
        <v>43465</v>
      </c>
      <c r="F846" s="11">
        <v>-16.988457530000002</v>
      </c>
      <c r="G846" s="11">
        <v>33.713200380000004</v>
      </c>
      <c r="H846" s="11">
        <v>3.0343172743000002</v>
      </c>
      <c r="I846" s="11">
        <v>43.440688890300002</v>
      </c>
      <c r="J846" s="11">
        <v>18.9436184039</v>
      </c>
      <c r="K846" s="10">
        <v>0.25051754863600001</v>
      </c>
      <c r="L846" s="12">
        <v>6587497381.8599997</v>
      </c>
      <c r="M846">
        <v>28.3459639780198</v>
      </c>
      <c r="N846" s="7">
        <v>1.2267231087622901</v>
      </c>
      <c r="O846" s="7">
        <v>4.18911487178275</v>
      </c>
      <c r="P846" s="7">
        <v>19.0657902379577</v>
      </c>
      <c r="Q846" s="7">
        <v>1.5290519877675843</v>
      </c>
      <c r="U846">
        <v>0.46748544800406783</v>
      </c>
      <c r="AT846" s="4" t="s">
        <v>5220</v>
      </c>
    </row>
    <row r="847" spans="1:46">
      <c r="A847" s="2">
        <v>284</v>
      </c>
      <c r="B847" t="s">
        <v>5221</v>
      </c>
      <c r="C847" t="s">
        <v>2767</v>
      </c>
      <c r="D847" t="s">
        <v>3849</v>
      </c>
      <c r="E847" s="4">
        <v>43465</v>
      </c>
      <c r="F847" s="11">
        <v>-25.86764964</v>
      </c>
      <c r="G847" s="11">
        <v>33.559322029999997</v>
      </c>
      <c r="H847" s="11">
        <v>14.411889760499999</v>
      </c>
      <c r="I847" s="11">
        <v>19.1261573924</v>
      </c>
      <c r="J847" s="11">
        <v>0.20518389400000001</v>
      </c>
      <c r="K847" s="10">
        <v>0.66518845813799998</v>
      </c>
      <c r="L847" s="12">
        <v>2735103300.1700001</v>
      </c>
      <c r="M847">
        <v>-11.6723056320117</v>
      </c>
      <c r="N847" s="7">
        <v>1.1169200102632699</v>
      </c>
      <c r="O847" s="7">
        <v>0.50688989929924499</v>
      </c>
      <c r="P847" s="7">
        <v>-4.7376963350355004</v>
      </c>
      <c r="Q847" s="7">
        <v>3.3854161305214432</v>
      </c>
      <c r="U847">
        <v>1.3296332824521482E-2</v>
      </c>
      <c r="AT847" s="4" t="s">
        <v>5222</v>
      </c>
    </row>
    <row r="848" spans="1:46">
      <c r="A848" s="2">
        <v>2611</v>
      </c>
      <c r="B848" t="s">
        <v>5223</v>
      </c>
      <c r="C848" t="s">
        <v>1917</v>
      </c>
      <c r="D848" t="s">
        <v>3769</v>
      </c>
      <c r="E848" s="4">
        <v>43465</v>
      </c>
      <c r="F848" s="11">
        <v>-26.176775540000001</v>
      </c>
      <c r="G848" s="11">
        <v>33.524355300000003</v>
      </c>
      <c r="H848" s="11">
        <v>10.804781134800001</v>
      </c>
      <c r="I848" s="11">
        <v>4.1308451572999996</v>
      </c>
      <c r="J848" s="11">
        <v>0.67677841169999997</v>
      </c>
      <c r="K848" s="10">
        <v>1.7851300945749999</v>
      </c>
      <c r="L848" s="12">
        <v>4842090130.5</v>
      </c>
      <c r="M848">
        <v>22.447203181496501</v>
      </c>
      <c r="N848" s="7">
        <v>1.1562572423144299</v>
      </c>
      <c r="O848" s="7">
        <v>0.20124110186782901</v>
      </c>
      <c r="P848" s="7">
        <v>-58.421360476929401</v>
      </c>
      <c r="Q848" s="7">
        <v>0.89411764705882357</v>
      </c>
      <c r="U848">
        <v>0.12066409054041818</v>
      </c>
      <c r="AT848" s="4" t="s">
        <v>5224</v>
      </c>
    </row>
    <row r="849" spans="1:46">
      <c r="A849" s="2">
        <v>2493</v>
      </c>
      <c r="B849" t="s">
        <v>5225</v>
      </c>
      <c r="C849" t="s">
        <v>2803</v>
      </c>
      <c r="D849" t="s">
        <v>3849</v>
      </c>
      <c r="E849" s="4">
        <v>43465</v>
      </c>
      <c r="F849" s="11">
        <v>-12.359550560000001</v>
      </c>
      <c r="G849" s="11">
        <v>33.522727269999997</v>
      </c>
      <c r="H849" s="11">
        <v>21.7207185605</v>
      </c>
      <c r="I849" s="11">
        <v>13.3448529073</v>
      </c>
      <c r="J849" s="11">
        <v>0.84081365029999999</v>
      </c>
      <c r="K849" s="10">
        <v>0.63069149883499998</v>
      </c>
      <c r="L849" s="12">
        <v>22921364767.139999</v>
      </c>
      <c r="M849">
        <v>-245.33966108265199</v>
      </c>
      <c r="N849" s="7">
        <v>0.69665815564380695</v>
      </c>
      <c r="O849" s="7">
        <v>0.295341735090145</v>
      </c>
      <c r="P849" s="7">
        <v>-64.199720879160594</v>
      </c>
      <c r="Q849" s="7" t="s">
        <v>3698</v>
      </c>
      <c r="U849">
        <v>0.10704279941240283</v>
      </c>
      <c r="AT849" s="4" t="s">
        <v>5226</v>
      </c>
    </row>
    <row r="850" spans="1:46">
      <c r="A850" s="2">
        <v>2909</v>
      </c>
      <c r="B850" t="s">
        <v>5227</v>
      </c>
      <c r="C850" t="s">
        <v>2455</v>
      </c>
      <c r="D850" t="s">
        <v>4060</v>
      </c>
      <c r="E850" s="4">
        <v>43465</v>
      </c>
      <c r="F850" s="11">
        <v>-1.9464851599999999</v>
      </c>
      <c r="G850" s="11">
        <v>33.421750660000001</v>
      </c>
      <c r="H850" s="11">
        <v>2.0515074383999998</v>
      </c>
      <c r="I850" s="11">
        <v>20.1924758603</v>
      </c>
      <c r="J850" s="11">
        <v>-1.4767755254999999</v>
      </c>
      <c r="K850" s="10">
        <v>0.39432390778499998</v>
      </c>
      <c r="L850" s="12">
        <v>4182752107.0799999</v>
      </c>
      <c r="M850">
        <v>-200.287449561014</v>
      </c>
      <c r="N850" s="7">
        <v>2.87008507511448</v>
      </c>
      <c r="O850" s="7">
        <v>1.7849489373755101</v>
      </c>
      <c r="P850" s="7">
        <v>-40.635579565148703</v>
      </c>
      <c r="Q850" s="7" t="s">
        <v>3698</v>
      </c>
      <c r="U850">
        <v>-1.7818616916195899E-2</v>
      </c>
      <c r="AT850" s="4" t="s">
        <v>4215</v>
      </c>
    </row>
    <row r="851" spans="1:46">
      <c r="A851" s="2">
        <v>1833</v>
      </c>
      <c r="B851" t="s">
        <v>5228</v>
      </c>
      <c r="C851" t="s">
        <v>464</v>
      </c>
      <c r="D851" t="s">
        <v>3721</v>
      </c>
      <c r="E851" s="4">
        <v>43465</v>
      </c>
      <c r="F851" s="11">
        <v>12.879364860000001</v>
      </c>
      <c r="G851" s="11">
        <v>33.392434989999998</v>
      </c>
      <c r="H851" s="11">
        <v>19.818228684200001</v>
      </c>
      <c r="I851" s="11">
        <v>54.197832486899998</v>
      </c>
      <c r="J851" s="11">
        <v>35.2959560225</v>
      </c>
      <c r="K851" s="10">
        <v>0.47107485491200002</v>
      </c>
      <c r="L851" s="12">
        <v>1961342100</v>
      </c>
      <c r="M851">
        <v>23.455747075384298</v>
      </c>
      <c r="N851" s="7">
        <v>4.3785226197902398</v>
      </c>
      <c r="O851" s="7">
        <v>7.6553535265324104</v>
      </c>
      <c r="P851" s="7">
        <v>-100.835936480822</v>
      </c>
      <c r="Q851" s="7">
        <v>1.3354700854700854</v>
      </c>
      <c r="U851">
        <v>0.7564045097326636</v>
      </c>
      <c r="AT851" s="4" t="s">
        <v>3828</v>
      </c>
    </row>
    <row r="852" spans="1:46">
      <c r="A852" s="2">
        <v>2746</v>
      </c>
      <c r="B852" t="s">
        <v>5229</v>
      </c>
      <c r="C852" t="s">
        <v>815</v>
      </c>
      <c r="D852" t="s">
        <v>4119</v>
      </c>
      <c r="E852" s="4">
        <v>43465</v>
      </c>
      <c r="F852" s="11">
        <v>53.011494480000003</v>
      </c>
      <c r="G852" s="11">
        <v>33.379120880000002</v>
      </c>
      <c r="H852" s="11">
        <v>29.7430174715</v>
      </c>
      <c r="I852" s="11">
        <v>35.1503480031</v>
      </c>
      <c r="J852" s="11">
        <v>12.785293961000001</v>
      </c>
      <c r="K852" s="10">
        <v>0.70709009632200004</v>
      </c>
      <c r="L852" s="12">
        <v>5360300201.1400003</v>
      </c>
      <c r="M852">
        <v>27.2849473188604</v>
      </c>
      <c r="N852" s="7">
        <v>3.2637546061260898</v>
      </c>
      <c r="O852" s="7">
        <v>2.3050147786230601</v>
      </c>
      <c r="P852" s="7">
        <v>-67.388894854072703</v>
      </c>
      <c r="Q852" s="7">
        <v>0.79185520361990924</v>
      </c>
      <c r="U852">
        <v>0.36185449028937855</v>
      </c>
      <c r="AT852" s="4" t="s">
        <v>5230</v>
      </c>
    </row>
    <row r="853" spans="1:46">
      <c r="A853" s="2">
        <v>678</v>
      </c>
      <c r="B853" t="s">
        <v>5231</v>
      </c>
      <c r="C853" t="s">
        <v>1996</v>
      </c>
      <c r="D853" t="s">
        <v>3769</v>
      </c>
      <c r="E853" s="4">
        <v>43465</v>
      </c>
      <c r="F853" s="11">
        <v>-32.69230769</v>
      </c>
      <c r="G853" s="11">
        <v>33.333333330000002</v>
      </c>
      <c r="H853" s="11">
        <v>-40.9081896625</v>
      </c>
      <c r="I853" s="11">
        <v>29.877525713400001</v>
      </c>
      <c r="J853" s="11">
        <v>2.1330336070000002</v>
      </c>
      <c r="K853" s="10">
        <v>0.18594492160000001</v>
      </c>
      <c r="L853" s="12">
        <v>3355083253.02</v>
      </c>
      <c r="M853">
        <v>-58.059999814603003</v>
      </c>
      <c r="N853" s="7">
        <v>3.1440991799212599</v>
      </c>
      <c r="O853" s="7">
        <v>4.2956491865300599</v>
      </c>
      <c r="P853" s="7">
        <v>-14.0112240127565</v>
      </c>
      <c r="Q853" s="7" t="s">
        <v>3698</v>
      </c>
      <c r="U853">
        <v>1.7115475435867208E-2</v>
      </c>
      <c r="AT853" s="4" t="s">
        <v>5232</v>
      </c>
    </row>
    <row r="854" spans="1:46">
      <c r="A854" s="2">
        <v>1767</v>
      </c>
      <c r="B854" t="s">
        <v>5233</v>
      </c>
      <c r="C854" t="s">
        <v>785</v>
      </c>
      <c r="D854" t="s">
        <v>3977</v>
      </c>
      <c r="E854" s="4">
        <v>43465</v>
      </c>
      <c r="F854" s="11">
        <v>-39.53571926</v>
      </c>
      <c r="G854" s="11">
        <v>33.333333330000002</v>
      </c>
      <c r="H854" s="11">
        <v>-3.5222641283999998</v>
      </c>
      <c r="I854" s="11">
        <v>31.625396934899999</v>
      </c>
      <c r="J854" s="11">
        <v>13.085758675399999</v>
      </c>
      <c r="K854" s="10">
        <v>0.40533163903000002</v>
      </c>
      <c r="L854" s="12">
        <v>3250824564.3899999</v>
      </c>
      <c r="M854">
        <v>21.146740222584899</v>
      </c>
      <c r="N854" s="7">
        <v>2.8221777423116499</v>
      </c>
      <c r="O854" s="7">
        <v>3.9389358847033198</v>
      </c>
      <c r="P854" s="7">
        <v>39.480009118047903</v>
      </c>
      <c r="Q854" s="7">
        <v>1.7304884123842659</v>
      </c>
      <c r="U854">
        <v>0.22528450475208295</v>
      </c>
      <c r="AT854" s="4" t="s">
        <v>3762</v>
      </c>
    </row>
    <row r="855" spans="1:46">
      <c r="A855" s="2">
        <v>1256</v>
      </c>
      <c r="B855" t="s">
        <v>5234</v>
      </c>
      <c r="C855" t="s">
        <v>2069</v>
      </c>
      <c r="D855" t="s">
        <v>3718</v>
      </c>
      <c r="E855" s="4">
        <v>43465</v>
      </c>
      <c r="F855" s="11">
        <v>2.5313535900000002</v>
      </c>
      <c r="G855" s="11">
        <v>33.254994119999999</v>
      </c>
      <c r="H855" s="11">
        <v>35.719495340999998</v>
      </c>
      <c r="I855" s="11">
        <v>35.9855449808</v>
      </c>
      <c r="J855" s="11">
        <v>7.7979582120000002</v>
      </c>
      <c r="K855" s="10">
        <v>0.42655830407400003</v>
      </c>
      <c r="L855" s="12">
        <v>5113237953.46</v>
      </c>
      <c r="M855">
        <v>91.623500129556902</v>
      </c>
      <c r="N855" s="7">
        <v>6.2094731255617104</v>
      </c>
      <c r="O855" s="7">
        <v>4.8280116619344904</v>
      </c>
      <c r="P855" s="7">
        <v>-56.952288163458498</v>
      </c>
      <c r="Q855" s="7">
        <v>0.76658617331410839</v>
      </c>
      <c r="U855">
        <v>0.12086414803866211</v>
      </c>
      <c r="AT855" s="4" t="s">
        <v>5235</v>
      </c>
    </row>
    <row r="856" spans="1:46">
      <c r="A856" s="2">
        <v>508</v>
      </c>
      <c r="B856" t="s">
        <v>5236</v>
      </c>
      <c r="C856" t="s">
        <v>1700</v>
      </c>
      <c r="D856" t="s">
        <v>3849</v>
      </c>
      <c r="E856" s="4">
        <v>43465</v>
      </c>
      <c r="F856" s="11">
        <v>-4.0511874499999996</v>
      </c>
      <c r="G856" s="11">
        <v>33.027522939999997</v>
      </c>
      <c r="H856" s="11">
        <v>15.2405763322</v>
      </c>
      <c r="I856" s="11">
        <v>16.604460081900001</v>
      </c>
      <c r="J856" s="11">
        <v>7.1790100098999998</v>
      </c>
      <c r="K856" s="10">
        <v>0.79331809553699995</v>
      </c>
      <c r="L856" s="12">
        <v>2600865993.96</v>
      </c>
      <c r="M856">
        <v>15.1246861958005</v>
      </c>
      <c r="N856" s="7">
        <v>1.5464692434801399</v>
      </c>
      <c r="O856" s="7">
        <v>0.84766784148684904</v>
      </c>
      <c r="P856" s="7">
        <v>62.375481660973797</v>
      </c>
      <c r="Q856" s="7">
        <v>4.3314500941619585</v>
      </c>
      <c r="U856">
        <v>0.32667186024761757</v>
      </c>
      <c r="AT856" s="4" t="s">
        <v>4848</v>
      </c>
    </row>
    <row r="857" spans="1:46">
      <c r="A857" s="2">
        <v>1900</v>
      </c>
      <c r="B857" t="s">
        <v>5237</v>
      </c>
      <c r="C857" t="s">
        <v>3144</v>
      </c>
      <c r="D857" t="s">
        <v>3977</v>
      </c>
      <c r="E857" s="4">
        <v>43465</v>
      </c>
      <c r="F857" s="11">
        <v>16.64826424</v>
      </c>
      <c r="G857" s="11">
        <v>32.967032969999998</v>
      </c>
      <c r="H857" s="11">
        <v>-35.733610261400003</v>
      </c>
      <c r="I857" s="11">
        <v>29.881884523099998</v>
      </c>
      <c r="J857" s="11">
        <v>7.6373256523000004</v>
      </c>
      <c r="K857" s="10">
        <v>0.20394740545699999</v>
      </c>
      <c r="L857" s="12">
        <v>3293882767.8400002</v>
      </c>
      <c r="M857">
        <v>44.190067137677602</v>
      </c>
      <c r="N857" s="7">
        <v>1.34150619462409</v>
      </c>
      <c r="O857" s="7">
        <v>4.3057992531142197</v>
      </c>
      <c r="P857" s="7">
        <v>-13.2397386773811</v>
      </c>
      <c r="Q857" s="7">
        <v>0.21505376344086025</v>
      </c>
      <c r="U857">
        <v>0.1670731909</v>
      </c>
      <c r="AT857" s="4" t="s">
        <v>4089</v>
      </c>
    </row>
    <row r="858" spans="1:46">
      <c r="A858" s="2">
        <v>2555</v>
      </c>
      <c r="B858" t="s">
        <v>5238</v>
      </c>
      <c r="C858" t="s">
        <v>1293</v>
      </c>
      <c r="D858" t="s">
        <v>3871</v>
      </c>
      <c r="E858" s="4">
        <v>43465</v>
      </c>
      <c r="F858" s="11">
        <v>16.210489039999999</v>
      </c>
      <c r="G858" s="11">
        <v>32.899628249999999</v>
      </c>
      <c r="H858" s="11">
        <v>25.526401785899999</v>
      </c>
      <c r="I858" s="11">
        <v>27.7501003679</v>
      </c>
      <c r="J858" s="11">
        <v>8.0986546830999995</v>
      </c>
      <c r="K858" s="10">
        <v>0.250450758552</v>
      </c>
      <c r="L858" s="12">
        <v>38837672130.160004</v>
      </c>
      <c r="M858">
        <v>7.9141725577373201</v>
      </c>
      <c r="N858" s="7">
        <v>1.3823833822728699</v>
      </c>
      <c r="O858" s="7">
        <v>0.57455368253091699</v>
      </c>
      <c r="P858" s="7">
        <v>3.7462698258273499</v>
      </c>
      <c r="Q858" s="7">
        <v>3.8938789450555342</v>
      </c>
      <c r="U858">
        <v>0.74530609595037667</v>
      </c>
      <c r="AT858" s="4" t="s">
        <v>5239</v>
      </c>
    </row>
    <row r="859" spans="1:46">
      <c r="A859" s="2">
        <v>1634</v>
      </c>
      <c r="B859" t="s">
        <v>5240</v>
      </c>
      <c r="C859" t="s">
        <v>2805</v>
      </c>
      <c r="D859" t="s">
        <v>3713</v>
      </c>
      <c r="E859" s="4">
        <v>43465</v>
      </c>
      <c r="F859" s="11">
        <v>-21.765268849999998</v>
      </c>
      <c r="G859" s="11">
        <v>32.839962999999997</v>
      </c>
      <c r="H859" s="11">
        <v>-9.9806107977000007</v>
      </c>
      <c r="I859" s="11">
        <v>34.014994068</v>
      </c>
      <c r="J859" s="11">
        <v>1.7132848359999999</v>
      </c>
      <c r="K859" s="10">
        <v>0.33340349393500002</v>
      </c>
      <c r="L859" s="12">
        <v>30862307932.16</v>
      </c>
      <c r="M859">
        <v>-184.14582056661499</v>
      </c>
      <c r="N859" s="7">
        <v>2.7124303051710599</v>
      </c>
      <c r="O859" s="7">
        <v>3.2471087951775099</v>
      </c>
      <c r="P859" s="7">
        <v>-61.413137902559697</v>
      </c>
      <c r="Q859" s="7">
        <v>0.10679731861198739</v>
      </c>
      <c r="U859">
        <v>8.3055729772131007E-2</v>
      </c>
      <c r="AT859" s="4" t="s">
        <v>5241</v>
      </c>
    </row>
    <row r="860" spans="1:46">
      <c r="A860" s="2">
        <v>2838</v>
      </c>
      <c r="B860" t="s">
        <v>5242</v>
      </c>
      <c r="C860" t="s">
        <v>2501</v>
      </c>
      <c r="D860" t="s">
        <v>3718</v>
      </c>
      <c r="E860" s="4">
        <v>43465</v>
      </c>
      <c r="F860" s="11">
        <v>-14.2985331</v>
      </c>
      <c r="G860" s="11">
        <v>32.79569892</v>
      </c>
      <c r="H860" s="11">
        <v>-3.8592881590000001</v>
      </c>
      <c r="I860" s="11">
        <v>25.988574561499998</v>
      </c>
      <c r="J860" s="11">
        <v>4.2035137175999999</v>
      </c>
      <c r="K860" s="10">
        <v>0.44151255519600002</v>
      </c>
      <c r="L860" s="12">
        <v>4346622000</v>
      </c>
      <c r="M860">
        <v>30.9455135276887</v>
      </c>
      <c r="N860" s="7">
        <v>1.36217413341041</v>
      </c>
      <c r="O860" s="7">
        <v>1.07489842845696</v>
      </c>
      <c r="P860" s="7">
        <v>5.6444709665258896</v>
      </c>
      <c r="Q860" s="7">
        <v>0.47830923248053392</v>
      </c>
      <c r="U860">
        <v>0.42820517533861047</v>
      </c>
      <c r="AT860" s="4" t="s">
        <v>5243</v>
      </c>
    </row>
    <row r="861" spans="1:46">
      <c r="A861" s="2">
        <v>2661</v>
      </c>
      <c r="B861" t="s">
        <v>5244</v>
      </c>
      <c r="C861" t="s">
        <v>3488</v>
      </c>
      <c r="D861" t="s">
        <v>3713</v>
      </c>
      <c r="E861" s="4">
        <v>43465</v>
      </c>
      <c r="F861" s="11">
        <v>129.89394648999999</v>
      </c>
      <c r="G861" s="11">
        <v>32.769953049999998</v>
      </c>
      <c r="H861" s="11">
        <v>21.436155280099999</v>
      </c>
      <c r="I861" s="11">
        <v>69.950974406100002</v>
      </c>
      <c r="J861" s="11">
        <v>10.517136366800001</v>
      </c>
      <c r="K861" s="10">
        <v>0.52664690846700002</v>
      </c>
      <c r="L861" s="12">
        <v>4111157469.4400001</v>
      </c>
      <c r="M861">
        <v>55.250508769008398</v>
      </c>
      <c r="N861" s="7">
        <v>7.2283222473948596</v>
      </c>
      <c r="O861" s="7">
        <v>5.3583186559651903</v>
      </c>
      <c r="P861" s="7">
        <v>90.310851677036197</v>
      </c>
      <c r="Q861" s="7">
        <v>0.6897705974422228</v>
      </c>
      <c r="U861">
        <v>0.31917818099337203</v>
      </c>
      <c r="AT861" s="4" t="s">
        <v>5245</v>
      </c>
    </row>
    <row r="862" spans="1:46">
      <c r="A862" s="2">
        <v>479</v>
      </c>
      <c r="B862" t="s">
        <v>5246</v>
      </c>
      <c r="C862" t="s">
        <v>1677</v>
      </c>
      <c r="D862" t="s">
        <v>3764</v>
      </c>
      <c r="E862" s="4">
        <v>43465</v>
      </c>
      <c r="F862" s="11">
        <v>21.785294960000002</v>
      </c>
      <c r="G862" s="11">
        <v>32.763532759999997</v>
      </c>
      <c r="H862" s="11">
        <v>20.104227290200001</v>
      </c>
      <c r="I862" s="11">
        <v>9.9642070967999992</v>
      </c>
      <c r="J862" s="11">
        <v>3.2858592838999998</v>
      </c>
      <c r="K862" s="10">
        <v>0.70114944083700004</v>
      </c>
      <c r="L862" s="12">
        <v>9401328870.1599998</v>
      </c>
      <c r="M862">
        <v>202.974266493459</v>
      </c>
      <c r="N862" s="7">
        <v>1.14950469046574</v>
      </c>
      <c r="O862" s="7">
        <v>0.63606325127844898</v>
      </c>
      <c r="P862" s="7">
        <v>-51.417730228490598</v>
      </c>
      <c r="Q862" s="7">
        <v>1.2820512820512819</v>
      </c>
      <c r="U862">
        <v>0.18829696420434011</v>
      </c>
      <c r="AT862" s="4" t="s">
        <v>5247</v>
      </c>
    </row>
    <row r="863" spans="1:46">
      <c r="A863" s="2">
        <v>98</v>
      </c>
      <c r="B863" t="s">
        <v>5248</v>
      </c>
      <c r="C863" t="s">
        <v>158</v>
      </c>
      <c r="D863" t="s">
        <v>3698</v>
      </c>
      <c r="E863" s="4">
        <v>43465</v>
      </c>
      <c r="F863" s="11">
        <v>-8.2671249800000002</v>
      </c>
      <c r="G863" s="11">
        <v>32.693641620000001</v>
      </c>
      <c r="H863" s="11">
        <v>10.5319714512</v>
      </c>
      <c r="I863" s="11">
        <v>26.2000252622</v>
      </c>
      <c r="J863" s="11">
        <v>9.0155319542000001</v>
      </c>
      <c r="K863" s="10">
        <v>1.052862397587</v>
      </c>
      <c r="L863" s="12">
        <v>6664056674.3999996</v>
      </c>
      <c r="M863">
        <v>16.457193658352999</v>
      </c>
      <c r="N863" s="7">
        <v>3.2910117998052399</v>
      </c>
      <c r="O863" s="7">
        <v>1.19850002634179</v>
      </c>
      <c r="P863" s="7">
        <v>-14.582215101687799</v>
      </c>
      <c r="Q863" s="7" t="s">
        <v>3698</v>
      </c>
      <c r="U863">
        <v>2.9446556349349393</v>
      </c>
      <c r="AT863" s="4" t="s">
        <v>5249</v>
      </c>
    </row>
    <row r="864" spans="1:46">
      <c r="A864" s="2">
        <v>970</v>
      </c>
      <c r="B864" t="s">
        <v>5250</v>
      </c>
      <c r="C864" t="s">
        <v>2901</v>
      </c>
      <c r="D864" t="s">
        <v>3761</v>
      </c>
      <c r="E864" s="4">
        <v>43465</v>
      </c>
      <c r="F864" s="11">
        <v>-5.8922558900000004</v>
      </c>
      <c r="G864" s="11">
        <v>32.616487460000002</v>
      </c>
      <c r="H864" s="11">
        <v>-0.94921922189999997</v>
      </c>
      <c r="I864" s="11">
        <v>19.1225480383</v>
      </c>
      <c r="J864" s="11">
        <v>1.3926462655</v>
      </c>
      <c r="K864" s="10">
        <v>0.242424087845</v>
      </c>
      <c r="L864" s="12">
        <v>3312000000</v>
      </c>
      <c r="M864">
        <v>3194.91336895116</v>
      </c>
      <c r="N864" s="7">
        <v>2.5589832977572202</v>
      </c>
      <c r="O864" s="7">
        <v>8.1281026136848595</v>
      </c>
      <c r="P864" s="7">
        <v>-10.088058347677199</v>
      </c>
      <c r="Q864" s="7" t="s">
        <v>3698</v>
      </c>
      <c r="U864">
        <v>1.2666529009177821E-2</v>
      </c>
      <c r="AT864" s="4" t="s">
        <v>4079</v>
      </c>
    </row>
    <row r="865" spans="1:46">
      <c r="A865" s="2">
        <v>553</v>
      </c>
      <c r="B865" t="s">
        <v>5251</v>
      </c>
      <c r="C865" t="s">
        <v>757</v>
      </c>
      <c r="D865" t="s">
        <v>3728</v>
      </c>
      <c r="E865" s="4">
        <v>43465</v>
      </c>
      <c r="F865" s="11">
        <v>-10.586427219999999</v>
      </c>
      <c r="G865" s="11">
        <v>32.59668508</v>
      </c>
      <c r="H865" s="11">
        <v>13.582260049</v>
      </c>
      <c r="I865" s="11">
        <v>10.5187098205</v>
      </c>
      <c r="J865" s="11">
        <v>5.2664146092999999</v>
      </c>
      <c r="K865" s="10">
        <v>0.829573358195</v>
      </c>
      <c r="L865" s="12">
        <v>22182727417.950001</v>
      </c>
      <c r="M865">
        <v>18.274447151476799</v>
      </c>
      <c r="N865" s="7">
        <v>1.19221641867076</v>
      </c>
      <c r="O865" s="7">
        <v>0.57054900506105799</v>
      </c>
      <c r="P865" s="7">
        <v>-10.476338620852699</v>
      </c>
      <c r="Q865" s="7">
        <v>5.2526333830104317</v>
      </c>
      <c r="U865">
        <v>0.49479632869307283</v>
      </c>
      <c r="AT865" s="4" t="s">
        <v>5252</v>
      </c>
    </row>
    <row r="866" spans="1:46">
      <c r="A866" s="2">
        <v>1484</v>
      </c>
      <c r="B866" t="s">
        <v>5253</v>
      </c>
      <c r="C866" t="s">
        <v>1060</v>
      </c>
      <c r="D866" t="s">
        <v>3889</v>
      </c>
      <c r="E866" s="4">
        <v>43465</v>
      </c>
      <c r="F866" s="11">
        <v>3.37687012</v>
      </c>
      <c r="G866" s="11">
        <v>32.488479259999998</v>
      </c>
      <c r="H866" s="11">
        <v>51.692041314699999</v>
      </c>
      <c r="I866" s="11">
        <v>11.720666912800001</v>
      </c>
      <c r="J866" s="11">
        <v>1.7846292370000001</v>
      </c>
      <c r="K866" s="10">
        <v>1.3713865384670001</v>
      </c>
      <c r="L866" s="12">
        <v>6081441333.6000004</v>
      </c>
      <c r="M866">
        <v>31.797237115281899</v>
      </c>
      <c r="N866" s="7">
        <v>6.2960210178748897</v>
      </c>
      <c r="O866" s="7">
        <v>0.43518307928212002</v>
      </c>
      <c r="P866" s="7">
        <v>-12.4368208766835</v>
      </c>
      <c r="Q866" s="7">
        <v>0.61523185573505268</v>
      </c>
      <c r="U866">
        <v>0.17824636823959117</v>
      </c>
      <c r="AT866" s="4" t="s">
        <v>5254</v>
      </c>
    </row>
    <row r="867" spans="1:46">
      <c r="A867" s="2">
        <v>3078</v>
      </c>
      <c r="B867" t="s">
        <v>5255</v>
      </c>
      <c r="C867" t="s">
        <v>2858</v>
      </c>
      <c r="D867" t="s">
        <v>3752</v>
      </c>
      <c r="E867" s="4">
        <v>43465</v>
      </c>
      <c r="F867" s="11">
        <v>-20.12631837</v>
      </c>
      <c r="G867" s="11">
        <v>32.432432429999999</v>
      </c>
      <c r="H867" s="11">
        <v>-5.1630937530000001</v>
      </c>
      <c r="I867" s="11">
        <v>16.917631053600001</v>
      </c>
      <c r="J867" s="11">
        <v>1.9905148558000001</v>
      </c>
      <c r="K867" s="10">
        <v>0.53115378256199997</v>
      </c>
      <c r="L867" s="12">
        <v>9550767283.2000008</v>
      </c>
      <c r="M867">
        <v>129.336512015631</v>
      </c>
      <c r="N867" s="7">
        <v>0.98719840968883599</v>
      </c>
      <c r="O867" s="7">
        <v>1.35703252873951</v>
      </c>
      <c r="P867" s="7">
        <v>30.397126316521501</v>
      </c>
      <c r="Q867" s="7">
        <v>0.32822757111597373</v>
      </c>
      <c r="U867">
        <v>5.1315382851288144E-2</v>
      </c>
      <c r="AT867" s="4" t="s">
        <v>5256</v>
      </c>
    </row>
    <row r="868" spans="1:46">
      <c r="A868" s="2">
        <v>1244</v>
      </c>
      <c r="B868" t="s">
        <v>5257</v>
      </c>
      <c r="C868" t="s">
        <v>632</v>
      </c>
      <c r="D868" t="s">
        <v>3752</v>
      </c>
      <c r="E868" s="4">
        <v>43465</v>
      </c>
      <c r="F868" s="11">
        <v>-1.80620859</v>
      </c>
      <c r="G868" s="11">
        <v>32.421875</v>
      </c>
      <c r="H868" s="11">
        <v>6.7275636525999998</v>
      </c>
      <c r="I868" s="11">
        <v>27.164973245799999</v>
      </c>
      <c r="J868" s="11">
        <v>13.7671423632</v>
      </c>
      <c r="K868" s="10">
        <v>0.593291964856</v>
      </c>
      <c r="L868" s="12">
        <v>71110707857.600006</v>
      </c>
      <c r="M868">
        <v>18.3541236013785</v>
      </c>
      <c r="N868" s="7">
        <v>1.6322866337661499</v>
      </c>
      <c r="O868" s="7">
        <v>1.93199551381581</v>
      </c>
      <c r="P868" s="7">
        <v>11.4707879147117</v>
      </c>
      <c r="Q868" s="7">
        <v>2.7949956971691341</v>
      </c>
      <c r="U868">
        <v>0.7269596542100818</v>
      </c>
      <c r="AT868" s="4" t="s">
        <v>4533</v>
      </c>
    </row>
    <row r="869" spans="1:46">
      <c r="A869" s="2">
        <v>823</v>
      </c>
      <c r="B869" t="s">
        <v>5258</v>
      </c>
      <c r="C869" t="s">
        <v>3548</v>
      </c>
      <c r="D869" t="s">
        <v>3713</v>
      </c>
      <c r="E869" s="4">
        <v>43465</v>
      </c>
      <c r="F869" s="11">
        <v>-37.997054489999996</v>
      </c>
      <c r="G869" s="11">
        <v>32.268370609999998</v>
      </c>
      <c r="H869" s="11">
        <v>-11.004528157099999</v>
      </c>
      <c r="I869" s="11">
        <v>9.4149251970000005</v>
      </c>
      <c r="J869" s="11">
        <v>-30.335929713999999</v>
      </c>
      <c r="K869" s="10">
        <v>0.195916445918</v>
      </c>
      <c r="L869" s="12">
        <v>5153520972</v>
      </c>
      <c r="M869">
        <v>-9.9046650220038792</v>
      </c>
      <c r="N869" s="7">
        <v>1.3221288770081701</v>
      </c>
      <c r="O869" s="7">
        <v>5.6241057618986803</v>
      </c>
      <c r="P869" s="7">
        <v>-9.3612146118382604</v>
      </c>
      <c r="Q869" s="7" t="s">
        <v>3698</v>
      </c>
      <c r="U869">
        <v>-0.158766271766032</v>
      </c>
      <c r="AT869" s="4" t="s">
        <v>5259</v>
      </c>
    </row>
    <row r="870" spans="1:46">
      <c r="A870" s="2">
        <v>3067</v>
      </c>
      <c r="B870" t="s">
        <v>5260</v>
      </c>
      <c r="C870" t="s">
        <v>379</v>
      </c>
      <c r="D870" t="s">
        <v>3837</v>
      </c>
      <c r="E870" s="4">
        <v>43465</v>
      </c>
      <c r="F870" s="11">
        <v>26.213080479999999</v>
      </c>
      <c r="G870" s="11">
        <v>32.262382860000002</v>
      </c>
      <c r="H870" s="11">
        <v>13.0823361315</v>
      </c>
      <c r="I870" s="11" t="s">
        <v>3698</v>
      </c>
      <c r="J870" s="11">
        <v>38.692375242399997</v>
      </c>
      <c r="K870" s="10" t="s">
        <v>3698</v>
      </c>
      <c r="L870" s="12">
        <v>36298472775.959999</v>
      </c>
      <c r="M870">
        <v>5.5388944180308401</v>
      </c>
      <c r="N870" s="7">
        <v>0.70615497460829602</v>
      </c>
      <c r="O870" s="7">
        <v>2.0514667844533001</v>
      </c>
      <c r="P870" s="7">
        <v>5.5251884325198901</v>
      </c>
      <c r="Q870" s="7">
        <v>3.6527263102170462</v>
      </c>
      <c r="U870">
        <v>2.918043871195414</v>
      </c>
      <c r="AT870" s="4" t="s">
        <v>5261</v>
      </c>
    </row>
    <row r="871" spans="1:46">
      <c r="A871" s="2">
        <v>3539</v>
      </c>
      <c r="B871" t="s">
        <v>5262</v>
      </c>
      <c r="C871" t="s">
        <v>218</v>
      </c>
      <c r="D871" t="s">
        <v>3778</v>
      </c>
      <c r="E871" s="4">
        <v>43465</v>
      </c>
      <c r="F871" s="11">
        <v>-21.327550779999999</v>
      </c>
      <c r="G871" s="11">
        <v>32.245301679999997</v>
      </c>
      <c r="H871" s="11">
        <v>-5.4228940015999996</v>
      </c>
      <c r="I871" s="11">
        <v>30.196589571600001</v>
      </c>
      <c r="J871" s="11">
        <v>8.9547489558999995</v>
      </c>
      <c r="K871" s="10">
        <v>0.83489411147699999</v>
      </c>
      <c r="L871" s="12">
        <v>14999930636.6</v>
      </c>
      <c r="M871">
        <v>24.255829670214801</v>
      </c>
      <c r="N871" s="7">
        <v>2.2977869142410898</v>
      </c>
      <c r="O871" s="7">
        <v>2.34328991477719</v>
      </c>
      <c r="P871" s="7">
        <v>-44.203554939519599</v>
      </c>
      <c r="Q871" s="7">
        <v>1.0638297872340425</v>
      </c>
      <c r="U871">
        <v>0.37927522560000004</v>
      </c>
      <c r="AT871" s="4" t="s">
        <v>5263</v>
      </c>
    </row>
    <row r="872" spans="1:46">
      <c r="A872" s="2">
        <v>1861</v>
      </c>
      <c r="B872" t="s">
        <v>5264</v>
      </c>
      <c r="C872" t="s">
        <v>1237</v>
      </c>
      <c r="D872" t="s">
        <v>3737</v>
      </c>
      <c r="E872" s="4">
        <v>43465</v>
      </c>
      <c r="F872" s="11">
        <v>13.739250889999999</v>
      </c>
      <c r="G872" s="11">
        <v>32.206185570000002</v>
      </c>
      <c r="H872" s="11">
        <v>35.889695625800002</v>
      </c>
      <c r="I872" s="11">
        <v>83.606042090100004</v>
      </c>
      <c r="J872" s="11">
        <v>4.1598633682999999</v>
      </c>
      <c r="K872" s="10">
        <v>0.50584916311799999</v>
      </c>
      <c r="L872" s="12">
        <v>11152216573.700001</v>
      </c>
      <c r="M872">
        <v>504.09844556626098</v>
      </c>
      <c r="N872" s="7">
        <v>6.9191736375030803</v>
      </c>
      <c r="O872" s="7">
        <v>9.5387034902098797</v>
      </c>
      <c r="P872" s="7">
        <v>-22.969613609820399</v>
      </c>
      <c r="Q872" s="7" t="s">
        <v>3698</v>
      </c>
      <c r="U872">
        <v>0.1167356782475525</v>
      </c>
      <c r="AT872" s="4" t="s">
        <v>5265</v>
      </c>
    </row>
    <row r="873" spans="1:46">
      <c r="A873" s="2">
        <v>436</v>
      </c>
      <c r="B873" t="s">
        <v>5266</v>
      </c>
      <c r="C873" t="s">
        <v>1660</v>
      </c>
      <c r="D873" t="s">
        <v>4060</v>
      </c>
      <c r="E873" s="4">
        <v>43465</v>
      </c>
      <c r="F873" s="11">
        <v>-37.921256720000002</v>
      </c>
      <c r="G873" s="11">
        <v>32.201745879999997</v>
      </c>
      <c r="H873" s="11">
        <v>3.0223745526000001</v>
      </c>
      <c r="I873" s="11">
        <v>36.416714458000001</v>
      </c>
      <c r="J873" s="11">
        <v>10.5335915854</v>
      </c>
      <c r="K873" s="10">
        <v>1.0936068733219999</v>
      </c>
      <c r="L873" s="12">
        <v>14074363762.1</v>
      </c>
      <c r="M873">
        <v>7.8807440217676801</v>
      </c>
      <c r="N873" s="7">
        <v>1.34908515753338</v>
      </c>
      <c r="O873" s="7">
        <v>0.77924798897057801</v>
      </c>
      <c r="P873" s="7">
        <v>83.436518111226704</v>
      </c>
      <c r="Q873" s="7">
        <v>1.0644263870990092</v>
      </c>
      <c r="U873">
        <v>1.3083563125744611</v>
      </c>
      <c r="AT873" s="4" t="s">
        <v>5267</v>
      </c>
    </row>
    <row r="874" spans="1:46">
      <c r="A874" s="2">
        <v>890</v>
      </c>
      <c r="B874" t="s">
        <v>5268</v>
      </c>
      <c r="C874" t="s">
        <v>3045</v>
      </c>
      <c r="D874" t="s">
        <v>3769</v>
      </c>
      <c r="E874" s="4">
        <v>43465</v>
      </c>
      <c r="F874" s="11">
        <v>-33.147113589999996</v>
      </c>
      <c r="G874" s="11">
        <v>32.116788319999998</v>
      </c>
      <c r="H874" s="11">
        <v>4.9203946254000002</v>
      </c>
      <c r="I874" s="11">
        <v>2.9789668056999998</v>
      </c>
      <c r="J874" s="11">
        <v>0.56998891330000001</v>
      </c>
      <c r="K874" s="10">
        <v>1.1004626459119999</v>
      </c>
      <c r="L874" s="12">
        <v>3082876920</v>
      </c>
      <c r="M874">
        <v>224.17351990744399</v>
      </c>
      <c r="N874" s="7">
        <v>2.0213398170851198</v>
      </c>
      <c r="O874" s="7">
        <v>1.7364734795905199</v>
      </c>
      <c r="P874" s="7">
        <v>-9.3232170449300007</v>
      </c>
      <c r="Q874" s="7" t="s">
        <v>3698</v>
      </c>
      <c r="U874">
        <v>9.3378051705526773E-3</v>
      </c>
      <c r="AT874" s="4" t="s">
        <v>5220</v>
      </c>
    </row>
    <row r="875" spans="1:46">
      <c r="A875" s="2">
        <v>2775</v>
      </c>
      <c r="B875" t="s">
        <v>5269</v>
      </c>
      <c r="C875" t="s">
        <v>696</v>
      </c>
      <c r="D875" t="s">
        <v>3785</v>
      </c>
      <c r="E875" s="4">
        <v>43465</v>
      </c>
      <c r="F875" s="11">
        <v>-35.34908574</v>
      </c>
      <c r="G875" s="11">
        <v>32.077125330000001</v>
      </c>
      <c r="H875" s="11">
        <v>35.0247620273</v>
      </c>
      <c r="I875" s="11">
        <v>72.6253301566</v>
      </c>
      <c r="J875" s="11">
        <v>16.855390270000001</v>
      </c>
      <c r="K875" s="10">
        <v>0.46373127284299998</v>
      </c>
      <c r="L875" s="12">
        <v>3965956768.8000002</v>
      </c>
      <c r="M875">
        <v>27.3128170424472</v>
      </c>
      <c r="N875" s="7">
        <v>3.0592522477851798</v>
      </c>
      <c r="O875" s="7">
        <v>3.8790726798118</v>
      </c>
      <c r="P875" s="7">
        <v>-23.441596776250801</v>
      </c>
      <c r="Q875" s="7">
        <v>0.35492763611302552</v>
      </c>
      <c r="U875">
        <v>1.0132746880818264</v>
      </c>
      <c r="AT875" s="4" t="s">
        <v>5270</v>
      </c>
    </row>
    <row r="876" spans="1:46">
      <c r="A876" s="2">
        <v>30</v>
      </c>
      <c r="B876" t="s">
        <v>5271</v>
      </c>
      <c r="C876" t="s">
        <v>509</v>
      </c>
      <c r="D876" t="s">
        <v>3849</v>
      </c>
      <c r="E876" s="4">
        <v>43465</v>
      </c>
      <c r="F876" s="11">
        <v>-13.121772139999999</v>
      </c>
      <c r="G876" s="11">
        <v>32.059682019999997</v>
      </c>
      <c r="H876" s="11">
        <v>9.1651488312999998</v>
      </c>
      <c r="I876" s="11">
        <v>15.5321357011</v>
      </c>
      <c r="J876" s="11">
        <v>11.125941325399999</v>
      </c>
      <c r="K876" s="10">
        <v>0.71236201155300005</v>
      </c>
      <c r="L876" s="12">
        <v>5801766195.9300003</v>
      </c>
      <c r="M876">
        <v>8.5124884920494406</v>
      </c>
      <c r="N876" s="7">
        <v>1.05454519744857</v>
      </c>
      <c r="O876" s="7">
        <v>0.86262874481533902</v>
      </c>
      <c r="P876" s="7">
        <v>80.274019548194602</v>
      </c>
      <c r="Q876" s="7">
        <v>3.2467532467532463</v>
      </c>
      <c r="U876">
        <v>0.48694414067046982</v>
      </c>
      <c r="AT876" s="4" t="s">
        <v>5272</v>
      </c>
    </row>
    <row r="877" spans="1:46">
      <c r="A877" s="2">
        <v>2831</v>
      </c>
      <c r="B877" t="s">
        <v>5273</v>
      </c>
      <c r="C877" t="s">
        <v>1729</v>
      </c>
      <c r="D877" t="s">
        <v>3778</v>
      </c>
      <c r="E877" s="4">
        <v>43465</v>
      </c>
      <c r="F877" s="11">
        <v>-39.3564753</v>
      </c>
      <c r="G877" s="11">
        <v>32</v>
      </c>
      <c r="H877" s="11">
        <v>-4.9417217019999997</v>
      </c>
      <c r="I877" s="11">
        <v>15.0597860526</v>
      </c>
      <c r="J877" s="11">
        <v>1.5375883853000001</v>
      </c>
      <c r="K877" s="10">
        <v>0.45732011223899999</v>
      </c>
      <c r="L877" s="12">
        <v>411328976869.79999</v>
      </c>
      <c r="M877">
        <v>-121.095479402362</v>
      </c>
      <c r="N877" s="7">
        <v>0.79570850694130002</v>
      </c>
      <c r="O877" s="7">
        <v>0.58366150481548595</v>
      </c>
      <c r="P877" s="7">
        <v>-3.3539580125005002</v>
      </c>
      <c r="Q877" s="7">
        <v>0.63414634146341475</v>
      </c>
      <c r="U877">
        <v>8.4787808720842031E-2</v>
      </c>
      <c r="AT877" s="4" t="s">
        <v>5274</v>
      </c>
    </row>
    <row r="878" spans="1:46">
      <c r="A878" s="2">
        <v>2329</v>
      </c>
      <c r="B878" t="s">
        <v>5275</v>
      </c>
      <c r="C878" t="s">
        <v>3362</v>
      </c>
      <c r="D878" t="s">
        <v>3781</v>
      </c>
      <c r="E878" s="4">
        <v>43465</v>
      </c>
      <c r="F878" s="11">
        <v>-28.809632619999999</v>
      </c>
      <c r="G878" s="11">
        <v>31.97969543</v>
      </c>
      <c r="H878" s="11">
        <v>-60.929833817499997</v>
      </c>
      <c r="I878" s="11">
        <v>6.2903672311000003</v>
      </c>
      <c r="J878" s="11">
        <v>-178.2769165544</v>
      </c>
      <c r="K878" s="10">
        <v>2.8973531726E-2</v>
      </c>
      <c r="L878" s="12">
        <v>2756000000</v>
      </c>
      <c r="M878">
        <v>-16.2487519894892</v>
      </c>
      <c r="N878" s="7">
        <v>1.0445773887707299</v>
      </c>
      <c r="O878" s="7">
        <v>227.443391146355</v>
      </c>
      <c r="P878" s="7">
        <v>151.762112382504</v>
      </c>
      <c r="Q878" s="7" t="s">
        <v>3698</v>
      </c>
      <c r="U878">
        <v>-0.24041289221994014</v>
      </c>
      <c r="AT878" s="4" t="s">
        <v>5276</v>
      </c>
    </row>
    <row r="879" spans="1:46">
      <c r="A879" s="2">
        <v>2077</v>
      </c>
      <c r="B879" t="s">
        <v>5277</v>
      </c>
      <c r="C879" t="s">
        <v>2422</v>
      </c>
      <c r="D879" t="s">
        <v>3728</v>
      </c>
      <c r="E879" s="4">
        <v>43465</v>
      </c>
      <c r="F879" s="11">
        <v>-23.299220120000001</v>
      </c>
      <c r="G879" s="11">
        <v>31.91865606</v>
      </c>
      <c r="H879" s="11">
        <v>3.8102123394</v>
      </c>
      <c r="I879" s="11">
        <v>27.591669430900001</v>
      </c>
      <c r="J879" s="11">
        <v>5.3167966202999999</v>
      </c>
      <c r="K879" s="10">
        <v>0.67834150460300002</v>
      </c>
      <c r="L879" s="12">
        <v>4663400000</v>
      </c>
      <c r="M879">
        <v>36.8457161056144</v>
      </c>
      <c r="N879" s="7">
        <v>2.19383421325769</v>
      </c>
      <c r="O879" s="7">
        <v>2.3614148801319299</v>
      </c>
      <c r="P879" s="7">
        <v>-29.152598093667301</v>
      </c>
      <c r="Q879" s="7">
        <v>1.0380930553535439</v>
      </c>
      <c r="U879">
        <v>0.32407598766666668</v>
      </c>
      <c r="AT879" s="4" t="s">
        <v>5278</v>
      </c>
    </row>
    <row r="880" spans="1:46">
      <c r="A880" s="2">
        <v>1395</v>
      </c>
      <c r="B880" t="s">
        <v>5279</v>
      </c>
      <c r="C880" t="s">
        <v>1746</v>
      </c>
      <c r="D880" t="s">
        <v>3713</v>
      </c>
      <c r="E880" s="4">
        <v>43465</v>
      </c>
      <c r="F880" s="11">
        <v>12.346486730000001</v>
      </c>
      <c r="G880" s="11">
        <v>31.83374083</v>
      </c>
      <c r="H880" s="11">
        <v>14.2093652537</v>
      </c>
      <c r="I880" s="11">
        <v>24.738937017600001</v>
      </c>
      <c r="J880" s="11">
        <v>5.3385620376</v>
      </c>
      <c r="K880" s="10">
        <v>0.852966770757</v>
      </c>
      <c r="L880" s="12">
        <v>7745836305</v>
      </c>
      <c r="M880">
        <v>46.503289476718003</v>
      </c>
      <c r="N880" s="7">
        <v>3.1071790575342302</v>
      </c>
      <c r="O880" s="7">
        <v>2.6185235597352499</v>
      </c>
      <c r="P880" s="7">
        <v>-8.0739218702909703</v>
      </c>
      <c r="Q880" s="7">
        <v>0.45871559633027525</v>
      </c>
      <c r="U880">
        <v>0.45547584325489832</v>
      </c>
      <c r="AT880" s="4" t="s">
        <v>5088</v>
      </c>
    </row>
    <row r="881" spans="1:46">
      <c r="A881" s="2">
        <v>1795</v>
      </c>
      <c r="B881" t="s">
        <v>5280</v>
      </c>
      <c r="C881" t="s">
        <v>3454</v>
      </c>
      <c r="D881" t="s">
        <v>3761</v>
      </c>
      <c r="E881" s="4">
        <v>43465</v>
      </c>
      <c r="F881" s="11">
        <v>-8.5815313799999995</v>
      </c>
      <c r="G881" s="11">
        <v>31.81818182</v>
      </c>
      <c r="H881" s="11">
        <v>-22.380687021899998</v>
      </c>
      <c r="I881" s="11">
        <v>23.9534690811</v>
      </c>
      <c r="J881" s="11">
        <v>-40.578825270199999</v>
      </c>
      <c r="K881" s="10">
        <v>0.321180787307</v>
      </c>
      <c r="L881" s="12">
        <v>3325776000</v>
      </c>
      <c r="M881">
        <v>39.378095627732698</v>
      </c>
      <c r="N881" s="7">
        <v>4.5453142251781697</v>
      </c>
      <c r="O881" s="7">
        <v>1.4570723706617701</v>
      </c>
      <c r="P881" s="7">
        <v>-16.550944359338999</v>
      </c>
      <c r="Q881" s="7" t="s">
        <v>3698</v>
      </c>
      <c r="U881">
        <v>-0.57482147627372504</v>
      </c>
      <c r="AT881" s="4" t="s">
        <v>4945</v>
      </c>
    </row>
    <row r="882" spans="1:46">
      <c r="A882" s="2">
        <v>1843</v>
      </c>
      <c r="B882" t="s">
        <v>5281</v>
      </c>
      <c r="C882" t="s">
        <v>1059</v>
      </c>
      <c r="D882" t="s">
        <v>3790</v>
      </c>
      <c r="E882" s="4">
        <v>43465</v>
      </c>
      <c r="F882" s="11">
        <v>-18.21219022</v>
      </c>
      <c r="G882" s="11">
        <v>31.804043549999999</v>
      </c>
      <c r="H882" s="11">
        <v>4.0976043392000001</v>
      </c>
      <c r="I882" s="11">
        <v>82.611365762299997</v>
      </c>
      <c r="J882" s="11">
        <v>41.861513302200002</v>
      </c>
      <c r="K882" s="10">
        <v>0.34246575867099999</v>
      </c>
      <c r="L882" s="12">
        <v>10114480370</v>
      </c>
      <c r="M882">
        <v>12.508629773012</v>
      </c>
      <c r="N882" s="7">
        <v>4.0915804532658004</v>
      </c>
      <c r="O882" s="7">
        <v>4.3154321040478196</v>
      </c>
      <c r="P882" s="7">
        <v>-126.79437599196299</v>
      </c>
      <c r="Q882" s="7" t="s">
        <v>3698</v>
      </c>
      <c r="U882">
        <v>0.87334878671974392</v>
      </c>
      <c r="AT882" s="4" t="s">
        <v>5095</v>
      </c>
    </row>
    <row r="883" spans="1:46">
      <c r="A883" s="2">
        <v>3236</v>
      </c>
      <c r="B883" t="s">
        <v>5282</v>
      </c>
      <c r="C883" t="s">
        <v>382</v>
      </c>
      <c r="D883" t="s">
        <v>3849</v>
      </c>
      <c r="E883" s="4">
        <v>43465</v>
      </c>
      <c r="F883" s="11">
        <v>-30.913337890000001</v>
      </c>
      <c r="G883" s="11">
        <v>31.751412429999998</v>
      </c>
      <c r="H883" s="11">
        <v>11.110193817700001</v>
      </c>
      <c r="I883" s="11">
        <v>63.991669304399998</v>
      </c>
      <c r="J883" s="11">
        <v>34.5129231668</v>
      </c>
      <c r="K883" s="10">
        <v>0.41559020292600002</v>
      </c>
      <c r="L883" s="12">
        <v>8618228048.3600006</v>
      </c>
      <c r="M883">
        <v>21.3789353977742</v>
      </c>
      <c r="N883" s="7">
        <v>3.1148532648304998</v>
      </c>
      <c r="O883" s="7">
        <v>7.0085545979822399</v>
      </c>
      <c r="P883" s="7">
        <v>-21.7456727990612</v>
      </c>
      <c r="Q883" s="7">
        <v>1.2380006727157273</v>
      </c>
      <c r="U883">
        <v>1.2901510554593307</v>
      </c>
      <c r="AT883" s="4" t="s">
        <v>4604</v>
      </c>
    </row>
    <row r="884" spans="1:46">
      <c r="A884" s="2">
        <v>2275</v>
      </c>
      <c r="B884" t="s">
        <v>5283</v>
      </c>
      <c r="C884" t="s">
        <v>2783</v>
      </c>
      <c r="D884" t="s">
        <v>3737</v>
      </c>
      <c r="E884" s="4">
        <v>43465</v>
      </c>
      <c r="F884" s="11">
        <v>-29.814814949999999</v>
      </c>
      <c r="G884" s="11">
        <v>31.736526949999998</v>
      </c>
      <c r="H884" s="11">
        <v>21.8404546033</v>
      </c>
      <c r="I884" s="11">
        <v>40.248228957199998</v>
      </c>
      <c r="J884" s="11">
        <v>0.58046111180000004</v>
      </c>
      <c r="K884" s="10">
        <v>0.90770619859699997</v>
      </c>
      <c r="L884" s="12">
        <v>5737555489.96</v>
      </c>
      <c r="M884">
        <v>60.730368273769997</v>
      </c>
      <c r="N884" s="7">
        <v>1.4116103861064999</v>
      </c>
      <c r="O884" s="7">
        <v>0.47186963098147999</v>
      </c>
      <c r="P884" s="7">
        <v>14.4803333151903</v>
      </c>
      <c r="Q884" s="7">
        <v>0.86206896551724155</v>
      </c>
      <c r="U884">
        <v>0.12617105916560181</v>
      </c>
      <c r="AT884" s="4" t="s">
        <v>4186</v>
      </c>
    </row>
    <row r="885" spans="1:46">
      <c r="A885" s="2">
        <v>1685</v>
      </c>
      <c r="B885" t="s">
        <v>5284</v>
      </c>
      <c r="C885" t="s">
        <v>2402</v>
      </c>
      <c r="D885" t="s">
        <v>3718</v>
      </c>
      <c r="E885" s="4">
        <v>43465</v>
      </c>
      <c r="F885" s="11">
        <v>-17.642669210000001</v>
      </c>
      <c r="G885" s="11">
        <v>31.726457400000001</v>
      </c>
      <c r="H885" s="11">
        <v>84.190631924599998</v>
      </c>
      <c r="I885" s="11">
        <v>23.8875162979</v>
      </c>
      <c r="J885" s="11">
        <v>3.2617268578999998</v>
      </c>
      <c r="K885" s="10">
        <v>0.76203021516000002</v>
      </c>
      <c r="L885" s="12">
        <v>2521646400</v>
      </c>
      <c r="M885">
        <v>48.491018039231697</v>
      </c>
      <c r="N885" s="7">
        <v>2.9912272395573298</v>
      </c>
      <c r="O885" s="7">
        <v>1.8147439094314901</v>
      </c>
      <c r="P885" s="7">
        <v>52.694463325406701</v>
      </c>
      <c r="Q885" s="7">
        <v>0.94876660341555974</v>
      </c>
      <c r="U885">
        <v>0.19127646479152222</v>
      </c>
      <c r="AT885" s="4" t="s">
        <v>5285</v>
      </c>
    </row>
    <row r="886" spans="1:46">
      <c r="A886" s="2">
        <v>1717</v>
      </c>
      <c r="B886" t="s">
        <v>5286</v>
      </c>
      <c r="C886" t="s">
        <v>1534</v>
      </c>
      <c r="D886" t="s">
        <v>3713</v>
      </c>
      <c r="E886" s="4">
        <v>43465</v>
      </c>
      <c r="F886" s="11">
        <v>-9.6587380899999999</v>
      </c>
      <c r="G886" s="11">
        <v>31.675392670000001</v>
      </c>
      <c r="H886" s="11">
        <v>18.6926286737</v>
      </c>
      <c r="I886" s="11">
        <v>19.950658563499999</v>
      </c>
      <c r="J886" s="11">
        <v>-38.200314694699998</v>
      </c>
      <c r="K886" s="10">
        <v>1.015947087275</v>
      </c>
      <c r="L886" s="12">
        <v>2266024500</v>
      </c>
      <c r="M886">
        <v>35.326121448006703</v>
      </c>
      <c r="N886" s="7">
        <v>5.2950581488642401</v>
      </c>
      <c r="O886" s="7">
        <v>1.7233171540004699</v>
      </c>
      <c r="P886" s="7">
        <v>92.774613728535698</v>
      </c>
      <c r="Q886" s="7" t="s">
        <v>3698</v>
      </c>
      <c r="U886">
        <v>-0.90834788504248076</v>
      </c>
      <c r="AT886" s="4" t="s">
        <v>5287</v>
      </c>
    </row>
    <row r="887" spans="1:46">
      <c r="A887" s="2">
        <v>899</v>
      </c>
      <c r="B887" t="s">
        <v>5288</v>
      </c>
      <c r="C887" t="s">
        <v>2387</v>
      </c>
      <c r="D887" t="s">
        <v>3721</v>
      </c>
      <c r="E887" s="4">
        <v>43465</v>
      </c>
      <c r="F887" s="11">
        <v>-8.5653322500000009</v>
      </c>
      <c r="G887" s="11">
        <v>31.569343069999999</v>
      </c>
      <c r="H887" s="11">
        <v>3.9834076461999999</v>
      </c>
      <c r="I887" s="11">
        <v>22.924311680999999</v>
      </c>
      <c r="J887" s="11">
        <v>2.6096181254999999</v>
      </c>
      <c r="K887" s="10">
        <v>0.44558827247600002</v>
      </c>
      <c r="L887" s="12">
        <v>4579129760</v>
      </c>
      <c r="M887">
        <v>104.820431670171</v>
      </c>
      <c r="N887" s="7">
        <v>2.4322722051907499</v>
      </c>
      <c r="O887" s="7">
        <v>3.1297481418909099</v>
      </c>
      <c r="P887" s="7">
        <v>-13.4086422335305</v>
      </c>
      <c r="Q887" s="7" t="s">
        <v>3698</v>
      </c>
      <c r="U887">
        <v>6.3847232448518823E-2</v>
      </c>
      <c r="AT887" s="4" t="s">
        <v>3968</v>
      </c>
    </row>
    <row r="888" spans="1:46">
      <c r="A888" s="2">
        <v>2282</v>
      </c>
      <c r="B888" t="s">
        <v>5289</v>
      </c>
      <c r="C888" t="s">
        <v>2280</v>
      </c>
      <c r="D888" t="s">
        <v>3728</v>
      </c>
      <c r="E888" s="4">
        <v>43465</v>
      </c>
      <c r="F888" s="11">
        <v>-38.257089610000001</v>
      </c>
      <c r="G888" s="11">
        <v>31.450980390000002</v>
      </c>
      <c r="H888" s="11">
        <v>12.856521752900001</v>
      </c>
      <c r="I888" s="11">
        <v>19.869158429199999</v>
      </c>
      <c r="J888" s="11">
        <v>7.5239255993</v>
      </c>
      <c r="K888" s="10">
        <v>0.57482144267900004</v>
      </c>
      <c r="L888" s="12">
        <v>3340440740.5599999</v>
      </c>
      <c r="M888">
        <v>64.9738861221321</v>
      </c>
      <c r="N888" s="7">
        <v>2.4786874355485402</v>
      </c>
      <c r="O888" s="7">
        <v>3.40142585795543</v>
      </c>
      <c r="P888" s="7">
        <v>-4.3011892622536401</v>
      </c>
      <c r="Q888" s="7">
        <v>0.86893555394641553</v>
      </c>
      <c r="U888">
        <v>0.29996399509520849</v>
      </c>
      <c r="AT888" s="4" t="s">
        <v>5290</v>
      </c>
    </row>
    <row r="889" spans="1:46">
      <c r="A889" s="2">
        <v>1577</v>
      </c>
      <c r="B889" t="s">
        <v>5291</v>
      </c>
      <c r="C889" t="s">
        <v>3393</v>
      </c>
      <c r="D889" t="s">
        <v>3764</v>
      </c>
      <c r="E889" s="4">
        <v>43465</v>
      </c>
      <c r="F889" s="11">
        <v>-48.706865229999998</v>
      </c>
      <c r="G889" s="11">
        <v>31.41762452</v>
      </c>
      <c r="H889" s="11">
        <v>-20.453566247200001</v>
      </c>
      <c r="I889" s="11">
        <v>14.074467827799999</v>
      </c>
      <c r="J889" s="11">
        <v>-96.755233566699999</v>
      </c>
      <c r="K889" s="10">
        <v>0.207117879699</v>
      </c>
      <c r="L889" s="12">
        <v>19235181654.5</v>
      </c>
      <c r="M889">
        <v>-6.0256747073606398</v>
      </c>
      <c r="N889" s="7">
        <v>2.65827193531943</v>
      </c>
      <c r="O889" s="7">
        <v>3.54415437409933</v>
      </c>
      <c r="P889" s="7">
        <v>-15.816231164464099</v>
      </c>
      <c r="Q889" s="7" t="s">
        <v>3698</v>
      </c>
      <c r="U889">
        <v>-0.66736556621773291</v>
      </c>
      <c r="AT889" s="4" t="s">
        <v>5292</v>
      </c>
    </row>
    <row r="890" spans="1:46">
      <c r="A890" s="2">
        <v>1898</v>
      </c>
      <c r="B890" t="s">
        <v>5293</v>
      </c>
      <c r="C890" t="s">
        <v>964</v>
      </c>
      <c r="D890" t="s">
        <v>3849</v>
      </c>
      <c r="E890" s="4">
        <v>43465</v>
      </c>
      <c r="F890" s="11">
        <v>12.46670978</v>
      </c>
      <c r="G890" s="11">
        <v>31.403977439999998</v>
      </c>
      <c r="H890" s="11">
        <v>50.372760661400001</v>
      </c>
      <c r="I890" s="11">
        <v>25.878873893400002</v>
      </c>
      <c r="J890" s="11">
        <v>3.5324254522</v>
      </c>
      <c r="K890" s="10">
        <v>0.85015981285700004</v>
      </c>
      <c r="L890" s="12">
        <v>28901250000</v>
      </c>
      <c r="M890">
        <v>19.084501379192599</v>
      </c>
      <c r="N890" s="7">
        <v>5.17733053666774</v>
      </c>
      <c r="O890" s="7">
        <v>0.94218424731557604</v>
      </c>
      <c r="P890" s="7">
        <v>5.4207459553482398</v>
      </c>
      <c r="Q890" s="7">
        <v>0.75433232004318507</v>
      </c>
      <c r="U890">
        <v>1.2785114417651544</v>
      </c>
      <c r="AT890" s="4" t="s">
        <v>5294</v>
      </c>
    </row>
    <row r="891" spans="1:46">
      <c r="A891" s="2">
        <v>67</v>
      </c>
      <c r="B891" t="s">
        <v>5295</v>
      </c>
      <c r="C891" t="s">
        <v>2696</v>
      </c>
      <c r="D891" t="s">
        <v>3972</v>
      </c>
      <c r="E891" s="4">
        <v>43465</v>
      </c>
      <c r="F891" s="11">
        <v>-17.728871730000002</v>
      </c>
      <c r="G891" s="11">
        <v>31.399554139999999</v>
      </c>
      <c r="H891" s="11">
        <v>12.2951791195</v>
      </c>
      <c r="I891" s="11">
        <v>23.859569282100001</v>
      </c>
      <c r="J891" s="11">
        <v>11.1618104031</v>
      </c>
      <c r="K891" s="10">
        <v>0.252703905821</v>
      </c>
      <c r="L891" s="12">
        <v>2767594020.8800001</v>
      </c>
      <c r="M891">
        <v>36.2374636646691</v>
      </c>
      <c r="N891" s="7">
        <v>1.1106185138204201</v>
      </c>
      <c r="O891" s="7">
        <v>2.4964037249528501</v>
      </c>
      <c r="P891" s="7">
        <v>-22.292537624174699</v>
      </c>
      <c r="Q891" s="7">
        <v>0.35816618911174786</v>
      </c>
      <c r="U891">
        <v>0.24825310741943157</v>
      </c>
      <c r="AT891" s="4" t="s">
        <v>5296</v>
      </c>
    </row>
    <row r="892" spans="1:46">
      <c r="A892" s="2">
        <v>2482</v>
      </c>
      <c r="B892" t="s">
        <v>5297</v>
      </c>
      <c r="C892" t="s">
        <v>1663</v>
      </c>
      <c r="D892" t="s">
        <v>3769</v>
      </c>
      <c r="E892" s="4">
        <v>43465</v>
      </c>
      <c r="F892" s="11">
        <v>-13.84209173</v>
      </c>
      <c r="G892" s="11">
        <v>31.382978720000001</v>
      </c>
      <c r="H892" s="11">
        <v>4.9916684869000001</v>
      </c>
      <c r="I892" s="11">
        <v>3.6313816244999999</v>
      </c>
      <c r="J892" s="11">
        <v>1.1400026852</v>
      </c>
      <c r="K892" s="10">
        <v>2.1493041479909998</v>
      </c>
      <c r="L892" s="12">
        <v>6331847759.2799997</v>
      </c>
      <c r="M892">
        <v>23.158624632300501</v>
      </c>
      <c r="N892" s="7">
        <v>0.91567000541596799</v>
      </c>
      <c r="O892" s="7">
        <v>0.21465812565300599</v>
      </c>
      <c r="P892" s="7">
        <v>6.3494595152590998</v>
      </c>
      <c r="Q892" s="7">
        <v>1.4194464158977997</v>
      </c>
      <c r="U892">
        <v>0.70680537193174064</v>
      </c>
      <c r="AT892" s="4" t="s">
        <v>5298</v>
      </c>
    </row>
    <row r="893" spans="1:46">
      <c r="A893" s="2">
        <v>3555</v>
      </c>
      <c r="B893" t="s">
        <v>5299</v>
      </c>
      <c r="C893" t="s">
        <v>2790</v>
      </c>
      <c r="D893" t="s">
        <v>3889</v>
      </c>
      <c r="E893" s="4">
        <v>43465</v>
      </c>
      <c r="F893" s="11">
        <v>-8.0006199099999993</v>
      </c>
      <c r="G893" s="11">
        <v>31.29055516</v>
      </c>
      <c r="H893" s="11">
        <v>30.807368252700002</v>
      </c>
      <c r="I893" s="11">
        <v>11.543583464699999</v>
      </c>
      <c r="J893" s="11">
        <v>1.0813908532000001</v>
      </c>
      <c r="K893" s="10">
        <v>1.958567711733</v>
      </c>
      <c r="L893" s="12">
        <v>2376833800</v>
      </c>
      <c r="M893">
        <v>19.161312592410798</v>
      </c>
      <c r="N893" s="7">
        <v>2.5401006412029399</v>
      </c>
      <c r="O893" s="7">
        <v>0.31516544021922299</v>
      </c>
      <c r="P893" s="7">
        <v>20.1748696521949</v>
      </c>
      <c r="Q893" s="7">
        <v>1.7696893029623166</v>
      </c>
      <c r="U893">
        <v>0.55783290172165323</v>
      </c>
      <c r="AT893" s="4" t="s">
        <v>4527</v>
      </c>
    </row>
    <row r="894" spans="1:46">
      <c r="A894" s="2">
        <v>2515</v>
      </c>
      <c r="B894" t="s">
        <v>5300</v>
      </c>
      <c r="C894" t="s">
        <v>735</v>
      </c>
      <c r="D894" t="s">
        <v>3842</v>
      </c>
      <c r="E894" s="4">
        <v>43465</v>
      </c>
      <c r="F894" s="11">
        <v>-41.071428570000002</v>
      </c>
      <c r="G894" s="11">
        <v>31.2</v>
      </c>
      <c r="H894" s="11">
        <v>17.322912129599999</v>
      </c>
      <c r="I894" s="11">
        <v>14.526988552600001</v>
      </c>
      <c r="J894" s="11">
        <v>44.5866602957</v>
      </c>
      <c r="K894" s="10">
        <v>0.66813274573699999</v>
      </c>
      <c r="L894" s="12">
        <v>6437994903.8000002</v>
      </c>
      <c r="M894">
        <v>-3.3113217214148598</v>
      </c>
      <c r="N894" s="7">
        <v>1.1823475578365199</v>
      </c>
      <c r="O894" s="7">
        <v>0.94539878897196905</v>
      </c>
      <c r="P894" s="7">
        <v>24.7491878015203</v>
      </c>
      <c r="Q894" s="7" t="s">
        <v>3698</v>
      </c>
      <c r="U894">
        <v>1.3220974005780639</v>
      </c>
      <c r="AT894" s="4" t="s">
        <v>5301</v>
      </c>
    </row>
    <row r="895" spans="1:46">
      <c r="A895" s="2">
        <v>2456</v>
      </c>
      <c r="B895" t="s">
        <v>5302</v>
      </c>
      <c r="C895" t="s">
        <v>2925</v>
      </c>
      <c r="D895" t="s">
        <v>3769</v>
      </c>
      <c r="E895" s="4">
        <v>43465</v>
      </c>
      <c r="F895" s="11">
        <v>-49.325626200000002</v>
      </c>
      <c r="G895" s="11">
        <v>31.188118809999999</v>
      </c>
      <c r="H895" s="11">
        <v>-41.810451726700002</v>
      </c>
      <c r="I895" s="11">
        <v>-0.74027598000000006</v>
      </c>
      <c r="J895" s="11">
        <v>-99.345551092099996</v>
      </c>
      <c r="K895" s="10">
        <v>0.37549265829299999</v>
      </c>
      <c r="L895" s="12">
        <v>3627119520</v>
      </c>
      <c r="M895">
        <v>181.92814584365101</v>
      </c>
      <c r="N895" s="7">
        <v>1.85076211119484</v>
      </c>
      <c r="O895" s="7">
        <v>0.863280232077131</v>
      </c>
      <c r="P895" s="7">
        <v>-21.248927170973602</v>
      </c>
      <c r="Q895" s="7" t="s">
        <v>3698</v>
      </c>
      <c r="U895">
        <v>-1.3149670167864174</v>
      </c>
      <c r="AT895" s="4" t="s">
        <v>5303</v>
      </c>
    </row>
    <row r="896" spans="1:46">
      <c r="A896" s="2">
        <v>1621</v>
      </c>
      <c r="B896" t="s">
        <v>5304</v>
      </c>
      <c r="C896" t="s">
        <v>1630</v>
      </c>
      <c r="D896" t="s">
        <v>3752</v>
      </c>
      <c r="E896" s="4">
        <v>43465</v>
      </c>
      <c r="F896" s="11">
        <v>-8.3968044499999994</v>
      </c>
      <c r="G896" s="11">
        <v>31.143827859999998</v>
      </c>
      <c r="H896" s="11">
        <v>8.4230338454999991</v>
      </c>
      <c r="I896" s="11">
        <v>25.7569359568</v>
      </c>
      <c r="J896" s="11">
        <v>11.933365994900001</v>
      </c>
      <c r="K896" s="10">
        <v>0.70443575823399995</v>
      </c>
      <c r="L896" s="12">
        <v>1514650021.04</v>
      </c>
      <c r="M896">
        <v>18.2827106284754</v>
      </c>
      <c r="N896" s="7">
        <v>1.5149919272955401</v>
      </c>
      <c r="O896" s="7">
        <v>1.7823742833195699</v>
      </c>
      <c r="P896" s="7">
        <v>41.897406384005201</v>
      </c>
      <c r="Q896" s="7">
        <v>2.2299069697486447</v>
      </c>
      <c r="U896">
        <v>0.61974732633335339</v>
      </c>
      <c r="AT896" s="4" t="s">
        <v>5305</v>
      </c>
    </row>
    <row r="897" spans="1:46">
      <c r="A897" s="2">
        <v>1572</v>
      </c>
      <c r="B897" t="s">
        <v>5306</v>
      </c>
      <c r="C897" t="s">
        <v>2482</v>
      </c>
      <c r="D897" t="s">
        <v>3737</v>
      </c>
      <c r="E897" s="4">
        <v>43465</v>
      </c>
      <c r="F897" s="11">
        <v>-0.32177286999999999</v>
      </c>
      <c r="G897" s="11">
        <v>31.10749186</v>
      </c>
      <c r="H897" s="11">
        <v>14.4896622726</v>
      </c>
      <c r="I897" s="11">
        <v>36.463581908999998</v>
      </c>
      <c r="J897" s="11">
        <v>3.5128553077000002</v>
      </c>
      <c r="K897" s="10">
        <v>0.28033257179900001</v>
      </c>
      <c r="L897" s="12">
        <v>2452032000</v>
      </c>
      <c r="M897">
        <v>-32.097661091679697</v>
      </c>
      <c r="N897" s="7">
        <v>1.4578518653746599</v>
      </c>
      <c r="O897" s="7">
        <v>1.69253127117691</v>
      </c>
      <c r="P897" s="7">
        <v>-36.544998261301799</v>
      </c>
      <c r="Q897" s="7">
        <v>0.51750380517503802</v>
      </c>
      <c r="U897">
        <v>8.5323250301917453E-2</v>
      </c>
      <c r="AT897" s="4" t="s">
        <v>5307</v>
      </c>
    </row>
    <row r="898" spans="1:46">
      <c r="A898" s="2">
        <v>1613</v>
      </c>
      <c r="B898" t="s">
        <v>5308</v>
      </c>
      <c r="C898" t="s">
        <v>2928</v>
      </c>
      <c r="D898" t="s">
        <v>3713</v>
      </c>
      <c r="E898" s="4">
        <v>43465</v>
      </c>
      <c r="F898" s="11">
        <v>38.53702629</v>
      </c>
      <c r="G898" s="11">
        <v>31.105990779999999</v>
      </c>
      <c r="H898" s="11">
        <v>19.7468202656</v>
      </c>
      <c r="I898" s="11">
        <v>59.495017287099998</v>
      </c>
      <c r="J898" s="11">
        <v>18.874125055699999</v>
      </c>
      <c r="K898" s="10">
        <v>0.48827486783099999</v>
      </c>
      <c r="L898" s="12">
        <v>4761885587.25</v>
      </c>
      <c r="M898">
        <v>46.303549704449999</v>
      </c>
      <c r="N898" s="7">
        <v>5.15285616262274</v>
      </c>
      <c r="O898" s="7">
        <v>7.0506134427504703</v>
      </c>
      <c r="P898" s="7">
        <v>-270.95733558187601</v>
      </c>
      <c r="Q898" s="7">
        <v>0.52445928211060544</v>
      </c>
      <c r="U898">
        <v>0.38148233992942782</v>
      </c>
      <c r="AT898" s="4" t="s">
        <v>4806</v>
      </c>
    </row>
    <row r="899" spans="1:46">
      <c r="A899" s="2">
        <v>840</v>
      </c>
      <c r="B899" t="s">
        <v>5309</v>
      </c>
      <c r="C899" t="s">
        <v>2810</v>
      </c>
      <c r="D899" t="s">
        <v>3785</v>
      </c>
      <c r="E899" s="4">
        <v>43465</v>
      </c>
      <c r="F899" s="11">
        <v>-32.394397079999997</v>
      </c>
      <c r="G899" s="11">
        <v>31.07692308</v>
      </c>
      <c r="H899" s="11">
        <v>-1.3031430718000001</v>
      </c>
      <c r="I899" s="11">
        <v>27.925274093399999</v>
      </c>
      <c r="J899" s="11">
        <v>-25.595693933</v>
      </c>
      <c r="K899" s="10">
        <v>0.44943974650399998</v>
      </c>
      <c r="L899" s="12">
        <v>4478860403.8000002</v>
      </c>
      <c r="M899">
        <v>-19.699567539149399</v>
      </c>
      <c r="N899" s="7">
        <v>1.5465617524063699</v>
      </c>
      <c r="O899" s="7">
        <v>1.1044213380880501</v>
      </c>
      <c r="P899" s="7">
        <v>-42.933122530127697</v>
      </c>
      <c r="Q899" s="7" t="s">
        <v>3698</v>
      </c>
      <c r="U899">
        <v>-0.73563749289991842</v>
      </c>
      <c r="AT899" s="4" t="s">
        <v>4202</v>
      </c>
    </row>
    <row r="900" spans="1:46">
      <c r="A900" s="2">
        <v>2046</v>
      </c>
      <c r="B900" t="s">
        <v>5310</v>
      </c>
      <c r="C900" t="s">
        <v>1760</v>
      </c>
      <c r="D900" t="s">
        <v>3713</v>
      </c>
      <c r="E900" s="4">
        <v>43465</v>
      </c>
      <c r="F900" s="11">
        <v>-0.62330750999999995</v>
      </c>
      <c r="G900" s="11">
        <v>31.032482600000002</v>
      </c>
      <c r="H900" s="11">
        <v>40.387937422199997</v>
      </c>
      <c r="I900" s="11">
        <v>54.2709551401</v>
      </c>
      <c r="J900" s="11">
        <v>11.3303437578</v>
      </c>
      <c r="K900" s="10">
        <v>0.75042518403699998</v>
      </c>
      <c r="L900" s="12">
        <v>58624008826.650002</v>
      </c>
      <c r="M900">
        <v>41.122040656781003</v>
      </c>
      <c r="N900" s="7">
        <v>4.9264738347299204</v>
      </c>
      <c r="O900" s="7">
        <v>4.8467489615777</v>
      </c>
      <c r="P900" s="7">
        <v>-33.897436226073403</v>
      </c>
      <c r="Q900" s="7">
        <v>1.179245283018868</v>
      </c>
      <c r="U900">
        <v>0.42647356218945831</v>
      </c>
      <c r="AT900" s="4" t="s">
        <v>4590</v>
      </c>
    </row>
    <row r="901" spans="1:46">
      <c r="A901" s="2">
        <v>2945</v>
      </c>
      <c r="B901" t="s">
        <v>5311</v>
      </c>
      <c r="C901" t="s">
        <v>270</v>
      </c>
      <c r="D901" t="s">
        <v>3785</v>
      </c>
      <c r="E901" s="4">
        <v>43465</v>
      </c>
      <c r="F901" s="11">
        <v>60.845809170000003</v>
      </c>
      <c r="G901" s="11">
        <v>31.025118809999999</v>
      </c>
      <c r="H901" s="11">
        <v>15.4346322704</v>
      </c>
      <c r="I901" s="11">
        <v>39.114980858700001</v>
      </c>
      <c r="J901" s="11">
        <v>16.350505199800001</v>
      </c>
      <c r="K901" s="10">
        <v>0.73818191601700001</v>
      </c>
      <c r="L901" s="12">
        <v>4470271752.6000004</v>
      </c>
      <c r="M901">
        <v>42.2950821837292</v>
      </c>
      <c r="N901" s="7">
        <v>6.51319314384798</v>
      </c>
      <c r="O901" s="7">
        <v>5.8016566174917896</v>
      </c>
      <c r="P901" s="7">
        <v>-2820.8749898934502</v>
      </c>
      <c r="Q901" s="7">
        <v>0.50952591936198477</v>
      </c>
      <c r="U901">
        <v>0.76248890509372824</v>
      </c>
      <c r="AT901" s="4" t="s">
        <v>5312</v>
      </c>
    </row>
    <row r="902" spans="1:46">
      <c r="A902" s="2">
        <v>2098</v>
      </c>
      <c r="B902" t="s">
        <v>5313</v>
      </c>
      <c r="C902" t="s">
        <v>2691</v>
      </c>
      <c r="D902" t="s">
        <v>3849</v>
      </c>
      <c r="E902" s="4">
        <v>43465</v>
      </c>
      <c r="F902" s="11">
        <v>-37.191526170000003</v>
      </c>
      <c r="G902" s="11">
        <v>31.022326670000002</v>
      </c>
      <c r="H902" s="11">
        <v>50.5725983994</v>
      </c>
      <c r="I902" s="11">
        <v>29.174394039300001</v>
      </c>
      <c r="J902" s="11">
        <v>2.6138675451000002</v>
      </c>
      <c r="K902" s="10">
        <v>0.33766093078800002</v>
      </c>
      <c r="L902" s="12">
        <v>6507930000</v>
      </c>
      <c r="M902">
        <v>326.473152951217</v>
      </c>
      <c r="N902" s="7">
        <v>3.46324810886582</v>
      </c>
      <c r="O902" s="7">
        <v>8.3080642901638697</v>
      </c>
      <c r="P902" s="7">
        <v>-12.020454124358499</v>
      </c>
      <c r="Q902" s="7">
        <v>0.53163211057947901</v>
      </c>
      <c r="U902">
        <v>5.1500974644704503E-2</v>
      </c>
      <c r="AT902" s="4" t="s">
        <v>5314</v>
      </c>
    </row>
    <row r="903" spans="1:46">
      <c r="A903" s="2">
        <v>1541</v>
      </c>
      <c r="B903" t="s">
        <v>5315</v>
      </c>
      <c r="C903" t="s">
        <v>3643</v>
      </c>
      <c r="D903" t="s">
        <v>3761</v>
      </c>
      <c r="E903" s="4">
        <v>43465</v>
      </c>
      <c r="F903" s="11">
        <v>-74.278215220000007</v>
      </c>
      <c r="G903" s="11">
        <v>30.882352940000001</v>
      </c>
      <c r="H903" s="11">
        <v>-58.617464202000001</v>
      </c>
      <c r="I903" s="11">
        <v>-2.9866061173</v>
      </c>
      <c r="J903" s="11">
        <v>-98.694136515699995</v>
      </c>
      <c r="K903" s="10">
        <v>0.16964208539600001</v>
      </c>
      <c r="L903" s="12">
        <v>5344160000</v>
      </c>
      <c r="M903">
        <v>-0.43339057748436799</v>
      </c>
      <c r="N903" s="7">
        <v>16.766951520321498</v>
      </c>
      <c r="O903" s="7">
        <v>0.72049529596250805</v>
      </c>
      <c r="P903" s="7">
        <v>-10.2152127523368</v>
      </c>
      <c r="Q903" s="7" t="s">
        <v>3698</v>
      </c>
      <c r="U903">
        <v>-1.6135069177250043</v>
      </c>
      <c r="AT903" s="4" t="s">
        <v>3881</v>
      </c>
    </row>
    <row r="904" spans="1:46">
      <c r="A904" s="2">
        <v>3540</v>
      </c>
      <c r="B904" t="s">
        <v>5316</v>
      </c>
      <c r="C904" t="s">
        <v>64</v>
      </c>
      <c r="D904" t="s">
        <v>3769</v>
      </c>
      <c r="E904" s="4">
        <v>43465</v>
      </c>
      <c r="F904" s="11">
        <v>-9.82235777</v>
      </c>
      <c r="G904" s="11">
        <v>30.82032547</v>
      </c>
      <c r="H904" s="11">
        <v>49.698845502099999</v>
      </c>
      <c r="I904" s="11">
        <v>28.467418948199999</v>
      </c>
      <c r="J904" s="11">
        <v>10.550761275399999</v>
      </c>
      <c r="K904" s="10">
        <v>0.81006946221200005</v>
      </c>
      <c r="L904" s="12">
        <v>4807908062.8199997</v>
      </c>
      <c r="M904">
        <v>9.4171683300168905</v>
      </c>
      <c r="N904" s="7">
        <v>3.2870015662404701</v>
      </c>
      <c r="O904" s="7">
        <v>1.83962085548335</v>
      </c>
      <c r="P904" s="7">
        <v>45.208112944198803</v>
      </c>
      <c r="Q904" s="7">
        <v>0.2522895273447705</v>
      </c>
      <c r="T904" s="2"/>
      <c r="U904">
        <v>1.8416432866544419</v>
      </c>
      <c r="AT904" s="4" t="s">
        <v>5317</v>
      </c>
    </row>
    <row r="905" spans="1:46">
      <c r="A905" s="2">
        <v>122</v>
      </c>
      <c r="B905" t="s">
        <v>5318</v>
      </c>
      <c r="C905" t="s">
        <v>739</v>
      </c>
      <c r="D905" t="s">
        <v>3737</v>
      </c>
      <c r="E905" s="4">
        <v>43465</v>
      </c>
      <c r="F905" s="11">
        <v>-8.3903808200000007</v>
      </c>
      <c r="G905" s="11">
        <v>30.69582505</v>
      </c>
      <c r="H905" s="11">
        <v>3.8645913469000002</v>
      </c>
      <c r="I905" s="11">
        <v>62.083448573600002</v>
      </c>
      <c r="J905" s="11">
        <v>13.3366509539</v>
      </c>
      <c r="K905" s="10">
        <v>0.53161152242700005</v>
      </c>
      <c r="L905" s="12">
        <v>5860680328.1000004</v>
      </c>
      <c r="M905">
        <v>19.310738138172901</v>
      </c>
      <c r="N905" s="7">
        <v>1.7143067194966</v>
      </c>
      <c r="O905" s="7">
        <v>2.0432503627632399</v>
      </c>
      <c r="P905" s="7">
        <v>-45.781470923133703</v>
      </c>
      <c r="Q905" s="7">
        <v>2.9576319236692088</v>
      </c>
      <c r="U905">
        <v>1.5050059728510765</v>
      </c>
      <c r="AT905" s="4" t="s">
        <v>4014</v>
      </c>
    </row>
    <row r="906" spans="1:46">
      <c r="A906" s="2">
        <v>2841</v>
      </c>
      <c r="B906" t="s">
        <v>5319</v>
      </c>
      <c r="C906" t="s">
        <v>3602</v>
      </c>
      <c r="D906" t="s">
        <v>3769</v>
      </c>
      <c r="E906" s="4">
        <v>43465</v>
      </c>
      <c r="F906" s="11">
        <v>-16.666666670000001</v>
      </c>
      <c r="G906" s="11">
        <v>30.633437180000001</v>
      </c>
      <c r="H906" s="11">
        <v>-8.2366616433999997</v>
      </c>
      <c r="I906" s="11">
        <v>3.5583476912999998</v>
      </c>
      <c r="J906" s="11">
        <v>-4.2077485607999998</v>
      </c>
      <c r="K906" s="10">
        <v>1.2082969817889999</v>
      </c>
      <c r="L906" s="12">
        <v>13748292560.700001</v>
      </c>
      <c r="M906">
        <v>-44.179909115136901</v>
      </c>
      <c r="N906" s="7">
        <v>12.2349063829854</v>
      </c>
      <c r="O906" s="7">
        <v>1.6752352666592201</v>
      </c>
      <c r="P906" s="7">
        <v>-23.835923798064702</v>
      </c>
      <c r="Q906" s="7" t="s">
        <v>3698</v>
      </c>
      <c r="U906">
        <v>-0.23230178403734808</v>
      </c>
      <c r="AT906" s="4" t="s">
        <v>5320</v>
      </c>
    </row>
    <row r="907" spans="1:46">
      <c r="A907" s="2">
        <v>3189</v>
      </c>
      <c r="B907" t="s">
        <v>5321</v>
      </c>
      <c r="C907" t="s">
        <v>3531</v>
      </c>
      <c r="D907" t="s">
        <v>3842</v>
      </c>
      <c r="E907" s="4">
        <v>43465</v>
      </c>
      <c r="F907" s="11">
        <v>-34.57627119</v>
      </c>
      <c r="G907" s="11">
        <v>30.58035714</v>
      </c>
      <c r="H907" s="11">
        <v>-49.690854323800004</v>
      </c>
      <c r="I907" s="11">
        <v>6.5718809682000003</v>
      </c>
      <c r="J907" s="11">
        <v>-55.234198095799997</v>
      </c>
      <c r="K907" s="10">
        <v>0.187138743394</v>
      </c>
      <c r="L907" s="12">
        <v>3685616154</v>
      </c>
      <c r="M907">
        <v>-18.171075689424502</v>
      </c>
      <c r="N907" s="7">
        <v>2.1150280458256598</v>
      </c>
      <c r="O907" s="7">
        <v>4.26283159768965</v>
      </c>
      <c r="P907" s="7">
        <v>-12.5011818653623</v>
      </c>
      <c r="Q907" s="7" t="s">
        <v>3698</v>
      </c>
      <c r="U907">
        <v>-0.39191313867422162</v>
      </c>
      <c r="AT907" s="4" t="s">
        <v>5322</v>
      </c>
    </row>
    <row r="908" spans="1:46">
      <c r="A908" s="2">
        <v>1485</v>
      </c>
      <c r="B908" t="s">
        <v>5323</v>
      </c>
      <c r="C908" t="s">
        <v>1351</v>
      </c>
      <c r="D908" t="s">
        <v>3790</v>
      </c>
      <c r="E908" s="4">
        <v>43465</v>
      </c>
      <c r="F908" s="11">
        <v>75.780254029999995</v>
      </c>
      <c r="G908" s="11">
        <v>30.49586777</v>
      </c>
      <c r="H908" s="11">
        <v>17.732355481999999</v>
      </c>
      <c r="I908" s="11">
        <v>71.644685911300002</v>
      </c>
      <c r="J908" s="11">
        <v>73.169887457300007</v>
      </c>
      <c r="K908" s="10">
        <v>7.6502812764999997E-2</v>
      </c>
      <c r="L908" s="12">
        <v>5287318833.6000004</v>
      </c>
      <c r="M908">
        <v>65.417338925140399</v>
      </c>
      <c r="N908" s="7">
        <v>5.4149319945648502</v>
      </c>
      <c r="O908" s="7">
        <v>19.787975945325599</v>
      </c>
      <c r="P908" s="7">
        <v>-57.5742846284774</v>
      </c>
      <c r="Q908" s="7">
        <v>0.12033694344522038</v>
      </c>
      <c r="U908">
        <v>0.18549584785999765</v>
      </c>
      <c r="AT908" s="4" t="s">
        <v>5324</v>
      </c>
    </row>
    <row r="909" spans="1:46">
      <c r="A909" s="2">
        <v>71</v>
      </c>
      <c r="B909" t="s">
        <v>5325</v>
      </c>
      <c r="C909" t="s">
        <v>2288</v>
      </c>
      <c r="D909" t="s">
        <v>3737</v>
      </c>
      <c r="E909" s="4">
        <v>43465</v>
      </c>
      <c r="F909" s="11">
        <v>-15.046767770000001</v>
      </c>
      <c r="G909" s="11">
        <v>30.481566399999998</v>
      </c>
      <c r="H909" s="11">
        <v>16.884101063599999</v>
      </c>
      <c r="I909" s="11">
        <v>38.949885565599999</v>
      </c>
      <c r="J909" s="11">
        <v>2.0145860196999998</v>
      </c>
      <c r="K909" s="10">
        <v>1.04347134841</v>
      </c>
      <c r="L909" s="12">
        <v>31347673583.900002</v>
      </c>
      <c r="M909">
        <v>26.8832689379154</v>
      </c>
      <c r="N909" s="7">
        <v>1.2785758812354699</v>
      </c>
      <c r="O909" s="7">
        <v>0.54105006216784801</v>
      </c>
      <c r="P909" s="7">
        <v>19.802088341195802</v>
      </c>
      <c r="Q909" s="7">
        <v>1.6286644951140066</v>
      </c>
      <c r="U909">
        <v>0.19214971857207333</v>
      </c>
      <c r="AT909" s="4" t="s">
        <v>5326</v>
      </c>
    </row>
    <row r="910" spans="1:46">
      <c r="A910" s="2">
        <v>2256</v>
      </c>
      <c r="B910" t="s">
        <v>5327</v>
      </c>
      <c r="C910" t="s">
        <v>1839</v>
      </c>
      <c r="D910" t="s">
        <v>3837</v>
      </c>
      <c r="E910" s="4">
        <v>43465</v>
      </c>
      <c r="F910" s="11">
        <v>-1.3640838500000001</v>
      </c>
      <c r="G910" s="11">
        <v>30.446927370000001</v>
      </c>
      <c r="H910" s="11">
        <v>-14.2228811358</v>
      </c>
      <c r="I910" s="11" t="s">
        <v>3698</v>
      </c>
      <c r="J910" s="11">
        <v>27.166467162899998</v>
      </c>
      <c r="K910" s="10" t="s">
        <v>3698</v>
      </c>
      <c r="L910" s="12">
        <v>1694330038.8</v>
      </c>
      <c r="M910">
        <v>22.805907772750199</v>
      </c>
      <c r="N910" s="7">
        <v>1.1156525752787001</v>
      </c>
      <c r="O910" s="7">
        <v>5.8428394614815904</v>
      </c>
      <c r="P910" s="7">
        <v>57.1487840791618</v>
      </c>
      <c r="Q910" s="7">
        <v>0.48661800486618007</v>
      </c>
      <c r="U910">
        <v>0.33411788212426391</v>
      </c>
      <c r="AT910" s="4" t="s">
        <v>5328</v>
      </c>
    </row>
    <row r="911" spans="1:46">
      <c r="A911" s="2">
        <v>1088</v>
      </c>
      <c r="B911" t="s">
        <v>5329</v>
      </c>
      <c r="C911" t="s">
        <v>2451</v>
      </c>
      <c r="D911" t="s">
        <v>3713</v>
      </c>
      <c r="E911" s="4">
        <v>43465</v>
      </c>
      <c r="F911" s="11">
        <v>-23.420738969999999</v>
      </c>
      <c r="G911" s="11">
        <v>30.390143739999999</v>
      </c>
      <c r="H911" s="11">
        <v>-5.0406618299000003</v>
      </c>
      <c r="I911" s="11">
        <v>19.452743443999999</v>
      </c>
      <c r="J911" s="11">
        <v>1.6467201048</v>
      </c>
      <c r="K911" s="10">
        <v>0.36324900073900002</v>
      </c>
      <c r="L911" s="12">
        <v>4767748145.4399996</v>
      </c>
      <c r="M911">
        <v>-2008.91556375349</v>
      </c>
      <c r="N911" s="7">
        <v>2.3344845293907799</v>
      </c>
      <c r="O911" s="7">
        <v>5.6147889707625396</v>
      </c>
      <c r="P911" s="7">
        <v>-32.670600091134602</v>
      </c>
      <c r="Q911" s="7" t="s">
        <v>3698</v>
      </c>
      <c r="U911">
        <v>2.8521626307975115E-2</v>
      </c>
      <c r="AT911" s="4" t="s">
        <v>5330</v>
      </c>
    </row>
    <row r="912" spans="1:46">
      <c r="A912" s="2">
        <v>2480</v>
      </c>
      <c r="B912" t="s">
        <v>5331</v>
      </c>
      <c r="C912" t="s">
        <v>2214</v>
      </c>
      <c r="D912" t="s">
        <v>3721</v>
      </c>
      <c r="E912" s="4">
        <v>43465</v>
      </c>
      <c r="F912" s="11">
        <v>-6.3592603800000003</v>
      </c>
      <c r="G912" s="11">
        <v>30.350194550000001</v>
      </c>
      <c r="H912" s="11">
        <v>4.5490504391000002</v>
      </c>
      <c r="I912" s="11">
        <v>22.716723360700001</v>
      </c>
      <c r="J912" s="11">
        <v>6.2603783615999999</v>
      </c>
      <c r="K912" s="10">
        <v>0.40388090069999999</v>
      </c>
      <c r="L912" s="12">
        <v>42488869242.690002</v>
      </c>
      <c r="M912">
        <v>37.028203962187099</v>
      </c>
      <c r="N912" s="7">
        <v>1.7181276498956199</v>
      </c>
      <c r="O912" s="7">
        <v>2.1876688487842602</v>
      </c>
      <c r="P912" s="7">
        <v>24.6212919695311</v>
      </c>
      <c r="Q912" s="7">
        <v>0.61946902654867242</v>
      </c>
      <c r="U912">
        <v>0.14104343359659813</v>
      </c>
      <c r="AT912" s="4" t="s">
        <v>5332</v>
      </c>
    </row>
    <row r="913" spans="1:46">
      <c r="A913" s="2">
        <v>2741</v>
      </c>
      <c r="B913" t="s">
        <v>5333</v>
      </c>
      <c r="C913" t="s">
        <v>514</v>
      </c>
      <c r="D913" t="s">
        <v>3998</v>
      </c>
      <c r="E913" s="4">
        <v>43465</v>
      </c>
      <c r="F913" s="11">
        <v>3.0277697300000002</v>
      </c>
      <c r="G913" s="11">
        <v>30.33898305</v>
      </c>
      <c r="H913" s="11">
        <v>18.950483730399998</v>
      </c>
      <c r="I913" s="11">
        <v>41.845985305600003</v>
      </c>
      <c r="J913" s="11">
        <v>20.004687743200002</v>
      </c>
      <c r="K913" s="10">
        <v>0.74081109381200005</v>
      </c>
      <c r="L913" s="12">
        <v>31501502147.5</v>
      </c>
      <c r="M913">
        <v>7.66304059657016</v>
      </c>
      <c r="N913" s="7">
        <v>1.3175419730150799</v>
      </c>
      <c r="O913" s="7">
        <v>1.28132996751228</v>
      </c>
      <c r="P913" s="7">
        <v>77.230140974847203</v>
      </c>
      <c r="Q913" s="7">
        <v>2.1707670043415339</v>
      </c>
      <c r="U913">
        <v>1.7103451359823862</v>
      </c>
      <c r="AT913" s="4" t="s">
        <v>4462</v>
      </c>
    </row>
    <row r="914" spans="1:46">
      <c r="A914" s="2">
        <v>1680</v>
      </c>
      <c r="B914" t="s">
        <v>5334</v>
      </c>
      <c r="C914" t="s">
        <v>1444</v>
      </c>
      <c r="D914" t="s">
        <v>3737</v>
      </c>
      <c r="E914" s="4">
        <v>43465</v>
      </c>
      <c r="F914" s="11">
        <v>-13.345346470000001</v>
      </c>
      <c r="G914" s="11">
        <v>30.31784841</v>
      </c>
      <c r="H914" s="11">
        <v>16.3694397959</v>
      </c>
      <c r="I914" s="11">
        <v>71.424469766000001</v>
      </c>
      <c r="J914" s="11">
        <v>8.0000508014000005</v>
      </c>
      <c r="K914" s="10">
        <v>0.44817894117200002</v>
      </c>
      <c r="L914" s="12">
        <v>1638403200</v>
      </c>
      <c r="M914">
        <v>17.5799437045183</v>
      </c>
      <c r="N914" s="7">
        <v>1.5239596326142799</v>
      </c>
      <c r="O914" s="7">
        <v>2.2618536788358599</v>
      </c>
      <c r="P914" s="7">
        <v>65.350501254127593</v>
      </c>
      <c r="Q914" s="7">
        <v>0.55009823182711204</v>
      </c>
      <c r="U914">
        <v>0.14972411928585988</v>
      </c>
      <c r="AT914" s="4" t="s">
        <v>4006</v>
      </c>
    </row>
    <row r="915" spans="1:46">
      <c r="A915" s="2">
        <v>2407</v>
      </c>
      <c r="B915" t="s">
        <v>5335</v>
      </c>
      <c r="C915" t="s">
        <v>2001</v>
      </c>
      <c r="D915" t="s">
        <v>3811</v>
      </c>
      <c r="E915" s="4">
        <v>43465</v>
      </c>
      <c r="F915" s="11">
        <v>-9.0327114999999996</v>
      </c>
      <c r="G915" s="11">
        <v>30.184049080000001</v>
      </c>
      <c r="H915" s="11">
        <v>5.7320499807000003</v>
      </c>
      <c r="I915" s="11">
        <v>5.5981807701999999</v>
      </c>
      <c r="J915" s="11">
        <v>1.1559611645000001</v>
      </c>
      <c r="K915" s="10">
        <v>2.025677410713</v>
      </c>
      <c r="L915" s="12">
        <v>11317830618.059999</v>
      </c>
      <c r="M915">
        <v>71.434424965564602</v>
      </c>
      <c r="N915" s="7">
        <v>1.1606691844664101</v>
      </c>
      <c r="O915" s="7">
        <v>0.24780195789536799</v>
      </c>
      <c r="P915" s="7">
        <v>-9.8277032938205906</v>
      </c>
      <c r="Q915" s="7">
        <v>0.84825636192271436</v>
      </c>
      <c r="U915">
        <v>0.29041703621854709</v>
      </c>
      <c r="AT915" s="4" t="s">
        <v>5336</v>
      </c>
    </row>
    <row r="916" spans="1:46">
      <c r="A916" s="2">
        <v>724</v>
      </c>
      <c r="B916" t="s">
        <v>5337</v>
      </c>
      <c r="C916" t="s">
        <v>3242</v>
      </c>
      <c r="D916" t="s">
        <v>3849</v>
      </c>
      <c r="E916" s="4">
        <v>43465</v>
      </c>
      <c r="F916" s="11">
        <v>-26.418439719999999</v>
      </c>
      <c r="G916" s="11">
        <v>30.182599360000001</v>
      </c>
      <c r="H916" s="11">
        <v>4.8037965543999999</v>
      </c>
      <c r="I916" s="11">
        <v>29.429347675199999</v>
      </c>
      <c r="J916" s="11">
        <v>0.88138182600000003</v>
      </c>
      <c r="K916" s="10">
        <v>0.28822343043400001</v>
      </c>
      <c r="L916" s="12">
        <v>105905148489.35001</v>
      </c>
      <c r="M916">
        <v>-433.40418178517001</v>
      </c>
      <c r="N916" s="7">
        <v>5.2250264685067496</v>
      </c>
      <c r="O916" s="7">
        <v>18.2480551206325</v>
      </c>
      <c r="P916" s="7">
        <v>-23.839714764073999</v>
      </c>
      <c r="Q916" s="7" t="s">
        <v>3698</v>
      </c>
      <c r="U916">
        <v>5.1351132038834953E-3</v>
      </c>
      <c r="AT916" s="4" t="s">
        <v>4298</v>
      </c>
    </row>
    <row r="917" spans="1:46">
      <c r="A917" s="2">
        <v>3138</v>
      </c>
      <c r="B917" t="s">
        <v>5338</v>
      </c>
      <c r="C917" t="s">
        <v>1098</v>
      </c>
      <c r="D917" t="s">
        <v>3769</v>
      </c>
      <c r="E917" s="4">
        <v>43465</v>
      </c>
      <c r="F917" s="11">
        <v>-8.9596796899999998</v>
      </c>
      <c r="G917" s="11">
        <v>30.147895340000002</v>
      </c>
      <c r="H917" s="11">
        <v>28.545459851699999</v>
      </c>
      <c r="I917" s="11">
        <v>8.8138115321000008</v>
      </c>
      <c r="J917" s="11">
        <v>3.9629115646000002</v>
      </c>
      <c r="K917" s="10">
        <v>1.482342130673</v>
      </c>
      <c r="L917" s="12">
        <v>2063253530.3</v>
      </c>
      <c r="M917">
        <v>13.8084855692536</v>
      </c>
      <c r="N917" s="7">
        <v>0.87473292065822905</v>
      </c>
      <c r="O917" s="7">
        <v>0.40542138946449702</v>
      </c>
      <c r="P917" s="7">
        <v>9.16085808676395</v>
      </c>
      <c r="Q917" s="7">
        <v>1.7807493225703279</v>
      </c>
      <c r="U917">
        <v>0.84022859078032475</v>
      </c>
      <c r="AT917" s="4" t="s">
        <v>5339</v>
      </c>
    </row>
    <row r="918" spans="1:46">
      <c r="A918" s="2">
        <v>170</v>
      </c>
      <c r="B918" t="s">
        <v>5340</v>
      </c>
      <c r="C918" t="s">
        <v>3463</v>
      </c>
      <c r="D918" t="s">
        <v>3713</v>
      </c>
      <c r="E918" s="4">
        <v>43465</v>
      </c>
      <c r="F918" s="11">
        <v>-14.51990632</v>
      </c>
      <c r="G918" s="11">
        <v>30.124777179999999</v>
      </c>
      <c r="H918" s="11">
        <v>0.58013298629999999</v>
      </c>
      <c r="I918" s="11">
        <v>44.000696377899999</v>
      </c>
      <c r="J918" s="11">
        <v>8.1050375719000005</v>
      </c>
      <c r="K918" s="10">
        <v>0.43056955924899998</v>
      </c>
      <c r="L918" s="12">
        <v>28126541583</v>
      </c>
      <c r="M918">
        <v>55.747671101714403</v>
      </c>
      <c r="N918" s="7">
        <v>2.4695913515975598</v>
      </c>
      <c r="O918" s="7">
        <v>2.6159483826791998</v>
      </c>
      <c r="P918" s="7">
        <v>53.947242351158003</v>
      </c>
      <c r="Q918" s="7" t="s">
        <v>3698</v>
      </c>
      <c r="U918">
        <v>0.14303839667351931</v>
      </c>
      <c r="AT918" s="4" t="s">
        <v>3956</v>
      </c>
    </row>
    <row r="919" spans="1:46">
      <c r="A919" s="2">
        <v>1446</v>
      </c>
      <c r="B919" t="s">
        <v>5341</v>
      </c>
      <c r="C919" t="s">
        <v>1587</v>
      </c>
      <c r="D919" t="s">
        <v>3713</v>
      </c>
      <c r="E919" s="4">
        <v>43465</v>
      </c>
      <c r="F919" s="11">
        <v>-27.567957289999999</v>
      </c>
      <c r="G919" s="11">
        <v>30.092592589999999</v>
      </c>
      <c r="H919" s="11">
        <v>24.253498469</v>
      </c>
      <c r="I919" s="11">
        <v>24.311625617600001</v>
      </c>
      <c r="J919" s="11">
        <v>0.95602810979999997</v>
      </c>
      <c r="K919" s="10">
        <v>0.40566586746599997</v>
      </c>
      <c r="L919" s="12">
        <v>3635008000</v>
      </c>
      <c r="M919">
        <v>-33.1939248898287</v>
      </c>
      <c r="N919" s="7">
        <v>1.3147149944386201</v>
      </c>
      <c r="O919" s="7">
        <v>1.96717510886169</v>
      </c>
      <c r="P919" s="7">
        <v>-13.3401275751017</v>
      </c>
      <c r="Q919" s="7">
        <v>0.37220843672456572</v>
      </c>
      <c r="U919">
        <v>4.0324086302345082E-2</v>
      </c>
      <c r="AT919" s="4" t="s">
        <v>3770</v>
      </c>
    </row>
    <row r="920" spans="1:46">
      <c r="A920" s="2">
        <v>1692</v>
      </c>
      <c r="B920" t="s">
        <v>5342</v>
      </c>
      <c r="C920" t="s">
        <v>1430</v>
      </c>
      <c r="D920" t="s">
        <v>3737</v>
      </c>
      <c r="E920" s="4">
        <v>43465</v>
      </c>
      <c r="F920" s="11">
        <v>-22.815567009999999</v>
      </c>
      <c r="G920" s="11">
        <v>30.051813469999999</v>
      </c>
      <c r="H920" s="11">
        <v>-16.740411284699999</v>
      </c>
      <c r="I920" s="11">
        <v>35.681722337499998</v>
      </c>
      <c r="J920" s="11">
        <v>8.9476406069000003</v>
      </c>
      <c r="K920" s="10">
        <v>0.40012507660300001</v>
      </c>
      <c r="L920" s="12">
        <v>6352570893.3599997</v>
      </c>
      <c r="M920">
        <v>36.456657252912301</v>
      </c>
      <c r="N920" s="7">
        <v>1.42755084927529</v>
      </c>
      <c r="O920" s="7">
        <v>3.7823153497259701</v>
      </c>
      <c r="P920" s="7">
        <v>48.422936050222098</v>
      </c>
      <c r="Q920" s="7">
        <v>0.16181229773462782</v>
      </c>
      <c r="U920">
        <v>0.10500282550966729</v>
      </c>
      <c r="AT920" s="4" t="s">
        <v>5343</v>
      </c>
    </row>
    <row r="921" spans="1:46">
      <c r="A921" s="2">
        <v>2090</v>
      </c>
      <c r="B921" t="s">
        <v>5344</v>
      </c>
      <c r="C921" t="s">
        <v>595</v>
      </c>
      <c r="D921" t="s">
        <v>3721</v>
      </c>
      <c r="E921" s="4">
        <v>43465</v>
      </c>
      <c r="F921" s="11">
        <v>-23.250546530000001</v>
      </c>
      <c r="G921" s="11">
        <v>30.046674450000001</v>
      </c>
      <c r="H921" s="11">
        <v>12.951972678500001</v>
      </c>
      <c r="I921" s="11">
        <v>28.769523446699999</v>
      </c>
      <c r="J921" s="11">
        <v>10.727893311700001</v>
      </c>
      <c r="K921" s="10">
        <v>0.63278301616800003</v>
      </c>
      <c r="L921" s="12">
        <v>5436524482.3999996</v>
      </c>
      <c r="M921">
        <v>36.388375410332699</v>
      </c>
      <c r="N921" s="7">
        <v>4.3820183430317803</v>
      </c>
      <c r="O921" s="7">
        <v>4.69540507592962</v>
      </c>
      <c r="P921" s="7">
        <v>-42.5958661697602</v>
      </c>
      <c r="Q921" s="7" t="s">
        <v>3698</v>
      </c>
      <c r="U921">
        <v>0.38188095151173446</v>
      </c>
      <c r="AT921" s="4" t="s">
        <v>5345</v>
      </c>
    </row>
    <row r="922" spans="1:46">
      <c r="A922" s="2">
        <v>487</v>
      </c>
      <c r="B922" t="s">
        <v>5346</v>
      </c>
      <c r="C922" t="s">
        <v>1831</v>
      </c>
      <c r="D922" t="s">
        <v>3769</v>
      </c>
      <c r="E922" s="4">
        <v>43465</v>
      </c>
      <c r="F922" s="11">
        <v>46.597583579999998</v>
      </c>
      <c r="G922" s="11">
        <v>30.02944063</v>
      </c>
      <c r="H922" s="11">
        <v>116.69120763959999</v>
      </c>
      <c r="I922" s="11">
        <v>29.673224590899999</v>
      </c>
      <c r="J922" s="11">
        <v>15.9628359043</v>
      </c>
      <c r="K922" s="10">
        <v>0.59977369943799996</v>
      </c>
      <c r="L922" s="12">
        <v>5086219816.3199997</v>
      </c>
      <c r="M922">
        <v>38.104585397410403</v>
      </c>
      <c r="N922" s="7">
        <v>2.5621642087213998</v>
      </c>
      <c r="O922" s="7">
        <v>5.4225387458720302</v>
      </c>
      <c r="P922" s="7">
        <v>-59.985381485861197</v>
      </c>
      <c r="Q922" s="7">
        <v>1.6570008285004143</v>
      </c>
      <c r="U922">
        <v>0.33406362548497415</v>
      </c>
      <c r="AT922" s="4" t="s">
        <v>4111</v>
      </c>
    </row>
    <row r="923" spans="1:46">
      <c r="A923" s="2">
        <v>3119</v>
      </c>
      <c r="B923" t="s">
        <v>5347</v>
      </c>
      <c r="C923" t="s">
        <v>1948</v>
      </c>
      <c r="D923" t="s">
        <v>3761</v>
      </c>
      <c r="E923" s="4">
        <v>43465</v>
      </c>
      <c r="F923" s="11">
        <v>-16.778123149999999</v>
      </c>
      <c r="G923" s="11">
        <v>30.01776199</v>
      </c>
      <c r="H923" s="11">
        <v>9.3523946868000003</v>
      </c>
      <c r="I923" s="11">
        <v>29.228400148799999</v>
      </c>
      <c r="J923" s="11">
        <v>8.6755411904000006</v>
      </c>
      <c r="K923" s="10">
        <v>0.43439524331700002</v>
      </c>
      <c r="L923" s="12">
        <v>5540984850.79</v>
      </c>
      <c r="M923">
        <v>12.2304456653661</v>
      </c>
      <c r="N923" s="7">
        <v>1.1256297443396901</v>
      </c>
      <c r="O923" s="7">
        <v>1.3068097501754901</v>
      </c>
      <c r="P923" s="7">
        <v>25.722913834472699</v>
      </c>
      <c r="Q923" s="7">
        <v>4.497751124437781</v>
      </c>
      <c r="U923">
        <v>0.35830788065119273</v>
      </c>
      <c r="AT923" s="4" t="s">
        <v>4681</v>
      </c>
    </row>
    <row r="924" spans="1:46">
      <c r="A924" s="2">
        <v>833</v>
      </c>
      <c r="B924" t="s">
        <v>5348</v>
      </c>
      <c r="C924" t="s">
        <v>2730</v>
      </c>
      <c r="D924" t="s">
        <v>3713</v>
      </c>
      <c r="E924" s="4">
        <v>43465</v>
      </c>
      <c r="F924" s="11">
        <v>-31.478999999999999</v>
      </c>
      <c r="G924" s="11">
        <v>29.955947139999999</v>
      </c>
      <c r="H924" s="11">
        <v>18.080727345500001</v>
      </c>
      <c r="I924" s="11">
        <v>57.949118563900001</v>
      </c>
      <c r="J924" s="11">
        <v>25.776897036499999</v>
      </c>
      <c r="K924" s="10">
        <v>0.28361004858</v>
      </c>
      <c r="L924" s="12">
        <v>2564700000</v>
      </c>
      <c r="M924">
        <v>14.416904945386401</v>
      </c>
      <c r="N924" s="7">
        <v>2.7862797980933398</v>
      </c>
      <c r="O924" s="7">
        <v>3.9874122727610399</v>
      </c>
      <c r="P924" s="7">
        <v>-43.837260689116597</v>
      </c>
      <c r="Q924" s="7">
        <v>2.6785714285714284</v>
      </c>
      <c r="U924">
        <v>0.64680603071321097</v>
      </c>
      <c r="AT924" s="4" t="s">
        <v>3859</v>
      </c>
    </row>
    <row r="925" spans="1:46">
      <c r="A925" s="2">
        <v>3178</v>
      </c>
      <c r="B925" t="s">
        <v>5349</v>
      </c>
      <c r="C925" t="s">
        <v>2319</v>
      </c>
      <c r="D925" t="s">
        <v>3972</v>
      </c>
      <c r="E925" s="4">
        <v>43465</v>
      </c>
      <c r="F925" s="11">
        <v>-22.156573120000001</v>
      </c>
      <c r="G925" s="11">
        <v>29.950495050000001</v>
      </c>
      <c r="H925" s="11">
        <v>33.5664850896</v>
      </c>
      <c r="I925" s="11">
        <v>8.4620423602999999</v>
      </c>
      <c r="J925" s="11">
        <v>2.5046541676</v>
      </c>
      <c r="K925" s="10">
        <v>0.66879724803200002</v>
      </c>
      <c r="L925" s="12">
        <v>7105736244.9499998</v>
      </c>
      <c r="M925">
        <v>-75.935962761687605</v>
      </c>
      <c r="N925" s="7">
        <v>2.4136123064300401</v>
      </c>
      <c r="O925" s="7">
        <v>0.39310101622168903</v>
      </c>
      <c r="P925" s="7">
        <v>15.036901242138899</v>
      </c>
      <c r="Q925" s="7" t="s">
        <v>3698</v>
      </c>
      <c r="U925">
        <v>0.12039872612046768</v>
      </c>
      <c r="AT925" s="4" t="s">
        <v>5350</v>
      </c>
    </row>
    <row r="926" spans="1:46">
      <c r="A926" s="2">
        <v>3012</v>
      </c>
      <c r="B926" t="s">
        <v>5351</v>
      </c>
      <c r="C926" t="s">
        <v>3557</v>
      </c>
      <c r="D926" t="s">
        <v>4046</v>
      </c>
      <c r="E926" s="4">
        <v>43465</v>
      </c>
      <c r="F926" s="11">
        <v>-22.770790689999998</v>
      </c>
      <c r="G926" s="11">
        <v>29.80460776</v>
      </c>
      <c r="H926" s="11">
        <v>3.7482479358999998</v>
      </c>
      <c r="I926" s="11">
        <v>14.947972440699999</v>
      </c>
      <c r="J926" s="11">
        <v>4.9888232348999999</v>
      </c>
      <c r="K926" s="10">
        <v>0.75492668717199995</v>
      </c>
      <c r="L926" s="12">
        <v>4414253943.3000002</v>
      </c>
      <c r="M926">
        <v>107.976593152623</v>
      </c>
      <c r="N926" s="7">
        <v>2.2840283152359002</v>
      </c>
      <c r="O926" s="7">
        <v>1.12464728876762</v>
      </c>
      <c r="P926" s="7">
        <v>-39.865552510442498</v>
      </c>
      <c r="Q926" s="7">
        <v>0.40669856459330139</v>
      </c>
      <c r="U926">
        <v>1.6163976266106779</v>
      </c>
      <c r="AT926" s="4" t="s">
        <v>5352</v>
      </c>
    </row>
    <row r="927" spans="1:46">
      <c r="A927" s="2">
        <v>2532</v>
      </c>
      <c r="B927" t="s">
        <v>5353</v>
      </c>
      <c r="C927" t="s">
        <v>3515</v>
      </c>
      <c r="D927" t="s">
        <v>3998</v>
      </c>
      <c r="E927" s="4">
        <v>43465</v>
      </c>
      <c r="F927" s="11">
        <v>0.76726342999999997</v>
      </c>
      <c r="G927" s="11">
        <v>29.692832760000002</v>
      </c>
      <c r="H927" s="11">
        <v>14.8685869847</v>
      </c>
      <c r="I927" s="11">
        <v>29.693235348000002</v>
      </c>
      <c r="J927" s="11">
        <v>-1.0285749104999999</v>
      </c>
      <c r="K927" s="10">
        <v>0.26635650377800002</v>
      </c>
      <c r="L927" s="12">
        <v>5508628322.3999996</v>
      </c>
      <c r="M927">
        <v>-82.615739656657098</v>
      </c>
      <c r="N927" s="7">
        <v>0.91494167413146399</v>
      </c>
      <c r="O927" s="7">
        <v>1.62756496809493</v>
      </c>
      <c r="P927" s="7">
        <v>13.3928245748706</v>
      </c>
      <c r="Q927" s="7" t="s">
        <v>3698</v>
      </c>
      <c r="U927">
        <v>0.26488618675054787</v>
      </c>
      <c r="AT927" s="4" t="s">
        <v>5354</v>
      </c>
    </row>
    <row r="928" spans="1:46">
      <c r="A928" s="2">
        <v>2460</v>
      </c>
      <c r="B928" t="s">
        <v>5355</v>
      </c>
      <c r="C928" t="s">
        <v>1619</v>
      </c>
      <c r="D928" t="s">
        <v>3977</v>
      </c>
      <c r="E928" s="4">
        <v>43465</v>
      </c>
      <c r="F928" s="11">
        <v>-11.260650549999999</v>
      </c>
      <c r="G928" s="11">
        <v>29.6735905</v>
      </c>
      <c r="H928" s="11">
        <v>21.089607988699999</v>
      </c>
      <c r="I928" s="11">
        <v>19.942618669200002</v>
      </c>
      <c r="J928" s="11">
        <v>1.3284038994</v>
      </c>
      <c r="K928" s="10">
        <v>1.127558690016</v>
      </c>
      <c r="L928" s="12">
        <v>10643041129.200001</v>
      </c>
      <c r="M928">
        <v>251.48218253392699</v>
      </c>
      <c r="N928" s="7">
        <v>1.46149210047349</v>
      </c>
      <c r="O928" s="7">
        <v>0.49395284967290998</v>
      </c>
      <c r="P928" s="7">
        <v>-11.807707684031</v>
      </c>
      <c r="Q928" s="7">
        <v>0.70754716981132082</v>
      </c>
      <c r="U928">
        <v>8.7465386252974731E-2</v>
      </c>
      <c r="AT928" s="4" t="s">
        <v>5301</v>
      </c>
    </row>
    <row r="929" spans="1:46">
      <c r="A929" s="2">
        <v>2442</v>
      </c>
      <c r="B929" t="s">
        <v>5356</v>
      </c>
      <c r="C929" t="s">
        <v>3276</v>
      </c>
      <c r="D929" t="s">
        <v>4046</v>
      </c>
      <c r="E929" s="4">
        <v>43465</v>
      </c>
      <c r="F929" s="11">
        <v>-7.8180982999999999</v>
      </c>
      <c r="G929" s="11">
        <v>29.625884729999999</v>
      </c>
      <c r="H929" s="11">
        <v>-4.4357275152</v>
      </c>
      <c r="I929" s="11">
        <v>4.9984690674000003</v>
      </c>
      <c r="J929" s="11">
        <v>6.1737353777999999</v>
      </c>
      <c r="K929" s="10">
        <v>0.25158640483099998</v>
      </c>
      <c r="L929" s="12">
        <v>3142863500</v>
      </c>
      <c r="M929">
        <v>-102.03765725718</v>
      </c>
      <c r="N929" s="7">
        <v>1.4560143321069801</v>
      </c>
      <c r="O929" s="7">
        <v>3.5304581992144999</v>
      </c>
      <c r="P929" s="7">
        <v>-32.383794938365497</v>
      </c>
      <c r="Q929" s="7">
        <v>9.3970242756460459E-2</v>
      </c>
      <c r="U929">
        <v>0.20689676426461717</v>
      </c>
      <c r="AT929" s="4" t="s">
        <v>5357</v>
      </c>
    </row>
    <row r="930" spans="1:46">
      <c r="A930" s="2">
        <v>1059</v>
      </c>
      <c r="B930" t="s">
        <v>5358</v>
      </c>
      <c r="C930" t="s">
        <v>2112</v>
      </c>
      <c r="D930" t="s">
        <v>3781</v>
      </c>
      <c r="E930" s="4">
        <v>43465</v>
      </c>
      <c r="F930" s="11">
        <v>-17.63230222</v>
      </c>
      <c r="G930" s="11">
        <v>29.596412560000001</v>
      </c>
      <c r="H930" s="11">
        <v>-8.5168178793999996</v>
      </c>
      <c r="I930" s="11">
        <v>14.745425213000001</v>
      </c>
      <c r="J930" s="11">
        <v>-9.3413933871000001</v>
      </c>
      <c r="K930" s="10">
        <v>0.74013177119899998</v>
      </c>
      <c r="L930" s="12">
        <v>26993707169.669998</v>
      </c>
      <c r="M930">
        <v>-23.1379080240165</v>
      </c>
      <c r="N930" s="7">
        <v>4.3890250620726796</v>
      </c>
      <c r="O930" s="7">
        <v>0.90991720364810502</v>
      </c>
      <c r="P930" s="7">
        <v>48.961448111702502</v>
      </c>
      <c r="Q930" s="7" t="s">
        <v>3698</v>
      </c>
      <c r="U930">
        <v>-0.75463637136008255</v>
      </c>
      <c r="AT930" s="4" t="s">
        <v>4672</v>
      </c>
    </row>
    <row r="931" spans="1:46">
      <c r="A931" s="2">
        <v>1993</v>
      </c>
      <c r="B931" t="s">
        <v>5359</v>
      </c>
      <c r="C931" t="s">
        <v>65</v>
      </c>
      <c r="D931" t="s">
        <v>3713</v>
      </c>
      <c r="E931" s="4">
        <v>43465</v>
      </c>
      <c r="F931" s="11">
        <v>77.161796229999993</v>
      </c>
      <c r="G931" s="11">
        <v>29.558890399999999</v>
      </c>
      <c r="H931" s="11">
        <v>28.1433467359</v>
      </c>
      <c r="I931" s="11">
        <v>34.817582553199998</v>
      </c>
      <c r="J931" s="11">
        <v>18.2375327072</v>
      </c>
      <c r="K931" s="10">
        <v>1.17057225533</v>
      </c>
      <c r="L931" s="12">
        <v>10260610992.200001</v>
      </c>
      <c r="M931">
        <v>25.2399090591827</v>
      </c>
      <c r="N931" s="7">
        <v>11.6968433349093</v>
      </c>
      <c r="O931" s="7">
        <v>5.4432278829255898</v>
      </c>
      <c r="P931" s="7">
        <v>62.949692568045698</v>
      </c>
      <c r="Q931" s="7">
        <v>0.41535166641459703</v>
      </c>
      <c r="U931">
        <v>1.6179608285792377</v>
      </c>
      <c r="AT931" s="4" t="s">
        <v>5360</v>
      </c>
    </row>
    <row r="932" spans="1:46">
      <c r="A932" s="2">
        <v>1650</v>
      </c>
      <c r="B932" t="s">
        <v>5361</v>
      </c>
      <c r="C932" t="s">
        <v>2382</v>
      </c>
      <c r="D932" t="s">
        <v>3752</v>
      </c>
      <c r="E932" s="4">
        <v>43465</v>
      </c>
      <c r="F932" s="11">
        <v>-64.541588340000004</v>
      </c>
      <c r="G932" s="11">
        <v>29.555555559999998</v>
      </c>
      <c r="H932" s="11">
        <v>1.3756804489000001</v>
      </c>
      <c r="I932" s="11">
        <v>19.098323685</v>
      </c>
      <c r="J932" s="11">
        <v>1.162027318</v>
      </c>
      <c r="K932" s="10">
        <v>0.68517500932499997</v>
      </c>
      <c r="L932" s="12">
        <v>4700447129.25</v>
      </c>
      <c r="M932">
        <v>136.08144281951201</v>
      </c>
      <c r="N932" s="7">
        <v>2.4034799549627701</v>
      </c>
      <c r="O932" s="7">
        <v>2.6342616740931599</v>
      </c>
      <c r="P932" s="7">
        <v>-343.03759120067701</v>
      </c>
      <c r="Q932" s="7" t="s">
        <v>3698</v>
      </c>
      <c r="U932">
        <v>2.354519517795637E-2</v>
      </c>
      <c r="AT932" s="4" t="s">
        <v>3726</v>
      </c>
    </row>
    <row r="933" spans="1:46">
      <c r="A933" s="2">
        <v>1563</v>
      </c>
      <c r="B933" t="s">
        <v>5362</v>
      </c>
      <c r="C933" t="s">
        <v>876</v>
      </c>
      <c r="D933" t="s">
        <v>3781</v>
      </c>
      <c r="E933" s="4">
        <v>43465</v>
      </c>
      <c r="F933" s="11">
        <v>-15.891440920000001</v>
      </c>
      <c r="G933" s="11">
        <v>29.51388889</v>
      </c>
      <c r="H933" s="11">
        <v>10.508314927300001</v>
      </c>
      <c r="I933" s="11">
        <v>14.2904387293</v>
      </c>
      <c r="J933" s="11">
        <v>4.6491890702000003</v>
      </c>
      <c r="K933" s="10">
        <v>0.98346164568100003</v>
      </c>
      <c r="L933" s="12">
        <v>64607719026.290001</v>
      </c>
      <c r="M933">
        <v>22.113418129646501</v>
      </c>
      <c r="N933" s="7">
        <v>1.6971074928885099</v>
      </c>
      <c r="O933" s="7">
        <v>1.0572278405051201</v>
      </c>
      <c r="P933" s="7">
        <v>20.377986163973102</v>
      </c>
      <c r="Q933" s="7">
        <v>1.2091488823092771</v>
      </c>
      <c r="U933">
        <v>0.28281309478522221</v>
      </c>
      <c r="AT933" s="4" t="s">
        <v>3989</v>
      </c>
    </row>
    <row r="934" spans="1:46">
      <c r="A934" s="2">
        <v>2366</v>
      </c>
      <c r="B934" t="s">
        <v>5363</v>
      </c>
      <c r="C934" t="s">
        <v>2835</v>
      </c>
      <c r="D934" t="s">
        <v>3728</v>
      </c>
      <c r="E934" s="4">
        <v>43465</v>
      </c>
      <c r="F934" s="11">
        <v>-13.88122014</v>
      </c>
      <c r="G934" s="11">
        <v>29.4</v>
      </c>
      <c r="H934" s="11">
        <v>-2.7279408616</v>
      </c>
      <c r="I934" s="11">
        <v>16.725600970599999</v>
      </c>
      <c r="J934" s="11">
        <v>3.3655025661</v>
      </c>
      <c r="K934" s="10">
        <v>0.67876326314900004</v>
      </c>
      <c r="L934" s="12">
        <v>7096204723.8000002</v>
      </c>
      <c r="M934">
        <v>90.245489059538599</v>
      </c>
      <c r="N934" s="7">
        <v>1.6048622088197599</v>
      </c>
      <c r="O934" s="7">
        <v>1.4531183824917899</v>
      </c>
      <c r="P934" s="7">
        <v>45.156094457808301</v>
      </c>
      <c r="Q934" s="7">
        <v>1.6977928692699491</v>
      </c>
      <c r="U934">
        <v>6.9625958914773467E-2</v>
      </c>
      <c r="AT934" s="4" t="s">
        <v>5364</v>
      </c>
    </row>
    <row r="935" spans="1:46">
      <c r="A935" s="2">
        <v>1656</v>
      </c>
      <c r="B935" t="s">
        <v>5365</v>
      </c>
      <c r="C935" t="s">
        <v>1011</v>
      </c>
      <c r="D935" t="s">
        <v>3713</v>
      </c>
      <c r="E935" s="4">
        <v>43465</v>
      </c>
      <c r="F935" s="11">
        <v>-16.074587739999998</v>
      </c>
      <c r="G935" s="11">
        <v>29.38461538</v>
      </c>
      <c r="H935" s="11">
        <v>30.6628878203</v>
      </c>
      <c r="I935" s="11">
        <v>28.910995121399999</v>
      </c>
      <c r="J935" s="11">
        <v>9.2242937906000009</v>
      </c>
      <c r="K935" s="10">
        <v>0.75677969507599996</v>
      </c>
      <c r="L935" s="12">
        <v>5432432938.8400002</v>
      </c>
      <c r="M935">
        <v>21.837874674247502</v>
      </c>
      <c r="N935" s="7">
        <v>2.07315988729205</v>
      </c>
      <c r="O935" s="7">
        <v>2.48079933714576</v>
      </c>
      <c r="P935" s="7">
        <v>10.8512413559707</v>
      </c>
      <c r="Q935" s="7">
        <v>2.0746887966804977</v>
      </c>
      <c r="U935">
        <v>0.25450035480642824</v>
      </c>
      <c r="AT935" s="4" t="s">
        <v>4681</v>
      </c>
    </row>
    <row r="936" spans="1:46">
      <c r="A936" s="2">
        <v>1455</v>
      </c>
      <c r="B936" t="s">
        <v>5366</v>
      </c>
      <c r="C936" t="s">
        <v>3617</v>
      </c>
      <c r="D936" t="s">
        <v>3761</v>
      </c>
      <c r="E936" s="4">
        <v>43465</v>
      </c>
      <c r="F936" s="11">
        <v>-22.352941179999998</v>
      </c>
      <c r="G936" s="11">
        <v>29.37365011</v>
      </c>
      <c r="H936" s="11">
        <v>-97.130351450199996</v>
      </c>
      <c r="I936" s="11">
        <v>14.0486026115</v>
      </c>
      <c r="J936" s="11">
        <v>-1522.6500685038</v>
      </c>
      <c r="K936" s="10">
        <v>2.7232511998E-2</v>
      </c>
      <c r="L936" s="12">
        <v>3508414550.9099998</v>
      </c>
      <c r="M936">
        <v>23.267190281919198</v>
      </c>
      <c r="N936" s="7">
        <v>7.7735489072895803</v>
      </c>
      <c r="O936" s="7">
        <v>4.3150479323634796</v>
      </c>
      <c r="P936" s="7">
        <v>-11.0280699928384</v>
      </c>
      <c r="Q936" s="7" t="s">
        <v>3698</v>
      </c>
      <c r="U936">
        <v>-0.67940527025000008</v>
      </c>
      <c r="AT936" s="4" t="s">
        <v>3791</v>
      </c>
    </row>
    <row r="937" spans="1:46">
      <c r="A937" s="2">
        <v>325</v>
      </c>
      <c r="B937" t="s">
        <v>5367</v>
      </c>
      <c r="C937" t="s">
        <v>946</v>
      </c>
      <c r="D937" t="s">
        <v>3737</v>
      </c>
      <c r="E937" s="4">
        <v>43465</v>
      </c>
      <c r="F937" s="11">
        <v>-28.703958620000002</v>
      </c>
      <c r="G937" s="11">
        <v>29.369369370000001</v>
      </c>
      <c r="H937" s="11">
        <v>15.3276232272</v>
      </c>
      <c r="I937" s="11">
        <v>29.920116516899999</v>
      </c>
      <c r="J937" s="11">
        <v>5.2667223082000003</v>
      </c>
      <c r="K937" s="10">
        <v>0.93082400684199995</v>
      </c>
      <c r="L937" s="12">
        <v>9344002091.3600006</v>
      </c>
      <c r="M937">
        <v>15.4542474427508</v>
      </c>
      <c r="N937" s="7">
        <v>1.28433234387726</v>
      </c>
      <c r="O937" s="7">
        <v>0.68714374781571397</v>
      </c>
      <c r="P937" s="7">
        <v>-37.668721018746702</v>
      </c>
      <c r="Q937" s="7">
        <v>1.4471780028943562</v>
      </c>
      <c r="U937">
        <v>0.40336031937776451</v>
      </c>
      <c r="AT937" s="4" t="s">
        <v>5368</v>
      </c>
    </row>
    <row r="938" spans="1:46">
      <c r="A938" s="2">
        <v>1237</v>
      </c>
      <c r="B938" t="s">
        <v>5369</v>
      </c>
      <c r="C938" t="s">
        <v>621</v>
      </c>
      <c r="D938" t="s">
        <v>3737</v>
      </c>
      <c r="E938" s="4">
        <v>43465</v>
      </c>
      <c r="F938" s="11">
        <v>18.174879619999999</v>
      </c>
      <c r="G938" s="11">
        <v>29.358830149999999</v>
      </c>
      <c r="H938" s="11">
        <v>18.386074339699999</v>
      </c>
      <c r="I938" s="11">
        <v>40.531098339300001</v>
      </c>
      <c r="J938" s="11">
        <v>5.6643346716999998</v>
      </c>
      <c r="K938" s="10">
        <v>1.2654758506949999</v>
      </c>
      <c r="L938" s="12">
        <v>3834690052.46</v>
      </c>
      <c r="M938">
        <v>20.380267171104599</v>
      </c>
      <c r="N938" s="7">
        <v>3.4007890247738199</v>
      </c>
      <c r="O938" s="7">
        <v>1.15135696451599</v>
      </c>
      <c r="P938" s="7">
        <v>69.645559260104903</v>
      </c>
      <c r="Q938" s="7">
        <v>1.3339261894175189</v>
      </c>
      <c r="U938">
        <v>0.9177482392067513</v>
      </c>
      <c r="AT938" s="4" t="s">
        <v>4296</v>
      </c>
    </row>
    <row r="939" spans="1:46">
      <c r="A939" s="2">
        <v>2594</v>
      </c>
      <c r="B939" t="s">
        <v>5370</v>
      </c>
      <c r="C939" t="s">
        <v>3566</v>
      </c>
      <c r="D939" t="s">
        <v>3858</v>
      </c>
      <c r="E939" s="4">
        <v>43465</v>
      </c>
      <c r="F939" s="11">
        <v>-35.3452603</v>
      </c>
      <c r="G939" s="11">
        <v>29.302325580000002</v>
      </c>
      <c r="H939" s="11">
        <v>-2.1282295649999998</v>
      </c>
      <c r="I939" s="11">
        <v>10.8261911794</v>
      </c>
      <c r="J939" s="11">
        <v>-3.8361167236</v>
      </c>
      <c r="K939" s="10">
        <v>0.31588197454099998</v>
      </c>
      <c r="L939" s="12">
        <v>6837922599.1999998</v>
      </c>
      <c r="M939">
        <v>-750.39850447383003</v>
      </c>
      <c r="N939" s="7">
        <v>0.80107458991898395</v>
      </c>
      <c r="O939" s="7">
        <v>0.93298222490674898</v>
      </c>
      <c r="P939" s="7">
        <v>20.104582338115701</v>
      </c>
      <c r="Q939" s="7">
        <v>0.72992700729927007</v>
      </c>
      <c r="U939">
        <v>1.6017228350246614E-2</v>
      </c>
      <c r="AT939" s="4" t="s">
        <v>5371</v>
      </c>
    </row>
    <row r="940" spans="1:46">
      <c r="A940" s="2">
        <v>3273</v>
      </c>
      <c r="B940" t="s">
        <v>5372</v>
      </c>
      <c r="C940" t="s">
        <v>1036</v>
      </c>
      <c r="D940" t="s">
        <v>3849</v>
      </c>
      <c r="E940" s="4">
        <v>43465</v>
      </c>
      <c r="F940" s="11">
        <v>-60.449026289999999</v>
      </c>
      <c r="G940" s="11">
        <v>29.29292929</v>
      </c>
      <c r="H940" s="11">
        <v>41.261950685999999</v>
      </c>
      <c r="I940" s="11">
        <v>29.463853519000001</v>
      </c>
      <c r="J940" s="11">
        <v>-93.381905373400002</v>
      </c>
      <c r="K940" s="10">
        <v>0.56668210914299999</v>
      </c>
      <c r="L940" s="12">
        <v>2765599200</v>
      </c>
      <c r="M940">
        <v>34.074801568397298</v>
      </c>
      <c r="N940" s="7">
        <v>2.3114000288127698</v>
      </c>
      <c r="O940" s="7">
        <v>1.11388689539671</v>
      </c>
      <c r="P940" s="7">
        <v>30.422180208932801</v>
      </c>
      <c r="Q940" s="7" t="s">
        <v>3698</v>
      </c>
      <c r="U940">
        <v>-3.1720283037812296</v>
      </c>
      <c r="AT940" s="4" t="s">
        <v>4683</v>
      </c>
    </row>
    <row r="941" spans="1:46">
      <c r="A941" s="2">
        <v>1729</v>
      </c>
      <c r="B941" t="s">
        <v>5373</v>
      </c>
      <c r="C941" t="s">
        <v>1641</v>
      </c>
      <c r="D941" t="s">
        <v>3849</v>
      </c>
      <c r="E941" s="4">
        <v>43465</v>
      </c>
      <c r="F941" s="11">
        <v>-39.218676969999997</v>
      </c>
      <c r="G941" s="11">
        <v>29.239766079999999</v>
      </c>
      <c r="H941" s="11">
        <v>2.6716417050999999</v>
      </c>
      <c r="I941" s="11">
        <v>35.752538336199997</v>
      </c>
      <c r="J941" s="11">
        <v>20.0221625643</v>
      </c>
      <c r="K941" s="10">
        <v>0.30675505434900002</v>
      </c>
      <c r="L941" s="12">
        <v>3828769154.3200002</v>
      </c>
      <c r="M941">
        <v>30.983883713842001</v>
      </c>
      <c r="N941" s="7">
        <v>1.61519174935737</v>
      </c>
      <c r="O941" s="7">
        <v>4.5715276753928098</v>
      </c>
      <c r="P941" s="7">
        <v>-3202.96388973895</v>
      </c>
      <c r="Q941" s="7">
        <v>0.71255185919444064</v>
      </c>
      <c r="U941">
        <v>0.15434048589973901</v>
      </c>
      <c r="AT941" s="4" t="s">
        <v>4369</v>
      </c>
    </row>
    <row r="942" spans="1:46">
      <c r="A942" s="2">
        <v>1520</v>
      </c>
      <c r="B942" t="s">
        <v>5374</v>
      </c>
      <c r="C942" t="s">
        <v>2012</v>
      </c>
      <c r="D942" t="s">
        <v>3718</v>
      </c>
      <c r="E942" s="4">
        <v>43465</v>
      </c>
      <c r="F942" s="11">
        <v>-25.81199385</v>
      </c>
      <c r="G942" s="11">
        <v>29.193899779999999</v>
      </c>
      <c r="H942" s="11">
        <v>36.085698803699998</v>
      </c>
      <c r="I942" s="11">
        <v>34.879161142699999</v>
      </c>
      <c r="J942" s="11">
        <v>-9.7033261740000007</v>
      </c>
      <c r="K942" s="10">
        <v>0.36629418722899998</v>
      </c>
      <c r="L942" s="12">
        <v>2341493052.48</v>
      </c>
      <c r="M942">
        <v>41.941079811844403</v>
      </c>
      <c r="N942" s="7">
        <v>2.2677487691071998</v>
      </c>
      <c r="O942" s="7">
        <v>1.9961563014218799</v>
      </c>
      <c r="P942" s="7">
        <v>-20.7014594759634</v>
      </c>
      <c r="Q942" s="7" t="s">
        <v>3698</v>
      </c>
      <c r="U942">
        <v>-0.26252509435602289</v>
      </c>
      <c r="AT942" s="4" t="s">
        <v>5375</v>
      </c>
    </row>
    <row r="943" spans="1:46">
      <c r="A943" s="2">
        <v>714</v>
      </c>
      <c r="B943" t="s">
        <v>5376</v>
      </c>
      <c r="C943" t="s">
        <v>330</v>
      </c>
      <c r="D943" t="s">
        <v>3769</v>
      </c>
      <c r="E943" s="4">
        <v>43465</v>
      </c>
      <c r="F943" s="11">
        <v>33.107887789999999</v>
      </c>
      <c r="G943" s="11">
        <v>29.13486005</v>
      </c>
      <c r="H943" s="11">
        <v>36.053893531</v>
      </c>
      <c r="I943" s="11">
        <v>5.8329678825000002</v>
      </c>
      <c r="J943" s="11">
        <v>2.2765415457999998</v>
      </c>
      <c r="K943" s="10">
        <v>2.3594519566300001</v>
      </c>
      <c r="L943" s="12">
        <v>3691536837</v>
      </c>
      <c r="M943">
        <v>17.139453565337899</v>
      </c>
      <c r="N943" s="7">
        <v>1.9771090951126999</v>
      </c>
      <c r="O943" s="7">
        <v>0.37494481157335002</v>
      </c>
      <c r="P943" s="7">
        <v>7.6557537585597002</v>
      </c>
      <c r="Q943" s="7">
        <v>0.71126321036889328</v>
      </c>
      <c r="U943">
        <v>0.4654610238995347</v>
      </c>
      <c r="AT943" s="4" t="s">
        <v>5377</v>
      </c>
    </row>
    <row r="944" spans="1:46">
      <c r="A944" s="2">
        <v>2865</v>
      </c>
      <c r="B944" t="s">
        <v>5378</v>
      </c>
      <c r="C944" t="s">
        <v>3014</v>
      </c>
      <c r="D944" t="s">
        <v>3778</v>
      </c>
      <c r="E944" s="4">
        <v>43465</v>
      </c>
      <c r="F944" s="11">
        <v>-17.41176471</v>
      </c>
      <c r="G944" s="11">
        <v>29.10447761</v>
      </c>
      <c r="H944" s="11">
        <v>22.074724596700001</v>
      </c>
      <c r="I944" s="11">
        <v>11.035825044799999</v>
      </c>
      <c r="J944" s="11">
        <v>3.6486823605000001</v>
      </c>
      <c r="K944" s="10">
        <v>1.0160616492050001</v>
      </c>
      <c r="L944" s="12">
        <v>1188000000</v>
      </c>
      <c r="M944">
        <v>20.129246746977099</v>
      </c>
      <c r="N944" s="7">
        <v>0.861422024306429</v>
      </c>
      <c r="O944" s="7">
        <v>0.50603111637855502</v>
      </c>
      <c r="P944" s="7">
        <v>-46.742838341646198</v>
      </c>
      <c r="Q944" s="7" t="s">
        <v>3698</v>
      </c>
      <c r="U944">
        <v>0.19359375100260262</v>
      </c>
      <c r="AT944" s="4" t="s">
        <v>5379</v>
      </c>
    </row>
    <row r="945" spans="1:46">
      <c r="A945" s="2">
        <v>459</v>
      </c>
      <c r="B945" t="s">
        <v>5380</v>
      </c>
      <c r="C945" t="s">
        <v>2869</v>
      </c>
      <c r="D945" t="s">
        <v>3752</v>
      </c>
      <c r="E945" s="4">
        <v>43465</v>
      </c>
      <c r="F945" s="11">
        <v>16.950698719999998</v>
      </c>
      <c r="G945" s="11">
        <v>29.084967320000001</v>
      </c>
      <c r="H945" s="11">
        <v>3.1595490335999998</v>
      </c>
      <c r="I945" s="11">
        <v>9.9440552072999999</v>
      </c>
      <c r="J945" s="11">
        <v>11.5508808699</v>
      </c>
      <c r="K945" s="10">
        <v>0.25310683219000002</v>
      </c>
      <c r="L945" s="12">
        <v>4676383041.4399996</v>
      </c>
      <c r="M945">
        <v>15.838619298340401</v>
      </c>
      <c r="N945" s="7">
        <v>1.18208379850629</v>
      </c>
      <c r="O945" s="7">
        <v>1.9831894741560401</v>
      </c>
      <c r="P945" s="7">
        <v>-5.6212941047924403</v>
      </c>
      <c r="Q945" s="7">
        <v>0.81566068515497547</v>
      </c>
      <c r="U945">
        <v>0.36227220453510173</v>
      </c>
      <c r="AT945" s="4" t="s">
        <v>5381</v>
      </c>
    </row>
    <row r="946" spans="1:46">
      <c r="A946" s="2">
        <v>2789</v>
      </c>
      <c r="B946" t="s">
        <v>5382</v>
      </c>
      <c r="C946" t="s">
        <v>3459</v>
      </c>
      <c r="D946" t="s">
        <v>3871</v>
      </c>
      <c r="E946" s="4">
        <v>43465</v>
      </c>
      <c r="F946" s="11">
        <v>-22.59125032</v>
      </c>
      <c r="G946" s="11">
        <v>29.0625</v>
      </c>
      <c r="H946" s="11">
        <v>-22.049082122800002</v>
      </c>
      <c r="I946" s="11">
        <v>18.8816666345</v>
      </c>
      <c r="J946" s="11">
        <v>76.240934167299997</v>
      </c>
      <c r="K946" s="10">
        <v>0.11381023227299999</v>
      </c>
      <c r="L946" s="12">
        <v>13206325803.860001</v>
      </c>
      <c r="M946">
        <v>-33.1722548409141</v>
      </c>
      <c r="N946" s="7">
        <v>0.62762204612332995</v>
      </c>
      <c r="O946" s="7">
        <v>1.92700787267416</v>
      </c>
      <c r="P946" s="7">
        <v>-3.8527107064691499</v>
      </c>
      <c r="Q946" s="7">
        <v>2.7027027027027026</v>
      </c>
      <c r="U946">
        <v>0.60271239489956518</v>
      </c>
      <c r="AT946" s="4" t="s">
        <v>5383</v>
      </c>
    </row>
    <row r="947" spans="1:46">
      <c r="A947" s="2">
        <v>2682</v>
      </c>
      <c r="B947" t="s">
        <v>5384</v>
      </c>
      <c r="C947" t="s">
        <v>150</v>
      </c>
      <c r="D947" t="s">
        <v>3849</v>
      </c>
      <c r="E947" s="4">
        <v>43465</v>
      </c>
      <c r="F947" s="11">
        <v>-31.25</v>
      </c>
      <c r="G947" s="11">
        <v>29.03225806</v>
      </c>
      <c r="H947" s="11">
        <v>6.5010281908999996</v>
      </c>
      <c r="I947" s="11">
        <v>11.838174562800001</v>
      </c>
      <c r="J947" s="11">
        <v>4.5490413263000002</v>
      </c>
      <c r="K947" s="10">
        <v>1.0556936947090001</v>
      </c>
      <c r="L947" s="12">
        <v>4492916957.9200001</v>
      </c>
      <c r="M947">
        <v>-58.074326928128698</v>
      </c>
      <c r="N947" s="7">
        <v>9.5193815669034905</v>
      </c>
      <c r="O947" s="7">
        <v>0.56240648052158704</v>
      </c>
      <c r="P947" s="7">
        <v>-1.5511035419399</v>
      </c>
      <c r="Q947" s="7" t="s">
        <v>3698</v>
      </c>
      <c r="U947">
        <v>7.3910286028444391E-2</v>
      </c>
      <c r="AT947" s="4" t="s">
        <v>5385</v>
      </c>
    </row>
    <row r="948" spans="1:46">
      <c r="A948" s="2">
        <v>1535</v>
      </c>
      <c r="B948" t="s">
        <v>5386</v>
      </c>
      <c r="C948" t="s">
        <v>3009</v>
      </c>
      <c r="D948" t="s">
        <v>3737</v>
      </c>
      <c r="E948" s="4">
        <v>43465</v>
      </c>
      <c r="F948" s="11">
        <v>-64.620288700000003</v>
      </c>
      <c r="G948" s="11">
        <v>28.971962619999999</v>
      </c>
      <c r="H948" s="11">
        <v>5.4871044897000001</v>
      </c>
      <c r="I948" s="11">
        <v>57.618428828900001</v>
      </c>
      <c r="J948" s="11">
        <v>2.7070075384000001</v>
      </c>
      <c r="K948" s="10">
        <v>0.45842340890900002</v>
      </c>
      <c r="L948" s="12">
        <v>5244494555.5200005</v>
      </c>
      <c r="M948">
        <v>90.991465297740405</v>
      </c>
      <c r="N948" s="7">
        <v>1.7629061351943101</v>
      </c>
      <c r="O948" s="7">
        <v>2.70222944588118</v>
      </c>
      <c r="P948" s="7">
        <v>7.8171984535379204</v>
      </c>
      <c r="Q948" s="7">
        <v>0.75376884422110557</v>
      </c>
      <c r="U948">
        <v>3.2815438656720826E-2</v>
      </c>
      <c r="AT948" s="4" t="s">
        <v>5387</v>
      </c>
    </row>
    <row r="949" spans="1:46">
      <c r="A949" s="2">
        <v>2344</v>
      </c>
      <c r="B949" t="s">
        <v>5388</v>
      </c>
      <c r="C949" t="s">
        <v>1105</v>
      </c>
      <c r="D949" t="s">
        <v>3871</v>
      </c>
      <c r="E949" s="4">
        <v>43465</v>
      </c>
      <c r="F949" s="11">
        <v>-24.952532340000001</v>
      </c>
      <c r="G949" s="11">
        <v>28.96551724</v>
      </c>
      <c r="H949" s="11">
        <v>-1.5589171073999999</v>
      </c>
      <c r="I949" s="11">
        <v>28.533180183799999</v>
      </c>
      <c r="J949" s="11">
        <v>15.634419042699999</v>
      </c>
      <c r="K949" s="10">
        <v>0.13029118063100001</v>
      </c>
      <c r="L949" s="12">
        <v>3810558479.1999998</v>
      </c>
      <c r="M949">
        <v>8.4825108981595196</v>
      </c>
      <c r="N949" s="7">
        <v>0.74178147257946803</v>
      </c>
      <c r="O949" s="7">
        <v>1.6345063445002199</v>
      </c>
      <c r="P949" s="7">
        <v>-7.9767683032134098</v>
      </c>
      <c r="Q949" s="7">
        <v>1.5860215053763442</v>
      </c>
      <c r="U949">
        <v>0.29144104536795423</v>
      </c>
      <c r="AT949" s="4" t="s">
        <v>5389</v>
      </c>
    </row>
    <row r="950" spans="1:46">
      <c r="A950" s="2">
        <v>3325</v>
      </c>
      <c r="B950" t="s">
        <v>5390</v>
      </c>
      <c r="C950" t="s">
        <v>276</v>
      </c>
      <c r="D950" t="s">
        <v>3737</v>
      </c>
      <c r="E950" s="4">
        <v>43465</v>
      </c>
      <c r="F950" s="11">
        <v>34.115627689999997</v>
      </c>
      <c r="G950" s="11">
        <v>28.951329650000002</v>
      </c>
      <c r="H950" s="11">
        <v>19.377963207200001</v>
      </c>
      <c r="I950" s="11">
        <v>41.645368211499999</v>
      </c>
      <c r="J950" s="11">
        <v>5.9337588167000002</v>
      </c>
      <c r="K950" s="10">
        <v>1.4335641664609999</v>
      </c>
      <c r="L950" s="12">
        <v>2249542472.7600002</v>
      </c>
      <c r="M950">
        <v>31.535544425476999</v>
      </c>
      <c r="N950" s="7">
        <v>6.36740839946017</v>
      </c>
      <c r="O950" s="7">
        <v>1.8934682827838201</v>
      </c>
      <c r="P950" s="7">
        <v>305.89831295210303</v>
      </c>
      <c r="Q950" s="7">
        <v>0.90373695229775119</v>
      </c>
      <c r="U950">
        <v>1.3290515186370342</v>
      </c>
      <c r="AT950" s="4" t="s">
        <v>5033</v>
      </c>
    </row>
    <row r="951" spans="1:46">
      <c r="A951" s="2">
        <v>2919</v>
      </c>
      <c r="B951" t="s">
        <v>5391</v>
      </c>
      <c r="C951" t="s">
        <v>573</v>
      </c>
      <c r="D951" t="s">
        <v>3858</v>
      </c>
      <c r="E951" s="4">
        <v>43465</v>
      </c>
      <c r="F951" s="11">
        <v>0.27659664</v>
      </c>
      <c r="G951" s="11">
        <v>28.951048950000001</v>
      </c>
      <c r="H951" s="11">
        <v>-9.4583020837999996</v>
      </c>
      <c r="I951" s="11">
        <v>18.011071682699999</v>
      </c>
      <c r="J951" s="11">
        <v>11.5027349449</v>
      </c>
      <c r="K951" s="10">
        <v>0.30522872174299998</v>
      </c>
      <c r="L951" s="12">
        <v>20009101178</v>
      </c>
      <c r="M951">
        <v>16.276457369525001</v>
      </c>
      <c r="N951" s="7">
        <v>1.9722955105069</v>
      </c>
      <c r="O951" s="7">
        <v>1.2950597966467701</v>
      </c>
      <c r="P951" s="7">
        <v>2.5769724577403301</v>
      </c>
      <c r="Q951" s="7">
        <v>1.7341040462427744</v>
      </c>
      <c r="U951">
        <v>0.48217276979333024</v>
      </c>
      <c r="AT951" s="4" t="s">
        <v>4539</v>
      </c>
    </row>
    <row r="952" spans="1:46">
      <c r="A952" s="2">
        <v>1593</v>
      </c>
      <c r="B952" t="s">
        <v>5392</v>
      </c>
      <c r="C952" t="s">
        <v>2966</v>
      </c>
      <c r="D952" t="s">
        <v>3713</v>
      </c>
      <c r="E952" s="4">
        <v>43465</v>
      </c>
      <c r="F952" s="11">
        <v>14.8269441</v>
      </c>
      <c r="G952" s="11">
        <v>28.94078399</v>
      </c>
      <c r="H952" s="11">
        <v>-8.7270682336000007</v>
      </c>
      <c r="I952" s="11">
        <v>44.495608674499998</v>
      </c>
      <c r="J952" s="11">
        <v>10.216651414399999</v>
      </c>
      <c r="K952" s="10">
        <v>0.27864916588400002</v>
      </c>
      <c r="L952" s="12">
        <v>3474631836</v>
      </c>
      <c r="M952">
        <v>50.022315976653204</v>
      </c>
      <c r="N952" s="7">
        <v>4.9745635441670197</v>
      </c>
      <c r="O952" s="7">
        <v>5.0510472047600796</v>
      </c>
      <c r="P952" s="7">
        <v>62.581720166327202</v>
      </c>
      <c r="Q952" s="7">
        <v>0.14926950710748163</v>
      </c>
      <c r="U952">
        <v>0.2110139835793923</v>
      </c>
      <c r="AT952" s="4" t="s">
        <v>5393</v>
      </c>
    </row>
    <row r="953" spans="1:46">
      <c r="A953" s="2">
        <v>1313</v>
      </c>
      <c r="B953" t="s">
        <v>5394</v>
      </c>
      <c r="C953" t="s">
        <v>1828</v>
      </c>
      <c r="D953" t="s">
        <v>3752</v>
      </c>
      <c r="E953" s="4">
        <v>43465</v>
      </c>
      <c r="F953" s="11">
        <v>-42.815912189999999</v>
      </c>
      <c r="G953" s="11">
        <v>28.874172189999999</v>
      </c>
      <c r="H953" s="11">
        <v>47.663243935200001</v>
      </c>
      <c r="I953" s="11">
        <v>27.208003453300002</v>
      </c>
      <c r="J953" s="11">
        <v>7.3316377252000002</v>
      </c>
      <c r="K953" s="10">
        <v>0.69802592941800001</v>
      </c>
      <c r="L953" s="12">
        <v>6919760647.4700003</v>
      </c>
      <c r="M953">
        <v>24.750330356817798</v>
      </c>
      <c r="N953" s="7">
        <v>1.84237846533104</v>
      </c>
      <c r="O953" s="7">
        <v>2.2507217982956802</v>
      </c>
      <c r="P953" s="7">
        <v>-44.334432710499499</v>
      </c>
      <c r="Q953" s="7">
        <v>1.283606540727199</v>
      </c>
      <c r="U953">
        <v>0.54050748608010979</v>
      </c>
      <c r="AT953" s="4" t="s">
        <v>5395</v>
      </c>
    </row>
    <row r="954" spans="1:46">
      <c r="A954" s="2">
        <v>615</v>
      </c>
      <c r="B954" t="s">
        <v>5396</v>
      </c>
      <c r="C954" t="s">
        <v>1119</v>
      </c>
      <c r="D954" t="s">
        <v>3713</v>
      </c>
      <c r="E954" s="4">
        <v>43465</v>
      </c>
      <c r="F954" s="11">
        <v>-12.77080958</v>
      </c>
      <c r="G954" s="11">
        <v>28.839590439999998</v>
      </c>
      <c r="H954" s="11">
        <v>23.526551982000001</v>
      </c>
      <c r="I954" s="11">
        <v>20.532001409700001</v>
      </c>
      <c r="J954" s="11">
        <v>8.7340591767000006</v>
      </c>
      <c r="K954" s="10">
        <v>0.76189858345499994</v>
      </c>
      <c r="L954" s="12">
        <v>3903372660.3000002</v>
      </c>
      <c r="M954">
        <v>45.856358092515002</v>
      </c>
      <c r="N954" s="7">
        <v>2.2821808409734001</v>
      </c>
      <c r="O954" s="7">
        <v>2.5769033116789402</v>
      </c>
      <c r="P954" s="7">
        <v>11.307697570992801</v>
      </c>
      <c r="Q954" s="7" t="s">
        <v>3698</v>
      </c>
      <c r="U954">
        <v>0.20433586550150781</v>
      </c>
      <c r="AT954" s="4" t="s">
        <v>5397</v>
      </c>
    </row>
    <row r="955" spans="1:46">
      <c r="A955" s="2">
        <v>1158</v>
      </c>
      <c r="B955" t="s">
        <v>5398</v>
      </c>
      <c r="C955" t="s">
        <v>2613</v>
      </c>
      <c r="D955" t="s">
        <v>3790</v>
      </c>
      <c r="E955" s="4">
        <v>43465</v>
      </c>
      <c r="F955" s="11">
        <v>-22.71366591</v>
      </c>
      <c r="G955" s="11">
        <v>28.808864270000001</v>
      </c>
      <c r="H955" s="11">
        <v>55.843841304000001</v>
      </c>
      <c r="I955" s="11">
        <v>18.778461501300001</v>
      </c>
      <c r="J955" s="11">
        <v>3.9530503194</v>
      </c>
      <c r="K955" s="10">
        <v>0.37792110571300003</v>
      </c>
      <c r="L955" s="12">
        <v>4326961842.7200003</v>
      </c>
      <c r="M955">
        <v>-40.623416910545103</v>
      </c>
      <c r="N955" s="7">
        <v>-270.37907224557</v>
      </c>
      <c r="O955" s="7">
        <v>6.0829744548620202</v>
      </c>
      <c r="P955" s="7">
        <v>-29.5135071833135</v>
      </c>
      <c r="Q955" s="7">
        <v>0.11757789535567313</v>
      </c>
      <c r="U955">
        <v>9.463025813723748E-2</v>
      </c>
      <c r="AT955" s="4" t="s">
        <v>4306</v>
      </c>
    </row>
    <row r="956" spans="1:46">
      <c r="A956" s="2">
        <v>2800</v>
      </c>
      <c r="B956" t="s">
        <v>5399</v>
      </c>
      <c r="C956" t="s">
        <v>1268</v>
      </c>
      <c r="D956" t="s">
        <v>3752</v>
      </c>
      <c r="E956" s="4">
        <v>43465</v>
      </c>
      <c r="F956" s="11">
        <v>-5.2139037400000001</v>
      </c>
      <c r="G956" s="11">
        <v>28.779599269999999</v>
      </c>
      <c r="H956" s="11">
        <v>8.2598031468999995</v>
      </c>
      <c r="I956" s="11">
        <v>28.396670352299999</v>
      </c>
      <c r="J956" s="11">
        <v>14.2980855787</v>
      </c>
      <c r="K956" s="10">
        <v>0.39181869025900001</v>
      </c>
      <c r="L956" s="12">
        <v>4988938784.04</v>
      </c>
      <c r="M956">
        <v>15.128114281417499</v>
      </c>
      <c r="N956" s="7">
        <v>1.7804824987202801</v>
      </c>
      <c r="O956" s="7">
        <v>2.7317754033522301</v>
      </c>
      <c r="P956" s="7">
        <v>24.244010547636002</v>
      </c>
      <c r="Q956" s="7" t="s">
        <v>3698</v>
      </c>
      <c r="U956">
        <v>0.26802958114011455</v>
      </c>
      <c r="AT956" s="4" t="s">
        <v>5383</v>
      </c>
    </row>
    <row r="957" spans="1:46">
      <c r="A957" s="2">
        <v>995</v>
      </c>
      <c r="B957" t="s">
        <v>5400</v>
      </c>
      <c r="C957" t="s">
        <v>2175</v>
      </c>
      <c r="D957" t="s">
        <v>3721</v>
      </c>
      <c r="E957" s="4">
        <v>43465</v>
      </c>
      <c r="F957" s="11">
        <v>-13.810202009999999</v>
      </c>
      <c r="G957" s="11">
        <v>28.733766230000001</v>
      </c>
      <c r="H957" s="11">
        <v>17.6316995844</v>
      </c>
      <c r="I957" s="11">
        <v>26.4266726269</v>
      </c>
      <c r="J957" s="11">
        <v>13.150932793500001</v>
      </c>
      <c r="K957" s="10">
        <v>0.496072840869</v>
      </c>
      <c r="L957" s="12">
        <v>32505518566.080002</v>
      </c>
      <c r="M957">
        <v>29.069111818468201</v>
      </c>
      <c r="N957" s="7">
        <v>1.6243579306572999</v>
      </c>
      <c r="O957" s="7">
        <v>2.6516890686104602</v>
      </c>
      <c r="P957" s="7">
        <v>224.90902080408799</v>
      </c>
      <c r="Q957" s="7">
        <v>1.1461318051575931</v>
      </c>
      <c r="U957">
        <v>0.29875076240827053</v>
      </c>
      <c r="AT957" s="4" t="s">
        <v>5401</v>
      </c>
    </row>
    <row r="958" spans="1:46">
      <c r="A958" s="2">
        <v>1695</v>
      </c>
      <c r="B958" t="s">
        <v>5402</v>
      </c>
      <c r="C958" t="s">
        <v>858</v>
      </c>
      <c r="D958" t="s">
        <v>3721</v>
      </c>
      <c r="E958" s="4">
        <v>43465</v>
      </c>
      <c r="F958" s="11">
        <v>-37.405447080000002</v>
      </c>
      <c r="G958" s="11">
        <v>28.683385579999999</v>
      </c>
      <c r="H958" s="11">
        <v>-24.390588093800002</v>
      </c>
      <c r="I958" s="11">
        <v>32.674792475099999</v>
      </c>
      <c r="J958" s="11">
        <v>-10.677835933400001</v>
      </c>
      <c r="K958" s="10">
        <v>0.23615163355499999</v>
      </c>
      <c r="L958" s="12">
        <v>27170679250</v>
      </c>
      <c r="M958">
        <v>-269.97100734468597</v>
      </c>
      <c r="N958" s="7">
        <v>1.87282905084066</v>
      </c>
      <c r="O958" s="7">
        <v>5.0855644596757399</v>
      </c>
      <c r="P958" s="7">
        <v>106.80661938541201</v>
      </c>
      <c r="Q958" s="7" t="s">
        <v>3698</v>
      </c>
      <c r="U958">
        <v>-0.10489482702768388</v>
      </c>
      <c r="AT958" s="4" t="s">
        <v>5403</v>
      </c>
    </row>
    <row r="959" spans="1:46">
      <c r="A959" s="2">
        <v>43</v>
      </c>
      <c r="B959" t="s">
        <v>5404</v>
      </c>
      <c r="C959" t="s">
        <v>2922</v>
      </c>
      <c r="D959" t="s">
        <v>3721</v>
      </c>
      <c r="E959" s="4">
        <v>43465</v>
      </c>
      <c r="F959" s="11">
        <v>-23.589743590000001</v>
      </c>
      <c r="G959" s="11">
        <v>28.670120900000001</v>
      </c>
      <c r="H959" s="11">
        <v>-13.7704271487</v>
      </c>
      <c r="I959" s="11">
        <v>10.2256292889</v>
      </c>
      <c r="J959" s="11">
        <v>-4.8966381743999996</v>
      </c>
      <c r="K959" s="10">
        <v>0.28868156535400002</v>
      </c>
      <c r="L959" s="12">
        <v>5816529713.96</v>
      </c>
      <c r="M959">
        <v>-137.88001106383399</v>
      </c>
      <c r="N959" s="7">
        <v>1.2473096168097599</v>
      </c>
      <c r="O959" s="7">
        <v>2.0045694703973198</v>
      </c>
      <c r="P959" s="7">
        <v>9.0712699175235407</v>
      </c>
      <c r="Q959" s="7" t="s">
        <v>3698</v>
      </c>
      <c r="U959">
        <v>-4.4947754497167036E-2</v>
      </c>
      <c r="AT959" s="4" t="s">
        <v>5405</v>
      </c>
    </row>
    <row r="960" spans="1:46">
      <c r="A960" s="2">
        <v>718</v>
      </c>
      <c r="B960" t="s">
        <v>5406</v>
      </c>
      <c r="C960" t="s">
        <v>80</v>
      </c>
      <c r="D960" t="s">
        <v>3778</v>
      </c>
      <c r="E960" s="4">
        <v>43465</v>
      </c>
      <c r="F960" s="11">
        <v>-36.393805309999998</v>
      </c>
      <c r="G960" s="11">
        <v>28.635346760000001</v>
      </c>
      <c r="H960" s="11">
        <v>26.170315668899999</v>
      </c>
      <c r="I960" s="11">
        <v>6.4709202819999998</v>
      </c>
      <c r="J960" s="11">
        <v>-130.60445092449999</v>
      </c>
      <c r="K960" s="10">
        <v>0.45168701149099999</v>
      </c>
      <c r="L960" s="12">
        <v>17409650067.389999</v>
      </c>
      <c r="M960">
        <v>-12.2109139570296</v>
      </c>
      <c r="N960" s="7">
        <v>56.2363636264365</v>
      </c>
      <c r="O960" s="7">
        <v>4.38397998405115</v>
      </c>
      <c r="P960" s="7">
        <v>2022.8371547822101</v>
      </c>
      <c r="Q960" s="7" t="s">
        <v>3698</v>
      </c>
      <c r="U960">
        <v>-1.421993780281344</v>
      </c>
      <c r="AT960" s="4" t="s">
        <v>5407</v>
      </c>
    </row>
    <row r="961" spans="1:46">
      <c r="A961" s="2">
        <v>445</v>
      </c>
      <c r="B961" t="s">
        <v>5408</v>
      </c>
      <c r="C961" t="s">
        <v>1965</v>
      </c>
      <c r="D961" t="s">
        <v>3752</v>
      </c>
      <c r="E961" s="4">
        <v>43465</v>
      </c>
      <c r="F961" s="11">
        <v>-30.260473699999999</v>
      </c>
      <c r="G961" s="11">
        <v>28.571428569999998</v>
      </c>
      <c r="H961" s="11">
        <v>2.0569584587</v>
      </c>
      <c r="I961" s="11">
        <v>40.143359869900003</v>
      </c>
      <c r="J961" s="11">
        <v>9.4493737446000008</v>
      </c>
      <c r="K961" s="10">
        <v>0.576378864213</v>
      </c>
      <c r="L961" s="12">
        <v>2290800000</v>
      </c>
      <c r="M961">
        <v>26.4417227106523</v>
      </c>
      <c r="N961" s="7">
        <v>2.5427575386421202</v>
      </c>
      <c r="O961" s="7">
        <v>2.1290732358753699</v>
      </c>
      <c r="P961" s="7">
        <v>34.768791831983997</v>
      </c>
      <c r="Q961" s="7">
        <v>0.46511627906976744</v>
      </c>
      <c r="U961">
        <v>0.20860350675355449</v>
      </c>
      <c r="AT961" s="4" t="s">
        <v>5409</v>
      </c>
    </row>
    <row r="962" spans="1:46">
      <c r="A962" s="2">
        <v>1643</v>
      </c>
      <c r="B962" t="s">
        <v>5410</v>
      </c>
      <c r="C962" t="s">
        <v>3364</v>
      </c>
      <c r="D962" t="s">
        <v>3752</v>
      </c>
      <c r="E962" s="4">
        <v>43465</v>
      </c>
      <c r="F962" s="11">
        <v>-9.92633133</v>
      </c>
      <c r="G962" s="11">
        <v>28.571428569999998</v>
      </c>
      <c r="H962" s="11">
        <v>12.4902575647</v>
      </c>
      <c r="I962" s="11">
        <v>18.027494495700001</v>
      </c>
      <c r="J962" s="11">
        <v>1.2896584824999999</v>
      </c>
      <c r="K962" s="10">
        <v>0.83185402710400003</v>
      </c>
      <c r="L962" s="12">
        <v>5331448358.1000004</v>
      </c>
      <c r="M962">
        <v>-107.937450740321</v>
      </c>
      <c r="N962" s="7">
        <v>1.32720103024659</v>
      </c>
      <c r="O962" s="7">
        <v>0.80859567635282703</v>
      </c>
      <c r="P962" s="7">
        <v>-17.2286095711653</v>
      </c>
      <c r="Q962" s="7">
        <v>1.0699001426533523</v>
      </c>
      <c r="U962">
        <v>0.106188867720186</v>
      </c>
      <c r="AT962" s="4" t="s">
        <v>4668</v>
      </c>
    </row>
    <row r="963" spans="1:46">
      <c r="A963" s="2">
        <v>1852</v>
      </c>
      <c r="B963" t="s">
        <v>5411</v>
      </c>
      <c r="C963" t="s">
        <v>761</v>
      </c>
      <c r="D963" t="s">
        <v>3761</v>
      </c>
      <c r="E963" s="4">
        <v>43465</v>
      </c>
      <c r="F963" s="11">
        <v>-2.26640014</v>
      </c>
      <c r="G963" s="11">
        <v>28.532608700000001</v>
      </c>
      <c r="H963" s="11">
        <v>76.308841125100003</v>
      </c>
      <c r="I963" s="11">
        <v>44.543703214300002</v>
      </c>
      <c r="J963" s="11">
        <v>19.8362963567</v>
      </c>
      <c r="K963" s="10">
        <v>0.38302464397899999</v>
      </c>
      <c r="L963" s="12">
        <v>9373339521</v>
      </c>
      <c r="M963">
        <v>15.360042101783099</v>
      </c>
      <c r="N963" s="7">
        <v>3.8667564673575598</v>
      </c>
      <c r="O963" s="7">
        <v>2.8194883636717099</v>
      </c>
      <c r="P963" s="7">
        <v>-8.1819903763532604</v>
      </c>
      <c r="Q963" s="7">
        <v>1.0696517412935325</v>
      </c>
      <c r="U963">
        <v>0.65061472371797846</v>
      </c>
      <c r="AT963" s="4" t="s">
        <v>3746</v>
      </c>
    </row>
    <row r="964" spans="1:46">
      <c r="A964" s="2">
        <v>2584</v>
      </c>
      <c r="B964" t="s">
        <v>5412</v>
      </c>
      <c r="C964" t="s">
        <v>3049</v>
      </c>
      <c r="D964" t="s">
        <v>3718</v>
      </c>
      <c r="E964" s="4">
        <v>43465</v>
      </c>
      <c r="F964" s="11">
        <v>-36.036036039999999</v>
      </c>
      <c r="G964" s="11">
        <v>28.50082372</v>
      </c>
      <c r="H964" s="11">
        <v>-0.14322033419999999</v>
      </c>
      <c r="I964" s="11">
        <v>21.440014797</v>
      </c>
      <c r="J964" s="11">
        <v>-5.4902605886</v>
      </c>
      <c r="K964" s="10">
        <v>0.57023192093700004</v>
      </c>
      <c r="L964" s="12">
        <v>2488495043.6300001</v>
      </c>
      <c r="M964">
        <v>-25.554731270812599</v>
      </c>
      <c r="N964" s="7">
        <v>1.25111414873661</v>
      </c>
      <c r="O964" s="7">
        <v>0.95717293481993904</v>
      </c>
      <c r="P964" s="7">
        <v>22.838119728370302</v>
      </c>
      <c r="Q964" s="7" t="s">
        <v>3698</v>
      </c>
      <c r="U964">
        <v>-0.39115624275428718</v>
      </c>
      <c r="AT964" s="4" t="s">
        <v>5413</v>
      </c>
    </row>
    <row r="965" spans="1:46">
      <c r="A965" s="2">
        <v>3015</v>
      </c>
      <c r="B965" t="s">
        <v>5414</v>
      </c>
      <c r="C965" t="s">
        <v>776</v>
      </c>
      <c r="D965" t="s">
        <v>3737</v>
      </c>
      <c r="E965" s="4">
        <v>43465</v>
      </c>
      <c r="F965" s="11">
        <v>-12.564295019999999</v>
      </c>
      <c r="G965" s="11">
        <v>28.390461999999999</v>
      </c>
      <c r="H965" s="11">
        <v>25.529363745600001</v>
      </c>
      <c r="I965" s="11">
        <v>45.098156272700002</v>
      </c>
      <c r="J965" s="11">
        <v>7.4883993622</v>
      </c>
      <c r="K965" s="10">
        <v>0.77370310359100003</v>
      </c>
      <c r="L965" s="12">
        <v>6390818657.4399996</v>
      </c>
      <c r="M965">
        <v>20.844302095018399</v>
      </c>
      <c r="N965" s="7">
        <v>2.5642848569212102</v>
      </c>
      <c r="O965" s="7">
        <v>2.68809741928948</v>
      </c>
      <c r="P965" s="7">
        <v>18.391105692723201</v>
      </c>
      <c r="Q965" s="7">
        <v>0.87565674255691772</v>
      </c>
      <c r="U965">
        <v>0.40878398348572148</v>
      </c>
      <c r="AT965" s="4" t="s">
        <v>5415</v>
      </c>
    </row>
    <row r="966" spans="1:46">
      <c r="A966" s="2">
        <v>246</v>
      </c>
      <c r="B966" t="s">
        <v>5416</v>
      </c>
      <c r="C966" t="s">
        <v>1493</v>
      </c>
      <c r="D966" t="s">
        <v>3769</v>
      </c>
      <c r="E966" s="4">
        <v>43465</v>
      </c>
      <c r="F966" s="11">
        <v>-22.80098147</v>
      </c>
      <c r="G966" s="11">
        <v>28.383458650000001</v>
      </c>
      <c r="H966" s="11">
        <v>21.868707237999999</v>
      </c>
      <c r="I966" s="11">
        <v>19.199816797299999</v>
      </c>
      <c r="J966" s="11">
        <v>2.4857181903000001</v>
      </c>
      <c r="K966" s="10">
        <v>1.117250810074</v>
      </c>
      <c r="L966" s="12">
        <v>2489065550.1599998</v>
      </c>
      <c r="M966">
        <v>68.645462512924198</v>
      </c>
      <c r="N966" s="7">
        <v>1.47157401284898</v>
      </c>
      <c r="O966" s="7">
        <v>0.61445297075197303</v>
      </c>
      <c r="P966" s="7">
        <v>-428.94180308722002</v>
      </c>
      <c r="Q966" s="7" t="s">
        <v>3698</v>
      </c>
      <c r="U966">
        <v>0.15435816939418032</v>
      </c>
      <c r="AT966" s="4" t="s">
        <v>5417</v>
      </c>
    </row>
    <row r="967" spans="1:46">
      <c r="A967" s="2">
        <v>1733</v>
      </c>
      <c r="B967" t="s">
        <v>5418</v>
      </c>
      <c r="C967" t="s">
        <v>586</v>
      </c>
      <c r="D967" t="s">
        <v>3713</v>
      </c>
      <c r="E967" s="4">
        <v>43465</v>
      </c>
      <c r="F967" s="11">
        <v>25.266545000000001</v>
      </c>
      <c r="G967" s="11">
        <v>28.287048410000001</v>
      </c>
      <c r="H967" s="11">
        <v>118.7582368193</v>
      </c>
      <c r="I967" s="11">
        <v>27.274231608600001</v>
      </c>
      <c r="J967" s="11">
        <v>12.0845229957</v>
      </c>
      <c r="K967" s="10">
        <v>0.64899202598700001</v>
      </c>
      <c r="L967" s="12">
        <v>3794571296.0500002</v>
      </c>
      <c r="M967">
        <v>30.5003466804217</v>
      </c>
      <c r="N967" s="7">
        <v>6.3228910603542898</v>
      </c>
      <c r="O967" s="7">
        <v>3.5691433907828101</v>
      </c>
      <c r="P967" s="7">
        <v>402.645740082705</v>
      </c>
      <c r="Q967" s="7">
        <v>0.19967532484317374</v>
      </c>
      <c r="U967">
        <v>1.3105655082693426</v>
      </c>
      <c r="AT967" s="4" t="s">
        <v>5419</v>
      </c>
    </row>
    <row r="968" spans="1:46">
      <c r="A968" s="2">
        <v>927</v>
      </c>
      <c r="B968" t="s">
        <v>5420</v>
      </c>
      <c r="C968" t="s">
        <v>1608</v>
      </c>
      <c r="D968" t="s">
        <v>3811</v>
      </c>
      <c r="E968" s="4">
        <v>43465</v>
      </c>
      <c r="F968" s="11">
        <v>2.58574284</v>
      </c>
      <c r="G968" s="11">
        <v>28.23129252</v>
      </c>
      <c r="H968" s="11">
        <v>0.2605030914</v>
      </c>
      <c r="I968" s="11">
        <v>2.6244947268000001</v>
      </c>
      <c r="J968" s="11">
        <v>-0.1230377101</v>
      </c>
      <c r="K968" s="10">
        <v>5.0143619473419996</v>
      </c>
      <c r="L968" s="12">
        <v>1375269923.5</v>
      </c>
      <c r="M968">
        <v>29.658697468072798</v>
      </c>
      <c r="N968" s="7">
        <v>1.48165462220142</v>
      </c>
      <c r="O968" s="7">
        <v>0.12079114969458001</v>
      </c>
      <c r="P968" s="7">
        <v>4.3474462778538197</v>
      </c>
      <c r="Q968" s="7">
        <v>3.3167495854063018</v>
      </c>
      <c r="U968">
        <v>-7.4817593981525779E-2</v>
      </c>
      <c r="AT968" s="4" t="s">
        <v>5421</v>
      </c>
    </row>
    <row r="969" spans="1:46">
      <c r="A969" s="2">
        <v>2107</v>
      </c>
      <c r="B969" t="s">
        <v>5422</v>
      </c>
      <c r="C969" t="s">
        <v>1519</v>
      </c>
      <c r="D969" t="s">
        <v>3713</v>
      </c>
      <c r="E969" s="4">
        <v>43465</v>
      </c>
      <c r="F969" s="11">
        <v>-5.3663971200000002</v>
      </c>
      <c r="G969" s="11">
        <v>28.20919176</v>
      </c>
      <c r="H969" s="11">
        <v>20.530926057999999</v>
      </c>
      <c r="I969" s="11">
        <v>29.799214824700002</v>
      </c>
      <c r="J969" s="11">
        <v>15.436118035</v>
      </c>
      <c r="K969" s="10">
        <v>0.56384906424500003</v>
      </c>
      <c r="L969" s="12">
        <v>2802080000</v>
      </c>
      <c r="M969">
        <v>49.068495631571203</v>
      </c>
      <c r="N969" s="7">
        <v>3.7511739660554699</v>
      </c>
      <c r="O969" s="7">
        <v>6.6734788556290399</v>
      </c>
      <c r="P969" s="7">
        <v>75.525889321368794</v>
      </c>
      <c r="Q969" s="7">
        <v>0.4230710074339914</v>
      </c>
      <c r="U969">
        <v>0.80614558867647057</v>
      </c>
      <c r="AT969" s="4" t="s">
        <v>5423</v>
      </c>
    </row>
    <row r="970" spans="1:46">
      <c r="A970" s="2">
        <v>1928</v>
      </c>
      <c r="B970" t="s">
        <v>5424</v>
      </c>
      <c r="C970" t="s">
        <v>1459</v>
      </c>
      <c r="D970" t="s">
        <v>3718</v>
      </c>
      <c r="E970" s="4">
        <v>43465</v>
      </c>
      <c r="F970" s="11">
        <v>-8.9801852100000001</v>
      </c>
      <c r="G970" s="11">
        <v>28.202247190000001</v>
      </c>
      <c r="H970" s="11">
        <v>3.5673396443000001</v>
      </c>
      <c r="I970" s="11">
        <v>50.2170856933</v>
      </c>
      <c r="J970" s="11">
        <v>12.2071934678</v>
      </c>
      <c r="K970" s="10">
        <v>0.350459652738</v>
      </c>
      <c r="L970" s="12">
        <v>1722876780</v>
      </c>
      <c r="M970">
        <v>38.043403513732599</v>
      </c>
      <c r="N970" s="7">
        <v>2.88927887584479</v>
      </c>
      <c r="O970" s="7">
        <v>4.8934521586098398</v>
      </c>
      <c r="P970" s="7">
        <v>-83.786182707903293</v>
      </c>
      <c r="Q970" s="7">
        <v>0.35259549461312434</v>
      </c>
      <c r="U970">
        <v>0.20206290824255702</v>
      </c>
      <c r="AT970" s="4" t="s">
        <v>4499</v>
      </c>
    </row>
    <row r="971" spans="1:46">
      <c r="A971" s="2">
        <v>2206</v>
      </c>
      <c r="B971" t="s">
        <v>5425</v>
      </c>
      <c r="C971" t="s">
        <v>1370</v>
      </c>
      <c r="D971" t="s">
        <v>3785</v>
      </c>
      <c r="E971" s="4">
        <v>43465</v>
      </c>
      <c r="F971" s="11">
        <v>-7.3194540799999999</v>
      </c>
      <c r="G971" s="11">
        <v>28.18181818</v>
      </c>
      <c r="H971" s="11">
        <v>4.8695066485999998</v>
      </c>
      <c r="I971" s="11">
        <v>37.969692382700003</v>
      </c>
      <c r="J971" s="11">
        <v>10.046604242400001</v>
      </c>
      <c r="K971" s="10">
        <v>0.36357598530500002</v>
      </c>
      <c r="L971" s="12">
        <v>5045437816.3199997</v>
      </c>
      <c r="M971">
        <v>36.3092731992339</v>
      </c>
      <c r="N971" s="7">
        <v>1.3182885284079</v>
      </c>
      <c r="O971" s="7">
        <v>3.0929144524005001</v>
      </c>
      <c r="P971" s="7">
        <v>5988.5586261649796</v>
      </c>
      <c r="Q971" s="7">
        <v>1.1976047904191618</v>
      </c>
      <c r="U971">
        <v>0.21280020257650553</v>
      </c>
      <c r="AT971" s="4" t="s">
        <v>5426</v>
      </c>
    </row>
    <row r="972" spans="1:46">
      <c r="A972" s="2">
        <v>1402</v>
      </c>
      <c r="B972" t="s">
        <v>5427</v>
      </c>
      <c r="C972" t="s">
        <v>829</v>
      </c>
      <c r="D972" t="s">
        <v>3889</v>
      </c>
      <c r="E972" s="4">
        <v>43465</v>
      </c>
      <c r="F972" s="11">
        <v>-23.452113730000001</v>
      </c>
      <c r="G972" s="11">
        <v>28.165771299999999</v>
      </c>
      <c r="H972" s="11">
        <v>-8.2393403532999994</v>
      </c>
      <c r="I972" s="11">
        <v>26.866058948799999</v>
      </c>
      <c r="J972" s="11">
        <v>7.8205439964999997</v>
      </c>
      <c r="K972" s="10">
        <v>0.67471033945400005</v>
      </c>
      <c r="L972" s="12">
        <v>3290224916</v>
      </c>
      <c r="M972">
        <v>23.3346575529505</v>
      </c>
      <c r="N972" s="7">
        <v>1.80274633177038</v>
      </c>
      <c r="O972" s="7">
        <v>1.6622524562457801</v>
      </c>
      <c r="P972" s="7">
        <v>-8.87348058153305</v>
      </c>
      <c r="Q972" s="7">
        <v>1.9649122807017541</v>
      </c>
      <c r="U972">
        <v>0.58792227983630951</v>
      </c>
      <c r="AT972" s="4" t="s">
        <v>5428</v>
      </c>
    </row>
    <row r="973" spans="1:46">
      <c r="A973" s="2">
        <v>1868</v>
      </c>
      <c r="B973" t="s">
        <v>5429</v>
      </c>
      <c r="C973" t="s">
        <v>2411</v>
      </c>
      <c r="D973" t="s">
        <v>3761</v>
      </c>
      <c r="E973" s="4">
        <v>43465</v>
      </c>
      <c r="F973" s="11">
        <v>-16.2705196</v>
      </c>
      <c r="G973" s="11">
        <v>28.165137609999999</v>
      </c>
      <c r="H973" s="11">
        <v>32.427347507599997</v>
      </c>
      <c r="I973" s="11">
        <v>27.2695238654</v>
      </c>
      <c r="J973" s="11">
        <v>14.733763103799999</v>
      </c>
      <c r="K973" s="10">
        <v>0.441798240605</v>
      </c>
      <c r="L973" s="12">
        <v>7539132553.5900002</v>
      </c>
      <c r="M973">
        <v>27.072252185192301</v>
      </c>
      <c r="N973" s="7">
        <v>1.4934644082128901</v>
      </c>
      <c r="O973" s="7">
        <v>4.1628978793489599</v>
      </c>
      <c r="P973" s="7">
        <v>-22.510471184861998</v>
      </c>
      <c r="Q973" s="7">
        <v>0.77399380804953566</v>
      </c>
      <c r="U973">
        <v>0.48872232350663941</v>
      </c>
      <c r="AT973" s="4" t="s">
        <v>5265</v>
      </c>
    </row>
    <row r="974" spans="1:46">
      <c r="A974" s="2">
        <v>1026</v>
      </c>
      <c r="B974" t="s">
        <v>5430</v>
      </c>
      <c r="C974" t="s">
        <v>2015</v>
      </c>
      <c r="D974" t="s">
        <v>3785</v>
      </c>
      <c r="E974" s="4">
        <v>43465</v>
      </c>
      <c r="F974" s="11">
        <v>-33.978234579999999</v>
      </c>
      <c r="G974" s="11">
        <v>28.16229117</v>
      </c>
      <c r="H974" s="11">
        <v>14.5778652189</v>
      </c>
      <c r="I974" s="11">
        <v>42.0865701552</v>
      </c>
      <c r="J974" s="11">
        <v>-22.691540825800001</v>
      </c>
      <c r="K974" s="10">
        <v>0.22444062772100001</v>
      </c>
      <c r="L974" s="12">
        <v>6028798223.6499996</v>
      </c>
      <c r="M974">
        <v>-205.261744095296</v>
      </c>
      <c r="N974" s="7">
        <v>2.9739600561594699</v>
      </c>
      <c r="O974" s="7">
        <v>10.083416697776</v>
      </c>
      <c r="P974" s="7">
        <v>108.32612034912199</v>
      </c>
      <c r="Q974" s="7" t="s">
        <v>3698</v>
      </c>
      <c r="U974">
        <v>-8.6168020534281211E-3</v>
      </c>
      <c r="AT974" s="4" t="s">
        <v>5431</v>
      </c>
    </row>
    <row r="975" spans="1:46">
      <c r="A975" s="2">
        <v>1664</v>
      </c>
      <c r="B975" t="s">
        <v>5432</v>
      </c>
      <c r="C975" t="s">
        <v>2285</v>
      </c>
      <c r="D975" t="s">
        <v>3737</v>
      </c>
      <c r="E975" s="4">
        <v>43465</v>
      </c>
      <c r="F975" s="11">
        <v>-3.3582091799999998</v>
      </c>
      <c r="G975" s="11">
        <v>28.10810811</v>
      </c>
      <c r="H975" s="11">
        <v>27.089222461599999</v>
      </c>
      <c r="I975" s="11">
        <v>21.945190775899999</v>
      </c>
      <c r="J975" s="11">
        <v>7.5046469591999996</v>
      </c>
      <c r="K975" s="10">
        <v>0.41722593575099998</v>
      </c>
      <c r="L975" s="12">
        <v>37222968919.150002</v>
      </c>
      <c r="M975">
        <v>64.648203993677797</v>
      </c>
      <c r="N975" s="7">
        <v>2.28635659184551</v>
      </c>
      <c r="O975" s="7">
        <v>3.9374401209466798</v>
      </c>
      <c r="P975" s="7">
        <v>30.8873227625159</v>
      </c>
      <c r="Q975" s="7">
        <v>0.66383271009052436</v>
      </c>
      <c r="U975">
        <v>7.3227563225867515E-2</v>
      </c>
      <c r="AT975" s="4" t="s">
        <v>4056</v>
      </c>
    </row>
    <row r="976" spans="1:46">
      <c r="A976" s="2">
        <v>1175</v>
      </c>
      <c r="B976" t="s">
        <v>5433</v>
      </c>
      <c r="C976" t="s">
        <v>833</v>
      </c>
      <c r="D976" t="s">
        <v>4046</v>
      </c>
      <c r="E976" s="4">
        <v>43465</v>
      </c>
      <c r="F976" s="11">
        <v>-39.477515400000001</v>
      </c>
      <c r="G976" s="11">
        <v>28.094462539999999</v>
      </c>
      <c r="H976" s="11">
        <v>8.7698687935000006</v>
      </c>
      <c r="I976" s="11">
        <v>23.758774621899999</v>
      </c>
      <c r="J976" s="11">
        <v>10.8293889932</v>
      </c>
      <c r="K976" s="10">
        <v>0.75884923742300003</v>
      </c>
      <c r="L976" s="12">
        <v>9430934543.6599998</v>
      </c>
      <c r="M976">
        <v>19.199833189683002</v>
      </c>
      <c r="N976" s="7">
        <v>2.7759393192132502</v>
      </c>
      <c r="O976" s="7">
        <v>1.84193188013331</v>
      </c>
      <c r="P976" s="7">
        <v>28.874447576848201</v>
      </c>
      <c r="Q976" s="7">
        <v>0.53030303030303028</v>
      </c>
      <c r="U976">
        <v>0.6510112647117644</v>
      </c>
      <c r="AT976" s="4" t="s">
        <v>4749</v>
      </c>
    </row>
    <row r="977" spans="1:46">
      <c r="A977" s="2">
        <v>60</v>
      </c>
      <c r="B977" t="s">
        <v>5434</v>
      </c>
      <c r="C977" t="s">
        <v>1339</v>
      </c>
      <c r="D977" t="s">
        <v>3871</v>
      </c>
      <c r="E977" s="4">
        <v>43465</v>
      </c>
      <c r="F977" s="11">
        <v>0.24190892</v>
      </c>
      <c r="G977" s="11">
        <v>28.04988766</v>
      </c>
      <c r="H977" s="11">
        <v>13.700875460000001</v>
      </c>
      <c r="I977" s="11">
        <v>60.349218647699999</v>
      </c>
      <c r="J977" s="11">
        <v>23.460280709300001</v>
      </c>
      <c r="K977" s="10">
        <v>0.188191824285</v>
      </c>
      <c r="L977" s="12">
        <v>2781880000</v>
      </c>
      <c r="M977">
        <v>6.4621678374724203</v>
      </c>
      <c r="N977" s="7">
        <v>0.88244026692731803</v>
      </c>
      <c r="O977" s="7">
        <v>1.0962237050867101</v>
      </c>
      <c r="P977" s="7">
        <v>6.0930965690698997</v>
      </c>
      <c r="Q977" s="7">
        <v>4.354972486848399</v>
      </c>
      <c r="U977">
        <v>1.2906832621455648</v>
      </c>
      <c r="AT977" s="4" t="s">
        <v>5435</v>
      </c>
    </row>
    <row r="978" spans="1:46">
      <c r="A978" s="2">
        <v>1458</v>
      </c>
      <c r="B978" t="s">
        <v>5436</v>
      </c>
      <c r="C978" t="s">
        <v>3292</v>
      </c>
      <c r="D978" t="s">
        <v>3721</v>
      </c>
      <c r="E978" s="4">
        <v>43465</v>
      </c>
      <c r="F978" s="11">
        <v>-73.146148310000001</v>
      </c>
      <c r="G978" s="11">
        <v>28.027681659999999</v>
      </c>
      <c r="H978" s="11">
        <v>-9.0617574351000005</v>
      </c>
      <c r="I978" s="11">
        <v>3.3702996687</v>
      </c>
      <c r="J978" s="11">
        <v>-75.570507819499994</v>
      </c>
      <c r="K978" s="10">
        <v>0.71175941891399996</v>
      </c>
      <c r="L978" s="12">
        <v>3342551577.5300002</v>
      </c>
      <c r="M978">
        <v>-1.0733716455228699</v>
      </c>
      <c r="N978" s="7">
        <v>1.63898401058382</v>
      </c>
      <c r="O978" s="7">
        <v>0.70086322131715395</v>
      </c>
      <c r="P978" s="7">
        <v>-1.52638063472295</v>
      </c>
      <c r="Q978" s="7" t="s">
        <v>3698</v>
      </c>
      <c r="U978">
        <v>-2.9882996954361847</v>
      </c>
      <c r="AT978" s="4" t="s">
        <v>3791</v>
      </c>
    </row>
    <row r="979" spans="1:46">
      <c r="A979" s="2">
        <v>703</v>
      </c>
      <c r="B979" t="s">
        <v>5437</v>
      </c>
      <c r="C979" t="s">
        <v>3300</v>
      </c>
      <c r="D979" t="s">
        <v>3718</v>
      </c>
      <c r="E979" s="4">
        <v>43465</v>
      </c>
      <c r="F979" s="11">
        <v>-24.117114399999998</v>
      </c>
      <c r="G979" s="11">
        <v>27.96052632</v>
      </c>
      <c r="H979" s="11">
        <v>37.187939438999997</v>
      </c>
      <c r="I979" s="11">
        <v>20.674531753899998</v>
      </c>
      <c r="J979" s="11">
        <v>-1.1345814911000001</v>
      </c>
      <c r="K979" s="10">
        <v>0.35521090581199999</v>
      </c>
      <c r="L979" s="12">
        <v>6880540644.1499996</v>
      </c>
      <c r="M979">
        <v>188.98019793743799</v>
      </c>
      <c r="N979" s="7">
        <v>7.6333829110814104</v>
      </c>
      <c r="O979" s="7">
        <v>12.7321238829363</v>
      </c>
      <c r="P979" s="7">
        <v>148.30717674728601</v>
      </c>
      <c r="Q979" s="7" t="s">
        <v>3698</v>
      </c>
      <c r="U979">
        <v>-2.7098755845073517E-2</v>
      </c>
      <c r="AT979" s="4" t="s">
        <v>4846</v>
      </c>
    </row>
    <row r="980" spans="1:46">
      <c r="A980" s="2">
        <v>2002</v>
      </c>
      <c r="B980" t="s">
        <v>5438</v>
      </c>
      <c r="C980" t="s">
        <v>3243</v>
      </c>
      <c r="D980" t="s">
        <v>4046</v>
      </c>
      <c r="E980" s="4">
        <v>43465</v>
      </c>
      <c r="F980" s="11">
        <v>-3.77443017</v>
      </c>
      <c r="G980" s="11">
        <v>27.924217460000001</v>
      </c>
      <c r="H980" s="11">
        <v>-2.2120823778999998</v>
      </c>
      <c r="I980" s="11">
        <v>43.883746455400001</v>
      </c>
      <c r="J980" s="11">
        <v>37.119396184899998</v>
      </c>
      <c r="K980" s="10">
        <v>0.23817205874</v>
      </c>
      <c r="L980" s="12">
        <v>4445952000</v>
      </c>
      <c r="M980">
        <v>64.546456446015796</v>
      </c>
      <c r="N980" s="7">
        <v>3.3332650899238701</v>
      </c>
      <c r="O980" s="7">
        <v>14.1181378979649</v>
      </c>
      <c r="P980" s="7">
        <v>195.94510094378001</v>
      </c>
      <c r="Q980" s="7">
        <v>0.5066666666666666</v>
      </c>
      <c r="U980">
        <v>0.37604470813926411</v>
      </c>
      <c r="AT980" s="4" t="s">
        <v>4020</v>
      </c>
    </row>
    <row r="981" spans="1:46">
      <c r="A981" s="2">
        <v>2808</v>
      </c>
      <c r="B981" t="s">
        <v>5439</v>
      </c>
      <c r="C981" t="s">
        <v>1329</v>
      </c>
      <c r="D981" t="s">
        <v>4060</v>
      </c>
      <c r="E981" s="4">
        <v>43465</v>
      </c>
      <c r="F981" s="11">
        <v>-39.97600182</v>
      </c>
      <c r="G981" s="11">
        <v>27.906976740000001</v>
      </c>
      <c r="H981" s="11">
        <v>0.63088664559999996</v>
      </c>
      <c r="I981" s="11">
        <v>25.4000329544</v>
      </c>
      <c r="J981" s="11">
        <v>8.3801689575000005</v>
      </c>
      <c r="K981" s="10">
        <v>1.2065174837699999</v>
      </c>
      <c r="L981" s="12">
        <v>3330414659.98</v>
      </c>
      <c r="M981">
        <v>24.7380041322157</v>
      </c>
      <c r="N981" s="7">
        <v>2.4214899160304699</v>
      </c>
      <c r="O981" s="7">
        <v>1.4074243030612399</v>
      </c>
      <c r="P981" s="7">
        <v>-92.409106135773399</v>
      </c>
      <c r="Q981" s="7">
        <v>0.98705501618122971</v>
      </c>
      <c r="U981">
        <v>0.20331061849735346</v>
      </c>
      <c r="AT981" s="4" t="s">
        <v>5440</v>
      </c>
    </row>
    <row r="982" spans="1:46">
      <c r="A982" s="2">
        <v>1238</v>
      </c>
      <c r="B982" t="s">
        <v>5441</v>
      </c>
      <c r="C982" t="s">
        <v>1142</v>
      </c>
      <c r="D982" t="s">
        <v>3737</v>
      </c>
      <c r="E982" s="4">
        <v>43465</v>
      </c>
      <c r="F982" s="11">
        <v>1.0479287900000001</v>
      </c>
      <c r="G982" s="11">
        <v>27.896341459999999</v>
      </c>
      <c r="H982" s="11">
        <v>28.827988410900002</v>
      </c>
      <c r="I982" s="11">
        <v>58.886803597700002</v>
      </c>
      <c r="J982" s="11">
        <v>17.576355873299999</v>
      </c>
      <c r="K982" s="10">
        <v>0.442866129153</v>
      </c>
      <c r="L982" s="12">
        <v>5341590508.8000002</v>
      </c>
      <c r="M982">
        <v>19.9452102944317</v>
      </c>
      <c r="N982" s="7">
        <v>5.6847243734272004</v>
      </c>
      <c r="O982" s="7">
        <v>3.16834682286914</v>
      </c>
      <c r="P982" s="7">
        <v>35.394574028099001</v>
      </c>
      <c r="Q982" s="7">
        <v>4.027241055720129</v>
      </c>
      <c r="U982">
        <v>0.77424403530965524</v>
      </c>
      <c r="AT982" s="4" t="s">
        <v>5442</v>
      </c>
    </row>
    <row r="983" spans="1:46">
      <c r="A983" s="2">
        <v>1242</v>
      </c>
      <c r="B983" t="s">
        <v>5443</v>
      </c>
      <c r="C983" t="s">
        <v>2246</v>
      </c>
      <c r="D983" t="s">
        <v>3785</v>
      </c>
      <c r="E983" s="4">
        <v>43465</v>
      </c>
      <c r="F983" s="11">
        <v>-17.711347100000001</v>
      </c>
      <c r="G983" s="11">
        <v>27.878433659999999</v>
      </c>
      <c r="H983" s="11">
        <v>4.6784754002</v>
      </c>
      <c r="I983" s="11">
        <v>31.8506486864</v>
      </c>
      <c r="J983" s="11">
        <v>3.4944632905000002</v>
      </c>
      <c r="K983" s="10">
        <v>0.97711172302399996</v>
      </c>
      <c r="L983" s="12">
        <v>6879431152</v>
      </c>
      <c r="M983">
        <v>34.9824762561108</v>
      </c>
      <c r="N983" s="7">
        <v>3.00217775644319</v>
      </c>
      <c r="O983" s="7">
        <v>2.0873861027873102</v>
      </c>
      <c r="P983" s="7">
        <v>-3692.79415613541</v>
      </c>
      <c r="Q983" s="7">
        <v>0.46189376443418012</v>
      </c>
      <c r="U983">
        <v>0.26819747429297741</v>
      </c>
      <c r="AT983" s="4" t="s">
        <v>4262</v>
      </c>
    </row>
    <row r="984" spans="1:46">
      <c r="A984" s="2">
        <v>1442</v>
      </c>
      <c r="B984" t="s">
        <v>5444</v>
      </c>
      <c r="C984" t="s">
        <v>984</v>
      </c>
      <c r="D984" t="s">
        <v>3737</v>
      </c>
      <c r="E984" s="4">
        <v>43465</v>
      </c>
      <c r="F984" s="11">
        <v>-0.28903826999999999</v>
      </c>
      <c r="G984" s="11">
        <v>27.85714286</v>
      </c>
      <c r="H984" s="11">
        <v>16.365378537400002</v>
      </c>
      <c r="I984" s="11">
        <v>67.038057343700004</v>
      </c>
      <c r="J984" s="11">
        <v>24.300800120600002</v>
      </c>
      <c r="K984" s="10">
        <v>0.50053707202499997</v>
      </c>
      <c r="L984" s="12">
        <v>2634640384.3200002</v>
      </c>
      <c r="M984">
        <v>28.858687771175902</v>
      </c>
      <c r="N984" s="7">
        <v>2.8387409738686</v>
      </c>
      <c r="O984" s="7">
        <v>6.0225783755177904</v>
      </c>
      <c r="P984" s="7">
        <v>32.290318137487198</v>
      </c>
      <c r="Q984" s="7">
        <v>1.2233634029312741</v>
      </c>
      <c r="U984">
        <v>0.3021777471319263</v>
      </c>
      <c r="AT984" s="4" t="s">
        <v>3770</v>
      </c>
    </row>
    <row r="985" spans="1:46">
      <c r="A985" s="2">
        <v>1021</v>
      </c>
      <c r="B985" t="s">
        <v>5445</v>
      </c>
      <c r="C985" t="s">
        <v>1970</v>
      </c>
      <c r="D985" t="s">
        <v>3849</v>
      </c>
      <c r="E985" s="4">
        <v>43465</v>
      </c>
      <c r="F985" s="11">
        <v>-25.031747039999999</v>
      </c>
      <c r="G985" s="11">
        <v>27.8551532</v>
      </c>
      <c r="H985" s="11">
        <v>15.291613647</v>
      </c>
      <c r="I985" s="11">
        <v>19.433081330499999</v>
      </c>
      <c r="J985" s="11">
        <v>9.7642196931999994</v>
      </c>
      <c r="K985" s="10">
        <v>0.42304432293400002</v>
      </c>
      <c r="L985" s="12">
        <v>6536326800</v>
      </c>
      <c r="M985">
        <v>31.332441254512499</v>
      </c>
      <c r="N985" s="7">
        <v>1.2855658281671101</v>
      </c>
      <c r="O985" s="7">
        <v>1.6718049708275</v>
      </c>
      <c r="P985" s="7">
        <v>-8.7607791070051206</v>
      </c>
      <c r="Q985" s="7">
        <v>0.83102493074792227</v>
      </c>
      <c r="U985">
        <v>0.23038485674576983</v>
      </c>
      <c r="AT985" s="4" t="s">
        <v>4821</v>
      </c>
    </row>
    <row r="986" spans="1:46">
      <c r="A986" s="2">
        <v>2116</v>
      </c>
      <c r="B986" t="s">
        <v>5446</v>
      </c>
      <c r="C986" t="s">
        <v>692</v>
      </c>
      <c r="D986" t="s">
        <v>3752</v>
      </c>
      <c r="E986" s="4">
        <v>43465</v>
      </c>
      <c r="F986" s="11">
        <v>-1.3045893</v>
      </c>
      <c r="G986" s="11">
        <v>27.849162010000001</v>
      </c>
      <c r="H986" s="11">
        <v>43.627826429099997</v>
      </c>
      <c r="I986" s="11">
        <v>46.711292143800001</v>
      </c>
      <c r="J986" s="11">
        <v>27.617539563800001</v>
      </c>
      <c r="K986" s="10">
        <v>0.40322478101800002</v>
      </c>
      <c r="L986" s="12">
        <v>63897524972.849998</v>
      </c>
      <c r="M986">
        <v>56.381442716459802</v>
      </c>
      <c r="N986" s="7">
        <v>4.6304115192932196</v>
      </c>
      <c r="O986" s="7">
        <v>11.080091595430799</v>
      </c>
      <c r="P986" s="7">
        <v>-16.936389798322399</v>
      </c>
      <c r="Q986" s="7">
        <v>0.95085957705766011</v>
      </c>
      <c r="U986">
        <v>1.0170980200945308</v>
      </c>
      <c r="AT986" s="4" t="s">
        <v>5447</v>
      </c>
    </row>
    <row r="987" spans="1:46">
      <c r="A987" s="2">
        <v>1056</v>
      </c>
      <c r="B987" t="s">
        <v>5448</v>
      </c>
      <c r="C987" t="s">
        <v>2778</v>
      </c>
      <c r="D987" t="s">
        <v>3752</v>
      </c>
      <c r="E987" s="4">
        <v>43465</v>
      </c>
      <c r="F987" s="11">
        <v>-10.59849519</v>
      </c>
      <c r="G987" s="11">
        <v>27.81569966</v>
      </c>
      <c r="H987" s="11">
        <v>7.3396858440999999</v>
      </c>
      <c r="I987" s="11">
        <v>37.919690659399997</v>
      </c>
      <c r="J987" s="11">
        <v>20.165814108599999</v>
      </c>
      <c r="K987" s="10">
        <v>0.19673016220299999</v>
      </c>
      <c r="L987" s="12">
        <v>2995822637.8400002</v>
      </c>
      <c r="M987">
        <v>70.6174750820405</v>
      </c>
      <c r="N987" s="7">
        <v>1.06350480687774</v>
      </c>
      <c r="O987" s="7">
        <v>3.4001220773785898</v>
      </c>
      <c r="P987" s="7">
        <v>40.084308176376602</v>
      </c>
      <c r="Q987" s="7">
        <v>1.7957589496512505</v>
      </c>
      <c r="U987">
        <v>0.35371762275916208</v>
      </c>
      <c r="AT987" s="4" t="s">
        <v>5449</v>
      </c>
    </row>
    <row r="988" spans="1:46">
      <c r="A988" s="2">
        <v>2479</v>
      </c>
      <c r="B988" t="s">
        <v>5450</v>
      </c>
      <c r="C988" t="s">
        <v>2044</v>
      </c>
      <c r="D988" t="s">
        <v>3781</v>
      </c>
      <c r="E988" s="4">
        <v>43465</v>
      </c>
      <c r="F988" s="11">
        <v>-19.440353460000001</v>
      </c>
      <c r="G988" s="11">
        <v>27.764705880000001</v>
      </c>
      <c r="H988" s="11">
        <v>-42.236387645900002</v>
      </c>
      <c r="I988" s="11">
        <v>16.1200572829</v>
      </c>
      <c r="J988" s="11">
        <v>-35.3033186782</v>
      </c>
      <c r="K988" s="10">
        <v>0.26690793546899999</v>
      </c>
      <c r="L988" s="12">
        <v>6527731803.4200001</v>
      </c>
      <c r="M988">
        <v>-12.6656128256037</v>
      </c>
      <c r="N988" s="7">
        <v>3.4791660064658498</v>
      </c>
      <c r="O988" s="7">
        <v>2.6429582649774401</v>
      </c>
      <c r="P988" s="7">
        <v>-12.611382891058801</v>
      </c>
      <c r="Q988" s="7" t="s">
        <v>3698</v>
      </c>
      <c r="U988">
        <v>-0.57079345522386382</v>
      </c>
      <c r="AT988" s="4" t="s">
        <v>5451</v>
      </c>
    </row>
    <row r="989" spans="1:46">
      <c r="A989" s="2">
        <v>1184</v>
      </c>
      <c r="B989" t="s">
        <v>5452</v>
      </c>
      <c r="C989" t="s">
        <v>2301</v>
      </c>
      <c r="D989" t="s">
        <v>3837</v>
      </c>
      <c r="E989" s="4">
        <v>43465</v>
      </c>
      <c r="F989" s="11">
        <v>-19.136777349999999</v>
      </c>
      <c r="G989" s="11">
        <v>27.640156449999999</v>
      </c>
      <c r="H989" s="11">
        <v>-29.420171138000001</v>
      </c>
      <c r="I989" s="11" t="s">
        <v>3698</v>
      </c>
      <c r="J989" s="11">
        <v>9.0198326787000003</v>
      </c>
      <c r="K989" s="10" t="s">
        <v>3698</v>
      </c>
      <c r="L989" s="12">
        <v>2646821600</v>
      </c>
      <c r="M989">
        <v>77.402775391604706</v>
      </c>
      <c r="N989" s="7">
        <v>1.5478915918155101</v>
      </c>
      <c r="O989" s="7">
        <v>10.5185509549594</v>
      </c>
      <c r="P989" s="7">
        <v>-14.104967708630801</v>
      </c>
      <c r="Q989" s="7">
        <v>0.65759637188208608</v>
      </c>
      <c r="U989">
        <v>5.7236746828653443E-2</v>
      </c>
      <c r="AT989" s="4" t="s">
        <v>5453</v>
      </c>
    </row>
    <row r="990" spans="1:46">
      <c r="A990" s="2">
        <v>785</v>
      </c>
      <c r="B990" t="s">
        <v>5454</v>
      </c>
      <c r="C990" t="s">
        <v>3020</v>
      </c>
      <c r="D990" t="s">
        <v>3752</v>
      </c>
      <c r="E990" s="4">
        <v>43465</v>
      </c>
      <c r="F990" s="11">
        <v>37.886688669999998</v>
      </c>
      <c r="G990" s="11">
        <v>27.613412230000002</v>
      </c>
      <c r="H990" s="11">
        <v>9.1609341483000009</v>
      </c>
      <c r="I990" s="11">
        <v>11.286422417400001</v>
      </c>
      <c r="J990" s="11">
        <v>2.4651682052999999</v>
      </c>
      <c r="K990" s="10">
        <v>0.90680742589100005</v>
      </c>
      <c r="L990" s="12">
        <v>2496588845.4400001</v>
      </c>
      <c r="M990">
        <v>19.085180084328702</v>
      </c>
      <c r="N990" s="7">
        <v>1.22547856104877</v>
      </c>
      <c r="O990" s="7">
        <v>0.52862516562900097</v>
      </c>
      <c r="P990" s="7">
        <v>34.507749363503798</v>
      </c>
      <c r="Q990" s="7">
        <v>1.6949152542372881</v>
      </c>
      <c r="U990">
        <v>0.22369859034015421</v>
      </c>
      <c r="AT990" s="4" t="s">
        <v>5455</v>
      </c>
    </row>
    <row r="991" spans="1:46">
      <c r="A991" s="2">
        <v>3188</v>
      </c>
      <c r="B991" t="s">
        <v>5456</v>
      </c>
      <c r="C991" t="s">
        <v>3216</v>
      </c>
      <c r="D991" t="s">
        <v>4060</v>
      </c>
      <c r="E991" s="4">
        <v>43465</v>
      </c>
      <c r="F991" s="11">
        <v>-1.2960636999999999</v>
      </c>
      <c r="G991" s="11">
        <v>27.568922310000001</v>
      </c>
      <c r="H991" s="11">
        <v>9.4810561524000008</v>
      </c>
      <c r="I991" s="11">
        <v>11.229900966000001</v>
      </c>
      <c r="J991" s="11">
        <v>0.88945197369999995</v>
      </c>
      <c r="K991" s="10">
        <v>0.88047790336200005</v>
      </c>
      <c r="L991" s="12">
        <v>3431446673.7600002</v>
      </c>
      <c r="M991">
        <v>81.765178048537805</v>
      </c>
      <c r="N991" s="7">
        <v>1.6226956730792099</v>
      </c>
      <c r="O991" s="7">
        <v>0.68135017104242801</v>
      </c>
      <c r="P991" s="7">
        <v>-40.152452424239101</v>
      </c>
      <c r="Q991" s="7">
        <v>0.48148148148148151</v>
      </c>
      <c r="U991">
        <v>5.0269897758795909E-2</v>
      </c>
      <c r="AT991" s="4" t="s">
        <v>4365</v>
      </c>
    </row>
    <row r="992" spans="1:46">
      <c r="A992" s="2">
        <v>773</v>
      </c>
      <c r="B992" t="s">
        <v>5457</v>
      </c>
      <c r="C992" t="s">
        <v>461</v>
      </c>
      <c r="D992" t="s">
        <v>3737</v>
      </c>
      <c r="E992" s="4">
        <v>43465</v>
      </c>
      <c r="F992" s="11">
        <v>-17.742272249999999</v>
      </c>
      <c r="G992" s="11">
        <v>27.494456759999998</v>
      </c>
      <c r="H992" s="11">
        <v>13.686972584399999</v>
      </c>
      <c r="I992" s="11">
        <v>56.1450939964</v>
      </c>
      <c r="J992" s="11">
        <v>13.4561650567</v>
      </c>
      <c r="K992" s="10">
        <v>1.0524572134179999</v>
      </c>
      <c r="L992" s="12">
        <v>3458553000</v>
      </c>
      <c r="M992">
        <v>19.8659341212363</v>
      </c>
      <c r="N992" s="7">
        <v>3.1121283641415101</v>
      </c>
      <c r="O992" s="7">
        <v>2.4443043251200498</v>
      </c>
      <c r="P992" s="7">
        <v>66.543741391475507</v>
      </c>
      <c r="Q992" s="7">
        <v>0.54556905269400657</v>
      </c>
      <c r="U992">
        <v>0.51450957482359794</v>
      </c>
      <c r="AT992" s="4" t="s">
        <v>4026</v>
      </c>
    </row>
    <row r="993" spans="1:46">
      <c r="A993" s="2">
        <v>809</v>
      </c>
      <c r="B993" t="s">
        <v>5458</v>
      </c>
      <c r="C993" t="s">
        <v>2302</v>
      </c>
      <c r="D993" t="s">
        <v>3713</v>
      </c>
      <c r="E993" s="4">
        <v>43465</v>
      </c>
      <c r="F993" s="11">
        <v>-14.646095580000001</v>
      </c>
      <c r="G993" s="11">
        <v>27.457627120000001</v>
      </c>
      <c r="H993" s="11">
        <v>21.247768257699999</v>
      </c>
      <c r="I993" s="11">
        <v>30.217403288</v>
      </c>
      <c r="J993" s="11">
        <v>7.6697360719000001</v>
      </c>
      <c r="K993" s="10">
        <v>0.405891753721</v>
      </c>
      <c r="L993" s="12">
        <v>4447261985.2399998</v>
      </c>
      <c r="M993">
        <v>26.6681924359997</v>
      </c>
      <c r="N993" s="7">
        <v>1.5241672910148401</v>
      </c>
      <c r="O993" s="7">
        <v>1.7462910824231099</v>
      </c>
      <c r="P993" s="7">
        <v>-10.202950892429699</v>
      </c>
      <c r="Q993" s="7">
        <v>0.74229691876750703</v>
      </c>
      <c r="U993">
        <v>0.25272765598830776</v>
      </c>
      <c r="AT993" s="4" t="s">
        <v>4562</v>
      </c>
    </row>
    <row r="994" spans="1:46">
      <c r="A994" s="2">
        <v>2414</v>
      </c>
      <c r="B994" t="s">
        <v>5459</v>
      </c>
      <c r="C994" t="s">
        <v>667</v>
      </c>
      <c r="D994" t="s">
        <v>3737</v>
      </c>
      <c r="E994" s="4">
        <v>43465</v>
      </c>
      <c r="F994" s="11">
        <v>10.09948747</v>
      </c>
      <c r="G994" s="11">
        <v>27.393617020000001</v>
      </c>
      <c r="H994" s="11">
        <v>11.0676396695</v>
      </c>
      <c r="I994" s="11">
        <v>76.069236341700005</v>
      </c>
      <c r="J994" s="11">
        <v>11.9703927448</v>
      </c>
      <c r="K994" s="10">
        <v>0.63984543809200001</v>
      </c>
      <c r="L994" s="12">
        <v>4300374786.4399996</v>
      </c>
      <c r="M994">
        <v>18.619199065315399</v>
      </c>
      <c r="N994" s="7">
        <v>2.1185780481619401</v>
      </c>
      <c r="O994" s="7">
        <v>2.0619785075051702</v>
      </c>
      <c r="P994" s="7">
        <v>13.450781926233899</v>
      </c>
      <c r="Q994" s="7">
        <v>1.5114558994721017</v>
      </c>
      <c r="U994">
        <v>0.41480807537652142</v>
      </c>
      <c r="AT994" s="4" t="s">
        <v>4468</v>
      </c>
    </row>
    <row r="995" spans="1:46">
      <c r="A995" s="2">
        <v>743</v>
      </c>
      <c r="B995" t="s">
        <v>5460</v>
      </c>
      <c r="C995" t="s">
        <v>3030</v>
      </c>
      <c r="D995" t="s">
        <v>3713</v>
      </c>
      <c r="E995" s="4">
        <v>43465</v>
      </c>
      <c r="F995" s="11">
        <v>-17.282926639999999</v>
      </c>
      <c r="G995" s="11">
        <v>27.39322533</v>
      </c>
      <c r="H995" s="11">
        <v>-7.2514696381999997</v>
      </c>
      <c r="I995" s="11">
        <v>16.035335480200001</v>
      </c>
      <c r="J995" s="11">
        <v>4.9771468252000002</v>
      </c>
      <c r="K995" s="10">
        <v>0.83561851075600002</v>
      </c>
      <c r="L995" s="12">
        <v>23584925000</v>
      </c>
      <c r="M995">
        <v>45.038818433487897</v>
      </c>
      <c r="N995" s="7">
        <v>2.4873526378219601</v>
      </c>
      <c r="O995" s="7">
        <v>1.62202157319172</v>
      </c>
      <c r="P995" s="7">
        <v>-128.77810098133699</v>
      </c>
      <c r="Q995" s="7">
        <v>0.16250000000000001</v>
      </c>
      <c r="U995">
        <v>0.17664343009203157</v>
      </c>
      <c r="AT995" s="4" t="s">
        <v>5461</v>
      </c>
    </row>
    <row r="996" spans="1:46">
      <c r="A996" s="2">
        <v>851</v>
      </c>
      <c r="B996" t="s">
        <v>5462</v>
      </c>
      <c r="C996" t="s">
        <v>1198</v>
      </c>
      <c r="D996" t="s">
        <v>3769</v>
      </c>
      <c r="E996" s="4">
        <v>43465</v>
      </c>
      <c r="F996" s="11">
        <v>-31.508686659999999</v>
      </c>
      <c r="G996" s="11">
        <v>27.34375</v>
      </c>
      <c r="H996" s="11">
        <v>29.074075358000002</v>
      </c>
      <c r="I996" s="11">
        <v>19.155771660500001</v>
      </c>
      <c r="J996" s="11">
        <v>5.6109750899000002</v>
      </c>
      <c r="K996" s="10">
        <v>0.58793174400399995</v>
      </c>
      <c r="L996" s="12">
        <v>9392668726.6499996</v>
      </c>
      <c r="M996">
        <v>21.391632561130098</v>
      </c>
      <c r="N996" s="7">
        <v>1.64547170181613</v>
      </c>
      <c r="O996" s="7">
        <v>1.16214919243475</v>
      </c>
      <c r="P996" s="7">
        <v>14.2738361739633</v>
      </c>
      <c r="Q996" s="7">
        <v>0.74097140812357021</v>
      </c>
      <c r="U996">
        <v>0.17594022444061003</v>
      </c>
      <c r="AT996" s="4" t="s">
        <v>5463</v>
      </c>
    </row>
    <row r="997" spans="1:46">
      <c r="A997" s="2">
        <v>1805</v>
      </c>
      <c r="B997" t="s">
        <v>5464</v>
      </c>
      <c r="C997" t="s">
        <v>2548</v>
      </c>
      <c r="D997" t="s">
        <v>3713</v>
      </c>
      <c r="E997" s="4">
        <v>43465</v>
      </c>
      <c r="F997" s="11">
        <v>-5.9437315399999999</v>
      </c>
      <c r="G997" s="11">
        <v>27.33720181</v>
      </c>
      <c r="H997" s="11">
        <v>6.5357057468999997</v>
      </c>
      <c r="I997" s="11">
        <v>36.860624742799999</v>
      </c>
      <c r="J997" s="11">
        <v>4.9150386049000003</v>
      </c>
      <c r="K997" s="10">
        <v>0.86563371062600003</v>
      </c>
      <c r="L997" s="12">
        <v>2086875125.4000001</v>
      </c>
      <c r="M997">
        <v>105.985372928063</v>
      </c>
      <c r="N997" s="7">
        <v>5.00188121288849</v>
      </c>
      <c r="O997" s="7">
        <v>3.91417267580443</v>
      </c>
      <c r="P997" s="7">
        <v>46.836916013003602</v>
      </c>
      <c r="Q997" s="7">
        <v>0.55309734513274333</v>
      </c>
      <c r="U997">
        <v>0.21257919513969731</v>
      </c>
      <c r="AT997" s="4" t="s">
        <v>3759</v>
      </c>
    </row>
    <row r="998" spans="1:46">
      <c r="A998" s="2">
        <v>3321</v>
      </c>
      <c r="B998" t="s">
        <v>5465</v>
      </c>
      <c r="C998" t="s">
        <v>3471</v>
      </c>
      <c r="D998" t="s">
        <v>3752</v>
      </c>
      <c r="E998" s="4">
        <v>43465</v>
      </c>
      <c r="F998" s="11">
        <v>-17.982547969999999</v>
      </c>
      <c r="G998" s="11">
        <v>27.322404370000001</v>
      </c>
      <c r="H998" s="11">
        <v>59.747043253999998</v>
      </c>
      <c r="I998" s="11">
        <v>17.627527434499999</v>
      </c>
      <c r="J998" s="11">
        <v>4.8833025078999999</v>
      </c>
      <c r="K998" s="10">
        <v>0.71521761899000003</v>
      </c>
      <c r="L998" s="12">
        <v>34318029746</v>
      </c>
      <c r="M998">
        <v>86.694741994762794</v>
      </c>
      <c r="N998" s="7">
        <v>2.06141020623987</v>
      </c>
      <c r="O998" s="7">
        <v>1.2976746330828599</v>
      </c>
      <c r="P998" s="7">
        <v>-20.4336790057976</v>
      </c>
      <c r="Q998" s="7">
        <v>0.6960556844547563</v>
      </c>
      <c r="U998">
        <v>7.8602386215272504E-2</v>
      </c>
      <c r="AT998" s="4" t="s">
        <v>4038</v>
      </c>
    </row>
    <row r="999" spans="1:46">
      <c r="A999" s="2">
        <v>1104</v>
      </c>
      <c r="B999" t="s">
        <v>5466</v>
      </c>
      <c r="C999" t="s">
        <v>2663</v>
      </c>
      <c r="D999" t="s">
        <v>3849</v>
      </c>
      <c r="E999" s="4">
        <v>43465</v>
      </c>
      <c r="F999" s="11">
        <v>-8.7156542100000003</v>
      </c>
      <c r="G999" s="11">
        <v>27.30263158</v>
      </c>
      <c r="H999" s="11">
        <v>45.752692564999997</v>
      </c>
      <c r="I999" s="11">
        <v>12.030777152000001</v>
      </c>
      <c r="J999" s="11">
        <v>2.7552534640999999</v>
      </c>
      <c r="K999" s="10">
        <v>0.75132227221100001</v>
      </c>
      <c r="L999" s="12">
        <v>6123704673.7799997</v>
      </c>
      <c r="M999">
        <v>30.996440182306699</v>
      </c>
      <c r="N999" s="7">
        <v>1.1340582655378599</v>
      </c>
      <c r="O999" s="7">
        <v>0.74632327072104299</v>
      </c>
      <c r="P999" s="7">
        <v>-43.6044431222725</v>
      </c>
      <c r="Q999" s="7">
        <v>1.4707982456140352</v>
      </c>
      <c r="U999">
        <v>0.1164007368803885</v>
      </c>
      <c r="AT999" s="4" t="s">
        <v>5467</v>
      </c>
    </row>
    <row r="1000" spans="1:46">
      <c r="A1000" s="2">
        <v>3383</v>
      </c>
      <c r="B1000" t="s">
        <v>5468</v>
      </c>
      <c r="C1000" t="s">
        <v>728</v>
      </c>
      <c r="D1000" t="s">
        <v>3737</v>
      </c>
      <c r="E1000" s="4">
        <v>43465</v>
      </c>
      <c r="F1000" s="11">
        <v>1.39717636</v>
      </c>
      <c r="G1000" s="11">
        <v>27.290076339999999</v>
      </c>
      <c r="H1000" s="11">
        <v>24.002868597900001</v>
      </c>
      <c r="I1000" s="11">
        <v>10.7605724561</v>
      </c>
      <c r="J1000" s="11">
        <v>4.8501589574999997</v>
      </c>
      <c r="K1000" s="10">
        <v>1.352195224388</v>
      </c>
      <c r="L1000" s="12">
        <v>4224999831</v>
      </c>
      <c r="M1000">
        <v>13.5068531839757</v>
      </c>
      <c r="N1000" s="7">
        <v>2.2030891425626198</v>
      </c>
      <c r="O1000" s="7">
        <v>0.60970907010103303</v>
      </c>
      <c r="P1000" s="7">
        <v>-16.089107766985499</v>
      </c>
      <c r="Q1000" s="7">
        <v>1.8414018414018414</v>
      </c>
      <c r="U1000">
        <v>2.0387472829760269</v>
      </c>
      <c r="AT1000" s="4" t="s">
        <v>5469</v>
      </c>
    </row>
    <row r="1001" spans="1:46">
      <c r="A1001" s="2">
        <v>2226</v>
      </c>
      <c r="B1001" t="s">
        <v>5470</v>
      </c>
      <c r="C1001" t="s">
        <v>1918</v>
      </c>
      <c r="D1001" t="s">
        <v>3737</v>
      </c>
      <c r="E1001" s="4">
        <v>43465</v>
      </c>
      <c r="F1001" s="11">
        <v>-23.284607009999998</v>
      </c>
      <c r="G1001" s="11">
        <v>27.218934910000002</v>
      </c>
      <c r="H1001" s="11">
        <v>20.6409909801</v>
      </c>
      <c r="I1001" s="11">
        <v>39.926235234799996</v>
      </c>
      <c r="J1001" s="11">
        <v>-10.524742677100001</v>
      </c>
      <c r="K1001" s="10">
        <v>0.52616021181399997</v>
      </c>
      <c r="L1001" s="12">
        <v>11855479078.93</v>
      </c>
      <c r="M1001">
        <v>27.847300242319101</v>
      </c>
      <c r="N1001" s="7">
        <v>2.72131302313284</v>
      </c>
      <c r="O1001" s="7">
        <v>0.75011960932220501</v>
      </c>
      <c r="P1001" s="7">
        <v>-8.2477272308142506</v>
      </c>
      <c r="Q1001" s="7" t="s">
        <v>3698</v>
      </c>
      <c r="U1001">
        <v>-1.7417003882802169</v>
      </c>
      <c r="AT1001" s="4" t="s">
        <v>4132</v>
      </c>
    </row>
    <row r="1002" spans="1:46">
      <c r="A1002" s="2">
        <v>2301</v>
      </c>
      <c r="B1002" t="s">
        <v>5471</v>
      </c>
      <c r="C1002" t="s">
        <v>604</v>
      </c>
      <c r="D1002" t="s">
        <v>3737</v>
      </c>
      <c r="E1002" s="4">
        <v>43465</v>
      </c>
      <c r="F1002" s="11">
        <v>52.846109400000003</v>
      </c>
      <c r="G1002" s="11">
        <v>27.2</v>
      </c>
      <c r="H1002" s="11">
        <v>18.034817716300001</v>
      </c>
      <c r="I1002" s="11">
        <v>47.178343795000004</v>
      </c>
      <c r="J1002" s="11">
        <v>25.106849382699998</v>
      </c>
      <c r="K1002" s="10">
        <v>0.67128227568599996</v>
      </c>
      <c r="L1002" s="12">
        <v>5227784717.3999996</v>
      </c>
      <c r="M1002">
        <v>35.4497866512678</v>
      </c>
      <c r="N1002" s="7">
        <v>5.6510840669939597</v>
      </c>
      <c r="O1002" s="7">
        <v>8.3726712432946009</v>
      </c>
      <c r="P1002" s="7">
        <v>-25.8379940377183</v>
      </c>
      <c r="Q1002" s="7">
        <v>0.15770880648992563</v>
      </c>
      <c r="U1002">
        <v>0.58484244539728492</v>
      </c>
      <c r="AT1002" s="4" t="s">
        <v>5472</v>
      </c>
    </row>
    <row r="1003" spans="1:46">
      <c r="A1003" s="2">
        <v>1980</v>
      </c>
      <c r="B1003" t="s">
        <v>5473</v>
      </c>
      <c r="C1003" t="s">
        <v>3576</v>
      </c>
      <c r="D1003" t="s">
        <v>3718</v>
      </c>
      <c r="E1003" s="4">
        <v>43465</v>
      </c>
      <c r="F1003" s="11">
        <v>-25.975038699999999</v>
      </c>
      <c r="G1003" s="11">
        <v>27.191011240000002</v>
      </c>
      <c r="H1003" s="11">
        <v>-8.5501510592999992</v>
      </c>
      <c r="I1003" s="11">
        <v>40.873434230100003</v>
      </c>
      <c r="J1003" s="11">
        <v>8.8743438763999993</v>
      </c>
      <c r="K1003" s="10">
        <v>0.33004445806900001</v>
      </c>
      <c r="L1003" s="12">
        <v>5621309020.8000002</v>
      </c>
      <c r="M1003">
        <v>-53.221119689459599</v>
      </c>
      <c r="N1003" s="7">
        <v>2.55473918197228</v>
      </c>
      <c r="O1003" s="7">
        <v>9.9153494767024206</v>
      </c>
      <c r="P1003" s="7">
        <v>31.872213459114501</v>
      </c>
      <c r="Q1003" s="7">
        <v>0.39888312724371761</v>
      </c>
      <c r="U1003">
        <v>0.3223249307418517</v>
      </c>
      <c r="AT1003" s="4" t="s">
        <v>5474</v>
      </c>
    </row>
    <row r="1004" spans="1:46">
      <c r="A1004" s="2">
        <v>3140</v>
      </c>
      <c r="B1004" t="s">
        <v>5475</v>
      </c>
      <c r="C1004" t="s">
        <v>1242</v>
      </c>
      <c r="D1004" t="s">
        <v>3837</v>
      </c>
      <c r="E1004" s="4">
        <v>43465</v>
      </c>
      <c r="F1004" s="11">
        <v>21.653426459999999</v>
      </c>
      <c r="G1004" s="11">
        <v>27.16049383</v>
      </c>
      <c r="H1004" s="11">
        <v>-23.688389645600001</v>
      </c>
      <c r="I1004" s="11" t="s">
        <v>3698</v>
      </c>
      <c r="J1004" s="11">
        <v>32.038755706899998</v>
      </c>
      <c r="K1004" s="10" t="s">
        <v>3698</v>
      </c>
      <c r="L1004" s="12">
        <v>3550286073.9499998</v>
      </c>
      <c r="M1004">
        <v>23.345999834678899</v>
      </c>
      <c r="N1004" s="7">
        <v>1.3196643679344799</v>
      </c>
      <c r="O1004" s="7">
        <v>6.41925055669339</v>
      </c>
      <c r="P1004" s="7">
        <v>9.8481765293606696</v>
      </c>
      <c r="Q1004" s="7">
        <v>1.7678255745433118</v>
      </c>
      <c r="U1004">
        <v>0.60991791828152453</v>
      </c>
      <c r="AT1004" s="4" t="s">
        <v>5254</v>
      </c>
    </row>
    <row r="1005" spans="1:46">
      <c r="A1005" s="2">
        <v>901</v>
      </c>
      <c r="B1005" t="s">
        <v>5476</v>
      </c>
      <c r="C1005" t="s">
        <v>2107</v>
      </c>
      <c r="D1005" t="s">
        <v>3737</v>
      </c>
      <c r="E1005" s="4">
        <v>43465</v>
      </c>
      <c r="F1005" s="11">
        <v>-37.608038290000003</v>
      </c>
      <c r="G1005" s="11">
        <v>27.1393643</v>
      </c>
      <c r="H1005" s="11">
        <v>9.6261670253999991</v>
      </c>
      <c r="I1005" s="11">
        <v>21.785264889</v>
      </c>
      <c r="J1005" s="11">
        <v>-19.5004391467</v>
      </c>
      <c r="K1005" s="10">
        <v>0.576982948404</v>
      </c>
      <c r="L1005" s="12">
        <v>20208716961.509998</v>
      </c>
      <c r="M1005">
        <v>22.251888409189501</v>
      </c>
      <c r="N1005" s="7">
        <v>1.62773230254266</v>
      </c>
      <c r="O1005" s="7">
        <v>1.0252098623474599</v>
      </c>
      <c r="P1005" s="7">
        <v>-23.745085838443401</v>
      </c>
      <c r="Q1005" s="7" t="s">
        <v>3698</v>
      </c>
      <c r="U1005">
        <v>-0.7777010553233602</v>
      </c>
      <c r="AT1005" s="4" t="s">
        <v>5477</v>
      </c>
    </row>
    <row r="1006" spans="1:46">
      <c r="A1006" s="2">
        <v>2357</v>
      </c>
      <c r="B1006" t="s">
        <v>5478</v>
      </c>
      <c r="C1006" t="s">
        <v>2999</v>
      </c>
      <c r="D1006" t="s">
        <v>3737</v>
      </c>
      <c r="E1006" s="4">
        <v>43465</v>
      </c>
      <c r="F1006" s="11">
        <v>-13.93687862</v>
      </c>
      <c r="G1006" s="11">
        <v>27.058823530000002</v>
      </c>
      <c r="H1006" s="11">
        <v>2.2598443647000002</v>
      </c>
      <c r="I1006" s="11">
        <v>33.658547844200001</v>
      </c>
      <c r="J1006" s="11">
        <v>-9.6634317690000007</v>
      </c>
      <c r="K1006" s="10">
        <v>0.42342174017200002</v>
      </c>
      <c r="L1006" s="12">
        <v>2710316800</v>
      </c>
      <c r="M1006">
        <v>4096.32650328611</v>
      </c>
      <c r="N1006" s="7">
        <v>1.7703991728422499</v>
      </c>
      <c r="O1006" s="7">
        <v>1.5972930592637899</v>
      </c>
      <c r="P1006" s="7">
        <v>-40.036804795490603</v>
      </c>
      <c r="Q1006" s="7" t="s">
        <v>3698</v>
      </c>
      <c r="U1006">
        <v>-0.20094264648942653</v>
      </c>
      <c r="AT1006" s="4" t="s">
        <v>5479</v>
      </c>
    </row>
    <row r="1007" spans="1:46">
      <c r="A1007" s="2">
        <v>2022</v>
      </c>
      <c r="B1007" t="s">
        <v>5480</v>
      </c>
      <c r="C1007" t="s">
        <v>697</v>
      </c>
      <c r="D1007" t="s">
        <v>3721</v>
      </c>
      <c r="E1007" s="4">
        <v>43465</v>
      </c>
      <c r="F1007" s="11">
        <v>145.10546366</v>
      </c>
      <c r="G1007" s="11">
        <v>27.057767139999999</v>
      </c>
      <c r="H1007" s="11">
        <v>27.918714622100001</v>
      </c>
      <c r="I1007" s="11">
        <v>30.935355468299999</v>
      </c>
      <c r="J1007" s="11">
        <v>12.5231100506</v>
      </c>
      <c r="K1007" s="10">
        <v>0.79763761919700005</v>
      </c>
      <c r="L1007" s="12">
        <v>3062955000</v>
      </c>
      <c r="M1007">
        <v>47.039280752225999</v>
      </c>
      <c r="N1007" s="7">
        <v>5.95120035342158</v>
      </c>
      <c r="O1007" s="7">
        <v>5.6715865764004896</v>
      </c>
      <c r="P1007" s="7">
        <v>-204.24272708024901</v>
      </c>
      <c r="Q1007" s="7">
        <v>0.14988743694124282</v>
      </c>
      <c r="U1007">
        <v>0.79560309986483579</v>
      </c>
      <c r="AT1007" s="4" t="s">
        <v>5481</v>
      </c>
    </row>
    <row r="1008" spans="1:46">
      <c r="A1008" s="2">
        <v>1923</v>
      </c>
      <c r="B1008" t="s">
        <v>5482</v>
      </c>
      <c r="C1008" t="s">
        <v>433</v>
      </c>
      <c r="D1008" t="s">
        <v>3781</v>
      </c>
      <c r="E1008" s="4">
        <v>43465</v>
      </c>
      <c r="F1008" s="11">
        <v>45.89408512</v>
      </c>
      <c r="G1008" s="11">
        <v>27.043544690000001</v>
      </c>
      <c r="H1008" s="11">
        <v>2.8367183908000002</v>
      </c>
      <c r="I1008" s="11">
        <v>16.853125388999999</v>
      </c>
      <c r="J1008" s="11">
        <v>7.4360955365999999</v>
      </c>
      <c r="K1008" s="10">
        <v>1.111647503523</v>
      </c>
      <c r="L1008" s="12">
        <v>2720306800</v>
      </c>
      <c r="M1008">
        <v>24.9964768368168</v>
      </c>
      <c r="N1008" s="7">
        <v>4.0422796378547501</v>
      </c>
      <c r="O1008" s="7">
        <v>2.42883817510153</v>
      </c>
      <c r="P1008" s="7">
        <v>102.259401436018</v>
      </c>
      <c r="Q1008" s="7">
        <v>1.3970987370533618</v>
      </c>
      <c r="U1008">
        <v>0.74474127846214111</v>
      </c>
      <c r="AT1008" s="4" t="s">
        <v>5483</v>
      </c>
    </row>
    <row r="1009" spans="1:46">
      <c r="A1009" s="2">
        <v>2413</v>
      </c>
      <c r="B1009" t="s">
        <v>5484</v>
      </c>
      <c r="C1009" t="s">
        <v>1932</v>
      </c>
      <c r="D1009" t="s">
        <v>3858</v>
      </c>
      <c r="E1009" s="4">
        <v>43465</v>
      </c>
      <c r="F1009" s="11">
        <v>-0.46698031000000001</v>
      </c>
      <c r="G1009" s="11">
        <v>27.016129029999998</v>
      </c>
      <c r="H1009" s="11">
        <v>12.5863141062</v>
      </c>
      <c r="I1009" s="11">
        <v>15.0029063705</v>
      </c>
      <c r="J1009" s="11">
        <v>12.5681125704</v>
      </c>
      <c r="K1009" s="10">
        <v>0.31948776974600002</v>
      </c>
      <c r="L1009" s="12">
        <v>8715230555.2399998</v>
      </c>
      <c r="M1009">
        <v>18.097196866157098</v>
      </c>
      <c r="N1009" s="7">
        <v>0.82202173589310501</v>
      </c>
      <c r="O1009" s="7">
        <v>1.3701702486354099</v>
      </c>
      <c r="P1009" s="7">
        <v>2.0765500499178202</v>
      </c>
      <c r="Q1009" s="7">
        <v>2.4350649350649354</v>
      </c>
      <c r="U1009">
        <v>0.46676885537425178</v>
      </c>
      <c r="AT1009" s="4" t="s">
        <v>5485</v>
      </c>
    </row>
    <row r="1010" spans="1:46">
      <c r="A1010" s="2">
        <v>3472</v>
      </c>
      <c r="B1010" t="s">
        <v>5486</v>
      </c>
      <c r="C1010" t="s">
        <v>208</v>
      </c>
      <c r="D1010" t="s">
        <v>3718</v>
      </c>
      <c r="E1010" s="4">
        <v>43465</v>
      </c>
      <c r="F1010" s="11">
        <v>103.17439693999999</v>
      </c>
      <c r="G1010" s="11">
        <v>27.013630729999999</v>
      </c>
      <c r="H1010" s="11">
        <v>59.146471785499998</v>
      </c>
      <c r="I1010" s="11">
        <v>42.847591261300003</v>
      </c>
      <c r="J1010" s="11">
        <v>22.061772794700001</v>
      </c>
      <c r="K1010" s="10">
        <v>0.76545553985899994</v>
      </c>
      <c r="L1010" s="12">
        <v>18288545120.02</v>
      </c>
      <c r="M1010">
        <v>29.945655387737901</v>
      </c>
      <c r="N1010" s="7">
        <v>6.1670113881338304</v>
      </c>
      <c r="O1010" s="7">
        <v>6.84821414888851</v>
      </c>
      <c r="P1010" s="7">
        <v>-524.20218161585103</v>
      </c>
      <c r="Q1010" s="7">
        <v>0.47971293977683754</v>
      </c>
      <c r="U1010">
        <v>0.86445843546529488</v>
      </c>
      <c r="AT1010" s="4" t="s">
        <v>3716</v>
      </c>
    </row>
    <row r="1011" spans="1:46">
      <c r="A1011" s="2">
        <v>2280</v>
      </c>
      <c r="B1011" t="s">
        <v>5487</v>
      </c>
      <c r="C1011" t="s">
        <v>2194</v>
      </c>
      <c r="D1011" t="s">
        <v>3752</v>
      </c>
      <c r="E1011" s="4">
        <v>43465</v>
      </c>
      <c r="F1011" s="11">
        <v>-33.955672300000003</v>
      </c>
      <c r="G1011" s="11">
        <v>26.998223800000002</v>
      </c>
      <c r="H1011" s="11">
        <v>0.61940550900000002</v>
      </c>
      <c r="I1011" s="11">
        <v>13.639846374899999</v>
      </c>
      <c r="J1011" s="11">
        <v>1.1483881255999999</v>
      </c>
      <c r="K1011" s="10">
        <v>0.78943599445500001</v>
      </c>
      <c r="L1011" s="12">
        <v>29207548587.580002</v>
      </c>
      <c r="M1011">
        <v>557.16356145659904</v>
      </c>
      <c r="N1011" s="7">
        <v>1.2468921131584201</v>
      </c>
      <c r="O1011" s="7">
        <v>1.13675125725335</v>
      </c>
      <c r="P1011" s="7">
        <v>5.9745672825925498</v>
      </c>
      <c r="Q1011" s="7">
        <v>0.13541666965043384</v>
      </c>
      <c r="U1011">
        <v>3.9516895568744971E-2</v>
      </c>
      <c r="AT1011" s="4" t="s">
        <v>5488</v>
      </c>
    </row>
    <row r="1012" spans="1:46">
      <c r="A1012" s="2">
        <v>989</v>
      </c>
      <c r="B1012" t="s">
        <v>5489</v>
      </c>
      <c r="C1012" t="s">
        <v>1990</v>
      </c>
      <c r="D1012" t="s">
        <v>3842</v>
      </c>
      <c r="E1012" s="4">
        <v>43465</v>
      </c>
      <c r="F1012" s="11">
        <v>13.229260910000001</v>
      </c>
      <c r="G1012" s="11">
        <v>26.956521739999999</v>
      </c>
      <c r="H1012" s="11">
        <v>53.849508251700001</v>
      </c>
      <c r="I1012" s="11">
        <v>21.970668998800001</v>
      </c>
      <c r="J1012" s="11">
        <v>9.9102040276000007</v>
      </c>
      <c r="K1012" s="10">
        <v>0.88847202618300003</v>
      </c>
      <c r="L1012" s="12">
        <v>1561502547</v>
      </c>
      <c r="M1012">
        <v>10.7029248761333</v>
      </c>
      <c r="N1012" s="7">
        <v>1.2613608959792499</v>
      </c>
      <c r="O1012" s="7">
        <v>0.87885991714259304</v>
      </c>
      <c r="P1012" s="7">
        <v>7.9144940729701796</v>
      </c>
      <c r="Q1012" s="7">
        <v>2.0905923344947732</v>
      </c>
      <c r="U1012">
        <v>0.5002774152244519</v>
      </c>
      <c r="AT1012" s="4" t="s">
        <v>3807</v>
      </c>
    </row>
    <row r="1013" spans="1:46">
      <c r="A1013" s="2">
        <v>1704</v>
      </c>
      <c r="B1013" t="s">
        <v>5490</v>
      </c>
      <c r="C1013" t="s">
        <v>1667</v>
      </c>
      <c r="D1013" t="s">
        <v>3721</v>
      </c>
      <c r="E1013" s="4">
        <v>43465</v>
      </c>
      <c r="F1013" s="11">
        <v>-52.322534109999999</v>
      </c>
      <c r="G1013" s="11">
        <v>26.938775509999999</v>
      </c>
      <c r="H1013" s="11">
        <v>-11.019389133000001</v>
      </c>
      <c r="I1013" s="11">
        <v>17.243908965399999</v>
      </c>
      <c r="J1013" s="11">
        <v>-65.684719628899998</v>
      </c>
      <c r="K1013" s="10">
        <v>0.44596934240300001</v>
      </c>
      <c r="L1013" s="12">
        <v>184346761500</v>
      </c>
      <c r="M1013">
        <v>-37.459410829418402</v>
      </c>
      <c r="N1013" s="7">
        <v>2.9257944901722701</v>
      </c>
      <c r="O1013" s="7">
        <v>1.7262111446631501</v>
      </c>
      <c r="P1013" s="7">
        <v>18.259462340165399</v>
      </c>
      <c r="Q1013" s="7" t="s">
        <v>3698</v>
      </c>
      <c r="U1013">
        <v>-1.5861362621502835</v>
      </c>
      <c r="AT1013" s="4" t="s">
        <v>5185</v>
      </c>
    </row>
    <row r="1014" spans="1:46">
      <c r="A1014" s="2">
        <v>2892</v>
      </c>
      <c r="B1014" t="s">
        <v>5491</v>
      </c>
      <c r="C1014" t="s">
        <v>2299</v>
      </c>
      <c r="D1014" t="s">
        <v>3998</v>
      </c>
      <c r="E1014" s="4">
        <v>43465</v>
      </c>
      <c r="F1014" s="11">
        <v>-6.9878415299999999</v>
      </c>
      <c r="G1014" s="11">
        <v>26.894865530000001</v>
      </c>
      <c r="H1014" s="11">
        <v>17.8400994293</v>
      </c>
      <c r="I1014" s="11">
        <v>18.439434371400001</v>
      </c>
      <c r="J1014" s="11">
        <v>2.7697377926</v>
      </c>
      <c r="K1014" s="10">
        <v>0.53914260172100004</v>
      </c>
      <c r="L1014" s="12">
        <v>8752950207.75</v>
      </c>
      <c r="M1014">
        <v>-242.317679153992</v>
      </c>
      <c r="N1014" s="7">
        <v>1.2400682745573299</v>
      </c>
      <c r="O1014" s="7">
        <v>1.0238677103287901</v>
      </c>
      <c r="P1014" s="7">
        <v>-60.5219508583804</v>
      </c>
      <c r="Q1014" s="7">
        <v>0.67873303167420806</v>
      </c>
      <c r="U1014">
        <v>9.6994645013423128E-2</v>
      </c>
      <c r="AT1014" s="4" t="s">
        <v>5492</v>
      </c>
    </row>
    <row r="1015" spans="1:46">
      <c r="A1015" s="2">
        <v>183</v>
      </c>
      <c r="B1015" t="s">
        <v>5493</v>
      </c>
      <c r="C1015" t="s">
        <v>2995</v>
      </c>
      <c r="D1015" t="s">
        <v>3785</v>
      </c>
      <c r="E1015" s="4">
        <v>43465</v>
      </c>
      <c r="F1015" s="11">
        <v>-55.287896590000003</v>
      </c>
      <c r="G1015" s="11">
        <v>26.833333329999999</v>
      </c>
      <c r="H1015" s="11">
        <v>-13.8489321723</v>
      </c>
      <c r="I1015" s="11">
        <v>8.3162333020000005</v>
      </c>
      <c r="J1015" s="11">
        <v>26.292836776400001</v>
      </c>
      <c r="K1015" s="10">
        <v>0.28462981844399998</v>
      </c>
      <c r="L1015" s="12">
        <v>2622660313.3099999</v>
      </c>
      <c r="M1015">
        <v>-9.4832247989566891</v>
      </c>
      <c r="N1015" s="7">
        <v>6.6205932639562004</v>
      </c>
      <c r="O1015" s="7">
        <v>9.5310241718003397</v>
      </c>
      <c r="P1015" s="7">
        <v>-67.759529367945802</v>
      </c>
      <c r="Q1015" s="7" t="s">
        <v>3698</v>
      </c>
      <c r="U1015">
        <v>0.22144893022990644</v>
      </c>
      <c r="AT1015" s="4" t="s">
        <v>5494</v>
      </c>
    </row>
    <row r="1016" spans="1:46">
      <c r="A1016" s="2">
        <v>1210</v>
      </c>
      <c r="B1016" t="s">
        <v>5495</v>
      </c>
      <c r="C1016" t="s">
        <v>1873</v>
      </c>
      <c r="D1016" t="s">
        <v>3889</v>
      </c>
      <c r="E1016" s="4">
        <v>43465</v>
      </c>
      <c r="F1016" s="11">
        <v>-62.727774709999998</v>
      </c>
      <c r="G1016" s="11">
        <v>26.82481752</v>
      </c>
      <c r="H1016" s="11">
        <v>-14.733735278099999</v>
      </c>
      <c r="I1016" s="11">
        <v>32.567097268700003</v>
      </c>
      <c r="J1016" s="11">
        <v>-30.617242832500001</v>
      </c>
      <c r="K1016" s="10">
        <v>0.17856810990399999</v>
      </c>
      <c r="L1016" s="12">
        <v>12985084800</v>
      </c>
      <c r="M1016">
        <v>-349.77193760686498</v>
      </c>
      <c r="N1016" s="7">
        <v>2.0131480977351299</v>
      </c>
      <c r="O1016" s="7">
        <v>5.8732969373033299</v>
      </c>
      <c r="P1016" s="7">
        <v>-99.220617407720297</v>
      </c>
      <c r="Q1016" s="7" t="s">
        <v>3698</v>
      </c>
      <c r="U1016">
        <v>-0.25233399504146298</v>
      </c>
      <c r="AT1016" s="4" t="s">
        <v>5496</v>
      </c>
    </row>
    <row r="1017" spans="1:46">
      <c r="A1017" s="2">
        <v>2013</v>
      </c>
      <c r="B1017" t="s">
        <v>5497</v>
      </c>
      <c r="C1017" t="s">
        <v>2763</v>
      </c>
      <c r="D1017" t="s">
        <v>3832</v>
      </c>
      <c r="E1017" s="4">
        <v>43465</v>
      </c>
      <c r="F1017" s="11">
        <v>-33.080126180000001</v>
      </c>
      <c r="G1017" s="11">
        <v>26.799557029999999</v>
      </c>
      <c r="H1017" s="11">
        <v>-20.1704842776</v>
      </c>
      <c r="I1017" s="11">
        <v>27.431505904800002</v>
      </c>
      <c r="J1017" s="11">
        <v>3.4987871099999999</v>
      </c>
      <c r="K1017" s="10">
        <v>0.42162163744300002</v>
      </c>
      <c r="L1017" s="12">
        <v>178487394187.20001</v>
      </c>
      <c r="M1017">
        <v>45.843740100760201</v>
      </c>
      <c r="N1017" s="7">
        <v>2.1878567555265298</v>
      </c>
      <c r="O1017" s="7">
        <v>2.2042904322086301</v>
      </c>
      <c r="P1017" s="7">
        <v>-36.062747040451299</v>
      </c>
      <c r="Q1017" s="7" t="s">
        <v>3698</v>
      </c>
      <c r="U1017">
        <v>0.12822092962066856</v>
      </c>
      <c r="AT1017" s="4" t="s">
        <v>3716</v>
      </c>
    </row>
    <row r="1018" spans="1:46">
      <c r="A1018" s="2">
        <v>1829</v>
      </c>
      <c r="B1018" t="s">
        <v>5498</v>
      </c>
      <c r="C1018" t="s">
        <v>2046</v>
      </c>
      <c r="D1018" t="s">
        <v>3737</v>
      </c>
      <c r="E1018" s="4">
        <v>43465</v>
      </c>
      <c r="F1018" s="11">
        <v>-5.1216929699999998</v>
      </c>
      <c r="G1018" s="11">
        <v>26.75438596</v>
      </c>
      <c r="H1018" s="11">
        <v>31.5798584291</v>
      </c>
      <c r="I1018" s="11">
        <v>45.6016960639</v>
      </c>
      <c r="J1018" s="11">
        <v>6.5513508019</v>
      </c>
      <c r="K1018" s="10">
        <v>0.291414201506</v>
      </c>
      <c r="L1018" s="12">
        <v>6161125600</v>
      </c>
      <c r="M1018">
        <v>-83.037501598624502</v>
      </c>
      <c r="N1018" s="7">
        <v>3.97103041031056</v>
      </c>
      <c r="O1018" s="7">
        <v>9.8778430592874606</v>
      </c>
      <c r="P1018" s="7">
        <v>-15.999520815316</v>
      </c>
      <c r="Q1018" s="7">
        <v>8.792439302979406E-2</v>
      </c>
      <c r="U1018">
        <v>5.5257234267366104E-2</v>
      </c>
      <c r="AT1018" s="4" t="s">
        <v>4315</v>
      </c>
    </row>
    <row r="1019" spans="1:46">
      <c r="A1019" s="2">
        <v>3369</v>
      </c>
      <c r="B1019" t="s">
        <v>5499</v>
      </c>
      <c r="C1019" t="s">
        <v>755</v>
      </c>
      <c r="D1019" t="s">
        <v>3718</v>
      </c>
      <c r="E1019" s="4">
        <v>43465</v>
      </c>
      <c r="F1019" s="11">
        <v>80.269149639999995</v>
      </c>
      <c r="G1019" s="11">
        <v>26.722301139999999</v>
      </c>
      <c r="H1019" s="11">
        <v>49.891375350700002</v>
      </c>
      <c r="I1019" s="11">
        <v>41.520879367200003</v>
      </c>
      <c r="J1019" s="11">
        <v>28.138078691</v>
      </c>
      <c r="K1019" s="10">
        <v>0.53259510507399999</v>
      </c>
      <c r="L1019" s="12">
        <v>12579131658.540001</v>
      </c>
      <c r="M1019">
        <v>34.337047603453897</v>
      </c>
      <c r="N1019" s="7">
        <v>5.3626411905266798</v>
      </c>
      <c r="O1019" s="7">
        <v>8.7231353040716701</v>
      </c>
      <c r="P1019" s="7">
        <v>25.789487794917999</v>
      </c>
      <c r="Q1019" s="7">
        <v>0.38532675709001235</v>
      </c>
      <c r="U1019">
        <v>1.939744990042662</v>
      </c>
      <c r="AT1019" s="4" t="s">
        <v>5500</v>
      </c>
    </row>
    <row r="1020" spans="1:46">
      <c r="A1020" s="2">
        <v>2372</v>
      </c>
      <c r="B1020" t="s">
        <v>5501</v>
      </c>
      <c r="C1020" t="s">
        <v>3651</v>
      </c>
      <c r="D1020" t="s">
        <v>3785</v>
      </c>
      <c r="E1020" s="4">
        <v>43465</v>
      </c>
      <c r="F1020" s="11">
        <v>-27.539779679999999</v>
      </c>
      <c r="G1020" s="11">
        <v>26.6384778</v>
      </c>
      <c r="H1020" s="11">
        <v>-38.230692587199997</v>
      </c>
      <c r="I1020" s="11">
        <v>31.962185069</v>
      </c>
      <c r="J1020" s="11">
        <v>5.7366079121000002</v>
      </c>
      <c r="K1020" s="10">
        <v>0.41615669493200003</v>
      </c>
      <c r="L1020" s="12">
        <v>3544576860.8699999</v>
      </c>
      <c r="M1020">
        <v>-7.0912927480955297</v>
      </c>
      <c r="N1020" s="7">
        <v>2.6551984033403802</v>
      </c>
      <c r="O1020" s="7">
        <v>2.64551304526085</v>
      </c>
      <c r="P1020" s="7">
        <v>-9.8902008809690098</v>
      </c>
      <c r="Q1020" s="7" t="s">
        <v>3698</v>
      </c>
      <c r="U1020">
        <v>9.0391030700580105E-2</v>
      </c>
      <c r="AT1020" s="4" t="s">
        <v>5502</v>
      </c>
    </row>
    <row r="1021" spans="1:46">
      <c r="A1021" s="2">
        <v>854</v>
      </c>
      <c r="B1021" t="s">
        <v>5503</v>
      </c>
      <c r="C1021" t="s">
        <v>737</v>
      </c>
      <c r="D1021" t="s">
        <v>3889</v>
      </c>
      <c r="E1021" s="4">
        <v>43465</v>
      </c>
      <c r="F1021" s="11">
        <v>-52.026460530000001</v>
      </c>
      <c r="G1021" s="11">
        <v>26.6075388</v>
      </c>
      <c r="H1021" s="11">
        <v>-13.843193529400001</v>
      </c>
      <c r="I1021" s="11">
        <v>10.1426142532</v>
      </c>
      <c r="J1021" s="11">
        <v>-76.671987966800003</v>
      </c>
      <c r="K1021" s="10">
        <v>0.33203355475099999</v>
      </c>
      <c r="L1021" s="12">
        <v>5683157843.6800003</v>
      </c>
      <c r="M1021">
        <v>8.6009510670949307</v>
      </c>
      <c r="N1021" s="7">
        <v>3.1772508577826102</v>
      </c>
      <c r="O1021" s="7">
        <v>1.7604886656847201</v>
      </c>
      <c r="P1021" s="7">
        <v>-17.8148157815186</v>
      </c>
      <c r="Q1021" s="7" t="s">
        <v>3698</v>
      </c>
      <c r="U1021">
        <v>-2.3040378499165906</v>
      </c>
      <c r="AT1021" s="4" t="s">
        <v>5504</v>
      </c>
    </row>
    <row r="1022" spans="1:46">
      <c r="A1022" s="2">
        <v>2367</v>
      </c>
      <c r="B1022" t="s">
        <v>5505</v>
      </c>
      <c r="C1022" t="s">
        <v>661</v>
      </c>
      <c r="D1022" t="s">
        <v>3972</v>
      </c>
      <c r="E1022" s="4">
        <v>43465</v>
      </c>
      <c r="F1022" s="11">
        <v>-23.0366769</v>
      </c>
      <c r="G1022" s="11">
        <v>26.6</v>
      </c>
      <c r="H1022" s="11">
        <v>37.448044862400003</v>
      </c>
      <c r="I1022" s="11">
        <v>13.220308359700001</v>
      </c>
      <c r="J1022" s="11">
        <v>7.0332360010999997</v>
      </c>
      <c r="K1022" s="10">
        <v>1.610306456043</v>
      </c>
      <c r="L1022" s="12">
        <v>2693651988</v>
      </c>
      <c r="M1022">
        <v>17.8563645365494</v>
      </c>
      <c r="N1022" s="7">
        <v>2.7959696271691499</v>
      </c>
      <c r="O1022" s="7">
        <v>1.09899456520712</v>
      </c>
      <c r="P1022" s="7">
        <v>-26.6282508637332</v>
      </c>
      <c r="Q1022" s="7">
        <v>1.2026704079736039</v>
      </c>
      <c r="U1022">
        <v>0.67310722334391215</v>
      </c>
      <c r="AT1022" s="4" t="s">
        <v>4111</v>
      </c>
    </row>
    <row r="1023" spans="1:46">
      <c r="A1023" s="2">
        <v>1746</v>
      </c>
      <c r="B1023" t="s">
        <v>5506</v>
      </c>
      <c r="C1023" t="s">
        <v>3066</v>
      </c>
      <c r="D1023" t="s">
        <v>3728</v>
      </c>
      <c r="E1023" s="4">
        <v>43465</v>
      </c>
      <c r="F1023" s="11">
        <v>-30.02337434</v>
      </c>
      <c r="G1023" s="11">
        <v>26.561264820000002</v>
      </c>
      <c r="H1023" s="11">
        <v>7.4329046340999998</v>
      </c>
      <c r="I1023" s="11">
        <v>18.680926681300001</v>
      </c>
      <c r="J1023" s="11">
        <v>6.1375421788000004</v>
      </c>
      <c r="K1023" s="10">
        <v>0.64443103542299995</v>
      </c>
      <c r="L1023" s="12">
        <v>4758722791.21</v>
      </c>
      <c r="M1023">
        <v>46.072580407471499</v>
      </c>
      <c r="N1023" s="7">
        <v>1.8226130245255101</v>
      </c>
      <c r="O1023" s="7">
        <v>2.5085286343042199</v>
      </c>
      <c r="P1023" s="7">
        <v>-77.9413287967445</v>
      </c>
      <c r="Q1023" s="7">
        <v>0.41695621959694229</v>
      </c>
      <c r="U1023">
        <v>0.32430402319819823</v>
      </c>
      <c r="AT1023" s="4" t="s">
        <v>3954</v>
      </c>
    </row>
    <row r="1024" spans="1:46">
      <c r="A1024" s="2">
        <v>2751</v>
      </c>
      <c r="B1024" t="s">
        <v>5507</v>
      </c>
      <c r="C1024" t="s">
        <v>55</v>
      </c>
      <c r="D1024" t="s">
        <v>3998</v>
      </c>
      <c r="E1024" s="4">
        <v>43465</v>
      </c>
      <c r="F1024" s="11">
        <v>-29.512635379999999</v>
      </c>
      <c r="G1024" s="11">
        <v>26.559714799999998</v>
      </c>
      <c r="H1024" s="11">
        <v>129.24683823320001</v>
      </c>
      <c r="I1024" s="11">
        <v>21.8256160838</v>
      </c>
      <c r="J1024" s="11">
        <v>7.4176382208999998</v>
      </c>
      <c r="K1024" s="10">
        <v>0.92867550475000005</v>
      </c>
      <c r="L1024" s="12">
        <v>3370174675.6399999</v>
      </c>
      <c r="M1024">
        <v>46.507181314195897</v>
      </c>
      <c r="N1024" s="7">
        <v>28.520137875146901</v>
      </c>
      <c r="O1024" s="7">
        <v>4.7111408301889703</v>
      </c>
      <c r="P1024" s="7">
        <v>432.47094690140699</v>
      </c>
      <c r="Q1024" s="7" t="s">
        <v>3698</v>
      </c>
      <c r="U1024">
        <v>9.0786658328318864E-2</v>
      </c>
      <c r="AT1024" s="4" t="s">
        <v>4751</v>
      </c>
    </row>
    <row r="1025" spans="1:46">
      <c r="A1025" s="2">
        <v>64</v>
      </c>
      <c r="B1025" t="s">
        <v>5508</v>
      </c>
      <c r="C1025" t="s">
        <v>1876</v>
      </c>
      <c r="D1025" t="s">
        <v>3972</v>
      </c>
      <c r="E1025" s="4">
        <v>43465</v>
      </c>
      <c r="F1025" s="11">
        <v>14.807369789999999</v>
      </c>
      <c r="G1025" s="11">
        <v>26.549637300000001</v>
      </c>
      <c r="H1025" s="11">
        <v>8.3960506275999993</v>
      </c>
      <c r="I1025" s="11">
        <v>25.884770291500001</v>
      </c>
      <c r="J1025" s="11">
        <v>18.943159362100001</v>
      </c>
      <c r="K1025" s="10">
        <v>0.27092153000500002</v>
      </c>
      <c r="L1025" s="12">
        <v>6139615893.75</v>
      </c>
      <c r="M1025">
        <v>23.233158189589702</v>
      </c>
      <c r="N1025" s="7">
        <v>1.37273363520624</v>
      </c>
      <c r="O1025" s="7">
        <v>4.4953038007960799</v>
      </c>
      <c r="P1025" s="7">
        <v>60.909116122071097</v>
      </c>
      <c r="Q1025" s="7">
        <v>0.91101694915254239</v>
      </c>
      <c r="U1025">
        <v>0.32573515257486696</v>
      </c>
      <c r="AT1025" s="4" t="s">
        <v>5509</v>
      </c>
    </row>
    <row r="1026" spans="1:46">
      <c r="A1026" s="2">
        <v>408</v>
      </c>
      <c r="B1026" t="s">
        <v>5510</v>
      </c>
      <c r="C1026" t="s">
        <v>1454</v>
      </c>
      <c r="D1026" t="s">
        <v>3764</v>
      </c>
      <c r="E1026" s="4">
        <v>43465</v>
      </c>
      <c r="F1026" s="11">
        <v>-19.28020566</v>
      </c>
      <c r="G1026" s="11">
        <v>26.53061224</v>
      </c>
      <c r="H1026" s="11">
        <v>43.093891876699999</v>
      </c>
      <c r="I1026" s="11">
        <v>18.9897652768</v>
      </c>
      <c r="J1026" s="11">
        <v>3.4487223671999998</v>
      </c>
      <c r="K1026" s="10">
        <v>0.194867615154</v>
      </c>
      <c r="L1026" s="12">
        <v>1411054083</v>
      </c>
      <c r="M1026">
        <v>-22.044660352047199</v>
      </c>
      <c r="N1026" s="7">
        <v>0.72445827177647104</v>
      </c>
      <c r="O1026" s="7">
        <v>0.80002167656901602</v>
      </c>
      <c r="P1026" s="7">
        <v>9.0885400397803906</v>
      </c>
      <c r="Q1026" s="7" t="s">
        <v>3698</v>
      </c>
      <c r="U1026">
        <v>5.3397819171824991E-2</v>
      </c>
      <c r="AT1026" s="4" t="s">
        <v>5511</v>
      </c>
    </row>
    <row r="1027" spans="1:46">
      <c r="A1027" s="2">
        <v>1633</v>
      </c>
      <c r="B1027" t="s">
        <v>5512</v>
      </c>
      <c r="C1027" t="s">
        <v>299</v>
      </c>
      <c r="D1027" t="s">
        <v>3761</v>
      </c>
      <c r="E1027" s="4">
        <v>43465</v>
      </c>
      <c r="F1027" s="11">
        <v>-42.783916150000003</v>
      </c>
      <c r="G1027" s="11">
        <v>26.480836239999999</v>
      </c>
      <c r="H1027" s="11">
        <v>-14.5966858927</v>
      </c>
      <c r="I1027" s="11">
        <v>35.133828280800003</v>
      </c>
      <c r="J1027" s="11">
        <v>14.3375521871</v>
      </c>
      <c r="K1027" s="10">
        <v>0.28945224285400001</v>
      </c>
      <c r="L1027" s="12">
        <v>2591462900</v>
      </c>
      <c r="M1027">
        <v>15.6986895358512</v>
      </c>
      <c r="N1027" s="7">
        <v>2.1113610857078999</v>
      </c>
      <c r="O1027" s="7">
        <v>3.0091823115591398</v>
      </c>
      <c r="P1027" s="7">
        <v>23.633562553502198</v>
      </c>
      <c r="Q1027" s="7">
        <v>0.49027919543680576</v>
      </c>
      <c r="U1027">
        <v>0.24561909809607785</v>
      </c>
      <c r="AT1027" s="4" t="s">
        <v>5241</v>
      </c>
    </row>
    <row r="1028" spans="1:46">
      <c r="A1028" s="2">
        <v>926</v>
      </c>
      <c r="B1028" t="s">
        <v>5513</v>
      </c>
      <c r="C1028" t="s">
        <v>213</v>
      </c>
      <c r="D1028" t="s">
        <v>3713</v>
      </c>
      <c r="E1028" s="4">
        <v>43465</v>
      </c>
      <c r="F1028" s="11">
        <v>-12.91230176</v>
      </c>
      <c r="G1028" s="11">
        <v>26.475155279999999</v>
      </c>
      <c r="H1028" s="11">
        <v>18.927492438600002</v>
      </c>
      <c r="I1028" s="11">
        <v>44.8534291868</v>
      </c>
      <c r="J1028" s="11">
        <v>22.8377763686</v>
      </c>
      <c r="K1028" s="10">
        <v>0.86631603552400005</v>
      </c>
      <c r="L1028" s="12">
        <v>46779052684.5</v>
      </c>
      <c r="M1028">
        <v>23.032143901765501</v>
      </c>
      <c r="N1028" s="7">
        <v>6.3592278019178901</v>
      </c>
      <c r="O1028" s="7">
        <v>4.9541952312450901</v>
      </c>
      <c r="P1028" s="7">
        <v>51.545363262245402</v>
      </c>
      <c r="Q1028" s="7">
        <v>1.9109259620818324</v>
      </c>
      <c r="U1028">
        <v>1.2303605139287652</v>
      </c>
      <c r="AT1028" s="4" t="s">
        <v>5421</v>
      </c>
    </row>
    <row r="1029" spans="1:46">
      <c r="A1029" s="2">
        <v>2194</v>
      </c>
      <c r="B1029" t="s">
        <v>5514</v>
      </c>
      <c r="C1029" t="s">
        <v>2264</v>
      </c>
      <c r="D1029" t="s">
        <v>4046</v>
      </c>
      <c r="E1029" s="4">
        <v>43465</v>
      </c>
      <c r="F1029" s="11">
        <v>3.7608126999999998</v>
      </c>
      <c r="G1029" s="11">
        <v>26.472162740000002</v>
      </c>
      <c r="H1029" s="11">
        <v>8.4445185574000003</v>
      </c>
      <c r="I1029" s="11">
        <v>13.931845724</v>
      </c>
      <c r="J1029" s="11">
        <v>3.9060409040000001</v>
      </c>
      <c r="K1029" s="10">
        <v>0.56151688299500002</v>
      </c>
      <c r="L1029" s="12">
        <v>24794441672</v>
      </c>
      <c r="M1029">
        <v>46.338546621036002</v>
      </c>
      <c r="N1029" s="7">
        <v>2.8535292092610902</v>
      </c>
      <c r="O1029" s="7">
        <v>1.7713297572643401</v>
      </c>
      <c r="P1029" s="7">
        <v>111.923016265095</v>
      </c>
      <c r="Q1029" s="7">
        <v>0.5714285714285714</v>
      </c>
      <c r="U1029">
        <v>0.86573501993927782</v>
      </c>
      <c r="AT1029" s="4" t="s">
        <v>5515</v>
      </c>
    </row>
    <row r="1030" spans="1:46">
      <c r="A1030" s="2">
        <v>3543</v>
      </c>
      <c r="B1030" t="s">
        <v>5516</v>
      </c>
      <c r="C1030" t="s">
        <v>1835</v>
      </c>
      <c r="D1030" t="s">
        <v>3713</v>
      </c>
      <c r="E1030" s="4">
        <v>43465</v>
      </c>
      <c r="F1030" s="11">
        <v>-28.34357885</v>
      </c>
      <c r="G1030" s="11">
        <v>26.456071080000001</v>
      </c>
      <c r="H1030" s="11">
        <v>14.041593111499999</v>
      </c>
      <c r="I1030" s="11">
        <v>39.583074557700002</v>
      </c>
      <c r="J1030" s="11">
        <v>5.1528746898</v>
      </c>
      <c r="K1030" s="10">
        <v>0.64729995714999999</v>
      </c>
      <c r="L1030" s="12">
        <v>2653344000</v>
      </c>
      <c r="M1030">
        <v>30.457209638231902</v>
      </c>
      <c r="N1030" s="7">
        <v>1.72090434074467</v>
      </c>
      <c r="O1030" s="7">
        <v>1.8618149265666399</v>
      </c>
      <c r="P1030" s="7">
        <v>-33.351230244378399</v>
      </c>
      <c r="Q1030" s="7">
        <v>0.96</v>
      </c>
      <c r="U1030">
        <v>0.29722205352582487</v>
      </c>
      <c r="AT1030" s="4" t="s">
        <v>4831</v>
      </c>
    </row>
    <row r="1031" spans="1:46">
      <c r="A1031" s="2">
        <v>733</v>
      </c>
      <c r="B1031" t="s">
        <v>5517</v>
      </c>
      <c r="C1031" t="s">
        <v>305</v>
      </c>
      <c r="D1031" t="s">
        <v>3721</v>
      </c>
      <c r="E1031" s="4">
        <v>43465</v>
      </c>
      <c r="F1031" s="11">
        <v>-31.715214450000001</v>
      </c>
      <c r="G1031" s="11">
        <v>26.43442623</v>
      </c>
      <c r="H1031" s="11">
        <v>8.2867488002999998</v>
      </c>
      <c r="I1031" s="11">
        <v>60.326569353700002</v>
      </c>
      <c r="J1031" s="11">
        <v>31.228316749800001</v>
      </c>
      <c r="K1031" s="10">
        <v>0.52119084841999996</v>
      </c>
      <c r="L1031" s="12">
        <v>5751640697.46</v>
      </c>
      <c r="M1031">
        <v>26.332390820150501</v>
      </c>
      <c r="N1031" s="7">
        <v>4.7640767590145101</v>
      </c>
      <c r="O1031" s="7">
        <v>8.42234461717789</v>
      </c>
      <c r="P1031" s="7">
        <v>298.10887599758797</v>
      </c>
      <c r="Q1031" s="7">
        <v>0.91074681238615673</v>
      </c>
      <c r="U1031">
        <v>0.35182854650292394</v>
      </c>
      <c r="AT1031" s="4" t="s">
        <v>5518</v>
      </c>
    </row>
    <row r="1032" spans="1:46">
      <c r="A1032" s="2">
        <v>3151</v>
      </c>
      <c r="B1032" t="s">
        <v>5519</v>
      </c>
      <c r="C1032" t="s">
        <v>3199</v>
      </c>
      <c r="D1032" t="s">
        <v>3718</v>
      </c>
      <c r="E1032" s="4">
        <v>43465</v>
      </c>
      <c r="F1032" s="11">
        <v>-34.355179700000001</v>
      </c>
      <c r="G1032" s="11">
        <v>26.422764229999999</v>
      </c>
      <c r="H1032" s="11">
        <v>6.9054841776</v>
      </c>
      <c r="I1032" s="11">
        <v>12.5403991804</v>
      </c>
      <c r="J1032" s="11">
        <v>6.9050480744999998</v>
      </c>
      <c r="K1032" s="10">
        <v>0.25720513929400002</v>
      </c>
      <c r="L1032" s="12">
        <v>35959485688.5</v>
      </c>
      <c r="M1032">
        <v>-8.9587274032428503</v>
      </c>
      <c r="N1032" s="7">
        <v>0.96889192053517803</v>
      </c>
      <c r="O1032" s="7">
        <v>2.2801288735829601</v>
      </c>
      <c r="P1032" s="7">
        <v>-212.65633119588301</v>
      </c>
      <c r="Q1032" s="7" t="s">
        <v>3698</v>
      </c>
      <c r="U1032">
        <v>0.1775342681204726</v>
      </c>
      <c r="AT1032" s="4" t="s">
        <v>4044</v>
      </c>
    </row>
    <row r="1033" spans="1:46">
      <c r="A1033" s="2">
        <v>3017</v>
      </c>
      <c r="B1033" t="s">
        <v>5520</v>
      </c>
      <c r="C1033" t="s">
        <v>1950</v>
      </c>
      <c r="D1033" t="s">
        <v>3889</v>
      </c>
      <c r="E1033" s="4">
        <v>43465</v>
      </c>
      <c r="F1033" s="11">
        <v>-16.503534640000002</v>
      </c>
      <c r="G1033" s="11">
        <v>26.41509434</v>
      </c>
      <c r="H1033" s="11">
        <v>25.5530228559</v>
      </c>
      <c r="I1033" s="11">
        <v>32.640982288300002</v>
      </c>
      <c r="J1033" s="11">
        <v>9.6821009628999999</v>
      </c>
      <c r="K1033" s="10">
        <v>0.30734464857400001</v>
      </c>
      <c r="L1033" s="12">
        <v>1425240000</v>
      </c>
      <c r="M1033">
        <v>20.3627928404877</v>
      </c>
      <c r="N1033" s="7">
        <v>1.5149293567220401</v>
      </c>
      <c r="O1033" s="7">
        <v>2.33756860243352</v>
      </c>
      <c r="P1033" s="7">
        <v>10.2975596899138</v>
      </c>
      <c r="Q1033" s="7">
        <v>1.1542092221652538</v>
      </c>
      <c r="U1033">
        <v>0.29898253264890451</v>
      </c>
      <c r="AT1033" s="4" t="s">
        <v>5521</v>
      </c>
    </row>
    <row r="1034" spans="1:46">
      <c r="A1034" s="2">
        <v>1033</v>
      </c>
      <c r="B1034" t="s">
        <v>5522</v>
      </c>
      <c r="C1034" t="s">
        <v>2585</v>
      </c>
      <c r="D1034" t="s">
        <v>3752</v>
      </c>
      <c r="E1034" s="4">
        <v>43465</v>
      </c>
      <c r="F1034" s="11">
        <v>-29.448703900000002</v>
      </c>
      <c r="G1034" s="11">
        <v>26.380368099999998</v>
      </c>
      <c r="H1034" s="11">
        <v>65.139976693899996</v>
      </c>
      <c r="I1034" s="11">
        <v>17.616829944799999</v>
      </c>
      <c r="J1034" s="11">
        <v>-2.0956034257999998</v>
      </c>
      <c r="K1034" s="10">
        <v>0.34711220379199997</v>
      </c>
      <c r="L1034" s="12">
        <v>2725611900</v>
      </c>
      <c r="M1034">
        <v>235.65688836643699</v>
      </c>
      <c r="N1034" s="7">
        <v>2.4800520326493301</v>
      </c>
      <c r="O1034" s="7">
        <v>4.6683796220374401</v>
      </c>
      <c r="P1034" s="7">
        <v>37.422623165849799</v>
      </c>
      <c r="Q1034" s="7">
        <v>0.5357142857142857</v>
      </c>
      <c r="U1034">
        <v>3.9652045029370933E-2</v>
      </c>
      <c r="AT1034" s="4" t="s">
        <v>5523</v>
      </c>
    </row>
    <row r="1035" spans="1:46">
      <c r="A1035" s="2">
        <v>2508</v>
      </c>
      <c r="B1035" t="s">
        <v>5524</v>
      </c>
      <c r="C1035" t="s">
        <v>3325</v>
      </c>
      <c r="D1035" t="s">
        <v>4046</v>
      </c>
      <c r="E1035" s="4">
        <v>43465</v>
      </c>
      <c r="F1035" s="11">
        <v>-29.795207340000001</v>
      </c>
      <c r="G1035" s="11">
        <v>26.349496800000001</v>
      </c>
      <c r="H1035" s="11">
        <v>4.6687741801999998</v>
      </c>
      <c r="I1035" s="11">
        <v>12.378938890100001</v>
      </c>
      <c r="J1035" s="11">
        <v>-12.291083091899999</v>
      </c>
      <c r="K1035" s="10">
        <v>0.40437517719900001</v>
      </c>
      <c r="L1035" s="12">
        <v>20036018102.93</v>
      </c>
      <c r="M1035">
        <v>-61.011626202137201</v>
      </c>
      <c r="N1035" s="7">
        <v>2.5137936483840901</v>
      </c>
      <c r="O1035" s="7">
        <v>1.54527566643722</v>
      </c>
      <c r="P1035" s="7">
        <v>-93.113231527412907</v>
      </c>
      <c r="Q1035" s="7" t="s">
        <v>3698</v>
      </c>
      <c r="U1035">
        <v>-0.91790264932716503</v>
      </c>
      <c r="AT1035" s="4" t="s">
        <v>5525</v>
      </c>
    </row>
    <row r="1036" spans="1:46">
      <c r="A1036" s="2">
        <v>1055</v>
      </c>
      <c r="B1036" t="s">
        <v>5526</v>
      </c>
      <c r="C1036" t="s">
        <v>1771</v>
      </c>
      <c r="D1036" t="s">
        <v>3713</v>
      </c>
      <c r="E1036" s="4">
        <v>43465</v>
      </c>
      <c r="F1036" s="11">
        <v>-12.48127509</v>
      </c>
      <c r="G1036" s="11">
        <v>26.34011091</v>
      </c>
      <c r="H1036" s="11">
        <v>4.8564396109999999</v>
      </c>
      <c r="I1036" s="11">
        <v>15.166226414400001</v>
      </c>
      <c r="J1036" s="11">
        <v>0.4053768109</v>
      </c>
      <c r="K1036" s="10">
        <v>0.93524828967600004</v>
      </c>
      <c r="L1036" s="12">
        <v>6739425897.1999998</v>
      </c>
      <c r="M1036">
        <v>70.181731455995603</v>
      </c>
      <c r="N1036" s="7">
        <v>3.0178946390574501</v>
      </c>
      <c r="O1036" s="7">
        <v>1.0668229121805399</v>
      </c>
      <c r="P1036" s="7">
        <v>-79.463295822658793</v>
      </c>
      <c r="Q1036" s="7">
        <v>0.24752475247524752</v>
      </c>
      <c r="U1036">
        <v>2.4127613461666475E-2</v>
      </c>
      <c r="AT1036" s="4" t="s">
        <v>3898</v>
      </c>
    </row>
    <row r="1037" spans="1:46">
      <c r="A1037" s="2">
        <v>1608</v>
      </c>
      <c r="B1037" t="s">
        <v>5527</v>
      </c>
      <c r="C1037" t="s">
        <v>1696</v>
      </c>
      <c r="D1037" t="s">
        <v>3721</v>
      </c>
      <c r="E1037" s="4">
        <v>43465</v>
      </c>
      <c r="F1037" s="11">
        <v>-21.119462739999999</v>
      </c>
      <c r="G1037" s="11">
        <v>26.33814783</v>
      </c>
      <c r="H1037" s="11">
        <v>10.9319324524</v>
      </c>
      <c r="I1037" s="11">
        <v>50.225323979899997</v>
      </c>
      <c r="J1037" s="11">
        <v>17.620822036300002</v>
      </c>
      <c r="K1037" s="10">
        <v>0.32295329493199998</v>
      </c>
      <c r="L1037" s="12">
        <v>5381230500</v>
      </c>
      <c r="M1037">
        <v>38.890676918172502</v>
      </c>
      <c r="N1037" s="7">
        <v>2.1413133774277</v>
      </c>
      <c r="O1037" s="7">
        <v>5.9609857443565604</v>
      </c>
      <c r="P1037" s="7">
        <v>34.815267984172699</v>
      </c>
      <c r="Q1037" s="7">
        <v>1.5637216575449573</v>
      </c>
      <c r="U1037">
        <v>0.38008404772978016</v>
      </c>
      <c r="AT1037" s="4" t="s">
        <v>5528</v>
      </c>
    </row>
    <row r="1038" spans="1:46">
      <c r="A1038" s="2">
        <v>2995</v>
      </c>
      <c r="B1038" t="s">
        <v>5529</v>
      </c>
      <c r="C1038" t="s">
        <v>1163</v>
      </c>
      <c r="D1038" t="s">
        <v>3858</v>
      </c>
      <c r="E1038" s="4">
        <v>43465</v>
      </c>
      <c r="F1038" s="11">
        <v>-25.135596020000001</v>
      </c>
      <c r="G1038" s="11">
        <v>26.325411330000001</v>
      </c>
      <c r="H1038" s="11">
        <v>9.9609432747</v>
      </c>
      <c r="I1038" s="11">
        <v>18.5603685349</v>
      </c>
      <c r="J1038" s="11">
        <v>6.5266088527999999</v>
      </c>
      <c r="K1038" s="10">
        <v>0.70779501184500004</v>
      </c>
      <c r="L1038" s="12">
        <v>305955650187.03998</v>
      </c>
      <c r="M1038">
        <v>9.2042144335663103</v>
      </c>
      <c r="N1038" s="7">
        <v>1.2259410865461899</v>
      </c>
      <c r="O1038" s="7">
        <v>0.46568596290180098</v>
      </c>
      <c r="P1038" s="7">
        <v>-2.4896941303776199</v>
      </c>
      <c r="Q1038" s="7">
        <v>4.2604501607717049</v>
      </c>
      <c r="U1038">
        <v>0.78612409615241563</v>
      </c>
      <c r="AT1038" s="4" t="s">
        <v>5530</v>
      </c>
    </row>
    <row r="1039" spans="1:46">
      <c r="A1039" s="2">
        <v>395</v>
      </c>
      <c r="B1039" t="s">
        <v>5531</v>
      </c>
      <c r="C1039" t="s">
        <v>1290</v>
      </c>
      <c r="D1039" t="s">
        <v>3728</v>
      </c>
      <c r="E1039" s="4">
        <v>43465</v>
      </c>
      <c r="F1039" s="11">
        <v>-9.3192544000000002</v>
      </c>
      <c r="G1039" s="11">
        <v>26.25</v>
      </c>
      <c r="H1039" s="11">
        <v>18.7221829906</v>
      </c>
      <c r="I1039" s="11">
        <v>13.718666428700001</v>
      </c>
      <c r="J1039" s="11">
        <v>3.4659338707999998</v>
      </c>
      <c r="K1039" s="10">
        <v>0.36005344392999999</v>
      </c>
      <c r="L1039" s="12">
        <v>28123934120.360001</v>
      </c>
      <c r="M1039">
        <v>-31.823064890610901</v>
      </c>
      <c r="N1039" s="7">
        <v>0.73131742737987604</v>
      </c>
      <c r="O1039" s="7">
        <v>1.1237046621271101</v>
      </c>
      <c r="P1039" s="7">
        <v>-2474.1314078902801</v>
      </c>
      <c r="Q1039" s="7">
        <v>1.3297872340425532</v>
      </c>
      <c r="U1039">
        <v>0.12575564910026243</v>
      </c>
      <c r="AT1039" s="4" t="s">
        <v>5532</v>
      </c>
    </row>
    <row r="1040" spans="1:46">
      <c r="A1040" s="2">
        <v>2381</v>
      </c>
      <c r="B1040" t="s">
        <v>5533</v>
      </c>
      <c r="C1040" t="s">
        <v>3237</v>
      </c>
      <c r="D1040" t="s">
        <v>3752</v>
      </c>
      <c r="E1040" s="4">
        <v>43465</v>
      </c>
      <c r="F1040" s="11">
        <v>-32.095096580000003</v>
      </c>
      <c r="G1040" s="11">
        <v>26.24309392</v>
      </c>
      <c r="H1040" s="11">
        <v>-15.446297189999999</v>
      </c>
      <c r="I1040" s="11">
        <v>20.510784726499999</v>
      </c>
      <c r="J1040" s="11">
        <v>0.6340919304</v>
      </c>
      <c r="K1040" s="10">
        <v>0.47534460259099998</v>
      </c>
      <c r="L1040" s="12">
        <v>5431616685.3000002</v>
      </c>
      <c r="M1040">
        <v>-20.443705646822899</v>
      </c>
      <c r="N1040" s="7">
        <v>1.1103846515050599</v>
      </c>
      <c r="O1040" s="7">
        <v>1.5443031718801099</v>
      </c>
      <c r="P1040" s="7">
        <v>-47.522558344424098</v>
      </c>
      <c r="Q1040" s="7" t="s">
        <v>3698</v>
      </c>
      <c r="U1040">
        <v>3.9490390436363633E-2</v>
      </c>
      <c r="AT1040" s="4" t="s">
        <v>4124</v>
      </c>
    </row>
    <row r="1041" spans="1:46">
      <c r="A1041" s="2">
        <v>1853</v>
      </c>
      <c r="B1041" t="s">
        <v>5534</v>
      </c>
      <c r="C1041" t="s">
        <v>721</v>
      </c>
      <c r="D1041" t="s">
        <v>3849</v>
      </c>
      <c r="E1041" s="4">
        <v>43465</v>
      </c>
      <c r="F1041" s="11">
        <v>-12.34644392</v>
      </c>
      <c r="G1041" s="11">
        <v>26.22504537</v>
      </c>
      <c r="H1041" s="11">
        <v>7.8529159230000003</v>
      </c>
      <c r="I1041" s="11">
        <v>18.994330590400001</v>
      </c>
      <c r="J1041" s="11">
        <v>6.0045915313</v>
      </c>
      <c r="K1041" s="10">
        <v>1.80524382167</v>
      </c>
      <c r="L1041" s="12">
        <v>5245425000</v>
      </c>
      <c r="M1041">
        <v>55.516651149963202</v>
      </c>
      <c r="N1041" s="7">
        <v>1.12113625810211</v>
      </c>
      <c r="O1041" s="7">
        <v>2.5950058001471001</v>
      </c>
      <c r="P1041" s="7">
        <v>281.47003528173099</v>
      </c>
      <c r="Q1041" s="7">
        <v>0.90163934426229519</v>
      </c>
      <c r="U1041">
        <v>1.341378893461221</v>
      </c>
      <c r="AT1041" s="4" t="s">
        <v>4058</v>
      </c>
    </row>
    <row r="1042" spans="1:46">
      <c r="A1042" s="2">
        <v>2721</v>
      </c>
      <c r="B1042" t="s">
        <v>5535</v>
      </c>
      <c r="C1042" t="s">
        <v>578</v>
      </c>
      <c r="D1042" t="s">
        <v>3871</v>
      </c>
      <c r="E1042" s="4">
        <v>43465</v>
      </c>
      <c r="F1042" s="11">
        <v>-4.0453567499999998</v>
      </c>
      <c r="G1042" s="11">
        <v>26.200873359999999</v>
      </c>
      <c r="H1042" s="11">
        <v>-13.864359783499999</v>
      </c>
      <c r="I1042" s="11">
        <v>26.313768190800001</v>
      </c>
      <c r="J1042" s="11">
        <v>11.4976851027</v>
      </c>
      <c r="K1042" s="10">
        <v>0.25231139044799999</v>
      </c>
      <c r="L1042" s="12">
        <v>2201620109.5799999</v>
      </c>
      <c r="M1042">
        <v>17.057410277496398</v>
      </c>
      <c r="N1042" s="7">
        <v>1.5312318420780799</v>
      </c>
      <c r="O1042" s="7">
        <v>1.7202799920786001</v>
      </c>
      <c r="P1042" s="7">
        <v>12.306802676314</v>
      </c>
      <c r="Q1042" s="7">
        <v>1.3293051359516619</v>
      </c>
      <c r="U1042">
        <v>0.7314143179274607</v>
      </c>
      <c r="AT1042" s="4" t="s">
        <v>5536</v>
      </c>
    </row>
    <row r="1043" spans="1:46">
      <c r="A1043" s="2">
        <v>2624</v>
      </c>
      <c r="B1043" t="s">
        <v>5537</v>
      </c>
      <c r="C1043" t="s">
        <v>873</v>
      </c>
      <c r="D1043" t="s">
        <v>3972</v>
      </c>
      <c r="E1043" s="4">
        <v>43465</v>
      </c>
      <c r="F1043" s="11">
        <v>42.24226299</v>
      </c>
      <c r="G1043" s="11">
        <v>26.169265029999998</v>
      </c>
      <c r="H1043" s="11">
        <v>11.452282737699999</v>
      </c>
      <c r="I1043" s="11">
        <v>50.780803179199999</v>
      </c>
      <c r="J1043" s="11">
        <v>61.626726468599998</v>
      </c>
      <c r="K1043" s="10">
        <v>0.14781118454600001</v>
      </c>
      <c r="L1043" s="12">
        <v>8466012987.6000004</v>
      </c>
      <c r="M1043">
        <v>13.629099694256499</v>
      </c>
      <c r="N1043" s="7">
        <v>1.12631363069098</v>
      </c>
      <c r="O1043" s="7">
        <v>3.67899023012545</v>
      </c>
      <c r="P1043" s="7">
        <v>177.450340610891</v>
      </c>
      <c r="Q1043" s="7">
        <v>6.5740740740740735</v>
      </c>
      <c r="U1043">
        <v>1.5774474580456117</v>
      </c>
      <c r="AT1043" s="4" t="s">
        <v>5538</v>
      </c>
    </row>
    <row r="1044" spans="1:46">
      <c r="A1044" s="2">
        <v>2167</v>
      </c>
      <c r="B1044" t="s">
        <v>5539</v>
      </c>
      <c r="C1044" t="s">
        <v>1394</v>
      </c>
      <c r="D1044" t="s">
        <v>3849</v>
      </c>
      <c r="E1044" s="4">
        <v>43465</v>
      </c>
      <c r="F1044" s="11">
        <v>-19.867904450000001</v>
      </c>
      <c r="G1044" s="11">
        <v>26.11111111</v>
      </c>
      <c r="H1044" s="11">
        <v>-21.202514724299999</v>
      </c>
      <c r="I1044" s="11">
        <v>11.4463804546</v>
      </c>
      <c r="J1044" s="11">
        <v>3.8065223746000001</v>
      </c>
      <c r="K1044" s="10">
        <v>0.77079351185300005</v>
      </c>
      <c r="L1044" s="12">
        <v>5561485436.1800003</v>
      </c>
      <c r="M1044">
        <v>15.982329851942101</v>
      </c>
      <c r="N1044" s="7">
        <v>1.00795641114292</v>
      </c>
      <c r="O1044" s="7">
        <v>0.49493753535642199</v>
      </c>
      <c r="P1044" s="7">
        <v>-40.402541594446397</v>
      </c>
      <c r="Q1044" s="7">
        <v>1.8974943052391799</v>
      </c>
      <c r="U1044">
        <v>0.27692428862000001</v>
      </c>
      <c r="AT1044" s="4" t="s">
        <v>5540</v>
      </c>
    </row>
    <row r="1045" spans="1:46">
      <c r="A1045" s="2">
        <v>874</v>
      </c>
      <c r="B1045" t="s">
        <v>5541</v>
      </c>
      <c r="C1045" t="s">
        <v>2334</v>
      </c>
      <c r="D1045" t="s">
        <v>3849</v>
      </c>
      <c r="E1045" s="4">
        <v>43465</v>
      </c>
      <c r="F1045" s="11">
        <v>-28.270744570000002</v>
      </c>
      <c r="G1045" s="11">
        <v>26.050420169999999</v>
      </c>
      <c r="H1045" s="11">
        <v>10.1986694807</v>
      </c>
      <c r="I1045" s="11">
        <v>16.821846470600001</v>
      </c>
      <c r="J1045" s="11">
        <v>4.0781245045999999</v>
      </c>
      <c r="K1045" s="10">
        <v>0.56389360850199999</v>
      </c>
      <c r="L1045" s="12">
        <v>4559086558.2700005</v>
      </c>
      <c r="M1045">
        <v>29.640192595380299</v>
      </c>
      <c r="N1045" s="7">
        <v>0.86187460389646597</v>
      </c>
      <c r="O1045" s="7">
        <v>1.07882324007466</v>
      </c>
      <c r="P1045" s="7">
        <v>13.240005954914</v>
      </c>
      <c r="Q1045" s="7">
        <v>0.32894736842105265</v>
      </c>
      <c r="U1045">
        <v>0.19481131086708828</v>
      </c>
      <c r="AT1045" s="4" t="s">
        <v>5542</v>
      </c>
    </row>
    <row r="1046" spans="1:46">
      <c r="A1046" s="2">
        <v>2956</v>
      </c>
      <c r="B1046" t="s">
        <v>5543</v>
      </c>
      <c r="C1046" t="s">
        <v>2857</v>
      </c>
      <c r="D1046" t="s">
        <v>3998</v>
      </c>
      <c r="E1046" s="4">
        <v>43465</v>
      </c>
      <c r="F1046" s="11">
        <v>-18.313929040000001</v>
      </c>
      <c r="G1046" s="11">
        <v>26.02965404</v>
      </c>
      <c r="H1046" s="11">
        <v>10.459795859</v>
      </c>
      <c r="I1046" s="11">
        <v>-0.43429928940000001</v>
      </c>
      <c r="J1046" s="11">
        <v>35.7001166103</v>
      </c>
      <c r="K1046" s="10">
        <v>4.3151458497999999E-2</v>
      </c>
      <c r="L1046" s="12">
        <v>7779161336.3999996</v>
      </c>
      <c r="M1046">
        <v>-111.67674173866099</v>
      </c>
      <c r="N1046" s="7">
        <v>2.1864501268649801</v>
      </c>
      <c r="O1046" s="7">
        <v>39.9323888784511</v>
      </c>
      <c r="P1046" s="7">
        <v>-30.577114076625602</v>
      </c>
      <c r="Q1046" s="7">
        <v>0.32467532467532467</v>
      </c>
      <c r="U1046">
        <v>4.5536664802954825E-2</v>
      </c>
      <c r="AT1046" s="4" t="s">
        <v>5544</v>
      </c>
    </row>
    <row r="1047" spans="1:46">
      <c r="A1047" s="2">
        <v>1693</v>
      </c>
      <c r="B1047" t="s">
        <v>5545</v>
      </c>
      <c r="C1047" t="s">
        <v>2630</v>
      </c>
      <c r="D1047" t="s">
        <v>3781</v>
      </c>
      <c r="E1047" s="4">
        <v>43465</v>
      </c>
      <c r="F1047" s="11">
        <v>-31.036192360000001</v>
      </c>
      <c r="G1047" s="11">
        <v>26.024955439999999</v>
      </c>
      <c r="H1047" s="11">
        <v>235.41291007020001</v>
      </c>
      <c r="I1047" s="11">
        <v>11.2813965463</v>
      </c>
      <c r="J1047" s="11">
        <v>2.1083713691999999</v>
      </c>
      <c r="K1047" s="10">
        <v>1.700109098674</v>
      </c>
      <c r="L1047" s="12">
        <v>6861875120.8800001</v>
      </c>
      <c r="M1047">
        <v>-146.69842313304099</v>
      </c>
      <c r="N1047" s="7">
        <v>7.7724407976313898</v>
      </c>
      <c r="O1047" s="7">
        <v>0.970473206058035</v>
      </c>
      <c r="P1047" s="7">
        <v>19.710830113350799</v>
      </c>
      <c r="Q1047" s="7" t="s">
        <v>3698</v>
      </c>
      <c r="U1047">
        <v>0.18307705485074627</v>
      </c>
      <c r="AT1047" s="4" t="s">
        <v>5343</v>
      </c>
    </row>
    <row r="1048" spans="1:46">
      <c r="A1048" s="2">
        <v>1447</v>
      </c>
      <c r="B1048" t="s">
        <v>5546</v>
      </c>
      <c r="C1048" t="s">
        <v>703</v>
      </c>
      <c r="D1048" t="s">
        <v>3781</v>
      </c>
      <c r="E1048" s="4">
        <v>43465</v>
      </c>
      <c r="F1048" s="11">
        <v>-17.90615262</v>
      </c>
      <c r="G1048" s="11">
        <v>26.02409639</v>
      </c>
      <c r="H1048" s="11">
        <v>38.551564548199998</v>
      </c>
      <c r="I1048" s="11">
        <v>28.457458759000001</v>
      </c>
      <c r="J1048" s="11">
        <v>6.1600677569000002</v>
      </c>
      <c r="K1048" s="10">
        <v>0.52543904336199998</v>
      </c>
      <c r="L1048" s="12">
        <v>12124829755.41</v>
      </c>
      <c r="M1048">
        <v>33.146090295073101</v>
      </c>
      <c r="N1048" s="7">
        <v>2.3296021565128902</v>
      </c>
      <c r="O1048" s="7">
        <v>2.1838735841477401</v>
      </c>
      <c r="P1048" s="7">
        <v>13.2036663182675</v>
      </c>
      <c r="Q1048" s="7">
        <v>1.9646365422396856</v>
      </c>
      <c r="U1048">
        <v>0.12566555259577275</v>
      </c>
      <c r="AT1048" s="4" t="s">
        <v>3770</v>
      </c>
    </row>
    <row r="1049" spans="1:46">
      <c r="A1049" s="2">
        <v>2792</v>
      </c>
      <c r="B1049" t="s">
        <v>5547</v>
      </c>
      <c r="C1049" t="s">
        <v>156</v>
      </c>
      <c r="D1049" t="s">
        <v>3764</v>
      </c>
      <c r="E1049" s="4">
        <v>43465</v>
      </c>
      <c r="F1049" s="11">
        <v>-25.96153846</v>
      </c>
      <c r="G1049" s="11">
        <v>25.984251969999999</v>
      </c>
      <c r="H1049" s="11">
        <v>-6.5481678057000003</v>
      </c>
      <c r="I1049" s="11">
        <v>12.0537723197</v>
      </c>
      <c r="J1049" s="11">
        <v>0.37039274319999999</v>
      </c>
      <c r="K1049" s="10">
        <v>0.401422702114</v>
      </c>
      <c r="L1049" s="12">
        <v>3812406636.3600001</v>
      </c>
      <c r="M1049">
        <v>-137.46297121582899</v>
      </c>
      <c r="N1049" s="7">
        <v>2.1164628617105299</v>
      </c>
      <c r="O1049" s="7">
        <v>2.0358198124435098</v>
      </c>
      <c r="P1049" s="7">
        <v>47.492269276315703</v>
      </c>
      <c r="Q1049" s="7">
        <v>0.11210762331838565</v>
      </c>
      <c r="U1049">
        <v>6.6902443798758085E-3</v>
      </c>
      <c r="AT1049" s="4" t="s">
        <v>4101</v>
      </c>
    </row>
    <row r="1050" spans="1:46">
      <c r="A1050" s="2">
        <v>2539</v>
      </c>
      <c r="B1050" t="s">
        <v>5548</v>
      </c>
      <c r="C1050" t="s">
        <v>130</v>
      </c>
      <c r="D1050" t="s">
        <v>3737</v>
      </c>
      <c r="E1050" s="4">
        <v>43465</v>
      </c>
      <c r="F1050" s="11">
        <v>75.42392925</v>
      </c>
      <c r="G1050" s="11">
        <v>25.978072709999999</v>
      </c>
      <c r="H1050" s="11">
        <v>28.3310704487</v>
      </c>
      <c r="I1050" s="11">
        <v>42.419897710599997</v>
      </c>
      <c r="J1050" s="11">
        <v>23.6821193143</v>
      </c>
      <c r="K1050" s="10">
        <v>0.77460477990999999</v>
      </c>
      <c r="L1050" s="12">
        <v>2513500000</v>
      </c>
      <c r="M1050">
        <v>50.675931449299497</v>
      </c>
      <c r="N1050" s="7">
        <v>10.4338035044841</v>
      </c>
      <c r="O1050" s="7">
        <v>11.476594218954499</v>
      </c>
      <c r="P1050" s="7">
        <v>821.945657665299</v>
      </c>
      <c r="Q1050" s="7">
        <v>0.60132291040288632</v>
      </c>
      <c r="U1050">
        <v>1.894414577631558</v>
      </c>
      <c r="AT1050" s="4" t="s">
        <v>5549</v>
      </c>
    </row>
    <row r="1051" spans="1:46">
      <c r="A1051" s="2">
        <v>1591</v>
      </c>
      <c r="B1051" t="s">
        <v>5550</v>
      </c>
      <c r="C1051" t="s">
        <v>2412</v>
      </c>
      <c r="D1051" t="s">
        <v>3713</v>
      </c>
      <c r="E1051" s="4">
        <v>43465</v>
      </c>
      <c r="F1051" s="11">
        <v>3.6683930400000002</v>
      </c>
      <c r="G1051" s="11">
        <v>25.96525097</v>
      </c>
      <c r="H1051" s="11">
        <v>32.549258471800002</v>
      </c>
      <c r="I1051" s="11">
        <v>49.352317174699998</v>
      </c>
      <c r="J1051" s="11">
        <v>26.5740261292</v>
      </c>
      <c r="K1051" s="10">
        <v>0.35478729948600002</v>
      </c>
      <c r="L1051" s="12">
        <v>8131871697.1800003</v>
      </c>
      <c r="M1051">
        <v>28.8462795566032</v>
      </c>
      <c r="N1051" s="7">
        <v>2.7799451151763401</v>
      </c>
      <c r="O1051" s="7">
        <v>6.5933557655333503</v>
      </c>
      <c r="P1051" s="7">
        <v>-71.477588292265196</v>
      </c>
      <c r="Q1051" s="7">
        <v>8.4745762711864389E-2</v>
      </c>
      <c r="U1051">
        <v>0.49045980678803247</v>
      </c>
      <c r="AT1051" s="4" t="s">
        <v>5393</v>
      </c>
    </row>
    <row r="1052" spans="1:46">
      <c r="A1052" s="2">
        <v>2161</v>
      </c>
      <c r="B1052" t="s">
        <v>5551</v>
      </c>
      <c r="C1052" t="s">
        <v>630</v>
      </c>
      <c r="D1052" t="s">
        <v>3837</v>
      </c>
      <c r="E1052" s="4">
        <v>43465</v>
      </c>
      <c r="F1052" s="11">
        <v>2.3763776600000002</v>
      </c>
      <c r="G1052" s="11">
        <v>25.91836735</v>
      </c>
      <c r="H1052" s="11">
        <v>1.7334938529999999</v>
      </c>
      <c r="I1052" s="11" t="s">
        <v>3698</v>
      </c>
      <c r="J1052" s="11">
        <v>32.945284536700001</v>
      </c>
      <c r="K1052" s="10" t="s">
        <v>3698</v>
      </c>
      <c r="L1052" s="12">
        <v>19721014283.880001</v>
      </c>
      <c r="M1052">
        <v>5.1573355067790203</v>
      </c>
      <c r="N1052" s="7">
        <v>0.661780992291924</v>
      </c>
      <c r="O1052" s="7">
        <v>1.6895069682339101</v>
      </c>
      <c r="P1052" s="7">
        <v>2.7683979393734699</v>
      </c>
      <c r="Q1052" s="7">
        <v>2.9387069689336687</v>
      </c>
      <c r="U1052">
        <v>1.9049416342466419</v>
      </c>
      <c r="AT1052" s="4" t="s">
        <v>5552</v>
      </c>
    </row>
    <row r="1053" spans="1:46">
      <c r="A1053" s="2">
        <v>2440</v>
      </c>
      <c r="B1053" t="s">
        <v>5553</v>
      </c>
      <c r="C1053" t="s">
        <v>3344</v>
      </c>
      <c r="D1053" t="s">
        <v>3752</v>
      </c>
      <c r="E1053" s="4">
        <v>43465</v>
      </c>
      <c r="F1053" s="11">
        <v>-11.59874608</v>
      </c>
      <c r="G1053" s="11">
        <v>25.90909091</v>
      </c>
      <c r="H1053" s="11">
        <v>-10.869741342199999</v>
      </c>
      <c r="I1053" s="11">
        <v>7.6578514051999997</v>
      </c>
      <c r="J1053" s="11">
        <v>1.5978957192000001</v>
      </c>
      <c r="K1053" s="10">
        <v>1.0352034040339999</v>
      </c>
      <c r="L1053" s="12">
        <v>25078858749</v>
      </c>
      <c r="M1053">
        <v>-8.3465367234232293</v>
      </c>
      <c r="N1053" s="7">
        <v>1.8467758536187699</v>
      </c>
      <c r="O1053" s="7">
        <v>0.62563850337691596</v>
      </c>
      <c r="P1053" s="7">
        <v>-67.862003018152706</v>
      </c>
      <c r="Q1053" s="7" t="s">
        <v>3698</v>
      </c>
      <c r="U1053">
        <v>2.9294752556906459E-2</v>
      </c>
      <c r="AT1053" s="4" t="s">
        <v>5554</v>
      </c>
    </row>
    <row r="1054" spans="1:46">
      <c r="A1054" s="2">
        <v>62</v>
      </c>
      <c r="B1054" t="s">
        <v>5555</v>
      </c>
      <c r="C1054" t="s">
        <v>938</v>
      </c>
      <c r="D1054" t="s">
        <v>3737</v>
      </c>
      <c r="E1054" s="4">
        <v>43465</v>
      </c>
      <c r="F1054" s="11">
        <v>-35.629955369999998</v>
      </c>
      <c r="G1054" s="11">
        <v>25.88714087</v>
      </c>
      <c r="H1054" s="11">
        <v>53.8952080854</v>
      </c>
      <c r="I1054" s="11">
        <v>13.1335904719</v>
      </c>
      <c r="J1054" s="11">
        <v>1.8064927150000001</v>
      </c>
      <c r="K1054" s="10">
        <v>1.066267731687</v>
      </c>
      <c r="L1054" s="12">
        <v>9160000000</v>
      </c>
      <c r="M1054">
        <v>11.677909252235301</v>
      </c>
      <c r="N1054" s="7">
        <v>3.8874495279385202</v>
      </c>
      <c r="O1054" s="7">
        <v>0.21544058350557299</v>
      </c>
      <c r="P1054" s="7">
        <v>-14.872926240635</v>
      </c>
      <c r="Q1054" s="7">
        <v>0.61728395061728392</v>
      </c>
      <c r="U1054">
        <v>0.15668771630807257</v>
      </c>
      <c r="AT1054" s="4" t="s">
        <v>5556</v>
      </c>
    </row>
    <row r="1055" spans="1:46">
      <c r="A1055" s="2">
        <v>599</v>
      </c>
      <c r="B1055" t="s">
        <v>5557</v>
      </c>
      <c r="C1055" t="s">
        <v>897</v>
      </c>
      <c r="D1055" t="s">
        <v>3998</v>
      </c>
      <c r="E1055" s="4">
        <v>43465</v>
      </c>
      <c r="F1055" s="11">
        <v>-10.803685679999999</v>
      </c>
      <c r="G1055" s="11">
        <v>25.855962219999999</v>
      </c>
      <c r="H1055" s="11">
        <v>15.452654728500001</v>
      </c>
      <c r="I1055" s="11">
        <v>42.105776155100003</v>
      </c>
      <c r="J1055" s="11">
        <v>16.672645952900002</v>
      </c>
      <c r="K1055" s="10">
        <v>0.70209378297400005</v>
      </c>
      <c r="L1055" s="12">
        <v>2542372839.1100001</v>
      </c>
      <c r="M1055">
        <v>10.143292222444501</v>
      </c>
      <c r="N1055" s="7">
        <v>1.51046431921804</v>
      </c>
      <c r="O1055" s="7">
        <v>1.7782731749396601</v>
      </c>
      <c r="P1055" s="7">
        <v>88.866608977633007</v>
      </c>
      <c r="Q1055" s="7">
        <v>6.5176357432787633</v>
      </c>
      <c r="U1055">
        <v>0.84863942243271062</v>
      </c>
      <c r="AT1055" s="4" t="s">
        <v>5558</v>
      </c>
    </row>
    <row r="1056" spans="1:46">
      <c r="A1056" s="2">
        <v>2069</v>
      </c>
      <c r="B1056" t="s">
        <v>5559</v>
      </c>
      <c r="C1056" t="s">
        <v>1640</v>
      </c>
      <c r="D1056" t="s">
        <v>3977</v>
      </c>
      <c r="E1056" s="4">
        <v>43465</v>
      </c>
      <c r="F1056" s="11">
        <v>-19.439499789999999</v>
      </c>
      <c r="G1056" s="11">
        <v>25.85438336</v>
      </c>
      <c r="H1056" s="11">
        <v>44.1566447035</v>
      </c>
      <c r="I1056" s="11">
        <v>33.318015894600002</v>
      </c>
      <c r="J1056" s="11">
        <v>12.264790935400001</v>
      </c>
      <c r="K1056" s="10">
        <v>0.68517658136799997</v>
      </c>
      <c r="L1056" s="12">
        <v>1803712320</v>
      </c>
      <c r="M1056">
        <v>29.571813032858199</v>
      </c>
      <c r="N1056" s="7">
        <v>2.83231201427922</v>
      </c>
      <c r="O1056" s="7">
        <v>3.2972591115327301</v>
      </c>
      <c r="P1056" s="7">
        <v>-48.439076406927498</v>
      </c>
      <c r="Q1056" s="7">
        <v>0.71985602879424115</v>
      </c>
      <c r="U1056">
        <v>0.5342300281504887</v>
      </c>
      <c r="AT1056" s="4" t="s">
        <v>4353</v>
      </c>
    </row>
    <row r="1057" spans="1:46">
      <c r="A1057" s="2">
        <v>3028</v>
      </c>
      <c r="B1057" t="s">
        <v>5560</v>
      </c>
      <c r="C1057" t="s">
        <v>3013</v>
      </c>
      <c r="D1057" t="s">
        <v>3972</v>
      </c>
      <c r="E1057" s="4">
        <v>43465</v>
      </c>
      <c r="F1057" s="11">
        <v>-17.489449260000001</v>
      </c>
      <c r="G1057" s="11">
        <v>25.816993459999999</v>
      </c>
      <c r="H1057" s="11">
        <v>0.7159536997</v>
      </c>
      <c r="I1057" s="11">
        <v>26.5823403343</v>
      </c>
      <c r="J1057" s="11">
        <v>1.4083017893000001</v>
      </c>
      <c r="K1057" s="10">
        <v>0.160056610603</v>
      </c>
      <c r="L1057" s="12">
        <v>1863940000</v>
      </c>
      <c r="M1057">
        <v>-90.604693662700399</v>
      </c>
      <c r="N1057" s="7">
        <v>0.97280870879593995</v>
      </c>
      <c r="O1057" s="7">
        <v>2.4950770744917601</v>
      </c>
      <c r="P1057" s="7">
        <v>28.7204815811</v>
      </c>
      <c r="Q1057" s="7">
        <v>0.25084648431311291</v>
      </c>
      <c r="U1057">
        <v>3.4615890726392966E-3</v>
      </c>
      <c r="AT1057" s="4" t="s">
        <v>5561</v>
      </c>
    </row>
    <row r="1058" spans="1:46">
      <c r="A1058" s="2">
        <v>2126</v>
      </c>
      <c r="B1058" t="s">
        <v>5562</v>
      </c>
      <c r="C1058" t="s">
        <v>2932</v>
      </c>
      <c r="D1058" t="s">
        <v>3713</v>
      </c>
      <c r="E1058" s="4">
        <v>43465</v>
      </c>
      <c r="F1058" s="11">
        <v>-32.516614580000002</v>
      </c>
      <c r="G1058" s="11">
        <v>25.715524720000001</v>
      </c>
      <c r="H1058" s="11">
        <v>-17.895017878000001</v>
      </c>
      <c r="I1058" s="11">
        <v>26.629431991899999</v>
      </c>
      <c r="J1058" s="11">
        <v>4.7597057008999997</v>
      </c>
      <c r="K1058" s="10">
        <v>0.477717137982</v>
      </c>
      <c r="L1058" s="12">
        <v>4226011641.0999999</v>
      </c>
      <c r="M1058">
        <v>351.60889130169102</v>
      </c>
      <c r="N1058" s="7">
        <v>3.3102341730117799</v>
      </c>
      <c r="O1058" s="7">
        <v>4.7237939361311101</v>
      </c>
      <c r="P1058" s="7">
        <v>80.096152589899802</v>
      </c>
      <c r="Q1058" s="7">
        <v>0.1511144692104269</v>
      </c>
      <c r="U1058">
        <v>0.21049669790421779</v>
      </c>
      <c r="AT1058" s="4" t="s">
        <v>3748</v>
      </c>
    </row>
    <row r="1059" spans="1:46">
      <c r="A1059" s="2">
        <v>2384</v>
      </c>
      <c r="B1059" t="s">
        <v>5563</v>
      </c>
      <c r="C1059" t="s">
        <v>1298</v>
      </c>
      <c r="D1059" t="s">
        <v>3737</v>
      </c>
      <c r="E1059" s="4">
        <v>43465</v>
      </c>
      <c r="F1059" s="11">
        <v>-23.012412319999999</v>
      </c>
      <c r="G1059" s="11">
        <v>25.680933849999999</v>
      </c>
      <c r="H1059" s="11">
        <v>61.095391871899999</v>
      </c>
      <c r="I1059" s="11">
        <v>89.589878933899996</v>
      </c>
      <c r="J1059" s="11">
        <v>18.593760448200001</v>
      </c>
      <c r="K1059" s="10">
        <v>0.46779932242900002</v>
      </c>
      <c r="L1059" s="12">
        <v>1869250152</v>
      </c>
      <c r="M1059">
        <v>18.549280450495299</v>
      </c>
      <c r="N1059" s="7">
        <v>1.5070167033936199</v>
      </c>
      <c r="O1059" s="7">
        <v>3.0657122658912499</v>
      </c>
      <c r="P1059" s="7">
        <v>24.695883633740301</v>
      </c>
      <c r="Q1059" s="7">
        <v>2.054794520547945</v>
      </c>
      <c r="U1059">
        <v>0.17649872248672857</v>
      </c>
      <c r="AT1059" s="4" t="s">
        <v>5564</v>
      </c>
    </row>
    <row r="1060" spans="1:46">
      <c r="A1060" s="2">
        <v>1083</v>
      </c>
      <c r="B1060" t="s">
        <v>5565</v>
      </c>
      <c r="C1060" t="s">
        <v>1186</v>
      </c>
      <c r="D1060" t="s">
        <v>4060</v>
      </c>
      <c r="E1060" s="4">
        <v>43465</v>
      </c>
      <c r="F1060" s="11">
        <v>-41.18450756</v>
      </c>
      <c r="G1060" s="11">
        <v>25.671641789999999</v>
      </c>
      <c r="H1060" s="11">
        <v>18.655497519000001</v>
      </c>
      <c r="I1060" s="11">
        <v>37.572368941199997</v>
      </c>
      <c r="J1060" s="11">
        <v>13.1891807416</v>
      </c>
      <c r="K1060" s="10">
        <v>0.98318096671900002</v>
      </c>
      <c r="L1060" s="12">
        <v>66286461862.699997</v>
      </c>
      <c r="M1060">
        <v>15.5816844431597</v>
      </c>
      <c r="N1060" s="7">
        <v>3.2133986082664601</v>
      </c>
      <c r="O1060" s="7">
        <v>2.20446814560264</v>
      </c>
      <c r="P1060" s="7">
        <v>-182.101747715176</v>
      </c>
      <c r="Q1060" s="7">
        <v>2.8884651495089737</v>
      </c>
      <c r="U1060">
        <v>1.0386029594716659</v>
      </c>
      <c r="AT1060" s="4" t="s">
        <v>5566</v>
      </c>
    </row>
    <row r="1061" spans="1:46">
      <c r="A1061" s="2">
        <v>1968</v>
      </c>
      <c r="B1061" t="s">
        <v>5567</v>
      </c>
      <c r="C1061" t="s">
        <v>1190</v>
      </c>
      <c r="D1061" t="s">
        <v>3718</v>
      </c>
      <c r="E1061" s="4">
        <v>43465</v>
      </c>
      <c r="F1061" s="11">
        <v>-18.510696830000001</v>
      </c>
      <c r="G1061" s="11">
        <v>25.61623973</v>
      </c>
      <c r="H1061" s="11">
        <v>42.316405508999999</v>
      </c>
      <c r="I1061" s="11">
        <v>34.238672649100003</v>
      </c>
      <c r="J1061" s="11">
        <v>12.849821459999999</v>
      </c>
      <c r="K1061" s="10">
        <v>0.60239404867299995</v>
      </c>
      <c r="L1061" s="12">
        <v>13736841222</v>
      </c>
      <c r="M1061">
        <v>40.444542542264998</v>
      </c>
      <c r="N1061" s="7">
        <v>5.0359627667121796</v>
      </c>
      <c r="O1061" s="7">
        <v>4.8974791620731999</v>
      </c>
      <c r="P1061" s="7">
        <v>-31.026860034089399</v>
      </c>
      <c r="Q1061" s="7">
        <v>0.40429012087394761</v>
      </c>
      <c r="U1061">
        <v>0.59166926543498932</v>
      </c>
      <c r="AT1061" s="4" t="s">
        <v>4497</v>
      </c>
    </row>
    <row r="1062" spans="1:46">
      <c r="A1062" s="2">
        <v>55</v>
      </c>
      <c r="B1062" t="s">
        <v>5568</v>
      </c>
      <c r="C1062" t="s">
        <v>740</v>
      </c>
      <c r="D1062" t="s">
        <v>3811</v>
      </c>
      <c r="E1062" s="4">
        <v>43465</v>
      </c>
      <c r="F1062" s="11">
        <v>-9.5018735000000003</v>
      </c>
      <c r="G1062" s="11">
        <v>25.605363229999998</v>
      </c>
      <c r="H1062" s="11">
        <v>38.076458387400002</v>
      </c>
      <c r="I1062" s="11">
        <v>15.7425927659</v>
      </c>
      <c r="J1062" s="11">
        <v>6.5219275780999997</v>
      </c>
      <c r="K1062" s="10">
        <v>1.250805125591</v>
      </c>
      <c r="L1062" s="12">
        <v>363085234510.89001</v>
      </c>
      <c r="M1062">
        <v>21.733369624885601</v>
      </c>
      <c r="N1062" s="7">
        <v>4.2357818755845198</v>
      </c>
      <c r="O1062" s="7">
        <v>1.0902105441568899</v>
      </c>
      <c r="P1062" s="7">
        <v>24.4124235189221</v>
      </c>
      <c r="Q1062" s="7">
        <v>1.2992750049201358</v>
      </c>
      <c r="U1062">
        <v>0.95044222319721061</v>
      </c>
      <c r="AT1062" s="4" t="s">
        <v>5569</v>
      </c>
    </row>
    <row r="1063" spans="1:46">
      <c r="A1063" s="2">
        <v>2124</v>
      </c>
      <c r="B1063" t="s">
        <v>5570</v>
      </c>
      <c r="C1063" t="s">
        <v>2815</v>
      </c>
      <c r="D1063" t="s">
        <v>3721</v>
      </c>
      <c r="E1063" s="4">
        <v>43465</v>
      </c>
      <c r="F1063" s="11">
        <v>-55.738634390000001</v>
      </c>
      <c r="G1063" s="11">
        <v>25.581395350000001</v>
      </c>
      <c r="H1063" s="11">
        <v>-10.021106858</v>
      </c>
      <c r="I1063" s="11">
        <v>7.4328492629999996</v>
      </c>
      <c r="J1063" s="11">
        <v>3.6461254648999999</v>
      </c>
      <c r="K1063" s="10">
        <v>0.26478259482099997</v>
      </c>
      <c r="L1063" s="12">
        <v>3051800229.6599998</v>
      </c>
      <c r="M1063">
        <v>-32.103558810447097</v>
      </c>
      <c r="N1063" s="7">
        <v>3.8171362275531502</v>
      </c>
      <c r="O1063" s="7">
        <v>5.3143334470106103</v>
      </c>
      <c r="P1063" s="7">
        <v>43.550725518694598</v>
      </c>
      <c r="Q1063" s="7">
        <v>0.16253747068798685</v>
      </c>
      <c r="U1063">
        <v>7.8538052894346247E-2</v>
      </c>
      <c r="AT1063" s="4" t="s">
        <v>5428</v>
      </c>
    </row>
    <row r="1064" spans="1:46">
      <c r="A1064" s="2">
        <v>2049</v>
      </c>
      <c r="B1064" t="s">
        <v>5571</v>
      </c>
      <c r="C1064" t="s">
        <v>460</v>
      </c>
      <c r="D1064" t="s">
        <v>3737</v>
      </c>
      <c r="E1064" s="4">
        <v>43465</v>
      </c>
      <c r="F1064" s="11">
        <v>67.161189399999998</v>
      </c>
      <c r="G1064" s="11">
        <v>25.510667269999999</v>
      </c>
      <c r="H1064" s="11">
        <v>92.072933447099999</v>
      </c>
      <c r="I1064" s="11">
        <v>83.7552768579</v>
      </c>
      <c r="J1064" s="11">
        <v>29.079356012400002</v>
      </c>
      <c r="K1064" s="10">
        <v>0.62909559455899999</v>
      </c>
      <c r="L1064" s="12">
        <v>10304435548.610001</v>
      </c>
      <c r="M1064">
        <v>55.438658584465401</v>
      </c>
      <c r="N1064" s="7">
        <v>9.1374456539185491</v>
      </c>
      <c r="O1064" s="7">
        <v>15.273771933581701</v>
      </c>
      <c r="P1064" s="7">
        <v>-148.060824739586</v>
      </c>
      <c r="Q1064" s="7">
        <v>0.2265738792684901</v>
      </c>
      <c r="U1064">
        <v>0.99045117054634157</v>
      </c>
      <c r="AT1064" s="4" t="s">
        <v>4857</v>
      </c>
    </row>
    <row r="1065" spans="1:46">
      <c r="A1065" s="2">
        <v>813</v>
      </c>
      <c r="B1065" t="s">
        <v>5572</v>
      </c>
      <c r="C1065" t="s">
        <v>3511</v>
      </c>
      <c r="D1065" t="s">
        <v>3998</v>
      </c>
      <c r="E1065" s="4">
        <v>43465</v>
      </c>
      <c r="F1065" s="11">
        <v>-34.796766529999999</v>
      </c>
      <c r="G1065" s="11">
        <v>25.452488689999999</v>
      </c>
      <c r="H1065" s="11">
        <v>26.334710640499999</v>
      </c>
      <c r="I1065" s="11">
        <v>9.0855704000999999</v>
      </c>
      <c r="J1065" s="11">
        <v>1.7948412985</v>
      </c>
      <c r="K1065" s="10">
        <v>0.991245869266</v>
      </c>
      <c r="L1065" s="12">
        <v>3862977712.4400001</v>
      </c>
      <c r="M1065">
        <v>53.281249684697499</v>
      </c>
      <c r="N1065" s="7">
        <v>1.71337962537719</v>
      </c>
      <c r="O1065" s="7">
        <v>0.62033897348198896</v>
      </c>
      <c r="P1065" s="7">
        <v>5.2189351508824302</v>
      </c>
      <c r="Q1065" s="7">
        <v>0.63119927862939573</v>
      </c>
      <c r="U1065">
        <v>0.24034049752010037</v>
      </c>
      <c r="AT1065" s="4" t="s">
        <v>5573</v>
      </c>
    </row>
    <row r="1066" spans="1:46">
      <c r="A1066" s="2">
        <v>1112</v>
      </c>
      <c r="B1066" t="s">
        <v>5574</v>
      </c>
      <c r="C1066" t="s">
        <v>364</v>
      </c>
      <c r="D1066" t="s">
        <v>3752</v>
      </c>
      <c r="E1066" s="4">
        <v>43465</v>
      </c>
      <c r="F1066" s="11">
        <v>9.9803300000000004</v>
      </c>
      <c r="G1066" s="11">
        <v>25.447154470000001</v>
      </c>
      <c r="H1066" s="11">
        <v>1.7848283073</v>
      </c>
      <c r="I1066" s="11">
        <v>41.200082035900003</v>
      </c>
      <c r="J1066" s="11">
        <v>22.223244035499999</v>
      </c>
      <c r="K1066" s="10">
        <v>0.50533807003999998</v>
      </c>
      <c r="L1066" s="12">
        <v>1816389072</v>
      </c>
      <c r="M1066">
        <v>10.1620211223516</v>
      </c>
      <c r="N1066" s="7">
        <v>3.36074158137159</v>
      </c>
      <c r="O1066" s="7">
        <v>2.3050436246464101</v>
      </c>
      <c r="P1066" s="7">
        <v>151.71043572409201</v>
      </c>
      <c r="Q1066" s="7">
        <v>0.76923076923076927</v>
      </c>
      <c r="U1066">
        <v>1.124854904781444</v>
      </c>
      <c r="AT1066" s="4" t="s">
        <v>3733</v>
      </c>
    </row>
    <row r="1067" spans="1:46">
      <c r="A1067" s="2">
        <v>3262</v>
      </c>
      <c r="B1067" t="s">
        <v>5575</v>
      </c>
      <c r="C1067" t="s">
        <v>2347</v>
      </c>
      <c r="D1067" t="s">
        <v>3718</v>
      </c>
      <c r="E1067" s="4">
        <v>43465</v>
      </c>
      <c r="F1067" s="11">
        <v>-15.91921887</v>
      </c>
      <c r="G1067" s="11">
        <v>25.42372881</v>
      </c>
      <c r="H1067" s="11">
        <v>12.8253915435</v>
      </c>
      <c r="I1067" s="11">
        <v>26.693885819999998</v>
      </c>
      <c r="J1067" s="11">
        <v>8.2339729732000002</v>
      </c>
      <c r="K1067" s="10">
        <v>0.65659533796299996</v>
      </c>
      <c r="L1067" s="12">
        <v>4233107440.4400001</v>
      </c>
      <c r="M1067">
        <v>54.911415438758603</v>
      </c>
      <c r="N1067" s="7">
        <v>3.05785036146955</v>
      </c>
      <c r="O1067" s="7">
        <v>3.08082007908971</v>
      </c>
      <c r="P1067" s="7">
        <v>-65.318851254975897</v>
      </c>
      <c r="Q1067" s="7">
        <v>0.65876152832674573</v>
      </c>
      <c r="U1067">
        <v>0.32623930440000004</v>
      </c>
      <c r="AT1067" s="4" t="s">
        <v>5576</v>
      </c>
    </row>
    <row r="1068" spans="1:46">
      <c r="A1068" s="2">
        <v>1945</v>
      </c>
      <c r="B1068" t="s">
        <v>5577</v>
      </c>
      <c r="C1068" t="s">
        <v>3041</v>
      </c>
      <c r="D1068" t="s">
        <v>3713</v>
      </c>
      <c r="E1068" s="4">
        <v>43465</v>
      </c>
      <c r="F1068" s="11">
        <v>-30.051871720000001</v>
      </c>
      <c r="G1068" s="11">
        <v>25.41694463</v>
      </c>
      <c r="H1068" s="11">
        <v>61.575198765000003</v>
      </c>
      <c r="I1068" s="11">
        <v>32.376274353100001</v>
      </c>
      <c r="J1068" s="11">
        <v>5.2160749663999999</v>
      </c>
      <c r="K1068" s="10">
        <v>0.57964643627099999</v>
      </c>
      <c r="L1068" s="12">
        <v>1998725820</v>
      </c>
      <c r="M1068">
        <v>94.597664428141996</v>
      </c>
      <c r="N1068" s="7">
        <v>5.0132161127381796</v>
      </c>
      <c r="O1068" s="7">
        <v>4.9248121869565402</v>
      </c>
      <c r="P1068" s="7">
        <v>-25.877966942317901</v>
      </c>
      <c r="Q1068" s="7">
        <v>0.15006002400960386</v>
      </c>
      <c r="U1068">
        <v>0.20423855521950662</v>
      </c>
      <c r="AT1068" s="4" t="s">
        <v>5578</v>
      </c>
    </row>
    <row r="1069" spans="1:46">
      <c r="A1069" s="2">
        <v>3297</v>
      </c>
      <c r="B1069" t="s">
        <v>5579</v>
      </c>
      <c r="C1069" t="s">
        <v>1082</v>
      </c>
      <c r="D1069" t="s">
        <v>3737</v>
      </c>
      <c r="E1069" s="4">
        <v>43465</v>
      </c>
      <c r="F1069" s="11">
        <v>-23.015114610000001</v>
      </c>
      <c r="G1069" s="11">
        <v>25.401459849999998</v>
      </c>
      <c r="H1069" s="11">
        <v>-35.302093463200002</v>
      </c>
      <c r="I1069" s="11">
        <v>72.119045907499995</v>
      </c>
      <c r="J1069" s="11">
        <v>-20.820944330900002</v>
      </c>
      <c r="K1069" s="10">
        <v>0.345331187574</v>
      </c>
      <c r="L1069" s="12">
        <v>11328849299.219999</v>
      </c>
      <c r="M1069">
        <v>48.837938806118999</v>
      </c>
      <c r="N1069" s="7">
        <v>1.4918915867557001</v>
      </c>
      <c r="O1069" s="7">
        <v>3.0156641415085002</v>
      </c>
      <c r="P1069" s="7">
        <v>-9.2955511085686293</v>
      </c>
      <c r="Q1069" s="7" t="s">
        <v>3698</v>
      </c>
      <c r="U1069">
        <v>-0.39205598952875836</v>
      </c>
      <c r="AT1069" s="4" t="s">
        <v>4296</v>
      </c>
    </row>
    <row r="1070" spans="1:46">
      <c r="A1070" s="2">
        <v>673</v>
      </c>
      <c r="B1070" t="s">
        <v>5580</v>
      </c>
      <c r="C1070" t="s">
        <v>3453</v>
      </c>
      <c r="D1070" t="s">
        <v>3998</v>
      </c>
      <c r="E1070" s="4">
        <v>43465</v>
      </c>
      <c r="F1070" s="11">
        <v>-28.515625</v>
      </c>
      <c r="G1070" s="11">
        <v>25.352112680000001</v>
      </c>
      <c r="H1070" s="11">
        <v>8.6266581876000004</v>
      </c>
      <c r="I1070" s="11">
        <v>34.659209992800001</v>
      </c>
      <c r="J1070" s="11">
        <v>2.2909347227999999</v>
      </c>
      <c r="K1070" s="10">
        <v>0.44537182557600002</v>
      </c>
      <c r="L1070" s="12">
        <v>19114152296.099998</v>
      </c>
      <c r="M1070">
        <v>-286.36891846982701</v>
      </c>
      <c r="N1070" s="7">
        <v>2.8077117382913501</v>
      </c>
      <c r="O1070" s="7">
        <v>2.58355719009757</v>
      </c>
      <c r="P1070" s="7">
        <v>-30.881047889115202</v>
      </c>
      <c r="Q1070" s="7" t="s">
        <v>3698</v>
      </c>
      <c r="U1070">
        <v>2.8457777605049382E-2</v>
      </c>
      <c r="AT1070" s="4" t="s">
        <v>5021</v>
      </c>
    </row>
    <row r="1071" spans="1:46">
      <c r="A1071" s="2">
        <v>2450</v>
      </c>
      <c r="B1071" t="s">
        <v>5581</v>
      </c>
      <c r="C1071" t="s">
        <v>327</v>
      </c>
      <c r="D1071" t="s">
        <v>3871</v>
      </c>
      <c r="E1071" s="4">
        <v>43465</v>
      </c>
      <c r="F1071" s="11">
        <v>16.666574799999999</v>
      </c>
      <c r="G1071" s="11">
        <v>25.322580649999999</v>
      </c>
      <c r="H1071" s="11">
        <v>18.804941448699999</v>
      </c>
      <c r="I1071" s="11">
        <v>27.276532921299999</v>
      </c>
      <c r="J1071" s="11">
        <v>10.1346011334</v>
      </c>
      <c r="K1071" s="10">
        <v>0.147247812353</v>
      </c>
      <c r="L1071" s="12">
        <v>3811113634.4000001</v>
      </c>
      <c r="M1071">
        <v>5.6123281706276504</v>
      </c>
      <c r="N1071" s="7">
        <v>1.11519074360162</v>
      </c>
      <c r="O1071" s="7">
        <v>0.64798518480449996</v>
      </c>
      <c r="P1071" s="7">
        <v>-3.27000241497415</v>
      </c>
      <c r="Q1071" s="7">
        <v>2.1520803443328549</v>
      </c>
      <c r="U1071">
        <v>1.0785714515693745</v>
      </c>
      <c r="AT1071" s="4" t="s">
        <v>5582</v>
      </c>
    </row>
    <row r="1072" spans="1:46">
      <c r="A1072" s="2">
        <v>1142</v>
      </c>
      <c r="B1072" t="s">
        <v>5583</v>
      </c>
      <c r="C1072" t="s">
        <v>1410</v>
      </c>
      <c r="D1072" t="s">
        <v>4060</v>
      </c>
      <c r="E1072" s="4">
        <v>43465</v>
      </c>
      <c r="F1072" s="11">
        <v>-25.044960830000001</v>
      </c>
      <c r="G1072" s="11">
        <v>25.310559009999999</v>
      </c>
      <c r="H1072" s="11">
        <v>10.4938758073</v>
      </c>
      <c r="I1072" s="11">
        <v>33.069401584300003</v>
      </c>
      <c r="J1072" s="11">
        <v>5.9986529540999998</v>
      </c>
      <c r="K1072" s="10">
        <v>0.73545165830299997</v>
      </c>
      <c r="L1072" s="12">
        <v>14893748745.280001</v>
      </c>
      <c r="M1072">
        <v>51.394916746977898</v>
      </c>
      <c r="N1072" s="7">
        <v>2.7397850505687802</v>
      </c>
      <c r="O1072" s="7">
        <v>2.4526990127757</v>
      </c>
      <c r="P1072" s="7">
        <v>-610.58604601680804</v>
      </c>
      <c r="Q1072" s="7">
        <v>0.86785869415750383</v>
      </c>
      <c r="U1072">
        <v>0.15544688539317766</v>
      </c>
      <c r="AT1072" s="4" t="s">
        <v>5584</v>
      </c>
    </row>
    <row r="1073" spans="1:46">
      <c r="A1073" s="2">
        <v>3385</v>
      </c>
      <c r="B1073" t="s">
        <v>5585</v>
      </c>
      <c r="C1073" t="s">
        <v>2419</v>
      </c>
      <c r="D1073" t="s">
        <v>3849</v>
      </c>
      <c r="E1073" s="4">
        <v>43465</v>
      </c>
      <c r="F1073" s="11">
        <v>-34.713796000000002</v>
      </c>
      <c r="G1073" s="11">
        <v>25.2739726</v>
      </c>
      <c r="H1073" s="11">
        <v>-10.4143602698</v>
      </c>
      <c r="I1073" s="11">
        <v>48.984259633800001</v>
      </c>
      <c r="J1073" s="11">
        <v>21.5602945666</v>
      </c>
      <c r="K1073" s="10">
        <v>0.29312431199799999</v>
      </c>
      <c r="L1073" s="12">
        <v>3498388600</v>
      </c>
      <c r="M1073">
        <v>88.666544329392494</v>
      </c>
      <c r="N1073" s="7">
        <v>5.2185100160180804</v>
      </c>
      <c r="O1073" s="7">
        <v>8.2230420604351906</v>
      </c>
      <c r="P1073" s="7">
        <v>-93.185472910227901</v>
      </c>
      <c r="Q1073" s="7">
        <v>1.0816657652785289</v>
      </c>
      <c r="U1073">
        <v>0.37970962120748303</v>
      </c>
      <c r="AT1073" s="4" t="s">
        <v>5586</v>
      </c>
    </row>
    <row r="1074" spans="1:46">
      <c r="A1074" s="2">
        <v>3311</v>
      </c>
      <c r="B1074" t="s">
        <v>5587</v>
      </c>
      <c r="C1074" t="s">
        <v>835</v>
      </c>
      <c r="D1074" t="s">
        <v>3832</v>
      </c>
      <c r="E1074" s="4">
        <v>43465</v>
      </c>
      <c r="F1074" s="11">
        <v>-23.81395049</v>
      </c>
      <c r="G1074" s="11">
        <v>25.263157889999999</v>
      </c>
      <c r="H1074" s="11">
        <v>8.7357459383999991</v>
      </c>
      <c r="I1074" s="11">
        <v>47.052707458500002</v>
      </c>
      <c r="J1074" s="11">
        <v>18.9745401373</v>
      </c>
      <c r="K1074" s="10">
        <v>0.38782107349299999</v>
      </c>
      <c r="L1074" s="12">
        <v>15562669492.799999</v>
      </c>
      <c r="M1074">
        <v>25.2717026193145</v>
      </c>
      <c r="N1074" s="7">
        <v>1.9111481317816399</v>
      </c>
      <c r="O1074" s="7">
        <v>4.5390610130220601</v>
      </c>
      <c r="P1074" s="7">
        <v>45.547783974360797</v>
      </c>
      <c r="Q1074" s="7">
        <v>0.76957899502037119</v>
      </c>
      <c r="U1074">
        <v>0.8320029533791109</v>
      </c>
      <c r="AT1074" s="4" t="s">
        <v>5588</v>
      </c>
    </row>
    <row r="1075" spans="1:46">
      <c r="A1075" s="2">
        <v>954</v>
      </c>
      <c r="B1075" t="s">
        <v>5589</v>
      </c>
      <c r="C1075" t="s">
        <v>2721</v>
      </c>
      <c r="D1075" t="s">
        <v>3842</v>
      </c>
      <c r="E1075" s="4">
        <v>43465</v>
      </c>
      <c r="F1075" s="11">
        <v>-22.084145589999999</v>
      </c>
      <c r="G1075" s="11">
        <v>25.235404899999999</v>
      </c>
      <c r="H1075" s="11">
        <v>24.456513644499999</v>
      </c>
      <c r="I1075" s="11">
        <v>13.0153641882</v>
      </c>
      <c r="J1075" s="11">
        <v>4.2664352551000002</v>
      </c>
      <c r="K1075" s="10">
        <v>1.371177205153</v>
      </c>
      <c r="L1075" s="12">
        <v>14251980092.16</v>
      </c>
      <c r="M1075">
        <v>21.7238892928812</v>
      </c>
      <c r="N1075" s="7">
        <v>1.2203885801629299</v>
      </c>
      <c r="O1075" s="7">
        <v>0.60698978397841696</v>
      </c>
      <c r="P1075" s="7">
        <v>54.439100672533897</v>
      </c>
      <c r="Q1075" s="7">
        <v>2.9239766081871341</v>
      </c>
      <c r="U1075">
        <v>0.36694964286010684</v>
      </c>
      <c r="AT1075" s="4" t="s">
        <v>5590</v>
      </c>
    </row>
    <row r="1076" spans="1:46">
      <c r="A1076" s="2">
        <v>1379</v>
      </c>
      <c r="B1076" t="s">
        <v>5591</v>
      </c>
      <c r="C1076" t="s">
        <v>1346</v>
      </c>
      <c r="D1076" t="s">
        <v>3737</v>
      </c>
      <c r="E1076" s="4">
        <v>43465</v>
      </c>
      <c r="F1076" s="11">
        <v>-2.6555676099999999</v>
      </c>
      <c r="G1076" s="11">
        <v>25.205274939999999</v>
      </c>
      <c r="H1076" s="11">
        <v>10.3562248924</v>
      </c>
      <c r="I1076" s="11">
        <v>39.773526722900002</v>
      </c>
      <c r="J1076" s="11">
        <v>22.768665806200001</v>
      </c>
      <c r="K1076" s="10">
        <v>0.485498326393</v>
      </c>
      <c r="L1076" s="12">
        <v>31272801481.709999</v>
      </c>
      <c r="M1076">
        <v>30.513594207840001</v>
      </c>
      <c r="N1076" s="7">
        <v>3.3737547137354902</v>
      </c>
      <c r="O1076" s="7">
        <v>6.6675536780984102</v>
      </c>
      <c r="P1076" s="7">
        <v>-37.458332326930297</v>
      </c>
      <c r="Q1076" s="7">
        <v>0.62591278948466511</v>
      </c>
      <c r="U1076">
        <v>1.4503411814814815</v>
      </c>
      <c r="AT1076" s="4" t="s">
        <v>5130</v>
      </c>
    </row>
    <row r="1077" spans="1:46">
      <c r="A1077" s="2">
        <v>3107</v>
      </c>
      <c r="B1077" t="s">
        <v>5592</v>
      </c>
      <c r="C1077" t="s">
        <v>2231</v>
      </c>
      <c r="D1077" t="s">
        <v>3837</v>
      </c>
      <c r="E1077" s="4">
        <v>43465</v>
      </c>
      <c r="F1077" s="11">
        <v>-12.087813560000001</v>
      </c>
      <c r="G1077" s="11">
        <v>25.11737089</v>
      </c>
      <c r="H1077" s="11">
        <v>-23.186527736199999</v>
      </c>
      <c r="I1077" s="11" t="s">
        <v>3698</v>
      </c>
      <c r="J1077" s="11">
        <v>5.8107373782999998</v>
      </c>
      <c r="K1077" s="10" t="s">
        <v>3698</v>
      </c>
      <c r="L1077" s="12">
        <v>1638000000</v>
      </c>
      <c r="M1077">
        <v>80.310321650062605</v>
      </c>
      <c r="N1077" s="7">
        <v>1.6600340941310201</v>
      </c>
      <c r="O1077" s="7">
        <v>8.9274367660778804</v>
      </c>
      <c r="P1077" s="7">
        <v>-11.4088813319342</v>
      </c>
      <c r="Q1077" s="7" t="s">
        <v>3698</v>
      </c>
      <c r="U1077">
        <v>1.7003452177805901E-2</v>
      </c>
      <c r="AT1077" s="4" t="s">
        <v>3863</v>
      </c>
    </row>
    <row r="1078" spans="1:46">
      <c r="A1078" s="2">
        <v>3080</v>
      </c>
      <c r="B1078" t="s">
        <v>5593</v>
      </c>
      <c r="C1078" t="s">
        <v>2823</v>
      </c>
      <c r="D1078" t="s">
        <v>3769</v>
      </c>
      <c r="E1078" s="4">
        <v>43465</v>
      </c>
      <c r="F1078" s="11">
        <v>-45.427048480000003</v>
      </c>
      <c r="G1078" s="11">
        <v>25.084745760000001</v>
      </c>
      <c r="H1078" s="11">
        <v>9.3800039455000004</v>
      </c>
      <c r="I1078" s="11">
        <v>5.2326518353999996</v>
      </c>
      <c r="J1078" s="11">
        <v>0.36463349550000002</v>
      </c>
      <c r="K1078" s="10">
        <v>1.3367868680049999</v>
      </c>
      <c r="L1078" s="12">
        <v>4624606554.1400003</v>
      </c>
      <c r="M1078">
        <v>-62.827666091547499</v>
      </c>
      <c r="N1078" s="7">
        <v>2.3241346076040101</v>
      </c>
      <c r="O1078" s="7">
        <v>0.42408817672899002</v>
      </c>
      <c r="P1078" s="7">
        <v>-13.341549806696399</v>
      </c>
      <c r="Q1078" s="7" t="s">
        <v>3698</v>
      </c>
      <c r="U1078">
        <v>3.7144457586658652E-3</v>
      </c>
      <c r="AT1078" s="4" t="s">
        <v>5107</v>
      </c>
    </row>
    <row r="1079" spans="1:46">
      <c r="A1079" s="2">
        <v>892</v>
      </c>
      <c r="B1079" t="s">
        <v>5594</v>
      </c>
      <c r="C1079" t="s">
        <v>2200</v>
      </c>
      <c r="D1079" t="s">
        <v>3752</v>
      </c>
      <c r="E1079" s="4">
        <v>43465</v>
      </c>
      <c r="F1079" s="11">
        <v>11.904777470000001</v>
      </c>
      <c r="G1079" s="11">
        <v>25.074626869999999</v>
      </c>
      <c r="H1079" s="11">
        <v>19.357686091800002</v>
      </c>
      <c r="I1079" s="11">
        <v>25.590871200799999</v>
      </c>
      <c r="J1079" s="11">
        <v>11.2654054982</v>
      </c>
      <c r="K1079" s="10">
        <v>0.64622094057099999</v>
      </c>
      <c r="L1079" s="12">
        <v>2800102891.3200002</v>
      </c>
      <c r="M1079">
        <v>24.076884361976099</v>
      </c>
      <c r="N1079" s="7">
        <v>1.67803132767339</v>
      </c>
      <c r="O1079" s="7">
        <v>2.1578434647502198</v>
      </c>
      <c r="P1079" s="7">
        <v>24.613457601661299</v>
      </c>
      <c r="Q1079" s="7">
        <v>2.7148094868506791</v>
      </c>
      <c r="U1079">
        <v>0.3649255677712952</v>
      </c>
      <c r="AT1079" s="4" t="s">
        <v>5595</v>
      </c>
    </row>
    <row r="1080" spans="1:46">
      <c r="A1080" s="2">
        <v>3202</v>
      </c>
      <c r="B1080" t="s">
        <v>5596</v>
      </c>
      <c r="C1080" t="s">
        <v>1516</v>
      </c>
      <c r="D1080" t="s">
        <v>3721</v>
      </c>
      <c r="E1080" s="4">
        <v>43465</v>
      </c>
      <c r="F1080" s="11">
        <v>-30.08822747</v>
      </c>
      <c r="G1080" s="11">
        <v>25.072046109999999</v>
      </c>
      <c r="H1080" s="11">
        <v>45.820968958000002</v>
      </c>
      <c r="I1080" s="11">
        <v>8.8630974076999998</v>
      </c>
      <c r="J1080" s="11">
        <v>2.7721233113000001</v>
      </c>
      <c r="K1080" s="10">
        <v>0.99913335707999995</v>
      </c>
      <c r="L1080" s="12">
        <v>3124816500</v>
      </c>
      <c r="M1080">
        <v>26.252442045380899</v>
      </c>
      <c r="N1080" s="7">
        <v>1.9205380204945499</v>
      </c>
      <c r="O1080" s="7">
        <v>1.21820540828752</v>
      </c>
      <c r="P1080" s="7">
        <v>65.701543918883601</v>
      </c>
      <c r="Q1080" s="7">
        <v>1.0567010309278349</v>
      </c>
      <c r="U1080">
        <v>8.1390923594065662E-2</v>
      </c>
      <c r="AT1080" s="4" t="s">
        <v>5597</v>
      </c>
    </row>
    <row r="1081" spans="1:46">
      <c r="A1081" s="2">
        <v>2035</v>
      </c>
      <c r="B1081" t="s">
        <v>5598</v>
      </c>
      <c r="C1081" t="s">
        <v>3429</v>
      </c>
      <c r="D1081" t="s">
        <v>4060</v>
      </c>
      <c r="E1081" s="4">
        <v>43465</v>
      </c>
      <c r="F1081" s="11">
        <v>-14.073189599999999</v>
      </c>
      <c r="G1081" s="11">
        <v>25.061708079999999</v>
      </c>
      <c r="H1081" s="11">
        <v>24.8323752258</v>
      </c>
      <c r="I1081" s="11">
        <v>43.681705577099997</v>
      </c>
      <c r="J1081" s="11">
        <v>7.1791863031999998</v>
      </c>
      <c r="K1081" s="10">
        <v>1.3441836219629999</v>
      </c>
      <c r="L1081" s="12">
        <v>16577829593.280001</v>
      </c>
      <c r="M1081">
        <v>35.000509941812098</v>
      </c>
      <c r="N1081" s="7">
        <v>3.9627336734190699</v>
      </c>
      <c r="O1081" s="7">
        <v>1.8945504974068399</v>
      </c>
      <c r="P1081" s="7">
        <v>-16.713010119643702</v>
      </c>
      <c r="Q1081" s="7">
        <v>0.9002250562640659</v>
      </c>
      <c r="U1081">
        <v>2.401241005372496</v>
      </c>
      <c r="AT1081" s="4" t="s">
        <v>5599</v>
      </c>
    </row>
    <row r="1082" spans="1:46">
      <c r="A1082" s="2">
        <v>1580</v>
      </c>
      <c r="B1082" t="s">
        <v>5600</v>
      </c>
      <c r="C1082" t="s">
        <v>3254</v>
      </c>
      <c r="D1082" t="s">
        <v>3721</v>
      </c>
      <c r="E1082" s="4">
        <v>43465</v>
      </c>
      <c r="F1082" s="11">
        <v>-4.8947582699999996</v>
      </c>
      <c r="G1082" s="11">
        <v>25.059101649999999</v>
      </c>
      <c r="H1082" s="11">
        <v>8.7425325469999997</v>
      </c>
      <c r="I1082" s="11">
        <v>35.060377493200001</v>
      </c>
      <c r="J1082" s="11">
        <v>3.1474622586000001</v>
      </c>
      <c r="K1082" s="10">
        <v>0.594204305888</v>
      </c>
      <c r="L1082" s="12">
        <v>5385815687.3500004</v>
      </c>
      <c r="M1082">
        <v>109.70251739069801</v>
      </c>
      <c r="N1082" s="7">
        <v>2.0766159095198899</v>
      </c>
      <c r="O1082" s="7">
        <v>2.80500245194292</v>
      </c>
      <c r="P1082" s="7">
        <v>1974.97354913912</v>
      </c>
      <c r="Q1082" s="7">
        <v>0.30991735537190085</v>
      </c>
      <c r="U1082">
        <v>5.0196499073757402E-2</v>
      </c>
      <c r="AT1082" s="4" t="s">
        <v>5601</v>
      </c>
    </row>
    <row r="1083" spans="1:46">
      <c r="A1083" s="2">
        <v>1773</v>
      </c>
      <c r="B1083" t="s">
        <v>5602</v>
      </c>
      <c r="C1083" t="s">
        <v>2840</v>
      </c>
      <c r="D1083" t="s">
        <v>3713</v>
      </c>
      <c r="E1083" s="4">
        <v>43465</v>
      </c>
      <c r="F1083" s="11">
        <v>110.38536129000001</v>
      </c>
      <c r="G1083" s="11">
        <v>24.954351800000001</v>
      </c>
      <c r="H1083" s="11">
        <v>23.628035432200001</v>
      </c>
      <c r="I1083" s="11">
        <v>50.7480287558</v>
      </c>
      <c r="J1083" s="11">
        <v>5.3462039808000004</v>
      </c>
      <c r="K1083" s="10">
        <v>0.66100144090500002</v>
      </c>
      <c r="L1083" s="12">
        <v>10736880000</v>
      </c>
      <c r="M1083">
        <v>59.196488375032402</v>
      </c>
      <c r="N1083" s="7">
        <v>4.8012821470574902</v>
      </c>
      <c r="O1083" s="7">
        <v>5.3314440424902596</v>
      </c>
      <c r="P1083" s="7">
        <v>44.977930965526703</v>
      </c>
      <c r="Q1083" s="7">
        <v>0.58360937647543976</v>
      </c>
      <c r="U1083">
        <v>0.17558630471364403</v>
      </c>
      <c r="AT1083" s="4" t="s">
        <v>4921</v>
      </c>
    </row>
    <row r="1084" spans="1:46">
      <c r="A1084" s="2">
        <v>1908</v>
      </c>
      <c r="B1084" t="s">
        <v>5603</v>
      </c>
      <c r="C1084" t="s">
        <v>1841</v>
      </c>
      <c r="D1084" t="s">
        <v>3858</v>
      </c>
      <c r="E1084" s="4">
        <v>43465</v>
      </c>
      <c r="F1084" s="11">
        <v>17.2153296</v>
      </c>
      <c r="G1084" s="11">
        <v>24.951330299999999</v>
      </c>
      <c r="H1084" s="11">
        <v>-12.0275551966</v>
      </c>
      <c r="I1084" s="11">
        <v>20.777297430899999</v>
      </c>
      <c r="J1084" s="11">
        <v>11.67865937</v>
      </c>
      <c r="K1084" s="10">
        <v>9.6189615278999996E-2</v>
      </c>
      <c r="L1084" s="12">
        <v>2614261600</v>
      </c>
      <c r="M1084">
        <v>-321.23131338566998</v>
      </c>
      <c r="N1084" s="7">
        <v>1.82022381262458</v>
      </c>
      <c r="O1084" s="7">
        <v>5.8246968048609</v>
      </c>
      <c r="P1084" s="7">
        <v>-10.5739867327719</v>
      </c>
      <c r="Q1084" s="7" t="s">
        <v>3698</v>
      </c>
      <c r="U1084">
        <v>9.1265758536585376E-2</v>
      </c>
      <c r="AT1084" s="4" t="s">
        <v>4065</v>
      </c>
    </row>
    <row r="1085" spans="1:46">
      <c r="A1085" s="2">
        <v>3397</v>
      </c>
      <c r="B1085" t="s">
        <v>5604</v>
      </c>
      <c r="C1085" t="s">
        <v>1381</v>
      </c>
      <c r="D1085" t="s">
        <v>3769</v>
      </c>
      <c r="E1085" s="4">
        <v>43465</v>
      </c>
      <c r="F1085" s="11">
        <v>-11.03864613</v>
      </c>
      <c r="G1085" s="11">
        <v>24.9490835</v>
      </c>
      <c r="H1085" s="11">
        <v>69.646859350100002</v>
      </c>
      <c r="I1085" s="11">
        <v>10.953350933299999</v>
      </c>
      <c r="J1085" s="11">
        <v>5.0818968214</v>
      </c>
      <c r="K1085" s="10">
        <v>0.87237509237400002</v>
      </c>
      <c r="L1085" s="12">
        <v>3497998694.4000001</v>
      </c>
      <c r="M1085">
        <v>49.4269375686603</v>
      </c>
      <c r="N1085" s="7">
        <v>2.2593286792008498</v>
      </c>
      <c r="O1085" s="7">
        <v>1.5993346904399599</v>
      </c>
      <c r="P1085" s="7">
        <v>-31.162257382349999</v>
      </c>
      <c r="Q1085" s="7">
        <v>0.19102196752626555</v>
      </c>
      <c r="U1085">
        <v>0.34872446916839417</v>
      </c>
      <c r="AT1085" s="4" t="s">
        <v>5605</v>
      </c>
    </row>
    <row r="1086" spans="1:46">
      <c r="A1086" s="2">
        <v>3551</v>
      </c>
      <c r="B1086" t="s">
        <v>5606</v>
      </c>
      <c r="C1086" t="s">
        <v>1554</v>
      </c>
      <c r="D1086" t="s">
        <v>4060</v>
      </c>
      <c r="E1086" s="4">
        <v>43465</v>
      </c>
      <c r="F1086" s="11">
        <v>-42.084433480000001</v>
      </c>
      <c r="G1086" s="11">
        <v>24.925373130000001</v>
      </c>
      <c r="H1086" s="11">
        <v>37.882294282300002</v>
      </c>
      <c r="I1086" s="11">
        <v>42.4094856846</v>
      </c>
      <c r="J1086" s="11">
        <v>-1.9632911447000001</v>
      </c>
      <c r="K1086" s="10">
        <v>0.61587018963399998</v>
      </c>
      <c r="L1086" s="12">
        <v>5643000000</v>
      </c>
      <c r="M1086">
        <v>22.3994071030383</v>
      </c>
      <c r="N1086" s="7">
        <v>43.009011762646502</v>
      </c>
      <c r="O1086" s="7">
        <v>1.3984090279141901</v>
      </c>
      <c r="P1086" s="7">
        <v>-27.0296423805739</v>
      </c>
      <c r="Q1086" s="7" t="s">
        <v>3698</v>
      </c>
      <c r="U1086">
        <v>-0.12020801184491706</v>
      </c>
      <c r="AT1086" s="4" t="s">
        <v>5265</v>
      </c>
    </row>
    <row r="1087" spans="1:46">
      <c r="A1087" s="2">
        <v>2848</v>
      </c>
      <c r="B1087" t="s">
        <v>5607</v>
      </c>
      <c r="C1087" t="s">
        <v>2442</v>
      </c>
      <c r="D1087" t="s">
        <v>3713</v>
      </c>
      <c r="E1087" s="4">
        <v>43465</v>
      </c>
      <c r="F1087" s="11">
        <v>31.473211450000001</v>
      </c>
      <c r="G1087" s="11">
        <v>24.907521580000001</v>
      </c>
      <c r="H1087" s="11">
        <v>7.3612112918000001</v>
      </c>
      <c r="I1087" s="11">
        <v>16.067018274399999</v>
      </c>
      <c r="J1087" s="11">
        <v>4.7224493568000003</v>
      </c>
      <c r="K1087" s="10">
        <v>0.75957116040399997</v>
      </c>
      <c r="L1087" s="12">
        <v>20738218952</v>
      </c>
      <c r="M1087">
        <v>67.965246998885405</v>
      </c>
      <c r="N1087" s="7">
        <v>2.13677157995695</v>
      </c>
      <c r="O1087" s="7">
        <v>1.6773413094548399</v>
      </c>
      <c r="P1087" s="7">
        <v>15.589442866346801</v>
      </c>
      <c r="Q1087" s="7">
        <v>0.83420229405630864</v>
      </c>
      <c r="U1087">
        <v>0.17722996277824918</v>
      </c>
      <c r="AT1087" s="4" t="s">
        <v>4156</v>
      </c>
    </row>
    <row r="1088" spans="1:46">
      <c r="A1088" s="2">
        <v>912</v>
      </c>
      <c r="B1088" t="s">
        <v>5608</v>
      </c>
      <c r="C1088" t="s">
        <v>823</v>
      </c>
      <c r="D1088" t="s">
        <v>3713</v>
      </c>
      <c r="E1088" s="4">
        <v>43465</v>
      </c>
      <c r="F1088" s="11">
        <v>-4.7976548499999998</v>
      </c>
      <c r="G1088" s="11">
        <v>24.860646599999999</v>
      </c>
      <c r="H1088" s="11">
        <v>6.8753167057000004</v>
      </c>
      <c r="I1088" s="11">
        <v>21.616930550100001</v>
      </c>
      <c r="J1088" s="11">
        <v>9.1884992747999998</v>
      </c>
      <c r="K1088" s="10">
        <v>0.47986720657900001</v>
      </c>
      <c r="L1088" s="12">
        <v>27249570200.48</v>
      </c>
      <c r="M1088">
        <v>51.755321222461397</v>
      </c>
      <c r="N1088" s="7">
        <v>3.11424110326494</v>
      </c>
      <c r="O1088" s="7">
        <v>2.7385173066452002</v>
      </c>
      <c r="P1088" s="7">
        <v>-14.879204612137</v>
      </c>
      <c r="Q1088" s="7">
        <v>0.46992481203007519</v>
      </c>
      <c r="U1088">
        <v>0.27433733880754518</v>
      </c>
      <c r="AT1088" s="4" t="s">
        <v>5216</v>
      </c>
    </row>
    <row r="1089" spans="1:46">
      <c r="A1089" s="2">
        <v>960</v>
      </c>
      <c r="B1089" t="s">
        <v>5609</v>
      </c>
      <c r="C1089" t="s">
        <v>1055</v>
      </c>
      <c r="D1089" t="s">
        <v>3721</v>
      </c>
      <c r="E1089" s="4">
        <v>43465</v>
      </c>
      <c r="F1089" s="11">
        <v>-4.782231E-2</v>
      </c>
      <c r="G1089" s="11">
        <v>24.85549133</v>
      </c>
      <c r="H1089" s="11">
        <v>4.4404029968999996</v>
      </c>
      <c r="I1089" s="11">
        <v>24.442512691699999</v>
      </c>
      <c r="J1089" s="11">
        <v>11.9589456508</v>
      </c>
      <c r="K1089" s="10">
        <v>0.58598348446799997</v>
      </c>
      <c r="L1089" s="12">
        <v>3486017076.0799999</v>
      </c>
      <c r="M1089">
        <v>15.2144701862488</v>
      </c>
      <c r="N1089" s="7">
        <v>1.8631429575362199</v>
      </c>
      <c r="O1089" s="7">
        <v>1.7416293330478301</v>
      </c>
      <c r="P1089" s="7">
        <v>-64.395458400502804</v>
      </c>
      <c r="Q1089" s="7">
        <v>2.9041626331074535</v>
      </c>
      <c r="U1089">
        <v>0.72037361416327395</v>
      </c>
      <c r="AT1089" s="4" t="s">
        <v>5610</v>
      </c>
    </row>
    <row r="1090" spans="1:46">
      <c r="A1090" s="2">
        <v>2294</v>
      </c>
      <c r="B1090" t="s">
        <v>5611</v>
      </c>
      <c r="C1090" t="s">
        <v>1092</v>
      </c>
      <c r="D1090" t="s">
        <v>3972</v>
      </c>
      <c r="E1090" s="4">
        <v>43465</v>
      </c>
      <c r="F1090" s="11">
        <v>-12.581743919999999</v>
      </c>
      <c r="G1090" s="11">
        <v>24.822695039999999</v>
      </c>
      <c r="H1090" s="11">
        <v>28.261554937500001</v>
      </c>
      <c r="I1090" s="11">
        <v>8.1052856004000002</v>
      </c>
      <c r="J1090" s="11">
        <v>2.7218343291</v>
      </c>
      <c r="K1090" s="10">
        <v>1.4277909203879999</v>
      </c>
      <c r="L1090" s="12">
        <v>2617393842</v>
      </c>
      <c r="M1090">
        <v>7.6535115495047901</v>
      </c>
      <c r="N1090" s="7">
        <v>0.73135182081137096</v>
      </c>
      <c r="O1090" s="7">
        <v>7.7570188918915997E-2</v>
      </c>
      <c r="P1090" s="7">
        <v>2.26894625079301</v>
      </c>
      <c r="Q1090" s="7">
        <v>6.25</v>
      </c>
      <c r="U1090">
        <v>1.647863541052597</v>
      </c>
      <c r="AT1090" s="4" t="s">
        <v>5472</v>
      </c>
    </row>
    <row r="1091" spans="1:46">
      <c r="A1091" s="2">
        <v>1547</v>
      </c>
      <c r="B1091" t="s">
        <v>5612</v>
      </c>
      <c r="C1091" t="s">
        <v>114</v>
      </c>
      <c r="D1091" t="s">
        <v>3737</v>
      </c>
      <c r="E1091" s="4">
        <v>43465</v>
      </c>
      <c r="F1091" s="11">
        <v>79.537829799999997</v>
      </c>
      <c r="G1091" s="11">
        <v>24.793601649999999</v>
      </c>
      <c r="H1091" s="11">
        <v>289.4257321819</v>
      </c>
      <c r="I1091" s="11">
        <v>54.766818004699999</v>
      </c>
      <c r="J1091" s="11">
        <v>27.7597762718</v>
      </c>
      <c r="K1091" s="10">
        <v>0.95790979705000001</v>
      </c>
      <c r="L1091" s="12">
        <v>14805529272</v>
      </c>
      <c r="M1091">
        <v>49.684959744993698</v>
      </c>
      <c r="N1091" s="7">
        <v>14.9018898883291</v>
      </c>
      <c r="O1091" s="7">
        <v>15.2433647139892</v>
      </c>
      <c r="P1091" s="7">
        <v>-1040.65904771029</v>
      </c>
      <c r="Q1091" s="7">
        <v>1.1286681715575622</v>
      </c>
      <c r="U1091">
        <v>0.9071040800875001</v>
      </c>
      <c r="AT1091" s="4" t="s">
        <v>4656</v>
      </c>
    </row>
    <row r="1092" spans="1:46">
      <c r="A1092" s="2">
        <v>3053</v>
      </c>
      <c r="B1092" t="s">
        <v>5613</v>
      </c>
      <c r="C1092" t="s">
        <v>807</v>
      </c>
      <c r="D1092" t="s">
        <v>3972</v>
      </c>
      <c r="E1092" s="4">
        <v>43465</v>
      </c>
      <c r="F1092" s="11">
        <v>-19.384092460000002</v>
      </c>
      <c r="G1092" s="11">
        <v>24.738219900000001</v>
      </c>
      <c r="H1092" s="11">
        <v>12.698694680999999</v>
      </c>
      <c r="I1092" s="11">
        <v>15.8235660513</v>
      </c>
      <c r="J1092" s="11">
        <v>5.9956664552000003</v>
      </c>
      <c r="K1092" s="10">
        <v>0.57056635024000002</v>
      </c>
      <c r="L1092" s="12">
        <v>2923333838.7600002</v>
      </c>
      <c r="M1092">
        <v>19.805713035695</v>
      </c>
      <c r="N1092" s="7">
        <v>1.2046976893818999</v>
      </c>
      <c r="O1092" s="7">
        <v>0.83775344608936197</v>
      </c>
      <c r="P1092" s="7">
        <v>-34.6880883198831</v>
      </c>
      <c r="Q1092" s="7">
        <v>1.2222485207100591</v>
      </c>
      <c r="U1092">
        <v>0.505089180589116</v>
      </c>
      <c r="AT1092" s="4" t="s">
        <v>5614</v>
      </c>
    </row>
    <row r="1093" spans="1:46">
      <c r="A1093" s="2">
        <v>84</v>
      </c>
      <c r="B1093" t="s">
        <v>5615</v>
      </c>
      <c r="C1093" t="s">
        <v>334</v>
      </c>
      <c r="D1093" t="s">
        <v>3737</v>
      </c>
      <c r="E1093" s="4">
        <v>43465</v>
      </c>
      <c r="F1093" s="11">
        <v>8.6444668700000005</v>
      </c>
      <c r="G1093" s="11">
        <v>24.702144560000001</v>
      </c>
      <c r="H1093" s="11">
        <v>25.455319193400001</v>
      </c>
      <c r="I1093" s="11">
        <v>53.325480173599999</v>
      </c>
      <c r="J1093" s="11">
        <v>8.7155193318999995</v>
      </c>
      <c r="K1093" s="10">
        <v>0.65185655534800002</v>
      </c>
      <c r="L1093" s="12">
        <v>10079470827.48</v>
      </c>
      <c r="M1093">
        <v>84.174748812349094</v>
      </c>
      <c r="N1093" s="7">
        <v>10.7623777521765</v>
      </c>
      <c r="O1093" s="7">
        <v>8.5287804365607496</v>
      </c>
      <c r="P1093" s="7">
        <v>-883.911301051588</v>
      </c>
      <c r="Q1093" s="7" t="s">
        <v>3698</v>
      </c>
      <c r="U1093">
        <v>0.29343129165210674</v>
      </c>
      <c r="AT1093" s="4" t="s">
        <v>5616</v>
      </c>
    </row>
    <row r="1094" spans="1:46">
      <c r="A1094" s="2">
        <v>3381</v>
      </c>
      <c r="B1094" t="s">
        <v>5617</v>
      </c>
      <c r="C1094" t="s">
        <v>3283</v>
      </c>
      <c r="D1094" t="s">
        <v>3977</v>
      </c>
      <c r="E1094" s="4">
        <v>43465</v>
      </c>
      <c r="F1094" s="11">
        <v>-2.9484387500000002</v>
      </c>
      <c r="G1094" s="11">
        <v>24.700239809999999</v>
      </c>
      <c r="H1094" s="11">
        <v>14.108610348799999</v>
      </c>
      <c r="I1094" s="11">
        <v>32.685510662699997</v>
      </c>
      <c r="J1094" s="11">
        <v>-15.890079435300001</v>
      </c>
      <c r="K1094" s="10">
        <v>0.52380988029499997</v>
      </c>
      <c r="L1094" s="12">
        <v>3956246345.5999999</v>
      </c>
      <c r="M1094">
        <v>-26.891219015954398</v>
      </c>
      <c r="N1094" s="7">
        <v>1.19027348771337</v>
      </c>
      <c r="O1094" s="7">
        <v>1.0651647403661599</v>
      </c>
      <c r="P1094" s="7">
        <v>-15.1112579952365</v>
      </c>
      <c r="Q1094" s="7" t="s">
        <v>3698</v>
      </c>
      <c r="U1094">
        <v>-0.61460766415000001</v>
      </c>
      <c r="AT1094" s="4" t="s">
        <v>5618</v>
      </c>
    </row>
    <row r="1095" spans="1:46">
      <c r="A1095" s="2">
        <v>2352</v>
      </c>
      <c r="B1095" t="s">
        <v>5619</v>
      </c>
      <c r="C1095" t="s">
        <v>635</v>
      </c>
      <c r="D1095" t="s">
        <v>3764</v>
      </c>
      <c r="E1095" s="4">
        <v>43465</v>
      </c>
      <c r="F1095" s="11">
        <v>-21.23076923</v>
      </c>
      <c r="G1095" s="11">
        <v>24.69437653</v>
      </c>
      <c r="H1095" s="11">
        <v>14.606404378700001</v>
      </c>
      <c r="I1095" s="11">
        <v>32.090670371999998</v>
      </c>
      <c r="J1095" s="11">
        <v>10.2568092768</v>
      </c>
      <c r="K1095" s="10">
        <v>0.66207043084200001</v>
      </c>
      <c r="L1095" s="12">
        <v>7381133761.5</v>
      </c>
      <c r="M1095">
        <v>20.5176389844619</v>
      </c>
      <c r="N1095" s="7">
        <v>4.1112915271350801</v>
      </c>
      <c r="O1095" s="7">
        <v>2.2171322213432298</v>
      </c>
      <c r="P1095" s="7">
        <v>21.967463957775202</v>
      </c>
      <c r="Q1095" s="7" t="s">
        <v>3698</v>
      </c>
      <c r="U1095">
        <v>0.22765698244294658</v>
      </c>
      <c r="AT1095" s="4" t="s">
        <v>5620</v>
      </c>
    </row>
    <row r="1096" spans="1:46">
      <c r="A1096" s="2">
        <v>3082</v>
      </c>
      <c r="B1096" t="s">
        <v>5621</v>
      </c>
      <c r="C1096" t="s">
        <v>3530</v>
      </c>
      <c r="D1096" t="s">
        <v>3761</v>
      </c>
      <c r="E1096" s="4">
        <v>43465</v>
      </c>
      <c r="F1096" s="11">
        <v>-19.933568730000001</v>
      </c>
      <c r="G1096" s="11">
        <v>24.669603519999999</v>
      </c>
      <c r="H1096" s="11">
        <v>-5.9495700751999996</v>
      </c>
      <c r="I1096" s="11">
        <v>3.3294944586000002</v>
      </c>
      <c r="J1096" s="11">
        <v>-5.2242255872000003</v>
      </c>
      <c r="K1096" s="10">
        <v>0.29612525086199998</v>
      </c>
      <c r="L1096" s="12">
        <v>4085339720</v>
      </c>
      <c r="M1096">
        <v>-18.903848810983</v>
      </c>
      <c r="N1096" s="7">
        <v>0.906656457196657</v>
      </c>
      <c r="O1096" s="7">
        <v>1.78889849901149</v>
      </c>
      <c r="P1096" s="7">
        <v>-10.736449067765101</v>
      </c>
      <c r="Q1096" s="7" t="s">
        <v>3698</v>
      </c>
      <c r="U1096">
        <v>-5.975111264822134E-2</v>
      </c>
      <c r="AT1096" s="4" t="s">
        <v>4458</v>
      </c>
    </row>
    <row r="1097" spans="1:46">
      <c r="A1097" s="2">
        <v>49</v>
      </c>
      <c r="B1097" t="s">
        <v>5622</v>
      </c>
      <c r="C1097" t="s">
        <v>813</v>
      </c>
      <c r="D1097" t="s">
        <v>3858</v>
      </c>
      <c r="E1097" s="4">
        <v>43465</v>
      </c>
      <c r="F1097" s="11">
        <v>-15.738670409999999</v>
      </c>
      <c r="G1097" s="11">
        <v>24.645161290000001</v>
      </c>
      <c r="H1097" s="11">
        <v>3.4337689795999999</v>
      </c>
      <c r="I1097" s="11">
        <v>23.312781472299999</v>
      </c>
      <c r="J1097" s="11">
        <v>73.676622657899998</v>
      </c>
      <c r="K1097" s="10">
        <v>0.33347560657500003</v>
      </c>
      <c r="L1097" s="12">
        <v>9284599454.6399994</v>
      </c>
      <c r="M1097">
        <v>14.635456073277799</v>
      </c>
      <c r="N1097" s="7">
        <v>0.889655404269586</v>
      </c>
      <c r="O1097" s="7">
        <v>1.4766431184515401</v>
      </c>
      <c r="P1097" s="7">
        <v>-5.8920638959261904</v>
      </c>
      <c r="Q1097" s="7">
        <v>4.5146726862302486</v>
      </c>
      <c r="U1097">
        <v>1.9994625112887359</v>
      </c>
      <c r="AT1097" s="4" t="s">
        <v>5623</v>
      </c>
    </row>
    <row r="1098" spans="1:46">
      <c r="A1098" s="2">
        <v>3161</v>
      </c>
      <c r="B1098" t="s">
        <v>5624</v>
      </c>
      <c r="C1098" t="s">
        <v>3214</v>
      </c>
      <c r="D1098" t="s">
        <v>3889</v>
      </c>
      <c r="E1098" s="4">
        <v>43465</v>
      </c>
      <c r="F1098" s="11">
        <v>3.8781566299999999</v>
      </c>
      <c r="G1098" s="11">
        <v>24.599542329999998</v>
      </c>
      <c r="H1098" s="11">
        <v>10.6549979268</v>
      </c>
      <c r="I1098" s="11">
        <v>30.442723451100001</v>
      </c>
      <c r="J1098" s="11">
        <v>19.152941042199998</v>
      </c>
      <c r="K1098" s="10">
        <v>0.46878002093600002</v>
      </c>
      <c r="L1098" s="12">
        <v>3426612000</v>
      </c>
      <c r="M1098">
        <v>18.567104559132101</v>
      </c>
      <c r="N1098" s="7">
        <v>1.95575615847512</v>
      </c>
      <c r="O1098" s="7">
        <v>3.24649248217451</v>
      </c>
      <c r="P1098" s="7">
        <v>25.392165162348</v>
      </c>
      <c r="Q1098" s="7">
        <v>0.99264705882352955</v>
      </c>
      <c r="U1098">
        <v>0.53702606953826693</v>
      </c>
      <c r="AT1098" s="4" t="s">
        <v>5625</v>
      </c>
    </row>
    <row r="1099" spans="1:46">
      <c r="A1099" s="2">
        <v>880</v>
      </c>
      <c r="B1099" t="s">
        <v>5626</v>
      </c>
      <c r="C1099" t="s">
        <v>2415</v>
      </c>
      <c r="D1099" t="s">
        <v>3721</v>
      </c>
      <c r="E1099" s="4">
        <v>43465</v>
      </c>
      <c r="F1099" s="11">
        <v>-10.69684346</v>
      </c>
      <c r="G1099" s="11">
        <v>24.59459459</v>
      </c>
      <c r="H1099" s="11">
        <v>13.801399373500001</v>
      </c>
      <c r="I1099" s="11">
        <v>7.4595286871999997</v>
      </c>
      <c r="J1099" s="11">
        <v>-3.4314047624000001</v>
      </c>
      <c r="K1099" s="10">
        <v>0.83400837138299999</v>
      </c>
      <c r="L1099" s="12">
        <v>7910322991.5100002</v>
      </c>
      <c r="M1099">
        <v>180.52799408591099</v>
      </c>
      <c r="N1099" s="7">
        <v>2.1620067925378099</v>
      </c>
      <c r="O1099" s="7">
        <v>1.3589391182144701</v>
      </c>
      <c r="P1099" s="7">
        <v>-19.286814091946098</v>
      </c>
      <c r="Q1099" s="7" t="s">
        <v>3698</v>
      </c>
      <c r="U1099">
        <v>-0.17725806855915163</v>
      </c>
      <c r="AT1099" s="4" t="s">
        <v>3906</v>
      </c>
    </row>
    <row r="1100" spans="1:46">
      <c r="A1100" s="2">
        <v>2449</v>
      </c>
      <c r="B1100" t="s">
        <v>5627</v>
      </c>
      <c r="C1100" t="s">
        <v>232</v>
      </c>
      <c r="D1100" t="s">
        <v>3764</v>
      </c>
      <c r="E1100" s="4">
        <v>43465</v>
      </c>
      <c r="F1100" s="11">
        <v>12.75333814</v>
      </c>
      <c r="G1100" s="11">
        <v>24.590163929999999</v>
      </c>
      <c r="H1100" s="11">
        <v>15.3831902651</v>
      </c>
      <c r="I1100" s="11">
        <v>29.9542038035</v>
      </c>
      <c r="J1100" s="11">
        <v>18.124278888500001</v>
      </c>
      <c r="K1100" s="10">
        <v>0.31684459615400001</v>
      </c>
      <c r="L1100" s="12">
        <v>25488452764.700001</v>
      </c>
      <c r="M1100">
        <v>15.45517056792</v>
      </c>
      <c r="N1100" s="7">
        <v>1.95205351215585</v>
      </c>
      <c r="O1100" s="7">
        <v>2.27424319051305</v>
      </c>
      <c r="P1100" s="7">
        <v>-125.443850733652</v>
      </c>
      <c r="Q1100" s="7">
        <v>1.1709601873536299</v>
      </c>
      <c r="U1100">
        <v>1.1425739050688402</v>
      </c>
      <c r="AT1100" s="4" t="s">
        <v>5628</v>
      </c>
    </row>
    <row r="1101" spans="1:46">
      <c r="A1101" s="2">
        <v>594</v>
      </c>
      <c r="B1101" t="s">
        <v>5629</v>
      </c>
      <c r="C1101" t="s">
        <v>1013</v>
      </c>
      <c r="D1101" t="s">
        <v>3728</v>
      </c>
      <c r="E1101" s="4">
        <v>43465</v>
      </c>
      <c r="F1101" s="11">
        <v>0.15299571000000001</v>
      </c>
      <c r="G1101" s="11">
        <v>24.54361055</v>
      </c>
      <c r="H1101" s="11">
        <v>7.2350844095999998</v>
      </c>
      <c r="I1101" s="11">
        <v>19.942179942500001</v>
      </c>
      <c r="J1101" s="11">
        <v>8.4223545046999995</v>
      </c>
      <c r="K1101" s="10">
        <v>0.66832650323999998</v>
      </c>
      <c r="L1101" s="12">
        <v>79456000000</v>
      </c>
      <c r="M1101">
        <v>13.884629041807701</v>
      </c>
      <c r="N1101" s="7">
        <v>1.3027875843622401</v>
      </c>
      <c r="O1101" s="7">
        <v>0.87018980122533496</v>
      </c>
      <c r="P1101" s="7">
        <v>106.239267698706</v>
      </c>
      <c r="Q1101" s="7">
        <v>1.6666666666666667</v>
      </c>
      <c r="U1101">
        <v>0.47882006472015387</v>
      </c>
      <c r="AT1101" s="4" t="s">
        <v>4375</v>
      </c>
    </row>
    <row r="1102" spans="1:46">
      <c r="A1102" s="2">
        <v>2207</v>
      </c>
      <c r="B1102" t="s">
        <v>5630</v>
      </c>
      <c r="C1102" t="s">
        <v>1322</v>
      </c>
      <c r="D1102" t="s">
        <v>3977</v>
      </c>
      <c r="E1102" s="4">
        <v>43465</v>
      </c>
      <c r="F1102" s="11">
        <v>-25.78891591</v>
      </c>
      <c r="G1102" s="11">
        <v>24.539170510000002</v>
      </c>
      <c r="H1102" s="11">
        <v>6.8689962433999998</v>
      </c>
      <c r="I1102" s="11">
        <v>14.690013842400001</v>
      </c>
      <c r="J1102" s="11">
        <v>1.5564876371</v>
      </c>
      <c r="K1102" s="10">
        <v>1.301837241111</v>
      </c>
      <c r="L1102" s="12">
        <v>140745459142.64999</v>
      </c>
      <c r="M1102">
        <v>30.872384648047301</v>
      </c>
      <c r="N1102" s="7">
        <v>0.83229701748584095</v>
      </c>
      <c r="O1102" s="7">
        <v>0.33786435001781001</v>
      </c>
      <c r="P1102" s="7">
        <v>8.7901029608195405</v>
      </c>
      <c r="Q1102" s="7">
        <v>0.94339622641509435</v>
      </c>
      <c r="U1102">
        <v>0.29989245185361935</v>
      </c>
      <c r="AT1102" s="4" t="s">
        <v>4200</v>
      </c>
    </row>
    <row r="1103" spans="1:46">
      <c r="A1103" s="2">
        <v>504</v>
      </c>
      <c r="B1103" t="s">
        <v>5631</v>
      </c>
      <c r="C1103" t="s">
        <v>2337</v>
      </c>
      <c r="D1103" t="s">
        <v>3849</v>
      </c>
      <c r="E1103" s="4">
        <v>43465</v>
      </c>
      <c r="F1103" s="11">
        <v>-30.582842169999999</v>
      </c>
      <c r="G1103" s="11">
        <v>24.521531100000001</v>
      </c>
      <c r="H1103" s="11">
        <v>9.2244673519999996</v>
      </c>
      <c r="I1103" s="11">
        <v>9.3648571682000004</v>
      </c>
      <c r="J1103" s="11">
        <v>22.817307987500001</v>
      </c>
      <c r="K1103" s="10">
        <v>0.108551247411</v>
      </c>
      <c r="L1103" s="12" t="s">
        <v>3698</v>
      </c>
      <c r="M1103">
        <v>270.13023947087902</v>
      </c>
      <c r="N1103" s="7">
        <v>5.2839395033190204</v>
      </c>
      <c r="O1103" s="7">
        <v>46.232532198371104</v>
      </c>
      <c r="P1103" s="7">
        <v>-51.642395825389997</v>
      </c>
      <c r="Q1103" s="7" t="s">
        <v>3698</v>
      </c>
      <c r="U1103">
        <v>4.4013540057971014E-2</v>
      </c>
      <c r="AT1103" s="4" t="s">
        <v>5632</v>
      </c>
    </row>
    <row r="1104" spans="1:46">
      <c r="A1104" s="2">
        <v>1618</v>
      </c>
      <c r="B1104" t="s">
        <v>5633</v>
      </c>
      <c r="C1104" t="s">
        <v>2223</v>
      </c>
      <c r="D1104" t="s">
        <v>3718</v>
      </c>
      <c r="E1104" s="4">
        <v>43465</v>
      </c>
      <c r="F1104" s="11">
        <v>25.510668500000001</v>
      </c>
      <c r="G1104" s="11">
        <v>24.512534819999999</v>
      </c>
      <c r="H1104" s="11">
        <v>10.7607393717</v>
      </c>
      <c r="I1104" s="11">
        <v>32.061618699</v>
      </c>
      <c r="J1104" s="11">
        <v>21.909972494000002</v>
      </c>
      <c r="K1104" s="10">
        <v>0.33076421897699998</v>
      </c>
      <c r="L1104" s="12">
        <v>4576000000</v>
      </c>
      <c r="M1104">
        <v>34.496639617147501</v>
      </c>
      <c r="N1104" s="7">
        <v>1.51724595288607</v>
      </c>
      <c r="O1104" s="7">
        <v>4.0644528480561304</v>
      </c>
      <c r="P1104" s="7">
        <v>-24.4234007747018</v>
      </c>
      <c r="Q1104" s="7">
        <v>2.5316455696202533</v>
      </c>
      <c r="U1104">
        <v>0.37636983605349134</v>
      </c>
      <c r="AT1104" s="4" t="s">
        <v>4351</v>
      </c>
    </row>
    <row r="1105" spans="1:46">
      <c r="A1105" s="2">
        <v>1528</v>
      </c>
      <c r="B1105" t="s">
        <v>5634</v>
      </c>
      <c r="C1105" t="s">
        <v>2158</v>
      </c>
      <c r="D1105" t="s">
        <v>3764</v>
      </c>
      <c r="E1105" s="4">
        <v>43465</v>
      </c>
      <c r="F1105" s="11">
        <v>-20.994581140000001</v>
      </c>
      <c r="G1105" s="11">
        <v>24.500665779999999</v>
      </c>
      <c r="H1105" s="11">
        <v>-20.3122251733</v>
      </c>
      <c r="I1105" s="11">
        <v>26.830458095800001</v>
      </c>
      <c r="J1105" s="11">
        <v>8.0245778461999997</v>
      </c>
      <c r="K1105" s="10">
        <v>0.22663933566300001</v>
      </c>
      <c r="L1105" s="12">
        <v>7109938083.8400002</v>
      </c>
      <c r="M1105">
        <v>53.857256252830901</v>
      </c>
      <c r="N1105" s="7">
        <v>2.6068752852391701</v>
      </c>
      <c r="O1105" s="7">
        <v>9.1437490060862601</v>
      </c>
      <c r="P1105" s="7">
        <v>20.872851176658799</v>
      </c>
      <c r="Q1105" s="7" t="s">
        <v>3698</v>
      </c>
      <c r="U1105">
        <v>6.0497103378137983E-2</v>
      </c>
      <c r="AT1105" s="4" t="s">
        <v>5635</v>
      </c>
    </row>
    <row r="1106" spans="1:46">
      <c r="A1106" s="2">
        <v>2403</v>
      </c>
      <c r="B1106" t="s">
        <v>5636</v>
      </c>
      <c r="C1106" t="s">
        <v>370</v>
      </c>
      <c r="D1106" t="s">
        <v>3752</v>
      </c>
      <c r="E1106" s="4">
        <v>43465</v>
      </c>
      <c r="F1106" s="11">
        <v>25.724782449999999</v>
      </c>
      <c r="G1106" s="11">
        <v>24.471635150000001</v>
      </c>
      <c r="H1106" s="11">
        <v>0.49778512070000003</v>
      </c>
      <c r="I1106" s="11">
        <v>30.623068137800001</v>
      </c>
      <c r="J1106" s="11">
        <v>19.703179227700002</v>
      </c>
      <c r="K1106" s="10">
        <v>0.667448826843</v>
      </c>
      <c r="L1106" s="12">
        <v>2816598400</v>
      </c>
      <c r="M1106">
        <v>11.485349596557</v>
      </c>
      <c r="N1106" s="7">
        <v>2.1272021089378801</v>
      </c>
      <c r="O1106" s="7">
        <v>2.2373462248826201</v>
      </c>
      <c r="P1106" s="7">
        <v>184.01161819667001</v>
      </c>
      <c r="Q1106" s="7">
        <v>1.3691128148959473</v>
      </c>
      <c r="U1106">
        <v>0.76788920134719296</v>
      </c>
      <c r="AT1106" s="4" t="s">
        <v>5637</v>
      </c>
    </row>
    <row r="1107" spans="1:46">
      <c r="A1107" s="2">
        <v>3630</v>
      </c>
      <c r="B1107" t="s">
        <v>5638</v>
      </c>
      <c r="C1107" t="s">
        <v>1390</v>
      </c>
      <c r="D1107" t="s">
        <v>3737</v>
      </c>
      <c r="E1107" s="4">
        <v>43465</v>
      </c>
      <c r="F1107" s="11">
        <v>-3.3458160299999999</v>
      </c>
      <c r="G1107" s="11">
        <v>24.45482866</v>
      </c>
      <c r="H1107" s="11">
        <v>15.4133761768</v>
      </c>
      <c r="I1107" s="11">
        <v>34.857609949299999</v>
      </c>
      <c r="J1107" s="11">
        <v>12.444703599</v>
      </c>
      <c r="K1107" s="10">
        <v>0.76785742351899999</v>
      </c>
      <c r="L1107" s="12">
        <v>5425945632.8699999</v>
      </c>
      <c r="M1107">
        <v>21.613112303601199</v>
      </c>
      <c r="N1107" s="7">
        <v>2.0665997396134199</v>
      </c>
      <c r="O1107" s="7">
        <v>2.0415288603045401</v>
      </c>
      <c r="P1107" s="7">
        <v>-49.694670325430202</v>
      </c>
      <c r="Q1107" s="7">
        <v>2.0689655172413794</v>
      </c>
      <c r="U1107">
        <v>0.33308815889168925</v>
      </c>
      <c r="AT1107" s="4" t="s">
        <v>5639</v>
      </c>
    </row>
    <row r="1108" spans="1:46">
      <c r="A1108" s="2">
        <v>2258</v>
      </c>
      <c r="B1108" t="s">
        <v>5640</v>
      </c>
      <c r="C1108" t="s">
        <v>2011</v>
      </c>
      <c r="D1108" t="s">
        <v>3769</v>
      </c>
      <c r="E1108" s="4">
        <v>43465</v>
      </c>
      <c r="F1108" s="11">
        <v>-25.234570940000001</v>
      </c>
      <c r="G1108" s="11">
        <v>24.401368300000001</v>
      </c>
      <c r="H1108" s="11">
        <v>36.757670553399997</v>
      </c>
      <c r="I1108" s="11">
        <v>14.4956445534</v>
      </c>
      <c r="J1108" s="11">
        <v>4.1490726265999998</v>
      </c>
      <c r="K1108" s="10">
        <v>0.629534298273</v>
      </c>
      <c r="L1108" s="12">
        <v>8663880000</v>
      </c>
      <c r="M1108">
        <v>108.08898622898499</v>
      </c>
      <c r="N1108" s="7">
        <v>3.4615722458978202</v>
      </c>
      <c r="O1108" s="7">
        <v>2.5639135377094999</v>
      </c>
      <c r="P1108" s="7">
        <v>-7.18515254932041</v>
      </c>
      <c r="Q1108" s="7">
        <v>0.50301810865191143</v>
      </c>
      <c r="U1108">
        <v>0.16068829287989814</v>
      </c>
      <c r="AT1108" s="4" t="s">
        <v>5641</v>
      </c>
    </row>
    <row r="1109" spans="1:46">
      <c r="A1109" s="2">
        <v>3596</v>
      </c>
      <c r="B1109" t="s">
        <v>5642</v>
      </c>
      <c r="C1109" t="s">
        <v>1210</v>
      </c>
      <c r="D1109" t="s">
        <v>3752</v>
      </c>
      <c r="E1109" s="4">
        <v>43465</v>
      </c>
      <c r="F1109" s="11">
        <v>-0.43491721999999999</v>
      </c>
      <c r="G1109" s="11">
        <v>24.381625440000001</v>
      </c>
      <c r="H1109" s="11">
        <v>15.4422509053</v>
      </c>
      <c r="I1109" s="11">
        <v>30.137287604400001</v>
      </c>
      <c r="J1109" s="11">
        <v>6.6448138130999999</v>
      </c>
      <c r="K1109" s="10">
        <v>0.80674437521700004</v>
      </c>
      <c r="L1109" s="12">
        <v>5305183542.7200003</v>
      </c>
      <c r="M1109">
        <v>43.083755955458599</v>
      </c>
      <c r="N1109" s="7">
        <v>2.0663612570007301</v>
      </c>
      <c r="O1109" s="7">
        <v>1.5135343634543399</v>
      </c>
      <c r="P1109" s="7">
        <v>86.150306886865096</v>
      </c>
      <c r="Q1109" s="7">
        <v>1.0980932462970656</v>
      </c>
      <c r="U1109">
        <v>0.32209528642389318</v>
      </c>
      <c r="AT1109" s="4" t="s">
        <v>5643</v>
      </c>
    </row>
    <row r="1110" spans="1:46">
      <c r="A1110" s="2">
        <v>755</v>
      </c>
      <c r="B1110" t="s">
        <v>5644</v>
      </c>
      <c r="C1110" t="s">
        <v>1114</v>
      </c>
      <c r="D1110" t="s">
        <v>3871</v>
      </c>
      <c r="E1110" s="4">
        <v>43465</v>
      </c>
      <c r="F1110" s="11">
        <v>-36.49941381</v>
      </c>
      <c r="G1110" s="11">
        <v>24.371859300000001</v>
      </c>
      <c r="H1110" s="11">
        <v>53.302804808799998</v>
      </c>
      <c r="I1110" s="11">
        <v>35.744499212199997</v>
      </c>
      <c r="J1110" s="11">
        <v>14.9284584361</v>
      </c>
      <c r="K1110" s="10">
        <v>0.285736973432</v>
      </c>
      <c r="L1110" s="12">
        <v>13440270875.719999</v>
      </c>
      <c r="M1110">
        <v>10.511585012116001</v>
      </c>
      <c r="N1110" s="7">
        <v>0.811477585297257</v>
      </c>
      <c r="O1110" s="7">
        <v>0.63465496997701398</v>
      </c>
      <c r="P1110" s="7">
        <v>-6.0765147924778402</v>
      </c>
      <c r="Q1110" s="7">
        <v>1.3986013986013985</v>
      </c>
      <c r="U1110">
        <v>0.39114169981063035</v>
      </c>
      <c r="AT1110" s="4" t="s">
        <v>5645</v>
      </c>
    </row>
    <row r="1111" spans="1:46">
      <c r="A1111" s="2">
        <v>676</v>
      </c>
      <c r="B1111" t="s">
        <v>5646</v>
      </c>
      <c r="C1111" t="s">
        <v>2960</v>
      </c>
      <c r="D1111" t="s">
        <v>3752</v>
      </c>
      <c r="E1111" s="4">
        <v>43465</v>
      </c>
      <c r="F1111" s="11">
        <v>-27.695228050000001</v>
      </c>
      <c r="G1111" s="11">
        <v>24.347826090000002</v>
      </c>
      <c r="H1111" s="11">
        <v>13.6281830492</v>
      </c>
      <c r="I1111" s="11">
        <v>13.3581556261</v>
      </c>
      <c r="J1111" s="11">
        <v>1.2562305283999999</v>
      </c>
      <c r="K1111" s="10">
        <v>0.751305029023</v>
      </c>
      <c r="L1111" s="12">
        <v>5647760031.1000004</v>
      </c>
      <c r="M1111">
        <v>-261.55304002980398</v>
      </c>
      <c r="N1111" s="7">
        <v>1.38448313518857</v>
      </c>
      <c r="O1111" s="7">
        <v>0.87177203737047504</v>
      </c>
      <c r="P1111" s="7">
        <v>12.3522379641283</v>
      </c>
      <c r="Q1111" s="7">
        <v>0.98522167487684742</v>
      </c>
      <c r="U1111">
        <v>4.8298332564609088E-2</v>
      </c>
      <c r="AT1111" s="4" t="s">
        <v>5232</v>
      </c>
    </row>
    <row r="1112" spans="1:46">
      <c r="A1112" s="2">
        <v>2513</v>
      </c>
      <c r="B1112" t="s">
        <v>5647</v>
      </c>
      <c r="C1112" t="s">
        <v>1585</v>
      </c>
      <c r="D1112" t="s">
        <v>3778</v>
      </c>
      <c r="E1112" s="4">
        <v>43465</v>
      </c>
      <c r="F1112" s="11">
        <v>-27.319587630000001</v>
      </c>
      <c r="G1112" s="11">
        <v>24.31192661</v>
      </c>
      <c r="H1112" s="11">
        <v>22.238509030900001</v>
      </c>
      <c r="I1112" s="11">
        <v>13.306342757199999</v>
      </c>
      <c r="J1112" s="11">
        <v>1.2174897028</v>
      </c>
      <c r="K1112" s="10">
        <v>0.73544095326500003</v>
      </c>
      <c r="L1112" s="12">
        <v>14197021258.700001</v>
      </c>
      <c r="M1112">
        <v>-4.4684317209307798</v>
      </c>
      <c r="N1112" s="7">
        <v>2.5187231236805898</v>
      </c>
      <c r="O1112" s="7">
        <v>0.44539587345637599</v>
      </c>
      <c r="P1112" s="7">
        <v>-42.2413655162635</v>
      </c>
      <c r="Q1112" s="7" t="s">
        <v>3698</v>
      </c>
      <c r="U1112">
        <v>6.4921789083166093E-2</v>
      </c>
      <c r="AT1112" s="4" t="s">
        <v>5648</v>
      </c>
    </row>
    <row r="1113" spans="1:46">
      <c r="A1113" s="2">
        <v>904</v>
      </c>
      <c r="B1113" t="s">
        <v>5649</v>
      </c>
      <c r="C1113" t="s">
        <v>1938</v>
      </c>
      <c r="D1113" t="s">
        <v>3737</v>
      </c>
      <c r="E1113" s="4">
        <v>43465</v>
      </c>
      <c r="F1113" s="11">
        <v>-10.658311510000001</v>
      </c>
      <c r="G1113" s="11">
        <v>24.29168602</v>
      </c>
      <c r="H1113" s="11">
        <v>46.061645325199997</v>
      </c>
      <c r="I1113" s="11">
        <v>71.5935886842</v>
      </c>
      <c r="J1113" s="11">
        <v>12.302250964300001</v>
      </c>
      <c r="K1113" s="10">
        <v>0.39572573607900002</v>
      </c>
      <c r="L1113" s="12">
        <v>3657000000</v>
      </c>
      <c r="M1113">
        <v>35.028480612279303</v>
      </c>
      <c r="N1113" s="7">
        <v>1.22285849359472</v>
      </c>
      <c r="O1113" s="7">
        <v>2.8759900396231202</v>
      </c>
      <c r="P1113" s="7">
        <v>-51.095999120470402</v>
      </c>
      <c r="Q1113" s="7">
        <v>1.1990407673860912</v>
      </c>
      <c r="U1113">
        <v>1.0138256824455645</v>
      </c>
      <c r="AT1113" s="4" t="s">
        <v>5650</v>
      </c>
    </row>
    <row r="1114" spans="1:46">
      <c r="A1114" s="2">
        <v>669</v>
      </c>
      <c r="B1114" t="s">
        <v>5651</v>
      </c>
      <c r="C1114" t="s">
        <v>1659</v>
      </c>
      <c r="D1114" t="s">
        <v>3718</v>
      </c>
      <c r="E1114" s="4">
        <v>43465</v>
      </c>
      <c r="F1114" s="11">
        <v>-19.97225285</v>
      </c>
      <c r="G1114" s="11">
        <v>24.26778243</v>
      </c>
      <c r="H1114" s="11">
        <v>7.9241211478000002</v>
      </c>
      <c r="I1114" s="11">
        <v>32.627501135999999</v>
      </c>
      <c r="J1114" s="11">
        <v>11.708929106799999</v>
      </c>
      <c r="K1114" s="10">
        <v>0.54417912434100002</v>
      </c>
      <c r="L1114" s="12">
        <v>4592525868.6000004</v>
      </c>
      <c r="M1114">
        <v>21.8101813269483</v>
      </c>
      <c r="N1114" s="7">
        <v>2.07486156768914</v>
      </c>
      <c r="O1114" s="7">
        <v>2.2912990277768599</v>
      </c>
      <c r="P1114" s="7">
        <v>-86.859380841790099</v>
      </c>
      <c r="Q1114" s="7">
        <v>1.8167943487467924</v>
      </c>
      <c r="U1114">
        <v>0.3785641116777646</v>
      </c>
      <c r="AT1114" s="4" t="s">
        <v>3782</v>
      </c>
    </row>
    <row r="1115" spans="1:46">
      <c r="A1115" s="2">
        <v>1531</v>
      </c>
      <c r="B1115" t="s">
        <v>5652</v>
      </c>
      <c r="C1115" t="s">
        <v>3627</v>
      </c>
      <c r="D1115" t="s">
        <v>3785</v>
      </c>
      <c r="E1115" s="4">
        <v>43465</v>
      </c>
      <c r="F1115" s="11">
        <v>-13.520408160000001</v>
      </c>
      <c r="G1115" s="11">
        <v>24.242424239999998</v>
      </c>
      <c r="H1115" s="11">
        <v>-2.1291166081999999</v>
      </c>
      <c r="I1115" s="11">
        <v>7.7000810055000004</v>
      </c>
      <c r="J1115" s="11">
        <v>1.8132374862</v>
      </c>
      <c r="K1115" s="10">
        <v>0.38075376002599998</v>
      </c>
      <c r="L1115" s="12">
        <v>2960041320</v>
      </c>
      <c r="M1115">
        <v>-3.0395264083604898</v>
      </c>
      <c r="N1115" s="7">
        <v>1.7578266949522201</v>
      </c>
      <c r="O1115" s="7">
        <v>1.6200868554869801</v>
      </c>
      <c r="P1115" s="7">
        <v>-18.995823688764499</v>
      </c>
      <c r="Q1115" s="7" t="s">
        <v>3698</v>
      </c>
      <c r="U1115">
        <v>9.3266039300852768E-2</v>
      </c>
      <c r="AT1115" s="4" t="s">
        <v>5653</v>
      </c>
    </row>
    <row r="1116" spans="1:46">
      <c r="A1116" s="2">
        <v>3564</v>
      </c>
      <c r="B1116" t="s">
        <v>5654</v>
      </c>
      <c r="C1116" t="s">
        <v>1785</v>
      </c>
      <c r="D1116" t="s">
        <v>3718</v>
      </c>
      <c r="E1116" s="4">
        <v>43465</v>
      </c>
      <c r="F1116" s="11">
        <v>-11.27282222</v>
      </c>
      <c r="G1116" s="11">
        <v>24.23857868</v>
      </c>
      <c r="H1116" s="11">
        <v>10.262367919300001</v>
      </c>
      <c r="I1116" s="11">
        <v>52.874853551199998</v>
      </c>
      <c r="J1116" s="11">
        <v>9.3431660852</v>
      </c>
      <c r="K1116" s="10">
        <v>0.66135388730099998</v>
      </c>
      <c r="L1116" s="12">
        <v>16118218608.75</v>
      </c>
      <c r="M1116">
        <v>18.961232314227999</v>
      </c>
      <c r="N1116" s="7">
        <v>1.80811336049547</v>
      </c>
      <c r="O1116" s="7">
        <v>1.5822961437443299</v>
      </c>
      <c r="P1116" s="7">
        <v>-1630.5958478699799</v>
      </c>
      <c r="Q1116" s="7">
        <v>2.1551724137931036</v>
      </c>
      <c r="U1116">
        <v>0.46020075763433721</v>
      </c>
      <c r="AT1116" s="4" t="s">
        <v>5655</v>
      </c>
    </row>
    <row r="1117" spans="1:46">
      <c r="A1117" s="2">
        <v>51</v>
      </c>
      <c r="B1117" t="s">
        <v>5656</v>
      </c>
      <c r="C1117" t="s">
        <v>1111</v>
      </c>
      <c r="D1117" t="s">
        <v>3811</v>
      </c>
      <c r="E1117" s="4">
        <v>43465</v>
      </c>
      <c r="F1117" s="11">
        <v>0.73774337000000001</v>
      </c>
      <c r="G1117" s="11">
        <v>24.227318350000001</v>
      </c>
      <c r="H1117" s="11">
        <v>-18.953144581699998</v>
      </c>
      <c r="I1117" s="11">
        <v>33.839896785699999</v>
      </c>
      <c r="J1117" s="11">
        <v>1.4662993172000001</v>
      </c>
      <c r="K1117" s="10">
        <v>0.228356913854</v>
      </c>
      <c r="L1117" s="12">
        <v>3585865080</v>
      </c>
      <c r="M1117">
        <v>39.379544146212702</v>
      </c>
      <c r="N1117" s="7">
        <v>3.9360932680518599</v>
      </c>
      <c r="O1117" s="7">
        <v>2.8483311311628698</v>
      </c>
      <c r="P1117" s="7">
        <v>-52.614304603259903</v>
      </c>
      <c r="Q1117" s="7">
        <v>0.47297297297297292</v>
      </c>
      <c r="U1117">
        <v>2.254084843785709E-2</v>
      </c>
      <c r="AT1117" s="4" t="s">
        <v>4966</v>
      </c>
    </row>
    <row r="1118" spans="1:46">
      <c r="A1118" s="2">
        <v>585</v>
      </c>
      <c r="B1118" t="s">
        <v>5657</v>
      </c>
      <c r="C1118" t="s">
        <v>1424</v>
      </c>
      <c r="D1118" t="s">
        <v>3761</v>
      </c>
      <c r="E1118" s="4">
        <v>43465</v>
      </c>
      <c r="F1118" s="11">
        <v>-33.628323090000002</v>
      </c>
      <c r="G1118" s="11">
        <v>24.134948099999999</v>
      </c>
      <c r="H1118" s="11">
        <v>5.9712827889</v>
      </c>
      <c r="I1118" s="11">
        <v>29.1854873586</v>
      </c>
      <c r="J1118" s="11">
        <v>11.345539888199999</v>
      </c>
      <c r="K1118" s="10">
        <v>0.2721053229</v>
      </c>
      <c r="L1118" s="12">
        <v>39382435440</v>
      </c>
      <c r="M1118">
        <v>31.709841754425899</v>
      </c>
      <c r="N1118" s="7">
        <v>1.55579603911291</v>
      </c>
      <c r="O1118" s="7">
        <v>2.53656967255949</v>
      </c>
      <c r="P1118" s="7">
        <v>7.3269799229941102</v>
      </c>
      <c r="Q1118" s="7">
        <v>0.83056478405315626</v>
      </c>
      <c r="U1118">
        <v>0.51057499617215329</v>
      </c>
      <c r="AT1118" s="4" t="s">
        <v>5658</v>
      </c>
    </row>
    <row r="1119" spans="1:46">
      <c r="A1119" s="2">
        <v>2265</v>
      </c>
      <c r="B1119" t="s">
        <v>5659</v>
      </c>
      <c r="C1119" t="s">
        <v>2087</v>
      </c>
      <c r="D1119" t="s">
        <v>3713</v>
      </c>
      <c r="E1119" s="4">
        <v>43465</v>
      </c>
      <c r="F1119" s="11">
        <v>-14.47728871</v>
      </c>
      <c r="G1119" s="11">
        <v>24.133949189999999</v>
      </c>
      <c r="H1119" s="11">
        <v>2.6807747821999999</v>
      </c>
      <c r="I1119" s="11">
        <v>13.6282964386</v>
      </c>
      <c r="J1119" s="11">
        <v>6.1859485279999999</v>
      </c>
      <c r="K1119" s="10">
        <v>0.75171610393699995</v>
      </c>
      <c r="L1119" s="12">
        <v>3189542284.8000002</v>
      </c>
      <c r="M1119">
        <v>55.470491838586902</v>
      </c>
      <c r="N1119" s="7">
        <v>3.7425971666131299</v>
      </c>
      <c r="O1119" s="7">
        <v>2.5855384665562799</v>
      </c>
      <c r="P1119" s="7">
        <v>-138.881871076518</v>
      </c>
      <c r="Q1119" s="7">
        <v>0.54294175715695969</v>
      </c>
      <c r="U1119">
        <v>0.35318722492109828</v>
      </c>
      <c r="AT1119" s="4" t="s">
        <v>5660</v>
      </c>
    </row>
    <row r="1120" spans="1:46">
      <c r="A1120" s="2">
        <v>2506</v>
      </c>
      <c r="B1120" t="s">
        <v>5661</v>
      </c>
      <c r="C1120" t="s">
        <v>269</v>
      </c>
      <c r="D1120" t="s">
        <v>3752</v>
      </c>
      <c r="E1120" s="4">
        <v>43465</v>
      </c>
      <c r="F1120" s="11">
        <v>22.864479410000001</v>
      </c>
      <c r="G1120" s="11">
        <v>24.10926366</v>
      </c>
      <c r="H1120" s="11">
        <v>7.6842639019999996</v>
      </c>
      <c r="I1120" s="11">
        <v>20.554112119399999</v>
      </c>
      <c r="J1120" s="11">
        <v>9.9995486129</v>
      </c>
      <c r="K1120" s="10">
        <v>1.273265282164</v>
      </c>
      <c r="L1120" s="12">
        <v>15308303938.799999</v>
      </c>
      <c r="M1120">
        <v>12.081621171625301</v>
      </c>
      <c r="N1120" s="7">
        <v>2.74432777714655</v>
      </c>
      <c r="O1120" s="7">
        <v>1.2243969830819299</v>
      </c>
      <c r="P1120" s="7">
        <v>-335.22211065384602</v>
      </c>
      <c r="Q1120" s="7">
        <v>2.1186440677966099</v>
      </c>
      <c r="U1120">
        <v>1.3201999262962965</v>
      </c>
      <c r="AT1120" s="4" t="s">
        <v>5662</v>
      </c>
    </row>
    <row r="1121" spans="1:46">
      <c r="A1121" s="2">
        <v>360</v>
      </c>
      <c r="B1121" t="s">
        <v>5663</v>
      </c>
      <c r="C1121" t="s">
        <v>2969</v>
      </c>
      <c r="D1121" t="s">
        <v>3713</v>
      </c>
      <c r="E1121" s="4">
        <v>43465</v>
      </c>
      <c r="F1121" s="11">
        <v>-4.9358046499999997</v>
      </c>
      <c r="G1121" s="11">
        <v>24.01847575</v>
      </c>
      <c r="H1121" s="11">
        <v>19.897912759699999</v>
      </c>
      <c r="I1121" s="11">
        <v>19.2737246453</v>
      </c>
      <c r="J1121" s="11">
        <v>2.3871428615000001</v>
      </c>
      <c r="K1121" s="10">
        <v>0.72924326366199999</v>
      </c>
      <c r="L1121" s="12">
        <v>2588849873</v>
      </c>
      <c r="M1121">
        <v>-496.29428367296998</v>
      </c>
      <c r="N1121" s="7">
        <v>1.8405817603293599</v>
      </c>
      <c r="O1121" s="7">
        <v>1.2514261629082499</v>
      </c>
      <c r="P1121" s="7">
        <v>6322.83086695375</v>
      </c>
      <c r="Q1121" s="7">
        <v>0.37174721189591087</v>
      </c>
      <c r="U1121">
        <v>8.6800441243906429E-2</v>
      </c>
      <c r="AT1121" s="4" t="s">
        <v>5069</v>
      </c>
    </row>
    <row r="1122" spans="1:46">
      <c r="A1122" s="2">
        <v>2562</v>
      </c>
      <c r="B1122" t="s">
        <v>5664</v>
      </c>
      <c r="C1122" t="s">
        <v>3577</v>
      </c>
      <c r="D1122" t="s">
        <v>3713</v>
      </c>
      <c r="E1122" s="4">
        <v>43465</v>
      </c>
      <c r="F1122" s="11">
        <v>-9.8148148099999997</v>
      </c>
      <c r="G1122" s="11">
        <v>24.01010952</v>
      </c>
      <c r="H1122" s="11">
        <v>13.621034001</v>
      </c>
      <c r="I1122" s="11">
        <v>19.456480673000002</v>
      </c>
      <c r="J1122" s="11">
        <v>0.52160553099999996</v>
      </c>
      <c r="K1122" s="10">
        <v>0.65699476913900001</v>
      </c>
      <c r="L1122" s="12">
        <v>2791686867.2399998</v>
      </c>
      <c r="M1122">
        <v>-101.429236744573</v>
      </c>
      <c r="N1122" s="7">
        <v>8.2541607435510809</v>
      </c>
      <c r="O1122" s="7">
        <v>6.8945135976452097</v>
      </c>
      <c r="P1122" s="7">
        <v>40.047762448422901</v>
      </c>
      <c r="Q1122" s="7" t="s">
        <v>3698</v>
      </c>
      <c r="U1122">
        <v>1.0148636058856398E-2</v>
      </c>
      <c r="AT1122" s="4" t="s">
        <v>5665</v>
      </c>
    </row>
    <row r="1123" spans="1:46">
      <c r="A1123" s="2">
        <v>951</v>
      </c>
      <c r="B1123" t="s">
        <v>5666</v>
      </c>
      <c r="C1123" t="s">
        <v>412</v>
      </c>
      <c r="D1123" t="s">
        <v>3752</v>
      </c>
      <c r="E1123" s="4">
        <v>43465</v>
      </c>
      <c r="F1123" s="11">
        <v>-9.1322064800000007</v>
      </c>
      <c r="G1123" s="11">
        <v>24</v>
      </c>
      <c r="H1123" s="11">
        <v>6.7211673265999998</v>
      </c>
      <c r="I1123" s="11">
        <v>38.715779850899999</v>
      </c>
      <c r="J1123" s="11">
        <v>19.806341977500001</v>
      </c>
      <c r="K1123" s="10">
        <v>0.67865268595700001</v>
      </c>
      <c r="L1123" s="12">
        <v>4986494931.3599997</v>
      </c>
      <c r="M1123">
        <v>8.4541633213798804</v>
      </c>
      <c r="N1123" s="7">
        <v>1.30330319351346</v>
      </c>
      <c r="O1123" s="7">
        <v>1.5657814093149101</v>
      </c>
      <c r="P1123" s="7">
        <v>-60.442048591828197</v>
      </c>
      <c r="Q1123" s="7">
        <v>4.5871559633027523</v>
      </c>
      <c r="U1123">
        <v>1.1412732353846153</v>
      </c>
      <c r="AT1123" s="4" t="s">
        <v>5590</v>
      </c>
    </row>
    <row r="1124" spans="1:46">
      <c r="A1124" s="2">
        <v>3246</v>
      </c>
      <c r="B1124" t="s">
        <v>5667</v>
      </c>
      <c r="C1124" t="s">
        <v>1464</v>
      </c>
      <c r="D1124" t="s">
        <v>3832</v>
      </c>
      <c r="E1124" s="4">
        <v>43465</v>
      </c>
      <c r="F1124" s="11">
        <v>59.260537999999997</v>
      </c>
      <c r="G1124" s="11">
        <v>24</v>
      </c>
      <c r="H1124" s="11">
        <v>24.5742192234</v>
      </c>
      <c r="I1124" s="11">
        <v>45.659531656799999</v>
      </c>
      <c r="J1124" s="11">
        <v>22.106171815</v>
      </c>
      <c r="K1124" s="10">
        <v>0.64515794806100002</v>
      </c>
      <c r="L1124" s="12">
        <v>4772456735.4399996</v>
      </c>
      <c r="M1124">
        <v>32.788200873557997</v>
      </c>
      <c r="N1124" s="7">
        <v>3.9308811087675002</v>
      </c>
      <c r="O1124" s="7">
        <v>5.02762604322883</v>
      </c>
      <c r="P1124" s="7">
        <v>-79.235973307419698</v>
      </c>
      <c r="Q1124" s="7">
        <v>0.9356683850010592</v>
      </c>
      <c r="U1124">
        <v>0.86887094445454549</v>
      </c>
      <c r="AT1124" s="4" t="s">
        <v>5668</v>
      </c>
    </row>
    <row r="1125" spans="1:46">
      <c r="A1125" s="2">
        <v>2416</v>
      </c>
      <c r="B1125" t="s">
        <v>5669</v>
      </c>
      <c r="C1125" t="s">
        <v>2379</v>
      </c>
      <c r="D1125" t="s">
        <v>3811</v>
      </c>
      <c r="E1125" s="4">
        <v>43465</v>
      </c>
      <c r="F1125" s="11">
        <v>-15.361785920000001</v>
      </c>
      <c r="G1125" s="11">
        <v>23.917525770000001</v>
      </c>
      <c r="H1125" s="11">
        <v>-2.4542997467999998</v>
      </c>
      <c r="I1125" s="11">
        <v>9.3902587267000008</v>
      </c>
      <c r="J1125" s="11">
        <v>2.2088902423999999</v>
      </c>
      <c r="K1125" s="10">
        <v>1.3568023701830001</v>
      </c>
      <c r="L1125" s="12">
        <v>1432833061.8</v>
      </c>
      <c r="M1125">
        <v>47.371975823575099</v>
      </c>
      <c r="N1125" s="7">
        <v>1.15970983485323</v>
      </c>
      <c r="O1125" s="7">
        <v>0.38430412612895798</v>
      </c>
      <c r="P1125" s="7">
        <v>570.01299093905902</v>
      </c>
      <c r="Q1125" s="7">
        <v>1.4336917562724014</v>
      </c>
      <c r="U1125">
        <v>0.19559928652197547</v>
      </c>
      <c r="AT1125" s="4" t="s">
        <v>5670</v>
      </c>
    </row>
    <row r="1126" spans="1:46">
      <c r="A1126" s="2">
        <v>618</v>
      </c>
      <c r="B1126" t="s">
        <v>5671</v>
      </c>
      <c r="C1126" t="s">
        <v>770</v>
      </c>
      <c r="D1126" t="s">
        <v>3737</v>
      </c>
      <c r="E1126" s="4">
        <v>43465</v>
      </c>
      <c r="F1126" s="11">
        <v>-31.65357852</v>
      </c>
      <c r="G1126" s="11">
        <v>23.903176999999999</v>
      </c>
      <c r="H1126" s="11">
        <v>6.5739837924</v>
      </c>
      <c r="I1126" s="11">
        <v>77.109889180400003</v>
      </c>
      <c r="J1126" s="11">
        <v>5.1646645439999999</v>
      </c>
      <c r="K1126" s="10">
        <v>0.87117222646100001</v>
      </c>
      <c r="L1126" s="12">
        <v>3241175300</v>
      </c>
      <c r="M1126">
        <v>58.282422591179802</v>
      </c>
      <c r="N1126" s="7">
        <v>4.3514530572866903</v>
      </c>
      <c r="O1126" s="7">
        <v>3.0928953724352399</v>
      </c>
      <c r="P1126" s="7">
        <v>78.203064183028403</v>
      </c>
      <c r="Q1126" s="7">
        <v>0.67294751009421261</v>
      </c>
      <c r="U1126">
        <v>0.12654403084078991</v>
      </c>
      <c r="AT1126" s="4" t="s">
        <v>5672</v>
      </c>
    </row>
    <row r="1127" spans="1:46">
      <c r="A1127" s="2">
        <v>716</v>
      </c>
      <c r="B1127" t="s">
        <v>5673</v>
      </c>
      <c r="C1127" t="s">
        <v>3455</v>
      </c>
      <c r="D1127" t="s">
        <v>3858</v>
      </c>
      <c r="E1127" s="4">
        <v>43465</v>
      </c>
      <c r="F1127" s="11">
        <v>-18.687273990000001</v>
      </c>
      <c r="G1127" s="11">
        <v>23.84615385</v>
      </c>
      <c r="H1127" s="11">
        <v>6.1457096000000003E-3</v>
      </c>
      <c r="I1127" s="11">
        <v>21.636258202499999</v>
      </c>
      <c r="J1127" s="11">
        <v>0.37526041259999998</v>
      </c>
      <c r="K1127" s="10">
        <v>0.27195023333000001</v>
      </c>
      <c r="L1127" s="12">
        <v>9082073430.1499996</v>
      </c>
      <c r="M1127">
        <v>367.05286753222202</v>
      </c>
      <c r="N1127" s="7">
        <v>1.4527915038180701</v>
      </c>
      <c r="O1127" s="7">
        <v>1.79998413590602</v>
      </c>
      <c r="P1127" s="7">
        <v>-41.171218809834201</v>
      </c>
      <c r="Q1127" s="7" t="s">
        <v>3698</v>
      </c>
      <c r="U1127">
        <v>2.8806107096649842E-2</v>
      </c>
      <c r="AT1127" s="4" t="s">
        <v>5674</v>
      </c>
    </row>
    <row r="1128" spans="1:46">
      <c r="A1128" s="2">
        <v>685</v>
      </c>
      <c r="B1128" t="s">
        <v>5675</v>
      </c>
      <c r="C1128" t="s">
        <v>251</v>
      </c>
      <c r="D1128" t="s">
        <v>3790</v>
      </c>
      <c r="E1128" s="4">
        <v>43465</v>
      </c>
      <c r="F1128" s="11">
        <v>4.8831928199999997</v>
      </c>
      <c r="G1128" s="11">
        <v>23.830016140000001</v>
      </c>
      <c r="H1128" s="11">
        <v>10.6802575069</v>
      </c>
      <c r="I1128" s="11">
        <v>56.078504514199999</v>
      </c>
      <c r="J1128" s="11">
        <v>28.240368961800002</v>
      </c>
      <c r="K1128" s="10">
        <v>0.51276057017800003</v>
      </c>
      <c r="L1128" s="12">
        <v>16538269416.450001</v>
      </c>
      <c r="M1128">
        <v>23.083985220574899</v>
      </c>
      <c r="N1128" s="7">
        <v>4.6851493581061998</v>
      </c>
      <c r="O1128" s="7">
        <v>4.8220687144870098</v>
      </c>
      <c r="P1128" s="7">
        <v>-129.66725132228001</v>
      </c>
      <c r="Q1128" s="7" t="s">
        <v>3698</v>
      </c>
      <c r="U1128">
        <v>1.1357944536616913</v>
      </c>
      <c r="AT1128" s="4" t="s">
        <v>5676</v>
      </c>
    </row>
    <row r="1129" spans="1:46">
      <c r="A1129" s="2">
        <v>2912</v>
      </c>
      <c r="B1129" t="s">
        <v>5677</v>
      </c>
      <c r="C1129" t="s">
        <v>2703</v>
      </c>
      <c r="D1129" t="s">
        <v>3977</v>
      </c>
      <c r="E1129" s="4">
        <v>43465</v>
      </c>
      <c r="F1129" s="11">
        <v>-15.44072266</v>
      </c>
      <c r="G1129" s="11">
        <v>23.809523810000002</v>
      </c>
      <c r="H1129" s="11">
        <v>6.6832323841000001</v>
      </c>
      <c r="I1129" s="11">
        <v>12.471599684699999</v>
      </c>
      <c r="J1129" s="11">
        <v>0.79241844949999996</v>
      </c>
      <c r="K1129" s="10">
        <v>1.2179464673060001</v>
      </c>
      <c r="L1129" s="12">
        <v>25269792814.950001</v>
      </c>
      <c r="M1129">
        <v>42.043909970591699</v>
      </c>
      <c r="N1129" s="7">
        <v>0.84603990951907704</v>
      </c>
      <c r="O1129" s="7">
        <v>0.13224139897915099</v>
      </c>
      <c r="P1129" s="7">
        <v>-14.0447393988852</v>
      </c>
      <c r="Q1129" s="7">
        <v>0.82089552238805963</v>
      </c>
      <c r="U1129">
        <v>7.0017658337834798E-2</v>
      </c>
      <c r="AT1129" s="4" t="s">
        <v>4539</v>
      </c>
    </row>
    <row r="1130" spans="1:46">
      <c r="A1130" s="2">
        <v>1679</v>
      </c>
      <c r="B1130" t="s">
        <v>5678</v>
      </c>
      <c r="C1130" t="s">
        <v>2332</v>
      </c>
      <c r="D1130" t="s">
        <v>3737</v>
      </c>
      <c r="E1130" s="4">
        <v>43465</v>
      </c>
      <c r="F1130" s="11">
        <v>-20.678845410000001</v>
      </c>
      <c r="G1130" s="11">
        <v>23.765432100000002</v>
      </c>
      <c r="H1130" s="11">
        <v>21.041835414600001</v>
      </c>
      <c r="I1130" s="11">
        <v>76.438503348599994</v>
      </c>
      <c r="J1130" s="11">
        <v>0.85958605889999995</v>
      </c>
      <c r="K1130" s="10">
        <v>0.75406851373600003</v>
      </c>
      <c r="L1130" s="12">
        <v>6138990000</v>
      </c>
      <c r="M1130">
        <v>-224.979270139091</v>
      </c>
      <c r="N1130" s="7">
        <v>2.1276439037813302</v>
      </c>
      <c r="O1130" s="7">
        <v>1.2358381550269699</v>
      </c>
      <c r="P1130" s="7">
        <v>-18.198609348840598</v>
      </c>
      <c r="Q1130" s="7">
        <v>0.26315789473684209</v>
      </c>
      <c r="U1130">
        <v>3.4761414155961366E-2</v>
      </c>
      <c r="AT1130" s="4" t="s">
        <v>4006</v>
      </c>
    </row>
    <row r="1131" spans="1:46">
      <c r="A1131" s="2">
        <v>1471</v>
      </c>
      <c r="B1131" t="s">
        <v>5679</v>
      </c>
      <c r="C1131" t="s">
        <v>3304</v>
      </c>
      <c r="D1131" t="s">
        <v>3713</v>
      </c>
      <c r="E1131" s="4">
        <v>43465</v>
      </c>
      <c r="F1131" s="11">
        <v>-16.811669970000001</v>
      </c>
      <c r="G1131" s="11">
        <v>23.746701850000001</v>
      </c>
      <c r="H1131" s="11">
        <v>18.943642388699999</v>
      </c>
      <c r="I1131" s="11">
        <v>44.075311856500001</v>
      </c>
      <c r="J1131" s="11">
        <v>17.583409851399999</v>
      </c>
      <c r="K1131" s="10">
        <v>0.32205066236500002</v>
      </c>
      <c r="L1131" s="12">
        <v>5523155888.3999996</v>
      </c>
      <c r="M1131">
        <v>46.580068430576297</v>
      </c>
      <c r="N1131" s="7">
        <v>3.0263442271329399</v>
      </c>
      <c r="O1131" s="7">
        <v>7.1748952924118701</v>
      </c>
      <c r="P1131" s="7">
        <v>30.399652503290302</v>
      </c>
      <c r="Q1131" s="7">
        <v>0.23658651865095587</v>
      </c>
      <c r="U1131">
        <v>0.19183796223483005</v>
      </c>
      <c r="AT1131" s="4" t="s">
        <v>4616</v>
      </c>
    </row>
    <row r="1132" spans="1:46">
      <c r="A1132" s="2">
        <v>2980</v>
      </c>
      <c r="B1132" t="s">
        <v>5680</v>
      </c>
      <c r="C1132" t="s">
        <v>600</v>
      </c>
      <c r="D1132" t="s">
        <v>3837</v>
      </c>
      <c r="E1132" s="4">
        <v>43465</v>
      </c>
      <c r="F1132" s="11">
        <v>17.765136389999999</v>
      </c>
      <c r="G1132" s="11">
        <v>23.648648649999998</v>
      </c>
      <c r="H1132" s="11">
        <v>20.7678664574</v>
      </c>
      <c r="I1132" s="11" t="s">
        <v>3698</v>
      </c>
      <c r="J1132" s="11">
        <v>31.734494896800001</v>
      </c>
      <c r="K1132" s="10" t="s">
        <v>3698</v>
      </c>
      <c r="L1132" s="12">
        <v>2353232700</v>
      </c>
      <c r="M1132">
        <v>7.1732806579161696</v>
      </c>
      <c r="N1132" s="7">
        <v>0.80456039612613905</v>
      </c>
      <c r="O1132" s="7">
        <v>2.2784535207399501</v>
      </c>
      <c r="P1132" s="7">
        <v>-1.67708934173215</v>
      </c>
      <c r="Q1132" s="7">
        <v>2.8702640642939152</v>
      </c>
      <c r="U1132">
        <v>1.0549455273212609</v>
      </c>
      <c r="AT1132" s="4" t="s">
        <v>5681</v>
      </c>
    </row>
    <row r="1133" spans="1:46">
      <c r="A1133" s="2">
        <v>2717</v>
      </c>
      <c r="B1133" t="s">
        <v>5682</v>
      </c>
      <c r="C1133" t="s">
        <v>1958</v>
      </c>
      <c r="D1133" t="s">
        <v>3764</v>
      </c>
      <c r="E1133" s="4">
        <v>43465</v>
      </c>
      <c r="F1133" s="11">
        <v>-20.709219860000001</v>
      </c>
      <c r="G1133" s="11">
        <v>23.608017820000001</v>
      </c>
      <c r="H1133" s="11">
        <v>5.4324826987000003</v>
      </c>
      <c r="I1133" s="11">
        <v>23.412796136299999</v>
      </c>
      <c r="J1133" s="11">
        <v>3.9057898584999999</v>
      </c>
      <c r="K1133" s="10">
        <v>0.68515091748800006</v>
      </c>
      <c r="L1133" s="12">
        <v>12885600000</v>
      </c>
      <c r="M1133">
        <v>23.6172056872479</v>
      </c>
      <c r="N1133" s="7">
        <v>1.7908039885604901</v>
      </c>
      <c r="O1133" s="7">
        <v>1.10775724813105</v>
      </c>
      <c r="P1133" s="7">
        <v>41.8447621950315</v>
      </c>
      <c r="Q1133" s="7" t="s">
        <v>3698</v>
      </c>
      <c r="U1133">
        <v>0.15024988366516839</v>
      </c>
      <c r="AT1133" s="4" t="s">
        <v>5683</v>
      </c>
    </row>
    <row r="1134" spans="1:46">
      <c r="A1134" s="2">
        <v>2211</v>
      </c>
      <c r="B1134" t="s">
        <v>5684</v>
      </c>
      <c r="C1134" t="s">
        <v>1517</v>
      </c>
      <c r="D1134" t="s">
        <v>3871</v>
      </c>
      <c r="E1134" s="4">
        <v>43465</v>
      </c>
      <c r="F1134" s="11">
        <v>13.28167414</v>
      </c>
      <c r="G1134" s="11">
        <v>23.604060910000001</v>
      </c>
      <c r="H1134" s="11">
        <v>-5.4747288538000003</v>
      </c>
      <c r="I1134" s="11">
        <v>48.1096929721</v>
      </c>
      <c r="J1134" s="11">
        <v>31.4816775695</v>
      </c>
      <c r="K1134" s="10">
        <v>0.13148793362</v>
      </c>
      <c r="L1134" s="12">
        <v>7478240000</v>
      </c>
      <c r="M1134">
        <v>10.989864440988701</v>
      </c>
      <c r="N1134" s="7">
        <v>1.0438080014745501</v>
      </c>
      <c r="O1134" s="7">
        <v>2.2537177564438902</v>
      </c>
      <c r="P1134" s="7">
        <v>-28.712074167099001</v>
      </c>
      <c r="Q1134" s="7">
        <v>2.7262813522355511</v>
      </c>
      <c r="U1134">
        <v>0.77539869622863411</v>
      </c>
      <c r="AT1134" s="4" t="s">
        <v>5685</v>
      </c>
    </row>
    <row r="1135" spans="1:46">
      <c r="A1135" s="2">
        <v>348</v>
      </c>
      <c r="B1135" t="s">
        <v>5686</v>
      </c>
      <c r="C1135" t="s">
        <v>2007</v>
      </c>
      <c r="D1135" t="s">
        <v>3737</v>
      </c>
      <c r="E1135" s="4">
        <v>43465</v>
      </c>
      <c r="F1135" s="11">
        <v>-23.19088146</v>
      </c>
      <c r="G1135" s="11">
        <v>23.563218389999999</v>
      </c>
      <c r="H1135" s="11">
        <v>7.9163478676999999</v>
      </c>
      <c r="I1135" s="11">
        <v>35.047941395800002</v>
      </c>
      <c r="J1135" s="11">
        <v>1.9440404781</v>
      </c>
      <c r="K1135" s="10">
        <v>1.0979045542000001</v>
      </c>
      <c r="L1135" s="12">
        <v>2633880326.2199998</v>
      </c>
      <c r="M1135">
        <v>67.128721004438503</v>
      </c>
      <c r="N1135" s="7">
        <v>2.5627035939666301</v>
      </c>
      <c r="O1135" s="7">
        <v>1.44911285661837</v>
      </c>
      <c r="P1135" s="7">
        <v>-73.012503957629207</v>
      </c>
      <c r="Q1135" s="7">
        <v>0.30441400304414001</v>
      </c>
      <c r="U1135">
        <v>7.5804531010029277E-2</v>
      </c>
      <c r="AT1135" s="4" t="s">
        <v>4488</v>
      </c>
    </row>
    <row r="1136" spans="1:46">
      <c r="A1136" s="2">
        <v>66</v>
      </c>
      <c r="B1136" t="s">
        <v>5687</v>
      </c>
      <c r="C1136" t="s">
        <v>2615</v>
      </c>
      <c r="D1136" t="s">
        <v>3778</v>
      </c>
      <c r="E1136" s="4">
        <v>43465</v>
      </c>
      <c r="F1136" s="11">
        <v>-13.42286082</v>
      </c>
      <c r="G1136" s="11">
        <v>23.50490568</v>
      </c>
      <c r="H1136" s="11">
        <v>33.062328386399997</v>
      </c>
      <c r="I1136" s="11">
        <v>9.1704324281999998</v>
      </c>
      <c r="J1136" s="11">
        <v>6.7531533160999997</v>
      </c>
      <c r="K1136" s="10">
        <v>0.63621617278499998</v>
      </c>
      <c r="L1136" s="12">
        <v>3084463800</v>
      </c>
      <c r="M1136">
        <v>40.480868802448498</v>
      </c>
      <c r="N1136" s="7">
        <v>2.08336698810117</v>
      </c>
      <c r="O1136" s="7">
        <v>3.0123761522647499</v>
      </c>
      <c r="P1136" s="7">
        <v>47.279033111920498</v>
      </c>
      <c r="Q1136" s="7">
        <v>0.18975332068311196</v>
      </c>
      <c r="U1136">
        <v>0.20403518541666668</v>
      </c>
      <c r="AT1136" s="4" t="s">
        <v>5688</v>
      </c>
    </row>
    <row r="1137" spans="1:46">
      <c r="A1137" s="2">
        <v>1332</v>
      </c>
      <c r="B1137" t="s">
        <v>5689</v>
      </c>
      <c r="C1137" t="s">
        <v>2701</v>
      </c>
      <c r="D1137" t="s">
        <v>4046</v>
      </c>
      <c r="E1137" s="4">
        <v>43465</v>
      </c>
      <c r="F1137" s="11">
        <v>-19.893188469999998</v>
      </c>
      <c r="G1137" s="11">
        <v>23.5</v>
      </c>
      <c r="H1137" s="11">
        <v>-1.7701921592000001</v>
      </c>
      <c r="I1137" s="11">
        <v>48.5013784255</v>
      </c>
      <c r="J1137" s="11">
        <v>10.8505798883</v>
      </c>
      <c r="K1137" s="10">
        <v>0.24358000202300001</v>
      </c>
      <c r="L1137" s="12">
        <v>1666781458.3</v>
      </c>
      <c r="M1137">
        <v>138.65713156790301</v>
      </c>
      <c r="N1137" s="7">
        <v>5.1236366392609201</v>
      </c>
      <c r="O1137" s="7">
        <v>5.9267820279685903</v>
      </c>
      <c r="P1137" s="7">
        <v>631.28097167392696</v>
      </c>
      <c r="Q1137" s="7" t="s">
        <v>3698</v>
      </c>
      <c r="U1137">
        <v>0.11530758306561413</v>
      </c>
      <c r="AT1137" s="4" t="s">
        <v>5360</v>
      </c>
    </row>
    <row r="1138" spans="1:46">
      <c r="A1138" s="2">
        <v>1342</v>
      </c>
      <c r="B1138" t="s">
        <v>5690</v>
      </c>
      <c r="C1138" t="s">
        <v>502</v>
      </c>
      <c r="D1138" t="s">
        <v>3785</v>
      </c>
      <c r="E1138" s="4">
        <v>43465</v>
      </c>
      <c r="F1138" s="11">
        <v>-38.362610330000003</v>
      </c>
      <c r="G1138" s="11">
        <v>23.488905890000002</v>
      </c>
      <c r="H1138" s="11">
        <v>8.5381561753999993</v>
      </c>
      <c r="I1138" s="11">
        <v>6.3347002883999997</v>
      </c>
      <c r="J1138" s="11">
        <v>3.3812617435000001</v>
      </c>
      <c r="K1138" s="10">
        <v>2.7264803656250001</v>
      </c>
      <c r="L1138" s="12">
        <v>20674647404.709999</v>
      </c>
      <c r="M1138">
        <v>43.216584057699301</v>
      </c>
      <c r="N1138" s="7">
        <v>2.79333116453597</v>
      </c>
      <c r="O1138" s="7">
        <v>0.68726911076921704</v>
      </c>
      <c r="P1138" s="7">
        <v>62.468544708921897</v>
      </c>
      <c r="Q1138" s="7" t="s">
        <v>3698</v>
      </c>
      <c r="U1138">
        <v>0.56048002297014499</v>
      </c>
      <c r="AT1138" s="4" t="s">
        <v>5691</v>
      </c>
    </row>
    <row r="1139" spans="1:46">
      <c r="A1139" s="2">
        <v>336</v>
      </c>
      <c r="B1139" t="s">
        <v>5692</v>
      </c>
      <c r="C1139" t="s">
        <v>2971</v>
      </c>
      <c r="D1139" t="s">
        <v>4046</v>
      </c>
      <c r="E1139" s="4">
        <v>43465</v>
      </c>
      <c r="F1139" s="11">
        <v>-1.84276745</v>
      </c>
      <c r="G1139" s="11">
        <v>23.41389728</v>
      </c>
      <c r="H1139" s="11">
        <v>7.6883209280000004</v>
      </c>
      <c r="I1139" s="11">
        <v>6.1029696121999999</v>
      </c>
      <c r="J1139" s="11">
        <v>1.5175971670999999</v>
      </c>
      <c r="K1139" s="10">
        <v>0.75518362383399995</v>
      </c>
      <c r="L1139" s="12">
        <v>13433270686.02</v>
      </c>
      <c r="M1139">
        <v>76.298716496337505</v>
      </c>
      <c r="N1139" s="7">
        <v>2.2841995120143399</v>
      </c>
      <c r="O1139" s="7">
        <v>1.1459420119218999</v>
      </c>
      <c r="P1139" s="7">
        <v>-34.590271593597798</v>
      </c>
      <c r="Q1139" s="7">
        <v>0.62893081761006298</v>
      </c>
      <c r="U1139">
        <v>0.2015564295962442</v>
      </c>
      <c r="AT1139" s="4" t="s">
        <v>3755</v>
      </c>
    </row>
    <row r="1140" spans="1:46">
      <c r="A1140" s="2">
        <v>3427</v>
      </c>
      <c r="B1140" t="s">
        <v>5693</v>
      </c>
      <c r="C1140" t="s">
        <v>2516</v>
      </c>
      <c r="D1140" t="s">
        <v>3737</v>
      </c>
      <c r="E1140" s="4">
        <v>43465</v>
      </c>
      <c r="F1140" s="11">
        <v>14.543555639999999</v>
      </c>
      <c r="G1140" s="11">
        <v>23.311325549999999</v>
      </c>
      <c r="H1140" s="11">
        <v>40.249898486100001</v>
      </c>
      <c r="I1140" s="11">
        <v>32.5648258003</v>
      </c>
      <c r="J1140" s="11">
        <v>12.3753281959</v>
      </c>
      <c r="K1140" s="10">
        <v>0.44861769377299998</v>
      </c>
      <c r="L1140" s="12">
        <v>1689377880</v>
      </c>
      <c r="M1140">
        <v>81.663063229909895</v>
      </c>
      <c r="N1140" s="7">
        <v>2.5620052315117898</v>
      </c>
      <c r="O1140" s="7">
        <v>3.9978080855426898</v>
      </c>
      <c r="P1140" s="7">
        <v>-267.90231630036101</v>
      </c>
      <c r="Q1140" s="7">
        <v>0.78410850425474177</v>
      </c>
      <c r="U1140">
        <v>0.64605821046843781</v>
      </c>
      <c r="AT1140" s="4" t="s">
        <v>5694</v>
      </c>
    </row>
    <row r="1141" spans="1:46">
      <c r="A1141" s="2">
        <v>2934</v>
      </c>
      <c r="B1141" t="s">
        <v>5695</v>
      </c>
      <c r="C1141" t="s">
        <v>2470</v>
      </c>
      <c r="D1141" t="s">
        <v>3811</v>
      </c>
      <c r="E1141" s="4">
        <v>43465</v>
      </c>
      <c r="F1141" s="11">
        <v>-8.6236193399999994</v>
      </c>
      <c r="G1141" s="11">
        <v>23.309352520000001</v>
      </c>
      <c r="H1141" s="11">
        <v>-13.6619782867</v>
      </c>
      <c r="I1141" s="11">
        <v>30.4799956158</v>
      </c>
      <c r="J1141" s="11">
        <v>2.3185530955</v>
      </c>
      <c r="K1141" s="10">
        <v>0.49627508274999999</v>
      </c>
      <c r="L1141" s="12">
        <v>5731812926.8400002</v>
      </c>
      <c r="M1141">
        <v>39.0606106565779</v>
      </c>
      <c r="N1141" s="7">
        <v>0.93825543891754504</v>
      </c>
      <c r="O1141" s="7">
        <v>1.1106181564905999</v>
      </c>
      <c r="P1141" s="7">
        <v>-18.765401759316902</v>
      </c>
      <c r="Q1141" s="7">
        <v>0.60386473429951704</v>
      </c>
      <c r="U1141">
        <v>0.12765180742173318</v>
      </c>
      <c r="AT1141" s="4" t="s">
        <v>4047</v>
      </c>
    </row>
    <row r="1142" spans="1:46">
      <c r="A1142" s="2">
        <v>3561</v>
      </c>
      <c r="B1142" t="s">
        <v>5696</v>
      </c>
      <c r="C1142" t="s">
        <v>616</v>
      </c>
      <c r="D1142" t="s">
        <v>3728</v>
      </c>
      <c r="E1142" s="4">
        <v>43465</v>
      </c>
      <c r="F1142" s="11">
        <v>-21.48040782</v>
      </c>
      <c r="G1142" s="11">
        <v>23.17757009</v>
      </c>
      <c r="H1142" s="11">
        <v>16.0901485413</v>
      </c>
      <c r="I1142" s="11">
        <v>63.266955032699997</v>
      </c>
      <c r="J1142" s="11">
        <v>17.038370632399999</v>
      </c>
      <c r="K1142" s="10">
        <v>0.48213090224600003</v>
      </c>
      <c r="L1142" s="12">
        <v>46992635957.120003</v>
      </c>
      <c r="M1142">
        <v>18.9925629363998</v>
      </c>
      <c r="N1142" s="7">
        <v>1.7763817399620501</v>
      </c>
      <c r="O1142" s="7">
        <v>2.72649547846544</v>
      </c>
      <c r="P1142" s="7">
        <v>-52.712162930222703</v>
      </c>
      <c r="Q1142" s="7">
        <v>3.0691421617965253</v>
      </c>
      <c r="U1142">
        <v>0.69542459959766212</v>
      </c>
      <c r="AT1142" s="4" t="s">
        <v>5697</v>
      </c>
    </row>
    <row r="1143" spans="1:46">
      <c r="A1143" s="2">
        <v>500</v>
      </c>
      <c r="B1143" t="s">
        <v>5698</v>
      </c>
      <c r="C1143" t="s">
        <v>2496</v>
      </c>
      <c r="D1143" t="s">
        <v>3752</v>
      </c>
      <c r="E1143" s="4">
        <v>43465</v>
      </c>
      <c r="F1143" s="11">
        <v>-11.42477781</v>
      </c>
      <c r="G1143" s="11">
        <v>23.14737719</v>
      </c>
      <c r="H1143" s="11">
        <v>3.0492948766999999</v>
      </c>
      <c r="I1143" s="11">
        <v>33.917715264500004</v>
      </c>
      <c r="J1143" s="11">
        <v>14.3602781121</v>
      </c>
      <c r="K1143" s="10">
        <v>0.26432544179799999</v>
      </c>
      <c r="L1143" s="12">
        <v>3009659683.8099999</v>
      </c>
      <c r="M1143">
        <v>22.656930207704001</v>
      </c>
      <c r="N1143" s="7">
        <v>1.6206996851644999</v>
      </c>
      <c r="O1143" s="7">
        <v>2.5695349868589599</v>
      </c>
      <c r="P1143" s="7">
        <v>11.0664449396091</v>
      </c>
      <c r="Q1143" s="7" t="s">
        <v>3698</v>
      </c>
      <c r="U1143">
        <v>0.67782524292971225</v>
      </c>
      <c r="AT1143" s="4" t="s">
        <v>5699</v>
      </c>
    </row>
    <row r="1144" spans="1:46">
      <c r="A1144" s="2">
        <v>1904</v>
      </c>
      <c r="B1144" t="s">
        <v>5700</v>
      </c>
      <c r="C1144" t="s">
        <v>2794</v>
      </c>
      <c r="D1144" t="s">
        <v>3721</v>
      </c>
      <c r="E1144" s="4">
        <v>43465</v>
      </c>
      <c r="F1144" s="11">
        <v>-24.52964235</v>
      </c>
      <c r="G1144" s="11">
        <v>23.07692308</v>
      </c>
      <c r="H1144" s="11">
        <v>14.003103257099999</v>
      </c>
      <c r="I1144" s="11">
        <v>39.431515203700002</v>
      </c>
      <c r="J1144" s="11">
        <v>5.6531378396000003</v>
      </c>
      <c r="K1144" s="10">
        <v>0.57583238847399998</v>
      </c>
      <c r="L1144" s="12">
        <v>12050579658</v>
      </c>
      <c r="M1144">
        <v>2016.8711368504701</v>
      </c>
      <c r="N1144" s="7">
        <v>5.7628111319521897</v>
      </c>
      <c r="O1144" s="7">
        <v>5.5008687641834797</v>
      </c>
      <c r="P1144" s="7">
        <v>-492.81874306221101</v>
      </c>
      <c r="Q1144" s="7">
        <v>0.21398002853067047</v>
      </c>
      <c r="U1144">
        <v>6.2617653206072696E-2</v>
      </c>
      <c r="AT1144" s="4" t="s">
        <v>5294</v>
      </c>
    </row>
    <row r="1145" spans="1:46">
      <c r="A1145" s="2">
        <v>3192</v>
      </c>
      <c r="B1145" t="s">
        <v>5701</v>
      </c>
      <c r="C1145" t="s">
        <v>2792</v>
      </c>
      <c r="D1145" t="s">
        <v>4046</v>
      </c>
      <c r="E1145" s="4">
        <v>43465</v>
      </c>
      <c r="F1145" s="11">
        <v>-12.74484309</v>
      </c>
      <c r="G1145" s="11">
        <v>23.058823530000002</v>
      </c>
      <c r="H1145" s="11">
        <v>14.724332087200001</v>
      </c>
      <c r="I1145" s="11">
        <v>9.8512322398999999</v>
      </c>
      <c r="J1145" s="11">
        <v>-0.40521107519999999</v>
      </c>
      <c r="K1145" s="10">
        <v>0.23311350733399999</v>
      </c>
      <c r="L1145" s="12">
        <v>3969276250.5</v>
      </c>
      <c r="M1145">
        <v>169.24523372596801</v>
      </c>
      <c r="N1145" s="7">
        <v>1.15163127099172</v>
      </c>
      <c r="O1145" s="7">
        <v>2.27457215435986</v>
      </c>
      <c r="P1145" s="7">
        <v>-11.484899845214301</v>
      </c>
      <c r="Q1145" s="7">
        <v>0.17045454545454544</v>
      </c>
      <c r="U1145">
        <v>2.9403815493648601E-2</v>
      </c>
      <c r="AT1145" s="4" t="s">
        <v>5702</v>
      </c>
    </row>
    <row r="1146" spans="1:46">
      <c r="A1146" s="2">
        <v>536</v>
      </c>
      <c r="B1146" t="s">
        <v>5703</v>
      </c>
      <c r="C1146" t="s">
        <v>962</v>
      </c>
      <c r="D1146" t="s">
        <v>3721</v>
      </c>
      <c r="E1146" s="4">
        <v>43465</v>
      </c>
      <c r="F1146" s="11">
        <v>19.72574822</v>
      </c>
      <c r="G1146" s="11">
        <v>23.00513299</v>
      </c>
      <c r="H1146" s="11">
        <v>8.4971690528000003</v>
      </c>
      <c r="I1146" s="11">
        <v>36.788235453200002</v>
      </c>
      <c r="J1146" s="11">
        <v>14.2516811552</v>
      </c>
      <c r="K1146" s="10">
        <v>0.62193730477700004</v>
      </c>
      <c r="L1146" s="12">
        <v>6019200000</v>
      </c>
      <c r="M1146">
        <v>27.473601373093</v>
      </c>
      <c r="N1146" s="7">
        <v>3.4713300557012698</v>
      </c>
      <c r="O1146" s="7">
        <v>3.31658280769209</v>
      </c>
      <c r="P1146" s="7">
        <v>-44.651133218151898</v>
      </c>
      <c r="Q1146" s="7">
        <v>0.60048038430744599</v>
      </c>
      <c r="U1146">
        <v>0.83671353100233103</v>
      </c>
      <c r="AT1146" s="4" t="s">
        <v>5704</v>
      </c>
    </row>
    <row r="1147" spans="1:46">
      <c r="A1147" s="2">
        <v>744</v>
      </c>
      <c r="B1147" t="s">
        <v>5705</v>
      </c>
      <c r="C1147" t="s">
        <v>373</v>
      </c>
      <c r="D1147" t="s">
        <v>3998</v>
      </c>
      <c r="E1147" s="4">
        <v>43465</v>
      </c>
      <c r="F1147" s="11">
        <v>20.14571566</v>
      </c>
      <c r="G1147" s="11">
        <v>22.962226640000001</v>
      </c>
      <c r="H1147" s="11">
        <v>45.272186095000002</v>
      </c>
      <c r="I1147" s="11">
        <v>40.345692361200001</v>
      </c>
      <c r="J1147" s="11">
        <v>26.001695148700001</v>
      </c>
      <c r="K1147" s="10">
        <v>0.63952670723100002</v>
      </c>
      <c r="L1147" s="12">
        <v>3417473535</v>
      </c>
      <c r="M1147">
        <v>8.4869429248812498</v>
      </c>
      <c r="N1147" s="7">
        <v>1.33631085394322</v>
      </c>
      <c r="O1147" s="7">
        <v>1.98415592808984</v>
      </c>
      <c r="P1147" s="7">
        <v>-5.0736496246308898</v>
      </c>
      <c r="Q1147" s="7">
        <v>4.0074557315936632</v>
      </c>
      <c r="U1147">
        <v>1.4452310991728439</v>
      </c>
      <c r="AT1147" s="4" t="s">
        <v>3809</v>
      </c>
    </row>
    <row r="1148" spans="1:46">
      <c r="A1148" s="2">
        <v>3429</v>
      </c>
      <c r="B1148" t="s">
        <v>5706</v>
      </c>
      <c r="C1148" t="s">
        <v>2181</v>
      </c>
      <c r="D1148" t="s">
        <v>3718</v>
      </c>
      <c r="E1148" s="4">
        <v>43465</v>
      </c>
      <c r="F1148" s="11">
        <v>-39.427397229999997</v>
      </c>
      <c r="G1148" s="11">
        <v>22.92307692</v>
      </c>
      <c r="H1148" s="11">
        <v>-15.6180083433</v>
      </c>
      <c r="I1148" s="11">
        <v>41.213743888000003</v>
      </c>
      <c r="J1148" s="11">
        <v>12.930779210500001</v>
      </c>
      <c r="K1148" s="10">
        <v>0.39694872594300001</v>
      </c>
      <c r="L1148" s="12">
        <v>4521620815</v>
      </c>
      <c r="M1148">
        <v>16.332466674696601</v>
      </c>
      <c r="N1148" s="7">
        <v>1.3163087033738801</v>
      </c>
      <c r="O1148" s="7">
        <v>2.2951788791910701</v>
      </c>
      <c r="P1148" s="7">
        <v>-16.924412441293502</v>
      </c>
      <c r="Q1148" s="7">
        <v>2.6495798763866083</v>
      </c>
      <c r="U1148">
        <v>0.66629861158094339</v>
      </c>
      <c r="AT1148" s="4" t="s">
        <v>5707</v>
      </c>
    </row>
    <row r="1149" spans="1:46">
      <c r="A1149" s="2">
        <v>396</v>
      </c>
      <c r="B1149" t="s">
        <v>5708</v>
      </c>
      <c r="C1149" t="s">
        <v>3084</v>
      </c>
      <c r="D1149" t="s">
        <v>3713</v>
      </c>
      <c r="E1149" s="4">
        <v>43465</v>
      </c>
      <c r="F1149" s="11">
        <v>-5.2902099099999997</v>
      </c>
      <c r="G1149" s="11">
        <v>22.899159659999999</v>
      </c>
      <c r="H1149" s="11">
        <v>3.2190795915999999</v>
      </c>
      <c r="I1149" s="11">
        <v>6.5991538964999998</v>
      </c>
      <c r="J1149" s="11">
        <v>0.62863364769999996</v>
      </c>
      <c r="K1149" s="10">
        <v>1.0958879177930001</v>
      </c>
      <c r="L1149" s="12">
        <v>45350406262.980003</v>
      </c>
      <c r="M1149">
        <v>-60.750102616451599</v>
      </c>
      <c r="N1149" s="7">
        <v>1.4533516209052999</v>
      </c>
      <c r="O1149" s="7">
        <v>0.40271478431352298</v>
      </c>
      <c r="P1149" s="7">
        <v>14.7012386124367</v>
      </c>
      <c r="Q1149" s="7" t="s">
        <v>3698</v>
      </c>
      <c r="U1149">
        <v>3.742154909717179E-2</v>
      </c>
      <c r="AT1149" s="4" t="s">
        <v>5709</v>
      </c>
    </row>
    <row r="1150" spans="1:46">
      <c r="A1150" s="2">
        <v>153</v>
      </c>
      <c r="B1150" t="s">
        <v>5710</v>
      </c>
      <c r="C1150" t="s">
        <v>2375</v>
      </c>
      <c r="D1150" t="s">
        <v>3764</v>
      </c>
      <c r="E1150" s="4">
        <v>43465</v>
      </c>
      <c r="F1150" s="11">
        <v>-30.768576540000002</v>
      </c>
      <c r="G1150" s="11">
        <v>22.87968442</v>
      </c>
      <c r="H1150" s="11">
        <v>5.1943918987000002</v>
      </c>
      <c r="I1150" s="11">
        <v>43.408687382700002</v>
      </c>
      <c r="J1150" s="11">
        <v>40.453084422300002</v>
      </c>
      <c r="K1150" s="10">
        <v>0.12961036256399999</v>
      </c>
      <c r="L1150" s="12">
        <v>3695648580</v>
      </c>
      <c r="M1150">
        <v>13.988264575735601</v>
      </c>
      <c r="N1150" s="7">
        <v>0.85407847619964505</v>
      </c>
      <c r="O1150" s="7">
        <v>5.0089933015208699</v>
      </c>
      <c r="P1150" s="7">
        <v>709.31961872409295</v>
      </c>
      <c r="Q1150" s="7">
        <v>4.2087542087542085</v>
      </c>
      <c r="U1150">
        <v>0.42508366534094261</v>
      </c>
      <c r="AT1150" s="4" t="s">
        <v>5711</v>
      </c>
    </row>
    <row r="1151" spans="1:46">
      <c r="A1151" s="2">
        <v>1516</v>
      </c>
      <c r="B1151" t="s">
        <v>5712</v>
      </c>
      <c r="C1151" t="s">
        <v>795</v>
      </c>
      <c r="D1151" t="s">
        <v>3718</v>
      </c>
      <c r="E1151" s="4">
        <v>43465</v>
      </c>
      <c r="F1151" s="11">
        <v>-54.001687769999997</v>
      </c>
      <c r="G1151" s="11">
        <v>22.84866469</v>
      </c>
      <c r="H1151" s="11">
        <v>32.921603224899997</v>
      </c>
      <c r="I1151" s="11">
        <v>21.977959227700001</v>
      </c>
      <c r="J1151" s="11">
        <v>4.8048151773000001</v>
      </c>
      <c r="K1151" s="10">
        <v>0.412290712718</v>
      </c>
      <c r="L1151" s="12">
        <v>2696010115.9899998</v>
      </c>
      <c r="M1151">
        <v>23.809615528240901</v>
      </c>
      <c r="N1151" s="7">
        <v>2.1099865435827199</v>
      </c>
      <c r="O1151" s="7">
        <v>1.9844155513402499</v>
      </c>
      <c r="P1151" s="7">
        <v>-12.7322049902644</v>
      </c>
      <c r="Q1151" s="7">
        <v>0.2040816326530612</v>
      </c>
      <c r="U1151">
        <v>8.4103676480885001E-2</v>
      </c>
      <c r="AT1151" s="4" t="s">
        <v>5713</v>
      </c>
    </row>
    <row r="1152" spans="1:46">
      <c r="A1152" s="2">
        <v>1806</v>
      </c>
      <c r="B1152" t="s">
        <v>5714</v>
      </c>
      <c r="C1152" t="s">
        <v>2611</v>
      </c>
      <c r="D1152" t="s">
        <v>3737</v>
      </c>
      <c r="E1152" s="4">
        <v>43465</v>
      </c>
      <c r="F1152" s="11">
        <v>-24.153783659999998</v>
      </c>
      <c r="G1152" s="11">
        <v>22.815533980000001</v>
      </c>
      <c r="H1152" s="11">
        <v>17.935774287899999</v>
      </c>
      <c r="I1152" s="11">
        <v>37.4183328648</v>
      </c>
      <c r="J1152" s="11">
        <v>8.5163241963999994</v>
      </c>
      <c r="K1152" s="10">
        <v>0.40899551198700002</v>
      </c>
      <c r="L1152" s="12">
        <v>5263945699.6000004</v>
      </c>
      <c r="M1152">
        <v>52.733377953943197</v>
      </c>
      <c r="N1152" s="7">
        <v>2.14988768035</v>
      </c>
      <c r="O1152" s="7">
        <v>1.8984054983543901</v>
      </c>
      <c r="P1152" s="7">
        <v>410.71585613473201</v>
      </c>
      <c r="Q1152" s="7">
        <v>0.66099670324203441</v>
      </c>
      <c r="U1152">
        <v>0.27905836312925247</v>
      </c>
      <c r="AT1152" s="4" t="s">
        <v>3759</v>
      </c>
    </row>
    <row r="1153" spans="1:46">
      <c r="A1153" s="2">
        <v>507</v>
      </c>
      <c r="B1153" t="s">
        <v>5715</v>
      </c>
      <c r="C1153" t="s">
        <v>431</v>
      </c>
      <c r="D1153" t="s">
        <v>3737</v>
      </c>
      <c r="E1153" s="4">
        <v>43465</v>
      </c>
      <c r="F1153" s="11">
        <v>20.063714610000002</v>
      </c>
      <c r="G1153" s="11">
        <v>22.807723249999999</v>
      </c>
      <c r="H1153" s="11">
        <v>20.7540210214</v>
      </c>
      <c r="I1153" s="11">
        <v>69.016673816500003</v>
      </c>
      <c r="J1153" s="11">
        <v>10.9837618065</v>
      </c>
      <c r="K1153" s="10">
        <v>0.78466564483400003</v>
      </c>
      <c r="L1153" s="12">
        <v>18569636639.580002</v>
      </c>
      <c r="M1153">
        <v>19.5409961674542</v>
      </c>
      <c r="N1153" s="7">
        <v>3.3410517022425101</v>
      </c>
      <c r="O1153" s="7">
        <v>1.86044699094628</v>
      </c>
      <c r="P1153" s="7">
        <v>-232.13358709176501</v>
      </c>
      <c r="Q1153" s="7">
        <v>1.3269819666553249</v>
      </c>
      <c r="U1153">
        <v>1.4629463700377976</v>
      </c>
      <c r="AT1153" s="4" t="s">
        <v>5716</v>
      </c>
    </row>
    <row r="1154" spans="1:46">
      <c r="A1154" s="2">
        <v>1411</v>
      </c>
      <c r="B1154" t="s">
        <v>5717</v>
      </c>
      <c r="C1154" t="s">
        <v>2244</v>
      </c>
      <c r="D1154" t="s">
        <v>3752</v>
      </c>
      <c r="E1154" s="4">
        <v>43465</v>
      </c>
      <c r="F1154" s="11">
        <v>-23.172073390000001</v>
      </c>
      <c r="G1154" s="11">
        <v>22.799817600000001</v>
      </c>
      <c r="H1154" s="11">
        <v>9.6006182629999994</v>
      </c>
      <c r="I1154" s="11">
        <v>24.3727382555</v>
      </c>
      <c r="J1154" s="11">
        <v>8.2352823013999998</v>
      </c>
      <c r="K1154" s="10">
        <v>0.63018316811499997</v>
      </c>
      <c r="L1154" s="12">
        <v>2686588451.1900001</v>
      </c>
      <c r="M1154">
        <v>76.580268357226004</v>
      </c>
      <c r="N1154" s="7">
        <v>5.1913547157469697</v>
      </c>
      <c r="O1154" s="7">
        <v>5.4249387274715604</v>
      </c>
      <c r="P1154" s="7">
        <v>40.671133688563799</v>
      </c>
      <c r="Q1154" s="7">
        <v>0.3443067136127298</v>
      </c>
      <c r="U1154">
        <v>0.3228274057142857</v>
      </c>
      <c r="AT1154" s="4" t="s">
        <v>5718</v>
      </c>
    </row>
    <row r="1155" spans="1:46">
      <c r="A1155" s="2">
        <v>1254</v>
      </c>
      <c r="B1155" t="s">
        <v>5719</v>
      </c>
      <c r="C1155" t="s">
        <v>905</v>
      </c>
      <c r="D1155" t="s">
        <v>3721</v>
      </c>
      <c r="E1155" s="4">
        <v>43465</v>
      </c>
      <c r="F1155" s="11">
        <v>-38.848244010000002</v>
      </c>
      <c r="G1155" s="11">
        <v>22.763507529999998</v>
      </c>
      <c r="H1155" s="11">
        <v>119.7632360609</v>
      </c>
      <c r="I1155" s="11">
        <v>26.005022074300001</v>
      </c>
      <c r="J1155" s="11">
        <v>4.0547571479000002</v>
      </c>
      <c r="K1155" s="10">
        <v>0.70486668305900002</v>
      </c>
      <c r="L1155" s="12">
        <v>119482665097.75999</v>
      </c>
      <c r="M1155">
        <v>50.1385899600103</v>
      </c>
      <c r="N1155" s="7">
        <v>1.84740693629476</v>
      </c>
      <c r="O1155" s="7">
        <v>0.98358723482388</v>
      </c>
      <c r="P1155" s="7">
        <v>5.9964064468139302</v>
      </c>
      <c r="Q1155" s="7">
        <v>1.0517799352750812</v>
      </c>
      <c r="U1155">
        <v>0.56403241262112525</v>
      </c>
      <c r="AT1155" s="4" t="s">
        <v>3746</v>
      </c>
    </row>
    <row r="1156" spans="1:46">
      <c r="A1156" s="2">
        <v>1018</v>
      </c>
      <c r="B1156" t="s">
        <v>5720</v>
      </c>
      <c r="C1156" t="s">
        <v>214</v>
      </c>
      <c r="D1156" t="s">
        <v>3785</v>
      </c>
      <c r="E1156" s="4">
        <v>43465</v>
      </c>
      <c r="F1156" s="11">
        <v>61.766949850000003</v>
      </c>
      <c r="G1156" s="11">
        <v>22.731481479999999</v>
      </c>
      <c r="H1156" s="11">
        <v>25.9245657397</v>
      </c>
      <c r="I1156" s="11">
        <v>55.762014436000001</v>
      </c>
      <c r="J1156" s="11">
        <v>34.566212029100001</v>
      </c>
      <c r="K1156" s="10">
        <v>0.70088640697899995</v>
      </c>
      <c r="L1156" s="12">
        <v>11398530000</v>
      </c>
      <c r="M1156">
        <v>28.543233214126602</v>
      </c>
      <c r="N1156" s="7">
        <v>7.0097608987335498</v>
      </c>
      <c r="O1156" s="7">
        <v>9.2739794139074103</v>
      </c>
      <c r="P1156" s="7">
        <v>26.415293172235099</v>
      </c>
      <c r="Q1156" s="7">
        <v>1.0647010647010646</v>
      </c>
      <c r="U1156">
        <v>0.83830185339365249</v>
      </c>
      <c r="AT1156" s="4" t="s">
        <v>4347</v>
      </c>
    </row>
    <row r="1157" spans="1:46">
      <c r="A1157" s="2">
        <v>186</v>
      </c>
      <c r="B1157" t="s">
        <v>5721</v>
      </c>
      <c r="C1157" t="s">
        <v>1327</v>
      </c>
      <c r="D1157" t="s">
        <v>3972</v>
      </c>
      <c r="E1157" s="4">
        <v>43465</v>
      </c>
      <c r="F1157" s="11">
        <v>-3.2935484000000002</v>
      </c>
      <c r="G1157" s="11">
        <v>22.727272729999999</v>
      </c>
      <c r="H1157" s="11">
        <v>13.457095811</v>
      </c>
      <c r="I1157" s="11">
        <v>36.9505696732</v>
      </c>
      <c r="J1157" s="11">
        <v>16.887401752700001</v>
      </c>
      <c r="K1157" s="10">
        <v>0.28111664152600002</v>
      </c>
      <c r="L1157" s="12">
        <v>15022665201.6</v>
      </c>
      <c r="M1157">
        <v>21.4598318898793</v>
      </c>
      <c r="N1157" s="7">
        <v>1.2571105142496299</v>
      </c>
      <c r="O1157" s="7">
        <v>3.0994354156153698</v>
      </c>
      <c r="P1157" s="7">
        <v>-12.950197175049899</v>
      </c>
      <c r="Q1157" s="7">
        <v>1.2963688989784337</v>
      </c>
      <c r="U1157">
        <v>0.39505858263957433</v>
      </c>
      <c r="AT1157" s="4" t="s">
        <v>5722</v>
      </c>
    </row>
    <row r="1158" spans="1:46">
      <c r="A1158" s="2">
        <v>1403</v>
      </c>
      <c r="B1158" t="s">
        <v>5723</v>
      </c>
      <c r="C1158" t="s">
        <v>2973</v>
      </c>
      <c r="D1158" t="s">
        <v>3849</v>
      </c>
      <c r="E1158" s="4">
        <v>43465</v>
      </c>
      <c r="F1158" s="11">
        <v>-46.544640579999999</v>
      </c>
      <c r="G1158" s="11">
        <v>22.643442619999998</v>
      </c>
      <c r="H1158" s="11">
        <v>-16.7329070063</v>
      </c>
      <c r="I1158" s="11">
        <v>20.474551276900002</v>
      </c>
      <c r="J1158" s="11">
        <v>0.51958480910000004</v>
      </c>
      <c r="K1158" s="10">
        <v>0.74534344185099999</v>
      </c>
      <c r="L1158" s="12">
        <v>7993543961</v>
      </c>
      <c r="M1158">
        <v>55.775456045413399</v>
      </c>
      <c r="N1158" s="7">
        <v>1.3623250523371899</v>
      </c>
      <c r="O1158" s="7">
        <v>1.29722214387615</v>
      </c>
      <c r="P1158" s="7">
        <v>33.778606338444</v>
      </c>
      <c r="Q1158" s="7" t="s">
        <v>3698</v>
      </c>
      <c r="U1158">
        <v>3.5162387338828996E-2</v>
      </c>
      <c r="AT1158" s="4" t="s">
        <v>4555</v>
      </c>
    </row>
    <row r="1159" spans="1:46">
      <c r="A1159" s="2">
        <v>1640</v>
      </c>
      <c r="B1159" t="s">
        <v>5724</v>
      </c>
      <c r="C1159" t="s">
        <v>2660</v>
      </c>
      <c r="D1159" t="s">
        <v>3761</v>
      </c>
      <c r="E1159" s="4">
        <v>43465</v>
      </c>
      <c r="F1159" s="11">
        <v>-25.239836960000002</v>
      </c>
      <c r="G1159" s="11">
        <v>22.641509429999999</v>
      </c>
      <c r="H1159" s="11">
        <v>10.272073693199999</v>
      </c>
      <c r="I1159" s="11">
        <v>49.452794715899998</v>
      </c>
      <c r="J1159" s="11">
        <v>18.126555132099998</v>
      </c>
      <c r="K1159" s="10">
        <v>0.18942513309199999</v>
      </c>
      <c r="L1159" s="12">
        <v>5246100631.2600002</v>
      </c>
      <c r="M1159">
        <v>33.746236961019001</v>
      </c>
      <c r="N1159" s="7">
        <v>1.9982594710134101</v>
      </c>
      <c r="O1159" s="7">
        <v>5.77661836667163</v>
      </c>
      <c r="P1159" s="7">
        <v>33.9337267173564</v>
      </c>
      <c r="Q1159" s="7">
        <v>1.9639934533551555</v>
      </c>
      <c r="U1159">
        <v>0.16870931824285992</v>
      </c>
      <c r="AT1159" s="4" t="s">
        <v>4785</v>
      </c>
    </row>
    <row r="1160" spans="1:46">
      <c r="A1160" s="2">
        <v>195</v>
      </c>
      <c r="B1160" t="s">
        <v>5725</v>
      </c>
      <c r="C1160" t="s">
        <v>2074</v>
      </c>
      <c r="D1160" t="s">
        <v>3761</v>
      </c>
      <c r="E1160" s="4">
        <v>43465</v>
      </c>
      <c r="F1160" s="11">
        <v>-33.578887780000002</v>
      </c>
      <c r="G1160" s="11">
        <v>22.635135139999999</v>
      </c>
      <c r="H1160" s="11">
        <v>-3.2237758251000002</v>
      </c>
      <c r="I1160" s="11">
        <v>39.114331129599996</v>
      </c>
      <c r="J1160" s="11">
        <v>16.982147223399998</v>
      </c>
      <c r="K1160" s="10">
        <v>0.15317479479000001</v>
      </c>
      <c r="L1160" s="12">
        <v>6101524894.8800001</v>
      </c>
      <c r="M1160">
        <v>11.141059088647699</v>
      </c>
      <c r="N1160" s="7">
        <v>0.69909569981427899</v>
      </c>
      <c r="O1160" s="7">
        <v>2.0004090855276599</v>
      </c>
      <c r="P1160" s="7">
        <v>-60.001728289936203</v>
      </c>
      <c r="Q1160" s="7">
        <v>3.0409356725146197</v>
      </c>
      <c r="U1160">
        <v>0.28669536804113077</v>
      </c>
      <c r="AT1160" s="4" t="s">
        <v>5726</v>
      </c>
    </row>
    <row r="1161" spans="1:46">
      <c r="A1161" s="2">
        <v>2331</v>
      </c>
      <c r="B1161" t="s">
        <v>5727</v>
      </c>
      <c r="C1161" t="s">
        <v>3506</v>
      </c>
      <c r="D1161" t="s">
        <v>4119</v>
      </c>
      <c r="E1161" s="4">
        <v>43465</v>
      </c>
      <c r="F1161" s="11">
        <v>-28.333333329999999</v>
      </c>
      <c r="G1161" s="11">
        <v>22.61146497</v>
      </c>
      <c r="H1161" s="11">
        <v>798.56772570299995</v>
      </c>
      <c r="I1161" s="11">
        <v>13.519682660499999</v>
      </c>
      <c r="J1161" s="11">
        <v>12.9392902831</v>
      </c>
      <c r="K1161" s="10">
        <v>0.72269424811399996</v>
      </c>
      <c r="L1161" s="12">
        <v>5068689896.5600004</v>
      </c>
      <c r="M1161">
        <v>4491.5434960060202</v>
      </c>
      <c r="N1161" s="7">
        <v>6.3275341739068098</v>
      </c>
      <c r="O1161" s="7">
        <v>11.8879590520076</v>
      </c>
      <c r="P1161" s="7">
        <v>-22.248139241311801</v>
      </c>
      <c r="Q1161" s="7" t="s">
        <v>3698</v>
      </c>
      <c r="U1161">
        <v>6.7452973837079461E-2</v>
      </c>
      <c r="AT1161" s="4" t="s">
        <v>5728</v>
      </c>
    </row>
    <row r="1162" spans="1:46">
      <c r="A1162" s="2">
        <v>2262</v>
      </c>
      <c r="B1162" t="s">
        <v>5729</v>
      </c>
      <c r="C1162" t="s">
        <v>579</v>
      </c>
      <c r="D1162" t="s">
        <v>3972</v>
      </c>
      <c r="E1162" s="4">
        <v>43465</v>
      </c>
      <c r="F1162" s="11">
        <v>-28.636957970000001</v>
      </c>
      <c r="G1162" s="11">
        <v>22.526315790000002</v>
      </c>
      <c r="H1162" s="11">
        <v>12.9855192143</v>
      </c>
      <c r="I1162" s="11">
        <v>10.896197685500001</v>
      </c>
      <c r="J1162" s="11">
        <v>2.5589489254000002</v>
      </c>
      <c r="K1162" s="10">
        <v>0.49514356061300002</v>
      </c>
      <c r="L1162" s="12">
        <v>4254616805.0100002</v>
      </c>
      <c r="M1162">
        <v>22.355573191119099</v>
      </c>
      <c r="N1162" s="7">
        <v>1.4703774737253099</v>
      </c>
      <c r="O1162" s="7">
        <v>0.61306610513943605</v>
      </c>
      <c r="P1162" s="7">
        <v>-118.280605833907</v>
      </c>
      <c r="Q1162" s="7" t="s">
        <v>3698</v>
      </c>
      <c r="U1162">
        <v>0.18724616944003525</v>
      </c>
      <c r="AT1162" s="4" t="s">
        <v>5730</v>
      </c>
    </row>
    <row r="1163" spans="1:46">
      <c r="A1163" s="2">
        <v>657</v>
      </c>
      <c r="B1163" t="s">
        <v>5731</v>
      </c>
      <c r="C1163" t="s">
        <v>1248</v>
      </c>
      <c r="D1163" t="s">
        <v>3871</v>
      </c>
      <c r="E1163" s="4">
        <v>43465</v>
      </c>
      <c r="F1163" s="11">
        <v>14.09614024</v>
      </c>
      <c r="G1163" s="11">
        <v>22.515723269999999</v>
      </c>
      <c r="H1163" s="11">
        <v>45.637661035500003</v>
      </c>
      <c r="I1163" s="11">
        <v>31.464170502000002</v>
      </c>
      <c r="J1163" s="11">
        <v>14.683854735600001</v>
      </c>
      <c r="K1163" s="10">
        <v>0.268740009833</v>
      </c>
      <c r="L1163" s="12">
        <v>31011552000</v>
      </c>
      <c r="M1163">
        <v>5.3512721587701604</v>
      </c>
      <c r="N1163" s="7">
        <v>1.0343263310178701</v>
      </c>
      <c r="O1163" s="7">
        <v>0.726658795369576</v>
      </c>
      <c r="P1163" s="7">
        <v>4.4327346616236198</v>
      </c>
      <c r="Q1163" s="7">
        <v>5.2143684820393981</v>
      </c>
      <c r="U1163">
        <v>1.7397241168131867</v>
      </c>
      <c r="AT1163" s="4" t="s">
        <v>5732</v>
      </c>
    </row>
    <row r="1164" spans="1:46">
      <c r="A1164" s="2">
        <v>1754</v>
      </c>
      <c r="B1164" t="s">
        <v>5733</v>
      </c>
      <c r="C1164" t="s">
        <v>1606</v>
      </c>
      <c r="D1164" t="s">
        <v>4060</v>
      </c>
      <c r="E1164" s="4">
        <v>43465</v>
      </c>
      <c r="F1164" s="11">
        <v>9.6882592299999999</v>
      </c>
      <c r="G1164" s="11">
        <v>22.4893918</v>
      </c>
      <c r="H1164" s="11">
        <v>12.299601755999999</v>
      </c>
      <c r="I1164" s="11">
        <v>28.540200372400001</v>
      </c>
      <c r="J1164" s="11">
        <v>10.397899669499999</v>
      </c>
      <c r="K1164" s="10">
        <v>0.49399791535100002</v>
      </c>
      <c r="L1164" s="12">
        <v>3808504522.1700001</v>
      </c>
      <c r="M1164">
        <v>41.823741260292898</v>
      </c>
      <c r="N1164" s="7">
        <v>2.0148754688300601</v>
      </c>
      <c r="O1164" s="7">
        <v>3.4447953334760202</v>
      </c>
      <c r="P1164" s="7">
        <v>-629.36562020139797</v>
      </c>
      <c r="Q1164" s="7">
        <v>0.46608662009400265</v>
      </c>
      <c r="U1164">
        <v>0.21492826501148043</v>
      </c>
      <c r="AT1164" s="4" t="s">
        <v>3894</v>
      </c>
    </row>
    <row r="1165" spans="1:46">
      <c r="A1165" s="2">
        <v>2950</v>
      </c>
      <c r="B1165" t="s">
        <v>5734</v>
      </c>
      <c r="C1165" t="s">
        <v>3098</v>
      </c>
      <c r="D1165" t="s">
        <v>3769</v>
      </c>
      <c r="E1165" s="4">
        <v>43465</v>
      </c>
      <c r="F1165" s="11">
        <v>-9.6423017099999999</v>
      </c>
      <c r="G1165" s="11">
        <v>22.478991600000001</v>
      </c>
      <c r="H1165" s="11">
        <v>-38.458190406500002</v>
      </c>
      <c r="I1165" s="11">
        <v>1.6595766798</v>
      </c>
      <c r="J1165" s="11">
        <v>-54.589305885800002</v>
      </c>
      <c r="K1165" s="10">
        <v>0.27503257465300002</v>
      </c>
      <c r="L1165" s="12">
        <v>17382263829.400002</v>
      </c>
      <c r="M1165">
        <v>-11.774085057790501</v>
      </c>
      <c r="N1165" s="7">
        <v>-16.973467755221701</v>
      </c>
      <c r="O1165" s="7">
        <v>7.2654450013173903</v>
      </c>
      <c r="P1165" s="7">
        <v>-59.422493790096603</v>
      </c>
      <c r="Q1165" s="7" t="s">
        <v>3698</v>
      </c>
      <c r="U1165">
        <v>-0.2843989746625708</v>
      </c>
      <c r="AT1165" s="4" t="s">
        <v>5735</v>
      </c>
    </row>
    <row r="1166" spans="1:46">
      <c r="A1166" s="2">
        <v>1631</v>
      </c>
      <c r="B1166" t="s">
        <v>5736</v>
      </c>
      <c r="C1166" t="s">
        <v>1332</v>
      </c>
      <c r="D1166" t="s">
        <v>3737</v>
      </c>
      <c r="E1166" s="4">
        <v>43465</v>
      </c>
      <c r="F1166" s="11">
        <v>-11.2791564</v>
      </c>
      <c r="G1166" s="11">
        <v>22.469982850000001</v>
      </c>
      <c r="H1166" s="11">
        <v>17.721517176399999</v>
      </c>
      <c r="I1166" s="11">
        <v>54.598754993199996</v>
      </c>
      <c r="J1166" s="11">
        <v>8.6846059169000007</v>
      </c>
      <c r="K1166" s="10">
        <v>0.69210768838900005</v>
      </c>
      <c r="L1166" s="12">
        <v>21099519051.93</v>
      </c>
      <c r="M1166">
        <v>142.33578763000199</v>
      </c>
      <c r="N1166" s="7">
        <v>2.9303065529292498</v>
      </c>
      <c r="O1166" s="7">
        <v>3.6233596897128399</v>
      </c>
      <c r="P1166" s="7">
        <v>-41.763139425880397</v>
      </c>
      <c r="Q1166" s="7">
        <v>1.4860894089896497</v>
      </c>
      <c r="U1166">
        <v>0.15838458788034188</v>
      </c>
      <c r="AT1166" s="4" t="s">
        <v>3916</v>
      </c>
    </row>
    <row r="1167" spans="1:46">
      <c r="A1167" s="2">
        <v>46</v>
      </c>
      <c r="B1167" t="s">
        <v>5737</v>
      </c>
      <c r="C1167" t="s">
        <v>3633</v>
      </c>
      <c r="D1167" t="s">
        <v>3781</v>
      </c>
      <c r="E1167" s="4">
        <v>43465</v>
      </c>
      <c r="F1167" s="11">
        <v>11.07511088</v>
      </c>
      <c r="G1167" s="11">
        <v>22.426743089999999</v>
      </c>
      <c r="H1167" s="11">
        <v>121.7932903639</v>
      </c>
      <c r="I1167" s="11">
        <v>42.856461360200001</v>
      </c>
      <c r="J1167" s="11">
        <v>13.079636433399999</v>
      </c>
      <c r="K1167" s="10">
        <v>0.75642887977200002</v>
      </c>
      <c r="L1167" s="12">
        <v>14629820843.299999</v>
      </c>
      <c r="M1167">
        <v>16.166743712812998</v>
      </c>
      <c r="N1167" s="7">
        <v>7.0051050037155198</v>
      </c>
      <c r="O1167" s="7">
        <v>3.45027261702386</v>
      </c>
      <c r="P1167" s="7">
        <v>4.4269356853770496</v>
      </c>
      <c r="Q1167" s="7" t="s">
        <v>3698</v>
      </c>
      <c r="U1167">
        <v>1.1193194725428743</v>
      </c>
      <c r="AT1167" s="4" t="s">
        <v>5738</v>
      </c>
    </row>
    <row r="1168" spans="1:46">
      <c r="A1168" s="2">
        <v>2944</v>
      </c>
      <c r="B1168" t="s">
        <v>5739</v>
      </c>
      <c r="C1168" t="s">
        <v>2232</v>
      </c>
      <c r="D1168" t="s">
        <v>3778</v>
      </c>
      <c r="E1168" s="4">
        <v>43465</v>
      </c>
      <c r="F1168" s="11">
        <v>-15.35580524</v>
      </c>
      <c r="G1168" s="11">
        <v>22.404371579999999</v>
      </c>
      <c r="H1168" s="11">
        <v>20.198255963899999</v>
      </c>
      <c r="I1168" s="11">
        <v>8.7123135209000004</v>
      </c>
      <c r="J1168" s="11">
        <v>0.24320876969999999</v>
      </c>
      <c r="K1168" s="10">
        <v>0.95092129952799997</v>
      </c>
      <c r="L1168" s="12">
        <v>5620428000</v>
      </c>
      <c r="M1168">
        <v>-4.9230791182771503</v>
      </c>
      <c r="N1168" s="7">
        <v>6.0122667412644697</v>
      </c>
      <c r="O1168" s="7">
        <v>0.62439551782557901</v>
      </c>
      <c r="P1168" s="7">
        <v>290.25375135045499</v>
      </c>
      <c r="Q1168" s="7" t="s">
        <v>3698</v>
      </c>
      <c r="U1168">
        <v>7.4827989676263503E-3</v>
      </c>
      <c r="AT1168" s="4" t="s">
        <v>5740</v>
      </c>
    </row>
    <row r="1169" spans="1:46">
      <c r="A1169" s="2">
        <v>3610</v>
      </c>
      <c r="B1169" t="s">
        <v>5741</v>
      </c>
      <c r="C1169" t="s">
        <v>1689</v>
      </c>
      <c r="D1169" t="s">
        <v>3721</v>
      </c>
      <c r="E1169" s="4">
        <v>43465</v>
      </c>
      <c r="F1169" s="11">
        <v>-15.5513931</v>
      </c>
      <c r="G1169" s="11">
        <v>22.292545709999999</v>
      </c>
      <c r="H1169" s="11">
        <v>10.749165040399999</v>
      </c>
      <c r="I1169" s="11">
        <v>18.7768834333</v>
      </c>
      <c r="J1169" s="11">
        <v>6.3999194545</v>
      </c>
      <c r="K1169" s="10">
        <v>0.62943493612099999</v>
      </c>
      <c r="L1169" s="12">
        <v>5027678088.8100004</v>
      </c>
      <c r="M1169">
        <v>42.309465361492499</v>
      </c>
      <c r="N1169" s="7">
        <v>2.4643963022439399</v>
      </c>
      <c r="O1169" s="7">
        <v>1.53984997820873</v>
      </c>
      <c r="P1169" s="7">
        <v>42.363016828288103</v>
      </c>
      <c r="Q1169" s="7">
        <v>0.41431885979449784</v>
      </c>
      <c r="U1169">
        <v>0.57894332696426931</v>
      </c>
      <c r="AT1169" s="4" t="s">
        <v>4184</v>
      </c>
    </row>
    <row r="1170" spans="1:46">
      <c r="A1170" s="2">
        <v>141</v>
      </c>
      <c r="B1170" t="s">
        <v>5742</v>
      </c>
      <c r="C1170" t="s">
        <v>2624</v>
      </c>
      <c r="D1170" t="s">
        <v>3837</v>
      </c>
      <c r="E1170" s="4">
        <v>43465</v>
      </c>
      <c r="F1170" s="11">
        <v>14.04935429</v>
      </c>
      <c r="G1170" s="11">
        <v>22.188449850000001</v>
      </c>
      <c r="H1170" s="11">
        <v>10.7033356156</v>
      </c>
      <c r="I1170" s="11">
        <v>45.508128790500002</v>
      </c>
      <c r="J1170" s="11">
        <v>12.1815920872</v>
      </c>
      <c r="K1170" s="10">
        <v>0.21572418751</v>
      </c>
      <c r="L1170" s="12">
        <v>11005978797.120001</v>
      </c>
      <c r="M1170">
        <v>80.837478524442702</v>
      </c>
      <c r="N1170" s="7">
        <v>4.3180302316369898</v>
      </c>
      <c r="O1170" s="7">
        <v>6.7974789514092899</v>
      </c>
      <c r="P1170" s="7">
        <v>23.365732470601898</v>
      </c>
      <c r="Q1170" s="7">
        <v>0.26109660574412535</v>
      </c>
      <c r="U1170">
        <v>0.15859568399186397</v>
      </c>
      <c r="AT1170" s="4" t="s">
        <v>4775</v>
      </c>
    </row>
    <row r="1171" spans="1:46">
      <c r="A1171" s="2">
        <v>1147</v>
      </c>
      <c r="B1171" t="s">
        <v>5743</v>
      </c>
      <c r="C1171" t="s">
        <v>507</v>
      </c>
      <c r="D1171" t="s">
        <v>3721</v>
      </c>
      <c r="E1171" s="4">
        <v>43465</v>
      </c>
      <c r="F1171" s="11">
        <v>-45.8622868</v>
      </c>
      <c r="G1171" s="11">
        <v>22.1598878</v>
      </c>
      <c r="H1171" s="11">
        <v>0.20173206839999999</v>
      </c>
      <c r="I1171" s="11">
        <v>18.299934183800001</v>
      </c>
      <c r="J1171" s="11">
        <v>8.2407282921</v>
      </c>
      <c r="K1171" s="10">
        <v>0.89155248836099998</v>
      </c>
      <c r="L1171" s="12">
        <v>1646193510</v>
      </c>
      <c r="M1171">
        <v>15.7755976588519</v>
      </c>
      <c r="N1171" s="7">
        <v>2.2089642719931502</v>
      </c>
      <c r="O1171" s="7">
        <v>1.3216559718988501</v>
      </c>
      <c r="P1171" s="7">
        <v>26.246283497303502</v>
      </c>
      <c r="Q1171" s="7" t="s">
        <v>3698</v>
      </c>
      <c r="U1171">
        <v>0.40245264065934061</v>
      </c>
      <c r="AT1171" s="4" t="s">
        <v>4711</v>
      </c>
    </row>
    <row r="1172" spans="1:46">
      <c r="A1172" s="2">
        <v>245</v>
      </c>
      <c r="B1172" t="s">
        <v>5744</v>
      </c>
      <c r="C1172" t="s">
        <v>2428</v>
      </c>
      <c r="D1172" t="s">
        <v>3871</v>
      </c>
      <c r="E1172" s="4">
        <v>43465</v>
      </c>
      <c r="F1172" s="11">
        <v>73.292631779999994</v>
      </c>
      <c r="G1172" s="11">
        <v>22.132471729999999</v>
      </c>
      <c r="H1172" s="11">
        <v>18.632037308200001</v>
      </c>
      <c r="I1172" s="11">
        <v>28.571566520600001</v>
      </c>
      <c r="J1172" s="11">
        <v>9.7505348562999998</v>
      </c>
      <c r="K1172" s="10">
        <v>0.21251038905</v>
      </c>
      <c r="L1172" s="12">
        <v>95164948469.429993</v>
      </c>
      <c r="M1172">
        <v>11.0824918994557</v>
      </c>
      <c r="N1172" s="7">
        <v>1.57448376936303</v>
      </c>
      <c r="O1172" s="7">
        <v>0.75850649525676594</v>
      </c>
      <c r="P1172" s="7">
        <v>2.41607028041948</v>
      </c>
      <c r="Q1172" s="7">
        <v>5.4794520547945202</v>
      </c>
      <c r="U1172">
        <v>0.72773881672057883</v>
      </c>
      <c r="AT1172" s="4" t="s">
        <v>5745</v>
      </c>
    </row>
    <row r="1173" spans="1:46">
      <c r="A1173" s="2">
        <v>2641</v>
      </c>
      <c r="B1173" t="s">
        <v>5746</v>
      </c>
      <c r="C1173" t="s">
        <v>227</v>
      </c>
      <c r="D1173" t="s">
        <v>4060</v>
      </c>
      <c r="E1173" s="4">
        <v>43465</v>
      </c>
      <c r="F1173" s="11">
        <v>-10.379341399999999</v>
      </c>
      <c r="G1173" s="11">
        <v>22.11538462</v>
      </c>
      <c r="H1173" s="11">
        <v>39.478985033000001</v>
      </c>
      <c r="I1173" s="11">
        <v>23.053146551600001</v>
      </c>
      <c r="J1173" s="11">
        <v>14.1041832012</v>
      </c>
      <c r="K1173" s="10">
        <v>0.77554816700100004</v>
      </c>
      <c r="L1173" s="12">
        <v>42742450655.330002</v>
      </c>
      <c r="M1173">
        <v>5.6246939425447904</v>
      </c>
      <c r="N1173" s="7">
        <v>1.4940348266523999</v>
      </c>
      <c r="O1173" s="7">
        <v>0.61938913661778505</v>
      </c>
      <c r="P1173" s="7">
        <v>-18.551885991634201</v>
      </c>
      <c r="Q1173" s="7" t="s">
        <v>3698</v>
      </c>
      <c r="U1173">
        <v>0.7009635910921902</v>
      </c>
      <c r="AT1173" s="4" t="s">
        <v>5747</v>
      </c>
    </row>
    <row r="1174" spans="1:46">
      <c r="A1174" s="2">
        <v>3582</v>
      </c>
      <c r="B1174" t="s">
        <v>5748</v>
      </c>
      <c r="C1174" t="s">
        <v>304</v>
      </c>
      <c r="D1174" t="s">
        <v>3972</v>
      </c>
      <c r="E1174" s="4">
        <v>43465</v>
      </c>
      <c r="F1174" s="11">
        <v>-0.52082472000000002</v>
      </c>
      <c r="G1174" s="11">
        <v>22.106943340000001</v>
      </c>
      <c r="H1174" s="11">
        <v>15.7470576731</v>
      </c>
      <c r="I1174" s="11">
        <v>15.022481579900001</v>
      </c>
      <c r="J1174" s="11">
        <v>8.6285093546000002</v>
      </c>
      <c r="K1174" s="10">
        <v>0.68915769767400004</v>
      </c>
      <c r="L1174" s="12">
        <v>2416611491.4000001</v>
      </c>
      <c r="M1174">
        <v>17.418147744823202</v>
      </c>
      <c r="N1174" s="7">
        <v>2.3880223247563701</v>
      </c>
      <c r="O1174" s="7">
        <v>1.6265139308602099</v>
      </c>
      <c r="P1174" s="7">
        <v>37.316483520674403</v>
      </c>
      <c r="Q1174" s="7" t="s">
        <v>3698</v>
      </c>
      <c r="U1174">
        <v>0.68609787952080004</v>
      </c>
      <c r="AT1174" s="4" t="s">
        <v>3803</v>
      </c>
    </row>
    <row r="1175" spans="1:46">
      <c r="A1175" s="2">
        <v>2837</v>
      </c>
      <c r="B1175" t="s">
        <v>5749</v>
      </c>
      <c r="C1175" t="s">
        <v>2873</v>
      </c>
      <c r="D1175" t="s">
        <v>4046</v>
      </c>
      <c r="E1175" s="4">
        <v>43465</v>
      </c>
      <c r="F1175" s="11">
        <v>2.5309255799999999</v>
      </c>
      <c r="G1175" s="11">
        <v>22.1057047</v>
      </c>
      <c r="H1175" s="11">
        <v>-3.3609227522</v>
      </c>
      <c r="I1175" s="11">
        <v>49.713459737800001</v>
      </c>
      <c r="J1175" s="11">
        <v>19.253033793899998</v>
      </c>
      <c r="K1175" s="10">
        <v>0.22700843107400001</v>
      </c>
      <c r="L1175" s="12">
        <v>4776759447.9499998</v>
      </c>
      <c r="M1175">
        <v>214.379242174696</v>
      </c>
      <c r="N1175" s="7">
        <v>8.8401850774307196</v>
      </c>
      <c r="O1175" s="7">
        <v>26.529961566463701</v>
      </c>
      <c r="P1175" s="7">
        <v>18.951121789808401</v>
      </c>
      <c r="Q1175" s="7" t="s">
        <v>3698</v>
      </c>
      <c r="U1175">
        <v>0.1709526547431014</v>
      </c>
      <c r="AT1175" s="4" t="s">
        <v>5750</v>
      </c>
    </row>
    <row r="1176" spans="1:46">
      <c r="A1176" s="2">
        <v>2076</v>
      </c>
      <c r="B1176" t="s">
        <v>5751</v>
      </c>
      <c r="C1176" t="s">
        <v>3589</v>
      </c>
      <c r="D1176" t="s">
        <v>3721</v>
      </c>
      <c r="E1176" s="4">
        <v>43465</v>
      </c>
      <c r="F1176" s="11">
        <v>28.730906189999999</v>
      </c>
      <c r="G1176" s="11">
        <v>21.993127149999999</v>
      </c>
      <c r="H1176" s="11">
        <v>52.209576480499997</v>
      </c>
      <c r="I1176" s="11">
        <v>11.6355213182</v>
      </c>
      <c r="J1176" s="11">
        <v>4.7278578988</v>
      </c>
      <c r="K1176" s="10">
        <v>1.1008994675599999</v>
      </c>
      <c r="L1176" s="12">
        <v>4200031728.1199999</v>
      </c>
      <c r="M1176">
        <v>102.151306687608</v>
      </c>
      <c r="N1176" s="7">
        <v>5.0735027775170298</v>
      </c>
      <c r="O1176" s="7">
        <v>1.5814310751232801</v>
      </c>
      <c r="P1176" s="7">
        <v>68.660047792534201</v>
      </c>
      <c r="Q1176" s="7">
        <v>0.41037945852909175</v>
      </c>
      <c r="U1176">
        <v>1.1340738088461539</v>
      </c>
      <c r="AT1176" s="4" t="s">
        <v>3887</v>
      </c>
    </row>
    <row r="1177" spans="1:46">
      <c r="A1177" s="2">
        <v>531</v>
      </c>
      <c r="B1177" t="s">
        <v>5752</v>
      </c>
      <c r="C1177" t="s">
        <v>1220</v>
      </c>
      <c r="D1177" t="s">
        <v>3737</v>
      </c>
      <c r="E1177" s="4">
        <v>43465</v>
      </c>
      <c r="F1177" s="11">
        <v>-2.80478293</v>
      </c>
      <c r="G1177" s="11">
        <v>21.976744190000002</v>
      </c>
      <c r="H1177" s="11">
        <v>32.659507887099998</v>
      </c>
      <c r="I1177" s="11">
        <v>64.852231730900002</v>
      </c>
      <c r="J1177" s="11">
        <v>12.619318642</v>
      </c>
      <c r="K1177" s="10">
        <v>0.59496208714599996</v>
      </c>
      <c r="L1177" s="12" t="s">
        <v>3698</v>
      </c>
      <c r="M1177">
        <v>56.888468609319702</v>
      </c>
      <c r="N1177" s="7">
        <v>1.8868379871629899</v>
      </c>
      <c r="O1177" s="7">
        <v>2.1455442252938401</v>
      </c>
      <c r="P1177" s="7">
        <v>40.080726436946001</v>
      </c>
      <c r="Q1177" s="7">
        <v>3.0211480362537766</v>
      </c>
      <c r="U1177">
        <v>0.51048551058669667</v>
      </c>
      <c r="AT1177" s="4" t="s">
        <v>5753</v>
      </c>
    </row>
    <row r="1178" spans="1:46">
      <c r="A1178" s="2">
        <v>3079</v>
      </c>
      <c r="B1178" t="s">
        <v>5754</v>
      </c>
      <c r="C1178" t="s">
        <v>1382</v>
      </c>
      <c r="D1178" t="s">
        <v>3837</v>
      </c>
      <c r="E1178" s="4">
        <v>43465</v>
      </c>
      <c r="F1178" s="11">
        <v>4.29616723</v>
      </c>
      <c r="G1178" s="11">
        <v>21.93211488</v>
      </c>
      <c r="H1178" s="11">
        <v>-4.5593320430000004</v>
      </c>
      <c r="I1178" s="11" t="s">
        <v>3698</v>
      </c>
      <c r="J1178" s="11">
        <v>31.119738636200001</v>
      </c>
      <c r="K1178" s="10" t="s">
        <v>3698</v>
      </c>
      <c r="L1178" s="12">
        <v>42904608474.580002</v>
      </c>
      <c r="M1178">
        <v>18.245828705726101</v>
      </c>
      <c r="N1178" s="7">
        <v>1.19472848462541</v>
      </c>
      <c r="O1178" s="7">
        <v>5.5677967705785498</v>
      </c>
      <c r="P1178" s="7">
        <v>-24.579683683464101</v>
      </c>
      <c r="Q1178" s="7">
        <v>1.6457211027410035</v>
      </c>
      <c r="U1178">
        <v>0.76981435915174634</v>
      </c>
      <c r="AT1178" s="4" t="s">
        <v>5755</v>
      </c>
    </row>
    <row r="1179" spans="1:46">
      <c r="A1179" s="2">
        <v>1004</v>
      </c>
      <c r="B1179" t="s">
        <v>5756</v>
      </c>
      <c r="C1179" t="s">
        <v>352</v>
      </c>
      <c r="D1179" t="s">
        <v>3752</v>
      </c>
      <c r="E1179" s="4">
        <v>43465</v>
      </c>
      <c r="F1179" s="11">
        <v>31.65024446</v>
      </c>
      <c r="G1179" s="11">
        <v>21.902874130000001</v>
      </c>
      <c r="H1179" s="11">
        <v>26.909297803800001</v>
      </c>
      <c r="I1179" s="11">
        <v>5.8268730057000004</v>
      </c>
      <c r="J1179" s="11">
        <v>2.1521580369</v>
      </c>
      <c r="K1179" s="10">
        <v>0.99662323852699997</v>
      </c>
      <c r="L1179" s="12">
        <v>5415508084.7700005</v>
      </c>
      <c r="M1179">
        <v>31.3801075589184</v>
      </c>
      <c r="N1179" s="7">
        <v>3.03261477457374</v>
      </c>
      <c r="O1179" s="7">
        <v>0.79494762393477802</v>
      </c>
      <c r="P1179" s="7">
        <v>4.4489894341238001</v>
      </c>
      <c r="Q1179" s="7">
        <v>0.82304526748971196</v>
      </c>
      <c r="U1179">
        <v>0.25552444047393719</v>
      </c>
      <c r="AT1179" s="4" t="s">
        <v>5757</v>
      </c>
    </row>
    <row r="1180" spans="1:46">
      <c r="A1180" s="2">
        <v>1177</v>
      </c>
      <c r="B1180" t="s">
        <v>5758</v>
      </c>
      <c r="C1180" t="s">
        <v>2506</v>
      </c>
      <c r="D1180" t="s">
        <v>3752</v>
      </c>
      <c r="E1180" s="4">
        <v>43465</v>
      </c>
      <c r="F1180" s="11">
        <v>-9.7219014399999999</v>
      </c>
      <c r="G1180" s="11">
        <v>21.81818182</v>
      </c>
      <c r="H1180" s="11">
        <v>18.569301359600001</v>
      </c>
      <c r="I1180" s="11">
        <v>14.986188805199999</v>
      </c>
      <c r="J1180" s="11">
        <v>3.9016735362000001</v>
      </c>
      <c r="K1180" s="10">
        <v>1.021055082645</v>
      </c>
      <c r="L1180" s="12">
        <v>4098582162.5999999</v>
      </c>
      <c r="M1180">
        <v>20.310672773458801</v>
      </c>
      <c r="N1180" s="7">
        <v>0.97912350127430303</v>
      </c>
      <c r="O1180" s="7">
        <v>0.754133737242766</v>
      </c>
      <c r="P1180" s="7">
        <v>43.219074169092998</v>
      </c>
      <c r="Q1180" s="7">
        <v>6.3788968824940051</v>
      </c>
      <c r="U1180">
        <v>0.19199422487475326</v>
      </c>
      <c r="AT1180" s="4" t="s">
        <v>5759</v>
      </c>
    </row>
    <row r="1181" spans="1:46">
      <c r="A1181" s="2">
        <v>1360</v>
      </c>
      <c r="B1181" t="s">
        <v>5760</v>
      </c>
      <c r="C1181" t="s">
        <v>551</v>
      </c>
      <c r="D1181" t="s">
        <v>3977</v>
      </c>
      <c r="E1181" s="4">
        <v>43465</v>
      </c>
      <c r="F1181" s="11">
        <v>-17.401451850000001</v>
      </c>
      <c r="G1181" s="11">
        <v>21.806520580000001</v>
      </c>
      <c r="H1181" s="11">
        <v>15.3271457114</v>
      </c>
      <c r="I1181" s="11">
        <v>39.680949188600003</v>
      </c>
      <c r="J1181" s="11">
        <v>24.710931662699998</v>
      </c>
      <c r="K1181" s="10">
        <v>0.47894655351400001</v>
      </c>
      <c r="L1181" s="12">
        <v>6238960000</v>
      </c>
      <c r="M1181">
        <v>22.238418801966201</v>
      </c>
      <c r="N1181" s="7">
        <v>3.19748630584813</v>
      </c>
      <c r="O1181" s="7">
        <v>5.3172128812798896</v>
      </c>
      <c r="P1181" s="7">
        <v>-39.292901736986202</v>
      </c>
      <c r="Q1181" s="7">
        <v>0.73329747532463596</v>
      </c>
      <c r="U1181">
        <v>0.81774085616125469</v>
      </c>
      <c r="AT1181" s="4" t="s">
        <v>4515</v>
      </c>
    </row>
    <row r="1182" spans="1:46">
      <c r="A1182" s="2">
        <v>858</v>
      </c>
      <c r="B1182" t="s">
        <v>5761</v>
      </c>
      <c r="C1182" t="s">
        <v>2809</v>
      </c>
      <c r="D1182" t="s">
        <v>3718</v>
      </c>
      <c r="E1182" s="4">
        <v>43465</v>
      </c>
      <c r="F1182" s="11">
        <v>-28.97637795</v>
      </c>
      <c r="G1182" s="11">
        <v>21.79836512</v>
      </c>
      <c r="H1182" s="11">
        <v>70.276824746000003</v>
      </c>
      <c r="I1182" s="11">
        <v>27.473407630899999</v>
      </c>
      <c r="J1182" s="11">
        <v>3.2081143962000001</v>
      </c>
      <c r="K1182" s="10">
        <v>0.35364975588199998</v>
      </c>
      <c r="L1182" s="12">
        <v>41009017466.879997</v>
      </c>
      <c r="M1182">
        <v>-10.7263759311651</v>
      </c>
      <c r="N1182" s="7">
        <v>1.44605986228011</v>
      </c>
      <c r="O1182" s="7">
        <v>2.4676241456536898</v>
      </c>
      <c r="P1182" s="7">
        <v>546.65808243426204</v>
      </c>
      <c r="Q1182" s="7" t="s">
        <v>3698</v>
      </c>
      <c r="U1182">
        <v>4.4642391033662486E-2</v>
      </c>
      <c r="AT1182" s="4" t="s">
        <v>5762</v>
      </c>
    </row>
    <row r="1183" spans="1:46">
      <c r="A1183" s="2">
        <v>2330</v>
      </c>
      <c r="B1183" t="s">
        <v>5763</v>
      </c>
      <c r="C1183" t="s">
        <v>3012</v>
      </c>
      <c r="D1183" t="s">
        <v>3761</v>
      </c>
      <c r="E1183" s="4">
        <v>43465</v>
      </c>
      <c r="F1183" s="11">
        <v>-20.762566979999999</v>
      </c>
      <c r="G1183" s="11">
        <v>21.749408979999998</v>
      </c>
      <c r="H1183" s="11">
        <v>-6.3125126869999999</v>
      </c>
      <c r="I1183" s="11">
        <v>22.778770574900001</v>
      </c>
      <c r="J1183" s="11">
        <v>1.1272191024</v>
      </c>
      <c r="K1183" s="10">
        <v>0.38156686980400001</v>
      </c>
      <c r="L1183" s="12">
        <v>17284361099.59</v>
      </c>
      <c r="M1183">
        <v>-55.677558441969097</v>
      </c>
      <c r="N1183" s="7">
        <v>0.96798576095038902</v>
      </c>
      <c r="O1183" s="7">
        <v>1.01276337534279</v>
      </c>
      <c r="P1183" s="7">
        <v>-7.5180694078404899</v>
      </c>
      <c r="Q1183" s="7">
        <v>0.12396694214876033</v>
      </c>
      <c r="U1183">
        <v>2.6202279738674537E-2</v>
      </c>
      <c r="AT1183" s="4" t="s">
        <v>5764</v>
      </c>
    </row>
    <row r="1184" spans="1:46">
      <c r="A1184" s="2">
        <v>651</v>
      </c>
      <c r="B1184" t="s">
        <v>5765</v>
      </c>
      <c r="C1184" t="s">
        <v>1927</v>
      </c>
      <c r="D1184" t="s">
        <v>3858</v>
      </c>
      <c r="E1184" s="4">
        <v>43465</v>
      </c>
      <c r="F1184" s="11">
        <v>-23.22398535</v>
      </c>
      <c r="G1184" s="11">
        <v>21.70138889</v>
      </c>
      <c r="H1184" s="11">
        <v>38.682389047000001</v>
      </c>
      <c r="I1184" s="11">
        <v>11.363869302199999</v>
      </c>
      <c r="J1184" s="11">
        <v>3.6976093941000001</v>
      </c>
      <c r="K1184" s="10">
        <v>0.66716871317399995</v>
      </c>
      <c r="L1184" s="12">
        <v>29492162355</v>
      </c>
      <c r="M1184">
        <v>-57.9612508597207</v>
      </c>
      <c r="N1184" s="7">
        <v>1.22106690855653</v>
      </c>
      <c r="O1184" s="7">
        <v>0.71440786026339398</v>
      </c>
      <c r="P1184" s="7">
        <v>-5.5554175183147603</v>
      </c>
      <c r="Q1184" s="7">
        <v>1.289989682010646</v>
      </c>
      <c r="U1184">
        <v>0.33241789813969874</v>
      </c>
      <c r="AT1184" s="4" t="s">
        <v>5766</v>
      </c>
    </row>
    <row r="1185" spans="1:46">
      <c r="A1185" s="2">
        <v>2398</v>
      </c>
      <c r="B1185" t="s">
        <v>5767</v>
      </c>
      <c r="C1185" t="s">
        <v>3608</v>
      </c>
      <c r="D1185" t="s">
        <v>3761</v>
      </c>
      <c r="E1185" s="4">
        <v>43465</v>
      </c>
      <c r="F1185" s="11">
        <v>-4.0153300600000001</v>
      </c>
      <c r="G1185" s="11">
        <v>21.698113209999999</v>
      </c>
      <c r="H1185" s="11">
        <v>-18.875174511400001</v>
      </c>
      <c r="I1185" s="11">
        <v>25.832285633600002</v>
      </c>
      <c r="J1185" s="11">
        <v>3.9971881878</v>
      </c>
      <c r="K1185" s="10">
        <v>0.52559167835800003</v>
      </c>
      <c r="L1185" s="12">
        <v>17977275207.48</v>
      </c>
      <c r="M1185">
        <v>-47.103460580146802</v>
      </c>
      <c r="N1185" s="7">
        <v>1.2663814396088799</v>
      </c>
      <c r="O1185" s="7">
        <v>0.55885832906794697</v>
      </c>
      <c r="P1185" s="7">
        <v>-24.519150169161399</v>
      </c>
      <c r="Q1185" s="7">
        <v>0.79840319361277434</v>
      </c>
      <c r="U1185">
        <v>7.5090067245478523E-2</v>
      </c>
      <c r="AT1185" s="4" t="s">
        <v>5768</v>
      </c>
    </row>
    <row r="1186" spans="1:46">
      <c r="A1186" s="2">
        <v>749</v>
      </c>
      <c r="B1186" t="s">
        <v>5769</v>
      </c>
      <c r="C1186" t="s">
        <v>1319</v>
      </c>
      <c r="D1186" t="s">
        <v>3889</v>
      </c>
      <c r="E1186" s="4">
        <v>43465</v>
      </c>
      <c r="F1186" s="11">
        <v>-14.6564152</v>
      </c>
      <c r="G1186" s="11">
        <v>21.69230769</v>
      </c>
      <c r="H1186" s="11">
        <v>-1.9160864137</v>
      </c>
      <c r="I1186" s="11">
        <v>38.337487412800002</v>
      </c>
      <c r="J1186" s="11">
        <v>12.861012772300001</v>
      </c>
      <c r="K1186" s="10">
        <v>0.40080802034200003</v>
      </c>
      <c r="L1186" s="12">
        <v>7360811231.1199999</v>
      </c>
      <c r="M1186">
        <v>21.236397626028001</v>
      </c>
      <c r="N1186" s="7">
        <v>1.44710243968476</v>
      </c>
      <c r="O1186" s="7">
        <v>2.5657928507216199</v>
      </c>
      <c r="P1186" s="7">
        <v>-5.7480486575385896</v>
      </c>
      <c r="Q1186" s="7">
        <v>6.8681318681318686</v>
      </c>
      <c r="U1186">
        <v>0.31946601449542983</v>
      </c>
      <c r="AT1186" s="4" t="s">
        <v>5770</v>
      </c>
    </row>
    <row r="1187" spans="1:46">
      <c r="A1187" s="2">
        <v>2815</v>
      </c>
      <c r="B1187" t="s">
        <v>5771</v>
      </c>
      <c r="C1187" t="s">
        <v>1068</v>
      </c>
      <c r="D1187" t="s">
        <v>3849</v>
      </c>
      <c r="E1187" s="4">
        <v>43465</v>
      </c>
      <c r="F1187" s="11">
        <v>-4.2832876400000002</v>
      </c>
      <c r="G1187" s="11">
        <v>21.643286570000001</v>
      </c>
      <c r="H1187" s="11">
        <v>6.8705041317999997</v>
      </c>
      <c r="I1187" s="11">
        <v>7.289728459</v>
      </c>
      <c r="J1187" s="11">
        <v>4.4721870614999997</v>
      </c>
      <c r="K1187" s="10">
        <v>1.4957326330309999</v>
      </c>
      <c r="L1187" s="12">
        <v>7785125280</v>
      </c>
      <c r="M1187">
        <v>11.9266930591362</v>
      </c>
      <c r="N1187" s="7">
        <v>1.04477111039962</v>
      </c>
      <c r="O1187" s="7">
        <v>0.37660165881143298</v>
      </c>
      <c r="P1187" s="7">
        <v>-26.545809156734499</v>
      </c>
      <c r="Q1187" s="7">
        <v>5.1063829787234036</v>
      </c>
      <c r="U1187">
        <v>0.9744659242783541</v>
      </c>
      <c r="AT1187" s="4" t="s">
        <v>5077</v>
      </c>
    </row>
    <row r="1188" spans="1:46">
      <c r="A1188" s="2">
        <v>2334</v>
      </c>
      <c r="B1188" t="s">
        <v>5772</v>
      </c>
      <c r="C1188" t="s">
        <v>250</v>
      </c>
      <c r="D1188" t="s">
        <v>3785</v>
      </c>
      <c r="E1188" s="4">
        <v>43465</v>
      </c>
      <c r="F1188" s="11">
        <v>-29.55000802</v>
      </c>
      <c r="G1188" s="11">
        <v>21.64236378</v>
      </c>
      <c r="H1188" s="11">
        <v>10.697392301700001</v>
      </c>
      <c r="I1188" s="11">
        <v>49.011426527899999</v>
      </c>
      <c r="J1188" s="11">
        <v>20.421785287100001</v>
      </c>
      <c r="K1188" s="10">
        <v>0.663960106903</v>
      </c>
      <c r="L1188" s="12">
        <v>164707959555.44</v>
      </c>
      <c r="M1188">
        <v>16.4525956843971</v>
      </c>
      <c r="N1188" s="7">
        <v>2.3116902187016</v>
      </c>
      <c r="O1188" s="7">
        <v>2.6965593616936001</v>
      </c>
      <c r="P1188" s="7">
        <v>46.774535209842199</v>
      </c>
      <c r="Q1188" s="7">
        <v>2.3680525539236283</v>
      </c>
      <c r="U1188">
        <v>0.97026347650793643</v>
      </c>
      <c r="AT1188" s="4" t="s">
        <v>5773</v>
      </c>
    </row>
    <row r="1189" spans="1:46">
      <c r="A1189" s="2">
        <v>1505</v>
      </c>
      <c r="B1189" t="s">
        <v>5774</v>
      </c>
      <c r="C1189" t="s">
        <v>2806</v>
      </c>
      <c r="D1189" t="s">
        <v>3769</v>
      </c>
      <c r="E1189" s="4">
        <v>43465</v>
      </c>
      <c r="F1189" s="11">
        <v>-19.448698319999998</v>
      </c>
      <c r="G1189" s="11">
        <v>21.609195400000001</v>
      </c>
      <c r="H1189" s="11">
        <v>52.610732165199998</v>
      </c>
      <c r="I1189" s="11">
        <v>14.1280489754</v>
      </c>
      <c r="J1189" s="11">
        <v>-9.0382647705999997</v>
      </c>
      <c r="K1189" s="10">
        <v>0.47608758468899998</v>
      </c>
      <c r="L1189" s="12">
        <v>77946825022.5</v>
      </c>
      <c r="M1189">
        <v>-2.3698675204230999</v>
      </c>
      <c r="N1189" s="7">
        <v>1.4293365672264799</v>
      </c>
      <c r="O1189" s="7">
        <v>0.74667092275648295</v>
      </c>
      <c r="P1189" s="7">
        <v>-53.673153236064302</v>
      </c>
      <c r="Q1189" s="7" t="s">
        <v>3698</v>
      </c>
      <c r="U1189">
        <v>-0.58571836329845106</v>
      </c>
      <c r="AT1189" s="4" t="s">
        <v>5713</v>
      </c>
    </row>
    <row r="1190" spans="1:46">
      <c r="A1190" s="2">
        <v>602</v>
      </c>
      <c r="B1190" t="s">
        <v>5775</v>
      </c>
      <c r="C1190" t="s">
        <v>749</v>
      </c>
      <c r="D1190" t="s">
        <v>3811</v>
      </c>
      <c r="E1190" s="4">
        <v>43465</v>
      </c>
      <c r="F1190" s="11">
        <v>-18.211532850000001</v>
      </c>
      <c r="G1190" s="11">
        <v>21.60714286</v>
      </c>
      <c r="H1190" s="11">
        <v>6.6997042233000004</v>
      </c>
      <c r="I1190" s="11">
        <v>12.5325836364</v>
      </c>
      <c r="J1190" s="11">
        <v>4.5318108412999996</v>
      </c>
      <c r="K1190" s="10">
        <v>1.8256499459</v>
      </c>
      <c r="L1190" s="12">
        <v>3567977437.6399999</v>
      </c>
      <c r="M1190">
        <v>12.9633640702409</v>
      </c>
      <c r="N1190" s="7">
        <v>1.12906176593854</v>
      </c>
      <c r="O1190" s="7">
        <v>0.22903486816955501</v>
      </c>
      <c r="P1190" s="7">
        <v>-38.733516777445899</v>
      </c>
      <c r="Q1190" s="7">
        <v>3.3057851239669422</v>
      </c>
      <c r="U1190">
        <v>0.64665279303109435</v>
      </c>
      <c r="AT1190" s="4" t="s">
        <v>5776</v>
      </c>
    </row>
    <row r="1191" spans="1:46">
      <c r="A1191" s="2">
        <v>1482</v>
      </c>
      <c r="B1191" t="s">
        <v>5777</v>
      </c>
      <c r="C1191" t="s">
        <v>3564</v>
      </c>
      <c r="D1191" t="s">
        <v>3764</v>
      </c>
      <c r="E1191" s="4">
        <v>43465</v>
      </c>
      <c r="F1191" s="11">
        <v>-10.49798116</v>
      </c>
      <c r="G1191" s="11">
        <v>21.60148976</v>
      </c>
      <c r="H1191" s="11">
        <v>-39.921355441700001</v>
      </c>
      <c r="I1191" s="11">
        <v>18.4304056225</v>
      </c>
      <c r="J1191" s="11">
        <v>-55.010256183099997</v>
      </c>
      <c r="K1191" s="10">
        <v>0.29352353471600001</v>
      </c>
      <c r="L1191" s="12">
        <v>2710096302.5999999</v>
      </c>
      <c r="M1191">
        <v>39.867346219225098</v>
      </c>
      <c r="N1191" s="7">
        <v>3.3730543463192002</v>
      </c>
      <c r="O1191" s="7">
        <v>1.54995704157464</v>
      </c>
      <c r="P1191" s="7">
        <v>-17.598304228197701</v>
      </c>
      <c r="Q1191" s="7" t="s">
        <v>3698</v>
      </c>
      <c r="U1191">
        <v>-1.1137995981653948</v>
      </c>
      <c r="AT1191" s="4" t="s">
        <v>5254</v>
      </c>
    </row>
    <row r="1192" spans="1:46">
      <c r="A1192" s="2">
        <v>3139</v>
      </c>
      <c r="B1192" t="s">
        <v>5778</v>
      </c>
      <c r="C1192" t="s">
        <v>362</v>
      </c>
      <c r="D1192" t="s">
        <v>3752</v>
      </c>
      <c r="E1192" s="4">
        <v>43465</v>
      </c>
      <c r="F1192" s="11">
        <v>-14.62574569</v>
      </c>
      <c r="G1192" s="11">
        <v>21.563981040000002</v>
      </c>
      <c r="H1192" s="11">
        <v>4.4299328877999997</v>
      </c>
      <c r="I1192" s="11">
        <v>27.981139107499999</v>
      </c>
      <c r="J1192" s="11">
        <v>10.5370475826</v>
      </c>
      <c r="K1192" s="10">
        <v>0.72698069285699995</v>
      </c>
      <c r="L1192" s="12">
        <v>2016058675.6199999</v>
      </c>
      <c r="M1192">
        <v>7.1572535497510197</v>
      </c>
      <c r="N1192" s="7">
        <v>1.0736476730634901</v>
      </c>
      <c r="O1192" s="7">
        <v>0.92811358481670803</v>
      </c>
      <c r="P1192" s="7">
        <v>10.819234908276201</v>
      </c>
      <c r="Q1192" s="7">
        <v>3.1578947368421053</v>
      </c>
      <c r="U1192">
        <v>0.45441330385910389</v>
      </c>
      <c r="AT1192" s="4" t="s">
        <v>5779</v>
      </c>
    </row>
    <row r="1193" spans="1:46">
      <c r="A1193" s="2">
        <v>774</v>
      </c>
      <c r="B1193" t="s">
        <v>5780</v>
      </c>
      <c r="C1193" t="s">
        <v>3247</v>
      </c>
      <c r="D1193" t="s">
        <v>3752</v>
      </c>
      <c r="E1193" s="4">
        <v>43465</v>
      </c>
      <c r="F1193" s="11">
        <v>-26.16487455</v>
      </c>
      <c r="G1193" s="11">
        <v>21.55688623</v>
      </c>
      <c r="H1193" s="11">
        <v>39.756187736800001</v>
      </c>
      <c r="I1193" s="11">
        <v>9.0755676556000004</v>
      </c>
      <c r="J1193" s="11">
        <v>2.4290240416</v>
      </c>
      <c r="K1193" s="10">
        <v>0.40926548820300002</v>
      </c>
      <c r="L1193" s="12">
        <v>2270584720</v>
      </c>
      <c r="M1193">
        <v>-4.74209156301057</v>
      </c>
      <c r="N1193" s="7">
        <v>1.4556021976198601</v>
      </c>
      <c r="O1193" s="7">
        <v>2.2918229277493598</v>
      </c>
      <c r="P1193" s="7">
        <v>28.490644312026401</v>
      </c>
      <c r="Q1193" s="7" t="s">
        <v>3698</v>
      </c>
      <c r="U1193">
        <v>2.1341816853967459E-2</v>
      </c>
      <c r="AT1193" s="4" t="s">
        <v>5781</v>
      </c>
    </row>
    <row r="1194" spans="1:46">
      <c r="A1194" s="2">
        <v>1268</v>
      </c>
      <c r="B1194" t="s">
        <v>5782</v>
      </c>
      <c r="C1194" t="s">
        <v>2844</v>
      </c>
      <c r="D1194" t="s">
        <v>3718</v>
      </c>
      <c r="E1194" s="4">
        <v>43465</v>
      </c>
      <c r="F1194" s="11">
        <v>-58.952164009999997</v>
      </c>
      <c r="G1194" s="11">
        <v>21.554054050000001</v>
      </c>
      <c r="H1194" s="11">
        <v>27.518987647500001</v>
      </c>
      <c r="I1194" s="11">
        <v>22.864804264100002</v>
      </c>
      <c r="J1194" s="11">
        <v>6.4987358086000002</v>
      </c>
      <c r="K1194" s="10">
        <v>0.515472725681</v>
      </c>
      <c r="L1194" s="12">
        <v>3757394908.8000002</v>
      </c>
      <c r="M1194">
        <v>-16.2264053029065</v>
      </c>
      <c r="N1194" s="7">
        <v>2.53958575805117</v>
      </c>
      <c r="O1194" s="7">
        <v>2.97526795414083</v>
      </c>
      <c r="P1194" s="7">
        <v>-28.486249579607701</v>
      </c>
      <c r="Q1194" s="7" t="s">
        <v>3698</v>
      </c>
      <c r="U1194">
        <v>0.34615863295454546</v>
      </c>
      <c r="AT1194" s="4" t="s">
        <v>4365</v>
      </c>
    </row>
    <row r="1195" spans="1:46">
      <c r="A1195" s="2">
        <v>2896</v>
      </c>
      <c r="B1195" t="s">
        <v>5783</v>
      </c>
      <c r="C1195" t="s">
        <v>2102</v>
      </c>
      <c r="D1195" t="s">
        <v>3871</v>
      </c>
      <c r="E1195" s="4">
        <v>43465</v>
      </c>
      <c r="F1195" s="11">
        <v>-1.75825947</v>
      </c>
      <c r="G1195" s="11">
        <v>21.54255319</v>
      </c>
      <c r="H1195" s="11">
        <v>10.743423786299999</v>
      </c>
      <c r="I1195" s="11">
        <v>44.560422203800002</v>
      </c>
      <c r="J1195" s="11">
        <v>22.860344568999999</v>
      </c>
      <c r="K1195" s="10">
        <v>0.20649644050999999</v>
      </c>
      <c r="L1195" s="12">
        <v>3573663045.7600002</v>
      </c>
      <c r="M1195">
        <v>7.6077519129634998</v>
      </c>
      <c r="N1195" s="7">
        <v>0.59572068721028903</v>
      </c>
      <c r="O1195" s="7">
        <v>0.65677133640878504</v>
      </c>
      <c r="P1195" s="7">
        <v>344.839135250808</v>
      </c>
      <c r="Q1195" s="7">
        <v>6.6838046272493568</v>
      </c>
      <c r="U1195">
        <v>0.64081881259818008</v>
      </c>
      <c r="AT1195" s="4" t="s">
        <v>5784</v>
      </c>
    </row>
    <row r="1196" spans="1:46">
      <c r="A1196" s="2">
        <v>1590</v>
      </c>
      <c r="B1196" t="s">
        <v>5785</v>
      </c>
      <c r="C1196" t="s">
        <v>1817</v>
      </c>
      <c r="D1196" t="s">
        <v>3718</v>
      </c>
      <c r="E1196" s="4">
        <v>43465</v>
      </c>
      <c r="F1196" s="11">
        <v>-23.884697939999999</v>
      </c>
      <c r="G1196" s="11">
        <v>21.53846154</v>
      </c>
      <c r="H1196" s="11">
        <v>29.303734999</v>
      </c>
      <c r="I1196" s="11">
        <v>44.274463321100001</v>
      </c>
      <c r="J1196" s="11">
        <v>4.9036217251999998</v>
      </c>
      <c r="K1196" s="10">
        <v>0.45712787053499998</v>
      </c>
      <c r="L1196" s="12">
        <v>4833875556</v>
      </c>
      <c r="M1196">
        <v>56.015898954368403</v>
      </c>
      <c r="N1196" s="7">
        <v>1.6140321638250701</v>
      </c>
      <c r="O1196" s="7">
        <v>1.79726888620292</v>
      </c>
      <c r="P1196" s="7">
        <v>-7.0475508028094502</v>
      </c>
      <c r="Q1196" s="7">
        <v>0.92592592592592582</v>
      </c>
      <c r="U1196">
        <v>7.8346442437629935E-2</v>
      </c>
      <c r="AT1196" s="4" t="s">
        <v>5393</v>
      </c>
    </row>
    <row r="1197" spans="1:46">
      <c r="A1197" s="2">
        <v>3407</v>
      </c>
      <c r="B1197" t="s">
        <v>5786</v>
      </c>
      <c r="C1197" t="s">
        <v>2208</v>
      </c>
      <c r="D1197" t="s">
        <v>3761</v>
      </c>
      <c r="E1197" s="4">
        <v>43465</v>
      </c>
      <c r="F1197" s="11">
        <v>-47.916716379999997</v>
      </c>
      <c r="G1197" s="11">
        <v>21.525885559999999</v>
      </c>
      <c r="H1197" s="11">
        <v>12.6314458614</v>
      </c>
      <c r="I1197" s="11">
        <v>34.488353922899996</v>
      </c>
      <c r="J1197" s="11">
        <v>23.534190819199999</v>
      </c>
      <c r="K1197" s="10">
        <v>0.34550870092300001</v>
      </c>
      <c r="L1197" s="12">
        <v>6137562974.3999996</v>
      </c>
      <c r="M1197">
        <v>29.2132538957487</v>
      </c>
      <c r="N1197" s="7">
        <v>1.8354854212209</v>
      </c>
      <c r="O1197" s="7">
        <v>5.1466859471433901</v>
      </c>
      <c r="P1197" s="7">
        <v>239.287088659988</v>
      </c>
      <c r="Q1197" s="7">
        <v>2.5031289111389237</v>
      </c>
      <c r="U1197">
        <v>0.35420611129457596</v>
      </c>
      <c r="AT1197" s="4" t="s">
        <v>4696</v>
      </c>
    </row>
    <row r="1198" spans="1:46">
      <c r="A1198" s="2">
        <v>639</v>
      </c>
      <c r="B1198" t="s">
        <v>5787</v>
      </c>
      <c r="C1198" t="s">
        <v>168</v>
      </c>
      <c r="D1198" t="s">
        <v>3778</v>
      </c>
      <c r="E1198" s="4">
        <v>43465</v>
      </c>
      <c r="F1198" s="11">
        <v>-15.3025594</v>
      </c>
      <c r="G1198" s="11">
        <v>21.508379890000001</v>
      </c>
      <c r="H1198" s="11">
        <v>8.4509150750999993</v>
      </c>
      <c r="I1198" s="11">
        <v>44.540127389299997</v>
      </c>
      <c r="J1198" s="11">
        <v>24.760146970400001</v>
      </c>
      <c r="K1198" s="10">
        <v>0.507484353444</v>
      </c>
      <c r="L1198" s="12">
        <v>7069267013.2700005</v>
      </c>
      <c r="M1198">
        <v>5.8123474330152796</v>
      </c>
      <c r="N1198" s="7">
        <v>0.95184897835327997</v>
      </c>
      <c r="O1198" s="7">
        <v>1.4447073068812599</v>
      </c>
      <c r="P1198" s="7">
        <v>11.2496865345732</v>
      </c>
      <c r="Q1198" s="7" t="s">
        <v>3698</v>
      </c>
      <c r="U1198">
        <v>1.2402425314800387</v>
      </c>
      <c r="AT1198" s="4" t="s">
        <v>4877</v>
      </c>
    </row>
    <row r="1199" spans="1:46">
      <c r="A1199" s="2">
        <v>3084</v>
      </c>
      <c r="B1199" t="s">
        <v>5788</v>
      </c>
      <c r="C1199" t="s">
        <v>195</v>
      </c>
      <c r="D1199" t="s">
        <v>3778</v>
      </c>
      <c r="E1199" s="4">
        <v>43465</v>
      </c>
      <c r="F1199" s="11">
        <v>20.586236499999998</v>
      </c>
      <c r="G1199" s="11">
        <v>21.505376340000002</v>
      </c>
      <c r="H1199" s="11">
        <v>12.3642149574</v>
      </c>
      <c r="I1199" s="11">
        <v>48.690780641099998</v>
      </c>
      <c r="J1199" s="11">
        <v>27.836631158399999</v>
      </c>
      <c r="K1199" s="10">
        <v>0.50654621110599996</v>
      </c>
      <c r="L1199" s="12">
        <v>10646565057.48</v>
      </c>
      <c r="M1199">
        <v>6.62206757558282</v>
      </c>
      <c r="N1199" s="7">
        <v>1.4687394214107601</v>
      </c>
      <c r="O1199" s="7">
        <v>1.41297947080706</v>
      </c>
      <c r="P1199" s="7">
        <v>52.903302196847399</v>
      </c>
      <c r="Q1199" s="7">
        <v>3.8915094339622631</v>
      </c>
      <c r="U1199">
        <v>1.099282977413</v>
      </c>
      <c r="AT1199" s="4" t="s">
        <v>3759</v>
      </c>
    </row>
    <row r="1200" spans="1:46">
      <c r="A1200" s="2">
        <v>213</v>
      </c>
      <c r="B1200" t="s">
        <v>5789</v>
      </c>
      <c r="C1200" t="s">
        <v>3329</v>
      </c>
      <c r="D1200" t="s">
        <v>3832</v>
      </c>
      <c r="E1200" s="4">
        <v>43465</v>
      </c>
      <c r="F1200" s="11">
        <v>-21.62195977</v>
      </c>
      <c r="G1200" s="11">
        <v>21.495327100000001</v>
      </c>
      <c r="H1200" s="11">
        <v>21.394349238499998</v>
      </c>
      <c r="I1200" s="11">
        <v>6.3633970444000001</v>
      </c>
      <c r="J1200" s="11">
        <v>9.7552263511999993</v>
      </c>
      <c r="K1200" s="10">
        <v>0.67842503436799995</v>
      </c>
      <c r="L1200" s="12">
        <v>10741496428.26</v>
      </c>
      <c r="M1200">
        <v>-50.906364702734102</v>
      </c>
      <c r="N1200" s="7">
        <v>2.0379381845891702</v>
      </c>
      <c r="O1200" s="7">
        <v>2.1741522413558498</v>
      </c>
      <c r="P1200" s="7">
        <v>-11.4906853051742</v>
      </c>
      <c r="Q1200" s="7">
        <v>0.27218934911242604</v>
      </c>
      <c r="U1200">
        <v>0.40663935444986266</v>
      </c>
      <c r="AT1200" s="4" t="s">
        <v>5790</v>
      </c>
    </row>
    <row r="1201" spans="1:46">
      <c r="A1201" s="2">
        <v>3532</v>
      </c>
      <c r="B1201" t="s">
        <v>5791</v>
      </c>
      <c r="C1201" t="s">
        <v>1225</v>
      </c>
      <c r="D1201" t="s">
        <v>3785</v>
      </c>
      <c r="E1201" s="4">
        <v>43465</v>
      </c>
      <c r="F1201" s="11">
        <v>-36.813414020000003</v>
      </c>
      <c r="G1201" s="11">
        <v>21.495327100000001</v>
      </c>
      <c r="H1201" s="11">
        <v>7.0091386498999997</v>
      </c>
      <c r="I1201" s="11">
        <v>43.905379357000001</v>
      </c>
      <c r="J1201" s="11">
        <v>0.2597894617</v>
      </c>
      <c r="K1201" s="10">
        <v>1.331988402106</v>
      </c>
      <c r="L1201" s="12">
        <v>2563511445.9499998</v>
      </c>
      <c r="M1201">
        <v>-82.673997591980594</v>
      </c>
      <c r="N1201" s="7">
        <v>1.7704633023824401</v>
      </c>
      <c r="O1201" s="7">
        <v>0.83859671537103597</v>
      </c>
      <c r="P1201" s="7">
        <v>-16.350517952130598</v>
      </c>
      <c r="Q1201" s="7">
        <v>1.4720314033366046</v>
      </c>
      <c r="U1201">
        <v>2.9666318979343478E-2</v>
      </c>
      <c r="AT1201" s="4" t="s">
        <v>4097</v>
      </c>
    </row>
    <row r="1202" spans="1:46">
      <c r="A1202" s="2">
        <v>3316</v>
      </c>
      <c r="B1202" t="s">
        <v>5792</v>
      </c>
      <c r="C1202" t="s">
        <v>1555</v>
      </c>
      <c r="D1202" t="s">
        <v>3761</v>
      </c>
      <c r="E1202" s="4">
        <v>43465</v>
      </c>
      <c r="F1202" s="11">
        <v>23.178049640000001</v>
      </c>
      <c r="G1202" s="11">
        <v>21.48910412</v>
      </c>
      <c r="H1202" s="11">
        <v>28.346764946499999</v>
      </c>
      <c r="I1202" s="11">
        <v>21.392545757400001</v>
      </c>
      <c r="J1202" s="11">
        <v>11.9354948296</v>
      </c>
      <c r="K1202" s="10">
        <v>0.60556639508900001</v>
      </c>
      <c r="L1202" s="12">
        <v>7891884000</v>
      </c>
      <c r="M1202">
        <v>30.4481309020243</v>
      </c>
      <c r="N1202" s="7">
        <v>2.26566318405657</v>
      </c>
      <c r="O1202" s="7">
        <v>3.1185971452689101</v>
      </c>
      <c r="P1202" s="7">
        <v>61.967626841949901</v>
      </c>
      <c r="Q1202" s="7">
        <v>1.26749280705691</v>
      </c>
      <c r="U1202">
        <v>0.68893368204700045</v>
      </c>
      <c r="AT1202" s="4" t="s">
        <v>4328</v>
      </c>
    </row>
    <row r="1203" spans="1:46">
      <c r="A1203" s="2">
        <v>2752</v>
      </c>
      <c r="B1203" t="s">
        <v>5793</v>
      </c>
      <c r="C1203" t="s">
        <v>2781</v>
      </c>
      <c r="D1203" t="s">
        <v>4060</v>
      </c>
      <c r="E1203" s="4">
        <v>43465</v>
      </c>
      <c r="F1203" s="11">
        <v>-36.685479729999997</v>
      </c>
      <c r="G1203" s="11">
        <v>21.463897129999999</v>
      </c>
      <c r="H1203" s="11">
        <v>-46.675207868900003</v>
      </c>
      <c r="I1203" s="11">
        <v>18.320191714300002</v>
      </c>
      <c r="J1203" s="11">
        <v>1.7024411657</v>
      </c>
      <c r="K1203" s="10">
        <v>0.41527917208800003</v>
      </c>
      <c r="L1203" s="12">
        <v>3869421806</v>
      </c>
      <c r="M1203">
        <v>172.50918793217801</v>
      </c>
      <c r="N1203" s="7">
        <v>4.2626731710477603</v>
      </c>
      <c r="O1203" s="7">
        <v>4.2526120366330398</v>
      </c>
      <c r="P1203" s="7">
        <v>-28.222466488871699</v>
      </c>
      <c r="Q1203" s="7" t="s">
        <v>3698</v>
      </c>
      <c r="U1203">
        <v>5.0174599238818993E-2</v>
      </c>
      <c r="AT1203" s="4" t="s">
        <v>4751</v>
      </c>
    </row>
    <row r="1204" spans="1:46">
      <c r="A1204" s="2">
        <v>1443</v>
      </c>
      <c r="B1204" t="s">
        <v>5794</v>
      </c>
      <c r="C1204" t="s">
        <v>960</v>
      </c>
      <c r="D1204" t="s">
        <v>3790</v>
      </c>
      <c r="E1204" s="4">
        <v>43465</v>
      </c>
      <c r="F1204" s="11">
        <v>-9.99048582</v>
      </c>
      <c r="G1204" s="11">
        <v>21.455938700000001</v>
      </c>
      <c r="H1204" s="11">
        <v>17.957352203199999</v>
      </c>
      <c r="I1204" s="11">
        <v>33.237860671900002</v>
      </c>
      <c r="J1204" s="11">
        <v>12.5834761002</v>
      </c>
      <c r="K1204" s="10">
        <v>0.57086928212999999</v>
      </c>
      <c r="L1204" s="12">
        <v>1585760000</v>
      </c>
      <c r="M1204">
        <v>24.7568240255981</v>
      </c>
      <c r="N1204" s="7">
        <v>2.3647455287955301</v>
      </c>
      <c r="O1204" s="7">
        <v>3.06882722999317</v>
      </c>
      <c r="P1204" s="7">
        <v>74.058991763519998</v>
      </c>
      <c r="Q1204" s="7">
        <v>0.34018025048947131</v>
      </c>
      <c r="U1204">
        <v>0.33054314807144541</v>
      </c>
      <c r="AT1204" s="4" t="s">
        <v>3770</v>
      </c>
    </row>
    <row r="1205" spans="1:46">
      <c r="A1205" s="2">
        <v>1240</v>
      </c>
      <c r="B1205" t="s">
        <v>5795</v>
      </c>
      <c r="C1205" t="s">
        <v>2354</v>
      </c>
      <c r="D1205" t="s">
        <v>3761</v>
      </c>
      <c r="E1205" s="4">
        <v>43465</v>
      </c>
      <c r="F1205" s="11">
        <v>-37.002610709999999</v>
      </c>
      <c r="G1205" s="11">
        <v>21.449704140000001</v>
      </c>
      <c r="H1205" s="11">
        <v>15.6921775693</v>
      </c>
      <c r="I1205" s="11">
        <v>34.6410252461</v>
      </c>
      <c r="J1205" s="11">
        <v>6.6783767266999998</v>
      </c>
      <c r="K1205" s="10">
        <v>0.56889883062900004</v>
      </c>
      <c r="L1205" s="12">
        <v>150909490458.44</v>
      </c>
      <c r="M1205">
        <v>30.045953205355499</v>
      </c>
      <c r="N1205" s="7">
        <v>2.8742789802769999</v>
      </c>
      <c r="O1205" s="7">
        <v>2.3022770557871302</v>
      </c>
      <c r="P1205" s="7">
        <v>-21.679920419853001</v>
      </c>
      <c r="Q1205" s="7">
        <v>0.69252077562326864</v>
      </c>
      <c r="U1205">
        <v>0.17717441433149247</v>
      </c>
      <c r="AT1205" s="4" t="s">
        <v>4585</v>
      </c>
    </row>
    <row r="1206" spans="1:46">
      <c r="A1206" s="2">
        <v>3203</v>
      </c>
      <c r="B1206" t="s">
        <v>5796</v>
      </c>
      <c r="C1206" t="s">
        <v>2744</v>
      </c>
      <c r="D1206" t="s">
        <v>3718</v>
      </c>
      <c r="E1206" s="4">
        <v>43465</v>
      </c>
      <c r="F1206" s="11">
        <v>-29.395563589999998</v>
      </c>
      <c r="G1206" s="11">
        <v>21.39673105</v>
      </c>
      <c r="H1206" s="11">
        <v>-4.7296175984</v>
      </c>
      <c r="I1206" s="11">
        <v>0.89813686820000005</v>
      </c>
      <c r="J1206" s="11">
        <v>0.57674755310000003</v>
      </c>
      <c r="K1206" s="10">
        <v>2.685501542241</v>
      </c>
      <c r="L1206" s="12">
        <v>16880257174.5</v>
      </c>
      <c r="M1206">
        <v>78.221573309361801</v>
      </c>
      <c r="N1206" s="7">
        <v>0.73960312862234301</v>
      </c>
      <c r="O1206" s="7">
        <v>0.16728234022278601</v>
      </c>
      <c r="P1206" s="7">
        <v>-1.4966433806452499</v>
      </c>
      <c r="Q1206" s="7" t="s">
        <v>3698</v>
      </c>
      <c r="U1206">
        <v>0.15251806965067749</v>
      </c>
      <c r="AT1206" s="4" t="s">
        <v>4921</v>
      </c>
    </row>
    <row r="1207" spans="1:46">
      <c r="A1207" s="2">
        <v>3237</v>
      </c>
      <c r="B1207" t="s">
        <v>5797</v>
      </c>
      <c r="C1207" t="s">
        <v>1750</v>
      </c>
      <c r="D1207" t="s">
        <v>3752</v>
      </c>
      <c r="E1207" s="4">
        <v>43465</v>
      </c>
      <c r="F1207" s="11">
        <v>-22.077315899999999</v>
      </c>
      <c r="G1207" s="11">
        <v>21.383203949999999</v>
      </c>
      <c r="H1207" s="11">
        <v>1.2987443006999999</v>
      </c>
      <c r="I1207" s="11">
        <v>26.2676010508</v>
      </c>
      <c r="J1207" s="11">
        <v>13.3775136177</v>
      </c>
      <c r="K1207" s="10">
        <v>0.37403194144000002</v>
      </c>
      <c r="L1207" s="12">
        <v>2193360000</v>
      </c>
      <c r="M1207">
        <v>55.732944518820403</v>
      </c>
      <c r="N1207" s="7">
        <v>1.9473137717133</v>
      </c>
      <c r="O1207" s="7">
        <v>4.8509296207112396</v>
      </c>
      <c r="P1207" s="7">
        <v>-26.117826977231498</v>
      </c>
      <c r="Q1207" s="7">
        <v>0.83479183763853082</v>
      </c>
      <c r="U1207">
        <v>0.40440188453461184</v>
      </c>
      <c r="AT1207" s="4" t="s">
        <v>5798</v>
      </c>
    </row>
    <row r="1208" spans="1:46">
      <c r="A1208" s="2">
        <v>3303</v>
      </c>
      <c r="B1208" t="s">
        <v>5799</v>
      </c>
      <c r="C1208" t="s">
        <v>948</v>
      </c>
      <c r="D1208" t="s">
        <v>3752</v>
      </c>
      <c r="E1208" s="4">
        <v>43465</v>
      </c>
      <c r="F1208" s="11">
        <v>3.50025663</v>
      </c>
      <c r="G1208" s="11">
        <v>21.363316940000001</v>
      </c>
      <c r="H1208" s="11">
        <v>2.1481527421000002</v>
      </c>
      <c r="I1208" s="11">
        <v>19.5175573868</v>
      </c>
      <c r="J1208" s="11">
        <v>11.4627481767</v>
      </c>
      <c r="K1208" s="10">
        <v>1.006230169053</v>
      </c>
      <c r="L1208" s="12">
        <v>1836591390</v>
      </c>
      <c r="M1208">
        <v>16.641789023297399</v>
      </c>
      <c r="N1208" s="7">
        <v>1.9826897698433601</v>
      </c>
      <c r="O1208" s="7">
        <v>1.63918955620114</v>
      </c>
      <c r="P1208" s="7">
        <v>343.57647893871598</v>
      </c>
      <c r="Q1208" s="7">
        <v>1.3851694523963431</v>
      </c>
      <c r="U1208">
        <v>0.98513356544999997</v>
      </c>
      <c r="AT1208" s="4" t="s">
        <v>5800</v>
      </c>
    </row>
    <row r="1209" spans="1:46">
      <c r="A1209" s="2">
        <v>2561</v>
      </c>
      <c r="B1209" t="s">
        <v>5801</v>
      </c>
      <c r="C1209" t="s">
        <v>623</v>
      </c>
      <c r="D1209" t="s">
        <v>3761</v>
      </c>
      <c r="E1209" s="4">
        <v>43465</v>
      </c>
      <c r="F1209" s="11">
        <v>-28.78307152</v>
      </c>
      <c r="G1209" s="11">
        <v>21.341463409999999</v>
      </c>
      <c r="H1209" s="11">
        <v>27.4240049058</v>
      </c>
      <c r="I1209" s="11">
        <v>15.3441684272</v>
      </c>
      <c r="J1209" s="11">
        <v>6.5805171311999997</v>
      </c>
      <c r="K1209" s="10">
        <v>0.68702818741799998</v>
      </c>
      <c r="L1209" s="12">
        <v>16640826449.379999</v>
      </c>
      <c r="M1209">
        <v>11.7559850606204</v>
      </c>
      <c r="N1209" s="7">
        <v>0.96542921950149496</v>
      </c>
      <c r="O1209" s="7">
        <v>0.61890292388516799</v>
      </c>
      <c r="P1209" s="7">
        <v>-8.6501153932518395</v>
      </c>
      <c r="Q1209" s="7">
        <v>2.4185068349106205</v>
      </c>
      <c r="U1209">
        <v>0.74962461002160785</v>
      </c>
      <c r="AT1209" s="4" t="s">
        <v>5802</v>
      </c>
    </row>
    <row r="1210" spans="1:46">
      <c r="A1210" s="2">
        <v>1378</v>
      </c>
      <c r="B1210" t="s">
        <v>5803</v>
      </c>
      <c r="C1210" t="s">
        <v>1559</v>
      </c>
      <c r="D1210" t="s">
        <v>3761</v>
      </c>
      <c r="E1210" s="4">
        <v>43465</v>
      </c>
      <c r="F1210" s="11">
        <v>-59.225743729999998</v>
      </c>
      <c r="G1210" s="11">
        <v>21.306607280000001</v>
      </c>
      <c r="H1210" s="11">
        <v>12.620263963699999</v>
      </c>
      <c r="I1210" s="11">
        <v>53.544467522399998</v>
      </c>
      <c r="J1210" s="11">
        <v>18.4694011737</v>
      </c>
      <c r="K1210" s="10">
        <v>0.396129163018</v>
      </c>
      <c r="L1210" s="12">
        <v>89900000000</v>
      </c>
      <c r="M1210">
        <v>22.315990605634401</v>
      </c>
      <c r="N1210" s="7">
        <v>1.7294446518151101</v>
      </c>
      <c r="O1210" s="7">
        <v>4.0727449329357199</v>
      </c>
      <c r="P1210" s="7">
        <v>-44.453670956796302</v>
      </c>
      <c r="Q1210" s="7">
        <v>1.3175230566534917</v>
      </c>
      <c r="U1210">
        <v>0.6644751397717874</v>
      </c>
      <c r="AT1210" s="4" t="s">
        <v>5804</v>
      </c>
    </row>
    <row r="1211" spans="1:46">
      <c r="A1211" s="2">
        <v>3507</v>
      </c>
      <c r="B1211" t="s">
        <v>5805</v>
      </c>
      <c r="C1211" t="s">
        <v>320</v>
      </c>
      <c r="D1211" t="s">
        <v>3811</v>
      </c>
      <c r="E1211" s="4">
        <v>43465</v>
      </c>
      <c r="F1211" s="11">
        <v>64.054525130000002</v>
      </c>
      <c r="G1211" s="11">
        <v>21.30413141</v>
      </c>
      <c r="H1211" s="11">
        <v>12.3590881783</v>
      </c>
      <c r="I1211" s="11">
        <v>21.774821872299999</v>
      </c>
      <c r="J1211" s="11">
        <v>3.3395999664999998</v>
      </c>
      <c r="K1211" s="10">
        <v>1.8961690855269999</v>
      </c>
      <c r="L1211" s="12">
        <v>2170978252.1700001</v>
      </c>
      <c r="M1211">
        <v>25.7469141280957</v>
      </c>
      <c r="N1211" s="7">
        <v>3.8139370865969102</v>
      </c>
      <c r="O1211" s="7">
        <v>0.75214946337995303</v>
      </c>
      <c r="P1211" s="7">
        <v>-16.6285250540882</v>
      </c>
      <c r="Q1211" s="7">
        <v>1.8551646458623199</v>
      </c>
      <c r="U1211">
        <v>0.9186404847649573</v>
      </c>
      <c r="AT1211" s="4" t="s">
        <v>5360</v>
      </c>
    </row>
    <row r="1212" spans="1:46">
      <c r="A1212" s="2">
        <v>128</v>
      </c>
      <c r="B1212" t="s">
        <v>5806</v>
      </c>
      <c r="C1212" t="s">
        <v>2125</v>
      </c>
      <c r="D1212" t="s">
        <v>3769</v>
      </c>
      <c r="E1212" s="4">
        <v>43465</v>
      </c>
      <c r="F1212" s="11">
        <v>-22.22479306</v>
      </c>
      <c r="G1212" s="11">
        <v>21.3036566</v>
      </c>
      <c r="H1212" s="11">
        <v>3.7321192472</v>
      </c>
      <c r="I1212" s="11">
        <v>23.130554908299999</v>
      </c>
      <c r="J1212" s="11">
        <v>7.0184099873000001</v>
      </c>
      <c r="K1212" s="10">
        <v>0.49164339239400001</v>
      </c>
      <c r="L1212" s="12">
        <v>3990827582.2800002</v>
      </c>
      <c r="M1212">
        <v>25.145064741279501</v>
      </c>
      <c r="N1212" s="7">
        <v>1.12267123136618</v>
      </c>
      <c r="O1212" s="7">
        <v>1.6872369977039099</v>
      </c>
      <c r="P1212" s="7">
        <v>12.576852917279</v>
      </c>
      <c r="Q1212" s="7">
        <v>0.56473829201101922</v>
      </c>
      <c r="U1212">
        <v>0.24737432714620025</v>
      </c>
      <c r="AT1212" s="4" t="s">
        <v>4751</v>
      </c>
    </row>
    <row r="1213" spans="1:46">
      <c r="A1213" s="2">
        <v>242</v>
      </c>
      <c r="B1213" t="s">
        <v>5807</v>
      </c>
      <c r="C1213" t="s">
        <v>3256</v>
      </c>
      <c r="D1213" t="s">
        <v>4119</v>
      </c>
      <c r="E1213" s="4">
        <v>43465</v>
      </c>
      <c r="F1213" s="11">
        <v>-13.15832496</v>
      </c>
      <c r="G1213" s="11">
        <v>21.262458469999999</v>
      </c>
      <c r="H1213" s="11">
        <v>1.0939442830999999</v>
      </c>
      <c r="I1213" s="11">
        <v>5.3973234437000004</v>
      </c>
      <c r="J1213" s="11">
        <v>2.3366485308999998</v>
      </c>
      <c r="K1213" s="10">
        <v>0.57045388048699996</v>
      </c>
      <c r="L1213" s="12">
        <v>11036077190</v>
      </c>
      <c r="M1213">
        <v>14.7306047676979</v>
      </c>
      <c r="N1213" s="7">
        <v>1.1069642968561999</v>
      </c>
      <c r="O1213" s="7">
        <v>0.25097063596925201</v>
      </c>
      <c r="P1213" s="7">
        <v>-3.8973564167954802</v>
      </c>
      <c r="Q1213" s="7">
        <v>1.1976047904191616</v>
      </c>
      <c r="U1213">
        <v>0.2097094399650557</v>
      </c>
      <c r="AT1213" s="4" t="s">
        <v>5745</v>
      </c>
    </row>
    <row r="1214" spans="1:46">
      <c r="A1214" s="2">
        <v>2465</v>
      </c>
      <c r="B1214" t="s">
        <v>5808</v>
      </c>
      <c r="C1214" t="s">
        <v>2983</v>
      </c>
      <c r="D1214" t="s">
        <v>4046</v>
      </c>
      <c r="E1214" s="4">
        <v>43465</v>
      </c>
      <c r="F1214" s="11">
        <v>-28.911208200000001</v>
      </c>
      <c r="G1214" s="11">
        <v>21.184210530000001</v>
      </c>
      <c r="H1214" s="11">
        <v>2.5665703029000002</v>
      </c>
      <c r="I1214" s="11">
        <v>12.961280671999999</v>
      </c>
      <c r="J1214" s="11">
        <v>1.7931181242000001</v>
      </c>
      <c r="K1214" s="10">
        <v>0.42683090353000003</v>
      </c>
      <c r="L1214" s="12">
        <v>4963135005.9799995</v>
      </c>
      <c r="M1214">
        <v>803.58802826452802</v>
      </c>
      <c r="N1214" s="7">
        <v>2.1980778992027399</v>
      </c>
      <c r="O1214" s="7">
        <v>2.8900445970297199</v>
      </c>
      <c r="P1214" s="7">
        <v>116.565670653217</v>
      </c>
      <c r="Q1214" s="7">
        <v>0.56882821387940841</v>
      </c>
      <c r="U1214">
        <v>3.6084005372506889E-2</v>
      </c>
      <c r="AT1214" s="4" t="s">
        <v>5809</v>
      </c>
    </row>
    <row r="1215" spans="1:46">
      <c r="A1215" s="2">
        <v>795</v>
      </c>
      <c r="B1215" t="s">
        <v>5810</v>
      </c>
      <c r="C1215" t="s">
        <v>2438</v>
      </c>
      <c r="D1215" t="s">
        <v>3849</v>
      </c>
      <c r="E1215" s="4">
        <v>43465</v>
      </c>
      <c r="F1215" s="11">
        <v>-42.597930249999997</v>
      </c>
      <c r="G1215" s="11">
        <v>21.176470590000001</v>
      </c>
      <c r="H1215" s="11">
        <v>-1.4904383918999999</v>
      </c>
      <c r="I1215" s="11">
        <v>12.982569977000001</v>
      </c>
      <c r="J1215" s="11">
        <v>0.3247929584</v>
      </c>
      <c r="K1215" s="10">
        <v>0.64491447758800002</v>
      </c>
      <c r="L1215" s="12">
        <v>23206707933.119999</v>
      </c>
      <c r="M1215">
        <v>469.34137875250099</v>
      </c>
      <c r="N1215" s="7">
        <v>1.20663238974718</v>
      </c>
      <c r="O1215" s="7">
        <v>0.76343606435924605</v>
      </c>
      <c r="P1215" s="7">
        <v>-289.068866216228</v>
      </c>
      <c r="Q1215" s="7" t="s">
        <v>3698</v>
      </c>
      <c r="U1215">
        <v>1.0800981249466884E-2</v>
      </c>
      <c r="AT1215" s="4" t="s">
        <v>5811</v>
      </c>
    </row>
    <row r="1216" spans="1:46">
      <c r="A1216" s="2">
        <v>2511</v>
      </c>
      <c r="B1216" t="s">
        <v>5812</v>
      </c>
      <c r="C1216" t="s">
        <v>438</v>
      </c>
      <c r="D1216" t="s">
        <v>3778</v>
      </c>
      <c r="E1216" s="4">
        <v>43465</v>
      </c>
      <c r="F1216" s="11">
        <v>0.99875166000000004</v>
      </c>
      <c r="G1216" s="11">
        <v>21.157684629999999</v>
      </c>
      <c r="H1216" s="11">
        <v>0.13967956970000001</v>
      </c>
      <c r="I1216" s="11">
        <v>33.901686190699998</v>
      </c>
      <c r="J1216" s="11">
        <v>15.5070203331</v>
      </c>
      <c r="K1216" s="10">
        <v>0.48036133301200001</v>
      </c>
      <c r="L1216" s="12">
        <v>2613659400</v>
      </c>
      <c r="M1216">
        <v>9.9226879273109301</v>
      </c>
      <c r="N1216" s="7">
        <v>1.2617933394569001</v>
      </c>
      <c r="O1216" s="7">
        <v>1.3430592724358601</v>
      </c>
      <c r="P1216" s="7">
        <v>19.727073587597602</v>
      </c>
      <c r="Q1216" s="7">
        <v>7.1174377224199299</v>
      </c>
      <c r="U1216">
        <v>0.57094560388521864</v>
      </c>
      <c r="AT1216" s="4" t="s">
        <v>5813</v>
      </c>
    </row>
    <row r="1217" spans="1:46">
      <c r="A1217" s="2">
        <v>2999</v>
      </c>
      <c r="B1217" t="s">
        <v>5814</v>
      </c>
      <c r="C1217" t="s">
        <v>996</v>
      </c>
      <c r="D1217" t="s">
        <v>3737</v>
      </c>
      <c r="E1217" s="4">
        <v>43465</v>
      </c>
      <c r="F1217" s="11">
        <v>-22.989995499999999</v>
      </c>
      <c r="G1217" s="11">
        <v>21.148459379999998</v>
      </c>
      <c r="H1217" s="11">
        <v>-20.2849202423</v>
      </c>
      <c r="I1217" s="11">
        <v>34.854428394800003</v>
      </c>
      <c r="J1217" s="11">
        <v>3.7612984673000001</v>
      </c>
      <c r="K1217" s="10">
        <v>1.1855598398589999</v>
      </c>
      <c r="L1217" s="12">
        <v>3382243104.2399998</v>
      </c>
      <c r="M1217">
        <v>29.288364743141798</v>
      </c>
      <c r="N1217" s="7">
        <v>1.9222840558252601</v>
      </c>
      <c r="O1217" s="7">
        <v>1.00120204105028</v>
      </c>
      <c r="P1217" s="7">
        <v>109.544401091316</v>
      </c>
      <c r="Q1217" s="7">
        <v>1.1799410029498525</v>
      </c>
      <c r="U1217">
        <v>0.52945551797734791</v>
      </c>
      <c r="AT1217" s="4" t="s">
        <v>5815</v>
      </c>
    </row>
    <row r="1218" spans="1:46">
      <c r="A1218" s="2">
        <v>2648</v>
      </c>
      <c r="B1218" t="s">
        <v>5816</v>
      </c>
      <c r="C1218" t="s">
        <v>1931</v>
      </c>
      <c r="D1218" t="s">
        <v>3778</v>
      </c>
      <c r="E1218" s="4">
        <v>43465</v>
      </c>
      <c r="F1218" s="11">
        <v>-36.543209879999999</v>
      </c>
      <c r="G1218" s="11">
        <v>21.126760560000001</v>
      </c>
      <c r="H1218" s="11">
        <v>16.031438425800001</v>
      </c>
      <c r="I1218" s="11">
        <v>9.9105925449000001</v>
      </c>
      <c r="J1218" s="11">
        <v>5.1391431361000004</v>
      </c>
      <c r="K1218" s="10">
        <v>0.65145681145199996</v>
      </c>
      <c r="L1218" s="12">
        <v>1737091276</v>
      </c>
      <c r="M1218">
        <v>37.7914427575556</v>
      </c>
      <c r="N1218" s="7">
        <v>0.96521867352192603</v>
      </c>
      <c r="O1218" s="7">
        <v>0.78081260390992502</v>
      </c>
      <c r="P1218" s="7">
        <v>24.320728480155001</v>
      </c>
      <c r="Q1218" s="7" t="s">
        <v>3698</v>
      </c>
      <c r="U1218">
        <v>0.10706391237769303</v>
      </c>
      <c r="AT1218" s="4" t="s">
        <v>5817</v>
      </c>
    </row>
    <row r="1219" spans="1:46">
      <c r="A1219" s="2">
        <v>1235</v>
      </c>
      <c r="B1219" t="s">
        <v>5818</v>
      </c>
      <c r="C1219" t="s">
        <v>2707</v>
      </c>
      <c r="D1219" t="s">
        <v>3849</v>
      </c>
      <c r="E1219" s="4">
        <v>43465</v>
      </c>
      <c r="F1219" s="11">
        <v>10.23549446</v>
      </c>
      <c r="G1219" s="11">
        <v>21.125</v>
      </c>
      <c r="H1219" s="11">
        <v>23.6099292281</v>
      </c>
      <c r="I1219" s="11">
        <v>18.275174497599998</v>
      </c>
      <c r="J1219" s="11">
        <v>4.8272810216000002</v>
      </c>
      <c r="K1219" s="10">
        <v>0.83366196485499999</v>
      </c>
      <c r="L1219" s="12">
        <v>4844000000</v>
      </c>
      <c r="M1219">
        <v>58.284656341467098</v>
      </c>
      <c r="N1219" s="7">
        <v>2.1433561193761701</v>
      </c>
      <c r="O1219" s="7">
        <v>2.2829689291503001</v>
      </c>
      <c r="P1219" s="7">
        <v>-14.9593632789759</v>
      </c>
      <c r="Q1219" s="7">
        <v>1.1185682326621924</v>
      </c>
      <c r="U1219">
        <v>0.18240043210937498</v>
      </c>
      <c r="AT1219" s="4" t="s">
        <v>3985</v>
      </c>
    </row>
    <row r="1220" spans="1:46">
      <c r="A1220" s="2">
        <v>2139</v>
      </c>
      <c r="B1220" t="s">
        <v>5819</v>
      </c>
      <c r="C1220" t="s">
        <v>484</v>
      </c>
      <c r="D1220" t="s">
        <v>3737</v>
      </c>
      <c r="E1220" s="4">
        <v>43465</v>
      </c>
      <c r="F1220" s="11">
        <v>17.03747353</v>
      </c>
      <c r="G1220" s="11">
        <v>21.0848969</v>
      </c>
      <c r="H1220" s="11">
        <v>75.024094626999997</v>
      </c>
      <c r="I1220" s="11">
        <v>57.816558322399999</v>
      </c>
      <c r="J1220" s="11">
        <v>28.122808222300002</v>
      </c>
      <c r="K1220" s="10">
        <v>0.71996048944500002</v>
      </c>
      <c r="L1220" s="12">
        <v>5588328187.8900003</v>
      </c>
      <c r="M1220">
        <v>59.206654236239103</v>
      </c>
      <c r="N1220" s="7">
        <v>9.9882178940790496</v>
      </c>
      <c r="O1220" s="7">
        <v>14.2129114304024</v>
      </c>
      <c r="P1220" s="7">
        <v>735.36931712466799</v>
      </c>
      <c r="Q1220" s="7">
        <v>0.23860665841743384</v>
      </c>
      <c r="U1220">
        <v>1.2123943057055064</v>
      </c>
      <c r="AT1220" s="4" t="s">
        <v>4866</v>
      </c>
    </row>
    <row r="1221" spans="1:46">
      <c r="A1221" s="2">
        <v>1867</v>
      </c>
      <c r="B1221" t="s">
        <v>5820</v>
      </c>
      <c r="C1221" t="s">
        <v>2876</v>
      </c>
      <c r="D1221" t="s">
        <v>3718</v>
      </c>
      <c r="E1221" s="4">
        <v>43465</v>
      </c>
      <c r="F1221" s="11">
        <v>-29.19644426</v>
      </c>
      <c r="G1221" s="11">
        <v>21.073401740000001</v>
      </c>
      <c r="H1221" s="11">
        <v>-16.5185381778</v>
      </c>
      <c r="I1221" s="11">
        <v>17.724556722799999</v>
      </c>
      <c r="J1221" s="11">
        <v>-44.755082503200001</v>
      </c>
      <c r="K1221" s="10">
        <v>0.36518481841900002</v>
      </c>
      <c r="L1221" s="12">
        <v>3132205920.8000002</v>
      </c>
      <c r="M1221">
        <v>-38.275727870469701</v>
      </c>
      <c r="N1221" s="7">
        <v>1.7513131626448799</v>
      </c>
      <c r="O1221" s="7">
        <v>2.0017003233747599</v>
      </c>
      <c r="P1221" s="7">
        <v>-70.284658419475207</v>
      </c>
      <c r="Q1221" s="7" t="s">
        <v>3698</v>
      </c>
      <c r="U1221">
        <v>-2.4139600950999998</v>
      </c>
      <c r="AT1221" s="4" t="s">
        <v>4315</v>
      </c>
    </row>
    <row r="1222" spans="1:46">
      <c r="A1222" s="2">
        <v>1181</v>
      </c>
      <c r="B1222" t="s">
        <v>5821</v>
      </c>
      <c r="C1222" t="s">
        <v>3356</v>
      </c>
      <c r="D1222" t="s">
        <v>3837</v>
      </c>
      <c r="E1222" s="4">
        <v>43465</v>
      </c>
      <c r="F1222" s="11">
        <v>-14.913980909999999</v>
      </c>
      <c r="G1222" s="11">
        <v>21.031746030000001</v>
      </c>
      <c r="H1222" s="11">
        <v>-35.317278545500002</v>
      </c>
      <c r="I1222" s="11" t="s">
        <v>3698</v>
      </c>
      <c r="J1222" s="11">
        <v>-44.9161686733</v>
      </c>
      <c r="K1222" s="10" t="s">
        <v>3698</v>
      </c>
      <c r="L1222" s="12">
        <v>14808456000</v>
      </c>
      <c r="M1222">
        <v>697.18011968570602</v>
      </c>
      <c r="N1222" s="7">
        <v>2.3437368393111</v>
      </c>
      <c r="O1222" s="7">
        <v>16.137780043018701</v>
      </c>
      <c r="P1222" s="7">
        <v>-25.1053125502266</v>
      </c>
      <c r="Q1222" s="7" t="s">
        <v>3698</v>
      </c>
      <c r="U1222">
        <v>-0.28126563754521183</v>
      </c>
      <c r="AT1222" s="4" t="s">
        <v>5181</v>
      </c>
    </row>
    <row r="1223" spans="1:46">
      <c r="A1223" s="2">
        <v>1503</v>
      </c>
      <c r="B1223" t="s">
        <v>5822</v>
      </c>
      <c r="C1223" t="s">
        <v>2145</v>
      </c>
      <c r="D1223" t="s">
        <v>3721</v>
      </c>
      <c r="E1223" s="4">
        <v>43465</v>
      </c>
      <c r="F1223" s="11">
        <v>14.32182961</v>
      </c>
      <c r="G1223" s="11">
        <v>21.02615694</v>
      </c>
      <c r="H1223" s="11">
        <v>16.397532309900001</v>
      </c>
      <c r="I1223" s="11">
        <v>42.709978025799998</v>
      </c>
      <c r="J1223" s="11">
        <v>10.888383730299999</v>
      </c>
      <c r="K1223" s="10">
        <v>0.409318478042</v>
      </c>
      <c r="L1223" s="12">
        <v>10611299442.84</v>
      </c>
      <c r="M1223">
        <v>71.599934375196</v>
      </c>
      <c r="N1223" s="7">
        <v>5.36838607733928</v>
      </c>
      <c r="O1223" s="7">
        <v>6.4007822930598497</v>
      </c>
      <c r="P1223" s="7">
        <v>74.195845965881503</v>
      </c>
      <c r="Q1223" s="7">
        <v>0.13325579246243055</v>
      </c>
      <c r="U1223">
        <v>0.17759030876280271</v>
      </c>
      <c r="AT1223" s="4" t="s">
        <v>4170</v>
      </c>
    </row>
    <row r="1224" spans="1:46">
      <c r="A1224" s="2">
        <v>3296</v>
      </c>
      <c r="B1224" t="s">
        <v>5823</v>
      </c>
      <c r="C1224" t="s">
        <v>337</v>
      </c>
      <c r="D1224" t="s">
        <v>3972</v>
      </c>
      <c r="E1224" s="4">
        <v>43465</v>
      </c>
      <c r="F1224" s="11">
        <v>3.0864222300000002</v>
      </c>
      <c r="G1224" s="11">
        <v>21.00456621</v>
      </c>
      <c r="H1224" s="11">
        <v>10.4052460236</v>
      </c>
      <c r="I1224" s="11">
        <v>31.2758293871</v>
      </c>
      <c r="J1224" s="11">
        <v>25.434083191900001</v>
      </c>
      <c r="K1224" s="10">
        <v>0.355959692085</v>
      </c>
      <c r="L1224" s="12">
        <v>5548157683.5200005</v>
      </c>
      <c r="M1224">
        <v>18.757148115686501</v>
      </c>
      <c r="N1224" s="7">
        <v>1.2595376755790499</v>
      </c>
      <c r="O1224" s="7">
        <v>2.63302428101747</v>
      </c>
      <c r="P1224" s="7">
        <v>-18.422886394101901</v>
      </c>
      <c r="Q1224" s="7">
        <v>6.2959076600209869</v>
      </c>
      <c r="U1224">
        <v>0.81248279987916439</v>
      </c>
      <c r="AT1224" s="4" t="s">
        <v>5824</v>
      </c>
    </row>
    <row r="1225" spans="1:46">
      <c r="A1225" s="2">
        <v>1583</v>
      </c>
      <c r="B1225" t="s">
        <v>5825</v>
      </c>
      <c r="C1225" t="s">
        <v>2322</v>
      </c>
      <c r="D1225" t="s">
        <v>3737</v>
      </c>
      <c r="E1225" s="4">
        <v>43465</v>
      </c>
      <c r="F1225" s="11">
        <v>-29.680002389999999</v>
      </c>
      <c r="G1225" s="11">
        <v>20.997375330000001</v>
      </c>
      <c r="H1225" s="11">
        <v>-8.3570586775999995</v>
      </c>
      <c r="I1225" s="11">
        <v>65.5571988242</v>
      </c>
      <c r="J1225" s="11">
        <v>-4.4017086686000004</v>
      </c>
      <c r="K1225" s="10">
        <v>0.46131754537500003</v>
      </c>
      <c r="L1225" s="12">
        <v>5839588084.1999998</v>
      </c>
      <c r="M1225">
        <v>38.2844539524461</v>
      </c>
      <c r="N1225" s="7">
        <v>1.3108734863075</v>
      </c>
      <c r="O1225" s="7">
        <v>1.05073473425915</v>
      </c>
      <c r="P1225" s="7">
        <v>40.822704842897203</v>
      </c>
      <c r="Q1225" s="7" t="s">
        <v>3698</v>
      </c>
      <c r="U1225">
        <v>-0.14272692088722583</v>
      </c>
      <c r="AT1225" s="4" t="s">
        <v>5601</v>
      </c>
    </row>
    <row r="1226" spans="1:46">
      <c r="A1226" s="2">
        <v>662</v>
      </c>
      <c r="B1226" t="s">
        <v>5826</v>
      </c>
      <c r="C1226" t="s">
        <v>3047</v>
      </c>
      <c r="D1226" t="s">
        <v>3713</v>
      </c>
      <c r="E1226" s="4">
        <v>43465</v>
      </c>
      <c r="F1226" s="11">
        <v>-20.73667785</v>
      </c>
      <c r="G1226" s="11">
        <v>20.99526066</v>
      </c>
      <c r="H1226" s="11">
        <v>38.4149565528</v>
      </c>
      <c r="I1226" s="11">
        <v>29.941851592100001</v>
      </c>
      <c r="J1226" s="11">
        <v>4.3086767893999998</v>
      </c>
      <c r="K1226" s="10">
        <v>0.46105518603000001</v>
      </c>
      <c r="L1226" s="12">
        <v>3747024758.9200001</v>
      </c>
      <c r="M1226">
        <v>3334.9894809683601</v>
      </c>
      <c r="N1226" s="7">
        <v>4.2970189079562999</v>
      </c>
      <c r="O1226" s="7">
        <v>3.6166852399179601</v>
      </c>
      <c r="P1226" s="7">
        <v>19.1273543249483</v>
      </c>
      <c r="Q1226" s="7">
        <v>0.33795502369386782</v>
      </c>
      <c r="U1226">
        <v>0.20791847338298103</v>
      </c>
      <c r="AT1226" s="4" t="s">
        <v>4249</v>
      </c>
    </row>
    <row r="1227" spans="1:46">
      <c r="A1227" s="2">
        <v>2254</v>
      </c>
      <c r="B1227" t="s">
        <v>5827</v>
      </c>
      <c r="C1227" t="s">
        <v>3378</v>
      </c>
      <c r="D1227" t="s">
        <v>3728</v>
      </c>
      <c r="E1227" s="4">
        <v>43465</v>
      </c>
      <c r="F1227" s="11">
        <v>-46.080760099999999</v>
      </c>
      <c r="G1227" s="11">
        <v>20.987654320000001</v>
      </c>
      <c r="H1227" s="11">
        <v>-5.6805084489000004</v>
      </c>
      <c r="I1227" s="11">
        <v>42.628170244499998</v>
      </c>
      <c r="J1227" s="11">
        <v>1.3043836039000001</v>
      </c>
      <c r="K1227" s="10">
        <v>0.33143532495099998</v>
      </c>
      <c r="L1227" s="12">
        <v>10112366870.709999</v>
      </c>
      <c r="M1227">
        <v>4702.1463713295498</v>
      </c>
      <c r="N1227" s="7">
        <v>3.6143332734947999</v>
      </c>
      <c r="O1227" s="7">
        <v>4.4745405513258998</v>
      </c>
      <c r="P1227" s="7">
        <v>-92.0421289341717</v>
      </c>
      <c r="Q1227" s="7" t="s">
        <v>3698</v>
      </c>
      <c r="U1227">
        <v>2.3902594916666665E-2</v>
      </c>
      <c r="AT1227" s="4" t="s">
        <v>5828</v>
      </c>
    </row>
    <row r="1228" spans="1:46">
      <c r="A1228" s="2">
        <v>2323</v>
      </c>
      <c r="B1228" t="s">
        <v>5829</v>
      </c>
      <c r="C1228" t="s">
        <v>928</v>
      </c>
      <c r="D1228" t="s">
        <v>3871</v>
      </c>
      <c r="E1228" s="4">
        <v>43465</v>
      </c>
      <c r="F1228" s="11">
        <v>-8.7310594800000008</v>
      </c>
      <c r="G1228" s="11">
        <v>20.987654320000001</v>
      </c>
      <c r="H1228" s="11">
        <v>-1.6495618010999999</v>
      </c>
      <c r="I1228" s="11">
        <v>34.283513017399997</v>
      </c>
      <c r="J1228" s="11">
        <v>16.625560019600002</v>
      </c>
      <c r="K1228" s="10">
        <v>0.108012751553</v>
      </c>
      <c r="L1228" s="12">
        <v>2725893122</v>
      </c>
      <c r="M1228">
        <v>13.2142741160495</v>
      </c>
      <c r="N1228" s="7">
        <v>1.0277281569622101</v>
      </c>
      <c r="O1228" s="7">
        <v>3.0318825126551601</v>
      </c>
      <c r="P1228" s="7">
        <v>-4.7509766760597296</v>
      </c>
      <c r="Q1228" s="7" t="s">
        <v>3698</v>
      </c>
      <c r="U1228">
        <v>0.24883437657031082</v>
      </c>
      <c r="AT1228" s="4" t="s">
        <v>5830</v>
      </c>
    </row>
    <row r="1229" spans="1:46">
      <c r="A1229" s="2">
        <v>2447</v>
      </c>
      <c r="B1229" t="s">
        <v>5831</v>
      </c>
      <c r="C1229" t="s">
        <v>3032</v>
      </c>
      <c r="D1229" t="s">
        <v>3998</v>
      </c>
      <c r="E1229" s="4">
        <v>43465</v>
      </c>
      <c r="F1229" s="11">
        <v>-45.340050380000001</v>
      </c>
      <c r="G1229" s="11">
        <v>20.903954800000001</v>
      </c>
      <c r="H1229" s="11">
        <v>69.0417356281</v>
      </c>
      <c r="I1229" s="11">
        <v>8.0253382469000005</v>
      </c>
      <c r="J1229" s="11">
        <v>1.8454753752999999</v>
      </c>
      <c r="K1229" s="10">
        <v>0.57817154148000005</v>
      </c>
      <c r="L1229" s="12">
        <v>9987690937.0499992</v>
      </c>
      <c r="M1229">
        <v>128.43646419828201</v>
      </c>
      <c r="N1229" s="7">
        <v>0.99368168585271199</v>
      </c>
      <c r="O1229" s="7">
        <v>1.34480299258953</v>
      </c>
      <c r="P1229" s="7">
        <v>2825.9155160734799</v>
      </c>
      <c r="Q1229" s="7" t="s">
        <v>3698</v>
      </c>
      <c r="U1229">
        <v>2.4056355804177285E-2</v>
      </c>
      <c r="AT1229" s="4" t="s">
        <v>5832</v>
      </c>
    </row>
    <row r="1230" spans="1:46">
      <c r="A1230" s="2">
        <v>811</v>
      </c>
      <c r="B1230" t="s">
        <v>5833</v>
      </c>
      <c r="C1230" t="s">
        <v>2293</v>
      </c>
      <c r="D1230" t="s">
        <v>3761</v>
      </c>
      <c r="E1230" s="4">
        <v>43465</v>
      </c>
      <c r="F1230" s="11">
        <v>-14.77767927</v>
      </c>
      <c r="G1230" s="11">
        <v>20.887245839999999</v>
      </c>
      <c r="H1230" s="11">
        <v>24.665570730500001</v>
      </c>
      <c r="I1230" s="11">
        <v>9.2367551477000003</v>
      </c>
      <c r="J1230" s="11">
        <v>2.3903080699000001</v>
      </c>
      <c r="K1230" s="10">
        <v>1.4469045085459999</v>
      </c>
      <c r="L1230" s="12">
        <v>2485760000</v>
      </c>
      <c r="M1230">
        <v>41.806768042383801</v>
      </c>
      <c r="N1230" s="7">
        <v>2.1957875351611298</v>
      </c>
      <c r="O1230" s="7">
        <v>0.59646376181564398</v>
      </c>
      <c r="P1230" s="7">
        <v>75.548585637612007</v>
      </c>
      <c r="Q1230" s="7">
        <v>1.7152658662092626</v>
      </c>
      <c r="U1230">
        <v>0.20793298374792704</v>
      </c>
      <c r="AT1230" s="4" t="s">
        <v>4875</v>
      </c>
    </row>
    <row r="1231" spans="1:46">
      <c r="A1231" s="2">
        <v>1322</v>
      </c>
      <c r="B1231" t="s">
        <v>5834</v>
      </c>
      <c r="C1231" t="s">
        <v>2089</v>
      </c>
      <c r="D1231" t="s">
        <v>3721</v>
      </c>
      <c r="E1231" s="4">
        <v>43465</v>
      </c>
      <c r="F1231" s="11">
        <v>27.226537400000002</v>
      </c>
      <c r="G1231" s="11">
        <v>20.861244020000001</v>
      </c>
      <c r="H1231" s="11">
        <v>18.099222541700001</v>
      </c>
      <c r="I1231" s="11">
        <v>18.393024885399999</v>
      </c>
      <c r="J1231" s="11">
        <v>6.0041905334000001</v>
      </c>
      <c r="K1231" s="10">
        <v>1.2661330830690001</v>
      </c>
      <c r="L1231" s="12">
        <v>9893466603.3299999</v>
      </c>
      <c r="M1231">
        <v>82.608413854092902</v>
      </c>
      <c r="N1231" s="7">
        <v>5.0201763447466003</v>
      </c>
      <c r="O1231" s="7">
        <v>2.9381948908851401</v>
      </c>
      <c r="P1231" s="7">
        <v>-138.758176093407</v>
      </c>
      <c r="Q1231" s="7">
        <v>0.12596845074174615</v>
      </c>
      <c r="U1231">
        <v>0.41123287810958375</v>
      </c>
      <c r="AT1231" s="4" t="s">
        <v>5835</v>
      </c>
    </row>
    <row r="1232" spans="1:46">
      <c r="A1232" s="2">
        <v>3300</v>
      </c>
      <c r="B1232" t="s">
        <v>5836</v>
      </c>
      <c r="C1232" t="s">
        <v>1052</v>
      </c>
      <c r="D1232" t="s">
        <v>3849</v>
      </c>
      <c r="E1232" s="4">
        <v>43465</v>
      </c>
      <c r="F1232" s="11">
        <v>-18.60874888</v>
      </c>
      <c r="G1232" s="11">
        <v>20.812182740000001</v>
      </c>
      <c r="H1232" s="11">
        <v>-16.807356165600002</v>
      </c>
      <c r="I1232" s="11">
        <v>18.6033510394</v>
      </c>
      <c r="J1232" s="11">
        <v>2.7491691040999999</v>
      </c>
      <c r="K1232" s="10">
        <v>0.62390438756699995</v>
      </c>
      <c r="L1232" s="12">
        <v>1519000000</v>
      </c>
      <c r="M1232">
        <v>33.744495238169399</v>
      </c>
      <c r="N1232" s="7">
        <v>2.3740459933142199</v>
      </c>
      <c r="O1232" s="7">
        <v>1.3394790187549299</v>
      </c>
      <c r="P1232" s="7">
        <v>63.872632434104901</v>
      </c>
      <c r="Q1232" s="7">
        <v>0.5614006929885289</v>
      </c>
      <c r="U1232">
        <v>0.18763625436740317</v>
      </c>
      <c r="AT1232" s="4" t="s">
        <v>4857</v>
      </c>
    </row>
    <row r="1233" spans="1:46">
      <c r="A1233" s="2">
        <v>1895</v>
      </c>
      <c r="B1233" t="s">
        <v>5837</v>
      </c>
      <c r="C1233" t="s">
        <v>784</v>
      </c>
      <c r="D1233" t="s">
        <v>3718</v>
      </c>
      <c r="E1233" s="4">
        <v>43465</v>
      </c>
      <c r="F1233" s="11">
        <v>27.297484959999998</v>
      </c>
      <c r="G1233" s="11">
        <v>20.808988759999998</v>
      </c>
      <c r="H1233" s="11">
        <v>42.087444134599998</v>
      </c>
      <c r="I1233" s="11">
        <v>53.334126066400003</v>
      </c>
      <c r="J1233" s="11">
        <v>24.258471193599998</v>
      </c>
      <c r="K1233" s="10">
        <v>0.51467604384999999</v>
      </c>
      <c r="L1233" s="12">
        <v>24594925939.630001</v>
      </c>
      <c r="M1233">
        <v>26.262249034609201</v>
      </c>
      <c r="N1233" s="7">
        <v>4.1020634703801502</v>
      </c>
      <c r="O1233" s="7">
        <v>6.5367484217164904</v>
      </c>
      <c r="P1233" s="7">
        <v>-17.717600447131399</v>
      </c>
      <c r="Q1233" s="7">
        <v>0.69958847736625507</v>
      </c>
      <c r="U1233">
        <v>0.88765425889472149</v>
      </c>
      <c r="AT1233" s="4" t="s">
        <v>5294</v>
      </c>
    </row>
    <row r="1234" spans="1:46">
      <c r="A1234" s="2">
        <v>2979</v>
      </c>
      <c r="B1234" t="s">
        <v>5838</v>
      </c>
      <c r="C1234" t="s">
        <v>603</v>
      </c>
      <c r="D1234" t="s">
        <v>3837</v>
      </c>
      <c r="E1234" s="4">
        <v>43465</v>
      </c>
      <c r="F1234" s="11">
        <v>6.3604567699999999</v>
      </c>
      <c r="G1234" s="11">
        <v>20.77051926</v>
      </c>
      <c r="H1234" s="11">
        <v>4.0922260273999997</v>
      </c>
      <c r="I1234" s="11" t="s">
        <v>3698</v>
      </c>
      <c r="J1234" s="11">
        <v>37.6519206173</v>
      </c>
      <c r="K1234" s="10" t="s">
        <v>3698</v>
      </c>
      <c r="L1234" s="12">
        <v>10551902722.48</v>
      </c>
      <c r="M1234">
        <v>5.3660755502358803</v>
      </c>
      <c r="N1234" s="7">
        <v>0.67143321802123401</v>
      </c>
      <c r="O1234" s="7">
        <v>2.0109670797802899</v>
      </c>
      <c r="P1234" s="7">
        <v>-1.16727428288085</v>
      </c>
      <c r="Q1234" s="7">
        <v>4.9275233642249772</v>
      </c>
      <c r="U1234">
        <v>1.1317070107280989</v>
      </c>
      <c r="AT1234" s="4" t="s">
        <v>3729</v>
      </c>
    </row>
    <row r="1235" spans="1:46">
      <c r="A1235" s="2">
        <v>3009</v>
      </c>
      <c r="B1235" t="s">
        <v>5839</v>
      </c>
      <c r="C1235" t="s">
        <v>1837</v>
      </c>
      <c r="D1235" t="s">
        <v>3790</v>
      </c>
      <c r="E1235" s="4">
        <v>43465</v>
      </c>
      <c r="F1235" s="11">
        <v>-36.067323610000003</v>
      </c>
      <c r="G1235" s="11">
        <v>20.763723150000001</v>
      </c>
      <c r="H1235" s="11">
        <v>50.051182350099999</v>
      </c>
      <c r="I1235" s="11">
        <v>10.0349412971</v>
      </c>
      <c r="J1235" s="11">
        <v>2.0141039924999999</v>
      </c>
      <c r="K1235" s="10">
        <v>1.3557912427130001</v>
      </c>
      <c r="L1235" s="12">
        <v>5101583246.3699999</v>
      </c>
      <c r="M1235">
        <v>14.2494045148414</v>
      </c>
      <c r="N1235" s="7">
        <v>2.3110405784082602</v>
      </c>
      <c r="O1235" s="7">
        <v>0.40990247201028701</v>
      </c>
      <c r="P1235" s="7">
        <v>21.5813023287124</v>
      </c>
      <c r="Q1235" s="7">
        <v>0.2088283615438675</v>
      </c>
      <c r="U1235">
        <v>0.19830969948546509</v>
      </c>
      <c r="AT1235" s="4" t="s">
        <v>5840</v>
      </c>
    </row>
    <row r="1236" spans="1:46">
      <c r="A1236" s="2">
        <v>3485</v>
      </c>
      <c r="B1236" t="s">
        <v>5841</v>
      </c>
      <c r="C1236" t="s">
        <v>1502</v>
      </c>
      <c r="D1236" t="s">
        <v>3718</v>
      </c>
      <c r="E1236" s="4">
        <v>43465</v>
      </c>
      <c r="F1236" s="11">
        <v>-41.936918060000004</v>
      </c>
      <c r="G1236" s="11">
        <v>20.754716980000001</v>
      </c>
      <c r="H1236" s="11">
        <v>19.877837956099999</v>
      </c>
      <c r="I1236" s="11">
        <v>22.9106203284</v>
      </c>
      <c r="J1236" s="11">
        <v>7.4313746050000002</v>
      </c>
      <c r="K1236" s="10">
        <v>0.58590883475900002</v>
      </c>
      <c r="L1236" s="12">
        <v>4999984554.3999996</v>
      </c>
      <c r="M1236">
        <v>22.569536955113598</v>
      </c>
      <c r="N1236" s="7">
        <v>1.64657507261105</v>
      </c>
      <c r="O1236" s="7">
        <v>1.62650634058829</v>
      </c>
      <c r="P1236" s="7">
        <v>-51.6145396870578</v>
      </c>
      <c r="Q1236" s="7">
        <v>2.0176544766708702</v>
      </c>
      <c r="U1236">
        <v>0.38868678998175737</v>
      </c>
      <c r="AT1236" s="4" t="s">
        <v>4888</v>
      </c>
    </row>
    <row r="1237" spans="1:46">
      <c r="A1237" s="2">
        <v>2941</v>
      </c>
      <c r="B1237" t="s">
        <v>5842</v>
      </c>
      <c r="C1237" t="s">
        <v>3048</v>
      </c>
      <c r="D1237" t="s">
        <v>3764</v>
      </c>
      <c r="E1237" s="4">
        <v>43465</v>
      </c>
      <c r="F1237" s="11">
        <v>-13.549459880000001</v>
      </c>
      <c r="G1237" s="11">
        <v>20.701754390000001</v>
      </c>
      <c r="H1237" s="11">
        <v>-8.1899505625</v>
      </c>
      <c r="I1237" s="11">
        <v>32.9021662595</v>
      </c>
      <c r="J1237" s="11">
        <v>11.970611809799999</v>
      </c>
      <c r="K1237" s="10">
        <v>9.3835265057000003E-2</v>
      </c>
      <c r="L1237" s="12">
        <v>12365707681.48</v>
      </c>
      <c r="M1237">
        <v>1312.2884977834401</v>
      </c>
      <c r="N1237" s="7">
        <v>2.3647476609209899</v>
      </c>
      <c r="O1237" s="7">
        <v>24.227145190148601</v>
      </c>
      <c r="P1237" s="7">
        <v>275.15269921833402</v>
      </c>
      <c r="Q1237" s="7">
        <v>0.11730205278592376</v>
      </c>
      <c r="U1237">
        <v>1.1533945871686904E-2</v>
      </c>
      <c r="AT1237" s="4" t="s">
        <v>5843</v>
      </c>
    </row>
    <row r="1238" spans="1:46">
      <c r="A1238" s="2">
        <v>1327</v>
      </c>
      <c r="B1238" t="s">
        <v>5844</v>
      </c>
      <c r="C1238" t="s">
        <v>2172</v>
      </c>
      <c r="D1238" t="s">
        <v>3769</v>
      </c>
      <c r="E1238" s="4">
        <v>43465</v>
      </c>
      <c r="F1238" s="11">
        <v>-45.99011041</v>
      </c>
      <c r="G1238" s="11">
        <v>20.700985759999998</v>
      </c>
      <c r="H1238" s="11">
        <v>26.590091248299998</v>
      </c>
      <c r="I1238" s="11">
        <v>14.8894278814</v>
      </c>
      <c r="J1238" s="11">
        <v>1.7925482732</v>
      </c>
      <c r="K1238" s="10">
        <v>1.059961627983</v>
      </c>
      <c r="L1238" s="12">
        <v>2451600000</v>
      </c>
      <c r="M1238">
        <v>44.977672284720398</v>
      </c>
      <c r="N1238" s="7">
        <v>2.2609110553298502</v>
      </c>
      <c r="O1238" s="7">
        <v>1.6933970265064899</v>
      </c>
      <c r="P1238" s="7">
        <v>94.5806652620753</v>
      </c>
      <c r="Q1238" s="7">
        <v>0.21234443052279625</v>
      </c>
      <c r="U1238">
        <v>0.10202112517433809</v>
      </c>
      <c r="AT1238" s="4" t="s">
        <v>5845</v>
      </c>
    </row>
    <row r="1239" spans="1:46">
      <c r="A1239" s="2">
        <v>966</v>
      </c>
      <c r="B1239" t="s">
        <v>5846</v>
      </c>
      <c r="C1239" t="s">
        <v>1560</v>
      </c>
      <c r="D1239" t="s">
        <v>3752</v>
      </c>
      <c r="E1239" s="4">
        <v>43465</v>
      </c>
      <c r="F1239" s="11">
        <v>-32.10511486</v>
      </c>
      <c r="G1239" s="11">
        <v>20.67594433</v>
      </c>
      <c r="H1239" s="11">
        <v>22.834907641099999</v>
      </c>
      <c r="I1239" s="11">
        <v>10.923622376599999</v>
      </c>
      <c r="J1239" s="11">
        <v>3.4953968005</v>
      </c>
      <c r="K1239" s="10">
        <v>1.1117265634889999</v>
      </c>
      <c r="L1239" s="12">
        <v>9975682521.2000008</v>
      </c>
      <c r="M1239">
        <v>28.596909209412601</v>
      </c>
      <c r="N1239" s="7">
        <v>1.9388956940375801</v>
      </c>
      <c r="O1239" s="7">
        <v>0.87062384182822306</v>
      </c>
      <c r="P1239" s="7">
        <v>-6.7297135475889096</v>
      </c>
      <c r="Q1239" s="7">
        <v>1.834862385321101</v>
      </c>
      <c r="U1239">
        <v>0.2046808216135792</v>
      </c>
      <c r="AT1239" s="4" t="s">
        <v>4319</v>
      </c>
    </row>
    <row r="1240" spans="1:46">
      <c r="A1240" s="2">
        <v>3577</v>
      </c>
      <c r="B1240" t="s">
        <v>5847</v>
      </c>
      <c r="C1240" t="s">
        <v>1506</v>
      </c>
      <c r="D1240" t="s">
        <v>3752</v>
      </c>
      <c r="E1240" s="4">
        <v>43465</v>
      </c>
      <c r="F1240" s="11">
        <v>-3.6028164299999998</v>
      </c>
      <c r="G1240" s="11">
        <v>20.636550310000001</v>
      </c>
      <c r="H1240" s="11">
        <v>8.7807189773999994</v>
      </c>
      <c r="I1240" s="11">
        <v>15.8917007968</v>
      </c>
      <c r="J1240" s="11">
        <v>6.1495053101000003</v>
      </c>
      <c r="K1240" s="10">
        <v>1.035956875416</v>
      </c>
      <c r="L1240" s="12">
        <v>3277893500</v>
      </c>
      <c r="M1240">
        <v>42.096014679594902</v>
      </c>
      <c r="N1240" s="7">
        <v>2.61366209599348</v>
      </c>
      <c r="O1240" s="7">
        <v>2.3499524535552299</v>
      </c>
      <c r="P1240" s="7">
        <v>-323187.63436803099</v>
      </c>
      <c r="Q1240" s="7">
        <v>0.43061977258354633</v>
      </c>
      <c r="U1240">
        <v>0.25982811729166666</v>
      </c>
      <c r="AT1240" s="4" t="s">
        <v>5848</v>
      </c>
    </row>
    <row r="1241" spans="1:46">
      <c r="A1241" s="2">
        <v>2467</v>
      </c>
      <c r="B1241" t="s">
        <v>5849</v>
      </c>
      <c r="C1241" t="s">
        <v>229</v>
      </c>
      <c r="D1241" t="s">
        <v>3752</v>
      </c>
      <c r="E1241" s="4">
        <v>43465</v>
      </c>
      <c r="F1241" s="11">
        <v>87.434932349999997</v>
      </c>
      <c r="G1241" s="11">
        <v>20.603773579999999</v>
      </c>
      <c r="H1241" s="11">
        <v>26.509018725000001</v>
      </c>
      <c r="I1241" s="11">
        <v>12.742401324199999</v>
      </c>
      <c r="J1241" s="11">
        <v>5.6644282617000004</v>
      </c>
      <c r="K1241" s="10">
        <v>0.82893307622599999</v>
      </c>
      <c r="L1241" s="12">
        <v>3975820200</v>
      </c>
      <c r="M1241">
        <v>17.686843049554898</v>
      </c>
      <c r="N1241" s="7">
        <v>2.42678914692037</v>
      </c>
      <c r="O1241" s="7">
        <v>1.99769985547033</v>
      </c>
      <c r="P1241" s="7">
        <v>5.6936663269238403</v>
      </c>
      <c r="Q1241" s="7">
        <v>1.5348915821048688</v>
      </c>
      <c r="U1241">
        <v>0.65757945795262807</v>
      </c>
      <c r="AT1241" s="4" t="s">
        <v>5850</v>
      </c>
    </row>
    <row r="1242" spans="1:46">
      <c r="A1242" s="2">
        <v>1718</v>
      </c>
      <c r="B1242" t="s">
        <v>5851</v>
      </c>
      <c r="C1242" t="s">
        <v>2004</v>
      </c>
      <c r="D1242" t="s">
        <v>3718</v>
      </c>
      <c r="E1242" s="4">
        <v>43465</v>
      </c>
      <c r="F1242" s="11">
        <v>-27.2660619</v>
      </c>
      <c r="G1242" s="11">
        <v>20.58823529</v>
      </c>
      <c r="H1242" s="11">
        <v>28.090241560900001</v>
      </c>
      <c r="I1242" s="11">
        <v>25.598220794500001</v>
      </c>
      <c r="J1242" s="11">
        <v>1.3147894687999999</v>
      </c>
      <c r="K1242" s="10">
        <v>0.70767510524400001</v>
      </c>
      <c r="L1242" s="12">
        <v>3995169664.96</v>
      </c>
      <c r="M1242">
        <v>-582.01991921329</v>
      </c>
      <c r="N1242" s="7">
        <v>3.8639725419322701</v>
      </c>
      <c r="O1242" s="7">
        <v>1.0807069685823301</v>
      </c>
      <c r="P1242" s="7">
        <v>15.7399274598764</v>
      </c>
      <c r="Q1242" s="7">
        <v>0.26737967914438499</v>
      </c>
      <c r="U1242">
        <v>5.9856465592592598E-2</v>
      </c>
      <c r="AT1242" s="4" t="s">
        <v>5852</v>
      </c>
    </row>
    <row r="1243" spans="1:46">
      <c r="A1243" s="2">
        <v>2819</v>
      </c>
      <c r="B1243" t="s">
        <v>5853</v>
      </c>
      <c r="C1243" t="s">
        <v>3331</v>
      </c>
      <c r="D1243" t="s">
        <v>3752</v>
      </c>
      <c r="E1243" s="4">
        <v>43465</v>
      </c>
      <c r="F1243" s="11">
        <v>-9.9489821599999999</v>
      </c>
      <c r="G1243" s="11">
        <v>20.557491290000002</v>
      </c>
      <c r="H1243" s="11">
        <v>-38.978129139499998</v>
      </c>
      <c r="I1243" s="11">
        <v>6.9533517961999998</v>
      </c>
      <c r="J1243" s="11">
        <v>0.75542394800000001</v>
      </c>
      <c r="K1243" s="10">
        <v>0.80401847843700003</v>
      </c>
      <c r="L1243" s="12">
        <v>2412009510</v>
      </c>
      <c r="M1243">
        <v>-681.90381535037704</v>
      </c>
      <c r="N1243" s="7">
        <v>3.7408175403694499</v>
      </c>
      <c r="O1243" s="7">
        <v>3.1397830676480001</v>
      </c>
      <c r="P1243" s="7">
        <v>-21.141879156077302</v>
      </c>
      <c r="Q1243" s="7" t="s">
        <v>3698</v>
      </c>
      <c r="U1243">
        <v>1.1693750149059406E-2</v>
      </c>
      <c r="AT1243" s="4" t="s">
        <v>5854</v>
      </c>
    </row>
    <row r="1244" spans="1:46">
      <c r="A1244" s="2">
        <v>3011</v>
      </c>
      <c r="B1244" t="s">
        <v>5855</v>
      </c>
      <c r="C1244" t="s">
        <v>2117</v>
      </c>
      <c r="D1244" t="s">
        <v>3769</v>
      </c>
      <c r="E1244" s="4">
        <v>43465</v>
      </c>
      <c r="F1244" s="11">
        <v>-21.894409939999999</v>
      </c>
      <c r="G1244" s="11">
        <v>20.551378450000001</v>
      </c>
      <c r="H1244" s="11">
        <v>-16.772003545</v>
      </c>
      <c r="I1244" s="11">
        <v>19.502397455099999</v>
      </c>
      <c r="J1244" s="11">
        <v>-5.2761685011999999</v>
      </c>
      <c r="K1244" s="10">
        <v>0.34357784884999998</v>
      </c>
      <c r="L1244" s="12">
        <v>5316106642</v>
      </c>
      <c r="M1244">
        <v>31.8761076786652</v>
      </c>
      <c r="N1244" s="7">
        <v>2.6370677708755199</v>
      </c>
      <c r="O1244" s="7">
        <v>2.46357535870913</v>
      </c>
      <c r="P1244" s="7">
        <v>-17.5171815122374</v>
      </c>
      <c r="Q1244" s="7" t="s">
        <v>3698</v>
      </c>
      <c r="U1244">
        <v>-9.3276101592108709E-2</v>
      </c>
      <c r="AT1244" s="4" t="s">
        <v>5856</v>
      </c>
    </row>
    <row r="1245" spans="1:46">
      <c r="A1245" s="2">
        <v>3456</v>
      </c>
      <c r="B1245" t="s">
        <v>5857</v>
      </c>
      <c r="C1245" t="s">
        <v>641</v>
      </c>
      <c r="D1245" t="s">
        <v>4060</v>
      </c>
      <c r="E1245" s="4">
        <v>43465</v>
      </c>
      <c r="F1245" s="11">
        <v>-22.465798199999998</v>
      </c>
      <c r="G1245" s="11">
        <v>20.538165840000001</v>
      </c>
      <c r="H1245" s="11">
        <v>3.5097472645000001</v>
      </c>
      <c r="I1245" s="11">
        <v>30.6960448118</v>
      </c>
      <c r="J1245" s="11">
        <v>17.255154640200001</v>
      </c>
      <c r="K1245" s="10">
        <v>0.63382391572399999</v>
      </c>
      <c r="L1245" s="12">
        <v>83582036264.279999</v>
      </c>
      <c r="M1245">
        <v>29.3744847202728</v>
      </c>
      <c r="N1245" s="7">
        <v>3.0303108273660402</v>
      </c>
      <c r="O1245" s="7">
        <v>4.32732357093409</v>
      </c>
      <c r="P1245" s="7">
        <v>264.82473621945599</v>
      </c>
      <c r="Q1245" s="7">
        <v>1.3882461823229986</v>
      </c>
      <c r="U1245">
        <v>0.75107294364451971</v>
      </c>
      <c r="AT1245" s="4" t="s">
        <v>4923</v>
      </c>
    </row>
    <row r="1246" spans="1:46">
      <c r="A1246" s="2">
        <v>711</v>
      </c>
      <c r="B1246" t="s">
        <v>5858</v>
      </c>
      <c r="C1246" t="s">
        <v>3647</v>
      </c>
      <c r="D1246" t="s">
        <v>3858</v>
      </c>
      <c r="E1246" s="4">
        <v>43465</v>
      </c>
      <c r="F1246" s="11">
        <v>-45.286059629999997</v>
      </c>
      <c r="G1246" s="11">
        <v>20.535714290000001</v>
      </c>
      <c r="H1246" s="11">
        <v>12.4802719865</v>
      </c>
      <c r="I1246" s="11">
        <v>13.8023581761</v>
      </c>
      <c r="J1246" s="11">
        <v>-29.9823516728</v>
      </c>
      <c r="K1246" s="10">
        <v>0.220716292698</v>
      </c>
      <c r="L1246" s="12">
        <v>6572954110.5600004</v>
      </c>
      <c r="M1246">
        <v>-1.7810519958413999</v>
      </c>
      <c r="N1246" s="7">
        <v>6.5041662989022901</v>
      </c>
      <c r="O1246" s="7">
        <v>2.18293284299649</v>
      </c>
      <c r="P1246" s="7">
        <v>-22.289907274612698</v>
      </c>
      <c r="Q1246" s="7" t="s">
        <v>3698</v>
      </c>
      <c r="U1246">
        <v>-1.3870428191291626</v>
      </c>
      <c r="AT1246" s="4" t="s">
        <v>5859</v>
      </c>
    </row>
    <row r="1247" spans="1:46">
      <c r="A1247" s="2">
        <v>1946</v>
      </c>
      <c r="B1247" t="s">
        <v>5860</v>
      </c>
      <c r="C1247" t="s">
        <v>2679</v>
      </c>
      <c r="D1247" t="s">
        <v>3718</v>
      </c>
      <c r="E1247" s="4">
        <v>43465</v>
      </c>
      <c r="F1247" s="11">
        <v>-36.995904320000001</v>
      </c>
      <c r="G1247" s="11">
        <v>20.501138950000001</v>
      </c>
      <c r="H1247" s="11">
        <v>-3.4894160158999998</v>
      </c>
      <c r="I1247" s="11">
        <v>49.849479261900001</v>
      </c>
      <c r="J1247" s="11">
        <v>14.6290175458</v>
      </c>
      <c r="K1247" s="10">
        <v>0.30770752646600003</v>
      </c>
      <c r="L1247" s="12">
        <v>2791700722.6500001</v>
      </c>
      <c r="M1247">
        <v>60.903844674563402</v>
      </c>
      <c r="N1247" s="7">
        <v>2.46642092743136</v>
      </c>
      <c r="O1247" s="7">
        <v>7.4235535563650696</v>
      </c>
      <c r="P1247" s="7">
        <v>-39.209118110932501</v>
      </c>
      <c r="Q1247" s="7">
        <v>0.36534446764091855</v>
      </c>
      <c r="U1247">
        <v>0.17668988249999998</v>
      </c>
      <c r="AT1247" s="4" t="s">
        <v>5861</v>
      </c>
    </row>
    <row r="1248" spans="1:46">
      <c r="A1248" s="2">
        <v>339</v>
      </c>
      <c r="B1248" t="s">
        <v>5862</v>
      </c>
      <c r="C1248" t="s">
        <v>3423</v>
      </c>
      <c r="D1248" t="s">
        <v>3718</v>
      </c>
      <c r="E1248" s="4">
        <v>43465</v>
      </c>
      <c r="F1248" s="11">
        <v>-17.433772189999999</v>
      </c>
      <c r="G1248" s="11">
        <v>20.438683950000001</v>
      </c>
      <c r="H1248" s="11">
        <v>40.333666245000003</v>
      </c>
      <c r="I1248" s="11">
        <v>20.408962216900001</v>
      </c>
      <c r="J1248" s="11">
        <v>8.3980631276000004</v>
      </c>
      <c r="K1248" s="10">
        <v>0.56749549551099998</v>
      </c>
      <c r="L1248" s="12">
        <v>6548612942.5500002</v>
      </c>
      <c r="M1248">
        <v>46.503906182519998</v>
      </c>
      <c r="N1248" s="7">
        <v>2.8359244432658999</v>
      </c>
      <c r="O1248" s="7">
        <v>3.3103560005735102</v>
      </c>
      <c r="P1248" s="7">
        <v>-71.035016328280605</v>
      </c>
      <c r="Q1248" s="7">
        <v>0.7785467128027681</v>
      </c>
      <c r="U1248">
        <v>0.26860094241945748</v>
      </c>
      <c r="AT1248" s="4" t="s">
        <v>5863</v>
      </c>
    </row>
    <row r="1249" spans="1:46">
      <c r="A1249" s="2">
        <v>3253</v>
      </c>
      <c r="B1249" t="s">
        <v>5864</v>
      </c>
      <c r="C1249" t="s">
        <v>2099</v>
      </c>
      <c r="D1249" t="s">
        <v>3721</v>
      </c>
      <c r="E1249" s="4">
        <v>43465</v>
      </c>
      <c r="F1249" s="11">
        <v>-15.776907899999999</v>
      </c>
      <c r="G1249" s="11">
        <v>20.34662045</v>
      </c>
      <c r="H1249" s="11">
        <v>8.2970917113000002</v>
      </c>
      <c r="I1249" s="11">
        <v>30.5858555756</v>
      </c>
      <c r="J1249" s="11">
        <v>10.3354058457</v>
      </c>
      <c r="K1249" s="10">
        <v>0.40573695601600002</v>
      </c>
      <c r="L1249" s="12">
        <v>1994056728</v>
      </c>
      <c r="M1249">
        <v>81.228770518182003</v>
      </c>
      <c r="N1249" s="7">
        <v>3.1481419200577401</v>
      </c>
      <c r="O1249" s="7">
        <v>6.58918772554469</v>
      </c>
      <c r="P1249" s="7">
        <v>22.915131378158499</v>
      </c>
      <c r="Q1249" s="7">
        <v>0.38359247135842883</v>
      </c>
      <c r="U1249">
        <v>0.47527503214285716</v>
      </c>
      <c r="AT1249" s="4" t="s">
        <v>5643</v>
      </c>
    </row>
    <row r="1250" spans="1:46">
      <c r="A1250" s="2">
        <v>1023</v>
      </c>
      <c r="B1250" t="s">
        <v>5865</v>
      </c>
      <c r="C1250" t="s">
        <v>3554</v>
      </c>
      <c r="D1250" t="s">
        <v>3721</v>
      </c>
      <c r="E1250" s="4">
        <v>43465</v>
      </c>
      <c r="F1250" s="11">
        <v>-64.157675339999997</v>
      </c>
      <c r="G1250" s="11">
        <v>20.33898305</v>
      </c>
      <c r="H1250" s="11">
        <v>-16.3521293475</v>
      </c>
      <c r="I1250" s="11">
        <v>9.1973429807000002</v>
      </c>
      <c r="J1250" s="11">
        <v>-63.221404103099999</v>
      </c>
      <c r="K1250" s="10">
        <v>0.42070181027600001</v>
      </c>
      <c r="L1250" s="12">
        <v>3272465308.8600001</v>
      </c>
      <c r="M1250">
        <v>-18.588384653821102</v>
      </c>
      <c r="N1250" s="7">
        <v>6.9544833491113804</v>
      </c>
      <c r="O1250" s="7">
        <v>1.77447736735476</v>
      </c>
      <c r="P1250" s="7">
        <v>-15.0229636654225</v>
      </c>
      <c r="Q1250" s="7" t="s">
        <v>3698</v>
      </c>
      <c r="U1250">
        <v>-1.5902798482115528</v>
      </c>
      <c r="AT1250" s="4" t="s">
        <v>5431</v>
      </c>
    </row>
    <row r="1251" spans="1:46">
      <c r="A1251" s="2">
        <v>3150</v>
      </c>
      <c r="B1251" t="s">
        <v>5866</v>
      </c>
      <c r="C1251" t="s">
        <v>1067</v>
      </c>
      <c r="D1251" t="s">
        <v>3858</v>
      </c>
      <c r="E1251" s="4">
        <v>43465</v>
      </c>
      <c r="F1251" s="11">
        <v>-12.597654240000001</v>
      </c>
      <c r="G1251" s="11">
        <v>20.322580649999999</v>
      </c>
      <c r="H1251" s="11">
        <v>5.3952132785</v>
      </c>
      <c r="I1251" s="11">
        <v>8.5484858371999994</v>
      </c>
      <c r="J1251" s="11">
        <v>1.4143190964000001</v>
      </c>
      <c r="K1251" s="10">
        <v>1.0904528584269999</v>
      </c>
      <c r="L1251" s="12">
        <v>2445026400</v>
      </c>
      <c r="M1251">
        <v>15.6238920415951</v>
      </c>
      <c r="N1251" s="7">
        <v>1.1757834145853501</v>
      </c>
      <c r="O1251" s="7">
        <v>0.19048629982424101</v>
      </c>
      <c r="P1251" s="7">
        <v>27.447299384010599</v>
      </c>
      <c r="Q1251" s="7">
        <v>1.9444444444444444</v>
      </c>
      <c r="U1251">
        <v>0.22493021665232357</v>
      </c>
      <c r="AT1251" s="4" t="s">
        <v>5867</v>
      </c>
    </row>
    <row r="1252" spans="1:46">
      <c r="A1252" s="2">
        <v>72</v>
      </c>
      <c r="B1252" t="s">
        <v>5868</v>
      </c>
      <c r="C1252" t="s">
        <v>1159</v>
      </c>
      <c r="D1252" t="s">
        <v>3764</v>
      </c>
      <c r="E1252" s="4">
        <v>43465</v>
      </c>
      <c r="F1252" s="11">
        <v>-28.192371479999998</v>
      </c>
      <c r="G1252" s="11">
        <v>20.277777780000001</v>
      </c>
      <c r="H1252" s="11">
        <v>-34.368374009299998</v>
      </c>
      <c r="I1252" s="11">
        <v>11.9166438518</v>
      </c>
      <c r="J1252" s="11">
        <v>9.6190916209000008</v>
      </c>
      <c r="K1252" s="10">
        <v>0.60967154881700003</v>
      </c>
      <c r="L1252" s="12">
        <v>113188724558.88</v>
      </c>
      <c r="M1252">
        <v>121.724802496237</v>
      </c>
      <c r="N1252" s="7">
        <v>1.40246895060676</v>
      </c>
      <c r="O1252" s="7">
        <v>0.84288225756593504</v>
      </c>
      <c r="P1252" s="7">
        <v>-16.366014088336701</v>
      </c>
      <c r="Q1252" s="7" t="s">
        <v>3698</v>
      </c>
      <c r="U1252">
        <v>0.23696990388976377</v>
      </c>
      <c r="AT1252" s="4" t="s">
        <v>5210</v>
      </c>
    </row>
    <row r="1253" spans="1:46">
      <c r="A1253" s="2">
        <v>3455</v>
      </c>
      <c r="B1253" t="s">
        <v>5869</v>
      </c>
      <c r="C1253" t="s">
        <v>1972</v>
      </c>
      <c r="D1253" t="s">
        <v>3761</v>
      </c>
      <c r="E1253" s="4">
        <v>43465</v>
      </c>
      <c r="F1253" s="11">
        <v>68.796879939999997</v>
      </c>
      <c r="G1253" s="11">
        <v>20.268757000000001</v>
      </c>
      <c r="H1253" s="11">
        <v>46.6667599747</v>
      </c>
      <c r="I1253" s="11">
        <v>16.547223877499999</v>
      </c>
      <c r="J1253" s="11">
        <v>5.6687045961000004</v>
      </c>
      <c r="K1253" s="10">
        <v>0.94967535481900001</v>
      </c>
      <c r="L1253" s="12">
        <v>2162700000</v>
      </c>
      <c r="M1253">
        <v>37.024063081425702</v>
      </c>
      <c r="N1253" s="7">
        <v>2.59848808571657</v>
      </c>
      <c r="O1253" s="7">
        <v>1.69428644186043</v>
      </c>
      <c r="P1253" s="7">
        <v>16.685770655977802</v>
      </c>
      <c r="Q1253" s="7">
        <v>0.79107963559184036</v>
      </c>
      <c r="U1253">
        <v>0.34071616858746151</v>
      </c>
      <c r="AT1253" s="4" t="s">
        <v>5870</v>
      </c>
    </row>
    <row r="1254" spans="1:46">
      <c r="A1254" s="2">
        <v>1250</v>
      </c>
      <c r="B1254" t="s">
        <v>5871</v>
      </c>
      <c r="C1254" t="s">
        <v>2597</v>
      </c>
      <c r="D1254" t="s">
        <v>4060</v>
      </c>
      <c r="E1254" s="4">
        <v>43465</v>
      </c>
      <c r="F1254" s="11">
        <v>-31.090616369999999</v>
      </c>
      <c r="G1254" s="11">
        <v>20.26768642</v>
      </c>
      <c r="H1254" s="11">
        <v>1.8136919223000001</v>
      </c>
      <c r="I1254" s="11">
        <v>14.182661168499999</v>
      </c>
      <c r="J1254" s="11">
        <v>2.6538376052000001</v>
      </c>
      <c r="K1254" s="10">
        <v>0.72103504371299998</v>
      </c>
      <c r="L1254" s="12">
        <v>2209298668.9200001</v>
      </c>
      <c r="M1254">
        <v>50.884044982261997</v>
      </c>
      <c r="N1254" s="7">
        <v>1.3049179353435101</v>
      </c>
      <c r="O1254" s="7">
        <v>0.93362294472738105</v>
      </c>
      <c r="P1254" s="7">
        <v>-4.6337873283925699</v>
      </c>
      <c r="Q1254" s="7">
        <v>0.16207455429497569</v>
      </c>
      <c r="U1254">
        <v>8.5148613025517794E-2</v>
      </c>
      <c r="AT1254" s="4" t="s">
        <v>4290</v>
      </c>
    </row>
    <row r="1255" spans="1:46">
      <c r="A1255" s="2">
        <v>538</v>
      </c>
      <c r="B1255" t="s">
        <v>5872</v>
      </c>
      <c r="C1255" t="s">
        <v>73</v>
      </c>
      <c r="D1255" t="s">
        <v>3790</v>
      </c>
      <c r="E1255" s="4">
        <v>43465</v>
      </c>
      <c r="F1255" s="11">
        <v>-45.091094499999997</v>
      </c>
      <c r="G1255" s="11">
        <v>20.229007630000002</v>
      </c>
      <c r="H1255" s="11">
        <v>21.1239082072</v>
      </c>
      <c r="I1255" s="11">
        <v>66.212660976899997</v>
      </c>
      <c r="J1255" s="11">
        <v>39.805605633299997</v>
      </c>
      <c r="K1255" s="10">
        <v>0.84169582849699998</v>
      </c>
      <c r="L1255" s="12">
        <v>7822501951.2200003</v>
      </c>
      <c r="M1255">
        <v>13.616477802246299</v>
      </c>
      <c r="N1255" s="7">
        <v>5.4733786417392603</v>
      </c>
      <c r="O1255" s="7">
        <v>5.4314270474630799</v>
      </c>
      <c r="P1255" s="7">
        <v>-114.11330132030299</v>
      </c>
      <c r="Q1255" s="7">
        <v>1.7857142857142856</v>
      </c>
      <c r="T1255" s="2"/>
      <c r="U1255">
        <v>0.39671769055878958</v>
      </c>
      <c r="AT1255" s="4" t="s">
        <v>5873</v>
      </c>
    </row>
    <row r="1256" spans="1:46">
      <c r="A1256" s="2">
        <v>1037</v>
      </c>
      <c r="B1256" t="s">
        <v>5874</v>
      </c>
      <c r="C1256" t="s">
        <v>1643</v>
      </c>
      <c r="D1256" t="s">
        <v>3718</v>
      </c>
      <c r="E1256" s="4">
        <v>43465</v>
      </c>
      <c r="F1256" s="11">
        <v>4.7094948600000004</v>
      </c>
      <c r="G1256" s="11">
        <v>20.212765959999999</v>
      </c>
      <c r="H1256" s="11">
        <v>35.604550199400002</v>
      </c>
      <c r="I1256" s="11">
        <v>25.7421315263</v>
      </c>
      <c r="J1256" s="11">
        <v>9.2021964037000004</v>
      </c>
      <c r="K1256" s="10">
        <v>0.60112039379100002</v>
      </c>
      <c r="L1256" s="12">
        <v>2806539120</v>
      </c>
      <c r="M1256">
        <v>26.9462693590161</v>
      </c>
      <c r="N1256" s="7">
        <v>1.67217742920776</v>
      </c>
      <c r="O1256" s="7">
        <v>1.78284235632026</v>
      </c>
      <c r="P1256" s="7">
        <v>29.196208628416301</v>
      </c>
      <c r="Q1256" s="7" t="s">
        <v>3698</v>
      </c>
      <c r="U1256">
        <v>8.5595691576084182E-2</v>
      </c>
      <c r="AT1256" s="4" t="s">
        <v>3939</v>
      </c>
    </row>
    <row r="1257" spans="1:46">
      <c r="A1257" s="2">
        <v>2292</v>
      </c>
      <c r="B1257" t="s">
        <v>5875</v>
      </c>
      <c r="C1257" t="s">
        <v>3537</v>
      </c>
      <c r="D1257" t="s">
        <v>3761</v>
      </c>
      <c r="E1257" s="4">
        <v>43465</v>
      </c>
      <c r="F1257" s="11">
        <v>-37.549407109999997</v>
      </c>
      <c r="G1257" s="11">
        <v>20.2020202</v>
      </c>
      <c r="H1257" s="11">
        <v>0.65707550690000005</v>
      </c>
      <c r="I1257" s="11">
        <v>11.939985318</v>
      </c>
      <c r="J1257" s="11">
        <v>0.47642333409999998</v>
      </c>
      <c r="K1257" s="10">
        <v>0.54566498178699996</v>
      </c>
      <c r="L1257" s="12">
        <v>1250262323.0999999</v>
      </c>
      <c r="M1257">
        <v>-11.119066238092101</v>
      </c>
      <c r="N1257" s="7">
        <v>1.0105712777862901</v>
      </c>
      <c r="O1257" s="7">
        <v>0.77564683066018003</v>
      </c>
      <c r="P1257" s="7">
        <v>-16.982020483484099</v>
      </c>
      <c r="Q1257" s="7" t="s">
        <v>3698</v>
      </c>
      <c r="U1257">
        <v>2.6865568337769014E-2</v>
      </c>
      <c r="AT1257" s="4" t="s">
        <v>5876</v>
      </c>
    </row>
    <row r="1258" spans="1:46">
      <c r="A1258" s="2">
        <v>2205</v>
      </c>
      <c r="B1258" t="s">
        <v>5877</v>
      </c>
      <c r="C1258" t="s">
        <v>2846</v>
      </c>
      <c r="D1258" t="s">
        <v>3811</v>
      </c>
      <c r="E1258" s="4">
        <v>43465</v>
      </c>
      <c r="F1258" s="11">
        <v>-33.60927152</v>
      </c>
      <c r="G1258" s="11">
        <v>20.122887859999999</v>
      </c>
      <c r="H1258" s="11">
        <v>-4.2191019719999998</v>
      </c>
      <c r="I1258" s="11">
        <v>3.6344290243000001</v>
      </c>
      <c r="J1258" s="11">
        <v>-1.4516776944000001</v>
      </c>
      <c r="K1258" s="10">
        <v>2.6685936101880001</v>
      </c>
      <c r="L1258" s="12">
        <v>1523520000</v>
      </c>
      <c r="M1258">
        <v>-25.0709752271101</v>
      </c>
      <c r="N1258" s="7">
        <v>1.70944495495652</v>
      </c>
      <c r="O1258" s="7">
        <v>0.124720765236117</v>
      </c>
      <c r="P1258" s="7">
        <v>-11.077063265647199</v>
      </c>
      <c r="Q1258" s="7" t="s">
        <v>3698</v>
      </c>
      <c r="U1258">
        <v>-0.74998415434249732</v>
      </c>
      <c r="AT1258" s="4" t="s">
        <v>4338</v>
      </c>
    </row>
    <row r="1259" spans="1:46">
      <c r="A1259" s="2">
        <v>3122</v>
      </c>
      <c r="B1259" t="s">
        <v>5878</v>
      </c>
      <c r="C1259" t="s">
        <v>1360</v>
      </c>
      <c r="D1259" t="s">
        <v>3889</v>
      </c>
      <c r="E1259" s="4">
        <v>43465</v>
      </c>
      <c r="F1259" s="11">
        <v>-26.54555633</v>
      </c>
      <c r="G1259" s="11">
        <v>20.11447261</v>
      </c>
      <c r="H1259" s="11">
        <v>-5.9284746496</v>
      </c>
      <c r="I1259" s="11">
        <v>15.8239084389</v>
      </c>
      <c r="J1259" s="11">
        <v>21.8449321901</v>
      </c>
      <c r="K1259" s="10">
        <v>0.34326799649599998</v>
      </c>
      <c r="L1259" s="12">
        <v>4666192106.8100004</v>
      </c>
      <c r="M1259">
        <v>40.160584639045197</v>
      </c>
      <c r="N1259" s="7">
        <v>1.98114090143568</v>
      </c>
      <c r="O1259" s="7">
        <v>4.0596197554017301</v>
      </c>
      <c r="P1259" s="7">
        <v>-72.122880808500398</v>
      </c>
      <c r="Q1259" s="7">
        <v>1.7280240420736288</v>
      </c>
      <c r="U1259">
        <v>0.62902266634538151</v>
      </c>
      <c r="AT1259" s="4" t="s">
        <v>5879</v>
      </c>
    </row>
    <row r="1260" spans="1:46">
      <c r="A1260" s="2">
        <v>2676</v>
      </c>
      <c r="B1260" t="s">
        <v>5880</v>
      </c>
      <c r="C1260" t="s">
        <v>1612</v>
      </c>
      <c r="D1260" t="s">
        <v>3871</v>
      </c>
      <c r="E1260" s="4">
        <v>43465</v>
      </c>
      <c r="F1260" s="11">
        <v>8.8671679700000006</v>
      </c>
      <c r="G1260" s="11">
        <v>20.09803922</v>
      </c>
      <c r="H1260" s="11">
        <v>89.053556331199999</v>
      </c>
      <c r="I1260" s="11">
        <v>58.6867007102</v>
      </c>
      <c r="J1260" s="11">
        <v>26.789505756200001</v>
      </c>
      <c r="K1260" s="10">
        <v>0.184209904891</v>
      </c>
      <c r="L1260" s="12">
        <v>3732456000</v>
      </c>
      <c r="M1260">
        <v>10.521909621321599</v>
      </c>
      <c r="N1260" s="7">
        <v>0.80211267191664104</v>
      </c>
      <c r="O1260" s="7">
        <v>3.0180049541439602</v>
      </c>
      <c r="P1260" s="7">
        <v>4.61799452312931</v>
      </c>
      <c r="Q1260" s="7">
        <v>6.2035833379353669</v>
      </c>
      <c r="U1260">
        <v>0.43967262855884814</v>
      </c>
      <c r="AT1260" s="4" t="s">
        <v>5881</v>
      </c>
    </row>
    <row r="1261" spans="1:46">
      <c r="A1261" s="2">
        <v>1414</v>
      </c>
      <c r="B1261" t="s">
        <v>5882</v>
      </c>
      <c r="C1261" t="s">
        <v>1316</v>
      </c>
      <c r="D1261" t="s">
        <v>3998</v>
      </c>
      <c r="E1261" s="4">
        <v>43465</v>
      </c>
      <c r="F1261" s="11">
        <v>-6.4041957399999996</v>
      </c>
      <c r="G1261" s="11">
        <v>20.060240960000002</v>
      </c>
      <c r="H1261" s="11">
        <v>11.0220600287</v>
      </c>
      <c r="I1261" s="11">
        <v>36.773573155900003</v>
      </c>
      <c r="J1261" s="11">
        <v>11.294852343700001</v>
      </c>
      <c r="K1261" s="10">
        <v>0.81211226757199995</v>
      </c>
      <c r="L1261" s="12">
        <v>7065240551.3999996</v>
      </c>
      <c r="M1261">
        <v>12.789283785196201</v>
      </c>
      <c r="N1261" s="7">
        <v>1.5404438743398501</v>
      </c>
      <c r="O1261" s="7">
        <v>1.26418386181711</v>
      </c>
      <c r="P1261" s="7">
        <v>4.3369616875266397</v>
      </c>
      <c r="Q1261" s="7">
        <v>1.1501807426881365</v>
      </c>
      <c r="U1261">
        <v>1.5317611700481868</v>
      </c>
      <c r="AT1261" s="4" t="s">
        <v>5883</v>
      </c>
    </row>
    <row r="1262" spans="1:46">
      <c r="A1262" s="2">
        <v>2426</v>
      </c>
      <c r="B1262" t="s">
        <v>5884</v>
      </c>
      <c r="C1262" t="s">
        <v>161</v>
      </c>
      <c r="D1262" t="s">
        <v>3785</v>
      </c>
      <c r="E1262" s="4">
        <v>43465</v>
      </c>
      <c r="F1262" s="11">
        <v>-4.2554713900000003</v>
      </c>
      <c r="G1262" s="11">
        <v>20.0554895</v>
      </c>
      <c r="H1262" s="11">
        <v>15.7533814606</v>
      </c>
      <c r="I1262" s="11">
        <v>36.3168877417</v>
      </c>
      <c r="J1262" s="11">
        <v>13.457395824300001</v>
      </c>
      <c r="K1262" s="10">
        <v>0.78619312008800002</v>
      </c>
      <c r="L1262" s="12">
        <v>3718864800</v>
      </c>
      <c r="M1262">
        <v>24.127526849540899</v>
      </c>
      <c r="N1262" s="7">
        <v>4.8844449123461997</v>
      </c>
      <c r="O1262" s="7">
        <v>3.2027217090798299</v>
      </c>
      <c r="P1262" s="7">
        <v>852.098987453738</v>
      </c>
      <c r="Q1262" s="7">
        <v>1.1562603237528903</v>
      </c>
      <c r="U1262">
        <v>1.0395449284403606</v>
      </c>
      <c r="AT1262" s="4" t="s">
        <v>5885</v>
      </c>
    </row>
    <row r="1263" spans="1:46">
      <c r="A1263" s="2">
        <v>1556</v>
      </c>
      <c r="B1263" t="s">
        <v>5886</v>
      </c>
      <c r="C1263" t="s">
        <v>1415</v>
      </c>
      <c r="D1263" t="s">
        <v>3721</v>
      </c>
      <c r="E1263" s="4">
        <v>43465</v>
      </c>
      <c r="F1263" s="11">
        <v>-24.53822916</v>
      </c>
      <c r="G1263" s="11">
        <v>20.046620050000001</v>
      </c>
      <c r="H1263" s="11">
        <v>63.706902567199997</v>
      </c>
      <c r="I1263" s="11">
        <v>7.6586981209999996</v>
      </c>
      <c r="J1263" s="11">
        <v>1.6391015954000001</v>
      </c>
      <c r="K1263" s="10">
        <v>2.2049608907340001</v>
      </c>
      <c r="L1263" s="12">
        <v>5499100000</v>
      </c>
      <c r="M1263">
        <v>26.969074462549699</v>
      </c>
      <c r="N1263" s="7">
        <v>5.9418730078506501</v>
      </c>
      <c r="O1263" s="7">
        <v>0.44134833557641701</v>
      </c>
      <c r="P1263" s="7">
        <v>86.601703129936695</v>
      </c>
      <c r="Q1263" s="7">
        <v>0.39840637450199201</v>
      </c>
      <c r="U1263">
        <v>0.1314115606994829</v>
      </c>
      <c r="AT1263" s="4" t="s">
        <v>4308</v>
      </c>
    </row>
    <row r="1264" spans="1:46">
      <c r="A1264" s="2">
        <v>1043</v>
      </c>
      <c r="B1264" t="s">
        <v>5887</v>
      </c>
      <c r="C1264" t="s">
        <v>1544</v>
      </c>
      <c r="D1264" t="s">
        <v>3718</v>
      </c>
      <c r="E1264" s="4">
        <v>43465</v>
      </c>
      <c r="F1264" s="11">
        <v>3.2429973300000001</v>
      </c>
      <c r="G1264" s="11">
        <v>20.040485830000001</v>
      </c>
      <c r="H1264" s="11">
        <v>-0.5543034376</v>
      </c>
      <c r="I1264" s="11">
        <v>29.182089244299998</v>
      </c>
      <c r="J1264" s="11">
        <v>8.7882346054999996</v>
      </c>
      <c r="K1264" s="10">
        <v>0.75615814066599996</v>
      </c>
      <c r="L1264" s="12">
        <v>7182067640.5799999</v>
      </c>
      <c r="M1264">
        <v>21.580465458341401</v>
      </c>
      <c r="N1264" s="7">
        <v>1.91444846105014</v>
      </c>
      <c r="O1264" s="7">
        <v>1.6229543638366699</v>
      </c>
      <c r="P1264" s="7">
        <v>34.1366665810732</v>
      </c>
      <c r="Q1264" s="7">
        <v>3.4482758620689653</v>
      </c>
      <c r="U1264">
        <v>0.26007458994252292</v>
      </c>
      <c r="AT1264" s="4" t="s">
        <v>4196</v>
      </c>
    </row>
    <row r="1265" spans="1:46">
      <c r="A1265" s="2">
        <v>1673</v>
      </c>
      <c r="B1265" t="s">
        <v>5888</v>
      </c>
      <c r="C1265" t="s">
        <v>3369</v>
      </c>
      <c r="D1265" t="s">
        <v>3713</v>
      </c>
      <c r="E1265" s="4">
        <v>43465</v>
      </c>
      <c r="F1265" s="11">
        <v>-6.6048414099999997</v>
      </c>
      <c r="G1265" s="11">
        <v>20.029455080000002</v>
      </c>
      <c r="H1265" s="11">
        <v>8.8365532872999992</v>
      </c>
      <c r="I1265" s="11">
        <v>55.112145774699997</v>
      </c>
      <c r="J1265" s="11">
        <v>11.6193869397</v>
      </c>
      <c r="K1265" s="10">
        <v>0.40393593052600002</v>
      </c>
      <c r="L1265" s="12">
        <v>2851503563.5599999</v>
      </c>
      <c r="M1265">
        <v>40.160107264789502</v>
      </c>
      <c r="N1265" s="7">
        <v>3.3572836897725602</v>
      </c>
      <c r="O1265" s="7">
        <v>4.0346208107377404</v>
      </c>
      <c r="P1265" s="7">
        <v>-41.852456058774003</v>
      </c>
      <c r="Q1265" s="7">
        <v>0.5434782608695653</v>
      </c>
      <c r="U1265">
        <v>0.19977989561030257</v>
      </c>
      <c r="AT1265" s="4" t="s">
        <v>5889</v>
      </c>
    </row>
    <row r="1266" spans="1:46">
      <c r="A1266" s="2">
        <v>873</v>
      </c>
      <c r="B1266" t="s">
        <v>5890</v>
      </c>
      <c r="C1266" t="s">
        <v>2094</v>
      </c>
      <c r="D1266" t="s">
        <v>3713</v>
      </c>
      <c r="E1266" s="4">
        <v>43465</v>
      </c>
      <c r="F1266" s="11">
        <v>-34.748877090000001</v>
      </c>
      <c r="G1266" s="11">
        <v>20</v>
      </c>
      <c r="H1266" s="11">
        <v>23.6432434922</v>
      </c>
      <c r="I1266" s="11">
        <v>38.3351793362</v>
      </c>
      <c r="J1266" s="11">
        <v>2.1436894707</v>
      </c>
      <c r="K1266" s="10">
        <v>0.67085873868400003</v>
      </c>
      <c r="L1266" s="12">
        <v>91883530552.800003</v>
      </c>
      <c r="M1266">
        <v>86.877797336580898</v>
      </c>
      <c r="N1266" s="7">
        <v>3.4032874926389298</v>
      </c>
      <c r="O1266" s="7">
        <v>4.3283946833782903</v>
      </c>
      <c r="P1266" s="7">
        <v>67.786499030143901</v>
      </c>
      <c r="Q1266" s="7" t="s">
        <v>3698</v>
      </c>
      <c r="U1266">
        <v>7.309803256389405E-2</v>
      </c>
      <c r="AT1266" s="4" t="s">
        <v>5891</v>
      </c>
    </row>
    <row r="1267" spans="1:46">
      <c r="A1267" s="2">
        <v>1827</v>
      </c>
      <c r="B1267" t="s">
        <v>5892</v>
      </c>
      <c r="C1267" t="s">
        <v>3529</v>
      </c>
      <c r="D1267" t="s">
        <v>3718</v>
      </c>
      <c r="E1267" s="4">
        <v>43465</v>
      </c>
      <c r="F1267" s="11">
        <v>-27.139589000000001</v>
      </c>
      <c r="G1267" s="11">
        <v>20</v>
      </c>
      <c r="H1267" s="11">
        <v>62.213631066600001</v>
      </c>
      <c r="I1267" s="11">
        <v>18.999642918599999</v>
      </c>
      <c r="J1267" s="11">
        <v>2.0505714421999999</v>
      </c>
      <c r="K1267" s="10">
        <v>0.51238557590300005</v>
      </c>
      <c r="L1267" s="12">
        <v>4029114069.3600001</v>
      </c>
      <c r="M1267">
        <v>-367.50192438198297</v>
      </c>
      <c r="N1267" s="7">
        <v>2.5163114419881398</v>
      </c>
      <c r="O1267" s="7">
        <v>2.57473669605608</v>
      </c>
      <c r="P1267" s="7">
        <v>-35.884238044217398</v>
      </c>
      <c r="Q1267" s="7">
        <v>0.28901734104046239</v>
      </c>
      <c r="U1267">
        <v>7.2463790247524751E-2</v>
      </c>
      <c r="AT1267" s="4" t="s">
        <v>3950</v>
      </c>
    </row>
    <row r="1268" spans="1:46">
      <c r="A1268" s="2">
        <v>3056</v>
      </c>
      <c r="B1268" t="s">
        <v>5893</v>
      </c>
      <c r="C1268" t="s">
        <v>1867</v>
      </c>
      <c r="D1268" t="s">
        <v>3858</v>
      </c>
      <c r="E1268" s="4">
        <v>43465</v>
      </c>
      <c r="F1268" s="11">
        <v>-1.3880044899999999</v>
      </c>
      <c r="G1268" s="11">
        <v>19.962686569999999</v>
      </c>
      <c r="H1268" s="11">
        <v>39.053256615800002</v>
      </c>
      <c r="I1268" s="11">
        <v>11.636012896</v>
      </c>
      <c r="J1268" s="11">
        <v>2.5539145888000001</v>
      </c>
      <c r="K1268" s="10">
        <v>0.88285866192100004</v>
      </c>
      <c r="L1268" s="12">
        <v>6798355840.3800001</v>
      </c>
      <c r="M1268">
        <v>15.1177851732274</v>
      </c>
      <c r="N1268" s="7">
        <v>0.885859104197391</v>
      </c>
      <c r="O1268" s="7">
        <v>0.35804431535742398</v>
      </c>
      <c r="P1268" s="7">
        <v>5.3345763196961302</v>
      </c>
      <c r="Q1268" s="7">
        <v>1.8940609951845908</v>
      </c>
      <c r="U1268">
        <v>0.39160224083113726</v>
      </c>
      <c r="AT1268" s="4" t="s">
        <v>5894</v>
      </c>
    </row>
    <row r="1269" spans="1:46">
      <c r="A1269" s="2">
        <v>762</v>
      </c>
      <c r="B1269" t="s">
        <v>5895</v>
      </c>
      <c r="C1269" t="s">
        <v>985</v>
      </c>
      <c r="D1269" t="s">
        <v>3811</v>
      </c>
      <c r="E1269" s="4">
        <v>43465</v>
      </c>
      <c r="F1269" s="11">
        <v>-48.475771139999999</v>
      </c>
      <c r="G1269" s="11">
        <v>19.946091639999999</v>
      </c>
      <c r="H1269" s="11">
        <v>6.6517889101999996</v>
      </c>
      <c r="I1269" s="11">
        <v>23.028877729800001</v>
      </c>
      <c r="J1269" s="11">
        <v>0.87097927129999997</v>
      </c>
      <c r="K1269" s="10">
        <v>0.99950473817200003</v>
      </c>
      <c r="L1269" s="12">
        <v>8596723902.2199993</v>
      </c>
      <c r="M1269">
        <v>50.6193511378859</v>
      </c>
      <c r="N1269" s="7">
        <v>0.98869961769797798</v>
      </c>
      <c r="O1269" s="7">
        <v>0.34759325446276501</v>
      </c>
      <c r="P1269" s="7">
        <v>-28.181764582795999</v>
      </c>
      <c r="Q1269" s="7">
        <v>1.1111111111111112</v>
      </c>
      <c r="U1269">
        <v>0.1800660850780158</v>
      </c>
      <c r="AT1269" s="4" t="s">
        <v>4236</v>
      </c>
    </row>
    <row r="1270" spans="1:46">
      <c r="A1270" s="2">
        <v>1176</v>
      </c>
      <c r="B1270" t="s">
        <v>5896</v>
      </c>
      <c r="C1270" t="s">
        <v>3241</v>
      </c>
      <c r="D1270" t="s">
        <v>3718</v>
      </c>
      <c r="E1270" s="4">
        <v>43465</v>
      </c>
      <c r="F1270" s="11">
        <v>-49.462566029999998</v>
      </c>
      <c r="G1270" s="11">
        <v>19.928825620000001</v>
      </c>
      <c r="H1270" s="11">
        <v>-56.8427781141</v>
      </c>
      <c r="I1270" s="11">
        <v>13.4558949422</v>
      </c>
      <c r="J1270" s="11">
        <v>-130.14827494510001</v>
      </c>
      <c r="K1270" s="10">
        <v>6.4628556076999993E-2</v>
      </c>
      <c r="L1270" s="12">
        <v>5419485000</v>
      </c>
      <c r="M1270">
        <v>-138.10494939785301</v>
      </c>
      <c r="N1270" s="7">
        <v>1.0611789616615801</v>
      </c>
      <c r="O1270" s="7">
        <v>10.8601260415371</v>
      </c>
      <c r="P1270" s="7">
        <v>-4.3064262669804103</v>
      </c>
      <c r="Q1270" s="7" t="s">
        <v>3698</v>
      </c>
      <c r="U1270">
        <v>-0.25208353100949993</v>
      </c>
      <c r="AT1270" s="4" t="s">
        <v>5759</v>
      </c>
    </row>
    <row r="1271" spans="1:46">
      <c r="A1271" s="2">
        <v>677</v>
      </c>
      <c r="B1271" t="s">
        <v>5897</v>
      </c>
      <c r="C1271" t="s">
        <v>1582</v>
      </c>
      <c r="D1271" t="s">
        <v>3737</v>
      </c>
      <c r="E1271" s="4">
        <v>43465</v>
      </c>
      <c r="F1271" s="11">
        <v>-9.8267614000000005</v>
      </c>
      <c r="G1271" s="11">
        <v>19.869706839999999</v>
      </c>
      <c r="H1271" s="11">
        <v>-22.677517319900002</v>
      </c>
      <c r="I1271" s="11">
        <v>32.843257190700001</v>
      </c>
      <c r="J1271" s="11">
        <v>13.1630351684</v>
      </c>
      <c r="K1271" s="10">
        <v>0.24688528636900001</v>
      </c>
      <c r="L1271" s="12">
        <v>6211095422.3999996</v>
      </c>
      <c r="M1271">
        <v>36.357217071287202</v>
      </c>
      <c r="N1271" s="7">
        <v>2.4108740794621002</v>
      </c>
      <c r="O1271" s="7">
        <v>3.7713386347795699</v>
      </c>
      <c r="P1271" s="7">
        <v>-70.791754765457497</v>
      </c>
      <c r="Q1271" s="7">
        <v>0.72150072150072153</v>
      </c>
      <c r="U1271">
        <v>0.18675461784259628</v>
      </c>
      <c r="AT1271" s="4" t="s">
        <v>5232</v>
      </c>
    </row>
    <row r="1272" spans="1:46">
      <c r="A1272" s="2">
        <v>1699</v>
      </c>
      <c r="B1272" t="s">
        <v>5898</v>
      </c>
      <c r="C1272" t="s">
        <v>891</v>
      </c>
      <c r="D1272" t="s">
        <v>3761</v>
      </c>
      <c r="E1272" s="4">
        <v>43465</v>
      </c>
      <c r="F1272" s="11">
        <v>-43.109535469999997</v>
      </c>
      <c r="G1272" s="11">
        <v>19.843049329999999</v>
      </c>
      <c r="H1272" s="11">
        <v>16.6876199256</v>
      </c>
      <c r="I1272" s="11">
        <v>24.860632365000001</v>
      </c>
      <c r="J1272" s="11">
        <v>7.8821164198</v>
      </c>
      <c r="K1272" s="10">
        <v>0.59693357448700002</v>
      </c>
      <c r="L1272" s="12">
        <v>8051763720</v>
      </c>
      <c r="M1272">
        <v>16.680788447023701</v>
      </c>
      <c r="N1272" s="7">
        <v>1.68019893265164</v>
      </c>
      <c r="O1272" s="7">
        <v>1.6412142320428</v>
      </c>
      <c r="P1272" s="7">
        <v>229.87477955481299</v>
      </c>
      <c r="Q1272" s="7">
        <v>0.58779982604014414</v>
      </c>
      <c r="U1272">
        <v>0.55778202968955992</v>
      </c>
      <c r="AT1272" s="4" t="s">
        <v>4441</v>
      </c>
    </row>
    <row r="1273" spans="1:46">
      <c r="A1273" s="2">
        <v>2794</v>
      </c>
      <c r="B1273" t="s">
        <v>5899</v>
      </c>
      <c r="C1273" t="s">
        <v>1505</v>
      </c>
      <c r="D1273" t="s">
        <v>3737</v>
      </c>
      <c r="E1273" s="4">
        <v>43465</v>
      </c>
      <c r="F1273" s="11">
        <v>-38.52065322</v>
      </c>
      <c r="G1273" s="11">
        <v>19.809523810000002</v>
      </c>
      <c r="H1273" s="11">
        <v>-7.4636071999999998E-2</v>
      </c>
      <c r="I1273" s="11">
        <v>44.902206365200001</v>
      </c>
      <c r="J1273" s="11">
        <v>-193.94086146309999</v>
      </c>
      <c r="K1273" s="10">
        <v>0.25551795787699999</v>
      </c>
      <c r="L1273" s="12">
        <v>25274562521.810001</v>
      </c>
      <c r="M1273">
        <v>-3.6864840983179099</v>
      </c>
      <c r="N1273" s="7">
        <v>2.8388421862603099</v>
      </c>
      <c r="O1273" s="7">
        <v>4.6041446754297697</v>
      </c>
      <c r="P1273" s="7">
        <v>-11.568072398212999</v>
      </c>
      <c r="Q1273" s="7" t="s">
        <v>3698</v>
      </c>
      <c r="U1273">
        <v>-2.0177126244204993</v>
      </c>
      <c r="AT1273" s="4" t="s">
        <v>3812</v>
      </c>
    </row>
    <row r="1274" spans="1:46">
      <c r="A1274" s="2">
        <v>231</v>
      </c>
      <c r="B1274" t="s">
        <v>5900</v>
      </c>
      <c r="C1274" t="s">
        <v>2082</v>
      </c>
      <c r="D1274" t="s">
        <v>3769</v>
      </c>
      <c r="E1274" s="4">
        <v>43465</v>
      </c>
      <c r="F1274" s="11">
        <v>-18.55120307</v>
      </c>
      <c r="G1274" s="11">
        <v>19.79695431</v>
      </c>
      <c r="H1274" s="11">
        <v>2.6205042321000001</v>
      </c>
      <c r="I1274" s="11">
        <v>5.3133416140999996</v>
      </c>
      <c r="J1274" s="11">
        <v>1.1585605736</v>
      </c>
      <c r="K1274" s="10">
        <v>1.784962291042</v>
      </c>
      <c r="L1274" s="12">
        <v>5486670565.3800001</v>
      </c>
      <c r="M1274">
        <v>29.046709817863601</v>
      </c>
      <c r="N1274" s="7">
        <v>1.1570031195652599</v>
      </c>
      <c r="O1274" s="7">
        <v>0.24944475440724201</v>
      </c>
      <c r="P1274" s="7">
        <v>-40.1927091156901</v>
      </c>
      <c r="Q1274" s="7">
        <v>1.4084507042253522</v>
      </c>
      <c r="U1274">
        <v>6.7331542641996645E-2</v>
      </c>
      <c r="AT1274" s="4" t="s">
        <v>5901</v>
      </c>
    </row>
    <row r="1275" spans="1:46">
      <c r="A1275" s="2">
        <v>2015</v>
      </c>
      <c r="B1275" t="s">
        <v>5902</v>
      </c>
      <c r="C1275" t="s">
        <v>406</v>
      </c>
      <c r="D1275" t="s">
        <v>3737</v>
      </c>
      <c r="E1275" s="4">
        <v>43465</v>
      </c>
      <c r="F1275" s="11">
        <v>204.40237325999999</v>
      </c>
      <c r="G1275" s="11">
        <v>19.77284461</v>
      </c>
      <c r="H1275" s="11">
        <v>47.104299048999998</v>
      </c>
      <c r="I1275" s="11">
        <v>77.983571290900002</v>
      </c>
      <c r="J1275" s="11">
        <v>45.758997447200002</v>
      </c>
      <c r="K1275" s="10">
        <v>0.42638006151399999</v>
      </c>
      <c r="L1275" s="12">
        <v>3033572538.6900001</v>
      </c>
      <c r="M1275">
        <v>49.313796479764399</v>
      </c>
      <c r="N1275" s="7">
        <v>8.8795813375561998</v>
      </c>
      <c r="O1275" s="7">
        <v>20.724884033992499</v>
      </c>
      <c r="P1275" s="7">
        <v>93.740473183837807</v>
      </c>
      <c r="Q1275" s="7">
        <v>0.1600365801066696</v>
      </c>
      <c r="U1275">
        <v>0.96376082689309372</v>
      </c>
      <c r="AT1275" s="4" t="s">
        <v>5903</v>
      </c>
    </row>
    <row r="1276" spans="1:46">
      <c r="A1276" s="2">
        <v>2712</v>
      </c>
      <c r="B1276" t="s">
        <v>5904</v>
      </c>
      <c r="C1276" t="s">
        <v>1164</v>
      </c>
      <c r="D1276" t="s">
        <v>3871</v>
      </c>
      <c r="E1276" s="4">
        <v>43465</v>
      </c>
      <c r="F1276" s="11">
        <v>-16.93927274</v>
      </c>
      <c r="G1276" s="11">
        <v>19.715808169999999</v>
      </c>
      <c r="H1276" s="11">
        <v>64.978842088199997</v>
      </c>
      <c r="I1276" s="11">
        <v>51.933924852499999</v>
      </c>
      <c r="J1276" s="11">
        <v>35.266432616400003</v>
      </c>
      <c r="K1276" s="10">
        <v>0.135261059041</v>
      </c>
      <c r="L1276" s="12">
        <v>3949769383.9499998</v>
      </c>
      <c r="M1276">
        <v>16.9341582094914</v>
      </c>
      <c r="N1276" s="7">
        <v>1.42999184032226</v>
      </c>
      <c r="O1276" s="7">
        <v>7.0324979688132201</v>
      </c>
      <c r="P1276" s="7">
        <v>-48.7266300021207</v>
      </c>
      <c r="Q1276" s="7">
        <v>2.302379125095932</v>
      </c>
      <c r="U1276">
        <v>0.87054618861189437</v>
      </c>
      <c r="AT1276" s="4" t="s">
        <v>5905</v>
      </c>
    </row>
    <row r="1277" spans="1:46">
      <c r="A1277" s="2">
        <v>287</v>
      </c>
      <c r="B1277" t="s">
        <v>5906</v>
      </c>
      <c r="C1277" t="s">
        <v>219</v>
      </c>
      <c r="D1277" t="s">
        <v>3752</v>
      </c>
      <c r="E1277" s="4">
        <v>43465</v>
      </c>
      <c r="F1277" s="11">
        <v>-6.70081623</v>
      </c>
      <c r="G1277" s="11">
        <v>19.70486111</v>
      </c>
      <c r="H1277" s="11">
        <v>28.787625045199999</v>
      </c>
      <c r="I1277" s="11">
        <v>3.9113457235000002</v>
      </c>
      <c r="J1277" s="11">
        <v>2.6409448922999998</v>
      </c>
      <c r="K1277" s="10">
        <v>1.8289438399619999</v>
      </c>
      <c r="L1277" s="12">
        <v>3467488886.1599998</v>
      </c>
      <c r="M1277">
        <v>12.9570015081131</v>
      </c>
      <c r="N1277" s="7">
        <v>1.7220729188838</v>
      </c>
      <c r="O1277" s="7">
        <v>0.38801413501508403</v>
      </c>
      <c r="P1277" s="7">
        <v>6.6563248061123099</v>
      </c>
      <c r="Q1277" s="7">
        <v>2.1536252692031583</v>
      </c>
      <c r="U1277">
        <v>0.74660754172077115</v>
      </c>
      <c r="AT1277" s="4" t="s">
        <v>5249</v>
      </c>
    </row>
    <row r="1278" spans="1:46">
      <c r="A1278" s="2">
        <v>1263</v>
      </c>
      <c r="B1278" t="s">
        <v>5907</v>
      </c>
      <c r="C1278" t="s">
        <v>2341</v>
      </c>
      <c r="D1278" t="s">
        <v>3737</v>
      </c>
      <c r="E1278" s="4">
        <v>43465</v>
      </c>
      <c r="F1278" s="11">
        <v>0.35414871999999997</v>
      </c>
      <c r="G1278" s="11">
        <v>19.69230769</v>
      </c>
      <c r="H1278" s="11">
        <v>15.478559283499999</v>
      </c>
      <c r="I1278" s="11">
        <v>92.935378149000002</v>
      </c>
      <c r="J1278" s="11">
        <v>17.012304959600002</v>
      </c>
      <c r="K1278" s="10">
        <v>2.0559779313500002</v>
      </c>
      <c r="L1278" s="12">
        <v>1860420000</v>
      </c>
      <c r="M1278">
        <v>164.48848603879799</v>
      </c>
      <c r="N1278" s="7">
        <v>1.2183612948235401</v>
      </c>
      <c r="O1278" s="7">
        <v>4.9314051468909703</v>
      </c>
      <c r="P1278" s="7">
        <v>168.65537402896501</v>
      </c>
      <c r="Q1278" s="7">
        <v>0.76335877862595414</v>
      </c>
      <c r="U1278">
        <v>3.8894903809540398</v>
      </c>
      <c r="AT1278" s="4" t="s">
        <v>4038</v>
      </c>
    </row>
    <row r="1279" spans="1:46">
      <c r="A1279" s="2">
        <v>1813</v>
      </c>
      <c r="B1279" t="s">
        <v>5908</v>
      </c>
      <c r="C1279" t="s">
        <v>1152</v>
      </c>
      <c r="D1279" t="s">
        <v>3764</v>
      </c>
      <c r="E1279" s="4">
        <v>43465</v>
      </c>
      <c r="F1279" s="11">
        <v>-18.700653490000001</v>
      </c>
      <c r="G1279" s="11">
        <v>19.66101695</v>
      </c>
      <c r="H1279" s="11">
        <v>52.444617052200002</v>
      </c>
      <c r="I1279" s="11">
        <v>22.031516250100001</v>
      </c>
      <c r="J1279" s="11">
        <v>7.7562069849000004</v>
      </c>
      <c r="K1279" s="10">
        <v>0.43920116882799998</v>
      </c>
      <c r="L1279" s="12">
        <v>31768520000</v>
      </c>
      <c r="M1279">
        <v>16.872771653953301</v>
      </c>
      <c r="N1279" s="7">
        <v>2.6160107734681199</v>
      </c>
      <c r="O1279" s="7">
        <v>1.31829934886936</v>
      </c>
      <c r="P1279" s="7">
        <v>49.098427702334099</v>
      </c>
      <c r="Q1279" s="7">
        <v>0.97791443502028441</v>
      </c>
      <c r="U1279">
        <v>0.5114898292942387</v>
      </c>
      <c r="AT1279" s="4" t="s">
        <v>4683</v>
      </c>
    </row>
    <row r="1280" spans="1:46">
      <c r="A1280" s="2">
        <v>433</v>
      </c>
      <c r="B1280" t="s">
        <v>5909</v>
      </c>
      <c r="C1280" t="s">
        <v>1088</v>
      </c>
      <c r="D1280" t="s">
        <v>3811</v>
      </c>
      <c r="E1280" s="4">
        <v>43465</v>
      </c>
      <c r="F1280" s="11">
        <v>8.2950215600000003</v>
      </c>
      <c r="G1280" s="11">
        <v>19.631901840000001</v>
      </c>
      <c r="H1280" s="11">
        <v>30.7531936978</v>
      </c>
      <c r="I1280" s="11">
        <v>2.3188052816</v>
      </c>
      <c r="J1280" s="11">
        <v>0.48605544270000001</v>
      </c>
      <c r="K1280" s="10">
        <v>5.6516321525700004</v>
      </c>
      <c r="L1280" s="12">
        <v>7861525954.1000004</v>
      </c>
      <c r="M1280">
        <v>14.111545916642701</v>
      </c>
      <c r="N1280" s="7">
        <v>1.61948588123631</v>
      </c>
      <c r="O1280" s="7">
        <v>5.4076170475214298E-2</v>
      </c>
      <c r="P1280" s="7">
        <v>5.7799634913683899</v>
      </c>
      <c r="Q1280" s="7">
        <v>2.706218018018018</v>
      </c>
      <c r="U1280">
        <v>0.45285449563244201</v>
      </c>
      <c r="AT1280" s="4" t="s">
        <v>4083</v>
      </c>
    </row>
    <row r="1281" spans="1:46">
      <c r="A1281" s="2">
        <v>2179</v>
      </c>
      <c r="B1281" t="s">
        <v>5910</v>
      </c>
      <c r="C1281" t="s">
        <v>904</v>
      </c>
      <c r="D1281" t="s">
        <v>3972</v>
      </c>
      <c r="E1281" s="4">
        <v>43465</v>
      </c>
      <c r="F1281" s="11">
        <v>-3.1797211000000001</v>
      </c>
      <c r="G1281" s="11">
        <v>19.618528609999998</v>
      </c>
      <c r="H1281" s="11">
        <v>-7.4193850269999997</v>
      </c>
      <c r="I1281" s="11">
        <v>51.722059300399998</v>
      </c>
      <c r="J1281" s="11">
        <v>13.912084224000001</v>
      </c>
      <c r="K1281" s="10">
        <v>0.115073235109</v>
      </c>
      <c r="L1281" s="12">
        <v>8530101676.3199997</v>
      </c>
      <c r="M1281">
        <v>7.9495674037671202</v>
      </c>
      <c r="N1281" s="7">
        <v>0.87452443568707405</v>
      </c>
      <c r="O1281" s="7">
        <v>1.49891572614428</v>
      </c>
      <c r="P1281" s="7">
        <v>-6.2623648441938897</v>
      </c>
      <c r="Q1281" s="7">
        <v>2.6328502415458943</v>
      </c>
      <c r="U1281">
        <v>0.35543924778087194</v>
      </c>
      <c r="AT1281" s="4" t="s">
        <v>5911</v>
      </c>
    </row>
    <row r="1282" spans="1:46">
      <c r="A1282" s="2">
        <v>1798</v>
      </c>
      <c r="B1282" t="s">
        <v>5912</v>
      </c>
      <c r="C1282" t="s">
        <v>913</v>
      </c>
      <c r="D1282" t="s">
        <v>3721</v>
      </c>
      <c r="E1282" s="4">
        <v>43465</v>
      </c>
      <c r="F1282" s="11">
        <v>-41.459449380000002</v>
      </c>
      <c r="G1282" s="11">
        <v>19.598337950000001</v>
      </c>
      <c r="H1282" s="11">
        <v>26.013807953099999</v>
      </c>
      <c r="I1282" s="11">
        <v>31.3629404289</v>
      </c>
      <c r="J1282" s="11">
        <v>10.1775058359</v>
      </c>
      <c r="K1282" s="10">
        <v>0.548849146929</v>
      </c>
      <c r="L1282" s="12">
        <v>4578239394</v>
      </c>
      <c r="M1282">
        <v>26.9894839921086</v>
      </c>
      <c r="N1282" s="7">
        <v>3.0105563635833699</v>
      </c>
      <c r="O1282" s="7">
        <v>3.9132338987022899</v>
      </c>
      <c r="P1282" s="7">
        <v>-898.74172133954801</v>
      </c>
      <c r="Q1282" s="7">
        <v>1.3212738643844635</v>
      </c>
      <c r="U1282">
        <v>0.39677619002003828</v>
      </c>
      <c r="AT1282" s="4" t="s">
        <v>4945</v>
      </c>
    </row>
    <row r="1283" spans="1:46">
      <c r="A1283" s="2">
        <v>3055</v>
      </c>
      <c r="B1283" t="s">
        <v>5913</v>
      </c>
      <c r="C1283" t="s">
        <v>1160</v>
      </c>
      <c r="D1283" t="s">
        <v>3811</v>
      </c>
      <c r="E1283" s="4">
        <v>43465</v>
      </c>
      <c r="F1283" s="11">
        <v>-36.325404859999999</v>
      </c>
      <c r="G1283" s="11">
        <v>19.59145775</v>
      </c>
      <c r="H1283" s="11">
        <v>9.6369147686000005</v>
      </c>
      <c r="I1283" s="11">
        <v>24.027302719200001</v>
      </c>
      <c r="J1283" s="11">
        <v>2.7004311182</v>
      </c>
      <c r="K1283" s="10">
        <v>1.147601845234</v>
      </c>
      <c r="L1283" s="12">
        <v>15343124530.5</v>
      </c>
      <c r="M1283">
        <v>75.414213796010998</v>
      </c>
      <c r="N1283" s="7">
        <v>1.89255360030734</v>
      </c>
      <c r="O1283" s="7">
        <v>1.4571703330546699</v>
      </c>
      <c r="P1283" s="7">
        <v>3.7113310829741502</v>
      </c>
      <c r="Q1283" s="7">
        <v>1.518602885345482</v>
      </c>
      <c r="U1283">
        <v>0.20379287786408959</v>
      </c>
      <c r="AT1283" s="4" t="s">
        <v>3793</v>
      </c>
    </row>
    <row r="1284" spans="1:46">
      <c r="A1284" s="2">
        <v>2453</v>
      </c>
      <c r="B1284" t="s">
        <v>5914</v>
      </c>
      <c r="C1284" t="s">
        <v>660</v>
      </c>
      <c r="D1284" t="s">
        <v>3752</v>
      </c>
      <c r="E1284" s="4">
        <v>43465</v>
      </c>
      <c r="F1284" s="11">
        <v>-31.817252289999999</v>
      </c>
      <c r="G1284" s="11">
        <v>19.562043800000001</v>
      </c>
      <c r="H1284" s="11">
        <v>15.0554633727</v>
      </c>
      <c r="I1284" s="11">
        <v>37.864442102300004</v>
      </c>
      <c r="J1284" s="11">
        <v>11.8411901343</v>
      </c>
      <c r="K1284" s="10">
        <v>0.56204699723100005</v>
      </c>
      <c r="L1284" s="12">
        <v>2562472921.5999999</v>
      </c>
      <c r="M1284">
        <v>11.739780596048201</v>
      </c>
      <c r="N1284" s="7">
        <v>1.24599802598868</v>
      </c>
      <c r="O1284" s="7">
        <v>0.82070829682670998</v>
      </c>
      <c r="P1284" s="7">
        <v>74.062622083937498</v>
      </c>
      <c r="Q1284" s="7">
        <v>2.3680823680823679</v>
      </c>
      <c r="U1284">
        <v>0.61082909933195539</v>
      </c>
      <c r="AT1284" s="4" t="s">
        <v>5915</v>
      </c>
    </row>
    <row r="1285" spans="1:46">
      <c r="A1285" s="2">
        <v>2213</v>
      </c>
      <c r="B1285" t="s">
        <v>5916</v>
      </c>
      <c r="C1285" t="s">
        <v>1457</v>
      </c>
      <c r="D1285" t="s">
        <v>3849</v>
      </c>
      <c r="E1285" s="4">
        <v>43465</v>
      </c>
      <c r="F1285" s="11">
        <v>-36.78144614</v>
      </c>
      <c r="G1285" s="11">
        <v>19.493670890000001</v>
      </c>
      <c r="H1285" s="11">
        <v>-4.4431595621</v>
      </c>
      <c r="I1285" s="11">
        <v>25.3253740647</v>
      </c>
      <c r="J1285" s="11">
        <v>7.3344410211</v>
      </c>
      <c r="K1285" s="10">
        <v>0.87017323731600005</v>
      </c>
      <c r="L1285" s="12">
        <v>24526822607.639999</v>
      </c>
      <c r="M1285">
        <v>12.6521161551562</v>
      </c>
      <c r="N1285" s="7">
        <v>1.6773961641983399</v>
      </c>
      <c r="O1285" s="7">
        <v>0.78078056051580802</v>
      </c>
      <c r="P1285" s="7">
        <v>-43.741188081662401</v>
      </c>
      <c r="Q1285" s="7">
        <v>3.5637918745545263</v>
      </c>
      <c r="U1285">
        <v>1.0395472151134113</v>
      </c>
      <c r="AT1285" s="4" t="s">
        <v>5917</v>
      </c>
    </row>
    <row r="1286" spans="1:46">
      <c r="A1286" s="2">
        <v>3626</v>
      </c>
      <c r="B1286" t="s">
        <v>5918</v>
      </c>
      <c r="C1286" t="s">
        <v>1404</v>
      </c>
      <c r="D1286" t="s">
        <v>3858</v>
      </c>
      <c r="E1286" s="4">
        <v>43465</v>
      </c>
      <c r="F1286" s="11">
        <v>-11.4775077</v>
      </c>
      <c r="G1286" s="11">
        <v>19.492656879999998</v>
      </c>
      <c r="H1286" s="11">
        <v>27.243895616</v>
      </c>
      <c r="I1286" s="11">
        <v>25.577751687599999</v>
      </c>
      <c r="J1286" s="11">
        <v>9.2949620591999995</v>
      </c>
      <c r="K1286" s="10">
        <v>0.52158453685999995</v>
      </c>
      <c r="L1286" s="12">
        <v>19151548724.400002</v>
      </c>
      <c r="M1286">
        <v>17.113016122873798</v>
      </c>
      <c r="N1286" s="7">
        <v>1.0811580323324199</v>
      </c>
      <c r="O1286" s="7">
        <v>1.51368834770418</v>
      </c>
      <c r="P1286" s="7">
        <v>-50.790953770039202</v>
      </c>
      <c r="Q1286" s="7">
        <v>0.88235294117647056</v>
      </c>
      <c r="U1286">
        <v>0.49816925451282051</v>
      </c>
      <c r="AT1286" s="4" t="s">
        <v>4065</v>
      </c>
    </row>
    <row r="1287" spans="1:46">
      <c r="A1287" s="2">
        <v>3509</v>
      </c>
      <c r="B1287" t="s">
        <v>5919</v>
      </c>
      <c r="C1287" t="s">
        <v>1812</v>
      </c>
      <c r="D1287" t="s">
        <v>3785</v>
      </c>
      <c r="E1287" s="4">
        <v>43465</v>
      </c>
      <c r="F1287" s="11">
        <v>-2.3951411</v>
      </c>
      <c r="G1287" s="11">
        <v>19.482352939999998</v>
      </c>
      <c r="H1287" s="11">
        <v>23.129430364200001</v>
      </c>
      <c r="I1287" s="11">
        <v>40.388247939700001</v>
      </c>
      <c r="J1287" s="11">
        <v>9.6798155914000006</v>
      </c>
      <c r="K1287" s="10">
        <v>1.057697013084</v>
      </c>
      <c r="L1287" s="12">
        <v>15152574055.5</v>
      </c>
      <c r="M1287">
        <v>36.3029789971242</v>
      </c>
      <c r="N1287" s="7">
        <v>4.0229020325954101</v>
      </c>
      <c r="O1287" s="7">
        <v>2.9903079083138802</v>
      </c>
      <c r="P1287" s="7">
        <v>118.50781217321899</v>
      </c>
      <c r="Q1287" s="7">
        <v>1.0300782859497322</v>
      </c>
      <c r="U1287">
        <v>0.75044587988553724</v>
      </c>
      <c r="AT1287" s="4" t="s">
        <v>5920</v>
      </c>
    </row>
    <row r="1288" spans="1:46">
      <c r="A1288" s="2">
        <v>2851</v>
      </c>
      <c r="B1288" t="s">
        <v>5921</v>
      </c>
      <c r="C1288" t="s">
        <v>254</v>
      </c>
      <c r="D1288" t="s">
        <v>3811</v>
      </c>
      <c r="E1288" s="4">
        <v>43465</v>
      </c>
      <c r="F1288" s="11">
        <v>-9.9502487599999991</v>
      </c>
      <c r="G1288" s="11">
        <v>19.469026549999999</v>
      </c>
      <c r="H1288" s="11">
        <v>-4.2710573595000003</v>
      </c>
      <c r="I1288" s="11">
        <v>24.252015689099998</v>
      </c>
      <c r="J1288" s="11">
        <v>0.82613031270000004</v>
      </c>
      <c r="K1288" s="10">
        <v>1.100167152846</v>
      </c>
      <c r="L1288" s="12">
        <v>39556818598.080002</v>
      </c>
      <c r="M1288">
        <v>14.659009072542901</v>
      </c>
      <c r="N1288" s="7">
        <v>1.87699905066726</v>
      </c>
      <c r="O1288" s="7">
        <v>0.24132834685065399</v>
      </c>
      <c r="P1288" s="7">
        <v>249.891808730398</v>
      </c>
      <c r="Q1288" s="7" t="s">
        <v>3698</v>
      </c>
      <c r="U1288">
        <v>0.11608771385730156</v>
      </c>
      <c r="AT1288" s="4" t="s">
        <v>5922</v>
      </c>
    </row>
    <row r="1289" spans="1:46">
      <c r="A1289" s="2">
        <v>908</v>
      </c>
      <c r="B1289" t="s">
        <v>5923</v>
      </c>
      <c r="C1289" t="s">
        <v>1041</v>
      </c>
      <c r="D1289" t="s">
        <v>3728</v>
      </c>
      <c r="E1289" s="4">
        <v>43465</v>
      </c>
      <c r="F1289" s="11">
        <v>-24.575051999999999</v>
      </c>
      <c r="G1289" s="11">
        <v>19.464720190000001</v>
      </c>
      <c r="H1289" s="11">
        <v>19.347622152500001</v>
      </c>
      <c r="I1289" s="11">
        <v>42.754539957299997</v>
      </c>
      <c r="J1289" s="11">
        <v>4.0156636559000001</v>
      </c>
      <c r="K1289" s="10">
        <v>0.68997318091199999</v>
      </c>
      <c r="L1289" s="12">
        <v>14999071272.16</v>
      </c>
      <c r="M1289">
        <v>44.8380289296706</v>
      </c>
      <c r="N1289" s="7">
        <v>1.6735814614873099</v>
      </c>
      <c r="O1289" s="7">
        <v>1.4630402742681401</v>
      </c>
      <c r="P1289" s="7">
        <v>15.826565144407899</v>
      </c>
      <c r="Q1289" s="7">
        <v>2.9068191154729841</v>
      </c>
      <c r="U1289">
        <v>0.1082155974450551</v>
      </c>
      <c r="AT1289" s="4" t="s">
        <v>3902</v>
      </c>
    </row>
    <row r="1290" spans="1:46">
      <c r="A1290" s="2">
        <v>1209</v>
      </c>
      <c r="B1290" t="s">
        <v>5924</v>
      </c>
      <c r="C1290" t="s">
        <v>2160</v>
      </c>
      <c r="D1290" t="s">
        <v>3718</v>
      </c>
      <c r="E1290" s="4">
        <v>43465</v>
      </c>
      <c r="F1290" s="11">
        <v>63.190905270000002</v>
      </c>
      <c r="G1290" s="11">
        <v>19.46006749</v>
      </c>
      <c r="H1290" s="11">
        <v>16.178961164099999</v>
      </c>
      <c r="I1290" s="11">
        <v>38.706256497200002</v>
      </c>
      <c r="J1290" s="11">
        <v>17.889544599000001</v>
      </c>
      <c r="K1290" s="10">
        <v>0.30054227988299997</v>
      </c>
      <c r="L1290" s="12">
        <v>7058412422.1000004</v>
      </c>
      <c r="M1290">
        <v>41.021288914238497</v>
      </c>
      <c r="N1290" s="7">
        <v>3.0241308439924901</v>
      </c>
      <c r="O1290" s="7">
        <v>6.7581213279580403</v>
      </c>
      <c r="P1290" s="7">
        <v>35.461002832269301</v>
      </c>
      <c r="Q1290" s="7">
        <v>0.97121054457162659</v>
      </c>
      <c r="U1290">
        <v>0.26709086466187471</v>
      </c>
      <c r="AT1290" s="4" t="s">
        <v>5496</v>
      </c>
    </row>
    <row r="1291" spans="1:46">
      <c r="A1291" s="2">
        <v>931</v>
      </c>
      <c r="B1291" t="s">
        <v>5925</v>
      </c>
      <c r="C1291" t="s">
        <v>3003</v>
      </c>
      <c r="D1291" t="s">
        <v>3977</v>
      </c>
      <c r="E1291" s="4">
        <v>43465</v>
      </c>
      <c r="F1291" s="11">
        <v>-24.66793169</v>
      </c>
      <c r="G1291" s="11">
        <v>19.452887539999999</v>
      </c>
      <c r="H1291" s="11">
        <v>-14.016217582099999</v>
      </c>
      <c r="I1291" s="11">
        <v>5.0199376426000004</v>
      </c>
      <c r="J1291" s="11">
        <v>-16.655264656500002</v>
      </c>
      <c r="K1291" s="10">
        <v>1.428949158552</v>
      </c>
      <c r="L1291" s="12">
        <v>3973735472.75</v>
      </c>
      <c r="M1291">
        <v>-1.80699390561244</v>
      </c>
      <c r="N1291" s="7">
        <v>3.5875878909089298</v>
      </c>
      <c r="O1291" s="7">
        <v>0.23550828044208399</v>
      </c>
      <c r="P1291" s="7">
        <v>-9.8804398795021005</v>
      </c>
      <c r="Q1291" s="7" t="s">
        <v>3698</v>
      </c>
      <c r="U1291">
        <v>-2.0291145993017459</v>
      </c>
      <c r="AT1291" s="4" t="s">
        <v>5926</v>
      </c>
    </row>
    <row r="1292" spans="1:46">
      <c r="A1292" s="2">
        <v>2437</v>
      </c>
      <c r="B1292" t="s">
        <v>5927</v>
      </c>
      <c r="C1292" t="s">
        <v>3590</v>
      </c>
      <c r="D1292" t="s">
        <v>3764</v>
      </c>
      <c r="E1292" s="4">
        <v>43465</v>
      </c>
      <c r="F1292" s="11">
        <v>-16.341821599999999</v>
      </c>
      <c r="G1292" s="11">
        <v>19.444444440000002</v>
      </c>
      <c r="H1292" s="11">
        <v>16.479965143699999</v>
      </c>
      <c r="I1292" s="11">
        <v>6.3948174402999998</v>
      </c>
      <c r="J1292" s="11">
        <v>0.84954292050000002</v>
      </c>
      <c r="K1292" s="10">
        <v>0.87877228360799997</v>
      </c>
      <c r="L1292" s="12">
        <v>9888436060.7999992</v>
      </c>
      <c r="M1292">
        <v>-26.701004323630301</v>
      </c>
      <c r="N1292" s="7">
        <v>1.9443236879507699</v>
      </c>
      <c r="O1292" s="7">
        <v>0.238272383154194</v>
      </c>
      <c r="P1292" s="7">
        <v>14.1953195978626</v>
      </c>
      <c r="Q1292" s="7">
        <v>0.63775510204081631</v>
      </c>
      <c r="U1292">
        <v>8.2749144127329283E-2</v>
      </c>
      <c r="AT1292" s="4" t="s">
        <v>5928</v>
      </c>
    </row>
    <row r="1293" spans="1:46">
      <c r="A1293" s="2">
        <v>3444</v>
      </c>
      <c r="B1293" t="s">
        <v>5929</v>
      </c>
      <c r="C1293" t="s">
        <v>1863</v>
      </c>
      <c r="D1293" t="s">
        <v>3764</v>
      </c>
      <c r="E1293" s="4">
        <v>43465</v>
      </c>
      <c r="F1293" s="11">
        <v>-24.72808363</v>
      </c>
      <c r="G1293" s="11">
        <v>19.363057319999999</v>
      </c>
      <c r="H1293" s="11">
        <v>63.2042729526</v>
      </c>
      <c r="I1293" s="11">
        <v>26.351698548800002</v>
      </c>
      <c r="J1293" s="11">
        <v>10.546876917000001</v>
      </c>
      <c r="K1293" s="10">
        <v>0.52082271740399999</v>
      </c>
      <c r="L1293" s="12">
        <v>8120692639.6000004</v>
      </c>
      <c r="M1293">
        <v>17.4009714582239</v>
      </c>
      <c r="N1293" s="7">
        <v>2.6775718623326199</v>
      </c>
      <c r="O1293" s="7">
        <v>1.71636165001314</v>
      </c>
      <c r="P1293" s="7">
        <v>10.8359279807812</v>
      </c>
      <c r="Q1293" s="7">
        <v>0.54914202798895784</v>
      </c>
      <c r="U1293">
        <v>0.49146390891345315</v>
      </c>
      <c r="AT1293" s="4" t="s">
        <v>4715</v>
      </c>
    </row>
    <row r="1294" spans="1:46">
      <c r="A1294" s="2">
        <v>3199</v>
      </c>
      <c r="B1294" t="s">
        <v>5930</v>
      </c>
      <c r="C1294" t="s">
        <v>2329</v>
      </c>
      <c r="D1294" t="s">
        <v>3889</v>
      </c>
      <c r="E1294" s="4">
        <v>43465</v>
      </c>
      <c r="F1294" s="11">
        <v>-16.747387450000002</v>
      </c>
      <c r="G1294" s="11">
        <v>19.329388560000002</v>
      </c>
      <c r="H1294" s="11">
        <v>21.0844749012</v>
      </c>
      <c r="I1294" s="11">
        <v>21.436330084600002</v>
      </c>
      <c r="J1294" s="11">
        <v>7.5988474442999996</v>
      </c>
      <c r="K1294" s="10">
        <v>0.695018744681</v>
      </c>
      <c r="L1294" s="12">
        <v>7070528144</v>
      </c>
      <c r="M1294">
        <v>43.159425342737201</v>
      </c>
      <c r="N1294" s="7">
        <v>1.2769728686619399</v>
      </c>
      <c r="O1294" s="7">
        <v>1.31893390217357</v>
      </c>
      <c r="P1294" s="7">
        <v>-102.77061022407599</v>
      </c>
      <c r="Q1294" s="7">
        <v>2.0952380952380953</v>
      </c>
      <c r="U1294">
        <v>0.32188039099337884</v>
      </c>
      <c r="AT1294" s="4" t="s">
        <v>5859</v>
      </c>
    </row>
    <row r="1295" spans="1:46">
      <c r="A1295" s="2">
        <v>1517</v>
      </c>
      <c r="B1295" t="s">
        <v>5931</v>
      </c>
      <c r="C1295" t="s">
        <v>2773</v>
      </c>
      <c r="D1295" t="s">
        <v>3718</v>
      </c>
      <c r="E1295" s="4">
        <v>43465</v>
      </c>
      <c r="F1295" s="11">
        <v>-12.14662375</v>
      </c>
      <c r="G1295" s="11">
        <v>19.306930690000002</v>
      </c>
      <c r="H1295" s="11">
        <v>42.536287400699997</v>
      </c>
      <c r="I1295" s="11">
        <v>20.217779800999999</v>
      </c>
      <c r="J1295" s="11">
        <v>1.4381241478</v>
      </c>
      <c r="K1295" s="10">
        <v>0.62594579660600003</v>
      </c>
      <c r="L1295" s="12">
        <v>3618136662.98</v>
      </c>
      <c r="M1295">
        <v>239.71392471719801</v>
      </c>
      <c r="N1295" s="7">
        <v>2.5838256256204502</v>
      </c>
      <c r="O1295" s="7">
        <v>2.9346342226130799</v>
      </c>
      <c r="P1295" s="7">
        <v>49.990318351159402</v>
      </c>
      <c r="Q1295" s="7">
        <v>0.22255192878338279</v>
      </c>
      <c r="U1295">
        <v>2.9176213658834212E-2</v>
      </c>
      <c r="AT1295" s="4" t="s">
        <v>4175</v>
      </c>
    </row>
    <row r="1296" spans="1:46">
      <c r="A1296" s="2">
        <v>3280</v>
      </c>
      <c r="B1296" t="s">
        <v>5932</v>
      </c>
      <c r="C1296" t="s">
        <v>1715</v>
      </c>
      <c r="D1296" t="s">
        <v>3737</v>
      </c>
      <c r="E1296" s="4">
        <v>43465</v>
      </c>
      <c r="F1296" s="11">
        <v>105.68027092</v>
      </c>
      <c r="G1296" s="11">
        <v>19.285714290000001</v>
      </c>
      <c r="H1296" s="11">
        <v>35.687587773700002</v>
      </c>
      <c r="I1296" s="11">
        <v>53.020701406000001</v>
      </c>
      <c r="J1296" s="11">
        <v>26.464693555299998</v>
      </c>
      <c r="K1296" s="10">
        <v>0.39264401737499999</v>
      </c>
      <c r="L1296" s="12">
        <v>31548633927.75</v>
      </c>
      <c r="M1296">
        <v>67.676352533535194</v>
      </c>
      <c r="N1296" s="7">
        <v>8.4040835173797106</v>
      </c>
      <c r="O1296" s="7">
        <v>14.5862233381125</v>
      </c>
      <c r="P1296" s="7">
        <v>-21.7067189721608</v>
      </c>
      <c r="Q1296" s="7">
        <v>0.3648464681437012</v>
      </c>
      <c r="U1296">
        <v>0.94211656912585462</v>
      </c>
      <c r="AT1296" s="4" t="s">
        <v>5933</v>
      </c>
    </row>
    <row r="1297" spans="1:46">
      <c r="A1297" s="2">
        <v>2003</v>
      </c>
      <c r="B1297" t="s">
        <v>5934</v>
      </c>
      <c r="C1297" t="s">
        <v>1733</v>
      </c>
      <c r="D1297" t="s">
        <v>3721</v>
      </c>
      <c r="E1297" s="4">
        <v>43465</v>
      </c>
      <c r="F1297" s="11">
        <v>-32.201021349999998</v>
      </c>
      <c r="G1297" s="11">
        <v>19.28071928</v>
      </c>
      <c r="H1297" s="11">
        <v>26.466404371300001</v>
      </c>
      <c r="I1297" s="11">
        <v>33.529787203799998</v>
      </c>
      <c r="J1297" s="11">
        <v>7.2807645532</v>
      </c>
      <c r="K1297" s="10">
        <v>0.63593034564200002</v>
      </c>
      <c r="L1297" s="12">
        <v>5209837297.7600002</v>
      </c>
      <c r="M1297">
        <v>41.693253204355798</v>
      </c>
      <c r="N1297" s="7">
        <v>2.1103471225102499</v>
      </c>
      <c r="O1297" s="7">
        <v>2.1677762509299798</v>
      </c>
      <c r="P1297" s="7">
        <v>31.9153894872073</v>
      </c>
      <c r="Q1297" s="7">
        <v>0.46534653465346532</v>
      </c>
      <c r="U1297">
        <v>0.34812685713812463</v>
      </c>
      <c r="AT1297" s="4" t="s">
        <v>4328</v>
      </c>
    </row>
    <row r="1298" spans="1:46">
      <c r="A1298" s="2">
        <v>1204</v>
      </c>
      <c r="B1298" t="s">
        <v>5935</v>
      </c>
      <c r="C1298" t="s">
        <v>3314</v>
      </c>
      <c r="D1298" t="s">
        <v>3737</v>
      </c>
      <c r="E1298" s="4">
        <v>43465</v>
      </c>
      <c r="F1298" s="11">
        <v>-26.84458399</v>
      </c>
      <c r="G1298" s="11">
        <v>19.28020566</v>
      </c>
      <c r="H1298" s="11">
        <v>36.663067191700002</v>
      </c>
      <c r="I1298" s="11">
        <v>64.163570335800003</v>
      </c>
      <c r="J1298" s="11">
        <v>-27.323958370900002</v>
      </c>
      <c r="K1298" s="10">
        <v>0.27007945491899998</v>
      </c>
      <c r="L1298" s="12">
        <v>10735360000</v>
      </c>
      <c r="M1298">
        <v>-19.992707611517499</v>
      </c>
      <c r="N1298" s="7">
        <v>3.0177952351828998</v>
      </c>
      <c r="O1298" s="7">
        <v>4.5622596844642898</v>
      </c>
      <c r="P1298" s="7">
        <v>-81.981193409638095</v>
      </c>
      <c r="Q1298" s="7" t="s">
        <v>3698</v>
      </c>
      <c r="U1298">
        <v>-0.17149626372839508</v>
      </c>
      <c r="AT1298" s="4" t="s">
        <v>4879</v>
      </c>
    </row>
    <row r="1299" spans="1:46">
      <c r="A1299" s="2">
        <v>27</v>
      </c>
      <c r="B1299" t="s">
        <v>5936</v>
      </c>
      <c r="C1299" t="s">
        <v>2871</v>
      </c>
      <c r="D1299" t="s">
        <v>3764</v>
      </c>
      <c r="E1299" s="4">
        <v>43465</v>
      </c>
      <c r="F1299" s="11">
        <v>5.0330028100000002</v>
      </c>
      <c r="G1299" s="11">
        <v>19.274724800000001</v>
      </c>
      <c r="H1299" s="11">
        <v>19.1790075338</v>
      </c>
      <c r="I1299" s="11">
        <v>26.6281665713</v>
      </c>
      <c r="J1299" s="11">
        <v>3.8666339905</v>
      </c>
      <c r="K1299" s="10">
        <v>0.228303693334</v>
      </c>
      <c r="L1299" s="12">
        <v>1691398041.3599999</v>
      </c>
      <c r="M1299">
        <v>35.418646614914998</v>
      </c>
      <c r="N1299" s="7">
        <v>1.1182379545892001</v>
      </c>
      <c r="O1299" s="7">
        <v>1.1909288705833001</v>
      </c>
      <c r="P1299" s="7">
        <v>11.098682092662299</v>
      </c>
      <c r="Q1299" s="7">
        <v>0.83056478405315626</v>
      </c>
      <c r="U1299">
        <v>0.17421573508256322</v>
      </c>
      <c r="AT1299" s="4" t="s">
        <v>5937</v>
      </c>
    </row>
    <row r="1300" spans="1:46">
      <c r="A1300" s="2">
        <v>849</v>
      </c>
      <c r="B1300" t="s">
        <v>5938</v>
      </c>
      <c r="C1300" t="s">
        <v>2054</v>
      </c>
      <c r="D1300" t="s">
        <v>3718</v>
      </c>
      <c r="E1300" s="4">
        <v>43465</v>
      </c>
      <c r="F1300" s="11">
        <v>-8.4391099000000001</v>
      </c>
      <c r="G1300" s="11">
        <v>19.261926190000001</v>
      </c>
      <c r="H1300" s="11">
        <v>4.4315976250000002</v>
      </c>
      <c r="I1300" s="11">
        <v>38.224227038099997</v>
      </c>
      <c r="J1300" s="11">
        <v>11.449340795199999</v>
      </c>
      <c r="K1300" s="10">
        <v>0.394923322854</v>
      </c>
      <c r="L1300" s="12">
        <v>3743950070.6999998</v>
      </c>
      <c r="M1300">
        <v>132.03354815587099</v>
      </c>
      <c r="N1300" s="7">
        <v>3.2644160735709602</v>
      </c>
      <c r="O1300" s="7">
        <v>7.1010244634331396</v>
      </c>
      <c r="P1300" s="7">
        <v>-59.463924358953399</v>
      </c>
      <c r="Q1300" s="7">
        <v>0.41322314049586778</v>
      </c>
      <c r="U1300">
        <v>0.17000097791666668</v>
      </c>
      <c r="AT1300" s="4" t="s">
        <v>5939</v>
      </c>
    </row>
    <row r="1301" spans="1:46">
      <c r="A1301" s="2">
        <v>915</v>
      </c>
      <c r="B1301" t="s">
        <v>5940</v>
      </c>
      <c r="C1301" t="s">
        <v>1280</v>
      </c>
      <c r="D1301" t="s">
        <v>3728</v>
      </c>
      <c r="E1301" s="4">
        <v>43465</v>
      </c>
      <c r="F1301" s="11">
        <v>-2.6076692100000001</v>
      </c>
      <c r="G1301" s="11">
        <v>19.252336450000001</v>
      </c>
      <c r="H1301" s="11">
        <v>14.7137598363</v>
      </c>
      <c r="I1301" s="11">
        <v>15.160802432000001</v>
      </c>
      <c r="J1301" s="11">
        <v>4.8143267983999998</v>
      </c>
      <c r="K1301" s="10">
        <v>1.147332572092</v>
      </c>
      <c r="L1301" s="12">
        <v>10757226000</v>
      </c>
      <c r="M1301">
        <v>-130.52972133199199</v>
      </c>
      <c r="N1301" s="7">
        <v>1.76199452777364</v>
      </c>
      <c r="O1301" s="7">
        <v>1.00132129126998</v>
      </c>
      <c r="P1301" s="7">
        <v>48.2712507708722</v>
      </c>
      <c r="Q1301" s="7">
        <v>3.8240917782026771</v>
      </c>
      <c r="U1301">
        <v>0.24841884142676332</v>
      </c>
      <c r="AT1301" s="4" t="s">
        <v>3987</v>
      </c>
    </row>
    <row r="1302" spans="1:46">
      <c r="A1302" s="2">
        <v>1368</v>
      </c>
      <c r="B1302" t="s">
        <v>5941</v>
      </c>
      <c r="C1302" t="s">
        <v>994</v>
      </c>
      <c r="D1302" t="s">
        <v>3781</v>
      </c>
      <c r="E1302" s="4">
        <v>43465</v>
      </c>
      <c r="F1302" s="11">
        <v>-24.224232140000002</v>
      </c>
      <c r="G1302" s="11">
        <v>19.235924929999999</v>
      </c>
      <c r="H1302" s="11">
        <v>-8.2894117519999995</v>
      </c>
      <c r="I1302" s="11">
        <v>34.537561219799997</v>
      </c>
      <c r="J1302" s="11">
        <v>21.693640681000002</v>
      </c>
      <c r="K1302" s="10">
        <v>0.441778388129</v>
      </c>
      <c r="L1302" s="12">
        <v>1591970000</v>
      </c>
      <c r="M1302">
        <v>32.373698401433302</v>
      </c>
      <c r="N1302" s="7">
        <v>2.4182517222956998</v>
      </c>
      <c r="O1302" s="7">
        <v>5.2578790605762098</v>
      </c>
      <c r="P1302" s="7">
        <v>-94.2122021254158</v>
      </c>
      <c r="Q1302" s="7">
        <v>1.4925373134328357</v>
      </c>
      <c r="U1302">
        <v>0.62241205291666657</v>
      </c>
      <c r="AT1302" s="4" t="s">
        <v>4353</v>
      </c>
    </row>
    <row r="1303" spans="1:46">
      <c r="A1303" s="2">
        <v>1318</v>
      </c>
      <c r="B1303" t="s">
        <v>5942</v>
      </c>
      <c r="C1303" t="s">
        <v>298</v>
      </c>
      <c r="D1303" t="s">
        <v>3721</v>
      </c>
      <c r="E1303" s="4">
        <v>43465</v>
      </c>
      <c r="F1303" s="11">
        <v>13.484853770000001</v>
      </c>
      <c r="G1303" s="11">
        <v>19.233401780000001</v>
      </c>
      <c r="H1303" s="11">
        <v>17.8378822514</v>
      </c>
      <c r="I1303" s="11">
        <v>32.937085062000001</v>
      </c>
      <c r="J1303" s="11">
        <v>15.3324848217</v>
      </c>
      <c r="K1303" s="10">
        <v>0.73840551660099996</v>
      </c>
      <c r="L1303" s="12">
        <v>3551154750</v>
      </c>
      <c r="M1303">
        <v>23.2364624062409</v>
      </c>
      <c r="N1303" s="7">
        <v>4.41212148692789</v>
      </c>
      <c r="O1303" s="7">
        <v>3.3928278778158401</v>
      </c>
      <c r="P1303" s="7">
        <v>-154.896510461937</v>
      </c>
      <c r="Q1303" s="7">
        <v>2.0904693308455231</v>
      </c>
      <c r="U1303">
        <v>0.67437680896575947</v>
      </c>
      <c r="AT1303" s="4" t="s">
        <v>4097</v>
      </c>
    </row>
    <row r="1304" spans="1:46">
      <c r="A1304" s="2">
        <v>872</v>
      </c>
      <c r="B1304" t="s">
        <v>5943</v>
      </c>
      <c r="C1304" t="s">
        <v>2323</v>
      </c>
      <c r="D1304" t="s">
        <v>3752</v>
      </c>
      <c r="E1304" s="4">
        <v>43465</v>
      </c>
      <c r="F1304" s="11">
        <v>-19.65044747</v>
      </c>
      <c r="G1304" s="11">
        <v>19.23076923</v>
      </c>
      <c r="H1304" s="11">
        <v>6.0111328902999999</v>
      </c>
      <c r="I1304" s="11">
        <v>16.7898960307</v>
      </c>
      <c r="J1304" s="11">
        <v>4.1044951165999999</v>
      </c>
      <c r="K1304" s="10">
        <v>0.59087310883199995</v>
      </c>
      <c r="L1304" s="12">
        <v>6403145872.5</v>
      </c>
      <c r="M1304">
        <v>31.416298366160099</v>
      </c>
      <c r="N1304" s="7">
        <v>2.0575785099956798</v>
      </c>
      <c r="O1304" s="7">
        <v>1.5788337300578099</v>
      </c>
      <c r="P1304" s="7">
        <v>-49.141413044100098</v>
      </c>
      <c r="Q1304" s="7">
        <v>2.392344497607656</v>
      </c>
      <c r="U1304">
        <v>9.232326749696261E-2</v>
      </c>
      <c r="AT1304" s="4" t="s">
        <v>5891</v>
      </c>
    </row>
    <row r="1305" spans="1:46">
      <c r="A1305" s="2">
        <v>918</v>
      </c>
      <c r="B1305" t="s">
        <v>5944</v>
      </c>
      <c r="C1305" t="s">
        <v>979</v>
      </c>
      <c r="D1305" t="s">
        <v>3752</v>
      </c>
      <c r="E1305" s="4">
        <v>43465</v>
      </c>
      <c r="F1305" s="11">
        <v>-33.02367023</v>
      </c>
      <c r="G1305" s="11">
        <v>19.160583939999999</v>
      </c>
      <c r="H1305" s="11">
        <v>4.7357513193000003</v>
      </c>
      <c r="I1305" s="11">
        <v>25.259821799200001</v>
      </c>
      <c r="J1305" s="11">
        <v>3.3657912237000001</v>
      </c>
      <c r="K1305" s="10">
        <v>0.51930450666399997</v>
      </c>
      <c r="L1305" s="12">
        <v>3283451612</v>
      </c>
      <c r="M1305">
        <v>51.0266973801061</v>
      </c>
      <c r="N1305" s="7">
        <v>2.2237911407566</v>
      </c>
      <c r="O1305" s="7">
        <v>1.94374281124124</v>
      </c>
      <c r="P1305" s="7">
        <v>-47.628475616950197</v>
      </c>
      <c r="Q1305" s="7">
        <v>1.666666666666667</v>
      </c>
      <c r="U1305">
        <v>9.3806783603411492E-2</v>
      </c>
      <c r="AT1305" s="4" t="s">
        <v>5945</v>
      </c>
    </row>
    <row r="1306" spans="1:46">
      <c r="A1306" s="2">
        <v>147</v>
      </c>
      <c r="B1306" t="s">
        <v>5946</v>
      </c>
      <c r="C1306" t="s">
        <v>398</v>
      </c>
      <c r="D1306" t="s">
        <v>3737</v>
      </c>
      <c r="E1306" s="4">
        <v>43465</v>
      </c>
      <c r="F1306" s="11">
        <v>-8.4746263299999995</v>
      </c>
      <c r="G1306" s="11">
        <v>19.118442399999999</v>
      </c>
      <c r="H1306" s="11">
        <v>9.8442831096999992</v>
      </c>
      <c r="I1306" s="11">
        <v>30.547830935099999</v>
      </c>
      <c r="J1306" s="11">
        <v>12.3173570071</v>
      </c>
      <c r="K1306" s="10">
        <v>0.91970241109600004</v>
      </c>
      <c r="L1306" s="12">
        <v>1688356710</v>
      </c>
      <c r="M1306">
        <v>27.618607519738902</v>
      </c>
      <c r="N1306" s="7">
        <v>3.8962075406165</v>
      </c>
      <c r="O1306" s="7">
        <v>2.9589123176041299</v>
      </c>
      <c r="P1306" s="7">
        <v>-341.259535682148</v>
      </c>
      <c r="Q1306" s="7">
        <v>1.8550591679614787</v>
      </c>
      <c r="U1306">
        <v>3.1751154335246325</v>
      </c>
      <c r="AT1306" s="4" t="s">
        <v>5947</v>
      </c>
    </row>
    <row r="1307" spans="1:46">
      <c r="A1307" s="2">
        <v>1564</v>
      </c>
      <c r="B1307" t="s">
        <v>5948</v>
      </c>
      <c r="C1307" t="s">
        <v>3541</v>
      </c>
      <c r="D1307" t="s">
        <v>3761</v>
      </c>
      <c r="E1307" s="4">
        <v>43465</v>
      </c>
      <c r="F1307" s="11">
        <v>10</v>
      </c>
      <c r="G1307" s="11">
        <v>19.105691060000002</v>
      </c>
      <c r="H1307" s="11">
        <v>19.175920247099999</v>
      </c>
      <c r="I1307" s="11">
        <v>60.516526132999999</v>
      </c>
      <c r="J1307" s="11">
        <v>1.6508812004</v>
      </c>
      <c r="K1307" s="10">
        <v>0.11112841774399999</v>
      </c>
      <c r="L1307" s="12">
        <v>9347237976</v>
      </c>
      <c r="M1307">
        <v>-26.552866169118399</v>
      </c>
      <c r="N1307" s="7">
        <v>1.7925588196472999</v>
      </c>
      <c r="O1307" s="7">
        <v>15.327567301139601</v>
      </c>
      <c r="P1307" s="7">
        <v>-8.9087499007644197</v>
      </c>
      <c r="Q1307" s="7" t="s">
        <v>3698</v>
      </c>
      <c r="U1307">
        <v>1.5758618321167882E-2</v>
      </c>
      <c r="AT1307" s="4" t="s">
        <v>4399</v>
      </c>
    </row>
    <row r="1308" spans="1:46">
      <c r="A1308" s="2">
        <v>3619</v>
      </c>
      <c r="B1308" t="s">
        <v>5949</v>
      </c>
      <c r="C1308" t="s">
        <v>2905</v>
      </c>
      <c r="D1308" t="s">
        <v>3718</v>
      </c>
      <c r="E1308" s="4">
        <v>43465</v>
      </c>
      <c r="F1308" s="11">
        <v>-17.01185821</v>
      </c>
      <c r="G1308" s="11">
        <v>19.097222219999999</v>
      </c>
      <c r="H1308" s="11">
        <v>19.968978243799999</v>
      </c>
      <c r="I1308" s="11">
        <v>25.564247046399998</v>
      </c>
      <c r="J1308" s="11">
        <v>8.6321780409999995</v>
      </c>
      <c r="K1308" s="10">
        <v>0.51192856504999995</v>
      </c>
      <c r="L1308" s="12">
        <v>2350260000</v>
      </c>
      <c r="M1308">
        <v>29.362393229361299</v>
      </c>
      <c r="N1308" s="7">
        <v>3.4096960675936701</v>
      </c>
      <c r="O1308" s="7">
        <v>2.5003658254453698</v>
      </c>
      <c r="P1308" s="7">
        <v>-27.858498395350001</v>
      </c>
      <c r="Q1308" s="7">
        <v>0.80889787664307389</v>
      </c>
      <c r="U1308">
        <v>0.31247895929274683</v>
      </c>
      <c r="AT1308" s="4" t="s">
        <v>4703</v>
      </c>
    </row>
    <row r="1309" spans="1:46">
      <c r="A1309" s="2">
        <v>760</v>
      </c>
      <c r="B1309" t="s">
        <v>5950</v>
      </c>
      <c r="C1309" t="s">
        <v>2820</v>
      </c>
      <c r="D1309" t="s">
        <v>3761</v>
      </c>
      <c r="E1309" s="4">
        <v>43465</v>
      </c>
      <c r="F1309" s="11">
        <v>-43.425324439999997</v>
      </c>
      <c r="G1309" s="11">
        <v>19.09090909</v>
      </c>
      <c r="H1309" s="11">
        <v>0.3752251935</v>
      </c>
      <c r="I1309" s="11">
        <v>17.950926699899998</v>
      </c>
      <c r="J1309" s="11">
        <v>-27.749040408700001</v>
      </c>
      <c r="K1309" s="10">
        <v>0.54615032082500004</v>
      </c>
      <c r="L1309" s="12">
        <v>1887300000</v>
      </c>
      <c r="M1309">
        <v>32.526780975037603</v>
      </c>
      <c r="N1309" s="7">
        <v>1.5048173357747301</v>
      </c>
      <c r="O1309" s="7">
        <v>0.87561273060393396</v>
      </c>
      <c r="P1309" s="7">
        <v>-25.344934211975598</v>
      </c>
      <c r="Q1309" s="7" t="s">
        <v>3698</v>
      </c>
      <c r="U1309">
        <v>-1.0022022941639619</v>
      </c>
      <c r="AT1309" s="4" t="s">
        <v>4236</v>
      </c>
    </row>
    <row r="1310" spans="1:46">
      <c r="A1310" s="2">
        <v>3081</v>
      </c>
      <c r="B1310" t="s">
        <v>5951</v>
      </c>
      <c r="C1310" t="s">
        <v>309</v>
      </c>
      <c r="D1310" t="s">
        <v>3752</v>
      </c>
      <c r="E1310" s="4">
        <v>43465</v>
      </c>
      <c r="F1310" s="11">
        <v>-28.920555740000001</v>
      </c>
      <c r="G1310" s="11">
        <v>19.08396947</v>
      </c>
      <c r="H1310" s="11">
        <v>9.3669063164999997</v>
      </c>
      <c r="I1310" s="11">
        <v>44.675499779299997</v>
      </c>
      <c r="J1310" s="11">
        <v>26.903231939299999</v>
      </c>
      <c r="K1310" s="10">
        <v>0.36104317978099998</v>
      </c>
      <c r="L1310" s="12">
        <v>24619492817.369999</v>
      </c>
      <c r="M1310">
        <v>9.1651842949334394</v>
      </c>
      <c r="N1310" s="7">
        <v>1.3482088687153899</v>
      </c>
      <c r="O1310" s="7">
        <v>2.5949742839127601</v>
      </c>
      <c r="P1310" s="7">
        <v>488.11743792168801</v>
      </c>
      <c r="Q1310" s="7" t="s">
        <v>3698</v>
      </c>
      <c r="U1310">
        <v>0.27077654126640766</v>
      </c>
      <c r="AT1310" s="4" t="s">
        <v>5528</v>
      </c>
    </row>
    <row r="1311" spans="1:46">
      <c r="A1311" s="2">
        <v>2423</v>
      </c>
      <c r="B1311" t="s">
        <v>5952</v>
      </c>
      <c r="C1311" t="s">
        <v>997</v>
      </c>
      <c r="D1311" t="s">
        <v>3842</v>
      </c>
      <c r="E1311" s="4">
        <v>43465</v>
      </c>
      <c r="F1311" s="11">
        <v>-35.76142926</v>
      </c>
      <c r="G1311" s="11">
        <v>19.06666667</v>
      </c>
      <c r="H1311" s="11">
        <v>7.8241347220000002</v>
      </c>
      <c r="I1311" s="11">
        <v>29.728346888499999</v>
      </c>
      <c r="J1311" s="11">
        <v>6.5000998253000004</v>
      </c>
      <c r="K1311" s="10">
        <v>0.50935131299600001</v>
      </c>
      <c r="L1311" s="12">
        <v>3165600000</v>
      </c>
      <c r="M1311">
        <v>10.548188258445499</v>
      </c>
      <c r="N1311" s="7">
        <v>0.85046532241414996</v>
      </c>
      <c r="O1311" s="7">
        <v>0.31205267224298899</v>
      </c>
      <c r="P1311" s="7">
        <v>3.5716537422944401</v>
      </c>
      <c r="Q1311" s="7">
        <v>1.6502921523666816</v>
      </c>
      <c r="U1311">
        <v>0.89473605403100775</v>
      </c>
      <c r="AT1311" s="4" t="s">
        <v>5953</v>
      </c>
    </row>
    <row r="1312" spans="1:46">
      <c r="A1312" s="2">
        <v>439</v>
      </c>
      <c r="B1312" t="s">
        <v>5954</v>
      </c>
      <c r="C1312" t="s">
        <v>2416</v>
      </c>
      <c r="D1312" t="s">
        <v>3849</v>
      </c>
      <c r="E1312" s="4">
        <v>43465</v>
      </c>
      <c r="F1312" s="11">
        <v>-44.673366829999999</v>
      </c>
      <c r="G1312" s="11">
        <v>18.99563319</v>
      </c>
      <c r="H1312" s="11">
        <v>13.723843239500001</v>
      </c>
      <c r="I1312" s="11">
        <v>21.258903546700001</v>
      </c>
      <c r="J1312" s="11">
        <v>1.1914301899999999</v>
      </c>
      <c r="K1312" s="10">
        <v>0.74558797316299996</v>
      </c>
      <c r="L1312" s="12">
        <v>3662450883.9400001</v>
      </c>
      <c r="M1312">
        <v>55.3211182526817</v>
      </c>
      <c r="N1312" s="7">
        <v>1.6734187431507599</v>
      </c>
      <c r="O1312" s="7">
        <v>1.1950650452520299</v>
      </c>
      <c r="P1312" s="7">
        <v>-30.245983047602099</v>
      </c>
      <c r="Q1312" s="7" t="s">
        <v>3698</v>
      </c>
      <c r="U1312">
        <v>0.13969758316870104</v>
      </c>
      <c r="AT1312" s="4" t="s">
        <v>4893</v>
      </c>
    </row>
    <row r="1313" spans="1:46">
      <c r="A1313" s="2">
        <v>2595</v>
      </c>
      <c r="B1313" t="s">
        <v>5955</v>
      </c>
      <c r="C1313" t="s">
        <v>1528</v>
      </c>
      <c r="D1313" t="s">
        <v>3737</v>
      </c>
      <c r="E1313" s="4">
        <v>43465</v>
      </c>
      <c r="F1313" s="11">
        <v>-8.5001498200000007</v>
      </c>
      <c r="G1313" s="11">
        <v>18.991596640000001</v>
      </c>
      <c r="H1313" s="11">
        <v>47.908822323499997</v>
      </c>
      <c r="I1313" s="11">
        <v>68.596765106299998</v>
      </c>
      <c r="J1313" s="11">
        <v>7.2769788466999996</v>
      </c>
      <c r="K1313" s="10">
        <v>0.78872817971200004</v>
      </c>
      <c r="L1313" s="12">
        <v>2154000000</v>
      </c>
      <c r="M1313">
        <v>23.918750187954799</v>
      </c>
      <c r="N1313" s="7">
        <v>1.82582929863243</v>
      </c>
      <c r="O1313" s="7">
        <v>1.81505180031361</v>
      </c>
      <c r="P1313" s="7">
        <v>-14.354381498452099</v>
      </c>
      <c r="Q1313" s="7">
        <v>1.1381855348753227</v>
      </c>
      <c r="U1313">
        <v>0.25768156302890105</v>
      </c>
      <c r="AT1313" s="4" t="s">
        <v>5956</v>
      </c>
    </row>
    <row r="1314" spans="1:46">
      <c r="A1314" s="2">
        <v>3353</v>
      </c>
      <c r="B1314" t="s">
        <v>5957</v>
      </c>
      <c r="C1314" t="s">
        <v>1593</v>
      </c>
      <c r="D1314" t="s">
        <v>3858</v>
      </c>
      <c r="E1314" s="4">
        <v>43465</v>
      </c>
      <c r="F1314" s="11">
        <v>-34.477947819999997</v>
      </c>
      <c r="G1314" s="11">
        <v>18.863049100000001</v>
      </c>
      <c r="H1314" s="11">
        <v>3.8866758814</v>
      </c>
      <c r="I1314" s="11">
        <v>23.704657958599999</v>
      </c>
      <c r="J1314" s="11">
        <v>7.2733351443999998</v>
      </c>
      <c r="K1314" s="10">
        <v>0.52397976159399995</v>
      </c>
      <c r="L1314" s="12">
        <v>15284822300.02</v>
      </c>
      <c r="M1314">
        <v>27.430707446929102</v>
      </c>
      <c r="N1314" s="7">
        <v>1.9366976913993901</v>
      </c>
      <c r="O1314" s="7">
        <v>2.08878402239973</v>
      </c>
      <c r="P1314" s="7">
        <v>13.905949536115299</v>
      </c>
      <c r="Q1314" s="7">
        <v>0.55888223552894223</v>
      </c>
      <c r="U1314">
        <v>0.27599304269972452</v>
      </c>
      <c r="AT1314" s="4" t="s">
        <v>5958</v>
      </c>
    </row>
    <row r="1315" spans="1:46">
      <c r="A1315" s="2">
        <v>3334</v>
      </c>
      <c r="B1315" t="s">
        <v>5959</v>
      </c>
      <c r="C1315" t="s">
        <v>1368</v>
      </c>
      <c r="D1315" t="s">
        <v>3718</v>
      </c>
      <c r="E1315" s="4">
        <v>43465</v>
      </c>
      <c r="F1315" s="11">
        <v>-40.240797020000002</v>
      </c>
      <c r="G1315" s="11">
        <v>18.835616439999999</v>
      </c>
      <c r="H1315" s="11">
        <v>9.2578589587</v>
      </c>
      <c r="I1315" s="11">
        <v>42.835762150299999</v>
      </c>
      <c r="J1315" s="11">
        <v>16.718056482600002</v>
      </c>
      <c r="K1315" s="10">
        <v>0.71142771197800003</v>
      </c>
      <c r="L1315" s="12">
        <v>3660198886.9200001</v>
      </c>
      <c r="M1315">
        <v>20.002973476741399</v>
      </c>
      <c r="N1315" s="7">
        <v>2.0436213717194298</v>
      </c>
      <c r="O1315" s="7">
        <v>2.5272895885061</v>
      </c>
      <c r="P1315" s="7">
        <v>-7.43435653140215</v>
      </c>
      <c r="Q1315" s="7">
        <v>2.0920502092050208</v>
      </c>
      <c r="U1315">
        <v>0.60578228729281769</v>
      </c>
      <c r="AT1315" s="4" t="s">
        <v>5960</v>
      </c>
    </row>
    <row r="1316" spans="1:46">
      <c r="A1316" s="2">
        <v>965</v>
      </c>
      <c r="B1316" t="s">
        <v>5961</v>
      </c>
      <c r="C1316" t="s">
        <v>1991</v>
      </c>
      <c r="D1316" t="s">
        <v>3849</v>
      </c>
      <c r="E1316" s="4">
        <v>43465</v>
      </c>
      <c r="F1316" s="11">
        <v>-34.884116229999997</v>
      </c>
      <c r="G1316" s="11">
        <v>18.826405869999999</v>
      </c>
      <c r="H1316" s="11">
        <v>-11.615421492599999</v>
      </c>
      <c r="I1316" s="11">
        <v>24.916664871199998</v>
      </c>
      <c r="J1316" s="11">
        <v>5.3265944405000001</v>
      </c>
      <c r="K1316" s="10">
        <v>0.61178502500999998</v>
      </c>
      <c r="L1316" s="12">
        <v>8966197505.9099998</v>
      </c>
      <c r="M1316">
        <v>11.4481116078128</v>
      </c>
      <c r="N1316" s="7">
        <v>0.81934790623710796</v>
      </c>
      <c r="O1316" s="7">
        <v>0.60953021834949594</v>
      </c>
      <c r="P1316" s="7">
        <v>-14.5819331201611</v>
      </c>
      <c r="Q1316" s="7">
        <v>1.3333333333333335</v>
      </c>
      <c r="U1316">
        <v>0.27992720976878738</v>
      </c>
      <c r="AT1316" s="4" t="s">
        <v>5071</v>
      </c>
    </row>
    <row r="1317" spans="1:46">
      <c r="A1317" s="2">
        <v>2899</v>
      </c>
      <c r="B1317" t="s">
        <v>5962</v>
      </c>
      <c r="C1317" t="s">
        <v>2471</v>
      </c>
      <c r="D1317" t="s">
        <v>3811</v>
      </c>
      <c r="E1317" s="4">
        <v>43465</v>
      </c>
      <c r="F1317" s="11">
        <v>-10.95581975</v>
      </c>
      <c r="G1317" s="11">
        <v>18.822292319999999</v>
      </c>
      <c r="H1317" s="11">
        <v>-0.8786981412</v>
      </c>
      <c r="I1317" s="11">
        <v>5.0908434481000002</v>
      </c>
      <c r="J1317" s="11">
        <v>7.3126403107</v>
      </c>
      <c r="K1317" s="10">
        <v>0.75122985243600005</v>
      </c>
      <c r="L1317" s="12">
        <v>114238178639.31</v>
      </c>
      <c r="M1317">
        <v>39.469331671234897</v>
      </c>
      <c r="N1317" s="7">
        <v>1.3767802121993999</v>
      </c>
      <c r="O1317" s="7">
        <v>1.2513548269456201</v>
      </c>
      <c r="P1317" s="7">
        <v>-13.713968926495699</v>
      </c>
      <c r="Q1317" s="7">
        <v>1.5755329008341052</v>
      </c>
      <c r="U1317">
        <v>0.54426757651622504</v>
      </c>
      <c r="AT1317" s="4" t="s">
        <v>5784</v>
      </c>
    </row>
    <row r="1318" spans="1:46">
      <c r="A1318" s="2">
        <v>2326</v>
      </c>
      <c r="B1318" t="s">
        <v>5963</v>
      </c>
      <c r="C1318" t="s">
        <v>473</v>
      </c>
      <c r="D1318" t="s">
        <v>3778</v>
      </c>
      <c r="E1318" s="4">
        <v>43465</v>
      </c>
      <c r="F1318" s="11">
        <v>-12.17366399</v>
      </c>
      <c r="G1318" s="11">
        <v>18.792710710000001</v>
      </c>
      <c r="H1318" s="11">
        <v>7.790035263</v>
      </c>
      <c r="I1318" s="11">
        <v>19.489492546099999</v>
      </c>
      <c r="J1318" s="11">
        <v>6.5370442832000002</v>
      </c>
      <c r="K1318" s="10">
        <v>0.81797235538099999</v>
      </c>
      <c r="L1318" s="12">
        <v>2381060000</v>
      </c>
      <c r="M1318">
        <v>5.9290320517605801</v>
      </c>
      <c r="N1318" s="7">
        <v>0.85655940443724699</v>
      </c>
      <c r="O1318" s="7">
        <v>0.285656660323657</v>
      </c>
      <c r="P1318" s="7">
        <v>-29.700273935999899</v>
      </c>
      <c r="Q1318" s="7">
        <v>5.7507987220447285</v>
      </c>
      <c r="U1318">
        <v>1.6101136478382807</v>
      </c>
      <c r="AT1318" s="4" t="s">
        <v>5964</v>
      </c>
    </row>
    <row r="1319" spans="1:46">
      <c r="A1319" s="2">
        <v>1972</v>
      </c>
      <c r="B1319" t="s">
        <v>5965</v>
      </c>
      <c r="C1319" t="s">
        <v>745</v>
      </c>
      <c r="D1319" t="s">
        <v>3718</v>
      </c>
      <c r="E1319" s="4">
        <v>43465</v>
      </c>
      <c r="F1319" s="11">
        <v>-34.422561780000002</v>
      </c>
      <c r="G1319" s="11">
        <v>18.788410890000002</v>
      </c>
      <c r="H1319" s="11">
        <v>-17.3304663483</v>
      </c>
      <c r="I1319" s="11">
        <v>34.9984595564</v>
      </c>
      <c r="J1319" s="11">
        <v>12.866395560899999</v>
      </c>
      <c r="K1319" s="10">
        <v>0.50332650051200001</v>
      </c>
      <c r="L1319" s="12">
        <v>2177309472</v>
      </c>
      <c r="M1319">
        <v>31.942750034692601</v>
      </c>
      <c r="N1319" s="7">
        <v>2.9495182412480498</v>
      </c>
      <c r="O1319" s="7">
        <v>3.8228449608858202</v>
      </c>
      <c r="P1319" s="7">
        <v>-613.24196926302795</v>
      </c>
      <c r="Q1319" s="7">
        <v>1.5810276679841897</v>
      </c>
      <c r="U1319">
        <v>0.36758401222438875</v>
      </c>
      <c r="AT1319" s="4" t="s">
        <v>4956</v>
      </c>
    </row>
    <row r="1320" spans="1:46">
      <c r="A1320" s="2">
        <v>1285</v>
      </c>
      <c r="B1320" t="s">
        <v>5966</v>
      </c>
      <c r="C1320" t="s">
        <v>2237</v>
      </c>
      <c r="D1320" t="s">
        <v>3778</v>
      </c>
      <c r="E1320" s="4">
        <v>43465</v>
      </c>
      <c r="F1320" s="11">
        <v>-9.9420221299999998</v>
      </c>
      <c r="G1320" s="11">
        <v>18.78579611</v>
      </c>
      <c r="H1320" s="11">
        <v>19.901165259599999</v>
      </c>
      <c r="I1320" s="11">
        <v>11.9557611401</v>
      </c>
      <c r="J1320" s="11">
        <v>2.6317626785999999</v>
      </c>
      <c r="K1320" s="10">
        <v>0.91362967746900003</v>
      </c>
      <c r="L1320" s="12">
        <v>9130946433.0400009</v>
      </c>
      <c r="M1320">
        <v>56.000026217418203</v>
      </c>
      <c r="N1320" s="7">
        <v>2.4671952297157902</v>
      </c>
      <c r="O1320" s="7">
        <v>2.43314988055646</v>
      </c>
      <c r="P1320" s="7">
        <v>-29.771445743938799</v>
      </c>
      <c r="Q1320" s="7">
        <v>0.23486430062630478</v>
      </c>
      <c r="U1320">
        <v>0.20346662241399624</v>
      </c>
      <c r="AT1320" s="4" t="s">
        <v>5967</v>
      </c>
    </row>
    <row r="1321" spans="1:46">
      <c r="A1321" s="2">
        <v>1050</v>
      </c>
      <c r="B1321" t="s">
        <v>5968</v>
      </c>
      <c r="C1321" t="s">
        <v>1649</v>
      </c>
      <c r="D1321" t="s">
        <v>3752</v>
      </c>
      <c r="E1321" s="4">
        <v>43465</v>
      </c>
      <c r="F1321" s="11">
        <v>-19.462472429999998</v>
      </c>
      <c r="G1321" s="11">
        <v>18.7804878</v>
      </c>
      <c r="H1321" s="11">
        <v>1.6372221165</v>
      </c>
      <c r="I1321" s="11">
        <v>14.511340089300001</v>
      </c>
      <c r="J1321" s="11">
        <v>2.1379154156000002</v>
      </c>
      <c r="K1321" s="10">
        <v>0.79993400124000003</v>
      </c>
      <c r="L1321" s="12">
        <v>26410994430.700001</v>
      </c>
      <c r="M1321">
        <v>39.872345156639703</v>
      </c>
      <c r="N1321" s="7">
        <v>1.3503546396650401</v>
      </c>
      <c r="O1321" s="7">
        <v>0.51612577114178904</v>
      </c>
      <c r="P1321" s="7">
        <v>-480.45341866916101</v>
      </c>
      <c r="Q1321" s="7">
        <v>2.1551724137931036</v>
      </c>
      <c r="U1321">
        <v>0.17396626568656567</v>
      </c>
      <c r="AT1321" s="4" t="s">
        <v>4282</v>
      </c>
    </row>
    <row r="1322" spans="1:46">
      <c r="A1322" s="2">
        <v>2898</v>
      </c>
      <c r="B1322" t="s">
        <v>5969</v>
      </c>
      <c r="C1322" t="s">
        <v>2824</v>
      </c>
      <c r="D1322" t="s">
        <v>3889</v>
      </c>
      <c r="E1322" s="4">
        <v>43465</v>
      </c>
      <c r="F1322" s="11">
        <v>-6.7212016099999996</v>
      </c>
      <c r="G1322" s="11">
        <v>18.775510199999999</v>
      </c>
      <c r="H1322" s="11">
        <v>-2.5169953038999999</v>
      </c>
      <c r="I1322" s="11">
        <v>35.763608870100001</v>
      </c>
      <c r="J1322" s="11">
        <v>2.1737698425</v>
      </c>
      <c r="K1322" s="10">
        <v>0.35838396086699997</v>
      </c>
      <c r="L1322" s="12">
        <v>12880082562.379999</v>
      </c>
      <c r="M1322">
        <v>-48.510617252761499</v>
      </c>
      <c r="N1322" s="7">
        <v>2.18841828018873</v>
      </c>
      <c r="O1322" s="7">
        <v>3.9125152372749601</v>
      </c>
      <c r="P1322" s="7">
        <v>74.622482299097896</v>
      </c>
      <c r="Q1322" s="7">
        <v>0.19646365422396855</v>
      </c>
      <c r="U1322">
        <v>3.0295863283317917E-2</v>
      </c>
      <c r="AT1322" s="4" t="s">
        <v>5784</v>
      </c>
    </row>
    <row r="1323" spans="1:46">
      <c r="A1323" s="2">
        <v>1871</v>
      </c>
      <c r="B1323" t="s">
        <v>5970</v>
      </c>
      <c r="C1323" t="s">
        <v>267</v>
      </c>
      <c r="D1323" t="s">
        <v>3769</v>
      </c>
      <c r="E1323" s="4">
        <v>43465</v>
      </c>
      <c r="F1323" s="11">
        <v>21.750267709999999</v>
      </c>
      <c r="G1323" s="11">
        <v>18.774445889999999</v>
      </c>
      <c r="H1323" s="11">
        <v>2.4111776399</v>
      </c>
      <c r="I1323" s="11">
        <v>59.733233955199999</v>
      </c>
      <c r="J1323" s="11">
        <v>38.971087380299998</v>
      </c>
      <c r="K1323" s="10">
        <v>0.41462010717600001</v>
      </c>
      <c r="L1323" s="12">
        <v>4993431360</v>
      </c>
      <c r="M1323">
        <v>19.022577971119301</v>
      </c>
      <c r="N1323" s="7">
        <v>3.04410811611318</v>
      </c>
      <c r="O1323" s="7">
        <v>7.1625223968120801</v>
      </c>
      <c r="P1323" s="7">
        <v>41.0051900638978</v>
      </c>
      <c r="Q1323" s="7">
        <v>1.2903225806451613</v>
      </c>
      <c r="U1323">
        <v>0.8392734543973942</v>
      </c>
      <c r="AT1323" s="4" t="s">
        <v>4377</v>
      </c>
    </row>
    <row r="1324" spans="1:46">
      <c r="A1324" s="2">
        <v>2638</v>
      </c>
      <c r="B1324" t="s">
        <v>5971</v>
      </c>
      <c r="C1324" t="s">
        <v>442</v>
      </c>
      <c r="D1324" t="s">
        <v>3721</v>
      </c>
      <c r="E1324" s="4">
        <v>43465</v>
      </c>
      <c r="F1324" s="11">
        <v>2.8460667700000002</v>
      </c>
      <c r="G1324" s="11">
        <v>18.770764119999999</v>
      </c>
      <c r="H1324" s="11">
        <v>1.4012300535</v>
      </c>
      <c r="I1324" s="11">
        <v>43.236615837400002</v>
      </c>
      <c r="J1324" s="11">
        <v>26.726225984100001</v>
      </c>
      <c r="K1324" s="10">
        <v>0.60743849573300002</v>
      </c>
      <c r="L1324" s="12">
        <v>2244340832.3000002</v>
      </c>
      <c r="M1324">
        <v>21.7119293676237</v>
      </c>
      <c r="N1324" s="7">
        <v>3.8911295586192698</v>
      </c>
      <c r="O1324" s="7">
        <v>5.4818476896224997</v>
      </c>
      <c r="P1324" s="7">
        <v>-30.193595867366401</v>
      </c>
      <c r="Q1324" s="7">
        <v>3.1026252983293556</v>
      </c>
      <c r="U1324">
        <v>2.0082495228444444</v>
      </c>
      <c r="AT1324" s="4" t="s">
        <v>5972</v>
      </c>
    </row>
    <row r="1325" spans="1:46">
      <c r="A1325" s="2">
        <v>1678</v>
      </c>
      <c r="B1325" t="s">
        <v>5973</v>
      </c>
      <c r="C1325" t="s">
        <v>1730</v>
      </c>
      <c r="D1325" t="s">
        <v>3713</v>
      </c>
      <c r="E1325" s="4">
        <v>43465</v>
      </c>
      <c r="F1325" s="11">
        <v>123.73772682000001</v>
      </c>
      <c r="G1325" s="11">
        <v>18.699839489999999</v>
      </c>
      <c r="H1325" s="11">
        <v>19.522645508299998</v>
      </c>
      <c r="I1325" s="11">
        <v>51.9995977532</v>
      </c>
      <c r="J1325" s="11">
        <v>21.325916070800002</v>
      </c>
      <c r="K1325" s="10">
        <v>0.36196980999700001</v>
      </c>
      <c r="L1325" s="12">
        <v>1888471200</v>
      </c>
      <c r="M1325">
        <v>78.470347617478396</v>
      </c>
      <c r="N1325" s="7">
        <v>7.6008324484785597</v>
      </c>
      <c r="O1325" s="7">
        <v>14.0421968777454</v>
      </c>
      <c r="P1325" s="7">
        <v>-287.40261799901702</v>
      </c>
      <c r="Q1325" s="7">
        <v>0.12986794883597733</v>
      </c>
      <c r="U1325">
        <v>0.18695782183093376</v>
      </c>
      <c r="AT1325" s="4" t="s">
        <v>5974</v>
      </c>
    </row>
    <row r="1326" spans="1:46">
      <c r="A1326" s="2">
        <v>1490</v>
      </c>
      <c r="B1326" t="s">
        <v>5975</v>
      </c>
      <c r="C1326" t="s">
        <v>1117</v>
      </c>
      <c r="D1326" t="s">
        <v>4046</v>
      </c>
      <c r="E1326" s="4">
        <v>43465</v>
      </c>
      <c r="F1326" s="11">
        <v>-32.790414980000001</v>
      </c>
      <c r="G1326" s="11">
        <v>18.688845400000002</v>
      </c>
      <c r="H1326" s="11">
        <v>-4.4145182014</v>
      </c>
      <c r="I1326" s="11">
        <v>39.738754081099998</v>
      </c>
      <c r="J1326" s="11">
        <v>17.843141932799998</v>
      </c>
      <c r="K1326" s="10">
        <v>0.35135532918000001</v>
      </c>
      <c r="L1326" s="12">
        <v>4404151800</v>
      </c>
      <c r="M1326">
        <v>43.813474603490697</v>
      </c>
      <c r="N1326" s="7">
        <v>2.9219478493320898</v>
      </c>
      <c r="O1326" s="7">
        <v>4.8782752752004503</v>
      </c>
      <c r="P1326" s="7">
        <v>42.474764980530601</v>
      </c>
      <c r="Q1326" s="7">
        <v>0.26690391459074736</v>
      </c>
      <c r="U1326">
        <v>0.26538256807729815</v>
      </c>
      <c r="AT1326" s="4" t="s">
        <v>4980</v>
      </c>
    </row>
    <row r="1327" spans="1:46">
      <c r="A1327" s="2">
        <v>1061</v>
      </c>
      <c r="B1327" t="s">
        <v>5976</v>
      </c>
      <c r="C1327" t="s">
        <v>651</v>
      </c>
      <c r="D1327" t="s">
        <v>3737</v>
      </c>
      <c r="E1327" s="4">
        <v>43465</v>
      </c>
      <c r="F1327" s="11">
        <v>-12.187564719999999</v>
      </c>
      <c r="G1327" s="11">
        <v>18.684210530000001</v>
      </c>
      <c r="H1327" s="11">
        <v>24.046989515300002</v>
      </c>
      <c r="I1327" s="11">
        <v>48.892363204500001</v>
      </c>
      <c r="J1327" s="11">
        <v>15.9679427243</v>
      </c>
      <c r="K1327" s="10">
        <v>0.424797832918</v>
      </c>
      <c r="L1327" s="12">
        <v>3061192392</v>
      </c>
      <c r="M1327">
        <v>43.199516261195797</v>
      </c>
      <c r="N1327" s="7">
        <v>1.9311923177902299</v>
      </c>
      <c r="O1327" s="7">
        <v>3.7060611741200402</v>
      </c>
      <c r="P1327" s="7">
        <v>32.509792454779401</v>
      </c>
      <c r="Q1327" s="7">
        <v>2.7273259953585742</v>
      </c>
      <c r="U1327">
        <v>0.17292894078124998</v>
      </c>
      <c r="AT1327" s="4" t="s">
        <v>4672</v>
      </c>
    </row>
    <row r="1328" spans="1:46">
      <c r="A1328" s="2">
        <v>1984</v>
      </c>
      <c r="B1328" t="s">
        <v>5977</v>
      </c>
      <c r="C1328" t="s">
        <v>1887</v>
      </c>
      <c r="D1328" t="s">
        <v>3713</v>
      </c>
      <c r="E1328" s="4">
        <v>43465</v>
      </c>
      <c r="F1328" s="11">
        <v>43.65830072</v>
      </c>
      <c r="G1328" s="11">
        <v>18.683001529999999</v>
      </c>
      <c r="H1328" s="11">
        <v>1.0584641239999999</v>
      </c>
      <c r="I1328" s="11">
        <v>50.877293878099998</v>
      </c>
      <c r="J1328" s="11">
        <v>10.604205996199999</v>
      </c>
      <c r="K1328" s="10">
        <v>0.31390720320799997</v>
      </c>
      <c r="L1328" s="12">
        <v>4791115660.3199997</v>
      </c>
      <c r="M1328">
        <v>74.214823285346696</v>
      </c>
      <c r="N1328" s="7">
        <v>3.24720182313128</v>
      </c>
      <c r="O1328" s="7">
        <v>9.2109482304260304</v>
      </c>
      <c r="P1328" s="7">
        <v>-67.815474671226795</v>
      </c>
      <c r="Q1328" s="7">
        <v>1.0243538646606618</v>
      </c>
      <c r="U1328">
        <v>0.15279319599499805</v>
      </c>
      <c r="AT1328" s="4" t="s">
        <v>5978</v>
      </c>
    </row>
    <row r="1329" spans="1:46">
      <c r="A1329" s="2">
        <v>533</v>
      </c>
      <c r="B1329" t="s">
        <v>5979</v>
      </c>
      <c r="C1329" t="s">
        <v>1109</v>
      </c>
      <c r="D1329" t="s">
        <v>3737</v>
      </c>
      <c r="E1329" s="4">
        <v>43465</v>
      </c>
      <c r="F1329" s="11">
        <v>-13.314123</v>
      </c>
      <c r="G1329" s="11">
        <v>18.656716419999999</v>
      </c>
      <c r="H1329" s="11">
        <v>24.847457339399998</v>
      </c>
      <c r="I1329" s="11">
        <v>40.8597863002</v>
      </c>
      <c r="J1329" s="11">
        <v>12.401436352299999</v>
      </c>
      <c r="K1329" s="10">
        <v>0.64000298225499996</v>
      </c>
      <c r="L1329" s="12">
        <v>51870888960</v>
      </c>
      <c r="M1329">
        <v>21.9200371747168</v>
      </c>
      <c r="N1329" s="7">
        <v>3.6578011178675398</v>
      </c>
      <c r="O1329" s="7">
        <v>2.50969632354898</v>
      </c>
      <c r="P1329" s="7">
        <v>-21.2275214759925</v>
      </c>
      <c r="Q1329" s="7">
        <v>0.59633027522935778</v>
      </c>
      <c r="U1329">
        <v>0.40327851959001465</v>
      </c>
      <c r="AT1329" s="4" t="s">
        <v>5980</v>
      </c>
    </row>
    <row r="1330" spans="1:46">
      <c r="A1330" s="2">
        <v>35</v>
      </c>
      <c r="B1330" t="s">
        <v>5981</v>
      </c>
      <c r="C1330" t="s">
        <v>2479</v>
      </c>
      <c r="D1330" t="s">
        <v>3764</v>
      </c>
      <c r="E1330" s="4">
        <v>43465</v>
      </c>
      <c r="F1330" s="11">
        <v>-8.18452381</v>
      </c>
      <c r="G1330" s="11">
        <v>18.65384615</v>
      </c>
      <c r="H1330" s="11">
        <v>14.584121250100001</v>
      </c>
      <c r="I1330" s="11">
        <v>36.382687655799998</v>
      </c>
      <c r="J1330" s="11">
        <v>12.0363664802</v>
      </c>
      <c r="K1330" s="10">
        <v>0.21806056226500001</v>
      </c>
      <c r="L1330" s="12">
        <v>1806757000</v>
      </c>
      <c r="M1330">
        <v>29.271424654690499</v>
      </c>
      <c r="N1330" s="7">
        <v>2.1902339724803301</v>
      </c>
      <c r="O1330" s="7">
        <v>3.5391791187455501</v>
      </c>
      <c r="P1330" s="7">
        <v>-92.823721938699194</v>
      </c>
      <c r="Q1330" s="7" t="s">
        <v>3698</v>
      </c>
      <c r="U1330">
        <v>0.16018429029370998</v>
      </c>
      <c r="AT1330" s="4" t="s">
        <v>4665</v>
      </c>
    </row>
    <row r="1331" spans="1:46">
      <c r="A1331" s="2">
        <v>3157</v>
      </c>
      <c r="B1331" t="s">
        <v>5982</v>
      </c>
      <c r="C1331" t="s">
        <v>671</v>
      </c>
      <c r="D1331" t="s">
        <v>3837</v>
      </c>
      <c r="E1331" s="4">
        <v>43465</v>
      </c>
      <c r="F1331" s="11">
        <v>19.056831630000001</v>
      </c>
      <c r="G1331" s="11">
        <v>18.648648649999998</v>
      </c>
      <c r="H1331" s="11">
        <v>20.026129559099999</v>
      </c>
      <c r="I1331" s="11" t="s">
        <v>3698</v>
      </c>
      <c r="J1331" s="11">
        <v>30.587605674700001</v>
      </c>
      <c r="K1331" s="10" t="s">
        <v>3698</v>
      </c>
      <c r="L1331" s="12">
        <v>1876646070</v>
      </c>
      <c r="M1331">
        <v>5.7501193726069602</v>
      </c>
      <c r="N1331" s="7">
        <v>0.68120295690198895</v>
      </c>
      <c r="O1331" s="7">
        <v>1.8600023158752701</v>
      </c>
      <c r="P1331" s="7">
        <v>6.8492428781449499</v>
      </c>
      <c r="Q1331" s="7">
        <v>3.8983033096279756</v>
      </c>
      <c r="U1331">
        <v>0.64125492656442717</v>
      </c>
      <c r="AT1331" s="4" t="s">
        <v>3774</v>
      </c>
    </row>
    <row r="1332" spans="1:46">
      <c r="A1332" s="2">
        <v>2715</v>
      </c>
      <c r="B1332" t="s">
        <v>5983</v>
      </c>
      <c r="C1332" t="s">
        <v>1941</v>
      </c>
      <c r="D1332" t="s">
        <v>3778</v>
      </c>
      <c r="E1332" s="4">
        <v>43465</v>
      </c>
      <c r="F1332" s="11">
        <v>6.6188050499999997</v>
      </c>
      <c r="G1332" s="11">
        <v>18.647540979999999</v>
      </c>
      <c r="H1332" s="11">
        <v>11.780121256699999</v>
      </c>
      <c r="I1332" s="11">
        <v>7.7232999147000001</v>
      </c>
      <c r="J1332" s="11">
        <v>6.5360770993999999</v>
      </c>
      <c r="K1332" s="10">
        <v>0.63708412109900003</v>
      </c>
      <c r="L1332" s="12">
        <v>4959591000</v>
      </c>
      <c r="M1332">
        <v>17.532368604599</v>
      </c>
      <c r="N1332" s="7">
        <v>0.85592435430041403</v>
      </c>
      <c r="O1332" s="7">
        <v>0.62123250726388102</v>
      </c>
      <c r="P1332" s="7">
        <v>-78.396365874263395</v>
      </c>
      <c r="Q1332" s="7">
        <v>3.1254997282039039</v>
      </c>
      <c r="U1332">
        <v>0.4011245212242629</v>
      </c>
      <c r="AT1332" s="4" t="s">
        <v>5984</v>
      </c>
    </row>
    <row r="1333" spans="1:46">
      <c r="A1333" s="2">
        <v>2936</v>
      </c>
      <c r="B1333" t="s">
        <v>5985</v>
      </c>
      <c r="C1333" t="s">
        <v>3068</v>
      </c>
      <c r="D1333" t="s">
        <v>3764</v>
      </c>
      <c r="E1333" s="4">
        <v>43465</v>
      </c>
      <c r="F1333" s="11">
        <v>-3.2738098</v>
      </c>
      <c r="G1333" s="11">
        <v>18.614718610000001</v>
      </c>
      <c r="H1333" s="11">
        <v>16.638910990999999</v>
      </c>
      <c r="I1333" s="11">
        <v>21.429559909599998</v>
      </c>
      <c r="J1333" s="11">
        <v>7.9567642368999998</v>
      </c>
      <c r="K1333" s="10">
        <v>0.31938811250400001</v>
      </c>
      <c r="L1333" s="12">
        <v>5987207380.5</v>
      </c>
      <c r="M1333">
        <v>29.528130062707099</v>
      </c>
      <c r="N1333" s="7">
        <v>1.24632589054899</v>
      </c>
      <c r="O1333" s="7">
        <v>1.0221452292614499</v>
      </c>
      <c r="P1333" s="7">
        <v>31.429149791042601</v>
      </c>
      <c r="Q1333" s="7">
        <v>3.7065519464596819</v>
      </c>
      <c r="U1333">
        <v>0.13475897967913097</v>
      </c>
      <c r="AT1333" s="4" t="s">
        <v>4047</v>
      </c>
    </row>
    <row r="1334" spans="1:46">
      <c r="A1334" s="2">
        <v>3410</v>
      </c>
      <c r="B1334" t="s">
        <v>5986</v>
      </c>
      <c r="C1334" t="s">
        <v>1847</v>
      </c>
      <c r="D1334" t="s">
        <v>3849</v>
      </c>
      <c r="E1334" s="4">
        <v>43465</v>
      </c>
      <c r="F1334" s="11">
        <v>-30.908042869999999</v>
      </c>
      <c r="G1334" s="11">
        <v>18.60019175</v>
      </c>
      <c r="H1334" s="11">
        <v>13.430280783600001</v>
      </c>
      <c r="I1334" s="11">
        <v>39.875909801600002</v>
      </c>
      <c r="J1334" s="11">
        <v>24.232737246599999</v>
      </c>
      <c r="K1334" s="10">
        <v>0.38070731537800001</v>
      </c>
      <c r="L1334" s="12">
        <v>3205080000</v>
      </c>
      <c r="M1334">
        <v>31.684785754058598</v>
      </c>
      <c r="N1334" s="7">
        <v>2.1835386078963399</v>
      </c>
      <c r="O1334" s="7">
        <v>6.1500477592147096</v>
      </c>
      <c r="P1334" s="7">
        <v>-66.598335452746696</v>
      </c>
      <c r="Q1334" s="7">
        <v>1.7050298380221656</v>
      </c>
      <c r="U1334">
        <v>0.4669765473356009</v>
      </c>
      <c r="AT1334" s="4" t="s">
        <v>5987</v>
      </c>
    </row>
    <row r="1335" spans="1:46">
      <c r="A1335" s="2">
        <v>1943</v>
      </c>
      <c r="B1335" t="s">
        <v>5988</v>
      </c>
      <c r="C1335" t="s">
        <v>2817</v>
      </c>
      <c r="D1335" t="s">
        <v>3713</v>
      </c>
      <c r="E1335" s="4">
        <v>43465</v>
      </c>
      <c r="F1335" s="11">
        <v>-47.678263880000003</v>
      </c>
      <c r="G1335" s="11">
        <v>18.57758621</v>
      </c>
      <c r="H1335" s="11">
        <v>68.826068214399996</v>
      </c>
      <c r="I1335" s="11">
        <v>29.131522761700001</v>
      </c>
      <c r="J1335" s="11">
        <v>4.9123464609000003</v>
      </c>
      <c r="K1335" s="10">
        <v>0.25269807801100003</v>
      </c>
      <c r="L1335" s="12">
        <v>11126250000</v>
      </c>
      <c r="M1335">
        <v>-3515.31482866546</v>
      </c>
      <c r="N1335" s="7">
        <v>2.92346700892212</v>
      </c>
      <c r="O1335" s="7">
        <v>5.6027441087790004</v>
      </c>
      <c r="P1335" s="7">
        <v>-12.797201163801599</v>
      </c>
      <c r="Q1335" s="7">
        <v>8.133387555917039E-2</v>
      </c>
      <c r="U1335">
        <v>0.10884285279622885</v>
      </c>
      <c r="AT1335" s="4" t="s">
        <v>5989</v>
      </c>
    </row>
    <row r="1336" spans="1:46">
      <c r="A1336" s="2">
        <v>3295</v>
      </c>
      <c r="B1336" t="s">
        <v>5990</v>
      </c>
      <c r="C1336" t="s">
        <v>1503</v>
      </c>
      <c r="D1336" t="s">
        <v>3849</v>
      </c>
      <c r="E1336" s="4">
        <v>43465</v>
      </c>
      <c r="F1336" s="11">
        <v>-22.085701190000002</v>
      </c>
      <c r="G1336" s="11">
        <v>18.5546875</v>
      </c>
      <c r="H1336" s="11">
        <v>5.3451719744000004</v>
      </c>
      <c r="I1336" s="11">
        <v>22.5612794203</v>
      </c>
      <c r="J1336" s="11">
        <v>7.9811362709999996</v>
      </c>
      <c r="K1336" s="10">
        <v>0.44137820587600002</v>
      </c>
      <c r="L1336" s="12">
        <v>24583735613.080002</v>
      </c>
      <c r="M1336">
        <v>39.0623244369094</v>
      </c>
      <c r="N1336" s="7">
        <v>1.4529753405189201</v>
      </c>
      <c r="O1336" s="7">
        <v>2.1443389487225</v>
      </c>
      <c r="P1336" s="7">
        <v>17.660402595528101</v>
      </c>
      <c r="Q1336" s="7">
        <v>2.9077200488644426</v>
      </c>
      <c r="U1336">
        <v>0.18757950986677327</v>
      </c>
      <c r="AT1336" s="4" t="s">
        <v>5991</v>
      </c>
    </row>
    <row r="1337" spans="1:46">
      <c r="A1337" s="2">
        <v>1844</v>
      </c>
      <c r="B1337" t="s">
        <v>5992</v>
      </c>
      <c r="C1337" t="s">
        <v>2680</v>
      </c>
      <c r="D1337" t="s">
        <v>3713</v>
      </c>
      <c r="E1337" s="4">
        <v>43465</v>
      </c>
      <c r="F1337" s="11">
        <v>-35.633854650000004</v>
      </c>
      <c r="G1337" s="11">
        <v>18.497109829999999</v>
      </c>
      <c r="H1337" s="11">
        <v>0.97248316170000004</v>
      </c>
      <c r="I1337" s="11">
        <v>18.4569596923</v>
      </c>
      <c r="J1337" s="11">
        <v>-115.4554126697</v>
      </c>
      <c r="K1337" s="10">
        <v>0.36187494423700001</v>
      </c>
      <c r="L1337" s="12">
        <v>4853741486.6499996</v>
      </c>
      <c r="M1337">
        <v>77.221858570147106</v>
      </c>
      <c r="N1337" s="7">
        <v>2.4776870113559601</v>
      </c>
      <c r="O1337" s="7">
        <v>3.4927074798439599</v>
      </c>
      <c r="P1337" s="7">
        <v>-12.6852830817419</v>
      </c>
      <c r="Q1337" s="7" t="s">
        <v>3698</v>
      </c>
      <c r="U1337">
        <v>-1.7374467087856096</v>
      </c>
      <c r="AT1337" s="4" t="s">
        <v>4290</v>
      </c>
    </row>
    <row r="1338" spans="1:46">
      <c r="A1338" s="2">
        <v>1954</v>
      </c>
      <c r="B1338" t="s">
        <v>5993</v>
      </c>
      <c r="C1338" t="s">
        <v>1371</v>
      </c>
      <c r="D1338" t="s">
        <v>3752</v>
      </c>
      <c r="E1338" s="4">
        <v>43465</v>
      </c>
      <c r="F1338" s="11">
        <v>48.545111630000001</v>
      </c>
      <c r="G1338" s="11">
        <v>18.395303330000001</v>
      </c>
      <c r="H1338" s="11">
        <v>30.827050271400001</v>
      </c>
      <c r="I1338" s="11">
        <v>40.809311235700001</v>
      </c>
      <c r="J1338" s="11">
        <v>31.021960795199998</v>
      </c>
      <c r="K1338" s="10">
        <v>0.33219117183899999</v>
      </c>
      <c r="L1338" s="12">
        <v>5862285500</v>
      </c>
      <c r="M1338">
        <v>62.508068175026899</v>
      </c>
      <c r="N1338" s="7">
        <v>4.2613516592840304</v>
      </c>
      <c r="O1338" s="7">
        <v>14.633998398877001</v>
      </c>
      <c r="P1338" s="7">
        <v>117.246597178746</v>
      </c>
      <c r="Q1338" s="7">
        <v>0.34100011442956857</v>
      </c>
      <c r="U1338">
        <v>0.78364264324063282</v>
      </c>
      <c r="AT1338" s="4" t="s">
        <v>5994</v>
      </c>
    </row>
    <row r="1339" spans="1:46">
      <c r="A1339" s="2">
        <v>2016</v>
      </c>
      <c r="B1339" t="s">
        <v>5995</v>
      </c>
      <c r="C1339" t="s">
        <v>518</v>
      </c>
      <c r="D1339" t="s">
        <v>3752</v>
      </c>
      <c r="E1339" s="4">
        <v>43465</v>
      </c>
      <c r="F1339" s="11">
        <v>99.065742990000004</v>
      </c>
      <c r="G1339" s="11">
        <v>18.387096769999999</v>
      </c>
      <c r="H1339" s="11">
        <v>30.2290280448</v>
      </c>
      <c r="I1339" s="11">
        <v>31.124588026600001</v>
      </c>
      <c r="J1339" s="11">
        <v>13.178673696600001</v>
      </c>
      <c r="K1339" s="10">
        <v>0.84816768238100004</v>
      </c>
      <c r="L1339" s="12">
        <v>3940533249.4400001</v>
      </c>
      <c r="M1339">
        <v>32.337343238846501</v>
      </c>
      <c r="N1339" s="7">
        <v>5.3419017208708599</v>
      </c>
      <c r="O1339" s="7">
        <v>3.9818015892302001</v>
      </c>
      <c r="P1339" s="7">
        <v>-114.014845416962</v>
      </c>
      <c r="Q1339" s="7">
        <v>0.4232295464097301</v>
      </c>
      <c r="U1339">
        <v>1.0726306722777776</v>
      </c>
      <c r="AT1339" s="4" t="s">
        <v>4740</v>
      </c>
    </row>
    <row r="1340" spans="1:46">
      <c r="A1340" s="2">
        <v>3186</v>
      </c>
      <c r="B1340" t="s">
        <v>5996</v>
      </c>
      <c r="C1340" t="s">
        <v>1349</v>
      </c>
      <c r="D1340" t="s">
        <v>3849</v>
      </c>
      <c r="E1340" s="4">
        <v>43465</v>
      </c>
      <c r="F1340" s="11">
        <v>4.7397039599999999</v>
      </c>
      <c r="G1340" s="11">
        <v>18.361581919999999</v>
      </c>
      <c r="H1340" s="11">
        <v>14.913589098399999</v>
      </c>
      <c r="I1340" s="11">
        <v>25.924173096499999</v>
      </c>
      <c r="J1340" s="11">
        <v>14.6594858626</v>
      </c>
      <c r="K1340" s="10">
        <v>0.50705872139800001</v>
      </c>
      <c r="L1340" s="12">
        <v>6009670606.2399998</v>
      </c>
      <c r="M1340">
        <v>20.378553821185498</v>
      </c>
      <c r="N1340" s="7">
        <v>1.5389972702379999</v>
      </c>
      <c r="O1340" s="7">
        <v>2.49046477085817</v>
      </c>
      <c r="P1340" s="7">
        <v>-24.627437950862198</v>
      </c>
      <c r="Q1340" s="7">
        <v>3.5161744022503516</v>
      </c>
      <c r="U1340">
        <v>0.4156603416263504</v>
      </c>
      <c r="AT1340" s="4" t="s">
        <v>5997</v>
      </c>
    </row>
    <row r="1341" spans="1:46">
      <c r="A1341" s="2">
        <v>1449</v>
      </c>
      <c r="B1341" t="s">
        <v>5998</v>
      </c>
      <c r="C1341" t="s">
        <v>3355</v>
      </c>
      <c r="D1341" t="s">
        <v>3837</v>
      </c>
      <c r="E1341" s="4">
        <v>43465</v>
      </c>
      <c r="F1341" s="11">
        <v>-32.219127210000003</v>
      </c>
      <c r="G1341" s="11">
        <v>18.286655679999999</v>
      </c>
      <c r="H1341" s="11">
        <v>-42.035443770000001</v>
      </c>
      <c r="I1341" s="11">
        <v>-25.991430991600001</v>
      </c>
      <c r="J1341" s="11">
        <v>-145.40153509340001</v>
      </c>
      <c r="K1341" s="10">
        <v>7.1673934401999997E-2</v>
      </c>
      <c r="L1341" s="12">
        <v>15571705922.49</v>
      </c>
      <c r="M1341">
        <v>-14.788496644441</v>
      </c>
      <c r="N1341" s="7">
        <v>3.8606001112585799</v>
      </c>
      <c r="O1341" s="7">
        <v>3.34814165709839</v>
      </c>
      <c r="P1341" s="7">
        <v>-4.5449548026645399</v>
      </c>
      <c r="Q1341" s="7" t="s">
        <v>3698</v>
      </c>
      <c r="U1341">
        <v>-1.8209321699289742</v>
      </c>
      <c r="AT1341" s="4" t="s">
        <v>3770</v>
      </c>
    </row>
    <row r="1342" spans="1:46">
      <c r="A1342" s="2">
        <v>271</v>
      </c>
      <c r="B1342" t="s">
        <v>5999</v>
      </c>
      <c r="C1342" t="s">
        <v>1713</v>
      </c>
      <c r="D1342" t="s">
        <v>3764</v>
      </c>
      <c r="E1342" s="4">
        <v>43465</v>
      </c>
      <c r="F1342" s="11">
        <v>-15.93435833</v>
      </c>
      <c r="G1342" s="11">
        <v>18.285714290000001</v>
      </c>
      <c r="H1342" s="11">
        <v>14.8809603037</v>
      </c>
      <c r="I1342" s="11">
        <v>29.966033595500001</v>
      </c>
      <c r="J1342" s="11">
        <v>35.803465748800001</v>
      </c>
      <c r="K1342" s="10">
        <v>0.12349465938699999</v>
      </c>
      <c r="L1342" s="12">
        <v>231477899338.98001</v>
      </c>
      <c r="M1342">
        <v>13.336906979939499</v>
      </c>
      <c r="N1342" s="7">
        <v>0.84082905284127896</v>
      </c>
      <c r="O1342" s="7">
        <v>5.8527502659791502</v>
      </c>
      <c r="P1342" s="7">
        <v>33.568184261797398</v>
      </c>
      <c r="Q1342" s="7">
        <v>1.7729591836734691</v>
      </c>
      <c r="U1342">
        <v>0.46536369132719119</v>
      </c>
      <c r="AT1342" s="4" t="s">
        <v>5379</v>
      </c>
    </row>
    <row r="1343" spans="1:46">
      <c r="A1343" s="2">
        <v>1106</v>
      </c>
      <c r="B1343" t="s">
        <v>6000</v>
      </c>
      <c r="C1343" t="s">
        <v>922</v>
      </c>
      <c r="D1343" t="s">
        <v>3718</v>
      </c>
      <c r="E1343" s="4">
        <v>43465</v>
      </c>
      <c r="F1343" s="11">
        <v>2.1092248200000001</v>
      </c>
      <c r="G1343" s="11">
        <v>18.25</v>
      </c>
      <c r="H1343" s="11">
        <v>24.3572053595</v>
      </c>
      <c r="I1343" s="11">
        <v>34.237476442099997</v>
      </c>
      <c r="J1343" s="11">
        <v>19.8384337432</v>
      </c>
      <c r="K1343" s="10">
        <v>0.73231398975200002</v>
      </c>
      <c r="L1343" s="12">
        <v>28538942615.959999</v>
      </c>
      <c r="M1343">
        <v>18.690679969838701</v>
      </c>
      <c r="N1343" s="7">
        <v>2.94746604087582</v>
      </c>
      <c r="O1343" s="7">
        <v>3.73762316934542</v>
      </c>
      <c r="P1343" s="7">
        <v>74.336295442284097</v>
      </c>
      <c r="Q1343" s="7">
        <v>1.982029598308668</v>
      </c>
      <c r="U1343">
        <v>0.9238778848625</v>
      </c>
      <c r="AT1343" s="4" t="s">
        <v>5467</v>
      </c>
    </row>
    <row r="1344" spans="1:46">
      <c r="A1344" s="2">
        <v>979</v>
      </c>
      <c r="B1344" t="s">
        <v>6001</v>
      </c>
      <c r="C1344" t="s">
        <v>249</v>
      </c>
      <c r="D1344" t="s">
        <v>3972</v>
      </c>
      <c r="E1344" s="4">
        <v>43465</v>
      </c>
      <c r="F1344" s="11">
        <v>-18.704139529999999</v>
      </c>
      <c r="G1344" s="11">
        <v>18.23708207</v>
      </c>
      <c r="H1344" s="11">
        <v>34.413202084600002</v>
      </c>
      <c r="I1344" s="11">
        <v>16.240098593500001</v>
      </c>
      <c r="J1344" s="11">
        <v>12.0592389548</v>
      </c>
      <c r="K1344" s="10">
        <v>1.6457773728030001</v>
      </c>
      <c r="L1344" s="12">
        <v>15973304454.25</v>
      </c>
      <c r="M1344">
        <v>16.000191471793201</v>
      </c>
      <c r="N1344" s="7">
        <v>3.50293310305134</v>
      </c>
      <c r="O1344" s="7">
        <v>1.6571337597173701</v>
      </c>
      <c r="P1344" s="7">
        <v>154.90417211346801</v>
      </c>
      <c r="Q1344" s="7">
        <v>2.7472527472527473</v>
      </c>
      <c r="U1344">
        <v>1.3386373620208216</v>
      </c>
      <c r="AT1344" s="4" t="s">
        <v>6002</v>
      </c>
    </row>
    <row r="1345" spans="1:46">
      <c r="A1345" s="2">
        <v>1465</v>
      </c>
      <c r="B1345" t="s">
        <v>6003</v>
      </c>
      <c r="C1345" t="s">
        <v>450</v>
      </c>
      <c r="D1345" t="s">
        <v>3737</v>
      </c>
      <c r="E1345" s="4">
        <v>43465</v>
      </c>
      <c r="F1345" s="11">
        <v>-18.298320870000001</v>
      </c>
      <c r="G1345" s="11">
        <v>18.226600990000001</v>
      </c>
      <c r="H1345" s="11">
        <v>-4.4104000866000002</v>
      </c>
      <c r="I1345" s="11">
        <v>82.431184124200001</v>
      </c>
      <c r="J1345" s="11">
        <v>15.1140131744</v>
      </c>
      <c r="K1345" s="10">
        <v>0.55302940686000002</v>
      </c>
      <c r="L1345" s="12">
        <v>2194416000</v>
      </c>
      <c r="M1345">
        <v>19.977989574548001</v>
      </c>
      <c r="N1345" s="7">
        <v>1.7505187217076701</v>
      </c>
      <c r="O1345" s="7">
        <v>2.9666445606290499</v>
      </c>
      <c r="P1345" s="7">
        <v>23.095428337878701</v>
      </c>
      <c r="Q1345" s="7">
        <v>2.1739130434782608</v>
      </c>
      <c r="U1345">
        <v>0.21167872099679905</v>
      </c>
      <c r="AT1345" s="4" t="s">
        <v>4686</v>
      </c>
    </row>
    <row r="1346" spans="1:46">
      <c r="A1346" s="2">
        <v>3266</v>
      </c>
      <c r="B1346" t="s">
        <v>6004</v>
      </c>
      <c r="C1346" t="s">
        <v>1923</v>
      </c>
      <c r="D1346" t="s">
        <v>3761</v>
      </c>
      <c r="E1346" s="4">
        <v>43465</v>
      </c>
      <c r="F1346" s="11">
        <v>-7.8392819999999999</v>
      </c>
      <c r="G1346" s="11">
        <v>18.218085110000001</v>
      </c>
      <c r="H1346" s="11">
        <v>13.7457078426</v>
      </c>
      <c r="I1346" s="11">
        <v>31.264286572300001</v>
      </c>
      <c r="J1346" s="11">
        <v>10.904523813799999</v>
      </c>
      <c r="K1346" s="10">
        <v>0.73029109764599998</v>
      </c>
      <c r="L1346" s="12">
        <v>2546315200</v>
      </c>
      <c r="M1346">
        <v>23.404327405298101</v>
      </c>
      <c r="N1346" s="7">
        <v>1.31130813756414</v>
      </c>
      <c r="O1346" s="7">
        <v>0.89900023284309405</v>
      </c>
      <c r="P1346" s="7">
        <v>-45.953419110652099</v>
      </c>
      <c r="Q1346" s="7">
        <v>2.4906600249066</v>
      </c>
      <c r="U1346">
        <v>0.97861745967088609</v>
      </c>
      <c r="AT1346" s="4" t="s">
        <v>6005</v>
      </c>
    </row>
    <row r="1347" spans="1:46">
      <c r="A1347" s="2">
        <v>1017</v>
      </c>
      <c r="B1347" t="s">
        <v>6006</v>
      </c>
      <c r="C1347" t="s">
        <v>3586</v>
      </c>
      <c r="D1347" t="s">
        <v>3761</v>
      </c>
      <c r="E1347" s="4">
        <v>43465</v>
      </c>
      <c r="F1347" s="11">
        <v>38.407494149999998</v>
      </c>
      <c r="G1347" s="11">
        <v>18.2</v>
      </c>
      <c r="H1347" s="11">
        <v>-22.537020774799998</v>
      </c>
      <c r="I1347" s="11">
        <v>13.116944913699999</v>
      </c>
      <c r="J1347" s="11">
        <v>0.50474722999999999</v>
      </c>
      <c r="K1347" s="10">
        <v>0.57182866073700001</v>
      </c>
      <c r="L1347" s="12">
        <v>3529884150.3000002</v>
      </c>
      <c r="M1347">
        <v>-89.203120677321905</v>
      </c>
      <c r="N1347" s="7">
        <v>6.70795079808543</v>
      </c>
      <c r="O1347" s="7">
        <v>1.9122910315185699</v>
      </c>
      <c r="P1347" s="7">
        <v>-237.94918912112601</v>
      </c>
      <c r="Q1347" s="7" t="s">
        <v>3698</v>
      </c>
      <c r="U1347">
        <v>8.9129134619943106E-3</v>
      </c>
      <c r="AT1347" s="4" t="s">
        <v>6007</v>
      </c>
    </row>
    <row r="1348" spans="1:46">
      <c r="A1348" s="2">
        <v>1521</v>
      </c>
      <c r="B1348" t="s">
        <v>6008</v>
      </c>
      <c r="C1348" t="s">
        <v>3559</v>
      </c>
      <c r="D1348" t="s">
        <v>3713</v>
      </c>
      <c r="E1348" s="4">
        <v>43465</v>
      </c>
      <c r="F1348" s="11">
        <v>-12.522522520000001</v>
      </c>
      <c r="G1348" s="11">
        <v>18.1598063</v>
      </c>
      <c r="H1348" s="11">
        <v>16.668102000899999</v>
      </c>
      <c r="I1348" s="11">
        <v>52.869615999200001</v>
      </c>
      <c r="J1348" s="11">
        <v>5.2249495289999999</v>
      </c>
      <c r="K1348" s="10">
        <v>0.381578416305</v>
      </c>
      <c r="L1348" s="12">
        <v>2258008147.8000002</v>
      </c>
      <c r="M1348">
        <v>-367.59890402826198</v>
      </c>
      <c r="N1348" s="7">
        <v>4.8630030474927803</v>
      </c>
      <c r="O1348" s="7">
        <v>4.7252908024910996</v>
      </c>
      <c r="P1348" s="7">
        <v>137.718912578089</v>
      </c>
      <c r="Q1348" s="7">
        <v>5.2798310454065467E-2</v>
      </c>
      <c r="U1348">
        <v>3.4104128790697678E-2</v>
      </c>
      <c r="AT1348" s="4" t="s">
        <v>5375</v>
      </c>
    </row>
    <row r="1349" spans="1:46">
      <c r="A1349" s="2">
        <v>2284</v>
      </c>
      <c r="B1349" t="s">
        <v>6009</v>
      </c>
      <c r="C1349" t="s">
        <v>3637</v>
      </c>
      <c r="D1349" t="s">
        <v>3837</v>
      </c>
      <c r="E1349" s="4">
        <v>43465</v>
      </c>
      <c r="F1349" s="11">
        <v>-52.949061659999998</v>
      </c>
      <c r="G1349" s="11">
        <v>18.15181518</v>
      </c>
      <c r="H1349" s="11">
        <v>-36.2753804524</v>
      </c>
      <c r="I1349" s="11">
        <v>35.468282410599997</v>
      </c>
      <c r="J1349" s="11">
        <v>-1.4907118887999999</v>
      </c>
      <c r="K1349" s="10">
        <v>4.3371549271000003E-2</v>
      </c>
      <c r="L1349" s="12">
        <v>3779746110</v>
      </c>
      <c r="M1349">
        <v>-10.7281781524417</v>
      </c>
      <c r="N1349" s="7">
        <v>7.2136540531539399</v>
      </c>
      <c r="O1349" s="7">
        <v>6.3406741277503702</v>
      </c>
      <c r="P1349" s="7">
        <v>-23.840609509700698</v>
      </c>
      <c r="Q1349" s="7" t="s">
        <v>3698</v>
      </c>
      <c r="U1349">
        <v>4.4086906742587702E-3</v>
      </c>
      <c r="AT1349" s="4" t="s">
        <v>6010</v>
      </c>
    </row>
    <row r="1350" spans="1:46">
      <c r="A1350" s="2">
        <v>3121</v>
      </c>
      <c r="B1350" t="s">
        <v>6011</v>
      </c>
      <c r="C1350" t="s">
        <v>1852</v>
      </c>
      <c r="D1350" t="s">
        <v>3871</v>
      </c>
      <c r="E1350" s="4">
        <v>43465</v>
      </c>
      <c r="F1350" s="11">
        <v>-39.730611029999999</v>
      </c>
      <c r="G1350" s="11">
        <v>18.081180809999999</v>
      </c>
      <c r="H1350" s="11">
        <v>15.576916431400001</v>
      </c>
      <c r="I1350" s="11">
        <v>33.485621628799997</v>
      </c>
      <c r="J1350" s="11">
        <v>11.157206489</v>
      </c>
      <c r="K1350" s="10">
        <v>0.20787459431300001</v>
      </c>
      <c r="L1350" s="12">
        <v>7525932518.1999998</v>
      </c>
      <c r="M1350">
        <v>5.9105632237492101</v>
      </c>
      <c r="N1350" s="7">
        <v>0.67073044005271898</v>
      </c>
      <c r="O1350" s="7">
        <v>0.56577209144623897</v>
      </c>
      <c r="P1350" s="7">
        <v>6.1533275214846199</v>
      </c>
      <c r="Q1350" s="7">
        <v>3.9473684210526314</v>
      </c>
      <c r="U1350">
        <v>0.35328321839490112</v>
      </c>
      <c r="AT1350" s="4" t="s">
        <v>6012</v>
      </c>
    </row>
    <row r="1351" spans="1:46">
      <c r="A1351" s="2">
        <v>3553</v>
      </c>
      <c r="B1351" t="s">
        <v>6013</v>
      </c>
      <c r="C1351" t="s">
        <v>2042</v>
      </c>
      <c r="D1351" t="s">
        <v>3752</v>
      </c>
      <c r="E1351" s="4">
        <v>43465</v>
      </c>
      <c r="F1351" s="11">
        <v>-20.471909579999998</v>
      </c>
      <c r="G1351" s="11">
        <v>18.076427649999999</v>
      </c>
      <c r="H1351" s="11">
        <v>17.778798438900001</v>
      </c>
      <c r="I1351" s="11">
        <v>14.017822755799999</v>
      </c>
      <c r="J1351" s="11">
        <v>5.4112600147999999</v>
      </c>
      <c r="K1351" s="10">
        <v>0.74965016070799995</v>
      </c>
      <c r="L1351" s="12">
        <v>8030086142.7600002</v>
      </c>
      <c r="M1351">
        <v>36.946424686249202</v>
      </c>
      <c r="N1351" s="7">
        <v>2.6990624253382598</v>
      </c>
      <c r="O1351" s="7">
        <v>1.65892742791551</v>
      </c>
      <c r="P1351" s="7">
        <v>-82.695423658450693</v>
      </c>
      <c r="Q1351" s="7">
        <v>1.0420465944272106</v>
      </c>
      <c r="U1351">
        <v>0.73273033259452824</v>
      </c>
      <c r="AT1351" s="4" t="s">
        <v>6014</v>
      </c>
    </row>
    <row r="1352" spans="1:46">
      <c r="A1352" s="2">
        <v>1115</v>
      </c>
      <c r="B1352" t="s">
        <v>6015</v>
      </c>
      <c r="C1352" t="s">
        <v>278</v>
      </c>
      <c r="D1352" t="s">
        <v>3781</v>
      </c>
      <c r="E1352" s="4">
        <v>43465</v>
      </c>
      <c r="F1352" s="11">
        <v>-77.574370709999997</v>
      </c>
      <c r="G1352" s="11">
        <v>18.07228916</v>
      </c>
      <c r="H1352" s="11">
        <v>-56.474159632899998</v>
      </c>
      <c r="I1352" s="11">
        <v>18.8101771943</v>
      </c>
      <c r="J1352" s="11">
        <v>-328.11234171519999</v>
      </c>
      <c r="K1352" s="10">
        <v>0.30857700670499999</v>
      </c>
      <c r="L1352" s="12">
        <v>2307579457.5</v>
      </c>
      <c r="M1352">
        <v>-0.64693036388512204</v>
      </c>
      <c r="N1352" s="7">
        <v>-0.29469061358249798</v>
      </c>
      <c r="O1352" s="7">
        <v>0.63772520489368001</v>
      </c>
      <c r="P1352" s="7">
        <v>-1.12895619524275</v>
      </c>
      <c r="Q1352" s="7" t="s">
        <v>3698</v>
      </c>
      <c r="U1352">
        <v>-4.6792335344162126</v>
      </c>
      <c r="AT1352" s="4" t="s">
        <v>6016</v>
      </c>
    </row>
    <row r="1353" spans="1:46">
      <c r="A1353" s="2">
        <v>1534</v>
      </c>
      <c r="B1353" t="s">
        <v>6017</v>
      </c>
      <c r="C1353" t="s">
        <v>1484</v>
      </c>
      <c r="D1353" t="s">
        <v>3737</v>
      </c>
      <c r="E1353" s="4">
        <v>43465</v>
      </c>
      <c r="F1353" s="11">
        <v>-53.602014259999997</v>
      </c>
      <c r="G1353" s="11">
        <v>18.036363640000001</v>
      </c>
      <c r="H1353" s="11">
        <v>42.9205217222</v>
      </c>
      <c r="I1353" s="11">
        <v>45.330821089399997</v>
      </c>
      <c r="J1353" s="11">
        <v>12.972043083699999</v>
      </c>
      <c r="K1353" s="10">
        <v>0.32769869039499999</v>
      </c>
      <c r="L1353" s="12">
        <v>12154917532.24</v>
      </c>
      <c r="M1353">
        <v>31.268854083317699</v>
      </c>
      <c r="N1353" s="7">
        <v>3.5995409599088699</v>
      </c>
      <c r="O1353" s="7">
        <v>4.8263726549760397</v>
      </c>
      <c r="P1353" s="7">
        <v>-16.266504821904999</v>
      </c>
      <c r="Q1353" s="7">
        <v>0.37085237255821463</v>
      </c>
      <c r="U1353">
        <v>0.41088282049743724</v>
      </c>
      <c r="AT1353" s="4" t="s">
        <v>5387</v>
      </c>
    </row>
    <row r="1354" spans="1:46">
      <c r="A1354" s="2">
        <v>3320</v>
      </c>
      <c r="B1354" t="s">
        <v>6018</v>
      </c>
      <c r="C1354" t="s">
        <v>1147</v>
      </c>
      <c r="D1354" t="s">
        <v>4060</v>
      </c>
      <c r="E1354" s="4">
        <v>43465</v>
      </c>
      <c r="F1354" s="11">
        <v>9.6205469099999998</v>
      </c>
      <c r="G1354" s="11">
        <v>18.00623053</v>
      </c>
      <c r="H1354" s="11">
        <v>4.8327895451999998</v>
      </c>
      <c r="I1354" s="11">
        <v>30.3472299998</v>
      </c>
      <c r="J1354" s="11">
        <v>11.8359840431</v>
      </c>
      <c r="K1354" s="10">
        <v>0.81592916212400002</v>
      </c>
      <c r="L1354" s="12">
        <v>15120000000</v>
      </c>
      <c r="M1354">
        <v>23.091709915066399</v>
      </c>
      <c r="N1354" s="7">
        <v>2.2628725168489798</v>
      </c>
      <c r="O1354" s="7">
        <v>2.2559586642067901</v>
      </c>
      <c r="P1354" s="7">
        <v>62.6342289496597</v>
      </c>
      <c r="Q1354" s="7">
        <v>1.2645374050792475</v>
      </c>
      <c r="U1354">
        <v>0.84828685762946987</v>
      </c>
      <c r="AT1354" s="4" t="s">
        <v>6019</v>
      </c>
    </row>
    <row r="1355" spans="1:46">
      <c r="A1355" s="2">
        <v>1964</v>
      </c>
      <c r="B1355" t="s">
        <v>6020</v>
      </c>
      <c r="C1355" t="s">
        <v>3327</v>
      </c>
      <c r="D1355" t="s">
        <v>3718</v>
      </c>
      <c r="E1355" s="4">
        <v>43465</v>
      </c>
      <c r="F1355" s="11">
        <v>-14.530070090000001</v>
      </c>
      <c r="G1355" s="11">
        <v>17.995069839999999</v>
      </c>
      <c r="H1355" s="11">
        <v>43.113352060899999</v>
      </c>
      <c r="I1355" s="11">
        <v>26.7891691347</v>
      </c>
      <c r="J1355" s="11">
        <v>-33.781305633000002</v>
      </c>
      <c r="K1355" s="10">
        <v>0.343119469944</v>
      </c>
      <c r="L1355" s="12">
        <v>29850642237</v>
      </c>
      <c r="M1355">
        <v>247.70468313076199</v>
      </c>
      <c r="N1355" s="7">
        <v>2.82707356811621</v>
      </c>
      <c r="O1355" s="7">
        <v>5.3129929261758502</v>
      </c>
      <c r="P1355" s="7">
        <v>17.610300736388599</v>
      </c>
      <c r="Q1355" s="7" t="s">
        <v>3698</v>
      </c>
      <c r="U1355">
        <v>-0.93617451872343838</v>
      </c>
      <c r="AT1355" s="4" t="s">
        <v>5395</v>
      </c>
    </row>
    <row r="1356" spans="1:46">
      <c r="A1356" s="2">
        <v>341</v>
      </c>
      <c r="B1356" t="s">
        <v>6021</v>
      </c>
      <c r="C1356" t="s">
        <v>2970</v>
      </c>
      <c r="D1356" t="s">
        <v>3832</v>
      </c>
      <c r="E1356" s="4">
        <v>43465</v>
      </c>
      <c r="F1356" s="11">
        <v>-26.594982080000001</v>
      </c>
      <c r="G1356" s="11">
        <v>17.99307958</v>
      </c>
      <c r="H1356" s="11">
        <v>10.4003613842</v>
      </c>
      <c r="I1356" s="11">
        <v>29.956945141999999</v>
      </c>
      <c r="J1356" s="11">
        <v>11.288395466800001</v>
      </c>
      <c r="K1356" s="10">
        <v>0.84999178530300001</v>
      </c>
      <c r="L1356" s="12">
        <v>5240460000</v>
      </c>
      <c r="M1356">
        <v>-70.148914182192797</v>
      </c>
      <c r="N1356" s="7">
        <v>0.978976819178767</v>
      </c>
      <c r="O1356" s="7">
        <v>5.5527015007226899</v>
      </c>
      <c r="P1356" s="7">
        <v>137.50656024648401</v>
      </c>
      <c r="Q1356" s="7" t="s">
        <v>3698</v>
      </c>
      <c r="U1356">
        <v>1.2730147792047051</v>
      </c>
      <c r="AT1356" s="4" t="s">
        <v>4338</v>
      </c>
    </row>
    <row r="1357" spans="1:46">
      <c r="A1357" s="2">
        <v>1156</v>
      </c>
      <c r="B1357" t="s">
        <v>6022</v>
      </c>
      <c r="C1357" t="s">
        <v>1589</v>
      </c>
      <c r="D1357" t="s">
        <v>3718</v>
      </c>
      <c r="E1357" s="4">
        <v>43465</v>
      </c>
      <c r="F1357" s="11">
        <v>3.59885711</v>
      </c>
      <c r="G1357" s="11">
        <v>17.97752809</v>
      </c>
      <c r="H1357" s="11">
        <v>47.384785079700002</v>
      </c>
      <c r="I1357" s="11">
        <v>20.574925187600002</v>
      </c>
      <c r="J1357" s="11">
        <v>8.3560007562000003</v>
      </c>
      <c r="K1357" s="10">
        <v>0.80036349380600003</v>
      </c>
      <c r="L1357" s="12">
        <v>3507600000</v>
      </c>
      <c r="M1357">
        <v>17.497123251941002</v>
      </c>
      <c r="N1357" s="7">
        <v>2.0993548995183899</v>
      </c>
      <c r="O1357" s="7">
        <v>1.4337975923141499</v>
      </c>
      <c r="P1357" s="7">
        <v>-34.491776186750499</v>
      </c>
      <c r="Q1357" s="7">
        <v>1.1655011670119471</v>
      </c>
      <c r="U1357">
        <v>0.44114420990316228</v>
      </c>
      <c r="AT1357" s="4" t="s">
        <v>4736</v>
      </c>
    </row>
    <row r="1358" spans="1:46">
      <c r="A1358" s="2">
        <v>2041</v>
      </c>
      <c r="B1358" t="s">
        <v>6023</v>
      </c>
      <c r="C1358" t="s">
        <v>1016</v>
      </c>
      <c r="D1358" t="s">
        <v>3811</v>
      </c>
      <c r="E1358" s="4">
        <v>43465</v>
      </c>
      <c r="F1358" s="11">
        <v>7.5220466899999998</v>
      </c>
      <c r="G1358" s="11">
        <v>17.962628089999999</v>
      </c>
      <c r="H1358" s="11">
        <v>20.099589835700002</v>
      </c>
      <c r="I1358" s="11">
        <v>74.120344380500001</v>
      </c>
      <c r="J1358" s="11">
        <v>10.3892035997</v>
      </c>
      <c r="K1358" s="10">
        <v>1.0166338029399999</v>
      </c>
      <c r="L1358" s="12">
        <v>30031906128</v>
      </c>
      <c r="M1358">
        <v>31.034512848353501</v>
      </c>
      <c r="N1358" s="7">
        <v>2.8660378061557501</v>
      </c>
      <c r="O1358" s="7">
        <v>2.68709029846588</v>
      </c>
      <c r="P1358" s="7">
        <v>13.890930875694799</v>
      </c>
      <c r="Q1358" s="7">
        <v>1.7222029271208539</v>
      </c>
      <c r="U1358">
        <v>0.68170387162395119</v>
      </c>
      <c r="AT1358" s="4" t="s">
        <v>4637</v>
      </c>
    </row>
    <row r="1359" spans="1:46">
      <c r="A1359" s="2">
        <v>7</v>
      </c>
      <c r="B1359" t="s">
        <v>6024</v>
      </c>
      <c r="C1359" t="s">
        <v>3518</v>
      </c>
      <c r="D1359" t="s">
        <v>3811</v>
      </c>
      <c r="E1359" s="4">
        <v>43465</v>
      </c>
      <c r="F1359" s="11">
        <v>-42.977190880000002</v>
      </c>
      <c r="G1359" s="11">
        <v>17.866004960000001</v>
      </c>
      <c r="H1359" s="11">
        <v>7.0624288821999999</v>
      </c>
      <c r="I1359" s="11">
        <v>69.373978657799995</v>
      </c>
      <c r="J1359" s="11">
        <v>-462.25834369030002</v>
      </c>
      <c r="K1359" s="10">
        <v>0.102473637139</v>
      </c>
      <c r="L1359" s="12">
        <v>4175300000</v>
      </c>
      <c r="M1359">
        <v>123.273529661946</v>
      </c>
      <c r="N1359" s="7">
        <v>14.6418048896358</v>
      </c>
      <c r="O1359" s="7">
        <v>73.783270425700607</v>
      </c>
      <c r="P1359" s="7">
        <v>-162.07572067036301</v>
      </c>
      <c r="Q1359" s="7" t="s">
        <v>3698</v>
      </c>
      <c r="U1359">
        <v>-0.56635351914412879</v>
      </c>
      <c r="V1359">
        <v>0.55047858243900005</v>
      </c>
      <c r="AT1359" s="4" t="s">
        <v>6025</v>
      </c>
    </row>
    <row r="1360" spans="1:46">
      <c r="A1360" s="2">
        <v>3205</v>
      </c>
      <c r="B1360" t="s">
        <v>6026</v>
      </c>
      <c r="C1360" t="s">
        <v>925</v>
      </c>
      <c r="D1360" t="s">
        <v>3849</v>
      </c>
      <c r="E1360" s="4">
        <v>43465</v>
      </c>
      <c r="F1360" s="11">
        <v>-27.868852459999999</v>
      </c>
      <c r="G1360" s="11">
        <v>17.864923749999999</v>
      </c>
      <c r="H1360" s="11">
        <v>0.98444396050000005</v>
      </c>
      <c r="I1360" s="11">
        <v>20.800730672899999</v>
      </c>
      <c r="J1360" s="11">
        <v>10.127709451399999</v>
      </c>
      <c r="K1360" s="10">
        <v>0.55454665133900005</v>
      </c>
      <c r="L1360" s="12">
        <v>2323235683.0799999</v>
      </c>
      <c r="M1360">
        <v>19.7859634351586</v>
      </c>
      <c r="N1360" s="7">
        <v>1.90867125197524</v>
      </c>
      <c r="O1360" s="7">
        <v>1.6985560928986301</v>
      </c>
      <c r="P1360" s="7">
        <v>8.8812426871577994</v>
      </c>
      <c r="Q1360" s="7" t="s">
        <v>3698</v>
      </c>
      <c r="U1360">
        <v>0.52554912942851728</v>
      </c>
      <c r="AT1360" s="4" t="s">
        <v>6027</v>
      </c>
    </row>
    <row r="1361" spans="1:46">
      <c r="A1361" s="2">
        <v>330</v>
      </c>
      <c r="B1361" t="s">
        <v>6028</v>
      </c>
      <c r="C1361" t="s">
        <v>1272</v>
      </c>
      <c r="D1361" t="s">
        <v>3842</v>
      </c>
      <c r="E1361" s="4">
        <v>43465</v>
      </c>
      <c r="F1361" s="11">
        <v>-22.38052111</v>
      </c>
      <c r="G1361" s="11">
        <v>17.85714286</v>
      </c>
      <c r="H1361" s="11">
        <v>23.881821627699999</v>
      </c>
      <c r="I1361" s="11">
        <v>9.8404753441999997</v>
      </c>
      <c r="J1361" s="11">
        <v>2.0648454592999999</v>
      </c>
      <c r="K1361" s="10">
        <v>0.81842296953399996</v>
      </c>
      <c r="L1361" s="12">
        <v>11043825600</v>
      </c>
      <c r="M1361">
        <v>12.150489740854701</v>
      </c>
      <c r="N1361" s="7">
        <v>0.68080480081835704</v>
      </c>
      <c r="O1361" s="7">
        <v>0.27772540392664502</v>
      </c>
      <c r="P1361" s="7">
        <v>7.9400845935954703</v>
      </c>
      <c r="Q1361" s="7">
        <v>1.3774104683195594</v>
      </c>
      <c r="U1361">
        <v>0.26745648191699622</v>
      </c>
      <c r="AT1361" s="4" t="s">
        <v>6029</v>
      </c>
    </row>
    <row r="1362" spans="1:46">
      <c r="A1362" s="2">
        <v>3016</v>
      </c>
      <c r="B1362" t="s">
        <v>6030</v>
      </c>
      <c r="C1362" t="s">
        <v>82</v>
      </c>
      <c r="D1362" t="s">
        <v>3764</v>
      </c>
      <c r="E1362" s="4">
        <v>43465</v>
      </c>
      <c r="F1362" s="11">
        <v>-10.931712539999999</v>
      </c>
      <c r="G1362" s="11">
        <v>17.85173979</v>
      </c>
      <c r="H1362" s="11">
        <v>-0.45835624940000003</v>
      </c>
      <c r="I1362" s="11">
        <v>29.8801094887</v>
      </c>
      <c r="J1362" s="11">
        <v>14.6221059046</v>
      </c>
      <c r="K1362" s="10">
        <v>0.75129491505500001</v>
      </c>
      <c r="L1362" s="12">
        <v>2002592127.9000001</v>
      </c>
      <c r="M1362">
        <v>12.138548794750401</v>
      </c>
      <c r="N1362" s="7">
        <v>1.62197610065917</v>
      </c>
      <c r="O1362" s="7">
        <v>1.5510200315162701</v>
      </c>
      <c r="P1362" s="7">
        <v>18.1857120880344</v>
      </c>
      <c r="Q1362" s="7">
        <v>2.7063599458728009</v>
      </c>
      <c r="U1362">
        <v>0.61887151764249571</v>
      </c>
      <c r="AT1362" s="4" t="s">
        <v>6031</v>
      </c>
    </row>
    <row r="1363" spans="1:46">
      <c r="A1363" s="2">
        <v>2693</v>
      </c>
      <c r="B1363" t="s">
        <v>6032</v>
      </c>
      <c r="C1363" t="s">
        <v>3225</v>
      </c>
      <c r="D1363" t="s">
        <v>3972</v>
      </c>
      <c r="E1363" s="4">
        <v>43465</v>
      </c>
      <c r="F1363" s="11">
        <v>-38.238583089999999</v>
      </c>
      <c r="G1363" s="11">
        <v>17.777777780000001</v>
      </c>
      <c r="H1363" s="11">
        <v>-4.6713290406999999</v>
      </c>
      <c r="I1363" s="11">
        <v>42.204751253200001</v>
      </c>
      <c r="J1363" s="11">
        <v>133.22970303779999</v>
      </c>
      <c r="K1363" s="10">
        <v>1.6757229027000001E-2</v>
      </c>
      <c r="L1363" s="12">
        <v>1175140347.9200001</v>
      </c>
      <c r="M1363">
        <v>69.906233554133607</v>
      </c>
      <c r="N1363" s="7">
        <v>1.62356766897699</v>
      </c>
      <c r="O1363" s="7">
        <v>75.645885152874897</v>
      </c>
      <c r="P1363" s="7">
        <v>25.686471547054801</v>
      </c>
      <c r="Q1363" s="7">
        <v>0.5</v>
      </c>
      <c r="U1363">
        <v>9.853408982046559E-2</v>
      </c>
      <c r="AT1363" s="4" t="s">
        <v>6033</v>
      </c>
    </row>
    <row r="1364" spans="1:46">
      <c r="A1364" s="2">
        <v>3141</v>
      </c>
      <c r="B1364" t="s">
        <v>6034</v>
      </c>
      <c r="C1364" t="s">
        <v>792</v>
      </c>
      <c r="D1364" t="s">
        <v>3849</v>
      </c>
      <c r="E1364" s="4">
        <v>43465</v>
      </c>
      <c r="F1364" s="11">
        <v>4.8278678199999998</v>
      </c>
      <c r="G1364" s="11">
        <v>17.72665765</v>
      </c>
      <c r="H1364" s="11">
        <v>17.559123101099999</v>
      </c>
      <c r="I1364" s="11">
        <v>26.887892361199999</v>
      </c>
      <c r="J1364" s="11">
        <v>12.622316675900001</v>
      </c>
      <c r="K1364" s="10">
        <v>0.55316890358299997</v>
      </c>
      <c r="L1364" s="12">
        <v>5288639251.71</v>
      </c>
      <c r="M1364">
        <v>14.3873597724841</v>
      </c>
      <c r="N1364" s="7">
        <v>1.5508393857551099</v>
      </c>
      <c r="O1364" s="7">
        <v>1.7904060298701501</v>
      </c>
      <c r="P1364" s="7">
        <v>-13.039636394822599</v>
      </c>
      <c r="Q1364" s="7">
        <v>2.0281080018659212</v>
      </c>
      <c r="U1364">
        <v>1.0353754006454936</v>
      </c>
      <c r="AT1364" s="4" t="s">
        <v>4058</v>
      </c>
    </row>
    <row r="1365" spans="1:46">
      <c r="A1365" s="2">
        <v>2293</v>
      </c>
      <c r="B1365" t="s">
        <v>6035</v>
      </c>
      <c r="C1365" t="s">
        <v>3270</v>
      </c>
      <c r="D1365" t="s">
        <v>3761</v>
      </c>
      <c r="E1365" s="4">
        <v>43465</v>
      </c>
      <c r="F1365" s="11">
        <v>-12.54851229</v>
      </c>
      <c r="G1365" s="11">
        <v>17.708333329999999</v>
      </c>
      <c r="H1365" s="11">
        <v>0.34171771159999997</v>
      </c>
      <c r="I1365" s="11">
        <v>14.204081668500001</v>
      </c>
      <c r="J1365" s="11">
        <v>3.5194490969999999</v>
      </c>
      <c r="K1365" s="10">
        <v>0.61765511954800001</v>
      </c>
      <c r="L1365" s="12">
        <v>2878316571</v>
      </c>
      <c r="M1365">
        <v>-25.811094268199199</v>
      </c>
      <c r="N1365" s="7">
        <v>1.8164352492870901</v>
      </c>
      <c r="O1365" s="7">
        <v>1.5960864446462799</v>
      </c>
      <c r="P1365" s="7">
        <v>-7.6996749543870404</v>
      </c>
      <c r="Q1365" s="7" t="s">
        <v>3698</v>
      </c>
      <c r="U1365">
        <v>0.12378242164703808</v>
      </c>
      <c r="AT1365" s="4" t="s">
        <v>5709</v>
      </c>
    </row>
    <row r="1366" spans="1:46">
      <c r="A1366" s="2">
        <v>3470</v>
      </c>
      <c r="B1366" t="s">
        <v>6036</v>
      </c>
      <c r="C1366" t="s">
        <v>3023</v>
      </c>
      <c r="D1366" t="s">
        <v>3713</v>
      </c>
      <c r="E1366" s="4">
        <v>43465</v>
      </c>
      <c r="F1366" s="11">
        <v>14.612942090000001</v>
      </c>
      <c r="G1366" s="11">
        <v>17.708333329999999</v>
      </c>
      <c r="H1366" s="11">
        <v>21.271890897199999</v>
      </c>
      <c r="I1366" s="11">
        <v>45.286599471499997</v>
      </c>
      <c r="J1366" s="11">
        <v>17.347781724200001</v>
      </c>
      <c r="K1366" s="10">
        <v>0.39463647405699998</v>
      </c>
      <c r="L1366" s="12">
        <v>1768387800</v>
      </c>
      <c r="M1366">
        <v>29.766984899681098</v>
      </c>
      <c r="N1366" s="7">
        <v>3.22211861334887</v>
      </c>
      <c r="O1366" s="7">
        <v>4.8348415214614198</v>
      </c>
      <c r="P1366" s="7">
        <v>15.5096326326914</v>
      </c>
      <c r="Q1366" s="7">
        <v>1.1661807580174928</v>
      </c>
      <c r="U1366">
        <v>0.32756484195341917</v>
      </c>
      <c r="AT1366" s="4" t="s">
        <v>6037</v>
      </c>
    </row>
    <row r="1367" spans="1:46">
      <c r="A1367" s="2">
        <v>3541</v>
      </c>
      <c r="B1367" t="s">
        <v>6038</v>
      </c>
      <c r="C1367" t="s">
        <v>3215</v>
      </c>
      <c r="D1367" t="s">
        <v>3778</v>
      </c>
      <c r="E1367" s="4">
        <v>43465</v>
      </c>
      <c r="F1367" s="11">
        <v>-15.67706997</v>
      </c>
      <c r="G1367" s="11">
        <v>17.70462633</v>
      </c>
      <c r="H1367" s="11">
        <v>40.796902883500003</v>
      </c>
      <c r="I1367" s="11">
        <v>21.9183821612</v>
      </c>
      <c r="J1367" s="11">
        <v>7.4509265452999998</v>
      </c>
      <c r="K1367" s="10">
        <v>0.77560712850500002</v>
      </c>
      <c r="L1367" s="12">
        <v>3894584504.3200002</v>
      </c>
      <c r="M1367">
        <v>45.885106584874897</v>
      </c>
      <c r="N1367" s="7">
        <v>2.3271646615364601</v>
      </c>
      <c r="O1367" s="7">
        <v>2.19842771027619</v>
      </c>
      <c r="P1367" s="7">
        <v>96.531986123941493</v>
      </c>
      <c r="Q1367" s="7">
        <v>4.1390728476821197</v>
      </c>
      <c r="U1367">
        <v>0.42821214985576922</v>
      </c>
      <c r="AT1367" s="4" t="s">
        <v>4010</v>
      </c>
    </row>
    <row r="1368" spans="1:46">
      <c r="A1368" s="2">
        <v>2617</v>
      </c>
      <c r="B1368" t="s">
        <v>6039</v>
      </c>
      <c r="C1368" t="s">
        <v>3083</v>
      </c>
      <c r="D1368" t="s">
        <v>3737</v>
      </c>
      <c r="E1368" s="4">
        <v>43465</v>
      </c>
      <c r="F1368" s="11">
        <v>-9.3189964199999995</v>
      </c>
      <c r="G1368" s="11">
        <v>17.674418599999999</v>
      </c>
      <c r="H1368" s="11">
        <v>-48.324492997</v>
      </c>
      <c r="I1368" s="11">
        <v>19.766713729599999</v>
      </c>
      <c r="J1368" s="11">
        <v>-9.6253116717000005</v>
      </c>
      <c r="K1368" s="10">
        <v>0.29156456758299998</v>
      </c>
      <c r="L1368" s="12">
        <v>3925167203.6799998</v>
      </c>
      <c r="M1368">
        <v>-121.082149853161</v>
      </c>
      <c r="N1368" s="7">
        <v>3.1321154131995299</v>
      </c>
      <c r="O1368" s="7">
        <v>6.8725550818924601</v>
      </c>
      <c r="P1368" s="7">
        <v>39.2051877157894</v>
      </c>
      <c r="Q1368" s="7" t="s">
        <v>3698</v>
      </c>
      <c r="U1368">
        <v>-4.6535440924854662E-2</v>
      </c>
      <c r="AT1368" s="4" t="s">
        <v>6040</v>
      </c>
    </row>
    <row r="1369" spans="1:46">
      <c r="A1369" s="2">
        <v>3281</v>
      </c>
      <c r="B1369" t="s">
        <v>6041</v>
      </c>
      <c r="C1369" t="s">
        <v>1353</v>
      </c>
      <c r="D1369" t="s">
        <v>3972</v>
      </c>
      <c r="E1369" s="4">
        <v>43465</v>
      </c>
      <c r="F1369" s="11">
        <v>-21.215753679999999</v>
      </c>
      <c r="G1369" s="11">
        <v>17.669172929999998</v>
      </c>
      <c r="H1369" s="11">
        <v>8.3771321938999996</v>
      </c>
      <c r="I1369" s="11">
        <v>11.3988218591</v>
      </c>
      <c r="J1369" s="11">
        <v>3.5651339089</v>
      </c>
      <c r="K1369" s="10">
        <v>1.723681446834</v>
      </c>
      <c r="L1369" s="12">
        <v>2373507321.1199999</v>
      </c>
      <c r="M1369">
        <v>19.359829544705601</v>
      </c>
      <c r="N1369" s="7">
        <v>1.6858992930255401</v>
      </c>
      <c r="O1369" s="7">
        <v>0.58031706366024005</v>
      </c>
      <c r="P1369" s="7">
        <v>624.24585166632801</v>
      </c>
      <c r="Q1369" s="7">
        <v>1.6333333333333331</v>
      </c>
      <c r="U1369">
        <v>0.31915297480825811</v>
      </c>
      <c r="AT1369" s="4" t="s">
        <v>6042</v>
      </c>
    </row>
    <row r="1370" spans="1:46">
      <c r="A1370" s="2">
        <v>155</v>
      </c>
      <c r="B1370" t="s">
        <v>6043</v>
      </c>
      <c r="C1370" t="s">
        <v>2974</v>
      </c>
      <c r="D1370" t="s">
        <v>3764</v>
      </c>
      <c r="E1370" s="4">
        <v>43465</v>
      </c>
      <c r="F1370" s="11">
        <v>-42.875402469999997</v>
      </c>
      <c r="G1370" s="11">
        <v>17.66743649</v>
      </c>
      <c r="H1370" s="11">
        <v>57.174242648400003</v>
      </c>
      <c r="I1370" s="11">
        <v>14.9445176735</v>
      </c>
      <c r="J1370" s="11">
        <v>5.5834900261999998</v>
      </c>
      <c r="K1370" s="10">
        <v>0.97209075567100001</v>
      </c>
      <c r="L1370" s="12">
        <v>3291256418</v>
      </c>
      <c r="M1370">
        <v>14.297209625714199</v>
      </c>
      <c r="N1370" s="7">
        <v>1.9341006042675899</v>
      </c>
      <c r="O1370" s="7">
        <v>0.77913785953382197</v>
      </c>
      <c r="P1370" s="7">
        <v>-31.258704408241201</v>
      </c>
      <c r="Q1370" s="7">
        <v>0.47664442326024786</v>
      </c>
      <c r="U1370">
        <v>0.52420367005858393</v>
      </c>
      <c r="AT1370" s="4" t="s">
        <v>5947</v>
      </c>
    </row>
    <row r="1371" spans="1:46">
      <c r="A1371" s="2">
        <v>3624</v>
      </c>
      <c r="B1371" t="s">
        <v>6044</v>
      </c>
      <c r="C1371" t="s">
        <v>2084</v>
      </c>
      <c r="D1371" t="s">
        <v>3752</v>
      </c>
      <c r="E1371" s="4">
        <v>43465</v>
      </c>
      <c r="F1371" s="11">
        <v>-12.661826810000001</v>
      </c>
      <c r="G1371" s="11">
        <v>17.655571640000002</v>
      </c>
      <c r="H1371" s="11">
        <v>53.599756292099997</v>
      </c>
      <c r="I1371" s="11">
        <v>37.839767531100001</v>
      </c>
      <c r="J1371" s="11">
        <v>8.8102654699999992</v>
      </c>
      <c r="K1371" s="10">
        <v>0.42744575543500002</v>
      </c>
      <c r="L1371" s="12">
        <v>2101860046</v>
      </c>
      <c r="M1371">
        <v>58.896901269235698</v>
      </c>
      <c r="N1371" s="7">
        <v>1.8290318115272299</v>
      </c>
      <c r="O1371" s="7">
        <v>4.0679190173611497</v>
      </c>
      <c r="P1371" s="7">
        <v>31.2772451761581</v>
      </c>
      <c r="Q1371" s="7">
        <v>1.2987012987012987</v>
      </c>
      <c r="U1371">
        <v>0.17978385686233081</v>
      </c>
      <c r="AT1371" s="4" t="s">
        <v>5835</v>
      </c>
    </row>
    <row r="1372" spans="1:46">
      <c r="A1372" s="2">
        <v>1162</v>
      </c>
      <c r="B1372" t="s">
        <v>6045</v>
      </c>
      <c r="C1372" t="s">
        <v>1475</v>
      </c>
      <c r="D1372" t="s">
        <v>3718</v>
      </c>
      <c r="E1372" s="4">
        <v>43465</v>
      </c>
      <c r="F1372" s="11">
        <v>-29.18343453</v>
      </c>
      <c r="G1372" s="11">
        <v>17.603911979999999</v>
      </c>
      <c r="H1372" s="11">
        <v>-1.6491563532</v>
      </c>
      <c r="I1372" s="11">
        <v>42.769136233300003</v>
      </c>
      <c r="J1372" s="11">
        <v>23.047056265599998</v>
      </c>
      <c r="K1372" s="10">
        <v>0.207751676917</v>
      </c>
      <c r="L1372" s="12">
        <v>15268963836.08</v>
      </c>
      <c r="M1372">
        <v>30.724056212803401</v>
      </c>
      <c r="N1372" s="7">
        <v>2.43730090382304</v>
      </c>
      <c r="O1372" s="7">
        <v>7.39496539053133</v>
      </c>
      <c r="P1372" s="7">
        <v>-27.9640570405078</v>
      </c>
      <c r="Q1372" s="7">
        <v>1.3129102844638949</v>
      </c>
      <c r="U1372">
        <v>0.11701423838820639</v>
      </c>
      <c r="AT1372" s="4" t="s">
        <v>5145</v>
      </c>
    </row>
    <row r="1373" spans="1:46">
      <c r="A1373" s="2">
        <v>917</v>
      </c>
      <c r="B1373" t="s">
        <v>6046</v>
      </c>
      <c r="C1373" t="s">
        <v>1438</v>
      </c>
      <c r="D1373" t="s">
        <v>3849</v>
      </c>
      <c r="E1373" s="4">
        <v>43465</v>
      </c>
      <c r="F1373" s="11">
        <v>-10.344219020000001</v>
      </c>
      <c r="G1373" s="11">
        <v>17.58034026</v>
      </c>
      <c r="H1373" s="11">
        <v>12.9385532229</v>
      </c>
      <c r="I1373" s="11">
        <v>30.8176087483</v>
      </c>
      <c r="J1373" s="11">
        <v>15.784904664400001</v>
      </c>
      <c r="K1373" s="10">
        <v>0.62173096054300003</v>
      </c>
      <c r="L1373" s="12">
        <v>3732505920</v>
      </c>
      <c r="M1373">
        <v>14.433466001232301</v>
      </c>
      <c r="N1373" s="7">
        <v>1.21677957560441</v>
      </c>
      <c r="O1373" s="7">
        <v>1.6758805820196301</v>
      </c>
      <c r="P1373" s="7">
        <v>-31.817795258059999</v>
      </c>
      <c r="Q1373" s="7">
        <v>0.96899224806201545</v>
      </c>
      <c r="U1373">
        <v>0.48367058418894832</v>
      </c>
      <c r="AT1373" s="4" t="s">
        <v>5945</v>
      </c>
    </row>
    <row r="1374" spans="1:46">
      <c r="A1374" s="2">
        <v>1933</v>
      </c>
      <c r="B1374" t="s">
        <v>6047</v>
      </c>
      <c r="C1374" t="s">
        <v>1734</v>
      </c>
      <c r="D1374" t="s">
        <v>3713</v>
      </c>
      <c r="E1374" s="4">
        <v>43465</v>
      </c>
      <c r="F1374" s="11">
        <v>-36.362112009999997</v>
      </c>
      <c r="G1374" s="11">
        <v>17.548859929999999</v>
      </c>
      <c r="H1374" s="11">
        <v>15.434773122099999</v>
      </c>
      <c r="I1374" s="11">
        <v>62.944355355600003</v>
      </c>
      <c r="J1374" s="11">
        <v>-11.959833310900001</v>
      </c>
      <c r="K1374" s="10">
        <v>0.41751561050500002</v>
      </c>
      <c r="L1374" s="12">
        <v>4442800921.1099997</v>
      </c>
      <c r="M1374">
        <v>97.914259618281307</v>
      </c>
      <c r="N1374" s="7">
        <v>4.7492988692450497</v>
      </c>
      <c r="O1374" s="7">
        <v>10.148166555445</v>
      </c>
      <c r="P1374" s="7">
        <v>182.82238216087501</v>
      </c>
      <c r="Q1374" s="7" t="s">
        <v>3698</v>
      </c>
      <c r="U1374">
        <v>-0.30163652950105596</v>
      </c>
      <c r="AT1374" s="4" t="s">
        <v>6048</v>
      </c>
    </row>
    <row r="1375" spans="1:46">
      <c r="A1375" s="2">
        <v>1468</v>
      </c>
      <c r="B1375" t="s">
        <v>6049</v>
      </c>
      <c r="C1375" t="s">
        <v>1657</v>
      </c>
      <c r="D1375" t="s">
        <v>3713</v>
      </c>
      <c r="E1375" s="4">
        <v>43465</v>
      </c>
      <c r="F1375" s="11">
        <v>-24.08129542</v>
      </c>
      <c r="G1375" s="11">
        <v>17.42482652</v>
      </c>
      <c r="H1375" s="11">
        <v>4.0999320362000002</v>
      </c>
      <c r="I1375" s="11">
        <v>12.3611681969</v>
      </c>
      <c r="J1375" s="11">
        <v>6.6703912735999999</v>
      </c>
      <c r="K1375" s="10">
        <v>0.991469102991</v>
      </c>
      <c r="L1375" s="12">
        <v>18388436465.07</v>
      </c>
      <c r="M1375">
        <v>37.8592410859547</v>
      </c>
      <c r="N1375" s="7">
        <v>1.8144799404080401</v>
      </c>
      <c r="O1375" s="7">
        <v>1.9384808572249399</v>
      </c>
      <c r="P1375" s="7">
        <v>43.726709510004099</v>
      </c>
      <c r="Q1375" s="7">
        <v>0.92915214866434381</v>
      </c>
      <c r="U1375">
        <v>0.4827593145209581</v>
      </c>
      <c r="AT1375" s="4" t="s">
        <v>4686</v>
      </c>
    </row>
    <row r="1376" spans="1:46">
      <c r="A1376" s="2">
        <v>2699</v>
      </c>
      <c r="B1376" t="s">
        <v>6050</v>
      </c>
      <c r="C1376" t="s">
        <v>1759</v>
      </c>
      <c r="D1376" t="s">
        <v>3849</v>
      </c>
      <c r="E1376" s="4">
        <v>43465</v>
      </c>
      <c r="F1376" s="11">
        <v>-20.026139690000001</v>
      </c>
      <c r="G1376" s="11">
        <v>17.40890688</v>
      </c>
      <c r="H1376" s="11">
        <v>46.782434578199997</v>
      </c>
      <c r="I1376" s="11">
        <v>10.7844003516</v>
      </c>
      <c r="J1376" s="11">
        <v>0.79983657320000001</v>
      </c>
      <c r="K1376" s="10">
        <v>1.4871293489820001</v>
      </c>
      <c r="L1376" s="12">
        <v>2845419788.1199999</v>
      </c>
      <c r="M1376">
        <v>32.285319136763697</v>
      </c>
      <c r="N1376" s="7">
        <v>2.0067941574629802</v>
      </c>
      <c r="O1376" s="7">
        <v>0.25237922772070798</v>
      </c>
      <c r="P1376" s="7">
        <v>-83.964162557304206</v>
      </c>
      <c r="Q1376" s="7">
        <v>0.88809946714031984</v>
      </c>
      <c r="U1376">
        <v>0.14690740874567354</v>
      </c>
      <c r="AT1376" s="4" t="s">
        <v>6051</v>
      </c>
    </row>
    <row r="1377" spans="1:46">
      <c r="A1377" s="2">
        <v>958</v>
      </c>
      <c r="B1377" t="s">
        <v>6052</v>
      </c>
      <c r="C1377" t="s">
        <v>971</v>
      </c>
      <c r="D1377" t="s">
        <v>3790</v>
      </c>
      <c r="E1377" s="4">
        <v>43465</v>
      </c>
      <c r="F1377" s="11">
        <v>-35.673624289999999</v>
      </c>
      <c r="G1377" s="11">
        <v>17.40614334</v>
      </c>
      <c r="H1377" s="11">
        <v>-37.610274270300003</v>
      </c>
      <c r="I1377" s="11">
        <v>69.442754480000005</v>
      </c>
      <c r="J1377" s="11">
        <v>-260.75825550040003</v>
      </c>
      <c r="K1377" s="10">
        <v>0.10328844276</v>
      </c>
      <c r="L1377" s="12">
        <v>5965108042.96</v>
      </c>
      <c r="M1377">
        <v>43.912590337125799</v>
      </c>
      <c r="N1377" s="7">
        <v>4.0129469848745396</v>
      </c>
      <c r="O1377" s="7">
        <v>11.1918765140276</v>
      </c>
      <c r="P1377" s="7">
        <v>826.99106489228097</v>
      </c>
      <c r="Q1377" s="7" t="s">
        <v>3698</v>
      </c>
      <c r="U1377">
        <v>-0.44542724770931474</v>
      </c>
      <c r="AT1377" s="4" t="s">
        <v>6053</v>
      </c>
    </row>
    <row r="1378" spans="1:46">
      <c r="A1378" s="2">
        <v>2507</v>
      </c>
      <c r="B1378" t="s">
        <v>6054</v>
      </c>
      <c r="C1378" t="s">
        <v>1586</v>
      </c>
      <c r="D1378" t="s">
        <v>3837</v>
      </c>
      <c r="E1378" s="4">
        <v>43465</v>
      </c>
      <c r="F1378" s="11">
        <v>-12.076022890000001</v>
      </c>
      <c r="G1378" s="11">
        <v>17.38505747</v>
      </c>
      <c r="H1378" s="11">
        <v>-16.889980622300001</v>
      </c>
      <c r="I1378" s="11">
        <v>39.468855881099998</v>
      </c>
      <c r="J1378" s="11">
        <v>32.495808709800002</v>
      </c>
      <c r="K1378" s="10">
        <v>0.10826463448400001</v>
      </c>
      <c r="L1378" s="12">
        <v>2739360000</v>
      </c>
      <c r="M1378">
        <v>17.523672012061599</v>
      </c>
      <c r="N1378" s="7">
        <v>0.83917117851168899</v>
      </c>
      <c r="O1378" s="7">
        <v>1.99458882268046</v>
      </c>
      <c r="P1378" s="7">
        <v>-8.0943750674036501</v>
      </c>
      <c r="Q1378" s="7" t="s">
        <v>3698</v>
      </c>
      <c r="U1378">
        <v>0.60008746565198712</v>
      </c>
      <c r="AT1378" s="4" t="s">
        <v>6055</v>
      </c>
    </row>
    <row r="1379" spans="1:46">
      <c r="A1379" s="2">
        <v>2832</v>
      </c>
      <c r="B1379" t="s">
        <v>6056</v>
      </c>
      <c r="C1379" t="s">
        <v>2443</v>
      </c>
      <c r="D1379" t="s">
        <v>3778</v>
      </c>
      <c r="E1379" s="4">
        <v>43465</v>
      </c>
      <c r="F1379" s="11">
        <v>-34.976525819999999</v>
      </c>
      <c r="G1379" s="11">
        <v>17.372881360000001</v>
      </c>
      <c r="H1379" s="11">
        <v>16.667306169100002</v>
      </c>
      <c r="I1379" s="11">
        <v>67.220746289000004</v>
      </c>
      <c r="J1379" s="11">
        <v>6.2079943544000002</v>
      </c>
      <c r="K1379" s="10">
        <v>0.21391324370299999</v>
      </c>
      <c r="L1379" s="12">
        <v>2349869996.0999999</v>
      </c>
      <c r="M1379">
        <v>-54.93476137359</v>
      </c>
      <c r="N1379" s="7">
        <v>1.0126856950769101</v>
      </c>
      <c r="O1379" s="7">
        <v>1.54645393174398</v>
      </c>
      <c r="P1379" s="7">
        <v>51.925745129321299</v>
      </c>
      <c r="Q1379" s="7" t="s">
        <v>3698</v>
      </c>
      <c r="U1379">
        <v>3.0759820701421674E-2</v>
      </c>
      <c r="AT1379" s="4" t="s">
        <v>6057</v>
      </c>
    </row>
    <row r="1380" spans="1:46">
      <c r="A1380" s="2">
        <v>2478</v>
      </c>
      <c r="B1380" t="s">
        <v>6058</v>
      </c>
      <c r="C1380" t="s">
        <v>2888</v>
      </c>
      <c r="D1380" t="s">
        <v>3889</v>
      </c>
      <c r="E1380" s="4">
        <v>43465</v>
      </c>
      <c r="F1380" s="11">
        <v>-35.779816510000003</v>
      </c>
      <c r="G1380" s="11">
        <v>17.329545450000001</v>
      </c>
      <c r="H1380" s="11">
        <v>-4.2907134333999997</v>
      </c>
      <c r="I1380" s="11">
        <v>26.076456526299999</v>
      </c>
      <c r="J1380" s="11">
        <v>-23.702887367199999</v>
      </c>
      <c r="K1380" s="10">
        <v>0.33762164129900002</v>
      </c>
      <c r="L1380" s="12">
        <v>6385962007.4300003</v>
      </c>
      <c r="M1380">
        <v>-118.708322904033</v>
      </c>
      <c r="N1380" s="7">
        <v>4.7762204750385102</v>
      </c>
      <c r="O1380" s="7">
        <v>5.5932058830878804</v>
      </c>
      <c r="P1380" s="7">
        <v>-11.266752482044801</v>
      </c>
      <c r="Q1380" s="7" t="s">
        <v>3698</v>
      </c>
      <c r="U1380">
        <v>-0.16554661968889325</v>
      </c>
      <c r="AT1380" s="4" t="s">
        <v>4624</v>
      </c>
    </row>
    <row r="1381" spans="1:46">
      <c r="A1381" s="2">
        <v>1594</v>
      </c>
      <c r="B1381" t="s">
        <v>6059</v>
      </c>
      <c r="C1381" t="s">
        <v>3271</v>
      </c>
      <c r="D1381" t="s">
        <v>3752</v>
      </c>
      <c r="E1381" s="4">
        <v>43465</v>
      </c>
      <c r="F1381" s="11">
        <v>-5.9504132199999997</v>
      </c>
      <c r="G1381" s="11">
        <v>17.319587630000001</v>
      </c>
      <c r="H1381" s="11">
        <v>17.118609512100001</v>
      </c>
      <c r="I1381" s="11">
        <v>25.770052370799998</v>
      </c>
      <c r="J1381" s="11">
        <v>1.7425286987999999</v>
      </c>
      <c r="K1381" s="10">
        <v>0.43768525828999999</v>
      </c>
      <c r="L1381" s="12">
        <v>7217908399.6000004</v>
      </c>
      <c r="M1381">
        <v>-38.511902406405497</v>
      </c>
      <c r="N1381" s="7">
        <v>1.7510449928179099</v>
      </c>
      <c r="O1381" s="7">
        <v>1.8479122527249601</v>
      </c>
      <c r="P1381" s="7">
        <v>56.185811148173201</v>
      </c>
      <c r="Q1381" s="7" t="s">
        <v>3698</v>
      </c>
      <c r="U1381">
        <v>4.9676581335164748E-2</v>
      </c>
      <c r="AT1381" s="4" t="s">
        <v>5393</v>
      </c>
    </row>
    <row r="1382" spans="1:46">
      <c r="A1382" s="2">
        <v>2895</v>
      </c>
      <c r="B1382" t="s">
        <v>6060</v>
      </c>
      <c r="C1382" t="s">
        <v>872</v>
      </c>
      <c r="D1382" t="s">
        <v>3811</v>
      </c>
      <c r="E1382" s="4">
        <v>43465</v>
      </c>
      <c r="F1382" s="11">
        <v>-22.103658540000001</v>
      </c>
      <c r="G1382" s="11">
        <v>17.26535342</v>
      </c>
      <c r="H1382" s="11">
        <v>1.3338868189999999</v>
      </c>
      <c r="I1382" s="11">
        <v>5.9967264297999998</v>
      </c>
      <c r="J1382" s="11">
        <v>0.82539267709999997</v>
      </c>
      <c r="K1382" s="10">
        <v>3.2984065386519998</v>
      </c>
      <c r="L1382" s="12">
        <v>3212030975.8000002</v>
      </c>
      <c r="M1382">
        <v>99.504202035158499</v>
      </c>
      <c r="N1382" s="7">
        <v>7.0925273933649704</v>
      </c>
      <c r="O1382" s="7">
        <v>0.66404090860013598</v>
      </c>
      <c r="P1382" s="7">
        <v>176.23552822929801</v>
      </c>
      <c r="Q1382" s="7" t="s">
        <v>3698</v>
      </c>
      <c r="U1382">
        <v>8.8881001312099875E-2</v>
      </c>
      <c r="AT1382" s="4" t="s">
        <v>5784</v>
      </c>
    </row>
    <row r="1383" spans="1:46">
      <c r="A1383" s="2">
        <v>1260</v>
      </c>
      <c r="B1383" t="s">
        <v>6061</v>
      </c>
      <c r="C1383" t="s">
        <v>2253</v>
      </c>
      <c r="D1383" t="s">
        <v>4060</v>
      </c>
      <c r="E1383" s="4">
        <v>43465</v>
      </c>
      <c r="F1383" s="11">
        <v>-35.291891579999998</v>
      </c>
      <c r="G1383" s="11">
        <v>17.22532588</v>
      </c>
      <c r="H1383" s="11">
        <v>53.466976842599998</v>
      </c>
      <c r="I1383" s="11">
        <v>33.481804594700002</v>
      </c>
      <c r="J1383" s="11">
        <v>9.6518392390999992</v>
      </c>
      <c r="K1383" s="10">
        <v>0.42843591661399999</v>
      </c>
      <c r="L1383" s="12">
        <v>4934875000</v>
      </c>
      <c r="M1383">
        <v>59.209559319281603</v>
      </c>
      <c r="N1383" s="7">
        <v>3.29501504278528</v>
      </c>
      <c r="O1383" s="7">
        <v>3.9403791750473198</v>
      </c>
      <c r="P1383" s="7">
        <v>62.937443175394598</v>
      </c>
      <c r="Q1383" s="7">
        <v>8.9847259658580425E-2</v>
      </c>
      <c r="U1383">
        <v>0.52134773469494589</v>
      </c>
      <c r="AT1383" s="4" t="s">
        <v>4315</v>
      </c>
    </row>
    <row r="1384" spans="1:46">
      <c r="A1384" s="2">
        <v>3502</v>
      </c>
      <c r="B1384" t="s">
        <v>6062</v>
      </c>
      <c r="C1384" t="s">
        <v>1646</v>
      </c>
      <c r="D1384" t="s">
        <v>3718</v>
      </c>
      <c r="E1384" s="4">
        <v>43465</v>
      </c>
      <c r="F1384" s="11">
        <v>-23.07237868</v>
      </c>
      <c r="G1384" s="11">
        <v>17.154811720000001</v>
      </c>
      <c r="H1384" s="11">
        <v>16.104411578200001</v>
      </c>
      <c r="I1384" s="11">
        <v>34.5192271031</v>
      </c>
      <c r="J1384" s="11">
        <v>9.7632644842000005</v>
      </c>
      <c r="K1384" s="10">
        <v>0.60427978024100004</v>
      </c>
      <c r="L1384" s="12">
        <v>3371610000</v>
      </c>
      <c r="M1384">
        <v>38.872081673746202</v>
      </c>
      <c r="N1384" s="7">
        <v>3.2793956108168398</v>
      </c>
      <c r="O1384" s="7">
        <v>3.2905365608042501</v>
      </c>
      <c r="P1384" s="7">
        <v>150.334067987954</v>
      </c>
      <c r="Q1384" s="7">
        <v>5.1897753679318361</v>
      </c>
      <c r="U1384">
        <v>0.36542239075999999</v>
      </c>
      <c r="AT1384" s="4" t="s">
        <v>6063</v>
      </c>
    </row>
    <row r="1385" spans="1:46">
      <c r="A1385" s="2">
        <v>3278</v>
      </c>
      <c r="B1385" t="s">
        <v>6064</v>
      </c>
      <c r="C1385" t="s">
        <v>1758</v>
      </c>
      <c r="D1385" t="s">
        <v>3811</v>
      </c>
      <c r="E1385" s="4">
        <v>43465</v>
      </c>
      <c r="F1385" s="11">
        <v>-7.1073066999999996</v>
      </c>
      <c r="G1385" s="11">
        <v>17.118644069999998</v>
      </c>
      <c r="H1385" s="11">
        <v>-1.4275026045000001</v>
      </c>
      <c r="I1385" s="11">
        <v>20.1492690016</v>
      </c>
      <c r="J1385" s="11">
        <v>3.5024341931</v>
      </c>
      <c r="K1385" s="10">
        <v>0.93753302287700002</v>
      </c>
      <c r="L1385" s="12">
        <v>2610992640</v>
      </c>
      <c r="M1385">
        <v>21.517874950206402</v>
      </c>
      <c r="N1385" s="7">
        <v>0.98703824957170905</v>
      </c>
      <c r="O1385" s="7">
        <v>0.61258807493586498</v>
      </c>
      <c r="P1385" s="7">
        <v>-159.52631362078299</v>
      </c>
      <c r="Q1385" s="7">
        <v>1.7216642754662841</v>
      </c>
      <c r="U1385">
        <v>0.33317860800533639</v>
      </c>
      <c r="AT1385" s="4" t="s">
        <v>5453</v>
      </c>
    </row>
    <row r="1386" spans="1:46">
      <c r="A1386" s="2">
        <v>2252</v>
      </c>
      <c r="B1386" t="s">
        <v>6065</v>
      </c>
      <c r="C1386" t="s">
        <v>1694</v>
      </c>
      <c r="D1386" t="s">
        <v>3713</v>
      </c>
      <c r="E1386" s="4">
        <v>43465</v>
      </c>
      <c r="F1386" s="11">
        <v>-5.68525671</v>
      </c>
      <c r="G1386" s="11">
        <v>17.098445600000002</v>
      </c>
      <c r="H1386" s="11">
        <v>12.1891281444</v>
      </c>
      <c r="I1386" s="11">
        <v>14.1348902977</v>
      </c>
      <c r="J1386" s="11">
        <v>7.6000598024999997</v>
      </c>
      <c r="K1386" s="10">
        <v>0.633103414403</v>
      </c>
      <c r="L1386" s="12">
        <v>3186360000</v>
      </c>
      <c r="M1386">
        <v>25.926120201710301</v>
      </c>
      <c r="N1386" s="7">
        <v>1.96213170338652</v>
      </c>
      <c r="O1386" s="7">
        <v>1.4152149341864999</v>
      </c>
      <c r="P1386" s="7">
        <v>152.21619207855699</v>
      </c>
      <c r="Q1386" s="7">
        <v>3.4647673370366623</v>
      </c>
      <c r="U1386">
        <v>0.15444635629514283</v>
      </c>
      <c r="AT1386" s="4" t="s">
        <v>6066</v>
      </c>
    </row>
    <row r="1387" spans="1:46">
      <c r="A1387" s="2">
        <v>2034</v>
      </c>
      <c r="B1387" t="s">
        <v>6067</v>
      </c>
      <c r="C1387" t="s">
        <v>2593</v>
      </c>
      <c r="D1387" t="s">
        <v>3713</v>
      </c>
      <c r="E1387" s="4">
        <v>43465</v>
      </c>
      <c r="F1387" s="11">
        <v>48.254332769999998</v>
      </c>
      <c r="G1387" s="11">
        <v>17.088607589999999</v>
      </c>
      <c r="H1387" s="11">
        <v>1.8154970636000001</v>
      </c>
      <c r="I1387" s="11">
        <v>30.995497451999999</v>
      </c>
      <c r="J1387" s="11">
        <v>6.5729311389999996</v>
      </c>
      <c r="K1387" s="10">
        <v>0.44314507967900002</v>
      </c>
      <c r="L1387" s="12">
        <v>5096702069.6800003</v>
      </c>
      <c r="M1387">
        <v>98.730417155823901</v>
      </c>
      <c r="N1387" s="7">
        <v>5.4681051566301102</v>
      </c>
      <c r="O1387" s="7">
        <v>10.589019579625701</v>
      </c>
      <c r="P1387" s="7">
        <v>-47.695706540632003</v>
      </c>
      <c r="Q1387" s="7">
        <v>0.19411889611672689</v>
      </c>
      <c r="U1387">
        <v>0.10574408868667663</v>
      </c>
      <c r="AT1387" s="4" t="s">
        <v>5107</v>
      </c>
    </row>
    <row r="1388" spans="1:46">
      <c r="A1388" s="2">
        <v>2081</v>
      </c>
      <c r="B1388" t="s">
        <v>6068</v>
      </c>
      <c r="C1388" t="s">
        <v>1106</v>
      </c>
      <c r="D1388" t="s">
        <v>3832</v>
      </c>
      <c r="E1388" s="4">
        <v>43465</v>
      </c>
      <c r="F1388" s="11">
        <v>29.329476719999999</v>
      </c>
      <c r="G1388" s="11">
        <v>17.030075190000002</v>
      </c>
      <c r="H1388" s="11">
        <v>93.537075732199995</v>
      </c>
      <c r="I1388" s="11">
        <v>18.118829760899999</v>
      </c>
      <c r="J1388" s="11">
        <v>6.2383434672</v>
      </c>
      <c r="K1388" s="10">
        <v>1.9094034403789999</v>
      </c>
      <c r="L1388" s="12">
        <v>4838184270</v>
      </c>
      <c r="M1388">
        <v>48.763952669598801</v>
      </c>
      <c r="N1388" s="7">
        <v>8.1965418706102096</v>
      </c>
      <c r="O1388" s="7">
        <v>2.7171719294290599</v>
      </c>
      <c r="P1388" s="7">
        <v>-25.705236787580301</v>
      </c>
      <c r="Q1388" s="7">
        <v>0.44986263736263732</v>
      </c>
      <c r="U1388">
        <v>0.65374975800000001</v>
      </c>
      <c r="AT1388" s="4" t="s">
        <v>4148</v>
      </c>
    </row>
    <row r="1389" spans="1:46">
      <c r="A1389" s="2">
        <v>815</v>
      </c>
      <c r="B1389" t="s">
        <v>6069</v>
      </c>
      <c r="C1389" t="s">
        <v>71</v>
      </c>
      <c r="D1389" t="s">
        <v>3785</v>
      </c>
      <c r="E1389" s="4">
        <v>43465</v>
      </c>
      <c r="F1389" s="11">
        <v>0.49167759</v>
      </c>
      <c r="G1389" s="11">
        <v>16.98690878</v>
      </c>
      <c r="H1389" s="11">
        <v>21.296676663700001</v>
      </c>
      <c r="I1389" s="11">
        <v>73.703252205200002</v>
      </c>
      <c r="J1389" s="11">
        <v>33.590216907799999</v>
      </c>
      <c r="K1389" s="10">
        <v>0.520562491771</v>
      </c>
      <c r="L1389" s="12">
        <v>37154020691.339996</v>
      </c>
      <c r="M1389">
        <v>19.3685980230883</v>
      </c>
      <c r="N1389" s="7">
        <v>4.2777404558614602</v>
      </c>
      <c r="O1389" s="7">
        <v>5.9462719106145201</v>
      </c>
      <c r="P1389" s="7">
        <v>-314.18304340012702</v>
      </c>
      <c r="Q1389" s="7">
        <v>3.2589876769528465</v>
      </c>
      <c r="T1389" s="2"/>
      <c r="U1389">
        <v>5.3850394261201808</v>
      </c>
      <c r="AT1389" s="4" t="s">
        <v>6070</v>
      </c>
    </row>
    <row r="1390" spans="1:46">
      <c r="A1390" s="2">
        <v>2246</v>
      </c>
      <c r="B1390" t="s">
        <v>6071</v>
      </c>
      <c r="C1390" t="s">
        <v>3088</v>
      </c>
      <c r="D1390" t="s">
        <v>3718</v>
      </c>
      <c r="E1390" s="4">
        <v>43465</v>
      </c>
      <c r="F1390" s="11">
        <v>-31.6872428</v>
      </c>
      <c r="G1390" s="11">
        <v>16.931216930000001</v>
      </c>
      <c r="H1390" s="11">
        <v>16.3214547794</v>
      </c>
      <c r="I1390" s="11">
        <v>11.8312179135</v>
      </c>
      <c r="J1390" s="11">
        <v>0.50329576949999999</v>
      </c>
      <c r="K1390" s="10">
        <v>0.91754720692299996</v>
      </c>
      <c r="L1390" s="12">
        <v>6269915824.8599997</v>
      </c>
      <c r="M1390">
        <v>-587.73207736582197</v>
      </c>
      <c r="N1390" s="7">
        <v>2.6252898638856799</v>
      </c>
      <c r="O1390" s="7">
        <v>2.4957633042459899</v>
      </c>
      <c r="P1390" s="7">
        <v>-174.39264413492799</v>
      </c>
      <c r="Q1390" s="7" t="s">
        <v>3698</v>
      </c>
      <c r="U1390">
        <v>1.2083771038700257E-2</v>
      </c>
      <c r="AT1390" s="4" t="s">
        <v>6072</v>
      </c>
    </row>
    <row r="1391" spans="1:46">
      <c r="A1391" s="2">
        <v>2001</v>
      </c>
      <c r="B1391" t="s">
        <v>6073</v>
      </c>
      <c r="C1391" t="s">
        <v>1069</v>
      </c>
      <c r="D1391" t="s">
        <v>3849</v>
      </c>
      <c r="E1391" s="4">
        <v>43465</v>
      </c>
      <c r="F1391" s="11">
        <v>-29.51294824</v>
      </c>
      <c r="G1391" s="11">
        <v>16.92307692</v>
      </c>
      <c r="H1391" s="11">
        <v>11.041711550800001</v>
      </c>
      <c r="I1391" s="11">
        <v>39.667241762499998</v>
      </c>
      <c r="J1391" s="11">
        <v>21.319507344000002</v>
      </c>
      <c r="K1391" s="10">
        <v>0.46514644459600002</v>
      </c>
      <c r="L1391" s="12">
        <v>2120733972</v>
      </c>
      <c r="M1391">
        <v>19.0114884450403</v>
      </c>
      <c r="N1391" s="7">
        <v>1.87827489783984</v>
      </c>
      <c r="O1391" s="7">
        <v>3.6291574683591401</v>
      </c>
      <c r="P1391" s="7">
        <v>-210.95207789151701</v>
      </c>
      <c r="Q1391" s="7">
        <v>1.1569052783803326</v>
      </c>
      <c r="U1391">
        <v>0.79389277200000008</v>
      </c>
      <c r="AT1391" s="4" t="s">
        <v>4817</v>
      </c>
    </row>
    <row r="1392" spans="1:46">
      <c r="A1392" s="2">
        <v>1536</v>
      </c>
      <c r="B1392" t="s">
        <v>6074</v>
      </c>
      <c r="C1392" t="s">
        <v>3569</v>
      </c>
      <c r="D1392" t="s">
        <v>3769</v>
      </c>
      <c r="E1392" s="4">
        <v>43465</v>
      </c>
      <c r="F1392" s="11">
        <v>-34.818941500000001</v>
      </c>
      <c r="G1392" s="11">
        <v>16.915422889999999</v>
      </c>
      <c r="H1392" s="11">
        <v>-57.035109902899997</v>
      </c>
      <c r="I1392" s="11">
        <v>-1.6260977302999999</v>
      </c>
      <c r="J1392" s="11">
        <v>-177.33086010950001</v>
      </c>
      <c r="K1392" s="10">
        <v>0.31664879920599998</v>
      </c>
      <c r="L1392" s="12">
        <v>1854850894.5999999</v>
      </c>
      <c r="M1392">
        <v>-6.2791363222885703</v>
      </c>
      <c r="N1392" s="7">
        <v>11.391115540923799</v>
      </c>
      <c r="O1392" s="7">
        <v>2.0371213871366201</v>
      </c>
      <c r="P1392" s="7">
        <v>-48.674298403513198</v>
      </c>
      <c r="Q1392" s="7" t="s">
        <v>3698</v>
      </c>
      <c r="U1392">
        <v>-1.0236807312466512</v>
      </c>
      <c r="AT1392" s="4" t="s">
        <v>4028</v>
      </c>
    </row>
    <row r="1393" spans="1:46">
      <c r="A1393" s="2">
        <v>728</v>
      </c>
      <c r="B1393" t="s">
        <v>6075</v>
      </c>
      <c r="C1393" t="s">
        <v>877</v>
      </c>
      <c r="D1393" t="s">
        <v>3721</v>
      </c>
      <c r="E1393" s="4">
        <v>43465</v>
      </c>
      <c r="F1393" s="11">
        <v>-43.787548209999997</v>
      </c>
      <c r="G1393" s="11">
        <v>16.88034188</v>
      </c>
      <c r="H1393" s="11">
        <v>11.868528578099999</v>
      </c>
      <c r="I1393" s="11">
        <v>19.2492096838</v>
      </c>
      <c r="J1393" s="11">
        <v>7.7180455776999999</v>
      </c>
      <c r="K1393" s="10">
        <v>0.69454049307499999</v>
      </c>
      <c r="L1393" s="12">
        <v>5068843181.0799999</v>
      </c>
      <c r="M1393">
        <v>13.4960039426075</v>
      </c>
      <c r="N1393" s="7">
        <v>1.62439558806531</v>
      </c>
      <c r="O1393" s="7">
        <v>0.81431639980551696</v>
      </c>
      <c r="P1393" s="7">
        <v>-34.147790150593998</v>
      </c>
      <c r="Q1393" s="7">
        <v>0.90163934426229497</v>
      </c>
      <c r="U1393">
        <v>0.43587319097575483</v>
      </c>
      <c r="AT1393" s="4" t="s">
        <v>4093</v>
      </c>
    </row>
    <row r="1394" spans="1:46">
      <c r="A1394" s="2">
        <v>3620</v>
      </c>
      <c r="B1394" t="s">
        <v>6076</v>
      </c>
      <c r="C1394" t="s">
        <v>606</v>
      </c>
      <c r="D1394" t="s">
        <v>3752</v>
      </c>
      <c r="E1394" s="4">
        <v>43465</v>
      </c>
      <c r="F1394" s="11">
        <v>-22.235448330000001</v>
      </c>
      <c r="G1394" s="11">
        <v>16.851265819999998</v>
      </c>
      <c r="H1394" s="11">
        <v>22.106311734199998</v>
      </c>
      <c r="I1394" s="11">
        <v>19.143858287499999</v>
      </c>
      <c r="J1394" s="11">
        <v>9.9041926319000009</v>
      </c>
      <c r="K1394" s="10">
        <v>1.0740845675070001</v>
      </c>
      <c r="L1394" s="12">
        <v>3889751423.0799999</v>
      </c>
      <c r="M1394">
        <v>13.580933396854601</v>
      </c>
      <c r="N1394" s="7">
        <v>1.7879231981738399</v>
      </c>
      <c r="O1394" s="7">
        <v>1.2910580163847301</v>
      </c>
      <c r="P1394" s="7">
        <v>68.353271000781604</v>
      </c>
      <c r="Q1394" s="7">
        <v>3.6023054755043229</v>
      </c>
      <c r="U1394">
        <v>0.98237221591353685</v>
      </c>
      <c r="AT1394" s="4" t="s">
        <v>4069</v>
      </c>
    </row>
    <row r="1395" spans="1:46">
      <c r="A1395" s="2">
        <v>3068</v>
      </c>
      <c r="B1395" t="s">
        <v>6077</v>
      </c>
      <c r="C1395" t="s">
        <v>824</v>
      </c>
      <c r="D1395" t="s">
        <v>3769</v>
      </c>
      <c r="E1395" s="4">
        <v>43465</v>
      </c>
      <c r="F1395" s="11">
        <v>-18.128014050000001</v>
      </c>
      <c r="G1395" s="11">
        <v>16.838487969999999</v>
      </c>
      <c r="H1395" s="11">
        <v>1.8494481156</v>
      </c>
      <c r="I1395" s="11">
        <v>11.944921903299999</v>
      </c>
      <c r="J1395" s="11">
        <v>-6.3173011911000003</v>
      </c>
      <c r="K1395" s="10">
        <v>0.799700862613</v>
      </c>
      <c r="L1395" s="12">
        <v>10365000000</v>
      </c>
      <c r="M1395">
        <v>22.517160664013002</v>
      </c>
      <c r="N1395" s="7">
        <v>1.58264020373118</v>
      </c>
      <c r="O1395" s="7">
        <v>0.54257998456046297</v>
      </c>
      <c r="P1395" s="7">
        <v>-20.121501891884499</v>
      </c>
      <c r="Q1395" s="7" t="s">
        <v>3698</v>
      </c>
      <c r="U1395">
        <v>-0.86575469702056229</v>
      </c>
      <c r="AT1395" s="4" t="s">
        <v>5766</v>
      </c>
    </row>
    <row r="1396" spans="1:46">
      <c r="A1396" s="2">
        <v>3144</v>
      </c>
      <c r="B1396" t="s">
        <v>6078</v>
      </c>
      <c r="C1396" t="s">
        <v>1859</v>
      </c>
      <c r="D1396" t="s">
        <v>3849</v>
      </c>
      <c r="E1396" s="4">
        <v>43465</v>
      </c>
      <c r="F1396" s="11">
        <v>1.5539961099999999</v>
      </c>
      <c r="G1396" s="11">
        <v>16.81735986</v>
      </c>
      <c r="H1396" s="11">
        <v>244.63252410850001</v>
      </c>
      <c r="I1396" s="11">
        <v>18.878755688199998</v>
      </c>
      <c r="J1396" s="11">
        <v>3.6095537653999998</v>
      </c>
      <c r="K1396" s="10">
        <v>1.1105340604509999</v>
      </c>
      <c r="L1396" s="12">
        <v>3579905036.2600002</v>
      </c>
      <c r="M1396">
        <v>15.868499656439701</v>
      </c>
      <c r="N1396" s="7">
        <v>0.90353695262961997</v>
      </c>
      <c r="O1396" s="7">
        <v>0.44902631789029601</v>
      </c>
      <c r="P1396" s="7">
        <v>21.493176682741399</v>
      </c>
      <c r="Q1396" s="7">
        <v>2.3462783171521031</v>
      </c>
      <c r="U1396">
        <v>0.48043716357055877</v>
      </c>
      <c r="AT1396" s="4" t="s">
        <v>4319</v>
      </c>
    </row>
    <row r="1397" spans="1:46">
      <c r="A1397" s="2">
        <v>713</v>
      </c>
      <c r="B1397" t="s">
        <v>6079</v>
      </c>
      <c r="C1397" t="s">
        <v>2202</v>
      </c>
      <c r="D1397" t="s">
        <v>3761</v>
      </c>
      <c r="E1397" s="4">
        <v>43465</v>
      </c>
      <c r="F1397" s="11">
        <v>-27.768576670000002</v>
      </c>
      <c r="G1397" s="11">
        <v>16.81681682</v>
      </c>
      <c r="H1397" s="11">
        <v>14.3303990038</v>
      </c>
      <c r="I1397" s="11">
        <v>25.963175199399998</v>
      </c>
      <c r="J1397" s="11">
        <v>11.4254387558</v>
      </c>
      <c r="K1397" s="10">
        <v>0.37275711505199999</v>
      </c>
      <c r="L1397" s="12">
        <v>5604344415</v>
      </c>
      <c r="M1397">
        <v>11.7364674468086</v>
      </c>
      <c r="N1397" s="7">
        <v>1.58036955555245</v>
      </c>
      <c r="O1397" s="7">
        <v>1.3696511965663001</v>
      </c>
      <c r="P1397" s="7">
        <v>13.960268410154599</v>
      </c>
      <c r="Q1397" s="7">
        <v>2.1570319240724762</v>
      </c>
      <c r="U1397">
        <v>0.90450505308850027</v>
      </c>
      <c r="AT1397" s="4" t="s">
        <v>3753</v>
      </c>
    </row>
    <row r="1398" spans="1:46">
      <c r="A1398" s="2">
        <v>1782</v>
      </c>
      <c r="B1398" t="s">
        <v>6080</v>
      </c>
      <c r="C1398" t="s">
        <v>189</v>
      </c>
      <c r="D1398" t="s">
        <v>3737</v>
      </c>
      <c r="E1398" s="4">
        <v>43465</v>
      </c>
      <c r="F1398" s="11">
        <v>194.09122672000001</v>
      </c>
      <c r="G1398" s="11">
        <v>16.707218170000001</v>
      </c>
      <c r="H1398" s="11">
        <v>29.8689749919</v>
      </c>
      <c r="I1398" s="11">
        <v>94.304845181299996</v>
      </c>
      <c r="J1398" s="11">
        <v>46.303883558199999</v>
      </c>
      <c r="K1398" s="10">
        <v>0.52538423836699999</v>
      </c>
      <c r="L1398" s="12">
        <v>3823263204.8000002</v>
      </c>
      <c r="M1398">
        <v>49.582853666690397</v>
      </c>
      <c r="N1398" s="7">
        <v>11.0979466852984</v>
      </c>
      <c r="O1398" s="7">
        <v>22.526311783613799</v>
      </c>
      <c r="P1398" s="7">
        <v>42.589641718717701</v>
      </c>
      <c r="Q1398" s="7">
        <v>0.30245838172667444</v>
      </c>
      <c r="U1398">
        <v>0.80061914710533555</v>
      </c>
      <c r="AT1398" s="4" t="s">
        <v>4073</v>
      </c>
    </row>
    <row r="1399" spans="1:46">
      <c r="A1399" s="2">
        <v>2649</v>
      </c>
      <c r="B1399" t="s">
        <v>6081</v>
      </c>
      <c r="C1399" t="s">
        <v>1973</v>
      </c>
      <c r="D1399" t="s">
        <v>3889</v>
      </c>
      <c r="E1399" s="4">
        <v>43465</v>
      </c>
      <c r="F1399" s="11">
        <v>-35.317460320000002</v>
      </c>
      <c r="G1399" s="11">
        <v>16.666666670000001</v>
      </c>
      <c r="H1399" s="11">
        <v>-8.9837470633999992</v>
      </c>
      <c r="I1399" s="11">
        <v>36.017951032200003</v>
      </c>
      <c r="J1399" s="11">
        <v>1.7664116140999999</v>
      </c>
      <c r="K1399" s="10">
        <v>0.34742391338299999</v>
      </c>
      <c r="L1399" s="12">
        <v>5722200000</v>
      </c>
      <c r="M1399">
        <v>186.15070833977799</v>
      </c>
      <c r="N1399" s="7">
        <v>2.69619278053242</v>
      </c>
      <c r="O1399" s="7">
        <v>3.87752302195545</v>
      </c>
      <c r="P1399" s="7">
        <v>17.5792660100884</v>
      </c>
      <c r="Q1399" s="7" t="s">
        <v>3698</v>
      </c>
      <c r="U1399">
        <v>2.2007904757629992E-2</v>
      </c>
      <c r="AT1399" s="4" t="s">
        <v>6082</v>
      </c>
    </row>
    <row r="1400" spans="1:46">
      <c r="A1400" s="2">
        <v>903</v>
      </c>
      <c r="B1400" t="s">
        <v>6083</v>
      </c>
      <c r="C1400" t="s">
        <v>1486</v>
      </c>
      <c r="D1400" t="s">
        <v>3998</v>
      </c>
      <c r="E1400" s="4">
        <v>43465</v>
      </c>
      <c r="F1400" s="11">
        <v>-22.754079990000001</v>
      </c>
      <c r="G1400" s="11">
        <v>16.5625</v>
      </c>
      <c r="H1400" s="11">
        <v>39.7379782836</v>
      </c>
      <c r="I1400" s="11">
        <v>35.115357215400003</v>
      </c>
      <c r="J1400" s="11">
        <v>10.4392594957</v>
      </c>
      <c r="K1400" s="10">
        <v>0.61015883873300003</v>
      </c>
      <c r="L1400" s="12">
        <v>166522174000</v>
      </c>
      <c r="M1400">
        <v>16.4868457812128</v>
      </c>
      <c r="N1400" s="7">
        <v>1.10750407759446</v>
      </c>
      <c r="O1400" s="7">
        <v>1.2271980356232099</v>
      </c>
      <c r="P1400" s="7">
        <v>416.84429743284898</v>
      </c>
      <c r="Q1400" s="7">
        <v>0.77994428969359342</v>
      </c>
      <c r="U1400">
        <v>0.27978333007567141</v>
      </c>
      <c r="AT1400" s="4" t="s">
        <v>5650</v>
      </c>
    </row>
    <row r="1401" spans="1:46">
      <c r="A1401" s="2">
        <v>3537</v>
      </c>
      <c r="B1401" t="s">
        <v>6084</v>
      </c>
      <c r="C1401" t="s">
        <v>3433</v>
      </c>
      <c r="D1401" t="s">
        <v>3718</v>
      </c>
      <c r="E1401" s="4">
        <v>43465</v>
      </c>
      <c r="F1401" s="11">
        <v>-1.7832647500000001</v>
      </c>
      <c r="G1401" s="11">
        <v>16.558441559999999</v>
      </c>
      <c r="H1401" s="11">
        <v>-6.6711154019999999</v>
      </c>
      <c r="I1401" s="11">
        <v>21.599496616100001</v>
      </c>
      <c r="J1401" s="11">
        <v>-7.2451183066000002</v>
      </c>
      <c r="K1401" s="10">
        <v>0.386767198619</v>
      </c>
      <c r="L1401" s="12">
        <v>1454956800</v>
      </c>
      <c r="M1401">
        <v>-119.209311269897</v>
      </c>
      <c r="N1401" s="7">
        <v>3.6269474442051401</v>
      </c>
      <c r="O1401" s="7">
        <v>5.2237176199284603</v>
      </c>
      <c r="P1401" s="7">
        <v>-60.464249274054701</v>
      </c>
      <c r="Q1401" s="7" t="s">
        <v>3698</v>
      </c>
      <c r="U1401">
        <v>-0.22518812584615383</v>
      </c>
      <c r="AT1401" s="4" t="s">
        <v>6085</v>
      </c>
    </row>
    <row r="1402" spans="1:46">
      <c r="A1402" s="2">
        <v>2309</v>
      </c>
      <c r="B1402" t="s">
        <v>6086</v>
      </c>
      <c r="C1402" t="s">
        <v>1305</v>
      </c>
      <c r="D1402" t="s">
        <v>3858</v>
      </c>
      <c r="E1402" s="4">
        <v>43465</v>
      </c>
      <c r="F1402" s="11">
        <v>2.32076094</v>
      </c>
      <c r="G1402" s="11">
        <v>16.501650170000001</v>
      </c>
      <c r="H1402" s="11">
        <v>20.032809658600002</v>
      </c>
      <c r="I1402" s="11">
        <v>11.247244374599999</v>
      </c>
      <c r="J1402" s="11">
        <v>2.0108668003000001</v>
      </c>
      <c r="K1402" s="10">
        <v>0.82869092781800002</v>
      </c>
      <c r="L1402" s="12">
        <v>3004000000</v>
      </c>
      <c r="M1402">
        <v>11.86600443088</v>
      </c>
      <c r="N1402" s="7">
        <v>1.10300212188075</v>
      </c>
      <c r="O1402" s="7">
        <v>0.17083340446600501</v>
      </c>
      <c r="P1402" s="7">
        <v>-12.1905939995835</v>
      </c>
      <c r="Q1402" s="7">
        <v>3.8793103448275863</v>
      </c>
      <c r="U1402">
        <v>0.31219032266367336</v>
      </c>
      <c r="AT1402" s="4" t="s">
        <v>6087</v>
      </c>
    </row>
    <row r="1403" spans="1:46">
      <c r="A1403" s="2">
        <v>3635</v>
      </c>
      <c r="B1403" t="s">
        <v>6088</v>
      </c>
      <c r="C1403" t="s">
        <v>470</v>
      </c>
      <c r="D1403" t="s">
        <v>3769</v>
      </c>
      <c r="E1403" s="4">
        <v>43465</v>
      </c>
      <c r="F1403" s="11">
        <v>-34.040558849999996</v>
      </c>
      <c r="G1403" s="11">
        <v>16.4893617</v>
      </c>
      <c r="H1403" s="11">
        <v>7.5175511636000003</v>
      </c>
      <c r="I1403" s="11">
        <v>37.679264180300002</v>
      </c>
      <c r="J1403" s="11">
        <v>19.8361850583</v>
      </c>
      <c r="K1403" s="10">
        <v>0.26086334168699998</v>
      </c>
      <c r="L1403" s="12">
        <v>2620332000</v>
      </c>
      <c r="M1403">
        <v>15.350841144203301</v>
      </c>
      <c r="N1403" s="7">
        <v>2.0165161383335599</v>
      </c>
      <c r="O1403" s="7">
        <v>3.0617770103176198</v>
      </c>
      <c r="P1403" s="7">
        <v>16.4939933841639</v>
      </c>
      <c r="Q1403" s="7">
        <v>3.0898876404494384</v>
      </c>
      <c r="U1403">
        <v>0.21461791378019579</v>
      </c>
      <c r="AT1403" s="4" t="s">
        <v>5120</v>
      </c>
    </row>
    <row r="1404" spans="1:46">
      <c r="A1404" s="2">
        <v>2202</v>
      </c>
      <c r="B1404" t="s">
        <v>6089</v>
      </c>
      <c r="C1404" t="s">
        <v>2956</v>
      </c>
      <c r="D1404" t="s">
        <v>3737</v>
      </c>
      <c r="E1404" s="4">
        <v>43465</v>
      </c>
      <c r="F1404" s="11">
        <v>-34.33061112</v>
      </c>
      <c r="G1404" s="11">
        <v>16.47465438</v>
      </c>
      <c r="H1404" s="11">
        <v>7.9835349015999997</v>
      </c>
      <c r="I1404" s="11">
        <v>43.602969495000004</v>
      </c>
      <c r="J1404" s="11">
        <v>15.6321338676</v>
      </c>
      <c r="K1404" s="10">
        <v>0.40096736569800001</v>
      </c>
      <c r="L1404" s="12">
        <v>17296110021</v>
      </c>
      <c r="M1404">
        <v>45.242414576776298</v>
      </c>
      <c r="N1404" s="7">
        <v>2.38952914152528</v>
      </c>
      <c r="O1404" s="7">
        <v>4.8491540099220201</v>
      </c>
      <c r="P1404" s="7">
        <v>-15.417754973074</v>
      </c>
      <c r="Q1404" s="7">
        <v>1.0090817356205852</v>
      </c>
      <c r="U1404">
        <v>0.28352172542819859</v>
      </c>
      <c r="AT1404" s="4" t="s">
        <v>4663</v>
      </c>
    </row>
    <row r="1405" spans="1:46">
      <c r="A1405" s="2">
        <v>2921</v>
      </c>
      <c r="B1405" t="s">
        <v>6090</v>
      </c>
      <c r="C1405" t="s">
        <v>2209</v>
      </c>
      <c r="D1405" t="s">
        <v>3871</v>
      </c>
      <c r="E1405" s="4">
        <v>43465</v>
      </c>
      <c r="F1405" s="11">
        <v>11.03808795</v>
      </c>
      <c r="G1405" s="11">
        <v>16.441005799999999</v>
      </c>
      <c r="H1405" s="11">
        <v>-6.8953578000000002</v>
      </c>
      <c r="I1405" s="11">
        <v>56.588449907899999</v>
      </c>
      <c r="J1405" s="11">
        <v>22.166154420600002</v>
      </c>
      <c r="K1405" s="10">
        <v>0.134775295845</v>
      </c>
      <c r="L1405" s="12">
        <v>3018124800</v>
      </c>
      <c r="M1405">
        <v>55.264541910923199</v>
      </c>
      <c r="N1405" s="7">
        <v>3.4011087446825798</v>
      </c>
      <c r="O1405" s="7">
        <v>11.671037126211701</v>
      </c>
      <c r="P1405" s="7">
        <v>43.466658979235902</v>
      </c>
      <c r="Q1405" s="7">
        <v>0.29102406334859976</v>
      </c>
      <c r="U1405">
        <v>0.38869830921751336</v>
      </c>
      <c r="AT1405" s="4" t="s">
        <v>4537</v>
      </c>
    </row>
    <row r="1406" spans="1:46">
      <c r="A1406" s="2">
        <v>2096</v>
      </c>
      <c r="B1406" t="s">
        <v>6091</v>
      </c>
      <c r="C1406" t="s">
        <v>3027</v>
      </c>
      <c r="D1406" t="s">
        <v>3713</v>
      </c>
      <c r="E1406" s="4">
        <v>43465</v>
      </c>
      <c r="F1406" s="11">
        <v>-32.373390739999998</v>
      </c>
      <c r="G1406" s="11">
        <v>16.41870351</v>
      </c>
      <c r="H1406" s="11">
        <v>18.498168187299999</v>
      </c>
      <c r="I1406" s="11">
        <v>30.2443126617</v>
      </c>
      <c r="J1406" s="11">
        <v>13.4377706155</v>
      </c>
      <c r="K1406" s="10">
        <v>0.48512526974800002</v>
      </c>
      <c r="L1406" s="12">
        <v>15775460000</v>
      </c>
      <c r="M1406">
        <v>96.662871279321493</v>
      </c>
      <c r="N1406" s="7">
        <v>5.9783339038983003</v>
      </c>
      <c r="O1406" s="7">
        <v>10.738760872467299</v>
      </c>
      <c r="P1406" s="7">
        <v>-30.1433109958787</v>
      </c>
      <c r="Q1406" s="7">
        <v>0.24606299212598426</v>
      </c>
      <c r="U1406">
        <v>0.2600399986111111</v>
      </c>
      <c r="AT1406" s="4" t="s">
        <v>4860</v>
      </c>
    </row>
    <row r="1407" spans="1:46">
      <c r="A1407" s="2">
        <v>1565</v>
      </c>
      <c r="B1407" t="s">
        <v>6092</v>
      </c>
      <c r="C1407" t="s">
        <v>3508</v>
      </c>
      <c r="D1407" t="s">
        <v>3764</v>
      </c>
      <c r="E1407" s="4">
        <v>43465</v>
      </c>
      <c r="F1407" s="11">
        <v>-37.69286022</v>
      </c>
      <c r="G1407" s="11">
        <v>16.413043479999999</v>
      </c>
      <c r="H1407" s="11">
        <v>-3.9815222952</v>
      </c>
      <c r="I1407" s="11">
        <v>24.748577669100001</v>
      </c>
      <c r="J1407" s="11">
        <v>1.9106626121000001</v>
      </c>
      <c r="K1407" s="10">
        <v>0.39458988307499998</v>
      </c>
      <c r="L1407" s="12">
        <v>11209089763.9</v>
      </c>
      <c r="M1407">
        <v>339.56349317533397</v>
      </c>
      <c r="N1407" s="7">
        <v>2.2437094448765298</v>
      </c>
      <c r="O1407" s="7">
        <v>2.0888260602900299</v>
      </c>
      <c r="P1407" s="7">
        <v>-46.207466939256904</v>
      </c>
      <c r="Q1407" s="7" t="s">
        <v>3698</v>
      </c>
      <c r="U1407">
        <v>7.9481983239489212E-2</v>
      </c>
      <c r="AT1407" s="4" t="s">
        <v>4399</v>
      </c>
    </row>
    <row r="1408" spans="1:46">
      <c r="A1408" s="2">
        <v>3617</v>
      </c>
      <c r="B1408" t="s">
        <v>6093</v>
      </c>
      <c r="C1408" t="s">
        <v>674</v>
      </c>
      <c r="D1408" t="s">
        <v>3718</v>
      </c>
      <c r="E1408" s="4">
        <v>43465</v>
      </c>
      <c r="F1408" s="11">
        <v>101.41076786000001</v>
      </c>
      <c r="G1408" s="11">
        <v>16.378689699999999</v>
      </c>
      <c r="H1408" s="11">
        <v>131.51401467380001</v>
      </c>
      <c r="I1408" s="11">
        <v>28.010770244300002</v>
      </c>
      <c r="J1408" s="11">
        <v>13.3760428647</v>
      </c>
      <c r="K1408" s="10">
        <v>0.72457992830700002</v>
      </c>
      <c r="L1408" s="12">
        <v>50489558381.650002</v>
      </c>
      <c r="M1408">
        <v>59.8191923780712</v>
      </c>
      <c r="N1408" s="7">
        <v>10.2476629959954</v>
      </c>
      <c r="O1408" s="7">
        <v>8.0853898707617606</v>
      </c>
      <c r="P1408" s="7">
        <v>-216.60924298494899</v>
      </c>
      <c r="Q1408" s="7">
        <v>0.25579494211650539</v>
      </c>
      <c r="U1408">
        <v>0.48186656797337279</v>
      </c>
      <c r="AT1408" s="4" t="s">
        <v>6094</v>
      </c>
    </row>
    <row r="1409" spans="1:46">
      <c r="A1409" s="2">
        <v>2322</v>
      </c>
      <c r="B1409" t="s">
        <v>6095</v>
      </c>
      <c r="C1409" t="s">
        <v>3000</v>
      </c>
      <c r="D1409" t="s">
        <v>4046</v>
      </c>
      <c r="E1409" s="4">
        <v>43465</v>
      </c>
      <c r="F1409" s="11">
        <v>-37.779796689999998</v>
      </c>
      <c r="G1409" s="11">
        <v>16.37666325</v>
      </c>
      <c r="H1409" s="11">
        <v>28.434236863599999</v>
      </c>
      <c r="I1409" s="11">
        <v>11.3706011058</v>
      </c>
      <c r="J1409" s="11">
        <v>2.3883446998000002</v>
      </c>
      <c r="K1409" s="10">
        <v>0.65672921998099998</v>
      </c>
      <c r="L1409" s="12">
        <v>5138075250</v>
      </c>
      <c r="M1409">
        <v>72.818794126441006</v>
      </c>
      <c r="N1409" s="7">
        <v>2.14095086515636</v>
      </c>
      <c r="O1409" s="7">
        <v>2.2367979783224401</v>
      </c>
      <c r="P1409" s="7">
        <v>802.46953108294701</v>
      </c>
      <c r="Q1409" s="7">
        <v>0.32618825722273992</v>
      </c>
      <c r="U1409">
        <v>0.11390998828592985</v>
      </c>
      <c r="AT1409" s="4" t="s">
        <v>6096</v>
      </c>
    </row>
    <row r="1410" spans="1:46">
      <c r="A1410" s="2">
        <v>1882</v>
      </c>
      <c r="B1410" t="s">
        <v>6097</v>
      </c>
      <c r="C1410" t="s">
        <v>333</v>
      </c>
      <c r="D1410" t="s">
        <v>3718</v>
      </c>
      <c r="E1410" s="4">
        <v>43465</v>
      </c>
      <c r="F1410" s="11">
        <v>27.478835409999999</v>
      </c>
      <c r="G1410" s="11">
        <v>16.373429080000001</v>
      </c>
      <c r="H1410" s="11">
        <v>31.5793999214</v>
      </c>
      <c r="I1410" s="11">
        <v>32.800756923400002</v>
      </c>
      <c r="J1410" s="11">
        <v>15.833585524</v>
      </c>
      <c r="K1410" s="10">
        <v>0.50333027177199996</v>
      </c>
      <c r="L1410" s="12">
        <v>23116233600</v>
      </c>
      <c r="M1410">
        <v>43.404384560565099</v>
      </c>
      <c r="N1410" s="7">
        <v>3.9293327136677698</v>
      </c>
      <c r="O1410" s="7">
        <v>5.9325753031388597</v>
      </c>
      <c r="P1410" s="7">
        <v>18.017702470949502</v>
      </c>
      <c r="Q1410" s="7">
        <v>0.1295816364309515</v>
      </c>
      <c r="U1410">
        <v>0.86259094660978108</v>
      </c>
      <c r="AT1410" s="4" t="s">
        <v>6098</v>
      </c>
    </row>
    <row r="1411" spans="1:46">
      <c r="A1411" s="2">
        <v>3437</v>
      </c>
      <c r="B1411" t="s">
        <v>6099</v>
      </c>
      <c r="C1411" t="s">
        <v>2207</v>
      </c>
      <c r="D1411" t="s">
        <v>3761</v>
      </c>
      <c r="E1411" s="4">
        <v>43465</v>
      </c>
      <c r="F1411" s="11">
        <v>-21.152978470000001</v>
      </c>
      <c r="G1411" s="11">
        <v>16.33554084</v>
      </c>
      <c r="H1411" s="11">
        <v>19.376139240400001</v>
      </c>
      <c r="I1411" s="11">
        <v>18.737613225800001</v>
      </c>
      <c r="J1411" s="11">
        <v>3.2713790528</v>
      </c>
      <c r="K1411" s="10">
        <v>0.53475461562799997</v>
      </c>
      <c r="L1411" s="12">
        <v>3028877780.0100002</v>
      </c>
      <c r="M1411">
        <v>54.0748578430089</v>
      </c>
      <c r="N1411" s="7">
        <v>1.79245380510844</v>
      </c>
      <c r="O1411" s="7">
        <v>1.8026162573059299</v>
      </c>
      <c r="P1411" s="7">
        <v>-16.599696167459602</v>
      </c>
      <c r="Q1411" s="7">
        <v>0.47222222303165368</v>
      </c>
      <c r="U1411">
        <v>0.18140665883898982</v>
      </c>
      <c r="AT1411" s="4" t="s">
        <v>6100</v>
      </c>
    </row>
    <row r="1412" spans="1:46">
      <c r="A1412" s="2">
        <v>1530</v>
      </c>
      <c r="B1412" t="s">
        <v>6101</v>
      </c>
      <c r="C1412" t="s">
        <v>3277</v>
      </c>
      <c r="D1412" t="s">
        <v>3718</v>
      </c>
      <c r="E1412" s="4">
        <v>43465</v>
      </c>
      <c r="F1412" s="11">
        <v>-20.18181818</v>
      </c>
      <c r="G1412" s="11">
        <v>16.31016043</v>
      </c>
      <c r="H1412" s="11">
        <v>-22.169586027499999</v>
      </c>
      <c r="I1412" s="11">
        <v>22.674102725600001</v>
      </c>
      <c r="J1412" s="11">
        <v>1.5444393845</v>
      </c>
      <c r="K1412" s="10">
        <v>0.197372625834</v>
      </c>
      <c r="L1412" s="12">
        <v>4583389730.1499996</v>
      </c>
      <c r="M1412">
        <v>-53.967628890734602</v>
      </c>
      <c r="N1412" s="7">
        <v>0.98846694397663204</v>
      </c>
      <c r="O1412" s="7">
        <v>3.8958310406882499</v>
      </c>
      <c r="P1412" s="7">
        <v>3.5335635154348601</v>
      </c>
      <c r="Q1412" s="7" t="s">
        <v>3698</v>
      </c>
      <c r="U1412">
        <v>1.6251222019578501E-2</v>
      </c>
      <c r="AT1412" s="4" t="s">
        <v>5653</v>
      </c>
    </row>
    <row r="1413" spans="1:46">
      <c r="A1413" s="2">
        <v>2948</v>
      </c>
      <c r="B1413" t="s">
        <v>6102</v>
      </c>
      <c r="C1413" t="s">
        <v>2260</v>
      </c>
      <c r="D1413" t="s">
        <v>3761</v>
      </c>
      <c r="E1413" s="4">
        <v>43465</v>
      </c>
      <c r="F1413" s="11">
        <v>-17.203898909999999</v>
      </c>
      <c r="G1413" s="11">
        <v>16.22306717</v>
      </c>
      <c r="H1413" s="11">
        <v>-9.2853548373999999</v>
      </c>
      <c r="I1413" s="11">
        <v>20.724656680900001</v>
      </c>
      <c r="J1413" s="11">
        <v>3.8959943146999998</v>
      </c>
      <c r="K1413" s="10">
        <v>0.36073081223199999</v>
      </c>
      <c r="L1413" s="12">
        <v>3723200000</v>
      </c>
      <c r="M1413">
        <v>31.0298370010496</v>
      </c>
      <c r="N1413" s="7">
        <v>0.85314845940392503</v>
      </c>
      <c r="O1413" s="7">
        <v>0.78873207589191896</v>
      </c>
      <c r="P1413" s="7">
        <v>6.4480622947239601</v>
      </c>
      <c r="Q1413" s="7">
        <v>1.2373453318335208</v>
      </c>
      <c r="U1413">
        <v>0.36522356135238804</v>
      </c>
      <c r="AT1413" s="4" t="s">
        <v>6103</v>
      </c>
    </row>
    <row r="1414" spans="1:46">
      <c r="A1414" s="2">
        <v>39</v>
      </c>
      <c r="B1414" t="s">
        <v>6104</v>
      </c>
      <c r="C1414" t="s">
        <v>1905</v>
      </c>
      <c r="D1414" t="s">
        <v>3718</v>
      </c>
      <c r="E1414" s="4">
        <v>43465</v>
      </c>
      <c r="F1414" s="11">
        <v>-45.003741929999997</v>
      </c>
      <c r="G1414" s="11">
        <v>16.172172100000001</v>
      </c>
      <c r="H1414" s="11">
        <v>22.539590796500001</v>
      </c>
      <c r="I1414" s="11">
        <v>14.8786821551</v>
      </c>
      <c r="J1414" s="11">
        <v>4.3513994398999998</v>
      </c>
      <c r="K1414" s="10">
        <v>0.64595086181399997</v>
      </c>
      <c r="L1414" s="12">
        <v>31521567957.119999</v>
      </c>
      <c r="M1414">
        <v>27.749711345146402</v>
      </c>
      <c r="N1414" s="7">
        <v>1.0069644705867999</v>
      </c>
      <c r="O1414" s="7">
        <v>0.35387381313599198</v>
      </c>
      <c r="P1414" s="7">
        <v>-55.424909955282203</v>
      </c>
      <c r="Q1414" s="7">
        <v>4.752566215627815</v>
      </c>
      <c r="U1414">
        <v>1.1324785694281045</v>
      </c>
      <c r="AT1414" s="4" t="s">
        <v>4665</v>
      </c>
    </row>
    <row r="1415" spans="1:46">
      <c r="A1415" s="2">
        <v>3101</v>
      </c>
      <c r="B1415" t="s">
        <v>6105</v>
      </c>
      <c r="C1415" t="s">
        <v>465</v>
      </c>
      <c r="D1415" t="s">
        <v>3837</v>
      </c>
      <c r="E1415" s="4">
        <v>43465</v>
      </c>
      <c r="F1415" s="11">
        <v>-28.095559819999998</v>
      </c>
      <c r="G1415" s="11">
        <v>16.169507580000001</v>
      </c>
      <c r="H1415" s="11">
        <v>6.9623678294999998</v>
      </c>
      <c r="I1415" s="11" t="s">
        <v>3698</v>
      </c>
      <c r="J1415" s="11">
        <v>5.1392321314</v>
      </c>
      <c r="K1415" s="10" t="s">
        <v>3698</v>
      </c>
      <c r="L1415" s="12">
        <v>94172688941.880005</v>
      </c>
      <c r="M1415">
        <v>16.2237932016745</v>
      </c>
      <c r="N1415" s="7">
        <v>2.0090818056017201</v>
      </c>
      <c r="O1415" s="7">
        <v>0.86668890924637298</v>
      </c>
      <c r="P1415" s="7">
        <v>17.288067224350598</v>
      </c>
      <c r="Q1415" s="7">
        <v>1.729559748427673</v>
      </c>
      <c r="U1415">
        <v>2.5394716014179752</v>
      </c>
      <c r="AT1415" s="4" t="s">
        <v>6106</v>
      </c>
    </row>
    <row r="1416" spans="1:46">
      <c r="A1416" s="2">
        <v>2546</v>
      </c>
      <c r="B1416" t="s">
        <v>6107</v>
      </c>
      <c r="C1416" t="s">
        <v>263</v>
      </c>
      <c r="D1416" t="s">
        <v>3764</v>
      </c>
      <c r="E1416" s="4">
        <v>43465</v>
      </c>
      <c r="F1416" s="11">
        <v>7.5724937900000002</v>
      </c>
      <c r="G1416" s="11">
        <v>16.08832808</v>
      </c>
      <c r="H1416" s="11">
        <v>18.806274096700001</v>
      </c>
      <c r="I1416" s="11">
        <v>19.349447919999999</v>
      </c>
      <c r="J1416" s="11">
        <v>14.2462435152</v>
      </c>
      <c r="K1416" s="10">
        <v>0.55318629534399999</v>
      </c>
      <c r="L1416" s="12">
        <v>5581223173.6800003</v>
      </c>
      <c r="M1416">
        <v>13.942374894025599</v>
      </c>
      <c r="N1416" s="7">
        <v>2.4211362513324701</v>
      </c>
      <c r="O1416" s="7">
        <v>1.5259692518954</v>
      </c>
      <c r="P1416" s="7">
        <v>-37.255002172342103</v>
      </c>
      <c r="Q1416" s="7">
        <v>0.85729872963915521</v>
      </c>
      <c r="U1416">
        <v>1.5567862534374999</v>
      </c>
      <c r="AT1416" s="4" t="s">
        <v>6108</v>
      </c>
    </row>
    <row r="1417" spans="1:46">
      <c r="A1417" s="2">
        <v>2677</v>
      </c>
      <c r="B1417" t="s">
        <v>6109</v>
      </c>
      <c r="C1417" t="s">
        <v>3071</v>
      </c>
      <c r="D1417" t="s">
        <v>3871</v>
      </c>
      <c r="E1417" s="4">
        <v>43465</v>
      </c>
      <c r="F1417" s="11">
        <v>23.448306339999998</v>
      </c>
      <c r="G1417" s="11">
        <v>16.08300908</v>
      </c>
      <c r="H1417" s="11">
        <v>-76.824983941100001</v>
      </c>
      <c r="I1417" s="11">
        <v>42.517312037000003</v>
      </c>
      <c r="J1417" s="11">
        <v>53.001469784400001</v>
      </c>
      <c r="K1417" s="10">
        <v>3.4988569405000003E-2</v>
      </c>
      <c r="L1417" s="12">
        <v>51605774604.599998</v>
      </c>
      <c r="M1417">
        <v>73.3807643710782</v>
      </c>
      <c r="N1417" s="7">
        <v>2.36470693537898</v>
      </c>
      <c r="O1417" s="7">
        <v>7.1963458542783396</v>
      </c>
      <c r="P1417" s="7">
        <v>-69.297783210826793</v>
      </c>
      <c r="Q1417" s="7">
        <v>0.32051282051282048</v>
      </c>
      <c r="U1417">
        <v>0.12684975329300441</v>
      </c>
      <c r="AT1417" s="4" t="s">
        <v>5079</v>
      </c>
    </row>
    <row r="1418" spans="1:46">
      <c r="A1418" s="2">
        <v>1506</v>
      </c>
      <c r="B1418" t="s">
        <v>6110</v>
      </c>
      <c r="C1418" t="s">
        <v>180</v>
      </c>
      <c r="D1418" t="s">
        <v>3889</v>
      </c>
      <c r="E1418" s="4">
        <v>43465</v>
      </c>
      <c r="F1418" s="11">
        <v>-0.20316095000000001</v>
      </c>
      <c r="G1418" s="11">
        <v>16.06741573</v>
      </c>
      <c r="H1418" s="11">
        <v>68.370802855199997</v>
      </c>
      <c r="I1418" s="11">
        <v>45.7751862175</v>
      </c>
      <c r="J1418" s="11">
        <v>27.9914039881</v>
      </c>
      <c r="K1418" s="10">
        <v>0.25654754994399998</v>
      </c>
      <c r="L1418" s="12">
        <v>3880800000</v>
      </c>
      <c r="M1418">
        <v>37.493420992439802</v>
      </c>
      <c r="N1418" s="7">
        <v>2.4176937749073</v>
      </c>
      <c r="O1418" s="7">
        <v>7.4473266779815503</v>
      </c>
      <c r="P1418" s="7">
        <v>-10.433671467395</v>
      </c>
      <c r="Q1418" s="7" t="s">
        <v>3698</v>
      </c>
      <c r="U1418">
        <v>0.37442604665431239</v>
      </c>
      <c r="AT1418" s="4" t="s">
        <v>4425</v>
      </c>
    </row>
    <row r="1419" spans="1:46">
      <c r="A1419" s="2">
        <v>3556</v>
      </c>
      <c r="B1419" t="s">
        <v>6111</v>
      </c>
      <c r="C1419" t="s">
        <v>1073</v>
      </c>
      <c r="D1419" t="s">
        <v>3769</v>
      </c>
      <c r="E1419" s="4">
        <v>43465</v>
      </c>
      <c r="F1419" s="11">
        <v>40.003129029999997</v>
      </c>
      <c r="G1419" s="11">
        <v>16.057347669999999</v>
      </c>
      <c r="H1419" s="11">
        <v>25.068237469900001</v>
      </c>
      <c r="I1419" s="11">
        <v>46.133679791500001</v>
      </c>
      <c r="J1419" s="11">
        <v>30.680736648700002</v>
      </c>
      <c r="K1419" s="10">
        <v>0.43476895155500001</v>
      </c>
      <c r="L1419" s="12">
        <v>4580056237.4399996</v>
      </c>
      <c r="M1419">
        <v>41.516551674258203</v>
      </c>
      <c r="N1419" s="7">
        <v>5.0320841184375702</v>
      </c>
      <c r="O1419" s="7">
        <v>11.504870580281301</v>
      </c>
      <c r="P1419" s="7">
        <v>-206.518343283582</v>
      </c>
      <c r="Q1419" s="7">
        <v>0.77569489334195219</v>
      </c>
      <c r="U1419">
        <v>0.38505693455128204</v>
      </c>
      <c r="AT1419" s="4" t="s">
        <v>6112</v>
      </c>
    </row>
    <row r="1420" spans="1:46">
      <c r="A1420" s="2">
        <v>2026</v>
      </c>
      <c r="B1420" t="s">
        <v>6113</v>
      </c>
      <c r="C1420" t="s">
        <v>783</v>
      </c>
      <c r="D1420" t="s">
        <v>3718</v>
      </c>
      <c r="E1420" s="4">
        <v>43465</v>
      </c>
      <c r="F1420" s="11">
        <v>-37.227981710000002</v>
      </c>
      <c r="G1420" s="11">
        <v>16.048699500000001</v>
      </c>
      <c r="H1420" s="11">
        <v>46.6394176855</v>
      </c>
      <c r="I1420" s="11">
        <v>31.056890921699999</v>
      </c>
      <c r="J1420" s="11">
        <v>16.5597175463</v>
      </c>
      <c r="K1420" s="10">
        <v>0.58785207407200002</v>
      </c>
      <c r="L1420" s="12">
        <v>5662987200</v>
      </c>
      <c r="M1420">
        <v>32.734507468526402</v>
      </c>
      <c r="N1420" s="7">
        <v>3.15918376305348</v>
      </c>
      <c r="O1420" s="7">
        <v>4.3844439478383999</v>
      </c>
      <c r="P1420" s="7">
        <v>41.384107204756297</v>
      </c>
      <c r="Q1420" s="7">
        <v>0.26497085320614733</v>
      </c>
      <c r="U1420">
        <v>0.60093621457399105</v>
      </c>
      <c r="AT1420" s="4" t="s">
        <v>4412</v>
      </c>
    </row>
    <row r="1421" spans="1:46">
      <c r="A1421" s="2">
        <v>1579</v>
      </c>
      <c r="B1421" t="s">
        <v>6114</v>
      </c>
      <c r="C1421" t="s">
        <v>2540</v>
      </c>
      <c r="D1421" t="s">
        <v>3718</v>
      </c>
      <c r="E1421" s="4">
        <v>43465</v>
      </c>
      <c r="F1421" s="11">
        <v>-9.1489833699999998</v>
      </c>
      <c r="G1421" s="11">
        <v>16.041666670000001</v>
      </c>
      <c r="H1421" s="11">
        <v>-10.879541678700001</v>
      </c>
      <c r="I1421" s="11">
        <v>32.672823959900001</v>
      </c>
      <c r="J1421" s="11">
        <v>18.025944398099998</v>
      </c>
      <c r="K1421" s="10">
        <v>0.30606214604900001</v>
      </c>
      <c r="L1421" s="12">
        <v>5769347766.8400002</v>
      </c>
      <c r="M1421">
        <v>25.187162259511201</v>
      </c>
      <c r="N1421" s="7">
        <v>1.36004016521176</v>
      </c>
      <c r="O1421" s="7">
        <v>3.51808512825176</v>
      </c>
      <c r="P1421" s="7">
        <v>-4.0937663554128001</v>
      </c>
      <c r="Q1421" s="7">
        <v>3.7383177570093453</v>
      </c>
      <c r="U1421">
        <v>0.23496676562431471</v>
      </c>
      <c r="AT1421" s="4" t="s">
        <v>5292</v>
      </c>
    </row>
    <row r="1422" spans="1:46">
      <c r="A1422" s="2">
        <v>2257</v>
      </c>
      <c r="B1422" t="s">
        <v>6115</v>
      </c>
      <c r="C1422" t="s">
        <v>2096</v>
      </c>
      <c r="D1422" t="s">
        <v>3761</v>
      </c>
      <c r="E1422" s="4">
        <v>43465</v>
      </c>
      <c r="F1422" s="11">
        <v>-50.046722940000002</v>
      </c>
      <c r="G1422" s="11">
        <v>16.009852219999999</v>
      </c>
      <c r="H1422" s="11">
        <v>-8.5236689313999996</v>
      </c>
      <c r="I1422" s="11">
        <v>26.436305056999998</v>
      </c>
      <c r="J1422" s="11">
        <v>5.4242236966000004</v>
      </c>
      <c r="K1422" s="10">
        <v>0.34392246497000001</v>
      </c>
      <c r="L1422" s="12">
        <v>12765317806.5</v>
      </c>
      <c r="M1422">
        <v>101.648070755123</v>
      </c>
      <c r="N1422" s="7">
        <v>2.1869282380372499</v>
      </c>
      <c r="O1422" s="7">
        <v>1.9454334062984699</v>
      </c>
      <c r="P1422" s="7">
        <v>-41.041716200038799</v>
      </c>
      <c r="Q1422" s="7" t="s">
        <v>3698</v>
      </c>
      <c r="U1422">
        <v>8.451322058903811E-2</v>
      </c>
      <c r="AT1422" s="4" t="s">
        <v>6116</v>
      </c>
    </row>
    <row r="1423" spans="1:46">
      <c r="A1423" s="2">
        <v>2720</v>
      </c>
      <c r="B1423" t="s">
        <v>6117</v>
      </c>
      <c r="C1423" t="s">
        <v>2000</v>
      </c>
      <c r="D1423" t="s">
        <v>3871</v>
      </c>
      <c r="E1423" s="4">
        <v>43465</v>
      </c>
      <c r="F1423" s="11">
        <v>-25.848872350000001</v>
      </c>
      <c r="G1423" s="11">
        <v>15.993265989999999</v>
      </c>
      <c r="H1423" s="11">
        <v>-13.889813461199999</v>
      </c>
      <c r="I1423" s="11">
        <v>57.6045815823</v>
      </c>
      <c r="J1423" s="11">
        <v>-293.55257290319997</v>
      </c>
      <c r="K1423" s="10">
        <v>3.9802153238000001E-2</v>
      </c>
      <c r="L1423" s="12">
        <v>2184661408.02</v>
      </c>
      <c r="M1423">
        <v>-42.422979691737702</v>
      </c>
      <c r="N1423" s="7">
        <v>6.1469662881603897</v>
      </c>
      <c r="O1423" s="7">
        <v>81.278034649602205</v>
      </c>
      <c r="P1423" s="7">
        <v>-102.823793685897</v>
      </c>
      <c r="Q1423" s="7" t="s">
        <v>3698</v>
      </c>
      <c r="U1423">
        <v>-0.4046217913083287</v>
      </c>
      <c r="AT1423" s="4" t="s">
        <v>5536</v>
      </c>
    </row>
    <row r="1424" spans="1:46">
      <c r="A1424" s="2">
        <v>25</v>
      </c>
      <c r="B1424" t="s">
        <v>6118</v>
      </c>
      <c r="C1424" t="s">
        <v>1635</v>
      </c>
      <c r="D1424" t="s">
        <v>3849</v>
      </c>
      <c r="E1424" s="4">
        <v>43465</v>
      </c>
      <c r="F1424" s="11">
        <v>-20.161743049999998</v>
      </c>
      <c r="G1424" s="11">
        <v>15.93406016</v>
      </c>
      <c r="H1424" s="11">
        <v>19.2955915531</v>
      </c>
      <c r="I1424" s="11">
        <v>19.7691350978</v>
      </c>
      <c r="J1424" s="11">
        <v>20.794764695000001</v>
      </c>
      <c r="K1424" s="10">
        <v>0.27060191336599998</v>
      </c>
      <c r="L1424" s="12">
        <v>2253018240</v>
      </c>
      <c r="M1424">
        <v>150.16205128501301</v>
      </c>
      <c r="N1424" s="7">
        <v>7.5069857505708004</v>
      </c>
      <c r="O1424" s="7">
        <v>19.7370061779583</v>
      </c>
      <c r="P1424" s="7">
        <v>171.704167037205</v>
      </c>
      <c r="Q1424" s="7" t="s">
        <v>3698</v>
      </c>
      <c r="U1424">
        <v>0.29239636331343749</v>
      </c>
      <c r="AT1424" s="4" t="s">
        <v>6119</v>
      </c>
    </row>
    <row r="1425" spans="1:46">
      <c r="A1425" s="2">
        <v>1638</v>
      </c>
      <c r="B1425" t="s">
        <v>6120</v>
      </c>
      <c r="C1425" t="s">
        <v>2563</v>
      </c>
      <c r="D1425" t="s">
        <v>3713</v>
      </c>
      <c r="E1425" s="4">
        <v>43465</v>
      </c>
      <c r="F1425" s="11">
        <v>-14.353477010000001</v>
      </c>
      <c r="G1425" s="11">
        <v>15.92128801</v>
      </c>
      <c r="H1425" s="11">
        <v>3.7376902738000002</v>
      </c>
      <c r="I1425" s="11">
        <v>37.280975587999997</v>
      </c>
      <c r="J1425" s="11">
        <v>10.7961787632</v>
      </c>
      <c r="K1425" s="10">
        <v>0.40463312509900001</v>
      </c>
      <c r="L1425" s="12">
        <v>28404483530.889999</v>
      </c>
      <c r="M1425">
        <v>29.430110799225201</v>
      </c>
      <c r="N1425" s="7">
        <v>2.2293267157216698</v>
      </c>
      <c r="O1425" s="7">
        <v>2.6055026607712399</v>
      </c>
      <c r="P1425" s="7">
        <v>1298.7011025628401</v>
      </c>
      <c r="Q1425" s="7">
        <v>0.81300813008130068</v>
      </c>
      <c r="U1425">
        <v>0.21869229846194785</v>
      </c>
      <c r="AT1425" s="4" t="s">
        <v>4361</v>
      </c>
    </row>
    <row r="1426" spans="1:46">
      <c r="A1426" s="2">
        <v>1978</v>
      </c>
      <c r="B1426" t="s">
        <v>6121</v>
      </c>
      <c r="C1426" t="s">
        <v>2393</v>
      </c>
      <c r="D1426" t="s">
        <v>3713</v>
      </c>
      <c r="E1426" s="4">
        <v>43465</v>
      </c>
      <c r="F1426" s="11">
        <v>-23.81525791</v>
      </c>
      <c r="G1426" s="11">
        <v>15.92039801</v>
      </c>
      <c r="H1426" s="11">
        <v>-10.1896459822</v>
      </c>
      <c r="I1426" s="11">
        <v>22.958405647700001</v>
      </c>
      <c r="J1426" s="11">
        <v>2.8153328593000002</v>
      </c>
      <c r="K1426" s="10">
        <v>0.41331475285000002</v>
      </c>
      <c r="L1426" s="12">
        <v>35190328253.239998</v>
      </c>
      <c r="M1426">
        <v>67.689684042226602</v>
      </c>
      <c r="N1426" s="7">
        <v>2.57480753203372</v>
      </c>
      <c r="O1426" s="7">
        <v>4.4967275661205601</v>
      </c>
      <c r="P1426" s="7">
        <v>426.57630436435699</v>
      </c>
      <c r="Q1426" s="7" t="s">
        <v>3698</v>
      </c>
      <c r="U1426">
        <v>5.1282940450000002E-2</v>
      </c>
      <c r="AT1426" s="4" t="s">
        <v>3925</v>
      </c>
    </row>
    <row r="1427" spans="1:46">
      <c r="A1427" s="2">
        <v>2010</v>
      </c>
      <c r="B1427" t="s">
        <v>6122</v>
      </c>
      <c r="C1427" t="s">
        <v>3309</v>
      </c>
      <c r="D1427" t="s">
        <v>4046</v>
      </c>
      <c r="E1427" s="4">
        <v>43465</v>
      </c>
      <c r="F1427" s="11">
        <v>-6.1505731700000004</v>
      </c>
      <c r="G1427" s="11">
        <v>15.90909091</v>
      </c>
      <c r="H1427" s="11">
        <v>10.9657188081</v>
      </c>
      <c r="I1427" s="11">
        <v>20.0663829951</v>
      </c>
      <c r="J1427" s="11">
        <v>6.6327512554999997</v>
      </c>
      <c r="K1427" s="10">
        <v>0.58197384423700005</v>
      </c>
      <c r="L1427" s="12">
        <v>153325715390</v>
      </c>
      <c r="M1427">
        <v>86.745279602634099</v>
      </c>
      <c r="N1427" s="7">
        <v>6.5986370783569299</v>
      </c>
      <c r="O1427" s="7">
        <v>5.3231258780505097</v>
      </c>
      <c r="P1427" s="7">
        <v>53.658731496367203</v>
      </c>
      <c r="Q1427" s="7">
        <v>0.2786624203821656</v>
      </c>
      <c r="U1427">
        <v>0.15349986598148593</v>
      </c>
      <c r="AT1427" s="4" t="s">
        <v>3964</v>
      </c>
    </row>
    <row r="1428" spans="1:46">
      <c r="A1428" s="2">
        <v>2122</v>
      </c>
      <c r="B1428" t="s">
        <v>6123</v>
      </c>
      <c r="C1428" t="s">
        <v>716</v>
      </c>
      <c r="D1428" t="s">
        <v>3721</v>
      </c>
      <c r="E1428" s="4">
        <v>43465</v>
      </c>
      <c r="F1428" s="11">
        <v>-43.636639860000002</v>
      </c>
      <c r="G1428" s="11">
        <v>15.90720795</v>
      </c>
      <c r="H1428" s="11">
        <v>8.6885949519000008</v>
      </c>
      <c r="I1428" s="11">
        <v>22.006894597900001</v>
      </c>
      <c r="J1428" s="11">
        <v>10.8339341153</v>
      </c>
      <c r="K1428" s="10">
        <v>0.43955702593099999</v>
      </c>
      <c r="L1428" s="12">
        <v>5785920000</v>
      </c>
      <c r="M1428">
        <v>165.22988090759401</v>
      </c>
      <c r="N1428" s="7">
        <v>7.9000088627583001</v>
      </c>
      <c r="O1428" s="7">
        <v>14.2063434132584</v>
      </c>
      <c r="P1428" s="7">
        <v>-32.849896764948298</v>
      </c>
      <c r="Q1428" s="7">
        <v>0.14388489208633093</v>
      </c>
      <c r="U1428">
        <v>0.19651220436507938</v>
      </c>
      <c r="AT1428" s="4" t="s">
        <v>4158</v>
      </c>
    </row>
    <row r="1429" spans="1:46">
      <c r="A1429" s="2">
        <v>1444</v>
      </c>
      <c r="B1429" t="s">
        <v>6124</v>
      </c>
      <c r="C1429" t="s">
        <v>2797</v>
      </c>
      <c r="D1429" t="s">
        <v>3761</v>
      </c>
      <c r="E1429" s="4">
        <v>43465</v>
      </c>
      <c r="F1429" s="11">
        <v>-17.23993454</v>
      </c>
      <c r="G1429" s="11">
        <v>15.8836689</v>
      </c>
      <c r="H1429" s="11">
        <v>-6.8847726943999996</v>
      </c>
      <c r="I1429" s="11">
        <v>50.300115271099997</v>
      </c>
      <c r="J1429" s="11">
        <v>-116.6200201103</v>
      </c>
      <c r="K1429" s="10">
        <v>0.25487498154900001</v>
      </c>
      <c r="L1429" s="12">
        <v>16597480563.440001</v>
      </c>
      <c r="M1429">
        <v>42.137701031159303</v>
      </c>
      <c r="N1429" s="7">
        <v>2.2878956295861101</v>
      </c>
      <c r="O1429" s="7">
        <v>5.2745639100760897</v>
      </c>
      <c r="P1429" s="7">
        <v>-44.079120133081503</v>
      </c>
      <c r="Q1429" s="7" t="s">
        <v>3698</v>
      </c>
      <c r="U1429">
        <v>-0.92165786844552577</v>
      </c>
      <c r="AT1429" s="4" t="s">
        <v>3770</v>
      </c>
    </row>
    <row r="1430" spans="1:46">
      <c r="A1430" s="2">
        <v>1387</v>
      </c>
      <c r="B1430" t="s">
        <v>6125</v>
      </c>
      <c r="C1430" t="s">
        <v>542</v>
      </c>
      <c r="D1430" t="s">
        <v>3721</v>
      </c>
      <c r="E1430" s="4">
        <v>43465</v>
      </c>
      <c r="F1430" s="11">
        <v>23.578043000000001</v>
      </c>
      <c r="G1430" s="11">
        <v>15.877287409999999</v>
      </c>
      <c r="H1430" s="11">
        <v>1.0476299849999999</v>
      </c>
      <c r="I1430" s="11">
        <v>36.049341749100002</v>
      </c>
      <c r="J1430" s="11">
        <v>10.5866609414</v>
      </c>
      <c r="K1430" s="10">
        <v>0.54761493639000003</v>
      </c>
      <c r="L1430" s="12">
        <v>5349786126.3599997</v>
      </c>
      <c r="M1430">
        <v>109.16758716551401</v>
      </c>
      <c r="N1430" s="7">
        <v>5.2026652161294002</v>
      </c>
      <c r="O1430" s="7">
        <v>8.7153969166621703</v>
      </c>
      <c r="P1430" s="7">
        <v>-13.781352580900499</v>
      </c>
      <c r="Q1430" s="7">
        <v>1.8501387604070305</v>
      </c>
      <c r="U1430">
        <v>0.22639498317243681</v>
      </c>
      <c r="AT1430" s="4" t="s">
        <v>6126</v>
      </c>
    </row>
    <row r="1431" spans="1:46">
      <c r="A1431" s="2">
        <v>2307</v>
      </c>
      <c r="B1431" t="s">
        <v>6127</v>
      </c>
      <c r="C1431" t="s">
        <v>1693</v>
      </c>
      <c r="D1431" t="s">
        <v>3764</v>
      </c>
      <c r="E1431" s="4">
        <v>43465</v>
      </c>
      <c r="F1431" s="11">
        <v>-17.36724701</v>
      </c>
      <c r="G1431" s="11">
        <v>15.82608696</v>
      </c>
      <c r="H1431" s="11">
        <v>16.022744604500001</v>
      </c>
      <c r="I1431" s="11">
        <v>28.9286737985</v>
      </c>
      <c r="J1431" s="11">
        <v>19.381729307299999</v>
      </c>
      <c r="K1431" s="10">
        <v>0.12423983833</v>
      </c>
      <c r="L1431" s="12">
        <v>7670520000</v>
      </c>
      <c r="M1431">
        <v>15.580704685926699</v>
      </c>
      <c r="N1431" s="7">
        <v>0.81674388836994904</v>
      </c>
      <c r="O1431" s="7">
        <v>2.8983516852457201</v>
      </c>
      <c r="P1431" s="7">
        <v>6.7591724342225401</v>
      </c>
      <c r="Q1431" s="7">
        <v>1.8858954041204432</v>
      </c>
      <c r="U1431">
        <v>0.39450165757643441</v>
      </c>
      <c r="AT1431" s="4" t="s">
        <v>3824</v>
      </c>
    </row>
    <row r="1432" spans="1:46">
      <c r="A1432" s="2">
        <v>1179</v>
      </c>
      <c r="B1432" t="s">
        <v>6128</v>
      </c>
      <c r="C1432" t="s">
        <v>1054</v>
      </c>
      <c r="D1432" t="s">
        <v>3977</v>
      </c>
      <c r="E1432" s="4">
        <v>43465</v>
      </c>
      <c r="F1432" s="11">
        <v>-49.779376480000003</v>
      </c>
      <c r="G1432" s="11">
        <v>15.8110883</v>
      </c>
      <c r="H1432" s="11">
        <v>12.040255828499999</v>
      </c>
      <c r="I1432" s="11">
        <v>30.583623355899999</v>
      </c>
      <c r="J1432" s="11">
        <v>-24.5364448268</v>
      </c>
      <c r="K1432" s="10">
        <v>0.781662529577</v>
      </c>
      <c r="L1432" s="12">
        <v>1876768000</v>
      </c>
      <c r="M1432">
        <v>8.9923989309841694</v>
      </c>
      <c r="N1432" s="7">
        <v>2.2490489038472199</v>
      </c>
      <c r="O1432" s="7">
        <v>0.67176907879819403</v>
      </c>
      <c r="P1432" s="7">
        <v>-15.8356191417089</v>
      </c>
      <c r="Q1432" s="7" t="s">
        <v>3698</v>
      </c>
      <c r="U1432">
        <v>-1.7549354858936144</v>
      </c>
      <c r="AT1432" s="4" t="s">
        <v>5181</v>
      </c>
    </row>
    <row r="1433" spans="1:46">
      <c r="A1433" s="2">
        <v>3301</v>
      </c>
      <c r="B1433" t="s">
        <v>6129</v>
      </c>
      <c r="C1433" t="s">
        <v>239</v>
      </c>
      <c r="D1433" t="s">
        <v>3849</v>
      </c>
      <c r="E1433" s="4">
        <v>43465</v>
      </c>
      <c r="F1433" s="11">
        <v>-24.83487774</v>
      </c>
      <c r="G1433" s="11">
        <v>15.809051459999999</v>
      </c>
      <c r="H1433" s="11">
        <v>10.013389006400001</v>
      </c>
      <c r="I1433" s="11">
        <v>22.4513798626</v>
      </c>
      <c r="J1433" s="11">
        <v>8.2832192648999996</v>
      </c>
      <c r="K1433" s="10">
        <v>0.96912124571900005</v>
      </c>
      <c r="L1433" s="12">
        <v>2579658200</v>
      </c>
      <c r="M1433">
        <v>12.0903754451152</v>
      </c>
      <c r="N1433" s="7">
        <v>2.4063199406094098</v>
      </c>
      <c r="O1433" s="7">
        <v>1.0532891777073901</v>
      </c>
      <c r="P1433" s="7">
        <v>12.084545942313101</v>
      </c>
      <c r="Q1433" s="7">
        <v>2.8486341670908297</v>
      </c>
      <c r="U1433">
        <v>1.23853153309882</v>
      </c>
      <c r="AT1433" s="4" t="s">
        <v>5122</v>
      </c>
    </row>
    <row r="1434" spans="1:46">
      <c r="A1434" s="2">
        <v>1675</v>
      </c>
      <c r="B1434" t="s">
        <v>6130</v>
      </c>
      <c r="C1434" t="s">
        <v>3055</v>
      </c>
      <c r="D1434" t="s">
        <v>3713</v>
      </c>
      <c r="E1434" s="4">
        <v>43465</v>
      </c>
      <c r="F1434" s="11">
        <v>-15.660593710000001</v>
      </c>
      <c r="G1434" s="11">
        <v>15.76576577</v>
      </c>
      <c r="H1434" s="11">
        <v>-6.7540565172000004</v>
      </c>
      <c r="I1434" s="11">
        <v>53.780997243500003</v>
      </c>
      <c r="J1434" s="11">
        <v>-72.553186313799998</v>
      </c>
      <c r="K1434" s="10">
        <v>0.246919151798</v>
      </c>
      <c r="L1434" s="12">
        <v>5383460613.96</v>
      </c>
      <c r="M1434">
        <v>78.745752781169202</v>
      </c>
      <c r="N1434" s="7">
        <v>2.88555145299821</v>
      </c>
      <c r="O1434" s="7">
        <v>5.2965198054839799</v>
      </c>
      <c r="P1434" s="7">
        <v>-19.604489105784101</v>
      </c>
      <c r="Q1434" s="7" t="s">
        <v>3698</v>
      </c>
      <c r="U1434">
        <v>-1.3260395644494938</v>
      </c>
      <c r="AT1434" s="4" t="s">
        <v>4633</v>
      </c>
    </row>
    <row r="1435" spans="1:46">
      <c r="A1435" s="2">
        <v>2973</v>
      </c>
      <c r="B1435" t="s">
        <v>6131</v>
      </c>
      <c r="C1435" t="s">
        <v>1303</v>
      </c>
      <c r="D1435" t="s">
        <v>3764</v>
      </c>
      <c r="E1435" s="4">
        <v>43465</v>
      </c>
      <c r="F1435" s="11">
        <v>27.409571360000001</v>
      </c>
      <c r="G1435" s="11">
        <v>15.68010076</v>
      </c>
      <c r="H1435" s="11">
        <v>2.1307233880999998</v>
      </c>
      <c r="I1435" s="11">
        <v>62.890677812900002</v>
      </c>
      <c r="J1435" s="11">
        <v>44.213625992799997</v>
      </c>
      <c r="K1435" s="10">
        <v>0.17217810798399999</v>
      </c>
      <c r="L1435" s="12">
        <v>1899309457.5</v>
      </c>
      <c r="M1435">
        <v>15.7025344615999</v>
      </c>
      <c r="N1435" s="7">
        <v>2.45676247909915</v>
      </c>
      <c r="O1435" s="7">
        <v>6.7210187389673202</v>
      </c>
      <c r="P1435" s="7">
        <v>406.29182472169299</v>
      </c>
      <c r="Q1435" s="7">
        <v>3.7506894649751787</v>
      </c>
      <c r="U1435">
        <v>1.0277698372904545</v>
      </c>
      <c r="AT1435" s="4" t="s">
        <v>6132</v>
      </c>
    </row>
    <row r="1436" spans="1:46">
      <c r="A1436" s="2">
        <v>2903</v>
      </c>
      <c r="B1436" t="s">
        <v>6133</v>
      </c>
      <c r="C1436" t="s">
        <v>2431</v>
      </c>
      <c r="D1436" t="s">
        <v>3811</v>
      </c>
      <c r="E1436" s="4">
        <v>43465</v>
      </c>
      <c r="F1436" s="11">
        <v>-41.374269169999998</v>
      </c>
      <c r="G1436" s="11">
        <v>15.657620039999999</v>
      </c>
      <c r="H1436" s="11">
        <v>-29.2995228849</v>
      </c>
      <c r="I1436" s="11">
        <v>20.421605191499999</v>
      </c>
      <c r="J1436" s="11">
        <v>5.0703766967000004</v>
      </c>
      <c r="K1436" s="10">
        <v>0.30329670697099997</v>
      </c>
      <c r="L1436" s="12">
        <v>9138436384</v>
      </c>
      <c r="M1436">
        <v>70.014200062491796</v>
      </c>
      <c r="N1436" s="7">
        <v>1.04301741943098</v>
      </c>
      <c r="O1436" s="7">
        <v>1.9861655906799101</v>
      </c>
      <c r="P1436" s="7">
        <v>25.219584095138501</v>
      </c>
      <c r="Q1436" s="7">
        <v>1.1928429423459246</v>
      </c>
      <c r="U1436">
        <v>6.7689580794861676E-2</v>
      </c>
      <c r="AT1436" s="4" t="s">
        <v>4215</v>
      </c>
    </row>
    <row r="1437" spans="1:46">
      <c r="A1437" s="2">
        <v>2875</v>
      </c>
      <c r="B1437" t="s">
        <v>6134</v>
      </c>
      <c r="C1437" t="s">
        <v>63</v>
      </c>
      <c r="D1437" t="s">
        <v>3998</v>
      </c>
      <c r="E1437" s="4">
        <v>43465</v>
      </c>
      <c r="F1437" s="11">
        <v>22.03457135</v>
      </c>
      <c r="G1437" s="11">
        <v>15.625</v>
      </c>
      <c r="H1437" s="11">
        <v>60.677440947500003</v>
      </c>
      <c r="I1437" s="11">
        <v>32.982210056299998</v>
      </c>
      <c r="J1437" s="11">
        <v>13.952129680000001</v>
      </c>
      <c r="K1437" s="10">
        <v>0.72992874552499998</v>
      </c>
      <c r="L1437" s="12">
        <v>3890818564.4400001</v>
      </c>
      <c r="M1437">
        <v>12.7178024308008</v>
      </c>
      <c r="N1437" s="7">
        <v>3.2854159543852699</v>
      </c>
      <c r="O1437" s="7">
        <v>1.0570478569717301</v>
      </c>
      <c r="P1437" s="7">
        <v>20.741947513759801</v>
      </c>
      <c r="Q1437" s="7">
        <v>0.43650793650793651</v>
      </c>
      <c r="U1437">
        <v>0.88379398769539663</v>
      </c>
      <c r="AT1437" s="4" t="s">
        <v>4775</v>
      </c>
    </row>
    <row r="1438" spans="1:46">
      <c r="A1438" s="2">
        <v>2593</v>
      </c>
      <c r="B1438" t="s">
        <v>6135</v>
      </c>
      <c r="C1438" t="s">
        <v>777</v>
      </c>
      <c r="D1438" t="s">
        <v>3737</v>
      </c>
      <c r="E1438" s="4">
        <v>43465</v>
      </c>
      <c r="F1438" s="11">
        <v>1.5230931700000001</v>
      </c>
      <c r="G1438" s="11">
        <v>15.612903230000001</v>
      </c>
      <c r="H1438" s="11">
        <v>6.7661511348000003</v>
      </c>
      <c r="I1438" s="11">
        <v>8.8257903755000005</v>
      </c>
      <c r="J1438" s="11">
        <v>4.1111602610000002</v>
      </c>
      <c r="K1438" s="10">
        <v>1.8591076217419999</v>
      </c>
      <c r="L1438" s="12">
        <v>1872000000</v>
      </c>
      <c r="M1438">
        <v>14.5686199104066</v>
      </c>
      <c r="N1438" s="7">
        <v>1.9585315944457999</v>
      </c>
      <c r="O1438" s="7">
        <v>0.46776611126259199</v>
      </c>
      <c r="P1438" s="7">
        <v>23.302026774655001</v>
      </c>
      <c r="Q1438" s="7">
        <v>1.6588179557547267</v>
      </c>
      <c r="U1438">
        <v>1.8368489469862295</v>
      </c>
      <c r="AT1438" s="4" t="s">
        <v>6136</v>
      </c>
    </row>
    <row r="1439" spans="1:46">
      <c r="A1439" s="2">
        <v>3339</v>
      </c>
      <c r="B1439" t="s">
        <v>6137</v>
      </c>
      <c r="C1439" t="s">
        <v>1188</v>
      </c>
      <c r="D1439" t="s">
        <v>3718</v>
      </c>
      <c r="E1439" s="4">
        <v>43465</v>
      </c>
      <c r="F1439" s="11">
        <v>-35.33325791</v>
      </c>
      <c r="G1439" s="11">
        <v>15.59748428</v>
      </c>
      <c r="H1439" s="11">
        <v>12.680724962499999</v>
      </c>
      <c r="I1439" s="11">
        <v>28.912091463500001</v>
      </c>
      <c r="J1439" s="11">
        <v>12.693062701900001</v>
      </c>
      <c r="K1439" s="10">
        <v>0.61220939418200004</v>
      </c>
      <c r="L1439" s="12">
        <v>2604052152</v>
      </c>
      <c r="M1439">
        <v>24.9101936416581</v>
      </c>
      <c r="N1439" s="7">
        <v>2.2023285603869698</v>
      </c>
      <c r="O1439" s="7">
        <v>2.8043213145287602</v>
      </c>
      <c r="P1439" s="7">
        <v>9.1818638060737694</v>
      </c>
      <c r="Q1439" s="7">
        <v>2.2831050228310499</v>
      </c>
      <c r="U1439">
        <v>0.37737850320634286</v>
      </c>
      <c r="AT1439" s="4" t="s">
        <v>6138</v>
      </c>
    </row>
    <row r="1440" spans="1:46">
      <c r="A1440" s="2">
        <v>2191</v>
      </c>
      <c r="B1440" t="s">
        <v>6139</v>
      </c>
      <c r="C1440" t="s">
        <v>931</v>
      </c>
      <c r="D1440" t="s">
        <v>3972</v>
      </c>
      <c r="E1440" s="4">
        <v>43465</v>
      </c>
      <c r="F1440" s="11">
        <v>-29.991933790000001</v>
      </c>
      <c r="G1440" s="11">
        <v>15.59322034</v>
      </c>
      <c r="H1440" s="11">
        <v>14.207532822399999</v>
      </c>
      <c r="I1440" s="11">
        <v>35.384218621599999</v>
      </c>
      <c r="J1440" s="11">
        <v>14.353288173699999</v>
      </c>
      <c r="K1440" s="10">
        <v>0.285190841152</v>
      </c>
      <c r="L1440" s="12">
        <v>3855398400</v>
      </c>
      <c r="M1440">
        <v>8.9413562216905405</v>
      </c>
      <c r="N1440" s="7">
        <v>0.91351296576589702</v>
      </c>
      <c r="O1440" s="7">
        <v>1.6621594277804801</v>
      </c>
      <c r="P1440" s="7">
        <v>39.210271806427798</v>
      </c>
      <c r="Q1440" s="7">
        <v>3.4129036768138103</v>
      </c>
      <c r="U1440">
        <v>0.2571630291468805</v>
      </c>
      <c r="AT1440" s="4" t="s">
        <v>6140</v>
      </c>
    </row>
    <row r="1441" spans="1:46">
      <c r="A1441" s="2">
        <v>690</v>
      </c>
      <c r="B1441" t="s">
        <v>6141</v>
      </c>
      <c r="C1441" t="s">
        <v>665</v>
      </c>
      <c r="D1441" t="s">
        <v>3721</v>
      </c>
      <c r="E1441" s="4">
        <v>43465</v>
      </c>
      <c r="F1441" s="11">
        <v>29.682759579999999</v>
      </c>
      <c r="G1441" s="11">
        <v>15.58788599</v>
      </c>
      <c r="H1441" s="11">
        <v>22.858349859499999</v>
      </c>
      <c r="I1441" s="11">
        <v>32.561807094499997</v>
      </c>
      <c r="J1441" s="11">
        <v>12.9160397358</v>
      </c>
      <c r="K1441" s="10">
        <v>0.670437576526</v>
      </c>
      <c r="L1441" s="12">
        <v>2499440836.48</v>
      </c>
      <c r="M1441">
        <v>31.1222263093245</v>
      </c>
      <c r="N1441" s="7">
        <v>4.6635559271113403</v>
      </c>
      <c r="O1441" s="7">
        <v>3.4880247913990101</v>
      </c>
      <c r="P1441" s="7">
        <v>-693.28332168147199</v>
      </c>
      <c r="Q1441" s="7">
        <v>0.24943178517658604</v>
      </c>
      <c r="U1441">
        <v>1.2058558168724081</v>
      </c>
      <c r="AT1441" s="4" t="s">
        <v>4258</v>
      </c>
    </row>
    <row r="1442" spans="1:46">
      <c r="A1442" s="2">
        <v>780</v>
      </c>
      <c r="B1442" t="s">
        <v>6142</v>
      </c>
      <c r="C1442" t="s">
        <v>1552</v>
      </c>
      <c r="D1442" t="s">
        <v>3728</v>
      </c>
      <c r="E1442" s="4">
        <v>43465</v>
      </c>
      <c r="F1442" s="11">
        <v>-22.492401220000001</v>
      </c>
      <c r="G1442" s="11">
        <v>15.58441558</v>
      </c>
      <c r="H1442" s="11">
        <v>18.617783822500002</v>
      </c>
      <c r="I1442" s="11">
        <v>44.661162211600001</v>
      </c>
      <c r="J1442" s="11">
        <v>0.52572138629999998</v>
      </c>
      <c r="K1442" s="10">
        <v>1.1106847074820001</v>
      </c>
      <c r="L1442" s="12">
        <v>2710464936</v>
      </c>
      <c r="M1442">
        <v>-33.142498894650402</v>
      </c>
      <c r="N1442" s="7">
        <v>2.0168483866334799</v>
      </c>
      <c r="O1442" s="7">
        <v>0.76602166963463003</v>
      </c>
      <c r="P1442" s="7">
        <v>-42.769787779317802</v>
      </c>
      <c r="Q1442" s="7" t="s">
        <v>3698</v>
      </c>
      <c r="U1442">
        <v>1.6064306865671642E-2</v>
      </c>
      <c r="AT1442" s="4" t="s">
        <v>6143</v>
      </c>
    </row>
    <row r="1443" spans="1:46">
      <c r="A1443" s="2">
        <v>2245</v>
      </c>
      <c r="B1443" t="s">
        <v>6144</v>
      </c>
      <c r="C1443" t="s">
        <v>2553</v>
      </c>
      <c r="D1443" t="s">
        <v>3764</v>
      </c>
      <c r="E1443" s="4">
        <v>43465</v>
      </c>
      <c r="F1443" s="11">
        <v>-4.5172838300000002</v>
      </c>
      <c r="G1443" s="11">
        <v>15.547703179999999</v>
      </c>
      <c r="H1443" s="11">
        <v>5.3943101548000003</v>
      </c>
      <c r="I1443" s="11">
        <v>10.0381226943</v>
      </c>
      <c r="J1443" s="11">
        <v>3.0558770490999998</v>
      </c>
      <c r="K1443" s="10">
        <v>0.67951254832499997</v>
      </c>
      <c r="L1443" s="12">
        <v>4747021239.4799995</v>
      </c>
      <c r="M1443">
        <v>21.615229701864202</v>
      </c>
      <c r="N1443" s="7">
        <v>0.94913935023974905</v>
      </c>
      <c r="O1443" s="7">
        <v>0.59244137788990403</v>
      </c>
      <c r="P1443" s="7">
        <v>-50.899948895219602</v>
      </c>
      <c r="Q1443" s="7">
        <v>1.5432098765432101</v>
      </c>
      <c r="U1443">
        <v>0.25713841828568546</v>
      </c>
      <c r="AT1443" s="4" t="s">
        <v>3927</v>
      </c>
    </row>
    <row r="1444" spans="1:46">
      <c r="A1444" s="2">
        <v>2784</v>
      </c>
      <c r="B1444" t="s">
        <v>6145</v>
      </c>
      <c r="C1444" t="s">
        <v>679</v>
      </c>
      <c r="D1444" t="s">
        <v>3769</v>
      </c>
      <c r="E1444" s="4">
        <v>43465</v>
      </c>
      <c r="F1444" s="11">
        <v>-36.903876850000003</v>
      </c>
      <c r="G1444" s="11">
        <v>15.53610503</v>
      </c>
      <c r="H1444" s="11">
        <v>48.519120925499998</v>
      </c>
      <c r="I1444" s="11">
        <v>4.3519149625000004</v>
      </c>
      <c r="J1444" s="11">
        <v>1.6439552745999999</v>
      </c>
      <c r="K1444" s="10">
        <v>2.322165934604</v>
      </c>
      <c r="L1444" s="12">
        <v>6125229568.1999998</v>
      </c>
      <c r="M1444">
        <v>13.637711552068501</v>
      </c>
      <c r="N1444" s="7">
        <v>1.2321726388735399</v>
      </c>
      <c r="O1444" s="7">
        <v>0.26992509721070801</v>
      </c>
      <c r="P1444" s="7">
        <v>263.72875837099599</v>
      </c>
      <c r="Q1444" s="7">
        <v>0.39149559451599192</v>
      </c>
      <c r="U1444">
        <v>0.2703292768698452</v>
      </c>
      <c r="AT1444" s="4" t="s">
        <v>6146</v>
      </c>
    </row>
    <row r="1445" spans="1:46">
      <c r="A1445" s="2">
        <v>1849</v>
      </c>
      <c r="B1445" t="s">
        <v>6147</v>
      </c>
      <c r="C1445" t="s">
        <v>2927</v>
      </c>
      <c r="D1445" t="s">
        <v>4046</v>
      </c>
      <c r="E1445" s="4">
        <v>43465</v>
      </c>
      <c r="F1445" s="11">
        <v>-31.625222019999999</v>
      </c>
      <c r="G1445" s="11">
        <v>15.49497848</v>
      </c>
      <c r="H1445" s="11">
        <v>59.404371307600002</v>
      </c>
      <c r="I1445" s="11">
        <v>32.602952576500002</v>
      </c>
      <c r="J1445" s="11">
        <v>6.5717237188000004</v>
      </c>
      <c r="K1445" s="10">
        <v>0.445408850523</v>
      </c>
      <c r="L1445" s="12">
        <v>4286190631.73</v>
      </c>
      <c r="M1445">
        <v>59.886229707210198</v>
      </c>
      <c r="N1445" s="7">
        <v>4.9287865579371601</v>
      </c>
      <c r="O1445" s="7">
        <v>5.0322077174578297</v>
      </c>
      <c r="P1445" s="7">
        <v>533.01203312985297</v>
      </c>
      <c r="Q1445" s="7">
        <v>8.8375254928620001E-2</v>
      </c>
      <c r="U1445">
        <v>0.20963283618800879</v>
      </c>
      <c r="AT1445" s="4" t="s">
        <v>5265</v>
      </c>
    </row>
    <row r="1446" spans="1:46">
      <c r="A1446" s="2">
        <v>3302</v>
      </c>
      <c r="B1446" t="s">
        <v>6148</v>
      </c>
      <c r="C1446" t="s">
        <v>1273</v>
      </c>
      <c r="D1446" t="s">
        <v>4060</v>
      </c>
      <c r="E1446" s="4">
        <v>43465</v>
      </c>
      <c r="F1446" s="11">
        <v>-48.23482688</v>
      </c>
      <c r="G1446" s="11">
        <v>15.47742158</v>
      </c>
      <c r="H1446" s="11">
        <v>18.010873281799999</v>
      </c>
      <c r="I1446" s="11">
        <v>38.995756884099997</v>
      </c>
      <c r="J1446" s="11">
        <v>12.347917924300001</v>
      </c>
      <c r="K1446" s="10">
        <v>0.99115761953500003</v>
      </c>
      <c r="L1446" s="12">
        <v>2804871250.5</v>
      </c>
      <c r="M1446">
        <v>26.347587410818701</v>
      </c>
      <c r="N1446" s="7">
        <v>3.9852973770314102</v>
      </c>
      <c r="O1446" s="7">
        <v>2.4405465452427899</v>
      </c>
      <c r="P1446" s="7">
        <v>-48.810131415564797</v>
      </c>
      <c r="Q1446" s="7">
        <v>1.6598792766531514</v>
      </c>
      <c r="U1446">
        <v>3.1139339517037037</v>
      </c>
      <c r="AT1446" s="4" t="s">
        <v>6149</v>
      </c>
    </row>
    <row r="1447" spans="1:46">
      <c r="A1447" s="2">
        <v>1248</v>
      </c>
      <c r="B1447" t="s">
        <v>6150</v>
      </c>
      <c r="C1447" t="s">
        <v>3034</v>
      </c>
      <c r="D1447" t="s">
        <v>3858</v>
      </c>
      <c r="E1447" s="4">
        <v>43465</v>
      </c>
      <c r="F1447" s="11">
        <v>-40.850853379999997</v>
      </c>
      <c r="G1447" s="11">
        <v>15.47455296</v>
      </c>
      <c r="H1447" s="11">
        <v>60.363673241199997</v>
      </c>
      <c r="I1447" s="11">
        <v>30.822589260299999</v>
      </c>
      <c r="J1447" s="11">
        <v>12.692456483400001</v>
      </c>
      <c r="K1447" s="10">
        <v>0.40503237863699998</v>
      </c>
      <c r="L1447" s="12">
        <v>404360000000</v>
      </c>
      <c r="M1447">
        <v>42.372989203857202</v>
      </c>
      <c r="N1447" s="7">
        <v>3.9338377476198501</v>
      </c>
      <c r="O1447" s="7">
        <v>5.4162841990963502</v>
      </c>
      <c r="P1447" s="7">
        <v>29.424817768497601</v>
      </c>
      <c r="Q1447" s="7">
        <v>0.36764705882352944</v>
      </c>
      <c r="U1447">
        <v>0.44148841727674631</v>
      </c>
      <c r="AT1447" s="4" t="s">
        <v>6037</v>
      </c>
    </row>
    <row r="1448" spans="1:46">
      <c r="A1448" s="2">
        <v>54</v>
      </c>
      <c r="B1448" t="s">
        <v>6151</v>
      </c>
      <c r="C1448" t="s">
        <v>3064</v>
      </c>
      <c r="D1448" t="s">
        <v>3811</v>
      </c>
      <c r="E1448" s="4">
        <v>43465</v>
      </c>
      <c r="F1448" s="11">
        <v>-26.224708530000001</v>
      </c>
      <c r="G1448" s="11">
        <v>15.46960251</v>
      </c>
      <c r="H1448" s="11">
        <v>-5.8957133167000002</v>
      </c>
      <c r="I1448" s="11">
        <v>37.0658283653</v>
      </c>
      <c r="J1448" s="11">
        <v>4.353757163</v>
      </c>
      <c r="K1448" s="10">
        <v>0.1216631006</v>
      </c>
      <c r="L1448" s="12">
        <v>2503318335.9699998</v>
      </c>
      <c r="M1448">
        <v>-89.011857170203101</v>
      </c>
      <c r="N1448" s="7">
        <v>1.6733407953306001</v>
      </c>
      <c r="O1448" s="7">
        <v>3.3699733678287802</v>
      </c>
      <c r="P1448" s="7">
        <v>11.9669714835441</v>
      </c>
      <c r="Q1448" s="7">
        <v>0.18691588785046728</v>
      </c>
      <c r="U1448">
        <v>2.5202125041262877E-2</v>
      </c>
      <c r="AT1448" s="4" t="s">
        <v>6152</v>
      </c>
    </row>
    <row r="1449" spans="1:46">
      <c r="A1449" s="2">
        <v>643</v>
      </c>
      <c r="B1449" t="s">
        <v>6153</v>
      </c>
      <c r="C1449" t="s">
        <v>3021</v>
      </c>
      <c r="D1449" t="s">
        <v>3718</v>
      </c>
      <c r="E1449" s="4">
        <v>43465</v>
      </c>
      <c r="F1449" s="11">
        <v>-41.98152855</v>
      </c>
      <c r="G1449" s="11">
        <v>15.44117647</v>
      </c>
      <c r="H1449" s="11">
        <v>-1.0453527578999999</v>
      </c>
      <c r="I1449" s="11">
        <v>14.0047845873</v>
      </c>
      <c r="J1449" s="11">
        <v>-7.1538569283999998</v>
      </c>
      <c r="K1449" s="10">
        <v>0.50533940209399997</v>
      </c>
      <c r="L1449" s="12">
        <v>3375763207.4400001</v>
      </c>
      <c r="M1449">
        <v>-36.639257385160299</v>
      </c>
      <c r="N1449" s="7">
        <v>1.2136536870167101</v>
      </c>
      <c r="O1449" s="7">
        <v>1.07949421377651</v>
      </c>
      <c r="P1449" s="7">
        <v>-10.633719628383799</v>
      </c>
      <c r="Q1449" s="7" t="s">
        <v>3698</v>
      </c>
      <c r="U1449">
        <v>-0.1104858175852373</v>
      </c>
      <c r="AT1449" s="4" t="s">
        <v>4054</v>
      </c>
    </row>
    <row r="1450" spans="1:46">
      <c r="A1450" s="2">
        <v>1499</v>
      </c>
      <c r="B1450" t="s">
        <v>6154</v>
      </c>
      <c r="C1450" t="s">
        <v>3347</v>
      </c>
      <c r="D1450" t="s">
        <v>3713</v>
      </c>
      <c r="E1450" s="4">
        <v>43465</v>
      </c>
      <c r="F1450" s="11">
        <v>-46.63461538</v>
      </c>
      <c r="G1450" s="11">
        <v>15.40469974</v>
      </c>
      <c r="H1450" s="11">
        <v>-1.4812944299999999</v>
      </c>
      <c r="I1450" s="11">
        <v>36.723965843800002</v>
      </c>
      <c r="J1450" s="11">
        <v>2.3411050924999999</v>
      </c>
      <c r="K1450" s="10">
        <v>0.28553508391400001</v>
      </c>
      <c r="L1450" s="12">
        <v>20590386815.419998</v>
      </c>
      <c r="M1450">
        <v>241.913103289937</v>
      </c>
      <c r="N1450" s="7">
        <v>1.72262264306802</v>
      </c>
      <c r="O1450" s="7">
        <v>4.8788889368341799</v>
      </c>
      <c r="P1450" s="7">
        <v>204.374020399925</v>
      </c>
      <c r="Q1450" s="7" t="s">
        <v>3698</v>
      </c>
      <c r="U1450">
        <v>2.7347305279473155E-2</v>
      </c>
      <c r="AT1450" s="4" t="s">
        <v>6155</v>
      </c>
    </row>
    <row r="1451" spans="1:46">
      <c r="A1451" s="2">
        <v>3210</v>
      </c>
      <c r="B1451" t="s">
        <v>6156</v>
      </c>
      <c r="C1451" t="s">
        <v>2508</v>
      </c>
      <c r="D1451" t="s">
        <v>3718</v>
      </c>
      <c r="E1451" s="4">
        <v>43465</v>
      </c>
      <c r="F1451" s="11">
        <v>-52.951782180000002</v>
      </c>
      <c r="G1451" s="11">
        <v>15.402298849999999</v>
      </c>
      <c r="H1451" s="11">
        <v>9.5342620214</v>
      </c>
      <c r="I1451" s="11">
        <v>33.6989188059</v>
      </c>
      <c r="J1451" s="11">
        <v>6.4251613035000004</v>
      </c>
      <c r="K1451" s="10">
        <v>0.35892614093500003</v>
      </c>
      <c r="L1451" s="12">
        <v>2467900000</v>
      </c>
      <c r="M1451">
        <v>90.496919587845497</v>
      </c>
      <c r="N1451" s="7">
        <v>1.6229923179492101</v>
      </c>
      <c r="O1451" s="7">
        <v>2.5791417697104699</v>
      </c>
      <c r="P1451" s="7">
        <v>301.154275820875</v>
      </c>
      <c r="Q1451" s="7">
        <v>2.2916666666666674</v>
      </c>
      <c r="U1451">
        <v>0.11354115162299681</v>
      </c>
      <c r="AT1451" s="4" t="s">
        <v>6157</v>
      </c>
    </row>
    <row r="1452" spans="1:46">
      <c r="A1452" s="2">
        <v>3361</v>
      </c>
      <c r="B1452" t="s">
        <v>6158</v>
      </c>
      <c r="C1452" t="s">
        <v>1490</v>
      </c>
      <c r="D1452" t="s">
        <v>3721</v>
      </c>
      <c r="E1452" s="4">
        <v>43465</v>
      </c>
      <c r="F1452" s="11">
        <v>-2.8051481200000001</v>
      </c>
      <c r="G1452" s="11">
        <v>15.35353535</v>
      </c>
      <c r="H1452" s="11">
        <v>1.3041659970999999</v>
      </c>
      <c r="I1452" s="11">
        <v>30.5467847446</v>
      </c>
      <c r="J1452" s="11">
        <v>19.6481138569</v>
      </c>
      <c r="K1452" s="10">
        <v>0.60695684115100001</v>
      </c>
      <c r="L1452" s="12">
        <v>5772882164.6099997</v>
      </c>
      <c r="M1452">
        <v>16.358464301228999</v>
      </c>
      <c r="N1452" s="7">
        <v>2.2106800306221199</v>
      </c>
      <c r="O1452" s="7">
        <v>3.0491342046265002</v>
      </c>
      <c r="P1452" s="7">
        <v>-6.4133914394148199</v>
      </c>
      <c r="Q1452" s="7">
        <v>7.1383762117928766</v>
      </c>
      <c r="U1452">
        <v>0.65546643872388677</v>
      </c>
      <c r="AT1452" s="4" t="s">
        <v>6159</v>
      </c>
    </row>
    <row r="1453" spans="1:46">
      <c r="A1453" s="2">
        <v>2044</v>
      </c>
      <c r="B1453" t="s">
        <v>6160</v>
      </c>
      <c r="C1453" t="s">
        <v>1672</v>
      </c>
      <c r="D1453" t="s">
        <v>3721</v>
      </c>
      <c r="E1453" s="4">
        <v>43465</v>
      </c>
      <c r="F1453" s="11">
        <v>-30.804732009999999</v>
      </c>
      <c r="G1453" s="11">
        <v>15.351812369999999</v>
      </c>
      <c r="H1453" s="11">
        <v>7.3660778357999996</v>
      </c>
      <c r="I1453" s="11">
        <v>31.6339516876</v>
      </c>
      <c r="J1453" s="11">
        <v>7.4107725847000001</v>
      </c>
      <c r="K1453" s="10">
        <v>0.87219056879000001</v>
      </c>
      <c r="L1453" s="12">
        <v>41800540453.559998</v>
      </c>
      <c r="M1453">
        <v>25.180510160038899</v>
      </c>
      <c r="N1453" s="7">
        <v>1.88533689291594</v>
      </c>
      <c r="O1453" s="7">
        <v>1.6175146936499101</v>
      </c>
      <c r="P1453" s="7">
        <v>-30.319993039035701</v>
      </c>
      <c r="Q1453" s="7">
        <v>0.86028905712319337</v>
      </c>
      <c r="U1453">
        <v>0.64381212642857144</v>
      </c>
      <c r="AT1453" s="4" t="s">
        <v>5122</v>
      </c>
    </row>
    <row r="1454" spans="1:46">
      <c r="A1454" s="2">
        <v>5</v>
      </c>
      <c r="B1454" t="s">
        <v>6161</v>
      </c>
      <c r="C1454" t="s">
        <v>2041</v>
      </c>
      <c r="D1454" t="s">
        <v>3764</v>
      </c>
      <c r="E1454" s="4">
        <v>43465</v>
      </c>
      <c r="F1454" s="11">
        <v>-25.36231884</v>
      </c>
      <c r="G1454" s="11">
        <v>15.29850746</v>
      </c>
      <c r="H1454" s="11">
        <v>-8.4270825758000001</v>
      </c>
      <c r="I1454" s="11">
        <v>29.7082103917</v>
      </c>
      <c r="J1454" s="11">
        <v>32.2407979535</v>
      </c>
      <c r="K1454" s="10">
        <v>0.16115988834100001</v>
      </c>
      <c r="L1454" s="12">
        <v>6406875000</v>
      </c>
      <c r="M1454">
        <v>-80.347433816999995</v>
      </c>
      <c r="N1454" s="7">
        <v>2.2393632970200601</v>
      </c>
      <c r="O1454" s="7">
        <v>4.7305357582951997</v>
      </c>
      <c r="P1454" s="7">
        <v>1097.45014318275</v>
      </c>
      <c r="Q1454" s="7" t="s">
        <v>3698</v>
      </c>
      <c r="U1454">
        <v>0.14057998533035471</v>
      </c>
      <c r="V1454">
        <v>1.406904103457</v>
      </c>
      <c r="AT1454" s="4" t="s">
        <v>6162</v>
      </c>
    </row>
    <row r="1455" spans="1:46">
      <c r="A1455" s="2">
        <v>2843</v>
      </c>
      <c r="B1455" t="s">
        <v>6163</v>
      </c>
      <c r="C1455" t="s">
        <v>3039</v>
      </c>
      <c r="D1455" t="s">
        <v>4119</v>
      </c>
      <c r="E1455" s="4">
        <v>43465</v>
      </c>
      <c r="F1455" s="11">
        <v>-29.078947370000002</v>
      </c>
      <c r="G1455" s="11">
        <v>15.2866242</v>
      </c>
      <c r="H1455" s="11">
        <v>-37.286107421200001</v>
      </c>
      <c r="I1455" s="11">
        <v>23.753963596599998</v>
      </c>
      <c r="J1455" s="11">
        <v>6.5544485042999998</v>
      </c>
      <c r="K1455" s="10">
        <v>7.6512813127999998E-2</v>
      </c>
      <c r="L1455" s="12">
        <v>17829325489.32</v>
      </c>
      <c r="M1455">
        <v>-176.86899388928401</v>
      </c>
      <c r="N1455" s="7">
        <v>1.90263314116162</v>
      </c>
      <c r="O1455" s="7">
        <v>10.842991043107601</v>
      </c>
      <c r="P1455" s="7">
        <v>-11.193056786074299</v>
      </c>
      <c r="Q1455" s="7" t="s">
        <v>3698</v>
      </c>
      <c r="U1455">
        <v>4.1359344669230767E-2</v>
      </c>
      <c r="AT1455" s="4" t="s">
        <v>5901</v>
      </c>
    </row>
    <row r="1456" spans="1:46">
      <c r="A1456" s="2">
        <v>2518</v>
      </c>
      <c r="B1456" t="s">
        <v>6164</v>
      </c>
      <c r="C1456" t="s">
        <v>463</v>
      </c>
      <c r="D1456" t="s">
        <v>3778</v>
      </c>
      <c r="E1456" s="4">
        <v>43465</v>
      </c>
      <c r="F1456" s="11">
        <v>-9.26355723</v>
      </c>
      <c r="G1456" s="11">
        <v>15.25885559</v>
      </c>
      <c r="H1456" s="11">
        <v>15.0267522972</v>
      </c>
      <c r="I1456" s="11">
        <v>33.580336303599999</v>
      </c>
      <c r="J1456" s="11">
        <v>7.8768723302000003</v>
      </c>
      <c r="K1456" s="10">
        <v>0.46498799865000001</v>
      </c>
      <c r="L1456" s="12">
        <v>12209500891.549999</v>
      </c>
      <c r="M1456">
        <v>11.203432309762899</v>
      </c>
      <c r="N1456" s="7">
        <v>1.0298162610063899</v>
      </c>
      <c r="O1456" s="7">
        <v>1.20249870066566</v>
      </c>
      <c r="P1456" s="7">
        <v>3.80338927143693</v>
      </c>
      <c r="Q1456" s="7">
        <v>1.9664268585131892</v>
      </c>
      <c r="U1456">
        <v>0.27240833169728557</v>
      </c>
      <c r="AT1456" s="4" t="s">
        <v>6165</v>
      </c>
    </row>
    <row r="1457" spans="1:46">
      <c r="A1457" s="2">
        <v>309</v>
      </c>
      <c r="B1457" t="s">
        <v>6166</v>
      </c>
      <c r="C1457" t="s">
        <v>2754</v>
      </c>
      <c r="D1457" t="s">
        <v>3785</v>
      </c>
      <c r="E1457" s="4">
        <v>43465</v>
      </c>
      <c r="F1457" s="11">
        <v>-2.66870874</v>
      </c>
      <c r="G1457" s="11">
        <v>15.248226949999999</v>
      </c>
      <c r="H1457" s="11">
        <v>1.3236797760000001</v>
      </c>
      <c r="I1457" s="11">
        <v>38.529981624000001</v>
      </c>
      <c r="J1457" s="11">
        <v>1.9750543537</v>
      </c>
      <c r="K1457" s="10">
        <v>0.63396892767799995</v>
      </c>
      <c r="L1457" s="12">
        <v>3841631039.6999998</v>
      </c>
      <c r="M1457">
        <v>243.474989841428</v>
      </c>
      <c r="N1457" s="7">
        <v>1.2445027918387901</v>
      </c>
      <c r="O1457" s="7">
        <v>1.41481228019482</v>
      </c>
      <c r="P1457" s="7">
        <v>35.477898836211303</v>
      </c>
      <c r="Q1457" s="7">
        <v>0.35947712418300654</v>
      </c>
      <c r="U1457">
        <v>6.3810044200479379E-2</v>
      </c>
      <c r="AT1457" s="4" t="s">
        <v>6167</v>
      </c>
    </row>
    <row r="1458" spans="1:46">
      <c r="A1458" s="2">
        <v>1267</v>
      </c>
      <c r="B1458" t="s">
        <v>6168</v>
      </c>
      <c r="C1458" t="s">
        <v>2894</v>
      </c>
      <c r="D1458" t="s">
        <v>3977</v>
      </c>
      <c r="E1458" s="4">
        <v>43465</v>
      </c>
      <c r="F1458" s="11">
        <v>-48.315629860000001</v>
      </c>
      <c r="G1458" s="11">
        <v>15.239294709999999</v>
      </c>
      <c r="H1458" s="11">
        <v>0.8514190371</v>
      </c>
      <c r="I1458" s="11">
        <v>26.1993316107</v>
      </c>
      <c r="J1458" s="11">
        <v>9.7371179174000009</v>
      </c>
      <c r="K1458" s="10">
        <v>0.22255358372799999</v>
      </c>
      <c r="L1458" s="12">
        <v>4488676533.1800003</v>
      </c>
      <c r="M1458">
        <v>-40.709332603499099</v>
      </c>
      <c r="N1458" s="7">
        <v>2.2066312329613602</v>
      </c>
      <c r="O1458" s="7">
        <v>4.3503831118699701</v>
      </c>
      <c r="P1458" s="7">
        <v>218.425252025909</v>
      </c>
      <c r="Q1458" s="7" t="s">
        <v>3698</v>
      </c>
      <c r="U1458">
        <v>0.18532730379619655</v>
      </c>
      <c r="AT1458" s="4" t="s">
        <v>4173</v>
      </c>
    </row>
    <row r="1459" spans="1:46">
      <c r="A1459" s="2">
        <v>2520</v>
      </c>
      <c r="B1459" t="s">
        <v>6169</v>
      </c>
      <c r="C1459" t="s">
        <v>2688</v>
      </c>
      <c r="D1459" t="s">
        <v>3761</v>
      </c>
      <c r="E1459" s="4">
        <v>43465</v>
      </c>
      <c r="F1459" s="11">
        <v>21.021715360000002</v>
      </c>
      <c r="G1459" s="11">
        <v>15.164597949999999</v>
      </c>
      <c r="H1459" s="11">
        <v>17.9622398815</v>
      </c>
      <c r="I1459" s="11">
        <v>28.742496399699998</v>
      </c>
      <c r="J1459" s="11">
        <v>15.5915425328</v>
      </c>
      <c r="K1459" s="10">
        <v>0.580574436448</v>
      </c>
      <c r="L1459" s="12">
        <v>4685840385.3599997</v>
      </c>
      <c r="M1459">
        <v>36.411539403494203</v>
      </c>
      <c r="N1459" s="7">
        <v>3.0571137260596801</v>
      </c>
      <c r="O1459" s="7">
        <v>3.0711787628162002</v>
      </c>
      <c r="P1459" s="7">
        <v>844.29717989877599</v>
      </c>
      <c r="Q1459" s="7">
        <v>1.6114982578397212</v>
      </c>
      <c r="U1459">
        <v>0.90802346078095331</v>
      </c>
      <c r="AT1459" s="4" t="s">
        <v>6170</v>
      </c>
    </row>
    <row r="1460" spans="1:46">
      <c r="A1460" s="2">
        <v>2519</v>
      </c>
      <c r="B1460" t="s">
        <v>6171</v>
      </c>
      <c r="C1460" t="s">
        <v>3536</v>
      </c>
      <c r="D1460" t="s">
        <v>3761</v>
      </c>
      <c r="E1460" s="4">
        <v>43465</v>
      </c>
      <c r="F1460" s="11">
        <v>-27.453987730000001</v>
      </c>
      <c r="G1460" s="11">
        <v>15.15892421</v>
      </c>
      <c r="H1460" s="11">
        <v>-25.560695173300001</v>
      </c>
      <c r="I1460" s="11">
        <v>30.818520654699999</v>
      </c>
      <c r="J1460" s="11">
        <v>-30.572602925000002</v>
      </c>
      <c r="K1460" s="10">
        <v>0.33208051344900003</v>
      </c>
      <c r="L1460" s="12">
        <v>9486029492.2900009</v>
      </c>
      <c r="M1460">
        <v>-163.07647768733599</v>
      </c>
      <c r="N1460" s="7">
        <v>2.1435454662291198</v>
      </c>
      <c r="O1460" s="7">
        <v>2.11067553602973</v>
      </c>
      <c r="P1460" s="7">
        <v>-8.7772743966979299</v>
      </c>
      <c r="Q1460" s="7" t="s">
        <v>3698</v>
      </c>
      <c r="U1460">
        <v>-0.49857815855986226</v>
      </c>
      <c r="AT1460" s="4" t="s">
        <v>6172</v>
      </c>
    </row>
    <row r="1461" spans="1:46">
      <c r="A1461" s="2">
        <v>511</v>
      </c>
      <c r="B1461" t="s">
        <v>6173</v>
      </c>
      <c r="C1461" t="s">
        <v>121</v>
      </c>
      <c r="D1461" t="s">
        <v>3871</v>
      </c>
      <c r="E1461" s="4">
        <v>43465</v>
      </c>
      <c r="F1461" s="11">
        <v>8.2028682899999996</v>
      </c>
      <c r="G1461" s="11">
        <v>15.15850144</v>
      </c>
      <c r="H1461" s="11">
        <v>16.250001014999999</v>
      </c>
      <c r="I1461" s="11">
        <v>39.492493804799999</v>
      </c>
      <c r="J1461" s="11">
        <v>22.044917925899998</v>
      </c>
      <c r="K1461" s="10">
        <v>0.233588003012</v>
      </c>
      <c r="L1461" s="12">
        <v>3907710033.3299999</v>
      </c>
      <c r="M1461">
        <v>9.00561728825509</v>
      </c>
      <c r="N1461" s="7">
        <v>1.99552275946308</v>
      </c>
      <c r="O1461" s="7">
        <v>1.6648142955766301</v>
      </c>
      <c r="P1461" s="7">
        <v>24.097498806720999</v>
      </c>
      <c r="Q1461" s="7">
        <v>4.3612584207620095</v>
      </c>
      <c r="T1461" s="2"/>
      <c r="U1461">
        <v>1.9281217684328678</v>
      </c>
      <c r="AT1461" s="4" t="s">
        <v>6174</v>
      </c>
    </row>
    <row r="1462" spans="1:46">
      <c r="A1462" s="2">
        <v>708</v>
      </c>
      <c r="B1462" t="s">
        <v>6175</v>
      </c>
      <c r="C1462" t="s">
        <v>2992</v>
      </c>
      <c r="D1462" t="s">
        <v>3713</v>
      </c>
      <c r="E1462" s="4">
        <v>43465</v>
      </c>
      <c r="F1462" s="11">
        <v>-35.130423319999998</v>
      </c>
      <c r="G1462" s="11">
        <v>15.14285714</v>
      </c>
      <c r="H1462" s="11">
        <v>-20.8127945566</v>
      </c>
      <c r="I1462" s="11">
        <v>22.508237175000001</v>
      </c>
      <c r="J1462" s="11">
        <v>-19.092710999800001</v>
      </c>
      <c r="K1462" s="10">
        <v>0.252670395612</v>
      </c>
      <c r="L1462" s="12">
        <v>2407990044</v>
      </c>
      <c r="M1462">
        <v>209.325119439861</v>
      </c>
      <c r="N1462" s="7">
        <v>1.4978640958202301</v>
      </c>
      <c r="O1462" s="7">
        <v>2.33558073032584</v>
      </c>
      <c r="P1462" s="7">
        <v>-10.7863361986758</v>
      </c>
      <c r="Q1462" s="7" t="s">
        <v>3698</v>
      </c>
      <c r="U1462">
        <v>-0.46820875282070346</v>
      </c>
      <c r="AT1462" s="4" t="s">
        <v>6176</v>
      </c>
    </row>
    <row r="1463" spans="1:46">
      <c r="A1463" s="2">
        <v>863</v>
      </c>
      <c r="B1463" t="s">
        <v>6177</v>
      </c>
      <c r="C1463" t="s">
        <v>810</v>
      </c>
      <c r="D1463" t="s">
        <v>3972</v>
      </c>
      <c r="E1463" s="4">
        <v>43465</v>
      </c>
      <c r="F1463" s="11">
        <v>-25.375485900000001</v>
      </c>
      <c r="G1463" s="11">
        <v>15.114503819999999</v>
      </c>
      <c r="H1463" s="11">
        <v>27.598336493600002</v>
      </c>
      <c r="I1463" s="11">
        <v>17.923937169799999</v>
      </c>
      <c r="J1463" s="11">
        <v>4.9088809934000004</v>
      </c>
      <c r="K1463" s="10">
        <v>1.4069678120239999</v>
      </c>
      <c r="L1463" s="12">
        <v>2278966213.8200002</v>
      </c>
      <c r="M1463">
        <v>37.350271455524798</v>
      </c>
      <c r="N1463" s="7">
        <v>4.0231311236060998</v>
      </c>
      <c r="O1463" s="7">
        <v>1.6703721289179601</v>
      </c>
      <c r="P1463" s="7">
        <v>-32.719127838614902</v>
      </c>
      <c r="Q1463" s="7">
        <v>0.55382866189097779</v>
      </c>
      <c r="U1463">
        <v>1.0310677194621325</v>
      </c>
      <c r="AT1463" s="4" t="s">
        <v>3731</v>
      </c>
    </row>
    <row r="1464" spans="1:46">
      <c r="A1464" s="2">
        <v>2706</v>
      </c>
      <c r="B1464" t="s">
        <v>6178</v>
      </c>
      <c r="C1464" t="s">
        <v>2118</v>
      </c>
      <c r="D1464" t="s">
        <v>3790</v>
      </c>
      <c r="E1464" s="4">
        <v>43465</v>
      </c>
      <c r="F1464" s="11">
        <v>-37.757288780000003</v>
      </c>
      <c r="G1464" s="11">
        <v>15.092024540000001</v>
      </c>
      <c r="H1464" s="11">
        <v>17.416235765900002</v>
      </c>
      <c r="I1464" s="11">
        <v>66.647803362000005</v>
      </c>
      <c r="J1464" s="11">
        <v>29.984096618999999</v>
      </c>
      <c r="K1464" s="10">
        <v>0.19188254807999999</v>
      </c>
      <c r="L1464" s="12">
        <v>11299964064.120001</v>
      </c>
      <c r="M1464">
        <v>55.665857993471597</v>
      </c>
      <c r="N1464" s="7">
        <v>2.7571492950984098</v>
      </c>
      <c r="O1464" s="7">
        <v>5.9479728462269197</v>
      </c>
      <c r="P1464" s="7">
        <v>-13.1345804387754</v>
      </c>
      <c r="Q1464" s="7">
        <v>0.96618357487922713</v>
      </c>
      <c r="U1464">
        <v>0.36741762042072207</v>
      </c>
      <c r="AT1464" s="4" t="s">
        <v>6179</v>
      </c>
    </row>
    <row r="1465" spans="1:46">
      <c r="A1465" s="2">
        <v>2534</v>
      </c>
      <c r="B1465" t="s">
        <v>6180</v>
      </c>
      <c r="C1465" t="s">
        <v>2931</v>
      </c>
      <c r="D1465" t="s">
        <v>3972</v>
      </c>
      <c r="E1465" s="4">
        <v>43465</v>
      </c>
      <c r="F1465" s="11">
        <v>-32.991453049999997</v>
      </c>
      <c r="G1465" s="11">
        <v>15.07692308</v>
      </c>
      <c r="H1465" s="11">
        <v>16.399976351999999</v>
      </c>
      <c r="I1465" s="11">
        <v>14.710743731499999</v>
      </c>
      <c r="J1465" s="11">
        <v>1.1449134668000001</v>
      </c>
      <c r="K1465" s="10">
        <v>0.35305739829900001</v>
      </c>
      <c r="L1465" s="12">
        <v>4569600000</v>
      </c>
      <c r="M1465">
        <v>46.476721518083103</v>
      </c>
      <c r="N1465" s="7">
        <v>0.72839462242461095</v>
      </c>
      <c r="O1465" s="7">
        <v>0.98904001449569301</v>
      </c>
      <c r="P1465" s="7">
        <v>-11.8677532031893</v>
      </c>
      <c r="Q1465" s="7" t="s">
        <v>3698</v>
      </c>
      <c r="U1465">
        <v>4.0093413727425531E-2</v>
      </c>
      <c r="AT1465" s="4" t="s">
        <v>6181</v>
      </c>
    </row>
    <row r="1466" spans="1:46">
      <c r="A1466" s="2">
        <v>994</v>
      </c>
      <c r="B1466" t="s">
        <v>6182</v>
      </c>
      <c r="C1466" t="s">
        <v>2070</v>
      </c>
      <c r="D1466" t="s">
        <v>3718</v>
      </c>
      <c r="E1466" s="4">
        <v>43465</v>
      </c>
      <c r="F1466" s="11">
        <v>-20.288195160000001</v>
      </c>
      <c r="G1466" s="11">
        <v>15.06849315</v>
      </c>
      <c r="H1466" s="11">
        <v>6.3791141991</v>
      </c>
      <c r="I1466" s="11">
        <v>23.0145290665</v>
      </c>
      <c r="J1466" s="11">
        <v>4.6238905414999998</v>
      </c>
      <c r="K1466" s="10">
        <v>0.44041947816400001</v>
      </c>
      <c r="L1466" s="12">
        <v>3270878841.7800002</v>
      </c>
      <c r="M1466">
        <v>81.162459578108098</v>
      </c>
      <c r="N1466" s="7">
        <v>1.0251635582398699</v>
      </c>
      <c r="O1466" s="7">
        <v>1.3836627227033</v>
      </c>
      <c r="P1466" s="7">
        <v>-13.3970300132749</v>
      </c>
      <c r="Q1466" s="7">
        <v>1.2345679012345678</v>
      </c>
      <c r="U1466">
        <v>9.7371512249516595E-2</v>
      </c>
      <c r="AT1466" s="4" t="s">
        <v>5401</v>
      </c>
    </row>
    <row r="1467" spans="1:46">
      <c r="A1467" s="2">
        <v>3103</v>
      </c>
      <c r="B1467" t="s">
        <v>6183</v>
      </c>
      <c r="C1467" t="s">
        <v>880</v>
      </c>
      <c r="D1467" t="s">
        <v>3713</v>
      </c>
      <c r="E1467" s="4">
        <v>43465</v>
      </c>
      <c r="F1467" s="11">
        <v>-48.731736580000003</v>
      </c>
      <c r="G1467" s="11">
        <v>15.02209131</v>
      </c>
      <c r="H1467" s="11">
        <v>7.2817598595000002</v>
      </c>
      <c r="I1467" s="11">
        <v>69.551527758999995</v>
      </c>
      <c r="J1467" s="11">
        <v>26.721210474599999</v>
      </c>
      <c r="K1467" s="10">
        <v>0.521024364415</v>
      </c>
      <c r="L1467" s="12">
        <v>7007000000</v>
      </c>
      <c r="M1467">
        <v>-1873.5486528215199</v>
      </c>
      <c r="N1467" s="7">
        <v>6.0043467233566004</v>
      </c>
      <c r="O1467" s="7">
        <v>43.337499261853502</v>
      </c>
      <c r="P1467" s="7">
        <v>-119.46607107401201</v>
      </c>
      <c r="Q1467" s="7">
        <v>0.25554484088717455</v>
      </c>
      <c r="U1467">
        <v>0.52259109553770444</v>
      </c>
      <c r="AT1467" s="4" t="s">
        <v>6184</v>
      </c>
    </row>
    <row r="1468" spans="1:46">
      <c r="A1468" s="2">
        <v>1720</v>
      </c>
      <c r="B1468" t="s">
        <v>6185</v>
      </c>
      <c r="C1468" t="s">
        <v>1594</v>
      </c>
      <c r="D1468" t="s">
        <v>3871</v>
      </c>
      <c r="E1468" s="4">
        <v>43465</v>
      </c>
      <c r="F1468" s="11">
        <v>-27.894403969999999</v>
      </c>
      <c r="G1468" s="11">
        <v>15.02145923</v>
      </c>
      <c r="H1468" s="11">
        <v>9.4153042612999993</v>
      </c>
      <c r="I1468" s="11">
        <v>93.896901591599999</v>
      </c>
      <c r="J1468" s="11">
        <v>23.340728050999999</v>
      </c>
      <c r="K1468" s="10">
        <v>0.28360638362200002</v>
      </c>
      <c r="L1468" s="12">
        <v>9802330848.2000008</v>
      </c>
      <c r="M1468">
        <v>29.440989419724499</v>
      </c>
      <c r="N1468" s="7">
        <v>1.8918373020206301</v>
      </c>
      <c r="O1468" s="7">
        <v>4.6756531841743501</v>
      </c>
      <c r="P1468" s="7">
        <v>5.2739174621718599</v>
      </c>
      <c r="Q1468" s="7">
        <v>0.89312321477144929</v>
      </c>
      <c r="U1468">
        <v>0.50424991979108369</v>
      </c>
      <c r="AT1468" s="4" t="s">
        <v>6186</v>
      </c>
    </row>
    <row r="1469" spans="1:46">
      <c r="A1469" s="2">
        <v>2123</v>
      </c>
      <c r="B1469" t="s">
        <v>6187</v>
      </c>
      <c r="C1469" t="s">
        <v>277</v>
      </c>
      <c r="D1469" t="s">
        <v>3849</v>
      </c>
      <c r="E1469" s="4">
        <v>43465</v>
      </c>
      <c r="F1469" s="11">
        <v>-20.412863779999999</v>
      </c>
      <c r="G1469" s="11">
        <v>15.0060024</v>
      </c>
      <c r="H1469" s="11">
        <v>16.48948145</v>
      </c>
      <c r="I1469" s="11">
        <v>42.055479204800001</v>
      </c>
      <c r="J1469" s="11">
        <v>16.611550239100001</v>
      </c>
      <c r="K1469" s="10">
        <v>0.62644221080700002</v>
      </c>
      <c r="L1469" s="12">
        <v>18376876503.32</v>
      </c>
      <c r="M1469">
        <v>29.651732913551701</v>
      </c>
      <c r="N1469" s="7">
        <v>4.1138864521809202</v>
      </c>
      <c r="O1469" s="7">
        <v>5.1571522172657804</v>
      </c>
      <c r="P1469" s="7">
        <v>-14.0437022133562</v>
      </c>
      <c r="Q1469" s="7">
        <v>0.89525514771709935</v>
      </c>
      <c r="U1469">
        <v>0.52637020127226464</v>
      </c>
      <c r="AT1469" s="4" t="s">
        <v>6188</v>
      </c>
    </row>
    <row r="1470" spans="1:46">
      <c r="A1470" s="2">
        <v>3027</v>
      </c>
      <c r="B1470" t="s">
        <v>6189</v>
      </c>
      <c r="C1470" t="s">
        <v>2156</v>
      </c>
      <c r="D1470" t="s">
        <v>3832</v>
      </c>
      <c r="E1470" s="4">
        <v>43465</v>
      </c>
      <c r="F1470" s="11">
        <v>-9.7735749900000002</v>
      </c>
      <c r="G1470" s="11">
        <v>14.99380421</v>
      </c>
      <c r="H1470" s="11">
        <v>10.377600403300001</v>
      </c>
      <c r="I1470" s="11">
        <v>59.890856951899998</v>
      </c>
      <c r="J1470" s="11">
        <v>11.203214876700001</v>
      </c>
      <c r="K1470" s="10">
        <v>0.34254633000899998</v>
      </c>
      <c r="L1470" s="12">
        <v>3659588359.6999998</v>
      </c>
      <c r="M1470">
        <v>33.063567508490699</v>
      </c>
      <c r="N1470" s="7">
        <v>1.6446406914041001</v>
      </c>
      <c r="O1470" s="7">
        <v>2.3218150628093999</v>
      </c>
      <c r="P1470" s="7">
        <v>-45.670392956283898</v>
      </c>
      <c r="Q1470" s="7">
        <v>2.2753128555176336</v>
      </c>
      <c r="U1470">
        <v>0.25805197670000002</v>
      </c>
      <c r="AT1470" s="4" t="s">
        <v>6190</v>
      </c>
    </row>
    <row r="1471" spans="1:46">
      <c r="A1471" s="2">
        <v>3357</v>
      </c>
      <c r="B1471" t="s">
        <v>6191</v>
      </c>
      <c r="C1471" t="s">
        <v>2499</v>
      </c>
      <c r="D1471" t="s">
        <v>3718</v>
      </c>
      <c r="E1471" s="4">
        <v>43465</v>
      </c>
      <c r="F1471" s="11">
        <v>-30.236388439999999</v>
      </c>
      <c r="G1471" s="11">
        <v>14.97175141</v>
      </c>
      <c r="H1471" s="11">
        <v>0.78129179010000005</v>
      </c>
      <c r="I1471" s="11">
        <v>23.422788495900001</v>
      </c>
      <c r="J1471" s="11">
        <v>6.7978173056999998</v>
      </c>
      <c r="K1471" s="10">
        <v>0.48491765404100001</v>
      </c>
      <c r="L1471" s="12">
        <v>97896398347.5</v>
      </c>
      <c r="M1471">
        <v>61.670976976797299</v>
      </c>
      <c r="N1471" s="7">
        <v>2.1187784469902402</v>
      </c>
      <c r="O1471" s="7">
        <v>3.1709992794848199</v>
      </c>
      <c r="P1471" s="7">
        <v>-5.1420560220790703</v>
      </c>
      <c r="Q1471" s="7">
        <v>0.63938618925831203</v>
      </c>
      <c r="U1471">
        <v>0.16332892700325735</v>
      </c>
      <c r="AT1471" s="4" t="s">
        <v>6192</v>
      </c>
    </row>
    <row r="1472" spans="1:46">
      <c r="A1472" s="2">
        <v>2810</v>
      </c>
      <c r="B1472" t="s">
        <v>6193</v>
      </c>
      <c r="C1472" t="s">
        <v>331</v>
      </c>
      <c r="D1472" t="s">
        <v>3781</v>
      </c>
      <c r="E1472" s="4">
        <v>43465</v>
      </c>
      <c r="F1472" s="11">
        <v>8.9034800500000006</v>
      </c>
      <c r="G1472" s="11">
        <v>14.945652170000001</v>
      </c>
      <c r="H1472" s="11">
        <v>-8.5728077389999999</v>
      </c>
      <c r="I1472" s="11">
        <v>14.5705224398</v>
      </c>
      <c r="J1472" s="11">
        <v>3.1784825207999998</v>
      </c>
      <c r="K1472" s="10">
        <v>1.072643464689</v>
      </c>
      <c r="L1472" s="12">
        <v>2648530144.04</v>
      </c>
      <c r="M1472">
        <v>19.162764191586898</v>
      </c>
      <c r="N1472" s="7">
        <v>2.16682262817895</v>
      </c>
      <c r="O1472" s="7">
        <v>0.81740291544152899</v>
      </c>
      <c r="P1472" s="7">
        <v>-26.9508946306585</v>
      </c>
      <c r="Q1472" s="7" t="s">
        <v>3698</v>
      </c>
      <c r="U1472">
        <v>0.24553266427524717</v>
      </c>
      <c r="AT1472" s="4" t="s">
        <v>6194</v>
      </c>
    </row>
    <row r="1473" spans="1:46">
      <c r="A1473" s="2">
        <v>2902</v>
      </c>
      <c r="B1473" t="s">
        <v>6195</v>
      </c>
      <c r="C1473" t="s">
        <v>424</v>
      </c>
      <c r="D1473" t="s">
        <v>3737</v>
      </c>
      <c r="E1473" s="4">
        <v>43465</v>
      </c>
      <c r="F1473" s="11">
        <v>-41.684635800000002</v>
      </c>
      <c r="G1473" s="11">
        <v>14.922813039999999</v>
      </c>
      <c r="H1473" s="11">
        <v>-11.9075320713</v>
      </c>
      <c r="I1473" s="11">
        <v>12.8151087257</v>
      </c>
      <c r="J1473" s="11">
        <v>3.6548080404999999</v>
      </c>
      <c r="K1473" s="10">
        <v>1.5248347354409999</v>
      </c>
      <c r="L1473" s="12">
        <v>157252745140.03</v>
      </c>
      <c r="M1473">
        <v>14.001165054003501</v>
      </c>
      <c r="N1473" s="7">
        <v>2.13979220667296</v>
      </c>
      <c r="O1473" s="7">
        <v>0.47505254278787401</v>
      </c>
      <c r="P1473" s="7">
        <v>861.92418081637402</v>
      </c>
      <c r="Q1473" s="7" t="s">
        <v>3698</v>
      </c>
      <c r="U1473">
        <v>0.44467064483421809</v>
      </c>
      <c r="AT1473" s="4" t="s">
        <v>4215</v>
      </c>
    </row>
    <row r="1474" spans="1:46">
      <c r="A1474" s="2">
        <v>3085</v>
      </c>
      <c r="B1474" t="s">
        <v>6196</v>
      </c>
      <c r="C1474" t="s">
        <v>3377</v>
      </c>
      <c r="D1474" t="s">
        <v>3858</v>
      </c>
      <c r="E1474" s="4">
        <v>43465</v>
      </c>
      <c r="F1474" s="11">
        <v>-21.830243979999999</v>
      </c>
      <c r="G1474" s="11">
        <v>14.90514905</v>
      </c>
      <c r="H1474" s="11">
        <v>21.0479504252</v>
      </c>
      <c r="I1474" s="11">
        <v>10.342770678400001</v>
      </c>
      <c r="J1474" s="11">
        <v>1.0000783455</v>
      </c>
      <c r="K1474" s="10">
        <v>0.73248216163099999</v>
      </c>
      <c r="L1474" s="12">
        <v>4121255584</v>
      </c>
      <c r="M1474">
        <v>74.500027634817698</v>
      </c>
      <c r="N1474" s="7">
        <v>1.19676308778051</v>
      </c>
      <c r="O1474" s="7">
        <v>0.74325706044469897</v>
      </c>
      <c r="P1474" s="7">
        <v>-42.6452387513391</v>
      </c>
      <c r="Q1474" s="7">
        <v>0.37593984962406013</v>
      </c>
      <c r="U1474">
        <v>4.9387634363636364E-2</v>
      </c>
      <c r="AT1474" s="4" t="s">
        <v>6197</v>
      </c>
    </row>
    <row r="1475" spans="1:46">
      <c r="A1475" s="2">
        <v>447</v>
      </c>
      <c r="B1475" t="s">
        <v>6198</v>
      </c>
      <c r="C1475" t="s">
        <v>1124</v>
      </c>
      <c r="D1475" t="s">
        <v>3761</v>
      </c>
      <c r="E1475" s="4">
        <v>43465</v>
      </c>
      <c r="F1475" s="11">
        <v>-9.8360655700000006</v>
      </c>
      <c r="G1475" s="11">
        <v>14.903129659999999</v>
      </c>
      <c r="H1475" s="11">
        <v>22.660077174400001</v>
      </c>
      <c r="I1475" s="11">
        <v>38.034159929099999</v>
      </c>
      <c r="J1475" s="11">
        <v>14.306141888399999</v>
      </c>
      <c r="K1475" s="10">
        <v>0.65132301586499997</v>
      </c>
      <c r="L1475" s="12">
        <v>164178426005.35001</v>
      </c>
      <c r="M1475">
        <v>11.894704518469901</v>
      </c>
      <c r="N1475" s="7">
        <v>1.7935619133901199</v>
      </c>
      <c r="O1475" s="7">
        <v>1.7003642231504501</v>
      </c>
      <c r="P1475" s="7">
        <v>27.0875542541458</v>
      </c>
      <c r="Q1475" s="7" t="s">
        <v>3698</v>
      </c>
      <c r="U1475">
        <v>0.56887698739214221</v>
      </c>
      <c r="AT1475" s="4" t="s">
        <v>6199</v>
      </c>
    </row>
    <row r="1476" spans="1:46">
      <c r="A1476" s="2">
        <v>2678</v>
      </c>
      <c r="B1476" t="s">
        <v>6200</v>
      </c>
      <c r="C1476" t="s">
        <v>1738</v>
      </c>
      <c r="D1476" t="s">
        <v>3811</v>
      </c>
      <c r="E1476" s="4">
        <v>43465</v>
      </c>
      <c r="F1476" s="11">
        <v>-17.27650083</v>
      </c>
      <c r="G1476" s="11">
        <v>14.90236382</v>
      </c>
      <c r="H1476" s="11">
        <v>-18.749242710099999</v>
      </c>
      <c r="I1476" s="11">
        <v>4.4885565560999998</v>
      </c>
      <c r="J1476" s="11">
        <v>0.88495551569999997</v>
      </c>
      <c r="K1476" s="10">
        <v>1.6529924475840001</v>
      </c>
      <c r="L1476" s="12">
        <v>11912604169.950001</v>
      </c>
      <c r="M1476">
        <v>45.128126551190697</v>
      </c>
      <c r="N1476" s="7">
        <v>2.0639723372726499</v>
      </c>
      <c r="O1476" s="7">
        <v>0.60894096685903798</v>
      </c>
      <c r="P1476" s="7">
        <v>-25.4833150598818</v>
      </c>
      <c r="Q1476" s="7">
        <v>0.36697247706422015</v>
      </c>
      <c r="U1476">
        <v>0.12070505906317891</v>
      </c>
      <c r="AT1476" s="4" t="s">
        <v>5079</v>
      </c>
    </row>
    <row r="1477" spans="1:46">
      <c r="A1477" s="2">
        <v>225</v>
      </c>
      <c r="B1477" t="s">
        <v>6201</v>
      </c>
      <c r="C1477" t="s">
        <v>1688</v>
      </c>
      <c r="D1477" t="s">
        <v>3737</v>
      </c>
      <c r="E1477" s="4">
        <v>43465</v>
      </c>
      <c r="F1477" s="11">
        <v>-24.316214680000002</v>
      </c>
      <c r="G1477" s="11">
        <v>14.8995149</v>
      </c>
      <c r="H1477" s="11">
        <v>11.667224186</v>
      </c>
      <c r="I1477" s="11">
        <v>72.001277145900005</v>
      </c>
      <c r="J1477" s="11">
        <v>27.816918297899999</v>
      </c>
      <c r="K1477" s="10">
        <v>0.14293074389800001</v>
      </c>
      <c r="L1477" s="12">
        <v>8028473883.54</v>
      </c>
      <c r="M1477">
        <v>12.825889443948199</v>
      </c>
      <c r="N1477" s="7">
        <v>0.82174138040108102</v>
      </c>
      <c r="O1477" s="7">
        <v>4.9550898156077903</v>
      </c>
      <c r="P1477" s="7">
        <v>27.3290326442511</v>
      </c>
      <c r="Q1477" s="7">
        <v>1.2944969471721766</v>
      </c>
      <c r="U1477">
        <v>0.80427024557317517</v>
      </c>
      <c r="AT1477" s="4" t="s">
        <v>6202</v>
      </c>
    </row>
    <row r="1478" spans="1:46">
      <c r="A1478" s="2">
        <v>2134</v>
      </c>
      <c r="B1478" t="s">
        <v>6203</v>
      </c>
      <c r="C1478" t="s">
        <v>3383</v>
      </c>
      <c r="D1478" t="s">
        <v>4046</v>
      </c>
      <c r="E1478" s="4">
        <v>43465</v>
      </c>
      <c r="F1478" s="11">
        <v>-30.563693019999999</v>
      </c>
      <c r="G1478" s="11">
        <v>14.88326848</v>
      </c>
      <c r="H1478" s="11">
        <v>13.541935495700001</v>
      </c>
      <c r="I1478" s="11">
        <v>50.221091428400001</v>
      </c>
      <c r="J1478" s="11">
        <v>11.102017162099999</v>
      </c>
      <c r="K1478" s="10">
        <v>0.438690035338</v>
      </c>
      <c r="L1478" s="12">
        <v>2851178502.4000001</v>
      </c>
      <c r="M1478">
        <v>46.699530631706601</v>
      </c>
      <c r="N1478" s="7">
        <v>2.7520232101664699</v>
      </c>
      <c r="O1478" s="7">
        <v>5.8268596912140804</v>
      </c>
      <c r="P1478" s="7">
        <v>32.823651028285902</v>
      </c>
      <c r="Q1478" s="7">
        <v>1.801536907153797</v>
      </c>
      <c r="U1478">
        <v>0.21884992229426334</v>
      </c>
      <c r="AT1478" s="4" t="s">
        <v>6204</v>
      </c>
    </row>
    <row r="1479" spans="1:46">
      <c r="A1479" s="2">
        <v>886</v>
      </c>
      <c r="B1479" t="s">
        <v>6205</v>
      </c>
      <c r="C1479" t="s">
        <v>2140</v>
      </c>
      <c r="D1479" t="s">
        <v>3858</v>
      </c>
      <c r="E1479" s="4">
        <v>43465</v>
      </c>
      <c r="F1479" s="11">
        <v>-21.687180850000001</v>
      </c>
      <c r="G1479" s="11">
        <v>14.88095238</v>
      </c>
      <c r="H1479" s="11">
        <v>1.4409415457000001</v>
      </c>
      <c r="I1479" s="11">
        <v>13.5332302221</v>
      </c>
      <c r="J1479" s="11">
        <v>4.0586860195999996</v>
      </c>
      <c r="K1479" s="10">
        <v>0.450381697415</v>
      </c>
      <c r="L1479" s="12">
        <v>159022936976.17001</v>
      </c>
      <c r="M1479">
        <v>25.450746813603999</v>
      </c>
      <c r="N1479" s="7">
        <v>0.89409054574921698</v>
      </c>
      <c r="O1479" s="7">
        <v>0.72266986560524304</v>
      </c>
      <c r="P1479" s="7">
        <v>-80.025135005069799</v>
      </c>
      <c r="Q1479" s="7">
        <v>0.75134168157423964</v>
      </c>
      <c r="U1479">
        <v>0.27525451959800568</v>
      </c>
      <c r="AT1479" s="4" t="s">
        <v>6206</v>
      </c>
    </row>
    <row r="1480" spans="1:46">
      <c r="A1480" s="2">
        <v>130</v>
      </c>
      <c r="B1480" t="s">
        <v>6207</v>
      </c>
      <c r="C1480" t="s">
        <v>2132</v>
      </c>
      <c r="D1480" t="s">
        <v>3977</v>
      </c>
      <c r="E1480" s="4">
        <v>43465</v>
      </c>
      <c r="F1480" s="11">
        <v>-30.134410899999999</v>
      </c>
      <c r="G1480" s="11">
        <v>14.864864860000001</v>
      </c>
      <c r="H1480" s="11">
        <v>4.1240708487999997</v>
      </c>
      <c r="I1480" s="11">
        <v>18.660607678000002</v>
      </c>
      <c r="J1480" s="11">
        <v>0.19940214689999999</v>
      </c>
      <c r="K1480" s="10">
        <v>1.1096657177210001</v>
      </c>
      <c r="L1480" s="12">
        <v>2546513076</v>
      </c>
      <c r="M1480">
        <v>-16.1029353706889</v>
      </c>
      <c r="N1480" s="7">
        <v>0.61646249455370306</v>
      </c>
      <c r="O1480" s="7">
        <v>0.18331800350786601</v>
      </c>
      <c r="P1480" s="7">
        <v>-6.4334529634621704</v>
      </c>
      <c r="Q1480" s="7">
        <v>1.8404907975460123</v>
      </c>
      <c r="U1480">
        <v>3.700778804279424E-2</v>
      </c>
      <c r="AT1480" s="4" t="s">
        <v>6208</v>
      </c>
    </row>
    <row r="1481" spans="1:46">
      <c r="A1481" s="2">
        <v>278</v>
      </c>
      <c r="B1481" t="s">
        <v>6209</v>
      </c>
      <c r="C1481" t="s">
        <v>3615</v>
      </c>
      <c r="D1481" t="s">
        <v>3764</v>
      </c>
      <c r="E1481" s="4">
        <v>43465</v>
      </c>
      <c r="F1481" s="11">
        <v>-44.423440450000001</v>
      </c>
      <c r="G1481" s="11">
        <v>14.84375</v>
      </c>
      <c r="H1481" s="11">
        <v>8.0526522313999997</v>
      </c>
      <c r="I1481" s="11">
        <v>3.7621341126000001</v>
      </c>
      <c r="J1481" s="11">
        <v>1.2032943652000001</v>
      </c>
      <c r="K1481" s="10">
        <v>0.32519294368500001</v>
      </c>
      <c r="L1481" s="12">
        <v>2892480000</v>
      </c>
      <c r="M1481">
        <v>-3.7026386048668001</v>
      </c>
      <c r="N1481" s="7">
        <v>0.96821639887637601</v>
      </c>
      <c r="O1481" s="7">
        <v>0.75217521942018795</v>
      </c>
      <c r="P1481" s="7">
        <v>21.440340528431999</v>
      </c>
      <c r="Q1481" s="7" t="s">
        <v>3698</v>
      </c>
      <c r="U1481">
        <v>1.121944254441189E-2</v>
      </c>
      <c r="AT1481" s="4" t="s">
        <v>6210</v>
      </c>
    </row>
    <row r="1482" spans="1:46">
      <c r="A1482" s="2">
        <v>2230</v>
      </c>
      <c r="B1482" t="s">
        <v>6211</v>
      </c>
      <c r="C1482" t="s">
        <v>108</v>
      </c>
      <c r="D1482" t="s">
        <v>3858</v>
      </c>
      <c r="E1482" s="4">
        <v>43465</v>
      </c>
      <c r="F1482" s="11">
        <v>5.08140109</v>
      </c>
      <c r="G1482" s="11">
        <v>14.777777779999999</v>
      </c>
      <c r="H1482" s="11">
        <v>1685.0049348903999</v>
      </c>
      <c r="I1482" s="11">
        <v>3.9009356608000001</v>
      </c>
      <c r="J1482" s="11">
        <v>-3.3487819815000002</v>
      </c>
      <c r="K1482" s="10">
        <v>4.9559285876230001</v>
      </c>
      <c r="L1482" s="12">
        <v>2781000000</v>
      </c>
      <c r="M1482">
        <v>485.74727046816997</v>
      </c>
      <c r="N1482" s="7">
        <v>348.62833017170402</v>
      </c>
      <c r="O1482" s="7">
        <v>3.02920545801449</v>
      </c>
      <c r="P1482" s="7">
        <v>330.94222460044398</v>
      </c>
      <c r="Q1482" s="7" t="s">
        <v>3698</v>
      </c>
      <c r="U1482">
        <v>-0.22803055591304347</v>
      </c>
      <c r="AT1482" s="4" t="s">
        <v>4132</v>
      </c>
    </row>
    <row r="1483" spans="1:46">
      <c r="A1483" s="2">
        <v>2377</v>
      </c>
      <c r="B1483" t="s">
        <v>6212</v>
      </c>
      <c r="C1483" t="s">
        <v>3480</v>
      </c>
      <c r="D1483" t="s">
        <v>3718</v>
      </c>
      <c r="E1483" s="4">
        <v>43465</v>
      </c>
      <c r="F1483" s="11">
        <v>-35.603010279999999</v>
      </c>
      <c r="G1483" s="11">
        <v>14.728682170000001</v>
      </c>
      <c r="H1483" s="11">
        <v>-16.840508867200001</v>
      </c>
      <c r="I1483" s="11">
        <v>4.1951033581999999</v>
      </c>
      <c r="J1483" s="11">
        <v>-31.5113096756</v>
      </c>
      <c r="K1483" s="10">
        <v>0.28282979539800002</v>
      </c>
      <c r="L1483" s="12">
        <v>2529680000</v>
      </c>
      <c r="M1483">
        <v>-12.9544492707555</v>
      </c>
      <c r="N1483" s="7">
        <v>1.10282440719417</v>
      </c>
      <c r="O1483" s="7">
        <v>2.1620216912013599</v>
      </c>
      <c r="P1483" s="7">
        <v>-77.669596985072303</v>
      </c>
      <c r="Q1483" s="7" t="s">
        <v>3698</v>
      </c>
      <c r="U1483">
        <v>-0.47214295258060845</v>
      </c>
      <c r="AT1483" s="4" t="s">
        <v>6213</v>
      </c>
    </row>
    <row r="1484" spans="1:46">
      <c r="A1484" s="2">
        <v>957</v>
      </c>
      <c r="B1484" t="s">
        <v>6214</v>
      </c>
      <c r="C1484" t="s">
        <v>1143</v>
      </c>
      <c r="D1484" t="s">
        <v>3713</v>
      </c>
      <c r="E1484" s="4">
        <v>43465</v>
      </c>
      <c r="F1484" s="11">
        <v>-11.431298979999999</v>
      </c>
      <c r="G1484" s="11">
        <v>14.664981040000001</v>
      </c>
      <c r="H1484" s="11">
        <v>47.929160606899998</v>
      </c>
      <c r="I1484" s="11">
        <v>31.9681139592</v>
      </c>
      <c r="J1484" s="11">
        <v>8.4108850153999999</v>
      </c>
      <c r="K1484" s="10">
        <v>0.32225501146500002</v>
      </c>
      <c r="L1484" s="12">
        <v>18094656008.880001</v>
      </c>
      <c r="M1484">
        <v>66.213823779383802</v>
      </c>
      <c r="N1484" s="7">
        <v>5.7611449464345199</v>
      </c>
      <c r="O1484" s="7">
        <v>4.9420008319488504</v>
      </c>
      <c r="P1484" s="7">
        <v>7.0859631781521601</v>
      </c>
      <c r="Q1484" s="7">
        <v>0.30703157127964292</v>
      </c>
      <c r="U1484">
        <v>0.15894222007980841</v>
      </c>
      <c r="AT1484" s="4" t="s">
        <v>6053</v>
      </c>
    </row>
    <row r="1485" spans="1:46">
      <c r="A1485" s="2">
        <v>1551</v>
      </c>
      <c r="B1485" t="s">
        <v>6215</v>
      </c>
      <c r="C1485" t="s">
        <v>3427</v>
      </c>
      <c r="D1485" t="s">
        <v>3718</v>
      </c>
      <c r="E1485" s="4">
        <v>43465</v>
      </c>
      <c r="F1485" s="11">
        <v>-13.21112342</v>
      </c>
      <c r="G1485" s="11">
        <v>14.65863454</v>
      </c>
      <c r="H1485" s="11">
        <v>6.2014615378000002</v>
      </c>
      <c r="I1485" s="11">
        <v>11.026745765199999</v>
      </c>
      <c r="J1485" s="11">
        <v>-7.7097933984999996</v>
      </c>
      <c r="K1485" s="10">
        <v>0.46768744133399998</v>
      </c>
      <c r="L1485" s="12">
        <v>3954840231.54</v>
      </c>
      <c r="M1485">
        <v>-69.645247687106703</v>
      </c>
      <c r="N1485" s="7">
        <v>1.5641267263155401</v>
      </c>
      <c r="O1485" s="7">
        <v>2.4267269604464201</v>
      </c>
      <c r="P1485" s="7">
        <v>-17.835578811646499</v>
      </c>
      <c r="Q1485" s="7" t="s">
        <v>3698</v>
      </c>
      <c r="U1485">
        <v>-0.14734490224952426</v>
      </c>
      <c r="AT1485" s="4" t="s">
        <v>4198</v>
      </c>
    </row>
    <row r="1486" spans="1:46">
      <c r="A1486" s="2">
        <v>3051</v>
      </c>
      <c r="B1486" t="s">
        <v>6216</v>
      </c>
      <c r="C1486" t="s">
        <v>887</v>
      </c>
      <c r="D1486" t="s">
        <v>3972</v>
      </c>
      <c r="E1486" s="4">
        <v>43465</v>
      </c>
      <c r="F1486" s="11">
        <v>7.6794801899999996</v>
      </c>
      <c r="G1486" s="11">
        <v>14.65517241</v>
      </c>
      <c r="H1486" s="11">
        <v>-25.241166380100001</v>
      </c>
      <c r="I1486" s="11">
        <v>37.660160191199999</v>
      </c>
      <c r="J1486" s="11">
        <v>15.0912949677</v>
      </c>
      <c r="K1486" s="10">
        <v>0.16936137523600001</v>
      </c>
      <c r="L1486" s="12">
        <v>4897200000</v>
      </c>
      <c r="M1486">
        <v>14.5218541940443</v>
      </c>
      <c r="N1486" s="7">
        <v>0.73435951594892701</v>
      </c>
      <c r="O1486" s="7">
        <v>1.63148829189561</v>
      </c>
      <c r="P1486" s="7">
        <v>-16.770436668701901</v>
      </c>
      <c r="Q1486" s="7">
        <v>2.5839793281653747</v>
      </c>
      <c r="U1486">
        <v>0.27769320355061705</v>
      </c>
      <c r="AT1486" s="4" t="s">
        <v>6217</v>
      </c>
    </row>
    <row r="1487" spans="1:46">
      <c r="A1487" s="2">
        <v>175</v>
      </c>
      <c r="B1487" t="s">
        <v>6218</v>
      </c>
      <c r="C1487" t="s">
        <v>1765</v>
      </c>
      <c r="D1487" t="s">
        <v>3737</v>
      </c>
      <c r="E1487" s="4">
        <v>43465</v>
      </c>
      <c r="F1487" s="11">
        <v>-52.929194039999999</v>
      </c>
      <c r="G1487" s="11">
        <v>14.6484375</v>
      </c>
      <c r="H1487" s="11">
        <v>35.474977621699999</v>
      </c>
      <c r="I1487" s="11">
        <v>53.395718615100002</v>
      </c>
      <c r="J1487" s="11">
        <v>4.1390804921999997</v>
      </c>
      <c r="K1487" s="10">
        <v>0.23671686082400001</v>
      </c>
      <c r="L1487" s="12">
        <v>3772179010.5999999</v>
      </c>
      <c r="M1487">
        <v>-1524.2952140395901</v>
      </c>
      <c r="N1487" s="7">
        <v>1.58745138694473</v>
      </c>
      <c r="O1487" s="7">
        <v>2.6142911429820899</v>
      </c>
      <c r="P1487" s="7">
        <v>11.4494166238142</v>
      </c>
      <c r="Q1487" s="7" t="s">
        <v>3698</v>
      </c>
      <c r="U1487">
        <v>8.9499296030989897E-2</v>
      </c>
      <c r="AT1487" s="4" t="s">
        <v>6219</v>
      </c>
    </row>
    <row r="1488" spans="1:46">
      <c r="A1488" s="2">
        <v>735</v>
      </c>
      <c r="B1488" t="s">
        <v>6220</v>
      </c>
      <c r="C1488" t="s">
        <v>2123</v>
      </c>
      <c r="D1488" t="s">
        <v>3752</v>
      </c>
      <c r="E1488" s="4">
        <v>43465</v>
      </c>
      <c r="F1488" s="11">
        <v>-28.563607229999999</v>
      </c>
      <c r="G1488" s="11">
        <v>14.62962963</v>
      </c>
      <c r="H1488" s="11">
        <v>1.8935346678</v>
      </c>
      <c r="I1488" s="11">
        <v>32.264943436199999</v>
      </c>
      <c r="J1488" s="11">
        <v>8.5979692672999999</v>
      </c>
      <c r="K1488" s="10">
        <v>0.39808672893500002</v>
      </c>
      <c r="L1488" s="12">
        <v>1639945308.96</v>
      </c>
      <c r="M1488">
        <v>28.561353440920399</v>
      </c>
      <c r="N1488" s="7">
        <v>2.0410507097233901</v>
      </c>
      <c r="O1488" s="7">
        <v>3.8099747086889</v>
      </c>
      <c r="P1488" s="7">
        <v>31.822696760805201</v>
      </c>
      <c r="Q1488" s="7">
        <v>0.26639047759421508</v>
      </c>
      <c r="U1488">
        <v>0.1253198534657341</v>
      </c>
      <c r="AT1488" s="4" t="s">
        <v>5197</v>
      </c>
    </row>
    <row r="1489" spans="1:46">
      <c r="A1489" s="2">
        <v>2778</v>
      </c>
      <c r="B1489" t="s">
        <v>6221</v>
      </c>
      <c r="C1489" t="s">
        <v>899</v>
      </c>
      <c r="D1489" t="s">
        <v>3837</v>
      </c>
      <c r="E1489" s="4">
        <v>43465</v>
      </c>
      <c r="F1489" s="11">
        <v>-9.6348920800000002</v>
      </c>
      <c r="G1489" s="11">
        <v>14.622641509999999</v>
      </c>
      <c r="H1489" s="11">
        <v>30.517784435900001</v>
      </c>
      <c r="I1489" s="11">
        <v>45.097111255800002</v>
      </c>
      <c r="J1489" s="11">
        <v>52.882657768000001</v>
      </c>
      <c r="K1489" s="10">
        <v>5.1863672919999999E-2</v>
      </c>
      <c r="L1489" s="12">
        <v>19224927803.549999</v>
      </c>
      <c r="M1489">
        <v>14.533394136394</v>
      </c>
      <c r="N1489" s="7">
        <v>1.3740226697242399</v>
      </c>
      <c r="O1489" s="7">
        <v>2.8375698152280999</v>
      </c>
      <c r="P1489" s="7">
        <v>1.2647416133251901</v>
      </c>
      <c r="Q1489" s="7" t="s">
        <v>3698</v>
      </c>
      <c r="U1489">
        <v>0.35270163517147024</v>
      </c>
      <c r="AT1489" s="4" t="s">
        <v>6222</v>
      </c>
    </row>
    <row r="1490" spans="1:46">
      <c r="A1490" s="2">
        <v>2484</v>
      </c>
      <c r="B1490" t="s">
        <v>6223</v>
      </c>
      <c r="C1490" t="s">
        <v>2770</v>
      </c>
      <c r="D1490" t="s">
        <v>3785</v>
      </c>
      <c r="E1490" s="4">
        <v>43465</v>
      </c>
      <c r="F1490" s="11">
        <v>-50</v>
      </c>
      <c r="G1490" s="11">
        <v>14.60055096</v>
      </c>
      <c r="H1490" s="11">
        <v>9.0618411847000004</v>
      </c>
      <c r="I1490" s="11">
        <v>18.604939210000001</v>
      </c>
      <c r="J1490" s="11">
        <v>3.2302569554999998</v>
      </c>
      <c r="K1490" s="10">
        <v>0.88634983112099996</v>
      </c>
      <c r="L1490" s="12">
        <v>2980173320</v>
      </c>
      <c r="M1490">
        <v>234.50152377701201</v>
      </c>
      <c r="N1490" s="7">
        <v>2.2093227280218</v>
      </c>
      <c r="O1490" s="7">
        <v>1.43634762466698</v>
      </c>
      <c r="P1490" s="7">
        <v>117.57228372748899</v>
      </c>
      <c r="Q1490" s="7" t="s">
        <v>3698</v>
      </c>
      <c r="U1490">
        <v>1.0494591225000001E-2</v>
      </c>
      <c r="AT1490" s="4" t="s">
        <v>6055</v>
      </c>
    </row>
    <row r="1491" spans="1:46">
      <c r="A1491" s="2">
        <v>2410</v>
      </c>
      <c r="B1491" t="s">
        <v>6224</v>
      </c>
      <c r="C1491" t="s">
        <v>3527</v>
      </c>
      <c r="D1491" t="s">
        <v>3811</v>
      </c>
      <c r="E1491" s="4">
        <v>43465</v>
      </c>
      <c r="F1491" s="11">
        <v>-26.29695886</v>
      </c>
      <c r="G1491" s="11">
        <v>14.525139660000001</v>
      </c>
      <c r="H1491" s="11">
        <v>-19.044993853499999</v>
      </c>
      <c r="I1491" s="11">
        <v>2.8163572075999999</v>
      </c>
      <c r="J1491" s="11">
        <v>-16.773663845400002</v>
      </c>
      <c r="K1491" s="10">
        <v>0.493319973696</v>
      </c>
      <c r="L1491" s="12">
        <v>7771979688.3999996</v>
      </c>
      <c r="M1491">
        <v>-65.639662969784496</v>
      </c>
      <c r="N1491" s="7">
        <v>4.2163525678388902</v>
      </c>
      <c r="O1491" s="7">
        <v>2.5972996664528201</v>
      </c>
      <c r="P1491" s="7">
        <v>-162.88210107721801</v>
      </c>
      <c r="Q1491" s="7" t="s">
        <v>3698</v>
      </c>
      <c r="U1491">
        <v>-0.22352840181762504</v>
      </c>
      <c r="AT1491" s="4" t="s">
        <v>6225</v>
      </c>
    </row>
    <row r="1492" spans="1:46">
      <c r="A1492" s="2">
        <v>2446</v>
      </c>
      <c r="B1492" t="s">
        <v>6226</v>
      </c>
      <c r="C1492" t="s">
        <v>2626</v>
      </c>
      <c r="D1492" t="s">
        <v>3718</v>
      </c>
      <c r="E1492" s="4">
        <v>43465</v>
      </c>
      <c r="F1492" s="11">
        <v>-26.891500820000001</v>
      </c>
      <c r="G1492" s="11">
        <v>14.51104101</v>
      </c>
      <c r="H1492" s="11">
        <v>-0.2123827761</v>
      </c>
      <c r="I1492" s="11">
        <v>17.100849347</v>
      </c>
      <c r="J1492" s="11">
        <v>1.8055905173</v>
      </c>
      <c r="K1492" s="10">
        <v>0.31585078486099999</v>
      </c>
      <c r="L1492" s="12">
        <v>3582970731.8299999</v>
      </c>
      <c r="M1492">
        <v>67.561353699629905</v>
      </c>
      <c r="N1492" s="7">
        <v>1.1194032985301801</v>
      </c>
      <c r="O1492" s="7">
        <v>0.77889377840068696</v>
      </c>
      <c r="P1492" s="7">
        <v>-125.63824806069999</v>
      </c>
      <c r="Q1492" s="7">
        <v>1.4409221902017293</v>
      </c>
      <c r="U1492">
        <v>8.4087958774199958E-2</v>
      </c>
      <c r="AT1492" s="4" t="s">
        <v>4862</v>
      </c>
    </row>
    <row r="1493" spans="1:46">
      <c r="A1493" s="2">
        <v>160</v>
      </c>
      <c r="B1493" t="s">
        <v>6227</v>
      </c>
      <c r="C1493" t="s">
        <v>2083</v>
      </c>
      <c r="D1493" t="s">
        <v>3718</v>
      </c>
      <c r="E1493" s="4">
        <v>43465</v>
      </c>
      <c r="F1493" s="11">
        <v>-17.76909307</v>
      </c>
      <c r="G1493" s="11">
        <v>14.457831329999999</v>
      </c>
      <c r="H1493" s="11">
        <v>15.1793028845</v>
      </c>
      <c r="I1493" s="11">
        <v>23.1911573366</v>
      </c>
      <c r="J1493" s="11">
        <v>5.2290227654999999</v>
      </c>
      <c r="K1493" s="10">
        <v>0.69410977915799998</v>
      </c>
      <c r="L1493" s="12">
        <v>1566528949.4400001</v>
      </c>
      <c r="M1493">
        <v>39.5185120332767</v>
      </c>
      <c r="N1493" s="7">
        <v>1.4354172328085599</v>
      </c>
      <c r="O1493" s="7">
        <v>0.79893657733234602</v>
      </c>
      <c r="P1493" s="7">
        <v>-84.909724170375597</v>
      </c>
      <c r="Q1493" s="7" t="s">
        <v>3698</v>
      </c>
      <c r="U1493">
        <v>0.21522283222043828</v>
      </c>
      <c r="AT1493" s="4" t="s">
        <v>3847</v>
      </c>
    </row>
    <row r="1494" spans="1:46">
      <c r="A1494" s="2">
        <v>1991</v>
      </c>
      <c r="B1494" t="s">
        <v>6228</v>
      </c>
      <c r="C1494" t="s">
        <v>2119</v>
      </c>
      <c r="D1494" t="s">
        <v>3761</v>
      </c>
      <c r="E1494" s="4">
        <v>43465</v>
      </c>
      <c r="F1494" s="11">
        <v>0.59513364999999996</v>
      </c>
      <c r="G1494" s="11">
        <v>14.39688716</v>
      </c>
      <c r="H1494" s="11">
        <v>88.828698763999995</v>
      </c>
      <c r="I1494" s="11">
        <v>23.408209895100001</v>
      </c>
      <c r="J1494" s="11">
        <v>8.3071458573000001</v>
      </c>
      <c r="K1494" s="10">
        <v>0.48556735445299998</v>
      </c>
      <c r="L1494" s="12">
        <v>4899000000</v>
      </c>
      <c r="M1494">
        <v>27.073804050809098</v>
      </c>
      <c r="N1494" s="7">
        <v>1.0960526840020499</v>
      </c>
      <c r="O1494" s="7">
        <v>1.8523199939782</v>
      </c>
      <c r="P1494" s="7">
        <v>-5.7273702098095303</v>
      </c>
      <c r="Q1494" s="7">
        <v>0.72085508327119063</v>
      </c>
      <c r="U1494">
        <v>0.68219264692157955</v>
      </c>
      <c r="AT1494" s="4" t="s">
        <v>6229</v>
      </c>
    </row>
    <row r="1495" spans="1:46">
      <c r="A1495" s="2">
        <v>202</v>
      </c>
      <c r="B1495" t="s">
        <v>6230</v>
      </c>
      <c r="C1495" t="s">
        <v>1132</v>
      </c>
      <c r="D1495" t="s">
        <v>3764</v>
      </c>
      <c r="E1495" s="4">
        <v>43465</v>
      </c>
      <c r="F1495" s="11">
        <v>-11.660227689999999</v>
      </c>
      <c r="G1495" s="11">
        <v>14.392059550000001</v>
      </c>
      <c r="H1495" s="11">
        <v>11.484545127900001</v>
      </c>
      <c r="I1495" s="11">
        <v>40.794392256000002</v>
      </c>
      <c r="J1495" s="11">
        <v>24.249996743400001</v>
      </c>
      <c r="K1495" s="10">
        <v>0.20967882115600001</v>
      </c>
      <c r="L1495" s="12">
        <v>1926551500</v>
      </c>
      <c r="M1495">
        <v>12.110012448881401</v>
      </c>
      <c r="N1495" s="7">
        <v>1.1524438001764801</v>
      </c>
      <c r="O1495" s="7">
        <v>2.9987427462278</v>
      </c>
      <c r="P1495" s="7">
        <v>-250.76704486901599</v>
      </c>
      <c r="Q1495" s="7">
        <v>1.4634146341463417</v>
      </c>
      <c r="U1495">
        <v>0.33086320571718147</v>
      </c>
      <c r="AT1495" s="4" t="s">
        <v>6231</v>
      </c>
    </row>
    <row r="1496" spans="1:46">
      <c r="A1496" s="2">
        <v>2430</v>
      </c>
      <c r="B1496" t="s">
        <v>6232</v>
      </c>
      <c r="C1496" t="s">
        <v>3374</v>
      </c>
      <c r="D1496" t="s">
        <v>3718</v>
      </c>
      <c r="E1496" s="4">
        <v>43465</v>
      </c>
      <c r="F1496" s="11">
        <v>-15.71906355</v>
      </c>
      <c r="G1496" s="11">
        <v>14.38356164</v>
      </c>
      <c r="H1496" s="11">
        <v>6.1218121219999997</v>
      </c>
      <c r="I1496" s="11">
        <v>29.590252739899999</v>
      </c>
      <c r="J1496" s="11">
        <v>4.0534139999000001</v>
      </c>
      <c r="K1496" s="10">
        <v>0.44482353316700002</v>
      </c>
      <c r="L1496" s="12">
        <v>8107725276.3000002</v>
      </c>
      <c r="M1496">
        <v>-30.696651219935799</v>
      </c>
      <c r="N1496" s="7">
        <v>1.2233909087330099</v>
      </c>
      <c r="O1496" s="7">
        <v>2.1738903661070901</v>
      </c>
      <c r="P1496" s="7">
        <v>-1330.43292652171</v>
      </c>
      <c r="Q1496" s="7" t="s">
        <v>3698</v>
      </c>
      <c r="U1496">
        <v>8.199679596361957E-2</v>
      </c>
      <c r="AT1496" s="4" t="s">
        <v>6233</v>
      </c>
    </row>
    <row r="1497" spans="1:46">
      <c r="A1497" s="2">
        <v>2130</v>
      </c>
      <c r="B1497" t="s">
        <v>6234</v>
      </c>
      <c r="C1497" t="s">
        <v>988</v>
      </c>
      <c r="D1497" t="s">
        <v>3998</v>
      </c>
      <c r="E1497" s="4">
        <v>43465</v>
      </c>
      <c r="F1497" s="11">
        <v>26.307765329999999</v>
      </c>
      <c r="G1497" s="11">
        <v>14.3808995</v>
      </c>
      <c r="H1497" s="11">
        <v>57.093793952600002</v>
      </c>
      <c r="I1497" s="11">
        <v>36.759172468700001</v>
      </c>
      <c r="J1497" s="11">
        <v>10.512194175299999</v>
      </c>
      <c r="K1497" s="10">
        <v>0.78617076378200001</v>
      </c>
      <c r="L1497" s="12">
        <v>1808547720</v>
      </c>
      <c r="M1497">
        <v>45.9866336240908</v>
      </c>
      <c r="N1497" s="7">
        <v>5.46983048870033</v>
      </c>
      <c r="O1497" s="7">
        <v>4.4293180745789602</v>
      </c>
      <c r="P1497" s="7">
        <v>15.7972683823917</v>
      </c>
      <c r="Q1497" s="7">
        <v>0.22037899753191872</v>
      </c>
      <c r="U1497">
        <v>0.49487915668969923</v>
      </c>
      <c r="AT1497" s="4" t="s">
        <v>6235</v>
      </c>
    </row>
    <row r="1498" spans="1:46">
      <c r="A1498" s="2">
        <v>1133</v>
      </c>
      <c r="B1498" t="s">
        <v>6236</v>
      </c>
      <c r="C1498" t="s">
        <v>3330</v>
      </c>
      <c r="D1498" t="s">
        <v>3761</v>
      </c>
      <c r="E1498" s="4">
        <v>43465</v>
      </c>
      <c r="F1498" s="11">
        <v>-75.604551920000006</v>
      </c>
      <c r="G1498" s="11">
        <v>14.379084969999999</v>
      </c>
      <c r="H1498" s="11">
        <v>116.696719958</v>
      </c>
      <c r="I1498" s="11">
        <v>43.6492197938</v>
      </c>
      <c r="J1498" s="11">
        <v>8.4775893081000007</v>
      </c>
      <c r="K1498" s="10">
        <v>0.23487034690200001</v>
      </c>
      <c r="L1498" s="12">
        <v>12874432600</v>
      </c>
      <c r="M1498">
        <v>49.821358236016401</v>
      </c>
      <c r="N1498" s="7">
        <v>2.4354763831767099</v>
      </c>
      <c r="O1498" s="7">
        <v>6.7408610544360403</v>
      </c>
      <c r="P1498" s="7">
        <v>-54.684628200710598</v>
      </c>
      <c r="Q1498" s="7" t="s">
        <v>3698</v>
      </c>
      <c r="U1498">
        <v>4.3860998571428569E-2</v>
      </c>
      <c r="AT1498" s="4" t="s">
        <v>6237</v>
      </c>
    </row>
    <row r="1499" spans="1:46">
      <c r="A1499" s="2">
        <v>2969</v>
      </c>
      <c r="B1499" t="s">
        <v>6238</v>
      </c>
      <c r="C1499" t="s">
        <v>3275</v>
      </c>
      <c r="D1499" t="s">
        <v>3737</v>
      </c>
      <c r="E1499" s="4">
        <v>43465</v>
      </c>
      <c r="F1499" s="11">
        <v>-40.139860140000003</v>
      </c>
      <c r="G1499" s="11">
        <v>14.323607429999999</v>
      </c>
      <c r="H1499" s="11">
        <v>20.2662320423</v>
      </c>
      <c r="I1499" s="11">
        <v>-101.06857167059999</v>
      </c>
      <c r="J1499" s="11">
        <v>222.203584302</v>
      </c>
      <c r="K1499" s="10">
        <v>1.6122085864000001E-2</v>
      </c>
      <c r="L1499" s="12">
        <v>7989155998.7200003</v>
      </c>
      <c r="M1499">
        <v>-13.8833740746713</v>
      </c>
      <c r="N1499" s="7">
        <v>1.84696773346231</v>
      </c>
      <c r="O1499" s="7">
        <v>64.379873331240702</v>
      </c>
      <c r="P1499" s="7">
        <v>-134.710327244213</v>
      </c>
      <c r="Q1499" s="7" t="s">
        <v>3698</v>
      </c>
      <c r="U1499">
        <v>0.13166896489908242</v>
      </c>
      <c r="AT1499" s="4" t="s">
        <v>6239</v>
      </c>
    </row>
    <row r="1500" spans="1:46">
      <c r="A1500" s="2">
        <v>1942</v>
      </c>
      <c r="B1500" t="s">
        <v>6240</v>
      </c>
      <c r="C1500" t="s">
        <v>2575</v>
      </c>
      <c r="D1500" t="s">
        <v>3858</v>
      </c>
      <c r="E1500" s="4">
        <v>43465</v>
      </c>
      <c r="F1500" s="11">
        <v>-22.993623469999999</v>
      </c>
      <c r="G1500" s="11">
        <v>14.31818182</v>
      </c>
      <c r="H1500" s="11">
        <v>24.907479904900001</v>
      </c>
      <c r="I1500" s="11">
        <v>21.029560781600001</v>
      </c>
      <c r="J1500" s="11">
        <v>4.8056936964999997</v>
      </c>
      <c r="K1500" s="10">
        <v>0.43292011279100001</v>
      </c>
      <c r="L1500" s="12">
        <v>4404674353.8000002</v>
      </c>
      <c r="M1500">
        <v>43.171009419528502</v>
      </c>
      <c r="N1500" s="7">
        <v>2.1389509812902601</v>
      </c>
      <c r="O1500" s="7">
        <v>3.0785603357223401</v>
      </c>
      <c r="P1500" s="7">
        <v>-22.085949714345301</v>
      </c>
      <c r="Q1500" s="7">
        <v>0.19629152416086448</v>
      </c>
      <c r="U1500">
        <v>0.22687897093230014</v>
      </c>
      <c r="AT1500" s="4" t="s">
        <v>6241</v>
      </c>
    </row>
    <row r="1501" spans="1:46">
      <c r="A1501" s="2">
        <v>2397</v>
      </c>
      <c r="B1501" t="s">
        <v>6242</v>
      </c>
      <c r="C1501" t="s">
        <v>2977</v>
      </c>
      <c r="D1501" t="s">
        <v>3737</v>
      </c>
      <c r="E1501" s="4">
        <v>43465</v>
      </c>
      <c r="F1501" s="11">
        <v>-34.33932008</v>
      </c>
      <c r="G1501" s="11">
        <v>14.302741360000001</v>
      </c>
      <c r="H1501" s="11">
        <v>-3.6332099238</v>
      </c>
      <c r="I1501" s="11">
        <v>41.776353948699999</v>
      </c>
      <c r="J1501" s="11">
        <v>-2.3261149635999998</v>
      </c>
      <c r="K1501" s="10">
        <v>0.46849508860099998</v>
      </c>
      <c r="L1501" s="12">
        <v>43535179965.099998</v>
      </c>
      <c r="M1501">
        <v>-34.848913691580996</v>
      </c>
      <c r="N1501" s="7">
        <v>1.3157022250305399</v>
      </c>
      <c r="O1501" s="7">
        <v>0.79420423686845498</v>
      </c>
      <c r="P1501" s="7">
        <v>-22.194171240473899</v>
      </c>
      <c r="Q1501" s="7" t="s">
        <v>3698</v>
      </c>
      <c r="U1501">
        <v>-0.51005461348627379</v>
      </c>
      <c r="AT1501" s="4" t="s">
        <v>6243</v>
      </c>
    </row>
    <row r="1502" spans="1:46">
      <c r="A1502" s="2">
        <v>1077</v>
      </c>
      <c r="B1502" t="s">
        <v>6244</v>
      </c>
      <c r="C1502" t="s">
        <v>2122</v>
      </c>
      <c r="D1502" t="s">
        <v>3737</v>
      </c>
      <c r="E1502" s="4">
        <v>43465</v>
      </c>
      <c r="F1502" s="11">
        <v>-23.130395</v>
      </c>
      <c r="G1502" s="11">
        <v>14.28571429</v>
      </c>
      <c r="H1502" s="11">
        <v>-5.7377943380999996</v>
      </c>
      <c r="I1502" s="11">
        <v>77.147113669800007</v>
      </c>
      <c r="J1502" s="11">
        <v>8.7078329281000002</v>
      </c>
      <c r="K1502" s="10">
        <v>0.37455944616499998</v>
      </c>
      <c r="L1502" s="12">
        <v>1676000000</v>
      </c>
      <c r="M1502">
        <v>31.900937007694498</v>
      </c>
      <c r="N1502" s="7">
        <v>1.02479435438</v>
      </c>
      <c r="O1502" s="7">
        <v>1.8318675380329801</v>
      </c>
      <c r="P1502" s="7">
        <v>-133.15818936243599</v>
      </c>
      <c r="Q1502" s="7" t="s">
        <v>3698</v>
      </c>
      <c r="U1502">
        <v>0.20872925844745877</v>
      </c>
      <c r="AT1502" s="4" t="s">
        <v>4355</v>
      </c>
    </row>
    <row r="1503" spans="1:46">
      <c r="A1503" s="2">
        <v>2305</v>
      </c>
      <c r="B1503" t="s">
        <v>6245</v>
      </c>
      <c r="C1503" t="s">
        <v>3579</v>
      </c>
      <c r="D1503" t="s">
        <v>3849</v>
      </c>
      <c r="E1503" s="4">
        <v>43465</v>
      </c>
      <c r="F1503" s="11">
        <v>-25.249020909999999</v>
      </c>
      <c r="G1503" s="11">
        <v>14.28571429</v>
      </c>
      <c r="H1503" s="11">
        <v>-20.6078198411</v>
      </c>
      <c r="I1503" s="11">
        <v>13.348379789199999</v>
      </c>
      <c r="J1503" s="11">
        <v>-8.8637576635999995</v>
      </c>
      <c r="K1503" s="10">
        <v>0.67673360478</v>
      </c>
      <c r="L1503" s="12">
        <v>2119336343</v>
      </c>
      <c r="M1503">
        <v>-4.8029084690054402</v>
      </c>
      <c r="N1503" s="7">
        <v>0.800465988106417</v>
      </c>
      <c r="O1503" s="7">
        <v>0.26138904910470501</v>
      </c>
      <c r="P1503" s="7">
        <v>10.406459298504499</v>
      </c>
      <c r="Q1503" s="7" t="s">
        <v>3698</v>
      </c>
      <c r="U1503">
        <v>-0.53590922220063231</v>
      </c>
      <c r="AT1503" s="4" t="s">
        <v>3978</v>
      </c>
    </row>
    <row r="1504" spans="1:46">
      <c r="A1504" s="2">
        <v>2894</v>
      </c>
      <c r="B1504" t="s">
        <v>6246</v>
      </c>
      <c r="C1504" t="s">
        <v>3636</v>
      </c>
      <c r="D1504" t="s">
        <v>3811</v>
      </c>
      <c r="E1504" s="4">
        <v>43465</v>
      </c>
      <c r="F1504" s="11">
        <v>-33.956834530000002</v>
      </c>
      <c r="G1504" s="11">
        <v>14.28571429</v>
      </c>
      <c r="H1504" s="11">
        <v>-22.9666045986</v>
      </c>
      <c r="I1504" s="11">
        <v>21.032462687399999</v>
      </c>
      <c r="J1504" s="11">
        <v>-172.69350115520001</v>
      </c>
      <c r="K1504" s="10">
        <v>0.114899956628</v>
      </c>
      <c r="L1504" s="12">
        <v>19124123208.630001</v>
      </c>
      <c r="M1504">
        <v>-7.2145462471194097</v>
      </c>
      <c r="N1504" s="7">
        <v>6.9316810297335296</v>
      </c>
      <c r="O1504" s="7">
        <v>9.2486128439293598</v>
      </c>
      <c r="P1504" s="7">
        <v>-34.407884223724302</v>
      </c>
      <c r="Q1504" s="7" t="s">
        <v>3698</v>
      </c>
      <c r="U1504">
        <v>-0.65820879090639217</v>
      </c>
      <c r="AT1504" s="4" t="s">
        <v>5492</v>
      </c>
    </row>
    <row r="1505" spans="1:46">
      <c r="A1505" s="2">
        <v>2338</v>
      </c>
      <c r="B1505" t="s">
        <v>6247</v>
      </c>
      <c r="C1505" t="s">
        <v>183</v>
      </c>
      <c r="D1505" t="s">
        <v>3781</v>
      </c>
      <c r="E1505" s="4">
        <v>43465</v>
      </c>
      <c r="F1505" s="11">
        <v>-20.55619862</v>
      </c>
      <c r="G1505" s="11">
        <v>14.27710843</v>
      </c>
      <c r="H1505" s="11">
        <v>-0.23154183349999999</v>
      </c>
      <c r="I1505" s="11">
        <v>72.5011529776</v>
      </c>
      <c r="J1505" s="11">
        <v>39.523335821499998</v>
      </c>
      <c r="K1505" s="10">
        <v>0.31618608423299999</v>
      </c>
      <c r="L1505" s="12">
        <v>2672537105.4000001</v>
      </c>
      <c r="M1505">
        <v>22.505315392034898</v>
      </c>
      <c r="N1505" s="7">
        <v>3.9772019115565</v>
      </c>
      <c r="O1505" s="7">
        <v>9.6757609314602</v>
      </c>
      <c r="P1505" s="7">
        <v>-12.835421787633299</v>
      </c>
      <c r="Q1505" s="7">
        <v>1.9179584452791449</v>
      </c>
      <c r="U1505">
        <v>0.64454628012581983</v>
      </c>
      <c r="AT1505" s="4" t="s">
        <v>6248</v>
      </c>
    </row>
    <row r="1506" spans="1:46">
      <c r="A1506" s="2">
        <v>3422</v>
      </c>
      <c r="B1506" t="s">
        <v>6249</v>
      </c>
      <c r="C1506" t="s">
        <v>992</v>
      </c>
      <c r="D1506" t="s">
        <v>3769</v>
      </c>
      <c r="E1506" s="4">
        <v>43465</v>
      </c>
      <c r="F1506" s="11">
        <v>-43.143418330000003</v>
      </c>
      <c r="G1506" s="11">
        <v>14.271938280000001</v>
      </c>
      <c r="H1506" s="11">
        <v>7.5424061329000001</v>
      </c>
      <c r="I1506" s="11">
        <v>6.5634460343000001</v>
      </c>
      <c r="J1506" s="11">
        <v>2.9154413583999998</v>
      </c>
      <c r="K1506" s="10">
        <v>2.8974742391250001</v>
      </c>
      <c r="L1506" s="12">
        <v>3357268560</v>
      </c>
      <c r="M1506">
        <v>20.396897521099302</v>
      </c>
      <c r="N1506" s="7">
        <v>2.0791556129797399</v>
      </c>
      <c r="O1506" s="7">
        <v>0.55969691918002196</v>
      </c>
      <c r="P1506" s="7">
        <v>-95.521096802783106</v>
      </c>
      <c r="Q1506" s="7">
        <v>2.0242914979757085</v>
      </c>
      <c r="U1506">
        <v>0.5372295761368856</v>
      </c>
      <c r="AT1506" s="4" t="s">
        <v>5088</v>
      </c>
    </row>
    <row r="1507" spans="1:46">
      <c r="A1507" s="2">
        <v>1891</v>
      </c>
      <c r="B1507" t="s">
        <v>6250</v>
      </c>
      <c r="C1507" t="s">
        <v>2757</v>
      </c>
      <c r="D1507" t="s">
        <v>3761</v>
      </c>
      <c r="E1507" s="4">
        <v>43465</v>
      </c>
      <c r="F1507" s="11">
        <v>-46.757652149999998</v>
      </c>
      <c r="G1507" s="11">
        <v>14.2578125</v>
      </c>
      <c r="H1507" s="11">
        <v>-5.7781048658999996</v>
      </c>
      <c r="I1507" s="11">
        <v>42.845760164200001</v>
      </c>
      <c r="J1507" s="11">
        <v>-50.113330964500001</v>
      </c>
      <c r="K1507" s="10">
        <v>0.252073533056</v>
      </c>
      <c r="L1507" s="12">
        <v>13826192127.26</v>
      </c>
      <c r="M1507">
        <v>112.234364273004</v>
      </c>
      <c r="N1507" s="7">
        <v>3.43486912836737</v>
      </c>
      <c r="O1507" s="7">
        <v>5.4595081278578297</v>
      </c>
      <c r="P1507" s="7">
        <v>907.83982712324098</v>
      </c>
      <c r="Q1507" s="7" t="s">
        <v>3698</v>
      </c>
      <c r="U1507">
        <v>-0.38484893092386202</v>
      </c>
      <c r="AT1507" s="4" t="s">
        <v>4173</v>
      </c>
    </row>
    <row r="1508" spans="1:46">
      <c r="A1508" s="2">
        <v>362</v>
      </c>
      <c r="B1508" t="s">
        <v>6251</v>
      </c>
      <c r="C1508" t="s">
        <v>3629</v>
      </c>
      <c r="D1508" t="s">
        <v>3761</v>
      </c>
      <c r="E1508" s="4">
        <v>43465</v>
      </c>
      <c r="F1508" s="11">
        <v>-40.70758738</v>
      </c>
      <c r="G1508" s="11">
        <v>14.25061425</v>
      </c>
      <c r="H1508" s="11">
        <v>64.177655515699996</v>
      </c>
      <c r="I1508" s="11">
        <v>18.500946147200001</v>
      </c>
      <c r="J1508" s="11">
        <v>1.3071554869999999</v>
      </c>
      <c r="K1508" s="10">
        <v>0.375950993347</v>
      </c>
      <c r="L1508" s="12">
        <v>1743889412.1600001</v>
      </c>
      <c r="M1508">
        <v>53.154917222513802</v>
      </c>
      <c r="N1508" s="7">
        <v>-36.433556327009804</v>
      </c>
      <c r="O1508" s="7">
        <v>3.2496162848633001</v>
      </c>
      <c r="P1508" s="7">
        <v>86.158974253888005</v>
      </c>
      <c r="Q1508" s="7" t="s">
        <v>3698</v>
      </c>
      <c r="U1508">
        <v>6.3725046766877291E-2</v>
      </c>
      <c r="AT1508" s="4" t="s">
        <v>4755</v>
      </c>
    </row>
    <row r="1509" spans="1:46">
      <c r="A1509" s="2">
        <v>476</v>
      </c>
      <c r="B1509" t="s">
        <v>6252</v>
      </c>
      <c r="C1509" t="s">
        <v>3551</v>
      </c>
      <c r="D1509" t="s">
        <v>3769</v>
      </c>
      <c r="E1509" s="4">
        <v>43465</v>
      </c>
      <c r="F1509" s="11">
        <v>-18.128654969999999</v>
      </c>
      <c r="G1509" s="11">
        <v>14.192495920000001</v>
      </c>
      <c r="H1509" s="11">
        <v>15.9145574495</v>
      </c>
      <c r="I1509" s="11">
        <v>15.1905182045</v>
      </c>
      <c r="J1509" s="11">
        <v>2.7607728323999998</v>
      </c>
      <c r="K1509" s="10">
        <v>0.56885271044999997</v>
      </c>
      <c r="L1509" s="12">
        <v>3556585075</v>
      </c>
      <c r="M1509">
        <v>-10.731395881154601</v>
      </c>
      <c r="N1509" s="7">
        <v>2.3932624007587799</v>
      </c>
      <c r="O1509" s="7">
        <v>2.5600615946984502</v>
      </c>
      <c r="P1509" s="7">
        <v>-59.999534194902701</v>
      </c>
      <c r="Q1509" s="7" t="s">
        <v>3698</v>
      </c>
      <c r="U1509">
        <v>6.7792843195160477E-2</v>
      </c>
      <c r="AT1509" s="4" t="s">
        <v>5502</v>
      </c>
    </row>
    <row r="1510" spans="1:46">
      <c r="A1510" s="2">
        <v>2777</v>
      </c>
      <c r="B1510" t="s">
        <v>6253</v>
      </c>
      <c r="C1510" t="s">
        <v>420</v>
      </c>
      <c r="D1510" t="s">
        <v>3972</v>
      </c>
      <c r="E1510" s="4">
        <v>43465</v>
      </c>
      <c r="F1510" s="11">
        <v>-16.856587909999998</v>
      </c>
      <c r="G1510" s="11">
        <v>14.19213974</v>
      </c>
      <c r="H1510" s="11">
        <v>8.6553718503999999</v>
      </c>
      <c r="I1510" s="11">
        <v>2.7508733076</v>
      </c>
      <c r="J1510" s="11">
        <v>1.1415204787</v>
      </c>
      <c r="K1510" s="10">
        <v>3.4946998693559999</v>
      </c>
      <c r="L1510" s="12">
        <v>2881200000</v>
      </c>
      <c r="M1510">
        <v>13.092267570396601</v>
      </c>
      <c r="N1510" s="7">
        <v>1.17406422787353</v>
      </c>
      <c r="O1510" s="7">
        <v>6.6494716025096198E-2</v>
      </c>
      <c r="P1510" s="7">
        <v>21.861772260889001</v>
      </c>
      <c r="Q1510" s="7">
        <v>4.1867919932147908</v>
      </c>
      <c r="U1510">
        <v>0.55663148698340614</v>
      </c>
      <c r="AT1510" s="4" t="s">
        <v>6254</v>
      </c>
    </row>
    <row r="1511" spans="1:46">
      <c r="A1511" s="2">
        <v>449</v>
      </c>
      <c r="B1511" t="s">
        <v>6255</v>
      </c>
      <c r="C1511" t="s">
        <v>3073</v>
      </c>
      <c r="D1511" t="s">
        <v>3849</v>
      </c>
      <c r="E1511" s="4">
        <v>43465</v>
      </c>
      <c r="F1511" s="11">
        <v>-39.432076019999997</v>
      </c>
      <c r="G1511" s="11">
        <v>14.18803419</v>
      </c>
      <c r="H1511" s="11">
        <v>0.1319198684</v>
      </c>
      <c r="I1511" s="11">
        <v>29.823942193400001</v>
      </c>
      <c r="J1511" s="11">
        <v>1.2649647572</v>
      </c>
      <c r="K1511" s="10">
        <v>0.334764991658</v>
      </c>
      <c r="L1511" s="12">
        <v>3719744041</v>
      </c>
      <c r="M1511">
        <v>66.055638747571706</v>
      </c>
      <c r="N1511" s="7">
        <v>1.8912805220407001</v>
      </c>
      <c r="O1511" s="7">
        <v>1.43441774389821</v>
      </c>
      <c r="P1511" s="7">
        <v>-23.513038692225901</v>
      </c>
      <c r="Q1511" s="7" t="s">
        <v>3698</v>
      </c>
      <c r="U1511">
        <v>4.9102246341259696E-2</v>
      </c>
      <c r="AT1511" s="4" t="s">
        <v>5830</v>
      </c>
    </row>
    <row r="1512" spans="1:46">
      <c r="A1512" s="2">
        <v>1174</v>
      </c>
      <c r="B1512" t="s">
        <v>6256</v>
      </c>
      <c r="C1512" t="s">
        <v>2948</v>
      </c>
      <c r="D1512" t="s">
        <v>3858</v>
      </c>
      <c r="E1512" s="4">
        <v>43465</v>
      </c>
      <c r="F1512" s="11">
        <v>-47.2379198</v>
      </c>
      <c r="G1512" s="11">
        <v>14.17004049</v>
      </c>
      <c r="H1512" s="11">
        <v>6.4155643614000004</v>
      </c>
      <c r="I1512" s="11">
        <v>11.2297457554</v>
      </c>
      <c r="J1512" s="11">
        <v>1.2689290518</v>
      </c>
      <c r="K1512" s="10">
        <v>0.40118847091100002</v>
      </c>
      <c r="L1512" s="12">
        <v>1613878560</v>
      </c>
      <c r="M1512">
        <v>29.1683578317189</v>
      </c>
      <c r="N1512" s="7">
        <v>1.0791308649155</v>
      </c>
      <c r="O1512" s="7">
        <v>1.2066346653972999</v>
      </c>
      <c r="P1512" s="7">
        <v>-53.867344105337999</v>
      </c>
      <c r="Q1512" s="7">
        <v>0.10600706713780918</v>
      </c>
      <c r="U1512">
        <v>2.3816689488140339E-2</v>
      </c>
      <c r="AT1512" s="4" t="s">
        <v>4749</v>
      </c>
    </row>
    <row r="1513" spans="1:46">
      <c r="A1513" s="2">
        <v>2916</v>
      </c>
      <c r="B1513" t="s">
        <v>6257</v>
      </c>
      <c r="C1513" t="s">
        <v>1297</v>
      </c>
      <c r="D1513" t="s">
        <v>3718</v>
      </c>
      <c r="E1513" s="4">
        <v>43465</v>
      </c>
      <c r="F1513" s="11">
        <v>-27.10900474</v>
      </c>
      <c r="G1513" s="11">
        <v>14.156626510000001</v>
      </c>
      <c r="H1513" s="11">
        <v>4.4227569575999999</v>
      </c>
      <c r="I1513" s="11">
        <v>27.444692915000001</v>
      </c>
      <c r="J1513" s="11">
        <v>4.9507349026999998</v>
      </c>
      <c r="K1513" s="10">
        <v>0.81566606779499995</v>
      </c>
      <c r="L1513" s="12">
        <v>9568420554.2199993</v>
      </c>
      <c r="M1513">
        <v>33.052463186712501</v>
      </c>
      <c r="N1513" s="7">
        <v>1.7573635166683499</v>
      </c>
      <c r="O1513" s="7">
        <v>1.1810214619951001</v>
      </c>
      <c r="P1513" s="7">
        <v>-21.438875315708501</v>
      </c>
      <c r="Q1513" s="7" t="s">
        <v>3698</v>
      </c>
      <c r="U1513">
        <v>0.25670929087973959</v>
      </c>
      <c r="AT1513" s="4" t="s">
        <v>4539</v>
      </c>
    </row>
    <row r="1514" spans="1:46">
      <c r="A1514" s="2">
        <v>2132</v>
      </c>
      <c r="B1514" t="s">
        <v>6258</v>
      </c>
      <c r="C1514" t="s">
        <v>1099</v>
      </c>
      <c r="D1514" t="s">
        <v>3752</v>
      </c>
      <c r="E1514" s="4">
        <v>43465</v>
      </c>
      <c r="F1514" s="11">
        <v>-28.396124749999998</v>
      </c>
      <c r="G1514" s="11">
        <v>14.15620642</v>
      </c>
      <c r="H1514" s="11">
        <v>8.0182960170000008</v>
      </c>
      <c r="I1514" s="11">
        <v>26.9937526109</v>
      </c>
      <c r="J1514" s="11">
        <v>15.226391101999999</v>
      </c>
      <c r="K1514" s="10">
        <v>0.52831825481600003</v>
      </c>
      <c r="L1514" s="12">
        <v>2207447172</v>
      </c>
      <c r="M1514">
        <v>37.678442552733898</v>
      </c>
      <c r="N1514" s="7">
        <v>2.72170140829332</v>
      </c>
      <c r="O1514" s="7">
        <v>4.6668491137739299</v>
      </c>
      <c r="P1514" s="7">
        <v>24.349722814325698</v>
      </c>
      <c r="Q1514" s="7">
        <v>0.39551746868820042</v>
      </c>
      <c r="U1514">
        <v>0.45589631259765623</v>
      </c>
      <c r="AT1514" s="4" t="s">
        <v>5016</v>
      </c>
    </row>
    <row r="1515" spans="1:46">
      <c r="A1515" s="2">
        <v>2716</v>
      </c>
      <c r="B1515" t="s">
        <v>6259</v>
      </c>
      <c r="C1515" t="s">
        <v>1258</v>
      </c>
      <c r="D1515" t="s">
        <v>3837</v>
      </c>
      <c r="E1515" s="4">
        <v>43465</v>
      </c>
      <c r="F1515" s="11">
        <v>-11.122525980000001</v>
      </c>
      <c r="G1515" s="11">
        <v>14.13427562</v>
      </c>
      <c r="H1515" s="11">
        <v>41.409890425299999</v>
      </c>
      <c r="I1515" s="11">
        <v>41.978721439600001</v>
      </c>
      <c r="J1515" s="11">
        <v>122.1212895809</v>
      </c>
      <c r="K1515" s="10">
        <v>0.12386192912299999</v>
      </c>
      <c r="L1515" s="12">
        <v>13742151378.23</v>
      </c>
      <c r="M1515">
        <v>13.204233693787399</v>
      </c>
      <c r="N1515" s="7">
        <v>1.43659375219701</v>
      </c>
      <c r="O1515" s="7">
        <v>5.1652106121347403</v>
      </c>
      <c r="P1515" s="7">
        <v>202.00354920387301</v>
      </c>
      <c r="Q1515" s="7">
        <v>1.3888888888888886</v>
      </c>
      <c r="U1515">
        <v>0.71401975709871979</v>
      </c>
      <c r="AT1515" s="4" t="s">
        <v>5683</v>
      </c>
    </row>
    <row r="1516" spans="1:46">
      <c r="A1516" s="2">
        <v>2095</v>
      </c>
      <c r="B1516" t="s">
        <v>6260</v>
      </c>
      <c r="C1516" t="s">
        <v>1331</v>
      </c>
      <c r="D1516" t="s">
        <v>3737</v>
      </c>
      <c r="E1516" s="4">
        <v>43465</v>
      </c>
      <c r="F1516" s="11">
        <v>-36.088612840000003</v>
      </c>
      <c r="G1516" s="11">
        <v>14.07205982</v>
      </c>
      <c r="H1516" s="11">
        <v>8.1156523063999995</v>
      </c>
      <c r="I1516" s="11">
        <v>24.942066439000001</v>
      </c>
      <c r="J1516" s="11">
        <v>9.4760830498999997</v>
      </c>
      <c r="K1516" s="10">
        <v>0.92707069633700001</v>
      </c>
      <c r="L1516" s="12">
        <v>1910671152.75</v>
      </c>
      <c r="M1516">
        <v>18.870828979877501</v>
      </c>
      <c r="N1516" s="7">
        <v>2.2701265587149799</v>
      </c>
      <c r="O1516" s="7">
        <v>1.5898469094746699</v>
      </c>
      <c r="P1516" s="7">
        <v>9.73331200280197</v>
      </c>
      <c r="Q1516" s="7">
        <v>0.98482078260601091</v>
      </c>
      <c r="U1516">
        <v>0.91281089334706667</v>
      </c>
      <c r="AT1516" s="4" t="s">
        <v>6126</v>
      </c>
    </row>
    <row r="1517" spans="1:46">
      <c r="A1517" s="2">
        <v>3035</v>
      </c>
      <c r="B1517" t="s">
        <v>6261</v>
      </c>
      <c r="C1517" t="s">
        <v>1341</v>
      </c>
      <c r="D1517" t="s">
        <v>3972</v>
      </c>
      <c r="E1517" s="4">
        <v>43465</v>
      </c>
      <c r="F1517" s="11">
        <v>-26.02324299</v>
      </c>
      <c r="G1517" s="11">
        <v>14.071856289999999</v>
      </c>
      <c r="H1517" s="11">
        <v>20.3305773216</v>
      </c>
      <c r="I1517" s="11">
        <v>24.5019872156</v>
      </c>
      <c r="J1517" s="11">
        <v>14.6555863955</v>
      </c>
      <c r="K1517" s="10">
        <v>0.32216598417699999</v>
      </c>
      <c r="L1517" s="12">
        <v>21083217311.52</v>
      </c>
      <c r="M1517">
        <v>17.525108914077901</v>
      </c>
      <c r="N1517" s="7">
        <v>1.1515960390334301</v>
      </c>
      <c r="O1517" s="7">
        <v>2.03696303042969</v>
      </c>
      <c r="P1517" s="7">
        <v>6.9410207019220502</v>
      </c>
      <c r="Q1517" s="7">
        <v>2.569060773480663</v>
      </c>
      <c r="U1517">
        <v>0.21895052928717854</v>
      </c>
      <c r="AT1517" s="4" t="s">
        <v>4656</v>
      </c>
    </row>
    <row r="1518" spans="1:46">
      <c r="A1518" s="2">
        <v>1719</v>
      </c>
      <c r="B1518" t="s">
        <v>6262</v>
      </c>
      <c r="C1518" t="s">
        <v>825</v>
      </c>
      <c r="D1518" t="s">
        <v>3737</v>
      </c>
      <c r="E1518" s="4">
        <v>43465</v>
      </c>
      <c r="F1518" s="11">
        <v>5.3601912399999998</v>
      </c>
      <c r="G1518" s="11">
        <v>14.042237869999999</v>
      </c>
      <c r="H1518" s="11">
        <v>67.837600726299996</v>
      </c>
      <c r="I1518" s="11">
        <v>62.180068676600001</v>
      </c>
      <c r="J1518" s="11">
        <v>19.7886296175</v>
      </c>
      <c r="K1518" s="10">
        <v>0.56076062021100004</v>
      </c>
      <c r="L1518" s="12">
        <v>2060312800</v>
      </c>
      <c r="M1518">
        <v>28.663282566511398</v>
      </c>
      <c r="N1518" s="7">
        <v>3.84614911063121</v>
      </c>
      <c r="O1518" s="7">
        <v>5.06859530524705</v>
      </c>
      <c r="P1518" s="7">
        <v>37.200421668101797</v>
      </c>
      <c r="Q1518" s="7">
        <v>0.50346618277796107</v>
      </c>
      <c r="U1518">
        <v>1.0827322601611253</v>
      </c>
      <c r="AT1518" s="4" t="s">
        <v>5852</v>
      </c>
    </row>
    <row r="1519" spans="1:46">
      <c r="A1519" s="2">
        <v>321</v>
      </c>
      <c r="B1519" t="s">
        <v>6263</v>
      </c>
      <c r="C1519" t="s">
        <v>1862</v>
      </c>
      <c r="D1519" t="s">
        <v>3769</v>
      </c>
      <c r="E1519" s="4">
        <v>43465</v>
      </c>
      <c r="F1519" s="11">
        <v>-37.037037040000001</v>
      </c>
      <c r="G1519" s="11">
        <v>14.03508772</v>
      </c>
      <c r="H1519" s="11">
        <v>24.749636666299999</v>
      </c>
      <c r="I1519" s="11">
        <v>5.6763049763</v>
      </c>
      <c r="J1519" s="11">
        <v>0.63502307840000005</v>
      </c>
      <c r="K1519" s="10">
        <v>1.8929670623099999</v>
      </c>
      <c r="L1519" s="12">
        <v>3157797743.0999999</v>
      </c>
      <c r="M1519">
        <v>55.510968678907297</v>
      </c>
      <c r="N1519" s="7">
        <v>1.6543078708250301</v>
      </c>
      <c r="O1519" s="7">
        <v>0.51264078445414996</v>
      </c>
      <c r="P1519" s="7">
        <v>395.94685013444501</v>
      </c>
      <c r="Q1519" s="7" t="s">
        <v>3698</v>
      </c>
      <c r="U1519">
        <v>3.7643857718244529E-2</v>
      </c>
      <c r="AT1519" s="4" t="s">
        <v>3755</v>
      </c>
    </row>
    <row r="1520" spans="1:46">
      <c r="A1520" s="2">
        <v>1288</v>
      </c>
      <c r="B1520" t="s">
        <v>6264</v>
      </c>
      <c r="C1520" t="s">
        <v>1172</v>
      </c>
      <c r="D1520" t="s">
        <v>3858</v>
      </c>
      <c r="E1520" s="4">
        <v>43465</v>
      </c>
      <c r="F1520" s="11">
        <v>-30.54512909</v>
      </c>
      <c r="G1520" s="11">
        <v>14.018043029999999</v>
      </c>
      <c r="H1520" s="11">
        <v>27.662608388300001</v>
      </c>
      <c r="I1520" s="11">
        <v>14.529744725400001</v>
      </c>
      <c r="J1520" s="11">
        <v>3.1926931588</v>
      </c>
      <c r="K1520" s="10">
        <v>1.0773372144960001</v>
      </c>
      <c r="L1520" s="12">
        <v>1776736721.6300001</v>
      </c>
      <c r="M1520">
        <v>20.855386305636902</v>
      </c>
      <c r="N1520" s="7">
        <v>1.69651632061302</v>
      </c>
      <c r="O1520" s="7">
        <v>0.68429578249258605</v>
      </c>
      <c r="P1520" s="7">
        <v>-7.9752030455511598</v>
      </c>
      <c r="Q1520" s="7">
        <v>0.45399515738498786</v>
      </c>
      <c r="U1520">
        <v>0.7490380523111112</v>
      </c>
      <c r="AT1520" s="4" t="s">
        <v>6265</v>
      </c>
    </row>
    <row r="1521" spans="1:46">
      <c r="A1521" s="2">
        <v>2421</v>
      </c>
      <c r="B1521" t="s">
        <v>6266</v>
      </c>
      <c r="C1521" t="s">
        <v>2689</v>
      </c>
      <c r="D1521" t="s">
        <v>3764</v>
      </c>
      <c r="E1521" s="4">
        <v>43465</v>
      </c>
      <c r="F1521" s="11">
        <v>-35.578540230000002</v>
      </c>
      <c r="G1521" s="11">
        <v>13.995943199999999</v>
      </c>
      <c r="H1521" s="11">
        <v>12.1974690259</v>
      </c>
      <c r="I1521" s="11">
        <v>17.249395638700001</v>
      </c>
      <c r="J1521" s="11">
        <v>3.6842104839999998</v>
      </c>
      <c r="K1521" s="10">
        <v>0.41053072087699999</v>
      </c>
      <c r="L1521" s="12">
        <v>3085828508</v>
      </c>
      <c r="M1521">
        <v>32.567248963997301</v>
      </c>
      <c r="N1521" s="7">
        <v>0.78399724956750905</v>
      </c>
      <c r="O1521" s="7">
        <v>1.0853408187198901</v>
      </c>
      <c r="P1521" s="7">
        <v>176.24434218073799</v>
      </c>
      <c r="Q1521" s="7">
        <v>0.92592592592592582</v>
      </c>
      <c r="U1521">
        <v>0.16090875837739627</v>
      </c>
      <c r="AT1521" s="4" t="s">
        <v>6267</v>
      </c>
    </row>
    <row r="1522" spans="1:46">
      <c r="A1522" s="2">
        <v>1986</v>
      </c>
      <c r="B1522" t="s">
        <v>6268</v>
      </c>
      <c r="C1522" t="s">
        <v>774</v>
      </c>
      <c r="D1522" t="s">
        <v>3761</v>
      </c>
      <c r="E1522" s="4">
        <v>43465</v>
      </c>
      <c r="F1522" s="11">
        <v>-10.418834650000001</v>
      </c>
      <c r="G1522" s="11">
        <v>13.99511798</v>
      </c>
      <c r="H1522" s="11">
        <v>14.115750523799999</v>
      </c>
      <c r="I1522" s="11">
        <v>24.372237866100001</v>
      </c>
      <c r="J1522" s="11">
        <v>11.923643629800001</v>
      </c>
      <c r="K1522" s="10">
        <v>0.57980258739599999</v>
      </c>
      <c r="L1522" s="12">
        <v>26576455710</v>
      </c>
      <c r="M1522">
        <v>49.006925117398197</v>
      </c>
      <c r="N1522" s="7">
        <v>4.0689027119482102</v>
      </c>
      <c r="O1522" s="7">
        <v>5.4009106547965198</v>
      </c>
      <c r="P1522" s="7">
        <v>-27.256555695274699</v>
      </c>
      <c r="Q1522" s="7">
        <v>0.43330821401657871</v>
      </c>
      <c r="U1522">
        <v>0.55173102112499994</v>
      </c>
      <c r="AT1522" s="4" t="s">
        <v>6269</v>
      </c>
    </row>
    <row r="1523" spans="1:46">
      <c r="A1523" s="2">
        <v>2613</v>
      </c>
      <c r="B1523" t="s">
        <v>6270</v>
      </c>
      <c r="C1523" t="s">
        <v>3261</v>
      </c>
      <c r="D1523" t="s">
        <v>3871</v>
      </c>
      <c r="E1523" s="4">
        <v>43465</v>
      </c>
      <c r="F1523" s="11">
        <v>-27.791668349999998</v>
      </c>
      <c r="G1523" s="11">
        <v>13.945578230000001</v>
      </c>
      <c r="H1523" s="11">
        <v>36.9390965053</v>
      </c>
      <c r="I1523" s="11">
        <v>41.492357648400002</v>
      </c>
      <c r="J1523" s="11">
        <v>9.3878575195000007</v>
      </c>
      <c r="K1523" s="10">
        <v>0.14791991227699999</v>
      </c>
      <c r="L1523" s="12">
        <v>3682084850.0999999</v>
      </c>
      <c r="M1523">
        <v>22.5671389951947</v>
      </c>
      <c r="N1523" s="7">
        <v>0.85073396331344797</v>
      </c>
      <c r="O1523" s="7">
        <v>1.93044747442799</v>
      </c>
      <c r="P1523" s="7">
        <v>-7.5365664521712397</v>
      </c>
      <c r="Q1523" s="7">
        <v>3.1948881789137378</v>
      </c>
      <c r="U1523">
        <v>0.20725559913333333</v>
      </c>
      <c r="AT1523" s="4" t="s">
        <v>6271</v>
      </c>
    </row>
    <row r="1524" spans="1:46">
      <c r="A1524" s="2">
        <v>2197</v>
      </c>
      <c r="B1524" t="s">
        <v>6272</v>
      </c>
      <c r="C1524" t="s">
        <v>2274</v>
      </c>
      <c r="D1524" t="s">
        <v>3713</v>
      </c>
      <c r="E1524" s="4">
        <v>43465</v>
      </c>
      <c r="F1524" s="11">
        <v>-5.7999512400000004</v>
      </c>
      <c r="G1524" s="11">
        <v>13.92649903</v>
      </c>
      <c r="H1524" s="11">
        <v>5.8392068276</v>
      </c>
      <c r="I1524" s="11">
        <v>26.571780733299999</v>
      </c>
      <c r="J1524" s="11">
        <v>3.1974583586000001</v>
      </c>
      <c r="K1524" s="10">
        <v>0.52157448672200002</v>
      </c>
      <c r="L1524" s="12">
        <v>5244000119.8400002</v>
      </c>
      <c r="M1524">
        <v>41.538568464257303</v>
      </c>
      <c r="N1524" s="7">
        <v>1.14463246674615</v>
      </c>
      <c r="O1524" s="7">
        <v>0.555520740943383</v>
      </c>
      <c r="P1524" s="7">
        <v>30.893344372156498</v>
      </c>
      <c r="Q1524" s="7">
        <v>0.93366851828111208</v>
      </c>
      <c r="U1524">
        <v>0.13151980449558281</v>
      </c>
      <c r="AT1524" s="4" t="s">
        <v>6273</v>
      </c>
    </row>
    <row r="1525" spans="1:46">
      <c r="A1525" s="2">
        <v>2908</v>
      </c>
      <c r="B1525" t="s">
        <v>6274</v>
      </c>
      <c r="C1525" t="s">
        <v>1149</v>
      </c>
      <c r="D1525" t="s">
        <v>3718</v>
      </c>
      <c r="E1525" s="4">
        <v>43465</v>
      </c>
      <c r="F1525" s="11">
        <v>-28.711017729999998</v>
      </c>
      <c r="G1525" s="11">
        <v>13.883161510000001</v>
      </c>
      <c r="H1525" s="11">
        <v>9.0523486127999995</v>
      </c>
      <c r="I1525" s="11">
        <v>19.098078541</v>
      </c>
      <c r="J1525" s="11">
        <v>10.058129188500001</v>
      </c>
      <c r="K1525" s="10">
        <v>0.63212628897300005</v>
      </c>
      <c r="L1525" s="12">
        <v>4218654024</v>
      </c>
      <c r="M1525">
        <v>11.6644975180301</v>
      </c>
      <c r="N1525" s="7">
        <v>1.3773319155085499</v>
      </c>
      <c r="O1525" s="7">
        <v>0.71931836616845501</v>
      </c>
      <c r="P1525" s="7">
        <v>43.582700066266298</v>
      </c>
      <c r="Q1525" s="7">
        <v>2.8985507246376816</v>
      </c>
      <c r="U1525">
        <v>1.2402871073182609</v>
      </c>
      <c r="AT1525" s="4" t="s">
        <v>4215</v>
      </c>
    </row>
    <row r="1526" spans="1:46">
      <c r="A1526" s="2">
        <v>2086</v>
      </c>
      <c r="B1526" t="s">
        <v>6275</v>
      </c>
      <c r="C1526" t="s">
        <v>2331</v>
      </c>
      <c r="D1526" t="s">
        <v>3761</v>
      </c>
      <c r="E1526" s="4">
        <v>43465</v>
      </c>
      <c r="F1526" s="11">
        <v>14.386346</v>
      </c>
      <c r="G1526" s="11">
        <v>13.877397520000001</v>
      </c>
      <c r="H1526" s="11">
        <v>21.423047601699999</v>
      </c>
      <c r="I1526" s="11">
        <v>50.146099318399997</v>
      </c>
      <c r="J1526" s="11">
        <v>22.495897659899999</v>
      </c>
      <c r="K1526" s="10">
        <v>0.43560935068899997</v>
      </c>
      <c r="L1526" s="12">
        <v>1667072000</v>
      </c>
      <c r="M1526">
        <v>67.666835038289307</v>
      </c>
      <c r="N1526" s="7">
        <v>6.77244542833688</v>
      </c>
      <c r="O1526" s="7">
        <v>14.9194339156933</v>
      </c>
      <c r="P1526" s="7">
        <v>-147.51037659285299</v>
      </c>
      <c r="Q1526" s="7">
        <v>0.22081108385048348</v>
      </c>
      <c r="U1526">
        <v>0.46406301470588235</v>
      </c>
      <c r="AT1526" s="4" t="s">
        <v>5958</v>
      </c>
    </row>
    <row r="1527" spans="1:46">
      <c r="A1527" s="2">
        <v>1122</v>
      </c>
      <c r="B1527" t="s">
        <v>6276</v>
      </c>
      <c r="C1527" t="s">
        <v>2979</v>
      </c>
      <c r="D1527" t="s">
        <v>3849</v>
      </c>
      <c r="E1527" s="4">
        <v>43465</v>
      </c>
      <c r="F1527" s="11">
        <v>-48.010852630000002</v>
      </c>
      <c r="G1527" s="11">
        <v>13.866666670000001</v>
      </c>
      <c r="H1527" s="11">
        <v>41.335498944900003</v>
      </c>
      <c r="I1527" s="11">
        <v>17.308469212599999</v>
      </c>
      <c r="J1527" s="11">
        <v>-58.432749464399997</v>
      </c>
      <c r="K1527" s="10">
        <v>0.61810219917700004</v>
      </c>
      <c r="L1527" s="12">
        <v>15570455539.200001</v>
      </c>
      <c r="M1527">
        <v>12.5452149666307</v>
      </c>
      <c r="N1527" s="7">
        <v>2.0543368649961899</v>
      </c>
      <c r="O1527" s="7">
        <v>1.1581799102743</v>
      </c>
      <c r="P1527" s="7">
        <v>302.34622779817602</v>
      </c>
      <c r="Q1527" s="7" t="s">
        <v>3698</v>
      </c>
      <c r="U1527">
        <v>-2.1080691495079598</v>
      </c>
      <c r="AT1527" s="4" t="s">
        <v>6277</v>
      </c>
    </row>
    <row r="1528" spans="1:46">
      <c r="A1528" s="2">
        <v>2559</v>
      </c>
      <c r="B1528" t="s">
        <v>6278</v>
      </c>
      <c r="C1528" t="s">
        <v>3382</v>
      </c>
      <c r="D1528" t="s">
        <v>3752</v>
      </c>
      <c r="E1528" s="4">
        <v>43465</v>
      </c>
      <c r="F1528" s="11">
        <v>-23.562121659999999</v>
      </c>
      <c r="G1528" s="11">
        <v>13.866666670000001</v>
      </c>
      <c r="H1528" s="11">
        <v>-12.5957646183</v>
      </c>
      <c r="I1528" s="11">
        <v>13.5551589556</v>
      </c>
      <c r="J1528" s="11">
        <v>-12.625894108800001</v>
      </c>
      <c r="K1528" s="10">
        <v>0.73892845797399997</v>
      </c>
      <c r="L1528" s="12">
        <v>3289780642.2600002</v>
      </c>
      <c r="M1528">
        <v>27.866211339554699</v>
      </c>
      <c r="N1528" s="7">
        <v>1.36200494767223</v>
      </c>
      <c r="O1528" s="7">
        <v>0.44330614001964203</v>
      </c>
      <c r="P1528" s="7">
        <v>17.4861055887737</v>
      </c>
      <c r="Q1528" s="7" t="s">
        <v>3698</v>
      </c>
      <c r="U1528">
        <v>-1.1579289852377301</v>
      </c>
      <c r="AT1528" s="4" t="s">
        <v>6279</v>
      </c>
    </row>
    <row r="1529" spans="1:46">
      <c r="A1529" s="2">
        <v>2328</v>
      </c>
      <c r="B1529" t="s">
        <v>6280</v>
      </c>
      <c r="C1529" t="s">
        <v>2503</v>
      </c>
      <c r="D1529" t="s">
        <v>3972</v>
      </c>
      <c r="E1529" s="4">
        <v>43465</v>
      </c>
      <c r="F1529" s="11">
        <v>-25.340046560000001</v>
      </c>
      <c r="G1529" s="11">
        <v>13.857677900000001</v>
      </c>
      <c r="H1529" s="11">
        <v>30.677602564600001</v>
      </c>
      <c r="I1529" s="11">
        <v>12.035546141499999</v>
      </c>
      <c r="J1529" s="11">
        <v>4.1622848375999997</v>
      </c>
      <c r="K1529" s="10">
        <v>0.36920631997600001</v>
      </c>
      <c r="L1529" s="12">
        <v>50056821674.199997</v>
      </c>
      <c r="M1529">
        <v>38.591918604838803</v>
      </c>
      <c r="N1529" s="7">
        <v>0.85860467432185195</v>
      </c>
      <c r="O1529" s="7">
        <v>0.92871784108411803</v>
      </c>
      <c r="P1529" s="7">
        <v>380.04692804622101</v>
      </c>
      <c r="Q1529" s="7">
        <v>0.67567567567567566</v>
      </c>
      <c r="U1529">
        <v>0.12080253515035148</v>
      </c>
      <c r="AT1529" s="4" t="s">
        <v>6281</v>
      </c>
    </row>
    <row r="1530" spans="1:46">
      <c r="A1530" s="2">
        <v>137</v>
      </c>
      <c r="B1530" t="s">
        <v>6282</v>
      </c>
      <c r="C1530" t="s">
        <v>816</v>
      </c>
      <c r="D1530" t="s">
        <v>3718</v>
      </c>
      <c r="E1530" s="4">
        <v>43465</v>
      </c>
      <c r="F1530" s="11">
        <v>9.7027771499999993</v>
      </c>
      <c r="G1530" s="11">
        <v>13.838550250000001</v>
      </c>
      <c r="H1530" s="11">
        <v>51.4829345558</v>
      </c>
      <c r="I1530" s="11">
        <v>22.8120591916</v>
      </c>
      <c r="J1530" s="11">
        <v>4.6501185980999997</v>
      </c>
      <c r="K1530" s="10">
        <v>0.75558083700599998</v>
      </c>
      <c r="L1530" s="12">
        <v>13532735471.49</v>
      </c>
      <c r="M1530">
        <v>13.745612965148799</v>
      </c>
      <c r="N1530" s="7">
        <v>0.92617155064714896</v>
      </c>
      <c r="O1530" s="7">
        <v>0.55408655184598099</v>
      </c>
      <c r="P1530" s="7">
        <v>-7.1478932715748398</v>
      </c>
      <c r="Q1530" s="7">
        <v>2.3589823825791458</v>
      </c>
      <c r="U1530">
        <v>0.54015195681889938</v>
      </c>
      <c r="AT1530" s="4" t="s">
        <v>4709</v>
      </c>
    </row>
    <row r="1531" spans="1:46">
      <c r="A1531" s="2">
        <v>2368</v>
      </c>
      <c r="B1531" t="s">
        <v>6283</v>
      </c>
      <c r="C1531" t="s">
        <v>1465</v>
      </c>
      <c r="D1531" t="s">
        <v>3871</v>
      </c>
      <c r="E1531" s="4">
        <v>43465</v>
      </c>
      <c r="F1531" s="11">
        <v>-34.804630969999998</v>
      </c>
      <c r="G1531" s="11">
        <v>13.814955640000001</v>
      </c>
      <c r="H1531" s="11">
        <v>910.82939095170002</v>
      </c>
      <c r="I1531" s="11">
        <v>34.767601714999998</v>
      </c>
      <c r="J1531" s="11">
        <v>-7.1001903980999996</v>
      </c>
      <c r="K1531" s="10">
        <v>0.298176672393</v>
      </c>
      <c r="L1531" s="12">
        <v>4553877771.1700001</v>
      </c>
      <c r="M1531">
        <v>-106.87026753232399</v>
      </c>
      <c r="N1531" s="7">
        <v>29.546846347984101</v>
      </c>
      <c r="O1531" s="7">
        <v>13.424552791934699</v>
      </c>
      <c r="P1531" s="7">
        <v>165.46724721830901</v>
      </c>
      <c r="Q1531" s="7" t="s">
        <v>3698</v>
      </c>
      <c r="U1531">
        <v>-8.3769319434902803E-2</v>
      </c>
      <c r="AT1531" s="4" t="s">
        <v>6284</v>
      </c>
    </row>
    <row r="1532" spans="1:46">
      <c r="A1532" s="2">
        <v>2606</v>
      </c>
      <c r="B1532" t="s">
        <v>6285</v>
      </c>
      <c r="C1532" t="s">
        <v>2863</v>
      </c>
      <c r="D1532" t="s">
        <v>3718</v>
      </c>
      <c r="E1532" s="4">
        <v>43465</v>
      </c>
      <c r="F1532" s="11">
        <v>-49.198396789999997</v>
      </c>
      <c r="G1532" s="11">
        <v>13.80090498</v>
      </c>
      <c r="H1532" s="11">
        <v>-7.4680883046000002</v>
      </c>
      <c r="I1532" s="11">
        <v>7.3171836484000004</v>
      </c>
      <c r="J1532" s="11">
        <v>-12.1291470666</v>
      </c>
      <c r="K1532" s="10">
        <v>0.42876209571000001</v>
      </c>
      <c r="L1532" s="12">
        <v>3658500000</v>
      </c>
      <c r="M1532">
        <v>-11.0241407498551</v>
      </c>
      <c r="N1532" s="7">
        <v>1.29344989888179</v>
      </c>
      <c r="O1532" s="7">
        <v>0.59289850599069105</v>
      </c>
      <c r="P1532" s="7">
        <v>64.364215661851901</v>
      </c>
      <c r="Q1532" s="7" t="s">
        <v>3698</v>
      </c>
      <c r="U1532">
        <v>-0.77031326522912835</v>
      </c>
      <c r="AT1532" s="4" t="s">
        <v>6286</v>
      </c>
    </row>
    <row r="1533" spans="1:46">
      <c r="A1533" s="2">
        <v>3227</v>
      </c>
      <c r="B1533" t="s">
        <v>6287</v>
      </c>
      <c r="C1533" t="s">
        <v>1310</v>
      </c>
      <c r="D1533" t="s">
        <v>3858</v>
      </c>
      <c r="E1533" s="4">
        <v>43465</v>
      </c>
      <c r="F1533" s="11">
        <v>-28.928312380000001</v>
      </c>
      <c r="G1533" s="11">
        <v>13.725490199999999</v>
      </c>
      <c r="H1533" s="11">
        <v>40.983763677399999</v>
      </c>
      <c r="I1533" s="11">
        <v>14.492646325999999</v>
      </c>
      <c r="J1533" s="11">
        <v>4.4046458796000003</v>
      </c>
      <c r="K1533" s="10">
        <v>0.97143627691400003</v>
      </c>
      <c r="L1533" s="12">
        <v>4427231766.3000002</v>
      </c>
      <c r="M1533">
        <v>11.803021915807101</v>
      </c>
      <c r="N1533" s="7">
        <v>1.8309781706625201</v>
      </c>
      <c r="O1533" s="7">
        <v>0.44521308395400899</v>
      </c>
      <c r="P1533" s="7">
        <v>-7.0188522511772202</v>
      </c>
      <c r="Q1533" s="7">
        <v>0.27936308403463728</v>
      </c>
      <c r="U1533">
        <v>0.48380341459844828</v>
      </c>
      <c r="AT1533" s="4" t="s">
        <v>5235</v>
      </c>
    </row>
    <row r="1534" spans="1:46">
      <c r="A1534" s="2">
        <v>627</v>
      </c>
      <c r="B1534" t="s">
        <v>6288</v>
      </c>
      <c r="C1534" t="s">
        <v>748</v>
      </c>
      <c r="D1534" t="s">
        <v>3858</v>
      </c>
      <c r="E1534" s="4">
        <v>43465</v>
      </c>
      <c r="F1534" s="11">
        <v>-25.0102151</v>
      </c>
      <c r="G1534" s="11">
        <v>13.72262774</v>
      </c>
      <c r="H1534" s="11">
        <v>24.433762642800001</v>
      </c>
      <c r="I1534" s="11">
        <v>11.4979435885</v>
      </c>
      <c r="J1534" s="11">
        <v>4.0609489664999998</v>
      </c>
      <c r="K1534" s="10">
        <v>1.2691831705029999</v>
      </c>
      <c r="L1534" s="12">
        <v>2240000000</v>
      </c>
      <c r="M1534">
        <v>20.3280398479125</v>
      </c>
      <c r="N1534" s="7">
        <v>1.99675249785917</v>
      </c>
      <c r="O1534" s="7">
        <v>0.61384905604359297</v>
      </c>
      <c r="P1534" s="7">
        <v>370.12730106847403</v>
      </c>
      <c r="Q1534" s="7">
        <v>3.4059945504087188</v>
      </c>
      <c r="U1534">
        <v>0.50810368535812522</v>
      </c>
      <c r="AT1534" s="4" t="s">
        <v>6289</v>
      </c>
    </row>
    <row r="1535" spans="1:46">
      <c r="A1535" s="2">
        <v>3614</v>
      </c>
      <c r="B1535" t="s">
        <v>6290</v>
      </c>
      <c r="C1535" t="s">
        <v>2942</v>
      </c>
      <c r="D1535" t="s">
        <v>3858</v>
      </c>
      <c r="E1535" s="4">
        <v>43465</v>
      </c>
      <c r="F1535" s="11">
        <v>-51.690564989999999</v>
      </c>
      <c r="G1535" s="11">
        <v>13.66906475</v>
      </c>
      <c r="H1535" s="11">
        <v>18.249516228699999</v>
      </c>
      <c r="I1535" s="11">
        <v>27.6020970822</v>
      </c>
      <c r="J1535" s="11">
        <v>11.2659644895</v>
      </c>
      <c r="K1535" s="10">
        <v>0.31571262671799999</v>
      </c>
      <c r="L1535" s="12">
        <v>3517500000</v>
      </c>
      <c r="M1535">
        <v>20.804223099360801</v>
      </c>
      <c r="N1535" s="7">
        <v>1.39725317514429</v>
      </c>
      <c r="O1535" s="7">
        <v>2.0540426700828398</v>
      </c>
      <c r="P1535" s="7">
        <v>52.259296758661499</v>
      </c>
      <c r="Q1535" s="7" t="s">
        <v>3698</v>
      </c>
      <c r="U1535">
        <v>0.79683632077807243</v>
      </c>
      <c r="AT1535" s="4" t="s">
        <v>6291</v>
      </c>
    </row>
    <row r="1536" spans="1:46">
      <c r="A1536" s="2">
        <v>2959</v>
      </c>
      <c r="B1536" t="s">
        <v>6292</v>
      </c>
      <c r="C1536" t="s">
        <v>730</v>
      </c>
      <c r="D1536" t="s">
        <v>3764</v>
      </c>
      <c r="E1536" s="4">
        <v>43465</v>
      </c>
      <c r="F1536" s="11">
        <v>31.256830900000001</v>
      </c>
      <c r="G1536" s="11">
        <v>13.664596270000001</v>
      </c>
      <c r="H1536" s="11">
        <v>29.606197127200002</v>
      </c>
      <c r="I1536" s="11">
        <v>40.406170937100001</v>
      </c>
      <c r="J1536" s="11">
        <v>20.4256811602</v>
      </c>
      <c r="K1536" s="10">
        <v>0.19119688372800001</v>
      </c>
      <c r="L1536" s="12">
        <v>182788526496.42999</v>
      </c>
      <c r="M1536">
        <v>14.208349632667501</v>
      </c>
      <c r="N1536" s="7">
        <v>1.6412961067438701</v>
      </c>
      <c r="O1536" s="7">
        <v>1.4479483141235101</v>
      </c>
      <c r="P1536" s="7">
        <v>20.518919799059201</v>
      </c>
      <c r="Q1536" s="7">
        <v>2.6881720430107525</v>
      </c>
      <c r="U1536">
        <v>0.64310100371660273</v>
      </c>
      <c r="AT1536" s="4" t="s">
        <v>6293</v>
      </c>
    </row>
    <row r="1537" spans="1:46">
      <c r="A1537" s="2">
        <v>57</v>
      </c>
      <c r="B1537" t="s">
        <v>6294</v>
      </c>
      <c r="C1537" t="s">
        <v>1447</v>
      </c>
      <c r="D1537" t="s">
        <v>3858</v>
      </c>
      <c r="E1537" s="4">
        <v>43465</v>
      </c>
      <c r="F1537" s="11">
        <v>-27.460391810000001</v>
      </c>
      <c r="G1537" s="11">
        <v>13.64147885</v>
      </c>
      <c r="H1537" s="11">
        <v>2.5835288976999999</v>
      </c>
      <c r="I1537" s="11">
        <v>14.8075470445</v>
      </c>
      <c r="J1537" s="11">
        <v>6.1895525261</v>
      </c>
      <c r="K1537" s="10">
        <v>0.87126060687100004</v>
      </c>
      <c r="L1537" s="12">
        <v>16946790333.559999</v>
      </c>
      <c r="M1537">
        <v>10.3539641990072</v>
      </c>
      <c r="N1537" s="7">
        <v>1.4165035258062599</v>
      </c>
      <c r="O1537" s="7">
        <v>0.62038688657887298</v>
      </c>
      <c r="P1537" s="7">
        <v>-5.4370583791337204</v>
      </c>
      <c r="Q1537" s="7">
        <v>1.0050251256281406</v>
      </c>
      <c r="U1537">
        <v>0.76565553741850889</v>
      </c>
      <c r="AT1537" s="4" t="s">
        <v>5876</v>
      </c>
    </row>
    <row r="1538" spans="1:46">
      <c r="A1538" s="2">
        <v>2316</v>
      </c>
      <c r="B1538" t="s">
        <v>6295</v>
      </c>
      <c r="C1538" t="s">
        <v>2945</v>
      </c>
      <c r="D1538" t="s">
        <v>3849</v>
      </c>
      <c r="E1538" s="4">
        <v>43465</v>
      </c>
      <c r="F1538" s="11">
        <v>-28.130511420000001</v>
      </c>
      <c r="G1538" s="11">
        <v>13.57142857</v>
      </c>
      <c r="H1538" s="11">
        <v>-28.6221409294</v>
      </c>
      <c r="I1538" s="11">
        <v>11.349779774</v>
      </c>
      <c r="J1538" s="11">
        <v>0.43075325549999999</v>
      </c>
      <c r="K1538" s="10">
        <v>0.35565692814200001</v>
      </c>
      <c r="L1538" s="12">
        <v>3657906163.8400002</v>
      </c>
      <c r="M1538">
        <v>-73.128541466396399</v>
      </c>
      <c r="N1538" s="7">
        <v>1.03704573545276</v>
      </c>
      <c r="O1538" s="7">
        <v>1.3190920372694701</v>
      </c>
      <c r="P1538" s="7">
        <v>-26.106388117295801</v>
      </c>
      <c r="Q1538" s="7" t="s">
        <v>3698</v>
      </c>
      <c r="U1538">
        <v>1.2053503700657895E-2</v>
      </c>
      <c r="AT1538" s="4" t="s">
        <v>6296</v>
      </c>
    </row>
    <row r="1539" spans="1:46">
      <c r="A1539" s="2">
        <v>2224</v>
      </c>
      <c r="B1539" t="s">
        <v>6297</v>
      </c>
      <c r="C1539" t="s">
        <v>2699</v>
      </c>
      <c r="D1539" t="s">
        <v>3871</v>
      </c>
      <c r="E1539" s="4">
        <v>43465</v>
      </c>
      <c r="F1539" s="11">
        <v>-14.875444549999999</v>
      </c>
      <c r="G1539" s="11">
        <v>13.56589147</v>
      </c>
      <c r="H1539" s="11">
        <v>67.032321066400002</v>
      </c>
      <c r="I1539" s="11">
        <v>42.7379286173</v>
      </c>
      <c r="J1539" s="11">
        <v>8.7055834654000002</v>
      </c>
      <c r="K1539" s="10">
        <v>0.22019333554699999</v>
      </c>
      <c r="L1539" s="12">
        <v>7814250158</v>
      </c>
      <c r="M1539">
        <v>13.747666920734</v>
      </c>
      <c r="N1539" s="7">
        <v>0.83919488885285598</v>
      </c>
      <c r="O1539" s="7">
        <v>1.03427998511551</v>
      </c>
      <c r="P1539" s="7">
        <v>-6.1524393190806999</v>
      </c>
      <c r="Q1539" s="7">
        <v>1.2204724409448819</v>
      </c>
      <c r="U1539">
        <v>0.30689922132526282</v>
      </c>
      <c r="AT1539" s="4" t="s">
        <v>6298</v>
      </c>
    </row>
    <row r="1540" spans="1:46">
      <c r="A1540" s="2">
        <v>889</v>
      </c>
      <c r="B1540" t="s">
        <v>6299</v>
      </c>
      <c r="C1540" t="s">
        <v>2819</v>
      </c>
      <c r="D1540" t="s">
        <v>3769</v>
      </c>
      <c r="E1540" s="4">
        <v>43465</v>
      </c>
      <c r="F1540" s="11">
        <v>-47.840897179999999</v>
      </c>
      <c r="G1540" s="11">
        <v>13.559322030000001</v>
      </c>
      <c r="H1540" s="11">
        <v>2.1113210969999998</v>
      </c>
      <c r="I1540" s="11">
        <v>18.257853297899999</v>
      </c>
      <c r="J1540" s="11">
        <v>2.5682815510000001</v>
      </c>
      <c r="K1540" s="10">
        <v>0.491749863008</v>
      </c>
      <c r="L1540" s="12">
        <v>2232448000</v>
      </c>
      <c r="M1540">
        <v>193.26527253560599</v>
      </c>
      <c r="N1540" s="7">
        <v>2.2116696128822002</v>
      </c>
      <c r="O1540" s="7">
        <v>2.4211420379425999</v>
      </c>
      <c r="P1540" s="7">
        <v>376.89314735300098</v>
      </c>
      <c r="Q1540" s="7">
        <v>0.40983606557377045</v>
      </c>
      <c r="U1540">
        <v>5.0080593880609314E-2</v>
      </c>
      <c r="AT1540" s="4" t="s">
        <v>5220</v>
      </c>
    </row>
    <row r="1541" spans="1:46">
      <c r="A1541" s="2">
        <v>1336</v>
      </c>
      <c r="B1541" t="s">
        <v>6300</v>
      </c>
      <c r="C1541" t="s">
        <v>144</v>
      </c>
      <c r="D1541" t="s">
        <v>3718</v>
      </c>
      <c r="E1541" s="4">
        <v>43465</v>
      </c>
      <c r="F1541" s="11">
        <v>-34.588394839999999</v>
      </c>
      <c r="G1541" s="11">
        <v>13.52941176</v>
      </c>
      <c r="H1541" s="11">
        <v>45.587505503999999</v>
      </c>
      <c r="I1541" s="11">
        <v>37.556092328799998</v>
      </c>
      <c r="J1541" s="11">
        <v>22.860304764799999</v>
      </c>
      <c r="K1541" s="10">
        <v>0.91031143419500005</v>
      </c>
      <c r="L1541" s="12">
        <v>6127011990</v>
      </c>
      <c r="M1541">
        <v>18.338227271120299</v>
      </c>
      <c r="N1541" s="7">
        <v>4.2831956998731604</v>
      </c>
      <c r="O1541" s="7">
        <v>4.0931312392202202</v>
      </c>
      <c r="P1541" s="7">
        <v>-43.963880345931699</v>
      </c>
      <c r="Q1541" s="7">
        <v>0.91998360258875778</v>
      </c>
      <c r="U1541">
        <v>1.9986428043756741</v>
      </c>
      <c r="AT1541" s="4" t="s">
        <v>4328</v>
      </c>
    </row>
    <row r="1542" spans="1:46">
      <c r="A1542" s="2">
        <v>3182</v>
      </c>
      <c r="B1542" t="s">
        <v>6301</v>
      </c>
      <c r="C1542" t="s">
        <v>413</v>
      </c>
      <c r="D1542" t="s">
        <v>3837</v>
      </c>
      <c r="E1542" s="4">
        <v>43465</v>
      </c>
      <c r="F1542" s="11">
        <v>2.6338176799999999</v>
      </c>
      <c r="G1542" s="11">
        <v>13.50078493</v>
      </c>
      <c r="H1542" s="11">
        <v>5.9891355228999998</v>
      </c>
      <c r="I1542" s="11" t="s">
        <v>3698</v>
      </c>
      <c r="J1542" s="11">
        <v>38.796401832800001</v>
      </c>
      <c r="K1542" s="10" t="s">
        <v>3698</v>
      </c>
      <c r="L1542" s="12">
        <v>10242894349.440001</v>
      </c>
      <c r="M1542">
        <v>6.25147664419696</v>
      </c>
      <c r="N1542" s="7">
        <v>0.84082293367838701</v>
      </c>
      <c r="O1542" s="7">
        <v>2.45119364670165</v>
      </c>
      <c r="P1542" s="7">
        <v>4.4587071201399304</v>
      </c>
      <c r="Q1542" s="7">
        <v>4.3098591549295771</v>
      </c>
      <c r="U1542">
        <v>1.0185752744167407</v>
      </c>
      <c r="AT1542" s="4" t="s">
        <v>5676</v>
      </c>
    </row>
    <row r="1543" spans="1:46">
      <c r="A1543" s="2">
        <v>3486</v>
      </c>
      <c r="B1543" t="s">
        <v>6302</v>
      </c>
      <c r="C1543" t="s">
        <v>1309</v>
      </c>
      <c r="D1543" t="s">
        <v>3781</v>
      </c>
      <c r="E1543" s="4">
        <v>43465</v>
      </c>
      <c r="F1543" s="11">
        <v>-28.746334489999999</v>
      </c>
      <c r="G1543" s="11">
        <v>13.49862259</v>
      </c>
      <c r="H1543" s="11">
        <v>32.545515023599997</v>
      </c>
      <c r="I1543" s="11">
        <v>17.438752852299999</v>
      </c>
      <c r="J1543" s="11">
        <v>4.8887528392000004</v>
      </c>
      <c r="K1543" s="10">
        <v>0.79426731794299998</v>
      </c>
      <c r="L1543" s="12">
        <v>1824037378.8</v>
      </c>
      <c r="M1543">
        <v>26.688059744592099</v>
      </c>
      <c r="N1543" s="7">
        <v>2.5086697870760699</v>
      </c>
      <c r="O1543" s="7">
        <v>1.58951564795148</v>
      </c>
      <c r="P1543" s="7">
        <v>15.436116586017301</v>
      </c>
      <c r="Q1543" s="7">
        <v>0.56883247001437276</v>
      </c>
      <c r="U1543">
        <v>0.24534432129555456</v>
      </c>
      <c r="AT1543" s="4" t="s">
        <v>5903</v>
      </c>
    </row>
    <row r="1544" spans="1:46">
      <c r="A1544" s="2">
        <v>2585</v>
      </c>
      <c r="B1544" t="s">
        <v>6303</v>
      </c>
      <c r="C1544" t="s">
        <v>1893</v>
      </c>
      <c r="D1544" t="s">
        <v>3858</v>
      </c>
      <c r="E1544" s="4">
        <v>43465</v>
      </c>
      <c r="F1544" s="11">
        <v>-26.13643034</v>
      </c>
      <c r="G1544" s="11">
        <v>13.48314607</v>
      </c>
      <c r="H1544" s="11">
        <v>9.5069795448000001</v>
      </c>
      <c r="I1544" s="11">
        <v>10.7190601049</v>
      </c>
      <c r="J1544" s="11">
        <v>2.1114520319999999</v>
      </c>
      <c r="K1544" s="10">
        <v>0.55846134036700001</v>
      </c>
      <c r="L1544" s="12">
        <v>2775341687.04</v>
      </c>
      <c r="M1544">
        <v>8.7168656746001503</v>
      </c>
      <c r="N1544" s="7">
        <v>0.88731522584492895</v>
      </c>
      <c r="O1544" s="7">
        <v>0.16499553814277901</v>
      </c>
      <c r="P1544" s="7">
        <v>5.9358236369510502</v>
      </c>
      <c r="Q1544" s="7">
        <v>3.8759689922480614</v>
      </c>
      <c r="U1544">
        <v>0.46476593089176299</v>
      </c>
      <c r="AT1544" s="4" t="s">
        <v>6304</v>
      </c>
    </row>
    <row r="1545" spans="1:46">
      <c r="A1545" s="2">
        <v>757</v>
      </c>
      <c r="B1545" t="s">
        <v>6305</v>
      </c>
      <c r="C1545" t="s">
        <v>3218</v>
      </c>
      <c r="D1545" t="s">
        <v>3752</v>
      </c>
      <c r="E1545" s="4">
        <v>43465</v>
      </c>
      <c r="F1545" s="11">
        <v>-38.772955469999999</v>
      </c>
      <c r="G1545" s="11">
        <v>13.464447809999999</v>
      </c>
      <c r="H1545" s="11">
        <v>8.2449603182000004</v>
      </c>
      <c r="I1545" s="11">
        <v>24.0869422345</v>
      </c>
      <c r="J1545" s="11">
        <v>5.2613604741</v>
      </c>
      <c r="K1545" s="10">
        <v>0.66564713370299999</v>
      </c>
      <c r="L1545" s="12">
        <v>3105493816.4099998</v>
      </c>
      <c r="M1545">
        <v>61.932685623311599</v>
      </c>
      <c r="N1545" s="7">
        <v>1.50712034301918</v>
      </c>
      <c r="O1545" s="7">
        <v>1.58376288339988</v>
      </c>
      <c r="P1545" s="7">
        <v>-24.890668128707201</v>
      </c>
      <c r="Q1545" s="7">
        <v>0.77030812324929998</v>
      </c>
      <c r="U1545">
        <v>0.22526755222365744</v>
      </c>
      <c r="AT1545" s="4" t="s">
        <v>6306</v>
      </c>
    </row>
    <row r="1546" spans="1:46">
      <c r="A1546" s="2">
        <v>3294</v>
      </c>
      <c r="B1546" t="s">
        <v>6307</v>
      </c>
      <c r="C1546" t="s">
        <v>242</v>
      </c>
      <c r="D1546" t="s">
        <v>4060</v>
      </c>
      <c r="E1546" s="4">
        <v>43465</v>
      </c>
      <c r="F1546" s="11">
        <v>-56.898744129999997</v>
      </c>
      <c r="G1546" s="11">
        <v>13.42192691</v>
      </c>
      <c r="H1546" s="11">
        <v>2.6811629086000002</v>
      </c>
      <c r="I1546" s="11">
        <v>13.432927768700001</v>
      </c>
      <c r="J1546" s="11">
        <v>9.9557959260000004</v>
      </c>
      <c r="K1546" s="10">
        <v>1.4933135333159999</v>
      </c>
      <c r="L1546" s="12">
        <v>3261682005.7800002</v>
      </c>
      <c r="M1546">
        <v>10.626943672393001</v>
      </c>
      <c r="N1546" s="7">
        <v>2.1632965690821999</v>
      </c>
      <c r="O1546" s="7">
        <v>1.2686642494411999</v>
      </c>
      <c r="P1546" s="7">
        <v>17.812399188997301</v>
      </c>
      <c r="Q1546" s="7">
        <v>2.9048207663782448</v>
      </c>
      <c r="U1546">
        <v>1.1726545303689837</v>
      </c>
      <c r="AT1546" s="4" t="s">
        <v>5903</v>
      </c>
    </row>
    <row r="1547" spans="1:46">
      <c r="A1547" s="2">
        <v>916</v>
      </c>
      <c r="B1547" t="s">
        <v>6308</v>
      </c>
      <c r="C1547" t="s">
        <v>2139</v>
      </c>
      <c r="D1547" t="s">
        <v>3713</v>
      </c>
      <c r="E1547" s="4">
        <v>43465</v>
      </c>
      <c r="F1547" s="11">
        <v>-8.2286618800000007</v>
      </c>
      <c r="G1547" s="11">
        <v>13.39475549</v>
      </c>
      <c r="H1547" s="11">
        <v>-1.0586037693000001</v>
      </c>
      <c r="I1547" s="11">
        <v>70.6520681688</v>
      </c>
      <c r="J1547" s="11">
        <v>17.688778060099999</v>
      </c>
      <c r="K1547" s="10">
        <v>0.22443006188</v>
      </c>
      <c r="L1547" s="12">
        <v>1810731000</v>
      </c>
      <c r="M1547">
        <v>76.117072782732805</v>
      </c>
      <c r="N1547" s="7">
        <v>3.7183735715400199</v>
      </c>
      <c r="O1547" s="7">
        <v>7.8464151282067496</v>
      </c>
      <c r="P1547" s="7">
        <v>2000.1509821746899</v>
      </c>
      <c r="Q1547" s="7">
        <v>5.7863194874974169E-2</v>
      </c>
      <c r="U1547">
        <v>0.36585057510652041</v>
      </c>
      <c r="AT1547" s="4" t="s">
        <v>5945</v>
      </c>
    </row>
    <row r="1548" spans="1:46">
      <c r="A1548" s="2">
        <v>2031</v>
      </c>
      <c r="B1548" t="s">
        <v>6309</v>
      </c>
      <c r="C1548" t="s">
        <v>1988</v>
      </c>
      <c r="D1548" t="s">
        <v>3849</v>
      </c>
      <c r="E1548" s="4">
        <v>43465</v>
      </c>
      <c r="F1548" s="11">
        <v>-33.35412737</v>
      </c>
      <c r="G1548" s="11">
        <v>13.38028169</v>
      </c>
      <c r="H1548" s="11">
        <v>35.763380858799998</v>
      </c>
      <c r="I1548" s="11">
        <v>26.1575730261</v>
      </c>
      <c r="J1548" s="11">
        <v>3.3753863352</v>
      </c>
      <c r="K1548" s="10">
        <v>0.58198955583900003</v>
      </c>
      <c r="L1548" s="12">
        <v>62295694325.459999</v>
      </c>
      <c r="M1548">
        <v>47.563841225335899</v>
      </c>
      <c r="N1548" s="7">
        <v>2.5435634658974302</v>
      </c>
      <c r="O1548" s="7">
        <v>2.9564710647162</v>
      </c>
      <c r="P1548" s="7">
        <v>219.03704510855701</v>
      </c>
      <c r="Q1548" s="7">
        <v>0.57772632794457268</v>
      </c>
      <c r="U1548">
        <v>0.11132103187165392</v>
      </c>
      <c r="AT1548" s="4" t="s">
        <v>4212</v>
      </c>
    </row>
    <row r="1549" spans="1:46">
      <c r="A1549" s="2">
        <v>952</v>
      </c>
      <c r="B1549" t="s">
        <v>6310</v>
      </c>
      <c r="C1549" t="s">
        <v>1579</v>
      </c>
      <c r="D1549" t="s">
        <v>3761</v>
      </c>
      <c r="E1549" s="4">
        <v>43465</v>
      </c>
      <c r="F1549" s="11">
        <v>-21.829138690000001</v>
      </c>
      <c r="G1549" s="11">
        <v>13.363363359999999</v>
      </c>
      <c r="H1549" s="11">
        <v>12.5475554838</v>
      </c>
      <c r="I1549" s="11">
        <v>11.068301337299999</v>
      </c>
      <c r="J1549" s="11">
        <v>2.2817104119999998</v>
      </c>
      <c r="K1549" s="10">
        <v>1.624809363</v>
      </c>
      <c r="L1549" s="12">
        <v>6656221796.5</v>
      </c>
      <c r="M1549">
        <v>18.972251461901401</v>
      </c>
      <c r="N1549" s="7">
        <v>1.02664013472563</v>
      </c>
      <c r="O1549" s="7">
        <v>0.43313285948162999</v>
      </c>
      <c r="P1549" s="7">
        <v>-40.1204209977857</v>
      </c>
      <c r="Q1549" s="7">
        <v>3.0973451327433632</v>
      </c>
      <c r="U1549">
        <v>0.37778304919032435</v>
      </c>
      <c r="AT1549" s="4" t="s">
        <v>5590</v>
      </c>
    </row>
    <row r="1550" spans="1:46">
      <c r="A1550" s="2">
        <v>415</v>
      </c>
      <c r="B1550" t="s">
        <v>6311</v>
      </c>
      <c r="C1550" t="s">
        <v>923</v>
      </c>
      <c r="D1550" t="s">
        <v>3764</v>
      </c>
      <c r="E1550" s="4">
        <v>43465</v>
      </c>
      <c r="F1550" s="11">
        <v>-5.4340543600000002</v>
      </c>
      <c r="G1550" s="11">
        <v>13.351498640000001</v>
      </c>
      <c r="H1550" s="11">
        <v>6.2343420528999998</v>
      </c>
      <c r="I1550" s="11">
        <v>20.215650870000001</v>
      </c>
      <c r="J1550" s="11">
        <v>15.509935948300001</v>
      </c>
      <c r="K1550" s="10">
        <v>0.26030241669800003</v>
      </c>
      <c r="L1550" s="12">
        <v>2217984000</v>
      </c>
      <c r="M1550">
        <v>14.279776133900199</v>
      </c>
      <c r="N1550" s="7">
        <v>0.91435556694373799</v>
      </c>
      <c r="O1550" s="7">
        <v>2.01461857759899</v>
      </c>
      <c r="P1550" s="7">
        <v>138.87359109379599</v>
      </c>
      <c r="Q1550" s="7">
        <v>2.6634382566585959</v>
      </c>
      <c r="U1550">
        <v>0.27829072801042409</v>
      </c>
      <c r="AT1550" s="4" t="s">
        <v>6312</v>
      </c>
    </row>
    <row r="1551" spans="1:46">
      <c r="A1551" s="2">
        <v>2938</v>
      </c>
      <c r="B1551" t="s">
        <v>6313</v>
      </c>
      <c r="C1551" t="s">
        <v>1526</v>
      </c>
      <c r="D1551" t="s">
        <v>3811</v>
      </c>
      <c r="E1551" s="4">
        <v>43465</v>
      </c>
      <c r="F1551" s="11">
        <v>-15.74635114</v>
      </c>
      <c r="G1551" s="11">
        <v>13.33333333</v>
      </c>
      <c r="H1551" s="11">
        <v>-15.087519369200001</v>
      </c>
      <c r="I1551" s="11">
        <v>29.669111222200002</v>
      </c>
      <c r="J1551" s="11">
        <v>14.3427113966</v>
      </c>
      <c r="K1551" s="10">
        <v>0.38368049964200002</v>
      </c>
      <c r="L1551" s="12">
        <v>4006965754.7399998</v>
      </c>
      <c r="M1551">
        <v>33.1803302268682</v>
      </c>
      <c r="N1551" s="7">
        <v>1.1795170165420099</v>
      </c>
      <c r="O1551" s="7">
        <v>2.5846864462959398</v>
      </c>
      <c r="P1551" s="7">
        <v>-19.032166700179001</v>
      </c>
      <c r="Q1551" s="7">
        <v>3.3333333333333335</v>
      </c>
      <c r="U1551">
        <v>0.30947637139981565</v>
      </c>
      <c r="AT1551" s="4" t="s">
        <v>4144</v>
      </c>
    </row>
    <row r="1552" spans="1:46">
      <c r="A1552" s="2">
        <v>2538</v>
      </c>
      <c r="B1552" t="s">
        <v>6314</v>
      </c>
      <c r="C1552" t="s">
        <v>3289</v>
      </c>
      <c r="D1552" t="s">
        <v>4046</v>
      </c>
      <c r="E1552" s="4">
        <v>43465</v>
      </c>
      <c r="F1552" s="11">
        <v>-32.37734605</v>
      </c>
      <c r="G1552" s="11">
        <v>13.22537112</v>
      </c>
      <c r="H1552" s="11">
        <v>2.2212452298000001</v>
      </c>
      <c r="I1552" s="11">
        <v>26.706345019099999</v>
      </c>
      <c r="J1552" s="11">
        <v>6.3974380769000003</v>
      </c>
      <c r="K1552" s="10">
        <v>0.40416136590200002</v>
      </c>
      <c r="L1552" s="12">
        <v>4879604062.0799999</v>
      </c>
      <c r="M1552">
        <v>1183.01487943137</v>
      </c>
      <c r="N1552" s="7">
        <v>5.3452406882582002</v>
      </c>
      <c r="O1552" s="7">
        <v>6.6829004961941401</v>
      </c>
      <c r="P1552" s="7">
        <v>307.46634601791698</v>
      </c>
      <c r="Q1552" s="7" t="s">
        <v>3698</v>
      </c>
      <c r="U1552">
        <v>3.3257983932264389E-2</v>
      </c>
      <c r="AT1552" s="4" t="s">
        <v>6315</v>
      </c>
    </row>
    <row r="1553" spans="1:46">
      <c r="A1553" s="2">
        <v>2441</v>
      </c>
      <c r="B1553" t="s">
        <v>6316</v>
      </c>
      <c r="C1553" t="s">
        <v>927</v>
      </c>
      <c r="D1553" t="s">
        <v>3752</v>
      </c>
      <c r="E1553" s="4">
        <v>43465</v>
      </c>
      <c r="F1553" s="11">
        <v>-15.07461567</v>
      </c>
      <c r="G1553" s="11">
        <v>13.22344322</v>
      </c>
      <c r="H1553" s="11">
        <v>10.0135097183</v>
      </c>
      <c r="I1553" s="11">
        <v>62.791649999900002</v>
      </c>
      <c r="J1553" s="11">
        <v>7.5705236933000002</v>
      </c>
      <c r="K1553" s="10">
        <v>0.72231694499099997</v>
      </c>
      <c r="L1553" s="12">
        <v>5380137301</v>
      </c>
      <c r="M1553">
        <v>48.205670431972401</v>
      </c>
      <c r="N1553" s="7">
        <v>4.7293253786046296</v>
      </c>
      <c r="O1553" s="7">
        <v>2.6334319926603902</v>
      </c>
      <c r="P1553" s="7">
        <v>-34.092306528698899</v>
      </c>
      <c r="Q1553" s="7">
        <v>0.83333333333333337</v>
      </c>
      <c r="U1553">
        <v>0.80503722361607022</v>
      </c>
      <c r="AT1553" s="4" t="s">
        <v>6317</v>
      </c>
    </row>
    <row r="1554" spans="1:46">
      <c r="A1554" s="2">
        <v>63</v>
      </c>
      <c r="B1554" t="s">
        <v>6318</v>
      </c>
      <c r="C1554" t="s">
        <v>2327</v>
      </c>
      <c r="D1554" t="s">
        <v>3972</v>
      </c>
      <c r="E1554" s="4">
        <v>43465</v>
      </c>
      <c r="F1554" s="11">
        <v>-25.927397580000001</v>
      </c>
      <c r="G1554" s="11">
        <v>13.216423799999999</v>
      </c>
      <c r="H1554" s="11">
        <v>17.3760070471</v>
      </c>
      <c r="I1554" s="11">
        <v>56.412236764799999</v>
      </c>
      <c r="J1554" s="11">
        <v>120.3818242052</v>
      </c>
      <c r="K1554" s="10">
        <v>4.1162907552E-2</v>
      </c>
      <c r="L1554" s="12">
        <v>1807579367223.78</v>
      </c>
      <c r="M1554">
        <v>23.7622117382897</v>
      </c>
      <c r="N1554" s="7">
        <v>1.44687873342717</v>
      </c>
      <c r="O1554" s="7">
        <v>25.175611876596399</v>
      </c>
      <c r="P1554" s="7">
        <v>-42.035579726043402</v>
      </c>
      <c r="Q1554" s="7">
        <v>0.5027932960893855</v>
      </c>
      <c r="U1554">
        <v>0.23093751193491915</v>
      </c>
      <c r="AT1554" s="4" t="s">
        <v>6319</v>
      </c>
    </row>
    <row r="1555" spans="1:46">
      <c r="A1555" s="2">
        <v>3198</v>
      </c>
      <c r="B1555" t="s">
        <v>6320</v>
      </c>
      <c r="C1555" t="s">
        <v>654</v>
      </c>
      <c r="D1555" t="s">
        <v>3837</v>
      </c>
      <c r="E1555" s="4">
        <v>43465</v>
      </c>
      <c r="F1555" s="11">
        <v>8.0640352899999996</v>
      </c>
      <c r="G1555" s="11">
        <v>13.211009170000001</v>
      </c>
      <c r="H1555" s="11">
        <v>5.1982030272999999</v>
      </c>
      <c r="I1555" s="11" t="s">
        <v>3698</v>
      </c>
      <c r="J1555" s="11">
        <v>27.5249614811</v>
      </c>
      <c r="K1555" s="10" t="s">
        <v>3698</v>
      </c>
      <c r="L1555" s="12">
        <v>2813653376.52</v>
      </c>
      <c r="M1555">
        <v>5.9970461946628104</v>
      </c>
      <c r="N1555" s="7">
        <v>0.66538919019697595</v>
      </c>
      <c r="O1555" s="7">
        <v>1.63834455270421</v>
      </c>
      <c r="P1555" s="7">
        <v>-3.6821527471434101</v>
      </c>
      <c r="Q1555" s="7">
        <v>3.8333317284116375</v>
      </c>
      <c r="U1555">
        <v>0.90963901185522156</v>
      </c>
      <c r="AT1555" s="4" t="s">
        <v>4054</v>
      </c>
    </row>
    <row r="1556" spans="1:46">
      <c r="A1556" s="2">
        <v>1253</v>
      </c>
      <c r="B1556" t="s">
        <v>6321</v>
      </c>
      <c r="C1556" t="s">
        <v>2662</v>
      </c>
      <c r="D1556" t="s">
        <v>3858</v>
      </c>
      <c r="E1556" s="4">
        <v>43465</v>
      </c>
      <c r="F1556" s="11">
        <v>-37.697362740000003</v>
      </c>
      <c r="G1556" s="11">
        <v>13.20754717</v>
      </c>
      <c r="H1556" s="11">
        <v>25.551446976899999</v>
      </c>
      <c r="I1556" s="11">
        <v>15.1374487624</v>
      </c>
      <c r="J1556" s="11">
        <v>2.5517055303</v>
      </c>
      <c r="K1556" s="10">
        <v>0.54056707182999997</v>
      </c>
      <c r="L1556" s="12">
        <v>6987910704.3199997</v>
      </c>
      <c r="M1556">
        <v>25.251054925535399</v>
      </c>
      <c r="N1556" s="7">
        <v>0.97700851356735197</v>
      </c>
      <c r="O1556" s="7">
        <v>0.61541482869999597</v>
      </c>
      <c r="P1556" s="7">
        <v>-25.665292178822298</v>
      </c>
      <c r="Q1556" s="7">
        <v>0.86956521739130432</v>
      </c>
      <c r="U1556">
        <v>0.24450179875572223</v>
      </c>
      <c r="AT1556" s="4" t="s">
        <v>3746</v>
      </c>
    </row>
    <row r="1557" spans="1:46">
      <c r="A1557" s="2">
        <v>2671</v>
      </c>
      <c r="B1557" t="s">
        <v>6322</v>
      </c>
      <c r="C1557" t="s">
        <v>343</v>
      </c>
      <c r="D1557" t="s">
        <v>3781</v>
      </c>
      <c r="E1557" s="4">
        <v>43465</v>
      </c>
      <c r="F1557" s="11">
        <v>-3.8710858400000001</v>
      </c>
      <c r="G1557" s="11">
        <v>13.20093458</v>
      </c>
      <c r="H1557" s="11">
        <v>9.1018210678999996</v>
      </c>
      <c r="I1557" s="11">
        <v>84.666330411900006</v>
      </c>
      <c r="J1557" s="11">
        <v>28.035470291199999</v>
      </c>
      <c r="K1557" s="10">
        <v>0.41801408893800002</v>
      </c>
      <c r="L1557" s="12">
        <v>4128741650.8800001</v>
      </c>
      <c r="M1557">
        <v>15.562004865948801</v>
      </c>
      <c r="N1557" s="7">
        <v>2.3370329033937001</v>
      </c>
      <c r="O1557" s="7">
        <v>4.5874792702989797</v>
      </c>
      <c r="P1557" s="7">
        <v>-166.51230632390201</v>
      </c>
      <c r="Q1557" s="7">
        <v>4.3103448275862073</v>
      </c>
      <c r="U1557">
        <v>0.54929774981779356</v>
      </c>
      <c r="AT1557" s="4" t="s">
        <v>6323</v>
      </c>
    </row>
    <row r="1558" spans="1:46">
      <c r="A1558" s="2">
        <v>1722</v>
      </c>
      <c r="B1558" t="s">
        <v>6324</v>
      </c>
      <c r="C1558" t="s">
        <v>1706</v>
      </c>
      <c r="D1558" t="s">
        <v>3713</v>
      </c>
      <c r="E1558" s="4">
        <v>43465</v>
      </c>
      <c r="F1558" s="11">
        <v>-40.274588250000001</v>
      </c>
      <c r="G1558" s="11">
        <v>13.2</v>
      </c>
      <c r="H1558" s="11">
        <v>2.9532972142</v>
      </c>
      <c r="I1558" s="11">
        <v>59.366165753499999</v>
      </c>
      <c r="J1558" s="11">
        <v>18.486132309799999</v>
      </c>
      <c r="K1558" s="10">
        <v>0.25106353894299999</v>
      </c>
      <c r="L1558" s="12">
        <v>3000795840</v>
      </c>
      <c r="M1558">
        <v>15.3589339427489</v>
      </c>
      <c r="N1558" s="7">
        <v>1.8910308810781999</v>
      </c>
      <c r="O1558" s="7">
        <v>2.77249772325764</v>
      </c>
      <c r="P1558" s="7">
        <v>-32.617872607557302</v>
      </c>
      <c r="Q1558" s="7">
        <v>0.61048194336520101</v>
      </c>
      <c r="U1558">
        <v>0.33865714641532618</v>
      </c>
      <c r="AT1558" s="4" t="s">
        <v>6186</v>
      </c>
    </row>
    <row r="1559" spans="1:46">
      <c r="A1559" s="2">
        <v>97</v>
      </c>
      <c r="B1559" t="s">
        <v>6325</v>
      </c>
      <c r="C1559" t="s">
        <v>791</v>
      </c>
      <c r="D1559" t="s">
        <v>3811</v>
      </c>
      <c r="E1559" s="4">
        <v>43465</v>
      </c>
      <c r="F1559" s="11">
        <v>-35.513365139999998</v>
      </c>
      <c r="G1559" s="11">
        <v>13.16397229</v>
      </c>
      <c r="H1559" s="11">
        <v>2.8106676492</v>
      </c>
      <c r="I1559" s="11">
        <v>19.4867014951</v>
      </c>
      <c r="J1559" s="11">
        <v>2.9375139013</v>
      </c>
      <c r="K1559" s="10">
        <v>1.0366788572850001</v>
      </c>
      <c r="L1559" s="12">
        <v>31581167037</v>
      </c>
      <c r="M1559">
        <v>27.972753885490601</v>
      </c>
      <c r="N1559" s="7">
        <v>0.89646579627468703</v>
      </c>
      <c r="O1559" s="7">
        <v>0.32321303122689998</v>
      </c>
      <c r="P1559" s="7">
        <v>-62.323873348114503</v>
      </c>
      <c r="Q1559" s="7">
        <v>3.4562211981566824</v>
      </c>
      <c r="U1559">
        <v>0.28785791327738142</v>
      </c>
      <c r="AT1559" s="4" t="s">
        <v>6326</v>
      </c>
    </row>
    <row r="1560" spans="1:46">
      <c r="A1560" s="2">
        <v>674</v>
      </c>
      <c r="B1560" t="s">
        <v>6327</v>
      </c>
      <c r="C1560" t="s">
        <v>3399</v>
      </c>
      <c r="D1560" t="s">
        <v>3998</v>
      </c>
      <c r="E1560" s="4">
        <v>43465</v>
      </c>
      <c r="F1560" s="11">
        <v>-27.356020940000001</v>
      </c>
      <c r="G1560" s="11">
        <v>13.14741036</v>
      </c>
      <c r="H1560" s="11">
        <v>3.7488937864</v>
      </c>
      <c r="I1560" s="11">
        <v>9.9395605745999998</v>
      </c>
      <c r="J1560" s="11">
        <v>-1.2869131594000001</v>
      </c>
      <c r="K1560" s="10">
        <v>0.83754259799099995</v>
      </c>
      <c r="L1560" s="12">
        <v>1721504291</v>
      </c>
      <c r="M1560">
        <v>-114.349551105071</v>
      </c>
      <c r="N1560" s="7">
        <v>5.9265811667511796</v>
      </c>
      <c r="O1560" s="7">
        <v>0.82530787417285001</v>
      </c>
      <c r="P1560" s="7">
        <v>-44.818932184953297</v>
      </c>
      <c r="Q1560" s="7" t="s">
        <v>3698</v>
      </c>
      <c r="U1560">
        <v>4.0629703440980644E-2</v>
      </c>
      <c r="AT1560" s="4" t="s">
        <v>5021</v>
      </c>
    </row>
    <row r="1561" spans="1:46">
      <c r="A1561" s="2">
        <v>3558</v>
      </c>
      <c r="B1561" t="s">
        <v>6328</v>
      </c>
      <c r="C1561" t="s">
        <v>2115</v>
      </c>
      <c r="D1561" t="s">
        <v>3761</v>
      </c>
      <c r="E1561" s="4">
        <v>43465</v>
      </c>
      <c r="F1561" s="11">
        <v>-39.571955539999998</v>
      </c>
      <c r="G1561" s="11">
        <v>13.14405889</v>
      </c>
      <c r="H1561" s="11">
        <v>15.220842575200001</v>
      </c>
      <c r="I1561" s="11">
        <v>22.574396055200001</v>
      </c>
      <c r="J1561" s="11">
        <v>10.808972148100001</v>
      </c>
      <c r="K1561" s="10">
        <v>0.62068136328599999</v>
      </c>
      <c r="L1561" s="12">
        <v>4059106492.0500002</v>
      </c>
      <c r="M1561">
        <v>38.220017524691897</v>
      </c>
      <c r="N1561" s="7">
        <v>2.3262242325583999</v>
      </c>
      <c r="O1561" s="7">
        <v>2.9383608581895699</v>
      </c>
      <c r="P1561" s="7">
        <v>10.8014426981014</v>
      </c>
      <c r="Q1561" s="7">
        <v>1.0960232783705142</v>
      </c>
      <c r="U1561">
        <v>0.37611857237500002</v>
      </c>
      <c r="AT1561" s="4" t="s">
        <v>6329</v>
      </c>
    </row>
    <row r="1562" spans="1:46">
      <c r="A1562" s="2">
        <v>534</v>
      </c>
      <c r="B1562" t="s">
        <v>6330</v>
      </c>
      <c r="C1562" t="s">
        <v>2219</v>
      </c>
      <c r="D1562" t="s">
        <v>4046</v>
      </c>
      <c r="E1562" s="4">
        <v>43465</v>
      </c>
      <c r="F1562" s="11">
        <v>16.876818620000002</v>
      </c>
      <c r="G1562" s="11">
        <v>13.14009662</v>
      </c>
      <c r="H1562" s="11">
        <v>21.016755795000002</v>
      </c>
      <c r="I1562" s="11">
        <v>42.224828455999997</v>
      </c>
      <c r="J1562" s="11">
        <v>8.5395672241000007</v>
      </c>
      <c r="K1562" s="10">
        <v>8.2900763781000003E-2</v>
      </c>
      <c r="L1562" s="12">
        <v>27136064356.619999</v>
      </c>
      <c r="M1562">
        <v>-208.22224770393501</v>
      </c>
      <c r="N1562" s="7">
        <v>2.3271550287318998</v>
      </c>
      <c r="O1562" s="7">
        <v>16.4925813785811</v>
      </c>
      <c r="P1562" s="7">
        <v>-55.873909160908298</v>
      </c>
      <c r="Q1562" s="7" t="s">
        <v>3698</v>
      </c>
      <c r="U1562">
        <v>8.4632280479158925E-2</v>
      </c>
      <c r="AT1562" s="4" t="s">
        <v>5980</v>
      </c>
    </row>
    <row r="1563" spans="1:46">
      <c r="A1563" s="2">
        <v>1060</v>
      </c>
      <c r="B1563" t="s">
        <v>6331</v>
      </c>
      <c r="C1563" t="s">
        <v>1271</v>
      </c>
      <c r="D1563" t="s">
        <v>3752</v>
      </c>
      <c r="E1563" s="4">
        <v>43465</v>
      </c>
      <c r="F1563" s="11">
        <v>-3.8249853800000002</v>
      </c>
      <c r="G1563" s="11">
        <v>13.12384473</v>
      </c>
      <c r="H1563" s="11">
        <v>17.809125567300001</v>
      </c>
      <c r="I1563" s="11">
        <v>46.872350852300002</v>
      </c>
      <c r="J1563" s="11">
        <v>19.217116899699999</v>
      </c>
      <c r="K1563" s="10">
        <v>0.385645826335</v>
      </c>
      <c r="L1563" s="12">
        <v>2370313990.8000002</v>
      </c>
      <c r="M1563">
        <v>36.363953321230397</v>
      </c>
      <c r="N1563" s="7">
        <v>3.58734097545821</v>
      </c>
      <c r="O1563" s="7">
        <v>6.7824638325380002</v>
      </c>
      <c r="P1563" s="7">
        <v>50.489373734892197</v>
      </c>
      <c r="Q1563" s="7">
        <v>1.9379844961240309</v>
      </c>
      <c r="U1563">
        <v>0.15047949565496233</v>
      </c>
      <c r="AT1563" s="4" t="s">
        <v>4672</v>
      </c>
    </row>
    <row r="1564" spans="1:46">
      <c r="A1564" s="2">
        <v>1452</v>
      </c>
      <c r="B1564" t="s">
        <v>6332</v>
      </c>
      <c r="C1564" t="s">
        <v>1012</v>
      </c>
      <c r="D1564" t="s">
        <v>3737</v>
      </c>
      <c r="E1564" s="4">
        <v>43465</v>
      </c>
      <c r="F1564" s="11">
        <v>-16.72934085</v>
      </c>
      <c r="G1564" s="11">
        <v>13.114754100000001</v>
      </c>
      <c r="H1564" s="11">
        <v>25.190900867500002</v>
      </c>
      <c r="I1564" s="11">
        <v>71.006034290000002</v>
      </c>
      <c r="J1564" s="11">
        <v>5.111594964</v>
      </c>
      <c r="K1564" s="10">
        <v>0.56652445576499999</v>
      </c>
      <c r="L1564" s="12">
        <v>12391142400</v>
      </c>
      <c r="M1564">
        <v>22.670720255077999</v>
      </c>
      <c r="N1564" s="7">
        <v>1.6739575385468</v>
      </c>
      <c r="O1564" s="7">
        <v>2.28736443914126</v>
      </c>
      <c r="P1564" s="7">
        <v>76.262122455521805</v>
      </c>
      <c r="Q1564" s="7">
        <v>0.57573559420825715</v>
      </c>
      <c r="U1564">
        <v>7.0007142490415647E-2</v>
      </c>
      <c r="AT1564" s="4" t="s">
        <v>3770</v>
      </c>
    </row>
    <row r="1565" spans="1:46">
      <c r="A1565" s="2">
        <v>2503</v>
      </c>
      <c r="B1565" t="s">
        <v>6333</v>
      </c>
      <c r="C1565" t="s">
        <v>2400</v>
      </c>
      <c r="D1565" t="s">
        <v>3849</v>
      </c>
      <c r="E1565" s="4">
        <v>43465</v>
      </c>
      <c r="F1565" s="11">
        <v>-22.763450299999999</v>
      </c>
      <c r="G1565" s="11">
        <v>12.95180723</v>
      </c>
      <c r="H1565" s="11">
        <v>17.2379977252</v>
      </c>
      <c r="I1565" s="11">
        <v>17.518378786700001</v>
      </c>
      <c r="J1565" s="11">
        <v>2.7274811581999998</v>
      </c>
      <c r="K1565" s="10">
        <v>1.1176073066709999</v>
      </c>
      <c r="L1565" s="12">
        <v>20768427383.34</v>
      </c>
      <c r="M1565">
        <v>45.486481901125003</v>
      </c>
      <c r="N1565" s="7">
        <v>1.50836894146878</v>
      </c>
      <c r="O1565" s="7">
        <v>0.58896422713386598</v>
      </c>
      <c r="P1565" s="7">
        <v>18.156330288470599</v>
      </c>
      <c r="Q1565" s="7">
        <v>3.197674418604652</v>
      </c>
      <c r="U1565">
        <v>0.1274748956845238</v>
      </c>
      <c r="AT1565" s="4" t="s">
        <v>6334</v>
      </c>
    </row>
    <row r="1566" spans="1:46">
      <c r="A1566" s="2">
        <v>465</v>
      </c>
      <c r="B1566" t="s">
        <v>6335</v>
      </c>
      <c r="C1566" t="s">
        <v>1358</v>
      </c>
      <c r="D1566" t="s">
        <v>3737</v>
      </c>
      <c r="E1566" s="4">
        <v>43465</v>
      </c>
      <c r="F1566" s="11">
        <v>-46.268656720000003</v>
      </c>
      <c r="G1566" s="11">
        <v>12.94820717</v>
      </c>
      <c r="H1566" s="11">
        <v>11.9686968838</v>
      </c>
      <c r="I1566" s="11">
        <v>8.9604699509000003</v>
      </c>
      <c r="J1566" s="11">
        <v>2.9102102445</v>
      </c>
      <c r="K1566" s="10">
        <v>1.4610931845770001</v>
      </c>
      <c r="L1566" s="12">
        <v>10934586000</v>
      </c>
      <c r="M1566">
        <v>13.517291946951101</v>
      </c>
      <c r="N1566" s="7">
        <v>1.31686565517805</v>
      </c>
      <c r="O1566" s="7">
        <v>0.36335312949061299</v>
      </c>
      <c r="P1566" s="7">
        <v>-81.437841281610901</v>
      </c>
      <c r="Q1566" s="7" t="s">
        <v>3698</v>
      </c>
      <c r="U1566">
        <v>0.39964899594852105</v>
      </c>
      <c r="AT1566" s="4" t="s">
        <v>5773</v>
      </c>
    </row>
    <row r="1567" spans="1:46">
      <c r="A1567" s="2">
        <v>1255</v>
      </c>
      <c r="B1567" t="s">
        <v>6336</v>
      </c>
      <c r="C1567" t="s">
        <v>1843</v>
      </c>
      <c r="D1567" t="s">
        <v>3781</v>
      </c>
      <c r="E1567" s="4">
        <v>43465</v>
      </c>
      <c r="F1567" s="11">
        <v>74.965445459999998</v>
      </c>
      <c r="G1567" s="11">
        <v>12.93859649</v>
      </c>
      <c r="H1567" s="11">
        <v>19.121888003799999</v>
      </c>
      <c r="I1567" s="11">
        <v>17.0851824352</v>
      </c>
      <c r="J1567" s="11">
        <v>16.379933665300001</v>
      </c>
      <c r="K1567" s="10">
        <v>0.90793060730800002</v>
      </c>
      <c r="L1567" s="12">
        <v>301927784524.02002</v>
      </c>
      <c r="M1567">
        <v>20.042393831572799</v>
      </c>
      <c r="N1567" s="7">
        <v>1.72744743724665</v>
      </c>
      <c r="O1567" s="7">
        <v>1.79312747560241</v>
      </c>
      <c r="P1567" s="7">
        <v>-51.971839406626003</v>
      </c>
      <c r="Q1567" s="7">
        <v>2.1123785405118309</v>
      </c>
      <c r="U1567">
        <v>1.3002970380189114</v>
      </c>
      <c r="AT1567" s="4" t="s">
        <v>6337</v>
      </c>
    </row>
    <row r="1568" spans="1:46">
      <c r="A1568" s="2">
        <v>2036</v>
      </c>
      <c r="B1568" t="s">
        <v>6338</v>
      </c>
      <c r="C1568" t="s">
        <v>772</v>
      </c>
      <c r="D1568" t="s">
        <v>3761</v>
      </c>
      <c r="E1568" s="4">
        <v>43465</v>
      </c>
      <c r="F1568" s="11">
        <v>-23.85333636</v>
      </c>
      <c r="G1568" s="11">
        <v>12.92984869</v>
      </c>
      <c r="H1568" s="11">
        <v>-11.0074036449</v>
      </c>
      <c r="I1568" s="11">
        <v>50.483760875900003</v>
      </c>
      <c r="J1568" s="11">
        <v>23.691458091699999</v>
      </c>
      <c r="K1568" s="10">
        <v>0.30788994967900002</v>
      </c>
      <c r="L1568" s="12">
        <v>2186118220</v>
      </c>
      <c r="M1568">
        <v>29.434820964451799</v>
      </c>
      <c r="N1568" s="7">
        <v>2.55181503233803</v>
      </c>
      <c r="O1568" s="7">
        <v>5.6634499084276602</v>
      </c>
      <c r="P1568" s="7">
        <v>193.86725582134</v>
      </c>
      <c r="Q1568" s="7">
        <v>2.4354603019970775</v>
      </c>
      <c r="U1568">
        <v>0.75271522513874312</v>
      </c>
      <c r="AT1568" s="4" t="s">
        <v>6339</v>
      </c>
    </row>
    <row r="1569" spans="1:46">
      <c r="A1569" s="2">
        <v>1044</v>
      </c>
      <c r="B1569" t="s">
        <v>6340</v>
      </c>
      <c r="C1569" t="s">
        <v>2128</v>
      </c>
      <c r="D1569" t="s">
        <v>3761</v>
      </c>
      <c r="E1569" s="4">
        <v>43465</v>
      </c>
      <c r="F1569" s="11">
        <v>-21.982769909999998</v>
      </c>
      <c r="G1569" s="11">
        <v>12.92517007</v>
      </c>
      <c r="H1569" s="11">
        <v>19.628968292</v>
      </c>
      <c r="I1569" s="11">
        <v>15.3514898545</v>
      </c>
      <c r="J1569" s="11">
        <v>2.9391253111000002</v>
      </c>
      <c r="K1569" s="10">
        <v>1.2337499231139999</v>
      </c>
      <c r="L1569" s="12">
        <v>17314602313.66</v>
      </c>
      <c r="M1569">
        <v>21.818064158328799</v>
      </c>
      <c r="N1569" s="7">
        <v>1.03981799392064</v>
      </c>
      <c r="O1569" s="7">
        <v>0.51812933210789802</v>
      </c>
      <c r="P1569" s="7">
        <v>53.104666087213502</v>
      </c>
      <c r="Q1569" s="7">
        <v>3.0583243485863831</v>
      </c>
      <c r="U1569">
        <v>0.23969839072183227</v>
      </c>
      <c r="AT1569" s="4" t="s">
        <v>4196</v>
      </c>
    </row>
    <row r="1570" spans="1:46">
      <c r="A1570" s="2">
        <v>3090</v>
      </c>
      <c r="B1570" t="s">
        <v>6341</v>
      </c>
      <c r="C1570" t="s">
        <v>246</v>
      </c>
      <c r="D1570" t="s">
        <v>3849</v>
      </c>
      <c r="E1570" s="4">
        <v>43465</v>
      </c>
      <c r="F1570" s="11">
        <v>-29.387715839999998</v>
      </c>
      <c r="G1570" s="11">
        <v>12.92517007</v>
      </c>
      <c r="H1570" s="11">
        <v>0.53089818789999998</v>
      </c>
      <c r="I1570" s="11">
        <v>18.560990731099999</v>
      </c>
      <c r="J1570" s="11">
        <v>15.306436291600001</v>
      </c>
      <c r="K1570" s="10">
        <v>0.57507675624599996</v>
      </c>
      <c r="L1570" s="12">
        <v>7048475079.3599997</v>
      </c>
      <c r="M1570">
        <v>9.9015396456404492</v>
      </c>
      <c r="N1570" s="7">
        <v>1.3815317354366099</v>
      </c>
      <c r="O1570" s="7">
        <v>1.43330187352256</v>
      </c>
      <c r="P1570" s="7">
        <v>7.6902422399700896</v>
      </c>
      <c r="Q1570" s="7">
        <v>2.3702038720001628</v>
      </c>
      <c r="U1570">
        <v>1.0654921144944114</v>
      </c>
      <c r="AT1570" s="4" t="s">
        <v>4288</v>
      </c>
    </row>
    <row r="1571" spans="1:46">
      <c r="A1571" s="2">
        <v>606</v>
      </c>
      <c r="B1571" t="s">
        <v>6342</v>
      </c>
      <c r="C1571" t="s">
        <v>1722</v>
      </c>
      <c r="D1571" t="s">
        <v>3790</v>
      </c>
      <c r="E1571" s="4">
        <v>43465</v>
      </c>
      <c r="F1571" s="11">
        <v>-35.850396420000003</v>
      </c>
      <c r="G1571" s="11">
        <v>12.90650407</v>
      </c>
      <c r="H1571" s="11">
        <v>16.202576051299999</v>
      </c>
      <c r="I1571" s="11">
        <v>34.308919269800001</v>
      </c>
      <c r="J1571" s="11">
        <v>8.9778527227999998</v>
      </c>
      <c r="K1571" s="10">
        <v>0.30614883202499998</v>
      </c>
      <c r="L1571" s="12">
        <v>3844829106</v>
      </c>
      <c r="M1571">
        <v>171.32403616641099</v>
      </c>
      <c r="N1571" s="7">
        <v>5.8492998042560398</v>
      </c>
      <c r="O1571" s="7">
        <v>11.6892511271383</v>
      </c>
      <c r="P1571" s="7">
        <v>-380.10899909757501</v>
      </c>
      <c r="Q1571" s="7">
        <v>0.22603978300180833</v>
      </c>
      <c r="U1571">
        <v>0.13788582648781261</v>
      </c>
      <c r="AT1571" s="4" t="s">
        <v>6343</v>
      </c>
    </row>
    <row r="1572" spans="1:46">
      <c r="A1572" s="2">
        <v>2755</v>
      </c>
      <c r="B1572" t="s">
        <v>6344</v>
      </c>
      <c r="C1572" t="s">
        <v>2103</v>
      </c>
      <c r="D1572" t="s">
        <v>3811</v>
      </c>
      <c r="E1572" s="4">
        <v>43465</v>
      </c>
      <c r="F1572" s="11">
        <v>-73.061961350000004</v>
      </c>
      <c r="G1572" s="11">
        <v>12.870159449999999</v>
      </c>
      <c r="H1572" s="11">
        <v>-24.006406685599998</v>
      </c>
      <c r="I1572" s="11">
        <v>44.107147832700001</v>
      </c>
      <c r="J1572" s="11">
        <v>-5.5024603387999997</v>
      </c>
      <c r="K1572" s="10">
        <v>0.62483759732199995</v>
      </c>
      <c r="L1572" s="12">
        <v>4459702500</v>
      </c>
      <c r="M1572">
        <v>-10.745590551196999</v>
      </c>
      <c r="N1572" s="7">
        <v>1.5732717612049301</v>
      </c>
      <c r="O1572" s="7">
        <v>0.70159667524451397</v>
      </c>
      <c r="P1572" s="7">
        <v>52.077496716345003</v>
      </c>
      <c r="Q1572" s="7" t="s">
        <v>3698</v>
      </c>
      <c r="U1572">
        <v>-0.68529485220366149</v>
      </c>
      <c r="AT1572" s="4" t="s">
        <v>6208</v>
      </c>
    </row>
    <row r="1573" spans="1:46">
      <c r="A1573" s="2">
        <v>1126</v>
      </c>
      <c r="B1573" t="s">
        <v>6345</v>
      </c>
      <c r="C1573" t="s">
        <v>1803</v>
      </c>
      <c r="D1573" t="s">
        <v>4060</v>
      </c>
      <c r="E1573" s="4">
        <v>43465</v>
      </c>
      <c r="F1573" s="11">
        <v>-37.04876703</v>
      </c>
      <c r="G1573" s="11">
        <v>12.836438920000001</v>
      </c>
      <c r="H1573" s="11">
        <v>24.677461785999999</v>
      </c>
      <c r="I1573" s="11">
        <v>31.6009812044</v>
      </c>
      <c r="J1573" s="11">
        <v>5.1377098995999999</v>
      </c>
      <c r="K1573" s="10">
        <v>1.0442431559759999</v>
      </c>
      <c r="L1573" s="12">
        <v>1718400000</v>
      </c>
      <c r="M1573">
        <v>21.1196108867228</v>
      </c>
      <c r="N1573" s="7">
        <v>2.4931350838575699</v>
      </c>
      <c r="O1573" s="7">
        <v>1.10910380027997</v>
      </c>
      <c r="P1573" s="7">
        <v>205.79372982312901</v>
      </c>
      <c r="Q1573" s="7">
        <v>1.5384615384615385</v>
      </c>
      <c r="U1573">
        <v>0.24212384390838207</v>
      </c>
      <c r="AT1573" s="4" t="s">
        <v>6346</v>
      </c>
    </row>
    <row r="1574" spans="1:46">
      <c r="A1574" s="2">
        <v>1976</v>
      </c>
      <c r="B1574" t="s">
        <v>6347</v>
      </c>
      <c r="C1574" t="s">
        <v>2530</v>
      </c>
      <c r="D1574" t="s">
        <v>3718</v>
      </c>
      <c r="E1574" s="4">
        <v>43465</v>
      </c>
      <c r="F1574" s="11">
        <v>-9.4017342199999998</v>
      </c>
      <c r="G1574" s="11">
        <v>12.826020249999999</v>
      </c>
      <c r="H1574" s="11">
        <v>21.749227042800001</v>
      </c>
      <c r="I1574" s="11">
        <v>48.110967562500001</v>
      </c>
      <c r="J1574" s="11">
        <v>8.5472588971000008</v>
      </c>
      <c r="K1574" s="10">
        <v>0.389672124211</v>
      </c>
      <c r="L1574" s="12">
        <v>10177380000</v>
      </c>
      <c r="M1574">
        <v>83.153728917456306</v>
      </c>
      <c r="N1574" s="7">
        <v>4.7916309322677302</v>
      </c>
      <c r="O1574" s="7">
        <v>11.2113949762081</v>
      </c>
      <c r="P1574" s="7">
        <v>-51.876896236656698</v>
      </c>
      <c r="Q1574" s="7">
        <v>0.56996295240809347</v>
      </c>
      <c r="U1574">
        <v>0.34104490625</v>
      </c>
      <c r="AT1574" s="4" t="s">
        <v>3714</v>
      </c>
    </row>
    <row r="1575" spans="1:46">
      <c r="A1575" s="2">
        <v>689</v>
      </c>
      <c r="B1575" t="s">
        <v>6348</v>
      </c>
      <c r="C1575" t="s">
        <v>2911</v>
      </c>
      <c r="D1575" t="s">
        <v>3858</v>
      </c>
      <c r="E1575" s="4">
        <v>43465</v>
      </c>
      <c r="F1575" s="11">
        <v>-69.834413249999997</v>
      </c>
      <c r="G1575" s="11">
        <v>12.80653951</v>
      </c>
      <c r="H1575" s="11">
        <v>-4.6242903409</v>
      </c>
      <c r="I1575" s="11">
        <v>11.929654672</v>
      </c>
      <c r="J1575" s="11">
        <v>-26.386745837599999</v>
      </c>
      <c r="K1575" s="10">
        <v>0.53638533249099996</v>
      </c>
      <c r="L1575" s="12">
        <v>9119331586.1499996</v>
      </c>
      <c r="M1575">
        <v>620.57894917073099</v>
      </c>
      <c r="N1575" s="7">
        <v>3.4352515135683701</v>
      </c>
      <c r="O1575" s="7">
        <v>2.0845127547675899</v>
      </c>
      <c r="P1575" s="7">
        <v>359.17070523492799</v>
      </c>
      <c r="Q1575" s="7" t="s">
        <v>3698</v>
      </c>
      <c r="U1575">
        <v>-0.40118359702032624</v>
      </c>
      <c r="AT1575" s="4" t="s">
        <v>4258</v>
      </c>
    </row>
    <row r="1576" spans="1:46">
      <c r="A1576" s="2">
        <v>2747</v>
      </c>
      <c r="B1576" t="s">
        <v>6349</v>
      </c>
      <c r="C1576" t="s">
        <v>582</v>
      </c>
      <c r="D1576" t="s">
        <v>3764</v>
      </c>
      <c r="E1576" s="4">
        <v>43465</v>
      </c>
      <c r="F1576" s="11">
        <v>3.3317526499999999</v>
      </c>
      <c r="G1576" s="11">
        <v>12.80276817</v>
      </c>
      <c r="H1576" s="11">
        <v>8.1503328260999997</v>
      </c>
      <c r="I1576" s="11">
        <v>49.873473687100002</v>
      </c>
      <c r="J1576" s="11">
        <v>417.52197199810001</v>
      </c>
      <c r="K1576" s="10">
        <v>2.8280961096999999E-2</v>
      </c>
      <c r="L1576" s="12">
        <v>3829518000</v>
      </c>
      <c r="M1576">
        <v>12.060882328883601</v>
      </c>
      <c r="N1576" s="7">
        <v>1.5369703551087801</v>
      </c>
      <c r="O1576" s="7">
        <v>45.040379827969097</v>
      </c>
      <c r="P1576" s="7">
        <v>-34.740490985710998</v>
      </c>
      <c r="Q1576" s="7">
        <v>3.1413612565445024</v>
      </c>
      <c r="U1576">
        <v>0.81097935903899188</v>
      </c>
      <c r="AT1576" s="4" t="s">
        <v>6350</v>
      </c>
    </row>
    <row r="1577" spans="1:46">
      <c r="A1577" s="2">
        <v>3135</v>
      </c>
      <c r="B1577" t="s">
        <v>6351</v>
      </c>
      <c r="C1577" t="s">
        <v>2646</v>
      </c>
      <c r="D1577" t="s">
        <v>3778</v>
      </c>
      <c r="E1577" s="4">
        <v>43465</v>
      </c>
      <c r="F1577" s="11">
        <v>-36.190476189999998</v>
      </c>
      <c r="G1577" s="11">
        <v>12.78409091</v>
      </c>
      <c r="H1577" s="11">
        <v>-2.8352935874999998</v>
      </c>
      <c r="I1577" s="11">
        <v>19.809927289200001</v>
      </c>
      <c r="J1577" s="11">
        <v>4.3799529171999998</v>
      </c>
      <c r="K1577" s="10">
        <v>0.438056933988</v>
      </c>
      <c r="L1577" s="12">
        <v>10550023977.870001</v>
      </c>
      <c r="M1577">
        <v>9.3272589685792404</v>
      </c>
      <c r="N1577" s="7">
        <v>0.645859943663742</v>
      </c>
      <c r="O1577" s="7">
        <v>0.44304721629302501</v>
      </c>
      <c r="P1577" s="7">
        <v>5.6411952546287596</v>
      </c>
      <c r="Q1577" s="7" t="s">
        <v>3698</v>
      </c>
      <c r="U1577">
        <v>0.30288469712702187</v>
      </c>
      <c r="AT1577" s="4" t="s">
        <v>6352</v>
      </c>
    </row>
    <row r="1578" spans="1:46">
      <c r="A1578" s="2">
        <v>2679</v>
      </c>
      <c r="B1578" t="s">
        <v>6353</v>
      </c>
      <c r="C1578" t="s">
        <v>248</v>
      </c>
      <c r="D1578" t="s">
        <v>3871</v>
      </c>
      <c r="E1578" s="4">
        <v>43465</v>
      </c>
      <c r="F1578" s="11">
        <v>3.6801486099999998</v>
      </c>
      <c r="G1578" s="11">
        <v>12.76595745</v>
      </c>
      <c r="H1578" s="11">
        <v>20.074946377700002</v>
      </c>
      <c r="I1578" s="11">
        <v>15.3527201517</v>
      </c>
      <c r="J1578" s="11">
        <v>4.5987634248000004</v>
      </c>
      <c r="K1578" s="10">
        <v>0.36999249266799999</v>
      </c>
      <c r="L1578" s="12">
        <v>2999808000</v>
      </c>
      <c r="M1578">
        <v>6.03642656000219</v>
      </c>
      <c r="N1578" s="7">
        <v>1.1241479708365001</v>
      </c>
      <c r="O1578" s="7">
        <v>0.216660719668822</v>
      </c>
      <c r="P1578" s="7">
        <v>42.473989338201498</v>
      </c>
      <c r="Q1578" s="7">
        <v>4.5801526717557248</v>
      </c>
      <c r="U1578">
        <v>0.93479950853121918</v>
      </c>
      <c r="AT1578" s="4" t="s">
        <v>5079</v>
      </c>
    </row>
    <row r="1579" spans="1:46">
      <c r="A1579" s="2">
        <v>219</v>
      </c>
      <c r="B1579" t="s">
        <v>6354</v>
      </c>
      <c r="C1579" t="s">
        <v>972</v>
      </c>
      <c r="D1579" t="s">
        <v>3837</v>
      </c>
      <c r="E1579" s="4">
        <v>43465</v>
      </c>
      <c r="F1579" s="11">
        <v>-15.527606410000001</v>
      </c>
      <c r="G1579" s="11">
        <v>12.74418605</v>
      </c>
      <c r="H1579" s="11">
        <v>67.356805898900006</v>
      </c>
      <c r="I1579" s="11">
        <v>26.155024313599998</v>
      </c>
      <c r="J1579" s="11">
        <v>2271.5708637934999</v>
      </c>
      <c r="K1579" s="10">
        <v>3.8569847566000001E-2</v>
      </c>
      <c r="L1579" s="12">
        <v>9954343848.9599991</v>
      </c>
      <c r="M1579">
        <v>12.839049037535</v>
      </c>
      <c r="N1579" s="7">
        <v>1.25494039988349</v>
      </c>
      <c r="O1579" s="7">
        <v>2.90115481766431</v>
      </c>
      <c r="P1579" s="7">
        <v>2.1853658782530299</v>
      </c>
      <c r="Q1579" s="7">
        <v>2.0938314509122504</v>
      </c>
      <c r="U1579">
        <v>0.80152665271174106</v>
      </c>
      <c r="AT1579" s="4" t="s">
        <v>6355</v>
      </c>
    </row>
    <row r="1580" spans="1:46">
      <c r="A1580" s="2">
        <v>2032</v>
      </c>
      <c r="B1580" t="s">
        <v>6356</v>
      </c>
      <c r="C1580" t="s">
        <v>2539</v>
      </c>
      <c r="D1580" t="s">
        <v>3889</v>
      </c>
      <c r="E1580" s="4">
        <v>43465</v>
      </c>
      <c r="F1580" s="11">
        <v>-27.499177880000001</v>
      </c>
      <c r="G1580" s="11">
        <v>12.73458445</v>
      </c>
      <c r="H1580" s="11">
        <v>-26.804023911000002</v>
      </c>
      <c r="I1580" s="11">
        <v>40.106081815400003</v>
      </c>
      <c r="J1580" s="11">
        <v>5.8337379490999997</v>
      </c>
      <c r="K1580" s="10">
        <v>0.65994431871299997</v>
      </c>
      <c r="L1580" s="12">
        <v>7219692396.2700005</v>
      </c>
      <c r="M1580">
        <v>55.599708387691003</v>
      </c>
      <c r="N1580" s="7">
        <v>5.9163421564433101</v>
      </c>
      <c r="O1580" s="7">
        <v>5.12855375223024</v>
      </c>
      <c r="P1580" s="7">
        <v>87.347957359755895</v>
      </c>
      <c r="Q1580" s="7" t="s">
        <v>3698</v>
      </c>
      <c r="U1580">
        <v>0.13001285932098766</v>
      </c>
      <c r="AT1580" s="4" t="s">
        <v>5107</v>
      </c>
    </row>
    <row r="1581" spans="1:46">
      <c r="A1581" s="2">
        <v>2767</v>
      </c>
      <c r="B1581" t="s">
        <v>6357</v>
      </c>
      <c r="C1581" t="s">
        <v>340</v>
      </c>
      <c r="D1581" t="s">
        <v>3811</v>
      </c>
      <c r="E1581" s="4">
        <v>43465</v>
      </c>
      <c r="F1581" s="11">
        <v>-16.548298469999999</v>
      </c>
      <c r="G1581" s="11">
        <v>12.73253411</v>
      </c>
      <c r="H1581" s="11">
        <v>-10.7549473675</v>
      </c>
      <c r="I1581" s="11">
        <v>25.891353644900001</v>
      </c>
      <c r="J1581" s="11">
        <v>4.4035203374999998</v>
      </c>
      <c r="K1581" s="10">
        <v>1.351866795636</v>
      </c>
      <c r="L1581" s="12">
        <v>2493124650</v>
      </c>
      <c r="M1581">
        <v>7.0633128137875199</v>
      </c>
      <c r="N1581" s="7">
        <v>0.88575950107383905</v>
      </c>
      <c r="O1581" s="7">
        <v>0.28641151167894402</v>
      </c>
      <c r="P1581" s="7">
        <v>-159.326327307517</v>
      </c>
      <c r="Q1581" s="7" t="s">
        <v>3698</v>
      </c>
      <c r="U1581">
        <v>3.3630476521353243</v>
      </c>
      <c r="AT1581" s="4" t="s">
        <v>4302</v>
      </c>
    </row>
    <row r="1582" spans="1:46">
      <c r="A1582" s="2">
        <v>1936</v>
      </c>
      <c r="B1582" t="s">
        <v>6358</v>
      </c>
      <c r="C1582" t="s">
        <v>128</v>
      </c>
      <c r="D1582" t="s">
        <v>3781</v>
      </c>
      <c r="E1582" s="4">
        <v>43465</v>
      </c>
      <c r="F1582" s="11">
        <v>-45.762319269999999</v>
      </c>
      <c r="G1582" s="11">
        <v>12.730318260000001</v>
      </c>
      <c r="H1582" s="11">
        <v>38.814402678999997</v>
      </c>
      <c r="I1582" s="11">
        <v>14.269498841900001</v>
      </c>
      <c r="J1582" s="11">
        <v>6.7566829458999997</v>
      </c>
      <c r="K1582" s="10">
        <v>0.47785082420199998</v>
      </c>
      <c r="L1582" s="12">
        <v>2837204001.5999999</v>
      </c>
      <c r="M1582">
        <v>42.807761820855397</v>
      </c>
      <c r="N1582" s="7">
        <v>1.6523211828019599</v>
      </c>
      <c r="O1582" s="7">
        <v>1.4085196086074101</v>
      </c>
      <c r="P1582" s="7">
        <v>-7.7989991238572696</v>
      </c>
      <c r="Q1582" s="7">
        <v>1.9448946515397085</v>
      </c>
      <c r="U1582">
        <v>0.34879625066494724</v>
      </c>
      <c r="AT1582" s="4" t="s">
        <v>6359</v>
      </c>
    </row>
    <row r="1583" spans="1:46">
      <c r="A1583" s="2">
        <v>2314</v>
      </c>
      <c r="B1583" t="s">
        <v>6360</v>
      </c>
      <c r="C1583" t="s">
        <v>310</v>
      </c>
      <c r="D1583" t="s">
        <v>3752</v>
      </c>
      <c r="E1583" s="4">
        <v>43465</v>
      </c>
      <c r="F1583" s="11">
        <v>-16.465698379999999</v>
      </c>
      <c r="G1583" s="11">
        <v>12.71975181</v>
      </c>
      <c r="H1583" s="11">
        <v>15.9610038789</v>
      </c>
      <c r="I1583" s="11">
        <v>45.109544477100002</v>
      </c>
      <c r="J1583" s="11">
        <v>23.7712723295</v>
      </c>
      <c r="K1583" s="10">
        <v>0.363742234798</v>
      </c>
      <c r="L1583" s="12">
        <v>119678801154.28999</v>
      </c>
      <c r="M1583">
        <v>13.604217673492601</v>
      </c>
      <c r="N1583" s="7">
        <v>2.4602620169903799</v>
      </c>
      <c r="O1583" s="7">
        <v>3.4412462681029701</v>
      </c>
      <c r="P1583" s="7">
        <v>285.39007348502298</v>
      </c>
      <c r="Q1583" s="7">
        <v>2.4916943521594681</v>
      </c>
      <c r="U1583">
        <v>0.67783276340216525</v>
      </c>
      <c r="AT1583" s="4" t="s">
        <v>6361</v>
      </c>
    </row>
    <row r="1584" spans="1:46">
      <c r="A1584" s="2">
        <v>3162</v>
      </c>
      <c r="B1584" t="s">
        <v>6362</v>
      </c>
      <c r="C1584" t="s">
        <v>1602</v>
      </c>
      <c r="D1584" t="s">
        <v>3972</v>
      </c>
      <c r="E1584" s="4">
        <v>43465</v>
      </c>
      <c r="F1584" s="11">
        <v>-23.22432396</v>
      </c>
      <c r="G1584" s="11">
        <v>12.71929825</v>
      </c>
      <c r="H1584" s="11">
        <v>2.4938252914999999</v>
      </c>
      <c r="I1584" s="11">
        <v>24.1235667453</v>
      </c>
      <c r="J1584" s="11">
        <v>8.8027984829000001</v>
      </c>
      <c r="K1584" s="10">
        <v>0.120514546939</v>
      </c>
      <c r="L1584" s="12">
        <v>5630601600</v>
      </c>
      <c r="M1584">
        <v>26.075517353879999</v>
      </c>
      <c r="N1584" s="7">
        <v>1.66067943231781</v>
      </c>
      <c r="O1584" s="7">
        <v>1.51221499835773</v>
      </c>
      <c r="P1584" s="7">
        <v>32.366810279886302</v>
      </c>
      <c r="Q1584" s="7">
        <v>1.32</v>
      </c>
      <c r="U1584">
        <v>0.11864731127587867</v>
      </c>
      <c r="AT1584" s="4" t="s">
        <v>6363</v>
      </c>
    </row>
    <row r="1585" spans="1:46">
      <c r="A1585" s="2">
        <v>1073</v>
      </c>
      <c r="B1585" t="s">
        <v>6364</v>
      </c>
      <c r="C1585" t="s">
        <v>669</v>
      </c>
      <c r="D1585" t="s">
        <v>3752</v>
      </c>
      <c r="E1585" s="4">
        <v>43465</v>
      </c>
      <c r="F1585" s="11">
        <v>-50.360080750000002</v>
      </c>
      <c r="G1585" s="11">
        <v>12.70588235</v>
      </c>
      <c r="H1585" s="11">
        <v>-9.5562511531999998</v>
      </c>
      <c r="I1585" s="11">
        <v>23.2419976881</v>
      </c>
      <c r="J1585" s="11">
        <v>1.5418379205999999</v>
      </c>
      <c r="K1585" s="10">
        <v>0.40159469646399998</v>
      </c>
      <c r="L1585" s="12">
        <v>13609396754.309999</v>
      </c>
      <c r="M1585">
        <v>18.366979231993401</v>
      </c>
      <c r="N1585" s="7">
        <v>1.76694627045315</v>
      </c>
      <c r="O1585" s="7">
        <v>2.3905515702243099</v>
      </c>
      <c r="P1585" s="7">
        <v>30.472303573691899</v>
      </c>
      <c r="Q1585" s="7">
        <v>2.1833171366963451</v>
      </c>
      <c r="U1585">
        <v>2.4859274644013385E-2</v>
      </c>
      <c r="AT1585" s="4" t="s">
        <v>6365</v>
      </c>
    </row>
    <row r="1586" spans="1:46">
      <c r="A1586" s="2">
        <v>2989</v>
      </c>
      <c r="B1586" t="s">
        <v>6366</v>
      </c>
      <c r="C1586" t="s">
        <v>2872</v>
      </c>
      <c r="D1586" t="s">
        <v>3785</v>
      </c>
      <c r="E1586" s="4">
        <v>43465</v>
      </c>
      <c r="F1586" s="11">
        <v>-19.882468169999999</v>
      </c>
      <c r="G1586" s="11">
        <v>12.68758527</v>
      </c>
      <c r="H1586" s="11">
        <v>-2.2899867411999999</v>
      </c>
      <c r="I1586" s="11">
        <v>26.026999262</v>
      </c>
      <c r="J1586" s="11">
        <v>1.0579222557000001</v>
      </c>
      <c r="K1586" s="10">
        <v>0.50733983044200004</v>
      </c>
      <c r="L1586" s="12">
        <v>2269512000</v>
      </c>
      <c r="M1586">
        <v>-133.325419544206</v>
      </c>
      <c r="N1586" s="7">
        <v>2.50961368156426</v>
      </c>
      <c r="O1586" s="7">
        <v>2.04302825652938</v>
      </c>
      <c r="P1586" s="7">
        <v>-40.070402045833198</v>
      </c>
      <c r="Q1586" s="7" t="s">
        <v>3698</v>
      </c>
      <c r="U1586">
        <v>2.0303439151824875E-2</v>
      </c>
      <c r="AT1586" s="4" t="s">
        <v>6367</v>
      </c>
    </row>
    <row r="1587" spans="1:46">
      <c r="A1587" s="2">
        <v>2495</v>
      </c>
      <c r="B1587" t="s">
        <v>6368</v>
      </c>
      <c r="C1587" t="s">
        <v>443</v>
      </c>
      <c r="D1587" t="s">
        <v>3972</v>
      </c>
      <c r="E1587" s="4">
        <v>43465</v>
      </c>
      <c r="F1587" s="11">
        <v>24.772316750000002</v>
      </c>
      <c r="G1587" s="11">
        <v>12.65306122</v>
      </c>
      <c r="H1587" s="11">
        <v>5.428808718</v>
      </c>
      <c r="I1587" s="11">
        <v>54.113856436799999</v>
      </c>
      <c r="J1587" s="11">
        <v>44.896237589899997</v>
      </c>
      <c r="K1587" s="10">
        <v>0.21983542588499999</v>
      </c>
      <c r="L1587" s="12">
        <v>1765920000</v>
      </c>
      <c r="M1587">
        <v>12.729188629744399</v>
      </c>
      <c r="N1587" s="7">
        <v>1.8888759998764499</v>
      </c>
      <c r="O1587" s="7">
        <v>4.8846961189894902</v>
      </c>
      <c r="P1587" s="7">
        <v>288.19159681069698</v>
      </c>
      <c r="Q1587" s="7">
        <v>4.2790697674418601</v>
      </c>
      <c r="U1587">
        <v>0.86876206578436099</v>
      </c>
      <c r="AT1587" s="4" t="s">
        <v>6369</v>
      </c>
    </row>
    <row r="1588" spans="1:46">
      <c r="A1588" s="2">
        <v>2691</v>
      </c>
      <c r="B1588" t="s">
        <v>6370</v>
      </c>
      <c r="C1588" t="s">
        <v>228</v>
      </c>
      <c r="D1588" t="s">
        <v>3752</v>
      </c>
      <c r="E1588" s="4">
        <v>43465</v>
      </c>
      <c r="F1588" s="11">
        <v>-30.519040499999999</v>
      </c>
      <c r="G1588" s="11">
        <v>12.6348228</v>
      </c>
      <c r="H1588" s="11">
        <v>-0.77639413420000003</v>
      </c>
      <c r="I1588" s="11">
        <v>17.827238566799998</v>
      </c>
      <c r="J1588" s="11">
        <v>14.6824551778</v>
      </c>
      <c r="K1588" s="10">
        <v>1.492340529022</v>
      </c>
      <c r="L1588" s="12">
        <v>2983921074.1900001</v>
      </c>
      <c r="M1588">
        <v>7.0628400883187101</v>
      </c>
      <c r="N1588" s="7">
        <v>1.91689157546311</v>
      </c>
      <c r="O1588" s="7">
        <v>1.0680479507148</v>
      </c>
      <c r="P1588" s="7">
        <v>11.0572481800238</v>
      </c>
      <c r="Q1588" s="7">
        <v>1.7416545718432506</v>
      </c>
      <c r="U1588">
        <v>0.91064055364525531</v>
      </c>
      <c r="AT1588" s="4" t="s">
        <v>6371</v>
      </c>
    </row>
    <row r="1589" spans="1:46">
      <c r="A1589" s="2">
        <v>2005</v>
      </c>
      <c r="B1589" t="s">
        <v>6372</v>
      </c>
      <c r="C1589" t="s">
        <v>717</v>
      </c>
      <c r="D1589" t="s">
        <v>3737</v>
      </c>
      <c r="E1589" s="4">
        <v>43465</v>
      </c>
      <c r="F1589" s="11">
        <v>31.95227504</v>
      </c>
      <c r="G1589" s="11">
        <v>12.63463132</v>
      </c>
      <c r="H1589" s="11">
        <v>56.451367813399997</v>
      </c>
      <c r="I1589" s="11">
        <v>86.227179374200006</v>
      </c>
      <c r="J1589" s="11">
        <v>11.6901666106</v>
      </c>
      <c r="K1589" s="10">
        <v>0.99812693910100003</v>
      </c>
      <c r="L1589" s="12">
        <v>43361083728</v>
      </c>
      <c r="M1589">
        <v>37.3840326333398</v>
      </c>
      <c r="N1589" s="7">
        <v>4.9865196498101598</v>
      </c>
      <c r="O1589" s="7">
        <v>4.2669006129517904</v>
      </c>
      <c r="P1589" s="7">
        <v>37.021074347022797</v>
      </c>
      <c r="Q1589" s="7">
        <v>0.74294205052005935</v>
      </c>
      <c r="U1589">
        <v>0.69352676499999999</v>
      </c>
      <c r="AT1589" s="4" t="s">
        <v>5845</v>
      </c>
    </row>
    <row r="1590" spans="1:46">
      <c r="A1590" s="2">
        <v>100</v>
      </c>
      <c r="B1590" t="s">
        <v>6373</v>
      </c>
      <c r="C1590" t="s">
        <v>2788</v>
      </c>
      <c r="D1590" t="s">
        <v>3752</v>
      </c>
      <c r="E1590" s="4">
        <v>43465</v>
      </c>
      <c r="F1590" s="11">
        <v>-30.990415339999998</v>
      </c>
      <c r="G1590" s="11">
        <v>12.63157895</v>
      </c>
      <c r="H1590" s="11">
        <v>16.5881907793</v>
      </c>
      <c r="I1590" s="11">
        <v>17.719898421500002</v>
      </c>
      <c r="J1590" s="11">
        <v>5.4940779001999998</v>
      </c>
      <c r="K1590" s="10">
        <v>0.38473375912500002</v>
      </c>
      <c r="L1590" s="12">
        <v>9491883227.6399994</v>
      </c>
      <c r="M1590">
        <v>29.295141594507601</v>
      </c>
      <c r="N1590" s="7">
        <v>1.28263163236254</v>
      </c>
      <c r="O1590" s="7">
        <v>1.4763984266571399</v>
      </c>
      <c r="P1590" s="7">
        <v>9.7386345504968208</v>
      </c>
      <c r="Q1590" s="7" t="s">
        <v>3698</v>
      </c>
      <c r="U1590">
        <v>6.7191049437446054E-2</v>
      </c>
      <c r="AT1590" s="4" t="s">
        <v>4280</v>
      </c>
    </row>
    <row r="1591" spans="1:46">
      <c r="A1591" s="2">
        <v>2333</v>
      </c>
      <c r="B1591" t="s">
        <v>6374</v>
      </c>
      <c r="C1591" t="s">
        <v>850</v>
      </c>
      <c r="D1591" t="s">
        <v>3737</v>
      </c>
      <c r="E1591" s="4">
        <v>43465</v>
      </c>
      <c r="F1591" s="11">
        <v>-38.829030019999998</v>
      </c>
      <c r="G1591" s="11">
        <v>12.5913193</v>
      </c>
      <c r="H1591" s="11">
        <v>34.449505229000003</v>
      </c>
      <c r="I1591" s="11">
        <v>58.402781578999999</v>
      </c>
      <c r="J1591" s="11">
        <v>12.1191467227</v>
      </c>
      <c r="K1591" s="10">
        <v>0.37606139290500001</v>
      </c>
      <c r="L1591" s="12">
        <v>84568672975.75</v>
      </c>
      <c r="M1591">
        <v>28.646460348009999</v>
      </c>
      <c r="N1591" s="7">
        <v>3.1187502092589501</v>
      </c>
      <c r="O1591" s="7">
        <v>2.5148467999810098</v>
      </c>
      <c r="P1591" s="7">
        <v>-9.0973280784718593</v>
      </c>
      <c r="Q1591" s="7">
        <v>1.2723658051689859</v>
      </c>
      <c r="U1591">
        <v>1.0565193451402566</v>
      </c>
      <c r="AT1591" s="4" t="s">
        <v>6375</v>
      </c>
    </row>
    <row r="1592" spans="1:46">
      <c r="A1592" s="2">
        <v>3589</v>
      </c>
      <c r="B1592" t="s">
        <v>6376</v>
      </c>
      <c r="C1592" t="s">
        <v>454</v>
      </c>
      <c r="D1592" t="s">
        <v>3737</v>
      </c>
      <c r="E1592" s="4">
        <v>43465</v>
      </c>
      <c r="F1592" s="11">
        <v>-46.497887069999997</v>
      </c>
      <c r="G1592" s="11">
        <v>12.580279559999999</v>
      </c>
      <c r="H1592" s="11">
        <v>38.243956194200003</v>
      </c>
      <c r="I1592" s="11">
        <v>85.9100891434</v>
      </c>
      <c r="J1592" s="11">
        <v>21.048488168999999</v>
      </c>
      <c r="K1592" s="10">
        <v>0.482986780896</v>
      </c>
      <c r="L1592" s="12">
        <v>109895787422.45</v>
      </c>
      <c r="M1592">
        <v>46.5326026297966</v>
      </c>
      <c r="N1592" s="7">
        <v>3.8528675136037398</v>
      </c>
      <c r="O1592" s="7">
        <v>8.2343748159842196</v>
      </c>
      <c r="P1592" s="7">
        <v>-107.310453603705</v>
      </c>
      <c r="Q1592" s="7">
        <v>0.80167305681422085</v>
      </c>
      <c r="U1592">
        <v>0.75106008912014266</v>
      </c>
      <c r="AT1592" s="4" t="s">
        <v>6377</v>
      </c>
    </row>
    <row r="1593" spans="1:46">
      <c r="A1593" s="2">
        <v>3211</v>
      </c>
      <c r="B1593" t="s">
        <v>6378</v>
      </c>
      <c r="C1593" t="s">
        <v>1953</v>
      </c>
      <c r="D1593" t="s">
        <v>3718</v>
      </c>
      <c r="E1593" s="4">
        <v>43465</v>
      </c>
      <c r="F1593" s="11">
        <v>20.847846579999999</v>
      </c>
      <c r="G1593" s="11">
        <v>12.57783313</v>
      </c>
      <c r="H1593" s="11">
        <v>28.234776500500001</v>
      </c>
      <c r="I1593" s="11">
        <v>37.157986456899998</v>
      </c>
      <c r="J1593" s="11">
        <v>12.5291637192</v>
      </c>
      <c r="K1593" s="10">
        <v>0.37954821704300001</v>
      </c>
      <c r="L1593" s="12">
        <v>2765340000</v>
      </c>
      <c r="M1593">
        <v>29.050440821685001</v>
      </c>
      <c r="N1593" s="7">
        <v>1.9118021876998601</v>
      </c>
      <c r="O1593" s="7">
        <v>3.66000604113461</v>
      </c>
      <c r="P1593" s="7">
        <v>-31.389825666900201</v>
      </c>
      <c r="Q1593" s="7">
        <v>0.29002320185614849</v>
      </c>
      <c r="U1593">
        <v>0.32595056263353023</v>
      </c>
      <c r="AT1593" s="4" t="s">
        <v>5235</v>
      </c>
    </row>
    <row r="1594" spans="1:46">
      <c r="A1594" s="2">
        <v>868</v>
      </c>
      <c r="B1594" t="s">
        <v>6379</v>
      </c>
      <c r="C1594" t="s">
        <v>803</v>
      </c>
      <c r="D1594" t="s">
        <v>3972</v>
      </c>
      <c r="E1594" s="4">
        <v>43465</v>
      </c>
      <c r="F1594" s="11">
        <v>-36.82951164</v>
      </c>
      <c r="G1594" s="11">
        <v>12.568306010000001</v>
      </c>
      <c r="H1594" s="11">
        <v>-10.711302311300001</v>
      </c>
      <c r="I1594" s="11">
        <v>24.386522210100001</v>
      </c>
      <c r="J1594" s="11">
        <v>4.3709431091999997</v>
      </c>
      <c r="K1594" s="10">
        <v>0.36049813647399997</v>
      </c>
      <c r="L1594" s="12">
        <v>8044953905.6700001</v>
      </c>
      <c r="M1594">
        <v>52.193015835409902</v>
      </c>
      <c r="N1594" s="7">
        <v>1.84454004755861</v>
      </c>
      <c r="O1594" s="7">
        <v>1.7915565019486199</v>
      </c>
      <c r="P1594" s="7">
        <v>84.323591620949301</v>
      </c>
      <c r="Q1594" s="7">
        <v>1.7241379310344827</v>
      </c>
      <c r="U1594">
        <v>0.11996483583559842</v>
      </c>
      <c r="AT1594" s="4" t="s">
        <v>6380</v>
      </c>
    </row>
    <row r="1595" spans="1:46">
      <c r="A1595" s="2">
        <v>695</v>
      </c>
      <c r="B1595" t="s">
        <v>6381</v>
      </c>
      <c r="C1595" t="s">
        <v>3510</v>
      </c>
      <c r="D1595" t="s">
        <v>3761</v>
      </c>
      <c r="E1595" s="4">
        <v>43465</v>
      </c>
      <c r="F1595" s="11">
        <v>-11.963399750000001</v>
      </c>
      <c r="G1595" s="11">
        <v>12.54019293</v>
      </c>
      <c r="H1595" s="11">
        <v>-17.5670996825</v>
      </c>
      <c r="I1595" s="11">
        <v>19.235272245899999</v>
      </c>
      <c r="J1595" s="11">
        <v>-9.5937976153999998</v>
      </c>
      <c r="K1595" s="10">
        <v>0.78988242804700004</v>
      </c>
      <c r="L1595" s="12">
        <v>2905954292.25</v>
      </c>
      <c r="M1595">
        <v>-48.0892508498832</v>
      </c>
      <c r="N1595" s="7">
        <v>2.4585658221366198</v>
      </c>
      <c r="O1595" s="7">
        <v>1.1864518766399601</v>
      </c>
      <c r="P1595" s="7">
        <v>-178.99830732442399</v>
      </c>
      <c r="Q1595" s="7" t="s">
        <v>3698</v>
      </c>
      <c r="U1595">
        <v>-0.66095020825386008</v>
      </c>
      <c r="AT1595" s="4" t="s">
        <v>4478</v>
      </c>
    </row>
    <row r="1596" spans="1:46">
      <c r="A1596" s="2">
        <v>3423</v>
      </c>
      <c r="B1596" t="s">
        <v>6382</v>
      </c>
      <c r="C1596" t="s">
        <v>935</v>
      </c>
      <c r="D1596" t="s">
        <v>3713</v>
      </c>
      <c r="E1596" s="4">
        <v>43465</v>
      </c>
      <c r="F1596" s="11">
        <v>-20.97683769</v>
      </c>
      <c r="G1596" s="11">
        <v>12.5</v>
      </c>
      <c r="H1596" s="11">
        <v>8.1277501473000004</v>
      </c>
      <c r="I1596" s="11">
        <v>59.873736391100003</v>
      </c>
      <c r="J1596" s="11">
        <v>24.21711792</v>
      </c>
      <c r="K1596" s="10">
        <v>0.26587858187399999</v>
      </c>
      <c r="L1596" s="12">
        <v>38175144654.099998</v>
      </c>
      <c r="M1596">
        <v>34.353501101994503</v>
      </c>
      <c r="N1596" s="7">
        <v>2.6233162615809702</v>
      </c>
      <c r="O1596" s="7">
        <v>7.1602133087801896</v>
      </c>
      <c r="P1596" s="7">
        <v>-13.7621500410339</v>
      </c>
      <c r="Q1596" s="7">
        <v>1.03125</v>
      </c>
      <c r="U1596">
        <v>0.21526459873383405</v>
      </c>
      <c r="AT1596" s="4" t="s">
        <v>6383</v>
      </c>
    </row>
    <row r="1597" spans="1:46">
      <c r="A1597" s="2">
        <v>3430</v>
      </c>
      <c r="B1597" t="s">
        <v>6384</v>
      </c>
      <c r="C1597" t="s">
        <v>1203</v>
      </c>
      <c r="D1597" t="s">
        <v>3728</v>
      </c>
      <c r="E1597" s="4">
        <v>43465</v>
      </c>
      <c r="F1597" s="11">
        <v>-47.776349269999997</v>
      </c>
      <c r="G1597" s="11">
        <v>12.483221479999999</v>
      </c>
      <c r="H1597" s="11">
        <v>4.4258486544000002</v>
      </c>
      <c r="I1597" s="11">
        <v>35.603801447999999</v>
      </c>
      <c r="J1597" s="11">
        <v>12.8988894488</v>
      </c>
      <c r="K1597" s="10">
        <v>0.68848986905099996</v>
      </c>
      <c r="L1597" s="12">
        <v>30065043750</v>
      </c>
      <c r="M1597">
        <v>21.7134175056832</v>
      </c>
      <c r="N1597" s="7">
        <v>2.2575814139717401</v>
      </c>
      <c r="O1597" s="7">
        <v>2.5501249841118798</v>
      </c>
      <c r="P1597" s="7">
        <v>-20.366959206982099</v>
      </c>
      <c r="Q1597" s="7">
        <v>0.43620501635768816</v>
      </c>
      <c r="U1597">
        <v>0.38451339866288425</v>
      </c>
      <c r="AT1597" s="4" t="s">
        <v>3850</v>
      </c>
    </row>
    <row r="1598" spans="1:46">
      <c r="A1598" s="2">
        <v>814</v>
      </c>
      <c r="B1598" t="s">
        <v>6385</v>
      </c>
      <c r="C1598" t="s">
        <v>1453</v>
      </c>
      <c r="D1598" t="s">
        <v>4060</v>
      </c>
      <c r="E1598" s="4">
        <v>43465</v>
      </c>
      <c r="F1598" s="11">
        <v>-19.472099610000001</v>
      </c>
      <c r="G1598" s="11">
        <v>12.47311828</v>
      </c>
      <c r="H1598" s="11">
        <v>13.702092863100001</v>
      </c>
      <c r="I1598" s="11">
        <v>32.402374047800002</v>
      </c>
      <c r="J1598" s="11">
        <v>12.0794860301</v>
      </c>
      <c r="K1598" s="10">
        <v>0.528235332931</v>
      </c>
      <c r="L1598" s="12">
        <v>4401908903.4399996</v>
      </c>
      <c r="M1598">
        <v>19.123302535722502</v>
      </c>
      <c r="N1598" s="7">
        <v>1.5906796437264901</v>
      </c>
      <c r="O1598" s="7">
        <v>2.2383218528647801</v>
      </c>
      <c r="P1598" s="7">
        <v>-13.5644784929667</v>
      </c>
      <c r="Q1598" s="7">
        <v>4.1666666666666661</v>
      </c>
      <c r="U1598">
        <v>0.26199919239151581</v>
      </c>
      <c r="AT1598" s="4" t="s">
        <v>5573</v>
      </c>
    </row>
    <row r="1599" spans="1:46">
      <c r="A1599" s="2">
        <v>1553</v>
      </c>
      <c r="B1599" t="s">
        <v>6386</v>
      </c>
      <c r="C1599" t="s">
        <v>2947</v>
      </c>
      <c r="D1599" t="s">
        <v>3721</v>
      </c>
      <c r="E1599" s="4">
        <v>43465</v>
      </c>
      <c r="F1599" s="11">
        <v>-49.082887409999998</v>
      </c>
      <c r="G1599" s="11">
        <v>12.465373960000001</v>
      </c>
      <c r="H1599" s="11">
        <v>-15.1322407618</v>
      </c>
      <c r="I1599" s="11">
        <v>8.7771174133999992</v>
      </c>
      <c r="J1599" s="11">
        <v>-34.219194547000001</v>
      </c>
      <c r="K1599" s="10">
        <v>0.73910620712499997</v>
      </c>
      <c r="L1599" s="12">
        <v>2144877800</v>
      </c>
      <c r="M1599">
        <v>580.54324241996198</v>
      </c>
      <c r="N1599" s="7">
        <v>4.4567559448196699</v>
      </c>
      <c r="O1599" s="7">
        <v>1.31149209748801</v>
      </c>
      <c r="P1599" s="7">
        <v>-63.798144430352203</v>
      </c>
      <c r="Q1599" s="7" t="s">
        <v>3698</v>
      </c>
      <c r="U1599">
        <v>-0.75262760867680745</v>
      </c>
      <c r="AT1599" s="4" t="s">
        <v>4198</v>
      </c>
    </row>
    <row r="1600" spans="1:46">
      <c r="A1600" s="2">
        <v>3503</v>
      </c>
      <c r="B1600" t="s">
        <v>6387</v>
      </c>
      <c r="C1600" t="s">
        <v>713</v>
      </c>
      <c r="D1600" t="s">
        <v>3849</v>
      </c>
      <c r="E1600" s="4">
        <v>43465</v>
      </c>
      <c r="F1600" s="11">
        <v>15.7088997</v>
      </c>
      <c r="G1600" s="11">
        <v>12.45614035</v>
      </c>
      <c r="H1600" s="11">
        <v>-9.8372875636000003</v>
      </c>
      <c r="I1600" s="11">
        <v>31.3571973775</v>
      </c>
      <c r="J1600" s="11">
        <v>24.082095991399999</v>
      </c>
      <c r="K1600" s="10">
        <v>0.52162486555999998</v>
      </c>
      <c r="L1600" s="12">
        <v>56523526950</v>
      </c>
      <c r="M1600">
        <v>26.088161073388498</v>
      </c>
      <c r="N1600" s="7">
        <v>2.39268159445162</v>
      </c>
      <c r="O1600" s="7">
        <v>3.4603130861298999</v>
      </c>
      <c r="P1600" s="7">
        <v>60.768628873599397</v>
      </c>
      <c r="Q1600" s="7">
        <v>3.1465625001336983</v>
      </c>
      <c r="U1600">
        <v>0.75884263314792455</v>
      </c>
      <c r="AT1600" s="4" t="s">
        <v>6388</v>
      </c>
    </row>
    <row r="1601" spans="1:46">
      <c r="A1601" s="2">
        <v>933</v>
      </c>
      <c r="B1601" t="s">
        <v>6389</v>
      </c>
      <c r="C1601" t="s">
        <v>727</v>
      </c>
      <c r="D1601" t="s">
        <v>3737</v>
      </c>
      <c r="E1601" s="4">
        <v>43465</v>
      </c>
      <c r="F1601" s="11">
        <v>-4.33735757</v>
      </c>
      <c r="G1601" s="11">
        <v>12.44552058</v>
      </c>
      <c r="H1601" s="11">
        <v>42.998368128899997</v>
      </c>
      <c r="I1601" s="11">
        <v>59.563131171800002</v>
      </c>
      <c r="J1601" s="11">
        <v>7.7513472559999999</v>
      </c>
      <c r="K1601" s="10">
        <v>0.57025502978700005</v>
      </c>
      <c r="L1601" s="12">
        <v>8545795822.6400003</v>
      </c>
      <c r="M1601">
        <v>43.364058474306802</v>
      </c>
      <c r="N1601" s="7">
        <v>2.3588053089736398</v>
      </c>
      <c r="O1601" s="7">
        <v>1.88701708299822</v>
      </c>
      <c r="P1601" s="7">
        <v>42.097108678491601</v>
      </c>
      <c r="Q1601" s="7">
        <v>0.90267011197243763</v>
      </c>
      <c r="U1601">
        <v>0.84241277900997014</v>
      </c>
      <c r="AT1601" s="4" t="s">
        <v>6390</v>
      </c>
    </row>
    <row r="1602" spans="1:46">
      <c r="A1602" s="2">
        <v>1940</v>
      </c>
      <c r="B1602" t="s">
        <v>6391</v>
      </c>
      <c r="C1602" t="s">
        <v>1961</v>
      </c>
      <c r="D1602" t="s">
        <v>3718</v>
      </c>
      <c r="E1602" s="4">
        <v>43465</v>
      </c>
      <c r="F1602" s="11">
        <v>-14.48555002</v>
      </c>
      <c r="G1602" s="11">
        <v>12.42807825</v>
      </c>
      <c r="H1602" s="11">
        <v>23.2464258605</v>
      </c>
      <c r="I1602" s="11">
        <v>56.016513756800002</v>
      </c>
      <c r="J1602" s="11">
        <v>13.6922078444</v>
      </c>
      <c r="K1602" s="10">
        <v>0.44072624495099999</v>
      </c>
      <c r="L1602" s="12">
        <v>3379200000</v>
      </c>
      <c r="M1602">
        <v>72.015664614716798</v>
      </c>
      <c r="N1602" s="7">
        <v>3.71309740580657</v>
      </c>
      <c r="O1602" s="7">
        <v>7.1940227170134596</v>
      </c>
      <c r="P1602" s="7">
        <v>117.770677318498</v>
      </c>
      <c r="Q1602" s="7">
        <v>1.1086474501108647</v>
      </c>
      <c r="U1602">
        <v>0.17353266183311886</v>
      </c>
      <c r="AT1602" s="4" t="s">
        <v>4897</v>
      </c>
    </row>
    <row r="1603" spans="1:46">
      <c r="A1603" s="2">
        <v>240</v>
      </c>
      <c r="B1603" t="s">
        <v>6392</v>
      </c>
      <c r="C1603" t="s">
        <v>626</v>
      </c>
      <c r="D1603" t="s">
        <v>3737</v>
      </c>
      <c r="E1603" s="4">
        <v>43465</v>
      </c>
      <c r="F1603" s="11">
        <v>25.128829060000001</v>
      </c>
      <c r="G1603" s="11">
        <v>12.408759119999999</v>
      </c>
      <c r="H1603" s="11">
        <v>14.5599743579</v>
      </c>
      <c r="I1603" s="11">
        <v>42.984946408500001</v>
      </c>
      <c r="J1603" s="11">
        <v>13.2643604942</v>
      </c>
      <c r="K1603" s="10">
        <v>1.0025952726859999</v>
      </c>
      <c r="L1603" s="12">
        <v>4256726376.96</v>
      </c>
      <c r="M1603">
        <v>13.3799771090593</v>
      </c>
      <c r="N1603" s="7">
        <v>2.2517459467530601</v>
      </c>
      <c r="O1603" s="7">
        <v>1.5198168219649599</v>
      </c>
      <c r="P1603" s="7">
        <v>15.546229012427901</v>
      </c>
      <c r="Q1603" s="7">
        <v>1.6891891891891893</v>
      </c>
      <c r="U1603">
        <v>0.40898619888483689</v>
      </c>
      <c r="AT1603" s="4" t="s">
        <v>6393</v>
      </c>
    </row>
    <row r="1604" spans="1:46">
      <c r="A1604" s="2">
        <v>2797</v>
      </c>
      <c r="B1604" t="s">
        <v>6394</v>
      </c>
      <c r="C1604" t="s">
        <v>700</v>
      </c>
      <c r="D1604" t="s">
        <v>3871</v>
      </c>
      <c r="E1604" s="4">
        <v>43465</v>
      </c>
      <c r="F1604" s="11">
        <v>0.52631558000000001</v>
      </c>
      <c r="G1604" s="11">
        <v>12.386706950000001</v>
      </c>
      <c r="H1604" s="11">
        <v>24.200119881100001</v>
      </c>
      <c r="I1604" s="11">
        <v>28.106681412499999</v>
      </c>
      <c r="J1604" s="11">
        <v>17.742497180099999</v>
      </c>
      <c r="K1604" s="10">
        <v>0.46513059519400002</v>
      </c>
      <c r="L1604" s="12">
        <v>68173101297</v>
      </c>
      <c r="M1604">
        <v>-6.6475342739083896</v>
      </c>
      <c r="N1604" s="7">
        <v>1.94477388670718</v>
      </c>
      <c r="O1604" s="7">
        <v>0.92232463725867797</v>
      </c>
      <c r="P1604" s="7">
        <v>-9.5372384632857194</v>
      </c>
      <c r="Q1604" s="7">
        <v>0.57471264367816099</v>
      </c>
      <c r="U1604">
        <v>0.5170203345265989</v>
      </c>
      <c r="AT1604" s="4" t="s">
        <v>4101</v>
      </c>
    </row>
    <row r="1605" spans="1:46">
      <c r="A1605" s="2">
        <v>2592</v>
      </c>
      <c r="B1605" t="s">
        <v>6395</v>
      </c>
      <c r="C1605" t="s">
        <v>2557</v>
      </c>
      <c r="D1605" t="s">
        <v>3871</v>
      </c>
      <c r="E1605" s="4">
        <v>43465</v>
      </c>
      <c r="F1605" s="11">
        <v>6.5134567199999998</v>
      </c>
      <c r="G1605" s="11">
        <v>12.376237619999999</v>
      </c>
      <c r="H1605" s="11">
        <v>7.4586789439999999</v>
      </c>
      <c r="I1605" s="11">
        <v>32.847159066700002</v>
      </c>
      <c r="J1605" s="11">
        <v>11.2383993064</v>
      </c>
      <c r="K1605" s="10">
        <v>0.27428243436299998</v>
      </c>
      <c r="L1605" s="12">
        <v>4347799872.8800001</v>
      </c>
      <c r="M1605">
        <v>48.4024268669883</v>
      </c>
      <c r="N1605" s="7">
        <v>0.81441256012875796</v>
      </c>
      <c r="O1605" s="7">
        <v>1.40228251470722</v>
      </c>
      <c r="P1605" s="7">
        <v>11.9287545476863</v>
      </c>
      <c r="Q1605" s="7">
        <v>3.1655844155844153</v>
      </c>
      <c r="U1605">
        <v>0.63202829587505682</v>
      </c>
      <c r="AT1605" s="4" t="s">
        <v>6396</v>
      </c>
    </row>
    <row r="1606" spans="1:46">
      <c r="A1606" s="2">
        <v>2050</v>
      </c>
      <c r="B1606" t="s">
        <v>6397</v>
      </c>
      <c r="C1606" t="s">
        <v>2648</v>
      </c>
      <c r="D1606" t="s">
        <v>3718</v>
      </c>
      <c r="E1606" s="4">
        <v>43465</v>
      </c>
      <c r="F1606" s="11">
        <v>-27.93248736</v>
      </c>
      <c r="G1606" s="11">
        <v>12.374581940000001</v>
      </c>
      <c r="H1606" s="11">
        <v>60.934739632599999</v>
      </c>
      <c r="I1606" s="11">
        <v>33.2571760254</v>
      </c>
      <c r="J1606" s="11">
        <v>12.1945932009</v>
      </c>
      <c r="K1606" s="10">
        <v>0.55987045441200001</v>
      </c>
      <c r="L1606" s="12">
        <v>5678115200</v>
      </c>
      <c r="M1606">
        <v>38.442862113679197</v>
      </c>
      <c r="N1606" s="7">
        <v>2.58106730471121</v>
      </c>
      <c r="O1606" s="7">
        <v>4.17285684902944</v>
      </c>
      <c r="P1606" s="7">
        <v>124.49682890977</v>
      </c>
      <c r="Q1606" s="7">
        <v>0.97783572359843551</v>
      </c>
      <c r="U1606">
        <v>0.52113781978892315</v>
      </c>
      <c r="AT1606" s="4" t="s">
        <v>6398</v>
      </c>
    </row>
    <row r="1607" spans="1:46">
      <c r="A1607" s="2">
        <v>2668</v>
      </c>
      <c r="B1607" t="s">
        <v>6399</v>
      </c>
      <c r="C1607" t="s">
        <v>3581</v>
      </c>
      <c r="D1607" t="s">
        <v>3769</v>
      </c>
      <c r="E1607" s="4">
        <v>43465</v>
      </c>
      <c r="F1607" s="11">
        <v>-58.878504669999998</v>
      </c>
      <c r="G1607" s="11">
        <v>12.37113402</v>
      </c>
      <c r="H1607" s="11">
        <v>1.9842267385000001</v>
      </c>
      <c r="I1607" s="11">
        <v>1.5017251490000001</v>
      </c>
      <c r="J1607" s="11">
        <v>-35.446551053999997</v>
      </c>
      <c r="K1607" s="10">
        <v>0.484842241003</v>
      </c>
      <c r="L1607" s="12">
        <v>1956171584.6400001</v>
      </c>
      <c r="M1607">
        <v>-4.9366675629106096</v>
      </c>
      <c r="N1607" s="7">
        <v>1.1526672959987401</v>
      </c>
      <c r="O1607" s="7">
        <v>0.281755693393827</v>
      </c>
      <c r="P1607" s="7">
        <v>-7.6610672398319997</v>
      </c>
      <c r="Q1607" s="7" t="s">
        <v>3698</v>
      </c>
      <c r="U1607">
        <v>-1.2972025891022405</v>
      </c>
      <c r="AT1607" s="4" t="s">
        <v>6400</v>
      </c>
    </row>
    <row r="1608" spans="1:46">
      <c r="A1608" s="2">
        <v>3364</v>
      </c>
      <c r="B1608" t="s">
        <v>6401</v>
      </c>
      <c r="C1608" t="s">
        <v>894</v>
      </c>
      <c r="D1608" t="s">
        <v>3718</v>
      </c>
      <c r="E1608" s="4">
        <v>43465</v>
      </c>
      <c r="F1608" s="11">
        <v>-15.362916029999999</v>
      </c>
      <c r="G1608" s="11">
        <v>12.346521149999999</v>
      </c>
      <c r="H1608" s="11">
        <v>6.4512701779999997</v>
      </c>
      <c r="I1608" s="11">
        <v>26.276954065599998</v>
      </c>
      <c r="J1608" s="11">
        <v>9.1413158026999994</v>
      </c>
      <c r="K1608" s="10">
        <v>0.73168822532400002</v>
      </c>
      <c r="L1608" s="12">
        <v>2551502673.1799998</v>
      </c>
      <c r="M1608">
        <v>28.6544897359767</v>
      </c>
      <c r="N1608" s="7">
        <v>2.6373850665615302</v>
      </c>
      <c r="O1608" s="7">
        <v>2.4101095444935101</v>
      </c>
      <c r="P1608" s="7">
        <v>137.032620888781</v>
      </c>
      <c r="Q1608" s="7">
        <v>1.581037767841778</v>
      </c>
      <c r="U1608">
        <v>0.54532714014112471</v>
      </c>
      <c r="AT1608" s="4" t="s">
        <v>5345</v>
      </c>
    </row>
    <row r="1609" spans="1:46">
      <c r="A1609" s="2">
        <v>1661</v>
      </c>
      <c r="B1609" t="s">
        <v>6402</v>
      </c>
      <c r="C1609" t="s">
        <v>2035</v>
      </c>
      <c r="D1609" t="s">
        <v>3752</v>
      </c>
      <c r="E1609" s="4">
        <v>43465</v>
      </c>
      <c r="F1609" s="11">
        <v>22.418529289999999</v>
      </c>
      <c r="G1609" s="11">
        <v>12.333736399999999</v>
      </c>
      <c r="H1609" s="11">
        <v>18.503943768799999</v>
      </c>
      <c r="I1609" s="11">
        <v>33.9480262549</v>
      </c>
      <c r="J1609" s="11">
        <v>1.0968702079999999</v>
      </c>
      <c r="K1609" s="10">
        <v>0.36733893196599998</v>
      </c>
      <c r="L1609" s="12">
        <v>4313037600</v>
      </c>
      <c r="M1609">
        <v>2291.45003381073</v>
      </c>
      <c r="N1609" s="7">
        <v>4.0028987719513696</v>
      </c>
      <c r="O1609" s="7">
        <v>9.5702452578145305</v>
      </c>
      <c r="P1609" s="7">
        <v>28.0750630742223</v>
      </c>
      <c r="Q1609" s="7" t="s">
        <v>3698</v>
      </c>
      <c r="U1609">
        <v>3.4350897854372182E-2</v>
      </c>
      <c r="AT1609" s="4" t="s">
        <v>4519</v>
      </c>
    </row>
    <row r="1610" spans="1:46">
      <c r="A1610" s="2">
        <v>221</v>
      </c>
      <c r="B1610" t="s">
        <v>6403</v>
      </c>
      <c r="C1610" t="s">
        <v>3323</v>
      </c>
      <c r="D1610" t="s">
        <v>3998</v>
      </c>
      <c r="E1610" s="4">
        <v>43465</v>
      </c>
      <c r="F1610" s="11">
        <v>-30.32490975</v>
      </c>
      <c r="G1610" s="11">
        <v>12.331406550000001</v>
      </c>
      <c r="H1610" s="11">
        <v>8.6872912400000002E-2</v>
      </c>
      <c r="I1610" s="11">
        <v>11.2556860149</v>
      </c>
      <c r="J1610" s="11">
        <v>0.1013474085</v>
      </c>
      <c r="K1610" s="10">
        <v>0.84578807327000005</v>
      </c>
      <c r="L1610" s="12">
        <v>3921961971.6599998</v>
      </c>
      <c r="M1610">
        <v>-36.353115539508003</v>
      </c>
      <c r="N1610" s="7">
        <v>0.762235921883197</v>
      </c>
      <c r="O1610" s="7">
        <v>0.61635926566271904</v>
      </c>
      <c r="P1610" s="7">
        <v>-71.107776395064903</v>
      </c>
      <c r="Q1610" s="7" t="s">
        <v>3698</v>
      </c>
      <c r="U1610">
        <v>2.6952040194444447E-2</v>
      </c>
      <c r="AT1610" s="4" t="s">
        <v>6404</v>
      </c>
    </row>
    <row r="1611" spans="1:46">
      <c r="A1611" s="2">
        <v>955</v>
      </c>
      <c r="B1611" t="s">
        <v>6405</v>
      </c>
      <c r="C1611" t="s">
        <v>1416</v>
      </c>
      <c r="D1611" t="s">
        <v>3718</v>
      </c>
      <c r="E1611" s="4">
        <v>43465</v>
      </c>
      <c r="F1611" s="11">
        <v>-20.8462952</v>
      </c>
      <c r="G1611" s="11">
        <v>12.23628692</v>
      </c>
      <c r="H1611" s="11">
        <v>38.640835910699998</v>
      </c>
      <c r="I1611" s="11">
        <v>29.439291584599999</v>
      </c>
      <c r="J1611" s="11">
        <v>12.392704077799999</v>
      </c>
      <c r="K1611" s="10">
        <v>0.68995005085500005</v>
      </c>
      <c r="L1611" s="12">
        <v>8131328767.3500004</v>
      </c>
      <c r="M1611">
        <v>14.1675550722811</v>
      </c>
      <c r="N1611" s="7">
        <v>2.0993376707399301</v>
      </c>
      <c r="O1611" s="7">
        <v>1.8805364258135899</v>
      </c>
      <c r="P1611" s="7">
        <v>-20.020100789673201</v>
      </c>
      <c r="Q1611" s="7" t="s">
        <v>3698</v>
      </c>
      <c r="U1611">
        <v>0.66682261588655334</v>
      </c>
      <c r="AT1611" s="4" t="s">
        <v>6053</v>
      </c>
    </row>
    <row r="1612" spans="1:46">
      <c r="A1612" s="2">
        <v>3265</v>
      </c>
      <c r="B1612" t="s">
        <v>6406</v>
      </c>
      <c r="C1612" t="s">
        <v>3584</v>
      </c>
      <c r="D1612" t="s">
        <v>3832</v>
      </c>
      <c r="E1612" s="4">
        <v>43465</v>
      </c>
      <c r="F1612" s="11">
        <v>-16.61212295</v>
      </c>
      <c r="G1612" s="11">
        <v>12.200684150000001</v>
      </c>
      <c r="H1612" s="11">
        <v>19.446049493299999</v>
      </c>
      <c r="I1612" s="11">
        <v>34.418121313999997</v>
      </c>
      <c r="J1612" s="11">
        <v>14.570987200399999</v>
      </c>
      <c r="K1612" s="10">
        <v>0.38834053461899998</v>
      </c>
      <c r="L1612" s="12">
        <v>4398343956.2399998</v>
      </c>
      <c r="M1612">
        <v>32.028645418900403</v>
      </c>
      <c r="N1612" s="7">
        <v>2.31309681400381</v>
      </c>
      <c r="O1612" s="7">
        <v>5.1317876440860797</v>
      </c>
      <c r="P1612" s="7">
        <v>-442.14140093974498</v>
      </c>
      <c r="Q1612" s="7">
        <v>0.3066037735849057</v>
      </c>
      <c r="U1612">
        <v>0.25360905992425098</v>
      </c>
      <c r="AT1612" s="4" t="s">
        <v>6407</v>
      </c>
    </row>
    <row r="1613" spans="1:46">
      <c r="A1613" s="2">
        <v>1466</v>
      </c>
      <c r="B1613" t="s">
        <v>6408</v>
      </c>
      <c r="C1613" t="s">
        <v>1935</v>
      </c>
      <c r="D1613" t="s">
        <v>3764</v>
      </c>
      <c r="E1613" s="4">
        <v>43465</v>
      </c>
      <c r="F1613" s="11">
        <v>-41.750586169999998</v>
      </c>
      <c r="G1613" s="11">
        <v>12.195121950000001</v>
      </c>
      <c r="H1613" s="11">
        <v>-28.317030447699999</v>
      </c>
      <c r="I1613" s="11">
        <v>27.5798052695</v>
      </c>
      <c r="J1613" s="11">
        <v>4.4334738169000003</v>
      </c>
      <c r="K1613" s="10">
        <v>0.27258039275899998</v>
      </c>
      <c r="L1613" s="12">
        <v>2610684518.4000001</v>
      </c>
      <c r="M1613">
        <v>37.674420366192997</v>
      </c>
      <c r="N1613" s="7">
        <v>0.93677911950549297</v>
      </c>
      <c r="O1613" s="7">
        <v>1.4666291392667701</v>
      </c>
      <c r="P1613" s="7">
        <v>-23.8562019855922</v>
      </c>
      <c r="Q1613" s="7">
        <v>0.95238095238095233</v>
      </c>
      <c r="U1613">
        <v>0.1315395968709672</v>
      </c>
      <c r="AT1613" s="4" t="s">
        <v>4686</v>
      </c>
    </row>
    <row r="1614" spans="1:46">
      <c r="A1614" s="2">
        <v>3568</v>
      </c>
      <c r="B1614" t="s">
        <v>6409</v>
      </c>
      <c r="C1614" t="s">
        <v>2775</v>
      </c>
      <c r="D1614" t="s">
        <v>3832</v>
      </c>
      <c r="E1614" s="4">
        <v>43465</v>
      </c>
      <c r="F1614" s="11">
        <v>-24.256566329999998</v>
      </c>
      <c r="G1614" s="11">
        <v>12.172829249999999</v>
      </c>
      <c r="H1614" s="11">
        <v>8.5222271302999992</v>
      </c>
      <c r="I1614" s="11">
        <v>51.536729258900003</v>
      </c>
      <c r="J1614" s="11">
        <v>22.976432678999998</v>
      </c>
      <c r="K1614" s="10">
        <v>0.29914626746900003</v>
      </c>
      <c r="L1614" s="12">
        <v>33820574549.400002</v>
      </c>
      <c r="M1614">
        <v>41.233569382698001</v>
      </c>
      <c r="N1614" s="7">
        <v>2.6858902925263899</v>
      </c>
      <c r="O1614" s="7">
        <v>7.9001765875732799</v>
      </c>
      <c r="P1614" s="7">
        <v>-9.8965354270685193</v>
      </c>
      <c r="Q1614" s="7">
        <v>0.56809184481393515</v>
      </c>
      <c r="U1614">
        <v>0.71746990011997602</v>
      </c>
      <c r="AT1614" s="4" t="s">
        <v>4527</v>
      </c>
    </row>
    <row r="1615" spans="1:46">
      <c r="A1615" s="2">
        <v>2048</v>
      </c>
      <c r="B1615" t="s">
        <v>6410</v>
      </c>
      <c r="C1615" t="s">
        <v>2433</v>
      </c>
      <c r="D1615" t="s">
        <v>3718</v>
      </c>
      <c r="E1615" s="4">
        <v>43465</v>
      </c>
      <c r="F1615" s="11">
        <v>-48.959577199999998</v>
      </c>
      <c r="G1615" s="11">
        <v>12.150747239999999</v>
      </c>
      <c r="H1615" s="11">
        <v>-15.621686604900001</v>
      </c>
      <c r="I1615" s="11">
        <v>29.637753062000002</v>
      </c>
      <c r="J1615" s="11">
        <v>3.8758774549999999</v>
      </c>
      <c r="K1615" s="10">
        <v>0.43823300651399999</v>
      </c>
      <c r="L1615" s="12">
        <v>1959109000</v>
      </c>
      <c r="M1615">
        <v>79.9806019801388</v>
      </c>
      <c r="N1615" s="7">
        <v>4.3830907501122898</v>
      </c>
      <c r="O1615" s="7">
        <v>6.1475283049865102</v>
      </c>
      <c r="P1615" s="7">
        <v>-54.1246902340284</v>
      </c>
      <c r="Q1615" s="7">
        <v>5.2163403815770559E-2</v>
      </c>
      <c r="U1615">
        <v>8.1891195554402232E-2</v>
      </c>
      <c r="AT1615" s="4" t="s">
        <v>6411</v>
      </c>
    </row>
    <row r="1616" spans="1:46">
      <c r="A1616" s="2">
        <v>1339</v>
      </c>
      <c r="B1616" t="s">
        <v>6412</v>
      </c>
      <c r="C1616" t="s">
        <v>2787</v>
      </c>
      <c r="D1616" t="s">
        <v>3718</v>
      </c>
      <c r="E1616" s="4">
        <v>43465</v>
      </c>
      <c r="F1616" s="11">
        <v>-14.67461177</v>
      </c>
      <c r="G1616" s="11">
        <v>12.12516297</v>
      </c>
      <c r="H1616" s="11">
        <v>36.006406753199997</v>
      </c>
      <c r="I1616" s="11">
        <v>35.8741984312</v>
      </c>
      <c r="J1616" s="11">
        <v>10.1367189169</v>
      </c>
      <c r="K1616" s="10">
        <v>0.62800838995599995</v>
      </c>
      <c r="L1616" s="12">
        <v>7826309280.3199997</v>
      </c>
      <c r="M1616">
        <v>37.537070156827397</v>
      </c>
      <c r="N1616" s="7">
        <v>3.9649221808808699</v>
      </c>
      <c r="O1616" s="7">
        <v>3.2880585435304601</v>
      </c>
      <c r="P1616" s="7">
        <v>-52.3100056146463</v>
      </c>
      <c r="Q1616" s="7">
        <v>0.93307280746179033</v>
      </c>
      <c r="U1616">
        <v>0.50134027756196331</v>
      </c>
      <c r="AT1616" s="4" t="s">
        <v>4268</v>
      </c>
    </row>
    <row r="1617" spans="1:46">
      <c r="A1617" s="2">
        <v>3259</v>
      </c>
      <c r="B1617" t="s">
        <v>6413</v>
      </c>
      <c r="C1617" t="s">
        <v>1022</v>
      </c>
      <c r="D1617" t="s">
        <v>3752</v>
      </c>
      <c r="E1617" s="4">
        <v>43465</v>
      </c>
      <c r="F1617" s="11">
        <v>-8.4889831299999994</v>
      </c>
      <c r="G1617" s="11">
        <v>12.11849192</v>
      </c>
      <c r="H1617" s="11">
        <v>46.207742397600001</v>
      </c>
      <c r="I1617" s="11">
        <v>36.556960988</v>
      </c>
      <c r="J1617" s="11">
        <v>15.346225501199999</v>
      </c>
      <c r="K1617" s="10">
        <v>1.0540972522159999</v>
      </c>
      <c r="L1617" s="12">
        <v>5448558837.6700001</v>
      </c>
      <c r="M1617">
        <v>12.6714090228767</v>
      </c>
      <c r="N1617" s="7">
        <v>1.8385326528327799</v>
      </c>
      <c r="O1617" s="7">
        <v>1.7678508832449</v>
      </c>
      <c r="P1617" s="7">
        <v>-36.605887140302997</v>
      </c>
      <c r="Q1617" s="7" t="s">
        <v>3698</v>
      </c>
      <c r="U1617">
        <v>2.2414976566964286</v>
      </c>
      <c r="AT1617" s="4" t="s">
        <v>6414</v>
      </c>
    </row>
    <row r="1618" spans="1:46">
      <c r="A1618" s="2">
        <v>2688</v>
      </c>
      <c r="B1618" t="s">
        <v>6415</v>
      </c>
      <c r="C1618" t="s">
        <v>2466</v>
      </c>
      <c r="D1618" t="s">
        <v>3718</v>
      </c>
      <c r="E1618" s="4">
        <v>43465</v>
      </c>
      <c r="F1618" s="11">
        <v>-13.725490199999999</v>
      </c>
      <c r="G1618" s="11">
        <v>12.11832061</v>
      </c>
      <c r="H1618" s="11">
        <v>-11.8509039193</v>
      </c>
      <c r="I1618" s="11">
        <v>15.596041082599999</v>
      </c>
      <c r="J1618" s="11">
        <v>11.3276099595</v>
      </c>
      <c r="K1618" s="10">
        <v>0.12852523620799999</v>
      </c>
      <c r="L1618" s="12">
        <v>7015536667.5</v>
      </c>
      <c r="M1618">
        <v>1871.0906546260801</v>
      </c>
      <c r="N1618" s="7">
        <v>3.2908278270541098</v>
      </c>
      <c r="O1618" s="7">
        <v>22.704679867437001</v>
      </c>
      <c r="P1618" s="7">
        <v>-9.3890340468955191</v>
      </c>
      <c r="Q1618" s="7" t="s">
        <v>3698</v>
      </c>
      <c r="U1618">
        <v>4.9630638057844199E-2</v>
      </c>
      <c r="AT1618" s="4" t="s">
        <v>6416</v>
      </c>
    </row>
    <row r="1619" spans="1:46">
      <c r="A1619" s="2">
        <v>428</v>
      </c>
      <c r="B1619" t="s">
        <v>6417</v>
      </c>
      <c r="C1619" t="s">
        <v>847</v>
      </c>
      <c r="D1619" t="s">
        <v>3972</v>
      </c>
      <c r="E1619" s="4">
        <v>43465</v>
      </c>
      <c r="F1619" s="11">
        <v>-26.35801816</v>
      </c>
      <c r="G1619" s="11">
        <v>12.08226221</v>
      </c>
      <c r="H1619" s="11">
        <v>11.9716147466</v>
      </c>
      <c r="I1619" s="11">
        <v>14.558289656099999</v>
      </c>
      <c r="J1619" s="11">
        <v>8.0609606394999993</v>
      </c>
      <c r="K1619" s="10">
        <v>0.49726263111699998</v>
      </c>
      <c r="L1619" s="12">
        <v>1772251660</v>
      </c>
      <c r="M1619">
        <v>6.6325424832788196</v>
      </c>
      <c r="N1619" s="7">
        <v>0.63529553911843795</v>
      </c>
      <c r="O1619" s="7">
        <v>0.49444166420514701</v>
      </c>
      <c r="P1619" s="7">
        <v>21.740968825721101</v>
      </c>
      <c r="Q1619" s="7">
        <v>3.6057692307692313</v>
      </c>
      <c r="U1619">
        <v>0.63489415243713587</v>
      </c>
      <c r="AT1619" s="4" t="s">
        <v>4940</v>
      </c>
    </row>
    <row r="1620" spans="1:46">
      <c r="A1620" s="2">
        <v>1093</v>
      </c>
      <c r="B1620" t="s">
        <v>6418</v>
      </c>
      <c r="C1620" t="s">
        <v>590</v>
      </c>
      <c r="D1620" t="s">
        <v>3785</v>
      </c>
      <c r="E1620" s="4">
        <v>43465</v>
      </c>
      <c r="F1620" s="11">
        <v>-27.425837229999999</v>
      </c>
      <c r="G1620" s="11">
        <v>11.968085110000001</v>
      </c>
      <c r="H1620" s="11">
        <v>21.5943459778</v>
      </c>
      <c r="I1620" s="11">
        <v>28.475900140899999</v>
      </c>
      <c r="J1620" s="11">
        <v>2.2020876057000001</v>
      </c>
      <c r="K1620" s="10">
        <v>0.92578767329</v>
      </c>
      <c r="L1620" s="12">
        <v>4314692925.3999996</v>
      </c>
      <c r="M1620">
        <v>44.950617856855203</v>
      </c>
      <c r="N1620" s="7">
        <v>1.5268202838182601</v>
      </c>
      <c r="O1620" s="7">
        <v>0.80398243086126298</v>
      </c>
      <c r="P1620" s="7">
        <v>-16.1553410002359</v>
      </c>
      <c r="Q1620" s="7">
        <v>1.0063694267515924</v>
      </c>
      <c r="U1620">
        <v>0.25126143554612962</v>
      </c>
      <c r="AT1620" s="4" t="s">
        <v>5256</v>
      </c>
    </row>
    <row r="1621" spans="1:46">
      <c r="A1621" s="2">
        <v>2443</v>
      </c>
      <c r="B1621" t="s">
        <v>6419</v>
      </c>
      <c r="C1621" t="s">
        <v>1546</v>
      </c>
      <c r="D1621" t="s">
        <v>3972</v>
      </c>
      <c r="E1621" s="4">
        <v>43465</v>
      </c>
      <c r="F1621" s="11">
        <v>-22.603892519999999</v>
      </c>
      <c r="G1621" s="11">
        <v>11.94690265</v>
      </c>
      <c r="H1621" s="11">
        <v>26.0648537169</v>
      </c>
      <c r="I1621" s="11">
        <v>36.829364640100003</v>
      </c>
      <c r="J1621" s="11">
        <v>21.515655380599998</v>
      </c>
      <c r="K1621" s="10">
        <v>0.29622599445999998</v>
      </c>
      <c r="L1621" s="12">
        <v>2099868105</v>
      </c>
      <c r="M1621">
        <v>21.222462244091499</v>
      </c>
      <c r="N1621" s="7">
        <v>1.25685116515875</v>
      </c>
      <c r="O1621" s="7">
        <v>3.4825629581603201</v>
      </c>
      <c r="P1621" s="7">
        <v>29.2195975086793</v>
      </c>
      <c r="Q1621" s="7">
        <v>1.8799999999999997</v>
      </c>
      <c r="U1621">
        <v>0.15462816771125701</v>
      </c>
      <c r="AT1621" s="4" t="s">
        <v>6420</v>
      </c>
    </row>
    <row r="1622" spans="1:46">
      <c r="A1622" s="2">
        <v>2042</v>
      </c>
      <c r="B1622" t="s">
        <v>6421</v>
      </c>
      <c r="C1622" t="s">
        <v>976</v>
      </c>
      <c r="D1622" t="s">
        <v>3721</v>
      </c>
      <c r="E1622" s="4">
        <v>43465</v>
      </c>
      <c r="F1622" s="11">
        <v>5.8131404399999997</v>
      </c>
      <c r="G1622" s="11">
        <v>11.88245315</v>
      </c>
      <c r="H1622" s="11">
        <v>24.759116118000001</v>
      </c>
      <c r="I1622" s="11">
        <v>48.8631772723</v>
      </c>
      <c r="J1622" s="11">
        <v>30.823752362699999</v>
      </c>
      <c r="K1622" s="10">
        <v>0.36788962812699999</v>
      </c>
      <c r="L1622" s="12">
        <v>8042255505.7200003</v>
      </c>
      <c r="M1622">
        <v>28.2597423983451</v>
      </c>
      <c r="N1622" s="7">
        <v>3.1255507754613401</v>
      </c>
      <c r="O1622" s="7">
        <v>8.1473777979649498</v>
      </c>
      <c r="P1622" s="7">
        <v>-32.635083923378502</v>
      </c>
      <c r="Q1622" s="7">
        <v>0.82278498154217061</v>
      </c>
      <c r="U1622">
        <v>0.92169933915521218</v>
      </c>
      <c r="AT1622" s="4" t="s">
        <v>6094</v>
      </c>
    </row>
    <row r="1623" spans="1:46">
      <c r="A1623" s="2">
        <v>2429</v>
      </c>
      <c r="B1623" t="s">
        <v>6422</v>
      </c>
      <c r="C1623" t="s">
        <v>3462</v>
      </c>
      <c r="D1623" t="s">
        <v>3811</v>
      </c>
      <c r="E1623" s="4">
        <v>43465</v>
      </c>
      <c r="F1623" s="11">
        <v>-12.911392409999999</v>
      </c>
      <c r="G1623" s="11">
        <v>11.84210526</v>
      </c>
      <c r="H1623" s="11">
        <v>28.6170801506</v>
      </c>
      <c r="I1623" s="11">
        <v>2.9521276075</v>
      </c>
      <c r="J1623" s="11">
        <v>16.2926096578</v>
      </c>
      <c r="K1623" s="10">
        <v>0.47879784457699998</v>
      </c>
      <c r="L1623" s="12">
        <v>2084400000</v>
      </c>
      <c r="M1623">
        <v>-32.530366946343598</v>
      </c>
      <c r="N1623" s="7">
        <v>4.7162413595516304</v>
      </c>
      <c r="O1623" s="7">
        <v>10.7064267210678</v>
      </c>
      <c r="P1623" s="7">
        <v>-9.7443708077042501</v>
      </c>
      <c r="Q1623" s="7" t="s">
        <v>3698</v>
      </c>
      <c r="U1623">
        <v>0.23016135445511071</v>
      </c>
      <c r="AT1623" s="4" t="s">
        <v>5336</v>
      </c>
    </row>
    <row r="1624" spans="1:46">
      <c r="A1624" s="2">
        <v>2094</v>
      </c>
      <c r="B1624" t="s">
        <v>6423</v>
      </c>
      <c r="C1624" t="s">
        <v>1100</v>
      </c>
      <c r="D1624" t="s">
        <v>3737</v>
      </c>
      <c r="E1624" s="4">
        <v>43465</v>
      </c>
      <c r="F1624" s="11">
        <v>-66.733626619999995</v>
      </c>
      <c r="G1624" s="11">
        <v>11.83333333</v>
      </c>
      <c r="H1624" s="11">
        <v>21.0380587129</v>
      </c>
      <c r="I1624" s="11">
        <v>55.347904538999998</v>
      </c>
      <c r="J1624" s="11">
        <v>16.079610766399998</v>
      </c>
      <c r="K1624" s="10">
        <v>0.489501855406</v>
      </c>
      <c r="L1624" s="12">
        <v>11548160298</v>
      </c>
      <c r="M1624">
        <v>74.532971464229902</v>
      </c>
      <c r="N1624" s="7">
        <v>5.8297409739155901</v>
      </c>
      <c r="O1624" s="7">
        <v>9.7474339114728004</v>
      </c>
      <c r="P1624" s="7">
        <v>124.863196636653</v>
      </c>
      <c r="Q1624" s="7">
        <v>0.16866250632484397</v>
      </c>
      <c r="U1624">
        <v>0.96637219965008747</v>
      </c>
      <c r="AT1624" s="4" t="s">
        <v>6424</v>
      </c>
    </row>
    <row r="1625" spans="1:46">
      <c r="A1625" s="2">
        <v>3550</v>
      </c>
      <c r="B1625" t="s">
        <v>6425</v>
      </c>
      <c r="C1625" t="s">
        <v>1597</v>
      </c>
      <c r="D1625" t="s">
        <v>3764</v>
      </c>
      <c r="E1625" s="4">
        <v>43465</v>
      </c>
      <c r="F1625" s="11">
        <v>-47.549734430000001</v>
      </c>
      <c r="G1625" s="11">
        <v>11.81364393</v>
      </c>
      <c r="H1625" s="11">
        <v>38.375574241700001</v>
      </c>
      <c r="I1625" s="11">
        <v>43.558673993799999</v>
      </c>
      <c r="J1625" s="11">
        <v>24.531567206199998</v>
      </c>
      <c r="K1625" s="10">
        <v>0.184561283203</v>
      </c>
      <c r="L1625" s="12">
        <v>2650699800</v>
      </c>
      <c r="M1625">
        <v>27.120888737907801</v>
      </c>
      <c r="N1625" s="7">
        <v>1.77762876429661</v>
      </c>
      <c r="O1625" s="7">
        <v>6.6732415189358196</v>
      </c>
      <c r="P1625" s="7">
        <v>-32.228967147683903</v>
      </c>
      <c r="Q1625" s="7">
        <v>0.83067092651757202</v>
      </c>
      <c r="U1625">
        <v>0.25919096926666668</v>
      </c>
      <c r="AT1625" s="4" t="s">
        <v>4212</v>
      </c>
    </row>
    <row r="1626" spans="1:46">
      <c r="A1626" s="2">
        <v>2833</v>
      </c>
      <c r="B1626" t="s">
        <v>6426</v>
      </c>
      <c r="C1626" t="s">
        <v>3248</v>
      </c>
      <c r="D1626" t="s">
        <v>4046</v>
      </c>
      <c r="E1626" s="4">
        <v>43465</v>
      </c>
      <c r="F1626" s="11">
        <v>-9.4296360000000004</v>
      </c>
      <c r="G1626" s="11">
        <v>11.80079394</v>
      </c>
      <c r="H1626" s="11">
        <v>3.5579462872000001</v>
      </c>
      <c r="I1626" s="11">
        <v>9.0906335048999996</v>
      </c>
      <c r="J1626" s="11">
        <v>3.6996162830000001</v>
      </c>
      <c r="K1626" s="10">
        <v>0.73505176858800003</v>
      </c>
      <c r="L1626" s="12">
        <v>1900397302.1600001</v>
      </c>
      <c r="M1626">
        <v>55.502508387697802</v>
      </c>
      <c r="N1626" s="7">
        <v>4.9352144119993602</v>
      </c>
      <c r="O1626" s="7">
        <v>1.37780454339346</v>
      </c>
      <c r="P1626" s="7">
        <v>6.5180262959921702</v>
      </c>
      <c r="Q1626" s="7" t="s">
        <v>3698</v>
      </c>
      <c r="U1626">
        <v>0.53073767860198962</v>
      </c>
      <c r="AT1626" s="4" t="s">
        <v>5114</v>
      </c>
    </row>
    <row r="1627" spans="1:46">
      <c r="A1627" s="2">
        <v>783</v>
      </c>
      <c r="B1627" t="s">
        <v>6427</v>
      </c>
      <c r="C1627" t="s">
        <v>3282</v>
      </c>
      <c r="D1627" t="s">
        <v>3718</v>
      </c>
      <c r="E1627" s="4">
        <v>43465</v>
      </c>
      <c r="F1627" s="11">
        <v>-21.777003480000001</v>
      </c>
      <c r="G1627" s="11">
        <v>11.75</v>
      </c>
      <c r="H1627" s="11">
        <v>9.0413672041000002</v>
      </c>
      <c r="I1627" s="11">
        <v>18.240865570699999</v>
      </c>
      <c r="J1627" s="11">
        <v>6.7153021543999998</v>
      </c>
      <c r="K1627" s="10">
        <v>0.39284687929099998</v>
      </c>
      <c r="L1627" s="12">
        <v>1824364800</v>
      </c>
      <c r="M1627">
        <v>-35.014284362650997</v>
      </c>
      <c r="N1627" s="7">
        <v>1.39928315561752</v>
      </c>
      <c r="O1627" s="7">
        <v>3.16256040410715</v>
      </c>
      <c r="P1627" s="7">
        <v>34.172678164481503</v>
      </c>
      <c r="Q1627" s="7" t="s">
        <v>3698</v>
      </c>
      <c r="U1627">
        <v>0.10452326122211897</v>
      </c>
      <c r="AT1627" s="4" t="s">
        <v>4323</v>
      </c>
    </row>
    <row r="1628" spans="1:46">
      <c r="A1628" s="2">
        <v>2464</v>
      </c>
      <c r="B1628" t="s">
        <v>6428</v>
      </c>
      <c r="C1628" t="s">
        <v>134</v>
      </c>
      <c r="D1628" t="s">
        <v>3871</v>
      </c>
      <c r="E1628" s="4">
        <v>43465</v>
      </c>
      <c r="F1628" s="11">
        <v>-1.94791241</v>
      </c>
      <c r="G1628" s="11">
        <v>11.74852652</v>
      </c>
      <c r="H1628" s="11">
        <v>40.518151294200003</v>
      </c>
      <c r="I1628" s="11">
        <v>41.623311638099999</v>
      </c>
      <c r="J1628" s="11">
        <v>14.084659415499999</v>
      </c>
      <c r="K1628" s="10">
        <v>0.21334290178900001</v>
      </c>
      <c r="L1628" s="12">
        <v>2090449526.52</v>
      </c>
      <c r="M1628">
        <v>7.9742720748115898</v>
      </c>
      <c r="N1628" s="7">
        <v>2.2300166216245199</v>
      </c>
      <c r="O1628" s="7">
        <v>1.0344553884119601</v>
      </c>
      <c r="P1628" s="7">
        <v>-9.8606938514010292</v>
      </c>
      <c r="Q1628" s="7">
        <v>4.280614853073466</v>
      </c>
      <c r="U1628">
        <v>3.9110249850522933</v>
      </c>
      <c r="AT1628" s="4" t="s">
        <v>6429</v>
      </c>
    </row>
    <row r="1629" spans="1:46">
      <c r="A1629" s="2">
        <v>2290</v>
      </c>
      <c r="B1629" t="s">
        <v>6430</v>
      </c>
      <c r="C1629" t="s">
        <v>3457</v>
      </c>
      <c r="D1629" t="s">
        <v>3811</v>
      </c>
      <c r="E1629" s="4">
        <v>43465</v>
      </c>
      <c r="F1629" s="11">
        <v>-48.999046710000002</v>
      </c>
      <c r="G1629" s="11">
        <v>11.74004193</v>
      </c>
      <c r="H1629" s="11">
        <v>43.298685292899997</v>
      </c>
      <c r="I1629" s="11">
        <v>8.2788078301999999</v>
      </c>
      <c r="J1629" s="11">
        <v>5.7791772135999997</v>
      </c>
      <c r="K1629" s="10">
        <v>0.142444132424</v>
      </c>
      <c r="L1629" s="12">
        <v>3686381676.1199999</v>
      </c>
      <c r="M1629">
        <v>-118.254342822363</v>
      </c>
      <c r="N1629" s="7">
        <v>10.9252908981838</v>
      </c>
      <c r="O1629" s="7">
        <v>28.903261386164299</v>
      </c>
      <c r="P1629" s="7">
        <v>13.8836755673815</v>
      </c>
      <c r="Q1629" s="7" t="s">
        <v>3698</v>
      </c>
      <c r="U1629">
        <v>5.4100944076178447E-3</v>
      </c>
      <c r="AT1629" s="4" t="s">
        <v>6431</v>
      </c>
    </row>
    <row r="1630" spans="1:46">
      <c r="A1630" s="2">
        <v>2451</v>
      </c>
      <c r="B1630" t="s">
        <v>6432</v>
      </c>
      <c r="C1630" t="s">
        <v>2444</v>
      </c>
      <c r="D1630" t="s">
        <v>3998</v>
      </c>
      <c r="E1630" s="4">
        <v>43465</v>
      </c>
      <c r="F1630" s="11">
        <v>-27.072866690000001</v>
      </c>
      <c r="G1630" s="11">
        <v>11.72839506</v>
      </c>
      <c r="H1630" s="11">
        <v>39.834336889900001</v>
      </c>
      <c r="I1630" s="11">
        <v>32.5893849522</v>
      </c>
      <c r="J1630" s="11">
        <v>17.088292171700001</v>
      </c>
      <c r="K1630" s="10">
        <v>0.59030729181599995</v>
      </c>
      <c r="L1630" s="12">
        <v>2797760000</v>
      </c>
      <c r="M1630">
        <v>13.8369490384678</v>
      </c>
      <c r="N1630" s="7">
        <v>1.84184524594485</v>
      </c>
      <c r="O1630" s="7">
        <v>1.1982884053398799</v>
      </c>
      <c r="P1630" s="7">
        <v>4.1344648719406401</v>
      </c>
      <c r="Q1630" s="7">
        <v>1.1851851851851851</v>
      </c>
      <c r="U1630">
        <v>0.51949629678488241</v>
      </c>
      <c r="AT1630" s="4" t="s">
        <v>6369</v>
      </c>
    </row>
    <row r="1631" spans="1:46">
      <c r="A1631" s="2">
        <v>2298</v>
      </c>
      <c r="B1631" t="s">
        <v>6433</v>
      </c>
      <c r="C1631" t="s">
        <v>3326</v>
      </c>
      <c r="D1631" t="s">
        <v>3871</v>
      </c>
      <c r="E1631" s="4">
        <v>43465</v>
      </c>
      <c r="F1631" s="11">
        <v>-1.9758236499999999</v>
      </c>
      <c r="G1631" s="11">
        <v>11.698537679999999</v>
      </c>
      <c r="H1631" s="11">
        <v>32.745365108100003</v>
      </c>
      <c r="I1631" s="11">
        <v>24.063156713400002</v>
      </c>
      <c r="J1631" s="11">
        <v>6.3101265287999997</v>
      </c>
      <c r="K1631" s="10">
        <v>0.35748055349399999</v>
      </c>
      <c r="L1631" s="12">
        <v>2150954611.52</v>
      </c>
      <c r="M1631">
        <v>123.135763019641</v>
      </c>
      <c r="N1631" s="7">
        <v>4.5219068847732302</v>
      </c>
      <c r="O1631" s="7">
        <v>6.5417521767149198</v>
      </c>
      <c r="P1631" s="7">
        <v>31.6069119680669</v>
      </c>
      <c r="Q1631" s="7">
        <v>0.32432432432432429</v>
      </c>
      <c r="U1631">
        <v>9.9446476436872114E-2</v>
      </c>
      <c r="AT1631" s="4" t="s">
        <v>6434</v>
      </c>
    </row>
    <row r="1632" spans="1:46">
      <c r="A1632" s="2">
        <v>1359</v>
      </c>
      <c r="B1632" t="s">
        <v>6435</v>
      </c>
      <c r="C1632" t="s">
        <v>1245</v>
      </c>
      <c r="D1632" t="s">
        <v>3721</v>
      </c>
      <c r="E1632" s="4">
        <v>43465</v>
      </c>
      <c r="F1632" s="11">
        <v>-1.2024948799999999</v>
      </c>
      <c r="G1632" s="11">
        <v>11.674796750000001</v>
      </c>
      <c r="H1632" s="11">
        <v>31.582586521500001</v>
      </c>
      <c r="I1632" s="11">
        <v>37.054471417199998</v>
      </c>
      <c r="J1632" s="11">
        <v>20.997441694500001</v>
      </c>
      <c r="K1632" s="10">
        <v>0.71308649849399997</v>
      </c>
      <c r="L1632" s="12">
        <v>6617731536.2399998</v>
      </c>
      <c r="M1632">
        <v>30.3422926921073</v>
      </c>
      <c r="N1632" s="7">
        <v>5.1068978283658</v>
      </c>
      <c r="O1632" s="7">
        <v>6.09395095795057</v>
      </c>
      <c r="P1632" s="7">
        <v>169.18657919865501</v>
      </c>
      <c r="Q1632" s="7">
        <v>0.73800738007380084</v>
      </c>
      <c r="U1632">
        <v>1.0651073362479204</v>
      </c>
      <c r="AT1632" s="4" t="s">
        <v>5694</v>
      </c>
    </row>
    <row r="1633" spans="1:46">
      <c r="A1633" s="2">
        <v>1670</v>
      </c>
      <c r="B1633" t="s">
        <v>6436</v>
      </c>
      <c r="C1633" t="s">
        <v>2710</v>
      </c>
      <c r="D1633" t="s">
        <v>3713</v>
      </c>
      <c r="E1633" s="4">
        <v>43465</v>
      </c>
      <c r="F1633" s="11">
        <v>-29.54520003</v>
      </c>
      <c r="G1633" s="11">
        <v>11.65501166</v>
      </c>
      <c r="H1633" s="11">
        <v>7.7988803695</v>
      </c>
      <c r="I1633" s="11">
        <v>31.5252392015</v>
      </c>
      <c r="J1633" s="11">
        <v>14.6126320879</v>
      </c>
      <c r="K1633" s="10">
        <v>0.25216726901800002</v>
      </c>
      <c r="L1633" s="12">
        <v>4326590102.3999996</v>
      </c>
      <c r="M1633">
        <v>126.62886089841101</v>
      </c>
      <c r="N1633" s="7">
        <v>1.9238052322802699</v>
      </c>
      <c r="O1633" s="7">
        <v>7.7504105288745002</v>
      </c>
      <c r="P1633" s="7">
        <v>44.609176319975099</v>
      </c>
      <c r="Q1633" s="7">
        <v>0.43859649122807026</v>
      </c>
      <c r="U1633">
        <v>0.18704366508794865</v>
      </c>
      <c r="AT1633" s="4" t="s">
        <v>4919</v>
      </c>
    </row>
    <row r="1634" spans="1:46">
      <c r="A1634" s="2">
        <v>2891</v>
      </c>
      <c r="B1634" t="s">
        <v>6437</v>
      </c>
      <c r="C1634" t="s">
        <v>2789</v>
      </c>
      <c r="D1634" t="s">
        <v>4060</v>
      </c>
      <c r="E1634" s="4">
        <v>43465</v>
      </c>
      <c r="F1634" s="11">
        <v>-47.528753029999997</v>
      </c>
      <c r="G1634" s="11">
        <v>11.60377358</v>
      </c>
      <c r="H1634" s="11">
        <v>-12.514821816</v>
      </c>
      <c r="I1634" s="11">
        <v>13.189287199300001</v>
      </c>
      <c r="J1634" s="11">
        <v>-0.86541277520000004</v>
      </c>
      <c r="K1634" s="10">
        <v>0.50695181982600002</v>
      </c>
      <c r="L1634" s="12">
        <v>16506106657.65</v>
      </c>
      <c r="M1634">
        <v>-64.595516530943499</v>
      </c>
      <c r="N1634" s="7">
        <v>5.3681103687295</v>
      </c>
      <c r="O1634" s="7">
        <v>6.3959656944178001</v>
      </c>
      <c r="P1634" s="7">
        <v>-346.22413115345603</v>
      </c>
      <c r="Q1634" s="7">
        <v>0.40192926045016075</v>
      </c>
      <c r="U1634">
        <v>1.576575395994953E-2</v>
      </c>
      <c r="AT1634" s="4" t="s">
        <v>5492</v>
      </c>
    </row>
    <row r="1635" spans="1:46">
      <c r="A1635" s="2">
        <v>1434</v>
      </c>
      <c r="B1635" t="s">
        <v>6438</v>
      </c>
      <c r="C1635" t="s">
        <v>2898</v>
      </c>
      <c r="D1635" t="s">
        <v>4046</v>
      </c>
      <c r="E1635" s="4">
        <v>43465</v>
      </c>
      <c r="F1635" s="11">
        <v>-57.978842120000003</v>
      </c>
      <c r="G1635" s="11">
        <v>11.583011580000001</v>
      </c>
      <c r="H1635" s="11">
        <v>-30.682169645399998</v>
      </c>
      <c r="I1635" s="11">
        <v>2.3497082845000001</v>
      </c>
      <c r="J1635" s="11">
        <v>-182.8264698337</v>
      </c>
      <c r="K1635" s="10">
        <v>0.30255560775399998</v>
      </c>
      <c r="L1635" s="12">
        <v>7095565108.8000002</v>
      </c>
      <c r="M1635">
        <v>-1.80107005083098</v>
      </c>
      <c r="N1635" s="7">
        <v>3.30465865931783</v>
      </c>
      <c r="O1635" s="7">
        <v>1.79605175475904</v>
      </c>
      <c r="P1635" s="7">
        <v>-9.2375367832195607</v>
      </c>
      <c r="Q1635" s="7" t="s">
        <v>3698</v>
      </c>
      <c r="U1635">
        <v>-1.9566456447190002</v>
      </c>
      <c r="AT1635" s="4" t="s">
        <v>3770</v>
      </c>
    </row>
    <row r="1636" spans="1:46">
      <c r="A1636" s="2">
        <v>2494</v>
      </c>
      <c r="B1636" t="s">
        <v>6439</v>
      </c>
      <c r="C1636" t="s">
        <v>2198</v>
      </c>
      <c r="D1636" t="s">
        <v>3871</v>
      </c>
      <c r="E1636" s="4">
        <v>43465</v>
      </c>
      <c r="F1636" s="11">
        <v>-3.6369545400000001</v>
      </c>
      <c r="G1636" s="11">
        <v>11.54381085</v>
      </c>
      <c r="H1636" s="11">
        <v>8.3137293069999991</v>
      </c>
      <c r="I1636" s="11">
        <v>32.743882167800002</v>
      </c>
      <c r="J1636" s="11">
        <v>10.0259477922</v>
      </c>
      <c r="K1636" s="10">
        <v>0.149418844193</v>
      </c>
      <c r="L1636" s="12">
        <v>1617819203.2</v>
      </c>
      <c r="M1636">
        <v>7.8558420234832003</v>
      </c>
      <c r="N1636" s="7">
        <v>0.81053291058112198</v>
      </c>
      <c r="O1636" s="7">
        <v>0.43975577535795601</v>
      </c>
      <c r="P1636" s="7">
        <v>-38.666115603580103</v>
      </c>
      <c r="Q1636" s="7">
        <v>5.2151238591916558</v>
      </c>
      <c r="U1636">
        <v>1.2275559329156134</v>
      </c>
      <c r="AT1636" s="4" t="s">
        <v>6440</v>
      </c>
    </row>
    <row r="1637" spans="1:46">
      <c r="A1637" s="2">
        <v>474</v>
      </c>
      <c r="B1637" t="s">
        <v>6441</v>
      </c>
      <c r="C1637" t="s">
        <v>1687</v>
      </c>
      <c r="D1637" t="s">
        <v>3769</v>
      </c>
      <c r="E1637" s="4">
        <v>43465</v>
      </c>
      <c r="F1637" s="11">
        <v>-20.90909091</v>
      </c>
      <c r="G1637" s="11">
        <v>11.53039832</v>
      </c>
      <c r="H1637" s="11">
        <v>15.085764190900001</v>
      </c>
      <c r="I1637" s="11">
        <v>8.8436921067000007</v>
      </c>
      <c r="J1637" s="11">
        <v>2.8358798165999999</v>
      </c>
      <c r="K1637" s="10">
        <v>1.222159902025</v>
      </c>
      <c r="L1637" s="12">
        <v>27486870000</v>
      </c>
      <c r="M1637">
        <v>14.8526953177967</v>
      </c>
      <c r="N1637" s="7">
        <v>1.33197706124469</v>
      </c>
      <c r="O1637" s="7">
        <v>0.41727909885237402</v>
      </c>
      <c r="P1637" s="7">
        <v>13.2492618778105</v>
      </c>
      <c r="Q1637" s="7" t="s">
        <v>3698</v>
      </c>
      <c r="U1637">
        <v>0.52805860843264008</v>
      </c>
      <c r="AT1637" s="4" t="s">
        <v>6442</v>
      </c>
    </row>
    <row r="1638" spans="1:46">
      <c r="A1638" s="2">
        <v>2924</v>
      </c>
      <c r="B1638" t="s">
        <v>6443</v>
      </c>
      <c r="C1638" t="s">
        <v>2687</v>
      </c>
      <c r="D1638" t="s">
        <v>3737</v>
      </c>
      <c r="E1638" s="4">
        <v>43465</v>
      </c>
      <c r="F1638" s="11">
        <v>-24.565466950000001</v>
      </c>
      <c r="G1638" s="11">
        <v>11.52737752</v>
      </c>
      <c r="H1638" s="11">
        <v>9.8196078133999993</v>
      </c>
      <c r="I1638" s="11">
        <v>40.477081735600002</v>
      </c>
      <c r="J1638" s="11">
        <v>14.200116965799999</v>
      </c>
      <c r="K1638" s="10">
        <v>0.23372138841500001</v>
      </c>
      <c r="L1638" s="12">
        <v>3033000000</v>
      </c>
      <c r="M1638">
        <v>81.276347353513401</v>
      </c>
      <c r="N1638" s="7">
        <v>2.44891737266776</v>
      </c>
      <c r="O1638" s="7">
        <v>7.8599796755218696</v>
      </c>
      <c r="P1638" s="7">
        <v>-52.268406210896003</v>
      </c>
      <c r="Q1638" s="7">
        <v>0.45336787564766834</v>
      </c>
      <c r="U1638">
        <v>0.11204971276527249</v>
      </c>
      <c r="AT1638" s="4" t="s">
        <v>6444</v>
      </c>
    </row>
    <row r="1639" spans="1:46">
      <c r="A1639" s="2">
        <v>2408</v>
      </c>
      <c r="B1639" t="s">
        <v>6445</v>
      </c>
      <c r="C1639" t="s">
        <v>2636</v>
      </c>
      <c r="D1639" t="s">
        <v>3972</v>
      </c>
      <c r="E1639" s="4">
        <v>43465</v>
      </c>
      <c r="F1639" s="11">
        <v>-17.268665250000002</v>
      </c>
      <c r="G1639" s="11">
        <v>11.50895141</v>
      </c>
      <c r="H1639" s="11">
        <v>0.72861755189999999</v>
      </c>
      <c r="I1639" s="11">
        <v>7.2731901795000002</v>
      </c>
      <c r="J1639" s="11">
        <v>2.7872448476999998</v>
      </c>
      <c r="K1639" s="10">
        <v>0.76523886247299999</v>
      </c>
      <c r="L1639" s="12">
        <v>44252301406</v>
      </c>
      <c r="M1639">
        <v>31.7039386502985</v>
      </c>
      <c r="N1639" s="7">
        <v>0.74910452240983105</v>
      </c>
      <c r="O1639" s="7">
        <v>0.40699078568632802</v>
      </c>
      <c r="P1639" s="7">
        <v>18.0754212959203</v>
      </c>
      <c r="Q1639" s="7">
        <v>1.4742014742014742</v>
      </c>
      <c r="U1639">
        <v>0.19608266991753151</v>
      </c>
      <c r="AT1639" s="4" t="s">
        <v>5296</v>
      </c>
    </row>
    <row r="1640" spans="1:46">
      <c r="A1640" s="2">
        <v>1969</v>
      </c>
      <c r="B1640" t="s">
        <v>6446</v>
      </c>
      <c r="C1640" t="s">
        <v>3316</v>
      </c>
      <c r="D1640" t="s">
        <v>3721</v>
      </c>
      <c r="E1640" s="4">
        <v>43465</v>
      </c>
      <c r="F1640" s="11">
        <v>38.439784600000003</v>
      </c>
      <c r="G1640" s="11">
        <v>11.50579151</v>
      </c>
      <c r="H1640" s="11">
        <v>57.9709035001</v>
      </c>
      <c r="I1640" s="11">
        <v>47.522433552899997</v>
      </c>
      <c r="J1640" s="11">
        <v>17.959917882900001</v>
      </c>
      <c r="K1640" s="10">
        <v>0.59028866011900005</v>
      </c>
      <c r="L1640" s="12">
        <v>1931598000</v>
      </c>
      <c r="M1640">
        <v>40.454248358078701</v>
      </c>
      <c r="N1640" s="7">
        <v>4.75341429981217</v>
      </c>
      <c r="O1640" s="7">
        <v>6.8485615969542497</v>
      </c>
      <c r="P1640" s="7">
        <v>12.778859687707801</v>
      </c>
      <c r="Q1640" s="7">
        <v>0.56535010098082017</v>
      </c>
      <c r="U1640">
        <v>0.79802053975054854</v>
      </c>
      <c r="AT1640" s="4" t="s">
        <v>4497</v>
      </c>
    </row>
    <row r="1641" spans="1:46">
      <c r="A1641" s="2">
        <v>495</v>
      </c>
      <c r="B1641" t="s">
        <v>6447</v>
      </c>
      <c r="C1641" t="s">
        <v>893</v>
      </c>
      <c r="D1641" t="s">
        <v>3778</v>
      </c>
      <c r="E1641" s="4">
        <v>43465</v>
      </c>
      <c r="F1641" s="11">
        <v>-36.22102503</v>
      </c>
      <c r="G1641" s="11">
        <v>11.475409839999999</v>
      </c>
      <c r="H1641" s="11">
        <v>12.618032596600001</v>
      </c>
      <c r="I1641" s="11">
        <v>31.779589013700001</v>
      </c>
      <c r="J1641" s="11">
        <v>6.6594736366999996</v>
      </c>
      <c r="K1641" s="10">
        <v>0.52510431522900003</v>
      </c>
      <c r="L1641" s="12">
        <v>86481305588.300003</v>
      </c>
      <c r="M1641">
        <v>9.5897916925325006</v>
      </c>
      <c r="N1641" s="7">
        <v>0.92660865027012596</v>
      </c>
      <c r="O1641" s="7">
        <v>0.55816825787820001</v>
      </c>
      <c r="P1641" s="7">
        <v>4.0928128270322599</v>
      </c>
      <c r="Q1641" s="7">
        <v>5.1903114186851207</v>
      </c>
      <c r="U1641">
        <v>0.57197900735275453</v>
      </c>
      <c r="AT1641" s="4" t="s">
        <v>6448</v>
      </c>
    </row>
    <row r="1642" spans="1:46">
      <c r="A1642" s="2">
        <v>1065</v>
      </c>
      <c r="B1642" t="s">
        <v>6449</v>
      </c>
      <c r="C1642" t="s">
        <v>1632</v>
      </c>
      <c r="D1642" t="s">
        <v>3778</v>
      </c>
      <c r="E1642" s="4">
        <v>43465</v>
      </c>
      <c r="F1642" s="11">
        <v>-35.384107159999999</v>
      </c>
      <c r="G1642" s="11">
        <v>11.43911439</v>
      </c>
      <c r="H1642" s="11">
        <v>11.8859244353</v>
      </c>
      <c r="I1642" s="11">
        <v>17.497258691199999</v>
      </c>
      <c r="J1642" s="11">
        <v>-29.9527715384</v>
      </c>
      <c r="K1642" s="10">
        <v>0.38662967800199999</v>
      </c>
      <c r="L1642" s="12">
        <v>2033856000</v>
      </c>
      <c r="M1642">
        <v>53.318459084199901</v>
      </c>
      <c r="N1642" s="7">
        <v>1.7637713527681</v>
      </c>
      <c r="O1642" s="7">
        <v>1.85328678594322</v>
      </c>
      <c r="P1642" s="7">
        <v>-9.2737065694566301</v>
      </c>
      <c r="Q1642" s="7" t="s">
        <v>3698</v>
      </c>
      <c r="U1642">
        <v>-0.46167821936664766</v>
      </c>
      <c r="AT1642" s="4" t="s">
        <v>3719</v>
      </c>
    </row>
    <row r="1643" spans="1:46">
      <c r="A1643" s="2">
        <v>2091</v>
      </c>
      <c r="B1643" t="s">
        <v>6450</v>
      </c>
      <c r="C1643" t="s">
        <v>3600</v>
      </c>
      <c r="D1643" t="s">
        <v>3721</v>
      </c>
      <c r="E1643" s="4">
        <v>43465</v>
      </c>
      <c r="F1643" s="11">
        <v>0.37694287999999998</v>
      </c>
      <c r="G1643" s="11">
        <v>11.429358300000001</v>
      </c>
      <c r="H1643" s="11">
        <v>-2.8279227227999999</v>
      </c>
      <c r="I1643" s="11">
        <v>41.6602825111</v>
      </c>
      <c r="J1643" s="11">
        <v>11.2147955079</v>
      </c>
      <c r="K1643" s="10">
        <v>0.29491293962999998</v>
      </c>
      <c r="L1643" s="12">
        <v>6343268458.3000002</v>
      </c>
      <c r="M1643">
        <v>3202.4291761064701</v>
      </c>
      <c r="N1643" s="7">
        <v>5.5918933255984697</v>
      </c>
      <c r="O1643" s="7">
        <v>9.9900671784464503</v>
      </c>
      <c r="P1643" s="7">
        <v>1145.2455587766799</v>
      </c>
      <c r="Q1643" s="7">
        <v>0.16970039900044118</v>
      </c>
      <c r="U1643">
        <v>0.502583145596603</v>
      </c>
      <c r="AT1643" s="4" t="s">
        <v>6451</v>
      </c>
    </row>
    <row r="1644" spans="1:46">
      <c r="A1644" s="2">
        <v>1745</v>
      </c>
      <c r="B1644" t="s">
        <v>6452</v>
      </c>
      <c r="C1644" t="s">
        <v>400</v>
      </c>
      <c r="D1644" t="s">
        <v>3752</v>
      </c>
      <c r="E1644" s="4">
        <v>43465</v>
      </c>
      <c r="F1644" s="11">
        <v>-61.899078539999998</v>
      </c>
      <c r="G1644" s="11">
        <v>11.38952164</v>
      </c>
      <c r="H1644" s="11">
        <v>64.910320866500001</v>
      </c>
      <c r="I1644" s="11">
        <v>24.181476744499999</v>
      </c>
      <c r="J1644" s="11">
        <v>8.2611085380000002</v>
      </c>
      <c r="K1644" s="10">
        <v>0.99296398932800001</v>
      </c>
      <c r="L1644" s="12">
        <v>8462665791.1899996</v>
      </c>
      <c r="M1644">
        <v>16.7038460493564</v>
      </c>
      <c r="N1644" s="7">
        <v>2.0228912777460901</v>
      </c>
      <c r="O1644" s="7">
        <v>1.3357014299613399</v>
      </c>
      <c r="P1644" s="7">
        <v>42.174739325027097</v>
      </c>
      <c r="Q1644" s="7">
        <v>1.2669683257918554</v>
      </c>
      <c r="U1644">
        <v>0.27773655251086676</v>
      </c>
      <c r="AT1644" s="4" t="s">
        <v>6453</v>
      </c>
    </row>
    <row r="1645" spans="1:46">
      <c r="A1645" s="2">
        <v>3257</v>
      </c>
      <c r="B1645" t="s">
        <v>6454</v>
      </c>
      <c r="C1645" t="s">
        <v>3595</v>
      </c>
      <c r="D1645" t="s">
        <v>3713</v>
      </c>
      <c r="E1645" s="4">
        <v>43465</v>
      </c>
      <c r="F1645" s="11">
        <v>3.09095472</v>
      </c>
      <c r="G1645" s="11">
        <v>11.382113820000001</v>
      </c>
      <c r="H1645" s="11">
        <v>26.936380374900001</v>
      </c>
      <c r="I1645" s="11">
        <v>11.6307453937</v>
      </c>
      <c r="J1645" s="11">
        <v>2.4324977256000002</v>
      </c>
      <c r="K1645" s="10">
        <v>1.238898399665</v>
      </c>
      <c r="L1645" s="12">
        <v>8945646700</v>
      </c>
      <c r="M1645">
        <v>110.372086840083</v>
      </c>
      <c r="N1645" s="7">
        <v>2.80977111385761</v>
      </c>
      <c r="O1645" s="7">
        <v>1.08653564573962</v>
      </c>
      <c r="P1645" s="7">
        <v>117.879721219866</v>
      </c>
      <c r="Q1645" s="7">
        <v>0.56514913522740506</v>
      </c>
      <c r="U1645">
        <v>0.59619119299420531</v>
      </c>
      <c r="AT1645" s="4" t="s">
        <v>4866</v>
      </c>
    </row>
    <row r="1646" spans="1:46">
      <c r="A1646" s="2">
        <v>1435</v>
      </c>
      <c r="B1646" t="s">
        <v>6455</v>
      </c>
      <c r="C1646" t="s">
        <v>620</v>
      </c>
      <c r="D1646" t="s">
        <v>3737</v>
      </c>
      <c r="E1646" s="4">
        <v>43465</v>
      </c>
      <c r="F1646" s="11">
        <v>-17.233162050000001</v>
      </c>
      <c r="G1646" s="11">
        <v>11.37724551</v>
      </c>
      <c r="H1646" s="11">
        <v>33.320482155900002</v>
      </c>
      <c r="I1646" s="11">
        <v>80.078175723599998</v>
      </c>
      <c r="J1646" s="11">
        <v>18.114459580399998</v>
      </c>
      <c r="K1646" s="10">
        <v>0.61138540757600002</v>
      </c>
      <c r="L1646" s="12">
        <v>3031133957.3099999</v>
      </c>
      <c r="M1646">
        <v>44.566928658965502</v>
      </c>
      <c r="N1646" s="7">
        <v>9.8180982473152802</v>
      </c>
      <c r="O1646" s="7">
        <v>9.6392067925361999</v>
      </c>
      <c r="P1646" s="7">
        <v>-1345.8981091401499</v>
      </c>
      <c r="Q1646" s="7">
        <v>1.0033444816053509</v>
      </c>
      <c r="U1646">
        <v>0.26386652105210978</v>
      </c>
      <c r="AT1646" s="4" t="s">
        <v>3770</v>
      </c>
    </row>
    <row r="1647" spans="1:46">
      <c r="A1647" s="2">
        <v>1127</v>
      </c>
      <c r="B1647" t="s">
        <v>6456</v>
      </c>
      <c r="C1647" t="s">
        <v>2269</v>
      </c>
      <c r="D1647" t="s">
        <v>3977</v>
      </c>
      <c r="E1647" s="4">
        <v>43465</v>
      </c>
      <c r="F1647" s="11">
        <v>-7.2562357200000003</v>
      </c>
      <c r="G1647" s="11">
        <v>11.36986301</v>
      </c>
      <c r="H1647" s="11">
        <v>6.0488081359999999</v>
      </c>
      <c r="I1647" s="11">
        <v>21.914302751400001</v>
      </c>
      <c r="J1647" s="11">
        <v>8.1980999881999992</v>
      </c>
      <c r="K1647" s="10">
        <v>0.43964841472299998</v>
      </c>
      <c r="L1647" s="12">
        <v>3831659087.1999998</v>
      </c>
      <c r="M1647">
        <v>48.669130276737</v>
      </c>
      <c r="N1647" s="7">
        <v>2.5606572402321799</v>
      </c>
      <c r="O1647" s="7">
        <v>2.7398978842936499</v>
      </c>
      <c r="P1647" s="7">
        <v>11.6764272648601</v>
      </c>
      <c r="Q1647" s="7" t="s">
        <v>3698</v>
      </c>
      <c r="U1647">
        <v>0.22485042541955905</v>
      </c>
      <c r="AT1647" s="4" t="s">
        <v>5065</v>
      </c>
    </row>
    <row r="1648" spans="1:46">
      <c r="A1648" s="2">
        <v>3111</v>
      </c>
      <c r="B1648" t="s">
        <v>6457</v>
      </c>
      <c r="C1648" t="s">
        <v>524</v>
      </c>
      <c r="D1648" t="s">
        <v>3837</v>
      </c>
      <c r="E1648" s="4">
        <v>43465</v>
      </c>
      <c r="F1648" s="11">
        <v>3.3972855700000002</v>
      </c>
      <c r="G1648" s="11">
        <v>11.342155010000001</v>
      </c>
      <c r="H1648" s="11">
        <v>6.5088602647</v>
      </c>
      <c r="I1648" s="11" t="s">
        <v>3698</v>
      </c>
      <c r="J1648" s="11">
        <v>38.605227006299998</v>
      </c>
      <c r="K1648" s="10" t="s">
        <v>3698</v>
      </c>
      <c r="L1648" s="12">
        <v>2774446774.6500001</v>
      </c>
      <c r="M1648">
        <v>6.3814367285074898</v>
      </c>
      <c r="N1648" s="7">
        <v>0.84020994228962798</v>
      </c>
      <c r="O1648" s="7">
        <v>2.4556243683129799</v>
      </c>
      <c r="P1648" s="7">
        <v>6.61762944711485</v>
      </c>
      <c r="Q1648" s="7">
        <v>4.328151986183074</v>
      </c>
      <c r="U1648">
        <v>0.83521541521552423</v>
      </c>
      <c r="AT1648" s="4" t="s">
        <v>6458</v>
      </c>
    </row>
    <row r="1649" spans="1:46">
      <c r="A1649" s="2">
        <v>661</v>
      </c>
      <c r="B1649" t="s">
        <v>6459</v>
      </c>
      <c r="C1649" t="s">
        <v>2131</v>
      </c>
      <c r="D1649" t="s">
        <v>3718</v>
      </c>
      <c r="E1649" s="4">
        <v>43465</v>
      </c>
      <c r="F1649" s="11">
        <v>3.5338456100000002</v>
      </c>
      <c r="G1649" s="11">
        <v>11.29032258</v>
      </c>
      <c r="H1649" s="11">
        <v>10.552222674299999</v>
      </c>
      <c r="I1649" s="11">
        <v>24.9674986952</v>
      </c>
      <c r="J1649" s="11">
        <v>10.5316135559</v>
      </c>
      <c r="K1649" s="10">
        <v>0.89208987595699996</v>
      </c>
      <c r="L1649" s="12">
        <v>20559134978.740002</v>
      </c>
      <c r="M1649">
        <v>17.256294865617999</v>
      </c>
      <c r="N1649" s="7">
        <v>1.4236860488521801</v>
      </c>
      <c r="O1649" s="7">
        <v>1.35058150759039</v>
      </c>
      <c r="P1649" s="7">
        <v>13.3969244206495</v>
      </c>
      <c r="Q1649" s="7">
        <v>2.0385974455296783</v>
      </c>
      <c r="U1649">
        <v>0.4418335574422485</v>
      </c>
      <c r="AT1649" s="4" t="s">
        <v>4833</v>
      </c>
    </row>
    <row r="1650" spans="1:46">
      <c r="A1650" s="2">
        <v>303</v>
      </c>
      <c r="B1650" t="s">
        <v>6460</v>
      </c>
      <c r="C1650" t="s">
        <v>2534</v>
      </c>
      <c r="D1650" t="s">
        <v>3764</v>
      </c>
      <c r="E1650" s="4">
        <v>43465</v>
      </c>
      <c r="F1650" s="11">
        <v>-26.967795750000001</v>
      </c>
      <c r="G1650" s="11">
        <v>11.27694859</v>
      </c>
      <c r="H1650" s="11">
        <v>9.0898847029999992</v>
      </c>
      <c r="I1650" s="11">
        <v>43.465867241399998</v>
      </c>
      <c r="J1650" s="11">
        <v>27.7705571469</v>
      </c>
      <c r="K1650" s="10">
        <v>8.4141418740000001E-2</v>
      </c>
      <c r="L1650" s="12">
        <v>4296683900</v>
      </c>
      <c r="M1650">
        <v>38.8191216500446</v>
      </c>
      <c r="N1650" s="7">
        <v>0.98846785448335905</v>
      </c>
      <c r="O1650" s="7">
        <v>12.152330068696999</v>
      </c>
      <c r="P1650" s="7">
        <v>36.134074102224403</v>
      </c>
      <c r="Q1650" s="7">
        <v>0.76219512195121963</v>
      </c>
      <c r="U1650">
        <v>0.20384214085832042</v>
      </c>
      <c r="AT1650" s="4" t="s">
        <v>6461</v>
      </c>
    </row>
    <row r="1651" spans="1:46">
      <c r="A1651" s="2">
        <v>566</v>
      </c>
      <c r="B1651" t="s">
        <v>6462</v>
      </c>
      <c r="C1651" t="s">
        <v>1898</v>
      </c>
      <c r="D1651" t="s">
        <v>3721</v>
      </c>
      <c r="E1651" s="4">
        <v>43465</v>
      </c>
      <c r="F1651" s="11">
        <v>-46.991591800000002</v>
      </c>
      <c r="G1651" s="11">
        <v>11.27197518</v>
      </c>
      <c r="H1651" s="11">
        <v>27.398126833100001</v>
      </c>
      <c r="I1651" s="11">
        <v>14.023933574599999</v>
      </c>
      <c r="J1651" s="11">
        <v>3.2998362804000001</v>
      </c>
      <c r="K1651" s="10">
        <v>0.754834846354</v>
      </c>
      <c r="L1651" s="12">
        <v>17422025396.759998</v>
      </c>
      <c r="M1651">
        <v>43.964773095416099</v>
      </c>
      <c r="N1651" s="7">
        <v>2.1291338235172299</v>
      </c>
      <c r="O1651" s="7">
        <v>0.62690878051804999</v>
      </c>
      <c r="P1651" s="7">
        <v>1438.24415605186</v>
      </c>
      <c r="Q1651" s="7">
        <v>0.62499999999999989</v>
      </c>
      <c r="U1651">
        <v>0.54414759668003088</v>
      </c>
      <c r="AT1651" s="4" t="s">
        <v>6463</v>
      </c>
    </row>
    <row r="1652" spans="1:46">
      <c r="A1652" s="2">
        <v>2619</v>
      </c>
      <c r="B1652" t="s">
        <v>6464</v>
      </c>
      <c r="C1652" t="s">
        <v>2747</v>
      </c>
      <c r="D1652" t="s">
        <v>3781</v>
      </c>
      <c r="E1652" s="4">
        <v>43465</v>
      </c>
      <c r="F1652" s="11">
        <v>-20.325203250000001</v>
      </c>
      <c r="G1652" s="11">
        <v>11.26760563</v>
      </c>
      <c r="H1652" s="11">
        <v>16.4073627655</v>
      </c>
      <c r="I1652" s="11">
        <v>6.9570605532999998</v>
      </c>
      <c r="J1652" s="11">
        <v>2.4671322388000001</v>
      </c>
      <c r="K1652" s="10">
        <v>0.61669836582500004</v>
      </c>
      <c r="L1652" s="12">
        <v>9704735803.6800003</v>
      </c>
      <c r="M1652">
        <v>-36.5633151466972</v>
      </c>
      <c r="N1652" s="7">
        <v>2.5899022584701901</v>
      </c>
      <c r="O1652" s="7">
        <v>2.5522482427096902</v>
      </c>
      <c r="P1652" s="7">
        <v>-38.690404047283202</v>
      </c>
      <c r="Q1652" s="7" t="s">
        <v>3698</v>
      </c>
      <c r="U1652">
        <v>4.3242671848781458E-2</v>
      </c>
      <c r="AT1652" s="4" t="s">
        <v>6465</v>
      </c>
    </row>
    <row r="1653" spans="1:46">
      <c r="A1653" s="2">
        <v>2145</v>
      </c>
      <c r="B1653" t="s">
        <v>6466</v>
      </c>
      <c r="C1653" t="s">
        <v>875</v>
      </c>
      <c r="D1653" t="s">
        <v>3752</v>
      </c>
      <c r="E1653" s="4">
        <v>43465</v>
      </c>
      <c r="F1653" s="11">
        <v>11.242458129999999</v>
      </c>
      <c r="G1653" s="11">
        <v>11.23809524</v>
      </c>
      <c r="H1653" s="11">
        <v>12.6623772839</v>
      </c>
      <c r="I1653" s="11">
        <v>40.3635949942</v>
      </c>
      <c r="J1653" s="11">
        <v>12.4159034513</v>
      </c>
      <c r="K1653" s="10">
        <v>0.50873093383300005</v>
      </c>
      <c r="L1653" s="12">
        <v>5459584901.8000002</v>
      </c>
      <c r="M1653">
        <v>44.165737649559603</v>
      </c>
      <c r="N1653" s="7">
        <v>4.7522707717703696</v>
      </c>
      <c r="O1653" s="7">
        <v>8.0236720305675107</v>
      </c>
      <c r="P1653" s="7">
        <v>13.358065109098799</v>
      </c>
      <c r="Q1653" s="7">
        <v>0.2628719390459453</v>
      </c>
      <c r="U1653">
        <v>0.50798699390125079</v>
      </c>
      <c r="AT1653" s="4" t="s">
        <v>6467</v>
      </c>
    </row>
    <row r="1654" spans="1:46">
      <c r="A1654" s="2">
        <v>1457</v>
      </c>
      <c r="B1654" t="s">
        <v>6468</v>
      </c>
      <c r="C1654" t="s">
        <v>1192</v>
      </c>
      <c r="D1654" t="s">
        <v>3790</v>
      </c>
      <c r="E1654" s="4">
        <v>43465</v>
      </c>
      <c r="F1654" s="11">
        <v>1.8714269800000001</v>
      </c>
      <c r="G1654" s="11">
        <v>11.220621680000001</v>
      </c>
      <c r="H1654" s="11">
        <v>37.11884044</v>
      </c>
      <c r="I1654" s="11">
        <v>54.605907178800003</v>
      </c>
      <c r="J1654" s="11">
        <v>13.3413383861</v>
      </c>
      <c r="K1654" s="10">
        <v>0.67260568358700001</v>
      </c>
      <c r="L1654" s="12">
        <v>3950305765</v>
      </c>
      <c r="M1654">
        <v>18.877418614681101</v>
      </c>
      <c r="N1654" s="7">
        <v>5.1067259778298597</v>
      </c>
      <c r="O1654" s="7">
        <v>2.6745810517932802</v>
      </c>
      <c r="P1654" s="7">
        <v>-4.2492120812583103</v>
      </c>
      <c r="Q1654" s="7" t="s">
        <v>3698</v>
      </c>
      <c r="U1654">
        <v>0.68490067696658297</v>
      </c>
      <c r="AT1654" s="4" t="s">
        <v>3791</v>
      </c>
    </row>
    <row r="1655" spans="1:46">
      <c r="A1655" s="2">
        <v>1214</v>
      </c>
      <c r="B1655" t="s">
        <v>6469</v>
      </c>
      <c r="C1655" t="s">
        <v>3264</v>
      </c>
      <c r="D1655" t="s">
        <v>3849</v>
      </c>
      <c r="E1655" s="4">
        <v>43465</v>
      </c>
      <c r="F1655" s="11">
        <v>-44.444444439999998</v>
      </c>
      <c r="G1655" s="11">
        <v>11.21718377</v>
      </c>
      <c r="H1655" s="11">
        <v>-1.8330884307999999</v>
      </c>
      <c r="I1655" s="11">
        <v>17.141965115000001</v>
      </c>
      <c r="J1655" s="11">
        <v>0.1734867618</v>
      </c>
      <c r="K1655" s="10">
        <v>0.54613675852999999</v>
      </c>
      <c r="L1655" s="12">
        <v>19316856000</v>
      </c>
      <c r="M1655">
        <v>-107.416649458611</v>
      </c>
      <c r="N1655" s="7">
        <v>2.2448730123515199</v>
      </c>
      <c r="O1655" s="7">
        <v>2.6308838840095601</v>
      </c>
      <c r="P1655" s="7">
        <v>90.931334663598307</v>
      </c>
      <c r="Q1655" s="7" t="s">
        <v>3698</v>
      </c>
      <c r="U1655">
        <v>9.2172706543690482E-3</v>
      </c>
      <c r="AT1655" s="4" t="s">
        <v>6470</v>
      </c>
    </row>
    <row r="1656" spans="1:46">
      <c r="A1656" s="2">
        <v>1030</v>
      </c>
      <c r="B1656" t="s">
        <v>6471</v>
      </c>
      <c r="C1656" t="s">
        <v>2147</v>
      </c>
      <c r="D1656" t="s">
        <v>3977</v>
      </c>
      <c r="E1656" s="4">
        <v>43465</v>
      </c>
      <c r="F1656" s="11">
        <v>-35.737704919999999</v>
      </c>
      <c r="G1656" s="11">
        <v>11.174785099999999</v>
      </c>
      <c r="H1656" s="11">
        <v>-6.474787933</v>
      </c>
      <c r="I1656" s="11">
        <v>30.4709695811</v>
      </c>
      <c r="J1656" s="11">
        <v>-76.915332605700002</v>
      </c>
      <c r="K1656" s="10">
        <v>0.34491158919600001</v>
      </c>
      <c r="L1656" s="12">
        <v>3255262400</v>
      </c>
      <c r="M1656">
        <v>43.780123820563098</v>
      </c>
      <c r="N1656" s="7">
        <v>1.7700793086916</v>
      </c>
      <c r="O1656" s="7">
        <v>2.4677808244828499</v>
      </c>
      <c r="P1656" s="7">
        <v>-32.587441008129197</v>
      </c>
      <c r="Q1656" s="7" t="s">
        <v>3698</v>
      </c>
      <c r="U1656">
        <v>-1.0356874643277052</v>
      </c>
      <c r="AT1656" s="4" t="s">
        <v>4781</v>
      </c>
    </row>
    <row r="1657" spans="1:46">
      <c r="A1657" s="2">
        <v>3239</v>
      </c>
      <c r="B1657" t="s">
        <v>6472</v>
      </c>
      <c r="C1657" t="s">
        <v>472</v>
      </c>
      <c r="D1657" t="s">
        <v>3785</v>
      </c>
      <c r="E1657" s="4">
        <v>43465</v>
      </c>
      <c r="F1657" s="11">
        <v>59.424483070000001</v>
      </c>
      <c r="G1657" s="11">
        <v>11.152141800000001</v>
      </c>
      <c r="H1657" s="11">
        <v>15.8923121234</v>
      </c>
      <c r="I1657" s="11">
        <v>54.655921644300001</v>
      </c>
      <c r="J1657" s="11">
        <v>15.1100504588</v>
      </c>
      <c r="K1657" s="10">
        <v>1.0967143234750001</v>
      </c>
      <c r="L1657" s="12">
        <v>7318574824.9200001</v>
      </c>
      <c r="M1657">
        <v>25.937175908605901</v>
      </c>
      <c r="N1657" s="7">
        <v>5.6118182975745103</v>
      </c>
      <c r="O1657" s="7">
        <v>4.3536730085929003</v>
      </c>
      <c r="P1657" s="7">
        <v>8352.9101712616393</v>
      </c>
      <c r="Q1657" s="7">
        <v>1.343183344526528</v>
      </c>
      <c r="U1657">
        <v>0.95027881119787994</v>
      </c>
      <c r="AT1657" s="4" t="s">
        <v>5091</v>
      </c>
    </row>
    <row r="1658" spans="1:46">
      <c r="A1658" s="2">
        <v>526</v>
      </c>
      <c r="B1658" t="s">
        <v>6473</v>
      </c>
      <c r="C1658" t="s">
        <v>3395</v>
      </c>
      <c r="D1658" t="s">
        <v>3764</v>
      </c>
      <c r="E1658" s="4">
        <v>43465</v>
      </c>
      <c r="F1658" s="11">
        <v>-37.336504159999997</v>
      </c>
      <c r="G1658" s="11">
        <v>11.134453779999999</v>
      </c>
      <c r="H1658" s="11">
        <v>15.104836753800001</v>
      </c>
      <c r="I1658" s="11">
        <v>7.0674209822999998</v>
      </c>
      <c r="J1658" s="11">
        <v>1.2574092699999999</v>
      </c>
      <c r="K1658" s="10">
        <v>0.96290406114100002</v>
      </c>
      <c r="L1658" s="12">
        <v>2921998168.2600002</v>
      </c>
      <c r="M1658">
        <v>169.77437561602599</v>
      </c>
      <c r="N1658" s="7">
        <v>3.5708379521085698</v>
      </c>
      <c r="O1658" s="7">
        <v>4.0150447609184301</v>
      </c>
      <c r="P1658" s="7">
        <v>8.1602417361187491</v>
      </c>
      <c r="Q1658" s="7" t="s">
        <v>3698</v>
      </c>
      <c r="U1658">
        <v>1.3423157166019066E-2</v>
      </c>
      <c r="AT1658" s="4" t="s">
        <v>4873</v>
      </c>
    </row>
    <row r="1659" spans="1:46">
      <c r="A1659" s="2">
        <v>2952</v>
      </c>
      <c r="B1659" t="s">
        <v>6474</v>
      </c>
      <c r="C1659" t="s">
        <v>2344</v>
      </c>
      <c r="D1659" t="s">
        <v>4046</v>
      </c>
      <c r="E1659" s="4">
        <v>43465</v>
      </c>
      <c r="F1659" s="11">
        <v>-23.724489800000001</v>
      </c>
      <c r="G1659" s="11">
        <v>11.09057301</v>
      </c>
      <c r="H1659" s="11">
        <v>3.6452585535000002</v>
      </c>
      <c r="I1659" s="11">
        <v>17.623643920300001</v>
      </c>
      <c r="J1659" s="11">
        <v>3.6855641826999999</v>
      </c>
      <c r="K1659" s="10">
        <v>0.56126071673199995</v>
      </c>
      <c r="L1659" s="12">
        <v>4830989279.3999996</v>
      </c>
      <c r="M1659">
        <v>29.0403884714306</v>
      </c>
      <c r="N1659" s="7">
        <v>1.23875758805406</v>
      </c>
      <c r="O1659" s="7">
        <v>1.0543521658050199</v>
      </c>
      <c r="P1659" s="7">
        <v>-127.873598337266</v>
      </c>
      <c r="Q1659" s="7" t="s">
        <v>3698</v>
      </c>
      <c r="U1659">
        <v>0.16796775412496873</v>
      </c>
      <c r="AT1659" s="4" t="s">
        <v>6475</v>
      </c>
    </row>
    <row r="1660" spans="1:46">
      <c r="A1660" s="2">
        <v>2014</v>
      </c>
      <c r="B1660" t="s">
        <v>6476</v>
      </c>
      <c r="C1660" t="s">
        <v>2243</v>
      </c>
      <c r="D1660" t="s">
        <v>3761</v>
      </c>
      <c r="E1660" s="4">
        <v>43465</v>
      </c>
      <c r="F1660" s="11">
        <v>19.506317889999998</v>
      </c>
      <c r="G1660" s="11">
        <v>11.04294479</v>
      </c>
      <c r="H1660" s="11">
        <v>37.645814614000003</v>
      </c>
      <c r="I1660" s="11">
        <v>42.714647101099999</v>
      </c>
      <c r="J1660" s="11">
        <v>7.8435259508000001</v>
      </c>
      <c r="K1660" s="10">
        <v>0.45375800232800001</v>
      </c>
      <c r="L1660" s="12">
        <v>15849326053.620001</v>
      </c>
      <c r="M1660">
        <v>58.639250695350697</v>
      </c>
      <c r="N1660" s="7">
        <v>3.90844500985347</v>
      </c>
      <c r="O1660" s="7">
        <v>4.7037187400141098</v>
      </c>
      <c r="P1660" s="7">
        <v>-62.660023665602701</v>
      </c>
      <c r="Q1660" s="7">
        <v>0.18739450552828849</v>
      </c>
      <c r="U1660">
        <v>0.30342174041297937</v>
      </c>
      <c r="AT1660" s="4" t="s">
        <v>3964</v>
      </c>
    </row>
    <row r="1661" spans="1:46">
      <c r="A1661" s="2">
        <v>2489</v>
      </c>
      <c r="B1661" t="s">
        <v>6477</v>
      </c>
      <c r="C1661" t="s">
        <v>2527</v>
      </c>
      <c r="D1661" t="s">
        <v>3728</v>
      </c>
      <c r="E1661" s="4">
        <v>43465</v>
      </c>
      <c r="F1661" s="11">
        <v>-1.57069685</v>
      </c>
      <c r="G1661" s="11">
        <v>11.03448276</v>
      </c>
      <c r="H1661" s="11">
        <v>10.9010959721</v>
      </c>
      <c r="I1661" s="11">
        <v>12.071588595</v>
      </c>
      <c r="J1661" s="11">
        <v>6.1136394306000001</v>
      </c>
      <c r="K1661" s="10">
        <v>0.67221459304800002</v>
      </c>
      <c r="L1661" s="12">
        <v>6068604117.9200001</v>
      </c>
      <c r="M1661">
        <v>45.875095413582201</v>
      </c>
      <c r="N1661" s="7">
        <v>1.76751513017255</v>
      </c>
      <c r="O1661" s="7">
        <v>1.9733015574775801</v>
      </c>
      <c r="P1661" s="7">
        <v>49.764566828616999</v>
      </c>
      <c r="Q1661" s="7">
        <v>0.89605734767025103</v>
      </c>
      <c r="U1661">
        <v>6.7263921533806517E-2</v>
      </c>
      <c r="AT1661" s="4" t="s">
        <v>6478</v>
      </c>
    </row>
    <row r="1662" spans="1:46">
      <c r="A1662" s="2">
        <v>571</v>
      </c>
      <c r="B1662" t="s">
        <v>6479</v>
      </c>
      <c r="C1662" t="s">
        <v>2484</v>
      </c>
      <c r="D1662" t="s">
        <v>3858</v>
      </c>
      <c r="E1662" s="4">
        <v>43465</v>
      </c>
      <c r="F1662" s="11">
        <v>-19.200233539999999</v>
      </c>
      <c r="G1662" s="11">
        <v>11.02941176</v>
      </c>
      <c r="H1662" s="11">
        <v>25.306401464899999</v>
      </c>
      <c r="I1662" s="11">
        <v>11.8480216474</v>
      </c>
      <c r="J1662" s="11">
        <v>2.4549281199999999</v>
      </c>
      <c r="K1662" s="10">
        <v>0.43999408126</v>
      </c>
      <c r="L1662" s="12">
        <v>2095668791683.3201</v>
      </c>
      <c r="M1662">
        <v>18.330747623468099</v>
      </c>
      <c r="N1662" s="7">
        <v>1.0827509933114601</v>
      </c>
      <c r="O1662" s="7">
        <v>0.46309429546019698</v>
      </c>
      <c r="P1662" s="7">
        <v>27.657333947172798</v>
      </c>
      <c r="Q1662" s="7">
        <v>1.2027491408934705</v>
      </c>
      <c r="U1662">
        <v>0.16697571406682452</v>
      </c>
      <c r="AT1662" s="4" t="s">
        <v>6480</v>
      </c>
    </row>
    <row r="1663" spans="1:46">
      <c r="A1663" s="2">
        <v>1739</v>
      </c>
      <c r="B1663" t="s">
        <v>6481</v>
      </c>
      <c r="C1663" t="s">
        <v>1442</v>
      </c>
      <c r="D1663" t="s">
        <v>3737</v>
      </c>
      <c r="E1663" s="4">
        <v>43465</v>
      </c>
      <c r="F1663" s="11">
        <v>-28.38259803</v>
      </c>
      <c r="G1663" s="11">
        <v>11.01796407</v>
      </c>
      <c r="H1663" s="11">
        <v>-1.1869569016999999</v>
      </c>
      <c r="I1663" s="11">
        <v>50.697606830700003</v>
      </c>
      <c r="J1663" s="11">
        <v>9.5946766366999992</v>
      </c>
      <c r="K1663" s="10">
        <v>0.34257744371600002</v>
      </c>
      <c r="L1663" s="12">
        <v>32763119599.380001</v>
      </c>
      <c r="M1663">
        <v>108.445991445312</v>
      </c>
      <c r="N1663" s="7">
        <v>3.0415039191173299</v>
      </c>
      <c r="O1663" s="7">
        <v>8.3832381306292891</v>
      </c>
      <c r="P1663" s="7">
        <v>141.623395997036</v>
      </c>
      <c r="Q1663" s="7">
        <v>1.0650887573964496</v>
      </c>
      <c r="U1663">
        <v>0.10004388503472222</v>
      </c>
      <c r="AT1663" s="4" t="s">
        <v>6482</v>
      </c>
    </row>
    <row r="1664" spans="1:46">
      <c r="A1664" s="2">
        <v>3164</v>
      </c>
      <c r="B1664" t="s">
        <v>6483</v>
      </c>
      <c r="C1664" t="s">
        <v>801</v>
      </c>
      <c r="D1664" t="s">
        <v>3761</v>
      </c>
      <c r="E1664" s="4">
        <v>43465</v>
      </c>
      <c r="F1664" s="11">
        <v>9.2801764799999997</v>
      </c>
      <c r="G1664" s="11">
        <v>11.01485149</v>
      </c>
      <c r="H1664" s="11">
        <v>17.100224913800002</v>
      </c>
      <c r="I1664" s="11">
        <v>29.667981408700001</v>
      </c>
      <c r="J1664" s="11">
        <v>13.718610152</v>
      </c>
      <c r="K1664" s="10">
        <v>0.59780784822199995</v>
      </c>
      <c r="L1664" s="12">
        <v>2438576642.52</v>
      </c>
      <c r="M1664">
        <v>14.5862514851413</v>
      </c>
      <c r="N1664" s="7">
        <v>2.41221690225463</v>
      </c>
      <c r="O1664" s="7">
        <v>1.96123043624414</v>
      </c>
      <c r="P1664" s="7">
        <v>-19.295054600842398</v>
      </c>
      <c r="Q1664" s="7">
        <v>2.5125628140703515</v>
      </c>
      <c r="U1664">
        <v>1.6693991750797736</v>
      </c>
      <c r="AT1664" s="4" t="s">
        <v>6484</v>
      </c>
    </row>
    <row r="1665" spans="1:46">
      <c r="A1665" s="2">
        <v>3299</v>
      </c>
      <c r="B1665" t="s">
        <v>6485</v>
      </c>
      <c r="C1665" t="s">
        <v>3446</v>
      </c>
      <c r="D1665" t="s">
        <v>3764</v>
      </c>
      <c r="E1665" s="4">
        <v>43465</v>
      </c>
      <c r="F1665" s="11">
        <v>-50.900787739999998</v>
      </c>
      <c r="G1665" s="11">
        <v>10.99020675</v>
      </c>
      <c r="H1665" s="11">
        <v>-6.5949198418000003</v>
      </c>
      <c r="I1665" s="11">
        <v>23.409295493799998</v>
      </c>
      <c r="J1665" s="11">
        <v>1.7226334992000001</v>
      </c>
      <c r="K1665" s="10">
        <v>0.59350256136799995</v>
      </c>
      <c r="L1665" s="12">
        <v>3137709986.3200002</v>
      </c>
      <c r="M1665">
        <v>122.89830292278501</v>
      </c>
      <c r="N1665" s="7">
        <v>3.5116122274538601</v>
      </c>
      <c r="O1665" s="7">
        <v>2.4962522362250898</v>
      </c>
      <c r="P1665" s="7">
        <v>193.62889568033</v>
      </c>
      <c r="Q1665" s="7" t="s">
        <v>3698</v>
      </c>
      <c r="U1665">
        <v>6.365262658415842E-2</v>
      </c>
      <c r="AT1665" s="4" t="s">
        <v>3885</v>
      </c>
    </row>
    <row r="1666" spans="1:46">
      <c r="A1666" s="2">
        <v>2994</v>
      </c>
      <c r="B1666" t="s">
        <v>6486</v>
      </c>
      <c r="C1666" t="s">
        <v>2667</v>
      </c>
      <c r="D1666" t="s">
        <v>3764</v>
      </c>
      <c r="E1666" s="4">
        <v>43465</v>
      </c>
      <c r="F1666" s="11">
        <v>-24.384360999999998</v>
      </c>
      <c r="G1666" s="11">
        <v>10.96121417</v>
      </c>
      <c r="H1666" s="11">
        <v>8.7885546343000005</v>
      </c>
      <c r="I1666" s="11">
        <v>15.5317106124</v>
      </c>
      <c r="J1666" s="11">
        <v>4.0365373843999999</v>
      </c>
      <c r="K1666" s="10">
        <v>0.21251997064100001</v>
      </c>
      <c r="L1666" s="12">
        <v>5151914591.04</v>
      </c>
      <c r="M1666">
        <v>481.81379437241401</v>
      </c>
      <c r="N1666" s="7">
        <v>0.64136245513884604</v>
      </c>
      <c r="O1666" s="7">
        <v>0.79325421200202595</v>
      </c>
      <c r="P1666" s="7">
        <v>-1.26235238483173</v>
      </c>
      <c r="Q1666" s="7">
        <v>0.41812400635930042</v>
      </c>
      <c r="U1666">
        <v>0.10388540370075561</v>
      </c>
      <c r="AT1666" s="4" t="s">
        <v>6487</v>
      </c>
    </row>
    <row r="1667" spans="1:46">
      <c r="A1667" s="2">
        <v>2637</v>
      </c>
      <c r="B1667" t="s">
        <v>6488</v>
      </c>
      <c r="C1667" t="s">
        <v>2247</v>
      </c>
      <c r="D1667" t="s">
        <v>3721</v>
      </c>
      <c r="E1667" s="4">
        <v>43465</v>
      </c>
      <c r="F1667" s="11">
        <v>-21.88479135</v>
      </c>
      <c r="G1667" s="11">
        <v>10.955710959999999</v>
      </c>
      <c r="H1667" s="11">
        <v>-9.6281045234999993</v>
      </c>
      <c r="I1667" s="11">
        <v>18.381027222</v>
      </c>
      <c r="J1667" s="11">
        <v>3.6234941104999998</v>
      </c>
      <c r="K1667" s="10">
        <v>0.37574338864599999</v>
      </c>
      <c r="L1667" s="12">
        <v>1846019386.96</v>
      </c>
      <c r="M1667">
        <v>125.627703207618</v>
      </c>
      <c r="N1667" s="7">
        <v>4.5117153149162101</v>
      </c>
      <c r="O1667" s="7">
        <v>7.1231315641562096</v>
      </c>
      <c r="P1667" s="7">
        <v>-60.017525059125198</v>
      </c>
      <c r="Q1667" s="7">
        <v>0.1395007342143906</v>
      </c>
      <c r="U1667">
        <v>6.0743553636032677E-2</v>
      </c>
      <c r="AT1667" s="4" t="s">
        <v>6489</v>
      </c>
    </row>
    <row r="1668" spans="1:46">
      <c r="A1668" s="2">
        <v>2565</v>
      </c>
      <c r="B1668" t="s">
        <v>6490</v>
      </c>
      <c r="C1668" t="s">
        <v>1529</v>
      </c>
      <c r="D1668" t="s">
        <v>3737</v>
      </c>
      <c r="E1668" s="4">
        <v>43465</v>
      </c>
      <c r="F1668" s="11">
        <v>-20.151466809999999</v>
      </c>
      <c r="G1668" s="11">
        <v>10.95360825</v>
      </c>
      <c r="H1668" s="11">
        <v>4.5812726490999998</v>
      </c>
      <c r="I1668" s="11">
        <v>46.635341735099999</v>
      </c>
      <c r="J1668" s="11">
        <v>9.0897313363999999</v>
      </c>
      <c r="K1668" s="10">
        <v>0.98487100510199999</v>
      </c>
      <c r="L1668" s="12">
        <v>3745996410</v>
      </c>
      <c r="M1668">
        <v>16.0865131238555</v>
      </c>
      <c r="N1668" s="7">
        <v>1.6119117315345399</v>
      </c>
      <c r="O1668" s="7">
        <v>1.0170872901477499</v>
      </c>
      <c r="P1668" s="7">
        <v>-29.315923812090698</v>
      </c>
      <c r="Q1668" s="7">
        <v>4.7114252061248525</v>
      </c>
      <c r="U1668">
        <v>0.61015761901607046</v>
      </c>
      <c r="AT1668" s="4" t="s">
        <v>6491</v>
      </c>
    </row>
    <row r="1669" spans="1:46">
      <c r="A1669" s="2">
        <v>292</v>
      </c>
      <c r="B1669" t="s">
        <v>6492</v>
      </c>
      <c r="C1669" t="s">
        <v>440</v>
      </c>
      <c r="D1669" t="s">
        <v>3737</v>
      </c>
      <c r="E1669" s="4">
        <v>43465</v>
      </c>
      <c r="F1669" s="11">
        <v>-35.071846729999997</v>
      </c>
      <c r="G1669" s="11">
        <v>10.90909091</v>
      </c>
      <c r="H1669" s="11">
        <v>22.933716635100001</v>
      </c>
      <c r="I1669" s="11">
        <v>58.238016359299998</v>
      </c>
      <c r="J1669" s="11">
        <v>18.042290361999999</v>
      </c>
      <c r="K1669" s="10">
        <v>0.722714007617</v>
      </c>
      <c r="L1669" s="12">
        <v>5951518290</v>
      </c>
      <c r="M1669">
        <v>37.082444206697403</v>
      </c>
      <c r="N1669" s="7">
        <v>5.9851279812741103</v>
      </c>
      <c r="O1669" s="7">
        <v>8.1552300206607402</v>
      </c>
      <c r="P1669" s="7">
        <v>-1985.2560641175401</v>
      </c>
      <c r="Q1669" s="7" t="s">
        <v>3698</v>
      </c>
      <c r="U1669">
        <v>0.75602796045124632</v>
      </c>
      <c r="AT1669" s="4" t="s">
        <v>4200</v>
      </c>
    </row>
    <row r="1670" spans="1:46">
      <c r="A1670" s="2">
        <v>2524</v>
      </c>
      <c r="B1670" t="s">
        <v>6493</v>
      </c>
      <c r="C1670" t="s">
        <v>190</v>
      </c>
      <c r="D1670" t="s">
        <v>3871</v>
      </c>
      <c r="E1670" s="4">
        <v>43465</v>
      </c>
      <c r="F1670" s="11">
        <v>-30.80439582</v>
      </c>
      <c r="G1670" s="11">
        <v>10.88825215</v>
      </c>
      <c r="H1670" s="11">
        <v>-64.123851214699997</v>
      </c>
      <c r="I1670" s="11">
        <v>49.3565848788</v>
      </c>
      <c r="J1670" s="11">
        <v>28.988396786100001</v>
      </c>
      <c r="K1670" s="10">
        <v>0.141655742389</v>
      </c>
      <c r="L1670" s="12">
        <v>3632365330.1999998</v>
      </c>
      <c r="M1670">
        <v>16.4743109956325</v>
      </c>
      <c r="N1670" s="7">
        <v>1.6150975173117099</v>
      </c>
      <c r="O1670" s="7">
        <v>5.1352938271444302</v>
      </c>
      <c r="P1670" s="7">
        <v>12.688799101306699</v>
      </c>
      <c r="Q1670" s="7">
        <v>1.5748031496062991</v>
      </c>
      <c r="U1670">
        <v>0.19889560828113187</v>
      </c>
      <c r="AT1670" s="4" t="s">
        <v>6494</v>
      </c>
    </row>
    <row r="1671" spans="1:46">
      <c r="A1671" s="2">
        <v>1886</v>
      </c>
      <c r="B1671" t="s">
        <v>6495</v>
      </c>
      <c r="C1671" t="s">
        <v>2187</v>
      </c>
      <c r="D1671" t="s">
        <v>3718</v>
      </c>
      <c r="E1671" s="4">
        <v>43465</v>
      </c>
      <c r="F1671" s="11">
        <v>-39.171772050000001</v>
      </c>
      <c r="G1671" s="11">
        <v>10.886644220000001</v>
      </c>
      <c r="H1671" s="11">
        <v>59.296943478199999</v>
      </c>
      <c r="I1671" s="11">
        <v>39.0322557195</v>
      </c>
      <c r="J1671" s="11">
        <v>-10.5496149182</v>
      </c>
      <c r="K1671" s="10">
        <v>0.60498937885500004</v>
      </c>
      <c r="L1671" s="12">
        <v>4415609120.1599998</v>
      </c>
      <c r="M1671">
        <v>28.702637733801598</v>
      </c>
      <c r="N1671" s="7">
        <v>11.2319141258992</v>
      </c>
      <c r="O1671" s="7">
        <v>2.5800142804833799</v>
      </c>
      <c r="P1671" s="7">
        <v>24.585322363512802</v>
      </c>
      <c r="Q1671" s="7" t="s">
        <v>3698</v>
      </c>
      <c r="U1671">
        <v>-0.71259515243256732</v>
      </c>
      <c r="AT1671" s="4" t="s">
        <v>6496</v>
      </c>
    </row>
    <row r="1672" spans="1:46">
      <c r="A1672" s="2">
        <v>2461</v>
      </c>
      <c r="B1672" t="s">
        <v>6497</v>
      </c>
      <c r="C1672" t="s">
        <v>1974</v>
      </c>
      <c r="D1672" t="s">
        <v>4060</v>
      </c>
      <c r="E1672" s="4">
        <v>43465</v>
      </c>
      <c r="F1672" s="11">
        <v>-21.986352700000001</v>
      </c>
      <c r="G1672" s="11">
        <v>10.88607595</v>
      </c>
      <c r="H1672" s="11">
        <v>25.879316204199998</v>
      </c>
      <c r="I1672" s="11">
        <v>52.159068190799999</v>
      </c>
      <c r="J1672" s="11">
        <v>8.4645708245000009</v>
      </c>
      <c r="K1672" s="10">
        <v>0.67073600814500001</v>
      </c>
      <c r="L1672" s="12">
        <v>12269364108.08</v>
      </c>
      <c r="M1672">
        <v>17.176738544171599</v>
      </c>
      <c r="N1672" s="7">
        <v>1.47961011877541</v>
      </c>
      <c r="O1672" s="7">
        <v>1.3353532080177699</v>
      </c>
      <c r="P1672" s="7">
        <v>-54.826272114614298</v>
      </c>
      <c r="Q1672" s="7">
        <v>5.141388174807199</v>
      </c>
      <c r="U1672">
        <v>0.25419432019624233</v>
      </c>
      <c r="AT1672" s="4" t="s">
        <v>6498</v>
      </c>
    </row>
    <row r="1673" spans="1:46">
      <c r="A1673" s="2">
        <v>1391</v>
      </c>
      <c r="B1673" t="s">
        <v>6499</v>
      </c>
      <c r="C1673" t="s">
        <v>1799</v>
      </c>
      <c r="D1673" t="s">
        <v>3761</v>
      </c>
      <c r="E1673" s="4">
        <v>43465</v>
      </c>
      <c r="F1673" s="11">
        <v>36.607648730000001</v>
      </c>
      <c r="G1673" s="11">
        <v>10.882572919999999</v>
      </c>
      <c r="H1673" s="11">
        <v>21.847242986200001</v>
      </c>
      <c r="I1673" s="11">
        <v>22.0382410241</v>
      </c>
      <c r="J1673" s="11">
        <v>9.6483751729999998</v>
      </c>
      <c r="K1673" s="10">
        <v>1.013443765011</v>
      </c>
      <c r="L1673" s="12">
        <v>7127471114.2399998</v>
      </c>
      <c r="M1673">
        <v>44.998871470316303</v>
      </c>
      <c r="N1673" s="7">
        <v>3.5719491969148698</v>
      </c>
      <c r="O1673" s="7">
        <v>3.2709855808728001</v>
      </c>
      <c r="P1673" s="7">
        <v>-12.881346872938501</v>
      </c>
      <c r="Q1673" s="7">
        <v>0.79215988049702379</v>
      </c>
      <c r="U1673">
        <v>0.83202315191387555</v>
      </c>
      <c r="AT1673" s="4" t="s">
        <v>6500</v>
      </c>
    </row>
    <row r="1674" spans="1:46">
      <c r="A1674" s="2">
        <v>2380</v>
      </c>
      <c r="B1674" t="s">
        <v>6501</v>
      </c>
      <c r="C1674" t="s">
        <v>2150</v>
      </c>
      <c r="D1674" t="s">
        <v>3858</v>
      </c>
      <c r="E1674" s="4">
        <v>43465</v>
      </c>
      <c r="F1674" s="11">
        <v>-17.852415570000002</v>
      </c>
      <c r="G1674" s="11">
        <v>10.74168798</v>
      </c>
      <c r="H1674" s="11">
        <v>-4.1985345549000002</v>
      </c>
      <c r="I1674" s="11">
        <v>9.6718874066999998</v>
      </c>
      <c r="J1674" s="11">
        <v>4.5963918963000001</v>
      </c>
      <c r="K1674" s="10">
        <v>1.094327356905</v>
      </c>
      <c r="L1674" s="12">
        <v>16261242278.32</v>
      </c>
      <c r="M1674">
        <v>26.577622501990099</v>
      </c>
      <c r="N1674" s="7">
        <v>1.3120956089614499</v>
      </c>
      <c r="O1674" s="7">
        <v>0.81926550071057103</v>
      </c>
      <c r="P1674" s="7">
        <v>12.965300001305399</v>
      </c>
      <c r="Q1674" s="7">
        <v>2.4096385542168677</v>
      </c>
      <c r="U1674">
        <v>0.30651007023813098</v>
      </c>
      <c r="AT1674" s="4" t="s">
        <v>6502</v>
      </c>
    </row>
    <row r="1675" spans="1:46">
      <c r="A1675" s="2">
        <v>427</v>
      </c>
      <c r="B1675" t="s">
        <v>6503</v>
      </c>
      <c r="C1675" t="s">
        <v>2684</v>
      </c>
      <c r="D1675" t="s">
        <v>3764</v>
      </c>
      <c r="E1675" s="4">
        <v>43465</v>
      </c>
      <c r="F1675" s="11">
        <v>-15.961623339999999</v>
      </c>
      <c r="G1675" s="11">
        <v>10.73059361</v>
      </c>
      <c r="H1675" s="11">
        <v>20.757993224100002</v>
      </c>
      <c r="I1675" s="11">
        <v>11.7657107439</v>
      </c>
      <c r="J1675" s="11">
        <v>7.3415058596999998</v>
      </c>
      <c r="K1675" s="10">
        <v>0.34466437903399999</v>
      </c>
      <c r="L1675" s="12">
        <v>3006947328</v>
      </c>
      <c r="M1675">
        <v>24.638251857073602</v>
      </c>
      <c r="N1675" s="7">
        <v>0.91762793375745699</v>
      </c>
      <c r="O1675" s="7">
        <v>1.79229199837758</v>
      </c>
      <c r="P1675" s="7">
        <v>-5.1868170064414301</v>
      </c>
      <c r="Q1675" s="7">
        <v>2.5641025641025639</v>
      </c>
      <c r="U1675">
        <v>0.19320244728136471</v>
      </c>
      <c r="AT1675" s="4" t="s">
        <v>6504</v>
      </c>
    </row>
    <row r="1676" spans="1:46">
      <c r="A1676" s="2">
        <v>1998</v>
      </c>
      <c r="B1676" t="s">
        <v>6505</v>
      </c>
      <c r="C1676" t="s">
        <v>165</v>
      </c>
      <c r="D1676" t="s">
        <v>3728</v>
      </c>
      <c r="E1676" s="4">
        <v>43465</v>
      </c>
      <c r="F1676" s="11">
        <v>3.9659723499999999</v>
      </c>
      <c r="G1676" s="11">
        <v>10.71199487</v>
      </c>
      <c r="H1676" s="11">
        <v>76.187690992300006</v>
      </c>
      <c r="I1676" s="11">
        <v>25.984719550099999</v>
      </c>
      <c r="J1676" s="11">
        <v>9.0028652390000001</v>
      </c>
      <c r="K1676" s="10">
        <v>1.707044466118</v>
      </c>
      <c r="L1676" s="12">
        <v>2431594901.5</v>
      </c>
      <c r="M1676">
        <v>48.507235797110901</v>
      </c>
      <c r="N1676" s="7">
        <v>10.6637811033817</v>
      </c>
      <c r="O1676" s="7">
        <v>3.7468846224549202</v>
      </c>
      <c r="P1676" s="7">
        <v>37.0771157572606</v>
      </c>
      <c r="Q1676" s="7">
        <v>0.67266173048329114</v>
      </c>
      <c r="U1676">
        <v>0.79834948154228136</v>
      </c>
      <c r="AT1676" s="4" t="s">
        <v>5042</v>
      </c>
    </row>
    <row r="1677" spans="1:46">
      <c r="A1677" s="2">
        <v>1200</v>
      </c>
      <c r="B1677" t="s">
        <v>6506</v>
      </c>
      <c r="C1677" t="s">
        <v>3585</v>
      </c>
      <c r="D1677" t="s">
        <v>3718</v>
      </c>
      <c r="E1677" s="4">
        <v>43465</v>
      </c>
      <c r="F1677" s="11">
        <v>-27.177207660000001</v>
      </c>
      <c r="G1677" s="11">
        <v>10.70336391</v>
      </c>
      <c r="H1677" s="11">
        <v>4.7057940805999996</v>
      </c>
      <c r="I1677" s="11">
        <v>26.043243549900001</v>
      </c>
      <c r="J1677" s="11">
        <v>0.67903146079999999</v>
      </c>
      <c r="K1677" s="10">
        <v>0.50459004473699998</v>
      </c>
      <c r="L1677" s="12">
        <v>3642854035.7399998</v>
      </c>
      <c r="M1677">
        <v>-120.502104383488</v>
      </c>
      <c r="N1677" s="7">
        <v>2.4889720030834499</v>
      </c>
      <c r="O1677" s="7">
        <v>3.2525515223607702</v>
      </c>
      <c r="P1677" s="7">
        <v>-19.517383523712802</v>
      </c>
      <c r="Q1677" s="7" t="s">
        <v>3698</v>
      </c>
      <c r="U1677">
        <v>8.9657322845981477E-3</v>
      </c>
      <c r="AT1677" s="4" t="s">
        <v>4423</v>
      </c>
    </row>
    <row r="1678" spans="1:46">
      <c r="A1678" s="2">
        <v>1225</v>
      </c>
      <c r="B1678" t="s">
        <v>6507</v>
      </c>
      <c r="C1678" t="s">
        <v>2720</v>
      </c>
      <c r="D1678" t="s">
        <v>3849</v>
      </c>
      <c r="E1678" s="4">
        <v>43465</v>
      </c>
      <c r="F1678" s="11">
        <v>-37.198067629999997</v>
      </c>
      <c r="G1678" s="11">
        <v>10.69486405</v>
      </c>
      <c r="H1678" s="11">
        <v>3.7224017051999998</v>
      </c>
      <c r="I1678" s="11">
        <v>25.886234048399999</v>
      </c>
      <c r="J1678" s="11">
        <v>2.8961889581000002</v>
      </c>
      <c r="K1678" s="10">
        <v>0.47872932741300001</v>
      </c>
      <c r="L1678" s="12">
        <v>2692800000</v>
      </c>
      <c r="M1678">
        <v>401.27116887260797</v>
      </c>
      <c r="N1678" s="7">
        <v>3.1219423093486398</v>
      </c>
      <c r="O1678" s="7">
        <v>4.1944467974679096</v>
      </c>
      <c r="P1678" s="7">
        <v>94.114551876052204</v>
      </c>
      <c r="Q1678" s="7" t="s">
        <v>3698</v>
      </c>
      <c r="U1678">
        <v>0.1115886547826087</v>
      </c>
      <c r="AT1678" s="4" t="s">
        <v>6508</v>
      </c>
    </row>
    <row r="1679" spans="1:46">
      <c r="A1679" s="2">
        <v>2821</v>
      </c>
      <c r="B1679" t="s">
        <v>6509</v>
      </c>
      <c r="C1679" t="s">
        <v>1940</v>
      </c>
      <c r="D1679" t="s">
        <v>3871</v>
      </c>
      <c r="E1679" s="4">
        <v>43465</v>
      </c>
      <c r="F1679" s="11">
        <v>-6.0042670600000001</v>
      </c>
      <c r="G1679" s="11">
        <v>10.674157299999999</v>
      </c>
      <c r="H1679" s="11">
        <v>18.014384167999999</v>
      </c>
      <c r="I1679" s="11">
        <v>30.0321628839</v>
      </c>
      <c r="J1679" s="11">
        <v>10.6709237655</v>
      </c>
      <c r="K1679" s="10">
        <v>0.226555849674</v>
      </c>
      <c r="L1679" s="12">
        <v>57653229748.800003</v>
      </c>
      <c r="M1679">
        <v>15.726336789398699</v>
      </c>
      <c r="N1679" s="7">
        <v>1.01255778288148</v>
      </c>
      <c r="O1679" s="7">
        <v>1.2120702710285101</v>
      </c>
      <c r="P1679" s="7">
        <v>-49.324670557591602</v>
      </c>
      <c r="Q1679" s="7">
        <v>0.51546391752577314</v>
      </c>
      <c r="U1679">
        <v>0.35651640012500041</v>
      </c>
      <c r="AT1679" s="4" t="s">
        <v>6510</v>
      </c>
    </row>
    <row r="1680" spans="1:46">
      <c r="A1680" s="2">
        <v>3226</v>
      </c>
      <c r="B1680" t="s">
        <v>6511</v>
      </c>
      <c r="C1680" t="s">
        <v>3007</v>
      </c>
      <c r="D1680" t="s">
        <v>3718</v>
      </c>
      <c r="E1680" s="4">
        <v>43465</v>
      </c>
      <c r="F1680" s="11">
        <v>-28.075002900000001</v>
      </c>
      <c r="G1680" s="11">
        <v>10.665658090000001</v>
      </c>
      <c r="H1680" s="11">
        <v>8.1890149910000005</v>
      </c>
      <c r="I1680" s="11">
        <v>37.003757925599999</v>
      </c>
      <c r="J1680" s="11">
        <v>7.4698708041000002</v>
      </c>
      <c r="K1680" s="10">
        <v>0.31883599747300001</v>
      </c>
      <c r="L1680" s="12">
        <v>2048280000</v>
      </c>
      <c r="M1680">
        <v>-1692.7429970824501</v>
      </c>
      <c r="N1680" s="7">
        <v>2.0784735464785999</v>
      </c>
      <c r="O1680" s="7">
        <v>3.7316360401778699</v>
      </c>
      <c r="P1680" s="7">
        <v>-37.256303434961197</v>
      </c>
      <c r="Q1680" s="7">
        <v>0.75187969924812026</v>
      </c>
      <c r="U1680">
        <v>0.16176722134133276</v>
      </c>
      <c r="AT1680" s="4" t="s">
        <v>6512</v>
      </c>
    </row>
    <row r="1681" spans="1:46">
      <c r="A1681" s="2">
        <v>577</v>
      </c>
      <c r="B1681" t="s">
        <v>6513</v>
      </c>
      <c r="C1681" t="s">
        <v>1830</v>
      </c>
      <c r="D1681" t="s">
        <v>3998</v>
      </c>
      <c r="E1681" s="4">
        <v>43465</v>
      </c>
      <c r="F1681" s="11">
        <v>-23.860329780000001</v>
      </c>
      <c r="G1681" s="11">
        <v>10.62068966</v>
      </c>
      <c r="H1681" s="11">
        <v>73.959716517700002</v>
      </c>
      <c r="I1681" s="11">
        <v>18.165139126100001</v>
      </c>
      <c r="J1681" s="11">
        <v>1.8718667684999999</v>
      </c>
      <c r="K1681" s="10">
        <v>1.0301272845609999</v>
      </c>
      <c r="L1681" s="12">
        <v>2449734204.0799999</v>
      </c>
      <c r="M1681">
        <v>-55.136971009879403</v>
      </c>
      <c r="N1681" s="7">
        <v>3.9747333012410002</v>
      </c>
      <c r="O1681" s="7">
        <v>0.47214116625744701</v>
      </c>
      <c r="P1681" s="7">
        <v>37.990469353467397</v>
      </c>
      <c r="Q1681" s="7" t="s">
        <v>3698</v>
      </c>
      <c r="U1681">
        <v>7.4828245584415587E-2</v>
      </c>
      <c r="AT1681" s="4" t="s">
        <v>3935</v>
      </c>
    </row>
    <row r="1682" spans="1:46">
      <c r="A1682" s="2">
        <v>934</v>
      </c>
      <c r="B1682" t="s">
        <v>6514</v>
      </c>
      <c r="C1682" t="s">
        <v>3526</v>
      </c>
      <c r="D1682" t="s">
        <v>3837</v>
      </c>
      <c r="E1682" s="4">
        <v>43465</v>
      </c>
      <c r="F1682" s="11">
        <v>-32.522585130000003</v>
      </c>
      <c r="G1682" s="11">
        <v>10.61643836</v>
      </c>
      <c r="H1682" s="11">
        <v>5.4097771176</v>
      </c>
      <c r="I1682" s="11">
        <v>8.7703090706999998</v>
      </c>
      <c r="J1682" s="11">
        <v>-10.989599141699999</v>
      </c>
      <c r="K1682" s="10">
        <v>0.30796913458000003</v>
      </c>
      <c r="L1682" s="12">
        <v>8924509310.4599991</v>
      </c>
      <c r="M1682">
        <v>-22.184883159959799</v>
      </c>
      <c r="N1682" s="7">
        <v>3.0284544909223099</v>
      </c>
      <c r="O1682" s="7">
        <v>4.5078986023534098</v>
      </c>
      <c r="P1682" s="7">
        <v>50.002225783262197</v>
      </c>
      <c r="Q1682" s="7" t="s">
        <v>3698</v>
      </c>
      <c r="U1682">
        <v>-0.22407124940035925</v>
      </c>
      <c r="AT1682" s="4" t="s">
        <v>6390</v>
      </c>
    </row>
    <row r="1683" spans="1:46">
      <c r="A1683" s="2">
        <v>681</v>
      </c>
      <c r="B1683" t="s">
        <v>6515</v>
      </c>
      <c r="C1683" t="s">
        <v>3458</v>
      </c>
      <c r="D1683" t="s">
        <v>3752</v>
      </c>
      <c r="E1683" s="4">
        <v>43465</v>
      </c>
      <c r="F1683" s="11">
        <v>-49.149922719999999</v>
      </c>
      <c r="G1683" s="11">
        <v>10.61643836</v>
      </c>
      <c r="H1683" s="11">
        <v>10.1697696105</v>
      </c>
      <c r="I1683" s="11">
        <v>15.8066974555</v>
      </c>
      <c r="J1683" s="11">
        <v>0.34065038110000001</v>
      </c>
      <c r="K1683" s="10">
        <v>0.56308749386800006</v>
      </c>
      <c r="L1683" s="12">
        <v>3670307416.0900002</v>
      </c>
      <c r="M1683">
        <v>-20.423898668918198</v>
      </c>
      <c r="N1683" s="7">
        <v>1.43079644088334</v>
      </c>
      <c r="O1683" s="7">
        <v>1.17725593307267</v>
      </c>
      <c r="P1683" s="7">
        <v>-5.1212784801560298</v>
      </c>
      <c r="Q1683" s="7" t="s">
        <v>3698</v>
      </c>
      <c r="U1683">
        <v>1.0416323327603701E-2</v>
      </c>
      <c r="AT1683" s="4" t="s">
        <v>4063</v>
      </c>
    </row>
    <row r="1684" spans="1:46">
      <c r="A1684" s="2">
        <v>1349</v>
      </c>
      <c r="B1684" t="s">
        <v>6516</v>
      </c>
      <c r="C1684" t="s">
        <v>3594</v>
      </c>
      <c r="D1684" t="s">
        <v>3977</v>
      </c>
      <c r="E1684" s="4">
        <v>43465</v>
      </c>
      <c r="F1684" s="11">
        <v>-17.688831499999999</v>
      </c>
      <c r="G1684" s="11">
        <v>10.60735672</v>
      </c>
      <c r="H1684" s="11">
        <v>-26.636333201399999</v>
      </c>
      <c r="I1684" s="11">
        <v>13.787869815900001</v>
      </c>
      <c r="J1684" s="11">
        <v>-9.4036104731000005</v>
      </c>
      <c r="K1684" s="10">
        <v>0.63520869848899997</v>
      </c>
      <c r="L1684" s="12">
        <v>12978574659</v>
      </c>
      <c r="M1684">
        <v>-56.949142553193703</v>
      </c>
      <c r="N1684" s="7">
        <v>3.24240459713271</v>
      </c>
      <c r="O1684" s="7">
        <v>2.04658900513774</v>
      </c>
      <c r="P1684" s="7">
        <v>-15.8289598841972</v>
      </c>
      <c r="Q1684" s="7" t="s">
        <v>3698</v>
      </c>
      <c r="U1684">
        <v>-0.44498067532156743</v>
      </c>
      <c r="AT1684" s="4" t="s">
        <v>6517</v>
      </c>
    </row>
    <row r="1685" spans="1:46">
      <c r="A1685" s="2">
        <v>1588</v>
      </c>
      <c r="B1685" t="s">
        <v>6518</v>
      </c>
      <c r="C1685" t="s">
        <v>3489</v>
      </c>
      <c r="D1685" t="s">
        <v>3752</v>
      </c>
      <c r="E1685" s="4">
        <v>43465</v>
      </c>
      <c r="F1685" s="11">
        <v>-36.769759450000002</v>
      </c>
      <c r="G1685" s="11">
        <v>10.60606061</v>
      </c>
      <c r="H1685" s="11">
        <v>-14.784161989499999</v>
      </c>
      <c r="I1685" s="11">
        <v>41.071182976199999</v>
      </c>
      <c r="J1685" s="11">
        <v>-36.615057197399999</v>
      </c>
      <c r="K1685" s="10">
        <v>0.61837883840100005</v>
      </c>
      <c r="L1685" s="12">
        <v>21065238861.119999</v>
      </c>
      <c r="M1685">
        <v>-8.3094509604368092</v>
      </c>
      <c r="N1685" s="7">
        <v>3.2166779750932402</v>
      </c>
      <c r="O1685" s="7">
        <v>2.6050134861390801</v>
      </c>
      <c r="P1685" s="7">
        <v>-55.162811953292604</v>
      </c>
      <c r="Q1685" s="7" t="s">
        <v>3698</v>
      </c>
      <c r="U1685">
        <v>-0.42517466229957807</v>
      </c>
      <c r="AT1685" s="4" t="s">
        <v>4087</v>
      </c>
    </row>
    <row r="1686" spans="1:46">
      <c r="A1686" s="2">
        <v>2930</v>
      </c>
      <c r="B1686" t="s">
        <v>6519</v>
      </c>
      <c r="C1686" t="s">
        <v>174</v>
      </c>
      <c r="D1686" t="s">
        <v>3811</v>
      </c>
      <c r="E1686" s="4">
        <v>43465</v>
      </c>
      <c r="F1686" s="11">
        <v>-0.43243242999999998</v>
      </c>
      <c r="G1686" s="11">
        <v>10.58965102</v>
      </c>
      <c r="H1686" s="11">
        <v>2.1052721321000001</v>
      </c>
      <c r="I1686" s="11">
        <v>12.3137509959</v>
      </c>
      <c r="J1686" s="11">
        <v>3.6686188294000002</v>
      </c>
      <c r="K1686" s="10">
        <v>1.211220440837</v>
      </c>
      <c r="L1686" s="12">
        <v>2368377138.5999999</v>
      </c>
      <c r="M1686">
        <v>72.797144592406099</v>
      </c>
      <c r="N1686" s="7">
        <v>9.1961555897752891</v>
      </c>
      <c r="O1686" s="7">
        <v>1.84030700584192</v>
      </c>
      <c r="P1686" s="7">
        <v>-184.321079946456</v>
      </c>
      <c r="Q1686" s="7" t="s">
        <v>3698</v>
      </c>
      <c r="U1686">
        <v>0.1632835484841629</v>
      </c>
      <c r="AT1686" s="4" t="s">
        <v>5162</v>
      </c>
    </row>
    <row r="1687" spans="1:46">
      <c r="A1687" s="2">
        <v>2542</v>
      </c>
      <c r="B1687" t="s">
        <v>6520</v>
      </c>
      <c r="C1687" t="s">
        <v>3313</v>
      </c>
      <c r="D1687" t="s">
        <v>3718</v>
      </c>
      <c r="E1687" s="4">
        <v>43465</v>
      </c>
      <c r="F1687" s="11">
        <v>-31.321710190000001</v>
      </c>
      <c r="G1687" s="11">
        <v>10.575916230000001</v>
      </c>
      <c r="H1687" s="11">
        <v>-2.6161762814</v>
      </c>
      <c r="I1687" s="11">
        <v>18.629538698800001</v>
      </c>
      <c r="J1687" s="11">
        <v>7.9213060720000001</v>
      </c>
      <c r="K1687" s="10">
        <v>0.71508342422600002</v>
      </c>
      <c r="L1687" s="12">
        <v>7845143420.4799995</v>
      </c>
      <c r="M1687">
        <v>-24.712177305580401</v>
      </c>
      <c r="N1687" s="7">
        <v>2.5070671536465601</v>
      </c>
      <c r="O1687" s="7">
        <v>2.3974353923895699</v>
      </c>
      <c r="P1687" s="7">
        <v>10.9122181799716</v>
      </c>
      <c r="Q1687" s="7" t="s">
        <v>3698</v>
      </c>
      <c r="U1687">
        <v>0.32233558030090737</v>
      </c>
      <c r="AT1687" s="4" t="s">
        <v>6521</v>
      </c>
    </row>
    <row r="1688" spans="1:46">
      <c r="A1688" s="2">
        <v>2198</v>
      </c>
      <c r="B1688" t="s">
        <v>6522</v>
      </c>
      <c r="C1688" t="s">
        <v>3017</v>
      </c>
      <c r="D1688" t="s">
        <v>4119</v>
      </c>
      <c r="E1688" s="4">
        <v>43465</v>
      </c>
      <c r="F1688" s="11">
        <v>-33.387535589999999</v>
      </c>
      <c r="G1688" s="11">
        <v>10.57513915</v>
      </c>
      <c r="H1688" s="11">
        <v>-42.849431467800002</v>
      </c>
      <c r="I1688" s="11">
        <v>11.181229740599999</v>
      </c>
      <c r="J1688" s="11">
        <v>9.0699115999999993</v>
      </c>
      <c r="K1688" s="10">
        <v>0.60310531021699998</v>
      </c>
      <c r="L1688" s="12">
        <v>4168379600</v>
      </c>
      <c r="M1688">
        <v>20.542930254482101</v>
      </c>
      <c r="N1688" s="7">
        <v>0.70194080825360705</v>
      </c>
      <c r="O1688" s="7">
        <v>0.30153727319461998</v>
      </c>
      <c r="P1688" s="7">
        <v>8.7101056116325903</v>
      </c>
      <c r="Q1688" s="7">
        <v>2.5684931506849313</v>
      </c>
      <c r="U1688">
        <v>0.7991941621847658</v>
      </c>
      <c r="AT1688" s="4" t="s">
        <v>6523</v>
      </c>
    </row>
    <row r="1689" spans="1:46">
      <c r="A1689" s="2">
        <v>28</v>
      </c>
      <c r="B1689" t="s">
        <v>6524</v>
      </c>
      <c r="C1689" t="s">
        <v>781</v>
      </c>
      <c r="D1689" t="s">
        <v>3737</v>
      </c>
      <c r="E1689" s="4">
        <v>43465</v>
      </c>
      <c r="F1689" s="11">
        <v>-23.517977599999998</v>
      </c>
      <c r="G1689" s="11">
        <v>10.5598305</v>
      </c>
      <c r="H1689" s="11">
        <v>4.5051847156000004</v>
      </c>
      <c r="I1689" s="11">
        <v>11.8228081041</v>
      </c>
      <c r="J1689" s="11">
        <v>3.1269863564999998</v>
      </c>
      <c r="K1689" s="10">
        <v>1.6820389506640001</v>
      </c>
      <c r="L1689" s="12">
        <v>4038991756.8000002</v>
      </c>
      <c r="M1689">
        <v>15.428792680855199</v>
      </c>
      <c r="N1689" s="7">
        <v>1.64504141677167</v>
      </c>
      <c r="O1689" s="7">
        <v>0.42493161411049502</v>
      </c>
      <c r="P1689" s="7">
        <v>4.9778165148165501</v>
      </c>
      <c r="Q1689" s="7">
        <v>0.91721805629338216</v>
      </c>
      <c r="U1689">
        <v>2.8279984300358847</v>
      </c>
      <c r="AT1689" s="4" t="s">
        <v>6525</v>
      </c>
    </row>
    <row r="1690" spans="1:46">
      <c r="A1690" s="2">
        <v>1610</v>
      </c>
      <c r="B1690" t="s">
        <v>6526</v>
      </c>
      <c r="C1690" t="s">
        <v>2749</v>
      </c>
      <c r="D1690" t="s">
        <v>3718</v>
      </c>
      <c r="E1690" s="4">
        <v>43465</v>
      </c>
      <c r="F1690" s="11">
        <v>-18.496693019999999</v>
      </c>
      <c r="G1690" s="11">
        <v>10.55900621</v>
      </c>
      <c r="H1690" s="11">
        <v>11.491075568799999</v>
      </c>
      <c r="I1690" s="11">
        <v>23.214169276900002</v>
      </c>
      <c r="J1690" s="11">
        <v>6.8039260747999997</v>
      </c>
      <c r="K1690" s="10">
        <v>0.34564814519600001</v>
      </c>
      <c r="L1690" s="12">
        <v>4751550691.1999998</v>
      </c>
      <c r="M1690">
        <v>25.274521815270301</v>
      </c>
      <c r="N1690" s="7">
        <v>1.0347295212982499</v>
      </c>
      <c r="O1690" s="7">
        <v>1.4952344482922799</v>
      </c>
      <c r="P1690" s="7">
        <v>918.64931325937198</v>
      </c>
      <c r="Q1690" s="7">
        <v>1.1695906432748537</v>
      </c>
      <c r="U1690">
        <v>6.6460806506010897E-2</v>
      </c>
      <c r="AT1690" s="4" t="s">
        <v>6527</v>
      </c>
    </row>
    <row r="1691" spans="1:46">
      <c r="A1691" s="2">
        <v>1101</v>
      </c>
      <c r="B1691" t="s">
        <v>6528</v>
      </c>
      <c r="C1691" t="s">
        <v>1578</v>
      </c>
      <c r="D1691" t="s">
        <v>3849</v>
      </c>
      <c r="E1691" s="4">
        <v>43465</v>
      </c>
      <c r="F1691" s="11">
        <v>-47.328162390000003</v>
      </c>
      <c r="G1691" s="11">
        <v>10.53459119</v>
      </c>
      <c r="H1691" s="11">
        <v>-0.86614692879999999</v>
      </c>
      <c r="I1691" s="11">
        <v>23.7422467514</v>
      </c>
      <c r="J1691" s="11">
        <v>-1.5469184365999999</v>
      </c>
      <c r="K1691" s="10">
        <v>0.64743740957499996</v>
      </c>
      <c r="L1691" s="12">
        <v>7653000432</v>
      </c>
      <c r="M1691">
        <v>31.302377001201702</v>
      </c>
      <c r="N1691" s="7">
        <v>1.7159325167900701</v>
      </c>
      <c r="O1691" s="7">
        <v>1.30491381697479</v>
      </c>
      <c r="P1691" s="7">
        <v>89.160367632057302</v>
      </c>
      <c r="Q1691" s="7" t="s">
        <v>3698</v>
      </c>
      <c r="U1691">
        <v>-6.7150675494999409E-2</v>
      </c>
      <c r="AT1691" s="4" t="s">
        <v>4505</v>
      </c>
    </row>
    <row r="1692" spans="1:46">
      <c r="A1692" s="2">
        <v>388</v>
      </c>
      <c r="B1692" t="s">
        <v>6529</v>
      </c>
      <c r="C1692" t="s">
        <v>2065</v>
      </c>
      <c r="D1692" t="s">
        <v>4119</v>
      </c>
      <c r="E1692" s="4">
        <v>43465</v>
      </c>
      <c r="F1692" s="11">
        <v>-25.629392249999999</v>
      </c>
      <c r="G1692" s="11">
        <v>10.52631579</v>
      </c>
      <c r="H1692" s="11">
        <v>60.553001208600001</v>
      </c>
      <c r="I1692" s="11">
        <v>13.8048779743</v>
      </c>
      <c r="J1692" s="11">
        <v>2.6292904127000001</v>
      </c>
      <c r="K1692" s="10">
        <v>0.85918572803500004</v>
      </c>
      <c r="L1692" s="12">
        <v>3776784824.5</v>
      </c>
      <c r="M1692">
        <v>31.597344001653401</v>
      </c>
      <c r="N1692" s="7">
        <v>1.11622507413656</v>
      </c>
      <c r="O1692" s="7">
        <v>1.0632926081859899</v>
      </c>
      <c r="P1692" s="7">
        <v>123.038780900871</v>
      </c>
      <c r="Q1692" s="7">
        <v>0.31578947368421045</v>
      </c>
      <c r="U1692">
        <v>0.13236948305518681</v>
      </c>
      <c r="AT1692" s="4" t="s">
        <v>6530</v>
      </c>
    </row>
    <row r="1693" spans="1:46">
      <c r="A1693" s="2">
        <v>2296</v>
      </c>
      <c r="B1693" t="s">
        <v>6531</v>
      </c>
      <c r="C1693" t="s">
        <v>3490</v>
      </c>
      <c r="D1693" t="s">
        <v>3728</v>
      </c>
      <c r="E1693" s="4">
        <v>43465</v>
      </c>
      <c r="F1693" s="11">
        <v>-15.81920904</v>
      </c>
      <c r="G1693" s="11">
        <v>10.513447429999999</v>
      </c>
      <c r="H1693" s="11">
        <v>42.726420506499998</v>
      </c>
      <c r="I1693" s="11">
        <v>5.1036895652999998</v>
      </c>
      <c r="J1693" s="11">
        <v>1.3546600257000001</v>
      </c>
      <c r="K1693" s="10">
        <v>0.97789820936500005</v>
      </c>
      <c r="L1693" s="12">
        <v>1674400000</v>
      </c>
      <c r="M1693">
        <v>-16.1879838491441</v>
      </c>
      <c r="N1693" s="7">
        <v>2.5302883522709498</v>
      </c>
      <c r="O1693" s="7">
        <v>1.8896204555751299</v>
      </c>
      <c r="P1693" s="7">
        <v>15.8207508938871</v>
      </c>
      <c r="Q1693" s="7" t="s">
        <v>3698</v>
      </c>
      <c r="U1693">
        <v>6.8661847851042776E-2</v>
      </c>
      <c r="AT1693" s="4" t="s">
        <v>6532</v>
      </c>
    </row>
    <row r="1694" spans="1:46">
      <c r="A1694" s="2">
        <v>3039</v>
      </c>
      <c r="B1694" t="s">
        <v>6533</v>
      </c>
      <c r="C1694" t="s">
        <v>2954</v>
      </c>
      <c r="D1694" t="s">
        <v>3718</v>
      </c>
      <c r="E1694" s="4">
        <v>43465</v>
      </c>
      <c r="F1694" s="11">
        <v>-43.598233999999998</v>
      </c>
      <c r="G1694" s="11">
        <v>10.49250535</v>
      </c>
      <c r="H1694" s="11">
        <v>9.9839656363000007</v>
      </c>
      <c r="I1694" s="11">
        <v>5.1023286452000001</v>
      </c>
      <c r="J1694" s="11">
        <v>0.60281676819999996</v>
      </c>
      <c r="K1694" s="10">
        <v>0.56453231706600004</v>
      </c>
      <c r="L1694" s="12">
        <v>10956703578.48</v>
      </c>
      <c r="M1694">
        <v>-186.498654669464</v>
      </c>
      <c r="N1694" s="7">
        <v>2.58951608499653</v>
      </c>
      <c r="O1694" s="7">
        <v>2.29672852471503</v>
      </c>
      <c r="P1694" s="7">
        <v>-5.5282672989919996</v>
      </c>
      <c r="Q1694" s="7" t="s">
        <v>3698</v>
      </c>
      <c r="U1694">
        <v>2.7943108129673794E-2</v>
      </c>
      <c r="AT1694" s="4" t="s">
        <v>6534</v>
      </c>
    </row>
    <row r="1695" spans="1:46">
      <c r="A1695" s="2">
        <v>53</v>
      </c>
      <c r="B1695" t="s">
        <v>6535</v>
      </c>
      <c r="C1695" t="s">
        <v>786</v>
      </c>
      <c r="D1695" t="s">
        <v>3769</v>
      </c>
      <c r="E1695" s="4">
        <v>43465</v>
      </c>
      <c r="F1695" s="11">
        <v>-39.690419439999999</v>
      </c>
      <c r="G1695" s="11">
        <v>10.478422460000001</v>
      </c>
      <c r="H1695" s="11">
        <v>5.2556690164999997</v>
      </c>
      <c r="I1695" s="11">
        <v>13.496376381699999</v>
      </c>
      <c r="J1695" s="11">
        <v>4.5562255833999998</v>
      </c>
      <c r="K1695" s="10">
        <v>1.0427660621579999</v>
      </c>
      <c r="L1695" s="12">
        <v>1363697400</v>
      </c>
      <c r="M1695">
        <v>17.689089920939299</v>
      </c>
      <c r="N1695" s="7">
        <v>1.3881327493123601</v>
      </c>
      <c r="O1695" s="7">
        <v>0.667055394030309</v>
      </c>
      <c r="P1695" s="7">
        <v>33.326674214725202</v>
      </c>
      <c r="Q1695" s="7">
        <v>2.0100502512562817</v>
      </c>
      <c r="U1695">
        <v>0.25770893288880642</v>
      </c>
      <c r="AT1695" s="4" t="s">
        <v>5379</v>
      </c>
    </row>
    <row r="1696" spans="1:46">
      <c r="A1696" s="2">
        <v>383</v>
      </c>
      <c r="B1696" t="s">
        <v>6536</v>
      </c>
      <c r="C1696" t="s">
        <v>525</v>
      </c>
      <c r="D1696" t="s">
        <v>3972</v>
      </c>
      <c r="E1696" s="4">
        <v>43465</v>
      </c>
      <c r="F1696" s="11">
        <v>-21.152457259999998</v>
      </c>
      <c r="G1696" s="11">
        <v>10.441767069999999</v>
      </c>
      <c r="H1696" s="11">
        <v>11.7894516651</v>
      </c>
      <c r="I1696" s="11">
        <v>65.240755538900004</v>
      </c>
      <c r="J1696" s="11">
        <v>64.794991233299996</v>
      </c>
      <c r="K1696" s="10">
        <v>0.15297459594000001</v>
      </c>
      <c r="L1696" s="12">
        <v>1813350000</v>
      </c>
      <c r="M1696">
        <v>8.8355147753473293</v>
      </c>
      <c r="N1696" s="7">
        <v>1.19662804304807</v>
      </c>
      <c r="O1696" s="7">
        <v>4.8740202763704197</v>
      </c>
      <c r="P1696" s="7">
        <v>5.8613615514424202</v>
      </c>
      <c r="Q1696" s="7">
        <v>3.4482758620689662</v>
      </c>
      <c r="U1696">
        <v>1.0089877597402468</v>
      </c>
      <c r="AT1696" s="4" t="s">
        <v>6537</v>
      </c>
    </row>
    <row r="1697" spans="1:46">
      <c r="A1697" s="2">
        <v>1585</v>
      </c>
      <c r="B1697" t="s">
        <v>6538</v>
      </c>
      <c r="C1697" t="s">
        <v>1200</v>
      </c>
      <c r="D1697" t="s">
        <v>3998</v>
      </c>
      <c r="E1697" s="4">
        <v>43465</v>
      </c>
      <c r="F1697" s="11">
        <v>-49.725312760000001</v>
      </c>
      <c r="G1697" s="11">
        <v>10.434782609999999</v>
      </c>
      <c r="H1697" s="11">
        <v>1.6621741769</v>
      </c>
      <c r="I1697" s="11">
        <v>29.189883478799999</v>
      </c>
      <c r="J1697" s="11">
        <v>-16.3991070941</v>
      </c>
      <c r="K1697" s="10">
        <v>0.72695787214200003</v>
      </c>
      <c r="L1697" s="12">
        <v>22372865133.25</v>
      </c>
      <c r="M1697">
        <v>-235.163914456578</v>
      </c>
      <c r="N1697" s="7">
        <v>2.97871339218334</v>
      </c>
      <c r="O1697" s="7">
        <v>1.48109511048314</v>
      </c>
      <c r="P1697" s="7">
        <v>-51.747146552954803</v>
      </c>
      <c r="Q1697" s="7" t="s">
        <v>3698</v>
      </c>
      <c r="U1697">
        <v>-0.39316419919579282</v>
      </c>
      <c r="AT1697" s="4" t="s">
        <v>4087</v>
      </c>
    </row>
    <row r="1698" spans="1:46">
      <c r="A1698" s="2">
        <v>407</v>
      </c>
      <c r="B1698" t="s">
        <v>6539</v>
      </c>
      <c r="C1698" t="s">
        <v>273</v>
      </c>
      <c r="D1698" t="s">
        <v>3785</v>
      </c>
      <c r="E1698" s="4">
        <v>43465</v>
      </c>
      <c r="F1698" s="11">
        <v>-21.0414183</v>
      </c>
      <c r="G1698" s="11">
        <v>10.42307692</v>
      </c>
      <c r="H1698" s="11">
        <v>4.2513449196000002</v>
      </c>
      <c r="I1698" s="11">
        <v>63.0198171587</v>
      </c>
      <c r="J1698" s="11">
        <v>20.253492952199998</v>
      </c>
      <c r="K1698" s="10">
        <v>0.40088467091199997</v>
      </c>
      <c r="L1698" s="12">
        <v>2917778042.8299999</v>
      </c>
      <c r="M1698">
        <v>19.5241512335718</v>
      </c>
      <c r="N1698" s="7">
        <v>1.88775048147013</v>
      </c>
      <c r="O1698" s="7">
        <v>3.56790494976471</v>
      </c>
      <c r="P1698" s="7">
        <v>225.41745304362701</v>
      </c>
      <c r="Q1698" s="7">
        <v>2.1937842778793417</v>
      </c>
      <c r="U1698">
        <v>1.5210615422545897</v>
      </c>
      <c r="AT1698" s="4" t="s">
        <v>6540</v>
      </c>
    </row>
    <row r="1699" spans="1:46">
      <c r="A1699" s="2">
        <v>2222</v>
      </c>
      <c r="B1699" t="s">
        <v>6541</v>
      </c>
      <c r="C1699" t="s">
        <v>597</v>
      </c>
      <c r="D1699" t="s">
        <v>3752</v>
      </c>
      <c r="E1699" s="4">
        <v>43465</v>
      </c>
      <c r="F1699" s="11">
        <v>-33.136555970000003</v>
      </c>
      <c r="G1699" s="11">
        <v>10.39823009</v>
      </c>
      <c r="H1699" s="11">
        <v>-3.0017585993</v>
      </c>
      <c r="I1699" s="11">
        <v>27.093964757999998</v>
      </c>
      <c r="J1699" s="11">
        <v>9.5834723212000004</v>
      </c>
      <c r="K1699" s="10">
        <v>0.55005237847099997</v>
      </c>
      <c r="L1699" s="12">
        <v>2131162500</v>
      </c>
      <c r="M1699">
        <v>13.0379126530208</v>
      </c>
      <c r="N1699" s="7">
        <v>0.91646860390192797</v>
      </c>
      <c r="O1699" s="7">
        <v>0.87276878046620798</v>
      </c>
      <c r="P1699" s="7">
        <v>23.148489352675298</v>
      </c>
      <c r="Q1699" s="7">
        <v>2.0202020202020203</v>
      </c>
      <c r="U1699">
        <v>0.50754031985477699</v>
      </c>
      <c r="AT1699" s="4" t="s">
        <v>6537</v>
      </c>
    </row>
    <row r="1700" spans="1:46">
      <c r="A1700" s="2">
        <v>842</v>
      </c>
      <c r="B1700" t="s">
        <v>6542</v>
      </c>
      <c r="C1700" t="s">
        <v>2426</v>
      </c>
      <c r="D1700" t="s">
        <v>3713</v>
      </c>
      <c r="E1700" s="4">
        <v>43465</v>
      </c>
      <c r="F1700" s="11">
        <v>-3.5291652500000001</v>
      </c>
      <c r="G1700" s="11">
        <v>10.37946429</v>
      </c>
      <c r="H1700" s="11">
        <v>25.4618008367</v>
      </c>
      <c r="I1700" s="11">
        <v>29.6933868134</v>
      </c>
      <c r="J1700" s="11">
        <v>8.2697303192000007</v>
      </c>
      <c r="K1700" s="10">
        <v>0.512959736753</v>
      </c>
      <c r="L1700" s="12">
        <v>1744320000</v>
      </c>
      <c r="M1700">
        <v>50.313516203227898</v>
      </c>
      <c r="N1700" s="7">
        <v>2.1703398266636098</v>
      </c>
      <c r="O1700" s="7">
        <v>3.52042654022567</v>
      </c>
      <c r="P1700" s="7">
        <v>974.92792827767505</v>
      </c>
      <c r="Q1700" s="7">
        <v>0.33117645222828723</v>
      </c>
      <c r="U1700">
        <v>0.25676223778254814</v>
      </c>
      <c r="AT1700" s="4" t="s">
        <v>4202</v>
      </c>
    </row>
    <row r="1701" spans="1:46">
      <c r="A1701" s="2">
        <v>463</v>
      </c>
      <c r="B1701" t="s">
        <v>6543</v>
      </c>
      <c r="C1701" t="s">
        <v>3591</v>
      </c>
      <c r="D1701" t="s">
        <v>3713</v>
      </c>
      <c r="E1701" s="4">
        <v>43465</v>
      </c>
      <c r="F1701" s="11">
        <v>34.47030273</v>
      </c>
      <c r="G1701" s="11">
        <v>10.377358490000001</v>
      </c>
      <c r="H1701" s="11">
        <v>20.035901259300001</v>
      </c>
      <c r="I1701" s="11">
        <v>23.287050089299999</v>
      </c>
      <c r="J1701" s="11">
        <v>3.5533192807999998</v>
      </c>
      <c r="K1701" s="10">
        <v>0.94679417999299997</v>
      </c>
      <c r="L1701" s="12">
        <v>2065986453.99</v>
      </c>
      <c r="M1701">
        <v>84.848827272935097</v>
      </c>
      <c r="N1701" s="7">
        <v>1.5806218703880499</v>
      </c>
      <c r="O1701" s="7">
        <v>0.88117676016248303</v>
      </c>
      <c r="P1701" s="7">
        <v>18.383696142892099</v>
      </c>
      <c r="Q1701" s="7">
        <v>0.37125037217679535</v>
      </c>
      <c r="U1701">
        <v>0.30320164328006782</v>
      </c>
      <c r="AT1701" s="4" t="s">
        <v>6431</v>
      </c>
    </row>
    <row r="1702" spans="1:46">
      <c r="A1702" s="2">
        <v>3218</v>
      </c>
      <c r="B1702" t="s">
        <v>6544</v>
      </c>
      <c r="C1702" t="s">
        <v>1882</v>
      </c>
      <c r="D1702" t="s">
        <v>3785</v>
      </c>
      <c r="E1702" s="4">
        <v>43465</v>
      </c>
      <c r="F1702" s="11">
        <v>-31.74874354</v>
      </c>
      <c r="G1702" s="11">
        <v>10.36339166</v>
      </c>
      <c r="H1702" s="11">
        <v>7.5200643712000002</v>
      </c>
      <c r="I1702" s="11">
        <v>17.591642928300001</v>
      </c>
      <c r="J1702" s="11">
        <v>5.1332409818000002</v>
      </c>
      <c r="K1702" s="10">
        <v>1.0868504024779999</v>
      </c>
      <c r="L1702" s="12">
        <v>1544751382.5999999</v>
      </c>
      <c r="M1702">
        <v>23.1210189161683</v>
      </c>
      <c r="N1702" s="7">
        <v>1.25700379544074</v>
      </c>
      <c r="O1702" s="7">
        <v>0.978181180525308</v>
      </c>
      <c r="P1702" s="7">
        <v>-12.8570241261188</v>
      </c>
      <c r="Q1702" s="7">
        <v>1.4304291287386219</v>
      </c>
      <c r="U1702">
        <v>0.34423507440625001</v>
      </c>
      <c r="AT1702" s="4" t="s">
        <v>5500</v>
      </c>
    </row>
    <row r="1703" spans="1:46">
      <c r="A1703" s="2">
        <v>2360</v>
      </c>
      <c r="B1703" t="s">
        <v>6545</v>
      </c>
      <c r="C1703" t="s">
        <v>1869</v>
      </c>
      <c r="D1703" t="s">
        <v>3752</v>
      </c>
      <c r="E1703" s="4">
        <v>43465</v>
      </c>
      <c r="F1703" s="11">
        <v>-30.681286839999999</v>
      </c>
      <c r="G1703" s="11">
        <v>10.35714286</v>
      </c>
      <c r="H1703" s="11">
        <v>-25.4559695202</v>
      </c>
      <c r="I1703" s="11">
        <v>40.472054936399999</v>
      </c>
      <c r="J1703" s="11">
        <v>14.033733335100001</v>
      </c>
      <c r="K1703" s="10">
        <v>0.18665287992999999</v>
      </c>
      <c r="L1703" s="12">
        <v>1865280000</v>
      </c>
      <c r="M1703">
        <v>37.638851291549102</v>
      </c>
      <c r="N1703" s="7">
        <v>2.7881701876334399</v>
      </c>
      <c r="O1703" s="7">
        <v>8.4450720178443195</v>
      </c>
      <c r="P1703" s="7">
        <v>-12.572605810337301</v>
      </c>
      <c r="Q1703" s="7">
        <v>0.76923076923076927</v>
      </c>
      <c r="U1703">
        <v>4.5153170125333798E-2</v>
      </c>
      <c r="AT1703" s="4" t="s">
        <v>6546</v>
      </c>
    </row>
    <row r="1704" spans="1:46">
      <c r="A1704" s="2">
        <v>2481</v>
      </c>
      <c r="B1704" t="s">
        <v>6547</v>
      </c>
      <c r="C1704" t="s">
        <v>2109</v>
      </c>
      <c r="D1704" t="s">
        <v>3811</v>
      </c>
      <c r="E1704" s="4">
        <v>43465</v>
      </c>
      <c r="F1704" s="11">
        <v>-28.406834839999998</v>
      </c>
      <c r="G1704" s="11">
        <v>10.32448378</v>
      </c>
      <c r="H1704" s="11">
        <v>-1.4714136725</v>
      </c>
      <c r="I1704" s="11">
        <v>22.185706209300001</v>
      </c>
      <c r="J1704" s="11">
        <v>0.69725592420000004</v>
      </c>
      <c r="K1704" s="10">
        <v>1.169871861766</v>
      </c>
      <c r="L1704" s="12">
        <v>19419839948.880001</v>
      </c>
      <c r="M1704">
        <v>33.332894529326097</v>
      </c>
      <c r="N1704" s="7">
        <v>0.87152044513251503</v>
      </c>
      <c r="O1704" s="7">
        <v>0.19095817522769601</v>
      </c>
      <c r="P1704" s="7">
        <v>-26.468800484640401</v>
      </c>
      <c r="Q1704" s="7">
        <v>1.9498607242339834</v>
      </c>
      <c r="U1704">
        <v>0.12525938734780864</v>
      </c>
      <c r="AT1704" s="4" t="s">
        <v>6548</v>
      </c>
    </row>
    <row r="1705" spans="1:46">
      <c r="A1705" s="2">
        <v>2084</v>
      </c>
      <c r="B1705" t="s">
        <v>6549</v>
      </c>
      <c r="C1705" t="s">
        <v>3291</v>
      </c>
      <c r="D1705" t="s">
        <v>3752</v>
      </c>
      <c r="E1705" s="4">
        <v>43465</v>
      </c>
      <c r="F1705" s="11">
        <v>-39.52063167</v>
      </c>
      <c r="G1705" s="11">
        <v>10.32325339</v>
      </c>
      <c r="H1705" s="11">
        <v>35.195672736399999</v>
      </c>
      <c r="I1705" s="11">
        <v>26.363238731399999</v>
      </c>
      <c r="J1705" s="11">
        <v>6.9037991465999999</v>
      </c>
      <c r="K1705" s="10">
        <v>0.529890632827</v>
      </c>
      <c r="L1705" s="12">
        <v>5849261631.1199999</v>
      </c>
      <c r="M1705">
        <v>35.9467839721896</v>
      </c>
      <c r="N1705" s="7">
        <v>2.7272390510500699</v>
      </c>
      <c r="O1705" s="7">
        <v>3.2459531338085501</v>
      </c>
      <c r="P1705" s="7">
        <v>-25.151534933142202</v>
      </c>
      <c r="Q1705" s="7">
        <v>0.50454086781029261</v>
      </c>
      <c r="U1705">
        <v>0.20784853133223685</v>
      </c>
      <c r="AT1705" s="4" t="s">
        <v>3814</v>
      </c>
    </row>
    <row r="1706" spans="1:46">
      <c r="A1706" s="2">
        <v>1989</v>
      </c>
      <c r="B1706" t="s">
        <v>6550</v>
      </c>
      <c r="C1706" t="s">
        <v>550</v>
      </c>
      <c r="D1706" t="s">
        <v>3718</v>
      </c>
      <c r="E1706" s="4">
        <v>43465</v>
      </c>
      <c r="F1706" s="11">
        <v>24.738231039999999</v>
      </c>
      <c r="G1706" s="11">
        <v>10.301109350000001</v>
      </c>
      <c r="H1706" s="11">
        <v>55.238388713500001</v>
      </c>
      <c r="I1706" s="11">
        <v>51.213470309599998</v>
      </c>
      <c r="J1706" s="11">
        <v>21.8122120088</v>
      </c>
      <c r="K1706" s="10">
        <v>0.71331809367700005</v>
      </c>
      <c r="L1706" s="12">
        <v>3309563789.4000001</v>
      </c>
      <c r="M1706">
        <v>36.862209975500697</v>
      </c>
      <c r="N1706" s="7">
        <v>7.19152620960591</v>
      </c>
      <c r="O1706" s="7">
        <v>6.5658184797191996</v>
      </c>
      <c r="P1706" s="7">
        <v>59.441602776403499</v>
      </c>
      <c r="Q1706" s="7">
        <v>0.82311110068163629</v>
      </c>
      <c r="U1706">
        <v>1.7661070366227829</v>
      </c>
      <c r="AT1706" s="4" t="s">
        <v>4789</v>
      </c>
    </row>
    <row r="1707" spans="1:46">
      <c r="A1707" s="2">
        <v>1341</v>
      </c>
      <c r="B1707" t="s">
        <v>6551</v>
      </c>
      <c r="C1707" t="s">
        <v>953</v>
      </c>
      <c r="D1707" t="s">
        <v>3837</v>
      </c>
      <c r="E1707" s="4">
        <v>43465</v>
      </c>
      <c r="F1707" s="11">
        <v>-47.315772719999998</v>
      </c>
      <c r="G1707" s="11">
        <v>10.28037383</v>
      </c>
      <c r="H1707" s="11">
        <v>23.983543785999998</v>
      </c>
      <c r="I1707" s="11" t="s">
        <v>3698</v>
      </c>
      <c r="J1707" s="11">
        <v>27.3269265279</v>
      </c>
      <c r="K1707" s="10" t="s">
        <v>3698</v>
      </c>
      <c r="L1707" s="12">
        <v>3362061310.5300002</v>
      </c>
      <c r="M1707">
        <v>11.4452494641539</v>
      </c>
      <c r="N1707" s="7">
        <v>1.02142408557283</v>
      </c>
      <c r="O1707" s="7">
        <v>3.5502535386717202</v>
      </c>
      <c r="P1707" s="7">
        <v>-12.695928743994401</v>
      </c>
      <c r="Q1707" s="7">
        <v>2.6929893906986311</v>
      </c>
      <c r="U1707">
        <v>0.46202290391660694</v>
      </c>
      <c r="AT1707" s="4" t="s">
        <v>4691</v>
      </c>
    </row>
    <row r="1708" spans="1:46">
      <c r="A1708" s="2">
        <v>1881</v>
      </c>
      <c r="B1708" t="s">
        <v>6552</v>
      </c>
      <c r="C1708" t="s">
        <v>2728</v>
      </c>
      <c r="D1708" t="s">
        <v>3721</v>
      </c>
      <c r="E1708" s="4">
        <v>43465</v>
      </c>
      <c r="F1708" s="11">
        <v>56.433167859999998</v>
      </c>
      <c r="G1708" s="11">
        <v>10.262206150000001</v>
      </c>
      <c r="H1708" s="11">
        <v>18.650627768</v>
      </c>
      <c r="I1708" s="11">
        <v>40.728113593099998</v>
      </c>
      <c r="J1708" s="11">
        <v>14.001815861900001</v>
      </c>
      <c r="K1708" s="10">
        <v>0.22305671760199999</v>
      </c>
      <c r="L1708" s="12">
        <v>1797434837.9400001</v>
      </c>
      <c r="M1708">
        <v>63.441210824122898</v>
      </c>
      <c r="N1708" s="7">
        <v>7.19515596629964</v>
      </c>
      <c r="O1708" s="7">
        <v>8.3238269750979796</v>
      </c>
      <c r="P1708" s="7">
        <v>15.5593724528684</v>
      </c>
      <c r="Q1708" s="7">
        <v>0.3794634388159131</v>
      </c>
      <c r="U1708">
        <v>0.33443809533388469</v>
      </c>
      <c r="AT1708" s="4" t="s">
        <v>6098</v>
      </c>
    </row>
    <row r="1709" spans="1:46">
      <c r="A1709" s="2">
        <v>3057</v>
      </c>
      <c r="B1709" t="s">
        <v>6553</v>
      </c>
      <c r="C1709" t="s">
        <v>3572</v>
      </c>
      <c r="D1709" t="s">
        <v>3781</v>
      </c>
      <c r="E1709" s="4">
        <v>43465</v>
      </c>
      <c r="F1709" s="11">
        <v>-11.18217471</v>
      </c>
      <c r="G1709" s="11">
        <v>10.244988859999999</v>
      </c>
      <c r="H1709" s="11">
        <v>-37.580027219999998</v>
      </c>
      <c r="I1709" s="11">
        <v>3.6045623077000002</v>
      </c>
      <c r="J1709" s="11">
        <v>3.2790317148999999</v>
      </c>
      <c r="K1709" s="10">
        <v>0.47733606737399997</v>
      </c>
      <c r="L1709" s="12">
        <v>4001261633.5999999</v>
      </c>
      <c r="M1709">
        <v>-20.635829445047701</v>
      </c>
      <c r="N1709" s="7">
        <v>1.96595537737889</v>
      </c>
      <c r="O1709" s="7">
        <v>3.0076428369491701</v>
      </c>
      <c r="P1709" s="7">
        <v>13.354051593781801</v>
      </c>
      <c r="Q1709" s="7">
        <v>0.23965141612200436</v>
      </c>
      <c r="U1709">
        <v>5.3427386257172547E-2</v>
      </c>
      <c r="AT1709" s="4" t="s">
        <v>5601</v>
      </c>
    </row>
    <row r="1710" spans="1:46">
      <c r="A1710" s="2">
        <v>2177</v>
      </c>
      <c r="B1710" t="s">
        <v>6554</v>
      </c>
      <c r="C1710" t="s">
        <v>1146</v>
      </c>
      <c r="D1710" t="s">
        <v>3972</v>
      </c>
      <c r="E1710" s="4">
        <v>43465</v>
      </c>
      <c r="F1710" s="11">
        <v>-9.0166695200000007</v>
      </c>
      <c r="G1710" s="11">
        <v>10.231660229999999</v>
      </c>
      <c r="H1710" s="11">
        <v>1.6529480635</v>
      </c>
      <c r="I1710" s="11">
        <v>31.743317365199999</v>
      </c>
      <c r="J1710" s="11">
        <v>30.1557669639</v>
      </c>
      <c r="K1710" s="10">
        <v>0.26575577181299997</v>
      </c>
      <c r="L1710" s="12">
        <v>15349646906.1</v>
      </c>
      <c r="M1710">
        <v>15.795761666737199</v>
      </c>
      <c r="N1710" s="7">
        <v>1.59272402829103</v>
      </c>
      <c r="O1710" s="7">
        <v>3.1348090207327699</v>
      </c>
      <c r="P1710" s="7">
        <v>22.211856317403601</v>
      </c>
      <c r="Q1710" s="7">
        <v>2.7648114901256728</v>
      </c>
      <c r="U1710">
        <v>0.44344898638119096</v>
      </c>
      <c r="AT1710" s="4" t="s">
        <v>6555</v>
      </c>
    </row>
    <row r="1711" spans="1:46">
      <c r="A1711" s="2">
        <v>3632</v>
      </c>
      <c r="B1711" t="s">
        <v>6556</v>
      </c>
      <c r="C1711" t="s">
        <v>924</v>
      </c>
      <c r="D1711" t="s">
        <v>3721</v>
      </c>
      <c r="E1711" s="4">
        <v>43465</v>
      </c>
      <c r="F1711" s="11">
        <v>-22.899056479999999</v>
      </c>
      <c r="G1711" s="11">
        <v>10.22840119</v>
      </c>
      <c r="H1711" s="11">
        <v>20.812848595199998</v>
      </c>
      <c r="I1711" s="11">
        <v>30.3366408847</v>
      </c>
      <c r="J1711" s="11">
        <v>13.823167179</v>
      </c>
      <c r="K1711" s="10">
        <v>0.76726798013499997</v>
      </c>
      <c r="L1711" s="12">
        <v>8565620014.0799999</v>
      </c>
      <c r="M1711">
        <v>28.2474931680438</v>
      </c>
      <c r="N1711" s="7">
        <v>4.1511444532055499</v>
      </c>
      <c r="O1711" s="7">
        <v>3.6780140221928699</v>
      </c>
      <c r="P1711" s="7">
        <v>-20.313149033618998</v>
      </c>
      <c r="Q1711" s="7">
        <v>1.5906680805938493</v>
      </c>
      <c r="U1711">
        <v>0.76587298252354807</v>
      </c>
      <c r="AT1711" s="4" t="s">
        <v>4038</v>
      </c>
    </row>
    <row r="1712" spans="1:46">
      <c r="A1712" s="2">
        <v>2990</v>
      </c>
      <c r="B1712" t="s">
        <v>6557</v>
      </c>
      <c r="C1712" t="s">
        <v>1419</v>
      </c>
      <c r="D1712" t="s">
        <v>4060</v>
      </c>
      <c r="E1712" s="4">
        <v>43465</v>
      </c>
      <c r="F1712" s="11">
        <v>-30.213828710000001</v>
      </c>
      <c r="G1712" s="11">
        <v>10.224438900000001</v>
      </c>
      <c r="H1712" s="11">
        <v>14.147016175999999</v>
      </c>
      <c r="I1712" s="11">
        <v>20.789366943099999</v>
      </c>
      <c r="J1712" s="11">
        <v>5.2170483644000001</v>
      </c>
      <c r="K1712" s="10">
        <v>0.46282397551900001</v>
      </c>
      <c r="L1712" s="12">
        <v>2319384086.25</v>
      </c>
      <c r="M1712">
        <v>14.3000851839353</v>
      </c>
      <c r="N1712" s="7">
        <v>0.73248230576981899</v>
      </c>
      <c r="O1712" s="7">
        <v>0.79039771681044801</v>
      </c>
      <c r="P1712" s="7">
        <v>174.64740505890001</v>
      </c>
      <c r="Q1712" s="7">
        <v>0.65217391304347827</v>
      </c>
      <c r="U1712">
        <v>0.26175859036720789</v>
      </c>
      <c r="AT1712" s="4" t="s">
        <v>6558</v>
      </c>
    </row>
    <row r="1713" spans="1:46">
      <c r="A1713" s="2">
        <v>2798</v>
      </c>
      <c r="B1713" t="s">
        <v>6559</v>
      </c>
      <c r="C1713" t="s">
        <v>1669</v>
      </c>
      <c r="D1713" t="s">
        <v>3778</v>
      </c>
      <c r="E1713" s="4">
        <v>43465</v>
      </c>
      <c r="F1713" s="11">
        <v>-15.80645161</v>
      </c>
      <c r="G1713" s="11">
        <v>10.21276596</v>
      </c>
      <c r="H1713" s="11">
        <v>105.8583925466</v>
      </c>
      <c r="I1713" s="11">
        <v>4.5107977570999997</v>
      </c>
      <c r="J1713" s="11">
        <v>1.2912702773</v>
      </c>
      <c r="K1713" s="10">
        <v>2.980060980388</v>
      </c>
      <c r="L1713" s="12">
        <v>19672816800</v>
      </c>
      <c r="M1713">
        <v>111.880762275705</v>
      </c>
      <c r="N1713" s="7">
        <v>10.0397292468462</v>
      </c>
      <c r="O1713" s="7">
        <v>3.2152275002101298</v>
      </c>
      <c r="P1713" s="7">
        <v>-87.637696874907107</v>
      </c>
      <c r="Q1713" s="7" t="s">
        <v>3698</v>
      </c>
      <c r="U1713">
        <v>1.0554205408650919E-2</v>
      </c>
      <c r="AT1713" s="4" t="s">
        <v>5383</v>
      </c>
    </row>
    <row r="1714" spans="1:46">
      <c r="A1714" s="2">
        <v>2873</v>
      </c>
      <c r="B1714" t="s">
        <v>6560</v>
      </c>
      <c r="C1714" t="s">
        <v>3661</v>
      </c>
      <c r="D1714" t="s">
        <v>3721</v>
      </c>
      <c r="E1714" s="4">
        <v>43465</v>
      </c>
      <c r="F1714" s="11">
        <v>-14.76923077</v>
      </c>
      <c r="G1714" s="11">
        <v>10.17964072</v>
      </c>
      <c r="H1714" s="11">
        <v>2.5839038254000002</v>
      </c>
      <c r="I1714" s="11">
        <v>19.312638867</v>
      </c>
      <c r="J1714" s="11">
        <v>49.399693714400001</v>
      </c>
      <c r="K1714" s="10">
        <v>0.25947019865600002</v>
      </c>
      <c r="L1714" s="12">
        <v>4920963101.1199999</v>
      </c>
      <c r="M1714">
        <v>-55.4136647189898</v>
      </c>
      <c r="N1714" s="7">
        <v>20.0154729262144</v>
      </c>
      <c r="O1714" s="7">
        <v>19.6532703039532</v>
      </c>
      <c r="P1714" s="7">
        <v>-97.114972430392697</v>
      </c>
      <c r="Q1714" s="7" t="s">
        <v>3698</v>
      </c>
      <c r="U1714">
        <v>0.11857740104939078</v>
      </c>
      <c r="AT1714" s="4" t="s">
        <v>3838</v>
      </c>
    </row>
    <row r="1715" spans="1:46">
      <c r="A1715" s="2">
        <v>2175</v>
      </c>
      <c r="B1715" t="s">
        <v>6561</v>
      </c>
      <c r="C1715" t="s">
        <v>455</v>
      </c>
      <c r="D1715" t="s">
        <v>3837</v>
      </c>
      <c r="E1715" s="4">
        <v>43465</v>
      </c>
      <c r="F1715" s="11">
        <v>-3.4125863600000002</v>
      </c>
      <c r="G1715" s="11">
        <v>10.12216405</v>
      </c>
      <c r="H1715" s="11">
        <v>8.6553323028999998</v>
      </c>
      <c r="I1715" s="11" t="s">
        <v>3698</v>
      </c>
      <c r="J1715" s="11">
        <v>32.104561488599998</v>
      </c>
      <c r="K1715" s="10" t="s">
        <v>3698</v>
      </c>
      <c r="L1715" s="12">
        <v>4067155269.0300002</v>
      </c>
      <c r="M1715">
        <v>4.7769914126180097</v>
      </c>
      <c r="N1715" s="7">
        <v>0.61161449799469503</v>
      </c>
      <c r="O1715" s="7">
        <v>1.63161109026171</v>
      </c>
      <c r="P1715" s="7">
        <v>-62.112715527719701</v>
      </c>
      <c r="Q1715" s="7">
        <v>5.5915721231766611</v>
      </c>
      <c r="U1715">
        <v>1.1494796706513835</v>
      </c>
      <c r="AT1715" s="4" t="s">
        <v>6562</v>
      </c>
    </row>
    <row r="1716" spans="1:46">
      <c r="A1716" s="2">
        <v>2383</v>
      </c>
      <c r="B1716" t="s">
        <v>6563</v>
      </c>
      <c r="C1716" t="s">
        <v>558</v>
      </c>
      <c r="D1716" t="s">
        <v>3781</v>
      </c>
      <c r="E1716" s="4">
        <v>43465</v>
      </c>
      <c r="F1716" s="11">
        <v>-29.517532719999998</v>
      </c>
      <c r="G1716" s="11">
        <v>10.121457489999999</v>
      </c>
      <c r="H1716" s="11">
        <v>35.726153326499997</v>
      </c>
      <c r="I1716" s="11">
        <v>11.112626225</v>
      </c>
      <c r="J1716" s="11">
        <v>4.1550479917000001</v>
      </c>
      <c r="K1716" s="10">
        <v>0.386329003467</v>
      </c>
      <c r="L1716" s="12">
        <v>3382201912.4499998</v>
      </c>
      <c r="M1716">
        <v>36.319325664488503</v>
      </c>
      <c r="N1716" s="7">
        <v>1.9622537582589099</v>
      </c>
      <c r="O1716" s="7">
        <v>1.75572132646134</v>
      </c>
      <c r="P1716" s="7">
        <v>20.8899369951605</v>
      </c>
      <c r="Q1716" s="7">
        <v>0.24574669187145556</v>
      </c>
      <c r="U1716">
        <v>0.11896358390388298</v>
      </c>
      <c r="AT1716" s="4" t="s">
        <v>6564</v>
      </c>
    </row>
    <row r="1717" spans="1:46">
      <c r="A1717" s="2">
        <v>1646</v>
      </c>
      <c r="B1717" t="s">
        <v>6565</v>
      </c>
      <c r="C1717" t="s">
        <v>1218</v>
      </c>
      <c r="D1717" t="s">
        <v>3752</v>
      </c>
      <c r="E1717" s="4">
        <v>43465</v>
      </c>
      <c r="F1717" s="11">
        <v>-62.551777260000001</v>
      </c>
      <c r="G1717" s="11">
        <v>10.09708738</v>
      </c>
      <c r="H1717" s="11">
        <v>-11.729930901099999</v>
      </c>
      <c r="I1717" s="11">
        <v>12.9537114863</v>
      </c>
      <c r="J1717" s="11">
        <v>-35.945907123300003</v>
      </c>
      <c r="K1717" s="10">
        <v>0.78755424184099998</v>
      </c>
      <c r="L1717" s="12">
        <v>2630400000</v>
      </c>
      <c r="M1717">
        <v>31.7006153630802</v>
      </c>
      <c r="N1717" s="7">
        <v>1.9449278519367199</v>
      </c>
      <c r="O1717" s="7">
        <v>1.00841317773171</v>
      </c>
      <c r="P1717" s="7">
        <v>-395.05438642919199</v>
      </c>
      <c r="Q1717" s="7" t="s">
        <v>3698</v>
      </c>
      <c r="U1717">
        <v>-1.5957720285834183</v>
      </c>
      <c r="AT1717" s="4" t="s">
        <v>3742</v>
      </c>
    </row>
    <row r="1718" spans="1:46">
      <c r="A1718" s="2">
        <v>3461</v>
      </c>
      <c r="B1718" t="s">
        <v>6566</v>
      </c>
      <c r="C1718" t="s">
        <v>1636</v>
      </c>
      <c r="D1718" t="s">
        <v>3752</v>
      </c>
      <c r="E1718" s="4">
        <v>43465</v>
      </c>
      <c r="F1718" s="11">
        <v>-29.632708619999999</v>
      </c>
      <c r="G1718" s="11">
        <v>10.082063310000001</v>
      </c>
      <c r="H1718" s="11">
        <v>5.8921734762</v>
      </c>
      <c r="I1718" s="11">
        <v>25.796866539300002</v>
      </c>
      <c r="J1718" s="11">
        <v>8.9674478686000008</v>
      </c>
      <c r="K1718" s="10">
        <v>0.52712938727799996</v>
      </c>
      <c r="L1718" s="12">
        <v>9855330067.8600006</v>
      </c>
      <c r="M1718">
        <v>26.830010591496599</v>
      </c>
      <c r="N1718" s="7">
        <v>1.5200904843757199</v>
      </c>
      <c r="O1718" s="7">
        <v>2.7257585629804302</v>
      </c>
      <c r="P1718" s="7">
        <v>-4.6169738147024297</v>
      </c>
      <c r="Q1718" s="7">
        <v>2.1630720165085657</v>
      </c>
      <c r="U1718">
        <v>0.28492474133333334</v>
      </c>
      <c r="AT1718" s="4" t="s">
        <v>6517</v>
      </c>
    </row>
    <row r="1719" spans="1:46">
      <c r="A1719" s="2">
        <v>2961</v>
      </c>
      <c r="B1719" t="s">
        <v>6567</v>
      </c>
      <c r="C1719" t="s">
        <v>1892</v>
      </c>
      <c r="D1719" t="s">
        <v>3769</v>
      </c>
      <c r="E1719" s="4">
        <v>43465</v>
      </c>
      <c r="F1719" s="11">
        <v>-30.29821832</v>
      </c>
      <c r="G1719" s="11">
        <v>10.047846890000001</v>
      </c>
      <c r="H1719" s="11">
        <v>-18.899864557099999</v>
      </c>
      <c r="I1719" s="11">
        <v>14.3958227468</v>
      </c>
      <c r="J1719" s="11">
        <v>3.7900483390000002</v>
      </c>
      <c r="K1719" s="10">
        <v>0.47382011607800001</v>
      </c>
      <c r="L1719" s="12">
        <v>2516753930.04</v>
      </c>
      <c r="M1719">
        <v>34.695834501202597</v>
      </c>
      <c r="N1719" s="7">
        <v>1.0066195706768899</v>
      </c>
      <c r="O1719" s="7">
        <v>0.62967225708216701</v>
      </c>
      <c r="P1719" s="7">
        <v>2.21391129406017</v>
      </c>
      <c r="Q1719" s="7">
        <v>1.3517282952615941</v>
      </c>
      <c r="U1719">
        <v>0.21046895346501351</v>
      </c>
      <c r="AT1719" s="4" t="s">
        <v>6568</v>
      </c>
    </row>
    <row r="1720" spans="1:46">
      <c r="A1720" s="2">
        <v>3536</v>
      </c>
      <c r="B1720" t="s">
        <v>6569</v>
      </c>
      <c r="C1720" t="s">
        <v>394</v>
      </c>
      <c r="D1720" t="s">
        <v>3849</v>
      </c>
      <c r="E1720" s="4">
        <v>43465</v>
      </c>
      <c r="F1720" s="11">
        <v>-29.661142030000001</v>
      </c>
      <c r="G1720" s="11">
        <v>10.034602080000001</v>
      </c>
      <c r="H1720" s="11">
        <v>6.7133846605</v>
      </c>
      <c r="I1720" s="11">
        <v>33.700810075500002</v>
      </c>
      <c r="J1720" s="11">
        <v>16.884130535899999</v>
      </c>
      <c r="K1720" s="10">
        <v>0.569358183174</v>
      </c>
      <c r="L1720" s="12">
        <v>1297472000</v>
      </c>
      <c r="M1720">
        <v>14.046214293792399</v>
      </c>
      <c r="N1720" s="7">
        <v>1.7581208287051999</v>
      </c>
      <c r="O1720" s="7">
        <v>2.4343322403352099</v>
      </c>
      <c r="P1720" s="7">
        <v>29.330543143878799</v>
      </c>
      <c r="Q1720" s="7">
        <v>3.9893617021276597</v>
      </c>
      <c r="U1720">
        <v>0.93483279250338691</v>
      </c>
      <c r="AT1720" s="4" t="s">
        <v>6570</v>
      </c>
    </row>
    <row r="1721" spans="1:46">
      <c r="A1721" s="2">
        <v>2491</v>
      </c>
      <c r="B1721" t="s">
        <v>6571</v>
      </c>
      <c r="C1721" t="s">
        <v>3351</v>
      </c>
      <c r="D1721" t="s">
        <v>4046</v>
      </c>
      <c r="E1721" s="4">
        <v>43465</v>
      </c>
      <c r="F1721" s="11">
        <v>4.8510391400000001</v>
      </c>
      <c r="G1721" s="11">
        <v>10.015408320000001</v>
      </c>
      <c r="H1721" s="11">
        <v>8.8324814219000007</v>
      </c>
      <c r="I1721" s="11">
        <v>29.679566483599999</v>
      </c>
      <c r="J1721" s="11">
        <v>6.3129042394999999</v>
      </c>
      <c r="K1721" s="10">
        <v>0.35682352832199998</v>
      </c>
      <c r="L1721" s="12">
        <v>13457811185.639999</v>
      </c>
      <c r="M1721">
        <v>58.426054863503801</v>
      </c>
      <c r="N1721" s="7">
        <v>3.2087116497042198</v>
      </c>
      <c r="O1721" s="7">
        <v>3.0091342072332901</v>
      </c>
      <c r="P1721" s="7">
        <v>14.1018240054114</v>
      </c>
      <c r="Q1721" s="7">
        <v>0.36549660843386778</v>
      </c>
      <c r="U1721">
        <v>0.272472454120816</v>
      </c>
      <c r="AT1721" s="4" t="s">
        <v>6572</v>
      </c>
    </row>
    <row r="1722" spans="1:46">
      <c r="A1722" s="2">
        <v>792</v>
      </c>
      <c r="B1722" t="s">
        <v>6573</v>
      </c>
      <c r="C1722" t="s">
        <v>1071</v>
      </c>
      <c r="D1722" t="s">
        <v>3713</v>
      </c>
      <c r="E1722" s="4">
        <v>43465</v>
      </c>
      <c r="F1722" s="11">
        <v>2.6756795699999998</v>
      </c>
      <c r="G1722" s="11">
        <v>10.01489203</v>
      </c>
      <c r="H1722" s="11">
        <v>8.2577813007999996</v>
      </c>
      <c r="I1722" s="11">
        <v>19.824285917800001</v>
      </c>
      <c r="J1722" s="11">
        <v>6.2837809884000002</v>
      </c>
      <c r="K1722" s="10">
        <v>0.876715629316</v>
      </c>
      <c r="L1722" s="12">
        <v>10736905829.76</v>
      </c>
      <c r="M1722">
        <v>68.769711680423995</v>
      </c>
      <c r="N1722" s="7">
        <v>5.1608682365239904</v>
      </c>
      <c r="O1722" s="7">
        <v>3.61029170371883</v>
      </c>
      <c r="P1722" s="7">
        <v>97.109644319886996</v>
      </c>
      <c r="Q1722" s="7">
        <v>0.60931899641577048</v>
      </c>
      <c r="U1722">
        <v>0.51462745771203156</v>
      </c>
      <c r="AT1722" s="4" t="s">
        <v>6574</v>
      </c>
    </row>
    <row r="1723" spans="1:46">
      <c r="A1723" s="2">
        <v>2300</v>
      </c>
      <c r="B1723" t="s">
        <v>6575</v>
      </c>
      <c r="C1723" t="s">
        <v>522</v>
      </c>
      <c r="D1723" t="s">
        <v>3752</v>
      </c>
      <c r="E1723" s="4">
        <v>43465</v>
      </c>
      <c r="F1723" s="11">
        <v>-8.2913172900000003</v>
      </c>
      <c r="G1723" s="11">
        <v>9.95475113</v>
      </c>
      <c r="H1723" s="11">
        <v>13.4150660438</v>
      </c>
      <c r="I1723" s="11">
        <v>24.620362443400001</v>
      </c>
      <c r="J1723" s="11">
        <v>13.942917275699999</v>
      </c>
      <c r="K1723" s="10">
        <v>1.109761030329</v>
      </c>
      <c r="L1723" s="12">
        <v>15803543039.6</v>
      </c>
      <c r="M1723">
        <v>11.400832387623501</v>
      </c>
      <c r="N1723" s="7">
        <v>1.4505742417583201</v>
      </c>
      <c r="O1723" s="7">
        <v>1.15780771527326</v>
      </c>
      <c r="P1723" s="7">
        <v>15.6175918271543</v>
      </c>
      <c r="Q1723" s="7">
        <v>2.2796352583586623</v>
      </c>
      <c r="U1723">
        <v>0.78412573034747257</v>
      </c>
      <c r="AT1723" s="4" t="s">
        <v>6576</v>
      </c>
    </row>
    <row r="1724" spans="1:46">
      <c r="A1724" s="2">
        <v>1877</v>
      </c>
      <c r="B1724" t="s">
        <v>6577</v>
      </c>
      <c r="C1724" t="s">
        <v>613</v>
      </c>
      <c r="D1724" t="s">
        <v>3737</v>
      </c>
      <c r="E1724" s="4">
        <v>43465</v>
      </c>
      <c r="F1724" s="11">
        <v>-22.249366120000001</v>
      </c>
      <c r="G1724" s="11">
        <v>9.9415204700000004</v>
      </c>
      <c r="H1724" s="11">
        <v>26.284202587799999</v>
      </c>
      <c r="I1724" s="11">
        <v>33.916242958200002</v>
      </c>
      <c r="J1724" s="11">
        <v>18.0135881221</v>
      </c>
      <c r="K1724" s="10">
        <v>0.62283348180499998</v>
      </c>
      <c r="L1724" s="12">
        <v>21054784761.240002</v>
      </c>
      <c r="M1724">
        <v>33.388447894783901</v>
      </c>
      <c r="N1724" s="7">
        <v>4.2521607229021399</v>
      </c>
      <c r="O1724" s="7">
        <v>4.5140867628303303</v>
      </c>
      <c r="P1724" s="7">
        <v>-23.354815165883998</v>
      </c>
      <c r="Q1724" s="7">
        <v>1.3333333333333335</v>
      </c>
      <c r="U1724">
        <v>0.50365989985632187</v>
      </c>
      <c r="AT1724" s="4" t="s">
        <v>4038</v>
      </c>
    </row>
    <row r="1725" spans="1:46">
      <c r="A1725" s="2">
        <v>818</v>
      </c>
      <c r="B1725" t="s">
        <v>6578</v>
      </c>
      <c r="C1725" t="s">
        <v>2834</v>
      </c>
      <c r="D1725" t="s">
        <v>3858</v>
      </c>
      <c r="E1725" s="4">
        <v>43465</v>
      </c>
      <c r="F1725" s="11">
        <v>-16.503399420000001</v>
      </c>
      <c r="G1725" s="11">
        <v>9.9250936299999992</v>
      </c>
      <c r="H1725" s="11">
        <v>4.5508678697000002</v>
      </c>
      <c r="I1725" s="11">
        <v>10.2530475914</v>
      </c>
      <c r="J1725" s="11">
        <v>0.62319959400000002</v>
      </c>
      <c r="K1725" s="10">
        <v>0.48386524311200002</v>
      </c>
      <c r="L1725" s="12">
        <v>133712102730.5</v>
      </c>
      <c r="M1725">
        <v>119.071531541927</v>
      </c>
      <c r="N1725" s="7">
        <v>2.5033347374556798</v>
      </c>
      <c r="O1725" s="7">
        <v>0.47792825345334999</v>
      </c>
      <c r="P1725" s="7">
        <v>33.509439869165</v>
      </c>
      <c r="Q1725" s="7" t="s">
        <v>3698</v>
      </c>
      <c r="U1725">
        <v>5.9153085349301596E-2</v>
      </c>
      <c r="AT1725" s="4" t="s">
        <v>6579</v>
      </c>
    </row>
    <row r="1726" spans="1:46">
      <c r="A1726" s="2">
        <v>2468</v>
      </c>
      <c r="B1726" t="s">
        <v>6580</v>
      </c>
      <c r="C1726" t="s">
        <v>857</v>
      </c>
      <c r="D1726" t="s">
        <v>3778</v>
      </c>
      <c r="E1726" s="4">
        <v>43465</v>
      </c>
      <c r="F1726" s="11">
        <v>-18.856423289999999</v>
      </c>
      <c r="G1726" s="11">
        <v>9.9206349199999995</v>
      </c>
      <c r="H1726" s="11">
        <v>16.1204112462</v>
      </c>
      <c r="I1726" s="11">
        <v>18.763717809999999</v>
      </c>
      <c r="J1726" s="11">
        <v>6.3977256973000003</v>
      </c>
      <c r="K1726" s="10">
        <v>0.74200462081899998</v>
      </c>
      <c r="L1726" s="12">
        <v>8509847174.8400002</v>
      </c>
      <c r="M1726">
        <v>7.25640560406646</v>
      </c>
      <c r="N1726" s="7">
        <v>0.74829318693178903</v>
      </c>
      <c r="O1726" s="7">
        <v>0.39079914033441798</v>
      </c>
      <c r="P1726" s="7">
        <v>63.803620918168498</v>
      </c>
      <c r="Q1726" s="7">
        <v>5.3846153846153832</v>
      </c>
      <c r="U1726">
        <v>0.81965662718918919</v>
      </c>
      <c r="AT1726" s="4" t="s">
        <v>6581</v>
      </c>
    </row>
    <row r="1727" spans="1:46">
      <c r="A1727" s="2">
        <v>3287</v>
      </c>
      <c r="B1727" t="s">
        <v>6582</v>
      </c>
      <c r="C1727" t="s">
        <v>2116</v>
      </c>
      <c r="D1727" t="s">
        <v>3737</v>
      </c>
      <c r="E1727" s="4">
        <v>43465</v>
      </c>
      <c r="F1727" s="11">
        <v>-30.15644906</v>
      </c>
      <c r="G1727" s="11">
        <v>9.9157485399999992</v>
      </c>
      <c r="H1727" s="11">
        <v>2.3323638361999999</v>
      </c>
      <c r="I1727" s="11">
        <v>51.2831023074</v>
      </c>
      <c r="J1727" s="11">
        <v>15.378591850799999</v>
      </c>
      <c r="K1727" s="10">
        <v>0.35071798107300001</v>
      </c>
      <c r="L1727" s="12">
        <v>6191957845.6400003</v>
      </c>
      <c r="M1727">
        <v>31.242372519514799</v>
      </c>
      <c r="N1727" s="7">
        <v>1.6547253500310799</v>
      </c>
      <c r="O1727" s="7">
        <v>4.0266534609672604</v>
      </c>
      <c r="P1727" s="7">
        <v>-12.0145927193897</v>
      </c>
      <c r="Q1727" s="7">
        <v>0.69667077681874212</v>
      </c>
      <c r="U1727">
        <v>0.55696016539847815</v>
      </c>
      <c r="AT1727" s="4" t="s">
        <v>4934</v>
      </c>
    </row>
    <row r="1728" spans="1:46">
      <c r="A1728" s="2">
        <v>1682</v>
      </c>
      <c r="B1728" t="s">
        <v>6583</v>
      </c>
      <c r="C1728" t="s">
        <v>2424</v>
      </c>
      <c r="D1728" t="s">
        <v>3718</v>
      </c>
      <c r="E1728" s="4">
        <v>43465</v>
      </c>
      <c r="F1728" s="11">
        <v>-21.12662508</v>
      </c>
      <c r="G1728" s="11">
        <v>9.9099099099999997</v>
      </c>
      <c r="H1728" s="11">
        <v>17.040680514999998</v>
      </c>
      <c r="I1728" s="11">
        <v>25.858034109199998</v>
      </c>
      <c r="J1728" s="11">
        <v>4.5607784376999998</v>
      </c>
      <c r="K1728" s="10">
        <v>0.383223378281</v>
      </c>
      <c r="L1728" s="12">
        <v>3216746700</v>
      </c>
      <c r="M1728">
        <v>72.543450106083696</v>
      </c>
      <c r="N1728" s="7">
        <v>2.6178106570387101</v>
      </c>
      <c r="O1728" s="7">
        <v>3.4367060327444201</v>
      </c>
      <c r="P1728" s="7">
        <v>-49.360128344557097</v>
      </c>
      <c r="Q1728" s="7">
        <v>1.0266940451745379</v>
      </c>
      <c r="U1728">
        <v>0.14074723638694639</v>
      </c>
      <c r="AT1728" s="4" t="s">
        <v>4006</v>
      </c>
    </row>
    <row r="1729" spans="1:46">
      <c r="A1729" s="2">
        <v>2616</v>
      </c>
      <c r="B1729" t="s">
        <v>6584</v>
      </c>
      <c r="C1729" t="s">
        <v>2986</v>
      </c>
      <c r="D1729" t="s">
        <v>3761</v>
      </c>
      <c r="E1729" s="4">
        <v>43465</v>
      </c>
      <c r="F1729" s="11">
        <v>-34.67760586</v>
      </c>
      <c r="G1729" s="11">
        <v>9.8939929299999996</v>
      </c>
      <c r="H1729" s="11">
        <v>-14.196632338300001</v>
      </c>
      <c r="I1729" s="11">
        <v>14.0692819586</v>
      </c>
      <c r="J1729" s="11">
        <v>1.9323191977</v>
      </c>
      <c r="K1729" s="10">
        <v>0.53476588953199999</v>
      </c>
      <c r="L1729" s="12">
        <v>3386441600.3800001</v>
      </c>
      <c r="M1729">
        <v>116.999499588104</v>
      </c>
      <c r="N1729" s="7">
        <v>0.91205030426604095</v>
      </c>
      <c r="O1729" s="7">
        <v>1.0379050740187299</v>
      </c>
      <c r="P1729" s="7">
        <v>68.762706906519199</v>
      </c>
      <c r="Q1729" s="7">
        <v>0.68965517241379315</v>
      </c>
      <c r="U1729">
        <v>5.8316720389880082E-2</v>
      </c>
      <c r="AT1729" s="4" t="s">
        <v>6585</v>
      </c>
    </row>
    <row r="1730" spans="1:46">
      <c r="A1730" s="2">
        <v>1003</v>
      </c>
      <c r="B1730" t="s">
        <v>6586</v>
      </c>
      <c r="C1730" t="s">
        <v>2312</v>
      </c>
      <c r="D1730" t="s">
        <v>3972</v>
      </c>
      <c r="E1730" s="4">
        <v>43465</v>
      </c>
      <c r="F1730" s="11">
        <v>-20.065587369999999</v>
      </c>
      <c r="G1730" s="11">
        <v>9.8513011200000005</v>
      </c>
      <c r="H1730" s="11">
        <v>12.3933679284</v>
      </c>
      <c r="I1730" s="11">
        <v>45.2100835683</v>
      </c>
      <c r="J1730" s="11">
        <v>20.635780673500001</v>
      </c>
      <c r="K1730" s="10">
        <v>0.162596819147</v>
      </c>
      <c r="L1730" s="12">
        <v>276267060747.62</v>
      </c>
      <c r="M1730">
        <v>37.879532036320299</v>
      </c>
      <c r="N1730" s="7">
        <v>1.77592094564165</v>
      </c>
      <c r="O1730" s="7">
        <v>8.5330279978515104</v>
      </c>
      <c r="P1730" s="7">
        <v>16.498301592303299</v>
      </c>
      <c r="Q1730" s="7">
        <v>0.667779632721202</v>
      </c>
      <c r="U1730">
        <v>0.14218116933333333</v>
      </c>
      <c r="AT1730" s="4" t="s">
        <v>5757</v>
      </c>
    </row>
    <row r="1731" spans="1:46">
      <c r="A1731" s="2">
        <v>794</v>
      </c>
      <c r="B1731" t="s">
        <v>6587</v>
      </c>
      <c r="C1731" t="s">
        <v>1261</v>
      </c>
      <c r="D1731" t="s">
        <v>3849</v>
      </c>
      <c r="E1731" s="4">
        <v>43465</v>
      </c>
      <c r="F1731" s="11">
        <v>-34.645828809999998</v>
      </c>
      <c r="G1731" s="11">
        <v>9.8507462700000001</v>
      </c>
      <c r="H1731" s="11">
        <v>12.706692846399999</v>
      </c>
      <c r="I1731" s="11">
        <v>25.726853904399999</v>
      </c>
      <c r="J1731" s="11">
        <v>10.1161191836</v>
      </c>
      <c r="K1731" s="10">
        <v>0.53850091689000001</v>
      </c>
      <c r="L1731" s="12">
        <v>4285237363.6799998</v>
      </c>
      <c r="M1731">
        <v>11.9577852995562</v>
      </c>
      <c r="N1731" s="7">
        <v>0.89402213563329103</v>
      </c>
      <c r="O1731" s="7">
        <v>1.1040596763752599</v>
      </c>
      <c r="P1731" s="7">
        <v>-63.860622003199701</v>
      </c>
      <c r="Q1731" s="7">
        <v>0.86834733893557414</v>
      </c>
      <c r="U1731">
        <v>0.30357779433065862</v>
      </c>
      <c r="AT1731" s="4" t="s">
        <v>6574</v>
      </c>
    </row>
    <row r="1732" spans="1:46">
      <c r="A1732" s="2">
        <v>1845</v>
      </c>
      <c r="B1732" t="s">
        <v>6588</v>
      </c>
      <c r="C1732" t="s">
        <v>2458</v>
      </c>
      <c r="D1732" t="s">
        <v>3718</v>
      </c>
      <c r="E1732" s="4">
        <v>43465</v>
      </c>
      <c r="F1732" s="11">
        <v>10.59975348</v>
      </c>
      <c r="G1732" s="11">
        <v>9.8393574299999997</v>
      </c>
      <c r="H1732" s="11">
        <v>32.800506139600003</v>
      </c>
      <c r="I1732" s="11">
        <v>34.998787125699998</v>
      </c>
      <c r="J1732" s="11">
        <v>12.9015012012</v>
      </c>
      <c r="K1732" s="10">
        <v>0.47843293641899998</v>
      </c>
      <c r="L1732" s="12">
        <v>2582726432.73</v>
      </c>
      <c r="M1732">
        <v>43.711950359151402</v>
      </c>
      <c r="N1732" s="7">
        <v>3.4065041626878698</v>
      </c>
      <c r="O1732" s="7">
        <v>3.71460443830783</v>
      </c>
      <c r="P1732" s="7">
        <v>-83.9826265519077</v>
      </c>
      <c r="Q1732" s="7">
        <v>0.68518518518518523</v>
      </c>
      <c r="U1732">
        <v>0.18304851663467905</v>
      </c>
      <c r="AT1732" s="4" t="s">
        <v>3746</v>
      </c>
    </row>
    <row r="1733" spans="1:46">
      <c r="A1733" s="2">
        <v>729</v>
      </c>
      <c r="B1733" t="s">
        <v>6589</v>
      </c>
      <c r="C1733" t="s">
        <v>2950</v>
      </c>
      <c r="D1733" t="s">
        <v>3761</v>
      </c>
      <c r="E1733" s="4">
        <v>43465</v>
      </c>
      <c r="F1733" s="11">
        <v>-42.285714290000001</v>
      </c>
      <c r="G1733" s="11">
        <v>9.8181818199999995</v>
      </c>
      <c r="H1733" s="11">
        <v>-26.016714517800001</v>
      </c>
      <c r="I1733" s="11">
        <v>27.827606129700001</v>
      </c>
      <c r="J1733" s="11">
        <v>7.9333336949</v>
      </c>
      <c r="K1733" s="10">
        <v>0.185509784264</v>
      </c>
      <c r="L1733" s="12">
        <v>2309590400</v>
      </c>
      <c r="M1733">
        <v>41.647453286975598</v>
      </c>
      <c r="N1733" s="7">
        <v>1.1855155297702</v>
      </c>
      <c r="O1733" s="7">
        <v>3.1666179684591098</v>
      </c>
      <c r="P1733" s="7">
        <v>40.0715397637221</v>
      </c>
      <c r="Q1733" s="7" t="s">
        <v>3698</v>
      </c>
      <c r="U1733">
        <v>7.1915703851172894E-2</v>
      </c>
      <c r="AT1733" s="4" t="s">
        <v>6590</v>
      </c>
    </row>
    <row r="1734" spans="1:46">
      <c r="A1734" s="2">
        <v>1187</v>
      </c>
      <c r="B1734" t="s">
        <v>6591</v>
      </c>
      <c r="C1734" t="s">
        <v>3477</v>
      </c>
      <c r="D1734" t="s">
        <v>3752</v>
      </c>
      <c r="E1734" s="4">
        <v>43465</v>
      </c>
      <c r="F1734" s="11">
        <v>-80.350438049999994</v>
      </c>
      <c r="G1734" s="11">
        <v>9.7902097900000005</v>
      </c>
      <c r="H1734" s="11">
        <v>4.0310333089999997</v>
      </c>
      <c r="I1734" s="11">
        <v>18.125715770900001</v>
      </c>
      <c r="J1734" s="11">
        <v>0.429134022</v>
      </c>
      <c r="K1734" s="10">
        <v>0.82013370110200001</v>
      </c>
      <c r="L1734" s="12">
        <v>4752822171.6000004</v>
      </c>
      <c r="M1734">
        <v>-28.323016714153699</v>
      </c>
      <c r="N1734" s="7">
        <v>1.9872047535880399</v>
      </c>
      <c r="O1734" s="7">
        <v>1.2683055197004101</v>
      </c>
      <c r="P1734" s="7">
        <v>-36.944735991503698</v>
      </c>
      <c r="Q1734" s="7" t="s">
        <v>3698</v>
      </c>
      <c r="U1734">
        <v>7.9409458750000009E-3</v>
      </c>
      <c r="AT1734" s="4" t="s">
        <v>4052</v>
      </c>
    </row>
    <row r="1735" spans="1:46">
      <c r="A1735" s="2">
        <v>2522</v>
      </c>
      <c r="B1735" t="s">
        <v>6592</v>
      </c>
      <c r="C1735" t="s">
        <v>409</v>
      </c>
      <c r="D1735" t="s">
        <v>3752</v>
      </c>
      <c r="E1735" s="4">
        <v>43465</v>
      </c>
      <c r="F1735" s="11">
        <v>-29.604942279999999</v>
      </c>
      <c r="G1735" s="11">
        <v>9.7902097900000005</v>
      </c>
      <c r="H1735" s="11">
        <v>-0.1087996363</v>
      </c>
      <c r="I1735" s="11">
        <v>26.689252657699999</v>
      </c>
      <c r="J1735" s="11">
        <v>8.4343391205000007</v>
      </c>
      <c r="K1735" s="10">
        <v>0.81630309028500003</v>
      </c>
      <c r="L1735" s="12">
        <v>3689496224.7199998</v>
      </c>
      <c r="M1735">
        <v>5.8303921378612298</v>
      </c>
      <c r="N1735" s="7">
        <v>1.06890955539654</v>
      </c>
      <c r="O1735" s="7">
        <v>0.583685267063621</v>
      </c>
      <c r="P1735" s="7">
        <v>19.541640553922502</v>
      </c>
      <c r="Q1735" s="7">
        <v>4.1250000000000009</v>
      </c>
      <c r="U1735">
        <v>0.76831912575975858</v>
      </c>
      <c r="AT1735" s="4" t="s">
        <v>6593</v>
      </c>
    </row>
    <row r="1736" spans="1:46">
      <c r="A1736" s="2">
        <v>3346</v>
      </c>
      <c r="B1736" t="s">
        <v>6594</v>
      </c>
      <c r="C1736" t="s">
        <v>345</v>
      </c>
      <c r="D1736" t="s">
        <v>3849</v>
      </c>
      <c r="E1736" s="4">
        <v>43465</v>
      </c>
      <c r="F1736" s="11">
        <v>-9.5719093799999992</v>
      </c>
      <c r="G1736" s="11">
        <v>9.7633136100000009</v>
      </c>
      <c r="H1736" s="11">
        <v>48.274931364300002</v>
      </c>
      <c r="I1736" s="11">
        <v>39.647797688399997</v>
      </c>
      <c r="J1736" s="11">
        <v>26.808957766900001</v>
      </c>
      <c r="K1736" s="10">
        <v>0.570568110244</v>
      </c>
      <c r="L1736" s="12">
        <v>25055589121.919998</v>
      </c>
      <c r="M1736">
        <v>43.805609236525299</v>
      </c>
      <c r="N1736" s="7">
        <v>8.6614305472347795</v>
      </c>
      <c r="O1736" s="7">
        <v>11.8819372969106</v>
      </c>
      <c r="P1736" s="7">
        <v>74.9808614385976</v>
      </c>
      <c r="Q1736" s="7">
        <v>0.85808206009457455</v>
      </c>
      <c r="U1736">
        <v>0.73319361273090367</v>
      </c>
      <c r="AT1736" s="4" t="s">
        <v>6595</v>
      </c>
    </row>
    <row r="1737" spans="1:46">
      <c r="A1737" s="2">
        <v>1182</v>
      </c>
      <c r="B1737" t="s">
        <v>6596</v>
      </c>
      <c r="C1737" t="s">
        <v>2990</v>
      </c>
      <c r="D1737" t="s">
        <v>3998</v>
      </c>
      <c r="E1737" s="4">
        <v>43465</v>
      </c>
      <c r="F1737" s="11">
        <v>-33.586254420000003</v>
      </c>
      <c r="G1737" s="11">
        <v>9.7560975600000006</v>
      </c>
      <c r="H1737" s="11">
        <v>3.6019867426999999</v>
      </c>
      <c r="I1737" s="11">
        <v>40.315139374899999</v>
      </c>
      <c r="J1737" s="11">
        <v>-9.7974039338000001</v>
      </c>
      <c r="K1737" s="10">
        <v>0.28629214983000001</v>
      </c>
      <c r="L1737" s="12">
        <v>20162010518.040001</v>
      </c>
      <c r="M1737">
        <v>20.153314646300601</v>
      </c>
      <c r="N1737" s="7">
        <v>1.0805461614404299</v>
      </c>
      <c r="O1737" s="7">
        <v>1.60311645932588</v>
      </c>
      <c r="P1737" s="7">
        <v>-20.411284578303398</v>
      </c>
      <c r="Q1737" s="7" t="s">
        <v>3698</v>
      </c>
      <c r="U1737">
        <v>-0.20026870247985204</v>
      </c>
      <c r="AT1737" s="4" t="s">
        <v>6597</v>
      </c>
    </row>
    <row r="1738" spans="1:46">
      <c r="A1738" s="2">
        <v>480</v>
      </c>
      <c r="B1738" t="s">
        <v>6598</v>
      </c>
      <c r="C1738" t="s">
        <v>1326</v>
      </c>
      <c r="D1738" t="s">
        <v>3764</v>
      </c>
      <c r="E1738" s="4">
        <v>43465</v>
      </c>
      <c r="F1738" s="11">
        <v>-31.132891560000001</v>
      </c>
      <c r="G1738" s="11">
        <v>9.7345132700000008</v>
      </c>
      <c r="H1738" s="11">
        <v>46.805430670699998</v>
      </c>
      <c r="I1738" s="11">
        <v>25.077220822099999</v>
      </c>
      <c r="J1738" s="11">
        <v>10.411683141399999</v>
      </c>
      <c r="K1738" s="10">
        <v>0.80009714997100001</v>
      </c>
      <c r="L1738" s="12">
        <v>19984809229.84</v>
      </c>
      <c r="M1738">
        <v>37.213204762158803</v>
      </c>
      <c r="N1738" s="7">
        <v>0.80163905049838702</v>
      </c>
      <c r="O1738" s="7">
        <v>1.24144525923004</v>
      </c>
      <c r="P1738" s="7">
        <v>16.016771385842102</v>
      </c>
      <c r="Q1738" s="7">
        <v>1.7217882960413082</v>
      </c>
      <c r="U1738">
        <v>0.7957040581223993</v>
      </c>
      <c r="AT1738" s="4" t="s">
        <v>6599</v>
      </c>
    </row>
    <row r="1739" spans="1:46">
      <c r="A1739" s="2">
        <v>1232</v>
      </c>
      <c r="B1739" t="s">
        <v>6600</v>
      </c>
      <c r="C1739" t="s">
        <v>2026</v>
      </c>
      <c r="D1739" t="s">
        <v>3718</v>
      </c>
      <c r="E1739" s="4">
        <v>43465</v>
      </c>
      <c r="F1739" s="11">
        <v>-41.830464069999998</v>
      </c>
      <c r="G1739" s="11">
        <v>9.7183098599999997</v>
      </c>
      <c r="H1739" s="11">
        <v>8.8603231553999997</v>
      </c>
      <c r="I1739" s="11">
        <v>18.333344592500001</v>
      </c>
      <c r="J1739" s="11">
        <v>5.1779652644</v>
      </c>
      <c r="K1739" s="10">
        <v>0.84918962166400003</v>
      </c>
      <c r="L1739" s="12">
        <v>2126976000</v>
      </c>
      <c r="M1739">
        <v>29.598428117173398</v>
      </c>
      <c r="N1739" s="7">
        <v>1.9308019180551701</v>
      </c>
      <c r="O1739" s="7">
        <v>1.07664195993262</v>
      </c>
      <c r="P1739" s="7">
        <v>20.8133109592398</v>
      </c>
      <c r="Q1739" s="7">
        <v>1.3486176668914363</v>
      </c>
      <c r="U1739">
        <v>0.69269807220569712</v>
      </c>
      <c r="AT1739" s="4" t="s">
        <v>3759</v>
      </c>
    </row>
    <row r="1740" spans="1:46">
      <c r="A1740" s="2">
        <v>797</v>
      </c>
      <c r="B1740" t="s">
        <v>6601</v>
      </c>
      <c r="C1740" t="s">
        <v>2286</v>
      </c>
      <c r="D1740" t="s">
        <v>3781</v>
      </c>
      <c r="E1740" s="4">
        <v>43465</v>
      </c>
      <c r="F1740" s="11">
        <v>-37.232390979999998</v>
      </c>
      <c r="G1740" s="11">
        <v>9.7069597099999996</v>
      </c>
      <c r="H1740" s="11">
        <v>8.6011674079000002</v>
      </c>
      <c r="I1740" s="11">
        <v>13.998915887600001</v>
      </c>
      <c r="J1740" s="11">
        <v>2.4648283093000001</v>
      </c>
      <c r="K1740" s="10">
        <v>0.73834769863799998</v>
      </c>
      <c r="L1740" s="12">
        <v>5299417972.3999996</v>
      </c>
      <c r="M1740">
        <v>62.707664726339701</v>
      </c>
      <c r="N1740" s="7">
        <v>1.3091634732427899</v>
      </c>
      <c r="O1740" s="7">
        <v>1.2225438063114</v>
      </c>
      <c r="P1740" s="7">
        <v>47.734817669247803</v>
      </c>
      <c r="Q1740" s="7">
        <v>0.51020408163265307</v>
      </c>
      <c r="U1740">
        <v>0.11632307946248674</v>
      </c>
      <c r="AT1740" s="4" t="s">
        <v>5811</v>
      </c>
    </row>
    <row r="1741" spans="1:46">
      <c r="A1741" s="2">
        <v>646</v>
      </c>
      <c r="B1741" t="s">
        <v>6602</v>
      </c>
      <c r="C1741" t="s">
        <v>1897</v>
      </c>
      <c r="D1741" t="s">
        <v>3858</v>
      </c>
      <c r="E1741" s="4">
        <v>43465</v>
      </c>
      <c r="F1741" s="11">
        <v>-23.928672330000001</v>
      </c>
      <c r="G1741" s="11">
        <v>9.6774193499999992</v>
      </c>
      <c r="H1741" s="11">
        <v>11.59094198</v>
      </c>
      <c r="I1741" s="11">
        <v>10.760478471200001</v>
      </c>
      <c r="J1741" s="11">
        <v>2.0843313751000001</v>
      </c>
      <c r="K1741" s="10">
        <v>0.85194467377799998</v>
      </c>
      <c r="L1741" s="12">
        <v>13299650000</v>
      </c>
      <c r="M1741">
        <v>32.577052098147703</v>
      </c>
      <c r="N1741" s="7">
        <v>1.2720662227428701</v>
      </c>
      <c r="O1741" s="7">
        <v>0.59688526301728095</v>
      </c>
      <c r="P1741" s="7">
        <v>-9.7080190581620496</v>
      </c>
      <c r="Q1741" s="7">
        <v>0.32692307692307693</v>
      </c>
      <c r="U1741">
        <v>0.16504054939171628</v>
      </c>
      <c r="AT1741" s="4" t="s">
        <v>6603</v>
      </c>
    </row>
    <row r="1742" spans="1:46">
      <c r="A1742" s="2">
        <v>3350</v>
      </c>
      <c r="B1742" t="s">
        <v>6604</v>
      </c>
      <c r="C1742" t="s">
        <v>885</v>
      </c>
      <c r="D1742" t="s">
        <v>3718</v>
      </c>
      <c r="E1742" s="4">
        <v>43465</v>
      </c>
      <c r="F1742" s="11">
        <v>-27.539324969999999</v>
      </c>
      <c r="G1742" s="11">
        <v>9.6742349500000007</v>
      </c>
      <c r="H1742" s="11">
        <v>8.2617082229999994</v>
      </c>
      <c r="I1742" s="11">
        <v>31.1592714644</v>
      </c>
      <c r="J1742" s="11">
        <v>11.507933915200001</v>
      </c>
      <c r="K1742" s="10">
        <v>0.59145961752499998</v>
      </c>
      <c r="L1742" s="12">
        <v>1719933600</v>
      </c>
      <c r="M1742">
        <v>31.373539038662599</v>
      </c>
      <c r="N1742" s="7">
        <v>2.82336712229819</v>
      </c>
      <c r="O1742" s="7">
        <v>3.8699746609564198</v>
      </c>
      <c r="P1742" s="7">
        <v>-17.403214544887099</v>
      </c>
      <c r="Q1742" s="7">
        <v>1.3501350135013501</v>
      </c>
      <c r="U1742">
        <v>0.30972840204761903</v>
      </c>
      <c r="AT1742" s="4" t="s">
        <v>4069</v>
      </c>
    </row>
    <row r="1743" spans="1:46">
      <c r="A1743" s="2">
        <v>1074</v>
      </c>
      <c r="B1743" t="s">
        <v>6605</v>
      </c>
      <c r="C1743" t="s">
        <v>790</v>
      </c>
      <c r="D1743" t="s">
        <v>3728</v>
      </c>
      <c r="E1743" s="4">
        <v>43465</v>
      </c>
      <c r="F1743" s="11">
        <v>32.197177430000004</v>
      </c>
      <c r="G1743" s="11">
        <v>9.64125561</v>
      </c>
      <c r="H1743" s="11">
        <v>30.706297732300001</v>
      </c>
      <c r="I1743" s="11">
        <v>39.781301692</v>
      </c>
      <c r="J1743" s="11">
        <v>10.697493812999999</v>
      </c>
      <c r="K1743" s="10">
        <v>1.0406256627120001</v>
      </c>
      <c r="L1743" s="12">
        <v>9335040000</v>
      </c>
      <c r="M1743">
        <v>18.9207182016183</v>
      </c>
      <c r="N1743" s="7">
        <v>2.1606854800303901</v>
      </c>
      <c r="O1743" s="7">
        <v>1.7516974136990799</v>
      </c>
      <c r="P1743" s="7">
        <v>33.076870570815601</v>
      </c>
      <c r="Q1743" s="7">
        <v>3.7331568705304892</v>
      </c>
      <c r="U1743">
        <v>0.62730518158116844</v>
      </c>
      <c r="AT1743" s="4" t="s">
        <v>6606</v>
      </c>
    </row>
    <row r="1744" spans="1:46">
      <c r="A1744" s="2">
        <v>1381</v>
      </c>
      <c r="B1744" t="s">
        <v>6607</v>
      </c>
      <c r="C1744" t="s">
        <v>746</v>
      </c>
      <c r="D1744" t="s">
        <v>3761</v>
      </c>
      <c r="E1744" s="4">
        <v>43465</v>
      </c>
      <c r="F1744" s="11">
        <v>-20.36403778</v>
      </c>
      <c r="G1744" s="11">
        <v>9.6410256400000005</v>
      </c>
      <c r="H1744" s="11">
        <v>40.278002858599997</v>
      </c>
      <c r="I1744" s="11">
        <v>15.910073521399999</v>
      </c>
      <c r="J1744" s="11">
        <v>7.3195840267000003</v>
      </c>
      <c r="K1744" s="10">
        <v>1.668568202056</v>
      </c>
      <c r="L1744" s="12">
        <v>3658477323.48</v>
      </c>
      <c r="M1744">
        <v>17.613419194265699</v>
      </c>
      <c r="N1744" s="7">
        <v>2.64337540396077</v>
      </c>
      <c r="O1744" s="7">
        <v>1.34396797704764</v>
      </c>
      <c r="P1744" s="7">
        <v>41.796446662338703</v>
      </c>
      <c r="Q1744" s="7">
        <v>1.513622603430878</v>
      </c>
      <c r="U1744">
        <v>0.56108019434049428</v>
      </c>
      <c r="AT1744" s="4" t="s">
        <v>6608</v>
      </c>
    </row>
    <row r="1745" spans="1:46">
      <c r="A1745" s="2">
        <v>836</v>
      </c>
      <c r="B1745" t="s">
        <v>6609</v>
      </c>
      <c r="C1745" t="s">
        <v>1736</v>
      </c>
      <c r="D1745" t="s">
        <v>3858</v>
      </c>
      <c r="E1745" s="4">
        <v>43465</v>
      </c>
      <c r="F1745" s="11">
        <v>-32.103726899999998</v>
      </c>
      <c r="G1745" s="11">
        <v>9.6219931299999999</v>
      </c>
      <c r="H1745" s="11">
        <v>17.859907176099998</v>
      </c>
      <c r="I1745" s="11">
        <v>20.207149184999999</v>
      </c>
      <c r="J1745" s="11">
        <v>-10.668334656300001</v>
      </c>
      <c r="K1745" s="10">
        <v>0.34029087102599997</v>
      </c>
      <c r="L1745" s="12">
        <v>2385450000</v>
      </c>
      <c r="M1745">
        <v>69.191193450644306</v>
      </c>
      <c r="N1745" s="7">
        <v>1.2785635280627099</v>
      </c>
      <c r="O1745" s="7">
        <v>0.94904889297124395</v>
      </c>
      <c r="P1745" s="7">
        <v>-19.5753155885699</v>
      </c>
      <c r="Q1745" s="7">
        <v>0.32467532467532467</v>
      </c>
      <c r="U1745">
        <v>-0.33771748535006091</v>
      </c>
      <c r="AT1745" s="4" t="s">
        <v>4841</v>
      </c>
    </row>
    <row r="1746" spans="1:46">
      <c r="A1746" s="2">
        <v>2834</v>
      </c>
      <c r="B1746" t="s">
        <v>6610</v>
      </c>
      <c r="C1746" t="s">
        <v>820</v>
      </c>
      <c r="D1746" t="s">
        <v>3718</v>
      </c>
      <c r="E1746" s="4">
        <v>43465</v>
      </c>
      <c r="F1746" s="11">
        <v>0.87648017</v>
      </c>
      <c r="G1746" s="11">
        <v>9.6</v>
      </c>
      <c r="H1746" s="11">
        <v>13.8220854146</v>
      </c>
      <c r="I1746" s="11">
        <v>20.3107819813</v>
      </c>
      <c r="J1746" s="11">
        <v>7.3624640265999997</v>
      </c>
      <c r="K1746" s="10">
        <v>1.33079840299</v>
      </c>
      <c r="L1746" s="12">
        <v>4149398639.04</v>
      </c>
      <c r="M1746">
        <v>15.5265356256703</v>
      </c>
      <c r="N1746" s="7">
        <v>1.41366671025832</v>
      </c>
      <c r="O1746" s="7">
        <v>0.68245664423937002</v>
      </c>
      <c r="P1746" s="7">
        <v>-54.5317696381397</v>
      </c>
      <c r="Q1746" s="7">
        <v>3.914988814317673</v>
      </c>
      <c r="U1746">
        <v>0.78716085676050807</v>
      </c>
      <c r="AT1746" s="4" t="s">
        <v>6611</v>
      </c>
    </row>
    <row r="1747" spans="1:46">
      <c r="A1747" s="2">
        <v>2878</v>
      </c>
      <c r="B1747" t="s">
        <v>6612</v>
      </c>
      <c r="C1747" t="s">
        <v>2546</v>
      </c>
      <c r="D1747" t="s">
        <v>4119</v>
      </c>
      <c r="E1747" s="4">
        <v>43465</v>
      </c>
      <c r="F1747" s="11">
        <v>-16.885245900000001</v>
      </c>
      <c r="G1747" s="11">
        <v>9.5652173900000008</v>
      </c>
      <c r="H1747" s="11">
        <v>23.8845950151</v>
      </c>
      <c r="I1747" s="11">
        <v>14.8487562606</v>
      </c>
      <c r="J1747" s="11">
        <v>2.2587618577000002</v>
      </c>
      <c r="K1747" s="10">
        <v>0.20490147774699999</v>
      </c>
      <c r="L1747" s="12">
        <v>3928811384.6100001</v>
      </c>
      <c r="M1747">
        <v>84.162983587703707</v>
      </c>
      <c r="N1747" s="7">
        <v>0.64696066070889802</v>
      </c>
      <c r="O1747" s="7">
        <v>2.0804454955423202</v>
      </c>
      <c r="P1747" s="7">
        <v>-19.905624016278399</v>
      </c>
      <c r="Q1747" s="7" t="s">
        <v>3698</v>
      </c>
      <c r="U1747">
        <v>9.5510008541670036E-2</v>
      </c>
      <c r="AT1747" s="4" t="s">
        <v>4775</v>
      </c>
    </row>
    <row r="1748" spans="1:46">
      <c r="A1748" s="2">
        <v>1057</v>
      </c>
      <c r="B1748" t="s">
        <v>6613</v>
      </c>
      <c r="C1748" t="s">
        <v>2359</v>
      </c>
      <c r="D1748" t="s">
        <v>3761</v>
      </c>
      <c r="E1748" s="4">
        <v>43465</v>
      </c>
      <c r="F1748" s="11">
        <v>-13.95934394</v>
      </c>
      <c r="G1748" s="11">
        <v>9.5490716199999994</v>
      </c>
      <c r="H1748" s="11">
        <v>13.792835205599999</v>
      </c>
      <c r="I1748" s="11">
        <v>30.710761959500001</v>
      </c>
      <c r="J1748" s="11">
        <v>22.0518641886</v>
      </c>
      <c r="K1748" s="10">
        <v>0.208766148964</v>
      </c>
      <c r="L1748" s="12">
        <v>3709026312</v>
      </c>
      <c r="M1748">
        <v>46.681790556726099</v>
      </c>
      <c r="N1748" s="7">
        <v>1.08287982565372</v>
      </c>
      <c r="O1748" s="7">
        <v>4.47106902291039</v>
      </c>
      <c r="P1748" s="7">
        <v>-33.1262581135814</v>
      </c>
      <c r="Q1748" s="7">
        <v>3.0303030303030303</v>
      </c>
      <c r="U1748">
        <v>0.18731420072182417</v>
      </c>
      <c r="AT1748" s="4" t="s">
        <v>5449</v>
      </c>
    </row>
    <row r="1749" spans="1:46">
      <c r="A1749" s="2">
        <v>2809</v>
      </c>
      <c r="B1749" t="s">
        <v>6614</v>
      </c>
      <c r="C1749" t="s">
        <v>1432</v>
      </c>
      <c r="D1749" t="s">
        <v>3871</v>
      </c>
      <c r="E1749" s="4">
        <v>43465</v>
      </c>
      <c r="F1749" s="11">
        <v>0.70455782</v>
      </c>
      <c r="G1749" s="11">
        <v>9.5057034199999997</v>
      </c>
      <c r="H1749" s="11">
        <v>16.6442753613</v>
      </c>
      <c r="I1749" s="11">
        <v>34.098127593100003</v>
      </c>
      <c r="J1749" s="11">
        <v>14.759662738099999</v>
      </c>
      <c r="K1749" s="10">
        <v>0.22953582249400001</v>
      </c>
      <c r="L1749" s="12">
        <v>2260800000</v>
      </c>
      <c r="M1749">
        <v>16.184612384687</v>
      </c>
      <c r="N1749" s="7">
        <v>1.0278943774137901</v>
      </c>
      <c r="O1749" s="7">
        <v>0.79465517711598199</v>
      </c>
      <c r="P1749" s="7">
        <v>132.86991013912399</v>
      </c>
      <c r="Q1749" s="7" t="s">
        <v>3698</v>
      </c>
      <c r="U1749">
        <v>0.53099565390616965</v>
      </c>
      <c r="AT1749" s="4" t="s">
        <v>6615</v>
      </c>
    </row>
    <row r="1750" spans="1:46">
      <c r="A1750" s="2">
        <v>2610</v>
      </c>
      <c r="B1750" t="s">
        <v>6616</v>
      </c>
      <c r="C1750" t="s">
        <v>1436</v>
      </c>
      <c r="D1750" t="s">
        <v>3737</v>
      </c>
      <c r="E1750" s="4">
        <v>43465</v>
      </c>
      <c r="F1750" s="11">
        <v>-32.494198709999999</v>
      </c>
      <c r="G1750" s="11">
        <v>9.5022624400000009</v>
      </c>
      <c r="H1750" s="11">
        <v>-7.7466998477000004</v>
      </c>
      <c r="I1750" s="11">
        <v>56.928170964700001</v>
      </c>
      <c r="J1750" s="11">
        <v>-211.0245509099</v>
      </c>
      <c r="K1750" s="10">
        <v>0.14078992877999999</v>
      </c>
      <c r="L1750" s="12">
        <v>13046688511.360001</v>
      </c>
      <c r="M1750">
        <v>75.666155978128302</v>
      </c>
      <c r="N1750" s="7">
        <v>3.8169527728013901</v>
      </c>
      <c r="O1750" s="7">
        <v>12.488092561543301</v>
      </c>
      <c r="P1750" s="7">
        <v>-117.56511908962599</v>
      </c>
      <c r="Q1750" s="7" t="s">
        <v>3698</v>
      </c>
      <c r="U1750">
        <v>-0.64876810708974353</v>
      </c>
      <c r="AT1750" s="4" t="s">
        <v>6617</v>
      </c>
    </row>
    <row r="1751" spans="1:46">
      <c r="A1751" s="2">
        <v>2927</v>
      </c>
      <c r="B1751" t="s">
        <v>6618</v>
      </c>
      <c r="C1751" t="s">
        <v>1921</v>
      </c>
      <c r="D1751" t="s">
        <v>3977</v>
      </c>
      <c r="E1751" s="4">
        <v>43465</v>
      </c>
      <c r="F1751" s="11">
        <v>-30.254212540000001</v>
      </c>
      <c r="G1751" s="11">
        <v>9.4827586200000002</v>
      </c>
      <c r="H1751" s="11">
        <v>-19.401423151199999</v>
      </c>
      <c r="I1751" s="11">
        <v>26.004256849099999</v>
      </c>
      <c r="J1751" s="11">
        <v>2.4077341995000001</v>
      </c>
      <c r="K1751" s="10">
        <v>0.27795801328199998</v>
      </c>
      <c r="L1751" s="12">
        <v>13600429412.5</v>
      </c>
      <c r="M1751">
        <v>27.545986722111099</v>
      </c>
      <c r="N1751" s="7">
        <v>0.91176716251956103</v>
      </c>
      <c r="O1751" s="7">
        <v>1.86881339071109</v>
      </c>
      <c r="P1751" s="7">
        <v>-913.17653962211398</v>
      </c>
      <c r="Q1751" s="7">
        <v>1.6483516483516485</v>
      </c>
      <c r="U1751">
        <v>7.8599650199608434E-2</v>
      </c>
      <c r="AT1751" s="4" t="s">
        <v>5162</v>
      </c>
    </row>
    <row r="1752" spans="1:46">
      <c r="A1752" s="2">
        <v>267</v>
      </c>
      <c r="B1752" t="s">
        <v>6619</v>
      </c>
      <c r="C1752" t="s">
        <v>1992</v>
      </c>
      <c r="D1752" t="s">
        <v>3718</v>
      </c>
      <c r="E1752" s="4">
        <v>43465</v>
      </c>
      <c r="F1752" s="11">
        <v>-27.930418299999999</v>
      </c>
      <c r="G1752" s="11">
        <v>9.4801223199999995</v>
      </c>
      <c r="H1752" s="11">
        <v>25.995567373</v>
      </c>
      <c r="I1752" s="11">
        <v>15.961306695499999</v>
      </c>
      <c r="J1752" s="11">
        <v>1.0627119216000001</v>
      </c>
      <c r="K1752" s="10">
        <v>0.84527292709599999</v>
      </c>
      <c r="L1752" s="12">
        <v>2144886561.96</v>
      </c>
      <c r="M1752">
        <v>387.02734756490599</v>
      </c>
      <c r="N1752" s="7">
        <v>1.2087176114315801</v>
      </c>
      <c r="O1752" s="7">
        <v>0.53117610548150695</v>
      </c>
      <c r="P1752" s="7">
        <v>-56.047917275005503</v>
      </c>
      <c r="Q1752" s="7">
        <v>0.59171597633136097</v>
      </c>
      <c r="U1752">
        <v>6.4856470177956996E-2</v>
      </c>
      <c r="AT1752" s="4" t="s">
        <v>6620</v>
      </c>
    </row>
    <row r="1753" spans="1:46">
      <c r="A1753" s="2">
        <v>1100</v>
      </c>
      <c r="B1753" t="s">
        <v>6621</v>
      </c>
      <c r="C1753" t="s">
        <v>609</v>
      </c>
      <c r="D1753" t="s">
        <v>3737</v>
      </c>
      <c r="E1753" s="4">
        <v>43465</v>
      </c>
      <c r="F1753" s="11">
        <v>-42.155459860000001</v>
      </c>
      <c r="G1753" s="11">
        <v>9.4691535200000008</v>
      </c>
      <c r="H1753" s="11">
        <v>45.6129772285</v>
      </c>
      <c r="I1753" s="11">
        <v>19.145538305500001</v>
      </c>
      <c r="J1753" s="11">
        <v>3.7672791238999999</v>
      </c>
      <c r="K1753" s="10">
        <v>1.097348779367</v>
      </c>
      <c r="L1753" s="12">
        <v>19516093440.82</v>
      </c>
      <c r="M1753">
        <v>9.6647610148098604</v>
      </c>
      <c r="N1753" s="7">
        <v>2.0392517354177002</v>
      </c>
      <c r="O1753" s="7">
        <v>0.33618941893210802</v>
      </c>
      <c r="P1753" s="7">
        <v>34.331210984558503</v>
      </c>
      <c r="Q1753" s="7">
        <v>0.72222222222222232</v>
      </c>
      <c r="U1753">
        <v>0.5174799387037694</v>
      </c>
      <c r="AT1753" s="4" t="s">
        <v>4505</v>
      </c>
    </row>
    <row r="1754" spans="1:46">
      <c r="A1754" s="2">
        <v>3373</v>
      </c>
      <c r="B1754" t="s">
        <v>6622</v>
      </c>
      <c r="C1754" t="s">
        <v>1212</v>
      </c>
      <c r="D1754" t="s">
        <v>3977</v>
      </c>
      <c r="E1754" s="4">
        <v>43465</v>
      </c>
      <c r="F1754" s="11">
        <v>-47.377518340000002</v>
      </c>
      <c r="G1754" s="11">
        <v>9.4418604699999999</v>
      </c>
      <c r="H1754" s="11">
        <v>2.7013634221</v>
      </c>
      <c r="I1754" s="11">
        <v>25.045760100300001</v>
      </c>
      <c r="J1754" s="11">
        <v>7.2107166824000002</v>
      </c>
      <c r="K1754" s="10">
        <v>1.2163904238309999</v>
      </c>
      <c r="L1754" s="12">
        <v>2746051382.3000002</v>
      </c>
      <c r="M1754">
        <v>20.683125839405601</v>
      </c>
      <c r="N1754" s="7">
        <v>3.0992870078558798</v>
      </c>
      <c r="O1754" s="7">
        <v>1.44993067258429</v>
      </c>
      <c r="P1754" s="7">
        <v>68.756624483250306</v>
      </c>
      <c r="Q1754" s="7">
        <v>1.0352941176470591</v>
      </c>
      <c r="U1754">
        <v>1.0549658867830425</v>
      </c>
      <c r="AT1754" s="4" t="s">
        <v>5005</v>
      </c>
    </row>
    <row r="1755" spans="1:46">
      <c r="A1755" s="2">
        <v>648</v>
      </c>
      <c r="B1755" t="s">
        <v>6623</v>
      </c>
      <c r="C1755" t="s">
        <v>1462</v>
      </c>
      <c r="D1755" t="s">
        <v>3889</v>
      </c>
      <c r="E1755" s="4">
        <v>43465</v>
      </c>
      <c r="F1755" s="11">
        <v>4.1487839800000001</v>
      </c>
      <c r="G1755" s="11">
        <v>9.4395280199999991</v>
      </c>
      <c r="H1755" s="11">
        <v>10.6380506423</v>
      </c>
      <c r="I1755" s="11">
        <v>18.965912674399998</v>
      </c>
      <c r="J1755" s="11">
        <v>-35.478064569499999</v>
      </c>
      <c r="K1755" s="10">
        <v>0.553091779058</v>
      </c>
      <c r="L1755" s="12">
        <v>2222921120</v>
      </c>
      <c r="M1755">
        <v>134.97151360346501</v>
      </c>
      <c r="N1755" s="7">
        <v>3.2415718789227399</v>
      </c>
      <c r="O1755" s="7">
        <v>3.5345322816058</v>
      </c>
      <c r="P1755" s="7">
        <v>-987.39256691967296</v>
      </c>
      <c r="Q1755" s="7" t="s">
        <v>3698</v>
      </c>
      <c r="U1755">
        <v>-0.63812668005748319</v>
      </c>
      <c r="AT1755" s="4" t="s">
        <v>4341</v>
      </c>
    </row>
    <row r="1756" spans="1:46">
      <c r="A1756" s="2">
        <v>2850</v>
      </c>
      <c r="B1756" t="s">
        <v>6624</v>
      </c>
      <c r="C1756" t="s">
        <v>2580</v>
      </c>
      <c r="D1756" t="s">
        <v>3778</v>
      </c>
      <c r="E1756" s="4">
        <v>43465</v>
      </c>
      <c r="F1756" s="11">
        <v>-43.243243239999998</v>
      </c>
      <c r="G1756" s="11">
        <v>9.4240837699999993</v>
      </c>
      <c r="H1756" s="11">
        <v>213.9857233832</v>
      </c>
      <c r="I1756" s="11">
        <v>55.327168499800003</v>
      </c>
      <c r="J1756" s="11">
        <v>12.566521679199999</v>
      </c>
      <c r="K1756" s="10">
        <v>0.21410723195199999</v>
      </c>
      <c r="L1756" s="12">
        <v>5637491990</v>
      </c>
      <c r="M1756">
        <v>14.837557604344299</v>
      </c>
      <c r="N1756" s="7">
        <v>0.876392656864875</v>
      </c>
      <c r="O1756" s="7">
        <v>2.8889561914921602</v>
      </c>
      <c r="P1756" s="7">
        <v>-8.6903964966292193</v>
      </c>
      <c r="Q1756" s="7" t="s">
        <v>3698</v>
      </c>
      <c r="U1756">
        <v>8.8338567189694586E-2</v>
      </c>
      <c r="AT1756" s="4" t="s">
        <v>4531</v>
      </c>
    </row>
    <row r="1757" spans="1:46">
      <c r="A1757" s="2">
        <v>1487</v>
      </c>
      <c r="B1757" t="s">
        <v>6625</v>
      </c>
      <c r="C1757" t="s">
        <v>2897</v>
      </c>
      <c r="D1757" t="s">
        <v>3761</v>
      </c>
      <c r="E1757" s="4">
        <v>43465</v>
      </c>
      <c r="F1757" s="11">
        <v>-21.274777669999999</v>
      </c>
      <c r="G1757" s="11">
        <v>9.3877550999999997</v>
      </c>
      <c r="H1757" s="11">
        <v>23.5434558569</v>
      </c>
      <c r="I1757" s="11">
        <v>29.5960340285</v>
      </c>
      <c r="J1757" s="11">
        <v>2.0186797106999999</v>
      </c>
      <c r="K1757" s="10">
        <v>0.468964126546</v>
      </c>
      <c r="L1757" s="12">
        <v>2347800000</v>
      </c>
      <c r="M1757">
        <v>-19.482575161917701</v>
      </c>
      <c r="N1757" s="7">
        <v>2.0170904436324699</v>
      </c>
      <c r="O1757" s="7">
        <v>1.5635821030888899</v>
      </c>
      <c r="P1757" s="7">
        <v>-8.5112792517097002</v>
      </c>
      <c r="Q1757" s="7">
        <v>0.77821011673151752</v>
      </c>
      <c r="U1757">
        <v>5.4288476753246752E-2</v>
      </c>
      <c r="AT1757" s="4" t="s">
        <v>5324</v>
      </c>
    </row>
    <row r="1758" spans="1:46">
      <c r="A1758" s="2">
        <v>764</v>
      </c>
      <c r="B1758" t="s">
        <v>6626</v>
      </c>
      <c r="C1758" t="s">
        <v>2639</v>
      </c>
      <c r="D1758" t="s">
        <v>3713</v>
      </c>
      <c r="E1758" s="4">
        <v>43465</v>
      </c>
      <c r="F1758" s="11">
        <v>-28.355814670000001</v>
      </c>
      <c r="G1758" s="11">
        <v>9.3797276899999993</v>
      </c>
      <c r="H1758" s="11">
        <v>27.4813518546</v>
      </c>
      <c r="I1758" s="11">
        <v>25.554846256699999</v>
      </c>
      <c r="J1758" s="11">
        <v>15.9606909687</v>
      </c>
      <c r="K1758" s="10">
        <v>0.216974750863</v>
      </c>
      <c r="L1758" s="12">
        <v>26634551307</v>
      </c>
      <c r="M1758">
        <v>78.603809239253096</v>
      </c>
      <c r="N1758" s="7">
        <v>2.2106621292081199</v>
      </c>
      <c r="O1758" s="7">
        <v>9.8682455853334492</v>
      </c>
      <c r="P1758" s="7">
        <v>-27.708247386096801</v>
      </c>
      <c r="Q1758" s="7">
        <v>0.89619118745332338</v>
      </c>
      <c r="U1758">
        <v>0.2435031411149495</v>
      </c>
      <c r="AT1758" s="4" t="s">
        <v>6627</v>
      </c>
    </row>
    <row r="1759" spans="1:46">
      <c r="A1759" s="2">
        <v>914</v>
      </c>
      <c r="B1759" t="s">
        <v>6628</v>
      </c>
      <c r="C1759" t="s">
        <v>1422</v>
      </c>
      <c r="D1759" t="s">
        <v>3977</v>
      </c>
      <c r="E1759" s="4">
        <v>43465</v>
      </c>
      <c r="F1759" s="11">
        <v>-28.86464595</v>
      </c>
      <c r="G1759" s="11">
        <v>9.3709884500000005</v>
      </c>
      <c r="H1759" s="11">
        <v>6.0614284057000001</v>
      </c>
      <c r="I1759" s="11">
        <v>37.123291134200002</v>
      </c>
      <c r="J1759" s="11">
        <v>4.0893612706000004</v>
      </c>
      <c r="K1759" s="10">
        <v>0.72398400574499999</v>
      </c>
      <c r="L1759" s="12">
        <v>4614714000</v>
      </c>
      <c r="M1759">
        <v>16.361644565301301</v>
      </c>
      <c r="N1759" s="7">
        <v>1.28902213388368</v>
      </c>
      <c r="O1759" s="7">
        <v>0.85522484230795304</v>
      </c>
      <c r="P1759" s="7">
        <v>111.597374854484</v>
      </c>
      <c r="Q1759" s="7">
        <v>1.7772511848341233</v>
      </c>
      <c r="U1759">
        <v>0.42445947179139959</v>
      </c>
      <c r="AT1759" s="4" t="s">
        <v>3987</v>
      </c>
    </row>
    <row r="1760" spans="1:46">
      <c r="A1760" s="2">
        <v>2544</v>
      </c>
      <c r="B1760" t="s">
        <v>6629</v>
      </c>
      <c r="C1760" t="s">
        <v>3015</v>
      </c>
      <c r="D1760" t="s">
        <v>3728</v>
      </c>
      <c r="E1760" s="4">
        <v>43465</v>
      </c>
      <c r="F1760" s="11">
        <v>-2.1699819200000001</v>
      </c>
      <c r="G1760" s="11">
        <v>9.3555093599999992</v>
      </c>
      <c r="H1760" s="11">
        <v>14.520165460699999</v>
      </c>
      <c r="I1760" s="11">
        <v>8.6874658579999995</v>
      </c>
      <c r="J1760" s="11">
        <v>0.64250710079999995</v>
      </c>
      <c r="K1760" s="10">
        <v>0.92091837730000004</v>
      </c>
      <c r="L1760" s="12">
        <v>4010700605.6100001</v>
      </c>
      <c r="M1760">
        <v>720.926499467947</v>
      </c>
      <c r="N1760" s="7">
        <v>1.71802100990464</v>
      </c>
      <c r="O1760" s="7">
        <v>0.78585627759754895</v>
      </c>
      <c r="P1760" s="7">
        <v>9.4990152163186092</v>
      </c>
      <c r="Q1760" s="7" t="s">
        <v>3698</v>
      </c>
      <c r="U1760">
        <v>4.0037477204093688E-2</v>
      </c>
      <c r="AT1760" s="4" t="s">
        <v>6630</v>
      </c>
    </row>
    <row r="1761" spans="1:46">
      <c r="A1761" s="2">
        <v>897</v>
      </c>
      <c r="B1761" t="s">
        <v>6631</v>
      </c>
      <c r="C1761" t="s">
        <v>2854</v>
      </c>
      <c r="D1761" t="s">
        <v>3752</v>
      </c>
      <c r="E1761" s="4">
        <v>43465</v>
      </c>
      <c r="F1761" s="11">
        <v>-29.033235049999998</v>
      </c>
      <c r="G1761" s="11">
        <v>9.34579439</v>
      </c>
      <c r="H1761" s="11">
        <v>18.563894191799999</v>
      </c>
      <c r="I1761" s="11">
        <v>8.1707542959000001</v>
      </c>
      <c r="J1761" s="11">
        <v>0.68255328540000004</v>
      </c>
      <c r="K1761" s="10">
        <v>1.323731328124</v>
      </c>
      <c r="L1761" s="12">
        <v>7201959203.46</v>
      </c>
      <c r="M1761">
        <v>27.391124909884098</v>
      </c>
      <c r="N1761" s="7">
        <v>0.85745461566158598</v>
      </c>
      <c r="O1761" s="7">
        <v>0.219616166344274</v>
      </c>
      <c r="P1761" s="7">
        <v>3.4824118741607002</v>
      </c>
      <c r="Q1761" s="7">
        <v>1.8148820326678767</v>
      </c>
      <c r="U1761">
        <v>0.19873513667867826</v>
      </c>
      <c r="AT1761" s="4" t="s">
        <v>4042</v>
      </c>
    </row>
    <row r="1762" spans="1:46">
      <c r="A1762" s="2">
        <v>3106</v>
      </c>
      <c r="B1762" t="s">
        <v>6632</v>
      </c>
      <c r="C1762" t="s">
        <v>1949</v>
      </c>
      <c r="D1762" t="s">
        <v>3718</v>
      </c>
      <c r="E1762" s="4">
        <v>43465</v>
      </c>
      <c r="F1762" s="11">
        <v>-7.6353594300000003</v>
      </c>
      <c r="G1762" s="11">
        <v>9.25619835</v>
      </c>
      <c r="H1762" s="11">
        <v>27.3107465107</v>
      </c>
      <c r="I1762" s="11">
        <v>22.038377860699999</v>
      </c>
      <c r="J1762" s="11">
        <v>7.4283195956999997</v>
      </c>
      <c r="K1762" s="10">
        <v>0.296320184918</v>
      </c>
      <c r="L1762" s="12">
        <v>4314035084.5799999</v>
      </c>
      <c r="M1762">
        <v>153.90895075157201</v>
      </c>
      <c r="N1762" s="7">
        <v>1.61655897855988</v>
      </c>
      <c r="O1762" s="7">
        <v>2.1008464314581001</v>
      </c>
      <c r="P1762" s="7">
        <v>-155.243438349841</v>
      </c>
      <c r="Q1762" s="7">
        <v>3.171576735002974</v>
      </c>
      <c r="U1762">
        <v>0.21375055236922894</v>
      </c>
      <c r="AT1762" s="4" t="s">
        <v>6633</v>
      </c>
    </row>
    <row r="1763" spans="1:46">
      <c r="A1763" s="2">
        <v>1314</v>
      </c>
      <c r="B1763" t="s">
        <v>6634</v>
      </c>
      <c r="C1763" t="s">
        <v>1720</v>
      </c>
      <c r="D1763" t="s">
        <v>3752</v>
      </c>
      <c r="E1763" s="4">
        <v>43465</v>
      </c>
      <c r="F1763" s="11">
        <v>57.754688510000001</v>
      </c>
      <c r="G1763" s="11">
        <v>9.2540661800000006</v>
      </c>
      <c r="H1763" s="11">
        <v>40.176893503700001</v>
      </c>
      <c r="I1763" s="11">
        <v>25.3468584821</v>
      </c>
      <c r="J1763" s="11">
        <v>8.4006264632000001</v>
      </c>
      <c r="K1763" s="10">
        <v>0.75138993128200005</v>
      </c>
      <c r="L1763" s="12">
        <v>3461303748.4000001</v>
      </c>
      <c r="M1763">
        <v>32.576143350842699</v>
      </c>
      <c r="N1763" s="7">
        <v>2.8058660663273698</v>
      </c>
      <c r="O1763" s="7">
        <v>2.5347641593004302</v>
      </c>
      <c r="P1763" s="7">
        <v>-27.4166416554888</v>
      </c>
      <c r="Q1763" s="7">
        <v>0.71696116472885263</v>
      </c>
      <c r="U1763">
        <v>0.61653210508634015</v>
      </c>
      <c r="AT1763" s="4" t="s">
        <v>6635</v>
      </c>
    </row>
    <row r="1764" spans="1:46">
      <c r="A1764" s="2">
        <v>738</v>
      </c>
      <c r="B1764" t="s">
        <v>6636</v>
      </c>
      <c r="C1764" t="s">
        <v>3421</v>
      </c>
      <c r="D1764" t="s">
        <v>3761</v>
      </c>
      <c r="E1764" s="4">
        <v>43465</v>
      </c>
      <c r="F1764" s="11">
        <v>-38.945115540000003</v>
      </c>
      <c r="G1764" s="11">
        <v>9.2428711900000007</v>
      </c>
      <c r="H1764" s="11">
        <v>-3.8176342407999999</v>
      </c>
      <c r="I1764" s="11">
        <v>31.785477040499998</v>
      </c>
      <c r="J1764" s="11">
        <v>2.9442455242999999</v>
      </c>
      <c r="K1764" s="10">
        <v>0.321046804937</v>
      </c>
      <c r="L1764" s="12">
        <v>6712037647.8100004</v>
      </c>
      <c r="M1764">
        <v>1013.60126209664</v>
      </c>
      <c r="N1764" s="7">
        <v>2.7616951283605999</v>
      </c>
      <c r="O1764" s="7">
        <v>6.3799399660571297</v>
      </c>
      <c r="P1764" s="7">
        <v>-86.961688371833205</v>
      </c>
      <c r="Q1764" s="7">
        <v>0.19900497512437809</v>
      </c>
      <c r="U1764">
        <v>4.7153827379651805E-2</v>
      </c>
      <c r="AT1764" s="4" t="s">
        <v>6637</v>
      </c>
    </row>
    <row r="1765" spans="1:46">
      <c r="A1765" s="2">
        <v>452</v>
      </c>
      <c r="B1765" t="s">
        <v>6638</v>
      </c>
      <c r="C1765" t="s">
        <v>1388</v>
      </c>
      <c r="D1765" t="s">
        <v>3858</v>
      </c>
      <c r="E1765" s="4">
        <v>43465</v>
      </c>
      <c r="F1765" s="11">
        <v>-22.20974094</v>
      </c>
      <c r="G1765" s="11">
        <v>9.1954022999999996</v>
      </c>
      <c r="H1765" s="11">
        <v>3.9858724557</v>
      </c>
      <c r="I1765" s="11">
        <v>11.635545466</v>
      </c>
      <c r="J1765" s="11">
        <v>5.0949405499999996</v>
      </c>
      <c r="K1765" s="10">
        <v>0.57472711640999996</v>
      </c>
      <c r="L1765" s="12">
        <v>3837600000</v>
      </c>
      <c r="M1765">
        <v>19.378647421436199</v>
      </c>
      <c r="N1765" s="7">
        <v>1.2057845059972701</v>
      </c>
      <c r="O1765" s="7">
        <v>0.73433942360142102</v>
      </c>
      <c r="P1765" s="7">
        <v>9.7284091472482697</v>
      </c>
      <c r="Q1765" s="7">
        <v>2.5974025974025974</v>
      </c>
      <c r="U1765">
        <v>0.35089601105624069</v>
      </c>
      <c r="AT1765" s="4" t="s">
        <v>5002</v>
      </c>
    </row>
    <row r="1766" spans="1:46">
      <c r="A1766" s="2">
        <v>3166</v>
      </c>
      <c r="B1766" t="s">
        <v>6639</v>
      </c>
      <c r="C1766" t="s">
        <v>3253</v>
      </c>
      <c r="D1766" t="s">
        <v>3972</v>
      </c>
      <c r="E1766" s="4">
        <v>43465</v>
      </c>
      <c r="F1766" s="11">
        <v>-25.788387610000001</v>
      </c>
      <c r="G1766" s="11">
        <v>9.1891891900000005</v>
      </c>
      <c r="H1766" s="11">
        <v>-25.2135559337</v>
      </c>
      <c r="I1766" s="11">
        <v>23.8762732273</v>
      </c>
      <c r="J1766" s="11">
        <v>10.096778652799999</v>
      </c>
      <c r="K1766" s="10">
        <v>0.18788217549299999</v>
      </c>
      <c r="L1766" s="12">
        <v>1979137029.78</v>
      </c>
      <c r="M1766">
        <v>56.345686838818501</v>
      </c>
      <c r="N1766" s="7">
        <v>1.30669257800395</v>
      </c>
      <c r="O1766" s="7">
        <v>2.90653827137425</v>
      </c>
      <c r="P1766" s="7">
        <v>180.41213929767801</v>
      </c>
      <c r="Q1766" s="7">
        <v>0.95</v>
      </c>
      <c r="U1766">
        <v>4.0584290906674286E-2</v>
      </c>
      <c r="AT1766" s="4" t="s">
        <v>6640</v>
      </c>
    </row>
    <row r="1767" spans="1:46">
      <c r="A1767" s="2">
        <v>2735</v>
      </c>
      <c r="B1767" t="s">
        <v>6641</v>
      </c>
      <c r="C1767" t="s">
        <v>2825</v>
      </c>
      <c r="D1767" t="s">
        <v>3972</v>
      </c>
      <c r="E1767" s="4">
        <v>43465</v>
      </c>
      <c r="F1767" s="11">
        <v>-16.719052390000002</v>
      </c>
      <c r="G1767" s="11">
        <v>9.1787439600000003</v>
      </c>
      <c r="H1767" s="11">
        <v>0.39799589089999998</v>
      </c>
      <c r="I1767" s="11">
        <v>12.8767349084</v>
      </c>
      <c r="J1767" s="11">
        <v>1.6076441126000001</v>
      </c>
      <c r="K1767" s="10">
        <v>0.66508950533699995</v>
      </c>
      <c r="L1767" s="12">
        <v>4528874780.1499996</v>
      </c>
      <c r="M1767">
        <v>87.197416221384401</v>
      </c>
      <c r="N1767" s="7">
        <v>1.3414128388886799</v>
      </c>
      <c r="O1767" s="7">
        <v>1.0451482909857801</v>
      </c>
      <c r="P1767" s="7">
        <v>-14.8489029213716</v>
      </c>
      <c r="Q1767" s="7">
        <v>0.89686098654708535</v>
      </c>
      <c r="U1767">
        <v>6.1460614870312923E-2</v>
      </c>
      <c r="AT1767" s="4" t="s">
        <v>6642</v>
      </c>
    </row>
    <row r="1768" spans="1:46">
      <c r="A1768" s="2">
        <v>1966</v>
      </c>
      <c r="B1768" t="s">
        <v>6643</v>
      </c>
      <c r="C1768" t="s">
        <v>3424</v>
      </c>
      <c r="D1768" t="s">
        <v>3713</v>
      </c>
      <c r="E1768" s="4">
        <v>43465</v>
      </c>
      <c r="F1768" s="11">
        <v>31.811038580000002</v>
      </c>
      <c r="G1768" s="11">
        <v>9.1763005799999995</v>
      </c>
      <c r="H1768" s="11">
        <v>35.079117562599997</v>
      </c>
      <c r="I1768" s="11">
        <v>22.533483862499999</v>
      </c>
      <c r="J1768" s="11">
        <v>5.9435740457000001</v>
      </c>
      <c r="K1768" s="10">
        <v>0.81550448364999994</v>
      </c>
      <c r="L1768" s="12">
        <v>11571223521.99</v>
      </c>
      <c r="M1768">
        <v>63.0245228268383</v>
      </c>
      <c r="N1768" s="7">
        <v>4.4261741438302797</v>
      </c>
      <c r="O1768" s="7">
        <v>3.69067602550381</v>
      </c>
      <c r="P1768" s="7">
        <v>19.447649482676201</v>
      </c>
      <c r="Q1768" s="7">
        <v>0.22284871611915513</v>
      </c>
      <c r="U1768">
        <v>0.24749810150649362</v>
      </c>
      <c r="AT1768" s="4" t="s">
        <v>6644</v>
      </c>
    </row>
    <row r="1769" spans="1:46">
      <c r="A1769" s="2">
        <v>1353</v>
      </c>
      <c r="B1769" t="s">
        <v>6645</v>
      </c>
      <c r="C1769" t="s">
        <v>921</v>
      </c>
      <c r="D1769" t="s">
        <v>3781</v>
      </c>
      <c r="E1769" s="4">
        <v>43465</v>
      </c>
      <c r="F1769" s="11">
        <v>-28.464232899999999</v>
      </c>
      <c r="G1769" s="11">
        <v>9.1728091700000007</v>
      </c>
      <c r="H1769" s="11">
        <v>9.0419739816</v>
      </c>
      <c r="I1769" s="11">
        <v>12.482798019100001</v>
      </c>
      <c r="J1769" s="11">
        <v>6.1520746745999997</v>
      </c>
      <c r="K1769" s="10">
        <v>1.331907877595</v>
      </c>
      <c r="L1769" s="12">
        <v>9491670000</v>
      </c>
      <c r="M1769">
        <v>23.867971573497702</v>
      </c>
      <c r="N1769" s="7">
        <v>1.6806382932745101</v>
      </c>
      <c r="O1769" s="7">
        <v>1.01085621192942</v>
      </c>
      <c r="P1769" s="7">
        <v>46.3372635632604</v>
      </c>
      <c r="Q1769" s="7">
        <v>3.1801609642301707</v>
      </c>
      <c r="U1769">
        <v>0.75971176110726646</v>
      </c>
      <c r="AT1769" s="4" t="s">
        <v>6291</v>
      </c>
    </row>
    <row r="1770" spans="1:46">
      <c r="A1770" s="2">
        <v>2786</v>
      </c>
      <c r="B1770" t="s">
        <v>6646</v>
      </c>
      <c r="C1770" t="s">
        <v>1403</v>
      </c>
      <c r="D1770" t="s">
        <v>3737</v>
      </c>
      <c r="E1770" s="4">
        <v>43465</v>
      </c>
      <c r="F1770" s="11">
        <v>-21.720392060000002</v>
      </c>
      <c r="G1770" s="11">
        <v>9.1549295799999992</v>
      </c>
      <c r="H1770" s="11">
        <v>8.6524012329000008</v>
      </c>
      <c r="I1770" s="11">
        <v>6.6061588139999996</v>
      </c>
      <c r="J1770" s="11">
        <v>1.1047870086</v>
      </c>
      <c r="K1770" s="10">
        <v>1.764544898994</v>
      </c>
      <c r="L1770" s="12">
        <v>4204235337.1199999</v>
      </c>
      <c r="M1770">
        <v>19.1943151548343</v>
      </c>
      <c r="N1770" s="7">
        <v>1.2138121845319501</v>
      </c>
      <c r="O1770" s="7">
        <v>0.14982428224215599</v>
      </c>
      <c r="P1770" s="7">
        <v>7.2684588578308702</v>
      </c>
      <c r="Q1770" s="7">
        <v>2.2935779816513762</v>
      </c>
      <c r="U1770">
        <v>0.25373553154539485</v>
      </c>
      <c r="AT1770" s="4" t="s">
        <v>4773</v>
      </c>
    </row>
    <row r="1771" spans="1:46">
      <c r="A1771" s="2">
        <v>631</v>
      </c>
      <c r="B1771" t="s">
        <v>6647</v>
      </c>
      <c r="C1771" t="s">
        <v>138</v>
      </c>
      <c r="D1771" t="s">
        <v>3972</v>
      </c>
      <c r="E1771" s="4">
        <v>43465</v>
      </c>
      <c r="F1771" s="11">
        <v>25.151528840000001</v>
      </c>
      <c r="G1771" s="11">
        <v>9.1419141899999996</v>
      </c>
      <c r="H1771" s="11">
        <v>38.760074555099997</v>
      </c>
      <c r="I1771" s="11">
        <v>28.017880608700001</v>
      </c>
      <c r="J1771" s="11">
        <v>18.780889929000001</v>
      </c>
      <c r="K1771" s="10">
        <v>1.0084239061339999</v>
      </c>
      <c r="L1771" s="12">
        <v>14281041232.5</v>
      </c>
      <c r="M1771">
        <v>28.631618837883799</v>
      </c>
      <c r="N1771" s="7">
        <v>4.5348214547306602</v>
      </c>
      <c r="O1771" s="7">
        <v>4.1870262929430204</v>
      </c>
      <c r="P1771" s="7">
        <v>45.012196926110001</v>
      </c>
      <c r="Q1771" s="7">
        <v>1.2597331167496055</v>
      </c>
      <c r="U1771">
        <v>1.5752274134375839</v>
      </c>
      <c r="AT1771" s="4" t="s">
        <v>6648</v>
      </c>
    </row>
    <row r="1772" spans="1:46">
      <c r="A1772" s="2">
        <v>2573</v>
      </c>
      <c r="B1772" t="s">
        <v>6649</v>
      </c>
      <c r="C1772" t="s">
        <v>2248</v>
      </c>
      <c r="D1772" t="s">
        <v>3737</v>
      </c>
      <c r="E1772" s="4">
        <v>43465</v>
      </c>
      <c r="F1772" s="11">
        <v>-11.72600008</v>
      </c>
      <c r="G1772" s="11">
        <v>9.1152815</v>
      </c>
      <c r="H1772" s="11">
        <v>23.134565998199999</v>
      </c>
      <c r="I1772" s="11">
        <v>50.198358427099997</v>
      </c>
      <c r="J1772" s="11">
        <v>8.1126173595999997</v>
      </c>
      <c r="K1772" s="10">
        <v>0.53456557594099996</v>
      </c>
      <c r="L1772" s="12">
        <v>1669360000</v>
      </c>
      <c r="M1772">
        <v>27.6873746142081</v>
      </c>
      <c r="N1772" s="7">
        <v>1.4350962499381099</v>
      </c>
      <c r="O1772" s="7">
        <v>1.69745825845745</v>
      </c>
      <c r="P1772" s="7">
        <v>127.659322689478</v>
      </c>
      <c r="Q1772" s="7">
        <v>1.3827160493827162</v>
      </c>
      <c r="U1772">
        <v>0.14053688287506172</v>
      </c>
      <c r="AT1772" s="4" t="s">
        <v>6650</v>
      </c>
    </row>
    <row r="1773" spans="1:46">
      <c r="A1773" s="2">
        <v>2625</v>
      </c>
      <c r="B1773" t="s">
        <v>6651</v>
      </c>
      <c r="C1773" t="s">
        <v>2736</v>
      </c>
      <c r="D1773" t="s">
        <v>3769</v>
      </c>
      <c r="E1773" s="4">
        <v>43465</v>
      </c>
      <c r="F1773" s="11">
        <v>-32.749253549999999</v>
      </c>
      <c r="G1773" s="11">
        <v>9.1059602599999998</v>
      </c>
      <c r="H1773" s="11">
        <v>37.837237357500001</v>
      </c>
      <c r="I1773" s="11">
        <v>16.899270925300002</v>
      </c>
      <c r="J1773" s="11">
        <v>4.0994849336000003</v>
      </c>
      <c r="K1773" s="10">
        <v>0.94578395955299999</v>
      </c>
      <c r="L1773" s="12">
        <v>3260297072.75</v>
      </c>
      <c r="M1773">
        <v>54.488317805321103</v>
      </c>
      <c r="N1773" s="7">
        <v>2.37938800007591</v>
      </c>
      <c r="O1773" s="7">
        <v>0.93880515948604604</v>
      </c>
      <c r="P1773" s="7">
        <v>159.104616494157</v>
      </c>
      <c r="Q1773" s="7">
        <v>1.2450414862162755</v>
      </c>
      <c r="U1773">
        <v>0.35310923241402636</v>
      </c>
      <c r="AT1773" s="4" t="s">
        <v>6652</v>
      </c>
    </row>
    <row r="1774" spans="1:46">
      <c r="A1774" s="2">
        <v>3467</v>
      </c>
      <c r="B1774" t="s">
        <v>6653</v>
      </c>
      <c r="C1774" t="s">
        <v>3058</v>
      </c>
      <c r="D1774" t="s">
        <v>3761</v>
      </c>
      <c r="E1774" s="4">
        <v>43465</v>
      </c>
      <c r="F1774" s="11">
        <v>-43.334915410000001</v>
      </c>
      <c r="G1774" s="11">
        <v>9.1034482800000003</v>
      </c>
      <c r="H1774" s="11">
        <v>22.839145825500001</v>
      </c>
      <c r="I1774" s="11">
        <v>25.7500068748</v>
      </c>
      <c r="J1774" s="11">
        <v>3.0956398009999999</v>
      </c>
      <c r="K1774" s="10">
        <v>0.37881994639099997</v>
      </c>
      <c r="L1774" s="12">
        <v>2977726808.5</v>
      </c>
      <c r="M1774">
        <v>284.47940146284901</v>
      </c>
      <c r="N1774" s="7">
        <v>2.0830017584776401</v>
      </c>
      <c r="O1774" s="7">
        <v>2.55936159765997</v>
      </c>
      <c r="P1774" s="7">
        <v>96.711887704215798</v>
      </c>
      <c r="Q1774" s="7">
        <v>0.26560424966799467</v>
      </c>
      <c r="U1774">
        <v>9.0827737874360839E-2</v>
      </c>
      <c r="AT1774" s="4" t="s">
        <v>5845</v>
      </c>
    </row>
    <row r="1775" spans="1:46">
      <c r="A1775" s="2">
        <v>2255</v>
      </c>
      <c r="B1775" t="s">
        <v>6654</v>
      </c>
      <c r="C1775" t="s">
        <v>2642</v>
      </c>
      <c r="D1775" t="s">
        <v>3781</v>
      </c>
      <c r="E1775" s="4">
        <v>43465</v>
      </c>
      <c r="F1775" s="11">
        <v>-29.197080289999999</v>
      </c>
      <c r="G1775" s="11">
        <v>9.0909090900000002</v>
      </c>
      <c r="H1775" s="11">
        <v>21.350193263800001</v>
      </c>
      <c r="I1775" s="11">
        <v>20.660442076500001</v>
      </c>
      <c r="J1775" s="11">
        <v>3.2940176642000001</v>
      </c>
      <c r="K1775" s="10">
        <v>0.30210354670599998</v>
      </c>
      <c r="L1775" s="12">
        <v>2839436974.3800001</v>
      </c>
      <c r="M1775">
        <v>65.103203185244993</v>
      </c>
      <c r="N1775" s="7">
        <v>1.0801089860549</v>
      </c>
      <c r="O1775" s="7">
        <v>2.3160657256343198</v>
      </c>
      <c r="P1775" s="7">
        <v>77.7311647193971</v>
      </c>
      <c r="Q1775" s="7">
        <v>0.16245487364620936</v>
      </c>
      <c r="U1775">
        <v>4.3521225813110319E-2</v>
      </c>
      <c r="AT1775" s="4" t="s">
        <v>6655</v>
      </c>
    </row>
    <row r="1776" spans="1:46">
      <c r="A1776" s="2">
        <v>2454</v>
      </c>
      <c r="B1776" t="s">
        <v>6656</v>
      </c>
      <c r="C1776" t="s">
        <v>534</v>
      </c>
      <c r="D1776" t="s">
        <v>3737</v>
      </c>
      <c r="E1776" s="4">
        <v>43465</v>
      </c>
      <c r="F1776" s="11">
        <v>-4.4711821799999996</v>
      </c>
      <c r="G1776" s="11">
        <v>9.0836012900000007</v>
      </c>
      <c r="H1776" s="11">
        <v>11.765710865799999</v>
      </c>
      <c r="I1776" s="11">
        <v>41.452195688899998</v>
      </c>
      <c r="J1776" s="11">
        <v>8.9294155814000007</v>
      </c>
      <c r="K1776" s="10">
        <v>0.92643271001399996</v>
      </c>
      <c r="L1776" s="12">
        <v>4568013549.4499998</v>
      </c>
      <c r="M1776">
        <v>19.244721450942301</v>
      </c>
      <c r="N1776" s="7">
        <v>1.9413029333121601</v>
      </c>
      <c r="O1776" s="7">
        <v>1.57199693848789</v>
      </c>
      <c r="P1776" s="7">
        <v>20.107113711265502</v>
      </c>
      <c r="Q1776" s="7">
        <v>1.6442451420029895</v>
      </c>
      <c r="U1776">
        <v>0.73052331247192748</v>
      </c>
      <c r="AT1776" s="4" t="s">
        <v>6657</v>
      </c>
    </row>
    <row r="1777" spans="1:46">
      <c r="A1777" s="2">
        <v>1024</v>
      </c>
      <c r="B1777" t="s">
        <v>6658</v>
      </c>
      <c r="C1777" t="s">
        <v>2174</v>
      </c>
      <c r="D1777" t="s">
        <v>3752</v>
      </c>
      <c r="E1777" s="4">
        <v>43465</v>
      </c>
      <c r="F1777" s="11">
        <v>-29.112662010000001</v>
      </c>
      <c r="G1777" s="11">
        <v>9.0769230800000003</v>
      </c>
      <c r="H1777" s="11">
        <v>-19.952480150900001</v>
      </c>
      <c r="I1777" s="11">
        <v>24.336018353699998</v>
      </c>
      <c r="J1777" s="11">
        <v>-59.062776285299996</v>
      </c>
      <c r="K1777" s="10">
        <v>0.39194034449999998</v>
      </c>
      <c r="L1777" s="12">
        <v>11160896049.450001</v>
      </c>
      <c r="M1777">
        <v>-26.055200100385498</v>
      </c>
      <c r="N1777" s="7">
        <v>1.5486290527361599</v>
      </c>
      <c r="O1777" s="7">
        <v>1.30309205009896</v>
      </c>
      <c r="P1777" s="7">
        <v>-8.5112923518502797</v>
      </c>
      <c r="Q1777" s="7" t="s">
        <v>3698</v>
      </c>
      <c r="U1777">
        <v>-2.5727333867025353</v>
      </c>
      <c r="AT1777" s="4" t="s">
        <v>5431</v>
      </c>
    </row>
    <row r="1778" spans="1:46">
      <c r="A1778" s="2">
        <v>3058</v>
      </c>
      <c r="B1778" t="s">
        <v>6659</v>
      </c>
      <c r="C1778" t="s">
        <v>3284</v>
      </c>
      <c r="D1778" t="s">
        <v>3761</v>
      </c>
      <c r="E1778" s="4">
        <v>43465</v>
      </c>
      <c r="F1778" s="11">
        <v>-25.041857</v>
      </c>
      <c r="G1778" s="11">
        <v>9.0373280900000008</v>
      </c>
      <c r="H1778" s="11">
        <v>10.8810498456</v>
      </c>
      <c r="I1778" s="11">
        <v>42.570480729800003</v>
      </c>
      <c r="J1778" s="11">
        <v>5.6909596511</v>
      </c>
      <c r="K1778" s="10">
        <v>0.63368209619299998</v>
      </c>
      <c r="L1778" s="12">
        <v>3691761024</v>
      </c>
      <c r="M1778">
        <v>18.469823622176602</v>
      </c>
      <c r="N1778" s="7">
        <v>1.05388323074871</v>
      </c>
      <c r="O1778" s="7">
        <v>1.2361962907897901</v>
      </c>
      <c r="P1778" s="7">
        <v>-428.43531738075399</v>
      </c>
      <c r="Q1778" s="7">
        <v>3.2541133455210236</v>
      </c>
      <c r="U1778">
        <v>0.26685270376992815</v>
      </c>
      <c r="AT1778" s="4" t="s">
        <v>4196</v>
      </c>
    </row>
    <row r="1779" spans="1:46">
      <c r="A1779" s="2">
        <v>1860</v>
      </c>
      <c r="B1779" t="s">
        <v>6660</v>
      </c>
      <c r="C1779" t="s">
        <v>998</v>
      </c>
      <c r="D1779" t="s">
        <v>3718</v>
      </c>
      <c r="E1779" s="4">
        <v>43465</v>
      </c>
      <c r="F1779" s="11">
        <v>-32.231285649999997</v>
      </c>
      <c r="G1779" s="11">
        <v>9.0355329900000001</v>
      </c>
      <c r="H1779" s="11">
        <v>22.478777642099999</v>
      </c>
      <c r="I1779" s="11">
        <v>25.428235644600001</v>
      </c>
      <c r="J1779" s="11">
        <v>10.8488379654</v>
      </c>
      <c r="K1779" s="10">
        <v>0.43605300654700002</v>
      </c>
      <c r="L1779" s="12">
        <v>2444219192</v>
      </c>
      <c r="M1779">
        <v>45.528711701500299</v>
      </c>
      <c r="N1779" s="7">
        <v>3.0208467166899999</v>
      </c>
      <c r="O1779" s="7">
        <v>4.1632755578007803</v>
      </c>
      <c r="P1779" s="7">
        <v>-18.6415275314849</v>
      </c>
      <c r="Q1779" s="7">
        <v>0.33161191736008211</v>
      </c>
      <c r="U1779">
        <v>0.27104975786672653</v>
      </c>
      <c r="AT1779" s="4" t="s">
        <v>5588</v>
      </c>
    </row>
    <row r="1780" spans="1:46">
      <c r="A1780" s="2">
        <v>973</v>
      </c>
      <c r="B1780" t="s">
        <v>6661</v>
      </c>
      <c r="C1780" t="s">
        <v>512</v>
      </c>
      <c r="D1780" t="s">
        <v>3737</v>
      </c>
      <c r="E1780" s="4">
        <v>43465</v>
      </c>
      <c r="F1780" s="11">
        <v>-37.348054329999997</v>
      </c>
      <c r="G1780" s="11">
        <v>8.9965397899999999</v>
      </c>
      <c r="H1780" s="11">
        <v>26.1325370922</v>
      </c>
      <c r="I1780" s="11">
        <v>10.2316696269</v>
      </c>
      <c r="J1780" s="11">
        <v>3.1771481351999999</v>
      </c>
      <c r="K1780" s="10">
        <v>1.7910679228999999</v>
      </c>
      <c r="L1780" s="12">
        <v>6094815268.6999998</v>
      </c>
      <c r="M1780">
        <v>11.5195630886319</v>
      </c>
      <c r="N1780" s="7">
        <v>1.9659160924529899</v>
      </c>
      <c r="O1780" s="7">
        <v>0.21070458725597699</v>
      </c>
      <c r="P1780" s="7">
        <v>-81.470509294333894</v>
      </c>
      <c r="Q1780" s="7">
        <v>0.80264322307475466</v>
      </c>
      <c r="U1780">
        <v>1.3077797253354404</v>
      </c>
      <c r="AT1780" s="4" t="s">
        <v>3774</v>
      </c>
    </row>
    <row r="1781" spans="1:46">
      <c r="A1781" s="2">
        <v>2871</v>
      </c>
      <c r="B1781" t="s">
        <v>6662</v>
      </c>
      <c r="C1781" t="s">
        <v>2348</v>
      </c>
      <c r="D1781" t="s">
        <v>3972</v>
      </c>
      <c r="E1781" s="4">
        <v>43465</v>
      </c>
      <c r="F1781" s="11">
        <v>-27.449472650000001</v>
      </c>
      <c r="G1781" s="11">
        <v>8.9783281699999993</v>
      </c>
      <c r="H1781" s="11">
        <v>20.2618260466</v>
      </c>
      <c r="I1781" s="11">
        <v>26.001800062200001</v>
      </c>
      <c r="J1781" s="11">
        <v>14.572285109099999</v>
      </c>
      <c r="K1781" s="10">
        <v>0.37395413065799998</v>
      </c>
      <c r="L1781" s="12">
        <v>26175908077.970001</v>
      </c>
      <c r="M1781">
        <v>23.733297117131599</v>
      </c>
      <c r="N1781" s="7">
        <v>1.1317545908938</v>
      </c>
      <c r="O1781" s="7">
        <v>2.07178767630286</v>
      </c>
      <c r="P1781" s="7">
        <v>25.830032072195301</v>
      </c>
      <c r="Q1781" s="7">
        <v>1.7647058823529411</v>
      </c>
      <c r="U1781">
        <v>0.19529286171474222</v>
      </c>
      <c r="AT1781" s="4" t="s">
        <v>6663</v>
      </c>
    </row>
    <row r="1782" spans="1:46">
      <c r="A1782" s="2">
        <v>2564</v>
      </c>
      <c r="B1782" t="s">
        <v>6664</v>
      </c>
      <c r="C1782" t="s">
        <v>3288</v>
      </c>
      <c r="D1782" t="s">
        <v>3769</v>
      </c>
      <c r="E1782" s="4">
        <v>43465</v>
      </c>
      <c r="F1782" s="11">
        <v>-40.379403789999998</v>
      </c>
      <c r="G1782" s="11">
        <v>8.9743589700000008</v>
      </c>
      <c r="H1782" s="11">
        <v>20.9304279409</v>
      </c>
      <c r="I1782" s="11">
        <v>17.605808016299999</v>
      </c>
      <c r="J1782" s="11">
        <v>0.28091469000000002</v>
      </c>
      <c r="K1782" s="10">
        <v>0.28922888333300001</v>
      </c>
      <c r="L1782" s="12">
        <v>4782264347.1400003</v>
      </c>
      <c r="M1782">
        <v>-134.24647118702001</v>
      </c>
      <c r="N1782" s="7">
        <v>2.7320354211868798</v>
      </c>
      <c r="O1782" s="7">
        <v>3.3803676666957401</v>
      </c>
      <c r="P1782" s="7">
        <v>14.5252845264152</v>
      </c>
      <c r="Q1782" s="7" t="s">
        <v>3698</v>
      </c>
      <c r="U1782">
        <v>1.4779139870819269E-2</v>
      </c>
      <c r="AT1782" s="4" t="s">
        <v>6665</v>
      </c>
    </row>
    <row r="1783" spans="1:46">
      <c r="A1783" s="2">
        <v>1462</v>
      </c>
      <c r="B1783" t="s">
        <v>6666</v>
      </c>
      <c r="C1783" t="s">
        <v>2518</v>
      </c>
      <c r="D1783" t="s">
        <v>3713</v>
      </c>
      <c r="E1783" s="4">
        <v>43465</v>
      </c>
      <c r="F1783" s="11">
        <v>30.282294019999998</v>
      </c>
      <c r="G1783" s="11">
        <v>8.9470812899999999</v>
      </c>
      <c r="H1783" s="11">
        <v>21.446516945199999</v>
      </c>
      <c r="I1783" s="11">
        <v>55.072030438699997</v>
      </c>
      <c r="J1783" s="11">
        <v>10.291458221699999</v>
      </c>
      <c r="K1783" s="10">
        <v>0.55672892546300001</v>
      </c>
      <c r="L1783" s="12">
        <v>3429605539.1999998</v>
      </c>
      <c r="M1783">
        <v>40.485625520135201</v>
      </c>
      <c r="N1783" s="7">
        <v>6.7108446650215203</v>
      </c>
      <c r="O1783" s="7">
        <v>5.6905293403367398</v>
      </c>
      <c r="P1783" s="7">
        <v>-299.51616751937098</v>
      </c>
      <c r="Q1783" s="7">
        <v>0.41118421052631576</v>
      </c>
      <c r="U1783">
        <v>0.37285541624396268</v>
      </c>
      <c r="AT1783" s="4" t="s">
        <v>3791</v>
      </c>
    </row>
    <row r="1784" spans="1:46">
      <c r="A1784" s="2">
        <v>1757</v>
      </c>
      <c r="B1784" t="s">
        <v>6667</v>
      </c>
      <c r="C1784" t="s">
        <v>3286</v>
      </c>
      <c r="D1784" t="s">
        <v>3764</v>
      </c>
      <c r="E1784" s="4">
        <v>43465</v>
      </c>
      <c r="F1784" s="11">
        <v>-37.579757540000003</v>
      </c>
      <c r="G1784" s="11">
        <v>8.9430894300000006</v>
      </c>
      <c r="H1784" s="11">
        <v>-0.48840322860000002</v>
      </c>
      <c r="I1784" s="11">
        <v>23.359169717</v>
      </c>
      <c r="J1784" s="11">
        <v>0.98434520280000004</v>
      </c>
      <c r="K1784" s="10">
        <v>0.23952961479400001</v>
      </c>
      <c r="L1784" s="12">
        <v>3895720000</v>
      </c>
      <c r="M1784">
        <v>85.5730747336289</v>
      </c>
      <c r="N1784" s="7">
        <v>1.40682303601421</v>
      </c>
      <c r="O1784" s="7">
        <v>1.62520392523299</v>
      </c>
      <c r="P1784" s="7">
        <v>-17.9267345537293</v>
      </c>
      <c r="Q1784" s="7">
        <v>0.53475935828877008</v>
      </c>
      <c r="U1784">
        <v>9.5882124798062712E-2</v>
      </c>
      <c r="AT1784" s="4" t="s">
        <v>4115</v>
      </c>
    </row>
    <row r="1785" spans="1:46">
      <c r="A1785" s="2">
        <v>2320</v>
      </c>
      <c r="B1785" t="s">
        <v>6668</v>
      </c>
      <c r="C1785" t="s">
        <v>1038</v>
      </c>
      <c r="D1785" t="s">
        <v>3752</v>
      </c>
      <c r="E1785" s="4">
        <v>43465</v>
      </c>
      <c r="F1785" s="11">
        <v>-31.51715664</v>
      </c>
      <c r="G1785" s="11">
        <v>8.9249492900000007</v>
      </c>
      <c r="H1785" s="11">
        <v>-2.5565481628</v>
      </c>
      <c r="I1785" s="11">
        <v>16.590901218399999</v>
      </c>
      <c r="J1785" s="11">
        <v>5.4678073474</v>
      </c>
      <c r="K1785" s="10">
        <v>1.228070274649</v>
      </c>
      <c r="L1785" s="12">
        <v>4874740621.9200001</v>
      </c>
      <c r="M1785">
        <v>53.364028452108201</v>
      </c>
      <c r="N1785" s="7">
        <v>5.5006859548783797</v>
      </c>
      <c r="O1785" s="7">
        <v>1.4856148463622101</v>
      </c>
      <c r="P1785" s="7">
        <v>48.099152659611903</v>
      </c>
      <c r="Q1785" s="7">
        <v>0.52185257664709717</v>
      </c>
      <c r="U1785">
        <v>0.26130277902941179</v>
      </c>
      <c r="AT1785" s="4" t="s">
        <v>6669</v>
      </c>
    </row>
    <row r="1786" spans="1:46">
      <c r="A1786" s="2">
        <v>1570</v>
      </c>
      <c r="B1786" t="s">
        <v>6670</v>
      </c>
      <c r="C1786" t="s">
        <v>999</v>
      </c>
      <c r="D1786" t="s">
        <v>3718</v>
      </c>
      <c r="E1786" s="4">
        <v>43465</v>
      </c>
      <c r="F1786" s="11">
        <v>-53.236544430000002</v>
      </c>
      <c r="G1786" s="11">
        <v>8.9230769199999997</v>
      </c>
      <c r="H1786" s="11">
        <v>14.3633913017</v>
      </c>
      <c r="I1786" s="11">
        <v>38.564075021800001</v>
      </c>
      <c r="J1786" s="11">
        <v>10.273310304500001</v>
      </c>
      <c r="K1786" s="10">
        <v>0.44183116056900001</v>
      </c>
      <c r="L1786" s="12">
        <v>74135339384.399994</v>
      </c>
      <c r="M1786">
        <v>10.750190301396</v>
      </c>
      <c r="N1786" s="7">
        <v>3.3459774892008598</v>
      </c>
      <c r="O1786" s="7">
        <v>1.4314923381892699</v>
      </c>
      <c r="P1786" s="7">
        <v>25.0833974606326</v>
      </c>
      <c r="Q1786" s="7" t="s">
        <v>3698</v>
      </c>
      <c r="U1786">
        <v>0.22368091501327522</v>
      </c>
      <c r="AT1786" s="4" t="s">
        <v>4906</v>
      </c>
    </row>
    <row r="1787" spans="1:46">
      <c r="A1787" s="2">
        <v>2681</v>
      </c>
      <c r="B1787" t="s">
        <v>6671</v>
      </c>
      <c r="C1787" t="s">
        <v>3499</v>
      </c>
      <c r="D1787" t="s">
        <v>3842</v>
      </c>
      <c r="E1787" s="4">
        <v>43465</v>
      </c>
      <c r="F1787" s="11">
        <v>-42.676767679999998</v>
      </c>
      <c r="G1787" s="11">
        <v>8.9156626499999998</v>
      </c>
      <c r="H1787" s="11">
        <v>113.5596985494</v>
      </c>
      <c r="I1787" s="11">
        <v>0.98483144300000003</v>
      </c>
      <c r="J1787" s="11">
        <v>-0.25937601069999999</v>
      </c>
      <c r="K1787" s="10">
        <v>5.5425994151599998</v>
      </c>
      <c r="L1787" s="12">
        <v>4542248588.8000002</v>
      </c>
      <c r="M1787">
        <v>-101.14865813035701</v>
      </c>
      <c r="N1787" s="7">
        <v>24.250210465852099</v>
      </c>
      <c r="O1787" s="7">
        <v>1.4160974873838399</v>
      </c>
      <c r="P1787" s="7">
        <v>-41.301929218763199</v>
      </c>
      <c r="Q1787" s="7" t="s">
        <v>3698</v>
      </c>
      <c r="U1787">
        <v>-7.6820828319608316E-3</v>
      </c>
      <c r="AT1787" s="4" t="s">
        <v>5079</v>
      </c>
    </row>
    <row r="1788" spans="1:46">
      <c r="A1788" s="2">
        <v>2988</v>
      </c>
      <c r="B1788" t="s">
        <v>6672</v>
      </c>
      <c r="C1788" t="s">
        <v>3224</v>
      </c>
      <c r="D1788" t="s">
        <v>3769</v>
      </c>
      <c r="E1788" s="4">
        <v>43465</v>
      </c>
      <c r="F1788" s="11">
        <v>-2.5791324699999998</v>
      </c>
      <c r="G1788" s="11">
        <v>8.8977423600000005</v>
      </c>
      <c r="H1788" s="11">
        <v>-5.7143535751999996</v>
      </c>
      <c r="I1788" s="11">
        <v>-2.5348003066999998</v>
      </c>
      <c r="J1788" s="11">
        <v>-12.5443176472</v>
      </c>
      <c r="K1788" s="10">
        <v>2.211823309023</v>
      </c>
      <c r="L1788" s="12">
        <v>18334842448</v>
      </c>
      <c r="M1788">
        <v>-5.7263615779328196</v>
      </c>
      <c r="N1788" s="7">
        <v>-2.7404666188795699</v>
      </c>
      <c r="O1788" s="7">
        <v>0.31362673631854199</v>
      </c>
      <c r="P1788" s="7">
        <v>-25.940060033962901</v>
      </c>
      <c r="Q1788" s="7" t="s">
        <v>3698</v>
      </c>
      <c r="U1788">
        <v>-3.0937419858866693</v>
      </c>
      <c r="AT1788" s="4" t="s">
        <v>6673</v>
      </c>
    </row>
    <row r="1789" spans="1:46">
      <c r="A1789" s="2">
        <v>392</v>
      </c>
      <c r="B1789" t="s">
        <v>6674</v>
      </c>
      <c r="C1789" t="s">
        <v>2427</v>
      </c>
      <c r="D1789" t="s">
        <v>3871</v>
      </c>
      <c r="E1789" s="4">
        <v>43465</v>
      </c>
      <c r="F1789" s="11">
        <v>-44.305755840000003</v>
      </c>
      <c r="G1789" s="11">
        <v>8.8737201399999996</v>
      </c>
      <c r="H1789" s="11">
        <v>68.999207944600002</v>
      </c>
      <c r="I1789" s="11">
        <v>30.199278393099998</v>
      </c>
      <c r="J1789" s="11">
        <v>1.6958124724999999</v>
      </c>
      <c r="K1789" s="10">
        <v>0.28902507104800002</v>
      </c>
      <c r="L1789" s="12">
        <v>2179448000</v>
      </c>
      <c r="M1789">
        <v>44.241399030806498</v>
      </c>
      <c r="N1789" s="7">
        <v>1.7099517762392999</v>
      </c>
      <c r="O1789" s="7">
        <v>1.6022332422308001</v>
      </c>
      <c r="P1789" s="7">
        <v>-4.2374413502631096</v>
      </c>
      <c r="Q1789" s="7">
        <v>0.6885245901639343</v>
      </c>
      <c r="U1789">
        <v>0.10334127664742895</v>
      </c>
      <c r="AT1789" s="4" t="s">
        <v>3755</v>
      </c>
    </row>
    <row r="1790" spans="1:46">
      <c r="A1790" s="2">
        <v>2371</v>
      </c>
      <c r="B1790" t="s">
        <v>6675</v>
      </c>
      <c r="C1790" t="s">
        <v>2913</v>
      </c>
      <c r="D1790" t="s">
        <v>3721</v>
      </c>
      <c r="E1790" s="4">
        <v>43465</v>
      </c>
      <c r="F1790" s="11">
        <v>-34.572490709999997</v>
      </c>
      <c r="G1790" s="11">
        <v>8.8145896700000002</v>
      </c>
      <c r="H1790" s="11">
        <v>8.8541878486000005</v>
      </c>
      <c r="I1790" s="11">
        <v>18.324845930999999</v>
      </c>
      <c r="J1790" s="11">
        <v>1.1761379246000001</v>
      </c>
      <c r="K1790" s="10">
        <v>0.45171416266100001</v>
      </c>
      <c r="L1790" s="12">
        <v>5665523002.1099997</v>
      </c>
      <c r="M1790">
        <v>-81.939920926992798</v>
      </c>
      <c r="N1790" s="7">
        <v>1.4913907306476</v>
      </c>
      <c r="O1790" s="7">
        <v>2.1412282437824302</v>
      </c>
      <c r="P1790" s="7">
        <v>-52.609176209842801</v>
      </c>
      <c r="Q1790" s="7" t="s">
        <v>3698</v>
      </c>
      <c r="U1790">
        <v>1.6886294586066136E-2</v>
      </c>
      <c r="AT1790" s="4" t="s">
        <v>6676</v>
      </c>
    </row>
    <row r="1791" spans="1:46">
      <c r="A1791" s="2">
        <v>715</v>
      </c>
      <c r="B1791" t="s">
        <v>6677</v>
      </c>
      <c r="C1791" t="s">
        <v>3380</v>
      </c>
      <c r="D1791" t="s">
        <v>3718</v>
      </c>
      <c r="E1791" s="4">
        <v>43465</v>
      </c>
      <c r="F1791" s="11">
        <v>-24.90164979</v>
      </c>
      <c r="G1791" s="11">
        <v>8.7837837800000003</v>
      </c>
      <c r="H1791" s="11">
        <v>2.1415620927000001</v>
      </c>
      <c r="I1791" s="11">
        <v>19.844903947999999</v>
      </c>
      <c r="J1791" s="11">
        <v>3.5222504299999999E-2</v>
      </c>
      <c r="K1791" s="10">
        <v>0.427268886056</v>
      </c>
      <c r="L1791" s="12">
        <v>10656580833.360001</v>
      </c>
      <c r="M1791">
        <v>-29.609809335955401</v>
      </c>
      <c r="N1791" s="7">
        <v>0.86728877443961205</v>
      </c>
      <c r="O1791" s="7">
        <v>0.896046445030101</v>
      </c>
      <c r="P1791" s="7">
        <v>-29.794313020010399</v>
      </c>
      <c r="Q1791" s="7">
        <v>0.80906148867313932</v>
      </c>
      <c r="U1791">
        <v>7.9698980697449281E-3</v>
      </c>
      <c r="AT1791" s="4" t="s">
        <v>5377</v>
      </c>
    </row>
    <row r="1792" spans="1:46">
      <c r="A1792" s="2">
        <v>2343</v>
      </c>
      <c r="B1792" t="s">
        <v>6678</v>
      </c>
      <c r="C1792" t="s">
        <v>3308</v>
      </c>
      <c r="D1792" t="s">
        <v>4119</v>
      </c>
      <c r="E1792" s="4">
        <v>43465</v>
      </c>
      <c r="F1792" s="11">
        <v>-31.019202360000001</v>
      </c>
      <c r="G1792" s="11">
        <v>8.7557603700000008</v>
      </c>
      <c r="H1792" s="11">
        <v>7.5610334978999996</v>
      </c>
      <c r="I1792" s="11">
        <v>6.3184658774000004</v>
      </c>
      <c r="J1792" s="11">
        <v>-15.3643417301</v>
      </c>
      <c r="K1792" s="10">
        <v>0.99228597272200003</v>
      </c>
      <c r="L1792" s="12">
        <v>2418013436.5799999</v>
      </c>
      <c r="M1792">
        <v>-158.07310721588701</v>
      </c>
      <c r="N1792" s="7">
        <v>2.3852545432809502</v>
      </c>
      <c r="O1792" s="7">
        <v>1.7198982039017701</v>
      </c>
      <c r="P1792" s="7">
        <v>794.73993666099602</v>
      </c>
      <c r="Q1792" s="7" t="s">
        <v>3698</v>
      </c>
      <c r="U1792">
        <v>-0.38539157072919228</v>
      </c>
      <c r="AT1792" s="4" t="s">
        <v>6679</v>
      </c>
    </row>
    <row r="1793" spans="1:46">
      <c r="A1793" s="2">
        <v>510</v>
      </c>
      <c r="B1793" t="s">
        <v>6680</v>
      </c>
      <c r="C1793" t="s">
        <v>1365</v>
      </c>
      <c r="D1793" t="s">
        <v>3972</v>
      </c>
      <c r="E1793" s="4">
        <v>43465</v>
      </c>
      <c r="F1793" s="11">
        <v>-33.022398449999997</v>
      </c>
      <c r="G1793" s="11">
        <v>8.7173100899999998</v>
      </c>
      <c r="H1793" s="11">
        <v>26.563659192199999</v>
      </c>
      <c r="I1793" s="11">
        <v>44.931799731700004</v>
      </c>
      <c r="J1793" s="11">
        <v>64.6668323902</v>
      </c>
      <c r="K1793" s="10">
        <v>9.0574546564999997E-2</v>
      </c>
      <c r="L1793" s="12">
        <v>4504972880</v>
      </c>
      <c r="M1793">
        <v>13.8857333561179</v>
      </c>
      <c r="N1793" s="7">
        <v>1.09124828369541</v>
      </c>
      <c r="O1793" s="7">
        <v>8.0958661995134005</v>
      </c>
      <c r="P1793" s="7">
        <v>-46.3473666652445</v>
      </c>
      <c r="Q1793" s="7">
        <v>3.1474591894114181</v>
      </c>
      <c r="U1793">
        <v>0.63287845992624814</v>
      </c>
      <c r="AT1793" s="4" t="s">
        <v>4264</v>
      </c>
    </row>
    <row r="1794" spans="1:46">
      <c r="A1794" s="2">
        <v>3142</v>
      </c>
      <c r="B1794" t="s">
        <v>6681</v>
      </c>
      <c r="C1794" t="s">
        <v>691</v>
      </c>
      <c r="D1794" t="s">
        <v>3778</v>
      </c>
      <c r="E1794" s="4">
        <v>43465</v>
      </c>
      <c r="F1794" s="11">
        <v>-32.101954720000002</v>
      </c>
      <c r="G1794" s="11">
        <v>8.7087087099999998</v>
      </c>
      <c r="H1794" s="11">
        <v>6.7790075837000003</v>
      </c>
      <c r="I1794" s="11">
        <v>40.148649515400002</v>
      </c>
      <c r="J1794" s="11">
        <v>7.7223735377000002</v>
      </c>
      <c r="K1794" s="10">
        <v>0.38165601967099999</v>
      </c>
      <c r="L1794" s="12">
        <v>4069989368</v>
      </c>
      <c r="M1794">
        <v>6.4414972068605696</v>
      </c>
      <c r="N1794" s="7">
        <v>0.83355682750395499</v>
      </c>
      <c r="O1794" s="7">
        <v>0.83334648844005399</v>
      </c>
      <c r="P1794" s="7">
        <v>4.3177545609437198</v>
      </c>
      <c r="Q1794" s="7">
        <v>3.8728323699421967</v>
      </c>
      <c r="U1794">
        <v>0.89020161619145921</v>
      </c>
      <c r="AT1794" s="4" t="s">
        <v>6682</v>
      </c>
    </row>
    <row r="1795" spans="1:46">
      <c r="A1795" s="2">
        <v>1107</v>
      </c>
      <c r="B1795" t="s">
        <v>6683</v>
      </c>
      <c r="C1795" t="s">
        <v>1989</v>
      </c>
      <c r="D1795" t="s">
        <v>3998</v>
      </c>
      <c r="E1795" s="4">
        <v>43465</v>
      </c>
      <c r="F1795" s="11">
        <v>-42.623702209999998</v>
      </c>
      <c r="G1795" s="11">
        <v>8.6811352300000006</v>
      </c>
      <c r="H1795" s="11">
        <v>8.4595722066000008</v>
      </c>
      <c r="I1795" s="11">
        <v>22.798367404299999</v>
      </c>
      <c r="J1795" s="11">
        <v>3.9530902390999998</v>
      </c>
      <c r="K1795" s="10">
        <v>0.54050307372899997</v>
      </c>
      <c r="L1795" s="12">
        <v>4678982204.8000002</v>
      </c>
      <c r="M1795">
        <v>37.710004852566399</v>
      </c>
      <c r="N1795" s="7">
        <v>3.6705768659220501</v>
      </c>
      <c r="O1795" s="7">
        <v>2.0387870716567802</v>
      </c>
      <c r="P1795" s="7">
        <v>-55.751966755804098</v>
      </c>
      <c r="Q1795" s="7">
        <v>0.15672574486114535</v>
      </c>
      <c r="U1795">
        <v>0.11407129995209445</v>
      </c>
      <c r="AT1795" s="4" t="s">
        <v>5075</v>
      </c>
    </row>
    <row r="1796" spans="1:46">
      <c r="A1796" s="2">
        <v>2040</v>
      </c>
      <c r="B1796" t="s">
        <v>6684</v>
      </c>
      <c r="C1796" t="s">
        <v>385</v>
      </c>
      <c r="D1796" t="s">
        <v>3858</v>
      </c>
      <c r="E1796" s="4">
        <v>43465</v>
      </c>
      <c r="F1796" s="11">
        <v>-19.431570529999998</v>
      </c>
      <c r="G1796" s="11">
        <v>8.6458333300000003</v>
      </c>
      <c r="H1796" s="11">
        <v>22.308409074299998</v>
      </c>
      <c r="I1796" s="11">
        <v>12.6460572109</v>
      </c>
      <c r="J1796" s="11">
        <v>2.8029457511000002</v>
      </c>
      <c r="K1796" s="10">
        <v>1.0632112251920001</v>
      </c>
      <c r="L1796" s="12">
        <v>4295261755.5600004</v>
      </c>
      <c r="M1796">
        <v>21.716632266974099</v>
      </c>
      <c r="N1796" s="7">
        <v>2.47278437114658</v>
      </c>
      <c r="O1796" s="7">
        <v>0.85927046190188605</v>
      </c>
      <c r="P1796" s="7">
        <v>13.9773296500858</v>
      </c>
      <c r="Q1796" s="7">
        <v>0.79286422200198214</v>
      </c>
      <c r="U1796">
        <v>0.32992935900787357</v>
      </c>
      <c r="AT1796" s="4" t="s">
        <v>6685</v>
      </c>
    </row>
    <row r="1797" spans="1:46">
      <c r="A1797" s="2">
        <v>3337</v>
      </c>
      <c r="B1797" t="s">
        <v>6686</v>
      </c>
      <c r="C1797" t="s">
        <v>1598</v>
      </c>
      <c r="D1797" t="s">
        <v>3849</v>
      </c>
      <c r="E1797" s="4">
        <v>43465</v>
      </c>
      <c r="F1797" s="11">
        <v>-58.634566939999999</v>
      </c>
      <c r="G1797" s="11">
        <v>8.6350974899999997</v>
      </c>
      <c r="H1797" s="11">
        <v>12.136212197300001</v>
      </c>
      <c r="I1797" s="11">
        <v>26.169398857299999</v>
      </c>
      <c r="J1797" s="11">
        <v>6.2012718743999997</v>
      </c>
      <c r="K1797" s="10">
        <v>0.59247296737099997</v>
      </c>
      <c r="L1797" s="12">
        <v>7274438098.3999996</v>
      </c>
      <c r="M1797">
        <v>52.3612979143128</v>
      </c>
      <c r="N1797" s="7">
        <v>2.9089206835813002</v>
      </c>
      <c r="O1797" s="7">
        <v>3.6252073070815198</v>
      </c>
      <c r="P1797" s="7">
        <v>459.593094066395</v>
      </c>
      <c r="Q1797" s="7">
        <v>0.53408292340126495</v>
      </c>
      <c r="U1797">
        <v>0.25077984740451426</v>
      </c>
      <c r="AT1797" s="4" t="s">
        <v>5091</v>
      </c>
    </row>
    <row r="1798" spans="1:46">
      <c r="A1798" s="2">
        <v>3071</v>
      </c>
      <c r="B1798" t="s">
        <v>6687</v>
      </c>
      <c r="C1798" t="s">
        <v>2316</v>
      </c>
      <c r="D1798" t="s">
        <v>3761</v>
      </c>
      <c r="E1798" s="4">
        <v>43465</v>
      </c>
      <c r="F1798" s="11">
        <v>-14.901243729999999</v>
      </c>
      <c r="G1798" s="11">
        <v>8.6309523800000001</v>
      </c>
      <c r="H1798" s="11">
        <v>-3.2252375619999998</v>
      </c>
      <c r="I1798" s="11">
        <v>24.547791362200002</v>
      </c>
      <c r="J1798" s="11">
        <v>3.9357590077000002</v>
      </c>
      <c r="K1798" s="10">
        <v>0.40760820196500003</v>
      </c>
      <c r="L1798" s="12">
        <v>8959279724.3099995</v>
      </c>
      <c r="M1798">
        <v>51.049171735279799</v>
      </c>
      <c r="N1798" s="7">
        <v>0.87704304904657804</v>
      </c>
      <c r="O1798" s="7">
        <v>1.2467125041331999</v>
      </c>
      <c r="P1798" s="7">
        <v>-7.6568486721944797</v>
      </c>
      <c r="Q1798" s="7">
        <v>0.9577464788732396</v>
      </c>
      <c r="U1798">
        <v>0.11104475838738484</v>
      </c>
      <c r="AT1798" s="4" t="s">
        <v>5762</v>
      </c>
    </row>
    <row r="1799" spans="1:46">
      <c r="A1799" s="2">
        <v>505</v>
      </c>
      <c r="B1799" t="s">
        <v>6688</v>
      </c>
      <c r="C1799" t="s">
        <v>496</v>
      </c>
      <c r="D1799" t="s">
        <v>3713</v>
      </c>
      <c r="E1799" s="4">
        <v>43465</v>
      </c>
      <c r="F1799" s="11">
        <v>-9.3918274799999999</v>
      </c>
      <c r="G1799" s="11">
        <v>8.6065573799999999</v>
      </c>
      <c r="H1799" s="11">
        <v>18.612112050499999</v>
      </c>
      <c r="I1799" s="11">
        <v>29.194749285099999</v>
      </c>
      <c r="J1799" s="11">
        <v>10.5177091546</v>
      </c>
      <c r="K1799" s="10">
        <v>0.60580451173500005</v>
      </c>
      <c r="L1799" s="12">
        <v>3582417496.1300001</v>
      </c>
      <c r="M1799">
        <v>28.504544450394</v>
      </c>
      <c r="N1799" s="7">
        <v>3.24939489635462</v>
      </c>
      <c r="O1799" s="7">
        <v>2.7741617340647502</v>
      </c>
      <c r="P1799" s="7">
        <v>211.061879179957</v>
      </c>
      <c r="Q1799" s="7">
        <v>2.0070830272663565</v>
      </c>
      <c r="U1799">
        <v>0.56107908606285783</v>
      </c>
      <c r="AT1799" s="4" t="s">
        <v>6689</v>
      </c>
    </row>
    <row r="1800" spans="1:46">
      <c r="A1800" s="2">
        <v>3023</v>
      </c>
      <c r="B1800" t="s">
        <v>6690</v>
      </c>
      <c r="C1800" t="s">
        <v>2378</v>
      </c>
      <c r="D1800" t="s">
        <v>3718</v>
      </c>
      <c r="E1800" s="4">
        <v>43465</v>
      </c>
      <c r="F1800" s="11">
        <v>-44.382468039999999</v>
      </c>
      <c r="G1800" s="11">
        <v>8.5981308399999996</v>
      </c>
      <c r="H1800" s="11">
        <v>17.000608906899998</v>
      </c>
      <c r="I1800" s="11">
        <v>20.893694666799998</v>
      </c>
      <c r="J1800" s="11">
        <v>5.5428655171000001</v>
      </c>
      <c r="K1800" s="10">
        <v>0.755370253248</v>
      </c>
      <c r="L1800" s="12">
        <v>5514800000</v>
      </c>
      <c r="M1800">
        <v>34.237950601598698</v>
      </c>
      <c r="N1800" s="7">
        <v>1.65166643208794</v>
      </c>
      <c r="O1800" s="7">
        <v>1.2835195535280901</v>
      </c>
      <c r="P1800" s="7">
        <v>31.2278165985947</v>
      </c>
      <c r="Q1800" s="7" t="s">
        <v>3698</v>
      </c>
      <c r="U1800">
        <v>0.22429337284436537</v>
      </c>
      <c r="AT1800" s="4" t="s">
        <v>4503</v>
      </c>
    </row>
    <row r="1801" spans="1:46">
      <c r="A1801" s="2">
        <v>1358</v>
      </c>
      <c r="B1801" t="s">
        <v>6691</v>
      </c>
      <c r="C1801" t="s">
        <v>3422</v>
      </c>
      <c r="D1801" t="s">
        <v>3889</v>
      </c>
      <c r="E1801" s="4">
        <v>43465</v>
      </c>
      <c r="F1801" s="11">
        <v>-22.11412004</v>
      </c>
      <c r="G1801" s="11">
        <v>8.5818181800000009</v>
      </c>
      <c r="H1801" s="11">
        <v>32.869198791899997</v>
      </c>
      <c r="I1801" s="11">
        <v>28.6932028063</v>
      </c>
      <c r="J1801" s="11">
        <v>11.2297559743</v>
      </c>
      <c r="K1801" s="10">
        <v>0.70412169553199999</v>
      </c>
      <c r="L1801" s="12">
        <v>6674330678.9200001</v>
      </c>
      <c r="M1801">
        <v>47.4359732745896</v>
      </c>
      <c r="N1801" s="7">
        <v>4.3094356795225703</v>
      </c>
      <c r="O1801" s="7">
        <v>4.50890474713069</v>
      </c>
      <c r="P1801" s="7">
        <v>-15.9181190184391</v>
      </c>
      <c r="Q1801" s="7">
        <v>0.21244067796610164</v>
      </c>
      <c r="U1801">
        <v>0.3033756718651045</v>
      </c>
      <c r="AT1801" s="4" t="s">
        <v>6411</v>
      </c>
    </row>
    <row r="1802" spans="1:46">
      <c r="A1802" s="2">
        <v>288</v>
      </c>
      <c r="B1802" t="s">
        <v>6692</v>
      </c>
      <c r="C1802" t="s">
        <v>2192</v>
      </c>
      <c r="D1802" t="s">
        <v>3737</v>
      </c>
      <c r="E1802" s="4">
        <v>43465</v>
      </c>
      <c r="F1802" s="11">
        <v>-18.61639765</v>
      </c>
      <c r="G1802" s="11">
        <v>8.5808580899999995</v>
      </c>
      <c r="H1802" s="11">
        <v>10.8670171621</v>
      </c>
      <c r="I1802" s="11">
        <v>20.667333511599999</v>
      </c>
      <c r="J1802" s="11">
        <v>2.5133927170999999</v>
      </c>
      <c r="K1802" s="10">
        <v>1.37030079568</v>
      </c>
      <c r="L1802" s="12">
        <v>1493030942.1400001</v>
      </c>
      <c r="M1802">
        <v>41.358795395847402</v>
      </c>
      <c r="N1802" s="7">
        <v>1.4230336430570401</v>
      </c>
      <c r="O1802" s="7">
        <v>0.73639134478384705</v>
      </c>
      <c r="P1802" s="7">
        <v>-19.894107946862501</v>
      </c>
      <c r="Q1802" s="7">
        <v>0.48231511254019288</v>
      </c>
      <c r="U1802">
        <v>0.21214955290485199</v>
      </c>
      <c r="AT1802" s="4" t="s">
        <v>6523</v>
      </c>
    </row>
    <row r="1803" spans="1:46">
      <c r="A1803" s="2">
        <v>2660</v>
      </c>
      <c r="B1803" t="s">
        <v>6693</v>
      </c>
      <c r="C1803" t="s">
        <v>2367</v>
      </c>
      <c r="D1803" t="s">
        <v>3737</v>
      </c>
      <c r="E1803" s="4">
        <v>43465</v>
      </c>
      <c r="F1803" s="11">
        <v>-14.417394</v>
      </c>
      <c r="G1803" s="11">
        <v>8.5758039799999999</v>
      </c>
      <c r="H1803" s="11">
        <v>3.0089697369000001</v>
      </c>
      <c r="I1803" s="11">
        <v>19.9951228109</v>
      </c>
      <c r="J1803" s="11">
        <v>1.1884280006000001</v>
      </c>
      <c r="K1803" s="10">
        <v>0.82917041673400005</v>
      </c>
      <c r="L1803" s="12">
        <v>4383175265.3400002</v>
      </c>
      <c r="M1803">
        <v>113.737203443037</v>
      </c>
      <c r="N1803" s="7">
        <v>1.89718392674987</v>
      </c>
      <c r="O1803" s="7">
        <v>0.52325421920995197</v>
      </c>
      <c r="P1803" s="7">
        <v>-80.070275701575099</v>
      </c>
      <c r="Q1803" s="7">
        <v>0.34695451040863523</v>
      </c>
      <c r="U1803">
        <v>5.6059461672397046E-2</v>
      </c>
      <c r="AT1803" s="4" t="s">
        <v>6694</v>
      </c>
    </row>
    <row r="1804" spans="1:46">
      <c r="A1804" s="2">
        <v>3128</v>
      </c>
      <c r="B1804" t="s">
        <v>6695</v>
      </c>
      <c r="C1804" t="s">
        <v>1883</v>
      </c>
      <c r="D1804" t="s">
        <v>3858</v>
      </c>
      <c r="E1804" s="4">
        <v>43465</v>
      </c>
      <c r="F1804" s="11">
        <v>-29.57638833</v>
      </c>
      <c r="G1804" s="11">
        <v>8.5758039799999999</v>
      </c>
      <c r="H1804" s="11">
        <v>13.2826802872</v>
      </c>
      <c r="I1804" s="11">
        <v>10.289408954800001</v>
      </c>
      <c r="J1804" s="11">
        <v>2.1849684278999999</v>
      </c>
      <c r="K1804" s="10">
        <v>0.59700200572600004</v>
      </c>
      <c r="L1804" s="12">
        <v>3532483565.6999998</v>
      </c>
      <c r="M1804">
        <v>18.859530406447099</v>
      </c>
      <c r="N1804" s="7">
        <v>1.95716462508825</v>
      </c>
      <c r="O1804" s="7">
        <v>0.32659127473955002</v>
      </c>
      <c r="P1804" s="7">
        <v>16.123730919862702</v>
      </c>
      <c r="Q1804" s="7">
        <v>0.80229226361031525</v>
      </c>
      <c r="U1804">
        <v>0.36602881985904762</v>
      </c>
      <c r="AT1804" s="4" t="s">
        <v>6696</v>
      </c>
    </row>
    <row r="1805" spans="1:46">
      <c r="A1805" s="2">
        <v>1941</v>
      </c>
      <c r="B1805" t="s">
        <v>6697</v>
      </c>
      <c r="C1805" t="s">
        <v>2602</v>
      </c>
      <c r="D1805" t="s">
        <v>3721</v>
      </c>
      <c r="E1805" s="4">
        <v>43465</v>
      </c>
      <c r="F1805" s="11">
        <v>-1.4980745</v>
      </c>
      <c r="G1805" s="11">
        <v>8.5755814000000008</v>
      </c>
      <c r="H1805" s="11">
        <v>50.084094879699997</v>
      </c>
      <c r="I1805" s="11">
        <v>29.774359469099998</v>
      </c>
      <c r="J1805" s="11">
        <v>9.8014658109999999</v>
      </c>
      <c r="K1805" s="10">
        <v>0.35146967029999998</v>
      </c>
      <c r="L1805" s="12">
        <v>1986580868.8</v>
      </c>
      <c r="M1805">
        <v>86.254257064439898</v>
      </c>
      <c r="N1805" s="7">
        <v>2.7515701206637599</v>
      </c>
      <c r="O1805" s="7">
        <v>7.5746020012010202</v>
      </c>
      <c r="P1805" s="7">
        <v>21.9373468748826</v>
      </c>
      <c r="Q1805" s="7">
        <v>0.16997792494481237</v>
      </c>
      <c r="U1805">
        <v>0.38143318066666665</v>
      </c>
      <c r="AT1805" s="4" t="s">
        <v>6698</v>
      </c>
    </row>
    <row r="1806" spans="1:46">
      <c r="A1806" s="2">
        <v>3528</v>
      </c>
      <c r="B1806" t="s">
        <v>6699</v>
      </c>
      <c r="C1806" t="s">
        <v>1998</v>
      </c>
      <c r="D1806" t="s">
        <v>3849</v>
      </c>
      <c r="E1806" s="4">
        <v>43465</v>
      </c>
      <c r="F1806" s="11">
        <v>-30.43920391</v>
      </c>
      <c r="G1806" s="11">
        <v>8.5545722699999995</v>
      </c>
      <c r="H1806" s="11">
        <v>0.38566095090000002</v>
      </c>
      <c r="I1806" s="11">
        <v>18.264409028399999</v>
      </c>
      <c r="J1806" s="11">
        <v>6.3399401737999996</v>
      </c>
      <c r="K1806" s="10">
        <v>0.488000495087</v>
      </c>
      <c r="L1806" s="12">
        <v>6199697802.7200003</v>
      </c>
      <c r="M1806">
        <v>39.856267265242202</v>
      </c>
      <c r="N1806" s="7">
        <v>1.4327973555895701</v>
      </c>
      <c r="O1806" s="7">
        <v>2.2577986830008001</v>
      </c>
      <c r="P1806" s="7">
        <v>-23.466867642342201</v>
      </c>
      <c r="Q1806" s="7">
        <v>2.1707670043415339</v>
      </c>
      <c r="U1806">
        <v>0.18767186306287001</v>
      </c>
      <c r="AT1806" s="4" t="s">
        <v>3814</v>
      </c>
    </row>
    <row r="1807" spans="1:46">
      <c r="A1807" s="2">
        <v>1801</v>
      </c>
      <c r="B1807" t="s">
        <v>6700</v>
      </c>
      <c r="C1807" t="s">
        <v>1421</v>
      </c>
      <c r="D1807" t="s">
        <v>3764</v>
      </c>
      <c r="E1807" s="4">
        <v>43465</v>
      </c>
      <c r="F1807" s="11">
        <v>-38.848408810000002</v>
      </c>
      <c r="G1807" s="11">
        <v>8.5510688800000008</v>
      </c>
      <c r="H1807" s="11">
        <v>-36.426332456600001</v>
      </c>
      <c r="I1807" s="11">
        <v>25.518230193299999</v>
      </c>
      <c r="J1807" s="11">
        <v>12.4632186739</v>
      </c>
      <c r="K1807" s="10">
        <v>0.409794598826</v>
      </c>
      <c r="L1807" s="12">
        <v>4030004398.5799999</v>
      </c>
      <c r="M1807">
        <v>16.522378936397999</v>
      </c>
      <c r="N1807" s="7">
        <v>2.0246860400786901</v>
      </c>
      <c r="O1807" s="7">
        <v>1.6414765178211901</v>
      </c>
      <c r="P1807" s="7">
        <v>-11.992441241061799</v>
      </c>
      <c r="Q1807" s="7">
        <v>0.58477562293888896</v>
      </c>
      <c r="U1807">
        <v>0.24255061384534357</v>
      </c>
      <c r="AT1807" s="4" t="s">
        <v>4721</v>
      </c>
    </row>
    <row r="1808" spans="1:46">
      <c r="A1808" s="2">
        <v>3174</v>
      </c>
      <c r="B1808" t="s">
        <v>6701</v>
      </c>
      <c r="C1808" t="s">
        <v>659</v>
      </c>
      <c r="D1808" t="s">
        <v>3889</v>
      </c>
      <c r="E1808" s="4">
        <v>43465</v>
      </c>
      <c r="F1808" s="11">
        <v>-16.665290450000001</v>
      </c>
      <c r="G1808" s="11">
        <v>8.5510688800000008</v>
      </c>
      <c r="H1808" s="11">
        <v>6.5962574532999998</v>
      </c>
      <c r="I1808" s="11">
        <v>31.507704498599999</v>
      </c>
      <c r="J1808" s="11">
        <v>11.841220248300001</v>
      </c>
      <c r="K1808" s="10">
        <v>0.607744650356</v>
      </c>
      <c r="L1808" s="12">
        <v>54182924089.809998</v>
      </c>
      <c r="M1808">
        <v>15.2723570274294</v>
      </c>
      <c r="N1808" s="7">
        <v>1.38161149705383</v>
      </c>
      <c r="O1808" s="7">
        <v>1.39851999974303</v>
      </c>
      <c r="P1808" s="7">
        <v>30.497955684467801</v>
      </c>
      <c r="Q1808" s="7">
        <v>2.5142857142857147</v>
      </c>
      <c r="U1808">
        <v>0.73145546241467374</v>
      </c>
      <c r="AT1808" s="4" t="s">
        <v>6702</v>
      </c>
    </row>
    <row r="1809" spans="1:46">
      <c r="A1809" s="2">
        <v>317</v>
      </c>
      <c r="B1809" t="s">
        <v>6703</v>
      </c>
      <c r="C1809" t="s">
        <v>2114</v>
      </c>
      <c r="D1809" t="s">
        <v>4046</v>
      </c>
      <c r="E1809" s="4">
        <v>43465</v>
      </c>
      <c r="F1809" s="11">
        <v>-14.07633828</v>
      </c>
      <c r="G1809" s="11">
        <v>8.5406301800000008</v>
      </c>
      <c r="H1809" s="11">
        <v>7.5645674099000004</v>
      </c>
      <c r="I1809" s="11">
        <v>27.296473867900001</v>
      </c>
      <c r="J1809" s="11">
        <v>9.3713276260999994</v>
      </c>
      <c r="K1809" s="10">
        <v>0.38054258330700003</v>
      </c>
      <c r="L1809" s="12">
        <v>21717630792</v>
      </c>
      <c r="M1809">
        <v>55.132719169180099</v>
      </c>
      <c r="N1809" s="7">
        <v>2.5791178027360999</v>
      </c>
      <c r="O1809" s="7">
        <v>5.3651733309219303</v>
      </c>
      <c r="P1809" s="7">
        <v>48.552820753097997</v>
      </c>
      <c r="Q1809" s="7">
        <v>0.31225604996096801</v>
      </c>
      <c r="U1809">
        <v>0.22635260885419661</v>
      </c>
      <c r="AT1809" s="4" t="s">
        <v>3755</v>
      </c>
    </row>
    <row r="1810" spans="1:46">
      <c r="A1810" s="2">
        <v>754</v>
      </c>
      <c r="B1810" t="s">
        <v>6704</v>
      </c>
      <c r="C1810" t="s">
        <v>2394</v>
      </c>
      <c r="D1810" t="s">
        <v>4060</v>
      </c>
      <c r="E1810" s="4">
        <v>43465</v>
      </c>
      <c r="F1810" s="11">
        <v>89.777225430000001</v>
      </c>
      <c r="G1810" s="11">
        <v>8.5383502199999999</v>
      </c>
      <c r="H1810" s="11">
        <v>10.8853925164</v>
      </c>
      <c r="I1810" s="11">
        <v>22.756473172100002</v>
      </c>
      <c r="J1810" s="11">
        <v>6.6625520485000003</v>
      </c>
      <c r="K1810" s="10">
        <v>0.70253867318300001</v>
      </c>
      <c r="L1810" s="12">
        <v>7479307667</v>
      </c>
      <c r="M1810">
        <v>93.211120447707998</v>
      </c>
      <c r="N1810" s="7">
        <v>3.24813111807403</v>
      </c>
      <c r="O1810" s="7">
        <v>3.7910366910556399</v>
      </c>
      <c r="P1810" s="7">
        <v>-396.09054348367198</v>
      </c>
      <c r="Q1810" s="7">
        <v>0.34153005464480873</v>
      </c>
      <c r="U1810">
        <v>0.22496709885094177</v>
      </c>
      <c r="AT1810" s="4" t="s">
        <v>4639</v>
      </c>
    </row>
    <row r="1811" spans="1:46">
      <c r="A1811" s="2">
        <v>3037</v>
      </c>
      <c r="B1811" t="s">
        <v>6705</v>
      </c>
      <c r="C1811" t="s">
        <v>1236</v>
      </c>
      <c r="D1811" t="s">
        <v>3769</v>
      </c>
      <c r="E1811" s="4">
        <v>43465</v>
      </c>
      <c r="F1811" s="11">
        <v>-54.716287639999997</v>
      </c>
      <c r="G1811" s="11">
        <v>8.5106383000000001</v>
      </c>
      <c r="H1811" s="11">
        <v>26.570342938</v>
      </c>
      <c r="I1811" s="11">
        <v>43.666386776400003</v>
      </c>
      <c r="J1811" s="11">
        <v>18.994243258899999</v>
      </c>
      <c r="K1811" s="10">
        <v>0.33399246003100003</v>
      </c>
      <c r="L1811" s="12">
        <v>2165727200</v>
      </c>
      <c r="M1811">
        <v>18.1510651341978</v>
      </c>
      <c r="N1811" s="7">
        <v>2.2405313228135699</v>
      </c>
      <c r="O1811" s="7">
        <v>3.6614480531453202</v>
      </c>
      <c r="P1811" s="7">
        <v>-23.465739282860799</v>
      </c>
      <c r="Q1811" s="7">
        <v>1.0404624277456647</v>
      </c>
      <c r="U1811">
        <v>0.42708298596183464</v>
      </c>
      <c r="AT1811" s="4" t="s">
        <v>6706</v>
      </c>
    </row>
    <row r="1812" spans="1:46">
      <c r="A1812" s="2">
        <v>846</v>
      </c>
      <c r="B1812" t="s">
        <v>6707</v>
      </c>
      <c r="C1812" t="s">
        <v>2425</v>
      </c>
      <c r="D1812" t="s">
        <v>3761</v>
      </c>
      <c r="E1812" s="4">
        <v>43465</v>
      </c>
      <c r="F1812" s="11">
        <v>-41.658969249999998</v>
      </c>
      <c r="G1812" s="11">
        <v>8.4936960799999994</v>
      </c>
      <c r="H1812" s="11">
        <v>42.627278269500003</v>
      </c>
      <c r="I1812" s="11">
        <v>29.9637200992</v>
      </c>
      <c r="J1812" s="11">
        <v>2.6477097658000002</v>
      </c>
      <c r="K1812" s="10">
        <v>0.49895789001000002</v>
      </c>
      <c r="L1812" s="12">
        <v>1373104840</v>
      </c>
      <c r="M1812">
        <v>25.916593664087799</v>
      </c>
      <c r="N1812" s="7">
        <v>1.6718568035600601</v>
      </c>
      <c r="O1812" s="7">
        <v>1.3412931360332301</v>
      </c>
      <c r="P1812" s="7">
        <v>-8.4309099058786394</v>
      </c>
      <c r="Q1812" s="7">
        <v>6.6137566137566131</v>
      </c>
      <c r="U1812">
        <v>0.26759496507805591</v>
      </c>
      <c r="AT1812" s="4" t="s">
        <v>6708</v>
      </c>
    </row>
    <row r="1813" spans="1:46">
      <c r="A1813" s="2">
        <v>2824</v>
      </c>
      <c r="B1813" t="s">
        <v>6709</v>
      </c>
      <c r="C1813" t="s">
        <v>3265</v>
      </c>
      <c r="D1813" t="s">
        <v>3790</v>
      </c>
      <c r="E1813" s="4">
        <v>43465</v>
      </c>
      <c r="F1813" s="11">
        <v>-52.045826509999998</v>
      </c>
      <c r="G1813" s="11">
        <v>8.4870848700000003</v>
      </c>
      <c r="H1813" s="11">
        <v>6.6607486211999998</v>
      </c>
      <c r="I1813" s="11">
        <v>6.4690633221000002</v>
      </c>
      <c r="J1813" s="11">
        <v>6.1959389599999998E-2</v>
      </c>
      <c r="K1813" s="10">
        <v>2.6725655347239998</v>
      </c>
      <c r="L1813" s="12">
        <v>18658211761.279999</v>
      </c>
      <c r="M1813">
        <v>15.605360524514699</v>
      </c>
      <c r="N1813" s="7">
        <v>-3.9122085858858502</v>
      </c>
      <c r="O1813" s="7">
        <v>2.42390718136428E-2</v>
      </c>
      <c r="P1813" s="7">
        <v>-2.55062250894902</v>
      </c>
      <c r="Q1813" s="7" t="s">
        <v>3698</v>
      </c>
      <c r="U1813">
        <v>2.0778192990561252E-2</v>
      </c>
      <c r="AT1813" s="4" t="s">
        <v>6710</v>
      </c>
    </row>
    <row r="1814" spans="1:46">
      <c r="A1814" s="2">
        <v>2726</v>
      </c>
      <c r="B1814" t="s">
        <v>6711</v>
      </c>
      <c r="C1814" t="s">
        <v>3638</v>
      </c>
      <c r="D1814" t="s">
        <v>3849</v>
      </c>
      <c r="E1814" s="4">
        <v>43465</v>
      </c>
      <c r="F1814" s="11">
        <v>-23.880597009999999</v>
      </c>
      <c r="G1814" s="11">
        <v>8.4656084699999994</v>
      </c>
      <c r="H1814" s="11">
        <v>23.156916769999999</v>
      </c>
      <c r="I1814" s="11">
        <v>4.1721314450999998</v>
      </c>
      <c r="J1814" s="11">
        <v>4.9920017743000002</v>
      </c>
      <c r="K1814" s="10">
        <v>0.781491429934</v>
      </c>
      <c r="L1814" s="12">
        <v>16577445105.959999</v>
      </c>
      <c r="M1814">
        <v>-5.7547290508701101</v>
      </c>
      <c r="N1814" s="7">
        <v>1.78268273143883</v>
      </c>
      <c r="O1814" s="7">
        <v>0.50687105224557305</v>
      </c>
      <c r="P1814" s="7">
        <v>67.015905706276598</v>
      </c>
      <c r="Q1814" s="7" t="s">
        <v>3698</v>
      </c>
      <c r="U1814">
        <v>0.17523479653026106</v>
      </c>
      <c r="AT1814" s="4" t="s">
        <v>4387</v>
      </c>
    </row>
    <row r="1815" spans="1:46">
      <c r="A1815" s="2">
        <v>1025</v>
      </c>
      <c r="B1815" t="s">
        <v>6712</v>
      </c>
      <c r="C1815" t="s">
        <v>238</v>
      </c>
      <c r="D1815" t="s">
        <v>3718</v>
      </c>
      <c r="E1815" s="4">
        <v>43465</v>
      </c>
      <c r="F1815" s="11">
        <v>-24.083769629999999</v>
      </c>
      <c r="G1815" s="11">
        <v>8.4427767399999993</v>
      </c>
      <c r="H1815" s="11">
        <v>47.195056107200003</v>
      </c>
      <c r="I1815" s="11">
        <v>35.190592219499997</v>
      </c>
      <c r="J1815" s="11">
        <v>11.684996180400001</v>
      </c>
      <c r="K1815" s="10">
        <v>0.46523438694399999</v>
      </c>
      <c r="L1815" s="12">
        <v>4661017200</v>
      </c>
      <c r="M1815">
        <v>-62.890619741986498</v>
      </c>
      <c r="N1815" s="7">
        <v>4.3538333408257799</v>
      </c>
      <c r="O1815" s="7">
        <v>4.07424665699968</v>
      </c>
      <c r="P1815" s="7">
        <v>-118.72089173000499</v>
      </c>
      <c r="Q1815" s="7" t="s">
        <v>3698</v>
      </c>
      <c r="U1815">
        <v>0.17022753338230359</v>
      </c>
      <c r="AT1815" s="4" t="s">
        <v>5431</v>
      </c>
    </row>
    <row r="1816" spans="1:46">
      <c r="A1816" s="2">
        <v>2579</v>
      </c>
      <c r="B1816" t="s">
        <v>6713</v>
      </c>
      <c r="C1816" t="s">
        <v>2572</v>
      </c>
      <c r="D1816" t="s">
        <v>3858</v>
      </c>
      <c r="E1816" s="4">
        <v>43465</v>
      </c>
      <c r="F1816" s="11">
        <v>-31.12810966</v>
      </c>
      <c r="G1816" s="11">
        <v>8.4291187700000005</v>
      </c>
      <c r="H1816" s="11">
        <v>32.112130023600002</v>
      </c>
      <c r="I1816" s="11">
        <v>13.669151706299999</v>
      </c>
      <c r="J1816" s="11">
        <v>2.0989813517</v>
      </c>
      <c r="K1816" s="10">
        <v>0.69411909209099998</v>
      </c>
      <c r="L1816" s="12">
        <v>1901116000</v>
      </c>
      <c r="M1816">
        <v>40.425005079819698</v>
      </c>
      <c r="N1816" s="7">
        <v>1.0360043011492099</v>
      </c>
      <c r="O1816" s="7">
        <v>0.63234013440260906</v>
      </c>
      <c r="P1816" s="7">
        <v>7.6353537464651797</v>
      </c>
      <c r="Q1816" s="7">
        <v>0.48148148148148151</v>
      </c>
      <c r="U1816">
        <v>0.10036885272197137</v>
      </c>
      <c r="AT1816" s="4" t="s">
        <v>6714</v>
      </c>
    </row>
    <row r="1817" spans="1:46">
      <c r="A1817" s="2">
        <v>133</v>
      </c>
      <c r="B1817" t="s">
        <v>6715</v>
      </c>
      <c r="C1817" t="s">
        <v>1782</v>
      </c>
      <c r="D1817" t="s">
        <v>3832</v>
      </c>
      <c r="E1817" s="4">
        <v>43465</v>
      </c>
      <c r="F1817" s="11">
        <v>-30.553844250000001</v>
      </c>
      <c r="G1817" s="11">
        <v>8.4057970999999991</v>
      </c>
      <c r="H1817" s="11">
        <v>10.7296524799</v>
      </c>
      <c r="I1817" s="11">
        <v>15.3841996745</v>
      </c>
      <c r="J1817" s="11">
        <v>3.0796999623999999</v>
      </c>
      <c r="K1817" s="10">
        <v>1.5691476199300001</v>
      </c>
      <c r="L1817" s="12">
        <v>2225261084.7600002</v>
      </c>
      <c r="M1817">
        <v>28.6416311716298</v>
      </c>
      <c r="N1817" s="7">
        <v>1.84157558273444</v>
      </c>
      <c r="O1817" s="7">
        <v>0.67356083928388299</v>
      </c>
      <c r="P1817" s="7">
        <v>-32.407868290151498</v>
      </c>
      <c r="Q1817" s="7">
        <v>3.228120516499283</v>
      </c>
      <c r="U1817">
        <v>0.30567998933024726</v>
      </c>
      <c r="AT1817" s="4" t="s">
        <v>4709</v>
      </c>
    </row>
    <row r="1818" spans="1:46">
      <c r="A1818" s="2">
        <v>3021</v>
      </c>
      <c r="B1818" t="s">
        <v>6716</v>
      </c>
      <c r="C1818" t="s">
        <v>1032</v>
      </c>
      <c r="D1818" t="s">
        <v>3972</v>
      </c>
      <c r="E1818" s="4">
        <v>43465</v>
      </c>
      <c r="F1818" s="11">
        <v>-25.074338340000001</v>
      </c>
      <c r="G1818" s="11">
        <v>8.40336134</v>
      </c>
      <c r="H1818" s="11">
        <v>33.182931804399999</v>
      </c>
      <c r="I1818" s="11">
        <v>20.722167250599998</v>
      </c>
      <c r="J1818" s="11">
        <v>15.1711160486</v>
      </c>
      <c r="K1818" s="10">
        <v>0.44699438082600002</v>
      </c>
      <c r="L1818" s="12">
        <v>5803793139.4799995</v>
      </c>
      <c r="M1818">
        <v>9.2890754632401293</v>
      </c>
      <c r="N1818" s="7">
        <v>0.895138517876513</v>
      </c>
      <c r="O1818" s="7">
        <v>1.42812093705951</v>
      </c>
      <c r="P1818" s="7">
        <v>499.99216056586198</v>
      </c>
      <c r="Q1818" s="7">
        <v>2.7667984189723316</v>
      </c>
      <c r="U1818">
        <v>0.27168147191420083</v>
      </c>
      <c r="AT1818" s="4" t="s">
        <v>6717</v>
      </c>
    </row>
    <row r="1819" spans="1:46">
      <c r="A1819" s="2">
        <v>1451</v>
      </c>
      <c r="B1819" t="s">
        <v>6718</v>
      </c>
      <c r="C1819" t="s">
        <v>3481</v>
      </c>
      <c r="D1819" t="s">
        <v>3713</v>
      </c>
      <c r="E1819" s="4">
        <v>43465</v>
      </c>
      <c r="F1819" s="11">
        <v>-16.0130719</v>
      </c>
      <c r="G1819" s="11">
        <v>8.3507306900000007</v>
      </c>
      <c r="H1819" s="11">
        <v>-3.6369293358000001</v>
      </c>
      <c r="I1819" s="11">
        <v>15.4546837765</v>
      </c>
      <c r="J1819" s="11">
        <v>-1.1285444765999999</v>
      </c>
      <c r="K1819" s="10">
        <v>0.54575588948599996</v>
      </c>
      <c r="L1819" s="12">
        <v>18716250000</v>
      </c>
      <c r="M1819">
        <v>-6.7336858790075098</v>
      </c>
      <c r="N1819" s="7">
        <v>2.97830980860026</v>
      </c>
      <c r="O1819" s="7">
        <v>1.42467553797891</v>
      </c>
      <c r="P1819" s="7">
        <v>-120.689550144256</v>
      </c>
      <c r="Q1819" s="7" t="s">
        <v>3698</v>
      </c>
      <c r="U1819">
        <v>2.5516102956502782E-2</v>
      </c>
      <c r="AT1819" s="4" t="s">
        <v>3770</v>
      </c>
    </row>
    <row r="1820" spans="1:46">
      <c r="A1820" s="2">
        <v>2663</v>
      </c>
      <c r="B1820" t="s">
        <v>6719</v>
      </c>
      <c r="C1820" t="s">
        <v>2031</v>
      </c>
      <c r="D1820" t="s">
        <v>3761</v>
      </c>
      <c r="E1820" s="4">
        <v>43465</v>
      </c>
      <c r="F1820" s="11">
        <v>-28.387316819999999</v>
      </c>
      <c r="G1820" s="11">
        <v>8.3487940599999995</v>
      </c>
      <c r="H1820" s="11">
        <v>20.1302454074</v>
      </c>
      <c r="I1820" s="11">
        <v>20.886177556900002</v>
      </c>
      <c r="J1820" s="11">
        <v>4.4744068214999997</v>
      </c>
      <c r="K1820" s="10">
        <v>0.51795556949699995</v>
      </c>
      <c r="L1820" s="12">
        <v>5344200000</v>
      </c>
      <c r="M1820">
        <v>17.5864056530143</v>
      </c>
      <c r="N1820" s="7">
        <v>1.7074010052616999</v>
      </c>
      <c r="O1820" s="7">
        <v>0.764485269733719</v>
      </c>
      <c r="P1820" s="7">
        <v>-172.430512679922</v>
      </c>
      <c r="Q1820" s="7" t="s">
        <v>3698</v>
      </c>
      <c r="U1820">
        <v>0.30264248205385913</v>
      </c>
      <c r="AT1820" s="4" t="s">
        <v>6720</v>
      </c>
    </row>
    <row r="1821" spans="1:46">
      <c r="A1821" s="2">
        <v>637</v>
      </c>
      <c r="B1821" t="s">
        <v>6721</v>
      </c>
      <c r="C1821" t="s">
        <v>809</v>
      </c>
      <c r="D1821" t="s">
        <v>3849</v>
      </c>
      <c r="E1821" s="4">
        <v>43465</v>
      </c>
      <c r="F1821" s="11">
        <v>-16.517763630000001</v>
      </c>
      <c r="G1821" s="11">
        <v>8.3333333300000003</v>
      </c>
      <c r="H1821" s="11">
        <v>16.098450868699999</v>
      </c>
      <c r="I1821" s="11">
        <v>25.533451778</v>
      </c>
      <c r="J1821" s="11">
        <v>7.9361634618999997</v>
      </c>
      <c r="K1821" s="10">
        <v>0.69055040423900005</v>
      </c>
      <c r="L1821" s="12">
        <v>2274308140</v>
      </c>
      <c r="M1821">
        <v>18.3738200931286</v>
      </c>
      <c r="N1821" s="7">
        <v>1.7616731570642901</v>
      </c>
      <c r="O1821" s="7">
        <v>1.1809176553573599</v>
      </c>
      <c r="P1821" s="7">
        <v>43.958935282128898</v>
      </c>
      <c r="Q1821" s="7">
        <v>0.73928750315303871</v>
      </c>
      <c r="U1821">
        <v>0.43581400725956448</v>
      </c>
      <c r="AT1821" s="4" t="s">
        <v>4877</v>
      </c>
    </row>
    <row r="1822" spans="1:46">
      <c r="A1822" s="2">
        <v>1947</v>
      </c>
      <c r="B1822" t="s">
        <v>6722</v>
      </c>
      <c r="C1822" t="s">
        <v>970</v>
      </c>
      <c r="D1822" t="s">
        <v>3752</v>
      </c>
      <c r="E1822" s="4">
        <v>43465</v>
      </c>
      <c r="F1822" s="11">
        <v>-11.447645140000001</v>
      </c>
      <c r="G1822" s="11">
        <v>8.3333333300000003</v>
      </c>
      <c r="H1822" s="11">
        <v>17.8399466244</v>
      </c>
      <c r="I1822" s="11">
        <v>41.661815958699997</v>
      </c>
      <c r="J1822" s="11">
        <v>20.110468549299998</v>
      </c>
      <c r="K1822" s="10">
        <v>0.49445619365600002</v>
      </c>
      <c r="L1822" s="12">
        <v>10624798664.879999</v>
      </c>
      <c r="M1822">
        <v>35.409505740305399</v>
      </c>
      <c r="N1822" s="7">
        <v>3.2800332648139499</v>
      </c>
      <c r="O1822" s="7">
        <v>6.4985963302981302</v>
      </c>
      <c r="P1822" s="7">
        <v>48.576604412733701</v>
      </c>
      <c r="Q1822" s="7">
        <v>1.2995451591942819</v>
      </c>
      <c r="U1822">
        <v>0.55562625897794049</v>
      </c>
      <c r="AT1822" s="4" t="s">
        <v>5861</v>
      </c>
    </row>
    <row r="1823" spans="1:46">
      <c r="A1823" s="2">
        <v>1796</v>
      </c>
      <c r="B1823" t="s">
        <v>6723</v>
      </c>
      <c r="C1823" t="s">
        <v>2381</v>
      </c>
      <c r="D1823" t="s">
        <v>3718</v>
      </c>
      <c r="E1823" s="4">
        <v>43465</v>
      </c>
      <c r="F1823" s="11">
        <v>1.2995575699999999</v>
      </c>
      <c r="G1823" s="11">
        <v>8.3265966000000002</v>
      </c>
      <c r="H1823" s="11">
        <v>13.4173301503</v>
      </c>
      <c r="I1823" s="11">
        <v>62.658090338699999</v>
      </c>
      <c r="J1823" s="11">
        <v>29.1553122921</v>
      </c>
      <c r="K1823" s="10">
        <v>0.410732208559</v>
      </c>
      <c r="L1823" s="12">
        <v>8295817001.1599998</v>
      </c>
      <c r="M1823">
        <v>19.801190498156199</v>
      </c>
      <c r="N1823" s="7">
        <v>2.3909143385698299</v>
      </c>
      <c r="O1823" s="7">
        <v>5.6198622643903997</v>
      </c>
      <c r="P1823" s="7">
        <v>-22.747620126864899</v>
      </c>
      <c r="Q1823" s="7">
        <v>1.195723189906164</v>
      </c>
      <c r="U1823">
        <v>0.67972054783333324</v>
      </c>
      <c r="AT1823" s="4" t="s">
        <v>4945</v>
      </c>
    </row>
    <row r="1824" spans="1:46">
      <c r="A1824" s="2">
        <v>1715</v>
      </c>
      <c r="B1824" t="s">
        <v>6724</v>
      </c>
      <c r="C1824" t="s">
        <v>2459</v>
      </c>
      <c r="D1824" t="s">
        <v>3713</v>
      </c>
      <c r="E1824" s="4">
        <v>43465</v>
      </c>
      <c r="F1824" s="11">
        <v>16.14240659</v>
      </c>
      <c r="G1824" s="11">
        <v>8.3050847500000007</v>
      </c>
      <c r="H1824" s="11">
        <v>49.695182582100003</v>
      </c>
      <c r="I1824" s="11">
        <v>35.5778560308</v>
      </c>
      <c r="J1824" s="11">
        <v>3.4317611841</v>
      </c>
      <c r="K1824" s="10">
        <v>0.49663918125099998</v>
      </c>
      <c r="L1824" s="12">
        <v>14973545501.43</v>
      </c>
      <c r="M1824">
        <v>328.68931565483598</v>
      </c>
      <c r="N1824" s="7">
        <v>3.5684796700061798</v>
      </c>
      <c r="O1824" s="7">
        <v>3.73073871711743</v>
      </c>
      <c r="P1824" s="7">
        <v>40.267313511162598</v>
      </c>
      <c r="Q1824" s="7">
        <v>0.14897579156840574</v>
      </c>
      <c r="U1824">
        <v>6.0321874658298816E-2</v>
      </c>
      <c r="AT1824" s="4" t="s">
        <v>6725</v>
      </c>
    </row>
    <row r="1825" spans="1:46">
      <c r="A1825" s="2">
        <v>769</v>
      </c>
      <c r="B1825" t="s">
        <v>6726</v>
      </c>
      <c r="C1825" t="s">
        <v>328</v>
      </c>
      <c r="D1825" t="s">
        <v>3752</v>
      </c>
      <c r="E1825" s="4">
        <v>43465</v>
      </c>
      <c r="F1825" s="11">
        <v>-11.77579965</v>
      </c>
      <c r="G1825" s="11">
        <v>8.2952815799999993</v>
      </c>
      <c r="H1825" s="11">
        <v>30.598566351100001</v>
      </c>
      <c r="I1825" s="11">
        <v>33.066686005500003</v>
      </c>
      <c r="J1825" s="11">
        <v>16.177142781699999</v>
      </c>
      <c r="K1825" s="10">
        <v>0.72642452850600003</v>
      </c>
      <c r="L1825" s="12">
        <v>17469090885</v>
      </c>
      <c r="M1825">
        <v>11.5117717717654</v>
      </c>
      <c r="N1825" s="7">
        <v>2.3485344336363201</v>
      </c>
      <c r="O1825" s="7">
        <v>1.76062556951347</v>
      </c>
      <c r="P1825" s="7">
        <v>24.320856603923598</v>
      </c>
      <c r="Q1825" s="7">
        <v>1.7360999338135743</v>
      </c>
      <c r="U1825">
        <v>1.1019081547157374</v>
      </c>
      <c r="AT1825" s="4" t="s">
        <v>6727</v>
      </c>
    </row>
    <row r="1826" spans="1:46">
      <c r="A1826" s="2">
        <v>3008</v>
      </c>
      <c r="B1826" t="s">
        <v>6728</v>
      </c>
      <c r="C1826" t="s">
        <v>2468</v>
      </c>
      <c r="D1826" t="s">
        <v>3778</v>
      </c>
      <c r="E1826" s="4">
        <v>43465</v>
      </c>
      <c r="F1826" s="11">
        <v>-18.574460340000002</v>
      </c>
      <c r="G1826" s="11">
        <v>8.2795698899999994</v>
      </c>
      <c r="H1826" s="11">
        <v>9.5827564936999998</v>
      </c>
      <c r="I1826" s="11">
        <v>20.346350967599999</v>
      </c>
      <c r="J1826" s="11">
        <v>7.2177090137000004</v>
      </c>
      <c r="K1826" s="10">
        <v>1.782052787469</v>
      </c>
      <c r="L1826" s="12">
        <v>4801615819</v>
      </c>
      <c r="M1826">
        <v>53.9430905832752</v>
      </c>
      <c r="N1826" s="7">
        <v>1.24063522277046</v>
      </c>
      <c r="O1826" s="7">
        <v>3.1865493650210399</v>
      </c>
      <c r="P1826" s="7">
        <v>89.372035453695403</v>
      </c>
      <c r="Q1826" s="7">
        <v>5.5248618784530388</v>
      </c>
      <c r="U1826">
        <v>1.6802410391626663</v>
      </c>
      <c r="AT1826" s="4" t="s">
        <v>6729</v>
      </c>
    </row>
    <row r="1827" spans="1:46">
      <c r="A1827" s="2">
        <v>1388</v>
      </c>
      <c r="B1827" t="s">
        <v>6730</v>
      </c>
      <c r="C1827" t="s">
        <v>445</v>
      </c>
      <c r="D1827" t="s">
        <v>3972</v>
      </c>
      <c r="E1827" s="4">
        <v>43465</v>
      </c>
      <c r="F1827" s="11">
        <v>-8.5674157300000005</v>
      </c>
      <c r="G1827" s="11">
        <v>8.2512315300000001</v>
      </c>
      <c r="H1827" s="11">
        <v>27.235080666799998</v>
      </c>
      <c r="I1827" s="11">
        <v>1.625507713</v>
      </c>
      <c r="J1827" s="11">
        <v>1.0573235136000001</v>
      </c>
      <c r="K1827" s="10">
        <v>1.77524868199</v>
      </c>
      <c r="L1827" s="12">
        <v>4417471442.1000004</v>
      </c>
      <c r="M1827">
        <v>33.526131242814799</v>
      </c>
      <c r="N1827" s="7">
        <v>2.3538521683326801</v>
      </c>
      <c r="O1827" s="7">
        <v>0.26876974140978199</v>
      </c>
      <c r="P1827" s="7">
        <v>33.621156814726199</v>
      </c>
      <c r="Q1827" s="7" t="s">
        <v>3698</v>
      </c>
      <c r="U1827">
        <v>0.97561933859496841</v>
      </c>
      <c r="AT1827" s="4" t="s">
        <v>5033</v>
      </c>
    </row>
    <row r="1828" spans="1:46">
      <c r="A1828" s="2">
        <v>2866</v>
      </c>
      <c r="B1828" t="s">
        <v>6731</v>
      </c>
      <c r="C1828" t="s">
        <v>2075</v>
      </c>
      <c r="D1828" t="s">
        <v>4060</v>
      </c>
      <c r="E1828" s="4">
        <v>43465</v>
      </c>
      <c r="F1828" s="11">
        <v>-31.594571670000001</v>
      </c>
      <c r="G1828" s="11">
        <v>8.2488167699999995</v>
      </c>
      <c r="H1828" s="11">
        <v>11.6440191965</v>
      </c>
      <c r="I1828" s="11">
        <v>16.218821306900001</v>
      </c>
      <c r="J1828" s="11">
        <v>13.494952617299999</v>
      </c>
      <c r="K1828" s="10">
        <v>0.35987401779200001</v>
      </c>
      <c r="L1828" s="12">
        <v>8495059704.1899996</v>
      </c>
      <c r="M1828">
        <v>-116.980220403256</v>
      </c>
      <c r="N1828" s="7">
        <v>4.8643067032337797</v>
      </c>
      <c r="O1828" s="7">
        <v>1.07989658845416</v>
      </c>
      <c r="P1828" s="7">
        <v>-32.630584392033398</v>
      </c>
      <c r="Q1828" s="7" t="s">
        <v>3698</v>
      </c>
      <c r="U1828">
        <v>1.6568142629629627</v>
      </c>
      <c r="AT1828" s="4" t="s">
        <v>6732</v>
      </c>
    </row>
    <row r="1829" spans="1:46">
      <c r="A1829" s="2">
        <v>3050</v>
      </c>
      <c r="B1829" t="s">
        <v>6733</v>
      </c>
      <c r="C1829" t="s">
        <v>2903</v>
      </c>
      <c r="D1829" t="s">
        <v>3718</v>
      </c>
      <c r="E1829" s="4">
        <v>43465</v>
      </c>
      <c r="F1829" s="11">
        <v>-22.811671090000001</v>
      </c>
      <c r="G1829" s="11">
        <v>8.2397003699999996</v>
      </c>
      <c r="H1829" s="11">
        <v>2.5318252778999999</v>
      </c>
      <c r="I1829" s="11">
        <v>15.762667350999999</v>
      </c>
      <c r="J1829" s="11">
        <v>0.62798597639999998</v>
      </c>
      <c r="K1829" s="10">
        <v>0.31178628259500002</v>
      </c>
      <c r="L1829" s="12">
        <v>3970615846.6799998</v>
      </c>
      <c r="M1829">
        <v>225.81777209362099</v>
      </c>
      <c r="N1829" s="7">
        <v>1.6755192987016101</v>
      </c>
      <c r="O1829" s="7">
        <v>1.7580750294128999</v>
      </c>
      <c r="P1829" s="7">
        <v>-20.8084848529599</v>
      </c>
      <c r="Q1829" s="7" t="s">
        <v>3698</v>
      </c>
      <c r="U1829">
        <v>1.8768535277377991E-2</v>
      </c>
      <c r="AT1829" s="4" t="s">
        <v>6734</v>
      </c>
    </row>
    <row r="1830" spans="1:46">
      <c r="A1830" s="2">
        <v>3248</v>
      </c>
      <c r="B1830" t="s">
        <v>6735</v>
      </c>
      <c r="C1830" t="s">
        <v>1825</v>
      </c>
      <c r="D1830" t="s">
        <v>3718</v>
      </c>
      <c r="E1830" s="4">
        <v>43465</v>
      </c>
      <c r="F1830" s="11">
        <v>-41.90040175</v>
      </c>
      <c r="G1830" s="11">
        <v>8.2269503499999992</v>
      </c>
      <c r="H1830" s="11">
        <v>15.110308616199999</v>
      </c>
      <c r="I1830" s="11">
        <v>32.718800197199997</v>
      </c>
      <c r="J1830" s="11">
        <v>13.304565588399999</v>
      </c>
      <c r="K1830" s="10">
        <v>0.56212298811000005</v>
      </c>
      <c r="L1830" s="12">
        <v>3213398731.1999998</v>
      </c>
      <c r="M1830">
        <v>37.554746411427303</v>
      </c>
      <c r="N1830" s="7">
        <v>2.26583614295869</v>
      </c>
      <c r="O1830" s="7">
        <v>3.2032932456324401</v>
      </c>
      <c r="P1830" s="7">
        <v>24.855985127321301</v>
      </c>
      <c r="Q1830" s="7">
        <v>0.86821572292886573</v>
      </c>
      <c r="U1830">
        <v>0.30627926959603391</v>
      </c>
      <c r="AT1830" s="4" t="s">
        <v>4365</v>
      </c>
    </row>
    <row r="1831" spans="1:46">
      <c r="A1831" s="2">
        <v>1067</v>
      </c>
      <c r="B1831" t="s">
        <v>6736</v>
      </c>
      <c r="C1831" t="s">
        <v>1255</v>
      </c>
      <c r="D1831" t="s">
        <v>3752</v>
      </c>
      <c r="E1831" s="4">
        <v>43465</v>
      </c>
      <c r="F1831" s="11">
        <v>-23.60762428</v>
      </c>
      <c r="G1831" s="11">
        <v>8.2191780800000007</v>
      </c>
      <c r="H1831" s="11">
        <v>17.4320984951</v>
      </c>
      <c r="I1831" s="11">
        <v>4.8809813266999997</v>
      </c>
      <c r="J1831" s="11">
        <v>0.94772096419999996</v>
      </c>
      <c r="K1831" s="10">
        <v>2.1152713580200002</v>
      </c>
      <c r="L1831" s="12">
        <v>5232186628</v>
      </c>
      <c r="M1831">
        <v>26.323494212645301</v>
      </c>
      <c r="N1831" s="7">
        <v>1.54860883730523</v>
      </c>
      <c r="O1831" s="7">
        <v>0.22120401480909799</v>
      </c>
      <c r="P1831" s="7">
        <v>69.859304290929799</v>
      </c>
      <c r="Q1831" s="7">
        <v>1.2367491166077735</v>
      </c>
      <c r="U1831">
        <v>0.19306369222408026</v>
      </c>
      <c r="AT1831" s="4" t="s">
        <v>3793</v>
      </c>
    </row>
    <row r="1832" spans="1:46">
      <c r="A1832" s="2">
        <v>1293</v>
      </c>
      <c r="B1832" t="s">
        <v>6737</v>
      </c>
      <c r="C1832" t="s">
        <v>2049</v>
      </c>
      <c r="D1832" t="s">
        <v>3718</v>
      </c>
      <c r="E1832" s="4">
        <v>43465</v>
      </c>
      <c r="F1832" s="11">
        <v>-29.881173090000001</v>
      </c>
      <c r="G1832" s="11">
        <v>8.1818181800000005</v>
      </c>
      <c r="H1832" s="11">
        <v>20.3912723601</v>
      </c>
      <c r="I1832" s="11">
        <v>18.9286846348</v>
      </c>
      <c r="J1832" s="11">
        <v>3.8963140856999998</v>
      </c>
      <c r="K1832" s="10">
        <v>0.75518204780099996</v>
      </c>
      <c r="L1832" s="12">
        <v>5019862391.5299997</v>
      </c>
      <c r="M1832">
        <v>28.9862539505509</v>
      </c>
      <c r="N1832" s="7">
        <v>1.6293331645478399</v>
      </c>
      <c r="O1832" s="7">
        <v>1.5978945368522299</v>
      </c>
      <c r="P1832" s="7">
        <v>52.852674484105997</v>
      </c>
      <c r="Q1832" s="7">
        <v>0.81034888133075866</v>
      </c>
      <c r="U1832">
        <v>0.17460032525969521</v>
      </c>
      <c r="AT1832" s="4" t="s">
        <v>4474</v>
      </c>
    </row>
    <row r="1833" spans="1:46">
      <c r="A1833" s="2">
        <v>1008</v>
      </c>
      <c r="B1833" t="s">
        <v>6738</v>
      </c>
      <c r="C1833" t="s">
        <v>1317</v>
      </c>
      <c r="D1833" t="s">
        <v>3752</v>
      </c>
      <c r="E1833" s="4">
        <v>43465</v>
      </c>
      <c r="F1833" s="11">
        <v>-41.434107869999998</v>
      </c>
      <c r="G1833" s="11">
        <v>8.1325301200000002</v>
      </c>
      <c r="H1833" s="11">
        <v>30.0256275586</v>
      </c>
      <c r="I1833" s="11">
        <v>31.9823771133</v>
      </c>
      <c r="J1833" s="11">
        <v>7.4628600216000001</v>
      </c>
      <c r="K1833" s="10">
        <v>0.67525048293900003</v>
      </c>
      <c r="L1833" s="12">
        <v>15407414396.4</v>
      </c>
      <c r="M1833">
        <v>28.447021009571301</v>
      </c>
      <c r="N1833" s="7">
        <v>2.8677075998473498</v>
      </c>
      <c r="O1833" s="7">
        <v>2.2840696652015802</v>
      </c>
      <c r="P1833" s="7">
        <v>84.638522884228493</v>
      </c>
      <c r="Q1833" s="7">
        <v>0.33222591362126247</v>
      </c>
      <c r="U1833">
        <v>0.19102894344791668</v>
      </c>
      <c r="AT1833" s="4" t="s">
        <v>4705</v>
      </c>
    </row>
    <row r="1834" spans="1:46">
      <c r="A1834" s="2">
        <v>350</v>
      </c>
      <c r="B1834" t="s">
        <v>6739</v>
      </c>
      <c r="C1834" t="s">
        <v>2259</v>
      </c>
      <c r="D1834" t="s">
        <v>3737</v>
      </c>
      <c r="E1834" s="4">
        <v>43465</v>
      </c>
      <c r="F1834" s="11">
        <v>-10.779101170000001</v>
      </c>
      <c r="G1834" s="11">
        <v>8.1280788200000007</v>
      </c>
      <c r="H1834" s="11">
        <v>7.1865445103000001</v>
      </c>
      <c r="I1834" s="11">
        <v>65.363937985600003</v>
      </c>
      <c r="J1834" s="11">
        <v>4.9208213293999998</v>
      </c>
      <c r="K1834" s="10">
        <v>0.52562239206200001</v>
      </c>
      <c r="L1834" s="12">
        <v>2202647088.6799998</v>
      </c>
      <c r="M1834">
        <v>91.304951571598906</v>
      </c>
      <c r="N1834" s="7">
        <v>2.7226710974135</v>
      </c>
      <c r="O1834" s="7">
        <v>3.6952556862853898</v>
      </c>
      <c r="P1834" s="7">
        <v>16.7188090601441</v>
      </c>
      <c r="Q1834" s="7">
        <v>0.65245759089177213</v>
      </c>
      <c r="U1834">
        <v>5.5626998569012605E-2</v>
      </c>
      <c r="AT1834" s="4" t="s">
        <v>6434</v>
      </c>
    </row>
    <row r="1835" spans="1:46">
      <c r="A1835" s="2">
        <v>2807</v>
      </c>
      <c r="B1835" t="s">
        <v>6740</v>
      </c>
      <c r="C1835" t="s">
        <v>3387</v>
      </c>
      <c r="D1835" t="s">
        <v>3721</v>
      </c>
      <c r="E1835" s="4">
        <v>43465</v>
      </c>
      <c r="F1835" s="11">
        <v>-27.765957449999998</v>
      </c>
      <c r="G1835" s="11">
        <v>8.1210191100000007</v>
      </c>
      <c r="H1835" s="11">
        <v>4.4037801697000001</v>
      </c>
      <c r="I1835" s="11">
        <v>9.5116861044000007</v>
      </c>
      <c r="J1835" s="11">
        <v>-3.9522616907999999</v>
      </c>
      <c r="K1835" s="10">
        <v>0.86874354446099999</v>
      </c>
      <c r="L1835" s="12">
        <v>5041858922.8800001</v>
      </c>
      <c r="M1835">
        <v>24.028805200331199</v>
      </c>
      <c r="N1835" s="7">
        <v>2.47525457942006</v>
      </c>
      <c r="O1835" s="7">
        <v>0.58207589951777805</v>
      </c>
      <c r="P1835" s="7">
        <v>-28.193723091020001</v>
      </c>
      <c r="Q1835" s="7" t="s">
        <v>3698</v>
      </c>
      <c r="U1835">
        <v>-0.42846665213733709</v>
      </c>
      <c r="AT1835" s="4" t="s">
        <v>6741</v>
      </c>
    </row>
    <row r="1836" spans="1:46">
      <c r="A1836" s="2">
        <v>911</v>
      </c>
      <c r="B1836" t="s">
        <v>6742</v>
      </c>
      <c r="C1836" t="s">
        <v>1710</v>
      </c>
      <c r="D1836" t="s">
        <v>3889</v>
      </c>
      <c r="E1836" s="4">
        <v>43465</v>
      </c>
      <c r="F1836" s="11">
        <v>-37.882640369999997</v>
      </c>
      <c r="G1836" s="11">
        <v>8.1081081099999999</v>
      </c>
      <c r="H1836" s="11">
        <v>7.2557827994000004</v>
      </c>
      <c r="I1836" s="11">
        <v>14.3350517685</v>
      </c>
      <c r="J1836" s="11">
        <v>2.0851650571000002</v>
      </c>
      <c r="K1836" s="10">
        <v>1.258036145922</v>
      </c>
      <c r="L1836" s="12">
        <v>6408049391.3599997</v>
      </c>
      <c r="M1836">
        <v>-12.996658733849801</v>
      </c>
      <c r="N1836" s="7">
        <v>1.52550657731731</v>
      </c>
      <c r="O1836" s="7">
        <v>0.41171501581562198</v>
      </c>
      <c r="P1836" s="7">
        <v>-1512.66260199765</v>
      </c>
      <c r="Q1836" s="7">
        <v>0.36101083032490977</v>
      </c>
      <c r="U1836">
        <v>0.10665233326574343</v>
      </c>
      <c r="AT1836" s="4" t="s">
        <v>5216</v>
      </c>
    </row>
    <row r="1837" spans="1:46">
      <c r="A1837" s="2">
        <v>2953</v>
      </c>
      <c r="B1837" t="s">
        <v>6743</v>
      </c>
      <c r="C1837" t="s">
        <v>2859</v>
      </c>
      <c r="D1837" t="s">
        <v>3889</v>
      </c>
      <c r="E1837" s="4">
        <v>43465</v>
      </c>
      <c r="F1837" s="11">
        <v>-24.079853419999999</v>
      </c>
      <c r="G1837" s="11">
        <v>8.0862533699999997</v>
      </c>
      <c r="H1837" s="11">
        <v>-37.256544555799998</v>
      </c>
      <c r="I1837" s="11">
        <v>29.844566772</v>
      </c>
      <c r="J1837" s="11">
        <v>-154.35346755270001</v>
      </c>
      <c r="K1837" s="10">
        <v>0.15680558838200001</v>
      </c>
      <c r="L1837" s="12">
        <v>2213952300</v>
      </c>
      <c r="M1837">
        <v>-136.11374687830499</v>
      </c>
      <c r="N1837" s="7">
        <v>1.5927474901362</v>
      </c>
      <c r="O1837" s="7">
        <v>5.6587887189253196</v>
      </c>
      <c r="P1837" s="7">
        <v>-140.42366323530899</v>
      </c>
      <c r="Q1837" s="7" t="s">
        <v>3698</v>
      </c>
      <c r="U1837">
        <v>-0.76946487005706588</v>
      </c>
      <c r="AT1837" s="4" t="s">
        <v>6475</v>
      </c>
    </row>
    <row r="1838" spans="1:46">
      <c r="A1838" s="2">
        <v>2853</v>
      </c>
      <c r="B1838" t="s">
        <v>6744</v>
      </c>
      <c r="C1838" t="s">
        <v>1610</v>
      </c>
      <c r="D1838" t="s">
        <v>3764</v>
      </c>
      <c r="E1838" s="4">
        <v>43465</v>
      </c>
      <c r="F1838" s="11">
        <v>-25.89473684</v>
      </c>
      <c r="G1838" s="11">
        <v>8.0495356000000005</v>
      </c>
      <c r="H1838" s="11">
        <v>18.247502642299999</v>
      </c>
      <c r="I1838" s="11">
        <v>14.2590902072</v>
      </c>
      <c r="J1838" s="11">
        <v>3.648982341</v>
      </c>
      <c r="K1838" s="10">
        <v>0.50235725169000001</v>
      </c>
      <c r="L1838" s="12">
        <v>2258886812</v>
      </c>
      <c r="M1838">
        <v>15.8914383079691</v>
      </c>
      <c r="N1838" s="7">
        <v>0.72585303714957905</v>
      </c>
      <c r="O1838" s="7">
        <v>0.63943582248861797</v>
      </c>
      <c r="P1838" s="7">
        <v>-5.72346921123596</v>
      </c>
      <c r="Q1838" s="7" t="s">
        <v>3698</v>
      </c>
      <c r="U1838">
        <v>0.19535104566010625</v>
      </c>
      <c r="AT1838" s="4" t="s">
        <v>5417</v>
      </c>
    </row>
    <row r="1839" spans="1:46">
      <c r="A1839" s="2">
        <v>2580</v>
      </c>
      <c r="B1839" t="s">
        <v>6745</v>
      </c>
      <c r="C1839" t="s">
        <v>856</v>
      </c>
      <c r="D1839" t="s">
        <v>3769</v>
      </c>
      <c r="E1839" s="4">
        <v>43465</v>
      </c>
      <c r="F1839" s="11">
        <v>-37.06572147</v>
      </c>
      <c r="G1839" s="11">
        <v>8.0487804900000004</v>
      </c>
      <c r="H1839" s="11">
        <v>2.6055122523000001</v>
      </c>
      <c r="I1839" s="11">
        <v>18.989573155900001</v>
      </c>
      <c r="J1839" s="11">
        <v>3.2208354953999998</v>
      </c>
      <c r="K1839" s="10">
        <v>0.58625855953999995</v>
      </c>
      <c r="L1839" s="12">
        <v>3521892681.96</v>
      </c>
      <c r="M1839">
        <v>17.8188927206083</v>
      </c>
      <c r="N1839" s="7">
        <v>1.4575595727642601</v>
      </c>
      <c r="O1839" s="7">
        <v>1.0422601370175599</v>
      </c>
      <c r="P1839" s="7">
        <v>269.019231814877</v>
      </c>
      <c r="Q1839" s="7">
        <v>1.7073170731707319</v>
      </c>
      <c r="U1839">
        <v>0.12232504768621022</v>
      </c>
      <c r="AT1839" s="4" t="s">
        <v>6746</v>
      </c>
    </row>
    <row r="1840" spans="1:46">
      <c r="A1840" s="2">
        <v>1114</v>
      </c>
      <c r="B1840" t="s">
        <v>6747</v>
      </c>
      <c r="C1840" t="s">
        <v>416</v>
      </c>
      <c r="D1840" t="s">
        <v>3737</v>
      </c>
      <c r="E1840" s="4">
        <v>43465</v>
      </c>
      <c r="F1840" s="11">
        <v>-18.839276269999999</v>
      </c>
      <c r="G1840" s="11">
        <v>8.0305927300000004</v>
      </c>
      <c r="H1840" s="11">
        <v>17.967244725499999</v>
      </c>
      <c r="I1840" s="11">
        <v>66.127213401600002</v>
      </c>
      <c r="J1840" s="11">
        <v>12.315883482</v>
      </c>
      <c r="K1840" s="10">
        <v>0.58554919454700005</v>
      </c>
      <c r="L1840" s="12">
        <v>7409438616.7799997</v>
      </c>
      <c r="M1840">
        <v>21.0039166397702</v>
      </c>
      <c r="N1840" s="7">
        <v>1.6687946209014799</v>
      </c>
      <c r="O1840" s="7">
        <v>2.60286451083162</v>
      </c>
      <c r="P1840" s="7">
        <v>117.661505177828</v>
      </c>
      <c r="Q1840" s="7">
        <v>0.8876447623063265</v>
      </c>
      <c r="U1840">
        <v>0.49674095201385471</v>
      </c>
      <c r="AT1840" s="4" t="s">
        <v>6016</v>
      </c>
    </row>
    <row r="1841" spans="1:46">
      <c r="A1841" s="2">
        <v>592</v>
      </c>
      <c r="B1841" t="s">
        <v>6748</v>
      </c>
      <c r="C1841" t="s">
        <v>332</v>
      </c>
      <c r="D1841" t="s">
        <v>3858</v>
      </c>
      <c r="E1841" s="4">
        <v>43465</v>
      </c>
      <c r="F1841" s="11">
        <v>-40.506647020000003</v>
      </c>
      <c r="G1841" s="11">
        <v>8.0246913600000003</v>
      </c>
      <c r="H1841" s="11">
        <v>19.489955482500001</v>
      </c>
      <c r="I1841" s="11">
        <v>19.509081508800001</v>
      </c>
      <c r="J1841" s="11">
        <v>8.6555539756000002</v>
      </c>
      <c r="K1841" s="10">
        <v>0.81605021070799999</v>
      </c>
      <c r="L1841" s="12">
        <v>21702398227.650002</v>
      </c>
      <c r="M1841">
        <v>10.560152539178301</v>
      </c>
      <c r="N1841" s="7">
        <v>1.6721493796678999</v>
      </c>
      <c r="O1841" s="7">
        <v>0.89945496134701997</v>
      </c>
      <c r="P1841" s="7">
        <v>-51.007003876237</v>
      </c>
      <c r="Q1841" s="7">
        <v>2.4844720496894408</v>
      </c>
      <c r="U1841">
        <v>0.8033157849503062</v>
      </c>
      <c r="AT1841" s="4" t="s">
        <v>4801</v>
      </c>
    </row>
    <row r="1842" spans="1:46">
      <c r="A1842" s="2">
        <v>3123</v>
      </c>
      <c r="B1842" t="s">
        <v>6749</v>
      </c>
      <c r="C1842" t="s">
        <v>2545</v>
      </c>
      <c r="D1842" t="s">
        <v>3728</v>
      </c>
      <c r="E1842" s="4">
        <v>43465</v>
      </c>
      <c r="F1842" s="11">
        <v>-48.324345409999999</v>
      </c>
      <c r="G1842" s="11">
        <v>8.0128205099999992</v>
      </c>
      <c r="H1842" s="11">
        <v>16.265690039399999</v>
      </c>
      <c r="I1842" s="11">
        <v>15.381923718099999</v>
      </c>
      <c r="J1842" s="11">
        <v>1.4854677234</v>
      </c>
      <c r="K1842" s="10">
        <v>0.72984210436399999</v>
      </c>
      <c r="L1842" s="12">
        <v>3596161211.1599998</v>
      </c>
      <c r="M1842">
        <v>12.707638811071099</v>
      </c>
      <c r="N1842" s="7">
        <v>1.3135910892440299</v>
      </c>
      <c r="O1842" s="7">
        <v>0.60632131903798503</v>
      </c>
      <c r="P1842" s="7">
        <v>-15.9764543091355</v>
      </c>
      <c r="Q1842" s="7">
        <v>0.672782874617737</v>
      </c>
      <c r="U1842">
        <v>6.2834752406453365E-2</v>
      </c>
      <c r="AT1842" s="4" t="s">
        <v>6750</v>
      </c>
    </row>
    <row r="1843" spans="1:46">
      <c r="A1843" s="2">
        <v>2552</v>
      </c>
      <c r="B1843" t="s">
        <v>6751</v>
      </c>
      <c r="C1843" t="s">
        <v>881</v>
      </c>
      <c r="D1843" t="s">
        <v>3764</v>
      </c>
      <c r="E1843" s="4">
        <v>43465</v>
      </c>
      <c r="F1843" s="11">
        <v>-4.5833104000000002</v>
      </c>
      <c r="G1843" s="11">
        <v>8</v>
      </c>
      <c r="H1843" s="11">
        <v>23.5197614631</v>
      </c>
      <c r="I1843" s="11">
        <v>24.752548778400001</v>
      </c>
      <c r="J1843" s="11">
        <v>9.5497096424999999</v>
      </c>
      <c r="K1843" s="10">
        <v>0.47503521129300003</v>
      </c>
      <c r="L1843" s="12">
        <v>2038186800</v>
      </c>
      <c r="M1843">
        <v>15.5023111144839</v>
      </c>
      <c r="N1843" s="7">
        <v>1.23060782919224</v>
      </c>
      <c r="O1843" s="7">
        <v>0.97742412881598395</v>
      </c>
      <c r="P1843" s="7">
        <v>5.08239531463121</v>
      </c>
      <c r="Q1843" s="7">
        <v>2.4437816687616838</v>
      </c>
      <c r="U1843">
        <v>0.42554375183816867</v>
      </c>
      <c r="AT1843" s="4" t="s">
        <v>6752</v>
      </c>
    </row>
    <row r="1844" spans="1:46">
      <c r="A1844" s="2">
        <v>2187</v>
      </c>
      <c r="B1844" t="s">
        <v>6753</v>
      </c>
      <c r="C1844" t="s">
        <v>294</v>
      </c>
      <c r="D1844" t="s">
        <v>3972</v>
      </c>
      <c r="E1844" s="4">
        <v>43465</v>
      </c>
      <c r="F1844" s="11">
        <v>-38.540288519999997</v>
      </c>
      <c r="G1844" s="11">
        <v>7.9819277099999999</v>
      </c>
      <c r="H1844" s="11">
        <v>12.655209469100001</v>
      </c>
      <c r="I1844" s="11">
        <v>10.4509723373</v>
      </c>
      <c r="J1844" s="11">
        <v>2.4062998266000002</v>
      </c>
      <c r="K1844" s="10">
        <v>0.61775458940500005</v>
      </c>
      <c r="L1844" s="12">
        <v>19956148317.57</v>
      </c>
      <c r="M1844">
        <v>34.928826749159498</v>
      </c>
      <c r="N1844" s="7">
        <v>1.2530809959392599</v>
      </c>
      <c r="O1844" s="7">
        <v>0.58079806038746495</v>
      </c>
      <c r="P1844" s="7">
        <v>8.5533995567615193</v>
      </c>
      <c r="Q1844" s="7">
        <v>0.75642965204236012</v>
      </c>
      <c r="U1844">
        <v>0.24316932463762414</v>
      </c>
      <c r="AT1844" s="4" t="s">
        <v>6754</v>
      </c>
    </row>
    <row r="1845" spans="1:46">
      <c r="A1845" s="2">
        <v>3172</v>
      </c>
      <c r="B1845" t="s">
        <v>6755</v>
      </c>
      <c r="C1845" t="s">
        <v>1704</v>
      </c>
      <c r="D1845" t="s">
        <v>3778</v>
      </c>
      <c r="E1845" s="4">
        <v>43465</v>
      </c>
      <c r="F1845" s="11">
        <v>-9.7691647899999996</v>
      </c>
      <c r="G1845" s="11">
        <v>7.9569892500000003</v>
      </c>
      <c r="H1845" s="11">
        <v>27.759533009399998</v>
      </c>
      <c r="I1845" s="11">
        <v>28.640282405800001</v>
      </c>
      <c r="J1845" s="11">
        <v>5.9800096534999998</v>
      </c>
      <c r="K1845" s="10">
        <v>0.40561086758300002</v>
      </c>
      <c r="L1845" s="12">
        <v>2309398272</v>
      </c>
      <c r="M1845">
        <v>15.6542441677562</v>
      </c>
      <c r="N1845" s="7">
        <v>0.66915227120861298</v>
      </c>
      <c r="O1845" s="7">
        <v>0.62729593484198498</v>
      </c>
      <c r="P1845" s="7">
        <v>-5905.4391580459796</v>
      </c>
      <c r="Q1845" s="7">
        <v>1.5983606557377052</v>
      </c>
      <c r="U1845">
        <v>0.25904406020293114</v>
      </c>
      <c r="AT1845" s="4" t="s">
        <v>4298</v>
      </c>
    </row>
    <row r="1846" spans="1:46">
      <c r="A1846" s="2">
        <v>665</v>
      </c>
      <c r="B1846" t="s">
        <v>6756</v>
      </c>
      <c r="C1846" t="s">
        <v>1857</v>
      </c>
      <c r="D1846" t="s">
        <v>3728</v>
      </c>
      <c r="E1846" s="4">
        <v>43465</v>
      </c>
      <c r="F1846" s="11">
        <v>-4.3793496000000003</v>
      </c>
      <c r="G1846" s="11">
        <v>7.92079208</v>
      </c>
      <c r="H1846" s="11">
        <v>19.545115838400001</v>
      </c>
      <c r="I1846" s="11">
        <v>61.055625619200001</v>
      </c>
      <c r="J1846" s="11">
        <v>1.6378169086000001</v>
      </c>
      <c r="K1846" s="10">
        <v>0.73580986023399997</v>
      </c>
      <c r="L1846" s="12">
        <v>4075968000</v>
      </c>
      <c r="M1846">
        <v>49.251216555516201</v>
      </c>
      <c r="N1846" s="7">
        <v>1.4035833318319</v>
      </c>
      <c r="O1846" s="7">
        <v>1.2643284712455201</v>
      </c>
      <c r="P1846" s="7">
        <v>74.352678020368103</v>
      </c>
      <c r="Q1846" s="7">
        <v>3.2894736842105261</v>
      </c>
      <c r="U1846">
        <v>4.1199574187356917E-2</v>
      </c>
      <c r="AT1846" s="4" t="s">
        <v>3904</v>
      </c>
    </row>
    <row r="1847" spans="1:46">
      <c r="A1847" s="2">
        <v>1486</v>
      </c>
      <c r="B1847" t="s">
        <v>6757</v>
      </c>
      <c r="C1847" t="s">
        <v>2504</v>
      </c>
      <c r="D1847" t="s">
        <v>4060</v>
      </c>
      <c r="E1847" s="4">
        <v>43465</v>
      </c>
      <c r="F1847" s="11">
        <v>-47.440180429999998</v>
      </c>
      <c r="G1847" s="11">
        <v>7.8991596599999996</v>
      </c>
      <c r="H1847" s="11">
        <v>16.0007350407</v>
      </c>
      <c r="I1847" s="11">
        <v>50.924089408299999</v>
      </c>
      <c r="J1847" s="11">
        <v>-31.8353194705</v>
      </c>
      <c r="K1847" s="10">
        <v>0.62390411907499999</v>
      </c>
      <c r="L1847" s="12">
        <v>2267334371.1599998</v>
      </c>
      <c r="M1847">
        <v>13.1402655095411</v>
      </c>
      <c r="N1847" s="7">
        <v>3.5577384078362999</v>
      </c>
      <c r="O1847" s="7">
        <v>1.8747318501194601</v>
      </c>
      <c r="P1847" s="7">
        <v>-43.042220989734197</v>
      </c>
      <c r="Q1847" s="7" t="s">
        <v>3698</v>
      </c>
      <c r="U1847">
        <v>-1.1586088617713433</v>
      </c>
      <c r="AT1847" s="4" t="s">
        <v>5324</v>
      </c>
    </row>
    <row r="1848" spans="1:46">
      <c r="A1848" s="2">
        <v>1994</v>
      </c>
      <c r="B1848" t="s">
        <v>6758</v>
      </c>
      <c r="C1848" t="s">
        <v>1040</v>
      </c>
      <c r="D1848" t="s">
        <v>3718</v>
      </c>
      <c r="E1848" s="4">
        <v>43465</v>
      </c>
      <c r="F1848" s="11">
        <v>119.57133472</v>
      </c>
      <c r="G1848" s="11">
        <v>7.8431372499999998</v>
      </c>
      <c r="H1848" s="11">
        <v>28.170558715999999</v>
      </c>
      <c r="I1848" s="11">
        <v>49.036192267499999</v>
      </c>
      <c r="J1848" s="11">
        <v>23.6859644536</v>
      </c>
      <c r="K1848" s="10">
        <v>0.47582195129600002</v>
      </c>
      <c r="L1848" s="12">
        <v>7449008868</v>
      </c>
      <c r="M1848">
        <v>52.923201790637997</v>
      </c>
      <c r="N1848" s="7">
        <v>7.7797617141039703</v>
      </c>
      <c r="O1848" s="7">
        <v>10.822124603193499</v>
      </c>
      <c r="P1848" s="7">
        <v>-38.489844397642202</v>
      </c>
      <c r="Q1848" s="7">
        <v>0.28643446379468379</v>
      </c>
      <c r="U1848">
        <v>1.0350284638171046</v>
      </c>
      <c r="AT1848" s="4" t="s">
        <v>4635</v>
      </c>
    </row>
    <row r="1849" spans="1:46">
      <c r="A1849" s="2">
        <v>412</v>
      </c>
      <c r="B1849" t="s">
        <v>6759</v>
      </c>
      <c r="C1849" t="s">
        <v>1944</v>
      </c>
      <c r="D1849" t="s">
        <v>3718</v>
      </c>
      <c r="E1849" s="4">
        <v>43465</v>
      </c>
      <c r="F1849" s="11">
        <v>-14.44125938</v>
      </c>
      <c r="G1849" s="11">
        <v>7.7777777800000001</v>
      </c>
      <c r="H1849" s="11">
        <v>19.815407167299998</v>
      </c>
      <c r="I1849" s="11">
        <v>15.397456826399999</v>
      </c>
      <c r="J1849" s="11">
        <v>1.7559249595999999</v>
      </c>
      <c r="K1849" s="10">
        <v>0.63119431399500003</v>
      </c>
      <c r="L1849" s="12">
        <v>2792113354.9200001</v>
      </c>
      <c r="M1849">
        <v>33.829368846398097</v>
      </c>
      <c r="N1849" s="7">
        <v>1.4484197512521799</v>
      </c>
      <c r="O1849" s="7">
        <v>0.83889223227809995</v>
      </c>
      <c r="P1849" s="7">
        <v>25.6572787214531</v>
      </c>
      <c r="Q1849" s="7">
        <v>0.2743484224965706</v>
      </c>
      <c r="U1849">
        <v>0.1505446449752898</v>
      </c>
      <c r="AT1849" s="4" t="s">
        <v>3765</v>
      </c>
    </row>
    <row r="1850" spans="1:46">
      <c r="A1850" s="2">
        <v>2272</v>
      </c>
      <c r="B1850" t="s">
        <v>6760</v>
      </c>
      <c r="C1850" t="s">
        <v>812</v>
      </c>
      <c r="D1850" t="s">
        <v>3842</v>
      </c>
      <c r="E1850" s="4">
        <v>43465</v>
      </c>
      <c r="F1850" s="11">
        <v>-4.7586663299999996</v>
      </c>
      <c r="G1850" s="11">
        <v>7.7605321500000004</v>
      </c>
      <c r="H1850" s="11">
        <v>-5.0475579979000003</v>
      </c>
      <c r="I1850" s="11">
        <v>12.672452100599999</v>
      </c>
      <c r="J1850" s="11">
        <v>7.3995753429000004</v>
      </c>
      <c r="K1850" s="10">
        <v>1.052413416259</v>
      </c>
      <c r="L1850" s="12">
        <v>4225908025.6399999</v>
      </c>
      <c r="M1850">
        <v>7.0437714732150702</v>
      </c>
      <c r="N1850" s="7">
        <v>0.82366610401474805</v>
      </c>
      <c r="O1850" s="7">
        <v>0.56105092813011903</v>
      </c>
      <c r="P1850" s="7">
        <v>3.88455300517324</v>
      </c>
      <c r="Q1850" s="7" t="s">
        <v>3698</v>
      </c>
      <c r="U1850">
        <v>0.57375010338146348</v>
      </c>
      <c r="AT1850" s="4" t="s">
        <v>3822</v>
      </c>
    </row>
    <row r="1851" spans="1:46">
      <c r="A1851" s="2">
        <v>2101</v>
      </c>
      <c r="B1851" t="s">
        <v>6761</v>
      </c>
      <c r="C1851" t="s">
        <v>1840</v>
      </c>
      <c r="D1851" t="s">
        <v>3737</v>
      </c>
      <c r="E1851" s="4">
        <v>43465</v>
      </c>
      <c r="F1851" s="11">
        <v>-44.163519819999998</v>
      </c>
      <c r="G1851" s="11">
        <v>7.7431192700000002</v>
      </c>
      <c r="H1851" s="11">
        <v>-21.244042799300001</v>
      </c>
      <c r="I1851" s="11">
        <v>92.517627993199994</v>
      </c>
      <c r="J1851" s="11">
        <v>15.4794599795</v>
      </c>
      <c r="K1851" s="10">
        <v>0.290776435078</v>
      </c>
      <c r="L1851" s="12">
        <v>5753012522.3999996</v>
      </c>
      <c r="M1851">
        <v>42.958250610500897</v>
      </c>
      <c r="N1851" s="7">
        <v>1.9776135935322401</v>
      </c>
      <c r="O1851" s="7">
        <v>4.8117994563284601</v>
      </c>
      <c r="P1851" s="7">
        <v>13.5160696280054</v>
      </c>
      <c r="Q1851" s="7">
        <v>0.69954529555788736</v>
      </c>
      <c r="U1851">
        <v>0.91081910809574451</v>
      </c>
      <c r="AT1851" s="4" t="s">
        <v>5025</v>
      </c>
    </row>
    <row r="1852" spans="1:46">
      <c r="A1852" s="2">
        <v>3477</v>
      </c>
      <c r="B1852" t="s">
        <v>6762</v>
      </c>
      <c r="C1852" t="s">
        <v>1757</v>
      </c>
      <c r="D1852" t="s">
        <v>3718</v>
      </c>
      <c r="E1852" s="4">
        <v>43465</v>
      </c>
      <c r="F1852" s="11">
        <v>-33.132004610000003</v>
      </c>
      <c r="G1852" s="11">
        <v>7.72532189</v>
      </c>
      <c r="H1852" s="11">
        <v>5.7635426264999996</v>
      </c>
      <c r="I1852" s="11">
        <v>53.344225238500002</v>
      </c>
      <c r="J1852" s="11">
        <v>19.735317333400001</v>
      </c>
      <c r="K1852" s="10">
        <v>0.41750300159499998</v>
      </c>
      <c r="L1852" s="12">
        <v>4362395047.0799999</v>
      </c>
      <c r="M1852">
        <v>31.2535824043579</v>
      </c>
      <c r="N1852" s="7">
        <v>2.3587889474171799</v>
      </c>
      <c r="O1852" s="7">
        <v>5.1175626770583298</v>
      </c>
      <c r="P1852" s="7">
        <v>522.10418249830195</v>
      </c>
      <c r="Q1852" s="7">
        <v>0.78403421240199578</v>
      </c>
      <c r="U1852">
        <v>0.54226380210852121</v>
      </c>
      <c r="AT1852" s="4" t="s">
        <v>4590</v>
      </c>
    </row>
    <row r="1853" spans="1:46">
      <c r="A1853" s="2">
        <v>3438</v>
      </c>
      <c r="B1853" t="s">
        <v>6763</v>
      </c>
      <c r="C1853" t="s">
        <v>639</v>
      </c>
      <c r="D1853" t="s">
        <v>3977</v>
      </c>
      <c r="E1853" s="4">
        <v>43465</v>
      </c>
      <c r="F1853" s="11">
        <v>-37.103909250000001</v>
      </c>
      <c r="G1853" s="11">
        <v>7.7168706800000004</v>
      </c>
      <c r="H1853" s="11">
        <v>9.2872743187999998</v>
      </c>
      <c r="I1853" s="11">
        <v>29.418192575599999</v>
      </c>
      <c r="J1853" s="11">
        <v>18.380739367</v>
      </c>
      <c r="K1853" s="10">
        <v>0.52810359091400005</v>
      </c>
      <c r="L1853" s="12">
        <v>4035688880.96</v>
      </c>
      <c r="M1853">
        <v>29.556005713817001</v>
      </c>
      <c r="N1853" s="7">
        <v>3.11769863706626</v>
      </c>
      <c r="O1853" s="7">
        <v>5.0212817730401902</v>
      </c>
      <c r="P1853" s="7">
        <v>-17.928122836180499</v>
      </c>
      <c r="Q1853" s="7">
        <v>1.1260053619302948</v>
      </c>
      <c r="U1853">
        <v>0.6706015185929648</v>
      </c>
      <c r="AT1853" s="4" t="s">
        <v>6764</v>
      </c>
    </row>
    <row r="1854" spans="1:46">
      <c r="A1854" s="2">
        <v>3612</v>
      </c>
      <c r="B1854" t="s">
        <v>6765</v>
      </c>
      <c r="C1854" t="s">
        <v>399</v>
      </c>
      <c r="D1854" t="s">
        <v>3752</v>
      </c>
      <c r="E1854" s="4">
        <v>43465</v>
      </c>
      <c r="F1854" s="11">
        <v>-47.284376330000001</v>
      </c>
      <c r="G1854" s="11">
        <v>7.7167019000000003</v>
      </c>
      <c r="H1854" s="11">
        <v>2.7636303726999998</v>
      </c>
      <c r="I1854" s="11">
        <v>26.940815708100001</v>
      </c>
      <c r="J1854" s="11">
        <v>10.241420765999999</v>
      </c>
      <c r="K1854" s="10">
        <v>1.0075386025299999</v>
      </c>
      <c r="L1854" s="12">
        <v>22299857067.84</v>
      </c>
      <c r="M1854">
        <v>23.176247740644001</v>
      </c>
      <c r="N1854" s="7">
        <v>2.6804105415356698</v>
      </c>
      <c r="O1854" s="7">
        <v>2.5662310059972002</v>
      </c>
      <c r="P1854" s="7">
        <v>50.702287152548898</v>
      </c>
      <c r="Q1854" s="7">
        <v>0.98826436071649171</v>
      </c>
      <c r="U1854">
        <v>0.75283167129042017</v>
      </c>
      <c r="AT1854" s="4" t="s">
        <v>6766</v>
      </c>
    </row>
    <row r="1855" spans="1:46">
      <c r="A1855" s="2">
        <v>1776</v>
      </c>
      <c r="B1855" t="s">
        <v>6767</v>
      </c>
      <c r="C1855" t="s">
        <v>1576</v>
      </c>
      <c r="D1855" t="s">
        <v>3849</v>
      </c>
      <c r="E1855" s="4">
        <v>43465</v>
      </c>
      <c r="F1855" s="11">
        <v>-37.60694213</v>
      </c>
      <c r="G1855" s="11">
        <v>7.6923076899999998</v>
      </c>
      <c r="H1855" s="11">
        <v>3.1390673997</v>
      </c>
      <c r="I1855" s="11">
        <v>35.531358596700002</v>
      </c>
      <c r="J1855" s="11">
        <v>-37.0549931157</v>
      </c>
      <c r="K1855" s="10">
        <v>0.41905226845799998</v>
      </c>
      <c r="L1855" s="12">
        <v>14962208065.09</v>
      </c>
      <c r="M1855">
        <v>19.023424202941001</v>
      </c>
      <c r="N1855" s="7">
        <v>1.4964715027208</v>
      </c>
      <c r="O1855" s="7">
        <v>2.3742331578909899</v>
      </c>
      <c r="P1855" s="7">
        <v>-311.80981995082101</v>
      </c>
      <c r="Q1855" s="7" t="s">
        <v>3698</v>
      </c>
      <c r="U1855">
        <v>-1.1926780524657503</v>
      </c>
      <c r="AT1855" s="4" t="s">
        <v>4701</v>
      </c>
    </row>
    <row r="1856" spans="1:46">
      <c r="A1856" s="2">
        <v>2576</v>
      </c>
      <c r="B1856" t="s">
        <v>6768</v>
      </c>
      <c r="C1856" t="s">
        <v>592</v>
      </c>
      <c r="D1856" t="s">
        <v>3858</v>
      </c>
      <c r="E1856" s="4">
        <v>43465</v>
      </c>
      <c r="F1856" s="11">
        <v>-21.601117420000001</v>
      </c>
      <c r="G1856" s="11">
        <v>7.68094535</v>
      </c>
      <c r="H1856" s="11">
        <v>13.0886678209</v>
      </c>
      <c r="I1856" s="11">
        <v>9.4549523222000005</v>
      </c>
      <c r="J1856" s="11">
        <v>4.6649730473000002</v>
      </c>
      <c r="K1856" s="10">
        <v>0.45536505024899998</v>
      </c>
      <c r="L1856" s="12">
        <v>23605924636.98</v>
      </c>
      <c r="M1856">
        <v>14.4971974135744</v>
      </c>
      <c r="N1856" s="7">
        <v>1.07423886715759</v>
      </c>
      <c r="O1856" s="7">
        <v>0.50651404342823103</v>
      </c>
      <c r="P1856" s="7">
        <v>9.47606278900078</v>
      </c>
      <c r="Q1856" s="7">
        <v>0.80753701211305517</v>
      </c>
      <c r="U1856">
        <v>0.60283043432187933</v>
      </c>
      <c r="AT1856" s="4" t="s">
        <v>6769</v>
      </c>
    </row>
    <row r="1857" spans="1:46">
      <c r="A1857" s="2">
        <v>2355</v>
      </c>
      <c r="B1857" t="s">
        <v>6770</v>
      </c>
      <c r="C1857" t="s">
        <v>3320</v>
      </c>
      <c r="D1857" t="s">
        <v>3728</v>
      </c>
      <c r="E1857" s="4">
        <v>43465</v>
      </c>
      <c r="F1857" s="11">
        <v>-24.613609919999998</v>
      </c>
      <c r="G1857" s="11">
        <v>7.6190476199999999</v>
      </c>
      <c r="H1857" s="11">
        <v>12.5281851401</v>
      </c>
      <c r="I1857" s="11">
        <v>21.476820286199999</v>
      </c>
      <c r="J1857" s="11">
        <v>6.2384987496999997</v>
      </c>
      <c r="K1857" s="10">
        <v>0.50442312661900002</v>
      </c>
      <c r="L1857" s="12">
        <v>2963846880.48</v>
      </c>
      <c r="M1857">
        <v>29.812623329353801</v>
      </c>
      <c r="N1857" s="7">
        <v>1.7087339693128201</v>
      </c>
      <c r="O1857" s="7">
        <v>1.60829201638787</v>
      </c>
      <c r="P1857" s="7">
        <v>-10.835101852578401</v>
      </c>
      <c r="Q1857" s="7">
        <v>1.4018691588785048</v>
      </c>
      <c r="U1857">
        <v>7.6253723536334139E-2</v>
      </c>
      <c r="AT1857" s="4" t="s">
        <v>6771</v>
      </c>
    </row>
    <row r="1858" spans="1:46">
      <c r="A1858" s="2">
        <v>1470</v>
      </c>
      <c r="B1858" t="s">
        <v>6772</v>
      </c>
      <c r="C1858" t="s">
        <v>1498</v>
      </c>
      <c r="D1858" t="s">
        <v>3713</v>
      </c>
      <c r="E1858" s="4">
        <v>43465</v>
      </c>
      <c r="F1858" s="11">
        <v>-21.846311050000001</v>
      </c>
      <c r="G1858" s="11">
        <v>7.6033057900000003</v>
      </c>
      <c r="H1858" s="11">
        <v>-15.3946570815</v>
      </c>
      <c r="I1858" s="11">
        <v>34.621885361300002</v>
      </c>
      <c r="J1858" s="11">
        <v>5.8329843706000002</v>
      </c>
      <c r="K1858" s="10">
        <v>0.27982219350900001</v>
      </c>
      <c r="L1858" s="12">
        <v>5624655505.4700003</v>
      </c>
      <c r="M1858">
        <v>30.969151175271499</v>
      </c>
      <c r="N1858" s="7">
        <v>3.5380789530532102</v>
      </c>
      <c r="O1858" s="7">
        <v>3.34728681086257</v>
      </c>
      <c r="P1858" s="7">
        <v>144.88415999220101</v>
      </c>
      <c r="Q1858" s="7">
        <v>0.16393786222548701</v>
      </c>
      <c r="U1858">
        <v>9.6821048524077663E-2</v>
      </c>
      <c r="AT1858" s="4" t="s">
        <v>4616</v>
      </c>
    </row>
    <row r="1859" spans="1:46">
      <c r="A1859" s="2">
        <v>3208</v>
      </c>
      <c r="B1859" t="s">
        <v>6773</v>
      </c>
      <c r="C1859" t="s">
        <v>1601</v>
      </c>
      <c r="D1859" t="s">
        <v>3849</v>
      </c>
      <c r="E1859" s="4">
        <v>43465</v>
      </c>
      <c r="F1859" s="11">
        <v>-39.141745350000001</v>
      </c>
      <c r="G1859" s="11">
        <v>7.5993091499999998</v>
      </c>
      <c r="H1859" s="11">
        <v>36.746494785099998</v>
      </c>
      <c r="I1859" s="11">
        <v>24.9398566614</v>
      </c>
      <c r="J1859" s="11">
        <v>4.1983849405999996</v>
      </c>
      <c r="K1859" s="10">
        <v>0.499608820698</v>
      </c>
      <c r="L1859" s="12">
        <v>88078297013.479996</v>
      </c>
      <c r="M1859">
        <v>31.583269318700602</v>
      </c>
      <c r="N1859" s="7">
        <v>1.4117069490981899</v>
      </c>
      <c r="O1859" s="7">
        <v>1.77640271227657</v>
      </c>
      <c r="P1859" s="7">
        <v>24.126002563802398</v>
      </c>
      <c r="Q1859" s="7">
        <v>0.65828622521619562</v>
      </c>
      <c r="U1859">
        <v>0.15635846212602189</v>
      </c>
      <c r="AT1859" s="4" t="s">
        <v>6774</v>
      </c>
    </row>
    <row r="1860" spans="1:46">
      <c r="A1860" s="2">
        <v>2037</v>
      </c>
      <c r="B1860" t="s">
        <v>6775</v>
      </c>
      <c r="C1860" t="s">
        <v>49</v>
      </c>
      <c r="D1860" t="s">
        <v>3769</v>
      </c>
      <c r="E1860" s="4">
        <v>43465</v>
      </c>
      <c r="F1860" s="11">
        <v>-20.245955550000001</v>
      </c>
      <c r="G1860" s="11">
        <v>7.5863930899999996</v>
      </c>
      <c r="H1860" s="11">
        <v>89.942924235999996</v>
      </c>
      <c r="I1860" s="11">
        <v>45.299460147600001</v>
      </c>
      <c r="J1860" s="11">
        <v>25.307023174600001</v>
      </c>
      <c r="K1860" s="10">
        <v>0.98942386177700004</v>
      </c>
      <c r="L1860" s="12">
        <v>66558490268</v>
      </c>
      <c r="M1860">
        <v>16.969324231584199</v>
      </c>
      <c r="N1860" s="7">
        <v>8.0091778186799605</v>
      </c>
      <c r="O1860" s="7">
        <v>5.3250536057416102</v>
      </c>
      <c r="P1860" s="7">
        <v>120.616651122785</v>
      </c>
      <c r="Q1860" s="7">
        <v>1.0911311743987231</v>
      </c>
      <c r="T1860" s="2"/>
      <c r="U1860">
        <v>3.6855652652604163</v>
      </c>
      <c r="AT1860" s="4" t="s">
        <v>6764</v>
      </c>
    </row>
    <row r="1861" spans="1:46">
      <c r="A1861" s="2">
        <v>1213</v>
      </c>
      <c r="B1861" t="s">
        <v>6776</v>
      </c>
      <c r="C1861" t="s">
        <v>1685</v>
      </c>
      <c r="D1861" t="s">
        <v>3785</v>
      </c>
      <c r="E1861" s="4">
        <v>43465</v>
      </c>
      <c r="F1861" s="11">
        <v>-17.488706140000001</v>
      </c>
      <c r="G1861" s="11">
        <v>7.5187969900000002</v>
      </c>
      <c r="H1861" s="11">
        <v>18.239750200300001</v>
      </c>
      <c r="I1861" s="11">
        <v>33.276844425999997</v>
      </c>
      <c r="J1861" s="11">
        <v>3.0488511495999999</v>
      </c>
      <c r="K1861" s="10">
        <v>1.0274676978899999</v>
      </c>
      <c r="L1861" s="12">
        <v>3920710234.2800002</v>
      </c>
      <c r="M1861">
        <v>107.647462333768</v>
      </c>
      <c r="N1861" s="7">
        <v>2.5241187112230201</v>
      </c>
      <c r="O1861" s="7">
        <v>1.7535100728031501</v>
      </c>
      <c r="P1861" s="7">
        <v>-3205.7472920775399</v>
      </c>
      <c r="Q1861" s="7">
        <v>1.2315270935960592</v>
      </c>
      <c r="U1861">
        <v>7.2581949455029549E-2</v>
      </c>
      <c r="AT1861" s="4" t="s">
        <v>6777</v>
      </c>
    </row>
    <row r="1862" spans="1:46">
      <c r="A1862" s="2">
        <v>2723</v>
      </c>
      <c r="B1862" t="s">
        <v>6778</v>
      </c>
      <c r="C1862" t="s">
        <v>1185</v>
      </c>
      <c r="D1862" t="s">
        <v>3972</v>
      </c>
      <c r="E1862" s="4">
        <v>43465</v>
      </c>
      <c r="F1862" s="11">
        <v>-26.929045599999998</v>
      </c>
      <c r="G1862" s="11">
        <v>7.5132275100000001</v>
      </c>
      <c r="H1862" s="11">
        <v>2.8142901048</v>
      </c>
      <c r="I1862" s="11">
        <v>17.597963733899999</v>
      </c>
      <c r="J1862" s="11">
        <v>13.0430570359</v>
      </c>
      <c r="K1862" s="10">
        <v>0.53796365375999999</v>
      </c>
      <c r="L1862" s="12">
        <v>4318711402.9399996</v>
      </c>
      <c r="M1862">
        <v>22.785037661778301</v>
      </c>
      <c r="N1862" s="7">
        <v>1.60744315423869</v>
      </c>
      <c r="O1862" s="7">
        <v>2.21572027506501</v>
      </c>
      <c r="P1862" s="7">
        <v>-1037.2817911560801</v>
      </c>
      <c r="Q1862" s="7">
        <v>2.5826446280991737</v>
      </c>
      <c r="U1862">
        <v>0.48420699401724343</v>
      </c>
      <c r="AT1862" s="4" t="s">
        <v>6779</v>
      </c>
    </row>
    <row r="1863" spans="1:46">
      <c r="A1863" s="2">
        <v>1750</v>
      </c>
      <c r="B1863" t="s">
        <v>6780</v>
      </c>
      <c r="C1863" t="s">
        <v>2105</v>
      </c>
      <c r="D1863" t="s">
        <v>3752</v>
      </c>
      <c r="E1863" s="4">
        <v>43465</v>
      </c>
      <c r="F1863" s="11">
        <v>-49.125731940000001</v>
      </c>
      <c r="G1863" s="11">
        <v>7.4433657000000002</v>
      </c>
      <c r="H1863" s="11">
        <v>22.744827238700001</v>
      </c>
      <c r="I1863" s="11">
        <v>13.353974863199999</v>
      </c>
      <c r="J1863" s="11">
        <v>-4.0620274833999996</v>
      </c>
      <c r="K1863" s="10">
        <v>0.50095996588199998</v>
      </c>
      <c r="L1863" s="12">
        <v>9310652766.7199993</v>
      </c>
      <c r="M1863">
        <v>242.212076129986</v>
      </c>
      <c r="N1863" s="7">
        <v>2.8554253898658799</v>
      </c>
      <c r="O1863" s="7">
        <v>1.39656222918438</v>
      </c>
      <c r="P1863" s="7">
        <v>-11.404302824587001</v>
      </c>
      <c r="Q1863" s="7" t="s">
        <v>3698</v>
      </c>
      <c r="U1863">
        <v>-0.10014356135493589</v>
      </c>
      <c r="AT1863" s="4" t="s">
        <v>6453</v>
      </c>
    </row>
    <row r="1864" spans="1:46">
      <c r="A1864" s="2">
        <v>3623</v>
      </c>
      <c r="B1864" t="s">
        <v>6781</v>
      </c>
      <c r="C1864" t="s">
        <v>1249</v>
      </c>
      <c r="D1864" t="s">
        <v>3737</v>
      </c>
      <c r="E1864" s="4">
        <v>43465</v>
      </c>
      <c r="F1864" s="11">
        <v>-9.7544831100000007</v>
      </c>
      <c r="G1864" s="11">
        <v>7.4233128800000001</v>
      </c>
      <c r="H1864" s="11">
        <v>17.122638455800001</v>
      </c>
      <c r="I1864" s="11">
        <v>28.6680789485</v>
      </c>
      <c r="J1864" s="11">
        <v>13.8921156114</v>
      </c>
      <c r="K1864" s="10">
        <v>0.54454528901099997</v>
      </c>
      <c r="L1864" s="12">
        <v>18875627797.759998</v>
      </c>
      <c r="M1864">
        <v>30.036312707220901</v>
      </c>
      <c r="N1864" s="7">
        <v>2.4969725172242301</v>
      </c>
      <c r="O1864" s="7">
        <v>4.2427419109801896</v>
      </c>
      <c r="P1864" s="7">
        <v>-40.805343306124598</v>
      </c>
      <c r="Q1864" s="7">
        <v>0.32867707477403452</v>
      </c>
      <c r="U1864">
        <v>0.54739833597883603</v>
      </c>
      <c r="AT1864" s="4" t="s">
        <v>6782</v>
      </c>
    </row>
    <row r="1865" spans="1:46">
      <c r="A1865" s="2">
        <v>1123</v>
      </c>
      <c r="B1865" t="s">
        <v>6783</v>
      </c>
      <c r="C1865" t="s">
        <v>1207</v>
      </c>
      <c r="D1865" t="s">
        <v>3728</v>
      </c>
      <c r="E1865" s="4">
        <v>43465</v>
      </c>
      <c r="F1865" s="11">
        <v>-7.5593175600000002</v>
      </c>
      <c r="G1865" s="11">
        <v>7.4031890699999998</v>
      </c>
      <c r="H1865" s="11">
        <v>13.1002597134</v>
      </c>
      <c r="I1865" s="11">
        <v>57.947746661399997</v>
      </c>
      <c r="J1865" s="11">
        <v>7.6774320484</v>
      </c>
      <c r="K1865" s="10">
        <v>0.37433872760499998</v>
      </c>
      <c r="L1865" s="12">
        <v>2161866915</v>
      </c>
      <c r="M1865">
        <v>14.8557045355646</v>
      </c>
      <c r="N1865" s="7">
        <v>1.5748763833778101</v>
      </c>
      <c r="O1865" s="7">
        <v>1.2984822615438001</v>
      </c>
      <c r="P1865" s="7">
        <v>26.974024436973199</v>
      </c>
      <c r="Q1865" s="7">
        <v>1.6756817305218445</v>
      </c>
      <c r="U1865">
        <v>0.52613272412500001</v>
      </c>
      <c r="AT1865" s="4" t="s">
        <v>6277</v>
      </c>
    </row>
    <row r="1866" spans="1:46">
      <c r="A1866" s="2">
        <v>1178</v>
      </c>
      <c r="B1866" t="s">
        <v>6784</v>
      </c>
      <c r="C1866" t="s">
        <v>2027</v>
      </c>
      <c r="D1866" t="s">
        <v>3718</v>
      </c>
      <c r="E1866" s="4">
        <v>43465</v>
      </c>
      <c r="F1866" s="11">
        <v>-28.896651030000001</v>
      </c>
      <c r="G1866" s="11">
        <v>7.3170731699999996</v>
      </c>
      <c r="H1866" s="11">
        <v>2.5119143658</v>
      </c>
      <c r="I1866" s="11">
        <v>41.054527359300003</v>
      </c>
      <c r="J1866" s="11">
        <v>6.1265131951000003</v>
      </c>
      <c r="K1866" s="10">
        <v>0.20409740725700001</v>
      </c>
      <c r="L1866" s="12">
        <v>16514454615.870001</v>
      </c>
      <c r="M1866">
        <v>264.06888169705201</v>
      </c>
      <c r="N1866" s="7">
        <v>1.9741784026581899</v>
      </c>
      <c r="O1866" s="7">
        <v>7.8913653285749401</v>
      </c>
      <c r="P1866" s="7">
        <v>-42.613045549750602</v>
      </c>
      <c r="Q1866" s="7">
        <v>0.15060240963855423</v>
      </c>
      <c r="U1866">
        <v>5.4519098783379197E-2</v>
      </c>
      <c r="AT1866" s="4" t="s">
        <v>4288</v>
      </c>
    </row>
    <row r="1867" spans="1:46">
      <c r="A1867" s="2">
        <v>2635</v>
      </c>
      <c r="B1867" t="s">
        <v>6785</v>
      </c>
      <c r="C1867" t="s">
        <v>2610</v>
      </c>
      <c r="D1867" t="s">
        <v>3718</v>
      </c>
      <c r="E1867" s="4">
        <v>43465</v>
      </c>
      <c r="F1867" s="11">
        <v>-15.808143469999999</v>
      </c>
      <c r="G1867" s="11">
        <v>7.3019802</v>
      </c>
      <c r="H1867" s="11">
        <v>4.0507824434000002</v>
      </c>
      <c r="I1867" s="11">
        <v>26.177821698100001</v>
      </c>
      <c r="J1867" s="11">
        <v>4.1648303562000004</v>
      </c>
      <c r="K1867" s="10">
        <v>0.339286699563</v>
      </c>
      <c r="L1867" s="12">
        <v>3109953153.5999999</v>
      </c>
      <c r="M1867">
        <v>115.12518356948</v>
      </c>
      <c r="N1867" s="7">
        <v>2.3865875163472001</v>
      </c>
      <c r="O1867" s="7">
        <v>3.1797983118014801</v>
      </c>
      <c r="P1867" s="7">
        <v>-54.032711939500302</v>
      </c>
      <c r="Q1867" s="7">
        <v>0.35626535626535627</v>
      </c>
      <c r="U1867">
        <v>9.3925444732847294E-2</v>
      </c>
      <c r="AT1867" s="4" t="s">
        <v>6786</v>
      </c>
    </row>
    <row r="1868" spans="1:46">
      <c r="A1868" s="2">
        <v>2529</v>
      </c>
      <c r="B1868" t="s">
        <v>6787</v>
      </c>
      <c r="C1868" t="s">
        <v>3664</v>
      </c>
      <c r="D1868" t="s">
        <v>3832</v>
      </c>
      <c r="E1868" s="4">
        <v>43465</v>
      </c>
      <c r="F1868" s="11">
        <v>-30.017152660000001</v>
      </c>
      <c r="G1868" s="11">
        <v>7.1801566599999997</v>
      </c>
      <c r="H1868" s="11">
        <v>-96.514431588099995</v>
      </c>
      <c r="I1868" s="11">
        <v>68.307596864299995</v>
      </c>
      <c r="J1868" s="11">
        <v>-1107.4332716495001</v>
      </c>
      <c r="K1868" s="10">
        <v>1.9971662074000002E-2</v>
      </c>
      <c r="L1868" s="12">
        <v>2230246368</v>
      </c>
      <c r="M1868">
        <v>-151.814031957049</v>
      </c>
      <c r="N1868" s="7">
        <v>702.62515772061204</v>
      </c>
      <c r="O1868" s="7">
        <v>429.21252477517999</v>
      </c>
      <c r="P1868" s="7">
        <v>-827.53060672896697</v>
      </c>
      <c r="Q1868" s="7" t="s">
        <v>3698</v>
      </c>
      <c r="U1868">
        <v>-4.5654463496932515E-2</v>
      </c>
      <c r="AT1868" s="4" t="s">
        <v>6788</v>
      </c>
    </row>
    <row r="1869" spans="1:46">
      <c r="A1869" s="2">
        <v>2582</v>
      </c>
      <c r="B1869" t="s">
        <v>6789</v>
      </c>
      <c r="C1869" t="s">
        <v>715</v>
      </c>
      <c r="D1869" t="s">
        <v>3718</v>
      </c>
      <c r="E1869" s="4">
        <v>43465</v>
      </c>
      <c r="F1869" s="11">
        <v>-60.705532689999998</v>
      </c>
      <c r="G1869" s="11">
        <v>7.1782178200000004</v>
      </c>
      <c r="H1869" s="11">
        <v>5.9758005256000004</v>
      </c>
      <c r="I1869" s="11">
        <v>20.570523399599999</v>
      </c>
      <c r="J1869" s="11">
        <v>-8.4726047585999993</v>
      </c>
      <c r="K1869" s="10">
        <v>0.49681805336099999</v>
      </c>
      <c r="L1869" s="12">
        <v>1792791000</v>
      </c>
      <c r="M1869">
        <v>31.9586750109465</v>
      </c>
      <c r="N1869" s="7">
        <v>1.72039932241868</v>
      </c>
      <c r="O1869" s="7">
        <v>1.0190377003018201</v>
      </c>
      <c r="P1869" s="7">
        <v>21.592929816845899</v>
      </c>
      <c r="Q1869" s="7" t="s">
        <v>3698</v>
      </c>
      <c r="U1869">
        <v>-0.37317806671231524</v>
      </c>
      <c r="AT1869" s="4" t="s">
        <v>6790</v>
      </c>
    </row>
    <row r="1870" spans="1:46">
      <c r="A1870" s="2">
        <v>2143</v>
      </c>
      <c r="B1870" t="s">
        <v>6791</v>
      </c>
      <c r="C1870" t="s">
        <v>1384</v>
      </c>
      <c r="D1870" t="s">
        <v>4060</v>
      </c>
      <c r="E1870" s="4">
        <v>43465</v>
      </c>
      <c r="F1870" s="11">
        <v>-25.096048710000002</v>
      </c>
      <c r="G1870" s="11">
        <v>7.1428571400000003</v>
      </c>
      <c r="H1870" s="11">
        <v>26.602957162199999</v>
      </c>
      <c r="I1870" s="11">
        <v>44.198310981299997</v>
      </c>
      <c r="J1870" s="11">
        <v>6.0828063915000001</v>
      </c>
      <c r="K1870" s="10">
        <v>0.83648815119999997</v>
      </c>
      <c r="L1870" s="12">
        <v>3194043582</v>
      </c>
      <c r="M1870">
        <v>39.749929375032202</v>
      </c>
      <c r="N1870" s="7">
        <v>2.64981159982923</v>
      </c>
      <c r="O1870" s="7">
        <v>2.1797212451077401</v>
      </c>
      <c r="P1870" s="7">
        <v>178.091104061583</v>
      </c>
      <c r="Q1870" s="7">
        <v>0.88024327692802706</v>
      </c>
      <c r="U1870">
        <v>0.6589665370647102</v>
      </c>
      <c r="AT1870" s="4" t="s">
        <v>4753</v>
      </c>
    </row>
    <row r="1871" spans="1:46">
      <c r="A1871" s="2">
        <v>1374</v>
      </c>
      <c r="B1871" t="s">
        <v>6792</v>
      </c>
      <c r="C1871" t="s">
        <v>371</v>
      </c>
      <c r="D1871" t="s">
        <v>3728</v>
      </c>
      <c r="E1871" s="4">
        <v>43465</v>
      </c>
      <c r="F1871" s="11">
        <v>-22.519106229999998</v>
      </c>
      <c r="G1871" s="11">
        <v>7.1179344000000002</v>
      </c>
      <c r="H1871" s="11">
        <v>17.560038687999999</v>
      </c>
      <c r="I1871" s="11">
        <v>55.252773819399998</v>
      </c>
      <c r="J1871" s="11">
        <v>6.8769391136999998</v>
      </c>
      <c r="K1871" s="10">
        <v>1.0439025162069999</v>
      </c>
      <c r="L1871" s="12">
        <v>3379884760.1700001</v>
      </c>
      <c r="M1871">
        <v>29.791079852395299</v>
      </c>
      <c r="N1871" s="7">
        <v>2.1994818958035101</v>
      </c>
      <c r="O1871" s="7">
        <v>1.6339734526479099</v>
      </c>
      <c r="P1871" s="7">
        <v>17.807904230575598</v>
      </c>
      <c r="Q1871" s="7">
        <v>1.0941236001504631</v>
      </c>
      <c r="U1871">
        <v>0.63154551469437148</v>
      </c>
      <c r="AT1871" s="4" t="s">
        <v>6793</v>
      </c>
    </row>
    <row r="1872" spans="1:46">
      <c r="A1872" s="2">
        <v>978</v>
      </c>
      <c r="B1872" t="s">
        <v>6794</v>
      </c>
      <c r="C1872" t="s">
        <v>2463</v>
      </c>
      <c r="D1872" t="s">
        <v>3713</v>
      </c>
      <c r="E1872" s="4">
        <v>43465</v>
      </c>
      <c r="F1872" s="11">
        <v>20.79819723</v>
      </c>
      <c r="G1872" s="11">
        <v>7.1146245099999996</v>
      </c>
      <c r="H1872" s="11">
        <v>11.112232561600001</v>
      </c>
      <c r="I1872" s="11">
        <v>58.801592832300003</v>
      </c>
      <c r="J1872" s="11">
        <v>8.0055638940999998</v>
      </c>
      <c r="K1872" s="10">
        <v>0.377883920072</v>
      </c>
      <c r="L1872" s="12">
        <v>11182530651.049999</v>
      </c>
      <c r="M1872">
        <v>127.530972356147</v>
      </c>
      <c r="N1872" s="7">
        <v>5.0487470926334197</v>
      </c>
      <c r="O1872" s="7">
        <v>4.5503528790159402</v>
      </c>
      <c r="P1872" s="7">
        <v>-16.1371789501469</v>
      </c>
      <c r="Q1872" s="7">
        <v>1.1329630234804462</v>
      </c>
      <c r="U1872">
        <v>0.108231904210145</v>
      </c>
      <c r="AT1872" s="4" t="s">
        <v>6002</v>
      </c>
    </row>
    <row r="1873" spans="1:46">
      <c r="A1873" s="2">
        <v>6</v>
      </c>
      <c r="B1873" t="s">
        <v>6795</v>
      </c>
      <c r="C1873" t="s">
        <v>289</v>
      </c>
      <c r="D1873" t="s">
        <v>3871</v>
      </c>
      <c r="E1873" s="4">
        <v>43465</v>
      </c>
      <c r="F1873" s="11">
        <v>-41.969393109999999</v>
      </c>
      <c r="G1873" s="11">
        <v>7.1022521899999997</v>
      </c>
      <c r="H1873" s="11">
        <v>-15.1246271263</v>
      </c>
      <c r="I1873" s="11">
        <v>38.786578021799997</v>
      </c>
      <c r="J1873" s="11">
        <v>36.750978100399998</v>
      </c>
      <c r="K1873" s="10">
        <v>0.18831776369299999</v>
      </c>
      <c r="L1873" s="12">
        <v>4066015943.2800002</v>
      </c>
      <c r="M1873">
        <v>7.23564930586892</v>
      </c>
      <c r="N1873" s="7">
        <v>1.1283232666882099</v>
      </c>
      <c r="O1873" s="7">
        <v>3.1301336617361999</v>
      </c>
      <c r="P1873" s="7">
        <v>-5.3290317769800097</v>
      </c>
      <c r="Q1873" s="7">
        <v>3.80859375</v>
      </c>
      <c r="U1873">
        <v>0.64759002028219292</v>
      </c>
      <c r="V1873">
        <v>4.5908829082329996</v>
      </c>
      <c r="AT1873" s="4" t="s">
        <v>6796</v>
      </c>
    </row>
    <row r="1874" spans="1:46">
      <c r="A1874" s="2">
        <v>2112</v>
      </c>
      <c r="B1874" t="s">
        <v>6797</v>
      </c>
      <c r="C1874" t="s">
        <v>1566</v>
      </c>
      <c r="D1874" t="s">
        <v>3849</v>
      </c>
      <c r="E1874" s="4">
        <v>43465</v>
      </c>
      <c r="F1874" s="11">
        <v>-30.667428300000001</v>
      </c>
      <c r="G1874" s="11">
        <v>7.0921985799999998</v>
      </c>
      <c r="H1874" s="11">
        <v>-18.256553596</v>
      </c>
      <c r="I1874" s="11">
        <v>44.151090542299997</v>
      </c>
      <c r="J1874" s="11">
        <v>39.394024701799999</v>
      </c>
      <c r="K1874" s="10">
        <v>0.24937933812999999</v>
      </c>
      <c r="L1874" s="12">
        <v>5147150906.9200001</v>
      </c>
      <c r="M1874">
        <v>21.168343368519899</v>
      </c>
      <c r="N1874" s="7">
        <v>2.18143044091841</v>
      </c>
      <c r="O1874" s="7">
        <v>7.3126652891985104</v>
      </c>
      <c r="P1874" s="7">
        <v>-4.0690440830782704</v>
      </c>
      <c r="Q1874" s="7">
        <v>1.8008283810552854</v>
      </c>
      <c r="U1874">
        <v>2.9386280111641523</v>
      </c>
      <c r="AT1874" s="4" t="s">
        <v>3931</v>
      </c>
    </row>
    <row r="1875" spans="1:46">
      <c r="A1875" s="2">
        <v>1143</v>
      </c>
      <c r="B1875" t="s">
        <v>6798</v>
      </c>
      <c r="C1875" t="s">
        <v>1081</v>
      </c>
      <c r="D1875" t="s">
        <v>3752</v>
      </c>
      <c r="E1875" s="4">
        <v>43465</v>
      </c>
      <c r="F1875" s="11">
        <v>-3.6813626300000002</v>
      </c>
      <c r="G1875" s="11">
        <v>7.0707070700000001</v>
      </c>
      <c r="H1875" s="11">
        <v>48.408225849700003</v>
      </c>
      <c r="I1875" s="11">
        <v>37.414809499599997</v>
      </c>
      <c r="J1875" s="11">
        <v>17.150170208799999</v>
      </c>
      <c r="K1875" s="10">
        <v>0.52595590964799999</v>
      </c>
      <c r="L1875" s="12">
        <v>2229403370.1300001</v>
      </c>
      <c r="M1875">
        <v>22.392320074763401</v>
      </c>
      <c r="N1875" s="7">
        <v>2.4379639079898001</v>
      </c>
      <c r="O1875" s="7">
        <v>3.81717575274486</v>
      </c>
      <c r="P1875" s="7">
        <v>-36.666957920447999</v>
      </c>
      <c r="Q1875" s="7">
        <v>5.5717584289859339</v>
      </c>
      <c r="U1875">
        <v>0.32793322696861393</v>
      </c>
      <c r="AT1875" s="4" t="s">
        <v>6799</v>
      </c>
    </row>
    <row r="1876" spans="1:46">
      <c r="A1876" s="2">
        <v>2569</v>
      </c>
      <c r="B1876" t="s">
        <v>6800</v>
      </c>
      <c r="C1876" t="s">
        <v>1377</v>
      </c>
      <c r="D1876" t="s">
        <v>3764</v>
      </c>
      <c r="E1876" s="4">
        <v>43465</v>
      </c>
      <c r="F1876" s="11">
        <v>27.951970370000002</v>
      </c>
      <c r="G1876" s="11">
        <v>7.0588235299999997</v>
      </c>
      <c r="H1876" s="11">
        <v>37.567874152400002</v>
      </c>
      <c r="I1876" s="11">
        <v>19.596099689700001</v>
      </c>
      <c r="J1876" s="11">
        <v>11.569541580799999</v>
      </c>
      <c r="K1876" s="10">
        <v>0.398277080329</v>
      </c>
      <c r="L1876" s="12">
        <v>22147433285.669998</v>
      </c>
      <c r="M1876">
        <v>12.234015930238099</v>
      </c>
      <c r="N1876" s="7">
        <v>1.2234720135417101</v>
      </c>
      <c r="O1876" s="7">
        <v>1.52007766273156</v>
      </c>
      <c r="P1876" s="7">
        <v>54.826951612339201</v>
      </c>
      <c r="Q1876" s="7">
        <v>2.3595489485542496</v>
      </c>
      <c r="U1876">
        <v>0.67688292138559636</v>
      </c>
      <c r="AT1876" s="4" t="s">
        <v>6801</v>
      </c>
    </row>
    <row r="1877" spans="1:46">
      <c r="A1877" s="2">
        <v>2332</v>
      </c>
      <c r="B1877" t="s">
        <v>6802</v>
      </c>
      <c r="C1877" t="s">
        <v>672</v>
      </c>
      <c r="D1877" t="s">
        <v>3781</v>
      </c>
      <c r="E1877" s="4">
        <v>43465</v>
      </c>
      <c r="F1877" s="11">
        <v>18.737899509999998</v>
      </c>
      <c r="G1877" s="11">
        <v>7.04887218</v>
      </c>
      <c r="H1877" s="11">
        <v>8.9565828249999999</v>
      </c>
      <c r="I1877" s="11">
        <v>29.498017593899998</v>
      </c>
      <c r="J1877" s="11">
        <v>10.1490208807</v>
      </c>
      <c r="K1877" s="10">
        <v>0.67565672174699998</v>
      </c>
      <c r="L1877" s="12">
        <v>2072075600</v>
      </c>
      <c r="M1877">
        <v>14.585097528001</v>
      </c>
      <c r="N1877" s="7">
        <v>1.60245591157205</v>
      </c>
      <c r="O1877" s="7">
        <v>1.3789483302535701</v>
      </c>
      <c r="P1877" s="7">
        <v>-12.2403135150533</v>
      </c>
      <c r="Q1877" s="7">
        <v>1.4168618266978923</v>
      </c>
      <c r="U1877">
        <v>0.69073480652130559</v>
      </c>
      <c r="AT1877" s="4" t="s">
        <v>4480</v>
      </c>
    </row>
    <row r="1878" spans="1:46">
      <c r="A1878" s="2">
        <v>808</v>
      </c>
      <c r="B1878" t="s">
        <v>6803</v>
      </c>
      <c r="C1878" t="s">
        <v>2653</v>
      </c>
      <c r="D1878" t="s">
        <v>3769</v>
      </c>
      <c r="E1878" s="4">
        <v>43465</v>
      </c>
      <c r="F1878" s="11">
        <v>-43.085106379999999</v>
      </c>
      <c r="G1878" s="11">
        <v>7.0469798700000004</v>
      </c>
      <c r="H1878" s="11">
        <v>-6.4825715194000004</v>
      </c>
      <c r="I1878" s="11">
        <v>26.874982948500001</v>
      </c>
      <c r="J1878" s="11">
        <v>5.4364349313</v>
      </c>
      <c r="K1878" s="10">
        <v>0.229146030438</v>
      </c>
      <c r="L1878" s="12">
        <v>5598842586.0500002</v>
      </c>
      <c r="M1878">
        <v>-59.402885348252802</v>
      </c>
      <c r="N1878" s="7">
        <v>1.9614535314249599</v>
      </c>
      <c r="O1878" s="7">
        <v>5.0287161107141998</v>
      </c>
      <c r="P1878" s="7">
        <v>-9.5685323021683804</v>
      </c>
      <c r="Q1878" s="7" t="s">
        <v>3698</v>
      </c>
      <c r="U1878">
        <v>5.7430791626861814E-2</v>
      </c>
      <c r="AT1878" s="4" t="s">
        <v>4562</v>
      </c>
    </row>
    <row r="1879" spans="1:46">
      <c r="A1879" s="2">
        <v>1274</v>
      </c>
      <c r="B1879" t="s">
        <v>6804</v>
      </c>
      <c r="C1879" t="s">
        <v>2245</v>
      </c>
      <c r="D1879" t="s">
        <v>3761</v>
      </c>
      <c r="E1879" s="4">
        <v>43465</v>
      </c>
      <c r="F1879" s="11">
        <v>-27.46310566</v>
      </c>
      <c r="G1879" s="11">
        <v>7.0212766000000002</v>
      </c>
      <c r="H1879" s="11">
        <v>-6.7097088081000003</v>
      </c>
      <c r="I1879" s="11">
        <v>33.538034602400003</v>
      </c>
      <c r="J1879" s="11">
        <v>8.9337310042000002</v>
      </c>
      <c r="K1879" s="10">
        <v>0.35011809972300001</v>
      </c>
      <c r="L1879" s="12">
        <v>3168090717.75</v>
      </c>
      <c r="M1879">
        <v>79.710754989144505</v>
      </c>
      <c r="N1879" s="7">
        <v>2.9587848956043699</v>
      </c>
      <c r="O1879" s="7">
        <v>6.9442576535811602</v>
      </c>
      <c r="P1879" s="7">
        <v>197.760414822695</v>
      </c>
      <c r="Q1879" s="7">
        <v>0.22048364153627312</v>
      </c>
      <c r="U1879">
        <v>0.17213666193333332</v>
      </c>
      <c r="AT1879" s="4" t="s">
        <v>5294</v>
      </c>
    </row>
    <row r="1880" spans="1:46">
      <c r="A1880" s="2">
        <v>2470</v>
      </c>
      <c r="B1880" t="s">
        <v>6805</v>
      </c>
      <c r="C1880" t="s">
        <v>1456</v>
      </c>
      <c r="D1880" t="s">
        <v>3972</v>
      </c>
      <c r="E1880" s="4">
        <v>43465</v>
      </c>
      <c r="F1880" s="11">
        <v>-10.41678666</v>
      </c>
      <c r="G1880" s="11">
        <v>7.01754386</v>
      </c>
      <c r="H1880" s="11">
        <v>-15.9776365996</v>
      </c>
      <c r="I1880" s="11">
        <v>49.479723982300001</v>
      </c>
      <c r="J1880" s="11">
        <v>53.104680643800002</v>
      </c>
      <c r="K1880" s="10">
        <v>0.11435138220299999</v>
      </c>
      <c r="L1880" s="12">
        <v>2636928000</v>
      </c>
      <c r="M1880">
        <v>11.2808553068253</v>
      </c>
      <c r="N1880" s="7">
        <v>0.80476902945207496</v>
      </c>
      <c r="O1880" s="7">
        <v>3.3639151621391199</v>
      </c>
      <c r="P1880" s="7">
        <v>127.603213284723</v>
      </c>
      <c r="Q1880" s="7">
        <v>4.6428571428571432</v>
      </c>
      <c r="U1880">
        <v>0.61188718044645873</v>
      </c>
      <c r="AT1880" s="4" t="s">
        <v>6806</v>
      </c>
    </row>
    <row r="1881" spans="1:46">
      <c r="A1881" s="2">
        <v>832</v>
      </c>
      <c r="B1881" t="s">
        <v>6807</v>
      </c>
      <c r="C1881" t="s">
        <v>2672</v>
      </c>
      <c r="D1881" t="s">
        <v>3781</v>
      </c>
      <c r="E1881" s="4">
        <v>43465</v>
      </c>
      <c r="F1881" s="11">
        <v>-54.508244079999997</v>
      </c>
      <c r="G1881" s="11">
        <v>6.9767441899999998</v>
      </c>
      <c r="H1881" s="11">
        <v>29.765277147799999</v>
      </c>
      <c r="I1881" s="11">
        <v>11.075175416800001</v>
      </c>
      <c r="J1881" s="11">
        <v>3.5844045127999999</v>
      </c>
      <c r="K1881" s="10">
        <v>0.62461790573499998</v>
      </c>
      <c r="L1881" s="12">
        <v>4228887631.6799998</v>
      </c>
      <c r="M1881">
        <v>45.167960698805899</v>
      </c>
      <c r="N1881" s="7">
        <v>1.1156577262598699</v>
      </c>
      <c r="O1881" s="7">
        <v>0.512017677243922</v>
      </c>
      <c r="P1881" s="7">
        <v>-11.2124305553589</v>
      </c>
      <c r="Q1881" s="7" t="s">
        <v>3698</v>
      </c>
      <c r="U1881">
        <v>0.22251222893287947</v>
      </c>
      <c r="AT1881" s="4" t="s">
        <v>5702</v>
      </c>
    </row>
    <row r="1882" spans="1:46">
      <c r="A1882" s="2">
        <v>2876</v>
      </c>
      <c r="B1882" t="s">
        <v>6808</v>
      </c>
      <c r="C1882" t="s">
        <v>224</v>
      </c>
      <c r="D1882" t="s">
        <v>3764</v>
      </c>
      <c r="E1882" s="4">
        <v>43465</v>
      </c>
      <c r="F1882" s="11">
        <v>-21.431956599999999</v>
      </c>
      <c r="G1882" s="11">
        <v>6.9416498999999998</v>
      </c>
      <c r="H1882" s="11">
        <v>35.840750179300002</v>
      </c>
      <c r="I1882" s="11">
        <v>21.533903048799999</v>
      </c>
      <c r="J1882" s="11">
        <v>10.311591629300001</v>
      </c>
      <c r="K1882" s="10">
        <v>0.60495912260600004</v>
      </c>
      <c r="L1882" s="12">
        <v>1620235320</v>
      </c>
      <c r="M1882">
        <v>9.55493621408724</v>
      </c>
      <c r="N1882" s="7">
        <v>1.4305719221333699</v>
      </c>
      <c r="O1882" s="7">
        <v>0.95318165114373599</v>
      </c>
      <c r="P1882" s="7">
        <v>-74.644788971536201</v>
      </c>
      <c r="Q1882" s="7">
        <v>2.0689655172413794</v>
      </c>
      <c r="U1882">
        <v>1.074733409530803</v>
      </c>
      <c r="AT1882" s="4" t="s">
        <v>4775</v>
      </c>
    </row>
    <row r="1883" spans="1:46">
      <c r="A1883" s="2">
        <v>1346</v>
      </c>
      <c r="B1883" t="s">
        <v>6809</v>
      </c>
      <c r="C1883" t="s">
        <v>599</v>
      </c>
      <c r="D1883" t="s">
        <v>3721</v>
      </c>
      <c r="E1883" s="4">
        <v>43465</v>
      </c>
      <c r="F1883" s="11">
        <v>-30.21229855</v>
      </c>
      <c r="G1883" s="11">
        <v>6.9404279899999999</v>
      </c>
      <c r="H1883" s="11">
        <v>11.784376994300001</v>
      </c>
      <c r="I1883" s="11">
        <v>8.3777522868999998</v>
      </c>
      <c r="J1883" s="11">
        <v>2.3950440601</v>
      </c>
      <c r="K1883" s="10">
        <v>1.0687277411189999</v>
      </c>
      <c r="L1883" s="12">
        <v>1945715850</v>
      </c>
      <c r="M1883">
        <v>43.325370168302697</v>
      </c>
      <c r="N1883" s="7">
        <v>3.05877350174555</v>
      </c>
      <c r="O1883" s="7">
        <v>0.89877432123698997</v>
      </c>
      <c r="P1883" s="7">
        <v>-76.029400669117905</v>
      </c>
      <c r="Q1883" s="7">
        <v>0.28885037550548814</v>
      </c>
      <c r="U1883">
        <v>0.48368946223673387</v>
      </c>
      <c r="AT1883" s="4" t="s">
        <v>4703</v>
      </c>
    </row>
    <row r="1884" spans="1:46">
      <c r="A1884" s="2">
        <v>999</v>
      </c>
      <c r="B1884" t="s">
        <v>6810</v>
      </c>
      <c r="C1884" t="s">
        <v>2343</v>
      </c>
      <c r="D1884" t="s">
        <v>3849</v>
      </c>
      <c r="E1884" s="4">
        <v>43465</v>
      </c>
      <c r="F1884" s="11">
        <v>-9.3295598599999998</v>
      </c>
      <c r="G1884" s="11">
        <v>6.9381598799999997</v>
      </c>
      <c r="H1884" s="11">
        <v>-9.7456608971000005</v>
      </c>
      <c r="I1884" s="11">
        <v>14.7654451942</v>
      </c>
      <c r="J1884" s="11">
        <v>5.9890472048000003</v>
      </c>
      <c r="K1884" s="10">
        <v>0.378339076592</v>
      </c>
      <c r="L1884" s="12">
        <v>1596096000</v>
      </c>
      <c r="M1884">
        <v>77.936501897487901</v>
      </c>
      <c r="N1884" s="7">
        <v>1.68868090006706</v>
      </c>
      <c r="O1884" s="7">
        <v>2.0965061686258202</v>
      </c>
      <c r="P1884" s="7">
        <v>-13.514872240547501</v>
      </c>
      <c r="Q1884" s="7" t="s">
        <v>3698</v>
      </c>
      <c r="U1884">
        <v>0.16239864809983121</v>
      </c>
      <c r="AT1884" s="4" t="s">
        <v>4553</v>
      </c>
    </row>
    <row r="1885" spans="1:46">
      <c r="A1885" s="2">
        <v>2061</v>
      </c>
      <c r="B1885" t="s">
        <v>6811</v>
      </c>
      <c r="C1885" t="s">
        <v>1871</v>
      </c>
      <c r="D1885" t="s">
        <v>3737</v>
      </c>
      <c r="E1885" s="4">
        <v>43465</v>
      </c>
      <c r="F1885" s="11">
        <v>-31.921375640000001</v>
      </c>
      <c r="G1885" s="11">
        <v>6.8938193300000004</v>
      </c>
      <c r="H1885" s="11">
        <v>20.455786969999998</v>
      </c>
      <c r="I1885" s="11">
        <v>78.430844247300001</v>
      </c>
      <c r="J1885" s="11">
        <v>38.835755660099998</v>
      </c>
      <c r="K1885" s="10">
        <v>0.35804371672000002</v>
      </c>
      <c r="L1885" s="12">
        <v>6829300689.6599998</v>
      </c>
      <c r="M1885">
        <v>28.750671644496499</v>
      </c>
      <c r="N1885" s="7">
        <v>3.3582149001436798</v>
      </c>
      <c r="O1885" s="7">
        <v>9.8666258503223307</v>
      </c>
      <c r="P1885" s="7">
        <v>-10.620280534558299</v>
      </c>
      <c r="Q1885" s="7">
        <v>0.738373325556412</v>
      </c>
      <c r="U1885">
        <v>1.559730721909137</v>
      </c>
      <c r="AT1885" s="4" t="s">
        <v>4934</v>
      </c>
    </row>
    <row r="1886" spans="1:46">
      <c r="A1886" s="2">
        <v>1089</v>
      </c>
      <c r="B1886" t="s">
        <v>6812</v>
      </c>
      <c r="C1886" t="s">
        <v>2879</v>
      </c>
      <c r="D1886" t="s">
        <v>3769</v>
      </c>
      <c r="E1886" s="4">
        <v>43465</v>
      </c>
      <c r="F1886" s="11">
        <v>-23.04107321</v>
      </c>
      <c r="G1886" s="11">
        <v>6.8862275400000001</v>
      </c>
      <c r="H1886" s="11">
        <v>16.071970065199999</v>
      </c>
      <c r="I1886" s="11">
        <v>9.5740733858000002</v>
      </c>
      <c r="J1886" s="11">
        <v>2.3716078644</v>
      </c>
      <c r="K1886" s="10">
        <v>0.83681001502100005</v>
      </c>
      <c r="L1886" s="12">
        <v>2064753746.0999999</v>
      </c>
      <c r="M1886">
        <v>93.913689843570197</v>
      </c>
      <c r="N1886" s="7">
        <v>2.1966890132518202</v>
      </c>
      <c r="O1886" s="7">
        <v>2.41212585683799</v>
      </c>
      <c r="P1886" s="7">
        <v>-64.517454118834905</v>
      </c>
      <c r="Q1886" s="7" t="s">
        <v>3698</v>
      </c>
      <c r="U1886">
        <v>3.6237815259906388E-2</v>
      </c>
      <c r="AT1886" s="4" t="s">
        <v>5330</v>
      </c>
    </row>
    <row r="1887" spans="1:46">
      <c r="A1887" s="2">
        <v>1032</v>
      </c>
      <c r="B1887" t="s">
        <v>6813</v>
      </c>
      <c r="C1887" t="s">
        <v>2564</v>
      </c>
      <c r="D1887" t="s">
        <v>4060</v>
      </c>
      <c r="E1887" s="4">
        <v>43465</v>
      </c>
      <c r="F1887" s="11">
        <v>-32.356630150000001</v>
      </c>
      <c r="G1887" s="11">
        <v>6.8222621200000004</v>
      </c>
      <c r="H1887" s="11">
        <v>2.9603237005</v>
      </c>
      <c r="I1887" s="11">
        <v>11.2925163766</v>
      </c>
      <c r="J1887" s="11">
        <v>1.5860851389999999</v>
      </c>
      <c r="K1887" s="10">
        <v>0.83424573335300001</v>
      </c>
      <c r="L1887" s="12">
        <v>2066589569.0699999</v>
      </c>
      <c r="M1887">
        <v>38.984096413177099</v>
      </c>
      <c r="N1887" s="7">
        <v>0.81670357061638799</v>
      </c>
      <c r="O1887" s="7">
        <v>0.71638965443462599</v>
      </c>
      <c r="P1887" s="7">
        <v>-19.347894679089901</v>
      </c>
      <c r="Q1887" s="7">
        <v>0.89285714285714302</v>
      </c>
      <c r="U1887">
        <v>0.11796080115650132</v>
      </c>
      <c r="AT1887" s="4" t="s">
        <v>5523</v>
      </c>
    </row>
    <row r="1888" spans="1:46">
      <c r="A1888" s="2">
        <v>2434</v>
      </c>
      <c r="B1888" t="s">
        <v>6814</v>
      </c>
      <c r="C1888" t="s">
        <v>1975</v>
      </c>
      <c r="D1888" t="s">
        <v>3842</v>
      </c>
      <c r="E1888" s="4">
        <v>43465</v>
      </c>
      <c r="F1888" s="11">
        <v>-27.972027969999999</v>
      </c>
      <c r="G1888" s="11">
        <v>6.8062827199999996</v>
      </c>
      <c r="H1888" s="11">
        <v>10.8417990414</v>
      </c>
      <c r="I1888" s="11">
        <v>11.039541531499999</v>
      </c>
      <c r="J1888" s="11">
        <v>2.4188553135999999</v>
      </c>
      <c r="K1888" s="10">
        <v>1.140930786155</v>
      </c>
      <c r="L1888" s="12">
        <v>7296470909.4200001</v>
      </c>
      <c r="M1888">
        <v>13.255042338120401</v>
      </c>
      <c r="N1888" s="7">
        <v>1.1354558269089701</v>
      </c>
      <c r="O1888" s="7">
        <v>0.25595355656138902</v>
      </c>
      <c r="P1888" s="7">
        <v>221.77438435501301</v>
      </c>
      <c r="Q1888" s="7" t="s">
        <v>3698</v>
      </c>
      <c r="U1888">
        <v>0.17445389840808165</v>
      </c>
      <c r="AT1888" s="4" t="s">
        <v>6815</v>
      </c>
    </row>
    <row r="1889" spans="1:46">
      <c r="A1889" s="2">
        <v>1279</v>
      </c>
      <c r="B1889" t="s">
        <v>6816</v>
      </c>
      <c r="C1889" t="s">
        <v>695</v>
      </c>
      <c r="D1889" t="s">
        <v>3781</v>
      </c>
      <c r="E1889" s="4">
        <v>43465</v>
      </c>
      <c r="F1889" s="11">
        <v>-36.142209620000003</v>
      </c>
      <c r="G1889" s="11">
        <v>6.8006182400000004</v>
      </c>
      <c r="H1889" s="11">
        <v>25.228588149899998</v>
      </c>
      <c r="I1889" s="11">
        <v>27.8455162966</v>
      </c>
      <c r="J1889" s="11">
        <v>12.1699216435</v>
      </c>
      <c r="K1889" s="10">
        <v>0.22593298217999999</v>
      </c>
      <c r="L1889" s="12">
        <v>7235973446.5600004</v>
      </c>
      <c r="M1889">
        <v>22.516182552490601</v>
      </c>
      <c r="N1889" s="7">
        <v>0.99271095284752897</v>
      </c>
      <c r="O1889" s="7">
        <v>2.65430934876552</v>
      </c>
      <c r="P1889" s="7">
        <v>8.5351290671757702</v>
      </c>
      <c r="Q1889" s="7">
        <v>1.4925219411824147</v>
      </c>
      <c r="U1889">
        <v>0.29983671854722793</v>
      </c>
      <c r="AT1889" s="4" t="s">
        <v>5755</v>
      </c>
    </row>
    <row r="1890" spans="1:46">
      <c r="A1890" s="2">
        <v>162</v>
      </c>
      <c r="B1890" t="s">
        <v>6817</v>
      </c>
      <c r="C1890" t="s">
        <v>83</v>
      </c>
      <c r="D1890" t="s">
        <v>3752</v>
      </c>
      <c r="E1890" s="4">
        <v>43465</v>
      </c>
      <c r="F1890" s="11">
        <v>-36.006411249999999</v>
      </c>
      <c r="G1890" s="11">
        <v>6.79079956</v>
      </c>
      <c r="H1890" s="11">
        <v>7.5381341929000003</v>
      </c>
      <c r="I1890" s="11">
        <v>33.301332701200003</v>
      </c>
      <c r="J1890" s="11">
        <v>9.3790780358999992</v>
      </c>
      <c r="K1890" s="10">
        <v>0.62152685570099997</v>
      </c>
      <c r="L1890" s="12">
        <v>3994661007</v>
      </c>
      <c r="M1890">
        <v>24.494242105929199</v>
      </c>
      <c r="N1890" s="7">
        <v>1.22770209902056</v>
      </c>
      <c r="O1890" s="7">
        <v>0.91619516562323899</v>
      </c>
      <c r="P1890" s="7">
        <v>10.978425661501101</v>
      </c>
      <c r="Q1890" s="7">
        <v>0.98577235772357741</v>
      </c>
      <c r="U1890">
        <v>0.98197808446772039</v>
      </c>
      <c r="AT1890" s="4" t="s">
        <v>6818</v>
      </c>
    </row>
    <row r="1891" spans="1:46">
      <c r="A1891" s="2">
        <v>3439</v>
      </c>
      <c r="B1891" t="s">
        <v>6819</v>
      </c>
      <c r="C1891" t="s">
        <v>441</v>
      </c>
      <c r="D1891" t="s">
        <v>3977</v>
      </c>
      <c r="E1891" s="4">
        <v>43465</v>
      </c>
      <c r="F1891" s="11">
        <v>-49.382994089999997</v>
      </c>
      <c r="G1891" s="11">
        <v>6.77009873</v>
      </c>
      <c r="H1891" s="11">
        <v>19.702664935400001</v>
      </c>
      <c r="I1891" s="11">
        <v>34.066346340700001</v>
      </c>
      <c r="J1891" s="11">
        <v>10.8875406877</v>
      </c>
      <c r="K1891" s="10">
        <v>1.054512023269</v>
      </c>
      <c r="L1891" s="12">
        <v>4615787275.1000004</v>
      </c>
      <c r="M1891">
        <v>15.159655761307301</v>
      </c>
      <c r="N1891" s="7">
        <v>2.6662099593338699</v>
      </c>
      <c r="O1891" s="7">
        <v>1.6553276979582301</v>
      </c>
      <c r="P1891" s="7">
        <v>-6.3357462880411699</v>
      </c>
      <c r="Q1891" s="7">
        <v>1.0779734099892202</v>
      </c>
      <c r="U1891">
        <v>1.7800734205714286</v>
      </c>
      <c r="AT1891" s="4" t="s">
        <v>4817</v>
      </c>
    </row>
    <row r="1892" spans="1:46">
      <c r="A1892" s="2">
        <v>2826</v>
      </c>
      <c r="B1892" t="s">
        <v>6820</v>
      </c>
      <c r="C1892" t="s">
        <v>1103</v>
      </c>
      <c r="D1892" t="s">
        <v>3811</v>
      </c>
      <c r="E1892" s="4">
        <v>43465</v>
      </c>
      <c r="F1892" s="11">
        <v>-48.305647839999999</v>
      </c>
      <c r="G1892" s="11">
        <v>6.7438692099999997</v>
      </c>
      <c r="H1892" s="11">
        <v>457.51836550209998</v>
      </c>
      <c r="I1892" s="11">
        <v>1.4985926708999999</v>
      </c>
      <c r="J1892" s="11">
        <v>1.0654068753999999</v>
      </c>
      <c r="K1892" s="10">
        <v>8.5143537927710007</v>
      </c>
      <c r="L1892" s="12">
        <v>14276855844.4</v>
      </c>
      <c r="M1892">
        <v>230.67116243662301</v>
      </c>
      <c r="N1892" s="7">
        <v>10.296894834190599</v>
      </c>
      <c r="O1892" s="7">
        <v>1.1007331688367401</v>
      </c>
      <c r="P1892" s="7">
        <v>15.187597119357701</v>
      </c>
      <c r="Q1892" s="7" t="s">
        <v>3698</v>
      </c>
      <c r="U1892">
        <v>0.1635203290625</v>
      </c>
      <c r="AT1892" s="4" t="s">
        <v>3852</v>
      </c>
    </row>
    <row r="1893" spans="1:46">
      <c r="A1893" s="2">
        <v>827</v>
      </c>
      <c r="B1893" t="s">
        <v>6821</v>
      </c>
      <c r="C1893" t="s">
        <v>1318</v>
      </c>
      <c r="D1893" t="s">
        <v>3713</v>
      </c>
      <c r="E1893" s="4">
        <v>43465</v>
      </c>
      <c r="F1893" s="11">
        <v>-34.818231740000002</v>
      </c>
      <c r="G1893" s="11">
        <v>6.7238912700000002</v>
      </c>
      <c r="H1893" s="11">
        <v>279.20432145180001</v>
      </c>
      <c r="I1893" s="11">
        <v>34.853986054099998</v>
      </c>
      <c r="J1893" s="11">
        <v>8.1063970841999993</v>
      </c>
      <c r="K1893" s="10">
        <v>1.2663662785580001</v>
      </c>
      <c r="L1893" s="12">
        <v>9729812400</v>
      </c>
      <c r="M1893">
        <v>35.358467475092901</v>
      </c>
      <c r="N1893" s="7">
        <v>140.196728568411</v>
      </c>
      <c r="O1893" s="7">
        <v>0.78829205284839199</v>
      </c>
      <c r="P1893" s="7">
        <v>-11.5091126109466</v>
      </c>
      <c r="Q1893" s="7">
        <v>0.19354838709677419</v>
      </c>
      <c r="U1893">
        <v>0.2544424975071225</v>
      </c>
      <c r="AT1893" s="4" t="s">
        <v>4472</v>
      </c>
    </row>
    <row r="1894" spans="1:46">
      <c r="A1894" s="2">
        <v>2214</v>
      </c>
      <c r="B1894" t="s">
        <v>6822</v>
      </c>
      <c r="C1894" t="s">
        <v>3274</v>
      </c>
      <c r="D1894" t="s">
        <v>3871</v>
      </c>
      <c r="E1894" s="4">
        <v>43465</v>
      </c>
      <c r="F1894" s="11">
        <v>-36.141801389999998</v>
      </c>
      <c r="G1894" s="11">
        <v>6.7204301099999997</v>
      </c>
      <c r="H1894" s="11">
        <v>17.580174921800001</v>
      </c>
      <c r="I1894" s="11">
        <v>37.955510979099998</v>
      </c>
      <c r="J1894" s="11">
        <v>10.744962018700001</v>
      </c>
      <c r="K1894" s="10">
        <v>0.357851465333</v>
      </c>
      <c r="L1894" s="12">
        <v>3025842588.9000001</v>
      </c>
      <c r="M1894">
        <v>15.0747187618319</v>
      </c>
      <c r="N1894" s="7">
        <v>0.71034452208758403</v>
      </c>
      <c r="O1894" s="7">
        <v>0.79307613453232195</v>
      </c>
      <c r="P1894" s="7">
        <v>20.229989192676399</v>
      </c>
      <c r="Q1894" s="7">
        <v>2.6455026455026456</v>
      </c>
      <c r="U1894">
        <v>0.50863654858455631</v>
      </c>
      <c r="AT1894" s="4" t="s">
        <v>5917</v>
      </c>
    </row>
    <row r="1895" spans="1:46">
      <c r="A1895" s="2">
        <v>2297</v>
      </c>
      <c r="B1895" t="s">
        <v>6823</v>
      </c>
      <c r="C1895" t="s">
        <v>1306</v>
      </c>
      <c r="D1895" t="s">
        <v>3778</v>
      </c>
      <c r="E1895" s="4">
        <v>43465</v>
      </c>
      <c r="F1895" s="11">
        <v>-57.440476189999998</v>
      </c>
      <c r="G1895" s="11">
        <v>6.7164179099999997</v>
      </c>
      <c r="H1895" s="11">
        <v>-0.27230722010000002</v>
      </c>
      <c r="I1895" s="11">
        <v>26.531217666300002</v>
      </c>
      <c r="J1895" s="11">
        <v>0.71316208130000003</v>
      </c>
      <c r="K1895" s="10">
        <v>0.20895719428599999</v>
      </c>
      <c r="L1895" s="12">
        <v>2227500000</v>
      </c>
      <c r="M1895">
        <v>-46.401332935259099</v>
      </c>
      <c r="N1895" s="7">
        <v>0.85670555917958802</v>
      </c>
      <c r="O1895" s="7">
        <v>0.76139765974223395</v>
      </c>
      <c r="P1895" s="7">
        <v>-4.6168613778183101</v>
      </c>
      <c r="Q1895" s="7" t="s">
        <v>3698</v>
      </c>
      <c r="U1895">
        <v>5.3049727305640318E-3</v>
      </c>
      <c r="AT1895" s="4" t="s">
        <v>6824</v>
      </c>
    </row>
    <row r="1896" spans="1:46">
      <c r="A1896" s="2">
        <v>3231</v>
      </c>
      <c r="B1896" t="s">
        <v>6825</v>
      </c>
      <c r="C1896" t="s">
        <v>517</v>
      </c>
      <c r="D1896" t="s">
        <v>3849</v>
      </c>
      <c r="E1896" s="4">
        <v>43465</v>
      </c>
      <c r="F1896" s="11">
        <v>-12.01819631</v>
      </c>
      <c r="G1896" s="11">
        <v>6.6942148799999996</v>
      </c>
      <c r="H1896" s="11">
        <v>9.2943859676000002</v>
      </c>
      <c r="I1896" s="11">
        <v>20.935047682499999</v>
      </c>
      <c r="J1896" s="11">
        <v>23.004554745899998</v>
      </c>
      <c r="K1896" s="10">
        <v>0.37875471165000002</v>
      </c>
      <c r="L1896" s="12">
        <v>23622824357.869999</v>
      </c>
      <c r="M1896">
        <v>14.918629547832699</v>
      </c>
      <c r="N1896" s="7">
        <v>1.34995528070938</v>
      </c>
      <c r="O1896" s="7">
        <v>2.2822313632464799</v>
      </c>
      <c r="P1896" s="7">
        <v>-37.2218391062015</v>
      </c>
      <c r="Q1896" s="7">
        <v>3.894080996884735</v>
      </c>
      <c r="U1896">
        <v>1.2145853752857143</v>
      </c>
      <c r="AT1896" s="4" t="s">
        <v>6826</v>
      </c>
    </row>
    <row r="1897" spans="1:46">
      <c r="A1897" s="2">
        <v>3637</v>
      </c>
      <c r="B1897" t="s">
        <v>6827</v>
      </c>
      <c r="C1897" t="s">
        <v>369</v>
      </c>
      <c r="D1897" t="s">
        <v>3849</v>
      </c>
      <c r="E1897" s="4">
        <v>43465</v>
      </c>
      <c r="F1897" s="11">
        <v>-23.782974119999999</v>
      </c>
      <c r="G1897" s="11">
        <v>6.6666666699999997</v>
      </c>
      <c r="H1897" s="11">
        <v>13.1054462464</v>
      </c>
      <c r="I1897" s="11">
        <v>33.155799791900002</v>
      </c>
      <c r="J1897" s="11">
        <v>14.676887237900001</v>
      </c>
      <c r="K1897" s="10">
        <v>0.91052914470299995</v>
      </c>
      <c r="L1897" s="12">
        <v>2986687249</v>
      </c>
      <c r="M1897">
        <v>15.893003783073199</v>
      </c>
      <c r="N1897" s="7">
        <v>2.6221378633978198</v>
      </c>
      <c r="O1897" s="7">
        <v>2.2719862656950198</v>
      </c>
      <c r="P1897" s="7">
        <v>516.899895350826</v>
      </c>
      <c r="Q1897" s="7">
        <v>3.9745222929936306</v>
      </c>
      <c r="U1897">
        <v>0.47273677335538705</v>
      </c>
      <c r="AT1897" s="4" t="s">
        <v>4836</v>
      </c>
    </row>
    <row r="1898" spans="1:46">
      <c r="A1898" s="2">
        <v>3177</v>
      </c>
      <c r="B1898" t="s">
        <v>6828</v>
      </c>
      <c r="C1898" t="s">
        <v>153</v>
      </c>
      <c r="D1898" t="s">
        <v>3778</v>
      </c>
      <c r="E1898" s="4">
        <v>43465</v>
      </c>
      <c r="F1898" s="11">
        <v>-16.220157230000002</v>
      </c>
      <c r="G1898" s="11">
        <v>6.6445182699999998</v>
      </c>
      <c r="H1898" s="11">
        <v>17.1782940903</v>
      </c>
      <c r="I1898" s="11">
        <v>41.659808311500001</v>
      </c>
      <c r="J1898" s="11">
        <v>4.6504001854999997</v>
      </c>
      <c r="K1898" s="10">
        <v>0.29244458459799999</v>
      </c>
      <c r="L1898" s="12">
        <v>13080345531.120001</v>
      </c>
      <c r="M1898">
        <v>11.022490525084701</v>
      </c>
      <c r="N1898" s="7">
        <v>1.4706722985521801</v>
      </c>
      <c r="O1898" s="7">
        <v>0.88937801998501798</v>
      </c>
      <c r="P1898" s="7">
        <v>29.6923207784066</v>
      </c>
      <c r="Q1898" s="7">
        <v>0.29585798816568049</v>
      </c>
      <c r="U1898">
        <v>0.10087844355570715</v>
      </c>
      <c r="AT1898" s="4" t="s">
        <v>6829</v>
      </c>
    </row>
    <row r="1899" spans="1:46">
      <c r="A1899" s="2">
        <v>2354</v>
      </c>
      <c r="B1899" t="s">
        <v>6830</v>
      </c>
      <c r="C1899" t="s">
        <v>2308</v>
      </c>
      <c r="D1899" t="s">
        <v>3769</v>
      </c>
      <c r="E1899" s="4">
        <v>43465</v>
      </c>
      <c r="F1899" s="11">
        <v>-30.84241716</v>
      </c>
      <c r="G1899" s="11">
        <v>6.6350710900000003</v>
      </c>
      <c r="H1899" s="11">
        <v>18.481973207399999</v>
      </c>
      <c r="I1899" s="11">
        <v>17.381724089999999</v>
      </c>
      <c r="J1899" s="11">
        <v>7.5288691231999998</v>
      </c>
      <c r="K1899" s="10">
        <v>0.41127499493500003</v>
      </c>
      <c r="L1899" s="12">
        <v>3994922969.5999999</v>
      </c>
      <c r="M1899">
        <v>15.077034497675101</v>
      </c>
      <c r="N1899" s="7">
        <v>0.65961315999077397</v>
      </c>
      <c r="O1899" s="7">
        <v>1.25651578226355</v>
      </c>
      <c r="P1899" s="7">
        <v>-44.974698004986998</v>
      </c>
      <c r="Q1899" s="7">
        <v>2.3148148148148149</v>
      </c>
      <c r="U1899">
        <v>0.1203279635446857</v>
      </c>
      <c r="AT1899" s="4" t="s">
        <v>4266</v>
      </c>
    </row>
    <row r="1900" spans="1:46">
      <c r="A1900" s="2">
        <v>1448</v>
      </c>
      <c r="B1900" t="s">
        <v>6831</v>
      </c>
      <c r="C1900" t="s">
        <v>2919</v>
      </c>
      <c r="D1900" t="s">
        <v>3718</v>
      </c>
      <c r="E1900" s="4">
        <v>43465</v>
      </c>
      <c r="F1900" s="11">
        <v>-37.802907920000003</v>
      </c>
      <c r="G1900" s="11">
        <v>6.62983425</v>
      </c>
      <c r="H1900" s="11">
        <v>-4.0162698954999998</v>
      </c>
      <c r="I1900" s="11">
        <v>16.298363955500001</v>
      </c>
      <c r="J1900" s="11">
        <v>1.0776500813000001</v>
      </c>
      <c r="K1900" s="10">
        <v>1.5120843175550001</v>
      </c>
      <c r="L1900" s="12">
        <v>7210667137.3199997</v>
      </c>
      <c r="M1900">
        <v>-23.5350956219484</v>
      </c>
      <c r="N1900" s="7">
        <v>11.9204148715861</v>
      </c>
      <c r="O1900" s="7">
        <v>0.47743595445582399</v>
      </c>
      <c r="P1900" s="7">
        <v>58.693063084017801</v>
      </c>
      <c r="Q1900" s="7" t="s">
        <v>3698</v>
      </c>
      <c r="U1900">
        <v>2.7523849886747959E-2</v>
      </c>
      <c r="AT1900" s="4" t="s">
        <v>3770</v>
      </c>
    </row>
    <row r="1901" spans="1:46">
      <c r="A1901" s="2">
        <v>825</v>
      </c>
      <c r="B1901" t="s">
        <v>6832</v>
      </c>
      <c r="C1901" t="s">
        <v>3319</v>
      </c>
      <c r="D1901" t="s">
        <v>3871</v>
      </c>
      <c r="E1901" s="4">
        <v>43465</v>
      </c>
      <c r="F1901" s="11">
        <v>-50.483870969999998</v>
      </c>
      <c r="G1901" s="11">
        <v>6.6202090599999996</v>
      </c>
      <c r="H1901" s="11">
        <v>-4.1693450909000003</v>
      </c>
      <c r="I1901" s="11">
        <v>42.885234966299997</v>
      </c>
      <c r="J1901" s="11">
        <v>10.6874824195</v>
      </c>
      <c r="K1901" s="10">
        <v>0.29347270704200001</v>
      </c>
      <c r="L1901" s="12">
        <v>6220800000</v>
      </c>
      <c r="M1901">
        <v>10.258522669828899</v>
      </c>
      <c r="N1901" s="7">
        <v>0.963013424032927</v>
      </c>
      <c r="O1901" s="7">
        <v>1.02046026998397</v>
      </c>
      <c r="P1901" s="7">
        <v>-9.5890118246850093</v>
      </c>
      <c r="Q1901" s="7" t="s">
        <v>3698</v>
      </c>
      <c r="U1901">
        <v>0.18633930964085518</v>
      </c>
      <c r="AT1901" s="4" t="s">
        <v>5259</v>
      </c>
    </row>
    <row r="1902" spans="1:46">
      <c r="A1902" s="2">
        <v>2402</v>
      </c>
      <c r="B1902" t="s">
        <v>6833</v>
      </c>
      <c r="C1902" t="s">
        <v>1670</v>
      </c>
      <c r="D1902" t="s">
        <v>3737</v>
      </c>
      <c r="E1902" s="4">
        <v>43465</v>
      </c>
      <c r="F1902" s="11">
        <v>-27.890640810000001</v>
      </c>
      <c r="G1902" s="11">
        <v>6.6197183099999997</v>
      </c>
      <c r="H1902" s="11">
        <v>-8.7862365239999995</v>
      </c>
      <c r="I1902" s="11">
        <v>24.133815565399999</v>
      </c>
      <c r="J1902" s="11">
        <v>4.0044847124</v>
      </c>
      <c r="K1902" s="10">
        <v>0.85233954148500002</v>
      </c>
      <c r="L1902" s="12">
        <v>3738955239.9000001</v>
      </c>
      <c r="M1902">
        <v>53.634997391328703</v>
      </c>
      <c r="N1902" s="7">
        <v>3.4827996778307999</v>
      </c>
      <c r="O1902" s="7">
        <v>1.9414123938174801</v>
      </c>
      <c r="P1902" s="7">
        <v>-42.608056857416003</v>
      </c>
      <c r="Q1902" s="7">
        <v>0.62326869806094187</v>
      </c>
      <c r="U1902">
        <v>0.14499717781893004</v>
      </c>
      <c r="AT1902" s="4" t="s">
        <v>5928</v>
      </c>
    </row>
    <row r="1903" spans="1:46">
      <c r="A1903" s="2">
        <v>3095</v>
      </c>
      <c r="B1903" t="s">
        <v>6834</v>
      </c>
      <c r="C1903" t="s">
        <v>1138</v>
      </c>
      <c r="D1903" t="s">
        <v>3849</v>
      </c>
      <c r="E1903" s="4">
        <v>43465</v>
      </c>
      <c r="F1903" s="11">
        <v>-27.821707350000001</v>
      </c>
      <c r="G1903" s="11">
        <v>6.5685164199999999</v>
      </c>
      <c r="H1903" s="11">
        <v>21.0789560656</v>
      </c>
      <c r="I1903" s="11">
        <v>18.566389883599999</v>
      </c>
      <c r="J1903" s="11">
        <v>6.2211252120999996</v>
      </c>
      <c r="K1903" s="10">
        <v>0.91416219737100002</v>
      </c>
      <c r="L1903" s="12">
        <v>3517612133.7600002</v>
      </c>
      <c r="M1903">
        <v>16.224476299964799</v>
      </c>
      <c r="N1903" s="7">
        <v>1.4034377872572299</v>
      </c>
      <c r="O1903" s="7">
        <v>0.83901170667406499</v>
      </c>
      <c r="P1903" s="7">
        <v>86.162160471782499</v>
      </c>
      <c r="Q1903" s="7">
        <v>1.6648168701442838</v>
      </c>
      <c r="U1903">
        <v>0.65943706240661837</v>
      </c>
      <c r="AT1903" s="4" t="s">
        <v>6835</v>
      </c>
    </row>
    <row r="1904" spans="1:46">
      <c r="A1904" s="2">
        <v>1071</v>
      </c>
      <c r="B1904" t="s">
        <v>6836</v>
      </c>
      <c r="C1904" t="s">
        <v>2766</v>
      </c>
      <c r="D1904" t="s">
        <v>3761</v>
      </c>
      <c r="E1904" s="4">
        <v>43465</v>
      </c>
      <c r="F1904" s="11">
        <v>-20.464431059999999</v>
      </c>
      <c r="G1904" s="11">
        <v>6.51769088</v>
      </c>
      <c r="H1904" s="11">
        <v>46.196373956099997</v>
      </c>
      <c r="I1904" s="11">
        <v>8.8731300828999995</v>
      </c>
      <c r="J1904" s="11">
        <v>-0.89317272810000004</v>
      </c>
      <c r="K1904" s="10">
        <v>0.90311519651500005</v>
      </c>
      <c r="L1904" s="12">
        <v>2948327481.2399998</v>
      </c>
      <c r="M1904">
        <v>79.852171458010901</v>
      </c>
      <c r="N1904" s="7">
        <v>1.8377985253944999</v>
      </c>
      <c r="O1904" s="7">
        <v>1.09307633955229</v>
      </c>
      <c r="P1904" s="7">
        <v>304.41067897362899</v>
      </c>
      <c r="Q1904" s="7" t="s">
        <v>3698</v>
      </c>
      <c r="U1904">
        <v>-2.6927765019782494E-2</v>
      </c>
      <c r="AT1904" s="4" t="s">
        <v>6837</v>
      </c>
    </row>
    <row r="1905" spans="1:46">
      <c r="A1905" s="2">
        <v>980</v>
      </c>
      <c r="B1905" t="s">
        <v>6838</v>
      </c>
      <c r="C1905" t="s">
        <v>2437</v>
      </c>
      <c r="D1905" t="s">
        <v>3858</v>
      </c>
      <c r="E1905" s="4">
        <v>43465</v>
      </c>
      <c r="F1905" s="11">
        <v>-35.950331130000002</v>
      </c>
      <c r="G1905" s="11">
        <v>6.5104166699999997</v>
      </c>
      <c r="H1905" s="11">
        <v>-30.590642228299998</v>
      </c>
      <c r="I1905" s="11">
        <v>31.919232167000001</v>
      </c>
      <c r="J1905" s="11">
        <v>9.8363901913999996</v>
      </c>
      <c r="K1905" s="10">
        <v>0.31067059206100001</v>
      </c>
      <c r="L1905" s="12">
        <v>12902516293.440001</v>
      </c>
      <c r="M1905">
        <v>49.098535375985001</v>
      </c>
      <c r="N1905" s="7">
        <v>1.63296253026708</v>
      </c>
      <c r="O1905" s="7">
        <v>3.3915629081654002</v>
      </c>
      <c r="P1905" s="7">
        <v>22.022458700287199</v>
      </c>
      <c r="Q1905" s="7">
        <v>2.6385224274406336</v>
      </c>
      <c r="U1905">
        <v>7.9463139072282279E-2</v>
      </c>
      <c r="AT1905" s="4" t="s">
        <v>6002</v>
      </c>
    </row>
    <row r="1906" spans="1:46">
      <c r="A1906" s="2">
        <v>52</v>
      </c>
      <c r="B1906" t="s">
        <v>6839</v>
      </c>
      <c r="C1906" t="s">
        <v>1051</v>
      </c>
      <c r="D1906" t="s">
        <v>3778</v>
      </c>
      <c r="E1906" s="4">
        <v>43465</v>
      </c>
      <c r="F1906" s="11">
        <v>-33.631126049999999</v>
      </c>
      <c r="G1906" s="11">
        <v>6.4807018000000003</v>
      </c>
      <c r="H1906" s="11">
        <v>8.8080005416000002</v>
      </c>
      <c r="I1906" s="11">
        <v>17.213537097</v>
      </c>
      <c r="J1906" s="11">
        <v>3.0633442390000001</v>
      </c>
      <c r="K1906" s="10">
        <v>1.156675682658</v>
      </c>
      <c r="L1906" s="12">
        <v>2540745114.04</v>
      </c>
      <c r="M1906">
        <v>5.5850024687215898</v>
      </c>
      <c r="N1906" s="7">
        <v>0.72114327062880101</v>
      </c>
      <c r="O1906" s="7">
        <v>0.26792958559846303</v>
      </c>
      <c r="P1906" s="7">
        <v>-485.687096237297</v>
      </c>
      <c r="Q1906" s="7">
        <v>4.3327556325823222</v>
      </c>
      <c r="U1906">
        <v>0.65983551577883293</v>
      </c>
      <c r="AT1906" s="4" t="s">
        <v>5569</v>
      </c>
    </row>
    <row r="1907" spans="1:46">
      <c r="A1907" s="2">
        <v>3075</v>
      </c>
      <c r="B1907" t="s">
        <v>6840</v>
      </c>
      <c r="C1907" t="s">
        <v>1900</v>
      </c>
      <c r="D1907" t="s">
        <v>3764</v>
      </c>
      <c r="E1907" s="4">
        <v>43465</v>
      </c>
      <c r="F1907" s="11">
        <v>-30.388448879999999</v>
      </c>
      <c r="G1907" s="11">
        <v>6.4606741599999999</v>
      </c>
      <c r="H1907" s="11">
        <v>-18.3850774786</v>
      </c>
      <c r="I1907" s="11">
        <v>49.3742554998</v>
      </c>
      <c r="J1907" s="11">
        <v>21.497072427399999</v>
      </c>
      <c r="K1907" s="10">
        <v>0.19492250303299999</v>
      </c>
      <c r="L1907" s="12">
        <v>24465535820</v>
      </c>
      <c r="M1907">
        <v>19.557321372952298</v>
      </c>
      <c r="N1907" s="7">
        <v>1.2182572692769</v>
      </c>
      <c r="O1907" s="7">
        <v>3.5655322861114298</v>
      </c>
      <c r="P1907" s="7">
        <v>8.9123379254767094</v>
      </c>
      <c r="Q1907" s="7">
        <v>1.9178082191780819</v>
      </c>
      <c r="U1907">
        <v>0.20831663406135917</v>
      </c>
      <c r="AT1907" s="4" t="s">
        <v>6841</v>
      </c>
    </row>
    <row r="1908" spans="1:46">
      <c r="A1908" s="2">
        <v>524</v>
      </c>
      <c r="B1908" t="s">
        <v>6842</v>
      </c>
      <c r="C1908" t="s">
        <v>2993</v>
      </c>
      <c r="D1908" t="s">
        <v>4046</v>
      </c>
      <c r="E1908" s="4">
        <v>43465</v>
      </c>
      <c r="F1908" s="11">
        <v>-2.9150992800000002</v>
      </c>
      <c r="G1908" s="11">
        <v>6.4516128999999998</v>
      </c>
      <c r="H1908" s="11">
        <v>4.0834807072999997</v>
      </c>
      <c r="I1908" s="11">
        <v>26.2988775032</v>
      </c>
      <c r="J1908" s="11">
        <v>7.7971465858000002</v>
      </c>
      <c r="K1908" s="10">
        <v>0.47599618685299999</v>
      </c>
      <c r="L1908" s="12">
        <v>4354000000</v>
      </c>
      <c r="M1908">
        <v>36.622156787263101</v>
      </c>
      <c r="N1908" s="7">
        <v>2.75067216168951</v>
      </c>
      <c r="O1908" s="7">
        <v>2.3771614573010198</v>
      </c>
      <c r="P1908" s="7">
        <v>10.955740193606999</v>
      </c>
      <c r="Q1908" s="7">
        <v>0.46948287646891007</v>
      </c>
      <c r="U1908">
        <v>0.23186304189588716</v>
      </c>
      <c r="AT1908" s="4" t="s">
        <v>4815</v>
      </c>
    </row>
    <row r="1909" spans="1:46">
      <c r="A1909" s="2">
        <v>1081</v>
      </c>
      <c r="B1909" t="s">
        <v>6843</v>
      </c>
      <c r="C1909" t="s">
        <v>2751</v>
      </c>
      <c r="D1909" t="s">
        <v>3785</v>
      </c>
      <c r="E1909" s="4">
        <v>43465</v>
      </c>
      <c r="F1909" s="11">
        <v>-25.555555559999998</v>
      </c>
      <c r="G1909" s="11">
        <v>6.4516128999999998</v>
      </c>
      <c r="H1909" s="11">
        <v>-6.3758682670000004</v>
      </c>
      <c r="I1909" s="11">
        <v>52.513444124499998</v>
      </c>
      <c r="J1909" s="11">
        <v>2.0310937859</v>
      </c>
      <c r="K1909" s="10">
        <v>0.49313638559900003</v>
      </c>
      <c r="L1909" s="12">
        <v>1991680000</v>
      </c>
      <c r="M1909">
        <v>-6.0950901004934996</v>
      </c>
      <c r="N1909" s="7">
        <v>2.8122834479524199</v>
      </c>
      <c r="O1909" s="7">
        <v>2.0587406843754499</v>
      </c>
      <c r="P1909" s="7">
        <v>188.58270898711899</v>
      </c>
      <c r="Q1909" s="7" t="s">
        <v>3698</v>
      </c>
      <c r="U1909">
        <v>4.0208086873606386E-2</v>
      </c>
      <c r="AT1909" s="4" t="s">
        <v>5566</v>
      </c>
    </row>
    <row r="1910" spans="1:46">
      <c r="A1910" s="2">
        <v>2636</v>
      </c>
      <c r="B1910" t="s">
        <v>6844</v>
      </c>
      <c r="C1910" t="s">
        <v>2874</v>
      </c>
      <c r="D1910" t="s">
        <v>3972</v>
      </c>
      <c r="E1910" s="4">
        <v>43465</v>
      </c>
      <c r="F1910" s="11">
        <v>-28.09992991</v>
      </c>
      <c r="G1910" s="11">
        <v>6.4338235299999997</v>
      </c>
      <c r="H1910" s="11">
        <v>-7.1184987808000004</v>
      </c>
      <c r="I1910" s="11">
        <v>8.4753874587000002</v>
      </c>
      <c r="J1910" s="11">
        <v>1.7094142766</v>
      </c>
      <c r="K1910" s="10">
        <v>0.40156272805799997</v>
      </c>
      <c r="L1910" s="12">
        <v>2940537600</v>
      </c>
      <c r="M1910">
        <v>-20.371899140387601</v>
      </c>
      <c r="N1910" s="7">
        <v>1.11101406843335</v>
      </c>
      <c r="O1910" s="7">
        <v>0.47256156709597502</v>
      </c>
      <c r="P1910" s="7">
        <v>-3.29099175110583</v>
      </c>
      <c r="Q1910" s="7">
        <v>0.53511705685618727</v>
      </c>
      <c r="U1910">
        <v>0.1061067878716296</v>
      </c>
      <c r="AT1910" s="4" t="s">
        <v>6845</v>
      </c>
    </row>
    <row r="1911" spans="1:46">
      <c r="A1911" s="2">
        <v>799</v>
      </c>
      <c r="B1911" t="s">
        <v>6846</v>
      </c>
      <c r="C1911" t="s">
        <v>2324</v>
      </c>
      <c r="D1911" t="s">
        <v>3721</v>
      </c>
      <c r="E1911" s="4">
        <v>43465</v>
      </c>
      <c r="F1911" s="11">
        <v>-14.78873239</v>
      </c>
      <c r="G1911" s="11">
        <v>6.4301552099999997</v>
      </c>
      <c r="H1911" s="11">
        <v>-3.1400759099000002</v>
      </c>
      <c r="I1911" s="11">
        <v>16.880006489500001</v>
      </c>
      <c r="J1911" s="11">
        <v>2.4682352547000002</v>
      </c>
      <c r="K1911" s="10">
        <v>0.50795369489800002</v>
      </c>
      <c r="L1911" s="12">
        <v>5938600685.5</v>
      </c>
      <c r="M1911">
        <v>73.708971542370193</v>
      </c>
      <c r="N1911" s="7">
        <v>2.7379180591402199</v>
      </c>
      <c r="O1911" s="7">
        <v>2.8803749180759501</v>
      </c>
      <c r="P1911" s="7">
        <v>-39.3464231576774</v>
      </c>
      <c r="Q1911" s="7" t="s">
        <v>3698</v>
      </c>
      <c r="U1911">
        <v>3.7047100012512942E-2</v>
      </c>
      <c r="AT1911" s="4" t="s">
        <v>3744</v>
      </c>
    </row>
    <row r="1912" spans="1:46">
      <c r="A1912" s="2">
        <v>2618</v>
      </c>
      <c r="B1912" t="s">
        <v>6847</v>
      </c>
      <c r="C1912" t="s">
        <v>2768</v>
      </c>
      <c r="D1912" t="s">
        <v>3977</v>
      </c>
      <c r="E1912" s="4">
        <v>43465</v>
      </c>
      <c r="F1912" s="11">
        <v>-59.583333330000002</v>
      </c>
      <c r="G1912" s="11">
        <v>6.4263322900000004</v>
      </c>
      <c r="H1912" s="11">
        <v>20.832160482500001</v>
      </c>
      <c r="I1912" s="11">
        <v>30.421215402400001</v>
      </c>
      <c r="J1912" s="11">
        <v>15.589101595700001</v>
      </c>
      <c r="K1912" s="10">
        <v>0.18970574593100001</v>
      </c>
      <c r="L1912" s="12">
        <v>17768887316.18</v>
      </c>
      <c r="M1912">
        <v>-24.454945389032201</v>
      </c>
      <c r="N1912" s="7">
        <v>3.6222248825160901</v>
      </c>
      <c r="O1912" s="7">
        <v>18.924918885187999</v>
      </c>
      <c r="P1912" s="7">
        <v>53.662507261617101</v>
      </c>
      <c r="Q1912" s="7" t="s">
        <v>3698</v>
      </c>
      <c r="U1912">
        <v>4.3688792130434778E-2</v>
      </c>
      <c r="AT1912" s="4" t="s">
        <v>6848</v>
      </c>
    </row>
    <row r="1913" spans="1:46">
      <c r="A1913" s="2">
        <v>2996</v>
      </c>
      <c r="B1913" t="s">
        <v>6849</v>
      </c>
      <c r="C1913" t="s">
        <v>863</v>
      </c>
      <c r="D1913" t="s">
        <v>3778</v>
      </c>
      <c r="E1913" s="4">
        <v>43465</v>
      </c>
      <c r="F1913" s="11">
        <v>-23.365856279999999</v>
      </c>
      <c r="G1913" s="11">
        <v>6.3943161599999998</v>
      </c>
      <c r="H1913" s="11">
        <v>-9.7281036174000004</v>
      </c>
      <c r="I1913" s="11">
        <v>45.8213871942</v>
      </c>
      <c r="J1913" s="11">
        <v>20.7305953943</v>
      </c>
      <c r="K1913" s="10">
        <v>0.41121969407300002</v>
      </c>
      <c r="L1913" s="12">
        <v>3640000000</v>
      </c>
      <c r="M1913">
        <v>6.7647558881565004</v>
      </c>
      <c r="N1913" s="7">
        <v>0.71915673929204504</v>
      </c>
      <c r="O1913" s="7">
        <v>0.92549584520114903</v>
      </c>
      <c r="P1913" s="7">
        <v>3.4264509507862</v>
      </c>
      <c r="Q1913" s="7">
        <v>5.9836544074722706</v>
      </c>
      <c r="U1913">
        <v>1.2207550872567949</v>
      </c>
      <c r="AT1913" s="4" t="s">
        <v>4864</v>
      </c>
    </row>
    <row r="1914" spans="1:46">
      <c r="A1914" s="2">
        <v>2869</v>
      </c>
      <c r="B1914" t="s">
        <v>6850</v>
      </c>
      <c r="C1914" t="s">
        <v>3353</v>
      </c>
      <c r="D1914" t="s">
        <v>3752</v>
      </c>
      <c r="E1914" s="4">
        <v>43465</v>
      </c>
      <c r="F1914" s="11">
        <v>-25.99533422</v>
      </c>
      <c r="G1914" s="11">
        <v>6.3829787199999997</v>
      </c>
      <c r="H1914" s="11">
        <v>-5.3148628281999999</v>
      </c>
      <c r="I1914" s="11">
        <v>15.4870713232</v>
      </c>
      <c r="J1914" s="11">
        <v>-8.8288934142999995</v>
      </c>
      <c r="K1914" s="10">
        <v>0.44346811975099998</v>
      </c>
      <c r="L1914" s="12">
        <v>8270711601.6800003</v>
      </c>
      <c r="M1914">
        <v>-62.354045958363002</v>
      </c>
      <c r="N1914" s="7">
        <v>2.6961664136924099</v>
      </c>
      <c r="O1914" s="7">
        <v>3.41391921571946</v>
      </c>
      <c r="P1914" s="7">
        <v>23.6843485667648</v>
      </c>
      <c r="Q1914" s="7" t="s">
        <v>3698</v>
      </c>
      <c r="U1914">
        <v>-0.1481253651599771</v>
      </c>
      <c r="AT1914" s="4" t="s">
        <v>6851</v>
      </c>
    </row>
    <row r="1915" spans="1:46">
      <c r="A1915" s="2">
        <v>2914</v>
      </c>
      <c r="B1915" t="s">
        <v>6852</v>
      </c>
      <c r="C1915" t="s">
        <v>2018</v>
      </c>
      <c r="D1915" t="s">
        <v>3718</v>
      </c>
      <c r="E1915" s="4">
        <v>43465</v>
      </c>
      <c r="F1915" s="11">
        <v>-41.535715240000002</v>
      </c>
      <c r="G1915" s="11">
        <v>6.3829787199999997</v>
      </c>
      <c r="H1915" s="11">
        <v>12.363926706699999</v>
      </c>
      <c r="I1915" s="11">
        <v>15.522708167099999</v>
      </c>
      <c r="J1915" s="11">
        <v>3.1561338608999998</v>
      </c>
      <c r="K1915" s="10">
        <v>0.60246341995899999</v>
      </c>
      <c r="L1915" s="12">
        <v>8393355432</v>
      </c>
      <c r="M1915">
        <v>51.079422301179797</v>
      </c>
      <c r="N1915" s="7">
        <v>1.53224970802542</v>
      </c>
      <c r="O1915" s="7">
        <v>1.3437553300932901</v>
      </c>
      <c r="P1915" s="7">
        <v>46.317182847507198</v>
      </c>
      <c r="Q1915" s="7">
        <v>0.69321533923303835</v>
      </c>
      <c r="U1915">
        <v>0.15399265820391594</v>
      </c>
      <c r="AT1915" s="4" t="s">
        <v>4539</v>
      </c>
    </row>
    <row r="1916" spans="1:46">
      <c r="A1916" s="2">
        <v>3213</v>
      </c>
      <c r="B1916" t="s">
        <v>6853</v>
      </c>
      <c r="C1916" t="s">
        <v>1241</v>
      </c>
      <c r="D1916" t="s">
        <v>3718</v>
      </c>
      <c r="E1916" s="4">
        <v>43465</v>
      </c>
      <c r="F1916" s="11">
        <v>-21.056465630000002</v>
      </c>
      <c r="G1916" s="11">
        <v>6.3651591300000003</v>
      </c>
      <c r="H1916" s="11">
        <v>-6.4448837058999997</v>
      </c>
      <c r="I1916" s="11">
        <v>36.300305149000003</v>
      </c>
      <c r="J1916" s="11">
        <v>7.1622089747000004</v>
      </c>
      <c r="K1916" s="10">
        <v>0.433597487206</v>
      </c>
      <c r="L1916" s="12">
        <v>26769078604.799999</v>
      </c>
      <c r="M1916">
        <v>35.933733276771299</v>
      </c>
      <c r="N1916" s="7">
        <v>2.0857189761786801</v>
      </c>
      <c r="O1916" s="7">
        <v>3.3101830647139598</v>
      </c>
      <c r="P1916" s="7">
        <v>163.731063757371</v>
      </c>
      <c r="Q1916" s="7">
        <v>2.0307710816115092</v>
      </c>
      <c r="U1916">
        <v>0.14443240952848721</v>
      </c>
      <c r="AT1916" s="4" t="s">
        <v>6854</v>
      </c>
    </row>
    <row r="1917" spans="1:46">
      <c r="A1917" s="2">
        <v>1730</v>
      </c>
      <c r="B1917" t="s">
        <v>6855</v>
      </c>
      <c r="C1917" t="s">
        <v>2169</v>
      </c>
      <c r="D1917" t="s">
        <v>3752</v>
      </c>
      <c r="E1917" s="4">
        <v>43465</v>
      </c>
      <c r="F1917" s="11">
        <v>11.76963091</v>
      </c>
      <c r="G1917" s="11">
        <v>6.3131313100000002</v>
      </c>
      <c r="H1917" s="11">
        <v>25.0569188626</v>
      </c>
      <c r="I1917" s="11">
        <v>14.403551095699999</v>
      </c>
      <c r="J1917" s="11">
        <v>10.320090581200001</v>
      </c>
      <c r="K1917" s="10">
        <v>0.45915673635100002</v>
      </c>
      <c r="L1917" s="12">
        <v>1463925463</v>
      </c>
      <c r="M1917">
        <v>46.454880892385397</v>
      </c>
      <c r="N1917" s="7">
        <v>1.5425237602364901</v>
      </c>
      <c r="O1917" s="7">
        <v>3.3704553208358798</v>
      </c>
      <c r="P1917" s="7">
        <v>73.968224721899801</v>
      </c>
      <c r="Q1917" s="7">
        <v>0.81037888198757768</v>
      </c>
      <c r="U1917">
        <v>0.26393474287713031</v>
      </c>
      <c r="AT1917" s="4" t="s">
        <v>4288</v>
      </c>
    </row>
    <row r="1918" spans="1:46">
      <c r="A1918" s="2">
        <v>751</v>
      </c>
      <c r="B1918" t="s">
        <v>6856</v>
      </c>
      <c r="C1918" t="s">
        <v>2949</v>
      </c>
      <c r="D1918" t="s">
        <v>4060</v>
      </c>
      <c r="E1918" s="4">
        <v>43465</v>
      </c>
      <c r="F1918" s="11">
        <v>-46.3562753</v>
      </c>
      <c r="G1918" s="11">
        <v>6.3100137199999997</v>
      </c>
      <c r="H1918" s="11">
        <v>25.042319390399999</v>
      </c>
      <c r="I1918" s="11">
        <v>13.8657493124</v>
      </c>
      <c r="J1918" s="11">
        <v>6.0774300999999999</v>
      </c>
      <c r="K1918" s="10">
        <v>0.76241226786299998</v>
      </c>
      <c r="L1918" s="12">
        <v>8312892314.9099998</v>
      </c>
      <c r="M1918">
        <v>39.310508298105297</v>
      </c>
      <c r="N1918" s="7">
        <v>1.80797706804972</v>
      </c>
      <c r="O1918" s="7">
        <v>1.6291295634326901</v>
      </c>
      <c r="P1918" s="7">
        <v>80.698012209621197</v>
      </c>
      <c r="Q1918" s="7" t="s">
        <v>3698</v>
      </c>
      <c r="U1918">
        <v>0.29889998407134732</v>
      </c>
      <c r="AT1918" s="4" t="s">
        <v>6857</v>
      </c>
    </row>
    <row r="1919" spans="1:46">
      <c r="A1919" s="2">
        <v>1698</v>
      </c>
      <c r="B1919" t="s">
        <v>6858</v>
      </c>
      <c r="C1919" t="s">
        <v>1191</v>
      </c>
      <c r="D1919" t="s">
        <v>3737</v>
      </c>
      <c r="E1919" s="4">
        <v>43465</v>
      </c>
      <c r="F1919" s="11">
        <v>-44.689225589999999</v>
      </c>
      <c r="G1919" s="11">
        <v>6.3043478300000002</v>
      </c>
      <c r="H1919" s="11">
        <v>7.5736005860000004</v>
      </c>
      <c r="I1919" s="11">
        <v>51.465093020899999</v>
      </c>
      <c r="J1919" s="11">
        <v>9.0810120585000007</v>
      </c>
      <c r="K1919" s="10">
        <v>0.20897640428299999</v>
      </c>
      <c r="L1919" s="12">
        <v>1849230000</v>
      </c>
      <c r="M1919">
        <v>47.293278897776197</v>
      </c>
      <c r="N1919" s="7">
        <v>1.47071908464448</v>
      </c>
      <c r="O1919" s="7">
        <v>3.0654746501929502</v>
      </c>
      <c r="P1919" s="7">
        <v>-10.1628578314977</v>
      </c>
      <c r="Q1919" s="7">
        <v>0.3289473684210526</v>
      </c>
      <c r="U1919">
        <v>0.12679660199833478</v>
      </c>
      <c r="AT1919" s="4" t="s">
        <v>4311</v>
      </c>
    </row>
    <row r="1920" spans="1:46">
      <c r="A1920" s="2">
        <v>2347</v>
      </c>
      <c r="B1920" t="s">
        <v>6859</v>
      </c>
      <c r="C1920" t="s">
        <v>668</v>
      </c>
      <c r="D1920" t="s">
        <v>3737</v>
      </c>
      <c r="E1920" s="4">
        <v>43465</v>
      </c>
      <c r="F1920" s="11">
        <v>-2.8764331799999998</v>
      </c>
      <c r="G1920" s="11">
        <v>6.3029481499999997</v>
      </c>
      <c r="H1920" s="11">
        <v>12.259757496200001</v>
      </c>
      <c r="I1920" s="11">
        <v>79.922407012799994</v>
      </c>
      <c r="J1920" s="11">
        <v>21.217219098099999</v>
      </c>
      <c r="K1920" s="10">
        <v>0.42281315733199998</v>
      </c>
      <c r="L1920" s="12">
        <v>8102666474.8400002</v>
      </c>
      <c r="M1920">
        <v>21.4080800242733</v>
      </c>
      <c r="N1920" s="7">
        <v>2.3625267212815402</v>
      </c>
      <c r="O1920" s="7">
        <v>5.2261457654476304</v>
      </c>
      <c r="P1920" s="7">
        <v>30.4370625896569</v>
      </c>
      <c r="Q1920" s="7">
        <v>1.200519143413368</v>
      </c>
      <c r="U1920">
        <v>1.2003516606701381</v>
      </c>
      <c r="AT1920" s="4" t="s">
        <v>4596</v>
      </c>
    </row>
    <row r="1921" spans="1:46">
      <c r="A1921" s="2">
        <v>2209</v>
      </c>
      <c r="B1921" t="s">
        <v>6860</v>
      </c>
      <c r="C1921" t="s">
        <v>490</v>
      </c>
      <c r="D1921" t="s">
        <v>3737</v>
      </c>
      <c r="E1921" s="4">
        <v>43465</v>
      </c>
      <c r="F1921" s="11">
        <v>-35.071978799999997</v>
      </c>
      <c r="G1921" s="11">
        <v>6.2861869300000004</v>
      </c>
      <c r="H1921" s="11">
        <v>28.079719269000002</v>
      </c>
      <c r="I1921" s="11">
        <v>63.350813649499997</v>
      </c>
      <c r="J1921" s="11">
        <v>12.029696313200001</v>
      </c>
      <c r="K1921" s="10">
        <v>0.83317010597600005</v>
      </c>
      <c r="L1921" s="12">
        <v>2556611153.2800002</v>
      </c>
      <c r="M1921">
        <v>13.581839639830299</v>
      </c>
      <c r="N1921" s="7">
        <v>1.8081369021461</v>
      </c>
      <c r="O1921" s="7">
        <v>1.5814723361927201</v>
      </c>
      <c r="P1921" s="7">
        <v>191.04563586839899</v>
      </c>
      <c r="Q1921" s="7">
        <v>2.2536348949919227</v>
      </c>
      <c r="U1921">
        <v>0.92844936324243876</v>
      </c>
      <c r="AT1921" s="4" t="s">
        <v>6461</v>
      </c>
    </row>
    <row r="1922" spans="1:46">
      <c r="A1922" s="2">
        <v>3340</v>
      </c>
      <c r="B1922" t="s">
        <v>6861</v>
      </c>
      <c r="C1922" t="s">
        <v>653</v>
      </c>
      <c r="D1922" t="s">
        <v>3718</v>
      </c>
      <c r="E1922" s="4">
        <v>43465</v>
      </c>
      <c r="F1922" s="11">
        <v>-15.84788668</v>
      </c>
      <c r="G1922" s="11">
        <v>6.2605753000000002</v>
      </c>
      <c r="H1922" s="11">
        <v>20.5445894715</v>
      </c>
      <c r="I1922" s="11">
        <v>20.5823459886</v>
      </c>
      <c r="J1922" s="11">
        <v>7.2506203916</v>
      </c>
      <c r="K1922" s="10">
        <v>1.5660386090109999</v>
      </c>
      <c r="L1922" s="12">
        <v>2063377680.9000001</v>
      </c>
      <c r="M1922">
        <v>15.7995219899605</v>
      </c>
      <c r="N1922" s="7">
        <v>1.90057364902555</v>
      </c>
      <c r="O1922" s="7">
        <v>0.88166141286093802</v>
      </c>
      <c r="P1922" s="7">
        <v>-35.528093165671301</v>
      </c>
      <c r="Q1922" s="7">
        <v>2.3734177215189876</v>
      </c>
      <c r="U1922">
        <v>0.88316205103438095</v>
      </c>
      <c r="AT1922" s="4" t="s">
        <v>6862</v>
      </c>
    </row>
    <row r="1923" spans="1:46">
      <c r="A1923" s="2">
        <v>431</v>
      </c>
      <c r="B1923" t="s">
        <v>6863</v>
      </c>
      <c r="C1923" t="s">
        <v>1180</v>
      </c>
      <c r="D1923" t="s">
        <v>3849</v>
      </c>
      <c r="E1923" s="4">
        <v>43465</v>
      </c>
      <c r="F1923" s="11">
        <v>-24.46608088</v>
      </c>
      <c r="G1923" s="11">
        <v>6.25</v>
      </c>
      <c r="H1923" s="11">
        <v>10.5525653268</v>
      </c>
      <c r="I1923" s="11">
        <v>12.2190373857</v>
      </c>
      <c r="J1923" s="11">
        <v>3.5145533205000001</v>
      </c>
      <c r="K1923" s="10">
        <v>0.56527999849800004</v>
      </c>
      <c r="L1923" s="12">
        <v>9740605050.3299999</v>
      </c>
      <c r="M1923">
        <v>22.420752540476101</v>
      </c>
      <c r="N1923" s="7">
        <v>0.95553595158913796</v>
      </c>
      <c r="O1923" s="7">
        <v>0.73598269033906505</v>
      </c>
      <c r="P1923" s="7">
        <v>11.7276747329205</v>
      </c>
      <c r="Q1923" s="7">
        <v>1.7441860465116279</v>
      </c>
      <c r="U1923">
        <v>0.11783718792040286</v>
      </c>
      <c r="AT1923" s="4" t="s">
        <v>5110</v>
      </c>
    </row>
    <row r="1924" spans="1:46">
      <c r="A1924" s="2">
        <v>1377</v>
      </c>
      <c r="B1924" t="s">
        <v>6864</v>
      </c>
      <c r="C1924" t="s">
        <v>546</v>
      </c>
      <c r="D1924" t="s">
        <v>3889</v>
      </c>
      <c r="E1924" s="4">
        <v>43465</v>
      </c>
      <c r="F1924" s="11">
        <v>39.324529859999998</v>
      </c>
      <c r="G1924" s="11">
        <v>6.1859732100000002</v>
      </c>
      <c r="H1924" s="11">
        <v>28.356891814000001</v>
      </c>
      <c r="I1924" s="11">
        <v>24.3416110995</v>
      </c>
      <c r="J1924" s="11">
        <v>9.3601589275000006</v>
      </c>
      <c r="K1924" s="10">
        <v>1.22266723721</v>
      </c>
      <c r="L1924" s="12">
        <v>3544447006.6799998</v>
      </c>
      <c r="M1924">
        <v>42.220689764245698</v>
      </c>
      <c r="N1924" s="7">
        <v>7.6194902440446102</v>
      </c>
      <c r="O1924" s="7">
        <v>3.5836490258312401</v>
      </c>
      <c r="P1924" s="7">
        <v>169.92786517374199</v>
      </c>
      <c r="Q1924" s="7">
        <v>1.3083296990841691</v>
      </c>
      <c r="U1924">
        <v>0.71733227377396547</v>
      </c>
      <c r="AT1924" s="4" t="s">
        <v>3724</v>
      </c>
    </row>
    <row r="1925" spans="1:46">
      <c r="A1925" s="2">
        <v>2623</v>
      </c>
      <c r="B1925" t="s">
        <v>6865</v>
      </c>
      <c r="C1925" t="s">
        <v>1292</v>
      </c>
      <c r="D1925" t="s">
        <v>3769</v>
      </c>
      <c r="E1925" s="4">
        <v>43465</v>
      </c>
      <c r="F1925" s="11">
        <v>47.380256320000001</v>
      </c>
      <c r="G1925" s="11">
        <v>6.1818181799999996</v>
      </c>
      <c r="H1925" s="11">
        <v>7.3402787910000002</v>
      </c>
      <c r="I1925" s="11">
        <v>8.7088160758999997</v>
      </c>
      <c r="J1925" s="11">
        <v>1.7103704120000001</v>
      </c>
      <c r="K1925" s="10">
        <v>1.2585907474760001</v>
      </c>
      <c r="L1925" s="12">
        <v>25044130422.439999</v>
      </c>
      <c r="M1925">
        <v>66.275941501589799</v>
      </c>
      <c r="N1925" s="7">
        <v>3.5508017756854899</v>
      </c>
      <c r="O1925" s="7">
        <v>1.34490558028205</v>
      </c>
      <c r="P1925" s="7">
        <v>18.315436871474599</v>
      </c>
      <c r="Q1925" s="7">
        <v>0.23738308888353327</v>
      </c>
      <c r="U1925">
        <v>0.3955409135820005</v>
      </c>
      <c r="AT1925" s="4" t="s">
        <v>6866</v>
      </c>
    </row>
    <row r="1926" spans="1:46">
      <c r="A1926" s="2">
        <v>2900</v>
      </c>
      <c r="B1926" t="s">
        <v>6867</v>
      </c>
      <c r="C1926" t="s">
        <v>1469</v>
      </c>
      <c r="D1926" t="s">
        <v>3811</v>
      </c>
      <c r="E1926" s="4">
        <v>43465</v>
      </c>
      <c r="F1926" s="11">
        <v>-30.868172749999999</v>
      </c>
      <c r="G1926" s="11">
        <v>6.1538461499999997</v>
      </c>
      <c r="H1926" s="11">
        <v>2.6400212553000002</v>
      </c>
      <c r="I1926" s="11">
        <v>20.928316892000002</v>
      </c>
      <c r="J1926" s="11">
        <v>1.8723008032999999</v>
      </c>
      <c r="K1926" s="10">
        <v>1.0748604395329999</v>
      </c>
      <c r="L1926" s="12">
        <v>5480707200</v>
      </c>
      <c r="M1926">
        <v>22.928421197220501</v>
      </c>
      <c r="N1926" s="7">
        <v>0.93206150659154197</v>
      </c>
      <c r="O1926" s="7">
        <v>0.31499034065834902</v>
      </c>
      <c r="P1926" s="7">
        <v>32.409616157590399</v>
      </c>
      <c r="Q1926" s="7">
        <v>2.045454545454545</v>
      </c>
      <c r="U1926">
        <v>0.48879871924087298</v>
      </c>
      <c r="AT1926" s="4" t="s">
        <v>5784</v>
      </c>
    </row>
    <row r="1927" spans="1:46">
      <c r="A1927" s="2">
        <v>3000</v>
      </c>
      <c r="B1927" t="s">
        <v>6868</v>
      </c>
      <c r="C1927" t="s">
        <v>708</v>
      </c>
      <c r="D1927" t="s">
        <v>3889</v>
      </c>
      <c r="E1927" s="4">
        <v>43465</v>
      </c>
      <c r="F1927" s="11">
        <v>2.9634976100000001</v>
      </c>
      <c r="G1927" s="11">
        <v>6.1452514000000003</v>
      </c>
      <c r="H1927" s="11">
        <v>0.5527440307</v>
      </c>
      <c r="I1927" s="11">
        <v>22.284997629399999</v>
      </c>
      <c r="J1927" s="11">
        <v>17.944546946500001</v>
      </c>
      <c r="K1927" s="10">
        <v>0.57125735888100004</v>
      </c>
      <c r="L1927" s="12">
        <v>1384453760</v>
      </c>
      <c r="M1927">
        <v>28.609633985798698</v>
      </c>
      <c r="N1927" s="7">
        <v>2.5036447472558399</v>
      </c>
      <c r="O1927" s="7">
        <v>2.8966024416209</v>
      </c>
      <c r="P1927" s="7">
        <v>-81.871973575363597</v>
      </c>
      <c r="Q1927" s="7">
        <v>1.9914953933380584</v>
      </c>
      <c r="U1927">
        <v>0.80063682015532944</v>
      </c>
      <c r="AT1927" s="4" t="s">
        <v>5994</v>
      </c>
    </row>
    <row r="1928" spans="1:46">
      <c r="A1928" s="2">
        <v>3215</v>
      </c>
      <c r="B1928" t="s">
        <v>6869</v>
      </c>
      <c r="C1928" t="s">
        <v>2052</v>
      </c>
      <c r="D1928" t="s">
        <v>3858</v>
      </c>
      <c r="E1928" s="4">
        <v>43465</v>
      </c>
      <c r="F1928" s="11">
        <v>-32.870667189999999</v>
      </c>
      <c r="G1928" s="11">
        <v>6.1430010099999999</v>
      </c>
      <c r="H1928" s="11">
        <v>28.318255312400002</v>
      </c>
      <c r="I1928" s="11">
        <v>25.105418309000001</v>
      </c>
      <c r="J1928" s="11">
        <v>9.5957488931999997</v>
      </c>
      <c r="K1928" s="10">
        <v>0.62300005837500005</v>
      </c>
      <c r="L1928" s="12">
        <v>4509155720.96</v>
      </c>
      <c r="M1928">
        <v>17.676128485839001</v>
      </c>
      <c r="N1928" s="7">
        <v>2.46197431532112</v>
      </c>
      <c r="O1928" s="7">
        <v>1.6390765620972301</v>
      </c>
      <c r="P1928" s="7">
        <v>-76.429647327205601</v>
      </c>
      <c r="Q1928" s="7">
        <v>3.012048192771084</v>
      </c>
      <c r="U1928">
        <v>0.61124024270509747</v>
      </c>
      <c r="AT1928" s="4" t="s">
        <v>6870</v>
      </c>
    </row>
    <row r="1929" spans="1:46">
      <c r="A1929" s="2">
        <v>608</v>
      </c>
      <c r="B1929" t="s">
        <v>6871</v>
      </c>
      <c r="C1929" t="s">
        <v>1028</v>
      </c>
      <c r="D1929" t="s">
        <v>3718</v>
      </c>
      <c r="E1929" s="4">
        <v>43465</v>
      </c>
      <c r="F1929" s="11">
        <v>-20.0684799</v>
      </c>
      <c r="G1929" s="11">
        <v>6.1261261300000003</v>
      </c>
      <c r="H1929" s="11">
        <v>45.641196179399998</v>
      </c>
      <c r="I1929" s="11">
        <v>30.821147751000002</v>
      </c>
      <c r="J1929" s="11">
        <v>8.0030946887999992</v>
      </c>
      <c r="K1929" s="10">
        <v>0.43315063725699998</v>
      </c>
      <c r="L1929" s="12">
        <v>1561700000</v>
      </c>
      <c r="M1929">
        <v>14.9576259718266</v>
      </c>
      <c r="N1929" s="7">
        <v>1.28723133257782</v>
      </c>
      <c r="O1929" s="7">
        <v>1.1008346771225099</v>
      </c>
      <c r="P1929" s="7">
        <v>-3.8000537417245899</v>
      </c>
      <c r="Q1929" s="7">
        <v>1.8050541516245486</v>
      </c>
      <c r="U1929">
        <v>0.40648394709901692</v>
      </c>
      <c r="AT1929" s="4" t="s">
        <v>6872</v>
      </c>
    </row>
    <row r="1930" spans="1:46">
      <c r="A1930" s="2">
        <v>3258</v>
      </c>
      <c r="B1930" t="s">
        <v>6873</v>
      </c>
      <c r="C1930" t="s">
        <v>2085</v>
      </c>
      <c r="D1930" t="s">
        <v>3849</v>
      </c>
      <c r="E1930" s="4">
        <v>43465</v>
      </c>
      <c r="F1930" s="11">
        <v>-59.334150749999999</v>
      </c>
      <c r="G1930" s="11">
        <v>6.0880828999999999</v>
      </c>
      <c r="H1930" s="11">
        <v>22.331273892599999</v>
      </c>
      <c r="I1930" s="11">
        <v>26.650449339800002</v>
      </c>
      <c r="J1930" s="11">
        <v>3.8149473898999999</v>
      </c>
      <c r="K1930" s="10">
        <v>0.49761332659800001</v>
      </c>
      <c r="L1930" s="12">
        <v>7176029206.3199997</v>
      </c>
      <c r="M1930">
        <v>41.007774129961199</v>
      </c>
      <c r="N1930" s="7">
        <v>4.1751390498498404</v>
      </c>
      <c r="O1930" s="7">
        <v>2.50358670907625</v>
      </c>
      <c r="P1930" s="7">
        <v>-9.9709382120985701</v>
      </c>
      <c r="Q1930" s="7">
        <v>0.49566294919454773</v>
      </c>
      <c r="U1930">
        <v>0.12559347659908413</v>
      </c>
      <c r="AT1930" s="4" t="s">
        <v>4065</v>
      </c>
    </row>
    <row r="1931" spans="1:46">
      <c r="A1931" s="2">
        <v>1959</v>
      </c>
      <c r="B1931" t="s">
        <v>6874</v>
      </c>
      <c r="C1931" t="s">
        <v>2032</v>
      </c>
      <c r="D1931" t="s">
        <v>3752</v>
      </c>
      <c r="E1931" s="4">
        <v>43465</v>
      </c>
      <c r="F1931" s="11">
        <v>-37.854797660000003</v>
      </c>
      <c r="G1931" s="11">
        <v>6.0606060599999996</v>
      </c>
      <c r="H1931" s="11">
        <v>7.0510996305999996</v>
      </c>
      <c r="I1931" s="11">
        <v>47.826877910100002</v>
      </c>
      <c r="J1931" s="11">
        <v>11.579376677100001</v>
      </c>
      <c r="K1931" s="10">
        <v>0.473344847565</v>
      </c>
      <c r="L1931" s="12">
        <v>1633599620.48</v>
      </c>
      <c r="M1931">
        <v>36.5248548381973</v>
      </c>
      <c r="N1931" s="7">
        <v>1.89973834344378</v>
      </c>
      <c r="O1931" s="7">
        <v>3.6957468836498899</v>
      </c>
      <c r="P1931" s="7">
        <v>-33.677911441609602</v>
      </c>
      <c r="Q1931" s="7">
        <v>0.76388315629742043</v>
      </c>
      <c r="U1931">
        <v>0.41547311497731626</v>
      </c>
      <c r="AT1931" s="4" t="s">
        <v>6875</v>
      </c>
    </row>
    <row r="1932" spans="1:46">
      <c r="A1932" s="2">
        <v>2509</v>
      </c>
      <c r="B1932" t="s">
        <v>6876</v>
      </c>
      <c r="C1932" t="s">
        <v>1907</v>
      </c>
      <c r="D1932" t="s">
        <v>3769</v>
      </c>
      <c r="E1932" s="4">
        <v>43465</v>
      </c>
      <c r="F1932" s="11">
        <v>-37.66495724</v>
      </c>
      <c r="G1932" s="11">
        <v>6.0394889699999998</v>
      </c>
      <c r="H1932" s="11">
        <v>19.667541788099999</v>
      </c>
      <c r="I1932" s="11">
        <v>14.7208303488</v>
      </c>
      <c r="J1932" s="11">
        <v>4.3730396343000004</v>
      </c>
      <c r="K1932" s="10">
        <v>0.72649008330700005</v>
      </c>
      <c r="L1932" s="12">
        <v>6127497098.1000004</v>
      </c>
      <c r="M1932">
        <v>57.169175373157799</v>
      </c>
      <c r="N1932" s="7">
        <v>3.3832398276517601</v>
      </c>
      <c r="O1932" s="7">
        <v>2.3084777858626699</v>
      </c>
      <c r="P1932" s="7">
        <v>-137.19243471282499</v>
      </c>
      <c r="Q1932" s="7">
        <v>0.36855036855036855</v>
      </c>
      <c r="U1932">
        <v>0.16319722903620318</v>
      </c>
      <c r="AT1932" s="4" t="s">
        <v>6877</v>
      </c>
    </row>
    <row r="1933" spans="1:46">
      <c r="A1933" s="2">
        <v>521</v>
      </c>
      <c r="B1933" t="s">
        <v>6878</v>
      </c>
      <c r="C1933" t="s">
        <v>2363</v>
      </c>
      <c r="D1933" t="s">
        <v>3972</v>
      </c>
      <c r="E1933" s="4">
        <v>43465</v>
      </c>
      <c r="F1933" s="11">
        <v>-56.13157382</v>
      </c>
      <c r="G1933" s="11">
        <v>6</v>
      </c>
      <c r="H1933" s="11">
        <v>4.8539935751999996</v>
      </c>
      <c r="I1933" s="11">
        <v>12.006801449999999</v>
      </c>
      <c r="J1933" s="11">
        <v>4.4609873135999996</v>
      </c>
      <c r="K1933" s="10">
        <v>0.75038659844199995</v>
      </c>
      <c r="L1933" s="12">
        <v>2601292320</v>
      </c>
      <c r="M1933">
        <v>38.720168983597297</v>
      </c>
      <c r="N1933" s="7">
        <v>1.7932523033727299</v>
      </c>
      <c r="O1933" s="7">
        <v>0.85068598158778796</v>
      </c>
      <c r="P1933" s="7">
        <v>34.332013389582499</v>
      </c>
      <c r="Q1933" s="7">
        <v>1.4513788098693761</v>
      </c>
      <c r="U1933">
        <v>0.2513910103759438</v>
      </c>
      <c r="AT1933" s="4" t="s">
        <v>6879</v>
      </c>
    </row>
    <row r="1934" spans="1:46">
      <c r="A1934" s="2">
        <v>196</v>
      </c>
      <c r="B1934" t="s">
        <v>6880</v>
      </c>
      <c r="C1934" t="s">
        <v>3223</v>
      </c>
      <c r="D1934" t="s">
        <v>3781</v>
      </c>
      <c r="E1934" s="4">
        <v>43465</v>
      </c>
      <c r="F1934" s="11">
        <v>-49.565217390000001</v>
      </c>
      <c r="G1934" s="11">
        <v>5.9925093599999997</v>
      </c>
      <c r="H1934" s="11">
        <v>10.259573145899999</v>
      </c>
      <c r="I1934" s="11">
        <v>14.488166464400001</v>
      </c>
      <c r="J1934" s="11">
        <v>3.3580930081</v>
      </c>
      <c r="K1934" s="10">
        <v>0.21631932064699999</v>
      </c>
      <c r="L1934" s="12">
        <v>2425525200</v>
      </c>
      <c r="M1934">
        <v>-194.48349343790599</v>
      </c>
      <c r="N1934" s="7">
        <v>1.6221003339706099</v>
      </c>
      <c r="O1934" s="7">
        <v>5.0478281532443603</v>
      </c>
      <c r="P1934" s="7">
        <v>-58.986925318552402</v>
      </c>
      <c r="Q1934" s="7" t="s">
        <v>3698</v>
      </c>
      <c r="U1934">
        <v>1.3639497558504684E-2</v>
      </c>
      <c r="AT1934" s="4" t="s">
        <v>6881</v>
      </c>
    </row>
    <row r="1935" spans="1:46">
      <c r="A1935" s="2">
        <v>557</v>
      </c>
      <c r="B1935" t="s">
        <v>6882</v>
      </c>
      <c r="C1935" t="s">
        <v>2856</v>
      </c>
      <c r="D1935" t="s">
        <v>3718</v>
      </c>
      <c r="E1935" s="4">
        <v>43465</v>
      </c>
      <c r="F1935" s="11">
        <v>-27.29781702</v>
      </c>
      <c r="G1935" s="11">
        <v>5.9842519699999999</v>
      </c>
      <c r="H1935" s="11">
        <v>38.2801453127</v>
      </c>
      <c r="I1935" s="11">
        <v>24.3330697717</v>
      </c>
      <c r="J1935" s="11">
        <v>2.4878415576999999</v>
      </c>
      <c r="K1935" s="10">
        <v>0.49664856503100002</v>
      </c>
      <c r="L1935" s="12">
        <v>5224788248.5500002</v>
      </c>
      <c r="M1935">
        <v>-43.6663357790638</v>
      </c>
      <c r="N1935" s="7">
        <v>1.27138388202255</v>
      </c>
      <c r="O1935" s="7">
        <v>1.73950530176852</v>
      </c>
      <c r="P1935" s="7">
        <v>8.8286429952069891</v>
      </c>
      <c r="Q1935" s="7">
        <v>0.21439509954058195</v>
      </c>
      <c r="U1935">
        <v>4.3685886122603233E-2</v>
      </c>
      <c r="AT1935" s="4" t="s">
        <v>6883</v>
      </c>
    </row>
    <row r="1936" spans="1:46">
      <c r="A1936" s="2">
        <v>1450</v>
      </c>
      <c r="B1936" t="s">
        <v>6884</v>
      </c>
      <c r="C1936" t="s">
        <v>2217</v>
      </c>
      <c r="D1936" t="s">
        <v>3718</v>
      </c>
      <c r="E1936" s="4">
        <v>43465</v>
      </c>
      <c r="F1936" s="11">
        <v>-25.404416340000001</v>
      </c>
      <c r="G1936" s="11">
        <v>5.9757942499999999</v>
      </c>
      <c r="H1936" s="11">
        <v>26.0548393093</v>
      </c>
      <c r="I1936" s="11">
        <v>31.467054971300001</v>
      </c>
      <c r="J1936" s="11">
        <v>14.7020136922</v>
      </c>
      <c r="K1936" s="10">
        <v>0.34499946771899997</v>
      </c>
      <c r="L1936" s="12">
        <v>3957012264.48</v>
      </c>
      <c r="M1936">
        <v>56.064375663382599</v>
      </c>
      <c r="N1936" s="7">
        <v>3.3164995585037902</v>
      </c>
      <c r="O1936" s="7">
        <v>7.2314848080357503</v>
      </c>
      <c r="P1936" s="7">
        <v>48.647954811621098</v>
      </c>
      <c r="Q1936" s="7" t="s">
        <v>3698</v>
      </c>
      <c r="U1936">
        <v>0.28800118066095742</v>
      </c>
      <c r="AT1936" s="4" t="s">
        <v>3770</v>
      </c>
    </row>
    <row r="1937" spans="1:46">
      <c r="A1937" s="2">
        <v>1094</v>
      </c>
      <c r="B1937" t="s">
        <v>6885</v>
      </c>
      <c r="C1937" t="s">
        <v>3495</v>
      </c>
      <c r="D1937" t="s">
        <v>3713</v>
      </c>
      <c r="E1937" s="4">
        <v>43465</v>
      </c>
      <c r="F1937" s="11">
        <v>-54.286936869999998</v>
      </c>
      <c r="G1937" s="11">
        <v>5.9569074799999999</v>
      </c>
      <c r="H1937" s="11">
        <v>29.580340694299998</v>
      </c>
      <c r="I1937" s="11">
        <v>47.3042149431</v>
      </c>
      <c r="J1937" s="11">
        <v>6.8758019628999998</v>
      </c>
      <c r="K1937" s="10">
        <v>0.479900775527</v>
      </c>
      <c r="L1937" s="12">
        <v>5665379703.4099998</v>
      </c>
      <c r="M1937">
        <v>58.688884743418697</v>
      </c>
      <c r="N1937" s="7">
        <v>2.4762127374873901</v>
      </c>
      <c r="O1937" s="7">
        <v>2.16066801854832</v>
      </c>
      <c r="P1937" s="7">
        <v>122.70375400829199</v>
      </c>
      <c r="Q1937" s="7">
        <v>0.39363988704560848</v>
      </c>
      <c r="U1937">
        <v>0.25952551679329161</v>
      </c>
      <c r="AT1937" s="4" t="s">
        <v>6750</v>
      </c>
    </row>
    <row r="1938" spans="1:46">
      <c r="A1938" s="2">
        <v>3276</v>
      </c>
      <c r="B1938" t="s">
        <v>6886</v>
      </c>
      <c r="C1938" t="s">
        <v>1946</v>
      </c>
      <c r="D1938" t="s">
        <v>3972</v>
      </c>
      <c r="E1938" s="4">
        <v>43465</v>
      </c>
      <c r="F1938" s="11">
        <v>-44.077594040000001</v>
      </c>
      <c r="G1938" s="11">
        <v>5.9322033899999997</v>
      </c>
      <c r="H1938" s="11">
        <v>39.4547020057</v>
      </c>
      <c r="I1938" s="11">
        <v>48.525764420999998</v>
      </c>
      <c r="J1938" s="11">
        <v>13.8193459238</v>
      </c>
      <c r="K1938" s="10">
        <v>0.16403978905300001</v>
      </c>
      <c r="L1938" s="12">
        <v>13614252115.5</v>
      </c>
      <c r="M1938">
        <v>24.096583484879499</v>
      </c>
      <c r="N1938" s="7">
        <v>1.0619881508870801</v>
      </c>
      <c r="O1938" s="7">
        <v>2.5360698218083901</v>
      </c>
      <c r="P1938" s="7">
        <v>18.725223995667498</v>
      </c>
      <c r="Q1938" s="7">
        <v>1.3850415512465375</v>
      </c>
      <c r="U1938">
        <v>0.151862233705855</v>
      </c>
      <c r="AT1938" s="4" t="s">
        <v>4557</v>
      </c>
    </row>
    <row r="1939" spans="1:46">
      <c r="A1939" s="2">
        <v>698</v>
      </c>
      <c r="B1939" t="s">
        <v>6887</v>
      </c>
      <c r="C1939" t="s">
        <v>1352</v>
      </c>
      <c r="D1939" t="s">
        <v>3811</v>
      </c>
      <c r="E1939" s="4">
        <v>43465</v>
      </c>
      <c r="F1939" s="11">
        <v>-9.44549226</v>
      </c>
      <c r="G1939" s="11">
        <v>5.8895705500000002</v>
      </c>
      <c r="H1939" s="11">
        <v>10.4978252059</v>
      </c>
      <c r="I1939" s="11">
        <v>16.639145919800001</v>
      </c>
      <c r="J1939" s="11">
        <v>2.6590593971000001</v>
      </c>
      <c r="K1939" s="10">
        <v>1.7631023397059999</v>
      </c>
      <c r="L1939" s="12">
        <v>7970841838.3999996</v>
      </c>
      <c r="M1939">
        <v>18.539661649424499</v>
      </c>
      <c r="N1939" s="7">
        <v>1.0167211280102799</v>
      </c>
      <c r="O1939" s="7">
        <v>0.38790716154122001</v>
      </c>
      <c r="P1939" s="7">
        <v>4.0820575469850704</v>
      </c>
      <c r="Q1939" s="7">
        <v>3.7082818294190356</v>
      </c>
      <c r="U1939">
        <v>0.58725647536759318</v>
      </c>
      <c r="AT1939" s="4" t="s">
        <v>6888</v>
      </c>
    </row>
    <row r="1940" spans="1:46">
      <c r="A1940" s="2">
        <v>3327</v>
      </c>
      <c r="B1940" t="s">
        <v>6889</v>
      </c>
      <c r="C1940" t="s">
        <v>530</v>
      </c>
      <c r="D1940" t="s">
        <v>3849</v>
      </c>
      <c r="E1940" s="4">
        <v>43465</v>
      </c>
      <c r="F1940" s="11">
        <v>-37.169307410000002</v>
      </c>
      <c r="G1940" s="11">
        <v>5.8597502400000003</v>
      </c>
      <c r="H1940" s="11">
        <v>-3.7744801602</v>
      </c>
      <c r="I1940" s="11">
        <v>39.472866616399997</v>
      </c>
      <c r="J1940" s="11">
        <v>17.376308835100001</v>
      </c>
      <c r="K1940" s="10">
        <v>0.59554792652999999</v>
      </c>
      <c r="L1940" s="12">
        <v>5025542185.3500004</v>
      </c>
      <c r="M1940">
        <v>18.971817752886899</v>
      </c>
      <c r="N1940" s="7">
        <v>2.8738381592092099</v>
      </c>
      <c r="O1940" s="7">
        <v>3.6491823493267699</v>
      </c>
      <c r="P1940" s="7">
        <v>144.339789411156</v>
      </c>
      <c r="Q1940" s="7">
        <v>3.1120331950207469</v>
      </c>
      <c r="U1940">
        <v>0.45217990288859339</v>
      </c>
      <c r="AT1940" s="4" t="s">
        <v>6890</v>
      </c>
    </row>
    <row r="1941" spans="1:46">
      <c r="A1941" s="2">
        <v>515</v>
      </c>
      <c r="B1941" t="s">
        <v>6891</v>
      </c>
      <c r="C1941" t="s">
        <v>2229</v>
      </c>
      <c r="D1941" t="s">
        <v>3752</v>
      </c>
      <c r="E1941" s="4">
        <v>43465</v>
      </c>
      <c r="F1941" s="11">
        <v>-20.546698259999999</v>
      </c>
      <c r="G1941" s="11">
        <v>5.8568329700000001</v>
      </c>
      <c r="H1941" s="11">
        <v>15.1451563451</v>
      </c>
      <c r="I1941" s="11">
        <v>40.5912170398</v>
      </c>
      <c r="J1941" s="11">
        <v>7.781789764</v>
      </c>
      <c r="K1941" s="10">
        <v>0.38006237030000001</v>
      </c>
      <c r="L1941" s="12">
        <v>3866550056.5</v>
      </c>
      <c r="M1941">
        <v>18.777382331431301</v>
      </c>
      <c r="N1941" s="7">
        <v>1.6951637707295699</v>
      </c>
      <c r="O1941" s="7">
        <v>0.87167620808544299</v>
      </c>
      <c r="P1941" s="7">
        <v>41.077281097751502</v>
      </c>
      <c r="Q1941" s="7">
        <v>4.731182795698925</v>
      </c>
      <c r="U1941">
        <v>0.2512928488733433</v>
      </c>
      <c r="AT1941" s="4" t="s">
        <v>4743</v>
      </c>
    </row>
    <row r="1942" spans="1:46">
      <c r="A1942" s="2">
        <v>1072</v>
      </c>
      <c r="B1942" t="s">
        <v>6892</v>
      </c>
      <c r="C1942" t="s">
        <v>726</v>
      </c>
      <c r="D1942" t="s">
        <v>3811</v>
      </c>
      <c r="E1942" s="4">
        <v>43465</v>
      </c>
      <c r="F1942" s="11">
        <v>-24.92445292</v>
      </c>
      <c r="G1942" s="11">
        <v>5.84415584</v>
      </c>
      <c r="H1942" s="11">
        <v>-1.5664580380999999</v>
      </c>
      <c r="I1942" s="11">
        <v>28.833905818400002</v>
      </c>
      <c r="J1942" s="11">
        <v>11.7740442205</v>
      </c>
      <c r="K1942" s="10">
        <v>0.76974630287699997</v>
      </c>
      <c r="L1942" s="12">
        <v>101109331435.84</v>
      </c>
      <c r="M1942">
        <v>15.173672442258299</v>
      </c>
      <c r="N1942" s="7">
        <v>1.4681158120173801</v>
      </c>
      <c r="O1942" s="7">
        <v>1.5193977995637999</v>
      </c>
      <c r="P1942" s="7">
        <v>30.558641622561598</v>
      </c>
      <c r="Q1942" s="7">
        <v>4.5512010113780024</v>
      </c>
      <c r="U1942">
        <v>0.55629615273605393</v>
      </c>
      <c r="AT1942" s="4" t="s">
        <v>6837</v>
      </c>
    </row>
    <row r="1943" spans="1:46">
      <c r="A1943" s="2">
        <v>1872</v>
      </c>
      <c r="B1943" t="s">
        <v>6893</v>
      </c>
      <c r="C1943" t="s">
        <v>1357</v>
      </c>
      <c r="D1943" t="s">
        <v>3761</v>
      </c>
      <c r="E1943" s="4">
        <v>43465</v>
      </c>
      <c r="F1943" s="11">
        <v>-47.95625742</v>
      </c>
      <c r="G1943" s="11">
        <v>5.8189655199999999</v>
      </c>
      <c r="H1943" s="11">
        <v>14.333505888299999</v>
      </c>
      <c r="I1943" s="11">
        <v>50.1677744363</v>
      </c>
      <c r="J1943" s="11">
        <v>-38.317180330200003</v>
      </c>
      <c r="K1943" s="10">
        <v>0.390637953117</v>
      </c>
      <c r="L1943" s="12">
        <v>16021829690.66</v>
      </c>
      <c r="M1943">
        <v>24.0860863607097</v>
      </c>
      <c r="N1943" s="7">
        <v>2.3664811432354398</v>
      </c>
      <c r="O1943" s="7">
        <v>4.9046545726078898</v>
      </c>
      <c r="P1943" s="7">
        <v>219.258920456543</v>
      </c>
      <c r="Q1943" s="7" t="s">
        <v>3698</v>
      </c>
      <c r="U1943">
        <v>-0.80735238095432982</v>
      </c>
      <c r="AT1943" s="4" t="s">
        <v>5265</v>
      </c>
    </row>
    <row r="1944" spans="1:46">
      <c r="A1944" s="2">
        <v>2299</v>
      </c>
      <c r="B1944" t="s">
        <v>6894</v>
      </c>
      <c r="C1944" t="s">
        <v>3410</v>
      </c>
      <c r="D1944" t="s">
        <v>3871</v>
      </c>
      <c r="E1944" s="4">
        <v>43465</v>
      </c>
      <c r="F1944" s="11">
        <v>-31.534991699999999</v>
      </c>
      <c r="G1944" s="11">
        <v>5.80912863</v>
      </c>
      <c r="H1944" s="11">
        <v>40.995877049000001</v>
      </c>
      <c r="I1944" s="11">
        <v>26.854793978899998</v>
      </c>
      <c r="J1944" s="11">
        <v>10.3036189047</v>
      </c>
      <c r="K1944" s="10">
        <v>0.23956135671600001</v>
      </c>
      <c r="L1944" s="12">
        <v>28415740000</v>
      </c>
      <c r="M1944">
        <v>71.432987266099502</v>
      </c>
      <c r="N1944" s="7">
        <v>0.87413087138471801</v>
      </c>
      <c r="O1944" s="7">
        <v>2.8549101408183799</v>
      </c>
      <c r="P1944" s="7">
        <v>-90.207855181682206</v>
      </c>
      <c r="Q1944" s="7">
        <v>1.9920318725099602</v>
      </c>
      <c r="U1944">
        <v>0.1097512880046231</v>
      </c>
      <c r="AT1944" s="4" t="s">
        <v>6895</v>
      </c>
    </row>
    <row r="1945" spans="1:46">
      <c r="A1945" s="2">
        <v>2651</v>
      </c>
      <c r="B1945" t="s">
        <v>6896</v>
      </c>
      <c r="C1945" t="s">
        <v>2555</v>
      </c>
      <c r="D1945" t="s">
        <v>3764</v>
      </c>
      <c r="E1945" s="4">
        <v>43465</v>
      </c>
      <c r="F1945" s="11">
        <v>-11.87661209</v>
      </c>
      <c r="G1945" s="11">
        <v>5.8020477799999997</v>
      </c>
      <c r="H1945" s="11">
        <v>3.8826837599999999</v>
      </c>
      <c r="I1945" s="11">
        <v>10.705157932400001</v>
      </c>
      <c r="J1945" s="11">
        <v>6.3640382671999998</v>
      </c>
      <c r="K1945" s="10">
        <v>0.19604315483599999</v>
      </c>
      <c r="L1945" s="12">
        <v>2894206938.5599999</v>
      </c>
      <c r="M1945">
        <v>23.115743817923601</v>
      </c>
      <c r="N1945" s="7">
        <v>0.87651709746543005</v>
      </c>
      <c r="O1945" s="7">
        <v>1.5564888948584099</v>
      </c>
      <c r="P1945" s="7">
        <v>48.587460132138297</v>
      </c>
      <c r="Q1945" s="7">
        <v>2.6315789473684217</v>
      </c>
      <c r="U1945">
        <v>0.13216002066079241</v>
      </c>
      <c r="AT1945" s="4" t="s">
        <v>6897</v>
      </c>
    </row>
    <row r="1946" spans="1:46">
      <c r="A1946" s="2">
        <v>3382</v>
      </c>
      <c r="B1946" t="s">
        <v>6898</v>
      </c>
      <c r="C1946" t="s">
        <v>741</v>
      </c>
      <c r="D1946" t="s">
        <v>3737</v>
      </c>
      <c r="E1946" s="4">
        <v>43465</v>
      </c>
      <c r="F1946" s="11">
        <v>-14.615441799999999</v>
      </c>
      <c r="G1946" s="11">
        <v>5.7312253000000002</v>
      </c>
      <c r="H1946" s="11">
        <v>28.5420146383</v>
      </c>
      <c r="I1946" s="11">
        <v>57.413096944599999</v>
      </c>
      <c r="J1946" s="11">
        <v>13.2101874991</v>
      </c>
      <c r="K1946" s="10">
        <v>0.76235679734100004</v>
      </c>
      <c r="L1946" s="12">
        <v>6395896294.1999998</v>
      </c>
      <c r="M1946">
        <v>13.480524006293001</v>
      </c>
      <c r="N1946" s="7">
        <v>1.65669498530489</v>
      </c>
      <c r="O1946" s="7">
        <v>1.8158817714236299</v>
      </c>
      <c r="P1946" s="7">
        <v>-6.4638691694650001</v>
      </c>
      <c r="Q1946" s="7">
        <v>1.631382316313823</v>
      </c>
      <c r="U1946">
        <v>1.1107125411103489</v>
      </c>
      <c r="AT1946" s="4" t="s">
        <v>6899</v>
      </c>
    </row>
    <row r="1947" spans="1:46">
      <c r="A1947" s="2">
        <v>2486</v>
      </c>
      <c r="B1947" t="s">
        <v>6900</v>
      </c>
      <c r="C1947" t="s">
        <v>1509</v>
      </c>
      <c r="D1947" t="s">
        <v>3752</v>
      </c>
      <c r="E1947" s="4">
        <v>43465</v>
      </c>
      <c r="F1947" s="11">
        <v>-32.790891369999997</v>
      </c>
      <c r="G1947" s="11">
        <v>5.7262569799999996</v>
      </c>
      <c r="H1947" s="11">
        <v>19.321319611500002</v>
      </c>
      <c r="I1947" s="11">
        <v>27.569571180899999</v>
      </c>
      <c r="J1947" s="11">
        <v>8.0427582353999991</v>
      </c>
      <c r="K1947" s="10">
        <v>0.87468706802399998</v>
      </c>
      <c r="L1947" s="12">
        <v>2374446837.1199999</v>
      </c>
      <c r="M1947">
        <v>17.4313560593924</v>
      </c>
      <c r="N1947" s="7">
        <v>1.6741918920841701</v>
      </c>
      <c r="O1947" s="7">
        <v>1.4328793080973099</v>
      </c>
      <c r="P1947" s="7">
        <v>-31.015982513935</v>
      </c>
      <c r="Q1947" s="7">
        <v>0.57306590257879653</v>
      </c>
      <c r="U1947">
        <v>0.38898479914106926</v>
      </c>
      <c r="AT1947" s="4" t="s">
        <v>6901</v>
      </c>
    </row>
    <row r="1948" spans="1:46">
      <c r="A1948" s="2">
        <v>2976</v>
      </c>
      <c r="B1948" t="s">
        <v>6902</v>
      </c>
      <c r="C1948" t="s">
        <v>940</v>
      </c>
      <c r="D1948" t="s">
        <v>3837</v>
      </c>
      <c r="E1948" s="4">
        <v>43465</v>
      </c>
      <c r="F1948" s="11">
        <v>-25.53714265</v>
      </c>
      <c r="G1948" s="11">
        <v>5.7251908399999998</v>
      </c>
      <c r="H1948" s="11">
        <v>11.9488445234</v>
      </c>
      <c r="I1948" s="11" t="s">
        <v>3698</v>
      </c>
      <c r="J1948" s="11">
        <v>33.699624175399997</v>
      </c>
      <c r="K1948" s="10" t="s">
        <v>3698</v>
      </c>
      <c r="L1948" s="12">
        <v>1421871744.24</v>
      </c>
      <c r="M1948">
        <v>8.8049917779274907</v>
      </c>
      <c r="N1948" s="7">
        <v>0.94604127233582003</v>
      </c>
      <c r="O1948" s="7">
        <v>3.1228381590229102</v>
      </c>
      <c r="P1948" s="7">
        <v>2.9020913776151902</v>
      </c>
      <c r="Q1948" s="7">
        <v>3.4416474826188423</v>
      </c>
      <c r="U1948">
        <v>0.59274915746275691</v>
      </c>
      <c r="AT1948" s="4" t="s">
        <v>6903</v>
      </c>
    </row>
    <row r="1949" spans="1:46">
      <c r="A1949" s="2">
        <v>707</v>
      </c>
      <c r="B1949" t="s">
        <v>6904</v>
      </c>
      <c r="C1949" t="s">
        <v>2483</v>
      </c>
      <c r="D1949" t="s">
        <v>3761</v>
      </c>
      <c r="E1949" s="4">
        <v>43465</v>
      </c>
      <c r="F1949" s="11">
        <v>-42.554172540000003</v>
      </c>
      <c r="G1949" s="11">
        <v>5.7199210999999996</v>
      </c>
      <c r="H1949" s="11">
        <v>3.4546653959000002</v>
      </c>
      <c r="I1949" s="11">
        <v>18.623089420399999</v>
      </c>
      <c r="J1949" s="11">
        <v>-32.608622774300002</v>
      </c>
      <c r="K1949" s="10">
        <v>0.44262429940800002</v>
      </c>
      <c r="L1949" s="12">
        <v>15919365297.690001</v>
      </c>
      <c r="M1949">
        <v>50.823581087709101</v>
      </c>
      <c r="N1949" s="7">
        <v>1.6845646779599901</v>
      </c>
      <c r="O1949" s="7">
        <v>1.6407391214731599</v>
      </c>
      <c r="P1949" s="7">
        <v>-172.42461196102801</v>
      </c>
      <c r="Q1949" s="7" t="s">
        <v>3698</v>
      </c>
      <c r="U1949">
        <v>-1.0019420742424621</v>
      </c>
      <c r="AT1949" s="4" t="s">
        <v>6363</v>
      </c>
    </row>
    <row r="1950" spans="1:46">
      <c r="A1950" s="2">
        <v>1956</v>
      </c>
      <c r="B1950" t="s">
        <v>6905</v>
      </c>
      <c r="C1950" t="s">
        <v>760</v>
      </c>
      <c r="D1950" t="s">
        <v>3713</v>
      </c>
      <c r="E1950" s="4">
        <v>43465</v>
      </c>
      <c r="F1950" s="11">
        <v>-15.70834271</v>
      </c>
      <c r="G1950" s="11">
        <v>5.6772908400000004</v>
      </c>
      <c r="H1950" s="11">
        <v>-26.942706312199999</v>
      </c>
      <c r="I1950" s="11">
        <v>34.535037645700001</v>
      </c>
      <c r="J1950" s="11">
        <v>4.1741481608999997</v>
      </c>
      <c r="K1950" s="10">
        <v>0.295959722694</v>
      </c>
      <c r="L1950" s="12">
        <v>22739546452.439999</v>
      </c>
      <c r="M1950">
        <v>60.549097096891998</v>
      </c>
      <c r="N1950" s="7">
        <v>3.6218706578508799</v>
      </c>
      <c r="O1950" s="7">
        <v>5.5071028187304503</v>
      </c>
      <c r="P1950" s="7">
        <v>-68.989697711246805</v>
      </c>
      <c r="Q1950" s="7">
        <v>0.59642147117296218</v>
      </c>
      <c r="U1950">
        <v>6.571553732385059E-2</v>
      </c>
      <c r="AT1950" s="4" t="s">
        <v>3757</v>
      </c>
    </row>
    <row r="1951" spans="1:46">
      <c r="A1951" s="2">
        <v>2303</v>
      </c>
      <c r="B1951" t="s">
        <v>6906</v>
      </c>
      <c r="C1951" t="s">
        <v>561</v>
      </c>
      <c r="D1951" t="s">
        <v>3764</v>
      </c>
      <c r="E1951" s="4">
        <v>43465</v>
      </c>
      <c r="F1951" s="11">
        <v>-14.56790123</v>
      </c>
      <c r="G1951" s="11">
        <v>5.66037736</v>
      </c>
      <c r="H1951" s="11">
        <v>3.4340746504999999</v>
      </c>
      <c r="I1951" s="11">
        <v>52.414011151300002</v>
      </c>
      <c r="J1951" s="11">
        <v>27.607706950200001</v>
      </c>
      <c r="K1951" s="10">
        <v>0.13638112300999999</v>
      </c>
      <c r="L1951" s="12">
        <v>5602164586.8000002</v>
      </c>
      <c r="M1951">
        <v>18.445685073482501</v>
      </c>
      <c r="N1951" s="7">
        <v>1.70492827713846</v>
      </c>
      <c r="O1951" s="7">
        <v>5.4479417063589404</v>
      </c>
      <c r="P1951" s="7">
        <v>126.9268814899</v>
      </c>
      <c r="Q1951" s="7" t="s">
        <v>3698</v>
      </c>
      <c r="U1951">
        <v>0.13042207738432282</v>
      </c>
      <c r="AT1951" s="4" t="s">
        <v>3978</v>
      </c>
    </row>
    <row r="1952" spans="1:46">
      <c r="A1952" s="2">
        <v>254</v>
      </c>
      <c r="B1952" t="s">
        <v>6907</v>
      </c>
      <c r="C1952" t="s">
        <v>1563</v>
      </c>
      <c r="D1952" t="s">
        <v>3718</v>
      </c>
      <c r="E1952" s="4">
        <v>43465</v>
      </c>
      <c r="F1952" s="11">
        <v>-41.15420795</v>
      </c>
      <c r="G1952" s="11">
        <v>5.6586270900000004</v>
      </c>
      <c r="H1952" s="11">
        <v>18.284775955299999</v>
      </c>
      <c r="I1952" s="11">
        <v>50.631906267600002</v>
      </c>
      <c r="J1952" s="11">
        <v>27.6630373564</v>
      </c>
      <c r="K1952" s="10">
        <v>0.26937863693800002</v>
      </c>
      <c r="L1952" s="12">
        <v>3539356276.5</v>
      </c>
      <c r="M1952">
        <v>17.076994440077499</v>
      </c>
      <c r="N1952" s="7">
        <v>1.0174991957173101</v>
      </c>
      <c r="O1952" s="7">
        <v>0.76855644736977902</v>
      </c>
      <c r="P1952" s="7">
        <v>-1.12066834183755</v>
      </c>
      <c r="Q1952" s="7">
        <v>0.47619047619047622</v>
      </c>
      <c r="U1952">
        <v>1.0750968789570108</v>
      </c>
      <c r="AT1952" s="4" t="s">
        <v>6393</v>
      </c>
    </row>
    <row r="1953" spans="1:46">
      <c r="A1953" s="2">
        <v>2911</v>
      </c>
      <c r="B1953" t="s">
        <v>6908</v>
      </c>
      <c r="C1953" t="s">
        <v>1573</v>
      </c>
      <c r="D1953" t="s">
        <v>3811</v>
      </c>
      <c r="E1953" s="4">
        <v>43465</v>
      </c>
      <c r="F1953" s="11">
        <v>-33.803330469999999</v>
      </c>
      <c r="G1953" s="11">
        <v>5.6572379399999999</v>
      </c>
      <c r="H1953" s="11">
        <v>-21.926915838199999</v>
      </c>
      <c r="I1953" s="11">
        <v>60.582346164599997</v>
      </c>
      <c r="J1953" s="11">
        <v>139.18993839570001</v>
      </c>
      <c r="K1953" s="10">
        <v>5.1840350425999999E-2</v>
      </c>
      <c r="L1953" s="12">
        <v>21843354638</v>
      </c>
      <c r="M1953">
        <v>25.003361432951898</v>
      </c>
      <c r="N1953" s="7">
        <v>1.9914552097256499</v>
      </c>
      <c r="O1953" s="7">
        <v>30.1014289623281</v>
      </c>
      <c r="P1953" s="7">
        <v>38.331403099798997</v>
      </c>
      <c r="Q1953" s="7">
        <v>1.25</v>
      </c>
      <c r="U1953">
        <v>0.24593814871414738</v>
      </c>
      <c r="AT1953" s="4" t="s">
        <v>4215</v>
      </c>
    </row>
    <row r="1954" spans="1:46">
      <c r="A1954" s="2">
        <v>1218</v>
      </c>
      <c r="B1954" t="s">
        <v>6909</v>
      </c>
      <c r="C1954" t="s">
        <v>2355</v>
      </c>
      <c r="D1954" t="s">
        <v>3849</v>
      </c>
      <c r="E1954" s="4">
        <v>43465</v>
      </c>
      <c r="F1954" s="11">
        <v>18.69827373</v>
      </c>
      <c r="G1954" s="11">
        <v>5.6430446200000004</v>
      </c>
      <c r="H1954" s="11">
        <v>-7.2441705225000002</v>
      </c>
      <c r="I1954" s="11">
        <v>20.306520994100001</v>
      </c>
      <c r="J1954" s="11">
        <v>-6.6727882107000003</v>
      </c>
      <c r="K1954" s="10">
        <v>0.59888091884899997</v>
      </c>
      <c r="L1954" s="12">
        <v>15470817264.309999</v>
      </c>
      <c r="M1954">
        <v>-46542.626679876499</v>
      </c>
      <c r="N1954" s="7">
        <v>2.5332655865996401</v>
      </c>
      <c r="O1954" s="7">
        <v>2.4818359962605001</v>
      </c>
      <c r="P1954" s="7">
        <v>54.871017491524498</v>
      </c>
      <c r="Q1954" s="7" t="s">
        <v>3698</v>
      </c>
      <c r="U1954">
        <v>-0.19281524372050882</v>
      </c>
      <c r="AT1954" s="4" t="s">
        <v>4073</v>
      </c>
    </row>
    <row r="1955" spans="1:46">
      <c r="A1955" s="2">
        <v>2399</v>
      </c>
      <c r="B1955" t="s">
        <v>6910</v>
      </c>
      <c r="C1955" t="s">
        <v>1565</v>
      </c>
      <c r="D1955" t="s">
        <v>3972</v>
      </c>
      <c r="E1955" s="4">
        <v>43465</v>
      </c>
      <c r="F1955" s="11">
        <v>-14.06092396</v>
      </c>
      <c r="G1955" s="11">
        <v>5.6410256399999996</v>
      </c>
      <c r="H1955" s="11">
        <v>4.1502790566999996</v>
      </c>
      <c r="I1955" s="11">
        <v>37.093864992500002</v>
      </c>
      <c r="J1955" s="11">
        <v>24.483627909300001</v>
      </c>
      <c r="K1955" s="10">
        <v>0.13441361972400001</v>
      </c>
      <c r="L1955" s="12">
        <v>2443464163</v>
      </c>
      <c r="M1955">
        <v>16.000921465255999</v>
      </c>
      <c r="N1955" s="7">
        <v>0.61372642321848503</v>
      </c>
      <c r="O1955" s="7">
        <v>2.1590313944424899</v>
      </c>
      <c r="P1955" s="7">
        <v>-12.2826115249062</v>
      </c>
      <c r="Q1955" s="7">
        <v>2.481389578163772</v>
      </c>
      <c r="U1955">
        <v>0.500323265861357</v>
      </c>
      <c r="AT1955" s="4" t="s">
        <v>6911</v>
      </c>
    </row>
    <row r="1956" spans="1:46">
      <c r="A1956" s="2">
        <v>2220</v>
      </c>
      <c r="B1956" t="s">
        <v>6912</v>
      </c>
      <c r="C1956" t="s">
        <v>353</v>
      </c>
      <c r="D1956" t="s">
        <v>3785</v>
      </c>
      <c r="E1956" s="4">
        <v>43465</v>
      </c>
      <c r="F1956" s="11">
        <v>-0.35696665999999999</v>
      </c>
      <c r="G1956" s="11">
        <v>5.6375838900000002</v>
      </c>
      <c r="H1956" s="11">
        <v>-0.18889622249999999</v>
      </c>
      <c r="I1956" s="11">
        <v>12.9271707323</v>
      </c>
      <c r="J1956" s="11">
        <v>1.7526300646999999</v>
      </c>
      <c r="K1956" s="10">
        <v>1.9430034688510001</v>
      </c>
      <c r="L1956" s="12">
        <v>2951682536.1599998</v>
      </c>
      <c r="M1956">
        <v>37.799670696901998</v>
      </c>
      <c r="N1956" s="7">
        <v>2.0266717159743202</v>
      </c>
      <c r="O1956" s="7">
        <v>0.31577898007548</v>
      </c>
      <c r="P1956" s="7">
        <v>-12.5786461059683</v>
      </c>
      <c r="Q1956" s="7">
        <v>1.2903225806451613</v>
      </c>
      <c r="U1956">
        <v>0.32632247520956664</v>
      </c>
      <c r="AT1956" s="4" t="s">
        <v>6072</v>
      </c>
    </row>
    <row r="1957" spans="1:46">
      <c r="A1957" s="2">
        <v>1280</v>
      </c>
      <c r="B1957" t="s">
        <v>6913</v>
      </c>
      <c r="C1957" t="s">
        <v>231</v>
      </c>
      <c r="D1957" t="s">
        <v>3737</v>
      </c>
      <c r="E1957" s="4">
        <v>43465</v>
      </c>
      <c r="F1957" s="11">
        <v>-21.216360940000001</v>
      </c>
      <c r="G1957" s="11">
        <v>5.6061050799999999</v>
      </c>
      <c r="H1957" s="11">
        <v>4.6993817331000001</v>
      </c>
      <c r="I1957" s="11">
        <v>92.167617340899994</v>
      </c>
      <c r="J1957" s="11">
        <v>23.820286942100001</v>
      </c>
      <c r="K1957" s="10">
        <v>0.59655101777200004</v>
      </c>
      <c r="L1957" s="12">
        <v>3034771200</v>
      </c>
      <c r="M1957">
        <v>34.6118695553386</v>
      </c>
      <c r="N1957" s="7">
        <v>5.9309147112617104</v>
      </c>
      <c r="O1957" s="7">
        <v>7.9969618209558098</v>
      </c>
      <c r="P1957" s="7">
        <v>-48.669815984461501</v>
      </c>
      <c r="Q1957" s="7">
        <v>0.54143945546660477</v>
      </c>
      <c r="U1957">
        <v>1.0317831565461291</v>
      </c>
      <c r="AT1957" s="4" t="s">
        <v>5755</v>
      </c>
    </row>
    <row r="1958" spans="1:46">
      <c r="A1958" s="2">
        <v>1016</v>
      </c>
      <c r="B1958" t="s">
        <v>6914</v>
      </c>
      <c r="C1958" t="s">
        <v>2831</v>
      </c>
      <c r="D1958" t="s">
        <v>3811</v>
      </c>
      <c r="E1958" s="4">
        <v>43465</v>
      </c>
      <c r="F1958" s="11">
        <v>-38.380281689999997</v>
      </c>
      <c r="G1958" s="11">
        <v>5.5555555600000002</v>
      </c>
      <c r="H1958" s="11">
        <v>8.2148286859000006</v>
      </c>
      <c r="I1958" s="11">
        <v>7.9804429925999996</v>
      </c>
      <c r="J1958" s="11">
        <v>-4.6018422823999998</v>
      </c>
      <c r="K1958" s="10">
        <v>0.912416651814</v>
      </c>
      <c r="L1958" s="12">
        <v>9780800803.5400009</v>
      </c>
      <c r="M1958">
        <v>-87.0758683395037</v>
      </c>
      <c r="N1958" s="7">
        <v>2.1698797985878402</v>
      </c>
      <c r="O1958" s="7">
        <v>0.63838755839012495</v>
      </c>
      <c r="P1958" s="7">
        <v>-16.621042765231799</v>
      </c>
      <c r="Q1958" s="7" t="s">
        <v>3698</v>
      </c>
      <c r="U1958">
        <v>-0.12491482157400367</v>
      </c>
      <c r="AT1958" s="4" t="s">
        <v>6007</v>
      </c>
    </row>
    <row r="1959" spans="1:46">
      <c r="A1959" s="2">
        <v>1657</v>
      </c>
      <c r="B1959" t="s">
        <v>6915</v>
      </c>
      <c r="C1959" t="s">
        <v>859</v>
      </c>
      <c r="D1959" t="s">
        <v>3721</v>
      </c>
      <c r="E1959" s="4">
        <v>43465</v>
      </c>
      <c r="F1959" s="11">
        <v>0.87039105000000005</v>
      </c>
      <c r="G1959" s="11">
        <v>5.5555555600000002</v>
      </c>
      <c r="H1959" s="11">
        <v>49.292066698500001</v>
      </c>
      <c r="I1959" s="11">
        <v>31.476378928900001</v>
      </c>
      <c r="J1959" s="11">
        <v>9.4237724265999994</v>
      </c>
      <c r="K1959" s="10">
        <v>0.80012240373400001</v>
      </c>
      <c r="L1959" s="12">
        <v>3400941340</v>
      </c>
      <c r="M1959">
        <v>20.023590763913301</v>
      </c>
      <c r="N1959" s="7">
        <v>3.9769498358728499</v>
      </c>
      <c r="O1959" s="7">
        <v>1.70802573190484</v>
      </c>
      <c r="P1959" s="7">
        <v>147.20931796370201</v>
      </c>
      <c r="Q1959" s="7">
        <v>0.61574724464637431</v>
      </c>
      <c r="U1959">
        <v>0.54153705393693019</v>
      </c>
      <c r="AT1959" s="4" t="s">
        <v>4044</v>
      </c>
    </row>
    <row r="1960" spans="1:46">
      <c r="A1960" s="2">
        <v>1091</v>
      </c>
      <c r="B1960" t="s">
        <v>6916</v>
      </c>
      <c r="C1960" t="s">
        <v>2830</v>
      </c>
      <c r="D1960" t="s">
        <v>3761</v>
      </c>
      <c r="E1960" s="4">
        <v>43465</v>
      </c>
      <c r="F1960" s="11">
        <v>-35.483870969999998</v>
      </c>
      <c r="G1960" s="11">
        <v>5.5335968400000004</v>
      </c>
      <c r="H1960" s="11">
        <v>7.5648237962999998</v>
      </c>
      <c r="I1960" s="11">
        <v>16.059744413800001</v>
      </c>
      <c r="J1960" s="11">
        <v>0.95859487980000002</v>
      </c>
      <c r="K1960" s="10">
        <v>0.93068580469399997</v>
      </c>
      <c r="L1960" s="12">
        <v>2840835928.8000002</v>
      </c>
      <c r="M1960">
        <v>456.457848640235</v>
      </c>
      <c r="N1960" s="7">
        <v>1.5112241446781101</v>
      </c>
      <c r="O1960" s="7">
        <v>0.98724982586596499</v>
      </c>
      <c r="P1960" s="7">
        <v>-53.976217293146597</v>
      </c>
      <c r="Q1960" s="7" t="s">
        <v>3698</v>
      </c>
      <c r="U1960">
        <v>4.5640617357035333E-2</v>
      </c>
      <c r="AT1960" s="4" t="s">
        <v>4458</v>
      </c>
    </row>
    <row r="1961" spans="1:46">
      <c r="A1961" s="2">
        <v>1742</v>
      </c>
      <c r="B1961" t="s">
        <v>6917</v>
      </c>
      <c r="C1961" t="s">
        <v>2659</v>
      </c>
      <c r="D1961" t="s">
        <v>3761</v>
      </c>
      <c r="E1961" s="4">
        <v>43465</v>
      </c>
      <c r="F1961" s="11">
        <v>-69.269964920000007</v>
      </c>
      <c r="G1961" s="11">
        <v>5.5319148900000004</v>
      </c>
      <c r="H1961" s="11">
        <v>-48.9587968835</v>
      </c>
      <c r="I1961" s="11">
        <v>22.8169830177</v>
      </c>
      <c r="J1961" s="11">
        <v>-118.060956514</v>
      </c>
      <c r="K1961" s="10">
        <v>0.212607096882</v>
      </c>
      <c r="L1961" s="12">
        <v>2116508241.5999999</v>
      </c>
      <c r="M1961">
        <v>697.72941223314399</v>
      </c>
      <c r="N1961" s="7">
        <v>1.41631188381439</v>
      </c>
      <c r="O1961" s="7">
        <v>1.87607986967455</v>
      </c>
      <c r="P1961" s="7">
        <v>-11.038739941199699</v>
      </c>
      <c r="Q1961" s="7" t="s">
        <v>3698</v>
      </c>
      <c r="U1961">
        <v>-2.369427035659772</v>
      </c>
      <c r="AT1961" s="4" t="s">
        <v>4204</v>
      </c>
    </row>
    <row r="1962" spans="1:46">
      <c r="A1962" s="2">
        <v>3126</v>
      </c>
      <c r="B1962" t="s">
        <v>6918</v>
      </c>
      <c r="C1962" t="s">
        <v>886</v>
      </c>
      <c r="D1962" t="s">
        <v>3737</v>
      </c>
      <c r="E1962" s="4">
        <v>43465</v>
      </c>
      <c r="F1962" s="11">
        <v>-21.070520649999999</v>
      </c>
      <c r="G1962" s="11">
        <v>5.5294117600000003</v>
      </c>
      <c r="H1962" s="11">
        <v>21.580300513200001</v>
      </c>
      <c r="I1962" s="11">
        <v>14.182992668500001</v>
      </c>
      <c r="J1962" s="11">
        <v>2.8011929571</v>
      </c>
      <c r="K1962" s="10">
        <v>1.438221294339</v>
      </c>
      <c r="L1962" s="12">
        <v>21049811505.84</v>
      </c>
      <c r="M1962">
        <v>16.345193872579301</v>
      </c>
      <c r="N1962" s="7">
        <v>1.7462419375701399</v>
      </c>
      <c r="O1962" s="7">
        <v>0.32335958504816598</v>
      </c>
      <c r="P1962" s="7">
        <v>12.589454339632001</v>
      </c>
      <c r="Q1962" s="7">
        <v>2.3046655424395728</v>
      </c>
      <c r="U1962">
        <v>1.3655668142544044</v>
      </c>
      <c r="AT1962" s="4" t="s">
        <v>4537</v>
      </c>
    </row>
    <row r="1963" spans="1:46">
      <c r="A1963" s="2">
        <v>3387</v>
      </c>
      <c r="B1963" t="s">
        <v>6919</v>
      </c>
      <c r="C1963" t="s">
        <v>787</v>
      </c>
      <c r="D1963" t="s">
        <v>3721</v>
      </c>
      <c r="E1963" s="4">
        <v>43465</v>
      </c>
      <c r="F1963" s="11">
        <v>-16.416938729999998</v>
      </c>
      <c r="G1963" s="11">
        <v>5.5194805200000001</v>
      </c>
      <c r="H1963" s="11">
        <v>10.2416156038</v>
      </c>
      <c r="I1963" s="11">
        <v>25.879550206600001</v>
      </c>
      <c r="J1963" s="11">
        <v>10.722020670899999</v>
      </c>
      <c r="K1963" s="10">
        <v>0.96534957852600001</v>
      </c>
      <c r="L1963" s="12">
        <v>7502992150</v>
      </c>
      <c r="M1963">
        <v>25.9897343388824</v>
      </c>
      <c r="N1963" s="7">
        <v>3.2257742689569699</v>
      </c>
      <c r="O1963" s="7">
        <v>2.6245058633670699</v>
      </c>
      <c r="P1963" s="7">
        <v>-34.180666052049503</v>
      </c>
      <c r="Q1963" s="7">
        <v>1.5099519560741252</v>
      </c>
      <c r="U1963">
        <v>0.63480687168749994</v>
      </c>
      <c r="AT1963" s="4" t="s">
        <v>4689</v>
      </c>
    </row>
    <row r="1964" spans="1:46">
      <c r="A1964" s="2">
        <v>3030</v>
      </c>
      <c r="B1964" t="s">
        <v>6920</v>
      </c>
      <c r="C1964" t="s">
        <v>1428</v>
      </c>
      <c r="D1964" t="s">
        <v>3811</v>
      </c>
      <c r="E1964" s="4">
        <v>43465</v>
      </c>
      <c r="F1964" s="11">
        <v>-22.53382569</v>
      </c>
      <c r="G1964" s="11">
        <v>5.5172413799999998</v>
      </c>
      <c r="H1964" s="11">
        <v>-5.2074857024999996</v>
      </c>
      <c r="I1964" s="11">
        <v>19.869798779500002</v>
      </c>
      <c r="J1964" s="11">
        <v>3.7996760131</v>
      </c>
      <c r="K1964" s="10">
        <v>0.99528420438200005</v>
      </c>
      <c r="L1964" s="12">
        <v>2253220200</v>
      </c>
      <c r="M1964">
        <v>19.702585209428999</v>
      </c>
      <c r="N1964" s="7">
        <v>1.1884932356685101</v>
      </c>
      <c r="O1964" s="7">
        <v>0.81288170981934305</v>
      </c>
      <c r="P1964" s="7">
        <v>-67.213488074093803</v>
      </c>
      <c r="Q1964" s="7">
        <v>1.3605442176870748</v>
      </c>
      <c r="U1964">
        <v>0.13110066814935065</v>
      </c>
      <c r="AT1964" s="4" t="s">
        <v>6921</v>
      </c>
    </row>
    <row r="1965" spans="1:46">
      <c r="A1965" s="2">
        <v>2864</v>
      </c>
      <c r="B1965" t="s">
        <v>6922</v>
      </c>
      <c r="C1965" t="s">
        <v>2955</v>
      </c>
      <c r="D1965" t="s">
        <v>3871</v>
      </c>
      <c r="E1965" s="4">
        <v>43465</v>
      </c>
      <c r="F1965" s="11">
        <v>-44.13380669</v>
      </c>
      <c r="G1965" s="11">
        <v>5.4945054899999999</v>
      </c>
      <c r="H1965" s="11">
        <v>36.659821133599998</v>
      </c>
      <c r="I1965" s="11">
        <v>20.826873744299998</v>
      </c>
      <c r="J1965" s="11">
        <v>3.6961139208999998</v>
      </c>
      <c r="K1965" s="10">
        <v>0.15545157735099999</v>
      </c>
      <c r="L1965" s="12">
        <v>10257832643.700001</v>
      </c>
      <c r="M1965">
        <v>643.37219795038902</v>
      </c>
      <c r="N1965" s="7">
        <v>0.99510212445705903</v>
      </c>
      <c r="O1965" s="7">
        <v>2.05954599116951</v>
      </c>
      <c r="P1965" s="7">
        <v>-11.9541503837834</v>
      </c>
      <c r="Q1965" s="7">
        <v>0.43243243243243246</v>
      </c>
      <c r="U1965">
        <v>0.11116998745804628</v>
      </c>
      <c r="AT1965" s="4" t="s">
        <v>5569</v>
      </c>
    </row>
    <row r="1966" spans="1:46">
      <c r="A1966" s="2">
        <v>11</v>
      </c>
      <c r="B1966" t="s">
        <v>6923</v>
      </c>
      <c r="C1966" t="s">
        <v>1514</v>
      </c>
      <c r="D1966" t="s">
        <v>3871</v>
      </c>
      <c r="E1966" s="4">
        <v>43465</v>
      </c>
      <c r="F1966" s="11">
        <v>-40.725197119999997</v>
      </c>
      <c r="G1966" s="11">
        <v>5.4794926000000004</v>
      </c>
      <c r="H1966" s="11">
        <v>-4.0434617834999997</v>
      </c>
      <c r="I1966" s="11">
        <v>52.813905750000004</v>
      </c>
      <c r="J1966" s="11">
        <v>21.263386630599999</v>
      </c>
      <c r="K1966" s="10">
        <v>0.49712083817199998</v>
      </c>
      <c r="L1966" s="12">
        <v>2502830926.1999998</v>
      </c>
      <c r="M1966">
        <v>43.888146074422103</v>
      </c>
      <c r="N1966" s="7">
        <v>1.63905665798269</v>
      </c>
      <c r="O1966" s="7">
        <v>3.7706506917723601</v>
      </c>
      <c r="P1966" s="7">
        <v>-75.969282145394402</v>
      </c>
      <c r="Q1966" s="7">
        <v>3.3296337402885676</v>
      </c>
      <c r="U1966">
        <v>0.994537997500758</v>
      </c>
      <c r="AT1966" s="4" t="s">
        <v>6924</v>
      </c>
    </row>
    <row r="1967" spans="1:46">
      <c r="A1967" s="2">
        <v>2504</v>
      </c>
      <c r="B1967" t="s">
        <v>6925</v>
      </c>
      <c r="C1967" t="s">
        <v>449</v>
      </c>
      <c r="D1967" t="s">
        <v>3778</v>
      </c>
      <c r="E1967" s="4">
        <v>43465</v>
      </c>
      <c r="F1967" s="11">
        <v>-21.333490019999999</v>
      </c>
      <c r="G1967" s="11">
        <v>5.4707379100000004</v>
      </c>
      <c r="H1967" s="11">
        <v>86.156374867099998</v>
      </c>
      <c r="I1967" s="11">
        <v>5.1497540365000001</v>
      </c>
      <c r="J1967" s="11">
        <v>1.9433952144</v>
      </c>
      <c r="K1967" s="10">
        <v>2.1883634887999999</v>
      </c>
      <c r="L1967" s="12">
        <v>2926369676.1599998</v>
      </c>
      <c r="M1967">
        <v>20.6212538268625</v>
      </c>
      <c r="N1967" s="7">
        <v>1.43211209128418</v>
      </c>
      <c r="O1967" s="7">
        <v>0.180041430765112</v>
      </c>
      <c r="P1967" s="7">
        <v>4.5666493076683103</v>
      </c>
      <c r="Q1967" s="7">
        <v>0.77216562902372543</v>
      </c>
      <c r="U1967">
        <v>0.65058867077511273</v>
      </c>
      <c r="AT1967" s="4" t="s">
        <v>6926</v>
      </c>
    </row>
    <row r="1968" spans="1:46">
      <c r="A1968" s="2">
        <v>168</v>
      </c>
      <c r="B1968" t="s">
        <v>6927</v>
      </c>
      <c r="C1968" t="s">
        <v>325</v>
      </c>
      <c r="D1968" t="s">
        <v>3849</v>
      </c>
      <c r="E1968" s="4">
        <v>43465</v>
      </c>
      <c r="F1968" s="11">
        <v>-44.111753559999997</v>
      </c>
      <c r="G1968" s="11">
        <v>5.46875</v>
      </c>
      <c r="H1968" s="11">
        <v>1.8632856997</v>
      </c>
      <c r="I1968" s="11">
        <v>18.597205188</v>
      </c>
      <c r="J1968" s="11">
        <v>6.5877317494999996</v>
      </c>
      <c r="K1968" s="10">
        <v>0.96379662560199997</v>
      </c>
      <c r="L1968" s="12">
        <v>3458149695.8000002</v>
      </c>
      <c r="M1968">
        <v>19.6680516311228</v>
      </c>
      <c r="N1968" s="7">
        <v>2.7108077040790199</v>
      </c>
      <c r="O1968" s="7">
        <v>1.2061889880752801</v>
      </c>
      <c r="P1968" s="7">
        <v>-1141.34107278127</v>
      </c>
      <c r="Q1968" s="7">
        <v>3.9370078740157486</v>
      </c>
      <c r="U1968">
        <v>0.2624606563997437</v>
      </c>
      <c r="AT1968" s="4" t="s">
        <v>6928</v>
      </c>
    </row>
    <row r="1969" spans="1:46">
      <c r="A1969" s="2">
        <v>2176</v>
      </c>
      <c r="B1969" t="s">
        <v>6929</v>
      </c>
      <c r="C1969" t="s">
        <v>1681</v>
      </c>
      <c r="D1969" t="s">
        <v>3972</v>
      </c>
      <c r="E1969" s="4">
        <v>43465</v>
      </c>
      <c r="F1969" s="11">
        <v>-24.09014217</v>
      </c>
      <c r="G1969" s="11">
        <v>5.4347826100000001</v>
      </c>
      <c r="H1969" s="11">
        <v>6.7816239664999998</v>
      </c>
      <c r="I1969" s="11">
        <v>27.457391757300002</v>
      </c>
      <c r="J1969" s="11">
        <v>14.332602040199999</v>
      </c>
      <c r="K1969" s="10">
        <v>0.24622089872</v>
      </c>
      <c r="L1969" s="12">
        <v>7921462500</v>
      </c>
      <c r="M1969">
        <v>15.006359288361701</v>
      </c>
      <c r="N1969" s="7">
        <v>0.76529718725306195</v>
      </c>
      <c r="O1969" s="7">
        <v>1.6533588328805899</v>
      </c>
      <c r="P1969" s="7">
        <v>-16.2314345694748</v>
      </c>
      <c r="Q1969" s="7">
        <v>0.70921985815602839</v>
      </c>
      <c r="U1969">
        <v>0.20950731553510876</v>
      </c>
      <c r="AT1969" s="4" t="s">
        <v>6930</v>
      </c>
    </row>
    <row r="1970" spans="1:46">
      <c r="A1970" s="2">
        <v>2957</v>
      </c>
      <c r="B1970" t="s">
        <v>6931</v>
      </c>
      <c r="C1970" t="s">
        <v>1891</v>
      </c>
      <c r="D1970" t="s">
        <v>3769</v>
      </c>
      <c r="E1970" s="4">
        <v>43465</v>
      </c>
      <c r="F1970" s="11">
        <v>-29.558271980000001</v>
      </c>
      <c r="G1970" s="11">
        <v>5.4179566599999998</v>
      </c>
      <c r="H1970" s="11">
        <v>7.0476878665999996</v>
      </c>
      <c r="I1970" s="11">
        <v>22.095617956000002</v>
      </c>
      <c r="J1970" s="11">
        <v>14.0910170757</v>
      </c>
      <c r="K1970" s="10">
        <v>0.38897326834500001</v>
      </c>
      <c r="L1970" s="12">
        <v>2557627038.7800002</v>
      </c>
      <c r="M1970">
        <v>32.019993485268898</v>
      </c>
      <c r="N1970" s="7">
        <v>1.3713748046868699</v>
      </c>
      <c r="O1970" s="7">
        <v>1.81130649928594</v>
      </c>
      <c r="P1970" s="7">
        <v>15.254808743859</v>
      </c>
      <c r="Q1970" s="7">
        <v>0.6962576153176675</v>
      </c>
      <c r="U1970">
        <v>0.99333138880054095</v>
      </c>
      <c r="AT1970" s="4" t="s">
        <v>6932</v>
      </c>
    </row>
    <row r="1971" spans="1:46">
      <c r="A1971" s="2">
        <v>2248</v>
      </c>
      <c r="B1971" t="s">
        <v>6933</v>
      </c>
      <c r="C1971" t="s">
        <v>1952</v>
      </c>
      <c r="D1971" t="s">
        <v>3764</v>
      </c>
      <c r="E1971" s="4">
        <v>43465</v>
      </c>
      <c r="F1971" s="11">
        <v>-0.67624245999999999</v>
      </c>
      <c r="G1971" s="11">
        <v>5.4135338300000004</v>
      </c>
      <c r="H1971" s="11">
        <v>5.7367529601999996</v>
      </c>
      <c r="I1971" s="11">
        <v>14.1048213725</v>
      </c>
      <c r="J1971" s="11">
        <v>6.0261816893000004</v>
      </c>
      <c r="K1971" s="10">
        <v>0.51856640185299996</v>
      </c>
      <c r="L1971" s="12">
        <v>3802463326.3600001</v>
      </c>
      <c r="M1971">
        <v>21.949672660898901</v>
      </c>
      <c r="N1971" s="7">
        <v>0.96789283131025505</v>
      </c>
      <c r="O1971" s="7">
        <v>1.3393451480751299</v>
      </c>
      <c r="P1971" s="7">
        <v>9.0567922617583196</v>
      </c>
      <c r="Q1971" s="7">
        <v>0.55822261931298744</v>
      </c>
      <c r="U1971">
        <v>0.31396549662750034</v>
      </c>
      <c r="AT1971" s="4" t="s">
        <v>4449</v>
      </c>
    </row>
    <row r="1972" spans="1:46">
      <c r="A1972" s="2">
        <v>850</v>
      </c>
      <c r="B1972" t="s">
        <v>6934</v>
      </c>
      <c r="C1972" t="s">
        <v>3571</v>
      </c>
      <c r="D1972" t="s">
        <v>3761</v>
      </c>
      <c r="E1972" s="4">
        <v>43465</v>
      </c>
      <c r="F1972" s="11">
        <v>-6.33873789</v>
      </c>
      <c r="G1972" s="11">
        <v>5.3921568600000001</v>
      </c>
      <c r="H1972" s="11">
        <v>21.215349772700002</v>
      </c>
      <c r="I1972" s="11">
        <v>31.590294036500001</v>
      </c>
      <c r="J1972" s="11">
        <v>4.6380057022000001</v>
      </c>
      <c r="K1972" s="10">
        <v>0.53362282443499998</v>
      </c>
      <c r="L1972" s="12">
        <v>9645230967.8199997</v>
      </c>
      <c r="M1972">
        <v>35.832465441759098</v>
      </c>
      <c r="N1972" s="7">
        <v>1.3434805197747599</v>
      </c>
      <c r="O1972" s="7">
        <v>1.2492332989116099</v>
      </c>
      <c r="P1972" s="7">
        <v>461.24755552645098</v>
      </c>
      <c r="Q1972" s="7">
        <v>0.76035990368774553</v>
      </c>
      <c r="U1972">
        <v>0.18643542771580104</v>
      </c>
      <c r="AT1972" s="4" t="s">
        <v>5463</v>
      </c>
    </row>
    <row r="1973" spans="1:46">
      <c r="A1973" s="2">
        <v>2907</v>
      </c>
      <c r="B1973" t="s">
        <v>6935</v>
      </c>
      <c r="C1973" t="s">
        <v>1838</v>
      </c>
      <c r="D1973" t="s">
        <v>3972</v>
      </c>
      <c r="E1973" s="4">
        <v>43465</v>
      </c>
      <c r="F1973" s="11">
        <v>-23.214187129999999</v>
      </c>
      <c r="G1973" s="11">
        <v>5.3811659199999999</v>
      </c>
      <c r="H1973" s="11">
        <v>-2.7681569499999999E-2</v>
      </c>
      <c r="I1973" s="11">
        <v>5.9481038907999997</v>
      </c>
      <c r="J1973" s="11">
        <v>4.0751612967000002</v>
      </c>
      <c r="K1973" s="10">
        <v>0.28320625682</v>
      </c>
      <c r="L1973" s="12">
        <v>7473703891.8400002</v>
      </c>
      <c r="M1973">
        <v>336.83058735025401</v>
      </c>
      <c r="N1973" s="7">
        <v>2.1618138222274701</v>
      </c>
      <c r="O1973" s="7">
        <v>4.2723098635514898</v>
      </c>
      <c r="P1973" s="7">
        <v>-162.682158264739</v>
      </c>
      <c r="Q1973" s="7">
        <v>0.29940119760479039</v>
      </c>
      <c r="U1973">
        <v>6.418938424153299E-2</v>
      </c>
      <c r="AT1973" s="4" t="s">
        <v>4215</v>
      </c>
    </row>
    <row r="1974" spans="1:46">
      <c r="A1974" s="2">
        <v>1653</v>
      </c>
      <c r="B1974" t="s">
        <v>6936</v>
      </c>
      <c r="C1974" t="s">
        <v>3208</v>
      </c>
      <c r="D1974" t="s">
        <v>3718</v>
      </c>
      <c r="E1974" s="4">
        <v>43465</v>
      </c>
      <c r="F1974" s="11">
        <v>-51.704218060000002</v>
      </c>
      <c r="G1974" s="11">
        <v>5.3719008300000004</v>
      </c>
      <c r="H1974" s="11">
        <v>-17.1948682234</v>
      </c>
      <c r="I1974" s="11">
        <v>31.1009802148</v>
      </c>
      <c r="J1974" s="11">
        <v>0.99203870859999999</v>
      </c>
      <c r="K1974" s="10">
        <v>0.35587369135300001</v>
      </c>
      <c r="L1974" s="12">
        <v>32370846377.48</v>
      </c>
      <c r="M1974">
        <v>-41.687643670971298</v>
      </c>
      <c r="N1974" s="7">
        <v>1.3257869174216701</v>
      </c>
      <c r="O1974" s="7">
        <v>1.56468088400655</v>
      </c>
      <c r="P1974" s="7">
        <v>67.561739964199703</v>
      </c>
      <c r="Q1974" s="7">
        <v>0.10266940451745381</v>
      </c>
      <c r="U1974">
        <v>2.7029777109799435E-2</v>
      </c>
      <c r="AT1974" s="4" t="s">
        <v>4382</v>
      </c>
    </row>
    <row r="1975" spans="1:46">
      <c r="A1975" s="2">
        <v>948</v>
      </c>
      <c r="B1975" t="s">
        <v>6937</v>
      </c>
      <c r="C1975" t="s">
        <v>1158</v>
      </c>
      <c r="D1975" t="s">
        <v>3737</v>
      </c>
      <c r="E1975" s="4">
        <v>43465</v>
      </c>
      <c r="F1975" s="11">
        <v>-55.844216719999999</v>
      </c>
      <c r="G1975" s="11">
        <v>5.3571428599999997</v>
      </c>
      <c r="H1975" s="11">
        <v>80.195589729299996</v>
      </c>
      <c r="I1975" s="11">
        <v>74.547546716499994</v>
      </c>
      <c r="J1975" s="11">
        <v>2.3492874772999999</v>
      </c>
      <c r="K1975" s="10">
        <v>0.59125677137699995</v>
      </c>
      <c r="L1975" s="12">
        <v>9599401350</v>
      </c>
      <c r="M1975">
        <v>23.273516492344601</v>
      </c>
      <c r="N1975" s="7">
        <v>6.3860629028425002</v>
      </c>
      <c r="O1975" s="7">
        <v>1.22736608680897</v>
      </c>
      <c r="P1975" s="7">
        <v>-13.213385839140701</v>
      </c>
      <c r="Q1975" s="7">
        <v>0.38461538461538464</v>
      </c>
      <c r="U1975">
        <v>5.7273245020256942E-2</v>
      </c>
      <c r="AT1975" s="4" t="s">
        <v>4008</v>
      </c>
    </row>
    <row r="1976" spans="1:46">
      <c r="A1976" s="2">
        <v>120</v>
      </c>
      <c r="B1976" t="s">
        <v>6938</v>
      </c>
      <c r="C1976" t="s">
        <v>1009</v>
      </c>
      <c r="D1976" t="s">
        <v>3752</v>
      </c>
      <c r="E1976" s="4">
        <v>43465</v>
      </c>
      <c r="F1976" s="11">
        <v>-52.617748059999997</v>
      </c>
      <c r="G1976" s="11">
        <v>5.3435114500000003</v>
      </c>
      <c r="H1976" s="11">
        <v>19.746131803699999</v>
      </c>
      <c r="I1976" s="11">
        <v>16.892070648200001</v>
      </c>
      <c r="J1976" s="11">
        <v>4.9708322912999998</v>
      </c>
      <c r="K1976" s="10">
        <v>1.3864123366400001</v>
      </c>
      <c r="L1976" s="12">
        <v>9143252934.1399994</v>
      </c>
      <c r="M1976">
        <v>21.639911063481001</v>
      </c>
      <c r="N1976" s="7">
        <v>2.5703003860766702</v>
      </c>
      <c r="O1976" s="7">
        <v>1.1389425054476401</v>
      </c>
      <c r="P1976" s="7">
        <v>194.68368286959901</v>
      </c>
      <c r="Q1976" s="7" t="s">
        <v>3698</v>
      </c>
      <c r="U1976">
        <v>0.1643217981198776</v>
      </c>
      <c r="AT1976" s="4" t="s">
        <v>6939</v>
      </c>
    </row>
    <row r="1977" spans="1:46">
      <c r="A1977" s="2">
        <v>542</v>
      </c>
      <c r="B1977" t="s">
        <v>6940</v>
      </c>
      <c r="C1977" t="s">
        <v>2868</v>
      </c>
      <c r="D1977" t="s">
        <v>3718</v>
      </c>
      <c r="E1977" s="4">
        <v>43465</v>
      </c>
      <c r="F1977" s="11">
        <v>-26.394052039999998</v>
      </c>
      <c r="G1977" s="11">
        <v>5.3191489399999998</v>
      </c>
      <c r="H1977" s="11">
        <v>21.408476890599999</v>
      </c>
      <c r="I1977" s="11">
        <v>34.298532529200003</v>
      </c>
      <c r="J1977" s="11">
        <v>10.048487247600001</v>
      </c>
      <c r="K1977" s="10">
        <v>0.19859593363399999</v>
      </c>
      <c r="L1977" s="12">
        <v>1885301973</v>
      </c>
      <c r="M1977">
        <v>189.84467123459601</v>
      </c>
      <c r="N1977" s="7">
        <v>1.58246088166147</v>
      </c>
      <c r="O1977" s="7">
        <v>3.1348989772392599</v>
      </c>
      <c r="P1977" s="7">
        <v>21.816827077402699</v>
      </c>
      <c r="Q1977" s="7">
        <v>5.2631578947368418E-2</v>
      </c>
      <c r="U1977">
        <v>2.4789077119534386E-2</v>
      </c>
      <c r="AT1977" s="4" t="s">
        <v>6941</v>
      </c>
    </row>
    <row r="1978" spans="1:46">
      <c r="A1978" s="2">
        <v>2428</v>
      </c>
      <c r="B1978" t="s">
        <v>6942</v>
      </c>
      <c r="C1978" t="s">
        <v>1530</v>
      </c>
      <c r="D1978" t="s">
        <v>3785</v>
      </c>
      <c r="E1978" s="4">
        <v>43465</v>
      </c>
      <c r="F1978" s="11">
        <v>-31.84932023</v>
      </c>
      <c r="G1978" s="11">
        <v>5.3191489399999998</v>
      </c>
      <c r="H1978" s="11">
        <v>8.3152904168999999</v>
      </c>
      <c r="I1978" s="11">
        <v>23.0551862879</v>
      </c>
      <c r="J1978" s="11">
        <v>0.78929616940000003</v>
      </c>
      <c r="K1978" s="10">
        <v>0.60745837001900005</v>
      </c>
      <c r="L1978" s="12">
        <v>4030729924.8000002</v>
      </c>
      <c r="M1978">
        <v>-49.500525400890901</v>
      </c>
      <c r="N1978" s="7">
        <v>1.7968684824487</v>
      </c>
      <c r="O1978" s="7">
        <v>0.95088997584942703</v>
      </c>
      <c r="P1978" s="7">
        <v>18.001888970711299</v>
      </c>
      <c r="Q1978" s="7" t="s">
        <v>3698</v>
      </c>
      <c r="U1978">
        <v>3.8706724407894737E-2</v>
      </c>
      <c r="AT1978" s="4" t="s">
        <v>6943</v>
      </c>
    </row>
    <row r="1979" spans="1:46">
      <c r="A1979" s="2">
        <v>804</v>
      </c>
      <c r="B1979" t="s">
        <v>6944</v>
      </c>
      <c r="C1979" t="s">
        <v>350</v>
      </c>
      <c r="D1979" t="s">
        <v>3728</v>
      </c>
      <c r="E1979" s="4">
        <v>43465</v>
      </c>
      <c r="F1979" s="11">
        <v>-28.4088773</v>
      </c>
      <c r="G1979" s="11">
        <v>5.3179190800000002</v>
      </c>
      <c r="H1979" s="11">
        <v>3.2381496708999999</v>
      </c>
      <c r="I1979" s="11">
        <v>45.501199792199998</v>
      </c>
      <c r="J1979" s="11">
        <v>11.3210103341</v>
      </c>
      <c r="K1979" s="10">
        <v>1.003142476446</v>
      </c>
      <c r="L1979" s="12">
        <v>52209180845.139999</v>
      </c>
      <c r="M1979">
        <v>17.7166855720047</v>
      </c>
      <c r="N1979" s="7">
        <v>1.8451815363258</v>
      </c>
      <c r="O1979" s="7">
        <v>1.3234275610939601</v>
      </c>
      <c r="P1979" s="7">
        <v>18.2478661519098</v>
      </c>
      <c r="Q1979" s="7">
        <v>4.2118511949596105</v>
      </c>
      <c r="U1979">
        <v>0.70853361555278171</v>
      </c>
      <c r="AT1979" s="4" t="s">
        <v>4254</v>
      </c>
    </row>
    <row r="1980" spans="1:46">
      <c r="A1980" s="2">
        <v>737</v>
      </c>
      <c r="B1980" t="s">
        <v>6945</v>
      </c>
      <c r="C1980" t="s">
        <v>2959</v>
      </c>
      <c r="D1980" t="s">
        <v>3752</v>
      </c>
      <c r="E1980" s="4">
        <v>43465</v>
      </c>
      <c r="F1980" s="11">
        <v>-11.905958160000001</v>
      </c>
      <c r="G1980" s="11">
        <v>5.3045186600000003</v>
      </c>
      <c r="H1980" s="11">
        <v>27.151169103600001</v>
      </c>
      <c r="I1980" s="11">
        <v>41.579670166500001</v>
      </c>
      <c r="J1980" s="11">
        <v>9.5027230695</v>
      </c>
      <c r="K1980" s="10">
        <v>0.33611402711600002</v>
      </c>
      <c r="L1980" s="12">
        <v>2672000000</v>
      </c>
      <c r="M1980">
        <v>65.406475725541497</v>
      </c>
      <c r="N1980" s="7">
        <v>1.35765164476783</v>
      </c>
      <c r="O1980" s="7">
        <v>2.9585946847150302</v>
      </c>
      <c r="P1980" s="7">
        <v>-13.361067217800599</v>
      </c>
      <c r="Q1980" s="7" t="s">
        <v>3698</v>
      </c>
      <c r="U1980">
        <v>0.17568868403507179</v>
      </c>
      <c r="AT1980" s="4" t="s">
        <v>6637</v>
      </c>
    </row>
    <row r="1981" spans="1:46">
      <c r="A1981" s="2">
        <v>2828</v>
      </c>
      <c r="B1981" t="s">
        <v>6946</v>
      </c>
      <c r="C1981" t="s">
        <v>802</v>
      </c>
      <c r="D1981" t="s">
        <v>3811</v>
      </c>
      <c r="E1981" s="4">
        <v>43465</v>
      </c>
      <c r="F1981" s="11">
        <v>-22.798515909999999</v>
      </c>
      <c r="G1981" s="11">
        <v>5.3008595999999999</v>
      </c>
      <c r="H1981" s="11">
        <v>24.845018654</v>
      </c>
      <c r="I1981" s="11">
        <v>3.4253565706</v>
      </c>
      <c r="J1981" s="11">
        <v>1.1940970825999999</v>
      </c>
      <c r="K1981" s="10">
        <v>2.8040710545700001</v>
      </c>
      <c r="L1981" s="12">
        <v>5654880000</v>
      </c>
      <c r="M1981">
        <v>8.5871406248443005</v>
      </c>
      <c r="N1981" s="7">
        <v>1.0383960830777199</v>
      </c>
      <c r="O1981" s="7">
        <v>6.3194359989215604E-2</v>
      </c>
      <c r="P1981" s="7">
        <v>26.393684347333799</v>
      </c>
      <c r="Q1981" s="7">
        <v>3.7975600729405681</v>
      </c>
      <c r="U1981">
        <v>1.2068598725908375</v>
      </c>
      <c r="AT1981" s="4" t="s">
        <v>6947</v>
      </c>
    </row>
    <row r="1982" spans="1:46">
      <c r="A1982" s="2">
        <v>2435</v>
      </c>
      <c r="B1982" t="s">
        <v>6948</v>
      </c>
      <c r="C1982" t="s">
        <v>1161</v>
      </c>
      <c r="D1982" t="s">
        <v>4060</v>
      </c>
      <c r="E1982" s="4">
        <v>43465</v>
      </c>
      <c r="F1982" s="11">
        <v>-21.418231129999999</v>
      </c>
      <c r="G1982" s="11">
        <v>5.2873563199999998</v>
      </c>
      <c r="H1982" s="11">
        <v>8.0857846857000002</v>
      </c>
      <c r="I1982" s="11">
        <v>14.741477375000001</v>
      </c>
      <c r="J1982" s="11">
        <v>4.8798757542000004</v>
      </c>
      <c r="K1982" s="10">
        <v>1.0417031243749999</v>
      </c>
      <c r="L1982" s="12">
        <v>1739059200</v>
      </c>
      <c r="M1982">
        <v>6.2943241180247798</v>
      </c>
      <c r="N1982" s="7">
        <v>0.66150325610193805</v>
      </c>
      <c r="O1982" s="7">
        <v>0.34105195940548</v>
      </c>
      <c r="P1982" s="7">
        <v>-9.5311632847346797</v>
      </c>
      <c r="Q1982" s="7">
        <v>4.4152744630071599</v>
      </c>
      <c r="U1982">
        <v>0.61586971825933545</v>
      </c>
      <c r="AT1982" s="4" t="s">
        <v>6949</v>
      </c>
    </row>
    <row r="1983" spans="1:46">
      <c r="A1983" s="2">
        <v>95</v>
      </c>
      <c r="B1983" t="s">
        <v>6950</v>
      </c>
      <c r="C1983" t="s">
        <v>1583</v>
      </c>
      <c r="D1983" t="s">
        <v>3972</v>
      </c>
      <c r="E1983" s="4">
        <v>43465</v>
      </c>
      <c r="F1983" s="11">
        <v>-33.190920570000003</v>
      </c>
      <c r="G1983" s="11">
        <v>5.2777777800000001</v>
      </c>
      <c r="H1983" s="11">
        <v>14.905882118199999</v>
      </c>
      <c r="I1983" s="11">
        <v>36.599651306299997</v>
      </c>
      <c r="J1983" s="11">
        <v>6.4524846924999997</v>
      </c>
      <c r="K1983" s="10">
        <v>0.140872628449</v>
      </c>
      <c r="L1983" s="12">
        <v>5608163255.7200003</v>
      </c>
      <c r="M1983">
        <v>9.6355912676591498</v>
      </c>
      <c r="N1983" s="7">
        <v>0.82532823998752403</v>
      </c>
      <c r="O1983" s="7">
        <v>0.59932823029164894</v>
      </c>
      <c r="P1983" s="7">
        <v>-3.6338816103131499</v>
      </c>
      <c r="Q1983" s="7" t="s">
        <v>3698</v>
      </c>
      <c r="U1983">
        <v>0.3685530206895648</v>
      </c>
      <c r="AT1983" s="4" t="s">
        <v>4101</v>
      </c>
    </row>
    <row r="1984" spans="1:46">
      <c r="A1984" s="2">
        <v>3591</v>
      </c>
      <c r="B1984" t="s">
        <v>6951</v>
      </c>
      <c r="C1984" t="s">
        <v>1592</v>
      </c>
      <c r="D1984" t="s">
        <v>4060</v>
      </c>
      <c r="E1984" s="4">
        <v>43465</v>
      </c>
      <c r="F1984" s="11">
        <v>-43.347112180000003</v>
      </c>
      <c r="G1984" s="11">
        <v>5.2185257700000003</v>
      </c>
      <c r="H1984" s="11">
        <v>14.4607417846</v>
      </c>
      <c r="I1984" s="11">
        <v>39.561523312299997</v>
      </c>
      <c r="J1984" s="11">
        <v>17.922727155299999</v>
      </c>
      <c r="K1984" s="10">
        <v>0.79108011147799995</v>
      </c>
      <c r="L1984" s="12">
        <v>3915728051.1999998</v>
      </c>
      <c r="M1984">
        <v>13.876096431278</v>
      </c>
      <c r="N1984" s="7">
        <v>2.1240585141517201</v>
      </c>
      <c r="O1984" s="7">
        <v>2.3039212946888501</v>
      </c>
      <c r="P1984" s="7">
        <v>112.646191734821</v>
      </c>
      <c r="Q1984" s="7">
        <v>2.5710325710325712</v>
      </c>
      <c r="U1984">
        <v>1.194190607229735</v>
      </c>
      <c r="AT1984" s="4" t="s">
        <v>3746</v>
      </c>
    </row>
    <row r="1985" spans="1:46">
      <c r="A1985" s="2">
        <v>2946</v>
      </c>
      <c r="B1985" t="s">
        <v>6952</v>
      </c>
      <c r="C1985" t="s">
        <v>957</v>
      </c>
      <c r="D1985" t="s">
        <v>3781</v>
      </c>
      <c r="E1985" s="4">
        <v>43465</v>
      </c>
      <c r="F1985" s="11">
        <v>0.18815425</v>
      </c>
      <c r="G1985" s="11">
        <v>5.2132701399999997</v>
      </c>
      <c r="H1985" s="11">
        <v>13.6171648097</v>
      </c>
      <c r="I1985" s="11">
        <v>24.9031893105</v>
      </c>
      <c r="J1985" s="11">
        <v>8.0650440365999998</v>
      </c>
      <c r="K1985" s="10">
        <v>0.69942573635299998</v>
      </c>
      <c r="L1985" s="12">
        <v>14784466267.98</v>
      </c>
      <c r="M1985">
        <v>14.060045430558199</v>
      </c>
      <c r="N1985" s="7">
        <v>1.46273342376116</v>
      </c>
      <c r="O1985" s="7">
        <v>1.04998526248624</v>
      </c>
      <c r="P1985" s="7">
        <v>-9.4812517188117305</v>
      </c>
      <c r="Q1985" s="7">
        <v>7.980991197031158</v>
      </c>
      <c r="U1985">
        <v>0.32222969274100449</v>
      </c>
      <c r="AT1985" s="4" t="s">
        <v>6953</v>
      </c>
    </row>
    <row r="1986" spans="1:46">
      <c r="A1986" s="2">
        <v>2703</v>
      </c>
      <c r="B1986" t="s">
        <v>6954</v>
      </c>
      <c r="C1986" t="s">
        <v>1959</v>
      </c>
      <c r="D1986" t="s">
        <v>3728</v>
      </c>
      <c r="E1986" s="4">
        <v>43465</v>
      </c>
      <c r="F1986" s="11">
        <v>-25.459326730000001</v>
      </c>
      <c r="G1986" s="11">
        <v>5.2098408100000002</v>
      </c>
      <c r="H1986" s="11">
        <v>-1.348835819</v>
      </c>
      <c r="I1986" s="11">
        <v>25.845676674500002</v>
      </c>
      <c r="J1986" s="11">
        <v>0.88867328229999998</v>
      </c>
      <c r="K1986" s="10">
        <v>1.5391658273519999</v>
      </c>
      <c r="L1986" s="12">
        <v>8950152814.0799999</v>
      </c>
      <c r="M1986">
        <v>183.07441939524099</v>
      </c>
      <c r="N1986" s="7">
        <v>1.62271506732071</v>
      </c>
      <c r="O1986" s="7">
        <v>0.653712706131092</v>
      </c>
      <c r="P1986" s="7">
        <v>85.551363640157305</v>
      </c>
      <c r="Q1986" s="7" t="s">
        <v>3698</v>
      </c>
      <c r="U1986">
        <v>8.8671048727428287E-2</v>
      </c>
      <c r="AT1986" s="4" t="s">
        <v>6955</v>
      </c>
    </row>
    <row r="1987" spans="1:46">
      <c r="A1987" s="2">
        <v>2363</v>
      </c>
      <c r="B1987" t="s">
        <v>6956</v>
      </c>
      <c r="C1987" t="s">
        <v>655</v>
      </c>
      <c r="D1987" t="s">
        <v>3889</v>
      </c>
      <c r="E1987" s="4">
        <v>43465</v>
      </c>
      <c r="F1987" s="11">
        <v>-3.1372019500000001</v>
      </c>
      <c r="G1987" s="11">
        <v>5.2083333300000003</v>
      </c>
      <c r="H1987" s="11">
        <v>10.189626558900001</v>
      </c>
      <c r="I1987" s="11">
        <v>39.086611477799998</v>
      </c>
      <c r="J1987" s="11">
        <v>16.030027459500001</v>
      </c>
      <c r="K1987" s="10">
        <v>0.59517239453500004</v>
      </c>
      <c r="L1987" s="12">
        <v>15168554960.860001</v>
      </c>
      <c r="M1987">
        <v>16.603791944721099</v>
      </c>
      <c r="N1987" s="7">
        <v>1.8607008961682501</v>
      </c>
      <c r="O1987" s="7">
        <v>2.1865814374036399</v>
      </c>
      <c r="P1987" s="7">
        <v>-127.926403961714</v>
      </c>
      <c r="Q1987" s="7">
        <v>2.9985007496251872</v>
      </c>
      <c r="U1987">
        <v>0.495666143922396</v>
      </c>
      <c r="AT1987" s="4" t="s">
        <v>5716</v>
      </c>
    </row>
    <row r="1988" spans="1:46">
      <c r="A1988" s="2">
        <v>2243</v>
      </c>
      <c r="B1988" t="s">
        <v>6957</v>
      </c>
      <c r="C1988" t="s">
        <v>1870</v>
      </c>
      <c r="D1988" t="s">
        <v>3752</v>
      </c>
      <c r="E1988" s="4">
        <v>43465</v>
      </c>
      <c r="F1988" s="11">
        <v>-25.977653629999999</v>
      </c>
      <c r="G1988" s="11">
        <v>5.1896207600000004</v>
      </c>
      <c r="H1988" s="11">
        <v>-5.3464345119000001</v>
      </c>
      <c r="I1988" s="11">
        <v>14.773215997699999</v>
      </c>
      <c r="J1988" s="11">
        <v>0.47463520660000003</v>
      </c>
      <c r="K1988" s="10">
        <v>0.80651513164300004</v>
      </c>
      <c r="L1988" s="12">
        <v>2933171383.1999998</v>
      </c>
      <c r="M1988">
        <v>-35.575341829588403</v>
      </c>
      <c r="N1988" s="7">
        <v>1.54306118665792</v>
      </c>
      <c r="O1988" s="7">
        <v>0.14169218182445301</v>
      </c>
      <c r="P1988" s="7">
        <v>-2.9415148980019699</v>
      </c>
      <c r="Q1988" s="7" t="s">
        <v>3698</v>
      </c>
      <c r="U1988">
        <v>9.2906841457943465E-2</v>
      </c>
      <c r="AT1988" s="4" t="s">
        <v>6958</v>
      </c>
    </row>
    <row r="1989" spans="1:46">
      <c r="A1989" s="2">
        <v>2348</v>
      </c>
      <c r="B1989" t="s">
        <v>6959</v>
      </c>
      <c r="C1989" t="s">
        <v>3033</v>
      </c>
      <c r="D1989" t="s">
        <v>3764</v>
      </c>
      <c r="E1989" s="4">
        <v>43465</v>
      </c>
      <c r="F1989" s="11">
        <v>-56.06382979</v>
      </c>
      <c r="G1989" s="11">
        <v>5.1282051299999996</v>
      </c>
      <c r="H1989" s="11">
        <v>-2.6485074123999999</v>
      </c>
      <c r="I1989" s="11">
        <v>15.507066155</v>
      </c>
      <c r="J1989" s="11">
        <v>-70.174687655300005</v>
      </c>
      <c r="K1989" s="10">
        <v>0.34733342303300002</v>
      </c>
      <c r="L1989" s="12">
        <v>3296022912</v>
      </c>
      <c r="M1989">
        <v>-62.729659323946201</v>
      </c>
      <c r="N1989" s="7">
        <v>3.4200481706277501</v>
      </c>
      <c r="O1989" s="7">
        <v>8.5403466670799606</v>
      </c>
      <c r="P1989" s="7">
        <v>88.945925658797904</v>
      </c>
      <c r="Q1989" s="7" t="s">
        <v>3698</v>
      </c>
      <c r="U1989">
        <v>-0.33608505991608756</v>
      </c>
      <c r="AT1989" s="4" t="s">
        <v>6960</v>
      </c>
    </row>
    <row r="1990" spans="1:46">
      <c r="A1990" s="2">
        <v>2223</v>
      </c>
      <c r="B1990" t="s">
        <v>6961</v>
      </c>
      <c r="C1990" t="s">
        <v>477</v>
      </c>
      <c r="D1990" t="s">
        <v>3781</v>
      </c>
      <c r="E1990" s="4">
        <v>43465</v>
      </c>
      <c r="F1990" s="11">
        <v>-38.813333319999998</v>
      </c>
      <c r="G1990" s="11">
        <v>5.1219512199999997</v>
      </c>
      <c r="H1990" s="11">
        <v>25.928474820400002</v>
      </c>
      <c r="I1990" s="11">
        <v>33.1879906128</v>
      </c>
      <c r="J1990" s="11">
        <v>20.385417174699999</v>
      </c>
      <c r="K1990" s="10">
        <v>0.42572857462899999</v>
      </c>
      <c r="L1990" s="12">
        <v>3446697354.0999999</v>
      </c>
      <c r="M1990">
        <v>9.0751511405018501</v>
      </c>
      <c r="N1990" s="7">
        <v>1.1787714429187499</v>
      </c>
      <c r="O1990" s="7">
        <v>1.75047929491701</v>
      </c>
      <c r="P1990" s="7">
        <v>-122.28977631604199</v>
      </c>
      <c r="Q1990" s="7">
        <v>0.47505938242280288</v>
      </c>
      <c r="U1990">
        <v>0.45209687389245229</v>
      </c>
      <c r="AT1990" s="4" t="s">
        <v>6962</v>
      </c>
    </row>
    <row r="1991" spans="1:46">
      <c r="A1991" s="2">
        <v>2722</v>
      </c>
      <c r="B1991" t="s">
        <v>6963</v>
      </c>
      <c r="C1991" t="s">
        <v>1330</v>
      </c>
      <c r="D1991" t="s">
        <v>3871</v>
      </c>
      <c r="E1991" s="4">
        <v>43465</v>
      </c>
      <c r="F1991" s="11">
        <v>-31.633515339999999</v>
      </c>
      <c r="G1991" s="11">
        <v>5.1188299800000001</v>
      </c>
      <c r="H1991" s="11">
        <v>114.6891105128</v>
      </c>
      <c r="I1991" s="11">
        <v>27.6298674405</v>
      </c>
      <c r="J1991" s="11">
        <v>16.951105406700002</v>
      </c>
      <c r="K1991" s="10">
        <v>0.18532526094099999</v>
      </c>
      <c r="L1991" s="12">
        <v>2401527541.3600001</v>
      </c>
      <c r="M1991">
        <v>15.8112971331326</v>
      </c>
      <c r="N1991" s="7">
        <v>0.73489153192372902</v>
      </c>
      <c r="O1991" s="7">
        <v>2.032495720035</v>
      </c>
      <c r="P1991" s="7">
        <v>-78.183568911308598</v>
      </c>
      <c r="Q1991" s="7">
        <v>0.90744101633393837</v>
      </c>
      <c r="U1991">
        <v>0.40651157966917706</v>
      </c>
      <c r="AT1991" s="4" t="s">
        <v>6964</v>
      </c>
    </row>
    <row r="1992" spans="1:46">
      <c r="A1992" s="2">
        <v>1338</v>
      </c>
      <c r="B1992" t="s">
        <v>6965</v>
      </c>
      <c r="C1992" t="s">
        <v>1521</v>
      </c>
      <c r="D1992" t="s">
        <v>4060</v>
      </c>
      <c r="E1992" s="4">
        <v>43465</v>
      </c>
      <c r="F1992" s="11">
        <v>-34.521342490000002</v>
      </c>
      <c r="G1992" s="11">
        <v>5.0966608100000004</v>
      </c>
      <c r="H1992" s="11">
        <v>4.1396862741999998</v>
      </c>
      <c r="I1992" s="11">
        <v>36.225263565100001</v>
      </c>
      <c r="J1992" s="11">
        <v>17.6591326293</v>
      </c>
      <c r="K1992" s="10">
        <v>0.53285480332799995</v>
      </c>
      <c r="L1992" s="12">
        <v>6660312538.5</v>
      </c>
      <c r="M1992">
        <v>45.372286822408299</v>
      </c>
      <c r="N1992" s="7">
        <v>4.1697966079362603</v>
      </c>
      <c r="O1992" s="7">
        <v>6.6350539893464902</v>
      </c>
      <c r="P1992" s="7">
        <v>-236.74423882641301</v>
      </c>
      <c r="Q1992" s="7">
        <v>4.1911148365465216</v>
      </c>
      <c r="U1992">
        <v>0.30957345743749998</v>
      </c>
      <c r="AT1992" s="4" t="s">
        <v>4268</v>
      </c>
    </row>
    <row r="1993" spans="1:46">
      <c r="A1993" s="2">
        <v>2728</v>
      </c>
      <c r="B1993" t="s">
        <v>6966</v>
      </c>
      <c r="C1993" t="s">
        <v>1402</v>
      </c>
      <c r="D1993" t="s">
        <v>3811</v>
      </c>
      <c r="E1993" s="4">
        <v>43465</v>
      </c>
      <c r="F1993" s="11">
        <v>-23.364224010000001</v>
      </c>
      <c r="G1993" s="11">
        <v>5</v>
      </c>
      <c r="H1993" s="11">
        <v>7.2017798587000001</v>
      </c>
      <c r="I1993" s="11">
        <v>25.720721765499999</v>
      </c>
      <c r="J1993" s="11">
        <v>10.131951898600001</v>
      </c>
      <c r="K1993" s="10">
        <v>0.61766942229800004</v>
      </c>
      <c r="L1993" s="12">
        <v>2534198176.6399999</v>
      </c>
      <c r="M1993">
        <v>48.823701378075803</v>
      </c>
      <c r="N1993" s="7">
        <v>1.0269263035442799</v>
      </c>
      <c r="O1993" s="7">
        <v>1.3891134298332799</v>
      </c>
      <c r="P1993" s="7">
        <v>5.0480841179227198</v>
      </c>
      <c r="Q1993" s="7">
        <v>3.6244598230185123</v>
      </c>
      <c r="U1993">
        <v>0.77832703883328835</v>
      </c>
      <c r="AT1993" s="4" t="s">
        <v>6967</v>
      </c>
    </row>
    <row r="1994" spans="1:46">
      <c r="A1994" s="2">
        <v>3633</v>
      </c>
      <c r="B1994" t="s">
        <v>6968</v>
      </c>
      <c r="C1994" t="s">
        <v>3404</v>
      </c>
      <c r="D1994" t="s">
        <v>3713</v>
      </c>
      <c r="E1994" s="4">
        <v>43465</v>
      </c>
      <c r="F1994" s="11">
        <v>36.767162740000003</v>
      </c>
      <c r="G1994" s="11">
        <v>4.9908703599999997</v>
      </c>
      <c r="H1994" s="11">
        <v>5.8049714862000004</v>
      </c>
      <c r="I1994" s="11">
        <v>74.464869090899995</v>
      </c>
      <c r="J1994" s="11">
        <v>19.369274556699999</v>
      </c>
      <c r="K1994" s="10">
        <v>0.42312068918200002</v>
      </c>
      <c r="L1994" s="12">
        <v>4354803426.6000004</v>
      </c>
      <c r="M1994">
        <v>97.019235579093305</v>
      </c>
      <c r="N1994" s="7">
        <v>5.6093916864252096</v>
      </c>
      <c r="O1994" s="7">
        <v>10.092078373967899</v>
      </c>
      <c r="P1994" s="7">
        <v>2916.5976835592501</v>
      </c>
      <c r="Q1994" s="7">
        <v>0.4650366914913458</v>
      </c>
      <c r="U1994">
        <v>0.68803533448262988</v>
      </c>
      <c r="AT1994" s="4" t="s">
        <v>3738</v>
      </c>
    </row>
    <row r="1995" spans="1:46">
      <c r="A1995" s="2">
        <v>3184</v>
      </c>
      <c r="B1995" t="s">
        <v>6969</v>
      </c>
      <c r="C1995" t="s">
        <v>939</v>
      </c>
      <c r="D1995" t="s">
        <v>3781</v>
      </c>
      <c r="E1995" s="4">
        <v>43465</v>
      </c>
      <c r="F1995" s="11">
        <v>-32.769978709999997</v>
      </c>
      <c r="G1995" s="11">
        <v>4.9773755700000004</v>
      </c>
      <c r="H1995" s="11">
        <v>13.163823624899999</v>
      </c>
      <c r="I1995" s="11">
        <v>17.294770958899999</v>
      </c>
      <c r="J1995" s="11">
        <v>12.564621151700001</v>
      </c>
      <c r="K1995" s="10">
        <v>0.71839012695000004</v>
      </c>
      <c r="L1995" s="12">
        <v>4932400000</v>
      </c>
      <c r="M1995">
        <v>19.747559091745199</v>
      </c>
      <c r="N1995" s="7">
        <v>1.6345153584172301</v>
      </c>
      <c r="O1995" s="7">
        <v>1.9327279182113</v>
      </c>
      <c r="P1995" s="7">
        <v>766.32010916008903</v>
      </c>
      <c r="Q1995" s="7">
        <v>3.0303030303030303</v>
      </c>
      <c r="U1995">
        <v>0.43936180681422349</v>
      </c>
      <c r="AT1995" s="4" t="s">
        <v>3740</v>
      </c>
    </row>
    <row r="1996" spans="1:46">
      <c r="A1996" s="2">
        <v>146</v>
      </c>
      <c r="B1996" t="s">
        <v>6970</v>
      </c>
      <c r="C1996" t="s">
        <v>100</v>
      </c>
      <c r="D1996" t="s">
        <v>3871</v>
      </c>
      <c r="E1996" s="4">
        <v>43465</v>
      </c>
      <c r="F1996" s="11">
        <v>-37.323646979999999</v>
      </c>
      <c r="G1996" s="11">
        <v>4.9399198899999996</v>
      </c>
      <c r="H1996" s="11">
        <v>25.012873216300001</v>
      </c>
      <c r="I1996" s="11">
        <v>32.811378638699999</v>
      </c>
      <c r="J1996" s="11">
        <v>9.2485393529</v>
      </c>
      <c r="K1996" s="10">
        <v>0.36426663586800001</v>
      </c>
      <c r="L1996" s="12">
        <v>7546967857.8800001</v>
      </c>
      <c r="M1996">
        <v>4.4795865923318301</v>
      </c>
      <c r="N1996" s="7">
        <v>1.3056999162470699</v>
      </c>
      <c r="O1996" s="7">
        <v>0.52739380872187702</v>
      </c>
      <c r="P1996" s="7">
        <v>-2.5052591814913501</v>
      </c>
      <c r="Q1996" s="7">
        <v>1.9061583577712611</v>
      </c>
      <c r="T1996" s="2"/>
      <c r="U1996">
        <v>1.3435425651425774</v>
      </c>
      <c r="AT1996" s="4" t="s">
        <v>6971</v>
      </c>
    </row>
    <row r="1997" spans="1:46">
      <c r="A1997" s="2">
        <v>2586</v>
      </c>
      <c r="B1997" t="s">
        <v>6972</v>
      </c>
      <c r="C1997" t="s">
        <v>2875</v>
      </c>
      <c r="D1997" t="s">
        <v>3871</v>
      </c>
      <c r="E1997" s="4">
        <v>43465</v>
      </c>
      <c r="F1997" s="11">
        <v>-51.45038168</v>
      </c>
      <c r="G1997" s="11">
        <v>4.9180327899999998</v>
      </c>
      <c r="H1997" s="11">
        <v>-81.664343783500001</v>
      </c>
      <c r="I1997" s="11">
        <v>41.025749824400002</v>
      </c>
      <c r="J1997" s="11">
        <v>-0.70412457350000002</v>
      </c>
      <c r="K1997" s="10">
        <v>5.7664819474999997E-2</v>
      </c>
      <c r="L1997" s="12">
        <v>6844419661.1999998</v>
      </c>
      <c r="M1997">
        <v>39.641556087540401</v>
      </c>
      <c r="N1997" s="7">
        <v>1.2914585379273</v>
      </c>
      <c r="O1997" s="7">
        <v>3.9432851400127702</v>
      </c>
      <c r="P1997" s="7">
        <v>10.2411270884405</v>
      </c>
      <c r="Q1997" s="7">
        <v>0.16666666666666669</v>
      </c>
      <c r="U1997">
        <v>1.2373221302011498E-2</v>
      </c>
      <c r="AT1997" s="4" t="s">
        <v>6973</v>
      </c>
    </row>
    <row r="1998" spans="1:46">
      <c r="A1998" s="2">
        <v>2860</v>
      </c>
      <c r="B1998" t="s">
        <v>6974</v>
      </c>
      <c r="C1998" t="s">
        <v>2975</v>
      </c>
      <c r="D1998" t="s">
        <v>3972</v>
      </c>
      <c r="E1998" s="4">
        <v>43465</v>
      </c>
      <c r="F1998" s="11">
        <v>-52.141305160000002</v>
      </c>
      <c r="G1998" s="11">
        <v>4.8</v>
      </c>
      <c r="H1998" s="11">
        <v>15.1320090696</v>
      </c>
      <c r="I1998" s="11">
        <v>3.3720522062999998</v>
      </c>
      <c r="J1998" s="11">
        <v>1.2036714946</v>
      </c>
      <c r="K1998" s="10">
        <v>1.8490062482680001</v>
      </c>
      <c r="L1998" s="12">
        <v>13579516713.98</v>
      </c>
      <c r="M1998">
        <v>-710.27564088903398</v>
      </c>
      <c r="N1998" s="7">
        <v>1.00973248983555</v>
      </c>
      <c r="O1998" s="7">
        <v>0.38946979023060901</v>
      </c>
      <c r="P1998" s="7">
        <v>-11.4218285071765</v>
      </c>
      <c r="Q1998" s="7">
        <v>0.4674796747967479</v>
      </c>
      <c r="U1998">
        <v>0.21718542114167649</v>
      </c>
      <c r="AT1998" s="4" t="s">
        <v>4658</v>
      </c>
    </row>
    <row r="1999" spans="1:46">
      <c r="A1999" s="2">
        <v>1477</v>
      </c>
      <c r="B1999" t="s">
        <v>6975</v>
      </c>
      <c r="C1999" t="s">
        <v>2078</v>
      </c>
      <c r="D1999" t="s">
        <v>3790</v>
      </c>
      <c r="E1999" s="4">
        <v>43465</v>
      </c>
      <c r="F1999" s="11">
        <v>-34.973821989999998</v>
      </c>
      <c r="G1999" s="11">
        <v>4.75382003</v>
      </c>
      <c r="H1999" s="11">
        <v>-27.9031070224</v>
      </c>
      <c r="I1999" s="11">
        <v>65.781460589299996</v>
      </c>
      <c r="J1999" s="11">
        <v>-154.9892939428</v>
      </c>
      <c r="K1999" s="10">
        <v>0.18006482152700001</v>
      </c>
      <c r="L1999" s="12">
        <v>5359106913.21</v>
      </c>
      <c r="M1999">
        <v>75.998383203363005</v>
      </c>
      <c r="N1999" s="7">
        <v>7.2202284303553297</v>
      </c>
      <c r="O1999" s="7">
        <v>8.4846383479753502</v>
      </c>
      <c r="P1999" s="7">
        <v>-31.659577816709501</v>
      </c>
      <c r="Q1999" s="7" t="s">
        <v>3698</v>
      </c>
      <c r="U1999">
        <v>-0.94352297469857127</v>
      </c>
      <c r="AT1999" s="4" t="s">
        <v>4648</v>
      </c>
    </row>
    <row r="2000" spans="1:46">
      <c r="A2000" s="2">
        <v>781</v>
      </c>
      <c r="B2000" t="s">
        <v>6976</v>
      </c>
      <c r="C2000" t="s">
        <v>1982</v>
      </c>
      <c r="D2000" t="s">
        <v>3761</v>
      </c>
      <c r="E2000" s="4">
        <v>43465</v>
      </c>
      <c r="F2000" s="11">
        <v>-19.62662559</v>
      </c>
      <c r="G2000" s="11">
        <v>4.7516198699999999</v>
      </c>
      <c r="H2000" s="11">
        <v>-35.897395412999998</v>
      </c>
      <c r="I2000" s="11">
        <v>43.517385428399997</v>
      </c>
      <c r="J2000" s="11">
        <v>14.7690011618</v>
      </c>
      <c r="K2000" s="10">
        <v>0.32107511226399998</v>
      </c>
      <c r="L2000" s="12">
        <v>23501180871.599998</v>
      </c>
      <c r="M2000">
        <v>17.6264172497924</v>
      </c>
      <c r="N2000" s="7">
        <v>1.61185201773994</v>
      </c>
      <c r="O2000" s="7">
        <v>2.4209061480701299</v>
      </c>
      <c r="P2000" s="7">
        <v>8.1391469164602608</v>
      </c>
      <c r="Q2000" s="7">
        <v>0.87755102040816324</v>
      </c>
      <c r="U2000">
        <v>0.21603134312900862</v>
      </c>
      <c r="AT2000" s="4" t="s">
        <v>6977</v>
      </c>
    </row>
    <row r="2001" spans="1:46">
      <c r="A2001" s="2">
        <v>2857</v>
      </c>
      <c r="B2001" t="s">
        <v>6978</v>
      </c>
      <c r="C2001" t="s">
        <v>261</v>
      </c>
      <c r="D2001" t="s">
        <v>4119</v>
      </c>
      <c r="E2001" s="4">
        <v>43465</v>
      </c>
      <c r="F2001" s="11">
        <v>-2.22763103</v>
      </c>
      <c r="G2001" s="11">
        <v>4.7430830000000004</v>
      </c>
      <c r="H2001" s="11">
        <v>27.757733572700001</v>
      </c>
      <c r="I2001" s="11">
        <v>8.9161566379000003</v>
      </c>
      <c r="J2001" s="11">
        <v>3.1492422575000001</v>
      </c>
      <c r="K2001" s="10">
        <v>0.47786041851</v>
      </c>
      <c r="L2001" s="12">
        <v>5058875209.2399998</v>
      </c>
      <c r="M2001">
        <v>-14.2043600164171</v>
      </c>
      <c r="N2001" s="7">
        <v>1.9131194661903199</v>
      </c>
      <c r="O2001" s="7">
        <v>1.4781968493945901</v>
      </c>
      <c r="P2001" s="7">
        <v>6.7044905192483002</v>
      </c>
      <c r="Q2001" s="7">
        <v>0.25862068965517243</v>
      </c>
      <c r="U2001">
        <v>0.11056768045827679</v>
      </c>
      <c r="AT2001" s="4" t="s">
        <v>6979</v>
      </c>
    </row>
    <row r="2002" spans="1:46">
      <c r="A2002" s="2">
        <v>919</v>
      </c>
      <c r="B2002" t="s">
        <v>6980</v>
      </c>
      <c r="C2002" t="s">
        <v>564</v>
      </c>
      <c r="D2002" t="s">
        <v>3752</v>
      </c>
      <c r="E2002" s="4">
        <v>43465</v>
      </c>
      <c r="F2002" s="11">
        <v>-42.421997470000001</v>
      </c>
      <c r="G2002" s="11">
        <v>4.67836257</v>
      </c>
      <c r="H2002" s="11">
        <v>25.635807420700001</v>
      </c>
      <c r="I2002" s="11">
        <v>6.7839802288</v>
      </c>
      <c r="J2002" s="11">
        <v>3.025415712</v>
      </c>
      <c r="K2002" s="10">
        <v>2.639233301545</v>
      </c>
      <c r="L2002" s="12">
        <v>13814088889.1</v>
      </c>
      <c r="M2002">
        <v>12.9470613577992</v>
      </c>
      <c r="N2002" s="7">
        <v>1.8393642831248</v>
      </c>
      <c r="O2002" s="7">
        <v>0.48453657906425601</v>
      </c>
      <c r="P2002" s="7">
        <v>13.3765315720808</v>
      </c>
      <c r="Q2002" s="7">
        <v>1.2417655172413793</v>
      </c>
      <c r="U2002">
        <v>0.47482298237547549</v>
      </c>
      <c r="AT2002" s="4" t="s">
        <v>5945</v>
      </c>
    </row>
    <row r="2003" spans="1:46">
      <c r="A2003" s="2">
        <v>2393</v>
      </c>
      <c r="B2003" t="s">
        <v>6981</v>
      </c>
      <c r="C2003" t="s">
        <v>2621</v>
      </c>
      <c r="D2003" t="s">
        <v>3849</v>
      </c>
      <c r="E2003" s="4">
        <v>43465</v>
      </c>
      <c r="F2003" s="11">
        <v>-7.1260917600000004</v>
      </c>
      <c r="G2003" s="11">
        <v>4.6685879000000003</v>
      </c>
      <c r="H2003" s="11">
        <v>34.283309400999997</v>
      </c>
      <c r="I2003" s="11">
        <v>19.712864347699998</v>
      </c>
      <c r="J2003" s="11">
        <v>18.1491528643</v>
      </c>
      <c r="K2003" s="10">
        <v>0.58450620233100004</v>
      </c>
      <c r="L2003" s="12">
        <v>3224699521.23</v>
      </c>
      <c r="M2003">
        <v>60.807919483572199</v>
      </c>
      <c r="N2003" s="7">
        <v>2.5596693005196798</v>
      </c>
      <c r="O2003" s="7">
        <v>2.1399229276457699</v>
      </c>
      <c r="P2003" s="7">
        <v>-33.492432672637499</v>
      </c>
      <c r="Q2003" s="7">
        <v>1.1771300448430493</v>
      </c>
      <c r="U2003">
        <v>0.67210349605882347</v>
      </c>
      <c r="AT2003" s="4" t="s">
        <v>6943</v>
      </c>
    </row>
    <row r="2004" spans="1:46">
      <c r="A2004" s="2">
        <v>2802</v>
      </c>
      <c r="B2004" t="s">
        <v>6982</v>
      </c>
      <c r="C2004" t="s">
        <v>90</v>
      </c>
      <c r="D2004" t="s">
        <v>3811</v>
      </c>
      <c r="E2004" s="4">
        <v>43465</v>
      </c>
      <c r="F2004" s="11">
        <v>23.73209108</v>
      </c>
      <c r="G2004" s="11">
        <v>4.66431095</v>
      </c>
      <c r="H2004" s="11">
        <v>3.5500733133</v>
      </c>
      <c r="I2004" s="11">
        <v>18.423899394900001</v>
      </c>
      <c r="J2004" s="11">
        <v>2.5647637098999998</v>
      </c>
      <c r="K2004" s="10">
        <v>2.491593216249</v>
      </c>
      <c r="L2004" s="12">
        <v>4984881671</v>
      </c>
      <c r="M2004">
        <v>13.5554658214191</v>
      </c>
      <c r="N2004" s="7">
        <v>2.0681431175959899</v>
      </c>
      <c r="O2004" s="7">
        <v>0.33494650676059001</v>
      </c>
      <c r="P2004" s="7">
        <v>19.440831928468501</v>
      </c>
      <c r="Q2004" s="7">
        <v>2.3465703971119134</v>
      </c>
      <c r="U2004">
        <v>2.0444844462982439</v>
      </c>
      <c r="AT2004" s="4" t="s">
        <v>5383</v>
      </c>
    </row>
    <row r="2005" spans="1:46">
      <c r="A2005" s="2">
        <v>756</v>
      </c>
      <c r="B2005" t="s">
        <v>6983</v>
      </c>
      <c r="C2005" t="s">
        <v>594</v>
      </c>
      <c r="D2005" t="s">
        <v>3972</v>
      </c>
      <c r="E2005" s="4">
        <v>43465</v>
      </c>
      <c r="F2005" s="11">
        <v>-59.788683380000002</v>
      </c>
      <c r="G2005" s="11">
        <v>4.63917526</v>
      </c>
      <c r="H2005" s="11">
        <v>18.579459363600002</v>
      </c>
      <c r="I2005" s="11">
        <v>18.805649038399999</v>
      </c>
      <c r="J2005" s="11">
        <v>8.7419651318000007</v>
      </c>
      <c r="K2005" s="10">
        <v>0.61832798148000001</v>
      </c>
      <c r="L2005" s="12">
        <v>7566677171.3999996</v>
      </c>
      <c r="M2005">
        <v>13.268601972601401</v>
      </c>
      <c r="N2005" s="7">
        <v>1.8675991147543201</v>
      </c>
      <c r="O2005" s="7">
        <v>0.89155509826731405</v>
      </c>
      <c r="P2005" s="7">
        <v>-18.998662399268799</v>
      </c>
      <c r="Q2005" s="7">
        <v>0.69060773480662985</v>
      </c>
      <c r="U2005">
        <v>0.22865081439130716</v>
      </c>
      <c r="AT2005" s="4" t="s">
        <v>6306</v>
      </c>
    </row>
    <row r="2006" spans="1:46">
      <c r="A2006" s="2">
        <v>1131</v>
      </c>
      <c r="B2006" t="s">
        <v>6984</v>
      </c>
      <c r="C2006" t="s">
        <v>1363</v>
      </c>
      <c r="D2006" t="s">
        <v>3858</v>
      </c>
      <c r="E2006" s="4">
        <v>43465</v>
      </c>
      <c r="F2006" s="11">
        <v>-34.401348970000001</v>
      </c>
      <c r="G2006" s="11">
        <v>4.6312178399999997</v>
      </c>
      <c r="H2006" s="11">
        <v>20.2040913686</v>
      </c>
      <c r="I2006" s="11">
        <v>15.590298149600001</v>
      </c>
      <c r="J2006" s="11">
        <v>4.7387734818</v>
      </c>
      <c r="K2006" s="10">
        <v>0.76651898039999999</v>
      </c>
      <c r="L2006" s="12">
        <v>2113309489.6900001</v>
      </c>
      <c r="M2006">
        <v>14.241113635624</v>
      </c>
      <c r="N2006" s="7">
        <v>0.98061967442913101</v>
      </c>
      <c r="O2006" s="7">
        <v>0.602532336420876</v>
      </c>
      <c r="P2006" s="7">
        <v>-11.788118381902599</v>
      </c>
      <c r="Q2006" s="7">
        <v>1.0380622837370241</v>
      </c>
      <c r="U2006">
        <v>0.40748486079999996</v>
      </c>
      <c r="AT2006" s="4" t="s">
        <v>6985</v>
      </c>
    </row>
    <row r="2007" spans="1:46">
      <c r="A2007" s="2">
        <v>1545</v>
      </c>
      <c r="B2007" t="s">
        <v>6986</v>
      </c>
      <c r="C2007" t="s">
        <v>2023</v>
      </c>
      <c r="D2007" t="s">
        <v>3721</v>
      </c>
      <c r="E2007" s="4">
        <v>43465</v>
      </c>
      <c r="F2007" s="11">
        <v>-29.915404120000002</v>
      </c>
      <c r="G2007" s="11">
        <v>4.6128500800000003</v>
      </c>
      <c r="H2007" s="11">
        <v>132.11939105050001</v>
      </c>
      <c r="I2007" s="11">
        <v>22.523311465399999</v>
      </c>
      <c r="J2007" s="11">
        <v>6.6193635234999997</v>
      </c>
      <c r="K2007" s="10">
        <v>0.74415243223600003</v>
      </c>
      <c r="L2007" s="12">
        <v>4540419526.3100004</v>
      </c>
      <c r="M2007">
        <v>18.911908634750802</v>
      </c>
      <c r="N2007" s="7">
        <v>1.9334007438928</v>
      </c>
      <c r="O2007" s="7">
        <v>1.2262579672462799</v>
      </c>
      <c r="P2007" s="7">
        <v>22.585741122413001</v>
      </c>
      <c r="Q2007" s="7">
        <v>1.4831036852765838</v>
      </c>
      <c r="U2007">
        <v>0.34521437919544873</v>
      </c>
      <c r="AT2007" s="4" t="s">
        <v>4134</v>
      </c>
    </row>
    <row r="2008" spans="1:46">
      <c r="A2008" s="2">
        <v>3464</v>
      </c>
      <c r="B2008" t="s">
        <v>6987</v>
      </c>
      <c r="C2008" t="s">
        <v>1199</v>
      </c>
      <c r="D2008" t="s">
        <v>3761</v>
      </c>
      <c r="E2008" s="4">
        <v>43465</v>
      </c>
      <c r="F2008" s="11">
        <v>-38.079979989999998</v>
      </c>
      <c r="G2008" s="11">
        <v>4.5977011499999998</v>
      </c>
      <c r="H2008" s="11">
        <v>5.1995439786000004</v>
      </c>
      <c r="I2008" s="11">
        <v>16.6231510382</v>
      </c>
      <c r="J2008" s="11">
        <v>2.5755722856999999</v>
      </c>
      <c r="K2008" s="10">
        <v>0.83269005341199998</v>
      </c>
      <c r="L2008" s="12">
        <v>14469172626.48</v>
      </c>
      <c r="M2008">
        <v>39.741647990361102</v>
      </c>
      <c r="N2008" s="7">
        <v>1.7313502871181199</v>
      </c>
      <c r="O2008" s="7">
        <v>0.84375340767509299</v>
      </c>
      <c r="P2008" s="7">
        <v>-28.5804099872644</v>
      </c>
      <c r="Q2008" s="7">
        <v>0.96008985159142091</v>
      </c>
      <c r="U2008">
        <v>0.14655958981468031</v>
      </c>
      <c r="AT2008" s="4" t="s">
        <v>3746</v>
      </c>
    </row>
    <row r="2009" spans="1:46">
      <c r="A2009" s="2">
        <v>1316</v>
      </c>
      <c r="B2009" t="s">
        <v>6988</v>
      </c>
      <c r="C2009" t="s">
        <v>1753</v>
      </c>
      <c r="D2009" t="s">
        <v>4060</v>
      </c>
      <c r="E2009" s="4">
        <v>43465</v>
      </c>
      <c r="F2009" s="11">
        <v>69.598938380000007</v>
      </c>
      <c r="G2009" s="11">
        <v>4.5942116999999998</v>
      </c>
      <c r="H2009" s="11">
        <v>16.227855974899999</v>
      </c>
      <c r="I2009" s="11">
        <v>42.048365235200002</v>
      </c>
      <c r="J2009" s="11">
        <v>27.684469720599999</v>
      </c>
      <c r="K2009" s="10">
        <v>0.50459499179199996</v>
      </c>
      <c r="L2009" s="12">
        <v>1934400000</v>
      </c>
      <c r="M2009">
        <v>113.145407561583</v>
      </c>
      <c r="N2009" s="7">
        <v>6.1669311948032401</v>
      </c>
      <c r="O2009" s="7">
        <v>18.525959875748999</v>
      </c>
      <c r="P2009" s="7">
        <v>-1327.9790956344</v>
      </c>
      <c r="Q2009" s="7">
        <v>0.5399463334199287</v>
      </c>
      <c r="U2009">
        <v>1.0940590031552928</v>
      </c>
      <c r="AT2009" s="4" t="s">
        <v>4787</v>
      </c>
    </row>
    <row r="2010" spans="1:46">
      <c r="A2010" s="2">
        <v>1689</v>
      </c>
      <c r="B2010" t="s">
        <v>6989</v>
      </c>
      <c r="C2010" t="s">
        <v>1933</v>
      </c>
      <c r="D2010" t="s">
        <v>3713</v>
      </c>
      <c r="E2010" s="4">
        <v>43465</v>
      </c>
      <c r="F2010" s="11">
        <v>-39.75</v>
      </c>
      <c r="G2010" s="11">
        <v>4.5553145300000004</v>
      </c>
      <c r="H2010" s="11">
        <v>31.8338497194</v>
      </c>
      <c r="I2010" s="11">
        <v>31.6383048169</v>
      </c>
      <c r="J2010" s="11">
        <v>2.7536155779999998</v>
      </c>
      <c r="K2010" s="10">
        <v>0.37367755377900003</v>
      </c>
      <c r="L2010" s="12">
        <v>30448693797.759998</v>
      </c>
      <c r="M2010">
        <v>-30.532990273824499</v>
      </c>
      <c r="N2010" s="7">
        <v>4.7515487080153997</v>
      </c>
      <c r="O2010" s="7">
        <v>6.4492300943438297</v>
      </c>
      <c r="P2010" s="7">
        <v>-130.56038162050299</v>
      </c>
      <c r="Q2010" s="7" t="s">
        <v>3698</v>
      </c>
      <c r="U2010">
        <v>2.5652020455095619E-2</v>
      </c>
      <c r="AT2010" s="4" t="s">
        <v>5195</v>
      </c>
    </row>
    <row r="2011" spans="1:46">
      <c r="A2011" s="2">
        <v>3460</v>
      </c>
      <c r="B2011" t="s">
        <v>6990</v>
      </c>
      <c r="C2011" t="s">
        <v>485</v>
      </c>
      <c r="D2011" t="s">
        <v>3769</v>
      </c>
      <c r="E2011" s="4">
        <v>43465</v>
      </c>
      <c r="F2011" s="11">
        <v>-64.132167989999999</v>
      </c>
      <c r="G2011" s="11">
        <v>4.5532646000000003</v>
      </c>
      <c r="H2011" s="11">
        <v>2.2220303931999998</v>
      </c>
      <c r="I2011" s="11">
        <v>18.145108837199999</v>
      </c>
      <c r="J2011" s="11">
        <v>6.1138431886999998</v>
      </c>
      <c r="K2011" s="10">
        <v>0.64847275559100004</v>
      </c>
      <c r="L2011" s="12">
        <v>3902180727.1999998</v>
      </c>
      <c r="M2011">
        <v>12.5951137694829</v>
      </c>
      <c r="N2011" s="7">
        <v>1.6229335511383101</v>
      </c>
      <c r="O2011" s="7">
        <v>1.1168345330838101</v>
      </c>
      <c r="P2011" s="7">
        <v>-27.722567259722499</v>
      </c>
      <c r="Q2011" s="7">
        <v>0.91001011122345798</v>
      </c>
      <c r="U2011">
        <v>0.59236714717587102</v>
      </c>
      <c r="AT2011" s="4" t="s">
        <v>6991</v>
      </c>
    </row>
    <row r="2012" spans="1:46">
      <c r="A2012" s="2">
        <v>1233</v>
      </c>
      <c r="B2012" t="s">
        <v>6992</v>
      </c>
      <c r="C2012" t="s">
        <v>3494</v>
      </c>
      <c r="D2012" t="s">
        <v>3977</v>
      </c>
      <c r="E2012" s="4">
        <v>43465</v>
      </c>
      <c r="F2012" s="11">
        <v>-54.536771729999998</v>
      </c>
      <c r="G2012" s="11">
        <v>4.5454545499999996</v>
      </c>
      <c r="H2012" s="11">
        <v>-15.8256951073</v>
      </c>
      <c r="I2012" s="11">
        <v>5.5140182038000001</v>
      </c>
      <c r="J2012" s="11">
        <v>-10.874286638099999</v>
      </c>
      <c r="K2012" s="10">
        <v>0.81692917127499998</v>
      </c>
      <c r="L2012" s="12">
        <v>9632220000</v>
      </c>
      <c r="M2012">
        <v>-71.775875001004493</v>
      </c>
      <c r="N2012" s="7">
        <v>3.0409970517178602</v>
      </c>
      <c r="O2012" s="7">
        <v>1.97558626395349</v>
      </c>
      <c r="P2012" s="7">
        <v>-78.655059682049</v>
      </c>
      <c r="Q2012" s="7" t="s">
        <v>3698</v>
      </c>
      <c r="U2012">
        <v>-0.47290769288369899</v>
      </c>
      <c r="AT2012" s="4" t="s">
        <v>3985</v>
      </c>
    </row>
    <row r="2013" spans="1:46">
      <c r="A2013" s="2">
        <v>2193</v>
      </c>
      <c r="B2013" t="s">
        <v>6993</v>
      </c>
      <c r="C2013" t="s">
        <v>1919</v>
      </c>
      <c r="D2013" t="s">
        <v>3889</v>
      </c>
      <c r="E2013" s="4">
        <v>43465</v>
      </c>
      <c r="F2013" s="11">
        <v>-28.355896919999999</v>
      </c>
      <c r="G2013" s="11">
        <v>4.5401629799999998</v>
      </c>
      <c r="H2013" s="11">
        <v>1.0030650571999999</v>
      </c>
      <c r="I2013" s="11">
        <v>26.2269954476</v>
      </c>
      <c r="J2013" s="11">
        <v>25.473526283199998</v>
      </c>
      <c r="K2013" s="10">
        <v>0.17436015143</v>
      </c>
      <c r="L2013" s="12">
        <v>14471785994.4</v>
      </c>
      <c r="M2013">
        <v>23.416550062511099</v>
      </c>
      <c r="N2013" s="7">
        <v>0.91642273040538003</v>
      </c>
      <c r="O2013" s="7">
        <v>4.4516188656111604</v>
      </c>
      <c r="P2013" s="7">
        <v>-5.1303060216616903</v>
      </c>
      <c r="Q2013" s="7">
        <v>2.1003500583430572</v>
      </c>
      <c r="U2013">
        <v>0.49879841173708434</v>
      </c>
      <c r="AT2013" s="4" t="s">
        <v>6994</v>
      </c>
    </row>
    <row r="2014" spans="1:46">
      <c r="A2014" s="2">
        <v>349</v>
      </c>
      <c r="B2014" t="s">
        <v>6995</v>
      </c>
      <c r="C2014" t="s">
        <v>157</v>
      </c>
      <c r="D2014" t="s">
        <v>3998</v>
      </c>
      <c r="E2014" s="4">
        <v>43465</v>
      </c>
      <c r="F2014" s="11">
        <v>64.401686220000002</v>
      </c>
      <c r="G2014" s="11">
        <v>4.4995408599999998</v>
      </c>
      <c r="H2014" s="11">
        <v>43.893293939099998</v>
      </c>
      <c r="I2014" s="11">
        <v>32.552180357799998</v>
      </c>
      <c r="J2014" s="11">
        <v>18.0043006571</v>
      </c>
      <c r="K2014" s="10">
        <v>1.107849133784</v>
      </c>
      <c r="L2014" s="12">
        <v>5095282200</v>
      </c>
      <c r="M2014">
        <v>5.7800821226201702</v>
      </c>
      <c r="N2014" s="7">
        <v>1.7751149024352499</v>
      </c>
      <c r="O2014" s="7">
        <v>0.70338486366863995</v>
      </c>
      <c r="P2014" s="7">
        <v>12.031842264372299</v>
      </c>
      <c r="Q2014" s="7">
        <v>6.0868903629408626</v>
      </c>
      <c r="U2014">
        <v>1.8546530702937734</v>
      </c>
      <c r="AT2014" s="4" t="s">
        <v>6996</v>
      </c>
    </row>
    <row r="2015" spans="1:46">
      <c r="A2015" s="2">
        <v>1847</v>
      </c>
      <c r="B2015" t="s">
        <v>6997</v>
      </c>
      <c r="C2015" t="s">
        <v>285</v>
      </c>
      <c r="D2015" t="s">
        <v>3764</v>
      </c>
      <c r="E2015" s="4">
        <v>43465</v>
      </c>
      <c r="F2015" s="11">
        <v>-38.171685230000001</v>
      </c>
      <c r="G2015" s="11">
        <v>4.4399596399999997</v>
      </c>
      <c r="H2015" s="11">
        <v>85.491224050200003</v>
      </c>
      <c r="I2015" s="11">
        <v>28.520316741599999</v>
      </c>
      <c r="J2015" s="11">
        <v>8.4984725345999994</v>
      </c>
      <c r="K2015" s="10">
        <v>0.52150001638400001</v>
      </c>
      <c r="L2015" s="12">
        <v>11460963381.93</v>
      </c>
      <c r="M2015">
        <v>15.614958445146099</v>
      </c>
      <c r="N2015" s="7">
        <v>2.5823799531198501</v>
      </c>
      <c r="O2015" s="7">
        <v>1.44629684448331</v>
      </c>
      <c r="P2015" s="7">
        <v>68.823881212148606</v>
      </c>
      <c r="Q2015" s="7">
        <v>0.68682995547961878</v>
      </c>
      <c r="U2015">
        <v>0.66119432216408114</v>
      </c>
      <c r="AT2015" s="4" t="s">
        <v>3746</v>
      </c>
    </row>
    <row r="2016" spans="1:46">
      <c r="A2016" s="2">
        <v>1144</v>
      </c>
      <c r="B2016" t="s">
        <v>6998</v>
      </c>
      <c r="C2016" t="s">
        <v>3340</v>
      </c>
      <c r="D2016" t="s">
        <v>3718</v>
      </c>
      <c r="E2016" s="4">
        <v>43465</v>
      </c>
      <c r="F2016" s="11">
        <v>-27.022375220000001</v>
      </c>
      <c r="G2016" s="11">
        <v>4.4334975400000003</v>
      </c>
      <c r="H2016" s="11">
        <v>-7.0525143901999998</v>
      </c>
      <c r="I2016" s="11">
        <v>25.134690347700001</v>
      </c>
      <c r="J2016" s="11">
        <v>2.5111560308</v>
      </c>
      <c r="K2016" s="10">
        <v>0.26251174712600001</v>
      </c>
      <c r="L2016" s="12">
        <v>2270988864.9000001</v>
      </c>
      <c r="M2016">
        <v>367.40441704871699</v>
      </c>
      <c r="N2016" s="7">
        <v>2.3207512640067498</v>
      </c>
      <c r="O2016" s="7">
        <v>7.0362692314262798</v>
      </c>
      <c r="P2016" s="7">
        <v>-160.675202686755</v>
      </c>
      <c r="Q2016" s="7" t="s">
        <v>3698</v>
      </c>
      <c r="U2016">
        <v>2.70993624E-2</v>
      </c>
      <c r="AT2016" s="4" t="s">
        <v>6799</v>
      </c>
    </row>
    <row r="2017" spans="1:46">
      <c r="A2017" s="2">
        <v>788</v>
      </c>
      <c r="B2017" t="s">
        <v>6999</v>
      </c>
      <c r="C2017" t="s">
        <v>670</v>
      </c>
      <c r="D2017" t="s">
        <v>3811</v>
      </c>
      <c r="E2017" s="4">
        <v>43465</v>
      </c>
      <c r="F2017" s="11">
        <v>-42.221237199999997</v>
      </c>
      <c r="G2017" s="11">
        <v>4.4303797500000002</v>
      </c>
      <c r="H2017" s="11">
        <v>-0.52800093979999996</v>
      </c>
      <c r="I2017" s="11">
        <v>19.848266535</v>
      </c>
      <c r="J2017" s="11">
        <v>5.3704994430999999</v>
      </c>
      <c r="K2017" s="10">
        <v>0.51254689000300002</v>
      </c>
      <c r="L2017" s="12">
        <v>3735456519.5999999</v>
      </c>
      <c r="M2017">
        <v>19.675922507112499</v>
      </c>
      <c r="N2017" s="7">
        <v>0.677687337091191</v>
      </c>
      <c r="O2017" s="7">
        <v>0.60063723836951199</v>
      </c>
      <c r="P2017" s="7">
        <v>-8.7594919293716398</v>
      </c>
      <c r="Q2017" s="7">
        <v>1.5923566878980893</v>
      </c>
      <c r="U2017">
        <v>0.32014256377147282</v>
      </c>
      <c r="AT2017" s="4" t="s">
        <v>7000</v>
      </c>
    </row>
    <row r="2018" spans="1:46">
      <c r="A2018" s="2">
        <v>2689</v>
      </c>
      <c r="B2018" t="s">
        <v>7001</v>
      </c>
      <c r="C2018" t="s">
        <v>1175</v>
      </c>
      <c r="D2018" t="s">
        <v>3785</v>
      </c>
      <c r="E2018" s="4">
        <v>43465</v>
      </c>
      <c r="F2018" s="11">
        <v>-46.532779550000001</v>
      </c>
      <c r="G2018" s="11">
        <v>4.4117647099999999</v>
      </c>
      <c r="H2018" s="11">
        <v>-8.9632818695999994</v>
      </c>
      <c r="I2018" s="11">
        <v>46.2126816225</v>
      </c>
      <c r="J2018" s="11">
        <v>-8.0641455250000007</v>
      </c>
      <c r="K2018" s="10">
        <v>0.38556368768799998</v>
      </c>
      <c r="L2018" s="12">
        <v>2977251913.04</v>
      </c>
      <c r="M2018">
        <v>76.276240370550994</v>
      </c>
      <c r="N2018" s="7">
        <v>1.3062430901286199</v>
      </c>
      <c r="O2018" s="7">
        <v>2.7279174683429601</v>
      </c>
      <c r="P2018" s="7">
        <v>-22.275334487557501</v>
      </c>
      <c r="Q2018" s="7" t="s">
        <v>3698</v>
      </c>
      <c r="U2018">
        <v>-0.13384694236199415</v>
      </c>
      <c r="AT2018" s="4" t="s">
        <v>7002</v>
      </c>
    </row>
    <row r="2019" spans="1:46">
      <c r="A2019" s="2">
        <v>385</v>
      </c>
      <c r="B2019" t="s">
        <v>7003</v>
      </c>
      <c r="C2019" t="s">
        <v>89</v>
      </c>
      <c r="D2019" t="s">
        <v>3752</v>
      </c>
      <c r="E2019" s="4">
        <v>43465</v>
      </c>
      <c r="F2019" s="11">
        <v>-30.239069109999999</v>
      </c>
      <c r="G2019" s="11">
        <v>4.3877550999999997</v>
      </c>
      <c r="H2019" s="11">
        <v>35.040718911900001</v>
      </c>
      <c r="I2019" s="11">
        <v>28.333143339399999</v>
      </c>
      <c r="J2019" s="11">
        <v>14.407316182800001</v>
      </c>
      <c r="K2019" s="10">
        <v>0.76617575062800003</v>
      </c>
      <c r="L2019" s="12">
        <v>12692746158.950001</v>
      </c>
      <c r="M2019">
        <v>4.4246692107746401</v>
      </c>
      <c r="N2019" s="7">
        <v>1.4008896115738401</v>
      </c>
      <c r="O2019" s="7">
        <v>0.70133180962552399</v>
      </c>
      <c r="P2019" s="7">
        <v>-61.286262079896296</v>
      </c>
      <c r="Q2019" s="7">
        <v>5.4466230936819171</v>
      </c>
      <c r="T2019" s="2"/>
      <c r="U2019">
        <v>2.0937107896611318</v>
      </c>
      <c r="AT2019" s="4" t="s">
        <v>6375</v>
      </c>
    </row>
    <row r="2020" spans="1:46">
      <c r="A2020" s="2">
        <v>2085</v>
      </c>
      <c r="B2020" t="s">
        <v>7004</v>
      </c>
      <c r="C2020" t="s">
        <v>1177</v>
      </c>
      <c r="D2020" t="s">
        <v>3721</v>
      </c>
      <c r="E2020" s="4">
        <v>43465</v>
      </c>
      <c r="F2020" s="11">
        <v>-37.8303899</v>
      </c>
      <c r="G2020" s="11">
        <v>4.3562439499999996</v>
      </c>
      <c r="H2020" s="11">
        <v>18.118709707600001</v>
      </c>
      <c r="I2020" s="11">
        <v>29.5966252361</v>
      </c>
      <c r="J2020" s="11">
        <v>8.9661789166000005</v>
      </c>
      <c r="K2020" s="10">
        <v>0.55892453510999995</v>
      </c>
      <c r="L2020" s="12">
        <v>3085500000</v>
      </c>
      <c r="M2020">
        <v>168.729637642509</v>
      </c>
      <c r="N2020" s="7">
        <v>14.7348013959064</v>
      </c>
      <c r="O2020" s="7">
        <v>14.3516145317029</v>
      </c>
      <c r="P2020" s="7">
        <v>95.280438343425601</v>
      </c>
      <c r="Q2020" s="7">
        <v>0.15696887686062244</v>
      </c>
      <c r="U2020">
        <v>0.26882702111903456</v>
      </c>
      <c r="AT2020" s="4" t="s">
        <v>6019</v>
      </c>
    </row>
    <row r="2021" spans="1:46">
      <c r="A2021" s="2">
        <v>3497</v>
      </c>
      <c r="B2021" t="s">
        <v>7005</v>
      </c>
      <c r="C2021" t="s">
        <v>1182</v>
      </c>
      <c r="D2021" t="s">
        <v>3764</v>
      </c>
      <c r="E2021" s="4">
        <v>43465</v>
      </c>
      <c r="F2021" s="11">
        <v>-28.08300972</v>
      </c>
      <c r="G2021" s="11">
        <v>4.3478260899999999</v>
      </c>
      <c r="H2021" s="11">
        <v>26.069514295499999</v>
      </c>
      <c r="I2021" s="11">
        <v>10.8274537307</v>
      </c>
      <c r="J2021" s="11">
        <v>5.1186836563</v>
      </c>
      <c r="K2021" s="10">
        <v>1.0363530415819999</v>
      </c>
      <c r="L2021" s="12">
        <v>12134874680.25</v>
      </c>
      <c r="M2021">
        <v>25.919829642742101</v>
      </c>
      <c r="N2021" s="7">
        <v>1.7597399148450801</v>
      </c>
      <c r="O2021" s="7">
        <v>1.21212636186534</v>
      </c>
      <c r="P2021" s="7">
        <v>17.951932851098199</v>
      </c>
      <c r="Q2021" s="7">
        <v>1.4625228519195612</v>
      </c>
      <c r="U2021">
        <v>0.5249682295238095</v>
      </c>
      <c r="AT2021" s="4" t="s">
        <v>5691</v>
      </c>
    </row>
    <row r="2022" spans="1:46">
      <c r="A2022" s="2">
        <v>10</v>
      </c>
      <c r="B2022" t="s">
        <v>7006</v>
      </c>
      <c r="C2022" t="s">
        <v>3601</v>
      </c>
      <c r="D2022" t="s">
        <v>3858</v>
      </c>
      <c r="E2022" s="4">
        <v>43465</v>
      </c>
      <c r="F2022" s="11">
        <v>-37.269372689999997</v>
      </c>
      <c r="G2022" s="11">
        <v>4.2944785300000001</v>
      </c>
      <c r="H2022" s="11">
        <v>-54.424481328200002</v>
      </c>
      <c r="I2022" s="11">
        <v>13.200566460699999</v>
      </c>
      <c r="J2022" s="11">
        <v>-210.33319468100001</v>
      </c>
      <c r="K2022" s="10">
        <v>0.108305735825</v>
      </c>
      <c r="L2022" s="12">
        <v>4013565172.02</v>
      </c>
      <c r="M2022">
        <v>-2.0544083848144599</v>
      </c>
      <c r="N2022" s="7">
        <v>12.3557173215963</v>
      </c>
      <c r="O2022" s="7">
        <v>8.7561670008164292</v>
      </c>
      <c r="P2022" s="7">
        <v>-32.869858240821799</v>
      </c>
      <c r="Q2022" s="7" t="s">
        <v>3698</v>
      </c>
      <c r="U2022">
        <v>-0.89223183854527643</v>
      </c>
      <c r="AT2022" s="4" t="s">
        <v>7007</v>
      </c>
    </row>
    <row r="2023" spans="1:46">
      <c r="A2023" s="2">
        <v>3221</v>
      </c>
      <c r="B2023" t="s">
        <v>7008</v>
      </c>
      <c r="C2023" t="s">
        <v>843</v>
      </c>
      <c r="D2023" t="s">
        <v>3849</v>
      </c>
      <c r="E2023" s="4">
        <v>43465</v>
      </c>
      <c r="F2023" s="11">
        <v>-26.871882029999998</v>
      </c>
      <c r="G2023" s="11">
        <v>4.29184549</v>
      </c>
      <c r="H2023" s="11">
        <v>1.3468127427000001</v>
      </c>
      <c r="I2023" s="11">
        <v>54.405415647799998</v>
      </c>
      <c r="J2023" s="11">
        <v>32.260593309800001</v>
      </c>
      <c r="K2023" s="10">
        <v>0.27621566320199997</v>
      </c>
      <c r="L2023" s="12">
        <v>2313429300</v>
      </c>
      <c r="M2023">
        <v>24.947125659419498</v>
      </c>
      <c r="N2023" s="7">
        <v>2.8360433798847602</v>
      </c>
      <c r="O2023" s="7">
        <v>7.7982737547096503</v>
      </c>
      <c r="P2023" s="7">
        <v>17.630411715646201</v>
      </c>
      <c r="Q2023" s="7">
        <v>1.946991507239854</v>
      </c>
      <c r="U2023">
        <v>0.18101602341666667</v>
      </c>
      <c r="AT2023" s="4" t="s">
        <v>3803</v>
      </c>
    </row>
    <row r="2024" spans="1:46">
      <c r="A2024" s="2">
        <v>70</v>
      </c>
      <c r="B2024" t="s">
        <v>7009</v>
      </c>
      <c r="C2024" t="s">
        <v>2017</v>
      </c>
      <c r="D2024" t="s">
        <v>3811</v>
      </c>
      <c r="E2024" s="4">
        <v>43465</v>
      </c>
      <c r="F2024" s="11">
        <v>-11.468159849999999</v>
      </c>
      <c r="G2024" s="11">
        <v>4.2844080699999996</v>
      </c>
      <c r="H2024" s="11">
        <v>-42.980835088699997</v>
      </c>
      <c r="I2024" s="11">
        <v>16.4179085944</v>
      </c>
      <c r="J2024" s="11">
        <v>6.5648311182999999</v>
      </c>
      <c r="K2024" s="10">
        <v>0.58906250450999997</v>
      </c>
      <c r="L2024" s="12">
        <v>2974442310.4000001</v>
      </c>
      <c r="M2024">
        <v>40.844440372356203</v>
      </c>
      <c r="N2024" s="7">
        <v>3.02965582460897</v>
      </c>
      <c r="O2024" s="7">
        <v>1.99465798841969</v>
      </c>
      <c r="P2024" s="7">
        <v>-7.7576799095597799</v>
      </c>
      <c r="Q2024" s="7">
        <v>2.0040080160320639</v>
      </c>
      <c r="U2024">
        <v>0.2818472369078992</v>
      </c>
      <c r="AT2024" s="4" t="s">
        <v>5189</v>
      </c>
    </row>
    <row r="2025" spans="1:46">
      <c r="A2025" s="2">
        <v>3520</v>
      </c>
      <c r="B2025" t="s">
        <v>7010</v>
      </c>
      <c r="C2025" t="s">
        <v>2056</v>
      </c>
      <c r="D2025" t="s">
        <v>3889</v>
      </c>
      <c r="E2025" s="4">
        <v>43465</v>
      </c>
      <c r="F2025" s="11">
        <v>-64.094020279999995</v>
      </c>
      <c r="G2025" s="11">
        <v>4.2746114000000004</v>
      </c>
      <c r="H2025" s="11">
        <v>-3.2977309583999999</v>
      </c>
      <c r="I2025" s="11">
        <v>8.4292716468000002</v>
      </c>
      <c r="J2025" s="11">
        <v>1.8451100329000001</v>
      </c>
      <c r="K2025" s="10">
        <v>0.98372438550399999</v>
      </c>
      <c r="L2025" s="12">
        <v>3800638451.5</v>
      </c>
      <c r="M2025">
        <v>33.858714761281803</v>
      </c>
      <c r="N2025" s="7">
        <v>1.65543226995297</v>
      </c>
      <c r="O2025" s="7">
        <v>1.0332720982242301</v>
      </c>
      <c r="P2025" s="7">
        <v>46.857081396156602</v>
      </c>
      <c r="Q2025" s="7" t="s">
        <v>3698</v>
      </c>
      <c r="U2025">
        <v>0.24512190897597977</v>
      </c>
      <c r="AT2025" s="4" t="s">
        <v>3941</v>
      </c>
    </row>
    <row r="2026" spans="1:46">
      <c r="A2026" s="2">
        <v>2685</v>
      </c>
      <c r="B2026" t="s">
        <v>7011</v>
      </c>
      <c r="C2026" t="s">
        <v>215</v>
      </c>
      <c r="D2026" t="s">
        <v>4060</v>
      </c>
      <c r="E2026" s="4">
        <v>43465</v>
      </c>
      <c r="F2026" s="11">
        <v>21.630995739999999</v>
      </c>
      <c r="G2026" s="11">
        <v>4.2666666700000002</v>
      </c>
      <c r="H2026" s="11">
        <v>9.9836698468999998</v>
      </c>
      <c r="I2026" s="11">
        <v>8.2434148792999995</v>
      </c>
      <c r="J2026" s="11">
        <v>3.5715544737</v>
      </c>
      <c r="K2026" s="10">
        <v>3.0289898053390001</v>
      </c>
      <c r="L2026" s="12">
        <v>40671223885</v>
      </c>
      <c r="M2026">
        <v>20.733589281664901</v>
      </c>
      <c r="N2026" s="7">
        <v>3.80212090519829</v>
      </c>
      <c r="O2026" s="7">
        <v>0.54304845376336497</v>
      </c>
      <c r="P2026" s="7">
        <v>18.526611874769898</v>
      </c>
      <c r="Q2026" s="7">
        <v>2.2964509394572024</v>
      </c>
      <c r="U2026">
        <v>2.3026154204925833</v>
      </c>
      <c r="AT2026" s="4" t="s">
        <v>7012</v>
      </c>
    </row>
    <row r="2027" spans="1:46">
      <c r="A2027" s="2">
        <v>1257</v>
      </c>
      <c r="B2027" t="s">
        <v>7013</v>
      </c>
      <c r="C2027" t="s">
        <v>2205</v>
      </c>
      <c r="D2027" t="s">
        <v>3752</v>
      </c>
      <c r="E2027" s="4">
        <v>43465</v>
      </c>
      <c r="F2027" s="11">
        <v>-49.312377329999997</v>
      </c>
      <c r="G2027" s="11">
        <v>4.2553191500000001</v>
      </c>
      <c r="H2027" s="11">
        <v>23.583607702199998</v>
      </c>
      <c r="I2027" s="11">
        <v>14.7395215797</v>
      </c>
      <c r="J2027" s="11">
        <v>3.8325688844000001</v>
      </c>
      <c r="K2027" s="10">
        <v>1.0283671011760001</v>
      </c>
      <c r="L2027" s="12">
        <v>1991142000</v>
      </c>
      <c r="M2027">
        <v>39.667969697109001</v>
      </c>
      <c r="N2027" s="7">
        <v>1.45083647422053</v>
      </c>
      <c r="O2027" s="7">
        <v>1.3647666920303301</v>
      </c>
      <c r="P2027" s="7">
        <v>111.086699101379</v>
      </c>
      <c r="Q2027" s="7">
        <v>1.4513788098693758</v>
      </c>
      <c r="U2027">
        <v>0.23711576441666668</v>
      </c>
      <c r="AT2027" s="4" t="s">
        <v>4058</v>
      </c>
    </row>
    <row r="2028" spans="1:46">
      <c r="A2028" s="2">
        <v>3002</v>
      </c>
      <c r="B2028" t="s">
        <v>7014</v>
      </c>
      <c r="C2028" t="s">
        <v>1954</v>
      </c>
      <c r="D2028" t="s">
        <v>3764</v>
      </c>
      <c r="E2028" s="4">
        <v>43465</v>
      </c>
      <c r="F2028" s="11">
        <v>-19.17657891</v>
      </c>
      <c r="G2028" s="11">
        <v>4.25</v>
      </c>
      <c r="H2028" s="11">
        <v>5.3815875700999998</v>
      </c>
      <c r="I2028" s="11">
        <v>31.224856797000001</v>
      </c>
      <c r="J2028" s="11">
        <v>11.3933760274</v>
      </c>
      <c r="K2028" s="10">
        <v>0.279470227249</v>
      </c>
      <c r="L2028" s="12">
        <v>4175267195.4000001</v>
      </c>
      <c r="M2028">
        <v>15.4017361315776</v>
      </c>
      <c r="N2028" s="7">
        <v>1.0246075881908501</v>
      </c>
      <c r="O2028" s="7">
        <v>1.81109683411192</v>
      </c>
      <c r="P2028" s="7">
        <v>-52.323180092231198</v>
      </c>
      <c r="Q2028" s="7">
        <v>2.4038461538461542</v>
      </c>
      <c r="U2028">
        <v>0.26553447715769973</v>
      </c>
      <c r="AT2028" s="4" t="s">
        <v>7015</v>
      </c>
    </row>
    <row r="2029" spans="1:46">
      <c r="A2029" s="2">
        <v>1406</v>
      </c>
      <c r="B2029" t="s">
        <v>7016</v>
      </c>
      <c r="C2029" t="s">
        <v>3263</v>
      </c>
      <c r="D2029" t="s">
        <v>3752</v>
      </c>
      <c r="E2029" s="4">
        <v>43465</v>
      </c>
      <c r="F2029" s="11">
        <v>-24.736521419999999</v>
      </c>
      <c r="G2029" s="11">
        <v>4.2357274399999998</v>
      </c>
      <c r="H2029" s="11">
        <v>16.262332022199999</v>
      </c>
      <c r="I2029" s="11">
        <v>24.616239587500001</v>
      </c>
      <c r="J2029" s="11">
        <v>2.009610495</v>
      </c>
      <c r="K2029" s="10">
        <v>1.0958616235530001</v>
      </c>
      <c r="L2029" s="12">
        <v>1826412000</v>
      </c>
      <c r="M2029">
        <v>150.08303405060801</v>
      </c>
      <c r="N2029" s="7">
        <v>3.9563442337422101</v>
      </c>
      <c r="O2029" s="7">
        <v>1.9136259866033001</v>
      </c>
      <c r="P2029" s="7">
        <v>50.7077300715234</v>
      </c>
      <c r="Q2029" s="7">
        <v>1.4634146341463417</v>
      </c>
      <c r="U2029">
        <v>0.11155969773809524</v>
      </c>
      <c r="AT2029" s="4" t="s">
        <v>6235</v>
      </c>
    </row>
    <row r="2030" spans="1:46">
      <c r="A2030" s="2">
        <v>859</v>
      </c>
      <c r="B2030" t="s">
        <v>7017</v>
      </c>
      <c r="C2030" t="s">
        <v>3149</v>
      </c>
      <c r="D2030" t="s">
        <v>4060</v>
      </c>
      <c r="E2030" s="4">
        <v>43465</v>
      </c>
      <c r="F2030" s="11">
        <v>-44.076655049999999</v>
      </c>
      <c r="G2030" s="11">
        <v>4.2207792199999998</v>
      </c>
      <c r="H2030" s="11">
        <v>25.575819363800001</v>
      </c>
      <c r="I2030" s="11">
        <v>28.308334913100001</v>
      </c>
      <c r="J2030" s="11">
        <v>3.6969995993000002</v>
      </c>
      <c r="K2030" s="10">
        <v>0.462408829726</v>
      </c>
      <c r="L2030" s="12">
        <v>12539918734.84</v>
      </c>
      <c r="M2030">
        <v>55.852066994344703</v>
      </c>
      <c r="N2030" s="7">
        <v>2.98737337559123</v>
      </c>
      <c r="O2030" s="7">
        <v>3.35985440575014</v>
      </c>
      <c r="P2030" s="7">
        <v>-158.333118260693</v>
      </c>
      <c r="Q2030" s="7" t="s">
        <v>3698</v>
      </c>
      <c r="U2030">
        <v>1.1911700496199325E-2</v>
      </c>
      <c r="AT2030" s="4" t="s">
        <v>7018</v>
      </c>
    </row>
    <row r="2031" spans="1:46">
      <c r="A2031" s="2">
        <v>2795</v>
      </c>
      <c r="B2031" t="s">
        <v>7019</v>
      </c>
      <c r="C2031" t="s">
        <v>2782</v>
      </c>
      <c r="D2031" t="s">
        <v>3752</v>
      </c>
      <c r="E2031" s="4">
        <v>43465</v>
      </c>
      <c r="F2031" s="11">
        <v>-34.257975029999997</v>
      </c>
      <c r="G2031" s="11">
        <v>4.1666666699999997</v>
      </c>
      <c r="H2031" s="11">
        <v>22.6984935636</v>
      </c>
      <c r="I2031" s="11">
        <v>13.2448783868</v>
      </c>
      <c r="J2031" s="11">
        <v>11.3582516935</v>
      </c>
      <c r="K2031" s="10">
        <v>0.77269953492800003</v>
      </c>
      <c r="L2031" s="12">
        <v>9735932608.3799992</v>
      </c>
      <c r="M2031">
        <v>76.990312738023803</v>
      </c>
      <c r="N2031" s="7">
        <v>3.1805855375274699</v>
      </c>
      <c r="O2031" s="7">
        <v>3.54587466872113</v>
      </c>
      <c r="P2031" s="7">
        <v>-28.377643171032901</v>
      </c>
      <c r="Q2031" s="7" t="s">
        <v>3698</v>
      </c>
      <c r="U2031">
        <v>8.5777923009829282E-2</v>
      </c>
      <c r="AT2031" s="4" t="s">
        <v>3812</v>
      </c>
    </row>
    <row r="2032" spans="1:46">
      <c r="A2032" s="2">
        <v>2997</v>
      </c>
      <c r="B2032" t="s">
        <v>7020</v>
      </c>
      <c r="C2032" t="s">
        <v>2320</v>
      </c>
      <c r="D2032" t="s">
        <v>3761</v>
      </c>
      <c r="E2032" s="4">
        <v>43465</v>
      </c>
      <c r="F2032" s="11">
        <v>-23.962502099999998</v>
      </c>
      <c r="G2032" s="11">
        <v>4.1436464099999997</v>
      </c>
      <c r="H2032" s="11">
        <v>55.546609212699998</v>
      </c>
      <c r="I2032" s="11">
        <v>6.2180459162000004</v>
      </c>
      <c r="J2032" s="11">
        <v>0.45577568950000003</v>
      </c>
      <c r="K2032" s="10">
        <v>2.0515372005780002</v>
      </c>
      <c r="L2032" s="12">
        <v>3722033346.8800001</v>
      </c>
      <c r="M2032">
        <v>76.758644053933395</v>
      </c>
      <c r="N2032" s="7">
        <v>1.23602757035182</v>
      </c>
      <c r="O2032" s="7">
        <v>0.138894234877908</v>
      </c>
      <c r="P2032" s="7">
        <v>2.0321170954401802</v>
      </c>
      <c r="Q2032" s="7">
        <v>0.78378378378378388</v>
      </c>
      <c r="U2032">
        <v>9.6303757356901373E-2</v>
      </c>
      <c r="AT2032" s="4" t="s">
        <v>7021</v>
      </c>
    </row>
    <row r="2033" spans="1:46">
      <c r="A2033" s="2">
        <v>2780</v>
      </c>
      <c r="B2033" t="s">
        <v>7022</v>
      </c>
      <c r="C2033" t="s">
        <v>3217</v>
      </c>
      <c r="D2033" t="s">
        <v>3721</v>
      </c>
      <c r="E2033" s="4">
        <v>43465</v>
      </c>
      <c r="F2033" s="11">
        <v>-43.166441140000003</v>
      </c>
      <c r="G2033" s="11">
        <v>4.1162227600000003</v>
      </c>
      <c r="H2033" s="11">
        <v>326.06373196560003</v>
      </c>
      <c r="I2033" s="11">
        <v>-3.1105002665999999</v>
      </c>
      <c r="J2033" s="11">
        <v>2.4984122014999999</v>
      </c>
      <c r="K2033" s="10">
        <v>5.0409091646E-2</v>
      </c>
      <c r="L2033" s="12">
        <v>1272000000</v>
      </c>
      <c r="M2033">
        <v>-25.212832720496799</v>
      </c>
      <c r="N2033" s="7">
        <v>0.72926621313856599</v>
      </c>
      <c r="O2033" s="7">
        <v>15.395735206922801</v>
      </c>
      <c r="P2033" s="7">
        <v>-1.1512914687409299</v>
      </c>
      <c r="Q2033" s="7" t="s">
        <v>3698</v>
      </c>
      <c r="U2033">
        <v>1.7005382382473053E-2</v>
      </c>
      <c r="AT2033" s="4" t="s">
        <v>7023</v>
      </c>
    </row>
    <row r="2034" spans="1:46">
      <c r="A2034" s="2">
        <v>3469</v>
      </c>
      <c r="B2034" t="s">
        <v>7024</v>
      </c>
      <c r="C2034" t="s">
        <v>1846</v>
      </c>
      <c r="D2034" t="s">
        <v>3849</v>
      </c>
      <c r="E2034" s="4">
        <v>43465</v>
      </c>
      <c r="F2034" s="11">
        <v>-2.2902756000000002</v>
      </c>
      <c r="G2034" s="11">
        <v>4.0918163700000001</v>
      </c>
      <c r="H2034" s="11">
        <v>16.098652873799999</v>
      </c>
      <c r="I2034" s="11">
        <v>32.2165279942</v>
      </c>
      <c r="J2034" s="11">
        <v>9.9844556099999995</v>
      </c>
      <c r="K2034" s="10">
        <v>0.369145942216</v>
      </c>
      <c r="L2034" s="12">
        <v>4614711968</v>
      </c>
      <c r="M2034">
        <v>35.722133334136899</v>
      </c>
      <c r="N2034" s="7">
        <v>2.1434598376977201</v>
      </c>
      <c r="O2034" s="7">
        <v>3.61467383323959</v>
      </c>
      <c r="P2034" s="7">
        <v>-24.3413163775306</v>
      </c>
      <c r="Q2034" s="7">
        <v>0.71794871794871784</v>
      </c>
      <c r="U2034">
        <v>0.27719210763478319</v>
      </c>
      <c r="AT2034" s="4" t="s">
        <v>5978</v>
      </c>
    </row>
    <row r="2035" spans="1:46">
      <c r="A2035" s="2">
        <v>1080</v>
      </c>
      <c r="B2035" t="s">
        <v>7025</v>
      </c>
      <c r="C2035" t="s">
        <v>3417</v>
      </c>
      <c r="D2035" t="s">
        <v>3728</v>
      </c>
      <c r="E2035" s="4">
        <v>43465</v>
      </c>
      <c r="F2035" s="11">
        <v>-73.035566579999994</v>
      </c>
      <c r="G2035" s="11">
        <v>4.0837696299999999</v>
      </c>
      <c r="H2035" s="11">
        <v>-6.985872166</v>
      </c>
      <c r="I2035" s="11">
        <v>35.559824241299999</v>
      </c>
      <c r="J2035" s="11">
        <v>-60.333064299599997</v>
      </c>
      <c r="K2035" s="10">
        <v>0.466420767821</v>
      </c>
      <c r="L2035" s="12">
        <v>2598826919.5999999</v>
      </c>
      <c r="M2035">
        <v>-79.753494295457799</v>
      </c>
      <c r="N2035" s="7">
        <v>4.4787071119746598</v>
      </c>
      <c r="O2035" s="7">
        <v>3.39179905363505</v>
      </c>
      <c r="P2035" s="7">
        <v>-25.550564059129599</v>
      </c>
      <c r="Q2035" s="7" t="s">
        <v>3698</v>
      </c>
      <c r="U2035">
        <v>-1.3772028486536676</v>
      </c>
      <c r="AT2035" s="4" t="s">
        <v>5566</v>
      </c>
    </row>
    <row r="2036" spans="1:46">
      <c r="A2036" s="2">
        <v>1922</v>
      </c>
      <c r="B2036" t="s">
        <v>7026</v>
      </c>
      <c r="C2036" t="s">
        <v>184</v>
      </c>
      <c r="D2036" t="s">
        <v>3737</v>
      </c>
      <c r="E2036" s="4">
        <v>43465</v>
      </c>
      <c r="F2036" s="11">
        <v>26.844706779999999</v>
      </c>
      <c r="G2036" s="11">
        <v>4.0748898699999998</v>
      </c>
      <c r="H2036" s="11">
        <v>21.424934745000002</v>
      </c>
      <c r="I2036" s="11">
        <v>37.253164480300001</v>
      </c>
      <c r="J2036" s="11">
        <v>16.533978058199999</v>
      </c>
      <c r="K2036" s="10">
        <v>0.58377583507899999</v>
      </c>
      <c r="L2036" s="12">
        <v>15395686776.780001</v>
      </c>
      <c r="M2036">
        <v>19.7902464510518</v>
      </c>
      <c r="N2036" s="7">
        <v>3.6616793379726298</v>
      </c>
      <c r="O2036" s="7">
        <v>3.5564940915460799</v>
      </c>
      <c r="P2036" s="7">
        <v>23.9753828667161</v>
      </c>
      <c r="Q2036" s="7">
        <v>0.97273520791231494</v>
      </c>
      <c r="U2036">
        <v>0.86690572334225946</v>
      </c>
      <c r="AT2036" s="4" t="s">
        <v>6265</v>
      </c>
    </row>
    <row r="2037" spans="1:46">
      <c r="A2037" s="2">
        <v>1034</v>
      </c>
      <c r="B2037" t="s">
        <v>7027</v>
      </c>
      <c r="C2037" t="s">
        <v>2513</v>
      </c>
      <c r="D2037" t="s">
        <v>3718</v>
      </c>
      <c r="E2037" s="4">
        <v>43465</v>
      </c>
      <c r="F2037" s="11">
        <v>-15.352044709999999</v>
      </c>
      <c r="G2037" s="11">
        <v>4.0677966100000003</v>
      </c>
      <c r="H2037" s="11">
        <v>12.851631403700001</v>
      </c>
      <c r="I2037" s="11">
        <v>28.578311043799999</v>
      </c>
      <c r="J2037" s="11">
        <v>7.9239804875999997</v>
      </c>
      <c r="K2037" s="10">
        <v>0.40337912764</v>
      </c>
      <c r="L2037" s="12">
        <v>9384804000</v>
      </c>
      <c r="M2037">
        <v>39.640567157701803</v>
      </c>
      <c r="N2037" s="7">
        <v>2.1907014532534199</v>
      </c>
      <c r="O2037" s="7">
        <v>3.0938912547351398</v>
      </c>
      <c r="P2037" s="7">
        <v>154.615322817551</v>
      </c>
      <c r="Q2037" s="7">
        <v>0.94339622641509435</v>
      </c>
      <c r="U2037">
        <v>7.5458533369926944E-2</v>
      </c>
      <c r="AT2037" s="4" t="s">
        <v>5523</v>
      </c>
    </row>
    <row r="2038" spans="1:46">
      <c r="A2038" s="2">
        <v>1064</v>
      </c>
      <c r="B2038" t="s">
        <v>7028</v>
      </c>
      <c r="C2038" t="s">
        <v>747</v>
      </c>
      <c r="D2038" t="s">
        <v>3849</v>
      </c>
      <c r="E2038" s="4">
        <v>43465</v>
      </c>
      <c r="F2038" s="11">
        <v>-38.733956810000002</v>
      </c>
      <c r="G2038" s="11">
        <v>4.06189555</v>
      </c>
      <c r="H2038" s="11">
        <v>0.95431433629999995</v>
      </c>
      <c r="I2038" s="11">
        <v>34.586736183100001</v>
      </c>
      <c r="J2038" s="11">
        <v>22.938045385999999</v>
      </c>
      <c r="K2038" s="10">
        <v>0.49591155746900001</v>
      </c>
      <c r="L2038" s="12">
        <v>3746400000</v>
      </c>
      <c r="M2038">
        <v>31.820139455777699</v>
      </c>
      <c r="N2038" s="7">
        <v>2.49046620258243</v>
      </c>
      <c r="O2038" s="7">
        <v>4.5516716406106204</v>
      </c>
      <c r="P2038" s="7">
        <v>124.16415281116601</v>
      </c>
      <c r="Q2038" s="7">
        <v>3.9370078740157481</v>
      </c>
      <c r="U2038">
        <v>0.25908312775862069</v>
      </c>
      <c r="AT2038" s="4" t="s">
        <v>3719</v>
      </c>
    </row>
    <row r="2039" spans="1:46">
      <c r="A2039" s="2">
        <v>3352</v>
      </c>
      <c r="B2039" t="s">
        <v>7029</v>
      </c>
      <c r="C2039" t="s">
        <v>2860</v>
      </c>
      <c r="D2039" t="s">
        <v>3718</v>
      </c>
      <c r="E2039" s="4">
        <v>43465</v>
      </c>
      <c r="F2039" s="11">
        <v>-12.00325147</v>
      </c>
      <c r="G2039" s="11">
        <v>4.0564373900000001</v>
      </c>
      <c r="H2039" s="11">
        <v>6.9179412088000003</v>
      </c>
      <c r="I2039" s="11">
        <v>18.173290053799999</v>
      </c>
      <c r="J2039" s="11">
        <v>2.5729208373999999</v>
      </c>
      <c r="K2039" s="10">
        <v>0.24212979013399999</v>
      </c>
      <c r="L2039" s="12">
        <v>2787506024.1999998</v>
      </c>
      <c r="M2039">
        <v>-149.67381148707699</v>
      </c>
      <c r="N2039" s="7">
        <v>2.5256961913117699</v>
      </c>
      <c r="O2039" s="7">
        <v>7.2342197323034902</v>
      </c>
      <c r="P2039" s="7">
        <v>18.964514962103799</v>
      </c>
      <c r="Q2039" s="7">
        <v>9.8405378934123849E-2</v>
      </c>
      <c r="U2039">
        <v>4.2637526363213211E-2</v>
      </c>
      <c r="AT2039" s="4" t="s">
        <v>4315</v>
      </c>
    </row>
    <row r="2040" spans="1:46">
      <c r="A2040" s="2">
        <v>964</v>
      </c>
      <c r="B2040" t="s">
        <v>7030</v>
      </c>
      <c r="C2040" t="s">
        <v>2664</v>
      </c>
      <c r="D2040" t="s">
        <v>3790</v>
      </c>
      <c r="E2040" s="4">
        <v>43465</v>
      </c>
      <c r="F2040" s="11">
        <v>-30.423620029999999</v>
      </c>
      <c r="G2040" s="11">
        <v>4.0384615400000001</v>
      </c>
      <c r="H2040" s="11">
        <v>39.932309317600001</v>
      </c>
      <c r="I2040" s="11">
        <v>15.402966814099999</v>
      </c>
      <c r="J2040" s="11">
        <v>1.5785118595000001</v>
      </c>
      <c r="K2040" s="10">
        <v>0.85035458588400004</v>
      </c>
      <c r="L2040" s="12">
        <v>2147671712.0799999</v>
      </c>
      <c r="M2040">
        <v>3016.1374868763</v>
      </c>
      <c r="N2040" s="7">
        <v>6.2632586680943803</v>
      </c>
      <c r="O2040" s="7">
        <v>1.6424453615122201</v>
      </c>
      <c r="P2040" s="7">
        <v>-61.011120419592203</v>
      </c>
      <c r="Q2040" s="7" t="s">
        <v>3698</v>
      </c>
      <c r="U2040">
        <v>4.2834477962541577E-2</v>
      </c>
      <c r="AT2040" s="4" t="s">
        <v>5071</v>
      </c>
    </row>
    <row r="2041" spans="1:46">
      <c r="A2041" s="2">
        <v>2308</v>
      </c>
      <c r="B2041" t="s">
        <v>7031</v>
      </c>
      <c r="C2041" t="s">
        <v>3054</v>
      </c>
      <c r="D2041" t="s">
        <v>3718</v>
      </c>
      <c r="E2041" s="4">
        <v>43465</v>
      </c>
      <c r="F2041" s="11">
        <v>-32.658959539999998</v>
      </c>
      <c r="G2041" s="11">
        <v>4.0358744399999997</v>
      </c>
      <c r="H2041" s="11">
        <v>-10.434873142100001</v>
      </c>
      <c r="I2041" s="11">
        <v>29.9435541195</v>
      </c>
      <c r="J2041" s="11">
        <v>0.62170884660000003</v>
      </c>
      <c r="K2041" s="10">
        <v>0.20746397798899999</v>
      </c>
      <c r="L2041" s="12">
        <v>3107790000</v>
      </c>
      <c r="M2041">
        <v>-499.80888643491602</v>
      </c>
      <c r="N2041" s="7">
        <v>1.37204702265985</v>
      </c>
      <c r="O2041" s="7">
        <v>0.84723741026831101</v>
      </c>
      <c r="P2041" s="7">
        <v>26.483446216733501</v>
      </c>
      <c r="Q2041" s="7" t="s">
        <v>3698</v>
      </c>
      <c r="U2041">
        <v>1.4799855773599772E-2</v>
      </c>
      <c r="AT2041" s="4" t="s">
        <v>7032</v>
      </c>
    </row>
    <row r="2042" spans="1:46">
      <c r="A2042" s="2">
        <v>2492</v>
      </c>
      <c r="B2042" t="s">
        <v>7033</v>
      </c>
      <c r="C2042" t="s">
        <v>583</v>
      </c>
      <c r="D2042" t="s">
        <v>3889</v>
      </c>
      <c r="E2042" s="4">
        <v>43465</v>
      </c>
      <c r="F2042" s="11">
        <v>-14.2519746</v>
      </c>
      <c r="G2042" s="11">
        <v>3.9969254400000001</v>
      </c>
      <c r="H2042" s="11">
        <v>-13.477883883300001</v>
      </c>
      <c r="I2042" s="11">
        <v>37.664239213899997</v>
      </c>
      <c r="J2042" s="11">
        <v>14.125758082899999</v>
      </c>
      <c r="K2042" s="10">
        <v>0.52086253632900004</v>
      </c>
      <c r="L2042" s="12">
        <v>1484074200</v>
      </c>
      <c r="M2042">
        <v>12.327483815467</v>
      </c>
      <c r="N2042" s="7">
        <v>1.6519674250278</v>
      </c>
      <c r="O2042" s="7">
        <v>1.3474779997700801</v>
      </c>
      <c r="P2042" s="7">
        <v>15.7168360404489</v>
      </c>
      <c r="Q2042" s="7">
        <v>4.2583002042506051</v>
      </c>
      <c r="U2042">
        <v>1.1750216141446359</v>
      </c>
      <c r="AT2042" s="4" t="s">
        <v>7034</v>
      </c>
    </row>
    <row r="2043" spans="1:46">
      <c r="A2043" s="2">
        <v>1832</v>
      </c>
      <c r="B2043" t="s">
        <v>7035</v>
      </c>
      <c r="C2043" t="s">
        <v>3607</v>
      </c>
      <c r="D2043" t="s">
        <v>3761</v>
      </c>
      <c r="E2043" s="4">
        <v>43465</v>
      </c>
      <c r="F2043" s="11">
        <v>-25.538007440000001</v>
      </c>
      <c r="G2043" s="11">
        <v>3.9946737699999999</v>
      </c>
      <c r="H2043" s="11">
        <v>11.232296337299999</v>
      </c>
      <c r="I2043" s="11">
        <v>20.395877048799999</v>
      </c>
      <c r="J2043" s="11">
        <v>0.9194052667</v>
      </c>
      <c r="K2043" s="10">
        <v>0.73552580739600004</v>
      </c>
      <c r="L2043" s="12">
        <v>24905636744.040001</v>
      </c>
      <c r="M2043">
        <v>431.76675710465702</v>
      </c>
      <c r="N2043" s="7">
        <v>2.07245158330461</v>
      </c>
      <c r="O2043" s="7">
        <v>1.3873099600161101</v>
      </c>
      <c r="P2043" s="7">
        <v>14.802863881049401</v>
      </c>
      <c r="Q2043" s="7">
        <v>0.13380387878285302</v>
      </c>
      <c r="U2043">
        <v>5.3635552463998842E-2</v>
      </c>
      <c r="AT2043" s="4" t="s">
        <v>3828</v>
      </c>
    </row>
    <row r="2044" spans="1:46">
      <c r="A2044" s="2">
        <v>2970</v>
      </c>
      <c r="B2044" t="s">
        <v>7036</v>
      </c>
      <c r="C2044" t="s">
        <v>714</v>
      </c>
      <c r="D2044" t="s">
        <v>3972</v>
      </c>
      <c r="E2044" s="4">
        <v>43465</v>
      </c>
      <c r="F2044" s="11">
        <v>9.9570191900000005</v>
      </c>
      <c r="G2044" s="11">
        <v>3.9924847300000001</v>
      </c>
      <c r="H2044" s="11">
        <v>7.0534455628000003</v>
      </c>
      <c r="I2044" s="11">
        <v>42.7787081715</v>
      </c>
      <c r="J2044" s="11">
        <v>29.642503832700001</v>
      </c>
      <c r="K2044" s="10">
        <v>0.392553155476</v>
      </c>
      <c r="L2044" s="12">
        <v>1773600000</v>
      </c>
      <c r="M2044">
        <v>14.2443501819569</v>
      </c>
      <c r="N2044" s="7">
        <v>1.7608703997273301</v>
      </c>
      <c r="O2044" s="7">
        <v>3.5919167295825201</v>
      </c>
      <c r="P2044" s="7">
        <v>17.8819136968816</v>
      </c>
      <c r="Q2044" s="7">
        <v>6.2166100048567259</v>
      </c>
      <c r="U2044">
        <v>1.6979115165709682</v>
      </c>
      <c r="AT2044" s="4" t="s">
        <v>6146</v>
      </c>
    </row>
    <row r="2045" spans="1:46">
      <c r="A2045" s="2">
        <v>3180</v>
      </c>
      <c r="B2045" t="s">
        <v>7037</v>
      </c>
      <c r="C2045" t="s">
        <v>2579</v>
      </c>
      <c r="D2045" t="s">
        <v>3889</v>
      </c>
      <c r="E2045" s="4">
        <v>43465</v>
      </c>
      <c r="F2045" s="11">
        <v>-27.100022939999999</v>
      </c>
      <c r="G2045" s="11">
        <v>3.9024390200000001</v>
      </c>
      <c r="H2045" s="11">
        <v>-1.7168152759999999</v>
      </c>
      <c r="I2045" s="11">
        <v>46.195103514000003</v>
      </c>
      <c r="J2045" s="11">
        <v>15.304535227200001</v>
      </c>
      <c r="K2045" s="10">
        <v>0.16115643555100001</v>
      </c>
      <c r="L2045" s="12">
        <v>3971668091.7399998</v>
      </c>
      <c r="M2045">
        <v>22.763346957824901</v>
      </c>
      <c r="N2045" s="7">
        <v>0.95402719411738501</v>
      </c>
      <c r="O2045" s="7">
        <v>3.1765866048306601</v>
      </c>
      <c r="P2045" s="7">
        <v>-17.1575293728473</v>
      </c>
      <c r="Q2045" s="7">
        <v>0.34653352165229334</v>
      </c>
      <c r="U2045">
        <v>9.7871024993652661E-2</v>
      </c>
      <c r="AT2045" s="4" t="s">
        <v>7038</v>
      </c>
    </row>
    <row r="2046" spans="1:46">
      <c r="A2046" s="2">
        <v>1275</v>
      </c>
      <c r="B2046" t="s">
        <v>7039</v>
      </c>
      <c r="C2046" t="s">
        <v>401</v>
      </c>
      <c r="D2046" t="s">
        <v>3752</v>
      </c>
      <c r="E2046" s="4">
        <v>43465</v>
      </c>
      <c r="F2046" s="11">
        <v>-17.394321860000002</v>
      </c>
      <c r="G2046" s="11">
        <v>3.9013452900000001</v>
      </c>
      <c r="H2046" s="11">
        <v>81.943734195900007</v>
      </c>
      <c r="I2046" s="11">
        <v>17.5797898577</v>
      </c>
      <c r="J2046" s="11">
        <v>8.4345494641999998</v>
      </c>
      <c r="K2046" s="10">
        <v>1.275228915849</v>
      </c>
      <c r="L2046" s="12">
        <v>1932000000</v>
      </c>
      <c r="M2046">
        <v>22.7024649855869</v>
      </c>
      <c r="N2046" s="7">
        <v>2.9894672985533202</v>
      </c>
      <c r="O2046" s="7">
        <v>2.0073302941729398</v>
      </c>
      <c r="P2046" s="7">
        <v>15.8319781273911</v>
      </c>
      <c r="Q2046" s="7">
        <v>0.52242054854157594</v>
      </c>
      <c r="U2046">
        <v>1.137183446046083</v>
      </c>
      <c r="AT2046" s="4" t="s">
        <v>4065</v>
      </c>
    </row>
    <row r="2047" spans="1:46">
      <c r="A2047" s="2">
        <v>2897</v>
      </c>
      <c r="B2047" t="s">
        <v>7040</v>
      </c>
      <c r="C2047" t="s">
        <v>1150</v>
      </c>
      <c r="D2047" t="s">
        <v>3728</v>
      </c>
      <c r="E2047" s="4">
        <v>43465</v>
      </c>
      <c r="F2047" s="11">
        <v>-27.326798920000002</v>
      </c>
      <c r="G2047" s="11">
        <v>3.8922155699999998</v>
      </c>
      <c r="H2047" s="11">
        <v>-19.982647252300001</v>
      </c>
      <c r="I2047" s="11">
        <v>41.106940275900001</v>
      </c>
      <c r="J2047" s="11">
        <v>7.3882112201999997</v>
      </c>
      <c r="K2047" s="10">
        <v>0.52229421813499999</v>
      </c>
      <c r="L2047" s="12">
        <v>3040512000</v>
      </c>
      <c r="M2047">
        <v>33.124593284343902</v>
      </c>
      <c r="N2047" s="7">
        <v>1.5964148482199101</v>
      </c>
      <c r="O2047" s="7">
        <v>2.2938272455845099</v>
      </c>
      <c r="P2047" s="7">
        <v>185.18505230140099</v>
      </c>
      <c r="Q2047" s="7">
        <v>0.97560975609756095</v>
      </c>
      <c r="U2047">
        <v>0.10389122375037894</v>
      </c>
      <c r="AT2047" s="4" t="s">
        <v>5784</v>
      </c>
    </row>
    <row r="2048" spans="1:46">
      <c r="A2048" s="2">
        <v>1642</v>
      </c>
      <c r="B2048" t="s">
        <v>7041</v>
      </c>
      <c r="C2048" t="s">
        <v>2047</v>
      </c>
      <c r="D2048" t="s">
        <v>3977</v>
      </c>
      <c r="E2048" s="4">
        <v>43465</v>
      </c>
      <c r="F2048" s="11">
        <v>-17.563628680000001</v>
      </c>
      <c r="G2048" s="11">
        <v>3.86266094</v>
      </c>
      <c r="H2048" s="11">
        <v>29.4287691412</v>
      </c>
      <c r="I2048" s="11">
        <v>21.974151804600002</v>
      </c>
      <c r="J2048" s="11">
        <v>7.1884279724000004</v>
      </c>
      <c r="K2048" s="10">
        <v>0.67109767448900004</v>
      </c>
      <c r="L2048" s="12">
        <v>3224715264.2399998</v>
      </c>
      <c r="M2048">
        <v>21.485053168885099</v>
      </c>
      <c r="N2048" s="7">
        <v>1.5796518396199299</v>
      </c>
      <c r="O2048" s="7">
        <v>1.2676707900506301</v>
      </c>
      <c r="P2048" s="7">
        <v>-30.5325336327328</v>
      </c>
      <c r="Q2048" s="7">
        <v>0.85470085470085477</v>
      </c>
      <c r="U2048">
        <v>0.11399583776977065</v>
      </c>
      <c r="AT2048" s="4" t="s">
        <v>4668</v>
      </c>
    </row>
    <row r="2049" spans="1:46">
      <c r="A2049" s="2">
        <v>2736</v>
      </c>
      <c r="B2049" t="s">
        <v>7042</v>
      </c>
      <c r="C2049" t="s">
        <v>685</v>
      </c>
      <c r="D2049" t="s">
        <v>3871</v>
      </c>
      <c r="E2049" s="4">
        <v>43465</v>
      </c>
      <c r="F2049" s="11">
        <v>-9.5887956400000007</v>
      </c>
      <c r="G2049" s="11">
        <v>3.8491146999999999</v>
      </c>
      <c r="H2049" s="11">
        <v>35.542306948799997</v>
      </c>
      <c r="I2049" s="11">
        <v>53.974644010799999</v>
      </c>
      <c r="J2049" s="11">
        <v>32.480084360699998</v>
      </c>
      <c r="K2049" s="10">
        <v>0.15868604388900001</v>
      </c>
      <c r="L2049" s="12">
        <v>4644027564.6000004</v>
      </c>
      <c r="M2049">
        <v>11.827061219426399</v>
      </c>
      <c r="N2049" s="7">
        <v>2.8685075841930701</v>
      </c>
      <c r="O2049" s="7">
        <v>4.1273369541651199</v>
      </c>
      <c r="P2049" s="7">
        <v>18.123241365314499</v>
      </c>
      <c r="Q2049" s="7">
        <v>3.1383647798742134</v>
      </c>
      <c r="U2049">
        <v>0.99655439354896824</v>
      </c>
      <c r="AT2049" s="4" t="s">
        <v>7043</v>
      </c>
    </row>
    <row r="2050" spans="1:46">
      <c r="A2050" s="2">
        <v>1726</v>
      </c>
      <c r="B2050" t="s">
        <v>7044</v>
      </c>
      <c r="C2050" t="s">
        <v>2987</v>
      </c>
      <c r="D2050" t="s">
        <v>3721</v>
      </c>
      <c r="E2050" s="4">
        <v>43465</v>
      </c>
      <c r="F2050" s="11">
        <v>-38.662316480000001</v>
      </c>
      <c r="G2050" s="11">
        <v>3.8461538499999999</v>
      </c>
      <c r="H2050" s="11">
        <v>-10.055931416</v>
      </c>
      <c r="I2050" s="11">
        <v>25.547822845999999</v>
      </c>
      <c r="J2050" s="11">
        <v>-6.8745526903999998</v>
      </c>
      <c r="K2050" s="10">
        <v>0.431356509976</v>
      </c>
      <c r="L2050" s="12">
        <v>15071236874.4</v>
      </c>
      <c r="M2050">
        <v>1470.2387892331201</v>
      </c>
      <c r="N2050" s="7">
        <v>2.3268035376942202</v>
      </c>
      <c r="O2050" s="7">
        <v>1.7980530910334001</v>
      </c>
      <c r="P2050" s="7">
        <v>-16.837151466189798</v>
      </c>
      <c r="Q2050" s="7" t="s">
        <v>3698</v>
      </c>
      <c r="U2050">
        <v>-0.19854004508586842</v>
      </c>
      <c r="AT2050" s="4" t="s">
        <v>4369</v>
      </c>
    </row>
    <row r="2051" spans="1:46">
      <c r="A2051" s="2">
        <v>2264</v>
      </c>
      <c r="B2051" t="s">
        <v>7045</v>
      </c>
      <c r="C2051" t="s">
        <v>2793</v>
      </c>
      <c r="D2051" t="s">
        <v>3842</v>
      </c>
      <c r="E2051" s="4">
        <v>43465</v>
      </c>
      <c r="F2051" s="11">
        <v>-37.258347980000003</v>
      </c>
      <c r="G2051" s="11">
        <v>3.83480826</v>
      </c>
      <c r="H2051" s="11">
        <v>-8.7057461807000003</v>
      </c>
      <c r="I2051" s="11">
        <v>0.2118711244</v>
      </c>
      <c r="J2051" s="11">
        <v>-30.031826036599998</v>
      </c>
      <c r="K2051" s="10">
        <v>0.28391196027499999</v>
      </c>
      <c r="L2051" s="12">
        <v>2088830705</v>
      </c>
      <c r="M2051">
        <v>-3.2163320318530899</v>
      </c>
      <c r="N2051" s="7">
        <v>3.2546719103652899</v>
      </c>
      <c r="O2051" s="7">
        <v>0.42615401962145899</v>
      </c>
      <c r="P2051" s="7">
        <v>-20.216604070703799</v>
      </c>
      <c r="Q2051" s="7" t="s">
        <v>3698</v>
      </c>
      <c r="U2051">
        <v>-1.9578164182037461</v>
      </c>
      <c r="AT2051" s="4" t="s">
        <v>7046</v>
      </c>
    </row>
    <row r="2052" spans="1:46">
      <c r="A2052" s="2">
        <v>2608</v>
      </c>
      <c r="B2052" t="s">
        <v>7047</v>
      </c>
      <c r="C2052" t="s">
        <v>1214</v>
      </c>
      <c r="D2052" t="s">
        <v>3858</v>
      </c>
      <c r="E2052" s="4">
        <v>43465</v>
      </c>
      <c r="F2052" s="11">
        <v>-2.5260819699999999</v>
      </c>
      <c r="G2052" s="11">
        <v>3.80952381</v>
      </c>
      <c r="H2052" s="11">
        <v>12.6673171434</v>
      </c>
      <c r="I2052" s="11">
        <v>20.371252570500001</v>
      </c>
      <c r="J2052" s="11">
        <v>8.4414260779999992</v>
      </c>
      <c r="K2052" s="10">
        <v>0.546300752675</v>
      </c>
      <c r="L2052" s="12">
        <v>1369297800</v>
      </c>
      <c r="M2052">
        <v>15.6951997048343</v>
      </c>
      <c r="N2052" s="7">
        <v>1.48335368422625</v>
      </c>
      <c r="O2052" s="7">
        <v>1.42828313820819</v>
      </c>
      <c r="P2052" s="7">
        <v>-9.4607909198041291</v>
      </c>
      <c r="Q2052" s="7">
        <v>1.1420059582919562</v>
      </c>
      <c r="U2052">
        <v>0.6665524791315357</v>
      </c>
      <c r="AT2052" s="4" t="s">
        <v>7048</v>
      </c>
    </row>
    <row r="2053" spans="1:46">
      <c r="A2053" s="2">
        <v>1362</v>
      </c>
      <c r="B2053" t="s">
        <v>7049</v>
      </c>
      <c r="C2053" t="s">
        <v>2370</v>
      </c>
      <c r="D2053" t="s">
        <v>4060</v>
      </c>
      <c r="E2053" s="4">
        <v>43465</v>
      </c>
      <c r="F2053" s="11">
        <v>-21.225229469999999</v>
      </c>
      <c r="G2053" s="11">
        <v>3.8010323800000001</v>
      </c>
      <c r="H2053" s="11">
        <v>-8.8608306874</v>
      </c>
      <c r="I2053" s="11">
        <v>23.090463868800001</v>
      </c>
      <c r="J2053" s="11">
        <v>8.0331133948000009</v>
      </c>
      <c r="K2053" s="10">
        <v>0.66526848710200004</v>
      </c>
      <c r="L2053" s="12">
        <v>5120250882.6300001</v>
      </c>
      <c r="M2053">
        <v>60.232210313605798</v>
      </c>
      <c r="N2053" s="7">
        <v>2.9952317339188399</v>
      </c>
      <c r="O2053" s="7">
        <v>4.2039182904353201</v>
      </c>
      <c r="P2053" s="7">
        <v>87.470961480203201</v>
      </c>
      <c r="Q2053" s="7">
        <v>0.43177892918825561</v>
      </c>
      <c r="U2053">
        <v>0.39960455787499999</v>
      </c>
      <c r="AT2053" s="4" t="s">
        <v>7050</v>
      </c>
    </row>
    <row r="2054" spans="1:46">
      <c r="A2054" s="2">
        <v>296</v>
      </c>
      <c r="B2054" t="s">
        <v>7051</v>
      </c>
      <c r="C2054" t="s">
        <v>1929</v>
      </c>
      <c r="D2054" t="s">
        <v>3811</v>
      </c>
      <c r="E2054" s="4">
        <v>43465</v>
      </c>
      <c r="F2054" s="11">
        <v>-3.2813647100000001</v>
      </c>
      <c r="G2054" s="11">
        <v>3.7865748699999999</v>
      </c>
      <c r="H2054" s="11">
        <v>3.7731766557999999</v>
      </c>
      <c r="I2054" s="11">
        <v>19.0963211103</v>
      </c>
      <c r="J2054" s="11">
        <v>3.5386375023999999</v>
      </c>
      <c r="K2054" s="10">
        <v>1.182535133492</v>
      </c>
      <c r="L2054" s="12">
        <v>4349087256</v>
      </c>
      <c r="M2054">
        <v>16.1828960037749</v>
      </c>
      <c r="N2054" s="7">
        <v>1.20358895386075</v>
      </c>
      <c r="O2054" s="7">
        <v>0.63649058284687898</v>
      </c>
      <c r="P2054" s="7">
        <v>-25.414460923159002</v>
      </c>
      <c r="Q2054" s="7">
        <v>0.95028805606699529</v>
      </c>
      <c r="U2054">
        <v>0.32360276954617462</v>
      </c>
      <c r="AT2054" s="4" t="s">
        <v>5917</v>
      </c>
    </row>
    <row r="2055" spans="1:46">
      <c r="A2055" s="2">
        <v>1124</v>
      </c>
      <c r="B2055" t="s">
        <v>7052</v>
      </c>
      <c r="C2055" t="s">
        <v>253</v>
      </c>
      <c r="D2055" t="s">
        <v>3998</v>
      </c>
      <c r="E2055" s="4">
        <v>43465</v>
      </c>
      <c r="F2055" s="11">
        <v>-22.969187680000001</v>
      </c>
      <c r="G2055" s="11">
        <v>3.7593985000000001</v>
      </c>
      <c r="H2055" s="11">
        <v>-10.4603193642</v>
      </c>
      <c r="I2055" s="11">
        <v>20.541969295299999</v>
      </c>
      <c r="J2055" s="11">
        <v>3.1883170877999998</v>
      </c>
      <c r="K2055" s="10">
        <v>0.49741383069599998</v>
      </c>
      <c r="L2055" s="12">
        <v>1879200000</v>
      </c>
      <c r="M2055">
        <v>-51.498206437674099</v>
      </c>
      <c r="N2055" s="7">
        <v>1.6815895931132401</v>
      </c>
      <c r="O2055" s="7">
        <v>1.7883556302885799</v>
      </c>
      <c r="P2055" s="7">
        <v>-15.600949092272399</v>
      </c>
      <c r="Q2055" s="7" t="s">
        <v>3698</v>
      </c>
      <c r="U2055">
        <v>3.9744098573364493E-2</v>
      </c>
      <c r="AT2055" s="4" t="s">
        <v>6277</v>
      </c>
    </row>
    <row r="2056" spans="1:46">
      <c r="A2056" s="2">
        <v>1979</v>
      </c>
      <c r="B2056" t="s">
        <v>7053</v>
      </c>
      <c r="C2056" t="s">
        <v>3611</v>
      </c>
      <c r="D2056" t="s">
        <v>3713</v>
      </c>
      <c r="E2056" s="4">
        <v>43465</v>
      </c>
      <c r="F2056" s="11">
        <v>-21.865753649999998</v>
      </c>
      <c r="G2056" s="11">
        <v>3.7570444599999999</v>
      </c>
      <c r="H2056" s="11">
        <v>40.891882619299999</v>
      </c>
      <c r="I2056" s="11">
        <v>36.286562238400002</v>
      </c>
      <c r="J2056" s="11">
        <v>6.6720158881999998</v>
      </c>
      <c r="K2056" s="10">
        <v>1.0469242855430001</v>
      </c>
      <c r="L2056" s="12">
        <v>3730369107.5999999</v>
      </c>
      <c r="M2056">
        <v>120.310104518953</v>
      </c>
      <c r="N2056" s="7">
        <v>3.9088413476535</v>
      </c>
      <c r="O2056" s="7">
        <v>2.9657018173249399</v>
      </c>
      <c r="P2056" s="7">
        <v>139.20294729562099</v>
      </c>
      <c r="Q2056" s="7">
        <v>0.6207535030173903</v>
      </c>
      <c r="U2056">
        <v>0.47152690593111135</v>
      </c>
      <c r="AT2056" s="4" t="s">
        <v>7054</v>
      </c>
    </row>
    <row r="2057" spans="1:46">
      <c r="A2057" s="2">
        <v>2549</v>
      </c>
      <c r="B2057" t="s">
        <v>7055</v>
      </c>
      <c r="C2057" t="s">
        <v>2526</v>
      </c>
      <c r="D2057" t="s">
        <v>3849</v>
      </c>
      <c r="E2057" s="4">
        <v>43465</v>
      </c>
      <c r="F2057" s="11">
        <v>-29.20661183</v>
      </c>
      <c r="G2057" s="11">
        <v>3.6873156300000001</v>
      </c>
      <c r="H2057" s="11">
        <v>5.2320562191000004</v>
      </c>
      <c r="I2057" s="11">
        <v>14.826762936</v>
      </c>
      <c r="J2057" s="11">
        <v>-3.6227849601000002</v>
      </c>
      <c r="K2057" s="10">
        <v>0.83880003163500005</v>
      </c>
      <c r="L2057" s="12">
        <v>3096446000</v>
      </c>
      <c r="M2057">
        <v>183.41255225914099</v>
      </c>
      <c r="N2057" s="7">
        <v>1.20754352986904</v>
      </c>
      <c r="O2057" s="7">
        <v>0.46846046241906603</v>
      </c>
      <c r="P2057" s="7">
        <v>-47.062932630810302</v>
      </c>
      <c r="Q2057" s="7">
        <v>0.5988023952095809</v>
      </c>
      <c r="U2057">
        <v>-0.53184324863767252</v>
      </c>
      <c r="AT2057" s="4" t="s">
        <v>7056</v>
      </c>
    </row>
    <row r="2058" spans="1:46">
      <c r="A2058" s="2">
        <v>2276</v>
      </c>
      <c r="B2058" t="s">
        <v>7057</v>
      </c>
      <c r="C2058" t="s">
        <v>2418</v>
      </c>
      <c r="D2058" t="s">
        <v>3713</v>
      </c>
      <c r="E2058" s="4">
        <v>43465</v>
      </c>
      <c r="F2058" s="11">
        <v>-50</v>
      </c>
      <c r="G2058" s="11">
        <v>3.6827195499999998</v>
      </c>
      <c r="H2058" s="11">
        <v>-62.503242794899997</v>
      </c>
      <c r="I2058" s="11">
        <v>7.3974234228000002</v>
      </c>
      <c r="J2058" s="11">
        <v>5.4501017983000004</v>
      </c>
      <c r="K2058" s="10">
        <v>0.576263599904</v>
      </c>
      <c r="L2058" s="12">
        <v>5974015150</v>
      </c>
      <c r="M2058">
        <v>-32.856036810311501</v>
      </c>
      <c r="N2058" s="7">
        <v>3.0960017809251399</v>
      </c>
      <c r="O2058" s="7">
        <v>3.36128735344092</v>
      </c>
      <c r="P2058" s="7">
        <v>-15.2113808984782</v>
      </c>
      <c r="Q2058" s="7" t="s">
        <v>3698</v>
      </c>
      <c r="U2058">
        <v>4.3102767864583329E-2</v>
      </c>
      <c r="AT2058" s="4" t="s">
        <v>5699</v>
      </c>
    </row>
    <row r="2059" spans="1:46">
      <c r="A2059" s="2">
        <v>17</v>
      </c>
      <c r="B2059" t="s">
        <v>7058</v>
      </c>
      <c r="C2059" t="s">
        <v>1833</v>
      </c>
      <c r="D2059" t="s">
        <v>3849</v>
      </c>
      <c r="E2059" s="4">
        <v>43465</v>
      </c>
      <c r="F2059" s="11">
        <v>-27.096774190000001</v>
      </c>
      <c r="G2059" s="11">
        <v>3.6697247700000002</v>
      </c>
      <c r="H2059" s="11">
        <v>-12.788981679799999</v>
      </c>
      <c r="I2059" s="11">
        <v>9.8705873650000004</v>
      </c>
      <c r="J2059" s="11">
        <v>-1.5683042348</v>
      </c>
      <c r="K2059" s="10">
        <v>1.6335771680240001</v>
      </c>
      <c r="L2059" s="12">
        <v>18442417215.59</v>
      </c>
      <c r="M2059">
        <v>646.67951952891303</v>
      </c>
      <c r="N2059" s="7">
        <v>168.02924047051101</v>
      </c>
      <c r="O2059" s="7">
        <v>16.784036191624502</v>
      </c>
      <c r="P2059" s="7">
        <v>1089.6547806250701</v>
      </c>
      <c r="Q2059" s="7" t="s">
        <v>3698</v>
      </c>
      <c r="U2059">
        <v>-2.8874124201645028E-3</v>
      </c>
      <c r="AT2059" s="4" t="s">
        <v>7059</v>
      </c>
    </row>
    <row r="2060" spans="1:46">
      <c r="A2060" s="2">
        <v>1500</v>
      </c>
      <c r="B2060" t="s">
        <v>7060</v>
      </c>
      <c r="C2060" t="s">
        <v>2403</v>
      </c>
      <c r="D2060" t="s">
        <v>3713</v>
      </c>
      <c r="E2060" s="4">
        <v>43465</v>
      </c>
      <c r="F2060" s="11">
        <v>-29.269475830000001</v>
      </c>
      <c r="G2060" s="11">
        <v>3.6697247700000002</v>
      </c>
      <c r="H2060" s="11">
        <v>7.1355103734999998</v>
      </c>
      <c r="I2060" s="11">
        <v>28.752343243999999</v>
      </c>
      <c r="J2060" s="11">
        <v>8.796496866</v>
      </c>
      <c r="K2060" s="10">
        <v>0.41904678641799997</v>
      </c>
      <c r="L2060" s="12">
        <v>2397664814.04</v>
      </c>
      <c r="M2060">
        <v>27.474995659824799</v>
      </c>
      <c r="N2060" s="7">
        <v>2.6730805573860099</v>
      </c>
      <c r="O2060" s="7">
        <v>3.60253045309436</v>
      </c>
      <c r="P2060" s="7">
        <v>-48.360944575050901</v>
      </c>
      <c r="Q2060" s="7">
        <v>0.27598896044158233</v>
      </c>
      <c r="U2060">
        <v>0.27616138253275391</v>
      </c>
      <c r="AT2060" s="4" t="s">
        <v>6155</v>
      </c>
    </row>
    <row r="2061" spans="1:46">
      <c r="A2061" s="2">
        <v>2302</v>
      </c>
      <c r="B2061" t="s">
        <v>7061</v>
      </c>
      <c r="C2061" t="s">
        <v>2926</v>
      </c>
      <c r="D2061" t="s">
        <v>3871</v>
      </c>
      <c r="E2061" s="4">
        <v>43465</v>
      </c>
      <c r="F2061" s="11">
        <v>-25.95899966</v>
      </c>
      <c r="G2061" s="11">
        <v>3.6697247700000002</v>
      </c>
      <c r="H2061" s="11">
        <v>-12.210735936000001</v>
      </c>
      <c r="I2061" s="11">
        <v>51.731808954599998</v>
      </c>
      <c r="J2061" s="11">
        <v>9.8302211150000005</v>
      </c>
      <c r="K2061" s="10">
        <v>0.205925324509</v>
      </c>
      <c r="L2061" s="12">
        <v>6653075400</v>
      </c>
      <c r="M2061">
        <v>11.159049795002</v>
      </c>
      <c r="N2061" s="7">
        <v>1.4711929542647499</v>
      </c>
      <c r="O2061" s="7">
        <v>1.7213817252033401</v>
      </c>
      <c r="P2061" s="7">
        <v>-3.2270756817303998</v>
      </c>
      <c r="Q2061" s="7">
        <v>3.4126508073453135</v>
      </c>
      <c r="U2061">
        <v>0.14969151154354937</v>
      </c>
      <c r="AT2061" s="4" t="s">
        <v>5709</v>
      </c>
    </row>
    <row r="2062" spans="1:46">
      <c r="A2062" s="2">
        <v>2071</v>
      </c>
      <c r="B2062" t="s">
        <v>7062</v>
      </c>
      <c r="C2062" t="s">
        <v>1350</v>
      </c>
      <c r="D2062" t="s">
        <v>3849</v>
      </c>
      <c r="E2062" s="4">
        <v>43465</v>
      </c>
      <c r="F2062" s="11">
        <v>-26.95880575</v>
      </c>
      <c r="G2062" s="11">
        <v>3.6515388600000001</v>
      </c>
      <c r="H2062" s="11">
        <v>-7.4706790280000002</v>
      </c>
      <c r="I2062" s="11">
        <v>29.764831382499999</v>
      </c>
      <c r="J2062" s="11">
        <v>18.082355974799999</v>
      </c>
      <c r="K2062" s="10">
        <v>0.39583684120399998</v>
      </c>
      <c r="L2062" s="12">
        <v>6626558358.0600004</v>
      </c>
      <c r="M2062">
        <v>22.677432364271301</v>
      </c>
      <c r="N2062" s="7">
        <v>2.3099990228595702</v>
      </c>
      <c r="O2062" s="7">
        <v>3.49815424186774</v>
      </c>
      <c r="P2062" s="7">
        <v>29.7914371639616</v>
      </c>
      <c r="Q2062" s="7">
        <v>1.0570824524312896</v>
      </c>
      <c r="U2062">
        <v>0.94200959943181817</v>
      </c>
      <c r="AT2062" s="4" t="s">
        <v>4696</v>
      </c>
    </row>
    <row r="2063" spans="1:46">
      <c r="A2063" s="2">
        <v>2004</v>
      </c>
      <c r="B2063" t="s">
        <v>7063</v>
      </c>
      <c r="C2063" t="s">
        <v>1575</v>
      </c>
      <c r="D2063" t="s">
        <v>3737</v>
      </c>
      <c r="E2063" s="4">
        <v>43465</v>
      </c>
      <c r="F2063" s="11">
        <v>-15.721409769999999</v>
      </c>
      <c r="G2063" s="11">
        <v>3.6500754099999999</v>
      </c>
      <c r="H2063" s="11">
        <v>33.951379954300002</v>
      </c>
      <c r="I2063" s="11">
        <v>25.422942190299999</v>
      </c>
      <c r="J2063" s="11">
        <v>12.064260707500001</v>
      </c>
      <c r="K2063" s="10">
        <v>0.45562462588399999</v>
      </c>
      <c r="L2063" s="12">
        <v>6317412500</v>
      </c>
      <c r="M2063">
        <v>29.0664990044258</v>
      </c>
      <c r="N2063" s="7">
        <v>1.97970796822873</v>
      </c>
      <c r="O2063" s="7">
        <v>3.1695517481757198</v>
      </c>
      <c r="P2063" s="7">
        <v>-61.149971430748998</v>
      </c>
      <c r="Q2063" s="7">
        <v>0.43970618843251574</v>
      </c>
      <c r="U2063">
        <v>1.1746468347460941</v>
      </c>
      <c r="AT2063" s="4" t="s">
        <v>7064</v>
      </c>
    </row>
    <row r="2064" spans="1:46">
      <c r="A2064" s="2">
        <v>3091</v>
      </c>
      <c r="B2064" t="s">
        <v>7065</v>
      </c>
      <c r="C2064" t="s">
        <v>2813</v>
      </c>
      <c r="D2064" t="s">
        <v>3849</v>
      </c>
      <c r="E2064" s="4">
        <v>43465</v>
      </c>
      <c r="F2064" s="11">
        <v>-42.422535230000001</v>
      </c>
      <c r="G2064" s="11">
        <v>3.5714285700000001</v>
      </c>
      <c r="H2064" s="11">
        <v>-40.365340725400003</v>
      </c>
      <c r="I2064" s="11">
        <v>0.64459507380000003</v>
      </c>
      <c r="J2064" s="11">
        <v>-14.6844671744</v>
      </c>
      <c r="K2064" s="10">
        <v>0.872052102499</v>
      </c>
      <c r="L2064" s="12">
        <v>3625853131.1199999</v>
      </c>
      <c r="M2064">
        <v>-5.6131543467459499</v>
      </c>
      <c r="N2064" s="7">
        <v>1.54768891519607</v>
      </c>
      <c r="O2064" s="7">
        <v>0.165013087787753</v>
      </c>
      <c r="P2064" s="7">
        <v>-0.98588575115257204</v>
      </c>
      <c r="Q2064" s="7" t="s">
        <v>3698</v>
      </c>
      <c r="U2064">
        <v>-0.92220533205548449</v>
      </c>
      <c r="AT2064" s="4" t="s">
        <v>5330</v>
      </c>
    </row>
    <row r="2065" spans="1:46">
      <c r="A2065" s="2">
        <v>709</v>
      </c>
      <c r="B2065" t="s">
        <v>7066</v>
      </c>
      <c r="C2065" t="s">
        <v>2256</v>
      </c>
      <c r="D2065" t="s">
        <v>3737</v>
      </c>
      <c r="E2065" s="4">
        <v>43465</v>
      </c>
      <c r="F2065" s="11">
        <v>-55.98047193</v>
      </c>
      <c r="G2065" s="11">
        <v>3.53634578</v>
      </c>
      <c r="H2065" s="11">
        <v>14.720300437700001</v>
      </c>
      <c r="I2065" s="11">
        <v>73.182723164500004</v>
      </c>
      <c r="J2065" s="11">
        <v>6.6815086228</v>
      </c>
      <c r="K2065" s="10">
        <v>0.60807719087000001</v>
      </c>
      <c r="L2065" s="12">
        <v>3094589705.5799999</v>
      </c>
      <c r="M2065">
        <v>-12.214897432306</v>
      </c>
      <c r="N2065" s="7">
        <v>3.8870890544081398</v>
      </c>
      <c r="O2065" s="7">
        <v>5.0684668920434097</v>
      </c>
      <c r="P2065" s="7">
        <v>87.009990979302003</v>
      </c>
      <c r="Q2065" s="7" t="s">
        <v>3698</v>
      </c>
      <c r="U2065">
        <v>7.0695391294160664E-2</v>
      </c>
      <c r="AT2065" s="4" t="s">
        <v>6176</v>
      </c>
    </row>
    <row r="2066" spans="1:46">
      <c r="A2066" s="2">
        <v>2174</v>
      </c>
      <c r="B2066" t="s">
        <v>7067</v>
      </c>
      <c r="C2066" t="s">
        <v>1075</v>
      </c>
      <c r="D2066" t="s">
        <v>3837</v>
      </c>
      <c r="E2066" s="4">
        <v>43465</v>
      </c>
      <c r="F2066" s="11">
        <v>-11.0619236</v>
      </c>
      <c r="G2066" s="11">
        <v>3.5182679299999999</v>
      </c>
      <c r="H2066" s="11">
        <v>8.8018197156000006</v>
      </c>
      <c r="I2066" s="11" t="s">
        <v>3698</v>
      </c>
      <c r="J2066" s="11">
        <v>29.055616320799999</v>
      </c>
      <c r="K2066" s="10" t="s">
        <v>3698</v>
      </c>
      <c r="L2066" s="12">
        <v>54502007414.400002</v>
      </c>
      <c r="M2066">
        <v>4.7304140557942302</v>
      </c>
      <c r="N2066" s="7">
        <v>0.48061580705137402</v>
      </c>
      <c r="O2066" s="7">
        <v>1.4160139624278201</v>
      </c>
      <c r="P2066" s="7">
        <v>-1.54068212934997</v>
      </c>
      <c r="Q2066" s="7">
        <v>2.3418573351278598</v>
      </c>
      <c r="U2066">
        <v>1.6263362401607928</v>
      </c>
      <c r="AT2066" s="4" t="s">
        <v>7068</v>
      </c>
    </row>
    <row r="2067" spans="1:46">
      <c r="A2067" s="2">
        <v>2607</v>
      </c>
      <c r="B2067" t="s">
        <v>7069</v>
      </c>
      <c r="C2067" t="s">
        <v>2588</v>
      </c>
      <c r="D2067" t="s">
        <v>3752</v>
      </c>
      <c r="E2067" s="4">
        <v>43465</v>
      </c>
      <c r="F2067" s="11">
        <v>-28.950192099999999</v>
      </c>
      <c r="G2067" s="11">
        <v>3.5</v>
      </c>
      <c r="H2067" s="11">
        <v>-4.0474814569999999</v>
      </c>
      <c r="I2067" s="11">
        <v>11.4511471902</v>
      </c>
      <c r="J2067" s="11">
        <v>6.4464951492999996</v>
      </c>
      <c r="K2067" s="10">
        <v>0.54114138083499996</v>
      </c>
      <c r="L2067" s="12">
        <v>2970808971.4400001</v>
      </c>
      <c r="M2067">
        <v>35.212382883863803</v>
      </c>
      <c r="N2067" s="7">
        <v>1.18919485366674</v>
      </c>
      <c r="O2067" s="7">
        <v>2.0399069749043002</v>
      </c>
      <c r="P2067" s="7">
        <v>4.7517509898515504</v>
      </c>
      <c r="Q2067" s="7">
        <v>4.9261083743842358</v>
      </c>
      <c r="U2067">
        <v>6.1267576047862524E-2</v>
      </c>
      <c r="AT2067" s="4" t="s">
        <v>7070</v>
      </c>
    </row>
    <row r="2068" spans="1:46">
      <c r="A2068" s="2">
        <v>2647</v>
      </c>
      <c r="B2068" t="s">
        <v>7071</v>
      </c>
      <c r="C2068" t="s">
        <v>3354</v>
      </c>
      <c r="D2068" t="s">
        <v>3785</v>
      </c>
      <c r="E2068" s="4">
        <v>43465</v>
      </c>
      <c r="F2068" s="11">
        <v>-26.249542080000001</v>
      </c>
      <c r="G2068" s="11">
        <v>3.4976152599999999</v>
      </c>
      <c r="H2068" s="11">
        <v>-3.0637489528000001</v>
      </c>
      <c r="I2068" s="11">
        <v>25.492833880999999</v>
      </c>
      <c r="J2068" s="11">
        <v>3.2946718291999999</v>
      </c>
      <c r="K2068" s="10">
        <v>0.45558292541899997</v>
      </c>
      <c r="L2068" s="12">
        <v>3731072159.6399999</v>
      </c>
      <c r="M2068">
        <v>-205.272682286117</v>
      </c>
      <c r="N2068" s="7">
        <v>1.3970189574632501</v>
      </c>
      <c r="O2068" s="7">
        <v>2.7658523637814301</v>
      </c>
      <c r="P2068" s="7">
        <v>44.824158239279299</v>
      </c>
      <c r="Q2068" s="7">
        <v>0.48622366288492713</v>
      </c>
      <c r="U2068">
        <v>7.3989314639999998E-2</v>
      </c>
      <c r="AT2068" s="4" t="s">
        <v>7072</v>
      </c>
    </row>
    <row r="2069" spans="1:46">
      <c r="A2069" s="2">
        <v>2932</v>
      </c>
      <c r="B2069" t="s">
        <v>7073</v>
      </c>
      <c r="C2069" t="s">
        <v>383</v>
      </c>
      <c r="D2069" t="s">
        <v>3811</v>
      </c>
      <c r="E2069" s="4">
        <v>43465</v>
      </c>
      <c r="F2069" s="11">
        <v>-28.270283490000001</v>
      </c>
      <c r="G2069" s="11">
        <v>3.4660766999999999</v>
      </c>
      <c r="H2069" s="11">
        <v>2.3775929089000001</v>
      </c>
      <c r="I2069" s="11">
        <v>21.184968393399998</v>
      </c>
      <c r="J2069" s="11">
        <v>4.5905927757000002</v>
      </c>
      <c r="K2069" s="10">
        <v>1.2751727436539999</v>
      </c>
      <c r="L2069" s="12">
        <v>25547843262</v>
      </c>
      <c r="M2069">
        <v>10.1094640113397</v>
      </c>
      <c r="N2069" s="7">
        <v>1.06234703450983</v>
      </c>
      <c r="O2069" s="7">
        <v>0.39706465640414101</v>
      </c>
      <c r="P2069" s="7">
        <v>-18.658606219868499</v>
      </c>
      <c r="Q2069" s="7">
        <v>3.6265432098765435</v>
      </c>
      <c r="U2069">
        <v>1.5477318185814668</v>
      </c>
      <c r="AT2069" s="4" t="s">
        <v>5160</v>
      </c>
    </row>
    <row r="2070" spans="1:46">
      <c r="A2070" s="2">
        <v>1626</v>
      </c>
      <c r="B2070" t="s">
        <v>7074</v>
      </c>
      <c r="C2070" t="s">
        <v>3420</v>
      </c>
      <c r="D2070" t="s">
        <v>3849</v>
      </c>
      <c r="E2070" s="4">
        <v>43465</v>
      </c>
      <c r="F2070" s="11">
        <v>-42.04552546</v>
      </c>
      <c r="G2070" s="11">
        <v>3.4653465300000001</v>
      </c>
      <c r="H2070" s="11">
        <v>16.206571930199999</v>
      </c>
      <c r="I2070" s="11">
        <v>27.692202241499999</v>
      </c>
      <c r="J2070" s="11">
        <v>5.1430497539999998</v>
      </c>
      <c r="K2070" s="10">
        <v>0.60095754856700001</v>
      </c>
      <c r="L2070" s="12">
        <v>1776800000</v>
      </c>
      <c r="M2070">
        <v>32.278409779207301</v>
      </c>
      <c r="N2070" s="7">
        <v>3.1376370792698798</v>
      </c>
      <c r="O2070" s="7">
        <v>2.4973890693829199</v>
      </c>
      <c r="P2070" s="7">
        <v>-43.646882733451697</v>
      </c>
      <c r="Q2070" s="7">
        <v>0.42492917847025491</v>
      </c>
      <c r="U2070">
        <v>9.5137029283700519E-2</v>
      </c>
      <c r="AT2070" s="4" t="s">
        <v>4188</v>
      </c>
    </row>
    <row r="2071" spans="1:46">
      <c r="A2071" s="2">
        <v>2931</v>
      </c>
      <c r="B2071" t="s">
        <v>7075</v>
      </c>
      <c r="C2071" t="s">
        <v>1256</v>
      </c>
      <c r="D2071" t="s">
        <v>3811</v>
      </c>
      <c r="E2071" s="4">
        <v>43465</v>
      </c>
      <c r="F2071" s="11">
        <v>-28.540794259999998</v>
      </c>
      <c r="G2071" s="11">
        <v>3.44129555</v>
      </c>
      <c r="H2071" s="11">
        <v>1.805604118</v>
      </c>
      <c r="I2071" s="11">
        <v>19.370208422000001</v>
      </c>
      <c r="J2071" s="11">
        <v>-5.5461555999999999E-3</v>
      </c>
      <c r="K2071" s="10">
        <v>1.092627294698</v>
      </c>
      <c r="L2071" s="12">
        <v>2531728344.5999999</v>
      </c>
      <c r="M2071">
        <v>163.16394491545901</v>
      </c>
      <c r="N2071" s="7">
        <v>0.936019587759781</v>
      </c>
      <c r="O2071" s="7">
        <v>0.19766788862936099</v>
      </c>
      <c r="P2071" s="7">
        <v>2.5105930991869498</v>
      </c>
      <c r="Q2071" s="7">
        <v>0.62240663900414939</v>
      </c>
      <c r="U2071">
        <v>8.8965166574082682E-2</v>
      </c>
      <c r="AT2071" s="4" t="s">
        <v>5160</v>
      </c>
    </row>
    <row r="2072" spans="1:46">
      <c r="A2072" s="2">
        <v>1014</v>
      </c>
      <c r="B2072" t="s">
        <v>7076</v>
      </c>
      <c r="C2072" t="s">
        <v>906</v>
      </c>
      <c r="D2072" t="s">
        <v>3728</v>
      </c>
      <c r="E2072" s="4">
        <v>43465</v>
      </c>
      <c r="F2072" s="11">
        <v>-54.759897160000001</v>
      </c>
      <c r="G2072" s="11">
        <v>3.4042553199999999</v>
      </c>
      <c r="H2072" s="11">
        <v>0.89335867209999997</v>
      </c>
      <c r="I2072" s="11">
        <v>7.8496260551999999</v>
      </c>
      <c r="J2072" s="11">
        <v>2.5340497746000001</v>
      </c>
      <c r="K2072" s="10">
        <v>1.80705286785</v>
      </c>
      <c r="L2072" s="12">
        <v>2577217500</v>
      </c>
      <c r="M2072">
        <v>15.112489573043</v>
      </c>
      <c r="N2072" s="7">
        <v>1.37426568433648</v>
      </c>
      <c r="O2072" s="7">
        <v>0.34650143438125902</v>
      </c>
      <c r="P2072" s="7">
        <v>10.895490354678699</v>
      </c>
      <c r="Q2072" s="7" t="s">
        <v>3698</v>
      </c>
      <c r="U2072">
        <v>0.11945621112507188</v>
      </c>
      <c r="AT2072" s="4" t="s">
        <v>7077</v>
      </c>
    </row>
    <row r="2073" spans="1:46">
      <c r="A2073" s="2">
        <v>3093</v>
      </c>
      <c r="B2073" t="s">
        <v>7078</v>
      </c>
      <c r="C2073" t="s">
        <v>404</v>
      </c>
      <c r="D2073" t="s">
        <v>3837</v>
      </c>
      <c r="E2073" s="4">
        <v>43465</v>
      </c>
      <c r="F2073" s="11">
        <v>5.85956337</v>
      </c>
      <c r="G2073" s="11">
        <v>3.3333333299999999</v>
      </c>
      <c r="H2073" s="11">
        <v>11.460391292300001</v>
      </c>
      <c r="I2073" s="11" t="s">
        <v>3698</v>
      </c>
      <c r="J2073" s="11">
        <v>33.851497190099998</v>
      </c>
      <c r="K2073" s="10" t="s">
        <v>3698</v>
      </c>
      <c r="L2073" s="12">
        <v>1929208050</v>
      </c>
      <c r="M2073">
        <v>6.1655929627736699</v>
      </c>
      <c r="N2073" s="7">
        <v>0.79290611784590903</v>
      </c>
      <c r="O2073" s="7">
        <v>2.1497032445760902</v>
      </c>
      <c r="P2073" s="7">
        <v>35.470254833557597</v>
      </c>
      <c r="Q2073" s="7">
        <v>4.8038674033149178</v>
      </c>
      <c r="U2073">
        <v>0.5794080866033775</v>
      </c>
      <c r="AT2073" s="4" t="s">
        <v>7079</v>
      </c>
    </row>
    <row r="2074" spans="1:46">
      <c r="A2074" s="2">
        <v>2346</v>
      </c>
      <c r="B2074" t="s">
        <v>7080</v>
      </c>
      <c r="C2074" t="s">
        <v>1787</v>
      </c>
      <c r="D2074" t="s">
        <v>4060</v>
      </c>
      <c r="E2074" s="4">
        <v>43465</v>
      </c>
      <c r="F2074" s="11">
        <v>-14.0611771</v>
      </c>
      <c r="G2074" s="11">
        <v>3.2967032999999999</v>
      </c>
      <c r="H2074" s="11">
        <v>5.9034880146999997</v>
      </c>
      <c r="I2074" s="11">
        <v>18.860567429900001</v>
      </c>
      <c r="J2074" s="11">
        <v>5.0302965796999999</v>
      </c>
      <c r="K2074" s="10">
        <v>0.88278628654299995</v>
      </c>
      <c r="L2074" s="12">
        <v>5659726971.6000004</v>
      </c>
      <c r="M2074">
        <v>26.003554369127901</v>
      </c>
      <c r="N2074" s="7">
        <v>1.2766712173236101</v>
      </c>
      <c r="O2074" s="7">
        <v>0.61359011509043904</v>
      </c>
      <c r="P2074" s="7">
        <v>11.6324929452415</v>
      </c>
      <c r="Q2074" s="7">
        <v>4.3227665706051868</v>
      </c>
      <c r="U2074">
        <v>0.28531149525084376</v>
      </c>
      <c r="AT2074" s="4" t="s">
        <v>7081</v>
      </c>
    </row>
    <row r="2075" spans="1:46">
      <c r="A2075" s="2">
        <v>302</v>
      </c>
      <c r="B2075" t="s">
        <v>7082</v>
      </c>
      <c r="C2075" t="s">
        <v>3419</v>
      </c>
      <c r="D2075" t="s">
        <v>3832</v>
      </c>
      <c r="E2075" s="4">
        <v>43465</v>
      </c>
      <c r="F2075" s="11">
        <v>-26.72566372</v>
      </c>
      <c r="G2075" s="11">
        <v>3.2745591900000002</v>
      </c>
      <c r="H2075" s="11">
        <v>0.45466243150000002</v>
      </c>
      <c r="I2075" s="11">
        <v>33.794318578499997</v>
      </c>
      <c r="J2075" s="11">
        <v>1.678163005</v>
      </c>
      <c r="K2075" s="10">
        <v>0.42228623019400002</v>
      </c>
      <c r="L2075" s="12">
        <v>2810880000</v>
      </c>
      <c r="M2075">
        <v>-189.04206963680301</v>
      </c>
      <c r="N2075" s="7">
        <v>2.9811144701735999</v>
      </c>
      <c r="O2075" s="7">
        <v>3.9568608275430801</v>
      </c>
      <c r="P2075" s="7">
        <v>114.75742466581001</v>
      </c>
      <c r="Q2075" s="7" t="s">
        <v>3698</v>
      </c>
      <c r="U2075">
        <v>1.897550198382578E-2</v>
      </c>
      <c r="AT2075" s="4" t="s">
        <v>7083</v>
      </c>
    </row>
    <row r="2076" spans="1:46">
      <c r="A2076" s="2">
        <v>2019</v>
      </c>
      <c r="B2076" t="s">
        <v>7084</v>
      </c>
      <c r="C2076" t="s">
        <v>773</v>
      </c>
      <c r="D2076" t="s">
        <v>3998</v>
      </c>
      <c r="E2076" s="4">
        <v>43465</v>
      </c>
      <c r="F2076" s="11">
        <v>-12.06089165</v>
      </c>
      <c r="G2076" s="11">
        <v>3.26409496</v>
      </c>
      <c r="H2076" s="11">
        <v>21.885438261699999</v>
      </c>
      <c r="I2076" s="11">
        <v>24.0637644171</v>
      </c>
      <c r="J2076" s="11">
        <v>10.8904054115</v>
      </c>
      <c r="K2076" s="10">
        <v>1.0825981043390001</v>
      </c>
      <c r="L2076" s="12">
        <v>2492092720.4400001</v>
      </c>
      <c r="M2076">
        <v>16.580600561017</v>
      </c>
      <c r="N2076" s="7">
        <v>2.1761356657392699</v>
      </c>
      <c r="O2076" s="7">
        <v>1.71778481886107</v>
      </c>
      <c r="P2076" s="7">
        <v>-20.8360525768671</v>
      </c>
      <c r="Q2076" s="7">
        <v>1.6326530612244898</v>
      </c>
      <c r="U2076">
        <v>0.67092235999999994</v>
      </c>
      <c r="AT2076" s="4" t="s">
        <v>4359</v>
      </c>
    </row>
    <row r="2077" spans="1:46">
      <c r="A2077" s="2">
        <v>2718</v>
      </c>
      <c r="B2077" t="s">
        <v>7085</v>
      </c>
      <c r="C2077" t="s">
        <v>143</v>
      </c>
      <c r="D2077" t="s">
        <v>3737</v>
      </c>
      <c r="E2077" s="4">
        <v>43465</v>
      </c>
      <c r="F2077" s="11">
        <v>-40.387323940000002</v>
      </c>
      <c r="G2077" s="11">
        <v>3.2635467999999999</v>
      </c>
      <c r="H2077" s="11">
        <v>-2.49092853E-2</v>
      </c>
      <c r="I2077" s="11">
        <v>66.506086987499998</v>
      </c>
      <c r="J2077" s="11">
        <v>4.9869125932999996</v>
      </c>
      <c r="K2077" s="10">
        <v>0.35481538000200002</v>
      </c>
      <c r="L2077" s="12">
        <v>4858434170.9499998</v>
      </c>
      <c r="M2077">
        <v>-16243.1274659301</v>
      </c>
      <c r="N2077" s="7">
        <v>4.0744710508906401</v>
      </c>
      <c r="O2077" s="7">
        <v>8.0983696674603394</v>
      </c>
      <c r="P2077" s="7">
        <v>139.02754021761399</v>
      </c>
      <c r="Q2077" s="7" t="s">
        <v>3698</v>
      </c>
      <c r="U2077">
        <v>0.13461640699457647</v>
      </c>
      <c r="AT2077" s="4" t="s">
        <v>5536</v>
      </c>
    </row>
    <row r="2078" spans="1:46">
      <c r="A2078" s="2">
        <v>1085</v>
      </c>
      <c r="B2078" t="s">
        <v>7086</v>
      </c>
      <c r="C2078" t="s">
        <v>2080</v>
      </c>
      <c r="D2078" t="s">
        <v>4060</v>
      </c>
      <c r="E2078" s="4">
        <v>43465</v>
      </c>
      <c r="F2078" s="11">
        <v>-30.39846236</v>
      </c>
      <c r="G2078" s="11">
        <v>3.24543611</v>
      </c>
      <c r="H2078" s="11">
        <v>11.041928284200001</v>
      </c>
      <c r="I2078" s="11">
        <v>8.6815785998999999</v>
      </c>
      <c r="J2078" s="11">
        <v>2.2493866837000001</v>
      </c>
      <c r="K2078" s="10">
        <v>1.0298636142669999</v>
      </c>
      <c r="L2078" s="12">
        <v>7776339460.96</v>
      </c>
      <c r="M2078">
        <v>87.174236650198694</v>
      </c>
      <c r="N2078" s="7">
        <v>0.81384542905274804</v>
      </c>
      <c r="O2078" s="7">
        <v>0.64133363611918004</v>
      </c>
      <c r="P2078" s="7">
        <v>13.136167402423499</v>
      </c>
      <c r="Q2078" s="7">
        <v>1.0245901639344261</v>
      </c>
      <c r="U2078">
        <v>0.17316944214015151</v>
      </c>
      <c r="AT2078" s="4" t="s">
        <v>7087</v>
      </c>
    </row>
    <row r="2079" spans="1:46">
      <c r="A2079" s="2">
        <v>2738</v>
      </c>
      <c r="B2079" t="s">
        <v>7088</v>
      </c>
      <c r="C2079" t="s">
        <v>900</v>
      </c>
      <c r="D2079" t="s">
        <v>3871</v>
      </c>
      <c r="E2079" s="4">
        <v>43465</v>
      </c>
      <c r="F2079" s="11">
        <v>-7.7503214500000004</v>
      </c>
      <c r="G2079" s="11">
        <v>3.1976744199999998</v>
      </c>
      <c r="H2079" s="11">
        <v>33.184307914000001</v>
      </c>
      <c r="I2079" s="11">
        <v>21.846479875699998</v>
      </c>
      <c r="J2079" s="11">
        <v>7.6085327939000003</v>
      </c>
      <c r="K2079" s="10">
        <v>0.243272650078</v>
      </c>
      <c r="L2079" s="12">
        <v>1754720000</v>
      </c>
      <c r="M2079">
        <v>6.73756489188656</v>
      </c>
      <c r="N2079" s="7">
        <v>0.87710207427190601</v>
      </c>
      <c r="O2079" s="7">
        <v>0.55953351058820999</v>
      </c>
      <c r="P2079" s="7">
        <v>8.6393233159631908</v>
      </c>
      <c r="Q2079" s="7">
        <v>4.3582089552238799</v>
      </c>
      <c r="U2079">
        <v>0.48652221637908216</v>
      </c>
      <c r="AT2079" s="4" t="s">
        <v>7089</v>
      </c>
    </row>
    <row r="2080" spans="1:46">
      <c r="A2080" s="2">
        <v>1393</v>
      </c>
      <c r="B2080" t="s">
        <v>7090</v>
      </c>
      <c r="C2080" t="s">
        <v>2935</v>
      </c>
      <c r="D2080" t="s">
        <v>3752</v>
      </c>
      <c r="E2080" s="4">
        <v>43465</v>
      </c>
      <c r="F2080" s="11">
        <v>-53.908122179999999</v>
      </c>
      <c r="G2080" s="11">
        <v>3.1772575299999999</v>
      </c>
      <c r="H2080" s="11">
        <v>8.9962743765000006</v>
      </c>
      <c r="I2080" s="11">
        <v>21.121924282599998</v>
      </c>
      <c r="J2080" s="11">
        <v>5.9406998089999998</v>
      </c>
      <c r="K2080" s="10">
        <v>0.51310426343799997</v>
      </c>
      <c r="L2080" s="12">
        <v>3699135451.4400001</v>
      </c>
      <c r="M2080">
        <v>75.186202933104397</v>
      </c>
      <c r="N2080" s="7">
        <v>2.5469108442635902</v>
      </c>
      <c r="O2080" s="7">
        <v>3.85127696638434</v>
      </c>
      <c r="P2080" s="7">
        <v>926.87315222911104</v>
      </c>
      <c r="Q2080" s="7">
        <v>2.6027674116331232</v>
      </c>
      <c r="U2080">
        <v>0.18967910202587679</v>
      </c>
      <c r="AT2080" s="4" t="s">
        <v>5933</v>
      </c>
    </row>
    <row r="2081" spans="1:46">
      <c r="A2081" s="2">
        <v>819</v>
      </c>
      <c r="B2081" t="s">
        <v>7091</v>
      </c>
      <c r="C2081" t="s">
        <v>2335</v>
      </c>
      <c r="D2081" t="s">
        <v>3713</v>
      </c>
      <c r="E2081" s="4">
        <v>43465</v>
      </c>
      <c r="F2081" s="11">
        <v>-61.928910870000003</v>
      </c>
      <c r="G2081" s="11">
        <v>3.1460674200000001</v>
      </c>
      <c r="H2081" s="11">
        <v>2.8162308923000001</v>
      </c>
      <c r="I2081" s="11">
        <v>54.149106613100003</v>
      </c>
      <c r="J2081" s="11">
        <v>14.516980607200001</v>
      </c>
      <c r="K2081" s="10">
        <v>0.26677861530699998</v>
      </c>
      <c r="L2081" s="12">
        <v>14318115098</v>
      </c>
      <c r="M2081">
        <v>34.256175610314202</v>
      </c>
      <c r="N2081" s="7">
        <v>2.2295897960499298</v>
      </c>
      <c r="O2081" s="7">
        <v>3.4832645817250798</v>
      </c>
      <c r="P2081" s="7">
        <v>10.085517598117301</v>
      </c>
      <c r="Q2081" s="7" t="s">
        <v>3698</v>
      </c>
      <c r="U2081">
        <v>0.17404791368437617</v>
      </c>
      <c r="AT2081" s="4" t="s">
        <v>4592</v>
      </c>
    </row>
    <row r="2082" spans="1:46">
      <c r="A2082" s="2">
        <v>3195</v>
      </c>
      <c r="B2082" t="s">
        <v>7092</v>
      </c>
      <c r="C2082" t="s">
        <v>3272</v>
      </c>
      <c r="D2082" t="s">
        <v>3998</v>
      </c>
      <c r="E2082" s="4">
        <v>43465</v>
      </c>
      <c r="F2082" s="11">
        <v>-29.32481705</v>
      </c>
      <c r="G2082" s="11">
        <v>3.1428571399999998</v>
      </c>
      <c r="H2082" s="11">
        <v>30.5259291132</v>
      </c>
      <c r="I2082" s="11">
        <v>26.9452505438</v>
      </c>
      <c r="J2082" s="11">
        <v>5.1510990333000004</v>
      </c>
      <c r="K2082" s="10">
        <v>0.33214569846000003</v>
      </c>
      <c r="L2082" s="12">
        <v>2745628277.6799998</v>
      </c>
      <c r="M2082">
        <v>14.4396090065731</v>
      </c>
      <c r="N2082" s="7">
        <v>0.93516570424418799</v>
      </c>
      <c r="O2082" s="7">
        <v>0.507661493389994</v>
      </c>
      <c r="P2082" s="7">
        <v>-45.448282706416798</v>
      </c>
      <c r="Q2082" s="7">
        <v>1.6819571865443428</v>
      </c>
      <c r="U2082">
        <v>0.30534923778129369</v>
      </c>
      <c r="AT2082" s="4" t="s">
        <v>7093</v>
      </c>
    </row>
    <row r="2083" spans="1:46">
      <c r="A2083" s="2">
        <v>3605</v>
      </c>
      <c r="B2083" t="s">
        <v>7094</v>
      </c>
      <c r="C2083" t="s">
        <v>1181</v>
      </c>
      <c r="D2083" t="s">
        <v>3849</v>
      </c>
      <c r="E2083" s="4">
        <v>43465</v>
      </c>
      <c r="F2083" s="11">
        <v>-43.95164596</v>
      </c>
      <c r="G2083" s="11">
        <v>3.1190324600000001</v>
      </c>
      <c r="H2083" s="11">
        <v>2.6183132865999998</v>
      </c>
      <c r="I2083" s="11">
        <v>17.5729743855</v>
      </c>
      <c r="J2083" s="11">
        <v>5.2571223303999997</v>
      </c>
      <c r="K2083" s="10">
        <v>0.63740557225200001</v>
      </c>
      <c r="L2083" s="12">
        <v>118020007949.61</v>
      </c>
      <c r="M2083">
        <v>38.932742149701198</v>
      </c>
      <c r="N2083" s="7">
        <v>1.76704572318483</v>
      </c>
      <c r="O2083" s="7">
        <v>1.85386603978749</v>
      </c>
      <c r="P2083" s="7">
        <v>15.3864351617813</v>
      </c>
      <c r="Q2083" s="7">
        <v>0.91154625253207289</v>
      </c>
      <c r="U2083">
        <v>0.43935433414062502</v>
      </c>
      <c r="AT2083" s="4" t="s">
        <v>7095</v>
      </c>
    </row>
    <row r="2084" spans="1:46">
      <c r="A2084" s="2">
        <v>1592</v>
      </c>
      <c r="B2084" t="s">
        <v>7096</v>
      </c>
      <c r="C2084" t="s">
        <v>3245</v>
      </c>
      <c r="D2084" t="s">
        <v>3713</v>
      </c>
      <c r="E2084" s="4">
        <v>43465</v>
      </c>
      <c r="F2084" s="11">
        <v>-44.994944390000001</v>
      </c>
      <c r="G2084" s="11">
        <v>3.0947775599999998</v>
      </c>
      <c r="H2084" s="11">
        <v>-53.469208967699998</v>
      </c>
      <c r="I2084" s="11">
        <v>21.618041246200001</v>
      </c>
      <c r="J2084" s="11">
        <v>-64.258683381799997</v>
      </c>
      <c r="K2084" s="10">
        <v>0.22297535994199999</v>
      </c>
      <c r="L2084" s="12">
        <v>3016150237.6500001</v>
      </c>
      <c r="M2084">
        <v>-34.624625081205501</v>
      </c>
      <c r="N2084" s="7">
        <v>2.8674710223668498</v>
      </c>
      <c r="O2084" s="7">
        <v>3.4111182519328702</v>
      </c>
      <c r="P2084" s="7">
        <v>-9.5141571773081495</v>
      </c>
      <c r="Q2084" s="7" t="s">
        <v>3698</v>
      </c>
      <c r="U2084">
        <v>-0.53926694844124701</v>
      </c>
      <c r="AT2084" s="4" t="s">
        <v>5393</v>
      </c>
    </row>
    <row r="2085" spans="1:46">
      <c r="A2085" s="2">
        <v>222</v>
      </c>
      <c r="B2085" t="s">
        <v>7097</v>
      </c>
      <c r="C2085" t="s">
        <v>2614</v>
      </c>
      <c r="D2085" t="s">
        <v>3871</v>
      </c>
      <c r="E2085" s="4">
        <v>43465</v>
      </c>
      <c r="F2085" s="11">
        <v>-24.114778189999999</v>
      </c>
      <c r="G2085" s="11">
        <v>3.0690537099999999</v>
      </c>
      <c r="H2085" s="11">
        <v>88.159324330800004</v>
      </c>
      <c r="I2085" s="11">
        <v>33.499473693500001</v>
      </c>
      <c r="J2085" s="11">
        <v>8.9254820903999992</v>
      </c>
      <c r="K2085" s="10">
        <v>0.26694688737299999</v>
      </c>
      <c r="L2085" s="12">
        <v>1660000000</v>
      </c>
      <c r="M2085">
        <v>14.2260506154014</v>
      </c>
      <c r="N2085" s="7">
        <v>1.01726792211731</v>
      </c>
      <c r="O2085" s="7">
        <v>0.74872420571491405</v>
      </c>
      <c r="P2085" s="7">
        <v>-2.0746742175430701</v>
      </c>
      <c r="Q2085" s="7">
        <v>3.8314176245210732</v>
      </c>
      <c r="U2085">
        <v>0.62554147155970774</v>
      </c>
      <c r="AT2085" s="4" t="s">
        <v>5274</v>
      </c>
    </row>
    <row r="2086" spans="1:46">
      <c r="A2086" s="2">
        <v>1930</v>
      </c>
      <c r="B2086" t="s">
        <v>7098</v>
      </c>
      <c r="C2086" t="s">
        <v>2003</v>
      </c>
      <c r="D2086" t="s">
        <v>3752</v>
      </c>
      <c r="E2086" s="4">
        <v>43465</v>
      </c>
      <c r="F2086" s="11">
        <v>-25.900125679999999</v>
      </c>
      <c r="G2086" s="11">
        <v>3.0534351100000001</v>
      </c>
      <c r="H2086" s="11">
        <v>20.727276920600001</v>
      </c>
      <c r="I2086" s="11">
        <v>29.5695816904</v>
      </c>
      <c r="J2086" s="11">
        <v>6.6389585053999998</v>
      </c>
      <c r="K2086" s="10">
        <v>0.99936524406899996</v>
      </c>
      <c r="L2086" s="12">
        <v>10859742396.5</v>
      </c>
      <c r="M2086">
        <v>37.021973201837397</v>
      </c>
      <c r="N2086" s="7">
        <v>2.8910124439487399</v>
      </c>
      <c r="O2086" s="7">
        <v>2.3211349636245</v>
      </c>
      <c r="P2086" s="7">
        <v>-43.683772731353002</v>
      </c>
      <c r="Q2086" s="7">
        <v>0.65789473684210509</v>
      </c>
      <c r="U2086">
        <v>0.68664662928449016</v>
      </c>
      <c r="AT2086" s="4" t="s">
        <v>7099</v>
      </c>
    </row>
    <row r="2087" spans="1:46">
      <c r="A2087" s="2">
        <v>2984</v>
      </c>
      <c r="B2087" t="s">
        <v>7100</v>
      </c>
      <c r="C2087" t="s">
        <v>2339</v>
      </c>
      <c r="D2087" t="s">
        <v>3858</v>
      </c>
      <c r="E2087" s="4">
        <v>43465</v>
      </c>
      <c r="F2087" s="11">
        <v>-33.529888079999999</v>
      </c>
      <c r="G2087" s="11">
        <v>3.0368763599999999</v>
      </c>
      <c r="H2087" s="11">
        <v>3.6311446216999999</v>
      </c>
      <c r="I2087" s="11">
        <v>4.9477671989000003</v>
      </c>
      <c r="J2087" s="11">
        <v>0.95817093750000004</v>
      </c>
      <c r="K2087" s="10">
        <v>0.68478823271699996</v>
      </c>
      <c r="L2087" s="12">
        <v>4257369008.6199999</v>
      </c>
      <c r="M2087">
        <v>25.274965063004199</v>
      </c>
      <c r="N2087" s="7">
        <v>1.3002731033920301</v>
      </c>
      <c r="O2087" s="7">
        <v>0.177912731784587</v>
      </c>
      <c r="P2087" s="7">
        <v>91.591574399264601</v>
      </c>
      <c r="Q2087" s="7">
        <v>1.4601769911504425</v>
      </c>
      <c r="U2087">
        <v>0.21731349823091761</v>
      </c>
      <c r="AT2087" s="4" t="s">
        <v>7101</v>
      </c>
    </row>
    <row r="2088" spans="1:46">
      <c r="A2088" s="2">
        <v>2190</v>
      </c>
      <c r="B2088" t="s">
        <v>7102</v>
      </c>
      <c r="C2088" t="s">
        <v>1299</v>
      </c>
      <c r="D2088" t="s">
        <v>3972</v>
      </c>
      <c r="E2088" s="4">
        <v>43465</v>
      </c>
      <c r="F2088" s="11">
        <v>-8.8161904700000004</v>
      </c>
      <c r="G2088" s="11">
        <v>3.0303030299999998</v>
      </c>
      <c r="H2088" s="11">
        <v>7.6146330862999996</v>
      </c>
      <c r="I2088" s="11">
        <v>61.165867307299997</v>
      </c>
      <c r="J2088" s="11">
        <v>35.987505533399997</v>
      </c>
      <c r="K2088" s="10">
        <v>0.15243971776699999</v>
      </c>
      <c r="L2088" s="12">
        <v>2688744265.1300001</v>
      </c>
      <c r="M2088">
        <v>12.0973013995856</v>
      </c>
      <c r="N2088" s="7">
        <v>0.89644083042838296</v>
      </c>
      <c r="O2088" s="7">
        <v>3.13801639634343</v>
      </c>
      <c r="P2088" s="7">
        <v>148.598524899209</v>
      </c>
      <c r="Q2088" s="7">
        <v>4.9668874172185431</v>
      </c>
      <c r="U2088">
        <v>0.26727611546057423</v>
      </c>
      <c r="AT2088" s="4" t="s">
        <v>7103</v>
      </c>
    </row>
    <row r="2089" spans="1:46">
      <c r="A2089" s="2">
        <v>937</v>
      </c>
      <c r="B2089" t="s">
        <v>7104</v>
      </c>
      <c r="C2089" t="s">
        <v>1580</v>
      </c>
      <c r="D2089" t="s">
        <v>3721</v>
      </c>
      <c r="E2089" s="4">
        <v>43465</v>
      </c>
      <c r="F2089" s="11">
        <v>-59.229890849999997</v>
      </c>
      <c r="G2089" s="11">
        <v>3.0172413800000002</v>
      </c>
      <c r="H2089" s="11">
        <v>9.2803173274000006</v>
      </c>
      <c r="I2089" s="11">
        <v>10.019550196400001</v>
      </c>
      <c r="J2089" s="11">
        <v>-4.2260120360000002</v>
      </c>
      <c r="K2089" s="10">
        <v>0.94076161227599997</v>
      </c>
      <c r="L2089" s="12">
        <v>7391087896.4399996</v>
      </c>
      <c r="M2089">
        <v>44.924113240661804</v>
      </c>
      <c r="N2089" s="7">
        <v>1.20312940472314</v>
      </c>
      <c r="O2089" s="7">
        <v>0.47498001730261202</v>
      </c>
      <c r="P2089" s="7">
        <v>-4.8899094782654897</v>
      </c>
      <c r="Q2089" s="7" t="s">
        <v>3698</v>
      </c>
      <c r="U2089">
        <v>-0.20999898820512219</v>
      </c>
      <c r="AT2089" s="4" t="s">
        <v>4230</v>
      </c>
    </row>
    <row r="2090" spans="1:46">
      <c r="A2090" s="2">
        <v>311</v>
      </c>
      <c r="B2090" t="s">
        <v>7105</v>
      </c>
      <c r="C2090" t="s">
        <v>1524</v>
      </c>
      <c r="D2090" t="s">
        <v>3752</v>
      </c>
      <c r="E2090" s="4">
        <v>43465</v>
      </c>
      <c r="F2090" s="11">
        <v>-32.29130533</v>
      </c>
      <c r="G2090" s="11">
        <v>2.9880478099999999</v>
      </c>
      <c r="H2090" s="11">
        <v>4.4271797831999997</v>
      </c>
      <c r="I2090" s="11">
        <v>26.514800077899999</v>
      </c>
      <c r="J2090" s="11">
        <v>8.441994824</v>
      </c>
      <c r="K2090" s="10">
        <v>0.61950997218799997</v>
      </c>
      <c r="L2090" s="12">
        <v>1291437394991.3701</v>
      </c>
      <c r="M2090">
        <v>12.757799807888199</v>
      </c>
      <c r="N2090" s="7">
        <v>1.0607168224047101</v>
      </c>
      <c r="O2090" s="7">
        <v>1.20719936224823</v>
      </c>
      <c r="P2090" s="7">
        <v>17.8922612825776</v>
      </c>
      <c r="Q2090" s="7">
        <v>2.9411764705882351</v>
      </c>
      <c r="U2090">
        <v>0.37126422894785222</v>
      </c>
      <c r="AT2090" s="4" t="s">
        <v>6537</v>
      </c>
    </row>
    <row r="2091" spans="1:46">
      <c r="A2091" s="2">
        <v>413</v>
      </c>
      <c r="B2091" t="s">
        <v>7106</v>
      </c>
      <c r="C2091" t="s">
        <v>2694</v>
      </c>
      <c r="D2091" t="s">
        <v>3752</v>
      </c>
      <c r="E2091" s="4">
        <v>43465</v>
      </c>
      <c r="F2091" s="11">
        <v>-46.997749399999996</v>
      </c>
      <c r="G2091" s="11">
        <v>2.9761904800000001</v>
      </c>
      <c r="H2091" s="11">
        <v>6.5100176044999998</v>
      </c>
      <c r="I2091" s="11">
        <v>18.483104331</v>
      </c>
      <c r="J2091" s="11">
        <v>5.5676206230999998</v>
      </c>
      <c r="K2091" s="10">
        <v>0.58069885292199996</v>
      </c>
      <c r="L2091" s="12">
        <v>5718095315.6599998</v>
      </c>
      <c r="M2091">
        <v>37.946256189947903</v>
      </c>
      <c r="N2091" s="7">
        <v>1.3399930267829601</v>
      </c>
      <c r="O2091" s="7">
        <v>1.01736384043922</v>
      </c>
      <c r="P2091" s="7">
        <v>25.0898223940099</v>
      </c>
      <c r="Q2091" s="7" t="s">
        <v>3698</v>
      </c>
      <c r="U2091">
        <v>0.31190658211666383</v>
      </c>
      <c r="AT2091" s="4" t="s">
        <v>7107</v>
      </c>
    </row>
    <row r="2092" spans="1:46">
      <c r="A2092" s="2">
        <v>23</v>
      </c>
      <c r="B2092" t="s">
        <v>7108</v>
      </c>
      <c r="C2092" t="s">
        <v>3415</v>
      </c>
      <c r="D2092" t="s">
        <v>3998</v>
      </c>
      <c r="E2092" s="4">
        <v>43465</v>
      </c>
      <c r="F2092" s="11">
        <v>-36.017699370000003</v>
      </c>
      <c r="G2092" s="11">
        <v>2.95858015</v>
      </c>
      <c r="H2092" s="11">
        <v>31.088790141800001</v>
      </c>
      <c r="I2092" s="11">
        <v>13.0047475571</v>
      </c>
      <c r="J2092" s="11">
        <v>2.1805869169999998</v>
      </c>
      <c r="K2092" s="10">
        <v>0.75434651946300002</v>
      </c>
      <c r="L2092" s="12">
        <v>2066091508.8</v>
      </c>
      <c r="M2092">
        <v>308.53671312647703</v>
      </c>
      <c r="N2092" s="7">
        <v>4.0861114223630004</v>
      </c>
      <c r="O2092" s="7">
        <v>1.2947786225262601</v>
      </c>
      <c r="P2092" s="7">
        <v>67.027458564031093</v>
      </c>
      <c r="Q2092" s="7">
        <v>0.49180327868852453</v>
      </c>
      <c r="U2092">
        <v>0.18968865335353566</v>
      </c>
      <c r="AT2092" s="4" t="s">
        <v>7109</v>
      </c>
    </row>
    <row r="2093" spans="1:46">
      <c r="A2093" s="2">
        <v>2906</v>
      </c>
      <c r="B2093" t="s">
        <v>7110</v>
      </c>
      <c r="C2093" t="s">
        <v>1638</v>
      </c>
      <c r="D2093" t="s">
        <v>3737</v>
      </c>
      <c r="E2093" s="4">
        <v>43465</v>
      </c>
      <c r="F2093" s="11">
        <v>-31.467909599999999</v>
      </c>
      <c r="G2093" s="11">
        <v>2.9572836800000002</v>
      </c>
      <c r="H2093" s="11">
        <v>-24.3859119438</v>
      </c>
      <c r="I2093" s="11">
        <v>19.3703594393</v>
      </c>
      <c r="J2093" s="11">
        <v>4.0101729828000003</v>
      </c>
      <c r="K2093" s="10">
        <v>1.062243766858</v>
      </c>
      <c r="L2093" s="12">
        <v>3185920000</v>
      </c>
      <c r="M2093">
        <v>63.172835162281999</v>
      </c>
      <c r="N2093" s="7">
        <v>3.07410060913706</v>
      </c>
      <c r="O2093" s="7">
        <v>1.64529161932273</v>
      </c>
      <c r="P2093" s="7">
        <v>19.0377006842876</v>
      </c>
      <c r="Q2093" s="7">
        <v>0.74200913242009126</v>
      </c>
      <c r="U2093">
        <v>0.21151600321825165</v>
      </c>
      <c r="AT2093" s="4" t="s">
        <v>4215</v>
      </c>
    </row>
    <row r="2094" spans="1:46">
      <c r="A2094" s="2">
        <v>2526</v>
      </c>
      <c r="B2094" t="s">
        <v>7111</v>
      </c>
      <c r="C2094" t="s">
        <v>1766</v>
      </c>
      <c r="D2094" t="s">
        <v>3849</v>
      </c>
      <c r="E2094" s="4">
        <v>43465</v>
      </c>
      <c r="F2094" s="11">
        <v>-46.34948627</v>
      </c>
      <c r="G2094" s="11">
        <v>2.9106029100000002</v>
      </c>
      <c r="H2094" s="11">
        <v>1.9239677575</v>
      </c>
      <c r="I2094" s="11">
        <v>8.6531904239999999</v>
      </c>
      <c r="J2094" s="11">
        <v>-2.8360357950999999</v>
      </c>
      <c r="K2094" s="10">
        <v>1.0904273744770001</v>
      </c>
      <c r="L2094" s="12">
        <v>7922730237.6999998</v>
      </c>
      <c r="M2094">
        <v>-10.4578736728843</v>
      </c>
      <c r="N2094" s="7">
        <v>0.70835047270117701</v>
      </c>
      <c r="O2094" s="7">
        <v>0.18211461296619599</v>
      </c>
      <c r="P2094" s="7">
        <v>-2.5205086215869499</v>
      </c>
      <c r="Q2094" s="7" t="s">
        <v>3698</v>
      </c>
      <c r="U2094">
        <v>-0.41522145083805007</v>
      </c>
      <c r="AT2094" s="4" t="s">
        <v>6848</v>
      </c>
    </row>
    <row r="2095" spans="1:46">
      <c r="A2095" s="2">
        <v>1270</v>
      </c>
      <c r="B2095" t="s">
        <v>7112</v>
      </c>
      <c r="C2095" t="s">
        <v>1395</v>
      </c>
      <c r="D2095" t="s">
        <v>3728</v>
      </c>
      <c r="E2095" s="4">
        <v>43465</v>
      </c>
      <c r="F2095" s="11">
        <v>-38.405638060000001</v>
      </c>
      <c r="G2095" s="11">
        <v>2.8957529000000002</v>
      </c>
      <c r="H2095" s="11">
        <v>5.4922681650999996</v>
      </c>
      <c r="I2095" s="11">
        <v>51.463264165600002</v>
      </c>
      <c r="J2095" s="11">
        <v>8.6776199863999999</v>
      </c>
      <c r="K2095" s="10">
        <v>0.41952833931700001</v>
      </c>
      <c r="L2095" s="12">
        <v>2698080000</v>
      </c>
      <c r="M2095">
        <v>21.5616152955822</v>
      </c>
      <c r="N2095" s="7">
        <v>1.88470796485474</v>
      </c>
      <c r="O2095" s="7">
        <v>3.99187246986792</v>
      </c>
      <c r="P2095" s="7">
        <v>-29.537882545509301</v>
      </c>
      <c r="Q2095" s="7">
        <v>1.8059447824126136</v>
      </c>
      <c r="U2095">
        <v>0.11079957169496515</v>
      </c>
      <c r="AT2095" s="4" t="s">
        <v>4089</v>
      </c>
    </row>
    <row r="2096" spans="1:46">
      <c r="A2096" s="2">
        <v>298</v>
      </c>
      <c r="B2096" t="s">
        <v>7113</v>
      </c>
      <c r="C2096" t="s">
        <v>47</v>
      </c>
      <c r="D2096" t="s">
        <v>3842</v>
      </c>
      <c r="E2096" s="4">
        <v>43465</v>
      </c>
      <c r="F2096" s="11">
        <v>-46.50112867</v>
      </c>
      <c r="G2096" s="11">
        <v>2.8571428600000002</v>
      </c>
      <c r="H2096" s="11">
        <v>7.9544699682999997</v>
      </c>
      <c r="I2096" s="11">
        <v>17.6800493983</v>
      </c>
      <c r="J2096" s="11">
        <v>12.195271180800001</v>
      </c>
      <c r="K2096" s="10">
        <v>1.758143581468</v>
      </c>
      <c r="L2096" s="12">
        <v>3197253327.6999998</v>
      </c>
      <c r="M2096">
        <v>3.0784648120411</v>
      </c>
      <c r="N2096" s="7">
        <v>1.7820787791847099</v>
      </c>
      <c r="O2096" s="7">
        <v>0.399925616485518</v>
      </c>
      <c r="P2096" s="7">
        <v>-60.678664424206197</v>
      </c>
      <c r="Q2096" s="7" t="s">
        <v>3698</v>
      </c>
      <c r="U2096">
        <v>1.3665664776864144</v>
      </c>
      <c r="AT2096" s="4" t="s">
        <v>5917</v>
      </c>
    </row>
    <row r="2097" spans="1:46">
      <c r="A2097" s="2">
        <v>2575</v>
      </c>
      <c r="B2097" t="s">
        <v>7114</v>
      </c>
      <c r="C2097" t="s">
        <v>1741</v>
      </c>
      <c r="D2097" t="s">
        <v>3769</v>
      </c>
      <c r="E2097" s="4">
        <v>43465</v>
      </c>
      <c r="F2097" s="11">
        <v>-45.165094340000003</v>
      </c>
      <c r="G2097" s="11">
        <v>2.8571428600000002</v>
      </c>
      <c r="H2097" s="11">
        <v>133.43912646449999</v>
      </c>
      <c r="I2097" s="11">
        <v>3.5421189031</v>
      </c>
      <c r="J2097" s="11">
        <v>1.4312754030999999</v>
      </c>
      <c r="K2097" s="10">
        <v>1.759962180551</v>
      </c>
      <c r="L2097" s="12">
        <v>5046409880</v>
      </c>
      <c r="M2097">
        <v>30.9833138702379</v>
      </c>
      <c r="N2097" s="7">
        <v>1.76105093042554</v>
      </c>
      <c r="O2097" s="7">
        <v>0.75524431259023395</v>
      </c>
      <c r="P2097" s="7">
        <v>24.405307314770901</v>
      </c>
      <c r="Q2097" s="7" t="s">
        <v>3698</v>
      </c>
      <c r="U2097">
        <v>9.3975435867048096E-2</v>
      </c>
      <c r="AT2097" s="4" t="s">
        <v>7115</v>
      </c>
    </row>
    <row r="2098" spans="1:46">
      <c r="A2098" s="2">
        <v>2633</v>
      </c>
      <c r="B2098" t="s">
        <v>7116</v>
      </c>
      <c r="C2098" t="s">
        <v>2714</v>
      </c>
      <c r="D2098" t="s">
        <v>3718</v>
      </c>
      <c r="E2098" s="4">
        <v>43465</v>
      </c>
      <c r="F2098" s="11">
        <v>-45.450802930000002</v>
      </c>
      <c r="G2098" s="11">
        <v>2.8481012699999999</v>
      </c>
      <c r="H2098" s="11">
        <v>21.978312271699998</v>
      </c>
      <c r="I2098" s="11">
        <v>14.519750182799999</v>
      </c>
      <c r="J2098" s="11">
        <v>2.8705300898999999</v>
      </c>
      <c r="K2098" s="10">
        <v>0.89044367218800002</v>
      </c>
      <c r="L2098" s="12">
        <v>4186711687.6199999</v>
      </c>
      <c r="M2098">
        <v>42.564550037816197</v>
      </c>
      <c r="N2098" s="7">
        <v>1.4744598435245799</v>
      </c>
      <c r="O2098" s="7">
        <v>1.1328796516389601</v>
      </c>
      <c r="P2098" s="7">
        <v>48.798149836238203</v>
      </c>
      <c r="Q2098" s="7">
        <v>0.81433224755700329</v>
      </c>
      <c r="U2098">
        <v>6.9200211501535464E-2</v>
      </c>
      <c r="AT2098" s="4" t="s">
        <v>7117</v>
      </c>
    </row>
    <row r="2099" spans="1:46">
      <c r="A2099" s="2">
        <v>3599</v>
      </c>
      <c r="B2099" t="s">
        <v>7118</v>
      </c>
      <c r="C2099" t="s">
        <v>547</v>
      </c>
      <c r="D2099" t="s">
        <v>3718</v>
      </c>
      <c r="E2099" s="4">
        <v>43465</v>
      </c>
      <c r="F2099" s="11">
        <v>-30.039588500000001</v>
      </c>
      <c r="G2099" s="11">
        <v>2.8443113800000002</v>
      </c>
      <c r="H2099" s="11">
        <v>16.202332692100001</v>
      </c>
      <c r="I2099" s="11">
        <v>41.668901676399997</v>
      </c>
      <c r="J2099" s="11">
        <v>19.9489164624</v>
      </c>
      <c r="K2099" s="10">
        <v>0.53601243344000005</v>
      </c>
      <c r="L2099" s="12">
        <v>39828086329.82</v>
      </c>
      <c r="M2099">
        <v>30.307843112068799</v>
      </c>
      <c r="N2099" s="7">
        <v>4.0116179556613298</v>
      </c>
      <c r="O2099" s="7">
        <v>5.35595528585743</v>
      </c>
      <c r="P2099" s="7">
        <v>-110.512366317339</v>
      </c>
      <c r="Q2099" s="7">
        <v>1.8858179511427469</v>
      </c>
      <c r="U2099">
        <v>0.50630679238297749</v>
      </c>
      <c r="AT2099" s="4" t="s">
        <v>7119</v>
      </c>
    </row>
    <row r="2100" spans="1:46">
      <c r="A2100" s="2">
        <v>2325</v>
      </c>
      <c r="B2100" t="s">
        <v>7120</v>
      </c>
      <c r="C2100" t="s">
        <v>3206</v>
      </c>
      <c r="D2100" t="s">
        <v>3764</v>
      </c>
      <c r="E2100" s="4">
        <v>43465</v>
      </c>
      <c r="F2100" s="11">
        <v>-45.299145299999999</v>
      </c>
      <c r="G2100" s="11">
        <v>2.8340081000000001</v>
      </c>
      <c r="H2100" s="11">
        <v>6.4111368208000004</v>
      </c>
      <c r="I2100" s="11">
        <v>31.5572640595</v>
      </c>
      <c r="J2100" s="11">
        <v>1.9053298277999999</v>
      </c>
      <c r="K2100" s="10">
        <v>9.6781115683999996E-2</v>
      </c>
      <c r="L2100" s="12">
        <v>1971200000</v>
      </c>
      <c r="M2100">
        <v>-185.441053654228</v>
      </c>
      <c r="N2100" s="7">
        <v>1.2037224321325699</v>
      </c>
      <c r="O2100" s="7">
        <v>9.6016732018329805</v>
      </c>
      <c r="P2100" s="7">
        <v>11.304612053178699</v>
      </c>
      <c r="Q2100" s="7" t="s">
        <v>3698</v>
      </c>
      <c r="U2100">
        <v>6.2871597464492571E-3</v>
      </c>
      <c r="AT2100" s="4" t="s">
        <v>6530</v>
      </c>
    </row>
    <row r="2101" spans="1:46">
      <c r="A2101" s="2">
        <v>2659</v>
      </c>
      <c r="B2101" t="s">
        <v>7121</v>
      </c>
      <c r="C2101" t="s">
        <v>1853</v>
      </c>
      <c r="D2101" t="s">
        <v>3998</v>
      </c>
      <c r="E2101" s="4">
        <v>43465</v>
      </c>
      <c r="F2101" s="11">
        <v>-34.236784159999999</v>
      </c>
      <c r="G2101" s="11">
        <v>2.8268551199999998</v>
      </c>
      <c r="H2101" s="11">
        <v>17.7033968864</v>
      </c>
      <c r="I2101" s="11">
        <v>21.675678487799999</v>
      </c>
      <c r="J2101" s="11">
        <v>1.6410785423000001</v>
      </c>
      <c r="K2101" s="10">
        <v>0.53226086945499995</v>
      </c>
      <c r="L2101" s="12">
        <v>1633305600</v>
      </c>
      <c r="M2101">
        <v>11.7307165752326</v>
      </c>
      <c r="N2101" s="7">
        <v>0.98374980999267203</v>
      </c>
      <c r="O2101" s="7">
        <v>0.81149575115929495</v>
      </c>
      <c r="P2101" s="7">
        <v>52.757797715668097</v>
      </c>
      <c r="Q2101" s="7">
        <v>2.1897810218978102</v>
      </c>
      <c r="U2101">
        <v>5.3757202153106691E-2</v>
      </c>
      <c r="AT2101" s="4" t="s">
        <v>7122</v>
      </c>
    </row>
    <row r="2102" spans="1:46">
      <c r="A2102" s="2">
        <v>3471</v>
      </c>
      <c r="B2102" t="s">
        <v>7123</v>
      </c>
      <c r="C2102" t="s">
        <v>2515</v>
      </c>
      <c r="D2102" t="s">
        <v>3858</v>
      </c>
      <c r="E2102" s="4">
        <v>43465</v>
      </c>
      <c r="F2102" s="11">
        <v>-14.99341562</v>
      </c>
      <c r="G2102" s="11">
        <v>2.7740189399999999</v>
      </c>
      <c r="H2102" s="11">
        <v>116.812200479</v>
      </c>
      <c r="I2102" s="11">
        <v>14.8764721928</v>
      </c>
      <c r="J2102" s="11">
        <v>8.4672285047999996</v>
      </c>
      <c r="K2102" s="10">
        <v>0.65324791997300002</v>
      </c>
      <c r="L2102" s="12">
        <v>7681596201</v>
      </c>
      <c r="M2102">
        <v>75.943673723769194</v>
      </c>
      <c r="N2102" s="7">
        <v>3.4068798703140701</v>
      </c>
      <c r="O2102" s="7">
        <v>4.8926315636288997</v>
      </c>
      <c r="P2102" s="7">
        <v>-21.920045728160201</v>
      </c>
      <c r="Q2102" s="7">
        <v>1.689189189189189</v>
      </c>
      <c r="U2102">
        <v>0.30842590489944693</v>
      </c>
      <c r="AT2102" s="4" t="s">
        <v>4412</v>
      </c>
    </row>
    <row r="2103" spans="1:46">
      <c r="A2103" s="2">
        <v>3191</v>
      </c>
      <c r="B2103" t="s">
        <v>7124</v>
      </c>
      <c r="C2103" t="s">
        <v>622</v>
      </c>
      <c r="D2103" t="s">
        <v>3837</v>
      </c>
      <c r="E2103" s="4">
        <v>43465</v>
      </c>
      <c r="F2103" s="11">
        <v>2.3287966600000001</v>
      </c>
      <c r="G2103" s="11">
        <v>2.7700830999999999</v>
      </c>
      <c r="H2103" s="11">
        <v>4.3099416898999996</v>
      </c>
      <c r="I2103" s="11" t="s">
        <v>3698</v>
      </c>
      <c r="J2103" s="11">
        <v>38.173443336399998</v>
      </c>
      <c r="K2103" s="10" t="s">
        <v>3698</v>
      </c>
      <c r="L2103" s="12">
        <v>2317127112.0999999</v>
      </c>
      <c r="M2103">
        <v>5.9410774059705398</v>
      </c>
      <c r="N2103" s="7">
        <v>0.70350030806688701</v>
      </c>
      <c r="O2103" s="7">
        <v>2.1454453673485698</v>
      </c>
      <c r="P2103" s="7">
        <v>3.02769732249594</v>
      </c>
      <c r="Q2103" s="7">
        <v>5.0688705234159785</v>
      </c>
      <c r="U2103">
        <v>0.61173053148991818</v>
      </c>
      <c r="AT2103" s="4" t="s">
        <v>7125</v>
      </c>
    </row>
    <row r="2104" spans="1:46">
      <c r="A2104" s="2">
        <v>1568</v>
      </c>
      <c r="B2104" t="s">
        <v>7126</v>
      </c>
      <c r="C2104" t="s">
        <v>1777</v>
      </c>
      <c r="D2104" t="s">
        <v>3737</v>
      </c>
      <c r="E2104" s="4">
        <v>43465</v>
      </c>
      <c r="F2104" s="11">
        <v>-30.226741740000001</v>
      </c>
      <c r="G2104" s="11">
        <v>2.7502750300000001</v>
      </c>
      <c r="H2104" s="11">
        <v>53.092072173200002</v>
      </c>
      <c r="I2104" s="11">
        <v>45.450003005200003</v>
      </c>
      <c r="J2104" s="11">
        <v>14.1005605633</v>
      </c>
      <c r="K2104" s="10">
        <v>0.192614080923</v>
      </c>
      <c r="L2104" s="12">
        <v>8727745000</v>
      </c>
      <c r="M2104">
        <v>80.905489196706995</v>
      </c>
      <c r="N2104" s="7">
        <v>33.805975597908699</v>
      </c>
      <c r="O2104" s="7">
        <v>10.5521963212435</v>
      </c>
      <c r="P2104" s="7">
        <v>-217.30130475138901</v>
      </c>
      <c r="Q2104" s="7" t="s">
        <v>3698</v>
      </c>
      <c r="U2104">
        <v>9.175069729031482E-2</v>
      </c>
      <c r="AT2104" s="4" t="s">
        <v>4906</v>
      </c>
    </row>
    <row r="2105" spans="1:46">
      <c r="A2105" s="2">
        <v>1271</v>
      </c>
      <c r="B2105" t="s">
        <v>7127</v>
      </c>
      <c r="C2105" t="s">
        <v>211</v>
      </c>
      <c r="D2105" t="s">
        <v>3728</v>
      </c>
      <c r="E2105" s="4">
        <v>43465</v>
      </c>
      <c r="F2105" s="11">
        <v>-34.80886271</v>
      </c>
      <c r="G2105" s="11">
        <v>2.7465667900000001</v>
      </c>
      <c r="H2105" s="11">
        <v>10.2249355343</v>
      </c>
      <c r="I2105" s="11">
        <v>67.707370421999997</v>
      </c>
      <c r="J2105" s="11">
        <v>8.3251413936999992</v>
      </c>
      <c r="K2105" s="10">
        <v>1.0180737761980001</v>
      </c>
      <c r="L2105" s="12">
        <v>8425308000</v>
      </c>
      <c r="M2105">
        <v>15.830033646140601</v>
      </c>
      <c r="N2105" s="7">
        <v>1.73702536635858</v>
      </c>
      <c r="O2105" s="7">
        <v>1.36516374208388</v>
      </c>
      <c r="P2105" s="7">
        <v>-24.652024746527101</v>
      </c>
      <c r="Q2105" s="7">
        <v>5.5259276185916066</v>
      </c>
      <c r="U2105">
        <v>0.42609766118827158</v>
      </c>
      <c r="AT2105" s="4" t="s">
        <v>4089</v>
      </c>
    </row>
    <row r="2106" spans="1:46">
      <c r="A2106" s="2">
        <v>2263</v>
      </c>
      <c r="B2106" t="s">
        <v>7128</v>
      </c>
      <c r="C2106" t="s">
        <v>2250</v>
      </c>
      <c r="D2106" t="s">
        <v>3764</v>
      </c>
      <c r="E2106" s="4">
        <v>43465</v>
      </c>
      <c r="F2106" s="11">
        <v>-12.206917880000001</v>
      </c>
      <c r="G2106" s="11">
        <v>2.73224044</v>
      </c>
      <c r="H2106" s="11">
        <v>6.6394581792</v>
      </c>
      <c r="I2106" s="11">
        <v>20.541767437299999</v>
      </c>
      <c r="J2106" s="11">
        <v>15.546314500199999</v>
      </c>
      <c r="K2106" s="10">
        <v>0.25683446830399997</v>
      </c>
      <c r="L2106" s="12">
        <v>8121981816.8400002</v>
      </c>
      <c r="M2106">
        <v>50.241626289398504</v>
      </c>
      <c r="N2106" s="7">
        <v>2.5489353724622799</v>
      </c>
      <c r="O2106" s="7">
        <v>5.6761417495637003</v>
      </c>
      <c r="P2106" s="7">
        <v>-49.9633361944108</v>
      </c>
      <c r="Q2106" s="7">
        <v>1.3280212483399734</v>
      </c>
      <c r="U2106">
        <v>0.21508292164528209</v>
      </c>
      <c r="AT2106" s="4" t="s">
        <v>7129</v>
      </c>
    </row>
    <row r="2107" spans="1:46">
      <c r="A2107" s="2">
        <v>710</v>
      </c>
      <c r="B2107" t="s">
        <v>7130</v>
      </c>
      <c r="C2107" t="s">
        <v>3456</v>
      </c>
      <c r="D2107" t="s">
        <v>3721</v>
      </c>
      <c r="E2107" s="4">
        <v>43465</v>
      </c>
      <c r="F2107" s="11">
        <v>-39.739413679999998</v>
      </c>
      <c r="G2107" s="11">
        <v>2.7262813499999998</v>
      </c>
      <c r="H2107" s="11">
        <v>-23.627926257799999</v>
      </c>
      <c r="I2107" s="11">
        <v>9.2278400516999994</v>
      </c>
      <c r="J2107" s="11">
        <v>-44.353006616400002</v>
      </c>
      <c r="K2107" s="10">
        <v>0.334047230059</v>
      </c>
      <c r="L2107" s="12">
        <v>3081633473.9200001</v>
      </c>
      <c r="M2107">
        <v>-113.42761117459899</v>
      </c>
      <c r="N2107" s="7">
        <v>5.8476794247527399</v>
      </c>
      <c r="O2107" s="7">
        <v>11.147761132782501</v>
      </c>
      <c r="P2107" s="7">
        <v>-70.900024068131202</v>
      </c>
      <c r="Q2107" s="7" t="s">
        <v>3698</v>
      </c>
      <c r="U2107">
        <v>-0.32298743103311073</v>
      </c>
      <c r="AT2107" s="4" t="s">
        <v>5859</v>
      </c>
    </row>
    <row r="2108" spans="1:46">
      <c r="A2108" s="2">
        <v>3441</v>
      </c>
      <c r="B2108" t="s">
        <v>7131</v>
      </c>
      <c r="C2108" t="s">
        <v>529</v>
      </c>
      <c r="D2108" t="s">
        <v>3752</v>
      </c>
      <c r="E2108" s="4">
        <v>43465</v>
      </c>
      <c r="F2108" s="11">
        <v>-16.08244492</v>
      </c>
      <c r="G2108" s="11">
        <v>2.7224112800000002</v>
      </c>
      <c r="H2108" s="11">
        <v>12.994787945200001</v>
      </c>
      <c r="I2108" s="11">
        <v>40.570436656200002</v>
      </c>
      <c r="J2108" s="11">
        <v>25.893213952499998</v>
      </c>
      <c r="K2108" s="10">
        <v>0.73147847600500004</v>
      </c>
      <c r="L2108" s="12">
        <v>6495075349.0500002</v>
      </c>
      <c r="M2108">
        <v>13.551498496488801</v>
      </c>
      <c r="N2108" s="7">
        <v>2.1033679516907</v>
      </c>
      <c r="O2108" s="7">
        <v>2.3211440083074701</v>
      </c>
      <c r="P2108" s="7">
        <v>7.21862793405516</v>
      </c>
      <c r="Q2108" s="7">
        <v>3.0627871362940278</v>
      </c>
      <c r="U2108">
        <v>1.7339125415555556</v>
      </c>
      <c r="AT2108" s="4" t="s">
        <v>7132</v>
      </c>
    </row>
    <row r="2109" spans="1:46">
      <c r="A2109" s="2">
        <v>2890</v>
      </c>
      <c r="B2109" t="s">
        <v>7133</v>
      </c>
      <c r="C2109" t="s">
        <v>2735</v>
      </c>
      <c r="D2109" t="s">
        <v>3811</v>
      </c>
      <c r="E2109" s="4">
        <v>43465</v>
      </c>
      <c r="F2109" s="11">
        <v>-43.424124509999999</v>
      </c>
      <c r="G2109" s="11">
        <v>2.70655271</v>
      </c>
      <c r="H2109" s="11">
        <v>350.6791272767</v>
      </c>
      <c r="I2109" s="11">
        <v>35.186189439099998</v>
      </c>
      <c r="J2109" s="11">
        <v>12.5974178358</v>
      </c>
      <c r="K2109" s="10">
        <v>0.27408689080999998</v>
      </c>
      <c r="L2109" s="12">
        <v>1806606244.8</v>
      </c>
      <c r="M2109">
        <v>-712.47996344012995</v>
      </c>
      <c r="N2109" s="7">
        <v>11.1212689601407</v>
      </c>
      <c r="O2109" s="7">
        <v>51.551959159533403</v>
      </c>
      <c r="P2109" s="7">
        <v>-271.92120121921999</v>
      </c>
      <c r="Q2109" s="7" t="s">
        <v>3698</v>
      </c>
      <c r="U2109">
        <v>3.104951851307863E-2</v>
      </c>
      <c r="AT2109" s="4" t="s">
        <v>5492</v>
      </c>
    </row>
    <row r="2110" spans="1:46">
      <c r="A2110" s="2">
        <v>2983</v>
      </c>
      <c r="B2110" t="s">
        <v>7134</v>
      </c>
      <c r="C2110" t="s">
        <v>2197</v>
      </c>
      <c r="D2110" t="s">
        <v>3889</v>
      </c>
      <c r="E2110" s="4">
        <v>43465</v>
      </c>
      <c r="F2110" s="11">
        <v>-43.422715570000001</v>
      </c>
      <c r="G2110" s="11">
        <v>2.6737967899999999</v>
      </c>
      <c r="H2110" s="11">
        <v>-10.2661033268</v>
      </c>
      <c r="I2110" s="11">
        <v>20.2910566483</v>
      </c>
      <c r="J2110" s="11">
        <v>5.1085606046000001</v>
      </c>
      <c r="K2110" s="10">
        <v>0.306979013292</v>
      </c>
      <c r="L2110" s="12">
        <v>2099242525.27</v>
      </c>
      <c r="M2110">
        <v>56.188744272644101</v>
      </c>
      <c r="N2110" s="7">
        <v>1.6920373806289699</v>
      </c>
      <c r="O2110" s="7">
        <v>2.2521958897337</v>
      </c>
      <c r="P2110" s="7">
        <v>13.3371160893398</v>
      </c>
      <c r="Q2110" s="7" t="s">
        <v>3698</v>
      </c>
      <c r="U2110">
        <v>7.4357572376815326E-2</v>
      </c>
      <c r="AT2110" s="4" t="s">
        <v>7135</v>
      </c>
    </row>
    <row r="2111" spans="1:46">
      <c r="A2111" s="2">
        <v>2672</v>
      </c>
      <c r="B2111" t="s">
        <v>7136</v>
      </c>
      <c r="C2111" t="s">
        <v>1538</v>
      </c>
      <c r="D2111" t="s">
        <v>3790</v>
      </c>
      <c r="E2111" s="4">
        <v>43465</v>
      </c>
      <c r="F2111" s="11">
        <v>-50.036860820000001</v>
      </c>
      <c r="G2111" s="11">
        <v>2.6706231499999999</v>
      </c>
      <c r="H2111" s="11">
        <v>-17.4272699554</v>
      </c>
      <c r="I2111" s="11">
        <v>69.447020269500001</v>
      </c>
      <c r="J2111" s="11">
        <v>-21.663127462799999</v>
      </c>
      <c r="K2111" s="10">
        <v>0.25612242633400001</v>
      </c>
      <c r="L2111" s="12">
        <v>9504426827.3400002</v>
      </c>
      <c r="M2111">
        <v>54.532031251683001</v>
      </c>
      <c r="N2111" s="7">
        <v>2.4977947812699202</v>
      </c>
      <c r="O2111" s="7">
        <v>5.5328811057679799</v>
      </c>
      <c r="P2111" s="7">
        <v>-9.8610134851866</v>
      </c>
      <c r="Q2111" s="7" t="s">
        <v>3698</v>
      </c>
      <c r="U2111">
        <v>-0.33155809608433739</v>
      </c>
      <c r="AT2111" s="4" t="s">
        <v>7137</v>
      </c>
    </row>
    <row r="2112" spans="1:46">
      <c r="A2112" s="2">
        <v>2396</v>
      </c>
      <c r="B2112" t="s">
        <v>7138</v>
      </c>
      <c r="C2112" t="s">
        <v>2669</v>
      </c>
      <c r="D2112" t="s">
        <v>3871</v>
      </c>
      <c r="E2112" s="4">
        <v>43465</v>
      </c>
      <c r="F2112" s="11">
        <v>-21.907103920000001</v>
      </c>
      <c r="G2112" s="11">
        <v>2.6515151499999998</v>
      </c>
      <c r="H2112" s="11">
        <v>-4.7156728484999997</v>
      </c>
      <c r="I2112" s="11">
        <v>32.9062589129</v>
      </c>
      <c r="J2112" s="11">
        <v>10.1087910613</v>
      </c>
      <c r="K2112" s="10">
        <v>0.12856075199</v>
      </c>
      <c r="L2112" s="12">
        <v>1982540000</v>
      </c>
      <c r="M2112">
        <v>8.0234661239058909</v>
      </c>
      <c r="N2112" s="7">
        <v>0.63744235125113002</v>
      </c>
      <c r="O2112" s="7">
        <v>0.84759846928475802</v>
      </c>
      <c r="P2112" s="7">
        <v>-3.5289477894053398</v>
      </c>
      <c r="Q2112" s="7">
        <v>2.5284450063211126</v>
      </c>
      <c r="U2112">
        <v>0.78497040309755972</v>
      </c>
      <c r="AT2112" s="4" t="s">
        <v>7139</v>
      </c>
    </row>
    <row r="2113" spans="1:46">
      <c r="A2113" s="2">
        <v>1301</v>
      </c>
      <c r="B2113" t="s">
        <v>7140</v>
      </c>
      <c r="C2113" t="s">
        <v>2551</v>
      </c>
      <c r="D2113" t="s">
        <v>3718</v>
      </c>
      <c r="E2113" s="4">
        <v>43465</v>
      </c>
      <c r="F2113" s="11">
        <v>72.576215680000004</v>
      </c>
      <c r="G2113" s="11">
        <v>2.62702079</v>
      </c>
      <c r="H2113" s="11">
        <v>121.93931122559999</v>
      </c>
      <c r="I2113" s="11">
        <v>14.9919612407</v>
      </c>
      <c r="J2113" s="11">
        <v>3.9938172286000002</v>
      </c>
      <c r="K2113" s="10">
        <v>0.94382904369300002</v>
      </c>
      <c r="L2113" s="12">
        <v>11468545703.4</v>
      </c>
      <c r="M2113">
        <v>162.579838482621</v>
      </c>
      <c r="N2113" s="7">
        <v>4.5452791673466697</v>
      </c>
      <c r="O2113" s="7">
        <v>3.7440750122803301</v>
      </c>
      <c r="P2113" s="7">
        <v>15.7229905478547</v>
      </c>
      <c r="Q2113" s="7">
        <v>0.41775748407508828</v>
      </c>
      <c r="U2113">
        <v>0.43316821601194938</v>
      </c>
      <c r="AT2113" s="4" t="s">
        <v>7141</v>
      </c>
    </row>
    <row r="2114" spans="1:46">
      <c r="A2114" s="2">
        <v>924</v>
      </c>
      <c r="B2114" t="s">
        <v>7142</v>
      </c>
      <c r="C2114" t="s">
        <v>2464</v>
      </c>
      <c r="D2114" t="s">
        <v>3713</v>
      </c>
      <c r="E2114" s="4">
        <v>43465</v>
      </c>
      <c r="F2114" s="11">
        <v>-45.315183429999998</v>
      </c>
      <c r="G2114" s="11">
        <v>2.61682243</v>
      </c>
      <c r="H2114" s="11">
        <v>29.566036709900001</v>
      </c>
      <c r="I2114" s="11">
        <v>43.797300925800002</v>
      </c>
      <c r="J2114" s="11">
        <v>14.9367302295</v>
      </c>
      <c r="K2114" s="10">
        <v>0.230114899939</v>
      </c>
      <c r="L2114" s="12">
        <v>10303316917.35</v>
      </c>
      <c r="M2114">
        <v>46.850090777687598</v>
      </c>
      <c r="N2114" s="7">
        <v>2.8309678428674001</v>
      </c>
      <c r="O2114" s="7">
        <v>6.4234892495935796</v>
      </c>
      <c r="P2114" s="7">
        <v>32.163885025499802</v>
      </c>
      <c r="Q2114" s="7" t="s">
        <v>3698</v>
      </c>
      <c r="U2114">
        <v>0.11956832160901723</v>
      </c>
      <c r="AT2114" s="4" t="s">
        <v>5421</v>
      </c>
    </row>
    <row r="2115" spans="1:46">
      <c r="A2115" s="2">
        <v>2588</v>
      </c>
      <c r="B2115" t="s">
        <v>7143</v>
      </c>
      <c r="C2115" t="s">
        <v>3266</v>
      </c>
      <c r="D2115" t="s">
        <v>3781</v>
      </c>
      <c r="E2115" s="4">
        <v>43465</v>
      </c>
      <c r="F2115" s="11">
        <v>-25.384052669999999</v>
      </c>
      <c r="G2115" s="11">
        <v>2.61044177</v>
      </c>
      <c r="H2115" s="11">
        <v>-34.849166538200002</v>
      </c>
      <c r="I2115" s="11">
        <v>3.6964291514999998</v>
      </c>
      <c r="J2115" s="11">
        <v>10.639711885400001</v>
      </c>
      <c r="K2115" s="10">
        <v>0.14315196537899999</v>
      </c>
      <c r="L2115" s="12">
        <v>2926191749.0599999</v>
      </c>
      <c r="M2115">
        <v>-136.97830830593901</v>
      </c>
      <c r="N2115" s="7">
        <v>5.22076773189732</v>
      </c>
      <c r="O2115" s="7">
        <v>31.739371129551099</v>
      </c>
      <c r="P2115" s="7">
        <v>22.328055720163999</v>
      </c>
      <c r="Q2115" s="7" t="s">
        <v>3698</v>
      </c>
      <c r="U2115">
        <v>3.0653876478720123E-2</v>
      </c>
      <c r="AT2115" s="4" t="s">
        <v>7144</v>
      </c>
    </row>
    <row r="2116" spans="1:46">
      <c r="A2116" s="2">
        <v>3034</v>
      </c>
      <c r="B2116" t="s">
        <v>7145</v>
      </c>
      <c r="C2116" t="s">
        <v>855</v>
      </c>
      <c r="D2116" t="s">
        <v>3764</v>
      </c>
      <c r="E2116" s="4">
        <v>43465</v>
      </c>
      <c r="F2116" s="11">
        <v>-24.444654409999998</v>
      </c>
      <c r="G2116" s="11">
        <v>2.5862069000000001</v>
      </c>
      <c r="H2116" s="11">
        <v>26.9640345135</v>
      </c>
      <c r="I2116" s="11">
        <v>53.342037181000002</v>
      </c>
      <c r="J2116" s="11">
        <v>25.128221009299999</v>
      </c>
      <c r="K2116" s="10">
        <v>0.114684239333</v>
      </c>
      <c r="L2116" s="12">
        <v>2983081750</v>
      </c>
      <c r="M2116">
        <v>17.6341285145235</v>
      </c>
      <c r="N2116" s="7">
        <v>1.38397222196653</v>
      </c>
      <c r="O2116" s="7">
        <v>4.1268814060386703</v>
      </c>
      <c r="P2116" s="7">
        <v>111.376699199768</v>
      </c>
      <c r="Q2116" s="7">
        <v>2.0262008733624457</v>
      </c>
      <c r="U2116">
        <v>0.12397544225567673</v>
      </c>
      <c r="AT2116" s="4" t="s">
        <v>7146</v>
      </c>
    </row>
    <row r="2117" spans="1:46">
      <c r="A2117" s="2">
        <v>1193</v>
      </c>
      <c r="B2117" t="s">
        <v>7147</v>
      </c>
      <c r="C2117" t="s">
        <v>2519</v>
      </c>
      <c r="D2117" t="s">
        <v>3849</v>
      </c>
      <c r="E2117" s="4">
        <v>43465</v>
      </c>
      <c r="F2117" s="11">
        <v>-39.243107950000002</v>
      </c>
      <c r="G2117" s="11">
        <v>2.5581395300000001</v>
      </c>
      <c r="H2117" s="11">
        <v>43.963023874100003</v>
      </c>
      <c r="I2117" s="11">
        <v>15.2776360991</v>
      </c>
      <c r="J2117" s="11">
        <v>3.6543566791000002</v>
      </c>
      <c r="K2117" s="10">
        <v>0.802521458942</v>
      </c>
      <c r="L2117" s="12">
        <v>4234073927.6799998</v>
      </c>
      <c r="M2117">
        <v>22.1123244298612</v>
      </c>
      <c r="N2117" s="7">
        <v>1.3450513539294799</v>
      </c>
      <c r="O2117" s="7">
        <v>0.51016059954827198</v>
      </c>
      <c r="P2117" s="7">
        <v>-145.091871752412</v>
      </c>
      <c r="Q2117" s="7">
        <v>1.6666666666666663</v>
      </c>
      <c r="U2117">
        <v>0.29756211489292378</v>
      </c>
      <c r="AT2117" s="4" t="s">
        <v>3922</v>
      </c>
    </row>
    <row r="2118" spans="1:46">
      <c r="A2118" s="2">
        <v>1121</v>
      </c>
      <c r="B2118" t="s">
        <v>7148</v>
      </c>
      <c r="C2118" t="s">
        <v>2900</v>
      </c>
      <c r="D2118" t="s">
        <v>3761</v>
      </c>
      <c r="E2118" s="4">
        <v>43465</v>
      </c>
      <c r="F2118" s="11">
        <v>-32.067510550000002</v>
      </c>
      <c r="G2118" s="11">
        <v>2.5477707000000001</v>
      </c>
      <c r="H2118" s="11">
        <v>-0.28386573030000001</v>
      </c>
      <c r="I2118" s="11">
        <v>17.991688516699998</v>
      </c>
      <c r="J2118" s="11">
        <v>2.8481745755999999</v>
      </c>
      <c r="K2118" s="10">
        <v>0.31103344472</v>
      </c>
      <c r="L2118" s="12">
        <v>4114857600</v>
      </c>
      <c r="M2118">
        <v>121.003965542041</v>
      </c>
      <c r="N2118" s="7">
        <v>1.2014912759055401</v>
      </c>
      <c r="O2118" s="7">
        <v>1.42136016412465</v>
      </c>
      <c r="P2118" s="7">
        <v>-25.255379769451199</v>
      </c>
      <c r="Q2118" s="7" t="s">
        <v>3698</v>
      </c>
      <c r="U2118">
        <v>2.7916110715910658E-2</v>
      </c>
      <c r="AT2118" s="4" t="s">
        <v>4645</v>
      </c>
    </row>
    <row r="2119" spans="1:46">
      <c r="A2119" s="2">
        <v>535</v>
      </c>
      <c r="B2119" t="s">
        <v>7149</v>
      </c>
      <c r="C2119" t="s">
        <v>3005</v>
      </c>
      <c r="D2119" t="s">
        <v>3811</v>
      </c>
      <c r="E2119" s="4">
        <v>43465</v>
      </c>
      <c r="F2119" s="11">
        <v>-16.22460508</v>
      </c>
      <c r="G2119" s="11">
        <v>2.53807107</v>
      </c>
      <c r="H2119" s="11">
        <v>30.346132889700002</v>
      </c>
      <c r="I2119" s="11">
        <v>14.9985634392</v>
      </c>
      <c r="J2119" s="11">
        <v>5.1611385010999999</v>
      </c>
      <c r="K2119" s="10">
        <v>1.373290923076</v>
      </c>
      <c r="L2119" s="12">
        <v>2692018895.46</v>
      </c>
      <c r="M2119">
        <v>-721.12395100772198</v>
      </c>
      <c r="N2119" s="7">
        <v>1.1681199007487999</v>
      </c>
      <c r="O2119" s="7">
        <v>0.40042729325777798</v>
      </c>
      <c r="P2119" s="7">
        <v>62.079283865452801</v>
      </c>
      <c r="Q2119" s="7">
        <v>1.2182741116751268</v>
      </c>
      <c r="U2119">
        <v>1.4315254815098852</v>
      </c>
      <c r="AT2119" s="4" t="s">
        <v>5980</v>
      </c>
    </row>
    <row r="2120" spans="1:46">
      <c r="A2120" s="2">
        <v>2889</v>
      </c>
      <c r="B2120" t="s">
        <v>7150</v>
      </c>
      <c r="C2120" t="s">
        <v>186</v>
      </c>
      <c r="D2120" t="s">
        <v>3837</v>
      </c>
      <c r="E2120" s="4">
        <v>43465</v>
      </c>
      <c r="F2120" s="11">
        <v>-57.440505889999997</v>
      </c>
      <c r="G2120" s="11">
        <v>2.5171624700000002</v>
      </c>
      <c r="H2120" s="11">
        <v>-96.340586334799994</v>
      </c>
      <c r="I2120" s="11" t="s">
        <v>3698</v>
      </c>
      <c r="J2120" s="11">
        <v>-896.11675118719995</v>
      </c>
      <c r="K2120" s="10" t="s">
        <v>3698</v>
      </c>
      <c r="L2120" s="12">
        <v>1086290949679.29</v>
      </c>
      <c r="M2120">
        <v>33.720577392865302</v>
      </c>
      <c r="N2120" s="7">
        <v>1.9896964654826801</v>
      </c>
      <c r="O2120" s="7">
        <v>8.9314477287372096</v>
      </c>
      <c r="P2120" s="7">
        <v>-26.841908234736799</v>
      </c>
      <c r="Q2120" s="7" t="s">
        <v>3698</v>
      </c>
      <c r="U2120">
        <v>-0.3351160964660983</v>
      </c>
      <c r="AT2120" s="4" t="s">
        <v>5492</v>
      </c>
    </row>
    <row r="2121" spans="1:46">
      <c r="A2121" s="2">
        <v>2816</v>
      </c>
      <c r="B2121" t="s">
        <v>7151</v>
      </c>
      <c r="C2121" t="s">
        <v>3200</v>
      </c>
      <c r="D2121" t="s">
        <v>3871</v>
      </c>
      <c r="E2121" s="4">
        <v>43465</v>
      </c>
      <c r="F2121" s="11">
        <v>-26.317755200000001</v>
      </c>
      <c r="G2121" s="11">
        <v>2.47933884</v>
      </c>
      <c r="H2121" s="11">
        <v>-31.022791551800001</v>
      </c>
      <c r="I2121" s="11">
        <v>28.151610128600002</v>
      </c>
      <c r="J2121" s="11">
        <v>10.758680851399999</v>
      </c>
      <c r="K2121" s="10">
        <v>0.16261562974800001</v>
      </c>
      <c r="L2121" s="12">
        <v>5131030081.6000004</v>
      </c>
      <c r="M2121">
        <v>9.0878718429534793</v>
      </c>
      <c r="N2121" s="7">
        <v>0.72833359268331799</v>
      </c>
      <c r="O2121" s="7">
        <v>0.77013681972285997</v>
      </c>
      <c r="P2121" s="7">
        <v>-4.1145828204655599</v>
      </c>
      <c r="Q2121" s="7">
        <v>5</v>
      </c>
      <c r="U2121">
        <v>0.3196629913194432</v>
      </c>
      <c r="AT2121" s="4" t="s">
        <v>6710</v>
      </c>
    </row>
    <row r="2122" spans="1:46">
      <c r="A2122" s="2">
        <v>2968</v>
      </c>
      <c r="B2122" t="s">
        <v>7152</v>
      </c>
      <c r="C2122" t="s">
        <v>828</v>
      </c>
      <c r="D2122" t="s">
        <v>3871</v>
      </c>
      <c r="E2122" s="4">
        <v>43465</v>
      </c>
      <c r="F2122" s="11">
        <v>8.7171699100000009</v>
      </c>
      <c r="G2122" s="11">
        <v>2.4749163900000002</v>
      </c>
      <c r="H2122" s="11">
        <v>-8.3586277822999993</v>
      </c>
      <c r="I2122" s="11">
        <v>46.505498082099997</v>
      </c>
      <c r="J2122" s="11">
        <v>43.366277917700003</v>
      </c>
      <c r="K2122" s="10">
        <v>5.9430944535000002E-2</v>
      </c>
      <c r="L2122" s="12">
        <v>3421434750</v>
      </c>
      <c r="M2122">
        <v>49.8847674911854</v>
      </c>
      <c r="N2122" s="7">
        <v>2.6418301122129901</v>
      </c>
      <c r="O2122" s="7">
        <v>18.582366093106099</v>
      </c>
      <c r="P2122" s="7">
        <v>-75.029732931834403</v>
      </c>
      <c r="Q2122" s="7">
        <v>0.77355836849507753</v>
      </c>
      <c r="U2122">
        <v>0.35145295803797472</v>
      </c>
      <c r="AT2122" s="4" t="s">
        <v>7153</v>
      </c>
    </row>
    <row r="2123" spans="1:46">
      <c r="A2123" s="2">
        <v>1357</v>
      </c>
      <c r="B2123" t="s">
        <v>7154</v>
      </c>
      <c r="C2123" t="s">
        <v>3279</v>
      </c>
      <c r="D2123" t="s">
        <v>3718</v>
      </c>
      <c r="E2123" s="4">
        <v>43465</v>
      </c>
      <c r="F2123" s="11">
        <v>-27.81050888</v>
      </c>
      <c r="G2123" s="11">
        <v>2.4659863899999999</v>
      </c>
      <c r="H2123" s="11">
        <v>13.3263767732</v>
      </c>
      <c r="I2123" s="11">
        <v>38.936110143400001</v>
      </c>
      <c r="J2123" s="11">
        <v>15.8895512901</v>
      </c>
      <c r="K2123" s="10">
        <v>0.39404848023299999</v>
      </c>
      <c r="L2123" s="12">
        <v>7536911760.1800003</v>
      </c>
      <c r="M2123">
        <v>52.612881072129603</v>
      </c>
      <c r="N2123" s="7">
        <v>3.2901922450974799</v>
      </c>
      <c r="O2123" s="7">
        <v>7.4474138933945602</v>
      </c>
      <c r="P2123" s="7">
        <v>-32.8242446817762</v>
      </c>
      <c r="Q2123" s="7">
        <v>0.34275921165381323</v>
      </c>
      <c r="U2123">
        <v>0.28727906812499998</v>
      </c>
      <c r="AT2123" s="4" t="s">
        <v>6398</v>
      </c>
    </row>
    <row r="2124" spans="1:46">
      <c r="A2124" s="2">
        <v>1958</v>
      </c>
      <c r="B2124" t="s">
        <v>7155</v>
      </c>
      <c r="C2124" t="s">
        <v>2321</v>
      </c>
      <c r="D2124" t="s">
        <v>3737</v>
      </c>
      <c r="E2124" s="4">
        <v>43465</v>
      </c>
      <c r="F2124" s="11">
        <v>-40.409038340000002</v>
      </c>
      <c r="G2124" s="11">
        <v>2.4475524499999999</v>
      </c>
      <c r="H2124" s="11">
        <v>-24.638136893399999</v>
      </c>
      <c r="I2124" s="11">
        <v>42.527181971399997</v>
      </c>
      <c r="J2124" s="11">
        <v>6.0432620904999999</v>
      </c>
      <c r="K2124" s="10">
        <v>0.26034474912900002</v>
      </c>
      <c r="L2124" s="12">
        <v>2251841857.75</v>
      </c>
      <c r="M2124">
        <v>148.354695461029</v>
      </c>
      <c r="N2124" s="7">
        <v>2.4071306204090201</v>
      </c>
      <c r="O2124" s="7">
        <v>7.5526727349671603</v>
      </c>
      <c r="P2124" s="7">
        <v>220.93885672847901</v>
      </c>
      <c r="Q2124" s="7">
        <v>0.18050541516245489</v>
      </c>
      <c r="U2124">
        <v>4.0474845308147489E-2</v>
      </c>
      <c r="AT2124" s="4" t="s">
        <v>4571</v>
      </c>
    </row>
    <row r="2125" spans="1:46">
      <c r="A2125" s="2">
        <v>1802</v>
      </c>
      <c r="B2125" t="s">
        <v>7156</v>
      </c>
      <c r="C2125" t="s">
        <v>2283</v>
      </c>
      <c r="D2125" t="s">
        <v>3713</v>
      </c>
      <c r="E2125" s="4">
        <v>43465</v>
      </c>
      <c r="F2125" s="11">
        <v>-5.0576259099999996</v>
      </c>
      <c r="G2125" s="11">
        <v>2.4456521699999998</v>
      </c>
      <c r="H2125" s="11">
        <v>19.0091457228</v>
      </c>
      <c r="I2125" s="11">
        <v>79.941432932400005</v>
      </c>
      <c r="J2125" s="11">
        <v>28.377554634500001</v>
      </c>
      <c r="K2125" s="10">
        <v>0.20788404180100001</v>
      </c>
      <c r="L2125" s="12">
        <v>3783600000</v>
      </c>
      <c r="M2125">
        <v>35.454099354965599</v>
      </c>
      <c r="N2125" s="7">
        <v>3.02124027722689</v>
      </c>
      <c r="O2125" s="7">
        <v>11.7521238802052</v>
      </c>
      <c r="P2125" s="7">
        <v>-35.5049808902357</v>
      </c>
      <c r="Q2125" s="7">
        <v>0.9380863039399624</v>
      </c>
      <c r="U2125">
        <v>0.23952691965442122</v>
      </c>
      <c r="AT2125" s="4" t="s">
        <v>4721</v>
      </c>
    </row>
    <row r="2126" spans="1:46">
      <c r="A2126" s="2">
        <v>1557</v>
      </c>
      <c r="B2126" t="s">
        <v>7157</v>
      </c>
      <c r="C2126" t="s">
        <v>125</v>
      </c>
      <c r="D2126" t="s">
        <v>3752</v>
      </c>
      <c r="E2126" s="4">
        <v>43465</v>
      </c>
      <c r="F2126" s="11">
        <v>41.697381640000003</v>
      </c>
      <c r="G2126" s="11">
        <v>2.4177949700000001</v>
      </c>
      <c r="H2126" s="11">
        <v>75.241870684600002</v>
      </c>
      <c r="I2126" s="11">
        <v>40.893079142700003</v>
      </c>
      <c r="J2126" s="11">
        <v>28.162694576300002</v>
      </c>
      <c r="K2126" s="10">
        <v>1.176791517357</v>
      </c>
      <c r="L2126" s="12">
        <v>1169816296.1400001</v>
      </c>
      <c r="M2126">
        <v>13.2817743103198</v>
      </c>
      <c r="N2126" s="7">
        <v>3.5955408605665999</v>
      </c>
      <c r="O2126" s="7">
        <v>3.3667776493108201</v>
      </c>
      <c r="P2126" s="7">
        <v>13.283656861038001</v>
      </c>
      <c r="Q2126" s="7">
        <v>0.82095161393159266</v>
      </c>
      <c r="T2126" s="2"/>
      <c r="U2126">
        <v>1.0373982132566335</v>
      </c>
      <c r="AT2126" s="4" t="s">
        <v>4410</v>
      </c>
    </row>
    <row r="2127" spans="1:46">
      <c r="A2127" s="2">
        <v>3168</v>
      </c>
      <c r="B2127" t="s">
        <v>7158</v>
      </c>
      <c r="C2127" t="s">
        <v>2057</v>
      </c>
      <c r="D2127" t="s">
        <v>3718</v>
      </c>
      <c r="E2127" s="4">
        <v>43465</v>
      </c>
      <c r="F2127" s="11">
        <v>-40.646026399999997</v>
      </c>
      <c r="G2127" s="11">
        <v>2.4147727300000001</v>
      </c>
      <c r="H2127" s="11">
        <v>-0.66920959930000001</v>
      </c>
      <c r="I2127" s="11">
        <v>23.926237889999999</v>
      </c>
      <c r="J2127" s="11">
        <v>8.0317162822999997</v>
      </c>
      <c r="K2127" s="10">
        <v>0.59829933096999999</v>
      </c>
      <c r="L2127" s="12">
        <v>6416740757.7600002</v>
      </c>
      <c r="M2127">
        <v>38.808445355096801</v>
      </c>
      <c r="N2127" s="7">
        <v>2.9672384105079801</v>
      </c>
      <c r="O2127" s="7">
        <v>2.68782119434931</v>
      </c>
      <c r="P2127" s="7">
        <v>-102.142950019144</v>
      </c>
      <c r="Q2127" s="7">
        <v>0.85348506401137991</v>
      </c>
      <c r="U2127">
        <v>0.19445934773946361</v>
      </c>
      <c r="AT2127" s="4" t="s">
        <v>4012</v>
      </c>
    </row>
    <row r="2128" spans="1:46">
      <c r="A2128" s="2">
        <v>518</v>
      </c>
      <c r="B2128" t="s">
        <v>7159</v>
      </c>
      <c r="C2128" t="s">
        <v>397</v>
      </c>
      <c r="D2128" t="s">
        <v>3737</v>
      </c>
      <c r="E2128" s="4">
        <v>43465</v>
      </c>
      <c r="F2128" s="11">
        <v>99.906623640000007</v>
      </c>
      <c r="G2128" s="11">
        <v>2.3780487799999999</v>
      </c>
      <c r="H2128" s="11">
        <v>35.8386348493</v>
      </c>
      <c r="I2128" s="11">
        <v>64.978787030199996</v>
      </c>
      <c r="J2128" s="11">
        <v>37.599496348099997</v>
      </c>
      <c r="K2128" s="10">
        <v>0.54931666448799998</v>
      </c>
      <c r="L2128" s="12">
        <v>1746320000</v>
      </c>
      <c r="M2128">
        <v>35.039147010165799</v>
      </c>
      <c r="N2128" s="7">
        <v>5.52050782762689</v>
      </c>
      <c r="O2128" s="7">
        <v>11.1425022821499</v>
      </c>
      <c r="P2128" s="7">
        <v>-1081.1922001436101</v>
      </c>
      <c r="Q2128" s="7">
        <v>0.79697150826857943</v>
      </c>
      <c r="U2128">
        <v>1.225167219481931</v>
      </c>
      <c r="AT2128" s="4" t="s">
        <v>4743</v>
      </c>
    </row>
    <row r="2129" spans="1:46">
      <c r="A2129" s="2">
        <v>3073</v>
      </c>
      <c r="B2129" t="s">
        <v>7160</v>
      </c>
      <c r="C2129" t="s">
        <v>1328</v>
      </c>
      <c r="D2129" t="s">
        <v>3972</v>
      </c>
      <c r="E2129" s="4">
        <v>43465</v>
      </c>
      <c r="F2129" s="11">
        <v>-23.10476255</v>
      </c>
      <c r="G2129" s="11">
        <v>2.36486486</v>
      </c>
      <c r="H2129" s="11">
        <v>-60.887440107899998</v>
      </c>
      <c r="I2129" s="11">
        <v>50.909915505999997</v>
      </c>
      <c r="J2129" s="11">
        <v>45.725800805900001</v>
      </c>
      <c r="K2129" s="10">
        <v>0.13979188505599999</v>
      </c>
      <c r="L2129" s="12">
        <v>15231628800</v>
      </c>
      <c r="M2129">
        <v>11.786023760616899</v>
      </c>
      <c r="N2129" s="7">
        <v>0.92321412237523504</v>
      </c>
      <c r="O2129" s="7">
        <v>1.99985824978048</v>
      </c>
      <c r="P2129" s="7">
        <v>9.3767181151369297</v>
      </c>
      <c r="Q2129" s="7">
        <v>2.3549488054607504</v>
      </c>
      <c r="U2129">
        <v>0.22943286395382756</v>
      </c>
      <c r="AT2129" s="4" t="s">
        <v>5324</v>
      </c>
    </row>
    <row r="2130" spans="1:46">
      <c r="A2130" s="2">
        <v>2708</v>
      </c>
      <c r="B2130" t="s">
        <v>7161</v>
      </c>
      <c r="C2130" t="s">
        <v>2776</v>
      </c>
      <c r="D2130" t="s">
        <v>3764</v>
      </c>
      <c r="E2130" s="4">
        <v>43465</v>
      </c>
      <c r="F2130" s="11">
        <v>5.6226119299999997</v>
      </c>
      <c r="G2130" s="11">
        <v>2.3454157800000002</v>
      </c>
      <c r="H2130" s="11">
        <v>7.3792619239999997</v>
      </c>
      <c r="I2130" s="11">
        <v>8.9366493532</v>
      </c>
      <c r="J2130" s="11">
        <v>8.6878282032000005</v>
      </c>
      <c r="K2130" s="10">
        <v>0.23940446060699999</v>
      </c>
      <c r="L2130" s="12">
        <v>6058489752</v>
      </c>
      <c r="M2130">
        <v>62.987744623035503</v>
      </c>
      <c r="N2130" s="7">
        <v>1.85973696153688</v>
      </c>
      <c r="O2130" s="7">
        <v>2.67937459114771</v>
      </c>
      <c r="P2130" s="7">
        <v>-9.6831725759686904</v>
      </c>
      <c r="Q2130" s="7">
        <v>1.3245033112582782</v>
      </c>
      <c r="U2130">
        <v>0.16206582249614043</v>
      </c>
      <c r="AT2130" s="4" t="s">
        <v>6179</v>
      </c>
    </row>
    <row r="2131" spans="1:46">
      <c r="A2131" s="2">
        <v>3380</v>
      </c>
      <c r="B2131" t="s">
        <v>7162</v>
      </c>
      <c r="C2131" t="s">
        <v>618</v>
      </c>
      <c r="D2131" t="s">
        <v>3728</v>
      </c>
      <c r="E2131" s="4">
        <v>43465</v>
      </c>
      <c r="F2131" s="11">
        <v>-29.85142561</v>
      </c>
      <c r="G2131" s="11">
        <v>2.3442732799999999</v>
      </c>
      <c r="H2131" s="11">
        <v>10.438772588100001</v>
      </c>
      <c r="I2131" s="11">
        <v>35.112560540200001</v>
      </c>
      <c r="J2131" s="11">
        <v>10.484873032799999</v>
      </c>
      <c r="K2131" s="10">
        <v>1.0071929289429999</v>
      </c>
      <c r="L2131" s="12">
        <v>5881550928</v>
      </c>
      <c r="M2131">
        <v>15.504481160020401</v>
      </c>
      <c r="N2131" s="7">
        <v>1.82016959580941</v>
      </c>
      <c r="O2131" s="7">
        <v>1.48665925534105</v>
      </c>
      <c r="P2131" s="7">
        <v>14.8553306411957</v>
      </c>
      <c r="Q2131" s="7">
        <v>3.4153005464480879</v>
      </c>
      <c r="U2131">
        <v>1.0690067433157087</v>
      </c>
      <c r="AT2131" s="4" t="s">
        <v>7163</v>
      </c>
    </row>
    <row r="2132" spans="1:46">
      <c r="A2132" s="2">
        <v>1721</v>
      </c>
      <c r="B2132" t="s">
        <v>7164</v>
      </c>
      <c r="C2132" t="s">
        <v>346</v>
      </c>
      <c r="D2132" t="s">
        <v>3721</v>
      </c>
      <c r="E2132" s="4">
        <v>43465</v>
      </c>
      <c r="F2132" s="11">
        <v>-40.126497190000002</v>
      </c>
      <c r="G2132" s="11">
        <v>2.3407022099999999</v>
      </c>
      <c r="H2132" s="11">
        <v>19.005648675500002</v>
      </c>
      <c r="I2132" s="11">
        <v>38.7509865699</v>
      </c>
      <c r="J2132" s="11">
        <v>16.4123376513</v>
      </c>
      <c r="K2132" s="10">
        <v>0.56515273865799998</v>
      </c>
      <c r="L2132" s="12">
        <v>1506610104.5999999</v>
      </c>
      <c r="M2132">
        <v>13.4814533972388</v>
      </c>
      <c r="N2132" s="7">
        <v>3.8573600264383798</v>
      </c>
      <c r="O2132" s="7">
        <v>2.5668828218072299</v>
      </c>
      <c r="P2132" s="7">
        <v>-32.567899838111501</v>
      </c>
      <c r="Q2132" s="7">
        <v>1.2779552715654954</v>
      </c>
      <c r="U2132">
        <v>0.49728234576336749</v>
      </c>
      <c r="AT2132" s="4" t="s">
        <v>6186</v>
      </c>
    </row>
    <row r="2133" spans="1:46">
      <c r="A2133" s="2">
        <v>3611</v>
      </c>
      <c r="B2133" t="s">
        <v>7165</v>
      </c>
      <c r="C2133" t="s">
        <v>1448</v>
      </c>
      <c r="D2133" t="s">
        <v>3998</v>
      </c>
      <c r="E2133" s="4">
        <v>43465</v>
      </c>
      <c r="F2133" s="11">
        <v>-56.734723099999997</v>
      </c>
      <c r="G2133" s="11">
        <v>2.3276633800000002</v>
      </c>
      <c r="H2133" s="11">
        <v>4.7191421463000003</v>
      </c>
      <c r="I2133" s="11">
        <v>15.1151687607</v>
      </c>
      <c r="J2133" s="11">
        <v>8.8094733299999994</v>
      </c>
      <c r="K2133" s="10">
        <v>0.89950962824000003</v>
      </c>
      <c r="L2133" s="12">
        <v>10014899600</v>
      </c>
      <c r="M2133">
        <v>23.6323179879913</v>
      </c>
      <c r="N2133" s="7">
        <v>1.7682856255482</v>
      </c>
      <c r="O2133" s="7">
        <v>1.7660527721605299</v>
      </c>
      <c r="P2133" s="7">
        <v>40.1833710902497</v>
      </c>
      <c r="Q2133" s="7">
        <v>0.76997112608277196</v>
      </c>
      <c r="U2133">
        <v>0.54953988294714673</v>
      </c>
      <c r="AT2133" s="4" t="s">
        <v>7166</v>
      </c>
    </row>
    <row r="2134" spans="1:46">
      <c r="A2134" s="2">
        <v>1229</v>
      </c>
      <c r="B2134" t="s">
        <v>7167</v>
      </c>
      <c r="C2134" t="s">
        <v>2462</v>
      </c>
      <c r="D2134" t="s">
        <v>3785</v>
      </c>
      <c r="E2134" s="4">
        <v>43465</v>
      </c>
      <c r="F2134" s="11">
        <v>-32.857140659999999</v>
      </c>
      <c r="G2134" s="11">
        <v>2.2977941199999998</v>
      </c>
      <c r="H2134" s="11">
        <v>3.5589800799</v>
      </c>
      <c r="I2134" s="11">
        <v>36.652859988000003</v>
      </c>
      <c r="J2134" s="11">
        <v>-25.7760523828</v>
      </c>
      <c r="K2134" s="10">
        <v>0.437609935314</v>
      </c>
      <c r="L2134" s="12">
        <v>2491292871.4200001</v>
      </c>
      <c r="M2134">
        <v>236.634334666379</v>
      </c>
      <c r="N2134" s="7">
        <v>1.94142152804997</v>
      </c>
      <c r="O2134" s="7">
        <v>3.0453403773633601</v>
      </c>
      <c r="P2134" s="7">
        <v>18.4037536134419</v>
      </c>
      <c r="Q2134" s="7" t="s">
        <v>3698</v>
      </c>
      <c r="U2134">
        <v>-0.88508980529323689</v>
      </c>
      <c r="AT2134" s="4" t="s">
        <v>3759</v>
      </c>
    </row>
    <row r="2135" spans="1:46">
      <c r="A2135" s="2">
        <v>1724</v>
      </c>
      <c r="B2135" t="s">
        <v>7168</v>
      </c>
      <c r="C2135" t="s">
        <v>1744</v>
      </c>
      <c r="D2135" t="s">
        <v>3790</v>
      </c>
      <c r="E2135" s="4">
        <v>43465</v>
      </c>
      <c r="F2135" s="11">
        <v>-27.126903899999999</v>
      </c>
      <c r="G2135" s="11">
        <v>2.2774327099999998</v>
      </c>
      <c r="H2135" s="11">
        <v>4.6951991602999996</v>
      </c>
      <c r="I2135" s="11">
        <v>57.946239825799999</v>
      </c>
      <c r="J2135" s="11">
        <v>10.4060081302</v>
      </c>
      <c r="K2135" s="10">
        <v>0.24157922565500001</v>
      </c>
      <c r="L2135" s="12">
        <v>7227484442.9200001</v>
      </c>
      <c r="M2135">
        <v>-8.9371618414253806</v>
      </c>
      <c r="N2135" s="7">
        <v>10.324685825138101</v>
      </c>
      <c r="O2135" s="7">
        <v>6.4850929170244198</v>
      </c>
      <c r="P2135" s="7">
        <v>-22.990803110162901</v>
      </c>
      <c r="Q2135" s="7">
        <v>0.21367521367521369</v>
      </c>
      <c r="U2135">
        <v>7.9669466455134633E-2</v>
      </c>
      <c r="AT2135" s="4" t="s">
        <v>3908</v>
      </c>
    </row>
    <row r="2136" spans="1:46">
      <c r="A2136" s="2">
        <v>3548</v>
      </c>
      <c r="B2136" t="s">
        <v>7169</v>
      </c>
      <c r="C2136" t="s">
        <v>1541</v>
      </c>
      <c r="D2136" t="s">
        <v>3972</v>
      </c>
      <c r="E2136" s="4">
        <v>43465</v>
      </c>
      <c r="F2136" s="11">
        <v>-37.090815409999998</v>
      </c>
      <c r="G2136" s="11">
        <v>2.2702702700000001</v>
      </c>
      <c r="H2136" s="11">
        <v>107.41027642109999</v>
      </c>
      <c r="I2136" s="11">
        <v>15.169564493599999</v>
      </c>
      <c r="J2136" s="11">
        <v>6.7774208187999996</v>
      </c>
      <c r="K2136" s="10">
        <v>1.110372908615</v>
      </c>
      <c r="L2136" s="12">
        <v>94124500912.050003</v>
      </c>
      <c r="M2136">
        <v>34.146417413968599</v>
      </c>
      <c r="N2136" s="7">
        <v>2.7198076797900099</v>
      </c>
      <c r="O2136" s="7">
        <v>2.28978943617585</v>
      </c>
      <c r="P2136" s="7">
        <v>-9.5402613247236197</v>
      </c>
      <c r="Q2136" s="7">
        <v>1.0809677393242763</v>
      </c>
      <c r="U2136">
        <v>0.62114609313232827</v>
      </c>
      <c r="AT2136" s="4" t="s">
        <v>7170</v>
      </c>
    </row>
    <row r="2137" spans="1:46">
      <c r="A2137" s="2">
        <v>1743</v>
      </c>
      <c r="B2137" t="s">
        <v>7171</v>
      </c>
      <c r="C2137" t="s">
        <v>2670</v>
      </c>
      <c r="D2137" t="s">
        <v>3737</v>
      </c>
      <c r="E2137" s="4">
        <v>43465</v>
      </c>
      <c r="F2137" s="11">
        <v>-24.088287099999999</v>
      </c>
      <c r="G2137" s="11">
        <v>2.2613065300000001</v>
      </c>
      <c r="H2137" s="11">
        <v>40.188766768999997</v>
      </c>
      <c r="I2137" s="11">
        <v>50.2108050633</v>
      </c>
      <c r="J2137" s="11">
        <v>12.459274838400001</v>
      </c>
      <c r="K2137" s="10">
        <v>0.228299271582</v>
      </c>
      <c r="L2137" s="12">
        <v>24282972360.360001</v>
      </c>
      <c r="M2137">
        <v>-12.0369619968475</v>
      </c>
      <c r="N2137" s="7">
        <v>8.4342278090838896</v>
      </c>
      <c r="O2137" s="7">
        <v>5.6965807360776202</v>
      </c>
      <c r="P2137" s="7">
        <v>116.39158473591</v>
      </c>
      <c r="Q2137" s="7" t="s">
        <v>3698</v>
      </c>
      <c r="U2137">
        <v>8.4739697247633916E-2</v>
      </c>
      <c r="AT2137" s="4" t="s">
        <v>3954</v>
      </c>
    </row>
    <row r="2138" spans="1:46">
      <c r="A2138" s="2">
        <v>623</v>
      </c>
      <c r="B2138" t="s">
        <v>7172</v>
      </c>
      <c r="C2138" t="s">
        <v>3521</v>
      </c>
      <c r="D2138" t="s">
        <v>3761</v>
      </c>
      <c r="E2138" s="4">
        <v>43465</v>
      </c>
      <c r="F2138" s="11">
        <v>-60.712234350000003</v>
      </c>
      <c r="G2138" s="11">
        <v>2.2556390999999998</v>
      </c>
      <c r="H2138" s="11">
        <v>6.4697347939999998</v>
      </c>
      <c r="I2138" s="11">
        <v>12.8348013741</v>
      </c>
      <c r="J2138" s="11">
        <v>1.1015094123</v>
      </c>
      <c r="K2138" s="10">
        <v>0.52568087307</v>
      </c>
      <c r="L2138" s="12">
        <v>5841791176.2600002</v>
      </c>
      <c r="M2138">
        <v>-10.283331037355</v>
      </c>
      <c r="N2138" s="7">
        <v>3.4866847638746701</v>
      </c>
      <c r="O2138" s="7">
        <v>2.3089844004885101</v>
      </c>
      <c r="P2138" s="7">
        <v>-268.27145440444201</v>
      </c>
      <c r="Q2138" s="7" t="s">
        <v>3698</v>
      </c>
      <c r="U2138">
        <v>3.1180701587301591E-2</v>
      </c>
      <c r="AT2138" s="4" t="s">
        <v>7173</v>
      </c>
    </row>
    <row r="2139" spans="1:46">
      <c r="A2139" s="2">
        <v>2365</v>
      </c>
      <c r="B2139" t="s">
        <v>7174</v>
      </c>
      <c r="C2139" t="s">
        <v>505</v>
      </c>
      <c r="D2139" t="s">
        <v>3842</v>
      </c>
      <c r="E2139" s="4">
        <v>43465</v>
      </c>
      <c r="F2139" s="11">
        <v>-38.912419440000001</v>
      </c>
      <c r="G2139" s="11">
        <v>2.2471910099999999</v>
      </c>
      <c r="H2139" s="11">
        <v>15.5036757366</v>
      </c>
      <c r="I2139" s="11">
        <v>12.6995926152</v>
      </c>
      <c r="J2139" s="11">
        <v>5.7630616469999998</v>
      </c>
      <c r="K2139" s="10">
        <v>1.3506164960860001</v>
      </c>
      <c r="L2139" s="12">
        <v>23710437010.5</v>
      </c>
      <c r="M2139">
        <v>4.8882701475574901</v>
      </c>
      <c r="N2139" s="7">
        <v>0.99369181454115096</v>
      </c>
      <c r="O2139" s="7">
        <v>0.362942585684426</v>
      </c>
      <c r="P2139" s="7">
        <v>-7.05617984809391</v>
      </c>
      <c r="Q2139" s="7">
        <v>1.6236162361623614</v>
      </c>
      <c r="U2139">
        <v>0.43209206654858806</v>
      </c>
      <c r="AT2139" s="4" t="s">
        <v>4154</v>
      </c>
    </row>
    <row r="2140" spans="1:46">
      <c r="A2140" s="2">
        <v>3529</v>
      </c>
      <c r="B2140" t="s">
        <v>7175</v>
      </c>
      <c r="C2140" t="s">
        <v>1030</v>
      </c>
      <c r="D2140" t="s">
        <v>3849</v>
      </c>
      <c r="E2140" s="4">
        <v>43465</v>
      </c>
      <c r="F2140" s="11">
        <v>-39.247583429999999</v>
      </c>
      <c r="G2140" s="11">
        <v>2.2429906499999999</v>
      </c>
      <c r="H2140" s="11">
        <v>-2.1884012360999998</v>
      </c>
      <c r="I2140" s="11">
        <v>18.029534674400001</v>
      </c>
      <c r="J2140" s="11">
        <v>4.1758065360999996</v>
      </c>
      <c r="K2140" s="10">
        <v>0.69136251660600001</v>
      </c>
      <c r="L2140" s="12">
        <v>1556480000</v>
      </c>
      <c r="M2140">
        <v>27.154248508806699</v>
      </c>
      <c r="N2140" s="7">
        <v>1.2864870210366299</v>
      </c>
      <c r="O2140" s="7">
        <v>1.09263272554827</v>
      </c>
      <c r="P2140" s="7">
        <v>-15.7922317923982</v>
      </c>
      <c r="Q2140" s="7">
        <v>1.1527377521613833</v>
      </c>
      <c r="U2140">
        <v>0.38367357313725492</v>
      </c>
      <c r="AT2140" s="4" t="s">
        <v>6411</v>
      </c>
    </row>
    <row r="2141" spans="1:46">
      <c r="A2141" s="2">
        <v>2733</v>
      </c>
      <c r="B2141" t="s">
        <v>7176</v>
      </c>
      <c r="C2141" t="s">
        <v>836</v>
      </c>
      <c r="D2141" t="s">
        <v>3849</v>
      </c>
      <c r="E2141" s="4">
        <v>43465</v>
      </c>
      <c r="F2141" s="11">
        <v>-10.38661536</v>
      </c>
      <c r="G2141" s="11">
        <v>2.23880597</v>
      </c>
      <c r="H2141" s="11">
        <v>8.0796661156000003</v>
      </c>
      <c r="I2141" s="11">
        <v>42.630095726</v>
      </c>
      <c r="J2141" s="11">
        <v>20.307419277600001</v>
      </c>
      <c r="K2141" s="10">
        <v>0.61107800676599999</v>
      </c>
      <c r="L2141" s="12">
        <v>1804902750</v>
      </c>
      <c r="M2141">
        <v>15.1984596623932</v>
      </c>
      <c r="N2141" s="7">
        <v>2.8520107689514802</v>
      </c>
      <c r="O2141" s="7">
        <v>2.7956600245074799</v>
      </c>
      <c r="P2141" s="7">
        <v>28.003991136281201</v>
      </c>
      <c r="Q2141" s="7">
        <v>3.3738191632928474</v>
      </c>
      <c r="U2141">
        <v>1.6425331280830735</v>
      </c>
      <c r="AT2141" s="4" t="s">
        <v>7177</v>
      </c>
    </row>
    <row r="2142" spans="1:46">
      <c r="A2142" s="2">
        <v>720</v>
      </c>
      <c r="B2142" t="s">
        <v>7178</v>
      </c>
      <c r="C2142" t="s">
        <v>2895</v>
      </c>
      <c r="D2142" t="s">
        <v>3718</v>
      </c>
      <c r="E2142" s="4">
        <v>43465</v>
      </c>
      <c r="F2142" s="11">
        <v>-30.752749659999999</v>
      </c>
      <c r="G2142" s="11">
        <v>2.20588235</v>
      </c>
      <c r="H2142" s="11">
        <v>2.4834872268999999</v>
      </c>
      <c r="I2142" s="11">
        <v>26.3865337497</v>
      </c>
      <c r="J2142" s="11">
        <v>1.0498102772</v>
      </c>
      <c r="K2142" s="10">
        <v>0.63273726244999995</v>
      </c>
      <c r="L2142" s="12">
        <v>8526637999.1999998</v>
      </c>
      <c r="M2142">
        <v>-136.48395490673701</v>
      </c>
      <c r="N2142" s="7">
        <v>2.0631946832438999</v>
      </c>
      <c r="O2142" s="7">
        <v>1.3489879148450401</v>
      </c>
      <c r="P2142" s="7">
        <v>-74.029205489069199</v>
      </c>
      <c r="Q2142" s="7">
        <v>8.8757396449704151E-2</v>
      </c>
      <c r="U2142">
        <v>5.2989993856406889E-2</v>
      </c>
      <c r="AT2142" s="4" t="s">
        <v>7179</v>
      </c>
    </row>
    <row r="2143" spans="1:46">
      <c r="A2143" s="2">
        <v>2759</v>
      </c>
      <c r="B2143" t="s">
        <v>7180</v>
      </c>
      <c r="C2143" t="s">
        <v>3236</v>
      </c>
      <c r="D2143" t="s">
        <v>3849</v>
      </c>
      <c r="E2143" s="4">
        <v>43465</v>
      </c>
      <c r="F2143" s="11">
        <v>-45.499323429999997</v>
      </c>
      <c r="G2143" s="11">
        <v>2.1897810199999999</v>
      </c>
      <c r="H2143" s="11">
        <v>3.1260064342999998</v>
      </c>
      <c r="I2143" s="11">
        <v>14.021735661799999</v>
      </c>
      <c r="J2143" s="11">
        <v>1.1239780069</v>
      </c>
      <c r="K2143" s="10">
        <v>0.71834396432100001</v>
      </c>
      <c r="L2143" s="12">
        <v>5697887172.5799999</v>
      </c>
      <c r="M2143">
        <v>18.5811631351019</v>
      </c>
      <c r="N2143" s="7">
        <v>1.29336084397494</v>
      </c>
      <c r="O2143" s="7">
        <v>0.20615097534253099</v>
      </c>
      <c r="P2143" s="7">
        <v>4.0017475010511099</v>
      </c>
      <c r="Q2143" s="7">
        <v>0.40479760119940039</v>
      </c>
      <c r="U2143">
        <v>0.26183588547587677</v>
      </c>
      <c r="AT2143" s="4" t="s">
        <v>4107</v>
      </c>
    </row>
    <row r="2144" spans="1:46">
      <c r="A2144" s="2">
        <v>3070</v>
      </c>
      <c r="B2144" t="s">
        <v>7181</v>
      </c>
      <c r="C2144" t="s">
        <v>2944</v>
      </c>
      <c r="D2144" t="s">
        <v>3718</v>
      </c>
      <c r="E2144" s="4">
        <v>43465</v>
      </c>
      <c r="F2144" s="11">
        <v>5.1356635199999996</v>
      </c>
      <c r="G2144" s="11">
        <v>2.1158129200000002</v>
      </c>
      <c r="H2144" s="11">
        <v>-1.4179140477000001</v>
      </c>
      <c r="I2144" s="11">
        <v>26.955139197400001</v>
      </c>
      <c r="J2144" s="11">
        <v>1.8722072642000001</v>
      </c>
      <c r="K2144" s="10">
        <v>0.42950369289700002</v>
      </c>
      <c r="L2144" s="12">
        <v>3784500000</v>
      </c>
      <c r="M2144">
        <v>-247.512811271152</v>
      </c>
      <c r="N2144" s="7">
        <v>2.1975678295185599</v>
      </c>
      <c r="O2144" s="7">
        <v>2.09368208920979</v>
      </c>
      <c r="P2144" s="7">
        <v>-41.5604011752663</v>
      </c>
      <c r="Q2144" s="7">
        <v>0.21739130434782608</v>
      </c>
      <c r="U2144">
        <v>3.625898480227966E-2</v>
      </c>
      <c r="AT2144" s="4" t="s">
        <v>7182</v>
      </c>
    </row>
    <row r="2145" spans="1:46">
      <c r="A2145" s="2">
        <v>2978</v>
      </c>
      <c r="B2145" t="s">
        <v>7183</v>
      </c>
      <c r="C2145" t="s">
        <v>898</v>
      </c>
      <c r="D2145" t="s">
        <v>3764</v>
      </c>
      <c r="E2145" s="4">
        <v>43465</v>
      </c>
      <c r="F2145" s="11">
        <v>-32.91710878</v>
      </c>
      <c r="G2145" s="11">
        <v>2.1067415700000001</v>
      </c>
      <c r="H2145" s="11">
        <v>11.507446373100001</v>
      </c>
      <c r="I2145" s="11">
        <v>12.370573309399999</v>
      </c>
      <c r="J2145" s="11">
        <v>5.7786274877999997</v>
      </c>
      <c r="K2145" s="10">
        <v>0.76789788113400004</v>
      </c>
      <c r="L2145" s="12">
        <v>49317524553</v>
      </c>
      <c r="M2145">
        <v>39.456681403056699</v>
      </c>
      <c r="N2145" s="7">
        <v>2.87056486096765</v>
      </c>
      <c r="O2145" s="7">
        <v>1.8455502881953101</v>
      </c>
      <c r="P2145" s="7">
        <v>-153.234876858978</v>
      </c>
      <c r="Q2145" s="7">
        <v>1.1126564673157162</v>
      </c>
      <c r="U2145">
        <v>0.2234386630848329</v>
      </c>
      <c r="AT2145" s="4" t="s">
        <v>7184</v>
      </c>
    </row>
    <row r="2146" spans="1:46">
      <c r="A2146" s="2">
        <v>20</v>
      </c>
      <c r="B2146" t="s">
        <v>7185</v>
      </c>
      <c r="C2146" t="s">
        <v>3036</v>
      </c>
      <c r="D2146" t="s">
        <v>3721</v>
      </c>
      <c r="E2146" s="4">
        <v>43465</v>
      </c>
      <c r="F2146" s="11">
        <v>-24.593639580000001</v>
      </c>
      <c r="G2146" s="11">
        <v>2.0076481799999999</v>
      </c>
      <c r="H2146" s="11">
        <v>-25.755604811200001</v>
      </c>
      <c r="I2146" s="11">
        <v>11.0439673832</v>
      </c>
      <c r="J2146" s="11">
        <v>0.51723408719999997</v>
      </c>
      <c r="K2146" s="10">
        <v>1.0218474284750001</v>
      </c>
      <c r="L2146" s="12">
        <v>3987112070.1300001</v>
      </c>
      <c r="M2146">
        <v>1454.9130216869</v>
      </c>
      <c r="N2146" s="7">
        <v>9.1424660079223106</v>
      </c>
      <c r="O2146" s="7">
        <v>4.3837978374197597</v>
      </c>
      <c r="P2146" s="7">
        <v>-49.6276691385441</v>
      </c>
      <c r="Q2146" s="7" t="s">
        <v>3698</v>
      </c>
      <c r="U2146">
        <v>1.1636560396738216E-2</v>
      </c>
      <c r="AT2146" s="4" t="s">
        <v>7186</v>
      </c>
    </row>
    <row r="2147" spans="1:46">
      <c r="A2147" s="2">
        <v>2203</v>
      </c>
      <c r="B2147" t="s">
        <v>7187</v>
      </c>
      <c r="C2147" t="s">
        <v>258</v>
      </c>
      <c r="D2147" t="s">
        <v>3737</v>
      </c>
      <c r="E2147" s="4">
        <v>43465</v>
      </c>
      <c r="F2147" s="11">
        <v>-44.895830840000002</v>
      </c>
      <c r="G2147" s="11">
        <v>1.9888623700000001</v>
      </c>
      <c r="H2147" s="11">
        <v>2.1379429023999998</v>
      </c>
      <c r="I2147" s="11">
        <v>20.949074341799999</v>
      </c>
      <c r="J2147" s="11">
        <v>5.8725346002999999</v>
      </c>
      <c r="K2147" s="10">
        <v>1.332726634101</v>
      </c>
      <c r="L2147" s="12">
        <v>14496454254.25</v>
      </c>
      <c r="M2147">
        <v>10.5214280400142</v>
      </c>
      <c r="N2147" s="7">
        <v>1.92639315604702</v>
      </c>
      <c r="O2147" s="7">
        <v>0.437646836077551</v>
      </c>
      <c r="P2147" s="7">
        <v>-96.688111251044603</v>
      </c>
      <c r="Q2147" s="7">
        <v>3.4609736632082999</v>
      </c>
      <c r="U2147">
        <v>1.4455224496469412</v>
      </c>
      <c r="AT2147" s="4" t="s">
        <v>3779</v>
      </c>
    </row>
    <row r="2148" spans="1:46">
      <c r="A2148" s="2">
        <v>2388</v>
      </c>
      <c r="B2148" t="s">
        <v>7188</v>
      </c>
      <c r="C2148" t="s">
        <v>2627</v>
      </c>
      <c r="D2148" t="s">
        <v>3781</v>
      </c>
      <c r="E2148" s="4">
        <v>43465</v>
      </c>
      <c r="F2148" s="11">
        <v>-41.621621619999999</v>
      </c>
      <c r="G2148" s="11">
        <v>1.9138755999999999</v>
      </c>
      <c r="H2148" s="11">
        <v>7.3770270778000002</v>
      </c>
      <c r="I2148" s="11">
        <v>21.247394681300001</v>
      </c>
      <c r="J2148" s="11">
        <v>1.5890326706</v>
      </c>
      <c r="K2148" s="10">
        <v>0.614077828933</v>
      </c>
      <c r="L2148" s="12">
        <v>4085384400</v>
      </c>
      <c r="M2148">
        <v>391.584726686294</v>
      </c>
      <c r="N2148" s="7">
        <v>1.54705002496678</v>
      </c>
      <c r="O2148" s="7">
        <v>1.86769350991118</v>
      </c>
      <c r="P2148" s="7">
        <v>22.200125307028799</v>
      </c>
      <c r="Q2148" s="7" t="s">
        <v>3698</v>
      </c>
      <c r="U2148">
        <v>3.6696637521703747E-2</v>
      </c>
      <c r="AT2148" s="4" t="s">
        <v>7189</v>
      </c>
    </row>
    <row r="2149" spans="1:46">
      <c r="A2149" s="2">
        <v>742</v>
      </c>
      <c r="B2149" t="s">
        <v>7190</v>
      </c>
      <c r="C2149" t="s">
        <v>2731</v>
      </c>
      <c r="D2149" t="s">
        <v>3713</v>
      </c>
      <c r="E2149" s="4">
        <v>43465</v>
      </c>
      <c r="F2149" s="11">
        <v>-36.276343879999999</v>
      </c>
      <c r="G2149" s="11">
        <v>1.9061583600000001</v>
      </c>
      <c r="H2149" s="11">
        <v>-50.8256357263</v>
      </c>
      <c r="I2149" s="11">
        <v>12.2324227308</v>
      </c>
      <c r="J2149" s="11">
        <v>-53.675201206899999</v>
      </c>
      <c r="K2149" s="10">
        <v>0.27971537400399998</v>
      </c>
      <c r="L2149" s="12">
        <v>19503863337.919998</v>
      </c>
      <c r="M2149">
        <v>1688.56266121877</v>
      </c>
      <c r="N2149" s="7">
        <v>4.4171572807088699</v>
      </c>
      <c r="O2149" s="7">
        <v>5.9025744800174103</v>
      </c>
      <c r="P2149" s="7">
        <v>36.191793619489196</v>
      </c>
      <c r="Q2149" s="7" t="s">
        <v>3698</v>
      </c>
      <c r="U2149">
        <v>-0.37236924414237671</v>
      </c>
      <c r="AT2149" s="4" t="s">
        <v>5023</v>
      </c>
    </row>
    <row r="2150" spans="1:46">
      <c r="A2150" s="2">
        <v>2327</v>
      </c>
      <c r="B2150" t="s">
        <v>7191</v>
      </c>
      <c r="C2150" t="s">
        <v>2489</v>
      </c>
      <c r="D2150" t="s">
        <v>3785</v>
      </c>
      <c r="E2150" s="4">
        <v>43465</v>
      </c>
      <c r="F2150" s="11">
        <v>-31.59864528</v>
      </c>
      <c r="G2150" s="11">
        <v>1.8766756</v>
      </c>
      <c r="H2150" s="11">
        <v>50.718016925500002</v>
      </c>
      <c r="I2150" s="11">
        <v>38.991422514</v>
      </c>
      <c r="J2150" s="11">
        <v>3.1378556508000002</v>
      </c>
      <c r="K2150" s="10">
        <v>0.24255356514400001</v>
      </c>
      <c r="L2150" s="12">
        <v>2347811200</v>
      </c>
      <c r="M2150">
        <v>-61.8338335671301</v>
      </c>
      <c r="N2150" s="7">
        <v>1.0539336778566299</v>
      </c>
      <c r="O2150" s="7">
        <v>1.8255989426671999</v>
      </c>
      <c r="P2150" s="7">
        <v>4.8271596493103797</v>
      </c>
      <c r="Q2150" s="7" t="s">
        <v>3698</v>
      </c>
      <c r="U2150">
        <v>5.8557315714106134E-2</v>
      </c>
      <c r="AT2150" s="4" t="s">
        <v>5532</v>
      </c>
    </row>
    <row r="2151" spans="1:46">
      <c r="A2151" s="2">
        <v>3022</v>
      </c>
      <c r="B2151" t="s">
        <v>7192</v>
      </c>
      <c r="C2151" t="s">
        <v>1222</v>
      </c>
      <c r="D2151" t="s">
        <v>3778</v>
      </c>
      <c r="E2151" s="4">
        <v>43465</v>
      </c>
      <c r="F2151" s="11">
        <v>-27.272727270000001</v>
      </c>
      <c r="G2151" s="11">
        <v>1.8735363</v>
      </c>
      <c r="H2151" s="11">
        <v>22.883235734100001</v>
      </c>
      <c r="I2151" s="11">
        <v>51.573568569899997</v>
      </c>
      <c r="J2151" s="11">
        <v>10.4542756174</v>
      </c>
      <c r="K2151" s="10">
        <v>0.43044318329699999</v>
      </c>
      <c r="L2151" s="12">
        <v>2044397225.1800001</v>
      </c>
      <c r="M2151">
        <v>11.917400509887701</v>
      </c>
      <c r="N2151" s="7">
        <v>1.2968764491334801</v>
      </c>
      <c r="O2151" s="7">
        <v>0.71309675696159203</v>
      </c>
      <c r="P2151" s="7">
        <v>-3.10010681952203</v>
      </c>
      <c r="Q2151" s="7" t="s">
        <v>3698</v>
      </c>
      <c r="U2151">
        <v>0.39416336206608116</v>
      </c>
      <c r="AT2151" s="4" t="s">
        <v>7193</v>
      </c>
    </row>
    <row r="2152" spans="1:46">
      <c r="A2152" s="2">
        <v>1092</v>
      </c>
      <c r="B2152" t="s">
        <v>7194</v>
      </c>
      <c r="C2152" t="s">
        <v>882</v>
      </c>
      <c r="D2152" t="s">
        <v>3737</v>
      </c>
      <c r="E2152" s="4">
        <v>43465</v>
      </c>
      <c r="F2152" s="11">
        <v>-62.232655190000003</v>
      </c>
      <c r="G2152" s="11">
        <v>1.8575851400000001</v>
      </c>
      <c r="H2152" s="11">
        <v>-42.826542644600003</v>
      </c>
      <c r="I2152" s="11">
        <v>85.170737455199998</v>
      </c>
      <c r="J2152" s="11">
        <v>-13.9268262507</v>
      </c>
      <c r="K2152" s="10">
        <v>0.16020304981700001</v>
      </c>
      <c r="L2152" s="12">
        <v>3475816523.25</v>
      </c>
      <c r="M2152">
        <v>35.594437930864103</v>
      </c>
      <c r="N2152" s="7">
        <v>1.5544843847462899</v>
      </c>
      <c r="O2152" s="7">
        <v>4.7673500149023296</v>
      </c>
      <c r="P2152" s="7">
        <v>26.0070413220562</v>
      </c>
      <c r="Q2152" s="7" t="s">
        <v>3698</v>
      </c>
      <c r="U2152">
        <v>-0.14519309880003958</v>
      </c>
      <c r="AT2152" s="4" t="s">
        <v>5256</v>
      </c>
    </row>
    <row r="2153" spans="1:46">
      <c r="A2153" s="2">
        <v>378</v>
      </c>
      <c r="B2153" t="s">
        <v>7195</v>
      </c>
      <c r="C2153" t="s">
        <v>303</v>
      </c>
      <c r="D2153" t="s">
        <v>3752</v>
      </c>
      <c r="E2153" s="4">
        <v>43465</v>
      </c>
      <c r="F2153" s="11">
        <v>-43.352129789999999</v>
      </c>
      <c r="G2153" s="11">
        <v>1.8556701</v>
      </c>
      <c r="H2153" s="11">
        <v>9.2524388398999999</v>
      </c>
      <c r="I2153" s="11">
        <v>18.6834375193</v>
      </c>
      <c r="J2153" s="11">
        <v>11.152802256299999</v>
      </c>
      <c r="K2153" s="10">
        <v>1.1840461408030001</v>
      </c>
      <c r="L2153" s="12">
        <v>1700749920</v>
      </c>
      <c r="M2153">
        <v>7.2008113970365404</v>
      </c>
      <c r="N2153" s="7">
        <v>1.2865496200478601</v>
      </c>
      <c r="O2153" s="7">
        <v>0.82992369361052598</v>
      </c>
      <c r="P2153" s="7">
        <v>206.09063119343901</v>
      </c>
      <c r="Q2153" s="7">
        <v>4.4444444444444446</v>
      </c>
      <c r="U2153">
        <v>0.65529255137086329</v>
      </c>
      <c r="AT2153" s="4" t="s">
        <v>7196</v>
      </c>
    </row>
    <row r="2154" spans="1:46">
      <c r="A2154" s="2">
        <v>1712</v>
      </c>
      <c r="B2154" t="s">
        <v>7197</v>
      </c>
      <c r="C2154" t="s">
        <v>1624</v>
      </c>
      <c r="D2154" t="s">
        <v>3713</v>
      </c>
      <c r="E2154" s="4">
        <v>43465</v>
      </c>
      <c r="F2154" s="11">
        <v>-47.699782079999999</v>
      </c>
      <c r="G2154" s="11">
        <v>1.8518518500000001</v>
      </c>
      <c r="H2154" s="11">
        <v>-35.803945242899999</v>
      </c>
      <c r="I2154" s="11">
        <v>13.646950156799999</v>
      </c>
      <c r="J2154" s="11">
        <v>-137.82130792320001</v>
      </c>
      <c r="K2154" s="10">
        <v>0.219573435851</v>
      </c>
      <c r="L2154" s="12">
        <v>40221500000</v>
      </c>
      <c r="M2154">
        <v>16.972165089286602</v>
      </c>
      <c r="N2154" s="7">
        <v>1.8584909129958</v>
      </c>
      <c r="O2154" s="7">
        <v>2.01278921978792</v>
      </c>
      <c r="P2154" s="7">
        <v>-13.992211300737999</v>
      </c>
      <c r="Q2154" s="7" t="s">
        <v>3698</v>
      </c>
      <c r="U2154">
        <v>-1.3650518705766002</v>
      </c>
      <c r="AT2154" s="4" t="s">
        <v>7198</v>
      </c>
    </row>
    <row r="2155" spans="1:46">
      <c r="A2155" s="2">
        <v>1286</v>
      </c>
      <c r="B2155" t="s">
        <v>7199</v>
      </c>
      <c r="C2155" t="s">
        <v>2510</v>
      </c>
      <c r="D2155" t="s">
        <v>3718</v>
      </c>
      <c r="E2155" s="4">
        <v>43465</v>
      </c>
      <c r="F2155" s="11">
        <v>-22.545253649999999</v>
      </c>
      <c r="G2155" s="11">
        <v>1.84842884</v>
      </c>
      <c r="H2155" s="11">
        <v>-5.6462528599999997</v>
      </c>
      <c r="I2155" s="11">
        <v>18.715958587900001</v>
      </c>
      <c r="J2155" s="11">
        <v>2.8302647793000002</v>
      </c>
      <c r="K2155" s="10">
        <v>0.50150934542799996</v>
      </c>
      <c r="L2155" s="12">
        <v>3341123024.5500002</v>
      </c>
      <c r="M2155">
        <v>-387.79010219759601</v>
      </c>
      <c r="N2155" s="7">
        <v>3.3577970046469998</v>
      </c>
      <c r="O2155" s="7">
        <v>5.32508667603323</v>
      </c>
      <c r="P2155" s="7">
        <v>-78.038304745416298</v>
      </c>
      <c r="Q2155" s="7">
        <v>0.10215664018161182</v>
      </c>
      <c r="U2155">
        <v>8.9202044999999994E-2</v>
      </c>
      <c r="AT2155" s="4" t="s">
        <v>4184</v>
      </c>
    </row>
    <row r="2156" spans="1:46">
      <c r="A2156" s="2">
        <v>1278</v>
      </c>
      <c r="B2156" t="s">
        <v>7200</v>
      </c>
      <c r="C2156" t="s">
        <v>2199</v>
      </c>
      <c r="D2156" t="s">
        <v>3713</v>
      </c>
      <c r="E2156" s="4">
        <v>43465</v>
      </c>
      <c r="F2156" s="11">
        <v>-21.05900329</v>
      </c>
      <c r="G2156" s="11">
        <v>1.8115942</v>
      </c>
      <c r="H2156" s="11">
        <v>6.7943835254999998</v>
      </c>
      <c r="I2156" s="11">
        <v>22.399439234100001</v>
      </c>
      <c r="J2156" s="11">
        <v>4.8141936776999996</v>
      </c>
      <c r="K2156" s="10">
        <v>0.73658599130299995</v>
      </c>
      <c r="L2156" s="12">
        <v>1378944000</v>
      </c>
      <c r="M2156">
        <v>34.599855806602598</v>
      </c>
      <c r="N2156" s="7">
        <v>2.65552738177204</v>
      </c>
      <c r="O2156" s="7">
        <v>2.1823458224688799</v>
      </c>
      <c r="P2156" s="7">
        <v>-97.520661503186901</v>
      </c>
      <c r="Q2156" s="7">
        <v>0.55957621428038495</v>
      </c>
      <c r="U2156">
        <v>0.26051804335903112</v>
      </c>
      <c r="AT2156" s="4" t="s">
        <v>4557</v>
      </c>
    </row>
    <row r="2157" spans="1:46">
      <c r="A2157" s="2">
        <v>2684</v>
      </c>
      <c r="B2157" t="s">
        <v>7201</v>
      </c>
      <c r="C2157" t="s">
        <v>1603</v>
      </c>
      <c r="D2157" t="s">
        <v>3972</v>
      </c>
      <c r="E2157" s="4">
        <v>43465</v>
      </c>
      <c r="F2157" s="11">
        <v>-13.646425969999999</v>
      </c>
      <c r="G2157" s="11">
        <v>1.75438596</v>
      </c>
      <c r="H2157" s="11">
        <v>42.2113407792</v>
      </c>
      <c r="I2157" s="11">
        <v>33.179075457800003</v>
      </c>
      <c r="J2157" s="11">
        <v>27.5702436027</v>
      </c>
      <c r="K2157" s="10">
        <v>0.226920229172</v>
      </c>
      <c r="L2157" s="12">
        <v>7648188370.6800003</v>
      </c>
      <c r="M2157">
        <v>19.440180046543201</v>
      </c>
      <c r="N2157" s="7">
        <v>1.0924144423201301</v>
      </c>
      <c r="O2157" s="7">
        <v>3.0215670017242302</v>
      </c>
      <c r="P2157" s="7">
        <v>-44.096462129524497</v>
      </c>
      <c r="Q2157" s="7">
        <v>3.0303030303030307</v>
      </c>
      <c r="U2157">
        <v>0.37288774440362588</v>
      </c>
      <c r="AT2157" s="4" t="s">
        <v>7202</v>
      </c>
    </row>
    <row r="2158" spans="1:46">
      <c r="A2158" s="2">
        <v>734</v>
      </c>
      <c r="B2158" t="s">
        <v>7203</v>
      </c>
      <c r="C2158" t="s">
        <v>480</v>
      </c>
      <c r="D2158" t="s">
        <v>3737</v>
      </c>
      <c r="E2158" s="4">
        <v>43465</v>
      </c>
      <c r="F2158" s="11">
        <v>5.19947509</v>
      </c>
      <c r="G2158" s="11">
        <v>1.73380928</v>
      </c>
      <c r="H2158" s="11">
        <v>18.1227600462</v>
      </c>
      <c r="I2158" s="11">
        <v>39.825180909099998</v>
      </c>
      <c r="J2158" s="11">
        <v>17.949192160999999</v>
      </c>
      <c r="K2158" s="10">
        <v>0.617930227306</v>
      </c>
      <c r="L2158" s="12">
        <v>2225640000</v>
      </c>
      <c r="M2158">
        <v>32.688081737275198</v>
      </c>
      <c r="N2158" s="7">
        <v>4.1545888260275499</v>
      </c>
      <c r="O2158" s="7">
        <v>4.8786757131587004</v>
      </c>
      <c r="P2158" s="7">
        <v>-123.133801030724</v>
      </c>
      <c r="Q2158" s="7">
        <v>0.76804915514592931</v>
      </c>
      <c r="U2158">
        <v>0.72535768297965497</v>
      </c>
      <c r="AT2158" s="4" t="s">
        <v>7204</v>
      </c>
    </row>
    <row r="2159" spans="1:46">
      <c r="A2159" s="2">
        <v>490</v>
      </c>
      <c r="B2159" t="s">
        <v>7205</v>
      </c>
      <c r="C2159" t="s">
        <v>3221</v>
      </c>
      <c r="D2159" t="s">
        <v>3832</v>
      </c>
      <c r="E2159" s="4">
        <v>43465</v>
      </c>
      <c r="F2159" s="11">
        <v>-34.216228409999999</v>
      </c>
      <c r="G2159" s="11">
        <v>1.7208413</v>
      </c>
      <c r="H2159" s="11">
        <v>3.0163791351999998</v>
      </c>
      <c r="I2159" s="11">
        <v>45.971569713800001</v>
      </c>
      <c r="J2159" s="11">
        <v>11.546324214</v>
      </c>
      <c r="K2159" s="10">
        <v>0.20652282867800001</v>
      </c>
      <c r="L2159" s="12">
        <v>60181734592.68</v>
      </c>
      <c r="M2159">
        <v>28.216971603076502</v>
      </c>
      <c r="N2159" s="7">
        <v>1.21371232375615</v>
      </c>
      <c r="O2159" s="7">
        <v>3.26403898442326</v>
      </c>
      <c r="P2159" s="7">
        <v>-47.0975089146852</v>
      </c>
      <c r="Q2159" s="7">
        <v>1.5779092702169626</v>
      </c>
      <c r="U2159">
        <v>0.22327732024437655</v>
      </c>
      <c r="AT2159" s="4" t="s">
        <v>6911</v>
      </c>
    </row>
    <row r="2160" spans="1:46">
      <c r="A2160" s="2">
        <v>3414</v>
      </c>
      <c r="B2160" t="s">
        <v>7206</v>
      </c>
      <c r="C2160" t="s">
        <v>2571</v>
      </c>
      <c r="D2160" t="s">
        <v>3718</v>
      </c>
      <c r="E2160" s="4">
        <v>43465</v>
      </c>
      <c r="F2160" s="11">
        <v>-43.139553820000003</v>
      </c>
      <c r="G2160" s="11">
        <v>1.6864174999999999</v>
      </c>
      <c r="H2160" s="11">
        <v>3.954477968</v>
      </c>
      <c r="I2160" s="11">
        <v>25.338747313700001</v>
      </c>
      <c r="J2160" s="11">
        <v>6.1533659585000002</v>
      </c>
      <c r="K2160" s="10">
        <v>0.39841892020199998</v>
      </c>
      <c r="L2160" s="12">
        <v>1354993707</v>
      </c>
      <c r="M2160">
        <v>58.0607856918651</v>
      </c>
      <c r="N2160" s="7">
        <v>2.1514214045325701</v>
      </c>
      <c r="O2160" s="7">
        <v>3.32368787839482</v>
      </c>
      <c r="P2160" s="7">
        <v>31.787148525326</v>
      </c>
      <c r="Q2160" s="7">
        <v>0.74116458605127999</v>
      </c>
      <c r="U2160">
        <v>0.47429924750978675</v>
      </c>
      <c r="AT2160" s="4" t="s">
        <v>5016</v>
      </c>
    </row>
    <row r="2161" spans="1:46">
      <c r="A2161" s="2">
        <v>2646</v>
      </c>
      <c r="B2161" t="s">
        <v>7207</v>
      </c>
      <c r="C2161" t="s">
        <v>358</v>
      </c>
      <c r="D2161" t="s">
        <v>3737</v>
      </c>
      <c r="E2161" s="4">
        <v>43465</v>
      </c>
      <c r="F2161" s="11">
        <v>-9.2611332100000006</v>
      </c>
      <c r="G2161" s="11">
        <v>1.6863406400000001</v>
      </c>
      <c r="H2161" s="11">
        <v>28.195842102899999</v>
      </c>
      <c r="I2161" s="11">
        <v>77.112209722599999</v>
      </c>
      <c r="J2161" s="11">
        <v>11.9107363211</v>
      </c>
      <c r="K2161" s="10">
        <v>0.67416026342299995</v>
      </c>
      <c r="L2161" s="12">
        <v>4259304347.2199998</v>
      </c>
      <c r="M2161">
        <v>19.084133722504099</v>
      </c>
      <c r="N2161" s="7">
        <v>3.3391872438516601</v>
      </c>
      <c r="O2161" s="7">
        <v>2.2907839566164401</v>
      </c>
      <c r="P2161" s="7">
        <v>25.8470604140368</v>
      </c>
      <c r="Q2161" s="7">
        <v>2.4077046548956664</v>
      </c>
      <c r="U2161">
        <v>0.30134908684754086</v>
      </c>
      <c r="AT2161" s="4" t="s">
        <v>7208</v>
      </c>
    </row>
    <row r="2162" spans="1:46">
      <c r="A2162" s="2">
        <v>2554</v>
      </c>
      <c r="B2162" t="s">
        <v>7209</v>
      </c>
      <c r="C2162" t="s">
        <v>2725</v>
      </c>
      <c r="D2162" t="s">
        <v>3871</v>
      </c>
      <c r="E2162" s="4">
        <v>43465</v>
      </c>
      <c r="F2162" s="11">
        <v>-34.326365090000003</v>
      </c>
      <c r="G2162" s="11">
        <v>1.6759776500000001</v>
      </c>
      <c r="H2162" s="11">
        <v>-21.1608676878</v>
      </c>
      <c r="I2162" s="11">
        <v>13.2037423415</v>
      </c>
      <c r="J2162" s="11">
        <v>0.76794761079999996</v>
      </c>
      <c r="K2162" s="10">
        <v>0.43529598992500002</v>
      </c>
      <c r="L2162" s="12">
        <v>3748562200</v>
      </c>
      <c r="M2162">
        <v>-40.501213414374099</v>
      </c>
      <c r="N2162" s="7">
        <v>1.5223751280051001</v>
      </c>
      <c r="O2162" s="7">
        <v>1.91131910504536</v>
      </c>
      <c r="P2162" s="7">
        <v>-25.649979646221698</v>
      </c>
      <c r="Q2162" s="7">
        <v>0.22759601706970131</v>
      </c>
      <c r="U2162">
        <v>5.102059056666667E-2</v>
      </c>
      <c r="AT2162" s="4" t="s">
        <v>7210</v>
      </c>
    </row>
    <row r="2163" spans="1:46">
      <c r="A2163" s="2">
        <v>3045</v>
      </c>
      <c r="B2163" t="s">
        <v>7211</v>
      </c>
      <c r="C2163" t="s">
        <v>540</v>
      </c>
      <c r="D2163" t="s">
        <v>3778</v>
      </c>
      <c r="E2163" s="4">
        <v>43465</v>
      </c>
      <c r="F2163" s="11">
        <v>-13.649805280000001</v>
      </c>
      <c r="G2163" s="11">
        <v>1.6703786199999999</v>
      </c>
      <c r="H2163" s="11">
        <v>6.1729635852999998</v>
      </c>
      <c r="I2163" s="11">
        <v>41.120253236499998</v>
      </c>
      <c r="J2163" s="11">
        <v>20.462247397799999</v>
      </c>
      <c r="K2163" s="10">
        <v>0.45757010576399998</v>
      </c>
      <c r="L2163" s="12">
        <v>11296560000</v>
      </c>
      <c r="M2163">
        <v>7.7993402626973198</v>
      </c>
      <c r="N2163" s="7">
        <v>1.0898654923582001</v>
      </c>
      <c r="O2163" s="7">
        <v>1.37235668519103</v>
      </c>
      <c r="P2163" s="7">
        <v>8.8001966735268002</v>
      </c>
      <c r="Q2163" s="7">
        <v>5.1133062173155146</v>
      </c>
      <c r="U2163">
        <v>2.2055222269951558</v>
      </c>
      <c r="AT2163" s="4" t="s">
        <v>7212</v>
      </c>
    </row>
    <row r="2164" spans="1:46">
      <c r="A2164" s="2">
        <v>1163</v>
      </c>
      <c r="B2164" t="s">
        <v>7213</v>
      </c>
      <c r="C2164" t="s">
        <v>902</v>
      </c>
      <c r="D2164" t="s">
        <v>3718</v>
      </c>
      <c r="E2164" s="4">
        <v>43465</v>
      </c>
      <c r="F2164" s="11">
        <v>-44.440964460000004</v>
      </c>
      <c r="G2164" s="11">
        <v>1.5544041500000001</v>
      </c>
      <c r="H2164" s="11">
        <v>5.0327988175999998</v>
      </c>
      <c r="I2164" s="11">
        <v>12.140993376100001</v>
      </c>
      <c r="J2164" s="11">
        <v>2.3635520549</v>
      </c>
      <c r="K2164" s="10">
        <v>0.98101741028900002</v>
      </c>
      <c r="L2164" s="12">
        <v>3021330292.0900002</v>
      </c>
      <c r="M2164">
        <v>29.238753979499499</v>
      </c>
      <c r="N2164" s="7">
        <v>4.1311403750000801</v>
      </c>
      <c r="O2164" s="7">
        <v>0.74073525855439903</v>
      </c>
      <c r="P2164" s="7">
        <v>30.505944400620201</v>
      </c>
      <c r="Q2164" s="7" t="s">
        <v>3698</v>
      </c>
      <c r="U2164">
        <v>7.7342672829958756E-2</v>
      </c>
      <c r="AT2164" s="4" t="s">
        <v>7214</v>
      </c>
    </row>
    <row r="2165" spans="1:46">
      <c r="A2165" s="2">
        <v>3114</v>
      </c>
      <c r="B2165" t="s">
        <v>7215</v>
      </c>
      <c r="C2165" t="s">
        <v>1496</v>
      </c>
      <c r="D2165" t="s">
        <v>3972</v>
      </c>
      <c r="E2165" s="4">
        <v>43465</v>
      </c>
      <c r="F2165" s="11">
        <v>-23.209843339999999</v>
      </c>
      <c r="G2165" s="11">
        <v>1.5503876000000001</v>
      </c>
      <c r="H2165" s="11">
        <v>-12.5548791516</v>
      </c>
      <c r="I2165" s="11">
        <v>63.5059940127</v>
      </c>
      <c r="J2165" s="11">
        <v>28.248159870799999</v>
      </c>
      <c r="K2165" s="10">
        <v>0.13122549808699999</v>
      </c>
      <c r="L2165" s="12">
        <v>13943736218.700001</v>
      </c>
      <c r="M2165">
        <v>20.938463119756999</v>
      </c>
      <c r="N2165" s="7">
        <v>0.99727753850337597</v>
      </c>
      <c r="O2165" s="7">
        <v>4.0026197264150696</v>
      </c>
      <c r="P2165" s="7">
        <v>7.02285998942103</v>
      </c>
      <c r="Q2165" s="7">
        <v>0.74803149606299202</v>
      </c>
      <c r="U2165">
        <v>0.18045114523188505</v>
      </c>
      <c r="AT2165" s="4" t="s">
        <v>5324</v>
      </c>
    </row>
    <row r="2166" spans="1:46">
      <c r="A2166" s="2">
        <v>2993</v>
      </c>
      <c r="B2166" t="s">
        <v>7216</v>
      </c>
      <c r="C2166" t="s">
        <v>2454</v>
      </c>
      <c r="D2166" t="s">
        <v>4046</v>
      </c>
      <c r="E2166" s="4">
        <v>43465</v>
      </c>
      <c r="F2166" s="11">
        <v>-11.346319530000001</v>
      </c>
      <c r="G2166" s="11">
        <v>1.5384615399999999</v>
      </c>
      <c r="H2166" s="11">
        <v>2.5022891950999999</v>
      </c>
      <c r="I2166" s="11">
        <v>11.4821811693</v>
      </c>
      <c r="J2166" s="11">
        <v>4.3769646891000002</v>
      </c>
      <c r="K2166" s="10">
        <v>0.63717501112999997</v>
      </c>
      <c r="L2166" s="12">
        <v>2078944652.1600001</v>
      </c>
      <c r="M2166">
        <v>35.661777558310703</v>
      </c>
      <c r="N2166" s="7">
        <v>2.0791794298364601</v>
      </c>
      <c r="O2166" s="7">
        <v>1.4849527376504199</v>
      </c>
      <c r="P2166" s="7">
        <v>5.8685043404875001</v>
      </c>
      <c r="Q2166" s="7">
        <v>0.3229061553985873</v>
      </c>
      <c r="U2166">
        <v>0.3159229535270997</v>
      </c>
      <c r="AT2166" s="4" t="s">
        <v>7217</v>
      </c>
    </row>
    <row r="2167" spans="1:46">
      <c r="A2167" s="2">
        <v>3526</v>
      </c>
      <c r="B2167" t="s">
        <v>7218</v>
      </c>
      <c r="C2167" t="s">
        <v>3037</v>
      </c>
      <c r="D2167" t="s">
        <v>3849</v>
      </c>
      <c r="E2167" s="4">
        <v>43465</v>
      </c>
      <c r="F2167" s="11">
        <v>-54.140781969999999</v>
      </c>
      <c r="G2167" s="11">
        <v>1.4876033099999999</v>
      </c>
      <c r="H2167" s="11">
        <v>-44.708786286200002</v>
      </c>
      <c r="I2167" s="11">
        <v>4.4444409605999997</v>
      </c>
      <c r="J2167" s="11">
        <v>-9.4121875472000003</v>
      </c>
      <c r="K2167" s="10">
        <v>0.26256013288399999</v>
      </c>
      <c r="L2167" s="12">
        <v>2497600000</v>
      </c>
      <c r="M2167">
        <v>329.06550202481498</v>
      </c>
      <c r="N2167" s="7">
        <v>1.13563706214315</v>
      </c>
      <c r="O2167" s="7">
        <v>3.2990248442514698</v>
      </c>
      <c r="P2167" s="7">
        <v>-8.2812077858927697</v>
      </c>
      <c r="Q2167" s="7" t="s">
        <v>3698</v>
      </c>
      <c r="U2167">
        <v>-0.14505594074767811</v>
      </c>
      <c r="AT2167" s="4" t="s">
        <v>7219</v>
      </c>
    </row>
    <row r="2168" spans="1:46">
      <c r="A2168" s="2">
        <v>371</v>
      </c>
      <c r="B2168" t="s">
        <v>7220</v>
      </c>
      <c r="C2168" t="s">
        <v>2723</v>
      </c>
      <c r="D2168" t="s">
        <v>4060</v>
      </c>
      <c r="E2168" s="4">
        <v>43465</v>
      </c>
      <c r="F2168" s="11">
        <v>-55.165562909999998</v>
      </c>
      <c r="G2168" s="11">
        <v>1.48148148</v>
      </c>
      <c r="H2168" s="11">
        <v>24.650751077100001</v>
      </c>
      <c r="I2168" s="11">
        <v>13.1138290488</v>
      </c>
      <c r="J2168" s="11">
        <v>4.2783035562</v>
      </c>
      <c r="K2168" s="10">
        <v>0.35559053972499999</v>
      </c>
      <c r="L2168" s="12">
        <v>2724124532.5999999</v>
      </c>
      <c r="M2168">
        <v>161.05018469425201</v>
      </c>
      <c r="N2168" s="7">
        <v>2.30618993953569</v>
      </c>
      <c r="O2168" s="7">
        <v>4.6145017115940199</v>
      </c>
      <c r="P2168" s="7">
        <v>-253.96317976042999</v>
      </c>
      <c r="Q2168" s="7" t="s">
        <v>3698</v>
      </c>
      <c r="U2168">
        <v>6.3636806464189483E-2</v>
      </c>
      <c r="AT2168" s="4" t="s">
        <v>5709</v>
      </c>
    </row>
    <row r="2169" spans="1:46">
      <c r="A2169" s="2">
        <v>777</v>
      </c>
      <c r="B2169" t="s">
        <v>7221</v>
      </c>
      <c r="C2169" t="s">
        <v>2638</v>
      </c>
      <c r="D2169" t="s">
        <v>3761</v>
      </c>
      <c r="E2169" s="4">
        <v>43465</v>
      </c>
      <c r="F2169" s="11">
        <v>-4.3882855100000002</v>
      </c>
      <c r="G2169" s="11">
        <v>1.4742014699999999</v>
      </c>
      <c r="H2169" s="11">
        <v>0.70411242939999996</v>
      </c>
      <c r="I2169" s="11">
        <v>14.0167863073</v>
      </c>
      <c r="J2169" s="11">
        <v>12.046700106999999</v>
      </c>
      <c r="K2169" s="10">
        <v>0.13661862398800001</v>
      </c>
      <c r="L2169" s="12">
        <v>7364280000</v>
      </c>
      <c r="M2169">
        <v>149.92787554018801</v>
      </c>
      <c r="N2169" s="7">
        <v>2.60458417456671</v>
      </c>
      <c r="O2169" s="7">
        <v>7.3459287130104496</v>
      </c>
      <c r="P2169" s="7">
        <v>19.038132279297699</v>
      </c>
      <c r="Q2169" s="7">
        <v>0.24330900243309003</v>
      </c>
      <c r="U2169">
        <v>5.5513458353143558E-2</v>
      </c>
      <c r="AT2169" s="4" t="s">
        <v>7222</v>
      </c>
    </row>
    <row r="2170" spans="1:46">
      <c r="A2170" s="2">
        <v>2232</v>
      </c>
      <c r="B2170" t="s">
        <v>7223</v>
      </c>
      <c r="C2170" t="s">
        <v>563</v>
      </c>
      <c r="D2170" t="s">
        <v>3737</v>
      </c>
      <c r="E2170" s="4">
        <v>43465</v>
      </c>
      <c r="F2170" s="11">
        <v>-9.3567245999999997</v>
      </c>
      <c r="G2170" s="11">
        <v>1.4545454499999999</v>
      </c>
      <c r="H2170" s="11">
        <v>6.2251210974999998</v>
      </c>
      <c r="I2170" s="11">
        <v>46.747006904899997</v>
      </c>
      <c r="J2170" s="11">
        <v>12.826945248299999</v>
      </c>
      <c r="K2170" s="10">
        <v>0.72519469367699996</v>
      </c>
      <c r="L2170" s="12">
        <v>4776485642.6400003</v>
      </c>
      <c r="M2170">
        <v>36.747103499627002</v>
      </c>
      <c r="N2170" s="7">
        <v>4.0930446874516102</v>
      </c>
      <c r="O2170" s="7">
        <v>2.68065018460078</v>
      </c>
      <c r="P2170" s="7">
        <v>51.0481008345009</v>
      </c>
      <c r="Q2170" s="7">
        <v>0.97744360902255645</v>
      </c>
      <c r="U2170">
        <v>0.82705682984032491</v>
      </c>
      <c r="AT2170" s="4" t="s">
        <v>7224</v>
      </c>
    </row>
    <row r="2171" spans="1:46">
      <c r="A2171" s="2">
        <v>3597</v>
      </c>
      <c r="B2171" t="s">
        <v>7225</v>
      </c>
      <c r="C2171" t="s">
        <v>393</v>
      </c>
      <c r="D2171" t="s">
        <v>3728</v>
      </c>
      <c r="E2171" s="4">
        <v>43465</v>
      </c>
      <c r="F2171" s="11">
        <v>-27.43160005</v>
      </c>
      <c r="G2171" s="11">
        <v>1.43560295</v>
      </c>
      <c r="H2171" s="11">
        <v>6.8480417872999997</v>
      </c>
      <c r="I2171" s="11">
        <v>27.295406182499999</v>
      </c>
      <c r="J2171" s="11">
        <v>7.4719019173000003</v>
      </c>
      <c r="K2171" s="10">
        <v>0.873285415377</v>
      </c>
      <c r="L2171" s="12">
        <v>4394901356.6599998</v>
      </c>
      <c r="M2171">
        <v>57.057338558671397</v>
      </c>
      <c r="N2171" s="7">
        <v>3.5874947304020601</v>
      </c>
      <c r="O2171" s="7">
        <v>2.9180685983151702</v>
      </c>
      <c r="P2171" s="7">
        <v>-117.45454790018501</v>
      </c>
      <c r="Q2171" s="7">
        <v>3.1315240083507305</v>
      </c>
      <c r="U2171">
        <v>0.61766198110661275</v>
      </c>
      <c r="AT2171" s="4" t="s">
        <v>5599</v>
      </c>
    </row>
    <row r="2172" spans="1:46">
      <c r="A2172" s="2">
        <v>2215</v>
      </c>
      <c r="B2172" t="s">
        <v>7226</v>
      </c>
      <c r="C2172" t="s">
        <v>1089</v>
      </c>
      <c r="D2172" t="s">
        <v>3858</v>
      </c>
      <c r="E2172" s="4">
        <v>43465</v>
      </c>
      <c r="F2172" s="11">
        <v>-12.83709636</v>
      </c>
      <c r="G2172" s="11">
        <v>1.42405063</v>
      </c>
      <c r="H2172" s="11">
        <v>-5.7874708616000001</v>
      </c>
      <c r="I2172" s="11">
        <v>16.331266557199999</v>
      </c>
      <c r="J2172" s="11">
        <v>5.9228361735000004</v>
      </c>
      <c r="K2172" s="10">
        <v>0.49675383025999997</v>
      </c>
      <c r="L2172" s="12">
        <v>5511451422.7200003</v>
      </c>
      <c r="M2172">
        <v>7.1860444559311603</v>
      </c>
      <c r="N2172" s="7">
        <v>1.1519055346503</v>
      </c>
      <c r="O2172" s="7">
        <v>0.291252519470451</v>
      </c>
      <c r="P2172" s="7">
        <v>-14.3767408372102</v>
      </c>
      <c r="Q2172" s="7">
        <v>2.9268292682926829</v>
      </c>
      <c r="U2172">
        <v>1.0114943513777817</v>
      </c>
      <c r="AT2172" s="4" t="s">
        <v>6962</v>
      </c>
    </row>
    <row r="2173" spans="1:46">
      <c r="A2173" s="2">
        <v>1169</v>
      </c>
      <c r="B2173" t="s">
        <v>7227</v>
      </c>
      <c r="C2173" t="s">
        <v>2807</v>
      </c>
      <c r="D2173" t="s">
        <v>3718</v>
      </c>
      <c r="E2173" s="4">
        <v>43465</v>
      </c>
      <c r="F2173" s="11">
        <v>-42.144668830000001</v>
      </c>
      <c r="G2173" s="11">
        <v>1.4084506999999999</v>
      </c>
      <c r="H2173" s="11">
        <v>18.865032642700001</v>
      </c>
      <c r="I2173" s="11">
        <v>43.483465942400002</v>
      </c>
      <c r="J2173" s="11">
        <v>13.9662802056</v>
      </c>
      <c r="K2173" s="10">
        <v>0.50515643391700005</v>
      </c>
      <c r="L2173" s="12">
        <v>2191200000</v>
      </c>
      <c r="M2173">
        <v>18.447774918899</v>
      </c>
      <c r="N2173" s="7">
        <v>2.15894884672137</v>
      </c>
      <c r="O2173" s="7">
        <v>3.37326912940348</v>
      </c>
      <c r="P2173" s="7">
        <v>28.337897493788901</v>
      </c>
      <c r="Q2173" s="7">
        <v>1.5360961111322913</v>
      </c>
      <c r="U2173">
        <v>0.29634094468217187</v>
      </c>
      <c r="AT2173" s="4" t="s">
        <v>7228</v>
      </c>
    </row>
    <row r="2174" spans="1:46">
      <c r="A2174" s="2">
        <v>520</v>
      </c>
      <c r="B2174" t="s">
        <v>7229</v>
      </c>
      <c r="C2174" t="s">
        <v>605</v>
      </c>
      <c r="D2174" t="s">
        <v>3718</v>
      </c>
      <c r="E2174" s="4">
        <v>43465</v>
      </c>
      <c r="F2174" s="11">
        <v>-54.166933190000002</v>
      </c>
      <c r="G2174" s="11">
        <v>1.3227513200000001</v>
      </c>
      <c r="H2174" s="11">
        <v>42.485291846800003</v>
      </c>
      <c r="I2174" s="11">
        <v>20.288451025899999</v>
      </c>
      <c r="J2174" s="11">
        <v>4.0236372653999997</v>
      </c>
      <c r="K2174" s="10">
        <v>0.61666267224600002</v>
      </c>
      <c r="L2174" s="12">
        <v>2365184185</v>
      </c>
      <c r="M2174">
        <v>26.945423010756301</v>
      </c>
      <c r="N2174" s="7">
        <v>1.44603418144302</v>
      </c>
      <c r="O2174" s="7">
        <v>0.86809376376465197</v>
      </c>
      <c r="P2174" s="7">
        <v>17.112812911307099</v>
      </c>
      <c r="Q2174" s="7">
        <v>0.80851063829787229</v>
      </c>
      <c r="U2174">
        <v>0.37363202808184565</v>
      </c>
      <c r="AT2174" s="4" t="s">
        <v>6879</v>
      </c>
    </row>
    <row r="2175" spans="1:46">
      <c r="A2175" s="2">
        <v>2253</v>
      </c>
      <c r="B2175" t="s">
        <v>7230</v>
      </c>
      <c r="C2175" t="s">
        <v>1815</v>
      </c>
      <c r="D2175" t="s">
        <v>3972</v>
      </c>
      <c r="E2175" s="4">
        <v>43465</v>
      </c>
      <c r="F2175" s="11">
        <v>-7.9543150499999999</v>
      </c>
      <c r="G2175" s="11">
        <v>1.32013201</v>
      </c>
      <c r="H2175" s="11">
        <v>0.83439634070000002</v>
      </c>
      <c r="I2175" s="11">
        <v>84.998456733400005</v>
      </c>
      <c r="J2175" s="11">
        <v>93.785761909200005</v>
      </c>
      <c r="K2175" s="10">
        <v>3.6261390373000003E-2</v>
      </c>
      <c r="L2175" s="12">
        <v>9598338827.8400002</v>
      </c>
      <c r="M2175">
        <v>19.621557646527599</v>
      </c>
      <c r="N2175" s="7">
        <v>0.94183904369056803</v>
      </c>
      <c r="O2175" s="7">
        <v>13.8908194021708</v>
      </c>
      <c r="P2175" s="7">
        <v>-12.3934456256285</v>
      </c>
      <c r="Q2175" s="7">
        <v>2.0859277708592776</v>
      </c>
      <c r="U2175">
        <v>0.20476462361215209</v>
      </c>
      <c r="AT2175" s="4" t="s">
        <v>7231</v>
      </c>
    </row>
    <row r="2176" spans="1:46">
      <c r="A2176" s="2">
        <v>85</v>
      </c>
      <c r="B2176" t="s">
        <v>7232</v>
      </c>
      <c r="C2176" t="s">
        <v>2762</v>
      </c>
      <c r="D2176" t="s">
        <v>3977</v>
      </c>
      <c r="E2176" s="4">
        <v>43465</v>
      </c>
      <c r="F2176" s="11">
        <v>-36.51522087</v>
      </c>
      <c r="G2176" s="11">
        <v>1.2953367899999999</v>
      </c>
      <c r="H2176" s="11">
        <v>9.8187326437000007</v>
      </c>
      <c r="I2176" s="11">
        <v>12.0201905851</v>
      </c>
      <c r="J2176" s="11">
        <v>1.8380536387999999</v>
      </c>
      <c r="K2176" s="10">
        <v>0.88787907030799995</v>
      </c>
      <c r="L2176" s="12">
        <v>20370331197.279999</v>
      </c>
      <c r="M2176">
        <v>889.72596077420098</v>
      </c>
      <c r="N2176" s="7">
        <v>0.88317665978552995</v>
      </c>
      <c r="O2176" s="7">
        <v>0.31120937991478198</v>
      </c>
      <c r="P2176" s="7">
        <v>-2.0951181943752801</v>
      </c>
      <c r="Q2176" s="7">
        <v>0.52910052910052918</v>
      </c>
      <c r="U2176">
        <v>0.10366035219579911</v>
      </c>
      <c r="AT2176" s="4" t="s">
        <v>7233</v>
      </c>
    </row>
    <row r="2177" spans="1:46">
      <c r="A2177" s="2">
        <v>2730</v>
      </c>
      <c r="B2177" t="s">
        <v>7234</v>
      </c>
      <c r="C2177" t="s">
        <v>3379</v>
      </c>
      <c r="D2177" t="s">
        <v>3871</v>
      </c>
      <c r="E2177" s="4">
        <v>43465</v>
      </c>
      <c r="F2177" s="11">
        <v>-24.520122780000001</v>
      </c>
      <c r="G2177" s="11">
        <v>1.27226463</v>
      </c>
      <c r="H2177" s="11">
        <v>23.251882135500001</v>
      </c>
      <c r="I2177" s="11">
        <v>34.874700693299999</v>
      </c>
      <c r="J2177" s="11">
        <v>13.380109016700001</v>
      </c>
      <c r="K2177" s="10">
        <v>0.21626469861299999</v>
      </c>
      <c r="L2177" s="12">
        <v>1915732000</v>
      </c>
      <c r="M2177">
        <v>16.082280310099598</v>
      </c>
      <c r="N2177" s="7">
        <v>0.56572083282429098</v>
      </c>
      <c r="O2177" s="7">
        <v>0.81873570997993494</v>
      </c>
      <c r="P2177" s="7">
        <v>2.0808995363349201</v>
      </c>
      <c r="Q2177" s="7">
        <v>3.2432432432432425</v>
      </c>
      <c r="U2177">
        <v>0.7542291746644284</v>
      </c>
      <c r="AT2177" s="4" t="s">
        <v>7235</v>
      </c>
    </row>
    <row r="2178" spans="1:46">
      <c r="A2178" s="2">
        <v>438</v>
      </c>
      <c r="B2178" t="s">
        <v>7236</v>
      </c>
      <c r="C2178" t="s">
        <v>3630</v>
      </c>
      <c r="D2178" t="s">
        <v>3752</v>
      </c>
      <c r="E2178" s="4">
        <v>43465</v>
      </c>
      <c r="F2178" s="11">
        <v>-16.435986159999999</v>
      </c>
      <c r="G2178" s="11">
        <v>1.2658227799999999</v>
      </c>
      <c r="H2178" s="11">
        <v>17.956293748</v>
      </c>
      <c r="I2178" s="11">
        <v>21.752587549699999</v>
      </c>
      <c r="J2178" s="11">
        <v>7.9502002021999996</v>
      </c>
      <c r="K2178" s="10">
        <v>0.67775832099400002</v>
      </c>
      <c r="L2178" s="12">
        <v>2879045072</v>
      </c>
      <c r="M2178">
        <v>-7.4183065381665001</v>
      </c>
      <c r="N2178" s="7">
        <v>1.56852579641593</v>
      </c>
      <c r="O2178" s="7">
        <v>1.7696732617089701</v>
      </c>
      <c r="P2178" s="7">
        <v>-174.07010355836201</v>
      </c>
      <c r="Q2178" s="7" t="s">
        <v>3698</v>
      </c>
      <c r="U2178">
        <v>0.22423354058035713</v>
      </c>
      <c r="AT2178" s="4" t="s">
        <v>4811</v>
      </c>
    </row>
    <row r="2179" spans="1:46">
      <c r="A2179" s="2">
        <v>1732</v>
      </c>
      <c r="B2179" t="s">
        <v>7237</v>
      </c>
      <c r="C2179" t="s">
        <v>1443</v>
      </c>
      <c r="D2179" t="s">
        <v>3718</v>
      </c>
      <c r="E2179" s="4">
        <v>43465</v>
      </c>
      <c r="F2179" s="11">
        <v>-44.875970590000001</v>
      </c>
      <c r="G2179" s="11">
        <v>1.2552301299999999</v>
      </c>
      <c r="H2179" s="11">
        <v>20.315128751</v>
      </c>
      <c r="I2179" s="11">
        <v>37.5358863027</v>
      </c>
      <c r="J2179" s="11">
        <v>7.5384725820999998</v>
      </c>
      <c r="K2179" s="10">
        <v>0.315363663869</v>
      </c>
      <c r="L2179" s="12">
        <v>16404019230</v>
      </c>
      <c r="M2179">
        <v>49.587956363761499</v>
      </c>
      <c r="N2179" s="7">
        <v>1.19788780448851</v>
      </c>
      <c r="O2179" s="7">
        <v>2.2106910078717101</v>
      </c>
      <c r="P2179" s="7">
        <v>36.3157079613242</v>
      </c>
      <c r="Q2179" s="7">
        <v>0.44150110375275936</v>
      </c>
      <c r="U2179">
        <v>0.1718671666957606</v>
      </c>
      <c r="AT2179" s="4" t="s">
        <v>4288</v>
      </c>
    </row>
    <row r="2180" spans="1:46">
      <c r="A2180" s="2">
        <v>3390</v>
      </c>
      <c r="B2180" t="s">
        <v>7238</v>
      </c>
      <c r="C2180" t="s">
        <v>1367</v>
      </c>
      <c r="D2180" t="s">
        <v>3721</v>
      </c>
      <c r="E2180" s="4">
        <v>43465</v>
      </c>
      <c r="F2180" s="11">
        <v>-1.7007607</v>
      </c>
      <c r="G2180" s="11">
        <v>1.2539184999999999</v>
      </c>
      <c r="H2180" s="11">
        <v>13.3154634633</v>
      </c>
      <c r="I2180" s="11">
        <v>20.430174309400002</v>
      </c>
      <c r="J2180" s="11">
        <v>6.1597996086000002</v>
      </c>
      <c r="K2180" s="10">
        <v>0.826995492241</v>
      </c>
      <c r="L2180" s="12">
        <v>2187000000</v>
      </c>
      <c r="M2180">
        <v>44.570639668117401</v>
      </c>
      <c r="N2180" s="7">
        <v>4.91412450397263</v>
      </c>
      <c r="O2180" s="7">
        <v>2.8660278387851701</v>
      </c>
      <c r="P2180" s="7">
        <v>-14.018952825429199</v>
      </c>
      <c r="Q2180" s="7">
        <v>0.80699873890459017</v>
      </c>
      <c r="U2180">
        <v>0.34189419930624382</v>
      </c>
      <c r="AT2180" s="4" t="s">
        <v>7239</v>
      </c>
    </row>
    <row r="2181" spans="1:46">
      <c r="A2181" s="2">
        <v>2556</v>
      </c>
      <c r="B2181" t="s">
        <v>7240</v>
      </c>
      <c r="C2181" t="s">
        <v>2963</v>
      </c>
      <c r="D2181" t="s">
        <v>3781</v>
      </c>
      <c r="E2181" s="4">
        <v>43465</v>
      </c>
      <c r="F2181" s="11">
        <v>-19.600242479999999</v>
      </c>
      <c r="G2181" s="11">
        <v>1.25</v>
      </c>
      <c r="H2181" s="11">
        <v>-4.8083612894999996</v>
      </c>
      <c r="I2181" s="11">
        <v>26.641281713200001</v>
      </c>
      <c r="J2181" s="11">
        <v>5.5336602408999997</v>
      </c>
      <c r="K2181" s="10">
        <v>0.19570815290599999</v>
      </c>
      <c r="L2181" s="12">
        <v>362985573303.75</v>
      </c>
      <c r="M2181">
        <v>68.097031505227903</v>
      </c>
      <c r="N2181" s="7">
        <v>1.15238060691244</v>
      </c>
      <c r="O2181" s="7">
        <v>2.6479714183938601</v>
      </c>
      <c r="P2181" s="7">
        <v>-16.565358988758302</v>
      </c>
      <c r="Q2181" s="7">
        <v>0.55319148936170226</v>
      </c>
      <c r="U2181">
        <v>4.2461823759444309E-2</v>
      </c>
      <c r="AT2181" s="4" t="s">
        <v>7241</v>
      </c>
    </row>
    <row r="2182" spans="1:46">
      <c r="A2182" s="2">
        <v>2471</v>
      </c>
      <c r="B2182" t="s">
        <v>7242</v>
      </c>
      <c r="C2182" t="s">
        <v>1276</v>
      </c>
      <c r="D2182" t="s">
        <v>3737</v>
      </c>
      <c r="E2182" s="4">
        <v>43465</v>
      </c>
      <c r="F2182" s="11">
        <v>-16.927589430000001</v>
      </c>
      <c r="G2182" s="11">
        <v>1.24333925</v>
      </c>
      <c r="H2182" s="11">
        <v>14.0544281093</v>
      </c>
      <c r="I2182" s="11">
        <v>60.0900742165</v>
      </c>
      <c r="J2182" s="11">
        <v>9.7330376558000005</v>
      </c>
      <c r="K2182" s="10">
        <v>0.63472634595599997</v>
      </c>
      <c r="L2182" s="12">
        <v>2002170240</v>
      </c>
      <c r="M2182">
        <v>17.600569444863702</v>
      </c>
      <c r="N2182" s="7">
        <v>1.7270516232220401</v>
      </c>
      <c r="O2182" s="7">
        <v>1.4996571171559301</v>
      </c>
      <c r="P2182" s="7">
        <v>39.771032825639303</v>
      </c>
      <c r="Q2182" s="7">
        <v>4.5045045045045047</v>
      </c>
      <c r="U2182">
        <v>0.3472946233133708</v>
      </c>
      <c r="AT2182" s="4" t="s">
        <v>5511</v>
      </c>
    </row>
    <row r="2183" spans="1:46">
      <c r="A2183" s="2">
        <v>2603</v>
      </c>
      <c r="B2183" t="s">
        <v>7243</v>
      </c>
      <c r="C2183" t="s">
        <v>1048</v>
      </c>
      <c r="D2183" t="s">
        <v>3713</v>
      </c>
      <c r="E2183" s="4">
        <v>43465</v>
      </c>
      <c r="F2183" s="11">
        <v>-39.089753729999998</v>
      </c>
      <c r="G2183" s="11">
        <v>1.22699387</v>
      </c>
      <c r="H2183" s="11">
        <v>25.270833415199998</v>
      </c>
      <c r="I2183" s="11">
        <v>14.6753139354</v>
      </c>
      <c r="J2183" s="11">
        <v>6.2800591487000004</v>
      </c>
      <c r="K2183" s="10">
        <v>1.1535881948360001</v>
      </c>
      <c r="L2183" s="12">
        <v>3565043119.4400001</v>
      </c>
      <c r="M2183">
        <v>14.3936256817573</v>
      </c>
      <c r="N2183" s="7">
        <v>1.2974807119538501</v>
      </c>
      <c r="O2183" s="7">
        <v>0.79586343378443103</v>
      </c>
      <c r="P2183" s="7">
        <v>-60.803526389560098</v>
      </c>
      <c r="Q2183" s="7">
        <v>1.2345644653932721</v>
      </c>
      <c r="U2183">
        <v>0.69194850588793355</v>
      </c>
      <c r="AT2183" s="4" t="s">
        <v>7244</v>
      </c>
    </row>
    <row r="2184" spans="1:46">
      <c r="A2184" s="2">
        <v>655</v>
      </c>
      <c r="B2184" t="s">
        <v>7245</v>
      </c>
      <c r="C2184" t="s">
        <v>1984</v>
      </c>
      <c r="D2184" t="s">
        <v>3728</v>
      </c>
      <c r="E2184" s="4">
        <v>43465</v>
      </c>
      <c r="F2184" s="11">
        <v>-27.035230160000001</v>
      </c>
      <c r="G2184" s="11">
        <v>1.2244898</v>
      </c>
      <c r="H2184" s="11">
        <v>0.58439004409999995</v>
      </c>
      <c r="I2184" s="11">
        <v>29.23758406</v>
      </c>
      <c r="J2184" s="11">
        <v>14.606860707899999</v>
      </c>
      <c r="K2184" s="10">
        <v>0.32173753153200002</v>
      </c>
      <c r="L2184" s="12">
        <v>17960786214.709999</v>
      </c>
      <c r="M2184">
        <v>19.359267650856602</v>
      </c>
      <c r="N2184" s="7">
        <v>1.1361172518166001</v>
      </c>
      <c r="O2184" s="7">
        <v>2.9773391516788799</v>
      </c>
      <c r="P2184" s="7">
        <v>73.017036040478004</v>
      </c>
      <c r="Q2184" s="7">
        <v>1.0384215991692627</v>
      </c>
      <c r="U2184">
        <v>0.51395750879960267</v>
      </c>
      <c r="AT2184" s="4" t="s">
        <v>5142</v>
      </c>
    </row>
    <row r="2185" spans="1:46">
      <c r="A2185" s="2">
        <v>1575</v>
      </c>
      <c r="B2185" t="s">
        <v>7246</v>
      </c>
      <c r="C2185" t="s">
        <v>1769</v>
      </c>
      <c r="D2185" t="s">
        <v>3713</v>
      </c>
      <c r="E2185" s="4">
        <v>43465</v>
      </c>
      <c r="F2185" s="11">
        <v>-17.615058579999999</v>
      </c>
      <c r="G2185" s="11">
        <v>1.2135922299999999</v>
      </c>
      <c r="H2185" s="11">
        <v>28.816245129199999</v>
      </c>
      <c r="I2185" s="11">
        <v>44.670711490400002</v>
      </c>
      <c r="J2185" s="11">
        <v>13.3443619921</v>
      </c>
      <c r="K2185" s="10">
        <v>0.27257234372900002</v>
      </c>
      <c r="L2185" s="12">
        <v>2768809379.1900001</v>
      </c>
      <c r="M2185">
        <v>56.276409614583002</v>
      </c>
      <c r="N2185" s="7">
        <v>1.79765986516246</v>
      </c>
      <c r="O2185" s="7">
        <v>3.8507955379234802</v>
      </c>
      <c r="P2185" s="7">
        <v>-341.31713671609498</v>
      </c>
      <c r="Q2185" s="7">
        <v>2.6246719160104992</v>
      </c>
      <c r="U2185">
        <v>0.15080924220074679</v>
      </c>
      <c r="AT2185" s="4" t="s">
        <v>4427</v>
      </c>
    </row>
    <row r="2186" spans="1:46">
      <c r="A2186" s="2">
        <v>3105</v>
      </c>
      <c r="B2186" t="s">
        <v>7247</v>
      </c>
      <c r="C2186" t="s">
        <v>1184</v>
      </c>
      <c r="D2186" t="s">
        <v>3764</v>
      </c>
      <c r="E2186" s="4">
        <v>43465</v>
      </c>
      <c r="F2186" s="11">
        <v>-33.162407180000002</v>
      </c>
      <c r="G2186" s="11">
        <v>1.2089810000000001</v>
      </c>
      <c r="H2186" s="11">
        <v>7.4416623522999998</v>
      </c>
      <c r="I2186" s="11">
        <v>43.452679767100001</v>
      </c>
      <c r="J2186" s="11">
        <v>20.894976772300001</v>
      </c>
      <c r="K2186" s="10">
        <v>0.15336261281800001</v>
      </c>
      <c r="L2186" s="12">
        <v>4706930746.9499998</v>
      </c>
      <c r="M2186">
        <v>15.411039577209101</v>
      </c>
      <c r="N2186" s="7">
        <v>1.3138900089746599</v>
      </c>
      <c r="O2186" s="7">
        <v>3.2898748290752202</v>
      </c>
      <c r="P2186" s="7">
        <v>50.964336528564402</v>
      </c>
      <c r="Q2186" s="7">
        <v>1.6994633285251273</v>
      </c>
      <c r="U2186">
        <v>0.37953687319537366</v>
      </c>
      <c r="AT2186" s="4" t="s">
        <v>5294</v>
      </c>
    </row>
    <row r="2187" spans="1:46">
      <c r="A2187" s="2">
        <v>1373</v>
      </c>
      <c r="B2187" t="s">
        <v>7248</v>
      </c>
      <c r="C2187" t="s">
        <v>941</v>
      </c>
      <c r="D2187" t="s">
        <v>3737</v>
      </c>
      <c r="E2187" s="4">
        <v>43465</v>
      </c>
      <c r="F2187" s="11">
        <v>-31.876707620000001</v>
      </c>
      <c r="G2187" s="11">
        <v>1.16995074</v>
      </c>
      <c r="H2187" s="11">
        <v>1.8402539717999999</v>
      </c>
      <c r="I2187" s="11">
        <v>79.011704162200004</v>
      </c>
      <c r="J2187" s="11">
        <v>10.139644930899999</v>
      </c>
      <c r="K2187" s="10">
        <v>0.75433581955100004</v>
      </c>
      <c r="L2187" s="12">
        <v>8152325777.8800001</v>
      </c>
      <c r="M2187">
        <v>29.747703720859</v>
      </c>
      <c r="N2187" s="7">
        <v>2.88687533803235</v>
      </c>
      <c r="O2187" s="7">
        <v>2.80382645861186</v>
      </c>
      <c r="P2187" s="7">
        <v>-12.154991021891499</v>
      </c>
      <c r="Q2187" s="7">
        <v>0.33921302578018997</v>
      </c>
      <c r="U2187">
        <v>0.6061308346997335</v>
      </c>
      <c r="AT2187" s="4" t="s">
        <v>4707</v>
      </c>
    </row>
    <row r="2188" spans="1:46">
      <c r="A2188" s="2">
        <v>2591</v>
      </c>
      <c r="B2188" t="s">
        <v>7249</v>
      </c>
      <c r="C2188" t="s">
        <v>2108</v>
      </c>
      <c r="D2188" t="s">
        <v>3764</v>
      </c>
      <c r="E2188" s="4">
        <v>43465</v>
      </c>
      <c r="F2188" s="11">
        <v>-46.377004020000001</v>
      </c>
      <c r="G2188" s="11">
        <v>1.1204481799999999</v>
      </c>
      <c r="H2188" s="11">
        <v>16.943759377100001</v>
      </c>
      <c r="I2188" s="11">
        <v>21.920624012699999</v>
      </c>
      <c r="J2188" s="11">
        <v>0.75256077249999997</v>
      </c>
      <c r="K2188" s="10">
        <v>0.242392529843</v>
      </c>
      <c r="L2188" s="12">
        <v>38648031983.160004</v>
      </c>
      <c r="M2188">
        <v>-55.992157385210199</v>
      </c>
      <c r="N2188" s="7">
        <v>0.63214326235444696</v>
      </c>
      <c r="O2188" s="7">
        <v>0.84578101975585496</v>
      </c>
      <c r="P2188" s="7">
        <v>-7.4821679120692801</v>
      </c>
      <c r="Q2188" s="7">
        <v>0.43126684636118595</v>
      </c>
      <c r="U2188">
        <v>4.3028343202510103E-2</v>
      </c>
      <c r="AT2188" s="4" t="s">
        <v>7250</v>
      </c>
    </row>
    <row r="2189" spans="1:46">
      <c r="A2189" s="2">
        <v>1295</v>
      </c>
      <c r="B2189" t="s">
        <v>7251</v>
      </c>
      <c r="C2189" t="s">
        <v>1070</v>
      </c>
      <c r="D2189" t="s">
        <v>3858</v>
      </c>
      <c r="E2189" s="4">
        <v>43465</v>
      </c>
      <c r="F2189" s="11">
        <v>-29.414034220000001</v>
      </c>
      <c r="G2189" s="11">
        <v>1.10361741</v>
      </c>
      <c r="H2189" s="11">
        <v>21.2087392028</v>
      </c>
      <c r="I2189" s="11">
        <v>15.5377474111</v>
      </c>
      <c r="J2189" s="11">
        <v>3.0732692389</v>
      </c>
      <c r="K2189" s="10">
        <v>0.77642073840900006</v>
      </c>
      <c r="L2189" s="12">
        <v>1664582400</v>
      </c>
      <c r="M2189">
        <v>22.221941868712602</v>
      </c>
      <c r="N2189" s="7">
        <v>1.80388557908818</v>
      </c>
      <c r="O2189" s="7">
        <v>0.82199734265485602</v>
      </c>
      <c r="P2189" s="7">
        <v>-5.9027211917209597</v>
      </c>
      <c r="Q2189" s="7">
        <v>0.39147956246401844</v>
      </c>
      <c r="U2189">
        <v>0.66812402557229789</v>
      </c>
      <c r="AT2189" s="4" t="s">
        <v>7252</v>
      </c>
    </row>
    <row r="2190" spans="1:46">
      <c r="A2190" s="2">
        <v>2589</v>
      </c>
      <c r="B2190" t="s">
        <v>7253</v>
      </c>
      <c r="C2190" t="s">
        <v>77</v>
      </c>
      <c r="D2190" t="s">
        <v>3842</v>
      </c>
      <c r="E2190" s="4">
        <v>43465</v>
      </c>
      <c r="F2190" s="11">
        <v>8.9477260000000003E-2</v>
      </c>
      <c r="G2190" s="11">
        <v>1.1011010999999999</v>
      </c>
      <c r="H2190" s="11">
        <v>23.959565324500002</v>
      </c>
      <c r="I2190" s="11">
        <v>32.867228947900003</v>
      </c>
      <c r="J2190" s="11">
        <v>16.961720654099999</v>
      </c>
      <c r="K2190" s="10">
        <v>1.8959750952100001</v>
      </c>
      <c r="L2190" s="12">
        <v>30759913112.16</v>
      </c>
      <c r="M2190">
        <v>4.5763177387523797</v>
      </c>
      <c r="N2190" s="7">
        <v>2.2475166664851298</v>
      </c>
      <c r="O2190" s="7">
        <v>0.87255288235562301</v>
      </c>
      <c r="P2190" s="7">
        <v>8.1747347960127694</v>
      </c>
      <c r="Q2190" s="7">
        <v>19.021978947732325</v>
      </c>
      <c r="U2190">
        <v>2.0188185995395309</v>
      </c>
      <c r="AT2190" s="4" t="s">
        <v>7254</v>
      </c>
    </row>
    <row r="2191" spans="1:46">
      <c r="A2191" s="2">
        <v>786</v>
      </c>
      <c r="B2191" t="s">
        <v>7255</v>
      </c>
      <c r="C2191" t="s">
        <v>768</v>
      </c>
      <c r="D2191" t="s">
        <v>3737</v>
      </c>
      <c r="E2191" s="4">
        <v>43465</v>
      </c>
      <c r="F2191" s="11">
        <v>-14.84581708</v>
      </c>
      <c r="G2191" s="11">
        <v>1.09375</v>
      </c>
      <c r="H2191" s="11">
        <v>-1.939507554</v>
      </c>
      <c r="I2191" s="11">
        <v>72.711985523300001</v>
      </c>
      <c r="J2191" s="11">
        <v>26.083992851400001</v>
      </c>
      <c r="K2191" s="10">
        <v>0.47762094865799998</v>
      </c>
      <c r="L2191" s="12">
        <v>4379441479.6800003</v>
      </c>
      <c r="M2191">
        <v>16.550205833160099</v>
      </c>
      <c r="N2191" s="7">
        <v>2.69712784224786</v>
      </c>
      <c r="O2191" s="7">
        <v>4.5812226360552799</v>
      </c>
      <c r="P2191" s="7">
        <v>31.671385072274902</v>
      </c>
      <c r="Q2191" s="7">
        <v>2.77337559429477</v>
      </c>
      <c r="U2191">
        <v>0.70034921162317854</v>
      </c>
      <c r="AT2191" s="4" t="s">
        <v>4401</v>
      </c>
    </row>
    <row r="2192" spans="1:46">
      <c r="A2192" s="2">
        <v>2840</v>
      </c>
      <c r="B2192" t="s">
        <v>7256</v>
      </c>
      <c r="C2192" t="s">
        <v>3542</v>
      </c>
      <c r="D2192" t="s">
        <v>3737</v>
      </c>
      <c r="E2192" s="4">
        <v>43465</v>
      </c>
      <c r="F2192" s="11">
        <v>-27.8366112</v>
      </c>
      <c r="G2192" s="11">
        <v>1.05708245</v>
      </c>
      <c r="H2192" s="11">
        <v>82.838992752099998</v>
      </c>
      <c r="I2192" s="11">
        <v>43.153674295599998</v>
      </c>
      <c r="J2192" s="11">
        <v>8.2825587183000007</v>
      </c>
      <c r="K2192" s="10">
        <v>0.40691249406399999</v>
      </c>
      <c r="L2192" s="12">
        <v>2834703170.0999999</v>
      </c>
      <c r="M2192">
        <v>-97.287156147763397</v>
      </c>
      <c r="N2192" s="7">
        <v>6.5281453532636498</v>
      </c>
      <c r="O2192" s="7">
        <v>10.680566377921</v>
      </c>
      <c r="P2192" s="7">
        <v>-33.539092348568602</v>
      </c>
      <c r="Q2192" s="7" t="s">
        <v>3698</v>
      </c>
      <c r="U2192">
        <v>5.9846718359864104E-2</v>
      </c>
      <c r="AT2192" s="4" t="s">
        <v>7257</v>
      </c>
    </row>
    <row r="2193" spans="1:46">
      <c r="A2193" s="2">
        <v>2787</v>
      </c>
      <c r="B2193" t="s">
        <v>7258</v>
      </c>
      <c r="C2193" t="s">
        <v>2488</v>
      </c>
      <c r="D2193" t="s">
        <v>3752</v>
      </c>
      <c r="E2193" s="4">
        <v>43465</v>
      </c>
      <c r="F2193" s="11">
        <v>-35.801104969999997</v>
      </c>
      <c r="G2193" s="11">
        <v>1.0416666699999999</v>
      </c>
      <c r="H2193" s="11">
        <v>72.547200790800005</v>
      </c>
      <c r="I2193" s="11">
        <v>24.943971161099999</v>
      </c>
      <c r="J2193" s="11">
        <v>14.468046106999999</v>
      </c>
      <c r="K2193" s="10">
        <v>0.236388511445</v>
      </c>
      <c r="L2193" s="12">
        <v>3757516312.2199998</v>
      </c>
      <c r="M2193">
        <v>95.346933218358402</v>
      </c>
      <c r="N2193" s="7">
        <v>2.6569551609908899</v>
      </c>
      <c r="O2193" s="7">
        <v>13.4013896838714</v>
      </c>
      <c r="P2193" s="7">
        <v>-44.565939656950398</v>
      </c>
      <c r="Q2193" s="7" t="s">
        <v>3698</v>
      </c>
      <c r="U2193">
        <v>7.8903504800341431E-2</v>
      </c>
      <c r="AT2193" s="4" t="s">
        <v>6254</v>
      </c>
    </row>
    <row r="2194" spans="1:46">
      <c r="A2194" s="2">
        <v>806</v>
      </c>
      <c r="B2194" t="s">
        <v>7259</v>
      </c>
      <c r="C2194" t="s">
        <v>1762</v>
      </c>
      <c r="D2194" t="s">
        <v>3769</v>
      </c>
      <c r="E2194" s="4">
        <v>43465</v>
      </c>
      <c r="F2194" s="11">
        <v>-33.110320569999999</v>
      </c>
      <c r="G2194" s="11">
        <v>1.03492885</v>
      </c>
      <c r="H2194" s="11">
        <v>5.6142222191000002</v>
      </c>
      <c r="I2194" s="11">
        <v>3.8123568217999999</v>
      </c>
      <c r="J2194" s="11">
        <v>0.83011202930000005</v>
      </c>
      <c r="K2194" s="10">
        <v>3.007703147655</v>
      </c>
      <c r="L2194" s="12">
        <v>2749184117.0500002</v>
      </c>
      <c r="M2194">
        <v>40.839344835824498</v>
      </c>
      <c r="N2194" s="7">
        <v>1.6837005594849099</v>
      </c>
      <c r="O2194" s="7">
        <v>0.32461869685131001</v>
      </c>
      <c r="P2194" s="7">
        <v>79.268483866352298</v>
      </c>
      <c r="Q2194" s="7">
        <v>0.82758620689655171</v>
      </c>
      <c r="U2194">
        <v>0.19070692956555049</v>
      </c>
      <c r="AT2194" s="4" t="s">
        <v>4562</v>
      </c>
    </row>
    <row r="2195" spans="1:46">
      <c r="A2195" s="2">
        <v>791</v>
      </c>
      <c r="B2195" t="s">
        <v>7260</v>
      </c>
      <c r="C2195" t="s">
        <v>1818</v>
      </c>
      <c r="D2195" t="s">
        <v>3790</v>
      </c>
      <c r="E2195" s="4">
        <v>43465</v>
      </c>
      <c r="F2195" s="11">
        <v>-49.477806790000002</v>
      </c>
      <c r="G2195" s="11">
        <v>1.0335917299999999</v>
      </c>
      <c r="H2195" s="11">
        <v>13.3180923201</v>
      </c>
      <c r="I2195" s="11">
        <v>14.703649359</v>
      </c>
      <c r="J2195" s="11">
        <v>-6.9884333717000002</v>
      </c>
      <c r="K2195" s="10">
        <v>0.95899886152299996</v>
      </c>
      <c r="L2195" s="12">
        <v>11378995594.049999</v>
      </c>
      <c r="M2195">
        <v>-21.615538534333599</v>
      </c>
      <c r="N2195" s="7">
        <v>3.0400428110403199</v>
      </c>
      <c r="O2195" s="7">
        <v>0.53787852760991595</v>
      </c>
      <c r="P2195" s="7">
        <v>-19.979593963579902</v>
      </c>
      <c r="Q2195" s="7" t="s">
        <v>3698</v>
      </c>
      <c r="U2195">
        <v>-0.30715044478051329</v>
      </c>
      <c r="AT2195" s="4" t="s">
        <v>6574</v>
      </c>
    </row>
    <row r="2196" spans="1:46">
      <c r="A2196" s="2">
        <v>2113</v>
      </c>
      <c r="B2196" t="s">
        <v>7261</v>
      </c>
      <c r="C2196" t="s">
        <v>1960</v>
      </c>
      <c r="D2196" t="s">
        <v>4046</v>
      </c>
      <c r="E2196" s="4">
        <v>43465</v>
      </c>
      <c r="F2196" s="11">
        <v>-45.59853201</v>
      </c>
      <c r="G2196" s="11">
        <v>1.0313901299999999</v>
      </c>
      <c r="H2196" s="11">
        <v>-5.7585223861000001</v>
      </c>
      <c r="I2196" s="11">
        <v>63.176578658300002</v>
      </c>
      <c r="J2196" s="11">
        <v>53.438961158300003</v>
      </c>
      <c r="K2196" s="10">
        <v>0.16089476446699999</v>
      </c>
      <c r="L2196" s="12">
        <v>7573440000</v>
      </c>
      <c r="M2196">
        <v>37.817965415034003</v>
      </c>
      <c r="N2196" s="7">
        <v>3.4911133791137399</v>
      </c>
      <c r="O2196" s="7">
        <v>17.2187645625065</v>
      </c>
      <c r="P2196" s="7">
        <v>-11.208140324851</v>
      </c>
      <c r="Q2196" s="7">
        <v>0.77428915135608045</v>
      </c>
      <c r="U2196">
        <v>0.58422461126988867</v>
      </c>
      <c r="AT2196" s="4" t="s">
        <v>6782</v>
      </c>
    </row>
    <row r="2197" spans="1:46">
      <c r="A2197" s="2">
        <v>1382</v>
      </c>
      <c r="B2197" t="s">
        <v>7262</v>
      </c>
      <c r="C2197" t="s">
        <v>779</v>
      </c>
      <c r="D2197" t="s">
        <v>3832</v>
      </c>
      <c r="E2197" s="4">
        <v>43465</v>
      </c>
      <c r="F2197" s="11">
        <v>-32.792250760000002</v>
      </c>
      <c r="G2197" s="11">
        <v>1.0214504600000001</v>
      </c>
      <c r="H2197" s="11">
        <v>16.466019018200001</v>
      </c>
      <c r="I2197" s="11">
        <v>47.731051660399999</v>
      </c>
      <c r="J2197" s="11">
        <v>21.928877768300001</v>
      </c>
      <c r="K2197" s="10">
        <v>0.55760437183300005</v>
      </c>
      <c r="L2197" s="12">
        <v>3496720000</v>
      </c>
      <c r="M2197">
        <v>34.427919166069799</v>
      </c>
      <c r="N2197" s="7">
        <v>3.9497541567504499</v>
      </c>
      <c r="O2197" s="7">
        <v>6.4439260966565</v>
      </c>
      <c r="P2197" s="7">
        <v>-36.6688739382232</v>
      </c>
      <c r="Q2197" s="7">
        <v>0.81192823520427004</v>
      </c>
      <c r="U2197">
        <v>0.65603419034875321</v>
      </c>
      <c r="AT2197" s="4" t="s">
        <v>7263</v>
      </c>
    </row>
    <row r="2198" spans="1:46">
      <c r="A2198" s="2">
        <v>2075</v>
      </c>
      <c r="B2198" t="s">
        <v>7264</v>
      </c>
      <c r="C2198" t="s">
        <v>1405</v>
      </c>
      <c r="D2198" t="s">
        <v>3713</v>
      </c>
      <c r="E2198" s="4">
        <v>43465</v>
      </c>
      <c r="F2198" s="11">
        <v>-39.027152579999999</v>
      </c>
      <c r="G2198" s="11">
        <v>1.0169491500000001</v>
      </c>
      <c r="H2198" s="11">
        <v>124.0925535304</v>
      </c>
      <c r="I2198" s="11">
        <v>37.016575524799997</v>
      </c>
      <c r="J2198" s="11">
        <v>19.981614245700001</v>
      </c>
      <c r="K2198" s="10">
        <v>0.51512569010499998</v>
      </c>
      <c r="L2198" s="12">
        <v>3609497249.5999999</v>
      </c>
      <c r="M2198">
        <v>44.342979944024499</v>
      </c>
      <c r="N2198" s="7">
        <v>5.3607141662493101</v>
      </c>
      <c r="O2198" s="7">
        <v>7.8064470724258701</v>
      </c>
      <c r="P2198" s="7">
        <v>-115.744832533183</v>
      </c>
      <c r="Q2198" s="7">
        <v>0.71282611794896167</v>
      </c>
      <c r="U2198">
        <v>0.59376890988888886</v>
      </c>
      <c r="AT2198" s="4" t="s">
        <v>4707</v>
      </c>
    </row>
    <row r="2199" spans="1:46">
      <c r="A2199" s="2">
        <v>2578</v>
      </c>
      <c r="B2199" t="s">
        <v>7265</v>
      </c>
      <c r="C2199" t="s">
        <v>3262</v>
      </c>
      <c r="D2199" t="s">
        <v>3849</v>
      </c>
      <c r="E2199" s="4">
        <v>43465</v>
      </c>
      <c r="F2199" s="11">
        <v>-36.349621220000003</v>
      </c>
      <c r="G2199" s="11">
        <v>0.97323601000000004</v>
      </c>
      <c r="H2199" s="11">
        <v>1.8136971179000001</v>
      </c>
      <c r="I2199" s="11">
        <v>17.516510900499998</v>
      </c>
      <c r="J2199" s="11">
        <v>2.5990413555999998</v>
      </c>
      <c r="K2199" s="10">
        <v>0.35549155700399998</v>
      </c>
      <c r="L2199" s="12">
        <v>3623265873.9200001</v>
      </c>
      <c r="M2199">
        <v>-365.30879882146502</v>
      </c>
      <c r="N2199" s="7">
        <v>1.5792181790041999</v>
      </c>
      <c r="O2199" s="7">
        <v>4.1084173934455102</v>
      </c>
      <c r="P2199" s="7">
        <v>13.794319048684301</v>
      </c>
      <c r="Q2199" s="7">
        <v>0.29339853300733498</v>
      </c>
      <c r="U2199">
        <v>2.9568790647209034E-2</v>
      </c>
      <c r="AT2199" s="4" t="s">
        <v>7266</v>
      </c>
    </row>
    <row r="2200" spans="1:46">
      <c r="A2200" s="2">
        <v>14</v>
      </c>
      <c r="B2200" t="s">
        <v>7267</v>
      </c>
      <c r="C2200" t="s">
        <v>2755</v>
      </c>
      <c r="D2200" t="s">
        <v>3871</v>
      </c>
      <c r="E2200" s="4">
        <v>43465</v>
      </c>
      <c r="F2200" s="11">
        <v>-12.937527100000001</v>
      </c>
      <c r="G2200" s="11">
        <v>0.95762058000000005</v>
      </c>
      <c r="H2200" s="11">
        <v>-30.247377931399999</v>
      </c>
      <c r="I2200" s="11">
        <v>29.507983369600002</v>
      </c>
      <c r="J2200" s="11">
        <v>43.171114025199998</v>
      </c>
      <c r="K2200" s="10">
        <v>0.20776469092399999</v>
      </c>
      <c r="L2200" s="12">
        <v>4489100134.0900002</v>
      </c>
      <c r="M2200">
        <v>-218.725379131094</v>
      </c>
      <c r="N2200" s="7">
        <v>2.11782297852834</v>
      </c>
      <c r="O2200" s="7">
        <v>6.9214590003825203</v>
      </c>
      <c r="P2200" s="7">
        <v>44.165732791326697</v>
      </c>
      <c r="Q2200" s="7">
        <v>0.7551487414187642</v>
      </c>
      <c r="U2200">
        <v>0.723830755081177</v>
      </c>
      <c r="AT2200" s="4" t="s">
        <v>7268</v>
      </c>
    </row>
    <row r="2201" spans="1:46">
      <c r="A2201" s="2">
        <v>3608</v>
      </c>
      <c r="B2201" t="s">
        <v>7269</v>
      </c>
      <c r="C2201" t="s">
        <v>468</v>
      </c>
      <c r="D2201" t="s">
        <v>3858</v>
      </c>
      <c r="E2201" s="4">
        <v>43465</v>
      </c>
      <c r="F2201" s="11">
        <v>-40.158314730000001</v>
      </c>
      <c r="G2201" s="11">
        <v>0.94722598000000002</v>
      </c>
      <c r="H2201" s="11">
        <v>26.6763588118</v>
      </c>
      <c r="I2201" s="11">
        <v>11.572316261199999</v>
      </c>
      <c r="J2201" s="11">
        <v>7.1627145042000002</v>
      </c>
      <c r="K2201" s="10">
        <v>1.2541317070169999</v>
      </c>
      <c r="L2201" s="12">
        <v>25448481695.599998</v>
      </c>
      <c r="M2201">
        <v>21.9291837940204</v>
      </c>
      <c r="N2201" s="7">
        <v>2.8664511261668699</v>
      </c>
      <c r="O2201" s="7">
        <v>1.33767093872348</v>
      </c>
      <c r="P2201" s="7">
        <v>-69.003628793978805</v>
      </c>
      <c r="Q2201" s="7">
        <v>1.8726591760299627</v>
      </c>
      <c r="U2201">
        <v>0.75500392927446569</v>
      </c>
      <c r="AT2201" s="4" t="s">
        <v>6890</v>
      </c>
    </row>
    <row r="2202" spans="1:46">
      <c r="A2202" s="2">
        <v>2118</v>
      </c>
      <c r="B2202" t="s">
        <v>7270</v>
      </c>
      <c r="C2202" t="s">
        <v>932</v>
      </c>
      <c r="D2202" t="s">
        <v>3721</v>
      </c>
      <c r="E2202" s="4">
        <v>43465</v>
      </c>
      <c r="F2202" s="11">
        <v>29.98814247</v>
      </c>
      <c r="G2202" s="11">
        <v>0.93217614999999998</v>
      </c>
      <c r="H2202" s="11">
        <v>3.3082691915</v>
      </c>
      <c r="I2202" s="11">
        <v>51.930795138699999</v>
      </c>
      <c r="J2202" s="11">
        <v>38.364401176199998</v>
      </c>
      <c r="K2202" s="10">
        <v>0.38128785112199998</v>
      </c>
      <c r="L2202" s="12">
        <v>1765857654.72</v>
      </c>
      <c r="M2202">
        <v>43.623841998974903</v>
      </c>
      <c r="N2202" s="7">
        <v>5.2135902169516504</v>
      </c>
      <c r="O2202" s="7">
        <v>13.5864312214875</v>
      </c>
      <c r="P2202" s="7">
        <v>-10.697350245562401</v>
      </c>
      <c r="Q2202" s="7">
        <v>0.66507049747273206</v>
      </c>
      <c r="U2202">
        <v>0.87900855437499992</v>
      </c>
      <c r="AT2202" s="4" t="s">
        <v>6192</v>
      </c>
    </row>
    <row r="2203" spans="1:46">
      <c r="A2203" s="2">
        <v>414</v>
      </c>
      <c r="B2203" t="s">
        <v>7271</v>
      </c>
      <c r="C2203" t="s">
        <v>3053</v>
      </c>
      <c r="D2203" t="s">
        <v>3811</v>
      </c>
      <c r="E2203" s="4">
        <v>43465</v>
      </c>
      <c r="F2203" s="11">
        <v>-26.229508200000001</v>
      </c>
      <c r="G2203" s="11">
        <v>0.89686098999999997</v>
      </c>
      <c r="H2203" s="11">
        <v>14.356812504900001</v>
      </c>
      <c r="I2203" s="11">
        <v>45.070192581800001</v>
      </c>
      <c r="J2203" s="11">
        <v>2.3111745264999999</v>
      </c>
      <c r="K2203" s="10">
        <v>9.0598559339999996E-2</v>
      </c>
      <c r="L2203" s="12">
        <v>2510104967.3699999</v>
      </c>
      <c r="M2203">
        <v>-32.231150440653998</v>
      </c>
      <c r="N2203" s="7">
        <v>0.78490335685193602</v>
      </c>
      <c r="O2203" s="7">
        <v>4.8753131097904898</v>
      </c>
      <c r="P2203" s="7">
        <v>-4.9919831939875898</v>
      </c>
      <c r="Q2203" s="7">
        <v>0.18433179723502308</v>
      </c>
      <c r="U2203">
        <v>1.1982079204665749E-2</v>
      </c>
      <c r="AT2203" s="4" t="s">
        <v>5472</v>
      </c>
    </row>
    <row r="2204" spans="1:46">
      <c r="A2204" s="2">
        <v>3069</v>
      </c>
      <c r="B2204" t="s">
        <v>7272</v>
      </c>
      <c r="C2204" t="s">
        <v>588</v>
      </c>
      <c r="D2204" t="s">
        <v>3837</v>
      </c>
      <c r="E2204" s="4">
        <v>43465</v>
      </c>
      <c r="F2204" s="11">
        <v>-12.541530570000001</v>
      </c>
      <c r="G2204" s="11">
        <v>0.89126559999999999</v>
      </c>
      <c r="H2204" s="11">
        <v>10.1980021051</v>
      </c>
      <c r="I2204" s="11" t="s">
        <v>3698</v>
      </c>
      <c r="J2204" s="11">
        <v>36.290729527099998</v>
      </c>
      <c r="K2204" s="10" t="s">
        <v>3698</v>
      </c>
      <c r="L2204" s="12">
        <v>5156562769.6800003</v>
      </c>
      <c r="M2204">
        <v>5.9667056575240203</v>
      </c>
      <c r="N2204" s="7">
        <v>0.67930142069377897</v>
      </c>
      <c r="O2204" s="7">
        <v>2.2525854938833199</v>
      </c>
      <c r="P2204" s="7">
        <v>-689.60547538325602</v>
      </c>
      <c r="Q2204" s="7">
        <v>5.14388489208633</v>
      </c>
      <c r="U2204">
        <v>0.94603485216081706</v>
      </c>
      <c r="AT2204" s="4" t="s">
        <v>4063</v>
      </c>
    </row>
    <row r="2205" spans="1:46">
      <c r="A2205" s="2">
        <v>3428</v>
      </c>
      <c r="B2205" t="s">
        <v>7273</v>
      </c>
      <c r="C2205" t="s">
        <v>591</v>
      </c>
      <c r="D2205" t="s">
        <v>3728</v>
      </c>
      <c r="E2205" s="4">
        <v>43465</v>
      </c>
      <c r="F2205" s="11">
        <v>-66.139907239999999</v>
      </c>
      <c r="G2205" s="11">
        <v>0.86655112999999995</v>
      </c>
      <c r="H2205" s="11">
        <v>-13.517985193099999</v>
      </c>
      <c r="I2205" s="11">
        <v>28.654671248</v>
      </c>
      <c r="J2205" s="11">
        <v>-24.660926671199999</v>
      </c>
      <c r="K2205" s="10">
        <v>0.45599129427200003</v>
      </c>
      <c r="L2205" s="12">
        <v>1974238560</v>
      </c>
      <c r="M2205">
        <v>-44.253378025416801</v>
      </c>
      <c r="N2205" s="7">
        <v>2.7705632329542</v>
      </c>
      <c r="O2205" s="7">
        <v>1.11941217125476</v>
      </c>
      <c r="P2205" s="7">
        <v>-16.835199712615701</v>
      </c>
      <c r="Q2205" s="7" t="s">
        <v>3698</v>
      </c>
      <c r="U2205">
        <v>-1.0911182070214482</v>
      </c>
      <c r="AT2205" s="4" t="s">
        <v>7274</v>
      </c>
    </row>
    <row r="2206" spans="1:46">
      <c r="A2206" s="2">
        <v>2781</v>
      </c>
      <c r="B2206" t="s">
        <v>7275</v>
      </c>
      <c r="C2206" t="s">
        <v>312</v>
      </c>
      <c r="D2206" t="s">
        <v>3871</v>
      </c>
      <c r="E2206" s="4">
        <v>43465</v>
      </c>
      <c r="F2206" s="11">
        <v>-28.357728609999999</v>
      </c>
      <c r="G2206" s="11">
        <v>0.85959885000000003</v>
      </c>
      <c r="H2206" s="11">
        <v>-1.525583629</v>
      </c>
      <c r="I2206" s="11">
        <v>31.3023355035</v>
      </c>
      <c r="J2206" s="11">
        <v>6.6917912784000002</v>
      </c>
      <c r="K2206" s="10">
        <v>0.31877020285399998</v>
      </c>
      <c r="L2206" s="12">
        <v>2016000000</v>
      </c>
      <c r="M2206">
        <v>3.51939877228142</v>
      </c>
      <c r="N2206" s="7">
        <v>0.67970021376443701</v>
      </c>
      <c r="O2206" s="7">
        <v>0.40220516497379699</v>
      </c>
      <c r="P2206" s="7">
        <v>3.8158041640210798</v>
      </c>
      <c r="Q2206" s="7">
        <v>6.1728395061728403</v>
      </c>
      <c r="U2206">
        <v>0.63623384096741509</v>
      </c>
      <c r="AT2206" s="4" t="s">
        <v>6254</v>
      </c>
    </row>
    <row r="2207" spans="1:46">
      <c r="A2207" s="2">
        <v>2121</v>
      </c>
      <c r="B2207" t="s">
        <v>7276</v>
      </c>
      <c r="C2207" t="s">
        <v>1429</v>
      </c>
      <c r="D2207" t="s">
        <v>3737</v>
      </c>
      <c r="E2207" s="4">
        <v>43465</v>
      </c>
      <c r="F2207" s="11">
        <v>-5.3728517199999999</v>
      </c>
      <c r="G2207" s="11">
        <v>0.85251491999999995</v>
      </c>
      <c r="H2207" s="11">
        <v>49.925672760099999</v>
      </c>
      <c r="I2207" s="11">
        <v>59.609562961000002</v>
      </c>
      <c r="J2207" s="11">
        <v>8.9826850006000001</v>
      </c>
      <c r="K2207" s="10">
        <v>0.93595994300800001</v>
      </c>
      <c r="L2207" s="12">
        <v>4168122361.54</v>
      </c>
      <c r="M2207">
        <v>44.436641591565497</v>
      </c>
      <c r="N2207" s="7">
        <v>3.8331271170675598</v>
      </c>
      <c r="O2207" s="7">
        <v>3.69050854107806</v>
      </c>
      <c r="P2207" s="7">
        <v>-17.4225338662086</v>
      </c>
      <c r="Q2207" s="7">
        <v>0.40308747855917665</v>
      </c>
      <c r="U2207">
        <v>0.30673692053008356</v>
      </c>
      <c r="AT2207" s="4" t="s">
        <v>6188</v>
      </c>
    </row>
    <row r="2208" spans="1:46">
      <c r="A2208" s="2">
        <v>598</v>
      </c>
      <c r="B2208" t="s">
        <v>7277</v>
      </c>
      <c r="C2208" t="s">
        <v>1675</v>
      </c>
      <c r="D2208" t="s">
        <v>3728</v>
      </c>
      <c r="E2208" s="4">
        <v>43465</v>
      </c>
      <c r="F2208" s="11">
        <v>-37.249892389999999</v>
      </c>
      <c r="G2208" s="11">
        <v>0.84985836000000003</v>
      </c>
      <c r="H2208" s="11">
        <v>16.6439564571</v>
      </c>
      <c r="I2208" s="11">
        <v>17.457697903500002</v>
      </c>
      <c r="J2208" s="11">
        <v>6.4170911757000004</v>
      </c>
      <c r="K2208" s="10">
        <v>0.641975010884</v>
      </c>
      <c r="L2208" s="12">
        <v>2284562000</v>
      </c>
      <c r="M2208">
        <v>8.46201271489997</v>
      </c>
      <c r="N2208" s="7">
        <v>0.73838148691912897</v>
      </c>
      <c r="O2208" s="7">
        <v>0.47147429580137301</v>
      </c>
      <c r="P2208" s="7">
        <v>-3.28497631319898</v>
      </c>
      <c r="Q2208" s="7">
        <v>1.4619883040935673</v>
      </c>
      <c r="U2208">
        <v>0.47314775841338319</v>
      </c>
      <c r="AT2208" s="4" t="s">
        <v>5558</v>
      </c>
    </row>
    <row r="2209" spans="1:46">
      <c r="A2209" s="2">
        <v>218</v>
      </c>
      <c r="B2209" t="s">
        <v>7278</v>
      </c>
      <c r="C2209" t="s">
        <v>3439</v>
      </c>
      <c r="D2209" t="s">
        <v>3871</v>
      </c>
      <c r="E2209" s="4">
        <v>43465</v>
      </c>
      <c r="F2209" s="11">
        <v>-27.462686569999999</v>
      </c>
      <c r="G2209" s="11">
        <v>0.82987551999999998</v>
      </c>
      <c r="H2209" s="11">
        <v>179.09235998880001</v>
      </c>
      <c r="I2209" s="11">
        <v>25.619772145799999</v>
      </c>
      <c r="J2209" s="11">
        <v>128.24010665259999</v>
      </c>
      <c r="K2209" s="10">
        <v>3.2151665204999999E-2</v>
      </c>
      <c r="L2209" s="12">
        <v>14564570384.959999</v>
      </c>
      <c r="M2209">
        <v>-22.321630643110002</v>
      </c>
      <c r="N2209" s="7">
        <v>0.79192959397927498</v>
      </c>
      <c r="O2209" s="7">
        <v>26.2696290658991</v>
      </c>
      <c r="P2209" s="7">
        <v>2.4638363260101599</v>
      </c>
      <c r="Q2209" s="7" t="s">
        <v>3698</v>
      </c>
      <c r="U2209">
        <v>0.24390544096293865</v>
      </c>
      <c r="AT2209" s="4" t="s">
        <v>7279</v>
      </c>
    </row>
    <row r="2210" spans="1:46">
      <c r="A2210" s="2">
        <v>3495</v>
      </c>
      <c r="B2210" t="s">
        <v>7280</v>
      </c>
      <c r="C2210" t="s">
        <v>607</v>
      </c>
      <c r="D2210" t="s">
        <v>3718</v>
      </c>
      <c r="E2210" s="4">
        <v>43465</v>
      </c>
      <c r="F2210" s="11">
        <v>-40.450411899999999</v>
      </c>
      <c r="G2210" s="11">
        <v>0.82872928000000001</v>
      </c>
      <c r="H2210" s="11">
        <v>11.6293358189</v>
      </c>
      <c r="I2210" s="11">
        <v>24.671870435199999</v>
      </c>
      <c r="J2210" s="11">
        <v>7.4522581178999996</v>
      </c>
      <c r="K2210" s="10">
        <v>0.861640058466</v>
      </c>
      <c r="L2210" s="12">
        <v>7743424000</v>
      </c>
      <c r="M2210">
        <v>12.702766561476601</v>
      </c>
      <c r="N2210" s="7">
        <v>1.40507913876426</v>
      </c>
      <c r="O2210" s="7">
        <v>0.98381985901795299</v>
      </c>
      <c r="P2210" s="7">
        <v>168.82728585784099</v>
      </c>
      <c r="Q2210" s="7">
        <v>1.7865947799067952</v>
      </c>
      <c r="U2210">
        <v>0.79039410654582631</v>
      </c>
      <c r="AT2210" s="4" t="s">
        <v>4854</v>
      </c>
    </row>
    <row r="2211" spans="1:46">
      <c r="A2211" s="2">
        <v>3549</v>
      </c>
      <c r="B2211" t="s">
        <v>7281</v>
      </c>
      <c r="C2211" t="s">
        <v>177</v>
      </c>
      <c r="D2211" t="s">
        <v>4060</v>
      </c>
      <c r="E2211" s="4">
        <v>43465</v>
      </c>
      <c r="F2211" s="11">
        <v>12.500299890000001</v>
      </c>
      <c r="G2211" s="11">
        <v>0.8</v>
      </c>
      <c r="H2211" s="11">
        <v>37.607008223599998</v>
      </c>
      <c r="I2211" s="11">
        <v>36.373779884100003</v>
      </c>
      <c r="J2211" s="11">
        <v>10.9740248536</v>
      </c>
      <c r="K2211" s="10">
        <v>1.0752176504319999</v>
      </c>
      <c r="L2211" s="12">
        <v>1626618568.1400001</v>
      </c>
      <c r="M2211">
        <v>25.0444950750923</v>
      </c>
      <c r="N2211" s="7">
        <v>5.5025084737420302</v>
      </c>
      <c r="O2211" s="7">
        <v>2.3579444765411401</v>
      </c>
      <c r="P2211" s="7">
        <v>12.9155527002213</v>
      </c>
      <c r="Q2211" s="7">
        <v>1.8480973733286938</v>
      </c>
      <c r="U2211">
        <v>2.2996816871757444</v>
      </c>
      <c r="AT2211" s="4" t="s">
        <v>7282</v>
      </c>
    </row>
    <row r="2212" spans="1:46">
      <c r="A2212" s="2">
        <v>1735</v>
      </c>
      <c r="B2212" t="s">
        <v>7283</v>
      </c>
      <c r="C2212" t="s">
        <v>1854</v>
      </c>
      <c r="D2212" t="s">
        <v>3713</v>
      </c>
      <c r="E2212" s="4">
        <v>43465</v>
      </c>
      <c r="F2212" s="11">
        <v>-55.806273640000001</v>
      </c>
      <c r="G2212" s="11">
        <v>0.78895464000000004</v>
      </c>
      <c r="H2212" s="11">
        <v>-0.14836477549999999</v>
      </c>
      <c r="I2212" s="11">
        <v>12.140380710300001</v>
      </c>
      <c r="J2212" s="11">
        <v>-77.193413248400006</v>
      </c>
      <c r="K2212" s="10">
        <v>0.73021623931299995</v>
      </c>
      <c r="L2212" s="12">
        <v>1674304146.1300001</v>
      </c>
      <c r="M2212">
        <v>-8.8296294256719303</v>
      </c>
      <c r="N2212" s="7">
        <v>3.0705540142407699</v>
      </c>
      <c r="O2212" s="7">
        <v>1.6285363869860201</v>
      </c>
      <c r="P2212" s="7">
        <v>4866.6625145089101</v>
      </c>
      <c r="Q2212" s="7" t="s">
        <v>3698</v>
      </c>
      <c r="U2212">
        <v>-2.2311283678961265</v>
      </c>
      <c r="AT2212" s="4" t="s">
        <v>4403</v>
      </c>
    </row>
    <row r="2213" spans="1:46">
      <c r="A2213" s="2">
        <v>1826</v>
      </c>
      <c r="B2213" t="s">
        <v>7284</v>
      </c>
      <c r="C2213" t="s">
        <v>102</v>
      </c>
      <c r="D2213" t="s">
        <v>3737</v>
      </c>
      <c r="E2213" s="4">
        <v>43465</v>
      </c>
      <c r="F2213" s="11">
        <v>-28.46473078</v>
      </c>
      <c r="G2213" s="11">
        <v>0.74257426000000004</v>
      </c>
      <c r="H2213" s="11">
        <v>57.243642159499998</v>
      </c>
      <c r="I2213" s="11">
        <v>67.749621210000001</v>
      </c>
      <c r="J2213" s="11">
        <v>46.561770403499999</v>
      </c>
      <c r="K2213" s="10">
        <v>0.43419169790000001</v>
      </c>
      <c r="L2213" s="12">
        <v>1932249360</v>
      </c>
      <c r="M2213">
        <v>24.6642746992726</v>
      </c>
      <c r="N2213" s="7">
        <v>3.7196819256390499</v>
      </c>
      <c r="O2213" s="7">
        <v>9.9215637758287993</v>
      </c>
      <c r="P2213" s="7">
        <v>32.508702091744098</v>
      </c>
      <c r="Q2213" s="7">
        <v>1.0924369747899161</v>
      </c>
      <c r="T2213" s="2"/>
      <c r="U2213">
        <v>0.64138564903256612</v>
      </c>
      <c r="AT2213" s="4" t="s">
        <v>4585</v>
      </c>
    </row>
    <row r="2214" spans="1:46">
      <c r="A2214" s="2">
        <v>1354</v>
      </c>
      <c r="B2214" t="s">
        <v>7285</v>
      </c>
      <c r="C2214" t="s">
        <v>1856</v>
      </c>
      <c r="D2214" t="s">
        <v>4060</v>
      </c>
      <c r="E2214" s="4">
        <v>43465</v>
      </c>
      <c r="F2214" s="11">
        <v>-44.170767959999999</v>
      </c>
      <c r="G2214" s="11">
        <v>0.70767555999999998</v>
      </c>
      <c r="H2214" s="11">
        <v>34.338697101800001</v>
      </c>
      <c r="I2214" s="11">
        <v>35.945546681800003</v>
      </c>
      <c r="J2214" s="11">
        <v>12.5781438533</v>
      </c>
      <c r="K2214" s="10">
        <v>0.75798682136499995</v>
      </c>
      <c r="L2214" s="12">
        <v>8425569242.25</v>
      </c>
      <c r="M2214">
        <v>26.519216709667301</v>
      </c>
      <c r="N2214" s="7">
        <v>2.77371353201571</v>
      </c>
      <c r="O2214" s="7">
        <v>2.7195217773162002</v>
      </c>
      <c r="P2214" s="7">
        <v>-24.822029624431799</v>
      </c>
      <c r="Q2214" s="7">
        <v>1.1834319526627219</v>
      </c>
      <c r="U2214">
        <v>0.91454022769189169</v>
      </c>
      <c r="AT2214" s="4" t="s">
        <v>6291</v>
      </c>
    </row>
    <row r="2215" spans="1:46">
      <c r="A2215" s="2">
        <v>845</v>
      </c>
      <c r="B2215" t="s">
        <v>7286</v>
      </c>
      <c r="C2215" t="s">
        <v>1926</v>
      </c>
      <c r="D2215" t="s">
        <v>3761</v>
      </c>
      <c r="E2215" s="4">
        <v>43465</v>
      </c>
      <c r="F2215" s="11">
        <v>-47.639624990000002</v>
      </c>
      <c r="G2215" s="11">
        <v>0.70093457999999997</v>
      </c>
      <c r="H2215" s="11">
        <v>4.9827826118000003</v>
      </c>
      <c r="I2215" s="11">
        <v>37.261526297000003</v>
      </c>
      <c r="J2215" s="11">
        <v>7.9835526998999997</v>
      </c>
      <c r="K2215" s="10">
        <v>0.67213410485900005</v>
      </c>
      <c r="L2215" s="12">
        <v>2674848000</v>
      </c>
      <c r="M2215">
        <v>19.469013895164899</v>
      </c>
      <c r="N2215" s="7">
        <v>1.9337124290966099</v>
      </c>
      <c r="O2215" s="7">
        <v>1.3735911789596</v>
      </c>
      <c r="P2215" s="7">
        <v>37.170981273690799</v>
      </c>
      <c r="Q2215" s="7">
        <v>1.2258146630657087</v>
      </c>
      <c r="U2215">
        <v>0.29723207811359281</v>
      </c>
      <c r="AT2215" s="4" t="s">
        <v>6708</v>
      </c>
    </row>
    <row r="2216" spans="1:46">
      <c r="A2216" s="2">
        <v>3468</v>
      </c>
      <c r="B2216" t="s">
        <v>7287</v>
      </c>
      <c r="C2216" t="s">
        <v>1001</v>
      </c>
      <c r="D2216" t="s">
        <v>3752</v>
      </c>
      <c r="E2216" s="4">
        <v>43465</v>
      </c>
      <c r="F2216" s="11">
        <v>-34.026069290000002</v>
      </c>
      <c r="G2216" s="11">
        <v>0.68702289999999999</v>
      </c>
      <c r="H2216" s="11">
        <v>-1.7308517859999999</v>
      </c>
      <c r="I2216" s="11">
        <v>60.439682683999997</v>
      </c>
      <c r="J2216" s="11">
        <v>13.3006842952</v>
      </c>
      <c r="K2216" s="10">
        <v>0.497471860017</v>
      </c>
      <c r="L2216" s="12">
        <v>1725084338.2</v>
      </c>
      <c r="M2216">
        <v>19.263221918203499</v>
      </c>
      <c r="N2216" s="7">
        <v>1.6638580831107601</v>
      </c>
      <c r="O2216" s="7">
        <v>3.0632568593962501</v>
      </c>
      <c r="P2216" s="7">
        <v>8.8054611106730807</v>
      </c>
      <c r="Q2216" s="7">
        <v>3.2336297493936947</v>
      </c>
      <c r="U2216">
        <v>0.56091345245236413</v>
      </c>
      <c r="AT2216" s="4" t="s">
        <v>7288</v>
      </c>
    </row>
    <row r="2217" spans="1:46">
      <c r="A2217" s="2">
        <v>1708</v>
      </c>
      <c r="B2217" t="s">
        <v>7289</v>
      </c>
      <c r="C2217" t="s">
        <v>1238</v>
      </c>
      <c r="D2217" t="s">
        <v>3761</v>
      </c>
      <c r="E2217" s="4">
        <v>43465</v>
      </c>
      <c r="F2217" s="11">
        <v>-20.92726377</v>
      </c>
      <c r="G2217" s="11">
        <v>0.67415729999999996</v>
      </c>
      <c r="H2217" s="11">
        <v>16.716449912400002</v>
      </c>
      <c r="I2217" s="11">
        <v>11.766504959500001</v>
      </c>
      <c r="J2217" s="11">
        <v>1.526124314</v>
      </c>
      <c r="K2217" s="10">
        <v>0.82253541390700002</v>
      </c>
      <c r="L2217" s="12">
        <v>2051280000</v>
      </c>
      <c r="M2217">
        <v>284.99874491512099</v>
      </c>
      <c r="N2217" s="7">
        <v>3.1536380677476799</v>
      </c>
      <c r="O2217" s="7">
        <v>1.6287636190162</v>
      </c>
      <c r="P2217" s="7">
        <v>180.40232877917799</v>
      </c>
      <c r="Q2217" s="7">
        <v>0.23752969121140144</v>
      </c>
      <c r="U2217">
        <v>5.0612043811518619E-2</v>
      </c>
      <c r="AT2217" s="4" t="s">
        <v>7290</v>
      </c>
    </row>
    <row r="2218" spans="1:46">
      <c r="A2218" s="2">
        <v>1864</v>
      </c>
      <c r="B2218" t="s">
        <v>7291</v>
      </c>
      <c r="C2218" t="s">
        <v>627</v>
      </c>
      <c r="D2218" t="s">
        <v>3737</v>
      </c>
      <c r="E2218" s="4">
        <v>43465</v>
      </c>
      <c r="F2218" s="11">
        <v>-27.57699611</v>
      </c>
      <c r="G2218" s="11">
        <v>0.67365269000000005</v>
      </c>
      <c r="H2218" s="11">
        <v>21.319480108</v>
      </c>
      <c r="I2218" s="11">
        <v>34.938262330500002</v>
      </c>
      <c r="J2218" s="11">
        <v>7.9320672119999998</v>
      </c>
      <c r="K2218" s="10">
        <v>0.79892450779199997</v>
      </c>
      <c r="L2218" s="12">
        <v>5074401721.1999998</v>
      </c>
      <c r="M2218">
        <v>21.617796186127499</v>
      </c>
      <c r="N2218" s="7">
        <v>4.4761742111142899</v>
      </c>
      <c r="O2218" s="7">
        <v>1.9344478530645901</v>
      </c>
      <c r="P2218" s="7">
        <v>16.812551413099602</v>
      </c>
      <c r="Q2218" s="7">
        <v>1.0918623024830698</v>
      </c>
      <c r="U2218">
        <v>0.69622968374753502</v>
      </c>
      <c r="AT2218" s="4" t="s">
        <v>5265</v>
      </c>
    </row>
    <row r="2219" spans="1:46">
      <c r="A2219" s="2">
        <v>1507</v>
      </c>
      <c r="B2219" t="s">
        <v>7292</v>
      </c>
      <c r="C2219" t="s">
        <v>2171</v>
      </c>
      <c r="D2219" t="s">
        <v>3752</v>
      </c>
      <c r="E2219" s="4">
        <v>43465</v>
      </c>
      <c r="F2219" s="11">
        <v>-5.3046520800000003</v>
      </c>
      <c r="G2219" s="11">
        <v>0.66666667000000002</v>
      </c>
      <c r="H2219" s="11">
        <v>30.710138169499999</v>
      </c>
      <c r="I2219" s="11">
        <v>10.8259902449</v>
      </c>
      <c r="J2219" s="11">
        <v>4.5521054997999997</v>
      </c>
      <c r="K2219" s="10">
        <v>1.2513662579339999</v>
      </c>
      <c r="L2219" s="12">
        <v>1877875290.97</v>
      </c>
      <c r="M2219">
        <v>15.115732253236001</v>
      </c>
      <c r="N2219" s="7">
        <v>1.35912863029651</v>
      </c>
      <c r="O2219" s="7">
        <v>0.55040624593711396</v>
      </c>
      <c r="P2219" s="7">
        <v>236.69939948202301</v>
      </c>
      <c r="Q2219" s="7">
        <v>6.273408239700375</v>
      </c>
      <c r="U2219">
        <v>0.47845007572864029</v>
      </c>
      <c r="AT2219" s="4" t="s">
        <v>4425</v>
      </c>
    </row>
    <row r="2220" spans="1:46">
      <c r="A2220" s="2">
        <v>182</v>
      </c>
      <c r="B2220" t="s">
        <v>7293</v>
      </c>
      <c r="C2220" t="s">
        <v>3337</v>
      </c>
      <c r="D2220" t="s">
        <v>3871</v>
      </c>
      <c r="E2220" s="4">
        <v>43465</v>
      </c>
      <c r="F2220" s="11">
        <v>-33.336347789999998</v>
      </c>
      <c r="G2220" s="11">
        <v>0.65573769999999998</v>
      </c>
      <c r="H2220" s="11">
        <v>61.149028549000001</v>
      </c>
      <c r="I2220" s="11">
        <v>18.328129370900001</v>
      </c>
      <c r="J2220" s="11">
        <v>4.3571708527000004</v>
      </c>
      <c r="K2220" s="10">
        <v>0.28454522300399998</v>
      </c>
      <c r="L2220" s="12">
        <v>3251606400</v>
      </c>
      <c r="M2220">
        <v>-29.011913070533002</v>
      </c>
      <c r="N2220" s="7">
        <v>1.21468167709022</v>
      </c>
      <c r="O2220" s="7">
        <v>4.48581060006698</v>
      </c>
      <c r="P2220" s="7">
        <v>-13.019254501929399</v>
      </c>
      <c r="Q2220" s="7">
        <v>2.0696830989902737</v>
      </c>
      <c r="U2220">
        <v>8.0202418792888641E-2</v>
      </c>
      <c r="AT2220" s="4" t="s">
        <v>5405</v>
      </c>
    </row>
    <row r="2221" spans="1:46">
      <c r="A2221" s="2">
        <v>2445</v>
      </c>
      <c r="B2221" t="s">
        <v>7294</v>
      </c>
      <c r="C2221" t="s">
        <v>43</v>
      </c>
      <c r="D2221" t="s">
        <v>3752</v>
      </c>
      <c r="E2221" s="4">
        <v>43465</v>
      </c>
      <c r="F2221" s="11">
        <v>-54.339250489999998</v>
      </c>
      <c r="G2221" s="11">
        <v>0.65217391000000002</v>
      </c>
      <c r="H2221" s="11">
        <v>3.0969174548999998</v>
      </c>
      <c r="I2221" s="11">
        <v>10.9374913105</v>
      </c>
      <c r="J2221" s="11">
        <v>0.15458823820000001</v>
      </c>
      <c r="K2221" s="10">
        <v>1.4366778827919999</v>
      </c>
      <c r="L2221" s="12">
        <v>3879600000</v>
      </c>
      <c r="M2221">
        <v>60.195503391761797</v>
      </c>
      <c r="N2221" s="7">
        <v>39.479722917630497</v>
      </c>
      <c r="O2221" s="7">
        <v>0.69676793109345703</v>
      </c>
      <c r="P2221" s="7">
        <v>-17.0766148945936</v>
      </c>
      <c r="Q2221" s="7" t="s">
        <v>3698</v>
      </c>
      <c r="U2221">
        <v>9.8464380184667636E-3</v>
      </c>
      <c r="AT2221" s="4" t="s">
        <v>7295</v>
      </c>
    </row>
    <row r="2222" spans="1:46">
      <c r="A2222" s="2">
        <v>1453</v>
      </c>
      <c r="B2222" t="s">
        <v>7296</v>
      </c>
      <c r="C2222" t="s">
        <v>989</v>
      </c>
      <c r="D2222" t="s">
        <v>3889</v>
      </c>
      <c r="E2222" s="4">
        <v>43465</v>
      </c>
      <c r="F2222" s="11">
        <v>-46.784505350000003</v>
      </c>
      <c r="G2222" s="11">
        <v>0.63965885</v>
      </c>
      <c r="H2222" s="11">
        <v>-1.4048276249</v>
      </c>
      <c r="I2222" s="11">
        <v>44.8128400465</v>
      </c>
      <c r="J2222" s="11">
        <v>-23.360452641599998</v>
      </c>
      <c r="K2222" s="10">
        <v>0.201627281243</v>
      </c>
      <c r="L2222" s="12">
        <v>6159041880.75</v>
      </c>
      <c r="M2222">
        <v>45.8958758775373</v>
      </c>
      <c r="N2222" s="7">
        <v>2.0304319820530901</v>
      </c>
      <c r="O2222" s="7">
        <v>2.7828564277285399</v>
      </c>
      <c r="P2222" s="7">
        <v>-7.96180126578213</v>
      </c>
      <c r="Q2222" s="7" t="s">
        <v>3698</v>
      </c>
      <c r="U2222">
        <v>-0.39108052472293753</v>
      </c>
      <c r="AT2222" s="4" t="s">
        <v>3770</v>
      </c>
    </row>
    <row r="2223" spans="1:46">
      <c r="A2223" s="2">
        <v>2803</v>
      </c>
      <c r="B2223" t="s">
        <v>7297</v>
      </c>
      <c r="C2223" t="s">
        <v>2902</v>
      </c>
      <c r="D2223" t="s">
        <v>3889</v>
      </c>
      <c r="E2223" s="4">
        <v>43465</v>
      </c>
      <c r="F2223" s="11">
        <v>-25.366609279999999</v>
      </c>
      <c r="G2223" s="11">
        <v>0.61475409999999997</v>
      </c>
      <c r="H2223" s="11">
        <v>-62.781824265700003</v>
      </c>
      <c r="I2223" s="11">
        <v>74.719880269900003</v>
      </c>
      <c r="J2223" s="11">
        <v>8.3006703439000002</v>
      </c>
      <c r="K2223" s="10">
        <v>3.1922175198000002E-2</v>
      </c>
      <c r="L2223" s="12">
        <v>120092150664.96001</v>
      </c>
      <c r="M2223">
        <v>-22.106846689648801</v>
      </c>
      <c r="N2223" s="7">
        <v>1.5771834823711</v>
      </c>
      <c r="O2223" s="7">
        <v>33.478207195330498</v>
      </c>
      <c r="P2223" s="7">
        <v>10.141014831770701</v>
      </c>
      <c r="Q2223" s="7">
        <v>0.95444685466377444</v>
      </c>
      <c r="U2223">
        <v>3.1252644202896945E-3</v>
      </c>
      <c r="AT2223" s="4" t="s">
        <v>5440</v>
      </c>
    </row>
    <row r="2224" spans="1:46">
      <c r="A2224" s="2">
        <v>1837</v>
      </c>
      <c r="B2224" t="s">
        <v>7298</v>
      </c>
      <c r="C2224" t="s">
        <v>2795</v>
      </c>
      <c r="D2224" t="s">
        <v>3718</v>
      </c>
      <c r="E2224" s="4">
        <v>43465</v>
      </c>
      <c r="F2224" s="11">
        <v>-32.026398489999998</v>
      </c>
      <c r="G2224" s="11">
        <v>0.61349693000000005</v>
      </c>
      <c r="H2224" s="11">
        <v>30.0481871838</v>
      </c>
      <c r="I2224" s="11">
        <v>37.731266667600003</v>
      </c>
      <c r="J2224" s="11">
        <v>7.9173610817000002</v>
      </c>
      <c r="K2224" s="10">
        <v>0.45078893649399998</v>
      </c>
      <c r="L2224" s="12">
        <v>3708752643.6999998</v>
      </c>
      <c r="M2224">
        <v>113.859105343519</v>
      </c>
      <c r="N2224" s="7">
        <v>2.4769576038165302</v>
      </c>
      <c r="O2224" s="7">
        <v>3.5124331830036999</v>
      </c>
      <c r="P2224" s="7">
        <v>22.584584643493699</v>
      </c>
      <c r="Q2224" s="7">
        <v>1.7786066407493368</v>
      </c>
      <c r="U2224">
        <v>0.12936639217013682</v>
      </c>
      <c r="AT2224" s="4" t="s">
        <v>6870</v>
      </c>
    </row>
    <row r="2225" spans="1:46">
      <c r="A2225" s="2">
        <v>3043</v>
      </c>
      <c r="B2225" t="s">
        <v>7299</v>
      </c>
      <c r="C2225" t="s">
        <v>3396</v>
      </c>
      <c r="D2225" t="s">
        <v>3769</v>
      </c>
      <c r="E2225" s="4">
        <v>43465</v>
      </c>
      <c r="F2225" s="11">
        <v>-4.7381000899999997</v>
      </c>
      <c r="G2225" s="11">
        <v>0.60524546000000001</v>
      </c>
      <c r="H2225" s="11">
        <v>-28.0598618595</v>
      </c>
      <c r="I2225" s="11">
        <v>24.862327590300001</v>
      </c>
      <c r="J2225" s="11">
        <v>0.97030944340000003</v>
      </c>
      <c r="K2225" s="10">
        <v>0.38912694877699999</v>
      </c>
      <c r="L2225" s="12">
        <v>7844801335.3599997</v>
      </c>
      <c r="M2225">
        <v>448.29080881285398</v>
      </c>
      <c r="N2225" s="7">
        <v>5.6254731837380803</v>
      </c>
      <c r="O2225" s="7">
        <v>9.2146210379150304</v>
      </c>
      <c r="P2225" s="7">
        <v>-126.035093298791</v>
      </c>
      <c r="Q2225" s="7">
        <v>6.9735006973500699E-2</v>
      </c>
      <c r="U2225">
        <v>1.5283548694968554E-2</v>
      </c>
      <c r="AT2225" s="4" t="s">
        <v>4290</v>
      </c>
    </row>
    <row r="2226" spans="1:46">
      <c r="A2226" s="2">
        <v>2186</v>
      </c>
      <c r="B2226" t="s">
        <v>7300</v>
      </c>
      <c r="C2226" t="s">
        <v>1023</v>
      </c>
      <c r="D2226" t="s">
        <v>3778</v>
      </c>
      <c r="E2226" s="4">
        <v>43465</v>
      </c>
      <c r="F2226" s="11">
        <v>-2.8534148199999998</v>
      </c>
      <c r="G2226" s="11">
        <v>0.59405940999999995</v>
      </c>
      <c r="H2226" s="11">
        <v>22.4975669363</v>
      </c>
      <c r="I2226" s="11">
        <v>16.953879368900001</v>
      </c>
      <c r="J2226" s="11">
        <v>2.7770331757000002</v>
      </c>
      <c r="K2226" s="10">
        <v>1.813895549675</v>
      </c>
      <c r="L2226" s="12">
        <v>2884217200</v>
      </c>
      <c r="M2226">
        <v>9.2618173222695201</v>
      </c>
      <c r="N2226" s="7">
        <v>0.86152980250549904</v>
      </c>
      <c r="O2226" s="7">
        <v>0.22744133218571599</v>
      </c>
      <c r="P2226" s="7">
        <v>10.701701475745599</v>
      </c>
      <c r="Q2226" s="7">
        <v>5.2104208416833675</v>
      </c>
      <c r="U2226">
        <v>0.52109002779823432</v>
      </c>
      <c r="AT2226" s="4" t="s">
        <v>7301</v>
      </c>
    </row>
    <row r="2227" spans="1:46">
      <c r="A2227" s="2">
        <v>3044</v>
      </c>
      <c r="B2227" t="s">
        <v>7302</v>
      </c>
      <c r="C2227" t="s">
        <v>1274</v>
      </c>
      <c r="D2227" t="s">
        <v>3811</v>
      </c>
      <c r="E2227" s="4">
        <v>43465</v>
      </c>
      <c r="F2227" s="11">
        <v>-34.456793230000002</v>
      </c>
      <c r="G2227" s="11">
        <v>0.59171598000000003</v>
      </c>
      <c r="H2227" s="11">
        <v>0.85809615130000005</v>
      </c>
      <c r="I2227" s="11">
        <v>16.963713547400001</v>
      </c>
      <c r="J2227" s="11">
        <v>4.4990078694999998</v>
      </c>
      <c r="K2227" s="10">
        <v>1.107196691952</v>
      </c>
      <c r="L2227" s="12">
        <v>2915955775.9499998</v>
      </c>
      <c r="M2227">
        <v>26.9754885495535</v>
      </c>
      <c r="N2227" s="7">
        <v>1.8905583286244201</v>
      </c>
      <c r="O2227" s="7">
        <v>1.1487146412287701</v>
      </c>
      <c r="P2227" s="7">
        <v>-15.0480069498288</v>
      </c>
      <c r="Q2227" s="7">
        <v>2.2222222222222223</v>
      </c>
      <c r="U2227">
        <v>0.19774282390390391</v>
      </c>
      <c r="AT2227" s="4" t="s">
        <v>6899</v>
      </c>
    </row>
    <row r="2228" spans="1:46">
      <c r="A2228" s="2">
        <v>3416</v>
      </c>
      <c r="B2228" t="s">
        <v>7303</v>
      </c>
      <c r="C2228" t="s">
        <v>1434</v>
      </c>
      <c r="D2228" t="s">
        <v>3977</v>
      </c>
      <c r="E2228" s="4">
        <v>43465</v>
      </c>
      <c r="F2228" s="11">
        <v>-12.768192170000001</v>
      </c>
      <c r="G2228" s="11">
        <v>0.53821313000000004</v>
      </c>
      <c r="H2228" s="11">
        <v>15.0469537441</v>
      </c>
      <c r="I2228" s="11">
        <v>36.460152639</v>
      </c>
      <c r="J2228" s="11">
        <v>11.2390759699</v>
      </c>
      <c r="K2228" s="10">
        <v>1.1736219422259999</v>
      </c>
      <c r="L2228" s="12">
        <v>3475469652.75</v>
      </c>
      <c r="M2228">
        <v>33.191036552310599</v>
      </c>
      <c r="N2228" s="7">
        <v>4.8607019928747004</v>
      </c>
      <c r="O2228" s="7">
        <v>2.7294484185203198</v>
      </c>
      <c r="P2228" s="7">
        <v>312.87575081821899</v>
      </c>
      <c r="Q2228" s="7">
        <v>1.5278838808250572</v>
      </c>
      <c r="U2228">
        <v>1.1892444575688768</v>
      </c>
      <c r="AT2228" s="4" t="s">
        <v>7304</v>
      </c>
    </row>
    <row r="2229" spans="1:46">
      <c r="A2229" s="2">
        <v>1119</v>
      </c>
      <c r="B2229" t="s">
        <v>7305</v>
      </c>
      <c r="C2229" t="s">
        <v>1061</v>
      </c>
      <c r="D2229" t="s">
        <v>3764</v>
      </c>
      <c r="E2229" s="4">
        <v>43465</v>
      </c>
      <c r="F2229" s="11">
        <v>-24.114173229999999</v>
      </c>
      <c r="G2229" s="11">
        <v>0.52287581999999999</v>
      </c>
      <c r="H2229" s="11">
        <v>9.4536664340000005</v>
      </c>
      <c r="I2229" s="11">
        <v>14.866629553799999</v>
      </c>
      <c r="J2229" s="11">
        <v>15.6025695867</v>
      </c>
      <c r="K2229" s="10">
        <v>0.44512850495</v>
      </c>
      <c r="L2229" s="12">
        <v>4538960648.04</v>
      </c>
      <c r="M2229">
        <v>12.060608021767999</v>
      </c>
      <c r="N2229" s="7">
        <v>1.19343319901862</v>
      </c>
      <c r="O2229" s="7">
        <v>1.30572009725312</v>
      </c>
      <c r="P2229" s="7">
        <v>27.634838988375101</v>
      </c>
      <c r="Q2229" s="7" t="s">
        <v>3698</v>
      </c>
      <c r="U2229">
        <v>0.67655934879927559</v>
      </c>
      <c r="AT2229" s="4" t="s">
        <v>3890</v>
      </c>
    </row>
    <row r="2230" spans="1:46">
      <c r="A2230" s="2">
        <v>2466</v>
      </c>
      <c r="B2230" t="s">
        <v>7306</v>
      </c>
      <c r="C2230" t="s">
        <v>483</v>
      </c>
      <c r="D2230" t="s">
        <v>3713</v>
      </c>
      <c r="E2230" s="4">
        <v>43465</v>
      </c>
      <c r="F2230" s="11">
        <v>-16.85468998</v>
      </c>
      <c r="G2230" s="11">
        <v>0.49460431999999999</v>
      </c>
      <c r="H2230" s="11">
        <v>-42.037951288400002</v>
      </c>
      <c r="I2230" s="11">
        <v>6.8081665893999999</v>
      </c>
      <c r="J2230" s="11">
        <v>156.34898204340001</v>
      </c>
      <c r="K2230" s="10">
        <v>7.9146775951000004E-2</v>
      </c>
      <c r="L2230" s="12">
        <v>27520882012.330002</v>
      </c>
      <c r="M2230">
        <v>16.908850386981701</v>
      </c>
      <c r="N2230" s="7">
        <v>2.31573838965374</v>
      </c>
      <c r="O2230" s="7">
        <v>24.567859404062101</v>
      </c>
      <c r="P2230" s="7">
        <v>60.171186739322302</v>
      </c>
      <c r="Q2230" s="7">
        <v>1.7690417690417692</v>
      </c>
      <c r="U2230">
        <v>1.1733491629292929</v>
      </c>
      <c r="AT2230" s="4" t="s">
        <v>5915</v>
      </c>
    </row>
    <row r="2231" spans="1:46">
      <c r="A2231" s="2">
        <v>1939</v>
      </c>
      <c r="B2231" t="s">
        <v>7307</v>
      </c>
      <c r="C2231" t="s">
        <v>1620</v>
      </c>
      <c r="D2231" t="s">
        <v>3761</v>
      </c>
      <c r="E2231" s="4">
        <v>43465</v>
      </c>
      <c r="F2231" s="11">
        <v>-11.84835431</v>
      </c>
      <c r="G2231" s="11">
        <v>0.48309179000000002</v>
      </c>
      <c r="H2231" s="11">
        <v>16.054576599899999</v>
      </c>
      <c r="I2231" s="11">
        <v>36.709538693500001</v>
      </c>
      <c r="J2231" s="11">
        <v>7.5254375028</v>
      </c>
      <c r="K2231" s="10">
        <v>0.83634787863799998</v>
      </c>
      <c r="L2231" s="12">
        <v>4487641922.79</v>
      </c>
      <c r="M2231">
        <v>59.694898795493899</v>
      </c>
      <c r="N2231" s="7">
        <v>4.6985205165926596</v>
      </c>
      <c r="O2231" s="7">
        <v>3.7226435127436699</v>
      </c>
      <c r="P2231" s="7">
        <v>-69.133792015967501</v>
      </c>
      <c r="Q2231" s="7">
        <v>0.42052144659377627</v>
      </c>
      <c r="U2231">
        <v>0.26244628934999997</v>
      </c>
      <c r="AT2231" s="4" t="s">
        <v>4389</v>
      </c>
    </row>
    <row r="2232" spans="1:46">
      <c r="A2232" s="2">
        <v>2942</v>
      </c>
      <c r="B2232" t="s">
        <v>7308</v>
      </c>
      <c r="C2232" t="s">
        <v>1939</v>
      </c>
      <c r="D2232" t="s">
        <v>3761</v>
      </c>
      <c r="E2232" s="4">
        <v>43465</v>
      </c>
      <c r="F2232" s="11">
        <v>-14.634146339999999</v>
      </c>
      <c r="G2232" s="11">
        <v>0.41237112999999997</v>
      </c>
      <c r="H2232" s="11">
        <v>1.4560781645</v>
      </c>
      <c r="I2232" s="11">
        <v>15.451500770599999</v>
      </c>
      <c r="J2232" s="11">
        <v>1.0675369827000001</v>
      </c>
      <c r="K2232" s="10">
        <v>0.94057849349300005</v>
      </c>
      <c r="L2232" s="12">
        <v>5967139521.75</v>
      </c>
      <c r="M2232">
        <v>67.122108890074301</v>
      </c>
      <c r="N2232" s="7">
        <v>3.4461722293427499</v>
      </c>
      <c r="O2232" s="7">
        <v>0.62117433771307295</v>
      </c>
      <c r="P2232" s="7">
        <v>110.49012450850999</v>
      </c>
      <c r="Q2232" s="7" t="s">
        <v>3698</v>
      </c>
      <c r="U2232">
        <v>6.8390718124265226E-2</v>
      </c>
      <c r="AT2232" s="4" t="s">
        <v>7309</v>
      </c>
    </row>
    <row r="2233" spans="1:46">
      <c r="A2233" s="2">
        <v>1828</v>
      </c>
      <c r="B2233" t="s">
        <v>7310</v>
      </c>
      <c r="C2233" t="s">
        <v>1648</v>
      </c>
      <c r="D2233" t="s">
        <v>3977</v>
      </c>
      <c r="E2233" s="4">
        <v>43465</v>
      </c>
      <c r="F2233" s="11">
        <v>-32.361011789999999</v>
      </c>
      <c r="G2233" s="11">
        <v>0.39840637000000001</v>
      </c>
      <c r="H2233" s="11">
        <v>2.0207740983</v>
      </c>
      <c r="I2233" s="11">
        <v>38.215201424900002</v>
      </c>
      <c r="J2233" s="11">
        <v>19.611485349500001</v>
      </c>
      <c r="K2233" s="10">
        <v>0.48173345876200002</v>
      </c>
      <c r="L2233" s="12">
        <v>2836535790</v>
      </c>
      <c r="M2233">
        <v>22.850458181655</v>
      </c>
      <c r="N2233" s="7">
        <v>2.27458509018471</v>
      </c>
      <c r="O2233" s="7">
        <v>3.8033862776900502</v>
      </c>
      <c r="P2233" s="7">
        <v>-14.9538828799549</v>
      </c>
      <c r="Q2233" s="7">
        <v>2.0449897750511248</v>
      </c>
      <c r="U2233">
        <v>0.26991363832504145</v>
      </c>
      <c r="AT2233" s="4" t="s">
        <v>4466</v>
      </c>
    </row>
    <row r="2234" spans="1:46">
      <c r="A2234" s="2">
        <v>3435</v>
      </c>
      <c r="B2234" t="s">
        <v>7311</v>
      </c>
      <c r="C2234" t="s">
        <v>139</v>
      </c>
      <c r="D2234" t="s">
        <v>3764</v>
      </c>
      <c r="E2234" s="4">
        <v>43465</v>
      </c>
      <c r="F2234" s="11">
        <v>50.596472560000002</v>
      </c>
      <c r="G2234" s="11">
        <v>0.39387308999999998</v>
      </c>
      <c r="H2234" s="11">
        <v>50.285731634100003</v>
      </c>
      <c r="I2234" s="11">
        <v>60.302501765000002</v>
      </c>
      <c r="J2234" s="11">
        <v>47.705337243400002</v>
      </c>
      <c r="K2234" s="10">
        <v>0.31995068818400002</v>
      </c>
      <c r="L2234" s="12">
        <v>3255112267.1999998</v>
      </c>
      <c r="M2234">
        <v>22.657191944819001</v>
      </c>
      <c r="N2234" s="7">
        <v>5.3923593536737702</v>
      </c>
      <c r="O2234" s="7">
        <v>10.636460453001799</v>
      </c>
      <c r="P2234" s="7">
        <v>96.156309693270998</v>
      </c>
      <c r="Q2234" s="7">
        <v>1.1110644841453496</v>
      </c>
      <c r="U2234">
        <v>1.0761017884775614</v>
      </c>
      <c r="AT2234" s="4" t="s">
        <v>4173</v>
      </c>
    </row>
    <row r="2235" spans="1:46">
      <c r="A2235" s="2">
        <v>1157</v>
      </c>
      <c r="B2235" t="s">
        <v>7312</v>
      </c>
      <c r="C2235" t="s">
        <v>567</v>
      </c>
      <c r="D2235" t="s">
        <v>3785</v>
      </c>
      <c r="E2235" s="4">
        <v>43465</v>
      </c>
      <c r="F2235" s="11">
        <v>-28.58506079</v>
      </c>
      <c r="G2235" s="11">
        <v>0.37348272999999999</v>
      </c>
      <c r="H2235" s="11">
        <v>2.2941754489999999</v>
      </c>
      <c r="I2235" s="11">
        <v>66.601390211799995</v>
      </c>
      <c r="J2235" s="11">
        <v>7.5468654037</v>
      </c>
      <c r="K2235" s="10">
        <v>0.48138250938400001</v>
      </c>
      <c r="L2235" s="12">
        <v>3060720000</v>
      </c>
      <c r="M2235">
        <v>-34.116151811950402</v>
      </c>
      <c r="N2235" s="7">
        <v>2.0163703184102002</v>
      </c>
      <c r="O2235" s="7">
        <v>3.6109268694001702</v>
      </c>
      <c r="P2235" s="7">
        <v>208.49928790063001</v>
      </c>
      <c r="Q2235" s="7">
        <v>1.1869436201780417</v>
      </c>
      <c r="U2235">
        <v>0.23905471862222222</v>
      </c>
      <c r="AT2235" s="4" t="s">
        <v>7313</v>
      </c>
    </row>
    <row r="2236" spans="1:46">
      <c r="A2236" s="2">
        <v>968</v>
      </c>
      <c r="B2236" t="s">
        <v>7314</v>
      </c>
      <c r="C2236" t="s">
        <v>3318</v>
      </c>
      <c r="D2236" t="s">
        <v>3998</v>
      </c>
      <c r="E2236" s="4">
        <v>43465</v>
      </c>
      <c r="F2236" s="11">
        <v>-29.344685160000001</v>
      </c>
      <c r="G2236" s="11">
        <v>0.37313433000000001</v>
      </c>
      <c r="H2236" s="11">
        <v>21.436278944400001</v>
      </c>
      <c r="I2236" s="11">
        <v>27.360738420699999</v>
      </c>
      <c r="J2236" s="11">
        <v>5.3069791850000003</v>
      </c>
      <c r="K2236" s="10">
        <v>0.50932661817699998</v>
      </c>
      <c r="L2236" s="12">
        <v>1860482461.5</v>
      </c>
      <c r="M2236">
        <v>31.465574271793301</v>
      </c>
      <c r="N2236" s="7">
        <v>1.4570368445433799</v>
      </c>
      <c r="O2236" s="7">
        <v>1.92974888432935</v>
      </c>
      <c r="P2236" s="7">
        <v>-228.613112821827</v>
      </c>
      <c r="Q2236" s="7">
        <v>1.2836970474967908</v>
      </c>
      <c r="U2236">
        <v>0.22029213703610831</v>
      </c>
      <c r="AT2236" s="4" t="s">
        <v>4319</v>
      </c>
    </row>
    <row r="2237" spans="1:46">
      <c r="A2237" s="2">
        <v>2373</v>
      </c>
      <c r="B2237" t="s">
        <v>7315</v>
      </c>
      <c r="C2237" t="s">
        <v>3365</v>
      </c>
      <c r="D2237" t="s">
        <v>3871</v>
      </c>
      <c r="E2237" s="4">
        <v>43465</v>
      </c>
      <c r="F2237" s="11">
        <v>-42.47131444</v>
      </c>
      <c r="G2237" s="11">
        <v>0.34722222000000003</v>
      </c>
      <c r="H2237" s="11">
        <v>-33.6870972599</v>
      </c>
      <c r="I2237" s="11">
        <v>34.768085365799998</v>
      </c>
      <c r="J2237" s="11">
        <v>4.7641873331999998</v>
      </c>
      <c r="K2237" s="10">
        <v>0.116611687666</v>
      </c>
      <c r="L2237" s="12">
        <v>4692662605.8000002</v>
      </c>
      <c r="M2237">
        <v>12.344987878623099</v>
      </c>
      <c r="N2237" s="7">
        <v>0.897825123991844</v>
      </c>
      <c r="O2237" s="7">
        <v>0.30844887672853299</v>
      </c>
      <c r="P2237" s="7">
        <v>-1.63785291729726</v>
      </c>
      <c r="Q2237" s="7">
        <v>3.1944444444444442</v>
      </c>
      <c r="U2237">
        <v>0.30604340748224912</v>
      </c>
      <c r="AT2237" s="4" t="s">
        <v>7316</v>
      </c>
    </row>
    <row r="2238" spans="1:46">
      <c r="A2238" s="2">
        <v>323</v>
      </c>
      <c r="B2238" t="s">
        <v>7317</v>
      </c>
      <c r="C2238" t="s">
        <v>2008</v>
      </c>
      <c r="D2238" t="s">
        <v>3849</v>
      </c>
      <c r="E2238" s="4">
        <v>43465</v>
      </c>
      <c r="F2238" s="11">
        <v>-20.82369521</v>
      </c>
      <c r="G2238" s="11">
        <v>0.34013605000000002</v>
      </c>
      <c r="H2238" s="11">
        <v>12.0375323165</v>
      </c>
      <c r="I2238" s="11">
        <v>14.958016922200001</v>
      </c>
      <c r="J2238" s="11">
        <v>2.7005211486</v>
      </c>
      <c r="K2238" s="10">
        <v>0.61182884384900005</v>
      </c>
      <c r="L2238" s="12">
        <v>4084320000</v>
      </c>
      <c r="M2238">
        <v>-238.11785730632101</v>
      </c>
      <c r="N2238" s="7">
        <v>1.29547474868894</v>
      </c>
      <c r="O2238" s="7">
        <v>1.1148923946839999</v>
      </c>
      <c r="P2238" s="7">
        <v>9.2085348900189405</v>
      </c>
      <c r="Q2238" s="7">
        <v>1.0638297872340425</v>
      </c>
      <c r="U2238">
        <v>9.2917313859640999E-2</v>
      </c>
      <c r="AT2238" s="4" t="s">
        <v>3755</v>
      </c>
    </row>
    <row r="2239" spans="1:46">
      <c r="A2239" s="2">
        <v>2822</v>
      </c>
      <c r="B2239" t="s">
        <v>7318</v>
      </c>
      <c r="C2239" t="s">
        <v>3621</v>
      </c>
      <c r="D2239" t="s">
        <v>3832</v>
      </c>
      <c r="E2239" s="4">
        <v>43465</v>
      </c>
      <c r="F2239" s="11">
        <v>-52.048558419999999</v>
      </c>
      <c r="G2239" s="11">
        <v>0.31982941999999998</v>
      </c>
      <c r="H2239" s="11">
        <v>26.100692654700001</v>
      </c>
      <c r="I2239" s="11">
        <v>56.192605708499997</v>
      </c>
      <c r="J2239" s="11">
        <v>12.2134328944</v>
      </c>
      <c r="K2239" s="10">
        <v>0.13304610727300001</v>
      </c>
      <c r="L2239" s="12">
        <v>2004577566.3599999</v>
      </c>
      <c r="M2239">
        <v>-43.062929265359202</v>
      </c>
      <c r="N2239" s="7">
        <v>2.0268313748932201</v>
      </c>
      <c r="O2239" s="7">
        <v>13.146746266082801</v>
      </c>
      <c r="P2239" s="7">
        <v>31.008089779683502</v>
      </c>
      <c r="Q2239" s="7" t="s">
        <v>3698</v>
      </c>
      <c r="U2239">
        <v>9.3694052696119468E-2</v>
      </c>
      <c r="AT2239" s="4" t="s">
        <v>7319</v>
      </c>
    </row>
    <row r="2240" spans="1:46">
      <c r="A2240" s="2">
        <v>3097</v>
      </c>
      <c r="B2240" t="s">
        <v>7320</v>
      </c>
      <c r="C2240" t="s">
        <v>1018</v>
      </c>
      <c r="D2240" t="s">
        <v>3972</v>
      </c>
      <c r="E2240" s="4">
        <v>43465</v>
      </c>
      <c r="F2240" s="11">
        <v>-46.465585740000002</v>
      </c>
      <c r="G2240" s="11">
        <v>0.31847133999999999</v>
      </c>
      <c r="H2240" s="11">
        <v>-2.2187221554000001</v>
      </c>
      <c r="I2240" s="11">
        <v>41.555005856400001</v>
      </c>
      <c r="J2240" s="11">
        <v>10.0873809516</v>
      </c>
      <c r="K2240" s="10">
        <v>0.265845631044</v>
      </c>
      <c r="L2240" s="12">
        <v>1461200220</v>
      </c>
      <c r="M2240">
        <v>16.9070804762544</v>
      </c>
      <c r="N2240" s="7">
        <v>1.26264906484526</v>
      </c>
      <c r="O2240" s="7">
        <v>2.4957360245120701</v>
      </c>
      <c r="P2240" s="7">
        <v>-19.555129877106499</v>
      </c>
      <c r="Q2240" s="7">
        <v>2.4838709677419355</v>
      </c>
      <c r="U2240">
        <v>0.14501584420658437</v>
      </c>
      <c r="AT2240" s="4" t="s">
        <v>7321</v>
      </c>
    </row>
    <row r="2241" spans="1:46">
      <c r="A2241" s="2">
        <v>2195</v>
      </c>
      <c r="B2241" t="s">
        <v>7322</v>
      </c>
      <c r="C2241" t="s">
        <v>2351</v>
      </c>
      <c r="D2241" t="s">
        <v>3858</v>
      </c>
      <c r="E2241" s="4">
        <v>43465</v>
      </c>
      <c r="F2241" s="11">
        <v>-14.920611940000001</v>
      </c>
      <c r="G2241" s="11">
        <v>0.30487805000000001</v>
      </c>
      <c r="H2241" s="11">
        <v>22.1482768423</v>
      </c>
      <c r="I2241" s="11">
        <v>10.693505351400001</v>
      </c>
      <c r="J2241" s="11">
        <v>3.0158181958000001</v>
      </c>
      <c r="K2241" s="10">
        <v>0.50302398904699996</v>
      </c>
      <c r="L2241" s="12">
        <v>12908254424.969999</v>
      </c>
      <c r="M2241">
        <v>9.8136819323786302</v>
      </c>
      <c r="N2241" s="7">
        <v>0.84603631039745297</v>
      </c>
      <c r="O2241" s="7">
        <v>0.33005671942355003</v>
      </c>
      <c r="P2241" s="7">
        <v>-26.2743716046683</v>
      </c>
      <c r="Q2241" s="7">
        <v>1.5432098765432101</v>
      </c>
      <c r="U2241">
        <v>0.32453307591780456</v>
      </c>
      <c r="AT2241" s="4" t="s">
        <v>7323</v>
      </c>
    </row>
    <row r="2242" spans="1:46">
      <c r="A2242" s="2">
        <v>2411</v>
      </c>
      <c r="B2242" t="s">
        <v>7324</v>
      </c>
      <c r="C2242" t="s">
        <v>118</v>
      </c>
      <c r="D2242" t="s">
        <v>3842</v>
      </c>
      <c r="E2242" s="4">
        <v>43465</v>
      </c>
      <c r="F2242" s="11">
        <v>-22.385402540000001</v>
      </c>
      <c r="G2242" s="11">
        <v>0.29239766</v>
      </c>
      <c r="H2242" s="11">
        <v>16.0798349706</v>
      </c>
      <c r="I2242" s="11">
        <v>20.111788877199999</v>
      </c>
      <c r="J2242" s="11">
        <v>10.861946680999999</v>
      </c>
      <c r="K2242" s="10">
        <v>1.1059615388940001</v>
      </c>
      <c r="L2242" s="12">
        <v>2909813769.9200001</v>
      </c>
      <c r="M2242">
        <v>3.32133911281284</v>
      </c>
      <c r="N2242" s="7">
        <v>0.98373109879459797</v>
      </c>
      <c r="O2242" s="7">
        <v>0.34230932788083601</v>
      </c>
      <c r="P2242" s="7">
        <v>-199.278189874513</v>
      </c>
      <c r="Q2242" s="7">
        <v>9.0835229703984659</v>
      </c>
      <c r="T2242" s="2"/>
      <c r="U2242">
        <v>0.90635576921329453</v>
      </c>
      <c r="AT2242" s="4" t="s">
        <v>7325</v>
      </c>
    </row>
    <row r="2243" spans="1:46">
      <c r="A2243" s="2">
        <v>1596</v>
      </c>
      <c r="B2243" t="s">
        <v>7326</v>
      </c>
      <c r="C2243" t="s">
        <v>2509</v>
      </c>
      <c r="D2243" t="s">
        <v>3718</v>
      </c>
      <c r="E2243" s="4">
        <v>43465</v>
      </c>
      <c r="F2243" s="11">
        <v>-26.443752270000001</v>
      </c>
      <c r="G2243" s="11">
        <v>0.28530670000000002</v>
      </c>
      <c r="H2243" s="11">
        <v>11.1278931082</v>
      </c>
      <c r="I2243" s="11">
        <v>30.748710662000001</v>
      </c>
      <c r="J2243" s="11">
        <v>4.5475236406999997</v>
      </c>
      <c r="K2243" s="10">
        <v>0.42340308658100001</v>
      </c>
      <c r="L2243" s="12">
        <v>1715241480</v>
      </c>
      <c r="M2243">
        <v>240.67935613216201</v>
      </c>
      <c r="N2243" s="7">
        <v>1.4973223000414999</v>
      </c>
      <c r="O2243" s="7">
        <v>2.33590847329268</v>
      </c>
      <c r="P2243" s="7">
        <v>-62.189527863637402</v>
      </c>
      <c r="Q2243" s="7">
        <v>0.57887120115774249</v>
      </c>
      <c r="U2243">
        <v>0.11213366012928348</v>
      </c>
      <c r="AT2243" s="4" t="s">
        <v>4030</v>
      </c>
    </row>
    <row r="2244" spans="1:46">
      <c r="A2244" s="2">
        <v>793</v>
      </c>
      <c r="B2244" t="s">
        <v>7327</v>
      </c>
      <c r="C2244" t="s">
        <v>2477</v>
      </c>
      <c r="D2244" t="s">
        <v>3718</v>
      </c>
      <c r="E2244" s="4">
        <v>43465</v>
      </c>
      <c r="F2244" s="11">
        <v>-39.730249829999998</v>
      </c>
      <c r="G2244" s="11">
        <v>0.23923444999999999</v>
      </c>
      <c r="H2244" s="11">
        <v>78.043987911599999</v>
      </c>
      <c r="I2244" s="11">
        <v>29.6550022881</v>
      </c>
      <c r="J2244" s="11">
        <v>8.1754276931999996</v>
      </c>
      <c r="K2244" s="10">
        <v>0.421847704075</v>
      </c>
      <c r="L2244" s="12">
        <v>9603600000</v>
      </c>
      <c r="M2244">
        <v>51.393756473238298</v>
      </c>
      <c r="N2244" s="7">
        <v>2.76329775171408</v>
      </c>
      <c r="O2244" s="7">
        <v>3.5963818043541198</v>
      </c>
      <c r="P2244" s="7">
        <v>-87.054772710236804</v>
      </c>
      <c r="Q2244" s="7">
        <v>0.37688442211055279</v>
      </c>
      <c r="U2244">
        <v>0.19685763380320906</v>
      </c>
      <c r="AT2244" s="4" t="s">
        <v>6574</v>
      </c>
    </row>
    <row r="2245" spans="1:46">
      <c r="A2245" s="2">
        <v>3533</v>
      </c>
      <c r="B2245" t="s">
        <v>7328</v>
      </c>
      <c r="C2245" t="s">
        <v>2886</v>
      </c>
      <c r="D2245" t="s">
        <v>3858</v>
      </c>
      <c r="E2245" s="4">
        <v>43465</v>
      </c>
      <c r="F2245" s="11">
        <v>-38.35074402</v>
      </c>
      <c r="G2245" s="11">
        <v>0.23696681999999999</v>
      </c>
      <c r="H2245" s="11">
        <v>-35.793644973200003</v>
      </c>
      <c r="I2245" s="11">
        <v>23.206288324100001</v>
      </c>
      <c r="J2245" s="11">
        <v>-6.2252328432999997</v>
      </c>
      <c r="K2245" s="10">
        <v>0.19518836922300001</v>
      </c>
      <c r="L2245" s="12">
        <v>618673881291.06006</v>
      </c>
      <c r="M2245">
        <v>29.030551408062799</v>
      </c>
      <c r="N2245" s="7">
        <v>2.1029456783115399</v>
      </c>
      <c r="O2245" s="7">
        <v>4.5561533885640797</v>
      </c>
      <c r="P2245" s="7">
        <v>-7.2845184272446302</v>
      </c>
      <c r="Q2245" s="7" t="s">
        <v>3698</v>
      </c>
      <c r="U2245">
        <v>-1.2497659619999999E-2</v>
      </c>
      <c r="AT2245" s="4" t="s">
        <v>4474</v>
      </c>
    </row>
    <row r="2246" spans="1:46">
      <c r="A2246" s="2">
        <v>2901</v>
      </c>
      <c r="B2246" t="s">
        <v>7329</v>
      </c>
      <c r="C2246" t="s">
        <v>257</v>
      </c>
      <c r="D2246" t="s">
        <v>3811</v>
      </c>
      <c r="E2246" s="4">
        <v>43465</v>
      </c>
      <c r="F2246" s="11">
        <v>-17.778273850000001</v>
      </c>
      <c r="G2246" s="11">
        <v>0.21321962</v>
      </c>
      <c r="H2246" s="11">
        <v>1.2787724051</v>
      </c>
      <c r="I2246" s="11">
        <v>29.262461652399999</v>
      </c>
      <c r="J2246" s="11">
        <v>9.9661868281999997</v>
      </c>
      <c r="K2246" s="10">
        <v>0.70396771631499999</v>
      </c>
      <c r="L2246" s="12">
        <v>3396600000</v>
      </c>
      <c r="M2246">
        <v>8.5957636132933004</v>
      </c>
      <c r="N2246" s="7">
        <v>1.84978825530036</v>
      </c>
      <c r="O2246" s="7">
        <v>0.68780521694091401</v>
      </c>
      <c r="P2246" s="7">
        <v>9.7299910834596499</v>
      </c>
      <c r="Q2246" s="7">
        <v>2.2573363431151248</v>
      </c>
      <c r="U2246">
        <v>0.69546941571199872</v>
      </c>
      <c r="AT2246" s="4" t="s">
        <v>4215</v>
      </c>
    </row>
    <row r="2247" spans="1:46">
      <c r="A2247" s="2">
        <v>105</v>
      </c>
      <c r="B2247" t="s">
        <v>7330</v>
      </c>
      <c r="C2247" t="s">
        <v>1234</v>
      </c>
      <c r="D2247" t="s">
        <v>3769</v>
      </c>
      <c r="E2247" s="4">
        <v>43465</v>
      </c>
      <c r="F2247" s="11">
        <v>-49.299849629999997</v>
      </c>
      <c r="G2247" s="11">
        <v>0.20080321000000001</v>
      </c>
      <c r="H2247" s="11">
        <v>15.513641912900001</v>
      </c>
      <c r="I2247" s="11">
        <v>62.0898534536</v>
      </c>
      <c r="J2247" s="11">
        <v>-6.9963296443000003</v>
      </c>
      <c r="K2247" s="10">
        <v>0.26707026873400003</v>
      </c>
      <c r="L2247" s="12">
        <v>21252952153.049999</v>
      </c>
      <c r="M2247">
        <v>12.624116674898699</v>
      </c>
      <c r="N2247" s="7">
        <v>1.89324070622792</v>
      </c>
      <c r="O2247" s="7">
        <v>3.7991074566579202</v>
      </c>
      <c r="P2247" s="7">
        <v>-79.174198164211404</v>
      </c>
      <c r="Q2247" s="7" t="s">
        <v>3698</v>
      </c>
      <c r="U2247">
        <v>-9.1321969362409994E-2</v>
      </c>
      <c r="AT2247" s="4" t="s">
        <v>3735</v>
      </c>
    </row>
    <row r="2248" spans="1:46">
      <c r="A2248" s="2">
        <v>2887</v>
      </c>
      <c r="B2248" t="s">
        <v>7331</v>
      </c>
      <c r="C2248" t="s">
        <v>987</v>
      </c>
      <c r="D2248" t="s">
        <v>3811</v>
      </c>
      <c r="E2248" s="4">
        <v>43465</v>
      </c>
      <c r="F2248" s="11">
        <v>-42.012332290000003</v>
      </c>
      <c r="G2248" s="11">
        <v>0.19685038999999999</v>
      </c>
      <c r="H2248" s="11">
        <v>2.2271288708000001</v>
      </c>
      <c r="I2248" s="11">
        <v>21.5192861566</v>
      </c>
      <c r="J2248" s="11">
        <v>5.1710428388</v>
      </c>
      <c r="K2248" s="10">
        <v>1.1080885161409999</v>
      </c>
      <c r="L2248" s="12">
        <v>29128994517.84</v>
      </c>
      <c r="M2248">
        <v>23.659722315611099</v>
      </c>
      <c r="N2248" s="7">
        <v>1.5254324655253</v>
      </c>
      <c r="O2248" s="7">
        <v>0.61205511152162795</v>
      </c>
      <c r="P2248" s="7">
        <v>-171.912995501941</v>
      </c>
      <c r="Q2248" s="7">
        <v>1.3265306122448981</v>
      </c>
      <c r="U2248">
        <v>0.20849557335027735</v>
      </c>
      <c r="AT2248" s="4" t="s">
        <v>3914</v>
      </c>
    </row>
    <row r="2249" spans="1:46">
      <c r="A2249" s="2">
        <v>2260</v>
      </c>
      <c r="B2249" t="s">
        <v>7332</v>
      </c>
      <c r="C2249" t="s">
        <v>1015</v>
      </c>
      <c r="D2249" t="s">
        <v>3811</v>
      </c>
      <c r="E2249" s="4">
        <v>43465</v>
      </c>
      <c r="F2249" s="11">
        <v>-20.980923829999998</v>
      </c>
      <c r="G2249" s="11">
        <v>0.14025245</v>
      </c>
      <c r="H2249" s="11">
        <v>19.373177127400002</v>
      </c>
      <c r="I2249" s="11">
        <v>46.826775482800002</v>
      </c>
      <c r="J2249" s="11">
        <v>25.119290432100001</v>
      </c>
      <c r="K2249" s="10">
        <v>0.40523855059899999</v>
      </c>
      <c r="L2249" s="12">
        <v>4464900000</v>
      </c>
      <c r="M2249">
        <v>22.841419666203901</v>
      </c>
      <c r="N2249" s="7">
        <v>3.07783414709106</v>
      </c>
      <c r="O2249" s="7">
        <v>5.5992629734450299</v>
      </c>
      <c r="P2249" s="7">
        <v>18.120170285501899</v>
      </c>
      <c r="Q2249" s="7">
        <v>0.59435364041604755</v>
      </c>
      <c r="U2249">
        <v>0.32852397567482738</v>
      </c>
      <c r="AT2249" s="4" t="s">
        <v>7333</v>
      </c>
    </row>
    <row r="2250" spans="1:46">
      <c r="A2250" s="2">
        <v>2285</v>
      </c>
      <c r="B2250" t="s">
        <v>7334</v>
      </c>
      <c r="C2250" t="s">
        <v>2380</v>
      </c>
      <c r="D2250" t="s">
        <v>3752</v>
      </c>
      <c r="E2250" s="4">
        <v>43465</v>
      </c>
      <c r="F2250" s="11">
        <v>-24.5516437</v>
      </c>
      <c r="G2250" s="11">
        <v>9.7181729999999994E-2</v>
      </c>
      <c r="H2250" s="11">
        <v>13.2916158801</v>
      </c>
      <c r="I2250" s="11">
        <v>17.913850836999998</v>
      </c>
      <c r="J2250" s="11">
        <v>4.4514509531000002</v>
      </c>
      <c r="K2250" s="10">
        <v>0.75335431146099996</v>
      </c>
      <c r="L2250" s="12">
        <v>2496000000</v>
      </c>
      <c r="M2250">
        <v>10.2831048113368</v>
      </c>
      <c r="N2250" s="7">
        <v>1.34524457249971</v>
      </c>
      <c r="O2250" s="7">
        <v>0.41222581674166198</v>
      </c>
      <c r="P2250" s="7">
        <v>15.3398335512977</v>
      </c>
      <c r="Q2250" s="7">
        <v>1.6157489537433516</v>
      </c>
      <c r="U2250">
        <v>0.55317835094244261</v>
      </c>
      <c r="AT2250" s="4" t="s">
        <v>5409</v>
      </c>
    </row>
    <row r="2251" spans="1:46">
      <c r="A2251" s="2">
        <v>44</v>
      </c>
      <c r="B2251" t="s">
        <v>7335</v>
      </c>
      <c r="C2251" t="s">
        <v>140</v>
      </c>
      <c r="D2251" t="s">
        <v>3871</v>
      </c>
      <c r="E2251" s="4">
        <v>43465</v>
      </c>
      <c r="F2251" s="11">
        <v>-35.797612800000003</v>
      </c>
      <c r="G2251" s="11">
        <v>3.3931500000000002E-3</v>
      </c>
      <c r="H2251" s="11">
        <v>-40.281154030499998</v>
      </c>
      <c r="I2251" s="11">
        <v>50.430304342900001</v>
      </c>
      <c r="J2251" s="11">
        <v>20.631814747699998</v>
      </c>
      <c r="K2251" s="10">
        <v>6.2040273990999997E-2</v>
      </c>
      <c r="L2251" s="12">
        <v>10874828455.4</v>
      </c>
      <c r="M2251">
        <v>12.0188813361586</v>
      </c>
      <c r="N2251" s="7">
        <v>1.41337780864637</v>
      </c>
      <c r="O2251" s="7">
        <v>1.51291083929907</v>
      </c>
      <c r="P2251" s="7">
        <v>-7.1944001780882001</v>
      </c>
      <c r="Q2251" s="7">
        <v>3.5460992907801412</v>
      </c>
      <c r="U2251">
        <v>0.17913844439112822</v>
      </c>
      <c r="AT2251" s="4" t="s">
        <v>5843</v>
      </c>
    </row>
    <row r="2252" spans="1:46">
      <c r="A2252" s="2">
        <v>3</v>
      </c>
      <c r="B2252" t="s">
        <v>7336</v>
      </c>
      <c r="C2252" t="s">
        <v>3198</v>
      </c>
      <c r="D2252" t="s">
        <v>3698</v>
      </c>
      <c r="E2252" s="4">
        <v>43465</v>
      </c>
      <c r="F2252" s="11">
        <v>0</v>
      </c>
      <c r="G2252" s="11">
        <v>0</v>
      </c>
      <c r="H2252" s="11">
        <v>-62.626215421300003</v>
      </c>
      <c r="I2252" s="11">
        <v>41.803887297999999</v>
      </c>
      <c r="J2252" s="11">
        <v>14.724133459200001</v>
      </c>
      <c r="K2252" s="10">
        <v>0.33834935051600001</v>
      </c>
      <c r="L2252" s="12">
        <v>3087360000</v>
      </c>
      <c r="M2252">
        <v>-278.93240930128201</v>
      </c>
      <c r="N2252" s="7">
        <v>11.2368475790235</v>
      </c>
      <c r="O2252" s="7">
        <v>14.991566465911999</v>
      </c>
      <c r="P2252" s="7">
        <v>-50.793922516376398</v>
      </c>
      <c r="Q2252" s="7" t="s">
        <v>3698</v>
      </c>
      <c r="R2252" s="5">
        <v>333433584</v>
      </c>
      <c r="S2252">
        <v>191862481</v>
      </c>
      <c r="U2252">
        <v>1.3040224466411279E-2</v>
      </c>
      <c r="V2252">
        <v>0.20100000000000001</v>
      </c>
      <c r="AT2252" s="4" t="s">
        <v>7337</v>
      </c>
    </row>
    <row r="2253" spans="1:46">
      <c r="A2253" s="2">
        <v>13</v>
      </c>
      <c r="B2253" t="s">
        <v>7338</v>
      </c>
      <c r="C2253" t="s">
        <v>3197</v>
      </c>
      <c r="D2253" t="s">
        <v>3698</v>
      </c>
      <c r="E2253" s="4">
        <v>43465</v>
      </c>
      <c r="F2253" s="11">
        <v>0</v>
      </c>
      <c r="G2253" s="11">
        <v>0</v>
      </c>
      <c r="H2253" s="11" t="s">
        <v>3698</v>
      </c>
      <c r="I2253" s="11" t="s">
        <v>3698</v>
      </c>
      <c r="J2253" s="11" t="s">
        <v>3698</v>
      </c>
      <c r="K2253" s="10" t="s">
        <v>3698</v>
      </c>
      <c r="L2253" s="12">
        <v>21602530005.84</v>
      </c>
      <c r="M2253">
        <v>-9.2899417400478406</v>
      </c>
      <c r="N2253" s="7">
        <v>-0.22692883893665999</v>
      </c>
      <c r="O2253" s="7" t="s">
        <v>3698</v>
      </c>
      <c r="P2253" s="7">
        <v>-12270.2167481175</v>
      </c>
      <c r="Q2253" s="7" t="s">
        <v>3698</v>
      </c>
      <c r="U2253">
        <v>-0.26587895480034301</v>
      </c>
      <c r="AT2253" s="4" t="s">
        <v>7339</v>
      </c>
    </row>
    <row r="2254" spans="1:46">
      <c r="A2254" s="2">
        <v>15</v>
      </c>
      <c r="B2254" t="s">
        <v>7340</v>
      </c>
      <c r="C2254" t="s">
        <v>3196</v>
      </c>
      <c r="D2254" t="s">
        <v>3698</v>
      </c>
      <c r="E2254" s="4">
        <v>43465</v>
      </c>
      <c r="F2254" s="11">
        <v>0</v>
      </c>
      <c r="G2254" s="11">
        <v>0</v>
      </c>
      <c r="H2254" s="11" t="s">
        <v>3698</v>
      </c>
      <c r="I2254" s="11" t="s">
        <v>3698</v>
      </c>
      <c r="J2254" s="11" t="s">
        <v>3698</v>
      </c>
      <c r="K2254" s="10" t="s">
        <v>3698</v>
      </c>
      <c r="L2254" s="12">
        <v>4819500000</v>
      </c>
      <c r="M2254">
        <v>508.12160368747601</v>
      </c>
      <c r="N2254" s="7">
        <v>5.0421356112700204</v>
      </c>
      <c r="O2254" s="7">
        <v>16.104441454915001</v>
      </c>
      <c r="P2254" s="7">
        <v>-203467.93944349099</v>
      </c>
      <c r="Q2254" s="7" t="s">
        <v>3698</v>
      </c>
      <c r="U2254">
        <v>1.3187103898871714E-2</v>
      </c>
      <c r="AT2254" s="4" t="s">
        <v>7341</v>
      </c>
    </row>
    <row r="2255" spans="1:46">
      <c r="A2255" s="2">
        <v>24</v>
      </c>
      <c r="B2255" t="s">
        <v>7342</v>
      </c>
      <c r="C2255" t="s">
        <v>3195</v>
      </c>
      <c r="D2255" t="s">
        <v>3698</v>
      </c>
      <c r="E2255" s="4">
        <v>43465</v>
      </c>
      <c r="F2255" s="11">
        <v>0</v>
      </c>
      <c r="G2255" s="11">
        <v>0</v>
      </c>
      <c r="H2255" s="11" t="s">
        <v>3698</v>
      </c>
      <c r="I2255" s="11" t="s">
        <v>3698</v>
      </c>
      <c r="J2255" s="11" t="s">
        <v>3698</v>
      </c>
      <c r="K2255" s="10" t="s">
        <v>3698</v>
      </c>
      <c r="L2255" s="12">
        <v>2716785120</v>
      </c>
      <c r="M2255">
        <v>26.038622764058001</v>
      </c>
      <c r="N2255" s="7">
        <v>3.1892551824293101</v>
      </c>
      <c r="O2255" s="7">
        <v>2.3962093223638901</v>
      </c>
      <c r="P2255" s="7">
        <v>24.282654956629599</v>
      </c>
      <c r="Q2255" s="7" t="s">
        <v>3698</v>
      </c>
      <c r="U2255">
        <v>1.6467610822268073</v>
      </c>
      <c r="AT2255" s="4" t="s">
        <v>6779</v>
      </c>
    </row>
    <row r="2256" spans="1:46">
      <c r="A2256" s="2">
        <v>33</v>
      </c>
      <c r="B2256" t="s">
        <v>7343</v>
      </c>
      <c r="C2256" t="s">
        <v>3194</v>
      </c>
      <c r="D2256" t="s">
        <v>3698</v>
      </c>
      <c r="E2256" s="4">
        <v>43465</v>
      </c>
      <c r="F2256" s="11">
        <v>0</v>
      </c>
      <c r="G2256" s="11">
        <v>0</v>
      </c>
      <c r="H2256" s="11" t="s">
        <v>3698</v>
      </c>
      <c r="I2256" s="11" t="s">
        <v>3698</v>
      </c>
      <c r="J2256" s="11" t="s">
        <v>3698</v>
      </c>
      <c r="K2256" s="10" t="s">
        <v>3698</v>
      </c>
      <c r="L2256" s="12">
        <v>4640435167.0100002</v>
      </c>
      <c r="M2256">
        <v>-71.764480960686001</v>
      </c>
      <c r="N2256" s="7">
        <v>48.663266266889401</v>
      </c>
      <c r="O2256" s="7">
        <v>8.4991529961426409</v>
      </c>
      <c r="P2256" s="7">
        <v>-119.987628442855</v>
      </c>
      <c r="Q2256" s="7" t="s">
        <v>3698</v>
      </c>
      <c r="U2256">
        <v>-1.6185937851373396E-2</v>
      </c>
      <c r="AT2256" s="4" t="s">
        <v>4775</v>
      </c>
    </row>
    <row r="2257" spans="1:46">
      <c r="A2257" s="2">
        <v>45</v>
      </c>
      <c r="B2257" t="s">
        <v>7344</v>
      </c>
      <c r="C2257" t="s">
        <v>3193</v>
      </c>
      <c r="D2257" t="s">
        <v>3698</v>
      </c>
      <c r="E2257" s="4">
        <v>43465</v>
      </c>
      <c r="F2257" s="11">
        <v>0</v>
      </c>
      <c r="G2257" s="11">
        <v>0</v>
      </c>
      <c r="H2257" s="11" t="s">
        <v>3698</v>
      </c>
      <c r="I2257" s="11" t="s">
        <v>3698</v>
      </c>
      <c r="J2257" s="11" t="s">
        <v>3698</v>
      </c>
      <c r="K2257" s="10" t="s">
        <v>3698</v>
      </c>
      <c r="L2257" s="12">
        <v>2964528402.29</v>
      </c>
      <c r="M2257">
        <v>-286.25474402825802</v>
      </c>
      <c r="N2257" s="7">
        <v>-1.9515633028702699</v>
      </c>
      <c r="O2257" s="7" t="s">
        <v>3698</v>
      </c>
      <c r="P2257" s="7">
        <v>56401.768529155102</v>
      </c>
      <c r="Q2257" s="7" t="s">
        <v>3698</v>
      </c>
      <c r="U2257">
        <v>-2.8153489835545779E-2</v>
      </c>
      <c r="AT2257" s="4" t="s">
        <v>7345</v>
      </c>
    </row>
    <row r="2258" spans="1:46">
      <c r="A2258" s="2">
        <v>166</v>
      </c>
      <c r="B2258" t="s">
        <v>7346</v>
      </c>
      <c r="C2258" t="s">
        <v>2655</v>
      </c>
      <c r="D2258" t="s">
        <v>3972</v>
      </c>
      <c r="E2258" s="4">
        <v>43465</v>
      </c>
      <c r="F2258" s="11">
        <v>-27.82426778</v>
      </c>
      <c r="G2258" s="11">
        <v>0</v>
      </c>
      <c r="H2258" s="11">
        <v>15.356415955199999</v>
      </c>
      <c r="I2258" s="11">
        <v>34.678579444699999</v>
      </c>
      <c r="J2258" s="11">
        <v>19.365822600200001</v>
      </c>
      <c r="K2258" s="10">
        <v>0.14068835414399999</v>
      </c>
      <c r="L2258" s="12">
        <v>2151633101.1599998</v>
      </c>
      <c r="M2258">
        <v>46.7990177321768</v>
      </c>
      <c r="N2258" s="7">
        <v>1.0148844167272899</v>
      </c>
      <c r="O2258" s="7">
        <v>6.7870465480495703</v>
      </c>
      <c r="P2258" s="7">
        <v>418.49280967580501</v>
      </c>
      <c r="Q2258" s="7" t="s">
        <v>3698</v>
      </c>
      <c r="U2258">
        <v>0.10104580322423098</v>
      </c>
      <c r="AT2258" s="4" t="s">
        <v>7347</v>
      </c>
    </row>
    <row r="2259" spans="1:46">
      <c r="A2259" s="2">
        <v>310</v>
      </c>
      <c r="B2259" t="s">
        <v>7348</v>
      </c>
      <c r="C2259" t="s">
        <v>3166</v>
      </c>
      <c r="D2259" t="s">
        <v>3698</v>
      </c>
      <c r="E2259" s="4">
        <v>43465</v>
      </c>
      <c r="F2259" s="11">
        <v>0</v>
      </c>
      <c r="G2259" s="11">
        <v>0</v>
      </c>
      <c r="H2259" s="11">
        <v>39.298791490699998</v>
      </c>
      <c r="I2259" s="11">
        <v>41.847895393599998</v>
      </c>
      <c r="J2259" s="11">
        <v>6.2422390351999999</v>
      </c>
      <c r="K2259" s="10">
        <v>1.1241401280400001</v>
      </c>
      <c r="L2259" s="12">
        <v>17823844280</v>
      </c>
      <c r="M2259">
        <v>24.130131721425499</v>
      </c>
      <c r="N2259" s="7">
        <v>3.77719208786118</v>
      </c>
      <c r="O2259" s="7">
        <v>1.91880201287786</v>
      </c>
      <c r="P2259" s="7">
        <v>-51.0610670359588</v>
      </c>
      <c r="Q2259" s="7" t="s">
        <v>3698</v>
      </c>
      <c r="U2259">
        <v>8.1177133981229749E-2</v>
      </c>
      <c r="AT2259" s="4" t="s">
        <v>6461</v>
      </c>
    </row>
    <row r="2260" spans="1:46">
      <c r="A2260" s="2">
        <v>337</v>
      </c>
      <c r="B2260" t="s">
        <v>7349</v>
      </c>
      <c r="C2260" t="s">
        <v>3161</v>
      </c>
      <c r="D2260" t="s">
        <v>3698</v>
      </c>
      <c r="E2260" s="4">
        <v>43465</v>
      </c>
      <c r="F2260" s="11">
        <v>0</v>
      </c>
      <c r="G2260" s="11">
        <v>0</v>
      </c>
      <c r="H2260" s="11">
        <v>1212.8025160406</v>
      </c>
      <c r="I2260" s="11">
        <v>37.204244134500001</v>
      </c>
      <c r="J2260" s="11">
        <v>15.528428847600001</v>
      </c>
      <c r="K2260" s="10">
        <v>0.32935191698299998</v>
      </c>
      <c r="L2260" s="12">
        <v>12131365713.6</v>
      </c>
      <c r="M2260">
        <v>-28.829301218530698</v>
      </c>
      <c r="N2260" s="7">
        <v>1.2118308881298001</v>
      </c>
      <c r="O2260" s="7">
        <v>118.35440394247399</v>
      </c>
      <c r="P2260" s="7">
        <v>-149.100708539327</v>
      </c>
      <c r="Q2260" s="7" t="s">
        <v>3698</v>
      </c>
      <c r="U2260">
        <v>9.1388787756202808E-2</v>
      </c>
      <c r="AT2260" s="4" t="s">
        <v>7350</v>
      </c>
    </row>
    <row r="2261" spans="1:46">
      <c r="A2261" s="2">
        <v>1454</v>
      </c>
      <c r="B2261" t="s">
        <v>7351</v>
      </c>
      <c r="C2261" t="s">
        <v>3538</v>
      </c>
      <c r="D2261" t="s">
        <v>3713</v>
      </c>
      <c r="E2261" s="4">
        <v>43465</v>
      </c>
      <c r="F2261" s="11">
        <v>-84.752475250000003</v>
      </c>
      <c r="G2261" s="11">
        <v>0</v>
      </c>
      <c r="H2261" s="11">
        <v>-42.592440930199999</v>
      </c>
      <c r="I2261" s="11">
        <v>-18.240828971700001</v>
      </c>
      <c r="J2261" s="11">
        <v>-176.37780264689999</v>
      </c>
      <c r="K2261" s="10">
        <v>4.9639765822999997E-2</v>
      </c>
      <c r="L2261" s="12">
        <v>15278164426.65</v>
      </c>
      <c r="M2261">
        <v>-1.5127931856850501</v>
      </c>
      <c r="N2261" s="7">
        <v>1.7615865460664699</v>
      </c>
      <c r="O2261" s="7">
        <v>12.808654802526499</v>
      </c>
      <c r="P2261" s="7">
        <v>-69.743508312287204</v>
      </c>
      <c r="Q2261" s="7" t="s">
        <v>3698</v>
      </c>
      <c r="U2261">
        <v>-6.7465480056980054E-2</v>
      </c>
      <c r="AT2261" s="4" t="s">
        <v>3770</v>
      </c>
    </row>
    <row r="2262" spans="1:46">
      <c r="A2262" s="2">
        <v>1611</v>
      </c>
      <c r="B2262" t="s">
        <v>7352</v>
      </c>
      <c r="C2262" t="s">
        <v>3147</v>
      </c>
      <c r="D2262" t="s">
        <v>3698</v>
      </c>
      <c r="E2262" s="4">
        <v>43465</v>
      </c>
      <c r="F2262" s="11">
        <v>0</v>
      </c>
      <c r="G2262" s="11">
        <v>0</v>
      </c>
      <c r="H2262" s="11" t="s">
        <v>3698</v>
      </c>
      <c r="I2262" s="11" t="s">
        <v>3698</v>
      </c>
      <c r="J2262" s="11" t="s">
        <v>3698</v>
      </c>
      <c r="K2262" s="10" t="s">
        <v>3698</v>
      </c>
      <c r="L2262" s="12">
        <v>4454909613.6000004</v>
      </c>
      <c r="M2262">
        <v>146.198191365523</v>
      </c>
      <c r="N2262" s="7">
        <v>12.325839668628401</v>
      </c>
      <c r="O2262" s="7">
        <v>18.8802228489781</v>
      </c>
      <c r="P2262" s="7">
        <v>-240.20993698081901</v>
      </c>
      <c r="Q2262" s="7" t="s">
        <v>3698</v>
      </c>
      <c r="U2262">
        <v>0.31609098759595061</v>
      </c>
      <c r="AT2262" s="4" t="s">
        <v>6527</v>
      </c>
    </row>
    <row r="2263" spans="1:46">
      <c r="A2263" s="2">
        <v>1350</v>
      </c>
      <c r="B2263" t="s">
        <v>7353</v>
      </c>
      <c r="C2263" t="s">
        <v>1167</v>
      </c>
      <c r="D2263" t="s">
        <v>3718</v>
      </c>
      <c r="E2263" s="4">
        <v>43465</v>
      </c>
      <c r="F2263" s="11">
        <v>-25.09922504</v>
      </c>
      <c r="G2263" s="11">
        <v>0</v>
      </c>
      <c r="H2263" s="11">
        <v>57.237521863700003</v>
      </c>
      <c r="I2263" s="11">
        <v>30.884830051600002</v>
      </c>
      <c r="J2263" s="11">
        <v>9.8981134219999998</v>
      </c>
      <c r="K2263" s="10">
        <v>0.73019104571399995</v>
      </c>
      <c r="L2263" s="12">
        <v>3668248722.1799998</v>
      </c>
      <c r="M2263">
        <v>29.695677780349001</v>
      </c>
      <c r="N2263" s="7">
        <v>3.0904547304229602</v>
      </c>
      <c r="O2263" s="7">
        <v>2.4666977913578201</v>
      </c>
      <c r="P2263" s="7">
        <v>173.10544616184799</v>
      </c>
      <c r="Q2263" s="7">
        <v>0.3687029513772237</v>
      </c>
      <c r="U2263">
        <v>0.47599511748052692</v>
      </c>
      <c r="AT2263" s="4" t="s">
        <v>7354</v>
      </c>
    </row>
    <row r="2264" spans="1:46">
      <c r="A2264" s="2">
        <v>1797</v>
      </c>
      <c r="B2264" t="s">
        <v>7355</v>
      </c>
      <c r="C2264" t="s">
        <v>3145</v>
      </c>
      <c r="D2264" t="s">
        <v>3698</v>
      </c>
      <c r="E2264" s="4">
        <v>43465</v>
      </c>
      <c r="F2264" s="11">
        <v>0</v>
      </c>
      <c r="G2264" s="11">
        <v>0</v>
      </c>
      <c r="H2264" s="11">
        <v>-56.7489701553</v>
      </c>
      <c r="I2264" s="11">
        <v>26.6139921121</v>
      </c>
      <c r="J2264" s="11">
        <v>-2534.1181563033001</v>
      </c>
      <c r="K2264" s="10">
        <v>3.5547686396999997E-2</v>
      </c>
      <c r="L2264" s="12">
        <v>2135000000</v>
      </c>
      <c r="M2264">
        <v>-1.9907620221962601</v>
      </c>
      <c r="N2264" s="7">
        <v>-0.98287480666780902</v>
      </c>
      <c r="O2264" s="7">
        <v>9.1692176440934894</v>
      </c>
      <c r="P2264" s="7">
        <v>7.6514831205850404</v>
      </c>
      <c r="Q2264" s="7" t="s">
        <v>3698</v>
      </c>
      <c r="U2264">
        <v>-2.6631905437519978</v>
      </c>
      <c r="AT2264" s="4" t="s">
        <v>4721</v>
      </c>
    </row>
    <row r="2265" spans="1:46">
      <c r="A2265" s="2">
        <v>1498</v>
      </c>
      <c r="B2265" t="s">
        <v>7356</v>
      </c>
      <c r="C2265" t="s">
        <v>1087</v>
      </c>
      <c r="D2265" t="s">
        <v>3769</v>
      </c>
      <c r="E2265" s="4">
        <v>43465</v>
      </c>
      <c r="F2265" s="11">
        <v>4.8191786099999998</v>
      </c>
      <c r="G2265" s="11">
        <v>0</v>
      </c>
      <c r="H2265" s="11">
        <v>52.030218446200003</v>
      </c>
      <c r="I2265" s="11">
        <v>18.268988449199998</v>
      </c>
      <c r="J2265" s="11">
        <v>9.6371029164999999</v>
      </c>
      <c r="K2265" s="10">
        <v>0.92131294406399999</v>
      </c>
      <c r="L2265" s="12">
        <v>8140317966.1999998</v>
      </c>
      <c r="M2265">
        <v>46.9255025076706</v>
      </c>
      <c r="N2265" s="7">
        <v>4.0465824811365296</v>
      </c>
      <c r="O2265" s="7">
        <v>3.77866455265496</v>
      </c>
      <c r="P2265" s="7">
        <v>7.5936347286414403</v>
      </c>
      <c r="Q2265" s="7">
        <v>0.64814814814814814</v>
      </c>
      <c r="U2265">
        <v>0.72394092448666503</v>
      </c>
      <c r="AT2265" s="4" t="s">
        <v>6155</v>
      </c>
    </row>
    <row r="2266" spans="1:46">
      <c r="A2266" s="2">
        <v>2162</v>
      </c>
      <c r="B2266" t="s">
        <v>7357</v>
      </c>
      <c r="C2266" t="s">
        <v>3143</v>
      </c>
      <c r="D2266" t="s">
        <v>3698</v>
      </c>
      <c r="E2266" s="4">
        <v>43465</v>
      </c>
      <c r="F2266" s="11">
        <v>0</v>
      </c>
      <c r="G2266" s="11">
        <v>0</v>
      </c>
      <c r="H2266" s="11" t="s">
        <v>3698</v>
      </c>
      <c r="I2266" s="11" t="s">
        <v>3698</v>
      </c>
      <c r="J2266" s="11" t="s">
        <v>3698</v>
      </c>
      <c r="K2266" s="10" t="s">
        <v>3698</v>
      </c>
      <c r="L2266" s="12">
        <v>9130845328.4300003</v>
      </c>
      <c r="M2266">
        <v>-251.492532382821</v>
      </c>
      <c r="N2266" s="7">
        <v>1.20009614878077</v>
      </c>
      <c r="O2266" s="7">
        <v>0.46057300956077502</v>
      </c>
      <c r="P2266" s="7">
        <v>790.66496577993303</v>
      </c>
      <c r="Q2266" s="7" t="s">
        <v>3698</v>
      </c>
      <c r="U2266">
        <v>-7.8527129739666864E-3</v>
      </c>
      <c r="AT2266" s="4" t="s">
        <v>5488</v>
      </c>
    </row>
    <row r="2267" spans="1:46">
      <c r="A2267" s="2">
        <v>2163</v>
      </c>
      <c r="B2267" t="s">
        <v>7358</v>
      </c>
      <c r="C2267" t="s">
        <v>3142</v>
      </c>
      <c r="D2267" t="s">
        <v>3698</v>
      </c>
      <c r="E2267" s="4">
        <v>43465</v>
      </c>
      <c r="F2267" s="11">
        <v>0</v>
      </c>
      <c r="G2267" s="11">
        <v>0</v>
      </c>
      <c r="H2267" s="11" t="s">
        <v>3698</v>
      </c>
      <c r="I2267" s="11" t="s">
        <v>3698</v>
      </c>
      <c r="J2267" s="11" t="s">
        <v>3698</v>
      </c>
      <c r="K2267" s="10" t="s">
        <v>3698</v>
      </c>
      <c r="L2267" s="12">
        <v>3639486198.2199998</v>
      </c>
      <c r="M2267">
        <v>10.6744160686704</v>
      </c>
      <c r="N2267" s="7">
        <v>2.5735341724607301</v>
      </c>
      <c r="O2267" s="7">
        <v>1.0072391909343701</v>
      </c>
      <c r="P2267" s="7">
        <v>76.217315514235906</v>
      </c>
      <c r="Q2267" s="7" t="s">
        <v>3698</v>
      </c>
      <c r="U2267">
        <v>0.94263435897435899</v>
      </c>
      <c r="AT2267" s="4" t="s">
        <v>7359</v>
      </c>
    </row>
    <row r="2268" spans="1:46">
      <c r="A2268" s="2">
        <v>2164</v>
      </c>
      <c r="B2268" t="s">
        <v>7360</v>
      </c>
      <c r="C2268" t="s">
        <v>3141</v>
      </c>
      <c r="D2268" t="s">
        <v>3698</v>
      </c>
      <c r="E2268" s="4">
        <v>43465</v>
      </c>
      <c r="F2268" s="11">
        <v>0</v>
      </c>
      <c r="G2268" s="11">
        <v>0</v>
      </c>
      <c r="H2268" s="11" t="s">
        <v>3698</v>
      </c>
      <c r="I2268" s="11" t="s">
        <v>3698</v>
      </c>
      <c r="J2268" s="11" t="s">
        <v>3698</v>
      </c>
      <c r="K2268" s="10" t="s">
        <v>3698</v>
      </c>
      <c r="L2268" s="12">
        <v>2949961417.1999998</v>
      </c>
      <c r="M2268">
        <v>20.9825232871381</v>
      </c>
      <c r="N2268" s="7">
        <v>1.2398154793679399</v>
      </c>
      <c r="O2268" s="7">
        <v>6.2898964648776197</v>
      </c>
      <c r="P2268" s="7">
        <v>18.828054030255402</v>
      </c>
      <c r="Q2268" s="7" t="s">
        <v>3698</v>
      </c>
      <c r="U2268">
        <v>0.19478460444279591</v>
      </c>
      <c r="AT2268" s="4" t="s">
        <v>5381</v>
      </c>
    </row>
    <row r="2269" spans="1:46">
      <c r="A2269" s="2">
        <v>2166</v>
      </c>
      <c r="B2269" t="s">
        <v>7361</v>
      </c>
      <c r="C2269" t="s">
        <v>3140</v>
      </c>
      <c r="D2269" t="s">
        <v>3698</v>
      </c>
      <c r="E2269" s="4">
        <v>43465</v>
      </c>
      <c r="F2269" s="11">
        <v>0</v>
      </c>
      <c r="G2269" s="11">
        <v>0</v>
      </c>
      <c r="H2269" s="11" t="s">
        <v>3698</v>
      </c>
      <c r="I2269" s="11" t="s">
        <v>3698</v>
      </c>
      <c r="J2269" s="11" t="s">
        <v>3698</v>
      </c>
      <c r="K2269" s="10" t="s">
        <v>3698</v>
      </c>
      <c r="L2269" s="12">
        <v>10570231775.639999</v>
      </c>
      <c r="M2269">
        <v>-6.0561837182103604</v>
      </c>
      <c r="N2269" s="7">
        <v>1.3231663793916799</v>
      </c>
      <c r="O2269" s="7">
        <v>0.71604903963005895</v>
      </c>
      <c r="P2269" s="7">
        <v>12.820130089371499</v>
      </c>
      <c r="Q2269" s="7" t="s">
        <v>3698</v>
      </c>
      <c r="U2269">
        <v>-0.60860725738162358</v>
      </c>
      <c r="AT2269" s="4" t="s">
        <v>7362</v>
      </c>
    </row>
    <row r="2270" spans="1:46">
      <c r="A2270" s="2">
        <v>2212</v>
      </c>
      <c r="B2270" t="s">
        <v>7363</v>
      </c>
      <c r="C2270" t="s">
        <v>3139</v>
      </c>
      <c r="D2270" t="s">
        <v>3698</v>
      </c>
      <c r="E2270" s="4">
        <v>43465</v>
      </c>
      <c r="F2270" s="11">
        <v>0</v>
      </c>
      <c r="G2270" s="11">
        <v>0</v>
      </c>
      <c r="H2270" s="11">
        <v>39.055924799000003</v>
      </c>
      <c r="I2270" s="11">
        <v>3.9923546131999998</v>
      </c>
      <c r="J2270" s="11">
        <v>-0.3904763128</v>
      </c>
      <c r="K2270" s="10">
        <v>0.93565500436100002</v>
      </c>
      <c r="L2270" s="12">
        <v>23642712984.799999</v>
      </c>
      <c r="M2270">
        <v>14.9910293244975</v>
      </c>
      <c r="N2270" s="7">
        <v>-1.6611209495855599</v>
      </c>
      <c r="O2270" s="7">
        <v>0.38405201254767302</v>
      </c>
      <c r="P2270" s="7">
        <v>1.01550646909053</v>
      </c>
      <c r="Q2270" s="7" t="s">
        <v>3698</v>
      </c>
      <c r="U2270">
        <v>-1.692469010599857E-2</v>
      </c>
      <c r="AT2270" s="4" t="s">
        <v>7364</v>
      </c>
    </row>
    <row r="2271" spans="1:46">
      <c r="A2271" s="2">
        <v>2234</v>
      </c>
      <c r="B2271" t="s">
        <v>7365</v>
      </c>
      <c r="C2271" t="s">
        <v>3137</v>
      </c>
      <c r="D2271" t="s">
        <v>3698</v>
      </c>
      <c r="E2271" s="4">
        <v>43465</v>
      </c>
      <c r="F2271" s="11">
        <v>0</v>
      </c>
      <c r="G2271" s="11">
        <v>0</v>
      </c>
      <c r="H2271" s="11">
        <v>-9.4114906652000005</v>
      </c>
      <c r="I2271" s="11">
        <v>19.1236242883</v>
      </c>
      <c r="J2271" s="11">
        <v>10.7811573027</v>
      </c>
      <c r="K2271" s="10">
        <v>0.44608334471299999</v>
      </c>
      <c r="L2271" s="12">
        <v>1084325975.0599999</v>
      </c>
      <c r="M2271">
        <v>14.1521569886806</v>
      </c>
      <c r="N2271" s="7">
        <v>1.1073557355768799</v>
      </c>
      <c r="O2271" s="7">
        <v>1.19914194186915</v>
      </c>
      <c r="P2271" s="7">
        <v>29.697199137629699</v>
      </c>
      <c r="Q2271" s="7" t="s">
        <v>3698</v>
      </c>
      <c r="U2271">
        <v>7.1714971126894275E-2</v>
      </c>
      <c r="AT2271" s="4" t="s">
        <v>7366</v>
      </c>
    </row>
    <row r="2272" spans="1:46">
      <c r="A2272" s="2">
        <v>2239</v>
      </c>
      <c r="B2272" t="s">
        <v>7367</v>
      </c>
      <c r="C2272" t="s">
        <v>3136</v>
      </c>
      <c r="D2272" t="s">
        <v>3698</v>
      </c>
      <c r="E2272" s="4">
        <v>43465</v>
      </c>
      <c r="F2272" s="11">
        <v>0</v>
      </c>
      <c r="G2272" s="11">
        <v>0</v>
      </c>
      <c r="H2272" s="11">
        <v>1374.2396381291001</v>
      </c>
      <c r="I2272" s="11">
        <v>95.009823196200003</v>
      </c>
      <c r="J2272" s="11">
        <v>-450.1305614291</v>
      </c>
      <c r="K2272" s="10">
        <v>5.4568437779999998E-3</v>
      </c>
      <c r="L2272" s="12">
        <v>749286798.13</v>
      </c>
      <c r="M2272">
        <v>-116.768960440908</v>
      </c>
      <c r="N2272" s="7">
        <v>-0.48439476261609798</v>
      </c>
      <c r="O2272" s="7">
        <v>36383.104199283502</v>
      </c>
      <c r="P2272" s="7">
        <v>-648.12999761269498</v>
      </c>
      <c r="Q2272" s="7" t="s">
        <v>3698</v>
      </c>
      <c r="U2272">
        <v>-5.4425246232525587E-3</v>
      </c>
      <c r="AT2272" s="4" t="s">
        <v>3755</v>
      </c>
    </row>
    <row r="2273" spans="1:46">
      <c r="A2273" s="2">
        <v>2249</v>
      </c>
      <c r="B2273" t="s">
        <v>7368</v>
      </c>
      <c r="C2273" t="s">
        <v>3135</v>
      </c>
      <c r="D2273" t="s">
        <v>3698</v>
      </c>
      <c r="E2273" s="4">
        <v>43465</v>
      </c>
      <c r="F2273" s="11">
        <v>0</v>
      </c>
      <c r="G2273" s="11">
        <v>0</v>
      </c>
      <c r="H2273" s="11" t="s">
        <v>3698</v>
      </c>
      <c r="I2273" s="11" t="s">
        <v>3698</v>
      </c>
      <c r="J2273" s="11" t="s">
        <v>3698</v>
      </c>
      <c r="K2273" s="10" t="s">
        <v>3698</v>
      </c>
      <c r="L2273" s="12">
        <v>10951513308.950001</v>
      </c>
      <c r="M2273">
        <v>20.014899418389199</v>
      </c>
      <c r="N2273" s="7">
        <v>1.0649306568029999</v>
      </c>
      <c r="O2273" s="7">
        <v>0.14213933785313401</v>
      </c>
      <c r="P2273" s="7">
        <v>-39.411960442328898</v>
      </c>
      <c r="Q2273" s="7" t="s">
        <v>3698</v>
      </c>
      <c r="U2273">
        <v>0.36233066421285115</v>
      </c>
      <c r="AT2273" s="4" t="s">
        <v>7369</v>
      </c>
    </row>
    <row r="2274" spans="1:46">
      <c r="A2274" s="2">
        <v>2287</v>
      </c>
      <c r="B2274" t="s">
        <v>7370</v>
      </c>
      <c r="C2274" t="s">
        <v>3229</v>
      </c>
      <c r="D2274" t="s">
        <v>3811</v>
      </c>
      <c r="E2274" s="4">
        <v>43465</v>
      </c>
      <c r="F2274" s="11">
        <v>0</v>
      </c>
      <c r="G2274" s="11">
        <v>0</v>
      </c>
      <c r="H2274" s="11">
        <v>-96.081022981999993</v>
      </c>
      <c r="I2274" s="11">
        <v>9.6455472899999997</v>
      </c>
      <c r="J2274" s="11">
        <v>73.635256559699997</v>
      </c>
      <c r="K2274" s="10">
        <v>1.3226236535E-2</v>
      </c>
      <c r="L2274" s="12">
        <v>104326005537</v>
      </c>
      <c r="M2274">
        <v>-114.09286753939</v>
      </c>
      <c r="N2274" s="7">
        <v>129.50768487006599</v>
      </c>
      <c r="O2274" s="7">
        <v>176.82478948353099</v>
      </c>
      <c r="P2274" s="7">
        <v>129.930681782698</v>
      </c>
      <c r="Q2274" s="7" t="s">
        <v>3698</v>
      </c>
      <c r="U2274">
        <v>6.6101140018487558E-3</v>
      </c>
      <c r="AT2274" s="4" t="s">
        <v>7371</v>
      </c>
    </row>
    <row r="2275" spans="1:46">
      <c r="A2275" s="2">
        <v>2319</v>
      </c>
      <c r="B2275" t="s">
        <v>7372</v>
      </c>
      <c r="C2275" t="s">
        <v>3134</v>
      </c>
      <c r="D2275" t="s">
        <v>3698</v>
      </c>
      <c r="E2275" s="4">
        <v>43465</v>
      </c>
      <c r="F2275" s="11">
        <v>0</v>
      </c>
      <c r="G2275" s="11">
        <v>0</v>
      </c>
      <c r="H2275" s="11" t="s">
        <v>3698</v>
      </c>
      <c r="I2275" s="11" t="s">
        <v>3698</v>
      </c>
      <c r="J2275" s="11" t="s">
        <v>3698</v>
      </c>
      <c r="K2275" s="10" t="s">
        <v>3698</v>
      </c>
      <c r="L2275" s="12">
        <v>730524059.5</v>
      </c>
      <c r="M2275">
        <v>-3.0411525268217798</v>
      </c>
      <c r="N2275" s="7">
        <v>-1.5261522707165001</v>
      </c>
      <c r="O2275" s="7">
        <v>-22.422463336085599</v>
      </c>
      <c r="P2275" s="7">
        <v>-33.718671997328201</v>
      </c>
      <c r="Q2275" s="7" t="s">
        <v>3698</v>
      </c>
      <c r="U2275">
        <v>-0.27314089406565173</v>
      </c>
      <c r="AT2275" s="4" t="s">
        <v>7373</v>
      </c>
    </row>
    <row r="2276" spans="1:46">
      <c r="A2276" s="2">
        <v>2341</v>
      </c>
      <c r="B2276" t="s">
        <v>7374</v>
      </c>
      <c r="C2276" t="s">
        <v>3132</v>
      </c>
      <c r="D2276" t="s">
        <v>3698</v>
      </c>
      <c r="E2276" s="4">
        <v>43465</v>
      </c>
      <c r="F2276" s="11">
        <v>0</v>
      </c>
      <c r="G2276" s="11">
        <v>0</v>
      </c>
      <c r="H2276" s="11" t="s">
        <v>3698</v>
      </c>
      <c r="I2276" s="11" t="s">
        <v>3698</v>
      </c>
      <c r="J2276" s="11" t="s">
        <v>3698</v>
      </c>
      <c r="K2276" s="10" t="s">
        <v>3698</v>
      </c>
      <c r="L2276" s="12">
        <v>1482797982.49</v>
      </c>
      <c r="M2276">
        <v>16.366755128703801</v>
      </c>
      <c r="N2276" s="7">
        <v>4.2189851148495601</v>
      </c>
      <c r="O2276" s="7" t="s">
        <v>3698</v>
      </c>
      <c r="P2276" s="7">
        <v>-33.041471201445397</v>
      </c>
      <c r="Q2276" s="7" t="s">
        <v>3698</v>
      </c>
      <c r="U2276">
        <v>1.5475752867261905</v>
      </c>
      <c r="AT2276" s="4" t="s">
        <v>5267</v>
      </c>
    </row>
    <row r="2277" spans="1:46">
      <c r="A2277" s="2">
        <v>2385</v>
      </c>
      <c r="B2277" t="s">
        <v>7375</v>
      </c>
      <c r="C2277" t="s">
        <v>3131</v>
      </c>
      <c r="D2277" t="s">
        <v>3698</v>
      </c>
      <c r="E2277" s="4">
        <v>43465</v>
      </c>
      <c r="F2277" s="11">
        <v>0</v>
      </c>
      <c r="G2277" s="11">
        <v>0</v>
      </c>
      <c r="H2277" s="11" t="s">
        <v>3698</v>
      </c>
      <c r="I2277" s="11" t="s">
        <v>3698</v>
      </c>
      <c r="J2277" s="11" t="s">
        <v>3698</v>
      </c>
      <c r="K2277" s="10" t="s">
        <v>3698</v>
      </c>
      <c r="L2277" s="12">
        <v>5031392835.75</v>
      </c>
      <c r="M2277">
        <v>128.50215286559799</v>
      </c>
      <c r="N2277" s="7">
        <v>3.02515248807918</v>
      </c>
      <c r="O2277" s="7">
        <v>0.79129900997988001</v>
      </c>
      <c r="P2277" s="7">
        <v>-154.561000780999</v>
      </c>
      <c r="Q2277" s="7" t="s">
        <v>3698</v>
      </c>
      <c r="U2277">
        <v>0.10754554907142858</v>
      </c>
      <c r="AT2277" s="4" t="s">
        <v>7376</v>
      </c>
    </row>
    <row r="2278" spans="1:46">
      <c r="A2278" s="2">
        <v>2394</v>
      </c>
      <c r="B2278" t="s">
        <v>7377</v>
      </c>
      <c r="C2278" t="s">
        <v>3130</v>
      </c>
      <c r="D2278" t="s">
        <v>3698</v>
      </c>
      <c r="E2278" s="4">
        <v>43465</v>
      </c>
      <c r="F2278" s="11">
        <v>0</v>
      </c>
      <c r="G2278" s="11">
        <v>0</v>
      </c>
      <c r="H2278" s="11" t="s">
        <v>3698</v>
      </c>
      <c r="I2278" s="11" t="s">
        <v>3698</v>
      </c>
      <c r="J2278" s="11" t="s">
        <v>3698</v>
      </c>
      <c r="K2278" s="10" t="s">
        <v>3698</v>
      </c>
      <c r="L2278" s="12">
        <v>899164674.20000005</v>
      </c>
      <c r="M2278">
        <v>35.071957745082599</v>
      </c>
      <c r="N2278" s="7">
        <v>3.1182891259031602</v>
      </c>
      <c r="O2278" s="7">
        <v>0.50026295353183903</v>
      </c>
      <c r="P2278" s="7">
        <v>31.639490904452501</v>
      </c>
      <c r="Q2278" s="7" t="s">
        <v>3698</v>
      </c>
      <c r="U2278">
        <v>0.49130723334532533</v>
      </c>
      <c r="AT2278" s="4" t="s">
        <v>6243</v>
      </c>
    </row>
    <row r="2279" spans="1:46">
      <c r="A2279" s="2">
        <v>2400</v>
      </c>
      <c r="B2279" t="s">
        <v>7378</v>
      </c>
      <c r="C2279" t="s">
        <v>1080</v>
      </c>
      <c r="D2279" t="s">
        <v>3698</v>
      </c>
      <c r="E2279" s="4">
        <v>43465</v>
      </c>
      <c r="F2279" s="11">
        <v>25.136000549999999</v>
      </c>
      <c r="G2279" s="11">
        <v>0</v>
      </c>
      <c r="H2279" s="11" t="s">
        <v>3698</v>
      </c>
      <c r="I2279" s="11" t="s">
        <v>3698</v>
      </c>
      <c r="J2279" s="11" t="s">
        <v>3698</v>
      </c>
      <c r="K2279" s="10" t="s">
        <v>3698</v>
      </c>
      <c r="L2279" s="12">
        <v>166860000</v>
      </c>
      <c r="M2279">
        <v>16.7156022995092</v>
      </c>
      <c r="N2279" s="7">
        <v>2.2524276987714398</v>
      </c>
      <c r="O2279" s="7">
        <v>2.7360286874917499</v>
      </c>
      <c r="P2279" s="7">
        <v>23.431138494930298</v>
      </c>
      <c r="Q2279" s="7" t="s">
        <v>3698</v>
      </c>
      <c r="U2279">
        <v>1.4168266159586305</v>
      </c>
      <c r="AT2279" s="4" t="s">
        <v>7379</v>
      </c>
    </row>
    <row r="2280" spans="1:46">
      <c r="A2280" s="2">
        <v>2415</v>
      </c>
      <c r="B2280" t="s">
        <v>7380</v>
      </c>
      <c r="C2280" t="s">
        <v>3129</v>
      </c>
      <c r="D2280" t="s">
        <v>3698</v>
      </c>
      <c r="E2280" s="4">
        <v>43465</v>
      </c>
      <c r="F2280" s="11">
        <v>0</v>
      </c>
      <c r="G2280" s="11">
        <v>0</v>
      </c>
      <c r="H2280" s="11">
        <v>-6.1964962302000002</v>
      </c>
      <c r="I2280" s="11">
        <v>46.092291781299998</v>
      </c>
      <c r="J2280" s="11">
        <v>23.373759825800001</v>
      </c>
      <c r="K2280" s="10">
        <v>0.52672331553499996</v>
      </c>
      <c r="L2280" s="12">
        <v>264864600</v>
      </c>
      <c r="M2280">
        <v>21.119121880429699</v>
      </c>
      <c r="N2280" s="7">
        <v>2.5786031180825999</v>
      </c>
      <c r="O2280" s="7">
        <v>3.6830244259542799</v>
      </c>
      <c r="P2280" s="7">
        <v>120.952213501524</v>
      </c>
      <c r="Q2280" s="7" t="s">
        <v>3698</v>
      </c>
      <c r="U2280">
        <v>3.7687195608636183E-2</v>
      </c>
      <c r="AT2280" s="4" t="s">
        <v>7381</v>
      </c>
    </row>
    <row r="2281" spans="1:46">
      <c r="A2281" s="2">
        <v>2424</v>
      </c>
      <c r="B2281" t="s">
        <v>7382</v>
      </c>
      <c r="C2281" t="s">
        <v>3128</v>
      </c>
      <c r="D2281" t="s">
        <v>3698</v>
      </c>
      <c r="E2281" s="4">
        <v>43465</v>
      </c>
      <c r="F2281" s="11">
        <v>0</v>
      </c>
      <c r="G2281" s="11">
        <v>0</v>
      </c>
      <c r="H2281" s="11" t="s">
        <v>3698</v>
      </c>
      <c r="I2281" s="11" t="s">
        <v>3698</v>
      </c>
      <c r="J2281" s="11" t="s">
        <v>3698</v>
      </c>
      <c r="K2281" s="10" t="s">
        <v>3698</v>
      </c>
      <c r="L2281" s="12">
        <v>24658624800</v>
      </c>
      <c r="M2281">
        <v>27.500540188354499</v>
      </c>
      <c r="N2281" s="7">
        <v>2.85662495911183</v>
      </c>
      <c r="O2281" s="7" t="s">
        <v>3698</v>
      </c>
      <c r="P2281" s="7">
        <v>59.913300703684499</v>
      </c>
      <c r="Q2281" s="7" t="s">
        <v>3698</v>
      </c>
      <c r="U2281">
        <v>0.51309826700029437</v>
      </c>
      <c r="AT2281" s="4" t="s">
        <v>7383</v>
      </c>
    </row>
    <row r="2282" spans="1:46">
      <c r="A2282" s="2">
        <v>2477</v>
      </c>
      <c r="B2282" t="s">
        <v>7384</v>
      </c>
      <c r="C2282" t="s">
        <v>3125</v>
      </c>
      <c r="D2282" t="s">
        <v>3698</v>
      </c>
      <c r="E2282" s="4">
        <v>43465</v>
      </c>
      <c r="F2282" s="11">
        <v>0</v>
      </c>
      <c r="G2282" s="11">
        <v>0</v>
      </c>
      <c r="H2282" s="11" t="s">
        <v>3698</v>
      </c>
      <c r="I2282" s="11" t="s">
        <v>3698</v>
      </c>
      <c r="J2282" s="11" t="s">
        <v>3698</v>
      </c>
      <c r="K2282" s="10" t="s">
        <v>3698</v>
      </c>
      <c r="L2282" s="12">
        <v>1879063409</v>
      </c>
      <c r="M2282">
        <v>-30.296447873082599</v>
      </c>
      <c r="N2282" s="7">
        <v>2.08557488007443</v>
      </c>
      <c r="O2282" s="7">
        <v>0.46940918826380401</v>
      </c>
      <c r="P2282" s="7">
        <v>-4.8548468593410004</v>
      </c>
      <c r="Q2282" s="7" t="s">
        <v>3698</v>
      </c>
      <c r="U2282">
        <v>-0.22897428948973345</v>
      </c>
      <c r="AT2282" s="4" t="s">
        <v>7385</v>
      </c>
    </row>
    <row r="2283" spans="1:46">
      <c r="A2283" s="2">
        <v>2536</v>
      </c>
      <c r="B2283" t="s">
        <v>7386</v>
      </c>
      <c r="C2283" t="s">
        <v>3667</v>
      </c>
      <c r="D2283" t="s">
        <v>3698</v>
      </c>
      <c r="E2283" s="4">
        <v>43465</v>
      </c>
      <c r="F2283" s="11">
        <v>-79.525222549999995</v>
      </c>
      <c r="G2283" s="11">
        <v>0</v>
      </c>
      <c r="H2283" s="11">
        <v>20.5293760536</v>
      </c>
      <c r="I2283" s="11">
        <v>20.735332579800001</v>
      </c>
      <c r="J2283" s="11">
        <v>-63.452984600199997</v>
      </c>
      <c r="K2283" s="10">
        <v>0.29988809644999997</v>
      </c>
      <c r="L2283" s="12">
        <v>253904682.63999999</v>
      </c>
      <c r="M2283">
        <v>-1.05713033135339</v>
      </c>
      <c r="N2283" s="7">
        <v>-0.81242226759135305</v>
      </c>
      <c r="O2283" s="7">
        <v>0.60441258337292203</v>
      </c>
      <c r="P2283" s="7">
        <v>297.50606091273801</v>
      </c>
      <c r="Q2283" s="7" t="s">
        <v>3698</v>
      </c>
      <c r="U2283">
        <v>-1.4082797209217401</v>
      </c>
      <c r="AT2283" s="4" t="s">
        <v>7387</v>
      </c>
    </row>
    <row r="2284" spans="1:46">
      <c r="A2284" s="2">
        <v>2560</v>
      </c>
      <c r="B2284" t="s">
        <v>7388</v>
      </c>
      <c r="C2284" t="s">
        <v>3124</v>
      </c>
      <c r="D2284" t="s">
        <v>3698</v>
      </c>
      <c r="E2284" s="4">
        <v>43465</v>
      </c>
      <c r="F2284" s="11">
        <v>0</v>
      </c>
      <c r="G2284" s="11">
        <v>0</v>
      </c>
      <c r="H2284" s="11" t="s">
        <v>3698</v>
      </c>
      <c r="I2284" s="11" t="s">
        <v>3698</v>
      </c>
      <c r="J2284" s="11" t="s">
        <v>3698</v>
      </c>
      <c r="K2284" s="10" t="s">
        <v>3698</v>
      </c>
      <c r="L2284" s="12">
        <v>11922531702.9</v>
      </c>
      <c r="M2284">
        <v>31.604436200345202</v>
      </c>
      <c r="N2284" s="7">
        <v>9.8598265293690197</v>
      </c>
      <c r="O2284" s="7">
        <v>29.542233921729199</v>
      </c>
      <c r="P2284" s="7">
        <v>-145.17539612540699</v>
      </c>
      <c r="Q2284" s="7" t="s">
        <v>3698</v>
      </c>
      <c r="U2284">
        <v>1.5505438603016239</v>
      </c>
      <c r="AT2284" s="4" t="s">
        <v>7389</v>
      </c>
    </row>
    <row r="2285" spans="1:46">
      <c r="A2285" s="2">
        <v>2629</v>
      </c>
      <c r="B2285" t="s">
        <v>7390</v>
      </c>
      <c r="C2285" t="s">
        <v>3123</v>
      </c>
      <c r="D2285" t="s">
        <v>3698</v>
      </c>
      <c r="E2285" s="4">
        <v>43465</v>
      </c>
      <c r="F2285" s="11">
        <v>0</v>
      </c>
      <c r="G2285" s="11">
        <v>0</v>
      </c>
      <c r="H2285" s="11" t="s">
        <v>3698</v>
      </c>
      <c r="I2285" s="11" t="s">
        <v>3698</v>
      </c>
      <c r="J2285" s="11" t="s">
        <v>3698</v>
      </c>
      <c r="K2285" s="10" t="s">
        <v>3698</v>
      </c>
      <c r="L2285" s="12">
        <v>14899055250.01</v>
      </c>
      <c r="M2285">
        <v>58.552688316014297</v>
      </c>
      <c r="N2285" s="7">
        <v>6.4101243270944401</v>
      </c>
      <c r="O2285" s="7">
        <v>2.0240833241872598</v>
      </c>
      <c r="P2285" s="7">
        <v>-39.058248754637702</v>
      </c>
      <c r="Q2285" s="7" t="s">
        <v>3698</v>
      </c>
      <c r="U2285">
        <v>0.18270908481578949</v>
      </c>
      <c r="AT2285" s="4" t="s">
        <v>7391</v>
      </c>
    </row>
    <row r="2286" spans="1:46">
      <c r="A2286" s="2">
        <v>2664</v>
      </c>
      <c r="B2286" t="s">
        <v>7392</v>
      </c>
      <c r="C2286" t="s">
        <v>3122</v>
      </c>
      <c r="D2286" t="s">
        <v>3698</v>
      </c>
      <c r="E2286" s="4">
        <v>43465</v>
      </c>
      <c r="F2286" s="11">
        <v>0</v>
      </c>
      <c r="G2286" s="11">
        <v>0</v>
      </c>
      <c r="H2286" s="11" t="s">
        <v>3698</v>
      </c>
      <c r="I2286" s="11" t="s">
        <v>3698</v>
      </c>
      <c r="J2286" s="11" t="s">
        <v>3698</v>
      </c>
      <c r="K2286" s="10" t="s">
        <v>3698</v>
      </c>
      <c r="L2286" s="12">
        <v>19675500000</v>
      </c>
      <c r="M2286">
        <v>-6.8808278276849597</v>
      </c>
      <c r="N2286" s="7">
        <v>8.69397760056113</v>
      </c>
      <c r="O2286" s="7">
        <v>0.77290253978305501</v>
      </c>
      <c r="P2286" s="7">
        <v>21.528362405947099</v>
      </c>
      <c r="Q2286" s="7" t="s">
        <v>3698</v>
      </c>
      <c r="U2286">
        <v>-0.72940345000645079</v>
      </c>
      <c r="AT2286" s="4" t="s">
        <v>7393</v>
      </c>
    </row>
    <row r="2287" spans="1:46">
      <c r="A2287" s="2">
        <v>2680</v>
      </c>
      <c r="B2287" t="s">
        <v>7394</v>
      </c>
      <c r="C2287" t="s">
        <v>3121</v>
      </c>
      <c r="D2287" t="s">
        <v>3698</v>
      </c>
      <c r="E2287" s="4">
        <v>43465</v>
      </c>
      <c r="F2287" s="11">
        <v>0</v>
      </c>
      <c r="G2287" s="11">
        <v>0</v>
      </c>
      <c r="H2287" s="11" t="s">
        <v>3698</v>
      </c>
      <c r="I2287" s="11" t="s">
        <v>3698</v>
      </c>
      <c r="J2287" s="11" t="s">
        <v>3698</v>
      </c>
      <c r="K2287" s="10" t="s">
        <v>3698</v>
      </c>
      <c r="L2287" s="12">
        <v>4695084000</v>
      </c>
      <c r="M2287">
        <v>57.093842419987602</v>
      </c>
      <c r="N2287" s="7">
        <v>3.94079235357894</v>
      </c>
      <c r="O2287" s="7">
        <v>2.5220216821418102</v>
      </c>
      <c r="P2287" s="7">
        <v>8.4873410486611895</v>
      </c>
      <c r="Q2287" s="7" t="s">
        <v>3698</v>
      </c>
      <c r="U2287">
        <v>1.4506047151373489</v>
      </c>
      <c r="AT2287" s="4" t="s">
        <v>5079</v>
      </c>
    </row>
    <row r="2288" spans="1:46">
      <c r="A2288" s="2">
        <v>2698</v>
      </c>
      <c r="B2288" t="s">
        <v>7395</v>
      </c>
      <c r="C2288" t="s">
        <v>3120</v>
      </c>
      <c r="D2288" t="s">
        <v>3698</v>
      </c>
      <c r="E2288" s="4">
        <v>43465</v>
      </c>
      <c r="F2288" s="11">
        <v>0</v>
      </c>
      <c r="G2288" s="11">
        <v>0</v>
      </c>
      <c r="H2288" s="11">
        <v>-29.886088873199999</v>
      </c>
      <c r="I2288" s="11">
        <v>25.939167519200002</v>
      </c>
      <c r="J2288" s="11">
        <v>4.6905104713999997</v>
      </c>
      <c r="K2288" s="10">
        <v>0.627121055388</v>
      </c>
      <c r="L2288" s="12">
        <v>37447923143.330002</v>
      </c>
      <c r="M2288">
        <v>2405.9851171010901</v>
      </c>
      <c r="N2288" s="7">
        <v>-24.290414723340401</v>
      </c>
      <c r="O2288" s="7">
        <v>43.4800707322485</v>
      </c>
      <c r="P2288" s="7">
        <v>960.39492214661402</v>
      </c>
      <c r="Q2288" s="7" t="s">
        <v>3698</v>
      </c>
      <c r="U2288">
        <v>3.9889807149715954E-3</v>
      </c>
      <c r="AT2288" s="4" t="s">
        <v>7396</v>
      </c>
    </row>
    <row r="2289" spans="1:46">
      <c r="A2289" s="2">
        <v>2700</v>
      </c>
      <c r="B2289" t="s">
        <v>7397</v>
      </c>
      <c r="C2289" t="s">
        <v>3119</v>
      </c>
      <c r="D2289" t="s">
        <v>3698</v>
      </c>
      <c r="E2289" s="4">
        <v>43465</v>
      </c>
      <c r="F2289" s="11">
        <v>0</v>
      </c>
      <c r="G2289" s="11">
        <v>0</v>
      </c>
      <c r="H2289" s="11" t="s">
        <v>3698</v>
      </c>
      <c r="I2289" s="11" t="s">
        <v>3698</v>
      </c>
      <c r="J2289" s="11" t="s">
        <v>3698</v>
      </c>
      <c r="K2289" s="10" t="s">
        <v>3698</v>
      </c>
      <c r="L2289" s="12">
        <v>1101615974.9000001</v>
      </c>
      <c r="M2289">
        <v>30.3887651977508</v>
      </c>
      <c r="N2289" s="7">
        <v>5.3237856800445602</v>
      </c>
      <c r="O2289" s="7">
        <v>4.7803238553513498</v>
      </c>
      <c r="P2289" s="7">
        <v>-219.12354528021999</v>
      </c>
      <c r="Q2289" s="7" t="s">
        <v>3698</v>
      </c>
      <c r="U2289">
        <v>0.95475876504983581</v>
      </c>
      <c r="AT2289" s="4" t="s">
        <v>7398</v>
      </c>
    </row>
    <row r="2290" spans="1:46">
      <c r="A2290" s="2">
        <v>2704</v>
      </c>
      <c r="B2290" t="s">
        <v>7399</v>
      </c>
      <c r="C2290" t="s">
        <v>1469</v>
      </c>
      <c r="D2290" t="s">
        <v>3698</v>
      </c>
      <c r="E2290" s="4">
        <v>43465</v>
      </c>
      <c r="F2290" s="11">
        <v>0</v>
      </c>
      <c r="G2290" s="11">
        <v>0</v>
      </c>
      <c r="H2290" s="11" t="s">
        <v>3698</v>
      </c>
      <c r="I2290" s="11" t="s">
        <v>3698</v>
      </c>
      <c r="J2290" s="11" t="s">
        <v>3698</v>
      </c>
      <c r="K2290" s="10" t="s">
        <v>3698</v>
      </c>
      <c r="L2290" s="12">
        <v>4169422019.9200001</v>
      </c>
      <c r="M2290">
        <v>30.378181795597101</v>
      </c>
      <c r="N2290" s="7">
        <v>2.58693578740154</v>
      </c>
      <c r="O2290" s="7">
        <v>1.23957537305546</v>
      </c>
      <c r="P2290" s="7">
        <v>15.3922714687411</v>
      </c>
      <c r="Q2290" s="7" t="s">
        <v>3698</v>
      </c>
      <c r="U2290">
        <v>0.8252239219282933</v>
      </c>
      <c r="AT2290" s="4" t="s">
        <v>7400</v>
      </c>
    </row>
    <row r="2291" spans="1:46">
      <c r="A2291" s="2">
        <v>2705</v>
      </c>
      <c r="B2291" t="s">
        <v>7401</v>
      </c>
      <c r="C2291" t="s">
        <v>3118</v>
      </c>
      <c r="D2291" t="s">
        <v>3698</v>
      </c>
      <c r="E2291" s="4">
        <v>43465</v>
      </c>
      <c r="F2291" s="11">
        <v>0</v>
      </c>
      <c r="G2291" s="11">
        <v>0</v>
      </c>
      <c r="H2291" s="11" t="s">
        <v>3698</v>
      </c>
      <c r="I2291" s="11" t="s">
        <v>3698</v>
      </c>
      <c r="J2291" s="11" t="s">
        <v>3698</v>
      </c>
      <c r="K2291" s="10" t="s">
        <v>3698</v>
      </c>
      <c r="L2291" s="12">
        <v>250748352</v>
      </c>
      <c r="M2291">
        <v>70.224077552162498</v>
      </c>
      <c r="N2291" s="7">
        <v>2.5337783442694199</v>
      </c>
      <c r="O2291" s="7" t="s">
        <v>3698</v>
      </c>
      <c r="P2291" s="7">
        <v>-134.09693966096901</v>
      </c>
      <c r="Q2291" s="7" t="s">
        <v>3698</v>
      </c>
      <c r="U2291">
        <v>0.19797926258664811</v>
      </c>
      <c r="AT2291" s="4" t="s">
        <v>7400</v>
      </c>
    </row>
    <row r="2292" spans="1:46">
      <c r="A2292" s="2">
        <v>2719</v>
      </c>
      <c r="B2292" t="s">
        <v>7402</v>
      </c>
      <c r="C2292" t="s">
        <v>3117</v>
      </c>
      <c r="D2292" t="s">
        <v>3698</v>
      </c>
      <c r="E2292" s="4">
        <v>43465</v>
      </c>
      <c r="F2292" s="11">
        <v>0</v>
      </c>
      <c r="G2292" s="11">
        <v>0</v>
      </c>
      <c r="H2292" s="11" t="s">
        <v>3698</v>
      </c>
      <c r="I2292" s="11" t="s">
        <v>3698</v>
      </c>
      <c r="J2292" s="11" t="s">
        <v>3698</v>
      </c>
      <c r="K2292" s="10" t="s">
        <v>3698</v>
      </c>
      <c r="L2292" s="12">
        <v>6575807145.96</v>
      </c>
      <c r="M2292">
        <v>11260.608514085399</v>
      </c>
      <c r="N2292" s="7">
        <v>2830689.4459931301</v>
      </c>
      <c r="O2292" s="7">
        <v>2112.3309588736602</v>
      </c>
      <c r="P2292" s="7" t="s">
        <v>3698</v>
      </c>
      <c r="Q2292" s="7" t="s">
        <v>3698</v>
      </c>
      <c r="U2292">
        <v>3.4063972112383144E-4</v>
      </c>
      <c r="AT2292" s="4" t="s">
        <v>5536</v>
      </c>
    </row>
    <row r="2293" spans="1:46">
      <c r="A2293" s="2">
        <v>2729</v>
      </c>
      <c r="B2293" t="s">
        <v>7403</v>
      </c>
      <c r="C2293" t="s">
        <v>3116</v>
      </c>
      <c r="D2293" t="s">
        <v>3698</v>
      </c>
      <c r="E2293" s="4">
        <v>43465</v>
      </c>
      <c r="F2293" s="11">
        <v>0</v>
      </c>
      <c r="G2293" s="11">
        <v>0</v>
      </c>
      <c r="H2293" s="11" t="s">
        <v>3698</v>
      </c>
      <c r="I2293" s="11" t="s">
        <v>3698</v>
      </c>
      <c r="J2293" s="11" t="s">
        <v>3698</v>
      </c>
      <c r="K2293" s="10" t="s">
        <v>3698</v>
      </c>
      <c r="L2293" s="12">
        <v>2788357710.5999999</v>
      </c>
      <c r="M2293">
        <v>-32.633211015520303</v>
      </c>
      <c r="N2293" s="7">
        <v>-1.31446063022127</v>
      </c>
      <c r="O2293" s="7" t="s">
        <v>3698</v>
      </c>
      <c r="P2293" s="7">
        <v>-14579.133856512501</v>
      </c>
      <c r="Q2293" s="7" t="s">
        <v>3698</v>
      </c>
      <c r="U2293">
        <v>-0.24096079124834394</v>
      </c>
      <c r="AT2293" s="4" t="s">
        <v>4387</v>
      </c>
    </row>
    <row r="2294" spans="1:46">
      <c r="A2294" s="2">
        <v>2742</v>
      </c>
      <c r="B2294" t="s">
        <v>7404</v>
      </c>
      <c r="C2294" t="s">
        <v>3114</v>
      </c>
      <c r="D2294" t="s">
        <v>3698</v>
      </c>
      <c r="E2294" s="4">
        <v>43465</v>
      </c>
      <c r="F2294" s="11">
        <v>0</v>
      </c>
      <c r="G2294" s="11">
        <v>0</v>
      </c>
      <c r="H2294" s="11" t="s">
        <v>3698</v>
      </c>
      <c r="I2294" s="11" t="s">
        <v>3698</v>
      </c>
      <c r="J2294" s="11" t="s">
        <v>3698</v>
      </c>
      <c r="K2294" s="10" t="s">
        <v>3698</v>
      </c>
      <c r="L2294" s="12">
        <v>355098948.48000002</v>
      </c>
      <c r="M2294">
        <v>32822.801716867201</v>
      </c>
      <c r="N2294" s="7">
        <v>-672.789609909202</v>
      </c>
      <c r="O2294" s="7" t="s">
        <v>3698</v>
      </c>
      <c r="P2294" s="7">
        <v>-514.49707835664901</v>
      </c>
      <c r="Q2294" s="7" t="s">
        <v>3698</v>
      </c>
      <c r="U2294">
        <v>6.7185177990366113E-5</v>
      </c>
      <c r="AT2294" s="4" t="s">
        <v>7405</v>
      </c>
    </row>
    <row r="2295" spans="1:46">
      <c r="A2295" s="2">
        <v>2743</v>
      </c>
      <c r="B2295" t="s">
        <v>7406</v>
      </c>
      <c r="C2295" t="s">
        <v>3113</v>
      </c>
      <c r="D2295" t="s">
        <v>3698</v>
      </c>
      <c r="E2295" s="4">
        <v>43465</v>
      </c>
      <c r="F2295" s="11">
        <v>0</v>
      </c>
      <c r="G2295" s="11">
        <v>0</v>
      </c>
      <c r="H2295" s="11">
        <v>-16.860697481199999</v>
      </c>
      <c r="I2295" s="11">
        <v>64.569289674800004</v>
      </c>
      <c r="J2295" s="11">
        <v>33.963742799099997</v>
      </c>
      <c r="K2295" s="10">
        <v>0.30998217925900001</v>
      </c>
      <c r="L2295" s="12">
        <v>17075520000</v>
      </c>
      <c r="M2295">
        <v>74.441792533602893</v>
      </c>
      <c r="N2295" s="7">
        <v>10.720011609747001</v>
      </c>
      <c r="O2295" s="7">
        <v>17.242567757596099</v>
      </c>
      <c r="P2295" s="7">
        <v>-30.7898642517452</v>
      </c>
      <c r="Q2295" s="7" t="s">
        <v>3698</v>
      </c>
      <c r="U2295">
        <v>8.3780154235814114E-2</v>
      </c>
      <c r="AT2295" s="4" t="s">
        <v>6525</v>
      </c>
    </row>
    <row r="2296" spans="1:46">
      <c r="A2296" s="2">
        <v>2745</v>
      </c>
      <c r="B2296" t="s">
        <v>7407</v>
      </c>
      <c r="C2296" t="s">
        <v>3112</v>
      </c>
      <c r="D2296" t="s">
        <v>3698</v>
      </c>
      <c r="E2296" s="4">
        <v>43465</v>
      </c>
      <c r="F2296" s="11">
        <v>0</v>
      </c>
      <c r="G2296" s="11">
        <v>0</v>
      </c>
      <c r="H2296" s="11">
        <v>-26.072190403099999</v>
      </c>
      <c r="I2296" s="11">
        <v>20.748390395400001</v>
      </c>
      <c r="J2296" s="11">
        <v>6.9009746649999997</v>
      </c>
      <c r="K2296" s="10">
        <v>0.60801563135500003</v>
      </c>
      <c r="L2296" s="12">
        <v>2629200000</v>
      </c>
      <c r="M2296">
        <v>31.752983620965999</v>
      </c>
      <c r="N2296" s="7">
        <v>3.30505777420082</v>
      </c>
      <c r="O2296" s="7">
        <v>1.4115339714785999</v>
      </c>
      <c r="P2296" s="7">
        <v>-57.718930200446003</v>
      </c>
      <c r="Q2296" s="7" t="s">
        <v>3698</v>
      </c>
      <c r="U2296">
        <v>2.2299698816900075E-2</v>
      </c>
      <c r="AT2296" s="4" t="s">
        <v>5230</v>
      </c>
    </row>
    <row r="2297" spans="1:46">
      <c r="A2297" s="2">
        <v>2753</v>
      </c>
      <c r="B2297" t="s">
        <v>7408</v>
      </c>
      <c r="C2297" t="s">
        <v>3624</v>
      </c>
      <c r="D2297" t="s">
        <v>3698</v>
      </c>
      <c r="E2297" s="4">
        <v>43465</v>
      </c>
      <c r="F2297" s="11">
        <v>-26.48183556</v>
      </c>
      <c r="G2297" s="11">
        <v>0</v>
      </c>
      <c r="H2297" s="11">
        <v>-59.657536829999998</v>
      </c>
      <c r="I2297" s="11">
        <v>26.513221404700001</v>
      </c>
      <c r="J2297" s="11">
        <v>-76.542208767700004</v>
      </c>
      <c r="K2297" s="10">
        <v>0.130048841695</v>
      </c>
      <c r="L2297" s="12">
        <v>6705625354.3000002</v>
      </c>
      <c r="M2297">
        <v>-9.2448018899563298</v>
      </c>
      <c r="N2297" s="7">
        <v>17.698896982468501</v>
      </c>
      <c r="O2297" s="7">
        <v>5.83648861039363</v>
      </c>
      <c r="P2297" s="7">
        <v>-71.478682058321894</v>
      </c>
      <c r="Q2297" s="7" t="s">
        <v>3698</v>
      </c>
      <c r="U2297">
        <v>-0.51970581743512212</v>
      </c>
      <c r="AT2297" s="4" t="s">
        <v>6208</v>
      </c>
    </row>
    <row r="2298" spans="1:46">
      <c r="A2298" s="2">
        <v>2773</v>
      </c>
      <c r="B2298" t="s">
        <v>7409</v>
      </c>
      <c r="C2298" t="s">
        <v>3111</v>
      </c>
      <c r="D2298" t="s">
        <v>3698</v>
      </c>
      <c r="E2298" s="4">
        <v>43465</v>
      </c>
      <c r="F2298" s="11">
        <v>0</v>
      </c>
      <c r="G2298" s="11">
        <v>0</v>
      </c>
      <c r="H2298" s="11">
        <v>-17.036452762</v>
      </c>
      <c r="I2298" s="11">
        <v>48.952203583100001</v>
      </c>
      <c r="J2298" s="11">
        <v>-1786.7414580375</v>
      </c>
      <c r="K2298" s="10">
        <v>1.1900868102999999E-2</v>
      </c>
      <c r="L2298" s="12">
        <v>19006061302.799999</v>
      </c>
      <c r="M2298">
        <v>-3.16443912434731</v>
      </c>
      <c r="N2298" s="7">
        <v>-0.131662050588297</v>
      </c>
      <c r="O2298" s="7">
        <v>68.265757013679305</v>
      </c>
      <c r="P2298" s="7">
        <v>-591.44979500244801</v>
      </c>
      <c r="Q2298" s="7" t="s">
        <v>3698</v>
      </c>
      <c r="U2298">
        <v>-0.20303545594778277</v>
      </c>
      <c r="AT2298" s="4" t="s">
        <v>7410</v>
      </c>
    </row>
    <row r="2299" spans="1:46">
      <c r="A2299" s="2">
        <v>2782</v>
      </c>
      <c r="B2299" t="s">
        <v>7411</v>
      </c>
      <c r="C2299" t="s">
        <v>3110</v>
      </c>
      <c r="D2299" t="s">
        <v>3698</v>
      </c>
      <c r="E2299" s="4">
        <v>43465</v>
      </c>
      <c r="F2299" s="11">
        <v>0</v>
      </c>
      <c r="G2299" s="11">
        <v>0</v>
      </c>
      <c r="H2299" s="11">
        <v>-37.229416921599999</v>
      </c>
      <c r="I2299" s="11">
        <v>-3.6243105595</v>
      </c>
      <c r="J2299" s="11">
        <v>-89.309132966000007</v>
      </c>
      <c r="K2299" s="10">
        <v>8.8638435000999993E-2</v>
      </c>
      <c r="L2299" s="12">
        <v>548649600</v>
      </c>
      <c r="M2299">
        <v>-156.86146341856201</v>
      </c>
      <c r="N2299" s="7">
        <v>10.9092540591953</v>
      </c>
      <c r="O2299" s="7">
        <v>88.216631595716706</v>
      </c>
      <c r="P2299" s="7">
        <v>-464.50643258739302</v>
      </c>
      <c r="Q2299" s="7" t="s">
        <v>3698</v>
      </c>
      <c r="U2299">
        <v>-2.3089808394382037E-2</v>
      </c>
      <c r="AT2299" s="4" t="s">
        <v>7412</v>
      </c>
    </row>
    <row r="2300" spans="1:46">
      <c r="A2300" s="2">
        <v>2825</v>
      </c>
      <c r="B2300" t="s">
        <v>7413</v>
      </c>
      <c r="C2300" t="s">
        <v>3109</v>
      </c>
      <c r="D2300" t="s">
        <v>3698</v>
      </c>
      <c r="E2300" s="4">
        <v>43465</v>
      </c>
      <c r="F2300" s="11">
        <v>0</v>
      </c>
      <c r="G2300" s="11">
        <v>0</v>
      </c>
      <c r="H2300" s="11" t="s">
        <v>3698</v>
      </c>
      <c r="I2300" s="11" t="s">
        <v>3698</v>
      </c>
      <c r="J2300" s="11" t="s">
        <v>3698</v>
      </c>
      <c r="K2300" s="10" t="s">
        <v>3698</v>
      </c>
      <c r="L2300" s="12">
        <v>7923391304.5799999</v>
      </c>
      <c r="M2300">
        <v>-236.023221886588</v>
      </c>
      <c r="N2300" s="7">
        <v>-0.50399333442323802</v>
      </c>
      <c r="O2300" s="7" t="s">
        <v>3698</v>
      </c>
      <c r="P2300" s="7" t="s">
        <v>3698</v>
      </c>
      <c r="Q2300" s="7" t="s">
        <v>3698</v>
      </c>
      <c r="U2300">
        <v>-6.6868818370022362E-3</v>
      </c>
      <c r="AT2300" s="4" t="s">
        <v>6510</v>
      </c>
    </row>
    <row r="2301" spans="1:46">
      <c r="A2301" s="2">
        <v>2835</v>
      </c>
      <c r="B2301" t="s">
        <v>7414</v>
      </c>
      <c r="C2301" t="s">
        <v>3108</v>
      </c>
      <c r="D2301" t="s">
        <v>3698</v>
      </c>
      <c r="E2301" s="4">
        <v>43465</v>
      </c>
      <c r="F2301" s="11">
        <v>0</v>
      </c>
      <c r="G2301" s="11">
        <v>0</v>
      </c>
      <c r="H2301" s="11" t="s">
        <v>3698</v>
      </c>
      <c r="I2301" s="11" t="s">
        <v>3698</v>
      </c>
      <c r="J2301" s="11" t="s">
        <v>3698</v>
      </c>
      <c r="K2301" s="10" t="s">
        <v>3698</v>
      </c>
      <c r="L2301" s="12">
        <v>7256936096</v>
      </c>
      <c r="M2301">
        <v>-3.06413125790329</v>
      </c>
      <c r="N2301" s="7">
        <v>-0.22467042111388799</v>
      </c>
      <c r="O2301" s="7">
        <v>17.073322639591499</v>
      </c>
      <c r="P2301" s="7">
        <v>-1157.1015063273401</v>
      </c>
      <c r="Q2301" s="7" t="s">
        <v>3698</v>
      </c>
      <c r="U2301">
        <v>0.27280196452907329</v>
      </c>
      <c r="AT2301" s="4" t="s">
        <v>7415</v>
      </c>
    </row>
    <row r="2302" spans="1:46">
      <c r="A2302" s="2">
        <v>2845</v>
      </c>
      <c r="B2302" t="s">
        <v>7416</v>
      </c>
      <c r="C2302" t="s">
        <v>3107</v>
      </c>
      <c r="D2302" t="s">
        <v>3698</v>
      </c>
      <c r="E2302" s="4">
        <v>43465</v>
      </c>
      <c r="F2302" s="11">
        <v>0</v>
      </c>
      <c r="G2302" s="11">
        <v>0</v>
      </c>
      <c r="H2302" s="11" t="s">
        <v>3698</v>
      </c>
      <c r="I2302" s="11" t="s">
        <v>3698</v>
      </c>
      <c r="J2302" s="11" t="s">
        <v>3698</v>
      </c>
      <c r="K2302" s="10" t="s">
        <v>3698</v>
      </c>
      <c r="L2302" s="12">
        <v>1081367614.98</v>
      </c>
      <c r="M2302">
        <v>-2.54907939861612</v>
      </c>
      <c r="N2302" s="7">
        <v>0.71359629236789601</v>
      </c>
      <c r="O2302" s="7">
        <v>-3.45342156485823</v>
      </c>
      <c r="P2302" s="7">
        <v>-5.09828426570893</v>
      </c>
      <c r="Q2302" s="7" t="s">
        <v>3698</v>
      </c>
      <c r="U2302">
        <v>-0.5571397128461093</v>
      </c>
      <c r="AT2302" s="4" t="s">
        <v>5750</v>
      </c>
    </row>
    <row r="2303" spans="1:46">
      <c r="A2303" s="2">
        <v>2859</v>
      </c>
      <c r="B2303" t="s">
        <v>7417</v>
      </c>
      <c r="C2303" t="s">
        <v>3106</v>
      </c>
      <c r="D2303" t="s">
        <v>3698</v>
      </c>
      <c r="E2303" s="4">
        <v>43465</v>
      </c>
      <c r="F2303" s="11">
        <v>0</v>
      </c>
      <c r="G2303" s="11">
        <v>0</v>
      </c>
      <c r="H2303" s="11" t="s">
        <v>3698</v>
      </c>
      <c r="I2303" s="11" t="s">
        <v>3698</v>
      </c>
      <c r="J2303" s="11" t="s">
        <v>3698</v>
      </c>
      <c r="K2303" s="10" t="s">
        <v>3698</v>
      </c>
      <c r="L2303" s="12">
        <v>21140550000</v>
      </c>
      <c r="M2303">
        <v>59.621561153993703</v>
      </c>
      <c r="N2303" s="7">
        <v>13.193385803774399</v>
      </c>
      <c r="O2303" s="7">
        <v>-148.178525302856</v>
      </c>
      <c r="P2303" s="7">
        <v>-111.629903884475</v>
      </c>
      <c r="Q2303" s="7" t="s">
        <v>3698</v>
      </c>
      <c r="U2303">
        <v>1.0512877337563196</v>
      </c>
      <c r="AT2303" s="4" t="s">
        <v>7418</v>
      </c>
    </row>
    <row r="2304" spans="1:46">
      <c r="A2304" s="2">
        <v>2861</v>
      </c>
      <c r="B2304" t="s">
        <v>7419</v>
      </c>
      <c r="C2304" t="s">
        <v>3105</v>
      </c>
      <c r="D2304" t="s">
        <v>3698</v>
      </c>
      <c r="E2304" s="4">
        <v>43465</v>
      </c>
      <c r="F2304" s="11">
        <v>0</v>
      </c>
      <c r="G2304" s="11">
        <v>0</v>
      </c>
      <c r="H2304" s="11">
        <v>-14.2646753968</v>
      </c>
      <c r="I2304" s="11">
        <v>3.5201058238999998</v>
      </c>
      <c r="J2304" s="11">
        <v>-0.49005022079999999</v>
      </c>
      <c r="K2304" s="10">
        <v>4.3952590489369996</v>
      </c>
      <c r="L2304" s="12">
        <v>5692400000</v>
      </c>
      <c r="M2304">
        <v>-675.95863767017102</v>
      </c>
      <c r="N2304" s="7">
        <v>-26.303657921232201</v>
      </c>
      <c r="O2304" s="7" t="s">
        <v>3698</v>
      </c>
      <c r="P2304" s="7">
        <v>-13105.201990215301</v>
      </c>
      <c r="Q2304" s="7" t="s">
        <v>3698</v>
      </c>
      <c r="U2304">
        <v>-2.8015554745770429E-3</v>
      </c>
      <c r="AT2304" s="4" t="s">
        <v>7420</v>
      </c>
    </row>
    <row r="2305" spans="1:46">
      <c r="A2305" s="2">
        <v>2732</v>
      </c>
      <c r="B2305" t="s">
        <v>7421</v>
      </c>
      <c r="C2305" t="s">
        <v>3115</v>
      </c>
      <c r="D2305" t="s">
        <v>3698</v>
      </c>
      <c r="E2305" s="4">
        <v>43465</v>
      </c>
      <c r="F2305" s="11">
        <v>0</v>
      </c>
      <c r="G2305" s="11">
        <v>0</v>
      </c>
      <c r="H2305" s="11">
        <v>79.046232024299997</v>
      </c>
      <c r="I2305" s="11">
        <v>55.478586268999997</v>
      </c>
      <c r="J2305" s="11">
        <v>0.39040313230000001</v>
      </c>
      <c r="K2305" s="10">
        <v>0.104191629706</v>
      </c>
      <c r="L2305" s="12">
        <v>9478060394</v>
      </c>
      <c r="M2305">
        <v>1341.68965282256</v>
      </c>
      <c r="N2305" s="7">
        <v>3.0564014428742499</v>
      </c>
      <c r="O2305" s="7">
        <v>30.567098125740301</v>
      </c>
      <c r="P2305" s="7">
        <v>65.584634543212204</v>
      </c>
      <c r="Q2305" s="7" t="s">
        <v>3698</v>
      </c>
      <c r="U2305">
        <v>3.2243589310993517E-4</v>
      </c>
      <c r="AT2305" s="4" t="s">
        <v>7422</v>
      </c>
    </row>
    <row r="2306" spans="1:46">
      <c r="A2306" s="2">
        <v>2872</v>
      </c>
      <c r="B2306" t="s">
        <v>7423</v>
      </c>
      <c r="C2306" t="s">
        <v>3104</v>
      </c>
      <c r="D2306" t="s">
        <v>3698</v>
      </c>
      <c r="E2306" s="4">
        <v>43465</v>
      </c>
      <c r="F2306" s="11">
        <v>0</v>
      </c>
      <c r="G2306" s="11">
        <v>0</v>
      </c>
      <c r="H2306" s="11" t="s">
        <v>3698</v>
      </c>
      <c r="I2306" s="11" t="s">
        <v>3698</v>
      </c>
      <c r="J2306" s="11" t="s">
        <v>3698</v>
      </c>
      <c r="K2306" s="10" t="s">
        <v>3698</v>
      </c>
      <c r="L2306" s="12">
        <v>8651004589.9200001</v>
      </c>
      <c r="M2306">
        <v>-0.30496757968242799</v>
      </c>
      <c r="N2306" s="7">
        <v>-0.37964711258403899</v>
      </c>
      <c r="O2306" s="7">
        <v>62.341997263713999</v>
      </c>
      <c r="P2306" s="7">
        <v>35.120771943288702</v>
      </c>
      <c r="Q2306" s="7" t="s">
        <v>3698</v>
      </c>
      <c r="U2306">
        <v>-8.5910097372282244E-4</v>
      </c>
      <c r="AT2306" s="4" t="s">
        <v>7424</v>
      </c>
    </row>
    <row r="2307" spans="1:46">
      <c r="A2307" s="2">
        <v>2879</v>
      </c>
      <c r="B2307" t="s">
        <v>7425</v>
      </c>
      <c r="C2307" t="s">
        <v>37</v>
      </c>
      <c r="D2307" t="s">
        <v>3698</v>
      </c>
      <c r="E2307" s="4">
        <v>43465</v>
      </c>
      <c r="F2307" s="11">
        <v>-77.173913040000002</v>
      </c>
      <c r="G2307" s="11">
        <v>0</v>
      </c>
      <c r="H2307" s="11">
        <v>-11.740612710300001</v>
      </c>
      <c r="I2307" s="11">
        <v>2.3373754652000001</v>
      </c>
      <c r="J2307" s="11">
        <v>-51.218817587399997</v>
      </c>
      <c r="K2307" s="10">
        <v>0.31831232311800001</v>
      </c>
      <c r="L2307" s="12">
        <v>1134724800</v>
      </c>
      <c r="M2307">
        <v>-2.4781258746757202</v>
      </c>
      <c r="N2307" s="7">
        <v>-2.7010618318722299</v>
      </c>
      <c r="O2307" s="7">
        <v>1.46428696036024</v>
      </c>
      <c r="P2307" s="7">
        <v>-25.9949489272215</v>
      </c>
      <c r="Q2307" s="7" t="s">
        <v>3698</v>
      </c>
      <c r="U2307">
        <v>-0.47226206743793708</v>
      </c>
      <c r="AT2307" s="4" t="s">
        <v>4775</v>
      </c>
    </row>
    <row r="2308" spans="1:46">
      <c r="A2308" s="2">
        <v>2886</v>
      </c>
      <c r="B2308" t="s">
        <v>7426</v>
      </c>
      <c r="C2308" t="s">
        <v>3103</v>
      </c>
      <c r="D2308" t="s">
        <v>3698</v>
      </c>
      <c r="E2308" s="4">
        <v>43465</v>
      </c>
      <c r="F2308" s="11">
        <v>0</v>
      </c>
      <c r="G2308" s="11">
        <v>0</v>
      </c>
      <c r="H2308" s="11">
        <v>-94.674030822399999</v>
      </c>
      <c r="I2308" s="11">
        <v>49.379754984800002</v>
      </c>
      <c r="J2308" s="11">
        <v>-8660.1045855958</v>
      </c>
      <c r="K2308" s="10">
        <v>8.97067956E-3</v>
      </c>
      <c r="L2308" s="12">
        <v>14881147435.959999</v>
      </c>
      <c r="M2308">
        <v>-59.159508940306601</v>
      </c>
      <c r="N2308" s="7">
        <v>-71.388498596751106</v>
      </c>
      <c r="O2308" s="7">
        <v>3173.7165091198799</v>
      </c>
      <c r="P2308" s="7">
        <v>-4829.9943841535396</v>
      </c>
      <c r="Q2308" s="7" t="s">
        <v>3698</v>
      </c>
      <c r="U2308">
        <v>-0.10155631325497878</v>
      </c>
      <c r="AT2308" s="4" t="s">
        <v>3914</v>
      </c>
    </row>
    <row r="2309" spans="1:46">
      <c r="A2309" s="2">
        <v>2905</v>
      </c>
      <c r="B2309" t="s">
        <v>7427</v>
      </c>
      <c r="C2309" t="s">
        <v>1702</v>
      </c>
      <c r="D2309" t="s">
        <v>3698</v>
      </c>
      <c r="E2309" s="4">
        <v>43465</v>
      </c>
      <c r="F2309" s="11">
        <v>0</v>
      </c>
      <c r="G2309" s="11">
        <v>0</v>
      </c>
      <c r="H2309" s="11" t="s">
        <v>3698</v>
      </c>
      <c r="I2309" s="11" t="s">
        <v>3698</v>
      </c>
      <c r="J2309" s="11" t="s">
        <v>3698</v>
      </c>
      <c r="K2309" s="10" t="s">
        <v>3698</v>
      </c>
      <c r="L2309" s="12">
        <v>17264107985.599998</v>
      </c>
      <c r="M2309">
        <v>109.42064429902</v>
      </c>
      <c r="N2309" s="7">
        <v>7.3913389058929599</v>
      </c>
      <c r="O2309" s="7">
        <v>13.8078596146511</v>
      </c>
      <c r="P2309" s="7">
        <v>33.110736965475198</v>
      </c>
      <c r="Q2309" s="7" t="s">
        <v>3698</v>
      </c>
      <c r="U2309">
        <v>0.40177623638249138</v>
      </c>
      <c r="AT2309" s="4" t="s">
        <v>4215</v>
      </c>
    </row>
    <row r="2310" spans="1:46">
      <c r="A2310" s="2">
        <v>2913</v>
      </c>
      <c r="B2310" t="s">
        <v>7428</v>
      </c>
      <c r="C2310" t="s">
        <v>3102</v>
      </c>
      <c r="D2310" t="s">
        <v>3698</v>
      </c>
      <c r="E2310" s="4">
        <v>43465</v>
      </c>
      <c r="F2310" s="11">
        <v>0</v>
      </c>
      <c r="G2310" s="11">
        <v>0</v>
      </c>
      <c r="H2310" s="11" t="s">
        <v>3698</v>
      </c>
      <c r="I2310" s="11" t="s">
        <v>3698</v>
      </c>
      <c r="J2310" s="11" t="s">
        <v>3698</v>
      </c>
      <c r="K2310" s="10" t="s">
        <v>3698</v>
      </c>
      <c r="L2310" s="12">
        <v>4027376675.3299999</v>
      </c>
      <c r="M2310">
        <v>127.288457180824</v>
      </c>
      <c r="N2310" s="7">
        <v>8.5047637106734406</v>
      </c>
      <c r="O2310" s="7">
        <v>18.720636386399399</v>
      </c>
      <c r="P2310" s="7">
        <v>-127.93340560483399</v>
      </c>
      <c r="Q2310" s="7" t="s">
        <v>3698</v>
      </c>
      <c r="U2310">
        <v>0.2351494186130447</v>
      </c>
      <c r="AT2310" s="4" t="s">
        <v>4539</v>
      </c>
    </row>
    <row r="2311" spans="1:46">
      <c r="A2311" s="2">
        <v>2915</v>
      </c>
      <c r="B2311" t="s">
        <v>7429</v>
      </c>
      <c r="C2311" t="s">
        <v>3101</v>
      </c>
      <c r="D2311" t="s">
        <v>3698</v>
      </c>
      <c r="E2311" s="4">
        <v>43465</v>
      </c>
      <c r="F2311" s="11">
        <v>0</v>
      </c>
      <c r="G2311" s="11">
        <v>0</v>
      </c>
      <c r="H2311" s="11" t="s">
        <v>3698</v>
      </c>
      <c r="I2311" s="11" t="s">
        <v>3698</v>
      </c>
      <c r="J2311" s="11" t="s">
        <v>3698</v>
      </c>
      <c r="K2311" s="10" t="s">
        <v>3698</v>
      </c>
      <c r="L2311" s="12">
        <v>1045911443.4</v>
      </c>
      <c r="M2311">
        <v>-1682.80056280454</v>
      </c>
      <c r="N2311" s="7">
        <v>8.1523881278679902</v>
      </c>
      <c r="O2311" s="7">
        <v>8.7284571773791306</v>
      </c>
      <c r="P2311" s="7">
        <v>106.173539167576</v>
      </c>
      <c r="Q2311" s="7" t="s">
        <v>3698</v>
      </c>
      <c r="U2311">
        <v>0.15858740761388543</v>
      </c>
      <c r="AT2311" s="4" t="s">
        <v>4539</v>
      </c>
    </row>
    <row r="2312" spans="1:46">
      <c r="A2312" s="2">
        <v>2925</v>
      </c>
      <c r="B2312" t="s">
        <v>7430</v>
      </c>
      <c r="C2312" t="s">
        <v>3099</v>
      </c>
      <c r="D2312" t="s">
        <v>3698</v>
      </c>
      <c r="E2312" s="4">
        <v>43465</v>
      </c>
      <c r="F2312" s="11">
        <v>0</v>
      </c>
      <c r="G2312" s="11">
        <v>0</v>
      </c>
      <c r="H2312" s="11">
        <v>-4.0935249241999996</v>
      </c>
      <c r="I2312" s="11">
        <v>5.6475285177999996</v>
      </c>
      <c r="J2312" s="11">
        <v>-258.79626269990001</v>
      </c>
      <c r="K2312" s="10">
        <v>1.235424627552</v>
      </c>
      <c r="L2312" s="12">
        <v>854643114.22000003</v>
      </c>
      <c r="M2312">
        <v>7.6692661001151397</v>
      </c>
      <c r="N2312" s="7">
        <v>-0.101508930777281</v>
      </c>
      <c r="O2312" s="7">
        <v>4.64388476433012</v>
      </c>
      <c r="P2312" s="7">
        <v>29693.729403024099</v>
      </c>
      <c r="Q2312" s="7" t="s">
        <v>3698</v>
      </c>
      <c r="U2312">
        <v>-0.36683985413009601</v>
      </c>
      <c r="AT2312" s="4" t="s">
        <v>6444</v>
      </c>
    </row>
    <row r="2313" spans="1:46">
      <c r="A2313" s="2">
        <v>2951</v>
      </c>
      <c r="B2313" t="s">
        <v>7431</v>
      </c>
      <c r="C2313" t="s">
        <v>3097</v>
      </c>
      <c r="D2313" t="s">
        <v>3698</v>
      </c>
      <c r="E2313" s="4">
        <v>43465</v>
      </c>
      <c r="F2313" s="11">
        <v>0</v>
      </c>
      <c r="G2313" s="11">
        <v>0</v>
      </c>
      <c r="H2313" s="11">
        <v>-47.1266564067</v>
      </c>
      <c r="I2313" s="11">
        <v>22.910024507799999</v>
      </c>
      <c r="J2313" s="11">
        <v>12.9782858639</v>
      </c>
      <c r="K2313" s="10">
        <v>1.041041980381</v>
      </c>
      <c r="L2313" s="12">
        <v>1231689504.8099999</v>
      </c>
      <c r="M2313">
        <v>-179.75523959844</v>
      </c>
      <c r="N2313" s="7">
        <v>2.75154679439426</v>
      </c>
      <c r="O2313" s="7">
        <v>3.9730890928981899</v>
      </c>
      <c r="P2313" s="7">
        <v>-35.143996459871403</v>
      </c>
      <c r="Q2313" s="7" t="s">
        <v>3698</v>
      </c>
      <c r="U2313">
        <v>0.11505293561710972</v>
      </c>
      <c r="AT2313" s="4" t="s">
        <v>5735</v>
      </c>
    </row>
    <row r="2314" spans="1:46">
      <c r="A2314" s="2">
        <v>2972</v>
      </c>
      <c r="B2314" t="s">
        <v>7432</v>
      </c>
      <c r="C2314" t="s">
        <v>3096</v>
      </c>
      <c r="D2314" t="s">
        <v>3698</v>
      </c>
      <c r="E2314" s="4">
        <v>43465</v>
      </c>
      <c r="F2314" s="11">
        <v>0</v>
      </c>
      <c r="G2314" s="11">
        <v>0</v>
      </c>
      <c r="H2314" s="11" t="s">
        <v>3698</v>
      </c>
      <c r="I2314" s="11" t="s">
        <v>3698</v>
      </c>
      <c r="J2314" s="11" t="s">
        <v>3698</v>
      </c>
      <c r="K2314" s="10" t="s">
        <v>3698</v>
      </c>
      <c r="L2314" s="12">
        <v>402757673.07999998</v>
      </c>
      <c r="M2314">
        <v>-1.0242112320837</v>
      </c>
      <c r="N2314" s="7">
        <v>-0.99349006569334697</v>
      </c>
      <c r="O2314" s="7">
        <v>51.9511101262556</v>
      </c>
      <c r="P2314" s="7">
        <v>153.452621325884</v>
      </c>
      <c r="Q2314" s="7" t="s">
        <v>3698</v>
      </c>
      <c r="U2314">
        <v>-0.86802471882717736</v>
      </c>
      <c r="AT2314" s="4" t="s">
        <v>7433</v>
      </c>
    </row>
    <row r="2315" spans="1:46">
      <c r="A2315" s="2">
        <v>3013</v>
      </c>
      <c r="B2315" t="s">
        <v>7434</v>
      </c>
      <c r="C2315" t="s">
        <v>3095</v>
      </c>
      <c r="D2315" t="s">
        <v>3698</v>
      </c>
      <c r="E2315" s="4">
        <v>43465</v>
      </c>
      <c r="F2315" s="11">
        <v>0</v>
      </c>
      <c r="G2315" s="11">
        <v>0</v>
      </c>
      <c r="H2315" s="11" t="s">
        <v>3698</v>
      </c>
      <c r="I2315" s="11" t="s">
        <v>3698</v>
      </c>
      <c r="J2315" s="11" t="s">
        <v>3698</v>
      </c>
      <c r="K2315" s="10" t="s">
        <v>3698</v>
      </c>
      <c r="L2315" s="12">
        <v>321031226.60000002</v>
      </c>
      <c r="M2315">
        <v>-84.377602328071006</v>
      </c>
      <c r="N2315" s="7">
        <v>3.9872872009663398</v>
      </c>
      <c r="O2315" s="7">
        <v>1.83692000734868</v>
      </c>
      <c r="P2315" s="7">
        <v>180.59585936753999</v>
      </c>
      <c r="Q2315" s="7" t="s">
        <v>3698</v>
      </c>
      <c r="U2315">
        <v>-0.21105102090556366</v>
      </c>
      <c r="AT2315" s="4" t="s">
        <v>7435</v>
      </c>
    </row>
    <row r="2316" spans="1:46">
      <c r="A2316" s="2">
        <v>2922</v>
      </c>
      <c r="B2316" t="s">
        <v>7436</v>
      </c>
      <c r="C2316" t="s">
        <v>3100</v>
      </c>
      <c r="D2316" t="s">
        <v>3698</v>
      </c>
      <c r="E2316" s="4">
        <v>43465</v>
      </c>
      <c r="F2316" s="11">
        <v>0</v>
      </c>
      <c r="G2316" s="11">
        <v>0</v>
      </c>
      <c r="H2316" s="11">
        <v>21.580300513200001</v>
      </c>
      <c r="I2316" s="11">
        <v>14.182992668500001</v>
      </c>
      <c r="J2316" s="11">
        <v>2.8011929571</v>
      </c>
      <c r="K2316" s="10">
        <v>1.438221294339</v>
      </c>
      <c r="L2316" s="12">
        <v>2939312841.5300002</v>
      </c>
      <c r="M2316">
        <v>14.1626297495937</v>
      </c>
      <c r="N2316" s="7">
        <v>1.5130672788475401</v>
      </c>
      <c r="O2316" s="7">
        <v>0.28018156986820503</v>
      </c>
      <c r="P2316" s="7">
        <v>10.908391907222301</v>
      </c>
      <c r="Q2316" s="7" t="s">
        <v>3698</v>
      </c>
      <c r="U2316">
        <v>1.3655668142544044</v>
      </c>
      <c r="AT2316" s="4" t="s">
        <v>4537</v>
      </c>
    </row>
    <row r="2317" spans="1:46">
      <c r="A2317" s="2">
        <v>3094</v>
      </c>
      <c r="B2317" t="s">
        <v>7437</v>
      </c>
      <c r="C2317" t="s">
        <v>3091</v>
      </c>
      <c r="D2317" t="s">
        <v>3698</v>
      </c>
      <c r="E2317" s="4">
        <v>43465</v>
      </c>
      <c r="F2317" s="11">
        <v>0</v>
      </c>
      <c r="G2317" s="11">
        <v>0</v>
      </c>
      <c r="H2317" s="11" t="s">
        <v>3698</v>
      </c>
      <c r="I2317" s="11" t="s">
        <v>3698</v>
      </c>
      <c r="J2317" s="11" t="s">
        <v>3698</v>
      </c>
      <c r="K2317" s="10" t="s">
        <v>3698</v>
      </c>
      <c r="L2317" s="12">
        <v>186174750.72</v>
      </c>
      <c r="M2317">
        <v>67.125203492160296</v>
      </c>
      <c r="N2317" s="7">
        <v>7.3794283482924001</v>
      </c>
      <c r="O2317" s="7">
        <v>3.4339591828774298</v>
      </c>
      <c r="P2317" s="7">
        <v>102.166710164224</v>
      </c>
      <c r="Q2317" s="7" t="s">
        <v>3698</v>
      </c>
      <c r="U2317">
        <v>0.45870691488850573</v>
      </c>
      <c r="AT2317" s="4" t="s">
        <v>7438</v>
      </c>
    </row>
    <row r="2318" spans="1:46">
      <c r="A2318" s="2">
        <v>3065</v>
      </c>
      <c r="B2318" t="s">
        <v>7439</v>
      </c>
      <c r="C2318" t="s">
        <v>1213</v>
      </c>
      <c r="D2318" t="s">
        <v>3764</v>
      </c>
      <c r="E2318" s="4">
        <v>43465</v>
      </c>
      <c r="F2318" s="11">
        <v>-4.4992733300000003</v>
      </c>
      <c r="G2318" s="11">
        <v>0</v>
      </c>
      <c r="H2318" s="11">
        <v>15.377262373100001</v>
      </c>
      <c r="I2318" s="11">
        <v>41.768037696599997</v>
      </c>
      <c r="J2318" s="11">
        <v>26.911084746</v>
      </c>
      <c r="K2318" s="10">
        <v>0.25799177566199999</v>
      </c>
      <c r="L2318" s="12">
        <v>1347038438.3599999</v>
      </c>
      <c r="M2318">
        <v>15.0389362102225</v>
      </c>
      <c r="N2318" s="7">
        <v>1.88740060509782</v>
      </c>
      <c r="O2318" s="7">
        <v>5.3671491173227297</v>
      </c>
      <c r="P2318" s="7">
        <v>-20.334971583295701</v>
      </c>
      <c r="Q2318" s="7">
        <v>5.0909090909090899</v>
      </c>
      <c r="U2318">
        <v>0.29615045899583337</v>
      </c>
      <c r="AT2318" s="4" t="s">
        <v>7440</v>
      </c>
    </row>
    <row r="2319" spans="1:46">
      <c r="A2319" s="2">
        <v>3092</v>
      </c>
      <c r="B2319" t="s">
        <v>7441</v>
      </c>
      <c r="C2319" t="s">
        <v>3092</v>
      </c>
      <c r="D2319" t="s">
        <v>3698</v>
      </c>
      <c r="E2319" s="4">
        <v>43465</v>
      </c>
      <c r="F2319" s="11">
        <v>0</v>
      </c>
      <c r="G2319" s="11">
        <v>0</v>
      </c>
      <c r="H2319" s="11">
        <v>32.499353269300002</v>
      </c>
      <c r="I2319" s="11">
        <v>17.5530385</v>
      </c>
      <c r="J2319" s="11">
        <v>5.3307836541000002</v>
      </c>
      <c r="K2319" s="10">
        <v>0.45305747572999999</v>
      </c>
      <c r="L2319" s="12">
        <v>284309867.51999998</v>
      </c>
      <c r="M2319">
        <v>51.457314342155499</v>
      </c>
      <c r="N2319" s="7">
        <v>1.4747696075072201</v>
      </c>
      <c r="O2319" s="7">
        <v>3.2906102474242598</v>
      </c>
      <c r="P2319" s="7">
        <v>-94.140132964851801</v>
      </c>
      <c r="Q2319" s="7" t="s">
        <v>3698</v>
      </c>
      <c r="U2319">
        <v>6.6247231817538541E-2</v>
      </c>
      <c r="AT2319" s="4" t="s">
        <v>7442</v>
      </c>
    </row>
    <row r="2320" spans="1:46">
      <c r="A2320" s="2">
        <v>3146</v>
      </c>
      <c r="B2320" t="s">
        <v>7443</v>
      </c>
      <c r="C2320" t="s">
        <v>2058</v>
      </c>
      <c r="D2320" t="s">
        <v>3761</v>
      </c>
      <c r="E2320" s="4">
        <v>43465</v>
      </c>
      <c r="F2320" s="11">
        <v>-23.287001109999999</v>
      </c>
      <c r="G2320" s="11">
        <v>0</v>
      </c>
      <c r="H2320" s="11">
        <v>27.172114772400001</v>
      </c>
      <c r="I2320" s="11">
        <v>20.761502419100001</v>
      </c>
      <c r="J2320" s="11">
        <v>5.4159312419000001</v>
      </c>
      <c r="K2320" s="10">
        <v>0.484160624993</v>
      </c>
      <c r="L2320" s="12">
        <v>81361280</v>
      </c>
      <c r="M2320">
        <v>36.432275080161901</v>
      </c>
      <c r="N2320" s="7">
        <v>1.3497995934921101</v>
      </c>
      <c r="O2320" s="7">
        <v>0.80111318627894401</v>
      </c>
      <c r="P2320" s="7">
        <v>76.479968818121606</v>
      </c>
      <c r="Q2320" s="7">
        <v>1.3132476112631595</v>
      </c>
      <c r="U2320">
        <v>0.20485477746202185</v>
      </c>
      <c r="AT2320" s="4" t="s">
        <v>7444</v>
      </c>
    </row>
    <row r="2321" spans="1:46">
      <c r="A2321" s="2">
        <v>3196</v>
      </c>
      <c r="B2321" t="s">
        <v>7445</v>
      </c>
      <c r="C2321" t="s">
        <v>1751</v>
      </c>
      <c r="D2321" t="s">
        <v>3781</v>
      </c>
      <c r="E2321" s="4">
        <v>43465</v>
      </c>
      <c r="F2321" s="11">
        <v>-39.603941370000001</v>
      </c>
      <c r="G2321" s="11">
        <v>0</v>
      </c>
      <c r="H2321" s="11">
        <v>22.709646943300001</v>
      </c>
      <c r="I2321" s="11">
        <v>22.568014998700001</v>
      </c>
      <c r="J2321" s="11">
        <v>8.7869005409999996</v>
      </c>
      <c r="K2321" s="10">
        <v>0.52651098041199995</v>
      </c>
      <c r="L2321" s="12">
        <v>373800960</v>
      </c>
      <c r="M2321">
        <v>31.832420717703702</v>
      </c>
      <c r="N2321" s="7">
        <v>1.26592438900971</v>
      </c>
      <c r="O2321" s="7">
        <v>2.2734241296292699</v>
      </c>
      <c r="P2321" s="7">
        <v>6.3841471962649203</v>
      </c>
      <c r="Q2321" s="7">
        <v>2.1750514793093236</v>
      </c>
      <c r="U2321">
        <v>0.12061116667629422</v>
      </c>
      <c r="AT2321" s="4" t="s">
        <v>6985</v>
      </c>
    </row>
    <row r="2322" spans="1:46">
      <c r="A2322" s="2">
        <v>29</v>
      </c>
      <c r="B2322" t="s">
        <v>7446</v>
      </c>
      <c r="C2322" t="s">
        <v>3234</v>
      </c>
      <c r="D2322" t="s">
        <v>3871</v>
      </c>
      <c r="E2322" s="4">
        <v>43465</v>
      </c>
      <c r="F2322" s="11">
        <v>-2.9999999999999999E-7</v>
      </c>
      <c r="G2322" s="11">
        <v>-2.9999999999999999E-7</v>
      </c>
      <c r="H2322" s="11">
        <v>61.6143005403</v>
      </c>
      <c r="I2322" s="11">
        <v>56.859529390799999</v>
      </c>
      <c r="J2322" s="11">
        <v>22.985219624700001</v>
      </c>
      <c r="K2322" s="10">
        <v>0.50263389110699996</v>
      </c>
      <c r="L2322" s="12">
        <v>34120295740</v>
      </c>
      <c r="M2322">
        <v>27.830454462683502</v>
      </c>
      <c r="N2322" s="7">
        <v>3.3911649799552501</v>
      </c>
      <c r="O2322" s="7">
        <v>5.7030220798551898</v>
      </c>
      <c r="P2322" s="7">
        <v>138.29493446278701</v>
      </c>
      <c r="Q2322" s="7">
        <v>1.8231540565177755</v>
      </c>
      <c r="U2322">
        <v>0.49769569974101974</v>
      </c>
      <c r="AT2322" s="4" t="s">
        <v>7447</v>
      </c>
    </row>
    <row r="2323" spans="1:46">
      <c r="A2323" s="2">
        <v>461</v>
      </c>
      <c r="B2323" t="s">
        <v>7448</v>
      </c>
      <c r="C2323" t="s">
        <v>2258</v>
      </c>
      <c r="D2323" t="s">
        <v>3713</v>
      </c>
      <c r="E2323" s="4">
        <v>43465</v>
      </c>
      <c r="F2323" s="11">
        <v>-13.365177060000001</v>
      </c>
      <c r="G2323" s="11">
        <v>-6.3979530000000007E-2</v>
      </c>
      <c r="H2323" s="11">
        <v>23.632195259</v>
      </c>
      <c r="I2323" s="11">
        <v>21.2360546743</v>
      </c>
      <c r="J2323" s="11">
        <v>6.0722224758000003</v>
      </c>
      <c r="K2323" s="10">
        <v>1.060089828485</v>
      </c>
      <c r="L2323" s="12">
        <v>988841876.75</v>
      </c>
      <c r="M2323">
        <v>40.029220367334297</v>
      </c>
      <c r="N2323" s="7">
        <v>3.6294559689406301</v>
      </c>
      <c r="O2323" s="7">
        <v>0.981425677493167</v>
      </c>
      <c r="P2323" s="7">
        <v>-185.16031236315101</v>
      </c>
      <c r="Q2323" s="7">
        <v>0.39609189339680434</v>
      </c>
      <c r="U2323">
        <v>1.1675713296824979</v>
      </c>
      <c r="AT2323" s="4" t="s">
        <v>7449</v>
      </c>
    </row>
    <row r="2324" spans="1:46">
      <c r="A2324" s="2">
        <v>3026</v>
      </c>
      <c r="B2324" t="s">
        <v>7450</v>
      </c>
      <c r="C2324" t="s">
        <v>466</v>
      </c>
      <c r="D2324" t="s">
        <v>3972</v>
      </c>
      <c r="E2324" s="4">
        <v>43465</v>
      </c>
      <c r="F2324" s="11">
        <v>1.13032471</v>
      </c>
      <c r="G2324" s="11">
        <v>-0.12150668000000001</v>
      </c>
      <c r="H2324" s="11">
        <v>35.452880473800001</v>
      </c>
      <c r="I2324" s="11">
        <v>24.816445428000002</v>
      </c>
      <c r="J2324" s="11">
        <v>20.609698253800001</v>
      </c>
      <c r="K2324" s="10">
        <v>0.57261938004900004</v>
      </c>
      <c r="L2324" s="12">
        <v>1266774626.6099999</v>
      </c>
      <c r="M2324">
        <v>8.5659680086157692</v>
      </c>
      <c r="N2324" s="7">
        <v>1.1489129068249799</v>
      </c>
      <c r="O2324" s="7">
        <v>1.72919740472338</v>
      </c>
      <c r="P2324" s="7">
        <v>155.94535263585701</v>
      </c>
      <c r="Q2324" s="7">
        <v>6.0529634300126096</v>
      </c>
      <c r="U2324">
        <v>0.97829820131698786</v>
      </c>
      <c r="AT2324" s="4" t="s">
        <v>7451</v>
      </c>
    </row>
    <row r="2325" spans="1:46">
      <c r="A2325" s="2">
        <v>2962</v>
      </c>
      <c r="B2325" t="s">
        <v>7452</v>
      </c>
      <c r="C2325" t="s">
        <v>3479</v>
      </c>
      <c r="D2325" t="s">
        <v>3752</v>
      </c>
      <c r="E2325" s="4">
        <v>43465</v>
      </c>
      <c r="F2325" s="11">
        <v>-45.153541789999998</v>
      </c>
      <c r="G2325" s="11">
        <v>-0.21739130000000001</v>
      </c>
      <c r="H2325" s="11">
        <v>-38.364356443299997</v>
      </c>
      <c r="I2325" s="11">
        <v>8.9768838658999996</v>
      </c>
      <c r="J2325" s="11">
        <v>0.66218836380000001</v>
      </c>
      <c r="K2325" s="10">
        <v>0.50201441370300004</v>
      </c>
      <c r="L2325" s="12">
        <v>210515760</v>
      </c>
      <c r="M2325">
        <v>-15.6874019749008</v>
      </c>
      <c r="N2325" s="7">
        <v>1.11088640062878</v>
      </c>
      <c r="O2325" s="7">
        <v>1.5759706888954399</v>
      </c>
      <c r="P2325" s="7">
        <v>4.8331021004349397</v>
      </c>
      <c r="Q2325" s="7">
        <v>0.23148148148148145</v>
      </c>
      <c r="U2325">
        <v>1.6943426707445235E-2</v>
      </c>
      <c r="AT2325" s="4" t="s">
        <v>7453</v>
      </c>
    </row>
    <row r="2326" spans="1:46">
      <c r="A2326" s="2">
        <v>2749</v>
      </c>
      <c r="B2326" t="s">
        <v>7454</v>
      </c>
      <c r="C2326" t="s">
        <v>1813</v>
      </c>
      <c r="D2326" t="s">
        <v>3849</v>
      </c>
      <c r="E2326" s="4">
        <v>43465</v>
      </c>
      <c r="F2326" s="11">
        <v>-30.90738975</v>
      </c>
      <c r="G2326" s="11">
        <v>-0.23201856000000001</v>
      </c>
      <c r="H2326" s="11">
        <v>3.8045313572000001</v>
      </c>
      <c r="I2326" s="11">
        <v>8.7996246344000006</v>
      </c>
      <c r="J2326" s="11">
        <v>3.8676276829999998</v>
      </c>
      <c r="K2326" s="10">
        <v>1.072300338122</v>
      </c>
      <c r="L2326" s="12">
        <v>780689221.40999997</v>
      </c>
      <c r="M2326">
        <v>24.742748736851802</v>
      </c>
      <c r="N2326" s="7">
        <v>0.76288550742065797</v>
      </c>
      <c r="O2326" s="7">
        <v>0.44248939249886499</v>
      </c>
      <c r="P2326" s="7">
        <v>-5.7847174498369904</v>
      </c>
      <c r="Q2326" s="7">
        <v>2.3696682464454977</v>
      </c>
      <c r="U2326">
        <v>0.31706789968021404</v>
      </c>
      <c r="AT2326" s="4" t="s">
        <v>7455</v>
      </c>
    </row>
    <row r="2327" spans="1:46">
      <c r="A2327" s="2">
        <v>3124</v>
      </c>
      <c r="B2327" t="s">
        <v>7456</v>
      </c>
      <c r="C2327" t="s">
        <v>2525</v>
      </c>
      <c r="D2327" t="s">
        <v>3769</v>
      </c>
      <c r="E2327" s="4">
        <v>43465</v>
      </c>
      <c r="F2327" s="11">
        <v>-56.24227441</v>
      </c>
      <c r="G2327" s="11">
        <v>-0.28169013999999998</v>
      </c>
      <c r="H2327" s="11">
        <v>-0.43104195950000002</v>
      </c>
      <c r="I2327" s="11">
        <v>8.8384500603999996</v>
      </c>
      <c r="J2327" s="11">
        <v>0.89204761779999997</v>
      </c>
      <c r="K2327" s="10">
        <v>0.89890243378500001</v>
      </c>
      <c r="L2327" s="12">
        <v>1407754800</v>
      </c>
      <c r="M2327">
        <v>192.22113780227301</v>
      </c>
      <c r="N2327" s="7">
        <v>1.1779361699217299</v>
      </c>
      <c r="O2327" s="7">
        <v>0.31926593244541102</v>
      </c>
      <c r="P2327" s="7">
        <v>7.8115805959856104</v>
      </c>
      <c r="Q2327" s="7" t="s">
        <v>3698</v>
      </c>
      <c r="U2327">
        <v>5.838981353746233E-2</v>
      </c>
      <c r="AT2327" s="4" t="s">
        <v>4022</v>
      </c>
    </row>
    <row r="2328" spans="1:46">
      <c r="A2328" s="2">
        <v>2318</v>
      </c>
      <c r="B2328" t="s">
        <v>7457</v>
      </c>
      <c r="C2328" t="s">
        <v>306</v>
      </c>
      <c r="D2328" t="s">
        <v>3778</v>
      </c>
      <c r="E2328" s="4">
        <v>43465</v>
      </c>
      <c r="F2328" s="11">
        <v>-32.10137933</v>
      </c>
      <c r="G2328" s="11">
        <v>-0.28368794000000003</v>
      </c>
      <c r="H2328" s="11">
        <v>1.5982509252999999</v>
      </c>
      <c r="I2328" s="11">
        <v>7.8678902726000004</v>
      </c>
      <c r="J2328" s="11">
        <v>1.2495855518000001</v>
      </c>
      <c r="K2328" s="10">
        <v>1.8245504082440001</v>
      </c>
      <c r="L2328" s="12">
        <v>73859242379.320007</v>
      </c>
      <c r="M2328">
        <v>7.8989834080197001</v>
      </c>
      <c r="N2328" s="7">
        <v>1.2555007700149801</v>
      </c>
      <c r="O2328" s="7">
        <v>0.17306216339293501</v>
      </c>
      <c r="P2328" s="7">
        <v>26.8930658856913</v>
      </c>
      <c r="Q2328" s="7">
        <v>0.70270270270270274</v>
      </c>
      <c r="U2328">
        <v>0.46776055372537018</v>
      </c>
      <c r="AT2328" s="4" t="s">
        <v>7196</v>
      </c>
    </row>
    <row r="2329" spans="1:46">
      <c r="A2329" s="2">
        <v>2401</v>
      </c>
      <c r="B2329" t="s">
        <v>7458</v>
      </c>
      <c r="C2329" t="s">
        <v>2249</v>
      </c>
      <c r="D2329" t="s">
        <v>3713</v>
      </c>
      <c r="E2329" s="4">
        <v>43465</v>
      </c>
      <c r="F2329" s="11">
        <v>11.5000979</v>
      </c>
      <c r="G2329" s="11">
        <v>-0.30581039999999998</v>
      </c>
      <c r="H2329" s="11">
        <v>-6.0979298116000002</v>
      </c>
      <c r="I2329" s="11">
        <v>20.4172042328</v>
      </c>
      <c r="J2329" s="11">
        <v>9.9225421722</v>
      </c>
      <c r="K2329" s="10">
        <v>1.36412347781</v>
      </c>
      <c r="L2329" s="12">
        <v>7237159454</v>
      </c>
      <c r="M2329">
        <v>29.267734128850499</v>
      </c>
      <c r="N2329" s="7">
        <v>4.4720680874801504</v>
      </c>
      <c r="O2329" s="7">
        <v>1.31718228036301</v>
      </c>
      <c r="P2329" s="7">
        <v>50.3115087427513</v>
      </c>
      <c r="Q2329" s="7">
        <v>2.1307477201174785</v>
      </c>
      <c r="U2329">
        <v>0.86871776481124785</v>
      </c>
      <c r="AT2329" s="4" t="s">
        <v>7459</v>
      </c>
    </row>
    <row r="2330" spans="1:46">
      <c r="A2330" s="2">
        <v>1799</v>
      </c>
      <c r="B2330" t="s">
        <v>7460</v>
      </c>
      <c r="C2330" t="s">
        <v>2033</v>
      </c>
      <c r="D2330" t="s">
        <v>3858</v>
      </c>
      <c r="E2330" s="4">
        <v>43465</v>
      </c>
      <c r="F2330" s="11">
        <v>-36.111963240000001</v>
      </c>
      <c r="G2330" s="11">
        <v>-0.30927834999999998</v>
      </c>
      <c r="H2330" s="11">
        <v>-27.727595162699998</v>
      </c>
      <c r="I2330" s="11">
        <v>29.302217926899999</v>
      </c>
      <c r="J2330" s="11">
        <v>9.1779678027999996</v>
      </c>
      <c r="K2330" s="10">
        <v>0.29939962461399999</v>
      </c>
      <c r="L2330" s="12">
        <v>3009701006.8800001</v>
      </c>
      <c r="M2330">
        <v>36.424802918215498</v>
      </c>
      <c r="N2330" s="7">
        <v>1.62008259585925</v>
      </c>
      <c r="O2330" s="7">
        <v>2.6597435586747</v>
      </c>
      <c r="P2330" s="7">
        <v>26.4532239911609</v>
      </c>
      <c r="Q2330" s="7">
        <v>0.33333333333333331</v>
      </c>
      <c r="U2330">
        <v>0.28822825956877474</v>
      </c>
      <c r="AT2330" s="4" t="s">
        <v>4058</v>
      </c>
    </row>
    <row r="2331" spans="1:46">
      <c r="A2331" s="2">
        <v>102</v>
      </c>
      <c r="B2331" t="s">
        <v>7461</v>
      </c>
      <c r="C2331" t="s">
        <v>3222</v>
      </c>
      <c r="D2331" t="s">
        <v>3752</v>
      </c>
      <c r="E2331" s="4">
        <v>43465</v>
      </c>
      <c r="F2331" s="11">
        <v>-28.921568629999999</v>
      </c>
      <c r="G2331" s="11">
        <v>-0.34602075999999998</v>
      </c>
      <c r="H2331" s="11">
        <v>7.1668096057000001</v>
      </c>
      <c r="I2331" s="11">
        <v>18.395339949499999</v>
      </c>
      <c r="J2331" s="11">
        <v>2.4504355057999998</v>
      </c>
      <c r="K2331" s="10">
        <v>0.45370306161399998</v>
      </c>
      <c r="L2331" s="12">
        <v>118302193.44</v>
      </c>
      <c r="M2331">
        <v>-0.61882366776466502</v>
      </c>
      <c r="N2331" s="7">
        <v>27.403071809445301</v>
      </c>
      <c r="O2331" s="7">
        <v>0.20054291391221901</v>
      </c>
      <c r="P2331" s="7">
        <v>-19.088568500363198</v>
      </c>
      <c r="Q2331" s="7" t="s">
        <v>3698</v>
      </c>
      <c r="U2331">
        <v>0.29935065919895693</v>
      </c>
      <c r="AT2331" s="4" t="s">
        <v>6615</v>
      </c>
    </row>
    <row r="2332" spans="1:46">
      <c r="A2332" s="2">
        <v>1807</v>
      </c>
      <c r="B2332" t="s">
        <v>7462</v>
      </c>
      <c r="C2332" t="s">
        <v>1768</v>
      </c>
      <c r="D2332" t="s">
        <v>3718</v>
      </c>
      <c r="E2332" s="4">
        <v>43465</v>
      </c>
      <c r="F2332" s="11">
        <v>-28.883153719999999</v>
      </c>
      <c r="G2332" s="11">
        <v>-0.36297641000000003</v>
      </c>
      <c r="H2332" s="11">
        <v>34.778607104999999</v>
      </c>
      <c r="I2332" s="11">
        <v>45.350446879400003</v>
      </c>
      <c r="J2332" s="11">
        <v>17.679371618400001</v>
      </c>
      <c r="K2332" s="10">
        <v>0.48925381121900002</v>
      </c>
      <c r="L2332" s="12">
        <v>3520398488.6399999</v>
      </c>
      <c r="M2332">
        <v>19.828570950937898</v>
      </c>
      <c r="N2332" s="7">
        <v>3.1142973662777802</v>
      </c>
      <c r="O2332" s="7">
        <v>4.4393802031012504</v>
      </c>
      <c r="P2332" s="7">
        <v>-217.34399960693301</v>
      </c>
      <c r="Q2332" s="7">
        <v>3.9525691699604746</v>
      </c>
      <c r="U2332">
        <v>0.24284808317149098</v>
      </c>
      <c r="AT2332" s="4" t="s">
        <v>3985</v>
      </c>
    </row>
    <row r="2333" spans="1:46">
      <c r="A2333" s="2">
        <v>161</v>
      </c>
      <c r="B2333" t="s">
        <v>7463</v>
      </c>
      <c r="C2333" t="s">
        <v>980</v>
      </c>
      <c r="D2333" t="s">
        <v>3778</v>
      </c>
      <c r="E2333" s="4">
        <v>43465</v>
      </c>
      <c r="F2333" s="11">
        <v>-21.738040739999999</v>
      </c>
      <c r="G2333" s="11">
        <v>-0.390625</v>
      </c>
      <c r="H2333" s="11">
        <v>2.8062092814000001</v>
      </c>
      <c r="I2333" s="11">
        <v>28.700212965599999</v>
      </c>
      <c r="J2333" s="11">
        <v>14.0140787097</v>
      </c>
      <c r="K2333" s="10">
        <v>0.41042034705699998</v>
      </c>
      <c r="L2333" s="12">
        <v>200581225.16999999</v>
      </c>
      <c r="M2333">
        <v>8.1440786826267502</v>
      </c>
      <c r="N2333" s="7">
        <v>0.80210217066906997</v>
      </c>
      <c r="O2333" s="7">
        <v>1.4351002636180199</v>
      </c>
      <c r="P2333" s="7">
        <v>32.483774735671098</v>
      </c>
      <c r="Q2333" s="7">
        <v>3.9682539682539679</v>
      </c>
      <c r="U2333">
        <v>0.25045558316096744</v>
      </c>
      <c r="AT2333" s="4" t="s">
        <v>3847</v>
      </c>
    </row>
    <row r="2334" spans="1:46">
      <c r="A2334" s="2">
        <v>2060</v>
      </c>
      <c r="B2334" t="s">
        <v>7464</v>
      </c>
      <c r="C2334" t="s">
        <v>1909</v>
      </c>
      <c r="D2334" t="s">
        <v>3752</v>
      </c>
      <c r="E2334" s="4">
        <v>43465</v>
      </c>
      <c r="F2334" s="11">
        <v>-42.86894796</v>
      </c>
      <c r="G2334" s="11">
        <v>-0.40322581000000002</v>
      </c>
      <c r="H2334" s="11">
        <v>3.3839711971000002</v>
      </c>
      <c r="I2334" s="11">
        <v>13.0275346897</v>
      </c>
      <c r="J2334" s="11">
        <v>4.9885328637999997</v>
      </c>
      <c r="K2334" s="10">
        <v>0.76778573461999999</v>
      </c>
      <c r="L2334" s="12">
        <v>9281928169.7999992</v>
      </c>
      <c r="M2334">
        <v>40.569345948606703</v>
      </c>
      <c r="N2334" s="7">
        <v>1.86101797736102</v>
      </c>
      <c r="O2334" s="7">
        <v>2.0247232192351099</v>
      </c>
      <c r="P2334" s="7">
        <v>131.72989196657201</v>
      </c>
      <c r="Q2334" s="7">
        <v>0.8438818565400843</v>
      </c>
      <c r="U2334">
        <v>0.12323693143382354</v>
      </c>
      <c r="AT2334" s="4" t="s">
        <v>7465</v>
      </c>
    </row>
    <row r="2335" spans="1:46">
      <c r="A2335" s="2">
        <v>605</v>
      </c>
      <c r="B2335" t="s">
        <v>7466</v>
      </c>
      <c r="C2335" t="s">
        <v>1387</v>
      </c>
      <c r="D2335" t="s">
        <v>3811</v>
      </c>
      <c r="E2335" s="4">
        <v>43465</v>
      </c>
      <c r="F2335" s="11">
        <v>-53.351873990000001</v>
      </c>
      <c r="G2335" s="11">
        <v>-0.41067762000000002</v>
      </c>
      <c r="H2335" s="11">
        <v>16.669607915499999</v>
      </c>
      <c r="I2335" s="11">
        <v>23.9773227668</v>
      </c>
      <c r="J2335" s="11">
        <v>2.8420012477999999</v>
      </c>
      <c r="K2335" s="10">
        <v>1.0317027158959999</v>
      </c>
      <c r="L2335" s="12">
        <v>41863975713.059998</v>
      </c>
      <c r="M2335">
        <v>17.5618694389191</v>
      </c>
      <c r="N2335" s="7">
        <v>2.1730238145089</v>
      </c>
      <c r="O2335" s="7">
        <v>0.61839827369211597</v>
      </c>
      <c r="P2335" s="7">
        <v>12.363476628733</v>
      </c>
      <c r="Q2335" s="7" t="s">
        <v>3698</v>
      </c>
      <c r="U2335">
        <v>0.15079429183709842</v>
      </c>
      <c r="AT2335" s="4" t="s">
        <v>6343</v>
      </c>
    </row>
    <row r="2336" spans="1:46">
      <c r="A2336" s="2">
        <v>1474</v>
      </c>
      <c r="B2336" t="s">
        <v>7467</v>
      </c>
      <c r="C2336" t="s">
        <v>2878</v>
      </c>
      <c r="D2336" t="s">
        <v>3849</v>
      </c>
      <c r="E2336" s="4">
        <v>43465</v>
      </c>
      <c r="F2336" s="11">
        <v>-36.478878360000003</v>
      </c>
      <c r="G2336" s="11">
        <v>-0.41841003999999998</v>
      </c>
      <c r="H2336" s="11">
        <v>-10.706062900199999</v>
      </c>
      <c r="I2336" s="11">
        <v>27.8710794753</v>
      </c>
      <c r="J2336" s="11">
        <v>-23.2669854558</v>
      </c>
      <c r="K2336" s="10">
        <v>0.272933613741</v>
      </c>
      <c r="L2336" s="12">
        <v>367548213483.94</v>
      </c>
      <c r="M2336">
        <v>99.279537941872505</v>
      </c>
      <c r="N2336" s="7">
        <v>1.36218514839974</v>
      </c>
      <c r="O2336" s="7">
        <v>1.8544976380907301</v>
      </c>
      <c r="P2336" s="7">
        <v>40.820159654223701</v>
      </c>
      <c r="Q2336" s="7" t="s">
        <v>3698</v>
      </c>
      <c r="U2336">
        <v>-0.21009157429202407</v>
      </c>
      <c r="AT2336" s="4" t="s">
        <v>4616</v>
      </c>
    </row>
    <row r="2337" spans="1:46">
      <c r="A2337" s="2">
        <v>366</v>
      </c>
      <c r="B2337" t="s">
        <v>7468</v>
      </c>
      <c r="C2337" t="s">
        <v>2271</v>
      </c>
      <c r="D2337" t="s">
        <v>3871</v>
      </c>
      <c r="E2337" s="4">
        <v>43465</v>
      </c>
      <c r="F2337" s="11">
        <v>-37.795275590000003</v>
      </c>
      <c r="G2337" s="11">
        <v>-0.42553191000000001</v>
      </c>
      <c r="H2337" s="11">
        <v>1847.2648245616999</v>
      </c>
      <c r="I2337" s="11">
        <v>11.7833387059</v>
      </c>
      <c r="J2337" s="11">
        <v>6.2262169732999997</v>
      </c>
      <c r="K2337" s="10">
        <v>0.264195537935</v>
      </c>
      <c r="L2337" s="12">
        <v>26880000000</v>
      </c>
      <c r="M2337">
        <v>29.1895312446992</v>
      </c>
      <c r="N2337" s="7">
        <v>0.60540300921004997</v>
      </c>
      <c r="O2337" s="7">
        <v>16.079168329319799</v>
      </c>
      <c r="P2337" s="7">
        <v>-644.02962391772303</v>
      </c>
      <c r="Q2337" s="7" t="s">
        <v>3698</v>
      </c>
      <c r="U2337">
        <v>0.11719051749252644</v>
      </c>
      <c r="AT2337" s="4" t="s">
        <v>5472</v>
      </c>
    </row>
    <row r="2338" spans="1:46">
      <c r="A2338" s="2">
        <v>1139</v>
      </c>
      <c r="B2338" t="s">
        <v>7469</v>
      </c>
      <c r="C2338" t="s">
        <v>2909</v>
      </c>
      <c r="D2338" t="s">
        <v>3858</v>
      </c>
      <c r="E2338" s="4">
        <v>43465</v>
      </c>
      <c r="F2338" s="11">
        <v>-39.276485790000002</v>
      </c>
      <c r="G2338" s="11">
        <v>-0.43763676000000001</v>
      </c>
      <c r="H2338" s="11">
        <v>37.153176387199998</v>
      </c>
      <c r="I2338" s="11">
        <v>1.5215676070999999</v>
      </c>
      <c r="J2338" s="11">
        <v>0.76899885329999995</v>
      </c>
      <c r="K2338" s="10">
        <v>0.47249080518499997</v>
      </c>
      <c r="L2338" s="12">
        <v>17080419610.4</v>
      </c>
      <c r="M2338">
        <v>242.57891993617801</v>
      </c>
      <c r="N2338" s="7">
        <v>1.2514080018460401</v>
      </c>
      <c r="O2338" s="7">
        <v>1.2284784360951999</v>
      </c>
      <c r="P2338" s="7">
        <v>-64.711165385710899</v>
      </c>
      <c r="Q2338" s="7" t="s">
        <v>3698</v>
      </c>
      <c r="U2338">
        <v>2.8918862775481547E-2</v>
      </c>
      <c r="AT2338" s="4" t="s">
        <v>4446</v>
      </c>
    </row>
    <row r="2339" spans="1:46">
      <c r="A2339" s="2">
        <v>1427</v>
      </c>
      <c r="B2339" t="s">
        <v>7470</v>
      </c>
      <c r="C2339" t="s">
        <v>1445</v>
      </c>
      <c r="D2339" t="s">
        <v>3761</v>
      </c>
      <c r="E2339" s="4">
        <v>43465</v>
      </c>
      <c r="F2339" s="11">
        <v>26.060945019999998</v>
      </c>
      <c r="G2339" s="11">
        <v>-0.45636051999999999</v>
      </c>
      <c r="H2339" s="11">
        <v>15.643991760400001</v>
      </c>
      <c r="I2339" s="11">
        <v>23.2116858206</v>
      </c>
      <c r="J2339" s="11">
        <v>3.1802306141000001</v>
      </c>
      <c r="K2339" s="10">
        <v>0.46053803989699998</v>
      </c>
      <c r="L2339" s="12">
        <v>75459259943.279999</v>
      </c>
      <c r="M2339">
        <v>634.11383105829395</v>
      </c>
      <c r="N2339" s="7">
        <v>5.9586872119350298</v>
      </c>
      <c r="O2339" s="7">
        <v>3.3658004415586098</v>
      </c>
      <c r="P2339" s="7">
        <v>-18.107563845358399</v>
      </c>
      <c r="Q2339" s="7">
        <v>6.2344139650872814E-2</v>
      </c>
      <c r="U2339">
        <v>0.17943083696651588</v>
      </c>
      <c r="AT2339" s="4" t="s">
        <v>3770</v>
      </c>
    </row>
    <row r="2340" spans="1:46">
      <c r="A2340" s="2">
        <v>3513</v>
      </c>
      <c r="B2340" t="s">
        <v>7471</v>
      </c>
      <c r="C2340" t="s">
        <v>1433</v>
      </c>
      <c r="D2340" t="s">
        <v>3781</v>
      </c>
      <c r="E2340" s="4">
        <v>43465</v>
      </c>
      <c r="F2340" s="11">
        <v>16.4613476</v>
      </c>
      <c r="G2340" s="11">
        <v>-0.47393364999999998</v>
      </c>
      <c r="H2340" s="11">
        <v>-16.164987783200001</v>
      </c>
      <c r="I2340" s="11">
        <v>55.839549507599997</v>
      </c>
      <c r="J2340" s="11">
        <v>-5.3847722952000003</v>
      </c>
      <c r="K2340" s="10">
        <v>0.15196593196200001</v>
      </c>
      <c r="L2340" s="12">
        <v>3242435144</v>
      </c>
      <c r="M2340">
        <v>165.45005175555801</v>
      </c>
      <c r="N2340" s="7">
        <v>9.8076340771968304</v>
      </c>
      <c r="O2340" s="7">
        <v>31.2508264797839</v>
      </c>
      <c r="P2340" s="7">
        <v>-119.693827515964</v>
      </c>
      <c r="Q2340" s="7">
        <v>8.3963056255247692E-2</v>
      </c>
      <c r="U2340">
        <v>3.3071776195652172E-2</v>
      </c>
      <c r="AT2340" s="4" t="s">
        <v>4038</v>
      </c>
    </row>
    <row r="2341" spans="1:46">
      <c r="A2341" s="2">
        <v>1641</v>
      </c>
      <c r="B2341" t="s">
        <v>7472</v>
      </c>
      <c r="C2341" t="s">
        <v>3599</v>
      </c>
      <c r="D2341" t="s">
        <v>3737</v>
      </c>
      <c r="E2341" s="4">
        <v>43465</v>
      </c>
      <c r="F2341" s="11">
        <v>-76.112852660000001</v>
      </c>
      <c r="G2341" s="11">
        <v>-0.52219320999999996</v>
      </c>
      <c r="H2341" s="11">
        <v>-34.777448155599998</v>
      </c>
      <c r="I2341" s="11">
        <v>19.5579804282</v>
      </c>
      <c r="J2341" s="11">
        <v>-1242.6804718471999</v>
      </c>
      <c r="K2341" s="10">
        <v>5.5551825947999997E-2</v>
      </c>
      <c r="L2341" s="12">
        <v>11097910200</v>
      </c>
      <c r="M2341">
        <v>-1.3914868827301099</v>
      </c>
      <c r="N2341" s="7">
        <v>-0.76931457703478501</v>
      </c>
      <c r="O2341" s="7">
        <v>6.2142477401362202</v>
      </c>
      <c r="P2341" s="7">
        <v>-7.8674393431482601</v>
      </c>
      <c r="Q2341" s="7" t="s">
        <v>3698</v>
      </c>
      <c r="U2341">
        <v>-6.8226852677101597</v>
      </c>
      <c r="AT2341" s="4" t="s">
        <v>4785</v>
      </c>
    </row>
    <row r="2342" spans="1:46">
      <c r="A2342" s="2">
        <v>3351</v>
      </c>
      <c r="B2342" t="s">
        <v>7473</v>
      </c>
      <c r="C2342" t="s">
        <v>2847</v>
      </c>
      <c r="D2342" t="s">
        <v>4060</v>
      </c>
      <c r="E2342" s="4">
        <v>43465</v>
      </c>
      <c r="F2342" s="11">
        <v>4.1197096799999997</v>
      </c>
      <c r="G2342" s="11">
        <v>-0.52356020999999997</v>
      </c>
      <c r="H2342" s="11">
        <v>30.386041524700001</v>
      </c>
      <c r="I2342" s="11">
        <v>32.082726717299998</v>
      </c>
      <c r="J2342" s="11">
        <v>6.4488159746000004</v>
      </c>
      <c r="K2342" s="10">
        <v>1.072902537012</v>
      </c>
      <c r="L2342" s="12">
        <v>64556088593.599998</v>
      </c>
      <c r="M2342">
        <v>35.0187100302836</v>
      </c>
      <c r="N2342" s="7">
        <v>3.04795705832196</v>
      </c>
      <c r="O2342" s="7">
        <v>1.81110427997521</v>
      </c>
      <c r="P2342" s="7">
        <v>41.480993106472503</v>
      </c>
      <c r="Q2342" s="7">
        <v>1.6763884188397333</v>
      </c>
      <c r="U2342">
        <v>0.77530607154166664</v>
      </c>
      <c r="AT2342" s="4" t="s">
        <v>7474</v>
      </c>
    </row>
    <row r="2343" spans="1:46">
      <c r="A2343" s="2">
        <v>3576</v>
      </c>
      <c r="B2343" t="s">
        <v>7475</v>
      </c>
      <c r="C2343" t="s">
        <v>1679</v>
      </c>
      <c r="D2343" t="s">
        <v>3842</v>
      </c>
      <c r="E2343" s="4">
        <v>43465</v>
      </c>
      <c r="F2343" s="11">
        <v>0.10790259000000001</v>
      </c>
      <c r="G2343" s="11">
        <v>-0.52956751999999996</v>
      </c>
      <c r="H2343" s="11">
        <v>36.878980294900003</v>
      </c>
      <c r="I2343" s="11">
        <v>20.544729161300001</v>
      </c>
      <c r="J2343" s="11">
        <v>9.9562871674999993</v>
      </c>
      <c r="K2343" s="10">
        <v>0.73432957195399995</v>
      </c>
      <c r="L2343" s="12">
        <v>122056358141.11</v>
      </c>
      <c r="M2343">
        <v>15.4287079870591</v>
      </c>
      <c r="N2343" s="7">
        <v>1.07016981588375</v>
      </c>
      <c r="O2343" s="7">
        <v>1.2260269718919701</v>
      </c>
      <c r="P2343" s="7">
        <v>12.1563087782362</v>
      </c>
      <c r="Q2343" s="7">
        <v>4.2223786066150595</v>
      </c>
      <c r="U2343">
        <v>0.97390258234997229</v>
      </c>
      <c r="AT2343" s="4" t="s">
        <v>7476</v>
      </c>
    </row>
    <row r="2344" spans="1:46">
      <c r="A2344" s="2">
        <v>3004</v>
      </c>
      <c r="B2344" t="s">
        <v>7477</v>
      </c>
      <c r="C2344" t="s">
        <v>1653</v>
      </c>
      <c r="D2344" t="s">
        <v>3811</v>
      </c>
      <c r="E2344" s="4">
        <v>43465</v>
      </c>
      <c r="F2344" s="11">
        <v>-30.893343130000002</v>
      </c>
      <c r="G2344" s="11">
        <v>-0.53475936000000002</v>
      </c>
      <c r="H2344" s="11">
        <v>5.9332208003</v>
      </c>
      <c r="I2344" s="11">
        <v>4.9801963155999998</v>
      </c>
      <c r="J2344" s="11">
        <v>3.4078116267</v>
      </c>
      <c r="K2344" s="10">
        <v>1.3465917552919999</v>
      </c>
      <c r="L2344" s="12">
        <v>1692518566.2</v>
      </c>
      <c r="M2344">
        <v>-45.791571630568001</v>
      </c>
      <c r="N2344" s="7">
        <v>1.61337025118791</v>
      </c>
      <c r="O2344" s="7">
        <v>0.21722074201726299</v>
      </c>
      <c r="P2344" s="7">
        <v>10.4692045778646</v>
      </c>
      <c r="Q2344" s="7">
        <v>4.6218487394957979</v>
      </c>
      <c r="U2344">
        <v>0.53583222043655876</v>
      </c>
      <c r="AT2344" s="4" t="s">
        <v>7478</v>
      </c>
    </row>
    <row r="2345" spans="1:46">
      <c r="A2345" s="2">
        <v>1748</v>
      </c>
      <c r="B2345" t="s">
        <v>7479</v>
      </c>
      <c r="C2345" t="s">
        <v>598</v>
      </c>
      <c r="D2345" t="s">
        <v>3721</v>
      </c>
      <c r="E2345" s="4">
        <v>43465</v>
      </c>
      <c r="F2345" s="11">
        <v>-56.45949616</v>
      </c>
      <c r="G2345" s="11">
        <v>-0.55325035</v>
      </c>
      <c r="H2345" s="11">
        <v>3.8664815012</v>
      </c>
      <c r="I2345" s="11">
        <v>28.963781962300001</v>
      </c>
      <c r="J2345" s="11">
        <v>8.9274174182999992</v>
      </c>
      <c r="K2345" s="10">
        <v>0.23960356025999999</v>
      </c>
      <c r="L2345" s="12">
        <v>4443089518.0799999</v>
      </c>
      <c r="M2345">
        <v>24.1734947273799</v>
      </c>
      <c r="N2345" s="7">
        <v>1.7543509158953601</v>
      </c>
      <c r="O2345" s="7">
        <v>2.5683062856899501</v>
      </c>
      <c r="P2345" s="7">
        <v>11.9917866269965</v>
      </c>
      <c r="Q2345" s="7">
        <v>0.92016759780351598</v>
      </c>
      <c r="U2345">
        <v>0.22193954708969449</v>
      </c>
      <c r="AT2345" s="4" t="s">
        <v>6453</v>
      </c>
    </row>
    <row r="2346" spans="1:46">
      <c r="A2346" s="2">
        <v>2475</v>
      </c>
      <c r="B2346" t="s">
        <v>7480</v>
      </c>
      <c r="C2346" t="s">
        <v>3449</v>
      </c>
      <c r="D2346" t="s">
        <v>3713</v>
      </c>
      <c r="E2346" s="4">
        <v>43465</v>
      </c>
      <c r="F2346" s="11">
        <v>-60.394889659999997</v>
      </c>
      <c r="G2346" s="11">
        <v>-0.57636887999999997</v>
      </c>
      <c r="H2346" s="11">
        <v>16.352331034199999</v>
      </c>
      <c r="I2346" s="11">
        <v>26.068755850300001</v>
      </c>
      <c r="J2346" s="11">
        <v>2.7683910756999999</v>
      </c>
      <c r="K2346" s="10">
        <v>0.74640431074199998</v>
      </c>
      <c r="L2346" s="12">
        <v>60260262246.540001</v>
      </c>
      <c r="M2346">
        <v>-34.615547584819602</v>
      </c>
      <c r="N2346" s="7">
        <v>4.7226475425335197</v>
      </c>
      <c r="O2346" s="7">
        <v>4.3875302279410402</v>
      </c>
      <c r="P2346" s="7">
        <v>65.080306214118096</v>
      </c>
      <c r="Q2346" s="7" t="s">
        <v>3698</v>
      </c>
      <c r="U2346">
        <v>2.2377287959174881E-2</v>
      </c>
      <c r="AT2346" s="4" t="s">
        <v>7481</v>
      </c>
    </row>
    <row r="2347" spans="1:46">
      <c r="A2347" s="2">
        <v>1217</v>
      </c>
      <c r="B2347" t="s">
        <v>7482</v>
      </c>
      <c r="C2347" t="s">
        <v>853</v>
      </c>
      <c r="D2347" t="s">
        <v>3832</v>
      </c>
      <c r="E2347" s="4">
        <v>43465</v>
      </c>
      <c r="F2347" s="11">
        <v>-42.3133956</v>
      </c>
      <c r="G2347" s="11">
        <v>-0.63291138999999996</v>
      </c>
      <c r="H2347" s="11">
        <v>1.1780208833000001</v>
      </c>
      <c r="I2347" s="11">
        <v>9.3680167341999994</v>
      </c>
      <c r="J2347" s="11">
        <v>0.406088175</v>
      </c>
      <c r="K2347" s="10">
        <v>2.3443215729069999</v>
      </c>
      <c r="L2347" s="12">
        <v>7095012698.7200003</v>
      </c>
      <c r="M2347">
        <v>23.010841321790199</v>
      </c>
      <c r="N2347" s="7">
        <v>3.7671145748906598</v>
      </c>
      <c r="O2347" s="7">
        <v>0.43963616571556602</v>
      </c>
      <c r="P2347" s="7">
        <v>-251.198806535975</v>
      </c>
      <c r="Q2347" s="7">
        <v>0.44834282288522531</v>
      </c>
      <c r="U2347">
        <v>2.7660668481996647E-2</v>
      </c>
      <c r="AT2347" s="4" t="s">
        <v>4945</v>
      </c>
    </row>
    <row r="2348" spans="1:46">
      <c r="A2348" s="2">
        <v>666</v>
      </c>
      <c r="B2348" t="s">
        <v>7483</v>
      </c>
      <c r="C2348" t="s">
        <v>2130</v>
      </c>
      <c r="D2348" t="s">
        <v>3769</v>
      </c>
      <c r="E2348" s="4">
        <v>43465</v>
      </c>
      <c r="F2348" s="11">
        <v>-18.29585578</v>
      </c>
      <c r="G2348" s="11">
        <v>-0.63694267999999998</v>
      </c>
      <c r="H2348" s="11">
        <v>20.677996705599998</v>
      </c>
      <c r="I2348" s="11">
        <v>9.8739466975999992</v>
      </c>
      <c r="J2348" s="11">
        <v>2.0802271452999999</v>
      </c>
      <c r="K2348" s="10">
        <v>1.8093723988870001</v>
      </c>
      <c r="L2348" s="12">
        <v>43154530729.870003</v>
      </c>
      <c r="M2348">
        <v>41.395775842217603</v>
      </c>
      <c r="N2348" s="7">
        <v>1.9747750952222001</v>
      </c>
      <c r="O2348" s="7">
        <v>0.78258827234578898</v>
      </c>
      <c r="P2348" s="7">
        <v>-21.977054108111101</v>
      </c>
      <c r="Q2348" s="7">
        <v>0.55788005578800559</v>
      </c>
      <c r="U2348">
        <v>0.22496052221992172</v>
      </c>
      <c r="AT2348" s="4" t="s">
        <v>3904</v>
      </c>
    </row>
    <row r="2349" spans="1:46">
      <c r="A2349" s="2">
        <v>2204</v>
      </c>
      <c r="B2349" t="s">
        <v>7484</v>
      </c>
      <c r="C2349" t="s">
        <v>1204</v>
      </c>
      <c r="D2349" t="s">
        <v>3972</v>
      </c>
      <c r="E2349" s="4">
        <v>43465</v>
      </c>
      <c r="F2349" s="11">
        <v>-18.85622991</v>
      </c>
      <c r="G2349" s="11">
        <v>-0.71770334999999996</v>
      </c>
      <c r="H2349" s="11">
        <v>15.109860723400001</v>
      </c>
      <c r="I2349" s="11">
        <v>2.7510077386999998</v>
      </c>
      <c r="J2349" s="11">
        <v>0.617576562</v>
      </c>
      <c r="K2349" s="10">
        <v>4.6671629444439997</v>
      </c>
      <c r="L2349" s="12">
        <v>2306657721.0599999</v>
      </c>
      <c r="M2349">
        <v>23.252437879975901</v>
      </c>
      <c r="N2349" s="7">
        <v>0.93937978232106401</v>
      </c>
      <c r="O2349" s="7">
        <v>3.9219481879425998E-2</v>
      </c>
      <c r="P2349" s="7">
        <v>6.4724829621464304</v>
      </c>
      <c r="Q2349" s="7">
        <v>3.0456852791878175</v>
      </c>
      <c r="U2349">
        <v>0.46247304266037254</v>
      </c>
      <c r="AT2349" s="4" t="s">
        <v>4912</v>
      </c>
    </row>
    <row r="2350" spans="1:46">
      <c r="A2350" s="2">
        <v>1566</v>
      </c>
      <c r="B2350" t="s">
        <v>7485</v>
      </c>
      <c r="C2350" t="s">
        <v>2988</v>
      </c>
      <c r="D2350" t="s">
        <v>3761</v>
      </c>
      <c r="E2350" s="4">
        <v>43465</v>
      </c>
      <c r="F2350" s="11">
        <v>-42.972751909999999</v>
      </c>
      <c r="G2350" s="11">
        <v>-0.73206442000000005</v>
      </c>
      <c r="H2350" s="11">
        <v>39.060715780099997</v>
      </c>
      <c r="I2350" s="11">
        <v>18.3349665788</v>
      </c>
      <c r="J2350" s="11">
        <v>1.2707470605</v>
      </c>
      <c r="K2350" s="10">
        <v>0.54260993135199997</v>
      </c>
      <c r="L2350" s="12">
        <v>2603813464.8000002</v>
      </c>
      <c r="M2350">
        <v>-346.175576597933</v>
      </c>
      <c r="N2350" s="7">
        <v>2.5198561153394601</v>
      </c>
      <c r="O2350" s="7">
        <v>2.70957118611227</v>
      </c>
      <c r="P2350" s="7">
        <v>-64.374039026956694</v>
      </c>
      <c r="Q2350" s="7">
        <v>0.24433713355048858</v>
      </c>
      <c r="U2350">
        <v>3.2902390688674267E-2</v>
      </c>
      <c r="AT2350" s="4" t="s">
        <v>4399</v>
      </c>
    </row>
    <row r="2351" spans="1:46">
      <c r="A2351" s="2">
        <v>1560</v>
      </c>
      <c r="B2351" t="s">
        <v>7486</v>
      </c>
      <c r="C2351" t="s">
        <v>2958</v>
      </c>
      <c r="D2351" t="s">
        <v>3778</v>
      </c>
      <c r="E2351" s="4">
        <v>43465</v>
      </c>
      <c r="F2351" s="11">
        <v>-28.04792252</v>
      </c>
      <c r="G2351" s="11">
        <v>-0.75187970000000004</v>
      </c>
      <c r="H2351" s="11">
        <v>13.8941428122</v>
      </c>
      <c r="I2351" s="11">
        <v>14.8884760093</v>
      </c>
      <c r="J2351" s="11">
        <v>1.9804595653999999</v>
      </c>
      <c r="K2351" s="10">
        <v>0.68066314154100005</v>
      </c>
      <c r="L2351" s="12">
        <v>3178525806.4499998</v>
      </c>
      <c r="M2351">
        <v>-63.7655933737814</v>
      </c>
      <c r="N2351" s="7">
        <v>2.01253617379373</v>
      </c>
      <c r="O2351" s="7">
        <v>1.16429224694796</v>
      </c>
      <c r="P2351" s="7">
        <v>13.594728944865301</v>
      </c>
      <c r="Q2351" s="7">
        <v>0.39215686274509803</v>
      </c>
      <c r="U2351">
        <v>4.5006037565104164E-2</v>
      </c>
      <c r="AT2351" s="4" t="s">
        <v>4410</v>
      </c>
    </row>
    <row r="2352" spans="1:46">
      <c r="A2352" s="2">
        <v>2766</v>
      </c>
      <c r="B2352" t="s">
        <v>7487</v>
      </c>
      <c r="C2352" t="s">
        <v>1906</v>
      </c>
      <c r="D2352" t="s">
        <v>3811</v>
      </c>
      <c r="E2352" s="4">
        <v>43465</v>
      </c>
      <c r="F2352" s="11">
        <v>-48.223852579999999</v>
      </c>
      <c r="G2352" s="11">
        <v>-0.76190475999999996</v>
      </c>
      <c r="H2352" s="11">
        <v>-22.272102089699999</v>
      </c>
      <c r="I2352" s="11">
        <v>22.1127390077</v>
      </c>
      <c r="J2352" s="11">
        <v>9.2206634892999997</v>
      </c>
      <c r="K2352" s="10">
        <v>0.39372975275799998</v>
      </c>
      <c r="L2352" s="12">
        <v>5900385309</v>
      </c>
      <c r="M2352">
        <v>33.430871701975597</v>
      </c>
      <c r="N2352" s="7">
        <v>2.03878629552558</v>
      </c>
      <c r="O2352" s="7">
        <v>1.56091937365088</v>
      </c>
      <c r="P2352" s="7">
        <v>-200.17283657089899</v>
      </c>
      <c r="Q2352" s="7" t="s">
        <v>3698</v>
      </c>
      <c r="U2352">
        <v>0.29167740898116568</v>
      </c>
      <c r="AT2352" s="4" t="s">
        <v>4302</v>
      </c>
    </row>
    <row r="2353" spans="1:46">
      <c r="A2353" s="2">
        <v>2855</v>
      </c>
      <c r="B2353" t="s">
        <v>7488</v>
      </c>
      <c r="C2353" t="s">
        <v>187</v>
      </c>
      <c r="D2353" t="s">
        <v>3842</v>
      </c>
      <c r="E2353" s="4">
        <v>43465</v>
      </c>
      <c r="F2353" s="11">
        <v>-17.7727304</v>
      </c>
      <c r="G2353" s="11">
        <v>-0.78585461999999995</v>
      </c>
      <c r="H2353" s="11">
        <v>14.001814291100001</v>
      </c>
      <c r="I2353" s="11">
        <v>14.3865821015</v>
      </c>
      <c r="J2353" s="11">
        <v>10.3808215626</v>
      </c>
      <c r="K2353" s="10">
        <v>1.5218279336189999</v>
      </c>
      <c r="L2353" s="12">
        <v>2423520000</v>
      </c>
      <c r="M2353">
        <v>2.88764897357607</v>
      </c>
      <c r="N2353" s="7">
        <v>0.85577442486231503</v>
      </c>
      <c r="O2353" s="7">
        <v>0.29379464158031998</v>
      </c>
      <c r="P2353" s="7">
        <v>2.57260384945427</v>
      </c>
      <c r="Q2353" s="7">
        <v>4.166666666666667</v>
      </c>
      <c r="U2353">
        <v>1.8518779951569675</v>
      </c>
      <c r="AT2353" s="4" t="s">
        <v>6979</v>
      </c>
    </row>
    <row r="2354" spans="1:46">
      <c r="A2354" s="2">
        <v>1629</v>
      </c>
      <c r="B2354" t="s">
        <v>7489</v>
      </c>
      <c r="C2354" t="s">
        <v>1064</v>
      </c>
      <c r="D2354" t="s">
        <v>3737</v>
      </c>
      <c r="E2354" s="4">
        <v>43465</v>
      </c>
      <c r="F2354" s="11">
        <v>-14.00947875</v>
      </c>
      <c r="G2354" s="11">
        <v>-0.81227437000000002</v>
      </c>
      <c r="H2354" s="11">
        <v>-41.920347700999997</v>
      </c>
      <c r="I2354" s="11">
        <v>90.719872368899999</v>
      </c>
      <c r="J2354" s="11">
        <v>16.630913277499999</v>
      </c>
      <c r="K2354" s="10">
        <v>0.29851119662699999</v>
      </c>
      <c r="L2354" s="12">
        <v>3316308235.1999998</v>
      </c>
      <c r="M2354">
        <v>34.877412689783803</v>
      </c>
      <c r="N2354" s="7">
        <v>2.1664054019048802</v>
      </c>
      <c r="O2354" s="7">
        <v>5.6359691209379701</v>
      </c>
      <c r="P2354" s="7">
        <v>-38.9138771299951</v>
      </c>
      <c r="Q2354" s="7">
        <v>6.4763909426679183</v>
      </c>
      <c r="U2354">
        <v>0.28121865473695307</v>
      </c>
      <c r="AT2354" s="4" t="s">
        <v>4286</v>
      </c>
    </row>
    <row r="2355" spans="1:46">
      <c r="A2355" s="2">
        <v>1595</v>
      </c>
      <c r="B2355" t="s">
        <v>7490</v>
      </c>
      <c r="C2355" t="s">
        <v>1127</v>
      </c>
      <c r="D2355" t="s">
        <v>3713</v>
      </c>
      <c r="E2355" s="4">
        <v>43465</v>
      </c>
      <c r="F2355" s="11">
        <v>-18.228294049999999</v>
      </c>
      <c r="G2355" s="11">
        <v>-0.81799591000000005</v>
      </c>
      <c r="H2355" s="11">
        <v>23.2373800652</v>
      </c>
      <c r="I2355" s="11">
        <v>35.755564158799999</v>
      </c>
      <c r="J2355" s="11">
        <v>13.5477128483</v>
      </c>
      <c r="K2355" s="10">
        <v>0.82276880090899995</v>
      </c>
      <c r="L2355" s="12">
        <v>2685167430.3699999</v>
      </c>
      <c r="M2355">
        <v>28.959307304556202</v>
      </c>
      <c r="N2355" s="7">
        <v>2.9961294273384498</v>
      </c>
      <c r="O2355" s="7">
        <v>3.0057213296409802</v>
      </c>
      <c r="P2355" s="7">
        <v>-762.74515232327497</v>
      </c>
      <c r="Q2355" s="7">
        <v>0.32085561497326204</v>
      </c>
      <c r="U2355">
        <v>0.44315861947455898</v>
      </c>
      <c r="AT2355" s="4" t="s">
        <v>4030</v>
      </c>
    </row>
    <row r="2356" spans="1:46">
      <c r="A2356" s="2">
        <v>1834</v>
      </c>
      <c r="B2356" t="s">
        <v>7491</v>
      </c>
      <c r="C2356" t="s">
        <v>311</v>
      </c>
      <c r="D2356" t="s">
        <v>3752</v>
      </c>
      <c r="E2356" s="4">
        <v>43465</v>
      </c>
      <c r="F2356" s="11">
        <v>-45.530174799999998</v>
      </c>
      <c r="G2356" s="11">
        <v>-0.83905415999999999</v>
      </c>
      <c r="H2356" s="11">
        <v>109.0044610679</v>
      </c>
      <c r="I2356" s="11">
        <v>30.890352706400002</v>
      </c>
      <c r="J2356" s="11">
        <v>10.8676333471</v>
      </c>
      <c r="K2356" s="10">
        <v>0.79640727132300004</v>
      </c>
      <c r="L2356" s="12">
        <v>1954755364.4100001</v>
      </c>
      <c r="M2356">
        <v>24.423598469551699</v>
      </c>
      <c r="N2356" s="7">
        <v>3.3367781866853399</v>
      </c>
      <c r="O2356" s="7">
        <v>1.83792258684272</v>
      </c>
      <c r="P2356" s="7">
        <v>21.966747214388999</v>
      </c>
      <c r="Q2356" s="7">
        <v>1.3761191782945457</v>
      </c>
      <c r="U2356">
        <v>0.49072021234309682</v>
      </c>
      <c r="AT2356" s="4" t="s">
        <v>3828</v>
      </c>
    </row>
    <row r="2357" spans="1:46">
      <c r="A2357" s="2">
        <v>1691</v>
      </c>
      <c r="B2357" t="s">
        <v>7492</v>
      </c>
      <c r="C2357" t="s">
        <v>2401</v>
      </c>
      <c r="D2357" t="s">
        <v>3858</v>
      </c>
      <c r="E2357" s="4">
        <v>43465</v>
      </c>
      <c r="F2357" s="11">
        <v>-80.448330609999999</v>
      </c>
      <c r="G2357" s="11">
        <v>-0.84985836000000003</v>
      </c>
      <c r="H2357" s="11">
        <v>-23.603763597899999</v>
      </c>
      <c r="I2357" s="11">
        <v>16.487539192100002</v>
      </c>
      <c r="J2357" s="11">
        <v>-54.9012770119</v>
      </c>
      <c r="K2357" s="10">
        <v>0.24604161121400001</v>
      </c>
      <c r="L2357" s="12">
        <v>3582416210.5</v>
      </c>
      <c r="M2357">
        <v>239.208539793548</v>
      </c>
      <c r="N2357" s="7">
        <v>2.7516399408933001</v>
      </c>
      <c r="O2357" s="7">
        <v>2.1490646031376999</v>
      </c>
      <c r="P2357" s="7">
        <v>62.439765185618</v>
      </c>
      <c r="Q2357" s="7" t="s">
        <v>3698</v>
      </c>
      <c r="U2357">
        <v>-0.81077361067116682</v>
      </c>
      <c r="AT2357" s="4" t="s">
        <v>5343</v>
      </c>
    </row>
    <row r="2358" spans="1:46">
      <c r="A2358" s="2">
        <v>3117</v>
      </c>
      <c r="B2358" t="s">
        <v>7493</v>
      </c>
      <c r="C2358" t="s">
        <v>3631</v>
      </c>
      <c r="D2358" t="s">
        <v>3761</v>
      </c>
      <c r="E2358" s="4">
        <v>43465</v>
      </c>
      <c r="F2358" s="11">
        <v>-33.536585369999997</v>
      </c>
      <c r="G2358" s="11">
        <v>-0.9009009</v>
      </c>
      <c r="H2358" s="11">
        <v>305.07973275879999</v>
      </c>
      <c r="I2358" s="11">
        <v>20.761964729799999</v>
      </c>
      <c r="J2358" s="11">
        <v>32.383547873600001</v>
      </c>
      <c r="K2358" s="10">
        <v>8.7921367045999996E-2</v>
      </c>
      <c r="L2358" s="12">
        <v>17138253888.5</v>
      </c>
      <c r="M2358">
        <v>-13.489032987212299</v>
      </c>
      <c r="N2358" s="7">
        <v>6.2525507283688198</v>
      </c>
      <c r="O2358" s="7">
        <v>13.9609717591826</v>
      </c>
      <c r="P2358" s="7">
        <v>-38.286229871010299</v>
      </c>
      <c r="Q2358" s="7" t="s">
        <v>3698</v>
      </c>
      <c r="U2358">
        <v>3.0616649308526513E-2</v>
      </c>
      <c r="AT2358" s="4" t="s">
        <v>4087</v>
      </c>
    </row>
    <row r="2359" spans="1:46">
      <c r="A2359" s="2">
        <v>3583</v>
      </c>
      <c r="B2359" t="s">
        <v>7494</v>
      </c>
      <c r="C2359" t="s">
        <v>3580</v>
      </c>
      <c r="D2359" t="s">
        <v>3785</v>
      </c>
      <c r="E2359" s="4">
        <v>43465</v>
      </c>
      <c r="F2359" s="11">
        <v>-7.9590673599999997</v>
      </c>
      <c r="G2359" s="11">
        <v>-1.02857143</v>
      </c>
      <c r="H2359" s="11">
        <v>10.1829066502</v>
      </c>
      <c r="I2359" s="11">
        <v>64.810444947700006</v>
      </c>
      <c r="J2359" s="11">
        <v>12.339049066099999</v>
      </c>
      <c r="K2359" s="10">
        <v>0.93818799454500001</v>
      </c>
      <c r="L2359" s="12">
        <v>8243200000</v>
      </c>
      <c r="M2359">
        <v>18.5676010615556</v>
      </c>
      <c r="N2359" s="7">
        <v>3.1073534800879701</v>
      </c>
      <c r="O2359" s="7">
        <v>2.0916756805673802</v>
      </c>
      <c r="P2359" s="7">
        <v>-24.9103022186689</v>
      </c>
      <c r="Q2359" s="7">
        <v>3.5791757049891535</v>
      </c>
      <c r="U2359">
        <v>1.0068610825416666</v>
      </c>
      <c r="AT2359" s="4" t="s">
        <v>4328</v>
      </c>
    </row>
    <row r="2360" spans="1:46">
      <c r="A2360" s="2">
        <v>2444</v>
      </c>
      <c r="B2360" t="s">
        <v>7495</v>
      </c>
      <c r="C2360" t="s">
        <v>1441</v>
      </c>
      <c r="D2360" t="s">
        <v>3837</v>
      </c>
      <c r="E2360" s="4">
        <v>43465</v>
      </c>
      <c r="F2360" s="11">
        <v>-44.88188976</v>
      </c>
      <c r="G2360" s="11">
        <v>-1.1235955099999999</v>
      </c>
      <c r="H2360" s="11">
        <v>-15.7736813902</v>
      </c>
      <c r="I2360" s="11">
        <v>84.579623102900001</v>
      </c>
      <c r="J2360" s="11">
        <v>28.770553481499999</v>
      </c>
      <c r="K2360" s="10">
        <v>8.8952012999999996E-2</v>
      </c>
      <c r="L2360" s="12">
        <v>19018374400</v>
      </c>
      <c r="M2360">
        <v>-11.076717851325499</v>
      </c>
      <c r="N2360" s="7">
        <v>4.1752762547145004</v>
      </c>
      <c r="O2360" s="7">
        <v>6.0756108822245896</v>
      </c>
      <c r="P2360" s="7">
        <v>-195.885358046455</v>
      </c>
      <c r="Q2360" s="7" t="s">
        <v>3698</v>
      </c>
      <c r="U2360">
        <v>0.1094448201446281</v>
      </c>
      <c r="AT2360" s="4" t="s">
        <v>7496</v>
      </c>
    </row>
    <row r="2361" spans="1:46">
      <c r="A2361" s="2">
        <v>3251</v>
      </c>
      <c r="B2361" t="s">
        <v>7497</v>
      </c>
      <c r="C2361" t="s">
        <v>1148</v>
      </c>
      <c r="D2361" t="s">
        <v>3718</v>
      </c>
      <c r="E2361" s="4">
        <v>43465</v>
      </c>
      <c r="F2361" s="11">
        <v>-35.993689709999998</v>
      </c>
      <c r="G2361" s="11">
        <v>-1.1442582800000001</v>
      </c>
      <c r="H2361" s="11">
        <v>16.761992541800002</v>
      </c>
      <c r="I2361" s="11">
        <v>25.732448463099999</v>
      </c>
      <c r="J2361" s="11">
        <v>4.0487167179999997</v>
      </c>
      <c r="K2361" s="10">
        <v>0.55495661503100002</v>
      </c>
      <c r="L2361" s="12">
        <v>1377067045.2</v>
      </c>
      <c r="M2361">
        <v>32.019993407430903</v>
      </c>
      <c r="N2361" s="7">
        <v>2.4440773014027299</v>
      </c>
      <c r="O2361" s="7">
        <v>2.0262959460149301</v>
      </c>
      <c r="P2361" s="7">
        <v>7.60553441138756</v>
      </c>
      <c r="Q2361" s="7">
        <v>0.7369875633348687</v>
      </c>
      <c r="U2361">
        <v>0.52317827208053691</v>
      </c>
      <c r="AT2361" s="4" t="s">
        <v>7498</v>
      </c>
    </row>
    <row r="2362" spans="1:46">
      <c r="A2362" s="2">
        <v>3014</v>
      </c>
      <c r="B2362" t="s">
        <v>7499</v>
      </c>
      <c r="C2362" t="s">
        <v>2774</v>
      </c>
      <c r="D2362" t="s">
        <v>3718</v>
      </c>
      <c r="E2362" s="4">
        <v>43465</v>
      </c>
      <c r="F2362" s="11">
        <v>-36.987608520000002</v>
      </c>
      <c r="G2362" s="11">
        <v>-1.15606936</v>
      </c>
      <c r="H2362" s="11">
        <v>14.495861961699999</v>
      </c>
      <c r="I2362" s="11">
        <v>14.1448829521</v>
      </c>
      <c r="J2362" s="11">
        <v>1.2337654301000001</v>
      </c>
      <c r="K2362" s="10">
        <v>0.88721783042799995</v>
      </c>
      <c r="L2362" s="12">
        <v>6802828846.4200001</v>
      </c>
      <c r="M2362">
        <v>208.336286311039</v>
      </c>
      <c r="N2362" s="7">
        <v>1.2180182093816201</v>
      </c>
      <c r="O2362" s="7">
        <v>0.81454813075584198</v>
      </c>
      <c r="P2362" s="7">
        <v>18.1085050598329</v>
      </c>
      <c r="Q2362" s="7">
        <v>0.45941807044410415</v>
      </c>
      <c r="U2362">
        <v>0.1044939629115835</v>
      </c>
      <c r="AT2362" s="4" t="s">
        <v>7500</v>
      </c>
    </row>
    <row r="2363" spans="1:46">
      <c r="A2363" s="2">
        <v>2966</v>
      </c>
      <c r="B2363" t="s">
        <v>7501</v>
      </c>
      <c r="C2363" t="s">
        <v>3235</v>
      </c>
      <c r="D2363" t="s">
        <v>4046</v>
      </c>
      <c r="E2363" s="4">
        <v>43465</v>
      </c>
      <c r="F2363" s="11">
        <v>-18.505413449999999</v>
      </c>
      <c r="G2363" s="11">
        <v>-1.1970534100000001</v>
      </c>
      <c r="H2363" s="11">
        <v>2.4252787855000002</v>
      </c>
      <c r="I2363" s="11">
        <v>17.6316994839</v>
      </c>
      <c r="J2363" s="11">
        <v>4.6902861878</v>
      </c>
      <c r="K2363" s="10">
        <v>0.43924679168699998</v>
      </c>
      <c r="L2363" s="12">
        <v>3277634864</v>
      </c>
      <c r="M2363">
        <v>68.030651593456696</v>
      </c>
      <c r="N2363" s="7">
        <v>1.8489643873972099</v>
      </c>
      <c r="O2363" s="7">
        <v>2.0878651229341401</v>
      </c>
      <c r="P2363" s="7">
        <v>-5.1960480210054101</v>
      </c>
      <c r="Q2363" s="7">
        <v>0.70019723865877714</v>
      </c>
      <c r="U2363">
        <v>0.47288133069821781</v>
      </c>
      <c r="AT2363" s="4" t="s">
        <v>7502</v>
      </c>
    </row>
    <row r="2364" spans="1:46">
      <c r="A2364" s="2">
        <v>2756</v>
      </c>
      <c r="B2364" t="s">
        <v>7503</v>
      </c>
      <c r="C2364" t="s">
        <v>571</v>
      </c>
      <c r="D2364" t="s">
        <v>3871</v>
      </c>
      <c r="E2364" s="4">
        <v>43465</v>
      </c>
      <c r="F2364" s="11">
        <v>-13.57696982</v>
      </c>
      <c r="G2364" s="11">
        <v>-1.1990407700000001</v>
      </c>
      <c r="H2364" s="11">
        <v>28.267660792400001</v>
      </c>
      <c r="I2364" s="11">
        <v>32.472690359600001</v>
      </c>
      <c r="J2364" s="11">
        <v>11.4085086722</v>
      </c>
      <c r="K2364" s="10">
        <v>0.26702721418000003</v>
      </c>
      <c r="L2364" s="12">
        <v>8341851474.2399998</v>
      </c>
      <c r="M2364">
        <v>9.1621369274991906</v>
      </c>
      <c r="N2364" s="7">
        <v>1.2106194886425801</v>
      </c>
      <c r="O2364" s="7">
        <v>0.50105300638843098</v>
      </c>
      <c r="P2364" s="7">
        <v>1.6124207563269899</v>
      </c>
      <c r="Q2364" s="7">
        <v>4.8076923076923084</v>
      </c>
      <c r="U2364">
        <v>0.483086657033447</v>
      </c>
      <c r="AT2364" s="4" t="s">
        <v>4869</v>
      </c>
    </row>
    <row r="2365" spans="1:46">
      <c r="A2365" s="2">
        <v>2012</v>
      </c>
      <c r="B2365" t="s">
        <v>7504</v>
      </c>
      <c r="C2365" t="s">
        <v>3392</v>
      </c>
      <c r="D2365" t="s">
        <v>3728</v>
      </c>
      <c r="E2365" s="4">
        <v>43465</v>
      </c>
      <c r="F2365" s="11">
        <v>-38.095238100000003</v>
      </c>
      <c r="G2365" s="11">
        <v>-1.2152777800000001</v>
      </c>
      <c r="H2365" s="11">
        <v>14.7739156583</v>
      </c>
      <c r="I2365" s="11">
        <v>33.543481877700003</v>
      </c>
      <c r="J2365" s="11">
        <v>6.1637243919999998</v>
      </c>
      <c r="K2365" s="10">
        <v>0.65137053867299999</v>
      </c>
      <c r="L2365" s="12">
        <v>7645130003</v>
      </c>
      <c r="M2365">
        <v>74.374298865476106</v>
      </c>
      <c r="N2365" s="7">
        <v>4.1745902229791296</v>
      </c>
      <c r="O2365" s="7">
        <v>2.6896692213222702</v>
      </c>
      <c r="P2365" s="7">
        <v>-20.984638904876601</v>
      </c>
      <c r="Q2365" s="7" t="s">
        <v>3698</v>
      </c>
      <c r="U2365">
        <v>0.12114506766025641</v>
      </c>
      <c r="AT2365" s="4" t="s">
        <v>5691</v>
      </c>
    </row>
    <row r="2366" spans="1:46">
      <c r="A2366" s="2">
        <v>3238</v>
      </c>
      <c r="B2366" t="s">
        <v>7505</v>
      </c>
      <c r="C2366" t="s">
        <v>2273</v>
      </c>
      <c r="D2366" t="s">
        <v>3713</v>
      </c>
      <c r="E2366" s="4">
        <v>43465</v>
      </c>
      <c r="F2366" s="11">
        <v>-47.452739029999996</v>
      </c>
      <c r="G2366" s="11">
        <v>-1.2361743700000001</v>
      </c>
      <c r="H2366" s="11">
        <v>-8.3770026467999994</v>
      </c>
      <c r="I2366" s="11">
        <v>23.866079016800001</v>
      </c>
      <c r="J2366" s="11">
        <v>-10.3026036702</v>
      </c>
      <c r="K2366" s="10">
        <v>0.56673200016199998</v>
      </c>
      <c r="L2366" s="12">
        <v>1678024172</v>
      </c>
      <c r="M2366">
        <v>347.08310435625498</v>
      </c>
      <c r="N2366" s="7">
        <v>3.19372234168616</v>
      </c>
      <c r="O2366" s="7">
        <v>1.73480878295985</v>
      </c>
      <c r="P2366" s="7">
        <v>37.557086637185897</v>
      </c>
      <c r="Q2366" s="7" t="s">
        <v>3698</v>
      </c>
      <c r="U2366">
        <v>-0.79572799415879425</v>
      </c>
      <c r="AT2366" s="4" t="s">
        <v>5278</v>
      </c>
    </row>
    <row r="2367" spans="1:46">
      <c r="A2367" s="2">
        <v>2971</v>
      </c>
      <c r="B2367" t="s">
        <v>7506</v>
      </c>
      <c r="C2367" t="s">
        <v>2101</v>
      </c>
      <c r="D2367" t="s">
        <v>3721</v>
      </c>
      <c r="E2367" s="4">
        <v>43465</v>
      </c>
      <c r="F2367" s="11">
        <v>-33.949579829999998</v>
      </c>
      <c r="G2367" s="11">
        <v>-1.24069479</v>
      </c>
      <c r="H2367" s="11">
        <v>19.965563593799999</v>
      </c>
      <c r="I2367" s="11">
        <v>2.9605498613000001</v>
      </c>
      <c r="J2367" s="11">
        <v>-22.6416128161</v>
      </c>
      <c r="K2367" s="10">
        <v>0.90847505693599995</v>
      </c>
      <c r="L2367" s="12">
        <v>20134743180</v>
      </c>
      <c r="M2367">
        <v>-26.673550648339599</v>
      </c>
      <c r="N2367" s="7">
        <v>-5.5622927478073896</v>
      </c>
      <c r="O2367" s="7">
        <v>0.65037946529843604</v>
      </c>
      <c r="P2367" s="7">
        <v>-27.807713045676099</v>
      </c>
      <c r="Q2367" s="7" t="s">
        <v>3698</v>
      </c>
      <c r="U2367">
        <v>-1.5124298921978925</v>
      </c>
      <c r="AT2367" s="4" t="s">
        <v>7507</v>
      </c>
    </row>
    <row r="2368" spans="1:46">
      <c r="A2368" s="2">
        <v>1099</v>
      </c>
      <c r="B2368" t="s">
        <v>7508</v>
      </c>
      <c r="C2368" t="s">
        <v>1540</v>
      </c>
      <c r="D2368" t="s">
        <v>3752</v>
      </c>
      <c r="E2368" s="4">
        <v>43465</v>
      </c>
      <c r="F2368" s="11">
        <v>-40.80599101</v>
      </c>
      <c r="G2368" s="11">
        <v>-1.28534704</v>
      </c>
      <c r="H2368" s="11">
        <v>8.0674975058000005</v>
      </c>
      <c r="I2368" s="11">
        <v>17.787704503699999</v>
      </c>
      <c r="J2368" s="11">
        <v>3.3428279052000001</v>
      </c>
      <c r="K2368" s="10">
        <v>0.77398929182200005</v>
      </c>
      <c r="L2368" s="12">
        <v>5485677699.8400002</v>
      </c>
      <c r="M2368">
        <v>27.883535395345</v>
      </c>
      <c r="N2368" s="7">
        <v>1.0476780453541299</v>
      </c>
      <c r="O2368" s="7">
        <v>0.80016876750622201</v>
      </c>
      <c r="P2368" s="7">
        <v>-627.17257728498896</v>
      </c>
      <c r="Q2368" s="7">
        <v>0.5181347150259068</v>
      </c>
      <c r="U2368">
        <v>0.1658470788168909</v>
      </c>
      <c r="AT2368" s="4" t="s">
        <v>4505</v>
      </c>
    </row>
    <row r="2369" spans="1:46">
      <c r="A2369" s="2">
        <v>1062</v>
      </c>
      <c r="B2369" t="s">
        <v>7509</v>
      </c>
      <c r="C2369" t="s">
        <v>1108</v>
      </c>
      <c r="D2369" t="s">
        <v>3737</v>
      </c>
      <c r="E2369" s="4">
        <v>43465</v>
      </c>
      <c r="F2369" s="11">
        <v>-48.644435229999999</v>
      </c>
      <c r="G2369" s="11">
        <v>-1.30434783</v>
      </c>
      <c r="H2369" s="11">
        <v>-18.741556618499999</v>
      </c>
      <c r="I2369" s="11">
        <v>24.654577781099999</v>
      </c>
      <c r="J2369" s="11">
        <v>8.2625389464999994</v>
      </c>
      <c r="K2369" s="10">
        <v>0.38750737698600002</v>
      </c>
      <c r="L2369" s="12">
        <v>9484091449.8600006</v>
      </c>
      <c r="M2369">
        <v>28.691076977513202</v>
      </c>
      <c r="N2369" s="7">
        <v>1.49554672182335</v>
      </c>
      <c r="O2369" s="7">
        <v>1.76399338564431</v>
      </c>
      <c r="P2369" s="7">
        <v>43.272281962644598</v>
      </c>
      <c r="Q2369" s="7">
        <v>1.1184991581000792</v>
      </c>
      <c r="U2369">
        <v>0.13841661907449482</v>
      </c>
      <c r="AT2369" s="4" t="s">
        <v>3719</v>
      </c>
    </row>
    <row r="2370" spans="1:46">
      <c r="A2370" s="2">
        <v>1371</v>
      </c>
      <c r="B2370" t="s">
        <v>7510</v>
      </c>
      <c r="C2370" t="s">
        <v>1131</v>
      </c>
      <c r="D2370" t="s">
        <v>3718</v>
      </c>
      <c r="E2370" s="4">
        <v>43465</v>
      </c>
      <c r="F2370" s="11">
        <v>-5.0454639999999999</v>
      </c>
      <c r="G2370" s="11">
        <v>-1.38817481</v>
      </c>
      <c r="H2370" s="11">
        <v>21.0430779902</v>
      </c>
      <c r="I2370" s="11">
        <v>38.009027895400003</v>
      </c>
      <c r="J2370" s="11">
        <v>22.405351143299999</v>
      </c>
      <c r="K2370" s="10">
        <v>0.478191286504</v>
      </c>
      <c r="L2370" s="12">
        <v>8953434452.75</v>
      </c>
      <c r="M2370">
        <v>44.582154134072198</v>
      </c>
      <c r="N2370" s="7">
        <v>3.7189407877205398</v>
      </c>
      <c r="O2370" s="7">
        <v>7.17943486648754</v>
      </c>
      <c r="P2370" s="7">
        <v>42.031178425997098</v>
      </c>
      <c r="Q2370" s="7">
        <v>1.0712372790573113</v>
      </c>
      <c r="U2370">
        <v>0.66540252831029101</v>
      </c>
      <c r="AT2370" s="4" t="s">
        <v>6414</v>
      </c>
    </row>
    <row r="2371" spans="1:46">
      <c r="A2371" s="2">
        <v>1161</v>
      </c>
      <c r="B2371" t="s">
        <v>7511</v>
      </c>
      <c r="C2371" t="s">
        <v>1007</v>
      </c>
      <c r="D2371" t="s">
        <v>3785</v>
      </c>
      <c r="E2371" s="4">
        <v>43465</v>
      </c>
      <c r="F2371" s="11">
        <v>-49.291784700000001</v>
      </c>
      <c r="G2371" s="11">
        <v>-1.38888889</v>
      </c>
      <c r="H2371" s="11">
        <v>-5.4356389748999998</v>
      </c>
      <c r="I2371" s="11">
        <v>26.228900145000001</v>
      </c>
      <c r="J2371" s="11">
        <v>6.4502635831999999</v>
      </c>
      <c r="K2371" s="10">
        <v>0.65061546370099999</v>
      </c>
      <c r="L2371" s="12">
        <v>1703915532</v>
      </c>
      <c r="M2371">
        <v>31.5300596158046</v>
      </c>
      <c r="N2371" s="7">
        <v>1.90733125783241</v>
      </c>
      <c r="O2371" s="7">
        <v>2.2485421707976201</v>
      </c>
      <c r="P2371" s="7">
        <v>-1995.80682295476</v>
      </c>
      <c r="Q2371" s="7" t="s">
        <v>3698</v>
      </c>
      <c r="U2371">
        <v>0.10013665212673611</v>
      </c>
      <c r="AT2371" s="4" t="s">
        <v>5145</v>
      </c>
    </row>
    <row r="2372" spans="1:46">
      <c r="A2372" s="2">
        <v>1749</v>
      </c>
      <c r="B2372" t="s">
        <v>7512</v>
      </c>
      <c r="C2372" t="s">
        <v>983</v>
      </c>
      <c r="D2372" t="s">
        <v>3713</v>
      </c>
      <c r="E2372" s="4">
        <v>43465</v>
      </c>
      <c r="F2372" s="11">
        <v>-42.113403460000001</v>
      </c>
      <c r="G2372" s="11">
        <v>-1.4260249599999999</v>
      </c>
      <c r="H2372" s="11">
        <v>16.9238310677</v>
      </c>
      <c r="I2372" s="11">
        <v>34.201380254599997</v>
      </c>
      <c r="J2372" s="11">
        <v>1.8082072402</v>
      </c>
      <c r="K2372" s="10">
        <v>0.48052358657100003</v>
      </c>
      <c r="L2372" s="12">
        <v>2442240000</v>
      </c>
      <c r="M2372">
        <v>21.7116091508945</v>
      </c>
      <c r="N2372" s="7">
        <v>2.9892577507073401</v>
      </c>
      <c r="O2372" s="7">
        <v>2.5577472156762999</v>
      </c>
      <c r="P2372" s="7">
        <v>-11.188513467103199</v>
      </c>
      <c r="Q2372" s="7" t="s">
        <v>3698</v>
      </c>
      <c r="U2372">
        <v>2.4485982507244951E-2</v>
      </c>
      <c r="AT2372" s="4" t="s">
        <v>3945</v>
      </c>
    </row>
    <row r="2373" spans="1:46">
      <c r="A2373" s="2">
        <v>2535</v>
      </c>
      <c r="B2373" t="s">
        <v>7513</v>
      </c>
      <c r="C2373" t="s">
        <v>2498</v>
      </c>
      <c r="D2373" t="s">
        <v>3785</v>
      </c>
      <c r="E2373" s="4">
        <v>43465</v>
      </c>
      <c r="F2373" s="11">
        <v>-14.06327125</v>
      </c>
      <c r="G2373" s="11">
        <v>-1.4571949</v>
      </c>
      <c r="H2373" s="11">
        <v>21.803998375799999</v>
      </c>
      <c r="I2373" s="11">
        <v>33.056979671100002</v>
      </c>
      <c r="J2373" s="11">
        <v>2.4979574457</v>
      </c>
      <c r="K2373" s="10">
        <v>0.70656739009400005</v>
      </c>
      <c r="L2373" s="12">
        <v>4697738444.04</v>
      </c>
      <c r="M2373">
        <v>314.35598004209299</v>
      </c>
      <c r="N2373" s="7">
        <v>2.5038936688150799</v>
      </c>
      <c r="O2373" s="7">
        <v>1.15659122908867</v>
      </c>
      <c r="P2373" s="7">
        <v>37.527663891607403</v>
      </c>
      <c r="Q2373" s="7">
        <v>0.71705426356589141</v>
      </c>
      <c r="U2373">
        <v>0.12043180758799162</v>
      </c>
      <c r="AT2373" s="4" t="s">
        <v>7514</v>
      </c>
    </row>
    <row r="2374" spans="1:46">
      <c r="A2374" s="2">
        <v>2920</v>
      </c>
      <c r="B2374" t="s">
        <v>7515</v>
      </c>
      <c r="C2374" t="s">
        <v>2814</v>
      </c>
      <c r="D2374" t="s">
        <v>3761</v>
      </c>
      <c r="E2374" s="4">
        <v>43465</v>
      </c>
      <c r="F2374" s="11">
        <v>-27.896440129999998</v>
      </c>
      <c r="G2374" s="11">
        <v>-1.4769765399999999</v>
      </c>
      <c r="H2374" s="11">
        <v>28.324487251200001</v>
      </c>
      <c r="I2374" s="11">
        <v>11.0746233568</v>
      </c>
      <c r="J2374" s="11">
        <v>-26.923305341300001</v>
      </c>
      <c r="K2374" s="10">
        <v>0.72336082561799997</v>
      </c>
      <c r="L2374" s="12">
        <v>16358147430.48</v>
      </c>
      <c r="M2374">
        <v>-182.05711249640001</v>
      </c>
      <c r="N2374" s="7">
        <v>2.5869367765540701</v>
      </c>
      <c r="O2374" s="7">
        <v>3.23450272082099</v>
      </c>
      <c r="P2374" s="7">
        <v>-2502.1373633210301</v>
      </c>
      <c r="Q2374" s="7" t="s">
        <v>3698</v>
      </c>
      <c r="U2374">
        <v>-1.0203059528049925</v>
      </c>
      <c r="AT2374" s="4" t="s">
        <v>4537</v>
      </c>
    </row>
    <row r="2375" spans="1:46">
      <c r="A2375" s="2">
        <v>959</v>
      </c>
      <c r="B2375" t="s">
        <v>7516</v>
      </c>
      <c r="C2375" t="s">
        <v>1334</v>
      </c>
      <c r="D2375" t="s">
        <v>3849</v>
      </c>
      <c r="E2375" s="4">
        <v>43465</v>
      </c>
      <c r="F2375" s="11">
        <v>-38.474383119999999</v>
      </c>
      <c r="G2375" s="11">
        <v>-1.4869888499999999</v>
      </c>
      <c r="H2375" s="11">
        <v>6.1453125652000002</v>
      </c>
      <c r="I2375" s="11">
        <v>39.957421023499997</v>
      </c>
      <c r="J2375" s="11">
        <v>17.5316772937</v>
      </c>
      <c r="K2375" s="10">
        <v>0.40075043860499998</v>
      </c>
      <c r="L2375" s="12">
        <v>5293504129.2799997</v>
      </c>
      <c r="M2375">
        <v>12.7954659476698</v>
      </c>
      <c r="N2375" s="7">
        <v>1.54221876972281</v>
      </c>
      <c r="O2375" s="7">
        <v>2.0392536864028998</v>
      </c>
      <c r="P2375" s="7">
        <v>-7.1414674203810504</v>
      </c>
      <c r="Q2375" s="7">
        <v>1.9888741704165598</v>
      </c>
      <c r="U2375">
        <v>0.4630934325954808</v>
      </c>
      <c r="AT2375" s="4" t="s">
        <v>5610</v>
      </c>
    </row>
    <row r="2376" spans="1:46">
      <c r="A2376" s="2">
        <v>2567</v>
      </c>
      <c r="B2376" t="s">
        <v>7517</v>
      </c>
      <c r="C2376" t="s">
        <v>3394</v>
      </c>
      <c r="D2376" t="s">
        <v>3718</v>
      </c>
      <c r="E2376" s="4">
        <v>43465</v>
      </c>
      <c r="F2376" s="11">
        <v>-13.25719307</v>
      </c>
      <c r="G2376" s="11">
        <v>-1.5015015</v>
      </c>
      <c r="H2376" s="11">
        <v>45.783072396100003</v>
      </c>
      <c r="I2376" s="11">
        <v>29.150277382100001</v>
      </c>
      <c r="J2376" s="11">
        <v>10.226888414599999</v>
      </c>
      <c r="K2376" s="10">
        <v>0.64711539520700001</v>
      </c>
      <c r="L2376" s="12">
        <v>8566124138.9099998</v>
      </c>
      <c r="M2376">
        <v>37.4288572412595</v>
      </c>
      <c r="N2376" s="7">
        <v>2.42474057865111</v>
      </c>
      <c r="O2376" s="7">
        <v>2.3245830727615799</v>
      </c>
      <c r="P2376" s="7">
        <v>-37.966591192753299</v>
      </c>
      <c r="Q2376" s="7">
        <v>3.7976075122623603</v>
      </c>
      <c r="U2376">
        <v>0.15379139869529362</v>
      </c>
      <c r="AT2376" s="4" t="s">
        <v>7518</v>
      </c>
    </row>
    <row r="2377" spans="1:46">
      <c r="A2377" s="2">
        <v>1428</v>
      </c>
      <c r="B2377" t="s">
        <v>7519</v>
      </c>
      <c r="C2377" t="s">
        <v>3360</v>
      </c>
      <c r="D2377" t="s">
        <v>3713</v>
      </c>
      <c r="E2377" s="4">
        <v>43465</v>
      </c>
      <c r="F2377" s="11">
        <v>-46.601146620000002</v>
      </c>
      <c r="G2377" s="11">
        <v>-1.5151515200000001</v>
      </c>
      <c r="H2377" s="11">
        <v>-0.34754539140000001</v>
      </c>
      <c r="I2377" s="11">
        <v>71.218917808300006</v>
      </c>
      <c r="J2377" s="11">
        <v>3.9041739858</v>
      </c>
      <c r="K2377" s="10">
        <v>0.29786348942800001</v>
      </c>
      <c r="L2377" s="12">
        <v>6223642104.8999996</v>
      </c>
      <c r="M2377">
        <v>3198.6126083243598</v>
      </c>
      <c r="N2377" s="7">
        <v>2.02220343656768</v>
      </c>
      <c r="O2377" s="7">
        <v>4.5470778503034097</v>
      </c>
      <c r="P2377" s="7">
        <v>70.388391482707803</v>
      </c>
      <c r="Q2377" s="7" t="s">
        <v>3698</v>
      </c>
      <c r="U2377">
        <v>4.0919848214524136E-2</v>
      </c>
      <c r="AT2377" s="4" t="s">
        <v>3770</v>
      </c>
    </row>
    <row r="2378" spans="1:46">
      <c r="A2378" s="2">
        <v>2270</v>
      </c>
      <c r="B2378" t="s">
        <v>7520</v>
      </c>
      <c r="C2378" t="s">
        <v>1321</v>
      </c>
      <c r="D2378" t="s">
        <v>3778</v>
      </c>
      <c r="E2378" s="4">
        <v>43465</v>
      </c>
      <c r="F2378" s="11">
        <v>-24.656253169999999</v>
      </c>
      <c r="G2378" s="11">
        <v>-1.5337423299999999</v>
      </c>
      <c r="H2378" s="11">
        <v>12.7244244194</v>
      </c>
      <c r="I2378" s="11">
        <v>42.4593064695</v>
      </c>
      <c r="J2378" s="11">
        <v>10.810397656499999</v>
      </c>
      <c r="K2378" s="10">
        <v>0.36394703569999998</v>
      </c>
      <c r="L2378" s="12">
        <v>5491153010.0699997</v>
      </c>
      <c r="M2378">
        <v>7.5158193692845403</v>
      </c>
      <c r="N2378" s="7">
        <v>0.73165199015473603</v>
      </c>
      <c r="O2378" s="7">
        <v>0.93675193803950196</v>
      </c>
      <c r="P2378" s="7">
        <v>-3.2207713213079998</v>
      </c>
      <c r="Q2378" s="7">
        <v>4.8701298701298708</v>
      </c>
      <c r="U2378">
        <v>0.94598379523809528</v>
      </c>
      <c r="AT2378" s="4" t="s">
        <v>7521</v>
      </c>
    </row>
    <row r="2379" spans="1:46">
      <c r="A2379" s="2">
        <v>2283</v>
      </c>
      <c r="B2379" t="s">
        <v>7522</v>
      </c>
      <c r="C2379" t="s">
        <v>1553</v>
      </c>
      <c r="D2379" t="s">
        <v>3832</v>
      </c>
      <c r="E2379" s="4">
        <v>43465</v>
      </c>
      <c r="F2379" s="11">
        <v>-38.647499510000003</v>
      </c>
      <c r="G2379" s="11">
        <v>-1.5515903799999999</v>
      </c>
      <c r="H2379" s="11">
        <v>11.3000723626</v>
      </c>
      <c r="I2379" s="11">
        <v>25.299123358599999</v>
      </c>
      <c r="J2379" s="11">
        <v>7.4834269437999996</v>
      </c>
      <c r="K2379" s="10">
        <v>0.888267926529</v>
      </c>
      <c r="L2379" s="12">
        <v>6573354000</v>
      </c>
      <c r="M2379">
        <v>18.368281031835899</v>
      </c>
      <c r="N2379" s="7">
        <v>1.5365976880577299</v>
      </c>
      <c r="O2379" s="7">
        <v>0.76246602362705096</v>
      </c>
      <c r="P2379" s="7">
        <v>-32.147255225898398</v>
      </c>
      <c r="Q2379" s="7">
        <v>1.1965811965811963</v>
      </c>
      <c r="U2379">
        <v>0.82535003775696292</v>
      </c>
      <c r="AT2379" s="4" t="s">
        <v>7523</v>
      </c>
    </row>
    <row r="2380" spans="1:46">
      <c r="A2380" s="2">
        <v>1850</v>
      </c>
      <c r="B2380" t="s">
        <v>7524</v>
      </c>
      <c r="C2380" t="s">
        <v>2473</v>
      </c>
      <c r="D2380" t="s">
        <v>3764</v>
      </c>
      <c r="E2380" s="4">
        <v>43465</v>
      </c>
      <c r="F2380" s="11">
        <v>-25.14322246</v>
      </c>
      <c r="G2380" s="11">
        <v>-1.57657658</v>
      </c>
      <c r="H2380" s="11">
        <v>46.173882611499998</v>
      </c>
      <c r="I2380" s="11">
        <v>41.215613158399997</v>
      </c>
      <c r="J2380" s="11">
        <v>12.274320472399999</v>
      </c>
      <c r="K2380" s="10">
        <v>0.40391582103500001</v>
      </c>
      <c r="L2380" s="12">
        <v>4250400000</v>
      </c>
      <c r="M2380">
        <v>23.026808044742101</v>
      </c>
      <c r="N2380" s="7">
        <v>2.13528981738401</v>
      </c>
      <c r="O2380" s="7">
        <v>3.1833026853503101</v>
      </c>
      <c r="P2380" s="7">
        <v>-24.806369702347499</v>
      </c>
      <c r="Q2380" s="7">
        <v>1.1530622119815668</v>
      </c>
      <c r="U2380">
        <v>0.20286945649075608</v>
      </c>
      <c r="AT2380" s="4" t="s">
        <v>6337</v>
      </c>
    </row>
    <row r="2381" spans="1:46">
      <c r="A2381" s="2">
        <v>2238</v>
      </c>
      <c r="B2381" t="s">
        <v>7525</v>
      </c>
      <c r="C2381" t="s">
        <v>3273</v>
      </c>
      <c r="D2381" t="s">
        <v>3752</v>
      </c>
      <c r="E2381" s="4">
        <v>43465</v>
      </c>
      <c r="F2381" s="11">
        <v>-34.446397189999999</v>
      </c>
      <c r="G2381" s="11">
        <v>-1.5789473700000001</v>
      </c>
      <c r="H2381" s="11">
        <v>-14.0932567692</v>
      </c>
      <c r="I2381" s="11">
        <v>6.7828605522999998</v>
      </c>
      <c r="J2381" s="11">
        <v>7.2286275331000001</v>
      </c>
      <c r="K2381" s="10">
        <v>4.7181253797999999E-2</v>
      </c>
      <c r="L2381" s="12">
        <v>3593551003</v>
      </c>
      <c r="M2381">
        <v>-25.3596412269168</v>
      </c>
      <c r="N2381" s="7">
        <v>1.8488926616405901</v>
      </c>
      <c r="O2381" s="7">
        <v>23.164491674780599</v>
      </c>
      <c r="P2381" s="7">
        <v>-63.027781815638299</v>
      </c>
      <c r="Q2381" s="7" t="s">
        <v>3698</v>
      </c>
      <c r="U2381">
        <v>9.2956368117159804E-3</v>
      </c>
      <c r="AT2381" s="4" t="s">
        <v>6072</v>
      </c>
    </row>
    <row r="2382" spans="1:46">
      <c r="A2382" s="2">
        <v>188</v>
      </c>
      <c r="B2382" t="s">
        <v>7526</v>
      </c>
      <c r="C2382" t="s">
        <v>1572</v>
      </c>
      <c r="D2382" t="s">
        <v>3718</v>
      </c>
      <c r="E2382" s="4">
        <v>43465</v>
      </c>
      <c r="F2382" s="11">
        <v>-57.257220179999997</v>
      </c>
      <c r="G2382" s="11">
        <v>-1.5923566899999999</v>
      </c>
      <c r="H2382" s="11">
        <v>51.599222689999998</v>
      </c>
      <c r="I2382" s="11">
        <v>32.193856272799998</v>
      </c>
      <c r="J2382" s="11">
        <v>5.0095040801000001</v>
      </c>
      <c r="K2382" s="10">
        <v>0.58323672601999998</v>
      </c>
      <c r="L2382" s="12">
        <v>1812585000</v>
      </c>
      <c r="M2382">
        <v>58.913758450216498</v>
      </c>
      <c r="N2382" s="7">
        <v>5.1120942364800097</v>
      </c>
      <c r="O2382" s="7">
        <v>1.58020485182002</v>
      </c>
      <c r="P2382" s="7">
        <v>13.603726203744699</v>
      </c>
      <c r="Q2382" s="7">
        <v>0.33898305084745761</v>
      </c>
      <c r="U2382">
        <v>0.19622411206805213</v>
      </c>
      <c r="AT2382" s="4" t="s">
        <v>7527</v>
      </c>
    </row>
    <row r="2383" spans="1:46">
      <c r="A2383" s="2">
        <v>2796</v>
      </c>
      <c r="B2383" t="s">
        <v>7528</v>
      </c>
      <c r="C2383" t="s">
        <v>1112</v>
      </c>
      <c r="D2383" t="s">
        <v>3811</v>
      </c>
      <c r="E2383" s="4">
        <v>43465</v>
      </c>
      <c r="F2383" s="11">
        <v>-21.482779820000001</v>
      </c>
      <c r="G2383" s="11">
        <v>-1.61030596</v>
      </c>
      <c r="H2383" s="11">
        <v>-1.3505215590999999</v>
      </c>
      <c r="I2383" s="11">
        <v>23.850625002099999</v>
      </c>
      <c r="J2383" s="11">
        <v>4.7035230791</v>
      </c>
      <c r="K2383" s="10">
        <v>1.4754398140630001</v>
      </c>
      <c r="L2383" s="12">
        <v>1681317400</v>
      </c>
      <c r="M2383">
        <v>12.741519468248001</v>
      </c>
      <c r="N2383" s="7">
        <v>1.02640641542682</v>
      </c>
      <c r="O2383" s="7">
        <v>0.40313900858755097</v>
      </c>
      <c r="P2383" s="7">
        <v>40.714714853695</v>
      </c>
      <c r="Q2383" s="7">
        <v>2.8911564625850339</v>
      </c>
      <c r="U2383">
        <v>0.55283060297330666</v>
      </c>
      <c r="AT2383" s="4" t="s">
        <v>4101</v>
      </c>
    </row>
    <row r="2384" spans="1:46">
      <c r="A2384" s="2">
        <v>1352</v>
      </c>
      <c r="B2384" t="s">
        <v>7529</v>
      </c>
      <c r="C2384" t="s">
        <v>1491</v>
      </c>
      <c r="D2384" t="s">
        <v>3761</v>
      </c>
      <c r="E2384" s="4">
        <v>43465</v>
      </c>
      <c r="F2384" s="11">
        <v>36.891679099999998</v>
      </c>
      <c r="G2384" s="11">
        <v>-1.6509434000000001</v>
      </c>
      <c r="H2384" s="11">
        <v>60.169675331900002</v>
      </c>
      <c r="I2384" s="11">
        <v>29.485539466500001</v>
      </c>
      <c r="J2384" s="11">
        <v>10.7607302509</v>
      </c>
      <c r="K2384" s="10">
        <v>0.87309361120499995</v>
      </c>
      <c r="L2384" s="12">
        <v>48776627676</v>
      </c>
      <c r="M2384">
        <v>51.334918051801303</v>
      </c>
      <c r="N2384" s="7">
        <v>4.1467092343522003</v>
      </c>
      <c r="O2384" s="7">
        <v>3.1879048648931501</v>
      </c>
      <c r="P2384" s="7">
        <v>773.28893477671795</v>
      </c>
      <c r="Q2384" s="7">
        <v>0.44765840220385678</v>
      </c>
      <c r="U2384">
        <v>0.64574421438935758</v>
      </c>
      <c r="AT2384" s="4" t="s">
        <v>6764</v>
      </c>
    </row>
    <row r="2385" spans="1:46">
      <c r="A2385" s="2">
        <v>380</v>
      </c>
      <c r="B2385" t="s">
        <v>7530</v>
      </c>
      <c r="C2385" t="s">
        <v>264</v>
      </c>
      <c r="D2385" t="s">
        <v>3842</v>
      </c>
      <c r="E2385" s="4">
        <v>43465</v>
      </c>
      <c r="F2385" s="11">
        <v>-12.01966007</v>
      </c>
      <c r="G2385" s="11">
        <v>-1.6908212600000001</v>
      </c>
      <c r="H2385" s="11">
        <v>7.6064348034</v>
      </c>
      <c r="I2385" s="11">
        <v>16.052309357199999</v>
      </c>
      <c r="J2385" s="11">
        <v>6.7306143162999996</v>
      </c>
      <c r="K2385" s="10">
        <v>0.99708081250900005</v>
      </c>
      <c r="L2385" s="12">
        <v>3355722514.4099998</v>
      </c>
      <c r="M2385">
        <v>3.5716482060114201</v>
      </c>
      <c r="N2385" s="7">
        <v>0.77413275875618104</v>
      </c>
      <c r="O2385" s="7">
        <v>0.324619140364034</v>
      </c>
      <c r="P2385" s="7">
        <v>-1613.5506536064599</v>
      </c>
      <c r="Q2385" s="7">
        <v>2.5445292620865141</v>
      </c>
      <c r="U2385">
        <v>0.87378029960268255</v>
      </c>
      <c r="AT2385" s="4" t="s">
        <v>4493</v>
      </c>
    </row>
    <row r="2386" spans="1:46">
      <c r="A2386" s="2">
        <v>2566</v>
      </c>
      <c r="B2386" t="s">
        <v>7531</v>
      </c>
      <c r="C2386" t="s">
        <v>1543</v>
      </c>
      <c r="D2386" t="s">
        <v>3849</v>
      </c>
      <c r="E2386" s="4">
        <v>43465</v>
      </c>
      <c r="F2386" s="11">
        <v>-47.714512239999998</v>
      </c>
      <c r="G2386" s="11">
        <v>-1.7038007900000001</v>
      </c>
      <c r="H2386" s="11">
        <v>3.4350266069000002</v>
      </c>
      <c r="I2386" s="11">
        <v>19.063975742499998</v>
      </c>
      <c r="J2386" s="11">
        <v>4.5245270583000003</v>
      </c>
      <c r="K2386" s="10">
        <v>0.97526623316000005</v>
      </c>
      <c r="L2386" s="12">
        <v>1784640000</v>
      </c>
      <c r="M2386">
        <v>17.393854405397299</v>
      </c>
      <c r="N2386" s="7">
        <v>0.87743207928645095</v>
      </c>
      <c r="O2386" s="7">
        <v>0.27973991467665299</v>
      </c>
      <c r="P2386" s="7">
        <v>17.476910733566001</v>
      </c>
      <c r="Q2386" s="7" t="s">
        <v>3698</v>
      </c>
      <c r="U2386">
        <v>0.59779466980980722</v>
      </c>
      <c r="AT2386" s="4" t="s">
        <v>7532</v>
      </c>
    </row>
    <row r="2387" spans="1:46">
      <c r="A2387" s="2">
        <v>1400</v>
      </c>
      <c r="B2387" t="s">
        <v>7533</v>
      </c>
      <c r="C2387" t="s">
        <v>2461</v>
      </c>
      <c r="D2387" t="s">
        <v>3721</v>
      </c>
      <c r="E2387" s="4">
        <v>43465</v>
      </c>
      <c r="F2387" s="11">
        <v>-17.719446250000001</v>
      </c>
      <c r="G2387" s="11">
        <v>-1.7751479299999999</v>
      </c>
      <c r="H2387" s="11">
        <v>6.2641102084</v>
      </c>
      <c r="I2387" s="11">
        <v>13.7585603255</v>
      </c>
      <c r="J2387" s="11">
        <v>1.5827965769000001</v>
      </c>
      <c r="K2387" s="10">
        <v>0.92290933201699998</v>
      </c>
      <c r="L2387" s="12">
        <v>2074000000</v>
      </c>
      <c r="M2387">
        <v>128.94992151705401</v>
      </c>
      <c r="N2387" s="7">
        <v>3.1564142510992999</v>
      </c>
      <c r="O2387" s="7">
        <v>2.1267627929647999</v>
      </c>
      <c r="P2387" s="7">
        <v>-9.1352545905559399</v>
      </c>
      <c r="Q2387" s="7">
        <v>0.15686274509803921</v>
      </c>
      <c r="U2387">
        <v>0.18397170835714288</v>
      </c>
      <c r="AT2387" s="4" t="s">
        <v>6899</v>
      </c>
    </row>
    <row r="2388" spans="1:46">
      <c r="A2388" s="2">
        <v>2200</v>
      </c>
      <c r="B2388" t="s">
        <v>7534</v>
      </c>
      <c r="C2388" t="s">
        <v>1176</v>
      </c>
      <c r="D2388" t="s">
        <v>3837</v>
      </c>
      <c r="E2388" s="4">
        <v>43465</v>
      </c>
      <c r="F2388" s="11">
        <v>9.7503311299999993</v>
      </c>
      <c r="G2388" s="11">
        <v>-1.78419711</v>
      </c>
      <c r="H2388" s="11">
        <v>7.8231464838999996</v>
      </c>
      <c r="I2388" s="11">
        <v>93.117639278599995</v>
      </c>
      <c r="J2388" s="11">
        <v>40.370776187899999</v>
      </c>
      <c r="K2388" s="10">
        <v>0.15262997090899999</v>
      </c>
      <c r="L2388" s="12">
        <v>1984837225.2</v>
      </c>
      <c r="M2388">
        <v>30.663091523198201</v>
      </c>
      <c r="N2388" s="7">
        <v>4.7116082901415002</v>
      </c>
      <c r="O2388" s="7">
        <v>11.390457749225</v>
      </c>
      <c r="P2388" s="7">
        <v>22.059262183873901</v>
      </c>
      <c r="Q2388" s="7">
        <v>3.722334004024145</v>
      </c>
      <c r="U2388">
        <v>0.65554900230843316</v>
      </c>
      <c r="AT2388" s="4" t="s">
        <v>4996</v>
      </c>
    </row>
    <row r="2389" spans="1:46">
      <c r="A2389" s="2">
        <v>2180</v>
      </c>
      <c r="B2389" t="s">
        <v>7535</v>
      </c>
      <c r="C2389" t="s">
        <v>2535</v>
      </c>
      <c r="D2389" t="s">
        <v>3764</v>
      </c>
      <c r="E2389" s="4">
        <v>43465</v>
      </c>
      <c r="F2389" s="11">
        <v>-6.2485042999999996</v>
      </c>
      <c r="G2389" s="11">
        <v>-1.8518518500000001</v>
      </c>
      <c r="H2389" s="11">
        <v>18.536790652499999</v>
      </c>
      <c r="I2389" s="11">
        <v>21.4445150158</v>
      </c>
      <c r="J2389" s="11">
        <v>15.1159878722</v>
      </c>
      <c r="K2389" s="10">
        <v>0.25145699815200001</v>
      </c>
      <c r="L2389" s="12">
        <v>4523416440</v>
      </c>
      <c r="M2389">
        <v>36.693225432480702</v>
      </c>
      <c r="N2389" s="7">
        <v>1.3336200630928301</v>
      </c>
      <c r="O2389" s="7">
        <v>1.0219190042764199</v>
      </c>
      <c r="P2389" s="7">
        <v>37.603455448802002</v>
      </c>
      <c r="Q2389" s="7">
        <v>4.4776119402985071</v>
      </c>
      <c r="U2389">
        <v>1.0580427833164339</v>
      </c>
      <c r="AT2389" s="4" t="s">
        <v>7536</v>
      </c>
    </row>
    <row r="2390" spans="1:46">
      <c r="A2390" s="2">
        <v>2690</v>
      </c>
      <c r="B2390" t="s">
        <v>7537</v>
      </c>
      <c r="C2390" t="s">
        <v>2410</v>
      </c>
      <c r="D2390" t="s">
        <v>3764</v>
      </c>
      <c r="E2390" s="4">
        <v>43465</v>
      </c>
      <c r="F2390" s="11">
        <v>-42.049190979999999</v>
      </c>
      <c r="G2390" s="11">
        <v>-1.8556701</v>
      </c>
      <c r="H2390" s="11">
        <v>15.416874910900001</v>
      </c>
      <c r="I2390" s="11">
        <v>17.316769023999999</v>
      </c>
      <c r="J2390" s="11">
        <v>0.2209202831</v>
      </c>
      <c r="K2390" s="10">
        <v>0.40845290949000002</v>
      </c>
      <c r="L2390" s="12">
        <v>3261542171.5799999</v>
      </c>
      <c r="M2390">
        <v>-28.409708166421701</v>
      </c>
      <c r="N2390" s="7">
        <v>1.4044815885008599</v>
      </c>
      <c r="O2390" s="7">
        <v>0.53452356749763397</v>
      </c>
      <c r="P2390" s="7">
        <v>6.1823366621436504</v>
      </c>
      <c r="Q2390" s="7">
        <v>0.41067761806981523</v>
      </c>
      <c r="U2390">
        <v>4.2170077404969503E-2</v>
      </c>
      <c r="AT2390" s="4" t="s">
        <v>7538</v>
      </c>
    </row>
    <row r="2391" spans="1:46">
      <c r="A2391" s="2">
        <v>875</v>
      </c>
      <c r="B2391" t="s">
        <v>7539</v>
      </c>
      <c r="C2391" t="s">
        <v>2713</v>
      </c>
      <c r="D2391" t="s">
        <v>3761</v>
      </c>
      <c r="E2391" s="4">
        <v>43465</v>
      </c>
      <c r="F2391" s="11">
        <v>10.694731920000001</v>
      </c>
      <c r="G2391" s="11">
        <v>-1.8707483</v>
      </c>
      <c r="H2391" s="11">
        <v>13.621040647099999</v>
      </c>
      <c r="I2391" s="11">
        <v>33.198784508400003</v>
      </c>
      <c r="J2391" s="11">
        <v>7.2203152331</v>
      </c>
      <c r="K2391" s="10">
        <v>0.37702800708799999</v>
      </c>
      <c r="L2391" s="12">
        <v>2238727960</v>
      </c>
      <c r="M2391">
        <v>170.66716889200001</v>
      </c>
      <c r="N2391" s="7">
        <v>3.0849504432635699</v>
      </c>
      <c r="O2391" s="7">
        <v>7.3824300751771803</v>
      </c>
      <c r="P2391" s="7">
        <v>23.038085239852499</v>
      </c>
      <c r="Q2391" s="7">
        <v>0.85984522785898543</v>
      </c>
      <c r="U2391">
        <v>0.1359633225954999</v>
      </c>
      <c r="AT2391" s="4" t="s">
        <v>5542</v>
      </c>
    </row>
    <row r="2392" spans="1:46">
      <c r="A2392" s="2">
        <v>59</v>
      </c>
      <c r="B2392" t="s">
        <v>7540</v>
      </c>
      <c r="C2392" t="s">
        <v>3533</v>
      </c>
      <c r="D2392" t="s">
        <v>3764</v>
      </c>
      <c r="E2392" s="4">
        <v>43465</v>
      </c>
      <c r="F2392" s="11">
        <v>-17.425742570000001</v>
      </c>
      <c r="G2392" s="11">
        <v>-1.8823529400000001</v>
      </c>
      <c r="H2392" s="11">
        <v>-50.137182065200001</v>
      </c>
      <c r="I2392" s="11">
        <v>27.281813225400001</v>
      </c>
      <c r="J2392" s="11">
        <v>-67.843423748099994</v>
      </c>
      <c r="K2392" s="10">
        <v>6.5915053336000007E-2</v>
      </c>
      <c r="L2392" s="12">
        <v>4124160000</v>
      </c>
      <c r="M2392">
        <v>-365.11531249541599</v>
      </c>
      <c r="N2392" s="7">
        <v>8.4827793753559906</v>
      </c>
      <c r="O2392" s="7">
        <v>11.1802315339987</v>
      </c>
      <c r="P2392" s="7">
        <v>-17.649378825119602</v>
      </c>
      <c r="Q2392" s="7" t="s">
        <v>3698</v>
      </c>
      <c r="U2392">
        <v>-0.13200492568049987</v>
      </c>
      <c r="AT2392" s="4" t="s">
        <v>7541</v>
      </c>
    </row>
    <row r="2393" spans="1:46">
      <c r="A2393" s="2">
        <v>1597</v>
      </c>
      <c r="B2393" t="s">
        <v>7542</v>
      </c>
      <c r="C2393" t="s">
        <v>2022</v>
      </c>
      <c r="D2393" t="s">
        <v>3764</v>
      </c>
      <c r="E2393" s="4">
        <v>43465</v>
      </c>
      <c r="F2393" s="11">
        <v>-36.961024629999997</v>
      </c>
      <c r="G2393" s="11">
        <v>-1.9157088099999999</v>
      </c>
      <c r="H2393" s="11">
        <v>17.334287468100001</v>
      </c>
      <c r="I2393" s="11">
        <v>33.461537980499998</v>
      </c>
      <c r="J2393" s="11">
        <v>15.786618157099999</v>
      </c>
      <c r="K2393" s="10">
        <v>0.36910007166199998</v>
      </c>
      <c r="L2393" s="12">
        <v>9783953732</v>
      </c>
      <c r="M2393">
        <v>28.447262504779498</v>
      </c>
      <c r="N2393" s="7">
        <v>2.1409011427451499</v>
      </c>
      <c r="O2393" s="7">
        <v>3.3194471825694398</v>
      </c>
      <c r="P2393" s="7">
        <v>56.087889070571698</v>
      </c>
      <c r="Q2393" s="7">
        <v>1.0080645161290323</v>
      </c>
      <c r="U2393">
        <v>0.23411205557257755</v>
      </c>
      <c r="AT2393" s="4" t="s">
        <v>4030</v>
      </c>
    </row>
    <row r="2394" spans="1:46">
      <c r="A2394" s="2">
        <v>2817</v>
      </c>
      <c r="B2394" t="s">
        <v>7543</v>
      </c>
      <c r="C2394" t="s">
        <v>2210</v>
      </c>
      <c r="D2394" t="s">
        <v>3764</v>
      </c>
      <c r="E2394" s="4">
        <v>43465</v>
      </c>
      <c r="F2394" s="11">
        <v>-32.095490720000001</v>
      </c>
      <c r="G2394" s="11">
        <v>-1.9157088099999999</v>
      </c>
      <c r="H2394" s="11">
        <v>30.680575780400002</v>
      </c>
      <c r="I2394" s="11">
        <v>7.0521879052000003</v>
      </c>
      <c r="J2394" s="11">
        <v>0.59392599089999998</v>
      </c>
      <c r="K2394" s="10">
        <v>0.52544011321999995</v>
      </c>
      <c r="L2394" s="12">
        <v>8161687971.6999998</v>
      </c>
      <c r="M2394">
        <v>-6.7694103416532103</v>
      </c>
      <c r="N2394" s="7">
        <v>1.5325199070362201</v>
      </c>
      <c r="O2394" s="7">
        <v>0.54193314607069998</v>
      </c>
      <c r="P2394" s="7">
        <v>21.6105521375206</v>
      </c>
      <c r="Q2394" s="7" t="s">
        <v>3698</v>
      </c>
      <c r="U2394">
        <v>3.299923194466553E-2</v>
      </c>
      <c r="AT2394" s="4" t="s">
        <v>7544</v>
      </c>
    </row>
    <row r="2395" spans="1:46">
      <c r="A2395" s="2">
        <v>2099</v>
      </c>
      <c r="B2395" t="s">
        <v>7545</v>
      </c>
      <c r="C2395" t="s">
        <v>584</v>
      </c>
      <c r="D2395" t="s">
        <v>3849</v>
      </c>
      <c r="E2395" s="4">
        <v>43465</v>
      </c>
      <c r="F2395" s="11">
        <v>-34.744048200000002</v>
      </c>
      <c r="G2395" s="11">
        <v>-1.99479618</v>
      </c>
      <c r="H2395" s="11">
        <v>22.089927764599999</v>
      </c>
      <c r="I2395" s="11">
        <v>23.975936619199999</v>
      </c>
      <c r="J2395" s="11">
        <v>8.1071345892999993</v>
      </c>
      <c r="K2395" s="10">
        <v>0.61412687086499995</v>
      </c>
      <c r="L2395" s="12">
        <v>1707621636</v>
      </c>
      <c r="M2395">
        <v>33.8608441254501</v>
      </c>
      <c r="N2395" s="7">
        <v>4.0207336598097303</v>
      </c>
      <c r="O2395" s="7">
        <v>4.1199359846119998</v>
      </c>
      <c r="P2395" s="7">
        <v>-38.065455478886598</v>
      </c>
      <c r="Q2395" s="7">
        <v>0.31695721077654515</v>
      </c>
      <c r="U2395">
        <v>0.70206433597883589</v>
      </c>
      <c r="AT2395" s="4" t="s">
        <v>5314</v>
      </c>
    </row>
    <row r="2396" spans="1:46">
      <c r="A2396" s="2">
        <v>3275</v>
      </c>
      <c r="B2396" t="s">
        <v>7546</v>
      </c>
      <c r="C2396" t="s">
        <v>1002</v>
      </c>
      <c r="D2396" t="s">
        <v>3728</v>
      </c>
      <c r="E2396" s="4">
        <v>43465</v>
      </c>
      <c r="F2396" s="11">
        <v>-34.692286940000002</v>
      </c>
      <c r="G2396" s="11">
        <v>-2.00860832</v>
      </c>
      <c r="H2396" s="11">
        <v>-6.2897945579999996</v>
      </c>
      <c r="I2396" s="11">
        <v>34.365123316499997</v>
      </c>
      <c r="J2396" s="11">
        <v>6.3363601181</v>
      </c>
      <c r="K2396" s="10">
        <v>0.65430821307999998</v>
      </c>
      <c r="L2396" s="12">
        <v>3255503762.8000002</v>
      </c>
      <c r="M2396">
        <v>17.350328871336401</v>
      </c>
      <c r="N2396" s="7">
        <v>1.1526295281519501</v>
      </c>
      <c r="O2396" s="7">
        <v>1.24821081263168</v>
      </c>
      <c r="P2396" s="7">
        <v>-422.63225496889999</v>
      </c>
      <c r="Q2396" s="7">
        <v>2.7959242011949477</v>
      </c>
      <c r="U2396">
        <v>0.33494513622113831</v>
      </c>
      <c r="AT2396" s="4" t="s">
        <v>4557</v>
      </c>
    </row>
    <row r="2397" spans="1:46">
      <c r="A2397" s="2">
        <v>2612</v>
      </c>
      <c r="B2397" t="s">
        <v>7547</v>
      </c>
      <c r="C2397" t="s">
        <v>3350</v>
      </c>
      <c r="D2397" t="s">
        <v>3778</v>
      </c>
      <c r="E2397" s="4">
        <v>43465</v>
      </c>
      <c r="F2397" s="11">
        <v>-62.337662340000001</v>
      </c>
      <c r="G2397" s="11">
        <v>-2.0304568500000002</v>
      </c>
      <c r="H2397" s="11">
        <v>413.98910888310002</v>
      </c>
      <c r="I2397" s="11">
        <v>4.5225279629999999</v>
      </c>
      <c r="J2397" s="11">
        <v>0.42297611419999998</v>
      </c>
      <c r="K2397" s="10">
        <v>0.88894506285800001</v>
      </c>
      <c r="L2397" s="12">
        <v>5435954882.5600004</v>
      </c>
      <c r="M2397">
        <v>-25.104865670963999</v>
      </c>
      <c r="N2397" s="7">
        <v>1.1060494185488201</v>
      </c>
      <c r="O2397" s="7">
        <v>1.43590694278637</v>
      </c>
      <c r="P2397" s="7">
        <v>-2.6103248394233902</v>
      </c>
      <c r="Q2397" s="7" t="s">
        <v>3698</v>
      </c>
      <c r="U2397">
        <v>2.1657835323764578E-2</v>
      </c>
      <c r="AT2397" s="4" t="s">
        <v>7548</v>
      </c>
    </row>
    <row r="2398" spans="1:46">
      <c r="A2398" s="2">
        <v>3425</v>
      </c>
      <c r="B2398" t="s">
        <v>7549</v>
      </c>
      <c r="C2398" t="s">
        <v>1426</v>
      </c>
      <c r="D2398" t="s">
        <v>3972</v>
      </c>
      <c r="E2398" s="4">
        <v>43465</v>
      </c>
      <c r="F2398" s="11">
        <v>-29.109241409999999</v>
      </c>
      <c r="G2398" s="11">
        <v>-2.0618556699999999</v>
      </c>
      <c r="H2398" s="11">
        <v>7.8656345643999996</v>
      </c>
      <c r="I2398" s="11">
        <v>23.729275234399999</v>
      </c>
      <c r="J2398" s="11">
        <v>12.3510473036</v>
      </c>
      <c r="K2398" s="10">
        <v>0.62126436897799997</v>
      </c>
      <c r="L2398" s="12">
        <v>6393159867.8400002</v>
      </c>
      <c r="M2398">
        <v>25.577017882653202</v>
      </c>
      <c r="N2398" s="7">
        <v>1.8648661788796199</v>
      </c>
      <c r="O2398" s="7">
        <v>2.5077543502802402</v>
      </c>
      <c r="P2398" s="7">
        <v>68.440665027319298</v>
      </c>
      <c r="Q2398" s="7">
        <v>0.57636887608069165</v>
      </c>
      <c r="U2398">
        <v>0.91439670292553199</v>
      </c>
      <c r="AT2398" s="4" t="s">
        <v>5025</v>
      </c>
    </row>
    <row r="2399" spans="1:46">
      <c r="A2399" s="2">
        <v>3083</v>
      </c>
      <c r="B2399" t="s">
        <v>7550</v>
      </c>
      <c r="C2399" t="s">
        <v>1717</v>
      </c>
      <c r="D2399" t="s">
        <v>3761</v>
      </c>
      <c r="E2399" s="4">
        <v>43465</v>
      </c>
      <c r="F2399" s="11">
        <v>-49.823761730000001</v>
      </c>
      <c r="G2399" s="11">
        <v>-2.0661157000000001</v>
      </c>
      <c r="H2399" s="11">
        <v>11.943079341900001</v>
      </c>
      <c r="I2399" s="11">
        <v>37.8220598399</v>
      </c>
      <c r="J2399" s="11">
        <v>19.047311674300001</v>
      </c>
      <c r="K2399" s="10">
        <v>0.23460636893</v>
      </c>
      <c r="L2399" s="12">
        <v>7334208000</v>
      </c>
      <c r="M2399">
        <v>11.246842573716499</v>
      </c>
      <c r="N2399" s="7">
        <v>0.92057528603852601</v>
      </c>
      <c r="O2399" s="7">
        <v>2.2438278004423902</v>
      </c>
      <c r="P2399" s="7">
        <v>35.197014957311303</v>
      </c>
      <c r="Q2399" s="7">
        <v>3.9863281696476371</v>
      </c>
      <c r="U2399">
        <v>0.43078492337661484</v>
      </c>
      <c r="AT2399" s="4" t="s">
        <v>7551</v>
      </c>
    </row>
    <row r="2400" spans="1:46">
      <c r="A2400" s="2">
        <v>2512</v>
      </c>
      <c r="B2400" t="s">
        <v>7552</v>
      </c>
      <c r="C2400" t="s">
        <v>2698</v>
      </c>
      <c r="D2400" t="s">
        <v>3764</v>
      </c>
      <c r="E2400" s="4">
        <v>43465</v>
      </c>
      <c r="F2400" s="11">
        <v>-40</v>
      </c>
      <c r="G2400" s="11">
        <v>-2.0725388599999999</v>
      </c>
      <c r="H2400" s="11">
        <v>3.3387624373999998</v>
      </c>
      <c r="I2400" s="11">
        <v>-1.0996324715000001</v>
      </c>
      <c r="J2400" s="11">
        <v>-12.454872485699999</v>
      </c>
      <c r="K2400" s="10">
        <v>0.35303643025199999</v>
      </c>
      <c r="L2400" s="12">
        <v>9120384000</v>
      </c>
      <c r="M2400">
        <v>-2.7059608989876902</v>
      </c>
      <c r="N2400" s="7">
        <v>1.4470550488546201</v>
      </c>
      <c r="O2400" s="7">
        <v>0.39078188626149002</v>
      </c>
      <c r="P2400" s="7">
        <v>12.1677658094228</v>
      </c>
      <c r="Q2400" s="7" t="s">
        <v>3698</v>
      </c>
      <c r="U2400">
        <v>-0.49476702676253043</v>
      </c>
      <c r="AT2400" s="4" t="s">
        <v>7553</v>
      </c>
    </row>
    <row r="2401" spans="1:46">
      <c r="A2401" s="2">
        <v>3109</v>
      </c>
      <c r="B2401" t="s">
        <v>7554</v>
      </c>
      <c r="C2401" t="s">
        <v>788</v>
      </c>
      <c r="D2401" t="s">
        <v>3769</v>
      </c>
      <c r="E2401" s="4">
        <v>43465</v>
      </c>
      <c r="F2401" s="11">
        <v>-54.759040040000002</v>
      </c>
      <c r="G2401" s="11">
        <v>-2.0725388599999999</v>
      </c>
      <c r="H2401" s="11">
        <v>16.948272571299999</v>
      </c>
      <c r="I2401" s="11">
        <v>9.4718905926999994</v>
      </c>
      <c r="J2401" s="11">
        <v>1.5488356688</v>
      </c>
      <c r="K2401" s="10">
        <v>1.2645716589530001</v>
      </c>
      <c r="L2401" s="12">
        <v>2961196875.48</v>
      </c>
      <c r="M2401">
        <v>26.1178375448842</v>
      </c>
      <c r="N2401" s="7">
        <v>1.5302629118073101</v>
      </c>
      <c r="O2401" s="7">
        <v>0.62878174367688699</v>
      </c>
      <c r="P2401" s="7">
        <v>-28.663040406141501</v>
      </c>
      <c r="Q2401" s="7">
        <v>0.55865921787709494</v>
      </c>
      <c r="U2401">
        <v>4.8149978838747901E-2</v>
      </c>
      <c r="AT2401" s="4" t="s">
        <v>7555</v>
      </c>
    </row>
    <row r="2402" spans="1:46">
      <c r="A2402" s="2">
        <v>683</v>
      </c>
      <c r="B2402" t="s">
        <v>7556</v>
      </c>
      <c r="C2402" t="s">
        <v>1806</v>
      </c>
      <c r="D2402" t="s">
        <v>3752</v>
      </c>
      <c r="E2402" s="4">
        <v>43465</v>
      </c>
      <c r="F2402" s="11">
        <v>-37.770382699999999</v>
      </c>
      <c r="G2402" s="11">
        <v>-2.0833333299999999</v>
      </c>
      <c r="H2402" s="11">
        <v>-12.3045717557</v>
      </c>
      <c r="I2402" s="11">
        <v>8.1832102672999998</v>
      </c>
      <c r="J2402" s="11">
        <v>-0.98268773990000002</v>
      </c>
      <c r="K2402" s="10">
        <v>0.78360659829900003</v>
      </c>
      <c r="L2402" s="12">
        <v>1631548714.52</v>
      </c>
      <c r="M2402">
        <v>-60.812729059096199</v>
      </c>
      <c r="N2402" s="7">
        <v>1.60434610183923</v>
      </c>
      <c r="O2402" s="7">
        <v>0.58228639762684897</v>
      </c>
      <c r="P2402" s="7">
        <v>10.922105543272099</v>
      </c>
      <c r="Q2402" s="7" t="s">
        <v>3698</v>
      </c>
      <c r="U2402">
        <v>1.3341962971675295E-2</v>
      </c>
      <c r="AT2402" s="4" t="s">
        <v>4525</v>
      </c>
    </row>
    <row r="2403" spans="1:46">
      <c r="A2403" s="2">
        <v>699</v>
      </c>
      <c r="B2403" t="s">
        <v>7557</v>
      </c>
      <c r="C2403" t="s">
        <v>35</v>
      </c>
      <c r="D2403" t="s">
        <v>3721</v>
      </c>
      <c r="E2403" s="4">
        <v>43465</v>
      </c>
      <c r="F2403" s="11">
        <v>-77.594936709999999</v>
      </c>
      <c r="G2403" s="11">
        <v>-2.0997375300000001</v>
      </c>
      <c r="H2403" s="11">
        <v>-75.584048165699997</v>
      </c>
      <c r="I2403" s="11">
        <v>-52.903016610500003</v>
      </c>
      <c r="J2403" s="11">
        <v>-444.35997277500002</v>
      </c>
      <c r="K2403" s="10">
        <v>0.32216395704900003</v>
      </c>
      <c r="L2403" s="12">
        <v>3845543605.5300002</v>
      </c>
      <c r="M2403">
        <v>-0.59574426302628403</v>
      </c>
      <c r="N2403" s="7">
        <v>-1.7877239745498501</v>
      </c>
      <c r="O2403" s="7">
        <v>5.5423756491296698</v>
      </c>
      <c r="P2403" s="7">
        <v>-64.045758067746107</v>
      </c>
      <c r="Q2403" s="7" t="s">
        <v>3698</v>
      </c>
      <c r="U2403">
        <v>-2.167782277403913</v>
      </c>
      <c r="AT2403" s="4" t="s">
        <v>6888</v>
      </c>
    </row>
    <row r="2404" spans="1:46">
      <c r="A2404" s="2">
        <v>776</v>
      </c>
      <c r="B2404" t="s">
        <v>7558</v>
      </c>
      <c r="C2404" t="s">
        <v>2799</v>
      </c>
      <c r="D2404" t="s">
        <v>3849</v>
      </c>
      <c r="E2404" s="4">
        <v>43465</v>
      </c>
      <c r="F2404" s="11">
        <v>-41.766268259999997</v>
      </c>
      <c r="G2404" s="11">
        <v>-2.1064301599999999</v>
      </c>
      <c r="H2404" s="11">
        <v>-15.191076923400001</v>
      </c>
      <c r="I2404" s="11">
        <v>15.260063796600001</v>
      </c>
      <c r="J2404" s="11">
        <v>-8.9838079969999995</v>
      </c>
      <c r="K2404" s="10">
        <v>0.53603895738600005</v>
      </c>
      <c r="L2404" s="12">
        <v>5354800000</v>
      </c>
      <c r="M2404">
        <v>-198.28052400286199</v>
      </c>
      <c r="N2404" s="7">
        <v>3.38820313178952</v>
      </c>
      <c r="O2404" s="7">
        <v>3.4964804675452199</v>
      </c>
      <c r="P2404" s="7">
        <v>189.557414461072</v>
      </c>
      <c r="Q2404" s="7" t="s">
        <v>3698</v>
      </c>
      <c r="U2404">
        <v>-0.2146721813890522</v>
      </c>
      <c r="AT2404" s="4" t="s">
        <v>7222</v>
      </c>
    </row>
    <row r="2405" spans="1:46">
      <c r="A2405" s="2">
        <v>394</v>
      </c>
      <c r="B2405" t="s">
        <v>7559</v>
      </c>
      <c r="C2405" t="s">
        <v>84</v>
      </c>
      <c r="D2405" t="s">
        <v>3785</v>
      </c>
      <c r="E2405" s="4">
        <v>43465</v>
      </c>
      <c r="F2405" s="11">
        <v>-8.2922057299999992</v>
      </c>
      <c r="G2405" s="11">
        <v>-2.1144278600000002</v>
      </c>
      <c r="H2405" s="11">
        <v>0.4779293315</v>
      </c>
      <c r="I2405" s="11">
        <v>50.757559769300002</v>
      </c>
      <c r="J2405" s="11">
        <v>19.446382727900001</v>
      </c>
      <c r="K2405" s="10">
        <v>0.75054156782000003</v>
      </c>
      <c r="L2405" s="12">
        <v>4029454230.48</v>
      </c>
      <c r="M2405">
        <v>17.386673058517001</v>
      </c>
      <c r="N2405" s="7">
        <v>4.0991642242266204</v>
      </c>
      <c r="O2405" s="7">
        <v>3.53482652114281</v>
      </c>
      <c r="P2405" s="7">
        <v>-67.9687976204374</v>
      </c>
      <c r="Q2405" s="7">
        <v>5.298013245033113</v>
      </c>
      <c r="U2405">
        <v>0.42210611703371559</v>
      </c>
      <c r="AT2405" s="4" t="s">
        <v>7560</v>
      </c>
    </row>
    <row r="2406" spans="1:46">
      <c r="A2406" s="2">
        <v>1323</v>
      </c>
      <c r="B2406" t="s">
        <v>7561</v>
      </c>
      <c r="C2406" t="s">
        <v>914</v>
      </c>
      <c r="D2406" t="s">
        <v>3785</v>
      </c>
      <c r="E2406" s="4">
        <v>43465</v>
      </c>
      <c r="F2406" s="11">
        <v>-24.57642839</v>
      </c>
      <c r="G2406" s="11">
        <v>-2.1416803999999998</v>
      </c>
      <c r="H2406" s="11">
        <v>-1.1242578182</v>
      </c>
      <c r="I2406" s="11">
        <v>48.4170169665</v>
      </c>
      <c r="J2406" s="11">
        <v>17.500638713699999</v>
      </c>
      <c r="K2406" s="10">
        <v>0.43289839412199999</v>
      </c>
      <c r="L2406" s="12">
        <v>9727163668.3199997</v>
      </c>
      <c r="M2406">
        <v>33.391769251855003</v>
      </c>
      <c r="N2406" s="7">
        <v>2.2932712938951099</v>
      </c>
      <c r="O2406" s="7">
        <v>5.13114975807202</v>
      </c>
      <c r="P2406" s="7">
        <v>55.9671583006457</v>
      </c>
      <c r="Q2406" s="7">
        <v>1.7467248908296942</v>
      </c>
      <c r="U2406">
        <v>0.41079472734375</v>
      </c>
      <c r="AT2406" s="4" t="s">
        <v>4117</v>
      </c>
    </row>
    <row r="2407" spans="1:46">
      <c r="A2407" s="2">
        <v>726</v>
      </c>
      <c r="B2407" t="s">
        <v>7562</v>
      </c>
      <c r="C2407" t="s">
        <v>127</v>
      </c>
      <c r="D2407" t="s">
        <v>3781</v>
      </c>
      <c r="E2407" s="4">
        <v>43465</v>
      </c>
      <c r="F2407" s="11">
        <v>-6.8025521900000001</v>
      </c>
      <c r="G2407" s="11">
        <v>-2.2189349100000002</v>
      </c>
      <c r="H2407" s="11">
        <v>41.957734540600001</v>
      </c>
      <c r="I2407" s="11">
        <v>29.214686366199999</v>
      </c>
      <c r="J2407" s="11">
        <v>8.5538088278999993</v>
      </c>
      <c r="K2407" s="10">
        <v>0.79591266272700001</v>
      </c>
      <c r="L2407" s="12">
        <v>23297653485.639999</v>
      </c>
      <c r="M2407">
        <v>20.9108927727269</v>
      </c>
      <c r="N2407" s="7">
        <v>3.05165767128759</v>
      </c>
      <c r="O2407" s="7">
        <v>1.6441505186965399</v>
      </c>
      <c r="P2407" s="7">
        <v>35.655806602181599</v>
      </c>
      <c r="Q2407" s="7" t="s">
        <v>3698</v>
      </c>
      <c r="U2407">
        <v>0.36010747282362787</v>
      </c>
      <c r="AT2407" s="4" t="s">
        <v>4077</v>
      </c>
    </row>
    <row r="2408" spans="1:46">
      <c r="A2408" s="2">
        <v>1784</v>
      </c>
      <c r="B2408" t="s">
        <v>7563</v>
      </c>
      <c r="C2408" t="s">
        <v>2864</v>
      </c>
      <c r="D2408" t="s">
        <v>3889</v>
      </c>
      <c r="E2408" s="4">
        <v>43465</v>
      </c>
      <c r="F2408" s="11">
        <v>-40.928047849999999</v>
      </c>
      <c r="G2408" s="11">
        <v>-2.2222222199999999</v>
      </c>
      <c r="H2408" s="11">
        <v>-18.5660674943</v>
      </c>
      <c r="I2408" s="11">
        <v>31.147856453399999</v>
      </c>
      <c r="J2408" s="11">
        <v>-76.722577599000005</v>
      </c>
      <c r="K2408" s="10">
        <v>0.33477073402899998</v>
      </c>
      <c r="L2408" s="12">
        <v>4212331952.6399999</v>
      </c>
      <c r="M2408">
        <v>129.49217570964399</v>
      </c>
      <c r="N2408" s="7">
        <v>5.7452316556137903</v>
      </c>
      <c r="O2408" s="7">
        <v>4.5413815859742099</v>
      </c>
      <c r="P2408" s="7">
        <v>-1054.51793020629</v>
      </c>
      <c r="Q2408" s="7" t="s">
        <v>3698</v>
      </c>
      <c r="U2408">
        <v>-1.038129810994924</v>
      </c>
      <c r="AT2408" s="4" t="s">
        <v>4073</v>
      </c>
    </row>
    <row r="2409" spans="1:46">
      <c r="A2409" s="2">
        <v>41</v>
      </c>
      <c r="B2409" t="s">
        <v>7564</v>
      </c>
      <c r="C2409" t="s">
        <v>453</v>
      </c>
      <c r="D2409" t="s">
        <v>3871</v>
      </c>
      <c r="E2409" s="4">
        <v>43465</v>
      </c>
      <c r="F2409" s="11">
        <v>-31.46103527</v>
      </c>
      <c r="G2409" s="11">
        <v>-2.2308648</v>
      </c>
      <c r="H2409" s="11">
        <v>-8.2285895915000005</v>
      </c>
      <c r="I2409" s="11">
        <v>47.081153009499999</v>
      </c>
      <c r="J2409" s="11">
        <v>5.2246689819999999</v>
      </c>
      <c r="K2409" s="10">
        <v>0.17713976999799999</v>
      </c>
      <c r="L2409" s="12">
        <v>4872000000</v>
      </c>
      <c r="M2409">
        <v>7.5043959154284696</v>
      </c>
      <c r="N2409" s="7">
        <v>1.0255138798685</v>
      </c>
      <c r="O2409" s="7">
        <v>0.63782871462717705</v>
      </c>
      <c r="P2409" s="7">
        <v>-114.587550245168</v>
      </c>
      <c r="Q2409" s="7">
        <v>0.98039215686274506</v>
      </c>
      <c r="U2409">
        <v>0.67188539387894108</v>
      </c>
      <c r="AT2409" s="4" t="s">
        <v>7565</v>
      </c>
    </row>
    <row r="2410" spans="1:46">
      <c r="A2410" s="2">
        <v>1247</v>
      </c>
      <c r="B2410" t="s">
        <v>7566</v>
      </c>
      <c r="C2410" t="s">
        <v>323</v>
      </c>
      <c r="D2410" t="s">
        <v>3737</v>
      </c>
      <c r="E2410" s="4">
        <v>43465</v>
      </c>
      <c r="F2410" s="11">
        <v>3.9230301399999998</v>
      </c>
      <c r="G2410" s="11">
        <v>-2.2327469600000001</v>
      </c>
      <c r="H2410" s="11">
        <v>15.995260742199999</v>
      </c>
      <c r="I2410" s="11">
        <v>59.057612840300003</v>
      </c>
      <c r="J2410" s="11">
        <v>13.591867064500001</v>
      </c>
      <c r="K2410" s="10">
        <v>0.93852778176200002</v>
      </c>
      <c r="L2410" s="12">
        <v>11024942544</v>
      </c>
      <c r="M2410">
        <v>19.387851639606101</v>
      </c>
      <c r="N2410" s="7">
        <v>2.7831920235095402</v>
      </c>
      <c r="O2410" s="7">
        <v>1.97554763668337</v>
      </c>
      <c r="P2410" s="7">
        <v>-379.78221072963203</v>
      </c>
      <c r="Q2410" s="7">
        <v>7.0821529745042495</v>
      </c>
      <c r="U2410">
        <v>0.96451567417808226</v>
      </c>
      <c r="AT2410" s="4" t="s">
        <v>6037</v>
      </c>
    </row>
    <row r="2411" spans="1:46">
      <c r="A2411" s="2">
        <v>2527</v>
      </c>
      <c r="B2411" t="s">
        <v>7567</v>
      </c>
      <c r="C2411" t="s">
        <v>686</v>
      </c>
      <c r="D2411" t="s">
        <v>3785</v>
      </c>
      <c r="E2411" s="4">
        <v>43465</v>
      </c>
      <c r="F2411" s="11">
        <v>-38.237308380000002</v>
      </c>
      <c r="G2411" s="11">
        <v>-2.2529069800000001</v>
      </c>
      <c r="H2411" s="11">
        <v>17.886603274799999</v>
      </c>
      <c r="I2411" s="11">
        <v>27.2598351368</v>
      </c>
      <c r="J2411" s="11">
        <v>8.0731821109999995</v>
      </c>
      <c r="K2411" s="10">
        <v>0.90354369754300001</v>
      </c>
      <c r="L2411" s="12">
        <v>21068171785.849998</v>
      </c>
      <c r="M2411">
        <v>22.4060279209871</v>
      </c>
      <c r="N2411" s="7">
        <v>3.1273701913814702</v>
      </c>
      <c r="O2411" s="7">
        <v>1.987565502791</v>
      </c>
      <c r="P2411" s="7">
        <v>62.799770217218096</v>
      </c>
      <c r="Q2411" s="7">
        <v>1.2397311426437638</v>
      </c>
      <c r="U2411">
        <v>0.551304769134904</v>
      </c>
      <c r="AT2411" s="4" t="s">
        <v>7568</v>
      </c>
    </row>
    <row r="2412" spans="1:46">
      <c r="A2412" s="2">
        <v>1483</v>
      </c>
      <c r="B2412" t="s">
        <v>7569</v>
      </c>
      <c r="C2412" t="s">
        <v>2512</v>
      </c>
      <c r="D2412" t="s">
        <v>4060</v>
      </c>
      <c r="E2412" s="4">
        <v>43465</v>
      </c>
      <c r="F2412" s="11">
        <v>-27.916387539999999</v>
      </c>
      <c r="G2412" s="11">
        <v>-2.2727272699999999</v>
      </c>
      <c r="H2412" s="11">
        <v>29.755392250300002</v>
      </c>
      <c r="I2412" s="11">
        <v>13.554042605199999</v>
      </c>
      <c r="J2412" s="11">
        <v>3.3962127473999999</v>
      </c>
      <c r="K2412" s="10">
        <v>0.70315769504400005</v>
      </c>
      <c r="L2412" s="12">
        <v>5173845810.8400002</v>
      </c>
      <c r="M2412">
        <v>40.486922113885797</v>
      </c>
      <c r="N2412" s="7">
        <v>1.1442496149602499</v>
      </c>
      <c r="O2412" s="7">
        <v>0.67011333428531095</v>
      </c>
      <c r="P2412" s="7">
        <v>3.7566332424739</v>
      </c>
      <c r="Q2412" s="7">
        <v>1.4620512185145993</v>
      </c>
      <c r="U2412">
        <v>0.27707058143918062</v>
      </c>
      <c r="AT2412" s="4" t="s">
        <v>5254</v>
      </c>
    </row>
    <row r="2413" spans="1:46">
      <c r="A2413" s="2">
        <v>3112</v>
      </c>
      <c r="B2413" t="s">
        <v>7570</v>
      </c>
      <c r="C2413" t="s">
        <v>1999</v>
      </c>
      <c r="D2413" t="s">
        <v>3752</v>
      </c>
      <c r="E2413" s="4">
        <v>43465</v>
      </c>
      <c r="F2413" s="11">
        <v>-33.560378579999998</v>
      </c>
      <c r="G2413" s="11">
        <v>-2.2761760199999999</v>
      </c>
      <c r="H2413" s="11">
        <v>2.1614508164999999</v>
      </c>
      <c r="I2413" s="11">
        <v>15.0276066002</v>
      </c>
      <c r="J2413" s="11">
        <v>3.8517252386999998</v>
      </c>
      <c r="K2413" s="10">
        <v>0.91217100561200004</v>
      </c>
      <c r="L2413" s="12">
        <v>6520446587.1999998</v>
      </c>
      <c r="M2413">
        <v>32.068462369642099</v>
      </c>
      <c r="N2413" s="7">
        <v>1.79576693616465</v>
      </c>
      <c r="O2413" s="7">
        <v>1.18794342459175</v>
      </c>
      <c r="P2413" s="7">
        <v>57.198470512273303</v>
      </c>
      <c r="Q2413" s="7">
        <v>1.3722126929674101</v>
      </c>
      <c r="U2413">
        <v>0.20383467774821182</v>
      </c>
      <c r="AT2413" s="4" t="s">
        <v>7571</v>
      </c>
    </row>
    <row r="2414" spans="1:46">
      <c r="A2414" s="2">
        <v>3493</v>
      </c>
      <c r="B2414" t="s">
        <v>7572</v>
      </c>
      <c r="C2414" t="s">
        <v>2600</v>
      </c>
      <c r="D2414" t="s">
        <v>3752</v>
      </c>
      <c r="E2414" s="4">
        <v>43465</v>
      </c>
      <c r="F2414" s="11">
        <v>-34.345730600000003</v>
      </c>
      <c r="G2414" s="11">
        <v>-2.3138105599999998</v>
      </c>
      <c r="H2414" s="11">
        <v>21.079727226599999</v>
      </c>
      <c r="I2414" s="11">
        <v>17.531004578000001</v>
      </c>
      <c r="J2414" s="11">
        <v>2.87919846</v>
      </c>
      <c r="K2414" s="10">
        <v>0.70817846856599997</v>
      </c>
      <c r="L2414" s="12">
        <v>4197820004.8800001</v>
      </c>
      <c r="M2414">
        <v>72.224133132473</v>
      </c>
      <c r="N2414" s="7">
        <v>2.26948860128556</v>
      </c>
      <c r="O2414" s="7">
        <v>2.20164967343498</v>
      </c>
      <c r="P2414" s="7">
        <v>101.471882516655</v>
      </c>
      <c r="Q2414" s="7">
        <v>0.39651070578905628</v>
      </c>
      <c r="U2414">
        <v>0.18129855695902741</v>
      </c>
      <c r="AT2414" s="4" t="s">
        <v>7573</v>
      </c>
    </row>
    <row r="2415" spans="1:46">
      <c r="A2415" s="2">
        <v>230</v>
      </c>
      <c r="B2415" t="s">
        <v>7574</v>
      </c>
      <c r="C2415" t="s">
        <v>85</v>
      </c>
      <c r="D2415" t="s">
        <v>3842</v>
      </c>
      <c r="E2415" s="4">
        <v>43465</v>
      </c>
      <c r="F2415" s="11">
        <v>-4.8859934899999997</v>
      </c>
      <c r="G2415" s="11">
        <v>-2.3333333299999999</v>
      </c>
      <c r="H2415" s="11">
        <v>60.680395387799997</v>
      </c>
      <c r="I2415" s="11">
        <v>27.5152169403</v>
      </c>
      <c r="J2415" s="11">
        <v>20.8626473568</v>
      </c>
      <c r="K2415" s="10">
        <v>1.3574056936350001</v>
      </c>
      <c r="L2415" s="12">
        <v>2672384000</v>
      </c>
      <c r="M2415">
        <v>11.4674390805322</v>
      </c>
      <c r="N2415" s="7">
        <v>3.4824300733756801</v>
      </c>
      <c r="O2415" s="7">
        <v>1.89137143172853</v>
      </c>
      <c r="P2415" s="7">
        <v>36.054610561967102</v>
      </c>
      <c r="Q2415" s="7" t="s">
        <v>3698</v>
      </c>
      <c r="U2415">
        <v>0.35975180536422557</v>
      </c>
      <c r="AT2415" s="4" t="s">
        <v>7257</v>
      </c>
    </row>
    <row r="2416" spans="1:46">
      <c r="A2416" s="2">
        <v>1897</v>
      </c>
      <c r="B2416" t="s">
        <v>7575</v>
      </c>
      <c r="C2416" t="s">
        <v>2045</v>
      </c>
      <c r="D2416" t="s">
        <v>3718</v>
      </c>
      <c r="E2416" s="4">
        <v>43465</v>
      </c>
      <c r="F2416" s="11">
        <v>-26.258390760000001</v>
      </c>
      <c r="G2416" s="11">
        <v>-2.35121234</v>
      </c>
      <c r="H2416" s="11">
        <v>76.890686009000007</v>
      </c>
      <c r="I2416" s="11">
        <v>35.431660573400002</v>
      </c>
      <c r="J2416" s="11">
        <v>13.3803975137</v>
      </c>
      <c r="K2416" s="10">
        <v>0.34052335537700001</v>
      </c>
      <c r="L2416" s="12">
        <v>4559678141.4399996</v>
      </c>
      <c r="M2416">
        <v>53.8202705832039</v>
      </c>
      <c r="N2416" s="7">
        <v>3.2740480231810798</v>
      </c>
      <c r="O2416" s="7">
        <v>3.7876979215600102</v>
      </c>
      <c r="P2416" s="7">
        <v>86.025995846550302</v>
      </c>
      <c r="Q2416" s="7">
        <v>0.51143953054471225</v>
      </c>
      <c r="U2416">
        <v>0.52838130890602641</v>
      </c>
      <c r="AT2416" s="4" t="s">
        <v>4365</v>
      </c>
    </row>
    <row r="2417" spans="1:46">
      <c r="A2417" s="2">
        <v>2590</v>
      </c>
      <c r="B2417" t="s">
        <v>7576</v>
      </c>
      <c r="C2417" t="s">
        <v>554</v>
      </c>
      <c r="D2417" t="s">
        <v>3778</v>
      </c>
      <c r="E2417" s="4">
        <v>43465</v>
      </c>
      <c r="F2417" s="11">
        <v>-18.800173910000002</v>
      </c>
      <c r="G2417" s="11">
        <v>-2.3834196900000002</v>
      </c>
      <c r="H2417" s="11">
        <v>8.1326876182000003</v>
      </c>
      <c r="I2417" s="11">
        <v>31.0192068572</v>
      </c>
      <c r="J2417" s="11">
        <v>8.4940529599999994</v>
      </c>
      <c r="K2417" s="10">
        <v>0.46993303645700002</v>
      </c>
      <c r="L2417" s="12">
        <v>2581740000</v>
      </c>
      <c r="M2417">
        <v>10.3433111420287</v>
      </c>
      <c r="N2417" s="7">
        <v>0.73325258840708396</v>
      </c>
      <c r="O2417" s="7">
        <v>1.0355158325343901</v>
      </c>
      <c r="P2417" s="7">
        <v>30.118680995095101</v>
      </c>
      <c r="Q2417" s="7">
        <v>3.0837004405286339</v>
      </c>
      <c r="U2417">
        <v>0.91503652287614257</v>
      </c>
      <c r="AT2417" s="4" t="s">
        <v>7577</v>
      </c>
    </row>
    <row r="2418" spans="1:46">
      <c r="A2418" s="2">
        <v>1582</v>
      </c>
      <c r="B2418" t="s">
        <v>7578</v>
      </c>
      <c r="C2418" t="s">
        <v>2957</v>
      </c>
      <c r="D2418" t="s">
        <v>3713</v>
      </c>
      <c r="E2418" s="4">
        <v>43465</v>
      </c>
      <c r="F2418" s="11">
        <v>-55.372807020000003</v>
      </c>
      <c r="G2418" s="11">
        <v>-2.4096385499999999</v>
      </c>
      <c r="H2418" s="11">
        <v>-49.259973647300001</v>
      </c>
      <c r="I2418" s="11">
        <v>25.171501712600001</v>
      </c>
      <c r="J2418" s="11">
        <v>3.2131331581999998</v>
      </c>
      <c r="K2418" s="10">
        <v>0.25086606768399999</v>
      </c>
      <c r="L2418" s="12">
        <v>3935451464</v>
      </c>
      <c r="M2418">
        <v>-5.2766667113467003</v>
      </c>
      <c r="N2418" s="7">
        <v>1.41284159389068</v>
      </c>
      <c r="O2418" s="7">
        <v>2.00447562740445</v>
      </c>
      <c r="P2418" s="7">
        <v>-12.357852559678999</v>
      </c>
      <c r="Q2418" s="7" t="s">
        <v>3698</v>
      </c>
      <c r="U2418">
        <v>4.2951165393063311E-2</v>
      </c>
      <c r="AT2418" s="4" t="s">
        <v>5601</v>
      </c>
    </row>
    <row r="2419" spans="1:46">
      <c r="A2419" s="2">
        <v>335</v>
      </c>
      <c r="B2419" t="s">
        <v>7579</v>
      </c>
      <c r="C2419" t="s">
        <v>3616</v>
      </c>
      <c r="D2419" t="s">
        <v>3764</v>
      </c>
      <c r="E2419" s="4">
        <v>43465</v>
      </c>
      <c r="F2419" s="11">
        <v>-17.346938779999999</v>
      </c>
      <c r="G2419" s="11">
        <v>-2.4291497999999998</v>
      </c>
      <c r="H2419" s="11">
        <v>17.9570431866</v>
      </c>
      <c r="I2419" s="11">
        <v>5.5468257464999997</v>
      </c>
      <c r="J2419" s="11">
        <v>0.43925873799999998</v>
      </c>
      <c r="K2419" s="10">
        <v>0.22733679874000001</v>
      </c>
      <c r="L2419" s="12">
        <v>1945567764.4000001</v>
      </c>
      <c r="M2419">
        <v>-5.5837460195529403</v>
      </c>
      <c r="N2419" s="7">
        <v>1.02220568780684</v>
      </c>
      <c r="O2419" s="7">
        <v>0.70469735090284802</v>
      </c>
      <c r="P2419" s="7">
        <v>-6.4789667241159998</v>
      </c>
      <c r="Q2419" s="7" t="s">
        <v>3698</v>
      </c>
      <c r="U2419">
        <v>0.10380047501307986</v>
      </c>
      <c r="AT2419" s="4" t="s">
        <v>7580</v>
      </c>
    </row>
    <row r="2420" spans="1:46">
      <c r="A2420" s="2">
        <v>3571</v>
      </c>
      <c r="B2420" t="s">
        <v>7581</v>
      </c>
      <c r="C2420" t="s">
        <v>159</v>
      </c>
      <c r="D2420" t="s">
        <v>3977</v>
      </c>
      <c r="E2420" s="4">
        <v>43465</v>
      </c>
      <c r="F2420" s="11">
        <v>-46.765396520000003</v>
      </c>
      <c r="G2420" s="11">
        <v>-2.4358302799999998</v>
      </c>
      <c r="H2420" s="11">
        <v>3.1952485587999999</v>
      </c>
      <c r="I2420" s="11">
        <v>39.090602603599997</v>
      </c>
      <c r="J2420" s="11">
        <v>21.215736998299999</v>
      </c>
      <c r="K2420" s="10">
        <v>1.1438743672589999</v>
      </c>
      <c r="L2420" s="12">
        <v>2725248000</v>
      </c>
      <c r="M2420">
        <v>20.867852963017999</v>
      </c>
      <c r="N2420" s="7">
        <v>6.3924587204290697</v>
      </c>
      <c r="O2420" s="7">
        <v>4.1482471335545199</v>
      </c>
      <c r="P2420" s="7">
        <v>-41.558092615112898</v>
      </c>
      <c r="Q2420" s="7">
        <v>4.1322314049586781</v>
      </c>
      <c r="U2420">
        <v>1.9396164777318643</v>
      </c>
      <c r="AT2420" s="4" t="s">
        <v>7582</v>
      </c>
    </row>
    <row r="2421" spans="1:46">
      <c r="A2421" s="2">
        <v>3136</v>
      </c>
      <c r="B2421" t="s">
        <v>7583</v>
      </c>
      <c r="C2421" t="s">
        <v>562</v>
      </c>
      <c r="D2421" t="s">
        <v>3858</v>
      </c>
      <c r="E2421" s="4">
        <v>43465</v>
      </c>
      <c r="F2421" s="11">
        <v>-7.6602173699999998</v>
      </c>
      <c r="G2421" s="11">
        <v>-2.4561403500000001</v>
      </c>
      <c r="H2421" s="11">
        <v>13.776408891000001</v>
      </c>
      <c r="I2421" s="11">
        <v>11.891271463800001</v>
      </c>
      <c r="J2421" s="11">
        <v>4.6151144954000003</v>
      </c>
      <c r="K2421" s="10">
        <v>0.70283417144299998</v>
      </c>
      <c r="L2421" s="12">
        <v>8542280379.6000004</v>
      </c>
      <c r="M2421">
        <v>7.1676750098882396</v>
      </c>
      <c r="N2421" s="7">
        <v>1.0942840806245799</v>
      </c>
      <c r="O2421" s="7">
        <v>0.212967728639993</v>
      </c>
      <c r="P2421" s="7">
        <v>7.8626063635644696</v>
      </c>
      <c r="Q2421" s="7">
        <v>3.2881126585616505</v>
      </c>
      <c r="U2421">
        <v>0.91082922713557657</v>
      </c>
      <c r="AT2421" s="4" t="s">
        <v>7584</v>
      </c>
    </row>
    <row r="2422" spans="1:46">
      <c r="A2422" s="2">
        <v>442</v>
      </c>
      <c r="B2422" t="s">
        <v>7585</v>
      </c>
      <c r="C2422" t="s">
        <v>3301</v>
      </c>
      <c r="D2422" t="s">
        <v>3889</v>
      </c>
      <c r="E2422" s="4">
        <v>43465</v>
      </c>
      <c r="F2422" s="11">
        <v>-25.385656399999998</v>
      </c>
      <c r="G2422" s="11">
        <v>-2.4566474</v>
      </c>
      <c r="H2422" s="11">
        <v>20.239407859</v>
      </c>
      <c r="I2422" s="11">
        <v>19.7601315028</v>
      </c>
      <c r="J2422" s="11">
        <v>2.5856557677000001</v>
      </c>
      <c r="K2422" s="10">
        <v>0.44710647576099999</v>
      </c>
      <c r="L2422" s="12">
        <v>2739234679.6199999</v>
      </c>
      <c r="M2422">
        <v>-11.7090052140524</v>
      </c>
      <c r="N2422" s="7">
        <v>1.0317787700232901</v>
      </c>
      <c r="O2422" s="7">
        <v>0.95945674185721697</v>
      </c>
      <c r="P2422" s="7">
        <v>13.855201208826101</v>
      </c>
      <c r="Q2422" s="7">
        <v>0.30150753768844218</v>
      </c>
      <c r="U2422">
        <v>6.1781868926326935E-2</v>
      </c>
      <c r="AT2422" s="4" t="s">
        <v>7586</v>
      </c>
    </row>
    <row r="2423" spans="1:46">
      <c r="A2423" s="2">
        <v>1437</v>
      </c>
      <c r="B2423" t="s">
        <v>7587</v>
      </c>
      <c r="C2423" t="s">
        <v>3210</v>
      </c>
      <c r="D2423" t="s">
        <v>3849</v>
      </c>
      <c r="E2423" s="4">
        <v>43465</v>
      </c>
      <c r="F2423" s="11">
        <v>-42.774839329999999</v>
      </c>
      <c r="G2423" s="11">
        <v>-2.47933884</v>
      </c>
      <c r="H2423" s="11">
        <v>9.7541810431999991</v>
      </c>
      <c r="I2423" s="11">
        <v>31.449356183999999</v>
      </c>
      <c r="J2423" s="11">
        <v>-42.536906328900002</v>
      </c>
      <c r="K2423" s="10">
        <v>0.356717379409</v>
      </c>
      <c r="L2423" s="12">
        <v>3909022000</v>
      </c>
      <c r="M2423">
        <v>111.87123722979899</v>
      </c>
      <c r="N2423" s="7">
        <v>2.2788346832539901</v>
      </c>
      <c r="O2423" s="7">
        <v>2.5376330594376002</v>
      </c>
      <c r="P2423" s="7">
        <v>-11.8440902141908</v>
      </c>
      <c r="Q2423" s="7" t="s">
        <v>3698</v>
      </c>
      <c r="U2423">
        <v>-1.0322486978962746</v>
      </c>
      <c r="AT2423" s="4" t="s">
        <v>3770</v>
      </c>
    </row>
    <row r="2424" spans="1:46">
      <c r="A2424" s="2">
        <v>2236</v>
      </c>
      <c r="B2424" t="s">
        <v>7588</v>
      </c>
      <c r="C2424" t="s">
        <v>1604</v>
      </c>
      <c r="D2424" t="s">
        <v>3761</v>
      </c>
      <c r="E2424" s="4">
        <v>43465</v>
      </c>
      <c r="F2424" s="11">
        <v>-29.04640041</v>
      </c>
      <c r="G2424" s="11">
        <v>-2.5036818900000002</v>
      </c>
      <c r="H2424" s="11">
        <v>3.5900807187999999</v>
      </c>
      <c r="I2424" s="11">
        <v>19.664959530299999</v>
      </c>
      <c r="J2424" s="11">
        <v>6.3904765924999998</v>
      </c>
      <c r="K2424" s="10">
        <v>0.45013903782600001</v>
      </c>
      <c r="L2424" s="12">
        <v>2904040293.8800001</v>
      </c>
      <c r="M2424">
        <v>12.4368257014811</v>
      </c>
      <c r="N2424" s="7">
        <v>0.87484681353236204</v>
      </c>
      <c r="O2424" s="7">
        <v>0.65718199742301198</v>
      </c>
      <c r="P2424" s="7">
        <v>21.071158304599798</v>
      </c>
      <c r="Q2424" s="7">
        <v>2.7736395627918355</v>
      </c>
      <c r="U2424">
        <v>0.55132795635383758</v>
      </c>
      <c r="AT2424" s="4" t="s">
        <v>7231</v>
      </c>
    </row>
    <row r="2425" spans="1:46">
      <c r="A2425" s="2">
        <v>3233</v>
      </c>
      <c r="B2425" t="s">
        <v>7589</v>
      </c>
      <c r="C2425" t="s">
        <v>240</v>
      </c>
      <c r="D2425" t="s">
        <v>3849</v>
      </c>
      <c r="E2425" s="4">
        <v>43465</v>
      </c>
      <c r="F2425" s="11">
        <v>-23.70734083</v>
      </c>
      <c r="G2425" s="11">
        <v>-2.5139664800000001</v>
      </c>
      <c r="H2425" s="11">
        <v>21.974557080099999</v>
      </c>
      <c r="I2425" s="11">
        <v>42.474711191300003</v>
      </c>
      <c r="J2425" s="11">
        <v>23.095309901099998</v>
      </c>
      <c r="K2425" s="10">
        <v>0.59394631612500004</v>
      </c>
      <c r="L2425" s="12">
        <v>9192622500</v>
      </c>
      <c r="M2425">
        <v>16.4267724782442</v>
      </c>
      <c r="N2425" s="7">
        <v>2.30050190050726</v>
      </c>
      <c r="O2425" s="7">
        <v>3.5745778527687602</v>
      </c>
      <c r="P2425" s="7">
        <v>50.374276669012403</v>
      </c>
      <c r="Q2425" s="7">
        <v>4.6904315196998123</v>
      </c>
      <c r="U2425">
        <v>1.1987846843972065</v>
      </c>
      <c r="AT2425" s="4" t="s">
        <v>3716</v>
      </c>
    </row>
    <row r="2426" spans="1:46">
      <c r="A2426" s="2">
        <v>1817</v>
      </c>
      <c r="B2426" t="s">
        <v>7590</v>
      </c>
      <c r="C2426" t="s">
        <v>2738</v>
      </c>
      <c r="D2426" t="s">
        <v>3889</v>
      </c>
      <c r="E2426" s="4">
        <v>43465</v>
      </c>
      <c r="F2426" s="11">
        <v>-49.832551909999999</v>
      </c>
      <c r="G2426" s="11">
        <v>-2.5412960600000001</v>
      </c>
      <c r="H2426" s="11">
        <v>-17.995623989199999</v>
      </c>
      <c r="I2426" s="11">
        <v>4.9179973694000001</v>
      </c>
      <c r="J2426" s="11">
        <v>1.5583056038</v>
      </c>
      <c r="K2426" s="10">
        <v>0.91635927499500003</v>
      </c>
      <c r="L2426" s="12">
        <v>1046521434.96</v>
      </c>
      <c r="M2426">
        <v>-14.7698381125964</v>
      </c>
      <c r="N2426" s="7">
        <v>6.2529773947228104</v>
      </c>
      <c r="O2426" s="7">
        <v>1.9603932406486999</v>
      </c>
      <c r="P2426" s="7">
        <v>-35.548950764104099</v>
      </c>
      <c r="Q2426" s="7" t="s">
        <v>3698</v>
      </c>
      <c r="U2426">
        <v>5.2802911796874998E-2</v>
      </c>
      <c r="AT2426" s="4" t="s">
        <v>3772</v>
      </c>
    </row>
    <row r="2427" spans="1:46">
      <c r="A2427" s="2">
        <v>555</v>
      </c>
      <c r="B2427" t="s">
        <v>7591</v>
      </c>
      <c r="C2427" t="s">
        <v>3466</v>
      </c>
      <c r="D2427" t="s">
        <v>3737</v>
      </c>
      <c r="E2427" s="4">
        <v>43465</v>
      </c>
      <c r="F2427" s="11">
        <v>-1.4502556900000001</v>
      </c>
      <c r="G2427" s="11">
        <v>-2.5418060200000001</v>
      </c>
      <c r="H2427" s="11">
        <v>34.638205819900001</v>
      </c>
      <c r="I2427" s="11">
        <v>47.560805554300003</v>
      </c>
      <c r="J2427" s="11">
        <v>11.500766050699999</v>
      </c>
      <c r="K2427" s="10">
        <v>0.58669887220100003</v>
      </c>
      <c r="L2427" s="12">
        <v>2793825328.4400001</v>
      </c>
      <c r="M2427">
        <v>66.963400109454199</v>
      </c>
      <c r="N2427" s="7">
        <v>25.543436344664901</v>
      </c>
      <c r="O2427" s="7">
        <v>5.8452206672849103</v>
      </c>
      <c r="P2427" s="7">
        <v>350.07263788799401</v>
      </c>
      <c r="Q2427" s="7">
        <v>0.28618278881783704</v>
      </c>
      <c r="U2427">
        <v>0.26289627584717423</v>
      </c>
      <c r="AT2427" s="4" t="s">
        <v>7592</v>
      </c>
    </row>
    <row r="2428" spans="1:46">
      <c r="A2428" s="2">
        <v>2201</v>
      </c>
      <c r="B2428" t="s">
        <v>7593</v>
      </c>
      <c r="C2428" t="s">
        <v>1458</v>
      </c>
      <c r="D2428" t="s">
        <v>3832</v>
      </c>
      <c r="E2428" s="4">
        <v>43465</v>
      </c>
      <c r="F2428" s="11">
        <v>-33.482164189999999</v>
      </c>
      <c r="G2428" s="11">
        <v>-2.5586353900000001</v>
      </c>
      <c r="H2428" s="11">
        <v>-9.1346267832999999</v>
      </c>
      <c r="I2428" s="11">
        <v>54.139137093099997</v>
      </c>
      <c r="J2428" s="11">
        <v>37.331825359500002</v>
      </c>
      <c r="K2428" s="10">
        <v>0.34191190445199998</v>
      </c>
      <c r="L2428" s="12">
        <v>7701288669.3599997</v>
      </c>
      <c r="M2428">
        <v>21.037820482513499</v>
      </c>
      <c r="N2428" s="7">
        <v>1.7201648902584901</v>
      </c>
      <c r="O2428" s="7">
        <v>4.23073828843419</v>
      </c>
      <c r="P2428" s="7">
        <v>45.250715018304199</v>
      </c>
      <c r="Q2428" s="7">
        <v>1.4748603351955307</v>
      </c>
      <c r="U2428">
        <v>0.77949066911548237</v>
      </c>
      <c r="AT2428" s="4" t="s">
        <v>5685</v>
      </c>
    </row>
    <row r="2429" spans="1:46">
      <c r="A2429" s="2">
        <v>871</v>
      </c>
      <c r="B2429" t="s">
        <v>7594</v>
      </c>
      <c r="C2429" t="s">
        <v>1411</v>
      </c>
      <c r="D2429" t="s">
        <v>3752</v>
      </c>
      <c r="E2429" s="4">
        <v>43465</v>
      </c>
      <c r="F2429" s="11">
        <v>-15.77745635</v>
      </c>
      <c r="G2429" s="11">
        <v>-2.5641025599999998</v>
      </c>
      <c r="H2429" s="11">
        <v>26.330194028899999</v>
      </c>
      <c r="I2429" s="11">
        <v>45.193697214399997</v>
      </c>
      <c r="J2429" s="11">
        <v>15.7877930163</v>
      </c>
      <c r="K2429" s="10">
        <v>0.63964935680599999</v>
      </c>
      <c r="L2429" s="12">
        <v>2426880000</v>
      </c>
      <c r="M2429">
        <v>14.8562608737566</v>
      </c>
      <c r="N2429" s="7">
        <v>2.1944144100959102</v>
      </c>
      <c r="O2429" s="7">
        <v>2.4667324576584</v>
      </c>
      <c r="P2429" s="7">
        <v>-23.342832982981299</v>
      </c>
      <c r="Q2429" s="7">
        <v>1.9607843137254901</v>
      </c>
      <c r="U2429">
        <v>0.36698026658656707</v>
      </c>
      <c r="AT2429" s="4" t="s">
        <v>5891</v>
      </c>
    </row>
    <row r="2430" spans="1:46">
      <c r="A2430" s="2">
        <v>1495</v>
      </c>
      <c r="B2430" t="s">
        <v>7595</v>
      </c>
      <c r="C2430" t="s">
        <v>2385</v>
      </c>
      <c r="D2430" t="s">
        <v>3764</v>
      </c>
      <c r="E2430" s="4">
        <v>43465</v>
      </c>
      <c r="F2430" s="11">
        <v>-55.657289419999998</v>
      </c>
      <c r="G2430" s="11">
        <v>-2.5641025599999998</v>
      </c>
      <c r="H2430" s="11">
        <v>-16.339288977199999</v>
      </c>
      <c r="I2430" s="11">
        <v>29.813878291000002</v>
      </c>
      <c r="J2430" s="11">
        <v>11.7343068604</v>
      </c>
      <c r="K2430" s="10">
        <v>0.22511746800499999</v>
      </c>
      <c r="L2430" s="12">
        <v>6087748717.4399996</v>
      </c>
      <c r="M2430">
        <v>10.7424714749567</v>
      </c>
      <c r="N2430" s="7">
        <v>1.3650488813638699</v>
      </c>
      <c r="O2430" s="7">
        <v>1.7052965501753801</v>
      </c>
      <c r="P2430" s="7">
        <v>59.323325561041798</v>
      </c>
      <c r="Q2430" s="7">
        <v>0.51699611232189591</v>
      </c>
      <c r="U2430">
        <v>0.3950215090744712</v>
      </c>
      <c r="AT2430" s="4" t="s">
        <v>4234</v>
      </c>
    </row>
    <row r="2431" spans="1:46">
      <c r="A2431" s="2">
        <v>2574</v>
      </c>
      <c r="B2431" t="s">
        <v>7596</v>
      </c>
      <c r="C2431" t="s">
        <v>2737</v>
      </c>
      <c r="D2431" t="s">
        <v>3769</v>
      </c>
      <c r="E2431" s="4">
        <v>43465</v>
      </c>
      <c r="F2431" s="11">
        <v>-13.6810153</v>
      </c>
      <c r="G2431" s="11">
        <v>-2.5641025599999998</v>
      </c>
      <c r="H2431" s="11">
        <v>4.6286524358000003</v>
      </c>
      <c r="I2431" s="11">
        <v>10.402881369099999</v>
      </c>
      <c r="J2431" s="11">
        <v>1.0924346436000001</v>
      </c>
      <c r="K2431" s="10">
        <v>0.89991148059799997</v>
      </c>
      <c r="L2431" s="12">
        <v>3608617471.1799998</v>
      </c>
      <c r="M2431">
        <v>557.051631299664</v>
      </c>
      <c r="N2431" s="7">
        <v>2.29520027013674</v>
      </c>
      <c r="O2431" s="7">
        <v>0.907186289250411</v>
      </c>
      <c r="P2431" s="7">
        <v>-38.636332848227198</v>
      </c>
      <c r="Q2431" s="7">
        <v>0.25510204081632654</v>
      </c>
      <c r="U2431">
        <v>5.6777804488490305E-2</v>
      </c>
      <c r="AT2431" s="4" t="s">
        <v>7597</v>
      </c>
    </row>
    <row r="2432" spans="1:46">
      <c r="A2432" s="2">
        <v>1855</v>
      </c>
      <c r="B2432" t="s">
        <v>7598</v>
      </c>
      <c r="C2432" t="s">
        <v>2445</v>
      </c>
      <c r="D2432" t="s">
        <v>3718</v>
      </c>
      <c r="E2432" s="4">
        <v>43465</v>
      </c>
      <c r="F2432" s="11">
        <v>-41.564305019999999</v>
      </c>
      <c r="G2432" s="11">
        <v>-2.5735294099999999</v>
      </c>
      <c r="H2432" s="11">
        <v>24.139660876600001</v>
      </c>
      <c r="I2432" s="11">
        <v>41.871140882500001</v>
      </c>
      <c r="J2432" s="11">
        <v>15.0770686359</v>
      </c>
      <c r="K2432" s="10">
        <v>0.34267644917500001</v>
      </c>
      <c r="L2432" s="12">
        <v>7220066169.54</v>
      </c>
      <c r="M2432">
        <v>21.309520884360399</v>
      </c>
      <c r="N2432" s="7">
        <v>2.00398926353542</v>
      </c>
      <c r="O2432" s="7">
        <v>3.38188275996847</v>
      </c>
      <c r="P2432" s="7">
        <v>-22.575593767938599</v>
      </c>
      <c r="Q2432" s="7" t="s">
        <v>3698</v>
      </c>
      <c r="U2432">
        <v>0.376108804213521</v>
      </c>
      <c r="AT2432" s="4" t="s">
        <v>4058</v>
      </c>
    </row>
    <row r="2433" spans="1:46">
      <c r="A2433" s="2">
        <v>204</v>
      </c>
      <c r="B2433" t="s">
        <v>7599</v>
      </c>
      <c r="C2433" t="s">
        <v>1476</v>
      </c>
      <c r="D2433" t="s">
        <v>3764</v>
      </c>
      <c r="E2433" s="4">
        <v>43465</v>
      </c>
      <c r="F2433" s="11">
        <v>-34.799309899999997</v>
      </c>
      <c r="G2433" s="11">
        <v>-2.5896414299999999</v>
      </c>
      <c r="H2433" s="11">
        <v>32.242567921199999</v>
      </c>
      <c r="I2433" s="11">
        <v>16.135247575099999</v>
      </c>
      <c r="J2433" s="11">
        <v>4.7340473270999999</v>
      </c>
      <c r="K2433" s="10">
        <v>0.44357333888799999</v>
      </c>
      <c r="L2433" s="12">
        <v>8619840000</v>
      </c>
      <c r="M2433">
        <v>42.5764576098099</v>
      </c>
      <c r="N2433" s="7">
        <v>0.821064684736868</v>
      </c>
      <c r="O2433" s="7">
        <v>0.66613401644366099</v>
      </c>
      <c r="P2433" s="7">
        <v>53.252256948554603</v>
      </c>
      <c r="Q2433" s="7">
        <v>2.0703933747412013</v>
      </c>
      <c r="U2433">
        <v>0.24103338396598822</v>
      </c>
      <c r="AT2433" s="4" t="s">
        <v>6254</v>
      </c>
    </row>
    <row r="2434" spans="1:46">
      <c r="A2434" s="2">
        <v>3098</v>
      </c>
      <c r="B2434" t="s">
        <v>7600</v>
      </c>
      <c r="C2434" t="s">
        <v>712</v>
      </c>
      <c r="D2434" t="s">
        <v>3837</v>
      </c>
      <c r="E2434" s="4">
        <v>43465</v>
      </c>
      <c r="F2434" s="11">
        <v>0.16677122999999999</v>
      </c>
      <c r="G2434" s="11">
        <v>-2.5906735799999998</v>
      </c>
      <c r="H2434" s="11">
        <v>8.4908500033000003</v>
      </c>
      <c r="I2434" s="11" t="s">
        <v>3698</v>
      </c>
      <c r="J2434" s="11">
        <v>34.875901699499998</v>
      </c>
      <c r="K2434" s="10" t="s">
        <v>3698</v>
      </c>
      <c r="L2434" s="12">
        <v>2858178968.4000001</v>
      </c>
      <c r="M2434">
        <v>5.92946642498966</v>
      </c>
      <c r="N2434" s="7">
        <v>0.67339335766198605</v>
      </c>
      <c r="O2434" s="7">
        <v>2.1072034582904902</v>
      </c>
      <c r="P2434" s="7">
        <v>-11.789996909091</v>
      </c>
      <c r="Q2434" s="7">
        <v>5.4446460980036298</v>
      </c>
      <c r="U2434">
        <v>0.9914798893929031</v>
      </c>
      <c r="AT2434" s="4" t="s">
        <v>7601</v>
      </c>
    </row>
    <row r="2435" spans="1:46">
      <c r="A2435" s="2">
        <v>1087</v>
      </c>
      <c r="B2435" t="s">
        <v>7602</v>
      </c>
      <c r="C2435" t="s">
        <v>2650</v>
      </c>
      <c r="D2435" t="s">
        <v>3761</v>
      </c>
      <c r="E2435" s="4">
        <v>43465</v>
      </c>
      <c r="F2435" s="11">
        <v>-59.962152160000002</v>
      </c>
      <c r="G2435" s="11">
        <v>-2.5922233299999999</v>
      </c>
      <c r="H2435" s="11">
        <v>6.5041731691000004</v>
      </c>
      <c r="I2435" s="11">
        <v>10.9069031318</v>
      </c>
      <c r="J2435" s="11">
        <v>1.3251734545</v>
      </c>
      <c r="K2435" s="10">
        <v>1.0618402324889999</v>
      </c>
      <c r="L2435" s="12">
        <v>4027782063.4000001</v>
      </c>
      <c r="M2435">
        <v>81.254935945046</v>
      </c>
      <c r="N2435" s="7">
        <v>1.9012030292547999</v>
      </c>
      <c r="O2435" s="7">
        <v>1.456216235531</v>
      </c>
      <c r="P2435" s="7">
        <v>102.720876146205</v>
      </c>
      <c r="Q2435" s="7">
        <v>0.53078556263269638</v>
      </c>
      <c r="U2435">
        <v>0.11730608837068444</v>
      </c>
      <c r="AT2435" s="4" t="s">
        <v>5330</v>
      </c>
    </row>
    <row r="2436" spans="1:46">
      <c r="A2436" s="2">
        <v>1307</v>
      </c>
      <c r="B2436" t="s">
        <v>7603</v>
      </c>
      <c r="C2436" t="s">
        <v>1077</v>
      </c>
      <c r="D2436" t="s">
        <v>3752</v>
      </c>
      <c r="E2436" s="4">
        <v>43465</v>
      </c>
      <c r="F2436" s="11">
        <v>-25.181730439999999</v>
      </c>
      <c r="G2436" s="11">
        <v>-2.6366251200000002</v>
      </c>
      <c r="H2436" s="11">
        <v>33.412300455500002</v>
      </c>
      <c r="I2436" s="11">
        <v>26.711789611</v>
      </c>
      <c r="J2436" s="11">
        <v>14.1615692789</v>
      </c>
      <c r="K2436" s="10">
        <v>0.77820848263999998</v>
      </c>
      <c r="L2436" s="12">
        <v>5678608485.8999996</v>
      </c>
      <c r="M2436">
        <v>35.304574213785997</v>
      </c>
      <c r="N2436" s="7">
        <v>3.6867610411084599</v>
      </c>
      <c r="O2436" s="7">
        <v>4.5288908389301099</v>
      </c>
      <c r="P2436" s="7">
        <v>123.966880977142</v>
      </c>
      <c r="Q2436" s="7">
        <v>5.2495134055966277</v>
      </c>
      <c r="U2436">
        <v>0.67743791398246422</v>
      </c>
      <c r="AT2436" s="4" t="s">
        <v>7604</v>
      </c>
    </row>
    <row r="2437" spans="1:46">
      <c r="A2437" s="2">
        <v>2028</v>
      </c>
      <c r="B2437" t="s">
        <v>7605</v>
      </c>
      <c r="C2437" t="s">
        <v>3641</v>
      </c>
      <c r="D2437" t="s">
        <v>3713</v>
      </c>
      <c r="E2437" s="4">
        <v>43465</v>
      </c>
      <c r="F2437" s="11">
        <v>4.0622365299999998</v>
      </c>
      <c r="G2437" s="11">
        <v>-2.6482440999999999</v>
      </c>
      <c r="H2437" s="11">
        <v>6.4448187951999998</v>
      </c>
      <c r="I2437" s="11">
        <v>50.634029750000003</v>
      </c>
      <c r="J2437" s="11">
        <v>10.9579572796</v>
      </c>
      <c r="K2437" s="10">
        <v>0.72923685957499995</v>
      </c>
      <c r="L2437" s="12">
        <v>1720178600</v>
      </c>
      <c r="M2437">
        <v>30.604680116910199</v>
      </c>
      <c r="N2437" s="7">
        <v>2.6213173732967099</v>
      </c>
      <c r="O2437" s="7">
        <v>2.3684401413168201</v>
      </c>
      <c r="P2437" s="7">
        <v>68.820977744644907</v>
      </c>
      <c r="Q2437" s="7">
        <v>1.1449206023801817</v>
      </c>
      <c r="U2437">
        <v>0.80397126438731303</v>
      </c>
      <c r="AT2437" s="4" t="s">
        <v>6517</v>
      </c>
    </row>
    <row r="2438" spans="1:46">
      <c r="A2438" s="2">
        <v>460</v>
      </c>
      <c r="B2438" t="s">
        <v>7606</v>
      </c>
      <c r="C2438" t="s">
        <v>1807</v>
      </c>
      <c r="D2438" t="s">
        <v>3778</v>
      </c>
      <c r="E2438" s="4">
        <v>43465</v>
      </c>
      <c r="F2438" s="11">
        <v>-33.930691510000003</v>
      </c>
      <c r="G2438" s="11">
        <v>-2.6525198900000002</v>
      </c>
      <c r="H2438" s="11">
        <v>5.2824588723000003</v>
      </c>
      <c r="I2438" s="11">
        <v>26.842976777699999</v>
      </c>
      <c r="J2438" s="11">
        <v>4.8892585405000002</v>
      </c>
      <c r="K2438" s="10">
        <v>0.46880640168799997</v>
      </c>
      <c r="L2438" s="12">
        <v>25082058909.84</v>
      </c>
      <c r="M2438">
        <v>11.585368504728899</v>
      </c>
      <c r="N2438" s="7">
        <v>0.67237179390940505</v>
      </c>
      <c r="O2438" s="7">
        <v>0.62646834131539597</v>
      </c>
      <c r="P2438" s="7">
        <v>11.451964100108899</v>
      </c>
      <c r="Q2438" s="7">
        <v>2.8490028490028489</v>
      </c>
      <c r="U2438">
        <v>0.24678382151916281</v>
      </c>
      <c r="AT2438" s="4" t="s">
        <v>7607</v>
      </c>
    </row>
    <row r="2439" spans="1:46">
      <c r="A2439" s="2">
        <v>2856</v>
      </c>
      <c r="B2439" t="s">
        <v>7608</v>
      </c>
      <c r="C2439" t="s">
        <v>2456</v>
      </c>
      <c r="D2439" t="s">
        <v>3769</v>
      </c>
      <c r="E2439" s="4">
        <v>43465</v>
      </c>
      <c r="F2439" s="11">
        <v>3.7107061300000002</v>
      </c>
      <c r="G2439" s="11">
        <v>-2.6785714299999999</v>
      </c>
      <c r="H2439" s="11">
        <v>-4.1170448607000001</v>
      </c>
      <c r="I2439" s="11">
        <v>26.373657284699998</v>
      </c>
      <c r="J2439" s="11">
        <v>91.500456879599994</v>
      </c>
      <c r="K2439" s="10">
        <v>3.6472829908999999E-2</v>
      </c>
      <c r="L2439" s="12">
        <v>2852867286.2399998</v>
      </c>
      <c r="M2439">
        <v>17352.408981589098</v>
      </c>
      <c r="N2439" s="7">
        <v>3.2212627280864101</v>
      </c>
      <c r="O2439" s="7">
        <v>54.513165968038997</v>
      </c>
      <c r="P2439" s="7">
        <v>289.01885682747798</v>
      </c>
      <c r="Q2439" s="7">
        <v>0.77041602465331283</v>
      </c>
      <c r="U2439">
        <v>0.25111763465131132</v>
      </c>
      <c r="AT2439" s="4" t="s">
        <v>6979</v>
      </c>
    </row>
    <row r="2440" spans="1:46">
      <c r="A2440" s="2">
        <v>152</v>
      </c>
      <c r="B2440" t="s">
        <v>7609</v>
      </c>
      <c r="C2440" t="s">
        <v>2390</v>
      </c>
      <c r="D2440" t="s">
        <v>3764</v>
      </c>
      <c r="E2440" s="4">
        <v>43465</v>
      </c>
      <c r="F2440" s="11">
        <v>-6.5652328999999998</v>
      </c>
      <c r="G2440" s="11">
        <v>-2.7139874700000002</v>
      </c>
      <c r="H2440" s="11">
        <v>9.9039944122999994</v>
      </c>
      <c r="I2440" s="11">
        <v>6.0084261334000004</v>
      </c>
      <c r="J2440" s="11">
        <v>4.7677544863000003</v>
      </c>
      <c r="K2440" s="10">
        <v>0.48393339870399998</v>
      </c>
      <c r="L2440" s="12">
        <v>6786322020</v>
      </c>
      <c r="M2440">
        <v>26.818643606332</v>
      </c>
      <c r="N2440" s="7">
        <v>0.87677501474709596</v>
      </c>
      <c r="O2440" s="7">
        <v>0.648818623385225</v>
      </c>
      <c r="P2440" s="7">
        <v>17.341870969229099</v>
      </c>
      <c r="Q2440" s="7">
        <v>0.74255833904727342</v>
      </c>
      <c r="U2440">
        <v>0.31069536372137674</v>
      </c>
      <c r="AT2440" s="4" t="s">
        <v>7610</v>
      </c>
    </row>
    <row r="2441" spans="1:46">
      <c r="A2441" s="2">
        <v>943</v>
      </c>
      <c r="B2441" t="s">
        <v>7611</v>
      </c>
      <c r="C2441" t="s">
        <v>3498</v>
      </c>
      <c r="D2441" t="s">
        <v>3737</v>
      </c>
      <c r="E2441" s="4">
        <v>43465</v>
      </c>
      <c r="F2441" s="11">
        <v>-45.493562230000002</v>
      </c>
      <c r="G2441" s="11">
        <v>-2.7237354100000002</v>
      </c>
      <c r="H2441" s="11">
        <v>-5.6928512116999999</v>
      </c>
      <c r="I2441" s="11">
        <v>29.959955481400002</v>
      </c>
      <c r="J2441" s="11">
        <v>-0.50706616189999998</v>
      </c>
      <c r="K2441" s="10">
        <v>0.28149417932999998</v>
      </c>
      <c r="L2441" s="12">
        <v>2898300955.9899998</v>
      </c>
      <c r="M2441">
        <v>-12.936269082622299</v>
      </c>
      <c r="N2441" s="7">
        <v>2.0124662611839299</v>
      </c>
      <c r="O2441" s="7">
        <v>4.1924518857550703</v>
      </c>
      <c r="P2441" s="7">
        <v>-8.23917479698272</v>
      </c>
      <c r="Q2441" s="7" t="s">
        <v>3698</v>
      </c>
      <c r="U2441">
        <v>2.9312804364337704E-2</v>
      </c>
      <c r="AT2441" s="4" t="s">
        <v>4180</v>
      </c>
    </row>
    <row r="2442" spans="1:46">
      <c r="A2442" s="2">
        <v>107</v>
      </c>
      <c r="B2442" t="s">
        <v>7612</v>
      </c>
      <c r="C2442" t="s">
        <v>560</v>
      </c>
      <c r="D2442" t="s">
        <v>3972</v>
      </c>
      <c r="E2442" s="4">
        <v>43465</v>
      </c>
      <c r="F2442" s="11">
        <v>15.549205929999999</v>
      </c>
      <c r="G2442" s="11">
        <v>-2.7413587599999998</v>
      </c>
      <c r="H2442" s="11">
        <v>4.1967096077999999</v>
      </c>
      <c r="I2442" s="11">
        <v>60.260433642899997</v>
      </c>
      <c r="J2442" s="11">
        <v>59.133932988799998</v>
      </c>
      <c r="K2442" s="10">
        <v>0.19614686201699999</v>
      </c>
      <c r="L2442" s="12">
        <v>7476969592.1700001</v>
      </c>
      <c r="M2442">
        <v>12.305843783142601</v>
      </c>
      <c r="N2442" s="7">
        <v>1.8298121264948199</v>
      </c>
      <c r="O2442" s="7">
        <v>5.45975402207094</v>
      </c>
      <c r="P2442" s="7">
        <v>-18.929581414677301</v>
      </c>
      <c r="Q2442" s="7">
        <v>7.0074812967581055</v>
      </c>
      <c r="U2442">
        <v>0.80209645376751693</v>
      </c>
      <c r="AT2442" s="4" t="s">
        <v>7613</v>
      </c>
    </row>
    <row r="2443" spans="1:46">
      <c r="A2443" s="2">
        <v>1944</v>
      </c>
      <c r="B2443" t="s">
        <v>7614</v>
      </c>
      <c r="C2443" t="s">
        <v>359</v>
      </c>
      <c r="D2443" t="s">
        <v>3737</v>
      </c>
      <c r="E2443" s="4">
        <v>43465</v>
      </c>
      <c r="F2443" s="11">
        <v>-29.360270280000002</v>
      </c>
      <c r="G2443" s="11">
        <v>-2.7476500399999999</v>
      </c>
      <c r="H2443" s="11">
        <v>-11.132721549699999</v>
      </c>
      <c r="I2443" s="11">
        <v>54.940412510199998</v>
      </c>
      <c r="J2443" s="11">
        <v>31.852822399899999</v>
      </c>
      <c r="K2443" s="10">
        <v>0.34585184758699999</v>
      </c>
      <c r="L2443" s="12">
        <v>16413408000</v>
      </c>
      <c r="M2443">
        <v>24.253011075799201</v>
      </c>
      <c r="N2443" s="7">
        <v>2.9376308561312499</v>
      </c>
      <c r="O2443" s="7">
        <v>7.5759531694005098</v>
      </c>
      <c r="P2443" s="7">
        <v>60.821626555529598</v>
      </c>
      <c r="Q2443" s="7">
        <v>2.321981424148607</v>
      </c>
      <c r="U2443">
        <v>0.54997355037500006</v>
      </c>
      <c r="AT2443" s="4" t="s">
        <v>5989</v>
      </c>
    </row>
    <row r="2444" spans="1:46">
      <c r="A2444" s="2">
        <v>771</v>
      </c>
      <c r="B2444" t="s">
        <v>7615</v>
      </c>
      <c r="C2444" t="s">
        <v>3654</v>
      </c>
      <c r="D2444" t="s">
        <v>3977</v>
      </c>
      <c r="E2444" s="4">
        <v>43465</v>
      </c>
      <c r="F2444" s="11">
        <v>-73.662207359999996</v>
      </c>
      <c r="G2444" s="11">
        <v>-2.7777777800000001</v>
      </c>
      <c r="H2444" s="11">
        <v>-5.5343599484999997</v>
      </c>
      <c r="I2444" s="11">
        <v>18.739099649100002</v>
      </c>
      <c r="J2444" s="11">
        <v>-24.0082309296</v>
      </c>
      <c r="K2444" s="10">
        <v>1.4270353322210001</v>
      </c>
      <c r="L2444" s="12">
        <v>235903038975.82001</v>
      </c>
      <c r="M2444">
        <v>-1.5339748404411899</v>
      </c>
      <c r="N2444" s="7">
        <v>-2.47689985284488</v>
      </c>
      <c r="O2444" s="7">
        <v>1.1819553553472699</v>
      </c>
      <c r="P2444" s="7">
        <v>-10.657557032324799</v>
      </c>
      <c r="Q2444" s="7" t="s">
        <v>3698</v>
      </c>
      <c r="U2444">
        <v>-0.65041093382352944</v>
      </c>
      <c r="AT2444" s="4" t="s">
        <v>7616</v>
      </c>
    </row>
    <row r="2445" spans="1:46">
      <c r="A2445" s="2">
        <v>3347</v>
      </c>
      <c r="B2445" t="s">
        <v>7617</v>
      </c>
      <c r="C2445" t="s">
        <v>587</v>
      </c>
      <c r="D2445" t="s">
        <v>3849</v>
      </c>
      <c r="E2445" s="4">
        <v>43465</v>
      </c>
      <c r="F2445" s="11">
        <v>-33.770964769999999</v>
      </c>
      <c r="G2445" s="11">
        <v>-2.8070175399999999</v>
      </c>
      <c r="H2445" s="11">
        <v>-0.62077576150000002</v>
      </c>
      <c r="I2445" s="11">
        <v>40.238320450099998</v>
      </c>
      <c r="J2445" s="11">
        <v>28.1143309357</v>
      </c>
      <c r="K2445" s="10">
        <v>0.39364179407200001</v>
      </c>
      <c r="L2445" s="12">
        <v>9554329718.1200008</v>
      </c>
      <c r="M2445">
        <v>15.4414607893053</v>
      </c>
      <c r="N2445" s="7">
        <v>1.9232917267679499</v>
      </c>
      <c r="O2445" s="7">
        <v>4.2298799318851996</v>
      </c>
      <c r="P2445" s="7">
        <v>-5.7670146479567403</v>
      </c>
      <c r="Q2445" s="7">
        <v>3.8944068856989422</v>
      </c>
      <c r="U2445">
        <v>0.88313208303249768</v>
      </c>
      <c r="AT2445" s="4" t="s">
        <v>7618</v>
      </c>
    </row>
    <row r="2446" spans="1:46">
      <c r="A2446" s="2">
        <v>1668</v>
      </c>
      <c r="B2446" t="s">
        <v>7619</v>
      </c>
      <c r="C2446" t="s">
        <v>648</v>
      </c>
      <c r="D2446" t="s">
        <v>3752</v>
      </c>
      <c r="E2446" s="4">
        <v>43465</v>
      </c>
      <c r="F2446" s="11">
        <v>-26.945216609999999</v>
      </c>
      <c r="G2446" s="11">
        <v>-2.80970626</v>
      </c>
      <c r="H2446" s="11">
        <v>31.907387525200001</v>
      </c>
      <c r="I2446" s="11">
        <v>23.522121453499999</v>
      </c>
      <c r="J2446" s="11">
        <v>6.239507712</v>
      </c>
      <c r="K2446" s="10">
        <v>1.494332281675</v>
      </c>
      <c r="L2446" s="12">
        <v>3301623787.1700001</v>
      </c>
      <c r="M2446">
        <v>17.8239471680881</v>
      </c>
      <c r="N2446" s="7">
        <v>2.7497522128832599</v>
      </c>
      <c r="O2446" s="7">
        <v>1.20848588889312</v>
      </c>
      <c r="P2446" s="7">
        <v>71.017177582179002</v>
      </c>
      <c r="Q2446" s="7">
        <v>1.2504866890484074</v>
      </c>
      <c r="U2446">
        <v>0.42698620317284214</v>
      </c>
      <c r="AT2446" s="4" t="s">
        <v>4932</v>
      </c>
    </row>
    <row r="2447" spans="1:46">
      <c r="A2447" s="2">
        <v>2173</v>
      </c>
      <c r="B2447" t="s">
        <v>7620</v>
      </c>
      <c r="C2447" t="s">
        <v>888</v>
      </c>
      <c r="D2447" t="s">
        <v>3972</v>
      </c>
      <c r="E2447" s="4">
        <v>43465</v>
      </c>
      <c r="F2447" s="11">
        <v>-42.207561009999999</v>
      </c>
      <c r="G2447" s="11">
        <v>-2.8192371500000002</v>
      </c>
      <c r="H2447" s="11">
        <v>3.6882999438000001</v>
      </c>
      <c r="I2447" s="11">
        <v>56.763531758399999</v>
      </c>
      <c r="J2447" s="11">
        <v>36.961950200099999</v>
      </c>
      <c r="K2447" s="10">
        <v>0.204926003572</v>
      </c>
      <c r="L2447" s="12">
        <v>24700180046.849998</v>
      </c>
      <c r="M2447">
        <v>8.8566951043405098</v>
      </c>
      <c r="N2447" s="7">
        <v>0.99318980117518996</v>
      </c>
      <c r="O2447" s="7">
        <v>3.3753582093066701</v>
      </c>
      <c r="P2447" s="7">
        <v>-28.536632860959799</v>
      </c>
      <c r="Q2447" s="7">
        <v>4.3630017452006982</v>
      </c>
      <c r="U2447">
        <v>0.6770984290399793</v>
      </c>
      <c r="AT2447" s="4" t="s">
        <v>7621</v>
      </c>
    </row>
    <row r="2448" spans="1:46">
      <c r="A2448" s="2">
        <v>3100</v>
      </c>
      <c r="B2448" t="s">
        <v>7622</v>
      </c>
      <c r="C2448" t="s">
        <v>1728</v>
      </c>
      <c r="D2448" t="s">
        <v>3972</v>
      </c>
      <c r="E2448" s="4">
        <v>43465</v>
      </c>
      <c r="F2448" s="11">
        <v>-42.869623760000003</v>
      </c>
      <c r="G2448" s="11">
        <v>-2.8481012699999999</v>
      </c>
      <c r="H2448" s="11">
        <v>8.1641023664999999</v>
      </c>
      <c r="I2448" s="11">
        <v>7.5937010740000002</v>
      </c>
      <c r="J2448" s="11">
        <v>3.9289561943</v>
      </c>
      <c r="K2448" s="10">
        <v>0.57144163607300003</v>
      </c>
      <c r="L2448" s="12">
        <v>2005359115</v>
      </c>
      <c r="M2448">
        <v>19.3835587427021</v>
      </c>
      <c r="N2448" s="7">
        <v>0.78344969207895299</v>
      </c>
      <c r="O2448" s="7">
        <v>1.1336136317405801</v>
      </c>
      <c r="P2448" s="7">
        <v>72.682991186772298</v>
      </c>
      <c r="Q2448" s="7">
        <v>2.0270270270270272</v>
      </c>
      <c r="U2448">
        <v>0.11068757754777027</v>
      </c>
      <c r="AT2448" s="4" t="s">
        <v>6872</v>
      </c>
    </row>
    <row r="2449" spans="1:46">
      <c r="A2449" s="2">
        <v>1049</v>
      </c>
      <c r="B2449" t="s">
        <v>7623</v>
      </c>
      <c r="C2449" t="s">
        <v>2014</v>
      </c>
      <c r="D2449" t="s">
        <v>3752</v>
      </c>
      <c r="E2449" s="4">
        <v>43465</v>
      </c>
      <c r="F2449" s="11">
        <v>-44.139483269999999</v>
      </c>
      <c r="G2449" s="11">
        <v>-2.8985507199999998</v>
      </c>
      <c r="H2449" s="11">
        <v>20.136133816600001</v>
      </c>
      <c r="I2449" s="11">
        <v>24.5306032612</v>
      </c>
      <c r="J2449" s="11">
        <v>9.9904482038999998</v>
      </c>
      <c r="K2449" s="10">
        <v>0.66663722638099998</v>
      </c>
      <c r="L2449" s="12">
        <v>2876160000</v>
      </c>
      <c r="M2449">
        <v>14.3854906954799</v>
      </c>
      <c r="N2449" s="7">
        <v>0.988459288613731</v>
      </c>
      <c r="O2449" s="7">
        <v>1.1727198159479399</v>
      </c>
      <c r="P2449" s="7">
        <v>5.70889107077969</v>
      </c>
      <c r="Q2449" s="7">
        <v>2.2123893805309733</v>
      </c>
      <c r="U2449">
        <v>0.41794898610320969</v>
      </c>
      <c r="AT2449" s="4" t="s">
        <v>4282</v>
      </c>
    </row>
    <row r="2450" spans="1:46">
      <c r="A2450" s="2">
        <v>1329</v>
      </c>
      <c r="B2450" t="s">
        <v>7624</v>
      </c>
      <c r="C2450" t="s">
        <v>2224</v>
      </c>
      <c r="D2450" t="s">
        <v>3737</v>
      </c>
      <c r="E2450" s="4">
        <v>43465</v>
      </c>
      <c r="F2450" s="11">
        <v>-31.551390260000002</v>
      </c>
      <c r="G2450" s="11">
        <v>-2.9354207400000001</v>
      </c>
      <c r="H2450" s="11">
        <v>28.525811024900001</v>
      </c>
      <c r="I2450" s="11">
        <v>31.938976541300001</v>
      </c>
      <c r="J2450" s="11">
        <v>5.1670159373000004</v>
      </c>
      <c r="K2450" s="10">
        <v>0.65553382789100001</v>
      </c>
      <c r="L2450" s="12">
        <v>58367623302.860001</v>
      </c>
      <c r="M2450">
        <v>64.486455651537696</v>
      </c>
      <c r="N2450" s="7">
        <v>3.1747693595420401</v>
      </c>
      <c r="O2450" s="7">
        <v>4.2952524720047496</v>
      </c>
      <c r="P2450" s="7">
        <v>-53.016305245752399</v>
      </c>
      <c r="Q2450" s="7">
        <v>0.30244458503780347</v>
      </c>
      <c r="U2450">
        <v>0.13311744228336495</v>
      </c>
      <c r="AT2450" s="4" t="s">
        <v>7625</v>
      </c>
    </row>
    <row r="2451" spans="1:46">
      <c r="A2451" s="2">
        <v>935</v>
      </c>
      <c r="B2451" t="s">
        <v>7626</v>
      </c>
      <c r="C2451" t="s">
        <v>417</v>
      </c>
      <c r="D2451" t="s">
        <v>3737</v>
      </c>
      <c r="E2451" s="4">
        <v>43465</v>
      </c>
      <c r="F2451" s="11">
        <v>-42.658447150000001</v>
      </c>
      <c r="G2451" s="11">
        <v>-2.97142857</v>
      </c>
      <c r="H2451" s="11">
        <v>21.028747611699998</v>
      </c>
      <c r="I2451" s="11">
        <v>59.747636831299999</v>
      </c>
      <c r="J2451" s="11">
        <v>18.227475513400002</v>
      </c>
      <c r="K2451" s="10">
        <v>0.58095220691299998</v>
      </c>
      <c r="L2451" s="12">
        <v>6688409464.8000002</v>
      </c>
      <c r="M2451">
        <v>22.4181934614179</v>
      </c>
      <c r="N2451" s="7">
        <v>3.2076343033838799</v>
      </c>
      <c r="O2451" s="7">
        <v>4.3419679397521902</v>
      </c>
      <c r="P2451" s="7">
        <v>-379.68821721239601</v>
      </c>
      <c r="Q2451" s="7">
        <v>0.96501809408926409</v>
      </c>
      <c r="U2451">
        <v>0.3991205255102041</v>
      </c>
      <c r="AT2451" s="4" t="s">
        <v>6390</v>
      </c>
    </row>
    <row r="2452" spans="1:46">
      <c r="A2452" s="2">
        <v>3274</v>
      </c>
      <c r="B2452" t="s">
        <v>7627</v>
      </c>
      <c r="C2452" t="s">
        <v>178</v>
      </c>
      <c r="D2452" t="s">
        <v>3778</v>
      </c>
      <c r="E2452" s="4">
        <v>43465</v>
      </c>
      <c r="F2452" s="11">
        <v>-50.226700289999997</v>
      </c>
      <c r="G2452" s="11">
        <v>-3.0082041899999998</v>
      </c>
      <c r="H2452" s="11">
        <v>32.472170763400001</v>
      </c>
      <c r="I2452" s="11">
        <v>21.1468726899</v>
      </c>
      <c r="J2452" s="11">
        <v>14.415114151499999</v>
      </c>
      <c r="K2452" s="10">
        <v>1.456873037289</v>
      </c>
      <c r="L2452" s="12">
        <v>2110252914</v>
      </c>
      <c r="M2452">
        <v>8.1808652340825194</v>
      </c>
      <c r="N2452" s="7">
        <v>1.52384901492733</v>
      </c>
      <c r="O2452" s="7">
        <v>0.908622572066075</v>
      </c>
      <c r="P2452" s="7">
        <v>-34.650853297386398</v>
      </c>
      <c r="Q2452" s="7" t="s">
        <v>3698</v>
      </c>
      <c r="U2452">
        <v>1.8792540997773239</v>
      </c>
      <c r="AT2452" s="4" t="s">
        <v>6414</v>
      </c>
    </row>
    <row r="2453" spans="1:46">
      <c r="A2453" s="2">
        <v>2888</v>
      </c>
      <c r="B2453" t="s">
        <v>7628</v>
      </c>
      <c r="C2453" t="s">
        <v>926</v>
      </c>
      <c r="D2453" t="s">
        <v>3718</v>
      </c>
      <c r="E2453" s="4">
        <v>43465</v>
      </c>
      <c r="F2453" s="11">
        <v>-31.694963980000001</v>
      </c>
      <c r="G2453" s="11">
        <v>-3.0100334399999999</v>
      </c>
      <c r="H2453" s="11">
        <v>-36.206463973200002</v>
      </c>
      <c r="I2453" s="11">
        <v>11.767225654200001</v>
      </c>
      <c r="J2453" s="11">
        <v>-24.043392022500001</v>
      </c>
      <c r="K2453" s="10">
        <v>0.49272015094600002</v>
      </c>
      <c r="L2453" s="12">
        <v>24050934114.400002</v>
      </c>
      <c r="M2453">
        <v>-6.9846374596624798</v>
      </c>
      <c r="N2453" s="7">
        <v>-15.4646336769074</v>
      </c>
      <c r="O2453" s="7">
        <v>0.84713746974191795</v>
      </c>
      <c r="P2453" s="7">
        <v>-34.937881322428701</v>
      </c>
      <c r="Q2453" s="7" t="s">
        <v>3698</v>
      </c>
      <c r="U2453">
        <v>-0.76247798462648242</v>
      </c>
      <c r="AT2453" s="4" t="s">
        <v>5492</v>
      </c>
    </row>
    <row r="2454" spans="1:46">
      <c r="A2454" s="2">
        <v>1818</v>
      </c>
      <c r="B2454" t="s">
        <v>7629</v>
      </c>
      <c r="C2454" t="s">
        <v>2369</v>
      </c>
      <c r="D2454" t="s">
        <v>3769</v>
      </c>
      <c r="E2454" s="4">
        <v>43465</v>
      </c>
      <c r="F2454" s="11">
        <v>-35.06102387</v>
      </c>
      <c r="G2454" s="11">
        <v>-3.0503978799999998</v>
      </c>
      <c r="H2454" s="11">
        <v>-16.991671159399999</v>
      </c>
      <c r="I2454" s="11">
        <v>21.007382865899999</v>
      </c>
      <c r="J2454" s="11">
        <v>4.8504135409</v>
      </c>
      <c r="K2454" s="10">
        <v>0.44146000508</v>
      </c>
      <c r="L2454" s="12">
        <v>29265643362.720001</v>
      </c>
      <c r="M2454">
        <v>25.8503263143173</v>
      </c>
      <c r="N2454" s="7">
        <v>1.4468903391274699</v>
      </c>
      <c r="O2454" s="7">
        <v>1.47342823281629</v>
      </c>
      <c r="P2454" s="7">
        <v>13.2181032458146</v>
      </c>
      <c r="Q2454" s="7">
        <v>1.9396125605868693</v>
      </c>
      <c r="U2454">
        <v>0.52177000437615473</v>
      </c>
      <c r="AT2454" s="4" t="s">
        <v>3883</v>
      </c>
    </row>
    <row r="2455" spans="1:46">
      <c r="A2455" s="2">
        <v>2030</v>
      </c>
      <c r="B2455" t="s">
        <v>7630</v>
      </c>
      <c r="C2455" t="s">
        <v>1574</v>
      </c>
      <c r="D2455" t="s">
        <v>3752</v>
      </c>
      <c r="E2455" s="4">
        <v>43465</v>
      </c>
      <c r="F2455" s="11">
        <v>-25.64278951</v>
      </c>
      <c r="G2455" s="11">
        <v>-3.0540328900000002</v>
      </c>
      <c r="H2455" s="11">
        <v>11.857029006599999</v>
      </c>
      <c r="I2455" s="11">
        <v>22.2923182111</v>
      </c>
      <c r="J2455" s="11">
        <v>10.955437053300001</v>
      </c>
      <c r="K2455" s="10">
        <v>0.92153193023500002</v>
      </c>
      <c r="L2455" s="12">
        <v>2157030545.2800002</v>
      </c>
      <c r="M2455">
        <v>26.038668485611499</v>
      </c>
      <c r="N2455" s="7">
        <v>2.5474729264135898</v>
      </c>
      <c r="O2455" s="7">
        <v>2.4340609413623699</v>
      </c>
      <c r="P2455" s="7">
        <v>-15.407965799300801</v>
      </c>
      <c r="Q2455" s="7">
        <v>0.9632352018194692</v>
      </c>
      <c r="U2455">
        <v>0.57205263621401359</v>
      </c>
      <c r="AT2455" s="4" t="s">
        <v>6517</v>
      </c>
    </row>
    <row r="2456" spans="1:46">
      <c r="A2456" s="2">
        <v>3169</v>
      </c>
      <c r="B2456" t="s">
        <v>7631</v>
      </c>
      <c r="C2456" t="s">
        <v>1877</v>
      </c>
      <c r="D2456" t="s">
        <v>3858</v>
      </c>
      <c r="E2456" s="4">
        <v>43465</v>
      </c>
      <c r="F2456" s="11">
        <v>-10.089575099999999</v>
      </c>
      <c r="G2456" s="11">
        <v>-3.07076101</v>
      </c>
      <c r="H2456" s="11">
        <v>4.8421904274000003</v>
      </c>
      <c r="I2456" s="11">
        <v>18.4557912633</v>
      </c>
      <c r="J2456" s="11">
        <v>4.6055611727999999</v>
      </c>
      <c r="K2456" s="10">
        <v>0.62408303135499998</v>
      </c>
      <c r="L2456" s="12">
        <v>8761052978.6399994</v>
      </c>
      <c r="M2456">
        <v>16.8777580981778</v>
      </c>
      <c r="N2456" s="7">
        <v>1.33081869093572</v>
      </c>
      <c r="O2456" s="7">
        <v>0.55531856449032302</v>
      </c>
      <c r="P2456" s="7">
        <v>9.4803016326158307</v>
      </c>
      <c r="Q2456" s="7">
        <v>3.9735099337748347</v>
      </c>
      <c r="U2456">
        <v>0.52736579786837656</v>
      </c>
      <c r="AT2456" s="4" t="s">
        <v>5974</v>
      </c>
    </row>
    <row r="2457" spans="1:46">
      <c r="A2457" s="2">
        <v>2654</v>
      </c>
      <c r="B2457" t="s">
        <v>7632</v>
      </c>
      <c r="C2457" t="s">
        <v>421</v>
      </c>
      <c r="D2457" t="s">
        <v>3842</v>
      </c>
      <c r="E2457" s="4">
        <v>43465</v>
      </c>
      <c r="F2457" s="11">
        <v>-47.917607240000002</v>
      </c>
      <c r="G2457" s="11">
        <v>-3.0898876400000002</v>
      </c>
      <c r="H2457" s="11">
        <v>19.982824223400002</v>
      </c>
      <c r="I2457" s="11">
        <v>12.7779124417</v>
      </c>
      <c r="J2457" s="11">
        <v>3.4842301086999998</v>
      </c>
      <c r="K2457" s="10">
        <v>1.060309837713</v>
      </c>
      <c r="L2457" s="12">
        <v>418099151011.34998</v>
      </c>
      <c r="M2457">
        <v>6.2411985743035796</v>
      </c>
      <c r="N2457" s="7">
        <v>1.3498688362065101</v>
      </c>
      <c r="O2457" s="7">
        <v>0.27895979197181298</v>
      </c>
      <c r="P2457" s="7">
        <v>4.1012732782267198</v>
      </c>
      <c r="Q2457" s="7" t="s">
        <v>3698</v>
      </c>
      <c r="U2457">
        <v>0.45698838814356235</v>
      </c>
      <c r="AT2457" s="4" t="s">
        <v>7633</v>
      </c>
    </row>
    <row r="2458" spans="1:46">
      <c r="A2458" s="2">
        <v>1955</v>
      </c>
      <c r="B2458" t="s">
        <v>7634</v>
      </c>
      <c r="C2458" t="s">
        <v>410</v>
      </c>
      <c r="D2458" t="s">
        <v>3713</v>
      </c>
      <c r="E2458" s="4">
        <v>43465</v>
      </c>
      <c r="F2458" s="11">
        <v>2.8186938600000002</v>
      </c>
      <c r="G2458" s="11">
        <v>-3.1007751899999998</v>
      </c>
      <c r="H2458" s="11">
        <v>114.7780953476</v>
      </c>
      <c r="I2458" s="11">
        <v>33.3015521592</v>
      </c>
      <c r="J2458" s="11">
        <v>13.7112123872</v>
      </c>
      <c r="K2458" s="10">
        <v>0.93256799325700002</v>
      </c>
      <c r="L2458" s="12">
        <v>1621282000</v>
      </c>
      <c r="M2458">
        <v>50.832274064924597</v>
      </c>
      <c r="N2458" s="7">
        <v>7.5270206291703996</v>
      </c>
      <c r="O2458" s="7">
        <v>5.4853709216409303</v>
      </c>
      <c r="P2458" s="7">
        <v>61.317605902122502</v>
      </c>
      <c r="Q2458" s="7">
        <v>0.19480519480519481</v>
      </c>
      <c r="U2458">
        <v>0.41875150028571428</v>
      </c>
      <c r="AT2458" s="4" t="s">
        <v>5994</v>
      </c>
    </row>
    <row r="2459" spans="1:46">
      <c r="A2459" s="2">
        <v>977</v>
      </c>
      <c r="B2459" t="s">
        <v>7635</v>
      </c>
      <c r="C2459" t="s">
        <v>148</v>
      </c>
      <c r="D2459" t="s">
        <v>3769</v>
      </c>
      <c r="E2459" s="4">
        <v>43465</v>
      </c>
      <c r="F2459" s="11">
        <v>-31.856940959999999</v>
      </c>
      <c r="G2459" s="11">
        <v>-3.1377899</v>
      </c>
      <c r="H2459" s="11">
        <v>14.160750070100001</v>
      </c>
      <c r="I2459" s="11">
        <v>67.596854368699994</v>
      </c>
      <c r="J2459" s="11">
        <v>44.909547138900002</v>
      </c>
      <c r="K2459" s="10">
        <v>0.19990529079399999</v>
      </c>
      <c r="L2459" s="12">
        <v>2198350485</v>
      </c>
      <c r="M2459">
        <v>15.047572012928301</v>
      </c>
      <c r="N2459" s="7">
        <v>3.44493924710945</v>
      </c>
      <c r="O2459" s="7">
        <v>5.3415014107472398</v>
      </c>
      <c r="P2459" s="7">
        <v>38.335113642021803</v>
      </c>
      <c r="Q2459" s="7">
        <v>0.60264546367592908</v>
      </c>
      <c r="U2459">
        <v>1.9264539126044351</v>
      </c>
      <c r="AT2459" s="4" t="s">
        <v>5031</v>
      </c>
    </row>
    <row r="2460" spans="1:46">
      <c r="A2460" s="2">
        <v>2846</v>
      </c>
      <c r="B2460" t="s">
        <v>7636</v>
      </c>
      <c r="C2460" t="s">
        <v>2500</v>
      </c>
      <c r="D2460" t="s">
        <v>3871</v>
      </c>
      <c r="E2460" s="4">
        <v>43465</v>
      </c>
      <c r="F2460" s="11">
        <v>-50.19428928</v>
      </c>
      <c r="G2460" s="11">
        <v>-3.1666666700000001</v>
      </c>
      <c r="H2460" s="11">
        <v>21.983013384100001</v>
      </c>
      <c r="I2460" s="11">
        <v>43.547672287899999</v>
      </c>
      <c r="J2460" s="11">
        <v>8.3009749335999992</v>
      </c>
      <c r="K2460" s="10">
        <v>0.10264410447699999</v>
      </c>
      <c r="L2460" s="12">
        <v>2689538206.7199998</v>
      </c>
      <c r="M2460">
        <v>63.041635775021803</v>
      </c>
      <c r="N2460" s="7">
        <v>1.48708056688108</v>
      </c>
      <c r="O2460" s="7">
        <v>4.7922940838902797</v>
      </c>
      <c r="P2460" s="7">
        <v>-11.532744559785201</v>
      </c>
      <c r="Q2460" s="7">
        <v>0.2808988764044944</v>
      </c>
      <c r="U2460">
        <v>0.12715063072485022</v>
      </c>
      <c r="AT2460" s="4" t="s">
        <v>7279</v>
      </c>
    </row>
    <row r="2461" spans="1:46">
      <c r="A2461" s="2">
        <v>1038</v>
      </c>
      <c r="B2461" t="s">
        <v>7637</v>
      </c>
      <c r="C2461" t="s">
        <v>3305</v>
      </c>
      <c r="D2461" t="s">
        <v>3718</v>
      </c>
      <c r="E2461" s="4">
        <v>43465</v>
      </c>
      <c r="F2461" s="11">
        <v>-46.944189369999997</v>
      </c>
      <c r="G2461" s="11">
        <v>-3.1716417899999998</v>
      </c>
      <c r="H2461" s="11">
        <v>3.2724782864000002</v>
      </c>
      <c r="I2461" s="11">
        <v>20.075508608300002</v>
      </c>
      <c r="J2461" s="11">
        <v>-8.4127419429000003</v>
      </c>
      <c r="K2461" s="10">
        <v>0.54500857091300003</v>
      </c>
      <c r="L2461" s="12">
        <v>12932781471</v>
      </c>
      <c r="M2461">
        <v>-902.36573563468505</v>
      </c>
      <c r="N2461" s="7">
        <v>2.5091683655908601</v>
      </c>
      <c r="O2461" s="7">
        <v>0.93611446921376795</v>
      </c>
      <c r="P2461" s="7">
        <v>134.15304616775501</v>
      </c>
      <c r="Q2461" s="7" t="s">
        <v>3698</v>
      </c>
      <c r="U2461">
        <v>-0.42033941042377915</v>
      </c>
      <c r="AT2461" s="4" t="s">
        <v>4908</v>
      </c>
    </row>
    <row r="2462" spans="1:46">
      <c r="A2462" s="2">
        <v>2596</v>
      </c>
      <c r="B2462" t="s">
        <v>7638</v>
      </c>
      <c r="C2462" t="s">
        <v>1621</v>
      </c>
      <c r="D2462" t="s">
        <v>3871</v>
      </c>
      <c r="E2462" s="4">
        <v>43465</v>
      </c>
      <c r="F2462" s="11">
        <v>-62.299239219999997</v>
      </c>
      <c r="G2462" s="11">
        <v>-3.1847133799999998</v>
      </c>
      <c r="H2462" s="11">
        <v>-1.3550108857000001</v>
      </c>
      <c r="I2462" s="11">
        <v>49.620142833300001</v>
      </c>
      <c r="J2462" s="11">
        <v>15.7912088651</v>
      </c>
      <c r="K2462" s="10">
        <v>0.12514032992900001</v>
      </c>
      <c r="L2462" s="12">
        <v>11716215287.559999</v>
      </c>
      <c r="M2462">
        <v>10.069682947752099</v>
      </c>
      <c r="N2462" s="7">
        <v>0.59371185139547999</v>
      </c>
      <c r="O2462" s="7">
        <v>1.95579476903328</v>
      </c>
      <c r="P2462" s="7">
        <v>3.6171456024770898</v>
      </c>
      <c r="Q2462" s="7" t="s">
        <v>3698</v>
      </c>
      <c r="U2462">
        <v>0.48251042201059013</v>
      </c>
      <c r="AT2462" s="4" t="s">
        <v>7639</v>
      </c>
    </row>
    <row r="2463" spans="1:46">
      <c r="A2463" s="2">
        <v>154</v>
      </c>
      <c r="B2463" t="s">
        <v>7640</v>
      </c>
      <c r="C2463" t="s">
        <v>1668</v>
      </c>
      <c r="D2463" t="s">
        <v>3752</v>
      </c>
      <c r="E2463" s="4">
        <v>43465</v>
      </c>
      <c r="F2463" s="11">
        <v>-39.190148149999999</v>
      </c>
      <c r="G2463" s="11">
        <v>-3.19488818</v>
      </c>
      <c r="H2463" s="11">
        <v>6.5258340748999997</v>
      </c>
      <c r="I2463" s="11">
        <v>19.314972655399998</v>
      </c>
      <c r="J2463" s="11">
        <v>5.5021977014000001</v>
      </c>
      <c r="K2463" s="10">
        <v>0.63094684409599999</v>
      </c>
      <c r="L2463" s="12">
        <v>10518245855.84</v>
      </c>
      <c r="M2463">
        <v>37.607127360438099</v>
      </c>
      <c r="N2463" s="7">
        <v>1.50440959162276</v>
      </c>
      <c r="O2463" s="7">
        <v>1.6458874252634901</v>
      </c>
      <c r="P2463" s="7">
        <v>1912.5198527237301</v>
      </c>
      <c r="Q2463" s="7" t="s">
        <v>3698</v>
      </c>
      <c r="U2463">
        <v>0.1034064860548617</v>
      </c>
      <c r="AT2463" s="4" t="s">
        <v>5947</v>
      </c>
    </row>
    <row r="2464" spans="1:46">
      <c r="A2464" s="2">
        <v>2315</v>
      </c>
      <c r="B2464" t="s">
        <v>7641</v>
      </c>
      <c r="C2464" t="s">
        <v>1312</v>
      </c>
      <c r="D2464" t="s">
        <v>3728</v>
      </c>
      <c r="E2464" s="4">
        <v>43465</v>
      </c>
      <c r="F2464" s="11">
        <v>18.063285530000002</v>
      </c>
      <c r="G2464" s="11">
        <v>-3.1988873400000002</v>
      </c>
      <c r="H2464" s="11">
        <v>-2.0737751456</v>
      </c>
      <c r="I2464" s="11">
        <v>54.842519251200002</v>
      </c>
      <c r="J2464" s="11">
        <v>38.176526860599999</v>
      </c>
      <c r="K2464" s="10">
        <v>0.13520553577899999</v>
      </c>
      <c r="L2464" s="12">
        <v>2198654078.6799998</v>
      </c>
      <c r="M2464">
        <v>-33.499955727026403</v>
      </c>
      <c r="N2464" s="7">
        <v>0.91489399357946399</v>
      </c>
      <c r="O2464" s="7">
        <v>3.5821678455937498</v>
      </c>
      <c r="P2464" s="7">
        <v>6.0076976580217796</v>
      </c>
      <c r="Q2464" s="7">
        <v>5.3304904053298943</v>
      </c>
      <c r="U2464">
        <v>1.0266601254043339</v>
      </c>
      <c r="AT2464" s="4" t="s">
        <v>4000</v>
      </c>
    </row>
    <row r="2465" spans="1:46">
      <c r="A2465" s="2">
        <v>2791</v>
      </c>
      <c r="B2465" t="s">
        <v>7642</v>
      </c>
      <c r="C2465" t="s">
        <v>2837</v>
      </c>
      <c r="D2465" t="s">
        <v>3713</v>
      </c>
      <c r="E2465" s="4">
        <v>43465</v>
      </c>
      <c r="F2465" s="11">
        <v>-22.031939319999999</v>
      </c>
      <c r="G2465" s="11">
        <v>-3.2034631999999998</v>
      </c>
      <c r="H2465" s="11">
        <v>0.55263710150000001</v>
      </c>
      <c r="I2465" s="11">
        <v>29.9964697958</v>
      </c>
      <c r="J2465" s="11">
        <v>-1.4404732988</v>
      </c>
      <c r="K2465" s="10">
        <v>0.54139397945199996</v>
      </c>
      <c r="L2465" s="12">
        <v>17270058600.759998</v>
      </c>
      <c r="M2465">
        <v>81.5979778929822</v>
      </c>
      <c r="N2465" s="7">
        <v>1.63111061821885</v>
      </c>
      <c r="O2465" s="7">
        <v>1.9968788001370901</v>
      </c>
      <c r="P2465" s="7">
        <v>-53.313152075098898</v>
      </c>
      <c r="Q2465" s="7" t="s">
        <v>3698</v>
      </c>
      <c r="U2465">
        <v>8.8634801913064096E-2</v>
      </c>
      <c r="AT2465" s="4" t="s">
        <v>7412</v>
      </c>
    </row>
    <row r="2466" spans="1:46">
      <c r="A2466" s="2">
        <v>2581</v>
      </c>
      <c r="B2466" t="s">
        <v>7643</v>
      </c>
      <c r="C2466" t="s">
        <v>1826</v>
      </c>
      <c r="D2466" t="s">
        <v>3713</v>
      </c>
      <c r="E2466" s="4">
        <v>43465</v>
      </c>
      <c r="F2466" s="11">
        <v>-2.4419878599999998</v>
      </c>
      <c r="G2466" s="11">
        <v>-3.2665964199999999</v>
      </c>
      <c r="H2466" s="11">
        <v>15.0977403406</v>
      </c>
      <c r="I2466" s="11">
        <v>23.258178961199999</v>
      </c>
      <c r="J2466" s="11">
        <v>3.7420232757999998</v>
      </c>
      <c r="K2466" s="10">
        <v>0.830823372206</v>
      </c>
      <c r="L2466" s="12">
        <v>2168000000</v>
      </c>
      <c r="M2466">
        <v>40.372162527365802</v>
      </c>
      <c r="N2466" s="7">
        <v>3.3248312358966201</v>
      </c>
      <c r="O2466" s="7">
        <v>1.42244409097089</v>
      </c>
      <c r="P2466" s="7">
        <v>92.912929007842806</v>
      </c>
      <c r="Q2466" s="7">
        <v>1.3638940177060117</v>
      </c>
      <c r="U2466">
        <v>0.72204928755946918</v>
      </c>
      <c r="AT2466" s="4" t="s">
        <v>7644</v>
      </c>
    </row>
    <row r="2467" spans="1:46">
      <c r="A2467" s="2">
        <v>1836</v>
      </c>
      <c r="B2467" t="s">
        <v>7645</v>
      </c>
      <c r="C2467" t="s">
        <v>2729</v>
      </c>
      <c r="D2467" t="s">
        <v>3718</v>
      </c>
      <c r="E2467" s="4">
        <v>43465</v>
      </c>
      <c r="F2467" s="11">
        <v>-62.437244149999998</v>
      </c>
      <c r="G2467" s="11">
        <v>-3.28947368</v>
      </c>
      <c r="H2467" s="11">
        <v>19.045050831200001</v>
      </c>
      <c r="I2467" s="11">
        <v>42.960723048299997</v>
      </c>
      <c r="J2467" s="11">
        <v>-316.37422439810001</v>
      </c>
      <c r="K2467" s="10">
        <v>0.18734655501799999</v>
      </c>
      <c r="L2467" s="12">
        <v>835380000</v>
      </c>
      <c r="M2467">
        <v>44.874485787590999</v>
      </c>
      <c r="N2467" s="7">
        <v>2.5537068784275698</v>
      </c>
      <c r="O2467" s="7">
        <v>5.7892687940040304</v>
      </c>
      <c r="P2467" s="7">
        <v>14.9382017566709</v>
      </c>
      <c r="Q2467" s="7" t="s">
        <v>3698</v>
      </c>
      <c r="U2467">
        <v>-3.7049674400346326</v>
      </c>
      <c r="AT2467" s="4" t="s">
        <v>6870</v>
      </c>
    </row>
    <row r="2468" spans="1:46">
      <c r="A2468" s="2">
        <v>855</v>
      </c>
      <c r="B2468" t="s">
        <v>7646</v>
      </c>
      <c r="C2468" t="s">
        <v>1712</v>
      </c>
      <c r="D2468" t="s">
        <v>3811</v>
      </c>
      <c r="E2468" s="4">
        <v>43465</v>
      </c>
      <c r="F2468" s="11">
        <v>-43.550814449999997</v>
      </c>
      <c r="G2468" s="11">
        <v>-3.2967032999999999</v>
      </c>
      <c r="H2468" s="11">
        <v>-8.8421459135999996</v>
      </c>
      <c r="I2468" s="11">
        <v>47.664246131500001</v>
      </c>
      <c r="J2468" s="11">
        <v>19.1054003906</v>
      </c>
      <c r="K2468" s="10">
        <v>0.15852459972999999</v>
      </c>
      <c r="L2468" s="12">
        <v>4295248183.9799995</v>
      </c>
      <c r="M2468">
        <v>20.123616018674898</v>
      </c>
      <c r="N2468" s="7">
        <v>0.78251090550468105</v>
      </c>
      <c r="O2468" s="7">
        <v>3.30915228721324</v>
      </c>
      <c r="P2468" s="7">
        <v>-10.186719079888199</v>
      </c>
      <c r="Q2468" s="7">
        <v>0.51219512195121941</v>
      </c>
      <c r="U2468">
        <v>0.28393979098633759</v>
      </c>
      <c r="AT2468" s="4" t="s">
        <v>5504</v>
      </c>
    </row>
    <row r="2469" spans="1:46">
      <c r="A2469" s="2">
        <v>3434</v>
      </c>
      <c r="B2469" t="s">
        <v>7647</v>
      </c>
      <c r="C2469" t="s">
        <v>684</v>
      </c>
      <c r="D2469" t="s">
        <v>3737</v>
      </c>
      <c r="E2469" s="4">
        <v>43465</v>
      </c>
      <c r="F2469" s="11">
        <v>-7.5490158300000001</v>
      </c>
      <c r="G2469" s="11">
        <v>-3.3388981599999998</v>
      </c>
      <c r="H2469" s="11">
        <v>-11.337787527</v>
      </c>
      <c r="I2469" s="11">
        <v>71.573671324200006</v>
      </c>
      <c r="J2469" s="11">
        <v>16.663682903200002</v>
      </c>
      <c r="K2469" s="10">
        <v>0.369743189089</v>
      </c>
      <c r="L2469" s="12">
        <v>1777269810.1500001</v>
      </c>
      <c r="M2469">
        <v>21.994298115860602</v>
      </c>
      <c r="N2469" s="7">
        <v>2.0524464145269499</v>
      </c>
      <c r="O2469" s="7">
        <v>3.18543372298782</v>
      </c>
      <c r="P2469" s="7">
        <v>19.560974630145701</v>
      </c>
      <c r="Q2469" s="7">
        <v>1.4500442086648979</v>
      </c>
      <c r="U2469">
        <v>0.54458111472514015</v>
      </c>
      <c r="AT2469" s="4" t="s">
        <v>4315</v>
      </c>
    </row>
    <row r="2470" spans="1:46">
      <c r="A2470" s="2">
        <v>888</v>
      </c>
      <c r="B2470" t="s">
        <v>7648</v>
      </c>
      <c r="C2470" t="s">
        <v>1711</v>
      </c>
      <c r="D2470" t="s">
        <v>3871</v>
      </c>
      <c r="E2470" s="4">
        <v>43465</v>
      </c>
      <c r="F2470" s="11">
        <v>-59.050445099999997</v>
      </c>
      <c r="G2470" s="11">
        <v>-3.3412887800000002</v>
      </c>
      <c r="H2470" s="11">
        <v>78.393479182999997</v>
      </c>
      <c r="I2470" s="11">
        <v>16.309160869999999</v>
      </c>
      <c r="J2470" s="11">
        <v>6.8580266166000001</v>
      </c>
      <c r="K2470" s="10">
        <v>0.68441754551300005</v>
      </c>
      <c r="L2470" s="12">
        <v>9752626800</v>
      </c>
      <c r="M2470">
        <v>17.167966152457101</v>
      </c>
      <c r="N2470" s="7">
        <v>2.04096512318683</v>
      </c>
      <c r="O2470" s="7">
        <v>0.825845114256607</v>
      </c>
      <c r="P2470" s="7">
        <v>6.2443936497520198</v>
      </c>
      <c r="Q2470" s="7" t="s">
        <v>3698</v>
      </c>
      <c r="U2470">
        <v>0.34060064705128634</v>
      </c>
      <c r="AT2470" s="4" t="s">
        <v>6206</v>
      </c>
    </row>
    <row r="2471" spans="1:46">
      <c r="A2471" s="2">
        <v>2067</v>
      </c>
      <c r="B2471" t="s">
        <v>7649</v>
      </c>
      <c r="C2471" t="s">
        <v>2839</v>
      </c>
      <c r="D2471" t="s">
        <v>3718</v>
      </c>
      <c r="E2471" s="4">
        <v>43465</v>
      </c>
      <c r="F2471" s="11">
        <v>-52.908924540000001</v>
      </c>
      <c r="G2471" s="11">
        <v>-3.4083992699999999</v>
      </c>
      <c r="H2471" s="11">
        <v>-1.88794901</v>
      </c>
      <c r="I2471" s="11">
        <v>45.289334289599999</v>
      </c>
      <c r="J2471" s="11">
        <v>6.6080137069999996</v>
      </c>
      <c r="K2471" s="10">
        <v>0.447626799716</v>
      </c>
      <c r="L2471" s="12">
        <v>21675623220</v>
      </c>
      <c r="M2471">
        <v>56.397705383962602</v>
      </c>
      <c r="N2471" s="7">
        <v>4.1943933928136898</v>
      </c>
      <c r="O2471" s="7">
        <v>6.3450781905216003</v>
      </c>
      <c r="P2471" s="7">
        <v>-105.46261173676</v>
      </c>
      <c r="Q2471" s="7">
        <v>0.10204081632653061</v>
      </c>
      <c r="U2471">
        <v>0.15151793774002953</v>
      </c>
      <c r="AT2471" s="4" t="s">
        <v>7650</v>
      </c>
    </row>
    <row r="2472" spans="1:46">
      <c r="A2472" s="2">
        <v>717</v>
      </c>
      <c r="B2472" t="s">
        <v>7651</v>
      </c>
      <c r="C2472" t="s">
        <v>884</v>
      </c>
      <c r="D2472" t="s">
        <v>3752</v>
      </c>
      <c r="E2472" s="4">
        <v>43465</v>
      </c>
      <c r="F2472" s="11">
        <v>-30.612357589999998</v>
      </c>
      <c r="G2472" s="11">
        <v>-3.41207349</v>
      </c>
      <c r="H2472" s="11">
        <v>12.033456826</v>
      </c>
      <c r="I2472" s="11">
        <v>21.457866768500001</v>
      </c>
      <c r="J2472" s="11">
        <v>9.9308250804</v>
      </c>
      <c r="K2472" s="10">
        <v>0.77651873688899997</v>
      </c>
      <c r="L2472" s="12">
        <v>3418252547.0799999</v>
      </c>
      <c r="M2472">
        <v>13.95563635826</v>
      </c>
      <c r="N2472" s="7">
        <v>1.59843865199616</v>
      </c>
      <c r="O2472" s="7">
        <v>1.3205751161508399</v>
      </c>
      <c r="P2472" s="7">
        <v>-15.4374013970254</v>
      </c>
      <c r="Q2472" s="7">
        <v>5.4644808743169406</v>
      </c>
      <c r="U2472">
        <v>0.28717690958906367</v>
      </c>
      <c r="AT2472" s="4" t="s">
        <v>5674</v>
      </c>
    </row>
    <row r="2473" spans="1:46">
      <c r="A2473" s="2">
        <v>3217</v>
      </c>
      <c r="B2473" t="s">
        <v>7652</v>
      </c>
      <c r="C2473" t="s">
        <v>2507</v>
      </c>
      <c r="D2473" t="s">
        <v>3713</v>
      </c>
      <c r="E2473" s="4">
        <v>43465</v>
      </c>
      <c r="F2473" s="11">
        <v>20.831124389999999</v>
      </c>
      <c r="G2473" s="11">
        <v>-3.45596433</v>
      </c>
      <c r="H2473" s="11">
        <v>43.891929365499998</v>
      </c>
      <c r="I2473" s="11">
        <v>18.3048688658</v>
      </c>
      <c r="J2473" s="11">
        <v>5.1622726589000001</v>
      </c>
      <c r="K2473" s="10">
        <v>0.77892696954700003</v>
      </c>
      <c r="L2473" s="12">
        <v>1953353100</v>
      </c>
      <c r="M2473">
        <v>100.31874132388999</v>
      </c>
      <c r="N2473" s="7">
        <v>6.3184749459398803</v>
      </c>
      <c r="O2473" s="7">
        <v>2.89725253194191</v>
      </c>
      <c r="P2473" s="7">
        <v>67.8987872940057</v>
      </c>
      <c r="Q2473" s="7">
        <v>0.29437160954676722</v>
      </c>
      <c r="U2473">
        <v>0.6696556402244227</v>
      </c>
      <c r="AT2473" s="4" t="s">
        <v>7653</v>
      </c>
    </row>
    <row r="2474" spans="1:46">
      <c r="A2474" s="2">
        <v>778</v>
      </c>
      <c r="B2474" t="s">
        <v>7654</v>
      </c>
      <c r="C2474" t="s">
        <v>244</v>
      </c>
      <c r="D2474" t="s">
        <v>3764</v>
      </c>
      <c r="E2474" s="4">
        <v>43465</v>
      </c>
      <c r="F2474" s="11">
        <v>-10.84764431</v>
      </c>
      <c r="G2474" s="11">
        <v>-3.5182679299999999</v>
      </c>
      <c r="H2474" s="11">
        <v>17.746269607199999</v>
      </c>
      <c r="I2474" s="11">
        <v>10.663258987100001</v>
      </c>
      <c r="J2474" s="11">
        <v>4.6119039340999999</v>
      </c>
      <c r="K2474" s="10">
        <v>0.79955784490100001</v>
      </c>
      <c r="L2474" s="12">
        <v>12291552000</v>
      </c>
      <c r="M2474">
        <v>17.4708543527193</v>
      </c>
      <c r="N2474" s="7">
        <v>1.4561645263905501</v>
      </c>
      <c r="O2474" s="7">
        <v>1.0202875926382</v>
      </c>
      <c r="P2474" s="7">
        <v>14.2670299214414</v>
      </c>
      <c r="Q2474" s="7">
        <v>1.3908205841446453</v>
      </c>
      <c r="U2474">
        <v>0.36345333038982802</v>
      </c>
      <c r="AT2474" s="4" t="s">
        <v>7655</v>
      </c>
    </row>
    <row r="2475" spans="1:46">
      <c r="A2475" s="2">
        <v>3086</v>
      </c>
      <c r="B2475" t="s">
        <v>7656</v>
      </c>
      <c r="C2475" t="s">
        <v>1267</v>
      </c>
      <c r="D2475" t="s">
        <v>3972</v>
      </c>
      <c r="E2475" s="4">
        <v>43465</v>
      </c>
      <c r="F2475" s="11">
        <v>-36.490102139999998</v>
      </c>
      <c r="G2475" s="11">
        <v>-3.53535354</v>
      </c>
      <c r="H2475" s="11">
        <v>4.0317025162000002</v>
      </c>
      <c r="I2475" s="11">
        <v>25.2253654718</v>
      </c>
      <c r="J2475" s="11">
        <v>10.347527401900001</v>
      </c>
      <c r="K2475" s="10">
        <v>0.36534362163400003</v>
      </c>
      <c r="L2475" s="12">
        <v>7293386719.4499998</v>
      </c>
      <c r="M2475">
        <v>33.805553878598197</v>
      </c>
      <c r="N2475" s="7">
        <v>1.9819960272135599</v>
      </c>
      <c r="O2475" s="7">
        <v>2.69232575767189</v>
      </c>
      <c r="P2475" s="7">
        <v>-80.480895589873398</v>
      </c>
      <c r="Q2475" s="7">
        <v>0.93582887700534756</v>
      </c>
      <c r="U2475">
        <v>0.11604783008083085</v>
      </c>
      <c r="AT2475" s="4" t="s">
        <v>7657</v>
      </c>
    </row>
    <row r="2476" spans="1:46">
      <c r="A2476" s="2">
        <v>603</v>
      </c>
      <c r="B2476" t="s">
        <v>7658</v>
      </c>
      <c r="C2476" t="s">
        <v>1072</v>
      </c>
      <c r="D2476" t="s">
        <v>3811</v>
      </c>
      <c r="E2476" s="4">
        <v>43465</v>
      </c>
      <c r="F2476" s="11">
        <v>-47.226068519999998</v>
      </c>
      <c r="G2476" s="11">
        <v>-3.5460992899999999</v>
      </c>
      <c r="H2476" s="11">
        <v>71.028480042300004</v>
      </c>
      <c r="I2476" s="11">
        <v>11.103157620699999</v>
      </c>
      <c r="J2476" s="11">
        <v>3.6472692489999998</v>
      </c>
      <c r="K2476" s="10">
        <v>1.229222121344</v>
      </c>
      <c r="L2476" s="12">
        <v>5127133047.1999998</v>
      </c>
      <c r="M2476">
        <v>6.7268867023563699</v>
      </c>
      <c r="N2476" s="7">
        <v>0.80087063973892703</v>
      </c>
      <c r="O2476" s="7">
        <v>0.25495442528557899</v>
      </c>
      <c r="P2476" s="7">
        <v>7.9143985366589398</v>
      </c>
      <c r="Q2476" s="7">
        <v>2.6153846153846154</v>
      </c>
      <c r="U2476">
        <v>1.1311766905276293</v>
      </c>
      <c r="AT2476" s="4" t="s">
        <v>5776</v>
      </c>
    </row>
    <row r="2477" spans="1:46">
      <c r="A2477" s="2">
        <v>944</v>
      </c>
      <c r="B2477" t="s">
        <v>7659</v>
      </c>
      <c r="C2477" t="s">
        <v>2113</v>
      </c>
      <c r="D2477" t="s">
        <v>3737</v>
      </c>
      <c r="E2477" s="4">
        <v>43465</v>
      </c>
      <c r="F2477" s="11">
        <v>-44.994113429999999</v>
      </c>
      <c r="G2477" s="11">
        <v>-3.6247334800000002</v>
      </c>
      <c r="H2477" s="11">
        <v>2.3574741232999998</v>
      </c>
      <c r="I2477" s="11">
        <v>27.769644694</v>
      </c>
      <c r="J2477" s="11">
        <v>8.3003298406999999</v>
      </c>
      <c r="K2477" s="10">
        <v>0.39397279151699999</v>
      </c>
      <c r="L2477" s="12">
        <v>5203635454.71</v>
      </c>
      <c r="M2477">
        <v>17.176602988500701</v>
      </c>
      <c r="N2477" s="7">
        <v>0.76175305451888498</v>
      </c>
      <c r="O2477" s="7">
        <v>1.0736418883704399</v>
      </c>
      <c r="P2477" s="7">
        <v>-154.50777182469099</v>
      </c>
      <c r="Q2477" s="7">
        <v>1.6104783599088839</v>
      </c>
      <c r="U2477">
        <v>0.35328792790358349</v>
      </c>
      <c r="AT2477" s="4" t="s">
        <v>4142</v>
      </c>
    </row>
    <row r="2478" spans="1:46">
      <c r="A2478" s="2">
        <v>1397</v>
      </c>
      <c r="B2478" t="s">
        <v>7660</v>
      </c>
      <c r="C2478" t="s">
        <v>2583</v>
      </c>
      <c r="D2478" t="s">
        <v>4060</v>
      </c>
      <c r="E2478" s="4">
        <v>43465</v>
      </c>
      <c r="F2478" s="11">
        <v>-50.254021600000002</v>
      </c>
      <c r="G2478" s="11">
        <v>-3.6678200699999999</v>
      </c>
      <c r="H2478" s="11">
        <v>5.8830275045000002</v>
      </c>
      <c r="I2478" s="11">
        <v>31.923351371500001</v>
      </c>
      <c r="J2478" s="11">
        <v>6.9063774395999999</v>
      </c>
      <c r="K2478" s="10">
        <v>0.72784175466199996</v>
      </c>
      <c r="L2478" s="12">
        <v>1865418400</v>
      </c>
      <c r="M2478">
        <v>30.722206897607101</v>
      </c>
      <c r="N2478" s="7">
        <v>1.7244862893534101</v>
      </c>
      <c r="O2478" s="7">
        <v>1.95359527134225</v>
      </c>
      <c r="P2478" s="7">
        <v>-3.8963194675555402</v>
      </c>
      <c r="Q2478" s="7">
        <v>0.73957513768686078</v>
      </c>
      <c r="U2478">
        <v>0.52238862424999999</v>
      </c>
      <c r="AT2478" s="4" t="s">
        <v>6192</v>
      </c>
    </row>
    <row r="2479" spans="1:46">
      <c r="A2479" s="2">
        <v>3333</v>
      </c>
      <c r="B2479" t="s">
        <v>7661</v>
      </c>
      <c r="C2479" t="s">
        <v>1858</v>
      </c>
      <c r="D2479" t="s">
        <v>3718</v>
      </c>
      <c r="E2479" s="4">
        <v>43465</v>
      </c>
      <c r="F2479" s="11">
        <v>-43.646220419999999</v>
      </c>
      <c r="G2479" s="11">
        <v>-3.7011173199999998</v>
      </c>
      <c r="H2479" s="11">
        <v>6.7963048264000001</v>
      </c>
      <c r="I2479" s="11">
        <v>29.426382811900002</v>
      </c>
      <c r="J2479" s="11">
        <v>5.5590891303000003</v>
      </c>
      <c r="K2479" s="10">
        <v>0.45368183220300001</v>
      </c>
      <c r="L2479" s="12">
        <v>8378403000</v>
      </c>
      <c r="M2479">
        <v>41.095915785631902</v>
      </c>
      <c r="N2479" s="7">
        <v>2.0480507677876099</v>
      </c>
      <c r="O2479" s="7">
        <v>2.3713904494282798</v>
      </c>
      <c r="P2479" s="7">
        <v>208.45597700435499</v>
      </c>
      <c r="Q2479" s="7">
        <v>0.82889733840304203</v>
      </c>
      <c r="U2479">
        <v>0.36282630731387339</v>
      </c>
      <c r="AT2479" s="4" t="s">
        <v>7219</v>
      </c>
    </row>
    <row r="2480" spans="1:46">
      <c r="A2480" s="2">
        <v>229</v>
      </c>
      <c r="B2480" t="s">
        <v>7662</v>
      </c>
      <c r="C2480" t="s">
        <v>3251</v>
      </c>
      <c r="D2480" t="s">
        <v>3858</v>
      </c>
      <c r="E2480" s="4">
        <v>43465</v>
      </c>
      <c r="F2480" s="11">
        <v>18.062200959999998</v>
      </c>
      <c r="G2480" s="11">
        <v>-3.7487335399999999</v>
      </c>
      <c r="H2480" s="11">
        <v>66.473372461899999</v>
      </c>
      <c r="I2480" s="11">
        <v>16.8752936158</v>
      </c>
      <c r="J2480" s="11">
        <v>8.4359094396999996</v>
      </c>
      <c r="K2480" s="10">
        <v>0.29290281079300001</v>
      </c>
      <c r="L2480" s="12">
        <v>5457116417.1999998</v>
      </c>
      <c r="M2480">
        <v>554.71001516270996</v>
      </c>
      <c r="N2480" s="7">
        <v>3.78270912917597</v>
      </c>
      <c r="O2480" s="7">
        <v>4.5780343077526302</v>
      </c>
      <c r="P2480" s="7">
        <v>-18.120162746160901</v>
      </c>
      <c r="Q2480" s="7" t="s">
        <v>3698</v>
      </c>
      <c r="U2480">
        <v>0.17575662678181583</v>
      </c>
      <c r="AT2480" s="4" t="s">
        <v>4156</v>
      </c>
    </row>
    <row r="2481" spans="1:46">
      <c r="A2481" s="2">
        <v>765</v>
      </c>
      <c r="B2481" t="s">
        <v>7663</v>
      </c>
      <c r="C2481" t="s">
        <v>1570</v>
      </c>
      <c r="D2481" t="s">
        <v>3752</v>
      </c>
      <c r="E2481" s="4">
        <v>43465</v>
      </c>
      <c r="F2481" s="11">
        <v>-9.4050799499999993</v>
      </c>
      <c r="G2481" s="11">
        <v>-3.7822878200000001</v>
      </c>
      <c r="H2481" s="11">
        <v>39.718144049700001</v>
      </c>
      <c r="I2481" s="11">
        <v>17.323554873700001</v>
      </c>
      <c r="J2481" s="11">
        <v>6.8993283477</v>
      </c>
      <c r="K2481" s="10">
        <v>0.67744190228699996</v>
      </c>
      <c r="L2481" s="12">
        <v>5083938054.4200001</v>
      </c>
      <c r="M2481">
        <v>51.144312838192697</v>
      </c>
      <c r="N2481" s="7">
        <v>3.0714789177576098</v>
      </c>
      <c r="O2481" s="7">
        <v>3.5457385231997001</v>
      </c>
      <c r="P2481" s="7">
        <v>55.089709010677801</v>
      </c>
      <c r="Q2481" s="7">
        <v>0.48216007714561238</v>
      </c>
      <c r="U2481">
        <v>0.25597764972326342</v>
      </c>
      <c r="AT2481" s="4" t="s">
        <v>7664</v>
      </c>
    </row>
    <row r="2482" spans="1:46">
      <c r="A2482" s="2">
        <v>3404</v>
      </c>
      <c r="B2482" t="s">
        <v>7665</v>
      </c>
      <c r="C2482" t="s">
        <v>256</v>
      </c>
      <c r="D2482" t="s">
        <v>3832</v>
      </c>
      <c r="E2482" s="4">
        <v>43465</v>
      </c>
      <c r="F2482" s="11">
        <v>-44.421929069999997</v>
      </c>
      <c r="G2482" s="11">
        <v>-3.8057742800000001</v>
      </c>
      <c r="H2482" s="11">
        <v>13.9516010206</v>
      </c>
      <c r="I2482" s="11">
        <v>30.1721006834</v>
      </c>
      <c r="J2482" s="11">
        <v>12.348463794300001</v>
      </c>
      <c r="K2482" s="10">
        <v>0.55170981843300004</v>
      </c>
      <c r="L2482" s="12">
        <v>44578859378.940002</v>
      </c>
      <c r="M2482">
        <v>25.6605162041993</v>
      </c>
      <c r="N2482" s="7">
        <v>3.1717435591415399</v>
      </c>
      <c r="O2482" s="7">
        <v>2.8479261852409299</v>
      </c>
      <c r="P2482" s="7">
        <v>5.4751340504449804</v>
      </c>
      <c r="Q2482" s="7">
        <v>0.55144315727790494</v>
      </c>
      <c r="U2482">
        <v>0.72257459494915244</v>
      </c>
      <c r="AT2482" s="4" t="s">
        <v>7573</v>
      </c>
    </row>
    <row r="2483" spans="1:46">
      <c r="A2483" s="2">
        <v>1609</v>
      </c>
      <c r="B2483" t="s">
        <v>7666</v>
      </c>
      <c r="C2483" t="s">
        <v>1026</v>
      </c>
      <c r="D2483" t="s">
        <v>3721</v>
      </c>
      <c r="E2483" s="4">
        <v>43465</v>
      </c>
      <c r="F2483" s="11">
        <v>16.634850839999999</v>
      </c>
      <c r="G2483" s="11">
        <v>-3.8107753</v>
      </c>
      <c r="H2483" s="11">
        <v>31.0586763797</v>
      </c>
      <c r="I2483" s="11">
        <v>7.6153157148000004</v>
      </c>
      <c r="J2483" s="11">
        <v>3.3101645795999999</v>
      </c>
      <c r="K2483" s="10">
        <v>1.7147647242690001</v>
      </c>
      <c r="L2483" s="12">
        <v>4754032315.1999998</v>
      </c>
      <c r="M2483">
        <v>15.5944947901672</v>
      </c>
      <c r="N2483" s="7">
        <v>2.2136742837513301</v>
      </c>
      <c r="O2483" s="7">
        <v>0.47788571919843997</v>
      </c>
      <c r="P2483" s="7">
        <v>48.9216671586682</v>
      </c>
      <c r="Q2483" s="7">
        <v>0.78910281203780941</v>
      </c>
      <c r="U2483">
        <v>0.54212719089729566</v>
      </c>
      <c r="AT2483" s="4" t="s">
        <v>5528</v>
      </c>
    </row>
    <row r="2484" spans="1:46">
      <c r="A2484" s="2">
        <v>3181</v>
      </c>
      <c r="B2484" t="s">
        <v>7667</v>
      </c>
      <c r="C2484" t="s">
        <v>521</v>
      </c>
      <c r="D2484" t="s">
        <v>3811</v>
      </c>
      <c r="E2484" s="4">
        <v>43465</v>
      </c>
      <c r="F2484" s="11">
        <v>-23.325093519999999</v>
      </c>
      <c r="G2484" s="11">
        <v>-3.8119440899999999</v>
      </c>
      <c r="H2484" s="11">
        <v>20.353366768400001</v>
      </c>
      <c r="I2484" s="11">
        <v>22.146420473399999</v>
      </c>
      <c r="J2484" s="11">
        <v>1.4144212314</v>
      </c>
      <c r="K2484" s="10">
        <v>1.9453554110710001</v>
      </c>
      <c r="L2484" s="12">
        <v>3224978910.4000001</v>
      </c>
      <c r="M2484">
        <v>58.953534442823198</v>
      </c>
      <c r="N2484" s="7">
        <v>3.8922215894420602</v>
      </c>
      <c r="O2484" s="7">
        <v>1.1080363479762401</v>
      </c>
      <c r="P2484" s="7">
        <v>-3051.9620698962299</v>
      </c>
      <c r="Q2484" s="7">
        <v>1.480484522207268</v>
      </c>
      <c r="U2484">
        <v>0.1546793964329648</v>
      </c>
      <c r="AT2484" s="4" t="s">
        <v>5307</v>
      </c>
    </row>
    <row r="2485" spans="1:46">
      <c r="A2485" s="2">
        <v>736</v>
      </c>
      <c r="B2485" t="s">
        <v>7668</v>
      </c>
      <c r="C2485" t="s">
        <v>1173</v>
      </c>
      <c r="D2485" t="s">
        <v>3998</v>
      </c>
      <c r="E2485" s="4">
        <v>43465</v>
      </c>
      <c r="F2485" s="11">
        <v>-15.678699740000001</v>
      </c>
      <c r="G2485" s="11">
        <v>-3.8461538499999999</v>
      </c>
      <c r="H2485" s="11">
        <v>37.2507225146</v>
      </c>
      <c r="I2485" s="11">
        <v>29.217766587300002</v>
      </c>
      <c r="J2485" s="11">
        <v>6.1137319689999998</v>
      </c>
      <c r="K2485" s="10">
        <v>0.77900518507700001</v>
      </c>
      <c r="L2485" s="12">
        <v>17427862371.599998</v>
      </c>
      <c r="M2485">
        <v>20.500256153732501</v>
      </c>
      <c r="N2485" s="7">
        <v>1.672461940434</v>
      </c>
      <c r="O2485" s="7">
        <v>1.06781424692595</v>
      </c>
      <c r="P2485" s="7">
        <v>48.8266627849586</v>
      </c>
      <c r="Q2485" s="7">
        <v>1.4777028808173494</v>
      </c>
      <c r="U2485">
        <v>0.25376475814685762</v>
      </c>
      <c r="AT2485" s="4" t="s">
        <v>5197</v>
      </c>
    </row>
    <row r="2486" spans="1:46">
      <c r="A2486" s="2">
        <v>2986</v>
      </c>
      <c r="B2486" t="s">
        <v>7669</v>
      </c>
      <c r="C2486" t="s">
        <v>2220</v>
      </c>
      <c r="D2486" t="s">
        <v>3889</v>
      </c>
      <c r="E2486" s="4">
        <v>43465</v>
      </c>
      <c r="F2486" s="11">
        <v>-50.238942100000003</v>
      </c>
      <c r="G2486" s="11">
        <v>-3.8834951499999999</v>
      </c>
      <c r="H2486" s="11">
        <v>-2.5957335255</v>
      </c>
      <c r="I2486" s="11">
        <v>27.561832703099999</v>
      </c>
      <c r="J2486" s="11">
        <v>10.164406591200001</v>
      </c>
      <c r="K2486" s="10">
        <v>0.24474771125700001</v>
      </c>
      <c r="L2486" s="12">
        <v>2999972611.8400002</v>
      </c>
      <c r="M2486">
        <v>42.012585176026597</v>
      </c>
      <c r="N2486" s="7">
        <v>0.948338780506218</v>
      </c>
      <c r="O2486" s="7">
        <v>2.54841216279699</v>
      </c>
      <c r="P2486" s="7">
        <v>28.634828357304801</v>
      </c>
      <c r="Q2486" s="7">
        <v>2.5476756961930009</v>
      </c>
      <c r="U2486">
        <v>0.12664103342120664</v>
      </c>
      <c r="AT2486" s="4" t="s">
        <v>7670</v>
      </c>
    </row>
    <row r="2487" spans="1:46">
      <c r="A2487" s="2">
        <v>3436</v>
      </c>
      <c r="B2487" t="s">
        <v>7671</v>
      </c>
      <c r="C2487" t="s">
        <v>814</v>
      </c>
      <c r="D2487" t="s">
        <v>3972</v>
      </c>
      <c r="E2487" s="4">
        <v>43465</v>
      </c>
      <c r="F2487" s="11">
        <v>-38.459486439999999</v>
      </c>
      <c r="G2487" s="11">
        <v>-3.9069767400000002</v>
      </c>
      <c r="H2487" s="11">
        <v>10.5221395518</v>
      </c>
      <c r="I2487" s="11">
        <v>13.5483896396</v>
      </c>
      <c r="J2487" s="11">
        <v>7.3187793868000002</v>
      </c>
      <c r="K2487" s="10">
        <v>1.0200240792019999</v>
      </c>
      <c r="L2487" s="12">
        <v>34947763269.18</v>
      </c>
      <c r="M2487">
        <v>18.732300360531699</v>
      </c>
      <c r="N2487" s="7">
        <v>2.49418158624061</v>
      </c>
      <c r="O2487" s="7">
        <v>1.1267842629725</v>
      </c>
      <c r="P2487" s="7">
        <v>-44.928315600562698</v>
      </c>
      <c r="Q2487" s="7">
        <v>1.3879806536534538</v>
      </c>
      <c r="U2487">
        <v>0.71984798801458538</v>
      </c>
      <c r="AT2487" s="4" t="s">
        <v>7672</v>
      </c>
    </row>
    <row r="2488" spans="1:46">
      <c r="A2488" s="2">
        <v>1825</v>
      </c>
      <c r="B2488" t="s">
        <v>7673</v>
      </c>
      <c r="C2488" t="s">
        <v>488</v>
      </c>
      <c r="D2488" t="s">
        <v>3718</v>
      </c>
      <c r="E2488" s="4">
        <v>43465</v>
      </c>
      <c r="F2488" s="11">
        <v>7.0895522399999997</v>
      </c>
      <c r="G2488" s="11">
        <v>-3.9597315399999999</v>
      </c>
      <c r="H2488" s="11">
        <v>23.6800162569</v>
      </c>
      <c r="I2488" s="11">
        <v>38.378626386699999</v>
      </c>
      <c r="J2488" s="11">
        <v>15.4782004548</v>
      </c>
      <c r="K2488" s="10">
        <v>0.71047780610099998</v>
      </c>
      <c r="L2488" s="12">
        <v>14100902848.25</v>
      </c>
      <c r="M2488">
        <v>37.799795113103798</v>
      </c>
      <c r="N2488" s="7">
        <v>6.0430094666185896</v>
      </c>
      <c r="O2488" s="7">
        <v>6.0195984459840401</v>
      </c>
      <c r="P2488" s="7">
        <v>-25.3571010494875</v>
      </c>
      <c r="Q2488" s="7" t="s">
        <v>3698</v>
      </c>
      <c r="U2488">
        <v>0.37383179679249856</v>
      </c>
      <c r="AT2488" s="4" t="s">
        <v>3950</v>
      </c>
    </row>
    <row r="2489" spans="1:46">
      <c r="A2489" s="2">
        <v>1282</v>
      </c>
      <c r="B2489" t="s">
        <v>7674</v>
      </c>
      <c r="C2489" t="s">
        <v>2188</v>
      </c>
      <c r="D2489" t="s">
        <v>3858</v>
      </c>
      <c r="E2489" s="4">
        <v>43465</v>
      </c>
      <c r="F2489" s="11">
        <v>-50.423053660000001</v>
      </c>
      <c r="G2489" s="11">
        <v>-4</v>
      </c>
      <c r="H2489" s="11">
        <v>11.061033334499999</v>
      </c>
      <c r="I2489" s="11">
        <v>19.2965129928</v>
      </c>
      <c r="J2489" s="11">
        <v>8.7586208503999998</v>
      </c>
      <c r="K2489" s="10">
        <v>0.87607346584800005</v>
      </c>
      <c r="L2489" s="12">
        <v>32143528203.299999</v>
      </c>
      <c r="M2489">
        <v>12.0806684344868</v>
      </c>
      <c r="N2489" s="7">
        <v>1.2310843727577001</v>
      </c>
      <c r="O2489" s="7">
        <v>1.1147025534423001</v>
      </c>
      <c r="P2489" s="7">
        <v>17.059918930610198</v>
      </c>
      <c r="Q2489" s="7">
        <v>3.6567817449408313</v>
      </c>
      <c r="U2489">
        <v>0.48654985572565979</v>
      </c>
      <c r="AT2489" s="4" t="s">
        <v>4557</v>
      </c>
    </row>
    <row r="2490" spans="1:46">
      <c r="A2490" s="2">
        <v>2692</v>
      </c>
      <c r="B2490" t="s">
        <v>7675</v>
      </c>
      <c r="C2490" t="s">
        <v>1126</v>
      </c>
      <c r="D2490" t="s">
        <v>3718</v>
      </c>
      <c r="E2490" s="4">
        <v>43465</v>
      </c>
      <c r="F2490" s="11">
        <v>-25.619763890000002</v>
      </c>
      <c r="G2490" s="11">
        <v>-4.0141676500000001</v>
      </c>
      <c r="H2490" s="11">
        <v>12.0758400946</v>
      </c>
      <c r="I2490" s="11">
        <v>15.8185097629</v>
      </c>
      <c r="J2490" s="11">
        <v>3.5816147283999999</v>
      </c>
      <c r="K2490" s="10">
        <v>0.83704345074599995</v>
      </c>
      <c r="L2490" s="12">
        <v>3372427157.71</v>
      </c>
      <c r="M2490">
        <v>30.022569678799702</v>
      </c>
      <c r="N2490" s="7">
        <v>1.8140996805816401</v>
      </c>
      <c r="O2490" s="7">
        <v>0.60415392712173399</v>
      </c>
      <c r="P2490" s="7">
        <v>-432.252094391127</v>
      </c>
      <c r="Q2490" s="7">
        <v>1.8987341772151896</v>
      </c>
      <c r="U2490">
        <v>0.35886302682032695</v>
      </c>
      <c r="AT2490" s="4" t="s">
        <v>7676</v>
      </c>
    </row>
    <row r="2491" spans="1:46">
      <c r="A2491" s="2">
        <v>570</v>
      </c>
      <c r="B2491" t="s">
        <v>7677</v>
      </c>
      <c r="C2491" t="s">
        <v>3442</v>
      </c>
      <c r="D2491" t="s">
        <v>3832</v>
      </c>
      <c r="E2491" s="4">
        <v>43465</v>
      </c>
      <c r="F2491" s="11">
        <v>-31.99795688</v>
      </c>
      <c r="G2491" s="11">
        <v>-4.06189555</v>
      </c>
      <c r="H2491" s="11">
        <v>11.560761021999999</v>
      </c>
      <c r="I2491" s="11">
        <v>18.026432329599999</v>
      </c>
      <c r="J2491" s="11">
        <v>23.1424427227</v>
      </c>
      <c r="K2491" s="10">
        <v>0.50742213498800004</v>
      </c>
      <c r="L2491" s="12">
        <v>5592768400.5600004</v>
      </c>
      <c r="M2491">
        <v>112.845826359969</v>
      </c>
      <c r="N2491" s="7">
        <v>2.06879265824815</v>
      </c>
      <c r="O2491" s="7">
        <v>1.9980041444374099</v>
      </c>
      <c r="P2491" s="7">
        <v>-8.9266138113123308</v>
      </c>
      <c r="Q2491" s="7">
        <v>1.0378054394811711</v>
      </c>
      <c r="U2491">
        <v>0.66676214470739237</v>
      </c>
      <c r="AT2491" s="4" t="s">
        <v>6480</v>
      </c>
    </row>
    <row r="2492" spans="1:46">
      <c r="A2492" s="2">
        <v>1606</v>
      </c>
      <c r="B2492" t="s">
        <v>7678</v>
      </c>
      <c r="C2492" t="s">
        <v>2559</v>
      </c>
      <c r="D2492" t="s">
        <v>3737</v>
      </c>
      <c r="E2492" s="4">
        <v>43465</v>
      </c>
      <c r="F2492" s="11">
        <v>-32.999712870000003</v>
      </c>
      <c r="G2492" s="11">
        <v>-4.06189555</v>
      </c>
      <c r="H2492" s="11">
        <v>-8.0171440650000001</v>
      </c>
      <c r="I2492" s="11">
        <v>62.380731708500001</v>
      </c>
      <c r="J2492" s="11">
        <v>3.5858922269</v>
      </c>
      <c r="K2492" s="10">
        <v>0.34234531547399999</v>
      </c>
      <c r="L2492" s="12">
        <v>10818298400</v>
      </c>
      <c r="M2492">
        <v>272.17053284007198</v>
      </c>
      <c r="N2492" s="7">
        <v>2.7338544002681902</v>
      </c>
      <c r="O2492" s="7">
        <v>4.3491270192522702</v>
      </c>
      <c r="P2492" s="7">
        <v>251.77019496913101</v>
      </c>
      <c r="Q2492" s="7">
        <v>1.6528925619834711</v>
      </c>
      <c r="U2492">
        <v>3.4096158443402892E-2</v>
      </c>
      <c r="AT2492" s="4" t="s">
        <v>5528</v>
      </c>
    </row>
    <row r="2493" spans="1:46">
      <c r="A2493" s="2">
        <v>3129</v>
      </c>
      <c r="B2493" t="s">
        <v>7679</v>
      </c>
      <c r="C2493" t="s">
        <v>3038</v>
      </c>
      <c r="D2493" t="s">
        <v>3761</v>
      </c>
      <c r="E2493" s="4">
        <v>43465</v>
      </c>
      <c r="F2493" s="11">
        <v>-20.531416100000001</v>
      </c>
      <c r="G2493" s="11">
        <v>-4.10094637</v>
      </c>
      <c r="H2493" s="11">
        <v>-7.6578399158000003</v>
      </c>
      <c r="I2493" s="11">
        <v>22.324366420299999</v>
      </c>
      <c r="J2493" s="11">
        <v>21.150951002199999</v>
      </c>
      <c r="K2493" s="10">
        <v>0.21310192992599999</v>
      </c>
      <c r="L2493" s="12">
        <v>3793586332.1399999</v>
      </c>
      <c r="M2493">
        <v>375.61959533206402</v>
      </c>
      <c r="N2493" s="7">
        <v>1.20250344684356</v>
      </c>
      <c r="O2493" s="7">
        <v>4.5436277623328198</v>
      </c>
      <c r="P2493" s="7">
        <v>14.801340395550699</v>
      </c>
      <c r="Q2493" s="7">
        <v>1.3559322033898304</v>
      </c>
      <c r="U2493">
        <v>0.1331800182989071</v>
      </c>
      <c r="AT2493" s="4" t="s">
        <v>4030</v>
      </c>
    </row>
    <row r="2494" spans="1:46">
      <c r="A2494" s="2">
        <v>263</v>
      </c>
      <c r="B2494" t="s">
        <v>7680</v>
      </c>
      <c r="C2494" t="s">
        <v>503</v>
      </c>
      <c r="D2494" t="s">
        <v>3889</v>
      </c>
      <c r="E2494" s="4">
        <v>43465</v>
      </c>
      <c r="F2494" s="11">
        <v>6.2793758300000002</v>
      </c>
      <c r="G2494" s="11">
        <v>-4.1095890400000004</v>
      </c>
      <c r="H2494" s="11">
        <v>20.172803027499999</v>
      </c>
      <c r="I2494" s="11">
        <v>18.7438489669</v>
      </c>
      <c r="J2494" s="11">
        <v>9.3205487102000006</v>
      </c>
      <c r="K2494" s="10">
        <v>1.02886755359</v>
      </c>
      <c r="L2494" s="12">
        <v>2152860000</v>
      </c>
      <c r="M2494">
        <v>12.40777508257</v>
      </c>
      <c r="N2494" s="7">
        <v>2.7310163414622899</v>
      </c>
      <c r="O2494" s="7">
        <v>1.20464802084461</v>
      </c>
      <c r="P2494" s="7">
        <v>-68.359545851693895</v>
      </c>
      <c r="Q2494" s="7">
        <v>0.27670171565497342</v>
      </c>
      <c r="U2494">
        <v>0.73876156552014138</v>
      </c>
      <c r="AT2494" s="4" t="s">
        <v>7681</v>
      </c>
    </row>
    <row r="2495" spans="1:46">
      <c r="A2495" s="2">
        <v>92</v>
      </c>
      <c r="B2495" t="s">
        <v>7682</v>
      </c>
      <c r="C2495" t="s">
        <v>947</v>
      </c>
      <c r="D2495" t="s">
        <v>3737</v>
      </c>
      <c r="E2495" s="4">
        <v>43465</v>
      </c>
      <c r="F2495" s="11">
        <v>-38.206670899999999</v>
      </c>
      <c r="G2495" s="11">
        <v>-4.1139240499999996</v>
      </c>
      <c r="H2495" s="11">
        <v>8.3819862982999993</v>
      </c>
      <c r="I2495" s="11">
        <v>6.6096131394000004</v>
      </c>
      <c r="J2495" s="11">
        <v>1.0924418686999999</v>
      </c>
      <c r="K2495" s="10">
        <v>2.2673436989010001</v>
      </c>
      <c r="L2495" s="12">
        <v>4586357418.75</v>
      </c>
      <c r="M2495">
        <v>27.476437980607098</v>
      </c>
      <c r="N2495" s="7">
        <v>3.1875622614473502</v>
      </c>
      <c r="O2495" s="7">
        <v>0.12956303572660399</v>
      </c>
      <c r="P2495" s="7">
        <v>8.6218024419982804</v>
      </c>
      <c r="Q2495" s="7">
        <v>0.94121054231424039</v>
      </c>
      <c r="U2495">
        <v>0.45240493299525852</v>
      </c>
      <c r="AT2495" s="4" t="s">
        <v>4101</v>
      </c>
    </row>
    <row r="2496" spans="1:46">
      <c r="A2496" s="2">
        <v>805</v>
      </c>
      <c r="B2496" t="s">
        <v>7683</v>
      </c>
      <c r="C2496" t="s">
        <v>171</v>
      </c>
      <c r="D2496" t="s">
        <v>3737</v>
      </c>
      <c r="E2496" s="4">
        <v>43465</v>
      </c>
      <c r="F2496" s="11">
        <v>-53.638513860000003</v>
      </c>
      <c r="G2496" s="11">
        <v>-4.1168022999999998</v>
      </c>
      <c r="H2496" s="11">
        <v>11.9914871855</v>
      </c>
      <c r="I2496" s="11">
        <v>79.714134158099995</v>
      </c>
      <c r="J2496" s="11">
        <v>31.268692575100001</v>
      </c>
      <c r="K2496" s="10">
        <v>0.62994347899199998</v>
      </c>
      <c r="L2496" s="12">
        <v>31132681416.200001</v>
      </c>
      <c r="M2496">
        <v>15.228036482630101</v>
      </c>
      <c r="N2496" s="7">
        <v>3.4794570029882901</v>
      </c>
      <c r="O2496" s="7">
        <v>4.7639337895170399</v>
      </c>
      <c r="P2496" s="7">
        <v>-144.287283173666</v>
      </c>
      <c r="Q2496" s="7">
        <v>4.3103448275862073</v>
      </c>
      <c r="U2496">
        <v>1.3940735809777289</v>
      </c>
      <c r="AT2496" s="4" t="s">
        <v>4254</v>
      </c>
    </row>
    <row r="2497" spans="1:46">
      <c r="A2497" s="2">
        <v>3214</v>
      </c>
      <c r="B2497" t="s">
        <v>7684</v>
      </c>
      <c r="C2497" t="s">
        <v>1392</v>
      </c>
      <c r="D2497" t="s">
        <v>3761</v>
      </c>
      <c r="E2497" s="4">
        <v>43465</v>
      </c>
      <c r="F2497" s="11">
        <v>-51.409518769999998</v>
      </c>
      <c r="G2497" s="11">
        <v>-4.1317365300000004</v>
      </c>
      <c r="H2497" s="11">
        <v>9.6450910823000005</v>
      </c>
      <c r="I2497" s="11">
        <v>38.538293551099997</v>
      </c>
      <c r="J2497" s="11">
        <v>15.3630312053</v>
      </c>
      <c r="K2497" s="10">
        <v>0.434731592966</v>
      </c>
      <c r="L2497" s="12">
        <v>7973580940.6499996</v>
      </c>
      <c r="M2497">
        <v>52.975669095630302</v>
      </c>
      <c r="N2497" s="7">
        <v>2.9931853819755698</v>
      </c>
      <c r="O2497" s="7">
        <v>6.0917147914452396</v>
      </c>
      <c r="P2497" s="7">
        <v>1738.2322198163699</v>
      </c>
      <c r="Q2497" s="7">
        <v>2.7969924812030076</v>
      </c>
      <c r="U2497">
        <v>0.41349424973002158</v>
      </c>
      <c r="AT2497" s="4" t="s">
        <v>7685</v>
      </c>
    </row>
    <row r="2498" spans="1:46">
      <c r="A2498" s="2">
        <v>2893</v>
      </c>
      <c r="B2498" t="s">
        <v>7686</v>
      </c>
      <c r="C2498" t="s">
        <v>1354</v>
      </c>
      <c r="D2498" t="s">
        <v>3858</v>
      </c>
      <c r="E2498" s="4">
        <v>43465</v>
      </c>
      <c r="F2498" s="11">
        <v>-23.261555130000001</v>
      </c>
      <c r="G2498" s="11">
        <v>-4.1533546299999999</v>
      </c>
      <c r="H2498" s="11">
        <v>18.206317414200001</v>
      </c>
      <c r="I2498" s="11">
        <v>12.581836706000001</v>
      </c>
      <c r="J2498" s="11">
        <v>5.3601056440999999</v>
      </c>
      <c r="K2498" s="10">
        <v>0.51088239451200002</v>
      </c>
      <c r="L2498" s="12">
        <v>23719879400</v>
      </c>
      <c r="M2498">
        <v>10.922243878560501</v>
      </c>
      <c r="N2498" s="7">
        <v>0.96506696916519297</v>
      </c>
      <c r="O2498" s="7">
        <v>0.56191654134246405</v>
      </c>
      <c r="P2498" s="7">
        <v>-53.3755736470752</v>
      </c>
      <c r="Q2498" s="7">
        <v>3.231292517006803</v>
      </c>
      <c r="U2498">
        <v>0.6293582333301293</v>
      </c>
      <c r="AT2498" s="4" t="s">
        <v>5492</v>
      </c>
    </row>
    <row r="2499" spans="1:46">
      <c r="A2499" s="2">
        <v>1328</v>
      </c>
      <c r="B2499" t="s">
        <v>7687</v>
      </c>
      <c r="C2499" t="s">
        <v>2276</v>
      </c>
      <c r="D2499" t="s">
        <v>4060</v>
      </c>
      <c r="E2499" s="4">
        <v>43465</v>
      </c>
      <c r="F2499" s="11">
        <v>-24.94798119</v>
      </c>
      <c r="G2499" s="11">
        <v>-4.1786743499999996</v>
      </c>
      <c r="H2499" s="11">
        <v>22.659150419300001</v>
      </c>
      <c r="I2499" s="11">
        <v>18.894702894400002</v>
      </c>
      <c r="J2499" s="11">
        <v>7.8611592813</v>
      </c>
      <c r="K2499" s="10">
        <v>0.99031546992700004</v>
      </c>
      <c r="L2499" s="12">
        <v>14574392770.42</v>
      </c>
      <c r="M2499">
        <v>36.905949115569697</v>
      </c>
      <c r="N2499" s="7">
        <v>3.1327513669801301</v>
      </c>
      <c r="O2499" s="7">
        <v>2.5459522270281898</v>
      </c>
      <c r="P2499" s="7">
        <v>-29.118090017960501</v>
      </c>
      <c r="Q2499" s="7">
        <v>0.7872612417292526</v>
      </c>
      <c r="U2499">
        <v>0.44186963869323043</v>
      </c>
      <c r="AT2499" s="4" t="s">
        <v>4138</v>
      </c>
    </row>
    <row r="2500" spans="1:46">
      <c r="A2500" s="2">
        <v>1571</v>
      </c>
      <c r="B2500" t="s">
        <v>7688</v>
      </c>
      <c r="C2500" t="s">
        <v>152</v>
      </c>
      <c r="D2500" t="s">
        <v>3785</v>
      </c>
      <c r="E2500" s="4">
        <v>43465</v>
      </c>
      <c r="F2500" s="11">
        <v>13.026530429999999</v>
      </c>
      <c r="G2500" s="11">
        <v>-4.1789287799999997</v>
      </c>
      <c r="H2500" s="11">
        <v>39.860552844799997</v>
      </c>
      <c r="I2500" s="11">
        <v>67.662737587699993</v>
      </c>
      <c r="J2500" s="11">
        <v>20.879765919699999</v>
      </c>
      <c r="K2500" s="10">
        <v>0.54712783511899998</v>
      </c>
      <c r="L2500" s="12">
        <v>3519488988</v>
      </c>
      <c r="M2500">
        <v>25.865077030678101</v>
      </c>
      <c r="N2500" s="7">
        <v>7.2838018051780997</v>
      </c>
      <c r="O2500" s="7">
        <v>5.9672458913149198</v>
      </c>
      <c r="P2500" s="7">
        <v>-15.5344949898394</v>
      </c>
      <c r="Q2500" s="7">
        <v>3.1743068555786049</v>
      </c>
      <c r="U2500">
        <v>0.68230718967691217</v>
      </c>
      <c r="AT2500" s="4" t="s">
        <v>5307</v>
      </c>
    </row>
    <row r="2501" spans="1:46">
      <c r="A2501" s="2">
        <v>3145</v>
      </c>
      <c r="B2501" t="s">
        <v>7689</v>
      </c>
      <c r="C2501" t="s">
        <v>2409</v>
      </c>
      <c r="D2501" t="s">
        <v>3728</v>
      </c>
      <c r="E2501" s="4">
        <v>43465</v>
      </c>
      <c r="F2501" s="11">
        <v>-49.415351260000001</v>
      </c>
      <c r="G2501" s="11">
        <v>-4.1791044800000003</v>
      </c>
      <c r="H2501" s="11">
        <v>-10.8606631874</v>
      </c>
      <c r="I2501" s="11">
        <v>8.8050522664000006</v>
      </c>
      <c r="J2501" s="11">
        <v>-0.34465196539999998</v>
      </c>
      <c r="K2501" s="10">
        <v>0.718713366352</v>
      </c>
      <c r="L2501" s="12">
        <v>1677600000</v>
      </c>
      <c r="M2501">
        <v>-63.251742696297697</v>
      </c>
      <c r="N2501" s="7">
        <v>0.82115291935507195</v>
      </c>
      <c r="O2501" s="7">
        <v>0.63437397769770298</v>
      </c>
      <c r="P2501" s="7">
        <v>-26.807272238083499</v>
      </c>
      <c r="Q2501" s="7">
        <v>0.31545741324921134</v>
      </c>
      <c r="U2501">
        <v>-1.5476927747612832E-2</v>
      </c>
      <c r="AT2501" s="4" t="s">
        <v>7690</v>
      </c>
    </row>
    <row r="2502" spans="1:46">
      <c r="A2502" s="2">
        <v>1289</v>
      </c>
      <c r="B2502" t="s">
        <v>7691</v>
      </c>
      <c r="C2502" t="s">
        <v>1260</v>
      </c>
      <c r="D2502" t="s">
        <v>3721</v>
      </c>
      <c r="E2502" s="4">
        <v>43465</v>
      </c>
      <c r="F2502" s="11">
        <v>-22.5605777</v>
      </c>
      <c r="G2502" s="11">
        <v>-4.1894353400000002</v>
      </c>
      <c r="H2502" s="11">
        <v>18.3274706931</v>
      </c>
      <c r="I2502" s="11">
        <v>23.440883507199999</v>
      </c>
      <c r="J2502" s="11">
        <v>7.7727105560999998</v>
      </c>
      <c r="K2502" s="10">
        <v>0.97680371191100002</v>
      </c>
      <c r="L2502" s="12">
        <v>1267774200</v>
      </c>
      <c r="M2502">
        <v>59.621526369966503</v>
      </c>
      <c r="N2502" s="7">
        <v>5.6208691061843101</v>
      </c>
      <c r="O2502" s="7">
        <v>4.3090026876261698</v>
      </c>
      <c r="P2502" s="7">
        <v>-1599.77389172827</v>
      </c>
      <c r="Q2502" s="7">
        <v>0.99700897308075775</v>
      </c>
      <c r="U2502">
        <v>0.19952860089201879</v>
      </c>
      <c r="AT2502" s="4" t="s">
        <v>6265</v>
      </c>
    </row>
    <row r="2503" spans="1:46">
      <c r="A2503" s="2">
        <v>527</v>
      </c>
      <c r="B2503" t="s">
        <v>7692</v>
      </c>
      <c r="C2503" t="s">
        <v>57</v>
      </c>
      <c r="D2503" t="s">
        <v>3871</v>
      </c>
      <c r="E2503" s="4">
        <v>43465</v>
      </c>
      <c r="F2503" s="11">
        <v>-11.38421232</v>
      </c>
      <c r="G2503" s="11">
        <v>-4.2128603099999999</v>
      </c>
      <c r="H2503" s="11">
        <v>-24.209640609499999</v>
      </c>
      <c r="I2503" s="11">
        <v>61.809432394799998</v>
      </c>
      <c r="J2503" s="11">
        <v>34.044486040400002</v>
      </c>
      <c r="K2503" s="10">
        <v>0.32605267686700001</v>
      </c>
      <c r="L2503" s="12">
        <v>3074307600</v>
      </c>
      <c r="M2503">
        <v>7.1959006537632204</v>
      </c>
      <c r="N2503" s="7">
        <v>2.7177023185080502</v>
      </c>
      <c r="O2503" s="7">
        <v>2.4685428327500598</v>
      </c>
      <c r="P2503" s="7">
        <v>-13.444798362514099</v>
      </c>
      <c r="Q2503" s="7">
        <v>5.9880239520958085</v>
      </c>
      <c r="T2503" s="2"/>
      <c r="U2503">
        <v>0.98406909597554226</v>
      </c>
      <c r="AT2503" s="4" t="s">
        <v>4873</v>
      </c>
    </row>
    <row r="2504" spans="1:46">
      <c r="A2504" s="2">
        <v>481</v>
      </c>
      <c r="B2504" t="s">
        <v>7693</v>
      </c>
      <c r="C2504" t="s">
        <v>647</v>
      </c>
      <c r="D2504" t="s">
        <v>3778</v>
      </c>
      <c r="E2504" s="4">
        <v>43465</v>
      </c>
      <c r="F2504" s="11">
        <v>-38.613421019999997</v>
      </c>
      <c r="G2504" s="11">
        <v>-4.2253521100000002</v>
      </c>
      <c r="H2504" s="11">
        <v>22.567669216300001</v>
      </c>
      <c r="I2504" s="11">
        <v>38.308784486</v>
      </c>
      <c r="J2504" s="11">
        <v>28.604364277799998</v>
      </c>
      <c r="K2504" s="10">
        <v>0.30438407962699998</v>
      </c>
      <c r="L2504" s="12">
        <v>6383211120</v>
      </c>
      <c r="M2504">
        <v>16.065537584634001</v>
      </c>
      <c r="N2504" s="7">
        <v>2.6830705091938398</v>
      </c>
      <c r="O2504" s="7">
        <v>4.73907881812264</v>
      </c>
      <c r="P2504" s="7">
        <v>382.684973552629</v>
      </c>
      <c r="Q2504" s="7" t="s">
        <v>3698</v>
      </c>
      <c r="U2504">
        <v>0.70138212923362919</v>
      </c>
      <c r="AT2504" s="4" t="s">
        <v>6502</v>
      </c>
    </row>
    <row r="2505" spans="1:46">
      <c r="A2505" s="2">
        <v>1386</v>
      </c>
      <c r="B2505" t="s">
        <v>7694</v>
      </c>
      <c r="C2505" t="s">
        <v>1325</v>
      </c>
      <c r="D2505" t="s">
        <v>3858</v>
      </c>
      <c r="E2505" s="4">
        <v>43465</v>
      </c>
      <c r="F2505" s="11">
        <v>-46.764869760000003</v>
      </c>
      <c r="G2505" s="11">
        <v>-4.2271293400000003</v>
      </c>
      <c r="H2505" s="11">
        <v>-26.560174373300001</v>
      </c>
      <c r="I2505" s="11">
        <v>39.132856804799999</v>
      </c>
      <c r="J2505" s="11">
        <v>30.4082216366</v>
      </c>
      <c r="K2505" s="10">
        <v>0.23456070613400001</v>
      </c>
      <c r="L2505" s="12">
        <v>4323749820</v>
      </c>
      <c r="M2505">
        <v>20.180307416539598</v>
      </c>
      <c r="N2505" s="7">
        <v>1.4580682761803501</v>
      </c>
      <c r="O2505" s="7">
        <v>4.1608540038018997</v>
      </c>
      <c r="P2505" s="7">
        <v>15.585744596545901</v>
      </c>
      <c r="Q2505" s="7">
        <v>1.0297600659046442</v>
      </c>
      <c r="U2505">
        <v>0.95406434562500009</v>
      </c>
      <c r="AT2505" s="4" t="s">
        <v>5103</v>
      </c>
    </row>
    <row r="2506" spans="1:46">
      <c r="A2506" s="2">
        <v>3332</v>
      </c>
      <c r="B2506" t="s">
        <v>7695</v>
      </c>
      <c r="C2506" t="s">
        <v>1418</v>
      </c>
      <c r="D2506" t="s">
        <v>3998</v>
      </c>
      <c r="E2506" s="4">
        <v>43465</v>
      </c>
      <c r="F2506" s="11">
        <v>-20.92042738</v>
      </c>
      <c r="G2506" s="11">
        <v>-4.2553191500000001</v>
      </c>
      <c r="H2506" s="11">
        <v>4.0392929106000004</v>
      </c>
      <c r="I2506" s="11">
        <v>37.598603242300001</v>
      </c>
      <c r="J2506" s="11">
        <v>9.3165469765999998</v>
      </c>
      <c r="K2506" s="10">
        <v>0.47604405751500001</v>
      </c>
      <c r="L2506" s="12">
        <v>8541647109.5</v>
      </c>
      <c r="M2506">
        <v>44.261362951402901</v>
      </c>
      <c r="N2506" s="7">
        <v>6.4068108171657903</v>
      </c>
      <c r="O2506" s="7">
        <v>3.3885418736995301</v>
      </c>
      <c r="P2506" s="7">
        <v>-38.465588587375301</v>
      </c>
      <c r="Q2506" s="7">
        <v>0.60176754742427008</v>
      </c>
      <c r="U2506">
        <v>0.30067521096776667</v>
      </c>
      <c r="AT2506" s="4" t="s">
        <v>4058</v>
      </c>
    </row>
    <row r="2507" spans="1:46">
      <c r="A2507" s="2">
        <v>2528</v>
      </c>
      <c r="B2507" t="s">
        <v>7696</v>
      </c>
      <c r="C2507" t="s">
        <v>912</v>
      </c>
      <c r="D2507" t="s">
        <v>3737</v>
      </c>
      <c r="E2507" s="4">
        <v>43465</v>
      </c>
      <c r="F2507" s="11">
        <v>-28.608208789999999</v>
      </c>
      <c r="G2507" s="11">
        <v>-4.2669584199999999</v>
      </c>
      <c r="H2507" s="11">
        <v>32.908061883999999</v>
      </c>
      <c r="I2507" s="11">
        <v>48.776206424500003</v>
      </c>
      <c r="J2507" s="11">
        <v>9.4514639531999993</v>
      </c>
      <c r="K2507" s="10">
        <v>0.71572474786899998</v>
      </c>
      <c r="L2507" s="12">
        <v>72161284294.320007</v>
      </c>
      <c r="M2507">
        <v>16.997910914914399</v>
      </c>
      <c r="N2507" s="7">
        <v>1.49228855428829</v>
      </c>
      <c r="O2507" s="7">
        <v>0.92684326742381296</v>
      </c>
      <c r="P2507" s="7">
        <v>10.5994418216191</v>
      </c>
      <c r="Q2507" s="7">
        <v>1.2171853540249782</v>
      </c>
      <c r="U2507">
        <v>0.66796416381643464</v>
      </c>
      <c r="AT2507" s="4" t="s">
        <v>7697</v>
      </c>
    </row>
    <row r="2508" spans="1:46">
      <c r="A2508" s="2">
        <v>578</v>
      </c>
      <c r="B2508" t="s">
        <v>7698</v>
      </c>
      <c r="C2508" t="s">
        <v>990</v>
      </c>
      <c r="D2508" t="s">
        <v>4060</v>
      </c>
      <c r="E2508" s="4">
        <v>43465</v>
      </c>
      <c r="F2508" s="11">
        <v>-42.308299499999997</v>
      </c>
      <c r="G2508" s="11">
        <v>-4.2735042700000001</v>
      </c>
      <c r="H2508" s="11">
        <v>10.7939598276</v>
      </c>
      <c r="I2508" s="11">
        <v>12.607149761700001</v>
      </c>
      <c r="J2508" s="11">
        <v>6.0245603060999997</v>
      </c>
      <c r="K2508" s="10">
        <v>0.93679962516899995</v>
      </c>
      <c r="L2508" s="12">
        <v>4424487574.1199999</v>
      </c>
      <c r="M2508">
        <v>8.4673986213008892</v>
      </c>
      <c r="N2508" s="7">
        <v>0.92602094093489595</v>
      </c>
      <c r="O2508" s="7">
        <v>0.66377207861404197</v>
      </c>
      <c r="P2508" s="7">
        <v>-344.29022791478502</v>
      </c>
      <c r="Q2508" s="7">
        <v>0.65359477124183007</v>
      </c>
      <c r="U2508">
        <v>0.30174571122596183</v>
      </c>
      <c r="AT2508" s="4" t="s">
        <v>7699</v>
      </c>
    </row>
    <row r="2509" spans="1:46">
      <c r="A2509" s="2">
        <v>3120</v>
      </c>
      <c r="B2509" t="s">
        <v>7700</v>
      </c>
      <c r="C2509" t="s">
        <v>918</v>
      </c>
      <c r="D2509" t="s">
        <v>3785</v>
      </c>
      <c r="E2509" s="4">
        <v>43465</v>
      </c>
      <c r="F2509" s="11">
        <v>-25.86315025</v>
      </c>
      <c r="G2509" s="11">
        <v>-4.2744656900000004</v>
      </c>
      <c r="H2509" s="11">
        <v>-7.3649376447000003</v>
      </c>
      <c r="I2509" s="11">
        <v>44.565109273200001</v>
      </c>
      <c r="J2509" s="11">
        <v>14.9339839056</v>
      </c>
      <c r="K2509" s="10">
        <v>0.285923664583</v>
      </c>
      <c r="L2509" s="12">
        <v>19902856390.279999</v>
      </c>
      <c r="M2509">
        <v>25.954364127874999</v>
      </c>
      <c r="N2509" s="7">
        <v>1.5244002561994501</v>
      </c>
      <c r="O2509" s="7">
        <v>3.3755866949058002</v>
      </c>
      <c r="P2509" s="7">
        <v>190.11436536844201</v>
      </c>
      <c r="Q2509" s="7">
        <v>1.3017751479289943</v>
      </c>
      <c r="U2509">
        <v>0.35756992285266209</v>
      </c>
      <c r="AT2509" s="4" t="s">
        <v>7701</v>
      </c>
    </row>
    <row r="2510" spans="1:46">
      <c r="A2510" s="2">
        <v>1219</v>
      </c>
      <c r="B2510" t="s">
        <v>7702</v>
      </c>
      <c r="C2510" t="s">
        <v>56</v>
      </c>
      <c r="D2510" t="s">
        <v>3769</v>
      </c>
      <c r="E2510" s="4">
        <v>43465</v>
      </c>
      <c r="F2510" s="11">
        <v>-27.381514559999999</v>
      </c>
      <c r="G2510" s="11">
        <v>-4.3397968599999999</v>
      </c>
      <c r="H2510" s="11">
        <v>1.0957846824999999</v>
      </c>
      <c r="I2510" s="11">
        <v>24.320431831200001</v>
      </c>
      <c r="J2510" s="11">
        <v>21.495994104200001</v>
      </c>
      <c r="K2510" s="10">
        <v>0.482193137055</v>
      </c>
      <c r="L2510" s="12">
        <v>5838060675.54</v>
      </c>
      <c r="M2510">
        <v>166.45521633128899</v>
      </c>
      <c r="N2510" s="7">
        <v>2.7291958769523799</v>
      </c>
      <c r="O2510" s="7">
        <v>3.6387482604916901</v>
      </c>
      <c r="P2510" s="7">
        <v>-23.053729208299799</v>
      </c>
      <c r="Q2510" s="7">
        <v>0.36189924764557141</v>
      </c>
      <c r="U2510">
        <v>1.3441109270668563</v>
      </c>
      <c r="AT2510" s="4" t="s">
        <v>4945</v>
      </c>
    </row>
    <row r="2511" spans="1:46">
      <c r="A2511" s="2">
        <v>390</v>
      </c>
      <c r="B2511" t="s">
        <v>7703</v>
      </c>
      <c r="C2511" t="s">
        <v>2064</v>
      </c>
      <c r="D2511" t="s">
        <v>3713</v>
      </c>
      <c r="E2511" s="4">
        <v>43465</v>
      </c>
      <c r="F2511" s="11">
        <v>-10.4406737</v>
      </c>
      <c r="G2511" s="11">
        <v>-4.3701799499999998</v>
      </c>
      <c r="H2511" s="11">
        <v>29.522737235699999</v>
      </c>
      <c r="I2511" s="11">
        <v>14.318939367400001</v>
      </c>
      <c r="J2511" s="11">
        <v>4.0643634947000002</v>
      </c>
      <c r="K2511" s="10">
        <v>0.93245254653499998</v>
      </c>
      <c r="L2511" s="12">
        <v>3501311030</v>
      </c>
      <c r="M2511">
        <v>82.964469980996597</v>
      </c>
      <c r="N2511" s="7">
        <v>3.56210967051573</v>
      </c>
      <c r="O2511" s="7">
        <v>1.91767125500716</v>
      </c>
      <c r="P2511" s="7">
        <v>-15.0697055766801</v>
      </c>
      <c r="Q2511" s="7" t="s">
        <v>3698</v>
      </c>
      <c r="U2511">
        <v>5.5168910842492251E-2</v>
      </c>
      <c r="AT2511" s="4" t="s">
        <v>6066</v>
      </c>
    </row>
    <row r="2512" spans="1:46">
      <c r="A2512" s="2">
        <v>930</v>
      </c>
      <c r="B2512" t="s">
        <v>7704</v>
      </c>
      <c r="C2512" t="s">
        <v>314</v>
      </c>
      <c r="D2512" t="s">
        <v>3811</v>
      </c>
      <c r="E2512" s="4">
        <v>43465</v>
      </c>
      <c r="F2512" s="11">
        <v>9.2334954400000004</v>
      </c>
      <c r="G2512" s="11">
        <v>-4.3755697400000004</v>
      </c>
      <c r="H2512" s="11">
        <v>3.2511024677</v>
      </c>
      <c r="I2512" s="11">
        <v>27.254919413</v>
      </c>
      <c r="J2512" s="11">
        <v>4.7269361103999996</v>
      </c>
      <c r="K2512" s="10">
        <v>1.2089117653170001</v>
      </c>
      <c r="L2512" s="12">
        <v>2999647755</v>
      </c>
      <c r="M2512">
        <v>16.689901778341898</v>
      </c>
      <c r="N2512" s="7">
        <v>2.0430149813976901</v>
      </c>
      <c r="O2512" s="7">
        <v>0.677620834815716</v>
      </c>
      <c r="P2512" s="7">
        <v>9.1540760900445406</v>
      </c>
      <c r="Q2512" s="7">
        <v>4.1237113402061851</v>
      </c>
      <c r="U2512">
        <v>0.75346431772056977</v>
      </c>
      <c r="AT2512" s="4" t="s">
        <v>5926</v>
      </c>
    </row>
    <row r="2513" spans="1:46">
      <c r="A2513" s="2">
        <v>1918</v>
      </c>
      <c r="B2513" t="s">
        <v>7705</v>
      </c>
      <c r="C2513" t="s">
        <v>982</v>
      </c>
      <c r="D2513" t="s">
        <v>3721</v>
      </c>
      <c r="E2513" s="4">
        <v>43465</v>
      </c>
      <c r="F2513" s="11">
        <v>-5.63894699</v>
      </c>
      <c r="G2513" s="11">
        <v>-4.3859649100000002</v>
      </c>
      <c r="H2513" s="11">
        <v>-7.4511450466999998</v>
      </c>
      <c r="I2513" s="11">
        <v>9.9803839606999993</v>
      </c>
      <c r="J2513" s="11">
        <v>0.95714460599999995</v>
      </c>
      <c r="K2513" s="10">
        <v>1.472598000896</v>
      </c>
      <c r="L2513" s="12">
        <v>7287227103.75</v>
      </c>
      <c r="M2513">
        <v>70.907231608759005</v>
      </c>
      <c r="N2513" s="7">
        <v>3.9834411412036599</v>
      </c>
      <c r="O2513" s="7">
        <v>1.61507544023257</v>
      </c>
      <c r="P2513" s="7">
        <v>68.483110732771095</v>
      </c>
      <c r="Q2513" s="7">
        <v>0.61728395126423863</v>
      </c>
      <c r="U2513">
        <v>4.9603071442737172E-2</v>
      </c>
      <c r="AT2513" s="4" t="s">
        <v>4010</v>
      </c>
    </row>
    <row r="2514" spans="1:46">
      <c r="A2514" s="2">
        <v>1667</v>
      </c>
      <c r="B2514" t="s">
        <v>7706</v>
      </c>
      <c r="C2514" t="s">
        <v>2152</v>
      </c>
      <c r="D2514" t="s">
        <v>3889</v>
      </c>
      <c r="E2514" s="4">
        <v>43465</v>
      </c>
      <c r="F2514" s="11">
        <v>-50.815523769999999</v>
      </c>
      <c r="G2514" s="11">
        <v>-4.4186046499999998</v>
      </c>
      <c r="H2514" s="11">
        <v>107.3147792731</v>
      </c>
      <c r="I2514" s="11">
        <v>4.4203018054000003</v>
      </c>
      <c r="J2514" s="11">
        <v>-22.187532442599998</v>
      </c>
      <c r="K2514" s="10">
        <v>2.2838170008560001</v>
      </c>
      <c r="L2514" s="12">
        <v>5052049716.8699999</v>
      </c>
      <c r="M2514">
        <v>44.666471116243599</v>
      </c>
      <c r="N2514" s="7">
        <v>3.7637450454636299</v>
      </c>
      <c r="O2514" s="7">
        <v>0.60228634008212001</v>
      </c>
      <c r="P2514" s="7">
        <v>-20.643936495703599</v>
      </c>
      <c r="Q2514" s="7" t="s">
        <v>3698</v>
      </c>
      <c r="U2514">
        <v>-1.9719540843776902</v>
      </c>
      <c r="AT2514" s="4" t="s">
        <v>4932</v>
      </c>
    </row>
    <row r="2515" spans="1:46">
      <c r="A2515" s="2">
        <v>2505</v>
      </c>
      <c r="B2515" t="s">
        <v>7707</v>
      </c>
      <c r="C2515" t="s">
        <v>1342</v>
      </c>
      <c r="D2515" t="s">
        <v>3718</v>
      </c>
      <c r="E2515" s="4">
        <v>43465</v>
      </c>
      <c r="F2515" s="11">
        <v>-41.918407340000002</v>
      </c>
      <c r="G2515" s="11">
        <v>-4.4334975400000003</v>
      </c>
      <c r="H2515" s="11">
        <v>15.896157818200001</v>
      </c>
      <c r="I2515" s="11">
        <v>24.080808567799998</v>
      </c>
      <c r="J2515" s="11">
        <v>8.5660212729000005</v>
      </c>
      <c r="K2515" s="10">
        <v>0.56221736269300004</v>
      </c>
      <c r="L2515" s="12">
        <v>3073555482.4000001</v>
      </c>
      <c r="M2515">
        <v>15.789409238873001</v>
      </c>
      <c r="N2515" s="7">
        <v>2.2091329310879302</v>
      </c>
      <c r="O2515" s="7">
        <v>1.2332301447473499</v>
      </c>
      <c r="P2515" s="7">
        <v>118.592035850228</v>
      </c>
      <c r="Q2515" s="7">
        <v>1.7418032786885245</v>
      </c>
      <c r="U2515">
        <v>0.74946657031008845</v>
      </c>
      <c r="AT2515" s="4" t="s">
        <v>5301</v>
      </c>
    </row>
    <row r="2516" spans="1:46">
      <c r="A2516" s="2">
        <v>3176</v>
      </c>
      <c r="B2516" t="s">
        <v>7708</v>
      </c>
      <c r="C2516" t="s">
        <v>1137</v>
      </c>
      <c r="D2516" t="s">
        <v>3764</v>
      </c>
      <c r="E2516" s="4">
        <v>43465</v>
      </c>
      <c r="F2516" s="11">
        <v>-42.321571239999997</v>
      </c>
      <c r="G2516" s="11">
        <v>-4.4444444399999998</v>
      </c>
      <c r="H2516" s="11">
        <v>6.0896685845</v>
      </c>
      <c r="I2516" s="11">
        <v>45.132953536800002</v>
      </c>
      <c r="J2516" s="11">
        <v>21.4102179261</v>
      </c>
      <c r="K2516" s="10">
        <v>0.14146612132200001</v>
      </c>
      <c r="L2516" s="12">
        <v>2853503750</v>
      </c>
      <c r="M2516">
        <v>14.9167834178039</v>
      </c>
      <c r="N2516" s="7">
        <v>0.91149169272880204</v>
      </c>
      <c r="O2516" s="7">
        <v>2.7322220937386499</v>
      </c>
      <c r="P2516" s="7">
        <v>31.074182905883699</v>
      </c>
      <c r="Q2516" s="7">
        <v>2.4503524325087378</v>
      </c>
      <c r="U2516">
        <v>0.22655597705216823</v>
      </c>
      <c r="AT2516" s="4" t="s">
        <v>7709</v>
      </c>
    </row>
    <row r="2517" spans="1:46">
      <c r="A2517" s="2">
        <v>2244</v>
      </c>
      <c r="B2517" t="s">
        <v>7710</v>
      </c>
      <c r="C2517" t="s">
        <v>3474</v>
      </c>
      <c r="D2517" t="s">
        <v>3781</v>
      </c>
      <c r="E2517" s="4">
        <v>43465</v>
      </c>
      <c r="F2517" s="11">
        <v>-39.650103600000001</v>
      </c>
      <c r="G2517" s="11">
        <v>-4.4703595700000003</v>
      </c>
      <c r="H2517" s="11">
        <v>6.8543554364999997</v>
      </c>
      <c r="I2517" s="11">
        <v>38.277760111500001</v>
      </c>
      <c r="J2517" s="11">
        <v>7.6445718145999999</v>
      </c>
      <c r="K2517" s="10">
        <v>0.92991212412599999</v>
      </c>
      <c r="L2517" s="12">
        <v>11987040876.879999</v>
      </c>
      <c r="M2517">
        <v>11.4235378671543</v>
      </c>
      <c r="N2517" s="7">
        <v>1.61685456332938</v>
      </c>
      <c r="O2517" s="7">
        <v>1.28294972062642</v>
      </c>
      <c r="P2517" s="7">
        <v>5.5754944501706696</v>
      </c>
      <c r="Q2517" s="7">
        <v>1.9047619047619047</v>
      </c>
      <c r="U2517">
        <v>0.58238918291349873</v>
      </c>
      <c r="AT2517" s="4" t="s">
        <v>7711</v>
      </c>
    </row>
    <row r="2518" spans="1:46">
      <c r="A2518" s="2">
        <v>1407</v>
      </c>
      <c r="B2518" t="s">
        <v>7712</v>
      </c>
      <c r="C2518" t="s">
        <v>1912</v>
      </c>
      <c r="D2518" t="s">
        <v>3785</v>
      </c>
      <c r="E2518" s="4">
        <v>43465</v>
      </c>
      <c r="F2518" s="11">
        <v>-43.904649790000001</v>
      </c>
      <c r="G2518" s="11">
        <v>-4.4763513499999998</v>
      </c>
      <c r="H2518" s="11">
        <v>4.6720676017000002</v>
      </c>
      <c r="I2518" s="11">
        <v>32.2831741209</v>
      </c>
      <c r="J2518" s="11">
        <v>9.6594285831000004</v>
      </c>
      <c r="K2518" s="10">
        <v>0.34151696900200001</v>
      </c>
      <c r="L2518" s="12">
        <v>3029599008.9499998</v>
      </c>
      <c r="M2518">
        <v>51.926357294747902</v>
      </c>
      <c r="N2518" s="7">
        <v>1.97039498064397</v>
      </c>
      <c r="O2518" s="7">
        <v>3.5993089111318799</v>
      </c>
      <c r="P2518" s="7">
        <v>9.7124515276592707</v>
      </c>
      <c r="Q2518" s="7">
        <v>0.60956843065693433</v>
      </c>
      <c r="U2518">
        <v>0.33913292505604781</v>
      </c>
      <c r="AT2518" s="4" t="s">
        <v>6138</v>
      </c>
    </row>
    <row r="2519" spans="1:46">
      <c r="A2519" s="2">
        <v>3018</v>
      </c>
      <c r="B2519" t="s">
        <v>7713</v>
      </c>
      <c r="C2519" t="s">
        <v>950</v>
      </c>
      <c r="D2519" t="s">
        <v>3778</v>
      </c>
      <c r="E2519" s="4">
        <v>43465</v>
      </c>
      <c r="F2519" s="11">
        <v>-5.9117614600000001</v>
      </c>
      <c r="G2519" s="11">
        <v>-4.5855379200000002</v>
      </c>
      <c r="H2519" s="11">
        <v>10.2277613991</v>
      </c>
      <c r="I2519" s="11">
        <v>16.423554316200001</v>
      </c>
      <c r="J2519" s="11">
        <v>7.8886228262999998</v>
      </c>
      <c r="K2519" s="10">
        <v>0.86447008951000004</v>
      </c>
      <c r="L2519" s="12">
        <v>20857559040</v>
      </c>
      <c r="M2519">
        <v>7.6287578420745499</v>
      </c>
      <c r="N2519" s="7">
        <v>0.85655220522710096</v>
      </c>
      <c r="O2519" s="7">
        <v>0.45314718207365001</v>
      </c>
      <c r="P2519" s="7">
        <v>17.180358505996001</v>
      </c>
      <c r="Q2519" s="7">
        <v>5.0485436893203888</v>
      </c>
      <c r="U2519">
        <v>0.85855111990434363</v>
      </c>
      <c r="AT2519" s="4" t="s">
        <v>7714</v>
      </c>
    </row>
    <row r="2520" spans="1:46">
      <c r="A2520" s="2">
        <v>732</v>
      </c>
      <c r="B2520" t="s">
        <v>7715</v>
      </c>
      <c r="C2520" t="s">
        <v>386</v>
      </c>
      <c r="D2520" t="s">
        <v>3778</v>
      </c>
      <c r="E2520" s="4">
        <v>43465</v>
      </c>
      <c r="F2520" s="11">
        <v>-35.869128170000003</v>
      </c>
      <c r="G2520" s="11">
        <v>-4.5905707199999997</v>
      </c>
      <c r="H2520" s="11">
        <v>49.771827608999999</v>
      </c>
      <c r="I2520" s="11">
        <v>4.9645554920999997</v>
      </c>
      <c r="J2520" s="11">
        <v>2.2065249216999998</v>
      </c>
      <c r="K2520" s="10">
        <v>1.99030347314</v>
      </c>
      <c r="L2520" s="12">
        <v>2503904000</v>
      </c>
      <c r="M2520">
        <v>14.289415149000201</v>
      </c>
      <c r="N2520" s="7">
        <v>1.6231862660524801</v>
      </c>
      <c r="O2520" s="7">
        <v>0.30336679586480098</v>
      </c>
      <c r="P2520" s="7">
        <v>5.5385820158146899</v>
      </c>
      <c r="Q2520" s="7">
        <v>0.46599496221662468</v>
      </c>
      <c r="U2520">
        <v>0.65368699651948858</v>
      </c>
      <c r="AT2520" s="4" t="s">
        <v>7716</v>
      </c>
    </row>
    <row r="2521" spans="1:46">
      <c r="A2521" s="2">
        <v>3631</v>
      </c>
      <c r="B2521" t="s">
        <v>7717</v>
      </c>
      <c r="C2521" t="s">
        <v>2289</v>
      </c>
      <c r="D2521" t="s">
        <v>3761</v>
      </c>
      <c r="E2521" s="4">
        <v>43465</v>
      </c>
      <c r="F2521" s="11">
        <v>-61.00507992</v>
      </c>
      <c r="G2521" s="11">
        <v>-4.5954046000000002</v>
      </c>
      <c r="H2521" s="11">
        <v>39.335648481699998</v>
      </c>
      <c r="I2521" s="11">
        <v>32.2252817623</v>
      </c>
      <c r="J2521" s="11">
        <v>11.254323644699999</v>
      </c>
      <c r="K2521" s="10">
        <v>0.45880203738800002</v>
      </c>
      <c r="L2521" s="12">
        <v>18990340407.759998</v>
      </c>
      <c r="M2521">
        <v>56.5413243693597</v>
      </c>
      <c r="N2521" s="7">
        <v>3.50393540261092</v>
      </c>
      <c r="O2521" s="7">
        <v>5.5891388156625199</v>
      </c>
      <c r="P2521" s="7">
        <v>-29.526538217619599</v>
      </c>
      <c r="Q2521" s="7">
        <v>3.9205702647657841</v>
      </c>
      <c r="U2521">
        <v>0.20505556900510202</v>
      </c>
      <c r="AT2521" s="4" t="s">
        <v>5060</v>
      </c>
    </row>
    <row r="2522" spans="1:46">
      <c r="A2522" s="2">
        <v>885</v>
      </c>
      <c r="B2522" t="s">
        <v>7718</v>
      </c>
      <c r="C2522" t="s">
        <v>2693</v>
      </c>
      <c r="D2522" t="s">
        <v>3858</v>
      </c>
      <c r="E2522" s="4">
        <v>43465</v>
      </c>
      <c r="F2522" s="11">
        <v>-46.897810219999997</v>
      </c>
      <c r="G2522" s="11">
        <v>-4.6052631599999998</v>
      </c>
      <c r="H2522" s="11">
        <v>-32.830358313799998</v>
      </c>
      <c r="I2522" s="11">
        <v>10.617205752</v>
      </c>
      <c r="J2522" s="11">
        <v>-63.1508644201</v>
      </c>
      <c r="K2522" s="10">
        <v>0.20785793681100001</v>
      </c>
      <c r="L2522" s="12">
        <v>1941391767.5999999</v>
      </c>
      <c r="M2522">
        <v>554.979401026191</v>
      </c>
      <c r="N2522" s="7">
        <v>1.13612266036367</v>
      </c>
      <c r="O2522" s="7">
        <v>1.7315208728204099</v>
      </c>
      <c r="P2522" s="7">
        <v>-8.5746706199979794</v>
      </c>
      <c r="Q2522" s="7" t="s">
        <v>3698</v>
      </c>
      <c r="U2522">
        <v>-0.90017760437834837</v>
      </c>
      <c r="AT2522" s="4" t="s">
        <v>4429</v>
      </c>
    </row>
    <row r="2523" spans="1:46">
      <c r="A2523" s="2">
        <v>644</v>
      </c>
      <c r="B2523" t="s">
        <v>7719</v>
      </c>
      <c r="C2523" t="s">
        <v>166</v>
      </c>
      <c r="D2523" t="s">
        <v>3871</v>
      </c>
      <c r="E2523" s="4">
        <v>43465</v>
      </c>
      <c r="F2523" s="11">
        <v>-25.785873939999998</v>
      </c>
      <c r="G2523" s="11">
        <v>-4.6376811599999996</v>
      </c>
      <c r="H2523" s="11">
        <v>-8.7408591755000007</v>
      </c>
      <c r="I2523" s="11">
        <v>39.6397148366</v>
      </c>
      <c r="J2523" s="11">
        <v>19.498051291100001</v>
      </c>
      <c r="K2523" s="10">
        <v>0.320762791155</v>
      </c>
      <c r="L2523" s="12">
        <v>25778803704.66</v>
      </c>
      <c r="M2523">
        <v>7.1197658745973902</v>
      </c>
      <c r="N2523" s="7">
        <v>0.82763687280990095</v>
      </c>
      <c r="O2523" s="7">
        <v>0.76514394926795004</v>
      </c>
      <c r="P2523" s="7">
        <v>6.24552787364469</v>
      </c>
      <c r="Q2523" s="7">
        <v>2.5641025641025639</v>
      </c>
      <c r="U2523">
        <v>0.4341041883703381</v>
      </c>
      <c r="AT2523" s="4" t="s">
        <v>4054</v>
      </c>
    </row>
    <row r="2524" spans="1:46">
      <c r="A2524" s="2">
        <v>3025</v>
      </c>
      <c r="B2524" t="s">
        <v>7720</v>
      </c>
      <c r="C2524" t="s">
        <v>1311</v>
      </c>
      <c r="D2524" t="s">
        <v>3842</v>
      </c>
      <c r="E2524" s="4">
        <v>43465</v>
      </c>
      <c r="F2524" s="11">
        <v>-13.953488370000001</v>
      </c>
      <c r="G2524" s="11">
        <v>-4.63917526</v>
      </c>
      <c r="H2524" s="11">
        <v>71.029921038599994</v>
      </c>
      <c r="I2524" s="11">
        <v>13.0620461004</v>
      </c>
      <c r="J2524" s="11">
        <v>7.8980361154000001</v>
      </c>
      <c r="K2524" s="10">
        <v>0.87163746219399996</v>
      </c>
      <c r="L2524" s="12">
        <v>14316711857.040001</v>
      </c>
      <c r="M2524">
        <v>34.505697535194599</v>
      </c>
      <c r="N2524" s="7">
        <v>0.93364996604352601</v>
      </c>
      <c r="O2524" s="7">
        <v>0.76930392525207003</v>
      </c>
      <c r="P2524" s="7">
        <v>10.956250196606099</v>
      </c>
      <c r="Q2524" s="7" t="s">
        <v>3698</v>
      </c>
      <c r="U2524">
        <v>0.20046930522011136</v>
      </c>
      <c r="AT2524" s="4" t="s">
        <v>7721</v>
      </c>
    </row>
    <row r="2525" spans="1:46">
      <c r="A2525" s="2">
        <v>3179</v>
      </c>
      <c r="B2525" t="s">
        <v>7722</v>
      </c>
      <c r="C2525" t="s">
        <v>1266</v>
      </c>
      <c r="D2525" t="s">
        <v>3889</v>
      </c>
      <c r="E2525" s="4">
        <v>43465</v>
      </c>
      <c r="F2525" s="11">
        <v>-9.0942229999999999E-2</v>
      </c>
      <c r="G2525" s="11">
        <v>-4.6599496199999999</v>
      </c>
      <c r="H2525" s="11">
        <v>6.6804332517000002</v>
      </c>
      <c r="I2525" s="11">
        <v>36.298227242300001</v>
      </c>
      <c r="J2525" s="11">
        <v>11.7865587111</v>
      </c>
      <c r="K2525" s="10">
        <v>0.55685641912399997</v>
      </c>
      <c r="L2525" s="12">
        <v>4519860000</v>
      </c>
      <c r="M2525">
        <v>21.162458393041401</v>
      </c>
      <c r="N2525" s="7">
        <v>1.53400032716248</v>
      </c>
      <c r="O2525" s="7">
        <v>1.7506752028141599</v>
      </c>
      <c r="P2525" s="7">
        <v>5.4202269329704498</v>
      </c>
      <c r="Q2525" s="7">
        <v>4.1958041958041958</v>
      </c>
      <c r="U2525">
        <v>0.52060813929427485</v>
      </c>
      <c r="AT2525" s="4" t="s">
        <v>7723</v>
      </c>
    </row>
    <row r="2526" spans="1:46">
      <c r="A2526" s="2">
        <v>3279</v>
      </c>
      <c r="B2526" t="s">
        <v>7724</v>
      </c>
      <c r="C2526" t="s">
        <v>2657</v>
      </c>
      <c r="D2526" t="s">
        <v>3718</v>
      </c>
      <c r="E2526" s="4">
        <v>43465</v>
      </c>
      <c r="F2526" s="11">
        <v>-48.590009690000002</v>
      </c>
      <c r="G2526" s="11">
        <v>-4.6601941699999996</v>
      </c>
      <c r="H2526" s="11">
        <v>11.263659426</v>
      </c>
      <c r="I2526" s="11">
        <v>20.174806484200001</v>
      </c>
      <c r="J2526" s="11">
        <v>7.4578706229999998</v>
      </c>
      <c r="K2526" s="10">
        <v>0.56985389796800001</v>
      </c>
      <c r="L2526" s="12">
        <v>7006768173.1199999</v>
      </c>
      <c r="M2526">
        <v>25.7028780716042</v>
      </c>
      <c r="N2526" s="7">
        <v>1.8859283962531099</v>
      </c>
      <c r="O2526" s="7">
        <v>1.7783112580067</v>
      </c>
      <c r="P2526" s="7">
        <v>74.274977232610695</v>
      </c>
      <c r="Q2526" s="7">
        <v>1.5021459227467808</v>
      </c>
      <c r="U2526">
        <v>0.21259073361179362</v>
      </c>
      <c r="AT2526" s="4" t="s">
        <v>5442</v>
      </c>
    </row>
    <row r="2527" spans="1:46">
      <c r="A2527" s="2">
        <v>2169</v>
      </c>
      <c r="B2527" t="s">
        <v>7725</v>
      </c>
      <c r="C2527" t="s">
        <v>2529</v>
      </c>
      <c r="D2527" t="s">
        <v>3764</v>
      </c>
      <c r="E2527" s="4">
        <v>43465</v>
      </c>
      <c r="F2527" s="11">
        <v>-33.43213497</v>
      </c>
      <c r="G2527" s="11">
        <v>-4.6647230300000002</v>
      </c>
      <c r="H2527" s="11">
        <v>34.144697811</v>
      </c>
      <c r="I2527" s="11">
        <v>30.797238201999999</v>
      </c>
      <c r="J2527" s="11">
        <v>6.5483264923000002</v>
      </c>
      <c r="K2527" s="10">
        <v>0.20762008448300001</v>
      </c>
      <c r="L2527" s="12">
        <v>9926577291.6000004</v>
      </c>
      <c r="M2527">
        <v>35.340510446856598</v>
      </c>
      <c r="N2527" s="7">
        <v>2.3601523287916901</v>
      </c>
      <c r="O2527" s="7">
        <v>1.8434587939821701</v>
      </c>
      <c r="P2527" s="7">
        <v>7.6918737775518098</v>
      </c>
      <c r="Q2527" s="7">
        <v>2.4390243902439024</v>
      </c>
      <c r="U2527">
        <v>0.12653468578682278</v>
      </c>
      <c r="AT2527" s="4" t="s">
        <v>7726</v>
      </c>
    </row>
    <row r="2528" spans="1:46">
      <c r="A2528" s="2">
        <v>2427</v>
      </c>
      <c r="B2528" t="s">
        <v>7727</v>
      </c>
      <c r="C2528" t="s">
        <v>981</v>
      </c>
      <c r="D2528" t="s">
        <v>3752</v>
      </c>
      <c r="E2528" s="4">
        <v>43465</v>
      </c>
      <c r="F2528" s="11">
        <v>13.715163649999999</v>
      </c>
      <c r="G2528" s="11">
        <v>-4.7038327500000001</v>
      </c>
      <c r="H2528" s="11">
        <v>9.8112713729000003</v>
      </c>
      <c r="I2528" s="11">
        <v>34.8943923649</v>
      </c>
      <c r="J2528" s="11">
        <v>10.6471278867</v>
      </c>
      <c r="K2528" s="10">
        <v>0.53376948716700001</v>
      </c>
      <c r="L2528" s="12">
        <v>3196960000</v>
      </c>
      <c r="M2528">
        <v>28.292747960833701</v>
      </c>
      <c r="N2528" s="7">
        <v>2.5707576249006099</v>
      </c>
      <c r="O2528" s="7">
        <v>2.7232940786083102</v>
      </c>
      <c r="P2528" s="7">
        <v>-15.978229747496499</v>
      </c>
      <c r="Q2528" s="7">
        <v>1.632075471698113</v>
      </c>
      <c r="U2528">
        <v>0.34532615697818791</v>
      </c>
      <c r="AT2528" s="4" t="s">
        <v>4759</v>
      </c>
    </row>
    <row r="2529" spans="1:46">
      <c r="A2529" s="2">
        <v>1690</v>
      </c>
      <c r="B2529" t="s">
        <v>7728</v>
      </c>
      <c r="C2529" t="s">
        <v>2891</v>
      </c>
      <c r="D2529" t="s">
        <v>3761</v>
      </c>
      <c r="E2529" s="4">
        <v>43465</v>
      </c>
      <c r="F2529" s="11">
        <v>-13.816668079999999</v>
      </c>
      <c r="G2529" s="11">
        <v>-4.7263681599999998</v>
      </c>
      <c r="H2529" s="11">
        <v>5.9662278043999999</v>
      </c>
      <c r="I2529" s="11">
        <v>20.649954661399999</v>
      </c>
      <c r="J2529" s="11">
        <v>2.5751227066000002</v>
      </c>
      <c r="K2529" s="10">
        <v>0.73107586013100001</v>
      </c>
      <c r="L2529" s="12">
        <v>1985459112</v>
      </c>
      <c r="M2529">
        <v>397.74300260453799</v>
      </c>
      <c r="N2529" s="7">
        <v>2.7937952999767099</v>
      </c>
      <c r="O2529" s="7">
        <v>1.74727071019167</v>
      </c>
      <c r="P2529" s="7">
        <v>-66.562400682799407</v>
      </c>
      <c r="Q2529" s="7">
        <v>0.19607843137254902</v>
      </c>
      <c r="U2529">
        <v>0.11057401084444443</v>
      </c>
      <c r="AT2529" s="4" t="s">
        <v>5195</v>
      </c>
    </row>
    <row r="2530" spans="1:46">
      <c r="A2530" s="2">
        <v>983</v>
      </c>
      <c r="B2530" t="s">
        <v>7729</v>
      </c>
      <c r="C2530" t="s">
        <v>1650</v>
      </c>
      <c r="D2530" t="s">
        <v>3849</v>
      </c>
      <c r="E2530" s="4">
        <v>43465</v>
      </c>
      <c r="F2530" s="11">
        <v>-41.799504929999998</v>
      </c>
      <c r="G2530" s="11">
        <v>-4.7285464099999999</v>
      </c>
      <c r="H2530" s="11">
        <v>19.392397348500001</v>
      </c>
      <c r="I2530" s="11">
        <v>20.311167958599999</v>
      </c>
      <c r="J2530" s="11">
        <v>6.1891078160999999</v>
      </c>
      <c r="K2530" s="10">
        <v>0.40889188448000002</v>
      </c>
      <c r="L2530" s="12">
        <v>9180816422.3999996</v>
      </c>
      <c r="M2530">
        <v>20.200155355807599</v>
      </c>
      <c r="N2530" s="7">
        <v>1.16795887730919</v>
      </c>
      <c r="O2530" s="7">
        <v>1.2549792943373801</v>
      </c>
      <c r="P2530" s="7">
        <v>11.187768023102199</v>
      </c>
      <c r="Q2530" s="7">
        <v>1.1472226858760683</v>
      </c>
      <c r="U2530">
        <v>0.28432684234167321</v>
      </c>
      <c r="AT2530" s="4" t="s">
        <v>5128</v>
      </c>
    </row>
    <row r="2531" spans="1:46">
      <c r="A2531" s="2">
        <v>1937</v>
      </c>
      <c r="B2531" t="s">
        <v>7730</v>
      </c>
      <c r="C2531" t="s">
        <v>845</v>
      </c>
      <c r="D2531" t="s">
        <v>3718</v>
      </c>
      <c r="E2531" s="4">
        <v>43465</v>
      </c>
      <c r="F2531" s="11">
        <v>-31.52992321</v>
      </c>
      <c r="G2531" s="11">
        <v>-4.75</v>
      </c>
      <c r="H2531" s="11">
        <v>4.6937269690000001</v>
      </c>
      <c r="I2531" s="11">
        <v>44.616749217200002</v>
      </c>
      <c r="J2531" s="11">
        <v>25.817270977</v>
      </c>
      <c r="K2531" s="10">
        <v>0.35020730810799999</v>
      </c>
      <c r="L2531" s="12">
        <v>3711411340</v>
      </c>
      <c r="M2531">
        <v>20.671089263312901</v>
      </c>
      <c r="N2531" s="7">
        <v>2.5409301904412702</v>
      </c>
      <c r="O2531" s="7">
        <v>4.6408351842714799</v>
      </c>
      <c r="P2531" s="7">
        <v>11.245127706381901</v>
      </c>
      <c r="Q2531" s="7">
        <v>1.2070566388115136</v>
      </c>
      <c r="U2531">
        <v>0.69039587437037042</v>
      </c>
      <c r="AT2531" s="4" t="s">
        <v>7731</v>
      </c>
    </row>
    <row r="2532" spans="1:46">
      <c r="A2532" s="2">
        <v>2045</v>
      </c>
      <c r="B2532" t="s">
        <v>7732</v>
      </c>
      <c r="C2532" t="s">
        <v>1226</v>
      </c>
      <c r="D2532" t="s">
        <v>3761</v>
      </c>
      <c r="E2532" s="4">
        <v>43465</v>
      </c>
      <c r="F2532" s="11">
        <v>-46.12099448</v>
      </c>
      <c r="G2532" s="11">
        <v>-4.7511312200000004</v>
      </c>
      <c r="H2532" s="11">
        <v>1.8327600177000001</v>
      </c>
      <c r="I2532" s="11">
        <v>18.408172862400001</v>
      </c>
      <c r="J2532" s="11">
        <v>5.1889095992999996</v>
      </c>
      <c r="K2532" s="10">
        <v>0.86667616558600002</v>
      </c>
      <c r="L2532" s="12">
        <v>4257401600</v>
      </c>
      <c r="M2532">
        <v>34.845913918806097</v>
      </c>
      <c r="N2532" s="7">
        <v>3.0655920097602198</v>
      </c>
      <c r="O2532" s="7">
        <v>1.8184436864773801</v>
      </c>
      <c r="P2532" s="7">
        <v>55.349519704855801</v>
      </c>
      <c r="Q2532" s="7" t="s">
        <v>3698</v>
      </c>
      <c r="U2532">
        <v>0.24491182494444447</v>
      </c>
      <c r="AT2532" s="4" t="s">
        <v>4643</v>
      </c>
    </row>
    <row r="2533" spans="1:46">
      <c r="A2533" s="2">
        <v>1195</v>
      </c>
      <c r="B2533" t="s">
        <v>7733</v>
      </c>
      <c r="C2533" t="s">
        <v>2450</v>
      </c>
      <c r="D2533" t="s">
        <v>3849</v>
      </c>
      <c r="E2533" s="4">
        <v>43465</v>
      </c>
      <c r="F2533" s="11">
        <v>-67.259174310000006</v>
      </c>
      <c r="G2533" s="11">
        <v>-4.7543581599999998</v>
      </c>
      <c r="H2533" s="11">
        <v>-71.825566810400005</v>
      </c>
      <c r="I2533" s="11">
        <v>-9.7267115051000008</v>
      </c>
      <c r="J2533" s="11">
        <v>-259.88693592869998</v>
      </c>
      <c r="K2533" s="10">
        <v>0.117093690944</v>
      </c>
      <c r="L2533" s="12">
        <v>11350312782.299999</v>
      </c>
      <c r="M2533">
        <v>-4.1079390511289402</v>
      </c>
      <c r="N2533" s="7">
        <v>-11.5536962459778</v>
      </c>
      <c r="O2533" s="7">
        <v>1.3930381518897901</v>
      </c>
      <c r="P2533" s="7">
        <v>-3.8612582246892901</v>
      </c>
      <c r="Q2533" s="7" t="s">
        <v>3698</v>
      </c>
      <c r="U2533">
        <v>-4.8795435077525147</v>
      </c>
      <c r="AT2533" s="4" t="s">
        <v>3922</v>
      </c>
    </row>
    <row r="2534" spans="1:46">
      <c r="A2534" s="2">
        <v>1674</v>
      </c>
      <c r="B2534" t="s">
        <v>7734</v>
      </c>
      <c r="C2534" t="s">
        <v>1615</v>
      </c>
      <c r="D2534" t="s">
        <v>3713</v>
      </c>
      <c r="E2534" s="4">
        <v>43465</v>
      </c>
      <c r="F2534" s="11">
        <v>-18.2904281</v>
      </c>
      <c r="G2534" s="11">
        <v>-4.7761193999999998</v>
      </c>
      <c r="H2534" s="11">
        <v>9.9450465286000007</v>
      </c>
      <c r="I2534" s="11">
        <v>25.3346758317</v>
      </c>
      <c r="J2534" s="11">
        <v>2.7180061197000001</v>
      </c>
      <c r="K2534" s="10">
        <v>0.50316976288699999</v>
      </c>
      <c r="L2534" s="12">
        <v>4483368881.04</v>
      </c>
      <c r="M2534">
        <v>27.5149259236725</v>
      </c>
      <c r="N2534" s="7">
        <v>4.0636943626103204</v>
      </c>
      <c r="O2534" s="7">
        <v>1.8646201466154699</v>
      </c>
      <c r="P2534" s="7">
        <v>15.536940709167901</v>
      </c>
      <c r="Q2534" s="7">
        <v>0.2552929054975222</v>
      </c>
      <c r="U2534">
        <v>8.5828833189472084E-2</v>
      </c>
      <c r="AT2534" s="4" t="s">
        <v>4633</v>
      </c>
    </row>
    <row r="2535" spans="1:46">
      <c r="A2535" s="2">
        <v>848</v>
      </c>
      <c r="B2535" t="s">
        <v>7735</v>
      </c>
      <c r="C2535" t="s">
        <v>3425</v>
      </c>
      <c r="D2535" t="s">
        <v>3718</v>
      </c>
      <c r="E2535" s="4">
        <v>43465</v>
      </c>
      <c r="F2535" s="11">
        <v>-32.524748369999998</v>
      </c>
      <c r="G2535" s="11">
        <v>-4.7872340400000004</v>
      </c>
      <c r="H2535" s="11">
        <v>-20.6170998658</v>
      </c>
      <c r="I2535" s="11">
        <v>43.011298412000002</v>
      </c>
      <c r="J2535" s="11">
        <v>2.0406981273999998</v>
      </c>
      <c r="K2535" s="10">
        <v>0.28527137325599999</v>
      </c>
      <c r="L2535" s="12">
        <v>12663165000</v>
      </c>
      <c r="M2535">
        <v>-35.7720931701799</v>
      </c>
      <c r="N2535" s="7">
        <v>1.82623339950354</v>
      </c>
      <c r="O2535" s="7">
        <v>4.9270095057648398</v>
      </c>
      <c r="P2535" s="7">
        <v>-504.40253750486602</v>
      </c>
      <c r="Q2535" s="7" t="s">
        <v>3698</v>
      </c>
      <c r="U2535">
        <v>1.2587577328673247E-2</v>
      </c>
      <c r="AT2535" s="4" t="s">
        <v>5939</v>
      </c>
    </row>
    <row r="2536" spans="1:46">
      <c r="A2536" s="2">
        <v>3113</v>
      </c>
      <c r="B2536" t="s">
        <v>7736</v>
      </c>
      <c r="C2536" t="s">
        <v>260</v>
      </c>
      <c r="D2536" t="s">
        <v>4060</v>
      </c>
      <c r="E2536" s="4">
        <v>43465</v>
      </c>
      <c r="F2536" s="11">
        <v>-11.21093115</v>
      </c>
      <c r="G2536" s="11">
        <v>-4.7887323899999998</v>
      </c>
      <c r="H2536" s="11">
        <v>18.759355305300002</v>
      </c>
      <c r="I2536" s="11">
        <v>38.629763035700002</v>
      </c>
      <c r="J2536" s="11">
        <v>22.808179726399999</v>
      </c>
      <c r="K2536" s="10">
        <v>0.57409065410600002</v>
      </c>
      <c r="L2536" s="12">
        <v>4160041348.6399999</v>
      </c>
      <c r="M2536">
        <v>12.831074919382401</v>
      </c>
      <c r="N2536" s="7">
        <v>2.06928945950441</v>
      </c>
      <c r="O2536" s="7">
        <v>2.6152706634173799</v>
      </c>
      <c r="P2536" s="7">
        <v>33.617734377211903</v>
      </c>
      <c r="Q2536" s="7">
        <v>6.4699792960662528</v>
      </c>
      <c r="U2536">
        <v>0.67256938522482013</v>
      </c>
      <c r="AT2536" s="4" t="s">
        <v>6725</v>
      </c>
    </row>
    <row r="2537" spans="1:46">
      <c r="A2537" s="2">
        <v>620</v>
      </c>
      <c r="B2537" t="s">
        <v>7737</v>
      </c>
      <c r="C2537" t="s">
        <v>1423</v>
      </c>
      <c r="D2537" t="s">
        <v>3752</v>
      </c>
      <c r="E2537" s="4">
        <v>43465</v>
      </c>
      <c r="F2537" s="11">
        <v>-26.467171390000001</v>
      </c>
      <c r="G2537" s="11">
        <v>-4.8295454500000004</v>
      </c>
      <c r="H2537" s="11">
        <v>8.3775872930999995</v>
      </c>
      <c r="I2537" s="11">
        <v>22.6994326724</v>
      </c>
      <c r="J2537" s="11">
        <v>11.5964131666</v>
      </c>
      <c r="K2537" s="10">
        <v>0.48648377593999997</v>
      </c>
      <c r="L2537" s="12">
        <v>2563603104.96</v>
      </c>
      <c r="M2537">
        <v>16.416902323079999</v>
      </c>
      <c r="N2537" s="7">
        <v>1.03513860935935</v>
      </c>
      <c r="O2537" s="7">
        <v>1.78734684105748</v>
      </c>
      <c r="P2537" s="7">
        <v>36.398343503580499</v>
      </c>
      <c r="Q2537" s="7" t="s">
        <v>3698</v>
      </c>
      <c r="U2537">
        <v>0.22606238697098485</v>
      </c>
      <c r="AT2537" s="4" t="s">
        <v>4503</v>
      </c>
    </row>
    <row r="2538" spans="1:46">
      <c r="A2538" s="2">
        <v>2954</v>
      </c>
      <c r="B2538" t="s">
        <v>7738</v>
      </c>
      <c r="C2538" t="s">
        <v>3361</v>
      </c>
      <c r="D2538" t="s">
        <v>3858</v>
      </c>
      <c r="E2538" s="4">
        <v>43465</v>
      </c>
      <c r="F2538" s="11">
        <v>-38.794603879999997</v>
      </c>
      <c r="G2538" s="11">
        <v>-4.8338368599999999</v>
      </c>
      <c r="H2538" s="11">
        <v>-19.9737033597</v>
      </c>
      <c r="I2538" s="11">
        <v>28.842492000299998</v>
      </c>
      <c r="J2538" s="11">
        <v>-1.5029015084999999</v>
      </c>
      <c r="K2538" s="10">
        <v>0.24161502394699999</v>
      </c>
      <c r="L2538" s="12">
        <v>10423237500</v>
      </c>
      <c r="M2538">
        <v>17.067734211782302</v>
      </c>
      <c r="N2538" s="7">
        <v>0.81277829663435497</v>
      </c>
      <c r="O2538" s="7">
        <v>0.55612944959836996</v>
      </c>
      <c r="P2538" s="7">
        <v>-11.767230412718</v>
      </c>
      <c r="Q2538" s="7" t="s">
        <v>3698</v>
      </c>
      <c r="U2538">
        <v>-6.0734440010597163E-2</v>
      </c>
      <c r="AT2538" s="4" t="s">
        <v>6475</v>
      </c>
    </row>
    <row r="2539" spans="1:46">
      <c r="A2539" s="2">
        <v>540</v>
      </c>
      <c r="B2539" t="s">
        <v>7739</v>
      </c>
      <c r="C2539" t="s">
        <v>1754</v>
      </c>
      <c r="D2539" t="s">
        <v>3728</v>
      </c>
      <c r="E2539" s="4">
        <v>43465</v>
      </c>
      <c r="F2539" s="11">
        <v>-27.274847999999999</v>
      </c>
      <c r="G2539" s="11">
        <v>-4.83870968</v>
      </c>
      <c r="H2539" s="11">
        <v>14.0081942034</v>
      </c>
      <c r="I2539" s="11">
        <v>42.596147800600001</v>
      </c>
      <c r="J2539" s="11">
        <v>10.365104879</v>
      </c>
      <c r="K2539" s="10">
        <v>0.40954664625600001</v>
      </c>
      <c r="L2539" s="12">
        <v>5979053103</v>
      </c>
      <c r="M2539">
        <v>27.584697821072002</v>
      </c>
      <c r="N2539" s="7">
        <v>0.81799068955646603</v>
      </c>
      <c r="O2539" s="7">
        <v>1.38497743172879</v>
      </c>
      <c r="P2539" s="7">
        <v>12.0671206849036</v>
      </c>
      <c r="Q2539" s="7">
        <v>1.8083182640144666</v>
      </c>
      <c r="U2539">
        <v>0.45825099535511538</v>
      </c>
      <c r="AT2539" s="4" t="s">
        <v>7740</v>
      </c>
    </row>
    <row r="2540" spans="1:46">
      <c r="A2540" s="2">
        <v>3046</v>
      </c>
      <c r="B2540" t="s">
        <v>7741</v>
      </c>
      <c r="C2540" t="s">
        <v>1397</v>
      </c>
      <c r="D2540" t="s">
        <v>3889</v>
      </c>
      <c r="E2540" s="4">
        <v>43465</v>
      </c>
      <c r="F2540" s="11">
        <v>-5.3018347700000001</v>
      </c>
      <c r="G2540" s="11">
        <v>-4.88</v>
      </c>
      <c r="H2540" s="11">
        <v>-7.5725440579000001</v>
      </c>
      <c r="I2540" s="11">
        <v>38.721924678299999</v>
      </c>
      <c r="J2540" s="11">
        <v>14.317321741200001</v>
      </c>
      <c r="K2540" s="10">
        <v>0.47957191230000001</v>
      </c>
      <c r="L2540" s="12">
        <v>2380453202.9200001</v>
      </c>
      <c r="M2540">
        <v>20.7165000253447</v>
      </c>
      <c r="N2540" s="7">
        <v>1.6737105705203501</v>
      </c>
      <c r="O2540" s="7">
        <v>2.3601861581098298</v>
      </c>
      <c r="P2540" s="7">
        <v>-234.37523811891299</v>
      </c>
      <c r="Q2540" s="7">
        <v>5.2677029360967182</v>
      </c>
      <c r="U2540">
        <v>0.68924313868040088</v>
      </c>
      <c r="AT2540" s="4" t="s">
        <v>7742</v>
      </c>
    </row>
    <row r="2541" spans="1:46">
      <c r="A2541" s="2">
        <v>163</v>
      </c>
      <c r="B2541" t="s">
        <v>7743</v>
      </c>
      <c r="C2541" t="s">
        <v>3085</v>
      </c>
      <c r="D2541" t="s">
        <v>3778</v>
      </c>
      <c r="E2541" s="4">
        <v>43465</v>
      </c>
      <c r="F2541" s="11">
        <v>-39.630431039999998</v>
      </c>
      <c r="G2541" s="11">
        <v>-4.8828125</v>
      </c>
      <c r="H2541" s="11">
        <v>13.1881664642</v>
      </c>
      <c r="I2541" s="11">
        <v>8.7364542668999992</v>
      </c>
      <c r="J2541" s="11">
        <v>6.6720420700000005E-2</v>
      </c>
      <c r="K2541" s="10">
        <v>2.5282660966530002</v>
      </c>
      <c r="L2541" s="12">
        <v>2183292870</v>
      </c>
      <c r="M2541">
        <v>449.44524125938398</v>
      </c>
      <c r="N2541" s="7">
        <v>2.8039364660751001</v>
      </c>
      <c r="O2541" s="7">
        <v>0.81708990313223895</v>
      </c>
      <c r="P2541" s="7">
        <v>35.614978830734699</v>
      </c>
      <c r="Q2541" s="7" t="s">
        <v>3698</v>
      </c>
      <c r="U2541">
        <v>3.9038859358528524E-3</v>
      </c>
      <c r="AT2541" s="4" t="s">
        <v>5947</v>
      </c>
    </row>
    <row r="2542" spans="1:46">
      <c r="A2542" s="2">
        <v>3190</v>
      </c>
      <c r="B2542" t="s">
        <v>7744</v>
      </c>
      <c r="C2542" t="s">
        <v>917</v>
      </c>
      <c r="D2542" t="s">
        <v>3764</v>
      </c>
      <c r="E2542" s="4">
        <v>43465</v>
      </c>
      <c r="F2542" s="11">
        <v>-29.097979479999999</v>
      </c>
      <c r="G2542" s="11">
        <v>-4.9335863399999997</v>
      </c>
      <c r="H2542" s="11">
        <v>16.188629859999999</v>
      </c>
      <c r="I2542" s="11">
        <v>41.755393661799999</v>
      </c>
      <c r="J2542" s="11">
        <v>21.718160016999999</v>
      </c>
      <c r="K2542" s="10">
        <v>0.125441389593</v>
      </c>
      <c r="L2542" s="12">
        <v>8637631189.4400005</v>
      </c>
      <c r="M2542">
        <v>18.946947928783</v>
      </c>
      <c r="N2542" s="7">
        <v>1.76910414688743</v>
      </c>
      <c r="O2542" s="7">
        <v>2.26325649377099</v>
      </c>
      <c r="P2542" s="7">
        <v>96.406603706265301</v>
      </c>
      <c r="Q2542" s="7">
        <v>2.4691358024691357</v>
      </c>
      <c r="U2542">
        <v>0.30431943266713479</v>
      </c>
      <c r="AT2542" s="4" t="s">
        <v>4089</v>
      </c>
    </row>
    <row r="2543" spans="1:46">
      <c r="A2543" s="2">
        <v>1317</v>
      </c>
      <c r="B2543" t="s">
        <v>7745</v>
      </c>
      <c r="C2543" t="s">
        <v>2090</v>
      </c>
      <c r="D2543" t="s">
        <v>3849</v>
      </c>
      <c r="E2543" s="4">
        <v>43465</v>
      </c>
      <c r="F2543" s="11">
        <v>-30.212519149999999</v>
      </c>
      <c r="G2543" s="11">
        <v>-4.9401775399999996</v>
      </c>
      <c r="H2543" s="11">
        <v>-2.1912045701</v>
      </c>
      <c r="I2543" s="11">
        <v>14.6289900896</v>
      </c>
      <c r="J2543" s="11">
        <v>1.5362405391</v>
      </c>
      <c r="K2543" s="10">
        <v>0.46568081975300002</v>
      </c>
      <c r="L2543" s="12">
        <v>12802314714.24</v>
      </c>
      <c r="M2543">
        <v>-102.09702484977799</v>
      </c>
      <c r="N2543" s="7">
        <v>4.6419956295019897</v>
      </c>
      <c r="O2543" s="7">
        <v>3.9405398955159998</v>
      </c>
      <c r="P2543" s="7">
        <v>-42.834584533448698</v>
      </c>
      <c r="Q2543" s="7">
        <v>0.13032145960034752</v>
      </c>
      <c r="U2543">
        <v>0.14127862191666665</v>
      </c>
      <c r="AT2543" s="4" t="s">
        <v>4097</v>
      </c>
    </row>
    <row r="2544" spans="1:46">
      <c r="A2544" s="2">
        <v>1398</v>
      </c>
      <c r="B2544" t="s">
        <v>7746</v>
      </c>
      <c r="C2544" t="s">
        <v>677</v>
      </c>
      <c r="D2544" t="s">
        <v>3737</v>
      </c>
      <c r="E2544" s="4">
        <v>43465</v>
      </c>
      <c r="F2544" s="11">
        <v>-33.426790060000002</v>
      </c>
      <c r="G2544" s="11">
        <v>-4.9668874199999999</v>
      </c>
      <c r="H2544" s="11">
        <v>89.106816329699996</v>
      </c>
      <c r="I2544" s="11">
        <v>83.799095810799997</v>
      </c>
      <c r="J2544" s="11">
        <v>9.4078262218000006</v>
      </c>
      <c r="K2544" s="10">
        <v>0.92500611769399999</v>
      </c>
      <c r="L2544" s="12">
        <v>2272032000</v>
      </c>
      <c r="M2544">
        <v>27.488327189286601</v>
      </c>
      <c r="N2544" s="7">
        <v>1.97341725552007</v>
      </c>
      <c r="O2544" s="7">
        <v>1.8595729661377201</v>
      </c>
      <c r="P2544" s="7">
        <v>-6.1729792692077803</v>
      </c>
      <c r="Q2544" s="7">
        <v>5.9037238873751132</v>
      </c>
      <c r="U2544">
        <v>0.65007374294476583</v>
      </c>
      <c r="AT2544" s="4" t="s">
        <v>4067</v>
      </c>
    </row>
    <row r="2545" spans="1:46">
      <c r="A2545" s="2">
        <v>2727</v>
      </c>
      <c r="B2545" t="s">
        <v>7747</v>
      </c>
      <c r="C2545" t="s">
        <v>3556</v>
      </c>
      <c r="D2545" t="s">
        <v>3713</v>
      </c>
      <c r="E2545" s="4">
        <v>43465</v>
      </c>
      <c r="F2545" s="11">
        <v>-64.083175800000006</v>
      </c>
      <c r="G2545" s="11">
        <v>-5</v>
      </c>
      <c r="H2545" s="11">
        <v>22.1384136488</v>
      </c>
      <c r="I2545" s="11">
        <v>14.1570543363</v>
      </c>
      <c r="J2545" s="11">
        <v>-54.616767404900003</v>
      </c>
      <c r="K2545" s="10">
        <v>0.48833785223699999</v>
      </c>
      <c r="L2545" s="12">
        <v>2553313931.8800001</v>
      </c>
      <c r="M2545">
        <v>-3.6721660968051699</v>
      </c>
      <c r="N2545" s="7">
        <v>-3.4103317272076401</v>
      </c>
      <c r="O2545" s="7">
        <v>0.67944449651786898</v>
      </c>
      <c r="P2545" s="7">
        <v>-43.699248489548403</v>
      </c>
      <c r="Q2545" s="7" t="s">
        <v>3698</v>
      </c>
      <c r="U2545">
        <v>-1.5437564840482361</v>
      </c>
      <c r="AT2545" s="4" t="s">
        <v>4387</v>
      </c>
    </row>
    <row r="2546" spans="1:46">
      <c r="A2546" s="2">
        <v>3424</v>
      </c>
      <c r="B2546" t="s">
        <v>7748</v>
      </c>
      <c r="C2546" t="s">
        <v>602</v>
      </c>
      <c r="D2546" t="s">
        <v>3790</v>
      </c>
      <c r="E2546" s="4">
        <v>43465</v>
      </c>
      <c r="F2546" s="11">
        <v>-62.323304919999998</v>
      </c>
      <c r="G2546" s="11">
        <v>-5.0056243</v>
      </c>
      <c r="H2546" s="11">
        <v>14.1668592503</v>
      </c>
      <c r="I2546" s="11">
        <v>29.4613686824</v>
      </c>
      <c r="J2546" s="11">
        <v>7.1526601078000001</v>
      </c>
      <c r="K2546" s="10">
        <v>1.2931647304239999</v>
      </c>
      <c r="L2546" s="12">
        <v>2562417219.25</v>
      </c>
      <c r="M2546">
        <v>56.614368103720402</v>
      </c>
      <c r="N2546" s="7">
        <v>6.4283416840846703</v>
      </c>
      <c r="O2546" s="7">
        <v>3.8409092717532798</v>
      </c>
      <c r="P2546" s="7">
        <v>-11.996074401865499</v>
      </c>
      <c r="Q2546" s="7">
        <v>0.66026410564225702</v>
      </c>
      <c r="U2546">
        <v>0.34742038054862839</v>
      </c>
      <c r="AT2546" s="4" t="s">
        <v>7749</v>
      </c>
    </row>
    <row r="2547" spans="1:46">
      <c r="A2547" s="2">
        <v>2880</v>
      </c>
      <c r="B2547" t="s">
        <v>7750</v>
      </c>
      <c r="C2547" t="s">
        <v>3626</v>
      </c>
      <c r="D2547" t="s">
        <v>3769</v>
      </c>
      <c r="E2547" s="4">
        <v>43465</v>
      </c>
      <c r="F2547" s="11">
        <v>-63.936063939999997</v>
      </c>
      <c r="G2547" s="11">
        <v>-5.0264550300000002</v>
      </c>
      <c r="H2547" s="11">
        <v>-25.578613746999999</v>
      </c>
      <c r="I2547" s="11">
        <v>13.648028780100001</v>
      </c>
      <c r="J2547" s="11">
        <v>2.4584129577999998</v>
      </c>
      <c r="K2547" s="10">
        <v>0.17618398951200001</v>
      </c>
      <c r="L2547" s="12">
        <v>16499414193.950001</v>
      </c>
      <c r="M2547">
        <v>-2.1653288828739798</v>
      </c>
      <c r="N2547" s="7">
        <v>2.72147017152419</v>
      </c>
      <c r="O2547" s="7">
        <v>1.9066790733058501</v>
      </c>
      <c r="P2547" s="7">
        <v>-2.99315530335396</v>
      </c>
      <c r="Q2547" s="7" t="s">
        <v>3698</v>
      </c>
      <c r="U2547">
        <v>4.0562481985573322E-2</v>
      </c>
      <c r="AT2547" s="4" t="s">
        <v>4775</v>
      </c>
    </row>
    <row r="2548" spans="1:46">
      <c r="A2548" s="2">
        <v>2350</v>
      </c>
      <c r="B2548" t="s">
        <v>7751</v>
      </c>
      <c r="C2548" t="s">
        <v>3213</v>
      </c>
      <c r="D2548" t="s">
        <v>3871</v>
      </c>
      <c r="E2548" s="4">
        <v>43465</v>
      </c>
      <c r="F2548" s="11">
        <v>-37.931557759999997</v>
      </c>
      <c r="G2548" s="11">
        <v>-5.0445103900000001</v>
      </c>
      <c r="H2548" s="11">
        <v>41.159592238099997</v>
      </c>
      <c r="I2548" s="11">
        <v>15.994584999900001</v>
      </c>
      <c r="J2548" s="11">
        <v>16.5906764271</v>
      </c>
      <c r="K2548" s="10">
        <v>0.194791668571</v>
      </c>
      <c r="L2548" s="12">
        <v>19366689000</v>
      </c>
      <c r="M2548">
        <v>66.468658426544295</v>
      </c>
      <c r="N2548" s="7">
        <v>1.2405936223465699</v>
      </c>
      <c r="O2548" s="7">
        <v>4.3335227300972399</v>
      </c>
      <c r="P2548" s="7">
        <v>3.1840732722813598</v>
      </c>
      <c r="Q2548" s="7">
        <v>0.99378881987577639</v>
      </c>
      <c r="U2548">
        <v>0.21011356416346302</v>
      </c>
      <c r="AT2548" s="4" t="s">
        <v>7607</v>
      </c>
    </row>
    <row r="2549" spans="1:46">
      <c r="A2549" s="2">
        <v>3230</v>
      </c>
      <c r="B2549" t="s">
        <v>7752</v>
      </c>
      <c r="C2549" t="s">
        <v>1866</v>
      </c>
      <c r="D2549" t="s">
        <v>3752</v>
      </c>
      <c r="E2549" s="4">
        <v>43465</v>
      </c>
      <c r="F2549" s="11">
        <v>38.16995902</v>
      </c>
      <c r="G2549" s="11">
        <v>-5.0847457599999997</v>
      </c>
      <c r="H2549" s="11">
        <v>12.6878210663</v>
      </c>
      <c r="I2549" s="11">
        <v>22.940881230999999</v>
      </c>
      <c r="J2549" s="11">
        <v>7.3869810953000004</v>
      </c>
      <c r="K2549" s="10">
        <v>0.67623449312999995</v>
      </c>
      <c r="L2549" s="12">
        <v>2991450000</v>
      </c>
      <c r="M2549">
        <v>25.137525603170399</v>
      </c>
      <c r="N2549" s="7">
        <v>2.01728379224671</v>
      </c>
      <c r="O2549" s="7">
        <v>2.1866637292707298</v>
      </c>
      <c r="P2549" s="7">
        <v>37.043864533419303</v>
      </c>
      <c r="Q2549" s="7">
        <v>0.51759834402535765</v>
      </c>
      <c r="U2549">
        <v>0.64514198046936533</v>
      </c>
      <c r="AT2549" s="4" t="s">
        <v>7753</v>
      </c>
    </row>
    <row r="2550" spans="1:46">
      <c r="A2550" s="2">
        <v>1823</v>
      </c>
      <c r="B2550" t="s">
        <v>7754</v>
      </c>
      <c r="C2550" t="s">
        <v>548</v>
      </c>
      <c r="D2550" t="s">
        <v>3752</v>
      </c>
      <c r="E2550" s="4">
        <v>43465</v>
      </c>
      <c r="F2550" s="11">
        <v>-14.415377250000001</v>
      </c>
      <c r="G2550" s="11">
        <v>-5.0955414000000001</v>
      </c>
      <c r="H2550" s="11">
        <v>76.228294790999996</v>
      </c>
      <c r="I2550" s="11">
        <v>46.408682803600001</v>
      </c>
      <c r="J2550" s="11">
        <v>19.943994464700001</v>
      </c>
      <c r="K2550" s="10">
        <v>0.45051824117200001</v>
      </c>
      <c r="L2550" s="12">
        <v>18705124601.029999</v>
      </c>
      <c r="M2550">
        <v>25.946765878815</v>
      </c>
      <c r="N2550" s="7">
        <v>4.3536114446067398</v>
      </c>
      <c r="O2550" s="7">
        <v>4.6441797521566501</v>
      </c>
      <c r="P2550" s="7">
        <v>-18.136332222901</v>
      </c>
      <c r="Q2550" s="7">
        <v>0.63268862279446858</v>
      </c>
      <c r="U2550">
        <v>0.66653322839276941</v>
      </c>
      <c r="AT2550" s="4" t="s">
        <v>4585</v>
      </c>
    </row>
    <row r="2551" spans="1:46">
      <c r="A2551" s="2">
        <v>2627</v>
      </c>
      <c r="B2551" t="s">
        <v>7755</v>
      </c>
      <c r="C2551" t="s">
        <v>1096</v>
      </c>
      <c r="D2551" t="s">
        <v>3889</v>
      </c>
      <c r="E2551" s="4">
        <v>43465</v>
      </c>
      <c r="F2551" s="11">
        <v>-27.34544653</v>
      </c>
      <c r="G2551" s="11">
        <v>-5.1044083499999999</v>
      </c>
      <c r="H2551" s="11">
        <v>-2.5710645817</v>
      </c>
      <c r="I2551" s="11">
        <v>11.3500396115</v>
      </c>
      <c r="J2551" s="11">
        <v>5.1623712307999998</v>
      </c>
      <c r="K2551" s="10">
        <v>0.951827305362</v>
      </c>
      <c r="L2551" s="12">
        <v>29661828079.380001</v>
      </c>
      <c r="M2551">
        <v>69.290872922499503</v>
      </c>
      <c r="N2551" s="7">
        <v>0.94197811612150695</v>
      </c>
      <c r="O2551" s="7">
        <v>0.70513679379781902</v>
      </c>
      <c r="P2551" s="7">
        <v>-32.430872904506899</v>
      </c>
      <c r="Q2551" s="7">
        <v>2.4547803617571056</v>
      </c>
      <c r="U2551">
        <v>0.65159433874971717</v>
      </c>
      <c r="AT2551" s="4" t="s">
        <v>7756</v>
      </c>
    </row>
    <row r="2552" spans="1:46">
      <c r="A2552" s="2">
        <v>2311</v>
      </c>
      <c r="B2552" t="s">
        <v>7757</v>
      </c>
      <c r="C2552" t="s">
        <v>1894</v>
      </c>
      <c r="D2552" t="s">
        <v>3769</v>
      </c>
      <c r="E2552" s="4">
        <v>43465</v>
      </c>
      <c r="F2552" s="11">
        <v>-66.818700109999995</v>
      </c>
      <c r="G2552" s="11">
        <v>-5.2459016399999996</v>
      </c>
      <c r="H2552" s="11">
        <v>7.0297510586999996</v>
      </c>
      <c r="I2552" s="11">
        <v>22.9257613439</v>
      </c>
      <c r="J2552" s="11">
        <v>-7.8852357397999997</v>
      </c>
      <c r="K2552" s="10">
        <v>0.29362512895300003</v>
      </c>
      <c r="L2552" s="12">
        <v>2598750000</v>
      </c>
      <c r="M2552">
        <v>14.0208681507634</v>
      </c>
      <c r="N2552" s="7">
        <v>0.991723285704601</v>
      </c>
      <c r="O2552" s="7">
        <v>1.3327530257985001</v>
      </c>
      <c r="P2552" s="7">
        <v>16.0645445492387</v>
      </c>
      <c r="Q2552" s="7" t="s">
        <v>3698</v>
      </c>
      <c r="U2552">
        <v>-0.16094390846841319</v>
      </c>
      <c r="AT2552" s="4" t="s">
        <v>7758</v>
      </c>
    </row>
    <row r="2553" spans="1:46">
      <c r="A2553" s="2">
        <v>789</v>
      </c>
      <c r="B2553" t="s">
        <v>7759</v>
      </c>
      <c r="C2553" t="s">
        <v>3259</v>
      </c>
      <c r="D2553" t="s">
        <v>3718</v>
      </c>
      <c r="E2553" s="4">
        <v>43465</v>
      </c>
      <c r="F2553" s="11">
        <v>-55.744248990000003</v>
      </c>
      <c r="G2553" s="11">
        <v>-5.2710843399999998</v>
      </c>
      <c r="H2553" s="11">
        <v>35.432855717700001</v>
      </c>
      <c r="I2553" s="11">
        <v>32.615574332900003</v>
      </c>
      <c r="J2553" s="11">
        <v>4.9150392008999999</v>
      </c>
      <c r="K2553" s="10">
        <v>0.43693666411499998</v>
      </c>
      <c r="L2553" s="12">
        <v>3844677429.5999999</v>
      </c>
      <c r="M2553">
        <v>407.209055227965</v>
      </c>
      <c r="N2553" s="7">
        <v>2.37582534143522</v>
      </c>
      <c r="O2553" s="7">
        <v>3.90943882877264</v>
      </c>
      <c r="P2553" s="7">
        <v>-41.814828426207796</v>
      </c>
      <c r="Q2553" s="7">
        <v>0.86355785837651122</v>
      </c>
      <c r="U2553">
        <v>8.178400103863144E-2</v>
      </c>
      <c r="AT2553" s="4" t="s">
        <v>7760</v>
      </c>
    </row>
    <row r="2554" spans="1:46">
      <c r="A2554" s="2">
        <v>1331</v>
      </c>
      <c r="B2554" t="s">
        <v>7761</v>
      </c>
      <c r="C2554" t="s">
        <v>3345</v>
      </c>
      <c r="D2554" t="s">
        <v>3778</v>
      </c>
      <c r="E2554" s="4">
        <v>43465</v>
      </c>
      <c r="F2554" s="11">
        <v>-17.070625239999998</v>
      </c>
      <c r="G2554" s="11">
        <v>-5.2991453000000002</v>
      </c>
      <c r="H2554" s="11">
        <v>39.2779816432</v>
      </c>
      <c r="I2554" s="11">
        <v>20.5046166118</v>
      </c>
      <c r="J2554" s="11">
        <v>5.0718653478000002</v>
      </c>
      <c r="K2554" s="10">
        <v>0.54396740531599996</v>
      </c>
      <c r="L2554" s="12">
        <v>3099600000</v>
      </c>
      <c r="M2554">
        <v>35.536678458577903</v>
      </c>
      <c r="N2554" s="7">
        <v>2.5251787630921498</v>
      </c>
      <c r="O2554" s="7">
        <v>2.9576177727055302</v>
      </c>
      <c r="P2554" s="7">
        <v>-14.4246570452716</v>
      </c>
      <c r="Q2554" s="7">
        <v>0.56272071539937119</v>
      </c>
      <c r="U2554">
        <v>0.22203897459448896</v>
      </c>
      <c r="AT2554" s="4" t="s">
        <v>3738</v>
      </c>
    </row>
    <row r="2555" spans="1:46">
      <c r="A2555" s="2">
        <v>1774</v>
      </c>
      <c r="B2555" t="s">
        <v>7762</v>
      </c>
      <c r="C2555" t="s">
        <v>864</v>
      </c>
      <c r="D2555" t="s">
        <v>3718</v>
      </c>
      <c r="E2555" s="4">
        <v>43465</v>
      </c>
      <c r="F2555" s="11">
        <v>-28.369432320000001</v>
      </c>
      <c r="G2555" s="11">
        <v>-5.3416149099999997</v>
      </c>
      <c r="H2555" s="11">
        <v>20.879970408399998</v>
      </c>
      <c r="I2555" s="11">
        <v>48.6817734296</v>
      </c>
      <c r="J2555" s="11">
        <v>24.311446893500001</v>
      </c>
      <c r="K2555" s="10">
        <v>0.47479644860999998</v>
      </c>
      <c r="L2555" s="12">
        <v>1521000000</v>
      </c>
      <c r="M2555">
        <v>14.949514141282901</v>
      </c>
      <c r="N2555" s="7">
        <v>3.0669579106157601</v>
      </c>
      <c r="O2555" s="7">
        <v>3.2974603630758899</v>
      </c>
      <c r="P2555" s="7">
        <v>45.761810297160302</v>
      </c>
      <c r="Q2555" s="7">
        <v>3.5688793718772307</v>
      </c>
      <c r="U2555">
        <v>1.1601116137988468</v>
      </c>
      <c r="AT2555" s="4" t="s">
        <v>4921</v>
      </c>
    </row>
    <row r="2556" spans="1:46">
      <c r="A2556" s="2">
        <v>1082</v>
      </c>
      <c r="B2556" t="s">
        <v>7763</v>
      </c>
      <c r="C2556" t="s">
        <v>3386</v>
      </c>
      <c r="D2556" t="s">
        <v>4060</v>
      </c>
      <c r="E2556" s="4">
        <v>43465</v>
      </c>
      <c r="F2556" s="11">
        <v>-36.125</v>
      </c>
      <c r="G2556" s="11">
        <v>-5.35372849</v>
      </c>
      <c r="H2556" s="11">
        <v>-0.1669032319</v>
      </c>
      <c r="I2556" s="11">
        <v>18.6837655068</v>
      </c>
      <c r="J2556" s="11">
        <v>-16.160953540200001</v>
      </c>
      <c r="K2556" s="10">
        <v>0.43568915508099998</v>
      </c>
      <c r="L2556" s="12">
        <v>3239707761.1900001</v>
      </c>
      <c r="M2556">
        <v>-42.710837727737903</v>
      </c>
      <c r="N2556" s="7">
        <v>1.45929990973738</v>
      </c>
      <c r="O2556" s="7">
        <v>2.61724483857361</v>
      </c>
      <c r="P2556" s="7">
        <v>364.583217554111</v>
      </c>
      <c r="Q2556" s="7" t="s">
        <v>3698</v>
      </c>
      <c r="U2556">
        <v>-0.32630828287843344</v>
      </c>
      <c r="AT2556" s="4" t="s">
        <v>5566</v>
      </c>
    </row>
    <row r="2557" spans="1:46">
      <c r="A2557" s="2">
        <v>78</v>
      </c>
      <c r="B2557" t="s">
        <v>7764</v>
      </c>
      <c r="C2557" t="s">
        <v>2304</v>
      </c>
      <c r="D2557" t="s">
        <v>3752</v>
      </c>
      <c r="E2557" s="4">
        <v>43465</v>
      </c>
      <c r="F2557" s="11">
        <v>0.80493988999999999</v>
      </c>
      <c r="G2557" s="11">
        <v>-5.4945054899999999</v>
      </c>
      <c r="H2557" s="11">
        <v>13.134467187</v>
      </c>
      <c r="I2557" s="11">
        <v>13.8039060516</v>
      </c>
      <c r="J2557" s="11">
        <v>4.5910761231999997</v>
      </c>
      <c r="K2557" s="10">
        <v>1.4031209108939999</v>
      </c>
      <c r="L2557" s="12">
        <v>2764811626.0799999</v>
      </c>
      <c r="M2557">
        <v>-113.853932985518</v>
      </c>
      <c r="N2557" s="7">
        <v>1.79470800397587</v>
      </c>
      <c r="O2557" s="7">
        <v>8.9888492731830993</v>
      </c>
      <c r="P2557" s="7">
        <v>-94.047700551085001</v>
      </c>
      <c r="Q2557" s="7">
        <v>1.996007984031936</v>
      </c>
      <c r="U2557">
        <v>0.21015685372596946</v>
      </c>
      <c r="AT2557" s="4" t="s">
        <v>7765</v>
      </c>
    </row>
    <row r="2558" spans="1:46">
      <c r="A2558" s="2">
        <v>3542</v>
      </c>
      <c r="B2558" t="s">
        <v>7766</v>
      </c>
      <c r="C2558" t="s">
        <v>1548</v>
      </c>
      <c r="D2558" t="s">
        <v>4060</v>
      </c>
      <c r="E2558" s="4">
        <v>43465</v>
      </c>
      <c r="F2558" s="11">
        <v>-34.329913570000002</v>
      </c>
      <c r="G2558" s="11">
        <v>-5.5393585999999999</v>
      </c>
      <c r="H2558" s="11">
        <v>12.801800700299999</v>
      </c>
      <c r="I2558" s="11">
        <v>35.9559588467</v>
      </c>
      <c r="J2558" s="11">
        <v>11.2165563631</v>
      </c>
      <c r="K2558" s="10">
        <v>0.90029111377100002</v>
      </c>
      <c r="L2558" s="12">
        <v>2130789015</v>
      </c>
      <c r="M2558">
        <v>15.050477724212101</v>
      </c>
      <c r="N2558" s="7">
        <v>2.0518081058778099</v>
      </c>
      <c r="O2558" s="7">
        <v>1.5966037417458301</v>
      </c>
      <c r="P2558" s="7">
        <v>-113.55358066539399</v>
      </c>
      <c r="Q2558" s="7">
        <v>3.3339790552953872</v>
      </c>
      <c r="U2558">
        <v>1.7056135857500001</v>
      </c>
      <c r="AT2558" s="4" t="s">
        <v>7767</v>
      </c>
    </row>
    <row r="2559" spans="1:46">
      <c r="A2559" s="2">
        <v>2087</v>
      </c>
      <c r="B2559" t="s">
        <v>7768</v>
      </c>
      <c r="C2559" t="s">
        <v>389</v>
      </c>
      <c r="D2559" t="s">
        <v>3858</v>
      </c>
      <c r="E2559" s="4">
        <v>43465</v>
      </c>
      <c r="F2559" s="11">
        <v>-40.614910139999999</v>
      </c>
      <c r="G2559" s="11">
        <v>-5.5463117000000004</v>
      </c>
      <c r="H2559" s="11">
        <v>36.761362490499998</v>
      </c>
      <c r="I2559" s="11">
        <v>52.155726800300002</v>
      </c>
      <c r="J2559" s="11">
        <v>24.465494498200002</v>
      </c>
      <c r="K2559" s="10">
        <v>0.751325561679</v>
      </c>
      <c r="L2559" s="12">
        <v>9007200000</v>
      </c>
      <c r="M2559">
        <v>25.785333646480101</v>
      </c>
      <c r="N2559" s="7">
        <v>4.6543371568577498</v>
      </c>
      <c r="O2559" s="7">
        <v>6.13950571773728</v>
      </c>
      <c r="P2559" s="7">
        <v>-15.2282715023004</v>
      </c>
      <c r="Q2559" s="7" t="s">
        <v>3698</v>
      </c>
      <c r="U2559">
        <v>0.79323010872865274</v>
      </c>
      <c r="AT2559" s="4" t="s">
        <v>5958</v>
      </c>
    </row>
    <row r="2560" spans="1:46">
      <c r="A2560" s="2">
        <v>2274</v>
      </c>
      <c r="B2560" t="s">
        <v>7769</v>
      </c>
      <c r="C2560" t="s">
        <v>3448</v>
      </c>
      <c r="D2560" t="s">
        <v>4119</v>
      </c>
      <c r="E2560" s="4">
        <v>43465</v>
      </c>
      <c r="F2560" s="11">
        <v>-20.060450889999998</v>
      </c>
      <c r="G2560" s="11">
        <v>-5.5555555600000002</v>
      </c>
      <c r="H2560" s="11">
        <v>9.8976055558000002</v>
      </c>
      <c r="I2560" s="11">
        <v>6.5907620659999999</v>
      </c>
      <c r="J2560" s="11">
        <v>-1.3497960372</v>
      </c>
      <c r="K2560" s="10">
        <v>1.455235015842</v>
      </c>
      <c r="L2560" s="12">
        <v>3558953386.8200002</v>
      </c>
      <c r="M2560">
        <v>-22.885293139494799</v>
      </c>
      <c r="N2560" s="7">
        <v>1.5304799855756901</v>
      </c>
      <c r="O2560" s="7">
        <v>0.42619967170387302</v>
      </c>
      <c r="P2560" s="7">
        <v>34.908602667382901</v>
      </c>
      <c r="Q2560" s="7" t="s">
        <v>3698</v>
      </c>
      <c r="U2560">
        <v>-0.28437228464040037</v>
      </c>
      <c r="AT2560" s="4" t="s">
        <v>7770</v>
      </c>
    </row>
    <row r="2561" spans="1:46">
      <c r="A2561" s="2">
        <v>1190</v>
      </c>
      <c r="B2561" t="s">
        <v>7771</v>
      </c>
      <c r="C2561" t="s">
        <v>2936</v>
      </c>
      <c r="D2561" t="s">
        <v>3781</v>
      </c>
      <c r="E2561" s="4">
        <v>43465</v>
      </c>
      <c r="F2561" s="11">
        <v>32.618339149999997</v>
      </c>
      <c r="G2561" s="11">
        <v>-5.5652173899999999</v>
      </c>
      <c r="H2561" s="11">
        <v>-3.6622582214000001</v>
      </c>
      <c r="I2561" s="11">
        <v>66.687106130399997</v>
      </c>
      <c r="J2561" s="11">
        <v>28.163382005399999</v>
      </c>
      <c r="K2561" s="10">
        <v>9.9498571554999998E-2</v>
      </c>
      <c r="L2561" s="12">
        <v>10364034345.719999</v>
      </c>
      <c r="M2561">
        <v>69.943104940183403</v>
      </c>
      <c r="N2561" s="7">
        <v>5.3492658325446003</v>
      </c>
      <c r="O2561" s="7">
        <v>22.364433460649401</v>
      </c>
      <c r="P2561" s="7">
        <v>227.936395516234</v>
      </c>
      <c r="Q2561" s="7">
        <v>0.31609195402298856</v>
      </c>
      <c r="U2561">
        <v>0.20186071803050612</v>
      </c>
      <c r="AT2561" s="4" t="s">
        <v>4693</v>
      </c>
    </row>
    <row r="2562" spans="1:46">
      <c r="A2562" s="2">
        <v>3602</v>
      </c>
      <c r="B2562" t="s">
        <v>7772</v>
      </c>
      <c r="C2562" t="s">
        <v>3057</v>
      </c>
      <c r="D2562" t="s">
        <v>3713</v>
      </c>
      <c r="E2562" s="4">
        <v>43465</v>
      </c>
      <c r="F2562" s="11">
        <v>-17.719861510000001</v>
      </c>
      <c r="G2562" s="11">
        <v>-5.5696202499999998</v>
      </c>
      <c r="H2562" s="11">
        <v>23.815877202500001</v>
      </c>
      <c r="I2562" s="11">
        <v>31.0104148651</v>
      </c>
      <c r="J2562" s="11">
        <v>6.1502641994999996</v>
      </c>
      <c r="K2562" s="10">
        <v>0.78564486011400003</v>
      </c>
      <c r="L2562" s="12">
        <v>4420669500</v>
      </c>
      <c r="M2562">
        <v>41.4803518954472</v>
      </c>
      <c r="N2562" s="7">
        <v>3.71288669767377</v>
      </c>
      <c r="O2562" s="7">
        <v>2.7511007792213902</v>
      </c>
      <c r="P2562" s="7">
        <v>-72.849663309701995</v>
      </c>
      <c r="Q2562" s="7">
        <v>0.62257885998893192</v>
      </c>
      <c r="U2562">
        <v>0.28537092020165444</v>
      </c>
      <c r="AT2562" s="4" t="s">
        <v>4173</v>
      </c>
    </row>
    <row r="2563" spans="1:46">
      <c r="A2563" s="2">
        <v>150</v>
      </c>
      <c r="B2563" t="s">
        <v>7773</v>
      </c>
      <c r="C2563" t="s">
        <v>1374</v>
      </c>
      <c r="D2563" t="s">
        <v>3977</v>
      </c>
      <c r="E2563" s="4">
        <v>43465</v>
      </c>
      <c r="F2563" s="11">
        <v>-37.278078669999999</v>
      </c>
      <c r="G2563" s="11">
        <v>-5.5984556000000003</v>
      </c>
      <c r="H2563" s="11">
        <v>4.6515727600000001E-2</v>
      </c>
      <c r="I2563" s="11">
        <v>23.122899072799999</v>
      </c>
      <c r="J2563" s="11">
        <v>9.9725073478000006</v>
      </c>
      <c r="K2563" s="10">
        <v>0.67506448787999995</v>
      </c>
      <c r="L2563" s="12">
        <v>21444240000</v>
      </c>
      <c r="M2563">
        <v>18.916516668889098</v>
      </c>
      <c r="N2563" s="7">
        <v>1.67820739054021</v>
      </c>
      <c r="O2563" s="7">
        <v>1.9404928803319099</v>
      </c>
      <c r="P2563" s="7">
        <v>-35.684583772795101</v>
      </c>
      <c r="Q2563" s="7">
        <v>3.1836734693877551</v>
      </c>
      <c r="U2563">
        <v>0.26985112478466855</v>
      </c>
      <c r="AT2563" s="4" t="s">
        <v>7774</v>
      </c>
    </row>
    <row r="2564" spans="1:46">
      <c r="A2564" s="2">
        <v>3431</v>
      </c>
      <c r="B2564" t="s">
        <v>7775</v>
      </c>
      <c r="C2564" t="s">
        <v>1703</v>
      </c>
      <c r="D2564" t="s">
        <v>3728</v>
      </c>
      <c r="E2564" s="4">
        <v>43465</v>
      </c>
      <c r="F2564" s="11">
        <v>-11.45129786</v>
      </c>
      <c r="G2564" s="11">
        <v>-5.62211982</v>
      </c>
      <c r="H2564" s="11">
        <v>38.616373938000002</v>
      </c>
      <c r="I2564" s="11">
        <v>27.9475017187</v>
      </c>
      <c r="J2564" s="11">
        <v>13.0869459046</v>
      </c>
      <c r="K2564" s="10">
        <v>0.45700838259900001</v>
      </c>
      <c r="L2564" s="12">
        <v>2355887268</v>
      </c>
      <c r="M2564">
        <v>29.775777433621201</v>
      </c>
      <c r="N2564" s="7">
        <v>2.02600991331997</v>
      </c>
      <c r="O2564" s="7">
        <v>2.9692266093529498</v>
      </c>
      <c r="P2564" s="7">
        <v>-402.449423559629</v>
      </c>
      <c r="Q2564" s="7">
        <v>0.53879310344827602</v>
      </c>
      <c r="U2564">
        <v>0.49583109409963627</v>
      </c>
      <c r="AT2564" s="4" t="s">
        <v>4533</v>
      </c>
    </row>
    <row r="2565" spans="1:46">
      <c r="A2565" s="2">
        <v>1027</v>
      </c>
      <c r="B2565" t="s">
        <v>7776</v>
      </c>
      <c r="C2565" t="s">
        <v>1591</v>
      </c>
      <c r="D2565" t="s">
        <v>3728</v>
      </c>
      <c r="E2565" s="4">
        <v>43465</v>
      </c>
      <c r="F2565" s="11">
        <v>-39.985986029999999</v>
      </c>
      <c r="G2565" s="11">
        <v>-5.6338028199999997</v>
      </c>
      <c r="H2565" s="11">
        <v>-23.759283959400001</v>
      </c>
      <c r="I2565" s="11">
        <v>28.3013775505</v>
      </c>
      <c r="J2565" s="11">
        <v>12.827296502599999</v>
      </c>
      <c r="K2565" s="10">
        <v>0.38146440382000002</v>
      </c>
      <c r="L2565" s="12">
        <v>77827150000</v>
      </c>
      <c r="M2565">
        <v>14.507459236037199</v>
      </c>
      <c r="N2565" s="7">
        <v>1.13607201244792</v>
      </c>
      <c r="O2565" s="7">
        <v>2.2412964458900899</v>
      </c>
      <c r="P2565" s="7">
        <v>-36.496983450025198</v>
      </c>
      <c r="Q2565" s="7">
        <v>9.7840343107512862</v>
      </c>
      <c r="U2565">
        <v>0.15440362436575278</v>
      </c>
      <c r="AT2565" s="4" t="s">
        <v>4781</v>
      </c>
    </row>
    <row r="2566" spans="1:46">
      <c r="A2566" s="2">
        <v>3451</v>
      </c>
      <c r="B2566" t="s">
        <v>7777</v>
      </c>
      <c r="C2566" t="s">
        <v>995</v>
      </c>
      <c r="D2566" t="s">
        <v>3752</v>
      </c>
      <c r="E2566" s="4">
        <v>43465</v>
      </c>
      <c r="F2566" s="11">
        <v>7.16707816</v>
      </c>
      <c r="G2566" s="11">
        <v>-5.6356487499999997</v>
      </c>
      <c r="H2566" s="11">
        <v>69.149073674700006</v>
      </c>
      <c r="I2566" s="11">
        <v>33.005593791199999</v>
      </c>
      <c r="J2566" s="11">
        <v>14.6622252641</v>
      </c>
      <c r="K2566" s="10">
        <v>0.49673624600600003</v>
      </c>
      <c r="L2566" s="12">
        <v>2908800000</v>
      </c>
      <c r="M2566">
        <v>32.383309073819703</v>
      </c>
      <c r="N2566" s="7">
        <v>3.9887291920310299</v>
      </c>
      <c r="O2566" s="7">
        <v>3.8826506629335999</v>
      </c>
      <c r="P2566" s="7">
        <v>36.148669013902001</v>
      </c>
      <c r="Q2566" s="7">
        <v>1.7377175296644436</v>
      </c>
      <c r="U2566">
        <v>0.29402754499575923</v>
      </c>
      <c r="AT2566" s="4" t="s">
        <v>4290</v>
      </c>
    </row>
    <row r="2567" spans="1:46">
      <c r="A2567" s="2">
        <v>3634</v>
      </c>
      <c r="B2567" t="s">
        <v>7778</v>
      </c>
      <c r="C2567" t="s">
        <v>1834</v>
      </c>
      <c r="D2567" t="s">
        <v>3752</v>
      </c>
      <c r="E2567" s="4">
        <v>43465</v>
      </c>
      <c r="F2567" s="11">
        <v>-38.300889890000001</v>
      </c>
      <c r="G2567" s="11">
        <v>-5.6655665600000003</v>
      </c>
      <c r="H2567" s="11">
        <v>33.298182466199997</v>
      </c>
      <c r="I2567" s="11">
        <v>23.071619988199998</v>
      </c>
      <c r="J2567" s="11">
        <v>6.6701495459000002</v>
      </c>
      <c r="K2567" s="10">
        <v>0.788503863581</v>
      </c>
      <c r="L2567" s="12">
        <v>3780204597</v>
      </c>
      <c r="M2567">
        <v>39.423975152676199</v>
      </c>
      <c r="N2567" s="7">
        <v>2.7548833170407101</v>
      </c>
      <c r="O2567" s="7">
        <v>2.3827188538229298</v>
      </c>
      <c r="P2567" s="7">
        <v>-271.64721403698798</v>
      </c>
      <c r="Q2567" s="7">
        <v>0.98400984009840098</v>
      </c>
      <c r="U2567">
        <v>0.50989494827651305</v>
      </c>
      <c r="AT2567" s="4" t="s">
        <v>7779</v>
      </c>
    </row>
    <row r="2568" spans="1:46">
      <c r="A2568" s="2">
        <v>2289</v>
      </c>
      <c r="B2568" t="s">
        <v>7780</v>
      </c>
      <c r="C2568" t="s">
        <v>601</v>
      </c>
      <c r="D2568" t="s">
        <v>3849</v>
      </c>
      <c r="E2568" s="4">
        <v>43465</v>
      </c>
      <c r="F2568" s="11">
        <v>-45.480497380000003</v>
      </c>
      <c r="G2568" s="11">
        <v>-5.6697377700000002</v>
      </c>
      <c r="H2568" s="11">
        <v>15.4762212653</v>
      </c>
      <c r="I2568" s="11">
        <v>28.7878408871</v>
      </c>
      <c r="J2568" s="11">
        <v>6.6085976947000002</v>
      </c>
      <c r="K2568" s="10">
        <v>0.84685962202099996</v>
      </c>
      <c r="L2568" s="12">
        <v>2437739884.8000002</v>
      </c>
      <c r="M2568">
        <v>118.013810038831</v>
      </c>
      <c r="N2568" s="7">
        <v>4.7651000049588701</v>
      </c>
      <c r="O2568" s="7">
        <v>2.41198249318591</v>
      </c>
      <c r="P2568" s="7">
        <v>75.715748800718103</v>
      </c>
      <c r="Q2568" s="7" t="s">
        <v>3698</v>
      </c>
      <c r="U2568">
        <v>0.25300396363814953</v>
      </c>
      <c r="AT2568" s="4" t="s">
        <v>4456</v>
      </c>
    </row>
    <row r="2569" spans="1:46">
      <c r="A2569" s="2">
        <v>334</v>
      </c>
      <c r="B2569" t="s">
        <v>7781</v>
      </c>
      <c r="C2569" t="s">
        <v>1945</v>
      </c>
      <c r="D2569" t="s">
        <v>3737</v>
      </c>
      <c r="E2569" s="4">
        <v>43465</v>
      </c>
      <c r="F2569" s="11">
        <v>-51.91176471</v>
      </c>
      <c r="G2569" s="11">
        <v>-5.6851311999999998</v>
      </c>
      <c r="H2569" s="11">
        <v>37.671565827099997</v>
      </c>
      <c r="I2569" s="11">
        <v>83.702340203099993</v>
      </c>
      <c r="J2569" s="11">
        <v>15.7179506478</v>
      </c>
      <c r="K2569" s="10">
        <v>0.357312507201</v>
      </c>
      <c r="L2569" s="12">
        <v>6792940000</v>
      </c>
      <c r="M2569">
        <v>27.620695078371</v>
      </c>
      <c r="N2569" s="7">
        <v>2.49871097469833</v>
      </c>
      <c r="O2569" s="7">
        <v>3.3447446310502098</v>
      </c>
      <c r="P2569" s="7">
        <v>66.213795298355606</v>
      </c>
      <c r="Q2569" s="7" t="s">
        <v>3698</v>
      </c>
      <c r="U2569">
        <v>0.34232791327640455</v>
      </c>
      <c r="AT2569" s="4" t="s">
        <v>7083</v>
      </c>
    </row>
    <row r="2570" spans="1:46">
      <c r="A2570" s="2">
        <v>467</v>
      </c>
      <c r="B2570" t="s">
        <v>7782</v>
      </c>
      <c r="C2570" t="s">
        <v>78</v>
      </c>
      <c r="D2570" t="s">
        <v>3737</v>
      </c>
      <c r="E2570" s="4">
        <v>43465</v>
      </c>
      <c r="F2570" s="11">
        <v>-33.109504860000001</v>
      </c>
      <c r="G2570" s="11">
        <v>-5.7344064399999999</v>
      </c>
      <c r="H2570" s="11">
        <v>5.2740668415999998</v>
      </c>
      <c r="I2570" s="11">
        <v>56.821757475299997</v>
      </c>
      <c r="J2570" s="11">
        <v>20.5503169986</v>
      </c>
      <c r="K2570" s="10">
        <v>0.50601955619700001</v>
      </c>
      <c r="L2570" s="12">
        <v>3193531378.9099998</v>
      </c>
      <c r="M2570">
        <v>15.1834885732929</v>
      </c>
      <c r="N2570" s="7">
        <v>2.8650118951221</v>
      </c>
      <c r="O2570" s="7">
        <v>2.99659973389821</v>
      </c>
      <c r="P2570" s="7">
        <v>-119.20003995878</v>
      </c>
      <c r="Q2570" s="7" t="s">
        <v>3698</v>
      </c>
      <c r="T2570" s="2"/>
      <c r="U2570">
        <v>0.68226121515264548</v>
      </c>
      <c r="AT2570" s="4" t="s">
        <v>7783</v>
      </c>
    </row>
    <row r="2571" spans="1:46">
      <c r="A2571" s="2">
        <v>853</v>
      </c>
      <c r="B2571" t="s">
        <v>7784</v>
      </c>
      <c r="C2571" t="s">
        <v>2798</v>
      </c>
      <c r="D2571" t="s">
        <v>3718</v>
      </c>
      <c r="E2571" s="4">
        <v>43465</v>
      </c>
      <c r="F2571" s="11">
        <v>-47.579298829999999</v>
      </c>
      <c r="G2571" s="11">
        <v>-5.7401812699999999</v>
      </c>
      <c r="H2571" s="11">
        <v>19.0120172532</v>
      </c>
      <c r="I2571" s="11">
        <v>19.9129313627</v>
      </c>
      <c r="J2571" s="11">
        <v>1.0572773189</v>
      </c>
      <c r="K2571" s="10">
        <v>0.41587438565899998</v>
      </c>
      <c r="L2571" s="12">
        <v>3050615692.8000002</v>
      </c>
      <c r="M2571">
        <v>-72.480327579767405</v>
      </c>
      <c r="N2571" s="7">
        <v>1.31573988458961</v>
      </c>
      <c r="O2571" s="7">
        <v>1.9670587218825499</v>
      </c>
      <c r="P2571" s="7">
        <v>-11.4006851550441</v>
      </c>
      <c r="Q2571" s="7">
        <v>9.9337748344370855E-2</v>
      </c>
      <c r="U2571">
        <v>1.8558962302083332E-2</v>
      </c>
      <c r="AT2571" s="4" t="s">
        <v>5504</v>
      </c>
    </row>
    <row r="2572" spans="1:46">
      <c r="A2572" s="2">
        <v>2457</v>
      </c>
      <c r="B2572" t="s">
        <v>7785</v>
      </c>
      <c r="C2572" t="s">
        <v>338</v>
      </c>
      <c r="D2572" t="s">
        <v>3737</v>
      </c>
      <c r="E2572" s="4">
        <v>43465</v>
      </c>
      <c r="F2572" s="11">
        <v>12.97961469</v>
      </c>
      <c r="G2572" s="11">
        <v>-5.8165548100000004</v>
      </c>
      <c r="H2572" s="11">
        <v>101.5528499342</v>
      </c>
      <c r="I2572" s="11">
        <v>23.842129443200001</v>
      </c>
      <c r="J2572" s="11">
        <v>8.3670260601000006</v>
      </c>
      <c r="K2572" s="10">
        <v>1.0585333382140001</v>
      </c>
      <c r="L2572" s="12">
        <v>5646956608.3000002</v>
      </c>
      <c r="M2572">
        <v>21.754936666434698</v>
      </c>
      <c r="N2572" s="7">
        <v>2.78715889809714</v>
      </c>
      <c r="O2572" s="7">
        <v>1.66761574015225</v>
      </c>
      <c r="P2572" s="7">
        <v>23.0827156508578</v>
      </c>
      <c r="Q2572" s="7">
        <v>1.2755716004813478</v>
      </c>
      <c r="U2572">
        <v>2.1164960385567997</v>
      </c>
      <c r="AT2572" s="4" t="s">
        <v>4927</v>
      </c>
    </row>
    <row r="2573" spans="1:46">
      <c r="A2573" s="2">
        <v>3474</v>
      </c>
      <c r="B2573" t="s">
        <v>7786</v>
      </c>
      <c r="C2573" t="s">
        <v>675</v>
      </c>
      <c r="D2573" t="s">
        <v>3972</v>
      </c>
      <c r="E2573" s="4">
        <v>43465</v>
      </c>
      <c r="F2573" s="11">
        <v>-52.213677140000001</v>
      </c>
      <c r="G2573" s="11">
        <v>-5.8485139000000004</v>
      </c>
      <c r="H2573" s="11">
        <v>7.1727355926999996</v>
      </c>
      <c r="I2573" s="11">
        <v>24.587828564599999</v>
      </c>
      <c r="J2573" s="11">
        <v>11.4868110662</v>
      </c>
      <c r="K2573" s="10">
        <v>0.64904425351999995</v>
      </c>
      <c r="L2573" s="12">
        <v>7738748318.6000004</v>
      </c>
      <c r="M2573">
        <v>28.924650484582301</v>
      </c>
      <c r="N2573" s="7">
        <v>2.3568985634540001</v>
      </c>
      <c r="O2573" s="7">
        <v>3.2422649791637799</v>
      </c>
      <c r="P2573" s="7">
        <v>-4.8404929961364198</v>
      </c>
      <c r="Q2573" s="7">
        <v>1.5706806282722512</v>
      </c>
      <c r="U2573">
        <v>0.38723233313450872</v>
      </c>
      <c r="AT2573" s="4" t="s">
        <v>7787</v>
      </c>
    </row>
    <row r="2574" spans="1:46">
      <c r="A2574" s="2">
        <v>2110</v>
      </c>
      <c r="B2574" t="s">
        <v>7788</v>
      </c>
      <c r="C2574" t="s">
        <v>2088</v>
      </c>
      <c r="D2574" t="s">
        <v>3764</v>
      </c>
      <c r="E2574" s="4">
        <v>43465</v>
      </c>
      <c r="F2574" s="11">
        <v>-55.879092200000002</v>
      </c>
      <c r="G2574" s="11">
        <v>-5.8555133100000001</v>
      </c>
      <c r="H2574" s="11">
        <v>67.777140303099998</v>
      </c>
      <c r="I2574" s="11">
        <v>31.178713074899999</v>
      </c>
      <c r="J2574" s="11">
        <v>16.416828860700001</v>
      </c>
      <c r="K2574" s="10">
        <v>0.27722237382100001</v>
      </c>
      <c r="L2574" s="12">
        <v>4147767427.1999998</v>
      </c>
      <c r="M2574">
        <v>39.498273051206603</v>
      </c>
      <c r="N2574" s="7">
        <v>2.9230153866069601</v>
      </c>
      <c r="O2574" s="7">
        <v>5.9196547826433497</v>
      </c>
      <c r="P2574" s="7">
        <v>-22.445102610200902</v>
      </c>
      <c r="Q2574" s="7">
        <v>0.33898305084745761</v>
      </c>
      <c r="U2574">
        <v>0.37776770825911687</v>
      </c>
      <c r="AT2574" s="4" t="s">
        <v>4936</v>
      </c>
    </row>
    <row r="2575" spans="1:46">
      <c r="A2575" s="2">
        <v>2136</v>
      </c>
      <c r="B2575" t="s">
        <v>7789</v>
      </c>
      <c r="C2575" t="s">
        <v>2221</v>
      </c>
      <c r="D2575" t="s">
        <v>3752</v>
      </c>
      <c r="E2575" s="4">
        <v>43465</v>
      </c>
      <c r="F2575" s="11">
        <v>-49.964436839999998</v>
      </c>
      <c r="G2575" s="11">
        <v>-5.87649402</v>
      </c>
      <c r="H2575" s="11">
        <v>-7.0493073428999997</v>
      </c>
      <c r="I2575" s="11">
        <v>13.030098779499999</v>
      </c>
      <c r="J2575" s="11">
        <v>3.1801372457000001</v>
      </c>
      <c r="K2575" s="10">
        <v>0.84863061290899999</v>
      </c>
      <c r="L2575" s="12">
        <v>4196756825.1599998</v>
      </c>
      <c r="M2575">
        <v>39.376542193980399</v>
      </c>
      <c r="N2575" s="7">
        <v>1.8651915593244099</v>
      </c>
      <c r="O2575" s="7">
        <v>1.3643513589788601</v>
      </c>
      <c r="P2575" s="7">
        <v>19.9198974007654</v>
      </c>
      <c r="Q2575" s="7">
        <v>0.86837861359822865</v>
      </c>
      <c r="U2575">
        <v>0.44178903437190903</v>
      </c>
      <c r="AT2575" s="4" t="s">
        <v>4036</v>
      </c>
    </row>
    <row r="2576" spans="1:46">
      <c r="A2576" s="2">
        <v>1562</v>
      </c>
      <c r="B2576" t="s">
        <v>7790</v>
      </c>
      <c r="C2576" t="s">
        <v>2068</v>
      </c>
      <c r="D2576" t="s">
        <v>3718</v>
      </c>
      <c r="E2576" s="4">
        <v>43465</v>
      </c>
      <c r="F2576" s="11">
        <v>-41.13031831</v>
      </c>
      <c r="G2576" s="11">
        <v>-5.8895705500000002</v>
      </c>
      <c r="H2576" s="11">
        <v>31.803406664499999</v>
      </c>
      <c r="I2576" s="11">
        <v>50.367694491899996</v>
      </c>
      <c r="J2576" s="11">
        <v>19.446993647799999</v>
      </c>
      <c r="K2576" s="10">
        <v>0.59853196069799997</v>
      </c>
      <c r="L2576" s="12">
        <v>2303548071.8400002</v>
      </c>
      <c r="M2576">
        <v>18.879092979483101</v>
      </c>
      <c r="N2576" s="7">
        <v>2.9987673290561898</v>
      </c>
      <c r="O2576" s="7">
        <v>3.6264285334581401</v>
      </c>
      <c r="P2576" s="7">
        <v>89.111293298386002</v>
      </c>
      <c r="Q2576" s="7" t="s">
        <v>3698</v>
      </c>
      <c r="U2576">
        <v>0.47081449005144976</v>
      </c>
      <c r="AT2576" s="4" t="s">
        <v>3989</v>
      </c>
    </row>
    <row r="2577" spans="1:46">
      <c r="A2577" s="2">
        <v>88</v>
      </c>
      <c r="B2577" t="s">
        <v>7791</v>
      </c>
      <c r="C2577" t="s">
        <v>1783</v>
      </c>
      <c r="D2577" t="s">
        <v>3764</v>
      </c>
      <c r="E2577" s="4">
        <v>43465</v>
      </c>
      <c r="F2577" s="11">
        <v>-53.706111829999998</v>
      </c>
      <c r="G2577" s="11">
        <v>-5.8981233199999998</v>
      </c>
      <c r="H2577" s="11">
        <v>22.148651398599998</v>
      </c>
      <c r="I2577" s="11">
        <v>15.8059944013</v>
      </c>
      <c r="J2577" s="11">
        <v>3.8900339925999998</v>
      </c>
      <c r="K2577" s="10">
        <v>0.81515800987999998</v>
      </c>
      <c r="L2577" s="12">
        <v>2241325781</v>
      </c>
      <c r="M2577">
        <v>70.182000868053095</v>
      </c>
      <c r="N2577" s="7">
        <v>3.1501397527762101</v>
      </c>
      <c r="O2577" s="7">
        <v>0.733333488520999</v>
      </c>
      <c r="P2577" s="7">
        <v>2671.1770967262701</v>
      </c>
      <c r="Q2577" s="7" t="s">
        <v>3698</v>
      </c>
      <c r="U2577">
        <v>0.11650089834085234</v>
      </c>
      <c r="AT2577" s="4" t="s">
        <v>7792</v>
      </c>
    </row>
    <row r="2578" spans="1:46">
      <c r="A2578" s="2">
        <v>473</v>
      </c>
      <c r="B2578" t="s">
        <v>7793</v>
      </c>
      <c r="C2578" t="s">
        <v>1463</v>
      </c>
      <c r="D2578" t="s">
        <v>3842</v>
      </c>
      <c r="E2578" s="4">
        <v>43465</v>
      </c>
      <c r="F2578" s="11">
        <v>-40.969899669999997</v>
      </c>
      <c r="G2578" s="11">
        <v>-5.8981233199999998</v>
      </c>
      <c r="H2578" s="11">
        <v>9.1836760014000003</v>
      </c>
      <c r="I2578" s="11">
        <v>12.9718682022</v>
      </c>
      <c r="J2578" s="11">
        <v>5.0646855951000003</v>
      </c>
      <c r="K2578" s="10">
        <v>0.48856487043899999</v>
      </c>
      <c r="L2578" s="12">
        <v>6544072146.25</v>
      </c>
      <c r="M2578">
        <v>7.6528586544554704</v>
      </c>
      <c r="N2578" s="7">
        <v>0.77834695059083303</v>
      </c>
      <c r="O2578" s="7">
        <v>0.30556715006119101</v>
      </c>
      <c r="P2578" s="7">
        <v>3.5681933948034801</v>
      </c>
      <c r="Q2578" s="7" t="s">
        <v>3698</v>
      </c>
      <c r="U2578">
        <v>0.45444764971746454</v>
      </c>
      <c r="AT2578" s="4" t="s">
        <v>5620</v>
      </c>
    </row>
    <row r="2579" spans="1:46">
      <c r="A2579" s="2">
        <v>1153</v>
      </c>
      <c r="B2579" t="s">
        <v>7794</v>
      </c>
      <c r="C2579" t="s">
        <v>2740</v>
      </c>
      <c r="D2579" t="s">
        <v>3713</v>
      </c>
      <c r="E2579" s="4">
        <v>43465</v>
      </c>
      <c r="F2579" s="11">
        <v>-52.555301300000004</v>
      </c>
      <c r="G2579" s="11">
        <v>-5.9006211200000003</v>
      </c>
      <c r="H2579" s="11">
        <v>44.7591815547</v>
      </c>
      <c r="I2579" s="11">
        <v>12.866853197899999</v>
      </c>
      <c r="J2579" s="11">
        <v>-49.825665133000001</v>
      </c>
      <c r="K2579" s="10">
        <v>0.50107548610999997</v>
      </c>
      <c r="L2579" s="12">
        <v>2002868077</v>
      </c>
      <c r="M2579">
        <v>-17.8243725918575</v>
      </c>
      <c r="N2579" s="7">
        <v>1.9341051902753601</v>
      </c>
      <c r="O2579" s="7">
        <v>1.6623620749844099</v>
      </c>
      <c r="P2579" s="7">
        <v>-17.9556660095528</v>
      </c>
      <c r="Q2579" s="7" t="s">
        <v>3698</v>
      </c>
      <c r="U2579">
        <v>-2.05693257033179</v>
      </c>
      <c r="AT2579" s="4" t="s">
        <v>4736</v>
      </c>
    </row>
    <row r="2580" spans="1:46">
      <c r="A2580" s="2">
        <v>2572</v>
      </c>
      <c r="B2580" t="s">
        <v>7795</v>
      </c>
      <c r="C2580" t="s">
        <v>351</v>
      </c>
      <c r="D2580" t="s">
        <v>3713</v>
      </c>
      <c r="E2580" s="4">
        <v>43465</v>
      </c>
      <c r="F2580" s="11">
        <v>-42.831757060000001</v>
      </c>
      <c r="G2580" s="11">
        <v>-5.92375367</v>
      </c>
      <c r="H2580" s="11">
        <v>30.496300950999998</v>
      </c>
      <c r="I2580" s="11">
        <v>18.915400680200001</v>
      </c>
      <c r="J2580" s="11">
        <v>7.8172369957000001</v>
      </c>
      <c r="K2580" s="10">
        <v>1.0486237131060001</v>
      </c>
      <c r="L2580" s="12">
        <v>20870495689.959999</v>
      </c>
      <c r="M2580">
        <v>14.1947954918082</v>
      </c>
      <c r="N2580" s="7">
        <v>2.7406489127279099</v>
      </c>
      <c r="O2580" s="7">
        <v>1.04590407340109</v>
      </c>
      <c r="P2580" s="7">
        <v>-87.275955117175599</v>
      </c>
      <c r="Q2580" s="7">
        <v>0.96899154512179908</v>
      </c>
      <c r="U2580">
        <v>1.3298344842114393</v>
      </c>
      <c r="AT2580" s="4" t="s">
        <v>7796</v>
      </c>
    </row>
    <row r="2581" spans="1:46">
      <c r="A2581" s="2">
        <v>1526</v>
      </c>
      <c r="B2581" t="s">
        <v>7797</v>
      </c>
      <c r="C2581" t="s">
        <v>837</v>
      </c>
      <c r="D2581" t="s">
        <v>3713</v>
      </c>
      <c r="E2581" s="4">
        <v>43465</v>
      </c>
      <c r="F2581" s="11">
        <v>-31.99168719</v>
      </c>
      <c r="G2581" s="11">
        <v>-5.9595959599999997</v>
      </c>
      <c r="H2581" s="11">
        <v>0.53890701200000002</v>
      </c>
      <c r="I2581" s="11">
        <v>47.4656956205</v>
      </c>
      <c r="J2581" s="11">
        <v>4.5281715002</v>
      </c>
      <c r="K2581" s="10">
        <v>0.31425700892399999</v>
      </c>
      <c r="L2581" s="12">
        <v>5201433954.3999996</v>
      </c>
      <c r="M2581">
        <v>1005.43726464488</v>
      </c>
      <c r="N2581" s="7">
        <v>5.9491191564202301</v>
      </c>
      <c r="O2581" s="7">
        <v>11.596911307681101</v>
      </c>
      <c r="P2581" s="7">
        <v>22.743496374046199</v>
      </c>
      <c r="Q2581" s="7">
        <v>0.24139758129851702</v>
      </c>
      <c r="U2581">
        <v>2.8908543738267629E-2</v>
      </c>
      <c r="AT2581" s="4" t="s">
        <v>4719</v>
      </c>
    </row>
    <row r="2582" spans="1:46">
      <c r="A2582" s="2">
        <v>306</v>
      </c>
      <c r="B2582" t="s">
        <v>7798</v>
      </c>
      <c r="C2582" t="s">
        <v>1233</v>
      </c>
      <c r="D2582" t="s">
        <v>3728</v>
      </c>
      <c r="E2582" s="4">
        <v>43465</v>
      </c>
      <c r="F2582" s="11">
        <v>-8.1368555899999997</v>
      </c>
      <c r="G2582" s="11">
        <v>-5.9732234799999997</v>
      </c>
      <c r="H2582" s="11">
        <v>7.3306029819000003</v>
      </c>
      <c r="I2582" s="11">
        <v>29.3298200459</v>
      </c>
      <c r="J2582" s="11">
        <v>12.4754504259</v>
      </c>
      <c r="K2582" s="10">
        <v>0.66437428118200004</v>
      </c>
      <c r="L2582" s="12">
        <v>1804801925</v>
      </c>
      <c r="M2582">
        <v>11.1574354362313</v>
      </c>
      <c r="N2582" s="7">
        <v>1.2571639878136001</v>
      </c>
      <c r="O2582" s="7">
        <v>1.3175271514754801</v>
      </c>
      <c r="P2582" s="7">
        <v>64.043937407147695</v>
      </c>
      <c r="Q2582" s="7">
        <v>5.6178196368259696</v>
      </c>
      <c r="U2582">
        <v>0.87960594522074642</v>
      </c>
      <c r="AT2582" s="4" t="s">
        <v>5628</v>
      </c>
    </row>
    <row r="2583" spans="1:46">
      <c r="A2583" s="2">
        <v>1198</v>
      </c>
      <c r="B2583" t="s">
        <v>7799</v>
      </c>
      <c r="C2583" t="s">
        <v>2137</v>
      </c>
      <c r="D2583" t="s">
        <v>3728</v>
      </c>
      <c r="E2583" s="4">
        <v>43465</v>
      </c>
      <c r="F2583" s="11">
        <v>-8.5560882399999993</v>
      </c>
      <c r="G2583" s="11">
        <v>-5.9773828800000004</v>
      </c>
      <c r="H2583" s="11">
        <v>27.6996839404</v>
      </c>
      <c r="I2583" s="11">
        <v>47.179374005699998</v>
      </c>
      <c r="J2583" s="11">
        <v>11.633214322700001</v>
      </c>
      <c r="K2583" s="10">
        <v>0.66771055927199996</v>
      </c>
      <c r="L2583" s="12">
        <v>1858159275</v>
      </c>
      <c r="M2583">
        <v>25.3669949945584</v>
      </c>
      <c r="N2583" s="7">
        <v>2.0628173905098199</v>
      </c>
      <c r="O2583" s="7">
        <v>2.4693243463708998</v>
      </c>
      <c r="P2583" s="7">
        <v>-33.8743620213939</v>
      </c>
      <c r="Q2583" s="7">
        <v>2.7802454949072866</v>
      </c>
      <c r="U2583">
        <v>0.31838164302300681</v>
      </c>
      <c r="AT2583" s="4" t="s">
        <v>5149</v>
      </c>
    </row>
    <row r="2584" spans="1:46">
      <c r="A2584" s="2">
        <v>3512</v>
      </c>
      <c r="B2584" t="s">
        <v>7800</v>
      </c>
      <c r="C2584" t="s">
        <v>3257</v>
      </c>
      <c r="D2584" t="s">
        <v>3858</v>
      </c>
      <c r="E2584" s="4">
        <v>43465</v>
      </c>
      <c r="F2584" s="11">
        <v>-55.384945819999999</v>
      </c>
      <c r="G2584" s="11">
        <v>-6.0279870799999999</v>
      </c>
      <c r="H2584" s="11">
        <v>10.606693241</v>
      </c>
      <c r="I2584" s="11">
        <v>30.749209840999999</v>
      </c>
      <c r="J2584" s="11">
        <v>8.7447977754000004</v>
      </c>
      <c r="K2584" s="10">
        <v>0.38167362792600001</v>
      </c>
      <c r="L2584" s="12">
        <v>3800386720</v>
      </c>
      <c r="M2584">
        <v>19.0398208263871</v>
      </c>
      <c r="N2584" s="7">
        <v>1.6710440733345699</v>
      </c>
      <c r="O2584" s="7">
        <v>1.91037049360492</v>
      </c>
      <c r="P2584" s="7">
        <v>-41.053878489096903</v>
      </c>
      <c r="Q2584" s="7" t="s">
        <v>3698</v>
      </c>
      <c r="U2584">
        <v>0.37907793235329051</v>
      </c>
      <c r="AT2584" s="4" t="s">
        <v>7801</v>
      </c>
    </row>
    <row r="2585" spans="1:46">
      <c r="A2585" s="2">
        <v>1713</v>
      </c>
      <c r="B2585" t="s">
        <v>7802</v>
      </c>
      <c r="C2585" t="s">
        <v>1550</v>
      </c>
      <c r="D2585" t="s">
        <v>3790</v>
      </c>
      <c r="E2585" s="4">
        <v>43465</v>
      </c>
      <c r="F2585" s="11">
        <v>-48.676085370000003</v>
      </c>
      <c r="G2585" s="11">
        <v>-6.0465116300000004</v>
      </c>
      <c r="H2585" s="11">
        <v>11.256790954</v>
      </c>
      <c r="I2585" s="11">
        <v>49.3448879651</v>
      </c>
      <c r="J2585" s="11">
        <v>21.973609762700001</v>
      </c>
      <c r="K2585" s="10">
        <v>0.28186548495800001</v>
      </c>
      <c r="L2585" s="12">
        <v>2615576613</v>
      </c>
      <c r="M2585">
        <v>56.265434207625901</v>
      </c>
      <c r="N2585" s="7">
        <v>5.8658531612036402</v>
      </c>
      <c r="O2585" s="7">
        <v>9.6449568131603591</v>
      </c>
      <c r="P2585" s="7">
        <v>26.718833808758301</v>
      </c>
      <c r="Q2585" s="7">
        <v>0.43140638481449534</v>
      </c>
      <c r="U2585">
        <v>0.30892357072010962</v>
      </c>
      <c r="AT2585" s="4" t="s">
        <v>6725</v>
      </c>
    </row>
    <row r="2586" spans="1:46">
      <c r="A2586" s="2">
        <v>315</v>
      </c>
      <c r="B2586" t="s">
        <v>7803</v>
      </c>
      <c r="C2586" t="s">
        <v>2497</v>
      </c>
      <c r="D2586" t="s">
        <v>3871</v>
      </c>
      <c r="E2586" s="4">
        <v>43465</v>
      </c>
      <c r="F2586" s="11">
        <v>-15.75410376</v>
      </c>
      <c r="G2586" s="11">
        <v>-6.05652759</v>
      </c>
      <c r="H2586" s="11">
        <v>42.913861050999998</v>
      </c>
      <c r="I2586" s="11">
        <v>30.883616200999999</v>
      </c>
      <c r="J2586" s="11">
        <v>12.876032946800001</v>
      </c>
      <c r="K2586" s="10">
        <v>0.245298626559</v>
      </c>
      <c r="L2586" s="12">
        <v>6856796154.6000004</v>
      </c>
      <c r="M2586">
        <v>17.242971531109202</v>
      </c>
      <c r="N2586" s="7">
        <v>1.4495600987559201</v>
      </c>
      <c r="O2586" s="7">
        <v>0.41650978406373201</v>
      </c>
      <c r="P2586" s="7">
        <v>5.5847358413827299</v>
      </c>
      <c r="Q2586" s="7">
        <v>2.4585921343435508</v>
      </c>
      <c r="U2586">
        <v>1.8167026024292778</v>
      </c>
      <c r="AT2586" s="4" t="s">
        <v>7804</v>
      </c>
    </row>
    <row r="2587" spans="1:46">
      <c r="A2587" s="2">
        <v>647</v>
      </c>
      <c r="B2587" t="s">
        <v>7805</v>
      </c>
      <c r="C2587" t="s">
        <v>428</v>
      </c>
      <c r="D2587" t="s">
        <v>3752</v>
      </c>
      <c r="E2587" s="4">
        <v>43465</v>
      </c>
      <c r="F2587" s="11">
        <v>-45.23879178</v>
      </c>
      <c r="G2587" s="11">
        <v>-6.1199510400000001</v>
      </c>
      <c r="H2587" s="11">
        <v>-9.3596889342999994</v>
      </c>
      <c r="I2587" s="11">
        <v>15.5936246629</v>
      </c>
      <c r="J2587" s="11">
        <v>4.1320647461000002</v>
      </c>
      <c r="K2587" s="10">
        <v>1.087766051657</v>
      </c>
      <c r="L2587" s="12">
        <v>4475830751.75</v>
      </c>
      <c r="M2587">
        <v>17.233075930961999</v>
      </c>
      <c r="N2587" s="7">
        <v>2.5390581345620098</v>
      </c>
      <c r="O2587" s="7">
        <v>1.5418043102905099</v>
      </c>
      <c r="P2587" s="7">
        <v>588.54312505546102</v>
      </c>
      <c r="Q2587" s="7">
        <v>1.3623978201634876</v>
      </c>
      <c r="U2587">
        <v>0.21439403353176451</v>
      </c>
      <c r="AT2587" s="4" t="s">
        <v>6603</v>
      </c>
    </row>
    <row r="2588" spans="1:46">
      <c r="A2588" s="2">
        <v>1838</v>
      </c>
      <c r="B2588" t="s">
        <v>7806</v>
      </c>
      <c r="C2588" t="s">
        <v>2434</v>
      </c>
      <c r="D2588" t="s">
        <v>3790</v>
      </c>
      <c r="E2588" s="4">
        <v>43465</v>
      </c>
      <c r="F2588" s="11">
        <v>99.319489219999994</v>
      </c>
      <c r="G2588" s="11">
        <v>-6.1334774400000001</v>
      </c>
      <c r="H2588" s="11">
        <v>16.8015409946</v>
      </c>
      <c r="I2588" s="11">
        <v>37.035649104400001</v>
      </c>
      <c r="J2588" s="11">
        <v>9.6015620160000008</v>
      </c>
      <c r="K2588" s="10">
        <v>1.3430963601649999</v>
      </c>
      <c r="L2588" s="12">
        <v>3956556054.5799999</v>
      </c>
      <c r="M2588">
        <v>-123.746804160431</v>
      </c>
      <c r="N2588" s="7">
        <v>6.4973124636009603</v>
      </c>
      <c r="O2588" s="7">
        <v>8.3081346414459603</v>
      </c>
      <c r="P2588" s="7">
        <v>60.263143307964299</v>
      </c>
      <c r="Q2588" s="7" t="s">
        <v>3698</v>
      </c>
      <c r="U2588">
        <v>0.87429087967383023</v>
      </c>
      <c r="AT2588" s="4" t="s">
        <v>5095</v>
      </c>
    </row>
    <row r="2589" spans="1:46">
      <c r="A2589" s="2">
        <v>2830</v>
      </c>
      <c r="B2589" t="s">
        <v>7807</v>
      </c>
      <c r="C2589" t="s">
        <v>849</v>
      </c>
      <c r="D2589" t="s">
        <v>3889</v>
      </c>
      <c r="E2589" s="4">
        <v>43465</v>
      </c>
      <c r="F2589" s="11">
        <v>-8.0116698500000005</v>
      </c>
      <c r="G2589" s="11">
        <v>-6.1349693299999997</v>
      </c>
      <c r="H2589" s="11">
        <v>-7.7385462406999999</v>
      </c>
      <c r="I2589" s="11">
        <v>18.174283065200001</v>
      </c>
      <c r="J2589" s="11">
        <v>7.2822647599000003</v>
      </c>
      <c r="K2589" s="10">
        <v>1.0163090816560001</v>
      </c>
      <c r="L2589" s="12">
        <v>5376539952</v>
      </c>
      <c r="M2589">
        <v>13.109683506807</v>
      </c>
      <c r="N2589" s="7">
        <v>1.1838463385106699</v>
      </c>
      <c r="O2589" s="7">
        <v>0.64778639731268794</v>
      </c>
      <c r="P2589" s="7">
        <v>-37.249461052806097</v>
      </c>
      <c r="Q2589" s="7">
        <v>2.5083612040133776</v>
      </c>
      <c r="U2589">
        <v>0.60370879760845242</v>
      </c>
      <c r="AT2589" s="4" t="s">
        <v>6947</v>
      </c>
    </row>
    <row r="2590" spans="1:46">
      <c r="A2590" s="2">
        <v>1761</v>
      </c>
      <c r="B2590" t="s">
        <v>7808</v>
      </c>
      <c r="C2590" t="s">
        <v>1217</v>
      </c>
      <c r="D2590" t="s">
        <v>3889</v>
      </c>
      <c r="E2590" s="4">
        <v>43465</v>
      </c>
      <c r="F2590" s="11">
        <v>-45.95287355</v>
      </c>
      <c r="G2590" s="11">
        <v>-6.1363636399999999</v>
      </c>
      <c r="H2590" s="11">
        <v>-34.656699493700003</v>
      </c>
      <c r="I2590" s="11">
        <v>38.8620824797</v>
      </c>
      <c r="J2590" s="11">
        <v>3.6182245358</v>
      </c>
      <c r="K2590" s="10">
        <v>0.162459691795</v>
      </c>
      <c r="L2590" s="12">
        <v>1279020565.6800001</v>
      </c>
      <c r="M2590">
        <v>18.988712195046698</v>
      </c>
      <c r="N2590" s="7">
        <v>1.7291527409401799</v>
      </c>
      <c r="O2590" s="7">
        <v>4.0075081410082198</v>
      </c>
      <c r="P2590" s="7">
        <v>-20.043430037296002</v>
      </c>
      <c r="Q2590" s="7">
        <v>7.6142131979695424E-2</v>
      </c>
      <c r="U2590">
        <v>3.9212708288581519E-2</v>
      </c>
      <c r="AT2590" s="4" t="s">
        <v>7809</v>
      </c>
    </row>
    <row r="2591" spans="1:46">
      <c r="A2591" s="2">
        <v>3494</v>
      </c>
      <c r="B2591" t="s">
        <v>7810</v>
      </c>
      <c r="C2591" t="s">
        <v>1348</v>
      </c>
      <c r="D2591" t="s">
        <v>3977</v>
      </c>
      <c r="E2591" s="4">
        <v>43465</v>
      </c>
      <c r="F2591" s="11">
        <v>-34.635826590000001</v>
      </c>
      <c r="G2591" s="11">
        <v>-6.1495457699999996</v>
      </c>
      <c r="H2591" s="11">
        <v>12.9088621663</v>
      </c>
      <c r="I2591" s="11">
        <v>22.923383186399999</v>
      </c>
      <c r="J2591" s="11">
        <v>12.0472322719</v>
      </c>
      <c r="K2591" s="10">
        <v>0.74591415927500004</v>
      </c>
      <c r="L2591" s="12">
        <v>1887829443</v>
      </c>
      <c r="M2591">
        <v>20.384858166801902</v>
      </c>
      <c r="N2591" s="7">
        <v>2.07626954965203</v>
      </c>
      <c r="O2591" s="7">
        <v>2.2922923018225401</v>
      </c>
      <c r="P2591" s="7">
        <v>22.162695821302801</v>
      </c>
      <c r="Q2591" s="7">
        <v>1.6228497241155468</v>
      </c>
      <c r="U2591">
        <v>0.80405060938461537</v>
      </c>
      <c r="AT2591" s="4" t="s">
        <v>7811</v>
      </c>
    </row>
    <row r="2592" spans="1:46">
      <c r="A2592" s="2">
        <v>2770</v>
      </c>
      <c r="B2592" t="s">
        <v>7812</v>
      </c>
      <c r="C2592" t="s">
        <v>1611</v>
      </c>
      <c r="D2592" t="s">
        <v>3811</v>
      </c>
      <c r="E2592" s="4">
        <v>43465</v>
      </c>
      <c r="F2592" s="11">
        <v>-28.225642279999999</v>
      </c>
      <c r="G2592" s="11">
        <v>-6.1990212099999997</v>
      </c>
      <c r="H2592" s="11">
        <v>11.576043840200001</v>
      </c>
      <c r="I2592" s="11">
        <v>23.2837841897</v>
      </c>
      <c r="J2592" s="11">
        <v>3.907516159</v>
      </c>
      <c r="K2592" s="10">
        <v>0.70609162460800001</v>
      </c>
      <c r="L2592" s="12">
        <v>6320875383.7799997</v>
      </c>
      <c r="M2592">
        <v>11.2327636665774</v>
      </c>
      <c r="N2592" s="7">
        <v>1.20774335405442</v>
      </c>
      <c r="O2592" s="7">
        <v>0.19058376489131801</v>
      </c>
      <c r="P2592" s="7">
        <v>-17.889357629768298</v>
      </c>
      <c r="Q2592" s="7">
        <v>2.386780905752754</v>
      </c>
      <c r="U2592">
        <v>1.632925187258693</v>
      </c>
      <c r="AT2592" s="4" t="s">
        <v>3838</v>
      </c>
    </row>
    <row r="2593" spans="1:46">
      <c r="A2593" s="2">
        <v>3618</v>
      </c>
      <c r="B2593" t="s">
        <v>7813</v>
      </c>
      <c r="C2593" t="s">
        <v>1478</v>
      </c>
      <c r="D2593" t="s">
        <v>3737</v>
      </c>
      <c r="E2593" s="4">
        <v>43465</v>
      </c>
      <c r="F2593" s="11">
        <v>-32.471315060000002</v>
      </c>
      <c r="G2593" s="11">
        <v>-6.2074829899999999</v>
      </c>
      <c r="H2593" s="11">
        <v>47.204094033600001</v>
      </c>
      <c r="I2593" s="11">
        <v>80.215437938199997</v>
      </c>
      <c r="J2593" s="11">
        <v>2.6652348401000001</v>
      </c>
      <c r="K2593" s="10">
        <v>0.66510715255099995</v>
      </c>
      <c r="L2593" s="12">
        <v>2398753538.8899999</v>
      </c>
      <c r="M2593">
        <v>-442.90277761980798</v>
      </c>
      <c r="N2593" s="7">
        <v>3.2939224238497302</v>
      </c>
      <c r="O2593" s="7">
        <v>3.9754693011475499</v>
      </c>
      <c r="P2593" s="7">
        <v>-6.5217835414726402</v>
      </c>
      <c r="Q2593" s="7">
        <v>0.54340155257586453</v>
      </c>
      <c r="U2593">
        <v>8.231127015384615E-2</v>
      </c>
      <c r="AT2593" s="4" t="s">
        <v>4067</v>
      </c>
    </row>
    <row r="2594" spans="1:46">
      <c r="A2594" s="2">
        <v>2709</v>
      </c>
      <c r="B2594" t="s">
        <v>7814</v>
      </c>
      <c r="C2594" t="s">
        <v>1005</v>
      </c>
      <c r="D2594" t="s">
        <v>3752</v>
      </c>
      <c r="E2594" s="4">
        <v>43465</v>
      </c>
      <c r="F2594" s="11">
        <v>-29.464765499999999</v>
      </c>
      <c r="G2594" s="11">
        <v>-6.2094531999999996</v>
      </c>
      <c r="H2594" s="11">
        <v>-68.272724497900001</v>
      </c>
      <c r="I2594" s="11">
        <v>22.601812112800001</v>
      </c>
      <c r="J2594" s="11">
        <v>32.746635099300001</v>
      </c>
      <c r="K2594" s="10">
        <v>0.30718947263399998</v>
      </c>
      <c r="L2594" s="12">
        <v>3014400000</v>
      </c>
      <c r="M2594">
        <v>57.701670222790803</v>
      </c>
      <c r="N2594" s="7">
        <v>2.98474834100048</v>
      </c>
      <c r="O2594" s="7">
        <v>1.9758667842972699</v>
      </c>
      <c r="P2594" s="7">
        <v>15.896084260417901</v>
      </c>
      <c r="Q2594" s="7">
        <v>3.936170212765957</v>
      </c>
      <c r="U2594">
        <v>1.2151456574428841</v>
      </c>
      <c r="AT2594" s="4" t="s">
        <v>7815</v>
      </c>
    </row>
    <row r="2595" spans="1:46">
      <c r="A2595" s="2">
        <v>2750</v>
      </c>
      <c r="B2595" t="s">
        <v>7816</v>
      </c>
      <c r="C2595" t="s">
        <v>3269</v>
      </c>
      <c r="D2595" t="s">
        <v>3713</v>
      </c>
      <c r="E2595" s="4">
        <v>43465</v>
      </c>
      <c r="F2595" s="11">
        <v>-20.020488409999999</v>
      </c>
      <c r="G2595" s="11">
        <v>-6.2302006299999997</v>
      </c>
      <c r="H2595" s="11">
        <v>22.656833639799999</v>
      </c>
      <c r="I2595" s="11">
        <v>14.0245126436</v>
      </c>
      <c r="J2595" s="11">
        <v>3.0337322088000001</v>
      </c>
      <c r="K2595" s="10">
        <v>0.77720941590399995</v>
      </c>
      <c r="L2595" s="12">
        <v>2851539701.0999999</v>
      </c>
      <c r="M2595">
        <v>29.6304517763867</v>
      </c>
      <c r="N2595" s="7">
        <v>1.86629176224105</v>
      </c>
      <c r="O2595" s="7">
        <v>0.378265745485454</v>
      </c>
      <c r="P2595" s="7">
        <v>259.88065571914098</v>
      </c>
      <c r="Q2595" s="7">
        <v>1.6483516483516485</v>
      </c>
      <c r="U2595">
        <v>0.40212977239768283</v>
      </c>
      <c r="AT2595" s="4" t="s">
        <v>7455</v>
      </c>
    </row>
    <row r="2596" spans="1:46">
      <c r="A2596" s="2">
        <v>1130</v>
      </c>
      <c r="B2596" t="s">
        <v>7817</v>
      </c>
      <c r="C2596" t="s">
        <v>1302</v>
      </c>
      <c r="D2596" t="s">
        <v>3790</v>
      </c>
      <c r="E2596" s="4">
        <v>43465</v>
      </c>
      <c r="F2596" s="11">
        <v>-50.664617700000001</v>
      </c>
      <c r="G2596" s="11">
        <v>-6.2314540100000002</v>
      </c>
      <c r="H2596" s="11">
        <v>-1.8689045621</v>
      </c>
      <c r="I2596" s="11">
        <v>80.516586312599998</v>
      </c>
      <c r="J2596" s="11">
        <v>80.755116793300004</v>
      </c>
      <c r="K2596" s="10">
        <v>0.117871286443</v>
      </c>
      <c r="L2596" s="12">
        <v>57894415693.889999</v>
      </c>
      <c r="M2596">
        <v>14.0063686037191</v>
      </c>
      <c r="N2596" s="7">
        <v>2.2607429240509198</v>
      </c>
      <c r="O2596" s="7">
        <v>6.86574433066715</v>
      </c>
      <c r="P2596" s="7">
        <v>-11.415716402259299</v>
      </c>
      <c r="Q2596" s="7" t="s">
        <v>3698</v>
      </c>
      <c r="U2596">
        <v>0.36299913639424636</v>
      </c>
      <c r="AT2596" s="4" t="s">
        <v>6985</v>
      </c>
    </row>
    <row r="2597" spans="1:46">
      <c r="A2597" s="2">
        <v>925</v>
      </c>
      <c r="B2597" t="s">
        <v>7818</v>
      </c>
      <c r="C2597" t="s">
        <v>3067</v>
      </c>
      <c r="D2597" t="s">
        <v>3721</v>
      </c>
      <c r="E2597" s="4">
        <v>43465</v>
      </c>
      <c r="F2597" s="11">
        <v>87.797193269999994</v>
      </c>
      <c r="G2597" s="11">
        <v>-6.26450116</v>
      </c>
      <c r="H2597" s="11">
        <v>6.6080319002000003</v>
      </c>
      <c r="I2597" s="11">
        <v>42.1274962305</v>
      </c>
      <c r="J2597" s="11">
        <v>12.187917882000001</v>
      </c>
      <c r="K2597" s="10">
        <v>0.25410561802100001</v>
      </c>
      <c r="L2597" s="12">
        <v>3671920332</v>
      </c>
      <c r="M2597">
        <v>144.877935273779</v>
      </c>
      <c r="N2597" s="7">
        <v>4.4114364515492399</v>
      </c>
      <c r="O2597" s="7">
        <v>12.5963032627226</v>
      </c>
      <c r="P2597" s="7">
        <v>43.121507547113602</v>
      </c>
      <c r="Q2597" s="7">
        <v>0.10141987835030111</v>
      </c>
      <c r="U2597">
        <v>0.211566094329011</v>
      </c>
      <c r="AT2597" s="4" t="s">
        <v>5610</v>
      </c>
    </row>
    <row r="2598" spans="1:46">
      <c r="A2598" s="2">
        <v>1281</v>
      </c>
      <c r="B2598" t="s">
        <v>7819</v>
      </c>
      <c r="C2598" t="s">
        <v>2263</v>
      </c>
      <c r="D2598" t="s">
        <v>3718</v>
      </c>
      <c r="E2598" s="4">
        <v>43465</v>
      </c>
      <c r="F2598" s="11">
        <v>-21.177654530000002</v>
      </c>
      <c r="G2598" s="11">
        <v>-6.2962962999999998</v>
      </c>
      <c r="H2598" s="11">
        <v>17.0473239781</v>
      </c>
      <c r="I2598" s="11">
        <v>30.972948232299998</v>
      </c>
      <c r="J2598" s="11">
        <v>8.1815274334999994</v>
      </c>
      <c r="K2598" s="10">
        <v>0.58895929930099999</v>
      </c>
      <c r="L2598" s="12">
        <v>2016063000</v>
      </c>
      <c r="M2598">
        <v>115.404332722769</v>
      </c>
      <c r="N2598" s="7">
        <v>2.6138646258675902</v>
      </c>
      <c r="O2598" s="7">
        <v>3.7017053750918798</v>
      </c>
      <c r="P2598" s="7">
        <v>24.320577999954601</v>
      </c>
      <c r="Q2598" s="7">
        <v>0.56721806212940162</v>
      </c>
      <c r="U2598">
        <v>0.21034440195581247</v>
      </c>
      <c r="AT2598" s="4" t="s">
        <v>6411</v>
      </c>
    </row>
    <row r="2599" spans="1:46">
      <c r="A2599" s="2">
        <v>537</v>
      </c>
      <c r="B2599" t="s">
        <v>7820</v>
      </c>
      <c r="C2599" t="s">
        <v>2124</v>
      </c>
      <c r="D2599" t="s">
        <v>3718</v>
      </c>
      <c r="E2599" s="4">
        <v>43465</v>
      </c>
      <c r="F2599" s="11">
        <v>-33.70031212</v>
      </c>
      <c r="G2599" s="11">
        <v>-6.3405797100000001</v>
      </c>
      <c r="H2599" s="11">
        <v>13.1086708614</v>
      </c>
      <c r="I2599" s="11">
        <v>23.9351992026</v>
      </c>
      <c r="J2599" s="11">
        <v>9.2872682655999999</v>
      </c>
      <c r="K2599" s="10">
        <v>0.55193972238800004</v>
      </c>
      <c r="L2599" s="12">
        <v>1521444800</v>
      </c>
      <c r="M2599">
        <v>15.3912681190684</v>
      </c>
      <c r="N2599" s="7">
        <v>1.03789181279957</v>
      </c>
      <c r="O2599" s="7">
        <v>1.41686523512183</v>
      </c>
      <c r="P2599" s="7">
        <v>-57.326089545174497</v>
      </c>
      <c r="Q2599" s="7">
        <v>1.6194331983805672</v>
      </c>
      <c r="U2599">
        <v>0.36969959127601482</v>
      </c>
      <c r="AT2599" s="4" t="s">
        <v>7821</v>
      </c>
    </row>
    <row r="2600" spans="1:46">
      <c r="A2600" s="2">
        <v>369</v>
      </c>
      <c r="B2600" t="s">
        <v>7822</v>
      </c>
      <c r="C2600" t="s">
        <v>2338</v>
      </c>
      <c r="D2600" t="s">
        <v>4060</v>
      </c>
      <c r="E2600" s="4">
        <v>43465</v>
      </c>
      <c r="F2600" s="11">
        <v>-30.672269279999998</v>
      </c>
      <c r="G2600" s="11">
        <v>-6.3583815000000001</v>
      </c>
      <c r="H2600" s="11">
        <v>26.112004650500001</v>
      </c>
      <c r="I2600" s="11">
        <v>31.943618351600001</v>
      </c>
      <c r="J2600" s="11">
        <v>2.4260484355999998</v>
      </c>
      <c r="K2600" s="10">
        <v>0.38747136043899999</v>
      </c>
      <c r="L2600" s="12">
        <v>4231929984</v>
      </c>
      <c r="M2600">
        <v>63.102805165702897</v>
      </c>
      <c r="N2600" s="7">
        <v>2.71718768046326</v>
      </c>
      <c r="O2600" s="7">
        <v>2.8636655521784702</v>
      </c>
      <c r="P2600" s="7">
        <v>-12.8014472138593</v>
      </c>
      <c r="Q2600" s="7" t="s">
        <v>3698</v>
      </c>
      <c r="U2600">
        <v>2.9066903223815808E-2</v>
      </c>
      <c r="AT2600" s="4" t="s">
        <v>6087</v>
      </c>
    </row>
    <row r="2601" spans="1:46">
      <c r="A2601" s="2">
        <v>2537</v>
      </c>
      <c r="B2601" t="s">
        <v>7823</v>
      </c>
      <c r="C2601" t="s">
        <v>2340</v>
      </c>
      <c r="D2601" t="s">
        <v>4060</v>
      </c>
      <c r="E2601" s="4">
        <v>43465</v>
      </c>
      <c r="F2601" s="11">
        <v>-27.93773989</v>
      </c>
      <c r="G2601" s="11">
        <v>-6.3711911399999996</v>
      </c>
      <c r="H2601" s="11">
        <v>23.799500049599999</v>
      </c>
      <c r="I2601" s="11">
        <v>20.288519019900001</v>
      </c>
      <c r="J2601" s="11">
        <v>4.1959593204000001</v>
      </c>
      <c r="K2601" s="10">
        <v>0.65385912315799999</v>
      </c>
      <c r="L2601" s="12">
        <v>3133101375.3600001</v>
      </c>
      <c r="M2601">
        <v>44.974964484894102</v>
      </c>
      <c r="N2601" s="7">
        <v>1.7467751444583</v>
      </c>
      <c r="O2601" s="7">
        <v>1.8347008518489201</v>
      </c>
      <c r="P2601" s="7">
        <v>29.723249180634902</v>
      </c>
      <c r="Q2601" s="7">
        <v>0.83333333333333348</v>
      </c>
      <c r="U2601">
        <v>8.5907591252315188E-2</v>
      </c>
      <c r="AT2601" s="4" t="s">
        <v>7824</v>
      </c>
    </row>
    <row r="2602" spans="1:46">
      <c r="A2602" s="2">
        <v>2047</v>
      </c>
      <c r="B2602" t="s">
        <v>7825</v>
      </c>
      <c r="C2602" t="s">
        <v>172</v>
      </c>
      <c r="D2602" t="s">
        <v>3713</v>
      </c>
      <c r="E2602" s="4">
        <v>43465</v>
      </c>
      <c r="F2602" s="11">
        <v>122.16696444</v>
      </c>
      <c r="G2602" s="11">
        <v>-6.4125676</v>
      </c>
      <c r="H2602" s="11">
        <v>30.811902083700001</v>
      </c>
      <c r="I2602" s="11">
        <v>61.788219546100002</v>
      </c>
      <c r="J2602" s="11">
        <v>46.904049759599999</v>
      </c>
      <c r="K2602" s="10">
        <v>0.53606557980799996</v>
      </c>
      <c r="L2602" s="12">
        <v>18671545288</v>
      </c>
      <c r="M2602">
        <v>34.519219761628101</v>
      </c>
      <c r="N2602" s="7">
        <v>6.6476014226436098</v>
      </c>
      <c r="O2602" s="7">
        <v>14.1597369608559</v>
      </c>
      <c r="P2602" s="7">
        <v>-190.402652253149</v>
      </c>
      <c r="Q2602" s="7">
        <v>0.86735953859053172</v>
      </c>
      <c r="U2602">
        <v>2.842558664879518</v>
      </c>
      <c r="AT2602" s="4" t="s">
        <v>5122</v>
      </c>
    </row>
    <row r="2603" spans="1:46">
      <c r="A2603" s="2">
        <v>8</v>
      </c>
      <c r="B2603" t="s">
        <v>7826</v>
      </c>
      <c r="C2603" t="s">
        <v>2996</v>
      </c>
      <c r="D2603" t="s">
        <v>3849</v>
      </c>
      <c r="E2603" s="4">
        <v>43465</v>
      </c>
      <c r="F2603" s="11">
        <v>-57.986673109999998</v>
      </c>
      <c r="G2603" s="11">
        <v>-6.4401589000000001</v>
      </c>
      <c r="H2603" s="11">
        <v>10.037576912700001</v>
      </c>
      <c r="I2603" s="11">
        <v>48.918371695300003</v>
      </c>
      <c r="J2603" s="11">
        <v>13.3295461381</v>
      </c>
      <c r="K2603" s="10">
        <v>0.24260487861499999</v>
      </c>
      <c r="L2603" s="12">
        <v>4115029546.8600001</v>
      </c>
      <c r="M2603">
        <v>24.631758640714299</v>
      </c>
      <c r="N2603" s="7">
        <v>2.9495017483302699</v>
      </c>
      <c r="O2603" s="7">
        <v>4.1507096641189003</v>
      </c>
      <c r="P2603" s="7">
        <v>-19.772489218224901</v>
      </c>
      <c r="Q2603" s="7">
        <v>0.28490028490028491</v>
      </c>
      <c r="U2603">
        <v>0.11533481814015757</v>
      </c>
      <c r="V2603">
        <v>2.6298324918080001</v>
      </c>
      <c r="AT2603" s="4" t="s">
        <v>7827</v>
      </c>
    </row>
    <row r="2604" spans="1:46">
      <c r="A2604" s="2">
        <v>1439</v>
      </c>
      <c r="B2604" t="s">
        <v>7828</v>
      </c>
      <c r="C2604" t="s">
        <v>2681</v>
      </c>
      <c r="D2604" t="s">
        <v>3972</v>
      </c>
      <c r="E2604" s="4">
        <v>43465</v>
      </c>
      <c r="F2604" s="11">
        <v>7.4739854299999999</v>
      </c>
      <c r="G2604" s="11">
        <v>-6.4551422299999999</v>
      </c>
      <c r="H2604" s="11">
        <v>15.7969289488</v>
      </c>
      <c r="I2604" s="11">
        <v>37.404569861500001</v>
      </c>
      <c r="J2604" s="11">
        <v>6.2631444454</v>
      </c>
      <c r="K2604" s="10">
        <v>0.43694463949700002</v>
      </c>
      <c r="L2604" s="12">
        <v>30954022716.84</v>
      </c>
      <c r="M2604">
        <v>96.862135991473195</v>
      </c>
      <c r="N2604" s="7">
        <v>2.83845592266039</v>
      </c>
      <c r="O2604" s="7">
        <v>2.8608657799775798</v>
      </c>
      <c r="P2604" s="7">
        <v>-127.52662609038001</v>
      </c>
      <c r="Q2604" s="7">
        <v>0.19873532068654018</v>
      </c>
      <c r="U2604">
        <v>0.2168755337838657</v>
      </c>
      <c r="AT2604" s="4" t="s">
        <v>3770</v>
      </c>
    </row>
    <row r="2605" spans="1:46">
      <c r="A2605" s="2">
        <v>936</v>
      </c>
      <c r="B2605" t="s">
        <v>7829</v>
      </c>
      <c r="C2605" t="s">
        <v>1699</v>
      </c>
      <c r="D2605" t="s">
        <v>3790</v>
      </c>
      <c r="E2605" s="4">
        <v>43465</v>
      </c>
      <c r="F2605" s="11">
        <v>-20.84993639</v>
      </c>
      <c r="G2605" s="11">
        <v>-6.4625850299999996</v>
      </c>
      <c r="H2605" s="11">
        <v>5.7946117309999998</v>
      </c>
      <c r="I2605" s="11">
        <v>55.310709013199997</v>
      </c>
      <c r="J2605" s="11">
        <v>37.338826732599998</v>
      </c>
      <c r="K2605" s="10">
        <v>0.159635864874</v>
      </c>
      <c r="L2605" s="12">
        <v>5086522950</v>
      </c>
      <c r="M2605">
        <v>18.3659262076369</v>
      </c>
      <c r="N2605" s="7">
        <v>2.8450835919494999</v>
      </c>
      <c r="O2605" s="7">
        <v>7.0221109794499501</v>
      </c>
      <c r="P2605" s="7">
        <v>-40.230865990787002</v>
      </c>
      <c r="Q2605" s="7">
        <v>1.0989010989010988</v>
      </c>
      <c r="U2605">
        <v>0.34193273947956182</v>
      </c>
      <c r="AT2605" s="4" t="s">
        <v>4230</v>
      </c>
    </row>
    <row r="2606" spans="1:46">
      <c r="A2606" s="2">
        <v>1136</v>
      </c>
      <c r="B2606" t="s">
        <v>7830</v>
      </c>
      <c r="C2606" t="s">
        <v>2978</v>
      </c>
      <c r="D2606" t="s">
        <v>3849</v>
      </c>
      <c r="E2606" s="4">
        <v>43465</v>
      </c>
      <c r="F2606" s="11">
        <v>-44.575435239999997</v>
      </c>
      <c r="G2606" s="11">
        <v>-6.46464646</v>
      </c>
      <c r="H2606" s="11">
        <v>22.143397256899998</v>
      </c>
      <c r="I2606" s="11">
        <v>33.596798665999998</v>
      </c>
      <c r="J2606" s="11">
        <v>15.2196020252</v>
      </c>
      <c r="K2606" s="10">
        <v>5.6231585872000001E-2</v>
      </c>
      <c r="L2606" s="12">
        <v>7851812100.1499996</v>
      </c>
      <c r="M2606">
        <v>1789.3348517521799</v>
      </c>
      <c r="N2606" s="7">
        <v>2.9329988035904999</v>
      </c>
      <c r="O2606" s="7">
        <v>52.8560572144236</v>
      </c>
      <c r="P2606" s="7">
        <v>32.455435870273703</v>
      </c>
      <c r="Q2606" s="7" t="s">
        <v>3698</v>
      </c>
      <c r="U2606">
        <v>3.2736148543289247E-2</v>
      </c>
      <c r="AT2606" s="4" t="s">
        <v>4446</v>
      </c>
    </row>
    <row r="2607" spans="1:46">
      <c r="A2607" s="2">
        <v>1086</v>
      </c>
      <c r="B2607" t="s">
        <v>7831</v>
      </c>
      <c r="C2607" t="s">
        <v>3077</v>
      </c>
      <c r="D2607" t="s">
        <v>4060</v>
      </c>
      <c r="E2607" s="4">
        <v>43465</v>
      </c>
      <c r="F2607" s="11">
        <v>-22.747252750000001</v>
      </c>
      <c r="G2607" s="11">
        <v>-6.49006623</v>
      </c>
      <c r="H2607" s="11">
        <v>-64.688311584900006</v>
      </c>
      <c r="I2607" s="11">
        <v>18.272261123300002</v>
      </c>
      <c r="J2607" s="11">
        <v>36.343277062399999</v>
      </c>
      <c r="K2607" s="10">
        <v>2.1048184776000001E-2</v>
      </c>
      <c r="L2607" s="12">
        <v>2152500000</v>
      </c>
      <c r="M2607">
        <v>-409.50636487857003</v>
      </c>
      <c r="N2607" s="7">
        <v>4.9462707429565498</v>
      </c>
      <c r="O2607" s="7">
        <v>328.87258638116299</v>
      </c>
      <c r="P2607" s="7">
        <v>202.20195490367399</v>
      </c>
      <c r="Q2607" s="7" t="s">
        <v>3698</v>
      </c>
      <c r="U2607">
        <v>1.1757393548715859E-2</v>
      </c>
      <c r="AT2607" s="4" t="s">
        <v>7087</v>
      </c>
    </row>
    <row r="2608" spans="1:46">
      <c r="A2608" s="2">
        <v>1333</v>
      </c>
      <c r="B2608" t="s">
        <v>7832</v>
      </c>
      <c r="C2608" t="s">
        <v>3570</v>
      </c>
      <c r="D2608" t="s">
        <v>3858</v>
      </c>
      <c r="E2608" s="4">
        <v>43465</v>
      </c>
      <c r="F2608" s="11">
        <v>-37.822850879999997</v>
      </c>
      <c r="G2608" s="11">
        <v>-6.5659881799999997</v>
      </c>
      <c r="H2608" s="11">
        <v>2.6425004926</v>
      </c>
      <c r="I2608" s="11">
        <v>32.174722928400001</v>
      </c>
      <c r="J2608" s="11">
        <v>6.3310075962000001</v>
      </c>
      <c r="K2608" s="10">
        <v>0.66027531995300004</v>
      </c>
      <c r="L2608" s="12">
        <v>2120553024.8</v>
      </c>
      <c r="M2608">
        <v>42.781692611366999</v>
      </c>
      <c r="N2608" s="7">
        <v>3.1819412336150901</v>
      </c>
      <c r="O2608" s="7">
        <v>2.6962524043326401</v>
      </c>
      <c r="P2608" s="7">
        <v>5.1008642244650098</v>
      </c>
      <c r="Q2608" s="7">
        <v>1.1843079200592153</v>
      </c>
      <c r="U2608">
        <v>0.34451844667766612</v>
      </c>
      <c r="AT2608" s="4" t="s">
        <v>5360</v>
      </c>
    </row>
    <row r="2609" spans="1:46">
      <c r="A2609" s="2">
        <v>2459</v>
      </c>
      <c r="B2609" t="s">
        <v>7833</v>
      </c>
      <c r="C2609" t="s">
        <v>975</v>
      </c>
      <c r="D2609" t="s">
        <v>3849</v>
      </c>
      <c r="E2609" s="4">
        <v>43465</v>
      </c>
      <c r="F2609" s="11">
        <v>-46.723409189999998</v>
      </c>
      <c r="G2609" s="11">
        <v>-6.5705128200000003</v>
      </c>
      <c r="H2609" s="11">
        <v>-11.9175252019</v>
      </c>
      <c r="I2609" s="11">
        <v>6.1803312671999997</v>
      </c>
      <c r="J2609" s="11">
        <v>1.2437307271</v>
      </c>
      <c r="K2609" s="10">
        <v>1.7430367330850001</v>
      </c>
      <c r="L2609" s="12">
        <v>4119505690.3800001</v>
      </c>
      <c r="M2609">
        <v>14.2928873636993</v>
      </c>
      <c r="N2609" s="7">
        <v>0.810459124944789</v>
      </c>
      <c r="O2609" s="7">
        <v>0.14144907316007599</v>
      </c>
      <c r="P2609" s="7">
        <v>-3.2523227624389901</v>
      </c>
      <c r="Q2609" s="7">
        <v>2.7422303473491771</v>
      </c>
      <c r="U2609">
        <v>0.57764030939489441</v>
      </c>
      <c r="AT2609" s="4" t="s">
        <v>7834</v>
      </c>
    </row>
    <row r="2610" spans="1:46">
      <c r="A2610" s="2">
        <v>1105</v>
      </c>
      <c r="B2610" t="s">
        <v>7835</v>
      </c>
      <c r="C2610" t="s">
        <v>3052</v>
      </c>
      <c r="D2610" t="s">
        <v>3849</v>
      </c>
      <c r="E2610" s="4">
        <v>43465</v>
      </c>
      <c r="F2610" s="11">
        <v>-26.214523379999999</v>
      </c>
      <c r="G2610" s="11">
        <v>-6.5882352900000001</v>
      </c>
      <c r="H2610" s="11">
        <v>22.791930245900001</v>
      </c>
      <c r="I2610" s="11">
        <v>16.400301451600001</v>
      </c>
      <c r="J2610" s="11">
        <v>2.7343823857</v>
      </c>
      <c r="K2610" s="10">
        <v>0.69796082360800005</v>
      </c>
      <c r="L2610" s="12">
        <v>3808836823.04</v>
      </c>
      <c r="M2610">
        <v>163.13238582456501</v>
      </c>
      <c r="N2610" s="7">
        <v>2.71554618170711</v>
      </c>
      <c r="O2610" s="7">
        <v>1.15022885200072</v>
      </c>
      <c r="P2610" s="7">
        <v>27.382868655393398</v>
      </c>
      <c r="Q2610" s="7">
        <v>0.47015441345932246</v>
      </c>
      <c r="U2610">
        <v>1.0190793326326748</v>
      </c>
      <c r="AT2610" s="4" t="s">
        <v>4032</v>
      </c>
    </row>
    <row r="2611" spans="1:46">
      <c r="A2611" s="2">
        <v>3538</v>
      </c>
      <c r="B2611" t="s">
        <v>7836</v>
      </c>
      <c r="C2611" t="s">
        <v>1488</v>
      </c>
      <c r="D2611" t="s">
        <v>3764</v>
      </c>
      <c r="E2611" s="4">
        <v>43465</v>
      </c>
      <c r="F2611" s="11">
        <v>-24.51825745</v>
      </c>
      <c r="G2611" s="11">
        <v>-6.6445182699999998</v>
      </c>
      <c r="H2611" s="11">
        <v>36.1681046279</v>
      </c>
      <c r="I2611" s="11">
        <v>57.7556499863</v>
      </c>
      <c r="J2611" s="11">
        <v>29.2387402572</v>
      </c>
      <c r="K2611" s="10">
        <v>7.5969793221000004E-2</v>
      </c>
      <c r="L2611" s="12">
        <v>1640602600</v>
      </c>
      <c r="M2611">
        <v>35.976806587960098</v>
      </c>
      <c r="N2611" s="7">
        <v>2.3946182622724601</v>
      </c>
      <c r="O2611" s="7">
        <v>11.293543573370201</v>
      </c>
      <c r="P2611" s="7">
        <v>33.764677628016301</v>
      </c>
      <c r="Q2611" s="7">
        <v>0.66066380973213501</v>
      </c>
      <c r="U2611">
        <v>0.34465557312271489</v>
      </c>
      <c r="AT2611" s="4" t="s">
        <v>3920</v>
      </c>
    </row>
    <row r="2612" spans="1:46">
      <c r="A2612" s="2">
        <v>905</v>
      </c>
      <c r="B2612" t="s">
        <v>7837</v>
      </c>
      <c r="C2612" t="s">
        <v>1844</v>
      </c>
      <c r="D2612" t="s">
        <v>3728</v>
      </c>
      <c r="E2612" s="4">
        <v>43465</v>
      </c>
      <c r="F2612" s="11">
        <v>-10.575124280000001</v>
      </c>
      <c r="G2612" s="11">
        <v>-6.6468254</v>
      </c>
      <c r="H2612" s="11">
        <v>4.1230825981999999</v>
      </c>
      <c r="I2612" s="11">
        <v>20.340906213499999</v>
      </c>
      <c r="J2612" s="11">
        <v>9.3689887914999996</v>
      </c>
      <c r="K2612" s="10">
        <v>0.98828420915000004</v>
      </c>
      <c r="L2612" s="12">
        <v>62241997784.559998</v>
      </c>
      <c r="M2612">
        <v>11.0956666395408</v>
      </c>
      <c r="N2612" s="7">
        <v>1.02053543354508</v>
      </c>
      <c r="O2612" s="7">
        <v>0.76658292183556997</v>
      </c>
      <c r="P2612" s="7">
        <v>23.055488756100701</v>
      </c>
      <c r="Q2612" s="7">
        <v>3.2894736842105261</v>
      </c>
      <c r="U2612">
        <v>1.2058756559159716</v>
      </c>
      <c r="AT2612" s="4" t="s">
        <v>5650</v>
      </c>
    </row>
    <row r="2613" spans="1:46">
      <c r="A2613" s="2">
        <v>117</v>
      </c>
      <c r="B2613" t="s">
        <v>7838</v>
      </c>
      <c r="C2613" t="s">
        <v>2478</v>
      </c>
      <c r="D2613" t="s">
        <v>3972</v>
      </c>
      <c r="E2613" s="4">
        <v>43465</v>
      </c>
      <c r="F2613" s="11">
        <v>-39.039227689999997</v>
      </c>
      <c r="G2613" s="11">
        <v>-6.6666666699999997</v>
      </c>
      <c r="H2613" s="11">
        <v>33.389540477300002</v>
      </c>
      <c r="I2613" s="11">
        <v>19.169255274000001</v>
      </c>
      <c r="J2613" s="11">
        <v>7.3808917775999996</v>
      </c>
      <c r="K2613" s="10">
        <v>0.41006552049799999</v>
      </c>
      <c r="L2613" s="12">
        <v>7476085681.6800003</v>
      </c>
      <c r="M2613">
        <v>33.395910378870703</v>
      </c>
      <c r="N2613" s="7">
        <v>1.8357711561171901</v>
      </c>
      <c r="O2613" s="7">
        <v>2.2838050642539001</v>
      </c>
      <c r="P2613" s="7">
        <v>17.7154056697347</v>
      </c>
      <c r="Q2613" s="7">
        <v>0.6876661264181525</v>
      </c>
      <c r="U2613">
        <v>0.2137784587830843</v>
      </c>
      <c r="AT2613" s="4" t="s">
        <v>5905</v>
      </c>
    </row>
    <row r="2614" spans="1:46">
      <c r="A2614" s="2">
        <v>1509</v>
      </c>
      <c r="B2614" t="s">
        <v>7839</v>
      </c>
      <c r="C2614" t="s">
        <v>3384</v>
      </c>
      <c r="D2614" t="s">
        <v>3718</v>
      </c>
      <c r="E2614" s="4">
        <v>43465</v>
      </c>
      <c r="F2614" s="11">
        <v>-36.55004864</v>
      </c>
      <c r="G2614" s="11">
        <v>-6.6945606700000004</v>
      </c>
      <c r="H2614" s="11">
        <v>37.169985210199997</v>
      </c>
      <c r="I2614" s="11">
        <v>42.965725474700001</v>
      </c>
      <c r="J2614" s="11">
        <v>9.1207622180999994</v>
      </c>
      <c r="K2614" s="10">
        <v>0.22380722216599999</v>
      </c>
      <c r="L2614" s="12">
        <v>3297481485.2800002</v>
      </c>
      <c r="M2614">
        <v>-159.79861047532401</v>
      </c>
      <c r="N2614" s="7">
        <v>1.2945722695720201</v>
      </c>
      <c r="O2614" s="7">
        <v>3.1296805311722702</v>
      </c>
      <c r="P2614" s="7">
        <v>155.822895032817</v>
      </c>
      <c r="Q2614" s="7" t="s">
        <v>3698</v>
      </c>
      <c r="U2614">
        <v>0.17136580461329953</v>
      </c>
      <c r="AT2614" s="4" t="s">
        <v>4425</v>
      </c>
    </row>
    <row r="2615" spans="1:46">
      <c r="A2615" s="2">
        <v>3473</v>
      </c>
      <c r="B2615" t="s">
        <v>7840</v>
      </c>
      <c r="C2615" t="s">
        <v>245</v>
      </c>
      <c r="D2615" t="s">
        <v>3752</v>
      </c>
      <c r="E2615" s="4">
        <v>43465</v>
      </c>
      <c r="F2615" s="11">
        <v>-20.966453560000001</v>
      </c>
      <c r="G2615" s="11">
        <v>-6.7068575700000004</v>
      </c>
      <c r="H2615" s="11">
        <v>37.878125735499999</v>
      </c>
      <c r="I2615" s="11">
        <v>34.756728751600001</v>
      </c>
      <c r="J2615" s="11">
        <v>16.7620498406</v>
      </c>
      <c r="K2615" s="10">
        <v>0.79331994948999995</v>
      </c>
      <c r="L2615" s="12">
        <v>2237560000</v>
      </c>
      <c r="M2615">
        <v>11.298193880857101</v>
      </c>
      <c r="N2615" s="7">
        <v>2.2978399998942498</v>
      </c>
      <c r="O2615" s="7">
        <v>2.1501066646467102</v>
      </c>
      <c r="P2615" s="7">
        <v>26.4953950016248</v>
      </c>
      <c r="Q2615" s="7">
        <v>1.2332636822097824</v>
      </c>
      <c r="U2615">
        <v>2.168841061202766</v>
      </c>
      <c r="AT2615" s="4" t="s">
        <v>5845</v>
      </c>
    </row>
    <row r="2616" spans="1:46">
      <c r="A2616" s="2">
        <v>2655</v>
      </c>
      <c r="B2616" t="s">
        <v>7841</v>
      </c>
      <c r="C2616" t="s">
        <v>2827</v>
      </c>
      <c r="D2616" t="s">
        <v>3718</v>
      </c>
      <c r="E2616" s="4">
        <v>43465</v>
      </c>
      <c r="F2616" s="11">
        <v>-29.620801440000001</v>
      </c>
      <c r="G2616" s="11">
        <v>-6.7251462000000002</v>
      </c>
      <c r="H2616" s="11">
        <v>16.6517902346</v>
      </c>
      <c r="I2616" s="11">
        <v>31.223301182699998</v>
      </c>
      <c r="J2616" s="11">
        <v>7.5308732705999999</v>
      </c>
      <c r="K2616" s="10">
        <v>0.48605341909999999</v>
      </c>
      <c r="L2616" s="12">
        <v>2823813331.25</v>
      </c>
      <c r="M2616">
        <v>13.0097878129032</v>
      </c>
      <c r="N2616" s="7">
        <v>0.89929656051205797</v>
      </c>
      <c r="O2616" s="7">
        <v>0.74894946475589297</v>
      </c>
      <c r="P2616" s="7">
        <v>-84.477438896098306</v>
      </c>
      <c r="Q2616" s="7">
        <v>1.6611295681063125</v>
      </c>
      <c r="U2616">
        <v>0.23235610986122562</v>
      </c>
      <c r="AT2616" s="4" t="s">
        <v>7842</v>
      </c>
    </row>
    <row r="2617" spans="1:46">
      <c r="A2617" s="2">
        <v>739</v>
      </c>
      <c r="B2617" t="s">
        <v>7843</v>
      </c>
      <c r="C2617" t="s">
        <v>1262</v>
      </c>
      <c r="D2617" t="s">
        <v>4060</v>
      </c>
      <c r="E2617" s="4">
        <v>43465</v>
      </c>
      <c r="F2617" s="11">
        <v>-4.2008643699999997</v>
      </c>
      <c r="G2617" s="11">
        <v>-6.7757009300000002</v>
      </c>
      <c r="H2617" s="11">
        <v>39.076229116900002</v>
      </c>
      <c r="I2617" s="11">
        <v>12.541431655</v>
      </c>
      <c r="J2617" s="11">
        <v>2.3456134061</v>
      </c>
      <c r="K2617" s="10">
        <v>1.8056709267540001</v>
      </c>
      <c r="L2617" s="12">
        <v>1909700000</v>
      </c>
      <c r="M2617">
        <v>24.287997004031102</v>
      </c>
      <c r="N2617" s="7">
        <v>1.84019334191955</v>
      </c>
      <c r="O2617" s="7">
        <v>0.39789763263079703</v>
      </c>
      <c r="P2617" s="7">
        <v>18.058112855627499</v>
      </c>
      <c r="Q2617" s="7">
        <v>1.2787723785166241</v>
      </c>
      <c r="U2617">
        <v>0.19927473833410406</v>
      </c>
      <c r="AT2617" s="4" t="s">
        <v>7844</v>
      </c>
    </row>
    <row r="2618" spans="1:46">
      <c r="A2618" s="2">
        <v>929</v>
      </c>
      <c r="B2618" t="s">
        <v>7845</v>
      </c>
      <c r="C2618" t="s">
        <v>2619</v>
      </c>
      <c r="D2618" t="s">
        <v>3718</v>
      </c>
      <c r="E2618" s="4">
        <v>43465</v>
      </c>
      <c r="F2618" s="11">
        <v>-67.870033370000002</v>
      </c>
      <c r="G2618" s="11">
        <v>-6.8181818200000004</v>
      </c>
      <c r="H2618" s="11">
        <v>-40.9867256191</v>
      </c>
      <c r="I2618" s="11">
        <v>7.2582549286000004</v>
      </c>
      <c r="J2618" s="11">
        <v>-42.906954540699999</v>
      </c>
      <c r="K2618" s="10">
        <v>0.40102124848300003</v>
      </c>
      <c r="L2618" s="12">
        <v>4540878751.6000004</v>
      </c>
      <c r="M2618">
        <v>-52.516978705311502</v>
      </c>
      <c r="N2618" s="7">
        <v>3.0553231486610999</v>
      </c>
      <c r="O2618" s="7">
        <v>1.2169881843282799</v>
      </c>
      <c r="P2618" s="7">
        <v>-3.31200279298776</v>
      </c>
      <c r="Q2618" s="7" t="s">
        <v>3698</v>
      </c>
      <c r="U2618">
        <v>-1.0795993481256601</v>
      </c>
      <c r="AT2618" s="4" t="s">
        <v>5926</v>
      </c>
    </row>
    <row r="2619" spans="1:46">
      <c r="A2619" s="2">
        <v>2737</v>
      </c>
      <c r="B2619" t="s">
        <v>7846</v>
      </c>
      <c r="C2619" t="s">
        <v>1393</v>
      </c>
      <c r="D2619" t="s">
        <v>3737</v>
      </c>
      <c r="E2619" s="4">
        <v>43465</v>
      </c>
      <c r="F2619" s="11">
        <v>-28.257426760000001</v>
      </c>
      <c r="G2619" s="11">
        <v>-6.8354430400000004</v>
      </c>
      <c r="H2619" s="11">
        <v>-10.018011447599999</v>
      </c>
      <c r="I2619" s="11">
        <v>27.2378577287</v>
      </c>
      <c r="J2619" s="11">
        <v>3.7326556692000001</v>
      </c>
      <c r="K2619" s="10">
        <v>0.84480580786500004</v>
      </c>
      <c r="L2619" s="12">
        <v>4550023624</v>
      </c>
      <c r="M2619">
        <v>41.015298959888497</v>
      </c>
      <c r="N2619" s="7">
        <v>1.7138669726620199</v>
      </c>
      <c r="O2619" s="7">
        <v>0.92145019020673602</v>
      </c>
      <c r="P2619" s="7">
        <v>-8.3795276066446398</v>
      </c>
      <c r="Q2619" s="7" t="s">
        <v>3698</v>
      </c>
      <c r="U2619">
        <v>0.13601034415611801</v>
      </c>
      <c r="AT2619" s="4" t="s">
        <v>7847</v>
      </c>
    </row>
    <row r="2620" spans="1:46">
      <c r="A2620" s="2">
        <v>3006</v>
      </c>
      <c r="B2620" t="s">
        <v>7848</v>
      </c>
      <c r="C2620" t="s">
        <v>1794</v>
      </c>
      <c r="D2620" t="s">
        <v>3977</v>
      </c>
      <c r="E2620" s="4">
        <v>43465</v>
      </c>
      <c r="F2620" s="11">
        <v>-30.46680482</v>
      </c>
      <c r="G2620" s="11">
        <v>-6.8441064599999999</v>
      </c>
      <c r="H2620" s="11">
        <v>-1.2328345718</v>
      </c>
      <c r="I2620" s="11">
        <v>23.612934182</v>
      </c>
      <c r="J2620" s="11">
        <v>4.1656818333999999</v>
      </c>
      <c r="K2620" s="10">
        <v>0.74954226018100001</v>
      </c>
      <c r="L2620" s="12">
        <v>5811423127.6499996</v>
      </c>
      <c r="M2620">
        <v>-44.5224992811237</v>
      </c>
      <c r="N2620" s="7">
        <v>0.97953175019721195</v>
      </c>
      <c r="O2620" s="7">
        <v>0.66065564957501499</v>
      </c>
      <c r="P2620" s="7">
        <v>770.42919634793202</v>
      </c>
      <c r="Q2620" s="7">
        <v>1.0395010395010396</v>
      </c>
      <c r="U2620">
        <v>0.34163120544492126</v>
      </c>
      <c r="AT2620" s="4" t="s">
        <v>7821</v>
      </c>
    </row>
    <row r="2621" spans="1:46">
      <c r="A2621" s="2">
        <v>2762</v>
      </c>
      <c r="B2621" t="s">
        <v>7849</v>
      </c>
      <c r="C2621" t="s">
        <v>2647</v>
      </c>
      <c r="D2621" t="s">
        <v>3728</v>
      </c>
      <c r="E2621" s="4">
        <v>43465</v>
      </c>
      <c r="F2621" s="11">
        <v>-13.86775875</v>
      </c>
      <c r="G2621" s="11">
        <v>-6.8466731000000003</v>
      </c>
      <c r="H2621" s="11">
        <v>7.8779921026000004</v>
      </c>
      <c r="I2621" s="11">
        <v>6.8397320496000003</v>
      </c>
      <c r="J2621" s="11">
        <v>0.81006259650000001</v>
      </c>
      <c r="K2621" s="10">
        <v>1.852702519233</v>
      </c>
      <c r="L2621" s="12">
        <v>19664064966</v>
      </c>
      <c r="M2621">
        <v>-78.692069939771002</v>
      </c>
      <c r="N2621" s="7">
        <v>4.5314717244468898</v>
      </c>
      <c r="O2621" s="7">
        <v>1.49695863307167</v>
      </c>
      <c r="P2621" s="7">
        <v>-51.086598418198001</v>
      </c>
      <c r="Q2621" s="7">
        <v>0.18458197611292076</v>
      </c>
      <c r="U2621">
        <v>5.3469749789173758E-2</v>
      </c>
      <c r="AT2621" s="4" t="s">
        <v>4107</v>
      </c>
    </row>
    <row r="2622" spans="1:46">
      <c r="A2622" s="2">
        <v>2863</v>
      </c>
      <c r="B2622" t="s">
        <v>7850</v>
      </c>
      <c r="C2622" t="s">
        <v>1470</v>
      </c>
      <c r="D2622" t="s">
        <v>3811</v>
      </c>
      <c r="E2622" s="4">
        <v>43465</v>
      </c>
      <c r="F2622" s="11">
        <v>-14.60898497</v>
      </c>
      <c r="G2622" s="11">
        <v>-6.8493150700000003</v>
      </c>
      <c r="H2622" s="11">
        <v>6.0242545192000003</v>
      </c>
      <c r="I2622" s="11">
        <v>61.187377381600001</v>
      </c>
      <c r="J2622" s="11">
        <v>54.167029541799998</v>
      </c>
      <c r="K2622" s="10">
        <v>0.10281148088</v>
      </c>
      <c r="L2622" s="12">
        <v>2611306080</v>
      </c>
      <c r="M2622">
        <v>15.283200056979201</v>
      </c>
      <c r="N2622" s="7">
        <v>0.99861440860639294</v>
      </c>
      <c r="O2622" s="7">
        <v>5.5886167409113998</v>
      </c>
      <c r="P2622" s="7">
        <v>4.7724195054758303</v>
      </c>
      <c r="Q2622" s="7">
        <v>5.48780487804878</v>
      </c>
      <c r="U2622">
        <v>0.35065438451124048</v>
      </c>
      <c r="AT2622" s="4" t="s">
        <v>5222</v>
      </c>
    </row>
    <row r="2623" spans="1:46">
      <c r="A2623" s="2">
        <v>1464</v>
      </c>
      <c r="B2623" t="s">
        <v>7851</v>
      </c>
      <c r="C2623" t="s">
        <v>2048</v>
      </c>
      <c r="D2623" t="s">
        <v>3713</v>
      </c>
      <c r="E2623" s="4">
        <v>43465</v>
      </c>
      <c r="F2623" s="11">
        <v>-49.79675134</v>
      </c>
      <c r="G2623" s="11">
        <v>-6.8595927100000003</v>
      </c>
      <c r="H2623" s="11">
        <v>98.234772922000005</v>
      </c>
      <c r="I2623" s="11">
        <v>24.9635740951</v>
      </c>
      <c r="J2623" s="11">
        <v>11.7142488629</v>
      </c>
      <c r="K2623" s="10">
        <v>0.42823024356400002</v>
      </c>
      <c r="L2623" s="12">
        <v>2192913747.1799998</v>
      </c>
      <c r="M2623">
        <v>15.1368367764884</v>
      </c>
      <c r="N2623" s="7">
        <v>2.6024820166698301</v>
      </c>
      <c r="O2623" s="7">
        <v>2.5759246978797701</v>
      </c>
      <c r="P2623" s="7">
        <v>-20.0941548893781</v>
      </c>
      <c r="Q2623" s="7">
        <v>0.84439083232810597</v>
      </c>
      <c r="U2623">
        <v>0.54081353117818221</v>
      </c>
      <c r="AT2623" s="4" t="s">
        <v>4686</v>
      </c>
    </row>
    <row r="2624" spans="1:46">
      <c r="A2624" s="2">
        <v>420</v>
      </c>
      <c r="B2624" t="s">
        <v>7852</v>
      </c>
      <c r="C2624" t="s">
        <v>1095</v>
      </c>
      <c r="D2624" t="s">
        <v>3713</v>
      </c>
      <c r="E2624" s="4">
        <v>43465</v>
      </c>
      <c r="F2624" s="11">
        <v>-29.421740110000002</v>
      </c>
      <c r="G2624" s="11">
        <v>-6.8627450999999997</v>
      </c>
      <c r="H2624" s="11">
        <v>43.816093395000003</v>
      </c>
      <c r="I2624" s="11">
        <v>19.820519066399999</v>
      </c>
      <c r="J2624" s="11">
        <v>8.3439011505000007</v>
      </c>
      <c r="K2624" s="10">
        <v>0.70905849246999997</v>
      </c>
      <c r="L2624" s="12">
        <v>2536685626.1999998</v>
      </c>
      <c r="M2624">
        <v>31.800288983037301</v>
      </c>
      <c r="N2624" s="7">
        <v>10.814796482256201</v>
      </c>
      <c r="O2624" s="7">
        <v>2.3392207976250701</v>
      </c>
      <c r="P2624" s="7">
        <v>63.689269790511602</v>
      </c>
      <c r="Q2624" s="7">
        <v>0.4460093896713615</v>
      </c>
      <c r="U2624">
        <v>0.3779447250636418</v>
      </c>
      <c r="AT2624" s="4" t="s">
        <v>7853</v>
      </c>
    </row>
    <row r="2625" spans="1:46">
      <c r="A2625" s="2">
        <v>2216</v>
      </c>
      <c r="B2625" t="s">
        <v>7854</v>
      </c>
      <c r="C2625" t="s">
        <v>2906</v>
      </c>
      <c r="D2625" t="s">
        <v>4060</v>
      </c>
      <c r="E2625" s="4">
        <v>43465</v>
      </c>
      <c r="F2625" s="11">
        <v>-59.094993690000003</v>
      </c>
      <c r="G2625" s="11">
        <v>-6.8728522300000003</v>
      </c>
      <c r="H2625" s="11">
        <v>-3.479115814</v>
      </c>
      <c r="I2625" s="11">
        <v>5.5550477843000001</v>
      </c>
      <c r="J2625" s="11">
        <v>-3.5689983565999999</v>
      </c>
      <c r="K2625" s="10">
        <v>0.65869097503200003</v>
      </c>
      <c r="L2625" s="12">
        <v>4208054116.3299999</v>
      </c>
      <c r="M2625">
        <v>497.74609667437898</v>
      </c>
      <c r="N2625" s="7">
        <v>2.3382669793561801</v>
      </c>
      <c r="O2625" s="7">
        <v>1.5920002304727401</v>
      </c>
      <c r="P2625" s="7">
        <v>-12.2761186422132</v>
      </c>
      <c r="Q2625" s="7" t="s">
        <v>3698</v>
      </c>
      <c r="U2625">
        <v>-5.4611477040997058E-2</v>
      </c>
      <c r="AT2625" s="4" t="s">
        <v>7083</v>
      </c>
    </row>
    <row r="2626" spans="1:46">
      <c r="A2626" s="2">
        <v>3232</v>
      </c>
      <c r="B2626" t="s">
        <v>7855</v>
      </c>
      <c r="C2626" t="s">
        <v>2743</v>
      </c>
      <c r="D2626" t="s">
        <v>3718</v>
      </c>
      <c r="E2626" s="4">
        <v>43465</v>
      </c>
      <c r="F2626" s="11">
        <v>-39.193996640000002</v>
      </c>
      <c r="G2626" s="11">
        <v>-6.8811438799999998</v>
      </c>
      <c r="H2626" s="11">
        <v>22.265774715300001</v>
      </c>
      <c r="I2626" s="11">
        <v>35.137347749500002</v>
      </c>
      <c r="J2626" s="11">
        <v>16.001210845700001</v>
      </c>
      <c r="K2626" s="10">
        <v>0.218403713119</v>
      </c>
      <c r="L2626" s="12">
        <v>43407333060</v>
      </c>
      <c r="M2626">
        <v>104.79556898823201</v>
      </c>
      <c r="N2626" s="7">
        <v>2.2701174027089599</v>
      </c>
      <c r="O2626" s="7">
        <v>11.4082138689865</v>
      </c>
      <c r="P2626" s="7">
        <v>-6.4235615500022298</v>
      </c>
      <c r="Q2626" s="7">
        <v>0.55742481313117753</v>
      </c>
      <c r="U2626">
        <v>0.1921637780782848</v>
      </c>
      <c r="AT2626" s="4" t="s">
        <v>7625</v>
      </c>
    </row>
    <row r="2627" spans="1:46">
      <c r="A2627" s="2">
        <v>209</v>
      </c>
      <c r="B2627" t="s">
        <v>7856</v>
      </c>
      <c r="C2627" t="s">
        <v>1772</v>
      </c>
      <c r="D2627" t="s">
        <v>3790</v>
      </c>
      <c r="E2627" s="4">
        <v>43465</v>
      </c>
      <c r="F2627" s="11">
        <v>-37.780269060000002</v>
      </c>
      <c r="G2627" s="11">
        <v>-6.8907562999999996</v>
      </c>
      <c r="H2627" s="11">
        <v>42.487082513200001</v>
      </c>
      <c r="I2627" s="11">
        <v>41.461925259600001</v>
      </c>
      <c r="J2627" s="11">
        <v>15.105786890299999</v>
      </c>
      <c r="K2627" s="10">
        <v>0.18368353797100001</v>
      </c>
      <c r="L2627" s="12">
        <v>10094287105.98</v>
      </c>
      <c r="M2627">
        <v>61.239556929993903</v>
      </c>
      <c r="N2627" s="7">
        <v>-69.496031299776007</v>
      </c>
      <c r="O2627" s="7">
        <v>6.3507692378912797</v>
      </c>
      <c r="P2627" s="7">
        <v>-24.813852927205001</v>
      </c>
      <c r="Q2627" s="7" t="s">
        <v>3698</v>
      </c>
      <c r="U2627">
        <v>0.12181061418316451</v>
      </c>
      <c r="AT2627" s="4" t="s">
        <v>7857</v>
      </c>
    </row>
    <row r="2628" spans="1:46">
      <c r="A2628" s="2">
        <v>3290</v>
      </c>
      <c r="B2628" t="s">
        <v>7858</v>
      </c>
      <c r="C2628" t="s">
        <v>1074</v>
      </c>
      <c r="D2628" t="s">
        <v>3849</v>
      </c>
      <c r="E2628" s="4">
        <v>43465</v>
      </c>
      <c r="F2628" s="11">
        <v>-14.03837468</v>
      </c>
      <c r="G2628" s="11">
        <v>-6.9028711100000004</v>
      </c>
      <c r="H2628" s="11">
        <v>12.649815870799999</v>
      </c>
      <c r="I2628" s="11">
        <v>31.4398548944</v>
      </c>
      <c r="J2628" s="11">
        <v>12.293490244799999</v>
      </c>
      <c r="K2628" s="10">
        <v>0.64922488032299996</v>
      </c>
      <c r="L2628" s="12">
        <v>4109521458</v>
      </c>
      <c r="M2628">
        <v>31.381295595116999</v>
      </c>
      <c r="N2628" s="7">
        <v>4.0611842513853302</v>
      </c>
      <c r="O2628" s="7">
        <v>3.5654971268537499</v>
      </c>
      <c r="P2628" s="7">
        <v>101.048685283463</v>
      </c>
      <c r="Q2628" s="7">
        <v>0.99965257402084318</v>
      </c>
      <c r="U2628">
        <v>0.5349967508234218</v>
      </c>
      <c r="AT2628" s="4" t="s">
        <v>5235</v>
      </c>
    </row>
    <row r="2629" spans="1:46">
      <c r="A2629" s="2">
        <v>1005</v>
      </c>
      <c r="B2629" t="s">
        <v>7859</v>
      </c>
      <c r="C2629" t="s">
        <v>3011</v>
      </c>
      <c r="D2629" t="s">
        <v>3728</v>
      </c>
      <c r="E2629" s="4">
        <v>43465</v>
      </c>
      <c r="F2629" s="11">
        <v>-33.891795860000002</v>
      </c>
      <c r="G2629" s="11">
        <v>-6.9078947399999997</v>
      </c>
      <c r="H2629" s="11">
        <v>-20.913964717799999</v>
      </c>
      <c r="I2629" s="11">
        <v>25.778362668500002</v>
      </c>
      <c r="J2629" s="11">
        <v>2.6310552735999999</v>
      </c>
      <c r="K2629" s="10">
        <v>0.19175074778699999</v>
      </c>
      <c r="L2629" s="12">
        <v>4500006708.96</v>
      </c>
      <c r="M2629">
        <v>-28.319785724846199</v>
      </c>
      <c r="N2629" s="7">
        <v>1.23999742279739</v>
      </c>
      <c r="O2629" s="7">
        <v>4.5079822850959896</v>
      </c>
      <c r="P2629" s="7">
        <v>-8.7683762313304499</v>
      </c>
      <c r="Q2629" s="7">
        <v>0.21733974358974359</v>
      </c>
      <c r="U2629">
        <v>4.3742285685263796E-2</v>
      </c>
      <c r="AT2629" s="4" t="s">
        <v>5757</v>
      </c>
    </row>
    <row r="2630" spans="1:46">
      <c r="A2630" s="2">
        <v>3570</v>
      </c>
      <c r="B2630" t="s">
        <v>7860</v>
      </c>
      <c r="C2630" t="s">
        <v>657</v>
      </c>
      <c r="D2630" t="s">
        <v>3785</v>
      </c>
      <c r="E2630" s="4">
        <v>43465</v>
      </c>
      <c r="F2630" s="11">
        <v>57.620508180000002</v>
      </c>
      <c r="G2630" s="11">
        <v>-6.9087688199999997</v>
      </c>
      <c r="H2630" s="11">
        <v>18.469886564599999</v>
      </c>
      <c r="I2630" s="11">
        <v>39.676021001899997</v>
      </c>
      <c r="J2630" s="11">
        <v>13.286160392799999</v>
      </c>
      <c r="K2630" s="10">
        <v>1.299782033751</v>
      </c>
      <c r="L2630" s="12">
        <v>19714478937.299999</v>
      </c>
      <c r="M2630">
        <v>35.483284423380198</v>
      </c>
      <c r="N2630" s="7">
        <v>6.2118743359964101</v>
      </c>
      <c r="O2630" s="7">
        <v>4.5718098652918204</v>
      </c>
      <c r="P2630" s="7">
        <v>25.213710433487702</v>
      </c>
      <c r="Q2630" s="7">
        <v>1.6465784100638874</v>
      </c>
      <c r="U2630">
        <v>1.3644600535032063</v>
      </c>
      <c r="AT2630" s="4" t="s">
        <v>6265</v>
      </c>
    </row>
    <row r="2631" spans="1:46">
      <c r="A2631" s="2">
        <v>1476</v>
      </c>
      <c r="B2631" t="s">
        <v>7861</v>
      </c>
      <c r="C2631" t="s">
        <v>2739</v>
      </c>
      <c r="D2631" t="s">
        <v>3713</v>
      </c>
      <c r="E2631" s="4">
        <v>43465</v>
      </c>
      <c r="F2631" s="11">
        <v>-27.599517689999999</v>
      </c>
      <c r="G2631" s="11">
        <v>-6.9243156199999998</v>
      </c>
      <c r="H2631" s="11">
        <v>11.115561746199999</v>
      </c>
      <c r="I2631" s="11">
        <v>40.437017408599999</v>
      </c>
      <c r="J2631" s="11">
        <v>5.2699418104999998</v>
      </c>
      <c r="K2631" s="10">
        <v>0.27356951440600003</v>
      </c>
      <c r="L2631" s="12">
        <v>4349601600</v>
      </c>
      <c r="M2631">
        <v>71.876791814400704</v>
      </c>
      <c r="N2631" s="7">
        <v>2.0477310215981599</v>
      </c>
      <c r="O2631" s="7">
        <v>3.2962475821882302</v>
      </c>
      <c r="P2631" s="7">
        <v>-9.3990467143673104</v>
      </c>
      <c r="Q2631" s="7" t="s">
        <v>3698</v>
      </c>
      <c r="U2631">
        <v>0.10405377400107602</v>
      </c>
      <c r="AT2631" s="4" t="s">
        <v>4616</v>
      </c>
    </row>
    <row r="2632" spans="1:46">
      <c r="A2632" s="2">
        <v>1051</v>
      </c>
      <c r="B2632" t="s">
        <v>7862</v>
      </c>
      <c r="C2632" t="s">
        <v>1551</v>
      </c>
      <c r="D2632" t="s">
        <v>3769</v>
      </c>
      <c r="E2632" s="4">
        <v>43465</v>
      </c>
      <c r="F2632" s="11">
        <v>-37.375488279999999</v>
      </c>
      <c r="G2632" s="11">
        <v>-6.9264069299999997</v>
      </c>
      <c r="H2632" s="11">
        <v>5.3569623377999998</v>
      </c>
      <c r="I2632" s="11">
        <v>20.720100332800001</v>
      </c>
      <c r="J2632" s="11">
        <v>10.447829732000001</v>
      </c>
      <c r="K2632" s="10">
        <v>0.68589097034299995</v>
      </c>
      <c r="L2632" s="12">
        <v>1885427600</v>
      </c>
      <c r="M2632">
        <v>18.946668385619699</v>
      </c>
      <c r="N2632" s="7">
        <v>1.1996635449591</v>
      </c>
      <c r="O2632" s="7">
        <v>1.6034982687903201</v>
      </c>
      <c r="P2632" s="7">
        <v>65.577758477394198</v>
      </c>
      <c r="Q2632" s="7">
        <v>7.8890886699507394</v>
      </c>
      <c r="U2632">
        <v>0.29521546854283981</v>
      </c>
      <c r="AT2632" s="4" t="s">
        <v>4282</v>
      </c>
    </row>
    <row r="2633" spans="1:46">
      <c r="A2633" s="2">
        <v>770</v>
      </c>
      <c r="B2633" t="s">
        <v>7863</v>
      </c>
      <c r="C2633" t="s">
        <v>3328</v>
      </c>
      <c r="D2633" t="s">
        <v>3764</v>
      </c>
      <c r="E2633" s="4">
        <v>43465</v>
      </c>
      <c r="F2633" s="11">
        <v>-63.754045310000002</v>
      </c>
      <c r="G2633" s="11">
        <v>-6.9868995600000003</v>
      </c>
      <c r="H2633" s="11">
        <v>-18.467190690900001</v>
      </c>
      <c r="I2633" s="11">
        <v>13.0003867593</v>
      </c>
      <c r="J2633" s="11">
        <v>-19.886142344300001</v>
      </c>
      <c r="K2633" s="10">
        <v>0.31967926161999999</v>
      </c>
      <c r="L2633" s="12">
        <v>8449877035.8000002</v>
      </c>
      <c r="M2633">
        <v>-31.077782564332001</v>
      </c>
      <c r="N2633" s="7">
        <v>1.1651262600363801</v>
      </c>
      <c r="O2633" s="7">
        <v>1.5345075255618601</v>
      </c>
      <c r="P2633" s="7">
        <v>-1.7022473807790099</v>
      </c>
      <c r="Q2633" s="7" t="s">
        <v>3698</v>
      </c>
      <c r="U2633">
        <v>-0.2367660764765602</v>
      </c>
      <c r="AT2633" s="4" t="s">
        <v>7616</v>
      </c>
    </row>
    <row r="2634" spans="1:46">
      <c r="A2634" s="2">
        <v>1760</v>
      </c>
      <c r="B2634" t="s">
        <v>7864</v>
      </c>
      <c r="C2634" t="s">
        <v>296</v>
      </c>
      <c r="D2634" t="s">
        <v>3764</v>
      </c>
      <c r="E2634" s="4">
        <v>43465</v>
      </c>
      <c r="F2634" s="11">
        <v>-65.305122569999995</v>
      </c>
      <c r="G2634" s="11">
        <v>-7.01754386</v>
      </c>
      <c r="H2634" s="11">
        <v>-7.5552501902999998</v>
      </c>
      <c r="I2634" s="11">
        <v>31.374061744399999</v>
      </c>
      <c r="J2634" s="11">
        <v>11.728500154500001</v>
      </c>
      <c r="K2634" s="10">
        <v>0.52098672966500004</v>
      </c>
      <c r="L2634" s="12">
        <v>130050569897.85001</v>
      </c>
      <c r="M2634">
        <v>11.5027615205739</v>
      </c>
      <c r="N2634" s="7">
        <v>2.1600813537449799</v>
      </c>
      <c r="O2634" s="7">
        <v>1.17056226862623</v>
      </c>
      <c r="P2634" s="7">
        <v>-45.4633788828191</v>
      </c>
      <c r="Q2634" s="7">
        <v>3.6036022233949083</v>
      </c>
      <c r="U2634">
        <v>0.44538411956828267</v>
      </c>
      <c r="AT2634" s="4" t="s">
        <v>7809</v>
      </c>
    </row>
    <row r="2635" spans="1:46">
      <c r="A2635" s="2">
        <v>1031</v>
      </c>
      <c r="B2635" t="s">
        <v>7865</v>
      </c>
      <c r="C2635" t="s">
        <v>2129</v>
      </c>
      <c r="D2635" t="s">
        <v>3718</v>
      </c>
      <c r="E2635" s="4">
        <v>43465</v>
      </c>
      <c r="F2635" s="11">
        <v>-33.471343060000002</v>
      </c>
      <c r="G2635" s="11">
        <v>-7.0539419099999998</v>
      </c>
      <c r="H2635" s="11">
        <v>26.9515511878</v>
      </c>
      <c r="I2635" s="11">
        <v>36.970109922699997</v>
      </c>
      <c r="J2635" s="11">
        <v>9.5322360687999996</v>
      </c>
      <c r="K2635" s="10">
        <v>0.470303908406</v>
      </c>
      <c r="L2635" s="12">
        <v>3524380987.5</v>
      </c>
      <c r="M2635">
        <v>76.235603667002195</v>
      </c>
      <c r="N2635" s="7">
        <v>1.8047428668660701</v>
      </c>
      <c r="O2635" s="7">
        <v>3.4674618843000502</v>
      </c>
      <c r="P2635" s="7">
        <v>-53.3553862749419</v>
      </c>
      <c r="Q2635" s="7">
        <v>1.5959569377990428</v>
      </c>
      <c r="U2635">
        <v>0.27235721922484257</v>
      </c>
      <c r="AT2635" s="4" t="s">
        <v>5523</v>
      </c>
    </row>
    <row r="2636" spans="1:46">
      <c r="A2636" s="2">
        <v>235</v>
      </c>
      <c r="B2636" t="s">
        <v>7866</v>
      </c>
      <c r="C2636" t="s">
        <v>2163</v>
      </c>
      <c r="D2636" t="s">
        <v>3752</v>
      </c>
      <c r="E2636" s="4">
        <v>43465</v>
      </c>
      <c r="F2636" s="11">
        <v>-39.926772579999998</v>
      </c>
      <c r="G2636" s="11">
        <v>-7.0588235299999997</v>
      </c>
      <c r="H2636" s="11">
        <v>1.117665895</v>
      </c>
      <c r="I2636" s="11">
        <v>14.9514038701</v>
      </c>
      <c r="J2636" s="11">
        <v>1.3509979909000001</v>
      </c>
      <c r="K2636" s="10">
        <v>0.60398644249400002</v>
      </c>
      <c r="L2636" s="12">
        <v>3184690080</v>
      </c>
      <c r="M2636">
        <v>33.1728008408653</v>
      </c>
      <c r="N2636" s="7">
        <v>0.97404466965858505</v>
      </c>
      <c r="O2636" s="7">
        <v>1.36990978887001</v>
      </c>
      <c r="P2636" s="7">
        <v>-14.725059938884</v>
      </c>
      <c r="Q2636" s="7">
        <v>1.095890410958904</v>
      </c>
      <c r="U2636">
        <v>8.8576349982141478E-2</v>
      </c>
      <c r="AT2636" s="4" t="s">
        <v>5901</v>
      </c>
    </row>
    <row r="2637" spans="1:46">
      <c r="A2637" s="2">
        <v>1512</v>
      </c>
      <c r="B2637" t="s">
        <v>7867</v>
      </c>
      <c r="C2637" t="s">
        <v>2414</v>
      </c>
      <c r="D2637" t="s">
        <v>3781</v>
      </c>
      <c r="E2637" s="4">
        <v>43465</v>
      </c>
      <c r="F2637" s="11">
        <v>-5.79713704</v>
      </c>
      <c r="G2637" s="11">
        <v>-7.1150097499999996</v>
      </c>
      <c r="H2637" s="11">
        <v>-3.9210409326</v>
      </c>
      <c r="I2637" s="11">
        <v>43.108390678100001</v>
      </c>
      <c r="J2637" s="11">
        <v>10.178311183</v>
      </c>
      <c r="K2637" s="10">
        <v>0.52111258335199995</v>
      </c>
      <c r="L2637" s="12">
        <v>5712808855.3000002</v>
      </c>
      <c r="M2637">
        <v>108.98487887310699</v>
      </c>
      <c r="N2637" s="7">
        <v>5.7054320335700801</v>
      </c>
      <c r="O2637" s="7">
        <v>4.6957121384652298</v>
      </c>
      <c r="P2637" s="7">
        <v>-180.59022349902301</v>
      </c>
      <c r="Q2637" s="7">
        <v>0.38709677419354832</v>
      </c>
      <c r="U2637">
        <v>0.15876849198856011</v>
      </c>
      <c r="AT2637" s="4" t="s">
        <v>3892</v>
      </c>
    </row>
    <row r="2638" spans="1:46">
      <c r="A2638" s="2">
        <v>38</v>
      </c>
      <c r="B2638" t="s">
        <v>7868</v>
      </c>
      <c r="C2638" t="s">
        <v>2279</v>
      </c>
      <c r="D2638" t="s">
        <v>3790</v>
      </c>
      <c r="E2638" s="4">
        <v>43465</v>
      </c>
      <c r="F2638" s="11">
        <v>-41.685708069999997</v>
      </c>
      <c r="G2638" s="11">
        <v>-7.1316614400000002</v>
      </c>
      <c r="H2638" s="11">
        <v>70.113210764200005</v>
      </c>
      <c r="I2638" s="11">
        <v>7.4661183378000002</v>
      </c>
      <c r="J2638" s="11">
        <v>-91.570428886100004</v>
      </c>
      <c r="K2638" s="10">
        <v>0.57470570727799997</v>
      </c>
      <c r="L2638" s="12">
        <v>2630848000</v>
      </c>
      <c r="M2638">
        <v>24.6249024541656</v>
      </c>
      <c r="N2638" s="7">
        <v>2.5198741725437901</v>
      </c>
      <c r="O2638" s="7">
        <v>2.6263118155652498</v>
      </c>
      <c r="P2638" s="7">
        <v>-40.159708393937599</v>
      </c>
      <c r="Q2638" s="7" t="s">
        <v>3698</v>
      </c>
      <c r="U2638">
        <v>-4.494574891211971</v>
      </c>
      <c r="AT2638" s="4" t="s">
        <v>7869</v>
      </c>
    </row>
    <row r="2639" spans="1:46">
      <c r="A2639" s="2">
        <v>2499</v>
      </c>
      <c r="B2639" t="s">
        <v>7870</v>
      </c>
      <c r="C2639" t="s">
        <v>1471</v>
      </c>
      <c r="D2639" t="s">
        <v>3785</v>
      </c>
      <c r="E2639" s="4">
        <v>43465</v>
      </c>
      <c r="F2639" s="11">
        <v>-49.198868990000001</v>
      </c>
      <c r="G2639" s="11">
        <v>-7.1428571400000003</v>
      </c>
      <c r="H2639" s="11">
        <v>-29.313027106900002</v>
      </c>
      <c r="I2639" s="11">
        <v>29.6435533581</v>
      </c>
      <c r="J2639" s="11">
        <v>20.6156434418</v>
      </c>
      <c r="K2639" s="10">
        <v>0.136900641958</v>
      </c>
      <c r="L2639" s="12">
        <v>1727598163.6199999</v>
      </c>
      <c r="M2639">
        <v>22.134316997129599</v>
      </c>
      <c r="N2639" s="7">
        <v>1.4183739349033</v>
      </c>
      <c r="O2639" s="7">
        <v>9.4163148593246504</v>
      </c>
      <c r="P2639" s="7">
        <v>9.5954241385785597</v>
      </c>
      <c r="Q2639" s="7" t="s">
        <v>3698</v>
      </c>
      <c r="U2639">
        <v>0.11639132503491485</v>
      </c>
      <c r="AT2639" s="4" t="s">
        <v>7871</v>
      </c>
    </row>
    <row r="2640" spans="1:46">
      <c r="A2640" s="2">
        <v>3072</v>
      </c>
      <c r="B2640" t="s">
        <v>7872</v>
      </c>
      <c r="C2640" t="s">
        <v>1063</v>
      </c>
      <c r="D2640" t="s">
        <v>3858</v>
      </c>
      <c r="E2640" s="4">
        <v>43465</v>
      </c>
      <c r="F2640" s="11">
        <v>-5.0497163499999997</v>
      </c>
      <c r="G2640" s="11">
        <v>-7.1757129700000002</v>
      </c>
      <c r="H2640" s="11">
        <v>7.2163406666999999</v>
      </c>
      <c r="I2640" s="11">
        <v>9.7807868808999991</v>
      </c>
      <c r="J2640" s="11">
        <v>2.7171321513</v>
      </c>
      <c r="K2640" s="10">
        <v>0.83943510683900002</v>
      </c>
      <c r="L2640" s="12">
        <v>4225704002.5999999</v>
      </c>
      <c r="M2640">
        <v>8.7035490775664499</v>
      </c>
      <c r="N2640" s="7">
        <v>0.98888805492810805</v>
      </c>
      <c r="O2640" s="7">
        <v>0.207764150456379</v>
      </c>
      <c r="P2640" s="7">
        <v>-28.037628016389199</v>
      </c>
      <c r="Q2640" s="7">
        <v>2.1716649431230612</v>
      </c>
      <c r="U2640">
        <v>1.3207574791829311</v>
      </c>
      <c r="AT2640" s="4" t="s">
        <v>7873</v>
      </c>
    </row>
    <row r="2641" spans="1:46">
      <c r="A2641" s="2">
        <v>996</v>
      </c>
      <c r="B2641" t="s">
        <v>7874</v>
      </c>
      <c r="C2641" t="s">
        <v>3281</v>
      </c>
      <c r="D2641" t="s">
        <v>3728</v>
      </c>
      <c r="E2641" s="4">
        <v>43465</v>
      </c>
      <c r="F2641" s="11">
        <v>-55.294465340000002</v>
      </c>
      <c r="G2641" s="11">
        <v>-7.2463768100000001</v>
      </c>
      <c r="H2641" s="11">
        <v>121.9913813645</v>
      </c>
      <c r="I2641" s="11">
        <v>16.6055823847</v>
      </c>
      <c r="J2641" s="11">
        <v>8.3940826917999996</v>
      </c>
      <c r="K2641" s="10">
        <v>0.60929866607799998</v>
      </c>
      <c r="L2641" s="12">
        <v>13202098565.48</v>
      </c>
      <c r="M2641">
        <v>-229.95066577034899</v>
      </c>
      <c r="N2641" s="7">
        <v>1.8593747153495099</v>
      </c>
      <c r="O2641" s="7">
        <v>3.3924494709145598</v>
      </c>
      <c r="P2641" s="7">
        <v>-107.739211645842</v>
      </c>
      <c r="Q2641" s="7">
        <v>0.37643207855973815</v>
      </c>
      <c r="U2641">
        <v>0.23693370700367647</v>
      </c>
      <c r="AT2641" s="4" t="s">
        <v>4674</v>
      </c>
    </row>
    <row r="2642" spans="1:46">
      <c r="A2642" s="2">
        <v>3396</v>
      </c>
      <c r="B2642" t="s">
        <v>7875</v>
      </c>
      <c r="C2642" t="s">
        <v>2155</v>
      </c>
      <c r="D2642" t="s">
        <v>4060</v>
      </c>
      <c r="E2642" s="4">
        <v>43465</v>
      </c>
      <c r="F2642" s="11">
        <v>-9.4154070099999991</v>
      </c>
      <c r="G2642" s="11">
        <v>-7.2529465100000001</v>
      </c>
      <c r="H2642" s="11">
        <v>17.5828685593</v>
      </c>
      <c r="I2642" s="11">
        <v>32.662274478</v>
      </c>
      <c r="J2642" s="11">
        <v>10.8215601934</v>
      </c>
      <c r="K2642" s="10">
        <v>0.45512135396600001</v>
      </c>
      <c r="L2642" s="12">
        <v>4701458130.96</v>
      </c>
      <c r="M2642">
        <v>58.240745690395798</v>
      </c>
      <c r="N2642" s="7">
        <v>6.7082772640608201</v>
      </c>
      <c r="O2642" s="7">
        <v>6.6888081931878602</v>
      </c>
      <c r="P2642" s="7">
        <v>-39.3550659745544</v>
      </c>
      <c r="Q2642" s="7" t="s">
        <v>3698</v>
      </c>
      <c r="U2642">
        <v>0.19800824067677122</v>
      </c>
      <c r="AT2642" s="4" t="s">
        <v>4184</v>
      </c>
    </row>
    <row r="2643" spans="1:46">
      <c r="A2643" s="2">
        <v>932</v>
      </c>
      <c r="B2643" t="s">
        <v>7876</v>
      </c>
      <c r="C2643" t="s">
        <v>2093</v>
      </c>
      <c r="D2643" t="s">
        <v>3713</v>
      </c>
      <c r="E2643" s="4">
        <v>43465</v>
      </c>
      <c r="F2643" s="11">
        <v>-39.928312660000003</v>
      </c>
      <c r="G2643" s="11">
        <v>-7.39795918</v>
      </c>
      <c r="H2643" s="11">
        <v>-1.752095859</v>
      </c>
      <c r="I2643" s="11">
        <v>31.961163609300002</v>
      </c>
      <c r="J2643" s="11">
        <v>8.4597334674999995</v>
      </c>
      <c r="K2643" s="10">
        <v>0.413575893616</v>
      </c>
      <c r="L2643" s="12">
        <v>3250104000</v>
      </c>
      <c r="M2643">
        <v>27.553450325047798</v>
      </c>
      <c r="N2643" s="7">
        <v>2.88839524077467</v>
      </c>
      <c r="O2643" s="7">
        <v>2.9108357431631302</v>
      </c>
      <c r="P2643" s="7">
        <v>32.939005034029002</v>
      </c>
      <c r="Q2643" s="7" t="s">
        <v>3698</v>
      </c>
      <c r="U2643">
        <v>0.11395985192257529</v>
      </c>
      <c r="AT2643" s="4" t="s">
        <v>6390</v>
      </c>
    </row>
    <row r="2644" spans="1:46">
      <c r="A2644" s="2">
        <v>2458</v>
      </c>
      <c r="B2644" t="s">
        <v>7877</v>
      </c>
      <c r="C2644" t="s">
        <v>3376</v>
      </c>
      <c r="D2644" t="s">
        <v>3764</v>
      </c>
      <c r="E2644" s="4">
        <v>43465</v>
      </c>
      <c r="F2644" s="11">
        <v>-34.963852289999998</v>
      </c>
      <c r="G2644" s="11">
        <v>-7.5134168199999998</v>
      </c>
      <c r="H2644" s="11">
        <v>7.2231099781000001</v>
      </c>
      <c r="I2644" s="11">
        <v>30.607869064100001</v>
      </c>
      <c r="J2644" s="11">
        <v>-4.5678920937000003</v>
      </c>
      <c r="K2644" s="10">
        <v>0.28436266705899998</v>
      </c>
      <c r="L2644" s="12">
        <v>9501602298.0400009</v>
      </c>
      <c r="M2644">
        <v>-41.643230039399597</v>
      </c>
      <c r="N2644" s="7">
        <v>1.63203191261947</v>
      </c>
      <c r="O2644" s="7">
        <v>2.1647123062675599</v>
      </c>
      <c r="P2644" s="7">
        <v>-98.646076528464704</v>
      </c>
      <c r="Q2644" s="7" t="s">
        <v>3698</v>
      </c>
      <c r="U2644">
        <v>-0.11493868088918817</v>
      </c>
      <c r="AT2644" s="4" t="s">
        <v>7878</v>
      </c>
    </row>
    <row r="2645" spans="1:46">
      <c r="A2645" s="2">
        <v>2839</v>
      </c>
      <c r="B2645" t="s">
        <v>7879</v>
      </c>
      <c r="C2645" t="s">
        <v>1282</v>
      </c>
      <c r="D2645" t="s">
        <v>3769</v>
      </c>
      <c r="E2645" s="4">
        <v>43465</v>
      </c>
      <c r="F2645" s="11">
        <v>-18.933623499999999</v>
      </c>
      <c r="G2645" s="11">
        <v>-7.5376884400000002</v>
      </c>
      <c r="H2645" s="11">
        <v>8.7832481101000006</v>
      </c>
      <c r="I2645" s="11">
        <v>60.432947820199999</v>
      </c>
      <c r="J2645" s="11">
        <v>-19.449825440200001</v>
      </c>
      <c r="K2645" s="10">
        <v>7.5288691842999994E-2</v>
      </c>
      <c r="L2645" s="12">
        <v>3778544270</v>
      </c>
      <c r="M2645">
        <v>2997.5042535831999</v>
      </c>
      <c r="N2645" s="7">
        <v>34.676565709608496</v>
      </c>
      <c r="O2645" s="7">
        <v>176.20109286454999</v>
      </c>
      <c r="P2645" s="7">
        <v>5384.8357957186299</v>
      </c>
      <c r="Q2645" s="7" t="s">
        <v>3698</v>
      </c>
      <c r="U2645">
        <v>-1.0477563384455407E-2</v>
      </c>
      <c r="AT2645" s="4" t="s">
        <v>6202</v>
      </c>
    </row>
    <row r="2646" spans="1:46">
      <c r="A2646" s="2">
        <v>838</v>
      </c>
      <c r="B2646" t="s">
        <v>7880</v>
      </c>
      <c r="C2646" t="s">
        <v>797</v>
      </c>
      <c r="D2646" t="s">
        <v>3728</v>
      </c>
      <c r="E2646" s="4">
        <v>43465</v>
      </c>
      <c r="F2646" s="11">
        <v>-27.84056455</v>
      </c>
      <c r="G2646" s="11">
        <v>-7.5898801599999999</v>
      </c>
      <c r="H2646" s="11">
        <v>11.5543489984</v>
      </c>
      <c r="I2646" s="11">
        <v>49.818623675700003</v>
      </c>
      <c r="J2646" s="11">
        <v>18.618294855999999</v>
      </c>
      <c r="K2646" s="10">
        <v>0.67993763753600001</v>
      </c>
      <c r="L2646" s="12">
        <v>1969715161.4000001</v>
      </c>
      <c r="M2646">
        <v>13.224829400060599</v>
      </c>
      <c r="N2646" s="7">
        <v>1.8379014418408599</v>
      </c>
      <c r="O2646" s="7">
        <v>2.3029536380218198</v>
      </c>
      <c r="P2646" s="7">
        <v>-67.889390534136993</v>
      </c>
      <c r="Q2646" s="7">
        <v>7.6452599388379214</v>
      </c>
      <c r="U2646">
        <v>0.62373773515268538</v>
      </c>
      <c r="AT2646" s="4" t="s">
        <v>7881</v>
      </c>
    </row>
    <row r="2647" spans="1:46">
      <c r="A2647" s="2">
        <v>3488</v>
      </c>
      <c r="B2647" t="s">
        <v>7882</v>
      </c>
      <c r="C2647" t="s">
        <v>526</v>
      </c>
      <c r="D2647" t="s">
        <v>3737</v>
      </c>
      <c r="E2647" s="4">
        <v>43465</v>
      </c>
      <c r="F2647" s="11">
        <v>-33.316434559999998</v>
      </c>
      <c r="G2647" s="11">
        <v>-7.63087844</v>
      </c>
      <c r="H2647" s="11">
        <v>77.5351206725</v>
      </c>
      <c r="I2647" s="11">
        <v>46.384770197400002</v>
      </c>
      <c r="J2647" s="11">
        <v>9.8396744721000005</v>
      </c>
      <c r="K2647" s="10">
        <v>0.66292790604899998</v>
      </c>
      <c r="L2647" s="12">
        <v>4983689155.1999998</v>
      </c>
      <c r="M2647">
        <v>87.2931521575061</v>
      </c>
      <c r="N2647" s="7">
        <v>5.3121022957018704</v>
      </c>
      <c r="O2647" s="7">
        <v>7.7333065097430902</v>
      </c>
      <c r="P2647" s="7">
        <v>1578.0067942464</v>
      </c>
      <c r="Q2647" s="7">
        <v>0.54240631163708097</v>
      </c>
      <c r="U2647">
        <v>0.17360740489361701</v>
      </c>
      <c r="AT2647" s="4" t="s">
        <v>6126</v>
      </c>
    </row>
    <row r="2648" spans="1:46">
      <c r="A2648" s="2">
        <v>3354</v>
      </c>
      <c r="B2648" t="s">
        <v>7883</v>
      </c>
      <c r="C2648" t="s">
        <v>2328</v>
      </c>
      <c r="D2648" t="s">
        <v>3718</v>
      </c>
      <c r="E2648" s="4">
        <v>43465</v>
      </c>
      <c r="F2648" s="11">
        <v>-21.348484410000001</v>
      </c>
      <c r="G2648" s="11">
        <v>-7.7046549000000004</v>
      </c>
      <c r="H2648" s="11">
        <v>-25.074838953699999</v>
      </c>
      <c r="I2648" s="11">
        <v>28.339835214000001</v>
      </c>
      <c r="J2648" s="11">
        <v>1.0368414808999999</v>
      </c>
      <c r="K2648" s="10">
        <v>0.21424431868800001</v>
      </c>
      <c r="L2648" s="12">
        <v>10101149800.26</v>
      </c>
      <c r="M2648">
        <v>384.48321881088901</v>
      </c>
      <c r="N2648" s="7">
        <v>5.3051422313075003</v>
      </c>
      <c r="O2648" s="7">
        <v>10.8026402680354</v>
      </c>
      <c r="P2648" s="7">
        <v>116.389539719928</v>
      </c>
      <c r="Q2648" s="7" t="s">
        <v>3698</v>
      </c>
      <c r="U2648">
        <v>1.0865305677408808E-2</v>
      </c>
      <c r="AT2648" s="4" t="s">
        <v>4315</v>
      </c>
    </row>
    <row r="2649" spans="1:46">
      <c r="A2649" s="2">
        <v>3019</v>
      </c>
      <c r="B2649" t="s">
        <v>7884</v>
      </c>
      <c r="C2649" t="s">
        <v>2043</v>
      </c>
      <c r="D2649" t="s">
        <v>3737</v>
      </c>
      <c r="E2649" s="4">
        <v>43465</v>
      </c>
      <c r="F2649" s="11">
        <v>-24.280082060000002</v>
      </c>
      <c r="G2649" s="11">
        <v>-7.7397260299999999</v>
      </c>
      <c r="H2649" s="11">
        <v>17.842774829500001</v>
      </c>
      <c r="I2649" s="11">
        <v>8.6325516059999998</v>
      </c>
      <c r="J2649" s="11">
        <v>1.5854133139</v>
      </c>
      <c r="K2649" s="10">
        <v>1.4678983359519999</v>
      </c>
      <c r="L2649" s="12">
        <v>6256102606.0500002</v>
      </c>
      <c r="M2649">
        <v>24.0771552396278</v>
      </c>
      <c r="N2649" s="7">
        <v>1.8015367604794199</v>
      </c>
      <c r="O2649" s="7">
        <v>0.32937487628350298</v>
      </c>
      <c r="P2649" s="7">
        <v>26.993508884248701</v>
      </c>
      <c r="Q2649" s="7">
        <v>0.74019245003700962</v>
      </c>
      <c r="U2649">
        <v>0.7139611244892351</v>
      </c>
      <c r="AT2649" s="4" t="s">
        <v>5757</v>
      </c>
    </row>
    <row r="2650" spans="1:46">
      <c r="A2650" s="2">
        <v>1069</v>
      </c>
      <c r="B2650" t="s">
        <v>7885</v>
      </c>
      <c r="C2650" t="s">
        <v>508</v>
      </c>
      <c r="D2650" t="s">
        <v>3790</v>
      </c>
      <c r="E2650" s="4">
        <v>43465</v>
      </c>
      <c r="F2650" s="11">
        <v>-50.012185799999997</v>
      </c>
      <c r="G2650" s="11">
        <v>-7.7955601400000001</v>
      </c>
      <c r="H2650" s="11">
        <v>30.029034879400001</v>
      </c>
      <c r="I2650" s="11">
        <v>74.9902661104</v>
      </c>
      <c r="J2650" s="11">
        <v>30.718715875600001</v>
      </c>
      <c r="K2650" s="10">
        <v>0.32139881934100001</v>
      </c>
      <c r="L2650" s="12">
        <v>4335636363.4799995</v>
      </c>
      <c r="M2650">
        <v>32.345610604984401</v>
      </c>
      <c r="N2650" s="7">
        <v>4.7023474834291097</v>
      </c>
      <c r="O2650" s="7">
        <v>10.491819843152401</v>
      </c>
      <c r="P2650" s="7">
        <v>-20.696594563650098</v>
      </c>
      <c r="Q2650" s="7">
        <v>0.96045197740112986</v>
      </c>
      <c r="U2650">
        <v>0.53259092583219703</v>
      </c>
      <c r="AT2650" s="4" t="s">
        <v>3793</v>
      </c>
    </row>
    <row r="2651" spans="1:46">
      <c r="A2651" s="2">
        <v>3615</v>
      </c>
      <c r="B2651" t="s">
        <v>7886</v>
      </c>
      <c r="C2651" t="s">
        <v>750</v>
      </c>
      <c r="D2651" t="s">
        <v>3728</v>
      </c>
      <c r="E2651" s="4">
        <v>43465</v>
      </c>
      <c r="F2651" s="11">
        <v>-46.378117719999999</v>
      </c>
      <c r="G2651" s="11">
        <v>-7.82828283</v>
      </c>
      <c r="H2651" s="11">
        <v>-9.9669948349999995</v>
      </c>
      <c r="I2651" s="11">
        <v>52.244557979200003</v>
      </c>
      <c r="J2651" s="11">
        <v>-4.9983367572999997</v>
      </c>
      <c r="K2651" s="10">
        <v>0.97818481959600001</v>
      </c>
      <c r="L2651" s="12">
        <v>2206613430</v>
      </c>
      <c r="M2651">
        <v>-45.5493323995167</v>
      </c>
      <c r="N2651" s="7">
        <v>1.7186714618258501</v>
      </c>
      <c r="O2651" s="7">
        <v>1.23593552452766</v>
      </c>
      <c r="P2651" s="7">
        <v>-98.785550534629493</v>
      </c>
      <c r="Q2651" s="7" t="s">
        <v>3698</v>
      </c>
      <c r="U2651">
        <v>-0.28363853212260748</v>
      </c>
      <c r="AT2651" s="4" t="s">
        <v>7604</v>
      </c>
    </row>
    <row r="2652" spans="1:46">
      <c r="A2652" s="2">
        <v>3326</v>
      </c>
      <c r="B2652" t="s">
        <v>7887</v>
      </c>
      <c r="C2652" t="s">
        <v>2141</v>
      </c>
      <c r="D2652" t="s">
        <v>3728</v>
      </c>
      <c r="E2652" s="4">
        <v>43465</v>
      </c>
      <c r="F2652" s="11">
        <v>-24.726214689999999</v>
      </c>
      <c r="G2652" s="11">
        <v>-7.9449152500000002</v>
      </c>
      <c r="H2652" s="11">
        <v>51.443370908799999</v>
      </c>
      <c r="I2652" s="11">
        <v>23.644420462900001</v>
      </c>
      <c r="J2652" s="11">
        <v>7.6649983938000004</v>
      </c>
      <c r="K2652" s="10">
        <v>0.65718409273400002</v>
      </c>
      <c r="L2652" s="12">
        <v>4250186409.1500001</v>
      </c>
      <c r="M2652">
        <v>54.034850459394399</v>
      </c>
      <c r="N2652" s="7">
        <v>3.2521472545484502</v>
      </c>
      <c r="O2652" s="7">
        <v>2.4814762898712499</v>
      </c>
      <c r="P2652" s="7">
        <v>-58.252906279751798</v>
      </c>
      <c r="Q2652" s="7">
        <v>0.89552238805970152</v>
      </c>
      <c r="U2652">
        <v>0.46044863116666668</v>
      </c>
      <c r="AT2652" s="4" t="s">
        <v>4384</v>
      </c>
    </row>
    <row r="2653" spans="1:46">
      <c r="A2653" s="2">
        <v>2356</v>
      </c>
      <c r="B2653" t="s">
        <v>7888</v>
      </c>
      <c r="C2653" t="s">
        <v>1171</v>
      </c>
      <c r="D2653" t="s">
        <v>3972</v>
      </c>
      <c r="E2653" s="4">
        <v>43465</v>
      </c>
      <c r="F2653" s="11">
        <v>-45.432223159999999</v>
      </c>
      <c r="G2653" s="11">
        <v>-7.9787233999999998</v>
      </c>
      <c r="H2653" s="11">
        <v>13.120981608799999</v>
      </c>
      <c r="I2653" s="11">
        <v>7.3013086872999997</v>
      </c>
      <c r="J2653" s="11">
        <v>-5.3834890991000002</v>
      </c>
      <c r="K2653" s="10">
        <v>0.33706436350899999</v>
      </c>
      <c r="L2653" s="12">
        <v>3350035328</v>
      </c>
      <c r="M2653">
        <v>107.33955794408701</v>
      </c>
      <c r="N2653" s="7">
        <v>0.65699765885094197</v>
      </c>
      <c r="O2653" s="7">
        <v>0.47103403590747001</v>
      </c>
      <c r="P2653" s="7">
        <v>-2.2361847626214102</v>
      </c>
      <c r="Q2653" s="7" t="s">
        <v>3698</v>
      </c>
      <c r="U2653">
        <v>-0.21369768450301224</v>
      </c>
      <c r="AT2653" s="4" t="s">
        <v>4024</v>
      </c>
    </row>
    <row r="2654" spans="1:46">
      <c r="A2654" s="2">
        <v>2813</v>
      </c>
      <c r="B2654" t="s">
        <v>7889</v>
      </c>
      <c r="C2654" t="s">
        <v>486</v>
      </c>
      <c r="D2654" t="s">
        <v>3778</v>
      </c>
      <c r="E2654" s="4">
        <v>43465</v>
      </c>
      <c r="F2654" s="11">
        <v>-21.958225469999999</v>
      </c>
      <c r="G2654" s="11">
        <v>-7.9900124799999999</v>
      </c>
      <c r="H2654" s="11">
        <v>20.583547061299999</v>
      </c>
      <c r="I2654" s="11">
        <v>11.3712533713</v>
      </c>
      <c r="J2654" s="11">
        <v>20.810792851999999</v>
      </c>
      <c r="K2654" s="10">
        <v>0.461613185802</v>
      </c>
      <c r="L2654" s="12">
        <v>2259386393.48</v>
      </c>
      <c r="M2654">
        <v>10.458447837109199</v>
      </c>
      <c r="N2654" s="7">
        <v>1.24224989247476</v>
      </c>
      <c r="O2654" s="7">
        <v>1.6222822296803301</v>
      </c>
      <c r="P2654" s="7">
        <v>-36.967749046902902</v>
      </c>
      <c r="Q2654" s="7">
        <v>2.8901734104046244</v>
      </c>
      <c r="U2654">
        <v>1.0701607234720827</v>
      </c>
      <c r="AT2654" s="4" t="s">
        <v>6741</v>
      </c>
    </row>
    <row r="2655" spans="1:46">
      <c r="A2655" s="2">
        <v>2229</v>
      </c>
      <c r="B2655" t="s">
        <v>7890</v>
      </c>
      <c r="C2655" t="s">
        <v>2690</v>
      </c>
      <c r="D2655" t="s">
        <v>3871</v>
      </c>
      <c r="E2655" s="4">
        <v>43465</v>
      </c>
      <c r="F2655" s="11">
        <v>-33.068370850000001</v>
      </c>
      <c r="G2655" s="11">
        <v>-8.0178173699999995</v>
      </c>
      <c r="H2655" s="11">
        <v>52.632497508299998</v>
      </c>
      <c r="I2655" s="11">
        <v>20.920799858999999</v>
      </c>
      <c r="J2655" s="11">
        <v>1.8759090755000001</v>
      </c>
      <c r="K2655" s="10">
        <v>0.21930415980500001</v>
      </c>
      <c r="L2655" s="12">
        <v>27962714416</v>
      </c>
      <c r="M2655">
        <v>-69.536380970892196</v>
      </c>
      <c r="N2655" s="7">
        <v>1.71066325013125</v>
      </c>
      <c r="O2655" s="7">
        <v>5.0999225660085097</v>
      </c>
      <c r="P2655" s="7">
        <v>-24.560377684632101</v>
      </c>
      <c r="Q2655" s="7" t="s">
        <v>3698</v>
      </c>
      <c r="U2655">
        <v>2.2687921933056007E-2</v>
      </c>
      <c r="AT2655" s="4" t="s">
        <v>7891</v>
      </c>
    </row>
    <row r="2656" spans="1:46">
      <c r="A2656" s="2">
        <v>3356</v>
      </c>
      <c r="B2656" t="s">
        <v>7892</v>
      </c>
      <c r="C2656" t="s">
        <v>1618</v>
      </c>
      <c r="D2656" t="s">
        <v>3761</v>
      </c>
      <c r="E2656" s="4">
        <v>43465</v>
      </c>
      <c r="F2656" s="11">
        <v>-32.622481479999998</v>
      </c>
      <c r="G2656" s="11">
        <v>-8.03522289</v>
      </c>
      <c r="H2656" s="11">
        <v>-2.8640702544000001</v>
      </c>
      <c r="I2656" s="11">
        <v>14.586774737400001</v>
      </c>
      <c r="J2656" s="11">
        <v>6.7468359663999999</v>
      </c>
      <c r="K2656" s="10">
        <v>0.88229353245099995</v>
      </c>
      <c r="L2656" s="12">
        <v>3094729358.2399998</v>
      </c>
      <c r="M2656">
        <v>47.994609621585603</v>
      </c>
      <c r="N2656" s="7">
        <v>2.9303486627519302</v>
      </c>
      <c r="O2656" s="7">
        <v>2.8050689035382499</v>
      </c>
      <c r="P2656" s="7">
        <v>-16.133479860645998</v>
      </c>
      <c r="Q2656" s="7">
        <v>0.81967213114754101</v>
      </c>
      <c r="U2656">
        <v>0.42832828659999994</v>
      </c>
      <c r="AT2656" s="4" t="s">
        <v>7893</v>
      </c>
    </row>
    <row r="2657" spans="1:46">
      <c r="A2657" s="2">
        <v>3261</v>
      </c>
      <c r="B2657" t="s">
        <v>7894</v>
      </c>
      <c r="C2657" t="s">
        <v>2848</v>
      </c>
      <c r="D2657" t="s">
        <v>3849</v>
      </c>
      <c r="E2657" s="4">
        <v>43465</v>
      </c>
      <c r="F2657" s="11">
        <v>-11.26821269</v>
      </c>
      <c r="G2657" s="11">
        <v>-8.0368098200000002</v>
      </c>
      <c r="H2657" s="11">
        <v>28.411399046500001</v>
      </c>
      <c r="I2657" s="11">
        <v>23.600184877899999</v>
      </c>
      <c r="J2657" s="11">
        <v>9.8778282225999998</v>
      </c>
      <c r="K2657" s="10">
        <v>0.81761558801400003</v>
      </c>
      <c r="L2657" s="12">
        <v>5412455670</v>
      </c>
      <c r="M2657">
        <v>26.538950894233899</v>
      </c>
      <c r="N2657" s="7">
        <v>3.1353622423787502</v>
      </c>
      <c r="O2657" s="7">
        <v>1.80873450930862</v>
      </c>
      <c r="P2657" s="7">
        <v>-65.706987775146601</v>
      </c>
      <c r="Q2657" s="7">
        <v>1.7184098980410127</v>
      </c>
      <c r="U2657">
        <v>0.94458637367582265</v>
      </c>
      <c r="AT2657" s="4" t="s">
        <v>5481</v>
      </c>
    </row>
    <row r="2658" spans="1:46">
      <c r="A2658" s="2">
        <v>861</v>
      </c>
      <c r="B2658" t="s">
        <v>7895</v>
      </c>
      <c r="C2658" t="s">
        <v>2652</v>
      </c>
      <c r="D2658" t="s">
        <v>3761</v>
      </c>
      <c r="E2658" s="4">
        <v>43465</v>
      </c>
      <c r="F2658" s="11">
        <v>-36.08955744</v>
      </c>
      <c r="G2658" s="11">
        <v>-8.0592105299999997</v>
      </c>
      <c r="H2658" s="11">
        <v>15.1358667275</v>
      </c>
      <c r="I2658" s="11">
        <v>24.555671419199999</v>
      </c>
      <c r="J2658" s="11">
        <v>4.1893215898999996</v>
      </c>
      <c r="K2658" s="10">
        <v>0.78619992468800004</v>
      </c>
      <c r="L2658" s="12">
        <v>1685215318.0799999</v>
      </c>
      <c r="M2658">
        <v>25.092259997131102</v>
      </c>
      <c r="N2658" s="7">
        <v>1.7788173912804099</v>
      </c>
      <c r="O2658" s="7">
        <v>1.20574555617183</v>
      </c>
      <c r="P2658" s="7">
        <v>12.295866188532999</v>
      </c>
      <c r="Q2658" s="7">
        <v>1.1278195488721803</v>
      </c>
      <c r="U2658">
        <v>0.20450364022489967</v>
      </c>
      <c r="AT2658" s="4" t="s">
        <v>7018</v>
      </c>
    </row>
    <row r="2659" spans="1:46">
      <c r="A2659" s="2">
        <v>1300</v>
      </c>
      <c r="B2659" t="s">
        <v>7896</v>
      </c>
      <c r="C2659" t="s">
        <v>2025</v>
      </c>
      <c r="D2659" t="s">
        <v>3718</v>
      </c>
      <c r="E2659" s="4">
        <v>43465</v>
      </c>
      <c r="F2659" s="11">
        <v>-9.7864565700000004</v>
      </c>
      <c r="G2659" s="11">
        <v>-8.0974325199999999</v>
      </c>
      <c r="H2659" s="11">
        <v>17.819329692499998</v>
      </c>
      <c r="I2659" s="11">
        <v>28.9228521022</v>
      </c>
      <c r="J2659" s="11">
        <v>12.622067962399999</v>
      </c>
      <c r="K2659" s="10">
        <v>0.84857274013799999</v>
      </c>
      <c r="L2659" s="12">
        <v>2108546515.04</v>
      </c>
      <c r="M2659">
        <v>39.241719193234204</v>
      </c>
      <c r="N2659" s="7">
        <v>4.7870928962241699</v>
      </c>
      <c r="O2659" s="7">
        <v>4.7285414900686904</v>
      </c>
      <c r="P2659" s="7">
        <v>-425.91584886162201</v>
      </c>
      <c r="Q2659" s="7">
        <v>3.7593984962406015</v>
      </c>
      <c r="U2659">
        <v>0.40666313674999999</v>
      </c>
      <c r="AT2659" s="4" t="s">
        <v>6014</v>
      </c>
    </row>
    <row r="2660" spans="1:46">
      <c r="A2660" s="2">
        <v>110</v>
      </c>
      <c r="B2660" t="s">
        <v>7897</v>
      </c>
      <c r="C2660" t="s">
        <v>2429</v>
      </c>
      <c r="D2660" t="s">
        <v>3858</v>
      </c>
      <c r="E2660" s="4">
        <v>43465</v>
      </c>
      <c r="F2660" s="11">
        <v>-27.919246449999999</v>
      </c>
      <c r="G2660" s="11">
        <v>-8.1027667999999995</v>
      </c>
      <c r="H2660" s="11">
        <v>19.246708874399999</v>
      </c>
      <c r="I2660" s="11">
        <v>10.7308402087</v>
      </c>
      <c r="J2660" s="11">
        <v>4.5847919467000002</v>
      </c>
      <c r="K2660" s="10">
        <v>0.71141578343099998</v>
      </c>
      <c r="L2660" s="12">
        <v>5071830544.2200003</v>
      </c>
      <c r="M2660">
        <v>12.6600079656824</v>
      </c>
      <c r="N2660" s="7">
        <v>1.13342001139294</v>
      </c>
      <c r="O2660" s="7">
        <v>0.38058562849490302</v>
      </c>
      <c r="P2660" s="7">
        <v>38.951576652786002</v>
      </c>
      <c r="Q2660" s="7">
        <v>1.6375545851528384</v>
      </c>
      <c r="U2660">
        <v>0.59244358280182574</v>
      </c>
      <c r="AT2660" s="4" t="s">
        <v>7580</v>
      </c>
    </row>
    <row r="2661" spans="1:46">
      <c r="A2661" s="2">
        <v>1775</v>
      </c>
      <c r="B2661" t="s">
        <v>7898</v>
      </c>
      <c r="C2661" t="s">
        <v>2435</v>
      </c>
      <c r="D2661" t="s">
        <v>3713</v>
      </c>
      <c r="E2661" s="4">
        <v>43465</v>
      </c>
      <c r="F2661" s="11">
        <v>-47.315096250000003</v>
      </c>
      <c r="G2661" s="11">
        <v>-8.1128747800000003</v>
      </c>
      <c r="H2661" s="11">
        <v>-1.0529811392999999</v>
      </c>
      <c r="I2661" s="11">
        <v>28.892484571099999</v>
      </c>
      <c r="J2661" s="11">
        <v>-58.803431829300003</v>
      </c>
      <c r="K2661" s="10">
        <v>0.37583436677999998</v>
      </c>
      <c r="L2661" s="12">
        <v>2382268551.7199998</v>
      </c>
      <c r="M2661">
        <v>-10.0002139269625</v>
      </c>
      <c r="N2661" s="7">
        <v>4.7316366019536797</v>
      </c>
      <c r="O2661" s="7">
        <v>2.8933812488433599</v>
      </c>
      <c r="P2661" s="7">
        <v>-37.787113714259199</v>
      </c>
      <c r="Q2661" s="7" t="s">
        <v>3698</v>
      </c>
      <c r="U2661">
        <v>-1.2625321389810118</v>
      </c>
      <c r="AT2661" s="4" t="s">
        <v>7899</v>
      </c>
    </row>
    <row r="2662" spans="1:46">
      <c r="A2662" s="2">
        <v>169</v>
      </c>
      <c r="B2662" t="s">
        <v>7900</v>
      </c>
      <c r="C2662" t="s">
        <v>1661</v>
      </c>
      <c r="D2662" t="s">
        <v>3871</v>
      </c>
      <c r="E2662" s="4">
        <v>43465</v>
      </c>
      <c r="F2662" s="11">
        <v>-40.264458840000003</v>
      </c>
      <c r="G2662" s="11">
        <v>-8.1370449699999998</v>
      </c>
      <c r="H2662" s="11">
        <v>710.909459029</v>
      </c>
      <c r="I2662" s="11">
        <v>30.195760539999998</v>
      </c>
      <c r="J2662" s="11">
        <v>6.5083598551000001</v>
      </c>
      <c r="K2662" s="10">
        <v>0.60235624393599996</v>
      </c>
      <c r="L2662" s="12">
        <v>4359243619.2299995</v>
      </c>
      <c r="M2662">
        <v>20.015099735872798</v>
      </c>
      <c r="N2662" s="7">
        <v>2.2538554258142498</v>
      </c>
      <c r="O2662" s="7">
        <v>1.25132393852742</v>
      </c>
      <c r="P2662" s="7">
        <v>6.7556810889559804</v>
      </c>
      <c r="Q2662" s="7">
        <v>1.5981735159817352</v>
      </c>
      <c r="U2662">
        <v>0.2678863635146273</v>
      </c>
      <c r="AT2662" s="4" t="s">
        <v>3966</v>
      </c>
    </row>
    <row r="2663" spans="1:46">
      <c r="A2663" s="2">
        <v>2131</v>
      </c>
      <c r="B2663" t="s">
        <v>7901</v>
      </c>
      <c r="C2663" t="s">
        <v>1006</v>
      </c>
      <c r="D2663" t="s">
        <v>3752</v>
      </c>
      <c r="E2663" s="4">
        <v>43465</v>
      </c>
      <c r="F2663" s="11">
        <v>-39.309948800000001</v>
      </c>
      <c r="G2663" s="11">
        <v>-8.1777777799999996</v>
      </c>
      <c r="H2663" s="11">
        <v>44.132627132000003</v>
      </c>
      <c r="I2663" s="11">
        <v>17.069803148399998</v>
      </c>
      <c r="J2663" s="11">
        <v>4.7221065619000004</v>
      </c>
      <c r="K2663" s="10">
        <v>0.88954813754299999</v>
      </c>
      <c r="L2663" s="12">
        <v>6194912415.1499996</v>
      </c>
      <c r="M2663">
        <v>32.080985290769398</v>
      </c>
      <c r="N2663" s="7">
        <v>2.17259221594305</v>
      </c>
      <c r="O2663" s="7">
        <v>1.78997041906295</v>
      </c>
      <c r="P2663" s="7">
        <v>20.7203930412864</v>
      </c>
      <c r="Q2663" s="7">
        <v>0.69473684210526321</v>
      </c>
      <c r="U2663">
        <v>0.34685561261092362</v>
      </c>
      <c r="AT2663" s="4" t="s">
        <v>6204</v>
      </c>
    </row>
    <row r="2664" spans="1:46">
      <c r="A2664" s="2">
        <v>2884</v>
      </c>
      <c r="B2664" t="s">
        <v>7902</v>
      </c>
      <c r="C2664" t="s">
        <v>2399</v>
      </c>
      <c r="D2664" t="s">
        <v>3781</v>
      </c>
      <c r="E2664" s="4">
        <v>43465</v>
      </c>
      <c r="F2664" s="11">
        <v>-26.294739629999999</v>
      </c>
      <c r="G2664" s="11">
        <v>-8.1967213099999991</v>
      </c>
      <c r="H2664" s="11">
        <v>82.089552622599996</v>
      </c>
      <c r="I2664" s="11">
        <v>6.8242182965999998</v>
      </c>
      <c r="J2664" s="11">
        <v>4.4487014681000003</v>
      </c>
      <c r="K2664" s="10">
        <v>0.29730892451399998</v>
      </c>
      <c r="L2664" s="12">
        <v>3164257393.9899998</v>
      </c>
      <c r="M2664">
        <v>13.275942752171</v>
      </c>
      <c r="N2664" s="7">
        <v>0.667443154768251</v>
      </c>
      <c r="O2664" s="7">
        <v>1.2850982511312199</v>
      </c>
      <c r="P2664" s="7">
        <v>-7.2735609298775596</v>
      </c>
      <c r="Q2664" s="7" t="s">
        <v>3698</v>
      </c>
      <c r="U2664">
        <v>0.17651769995332045</v>
      </c>
      <c r="AT2664" s="4" t="s">
        <v>3847</v>
      </c>
    </row>
    <row r="2665" spans="1:46">
      <c r="A2665" s="2">
        <v>1851</v>
      </c>
      <c r="B2665" t="s">
        <v>7903</v>
      </c>
      <c r="C2665" t="s">
        <v>1378</v>
      </c>
      <c r="D2665" t="s">
        <v>3889</v>
      </c>
      <c r="E2665" s="4">
        <v>43465</v>
      </c>
      <c r="F2665" s="11">
        <v>-68.359598849999998</v>
      </c>
      <c r="G2665" s="11">
        <v>-8.2111436999999992</v>
      </c>
      <c r="H2665" s="11">
        <v>-68.520979978400007</v>
      </c>
      <c r="I2665" s="11">
        <v>8.6879210303000001</v>
      </c>
      <c r="J2665" s="11">
        <v>-256.18002648769999</v>
      </c>
      <c r="K2665" s="10">
        <v>0.12863500033399999</v>
      </c>
      <c r="L2665" s="12">
        <v>137696550810</v>
      </c>
      <c r="M2665">
        <v>16.2730651164233</v>
      </c>
      <c r="N2665" s="7">
        <v>10.4979007194388</v>
      </c>
      <c r="O2665" s="7">
        <v>2.15624554033805</v>
      </c>
      <c r="P2665" s="7">
        <v>-54.825368974642799</v>
      </c>
      <c r="Q2665" s="7" t="s">
        <v>3698</v>
      </c>
      <c r="U2665">
        <v>-2.3186106687999999</v>
      </c>
      <c r="AT2665" s="4" t="s">
        <v>3746</v>
      </c>
    </row>
    <row r="2666" spans="1:46">
      <c r="A2666" s="2">
        <v>876</v>
      </c>
      <c r="B2666" t="s">
        <v>7904</v>
      </c>
      <c r="C2666" t="s">
        <v>682</v>
      </c>
      <c r="D2666" t="s">
        <v>3737</v>
      </c>
      <c r="E2666" s="4">
        <v>43465</v>
      </c>
      <c r="F2666" s="11">
        <v>-54.729731319999999</v>
      </c>
      <c r="G2666" s="11">
        <v>-8.2375478900000001</v>
      </c>
      <c r="H2666" s="11">
        <v>7.7871253401000002</v>
      </c>
      <c r="I2666" s="11">
        <v>34.815299279800001</v>
      </c>
      <c r="J2666" s="11">
        <v>17.794112278699998</v>
      </c>
      <c r="K2666" s="10">
        <v>0.57305057867999998</v>
      </c>
      <c r="L2666" s="12">
        <v>3748160000</v>
      </c>
      <c r="M2666">
        <v>18.855880082131701</v>
      </c>
      <c r="N2666" s="7">
        <v>1.95813541480505</v>
      </c>
      <c r="O2666" s="7">
        <v>3.0290533734292602</v>
      </c>
      <c r="P2666" s="7">
        <v>91.042943763494804</v>
      </c>
      <c r="Q2666" s="7">
        <v>1.2251934306569343</v>
      </c>
      <c r="U2666">
        <v>0.60602270219643173</v>
      </c>
      <c r="AT2666" s="4" t="s">
        <v>5542</v>
      </c>
    </row>
    <row r="2667" spans="1:46">
      <c r="A2667" s="2">
        <v>1876</v>
      </c>
      <c r="B2667" t="s">
        <v>7905</v>
      </c>
      <c r="C2667" t="s">
        <v>1259</v>
      </c>
      <c r="D2667" t="s">
        <v>3737</v>
      </c>
      <c r="E2667" s="4">
        <v>43465</v>
      </c>
      <c r="F2667" s="11">
        <v>150.14556146999999</v>
      </c>
      <c r="G2667" s="11">
        <v>-8.2506527399999996</v>
      </c>
      <c r="H2667" s="11">
        <v>11.9116243866</v>
      </c>
      <c r="I2667" s="11">
        <v>49.754355564199997</v>
      </c>
      <c r="J2667" s="11">
        <v>17.057314994799999</v>
      </c>
      <c r="K2667" s="10">
        <v>0.44665674119799997</v>
      </c>
      <c r="L2667" s="12">
        <v>3011249248</v>
      </c>
      <c r="M2667">
        <v>49.794227525179103</v>
      </c>
      <c r="N2667" s="7">
        <v>7.6636480080078</v>
      </c>
      <c r="O2667" s="7">
        <v>7.7880476984510203</v>
      </c>
      <c r="P2667" s="7">
        <v>-757.70372291589194</v>
      </c>
      <c r="Q2667" s="7">
        <v>0.20134117822270906</v>
      </c>
      <c r="U2667">
        <v>0.4381054964899237</v>
      </c>
      <c r="AT2667" s="4" t="s">
        <v>6098</v>
      </c>
    </row>
    <row r="2668" spans="1:46">
      <c r="A2668" s="2">
        <v>375</v>
      </c>
      <c r="B2668" t="s">
        <v>7906</v>
      </c>
      <c r="C2668" t="s">
        <v>1875</v>
      </c>
      <c r="D2668" t="s">
        <v>3778</v>
      </c>
      <c r="E2668" s="4">
        <v>43465</v>
      </c>
      <c r="F2668" s="11">
        <v>-31.99480732</v>
      </c>
      <c r="G2668" s="11">
        <v>-8.2672706700000003</v>
      </c>
      <c r="H2668" s="11">
        <v>26.6353035327</v>
      </c>
      <c r="I2668" s="11">
        <v>8.4296323541000007</v>
      </c>
      <c r="J2668" s="11">
        <v>2.3151350131999999</v>
      </c>
      <c r="K2668" s="10">
        <v>2.3909570303669998</v>
      </c>
      <c r="L2668" s="12">
        <v>8727120000</v>
      </c>
      <c r="M2668">
        <v>93.473914436091604</v>
      </c>
      <c r="N2668" s="7">
        <v>3.2674715475668599</v>
      </c>
      <c r="O2668" s="7">
        <v>1.1978359563741801</v>
      </c>
      <c r="P2668" s="7">
        <v>-89.823747937136204</v>
      </c>
      <c r="Q2668" s="7">
        <v>0.24769335562573538</v>
      </c>
      <c r="U2668">
        <v>0.19191418698664139</v>
      </c>
      <c r="AT2668" s="4" t="s">
        <v>7224</v>
      </c>
    </row>
    <row r="2669" spans="1:46">
      <c r="A2669" s="2">
        <v>1203</v>
      </c>
      <c r="B2669" t="s">
        <v>7907</v>
      </c>
      <c r="C2669" t="s">
        <v>2311</v>
      </c>
      <c r="D2669" t="s">
        <v>3761</v>
      </c>
      <c r="E2669" s="4">
        <v>43465</v>
      </c>
      <c r="F2669" s="11">
        <v>-62.409200929999997</v>
      </c>
      <c r="G2669" s="11">
        <v>-8.2706766900000002</v>
      </c>
      <c r="H2669" s="11">
        <v>16.609122345300001</v>
      </c>
      <c r="I2669" s="11">
        <v>17.431914736900001</v>
      </c>
      <c r="J2669" s="11">
        <v>-12.299690761900001</v>
      </c>
      <c r="K2669" s="10">
        <v>0.99086557216100002</v>
      </c>
      <c r="L2669" s="12">
        <v>6985491616.6899996</v>
      </c>
      <c r="M2669">
        <v>216.20391101602701</v>
      </c>
      <c r="N2669" s="7">
        <v>2.5509575131653599</v>
      </c>
      <c r="O2669" s="7">
        <v>0.97657449411387698</v>
      </c>
      <c r="P2669" s="7">
        <v>26.672034285783798</v>
      </c>
      <c r="Q2669" s="7" t="s">
        <v>3698</v>
      </c>
      <c r="U2669">
        <v>-0.51037661486661479</v>
      </c>
      <c r="AT2669" s="4" t="s">
        <v>4879</v>
      </c>
    </row>
    <row r="2670" spans="1:46">
      <c r="A2670" s="2">
        <v>2009</v>
      </c>
      <c r="B2670" t="s">
        <v>7908</v>
      </c>
      <c r="C2670" t="s">
        <v>3561</v>
      </c>
      <c r="D2670" t="s">
        <v>3713</v>
      </c>
      <c r="E2670" s="4">
        <v>43465</v>
      </c>
      <c r="F2670" s="11">
        <v>-44.571513199999998</v>
      </c>
      <c r="G2670" s="11">
        <v>-8.2872928199999993</v>
      </c>
      <c r="H2670" s="11">
        <v>-18.4557507767</v>
      </c>
      <c r="I2670" s="11">
        <v>22.484255484399998</v>
      </c>
      <c r="J2670" s="11">
        <v>3.1281346350999999</v>
      </c>
      <c r="K2670" s="10">
        <v>0.61880491351599998</v>
      </c>
      <c r="L2670" s="12">
        <v>3166959556.8000002</v>
      </c>
      <c r="M2670">
        <v>43.024747746714297</v>
      </c>
      <c r="N2670" s="7">
        <v>4.4944078746212899</v>
      </c>
      <c r="O2670" s="7">
        <v>2.1277834487326199</v>
      </c>
      <c r="P2670" s="7">
        <v>-80.468203628223407</v>
      </c>
      <c r="Q2670" s="7">
        <v>0.14492753623188409</v>
      </c>
      <c r="U2670">
        <v>0.13754784164310893</v>
      </c>
      <c r="AT2670" s="4" t="s">
        <v>6826</v>
      </c>
    </row>
    <row r="2671" spans="1:46">
      <c r="A2671" s="2">
        <v>2412</v>
      </c>
      <c r="B2671" t="s">
        <v>7909</v>
      </c>
      <c r="C2671" t="s">
        <v>1666</v>
      </c>
      <c r="D2671" t="s">
        <v>3764</v>
      </c>
      <c r="E2671" s="4">
        <v>43465</v>
      </c>
      <c r="F2671" s="11">
        <v>-14.6122449</v>
      </c>
      <c r="G2671" s="11">
        <v>-8.3035714299999999</v>
      </c>
      <c r="H2671" s="11">
        <v>8.8102117697000004</v>
      </c>
      <c r="I2671" s="11">
        <v>38.056306545399998</v>
      </c>
      <c r="J2671" s="11">
        <v>8.5029355176999992</v>
      </c>
      <c r="K2671" s="10">
        <v>0.216208115029</v>
      </c>
      <c r="L2671" s="12">
        <v>1670489823.9000001</v>
      </c>
      <c r="M2671">
        <v>47.161749389516501</v>
      </c>
      <c r="N2671" s="7">
        <v>2.18491853689321</v>
      </c>
      <c r="O2671" s="7">
        <v>3.7889297149097598</v>
      </c>
      <c r="P2671" s="7">
        <v>36.382265028653002</v>
      </c>
      <c r="Q2671" s="7" t="s">
        <v>3698</v>
      </c>
      <c r="U2671">
        <v>0.16424698063935375</v>
      </c>
      <c r="AT2671" s="4" t="s">
        <v>4468</v>
      </c>
    </row>
    <row r="2672" spans="1:46">
      <c r="A2672" s="2">
        <v>1578</v>
      </c>
      <c r="B2672" t="s">
        <v>7910</v>
      </c>
      <c r="C2672" t="s">
        <v>2933</v>
      </c>
      <c r="D2672" t="s">
        <v>3718</v>
      </c>
      <c r="E2672" s="4">
        <v>43465</v>
      </c>
      <c r="F2672" s="11">
        <v>-47.073204539999999</v>
      </c>
      <c r="G2672" s="11">
        <v>-8.3449235000000002</v>
      </c>
      <c r="H2672" s="11">
        <v>22.1727907452</v>
      </c>
      <c r="I2672" s="11">
        <v>17.762007041</v>
      </c>
      <c r="J2672" s="11">
        <v>1.3355927889999999</v>
      </c>
      <c r="K2672" s="10">
        <v>0.83949484459599999</v>
      </c>
      <c r="L2672" s="12">
        <v>5899466721.9399996</v>
      </c>
      <c r="M2672">
        <v>145.53306918461399</v>
      </c>
      <c r="N2672" s="7">
        <v>2.4017042134847499</v>
      </c>
      <c r="O2672" s="7">
        <v>1.9409077650109401</v>
      </c>
      <c r="P2672" s="7">
        <v>-96.034220291779306</v>
      </c>
      <c r="Q2672" s="7">
        <v>0.81037277147487841</v>
      </c>
      <c r="U2672">
        <v>5.6395469093749998E-2</v>
      </c>
      <c r="AT2672" s="4" t="s">
        <v>5292</v>
      </c>
    </row>
    <row r="2673" spans="1:46">
      <c r="A2673" s="2">
        <v>2926</v>
      </c>
      <c r="B2673" t="s">
        <v>7911</v>
      </c>
      <c r="C2673" t="s">
        <v>3306</v>
      </c>
      <c r="D2673" t="s">
        <v>3858</v>
      </c>
      <c r="E2673" s="4">
        <v>43465</v>
      </c>
      <c r="F2673" s="11">
        <v>-13.48713371</v>
      </c>
      <c r="G2673" s="11">
        <v>-8.3815028900000001</v>
      </c>
      <c r="H2673" s="11">
        <v>4.3860693093999998</v>
      </c>
      <c r="I2673" s="11">
        <v>7.4462323767000003</v>
      </c>
      <c r="J2673" s="11">
        <v>1.4048364916</v>
      </c>
      <c r="K2673" s="10">
        <v>0.74636921935</v>
      </c>
      <c r="L2673" s="12">
        <v>4488030000</v>
      </c>
      <c r="M2673">
        <v>12.669073412283501</v>
      </c>
      <c r="N2673" s="7">
        <v>1.44292379135605</v>
      </c>
      <c r="O2673" s="7">
        <v>0.20479970510972001</v>
      </c>
      <c r="P2673" s="7">
        <v>12.431030487614001</v>
      </c>
      <c r="Q2673" s="7">
        <v>0.49950049973909022</v>
      </c>
      <c r="U2673">
        <v>0.22709228815396379</v>
      </c>
      <c r="AT2673" s="4" t="s">
        <v>6444</v>
      </c>
    </row>
    <row r="2674" spans="1:46">
      <c r="A2674" s="2">
        <v>1488</v>
      </c>
      <c r="B2674" t="s">
        <v>7912</v>
      </c>
      <c r="C2674" t="s">
        <v>2120</v>
      </c>
      <c r="D2674" t="s">
        <v>3889</v>
      </c>
      <c r="E2674" s="4">
        <v>43465</v>
      </c>
      <c r="F2674" s="11">
        <v>-43.090909089999997</v>
      </c>
      <c r="G2674" s="11">
        <v>-8.4084084099999998</v>
      </c>
      <c r="H2674" s="11">
        <v>15.8751623464</v>
      </c>
      <c r="I2674" s="11">
        <v>7.7086934218999996</v>
      </c>
      <c r="J2674" s="11">
        <v>-11.362031924</v>
      </c>
      <c r="K2674" s="10">
        <v>2.628236075117</v>
      </c>
      <c r="L2674" s="12">
        <v>4636931053.8100004</v>
      </c>
      <c r="M2674">
        <v>-6.3656441011709903</v>
      </c>
      <c r="N2674" s="7">
        <v>2.6881316382945499</v>
      </c>
      <c r="O2674" s="7">
        <v>0.30485443410131402</v>
      </c>
      <c r="P2674" s="7">
        <v>-18.897765207512499</v>
      </c>
      <c r="Q2674" s="7" t="s">
        <v>3698</v>
      </c>
      <c r="U2674">
        <v>-1.2468481379166894</v>
      </c>
      <c r="AT2674" s="4" t="s">
        <v>4980</v>
      </c>
    </row>
    <row r="2675" spans="1:46">
      <c r="A2675" s="2">
        <v>2650</v>
      </c>
      <c r="B2675" t="s">
        <v>7913</v>
      </c>
      <c r="C2675" t="s">
        <v>1091</v>
      </c>
      <c r="D2675" t="s">
        <v>3718</v>
      </c>
      <c r="E2675" s="4">
        <v>43465</v>
      </c>
      <c r="F2675" s="11">
        <v>-25.082293400000001</v>
      </c>
      <c r="G2675" s="11">
        <v>-8.4175084200000008</v>
      </c>
      <c r="H2675" s="11">
        <v>4.8799788612999997</v>
      </c>
      <c r="I2675" s="11">
        <v>9.8389505028999995</v>
      </c>
      <c r="J2675" s="11">
        <v>4.3284405308</v>
      </c>
      <c r="K2675" s="10">
        <v>2.087315697402</v>
      </c>
      <c r="L2675" s="12">
        <v>26568947793.25</v>
      </c>
      <c r="M2675">
        <v>17.223461412288501</v>
      </c>
      <c r="N2675" s="7">
        <v>1.8871204607293499</v>
      </c>
      <c r="O2675" s="7">
        <v>0.46775963149715799</v>
      </c>
      <c r="P2675" s="7">
        <v>-209.82363949887201</v>
      </c>
      <c r="Q2675" s="7">
        <v>1.4981273408239701</v>
      </c>
      <c r="U2675">
        <v>0.22369579490705094</v>
      </c>
      <c r="AT2675" s="4" t="s">
        <v>7914</v>
      </c>
    </row>
    <row r="2676" spans="1:46">
      <c r="A2676" s="2">
        <v>2521</v>
      </c>
      <c r="B2676" t="s">
        <v>7915</v>
      </c>
      <c r="C2676" t="s">
        <v>241</v>
      </c>
      <c r="D2676" t="s">
        <v>3778</v>
      </c>
      <c r="E2676" s="4">
        <v>43465</v>
      </c>
      <c r="F2676" s="11">
        <v>-24.444444440000002</v>
      </c>
      <c r="G2676" s="11">
        <v>-8.4615384599999999</v>
      </c>
      <c r="H2676" s="11">
        <v>39.572090504099997</v>
      </c>
      <c r="I2676" s="11">
        <v>15.3505689765</v>
      </c>
      <c r="J2676" s="11">
        <v>10.199762056000001</v>
      </c>
      <c r="K2676" s="10">
        <v>1.648360673015</v>
      </c>
      <c r="L2676" s="12">
        <v>36560301571.919998</v>
      </c>
      <c r="M2676">
        <v>9.8296185988387794</v>
      </c>
      <c r="N2676" s="7">
        <v>1.7537717043269601</v>
      </c>
      <c r="O2676" s="7">
        <v>0.31113790018828003</v>
      </c>
      <c r="P2676" s="7">
        <v>-144.305719558915</v>
      </c>
      <c r="Q2676" s="7" t="s">
        <v>3698</v>
      </c>
      <c r="U2676">
        <v>0.81470956869288835</v>
      </c>
      <c r="AT2676" s="4" t="s">
        <v>7916</v>
      </c>
    </row>
    <row r="2677" spans="1:46">
      <c r="A2677" s="2">
        <v>3563</v>
      </c>
      <c r="B2677" t="s">
        <v>7917</v>
      </c>
      <c r="C2677" t="s">
        <v>407</v>
      </c>
      <c r="D2677" t="s">
        <v>4060</v>
      </c>
      <c r="E2677" s="4">
        <v>43465</v>
      </c>
      <c r="F2677" s="11">
        <v>-37.507137399999998</v>
      </c>
      <c r="G2677" s="11">
        <v>-8.4712111199999995</v>
      </c>
      <c r="H2677" s="11">
        <v>17.7468914072</v>
      </c>
      <c r="I2677" s="11">
        <v>42.656155852300003</v>
      </c>
      <c r="J2677" s="11">
        <v>19.888455219800001</v>
      </c>
      <c r="K2677" s="10">
        <v>0.87473215234699997</v>
      </c>
      <c r="L2677" s="12">
        <v>1608464000</v>
      </c>
      <c r="M2677">
        <v>28.373639832725601</v>
      </c>
      <c r="N2677" s="7">
        <v>4.7094951368845503</v>
      </c>
      <c r="O2677" s="7">
        <v>4.8419315584415399</v>
      </c>
      <c r="P2677" s="7">
        <v>-93.512300275939197</v>
      </c>
      <c r="Q2677" s="7">
        <v>1.9098548510313216</v>
      </c>
      <c r="U2677">
        <v>0.64982681259351616</v>
      </c>
      <c r="AT2677" s="4" t="s">
        <v>4753</v>
      </c>
    </row>
    <row r="2678" spans="1:46">
      <c r="A2678" s="2">
        <v>2634</v>
      </c>
      <c r="B2678" t="s">
        <v>7918</v>
      </c>
      <c r="C2678" t="s">
        <v>408</v>
      </c>
      <c r="D2678" t="s">
        <v>3785</v>
      </c>
      <c r="E2678" s="4">
        <v>43465</v>
      </c>
      <c r="F2678" s="11">
        <v>-32.607799100000001</v>
      </c>
      <c r="G2678" s="11">
        <v>-8.4951456299999997</v>
      </c>
      <c r="H2678" s="11">
        <v>41.343963301099997</v>
      </c>
      <c r="I2678" s="11">
        <v>61.150241387900003</v>
      </c>
      <c r="J2678" s="11">
        <v>9.7796576121999994</v>
      </c>
      <c r="K2678" s="10">
        <v>0.85656061890900004</v>
      </c>
      <c r="L2678" s="12">
        <v>2084400000</v>
      </c>
      <c r="M2678">
        <v>30.822884968208999</v>
      </c>
      <c r="N2678" s="7">
        <v>3.8859815670428999</v>
      </c>
      <c r="O2678" s="7">
        <v>2.54338779202376</v>
      </c>
      <c r="P2678" s="7">
        <v>49.063438009304299</v>
      </c>
      <c r="Q2678" s="7">
        <v>1.4049877068273147</v>
      </c>
      <c r="U2678">
        <v>0.52607037614999808</v>
      </c>
      <c r="AT2678" s="4" t="s">
        <v>7919</v>
      </c>
    </row>
    <row r="2679" spans="1:46">
      <c r="A2679" s="2">
        <v>1683</v>
      </c>
      <c r="B2679" t="s">
        <v>7920</v>
      </c>
      <c r="C2679" t="s">
        <v>515</v>
      </c>
      <c r="D2679" t="s">
        <v>3849</v>
      </c>
      <c r="E2679" s="4">
        <v>43465</v>
      </c>
      <c r="F2679" s="11">
        <v>-23.811109720000001</v>
      </c>
      <c r="G2679" s="11">
        <v>-8.5036794800000006</v>
      </c>
      <c r="H2679" s="11">
        <v>12.097708225</v>
      </c>
      <c r="I2679" s="11">
        <v>38.170064467300001</v>
      </c>
      <c r="J2679" s="11">
        <v>20.442472889099999</v>
      </c>
      <c r="K2679" s="10">
        <v>0.48898220419900001</v>
      </c>
      <c r="L2679" s="12">
        <v>29074588170.900002</v>
      </c>
      <c r="M2679">
        <v>18.2059100112963</v>
      </c>
      <c r="N2679" s="7">
        <v>2.68624984178701</v>
      </c>
      <c r="O2679" s="7">
        <v>3.8658918592600799</v>
      </c>
      <c r="P2679" s="7">
        <v>66.667501737195096</v>
      </c>
      <c r="Q2679" s="7">
        <v>1.5511892450879008</v>
      </c>
      <c r="U2679">
        <v>0.63872758639506177</v>
      </c>
      <c r="AT2679" s="4" t="s">
        <v>7921</v>
      </c>
    </row>
    <row r="2680" spans="1:46">
      <c r="A2680" s="2">
        <v>2463</v>
      </c>
      <c r="B2680" t="s">
        <v>7922</v>
      </c>
      <c r="C2680" t="s">
        <v>3228</v>
      </c>
      <c r="D2680" t="s">
        <v>3778</v>
      </c>
      <c r="E2680" s="4">
        <v>43465</v>
      </c>
      <c r="F2680" s="11">
        <v>-40.237341890000003</v>
      </c>
      <c r="G2680" s="11">
        <v>-8.5399449000000001</v>
      </c>
      <c r="H2680" s="11">
        <v>5.8906353505000002</v>
      </c>
      <c r="I2680" s="11">
        <v>7.4938756422999999</v>
      </c>
      <c r="J2680" s="11">
        <v>1.6332847646999999</v>
      </c>
      <c r="K2680" s="10">
        <v>0.63375459245300003</v>
      </c>
      <c r="L2680" s="12">
        <v>11309718229.200001</v>
      </c>
      <c r="M2680">
        <v>41.5223514349738</v>
      </c>
      <c r="N2680" s="7">
        <v>0.863166286263788</v>
      </c>
      <c r="O2680" s="7">
        <v>0.34689844182609902</v>
      </c>
      <c r="P2680" s="7">
        <v>1.8231024328626</v>
      </c>
      <c r="Q2680" s="7">
        <v>1.614906832298137</v>
      </c>
      <c r="U2680">
        <v>0.17105354998780758</v>
      </c>
      <c r="AT2680" s="4" t="s">
        <v>5628</v>
      </c>
    </row>
    <row r="2681" spans="1:46">
      <c r="A2681" s="2">
        <v>1006</v>
      </c>
      <c r="B2681" t="s">
        <v>7923</v>
      </c>
      <c r="C2681" t="s">
        <v>2255</v>
      </c>
      <c r="D2681" t="s">
        <v>3785</v>
      </c>
      <c r="E2681" s="4">
        <v>43465</v>
      </c>
      <c r="F2681" s="11">
        <v>-27.40992056</v>
      </c>
      <c r="G2681" s="11">
        <v>-8.5714285700000001</v>
      </c>
      <c r="H2681" s="11">
        <v>11.1241251402</v>
      </c>
      <c r="I2681" s="11">
        <v>45.282268188300002</v>
      </c>
      <c r="J2681" s="11">
        <v>11.0339716111</v>
      </c>
      <c r="K2681" s="10">
        <v>0.25386982933500002</v>
      </c>
      <c r="L2681" s="12">
        <v>2597385620.52</v>
      </c>
      <c r="M2681">
        <v>94.540938784485704</v>
      </c>
      <c r="N2681" s="7">
        <v>2.5374948005275102</v>
      </c>
      <c r="O2681" s="7">
        <v>9.5161033351666706</v>
      </c>
      <c r="P2681" s="7">
        <v>-90.724826984161297</v>
      </c>
      <c r="Q2681" s="7" t="s">
        <v>3698</v>
      </c>
      <c r="U2681">
        <v>3.7615441272662913E-2</v>
      </c>
      <c r="AT2681" s="4" t="s">
        <v>5757</v>
      </c>
    </row>
    <row r="2682" spans="1:46">
      <c r="A2682" s="2">
        <v>900</v>
      </c>
      <c r="B2682" t="s">
        <v>7924</v>
      </c>
      <c r="C2682" t="s">
        <v>2920</v>
      </c>
      <c r="D2682" t="s">
        <v>3721</v>
      </c>
      <c r="E2682" s="4">
        <v>43465</v>
      </c>
      <c r="F2682" s="11">
        <v>-47.254809260000002</v>
      </c>
      <c r="G2682" s="11">
        <v>-8.5995086000000001</v>
      </c>
      <c r="H2682" s="11">
        <v>87.929926746600003</v>
      </c>
      <c r="I2682" s="11">
        <v>27.670254983500001</v>
      </c>
      <c r="J2682" s="11">
        <v>9.6977899253000004</v>
      </c>
      <c r="K2682" s="10">
        <v>0.35139665136699999</v>
      </c>
      <c r="L2682" s="12">
        <v>1684000000</v>
      </c>
      <c r="M2682">
        <v>61.488604508563</v>
      </c>
      <c r="N2682" s="7">
        <v>2.07711256600233</v>
      </c>
      <c r="O2682" s="7">
        <v>4.6228559400629203</v>
      </c>
      <c r="P2682" s="7">
        <v>-147.358348000197</v>
      </c>
      <c r="Q2682" s="7">
        <v>0.29211295034079843</v>
      </c>
      <c r="U2682">
        <v>0.25558387679142003</v>
      </c>
      <c r="AT2682" s="4" t="s">
        <v>3968</v>
      </c>
    </row>
    <row r="2683" spans="1:46">
      <c r="A2683" s="2">
        <v>2858</v>
      </c>
      <c r="B2683" t="s">
        <v>7925</v>
      </c>
      <c r="C2683" t="s">
        <v>326</v>
      </c>
      <c r="D2683" t="s">
        <v>3811</v>
      </c>
      <c r="E2683" s="4">
        <v>43465</v>
      </c>
      <c r="F2683" s="11">
        <v>-28.44211529</v>
      </c>
      <c r="G2683" s="11">
        <v>-8.62385321</v>
      </c>
      <c r="H2683" s="11">
        <v>2.5600437874000002</v>
      </c>
      <c r="I2683" s="11">
        <v>21.049267611099999</v>
      </c>
      <c r="J2683" s="11">
        <v>1.4743691876</v>
      </c>
      <c r="K2683" s="10">
        <v>1.606567236424</v>
      </c>
      <c r="L2683" s="12">
        <v>2210255735</v>
      </c>
      <c r="M2683">
        <v>20.590690585877901</v>
      </c>
      <c r="N2683" s="7">
        <v>1.7366200318334399</v>
      </c>
      <c r="O2683" s="7">
        <v>0.47827330711669802</v>
      </c>
      <c r="P2683" s="7">
        <v>54.785049538623099</v>
      </c>
      <c r="Q2683" s="7" t="s">
        <v>3698</v>
      </c>
      <c r="U2683">
        <v>0.60870432251237505</v>
      </c>
      <c r="AT2683" s="4" t="s">
        <v>7926</v>
      </c>
    </row>
    <row r="2684" spans="1:46">
      <c r="A2684" s="2">
        <v>1155</v>
      </c>
      <c r="B2684" t="s">
        <v>7927</v>
      </c>
      <c r="C2684" t="s">
        <v>1664</v>
      </c>
      <c r="D2684" t="s">
        <v>3737</v>
      </c>
      <c r="E2684" s="4">
        <v>43465</v>
      </c>
      <c r="F2684" s="11">
        <v>-22.347447020000001</v>
      </c>
      <c r="G2684" s="11">
        <v>-8.7067861700000009</v>
      </c>
      <c r="H2684" s="11">
        <v>8.6685066592000002</v>
      </c>
      <c r="I2684" s="11">
        <v>32.367625415399999</v>
      </c>
      <c r="J2684" s="11">
        <v>13.639586423900001</v>
      </c>
      <c r="K2684" s="10">
        <v>0.22359137296100001</v>
      </c>
      <c r="L2684" s="12">
        <v>2761170501.5999999</v>
      </c>
      <c r="M2684">
        <v>59.042620798153202</v>
      </c>
      <c r="N2684" s="7">
        <v>2.7661698110139699</v>
      </c>
      <c r="O2684" s="7">
        <v>6.8668642713842196</v>
      </c>
      <c r="P2684" s="7">
        <v>-12.378160392427899</v>
      </c>
      <c r="Q2684" s="7">
        <v>0.18895348837209305</v>
      </c>
      <c r="U2684">
        <v>0.1454569357709774</v>
      </c>
      <c r="AT2684" s="4" t="s">
        <v>7313</v>
      </c>
    </row>
    <row r="2685" spans="1:46">
      <c r="A2685" s="2">
        <v>1172</v>
      </c>
      <c r="B2685" t="s">
        <v>7928</v>
      </c>
      <c r="C2685" t="s">
        <v>650</v>
      </c>
      <c r="D2685" t="s">
        <v>3785</v>
      </c>
      <c r="E2685" s="4">
        <v>43465</v>
      </c>
      <c r="F2685" s="11">
        <v>-17.082622109999999</v>
      </c>
      <c r="G2685" s="11">
        <v>-8.7520259300000003</v>
      </c>
      <c r="H2685" s="11">
        <v>25.860767124500001</v>
      </c>
      <c r="I2685" s="11">
        <v>23.6339797555</v>
      </c>
      <c r="J2685" s="11">
        <v>6.4756729455000004</v>
      </c>
      <c r="K2685" s="10">
        <v>0.82159470049600003</v>
      </c>
      <c r="L2685" s="12">
        <v>2786000000</v>
      </c>
      <c r="M2685">
        <v>31.7218119109491</v>
      </c>
      <c r="N2685" s="7">
        <v>1.8462430099870899</v>
      </c>
      <c r="O2685" s="7">
        <v>1.5339876633549001</v>
      </c>
      <c r="P2685" s="7">
        <v>17.683372506261499</v>
      </c>
      <c r="Q2685" s="7">
        <v>2.2939385568665855</v>
      </c>
      <c r="U2685">
        <v>0.56008593756030067</v>
      </c>
      <c r="AT2685" s="4" t="s">
        <v>4749</v>
      </c>
    </row>
    <row r="2686" spans="1:46">
      <c r="A2686" s="2">
        <v>1075</v>
      </c>
      <c r="B2686" t="s">
        <v>7929</v>
      </c>
      <c r="C2686" t="s">
        <v>3519</v>
      </c>
      <c r="D2686" t="s">
        <v>3858</v>
      </c>
      <c r="E2686" s="4">
        <v>43465</v>
      </c>
      <c r="F2686" s="11">
        <v>-44.268292680000002</v>
      </c>
      <c r="G2686" s="11">
        <v>-8.7649402399999996</v>
      </c>
      <c r="H2686" s="11">
        <v>-25.9861814269</v>
      </c>
      <c r="I2686" s="11">
        <v>14.8302526013</v>
      </c>
      <c r="J2686" s="11">
        <v>2.4088855493999999</v>
      </c>
      <c r="K2686" s="10">
        <v>0.31785056602299999</v>
      </c>
      <c r="L2686" s="12">
        <v>5242250814.8400002</v>
      </c>
      <c r="M2686">
        <v>95.142368976915094</v>
      </c>
      <c r="N2686" s="7">
        <v>2.6737275060355499</v>
      </c>
      <c r="O2686" s="7">
        <v>0.63869517785006402</v>
      </c>
      <c r="P2686" s="7">
        <v>13.163015596235599</v>
      </c>
      <c r="Q2686" s="7" t="s">
        <v>3698</v>
      </c>
      <c r="U2686">
        <v>8.4496012897739572E-2</v>
      </c>
      <c r="AT2686" s="4" t="s">
        <v>6365</v>
      </c>
    </row>
    <row r="2687" spans="1:46">
      <c r="A2687" s="2">
        <v>1396</v>
      </c>
      <c r="B2687" t="s">
        <v>7930</v>
      </c>
      <c r="C2687" t="s">
        <v>2448</v>
      </c>
      <c r="D2687" t="s">
        <v>3737</v>
      </c>
      <c r="E2687" s="4">
        <v>43465</v>
      </c>
      <c r="F2687" s="11">
        <v>-29.657146860000001</v>
      </c>
      <c r="G2687" s="11">
        <v>-8.7824351299999996</v>
      </c>
      <c r="H2687" s="11">
        <v>19.7832216087</v>
      </c>
      <c r="I2687" s="11">
        <v>56.722624624399998</v>
      </c>
      <c r="J2687" s="11">
        <v>13.960267462399999</v>
      </c>
      <c r="K2687" s="10">
        <v>0.59317447696500003</v>
      </c>
      <c r="L2687" s="12">
        <v>2478967051.5999999</v>
      </c>
      <c r="M2687">
        <v>39.585678549805003</v>
      </c>
      <c r="N2687" s="7">
        <v>3.6241913982635299</v>
      </c>
      <c r="O2687" s="7">
        <v>5.46272721023829</v>
      </c>
      <c r="P2687" s="7">
        <v>-12.4997591556095</v>
      </c>
      <c r="Q2687" s="7">
        <v>1.5503875968992249</v>
      </c>
      <c r="U2687">
        <v>0.38065532087500004</v>
      </c>
      <c r="AT2687" s="4" t="s">
        <v>7239</v>
      </c>
    </row>
    <row r="2688" spans="1:46">
      <c r="A2688" s="2">
        <v>3545</v>
      </c>
      <c r="B2688" t="s">
        <v>7931</v>
      </c>
      <c r="C2688" t="s">
        <v>536</v>
      </c>
      <c r="D2688" t="s">
        <v>3728</v>
      </c>
      <c r="E2688" s="4">
        <v>43465</v>
      </c>
      <c r="F2688" s="11">
        <v>-32.333286170000001</v>
      </c>
      <c r="G2688" s="11">
        <v>-8.8054187200000005</v>
      </c>
      <c r="H2688" s="11">
        <v>18.657902143800001</v>
      </c>
      <c r="I2688" s="11">
        <v>68.208796572699995</v>
      </c>
      <c r="J2688" s="11">
        <v>18.034883364900001</v>
      </c>
      <c r="K2688" s="10">
        <v>0.67419236198400001</v>
      </c>
      <c r="L2688" s="12">
        <v>10152208667.809999</v>
      </c>
      <c r="M2688">
        <v>15.5562378211142</v>
      </c>
      <c r="N2688" s="7">
        <v>3.06661453208137</v>
      </c>
      <c r="O2688" s="7">
        <v>2.27103025813715</v>
      </c>
      <c r="P2688" s="7">
        <v>55.363986873433198</v>
      </c>
      <c r="Q2688" s="7">
        <v>4.150197628458498</v>
      </c>
      <c r="U2688">
        <v>1.0831097686336379</v>
      </c>
      <c r="AT2688" s="4" t="s">
        <v>5265</v>
      </c>
    </row>
    <row r="2689" spans="1:46">
      <c r="A2689" s="2">
        <v>1311</v>
      </c>
      <c r="B2689" t="s">
        <v>7932</v>
      </c>
      <c r="C2689" t="s">
        <v>1386</v>
      </c>
      <c r="D2689" t="s">
        <v>3837</v>
      </c>
      <c r="E2689" s="4">
        <v>43465</v>
      </c>
      <c r="F2689" s="11">
        <v>-30.93474938</v>
      </c>
      <c r="G2689" s="11">
        <v>-8.8582677200000006</v>
      </c>
      <c r="H2689" s="11">
        <v>27.090137301999999</v>
      </c>
      <c r="I2689" s="11" t="s">
        <v>3698</v>
      </c>
      <c r="J2689" s="11">
        <v>24.4867160278</v>
      </c>
      <c r="K2689" s="10" t="s">
        <v>3698</v>
      </c>
      <c r="L2689" s="12">
        <v>1661007600</v>
      </c>
      <c r="M2689">
        <v>9.7541707488766605</v>
      </c>
      <c r="N2689" s="7">
        <v>0.88830504206181904</v>
      </c>
      <c r="O2689" s="7">
        <v>2.9753750129027101</v>
      </c>
      <c r="P2689" s="7">
        <v>-0.98121853941571502</v>
      </c>
      <c r="Q2689" s="7">
        <v>0.95982048049096869</v>
      </c>
      <c r="U2689">
        <v>0.48508417877982052</v>
      </c>
      <c r="AT2689" s="4" t="s">
        <v>7933</v>
      </c>
    </row>
    <row r="2690" spans="1:46">
      <c r="A2690" s="2">
        <v>3377</v>
      </c>
      <c r="B2690" t="s">
        <v>7934</v>
      </c>
      <c r="C2690" t="s">
        <v>806</v>
      </c>
      <c r="D2690" t="s">
        <v>3858</v>
      </c>
      <c r="E2690" s="4">
        <v>43465</v>
      </c>
      <c r="F2690" s="11">
        <v>-37.295390750000003</v>
      </c>
      <c r="G2690" s="11">
        <v>-8.9133089099999996</v>
      </c>
      <c r="H2690" s="11">
        <v>30.1718873614</v>
      </c>
      <c r="I2690" s="11">
        <v>28.160280343699998</v>
      </c>
      <c r="J2690" s="11">
        <v>20.409985293199998</v>
      </c>
      <c r="K2690" s="10">
        <v>0.37095736734399998</v>
      </c>
      <c r="L2690" s="12">
        <v>12480975776.639999</v>
      </c>
      <c r="M2690">
        <v>19.557907761201701</v>
      </c>
      <c r="N2690" s="7">
        <v>1.9977638929907799</v>
      </c>
      <c r="O2690" s="7">
        <v>3.3710068326395599</v>
      </c>
      <c r="P2690" s="7">
        <v>-11.49594276362</v>
      </c>
      <c r="Q2690" s="7">
        <v>1.0176390773405699</v>
      </c>
      <c r="U2690">
        <v>1.0224910891287973</v>
      </c>
      <c r="AT2690" s="4" t="s">
        <v>5447</v>
      </c>
    </row>
    <row r="2691" spans="1:46">
      <c r="A2691" s="2">
        <v>740</v>
      </c>
      <c r="B2691" t="s">
        <v>7935</v>
      </c>
      <c r="C2691" t="s">
        <v>3315</v>
      </c>
      <c r="D2691" t="s">
        <v>4060</v>
      </c>
      <c r="E2691" s="4">
        <v>43465</v>
      </c>
      <c r="F2691" s="11">
        <v>-28.510144279999999</v>
      </c>
      <c r="G2691" s="11">
        <v>-8.9408528199999999</v>
      </c>
      <c r="H2691" s="11">
        <v>1.5272860697999999</v>
      </c>
      <c r="I2691" s="11">
        <v>21.524268609500002</v>
      </c>
      <c r="J2691" s="11">
        <v>1.9816955279999999</v>
      </c>
      <c r="K2691" s="10">
        <v>0.33785525799600002</v>
      </c>
      <c r="L2691" s="12">
        <v>2617220500</v>
      </c>
      <c r="M2691">
        <v>292.29401500077</v>
      </c>
      <c r="N2691" s="7">
        <v>2.33611534400807</v>
      </c>
      <c r="O2691" s="7">
        <v>5.0513368631440896</v>
      </c>
      <c r="P2691" s="7">
        <v>-86.543159264535504</v>
      </c>
      <c r="Q2691" s="7">
        <v>0.4875973690896252</v>
      </c>
      <c r="U2691">
        <v>1.025881723010502E-2</v>
      </c>
      <c r="AT2691" s="4" t="s">
        <v>7844</v>
      </c>
    </row>
    <row r="2692" spans="1:46">
      <c r="A2692" s="2">
        <v>866</v>
      </c>
      <c r="B2692" t="s">
        <v>7936</v>
      </c>
      <c r="C2692" t="s">
        <v>2050</v>
      </c>
      <c r="D2692" t="s">
        <v>3849</v>
      </c>
      <c r="E2692" s="4">
        <v>43465</v>
      </c>
      <c r="F2692" s="11">
        <v>-35.411643509999998</v>
      </c>
      <c r="G2692" s="11">
        <v>-8.9828269499999998</v>
      </c>
      <c r="H2692" s="11">
        <v>1.1542766099999999</v>
      </c>
      <c r="I2692" s="11">
        <v>13.774326633899999</v>
      </c>
      <c r="J2692" s="11">
        <v>-13.246672998899999</v>
      </c>
      <c r="K2692" s="10">
        <v>0.41134445833700001</v>
      </c>
      <c r="L2692" s="12">
        <v>2905569450</v>
      </c>
      <c r="M2692">
        <v>88.606013986549897</v>
      </c>
      <c r="N2692" s="7">
        <v>1.8550702421165699</v>
      </c>
      <c r="O2692" s="7">
        <v>2.3995281333049898</v>
      </c>
      <c r="P2692" s="7">
        <v>10.6894742815083</v>
      </c>
      <c r="Q2692" s="7" t="s">
        <v>3698</v>
      </c>
      <c r="U2692">
        <v>-0.41638435034829357</v>
      </c>
      <c r="AT2692" s="4" t="s">
        <v>6734</v>
      </c>
    </row>
    <row r="2693" spans="1:46">
      <c r="A2693" s="2">
        <v>3527</v>
      </c>
      <c r="B2693" t="s">
        <v>7937</v>
      </c>
      <c r="C2693" t="s">
        <v>754</v>
      </c>
      <c r="D2693" t="s">
        <v>3849</v>
      </c>
      <c r="E2693" s="4">
        <v>43465</v>
      </c>
      <c r="F2693" s="11">
        <v>-42.994001470000001</v>
      </c>
      <c r="G2693" s="11">
        <v>-9.0464547700000004</v>
      </c>
      <c r="H2693" s="11">
        <v>5.975071969</v>
      </c>
      <c r="I2693" s="11">
        <v>18.515168381999999</v>
      </c>
      <c r="J2693" s="11">
        <v>8.9190341673999995</v>
      </c>
      <c r="K2693" s="10">
        <v>0.95911707432899995</v>
      </c>
      <c r="L2693" s="12">
        <v>13271140564.5</v>
      </c>
      <c r="M2693">
        <v>10.981107571860701</v>
      </c>
      <c r="N2693" s="7">
        <v>1.55848427439287</v>
      </c>
      <c r="O2693" s="7">
        <v>0.744239940855696</v>
      </c>
      <c r="P2693" s="7">
        <v>82.980624564392599</v>
      </c>
      <c r="Q2693" s="7" t="s">
        <v>3698</v>
      </c>
      <c r="U2693">
        <v>0.44765791606341016</v>
      </c>
      <c r="AT2693" s="4" t="s">
        <v>7938</v>
      </c>
    </row>
    <row r="2694" spans="1:46">
      <c r="A2694" s="2">
        <v>2987</v>
      </c>
      <c r="B2694" t="s">
        <v>7939</v>
      </c>
      <c r="C2694" t="s">
        <v>2469</v>
      </c>
      <c r="D2694" t="s">
        <v>3849</v>
      </c>
      <c r="E2694" s="4">
        <v>43465</v>
      </c>
      <c r="F2694" s="11">
        <v>-56.251433650000003</v>
      </c>
      <c r="G2694" s="11">
        <v>-9.0909090900000002</v>
      </c>
      <c r="H2694" s="11">
        <v>55.209344342900003</v>
      </c>
      <c r="I2694" s="11">
        <v>14.543328534600001</v>
      </c>
      <c r="J2694" s="11">
        <v>3.2029399406999999</v>
      </c>
      <c r="K2694" s="10">
        <v>0.47689163844299998</v>
      </c>
      <c r="L2694" s="12">
        <v>2307730540.5</v>
      </c>
      <c r="M2694">
        <v>34.646779496080903</v>
      </c>
      <c r="N2694" s="7">
        <v>0.69377104760177299</v>
      </c>
      <c r="O2694" s="7">
        <v>1.02519844240886</v>
      </c>
      <c r="P2694" s="7">
        <v>123.85378340074899</v>
      </c>
      <c r="Q2694" s="7">
        <v>0.49180327868852453</v>
      </c>
      <c r="U2694">
        <v>0.14655979799584923</v>
      </c>
      <c r="AT2694" s="4" t="s">
        <v>7940</v>
      </c>
    </row>
    <row r="2695" spans="1:46">
      <c r="A2695" s="2">
        <v>1762</v>
      </c>
      <c r="B2695" t="s">
        <v>7941</v>
      </c>
      <c r="C2695" t="s">
        <v>2531</v>
      </c>
      <c r="D2695" t="s">
        <v>3769</v>
      </c>
      <c r="E2695" s="4">
        <v>43465</v>
      </c>
      <c r="F2695" s="11">
        <v>-61.047686040000002</v>
      </c>
      <c r="G2695" s="11">
        <v>-9.1428571400000003</v>
      </c>
      <c r="H2695" s="11">
        <v>-2.9552819819999998</v>
      </c>
      <c r="I2695" s="11">
        <v>7.2237989564999996</v>
      </c>
      <c r="J2695" s="11">
        <v>-3.4751747202000001</v>
      </c>
      <c r="K2695" s="10">
        <v>0.701762937122</v>
      </c>
      <c r="L2695" s="12">
        <v>2606869980</v>
      </c>
      <c r="M2695">
        <v>-549.84047961230704</v>
      </c>
      <c r="N2695" s="7">
        <v>2.1070585881642199</v>
      </c>
      <c r="O2695" s="7">
        <v>1.4023222239483499</v>
      </c>
      <c r="P2695" s="7">
        <v>44.032247175834399</v>
      </c>
      <c r="Q2695" s="7" t="s">
        <v>3698</v>
      </c>
      <c r="U2695">
        <v>-8.9910246775841932E-2</v>
      </c>
      <c r="AT2695" s="4" t="s">
        <v>4885</v>
      </c>
    </row>
    <row r="2696" spans="1:46">
      <c r="A2696" s="2">
        <v>1620</v>
      </c>
      <c r="B2696" t="s">
        <v>7942</v>
      </c>
      <c r="C2696" t="s">
        <v>1993</v>
      </c>
      <c r="D2696" t="s">
        <v>3718</v>
      </c>
      <c r="E2696" s="4">
        <v>43465</v>
      </c>
      <c r="F2696" s="11">
        <v>-45.384699130000001</v>
      </c>
      <c r="G2696" s="11">
        <v>-9.1708542699999995</v>
      </c>
      <c r="H2696" s="11">
        <v>16.0543786691</v>
      </c>
      <c r="I2696" s="11">
        <v>38.856692693399999</v>
      </c>
      <c r="J2696" s="11">
        <v>6.3210761282999997</v>
      </c>
      <c r="K2696" s="10">
        <v>0.23395107100500001</v>
      </c>
      <c r="L2696" s="12">
        <v>1635780030</v>
      </c>
      <c r="M2696">
        <v>43.340435598746701</v>
      </c>
      <c r="N2696" s="7">
        <v>1.1749473363577601</v>
      </c>
      <c r="O2696" s="7">
        <v>2.6805527534092799</v>
      </c>
      <c r="P2696" s="7">
        <v>-32.643604044443798</v>
      </c>
      <c r="Q2696" s="7" t="s">
        <v>3698</v>
      </c>
      <c r="U2696">
        <v>0.19809179947579567</v>
      </c>
      <c r="AT2696" s="4" t="s">
        <v>5305</v>
      </c>
    </row>
    <row r="2697" spans="1:46">
      <c r="A2697" s="2">
        <v>2448</v>
      </c>
      <c r="B2697" t="s">
        <v>7943</v>
      </c>
      <c r="C2697" t="s">
        <v>1613</v>
      </c>
      <c r="D2697" t="s">
        <v>3871</v>
      </c>
      <c r="E2697" s="4">
        <v>43465</v>
      </c>
      <c r="F2697" s="11">
        <v>-53.198127929999998</v>
      </c>
      <c r="G2697" s="11">
        <v>-9.2307692299999999</v>
      </c>
      <c r="H2697" s="11">
        <v>-46.430171293599997</v>
      </c>
      <c r="I2697" s="11">
        <v>22.027757967100001</v>
      </c>
      <c r="J2697" s="11">
        <v>4.2346000997999997</v>
      </c>
      <c r="K2697" s="10">
        <v>0.10101898732300001</v>
      </c>
      <c r="L2697" s="12">
        <v>3692335628.6799998</v>
      </c>
      <c r="M2697">
        <v>17.176090809820298</v>
      </c>
      <c r="N2697" s="7">
        <v>0.79774399110621297</v>
      </c>
      <c r="O2697" s="7">
        <v>0.62363364571384206</v>
      </c>
      <c r="P2697" s="7">
        <v>-1.3884549698978501</v>
      </c>
      <c r="Q2697" s="7" t="s">
        <v>3698</v>
      </c>
      <c r="U2697">
        <v>0.12183878334991408</v>
      </c>
      <c r="AT2697" s="4" t="s">
        <v>7944</v>
      </c>
    </row>
    <row r="2698" spans="1:46">
      <c r="A2698" s="2">
        <v>3408</v>
      </c>
      <c r="B2698" t="s">
        <v>7945</v>
      </c>
      <c r="C2698" t="s">
        <v>874</v>
      </c>
      <c r="D2698" t="s">
        <v>3713</v>
      </c>
      <c r="E2698" s="4">
        <v>43465</v>
      </c>
      <c r="F2698" s="11">
        <v>26.046684290000002</v>
      </c>
      <c r="G2698" s="11">
        <v>-9.2402464099999992</v>
      </c>
      <c r="H2698" s="11">
        <v>38.175687863500002</v>
      </c>
      <c r="I2698" s="11">
        <v>56.197250043899999</v>
      </c>
      <c r="J2698" s="11">
        <v>23.878721186300002</v>
      </c>
      <c r="K2698" s="10">
        <v>0.51253466658900004</v>
      </c>
      <c r="L2698" s="12">
        <v>2115200000</v>
      </c>
      <c r="M2698">
        <v>37.211194005330199</v>
      </c>
      <c r="N2698" s="7">
        <v>4.6039580335450898</v>
      </c>
      <c r="O2698" s="7">
        <v>8.0475786692582894</v>
      </c>
      <c r="P2698" s="7">
        <v>29.323524875309499</v>
      </c>
      <c r="Q2698" s="7">
        <v>0.83925161061770492</v>
      </c>
      <c r="U2698">
        <v>0.74029524968323246</v>
      </c>
      <c r="AT2698" s="4" t="s">
        <v>7946</v>
      </c>
    </row>
    <row r="2699" spans="1:46">
      <c r="A2699" s="2">
        <v>1408</v>
      </c>
      <c r="B2699" t="s">
        <v>7947</v>
      </c>
      <c r="C2699" t="s">
        <v>649</v>
      </c>
      <c r="D2699" t="s">
        <v>3764</v>
      </c>
      <c r="E2699" s="4">
        <v>43465</v>
      </c>
      <c r="F2699" s="11">
        <v>-41.356015759999998</v>
      </c>
      <c r="G2699" s="11">
        <v>-9.2526690400000007</v>
      </c>
      <c r="H2699" s="11">
        <v>18.686514517799999</v>
      </c>
      <c r="I2699" s="11">
        <v>18.488812830600001</v>
      </c>
      <c r="J2699" s="11">
        <v>9.0397784521000002</v>
      </c>
      <c r="K2699" s="10">
        <v>0.95398009507299997</v>
      </c>
      <c r="L2699" s="12">
        <v>2662989096.9000001</v>
      </c>
      <c r="M2699">
        <v>23.433321879119099</v>
      </c>
      <c r="N2699" s="7">
        <v>3.6323480837815598</v>
      </c>
      <c r="O2699" s="7">
        <v>1.93690065570456</v>
      </c>
      <c r="P2699" s="7">
        <v>48.352917477840599</v>
      </c>
      <c r="Q2699" s="7">
        <v>2.8233749179251477</v>
      </c>
      <c r="U2699">
        <v>0.6511837622482014</v>
      </c>
      <c r="AT2699" s="4" t="s">
        <v>7948</v>
      </c>
    </row>
    <row r="2700" spans="1:46">
      <c r="A2700" s="2">
        <v>300</v>
      </c>
      <c r="B2700" t="s">
        <v>7949</v>
      </c>
      <c r="C2700" t="s">
        <v>2162</v>
      </c>
      <c r="D2700" t="s">
        <v>3889</v>
      </c>
      <c r="E2700" s="4">
        <v>43465</v>
      </c>
      <c r="F2700" s="11">
        <v>-16.515642060000001</v>
      </c>
      <c r="G2700" s="11">
        <v>-9.2757306199999991</v>
      </c>
      <c r="H2700" s="11">
        <v>10.112600971399999</v>
      </c>
      <c r="I2700" s="11">
        <v>28.963948738999999</v>
      </c>
      <c r="J2700" s="11">
        <v>8.2351816722999995</v>
      </c>
      <c r="K2700" s="10">
        <v>0.80055760030900003</v>
      </c>
      <c r="L2700" s="12">
        <v>2344376103.5</v>
      </c>
      <c r="M2700">
        <v>11.3237826455786</v>
      </c>
      <c r="N2700" s="7">
        <v>1.0451286480994799</v>
      </c>
      <c r="O2700" s="7">
        <v>0.93372659295258298</v>
      </c>
      <c r="P2700" s="7">
        <v>11.4833433018885</v>
      </c>
      <c r="Q2700" s="7">
        <v>3.6603221083455346</v>
      </c>
      <c r="U2700">
        <v>0.71757830329255368</v>
      </c>
      <c r="AT2700" s="4" t="s">
        <v>7950</v>
      </c>
    </row>
    <row r="2701" spans="1:46">
      <c r="A2701" s="2">
        <v>2710</v>
      </c>
      <c r="B2701" t="s">
        <v>7951</v>
      </c>
      <c r="C2701" t="s">
        <v>1702</v>
      </c>
      <c r="D2701" t="s">
        <v>3889</v>
      </c>
      <c r="E2701" s="4">
        <v>43465</v>
      </c>
      <c r="F2701" s="11">
        <v>-23.015759289999998</v>
      </c>
      <c r="G2701" s="11">
        <v>-9.27734375</v>
      </c>
      <c r="H2701" s="11">
        <v>-16.158023018400002</v>
      </c>
      <c r="I2701" s="11">
        <v>23.884749439299998</v>
      </c>
      <c r="J2701" s="11">
        <v>16.174404485</v>
      </c>
      <c r="K2701" s="10">
        <v>0.36215622029299999</v>
      </c>
      <c r="L2701" s="12">
        <v>5245436171.4300003</v>
      </c>
      <c r="M2701">
        <v>26.8220007508192</v>
      </c>
      <c r="N2701" s="7">
        <v>1.24463173761223</v>
      </c>
      <c r="O2701" s="7">
        <v>2.6349203900596199</v>
      </c>
      <c r="P2701" s="7">
        <v>-170.76476300145299</v>
      </c>
      <c r="Q2701" s="7">
        <v>3.0627838584351048</v>
      </c>
      <c r="U2701">
        <v>0.58696632194674858</v>
      </c>
      <c r="AT2701" s="4" t="s">
        <v>7815</v>
      </c>
    </row>
    <row r="2702" spans="1:46">
      <c r="A2702" s="2">
        <v>1109</v>
      </c>
      <c r="B2702" t="s">
        <v>7952</v>
      </c>
      <c r="C2702" t="s">
        <v>1590</v>
      </c>
      <c r="D2702" t="s">
        <v>3761</v>
      </c>
      <c r="E2702" s="4">
        <v>43465</v>
      </c>
      <c r="F2702" s="11">
        <v>-33.807508069999997</v>
      </c>
      <c r="G2702" s="11">
        <v>-9.2920353999999996</v>
      </c>
      <c r="H2702" s="11">
        <v>34.517084926099997</v>
      </c>
      <c r="I2702" s="11">
        <v>32.935378966899997</v>
      </c>
      <c r="J2702" s="11">
        <v>8.8197698448999997</v>
      </c>
      <c r="K2702" s="10">
        <v>0.75778235610400002</v>
      </c>
      <c r="L2702" s="12">
        <v>2396184000</v>
      </c>
      <c r="M2702">
        <v>27.676992899955</v>
      </c>
      <c r="N2702" s="7">
        <v>2.5180846600943001</v>
      </c>
      <c r="O2702" s="7">
        <v>2.34778599909429</v>
      </c>
      <c r="P2702" s="7">
        <v>119.600021379827</v>
      </c>
      <c r="Q2702" s="7">
        <v>3.3333333333333335</v>
      </c>
      <c r="U2702">
        <v>0.26928666448717947</v>
      </c>
      <c r="AT2702" s="4" t="s">
        <v>5075</v>
      </c>
    </row>
    <row r="2703" spans="1:46">
      <c r="A2703" s="2">
        <v>3005</v>
      </c>
      <c r="B2703" t="s">
        <v>7953</v>
      </c>
      <c r="C2703" t="s">
        <v>2453</v>
      </c>
      <c r="D2703" t="s">
        <v>3764</v>
      </c>
      <c r="E2703" s="4">
        <v>43465</v>
      </c>
      <c r="F2703" s="11">
        <v>-27.70124002</v>
      </c>
      <c r="G2703" s="11">
        <v>-9.3093093099999997</v>
      </c>
      <c r="H2703" s="11">
        <v>11.7583865225</v>
      </c>
      <c r="I2703" s="11">
        <v>12.987370503299999</v>
      </c>
      <c r="J2703" s="11">
        <v>9.8506274034000008</v>
      </c>
      <c r="K2703" s="10">
        <v>0.38003861357000002</v>
      </c>
      <c r="L2703" s="12">
        <v>5561870000</v>
      </c>
      <c r="M2703">
        <v>99.071700774807297</v>
      </c>
      <c r="N2703" s="7">
        <v>0.97859014694813695</v>
      </c>
      <c r="O2703" s="7">
        <v>1.6363269353129699</v>
      </c>
      <c r="P2703" s="7">
        <v>10.285700807292701</v>
      </c>
      <c r="Q2703" s="7">
        <v>1.5535781838305252</v>
      </c>
      <c r="U2703">
        <v>0.20678889090008434</v>
      </c>
      <c r="AT2703" s="4" t="s">
        <v>7954</v>
      </c>
    </row>
    <row r="2704" spans="1:46">
      <c r="A2704" s="2">
        <v>234</v>
      </c>
      <c r="B2704" t="s">
        <v>7955</v>
      </c>
      <c r="C2704" t="s">
        <v>3588</v>
      </c>
      <c r="D2704" t="s">
        <v>3769</v>
      </c>
      <c r="E2704" s="4">
        <v>43465</v>
      </c>
      <c r="F2704" s="11">
        <v>-58.723828509999997</v>
      </c>
      <c r="G2704" s="11">
        <v>-9.3681917200000004</v>
      </c>
      <c r="H2704" s="11">
        <v>67.146449208700005</v>
      </c>
      <c r="I2704" s="11">
        <v>26.969519183199999</v>
      </c>
      <c r="J2704" s="11">
        <v>1.1724096593</v>
      </c>
      <c r="K2704" s="10">
        <v>0.109144122988</v>
      </c>
      <c r="L2704" s="12">
        <v>10085510870.559999</v>
      </c>
      <c r="M2704">
        <v>-105.94873491475801</v>
      </c>
      <c r="N2704" s="7">
        <v>10.8246324229927</v>
      </c>
      <c r="O2704" s="7">
        <v>20.765296825206001</v>
      </c>
      <c r="P2704" s="7">
        <v>-3.91391708424888</v>
      </c>
      <c r="Q2704" s="7" t="s">
        <v>3698</v>
      </c>
      <c r="U2704">
        <v>1.2705273771202952E-2</v>
      </c>
      <c r="AT2704" s="4" t="s">
        <v>7956</v>
      </c>
    </row>
    <row r="2705" spans="1:46">
      <c r="A2705" s="2">
        <v>2868</v>
      </c>
      <c r="B2705" t="s">
        <v>7957</v>
      </c>
      <c r="C2705" t="s">
        <v>1134</v>
      </c>
      <c r="D2705" t="s">
        <v>3764</v>
      </c>
      <c r="E2705" s="4">
        <v>43465</v>
      </c>
      <c r="F2705" s="11">
        <v>-21.456150189999999</v>
      </c>
      <c r="G2705" s="11">
        <v>-9.375</v>
      </c>
      <c r="H2705" s="11">
        <v>9.4537420438000002</v>
      </c>
      <c r="I2705" s="11">
        <v>18.6080039273</v>
      </c>
      <c r="J2705" s="11">
        <v>2.7619577496000001</v>
      </c>
      <c r="K2705" s="10">
        <v>0.239607410848</v>
      </c>
      <c r="L2705" s="12">
        <v>4531950000</v>
      </c>
      <c r="M2705">
        <v>28.272704672035498</v>
      </c>
      <c r="N2705" s="7">
        <v>1.0538189616815401</v>
      </c>
      <c r="O2705" s="7">
        <v>0.79083441489428297</v>
      </c>
      <c r="P2705" s="7">
        <v>-55.112335682280303</v>
      </c>
      <c r="Q2705" s="7">
        <v>1.7699115044247791</v>
      </c>
      <c r="U2705">
        <v>6.968123195268569E-2</v>
      </c>
      <c r="AT2705" s="4" t="s">
        <v>7958</v>
      </c>
    </row>
    <row r="2706" spans="1:46">
      <c r="A2706" s="2">
        <v>2361</v>
      </c>
      <c r="B2706" t="s">
        <v>7959</v>
      </c>
      <c r="C2706" t="s">
        <v>2292</v>
      </c>
      <c r="D2706" t="s">
        <v>3737</v>
      </c>
      <c r="E2706" s="4">
        <v>43465</v>
      </c>
      <c r="F2706" s="11">
        <v>-64.598025390000004</v>
      </c>
      <c r="G2706" s="11">
        <v>-9.4202898600000005</v>
      </c>
      <c r="H2706" s="11">
        <v>43.583287349700001</v>
      </c>
      <c r="I2706" s="11">
        <v>34.805229807499998</v>
      </c>
      <c r="J2706" s="11">
        <v>8.1551176206000004</v>
      </c>
      <c r="K2706" s="10">
        <v>0.35790905204899998</v>
      </c>
      <c r="L2706" s="12">
        <v>18926869926.689999</v>
      </c>
      <c r="M2706">
        <v>20.436606553903701</v>
      </c>
      <c r="N2706" s="7">
        <v>0.96223214875576801</v>
      </c>
      <c r="O2706" s="7">
        <v>2.0097030728697098</v>
      </c>
      <c r="P2706" s="7">
        <v>-22.9697959118737</v>
      </c>
      <c r="Q2706" s="7" t="s">
        <v>3698</v>
      </c>
      <c r="U2706">
        <v>0.11755660889871777</v>
      </c>
      <c r="AT2706" s="4" t="s">
        <v>6442</v>
      </c>
    </row>
    <row r="2707" spans="1:46">
      <c r="A2707" s="2">
        <v>2500</v>
      </c>
      <c r="B2707" t="s">
        <v>7960</v>
      </c>
      <c r="C2707" t="s">
        <v>1647</v>
      </c>
      <c r="D2707" t="s">
        <v>3871</v>
      </c>
      <c r="E2707" s="4">
        <v>43465</v>
      </c>
      <c r="F2707" s="11">
        <v>-27.146990410000001</v>
      </c>
      <c r="G2707" s="11">
        <v>-9.4559585500000001</v>
      </c>
      <c r="H2707" s="11">
        <v>12.108601462699999</v>
      </c>
      <c r="I2707" s="11">
        <v>85.999028903799996</v>
      </c>
      <c r="J2707" s="11">
        <v>60.734994221699999</v>
      </c>
      <c r="K2707" s="10">
        <v>0.105414074929</v>
      </c>
      <c r="L2707" s="12">
        <v>2694601728</v>
      </c>
      <c r="M2707">
        <v>12.908117209104301</v>
      </c>
      <c r="N2707" s="7">
        <v>0.65878066252714695</v>
      </c>
      <c r="O2707" s="7">
        <v>4.8907655195088902</v>
      </c>
      <c r="P2707" s="7">
        <v>-22.8308439469969</v>
      </c>
      <c r="Q2707" s="7">
        <v>0.68477516503598446</v>
      </c>
      <c r="U2707">
        <v>0.83145199934582725</v>
      </c>
      <c r="AT2707" s="4" t="s">
        <v>4891</v>
      </c>
    </row>
    <row r="2708" spans="1:46">
      <c r="A2708" s="2">
        <v>3465</v>
      </c>
      <c r="B2708" t="s">
        <v>7961</v>
      </c>
      <c r="C2708" t="s">
        <v>734</v>
      </c>
      <c r="D2708" t="s">
        <v>3778</v>
      </c>
      <c r="E2708" s="4">
        <v>43465</v>
      </c>
      <c r="F2708" s="11">
        <v>-59.469386499999999</v>
      </c>
      <c r="G2708" s="11">
        <v>-9.47164948</v>
      </c>
      <c r="H2708" s="11">
        <v>-21.589083790699998</v>
      </c>
      <c r="I2708" s="11">
        <v>23.735943024299999</v>
      </c>
      <c r="J2708" s="11">
        <v>2.1563385132000001</v>
      </c>
      <c r="K2708" s="10">
        <v>0.34631541500000002</v>
      </c>
      <c r="L2708" s="12">
        <v>10501295803.5</v>
      </c>
      <c r="M2708">
        <v>51.133185252429101</v>
      </c>
      <c r="N2708" s="7">
        <v>2.6170428122915101</v>
      </c>
      <c r="O2708" s="7">
        <v>4.2321054772298199</v>
      </c>
      <c r="P2708" s="7">
        <v>-8.3330948511268694</v>
      </c>
      <c r="Q2708" s="7">
        <v>0.16061452513966482</v>
      </c>
      <c r="U2708">
        <v>7.4921390619652348E-2</v>
      </c>
      <c r="AT2708" s="4" t="s">
        <v>4208</v>
      </c>
    </row>
    <row r="2709" spans="1:46">
      <c r="A2709" s="2">
        <v>3394</v>
      </c>
      <c r="B2709" t="s">
        <v>7962</v>
      </c>
      <c r="C2709" t="s">
        <v>552</v>
      </c>
      <c r="D2709" t="s">
        <v>3764</v>
      </c>
      <c r="E2709" s="4">
        <v>43465</v>
      </c>
      <c r="F2709" s="11">
        <v>9.3140106100000004</v>
      </c>
      <c r="G2709" s="11">
        <v>-9.4754098399999993</v>
      </c>
      <c r="H2709" s="11">
        <v>60.578062755700003</v>
      </c>
      <c r="I2709" s="11">
        <v>43.046717772900003</v>
      </c>
      <c r="J2709" s="11">
        <v>25.752844934500001</v>
      </c>
      <c r="K2709" s="10">
        <v>0.31865308372599999</v>
      </c>
      <c r="L2709" s="12">
        <v>3388981825.5999999</v>
      </c>
      <c r="M2709">
        <v>22.5067083013959</v>
      </c>
      <c r="N2709" s="7">
        <v>2.1555266805318101</v>
      </c>
      <c r="O2709" s="7">
        <v>3.9015305302460499</v>
      </c>
      <c r="P2709" s="7">
        <v>4.5788593781530098</v>
      </c>
      <c r="Q2709" s="7">
        <v>2.6068821689259645</v>
      </c>
      <c r="U2709">
        <v>2.0910545023125002</v>
      </c>
      <c r="AT2709" s="4" t="s">
        <v>7963</v>
      </c>
    </row>
    <row r="2710" spans="1:46">
      <c r="A2710" s="2">
        <v>291</v>
      </c>
      <c r="B2710" t="s">
        <v>7964</v>
      </c>
      <c r="C2710" t="s">
        <v>2325</v>
      </c>
      <c r="D2710" t="s">
        <v>3842</v>
      </c>
      <c r="E2710" s="4">
        <v>43465</v>
      </c>
      <c r="F2710" s="11">
        <v>-29.29996483</v>
      </c>
      <c r="G2710" s="11">
        <v>-9.5070422499999996</v>
      </c>
      <c r="H2710" s="11">
        <v>10.9869519464</v>
      </c>
      <c r="I2710" s="11">
        <v>14.297378875</v>
      </c>
      <c r="J2710" s="11">
        <v>3.6221796460000002</v>
      </c>
      <c r="K2710" s="10">
        <v>0.60646141420599997</v>
      </c>
      <c r="L2710" s="12">
        <v>3758435520</v>
      </c>
      <c r="M2710">
        <v>10.1257406078245</v>
      </c>
      <c r="N2710" s="7">
        <v>0.62655676844707198</v>
      </c>
      <c r="O2710" s="7">
        <v>0.26762028540281102</v>
      </c>
      <c r="P2710" s="7">
        <v>7.7877675070677501</v>
      </c>
      <c r="Q2710" s="7">
        <v>4.076313492063492</v>
      </c>
      <c r="U2710">
        <v>0.34150562815416419</v>
      </c>
      <c r="AT2710" s="4" t="s">
        <v>7424</v>
      </c>
    </row>
    <row r="2711" spans="1:46">
      <c r="A2711" s="2">
        <v>1765</v>
      </c>
      <c r="B2711" t="s">
        <v>7965</v>
      </c>
      <c r="C2711" t="s">
        <v>1408</v>
      </c>
      <c r="D2711" t="s">
        <v>3769</v>
      </c>
      <c r="E2711" s="4">
        <v>43465</v>
      </c>
      <c r="F2711" s="11">
        <v>-60.228171199999998</v>
      </c>
      <c r="G2711" s="11">
        <v>-9.5509622200000006</v>
      </c>
      <c r="H2711" s="11">
        <v>6.8760652646000002</v>
      </c>
      <c r="I2711" s="11">
        <v>15.6627028382</v>
      </c>
      <c r="J2711" s="11">
        <v>2.4433692372000002</v>
      </c>
      <c r="K2711" s="10">
        <v>0.623933984261</v>
      </c>
      <c r="L2711" s="12">
        <v>3745128245.5</v>
      </c>
      <c r="M2711">
        <v>50.123452623821201</v>
      </c>
      <c r="N2711" s="7">
        <v>2.85071190778143</v>
      </c>
      <c r="O2711" s="7">
        <v>1.2472943819192199</v>
      </c>
      <c r="P2711" s="7">
        <v>-35.669058666277301</v>
      </c>
      <c r="Q2711" s="7">
        <v>0.89285714285714279</v>
      </c>
      <c r="U2711">
        <v>0.25213556495773259</v>
      </c>
      <c r="AT2711" s="4" t="s">
        <v>3762</v>
      </c>
    </row>
    <row r="2712" spans="1:46">
      <c r="A2712" s="2">
        <v>2181</v>
      </c>
      <c r="B2712" t="s">
        <v>7966</v>
      </c>
      <c r="C2712" t="s">
        <v>638</v>
      </c>
      <c r="D2712" t="s">
        <v>3842</v>
      </c>
      <c r="E2712" s="4">
        <v>43465</v>
      </c>
      <c r="F2712" s="11">
        <v>-33.177570090000003</v>
      </c>
      <c r="G2712" s="11">
        <v>-9.5541401300000004</v>
      </c>
      <c r="H2712" s="11">
        <v>16.723083471900001</v>
      </c>
      <c r="I2712" s="11">
        <v>10.5065671694</v>
      </c>
      <c r="J2712" s="11">
        <v>4.1830393352000002</v>
      </c>
      <c r="K2712" s="10">
        <v>0.86740091712900003</v>
      </c>
      <c r="L2712" s="12">
        <v>3973045038.7399998</v>
      </c>
      <c r="M2712">
        <v>5.1828487013407996</v>
      </c>
      <c r="N2712" s="7">
        <v>0.852201915104427</v>
      </c>
      <c r="O2712" s="7">
        <v>0.32317223027888797</v>
      </c>
      <c r="P2712" s="7">
        <v>-11.274247246007601</v>
      </c>
      <c r="Q2712" s="7" t="s">
        <v>3698</v>
      </c>
      <c r="U2712">
        <v>0.19244602519782705</v>
      </c>
      <c r="AT2712" s="4" t="s">
        <v>6879</v>
      </c>
    </row>
    <row r="2713" spans="1:46">
      <c r="A2713" s="2">
        <v>1129</v>
      </c>
      <c r="B2713" t="s">
        <v>7967</v>
      </c>
      <c r="C2713" t="s">
        <v>2899</v>
      </c>
      <c r="D2713" t="s">
        <v>3721</v>
      </c>
      <c r="E2713" s="4">
        <v>43465</v>
      </c>
      <c r="F2713" s="11">
        <v>-10</v>
      </c>
      <c r="G2713" s="11">
        <v>-9.5860566400000007</v>
      </c>
      <c r="H2713" s="11">
        <v>8.3327818481999998</v>
      </c>
      <c r="I2713" s="11">
        <v>41.160871949300002</v>
      </c>
      <c r="J2713" s="11">
        <v>7.3970330875999997</v>
      </c>
      <c r="K2713" s="10">
        <v>0.13716090504600001</v>
      </c>
      <c r="L2713" s="12">
        <v>2220800000</v>
      </c>
      <c r="M2713">
        <v>995.29025616033198</v>
      </c>
      <c r="N2713" s="7">
        <v>4.3970328381987196</v>
      </c>
      <c r="O2713" s="7">
        <v>22.3274535584269</v>
      </c>
      <c r="P2713" s="7">
        <v>-119.898404528152</v>
      </c>
      <c r="Q2713" s="7">
        <v>4.1390728476821195E-2</v>
      </c>
      <c r="U2713">
        <v>4.6384898853847278E-2</v>
      </c>
      <c r="AT2713" s="4" t="s">
        <v>5065</v>
      </c>
    </row>
    <row r="2714" spans="1:46">
      <c r="A2714" s="2">
        <v>573</v>
      </c>
      <c r="B2714" t="s">
        <v>7968</v>
      </c>
      <c r="C2714" t="s">
        <v>841</v>
      </c>
      <c r="D2714" t="s">
        <v>3858</v>
      </c>
      <c r="E2714" s="4">
        <v>43465</v>
      </c>
      <c r="F2714" s="11">
        <v>-32.175328399999998</v>
      </c>
      <c r="G2714" s="11">
        <v>-9.6354166699999997</v>
      </c>
      <c r="H2714" s="11">
        <v>21.667988151100001</v>
      </c>
      <c r="I2714" s="11">
        <v>12.378813615</v>
      </c>
      <c r="J2714" s="11">
        <v>2.0023814849999999</v>
      </c>
      <c r="K2714" s="10">
        <v>0.71796602406200005</v>
      </c>
      <c r="L2714" s="12">
        <v>4944603790.5699997</v>
      </c>
      <c r="M2714">
        <v>14.174642634636699</v>
      </c>
      <c r="N2714" s="7">
        <v>1.4157578981930901</v>
      </c>
      <c r="O2714" s="7">
        <v>0.46972694110216601</v>
      </c>
      <c r="P2714" s="7">
        <v>-10.536282391356099</v>
      </c>
      <c r="Q2714" s="7">
        <v>1.4367816091954022</v>
      </c>
      <c r="U2714">
        <v>0.27248872013605441</v>
      </c>
      <c r="AT2714" s="4" t="s">
        <v>7969</v>
      </c>
    </row>
    <row r="2715" spans="1:46">
      <c r="A2715" s="2">
        <v>477</v>
      </c>
      <c r="B2715" t="s">
        <v>7970</v>
      </c>
      <c r="C2715" t="s">
        <v>135</v>
      </c>
      <c r="D2715" t="s">
        <v>3737</v>
      </c>
      <c r="E2715" s="4">
        <v>43465</v>
      </c>
      <c r="F2715" s="11">
        <v>-16.836138989999998</v>
      </c>
      <c r="G2715" s="11">
        <v>-9.6371882099999997</v>
      </c>
      <c r="H2715" s="11">
        <v>10.173789777</v>
      </c>
      <c r="I2715" s="11">
        <v>28.987902158400001</v>
      </c>
      <c r="J2715" s="11">
        <v>7.8111742905000003</v>
      </c>
      <c r="K2715" s="10">
        <v>1.7420162672120001</v>
      </c>
      <c r="L2715" s="12">
        <v>10121429120.68</v>
      </c>
      <c r="M2715">
        <v>18.876529732368699</v>
      </c>
      <c r="N2715" s="7">
        <v>4.5500105890612899</v>
      </c>
      <c r="O2715" s="7">
        <v>1.3041319738603001</v>
      </c>
      <c r="P2715" s="7">
        <v>-95.352237065772698</v>
      </c>
      <c r="Q2715" s="7">
        <v>1.1178861793728778</v>
      </c>
      <c r="U2715">
        <v>1.5548406458073158</v>
      </c>
      <c r="AT2715" s="4" t="s">
        <v>7971</v>
      </c>
    </row>
    <row r="2716" spans="1:46">
      <c r="A2716" s="2">
        <v>506</v>
      </c>
      <c r="B2716" t="s">
        <v>7972</v>
      </c>
      <c r="C2716" t="s">
        <v>556</v>
      </c>
      <c r="D2716" t="s">
        <v>3781</v>
      </c>
      <c r="E2716" s="4">
        <v>43465</v>
      </c>
      <c r="F2716" s="11">
        <v>-41.66264031</v>
      </c>
      <c r="G2716" s="11">
        <v>-9.6621621599999994</v>
      </c>
      <c r="H2716" s="11">
        <v>12.2161657731</v>
      </c>
      <c r="I2716" s="11">
        <v>43.589083357900002</v>
      </c>
      <c r="J2716" s="11">
        <v>25.2306692947</v>
      </c>
      <c r="K2716" s="10">
        <v>0.25262327285500003</v>
      </c>
      <c r="L2716" s="12">
        <v>4776413600</v>
      </c>
      <c r="M2716">
        <v>43.649119003287304</v>
      </c>
      <c r="N2716" s="7">
        <v>3.7332773486733699</v>
      </c>
      <c r="O2716" s="7">
        <v>5.7534673530288201</v>
      </c>
      <c r="P2716" s="7">
        <v>103.442345408124</v>
      </c>
      <c r="Q2716" s="7">
        <v>1.5699929411764704</v>
      </c>
      <c r="U2716">
        <v>0.60062288680408804</v>
      </c>
      <c r="AT2716" s="4" t="s">
        <v>7878</v>
      </c>
    </row>
    <row r="2717" spans="1:46">
      <c r="A2717" s="2">
        <v>2395</v>
      </c>
      <c r="B2717" t="s">
        <v>7973</v>
      </c>
      <c r="C2717" t="s">
        <v>3660</v>
      </c>
      <c r="D2717" t="s">
        <v>3781</v>
      </c>
      <c r="E2717" s="4">
        <v>43465</v>
      </c>
      <c r="F2717" s="11">
        <v>12.89117235</v>
      </c>
      <c r="G2717" s="11">
        <v>-9.7181008900000005</v>
      </c>
      <c r="H2717" s="11">
        <v>80.1732027993</v>
      </c>
      <c r="I2717" s="11">
        <v>24.348167748000002</v>
      </c>
      <c r="J2717" s="11">
        <v>4.8040676208999997</v>
      </c>
      <c r="K2717" s="10">
        <v>0.343572109706</v>
      </c>
      <c r="L2717" s="12">
        <v>3318972791.5799999</v>
      </c>
      <c r="M2717">
        <v>-91.113864196033205</v>
      </c>
      <c r="N2717" s="7">
        <v>97.854434957222594</v>
      </c>
      <c r="O2717" s="7">
        <v>46.811541820141798</v>
      </c>
      <c r="P2717" s="7">
        <v>436.628294841529</v>
      </c>
      <c r="Q2717" s="7" t="s">
        <v>3698</v>
      </c>
      <c r="U2717">
        <v>4.6672299229583977E-2</v>
      </c>
      <c r="AT2717" s="4" t="s">
        <v>7974</v>
      </c>
    </row>
    <row r="2718" spans="1:46">
      <c r="A2718" s="2">
        <v>2066</v>
      </c>
      <c r="B2718" t="s">
        <v>7975</v>
      </c>
      <c r="C2718" t="s">
        <v>2110</v>
      </c>
      <c r="D2718" t="s">
        <v>3721</v>
      </c>
      <c r="E2718" s="4">
        <v>43465</v>
      </c>
      <c r="F2718" s="11">
        <v>22.232568709999999</v>
      </c>
      <c r="G2718" s="11">
        <v>-9.73269363</v>
      </c>
      <c r="H2718" s="11">
        <v>24.886280208100001</v>
      </c>
      <c r="I2718" s="11">
        <v>31.2791777602</v>
      </c>
      <c r="J2718" s="11">
        <v>5.4065254773999998</v>
      </c>
      <c r="K2718" s="10">
        <v>0.43414717107</v>
      </c>
      <c r="L2718" s="12">
        <v>4195055904</v>
      </c>
      <c r="M2718">
        <v>582.91513635907995</v>
      </c>
      <c r="N2718" s="7">
        <v>7.4167237655906604</v>
      </c>
      <c r="O2718" s="7">
        <v>6.3062175100406703</v>
      </c>
      <c r="P2718" s="7">
        <v>1432.98241224003</v>
      </c>
      <c r="Q2718" s="7">
        <v>0.12057877813504822</v>
      </c>
      <c r="U2718">
        <v>4.1864291357355442E-2</v>
      </c>
      <c r="AT2718" s="4" t="s">
        <v>4353</v>
      </c>
    </row>
    <row r="2719" spans="1:46">
      <c r="A2719" s="2">
        <v>2375</v>
      </c>
      <c r="B2719" t="s">
        <v>7976</v>
      </c>
      <c r="C2719" t="s">
        <v>3391</v>
      </c>
      <c r="D2719" t="s">
        <v>3761</v>
      </c>
      <c r="E2719" s="4">
        <v>43465</v>
      </c>
      <c r="F2719" s="11">
        <v>-50.648976580000003</v>
      </c>
      <c r="G2719" s="11">
        <v>-9.7560975600000006</v>
      </c>
      <c r="H2719" s="11">
        <v>-45.7342577147</v>
      </c>
      <c r="I2719" s="11">
        <v>17.5057604673</v>
      </c>
      <c r="J2719" s="11">
        <v>-24.504874036</v>
      </c>
      <c r="K2719" s="10">
        <v>0.34601191120899999</v>
      </c>
      <c r="L2719" s="12">
        <v>7659711100.5</v>
      </c>
      <c r="M2719">
        <v>-28.835172162606501</v>
      </c>
      <c r="N2719" s="7">
        <v>1.4029295063066001</v>
      </c>
      <c r="O2719" s="7">
        <v>1.44853461106571</v>
      </c>
      <c r="P2719" s="7">
        <v>54.280322905876503</v>
      </c>
      <c r="Q2719" s="7" t="s">
        <v>3698</v>
      </c>
      <c r="U2719">
        <v>-0.59402978554877184</v>
      </c>
      <c r="AT2719" s="4" t="s">
        <v>7977</v>
      </c>
    </row>
    <row r="2720" spans="1:46">
      <c r="A2720" s="2">
        <v>759</v>
      </c>
      <c r="B2720" t="s">
        <v>7978</v>
      </c>
      <c r="C2720" t="s">
        <v>3609</v>
      </c>
      <c r="D2720" t="s">
        <v>3718</v>
      </c>
      <c r="E2720" s="4">
        <v>43465</v>
      </c>
      <c r="F2720" s="11">
        <v>-7.4679113199999998</v>
      </c>
      <c r="G2720" s="11">
        <v>-9.7701149399999991</v>
      </c>
      <c r="H2720" s="11">
        <v>-25.090697151400001</v>
      </c>
      <c r="I2720" s="11">
        <v>-23.5928181839</v>
      </c>
      <c r="J2720" s="11">
        <v>-726.11790893809996</v>
      </c>
      <c r="K2720" s="10">
        <v>7.1765974083999998E-2</v>
      </c>
      <c r="L2720" s="12">
        <v>3032144502.4200001</v>
      </c>
      <c r="M2720">
        <v>-9.4163682174119501</v>
      </c>
      <c r="N2720" s="7">
        <v>25.672159006218301</v>
      </c>
      <c r="O2720" s="7">
        <v>31.940617406645298</v>
      </c>
      <c r="P2720" s="7">
        <v>182.45363268692699</v>
      </c>
      <c r="Q2720" s="7" t="s">
        <v>3698</v>
      </c>
      <c r="U2720">
        <v>-1.8699316027936659</v>
      </c>
      <c r="AT2720" s="4" t="s">
        <v>7979</v>
      </c>
    </row>
    <row r="2721" spans="1:46">
      <c r="A2721" s="2">
        <v>2462</v>
      </c>
      <c r="B2721" t="s">
        <v>7980</v>
      </c>
      <c r="C2721" t="s">
        <v>68</v>
      </c>
      <c r="D2721" t="s">
        <v>3769</v>
      </c>
      <c r="E2721" s="4">
        <v>43465</v>
      </c>
      <c r="F2721" s="11">
        <v>-56.611951400000002</v>
      </c>
      <c r="G2721" s="11">
        <v>-9.7727823100000002</v>
      </c>
      <c r="H2721" s="11">
        <v>-17.0367903062</v>
      </c>
      <c r="I2721" s="11">
        <v>69.545907512200003</v>
      </c>
      <c r="J2721" s="11">
        <v>44.014106566599999</v>
      </c>
      <c r="K2721" s="10">
        <v>0.50992630959700003</v>
      </c>
      <c r="L2721" s="12">
        <v>2621924800</v>
      </c>
      <c r="M2721">
        <v>11.7887993080922</v>
      </c>
      <c r="N2721" s="7">
        <v>5.8409409291797001</v>
      </c>
      <c r="O2721" s="7">
        <v>5.6038900761750998</v>
      </c>
      <c r="P2721" s="7">
        <v>-3852.23815100611</v>
      </c>
      <c r="Q2721" s="7">
        <v>0.27874564466028379</v>
      </c>
      <c r="U2721">
        <v>1.3792572417682281</v>
      </c>
      <c r="AT2721" s="4" t="s">
        <v>7376</v>
      </c>
    </row>
    <row r="2722" spans="1:46">
      <c r="A2722" s="2">
        <v>1096</v>
      </c>
      <c r="B2722" t="s">
        <v>7981</v>
      </c>
      <c r="C2722" t="s">
        <v>2358</v>
      </c>
      <c r="D2722" t="s">
        <v>4060</v>
      </c>
      <c r="E2722" s="4">
        <v>43465</v>
      </c>
      <c r="F2722" s="11">
        <v>-28.295881820000002</v>
      </c>
      <c r="G2722" s="11">
        <v>-9.80392157</v>
      </c>
      <c r="H2722" s="11">
        <v>27.6090817764</v>
      </c>
      <c r="I2722" s="11">
        <v>17.277851453499999</v>
      </c>
      <c r="J2722" s="11">
        <v>8.3303432385999994</v>
      </c>
      <c r="K2722" s="10">
        <v>0.42037647756000002</v>
      </c>
      <c r="L2722" s="12">
        <v>3164430499</v>
      </c>
      <c r="M2722">
        <v>39.673389254259099</v>
      </c>
      <c r="N2722" s="7">
        <v>0.76771971074746104</v>
      </c>
      <c r="O2722" s="7">
        <v>1.55876119399576</v>
      </c>
      <c r="P2722" s="7">
        <v>-18.5772231719085</v>
      </c>
      <c r="Q2722" s="7">
        <v>4.5248868778280542</v>
      </c>
      <c r="U2722">
        <v>0.27791621927176802</v>
      </c>
      <c r="AT2722" s="4" t="s">
        <v>6835</v>
      </c>
    </row>
    <row r="2723" spans="1:46">
      <c r="A2723" s="2">
        <v>596</v>
      </c>
      <c r="B2723" t="s">
        <v>7982</v>
      </c>
      <c r="C2723" t="s">
        <v>569</v>
      </c>
      <c r="D2723" t="s">
        <v>3849</v>
      </c>
      <c r="E2723" s="4">
        <v>43465</v>
      </c>
      <c r="F2723" s="11">
        <v>-58.210544179999999</v>
      </c>
      <c r="G2723" s="11">
        <v>-9.8064516099999999</v>
      </c>
      <c r="H2723" s="11">
        <v>8.1342676014999995</v>
      </c>
      <c r="I2723" s="11">
        <v>20.750889624300001</v>
      </c>
      <c r="J2723" s="11">
        <v>9.1154438703</v>
      </c>
      <c r="K2723" s="10">
        <v>0.93891766488600004</v>
      </c>
      <c r="L2723" s="12">
        <v>3317100000</v>
      </c>
      <c r="M2723">
        <v>19.302286592152601</v>
      </c>
      <c r="N2723" s="7">
        <v>2.9277158574365698</v>
      </c>
      <c r="O2723" s="7">
        <v>1.55475598400554</v>
      </c>
      <c r="P2723" s="7">
        <v>9376.9165136001702</v>
      </c>
      <c r="Q2723" s="7">
        <v>4.4626823529411777</v>
      </c>
      <c r="U2723">
        <v>0.43838715817542107</v>
      </c>
      <c r="AT2723" s="4" t="s">
        <v>7983</v>
      </c>
    </row>
    <row r="2724" spans="1:46">
      <c r="A2724" s="2">
        <v>831</v>
      </c>
      <c r="B2724" t="s">
        <v>7984</v>
      </c>
      <c r="C2724" t="s">
        <v>811</v>
      </c>
      <c r="D2724" t="s">
        <v>3972</v>
      </c>
      <c r="E2724" s="4">
        <v>43465</v>
      </c>
      <c r="F2724" s="11">
        <v>17.246365040000001</v>
      </c>
      <c r="G2724" s="11">
        <v>-9.8141263900000002</v>
      </c>
      <c r="H2724" s="11">
        <v>7.3166233605000004</v>
      </c>
      <c r="I2724" s="11">
        <v>39.002874754499999</v>
      </c>
      <c r="J2724" s="11">
        <v>20.062149122400001</v>
      </c>
      <c r="K2724" s="10">
        <v>0.26960143215400001</v>
      </c>
      <c r="L2724" s="12">
        <v>4426234307.04</v>
      </c>
      <c r="M2724">
        <v>41.986289940000702</v>
      </c>
      <c r="N2724" s="7">
        <v>2.44360262265057</v>
      </c>
      <c r="O2724" s="7">
        <v>8.45184169948533</v>
      </c>
      <c r="P2724" s="7">
        <v>75.146600520463295</v>
      </c>
      <c r="Q2724" s="7">
        <v>1.0741138560687433</v>
      </c>
      <c r="U2724">
        <v>0.31883793481614575</v>
      </c>
      <c r="AT2724" s="4" t="s">
        <v>5702</v>
      </c>
    </row>
    <row r="2725" spans="1:46">
      <c r="A2725" s="2">
        <v>1694</v>
      </c>
      <c r="B2725" t="s">
        <v>7985</v>
      </c>
      <c r="C2725" t="s">
        <v>1962</v>
      </c>
      <c r="D2725" t="s">
        <v>3721</v>
      </c>
      <c r="E2725" s="4">
        <v>43465</v>
      </c>
      <c r="F2725" s="11">
        <v>-61.06750392</v>
      </c>
      <c r="G2725" s="11">
        <v>-9.8181818199999995</v>
      </c>
      <c r="H2725" s="11">
        <v>2.5556066586999999</v>
      </c>
      <c r="I2725" s="11">
        <v>27.1530285439</v>
      </c>
      <c r="J2725" s="11">
        <v>-71.229651254499998</v>
      </c>
      <c r="K2725" s="10">
        <v>0.62472494985600002</v>
      </c>
      <c r="L2725" s="12">
        <v>8573520000</v>
      </c>
      <c r="M2725">
        <v>-7.33076112148912</v>
      </c>
      <c r="N2725" s="7">
        <v>3.7005177389944501</v>
      </c>
      <c r="O2725" s="7">
        <v>0.81494103101973103</v>
      </c>
      <c r="P2725" s="7">
        <v>-4.5576400814372597</v>
      </c>
      <c r="Q2725" s="7" t="s">
        <v>3698</v>
      </c>
      <c r="U2725">
        <v>-4.808803966516634</v>
      </c>
      <c r="AT2725" s="4" t="s">
        <v>5403</v>
      </c>
    </row>
    <row r="2726" spans="1:46">
      <c r="A2726" s="2">
        <v>763</v>
      </c>
      <c r="B2726" t="s">
        <v>7986</v>
      </c>
      <c r="C2726" t="s">
        <v>3625</v>
      </c>
      <c r="D2726" t="s">
        <v>3737</v>
      </c>
      <c r="E2726" s="4">
        <v>43465</v>
      </c>
      <c r="F2726" s="11">
        <v>-62.581347870000002</v>
      </c>
      <c r="G2726" s="11">
        <v>-9.8626716600000002</v>
      </c>
      <c r="H2726" s="11">
        <v>-6.4071132722000002</v>
      </c>
      <c r="I2726" s="11">
        <v>66.739032051500004</v>
      </c>
      <c r="J2726" s="11">
        <v>-84.4234990848</v>
      </c>
      <c r="K2726" s="10">
        <v>0.13963176454199999</v>
      </c>
      <c r="L2726" s="12">
        <v>7326138842.8400002</v>
      </c>
      <c r="M2726">
        <v>74.724597853530398</v>
      </c>
      <c r="N2726" s="7">
        <v>7.4354935486781804</v>
      </c>
      <c r="O2726" s="7">
        <v>21.3178913253528</v>
      </c>
      <c r="P2726" s="7">
        <v>-51.485885746009501</v>
      </c>
      <c r="Q2726" s="7" t="s">
        <v>3698</v>
      </c>
      <c r="U2726">
        <v>-0.30522861672954588</v>
      </c>
      <c r="AT2726" s="4" t="s">
        <v>6627</v>
      </c>
    </row>
    <row r="2727" spans="1:46">
      <c r="A2727" s="2">
        <v>1326</v>
      </c>
      <c r="B2727" t="s">
        <v>7987</v>
      </c>
      <c r="C2727" t="s">
        <v>736</v>
      </c>
      <c r="D2727" t="s">
        <v>3761</v>
      </c>
      <c r="E2727" s="4">
        <v>43465</v>
      </c>
      <c r="F2727" s="11">
        <v>-39.015570310000001</v>
      </c>
      <c r="G2727" s="11">
        <v>-9.8933074699999999</v>
      </c>
      <c r="H2727" s="11">
        <v>20.637047643799999</v>
      </c>
      <c r="I2727" s="11">
        <v>25.315420033599999</v>
      </c>
      <c r="J2727" s="11">
        <v>6.7941532710999999</v>
      </c>
      <c r="K2727" s="10">
        <v>0.69507174249899994</v>
      </c>
      <c r="L2727" s="12">
        <v>31959721881.360001</v>
      </c>
      <c r="M2727">
        <v>20.5923580276691</v>
      </c>
      <c r="N2727" s="7">
        <v>2.6471089408788999</v>
      </c>
      <c r="O2727" s="7">
        <v>1.99148173318983</v>
      </c>
      <c r="P2727" s="7">
        <v>12.9978209652218</v>
      </c>
      <c r="Q2727" s="7">
        <v>2.9586970235999424</v>
      </c>
      <c r="U2727">
        <v>0.38942183670329911</v>
      </c>
      <c r="AT2727" s="4" t="s">
        <v>7988</v>
      </c>
    </row>
    <row r="2728" spans="1:46">
      <c r="A2728" s="2">
        <v>3587</v>
      </c>
      <c r="B2728" t="s">
        <v>7989</v>
      </c>
      <c r="C2728" t="s">
        <v>2467</v>
      </c>
      <c r="D2728" t="s">
        <v>3721</v>
      </c>
      <c r="E2728" s="4">
        <v>43465</v>
      </c>
      <c r="F2728" s="11">
        <v>-49.600778490000003</v>
      </c>
      <c r="G2728" s="11">
        <v>-9.9068585900000006</v>
      </c>
      <c r="H2728" s="11">
        <v>2.01067624</v>
      </c>
      <c r="I2728" s="11">
        <v>18.2361215456</v>
      </c>
      <c r="J2728" s="11">
        <v>6.1207438519000004</v>
      </c>
      <c r="K2728" s="10">
        <v>0.74630794141199996</v>
      </c>
      <c r="L2728" s="12">
        <v>1940640000</v>
      </c>
      <c r="M2728">
        <v>19.271637133904601</v>
      </c>
      <c r="N2728" s="7">
        <v>1.6057611710486299</v>
      </c>
      <c r="O2728" s="7">
        <v>1.29519974035163</v>
      </c>
      <c r="P2728" s="7">
        <v>6.6196773260997599</v>
      </c>
      <c r="Q2728" s="7">
        <v>1.957601575128278</v>
      </c>
      <c r="U2728">
        <v>0.56631467888425446</v>
      </c>
      <c r="AT2728" s="4" t="s">
        <v>7990</v>
      </c>
    </row>
    <row r="2729" spans="1:46">
      <c r="A2729" s="2">
        <v>626</v>
      </c>
      <c r="B2729" t="s">
        <v>7991</v>
      </c>
      <c r="C2729" t="s">
        <v>2061</v>
      </c>
      <c r="D2729" t="s">
        <v>3713</v>
      </c>
      <c r="E2729" s="4">
        <v>43465</v>
      </c>
      <c r="F2729" s="11">
        <v>26.448498170000001</v>
      </c>
      <c r="G2729" s="11">
        <v>-9.9290780099999996</v>
      </c>
      <c r="H2729" s="11">
        <v>200.7875263398</v>
      </c>
      <c r="I2729" s="11">
        <v>13.8399432634</v>
      </c>
      <c r="J2729" s="11">
        <v>6.4299062723000002</v>
      </c>
      <c r="K2729" s="10">
        <v>0.79731473832499999</v>
      </c>
      <c r="L2729" s="12">
        <v>3281820443.2199998</v>
      </c>
      <c r="M2729">
        <v>49.0027879982824</v>
      </c>
      <c r="N2729" s="7">
        <v>4.3999135801357498</v>
      </c>
      <c r="O2729" s="7">
        <v>1.9269520773915401</v>
      </c>
      <c r="P2729" s="7">
        <v>50.738321598120997</v>
      </c>
      <c r="Q2729" s="7">
        <v>0.93071139465902974</v>
      </c>
      <c r="U2729">
        <v>0.38786519828898286</v>
      </c>
      <c r="AT2729" s="4" t="s">
        <v>6289</v>
      </c>
    </row>
    <row r="2730" spans="1:46">
      <c r="A2730" s="2">
        <v>1769</v>
      </c>
      <c r="B2730" t="s">
        <v>7992</v>
      </c>
      <c r="C2730" t="s">
        <v>344</v>
      </c>
      <c r="D2730" t="s">
        <v>3713</v>
      </c>
      <c r="E2730" s="4">
        <v>43465</v>
      </c>
      <c r="F2730" s="11">
        <v>-24.72769667</v>
      </c>
      <c r="G2730" s="11">
        <v>-10</v>
      </c>
      <c r="H2730" s="11">
        <v>14.5579860281</v>
      </c>
      <c r="I2730" s="11">
        <v>36.223358850399997</v>
      </c>
      <c r="J2730" s="11">
        <v>6.8092229751</v>
      </c>
      <c r="K2730" s="10">
        <v>0.44698008994999999</v>
      </c>
      <c r="L2730" s="12">
        <v>1594340384.22</v>
      </c>
      <c r="M2730">
        <v>341.45048569480599</v>
      </c>
      <c r="N2730" s="7">
        <v>40.5776298526809</v>
      </c>
      <c r="O2730" s="7">
        <v>4.5004937353361596</v>
      </c>
      <c r="P2730" s="7">
        <v>-40.477446617515497</v>
      </c>
      <c r="Q2730" s="7" t="s">
        <v>3698</v>
      </c>
      <c r="U2730">
        <v>9.7635168165410999E-2</v>
      </c>
      <c r="AT2730" s="4" t="s">
        <v>3929</v>
      </c>
    </row>
    <row r="2731" spans="1:46">
      <c r="A2731" s="2">
        <v>3263</v>
      </c>
      <c r="B2731" t="s">
        <v>7993</v>
      </c>
      <c r="C2731" t="s">
        <v>611</v>
      </c>
      <c r="D2731" t="s">
        <v>3889</v>
      </c>
      <c r="E2731" s="4">
        <v>43465</v>
      </c>
      <c r="F2731" s="11">
        <v>-16.335643009999998</v>
      </c>
      <c r="G2731" s="11">
        <v>-10.077770579999999</v>
      </c>
      <c r="H2731" s="11">
        <v>-1.8984305311</v>
      </c>
      <c r="I2731" s="11">
        <v>46.332948227599999</v>
      </c>
      <c r="J2731" s="11">
        <v>26.575930426500001</v>
      </c>
      <c r="K2731" s="10">
        <v>0.49155276989399999</v>
      </c>
      <c r="L2731" s="12">
        <v>45981930957.300003</v>
      </c>
      <c r="M2731">
        <v>43.0458005383027</v>
      </c>
      <c r="N2731" s="7">
        <v>4.96202213761865</v>
      </c>
      <c r="O2731" s="7">
        <v>9.0162384643073707</v>
      </c>
      <c r="P2731" s="7">
        <v>72.282807185009901</v>
      </c>
      <c r="Q2731" s="7">
        <v>1.0608203677510608</v>
      </c>
      <c r="U2731">
        <v>1.7797482551659916</v>
      </c>
      <c r="AT2731" s="4" t="s">
        <v>7650</v>
      </c>
    </row>
    <row r="2732" spans="1:46">
      <c r="A2732" s="2">
        <v>2039</v>
      </c>
      <c r="B2732" t="s">
        <v>7994</v>
      </c>
      <c r="C2732" t="s">
        <v>664</v>
      </c>
      <c r="D2732" t="s">
        <v>3713</v>
      </c>
      <c r="E2732" s="4">
        <v>43465</v>
      </c>
      <c r="F2732" s="11">
        <v>-1.00236561</v>
      </c>
      <c r="G2732" s="11">
        <v>-10.07945516</v>
      </c>
      <c r="H2732" s="11">
        <v>25.601253568499999</v>
      </c>
      <c r="I2732" s="11">
        <v>46.651049599899999</v>
      </c>
      <c r="J2732" s="11">
        <v>28.1592452772</v>
      </c>
      <c r="K2732" s="10">
        <v>0.417385860118</v>
      </c>
      <c r="L2732" s="12">
        <v>4249766844.5100002</v>
      </c>
      <c r="M2732">
        <v>54.948045578591902</v>
      </c>
      <c r="N2732" s="7">
        <v>8.9798394865646696</v>
      </c>
      <c r="O2732" s="7">
        <v>14.5525485650252</v>
      </c>
      <c r="P2732" s="7">
        <v>45.944481401088701</v>
      </c>
      <c r="Q2732" s="7">
        <v>0.5388885315636126</v>
      </c>
      <c r="U2732">
        <v>0.88772242910302701</v>
      </c>
      <c r="AT2732" s="4" t="s">
        <v>6291</v>
      </c>
    </row>
    <row r="2733" spans="1:46">
      <c r="A2733" s="2">
        <v>3621</v>
      </c>
      <c r="B2733" t="s">
        <v>7995</v>
      </c>
      <c r="C2733" t="s">
        <v>2962</v>
      </c>
      <c r="D2733" t="s">
        <v>3718</v>
      </c>
      <c r="E2733" s="4">
        <v>43465</v>
      </c>
      <c r="F2733" s="11">
        <v>-20.79741538</v>
      </c>
      <c r="G2733" s="11">
        <v>-10.085836909999999</v>
      </c>
      <c r="H2733" s="11">
        <v>7.3042278339999998</v>
      </c>
      <c r="I2733" s="11">
        <v>17.278547507199999</v>
      </c>
      <c r="J2733" s="11">
        <v>6.4925909696000002</v>
      </c>
      <c r="K2733" s="10">
        <v>0.96866059581899999</v>
      </c>
      <c r="L2733" s="12">
        <v>4242036433.3499999</v>
      </c>
      <c r="M2733">
        <v>36.514194544903503</v>
      </c>
      <c r="N2733" s="7">
        <v>2.2700732963224999</v>
      </c>
      <c r="O2733" s="7">
        <v>1.6891313100796199</v>
      </c>
      <c r="P2733" s="7">
        <v>23.2791930019341</v>
      </c>
      <c r="Q2733" s="7">
        <v>2.4038461538461542</v>
      </c>
      <c r="U2733">
        <v>0.1788790903804994</v>
      </c>
      <c r="AT2733" s="4" t="s">
        <v>7996</v>
      </c>
    </row>
    <row r="2734" spans="1:46">
      <c r="A2734" s="2">
        <v>1783</v>
      </c>
      <c r="B2734" t="s">
        <v>7997</v>
      </c>
      <c r="C2734" t="s">
        <v>2204</v>
      </c>
      <c r="D2734" t="s">
        <v>3737</v>
      </c>
      <c r="E2734" s="4">
        <v>43465</v>
      </c>
      <c r="F2734" s="11">
        <v>-41.165060140000001</v>
      </c>
      <c r="G2734" s="11">
        <v>-10.10362694</v>
      </c>
      <c r="H2734" s="11">
        <v>27.442205458499998</v>
      </c>
      <c r="I2734" s="11">
        <v>32.831445131499997</v>
      </c>
      <c r="J2734" s="11">
        <v>2.5331702883</v>
      </c>
      <c r="K2734" s="10">
        <v>0.40211801904700001</v>
      </c>
      <c r="L2734" s="12">
        <v>5576001394</v>
      </c>
      <c r="M2734">
        <v>52.705926540807503</v>
      </c>
      <c r="N2734" s="7">
        <v>1.7964096195483501</v>
      </c>
      <c r="O2734" s="7">
        <v>2.3389354883842999</v>
      </c>
      <c r="P2734" s="7">
        <v>14.3569863416618</v>
      </c>
      <c r="Q2734" s="7">
        <v>0.35350570223756361</v>
      </c>
      <c r="U2734">
        <v>8.7226947454095177E-2</v>
      </c>
      <c r="AT2734" s="4" t="s">
        <v>4073</v>
      </c>
    </row>
    <row r="2735" spans="1:46">
      <c r="A2735" s="2">
        <v>2008</v>
      </c>
      <c r="B2735" t="s">
        <v>7998</v>
      </c>
      <c r="C2735" t="s">
        <v>3051</v>
      </c>
      <c r="D2735" t="s">
        <v>3752</v>
      </c>
      <c r="E2735" s="4">
        <v>43465</v>
      </c>
      <c r="F2735" s="11">
        <v>17.932412329999998</v>
      </c>
      <c r="G2735" s="11">
        <v>-10.15579919</v>
      </c>
      <c r="H2735" s="11">
        <v>54.466089082300002</v>
      </c>
      <c r="I2735" s="11">
        <v>55.828330393400002</v>
      </c>
      <c r="J2735" s="11">
        <v>16.8783593896</v>
      </c>
      <c r="K2735" s="10">
        <v>0.35522349389800001</v>
      </c>
      <c r="L2735" s="12">
        <v>6224960000</v>
      </c>
      <c r="M2735">
        <v>30.9983680695413</v>
      </c>
      <c r="N2735" s="7">
        <v>2.5719529820901701</v>
      </c>
      <c r="O2735" s="7">
        <v>4.2222518961638196</v>
      </c>
      <c r="P2735" s="7">
        <v>-18.0170178367934</v>
      </c>
      <c r="Q2735" s="7">
        <v>0.58667083854818525</v>
      </c>
      <c r="U2735">
        <v>0.73221151093999437</v>
      </c>
      <c r="AT2735" s="4" t="s">
        <v>6826</v>
      </c>
    </row>
    <row r="2736" spans="1:46">
      <c r="A2736" s="2">
        <v>857</v>
      </c>
      <c r="B2736" t="s">
        <v>7999</v>
      </c>
      <c r="C2736" t="s">
        <v>2476</v>
      </c>
      <c r="D2736" t="s">
        <v>3761</v>
      </c>
      <c r="E2736" s="4">
        <v>43465</v>
      </c>
      <c r="F2736" s="11">
        <v>-37.958289790000002</v>
      </c>
      <c r="G2736" s="11">
        <v>-10.16</v>
      </c>
      <c r="H2736" s="11">
        <v>23.426334710100001</v>
      </c>
      <c r="I2736" s="11">
        <v>22.993507550699999</v>
      </c>
      <c r="J2736" s="11">
        <v>10.389317274</v>
      </c>
      <c r="K2736" s="10">
        <v>0.22429762665700001</v>
      </c>
      <c r="L2736" s="12">
        <v>27396008258.16</v>
      </c>
      <c r="M2736">
        <v>49.353012498499901</v>
      </c>
      <c r="N2736" s="7">
        <v>2.7078128824497498</v>
      </c>
      <c r="O2736" s="7">
        <v>8.1668664467392897</v>
      </c>
      <c r="P2736" s="7">
        <v>-342.88052751060798</v>
      </c>
      <c r="Q2736" s="7">
        <v>1.8484288354898337</v>
      </c>
      <c r="U2736">
        <v>0.13195404451592024</v>
      </c>
      <c r="AT2736" s="4" t="s">
        <v>5762</v>
      </c>
    </row>
    <row r="2737" spans="1:46">
      <c r="A2737" s="2">
        <v>2669</v>
      </c>
      <c r="B2737" t="s">
        <v>8000</v>
      </c>
      <c r="C2737" t="s">
        <v>233</v>
      </c>
      <c r="D2737" t="s">
        <v>3752</v>
      </c>
      <c r="E2737" s="4">
        <v>43465</v>
      </c>
      <c r="F2737" s="11">
        <v>13.685439840000001</v>
      </c>
      <c r="G2737" s="11">
        <v>-10.196445280000001</v>
      </c>
      <c r="H2737" s="11">
        <v>51.185208067300003</v>
      </c>
      <c r="I2737" s="11">
        <v>24.088506477300001</v>
      </c>
      <c r="J2737" s="11">
        <v>11.3701500381</v>
      </c>
      <c r="K2737" s="10">
        <v>1.1479068059199999</v>
      </c>
      <c r="L2737" s="12">
        <v>2689995049.5999999</v>
      </c>
      <c r="M2737">
        <v>6.2426776214862301</v>
      </c>
      <c r="N2737" s="7">
        <v>1.36038123017504</v>
      </c>
      <c r="O2737" s="7">
        <v>0.71681633457167704</v>
      </c>
      <c r="P2737" s="7">
        <v>11.863852588466401</v>
      </c>
      <c r="Q2737" s="7">
        <v>5.8954393770856512</v>
      </c>
      <c r="U2737">
        <v>1.7472225918569393</v>
      </c>
      <c r="AT2737" s="4" t="s">
        <v>8001</v>
      </c>
    </row>
    <row r="2738" spans="1:46">
      <c r="A2738" s="2">
        <v>2431</v>
      </c>
      <c r="B2738" t="s">
        <v>8002</v>
      </c>
      <c r="C2738" t="s">
        <v>2717</v>
      </c>
      <c r="D2738" t="s">
        <v>3849</v>
      </c>
      <c r="E2738" s="4">
        <v>43465</v>
      </c>
      <c r="F2738" s="11">
        <v>-60.956980649999998</v>
      </c>
      <c r="G2738" s="11">
        <v>-10.23017903</v>
      </c>
      <c r="H2738" s="11">
        <v>-23.472990337399999</v>
      </c>
      <c r="I2738" s="11">
        <v>14.0475369823</v>
      </c>
      <c r="J2738" s="11">
        <v>-4.5211562509999998</v>
      </c>
      <c r="K2738" s="10">
        <v>0.41179457550499998</v>
      </c>
      <c r="L2738" s="12">
        <v>15653565950.879999</v>
      </c>
      <c r="M2738">
        <v>-24.972938806177101</v>
      </c>
      <c r="N2738" s="7">
        <v>0.91911007047501503</v>
      </c>
      <c r="O2738" s="7">
        <v>0.788245333983837</v>
      </c>
      <c r="P2738" s="7">
        <v>-5.2677620035942399</v>
      </c>
      <c r="Q2738" s="7" t="s">
        <v>3698</v>
      </c>
      <c r="U2738">
        <v>-0.18966816413167678</v>
      </c>
      <c r="AT2738" s="4" t="s">
        <v>8003</v>
      </c>
    </row>
    <row r="2739" spans="1:46">
      <c r="A2739" s="2">
        <v>1830</v>
      </c>
      <c r="B2739" t="s">
        <v>8004</v>
      </c>
      <c r="C2739" t="s">
        <v>2915</v>
      </c>
      <c r="D2739" t="s">
        <v>3752</v>
      </c>
      <c r="E2739" s="4">
        <v>43465</v>
      </c>
      <c r="F2739" s="11">
        <v>-18.825810669999999</v>
      </c>
      <c r="G2739" s="11">
        <v>-10.2393617</v>
      </c>
      <c r="H2739" s="11">
        <v>6.0363545765</v>
      </c>
      <c r="I2739" s="11">
        <v>15.5498721834</v>
      </c>
      <c r="J2739" s="11">
        <v>-8.5016114272000003</v>
      </c>
      <c r="K2739" s="10">
        <v>0.66777362274999996</v>
      </c>
      <c r="L2739" s="12">
        <v>6755853600</v>
      </c>
      <c r="M2739">
        <v>163.44749521083099</v>
      </c>
      <c r="N2739" s="7">
        <v>1.36259886526394</v>
      </c>
      <c r="O2739" s="7">
        <v>0.93684446228823204</v>
      </c>
      <c r="P2739" s="7">
        <v>23.1727565910804</v>
      </c>
      <c r="Q2739" s="7" t="s">
        <v>3698</v>
      </c>
      <c r="U2739">
        <v>-0.66110856473015545</v>
      </c>
      <c r="AT2739" s="4" t="s">
        <v>4466</v>
      </c>
    </row>
    <row r="2740" spans="1:46">
      <c r="A2740" s="2">
        <v>1963</v>
      </c>
      <c r="B2740" t="s">
        <v>8005</v>
      </c>
      <c r="C2740" t="s">
        <v>2309</v>
      </c>
      <c r="D2740" t="s">
        <v>3752</v>
      </c>
      <c r="E2740" s="4">
        <v>43465</v>
      </c>
      <c r="F2740" s="11">
        <v>-33.975923109999997</v>
      </c>
      <c r="G2740" s="11">
        <v>-10.27227723</v>
      </c>
      <c r="H2740" s="11">
        <v>12.6418735351</v>
      </c>
      <c r="I2740" s="11">
        <v>19.552786219800002</v>
      </c>
      <c r="J2740" s="11">
        <v>1.7981373297000001</v>
      </c>
      <c r="K2740" s="10">
        <v>0.64761083133700004</v>
      </c>
      <c r="L2740" s="12">
        <v>3869775000</v>
      </c>
      <c r="M2740">
        <v>130.198066460798</v>
      </c>
      <c r="N2740" s="7">
        <v>4.4322103188024302</v>
      </c>
      <c r="O2740" s="7">
        <v>3.1529472449194298</v>
      </c>
      <c r="P2740" s="7">
        <v>-10.019050722548799</v>
      </c>
      <c r="Q2740" s="7">
        <v>0.55636518190763051</v>
      </c>
      <c r="U2740">
        <v>4.8397434114832535E-2</v>
      </c>
      <c r="AT2740" s="4" t="s">
        <v>3983</v>
      </c>
    </row>
    <row r="2741" spans="1:46">
      <c r="A2741" s="2">
        <v>551</v>
      </c>
      <c r="B2741" t="s">
        <v>8006</v>
      </c>
      <c r="C2741" t="s">
        <v>2154</v>
      </c>
      <c r="D2741" t="s">
        <v>3972</v>
      </c>
      <c r="E2741" s="4">
        <v>43465</v>
      </c>
      <c r="F2741" s="11">
        <v>-27.206624990000002</v>
      </c>
      <c r="G2741" s="11">
        <v>-10.282776350000001</v>
      </c>
      <c r="H2741" s="11">
        <v>5.8837202778000002</v>
      </c>
      <c r="I2741" s="11">
        <v>48.316814335099998</v>
      </c>
      <c r="J2741" s="11">
        <v>26.5926670343</v>
      </c>
      <c r="K2741" s="10">
        <v>0.15299178567400001</v>
      </c>
      <c r="L2741" s="12">
        <v>42660356780.239998</v>
      </c>
      <c r="M2741">
        <v>24.194964026026501</v>
      </c>
      <c r="N2741" s="7">
        <v>1.15861599200867</v>
      </c>
      <c r="O2741" s="7">
        <v>4.0287581042039502</v>
      </c>
      <c r="P2741" s="7">
        <v>-7.6736894846535</v>
      </c>
      <c r="Q2741" s="7">
        <v>0.52344105620174741</v>
      </c>
      <c r="U2741">
        <v>0.44055029581138611</v>
      </c>
      <c r="AT2741" s="4" t="s">
        <v>8007</v>
      </c>
    </row>
    <row r="2742" spans="1:46">
      <c r="A2742" s="2">
        <v>1542</v>
      </c>
      <c r="B2742" t="s">
        <v>8008</v>
      </c>
      <c r="C2742" t="s">
        <v>2310</v>
      </c>
      <c r="D2742" t="s">
        <v>3998</v>
      </c>
      <c r="E2742" s="4">
        <v>43465</v>
      </c>
      <c r="F2742" s="11">
        <v>-42.864974240000002</v>
      </c>
      <c r="G2742" s="11">
        <v>-10.33653846</v>
      </c>
      <c r="H2742" s="11">
        <v>45.213443599999998</v>
      </c>
      <c r="I2742" s="11">
        <v>15.846863275700001</v>
      </c>
      <c r="J2742" s="11">
        <v>1.4319495727</v>
      </c>
      <c r="K2742" s="10">
        <v>0.69044455272000005</v>
      </c>
      <c r="L2742" s="12">
        <v>19372633083.580002</v>
      </c>
      <c r="M2742">
        <v>277.29276591286401</v>
      </c>
      <c r="N2742" s="7">
        <v>2.21197819855781</v>
      </c>
      <c r="O2742" s="7">
        <v>0.78755497823472898</v>
      </c>
      <c r="P2742" s="7">
        <v>12.975315626140199</v>
      </c>
      <c r="Q2742" s="7">
        <v>0.221606648199446</v>
      </c>
      <c r="U2742">
        <v>8.1934373514146994E-2</v>
      </c>
      <c r="AT2742" s="4" t="s">
        <v>3881</v>
      </c>
    </row>
    <row r="2743" spans="1:46">
      <c r="A2743" s="2">
        <v>3370</v>
      </c>
      <c r="B2743" t="s">
        <v>8009</v>
      </c>
      <c r="C2743" t="s">
        <v>1455</v>
      </c>
      <c r="D2743" t="s">
        <v>3718</v>
      </c>
      <c r="E2743" s="4">
        <v>43465</v>
      </c>
      <c r="F2743" s="11">
        <v>-41.553460559999998</v>
      </c>
      <c r="G2743" s="11">
        <v>-10.367892980000001</v>
      </c>
      <c r="H2743" s="11">
        <v>21.990628909600002</v>
      </c>
      <c r="I2743" s="11">
        <v>26.740220668399999</v>
      </c>
      <c r="J2743" s="11">
        <v>14.808442184900001</v>
      </c>
      <c r="K2743" s="10">
        <v>0.63665353993600005</v>
      </c>
      <c r="L2743" s="12">
        <v>3137266000</v>
      </c>
      <c r="M2743">
        <v>17.1820664325646</v>
      </c>
      <c r="N2743" s="7">
        <v>1.91500682828123</v>
      </c>
      <c r="O2743" s="7">
        <v>2.6803300634048299</v>
      </c>
      <c r="P2743" s="7">
        <v>-8.68198430765902</v>
      </c>
      <c r="Q2743" s="7">
        <v>1.5444015444015444</v>
      </c>
      <c r="U2743">
        <v>0.86466804889824722</v>
      </c>
      <c r="AT2743" s="4" t="s">
        <v>8010</v>
      </c>
    </row>
    <row r="2744" spans="1:46">
      <c r="A2744" s="2">
        <v>697</v>
      </c>
      <c r="B2744" t="s">
        <v>8011</v>
      </c>
      <c r="C2744" t="s">
        <v>1094</v>
      </c>
      <c r="D2744" t="s">
        <v>3832</v>
      </c>
      <c r="E2744" s="4">
        <v>43465</v>
      </c>
      <c r="F2744" s="11">
        <v>-39.530067709999997</v>
      </c>
      <c r="G2744" s="11">
        <v>-10.369068540000001</v>
      </c>
      <c r="H2744" s="11">
        <v>-4.4770454142</v>
      </c>
      <c r="I2744" s="11">
        <v>60.028562254699999</v>
      </c>
      <c r="J2744" s="11">
        <v>4.6188511142999999</v>
      </c>
      <c r="K2744" s="10">
        <v>0.86912140525199999</v>
      </c>
      <c r="L2744" s="12">
        <v>3140813385.5999999</v>
      </c>
      <c r="M2744">
        <v>30.494384743400001</v>
      </c>
      <c r="N2744" s="7">
        <v>2.3469346412188998</v>
      </c>
      <c r="O2744" s="7">
        <v>1.90779496470376</v>
      </c>
      <c r="P2744" s="7">
        <v>-42.044340170634896</v>
      </c>
      <c r="Q2744" s="7">
        <v>1.8108651911468814</v>
      </c>
      <c r="U2744">
        <v>0.23679329622159581</v>
      </c>
      <c r="AT2744" s="4" t="s">
        <v>4182</v>
      </c>
    </row>
    <row r="2745" spans="1:46">
      <c r="A2745" s="2">
        <v>704</v>
      </c>
      <c r="B2745" t="s">
        <v>8012</v>
      </c>
      <c r="C2745" t="s">
        <v>2779</v>
      </c>
      <c r="D2745" t="s">
        <v>3728</v>
      </c>
      <c r="E2745" s="4">
        <v>43465</v>
      </c>
      <c r="F2745" s="11">
        <v>-51.672457399999999</v>
      </c>
      <c r="G2745" s="11">
        <v>-10.38812785</v>
      </c>
      <c r="H2745" s="11">
        <v>11.2823777218</v>
      </c>
      <c r="I2745" s="11">
        <v>24.702205660800001</v>
      </c>
      <c r="J2745" s="11">
        <v>8.4145058065999994</v>
      </c>
      <c r="K2745" s="10">
        <v>0.28309227847500001</v>
      </c>
      <c r="L2745" s="12">
        <v>1495054744.2</v>
      </c>
      <c r="M2745">
        <v>40.624740997428098</v>
      </c>
      <c r="N2745" s="7">
        <v>0.87986863445974495</v>
      </c>
      <c r="O2745" s="7">
        <v>1.70128025923836</v>
      </c>
      <c r="P2745" s="7">
        <v>-11.342330732502001</v>
      </c>
      <c r="Q2745" s="7">
        <v>0.65189048239895697</v>
      </c>
      <c r="U2745">
        <v>0.3783185690342053</v>
      </c>
      <c r="AT2745" s="4" t="s">
        <v>3788</v>
      </c>
    </row>
    <row r="2746" spans="1:46">
      <c r="A2746" s="2">
        <v>3578</v>
      </c>
      <c r="B2746" t="s">
        <v>8013</v>
      </c>
      <c r="C2746" t="s">
        <v>1187</v>
      </c>
      <c r="D2746" t="s">
        <v>3737</v>
      </c>
      <c r="E2746" s="4">
        <v>43465</v>
      </c>
      <c r="F2746" s="11">
        <v>-21.19007959</v>
      </c>
      <c r="G2746" s="11">
        <v>-10.44650379</v>
      </c>
      <c r="H2746" s="11">
        <v>-1.8180415716</v>
      </c>
      <c r="I2746" s="11">
        <v>23.457240357700002</v>
      </c>
      <c r="J2746" s="11">
        <v>7.6707274615000003</v>
      </c>
      <c r="K2746" s="10">
        <v>0.57505981629000003</v>
      </c>
      <c r="L2746" s="12">
        <v>2438440108</v>
      </c>
      <c r="M2746">
        <v>38.448322690340397</v>
      </c>
      <c r="N2746" s="7">
        <v>2.7717431159894002</v>
      </c>
      <c r="O2746" s="7">
        <v>3.2238879260920599</v>
      </c>
      <c r="P2746" s="7">
        <v>-60.113953320414701</v>
      </c>
      <c r="Q2746" s="7">
        <v>1.3524936601859678</v>
      </c>
      <c r="U2746">
        <v>0.30192399507692308</v>
      </c>
      <c r="AT2746" s="4" t="s">
        <v>5099</v>
      </c>
    </row>
    <row r="2747" spans="1:46">
      <c r="A2747" s="2">
        <v>1001</v>
      </c>
      <c r="B2747" t="s">
        <v>8014</v>
      </c>
      <c r="C2747" t="s">
        <v>2623</v>
      </c>
      <c r="D2747" t="s">
        <v>3718</v>
      </c>
      <c r="E2747" s="4">
        <v>43465</v>
      </c>
      <c r="F2747" s="11">
        <v>-22.81059063</v>
      </c>
      <c r="G2747" s="11">
        <v>-10.451306410000001</v>
      </c>
      <c r="H2747" s="11">
        <v>50.141295795799998</v>
      </c>
      <c r="I2747" s="11">
        <v>15.5330138713</v>
      </c>
      <c r="J2747" s="11">
        <v>2.3002274475000002</v>
      </c>
      <c r="K2747" s="10">
        <v>0.69398238277099999</v>
      </c>
      <c r="L2747" s="12">
        <v>11427627100</v>
      </c>
      <c r="M2747">
        <v>58.9620679415209</v>
      </c>
      <c r="N2747" s="7">
        <v>1.7490772430636199</v>
      </c>
      <c r="O2747" s="7">
        <v>0.79908106253817801</v>
      </c>
      <c r="P2747" s="7">
        <v>10.610030493169701</v>
      </c>
      <c r="Q2747" s="7" t="s">
        <v>3698</v>
      </c>
      <c r="U2747">
        <v>0.11590720118007382</v>
      </c>
      <c r="AT2747" s="4" t="s">
        <v>4553</v>
      </c>
    </row>
    <row r="2748" spans="1:46">
      <c r="A2748" s="2">
        <v>1574</v>
      </c>
      <c r="B2748" t="s">
        <v>8015</v>
      </c>
      <c r="C2748" t="s">
        <v>1925</v>
      </c>
      <c r="D2748" t="s">
        <v>3737</v>
      </c>
      <c r="E2748" s="4">
        <v>43465</v>
      </c>
      <c r="F2748" s="11">
        <v>-13.03717149</v>
      </c>
      <c r="G2748" s="11">
        <v>-10.45796309</v>
      </c>
      <c r="H2748" s="11">
        <v>262.04910664200003</v>
      </c>
      <c r="I2748" s="11">
        <v>42.8325533732</v>
      </c>
      <c r="J2748" s="11">
        <v>16.042470291800001</v>
      </c>
      <c r="K2748" s="10">
        <v>0.45408470590799999</v>
      </c>
      <c r="L2748" s="12">
        <v>5307316410.1499996</v>
      </c>
      <c r="M2748">
        <v>65.459700883828205</v>
      </c>
      <c r="N2748" s="7">
        <v>12.761063195570401</v>
      </c>
      <c r="O2748" s="7">
        <v>10.424339708724199</v>
      </c>
      <c r="P2748" s="7">
        <v>-28.126076403868598</v>
      </c>
      <c r="Q2748" s="7">
        <v>0.5251312828207052</v>
      </c>
      <c r="U2748">
        <v>0.32229831432462469</v>
      </c>
      <c r="AT2748" s="4" t="s">
        <v>4427</v>
      </c>
    </row>
    <row r="2749" spans="1:46">
      <c r="A2749" s="2">
        <v>2568</v>
      </c>
      <c r="B2749" t="s">
        <v>8016</v>
      </c>
      <c r="C2749" t="s">
        <v>2432</v>
      </c>
      <c r="D2749" t="s">
        <v>4046</v>
      </c>
      <c r="E2749" s="4">
        <v>43465</v>
      </c>
      <c r="F2749" s="11">
        <v>-18.471290490000001</v>
      </c>
      <c r="G2749" s="11">
        <v>-10.462505609999999</v>
      </c>
      <c r="H2749" s="11">
        <v>7.8105563154000004</v>
      </c>
      <c r="I2749" s="11">
        <v>16.3335135586</v>
      </c>
      <c r="J2749" s="11">
        <v>5.2576179015999998</v>
      </c>
      <c r="K2749" s="10">
        <v>0.58504749093200004</v>
      </c>
      <c r="L2749" s="12">
        <v>15308157746</v>
      </c>
      <c r="M2749">
        <v>36.043987556218298</v>
      </c>
      <c r="N2749" s="7">
        <v>1.47440401901261</v>
      </c>
      <c r="O2749" s="7">
        <v>1.59078947451105</v>
      </c>
      <c r="P2749" s="7">
        <v>-32.485392091063602</v>
      </c>
      <c r="Q2749" s="7" t="s">
        <v>3698</v>
      </c>
      <c r="U2749">
        <v>0.78516103146527239</v>
      </c>
      <c r="AT2749" s="4" t="s">
        <v>8017</v>
      </c>
    </row>
    <row r="2750" spans="1:46">
      <c r="A2750" s="2">
        <v>3252</v>
      </c>
      <c r="B2750" t="s">
        <v>8018</v>
      </c>
      <c r="C2750" t="s">
        <v>2716</v>
      </c>
      <c r="D2750" t="s">
        <v>3752</v>
      </c>
      <c r="E2750" s="4">
        <v>43465</v>
      </c>
      <c r="F2750" s="11">
        <v>-25.144508779999999</v>
      </c>
      <c r="G2750" s="11">
        <v>-10.49382716</v>
      </c>
      <c r="H2750" s="11">
        <v>26.8355451907</v>
      </c>
      <c r="I2750" s="11">
        <v>22.103168333799999</v>
      </c>
      <c r="J2750" s="11">
        <v>4.9626221925999996</v>
      </c>
      <c r="K2750" s="10">
        <v>0.45529828491899998</v>
      </c>
      <c r="L2750" s="12">
        <v>12680153241.6</v>
      </c>
      <c r="M2750">
        <v>23.129930882703299</v>
      </c>
      <c r="N2750" s="7">
        <v>1.4929523891618</v>
      </c>
      <c r="O2750" s="7">
        <v>2.3885710424401099</v>
      </c>
      <c r="P2750" s="7">
        <v>20.223457023635099</v>
      </c>
      <c r="Q2750" s="7" t="s">
        <v>3698</v>
      </c>
      <c r="U2750">
        <v>4.1113919116322881E-2</v>
      </c>
      <c r="AT2750" s="4" t="s">
        <v>4164</v>
      </c>
    </row>
    <row r="2751" spans="1:46">
      <c r="A2751" s="2">
        <v>2514</v>
      </c>
      <c r="B2751" t="s">
        <v>8019</v>
      </c>
      <c r="C2751" t="s">
        <v>94</v>
      </c>
      <c r="D2751" t="s">
        <v>3728</v>
      </c>
      <c r="E2751" s="4">
        <v>43465</v>
      </c>
      <c r="F2751" s="11">
        <v>-14.37164563</v>
      </c>
      <c r="G2751" s="11">
        <v>-10.49528302</v>
      </c>
      <c r="H2751" s="11">
        <v>4.8880905664999998</v>
      </c>
      <c r="I2751" s="11">
        <v>40.840047759199997</v>
      </c>
      <c r="J2751" s="11">
        <v>18.103593856700002</v>
      </c>
      <c r="K2751" s="10">
        <v>0.69810993200399996</v>
      </c>
      <c r="L2751" s="12">
        <v>2934275641.7600002</v>
      </c>
      <c r="M2751">
        <v>11.480692165919701</v>
      </c>
      <c r="N2751" s="7">
        <v>3.0986866290808299</v>
      </c>
      <c r="O2751" s="7">
        <v>2.0302739953748299</v>
      </c>
      <c r="P2751" s="7">
        <v>12.8502264877073</v>
      </c>
      <c r="Q2751" s="7">
        <v>5.0293952073469903</v>
      </c>
      <c r="U2751">
        <v>0.76896513795787591</v>
      </c>
      <c r="AT2751" s="4" t="s">
        <v>7379</v>
      </c>
    </row>
    <row r="2752" spans="1:46">
      <c r="A2752" s="2">
        <v>2251</v>
      </c>
      <c r="B2752" t="s">
        <v>8020</v>
      </c>
      <c r="C2752" t="s">
        <v>426</v>
      </c>
      <c r="D2752" t="s">
        <v>3849</v>
      </c>
      <c r="E2752" s="4">
        <v>43465</v>
      </c>
      <c r="F2752" s="11">
        <v>-17.383781899999999</v>
      </c>
      <c r="G2752" s="11">
        <v>-10.57367829</v>
      </c>
      <c r="H2752" s="11">
        <v>3.4556246348999999</v>
      </c>
      <c r="I2752" s="11">
        <v>13.253369923399999</v>
      </c>
      <c r="J2752" s="11">
        <v>5.4532710958999999</v>
      </c>
      <c r="K2752" s="10">
        <v>1.197891893</v>
      </c>
      <c r="L2752" s="12">
        <v>36911695974.580002</v>
      </c>
      <c r="M2752">
        <v>9.0636556491265008</v>
      </c>
      <c r="N2752" s="7">
        <v>1.33797790667437</v>
      </c>
      <c r="O2752" s="7">
        <v>0.33243122185283502</v>
      </c>
      <c r="P2752" s="7">
        <v>-28.4483766861246</v>
      </c>
      <c r="Q2752" s="7">
        <v>5.419354838709677</v>
      </c>
      <c r="U2752">
        <v>3.0820669884442249</v>
      </c>
      <c r="AT2752" s="4" t="s">
        <v>8021</v>
      </c>
    </row>
    <row r="2753" spans="1:46">
      <c r="A2753" s="2">
        <v>2765</v>
      </c>
      <c r="B2753" t="s">
        <v>8022</v>
      </c>
      <c r="C2753" t="s">
        <v>2097</v>
      </c>
      <c r="D2753" t="s">
        <v>3871</v>
      </c>
      <c r="E2753" s="4">
        <v>43465</v>
      </c>
      <c r="F2753" s="11">
        <v>-36.1</v>
      </c>
      <c r="G2753" s="11">
        <v>-10.608203680000001</v>
      </c>
      <c r="H2753" s="11">
        <v>-39.535581720000003</v>
      </c>
      <c r="I2753" s="11">
        <v>20.661984020999999</v>
      </c>
      <c r="J2753" s="11">
        <v>7.0509441645999997</v>
      </c>
      <c r="K2753" s="10">
        <v>0.36446947960699999</v>
      </c>
      <c r="L2753" s="12">
        <v>2696947189.1199999</v>
      </c>
      <c r="M2753">
        <v>49.3604732999327</v>
      </c>
      <c r="N2753" s="7">
        <v>3.4478521660508701</v>
      </c>
      <c r="O2753" s="7">
        <v>3.0568079691144399</v>
      </c>
      <c r="P2753" s="7">
        <v>-10.751311012001</v>
      </c>
      <c r="Q2753" s="7" t="s">
        <v>3698</v>
      </c>
      <c r="U2753">
        <v>0.1223281138234746</v>
      </c>
      <c r="AT2753" s="4" t="s">
        <v>5047</v>
      </c>
    </row>
    <row r="2754" spans="1:46">
      <c r="A2754" s="2">
        <v>3130</v>
      </c>
      <c r="B2754" t="s">
        <v>8023</v>
      </c>
      <c r="C2754" t="s">
        <v>1031</v>
      </c>
      <c r="D2754" t="s">
        <v>3858</v>
      </c>
      <c r="E2754" s="4">
        <v>43465</v>
      </c>
      <c r="F2754" s="11">
        <v>-39.50122631</v>
      </c>
      <c r="G2754" s="11">
        <v>-10.610932480000001</v>
      </c>
      <c r="H2754" s="11">
        <v>18.661755893399999</v>
      </c>
      <c r="I2754" s="11">
        <v>12.576240174300001</v>
      </c>
      <c r="J2754" s="11">
        <v>2.6147510567999999</v>
      </c>
      <c r="K2754" s="10">
        <v>0.67847911607400002</v>
      </c>
      <c r="L2754" s="12">
        <v>5283432000</v>
      </c>
      <c r="M2754">
        <v>11.0162322254392</v>
      </c>
      <c r="N2754" s="7">
        <v>0.94981368263328303</v>
      </c>
      <c r="O2754" s="7">
        <v>0.234877569679382</v>
      </c>
      <c r="P2754" s="7">
        <v>51.977473322881501</v>
      </c>
      <c r="Q2754" s="7">
        <v>2.6119402985074625</v>
      </c>
      <c r="U2754">
        <v>0.30745498398386173</v>
      </c>
      <c r="AT2754" s="4" t="s">
        <v>8024</v>
      </c>
    </row>
    <row r="2755" spans="1:46">
      <c r="A2755" s="2">
        <v>1197</v>
      </c>
      <c r="B2755" t="s">
        <v>8025</v>
      </c>
      <c r="C2755" t="s">
        <v>1963</v>
      </c>
      <c r="D2755" t="s">
        <v>3718</v>
      </c>
      <c r="E2755" s="4">
        <v>43465</v>
      </c>
      <c r="F2755" s="11">
        <v>-49.644242290000001</v>
      </c>
      <c r="G2755" s="11">
        <v>-10.6169297</v>
      </c>
      <c r="H2755" s="11">
        <v>10.605546314</v>
      </c>
      <c r="I2755" s="11">
        <v>27.365718765299999</v>
      </c>
      <c r="J2755" s="11">
        <v>0.25879746770000001</v>
      </c>
      <c r="K2755" s="10">
        <v>0.47933937342900002</v>
      </c>
      <c r="L2755" s="12">
        <v>2893281600</v>
      </c>
      <c r="M2755">
        <v>30.615137810390699</v>
      </c>
      <c r="N2755" s="7">
        <v>3.4465510011977498</v>
      </c>
      <c r="O2755" s="7">
        <v>2.06356996733544</v>
      </c>
      <c r="P2755" s="7">
        <v>20.950606290846</v>
      </c>
      <c r="Q2755" s="7">
        <v>0.33444816053511706</v>
      </c>
      <c r="U2755">
        <v>5.809617900412449E-2</v>
      </c>
      <c r="AT2755" s="4" t="s">
        <v>8026</v>
      </c>
    </row>
    <row r="2756" spans="1:46">
      <c r="A2756" s="2">
        <v>1084</v>
      </c>
      <c r="B2756" t="s">
        <v>8027</v>
      </c>
      <c r="C2756" t="s">
        <v>942</v>
      </c>
      <c r="D2756" t="s">
        <v>3764</v>
      </c>
      <c r="E2756" s="4">
        <v>43465</v>
      </c>
      <c r="F2756" s="11">
        <v>-71.016422410000004</v>
      </c>
      <c r="G2756" s="11">
        <v>-10.664819939999999</v>
      </c>
      <c r="H2756" s="11">
        <v>-0.15860660739999999</v>
      </c>
      <c r="I2756" s="11">
        <v>28.673348517000001</v>
      </c>
      <c r="J2756" s="11">
        <v>13.8497808864</v>
      </c>
      <c r="K2756" s="10">
        <v>0.34959289014400002</v>
      </c>
      <c r="L2756" s="12">
        <v>6393599802.3100004</v>
      </c>
      <c r="M2756">
        <v>16.0702647582205</v>
      </c>
      <c r="N2756" s="7">
        <v>1.71208872932662</v>
      </c>
      <c r="O2756" s="7">
        <v>1.8468610950123101</v>
      </c>
      <c r="P2756" s="7">
        <v>-403.86444188396399</v>
      </c>
      <c r="Q2756" s="7">
        <v>1.6233766233766231</v>
      </c>
      <c r="U2756">
        <v>0.48546298531146787</v>
      </c>
      <c r="AT2756" s="4" t="s">
        <v>7087</v>
      </c>
    </row>
    <row r="2757" spans="1:46">
      <c r="A2757" s="2">
        <v>3489</v>
      </c>
      <c r="B2757" t="s">
        <v>8028</v>
      </c>
      <c r="C2757" t="s">
        <v>1308</v>
      </c>
      <c r="D2757" t="s">
        <v>3977</v>
      </c>
      <c r="E2757" s="4">
        <v>43465</v>
      </c>
      <c r="F2757" s="11">
        <v>-25.574005469999999</v>
      </c>
      <c r="G2757" s="11">
        <v>-10.696338839999999</v>
      </c>
      <c r="H2757" s="11">
        <v>6.8899598490000002</v>
      </c>
      <c r="I2757" s="11">
        <v>17.440541081500001</v>
      </c>
      <c r="J2757" s="11">
        <v>5.6246253193999998</v>
      </c>
      <c r="K2757" s="10">
        <v>0.81326299217700004</v>
      </c>
      <c r="L2757" s="12">
        <v>2986611481.2800002</v>
      </c>
      <c r="M2757">
        <v>35.039244840898697</v>
      </c>
      <c r="N2757" s="7">
        <v>2.8341752177141601</v>
      </c>
      <c r="O2757" s="7">
        <v>2.0341656322594299</v>
      </c>
      <c r="P2757" s="7">
        <v>217.395388135167</v>
      </c>
      <c r="Q2757" s="7">
        <v>1.6763060539206696</v>
      </c>
      <c r="U2757">
        <v>0.396087799787877</v>
      </c>
      <c r="AT2757" s="4" t="s">
        <v>3795</v>
      </c>
    </row>
    <row r="2758" spans="1:46">
      <c r="A2758" s="2">
        <v>1862</v>
      </c>
      <c r="B2758" t="s">
        <v>8029</v>
      </c>
      <c r="C2758" t="s">
        <v>614</v>
      </c>
      <c r="D2758" t="s">
        <v>3752</v>
      </c>
      <c r="E2758" s="4">
        <v>43465</v>
      </c>
      <c r="F2758" s="11">
        <v>-32.160212280000003</v>
      </c>
      <c r="G2758" s="11">
        <v>-10.70205479</v>
      </c>
      <c r="H2758" s="11">
        <v>103.54851965349999</v>
      </c>
      <c r="I2758" s="11">
        <v>37.175171837000001</v>
      </c>
      <c r="J2758" s="11">
        <v>16.610820216499999</v>
      </c>
      <c r="K2758" s="10">
        <v>0.48922328226799999</v>
      </c>
      <c r="L2758" s="12">
        <v>7482532400</v>
      </c>
      <c r="M2758">
        <v>11.4097389018984</v>
      </c>
      <c r="N2758" s="7">
        <v>3.05144602910618</v>
      </c>
      <c r="O2758" s="7">
        <v>1.7071405941136399</v>
      </c>
      <c r="P2758" s="7">
        <v>-51.352674064996002</v>
      </c>
      <c r="Q2758" s="7">
        <v>2.2885572139303481</v>
      </c>
      <c r="U2758">
        <v>1.1314137915074189</v>
      </c>
      <c r="AT2758" s="4" t="s">
        <v>4377</v>
      </c>
    </row>
    <row r="2759" spans="1:46">
      <c r="A2759" s="2">
        <v>3285</v>
      </c>
      <c r="B2759" t="s">
        <v>8030</v>
      </c>
      <c r="C2759" t="s">
        <v>1162</v>
      </c>
      <c r="D2759" t="s">
        <v>3832</v>
      </c>
      <c r="E2759" s="4">
        <v>43465</v>
      </c>
      <c r="F2759" s="11">
        <v>-5.9420835299999997</v>
      </c>
      <c r="G2759" s="11">
        <v>-10.70576202</v>
      </c>
      <c r="H2759" s="11">
        <v>6.2390537760000004</v>
      </c>
      <c r="I2759" s="11">
        <v>62.103559582000003</v>
      </c>
      <c r="J2759" s="11">
        <v>24.119033525900001</v>
      </c>
      <c r="K2759" s="10">
        <v>0.43847493223200001</v>
      </c>
      <c r="L2759" s="12">
        <v>3561987910</v>
      </c>
      <c r="M2759">
        <v>24.276486687267301</v>
      </c>
      <c r="N2759" s="7">
        <v>2.84196951796944</v>
      </c>
      <c r="O2759" s="7">
        <v>4.9178338761960703</v>
      </c>
      <c r="P2759" s="7">
        <v>-14.9763039613446</v>
      </c>
      <c r="Q2759" s="7">
        <v>2.1391289466929067</v>
      </c>
      <c r="U2759">
        <v>1.290126243125</v>
      </c>
      <c r="AT2759" s="4" t="s">
        <v>8031</v>
      </c>
    </row>
    <row r="2760" spans="1:46">
      <c r="A2760" s="2">
        <v>3197</v>
      </c>
      <c r="B2760" t="s">
        <v>8032</v>
      </c>
      <c r="C2760" t="s">
        <v>357</v>
      </c>
      <c r="D2760" t="s">
        <v>3837</v>
      </c>
      <c r="E2760" s="4">
        <v>43465</v>
      </c>
      <c r="F2760" s="11">
        <v>6.20411322</v>
      </c>
      <c r="G2760" s="11">
        <v>-10.76779026</v>
      </c>
      <c r="H2760" s="11">
        <v>1.3485750045</v>
      </c>
      <c r="I2760" s="11" t="s">
        <v>3698</v>
      </c>
      <c r="J2760" s="11">
        <v>41.348830125100001</v>
      </c>
      <c r="K2760" s="10" t="s">
        <v>3698</v>
      </c>
      <c r="L2760" s="12">
        <v>3591070000</v>
      </c>
      <c r="M2760">
        <v>4.8829847123293098</v>
      </c>
      <c r="N2760" s="7">
        <v>0.82277954638362005</v>
      </c>
      <c r="O2760" s="7">
        <v>1.9442573665721701</v>
      </c>
      <c r="P2760" s="7">
        <v>-12.7963878214935</v>
      </c>
      <c r="Q2760" s="7">
        <v>3.1022180859314412</v>
      </c>
      <c r="U2760">
        <v>2.2349669813071209</v>
      </c>
      <c r="AT2760" s="4" t="s">
        <v>8033</v>
      </c>
    </row>
    <row r="2761" spans="1:46">
      <c r="A2761" s="2">
        <v>1612</v>
      </c>
      <c r="B2761" t="s">
        <v>8034</v>
      </c>
      <c r="C2761" t="s">
        <v>2170</v>
      </c>
      <c r="D2761" t="s">
        <v>3764</v>
      </c>
      <c r="E2761" s="4">
        <v>43465</v>
      </c>
      <c r="F2761" s="11">
        <v>-57.900200079999998</v>
      </c>
      <c r="G2761" s="11">
        <v>-10.76923077</v>
      </c>
      <c r="H2761" s="11">
        <v>-22.608891562699998</v>
      </c>
      <c r="I2761" s="11">
        <v>20.6231198923</v>
      </c>
      <c r="J2761" s="11">
        <v>-18.203679885</v>
      </c>
      <c r="K2761" s="10">
        <v>0.29160532493699998</v>
      </c>
      <c r="L2761" s="12">
        <v>3242459425.5900002</v>
      </c>
      <c r="M2761">
        <v>42.759339534382498</v>
      </c>
      <c r="N2761" s="7">
        <v>2.3856509792979401</v>
      </c>
      <c r="O2761" s="7">
        <v>3.0376494163967802</v>
      </c>
      <c r="P2761" s="7">
        <v>-9.5340110135872997</v>
      </c>
      <c r="Q2761" s="7" t="s">
        <v>3698</v>
      </c>
      <c r="U2761">
        <v>-0.25708311411350288</v>
      </c>
      <c r="AT2761" s="4" t="s">
        <v>6527</v>
      </c>
    </row>
    <row r="2762" spans="1:46">
      <c r="A2762" s="2">
        <v>1573</v>
      </c>
      <c r="B2762" t="s">
        <v>8035</v>
      </c>
      <c r="C2762" t="s">
        <v>1776</v>
      </c>
      <c r="D2762" t="s">
        <v>3790</v>
      </c>
      <c r="E2762" s="4">
        <v>43465</v>
      </c>
      <c r="F2762" s="11">
        <v>-51.847242119999997</v>
      </c>
      <c r="G2762" s="11">
        <v>-10.78651685</v>
      </c>
      <c r="H2762" s="11">
        <v>20.2752310873</v>
      </c>
      <c r="I2762" s="11">
        <v>38.641373961100001</v>
      </c>
      <c r="J2762" s="11">
        <v>-96.610534487699994</v>
      </c>
      <c r="K2762" s="10">
        <v>0.26232059311799999</v>
      </c>
      <c r="L2762" s="12">
        <v>2881968180</v>
      </c>
      <c r="M2762">
        <v>36.862703497490102</v>
      </c>
      <c r="N2762" s="7">
        <v>2.7206853486626099</v>
      </c>
      <c r="O2762" s="7">
        <v>3.4027473894415001</v>
      </c>
      <c r="P2762" s="7">
        <v>-7.4767530043948502</v>
      </c>
      <c r="Q2762" s="7" t="s">
        <v>3698</v>
      </c>
      <c r="U2762">
        <v>-1.2849186825790744</v>
      </c>
      <c r="AT2762" s="4" t="s">
        <v>5307</v>
      </c>
    </row>
    <row r="2763" spans="1:46">
      <c r="A2763" s="2">
        <v>2247</v>
      </c>
      <c r="B2763" t="s">
        <v>8036</v>
      </c>
      <c r="C2763" t="s">
        <v>3385</v>
      </c>
      <c r="D2763" t="s">
        <v>3713</v>
      </c>
      <c r="E2763" s="4">
        <v>43465</v>
      </c>
      <c r="F2763" s="11">
        <v>-10.40954024</v>
      </c>
      <c r="G2763" s="11">
        <v>-10.791366910000001</v>
      </c>
      <c r="H2763" s="11">
        <v>-4.4495519887999997</v>
      </c>
      <c r="I2763" s="11">
        <v>20.562147489899999</v>
      </c>
      <c r="J2763" s="11">
        <v>-14.0778250094</v>
      </c>
      <c r="K2763" s="10">
        <v>0.39044121459199999</v>
      </c>
      <c r="L2763" s="12">
        <v>4963307675.8400002</v>
      </c>
      <c r="M2763">
        <v>-61.690935253909302</v>
      </c>
      <c r="N2763" s="7">
        <v>1.8206206392720801</v>
      </c>
      <c r="O2763" s="7">
        <v>1.1050495976050201</v>
      </c>
      <c r="P2763" s="7">
        <v>76.182136775081901</v>
      </c>
      <c r="Q2763" s="7" t="s">
        <v>3698</v>
      </c>
      <c r="U2763">
        <v>-1.3090112032196608</v>
      </c>
      <c r="AT2763" s="4" t="s">
        <v>4449</v>
      </c>
    </row>
    <row r="2764" spans="1:46">
      <c r="A2764" s="2">
        <v>2171</v>
      </c>
      <c r="B2764" t="s">
        <v>8037</v>
      </c>
      <c r="C2764" t="s">
        <v>1976</v>
      </c>
      <c r="D2764" t="s">
        <v>3842</v>
      </c>
      <c r="E2764" s="4">
        <v>43465</v>
      </c>
      <c r="F2764" s="11">
        <v>-46.006097570000001</v>
      </c>
      <c r="G2764" s="11">
        <v>-10.81081081</v>
      </c>
      <c r="H2764" s="11">
        <v>25.1544162838</v>
      </c>
      <c r="I2764" s="11">
        <v>15.7212633575</v>
      </c>
      <c r="J2764" s="11">
        <v>4.9556147346000001</v>
      </c>
      <c r="K2764" s="10">
        <v>0.45482564269100001</v>
      </c>
      <c r="L2764" s="12">
        <v>6940000788.7200003</v>
      </c>
      <c r="M2764">
        <v>22.948474482357401</v>
      </c>
      <c r="N2764" s="7">
        <v>1.2858240696572301</v>
      </c>
      <c r="O2764" s="7">
        <v>1.0059234121094101</v>
      </c>
      <c r="P2764" s="7">
        <v>78.949532869203694</v>
      </c>
      <c r="Q2764" s="7">
        <v>0.54687500000000011</v>
      </c>
      <c r="U2764">
        <v>7.2913446053127412E-2</v>
      </c>
      <c r="AT2764" s="4" t="s">
        <v>8038</v>
      </c>
    </row>
    <row r="2765" spans="1:46">
      <c r="A2765" s="2">
        <v>2115</v>
      </c>
      <c r="B2765" t="s">
        <v>8039</v>
      </c>
      <c r="C2765" t="s">
        <v>3280</v>
      </c>
      <c r="D2765" t="s">
        <v>3713</v>
      </c>
      <c r="E2765" s="4">
        <v>43465</v>
      </c>
      <c r="F2765" s="11">
        <v>-38.809411330000003</v>
      </c>
      <c r="G2765" s="11">
        <v>-10.86121777</v>
      </c>
      <c r="H2765" s="11">
        <v>-12.5012847449</v>
      </c>
      <c r="I2765" s="11">
        <v>31.783867793799999</v>
      </c>
      <c r="J2765" s="11">
        <v>1.4357201851000001</v>
      </c>
      <c r="K2765" s="10">
        <v>0.496520772158</v>
      </c>
      <c r="L2765" s="12">
        <v>2378126822.7199998</v>
      </c>
      <c r="M2765">
        <v>-573.97181813457598</v>
      </c>
      <c r="N2765" s="7">
        <v>6.4182424824378597</v>
      </c>
      <c r="O2765" s="7">
        <v>8.9459359468523001</v>
      </c>
      <c r="P2765" s="7">
        <v>-13.7262497005706</v>
      </c>
      <c r="Q2765" s="7" t="s">
        <v>3698</v>
      </c>
      <c r="U2765">
        <v>3.1987510746268662E-2</v>
      </c>
      <c r="AT2765" s="4" t="s">
        <v>8040</v>
      </c>
    </row>
    <row r="2766" spans="1:46">
      <c r="A2766" s="2">
        <v>418</v>
      </c>
      <c r="B2766" t="s">
        <v>8041</v>
      </c>
      <c r="C2766" t="s">
        <v>308</v>
      </c>
      <c r="D2766" t="s">
        <v>3849</v>
      </c>
      <c r="E2766" s="4">
        <v>43465</v>
      </c>
      <c r="F2766" s="11">
        <v>-48.06010938</v>
      </c>
      <c r="G2766" s="11">
        <v>-10.86956522</v>
      </c>
      <c r="H2766" s="11">
        <v>5.0750564509</v>
      </c>
      <c r="I2766" s="11">
        <v>27.351311222700001</v>
      </c>
      <c r="J2766" s="11">
        <v>9.2005748711000006</v>
      </c>
      <c r="K2766" s="10">
        <v>0.78719236405699999</v>
      </c>
      <c r="L2766" s="12">
        <v>1528363101.72</v>
      </c>
      <c r="M2766">
        <v>11.3607023524402</v>
      </c>
      <c r="N2766" s="7">
        <v>2.2045147761660999</v>
      </c>
      <c r="O2766" s="7">
        <v>0.97442082695810595</v>
      </c>
      <c r="P2766" s="7">
        <v>22.627266941102398</v>
      </c>
      <c r="Q2766" s="7">
        <v>2.4752470138154012</v>
      </c>
      <c r="U2766">
        <v>0.91450224155263438</v>
      </c>
      <c r="AT2766" s="4" t="s">
        <v>3865</v>
      </c>
    </row>
    <row r="2767" spans="1:46">
      <c r="A2767" s="2">
        <v>3201</v>
      </c>
      <c r="B2767" t="s">
        <v>8042</v>
      </c>
      <c r="C2767" t="s">
        <v>862</v>
      </c>
      <c r="D2767" t="s">
        <v>3728</v>
      </c>
      <c r="E2767" s="4">
        <v>43465</v>
      </c>
      <c r="F2767" s="11">
        <v>-33.741864280000001</v>
      </c>
      <c r="G2767" s="11">
        <v>-10.880316519999999</v>
      </c>
      <c r="H2767" s="11">
        <v>-6.7003736925000004</v>
      </c>
      <c r="I2767" s="11">
        <v>35.737016305099999</v>
      </c>
      <c r="J2767" s="11">
        <v>4.4784912796</v>
      </c>
      <c r="K2767" s="10">
        <v>0.59600940037299999</v>
      </c>
      <c r="L2767" s="12">
        <v>1605868300.7</v>
      </c>
      <c r="M2767">
        <v>25.666441024859299</v>
      </c>
      <c r="N2767" s="7">
        <v>1.0227483680535101</v>
      </c>
      <c r="O2767" s="7">
        <v>1.27884368016678</v>
      </c>
      <c r="P2767" s="7">
        <v>11.4929570633496</v>
      </c>
      <c r="Q2767" s="7">
        <v>3.4285714285714288</v>
      </c>
      <c r="U2767">
        <v>0.34152948700683322</v>
      </c>
      <c r="AT2767" s="4" t="s">
        <v>6597</v>
      </c>
    </row>
    <row r="2768" spans="1:46">
      <c r="A2768" s="2">
        <v>1315</v>
      </c>
      <c r="B2768" t="s">
        <v>8043</v>
      </c>
      <c r="C2768" t="s">
        <v>1801</v>
      </c>
      <c r="D2768" t="s">
        <v>3858</v>
      </c>
      <c r="E2768" s="4">
        <v>43465</v>
      </c>
      <c r="F2768" s="11">
        <v>-18.809356770000001</v>
      </c>
      <c r="G2768" s="11">
        <v>-10.88888889</v>
      </c>
      <c r="H2768" s="11">
        <v>26.055144095900001</v>
      </c>
      <c r="I2768" s="11">
        <v>21.9676024135</v>
      </c>
      <c r="J2768" s="11">
        <v>4.9650244058000004</v>
      </c>
      <c r="K2768" s="10">
        <v>0.85701445796300002</v>
      </c>
      <c r="L2768" s="12">
        <v>3392607268</v>
      </c>
      <c r="M2768">
        <v>29.398030957777198</v>
      </c>
      <c r="N2768" s="7">
        <v>2.3125774136475798</v>
      </c>
      <c r="O2768" s="7">
        <v>1.5714218087787899</v>
      </c>
      <c r="P2768" s="7">
        <v>502.19332780922701</v>
      </c>
      <c r="Q2768" s="7">
        <v>1.3175230566534915</v>
      </c>
      <c r="U2768">
        <v>0.63466818261111113</v>
      </c>
      <c r="AT2768" s="4" t="s">
        <v>5063</v>
      </c>
    </row>
    <row r="2769" spans="1:46">
      <c r="A2769" s="2">
        <v>454</v>
      </c>
      <c r="B2769" t="s">
        <v>8044</v>
      </c>
      <c r="C2769" t="s">
        <v>916</v>
      </c>
      <c r="D2769" t="s">
        <v>3781</v>
      </c>
      <c r="E2769" s="4">
        <v>43465</v>
      </c>
      <c r="F2769" s="11">
        <v>-50.392096019999997</v>
      </c>
      <c r="G2769" s="11">
        <v>-10.916442050000001</v>
      </c>
      <c r="H2769" s="11">
        <v>11.401694574</v>
      </c>
      <c r="I2769" s="11">
        <v>16.383246645300002</v>
      </c>
      <c r="J2769" s="11">
        <v>2.9223347881000001</v>
      </c>
      <c r="K2769" s="10">
        <v>1.3492064853750001</v>
      </c>
      <c r="L2769" s="12">
        <v>2680682400</v>
      </c>
      <c r="M2769">
        <v>40.474347429293402</v>
      </c>
      <c r="N2769" s="7">
        <v>1.5473422076032199</v>
      </c>
      <c r="O2769" s="7">
        <v>2.0462394021875401</v>
      </c>
      <c r="P2769" s="7">
        <v>-87.166872845984898</v>
      </c>
      <c r="Q2769" s="7">
        <v>0.39370078740157477</v>
      </c>
      <c r="U2769">
        <v>0.26143696032799929</v>
      </c>
      <c r="AT2769" s="4" t="s">
        <v>4998</v>
      </c>
    </row>
    <row r="2770" spans="1:46">
      <c r="A2770" s="2">
        <v>628</v>
      </c>
      <c r="B2770" t="s">
        <v>8045</v>
      </c>
      <c r="C2770" t="s">
        <v>513</v>
      </c>
      <c r="D2770" t="s">
        <v>4060</v>
      </c>
      <c r="E2770" s="4">
        <v>43465</v>
      </c>
      <c r="F2770" s="11">
        <v>2.1489747700000001</v>
      </c>
      <c r="G2770" s="11">
        <v>-10.9540636</v>
      </c>
      <c r="H2770" s="11">
        <v>8.1251650744999999</v>
      </c>
      <c r="I2770" s="11">
        <v>38.948035653600002</v>
      </c>
      <c r="J2770" s="11">
        <v>16.6695194152</v>
      </c>
      <c r="K2770" s="10">
        <v>0.679477325001</v>
      </c>
      <c r="L2770" s="12">
        <v>4810624000</v>
      </c>
      <c r="M2770">
        <v>21.554837762715302</v>
      </c>
      <c r="N2770" s="7">
        <v>3.1693272291925898</v>
      </c>
      <c r="O2770" s="7">
        <v>3.3185747547434898</v>
      </c>
      <c r="P2770" s="7">
        <v>26.829401034968399</v>
      </c>
      <c r="Q2770" s="7">
        <v>4.1481481481481479</v>
      </c>
      <c r="U2770">
        <v>0.70583673856852558</v>
      </c>
      <c r="AT2770" s="4" t="s">
        <v>4620</v>
      </c>
    </row>
    <row r="2771" spans="1:46">
      <c r="A2771" s="2">
        <v>856</v>
      </c>
      <c r="B2771" t="s">
        <v>8046</v>
      </c>
      <c r="C2771" t="s">
        <v>961</v>
      </c>
      <c r="D2771" t="s">
        <v>4060</v>
      </c>
      <c r="E2771" s="4">
        <v>43465</v>
      </c>
      <c r="F2771" s="11">
        <v>-62.096933489999998</v>
      </c>
      <c r="G2771" s="11">
        <v>-10.96196868</v>
      </c>
      <c r="H2771" s="11">
        <v>5.2440615531999999</v>
      </c>
      <c r="I2771" s="11">
        <v>39.335690342299998</v>
      </c>
      <c r="J2771" s="11">
        <v>2.2096191316999998</v>
      </c>
      <c r="K2771" s="10">
        <v>0.59785000402199995</v>
      </c>
      <c r="L2771" s="12">
        <v>2856751305</v>
      </c>
      <c r="M2771">
        <v>16.285973113489</v>
      </c>
      <c r="N2771" s="7">
        <v>1.72387295215065</v>
      </c>
      <c r="O2771" s="7">
        <v>1.2592739550930301</v>
      </c>
      <c r="P2771" s="7">
        <v>128.28795137123501</v>
      </c>
      <c r="Q2771" s="7" t="s">
        <v>3698</v>
      </c>
      <c r="U2771">
        <v>7.8466845661356505E-2</v>
      </c>
      <c r="AT2771" s="4" t="s">
        <v>5762</v>
      </c>
    </row>
    <row r="2772" spans="1:46">
      <c r="A2772" s="2">
        <v>2420</v>
      </c>
      <c r="B2772" t="s">
        <v>8047</v>
      </c>
      <c r="C2772" t="s">
        <v>1614</v>
      </c>
      <c r="D2772" t="s">
        <v>3837</v>
      </c>
      <c r="E2772" s="4">
        <v>43465</v>
      </c>
      <c r="F2772" s="11">
        <v>-61.622945100000003</v>
      </c>
      <c r="G2772" s="11">
        <v>-10.981535470000001</v>
      </c>
      <c r="H2772" s="11">
        <v>-23.2462300324</v>
      </c>
      <c r="I2772" s="11" t="s">
        <v>3698</v>
      </c>
      <c r="J2772" s="11">
        <v>1.9004988997000001</v>
      </c>
      <c r="K2772" s="10" t="s">
        <v>3698</v>
      </c>
      <c r="L2772" s="12">
        <v>3180263376.0500002</v>
      </c>
      <c r="M2772">
        <v>93.758176956695706</v>
      </c>
      <c r="N2772" s="7">
        <v>0.96048378796872003</v>
      </c>
      <c r="O2772" s="7">
        <v>0.43554839377226101</v>
      </c>
      <c r="P2772" s="7">
        <v>-1.3782209210245899</v>
      </c>
      <c r="Q2772" s="7">
        <v>0.19464720194647203</v>
      </c>
      <c r="U2772">
        <v>0.34546915370249126</v>
      </c>
      <c r="AT2772" s="4" t="s">
        <v>5296</v>
      </c>
    </row>
    <row r="2773" spans="1:46">
      <c r="A2773" s="2">
        <v>2433</v>
      </c>
      <c r="B2773" t="s">
        <v>8048</v>
      </c>
      <c r="C2773" t="s">
        <v>3657</v>
      </c>
      <c r="D2773" t="s">
        <v>3811</v>
      </c>
      <c r="E2773" s="4">
        <v>43465</v>
      </c>
      <c r="F2773" s="11">
        <v>-47.846012829999999</v>
      </c>
      <c r="G2773" s="11">
        <v>-11.00628931</v>
      </c>
      <c r="H2773" s="11">
        <v>8.0673272777000005</v>
      </c>
      <c r="I2773" s="11">
        <v>15.9258197816</v>
      </c>
      <c r="J2773" s="11">
        <v>-12.8059612617</v>
      </c>
      <c r="K2773" s="10">
        <v>0.627469068558</v>
      </c>
      <c r="L2773" s="12">
        <v>2057084223</v>
      </c>
      <c r="M2773">
        <v>-9.9939171751912301</v>
      </c>
      <c r="N2773" s="7">
        <v>52.283518953539598</v>
      </c>
      <c r="O2773" s="7">
        <v>1.1402507371555399</v>
      </c>
      <c r="P2773" s="7">
        <v>-200.62420866739799</v>
      </c>
      <c r="Q2773" s="7" t="s">
        <v>3698</v>
      </c>
      <c r="U2773">
        <v>-0.71665752000357386</v>
      </c>
      <c r="AT2773" s="4" t="s">
        <v>8003</v>
      </c>
    </row>
    <row r="2774" spans="1:46">
      <c r="A2774" s="2">
        <v>3355</v>
      </c>
      <c r="B2774" t="s">
        <v>8049</v>
      </c>
      <c r="C2774" t="s">
        <v>538</v>
      </c>
      <c r="D2774" t="s">
        <v>3849</v>
      </c>
      <c r="E2774" s="4">
        <v>43465</v>
      </c>
      <c r="F2774" s="11">
        <v>-19.539923850000001</v>
      </c>
      <c r="G2774" s="11">
        <v>-11.017786559999999</v>
      </c>
      <c r="H2774" s="11">
        <v>11.136597053699999</v>
      </c>
      <c r="I2774" s="11">
        <v>31.341610039799999</v>
      </c>
      <c r="J2774" s="11">
        <v>10.7343991282</v>
      </c>
      <c r="K2774" s="10">
        <v>0.733682081672</v>
      </c>
      <c r="L2774" s="12">
        <v>1975610000</v>
      </c>
      <c r="M2774">
        <v>17.8631473274401</v>
      </c>
      <c r="N2774" s="7">
        <v>2.1839410946384601</v>
      </c>
      <c r="O2774" s="7">
        <v>1.8271812246333701</v>
      </c>
      <c r="P2774" s="7">
        <v>32.305071004947003</v>
      </c>
      <c r="Q2774" s="7">
        <v>1.7488619885343288</v>
      </c>
      <c r="U2774">
        <v>1.2000337168808701</v>
      </c>
      <c r="AT2774" s="4" t="s">
        <v>8050</v>
      </c>
    </row>
    <row r="2775" spans="1:46">
      <c r="A2775" s="2">
        <v>381</v>
      </c>
      <c r="B2775" t="s">
        <v>8051</v>
      </c>
      <c r="C2775" t="s">
        <v>1492</v>
      </c>
      <c r="D2775" t="s">
        <v>3764</v>
      </c>
      <c r="E2775" s="4">
        <v>43465</v>
      </c>
      <c r="F2775" s="11">
        <v>-60.43170284</v>
      </c>
      <c r="G2775" s="11">
        <v>-11.06833494</v>
      </c>
      <c r="H2775" s="11">
        <v>17.475194109499999</v>
      </c>
      <c r="I2775" s="11">
        <v>27.689032027700001</v>
      </c>
      <c r="J2775" s="11">
        <v>6.2705702947999997</v>
      </c>
      <c r="K2775" s="10">
        <v>0.30009683838099999</v>
      </c>
      <c r="L2775" s="12">
        <v>3023845436</v>
      </c>
      <c r="M2775">
        <v>12.157236310622601</v>
      </c>
      <c r="N2775" s="7">
        <v>1.22517795747189</v>
      </c>
      <c r="O2775" s="7">
        <v>1.31394618479666</v>
      </c>
      <c r="P2775" s="7">
        <v>-3.3914882858450399</v>
      </c>
      <c r="Q2775" s="7">
        <v>0.3504672897196261</v>
      </c>
      <c r="U2775">
        <v>0.45010266934029969</v>
      </c>
      <c r="AT2775" s="4" t="s">
        <v>6010</v>
      </c>
    </row>
    <row r="2776" spans="1:46">
      <c r="A2776" s="2">
        <v>3322</v>
      </c>
      <c r="B2776" t="s">
        <v>8052</v>
      </c>
      <c r="C2776" t="s">
        <v>342</v>
      </c>
      <c r="D2776" t="s">
        <v>3721</v>
      </c>
      <c r="E2776" s="4">
        <v>43465</v>
      </c>
      <c r="F2776" s="11">
        <v>16.83597172</v>
      </c>
      <c r="G2776" s="11">
        <v>-11.162232449999999</v>
      </c>
      <c r="H2776" s="11">
        <v>18.929816832</v>
      </c>
      <c r="I2776" s="11">
        <v>31.777888843700001</v>
      </c>
      <c r="J2776" s="11">
        <v>15.9496122618</v>
      </c>
      <c r="K2776" s="10">
        <v>0.80105348787999997</v>
      </c>
      <c r="L2776" s="12">
        <v>6627041587.9200001</v>
      </c>
      <c r="M2776">
        <v>27.725179573624501</v>
      </c>
      <c r="N2776" s="7">
        <v>5.2901213932190396</v>
      </c>
      <c r="O2776" s="7">
        <v>4.3256802442061</v>
      </c>
      <c r="P2776" s="7">
        <v>13917.7050352399</v>
      </c>
      <c r="Q2776" s="7">
        <v>1.2605042025177</v>
      </c>
      <c r="U2776">
        <v>1.9529409931386861</v>
      </c>
      <c r="AT2776" s="4" t="s">
        <v>7064</v>
      </c>
    </row>
    <row r="2777" spans="1:46">
      <c r="A2777" s="2">
        <v>2790</v>
      </c>
      <c r="B2777" t="s">
        <v>8053</v>
      </c>
      <c r="C2777" t="s">
        <v>1796</v>
      </c>
      <c r="D2777" t="s">
        <v>3972</v>
      </c>
      <c r="E2777" s="4">
        <v>43465</v>
      </c>
      <c r="F2777" s="11">
        <v>-25.878654520000001</v>
      </c>
      <c r="G2777" s="11">
        <v>-11.17397454</v>
      </c>
      <c r="H2777" s="11">
        <v>-8.2316509511000007</v>
      </c>
      <c r="I2777" s="11">
        <v>19.214292204300001</v>
      </c>
      <c r="J2777" s="11">
        <v>7.4943663304000001</v>
      </c>
      <c r="K2777" s="10">
        <v>0.37190961842999998</v>
      </c>
      <c r="L2777" s="12">
        <v>33899919240</v>
      </c>
      <c r="M2777">
        <v>20.841634148739299</v>
      </c>
      <c r="N2777" s="7">
        <v>0.74591250565207901</v>
      </c>
      <c r="O2777" s="7">
        <v>0.91820069399079296</v>
      </c>
      <c r="P2777" s="7">
        <v>-5.6793476539731698</v>
      </c>
      <c r="Q2777" s="7">
        <v>1.446945337620579</v>
      </c>
      <c r="U2777">
        <v>0.35854068516620369</v>
      </c>
      <c r="AT2777" s="4" t="s">
        <v>5214</v>
      </c>
    </row>
    <row r="2778" spans="1:46">
      <c r="A2778" s="2">
        <v>3463</v>
      </c>
      <c r="B2778" t="s">
        <v>8054</v>
      </c>
      <c r="C2778" t="s">
        <v>423</v>
      </c>
      <c r="D2778" t="s">
        <v>3718</v>
      </c>
      <c r="E2778" s="4">
        <v>43465</v>
      </c>
      <c r="F2778" s="11">
        <v>-12.27010939</v>
      </c>
      <c r="G2778" s="11">
        <v>-11.26506024</v>
      </c>
      <c r="H2778" s="11">
        <v>10.250140091800001</v>
      </c>
      <c r="I2778" s="11">
        <v>24.815596010299998</v>
      </c>
      <c r="J2778" s="11">
        <v>10.794753870299999</v>
      </c>
      <c r="K2778" s="10">
        <v>0.80490391017600005</v>
      </c>
      <c r="L2778" s="12">
        <v>13070250337.440001</v>
      </c>
      <c r="M2778">
        <v>26.494033499989399</v>
      </c>
      <c r="N2778" s="7">
        <v>3.22237913055806</v>
      </c>
      <c r="O2778" s="7">
        <v>2.7374967605307901</v>
      </c>
      <c r="P2778" s="7">
        <v>17.246743085072598</v>
      </c>
      <c r="Q2778" s="7">
        <v>1.1811023622047245</v>
      </c>
      <c r="U2778">
        <v>0.67554445617377301</v>
      </c>
      <c r="AT2778" s="4" t="s">
        <v>8055</v>
      </c>
    </row>
    <row r="2779" spans="1:46">
      <c r="A2779" s="2">
        <v>1231</v>
      </c>
      <c r="B2779" t="s">
        <v>8056</v>
      </c>
      <c r="C2779" t="s">
        <v>1017</v>
      </c>
      <c r="D2779" t="s">
        <v>4060</v>
      </c>
      <c r="E2779" s="4">
        <v>43465</v>
      </c>
      <c r="F2779" s="11">
        <v>-64.238679989999994</v>
      </c>
      <c r="G2779" s="11">
        <v>-11.285266460000001</v>
      </c>
      <c r="H2779" s="11">
        <v>-2.3140634310000001</v>
      </c>
      <c r="I2779" s="11">
        <v>7.3719104047000004</v>
      </c>
      <c r="J2779" s="11">
        <v>-0.63826165769999998</v>
      </c>
      <c r="K2779" s="10">
        <v>0.95539415733800004</v>
      </c>
      <c r="L2779" s="12">
        <v>33945682444.799999</v>
      </c>
      <c r="M2779">
        <v>59.743024065048097</v>
      </c>
      <c r="N2779" s="7">
        <v>1.94525283302621</v>
      </c>
      <c r="O2779" s="7">
        <v>0.31647425121651401</v>
      </c>
      <c r="P2779" s="7">
        <v>-20.6077296374119</v>
      </c>
      <c r="Q2779" s="7" t="s">
        <v>3698</v>
      </c>
      <c r="U2779">
        <v>-6.5389596426580168E-2</v>
      </c>
      <c r="AT2779" s="4" t="s">
        <v>4721</v>
      </c>
    </row>
    <row r="2780" spans="1:46">
      <c r="A2780" s="2">
        <v>2940</v>
      </c>
      <c r="B2780" t="s">
        <v>8057</v>
      </c>
      <c r="C2780" t="s">
        <v>209</v>
      </c>
      <c r="D2780" t="s">
        <v>3737</v>
      </c>
      <c r="E2780" s="4">
        <v>43465</v>
      </c>
      <c r="F2780" s="11">
        <v>-32.312563760000003</v>
      </c>
      <c r="G2780" s="11">
        <v>-11.294964029999999</v>
      </c>
      <c r="H2780" s="11">
        <v>5.7989656380000003</v>
      </c>
      <c r="I2780" s="11">
        <v>72.333803686099998</v>
      </c>
      <c r="J2780" s="11">
        <v>31.152877248799999</v>
      </c>
      <c r="K2780" s="10">
        <v>0.52719580947900002</v>
      </c>
      <c r="L2780" s="12">
        <v>278650553555.25</v>
      </c>
      <c r="M2780">
        <v>32.933684216994898</v>
      </c>
      <c r="N2780" s="7">
        <v>5.9844826063802099</v>
      </c>
      <c r="O2780" s="7">
        <v>10.4655962473679</v>
      </c>
      <c r="P2780" s="7">
        <v>671.06358836351797</v>
      </c>
      <c r="Q2780" s="7">
        <v>1.5071590052750568</v>
      </c>
      <c r="U2780">
        <v>0.41229607381308536</v>
      </c>
      <c r="AT2780" s="4" t="s">
        <v>8058</v>
      </c>
    </row>
    <row r="2781" spans="1:46">
      <c r="A2781" s="2">
        <v>1910</v>
      </c>
      <c r="B2781" t="s">
        <v>8059</v>
      </c>
      <c r="C2781" t="s">
        <v>1025</v>
      </c>
      <c r="D2781" t="s">
        <v>3737</v>
      </c>
      <c r="E2781" s="4">
        <v>43465</v>
      </c>
      <c r="F2781" s="11">
        <v>-36.183612699999998</v>
      </c>
      <c r="G2781" s="11">
        <v>-11.314984709999999</v>
      </c>
      <c r="H2781" s="11">
        <v>90.370130804300004</v>
      </c>
      <c r="I2781" s="11">
        <v>86.275015302100002</v>
      </c>
      <c r="J2781" s="11">
        <v>19.8326933538</v>
      </c>
      <c r="K2781" s="10">
        <v>0.54766442837200002</v>
      </c>
      <c r="L2781" s="12">
        <v>2247772368.96</v>
      </c>
      <c r="M2781">
        <v>17.2832450549685</v>
      </c>
      <c r="N2781" s="7">
        <v>1.87567272252587</v>
      </c>
      <c r="O2781" s="7">
        <v>3.9399694525197599</v>
      </c>
      <c r="P2781" s="7">
        <v>6.9125228909593002</v>
      </c>
      <c r="Q2781" s="7">
        <v>1.4457831325301205</v>
      </c>
      <c r="U2781">
        <v>0.58473136942701465</v>
      </c>
      <c r="AT2781" s="4" t="s">
        <v>5755</v>
      </c>
    </row>
    <row r="2782" spans="1:46">
      <c r="A2782" s="2">
        <v>397</v>
      </c>
      <c r="B2782" t="s">
        <v>8060</v>
      </c>
      <c r="C2782" t="s">
        <v>3618</v>
      </c>
      <c r="D2782" t="s">
        <v>3718</v>
      </c>
      <c r="E2782" s="4">
        <v>43465</v>
      </c>
      <c r="F2782" s="11">
        <v>-14.89548235</v>
      </c>
      <c r="G2782" s="11">
        <v>-11.45251397</v>
      </c>
      <c r="H2782" s="11">
        <v>23.160771097200001</v>
      </c>
      <c r="I2782" s="11">
        <v>19.9588379934</v>
      </c>
      <c r="J2782" s="11">
        <v>0.64945780769999994</v>
      </c>
      <c r="K2782" s="10">
        <v>0.66320210317499995</v>
      </c>
      <c r="L2782" s="12">
        <v>58026133676</v>
      </c>
      <c r="M2782">
        <v>-708.58766182103705</v>
      </c>
      <c r="N2782" s="7">
        <v>2.4137833485609401</v>
      </c>
      <c r="O2782" s="7">
        <v>0.86331387557789097</v>
      </c>
      <c r="P2782" s="7">
        <v>124.355532269788</v>
      </c>
      <c r="Q2782" s="7" t="s">
        <v>3698</v>
      </c>
      <c r="U2782">
        <v>2.2628406816938191E-2</v>
      </c>
      <c r="AT2782" s="4" t="s">
        <v>7758</v>
      </c>
    </row>
    <row r="2783" spans="1:46">
      <c r="A2783" s="2">
        <v>2516</v>
      </c>
      <c r="B2783" t="s">
        <v>8061</v>
      </c>
      <c r="C2783" t="s">
        <v>2213</v>
      </c>
      <c r="D2783" t="s">
        <v>3728</v>
      </c>
      <c r="E2783" s="4">
        <v>43465</v>
      </c>
      <c r="F2783" s="11">
        <v>-31.50294139</v>
      </c>
      <c r="G2783" s="11">
        <v>-11.46666667</v>
      </c>
      <c r="H2783" s="11">
        <v>-8.8912452433000002</v>
      </c>
      <c r="I2783" s="11">
        <v>27.907324355</v>
      </c>
      <c r="J2783" s="11">
        <v>8.3782072943999992</v>
      </c>
      <c r="K2783" s="10">
        <v>0.454155558874</v>
      </c>
      <c r="L2783" s="12">
        <v>2744081953.1999998</v>
      </c>
      <c r="M2783">
        <v>52.4622729552365</v>
      </c>
      <c r="N2783" s="7">
        <v>2.3861147105475</v>
      </c>
      <c r="O2783" s="7">
        <v>3.9399416545516499</v>
      </c>
      <c r="P2783" s="7">
        <v>-56.018138641181501</v>
      </c>
      <c r="Q2783" s="7">
        <v>1.5384615384615385</v>
      </c>
      <c r="U2783">
        <v>8.1738325544140469E-2</v>
      </c>
      <c r="AT2783" s="4" t="s">
        <v>8062</v>
      </c>
    </row>
    <row r="2784" spans="1:46">
      <c r="A2784" s="2">
        <v>2577</v>
      </c>
      <c r="B2784" t="s">
        <v>8063</v>
      </c>
      <c r="C2784" t="s">
        <v>2391</v>
      </c>
      <c r="D2784" t="s">
        <v>3728</v>
      </c>
      <c r="E2784" s="4">
        <v>43465</v>
      </c>
      <c r="F2784" s="11">
        <v>-29.11034493</v>
      </c>
      <c r="G2784" s="11">
        <v>-11.501597439999999</v>
      </c>
      <c r="H2784" s="11">
        <v>22.362243787400001</v>
      </c>
      <c r="I2784" s="11">
        <v>16.918975627799998</v>
      </c>
      <c r="J2784" s="11">
        <v>3.0456677094</v>
      </c>
      <c r="K2784" s="10">
        <v>0.81647454371499995</v>
      </c>
      <c r="L2784" s="12">
        <v>6974205045</v>
      </c>
      <c r="M2784">
        <v>35.175632349415601</v>
      </c>
      <c r="N2784" s="7">
        <v>2.3678165703597198</v>
      </c>
      <c r="O2784" s="7">
        <v>1.76794128000924</v>
      </c>
      <c r="P2784" s="7">
        <v>38.226069470093201</v>
      </c>
      <c r="Q2784" s="7">
        <v>0.76628352490421447</v>
      </c>
      <c r="U2784">
        <v>0.11251212371323528</v>
      </c>
      <c r="AT2784" s="4" t="s">
        <v>8064</v>
      </c>
    </row>
    <row r="2785" spans="1:46">
      <c r="A2785" s="2">
        <v>3036</v>
      </c>
      <c r="B2785" t="s">
        <v>8065</v>
      </c>
      <c r="C2785" t="s">
        <v>1139</v>
      </c>
      <c r="D2785" t="s">
        <v>3889</v>
      </c>
      <c r="E2785" s="4">
        <v>43465</v>
      </c>
      <c r="F2785" s="11">
        <v>-42.413545839999998</v>
      </c>
      <c r="G2785" s="11">
        <v>-11.50895141</v>
      </c>
      <c r="H2785" s="11">
        <v>5.0544904064000002</v>
      </c>
      <c r="I2785" s="11">
        <v>35.8700587513</v>
      </c>
      <c r="J2785" s="11">
        <v>15.781953935700001</v>
      </c>
      <c r="K2785" s="10">
        <v>0.66856780564100005</v>
      </c>
      <c r="L2785" s="12">
        <v>2418681830.3400002</v>
      </c>
      <c r="M2785">
        <v>11.6774601974187</v>
      </c>
      <c r="N2785" s="7">
        <v>1.6909560661226499</v>
      </c>
      <c r="O2785" s="7">
        <v>1.7852062999812199</v>
      </c>
      <c r="P2785" s="7">
        <v>14.4874829470617</v>
      </c>
      <c r="Q2785" s="7">
        <v>4.3348281016442458</v>
      </c>
      <c r="U2785">
        <v>0.71155221321577455</v>
      </c>
      <c r="AT2785" s="4" t="s">
        <v>7948</v>
      </c>
    </row>
    <row r="2786" spans="1:46">
      <c r="A2786" s="2">
        <v>2178</v>
      </c>
      <c r="B2786" t="s">
        <v>8066</v>
      </c>
      <c r="C2786" t="s">
        <v>808</v>
      </c>
      <c r="D2786" t="s">
        <v>3842</v>
      </c>
      <c r="E2786" s="4">
        <v>43465</v>
      </c>
      <c r="F2786" s="11">
        <v>-24.7037589</v>
      </c>
      <c r="G2786" s="11">
        <v>-11.53846154</v>
      </c>
      <c r="H2786" s="11">
        <v>5.4261320057000004</v>
      </c>
      <c r="I2786" s="11">
        <v>14.9926331108</v>
      </c>
      <c r="J2786" s="11">
        <v>7.6376999560999996</v>
      </c>
      <c r="K2786" s="10">
        <v>0.89062122381499997</v>
      </c>
      <c r="L2786" s="12">
        <v>2281464534.25</v>
      </c>
      <c r="M2786">
        <v>6.7403114609527801</v>
      </c>
      <c r="N2786" s="7">
        <v>0.82128152597036697</v>
      </c>
      <c r="O2786" s="7">
        <v>0.49601792109656101</v>
      </c>
      <c r="P2786" s="7">
        <v>33.969424280275199</v>
      </c>
      <c r="Q2786" s="7">
        <v>9.1414546605799405</v>
      </c>
      <c r="U2786">
        <v>0.96844107918208178</v>
      </c>
      <c r="AT2786" s="4" t="s">
        <v>8067</v>
      </c>
    </row>
    <row r="2787" spans="1:46">
      <c r="A2787" s="2">
        <v>3306</v>
      </c>
      <c r="B2787" t="s">
        <v>8068</v>
      </c>
      <c r="C2787" t="s">
        <v>629</v>
      </c>
      <c r="D2787" t="s">
        <v>3752</v>
      </c>
      <c r="E2787" s="4">
        <v>43465</v>
      </c>
      <c r="F2787" s="11">
        <v>-60.127698440000003</v>
      </c>
      <c r="G2787" s="11">
        <v>-11.54891304</v>
      </c>
      <c r="H2787" s="11">
        <v>-35.929650606999999</v>
      </c>
      <c r="I2787" s="11">
        <v>50.410273085699998</v>
      </c>
      <c r="J2787" s="11">
        <v>5.6904777985999999</v>
      </c>
      <c r="K2787" s="10">
        <v>0.44832312893999998</v>
      </c>
      <c r="L2787" s="12">
        <v>3087920000</v>
      </c>
      <c r="M2787">
        <v>13.554891256881399</v>
      </c>
      <c r="N2787" s="7">
        <v>1.52385118689391</v>
      </c>
      <c r="O2787" s="7">
        <v>2.6057351820338099</v>
      </c>
      <c r="P2787" s="7">
        <v>-22.6901925463435</v>
      </c>
      <c r="Q2787" s="7" t="s">
        <v>3698</v>
      </c>
      <c r="U2787">
        <v>0.28048468835069446</v>
      </c>
      <c r="AT2787" s="4" t="s">
        <v>8069</v>
      </c>
    </row>
    <row r="2788" spans="1:46">
      <c r="A2788" s="2">
        <v>2231</v>
      </c>
      <c r="B2788" t="s">
        <v>8070</v>
      </c>
      <c r="C2788" t="s">
        <v>3431</v>
      </c>
      <c r="D2788" t="s">
        <v>3785</v>
      </c>
      <c r="E2788" s="4">
        <v>43465</v>
      </c>
      <c r="F2788" s="11">
        <v>-65.425531910000004</v>
      </c>
      <c r="G2788" s="11">
        <v>-11.564625850000001</v>
      </c>
      <c r="H2788" s="11">
        <v>-14.7699743252</v>
      </c>
      <c r="I2788" s="11">
        <v>38.371008364399998</v>
      </c>
      <c r="J2788" s="11">
        <v>-46.353302642800003</v>
      </c>
      <c r="K2788" s="10">
        <v>0.119448505326</v>
      </c>
      <c r="L2788" s="12">
        <v>30764353989.599998</v>
      </c>
      <c r="M2788">
        <v>-26.730931996731499</v>
      </c>
      <c r="N2788" s="7">
        <v>1.5109423131639601</v>
      </c>
      <c r="O2788" s="7">
        <v>8.4988545634638797</v>
      </c>
      <c r="P2788" s="7">
        <v>-18.323930046966598</v>
      </c>
      <c r="Q2788" s="7" t="s">
        <v>3698</v>
      </c>
      <c r="U2788">
        <v>-0.13993820343330238</v>
      </c>
      <c r="AT2788" s="4" t="s">
        <v>4734</v>
      </c>
    </row>
    <row r="2789" spans="1:46">
      <c r="A2789" s="2">
        <v>3283</v>
      </c>
      <c r="B2789" t="s">
        <v>8071</v>
      </c>
      <c r="C2789" t="s">
        <v>2985</v>
      </c>
      <c r="D2789" t="s">
        <v>3718</v>
      </c>
      <c r="E2789" s="4">
        <v>43465</v>
      </c>
      <c r="F2789" s="11">
        <v>-6.78230003</v>
      </c>
      <c r="G2789" s="11">
        <v>-11.56595192</v>
      </c>
      <c r="H2789" s="11">
        <v>21.219639184999998</v>
      </c>
      <c r="I2789" s="11">
        <v>24.7058182747</v>
      </c>
      <c r="J2789" s="11">
        <v>8.8291551613999992</v>
      </c>
      <c r="K2789" s="10">
        <v>0.76411838983000002</v>
      </c>
      <c r="L2789" s="12">
        <v>3029150775.5</v>
      </c>
      <c r="M2789">
        <v>71.948821224125496</v>
      </c>
      <c r="N2789" s="7">
        <v>4.57943173499552</v>
      </c>
      <c r="O2789" s="7">
        <v>4.4676531740701497</v>
      </c>
      <c r="P2789" s="7">
        <v>-30.609627520757801</v>
      </c>
      <c r="Q2789" s="7">
        <v>0.56022409034059584</v>
      </c>
      <c r="U2789">
        <v>0.33582962624825208</v>
      </c>
      <c r="AT2789" s="4" t="s">
        <v>8072</v>
      </c>
    </row>
    <row r="2790" spans="1:46">
      <c r="A2790" s="2">
        <v>3367</v>
      </c>
      <c r="B2790" t="s">
        <v>8073</v>
      </c>
      <c r="C2790" t="s">
        <v>1449</v>
      </c>
      <c r="D2790" t="s">
        <v>3781</v>
      </c>
      <c r="E2790" s="4">
        <v>43465</v>
      </c>
      <c r="F2790" s="11">
        <v>-0.88612157000000003</v>
      </c>
      <c r="G2790" s="11">
        <v>-11.639871380000001</v>
      </c>
      <c r="H2790" s="11">
        <v>11.554406978199999</v>
      </c>
      <c r="I2790" s="11">
        <v>14.5501081546</v>
      </c>
      <c r="J2790" s="11">
        <v>8.4063100425999995</v>
      </c>
      <c r="K2790" s="10">
        <v>0.84824406886699999</v>
      </c>
      <c r="L2790" s="12">
        <v>3329041717.2399998</v>
      </c>
      <c r="M2790">
        <v>42.851049297516298</v>
      </c>
      <c r="N2790" s="7">
        <v>3.3083631982828998</v>
      </c>
      <c r="O2790" s="7">
        <v>3.8668038313009601</v>
      </c>
      <c r="P2790" s="7">
        <v>275.92349610172801</v>
      </c>
      <c r="Q2790" s="7">
        <v>0.66170388751033915</v>
      </c>
      <c r="U2790">
        <v>0.37016463401690175</v>
      </c>
      <c r="AT2790" s="4" t="s">
        <v>7988</v>
      </c>
    </row>
    <row r="2791" spans="1:46">
      <c r="A2791" s="2">
        <v>2438</v>
      </c>
      <c r="B2791" t="s">
        <v>8074</v>
      </c>
      <c r="C2791" t="s">
        <v>3127</v>
      </c>
      <c r="D2791" t="s">
        <v>3769</v>
      </c>
      <c r="E2791" s="4">
        <v>43465</v>
      </c>
      <c r="F2791" s="11">
        <v>-39.679715299999998</v>
      </c>
      <c r="G2791" s="11">
        <v>-11.64021164</v>
      </c>
      <c r="H2791" s="11">
        <v>-50.564338769800003</v>
      </c>
      <c r="I2791" s="11">
        <v>-36.635085249100001</v>
      </c>
      <c r="J2791" s="11">
        <v>-132.1816203976</v>
      </c>
      <c r="K2791" s="10">
        <v>8.9767434238000002E-2</v>
      </c>
      <c r="L2791" s="12">
        <v>25993393800.27</v>
      </c>
      <c r="M2791">
        <v>-42.253682819475699</v>
      </c>
      <c r="N2791" s="7">
        <v>3.4895713683344201</v>
      </c>
      <c r="O2791" s="7">
        <v>27.250464669493599</v>
      </c>
      <c r="P2791" s="7">
        <v>-71.3085216289995</v>
      </c>
      <c r="Q2791" s="7" t="s">
        <v>3698</v>
      </c>
      <c r="U2791">
        <v>-0.16331090631009615</v>
      </c>
      <c r="AT2791" s="4" t="s">
        <v>8075</v>
      </c>
    </row>
    <row r="2792" spans="1:46">
      <c r="A2792" s="2">
        <v>1523</v>
      </c>
      <c r="B2792" t="s">
        <v>8076</v>
      </c>
      <c r="C2792" t="s">
        <v>1128</v>
      </c>
      <c r="D2792" t="s">
        <v>3713</v>
      </c>
      <c r="E2792" s="4">
        <v>43465</v>
      </c>
      <c r="F2792" s="11">
        <v>-32.908831059999997</v>
      </c>
      <c r="G2792" s="11">
        <v>-11.686390530000001</v>
      </c>
      <c r="H2792" s="11">
        <v>59.266936230299997</v>
      </c>
      <c r="I2792" s="11">
        <v>35.2122780957</v>
      </c>
      <c r="J2792" s="11">
        <v>15.3453789209</v>
      </c>
      <c r="K2792" s="10">
        <v>0.44866203740900001</v>
      </c>
      <c r="L2792" s="12">
        <v>60172243095.360001</v>
      </c>
      <c r="M2792">
        <v>23.917748262649301</v>
      </c>
      <c r="N2792" s="7">
        <v>3.0955478306723001</v>
      </c>
      <c r="O2792" s="7">
        <v>3.4772096768460901</v>
      </c>
      <c r="P2792" s="7">
        <v>371.87243769483899</v>
      </c>
      <c r="Q2792" s="7">
        <v>0.36764705882352938</v>
      </c>
      <c r="U2792">
        <v>0.30579210128031037</v>
      </c>
      <c r="AT2792" s="4" t="s">
        <v>5375</v>
      </c>
    </row>
    <row r="2793" spans="1:46">
      <c r="A2793" s="2">
        <v>1644</v>
      </c>
      <c r="B2793" t="s">
        <v>8077</v>
      </c>
      <c r="C2793" t="s">
        <v>662</v>
      </c>
      <c r="D2793" t="s">
        <v>3721</v>
      </c>
      <c r="E2793" s="4">
        <v>43465</v>
      </c>
      <c r="F2793" s="11">
        <v>-36.775997799999999</v>
      </c>
      <c r="G2793" s="11">
        <v>-11.74934726</v>
      </c>
      <c r="H2793" s="11">
        <v>8.2151501784000001</v>
      </c>
      <c r="I2793" s="11">
        <v>23.086252448900002</v>
      </c>
      <c r="J2793" s="11">
        <v>4.6720280448000002</v>
      </c>
      <c r="K2793" s="10">
        <v>0.82394250586399997</v>
      </c>
      <c r="L2793" s="12">
        <v>2178840000</v>
      </c>
      <c r="M2793">
        <v>17.274920652413901</v>
      </c>
      <c r="N2793" s="7">
        <v>2.7916062690407402</v>
      </c>
      <c r="O2793" s="7">
        <v>1.34569453097382</v>
      </c>
      <c r="P2793" s="7">
        <v>-24.2116827037608</v>
      </c>
      <c r="Q2793" s="7">
        <v>4.9537191502250515</v>
      </c>
      <c r="U2793">
        <v>0.29302957214469405</v>
      </c>
      <c r="AT2793" s="4" t="s">
        <v>4668</v>
      </c>
    </row>
    <row r="2794" spans="1:46">
      <c r="A2794" s="2">
        <v>1687</v>
      </c>
      <c r="B2794" t="s">
        <v>8078</v>
      </c>
      <c r="C2794" t="s">
        <v>1889</v>
      </c>
      <c r="D2794" t="s">
        <v>3764</v>
      </c>
      <c r="E2794" s="4">
        <v>43465</v>
      </c>
      <c r="F2794" s="11">
        <v>-46.171825320000004</v>
      </c>
      <c r="G2794" s="11">
        <v>-11.764705879999999</v>
      </c>
      <c r="H2794" s="11">
        <v>21.3278939677</v>
      </c>
      <c r="I2794" s="11">
        <v>33.223172183700001</v>
      </c>
      <c r="J2794" s="11">
        <v>10.3994258033</v>
      </c>
      <c r="K2794" s="10">
        <v>0.22525158525899999</v>
      </c>
      <c r="L2794" s="12">
        <v>11048424140.35</v>
      </c>
      <c r="M2794">
        <v>74.377965118267298</v>
      </c>
      <c r="N2794" s="7">
        <v>1.7201495418139301</v>
      </c>
      <c r="O2794" s="7">
        <v>4.7996773086563902</v>
      </c>
      <c r="P2794" s="7">
        <v>14.4458011634622</v>
      </c>
      <c r="Q2794" s="7">
        <v>0.82859209828608205</v>
      </c>
      <c r="U2794">
        <v>0.18341474145534051</v>
      </c>
      <c r="AT2794" s="4" t="s">
        <v>5195</v>
      </c>
    </row>
    <row r="2795" spans="1:46">
      <c r="A2795" s="2">
        <v>1725</v>
      </c>
      <c r="B2795" t="s">
        <v>8079</v>
      </c>
      <c r="C2795" t="s">
        <v>437</v>
      </c>
      <c r="D2795" t="s">
        <v>3713</v>
      </c>
      <c r="E2795" s="4">
        <v>43465</v>
      </c>
      <c r="F2795" s="11">
        <v>-5.2554098900000001</v>
      </c>
      <c r="G2795" s="11">
        <v>-11.78571429</v>
      </c>
      <c r="H2795" s="11">
        <v>49.111251600099997</v>
      </c>
      <c r="I2795" s="11">
        <v>18.9667952028</v>
      </c>
      <c r="J2795" s="11">
        <v>19.239414289999999</v>
      </c>
      <c r="K2795" s="10">
        <v>0.17578824416399999</v>
      </c>
      <c r="L2795" s="12">
        <v>3608820000</v>
      </c>
      <c r="M2795">
        <v>275.833708399572</v>
      </c>
      <c r="N2795" s="7">
        <v>3.3643197706903001</v>
      </c>
      <c r="O2795" s="7">
        <v>16.383552189009102</v>
      </c>
      <c r="P2795" s="7">
        <v>-39.608959806217001</v>
      </c>
      <c r="Q2795" s="7">
        <v>0.20887576562261873</v>
      </c>
      <c r="U2795">
        <v>0.18225415774334325</v>
      </c>
      <c r="AT2795" s="4" t="s">
        <v>3908</v>
      </c>
    </row>
    <row r="2796" spans="1:46">
      <c r="A2796" s="2">
        <v>2620</v>
      </c>
      <c r="B2796" t="s">
        <v>8080</v>
      </c>
      <c r="C2796" t="s">
        <v>1987</v>
      </c>
      <c r="D2796" t="s">
        <v>3785</v>
      </c>
      <c r="E2796" s="4">
        <v>43465</v>
      </c>
      <c r="F2796" s="11">
        <v>-40.918367349999997</v>
      </c>
      <c r="G2796" s="11">
        <v>-11.791730469999999</v>
      </c>
      <c r="H2796" s="11">
        <v>2.4620539315999999</v>
      </c>
      <c r="I2796" s="11">
        <v>61.221254523799999</v>
      </c>
      <c r="J2796" s="11">
        <v>8.1662152476000003</v>
      </c>
      <c r="K2796" s="10">
        <v>0.17806348493999999</v>
      </c>
      <c r="L2796" s="12">
        <v>2867400000</v>
      </c>
      <c r="M2796">
        <v>107.603201694053</v>
      </c>
      <c r="N2796" s="7">
        <v>1.82074245148266</v>
      </c>
      <c r="O2796" s="7">
        <v>9.7995154838042904</v>
      </c>
      <c r="P2796" s="7">
        <v>-95.239107339941995</v>
      </c>
      <c r="Q2796" s="7" t="s">
        <v>3698</v>
      </c>
      <c r="U2796">
        <v>8.4847989287493777E-2</v>
      </c>
      <c r="AT2796" s="4" t="s">
        <v>8081</v>
      </c>
    </row>
    <row r="2797" spans="1:46">
      <c r="A2797" s="2">
        <v>430</v>
      </c>
      <c r="B2797" t="s">
        <v>8082</v>
      </c>
      <c r="C2797" t="s">
        <v>324</v>
      </c>
      <c r="D2797" t="s">
        <v>3752</v>
      </c>
      <c r="E2797" s="4">
        <v>43465</v>
      </c>
      <c r="F2797" s="11">
        <v>-15.97500509</v>
      </c>
      <c r="G2797" s="11">
        <v>-11.83035714</v>
      </c>
      <c r="H2797" s="11">
        <v>11.051542659000001</v>
      </c>
      <c r="I2797" s="11">
        <v>19.356707720799999</v>
      </c>
      <c r="J2797" s="11">
        <v>8.2614719429000001</v>
      </c>
      <c r="K2797" s="10">
        <v>1.1305883582680001</v>
      </c>
      <c r="L2797" s="12" t="s">
        <v>3698</v>
      </c>
      <c r="M2797">
        <v>14.359621332173701</v>
      </c>
      <c r="N2797" s="7">
        <v>1.8794531823329299</v>
      </c>
      <c r="O2797" s="7">
        <v>1.14660492035214</v>
      </c>
      <c r="P2797" s="7">
        <v>-75.628414386560905</v>
      </c>
      <c r="Q2797" s="7">
        <v>2.5220680958385873</v>
      </c>
      <c r="U2797">
        <v>0.62769141195748857</v>
      </c>
      <c r="AT2797" s="4" t="s">
        <v>8083</v>
      </c>
    </row>
    <row r="2798" spans="1:46">
      <c r="A2798" s="2">
        <v>50</v>
      </c>
      <c r="B2798" t="s">
        <v>8084</v>
      </c>
      <c r="C2798" t="s">
        <v>2240</v>
      </c>
      <c r="D2798" t="s">
        <v>3832</v>
      </c>
      <c r="E2798" s="4">
        <v>43465</v>
      </c>
      <c r="F2798" s="11">
        <v>-68.610293080000005</v>
      </c>
      <c r="G2798" s="11">
        <v>-11.83932347</v>
      </c>
      <c r="H2798" s="11">
        <v>17.468539850999999</v>
      </c>
      <c r="I2798" s="11">
        <v>63.218309964299998</v>
      </c>
      <c r="J2798" s="11">
        <v>12.5024700559</v>
      </c>
      <c r="K2798" s="10">
        <v>6.9216235474999999E-2</v>
      </c>
      <c r="L2798" s="12">
        <v>6793546941.4499998</v>
      </c>
      <c r="M2798">
        <v>86.935940374728105</v>
      </c>
      <c r="N2798" s="7">
        <v>1.03922153031646</v>
      </c>
      <c r="O2798" s="7">
        <v>6.7204676611826004</v>
      </c>
      <c r="P2798" s="7">
        <v>-7.5370018174727198</v>
      </c>
      <c r="Q2798" s="7">
        <v>0.24889800995024874</v>
      </c>
      <c r="U2798">
        <v>7.7128133566609677E-2</v>
      </c>
      <c r="AT2798" s="4" t="s">
        <v>8085</v>
      </c>
    </row>
    <row r="2799" spans="1:46">
      <c r="A2799" s="2">
        <v>1759</v>
      </c>
      <c r="B2799" t="s">
        <v>8086</v>
      </c>
      <c r="C2799" t="s">
        <v>3220</v>
      </c>
      <c r="D2799" t="s">
        <v>3764</v>
      </c>
      <c r="E2799" s="4">
        <v>43465</v>
      </c>
      <c r="F2799" s="11">
        <v>-52.994428970000001</v>
      </c>
      <c r="G2799" s="11">
        <v>-11.89542484</v>
      </c>
      <c r="H2799" s="11">
        <v>8.4095707656999998</v>
      </c>
      <c r="I2799" s="11">
        <v>33.785135656900003</v>
      </c>
      <c r="J2799" s="11">
        <v>2.4986545233999999</v>
      </c>
      <c r="K2799" s="10">
        <v>0.233329233064</v>
      </c>
      <c r="L2799" s="12">
        <v>3648813209.21</v>
      </c>
      <c r="M2799">
        <v>-30.821500466556099</v>
      </c>
      <c r="N2799" s="7">
        <v>1.59378099469731</v>
      </c>
      <c r="O2799" s="7">
        <v>4.1113662673492497</v>
      </c>
      <c r="P2799" s="7">
        <v>131.271118661999</v>
      </c>
      <c r="Q2799" s="7" t="s">
        <v>3698</v>
      </c>
      <c r="U2799">
        <v>3.9014646663537753E-2</v>
      </c>
      <c r="AT2799" s="4" t="s">
        <v>8087</v>
      </c>
    </row>
    <row r="2800" spans="1:46">
      <c r="A2800" s="2">
        <v>2731</v>
      </c>
      <c r="B2800" t="s">
        <v>8088</v>
      </c>
      <c r="C2800" t="s">
        <v>1639</v>
      </c>
      <c r="D2800" t="s">
        <v>3871</v>
      </c>
      <c r="E2800" s="4">
        <v>43465</v>
      </c>
      <c r="F2800" s="11">
        <v>-30.212701689999999</v>
      </c>
      <c r="G2800" s="11">
        <v>-11.94762684</v>
      </c>
      <c r="H2800" s="11">
        <v>4.7080762907000002</v>
      </c>
      <c r="I2800" s="11">
        <v>64.547220355999997</v>
      </c>
      <c r="J2800" s="11">
        <v>17.751367985400002</v>
      </c>
      <c r="K2800" s="10">
        <v>0.17661979919699999</v>
      </c>
      <c r="L2800" s="12">
        <v>9826648758.2199993</v>
      </c>
      <c r="M2800">
        <v>12.288992527652701</v>
      </c>
      <c r="N2800" s="7">
        <v>1.03726007792616</v>
      </c>
      <c r="O2800" s="7">
        <v>2.4670387151970701</v>
      </c>
      <c r="P2800" s="7">
        <v>-5.9462474570198598</v>
      </c>
      <c r="Q2800" s="7">
        <v>3.2235294117647064</v>
      </c>
      <c r="U2800">
        <v>0.36641631817096215</v>
      </c>
      <c r="AT2800" s="4" t="s">
        <v>7235</v>
      </c>
    </row>
    <row r="2801" spans="1:46">
      <c r="A2801" s="2">
        <v>2943</v>
      </c>
      <c r="B2801" t="s">
        <v>8089</v>
      </c>
      <c r="C2801" t="s">
        <v>3669</v>
      </c>
      <c r="D2801" t="s">
        <v>3811</v>
      </c>
      <c r="E2801" s="4">
        <v>43465</v>
      </c>
      <c r="F2801" s="11">
        <v>-60.477453580000002</v>
      </c>
      <c r="G2801" s="11">
        <v>-12.012012009999999</v>
      </c>
      <c r="H2801" s="11">
        <v>77.731503908099995</v>
      </c>
      <c r="I2801" s="11">
        <v>26.881392655599999</v>
      </c>
      <c r="J2801" s="11">
        <v>16.7513219995</v>
      </c>
      <c r="K2801" s="10">
        <v>0.43232633424799999</v>
      </c>
      <c r="L2801" s="12">
        <v>1013610443.42</v>
      </c>
      <c r="M2801">
        <v>-99.291583958319904</v>
      </c>
      <c r="N2801" s="7">
        <v>207.82639484865999</v>
      </c>
      <c r="O2801" s="7">
        <v>49.4945968670634</v>
      </c>
      <c r="P2801" s="7">
        <v>326.48364743049098</v>
      </c>
      <c r="Q2801" s="7" t="s">
        <v>3698</v>
      </c>
      <c r="U2801">
        <v>8.7038334208413542E-3</v>
      </c>
      <c r="AT2801" s="4" t="s">
        <v>8090</v>
      </c>
    </row>
    <row r="2802" spans="1:46">
      <c r="A2802" s="2">
        <v>1117</v>
      </c>
      <c r="B2802" t="s">
        <v>8091</v>
      </c>
      <c r="C2802" t="s">
        <v>2277</v>
      </c>
      <c r="D2802" t="s">
        <v>3761</v>
      </c>
      <c r="E2802" s="4">
        <v>43465</v>
      </c>
      <c r="F2802" s="11">
        <v>-52.926182599999997</v>
      </c>
      <c r="G2802" s="11">
        <v>-12.04268293</v>
      </c>
      <c r="H2802" s="11">
        <v>-27.485467621200002</v>
      </c>
      <c r="I2802" s="11">
        <v>24.878651007999999</v>
      </c>
      <c r="J2802" s="11">
        <v>-3.3605985146999999</v>
      </c>
      <c r="K2802" s="10">
        <v>0.43183506170000002</v>
      </c>
      <c r="L2802" s="12">
        <v>1877737745</v>
      </c>
      <c r="M2802">
        <v>-198.41241124419</v>
      </c>
      <c r="N2802" s="7">
        <v>3.0589424507491101</v>
      </c>
      <c r="O2802" s="7">
        <v>3.7422410986530101</v>
      </c>
      <c r="P2802" s="7">
        <v>77.0836147377629</v>
      </c>
      <c r="Q2802" s="7" t="s">
        <v>3698</v>
      </c>
      <c r="U2802">
        <v>-4.6482394747433105E-2</v>
      </c>
      <c r="AT2802" s="4" t="s">
        <v>3845</v>
      </c>
    </row>
    <row r="2803" spans="1:46">
      <c r="A2803" s="2">
        <v>148</v>
      </c>
      <c r="B2803" t="s">
        <v>8092</v>
      </c>
      <c r="C2803" t="s">
        <v>3086</v>
      </c>
      <c r="D2803" t="s">
        <v>3764</v>
      </c>
      <c r="E2803" s="4">
        <v>43465</v>
      </c>
      <c r="F2803" s="11">
        <v>-12.09088779</v>
      </c>
      <c r="G2803" s="11">
        <v>-12.095032399999999</v>
      </c>
      <c r="H2803" s="11">
        <v>2.8701699794</v>
      </c>
      <c r="I2803" s="11">
        <v>11.5358226917</v>
      </c>
      <c r="J2803" s="11">
        <v>3.3204916949999999</v>
      </c>
      <c r="K2803" s="10">
        <v>0.379784801359</v>
      </c>
      <c r="L2803" s="12" t="s">
        <v>3698</v>
      </c>
      <c r="M2803">
        <v>30.244759361809098</v>
      </c>
      <c r="N2803" s="7">
        <v>1.0034659634571399</v>
      </c>
      <c r="O2803" s="7">
        <v>0.87861333554057197</v>
      </c>
      <c r="P2803" s="7">
        <v>27.504578267677299</v>
      </c>
      <c r="Q2803" s="7">
        <v>1.4527845036319611</v>
      </c>
      <c r="U2803">
        <v>9.0368825432141114E-2</v>
      </c>
      <c r="AT2803" s="4" t="s">
        <v>8093</v>
      </c>
    </row>
    <row r="2804" spans="1:46">
      <c r="A2804" s="2">
        <v>3234</v>
      </c>
      <c r="B2804" t="s">
        <v>8094</v>
      </c>
      <c r="C2804" t="s">
        <v>2318</v>
      </c>
      <c r="D2804" t="s">
        <v>3858</v>
      </c>
      <c r="E2804" s="4">
        <v>43465</v>
      </c>
      <c r="F2804" s="11">
        <v>-32.534678370000002</v>
      </c>
      <c r="G2804" s="11">
        <v>-12.10843373</v>
      </c>
      <c r="H2804" s="11">
        <v>16.093735675200001</v>
      </c>
      <c r="I2804" s="11">
        <v>26.577912362399999</v>
      </c>
      <c r="J2804" s="11">
        <v>10.9915568427</v>
      </c>
      <c r="K2804" s="10">
        <v>0.62604184974300003</v>
      </c>
      <c r="L2804" s="12">
        <v>2498809600</v>
      </c>
      <c r="M2804">
        <v>26.450811062738602</v>
      </c>
      <c r="N2804" s="7">
        <v>1.5511403521778599</v>
      </c>
      <c r="O2804" s="7">
        <v>2.1727449699168</v>
      </c>
      <c r="P2804" s="7">
        <v>-16.209061173147798</v>
      </c>
      <c r="Q2804" s="7">
        <v>1.6293276381689443</v>
      </c>
      <c r="U2804">
        <v>0.88274115903607275</v>
      </c>
      <c r="AT2804" s="4" t="s">
        <v>8095</v>
      </c>
    </row>
    <row r="2805" spans="1:46">
      <c r="A2805" s="2">
        <v>612</v>
      </c>
      <c r="B2805" t="s">
        <v>8096</v>
      </c>
      <c r="C2805" t="s">
        <v>1997</v>
      </c>
      <c r="D2805" t="s">
        <v>3849</v>
      </c>
      <c r="E2805" s="4">
        <v>43465</v>
      </c>
      <c r="F2805" s="11">
        <v>-46.681771449999999</v>
      </c>
      <c r="G2805" s="11">
        <v>-12.11372064</v>
      </c>
      <c r="H2805" s="11">
        <v>21.138501796300002</v>
      </c>
      <c r="I2805" s="11">
        <v>25.311810763800001</v>
      </c>
      <c r="J2805" s="11">
        <v>6.8078045814000001</v>
      </c>
      <c r="K2805" s="10">
        <v>0.73974480368100004</v>
      </c>
      <c r="L2805" s="12">
        <v>26395923950.200001</v>
      </c>
      <c r="M2805">
        <v>14.207815671176901</v>
      </c>
      <c r="N2805" s="7">
        <v>1.23483143182778</v>
      </c>
      <c r="O2805" s="7">
        <v>0.753195149488465</v>
      </c>
      <c r="P2805" s="7">
        <v>-35.824439486918401</v>
      </c>
      <c r="Q2805" s="7">
        <v>4.6528803545051689</v>
      </c>
      <c r="U2805">
        <v>0.63207327625222254</v>
      </c>
      <c r="AT2805" s="4" t="s">
        <v>8097</v>
      </c>
    </row>
    <row r="2806" spans="1:46">
      <c r="A2806" s="2">
        <v>326</v>
      </c>
      <c r="B2806" t="s">
        <v>8098</v>
      </c>
      <c r="C2806" t="s">
        <v>1263</v>
      </c>
      <c r="D2806" t="s">
        <v>3849</v>
      </c>
      <c r="E2806" s="4">
        <v>43465</v>
      </c>
      <c r="F2806" s="11">
        <v>-34.423897580000002</v>
      </c>
      <c r="G2806" s="11">
        <v>-12.16730038</v>
      </c>
      <c r="H2806" s="11">
        <v>3.0673034266000001</v>
      </c>
      <c r="I2806" s="11">
        <v>31.809237372199998</v>
      </c>
      <c r="J2806" s="11">
        <v>12.549344705499999</v>
      </c>
      <c r="K2806" s="10">
        <v>0.53625235500000001</v>
      </c>
      <c r="L2806" s="12">
        <v>12621060088.32</v>
      </c>
      <c r="M2806">
        <v>39.682318670998498</v>
      </c>
      <c r="N2806" s="7">
        <v>3.3978251694921702</v>
      </c>
      <c r="O2806" s="7">
        <v>3.5948459495315102</v>
      </c>
      <c r="P2806" s="7">
        <v>78.892396516255104</v>
      </c>
      <c r="Q2806" s="7" t="s">
        <v>3698</v>
      </c>
      <c r="U2806">
        <v>0.17529697503807817</v>
      </c>
      <c r="AT2806" s="4" t="s">
        <v>4449</v>
      </c>
    </row>
    <row r="2807" spans="1:46">
      <c r="A2807" s="2">
        <v>285</v>
      </c>
      <c r="B2807" t="s">
        <v>8099</v>
      </c>
      <c r="C2807" t="s">
        <v>3074</v>
      </c>
      <c r="D2807" t="s">
        <v>3811</v>
      </c>
      <c r="E2807" s="4">
        <v>43465</v>
      </c>
      <c r="F2807" s="11">
        <v>-46.685427760000003</v>
      </c>
      <c r="G2807" s="11">
        <v>-12.211221119999999</v>
      </c>
      <c r="H2807" s="11">
        <v>18.766004127999999</v>
      </c>
      <c r="I2807" s="11">
        <v>2.5806099255000001</v>
      </c>
      <c r="J2807" s="11">
        <v>7.2999438599999994E-2</v>
      </c>
      <c r="K2807" s="10">
        <v>4.0722056228039998</v>
      </c>
      <c r="L2807" s="12">
        <v>2091967528</v>
      </c>
      <c r="M2807">
        <v>-6.3651993449482402</v>
      </c>
      <c r="N2807" s="7">
        <v>0.90297293474773999</v>
      </c>
      <c r="O2807" s="7">
        <v>4.3592809784703798E-2</v>
      </c>
      <c r="P2807" s="7">
        <v>2.5417053597916301</v>
      </c>
      <c r="Q2807" s="7">
        <v>0.25896414342629481</v>
      </c>
      <c r="U2807">
        <v>5.5395850225724179E-2</v>
      </c>
      <c r="AT2807" s="4" t="s">
        <v>8100</v>
      </c>
    </row>
    <row r="2808" spans="1:46">
      <c r="A2808" s="2">
        <v>2387</v>
      </c>
      <c r="B2808" t="s">
        <v>8101</v>
      </c>
      <c r="C2808" t="s">
        <v>414</v>
      </c>
      <c r="D2808" t="s">
        <v>3778</v>
      </c>
      <c r="E2808" s="4">
        <v>43465</v>
      </c>
      <c r="F2808" s="11">
        <v>-25.10258988</v>
      </c>
      <c r="G2808" s="11">
        <v>-12.23404255</v>
      </c>
      <c r="H2808" s="11">
        <v>58.576657986800001</v>
      </c>
      <c r="I2808" s="11">
        <v>36.302509539600003</v>
      </c>
      <c r="J2808" s="11">
        <v>12.6036036662</v>
      </c>
      <c r="K2808" s="10">
        <v>0.27708612736499999</v>
      </c>
      <c r="L2808" s="12">
        <v>4757893477.8000002</v>
      </c>
      <c r="M2808">
        <v>13.527876237391901</v>
      </c>
      <c r="N2808" s="7">
        <v>1.6987557509176801</v>
      </c>
      <c r="O2808" s="7">
        <v>1.9815376478231399</v>
      </c>
      <c r="P2808" s="7">
        <v>16.845747640193299</v>
      </c>
      <c r="Q2808" s="7">
        <v>3.0769230769230771</v>
      </c>
      <c r="U2808">
        <v>0.25883624760141161</v>
      </c>
      <c r="AT2808" s="4" t="s">
        <v>8102</v>
      </c>
    </row>
    <row r="2809" spans="1:46">
      <c r="A2809" s="2">
        <v>3511</v>
      </c>
      <c r="B2809" t="s">
        <v>8103</v>
      </c>
      <c r="C2809" t="s">
        <v>1380</v>
      </c>
      <c r="D2809" t="s">
        <v>3737</v>
      </c>
      <c r="E2809" s="4">
        <v>43465</v>
      </c>
      <c r="F2809" s="11">
        <v>-14.62177582</v>
      </c>
      <c r="G2809" s="11">
        <v>-12.24382554</v>
      </c>
      <c r="H2809" s="11">
        <v>43.120301382199997</v>
      </c>
      <c r="I2809" s="11">
        <v>31.7276419421</v>
      </c>
      <c r="J2809" s="11">
        <v>8.8373837819999999</v>
      </c>
      <c r="K2809" s="10">
        <v>0.63457689413200002</v>
      </c>
      <c r="L2809" s="12">
        <v>25729954740.049999</v>
      </c>
      <c r="M2809">
        <v>36.433372450584599</v>
      </c>
      <c r="N2809" s="7">
        <v>2.7889979088931298</v>
      </c>
      <c r="O2809" s="7">
        <v>3.1716532322973001</v>
      </c>
      <c r="P2809" s="7">
        <v>7.8754515964201204</v>
      </c>
      <c r="Q2809" s="7" t="s">
        <v>3698</v>
      </c>
      <c r="U2809">
        <v>0.45899089998416676</v>
      </c>
      <c r="AT2809" s="4" t="s">
        <v>8104</v>
      </c>
    </row>
    <row r="2810" spans="1:46">
      <c r="A2810" s="2">
        <v>1977</v>
      </c>
      <c r="B2810" t="s">
        <v>8105</v>
      </c>
      <c r="C2810" t="s">
        <v>79</v>
      </c>
      <c r="D2810" t="s">
        <v>3769</v>
      </c>
      <c r="E2810" s="4">
        <v>43465</v>
      </c>
      <c r="F2810" s="11">
        <v>-49.618687909999998</v>
      </c>
      <c r="G2810" s="11">
        <v>-12.278820380000001</v>
      </c>
      <c r="H2810" s="11">
        <v>17.446603381100001</v>
      </c>
      <c r="I2810" s="11">
        <v>40.681453946200001</v>
      </c>
      <c r="J2810" s="11">
        <v>11.135672680400001</v>
      </c>
      <c r="K2810" s="10">
        <v>0.51925278878900005</v>
      </c>
      <c r="L2810" s="12">
        <v>4362335660</v>
      </c>
      <c r="M2810">
        <v>16.494128891747099</v>
      </c>
      <c r="N2810" s="7">
        <v>3.4905634764672699</v>
      </c>
      <c r="O2810" s="7">
        <v>4.4369096320441601</v>
      </c>
      <c r="P2810" s="7">
        <v>80.700168277353399</v>
      </c>
      <c r="Q2810" s="7">
        <v>0.6402048655569782</v>
      </c>
      <c r="T2810" s="2"/>
      <c r="U2810">
        <v>0.39670511335470082</v>
      </c>
      <c r="AT2810" s="4" t="s">
        <v>4934</v>
      </c>
    </row>
    <row r="2811" spans="1:46">
      <c r="A2811" s="2">
        <v>1665</v>
      </c>
      <c r="B2811" t="s">
        <v>8106</v>
      </c>
      <c r="C2811" t="s">
        <v>1924</v>
      </c>
      <c r="D2811" t="s">
        <v>3972</v>
      </c>
      <c r="E2811" s="4">
        <v>43465</v>
      </c>
      <c r="F2811" s="11">
        <v>-40.636262189999997</v>
      </c>
      <c r="G2811" s="11">
        <v>-12.2972973</v>
      </c>
      <c r="H2811" s="11">
        <v>4.3476046992999997</v>
      </c>
      <c r="I2811" s="11">
        <v>10.782982781599999</v>
      </c>
      <c r="J2811" s="11">
        <v>0.8046781838</v>
      </c>
      <c r="K2811" s="10">
        <v>1.372332891496</v>
      </c>
      <c r="L2811" s="12">
        <v>4930015680.9799995</v>
      </c>
      <c r="M2811">
        <v>266.79530324301101</v>
      </c>
      <c r="N2811" s="7">
        <v>2.5739875370407401</v>
      </c>
      <c r="O2811" s="7">
        <v>0.83628692699254503</v>
      </c>
      <c r="P2811" s="7">
        <v>-36.164884967463799</v>
      </c>
      <c r="Q2811" s="7">
        <v>0.3289473684210526</v>
      </c>
      <c r="U2811">
        <v>4.044213510924001E-2</v>
      </c>
      <c r="AT2811" s="4" t="s">
        <v>4056</v>
      </c>
    </row>
    <row r="2812" spans="1:46">
      <c r="A2812" s="2">
        <v>2531</v>
      </c>
      <c r="B2812" t="s">
        <v>8107</v>
      </c>
      <c r="C2812" t="s">
        <v>50</v>
      </c>
      <c r="D2812" t="s">
        <v>3752</v>
      </c>
      <c r="E2812" s="4">
        <v>43465</v>
      </c>
      <c r="F2812" s="11">
        <v>-29.130204760000002</v>
      </c>
      <c r="G2812" s="11">
        <v>-12.303664919999999</v>
      </c>
      <c r="H2812" s="11">
        <v>9.7500062721000003</v>
      </c>
      <c r="I2812" s="11">
        <v>14.0401882734</v>
      </c>
      <c r="J2812" s="11">
        <v>18.705526592199998</v>
      </c>
      <c r="K2812" s="10">
        <v>0.67555848311599997</v>
      </c>
      <c r="L2812" s="12">
        <v>8511743224.3199997</v>
      </c>
      <c r="M2812">
        <v>-8.7762517845291192</v>
      </c>
      <c r="N2812" s="7">
        <v>1.39376931304633</v>
      </c>
      <c r="O2812" s="7">
        <v>1.52754479908156</v>
      </c>
      <c r="P2812" s="7">
        <v>14.9481946642385</v>
      </c>
      <c r="Q2812" s="7" t="s">
        <v>3698</v>
      </c>
      <c r="U2812">
        <v>0.4886759124752581</v>
      </c>
      <c r="AT2812" s="4" t="s">
        <v>8108</v>
      </c>
    </row>
    <row r="2813" spans="1:46">
      <c r="A2813" s="2">
        <v>2111</v>
      </c>
      <c r="B2813" t="s">
        <v>8109</v>
      </c>
      <c r="C2813" t="s">
        <v>1284</v>
      </c>
      <c r="D2813" t="s">
        <v>3761</v>
      </c>
      <c r="E2813" s="4">
        <v>43465</v>
      </c>
      <c r="F2813" s="11">
        <v>-36.80241745</v>
      </c>
      <c r="G2813" s="11">
        <v>-12.3739072</v>
      </c>
      <c r="H2813" s="11">
        <v>17.720435424800002</v>
      </c>
      <c r="I2813" s="11">
        <v>46.002417399099997</v>
      </c>
      <c r="J2813" s="11">
        <v>9.1258281094000004</v>
      </c>
      <c r="K2813" s="10">
        <v>0.62887831490000001</v>
      </c>
      <c r="L2813" s="12">
        <v>1523200000</v>
      </c>
      <c r="M2813">
        <v>51.001830438349998</v>
      </c>
      <c r="N2813" s="7">
        <v>3.33713065460271</v>
      </c>
      <c r="O2813" s="7">
        <v>4.0048914592612501</v>
      </c>
      <c r="P2813" s="7">
        <v>-8.7704581811885696</v>
      </c>
      <c r="Q2813" s="7">
        <v>0.84745762711864403</v>
      </c>
      <c r="U2813">
        <v>0.35426738389499962</v>
      </c>
      <c r="AT2813" s="4" t="s">
        <v>6782</v>
      </c>
    </row>
    <row r="2814" spans="1:46">
      <c r="A2814" s="2">
        <v>1344</v>
      </c>
      <c r="B2814" t="s">
        <v>8110</v>
      </c>
      <c r="C2814" t="s">
        <v>945</v>
      </c>
      <c r="D2814" t="s">
        <v>3769</v>
      </c>
      <c r="E2814" s="4">
        <v>43465</v>
      </c>
      <c r="F2814" s="11">
        <v>-19.71951297</v>
      </c>
      <c r="G2814" s="11">
        <v>-12.37590999</v>
      </c>
      <c r="H2814" s="11">
        <v>71.665683106100005</v>
      </c>
      <c r="I2814" s="11">
        <v>15.5017467685</v>
      </c>
      <c r="J2814" s="11">
        <v>6.9904847025999999</v>
      </c>
      <c r="K2814" s="10">
        <v>0.95138394738499998</v>
      </c>
      <c r="L2814" s="12">
        <v>14503955000</v>
      </c>
      <c r="M2814">
        <v>25.821427350073701</v>
      </c>
      <c r="N2814" s="7">
        <v>3.20345220485419</v>
      </c>
      <c r="O2814" s="7">
        <v>1.70862279143672</v>
      </c>
      <c r="P2814" s="7">
        <v>-65.694134555397</v>
      </c>
      <c r="Q2814" s="7">
        <v>0.55903398926654746</v>
      </c>
      <c r="U2814">
        <v>0.6265478631176471</v>
      </c>
      <c r="AT2814" s="4" t="s">
        <v>4740</v>
      </c>
    </row>
    <row r="2815" spans="1:46">
      <c r="A2815" s="2">
        <v>1236</v>
      </c>
      <c r="B2815" t="s">
        <v>8111</v>
      </c>
      <c r="C2815" t="s">
        <v>478</v>
      </c>
      <c r="D2815" t="s">
        <v>3785</v>
      </c>
      <c r="E2815" s="4">
        <v>43465</v>
      </c>
      <c r="F2815" s="11">
        <v>-19.343048750000001</v>
      </c>
      <c r="G2815" s="11">
        <v>-12.38938053</v>
      </c>
      <c r="H2815" s="11">
        <v>33.5609413448</v>
      </c>
      <c r="I2815" s="11">
        <v>7.1301992086999997</v>
      </c>
      <c r="J2815" s="11">
        <v>2.3430954194</v>
      </c>
      <c r="K2815" s="10">
        <v>2.7875535795520001</v>
      </c>
      <c r="L2815" s="12">
        <v>127855402552.5</v>
      </c>
      <c r="M2815">
        <v>42.340789382988198</v>
      </c>
      <c r="N2815" s="7">
        <v>2.9202016952010599</v>
      </c>
      <c r="O2815" s="7">
        <v>0.75504574302779903</v>
      </c>
      <c r="P2815" s="7">
        <v>35.144318396045101</v>
      </c>
      <c r="Q2815" s="7">
        <v>0.52094879184216358</v>
      </c>
      <c r="U2815">
        <v>0.23417265394951939</v>
      </c>
      <c r="AT2815" s="4" t="s">
        <v>4961</v>
      </c>
    </row>
    <row r="2816" spans="1:46">
      <c r="A2816" s="2">
        <v>824</v>
      </c>
      <c r="B2816" t="s">
        <v>8112</v>
      </c>
      <c r="C2816" t="s">
        <v>3207</v>
      </c>
      <c r="D2816" t="s">
        <v>3713</v>
      </c>
      <c r="E2816" s="4">
        <v>43465</v>
      </c>
      <c r="F2816" s="11">
        <v>-38.76314206</v>
      </c>
      <c r="G2816" s="11">
        <v>-12.4003543</v>
      </c>
      <c r="H2816" s="11">
        <v>47.8396340213</v>
      </c>
      <c r="I2816" s="11">
        <v>17.652771640699999</v>
      </c>
      <c r="J2816" s="11">
        <v>1.5791481924999999</v>
      </c>
      <c r="K2816" s="10">
        <v>0.74566493603499995</v>
      </c>
      <c r="L2816" s="12">
        <v>3790080000</v>
      </c>
      <c r="M2816">
        <v>60.895666002301198</v>
      </c>
      <c r="N2816" s="7">
        <v>4.6516809961083698</v>
      </c>
      <c r="O2816" s="7">
        <v>1.82206189344162</v>
      </c>
      <c r="P2816" s="7">
        <v>77.377625959013898</v>
      </c>
      <c r="Q2816" s="7">
        <v>0.1321353065539112</v>
      </c>
      <c r="U2816">
        <v>0.22979822714743592</v>
      </c>
      <c r="AT2816" s="4" t="s">
        <v>5259</v>
      </c>
    </row>
    <row r="2817" spans="1:46">
      <c r="A2817" s="2">
        <v>1363</v>
      </c>
      <c r="B2817" t="s">
        <v>8113</v>
      </c>
      <c r="C2817" t="s">
        <v>1707</v>
      </c>
      <c r="D2817" t="s">
        <v>3849</v>
      </c>
      <c r="E2817" s="4">
        <v>43465</v>
      </c>
      <c r="F2817" s="11">
        <v>-24.526957540000002</v>
      </c>
      <c r="G2817" s="11">
        <v>-12.401883829999999</v>
      </c>
      <c r="H2817" s="11">
        <v>11.5376082467</v>
      </c>
      <c r="I2817" s="11">
        <v>16.2320459245</v>
      </c>
      <c r="J2817" s="11">
        <v>2.2832369826000001</v>
      </c>
      <c r="K2817" s="10">
        <v>0.72909046231700003</v>
      </c>
      <c r="L2817" s="12">
        <v>2921689758</v>
      </c>
      <c r="M2817">
        <v>48.508506940134403</v>
      </c>
      <c r="N2817" s="7">
        <v>2.51797945967063</v>
      </c>
      <c r="O2817" s="7">
        <v>0.82884333610459004</v>
      </c>
      <c r="P2817" s="7">
        <v>-75.439372792367706</v>
      </c>
      <c r="Q2817" s="7">
        <v>0.34548673031408617</v>
      </c>
      <c r="U2817">
        <v>0.17175837373522773</v>
      </c>
      <c r="AT2817" s="4" t="s">
        <v>7465</v>
      </c>
    </row>
    <row r="2818" spans="1:46">
      <c r="A2818" s="2">
        <v>3345</v>
      </c>
      <c r="B2818" t="s">
        <v>8114</v>
      </c>
      <c r="C2818" t="s">
        <v>1665</v>
      </c>
      <c r="D2818" t="s">
        <v>3721</v>
      </c>
      <c r="E2818" s="4">
        <v>43465</v>
      </c>
      <c r="F2818" s="11">
        <v>-12.240428570000001</v>
      </c>
      <c r="G2818" s="11">
        <v>-12.48945148</v>
      </c>
      <c r="H2818" s="11">
        <v>-0.89210383969999996</v>
      </c>
      <c r="I2818" s="11">
        <v>15.627712470700001</v>
      </c>
      <c r="J2818" s="11">
        <v>6.1926305331</v>
      </c>
      <c r="K2818" s="10">
        <v>1.0909957721570001</v>
      </c>
      <c r="L2818" s="12">
        <v>4442100300.4399996</v>
      </c>
      <c r="M2818">
        <v>28.474067436195899</v>
      </c>
      <c r="N2818" s="7">
        <v>1.8809152319325799</v>
      </c>
      <c r="O2818" s="7">
        <v>1.25518333939896</v>
      </c>
      <c r="P2818" s="7">
        <v>10.3580820460919</v>
      </c>
      <c r="Q2818" s="7">
        <v>1.9221779617977834</v>
      </c>
      <c r="U2818">
        <v>0.60644922306372551</v>
      </c>
      <c r="AT2818" s="4" t="s">
        <v>5798</v>
      </c>
    </row>
    <row r="2819" spans="1:46">
      <c r="A2819" s="2">
        <v>2877</v>
      </c>
      <c r="B2819" t="s">
        <v>8115</v>
      </c>
      <c r="C2819" t="s">
        <v>1986</v>
      </c>
      <c r="D2819" t="s">
        <v>3713</v>
      </c>
      <c r="E2819" s="4">
        <v>43465</v>
      </c>
      <c r="F2819" s="11">
        <v>-63.551409200000002</v>
      </c>
      <c r="G2819" s="11">
        <v>-12.51778094</v>
      </c>
      <c r="H2819" s="11">
        <v>-16.035119755899998</v>
      </c>
      <c r="I2819" s="11">
        <v>50.959404855599999</v>
      </c>
      <c r="J2819" s="11">
        <v>5.4919457908</v>
      </c>
      <c r="K2819" s="10">
        <v>0.29739912106700001</v>
      </c>
      <c r="L2819" s="12">
        <v>3119003160</v>
      </c>
      <c r="M2819">
        <v>15.7965197742048</v>
      </c>
      <c r="N2819" s="7">
        <v>2.0925661676182798</v>
      </c>
      <c r="O2819" s="7">
        <v>1.4188887951518501</v>
      </c>
      <c r="P2819" s="7">
        <v>-2.9769295897632202</v>
      </c>
      <c r="Q2819" s="7" t="s">
        <v>3698</v>
      </c>
      <c r="U2819">
        <v>0.26574033811549624</v>
      </c>
      <c r="AT2819" s="4" t="s">
        <v>4775</v>
      </c>
    </row>
    <row r="2820" spans="1:46">
      <c r="A2820" s="2">
        <v>293</v>
      </c>
      <c r="B2820" t="s">
        <v>8116</v>
      </c>
      <c r="C2820" t="s">
        <v>3467</v>
      </c>
      <c r="D2820" t="s">
        <v>3858</v>
      </c>
      <c r="E2820" s="4">
        <v>43465</v>
      </c>
      <c r="F2820" s="11">
        <v>-48.89719393</v>
      </c>
      <c r="G2820" s="11">
        <v>-12.520064209999999</v>
      </c>
      <c r="H2820" s="11">
        <v>37.773584530800001</v>
      </c>
      <c r="I2820" s="11">
        <v>29.337775587300001</v>
      </c>
      <c r="J2820" s="11">
        <v>4.2592194126000003</v>
      </c>
      <c r="K2820" s="10">
        <v>0.25278178396700002</v>
      </c>
      <c r="L2820" s="12">
        <v>2256384000</v>
      </c>
      <c r="M2820">
        <v>19.605847885004099</v>
      </c>
      <c r="N2820" s="7">
        <v>1.7661726821081201</v>
      </c>
      <c r="O2820" s="7">
        <v>2.1293039675668299</v>
      </c>
      <c r="P2820" s="7">
        <v>-9.5833698590595109</v>
      </c>
      <c r="Q2820" s="7" t="s">
        <v>3698</v>
      </c>
      <c r="U2820">
        <v>0.11696273719799725</v>
      </c>
      <c r="AT2820" s="4" t="s">
        <v>8117</v>
      </c>
    </row>
    <row r="2821" spans="1:46">
      <c r="A2821" s="2">
        <v>514</v>
      </c>
      <c r="B2821" t="s">
        <v>8118</v>
      </c>
      <c r="C2821" t="s">
        <v>2543</v>
      </c>
      <c r="D2821" t="s">
        <v>3728</v>
      </c>
      <c r="E2821" s="4">
        <v>43465</v>
      </c>
      <c r="F2821" s="11">
        <v>-24.019043589999999</v>
      </c>
      <c r="G2821" s="11">
        <v>-12.535612540000001</v>
      </c>
      <c r="H2821" s="11">
        <v>3.3225207013000002</v>
      </c>
      <c r="I2821" s="11">
        <v>40.5700493155</v>
      </c>
      <c r="J2821" s="11">
        <v>12.0554699792</v>
      </c>
      <c r="K2821" s="10">
        <v>0.87390802306399995</v>
      </c>
      <c r="L2821" s="12">
        <v>10459704518.26</v>
      </c>
      <c r="M2821">
        <v>13.886451041758701</v>
      </c>
      <c r="N2821" s="7">
        <v>2.3627759179101</v>
      </c>
      <c r="O2821" s="7">
        <v>1.9280219410478801</v>
      </c>
      <c r="P2821" s="7">
        <v>77.410636048661402</v>
      </c>
      <c r="Q2821" s="7">
        <v>5.8528428093645486</v>
      </c>
      <c r="U2821">
        <v>0.40933672506514557</v>
      </c>
      <c r="AT2821" s="4" t="s">
        <v>4743</v>
      </c>
    </row>
    <row r="2822" spans="1:46">
      <c r="A2822" s="2">
        <v>3601</v>
      </c>
      <c r="B2822" t="s">
        <v>8119</v>
      </c>
      <c r="C2822" t="s">
        <v>1755</v>
      </c>
      <c r="D2822" t="s">
        <v>3849</v>
      </c>
      <c r="E2822" s="4">
        <v>43465</v>
      </c>
      <c r="F2822" s="11">
        <v>-47.417437700000001</v>
      </c>
      <c r="G2822" s="11">
        <v>-12.5932063</v>
      </c>
      <c r="H2822" s="11">
        <v>12.9957851275</v>
      </c>
      <c r="I2822" s="11">
        <v>33.758495211000003</v>
      </c>
      <c r="J2822" s="11">
        <v>16.0370047796</v>
      </c>
      <c r="K2822" s="10">
        <v>0.51985620305400004</v>
      </c>
      <c r="L2822" s="12">
        <v>4821807220.6800003</v>
      </c>
      <c r="M2822">
        <v>22.766563071243802</v>
      </c>
      <c r="N2822" s="7">
        <v>2.0807651070963802</v>
      </c>
      <c r="O2822" s="7">
        <v>3.1555549507092899</v>
      </c>
      <c r="P2822" s="7">
        <v>-276.77746869577402</v>
      </c>
      <c r="Q2822" s="7">
        <v>1.1247443762781189</v>
      </c>
      <c r="U2822">
        <v>0.62345480631377548</v>
      </c>
      <c r="AT2822" s="4" t="s">
        <v>8120</v>
      </c>
    </row>
    <row r="2823" spans="1:46">
      <c r="A2823" s="2">
        <v>3500</v>
      </c>
      <c r="B2823" t="s">
        <v>8121</v>
      </c>
      <c r="C2823" t="s">
        <v>1756</v>
      </c>
      <c r="D2823" t="s">
        <v>3785</v>
      </c>
      <c r="E2823" s="4">
        <v>43465</v>
      </c>
      <c r="F2823" s="11">
        <v>-53.516622230000003</v>
      </c>
      <c r="G2823" s="11">
        <v>-12.60330579</v>
      </c>
      <c r="H2823" s="11">
        <v>33.581140980699999</v>
      </c>
      <c r="I2823" s="11">
        <v>30.8642096729</v>
      </c>
      <c r="J2823" s="11">
        <v>11.6463598095</v>
      </c>
      <c r="K2823" s="10">
        <v>0.46422943439100001</v>
      </c>
      <c r="L2823" s="12">
        <v>3248369945.1500001</v>
      </c>
      <c r="M2823">
        <v>43.7209403101863</v>
      </c>
      <c r="N2823" s="7">
        <v>2.5147138188863098</v>
      </c>
      <c r="O2823" s="7">
        <v>5.3639550148805597</v>
      </c>
      <c r="P2823" s="7">
        <v>-11.0770776185537</v>
      </c>
      <c r="Q2823" s="7">
        <v>4.9626739056667795</v>
      </c>
      <c r="U2823">
        <v>0.23501392125000001</v>
      </c>
      <c r="AT2823" s="4" t="s">
        <v>4184</v>
      </c>
    </row>
    <row r="2824" spans="1:46">
      <c r="A2824" s="2">
        <v>2757</v>
      </c>
      <c r="B2824" t="s">
        <v>8122</v>
      </c>
      <c r="C2824" t="s">
        <v>286</v>
      </c>
      <c r="D2824" t="s">
        <v>3871</v>
      </c>
      <c r="E2824" s="4">
        <v>43465</v>
      </c>
      <c r="F2824" s="11">
        <v>-37.422857870000001</v>
      </c>
      <c r="G2824" s="11">
        <v>-12.64367816</v>
      </c>
      <c r="H2824" s="11">
        <v>-19.701908856100001</v>
      </c>
      <c r="I2824" s="11">
        <v>38.471691456199999</v>
      </c>
      <c r="J2824" s="11">
        <v>8.1155313196000005</v>
      </c>
      <c r="K2824" s="10">
        <v>0.224053215965</v>
      </c>
      <c r="L2824" s="12">
        <v>7255021984.7600002</v>
      </c>
      <c r="M2824">
        <v>19.719961266719501</v>
      </c>
      <c r="N2824" s="7">
        <v>1.19741450693886</v>
      </c>
      <c r="O2824" s="7">
        <v>0.98202822204004603</v>
      </c>
      <c r="P2824" s="7">
        <v>-5.2909443003754202</v>
      </c>
      <c r="Q2824" s="7">
        <v>1.0169491525423728</v>
      </c>
      <c r="U2824">
        <v>0.28759424524800303</v>
      </c>
      <c r="AT2824" s="4" t="s">
        <v>4014</v>
      </c>
    </row>
    <row r="2825" spans="1:46">
      <c r="A2825" s="2">
        <v>3519</v>
      </c>
      <c r="B2825" t="s">
        <v>8123</v>
      </c>
      <c r="C2825" t="s">
        <v>1922</v>
      </c>
      <c r="D2825" t="s">
        <v>3761</v>
      </c>
      <c r="E2825" s="4">
        <v>43465</v>
      </c>
      <c r="F2825" s="11">
        <v>-39.04693709</v>
      </c>
      <c r="G2825" s="11">
        <v>-12.648221339999999</v>
      </c>
      <c r="H2825" s="11">
        <v>16.314060946600002</v>
      </c>
      <c r="I2825" s="11">
        <v>34.989144305400004</v>
      </c>
      <c r="J2825" s="11">
        <v>8.8044355539999994</v>
      </c>
      <c r="K2825" s="10">
        <v>0.81749235964400002</v>
      </c>
      <c r="L2825" s="12">
        <v>1859284800</v>
      </c>
      <c r="M2825">
        <v>34.643951661403499</v>
      </c>
      <c r="N2825" s="7">
        <v>3.5869400977118202</v>
      </c>
      <c r="O2825" s="7">
        <v>2.88261565257835</v>
      </c>
      <c r="P2825" s="7">
        <v>-23.381093658252599</v>
      </c>
      <c r="Q2825" s="7">
        <v>0.39272030651340983</v>
      </c>
      <c r="U2825">
        <v>0.40109967122596152</v>
      </c>
      <c r="AT2825" s="4" t="s">
        <v>4241</v>
      </c>
    </row>
    <row r="2826" spans="1:46">
      <c r="A2826" s="2">
        <v>2667</v>
      </c>
      <c r="B2826" t="s">
        <v>8124</v>
      </c>
      <c r="C2826" t="s">
        <v>1151</v>
      </c>
      <c r="D2826" t="s">
        <v>3737</v>
      </c>
      <c r="E2826" s="4">
        <v>43465</v>
      </c>
      <c r="F2826" s="11">
        <v>-50.998570039999997</v>
      </c>
      <c r="G2826" s="11">
        <v>-12.68115942</v>
      </c>
      <c r="H2826" s="11">
        <v>1.9750026451</v>
      </c>
      <c r="I2826" s="11">
        <v>72.292552646100006</v>
      </c>
      <c r="J2826" s="11">
        <v>-17.6284049649</v>
      </c>
      <c r="K2826" s="10">
        <v>0.56808270418100004</v>
      </c>
      <c r="L2826" s="12">
        <v>10305781391</v>
      </c>
      <c r="M2826">
        <v>19.953179185830699</v>
      </c>
      <c r="N2826" s="7">
        <v>1.6545730515911901</v>
      </c>
      <c r="O2826" s="7">
        <v>1.1370184121517199</v>
      </c>
      <c r="P2826" s="7">
        <v>-37.6479312943883</v>
      </c>
      <c r="Q2826" s="7" t="s">
        <v>3698</v>
      </c>
      <c r="U2826">
        <v>-0.91611353968810783</v>
      </c>
      <c r="AT2826" s="4" t="s">
        <v>8125</v>
      </c>
    </row>
    <row r="2827" spans="1:46">
      <c r="A2827" s="2">
        <v>706</v>
      </c>
      <c r="B2827" t="s">
        <v>8126</v>
      </c>
      <c r="C2827" t="s">
        <v>896</v>
      </c>
      <c r="D2827" t="s">
        <v>3790</v>
      </c>
      <c r="E2827" s="4">
        <v>43465</v>
      </c>
      <c r="F2827" s="11">
        <v>-5.4601242399999999</v>
      </c>
      <c r="G2827" s="11">
        <v>-12.73712737</v>
      </c>
      <c r="H2827" s="11">
        <v>17.949040679700001</v>
      </c>
      <c r="I2827" s="11">
        <v>89.428096375899997</v>
      </c>
      <c r="J2827" s="11">
        <v>36.359588443699998</v>
      </c>
      <c r="K2827" s="10">
        <v>0.360314134397</v>
      </c>
      <c r="L2827" s="12">
        <v>4865929823.5200005</v>
      </c>
      <c r="M2827">
        <v>12.8187621991655</v>
      </c>
      <c r="N2827" s="7">
        <v>2.37344456189056</v>
      </c>
      <c r="O2827" s="7">
        <v>4.4569323441156898</v>
      </c>
      <c r="P2827" s="7">
        <v>-18.228723193362601</v>
      </c>
      <c r="Q2827" s="7">
        <v>0.76413652580538338</v>
      </c>
      <c r="U2827">
        <v>0.30775748403168429</v>
      </c>
      <c r="AT2827" s="4" t="s">
        <v>6363</v>
      </c>
    </row>
    <row r="2828" spans="1:46">
      <c r="A2828" s="2">
        <v>143</v>
      </c>
      <c r="B2828" t="s">
        <v>8127</v>
      </c>
      <c r="C2828" t="s">
        <v>2645</v>
      </c>
      <c r="D2828" t="s">
        <v>3871</v>
      </c>
      <c r="E2828" s="4">
        <v>43465</v>
      </c>
      <c r="F2828" s="11">
        <v>-32.068819140000002</v>
      </c>
      <c r="G2828" s="11">
        <v>-12.739463600000001</v>
      </c>
      <c r="H2828" s="11">
        <v>1.2896818237000001</v>
      </c>
      <c r="I2828" s="11">
        <v>51.633470962899999</v>
      </c>
      <c r="J2828" s="11">
        <v>16.474443114900001</v>
      </c>
      <c r="K2828" s="10">
        <v>0.103129092916</v>
      </c>
      <c r="L2828" s="12">
        <v>2038941153</v>
      </c>
      <c r="M2828">
        <v>-21.478033662079</v>
      </c>
      <c r="N2828" s="7">
        <v>3.3451853346604601</v>
      </c>
      <c r="O2828" s="7">
        <v>97.581771710750701</v>
      </c>
      <c r="P2828" s="7">
        <v>-33.125752506334599</v>
      </c>
      <c r="Q2828" s="7">
        <v>0.56053811659192831</v>
      </c>
      <c r="U2828">
        <v>0.12450141073409024</v>
      </c>
      <c r="AT2828" s="4" t="s">
        <v>6928</v>
      </c>
    </row>
    <row r="2829" spans="1:46">
      <c r="A2829" s="2">
        <v>1481</v>
      </c>
      <c r="B2829" t="s">
        <v>8128</v>
      </c>
      <c r="C2829" t="s">
        <v>1752</v>
      </c>
      <c r="D2829" t="s">
        <v>3764</v>
      </c>
      <c r="E2829" s="4">
        <v>43465</v>
      </c>
      <c r="F2829" s="11">
        <v>-68.036366689999994</v>
      </c>
      <c r="G2829" s="11">
        <v>-12.777053459999999</v>
      </c>
      <c r="H2829" s="11">
        <v>-36.0635983118</v>
      </c>
      <c r="I2829" s="11">
        <v>26.406770362</v>
      </c>
      <c r="J2829" s="11">
        <v>-6.9247922642999997</v>
      </c>
      <c r="K2829" s="10">
        <v>0.17179873562299999</v>
      </c>
      <c r="L2829" s="12">
        <v>5906129037.6000004</v>
      </c>
      <c r="M2829">
        <v>27.7780622896381</v>
      </c>
      <c r="N2829" s="7">
        <v>1.2085118518378299</v>
      </c>
      <c r="O2829" s="7">
        <v>4.0515469822766299</v>
      </c>
      <c r="P2829" s="7">
        <v>-30.125682574063301</v>
      </c>
      <c r="Q2829" s="7">
        <v>0.218978102189781</v>
      </c>
      <c r="U2829">
        <v>-0.10443145304162556</v>
      </c>
      <c r="AT2829" s="4" t="s">
        <v>5254</v>
      </c>
    </row>
    <row r="2830" spans="1:46">
      <c r="A2830" s="2">
        <v>2386</v>
      </c>
      <c r="B2830" t="s">
        <v>8129</v>
      </c>
      <c r="C2830" t="s">
        <v>3087</v>
      </c>
      <c r="D2830" t="s">
        <v>3769</v>
      </c>
      <c r="E2830" s="4">
        <v>43465</v>
      </c>
      <c r="F2830" s="11">
        <v>-59.055118110000002</v>
      </c>
      <c r="G2830" s="11">
        <v>-12.777777779999999</v>
      </c>
      <c r="H2830" s="11">
        <v>-6.6188140438999996</v>
      </c>
      <c r="I2830" s="11">
        <v>7.9651570851000004</v>
      </c>
      <c r="J2830" s="11">
        <v>-24.3458408471</v>
      </c>
      <c r="K2830" s="10">
        <v>0.96993259536300003</v>
      </c>
      <c r="L2830" s="12">
        <v>1559135001.7</v>
      </c>
      <c r="M2830">
        <v>61.630744395670597</v>
      </c>
      <c r="N2830" s="7">
        <v>1.92535982558714</v>
      </c>
      <c r="O2830" s="7">
        <v>0.55251904944987196</v>
      </c>
      <c r="P2830" s="7">
        <v>-40.306662046733898</v>
      </c>
      <c r="Q2830" s="7" t="s">
        <v>3698</v>
      </c>
      <c r="U2830">
        <v>-0.71376353522603109</v>
      </c>
      <c r="AT2830" s="4" t="s">
        <v>8130</v>
      </c>
    </row>
    <row r="2831" spans="1:46">
      <c r="A2831" s="2">
        <v>2059</v>
      </c>
      <c r="B2831" t="s">
        <v>8131</v>
      </c>
      <c r="C2831" t="s">
        <v>1019</v>
      </c>
      <c r="D2831" t="s">
        <v>4060</v>
      </c>
      <c r="E2831" s="4">
        <v>43465</v>
      </c>
      <c r="F2831" s="11">
        <v>-10.34007561</v>
      </c>
      <c r="G2831" s="11">
        <v>-12.80167891</v>
      </c>
      <c r="H2831" s="11">
        <v>18.447764906100002</v>
      </c>
      <c r="I2831" s="11">
        <v>17.894464454800001</v>
      </c>
      <c r="J2831" s="11">
        <v>7.2127141923</v>
      </c>
      <c r="K2831" s="10">
        <v>1.5130096647469999</v>
      </c>
      <c r="L2831" s="12">
        <v>2347176960</v>
      </c>
      <c r="M2831">
        <v>54.538455825186198</v>
      </c>
      <c r="N2831" s="7">
        <v>4.5861551981272797</v>
      </c>
      <c r="O2831" s="7">
        <v>2.6050551510280102</v>
      </c>
      <c r="P2831" s="7">
        <v>-39.106818816453398</v>
      </c>
      <c r="Q2831" s="7">
        <v>1.8390804597701149</v>
      </c>
      <c r="U2831">
        <v>0.27344071865692954</v>
      </c>
      <c r="AT2831" s="4" t="s">
        <v>8132</v>
      </c>
    </row>
    <row r="2832" spans="1:46">
      <c r="A2832" s="2">
        <v>1815</v>
      </c>
      <c r="B2832" t="s">
        <v>8133</v>
      </c>
      <c r="C2832" t="s">
        <v>2167</v>
      </c>
      <c r="D2832" t="s">
        <v>3721</v>
      </c>
      <c r="E2832" s="4">
        <v>43465</v>
      </c>
      <c r="F2832" s="11">
        <v>49.863404920000001</v>
      </c>
      <c r="G2832" s="11">
        <v>-12.80653951</v>
      </c>
      <c r="H2832" s="11">
        <v>5.7076453692999998</v>
      </c>
      <c r="I2832" s="11">
        <v>25.6851685028</v>
      </c>
      <c r="J2832" s="11">
        <v>6.8382161158999999</v>
      </c>
      <c r="K2832" s="10">
        <v>0.71948317533899997</v>
      </c>
      <c r="L2832" s="12">
        <v>21526164342.599998</v>
      </c>
      <c r="M2832">
        <v>58.192276818961801</v>
      </c>
      <c r="N2832" s="7">
        <v>3.8678766382682399</v>
      </c>
      <c r="O2832" s="7">
        <v>3.2000566487844901</v>
      </c>
      <c r="P2832" s="7">
        <v>64.1804864535588</v>
      </c>
      <c r="Q2832" s="7">
        <v>1.7201834862385321</v>
      </c>
      <c r="U2832">
        <v>0.14592139060652015</v>
      </c>
      <c r="AT2832" s="4" t="s">
        <v>5442</v>
      </c>
    </row>
    <row r="2833" spans="1:46">
      <c r="A2833" s="2">
        <v>1714</v>
      </c>
      <c r="B2833" t="s">
        <v>8134</v>
      </c>
      <c r="C2833" t="s">
        <v>1879</v>
      </c>
      <c r="D2833" t="s">
        <v>3737</v>
      </c>
      <c r="E2833" s="4">
        <v>43465</v>
      </c>
      <c r="F2833" s="11">
        <v>-36.428520820000003</v>
      </c>
      <c r="G2833" s="11">
        <v>-12.8983308</v>
      </c>
      <c r="H2833" s="11">
        <v>13.68562584</v>
      </c>
      <c r="I2833" s="11">
        <v>49.291774543099997</v>
      </c>
      <c r="J2833" s="11">
        <v>9.4928812465999997</v>
      </c>
      <c r="K2833" s="10">
        <v>0.37598598739099998</v>
      </c>
      <c r="L2833" s="12">
        <v>1916997716.6199999</v>
      </c>
      <c r="M2833">
        <v>39.878111012583801</v>
      </c>
      <c r="N2833" s="7">
        <v>2.3912941649572201</v>
      </c>
      <c r="O2833" s="7">
        <v>3.9304399385659301</v>
      </c>
      <c r="P2833" s="7">
        <v>102.491741878317</v>
      </c>
      <c r="Q2833" s="7" t="s">
        <v>3698</v>
      </c>
      <c r="U2833">
        <v>9.5496047754105723E-2</v>
      </c>
      <c r="AT2833" s="4" t="s">
        <v>6725</v>
      </c>
    </row>
    <row r="2834" spans="1:46">
      <c r="A2834" s="2">
        <v>1602</v>
      </c>
      <c r="B2834" t="s">
        <v>8135</v>
      </c>
      <c r="C2834" t="s">
        <v>1994</v>
      </c>
      <c r="D2834" t="s">
        <v>3713</v>
      </c>
      <c r="E2834" s="4">
        <v>43465</v>
      </c>
      <c r="F2834" s="11">
        <v>27.652257169999999</v>
      </c>
      <c r="G2834" s="11">
        <v>-12.90322581</v>
      </c>
      <c r="H2834" s="11">
        <v>26.255840331400002</v>
      </c>
      <c r="I2834" s="11">
        <v>52.352067474199998</v>
      </c>
      <c r="J2834" s="11">
        <v>11.1888608761</v>
      </c>
      <c r="K2834" s="10">
        <v>0.48787924475</v>
      </c>
      <c r="L2834" s="12">
        <v>3801074433.2399998</v>
      </c>
      <c r="M2834">
        <v>64.110366082590502</v>
      </c>
      <c r="N2834" s="7">
        <v>2.7955270333745998</v>
      </c>
      <c r="O2834" s="7">
        <v>3.7716579269939299</v>
      </c>
      <c r="P2834" s="7">
        <v>408.98018248958499</v>
      </c>
      <c r="Q2834" s="7">
        <v>0.18254397815812667</v>
      </c>
      <c r="U2834">
        <v>0.21350611881852549</v>
      </c>
      <c r="AT2834" s="4" t="s">
        <v>4795</v>
      </c>
    </row>
    <row r="2835" spans="1:46">
      <c r="A2835" s="2">
        <v>2734</v>
      </c>
      <c r="B2835" t="s">
        <v>8136</v>
      </c>
      <c r="C2835" t="s">
        <v>2086</v>
      </c>
      <c r="D2835" t="s">
        <v>3889</v>
      </c>
      <c r="E2835" s="4">
        <v>43465</v>
      </c>
      <c r="F2835" s="11">
        <v>-32.507861640000002</v>
      </c>
      <c r="G2835" s="11">
        <v>-12.93456033</v>
      </c>
      <c r="H2835" s="11">
        <v>21.577371648500002</v>
      </c>
      <c r="I2835" s="11">
        <v>41.1371369843</v>
      </c>
      <c r="J2835" s="11">
        <v>-15.370596146500001</v>
      </c>
      <c r="K2835" s="10">
        <v>0.66282150556999997</v>
      </c>
      <c r="L2835" s="12">
        <v>2789818823.5300002</v>
      </c>
      <c r="M2835">
        <v>72.560747525245006</v>
      </c>
      <c r="N2835" s="7">
        <v>4.4112991060928</v>
      </c>
      <c r="O2835" s="7">
        <v>2.8039105610054502</v>
      </c>
      <c r="P2835" s="7">
        <v>44.795474357801702</v>
      </c>
      <c r="Q2835" s="7" t="s">
        <v>3698</v>
      </c>
      <c r="U2835">
        <v>-0.93096718702358694</v>
      </c>
      <c r="AT2835" s="4" t="s">
        <v>6642</v>
      </c>
    </row>
    <row r="2836" spans="1:46">
      <c r="A2836" s="2">
        <v>750</v>
      </c>
      <c r="B2836" t="s">
        <v>8137</v>
      </c>
      <c r="C2836" t="s">
        <v>1658</v>
      </c>
      <c r="D2836" t="s">
        <v>3849</v>
      </c>
      <c r="E2836" s="4">
        <v>43465</v>
      </c>
      <c r="F2836" s="11">
        <v>-55.818883030000002</v>
      </c>
      <c r="G2836" s="11">
        <v>-13</v>
      </c>
      <c r="H2836" s="11">
        <v>-21.0868495052</v>
      </c>
      <c r="I2836" s="11">
        <v>19.041832433500002</v>
      </c>
      <c r="J2836" s="11">
        <v>0.84791952130000003</v>
      </c>
      <c r="K2836" s="10">
        <v>0.48072797182799998</v>
      </c>
      <c r="L2836" s="12">
        <v>2159115327.3600001</v>
      </c>
      <c r="M2836">
        <v>30.876192299256701</v>
      </c>
      <c r="N2836" s="7">
        <v>1.8870356551748899</v>
      </c>
      <c r="O2836" s="7">
        <v>1.39211821262783</v>
      </c>
      <c r="P2836" s="7">
        <v>44.465190744776898</v>
      </c>
      <c r="Q2836" s="7" t="s">
        <v>3698</v>
      </c>
      <c r="U2836">
        <v>1.2710829489555205E-2</v>
      </c>
      <c r="AT2836" s="4" t="s">
        <v>3797</v>
      </c>
    </row>
    <row r="2837" spans="1:46">
      <c r="A2837" s="2">
        <v>2881</v>
      </c>
      <c r="B2837" t="s">
        <v>8138</v>
      </c>
      <c r="C2837" t="s">
        <v>217</v>
      </c>
      <c r="D2837" t="s">
        <v>3842</v>
      </c>
      <c r="E2837" s="4">
        <v>43465</v>
      </c>
      <c r="F2837" s="11">
        <v>-13.75200182</v>
      </c>
      <c r="G2837" s="11">
        <v>-13.00578035</v>
      </c>
      <c r="H2837" s="11">
        <v>11.9131757454</v>
      </c>
      <c r="I2837" s="11">
        <v>14.8341212373</v>
      </c>
      <c r="J2837" s="11">
        <v>8.6123642584999995</v>
      </c>
      <c r="K2837" s="10">
        <v>1.099555080999</v>
      </c>
      <c r="L2837" s="12">
        <v>22488057150.700001</v>
      </c>
      <c r="M2837">
        <v>4.0930514616880398</v>
      </c>
      <c r="N2837" s="7">
        <v>0.94571992556030804</v>
      </c>
      <c r="O2837" s="7">
        <v>0.319171430414673</v>
      </c>
      <c r="P2837" s="7">
        <v>89.715638246394306</v>
      </c>
      <c r="Q2837" s="7">
        <v>11.272727272727273</v>
      </c>
      <c r="U2837">
        <v>0.77178712395015392</v>
      </c>
      <c r="AT2837" s="4" t="s">
        <v>3847</v>
      </c>
    </row>
    <row r="2838" spans="1:46">
      <c r="A2838" s="2">
        <v>1356</v>
      </c>
      <c r="B2838" t="s">
        <v>8139</v>
      </c>
      <c r="C2838" t="s">
        <v>2371</v>
      </c>
      <c r="D2838" t="s">
        <v>3858</v>
      </c>
      <c r="E2838" s="4">
        <v>43465</v>
      </c>
      <c r="F2838" s="11">
        <v>-49.416465029999998</v>
      </c>
      <c r="G2838" s="11">
        <v>-13.053613049999999</v>
      </c>
      <c r="H2838" s="11">
        <v>1.2875669087999999</v>
      </c>
      <c r="I2838" s="11">
        <v>12.7912103891</v>
      </c>
      <c r="J2838" s="11">
        <v>2.7728534904000002</v>
      </c>
      <c r="K2838" s="10">
        <v>0.67162686810299999</v>
      </c>
      <c r="L2838" s="12">
        <v>3464877245.0100002</v>
      </c>
      <c r="M2838">
        <v>72.808917614481103</v>
      </c>
      <c r="N2838" s="7">
        <v>3.9416336872735598</v>
      </c>
      <c r="O2838" s="7">
        <v>2.6582077587225199</v>
      </c>
      <c r="P2838" s="7">
        <v>-18.3671669101712</v>
      </c>
      <c r="Q2838" s="7" t="s">
        <v>3698</v>
      </c>
      <c r="U2838">
        <v>0.21810004711861064</v>
      </c>
      <c r="AT2838" s="4" t="s">
        <v>4643</v>
      </c>
    </row>
    <row r="2839" spans="1:46">
      <c r="A2839" s="2">
        <v>982</v>
      </c>
      <c r="B2839" t="s">
        <v>8140</v>
      </c>
      <c r="C2839" t="s">
        <v>2832</v>
      </c>
      <c r="D2839" t="s">
        <v>3761</v>
      </c>
      <c r="E2839" s="4">
        <v>43465</v>
      </c>
      <c r="F2839" s="11">
        <v>-41.585487569999998</v>
      </c>
      <c r="G2839" s="11">
        <v>-13.05970149</v>
      </c>
      <c r="H2839" s="11">
        <v>2.9594391620999998</v>
      </c>
      <c r="I2839" s="11">
        <v>13.253673300499999</v>
      </c>
      <c r="J2839" s="11">
        <v>1.3701131093000001</v>
      </c>
      <c r="K2839" s="10">
        <v>0.88145649968999995</v>
      </c>
      <c r="L2839" s="12">
        <v>1542528000</v>
      </c>
      <c r="M2839">
        <v>52.273655364540303</v>
      </c>
      <c r="N2839" s="7">
        <v>1.9049027990488401</v>
      </c>
      <c r="O2839" s="7">
        <v>0.42856017692032999</v>
      </c>
      <c r="P2839" s="7">
        <v>-23.347559403210301</v>
      </c>
      <c r="Q2839" s="7">
        <v>0.26086956521739135</v>
      </c>
      <c r="U2839">
        <v>6.7381827271293382E-2</v>
      </c>
      <c r="AT2839" s="4" t="s">
        <v>5128</v>
      </c>
    </row>
    <row r="2840" spans="1:46">
      <c r="A2840" s="2">
        <v>2359</v>
      </c>
      <c r="B2840" t="s">
        <v>8141</v>
      </c>
      <c r="C2840" t="s">
        <v>3650</v>
      </c>
      <c r="D2840" t="s">
        <v>3871</v>
      </c>
      <c r="E2840" s="4">
        <v>43465</v>
      </c>
      <c r="F2840" s="11">
        <v>-41.15308151</v>
      </c>
      <c r="G2840" s="11">
        <v>-13.15789474</v>
      </c>
      <c r="H2840" s="11">
        <v>116.3702733109</v>
      </c>
      <c r="I2840" s="11">
        <v>20.9473559722</v>
      </c>
      <c r="J2840" s="11">
        <v>-11.595023296100001</v>
      </c>
      <c r="K2840" s="10">
        <v>0.222179509734</v>
      </c>
      <c r="L2840" s="12">
        <v>2372482777.5</v>
      </c>
      <c r="M2840">
        <v>-7.14116674743563</v>
      </c>
      <c r="N2840" s="7">
        <v>4.1431156897027499</v>
      </c>
      <c r="O2840" s="7">
        <v>1.1641534983858099</v>
      </c>
      <c r="P2840" s="7">
        <v>-9.5412285613755099</v>
      </c>
      <c r="Q2840" s="7" t="s">
        <v>3698</v>
      </c>
      <c r="U2840">
        <v>-0.41362227527579148</v>
      </c>
      <c r="AT2840" s="4" t="s">
        <v>7971</v>
      </c>
    </row>
    <row r="2841" spans="1:46">
      <c r="A2841" s="2">
        <v>3501</v>
      </c>
      <c r="B2841" t="s">
        <v>8142</v>
      </c>
      <c r="C2841" t="s">
        <v>1525</v>
      </c>
      <c r="D2841" t="s">
        <v>3858</v>
      </c>
      <c r="E2841" s="4">
        <v>43465</v>
      </c>
      <c r="F2841" s="11">
        <v>-17.44755924</v>
      </c>
      <c r="G2841" s="11">
        <v>-13.189113750000001</v>
      </c>
      <c r="H2841" s="11">
        <v>33.174489806399997</v>
      </c>
      <c r="I2841" s="11">
        <v>28.459540032100001</v>
      </c>
      <c r="J2841" s="11">
        <v>14.000298733799999</v>
      </c>
      <c r="K2841" s="10">
        <v>0.43163531292599999</v>
      </c>
      <c r="L2841" s="12">
        <v>2659654436.5799999</v>
      </c>
      <c r="M2841">
        <v>33.190609406198803</v>
      </c>
      <c r="N2841" s="7">
        <v>2.2194026524688</v>
      </c>
      <c r="O2841" s="7">
        <v>4.4928980061048902</v>
      </c>
      <c r="P2841" s="7">
        <v>32.0294798830651</v>
      </c>
      <c r="Q2841" s="7" t="s">
        <v>3698</v>
      </c>
      <c r="U2841">
        <v>0.54992921491632307</v>
      </c>
      <c r="AT2841" s="4" t="s">
        <v>5173</v>
      </c>
    </row>
    <row r="2842" spans="1:46">
      <c r="A2842" s="2">
        <v>1212</v>
      </c>
      <c r="B2842" t="s">
        <v>8143</v>
      </c>
      <c r="C2842" t="s">
        <v>566</v>
      </c>
      <c r="D2842" t="s">
        <v>4060</v>
      </c>
      <c r="E2842" s="4">
        <v>43465</v>
      </c>
      <c r="F2842" s="11">
        <v>-25.326260269999999</v>
      </c>
      <c r="G2842" s="11">
        <v>-13.241106719999999</v>
      </c>
      <c r="H2842" s="11">
        <v>11.345271202499999</v>
      </c>
      <c r="I2842" s="11">
        <v>25.786948052</v>
      </c>
      <c r="J2842" s="11">
        <v>2.7354307304000001</v>
      </c>
      <c r="K2842" s="10">
        <v>0.58833866850500005</v>
      </c>
      <c r="L2842" s="12">
        <v>1961065214.5699999</v>
      </c>
      <c r="M2842">
        <v>17.800372199655001</v>
      </c>
      <c r="N2842" s="7">
        <v>2.2344961576759901</v>
      </c>
      <c r="O2842" s="7">
        <v>1.47870173602099</v>
      </c>
      <c r="P2842" s="7">
        <v>-13.7727435841987</v>
      </c>
      <c r="Q2842" s="7" t="s">
        <v>3698</v>
      </c>
      <c r="U2842">
        <v>9.5695322775024183E-2</v>
      </c>
      <c r="AT2842" s="4" t="s">
        <v>6777</v>
      </c>
    </row>
    <row r="2843" spans="1:46">
      <c r="A2843" s="2">
        <v>2862</v>
      </c>
      <c r="B2843" t="s">
        <v>8144</v>
      </c>
      <c r="C2843" t="s">
        <v>363</v>
      </c>
      <c r="D2843" t="s">
        <v>3737</v>
      </c>
      <c r="E2843" s="4">
        <v>43465</v>
      </c>
      <c r="F2843" s="11">
        <v>18.862891380000001</v>
      </c>
      <c r="G2843" s="11">
        <v>-13.24503311</v>
      </c>
      <c r="H2843" s="11">
        <v>28.096757985699998</v>
      </c>
      <c r="I2843" s="11">
        <v>31.148078893099999</v>
      </c>
      <c r="J2843" s="11">
        <v>5.2087902740000001</v>
      </c>
      <c r="K2843" s="10">
        <v>0.56580875182099999</v>
      </c>
      <c r="L2843" s="12">
        <v>3520392512</v>
      </c>
      <c r="M2843">
        <v>33.345081893363698</v>
      </c>
      <c r="N2843" s="7">
        <v>1.74640467065362</v>
      </c>
      <c r="O2843" s="7">
        <v>1.6550451679768201</v>
      </c>
      <c r="P2843" s="7">
        <v>6.7947210593662497</v>
      </c>
      <c r="Q2843" s="7">
        <v>0.48762647800696651</v>
      </c>
      <c r="U2843">
        <v>0.23834988764344572</v>
      </c>
      <c r="AT2843" s="4" t="s">
        <v>8100</v>
      </c>
    </row>
    <row r="2844" spans="1:46">
      <c r="A2844" s="2">
        <v>2221</v>
      </c>
      <c r="B2844" t="s">
        <v>8145</v>
      </c>
      <c r="C2844" t="s">
        <v>3138</v>
      </c>
      <c r="D2844" t="s">
        <v>3721</v>
      </c>
      <c r="E2844" s="4">
        <v>43465</v>
      </c>
      <c r="F2844" s="11">
        <v>-89.463019250000002</v>
      </c>
      <c r="G2844" s="11">
        <v>-13.33333333</v>
      </c>
      <c r="H2844" s="11">
        <v>-94.853909872800003</v>
      </c>
      <c r="I2844" s="11">
        <v>14.225080691100001</v>
      </c>
      <c r="J2844" s="11">
        <v>-1222.1604312454999</v>
      </c>
      <c r="K2844" s="10">
        <v>0.107579919385</v>
      </c>
      <c r="L2844" s="12">
        <v>6875486800</v>
      </c>
      <c r="M2844">
        <v>-0.34398314614937497</v>
      </c>
      <c r="N2844" s="7">
        <v>-0.57961504468070402</v>
      </c>
      <c r="O2844" s="7">
        <v>8511.2474800169293</v>
      </c>
      <c r="P2844" s="7">
        <v>-6.7963887422581903</v>
      </c>
      <c r="Q2844" s="7" t="s">
        <v>3698</v>
      </c>
      <c r="U2844">
        <v>-0.69285209604560971</v>
      </c>
      <c r="AT2844" s="4" t="s">
        <v>8146</v>
      </c>
    </row>
    <row r="2845" spans="1:46">
      <c r="A2845" s="2">
        <v>1780</v>
      </c>
      <c r="B2845" t="s">
        <v>8147</v>
      </c>
      <c r="C2845" t="s">
        <v>2705</v>
      </c>
      <c r="D2845" t="s">
        <v>3764</v>
      </c>
      <c r="E2845" s="4">
        <v>43465</v>
      </c>
      <c r="F2845" s="11">
        <v>-72.240497169999998</v>
      </c>
      <c r="G2845" s="11">
        <v>-13.367609249999999</v>
      </c>
      <c r="H2845" s="11">
        <v>-31.5179917442</v>
      </c>
      <c r="I2845" s="11">
        <v>29.759271208600001</v>
      </c>
      <c r="J2845" s="11">
        <v>6.2787331139999996</v>
      </c>
      <c r="K2845" s="10">
        <v>0.283031946448</v>
      </c>
      <c r="L2845" s="12">
        <v>6177600000</v>
      </c>
      <c r="M2845">
        <v>13.3565698366936</v>
      </c>
      <c r="N2845" s="7">
        <v>1.7833502436231901</v>
      </c>
      <c r="O2845" s="7">
        <v>1.69574561834825</v>
      </c>
      <c r="P2845" s="7">
        <v>-9.6235634266132895</v>
      </c>
      <c r="Q2845" s="7">
        <v>0.5806451612903224</v>
      </c>
      <c r="U2845">
        <v>0.12704023007734577</v>
      </c>
      <c r="AT2845" s="4" t="s">
        <v>4825</v>
      </c>
    </row>
    <row r="2846" spans="1:46">
      <c r="A2846" s="2">
        <v>3607</v>
      </c>
      <c r="B2846" t="s">
        <v>8148</v>
      </c>
      <c r="C2846" t="s">
        <v>798</v>
      </c>
      <c r="D2846" t="s">
        <v>3752</v>
      </c>
      <c r="E2846" s="4">
        <v>43465</v>
      </c>
      <c r="F2846" s="11">
        <v>-16.577642579999999</v>
      </c>
      <c r="G2846" s="11">
        <v>-13.44947735</v>
      </c>
      <c r="H2846" s="11">
        <v>17.151135228499999</v>
      </c>
      <c r="I2846" s="11">
        <v>21.955238025100002</v>
      </c>
      <c r="J2846" s="11">
        <v>9.7243591437999992</v>
      </c>
      <c r="K2846" s="10">
        <v>0.99242244053399997</v>
      </c>
      <c r="L2846" s="12">
        <v>2101165500.0599999</v>
      </c>
      <c r="M2846">
        <v>20.445723009187201</v>
      </c>
      <c r="N2846" s="7">
        <v>2.3325904055279998</v>
      </c>
      <c r="O2846" s="7">
        <v>1.88941431394441</v>
      </c>
      <c r="P2846" s="7">
        <v>-41.407930941757698</v>
      </c>
      <c r="Q2846" s="7">
        <v>1.943462897526502</v>
      </c>
      <c r="U2846">
        <v>0.72497788501984128</v>
      </c>
      <c r="AT2846" s="4" t="s">
        <v>8149</v>
      </c>
    </row>
    <row r="2847" spans="1:46">
      <c r="A2847" s="2">
        <v>2947</v>
      </c>
      <c r="B2847" t="s">
        <v>8150</v>
      </c>
      <c r="C2847" t="s">
        <v>1304</v>
      </c>
      <c r="D2847" t="s">
        <v>3764</v>
      </c>
      <c r="E2847" s="4">
        <v>43465</v>
      </c>
      <c r="F2847" s="11">
        <v>-44.011969100000002</v>
      </c>
      <c r="G2847" s="11">
        <v>-13.454545449999999</v>
      </c>
      <c r="H2847" s="11">
        <v>13.925815315199999</v>
      </c>
      <c r="I2847" s="11">
        <v>36.320880566600003</v>
      </c>
      <c r="J2847" s="11">
        <v>21.523055017000001</v>
      </c>
      <c r="K2847" s="10">
        <v>0.173950646933</v>
      </c>
      <c r="L2847" s="12">
        <v>5028345423.46</v>
      </c>
      <c r="M2847">
        <v>25.3235918839402</v>
      </c>
      <c r="N2847" s="7">
        <v>2.0237579451077901</v>
      </c>
      <c r="O2847" s="7">
        <v>5.0556328142006901</v>
      </c>
      <c r="P2847" s="7">
        <v>19.091112503242801</v>
      </c>
      <c r="Q2847" s="7">
        <v>1.5229885057471266</v>
      </c>
      <c r="U2847">
        <v>0.35114771361442121</v>
      </c>
      <c r="AT2847" s="4" t="s">
        <v>8151</v>
      </c>
    </row>
    <row r="2848" spans="1:46">
      <c r="A2848" s="2">
        <v>3560</v>
      </c>
      <c r="B2848" t="s">
        <v>8152</v>
      </c>
      <c r="C2848" t="s">
        <v>817</v>
      </c>
      <c r="D2848" t="s">
        <v>3998</v>
      </c>
      <c r="E2848" s="4">
        <v>43465</v>
      </c>
      <c r="F2848" s="11">
        <v>-31.618693629999999</v>
      </c>
      <c r="G2848" s="11">
        <v>-13.467656420000001</v>
      </c>
      <c r="H2848" s="11">
        <v>6.1119068897000002</v>
      </c>
      <c r="I2848" s="11">
        <v>27.683785762500001</v>
      </c>
      <c r="J2848" s="11">
        <v>9.5671764399000008</v>
      </c>
      <c r="K2848" s="10">
        <v>0.54987798332799998</v>
      </c>
      <c r="L2848" s="12">
        <v>10207902250</v>
      </c>
      <c r="M2848">
        <v>44.573861133670697</v>
      </c>
      <c r="N2848" s="7">
        <v>3.4990043884834199</v>
      </c>
      <c r="O2848" s="7">
        <v>5.7703019830416604</v>
      </c>
      <c r="P2848" s="7">
        <v>-30.9106051346279</v>
      </c>
      <c r="Q2848" s="7">
        <v>0.63051702395964693</v>
      </c>
      <c r="U2848">
        <v>0.16041993872806359</v>
      </c>
      <c r="AT2848" s="4" t="s">
        <v>4321</v>
      </c>
    </row>
    <row r="2849" spans="1:46">
      <c r="A2849" s="2">
        <v>684</v>
      </c>
      <c r="B2849" t="s">
        <v>8153</v>
      </c>
      <c r="C2849" t="s">
        <v>2071</v>
      </c>
      <c r="D2849" t="s">
        <v>3737</v>
      </c>
      <c r="E2849" s="4">
        <v>43465</v>
      </c>
      <c r="F2849" s="11">
        <v>-53.732081219999998</v>
      </c>
      <c r="G2849" s="11">
        <v>-13.49862259</v>
      </c>
      <c r="H2849" s="11">
        <v>16.986113300900001</v>
      </c>
      <c r="I2849" s="11">
        <v>36.969713609599999</v>
      </c>
      <c r="J2849" s="11">
        <v>2.8277537689000001</v>
      </c>
      <c r="K2849" s="10">
        <v>0.23754066834900001</v>
      </c>
      <c r="L2849" s="12">
        <v>8766253109.8799992</v>
      </c>
      <c r="M2849">
        <v>29.7689628656053</v>
      </c>
      <c r="N2849" s="7">
        <v>1.2711413718098701</v>
      </c>
      <c r="O2849" s="7">
        <v>3.0234892892278</v>
      </c>
      <c r="P2849" s="7">
        <v>-239.86182073886599</v>
      </c>
      <c r="Q2849" s="7" t="s">
        <v>3698</v>
      </c>
      <c r="U2849">
        <v>6.5245119104796967E-2</v>
      </c>
      <c r="AT2849" s="4" t="s">
        <v>5676</v>
      </c>
    </row>
    <row r="2850" spans="1:46">
      <c r="A2850" s="2">
        <v>2370</v>
      </c>
      <c r="B2850" t="s">
        <v>8154</v>
      </c>
      <c r="C2850" t="s">
        <v>425</v>
      </c>
      <c r="D2850" t="s">
        <v>3764</v>
      </c>
      <c r="E2850" s="4">
        <v>43465</v>
      </c>
      <c r="F2850" s="11">
        <v>21.729087910000001</v>
      </c>
      <c r="G2850" s="11">
        <v>-13.52313167</v>
      </c>
      <c r="H2850" s="11">
        <v>-1.3053443567</v>
      </c>
      <c r="I2850" s="11">
        <v>51.310835405200002</v>
      </c>
      <c r="J2850" s="11">
        <v>28.4964011448</v>
      </c>
      <c r="K2850" s="10">
        <v>0.21814647112800001</v>
      </c>
      <c r="L2850" s="12">
        <v>5568752919.04</v>
      </c>
      <c r="M2850">
        <v>12.3339718673421</v>
      </c>
      <c r="N2850" s="7">
        <v>2.4714193519246401</v>
      </c>
      <c r="O2850" s="7">
        <v>3.8997416634999298</v>
      </c>
      <c r="P2850" s="7">
        <v>43.479978265480703</v>
      </c>
      <c r="Q2850" s="7">
        <v>3.9980809211578441</v>
      </c>
      <c r="U2850">
        <v>0.39330063518300262</v>
      </c>
      <c r="AT2850" s="4" t="s">
        <v>8155</v>
      </c>
    </row>
    <row r="2851" spans="1:46">
      <c r="A2851" s="2">
        <v>2764</v>
      </c>
      <c r="B2851" t="s">
        <v>8156</v>
      </c>
      <c r="C2851" t="s">
        <v>2183</v>
      </c>
      <c r="D2851" t="s">
        <v>3752</v>
      </c>
      <c r="E2851" s="4">
        <v>43465</v>
      </c>
      <c r="F2851" s="11">
        <v>-42.62295082</v>
      </c>
      <c r="G2851" s="11">
        <v>-13.524590160000001</v>
      </c>
      <c r="H2851" s="11">
        <v>1.760517632</v>
      </c>
      <c r="I2851" s="11">
        <v>14.5806098069</v>
      </c>
      <c r="J2851" s="11">
        <v>0.57445894590000002</v>
      </c>
      <c r="K2851" s="10">
        <v>0.52211028246299995</v>
      </c>
      <c r="L2851" s="12">
        <v>4639085019.3599997</v>
      </c>
      <c r="M2851">
        <v>-22.316269493546098</v>
      </c>
      <c r="N2851" s="7">
        <v>0.98519554926865405</v>
      </c>
      <c r="O2851" s="7">
        <v>0.29525240340293402</v>
      </c>
      <c r="P2851" s="7">
        <v>-6.0341866941586098</v>
      </c>
      <c r="Q2851" s="7" t="s">
        <v>3698</v>
      </c>
      <c r="U2851">
        <v>5.418940183936212E-2</v>
      </c>
      <c r="AT2851" s="4" t="s">
        <v>5047</v>
      </c>
    </row>
    <row r="2852" spans="1:46">
      <c r="A2852" s="2">
        <v>1418</v>
      </c>
      <c r="B2852" t="s">
        <v>8157</v>
      </c>
      <c r="C2852" t="s">
        <v>2989</v>
      </c>
      <c r="D2852" t="s">
        <v>3761</v>
      </c>
      <c r="E2852" s="4">
        <v>43465</v>
      </c>
      <c r="F2852" s="11">
        <v>-14.60754448</v>
      </c>
      <c r="G2852" s="11">
        <v>-13.55247982</v>
      </c>
      <c r="H2852" s="11">
        <v>-5.2722706828000003</v>
      </c>
      <c r="I2852" s="11">
        <v>22.760145733600002</v>
      </c>
      <c r="J2852" s="11">
        <v>3.6612681907</v>
      </c>
      <c r="K2852" s="10">
        <v>0.80701330414799999</v>
      </c>
      <c r="L2852" s="12">
        <v>1646400000</v>
      </c>
      <c r="M2852">
        <v>52.706628426524901</v>
      </c>
      <c r="N2852" s="7">
        <v>2.5592863490201498</v>
      </c>
      <c r="O2852" s="7">
        <v>2.00272449404808</v>
      </c>
      <c r="P2852" s="7">
        <v>-28.198961366462399</v>
      </c>
      <c r="Q2852" s="7">
        <v>1.0364820435537088</v>
      </c>
      <c r="U2852">
        <v>0.31506352498193557</v>
      </c>
      <c r="AT2852" s="4" t="s">
        <v>4454</v>
      </c>
    </row>
    <row r="2853" spans="1:46">
      <c r="A2853" s="2">
        <v>659</v>
      </c>
      <c r="B2853" t="s">
        <v>8158</v>
      </c>
      <c r="C2853" t="s">
        <v>1881</v>
      </c>
      <c r="D2853" t="s">
        <v>3713</v>
      </c>
      <c r="E2853" s="4">
        <v>43465</v>
      </c>
      <c r="F2853" s="11">
        <v>-42.300144260000003</v>
      </c>
      <c r="G2853" s="11">
        <v>-13.5678392</v>
      </c>
      <c r="H2853" s="11">
        <v>-59.1568097372</v>
      </c>
      <c r="I2853" s="11">
        <v>56.335994578799998</v>
      </c>
      <c r="J2853" s="11">
        <v>16.9550410652</v>
      </c>
      <c r="K2853" s="10">
        <v>0.17686021581899999</v>
      </c>
      <c r="L2853" s="12">
        <v>1982736000</v>
      </c>
      <c r="M2853">
        <v>99.619933957369199</v>
      </c>
      <c r="N2853" s="7">
        <v>2.9377657170897198</v>
      </c>
      <c r="O2853" s="7">
        <v>10.654343766556099</v>
      </c>
      <c r="P2853" s="7">
        <v>-49.3367188017885</v>
      </c>
      <c r="Q2853" s="7">
        <v>0.49701789264413521</v>
      </c>
      <c r="U2853">
        <v>7.3558282891754284E-2</v>
      </c>
      <c r="AT2853" s="4" t="s">
        <v>4833</v>
      </c>
    </row>
    <row r="2854" spans="1:46">
      <c r="A2854" s="2">
        <v>3104</v>
      </c>
      <c r="B2854" t="s">
        <v>8159</v>
      </c>
      <c r="C2854" t="s">
        <v>642</v>
      </c>
      <c r="D2854" t="s">
        <v>3811</v>
      </c>
      <c r="E2854" s="4">
        <v>43465</v>
      </c>
      <c r="F2854" s="11">
        <v>-43.456458410000003</v>
      </c>
      <c r="G2854" s="11">
        <v>-13.58024691</v>
      </c>
      <c r="H2854" s="11">
        <v>8.1501316510000006</v>
      </c>
      <c r="I2854" s="11">
        <v>22.446189093299999</v>
      </c>
      <c r="J2854" s="11">
        <v>1.7702802844000001</v>
      </c>
      <c r="K2854" s="10">
        <v>1.103674175401</v>
      </c>
      <c r="L2854" s="12">
        <v>3234616140.1700001</v>
      </c>
      <c r="M2854">
        <v>14.825107872467401</v>
      </c>
      <c r="N2854" s="7">
        <v>1.22056977094562</v>
      </c>
      <c r="O2854" s="7">
        <v>0.50288432062150501</v>
      </c>
      <c r="P2854" s="7">
        <v>18.197891796464699</v>
      </c>
      <c r="Q2854" s="7">
        <v>3.7243947858472999</v>
      </c>
      <c r="U2854">
        <v>0.23483552831569665</v>
      </c>
      <c r="AT2854" s="4" t="s">
        <v>4515</v>
      </c>
    </row>
    <row r="2855" spans="1:46">
      <c r="A2855" s="2">
        <v>3137</v>
      </c>
      <c r="B2855" t="s">
        <v>8160</v>
      </c>
      <c r="C2855" t="s">
        <v>1004</v>
      </c>
      <c r="D2855" t="s">
        <v>3858</v>
      </c>
      <c r="E2855" s="4">
        <v>43465</v>
      </c>
      <c r="F2855" s="11">
        <v>-37.652561499999997</v>
      </c>
      <c r="G2855" s="11">
        <v>-13.58024691</v>
      </c>
      <c r="H2855" s="11">
        <v>10.686175175100001</v>
      </c>
      <c r="I2855" s="11">
        <v>14.773664911599999</v>
      </c>
      <c r="J2855" s="11">
        <v>3.3676187479999999</v>
      </c>
      <c r="K2855" s="10">
        <v>0.458083705768</v>
      </c>
      <c r="L2855" s="12">
        <v>4609280000</v>
      </c>
      <c r="M2855">
        <v>10.935861649903</v>
      </c>
      <c r="N2855" s="7">
        <v>0.93984382460355098</v>
      </c>
      <c r="O2855" s="7">
        <v>0.26949495826537101</v>
      </c>
      <c r="P2855" s="7">
        <v>-51.903136767692999</v>
      </c>
      <c r="Q2855" s="7">
        <v>2.3975490196078431</v>
      </c>
      <c r="U2855">
        <v>0.50298225525325135</v>
      </c>
      <c r="AT2855" s="4" t="s">
        <v>6237</v>
      </c>
    </row>
    <row r="2856" spans="1:46">
      <c r="A2856" s="2">
        <v>3359</v>
      </c>
      <c r="B2856" t="s">
        <v>8161</v>
      </c>
      <c r="C2856" t="s">
        <v>1169</v>
      </c>
      <c r="D2856" t="s">
        <v>3837</v>
      </c>
      <c r="E2856" s="4">
        <v>43465</v>
      </c>
      <c r="F2856" s="11">
        <v>-26.685702679999999</v>
      </c>
      <c r="G2856" s="11">
        <v>-13.58428805</v>
      </c>
      <c r="H2856" s="11">
        <v>15.5372853395</v>
      </c>
      <c r="I2856" s="11" t="s">
        <v>3698</v>
      </c>
      <c r="J2856" s="11">
        <v>25.724551172000002</v>
      </c>
      <c r="K2856" s="10" t="s">
        <v>3698</v>
      </c>
      <c r="L2856" s="12">
        <v>3943798452</v>
      </c>
      <c r="M2856">
        <v>10.644873404958499</v>
      </c>
      <c r="N2856" s="7">
        <v>0.97060987500585505</v>
      </c>
      <c r="O2856" s="7">
        <v>2.9860280594114501</v>
      </c>
      <c r="P2856" s="7">
        <v>3.5346333499495799</v>
      </c>
      <c r="Q2856" s="7">
        <v>1.829153004888499</v>
      </c>
      <c r="U2856">
        <v>0.55395599938287021</v>
      </c>
      <c r="AT2856" s="4" t="s">
        <v>4138</v>
      </c>
    </row>
    <row r="2857" spans="1:46">
      <c r="A2857" s="2">
        <v>1277</v>
      </c>
      <c r="B2857" t="s">
        <v>8162</v>
      </c>
      <c r="C2857" t="s">
        <v>2037</v>
      </c>
      <c r="D2857" t="s">
        <v>3785</v>
      </c>
      <c r="E2857" s="4">
        <v>43465</v>
      </c>
      <c r="F2857" s="11">
        <v>-47.945108689999998</v>
      </c>
      <c r="G2857" s="11">
        <v>-13.620071680000001</v>
      </c>
      <c r="H2857" s="11">
        <v>3.7402752593000002</v>
      </c>
      <c r="I2857" s="11">
        <v>24.766865934599998</v>
      </c>
      <c r="J2857" s="11">
        <v>10.0483529291</v>
      </c>
      <c r="K2857" s="10">
        <v>0.41367591955799998</v>
      </c>
      <c r="L2857" s="12">
        <v>18638481609.889999</v>
      </c>
      <c r="M2857">
        <v>28.678456074534299</v>
      </c>
      <c r="N2857" s="7">
        <v>1.75369575268232</v>
      </c>
      <c r="O2857" s="7">
        <v>2.3486126747601599</v>
      </c>
      <c r="P2857" s="7">
        <v>10.1473979200975</v>
      </c>
      <c r="Q2857" s="7">
        <v>0.83700440528634357</v>
      </c>
      <c r="U2857">
        <v>0.11793682522566694</v>
      </c>
      <c r="AT2857" s="4" t="s">
        <v>4065</v>
      </c>
    </row>
    <row r="2858" spans="1:46">
      <c r="A2858" s="2">
        <v>3531</v>
      </c>
      <c r="B2858" t="s">
        <v>8163</v>
      </c>
      <c r="C2858" t="s">
        <v>1645</v>
      </c>
      <c r="D2858" t="s">
        <v>3849</v>
      </c>
      <c r="E2858" s="4">
        <v>43465</v>
      </c>
      <c r="F2858" s="11">
        <v>-42.917574350000002</v>
      </c>
      <c r="G2858" s="11">
        <v>-13.627152990000001</v>
      </c>
      <c r="H2858" s="11">
        <v>-19.870299239600001</v>
      </c>
      <c r="I2858" s="11">
        <v>29.751882360900002</v>
      </c>
      <c r="J2858" s="11">
        <v>14.082579216499999</v>
      </c>
      <c r="K2858" s="10">
        <v>0.333626629944</v>
      </c>
      <c r="L2858" s="12">
        <v>4563765690.8800001</v>
      </c>
      <c r="M2858">
        <v>20.379563584486601</v>
      </c>
      <c r="N2858" s="7">
        <v>1.59546322801227</v>
      </c>
      <c r="O2858" s="7">
        <v>2.8954917964029998</v>
      </c>
      <c r="P2858" s="7">
        <v>-9.9111952829171805</v>
      </c>
      <c r="Q2858" s="7">
        <v>1.2023210680989909</v>
      </c>
      <c r="U2858">
        <v>0.88803686964285711</v>
      </c>
      <c r="AT2858" s="4" t="s">
        <v>6500</v>
      </c>
    </row>
    <row r="2859" spans="1:46">
      <c r="A2859" s="2">
        <v>19</v>
      </c>
      <c r="B2859" t="s">
        <v>8164</v>
      </c>
      <c r="C2859" t="s">
        <v>3408</v>
      </c>
      <c r="D2859" t="s">
        <v>3785</v>
      </c>
      <c r="E2859" s="4">
        <v>43465</v>
      </c>
      <c r="F2859" s="11">
        <v>-49.263831740000001</v>
      </c>
      <c r="G2859" s="11">
        <v>-13.66324309</v>
      </c>
      <c r="H2859" s="11">
        <v>-0.32343256510000001</v>
      </c>
      <c r="I2859" s="11">
        <v>9.9002701323999993</v>
      </c>
      <c r="J2859" s="11">
        <v>2.9822678754999998</v>
      </c>
      <c r="K2859" s="10">
        <v>2.8540391258660001</v>
      </c>
      <c r="L2859" s="12">
        <v>5770782716.0500002</v>
      </c>
      <c r="M2859">
        <v>-135.95343698034901</v>
      </c>
      <c r="N2859" s="7">
        <v>1.9722221003619</v>
      </c>
      <c r="O2859" s="7">
        <v>27.268083842602501</v>
      </c>
      <c r="P2859" s="7">
        <v>-222.984293403252</v>
      </c>
      <c r="Q2859" s="7">
        <v>1.7094017094017095</v>
      </c>
      <c r="U2859">
        <v>0.26752416585080874</v>
      </c>
      <c r="AT2859" s="4" t="s">
        <v>8165</v>
      </c>
    </row>
    <row r="2860" spans="1:46">
      <c r="A2860" s="2">
        <v>3552</v>
      </c>
      <c r="B2860" t="s">
        <v>8166</v>
      </c>
      <c r="C2860" t="s">
        <v>2570</v>
      </c>
      <c r="D2860" t="s">
        <v>3761</v>
      </c>
      <c r="E2860" s="4">
        <v>43465</v>
      </c>
      <c r="F2860" s="11">
        <v>17.201333080000001</v>
      </c>
      <c r="G2860" s="11">
        <v>-13.68421053</v>
      </c>
      <c r="H2860" s="11">
        <v>32.784097453999998</v>
      </c>
      <c r="I2860" s="11">
        <v>12.836654708599999</v>
      </c>
      <c r="J2860" s="11">
        <v>5.0552292036999997</v>
      </c>
      <c r="K2860" s="10">
        <v>0.88861943649200004</v>
      </c>
      <c r="L2860" s="12">
        <v>2760565945.8000002</v>
      </c>
      <c r="M2860">
        <v>52.235258141205797</v>
      </c>
      <c r="N2860" s="7">
        <v>2.5027101081782601</v>
      </c>
      <c r="O2860" s="7">
        <v>2.2188841453372201</v>
      </c>
      <c r="P2860" s="7">
        <v>13.144717150290999</v>
      </c>
      <c r="Q2860" s="7">
        <v>1.9319045084761</v>
      </c>
      <c r="U2860">
        <v>0.3988696997185896</v>
      </c>
      <c r="AT2860" s="4" t="s">
        <v>6229</v>
      </c>
    </row>
    <row r="2861" spans="1:46">
      <c r="A2861" s="2">
        <v>1015</v>
      </c>
      <c r="B2861" t="s">
        <v>8167</v>
      </c>
      <c r="C2861" t="s">
        <v>3635</v>
      </c>
      <c r="D2861" t="s">
        <v>3858</v>
      </c>
      <c r="E2861" s="4">
        <v>43465</v>
      </c>
      <c r="F2861" s="11">
        <v>-48.963317379999999</v>
      </c>
      <c r="G2861" s="11">
        <v>-13.698630140000001</v>
      </c>
      <c r="H2861" s="11">
        <v>-18.4910624742</v>
      </c>
      <c r="I2861" s="11">
        <v>15.139093066499999</v>
      </c>
      <c r="J2861" s="11">
        <v>0.50329023360000003</v>
      </c>
      <c r="K2861" s="10">
        <v>0.30325781699299997</v>
      </c>
      <c r="L2861" s="12">
        <v>1833171200</v>
      </c>
      <c r="M2861">
        <v>-16.231401007827699</v>
      </c>
      <c r="N2861" s="7">
        <v>3.9057347310160999</v>
      </c>
      <c r="O2861" s="7">
        <v>3.87902214299003</v>
      </c>
      <c r="P2861" s="7">
        <v>-59.764948363506399</v>
      </c>
      <c r="Q2861" s="7" t="s">
        <v>3698</v>
      </c>
      <c r="U2861">
        <v>7.3802060929539998E-3</v>
      </c>
      <c r="AT2861" s="4" t="s">
        <v>6007</v>
      </c>
    </row>
    <row r="2862" spans="1:46">
      <c r="A2862" s="2">
        <v>1053</v>
      </c>
      <c r="B2862" t="s">
        <v>8168</v>
      </c>
      <c r="C2862" t="s">
        <v>1995</v>
      </c>
      <c r="D2862" t="s">
        <v>3858</v>
      </c>
      <c r="E2862" s="4">
        <v>43465</v>
      </c>
      <c r="F2862" s="11">
        <v>-48.808620249999997</v>
      </c>
      <c r="G2862" s="11">
        <v>-13.72093023</v>
      </c>
      <c r="H2862" s="11">
        <v>27.614759765700001</v>
      </c>
      <c r="I2862" s="11">
        <v>22.6265790476</v>
      </c>
      <c r="J2862" s="11">
        <v>6.2067540135000003</v>
      </c>
      <c r="K2862" s="10">
        <v>0.46430874675099998</v>
      </c>
      <c r="L2862" s="12">
        <v>3456500520</v>
      </c>
      <c r="M2862">
        <v>31.154488776364701</v>
      </c>
      <c r="N2862" s="7">
        <v>2.3970877307294001</v>
      </c>
      <c r="O2862" s="7">
        <v>2.2110215451005799</v>
      </c>
      <c r="P2862" s="7">
        <v>20.9102589611159</v>
      </c>
      <c r="Q2862" s="7">
        <v>0.54961392152006383</v>
      </c>
      <c r="U2862">
        <v>0.12313432478680748</v>
      </c>
      <c r="AT2862" s="4" t="s">
        <v>3898</v>
      </c>
    </row>
    <row r="2863" spans="1:46">
      <c r="A2863" s="2">
        <v>3362</v>
      </c>
      <c r="B2863" t="s">
        <v>8169</v>
      </c>
      <c r="C2863" t="s">
        <v>1291</v>
      </c>
      <c r="D2863" t="s">
        <v>3972</v>
      </c>
      <c r="E2863" s="4">
        <v>43465</v>
      </c>
      <c r="F2863" s="11">
        <v>-6.9369075599999999</v>
      </c>
      <c r="G2863" s="11">
        <v>-13.7279597</v>
      </c>
      <c r="H2863" s="11">
        <v>2.9312619516999998</v>
      </c>
      <c r="I2863" s="11">
        <v>8.7296699234999995</v>
      </c>
      <c r="J2863" s="11">
        <v>2.4548039696999999</v>
      </c>
      <c r="K2863" s="10">
        <v>1.394074324667</v>
      </c>
      <c r="L2863" s="12">
        <v>6027376320</v>
      </c>
      <c r="M2863">
        <v>31.194227047550299</v>
      </c>
      <c r="N2863" s="7">
        <v>2.8609444092076699</v>
      </c>
      <c r="O2863" s="7">
        <v>1.22380675761721</v>
      </c>
      <c r="P2863" s="7">
        <v>14.8345473404872</v>
      </c>
      <c r="Q2863" s="7">
        <v>1.8726591760299627</v>
      </c>
      <c r="U2863">
        <v>0.34082413522727273</v>
      </c>
      <c r="AT2863" s="4" t="s">
        <v>4454</v>
      </c>
    </row>
    <row r="2864" spans="1:46">
      <c r="A2864" s="2">
        <v>1262</v>
      </c>
      <c r="B2864" t="s">
        <v>8170</v>
      </c>
      <c r="C2864" t="s">
        <v>185</v>
      </c>
      <c r="D2864" t="s">
        <v>3752</v>
      </c>
      <c r="E2864" s="4">
        <v>43465</v>
      </c>
      <c r="F2864" s="11">
        <v>-39.215405500000003</v>
      </c>
      <c r="G2864" s="11">
        <v>-13.747228379999999</v>
      </c>
      <c r="H2864" s="11">
        <v>30.309897446400001</v>
      </c>
      <c r="I2864" s="11">
        <v>21.349563406400001</v>
      </c>
      <c r="J2864" s="11">
        <v>10.7411400497</v>
      </c>
      <c r="K2864" s="10">
        <v>1.3810429188860001</v>
      </c>
      <c r="L2864" s="12">
        <v>2450522552.6999998</v>
      </c>
      <c r="M2864">
        <v>9.1036649131588394</v>
      </c>
      <c r="N2864" s="7">
        <v>2.1613677614465199</v>
      </c>
      <c r="O2864" s="7">
        <v>1.1885591921021299</v>
      </c>
      <c r="P2864" s="7">
        <v>558.26424453667903</v>
      </c>
      <c r="Q2864" s="7">
        <v>2.8901255457214585</v>
      </c>
      <c r="U2864">
        <v>0.83365964505575729</v>
      </c>
      <c r="AT2864" s="4" t="s">
        <v>6496</v>
      </c>
    </row>
    <row r="2865" spans="1:46">
      <c r="A2865" s="2">
        <v>790</v>
      </c>
      <c r="B2865" t="s">
        <v>8171</v>
      </c>
      <c r="C2865" t="s">
        <v>2866</v>
      </c>
      <c r="D2865" t="s">
        <v>3713</v>
      </c>
      <c r="E2865" s="4">
        <v>43465</v>
      </c>
      <c r="F2865" s="11">
        <v>-40.893088640000002</v>
      </c>
      <c r="G2865" s="11">
        <v>-13.783403659999999</v>
      </c>
      <c r="H2865" s="11">
        <v>36.545878972300002</v>
      </c>
      <c r="I2865" s="11">
        <v>42.6364613955</v>
      </c>
      <c r="J2865" s="11">
        <v>-30.407275802099999</v>
      </c>
      <c r="K2865" s="10">
        <v>0.68135252924599998</v>
      </c>
      <c r="L2865" s="12">
        <v>5994135739.6800003</v>
      </c>
      <c r="M2865">
        <v>16.609190418306699</v>
      </c>
      <c r="N2865" s="7">
        <v>13.377652373548599</v>
      </c>
      <c r="O2865" s="7">
        <v>1.9193160659526101</v>
      </c>
      <c r="P2865" s="7">
        <v>-16.083246757236498</v>
      </c>
      <c r="Q2865" s="7" t="s">
        <v>3698</v>
      </c>
      <c r="U2865">
        <v>-1.1831170875900536</v>
      </c>
      <c r="AT2865" s="4" t="s">
        <v>7760</v>
      </c>
    </row>
    <row r="2866" spans="1:46">
      <c r="A2866" s="2">
        <v>1492</v>
      </c>
      <c r="B2866" t="s">
        <v>8172</v>
      </c>
      <c r="C2866" t="s">
        <v>966</v>
      </c>
      <c r="D2866" t="s">
        <v>3752</v>
      </c>
      <c r="E2866" s="4">
        <v>43465</v>
      </c>
      <c r="F2866" s="11">
        <v>-4.4239483499999999</v>
      </c>
      <c r="G2866" s="11">
        <v>-13.93939394</v>
      </c>
      <c r="H2866" s="11">
        <v>-12.9762305671</v>
      </c>
      <c r="I2866" s="11">
        <v>30.5712396387</v>
      </c>
      <c r="J2866" s="11">
        <v>11.669969481000001</v>
      </c>
      <c r="K2866" s="10">
        <v>0.62986599320900005</v>
      </c>
      <c r="L2866" s="12">
        <v>4920043411.1000004</v>
      </c>
      <c r="M2866">
        <v>28.112799225032699</v>
      </c>
      <c r="N2866" s="7">
        <v>2.21469686649549</v>
      </c>
      <c r="O2866" s="7">
        <v>2.8452507839694099</v>
      </c>
      <c r="P2866" s="7">
        <v>-205.151068668611</v>
      </c>
      <c r="Q2866" s="7">
        <v>1.8660077976647336</v>
      </c>
      <c r="U2866">
        <v>0.19214656622615467</v>
      </c>
      <c r="AT2866" s="4" t="s">
        <v>4234</v>
      </c>
    </row>
    <row r="2867" spans="1:46">
      <c r="A2867" s="2">
        <v>3609</v>
      </c>
      <c r="B2867" t="s">
        <v>8173</v>
      </c>
      <c r="C2867" t="s">
        <v>489</v>
      </c>
      <c r="D2867" t="s">
        <v>3721</v>
      </c>
      <c r="E2867" s="4">
        <v>43465</v>
      </c>
      <c r="F2867" s="11">
        <v>-39.749958479999997</v>
      </c>
      <c r="G2867" s="11">
        <v>-13.94230769</v>
      </c>
      <c r="H2867" s="11">
        <v>-2.9559237568999999</v>
      </c>
      <c r="I2867" s="11">
        <v>18.098726121799999</v>
      </c>
      <c r="J2867" s="11">
        <v>6.0444560869000004</v>
      </c>
      <c r="K2867" s="10">
        <v>1.280966582789</v>
      </c>
      <c r="L2867" s="12">
        <v>7833600000</v>
      </c>
      <c r="M2867">
        <v>26.3431760062949</v>
      </c>
      <c r="N2867" s="7">
        <v>2.56369868295161</v>
      </c>
      <c r="O2867" s="7">
        <v>1.41660134069947</v>
      </c>
      <c r="P2867" s="7">
        <v>-1240.1516250877701</v>
      </c>
      <c r="Q2867" s="7">
        <v>1.5284287752190748</v>
      </c>
      <c r="U2867">
        <v>0.78980750497432828</v>
      </c>
      <c r="AT2867" s="4" t="s">
        <v>8174</v>
      </c>
    </row>
    <row r="2868" spans="1:46">
      <c r="A2868" s="2">
        <v>1046</v>
      </c>
      <c r="B2868" t="s">
        <v>8175</v>
      </c>
      <c r="C2868" t="s">
        <v>2360</v>
      </c>
      <c r="D2868" t="s">
        <v>3718</v>
      </c>
      <c r="E2868" s="4">
        <v>43465</v>
      </c>
      <c r="F2868" s="11">
        <v>-41.313559320000003</v>
      </c>
      <c r="G2868" s="11">
        <v>-13.975155279999999</v>
      </c>
      <c r="H2868" s="11">
        <v>24.8620221091</v>
      </c>
      <c r="I2868" s="11">
        <v>17.597948072099999</v>
      </c>
      <c r="J2868" s="11">
        <v>-7.1369011174999999</v>
      </c>
      <c r="K2868" s="10">
        <v>0.27078563081899998</v>
      </c>
      <c r="L2868" s="12">
        <v>5573819762.2600002</v>
      </c>
      <c r="M2868">
        <v>79.509269314123699</v>
      </c>
      <c r="N2868" s="7">
        <v>0.93728338727853</v>
      </c>
      <c r="O2868" s="7">
        <v>1.13441654667056</v>
      </c>
      <c r="P2868" s="7">
        <v>-17.746417896088101</v>
      </c>
      <c r="Q2868" s="7" t="s">
        <v>3698</v>
      </c>
      <c r="U2868">
        <v>-0.18175645480822511</v>
      </c>
      <c r="AT2868" s="4" t="s">
        <v>8176</v>
      </c>
    </row>
    <row r="2869" spans="1:46">
      <c r="A2869" s="2">
        <v>2025</v>
      </c>
      <c r="B2869" t="s">
        <v>8177</v>
      </c>
      <c r="C2869" t="s">
        <v>2423</v>
      </c>
      <c r="D2869" t="s">
        <v>3713</v>
      </c>
      <c r="E2869" s="4">
        <v>43465</v>
      </c>
      <c r="F2869" s="11">
        <v>-7.9250915099999997</v>
      </c>
      <c r="G2869" s="11">
        <v>-14</v>
      </c>
      <c r="H2869" s="11">
        <v>29.931197814200001</v>
      </c>
      <c r="I2869" s="11">
        <v>26.7792032053</v>
      </c>
      <c r="J2869" s="11">
        <v>10.2073092257</v>
      </c>
      <c r="K2869" s="10">
        <v>0.70894197219099997</v>
      </c>
      <c r="L2869" s="12">
        <v>23641091241.02</v>
      </c>
      <c r="M2869">
        <v>39.176680085712697</v>
      </c>
      <c r="N2869" s="7">
        <v>3.3475941285199902</v>
      </c>
      <c r="O2869" s="7">
        <v>3.7374551793566302</v>
      </c>
      <c r="P2869" s="7">
        <v>-40.337847620259303</v>
      </c>
      <c r="Q2869" s="7">
        <v>0.32760032760032765</v>
      </c>
      <c r="U2869">
        <v>0.48674647350194422</v>
      </c>
      <c r="AT2869" s="4" t="s">
        <v>4412</v>
      </c>
    </row>
    <row r="2870" spans="1:46">
      <c r="A2870" s="2">
        <v>2271</v>
      </c>
      <c r="B2870" t="s">
        <v>8178</v>
      </c>
      <c r="C2870" t="s">
        <v>1097</v>
      </c>
      <c r="D2870" t="s">
        <v>3972</v>
      </c>
      <c r="E2870" s="4">
        <v>43465</v>
      </c>
      <c r="F2870" s="11">
        <v>-43.18601941</v>
      </c>
      <c r="G2870" s="11">
        <v>-14</v>
      </c>
      <c r="H2870" s="11">
        <v>33.850492432499998</v>
      </c>
      <c r="I2870" s="11">
        <v>6.3605696528999998</v>
      </c>
      <c r="J2870" s="11">
        <v>3.2535371329</v>
      </c>
      <c r="K2870" s="10">
        <v>1.698986261962</v>
      </c>
      <c r="L2870" s="12">
        <v>2275285680</v>
      </c>
      <c r="M2870">
        <v>21.1039719849263</v>
      </c>
      <c r="N2870" s="7">
        <v>1.61233610395323</v>
      </c>
      <c r="O2870" s="7">
        <v>0.60198377648999002</v>
      </c>
      <c r="P2870" s="7">
        <v>11.6977341052676</v>
      </c>
      <c r="Q2870" s="7">
        <v>2.1428571428571428</v>
      </c>
      <c r="U2870">
        <v>0.3890551084937241</v>
      </c>
      <c r="AT2870" s="4" t="s">
        <v>8179</v>
      </c>
    </row>
    <row r="2871" spans="1:46">
      <c r="A2871" s="2">
        <v>1404</v>
      </c>
      <c r="B2871" t="s">
        <v>8180</v>
      </c>
      <c r="C2871" t="s">
        <v>474</v>
      </c>
      <c r="D2871" t="s">
        <v>3737</v>
      </c>
      <c r="E2871" s="4">
        <v>43465</v>
      </c>
      <c r="F2871" s="11">
        <v>-11.204973649999999</v>
      </c>
      <c r="G2871" s="11">
        <v>-14.01273885</v>
      </c>
      <c r="H2871" s="11">
        <v>18.8010130358</v>
      </c>
      <c r="I2871" s="11">
        <v>67.192947902</v>
      </c>
      <c r="J2871" s="11">
        <v>19.529261437500001</v>
      </c>
      <c r="K2871" s="10">
        <v>0.710959384443</v>
      </c>
      <c r="L2871" s="12">
        <v>2979800000</v>
      </c>
      <c r="M2871">
        <v>74.180824922418793</v>
      </c>
      <c r="N2871" s="7">
        <v>9.0927767484129198</v>
      </c>
      <c r="O2871" s="7">
        <v>10.9941541234972</v>
      </c>
      <c r="P2871" s="7">
        <v>43.200018632647499</v>
      </c>
      <c r="Q2871" s="7">
        <v>0.22281442967194334</v>
      </c>
      <c r="U2871">
        <v>0.34337802092186176</v>
      </c>
      <c r="AT2871" s="4" t="s">
        <v>7573</v>
      </c>
    </row>
    <row r="2872" spans="1:46">
      <c r="A2872" s="2">
        <v>2337</v>
      </c>
      <c r="B2872" t="s">
        <v>8181</v>
      </c>
      <c r="C2872" t="s">
        <v>2511</v>
      </c>
      <c r="D2872" t="s">
        <v>3737</v>
      </c>
      <c r="E2872" s="4">
        <v>43465</v>
      </c>
      <c r="F2872" s="11">
        <v>-53.114803790000003</v>
      </c>
      <c r="G2872" s="11">
        <v>-14.020270269999999</v>
      </c>
      <c r="H2872" s="11">
        <v>-42.5220524044</v>
      </c>
      <c r="I2872" s="11">
        <v>35.4635813115</v>
      </c>
      <c r="J2872" s="11">
        <v>-16.591589886000001</v>
      </c>
      <c r="K2872" s="10">
        <v>0.36782037841300003</v>
      </c>
      <c r="L2872" s="12">
        <v>2769058140.4000001</v>
      </c>
      <c r="M2872">
        <v>1906.6139414198799</v>
      </c>
      <c r="N2872" s="7">
        <v>1.79596773247319</v>
      </c>
      <c r="O2872" s="7">
        <v>2.1615799931522099</v>
      </c>
      <c r="P2872" s="7">
        <v>45.407755126695598</v>
      </c>
      <c r="Q2872" s="7" t="s">
        <v>3698</v>
      </c>
      <c r="U2872">
        <v>-0.39558319414052817</v>
      </c>
      <c r="AT2872" s="4" t="s">
        <v>8182</v>
      </c>
    </row>
    <row r="2873" spans="1:46">
      <c r="A2873" s="2">
        <v>3606</v>
      </c>
      <c r="B2873" t="s">
        <v>8183</v>
      </c>
      <c r="C2873" t="s">
        <v>1425</v>
      </c>
      <c r="D2873" t="s">
        <v>3849</v>
      </c>
      <c r="E2873" s="4">
        <v>43465</v>
      </c>
      <c r="F2873" s="11">
        <v>-38.551638789999998</v>
      </c>
      <c r="G2873" s="11">
        <v>-14.03762663</v>
      </c>
      <c r="H2873" s="11">
        <v>13.397876266600001</v>
      </c>
      <c r="I2873" s="11">
        <v>26.9357478636</v>
      </c>
      <c r="J2873" s="11">
        <v>8.6207214991000001</v>
      </c>
      <c r="K2873" s="10">
        <v>0.62848584731299995</v>
      </c>
      <c r="L2873" s="12">
        <v>6737394300</v>
      </c>
      <c r="M2873">
        <v>27.312156261456899</v>
      </c>
      <c r="N2873" s="7">
        <v>1.5594719309563201</v>
      </c>
      <c r="O2873" s="7">
        <v>1.93127443819439</v>
      </c>
      <c r="P2873" s="7">
        <v>55.192662691301599</v>
      </c>
      <c r="Q2873" s="7">
        <v>1.6907373137913406</v>
      </c>
      <c r="U2873">
        <v>0.67452598576512457</v>
      </c>
      <c r="AT2873" s="4" t="s">
        <v>6377</v>
      </c>
    </row>
    <row r="2874" spans="1:46">
      <c r="A2874" s="2">
        <v>798</v>
      </c>
      <c r="B2874" t="s">
        <v>8184</v>
      </c>
      <c r="C2874" t="s">
        <v>471</v>
      </c>
      <c r="D2874" t="s">
        <v>3737</v>
      </c>
      <c r="E2874" s="4">
        <v>43465</v>
      </c>
      <c r="F2874" s="11">
        <v>-14.17452756</v>
      </c>
      <c r="G2874" s="11">
        <v>-14.068745</v>
      </c>
      <c r="H2874" s="11">
        <v>15.198027766299999</v>
      </c>
      <c r="I2874" s="11">
        <v>87.804529929699996</v>
      </c>
      <c r="J2874" s="11">
        <v>26.165425868100002</v>
      </c>
      <c r="K2874" s="10">
        <v>0.526413170943</v>
      </c>
      <c r="L2874" s="12">
        <v>10386544896</v>
      </c>
      <c r="M2874">
        <v>33.132140163798603</v>
      </c>
      <c r="N2874" s="7">
        <v>5.0057567388874196</v>
      </c>
      <c r="O2874" s="7">
        <v>8.3409657900197391</v>
      </c>
      <c r="P2874" s="7">
        <v>-380.96800838915101</v>
      </c>
      <c r="Q2874" s="7">
        <v>1.460399857622884</v>
      </c>
      <c r="U2874">
        <v>0.78514039884236453</v>
      </c>
      <c r="AT2874" s="4" t="s">
        <v>5811</v>
      </c>
    </row>
    <row r="2875" spans="1:46">
      <c r="A2875" s="2">
        <v>1584</v>
      </c>
      <c r="B2875" t="s">
        <v>8185</v>
      </c>
      <c r="C2875" t="s">
        <v>2413</v>
      </c>
      <c r="D2875" t="s">
        <v>3718</v>
      </c>
      <c r="E2875" s="4">
        <v>43465</v>
      </c>
      <c r="F2875" s="11">
        <v>-61.994878999999997</v>
      </c>
      <c r="G2875" s="11">
        <v>-14.09978308</v>
      </c>
      <c r="H2875" s="11">
        <v>1.3883130505000001</v>
      </c>
      <c r="I2875" s="11">
        <v>32.752768000700001</v>
      </c>
      <c r="J2875" s="11">
        <v>15.3250585149</v>
      </c>
      <c r="K2875" s="10">
        <v>0.20065278642600001</v>
      </c>
      <c r="L2875" s="12">
        <v>6346456389.3500004</v>
      </c>
      <c r="M2875">
        <v>20.934103110818501</v>
      </c>
      <c r="N2875" s="7">
        <v>1.9474938592420199</v>
      </c>
      <c r="O2875" s="7">
        <v>2.97598771529311</v>
      </c>
      <c r="P2875" s="7">
        <v>111.832173045926</v>
      </c>
      <c r="Q2875" s="7">
        <v>0.53846153846153832</v>
      </c>
      <c r="U2875">
        <v>0.19947289702251458</v>
      </c>
      <c r="AT2875" s="4" t="s">
        <v>5601</v>
      </c>
    </row>
    <row r="2876" spans="1:46">
      <c r="A2876" s="2">
        <v>1915</v>
      </c>
      <c r="B2876" t="s">
        <v>8186</v>
      </c>
      <c r="C2876" t="s">
        <v>2472</v>
      </c>
      <c r="D2876" t="s">
        <v>3761</v>
      </c>
      <c r="E2876" s="4">
        <v>43465</v>
      </c>
      <c r="F2876" s="11">
        <v>-21.965456790000001</v>
      </c>
      <c r="G2876" s="11">
        <v>-14.1221374</v>
      </c>
      <c r="H2876" s="11">
        <v>122.1788873512</v>
      </c>
      <c r="I2876" s="11">
        <v>34.4469629707</v>
      </c>
      <c r="J2876" s="11">
        <v>7.1541181051000002</v>
      </c>
      <c r="K2876" s="10">
        <v>0.54464048102399998</v>
      </c>
      <c r="L2876" s="12">
        <v>2535401490.96</v>
      </c>
      <c r="M2876">
        <v>52.3502514514593</v>
      </c>
      <c r="N2876" s="7">
        <v>3.5025366733680201</v>
      </c>
      <c r="O2876" s="7">
        <v>3.3772994981462001</v>
      </c>
      <c r="P2876" s="7">
        <v>10.523676768731599</v>
      </c>
      <c r="Q2876" s="7">
        <v>0.46663489209305536</v>
      </c>
      <c r="U2876">
        <v>0.38566632650581684</v>
      </c>
      <c r="AT2876" s="4" t="s">
        <v>4474</v>
      </c>
    </row>
    <row r="2877" spans="1:46">
      <c r="A2877" s="2">
        <v>1522</v>
      </c>
      <c r="B2877" t="s">
        <v>8187</v>
      </c>
      <c r="C2877" t="s">
        <v>1656</v>
      </c>
      <c r="D2877" t="s">
        <v>3718</v>
      </c>
      <c r="E2877" s="4">
        <v>43465</v>
      </c>
      <c r="F2877" s="11">
        <v>-66.406872379999996</v>
      </c>
      <c r="G2877" s="11">
        <v>-14.14503133</v>
      </c>
      <c r="H2877" s="11">
        <v>6.8903449279000002</v>
      </c>
      <c r="I2877" s="11">
        <v>38.024468992400003</v>
      </c>
      <c r="J2877" s="11">
        <v>12.370938838300001</v>
      </c>
      <c r="K2877" s="10">
        <v>0.37628096457400001</v>
      </c>
      <c r="L2877" s="12">
        <v>5470465496.21</v>
      </c>
      <c r="M2877">
        <v>24.173803420462999</v>
      </c>
      <c r="N2877" s="7">
        <v>3.0189400948299401</v>
      </c>
      <c r="O2877" s="7">
        <v>3.2219683691325098</v>
      </c>
      <c r="P2877" s="7">
        <v>-23.304349119183801</v>
      </c>
      <c r="Q2877" s="7" t="s">
        <v>3698</v>
      </c>
      <c r="U2877">
        <v>0.42492709277722301</v>
      </c>
      <c r="AT2877" s="4" t="s">
        <v>5375</v>
      </c>
    </row>
    <row r="2878" spans="1:46">
      <c r="A2878" s="2">
        <v>2779</v>
      </c>
      <c r="B2878" t="s">
        <v>8188</v>
      </c>
      <c r="C2878" t="s">
        <v>762</v>
      </c>
      <c r="D2878" t="s">
        <v>3832</v>
      </c>
      <c r="E2878" s="4">
        <v>43465</v>
      </c>
      <c r="F2878" s="11">
        <v>-44.425571560000002</v>
      </c>
      <c r="G2878" s="11">
        <v>-14.15929204</v>
      </c>
      <c r="H2878" s="11">
        <v>18.780996621700002</v>
      </c>
      <c r="I2878" s="11">
        <v>27.1208421923</v>
      </c>
      <c r="J2878" s="11">
        <v>5.7202771735000004</v>
      </c>
      <c r="K2878" s="10">
        <v>0.66498384171000002</v>
      </c>
      <c r="L2878" s="12">
        <v>2483712000</v>
      </c>
      <c r="M2878">
        <v>20.499322691672401</v>
      </c>
      <c r="N2878" s="7">
        <v>1.78187605000272</v>
      </c>
      <c r="O2878" s="7">
        <v>1.3875863220442499</v>
      </c>
      <c r="P2878" s="7">
        <v>17.831434181146101</v>
      </c>
      <c r="Q2878" s="7">
        <v>0.45731707317073167</v>
      </c>
      <c r="U2878">
        <v>0.42391897818320934</v>
      </c>
      <c r="AT2878" s="4" t="s">
        <v>6222</v>
      </c>
    </row>
    <row r="2879" spans="1:46">
      <c r="A2879" s="2">
        <v>281</v>
      </c>
      <c r="B2879" t="s">
        <v>8189</v>
      </c>
      <c r="C2879" t="s">
        <v>3482</v>
      </c>
      <c r="D2879" t="s">
        <v>3972</v>
      </c>
      <c r="E2879" s="4">
        <v>43465</v>
      </c>
      <c r="F2879" s="11">
        <v>-53.993055560000002</v>
      </c>
      <c r="G2879" s="11">
        <v>-14.20500404</v>
      </c>
      <c r="H2879" s="11">
        <v>112.8922340015</v>
      </c>
      <c r="I2879" s="11">
        <v>22.184878996599998</v>
      </c>
      <c r="J2879" s="11">
        <v>1.3681486802</v>
      </c>
      <c r="K2879" s="10">
        <v>0.30734821527700001</v>
      </c>
      <c r="L2879" s="12">
        <v>10261772411.700001</v>
      </c>
      <c r="M2879">
        <v>-34.803190150492</v>
      </c>
      <c r="N2879" s="7">
        <v>13.053650636434201</v>
      </c>
      <c r="O2879" s="7">
        <v>5.8636668944743997</v>
      </c>
      <c r="P2879" s="7">
        <v>-36.712001128497199</v>
      </c>
      <c r="Q2879" s="7" t="s">
        <v>3698</v>
      </c>
      <c r="U2879">
        <v>3.6556587057427703E-2</v>
      </c>
      <c r="AT2879" s="4" t="s">
        <v>8190</v>
      </c>
    </row>
    <row r="2880" spans="1:46">
      <c r="A2880" s="2">
        <v>3206</v>
      </c>
      <c r="B2880" t="s">
        <v>8191</v>
      </c>
      <c r="C2880" t="s">
        <v>1680</v>
      </c>
      <c r="D2880" t="s">
        <v>3858</v>
      </c>
      <c r="E2880" s="4">
        <v>43465</v>
      </c>
      <c r="F2880" s="11">
        <v>-44.153203079999997</v>
      </c>
      <c r="G2880" s="11">
        <v>-14.23173804</v>
      </c>
      <c r="H2880" s="11">
        <v>21.948403776900001</v>
      </c>
      <c r="I2880" s="11">
        <v>28.979272065499998</v>
      </c>
      <c r="J2880" s="11">
        <v>8.9510544517999993</v>
      </c>
      <c r="K2880" s="10">
        <v>0.41815493348600002</v>
      </c>
      <c r="L2880" s="12">
        <v>2234778400</v>
      </c>
      <c r="M2880">
        <v>15.505188905453201</v>
      </c>
      <c r="N2880" s="7">
        <v>3.3854642247355202</v>
      </c>
      <c r="O2880" s="7">
        <v>2.00930578853011</v>
      </c>
      <c r="P2880" s="7">
        <v>-107.059237164335</v>
      </c>
      <c r="Q2880" s="7">
        <v>0.47577568760611622</v>
      </c>
      <c r="U2880">
        <v>0.29298587181193692</v>
      </c>
      <c r="AT2880" s="4" t="s">
        <v>6635</v>
      </c>
    </row>
    <row r="2881" spans="1:46">
      <c r="A2881" s="2">
        <v>767</v>
      </c>
      <c r="B2881" t="s">
        <v>8192</v>
      </c>
      <c r="C2881" t="s">
        <v>1903</v>
      </c>
      <c r="D2881" t="s">
        <v>3752</v>
      </c>
      <c r="E2881" s="4">
        <v>43465</v>
      </c>
      <c r="F2881" s="11">
        <v>-37.675104099999999</v>
      </c>
      <c r="G2881" s="11">
        <v>-14.23728814</v>
      </c>
      <c r="H2881" s="11">
        <v>-7.7188423874999996</v>
      </c>
      <c r="I2881" s="11">
        <v>37.1963825391</v>
      </c>
      <c r="J2881" s="11">
        <v>-36.088898182100003</v>
      </c>
      <c r="K2881" s="10">
        <v>0.173410447622</v>
      </c>
      <c r="L2881" s="12">
        <v>2838303717.5999999</v>
      </c>
      <c r="M2881">
        <v>45.7220409998503</v>
      </c>
      <c r="N2881" s="7">
        <v>2.87233917888818</v>
      </c>
      <c r="O2881" s="7">
        <v>7.8132146090953203</v>
      </c>
      <c r="P2881" s="7">
        <v>-12.5733806481123</v>
      </c>
      <c r="Q2881" s="7" t="s">
        <v>3698</v>
      </c>
      <c r="U2881">
        <v>-0.1081044714851862</v>
      </c>
      <c r="AT2881" s="4" t="s">
        <v>7664</v>
      </c>
    </row>
    <row r="2882" spans="1:46">
      <c r="A2882" s="2">
        <v>1040</v>
      </c>
      <c r="B2882" t="s">
        <v>8193</v>
      </c>
      <c r="C2882" t="s">
        <v>1633</v>
      </c>
      <c r="D2882" t="s">
        <v>3718</v>
      </c>
      <c r="E2882" s="4">
        <v>43465</v>
      </c>
      <c r="F2882" s="11">
        <v>-62.703053930000003</v>
      </c>
      <c r="G2882" s="11">
        <v>-14.432989689999999</v>
      </c>
      <c r="H2882" s="11">
        <v>-11.6337156205</v>
      </c>
      <c r="I2882" s="11">
        <v>13.586240896</v>
      </c>
      <c r="J2882" s="11">
        <v>-72.784462061100001</v>
      </c>
      <c r="K2882" s="10">
        <v>0.125940504604</v>
      </c>
      <c r="L2882" s="12">
        <v>38544827451.779999</v>
      </c>
      <c r="M2882">
        <v>-33.013755054254403</v>
      </c>
      <c r="N2882" s="7">
        <v>1.2671731415238301</v>
      </c>
      <c r="O2882" s="7">
        <v>7.1451007541022502</v>
      </c>
      <c r="P2882" s="7">
        <v>-64.302877471339301</v>
      </c>
      <c r="Q2882" s="7" t="s">
        <v>3698</v>
      </c>
      <c r="U2882">
        <v>-0.67345800188461546</v>
      </c>
      <c r="AT2882" s="4" t="s">
        <v>4908</v>
      </c>
    </row>
    <row r="2883" spans="1:46">
      <c r="A2883" s="2">
        <v>1789</v>
      </c>
      <c r="B2883" t="s">
        <v>8194</v>
      </c>
      <c r="C2883" t="s">
        <v>3411</v>
      </c>
      <c r="D2883" t="s">
        <v>3889</v>
      </c>
      <c r="E2883" s="4">
        <v>43465</v>
      </c>
      <c r="F2883" s="11">
        <v>-55.407034379999999</v>
      </c>
      <c r="G2883" s="11">
        <v>-14.46280992</v>
      </c>
      <c r="H2883" s="11">
        <v>23.537272828500001</v>
      </c>
      <c r="I2883" s="11">
        <v>39.763850171999998</v>
      </c>
      <c r="J2883" s="11">
        <v>-169.9544885466</v>
      </c>
      <c r="K2883" s="10">
        <v>0.31887132396200002</v>
      </c>
      <c r="L2883" s="12">
        <v>4989562099.1999998</v>
      </c>
      <c r="M2883">
        <v>-73.519782504359995</v>
      </c>
      <c r="N2883" s="7">
        <v>1.74189852391199</v>
      </c>
      <c r="O2883" s="7">
        <v>3.9154570763251799</v>
      </c>
      <c r="P2883" s="7">
        <v>-6.7408702436392396</v>
      </c>
      <c r="Q2883" s="7" t="s">
        <v>3698</v>
      </c>
      <c r="U2883">
        <v>-1.9539698818617788</v>
      </c>
      <c r="AT2883" s="4" t="s">
        <v>5095</v>
      </c>
    </row>
    <row r="2884" spans="1:46">
      <c r="A2884" s="2">
        <v>90</v>
      </c>
      <c r="B2884" t="s">
        <v>8195</v>
      </c>
      <c r="C2884" t="s">
        <v>3655</v>
      </c>
      <c r="D2884" t="s">
        <v>4119</v>
      </c>
      <c r="E2884" s="4">
        <v>43465</v>
      </c>
      <c r="F2884" s="11">
        <v>-8.0152671800000004</v>
      </c>
      <c r="G2884" s="11">
        <v>-14.487632509999999</v>
      </c>
      <c r="H2884" s="11">
        <v>114.3247625134</v>
      </c>
      <c r="I2884" s="11">
        <v>4.1975491774</v>
      </c>
      <c r="J2884" s="11">
        <v>4.1546111580999998</v>
      </c>
      <c r="K2884" s="10">
        <v>0.56938028011200004</v>
      </c>
      <c r="L2884" s="12">
        <v>2027272125</v>
      </c>
      <c r="M2884">
        <v>-5.4738653076772197</v>
      </c>
      <c r="N2884" s="7">
        <v>3.98274376129068</v>
      </c>
      <c r="O2884" s="7">
        <v>2.9310464539601302</v>
      </c>
      <c r="P2884" s="7">
        <v>175.62411984382899</v>
      </c>
      <c r="Q2884" s="7" t="s">
        <v>3698</v>
      </c>
      <c r="U2884">
        <v>6.0637010358252613E-2</v>
      </c>
      <c r="AT2884" s="4" t="s">
        <v>8196</v>
      </c>
    </row>
    <row r="2885" spans="1:46">
      <c r="A2885" s="2">
        <v>3391</v>
      </c>
      <c r="B2885" t="s">
        <v>8197</v>
      </c>
      <c r="C2885" t="s">
        <v>230</v>
      </c>
      <c r="D2885" t="s">
        <v>3737</v>
      </c>
      <c r="E2885" s="4">
        <v>43465</v>
      </c>
      <c r="F2885" s="11">
        <v>-23.393233429999999</v>
      </c>
      <c r="G2885" s="11">
        <v>-14.490026350000001</v>
      </c>
      <c r="H2885" s="11">
        <v>40.454870115699997</v>
      </c>
      <c r="I2885" s="11">
        <v>78.903920605799996</v>
      </c>
      <c r="J2885" s="11">
        <v>36.5243925742</v>
      </c>
      <c r="K2885" s="10">
        <v>0.48377476611300002</v>
      </c>
      <c r="L2885" s="12">
        <v>2919392431.3200002</v>
      </c>
      <c r="M2885">
        <v>24.578138154551301</v>
      </c>
      <c r="N2885" s="7">
        <v>3.6744662063925899</v>
      </c>
      <c r="O2885" s="7">
        <v>8.0756807637938799</v>
      </c>
      <c r="P2885" s="7">
        <v>-43.2949139815629</v>
      </c>
      <c r="Q2885" s="7">
        <v>1.292583709960629</v>
      </c>
      <c r="U2885">
        <v>1.3419090269911489</v>
      </c>
      <c r="AT2885" s="4" t="s">
        <v>6608</v>
      </c>
    </row>
    <row r="2886" spans="1:46">
      <c r="A2886" s="2">
        <v>3118</v>
      </c>
      <c r="B2886" t="s">
        <v>8198</v>
      </c>
      <c r="C2886" t="s">
        <v>577</v>
      </c>
      <c r="D2886" t="s">
        <v>3728</v>
      </c>
      <c r="E2886" s="4">
        <v>43465</v>
      </c>
      <c r="F2886" s="11">
        <v>-7.9714277899999999</v>
      </c>
      <c r="G2886" s="11">
        <v>-14.490566039999999</v>
      </c>
      <c r="H2886" s="11">
        <v>6.5526172373999998</v>
      </c>
      <c r="I2886" s="11">
        <v>56.608037426400003</v>
      </c>
      <c r="J2886" s="11">
        <v>19.2707935402</v>
      </c>
      <c r="K2886" s="10">
        <v>0.437306254625</v>
      </c>
      <c r="L2886" s="12">
        <v>4844617589.8000002</v>
      </c>
      <c r="M2886">
        <v>17.651126426978301</v>
      </c>
      <c r="N2886" s="7">
        <v>1.73319035642501</v>
      </c>
      <c r="O2886" s="7">
        <v>2.81675559927747</v>
      </c>
      <c r="P2886" s="7">
        <v>3723.1522209619802</v>
      </c>
      <c r="Q2886" s="7">
        <v>9.0497737556561084</v>
      </c>
      <c r="U2886">
        <v>0.92857112675363929</v>
      </c>
      <c r="AT2886" s="4" t="s">
        <v>8199</v>
      </c>
    </row>
    <row r="2887" spans="1:46">
      <c r="A2887" s="2">
        <v>3452</v>
      </c>
      <c r="B2887" t="s">
        <v>8200</v>
      </c>
      <c r="C2887" t="s">
        <v>3298</v>
      </c>
      <c r="D2887" t="s">
        <v>3713</v>
      </c>
      <c r="E2887" s="4">
        <v>43465</v>
      </c>
      <c r="F2887" s="11">
        <v>-11.78371667</v>
      </c>
      <c r="G2887" s="11">
        <v>-14.57049656</v>
      </c>
      <c r="H2887" s="11">
        <v>-0.73162989140000001</v>
      </c>
      <c r="I2887" s="11">
        <v>17.216678251099999</v>
      </c>
      <c r="J2887" s="11">
        <v>7.4740622018999998</v>
      </c>
      <c r="K2887" s="10">
        <v>0.55296045203400002</v>
      </c>
      <c r="L2887" s="12">
        <v>66397812004.160004</v>
      </c>
      <c r="M2887">
        <v>63.085592752748497</v>
      </c>
      <c r="N2887" s="7">
        <v>4.5750933710359796</v>
      </c>
      <c r="O2887" s="7">
        <v>5.0452823430349003</v>
      </c>
      <c r="P2887" s="7">
        <v>41.867101445014903</v>
      </c>
      <c r="Q2887" s="7">
        <v>0.1815211472136504</v>
      </c>
      <c r="U2887">
        <v>0.39752265544642856</v>
      </c>
      <c r="AT2887" s="4" t="s">
        <v>8201</v>
      </c>
    </row>
    <row r="2888" spans="1:46">
      <c r="A2888" s="2">
        <v>997</v>
      </c>
      <c r="B2888" t="s">
        <v>8202</v>
      </c>
      <c r="C2888" t="s">
        <v>3513</v>
      </c>
      <c r="D2888" t="s">
        <v>3728</v>
      </c>
      <c r="E2888" s="4">
        <v>43465</v>
      </c>
      <c r="F2888" s="11">
        <v>-39.667896679999998</v>
      </c>
      <c r="G2888" s="11">
        <v>-14.65968586</v>
      </c>
      <c r="H2888" s="11">
        <v>-0.46934325469999999</v>
      </c>
      <c r="I2888" s="11">
        <v>20.287491975399998</v>
      </c>
      <c r="J2888" s="11">
        <v>2.0226296960000001</v>
      </c>
      <c r="K2888" s="10">
        <v>0.67881601451999996</v>
      </c>
      <c r="L2888" s="12">
        <v>9538215135.4699993</v>
      </c>
      <c r="M2888">
        <v>-175.495577824414</v>
      </c>
      <c r="N2888" s="7">
        <v>3.3476088016752699</v>
      </c>
      <c r="O2888" s="7">
        <v>3.6191029247221902</v>
      </c>
      <c r="P2888" s="7">
        <v>-129.261915467254</v>
      </c>
      <c r="Q2888" s="7" t="s">
        <v>3698</v>
      </c>
      <c r="U2888">
        <v>2.112821111778846E-2</v>
      </c>
      <c r="AT2888" s="4" t="s">
        <v>4674</v>
      </c>
    </row>
    <row r="2889" spans="1:46">
      <c r="A2889" s="2">
        <v>3270</v>
      </c>
      <c r="B2889" t="s">
        <v>8203</v>
      </c>
      <c r="C2889" t="s">
        <v>1375</v>
      </c>
      <c r="D2889" t="s">
        <v>3837</v>
      </c>
      <c r="E2889" s="4">
        <v>43465</v>
      </c>
      <c r="F2889" s="11">
        <v>-48.781186849999997</v>
      </c>
      <c r="G2889" s="11">
        <v>-14.66019417</v>
      </c>
      <c r="H2889" s="11">
        <v>-34.352710234699998</v>
      </c>
      <c r="I2889" s="11">
        <v>31.952856531599998</v>
      </c>
      <c r="J2889" s="11">
        <v>8.2303249125000004</v>
      </c>
      <c r="K2889" s="10">
        <v>0.41895606184500001</v>
      </c>
      <c r="L2889" s="12">
        <v>2627682712.8000002</v>
      </c>
      <c r="M2889">
        <v>64.267662531386506</v>
      </c>
      <c r="N2889" s="7">
        <v>1.9154854483125701</v>
      </c>
      <c r="O2889" s="7">
        <v>2.9390400072573701</v>
      </c>
      <c r="P2889" s="7">
        <v>-9.6743995389753508</v>
      </c>
      <c r="Q2889" s="7">
        <v>0.55674120812842165</v>
      </c>
      <c r="U2889">
        <v>0.26035289405844159</v>
      </c>
      <c r="AT2889" s="4" t="s">
        <v>8204</v>
      </c>
    </row>
    <row r="2890" spans="1:46">
      <c r="A2890" s="2">
        <v>2369</v>
      </c>
      <c r="B2890" t="s">
        <v>8205</v>
      </c>
      <c r="C2890" t="s">
        <v>2666</v>
      </c>
      <c r="D2890" t="s">
        <v>4060</v>
      </c>
      <c r="E2890" s="4">
        <v>43465</v>
      </c>
      <c r="F2890" s="11">
        <v>-11.560301040000001</v>
      </c>
      <c r="G2890" s="11">
        <v>-14.72491909</v>
      </c>
      <c r="H2890" s="11">
        <v>-5.6960759019999996</v>
      </c>
      <c r="I2890" s="11">
        <v>14.484108067699999</v>
      </c>
      <c r="J2890" s="11">
        <v>0.58276916209999996</v>
      </c>
      <c r="K2890" s="10">
        <v>0.68753405970500003</v>
      </c>
      <c r="L2890" s="12">
        <v>3207618000</v>
      </c>
      <c r="M2890">
        <v>118.650444459927</v>
      </c>
      <c r="N2890" s="7">
        <v>1.6871023238082601</v>
      </c>
      <c r="O2890" s="7">
        <v>1.3942965452801499</v>
      </c>
      <c r="P2890" s="7">
        <v>-338.78207047175903</v>
      </c>
      <c r="Q2890" s="7">
        <v>0.10989010989010989</v>
      </c>
      <c r="U2890">
        <v>2.853407634500427E-2</v>
      </c>
      <c r="AT2890" s="4" t="s">
        <v>6284</v>
      </c>
    </row>
    <row r="2891" spans="1:46">
      <c r="A2891" s="2">
        <v>3024</v>
      </c>
      <c r="B2891" t="s">
        <v>8206</v>
      </c>
      <c r="C2891" t="s">
        <v>60</v>
      </c>
      <c r="D2891" t="s">
        <v>3842</v>
      </c>
      <c r="E2891" s="4">
        <v>43465</v>
      </c>
      <c r="F2891" s="11">
        <v>-16.852237689999999</v>
      </c>
      <c r="G2891" s="11">
        <v>-14.764079150000001</v>
      </c>
      <c r="H2891" s="11">
        <v>13.9420977482</v>
      </c>
      <c r="I2891" s="11">
        <v>14.394534563600001</v>
      </c>
      <c r="J2891" s="11">
        <v>9.7351441767000004</v>
      </c>
      <c r="K2891" s="10">
        <v>1.9719456510169999</v>
      </c>
      <c r="L2891" s="12">
        <v>7007414344.3199997</v>
      </c>
      <c r="M2891">
        <v>3.8066293367102699</v>
      </c>
      <c r="N2891" s="7">
        <v>1.5992209791610801</v>
      </c>
      <c r="O2891" s="7">
        <v>0.36530819665290698</v>
      </c>
      <c r="P2891" s="7">
        <v>6.7310666414983098</v>
      </c>
      <c r="Q2891" s="7">
        <v>11.928429423459244</v>
      </c>
      <c r="T2891" s="2"/>
      <c r="U2891">
        <v>1.7987010601518687</v>
      </c>
      <c r="AT2891" s="4" t="s">
        <v>8207</v>
      </c>
    </row>
    <row r="2892" spans="1:46">
      <c r="A2892" s="2">
        <v>2279</v>
      </c>
      <c r="B2892" t="s">
        <v>8208</v>
      </c>
      <c r="C2892" t="s">
        <v>2430</v>
      </c>
      <c r="D2892" t="s">
        <v>3858</v>
      </c>
      <c r="E2892" s="4">
        <v>43465</v>
      </c>
      <c r="F2892" s="11">
        <v>-41.066757969999998</v>
      </c>
      <c r="G2892" s="11">
        <v>-14.920634919999999</v>
      </c>
      <c r="H2892" s="11">
        <v>13.8819423582</v>
      </c>
      <c r="I2892" s="11">
        <v>15.3942583593</v>
      </c>
      <c r="J2892" s="11">
        <v>4.8667973696000004</v>
      </c>
      <c r="K2892" s="10">
        <v>0.374120038514</v>
      </c>
      <c r="L2892" s="12">
        <v>2341259702.5999999</v>
      </c>
      <c r="M2892">
        <v>12.612216788811301</v>
      </c>
      <c r="N2892" s="7">
        <v>1.21455318658903</v>
      </c>
      <c r="O2892" s="7">
        <v>0.51611741184559401</v>
      </c>
      <c r="P2892" s="7">
        <v>-28.845370925375502</v>
      </c>
      <c r="Q2892" s="7">
        <v>0.4738309654507486</v>
      </c>
      <c r="U2892">
        <v>0.46575381940268329</v>
      </c>
      <c r="AT2892" s="4" t="s">
        <v>8209</v>
      </c>
    </row>
    <row r="2893" spans="1:46">
      <c r="A2893" s="2">
        <v>3087</v>
      </c>
      <c r="B2893" t="s">
        <v>8210</v>
      </c>
      <c r="C2893" t="s">
        <v>645</v>
      </c>
      <c r="D2893" t="s">
        <v>3837</v>
      </c>
      <c r="E2893" s="4">
        <v>43465</v>
      </c>
      <c r="F2893" s="11">
        <v>30.68519371</v>
      </c>
      <c r="G2893" s="11">
        <v>-14.92403932</v>
      </c>
      <c r="H2893" s="11">
        <v>32.491558111899998</v>
      </c>
      <c r="I2893" s="11" t="s">
        <v>3698</v>
      </c>
      <c r="J2893" s="11">
        <v>41.168219739900003</v>
      </c>
      <c r="K2893" s="10" t="s">
        <v>3698</v>
      </c>
      <c r="L2893" s="12">
        <v>3282561673.5999999</v>
      </c>
      <c r="M2893">
        <v>6.8653476298169904</v>
      </c>
      <c r="N2893" s="7">
        <v>0.86531251888674099</v>
      </c>
      <c r="O2893" s="7">
        <v>3.0323861930485401</v>
      </c>
      <c r="P2893" s="7">
        <v>-27.0820033171102</v>
      </c>
      <c r="Q2893" s="7">
        <v>3.7666359755587178</v>
      </c>
      <c r="U2893">
        <v>1.6502449328103634</v>
      </c>
      <c r="AT2893" s="4" t="s">
        <v>4717</v>
      </c>
    </row>
    <row r="2894" spans="1:46">
      <c r="A2894" s="2">
        <v>517</v>
      </c>
      <c r="B2894" t="s">
        <v>8211</v>
      </c>
      <c r="C2894" t="s">
        <v>2063</v>
      </c>
      <c r="D2894" t="s">
        <v>3718</v>
      </c>
      <c r="E2894" s="4">
        <v>43465</v>
      </c>
      <c r="F2894" s="11">
        <v>-34.88813038</v>
      </c>
      <c r="G2894" s="11">
        <v>-14.981949459999999</v>
      </c>
      <c r="H2894" s="11">
        <v>5.6772195390000002</v>
      </c>
      <c r="I2894" s="11">
        <v>20.1541437596</v>
      </c>
      <c r="J2894" s="11">
        <v>0.66590317450000003</v>
      </c>
      <c r="K2894" s="10">
        <v>0.54213288729300002</v>
      </c>
      <c r="L2894" s="12">
        <v>6752748813.1400003</v>
      </c>
      <c r="M2894">
        <v>53.443885976232004</v>
      </c>
      <c r="N2894" s="7">
        <v>2.4644855423483798</v>
      </c>
      <c r="O2894" s="7">
        <v>2.2371792605735101</v>
      </c>
      <c r="P2894" s="7">
        <v>35.971928757983498</v>
      </c>
      <c r="Q2894" s="7" t="s">
        <v>3698</v>
      </c>
      <c r="U2894">
        <v>1.2593684352755076E-2</v>
      </c>
      <c r="AT2894" s="4" t="s">
        <v>4743</v>
      </c>
    </row>
    <row r="2895" spans="1:46">
      <c r="A2895" s="2">
        <v>1960</v>
      </c>
      <c r="B2895" t="s">
        <v>8212</v>
      </c>
      <c r="C2895" t="s">
        <v>2368</v>
      </c>
      <c r="D2895" t="s">
        <v>3858</v>
      </c>
      <c r="E2895" s="4">
        <v>43465</v>
      </c>
      <c r="F2895" s="11">
        <v>-26.110280209999999</v>
      </c>
      <c r="G2895" s="11">
        <v>-15.03496503</v>
      </c>
      <c r="H2895" s="11">
        <v>8.3866915215999995</v>
      </c>
      <c r="I2895" s="11">
        <v>28.3553886258</v>
      </c>
      <c r="J2895" s="11">
        <v>11.351342065400001</v>
      </c>
      <c r="K2895" s="10">
        <v>0.41849124256800002</v>
      </c>
      <c r="L2895" s="12">
        <v>1820280000</v>
      </c>
      <c r="M2895">
        <v>27.566166441369301</v>
      </c>
      <c r="N2895" s="7">
        <v>2.5212733125650701</v>
      </c>
      <c r="O2895" s="7">
        <v>3.2098250185152701</v>
      </c>
      <c r="P2895" s="7">
        <v>52.3758262765244</v>
      </c>
      <c r="Q2895" s="7">
        <v>0.5247813415551974</v>
      </c>
      <c r="U2895">
        <v>0.31174748132261842</v>
      </c>
      <c r="AT2895" s="4" t="s">
        <v>6644</v>
      </c>
    </row>
    <row r="2896" spans="1:46">
      <c r="A2896" s="2">
        <v>2452</v>
      </c>
      <c r="B2896" t="s">
        <v>8213</v>
      </c>
      <c r="C2896" t="s">
        <v>405</v>
      </c>
      <c r="D2896" t="s">
        <v>3849</v>
      </c>
      <c r="E2896" s="4">
        <v>43465</v>
      </c>
      <c r="F2896" s="11">
        <v>-21.61903302</v>
      </c>
      <c r="G2896" s="11">
        <v>-15.048543690000001</v>
      </c>
      <c r="H2896" s="11">
        <v>-0.152806258</v>
      </c>
      <c r="I2896" s="11">
        <v>12.379305517600001</v>
      </c>
      <c r="J2896" s="11">
        <v>3.2833113750999998</v>
      </c>
      <c r="K2896" s="10">
        <v>1.844676285157</v>
      </c>
      <c r="L2896" s="12">
        <v>2939661155.1599998</v>
      </c>
      <c r="M2896">
        <v>11.4336239634229</v>
      </c>
      <c r="N2896" s="7">
        <v>1.1318587014582699</v>
      </c>
      <c r="O2896" s="7">
        <v>0.32059931087684701</v>
      </c>
      <c r="P2896" s="7">
        <v>-37.580029212059699</v>
      </c>
      <c r="Q2896" s="7">
        <v>4.9455984174085064</v>
      </c>
      <c r="U2896">
        <v>0.39946217238270199</v>
      </c>
      <c r="AT2896" s="4" t="s">
        <v>8214</v>
      </c>
    </row>
    <row r="2897" spans="1:46">
      <c r="A2897" s="2">
        <v>2409</v>
      </c>
      <c r="B2897" t="s">
        <v>8215</v>
      </c>
      <c r="C2897" t="s">
        <v>1277</v>
      </c>
      <c r="D2897" t="s">
        <v>3811</v>
      </c>
      <c r="E2897" s="4">
        <v>43465</v>
      </c>
      <c r="F2897" s="11">
        <v>-64.635752260000004</v>
      </c>
      <c r="G2897" s="11">
        <v>-15.07692308</v>
      </c>
      <c r="H2897" s="11">
        <v>-2.4068735006000002</v>
      </c>
      <c r="I2897" s="11">
        <v>19.774345153100001</v>
      </c>
      <c r="J2897" s="11">
        <v>-4.2061700073999999</v>
      </c>
      <c r="K2897" s="10">
        <v>0.49177713572300003</v>
      </c>
      <c r="L2897" s="12">
        <v>4317306377.6999998</v>
      </c>
      <c r="M2897">
        <v>101.617232459509</v>
      </c>
      <c r="N2897" s="7">
        <v>2.7007095611715002</v>
      </c>
      <c r="O2897" s="7">
        <v>0.46927005321740001</v>
      </c>
      <c r="P2897" s="7">
        <v>12.5749189222871</v>
      </c>
      <c r="Q2897" s="7" t="s">
        <v>3698</v>
      </c>
      <c r="U2897">
        <v>-0.29640324661324052</v>
      </c>
      <c r="AT2897" s="4" t="s">
        <v>5210</v>
      </c>
    </row>
    <row r="2898" spans="1:46">
      <c r="A2898" s="2">
        <v>1245</v>
      </c>
      <c r="B2898" t="s">
        <v>8216</v>
      </c>
      <c r="C2898" t="s">
        <v>2005</v>
      </c>
      <c r="D2898" t="s">
        <v>4060</v>
      </c>
      <c r="E2898" s="4">
        <v>43465</v>
      </c>
      <c r="F2898" s="11">
        <v>-2.1028825900000001</v>
      </c>
      <c r="G2898" s="11">
        <v>-15.0812065</v>
      </c>
      <c r="H2898" s="11">
        <v>52.409554691300002</v>
      </c>
      <c r="I2898" s="11">
        <v>24.360559610599999</v>
      </c>
      <c r="J2898" s="11">
        <v>6.3093074569000001</v>
      </c>
      <c r="K2898" s="10">
        <v>0.994615307803</v>
      </c>
      <c r="L2898" s="12">
        <v>4083563088</v>
      </c>
      <c r="M2898">
        <v>55.230588514563898</v>
      </c>
      <c r="N2898" s="7">
        <v>3.5448423791696801</v>
      </c>
      <c r="O2898" s="7">
        <v>2.4026398818680001</v>
      </c>
      <c r="P2898" s="7">
        <v>-32.130538796821298</v>
      </c>
      <c r="Q2898" s="7">
        <v>0.83475419153168495</v>
      </c>
      <c r="U2898">
        <v>0.59082080549582716</v>
      </c>
      <c r="AT2898" s="4" t="s">
        <v>3828</v>
      </c>
    </row>
    <row r="2899" spans="1:46">
      <c r="A2899" s="2">
        <v>1298</v>
      </c>
      <c r="B2899" t="s">
        <v>8217</v>
      </c>
      <c r="C2899" t="s">
        <v>3293</v>
      </c>
      <c r="D2899" t="s">
        <v>3713</v>
      </c>
      <c r="E2899" s="4">
        <v>43465</v>
      </c>
      <c r="F2899" s="11">
        <v>13.12208804</v>
      </c>
      <c r="G2899" s="11">
        <v>-15.088177659999999</v>
      </c>
      <c r="H2899" s="11">
        <v>-17.615505631000001</v>
      </c>
      <c r="I2899" s="11">
        <v>27.829002334999998</v>
      </c>
      <c r="J2899" s="11">
        <v>4.0181885793000003</v>
      </c>
      <c r="K2899" s="10">
        <v>0.43296799767799998</v>
      </c>
      <c r="L2899" s="12">
        <v>4001794191.5999999</v>
      </c>
      <c r="M2899">
        <v>225.48558970821199</v>
      </c>
      <c r="N2899" s="7">
        <v>3.67897047692081</v>
      </c>
      <c r="O2899" s="7">
        <v>5.2006231856160596</v>
      </c>
      <c r="P2899" s="7">
        <v>-12.934799693127699</v>
      </c>
      <c r="Q2899" s="7">
        <v>0.10973936899862827</v>
      </c>
      <c r="U2899">
        <v>0.19724337099315004</v>
      </c>
      <c r="AT2899" s="4" t="s">
        <v>8218</v>
      </c>
    </row>
    <row r="2900" spans="1:46">
      <c r="A2900" s="2">
        <v>942</v>
      </c>
      <c r="B2900" t="s">
        <v>8219</v>
      </c>
      <c r="C2900" t="s">
        <v>3044</v>
      </c>
      <c r="D2900" t="s">
        <v>3858</v>
      </c>
      <c r="E2900" s="4">
        <v>43465</v>
      </c>
      <c r="F2900" s="11">
        <v>-63.528138480000003</v>
      </c>
      <c r="G2900" s="11">
        <v>-15.12605042</v>
      </c>
      <c r="H2900" s="11">
        <v>1.4380930645000001</v>
      </c>
      <c r="I2900" s="11">
        <v>15.8833414166</v>
      </c>
      <c r="J2900" s="11">
        <v>0.95187134330000001</v>
      </c>
      <c r="K2900" s="10">
        <v>0.31989208831400001</v>
      </c>
      <c r="L2900" s="12">
        <v>3207657208</v>
      </c>
      <c r="M2900">
        <v>49.160944876717998</v>
      </c>
      <c r="N2900" s="7">
        <v>0.962101048754607</v>
      </c>
      <c r="O2900" s="7">
        <v>0.979165628411235</v>
      </c>
      <c r="P2900" s="7">
        <v>-8.0230538252455403</v>
      </c>
      <c r="Q2900" s="7" t="s">
        <v>3698</v>
      </c>
      <c r="U2900">
        <v>3.3759125423856708E-2</v>
      </c>
      <c r="AT2900" s="4" t="s">
        <v>4180</v>
      </c>
    </row>
    <row r="2901" spans="1:46">
      <c r="A2901" s="2">
        <v>377</v>
      </c>
      <c r="B2901" t="s">
        <v>8220</v>
      </c>
      <c r="C2901" t="s">
        <v>1229</v>
      </c>
      <c r="D2901" t="s">
        <v>3718</v>
      </c>
      <c r="E2901" s="4">
        <v>43465</v>
      </c>
      <c r="F2901" s="11">
        <v>-47.741040519999999</v>
      </c>
      <c r="G2901" s="11">
        <v>-15.143603130000001</v>
      </c>
      <c r="H2901" s="11">
        <v>46.361716160699999</v>
      </c>
      <c r="I2901" s="11">
        <v>22.901488964799999</v>
      </c>
      <c r="J2901" s="11">
        <v>6.9052617195000003</v>
      </c>
      <c r="K2901" s="10">
        <v>0.54528816376900002</v>
      </c>
      <c r="L2901" s="12">
        <v>2220662114.98</v>
      </c>
      <c r="M2901">
        <v>24.024441451443199</v>
      </c>
      <c r="N2901" s="7">
        <v>2.6576777185101101</v>
      </c>
      <c r="O2901" s="7">
        <v>1.89636182495985</v>
      </c>
      <c r="P2901" s="7">
        <v>34.379072680821302</v>
      </c>
      <c r="Q2901" s="7" t="s">
        <v>3698</v>
      </c>
      <c r="U2901">
        <v>0.26735808849245263</v>
      </c>
      <c r="AT2901" s="4" t="s">
        <v>6576</v>
      </c>
    </row>
    <row r="2902" spans="1:46">
      <c r="A2902" s="2">
        <v>3286</v>
      </c>
      <c r="B2902" t="s">
        <v>8221</v>
      </c>
      <c r="C2902" t="s">
        <v>1508</v>
      </c>
      <c r="D2902" t="s">
        <v>3713</v>
      </c>
      <c r="E2902" s="4">
        <v>43465</v>
      </c>
      <c r="F2902" s="11">
        <v>-27.893684839999999</v>
      </c>
      <c r="G2902" s="11">
        <v>-15.190552869999999</v>
      </c>
      <c r="H2902" s="11">
        <v>3.6150990744999998</v>
      </c>
      <c r="I2902" s="11">
        <v>26.5250515177</v>
      </c>
      <c r="J2902" s="11">
        <v>10.009676733999999</v>
      </c>
      <c r="K2902" s="10">
        <v>0.84712496667399995</v>
      </c>
      <c r="L2902" s="12">
        <v>1814240000</v>
      </c>
      <c r="M2902">
        <v>56.275139170954702</v>
      </c>
      <c r="N2902" s="7">
        <v>6.4371622716324399</v>
      </c>
      <c r="O2902" s="7">
        <v>5.3281878647465799</v>
      </c>
      <c r="P2902" s="7">
        <v>99.0892396536495</v>
      </c>
      <c r="Q2902" s="7">
        <v>0.5355925601324375</v>
      </c>
      <c r="U2902">
        <v>0.35994211256764785</v>
      </c>
      <c r="AT2902" s="4" t="s">
        <v>6764</v>
      </c>
    </row>
    <row r="2903" spans="1:46">
      <c r="A2903" s="2">
        <v>1738</v>
      </c>
      <c r="B2903" t="s">
        <v>8222</v>
      </c>
      <c r="C2903" t="s">
        <v>3476</v>
      </c>
      <c r="D2903" t="s">
        <v>3781</v>
      </c>
      <c r="E2903" s="4">
        <v>43465</v>
      </c>
      <c r="F2903" s="11">
        <v>-54.89220564</v>
      </c>
      <c r="G2903" s="11">
        <v>-15.213946119999999</v>
      </c>
      <c r="H2903" s="11">
        <v>-46.122441475400002</v>
      </c>
      <c r="I2903" s="11">
        <v>25.3286867962</v>
      </c>
      <c r="J2903" s="11">
        <v>-1849.8112961761001</v>
      </c>
      <c r="K2903" s="10">
        <v>0.100503283067</v>
      </c>
      <c r="L2903" s="12">
        <v>2109407801.1600001</v>
      </c>
      <c r="M2903">
        <v>41.295617175610197</v>
      </c>
      <c r="N2903" s="7">
        <v>9.4488122816611604</v>
      </c>
      <c r="O2903" s="7">
        <v>15.781306159899501</v>
      </c>
      <c r="P2903" s="7">
        <v>351.46488271022702</v>
      </c>
      <c r="Q2903" s="7" t="s">
        <v>3698</v>
      </c>
      <c r="U2903">
        <v>-6.2168834832084805</v>
      </c>
      <c r="AT2903" s="4" t="s">
        <v>4403</v>
      </c>
    </row>
    <row r="2904" spans="1:46">
      <c r="A2904" s="2">
        <v>1892</v>
      </c>
      <c r="B2904" t="s">
        <v>8223</v>
      </c>
      <c r="C2904" t="s">
        <v>104</v>
      </c>
      <c r="D2904" t="s">
        <v>3713</v>
      </c>
      <c r="E2904" s="4">
        <v>43465</v>
      </c>
      <c r="F2904" s="11">
        <v>-58.85913523</v>
      </c>
      <c r="G2904" s="11">
        <v>-15.220235499999999</v>
      </c>
      <c r="H2904" s="11">
        <v>162.7574267569</v>
      </c>
      <c r="I2904" s="11">
        <v>85.604039052700003</v>
      </c>
      <c r="J2904" s="11">
        <v>-109.82597187419999</v>
      </c>
      <c r="K2904" s="10">
        <v>0.22948993253800001</v>
      </c>
      <c r="L2904" s="12">
        <v>7807020806.5200005</v>
      </c>
      <c r="M2904">
        <v>23.555694303378701</v>
      </c>
      <c r="N2904" s="7">
        <v>6.5031245317820501</v>
      </c>
      <c r="O2904" s="7">
        <v>7.7696166426763398</v>
      </c>
      <c r="P2904" s="7">
        <v>-138.85160256359799</v>
      </c>
      <c r="Q2904" s="7" t="s">
        <v>3698</v>
      </c>
      <c r="T2904" s="2"/>
      <c r="U2904">
        <v>-3.5011573356586441</v>
      </c>
      <c r="AT2904" s="4" t="s">
        <v>3803</v>
      </c>
    </row>
    <row r="2905" spans="1:46">
      <c r="A2905" s="2">
        <v>1070</v>
      </c>
      <c r="B2905" t="s">
        <v>8224</v>
      </c>
      <c r="C2905" t="s">
        <v>1937</v>
      </c>
      <c r="D2905" t="s">
        <v>3718</v>
      </c>
      <c r="E2905" s="4">
        <v>43465</v>
      </c>
      <c r="F2905" s="11">
        <v>-1.4743314000000001</v>
      </c>
      <c r="G2905" s="11">
        <v>-15.220700150000001</v>
      </c>
      <c r="H2905" s="11">
        <v>6.5213723914999999</v>
      </c>
      <c r="I2905" s="11">
        <v>27.9859170842</v>
      </c>
      <c r="J2905" s="11">
        <v>7.5097387625999996</v>
      </c>
      <c r="K2905" s="10">
        <v>0.65209977180699996</v>
      </c>
      <c r="L2905" s="12">
        <v>6689759692</v>
      </c>
      <c r="M2905">
        <v>24.622809188022899</v>
      </c>
      <c r="N2905" s="7">
        <v>1.5457621128924499</v>
      </c>
      <c r="O2905" s="7">
        <v>1.5106525021417101</v>
      </c>
      <c r="P2905" s="7">
        <v>-9.4714960200273701</v>
      </c>
      <c r="Q2905" s="7">
        <v>4.044255433792614</v>
      </c>
      <c r="U2905">
        <v>0.29899755557509128</v>
      </c>
      <c r="AT2905" s="4" t="s">
        <v>6837</v>
      </c>
    </row>
    <row r="2906" spans="1:46">
      <c r="A2906" s="2">
        <v>1982</v>
      </c>
      <c r="B2906" t="s">
        <v>8225</v>
      </c>
      <c r="C2906" t="s">
        <v>2127</v>
      </c>
      <c r="D2906" t="s">
        <v>3713</v>
      </c>
      <c r="E2906" s="4">
        <v>43465</v>
      </c>
      <c r="F2906" s="11">
        <v>166.28706188999999</v>
      </c>
      <c r="G2906" s="11">
        <v>-15.2394775</v>
      </c>
      <c r="H2906" s="11">
        <v>103.133311866</v>
      </c>
      <c r="I2906" s="11">
        <v>58.186547135799998</v>
      </c>
      <c r="J2906" s="11">
        <v>33.428109640999999</v>
      </c>
      <c r="K2906" s="10">
        <v>0.44498853380100001</v>
      </c>
      <c r="L2906" s="12">
        <v>3832651916.1599998</v>
      </c>
      <c r="M2906">
        <v>45.723652026238398</v>
      </c>
      <c r="N2906" s="7">
        <v>6.7233932554518896</v>
      </c>
      <c r="O2906" s="7">
        <v>14.484315794895601</v>
      </c>
      <c r="P2906" s="7">
        <v>-104.251807847854</v>
      </c>
      <c r="Q2906" s="7">
        <v>0.3471485602977763</v>
      </c>
      <c r="U2906">
        <v>0.88376148546202726</v>
      </c>
      <c r="AT2906" s="4" t="s">
        <v>5474</v>
      </c>
    </row>
    <row r="2907" spans="1:46">
      <c r="A2907" s="2">
        <v>3110</v>
      </c>
      <c r="B2907" t="s">
        <v>8226</v>
      </c>
      <c r="C2907" t="s">
        <v>1340</v>
      </c>
      <c r="D2907" t="s">
        <v>3858</v>
      </c>
      <c r="E2907" s="4">
        <v>43465</v>
      </c>
      <c r="F2907" s="11">
        <v>-26.66054222</v>
      </c>
      <c r="G2907" s="11">
        <v>-15.45064378</v>
      </c>
      <c r="H2907" s="11">
        <v>6.9235954595000004</v>
      </c>
      <c r="I2907" s="11">
        <v>9.8998737656000007</v>
      </c>
      <c r="J2907" s="11">
        <v>2.3635557304999999</v>
      </c>
      <c r="K2907" s="10">
        <v>0.82880346362000001</v>
      </c>
      <c r="L2907" s="12">
        <v>1916350995</v>
      </c>
      <c r="M2907">
        <v>9.3789317131020198</v>
      </c>
      <c r="N2907" s="7">
        <v>1.00458619373747</v>
      </c>
      <c r="O2907" s="7">
        <v>0.222756112739315</v>
      </c>
      <c r="P2907" s="7">
        <v>39.9294509846778</v>
      </c>
      <c r="Q2907" s="7">
        <v>2.0733957452712128</v>
      </c>
      <c r="U2907">
        <v>0.75284148949040164</v>
      </c>
      <c r="AT2907" s="4" t="s">
        <v>4483</v>
      </c>
    </row>
    <row r="2908" spans="1:46">
      <c r="A2908" s="2">
        <v>1920</v>
      </c>
      <c r="B2908" t="s">
        <v>8227</v>
      </c>
      <c r="C2908" t="s">
        <v>2756</v>
      </c>
      <c r="D2908" t="s">
        <v>3858</v>
      </c>
      <c r="E2908" s="4">
        <v>43465</v>
      </c>
      <c r="F2908" s="11">
        <v>-24.157897200000001</v>
      </c>
      <c r="G2908" s="11">
        <v>-15.454545449999999</v>
      </c>
      <c r="H2908" s="11">
        <v>-0.2076265175</v>
      </c>
      <c r="I2908" s="11">
        <v>34.260642487200002</v>
      </c>
      <c r="J2908" s="11">
        <v>16.823628603300001</v>
      </c>
      <c r="K2908" s="10">
        <v>0.304094883426</v>
      </c>
      <c r="L2908" s="12">
        <v>11542039912.83</v>
      </c>
      <c r="M2908">
        <v>23.563836158451601</v>
      </c>
      <c r="N2908" s="7">
        <v>3.1986353807771302</v>
      </c>
      <c r="O2908" s="7">
        <v>3.1048049510314599</v>
      </c>
      <c r="P2908" s="7">
        <v>13.6832199555465</v>
      </c>
      <c r="Q2908" s="7">
        <v>0.91575091575091561</v>
      </c>
      <c r="U2908">
        <v>0.64378192751792085</v>
      </c>
      <c r="AT2908" s="4" t="s">
        <v>6265</v>
      </c>
    </row>
    <row r="2909" spans="1:46">
      <c r="A2909" s="2">
        <v>652</v>
      </c>
      <c r="B2909" t="s">
        <v>8228</v>
      </c>
      <c r="C2909" t="s">
        <v>3004</v>
      </c>
      <c r="D2909" t="s">
        <v>3721</v>
      </c>
      <c r="E2909" s="4">
        <v>43465</v>
      </c>
      <c r="F2909" s="11">
        <v>-53.603034129999998</v>
      </c>
      <c r="G2909" s="11">
        <v>-15.47344111</v>
      </c>
      <c r="H2909" s="11">
        <v>-13.707035725600001</v>
      </c>
      <c r="I2909" s="11">
        <v>13.0373554143</v>
      </c>
      <c r="J2909" s="11">
        <v>0.54884603750000005</v>
      </c>
      <c r="K2909" s="10">
        <v>0.58169921218999998</v>
      </c>
      <c r="L2909" s="12">
        <v>5842211991.8400002</v>
      </c>
      <c r="M2909">
        <v>1204.8501688059901</v>
      </c>
      <c r="N2909" s="7">
        <v>3.6665966030023198</v>
      </c>
      <c r="O2909" s="7">
        <v>4.6535340797571001</v>
      </c>
      <c r="P2909" s="7">
        <v>-92.372294096654102</v>
      </c>
      <c r="Q2909" s="7" t="s">
        <v>3698</v>
      </c>
      <c r="U2909">
        <v>6.20472605771897E-3</v>
      </c>
      <c r="AT2909" s="4" t="s">
        <v>8229</v>
      </c>
    </row>
    <row r="2910" spans="1:46">
      <c r="A2910" s="2">
        <v>1401</v>
      </c>
      <c r="B2910" t="s">
        <v>8230</v>
      </c>
      <c r="C2910" t="s">
        <v>1400</v>
      </c>
      <c r="D2910" t="s">
        <v>3718</v>
      </c>
      <c r="E2910" s="4">
        <v>43465</v>
      </c>
      <c r="F2910" s="11">
        <v>-44.480921430000002</v>
      </c>
      <c r="G2910" s="11">
        <v>-15.56712963</v>
      </c>
      <c r="H2910" s="11">
        <v>-20.183921842699998</v>
      </c>
      <c r="I2910" s="11">
        <v>38.446037607900003</v>
      </c>
      <c r="J2910" s="11">
        <v>17.519326295199999</v>
      </c>
      <c r="K2910" s="10">
        <v>0.27046777467999999</v>
      </c>
      <c r="L2910" s="12">
        <v>2900943495.4000001</v>
      </c>
      <c r="M2910">
        <v>92.649803687505099</v>
      </c>
      <c r="N2910" s="7">
        <v>4.2077420454276604</v>
      </c>
      <c r="O2910" s="7">
        <v>11.9482979446752</v>
      </c>
      <c r="P2910" s="7">
        <v>-29.906805513395799</v>
      </c>
      <c r="Q2910" s="7">
        <v>0.76219512195121952</v>
      </c>
      <c r="U2910">
        <v>0.22897515173333333</v>
      </c>
      <c r="AT2910" s="4" t="s">
        <v>4555</v>
      </c>
    </row>
    <row r="2911" spans="1:46">
      <c r="A2911" s="2">
        <v>3331</v>
      </c>
      <c r="B2911" t="s">
        <v>8231</v>
      </c>
      <c r="C2911" t="s">
        <v>1479</v>
      </c>
      <c r="D2911" t="s">
        <v>3752</v>
      </c>
      <c r="E2911" s="4">
        <v>43465</v>
      </c>
      <c r="F2911" s="11">
        <v>-10.562498229999999</v>
      </c>
      <c r="G2911" s="11">
        <v>-15.568428669999999</v>
      </c>
      <c r="H2911" s="11">
        <v>8.1309883733999992</v>
      </c>
      <c r="I2911" s="11">
        <v>25.5349291337</v>
      </c>
      <c r="J2911" s="11">
        <v>7.7278856975999997</v>
      </c>
      <c r="K2911" s="10">
        <v>0.86924323437499995</v>
      </c>
      <c r="L2911" s="12">
        <v>2744107352.1900001</v>
      </c>
      <c r="M2911">
        <v>33.652857947926002</v>
      </c>
      <c r="N2911" s="7">
        <v>2.2772929173647101</v>
      </c>
      <c r="O2911" s="7">
        <v>2.1066859322734102</v>
      </c>
      <c r="P2911" s="7">
        <v>-66.977846072085796</v>
      </c>
      <c r="Q2911" s="7">
        <v>0.68157033805888767</v>
      </c>
      <c r="U2911">
        <v>0.4798129021428571</v>
      </c>
      <c r="AT2911" s="4" t="s">
        <v>5691</v>
      </c>
    </row>
    <row r="2912" spans="1:46">
      <c r="A2912" s="2">
        <v>694</v>
      </c>
      <c r="B2912" t="s">
        <v>8232</v>
      </c>
      <c r="C2912" t="s">
        <v>637</v>
      </c>
      <c r="D2912" t="s">
        <v>3972</v>
      </c>
      <c r="E2912" s="4">
        <v>43465</v>
      </c>
      <c r="F2912" s="11">
        <v>-39.447125759999999</v>
      </c>
      <c r="G2912" s="11">
        <v>-15.568862279999999</v>
      </c>
      <c r="H2912" s="11">
        <v>2.3985241372999999</v>
      </c>
      <c r="I2912" s="11">
        <v>6.6233442126000002</v>
      </c>
      <c r="J2912" s="11">
        <v>0.2265799879</v>
      </c>
      <c r="K2912" s="10">
        <v>1.545912882551</v>
      </c>
      <c r="L2912" s="12">
        <v>1902084516.3</v>
      </c>
      <c r="M2912">
        <v>22.047745245514701</v>
      </c>
      <c r="N2912" s="7">
        <v>1.8798629097421999</v>
      </c>
      <c r="O2912" s="7">
        <v>0.14205453251394701</v>
      </c>
      <c r="P2912" s="7">
        <v>-131.23217472351701</v>
      </c>
      <c r="Q2912" s="7">
        <v>0.49019607843137253</v>
      </c>
      <c r="U2912">
        <v>9.4261716485986552E-2</v>
      </c>
      <c r="AT2912" s="4" t="s">
        <v>4730</v>
      </c>
    </row>
    <row r="2913" spans="1:46">
      <c r="A2913" s="2">
        <v>3241</v>
      </c>
      <c r="B2913" t="s">
        <v>8233</v>
      </c>
      <c r="C2913" t="s">
        <v>2697</v>
      </c>
      <c r="D2913" t="s">
        <v>3761</v>
      </c>
      <c r="E2913" s="4">
        <v>43465</v>
      </c>
      <c r="F2913" s="11">
        <v>-42.157553370000002</v>
      </c>
      <c r="G2913" s="11">
        <v>-15.64160972</v>
      </c>
      <c r="H2913" s="11">
        <v>25.908884520499999</v>
      </c>
      <c r="I2913" s="11">
        <v>27.4845044166</v>
      </c>
      <c r="J2913" s="11">
        <v>7.0702480676999997</v>
      </c>
      <c r="K2913" s="10">
        <v>0.666972713188</v>
      </c>
      <c r="L2913" s="12">
        <v>7119130225.3999996</v>
      </c>
      <c r="M2913">
        <v>27.6567360519613</v>
      </c>
      <c r="N2913" s="7">
        <v>2.0421923185097302</v>
      </c>
      <c r="O2913" s="7">
        <v>1.85943142967865</v>
      </c>
      <c r="P2913" s="7">
        <v>188.928748842955</v>
      </c>
      <c r="Q2913" s="7">
        <v>1.5553379763349033</v>
      </c>
      <c r="U2913">
        <v>0.53656733339291385</v>
      </c>
      <c r="AT2913" s="4" t="s">
        <v>6112</v>
      </c>
    </row>
    <row r="2914" spans="1:46">
      <c r="A2914" s="2">
        <v>3222</v>
      </c>
      <c r="B2914" t="s">
        <v>8234</v>
      </c>
      <c r="C2914" t="s">
        <v>291</v>
      </c>
      <c r="D2914" t="s">
        <v>3721</v>
      </c>
      <c r="E2914" s="4">
        <v>43465</v>
      </c>
      <c r="F2914" s="11">
        <v>-30.744262519999999</v>
      </c>
      <c r="G2914" s="11">
        <v>-15.69506726</v>
      </c>
      <c r="H2914" s="11">
        <v>1.6703636336000001</v>
      </c>
      <c r="I2914" s="11">
        <v>48.934064257700001</v>
      </c>
      <c r="J2914" s="11">
        <v>34.477519080699999</v>
      </c>
      <c r="K2914" s="10">
        <v>0.52412163035399995</v>
      </c>
      <c r="L2914" s="12">
        <v>2315834406</v>
      </c>
      <c r="M2914">
        <v>27.771020970086798</v>
      </c>
      <c r="N2914" s="7">
        <v>6.1513322059681599</v>
      </c>
      <c r="O2914" s="7">
        <v>8.9110015887050107</v>
      </c>
      <c r="P2914" s="7">
        <v>131.21743220158399</v>
      </c>
      <c r="Q2914" s="7">
        <v>3.4127974007489579</v>
      </c>
      <c r="U2914">
        <v>0.40088452005239916</v>
      </c>
      <c r="AT2914" s="4" t="s">
        <v>5265</v>
      </c>
    </row>
    <row r="2915" spans="1:46">
      <c r="A2915" s="2">
        <v>2038</v>
      </c>
      <c r="B2915" t="s">
        <v>8235</v>
      </c>
      <c r="C2915" t="s">
        <v>2282</v>
      </c>
      <c r="D2915" t="s">
        <v>3718</v>
      </c>
      <c r="E2915" s="4">
        <v>43465</v>
      </c>
      <c r="F2915" s="11">
        <v>-49.738270079999999</v>
      </c>
      <c r="G2915" s="11">
        <v>-15.70909091</v>
      </c>
      <c r="H2915" s="11">
        <v>31.031689016800001</v>
      </c>
      <c r="I2915" s="11">
        <v>25.938918169000001</v>
      </c>
      <c r="J2915" s="11">
        <v>7.2057098915999998</v>
      </c>
      <c r="K2915" s="10">
        <v>0.70109603685800004</v>
      </c>
      <c r="L2915" s="12">
        <v>4875446748.4799995</v>
      </c>
      <c r="M2915">
        <v>47.434681046242403</v>
      </c>
      <c r="N2915" s="7">
        <v>4.4914809565872096</v>
      </c>
      <c r="O2915" s="7">
        <v>3.2003460529371801</v>
      </c>
      <c r="P2915" s="7">
        <v>-26.321154330588499</v>
      </c>
      <c r="Q2915" s="7">
        <v>0.30148423005565861</v>
      </c>
      <c r="U2915">
        <v>0.62084674758971614</v>
      </c>
      <c r="AT2915" s="4" t="s">
        <v>8236</v>
      </c>
    </row>
    <row r="2916" spans="1:46">
      <c r="A2916" s="2">
        <v>1261</v>
      </c>
      <c r="B2916" t="s">
        <v>8237</v>
      </c>
      <c r="C2916" t="s">
        <v>1829</v>
      </c>
      <c r="D2916" t="s">
        <v>4060</v>
      </c>
      <c r="E2916" s="4">
        <v>43465</v>
      </c>
      <c r="F2916" s="11">
        <v>-42.793888369999998</v>
      </c>
      <c r="G2916" s="11">
        <v>-15.724137929999999</v>
      </c>
      <c r="H2916" s="11">
        <v>2.1012046763000001</v>
      </c>
      <c r="I2916" s="11">
        <v>13.756364119000001</v>
      </c>
      <c r="J2916" s="11">
        <v>1.9733342966</v>
      </c>
      <c r="K2916" s="10">
        <v>0.60605184493399999</v>
      </c>
      <c r="L2916" s="12">
        <v>1492400000</v>
      </c>
      <c r="M2916">
        <v>137.798241139921</v>
      </c>
      <c r="N2916" s="7">
        <v>3.6664115286274899</v>
      </c>
      <c r="O2916" s="7">
        <v>2.8963282143729301</v>
      </c>
      <c r="P2916" s="7">
        <v>-85.1085050173849</v>
      </c>
      <c r="Q2916" s="7">
        <v>0.44247787610619471</v>
      </c>
      <c r="U2916">
        <v>5.120749228655453E-2</v>
      </c>
      <c r="AT2916" s="4" t="s">
        <v>5265</v>
      </c>
    </row>
    <row r="2917" spans="1:46">
      <c r="A2917" s="2">
        <v>1141</v>
      </c>
      <c r="B2917" t="s">
        <v>8238</v>
      </c>
      <c r="C2917" t="s">
        <v>2622</v>
      </c>
      <c r="D2917" t="s">
        <v>3761</v>
      </c>
      <c r="E2917" s="4">
        <v>43465</v>
      </c>
      <c r="F2917" s="11">
        <v>-64.841821980000006</v>
      </c>
      <c r="G2917" s="11">
        <v>-15.78947368</v>
      </c>
      <c r="H2917" s="11">
        <v>-11.7653775484</v>
      </c>
      <c r="I2917" s="11">
        <v>20.424457720500001</v>
      </c>
      <c r="J2917" s="11">
        <v>-3.9711185534000002</v>
      </c>
      <c r="K2917" s="10">
        <v>0.25190762513600001</v>
      </c>
      <c r="L2917" s="12">
        <v>2989183724.0999999</v>
      </c>
      <c r="M2917">
        <v>28.829361906959399</v>
      </c>
      <c r="N2917" s="7">
        <v>1.07343029965667</v>
      </c>
      <c r="O2917" s="7">
        <v>0.72003978887341502</v>
      </c>
      <c r="P2917" s="7">
        <v>-17.010113530539101</v>
      </c>
      <c r="Q2917" s="7" t="s">
        <v>3698</v>
      </c>
      <c r="U2917">
        <v>-0.12044274800135502</v>
      </c>
      <c r="AT2917" s="4" t="s">
        <v>5584</v>
      </c>
    </row>
    <row r="2918" spans="1:46">
      <c r="A2918" s="2">
        <v>2811</v>
      </c>
      <c r="B2918" t="s">
        <v>8239</v>
      </c>
      <c r="C2918" t="s">
        <v>782</v>
      </c>
      <c r="D2918" t="s">
        <v>3811</v>
      </c>
      <c r="E2918" s="4">
        <v>43465</v>
      </c>
      <c r="F2918" s="11">
        <v>-16.81192721</v>
      </c>
      <c r="G2918" s="11">
        <v>-15.78947368</v>
      </c>
      <c r="H2918" s="11">
        <v>1.1819365739000001</v>
      </c>
      <c r="I2918" s="11">
        <v>34.920850870000002</v>
      </c>
      <c r="J2918" s="11">
        <v>114.59044455039999</v>
      </c>
      <c r="K2918" s="10">
        <v>0.257813068679</v>
      </c>
      <c r="L2918" s="12" t="s">
        <v>3698</v>
      </c>
      <c r="M2918">
        <v>33.332742905922203</v>
      </c>
      <c r="N2918" s="7">
        <v>1.4754481176781999</v>
      </c>
      <c r="O2918" s="7">
        <v>3.17773157122644</v>
      </c>
      <c r="P2918" s="7">
        <v>3.02781859702195</v>
      </c>
      <c r="Q2918" s="7">
        <v>30.973666264208788</v>
      </c>
      <c r="U2918">
        <v>2.0230330910394936</v>
      </c>
      <c r="AT2918" s="4" t="s">
        <v>4280</v>
      </c>
    </row>
    <row r="2919" spans="1:46">
      <c r="A2919" s="2">
        <v>1810</v>
      </c>
      <c r="B2919" t="s">
        <v>8240</v>
      </c>
      <c r="C2919" t="s">
        <v>1483</v>
      </c>
      <c r="D2919" t="s">
        <v>3718</v>
      </c>
      <c r="E2919" s="4">
        <v>43465</v>
      </c>
      <c r="F2919" s="11">
        <v>-20.35110559</v>
      </c>
      <c r="G2919" s="11">
        <v>-15.804394050000001</v>
      </c>
      <c r="H2919" s="11">
        <v>17.3207888305</v>
      </c>
      <c r="I2919" s="11">
        <v>24.662474811799999</v>
      </c>
      <c r="J2919" s="11">
        <v>3.9713016039000002</v>
      </c>
      <c r="K2919" s="10">
        <v>0.39663383826900001</v>
      </c>
      <c r="L2919" s="12">
        <v>6001760636.5500002</v>
      </c>
      <c r="M2919">
        <v>28.334062324295999</v>
      </c>
      <c r="N2919" s="7">
        <v>1.61272332608948</v>
      </c>
      <c r="O2919" s="7">
        <v>2.0616223435888101</v>
      </c>
      <c r="P2919" s="7">
        <v>-34.791185755242701</v>
      </c>
      <c r="Q2919" s="7">
        <v>0.3916741271262309</v>
      </c>
      <c r="U2919">
        <v>0.33288749271622503</v>
      </c>
      <c r="AT2919" s="4" t="s">
        <v>4961</v>
      </c>
    </row>
    <row r="2920" spans="1:46">
      <c r="A2920" s="2">
        <v>276</v>
      </c>
      <c r="B2920" t="s">
        <v>8241</v>
      </c>
      <c r="C2920" t="s">
        <v>2486</v>
      </c>
      <c r="D2920" t="s">
        <v>3764</v>
      </c>
      <c r="E2920" s="4">
        <v>43465</v>
      </c>
      <c r="F2920" s="11">
        <v>-28.01745601</v>
      </c>
      <c r="G2920" s="11">
        <v>-15.89895988</v>
      </c>
      <c r="H2920" s="11">
        <v>52.464676983499999</v>
      </c>
      <c r="I2920" s="11">
        <v>31.580872532899999</v>
      </c>
      <c r="J2920" s="11">
        <v>12.056450853499999</v>
      </c>
      <c r="K2920" s="10">
        <v>0.19671973297000001</v>
      </c>
      <c r="L2920" s="12">
        <v>6573848996</v>
      </c>
      <c r="M2920">
        <v>75.557869401648901</v>
      </c>
      <c r="N2920" s="7">
        <v>1.65308316756801</v>
      </c>
      <c r="O2920" s="7">
        <v>4.2058615941670903</v>
      </c>
      <c r="P2920" s="7">
        <v>6.3978903282962802</v>
      </c>
      <c r="Q2920" s="7">
        <v>1.7452006980802792</v>
      </c>
      <c r="U2920">
        <v>0.21273670314725071</v>
      </c>
      <c r="AT2920" s="4" t="s">
        <v>8242</v>
      </c>
    </row>
    <row r="2921" spans="1:46">
      <c r="A2921" s="2">
        <v>1655</v>
      </c>
      <c r="B2921" t="s">
        <v>8243</v>
      </c>
      <c r="C2921" t="s">
        <v>1460</v>
      </c>
      <c r="D2921" t="s">
        <v>3752</v>
      </c>
      <c r="E2921" s="4">
        <v>43465</v>
      </c>
      <c r="F2921" s="11">
        <v>-43.419627920000003</v>
      </c>
      <c r="G2921" s="11">
        <v>-15.98360656</v>
      </c>
      <c r="H2921" s="11">
        <v>11.7702897358</v>
      </c>
      <c r="I2921" s="11">
        <v>28.8748044146</v>
      </c>
      <c r="J2921" s="11">
        <v>11.7659864903</v>
      </c>
      <c r="K2921" s="10">
        <v>0.78534649816500002</v>
      </c>
      <c r="L2921" s="12">
        <v>3708320000</v>
      </c>
      <c r="M2921">
        <v>11.174655354387699</v>
      </c>
      <c r="N2921" s="7">
        <v>1.9806728589371601</v>
      </c>
      <c r="O2921" s="7">
        <v>1.1603226416319401</v>
      </c>
      <c r="P2921" s="7">
        <v>-19.7195848703252</v>
      </c>
      <c r="Q2921" s="7">
        <v>6.4473684210526319</v>
      </c>
      <c r="U2921">
        <v>0.4751896082695129</v>
      </c>
      <c r="AT2921" s="4" t="s">
        <v>4681</v>
      </c>
    </row>
    <row r="2922" spans="1:46">
      <c r="A2922" s="2">
        <v>775</v>
      </c>
      <c r="B2922" t="s">
        <v>8244</v>
      </c>
      <c r="C2922" t="s">
        <v>1581</v>
      </c>
      <c r="D2922" t="s">
        <v>3811</v>
      </c>
      <c r="E2922" s="4">
        <v>43465</v>
      </c>
      <c r="F2922" s="11">
        <v>-50.565262079999997</v>
      </c>
      <c r="G2922" s="11">
        <v>-16.055846420000002</v>
      </c>
      <c r="H2922" s="11">
        <v>-1.7572519009000001</v>
      </c>
      <c r="I2922" s="11">
        <v>22.376387935299999</v>
      </c>
      <c r="J2922" s="11">
        <v>-9.4139200000000002E-5</v>
      </c>
      <c r="K2922" s="10">
        <v>1.9179521791</v>
      </c>
      <c r="L2922" s="12">
        <v>2720640000</v>
      </c>
      <c r="M2922">
        <v>-103.726808833992</v>
      </c>
      <c r="N2922" s="7">
        <v>3.9999218117301001</v>
      </c>
      <c r="O2922" s="7">
        <v>0.57176371233897705</v>
      </c>
      <c r="P2922" s="7">
        <v>22.449325827917701</v>
      </c>
      <c r="Q2922" s="7" t="s">
        <v>3698</v>
      </c>
      <c r="U2922">
        <v>2.4730925833778058E-2</v>
      </c>
      <c r="AT2922" s="4" t="s">
        <v>8245</v>
      </c>
    </row>
    <row r="2923" spans="1:46">
      <c r="A2923" s="2">
        <v>847</v>
      </c>
      <c r="B2923" t="s">
        <v>8246</v>
      </c>
      <c r="C2923" t="s">
        <v>756</v>
      </c>
      <c r="D2923" t="s">
        <v>3811</v>
      </c>
      <c r="E2923" s="4">
        <v>43465</v>
      </c>
      <c r="F2923" s="11">
        <v>-47.221983899999998</v>
      </c>
      <c r="G2923" s="11">
        <v>-16.057233700000001</v>
      </c>
      <c r="H2923" s="11">
        <v>-8.1800237114000005</v>
      </c>
      <c r="I2923" s="11">
        <v>25.1807616569</v>
      </c>
      <c r="J2923" s="11">
        <v>-4.3704115268999999</v>
      </c>
      <c r="K2923" s="10">
        <v>1.6399804380780001</v>
      </c>
      <c r="L2923" s="12">
        <v>3527524000</v>
      </c>
      <c r="M2923">
        <v>-10.0343669246265</v>
      </c>
      <c r="N2923" s="7">
        <v>1.7800861735539499</v>
      </c>
      <c r="O2923" s="7">
        <v>0.30490846341670902</v>
      </c>
      <c r="P2923" s="7">
        <v>-8.0219540650601804</v>
      </c>
      <c r="Q2923" s="7" t="s">
        <v>3698</v>
      </c>
      <c r="U2923">
        <v>-0.88743553419999999</v>
      </c>
      <c r="AT2923" s="4" t="s">
        <v>6708</v>
      </c>
    </row>
    <row r="2924" spans="1:46">
      <c r="A2924" s="2">
        <v>1916</v>
      </c>
      <c r="B2924" t="s">
        <v>8247</v>
      </c>
      <c r="C2924" t="s">
        <v>3252</v>
      </c>
      <c r="D2924" t="s">
        <v>3761</v>
      </c>
      <c r="E2924" s="4">
        <v>43465</v>
      </c>
      <c r="F2924" s="11">
        <v>-26.920916399999999</v>
      </c>
      <c r="G2924" s="11">
        <v>-16.164207829999999</v>
      </c>
      <c r="H2924" s="11">
        <v>-25.309675859199999</v>
      </c>
      <c r="I2924" s="11">
        <v>36.200220176800002</v>
      </c>
      <c r="J2924" s="11">
        <v>-8.7446403781999997</v>
      </c>
      <c r="K2924" s="10">
        <v>0.289702280975</v>
      </c>
      <c r="L2924" s="12">
        <v>2037540000</v>
      </c>
      <c r="M2924">
        <v>165.71432251729399</v>
      </c>
      <c r="N2924" s="7">
        <v>5.4692802888816399</v>
      </c>
      <c r="O2924" s="7">
        <v>10.931791590444501</v>
      </c>
      <c r="P2924" s="7">
        <v>-29.0422571347464</v>
      </c>
      <c r="Q2924" s="7" t="s">
        <v>3698</v>
      </c>
      <c r="U2924">
        <v>-9.7587622576880528E-2</v>
      </c>
      <c r="AT2924" s="4" t="s">
        <v>4474</v>
      </c>
    </row>
    <row r="2925" spans="1:46">
      <c r="A2925" s="2">
        <v>3457</v>
      </c>
      <c r="B2925" t="s">
        <v>8248</v>
      </c>
      <c r="C2925" t="s">
        <v>570</v>
      </c>
      <c r="D2925" t="s">
        <v>3728</v>
      </c>
      <c r="E2925" s="4">
        <v>43465</v>
      </c>
      <c r="F2925" s="11">
        <v>-10.906367019999999</v>
      </c>
      <c r="G2925" s="11">
        <v>-16.184448459999999</v>
      </c>
      <c r="H2925" s="11">
        <v>18.369504442099998</v>
      </c>
      <c r="I2925" s="11">
        <v>56.013332942799998</v>
      </c>
      <c r="J2925" s="11">
        <v>11.930731246500001</v>
      </c>
      <c r="K2925" s="10">
        <v>0.74018441805199997</v>
      </c>
      <c r="L2925" s="12">
        <v>14479781580</v>
      </c>
      <c r="M2925">
        <v>23.646833449657599</v>
      </c>
      <c r="N2925" s="7">
        <v>3.1036941777924598</v>
      </c>
      <c r="O2925" s="7">
        <v>2.3885577196900201</v>
      </c>
      <c r="P2925" s="7">
        <v>-152.451353376778</v>
      </c>
      <c r="Q2925" s="7">
        <v>4.0983606557377055</v>
      </c>
      <c r="U2925">
        <v>0.56142596984219595</v>
      </c>
      <c r="AT2925" s="4" t="s">
        <v>8249</v>
      </c>
    </row>
    <row r="2926" spans="1:46">
      <c r="A2926" s="2">
        <v>548</v>
      </c>
      <c r="B2926" t="s">
        <v>8250</v>
      </c>
      <c r="C2926" t="s">
        <v>2912</v>
      </c>
      <c r="D2926" t="s">
        <v>3752</v>
      </c>
      <c r="E2926" s="4">
        <v>43465</v>
      </c>
      <c r="F2926" s="11">
        <v>-37.374173020000001</v>
      </c>
      <c r="G2926" s="11">
        <v>-16.212871289999999</v>
      </c>
      <c r="H2926" s="11">
        <v>12.708798711</v>
      </c>
      <c r="I2926" s="11">
        <v>21.920020426800001</v>
      </c>
      <c r="J2926" s="11">
        <v>3.9894571172000002</v>
      </c>
      <c r="K2926" s="10">
        <v>0.63933261239600003</v>
      </c>
      <c r="L2926" s="12">
        <v>6819800000</v>
      </c>
      <c r="M2926">
        <v>52.281953153079897</v>
      </c>
      <c r="N2926" s="7">
        <v>1.2515422306094099</v>
      </c>
      <c r="O2926" s="7">
        <v>0.78597704308417204</v>
      </c>
      <c r="P2926" s="7">
        <v>-81.603813580166999</v>
      </c>
      <c r="Q2926" s="7">
        <v>1.0703812316715542</v>
      </c>
      <c r="U2926">
        <v>0.36390232232593162</v>
      </c>
      <c r="AT2926" s="4" t="s">
        <v>8251</v>
      </c>
    </row>
    <row r="2927" spans="1:46">
      <c r="A2927" s="2">
        <v>2079</v>
      </c>
      <c r="B2927" t="s">
        <v>8252</v>
      </c>
      <c r="C2927" t="s">
        <v>1107</v>
      </c>
      <c r="D2927" t="s">
        <v>3761</v>
      </c>
      <c r="E2927" s="4">
        <v>43465</v>
      </c>
      <c r="F2927" s="11">
        <v>-39.388177650000003</v>
      </c>
      <c r="G2927" s="11">
        <v>-16.233090529999998</v>
      </c>
      <c r="H2927" s="11">
        <v>11.177623901700001</v>
      </c>
      <c r="I2927" s="11">
        <v>23.235843041999999</v>
      </c>
      <c r="J2927" s="11">
        <v>8.9322210539999993</v>
      </c>
      <c r="K2927" s="10">
        <v>0.76506256719099996</v>
      </c>
      <c r="L2927" s="12">
        <v>3434219096</v>
      </c>
      <c r="M2927">
        <v>18.6102826317913</v>
      </c>
      <c r="N2927" s="7">
        <v>1.69061907906076</v>
      </c>
      <c r="O2927" s="7">
        <v>1.6323545740311001</v>
      </c>
      <c r="P2927" s="7">
        <v>22.752828371212299</v>
      </c>
      <c r="Q2927" s="7">
        <v>1.9175455417066156</v>
      </c>
      <c r="U2927">
        <v>1.0737936116149767</v>
      </c>
      <c r="AT2927" s="4" t="s">
        <v>5278</v>
      </c>
    </row>
    <row r="2928" spans="1:46">
      <c r="A2928" s="2">
        <v>1677</v>
      </c>
      <c r="B2928" t="s">
        <v>8253</v>
      </c>
      <c r="C2928" t="s">
        <v>1228</v>
      </c>
      <c r="D2928" t="s">
        <v>3713</v>
      </c>
      <c r="E2928" s="4">
        <v>43465</v>
      </c>
      <c r="F2928" s="11">
        <v>-27.636269129999999</v>
      </c>
      <c r="G2928" s="11">
        <v>-16.238532110000001</v>
      </c>
      <c r="H2928" s="11">
        <v>13.4072101382</v>
      </c>
      <c r="I2928" s="11">
        <v>23.8857986979</v>
      </c>
      <c r="J2928" s="11">
        <v>5.9789359257000001</v>
      </c>
      <c r="K2928" s="10">
        <v>0.47328804720000001</v>
      </c>
      <c r="L2928" s="12">
        <v>4040381341.04</v>
      </c>
      <c r="M2928">
        <v>71.590766474718805</v>
      </c>
      <c r="N2928" s="7">
        <v>2.9666146686094401</v>
      </c>
      <c r="O2928" s="7">
        <v>2.4255241548631199</v>
      </c>
      <c r="P2928" s="7">
        <v>-9.35698432079211</v>
      </c>
      <c r="Q2928" s="7">
        <v>0.56369785794813987</v>
      </c>
      <c r="U2928">
        <v>0.22771863156242053</v>
      </c>
      <c r="AT2928" s="4" t="s">
        <v>5974</v>
      </c>
    </row>
    <row r="2929" spans="1:46">
      <c r="A2929" s="2">
        <v>2748</v>
      </c>
      <c r="B2929" t="s">
        <v>8254</v>
      </c>
      <c r="C2929" t="s">
        <v>1956</v>
      </c>
      <c r="D2929" t="s">
        <v>3871</v>
      </c>
      <c r="E2929" s="4">
        <v>43465</v>
      </c>
      <c r="F2929" s="11">
        <v>-7.5515949600000001</v>
      </c>
      <c r="G2929" s="11">
        <v>-16.308243730000001</v>
      </c>
      <c r="H2929" s="11">
        <v>47.445651048499997</v>
      </c>
      <c r="I2929" s="11">
        <v>43.046270518900002</v>
      </c>
      <c r="J2929" s="11">
        <v>16.860304359800001</v>
      </c>
      <c r="K2929" s="10">
        <v>0.45652882531200001</v>
      </c>
      <c r="L2929" s="12">
        <v>134819957363</v>
      </c>
      <c r="M2929">
        <v>31.711014832239002</v>
      </c>
      <c r="N2929" s="7">
        <v>2.0630295628923601</v>
      </c>
      <c r="O2929" s="7">
        <v>2.9176013453010201</v>
      </c>
      <c r="P2929" s="7">
        <v>624.78002304124698</v>
      </c>
      <c r="Q2929" s="7">
        <v>3.4562211981566815</v>
      </c>
      <c r="U2929">
        <v>0.51030520503550003</v>
      </c>
      <c r="AT2929" s="4" t="s">
        <v>6350</v>
      </c>
    </row>
    <row r="2930" spans="1:46">
      <c r="A2930" s="2">
        <v>1894</v>
      </c>
      <c r="B2930" t="s">
        <v>8255</v>
      </c>
      <c r="C2930" t="s">
        <v>3606</v>
      </c>
      <c r="D2930" t="s">
        <v>3713</v>
      </c>
      <c r="E2930" s="4">
        <v>43465</v>
      </c>
      <c r="F2930" s="11">
        <v>22.680234559999999</v>
      </c>
      <c r="G2930" s="11">
        <v>-16.327595200000001</v>
      </c>
      <c r="H2930" s="11">
        <v>25.2787715897</v>
      </c>
      <c r="I2930" s="11">
        <v>36.284582269799998</v>
      </c>
      <c r="J2930" s="11">
        <v>7.2639444048000001</v>
      </c>
      <c r="K2930" s="10">
        <v>0.54541113860099999</v>
      </c>
      <c r="L2930" s="12">
        <v>2121045600</v>
      </c>
      <c r="M2930">
        <v>97.192616202273499</v>
      </c>
      <c r="N2930" s="7">
        <v>5.2928459987662304</v>
      </c>
      <c r="O2930" s="7">
        <v>3.9811248018165499</v>
      </c>
      <c r="P2930" s="7">
        <v>-40.195025104023401</v>
      </c>
      <c r="Q2930" s="7">
        <v>0.11557423016755755</v>
      </c>
      <c r="U2930">
        <v>0.36725776276391481</v>
      </c>
      <c r="AT2930" s="4" t="s">
        <v>4365</v>
      </c>
    </row>
    <row r="2931" spans="1:46">
      <c r="A2931" s="2">
        <v>1002</v>
      </c>
      <c r="B2931" t="s">
        <v>8256</v>
      </c>
      <c r="C2931" t="s">
        <v>687</v>
      </c>
      <c r="D2931" t="s">
        <v>3713</v>
      </c>
      <c r="E2931" s="4">
        <v>43465</v>
      </c>
      <c r="F2931" s="11">
        <v>-46.950308419999999</v>
      </c>
      <c r="G2931" s="11">
        <v>-16.370558379999999</v>
      </c>
      <c r="H2931" s="11">
        <v>5.0375574707000004</v>
      </c>
      <c r="I2931" s="11">
        <v>29.5082064546</v>
      </c>
      <c r="J2931" s="11">
        <v>12.739232943099999</v>
      </c>
      <c r="K2931" s="10">
        <v>0.46682750303199999</v>
      </c>
      <c r="L2931" s="12">
        <v>2182063709.52</v>
      </c>
      <c r="M2931">
        <v>19.032656589317501</v>
      </c>
      <c r="N2931" s="7">
        <v>2.3805568059352198</v>
      </c>
      <c r="O2931" s="7">
        <v>2.25643715650593</v>
      </c>
      <c r="P2931" s="7">
        <v>40.333715638366499</v>
      </c>
      <c r="Q2931" s="7">
        <v>0.75528700906344415</v>
      </c>
      <c r="U2931">
        <v>0.44748723174677452</v>
      </c>
      <c r="AT2931" s="4" t="s">
        <v>4553</v>
      </c>
    </row>
    <row r="2932" spans="1:46">
      <c r="A2932" s="2">
        <v>1962</v>
      </c>
      <c r="B2932" t="s">
        <v>8257</v>
      </c>
      <c r="C2932" t="s">
        <v>1406</v>
      </c>
      <c r="D2932" t="s">
        <v>3752</v>
      </c>
      <c r="E2932" s="4">
        <v>43465</v>
      </c>
      <c r="F2932" s="11">
        <v>31.983131060000002</v>
      </c>
      <c r="G2932" s="11">
        <v>-16.398104270000001</v>
      </c>
      <c r="H2932" s="11">
        <v>28.2646587847</v>
      </c>
      <c r="I2932" s="11">
        <v>10.294616549000001</v>
      </c>
      <c r="J2932" s="11">
        <v>2.2842479446000001</v>
      </c>
      <c r="K2932" s="10">
        <v>2.1784931351919998</v>
      </c>
      <c r="L2932" s="12">
        <v>3114423903.3600001</v>
      </c>
      <c r="M2932">
        <v>60.370981172973998</v>
      </c>
      <c r="N2932" s="7">
        <v>4.1865392532047601</v>
      </c>
      <c r="O2932" s="7">
        <v>1.4365650038450599</v>
      </c>
      <c r="P2932" s="7">
        <v>-184.975151864342</v>
      </c>
      <c r="Q2932" s="7">
        <v>0.48116703116250942</v>
      </c>
      <c r="U2932">
        <v>0.36096827809633225</v>
      </c>
      <c r="AT2932" s="4" t="s">
        <v>6635</v>
      </c>
    </row>
    <row r="2933" spans="1:46">
      <c r="A2933" s="2">
        <v>2052</v>
      </c>
      <c r="B2933" t="s">
        <v>8258</v>
      </c>
      <c r="C2933" t="s">
        <v>1399</v>
      </c>
      <c r="D2933" t="s">
        <v>3737</v>
      </c>
      <c r="E2933" s="4">
        <v>43465</v>
      </c>
      <c r="F2933" s="11">
        <v>-13.202911370000001</v>
      </c>
      <c r="G2933" s="11">
        <v>-16.406533580000001</v>
      </c>
      <c r="H2933" s="11">
        <v>24.040703219899999</v>
      </c>
      <c r="I2933" s="11">
        <v>69.874384417000002</v>
      </c>
      <c r="J2933" s="11">
        <v>20.591269740400001</v>
      </c>
      <c r="K2933" s="10">
        <v>0.77379992278099996</v>
      </c>
      <c r="L2933" s="12">
        <v>3192370944.1599998</v>
      </c>
      <c r="M2933">
        <v>51.691371113223603</v>
      </c>
      <c r="N2933" s="7">
        <v>12.391477718982401</v>
      </c>
      <c r="O2933" s="7">
        <v>9.6369945579887499</v>
      </c>
      <c r="P2933" s="7">
        <v>-211.32335943243399</v>
      </c>
      <c r="Q2933" s="7">
        <v>0.30645092777820521</v>
      </c>
      <c r="U2933">
        <v>0.63154366095847603</v>
      </c>
      <c r="AT2933" s="4" t="s">
        <v>4326</v>
      </c>
    </row>
    <row r="2934" spans="1:46">
      <c r="A2934" s="2">
        <v>910</v>
      </c>
      <c r="B2934" t="s">
        <v>8259</v>
      </c>
      <c r="C2934" t="s">
        <v>2633</v>
      </c>
      <c r="D2934" t="s">
        <v>3737</v>
      </c>
      <c r="E2934" s="4">
        <v>43465</v>
      </c>
      <c r="F2934" s="11">
        <v>28.56897575</v>
      </c>
      <c r="G2934" s="11">
        <v>-16.52928416</v>
      </c>
      <c r="H2934" s="11">
        <v>69.338071876300006</v>
      </c>
      <c r="I2934" s="11">
        <v>40.088488379399998</v>
      </c>
      <c r="J2934" s="11">
        <v>12.2988281416</v>
      </c>
      <c r="K2934" s="10">
        <v>0.35873019229999997</v>
      </c>
      <c r="L2934" s="12">
        <v>2604297447.5</v>
      </c>
      <c r="M2934">
        <v>72.203367877258401</v>
      </c>
      <c r="N2934" s="7">
        <v>7.6635530700766203</v>
      </c>
      <c r="O2934" s="7">
        <v>6.9539939884272197</v>
      </c>
      <c r="P2934" s="7">
        <v>-16.032057319342499</v>
      </c>
      <c r="Q2934" s="7">
        <v>0.57937427578215528</v>
      </c>
      <c r="U2934">
        <v>0.49406104835629699</v>
      </c>
      <c r="AT2934" s="4" t="s">
        <v>5216</v>
      </c>
    </row>
    <row r="2935" spans="1:46">
      <c r="A2935" s="2">
        <v>2109</v>
      </c>
      <c r="B2935" t="s">
        <v>8260</v>
      </c>
      <c r="C2935" t="s">
        <v>2330</v>
      </c>
      <c r="D2935" t="s">
        <v>3721</v>
      </c>
      <c r="E2935" s="4">
        <v>43465</v>
      </c>
      <c r="F2935" s="11">
        <v>-42.319693430000001</v>
      </c>
      <c r="G2935" s="11">
        <v>-16.576819409999999</v>
      </c>
      <c r="H2935" s="11">
        <v>25.0849321948</v>
      </c>
      <c r="I2935" s="11">
        <v>22.3437452774</v>
      </c>
      <c r="J2935" s="11">
        <v>6.1880724594999998</v>
      </c>
      <c r="K2935" s="10">
        <v>0.89079332600100003</v>
      </c>
      <c r="L2935" s="12">
        <v>9027090144</v>
      </c>
      <c r="M2935">
        <v>54.006638665643301</v>
      </c>
      <c r="N2935" s="7">
        <v>3.6938787511315199</v>
      </c>
      <c r="O2935" s="7">
        <v>2.8764268241709998</v>
      </c>
      <c r="P2935" s="7">
        <v>-11.272155707453001</v>
      </c>
      <c r="Q2935" s="7">
        <v>1.1072098978457692</v>
      </c>
      <c r="U2935">
        <v>0.5163013311953486</v>
      </c>
      <c r="AT2935" s="4" t="s">
        <v>4245</v>
      </c>
    </row>
    <row r="2936" spans="1:46">
      <c r="A2936" s="2">
        <v>1249</v>
      </c>
      <c r="B2936" t="s">
        <v>8261</v>
      </c>
      <c r="C2936" t="s">
        <v>361</v>
      </c>
      <c r="D2936" t="s">
        <v>3889</v>
      </c>
      <c r="E2936" s="4">
        <v>43465</v>
      </c>
      <c r="F2936" s="11">
        <v>-47.4826385</v>
      </c>
      <c r="G2936" s="11">
        <v>-16.58268438</v>
      </c>
      <c r="H2936" s="11">
        <v>6.4912596112000003</v>
      </c>
      <c r="I2936" s="11">
        <v>30.323257336699999</v>
      </c>
      <c r="J2936" s="11">
        <v>9.1743443257999999</v>
      </c>
      <c r="K2936" s="10">
        <v>0.60920876474499996</v>
      </c>
      <c r="L2936" s="12">
        <v>4535305622.5</v>
      </c>
      <c r="M2936">
        <v>28.174894751159702</v>
      </c>
      <c r="N2936" s="7">
        <v>12.722514413721299</v>
      </c>
      <c r="O2936" s="7">
        <v>2.7566982410528902</v>
      </c>
      <c r="P2936" s="7">
        <v>-37.111254639412103</v>
      </c>
      <c r="Q2936" s="7" t="s">
        <v>3698</v>
      </c>
      <c r="U2936">
        <v>0.73498369308357447</v>
      </c>
      <c r="AT2936" s="4" t="s">
        <v>4290</v>
      </c>
    </row>
    <row r="2937" spans="1:46">
      <c r="A2937" s="2">
        <v>2497</v>
      </c>
      <c r="B2937" t="s">
        <v>8262</v>
      </c>
      <c r="C2937" t="s">
        <v>2266</v>
      </c>
      <c r="D2937" t="s">
        <v>3761</v>
      </c>
      <c r="E2937" s="4">
        <v>43465</v>
      </c>
      <c r="F2937" s="11">
        <v>-27.011256849999999</v>
      </c>
      <c r="G2937" s="11">
        <v>-16.591928249999999</v>
      </c>
      <c r="H2937" s="11">
        <v>5.524040243</v>
      </c>
      <c r="I2937" s="11">
        <v>20.715368667</v>
      </c>
      <c r="J2937" s="11">
        <v>4.5288383649000004</v>
      </c>
      <c r="K2937" s="10">
        <v>1.1338258532800001</v>
      </c>
      <c r="L2937" s="12">
        <v>3493146967.1999998</v>
      </c>
      <c r="M2937">
        <v>48.2152012026515</v>
      </c>
      <c r="N2937" s="7">
        <v>3.0335442804824702</v>
      </c>
      <c r="O2937" s="7">
        <v>1.8345288462309299</v>
      </c>
      <c r="P2937" s="7">
        <v>154.627682617744</v>
      </c>
      <c r="Q2937" s="7">
        <v>0.86138351444473904</v>
      </c>
      <c r="U2937">
        <v>0.16308739931346902</v>
      </c>
      <c r="AT2937" s="4" t="s">
        <v>8263</v>
      </c>
    </row>
    <row r="2938" spans="1:46">
      <c r="A2938" s="2">
        <v>2182</v>
      </c>
      <c r="B2938" t="s">
        <v>8264</v>
      </c>
      <c r="C2938" t="s">
        <v>2281</v>
      </c>
      <c r="D2938" t="s">
        <v>3764</v>
      </c>
      <c r="E2938" s="4">
        <v>43465</v>
      </c>
      <c r="F2938" s="11">
        <v>-20.053624030000002</v>
      </c>
      <c r="G2938" s="11">
        <v>-16.701902749999999</v>
      </c>
      <c r="H2938" s="11">
        <v>10.6325480611</v>
      </c>
      <c r="I2938" s="11">
        <v>9.4867045223000002</v>
      </c>
      <c r="J2938" s="11">
        <v>7.6424128253000001</v>
      </c>
      <c r="K2938" s="10">
        <v>0.50888406203400005</v>
      </c>
      <c r="L2938" s="12">
        <v>3399242817.5999999</v>
      </c>
      <c r="M2938">
        <v>15.6811784226709</v>
      </c>
      <c r="N2938" s="7">
        <v>1.0512425017987701</v>
      </c>
      <c r="O2938" s="7">
        <v>1.13568722799322</v>
      </c>
      <c r="P2938" s="7">
        <v>-65.715161674256393</v>
      </c>
      <c r="Q2938" s="7">
        <v>4.6753246753246742</v>
      </c>
      <c r="U2938">
        <v>0.29672833026050444</v>
      </c>
      <c r="AT2938" s="4" t="s">
        <v>8265</v>
      </c>
    </row>
    <row r="2939" spans="1:46">
      <c r="A2939" s="2">
        <v>2102</v>
      </c>
      <c r="B2939" t="s">
        <v>8266</v>
      </c>
      <c r="C2939" t="s">
        <v>1140</v>
      </c>
      <c r="D2939" t="s">
        <v>3752</v>
      </c>
      <c r="E2939" s="4">
        <v>43465</v>
      </c>
      <c r="F2939" s="11">
        <v>440.75273155999997</v>
      </c>
      <c r="G2939" s="11">
        <v>-16.80207995</v>
      </c>
      <c r="H2939" s="11">
        <v>33.784777870500001</v>
      </c>
      <c r="I2939" s="11">
        <v>36.634743736899999</v>
      </c>
      <c r="J2939" s="11">
        <v>18.4972541898</v>
      </c>
      <c r="K2939" s="10">
        <v>0.87795406486500005</v>
      </c>
      <c r="L2939" s="12">
        <v>1702597034.24</v>
      </c>
      <c r="M2939">
        <v>30.423445546164501</v>
      </c>
      <c r="N2939" s="7">
        <v>7.1358301063912402</v>
      </c>
      <c r="O2939" s="7">
        <v>5.6709589072915101</v>
      </c>
      <c r="P2939" s="7">
        <v>41.437741173164902</v>
      </c>
      <c r="Q2939" s="7">
        <v>0.44731610337972166</v>
      </c>
      <c r="U2939">
        <v>0.89320364752446335</v>
      </c>
      <c r="AT2939" s="4" t="s">
        <v>8267</v>
      </c>
    </row>
    <row r="2940" spans="1:46">
      <c r="A2940" s="2">
        <v>3076</v>
      </c>
      <c r="B2940" t="s">
        <v>8268</v>
      </c>
      <c r="C2940" t="s">
        <v>956</v>
      </c>
      <c r="D2940" t="s">
        <v>3764</v>
      </c>
      <c r="E2940" s="4">
        <v>43465</v>
      </c>
      <c r="F2940" s="11">
        <v>-41.52999587</v>
      </c>
      <c r="G2940" s="11">
        <v>-16.804822909999999</v>
      </c>
      <c r="H2940" s="11">
        <v>0.65503851560000004</v>
      </c>
      <c r="I2940" s="11">
        <v>36.7520831259</v>
      </c>
      <c r="J2940" s="11">
        <v>26.096550637</v>
      </c>
      <c r="K2940" s="10">
        <v>0.188444588469</v>
      </c>
      <c r="L2940" s="12">
        <v>4310617731.6999998</v>
      </c>
      <c r="M2940">
        <v>23.294815029126202</v>
      </c>
      <c r="N2940" s="7">
        <v>1.5810535928331599</v>
      </c>
      <c r="O2940" s="7">
        <v>3.5227102659096001</v>
      </c>
      <c r="P2940" s="7">
        <v>30.865323817338702</v>
      </c>
      <c r="Q2940" s="7">
        <v>0.6020682817581362</v>
      </c>
      <c r="U2940">
        <v>0.82250847179818309</v>
      </c>
      <c r="AT2940" s="4" t="s">
        <v>4560</v>
      </c>
    </row>
    <row r="2941" spans="1:46">
      <c r="A2941" s="2">
        <v>1859</v>
      </c>
      <c r="B2941" t="s">
        <v>8269</v>
      </c>
      <c r="C2941" t="s">
        <v>1450</v>
      </c>
      <c r="D2941" t="s">
        <v>3737</v>
      </c>
      <c r="E2941" s="4">
        <v>43465</v>
      </c>
      <c r="F2941" s="11">
        <v>-41.964518949999999</v>
      </c>
      <c r="G2941" s="11">
        <v>-16.81818182</v>
      </c>
      <c r="H2941" s="11">
        <v>37.883422208200003</v>
      </c>
      <c r="I2941" s="11">
        <v>65.931037219399997</v>
      </c>
      <c r="J2941" s="11">
        <v>15.7939010439</v>
      </c>
      <c r="K2941" s="10">
        <v>0.307216890347</v>
      </c>
      <c r="L2941" s="12">
        <v>3167753938.2800002</v>
      </c>
      <c r="M2941">
        <v>24.3549025815656</v>
      </c>
      <c r="N2941" s="7">
        <v>1.9039547448673699</v>
      </c>
      <c r="O2941" s="7">
        <v>3.5558403010173798</v>
      </c>
      <c r="P2941" s="7">
        <v>25.756474132336798</v>
      </c>
      <c r="Q2941" s="7">
        <v>1.1510791366906474</v>
      </c>
      <c r="U2941">
        <v>0.3712647238089048</v>
      </c>
      <c r="AT2941" s="4" t="s">
        <v>4315</v>
      </c>
    </row>
    <row r="2942" spans="1:46">
      <c r="A2942" s="2">
        <v>2313</v>
      </c>
      <c r="B2942" t="s">
        <v>8270</v>
      </c>
      <c r="C2942" t="s">
        <v>2715</v>
      </c>
      <c r="D2942" t="s">
        <v>4119</v>
      </c>
      <c r="E2942" s="4">
        <v>43465</v>
      </c>
      <c r="F2942" s="11">
        <v>-65.200764820000003</v>
      </c>
      <c r="G2942" s="11">
        <v>-16.81818182</v>
      </c>
      <c r="H2942" s="11">
        <v>-18.6316414034</v>
      </c>
      <c r="I2942" s="11">
        <v>11.204767029899999</v>
      </c>
      <c r="J2942" s="11">
        <v>-24.088688127400001</v>
      </c>
      <c r="K2942" s="10">
        <v>0.30036284923599998</v>
      </c>
      <c r="L2942" s="12">
        <v>7804157403.5</v>
      </c>
      <c r="M2942">
        <v>27.260864158247202</v>
      </c>
      <c r="N2942" s="7">
        <v>0.86212593168485396</v>
      </c>
      <c r="O2942" s="7">
        <v>1.2582424935270899</v>
      </c>
      <c r="P2942" s="7">
        <v>-4.6150099822768098</v>
      </c>
      <c r="Q2942" s="7" t="s">
        <v>3698</v>
      </c>
      <c r="U2942">
        <v>-0.30656293434700516</v>
      </c>
      <c r="AT2942" s="4" t="s">
        <v>8083</v>
      </c>
    </row>
    <row r="2943" spans="1:46">
      <c r="A2943" s="2">
        <v>2626</v>
      </c>
      <c r="B2943" t="s">
        <v>8271</v>
      </c>
      <c r="C2943" t="s">
        <v>3652</v>
      </c>
      <c r="D2943" t="s">
        <v>3761</v>
      </c>
      <c r="E2943" s="4">
        <v>43465</v>
      </c>
      <c r="F2943" s="11">
        <v>-50.641025640000002</v>
      </c>
      <c r="G2943" s="11">
        <v>-16.847826090000002</v>
      </c>
      <c r="H2943" s="11">
        <v>-27.040664985900001</v>
      </c>
      <c r="I2943" s="11">
        <v>12.085462698800001</v>
      </c>
      <c r="J2943" s="11">
        <v>-26.359014902999998</v>
      </c>
      <c r="K2943" s="10">
        <v>0.389359295258</v>
      </c>
      <c r="L2943" s="12">
        <v>12343556000</v>
      </c>
      <c r="M2943">
        <v>-31.345372003533601</v>
      </c>
      <c r="N2943" s="7">
        <v>8.6047363787245903</v>
      </c>
      <c r="O2943" s="7">
        <v>1.66248998207257</v>
      </c>
      <c r="P2943" s="7">
        <v>-6.2804983612872398</v>
      </c>
      <c r="Q2943" s="7" t="s">
        <v>3698</v>
      </c>
      <c r="U2943">
        <v>-0.44338620649516103</v>
      </c>
      <c r="AT2943" s="4" t="s">
        <v>5928</v>
      </c>
    </row>
    <row r="2944" spans="1:46">
      <c r="A2944" s="2">
        <v>1672</v>
      </c>
      <c r="B2944" t="s">
        <v>8272</v>
      </c>
      <c r="C2944" t="s">
        <v>2216</v>
      </c>
      <c r="D2944" t="s">
        <v>3977</v>
      </c>
      <c r="E2944" s="4">
        <v>43465</v>
      </c>
      <c r="F2944" s="11">
        <v>-49.356380180000002</v>
      </c>
      <c r="G2944" s="11">
        <v>-16.909620990000001</v>
      </c>
      <c r="H2944" s="11">
        <v>-12.7003843074</v>
      </c>
      <c r="I2944" s="11">
        <v>24.399878273399999</v>
      </c>
      <c r="J2944" s="11">
        <v>-74.239622545100005</v>
      </c>
      <c r="K2944" s="10">
        <v>0.417971918725</v>
      </c>
      <c r="L2944" s="12">
        <v>145951319941.01999</v>
      </c>
      <c r="M2944">
        <v>36.865518970283702</v>
      </c>
      <c r="N2944" s="7">
        <v>2.2757333972359302</v>
      </c>
      <c r="O2944" s="7">
        <v>2.33066716122095</v>
      </c>
      <c r="P2944" s="7">
        <v>-16.682698727538899</v>
      </c>
      <c r="Q2944" s="7" t="s">
        <v>3698</v>
      </c>
      <c r="U2944">
        <v>-0.97219266892678635</v>
      </c>
      <c r="AT2944" s="4" t="s">
        <v>5889</v>
      </c>
    </row>
    <row r="2945" spans="1:46">
      <c r="A2945" s="2">
        <v>1095</v>
      </c>
      <c r="B2945" t="s">
        <v>8273</v>
      </c>
      <c r="C2945" t="s">
        <v>2632</v>
      </c>
      <c r="D2945" t="s">
        <v>3752</v>
      </c>
      <c r="E2945" s="4">
        <v>43465</v>
      </c>
      <c r="F2945" s="11">
        <v>-71.964679910000001</v>
      </c>
      <c r="G2945" s="11">
        <v>-16.915422889999999</v>
      </c>
      <c r="H2945" s="11">
        <v>4.2245652907000002</v>
      </c>
      <c r="I2945" s="11">
        <v>15.6723646188</v>
      </c>
      <c r="J2945" s="11">
        <v>1.9068270373</v>
      </c>
      <c r="K2945" s="10">
        <v>1.1497802644499999</v>
      </c>
      <c r="L2945" s="12">
        <v>7471016727.04</v>
      </c>
      <c r="M2945">
        <v>48.940691589193101</v>
      </c>
      <c r="N2945" s="7">
        <v>2.6021649677469698</v>
      </c>
      <c r="O2945" s="7">
        <v>1.0049884870596799</v>
      </c>
      <c r="P2945" s="7">
        <v>31.701822262743601</v>
      </c>
      <c r="Q2945" s="7" t="s">
        <v>3698</v>
      </c>
      <c r="U2945">
        <v>0.12473535505126343</v>
      </c>
      <c r="AT2945" s="4" t="s">
        <v>6835</v>
      </c>
    </row>
    <row r="2946" spans="1:46">
      <c r="A2946" s="2">
        <v>3268</v>
      </c>
      <c r="B2946" t="s">
        <v>8274</v>
      </c>
      <c r="C2946" t="s">
        <v>101</v>
      </c>
      <c r="D2946" t="s">
        <v>3889</v>
      </c>
      <c r="E2946" s="4">
        <v>43465</v>
      </c>
      <c r="F2946" s="11">
        <v>-6.08741837</v>
      </c>
      <c r="G2946" s="11">
        <v>-17.040358739999999</v>
      </c>
      <c r="H2946" s="11">
        <v>8.2181005460000005</v>
      </c>
      <c r="I2946" s="11">
        <v>21.0588047647</v>
      </c>
      <c r="J2946" s="11">
        <v>11.7705411512</v>
      </c>
      <c r="K2946" s="10">
        <v>0.86851194791200004</v>
      </c>
      <c r="L2946" s="12">
        <v>4164189424.73</v>
      </c>
      <c r="M2946">
        <v>35.0180886850695</v>
      </c>
      <c r="N2946" s="7">
        <v>4.6452475063313203</v>
      </c>
      <c r="O2946" s="7">
        <v>3.6232121898892902</v>
      </c>
      <c r="P2946" s="7">
        <v>-16.5311951520215</v>
      </c>
      <c r="Q2946" s="7">
        <v>1.1692597831211693</v>
      </c>
      <c r="T2946" s="2"/>
      <c r="U2946">
        <v>0.70791822403973514</v>
      </c>
      <c r="AT2946" s="4" t="s">
        <v>8275</v>
      </c>
    </row>
    <row r="2947" spans="1:46">
      <c r="A2947" s="2">
        <v>1589</v>
      </c>
      <c r="B2947" t="s">
        <v>8276</v>
      </c>
      <c r="C2947" t="s">
        <v>2918</v>
      </c>
      <c r="D2947" t="s">
        <v>3778</v>
      </c>
      <c r="E2947" s="4">
        <v>43465</v>
      </c>
      <c r="F2947" s="11">
        <v>-16.556591600000001</v>
      </c>
      <c r="G2947" s="11">
        <v>-17.041800640000002</v>
      </c>
      <c r="H2947" s="11">
        <v>95.088835419099993</v>
      </c>
      <c r="I2947" s="11">
        <v>36.359404647799998</v>
      </c>
      <c r="J2947" s="11">
        <v>9.1607452580000004</v>
      </c>
      <c r="K2947" s="10">
        <v>0.56541126639399997</v>
      </c>
      <c r="L2947" s="12">
        <v>2193000000</v>
      </c>
      <c r="M2947">
        <v>26.063554484359599</v>
      </c>
      <c r="N2947" s="7">
        <v>3.3469187323884202</v>
      </c>
      <c r="O2947" s="7">
        <v>1.8700228430175401</v>
      </c>
      <c r="P2947" s="7">
        <v>274.407075384579</v>
      </c>
      <c r="Q2947" s="7">
        <v>2.0576131687242802</v>
      </c>
      <c r="U2947">
        <v>0.2296368815690884</v>
      </c>
      <c r="AT2947" s="4" t="s">
        <v>4087</v>
      </c>
    </row>
    <row r="2948" spans="1:46">
      <c r="A2948" s="2">
        <v>1276</v>
      </c>
      <c r="B2948" t="s">
        <v>8277</v>
      </c>
      <c r="C2948" t="s">
        <v>722</v>
      </c>
      <c r="D2948" t="s">
        <v>3972</v>
      </c>
      <c r="E2948" s="4">
        <v>43465</v>
      </c>
      <c r="F2948" s="11">
        <v>-40.279944049999997</v>
      </c>
      <c r="G2948" s="11">
        <v>-17.061143980000001</v>
      </c>
      <c r="H2948" s="11">
        <v>7.2782119622000003</v>
      </c>
      <c r="I2948" s="11">
        <v>8.7998255274999995</v>
      </c>
      <c r="J2948" s="11">
        <v>1.7699109732</v>
      </c>
      <c r="K2948" s="10">
        <v>0.45208074356900002</v>
      </c>
      <c r="L2948" s="12">
        <v>2291351408.4000001</v>
      </c>
      <c r="M2948">
        <v>-1125.4145635847699</v>
      </c>
      <c r="N2948" s="7">
        <v>2.8266588278970701</v>
      </c>
      <c r="O2948" s="7">
        <v>0.63772013263546401</v>
      </c>
      <c r="P2948" s="7">
        <v>-6.5165242814992101</v>
      </c>
      <c r="Q2948" s="7">
        <v>0.5662650602409639</v>
      </c>
      <c r="U2948">
        <v>0.27352691458634892</v>
      </c>
      <c r="AT2948" s="4" t="s">
        <v>4557</v>
      </c>
    </row>
    <row r="2949" spans="1:46">
      <c r="A2949" s="2">
        <v>3575</v>
      </c>
      <c r="B2949" t="s">
        <v>8278</v>
      </c>
      <c r="C2949" t="s">
        <v>500</v>
      </c>
      <c r="D2949" t="s">
        <v>3728</v>
      </c>
      <c r="E2949" s="4">
        <v>43465</v>
      </c>
      <c r="F2949" s="11">
        <v>-39.126976480000003</v>
      </c>
      <c r="G2949" s="11">
        <v>-17.08355508</v>
      </c>
      <c r="H2949" s="11">
        <v>7.7811898974</v>
      </c>
      <c r="I2949" s="11">
        <v>53.427919490400001</v>
      </c>
      <c r="J2949" s="11">
        <v>7.2651347646</v>
      </c>
      <c r="K2949" s="10">
        <v>1.2037939895259999</v>
      </c>
      <c r="L2949" s="12">
        <v>8936557817.9899998</v>
      </c>
      <c r="M2949">
        <v>23.201634936745201</v>
      </c>
      <c r="N2949" s="7">
        <v>2.55254383376323</v>
      </c>
      <c r="O2949" s="7">
        <v>1.17176725293874</v>
      </c>
      <c r="P2949" s="7">
        <v>-24.252399180287899</v>
      </c>
      <c r="Q2949" s="7">
        <v>7.1099585490735624</v>
      </c>
      <c r="U2949">
        <v>1.1888262104342027</v>
      </c>
      <c r="AT2949" s="4" t="s">
        <v>8279</v>
      </c>
    </row>
    <row r="2950" spans="1:46">
      <c r="A2950" s="2">
        <v>883</v>
      </c>
      <c r="B2950" t="s">
        <v>8280</v>
      </c>
      <c r="C2950" t="s">
        <v>688</v>
      </c>
      <c r="D2950" t="s">
        <v>3998</v>
      </c>
      <c r="E2950" s="4">
        <v>43465</v>
      </c>
      <c r="F2950" s="11">
        <v>20.692101659999999</v>
      </c>
      <c r="G2950" s="11">
        <v>-17.085751129999998</v>
      </c>
      <c r="H2950" s="11">
        <v>17.078828705999999</v>
      </c>
      <c r="I2950" s="11">
        <v>46.772322911700002</v>
      </c>
      <c r="J2950" s="11">
        <v>21.427585213499999</v>
      </c>
      <c r="K2950" s="10">
        <v>1.0371192091929999</v>
      </c>
      <c r="L2950" s="12">
        <v>1808803175</v>
      </c>
      <c r="M2950">
        <v>22.822405854986201</v>
      </c>
      <c r="N2950" s="7">
        <v>5.5793922524688497</v>
      </c>
      <c r="O2950" s="7">
        <v>4.7345337002575496</v>
      </c>
      <c r="P2950" s="7">
        <v>-537.74359498300305</v>
      </c>
      <c r="Q2950" s="7">
        <v>4.0916530278232406</v>
      </c>
      <c r="U2950">
        <v>0.74629167533133356</v>
      </c>
      <c r="AT2950" s="4" t="s">
        <v>4429</v>
      </c>
    </row>
    <row r="2951" spans="1:46">
      <c r="A2951" s="2">
        <v>280</v>
      </c>
      <c r="B2951" t="s">
        <v>8281</v>
      </c>
      <c r="C2951" t="s">
        <v>2654</v>
      </c>
      <c r="D2951" t="s">
        <v>3764</v>
      </c>
      <c r="E2951" s="4">
        <v>43465</v>
      </c>
      <c r="F2951" s="11">
        <v>-36.231884059999999</v>
      </c>
      <c r="G2951" s="11">
        <v>-17.11111111</v>
      </c>
      <c r="H2951" s="11">
        <v>3.9526383948000001</v>
      </c>
      <c r="I2951" s="11">
        <v>9.1865365098999998</v>
      </c>
      <c r="J2951" s="11">
        <v>5.3754016692000004</v>
      </c>
      <c r="K2951" s="10">
        <v>0.80989879010700006</v>
      </c>
      <c r="L2951" s="12">
        <v>8770656703.1700001</v>
      </c>
      <c r="M2951">
        <v>-176.04467197986199</v>
      </c>
      <c r="N2951" s="7">
        <v>5.49158493571636</v>
      </c>
      <c r="O2951" s="7">
        <v>1.5320790714329</v>
      </c>
      <c r="P2951" s="7">
        <v>7.1520228830659898</v>
      </c>
      <c r="Q2951" s="7" t="s">
        <v>3698</v>
      </c>
      <c r="U2951">
        <v>0.16436954748348576</v>
      </c>
      <c r="AT2951" s="4" t="s">
        <v>8282</v>
      </c>
    </row>
    <row r="2952" spans="1:46">
      <c r="A2952" s="2">
        <v>2227</v>
      </c>
      <c r="B2952" t="s">
        <v>8283</v>
      </c>
      <c r="C2952" t="s">
        <v>2727</v>
      </c>
      <c r="D2952" t="s">
        <v>3737</v>
      </c>
      <c r="E2952" s="4">
        <v>43465</v>
      </c>
      <c r="F2952" s="11">
        <v>-25.500583880000001</v>
      </c>
      <c r="G2952" s="11">
        <v>-17.178770950000001</v>
      </c>
      <c r="H2952" s="11">
        <v>-1.5876191086</v>
      </c>
      <c r="I2952" s="11">
        <v>68.286172172799994</v>
      </c>
      <c r="J2952" s="11">
        <v>4.9502709829000002</v>
      </c>
      <c r="K2952" s="10">
        <v>0.43911156159199999</v>
      </c>
      <c r="L2952" s="12">
        <v>1734816400</v>
      </c>
      <c r="M2952">
        <v>66.776446440303204</v>
      </c>
      <c r="N2952" s="7">
        <v>1.5088977444368901</v>
      </c>
      <c r="O2952" s="7">
        <v>3.5410792424117798</v>
      </c>
      <c r="P2952" s="7">
        <v>17.8480442999915</v>
      </c>
      <c r="Q2952" s="7">
        <v>0.68728522336769771</v>
      </c>
      <c r="U2952">
        <v>0.10266558619848348</v>
      </c>
      <c r="AT2952" s="4" t="s">
        <v>7366</v>
      </c>
    </row>
    <row r="2953" spans="1:46">
      <c r="A2953" s="2">
        <v>1548</v>
      </c>
      <c r="B2953" t="s">
        <v>8284</v>
      </c>
      <c r="C2953" t="s">
        <v>2758</v>
      </c>
      <c r="D2953" t="s">
        <v>4046</v>
      </c>
      <c r="E2953" s="4">
        <v>43465</v>
      </c>
      <c r="F2953" s="11">
        <v>13.680487960000001</v>
      </c>
      <c r="G2953" s="11">
        <v>-17.19605696</v>
      </c>
      <c r="H2953" s="11">
        <v>34.819887136399998</v>
      </c>
      <c r="I2953" s="11">
        <v>34.1729756282</v>
      </c>
      <c r="J2953" s="11">
        <v>11.958861538800001</v>
      </c>
      <c r="K2953" s="10">
        <v>0.20435157351399999</v>
      </c>
      <c r="L2953" s="12">
        <v>5115728386.6599998</v>
      </c>
      <c r="M2953">
        <v>37.131830677989299</v>
      </c>
      <c r="N2953" s="7">
        <v>2.3871516645487199</v>
      </c>
      <c r="O2953" s="7">
        <v>3.5234600600557</v>
      </c>
      <c r="P2953" s="7">
        <v>30.692986404840301</v>
      </c>
      <c r="Q2953" s="7">
        <v>0.29505985517485217</v>
      </c>
      <c r="U2953">
        <v>0.28481961350551921</v>
      </c>
      <c r="AT2953" s="4" t="s">
        <v>4656</v>
      </c>
    </row>
    <row r="2954" spans="1:46">
      <c r="A2954" s="2">
        <v>1364</v>
      </c>
      <c r="B2954" t="s">
        <v>8285</v>
      </c>
      <c r="C2954" t="s">
        <v>1588</v>
      </c>
      <c r="D2954" t="s">
        <v>3737</v>
      </c>
      <c r="E2954" s="4">
        <v>43465</v>
      </c>
      <c r="F2954" s="11">
        <v>-3.5964041500000001</v>
      </c>
      <c r="G2954" s="11">
        <v>-17.204638039999999</v>
      </c>
      <c r="H2954" s="11">
        <v>29.8988264338</v>
      </c>
      <c r="I2954" s="11">
        <v>71.148506323000007</v>
      </c>
      <c r="J2954" s="11">
        <v>13.215277089700001</v>
      </c>
      <c r="K2954" s="10">
        <v>0.62319773935900002</v>
      </c>
      <c r="L2954" s="12">
        <v>2822112000</v>
      </c>
      <c r="M2954">
        <v>68.902506781788702</v>
      </c>
      <c r="N2954" s="7">
        <v>4.5219925290078802</v>
      </c>
      <c r="O2954" s="7">
        <v>6.2556435321084303</v>
      </c>
      <c r="P2954" s="7">
        <v>-74.588759532969604</v>
      </c>
      <c r="Q2954" s="7">
        <v>0.39888312724371761</v>
      </c>
      <c r="U2954">
        <v>0.74630073277950848</v>
      </c>
      <c r="AT2954" s="4" t="s">
        <v>4882</v>
      </c>
    </row>
    <row r="2955" spans="1:46">
      <c r="A2955" s="2">
        <v>3565</v>
      </c>
      <c r="B2955" t="s">
        <v>8286</v>
      </c>
      <c r="C2955" t="s">
        <v>1029</v>
      </c>
      <c r="D2955" t="s">
        <v>3998</v>
      </c>
      <c r="E2955" s="4">
        <v>43465</v>
      </c>
      <c r="F2955" s="11">
        <v>-32.714946900000001</v>
      </c>
      <c r="G2955" s="11">
        <v>-17.235901510000001</v>
      </c>
      <c r="H2955" s="11">
        <v>8.6956385340000004</v>
      </c>
      <c r="I2955" s="11">
        <v>22.581760281800001</v>
      </c>
      <c r="J2955" s="11">
        <v>9.4344485523999992</v>
      </c>
      <c r="K2955" s="10">
        <v>0.90655015801000005</v>
      </c>
      <c r="L2955" s="12">
        <v>3820914511.4400001</v>
      </c>
      <c r="M2955">
        <v>28.379262201764799</v>
      </c>
      <c r="N2955" s="7">
        <v>2.0815047346053701</v>
      </c>
      <c r="O2955" s="7">
        <v>1.85252726023587</v>
      </c>
      <c r="P2955" s="7">
        <v>24.144348490306601</v>
      </c>
      <c r="Q2955" s="7">
        <v>1.8507157464212678</v>
      </c>
      <c r="U2955">
        <v>0.6024891687134819</v>
      </c>
      <c r="AT2955" s="4" t="s">
        <v>5016</v>
      </c>
    </row>
    <row r="2956" spans="1:46">
      <c r="A2956" s="2">
        <v>1013</v>
      </c>
      <c r="B2956" t="s">
        <v>8287</v>
      </c>
      <c r="C2956" t="s">
        <v>2968</v>
      </c>
      <c r="D2956" t="s">
        <v>3889</v>
      </c>
      <c r="E2956" s="4">
        <v>43465</v>
      </c>
      <c r="F2956" s="11">
        <v>-63.173865200000002</v>
      </c>
      <c r="G2956" s="11">
        <v>-17.25888325</v>
      </c>
      <c r="H2956" s="11">
        <v>3.410785089</v>
      </c>
      <c r="I2956" s="11">
        <v>33.245507058500003</v>
      </c>
      <c r="J2956" s="11">
        <v>-170.08569010439999</v>
      </c>
      <c r="K2956" s="10">
        <v>0.24159489743199999</v>
      </c>
      <c r="L2956" s="12">
        <v>2521498278.8800001</v>
      </c>
      <c r="M2956">
        <v>43.872314048045801</v>
      </c>
      <c r="N2956" s="7">
        <v>2.0740654934388298</v>
      </c>
      <c r="O2956" s="7">
        <v>14.7449776165919</v>
      </c>
      <c r="P2956" s="7">
        <v>-13.7075868964682</v>
      </c>
      <c r="Q2956" s="7" t="s">
        <v>3698</v>
      </c>
      <c r="U2956">
        <v>-1.4850638577647952</v>
      </c>
      <c r="AT2956" s="4" t="s">
        <v>7077</v>
      </c>
    </row>
    <row r="2957" spans="1:46">
      <c r="A2957" s="2">
        <v>1519</v>
      </c>
      <c r="B2957" t="s">
        <v>8288</v>
      </c>
      <c r="C2957" t="s">
        <v>315</v>
      </c>
      <c r="D2957" t="s">
        <v>3781</v>
      </c>
      <c r="E2957" s="4">
        <v>43465</v>
      </c>
      <c r="F2957" s="11">
        <v>-38.262691779999997</v>
      </c>
      <c r="G2957" s="11">
        <v>-17.28880157</v>
      </c>
      <c r="H2957" s="11">
        <v>15.673885973300001</v>
      </c>
      <c r="I2957" s="11">
        <v>13.804256410600001</v>
      </c>
      <c r="J2957" s="11">
        <v>4.8717947637999997</v>
      </c>
      <c r="K2957" s="10">
        <v>1.0702966453239999</v>
      </c>
      <c r="L2957" s="12">
        <v>12293766420.299999</v>
      </c>
      <c r="M2957">
        <v>22.518248738101899</v>
      </c>
      <c r="N2957" s="7">
        <v>1.83904584547367</v>
      </c>
      <c r="O2957" s="7">
        <v>0.87726084890018496</v>
      </c>
      <c r="P2957" s="7">
        <v>-51.685273716942703</v>
      </c>
      <c r="Q2957" s="7">
        <v>0.72639225181598066</v>
      </c>
      <c r="U2957">
        <v>0.2948958810657985</v>
      </c>
      <c r="AT2957" s="4" t="s">
        <v>4175</v>
      </c>
    </row>
    <row r="2958" spans="1:46">
      <c r="A2958" s="2">
        <v>1686</v>
      </c>
      <c r="B2958" t="s">
        <v>8289</v>
      </c>
      <c r="C2958" t="s">
        <v>3146</v>
      </c>
      <c r="D2958" t="s">
        <v>3752</v>
      </c>
      <c r="E2958" s="4">
        <v>43465</v>
      </c>
      <c r="F2958" s="11">
        <v>-23.996526920000001</v>
      </c>
      <c r="G2958" s="11">
        <v>-17.315175100000001</v>
      </c>
      <c r="H2958" s="11">
        <v>49.495392523299998</v>
      </c>
      <c r="I2958" s="11">
        <v>28.515860797199998</v>
      </c>
      <c r="J2958" s="11">
        <v>10.2139646759</v>
      </c>
      <c r="K2958" s="10">
        <v>0.529617459437</v>
      </c>
      <c r="L2958" s="12">
        <v>3379093009.7399998</v>
      </c>
      <c r="M2958">
        <v>36.200706332497901</v>
      </c>
      <c r="N2958" s="7">
        <v>3.0680916427182199</v>
      </c>
      <c r="O2958" s="7">
        <v>2.98341724961828</v>
      </c>
      <c r="P2958" s="7">
        <v>9.3044065248270407</v>
      </c>
      <c r="Q2958" s="7">
        <v>1.2376237623762376</v>
      </c>
      <c r="U2958">
        <v>0.1667420883169122</v>
      </c>
      <c r="AT2958" s="4" t="s">
        <v>5285</v>
      </c>
    </row>
    <row r="2959" spans="1:46">
      <c r="A2959" s="2">
        <v>217</v>
      </c>
      <c r="B2959" t="s">
        <v>8290</v>
      </c>
      <c r="C2959" t="s">
        <v>3534</v>
      </c>
      <c r="D2959" t="s">
        <v>3871</v>
      </c>
      <c r="E2959" s="4">
        <v>43465</v>
      </c>
      <c r="F2959" s="11">
        <v>-54.29235731</v>
      </c>
      <c r="G2959" s="11">
        <v>-17.32580038</v>
      </c>
      <c r="H2959" s="11">
        <v>3.3460864063</v>
      </c>
      <c r="I2959" s="11">
        <v>29.504290146399999</v>
      </c>
      <c r="J2959" s="11">
        <v>4.4343086548999997</v>
      </c>
      <c r="K2959" s="10">
        <v>0.26945484628900002</v>
      </c>
      <c r="L2959" s="12">
        <v>22617600000</v>
      </c>
      <c r="M2959">
        <v>11.9436566143777</v>
      </c>
      <c r="N2959" s="7">
        <v>2.1724385199140799</v>
      </c>
      <c r="O2959" s="7">
        <v>1.17401588047037</v>
      </c>
      <c r="P2959" s="7">
        <v>5.35489210871284</v>
      </c>
      <c r="Q2959" s="7" t="s">
        <v>3698</v>
      </c>
      <c r="U2959">
        <v>0.20081446991800944</v>
      </c>
      <c r="AT2959" s="4" t="s">
        <v>8291</v>
      </c>
    </row>
    <row r="2960" spans="1:46">
      <c r="A2960" s="2">
        <v>3483</v>
      </c>
      <c r="B2960" t="s">
        <v>8292</v>
      </c>
      <c r="C2960" t="s">
        <v>1515</v>
      </c>
      <c r="D2960" t="s">
        <v>3728</v>
      </c>
      <c r="E2960" s="4">
        <v>43465</v>
      </c>
      <c r="F2960" s="11">
        <v>-32.022870269999999</v>
      </c>
      <c r="G2960" s="11">
        <v>-17.338403039999999</v>
      </c>
      <c r="H2960" s="11">
        <v>18.002767908100001</v>
      </c>
      <c r="I2960" s="11">
        <v>28.903002724499999</v>
      </c>
      <c r="J2960" s="11">
        <v>9.4141540260000003</v>
      </c>
      <c r="K2960" s="10">
        <v>0.72997759304400001</v>
      </c>
      <c r="L2960" s="12">
        <v>3292752262.8000002</v>
      </c>
      <c r="M2960">
        <v>39.042549516985702</v>
      </c>
      <c r="N2960" s="7">
        <v>2.8403142705739599</v>
      </c>
      <c r="O2960" s="7">
        <v>3.1171447329375099</v>
      </c>
      <c r="P2960" s="7">
        <v>52.877838055001398</v>
      </c>
      <c r="Q2960" s="7">
        <v>0.97799511002444983</v>
      </c>
      <c r="U2960">
        <v>0.83566953860000004</v>
      </c>
      <c r="AT2960" s="4" t="s">
        <v>7288</v>
      </c>
    </row>
    <row r="2961" spans="1:46">
      <c r="A2961" s="2">
        <v>1932</v>
      </c>
      <c r="B2961" t="s">
        <v>8293</v>
      </c>
      <c r="C2961" t="s">
        <v>636</v>
      </c>
      <c r="D2961" t="s">
        <v>3849</v>
      </c>
      <c r="E2961" s="4">
        <v>43465</v>
      </c>
      <c r="F2961" s="11">
        <v>-5.3121602299999999</v>
      </c>
      <c r="G2961" s="11">
        <v>-17.437097720000001</v>
      </c>
      <c r="H2961" s="11">
        <v>10.8190117521</v>
      </c>
      <c r="I2961" s="11">
        <v>27.8813818916</v>
      </c>
      <c r="J2961" s="11">
        <v>14.2649837386</v>
      </c>
      <c r="K2961" s="10">
        <v>0.60072132503099995</v>
      </c>
      <c r="L2961" s="12">
        <v>2305600000</v>
      </c>
      <c r="M2961">
        <v>24.9760293377267</v>
      </c>
      <c r="N2961" s="7">
        <v>2.2003020445330801</v>
      </c>
      <c r="O2961" s="7">
        <v>3.3191036269110898</v>
      </c>
      <c r="P2961" s="7">
        <v>-70.3673964968348</v>
      </c>
      <c r="Q2961" s="7">
        <v>0.72872253510646356</v>
      </c>
      <c r="U2961">
        <v>0.71059384678316639</v>
      </c>
      <c r="AT2961" s="4" t="s">
        <v>8294</v>
      </c>
    </row>
    <row r="2962" spans="1:46">
      <c r="A2962" s="2">
        <v>3031</v>
      </c>
      <c r="B2962" t="s">
        <v>8295</v>
      </c>
      <c r="C2962" t="s">
        <v>2182</v>
      </c>
      <c r="D2962" t="s">
        <v>3778</v>
      </c>
      <c r="E2962" s="4">
        <v>43465</v>
      </c>
      <c r="F2962" s="11">
        <v>-48.759858719999997</v>
      </c>
      <c r="G2962" s="11">
        <v>-17.454545450000001</v>
      </c>
      <c r="H2962" s="11">
        <v>21.280208334699999</v>
      </c>
      <c r="I2962" s="11">
        <v>27.074779233299999</v>
      </c>
      <c r="J2962" s="11">
        <v>9.3295123488999998</v>
      </c>
      <c r="K2962" s="10">
        <v>0.33623228439000002</v>
      </c>
      <c r="L2962" s="12">
        <v>2091507154.03</v>
      </c>
      <c r="M2962">
        <v>34.819385861200303</v>
      </c>
      <c r="N2962" s="7">
        <v>1.47895362778606</v>
      </c>
      <c r="O2962" s="7">
        <v>2.5194078996583702</v>
      </c>
      <c r="P2962" s="7">
        <v>-28.870988597374001</v>
      </c>
      <c r="Q2962" s="7" t="s">
        <v>3698</v>
      </c>
      <c r="U2962">
        <v>0.21265559717079396</v>
      </c>
      <c r="AT2962" s="4" t="s">
        <v>8296</v>
      </c>
    </row>
    <row r="2963" spans="1:46">
      <c r="A2963" s="2">
        <v>1903</v>
      </c>
      <c r="B2963" t="s">
        <v>8297</v>
      </c>
      <c r="C2963" t="s">
        <v>3202</v>
      </c>
      <c r="D2963" t="s">
        <v>3769</v>
      </c>
      <c r="E2963" s="4">
        <v>43465</v>
      </c>
      <c r="F2963" s="11">
        <v>-46.288317849999999</v>
      </c>
      <c r="G2963" s="11">
        <v>-17.464788729999999</v>
      </c>
      <c r="H2963" s="11">
        <v>30.951450848</v>
      </c>
      <c r="I2963" s="11">
        <v>18.189609821200001</v>
      </c>
      <c r="J2963" s="11">
        <v>2.4167469049000001</v>
      </c>
      <c r="K2963" s="10">
        <v>0.688272594174</v>
      </c>
      <c r="L2963" s="12">
        <v>4094006564.8299999</v>
      </c>
      <c r="M2963">
        <v>36.6364359799799</v>
      </c>
      <c r="N2963" s="7">
        <v>3.2209284799080802</v>
      </c>
      <c r="O2963" s="7">
        <v>2.1688991538016</v>
      </c>
      <c r="P2963" s="7">
        <v>-14.1503324414867</v>
      </c>
      <c r="Q2963" s="7">
        <v>0.69955156950672648</v>
      </c>
      <c r="U2963">
        <v>0.16719859741223464</v>
      </c>
      <c r="AT2963" s="4" t="s">
        <v>4089</v>
      </c>
    </row>
    <row r="2964" spans="1:46">
      <c r="A2964" s="2">
        <v>1272</v>
      </c>
      <c r="B2964" t="s">
        <v>8298</v>
      </c>
      <c r="C2964" t="s">
        <v>1286</v>
      </c>
      <c r="D2964" t="s">
        <v>3849</v>
      </c>
      <c r="E2964" s="4">
        <v>43465</v>
      </c>
      <c r="F2964" s="11">
        <v>-40.39918488</v>
      </c>
      <c r="G2964" s="11">
        <v>-17.467948719999999</v>
      </c>
      <c r="H2964" s="11">
        <v>-28.629163437100001</v>
      </c>
      <c r="I2964" s="11">
        <v>17.3760314978</v>
      </c>
      <c r="J2964" s="11">
        <v>0.3329734741</v>
      </c>
      <c r="K2964" s="10">
        <v>0.35078328725199998</v>
      </c>
      <c r="L2964" s="12">
        <v>3359738379.0100002</v>
      </c>
      <c r="M2964">
        <v>47.816634901553698</v>
      </c>
      <c r="N2964" s="7">
        <v>2.1238756704947401</v>
      </c>
      <c r="O2964" s="7">
        <v>2.29673776485118</v>
      </c>
      <c r="P2964" s="7">
        <v>-13.2670503070121</v>
      </c>
      <c r="Q2964" s="7" t="s">
        <v>3698</v>
      </c>
      <c r="U2964">
        <v>6.5625498455316707E-3</v>
      </c>
      <c r="AT2964" s="4" t="s">
        <v>5294</v>
      </c>
    </row>
    <row r="2965" spans="1:46">
      <c r="A2965" s="2">
        <v>1527</v>
      </c>
      <c r="B2965" t="s">
        <v>8299</v>
      </c>
      <c r="C2965" t="s">
        <v>1577</v>
      </c>
      <c r="D2965" t="s">
        <v>3721</v>
      </c>
      <c r="E2965" s="4">
        <v>43465</v>
      </c>
      <c r="F2965" s="11">
        <v>-52.434023230000001</v>
      </c>
      <c r="G2965" s="11">
        <v>-17.495711839999998</v>
      </c>
      <c r="H2965" s="11">
        <v>-8.9115300987000001</v>
      </c>
      <c r="I2965" s="11">
        <v>29.1725913635</v>
      </c>
      <c r="J2965" s="11">
        <v>17.481901635</v>
      </c>
      <c r="K2965" s="10">
        <v>0.17646038027300001</v>
      </c>
      <c r="L2965" s="12">
        <v>4157736686.5999999</v>
      </c>
      <c r="M2965">
        <v>55.773195887720298</v>
      </c>
      <c r="N2965" s="7">
        <v>1.45289813320026</v>
      </c>
      <c r="O2965" s="7">
        <v>3.9760964745343998</v>
      </c>
      <c r="P2965" s="7">
        <v>13.731944216019601</v>
      </c>
      <c r="Q2965" s="7">
        <v>0.61576354679802969</v>
      </c>
      <c r="U2965">
        <v>0.25011796554949428</v>
      </c>
      <c r="AT2965" s="4" t="s">
        <v>5635</v>
      </c>
    </row>
    <row r="2966" spans="1:46">
      <c r="A2966" s="2">
        <v>1546</v>
      </c>
      <c r="B2966" t="s">
        <v>8300</v>
      </c>
      <c r="C2966" t="s">
        <v>113</v>
      </c>
      <c r="D2966" t="s">
        <v>3752</v>
      </c>
      <c r="E2966" s="4">
        <v>43465</v>
      </c>
      <c r="F2966" s="11">
        <v>-35.630391029999998</v>
      </c>
      <c r="G2966" s="11">
        <v>-17.564402810000001</v>
      </c>
      <c r="H2966" s="11">
        <v>27.1169641788</v>
      </c>
      <c r="I2966" s="11">
        <v>32.5399138983</v>
      </c>
      <c r="J2966" s="11">
        <v>17.639851828400001</v>
      </c>
      <c r="K2966" s="10">
        <v>1.1179903163039999</v>
      </c>
      <c r="L2966" s="12">
        <v>5286905081.1000004</v>
      </c>
      <c r="M2966">
        <v>8.36698804475974</v>
      </c>
      <c r="N2966" s="7">
        <v>1.8777080795907199</v>
      </c>
      <c r="O2966" s="7">
        <v>1.5892684220264399</v>
      </c>
      <c r="P2966" s="7">
        <v>7.7309314935456799</v>
      </c>
      <c r="Q2966" s="7">
        <v>10.517799352750808</v>
      </c>
      <c r="T2966" s="2"/>
      <c r="U2966">
        <v>0.97898556935094139</v>
      </c>
      <c r="AT2966" s="4" t="s">
        <v>4134</v>
      </c>
    </row>
    <row r="2967" spans="1:46">
      <c r="A2967" s="2">
        <v>434</v>
      </c>
      <c r="B2967" t="s">
        <v>8301</v>
      </c>
      <c r="C2967" t="s">
        <v>2586</v>
      </c>
      <c r="D2967" t="s">
        <v>3737</v>
      </c>
      <c r="E2967" s="4">
        <v>43465</v>
      </c>
      <c r="F2967" s="11">
        <v>-37.404504299999999</v>
      </c>
      <c r="G2967" s="11">
        <v>-17.567567570000001</v>
      </c>
      <c r="H2967" s="11">
        <v>7.9134744300000004E-2</v>
      </c>
      <c r="I2967" s="11">
        <v>75.658852080800003</v>
      </c>
      <c r="J2967" s="11">
        <v>7.6782441385000002</v>
      </c>
      <c r="K2967" s="10">
        <v>0.51222825303899999</v>
      </c>
      <c r="L2967" s="12">
        <v>28347028921.799999</v>
      </c>
      <c r="M2967">
        <v>25.879525114479101</v>
      </c>
      <c r="N2967" s="7">
        <v>2.2368526878205302</v>
      </c>
      <c r="O2967" s="7">
        <v>1.4564493947914701</v>
      </c>
      <c r="P2967" s="7">
        <v>-18.391707371075299</v>
      </c>
      <c r="Q2967" s="7" t="s">
        <v>3698</v>
      </c>
      <c r="U2967">
        <v>0.21234156254687175</v>
      </c>
      <c r="AT2967" s="4" t="s">
        <v>7139</v>
      </c>
    </row>
    <row r="2968" spans="1:46">
      <c r="A2968" s="2">
        <v>671</v>
      </c>
      <c r="B2968" t="s">
        <v>8302</v>
      </c>
      <c r="C2968" t="s">
        <v>2800</v>
      </c>
      <c r="D2968" t="s">
        <v>3769</v>
      </c>
      <c r="E2968" s="4">
        <v>43465</v>
      </c>
      <c r="F2968" s="11">
        <v>-52.883343609999997</v>
      </c>
      <c r="G2968" s="11">
        <v>-17.61517615</v>
      </c>
      <c r="H2968" s="11">
        <v>1.8160020327999999</v>
      </c>
      <c r="I2968" s="11">
        <v>15.3214799239</v>
      </c>
      <c r="J2968" s="11">
        <v>-10.416345059799999</v>
      </c>
      <c r="K2968" s="10">
        <v>0.64024693038500002</v>
      </c>
      <c r="L2968" s="12">
        <v>3294474138.5599999</v>
      </c>
      <c r="M2968">
        <v>33.295293654855499</v>
      </c>
      <c r="N2968" s="7">
        <v>1.2293136028571501</v>
      </c>
      <c r="O2968" s="7">
        <v>0.64698358134692202</v>
      </c>
      <c r="P2968" s="7">
        <v>28.017375590589801</v>
      </c>
      <c r="Q2968" s="7" t="s">
        <v>3698</v>
      </c>
      <c r="U2968">
        <v>-0.56879658985350989</v>
      </c>
      <c r="AT2968" s="4" t="s">
        <v>4247</v>
      </c>
    </row>
    <row r="2969" spans="1:46">
      <c r="A2969" s="2">
        <v>3154</v>
      </c>
      <c r="B2969" t="s">
        <v>8303</v>
      </c>
      <c r="C2969" t="s">
        <v>162</v>
      </c>
      <c r="D2969" t="s">
        <v>3889</v>
      </c>
      <c r="E2969" s="4">
        <v>43465</v>
      </c>
      <c r="F2969" s="11">
        <v>-45.619602039999997</v>
      </c>
      <c r="G2969" s="11">
        <v>-17.814371260000001</v>
      </c>
      <c r="H2969" s="11">
        <v>12.8875621149</v>
      </c>
      <c r="I2969" s="11">
        <v>18.049995817700001</v>
      </c>
      <c r="J2969" s="11">
        <v>11.2471532464</v>
      </c>
      <c r="K2969" s="10">
        <v>0.77238033937799999</v>
      </c>
      <c r="L2969" s="12">
        <v>1898240000</v>
      </c>
      <c r="M2969">
        <v>21.5821545334204</v>
      </c>
      <c r="N2969" s="7">
        <v>1.3440396515964601</v>
      </c>
      <c r="O2969" s="7">
        <v>1.36668610039986</v>
      </c>
      <c r="P2969" s="7">
        <v>20.0531142729292</v>
      </c>
      <c r="Q2969" s="7">
        <v>3.4179687499999991</v>
      </c>
      <c r="U2969">
        <v>0.54638117614738013</v>
      </c>
      <c r="AT2969" s="4" t="s">
        <v>8304</v>
      </c>
    </row>
    <row r="2970" spans="1:46">
      <c r="A2970" s="2">
        <v>2054</v>
      </c>
      <c r="B2970" t="s">
        <v>8305</v>
      </c>
      <c r="C2970" t="s">
        <v>1313</v>
      </c>
      <c r="D2970" t="s">
        <v>3832</v>
      </c>
      <c r="E2970" s="4">
        <v>43465</v>
      </c>
      <c r="F2970" s="11">
        <v>-19.161257819999999</v>
      </c>
      <c r="G2970" s="11">
        <v>-17.816091950000001</v>
      </c>
      <c r="H2970" s="11">
        <v>22.100606689399999</v>
      </c>
      <c r="I2970" s="11">
        <v>39.451510130999999</v>
      </c>
      <c r="J2970" s="11">
        <v>13.1823569643</v>
      </c>
      <c r="K2970" s="10">
        <v>0.57829728028600003</v>
      </c>
      <c r="L2970" s="12">
        <v>8338866281.8400002</v>
      </c>
      <c r="M2970">
        <v>52.5800642267154</v>
      </c>
      <c r="N2970" s="7">
        <v>5.0388178385438804</v>
      </c>
      <c r="O2970" s="7">
        <v>5.6312669737847898</v>
      </c>
      <c r="P2970" s="7">
        <v>91.278955057210297</v>
      </c>
      <c r="Q2970" s="7">
        <v>0.26744944553163724</v>
      </c>
      <c r="U2970">
        <v>0.40293941848695114</v>
      </c>
      <c r="AT2970" s="4" t="s">
        <v>4560</v>
      </c>
    </row>
    <row r="2971" spans="1:46">
      <c r="A2971" s="2">
        <v>2643</v>
      </c>
      <c r="B2971" t="s">
        <v>8306</v>
      </c>
      <c r="C2971" t="s">
        <v>1383</v>
      </c>
      <c r="D2971" t="s">
        <v>3842</v>
      </c>
      <c r="E2971" s="4">
        <v>43465</v>
      </c>
      <c r="F2971" s="11">
        <v>-43.971631180000003</v>
      </c>
      <c r="G2971" s="11">
        <v>-17.82178218</v>
      </c>
      <c r="H2971" s="11">
        <v>22.743284116600002</v>
      </c>
      <c r="I2971" s="11">
        <v>12.6405669243</v>
      </c>
      <c r="J2971" s="11">
        <v>5.6077813056999997</v>
      </c>
      <c r="K2971" s="10">
        <v>0.983941313737</v>
      </c>
      <c r="L2971" s="12">
        <v>2680814298.2399998</v>
      </c>
      <c r="M2971">
        <v>3.3028424810384198</v>
      </c>
      <c r="N2971" s="7">
        <v>0.87102998039945101</v>
      </c>
      <c r="O2971" s="7">
        <v>0.22206830627806501</v>
      </c>
      <c r="P2971" s="7">
        <v>19.131001056042301</v>
      </c>
      <c r="Q2971" s="7">
        <v>3.4293552821622457</v>
      </c>
      <c r="U2971">
        <v>0.77565322821457283</v>
      </c>
      <c r="AT2971" s="4" t="s">
        <v>5850</v>
      </c>
    </row>
    <row r="2972" spans="1:46">
      <c r="A2972" s="2">
        <v>3446</v>
      </c>
      <c r="B2972" t="s">
        <v>8307</v>
      </c>
      <c r="C2972" t="s">
        <v>70</v>
      </c>
      <c r="D2972" t="s">
        <v>3721</v>
      </c>
      <c r="E2972" s="4">
        <v>43465</v>
      </c>
      <c r="F2972" s="11">
        <v>-33.849993009999999</v>
      </c>
      <c r="G2972" s="11">
        <v>-17.845761629999998</v>
      </c>
      <c r="H2972" s="11">
        <v>20.099920877999999</v>
      </c>
      <c r="I2972" s="11">
        <v>27.961625460600001</v>
      </c>
      <c r="J2972" s="11">
        <v>13.226138477399999</v>
      </c>
      <c r="K2972" s="10">
        <v>0.65077722952100003</v>
      </c>
      <c r="L2972" s="12">
        <v>9697664000</v>
      </c>
      <c r="M2972">
        <v>27.178457200621001</v>
      </c>
      <c r="N2972" s="7">
        <v>5.0928896923600702</v>
      </c>
      <c r="O2972" s="7">
        <v>4.3802713423561404</v>
      </c>
      <c r="P2972" s="7">
        <v>-1147.4326426233499</v>
      </c>
      <c r="Q2972" s="7">
        <v>0.21122364535086183</v>
      </c>
      <c r="T2972" s="2"/>
      <c r="U2972">
        <v>0.8078935525519807</v>
      </c>
      <c r="AT2972" s="4" t="s">
        <v>6451</v>
      </c>
    </row>
    <row r="2973" spans="1:46">
      <c r="A2973" s="2">
        <v>3395</v>
      </c>
      <c r="B2973" t="s">
        <v>8308</v>
      </c>
      <c r="C2973" t="s">
        <v>1183</v>
      </c>
      <c r="D2973" t="s">
        <v>3761</v>
      </c>
      <c r="E2973" s="4">
        <v>43465</v>
      </c>
      <c r="F2973" s="11">
        <v>-25.6726317</v>
      </c>
      <c r="G2973" s="11">
        <v>-17.84638554</v>
      </c>
      <c r="H2973" s="11">
        <v>32.495398747899998</v>
      </c>
      <c r="I2973" s="11">
        <v>37.3542913872</v>
      </c>
      <c r="J2973" s="11">
        <v>11.934072474200001</v>
      </c>
      <c r="K2973" s="10">
        <v>0.48021465374200001</v>
      </c>
      <c r="L2973" s="12">
        <v>24332905245.040001</v>
      </c>
      <c r="M2973">
        <v>23.4377853470708</v>
      </c>
      <c r="N2973" s="7">
        <v>2.2560641243186699</v>
      </c>
      <c r="O2973" s="7">
        <v>2.9318747346744898</v>
      </c>
      <c r="P2973" s="7">
        <v>6.4428269597224901</v>
      </c>
      <c r="Q2973" s="7">
        <v>1.4404338220519923</v>
      </c>
      <c r="U2973">
        <v>1.1223264426155803</v>
      </c>
      <c r="AT2973" s="4" t="s">
        <v>8309</v>
      </c>
    </row>
    <row r="2974" spans="1:46">
      <c r="A2974" s="2">
        <v>3131</v>
      </c>
      <c r="B2974" t="s">
        <v>8310</v>
      </c>
      <c r="C2974" t="s">
        <v>1359</v>
      </c>
      <c r="D2974" t="s">
        <v>3764</v>
      </c>
      <c r="E2974" s="4">
        <v>43465</v>
      </c>
      <c r="F2974" s="11">
        <v>-51.004582659999997</v>
      </c>
      <c r="G2974" s="11">
        <v>-17.849462370000001</v>
      </c>
      <c r="H2974" s="11">
        <v>28.543323774200001</v>
      </c>
      <c r="I2974" s="11">
        <v>58.039389307900002</v>
      </c>
      <c r="J2974" s="11">
        <v>25.190826813200001</v>
      </c>
      <c r="K2974" s="10">
        <v>0.12068620891200001</v>
      </c>
      <c r="L2974" s="12">
        <v>4132187965.4400001</v>
      </c>
      <c r="M2974">
        <v>33.896634749229499</v>
      </c>
      <c r="N2974" s="7">
        <v>3.3950712960190099</v>
      </c>
      <c r="O2974" s="7">
        <v>8.6336171058552296</v>
      </c>
      <c r="P2974" s="7">
        <v>-44.3330199037893</v>
      </c>
      <c r="Q2974" s="7">
        <v>1.1702127659574468</v>
      </c>
      <c r="U2974">
        <v>0.1393235678375582</v>
      </c>
      <c r="AT2974" s="4" t="s">
        <v>8311</v>
      </c>
    </row>
    <row r="2975" spans="1:46">
      <c r="A2975" s="2">
        <v>3622</v>
      </c>
      <c r="B2975" t="s">
        <v>8312</v>
      </c>
      <c r="C2975" t="s">
        <v>826</v>
      </c>
      <c r="D2975" t="s">
        <v>3752</v>
      </c>
      <c r="E2975" s="4">
        <v>43465</v>
      </c>
      <c r="F2975" s="11">
        <v>-41.873630599999998</v>
      </c>
      <c r="G2975" s="11">
        <v>-17.85252264</v>
      </c>
      <c r="H2975" s="11">
        <v>6.5981872913000004</v>
      </c>
      <c r="I2975" s="11">
        <v>11.1671056045</v>
      </c>
      <c r="J2975" s="11">
        <v>3.0833024455000002</v>
      </c>
      <c r="K2975" s="10">
        <v>1.391499540896</v>
      </c>
      <c r="L2975" s="12">
        <v>37723473427.199997</v>
      </c>
      <c r="M2975">
        <v>27.295448087413799</v>
      </c>
      <c r="N2975" s="7">
        <v>2.8590428844668501</v>
      </c>
      <c r="O2975" s="7">
        <v>0.69462026802371601</v>
      </c>
      <c r="P2975" s="7">
        <v>31.47201496393</v>
      </c>
      <c r="Q2975" s="7">
        <v>1.7260425296879316</v>
      </c>
      <c r="U2975">
        <v>0.72162079056460471</v>
      </c>
      <c r="AT2975" s="4" t="s">
        <v>4882</v>
      </c>
    </row>
    <row r="2976" spans="1:46">
      <c r="A2976" s="2">
        <v>478</v>
      </c>
      <c r="B2976" t="s">
        <v>8313</v>
      </c>
      <c r="C2976" t="s">
        <v>368</v>
      </c>
      <c r="D2976" t="s">
        <v>3871</v>
      </c>
      <c r="E2976" s="4">
        <v>43465</v>
      </c>
      <c r="F2976" s="11">
        <v>-37.451458860000002</v>
      </c>
      <c r="G2976" s="11">
        <v>-17.92207792</v>
      </c>
      <c r="H2976" s="11">
        <v>24.029742418200001</v>
      </c>
      <c r="I2976" s="11">
        <v>57.646940911599998</v>
      </c>
      <c r="J2976" s="11">
        <v>4.2374583962000001</v>
      </c>
      <c r="K2976" s="10">
        <v>0.229213145575</v>
      </c>
      <c r="L2976" s="12">
        <v>1898658993</v>
      </c>
      <c r="M2976">
        <v>6.9581148569211697</v>
      </c>
      <c r="N2976" s="7">
        <v>0.82190144670306997</v>
      </c>
      <c r="O2976" s="7">
        <v>1.2261128312684999</v>
      </c>
      <c r="P2976" s="7">
        <v>-1.9814546248804401</v>
      </c>
      <c r="Q2976" s="7">
        <v>2.6732673267326734</v>
      </c>
      <c r="U2976">
        <v>8.6591885622358714E-2</v>
      </c>
      <c r="AT2976" s="4" t="s">
        <v>8314</v>
      </c>
    </row>
    <row r="2977" spans="1:46">
      <c r="A2977" s="2">
        <v>2250</v>
      </c>
      <c r="B2977" t="s">
        <v>8315</v>
      </c>
      <c r="C2977" t="s">
        <v>1742</v>
      </c>
      <c r="D2977" t="s">
        <v>4060</v>
      </c>
      <c r="E2977" s="4">
        <v>43465</v>
      </c>
      <c r="F2977" s="11">
        <v>-28.287179290000001</v>
      </c>
      <c r="G2977" s="11">
        <v>-17.96875</v>
      </c>
      <c r="H2977" s="11">
        <v>7.7186205988000003</v>
      </c>
      <c r="I2977" s="11">
        <v>20.0383923415</v>
      </c>
      <c r="J2977" s="11">
        <v>6.1719872980000003</v>
      </c>
      <c r="K2977" s="10">
        <v>0.57795318126600004</v>
      </c>
      <c r="L2977" s="12">
        <v>53858732352.480003</v>
      </c>
      <c r="M2977">
        <v>32.3065189409173</v>
      </c>
      <c r="N2977" s="7">
        <v>1.3153611058178101</v>
      </c>
      <c r="O2977" s="7">
        <v>1.54844312241051</v>
      </c>
      <c r="P2977" s="7">
        <v>-398.58819145047801</v>
      </c>
      <c r="Q2977" s="7" t="s">
        <v>3698</v>
      </c>
      <c r="U2977">
        <v>8.727103438430317E-2</v>
      </c>
      <c r="AT2977" s="4" t="s">
        <v>4476</v>
      </c>
    </row>
    <row r="2978" spans="1:46">
      <c r="A2978" s="2">
        <v>3525</v>
      </c>
      <c r="B2978" t="s">
        <v>8316</v>
      </c>
      <c r="C2978" t="s">
        <v>457</v>
      </c>
      <c r="D2978" t="s">
        <v>3718</v>
      </c>
      <c r="E2978" s="4">
        <v>43465</v>
      </c>
      <c r="F2978" s="11">
        <v>-47.460714400000001</v>
      </c>
      <c r="G2978" s="11">
        <v>-17.96916534</v>
      </c>
      <c r="H2978" s="11">
        <v>-0.85783540150000004</v>
      </c>
      <c r="I2978" s="11">
        <v>30.645518600999999</v>
      </c>
      <c r="J2978" s="11">
        <v>15.043012949</v>
      </c>
      <c r="K2978" s="10">
        <v>0.90953124235399996</v>
      </c>
      <c r="L2978" s="12">
        <v>6114673811.8999996</v>
      </c>
      <c r="M2978">
        <v>12.025170163131801</v>
      </c>
      <c r="N2978" s="7">
        <v>2.1903999475390399</v>
      </c>
      <c r="O2978" s="7">
        <v>1.8345795499561099</v>
      </c>
      <c r="P2978" s="7">
        <v>-17.820860870346898</v>
      </c>
      <c r="Q2978" s="7">
        <v>2.0395213923132705</v>
      </c>
      <c r="U2978">
        <v>1.4278773265427889</v>
      </c>
      <c r="AT2978" s="4" t="s">
        <v>8317</v>
      </c>
    </row>
    <row r="2979" spans="1:46">
      <c r="A2979" s="2">
        <v>1902</v>
      </c>
      <c r="B2979" t="s">
        <v>8318</v>
      </c>
      <c r="C2979" t="s">
        <v>2889</v>
      </c>
      <c r="D2979" t="s">
        <v>3761</v>
      </c>
      <c r="E2979" s="4">
        <v>43465</v>
      </c>
      <c r="F2979" s="11">
        <v>-13.874131520000001</v>
      </c>
      <c r="G2979" s="11">
        <v>-17.991169979999999</v>
      </c>
      <c r="H2979" s="11">
        <v>-4.8276106950999997</v>
      </c>
      <c r="I2979" s="11">
        <v>21.247692608400001</v>
      </c>
      <c r="J2979" s="11">
        <v>2.5030761919</v>
      </c>
      <c r="K2979" s="10">
        <v>0.46517742767800002</v>
      </c>
      <c r="L2979" s="12">
        <v>6540707880</v>
      </c>
      <c r="M2979">
        <v>40.537410618755402</v>
      </c>
      <c r="N2979" s="7">
        <v>3.43717092101127</v>
      </c>
      <c r="O2979" s="7">
        <v>2.1486144378346599</v>
      </c>
      <c r="P2979" s="7">
        <v>-18.431553767730499</v>
      </c>
      <c r="Q2979" s="7">
        <v>0.18504811269087856</v>
      </c>
      <c r="U2979">
        <v>8.7674327961266257E-2</v>
      </c>
      <c r="AT2979" s="4" t="s">
        <v>4089</v>
      </c>
    </row>
    <row r="2980" spans="1:46">
      <c r="A2980" s="2">
        <v>679</v>
      </c>
      <c r="B2980" t="s">
        <v>8319</v>
      </c>
      <c r="C2980" t="s">
        <v>75</v>
      </c>
      <c r="D2980" t="s">
        <v>3790</v>
      </c>
      <c r="E2980" s="4">
        <v>43465</v>
      </c>
      <c r="F2980" s="11">
        <v>-40.406976739999998</v>
      </c>
      <c r="G2980" s="11">
        <v>-17.997977760000001</v>
      </c>
      <c r="H2980" s="11">
        <v>408.65410278090002</v>
      </c>
      <c r="I2980" s="11">
        <v>71.359147168999996</v>
      </c>
      <c r="J2980" s="11">
        <v>21.203045693899998</v>
      </c>
      <c r="K2980" s="10">
        <v>0.54736755409299997</v>
      </c>
      <c r="L2980" s="12">
        <v>10137708243.9</v>
      </c>
      <c r="M2980">
        <v>26.048818753076901</v>
      </c>
      <c r="N2980" s="7">
        <v>11.1320996633566</v>
      </c>
      <c r="O2980" s="7">
        <v>4.8393241729492003</v>
      </c>
      <c r="P2980" s="7">
        <v>19.9383112776801</v>
      </c>
      <c r="Q2980" s="7" t="s">
        <v>3698</v>
      </c>
      <c r="T2980" s="2"/>
      <c r="U2980">
        <v>0.41318444373901253</v>
      </c>
      <c r="AT2980" s="4" t="s">
        <v>4063</v>
      </c>
    </row>
    <row r="2981" spans="1:46">
      <c r="A2981" s="2">
        <v>2345</v>
      </c>
      <c r="B2981" t="s">
        <v>8320</v>
      </c>
      <c r="C2981" t="s">
        <v>3412</v>
      </c>
      <c r="D2981" t="s">
        <v>3832</v>
      </c>
      <c r="E2981" s="4">
        <v>43465</v>
      </c>
      <c r="F2981" s="11">
        <v>-68.409645249999997</v>
      </c>
      <c r="G2981" s="11">
        <v>-18.041237110000001</v>
      </c>
      <c r="H2981" s="11">
        <v>6.4825587789999997</v>
      </c>
      <c r="I2981" s="11">
        <v>7.3227315653999998</v>
      </c>
      <c r="J2981" s="11">
        <v>1.2943643948000001</v>
      </c>
      <c r="K2981" s="10">
        <v>0.18946081109099999</v>
      </c>
      <c r="L2981" s="12">
        <v>3073340620.8000002</v>
      </c>
      <c r="M2981">
        <v>-33.461059899709298</v>
      </c>
      <c r="N2981" s="7">
        <v>2.7175041506115298</v>
      </c>
      <c r="O2981" s="7">
        <v>12.9982629425587</v>
      </c>
      <c r="P2981" s="7">
        <v>-55.2206897963298</v>
      </c>
      <c r="Q2981" s="7">
        <v>0.19256756756756757</v>
      </c>
      <c r="U2981">
        <v>1.8847804849356806E-2</v>
      </c>
      <c r="AT2981" s="4" t="s">
        <v>7586</v>
      </c>
    </row>
    <row r="2982" spans="1:46">
      <c r="A2982" s="2">
        <v>2601</v>
      </c>
      <c r="B2982" t="s">
        <v>8321</v>
      </c>
      <c r="C2982" t="s">
        <v>3514</v>
      </c>
      <c r="D2982" t="s">
        <v>3718</v>
      </c>
      <c r="E2982" s="4">
        <v>43465</v>
      </c>
      <c r="F2982" s="11">
        <v>-55.967413440000001</v>
      </c>
      <c r="G2982" s="11">
        <v>-18.057663130000002</v>
      </c>
      <c r="H2982" s="11">
        <v>-1.7326249853</v>
      </c>
      <c r="I2982" s="11">
        <v>22.719378671600001</v>
      </c>
      <c r="J2982" s="11">
        <v>2.2538804932000001</v>
      </c>
      <c r="K2982" s="10">
        <v>0.33487598632100002</v>
      </c>
      <c r="L2982" s="12">
        <v>6509209566.8599997</v>
      </c>
      <c r="M2982">
        <v>-108.003354771652</v>
      </c>
      <c r="N2982" s="7">
        <v>4.7218888704904298</v>
      </c>
      <c r="O2982" s="7">
        <v>6.8736667049069897</v>
      </c>
      <c r="P2982" s="7">
        <v>406.69708784901599</v>
      </c>
      <c r="Q2982" s="7" t="s">
        <v>3698</v>
      </c>
      <c r="U2982">
        <v>3.1836308274947926E-2</v>
      </c>
      <c r="AT2982" s="4" t="s">
        <v>8322</v>
      </c>
    </row>
    <row r="2983" spans="1:46">
      <c r="A2983" s="2">
        <v>2696</v>
      </c>
      <c r="B2983" t="s">
        <v>8323</v>
      </c>
      <c r="C2983" t="s">
        <v>958</v>
      </c>
      <c r="D2983" t="s">
        <v>3752</v>
      </c>
      <c r="E2983" s="4">
        <v>43465</v>
      </c>
      <c r="F2983" s="11">
        <v>-18.677660379999999</v>
      </c>
      <c r="G2983" s="11">
        <v>-18.06930693</v>
      </c>
      <c r="H2983" s="11">
        <v>1.5561181745999999</v>
      </c>
      <c r="I2983" s="11">
        <v>10.872020774599999</v>
      </c>
      <c r="J2983" s="11">
        <v>3.9010989226000001</v>
      </c>
      <c r="K2983" s="10">
        <v>1.0491263620969999</v>
      </c>
      <c r="L2983" s="12">
        <v>5671907718.3999996</v>
      </c>
      <c r="M2983">
        <v>17.628253501909398</v>
      </c>
      <c r="N2983" s="7">
        <v>0.95379607013879697</v>
      </c>
      <c r="O2983" s="7">
        <v>0.415875469792442</v>
      </c>
      <c r="P2983" s="7">
        <v>5.4822022267329897</v>
      </c>
      <c r="Q2983" s="7">
        <v>3.8980509745127434</v>
      </c>
      <c r="U2983">
        <v>0.85343926194488307</v>
      </c>
      <c r="AT2983" s="4" t="s">
        <v>8324</v>
      </c>
    </row>
    <row r="2984" spans="1:46">
      <c r="A2984" s="2">
        <v>1390</v>
      </c>
      <c r="B2984" t="s">
        <v>8325</v>
      </c>
      <c r="C2984" t="s">
        <v>1512</v>
      </c>
      <c r="D2984" t="s">
        <v>3785</v>
      </c>
      <c r="E2984" s="4">
        <v>43465</v>
      </c>
      <c r="F2984" s="11">
        <v>30.934383440000001</v>
      </c>
      <c r="G2984" s="11">
        <v>-18.071925050000001</v>
      </c>
      <c r="H2984" s="11">
        <v>39.090559232099999</v>
      </c>
      <c r="I2984" s="11">
        <v>23.3101404069</v>
      </c>
      <c r="J2984" s="11">
        <v>4.3574175180000001</v>
      </c>
      <c r="K2984" s="10">
        <v>1.170813511515</v>
      </c>
      <c r="L2984" s="12">
        <v>2275434085.79</v>
      </c>
      <c r="M2984">
        <v>55.791558522223603</v>
      </c>
      <c r="N2984" s="7">
        <v>4.9095685074804001</v>
      </c>
      <c r="O2984" s="7">
        <v>2.5469619628385298</v>
      </c>
      <c r="P2984" s="7">
        <v>-13.219510648152101</v>
      </c>
      <c r="Q2984" s="7">
        <v>0.25009824372215</v>
      </c>
      <c r="U2984">
        <v>0.56444665009999995</v>
      </c>
      <c r="AT2984" s="4" t="s">
        <v>4936</v>
      </c>
    </row>
    <row r="2985" spans="1:46">
      <c r="A2985" s="2">
        <v>2711</v>
      </c>
      <c r="B2985" t="s">
        <v>8326</v>
      </c>
      <c r="C2985" t="s">
        <v>2544</v>
      </c>
      <c r="D2985" t="s">
        <v>3871</v>
      </c>
      <c r="E2985" s="4">
        <v>43465</v>
      </c>
      <c r="F2985" s="11">
        <v>-38.451829240000002</v>
      </c>
      <c r="G2985" s="11">
        <v>-18.075117370000001</v>
      </c>
      <c r="H2985" s="11">
        <v>-40.012706876999999</v>
      </c>
      <c r="I2985" s="11">
        <v>34.5898868998</v>
      </c>
      <c r="J2985" s="11">
        <v>54.842279878500001</v>
      </c>
      <c r="K2985" s="10">
        <v>9.4120019717E-2</v>
      </c>
      <c r="L2985" s="12">
        <v>2972899423.7600002</v>
      </c>
      <c r="M2985">
        <v>61.6156954904393</v>
      </c>
      <c r="N2985" s="7">
        <v>1.26275789970077</v>
      </c>
      <c r="O2985" s="7">
        <v>4.63321020646731</v>
      </c>
      <c r="P2985" s="7">
        <v>-8.7409937956748092</v>
      </c>
      <c r="Q2985" s="7">
        <v>3.7172011661807578</v>
      </c>
      <c r="U2985">
        <v>0.84939909021187399</v>
      </c>
      <c r="AT2985" s="4" t="s">
        <v>5905</v>
      </c>
    </row>
    <row r="2986" spans="1:46">
      <c r="A2986" s="2">
        <v>1365</v>
      </c>
      <c r="B2986" t="s">
        <v>8327</v>
      </c>
      <c r="C2986" t="s">
        <v>1607</v>
      </c>
      <c r="D2986" t="s">
        <v>3849</v>
      </c>
      <c r="E2986" s="4">
        <v>43465</v>
      </c>
      <c r="F2986" s="11">
        <v>-27.014470840000001</v>
      </c>
      <c r="G2986" s="11">
        <v>-18.09623431</v>
      </c>
      <c r="H2986" s="11">
        <v>-21.714858335599999</v>
      </c>
      <c r="I2986" s="11">
        <v>26.347427825800001</v>
      </c>
      <c r="J2986" s="11">
        <v>4.6354284456999997</v>
      </c>
      <c r="K2986" s="10">
        <v>0.49307439769099998</v>
      </c>
      <c r="L2986" s="12">
        <v>2820000000</v>
      </c>
      <c r="M2986">
        <v>36.242386956945197</v>
      </c>
      <c r="N2986" s="7">
        <v>2.68595551763763</v>
      </c>
      <c r="O2986" s="7">
        <v>2.0780292450111202</v>
      </c>
      <c r="P2986" s="7">
        <v>33.385965677260202</v>
      </c>
      <c r="Q2986" s="7">
        <v>1.042615778149858</v>
      </c>
      <c r="U2986">
        <v>0.34378437754766605</v>
      </c>
      <c r="AT2986" s="4" t="s">
        <v>7650</v>
      </c>
    </row>
    <row r="2987" spans="1:46">
      <c r="A2987" s="2">
        <v>766</v>
      </c>
      <c r="B2987" t="s">
        <v>8328</v>
      </c>
      <c r="C2987" t="s">
        <v>2270</v>
      </c>
      <c r="D2987" t="s">
        <v>3761</v>
      </c>
      <c r="E2987" s="4">
        <v>43465</v>
      </c>
      <c r="F2987" s="11">
        <v>-52.245508979999997</v>
      </c>
      <c r="G2987" s="11">
        <v>-18.158567770000001</v>
      </c>
      <c r="H2987" s="11">
        <v>94.381772941400001</v>
      </c>
      <c r="I2987" s="11">
        <v>21.8240076911</v>
      </c>
      <c r="J2987" s="11">
        <v>-6.4975975555999996</v>
      </c>
      <c r="K2987" s="10">
        <v>0.319171842165</v>
      </c>
      <c r="L2987" s="12">
        <v>11929302000</v>
      </c>
      <c r="M2987">
        <v>31.951231093967099</v>
      </c>
      <c r="N2987" s="7">
        <v>1.01976028087161</v>
      </c>
      <c r="O2987" s="7">
        <v>1.87092560540174</v>
      </c>
      <c r="P2987" s="7">
        <v>141.378549917664</v>
      </c>
      <c r="Q2987" s="7" t="s">
        <v>3698</v>
      </c>
      <c r="U2987">
        <v>-0.19379181929741132</v>
      </c>
      <c r="AT2987" s="4" t="s">
        <v>7664</v>
      </c>
    </row>
    <row r="2988" spans="1:46">
      <c r="A2988" s="2">
        <v>1607</v>
      </c>
      <c r="B2988" t="s">
        <v>8329</v>
      </c>
      <c r="C2988" t="s">
        <v>1345</v>
      </c>
      <c r="D2988" t="s">
        <v>3889</v>
      </c>
      <c r="E2988" s="4">
        <v>43465</v>
      </c>
      <c r="F2988" s="11">
        <v>-59.236406430000002</v>
      </c>
      <c r="G2988" s="11">
        <v>-18.18181818</v>
      </c>
      <c r="H2988" s="11">
        <v>15.1714649371</v>
      </c>
      <c r="I2988" s="11">
        <v>33.615114874</v>
      </c>
      <c r="J2988" s="11">
        <v>1.8106248417999999</v>
      </c>
      <c r="K2988" s="10">
        <v>0.32306881422200001</v>
      </c>
      <c r="L2988" s="12">
        <v>2346251226.8000002</v>
      </c>
      <c r="M2988">
        <v>10.8054373727129</v>
      </c>
      <c r="N2988" s="7">
        <v>2.1641691362830402</v>
      </c>
      <c r="O2988" s="7">
        <v>2.2012940455159602</v>
      </c>
      <c r="P2988" s="7">
        <v>56.606869456829102</v>
      </c>
      <c r="Q2988" s="7" t="s">
        <v>3698</v>
      </c>
      <c r="U2988">
        <v>3.6367477681768075E-2</v>
      </c>
      <c r="AT2988" s="4" t="s">
        <v>5528</v>
      </c>
    </row>
    <row r="2989" spans="1:46">
      <c r="A2989" s="2">
        <v>2502</v>
      </c>
      <c r="B2989" t="s">
        <v>8330</v>
      </c>
      <c r="C2989" t="s">
        <v>3587</v>
      </c>
      <c r="D2989" t="s">
        <v>4060</v>
      </c>
      <c r="E2989" s="4">
        <v>43465</v>
      </c>
      <c r="F2989" s="11">
        <v>-38.23064771</v>
      </c>
      <c r="G2989" s="11">
        <v>-18.191268189999999</v>
      </c>
      <c r="H2989" s="11">
        <v>-78.061372734900004</v>
      </c>
      <c r="I2989" s="11">
        <v>90.468932511700004</v>
      </c>
      <c r="J2989" s="11">
        <v>-189.9301899564</v>
      </c>
      <c r="K2989" s="10">
        <v>3.2677142659E-2</v>
      </c>
      <c r="L2989" s="12">
        <v>3139604834.1399999</v>
      </c>
      <c r="M2989">
        <v>-294.75506417587297</v>
      </c>
      <c r="N2989" s="7">
        <v>23.875401053725199</v>
      </c>
      <c r="O2989" s="7">
        <v>62.348698566628798</v>
      </c>
      <c r="P2989" s="7">
        <v>1067.8635698312501</v>
      </c>
      <c r="Q2989" s="7" t="s">
        <v>3698</v>
      </c>
      <c r="U2989">
        <v>-6.8597606983830384E-2</v>
      </c>
      <c r="AT2989" s="4" t="s">
        <v>8331</v>
      </c>
    </row>
    <row r="2990" spans="1:46">
      <c r="A2990" s="2">
        <v>1909</v>
      </c>
      <c r="B2990" t="s">
        <v>8332</v>
      </c>
      <c r="C2990" t="s">
        <v>2658</v>
      </c>
      <c r="D2990" t="s">
        <v>3761</v>
      </c>
      <c r="E2990" s="4">
        <v>43465</v>
      </c>
      <c r="F2990" s="11">
        <v>-57.279896479999998</v>
      </c>
      <c r="G2990" s="11">
        <v>-18.230563</v>
      </c>
      <c r="H2990" s="11">
        <v>-30.597988798199999</v>
      </c>
      <c r="I2990" s="11">
        <v>37.4482188542</v>
      </c>
      <c r="J2990" s="11">
        <v>6.1018586388999996</v>
      </c>
      <c r="K2990" s="10">
        <v>0.36855463092099999</v>
      </c>
      <c r="L2990" s="12">
        <v>7312484620.5</v>
      </c>
      <c r="M2990">
        <v>122.95312467430399</v>
      </c>
      <c r="N2990" s="7">
        <v>3.30131621157873</v>
      </c>
      <c r="O2990" s="7">
        <v>5.7924713657893898</v>
      </c>
      <c r="P2990" s="7">
        <v>-30.963425915822</v>
      </c>
      <c r="Q2990" s="7" t="s">
        <v>3698</v>
      </c>
      <c r="U2990">
        <v>0.11788229038461538</v>
      </c>
      <c r="AT2990" s="4" t="s">
        <v>8333</v>
      </c>
    </row>
    <row r="2991" spans="1:46">
      <c r="A2991" s="2">
        <v>343</v>
      </c>
      <c r="B2991" t="s">
        <v>8334</v>
      </c>
      <c r="C2991" t="s">
        <v>1764</v>
      </c>
      <c r="D2991" t="s">
        <v>3752</v>
      </c>
      <c r="E2991" s="4">
        <v>43465</v>
      </c>
      <c r="F2991" s="11">
        <v>-55.141661480000003</v>
      </c>
      <c r="G2991" s="11">
        <v>-18.26697892</v>
      </c>
      <c r="H2991" s="11">
        <v>7.1536375882999996</v>
      </c>
      <c r="I2991" s="11">
        <v>8.0559248827999994</v>
      </c>
      <c r="J2991" s="11">
        <v>1.0020532257999999</v>
      </c>
      <c r="K2991" s="10">
        <v>1.3796408202449999</v>
      </c>
      <c r="L2991" s="12">
        <v>20717898051.959999</v>
      </c>
      <c r="M2991">
        <v>43.754164000027799</v>
      </c>
      <c r="N2991" s="7">
        <v>1.5686625700348</v>
      </c>
      <c r="O2991" s="7">
        <v>0.57564788155537405</v>
      </c>
      <c r="P2991" s="7">
        <v>5.3079313264104897</v>
      </c>
      <c r="Q2991" s="7">
        <v>0.50251256281407042</v>
      </c>
      <c r="U2991">
        <v>7.0608047126204734E-2</v>
      </c>
      <c r="AT2991" s="4" t="s">
        <v>7711</v>
      </c>
    </row>
    <row r="2992" spans="1:46">
      <c r="A2992" s="2">
        <v>893</v>
      </c>
      <c r="B2992" t="s">
        <v>8335</v>
      </c>
      <c r="C2992" t="s">
        <v>475</v>
      </c>
      <c r="D2992" t="s">
        <v>3737</v>
      </c>
      <c r="E2992" s="4">
        <v>43465</v>
      </c>
      <c r="F2992" s="11">
        <v>1.0284024700000001</v>
      </c>
      <c r="G2992" s="11">
        <v>-18.43876178</v>
      </c>
      <c r="H2992" s="11">
        <v>68.3510248284</v>
      </c>
      <c r="I2992" s="11">
        <v>40.567444306200002</v>
      </c>
      <c r="J2992" s="11">
        <v>13.3931991221</v>
      </c>
      <c r="K2992" s="10">
        <v>0.36505322138399998</v>
      </c>
      <c r="L2992" s="12">
        <v>1661663591.72</v>
      </c>
      <c r="M2992">
        <v>45.384627745685101</v>
      </c>
      <c r="N2992" s="7">
        <v>10.092516847692799</v>
      </c>
      <c r="O2992" s="7">
        <v>6.4797577757598797</v>
      </c>
      <c r="P2992" s="7">
        <v>6.3896210376192899</v>
      </c>
      <c r="Q2992" s="7">
        <v>0.32948929159802304</v>
      </c>
      <c r="U2992">
        <v>0.35965026044813664</v>
      </c>
      <c r="AT2992" s="4" t="s">
        <v>5595</v>
      </c>
    </row>
    <row r="2993" spans="1:46">
      <c r="A2993" s="2">
        <v>579</v>
      </c>
      <c r="B2993" t="s">
        <v>8336</v>
      </c>
      <c r="C2993" t="s">
        <v>446</v>
      </c>
      <c r="D2993" t="s">
        <v>3752</v>
      </c>
      <c r="E2993" s="4">
        <v>43465</v>
      </c>
      <c r="F2993" s="11">
        <v>-45.602301490000002</v>
      </c>
      <c r="G2993" s="11">
        <v>-18.47457627</v>
      </c>
      <c r="H2993" s="11">
        <v>13.6115702314</v>
      </c>
      <c r="I2993" s="11">
        <v>15.691955550799999</v>
      </c>
      <c r="J2993" s="11">
        <v>5.0892537132999998</v>
      </c>
      <c r="K2993" s="10">
        <v>1.0804480701720001</v>
      </c>
      <c r="L2993" s="12">
        <v>2250819818.5500002</v>
      </c>
      <c r="M2993">
        <v>7.1469085601737703</v>
      </c>
      <c r="N2993" s="7">
        <v>1.2753318800946101</v>
      </c>
      <c r="O2993" s="7">
        <v>0.53610831287077498</v>
      </c>
      <c r="P2993" s="7">
        <v>17.708239884136901</v>
      </c>
      <c r="Q2993" s="7">
        <v>6.7264573991031389</v>
      </c>
      <c r="U2993">
        <v>0.5517553921101559</v>
      </c>
      <c r="AT2993" s="4" t="s">
        <v>7699</v>
      </c>
    </row>
    <row r="2994" spans="1:46">
      <c r="A2994" s="2">
        <v>2621</v>
      </c>
      <c r="B2994" t="s">
        <v>8337</v>
      </c>
      <c r="C2994" t="s">
        <v>193</v>
      </c>
      <c r="D2994" t="s">
        <v>3718</v>
      </c>
      <c r="E2994" s="4">
        <v>43465</v>
      </c>
      <c r="F2994" s="11">
        <v>-43.551750210000002</v>
      </c>
      <c r="G2994" s="11">
        <v>-18.513513509999999</v>
      </c>
      <c r="H2994" s="11">
        <v>5.8225985411999996</v>
      </c>
      <c r="I2994" s="11">
        <v>28.734641042</v>
      </c>
      <c r="J2994" s="11">
        <v>9.2947879886999996</v>
      </c>
      <c r="K2994" s="10">
        <v>0.63706821022500004</v>
      </c>
      <c r="L2994" s="12">
        <v>7647917946.5699997</v>
      </c>
      <c r="M2994">
        <v>19.928442264439401</v>
      </c>
      <c r="N2994" s="7">
        <v>3.4734992982945401</v>
      </c>
      <c r="O2994" s="7">
        <v>1.50354393330063</v>
      </c>
      <c r="P2994" s="7">
        <v>-9.1424750958828405</v>
      </c>
      <c r="Q2994" s="7">
        <v>2.1731092436974788</v>
      </c>
      <c r="U2994">
        <v>0.42750260873884111</v>
      </c>
      <c r="AT2994" s="4" t="s">
        <v>8338</v>
      </c>
    </row>
    <row r="2995" spans="1:46">
      <c r="A2995" s="2">
        <v>2268</v>
      </c>
      <c r="B2995" t="s">
        <v>8339</v>
      </c>
      <c r="C2995" t="s">
        <v>2010</v>
      </c>
      <c r="D2995" t="s">
        <v>3778</v>
      </c>
      <c r="E2995" s="4">
        <v>43465</v>
      </c>
      <c r="F2995" s="11">
        <v>-51.953640659999998</v>
      </c>
      <c r="G2995" s="11">
        <v>-18.62068966</v>
      </c>
      <c r="H2995" s="11">
        <v>-15.793239266800001</v>
      </c>
      <c r="I2995" s="11">
        <v>34.327366490999999</v>
      </c>
      <c r="J2995" s="11">
        <v>8.1134270482000002</v>
      </c>
      <c r="K2995" s="10">
        <v>0.40091015340500002</v>
      </c>
      <c r="L2995" s="12">
        <v>2381691600</v>
      </c>
      <c r="M2995">
        <v>19.5803309803097</v>
      </c>
      <c r="N2995" s="7">
        <v>0.87021785762784298</v>
      </c>
      <c r="O2995" s="7">
        <v>0.60544550070755798</v>
      </c>
      <c r="P2995" s="7">
        <v>-12.4400692479258</v>
      </c>
      <c r="Q2995" s="7">
        <v>1.795977011494253</v>
      </c>
      <c r="U2995">
        <v>0.15016127613144939</v>
      </c>
      <c r="AT2995" s="4" t="s">
        <v>8340</v>
      </c>
    </row>
    <row r="2996" spans="1:46">
      <c r="A2996" s="2">
        <v>3148</v>
      </c>
      <c r="B2996" t="s">
        <v>8341</v>
      </c>
      <c r="C2996" t="s">
        <v>2377</v>
      </c>
      <c r="D2996" t="s">
        <v>3849</v>
      </c>
      <c r="E2996" s="4">
        <v>43465</v>
      </c>
      <c r="F2996" s="11">
        <v>-57.575757580000001</v>
      </c>
      <c r="G2996" s="11">
        <v>-18.635170599999999</v>
      </c>
      <c r="H2996" s="11">
        <v>-12.598199960100001</v>
      </c>
      <c r="I2996" s="11">
        <v>9.0763292570999994</v>
      </c>
      <c r="J2996" s="11">
        <v>2.2417062485999999</v>
      </c>
      <c r="K2996" s="10">
        <v>0.38024847532900002</v>
      </c>
      <c r="L2996" s="12">
        <v>2653891110</v>
      </c>
      <c r="M2996">
        <v>-23.530121636350302</v>
      </c>
      <c r="N2996" s="7">
        <v>0.69012468589668796</v>
      </c>
      <c r="O2996" s="7">
        <v>0.42321863405594701</v>
      </c>
      <c r="P2996" s="7">
        <v>-15.244924406974199</v>
      </c>
      <c r="Q2996" s="7" t="s">
        <v>3698</v>
      </c>
      <c r="U2996">
        <v>0.19255610751456603</v>
      </c>
      <c r="AT2996" s="4" t="s">
        <v>4821</v>
      </c>
    </row>
    <row r="2997" spans="1:46">
      <c r="A2997" s="2">
        <v>3049</v>
      </c>
      <c r="B2997" t="s">
        <v>8342</v>
      </c>
      <c r="C2997" t="s">
        <v>608</v>
      </c>
      <c r="D2997" t="s">
        <v>3778</v>
      </c>
      <c r="E2997" s="4">
        <v>43465</v>
      </c>
      <c r="F2997" s="11">
        <v>-36.034995969999997</v>
      </c>
      <c r="G2997" s="11">
        <v>-18.635607319999998</v>
      </c>
      <c r="H2997" s="11">
        <v>4.1123804858000002</v>
      </c>
      <c r="I2997" s="11">
        <v>54.416675633099999</v>
      </c>
      <c r="J2997" s="11">
        <v>14.208281248800001</v>
      </c>
      <c r="K2997" s="10">
        <v>0.28124466509200002</v>
      </c>
      <c r="L2997" s="12">
        <v>2734255819.3200002</v>
      </c>
      <c r="M2997">
        <v>7.5475381606875498</v>
      </c>
      <c r="N2997" s="7">
        <v>0.89599668011210298</v>
      </c>
      <c r="O2997" s="7">
        <v>1.33770559981474</v>
      </c>
      <c r="P2997" s="7">
        <v>4.6322565509732501</v>
      </c>
      <c r="Q2997" s="7">
        <v>3.5849056603773586</v>
      </c>
      <c r="U2997">
        <v>0.60097934046025026</v>
      </c>
      <c r="AT2997" s="4" t="s">
        <v>5220</v>
      </c>
    </row>
    <row r="2998" spans="1:46">
      <c r="A2998" s="2">
        <v>2068</v>
      </c>
      <c r="B2998" t="s">
        <v>8343</v>
      </c>
      <c r="C2998" t="s">
        <v>313</v>
      </c>
      <c r="D2998" t="s">
        <v>3858</v>
      </c>
      <c r="E2998" s="4">
        <v>43465</v>
      </c>
      <c r="F2998" s="11">
        <v>-46.240595579999997</v>
      </c>
      <c r="G2998" s="11">
        <v>-18.70888158</v>
      </c>
      <c r="H2998" s="11">
        <v>185.00927139379999</v>
      </c>
      <c r="I2998" s="11">
        <v>25.494988517900001</v>
      </c>
      <c r="J2998" s="11">
        <v>10.000410929999999</v>
      </c>
      <c r="K2998" s="10">
        <v>1.173520629407</v>
      </c>
      <c r="L2998" s="12">
        <v>3868004963.75</v>
      </c>
      <c r="M2998">
        <v>67.983043941797106</v>
      </c>
      <c r="N2998" s="7">
        <v>8.7443264789370208</v>
      </c>
      <c r="O2998" s="7">
        <v>6.6992546305947798</v>
      </c>
      <c r="P2998" s="7">
        <v>-305.45956754804303</v>
      </c>
      <c r="Q2998" s="7">
        <v>0.52083333333333326</v>
      </c>
      <c r="U2998">
        <v>0.40876097124999999</v>
      </c>
      <c r="AT2998" s="4" t="s">
        <v>3996</v>
      </c>
    </row>
    <row r="2999" spans="1:46">
      <c r="A2999" s="2">
        <v>1558</v>
      </c>
      <c r="B2999" t="s">
        <v>8344</v>
      </c>
      <c r="C2999" t="s">
        <v>2661</v>
      </c>
      <c r="D2999" t="s">
        <v>3889</v>
      </c>
      <c r="E2999" s="4">
        <v>43465</v>
      </c>
      <c r="F2999" s="11">
        <v>-31.384394910000001</v>
      </c>
      <c r="G2999" s="11">
        <v>-18.86160714</v>
      </c>
      <c r="H2999" s="11">
        <v>10.515858997900001</v>
      </c>
      <c r="I2999" s="11">
        <v>25.916892928100001</v>
      </c>
      <c r="J2999" s="11">
        <v>4.3135263009000004</v>
      </c>
      <c r="K2999" s="10">
        <v>0.45626304213199997</v>
      </c>
      <c r="L2999" s="12">
        <v>4132597630.5900002</v>
      </c>
      <c r="M2999">
        <v>25.7828005787674</v>
      </c>
      <c r="N2999" s="7">
        <v>2.8352394257630902</v>
      </c>
      <c r="O2999" s="7">
        <v>2.5102616100757</v>
      </c>
      <c r="P2999" s="7">
        <v>38.161660759915002</v>
      </c>
      <c r="Q2999" s="7">
        <v>0.24193548387096772</v>
      </c>
      <c r="U2999">
        <v>0.1191145997897077</v>
      </c>
      <c r="AT2999" s="4" t="s">
        <v>4410</v>
      </c>
    </row>
    <row r="3000" spans="1:46">
      <c r="A3000" s="2">
        <v>2117</v>
      </c>
      <c r="B3000" t="s">
        <v>8345</v>
      </c>
      <c r="C3000" t="s">
        <v>151</v>
      </c>
      <c r="D3000" t="s">
        <v>3718</v>
      </c>
      <c r="E3000" s="4">
        <v>43465</v>
      </c>
      <c r="F3000" s="11">
        <v>-68.614905980000003</v>
      </c>
      <c r="G3000" s="11">
        <v>-18.895116089999998</v>
      </c>
      <c r="H3000" s="11">
        <v>-24.219234890999999</v>
      </c>
      <c r="I3000" s="11">
        <v>37.3054978873</v>
      </c>
      <c r="J3000" s="11">
        <v>10.3061751091</v>
      </c>
      <c r="K3000" s="10">
        <v>0.329805045134</v>
      </c>
      <c r="L3000" s="12">
        <v>3465623009.1100001</v>
      </c>
      <c r="M3000">
        <v>22.8521080971632</v>
      </c>
      <c r="N3000" s="7">
        <v>3.7936043371115602</v>
      </c>
      <c r="O3000" s="7">
        <v>4.8835092955118</v>
      </c>
      <c r="P3000" s="7">
        <v>-31.959752504109598</v>
      </c>
      <c r="Q3000" s="7">
        <v>0.49126482543839256</v>
      </c>
      <c r="U3000">
        <v>0.41273581080097088</v>
      </c>
      <c r="AT3000" s="4" t="s">
        <v>7239</v>
      </c>
    </row>
    <row r="3001" spans="1:46">
      <c r="A3001" s="2">
        <v>2382</v>
      </c>
      <c r="B3001" t="s">
        <v>8346</v>
      </c>
      <c r="C3001" t="s">
        <v>3648</v>
      </c>
      <c r="D3001" t="s">
        <v>3811</v>
      </c>
      <c r="E3001" s="4">
        <v>43465</v>
      </c>
      <c r="F3001" s="11">
        <v>-47.734627830000001</v>
      </c>
      <c r="G3001" s="11">
        <v>-18.91551072</v>
      </c>
      <c r="H3001" s="11">
        <v>26.634675727600001</v>
      </c>
      <c r="I3001" s="11">
        <v>3.9449611989000002</v>
      </c>
      <c r="J3001" s="11">
        <v>18.253408831800002</v>
      </c>
      <c r="K3001" s="10">
        <v>0.56550665011599999</v>
      </c>
      <c r="L3001" s="12">
        <v>2188000000</v>
      </c>
      <c r="M3001">
        <v>12.038213838736301</v>
      </c>
      <c r="N3001" s="7">
        <v>3.1684386765080701</v>
      </c>
      <c r="O3001" s="7">
        <v>1.8215695620519901</v>
      </c>
      <c r="P3001" s="7">
        <v>-13.7995489197887</v>
      </c>
      <c r="Q3001" s="7" t="s">
        <v>3698</v>
      </c>
      <c r="U3001">
        <v>0.71685864674988986</v>
      </c>
      <c r="AT3001" s="4" t="s">
        <v>8347</v>
      </c>
    </row>
    <row r="3002" spans="1:46">
      <c r="A3002" s="2">
        <v>1952</v>
      </c>
      <c r="B3002" t="s">
        <v>8348</v>
      </c>
      <c r="C3002" t="s">
        <v>1165</v>
      </c>
      <c r="D3002" t="s">
        <v>3889</v>
      </c>
      <c r="E3002" s="4">
        <v>43465</v>
      </c>
      <c r="F3002" s="11">
        <v>-48.598475370000003</v>
      </c>
      <c r="G3002" s="11">
        <v>-19.047619050000002</v>
      </c>
      <c r="H3002" s="11">
        <v>9.0687475845000005</v>
      </c>
      <c r="I3002" s="11">
        <v>39.830245773100003</v>
      </c>
      <c r="J3002" s="11">
        <v>-37.597465543699997</v>
      </c>
      <c r="K3002" s="10">
        <v>0.57812747851400004</v>
      </c>
      <c r="L3002" s="12">
        <v>3150744318</v>
      </c>
      <c r="M3002">
        <v>34.333575380553697</v>
      </c>
      <c r="N3002" s="7">
        <v>2.34806687066928</v>
      </c>
      <c r="O3002" s="7">
        <v>1.7439564195528501</v>
      </c>
      <c r="P3002" s="7">
        <v>-8.0527403119869607</v>
      </c>
      <c r="Q3002" s="7" t="s">
        <v>3698</v>
      </c>
      <c r="U3002">
        <v>-1.426983074821029</v>
      </c>
      <c r="AT3002" s="4" t="s">
        <v>5012</v>
      </c>
    </row>
    <row r="3003" spans="1:46">
      <c r="A3003" s="2">
        <v>2630</v>
      </c>
      <c r="B3003" t="s">
        <v>8349</v>
      </c>
      <c r="C3003" t="s">
        <v>2746</v>
      </c>
      <c r="D3003" t="s">
        <v>3832</v>
      </c>
      <c r="E3003" s="4">
        <v>43465</v>
      </c>
      <c r="F3003" s="11">
        <v>-50.641025640000002</v>
      </c>
      <c r="G3003" s="11">
        <v>-19.097222219999999</v>
      </c>
      <c r="H3003" s="11">
        <v>-57.504908015600002</v>
      </c>
      <c r="I3003" s="11">
        <v>7.1302974442</v>
      </c>
      <c r="J3003" s="11">
        <v>-1464.6511918046001</v>
      </c>
      <c r="K3003" s="10">
        <v>4.5940143459999999E-3</v>
      </c>
      <c r="L3003" s="12">
        <v>7265315032.4700003</v>
      </c>
      <c r="M3003">
        <v>-33.626220742354299</v>
      </c>
      <c r="N3003" s="7">
        <v>2.7146863073088299</v>
      </c>
      <c r="O3003" s="7">
        <v>446.36160078019998</v>
      </c>
      <c r="P3003" s="7">
        <v>49.2272527000911</v>
      </c>
      <c r="Q3003" s="7" t="s">
        <v>3698</v>
      </c>
      <c r="U3003">
        <v>-0.14712830801687762</v>
      </c>
      <c r="AT3003" s="4" t="s">
        <v>7553</v>
      </c>
    </row>
    <row r="3004" spans="1:46">
      <c r="A3004" s="2">
        <v>2017</v>
      </c>
      <c r="B3004" t="s">
        <v>8350</v>
      </c>
      <c r="C3004" t="s">
        <v>2771</v>
      </c>
      <c r="D3004" t="s">
        <v>3713</v>
      </c>
      <c r="E3004" s="4">
        <v>43465</v>
      </c>
      <c r="F3004" s="11">
        <v>-43.433369630000001</v>
      </c>
      <c r="G3004" s="11">
        <v>-19.220246240000002</v>
      </c>
      <c r="H3004" s="11">
        <v>-2.0523348417</v>
      </c>
      <c r="I3004" s="11">
        <v>25.951927782799999</v>
      </c>
      <c r="J3004" s="11">
        <v>10.209977328900001</v>
      </c>
      <c r="K3004" s="10">
        <v>0.428226278026</v>
      </c>
      <c r="L3004" s="12">
        <v>1503608510</v>
      </c>
      <c r="M3004">
        <v>112.729714503452</v>
      </c>
      <c r="N3004" s="7">
        <v>4.5849193949996696</v>
      </c>
      <c r="O3004" s="7">
        <v>8.1165594035652493</v>
      </c>
      <c r="P3004" s="7">
        <v>39.555520928842498</v>
      </c>
      <c r="Q3004" s="7">
        <v>0.16754850088183421</v>
      </c>
      <c r="U3004">
        <v>0.18284202379166667</v>
      </c>
      <c r="AT3004" s="4" t="s">
        <v>4359</v>
      </c>
    </row>
    <row r="3005" spans="1:46">
      <c r="A3005" s="2">
        <v>3399</v>
      </c>
      <c r="B3005" t="s">
        <v>8351</v>
      </c>
      <c r="C3005" t="s">
        <v>1851</v>
      </c>
      <c r="D3005" t="s">
        <v>3713</v>
      </c>
      <c r="E3005" s="4">
        <v>43465</v>
      </c>
      <c r="F3005" s="11">
        <v>-30.866480710000001</v>
      </c>
      <c r="G3005" s="11">
        <v>-19.268635719999999</v>
      </c>
      <c r="H3005" s="11">
        <v>15.153408032</v>
      </c>
      <c r="I3005" s="11">
        <v>50.884614480899998</v>
      </c>
      <c r="J3005" s="11">
        <v>11.691917762699999</v>
      </c>
      <c r="K3005" s="10">
        <v>0.56113170220499997</v>
      </c>
      <c r="L3005" s="12">
        <v>2470000592.6100001</v>
      </c>
      <c r="M3005">
        <v>35.4713883713152</v>
      </c>
      <c r="N3005" s="7">
        <v>3.80329803824457</v>
      </c>
      <c r="O3005" s="7">
        <v>5.5222890702910803</v>
      </c>
      <c r="P3005" s="7">
        <v>-38.1948404204296</v>
      </c>
      <c r="Q3005" s="7">
        <v>0.80368098159509205</v>
      </c>
      <c r="U3005">
        <v>0.45027426382047808</v>
      </c>
      <c r="AT3005" s="4" t="s">
        <v>8352</v>
      </c>
    </row>
    <row r="3006" spans="1:46">
      <c r="A3006" s="2">
        <v>3160</v>
      </c>
      <c r="B3006" t="s">
        <v>8353</v>
      </c>
      <c r="C3006" t="s">
        <v>2420</v>
      </c>
      <c r="D3006" t="s">
        <v>3778</v>
      </c>
      <c r="E3006" s="4">
        <v>43465</v>
      </c>
      <c r="F3006" s="11">
        <v>-24.706745550000001</v>
      </c>
      <c r="G3006" s="11">
        <v>-19.27877947</v>
      </c>
      <c r="H3006" s="11">
        <v>16.751806894200001</v>
      </c>
      <c r="I3006" s="11">
        <v>22.485073853199999</v>
      </c>
      <c r="J3006" s="11">
        <v>3.0765792483999999</v>
      </c>
      <c r="K3006" s="10">
        <v>0.97306607506200005</v>
      </c>
      <c r="L3006" s="12">
        <v>3360700102.25</v>
      </c>
      <c r="M3006">
        <v>20.945401661367001</v>
      </c>
      <c r="N3006" s="7">
        <v>1.12563731722233</v>
      </c>
      <c r="O3006" s="7">
        <v>0.58179542169867604</v>
      </c>
      <c r="P3006" s="7">
        <v>-123.42916940115801</v>
      </c>
      <c r="Q3006" s="7">
        <v>1.6100178890876564</v>
      </c>
      <c r="U3006">
        <v>0.28731679082324463</v>
      </c>
      <c r="AT3006" s="4" t="s">
        <v>8354</v>
      </c>
    </row>
    <row r="3007" spans="1:46">
      <c r="A3007" s="2">
        <v>3209</v>
      </c>
      <c r="B3007" t="s">
        <v>8355</v>
      </c>
      <c r="C3007" t="s">
        <v>2704</v>
      </c>
      <c r="D3007" t="s">
        <v>3752</v>
      </c>
      <c r="E3007" s="4">
        <v>43465</v>
      </c>
      <c r="F3007" s="11">
        <v>-42.099930970000003</v>
      </c>
      <c r="G3007" s="11">
        <v>-19.288256230000002</v>
      </c>
      <c r="H3007" s="11">
        <v>17.629892098199999</v>
      </c>
      <c r="I3007" s="11">
        <v>22.6417089125</v>
      </c>
      <c r="J3007" s="11">
        <v>5.9734746117000004</v>
      </c>
      <c r="K3007" s="10">
        <v>0.891851941797</v>
      </c>
      <c r="L3007" s="12">
        <v>2743598644.3600001</v>
      </c>
      <c r="M3007">
        <v>39.836899087756002</v>
      </c>
      <c r="N3007" s="7">
        <v>3.574795492307</v>
      </c>
      <c r="O3007" s="7">
        <v>2.34089648918496</v>
      </c>
      <c r="P3007" s="7">
        <v>-152.06577040604</v>
      </c>
      <c r="Q3007" s="7">
        <v>0.93002058031366031</v>
      </c>
      <c r="U3007">
        <v>0.42481237755094331</v>
      </c>
      <c r="AT3007" s="4" t="s">
        <v>3950</v>
      </c>
    </row>
    <row r="3008" spans="1:46">
      <c r="A3008" s="2">
        <v>2120</v>
      </c>
      <c r="B3008" t="s">
        <v>8356</v>
      </c>
      <c r="C3008" t="s">
        <v>2851</v>
      </c>
      <c r="D3008" t="s">
        <v>4060</v>
      </c>
      <c r="E3008" s="4">
        <v>43465</v>
      </c>
      <c r="F3008" s="11">
        <v>-15.00624696</v>
      </c>
      <c r="G3008" s="11">
        <v>-19.304229200000002</v>
      </c>
      <c r="H3008" s="11">
        <v>18.1252101117</v>
      </c>
      <c r="I3008" s="11">
        <v>31.267491213700001</v>
      </c>
      <c r="J3008" s="11">
        <v>10.2283977641</v>
      </c>
      <c r="K3008" s="10">
        <v>0.91208301445499995</v>
      </c>
      <c r="L3008" s="12">
        <v>3334344790.29</v>
      </c>
      <c r="M3008">
        <v>27.6918188150274</v>
      </c>
      <c r="N3008" s="7">
        <v>2.7550043882333801</v>
      </c>
      <c r="O3008" s="7">
        <v>2.2489270741513199</v>
      </c>
      <c r="P3008" s="7">
        <v>-7.1674389814130404</v>
      </c>
      <c r="Q3008" s="7">
        <v>1.6712357012787256</v>
      </c>
      <c r="U3008">
        <v>0.69379931508333337</v>
      </c>
      <c r="AT3008" s="4" t="s">
        <v>3910</v>
      </c>
    </row>
    <row r="3009" spans="1:46">
      <c r="A3009" s="2">
        <v>3392</v>
      </c>
      <c r="B3009" t="s">
        <v>8357</v>
      </c>
      <c r="C3009" t="s">
        <v>2536</v>
      </c>
      <c r="D3009" t="s">
        <v>3858</v>
      </c>
      <c r="E3009" s="4">
        <v>43465</v>
      </c>
      <c r="F3009" s="11">
        <v>-35.041811119999998</v>
      </c>
      <c r="G3009" s="11">
        <v>-19.322709159999999</v>
      </c>
      <c r="H3009" s="11">
        <v>47.801796420300001</v>
      </c>
      <c r="I3009" s="11">
        <v>25.011738422200001</v>
      </c>
      <c r="J3009" s="11">
        <v>10.880162780099999</v>
      </c>
      <c r="K3009" s="10">
        <v>0.58618676190600005</v>
      </c>
      <c r="L3009" s="12">
        <v>2466304125.5999999</v>
      </c>
      <c r="M3009">
        <v>17.212473150571899</v>
      </c>
      <c r="N3009" s="7">
        <v>2.56822627224052</v>
      </c>
      <c r="O3009" s="7">
        <v>1.86739511733174</v>
      </c>
      <c r="P3009" s="7">
        <v>340.54899086642303</v>
      </c>
      <c r="Q3009" s="7">
        <v>1.0010910860085029</v>
      </c>
      <c r="U3009">
        <v>0.65567222017726556</v>
      </c>
      <c r="AT3009" s="4" t="s">
        <v>6411</v>
      </c>
    </row>
    <row r="3010" spans="1:46">
      <c r="A3010" s="2">
        <v>2422</v>
      </c>
      <c r="B3010" t="s">
        <v>8358</v>
      </c>
      <c r="C3010" t="s">
        <v>901</v>
      </c>
      <c r="D3010" t="s">
        <v>3713</v>
      </c>
      <c r="E3010" s="4">
        <v>43465</v>
      </c>
      <c r="F3010" s="11">
        <v>-59.604529749999998</v>
      </c>
      <c r="G3010" s="11">
        <v>-19.437340150000001</v>
      </c>
      <c r="H3010" s="11">
        <v>-21.810762393400001</v>
      </c>
      <c r="I3010" s="11">
        <v>9.0864922847000003</v>
      </c>
      <c r="J3010" s="11">
        <v>2.5407212271000001</v>
      </c>
      <c r="K3010" s="10">
        <v>1.3304895766610001</v>
      </c>
      <c r="L3010" s="12">
        <v>10900841958.76</v>
      </c>
      <c r="M3010">
        <v>11.1112927751818</v>
      </c>
      <c r="N3010" s="7">
        <v>1.70695329311977</v>
      </c>
      <c r="O3010" s="7">
        <v>0.37346456380075099</v>
      </c>
      <c r="P3010" s="7">
        <v>-16.336571659827001</v>
      </c>
      <c r="Q3010" s="7" t="s">
        <v>3698</v>
      </c>
      <c r="U3010">
        <v>0.20685947519254622</v>
      </c>
      <c r="AT3010" s="4" t="s">
        <v>7325</v>
      </c>
    </row>
    <row r="3011" spans="1:46">
      <c r="A3011" s="2">
        <v>1605</v>
      </c>
      <c r="B3011" t="s">
        <v>8359</v>
      </c>
      <c r="C3011" t="s">
        <v>1333</v>
      </c>
      <c r="D3011" t="s">
        <v>3752</v>
      </c>
      <c r="E3011" s="4">
        <v>43465</v>
      </c>
      <c r="F3011" s="11">
        <v>-2.4444085200000001</v>
      </c>
      <c r="G3011" s="11">
        <v>-19.461883409999999</v>
      </c>
      <c r="H3011" s="11">
        <v>22.331357975500001</v>
      </c>
      <c r="I3011" s="11">
        <v>26.585900024000001</v>
      </c>
      <c r="J3011" s="11">
        <v>9.8369393523999999</v>
      </c>
      <c r="K3011" s="10">
        <v>0.43290809578200001</v>
      </c>
      <c r="L3011" s="12">
        <v>2173163960</v>
      </c>
      <c r="M3011">
        <v>41.709491771695703</v>
      </c>
      <c r="N3011" s="7">
        <v>3.6387207072074599</v>
      </c>
      <c r="O3011" s="7">
        <v>4.1566851283533399</v>
      </c>
      <c r="P3011" s="7">
        <v>-261.73778881949499</v>
      </c>
      <c r="Q3011" s="7">
        <v>0.26974951830443156</v>
      </c>
      <c r="U3011">
        <v>0.26009157952077416</v>
      </c>
      <c r="AT3011" s="4" t="s">
        <v>5528</v>
      </c>
    </row>
    <row r="3012" spans="1:46">
      <c r="A3012" s="2">
        <v>3264</v>
      </c>
      <c r="B3012" t="s">
        <v>8360</v>
      </c>
      <c r="C3012" t="s">
        <v>1468</v>
      </c>
      <c r="D3012" t="s">
        <v>3858</v>
      </c>
      <c r="E3012" s="4">
        <v>43465</v>
      </c>
      <c r="F3012" s="11">
        <v>-23.591360179999999</v>
      </c>
      <c r="G3012" s="11">
        <v>-19.53182151</v>
      </c>
      <c r="H3012" s="11">
        <v>37.2062812928</v>
      </c>
      <c r="I3012" s="11">
        <v>19.801770321199999</v>
      </c>
      <c r="J3012" s="11">
        <v>7.500492328</v>
      </c>
      <c r="K3012" s="10">
        <v>0.91767781722999997</v>
      </c>
      <c r="L3012" s="12">
        <v>7324674534.3000002</v>
      </c>
      <c r="M3012">
        <v>31.180424475848302</v>
      </c>
      <c r="N3012" s="7">
        <v>3.5370510908496402</v>
      </c>
      <c r="O3012" s="7">
        <v>2.36368195592306</v>
      </c>
      <c r="P3012" s="7">
        <v>91.122040405578801</v>
      </c>
      <c r="Q3012" s="7">
        <v>1.0101010101010102</v>
      </c>
      <c r="U3012">
        <v>0.45853364599218349</v>
      </c>
      <c r="AT3012" s="4" t="s">
        <v>8361</v>
      </c>
    </row>
    <row r="3013" spans="1:46">
      <c r="A3013" s="2">
        <v>2406</v>
      </c>
      <c r="B3013" t="s">
        <v>8362</v>
      </c>
      <c r="C3013" t="s">
        <v>2291</v>
      </c>
      <c r="D3013" t="s">
        <v>3752</v>
      </c>
      <c r="E3013" s="4">
        <v>43465</v>
      </c>
      <c r="F3013" s="11">
        <v>-27.12869121</v>
      </c>
      <c r="G3013" s="11">
        <v>-19.611307419999999</v>
      </c>
      <c r="H3013" s="11">
        <v>3.6655803840000001</v>
      </c>
      <c r="I3013" s="11">
        <v>16.808574671999999</v>
      </c>
      <c r="J3013" s="11">
        <v>6.4757345431999997</v>
      </c>
      <c r="K3013" s="10">
        <v>0.52740937985699998</v>
      </c>
      <c r="L3013" s="12">
        <v>5526195902.3100004</v>
      </c>
      <c r="M3013">
        <v>20.434079295738702</v>
      </c>
      <c r="N3013" s="7">
        <v>1.05447833166071</v>
      </c>
      <c r="O3013" s="7">
        <v>0.91906568377478104</v>
      </c>
      <c r="P3013" s="7">
        <v>131.63376400307499</v>
      </c>
      <c r="Q3013" s="7">
        <v>2.2486772486772488</v>
      </c>
      <c r="U3013">
        <v>0.28139443655291063</v>
      </c>
      <c r="AT3013" s="4" t="s">
        <v>6243</v>
      </c>
    </row>
    <row r="3014" spans="1:46">
      <c r="A3014" s="2">
        <v>1502</v>
      </c>
      <c r="B3014" t="s">
        <v>8363</v>
      </c>
      <c r="C3014" t="s">
        <v>2618</v>
      </c>
      <c r="D3014" t="s">
        <v>3721</v>
      </c>
      <c r="E3014" s="4">
        <v>43465</v>
      </c>
      <c r="F3014" s="11">
        <v>-39.9</v>
      </c>
      <c r="G3014" s="11">
        <v>-19.621109610000001</v>
      </c>
      <c r="H3014" s="11">
        <v>-13.3673597023</v>
      </c>
      <c r="I3014" s="11">
        <v>35.055874896900001</v>
      </c>
      <c r="J3014" s="11">
        <v>-296.6252325383</v>
      </c>
      <c r="K3014" s="10">
        <v>0.206569760809</v>
      </c>
      <c r="L3014" s="12">
        <v>2266851127.6199999</v>
      </c>
      <c r="M3014">
        <v>-7.1306654609118203</v>
      </c>
      <c r="N3014" s="7">
        <v>4.9433124217413402</v>
      </c>
      <c r="O3014" s="7">
        <v>6.26661259657127</v>
      </c>
      <c r="P3014" s="7">
        <v>-76.322352286382397</v>
      </c>
      <c r="Q3014" s="7" t="s">
        <v>3698</v>
      </c>
      <c r="U3014">
        <v>-2.894935422612376</v>
      </c>
      <c r="AT3014" s="4" t="s">
        <v>4170</v>
      </c>
    </row>
    <row r="3015" spans="1:46">
      <c r="A3015" s="2">
        <v>2425</v>
      </c>
      <c r="B3015" t="s">
        <v>8364</v>
      </c>
      <c r="C3015" t="s">
        <v>763</v>
      </c>
      <c r="D3015" t="s">
        <v>3849</v>
      </c>
      <c r="E3015" s="4">
        <v>43465</v>
      </c>
      <c r="F3015" s="11">
        <v>-58.337857280000001</v>
      </c>
      <c r="G3015" s="11">
        <v>-19.7044335</v>
      </c>
      <c r="H3015" s="11">
        <v>3.3983061059000002</v>
      </c>
      <c r="I3015" s="11">
        <v>10.3105878866</v>
      </c>
      <c r="J3015" s="11">
        <v>2.3914374450999998</v>
      </c>
      <c r="K3015" s="10">
        <v>1.200938302727</v>
      </c>
      <c r="L3015" s="12">
        <v>7923062000</v>
      </c>
      <c r="M3015">
        <v>9.9769641519570005</v>
      </c>
      <c r="N3015" s="7">
        <v>1.9368964639431601</v>
      </c>
      <c r="O3015" s="7">
        <v>0.197436512053379</v>
      </c>
      <c r="P3015" s="7">
        <v>-28.111135155970501</v>
      </c>
      <c r="Q3015" s="7">
        <v>0.45040317122215578</v>
      </c>
      <c r="U3015">
        <v>0.39639365957729966</v>
      </c>
      <c r="AT3015" s="4" t="s">
        <v>8365</v>
      </c>
    </row>
    <row r="3016" spans="1:46">
      <c r="A3016" s="2">
        <v>1635</v>
      </c>
      <c r="B3016" t="s">
        <v>8366</v>
      </c>
      <c r="C3016" t="s">
        <v>1880</v>
      </c>
      <c r="D3016" t="s">
        <v>3718</v>
      </c>
      <c r="E3016" s="4">
        <v>43465</v>
      </c>
      <c r="F3016" s="11">
        <v>-42.864285539999997</v>
      </c>
      <c r="G3016" s="11">
        <v>-19.718309860000002</v>
      </c>
      <c r="H3016" s="11">
        <v>-8.1952507706999995</v>
      </c>
      <c r="I3016" s="11">
        <v>35.550248378600003</v>
      </c>
      <c r="J3016" s="11">
        <v>-25.797876016699998</v>
      </c>
      <c r="K3016" s="10">
        <v>0.16215025052099999</v>
      </c>
      <c r="L3016" s="12">
        <v>2474881237.4400001</v>
      </c>
      <c r="M3016">
        <v>142.26979228995299</v>
      </c>
      <c r="N3016" s="7">
        <v>1.7310200571638401</v>
      </c>
      <c r="O3016" s="7">
        <v>5.1852015627810699</v>
      </c>
      <c r="P3016" s="7">
        <v>-33.4921662002711</v>
      </c>
      <c r="Q3016" s="7" t="s">
        <v>3698</v>
      </c>
      <c r="U3016">
        <v>-0.19965086323074341</v>
      </c>
      <c r="AT3016" s="4" t="s">
        <v>5241</v>
      </c>
    </row>
    <row r="3017" spans="1:46">
      <c r="A3017" s="2">
        <v>3566</v>
      </c>
      <c r="B3017" t="s">
        <v>8367</v>
      </c>
      <c r="C3017" t="s">
        <v>1714</v>
      </c>
      <c r="D3017" t="s">
        <v>3737</v>
      </c>
      <c r="E3017" s="4">
        <v>43465</v>
      </c>
      <c r="F3017" s="11">
        <v>-24.816703820000001</v>
      </c>
      <c r="G3017" s="11">
        <v>-19.738924050000001</v>
      </c>
      <c r="H3017" s="11">
        <v>-1.4365783047</v>
      </c>
      <c r="I3017" s="11">
        <v>82.789513395300006</v>
      </c>
      <c r="J3017" s="11">
        <v>13.9592142872</v>
      </c>
      <c r="K3017" s="10">
        <v>0.69679546281500004</v>
      </c>
      <c r="L3017" s="12">
        <v>3529262246.0999999</v>
      </c>
      <c r="M3017">
        <v>17.186135691696698</v>
      </c>
      <c r="N3017" s="7">
        <v>2.5684236376627299</v>
      </c>
      <c r="O3017" s="7">
        <v>1.6349659429091801</v>
      </c>
      <c r="P3017" s="7">
        <v>19.4342979965494</v>
      </c>
      <c r="Q3017" s="7">
        <v>6.083171712058431</v>
      </c>
      <c r="U3017">
        <v>2.1305654405194394</v>
      </c>
      <c r="AT3017" s="4" t="s">
        <v>4117</v>
      </c>
    </row>
    <row r="3018" spans="1:46">
      <c r="A3018" s="2">
        <v>1202</v>
      </c>
      <c r="B3018" t="s">
        <v>8368</v>
      </c>
      <c r="C3018" t="s">
        <v>3002</v>
      </c>
      <c r="D3018" t="s">
        <v>3718</v>
      </c>
      <c r="E3018" s="4">
        <v>43465</v>
      </c>
      <c r="F3018" s="11">
        <v>-57.592569240000003</v>
      </c>
      <c r="G3018" s="11">
        <v>-19.756427599999999</v>
      </c>
      <c r="H3018" s="11">
        <v>3.6746740342000002</v>
      </c>
      <c r="I3018" s="11">
        <v>33.331776312700001</v>
      </c>
      <c r="J3018" s="11">
        <v>3.6163693341999998</v>
      </c>
      <c r="K3018" s="10">
        <v>0.419671961471</v>
      </c>
      <c r="L3018" s="12">
        <v>4773042860.4899998</v>
      </c>
      <c r="M3018">
        <v>212.46719372838399</v>
      </c>
      <c r="N3018" s="7">
        <v>2.8656808513427001</v>
      </c>
      <c r="O3018" s="7">
        <v>5.4704676196694297</v>
      </c>
      <c r="P3018" s="7">
        <v>88.507250621513904</v>
      </c>
      <c r="Q3018" s="7">
        <v>0.12089810017271159</v>
      </c>
      <c r="U3018">
        <v>4.4314340117647059E-2</v>
      </c>
      <c r="AT3018" s="4" t="s">
        <v>4164</v>
      </c>
    </row>
    <row r="3019" spans="1:46">
      <c r="A3019" s="2">
        <v>2073</v>
      </c>
      <c r="B3019" t="s">
        <v>8369</v>
      </c>
      <c r="C3019" t="s">
        <v>2574</v>
      </c>
      <c r="D3019" t="s">
        <v>3889</v>
      </c>
      <c r="E3019" s="4">
        <v>43465</v>
      </c>
      <c r="F3019" s="11">
        <v>-42.800949850000002</v>
      </c>
      <c r="G3019" s="11">
        <v>-19.82758621</v>
      </c>
      <c r="H3019" s="11">
        <v>0.11929099379999999</v>
      </c>
      <c r="I3019" s="11">
        <v>29.905816225399999</v>
      </c>
      <c r="J3019" s="11">
        <v>8.4265315753000003</v>
      </c>
      <c r="K3019" s="10">
        <v>0.59557991095100005</v>
      </c>
      <c r="L3019" s="12">
        <v>2544201520</v>
      </c>
      <c r="M3019">
        <v>57.760116030023397</v>
      </c>
      <c r="N3019" s="7">
        <v>4.3632708732676004</v>
      </c>
      <c r="O3019" s="7">
        <v>4.9136811952196799</v>
      </c>
      <c r="P3019" s="7">
        <v>-17.379159988657101</v>
      </c>
      <c r="Q3019" s="7">
        <v>0.66539923954372615</v>
      </c>
      <c r="U3019">
        <v>0.22715183110158899</v>
      </c>
      <c r="AT3019" s="4" t="s">
        <v>4158</v>
      </c>
    </row>
    <row r="3020" spans="1:46">
      <c r="A3020" s="2">
        <v>1309</v>
      </c>
      <c r="B3020" t="s">
        <v>8370</v>
      </c>
      <c r="C3020" t="s">
        <v>2024</v>
      </c>
      <c r="D3020" t="s">
        <v>3752</v>
      </c>
      <c r="E3020" s="4">
        <v>43465</v>
      </c>
      <c r="F3020" s="11">
        <v>-39.108033419999998</v>
      </c>
      <c r="G3020" s="11">
        <v>-19.863945579999999</v>
      </c>
      <c r="H3020" s="11">
        <v>-17.481053961200001</v>
      </c>
      <c r="I3020" s="11">
        <v>21.021942822700002</v>
      </c>
      <c r="J3020" s="11">
        <v>6.1586960166000004</v>
      </c>
      <c r="K3020" s="10">
        <v>0.34523903969500003</v>
      </c>
      <c r="L3020" s="12">
        <v>6164020165.1999998</v>
      </c>
      <c r="M3020">
        <v>71.557685971620899</v>
      </c>
      <c r="N3020" s="7">
        <v>2.4546451160012199</v>
      </c>
      <c r="O3020" s="7">
        <v>4.8423834881299399</v>
      </c>
      <c r="P3020" s="7">
        <v>1137.97950878953</v>
      </c>
      <c r="Q3020" s="7">
        <v>0.18581081081081086</v>
      </c>
      <c r="U3020">
        <v>0.16828249145116589</v>
      </c>
      <c r="AT3020" s="4" t="s">
        <v>8371</v>
      </c>
    </row>
    <row r="3021" spans="1:46">
      <c r="A3021" s="2">
        <v>991</v>
      </c>
      <c r="B3021" t="s">
        <v>8372</v>
      </c>
      <c r="C3021" t="s">
        <v>2937</v>
      </c>
      <c r="D3021" t="s">
        <v>3849</v>
      </c>
      <c r="E3021" s="4">
        <v>43465</v>
      </c>
      <c r="F3021" s="11">
        <v>-44.855643100000002</v>
      </c>
      <c r="G3021" s="11">
        <v>-19.87704918</v>
      </c>
      <c r="H3021" s="11">
        <v>18.068443704300002</v>
      </c>
      <c r="I3021" s="11">
        <v>21.803801671999999</v>
      </c>
      <c r="J3021" s="11">
        <v>1.4337402501000001</v>
      </c>
      <c r="K3021" s="10">
        <v>0.30973655684899998</v>
      </c>
      <c r="L3021" s="12">
        <v>6575822457.6000004</v>
      </c>
      <c r="M3021">
        <v>-18.773140612765399</v>
      </c>
      <c r="N3021" s="7">
        <v>1.4172954573305001</v>
      </c>
      <c r="O3021" s="7">
        <v>1.50556198910834</v>
      </c>
      <c r="P3021" s="7">
        <v>-18.581752715976801</v>
      </c>
      <c r="Q3021" s="7" t="s">
        <v>3698</v>
      </c>
      <c r="U3021">
        <v>2.0089051194757894E-2</v>
      </c>
      <c r="AT3021" s="4" t="s">
        <v>3807</v>
      </c>
    </row>
    <row r="3022" spans="1:46">
      <c r="A3022" s="2">
        <v>216</v>
      </c>
      <c r="B3022" t="s">
        <v>8373</v>
      </c>
      <c r="C3022" t="s">
        <v>1042</v>
      </c>
      <c r="D3022" t="s">
        <v>3832</v>
      </c>
      <c r="E3022" s="4">
        <v>43465</v>
      </c>
      <c r="F3022" s="11">
        <v>-21.614583329999999</v>
      </c>
      <c r="G3022" s="11">
        <v>-19.946452480000001</v>
      </c>
      <c r="H3022" s="11">
        <v>5.7657692532000002</v>
      </c>
      <c r="I3022" s="11">
        <v>60.1729215915</v>
      </c>
      <c r="J3022" s="11">
        <v>2.2133460264</v>
      </c>
      <c r="K3022" s="10">
        <v>0.33604642177100003</v>
      </c>
      <c r="L3022" s="12">
        <v>1426786299.25</v>
      </c>
      <c r="M3022">
        <v>2399.2336501431801</v>
      </c>
      <c r="N3022" s="7">
        <v>34.964295967377502</v>
      </c>
      <c r="O3022" s="7">
        <v>92.058707134638098</v>
      </c>
      <c r="P3022" s="7">
        <v>486.40244419612497</v>
      </c>
      <c r="Q3022" s="7" t="s">
        <v>3698</v>
      </c>
      <c r="U3022">
        <v>1.7942383685800602E-3</v>
      </c>
      <c r="AT3022" s="4" t="s">
        <v>8242</v>
      </c>
    </row>
    <row r="3023" spans="1:46">
      <c r="A3023" s="2">
        <v>2144</v>
      </c>
      <c r="B3023" t="s">
        <v>8374</v>
      </c>
      <c r="C3023" t="s">
        <v>3552</v>
      </c>
      <c r="D3023" t="s">
        <v>3713</v>
      </c>
      <c r="E3023" s="4">
        <v>43465</v>
      </c>
      <c r="F3023" s="11">
        <v>-41.26952524</v>
      </c>
      <c r="G3023" s="11">
        <v>-20</v>
      </c>
      <c r="H3023" s="11">
        <v>8.1909250135999994</v>
      </c>
      <c r="I3023" s="11">
        <v>36.448457417599997</v>
      </c>
      <c r="J3023" s="11">
        <v>10.613976932</v>
      </c>
      <c r="K3023" s="10">
        <v>0.54425725873899999</v>
      </c>
      <c r="L3023" s="12">
        <v>1712628300</v>
      </c>
      <c r="M3023">
        <v>67.215970228426301</v>
      </c>
      <c r="N3023" s="7">
        <v>6.9691748531114497</v>
      </c>
      <c r="O3023" s="7">
        <v>8.1788590336919107</v>
      </c>
      <c r="P3023" s="7">
        <v>28.936615303196199</v>
      </c>
      <c r="Q3023" s="7">
        <v>0.44378698224852065</v>
      </c>
      <c r="U3023">
        <v>0.22221331294468658</v>
      </c>
      <c r="AT3023" s="4" t="s">
        <v>5718</v>
      </c>
    </row>
    <row r="3024" spans="1:46">
      <c r="A3024" s="2">
        <v>2774</v>
      </c>
      <c r="B3024" t="s">
        <v>8375</v>
      </c>
      <c r="C3024" t="s">
        <v>3343</v>
      </c>
      <c r="D3024" t="s">
        <v>3713</v>
      </c>
      <c r="E3024" s="4">
        <v>43465</v>
      </c>
      <c r="F3024" s="11">
        <v>-82.17821782</v>
      </c>
      <c r="G3024" s="11">
        <v>-20</v>
      </c>
      <c r="H3024" s="11">
        <v>-90.086128182099998</v>
      </c>
      <c r="I3024" s="11">
        <v>34.268468254600002</v>
      </c>
      <c r="J3024" s="11">
        <v>-1124.2892844989999</v>
      </c>
      <c r="K3024" s="10">
        <v>4.0305056414E-2</v>
      </c>
      <c r="L3024" s="12">
        <v>14000223473.950001</v>
      </c>
      <c r="M3024">
        <v>-5.0594990574724203</v>
      </c>
      <c r="N3024" s="7">
        <v>-53.658609957389601</v>
      </c>
      <c r="O3024" s="7">
        <v>1.4470402044922801</v>
      </c>
      <c r="P3024" s="7">
        <v>-2.1777157561452598</v>
      </c>
      <c r="Q3024" s="7" t="s">
        <v>3698</v>
      </c>
      <c r="U3024">
        <v>-3.5598400893125879</v>
      </c>
      <c r="AT3024" s="4" t="s">
        <v>4421</v>
      </c>
    </row>
    <row r="3025" spans="1:46">
      <c r="A3025" s="2">
        <v>2439</v>
      </c>
      <c r="B3025" t="s">
        <v>8376</v>
      </c>
      <c r="C3025" t="s">
        <v>3258</v>
      </c>
      <c r="D3025" t="s">
        <v>3761</v>
      </c>
      <c r="E3025" s="4">
        <v>43465</v>
      </c>
      <c r="F3025" s="11">
        <v>-33.153341410000003</v>
      </c>
      <c r="G3025" s="11">
        <v>-20.049504949999999</v>
      </c>
      <c r="H3025" s="11">
        <v>20.737036035999999</v>
      </c>
      <c r="I3025" s="11">
        <v>14.142296651900001</v>
      </c>
      <c r="J3025" s="11">
        <v>2.3880274997000002</v>
      </c>
      <c r="K3025" s="10">
        <v>0.51875609623899999</v>
      </c>
      <c r="L3025" s="12">
        <v>4671633553.0799999</v>
      </c>
      <c r="M3025">
        <v>71.291929231245106</v>
      </c>
      <c r="N3025" s="7">
        <v>1.2648088824796799</v>
      </c>
      <c r="O3025" s="7">
        <v>1.3710299806600901</v>
      </c>
      <c r="P3025" s="7">
        <v>16.113566576122501</v>
      </c>
      <c r="Q3025" s="7">
        <v>0.99378881987577661</v>
      </c>
      <c r="U3025">
        <v>0.2110160228311368</v>
      </c>
      <c r="AT3025" s="4" t="s">
        <v>8377</v>
      </c>
    </row>
    <row r="3026" spans="1:46">
      <c r="A3026" s="2">
        <v>2128</v>
      </c>
      <c r="B3026" t="s">
        <v>8378</v>
      </c>
      <c r="C3026" t="s">
        <v>1343</v>
      </c>
      <c r="D3026" t="s">
        <v>3832</v>
      </c>
      <c r="E3026" s="4">
        <v>43465</v>
      </c>
      <c r="F3026" s="11">
        <v>-38.304216459999999</v>
      </c>
      <c r="G3026" s="11">
        <v>-20.314637479999998</v>
      </c>
      <c r="H3026" s="11">
        <v>21.5394149418</v>
      </c>
      <c r="I3026" s="11">
        <v>28.511480171599999</v>
      </c>
      <c r="J3026" s="11">
        <v>10.7197037853</v>
      </c>
      <c r="K3026" s="10">
        <v>0.52306972982599997</v>
      </c>
      <c r="L3026" s="12">
        <v>4727245437.7200003</v>
      </c>
      <c r="M3026">
        <v>27.605427512821201</v>
      </c>
      <c r="N3026" s="7">
        <v>2.20229841505691</v>
      </c>
      <c r="O3026" s="7">
        <v>3.21872424903844</v>
      </c>
      <c r="P3026" s="7">
        <v>33.075578794708903</v>
      </c>
      <c r="Q3026" s="7">
        <v>0.66255880209368578</v>
      </c>
      <c r="U3026">
        <v>0.52493813099657338</v>
      </c>
      <c r="AT3026" s="4" t="s">
        <v>6138</v>
      </c>
    </row>
    <row r="3027" spans="1:46">
      <c r="A3027" s="2">
        <v>1511</v>
      </c>
      <c r="B3027" t="s">
        <v>8379</v>
      </c>
      <c r="C3027" t="s">
        <v>2153</v>
      </c>
      <c r="D3027" t="s">
        <v>3737</v>
      </c>
      <c r="E3027" s="4">
        <v>43465</v>
      </c>
      <c r="F3027" s="11">
        <v>-50.127407410000004</v>
      </c>
      <c r="G3027" s="11">
        <v>-20.333333329999999</v>
      </c>
      <c r="H3027" s="11">
        <v>32.120327467499997</v>
      </c>
      <c r="I3027" s="11">
        <v>44.661305521499997</v>
      </c>
      <c r="J3027" s="11">
        <v>2.3811963273000001</v>
      </c>
      <c r="K3027" s="10">
        <v>0.39975427227400001</v>
      </c>
      <c r="L3027" s="12">
        <v>1910194783.2</v>
      </c>
      <c r="M3027">
        <v>76.757642575603299</v>
      </c>
      <c r="N3027" s="7">
        <v>2.18843388403105</v>
      </c>
      <c r="O3027" s="7">
        <v>3.4416885537358599</v>
      </c>
      <c r="P3027" s="7">
        <v>-16.208163687041299</v>
      </c>
      <c r="Q3027" s="7">
        <v>3.3185840707964607</v>
      </c>
      <c r="U3027">
        <v>2.9702707822222223E-2</v>
      </c>
      <c r="AT3027" s="4" t="s">
        <v>3892</v>
      </c>
    </row>
    <row r="3028" spans="1:46">
      <c r="A3028" s="2">
        <v>3366</v>
      </c>
      <c r="B3028" t="s">
        <v>8380</v>
      </c>
      <c r="C3028" t="s">
        <v>2620</v>
      </c>
      <c r="D3028" t="s">
        <v>3849</v>
      </c>
      <c r="E3028" s="4">
        <v>43465</v>
      </c>
      <c r="F3028" s="11">
        <v>-27.142147229999999</v>
      </c>
      <c r="G3028" s="11">
        <v>-20.39473684</v>
      </c>
      <c r="H3028" s="11">
        <v>1.8943667926000001</v>
      </c>
      <c r="I3028" s="11">
        <v>24.8997316795</v>
      </c>
      <c r="J3028" s="11">
        <v>2.1335214258000001</v>
      </c>
      <c r="K3028" s="10">
        <v>0.94606666660399996</v>
      </c>
      <c r="L3028" s="12">
        <v>2686844665.4499998</v>
      </c>
      <c r="M3028">
        <v>-4202.3993180962298</v>
      </c>
      <c r="N3028" s="7">
        <v>3.6114253518689501</v>
      </c>
      <c r="O3028" s="7">
        <v>2.5240051292672199</v>
      </c>
      <c r="P3028" s="7">
        <v>-26.7581825345334</v>
      </c>
      <c r="Q3028" s="7">
        <v>0.33014196104324861</v>
      </c>
      <c r="U3028">
        <v>4.1014406513593775E-2</v>
      </c>
      <c r="AT3028" s="4" t="s">
        <v>7263</v>
      </c>
    </row>
    <row r="3029" spans="1:46">
      <c r="A3029" s="2">
        <v>2652</v>
      </c>
      <c r="B3029" t="s">
        <v>8381</v>
      </c>
      <c r="C3029" t="s">
        <v>2769</v>
      </c>
      <c r="D3029" t="s">
        <v>3718</v>
      </c>
      <c r="E3029" s="4">
        <v>43465</v>
      </c>
      <c r="F3029" s="11">
        <v>-54.607508529999997</v>
      </c>
      <c r="G3029" s="11">
        <v>-20.509708740000001</v>
      </c>
      <c r="H3029" s="11">
        <v>3.5910889835000002</v>
      </c>
      <c r="I3029" s="11">
        <v>25.379555443600001</v>
      </c>
      <c r="J3029" s="11">
        <v>1.6871198774</v>
      </c>
      <c r="K3029" s="10">
        <v>1.304234282338</v>
      </c>
      <c r="L3029" s="12">
        <v>8986613216.4300003</v>
      </c>
      <c r="M3029">
        <v>-154.518827413753</v>
      </c>
      <c r="N3029" s="7">
        <v>1.5203803923414301</v>
      </c>
      <c r="O3029" s="7">
        <v>5.4327413134604203</v>
      </c>
      <c r="P3029" s="7">
        <v>-9690.5836442989093</v>
      </c>
      <c r="Q3029" s="7" t="s">
        <v>3698</v>
      </c>
      <c r="U3029">
        <v>0.46443469633341283</v>
      </c>
      <c r="AT3029" s="4" t="s">
        <v>8382</v>
      </c>
    </row>
    <row r="3030" spans="1:46">
      <c r="A3030" s="2">
        <v>1622</v>
      </c>
      <c r="B3030" t="s">
        <v>8383</v>
      </c>
      <c r="C3030" t="s">
        <v>3416</v>
      </c>
      <c r="D3030" t="s">
        <v>3764</v>
      </c>
      <c r="E3030" s="4">
        <v>43465</v>
      </c>
      <c r="F3030" s="11">
        <v>-61.907401370000002</v>
      </c>
      <c r="G3030" s="11">
        <v>-20.580474930000001</v>
      </c>
      <c r="H3030" s="11">
        <v>-5.3611623641000001</v>
      </c>
      <c r="I3030" s="11">
        <v>25.786782763400002</v>
      </c>
      <c r="J3030" s="11">
        <v>3.8673380608999999</v>
      </c>
      <c r="K3030" s="10">
        <v>0.344502639542</v>
      </c>
      <c r="L3030" s="12">
        <v>1158197897.3599999</v>
      </c>
      <c r="M3030">
        <v>13.424122095066201</v>
      </c>
      <c r="N3030" s="7">
        <v>1.61951814673209</v>
      </c>
      <c r="O3030" s="7">
        <v>0.88443374840236499</v>
      </c>
      <c r="P3030" s="7">
        <v>-6.5084018213281496</v>
      </c>
      <c r="Q3030" s="7">
        <v>0.47318551243976598</v>
      </c>
      <c r="U3030">
        <v>0.13349163802074671</v>
      </c>
      <c r="AT3030" s="4" t="s">
        <v>5305</v>
      </c>
    </row>
    <row r="3031" spans="1:46">
      <c r="A3031" s="2">
        <v>3572</v>
      </c>
      <c r="B3031" t="s">
        <v>8384</v>
      </c>
      <c r="C3031" t="s">
        <v>3205</v>
      </c>
      <c r="D3031" t="s">
        <v>3713</v>
      </c>
      <c r="E3031" s="4">
        <v>43465</v>
      </c>
      <c r="F3031" s="11">
        <v>-16.281676180000002</v>
      </c>
      <c r="G3031" s="11">
        <v>-20.611702130000001</v>
      </c>
      <c r="H3031" s="11">
        <v>20.695107829800001</v>
      </c>
      <c r="I3031" s="11">
        <v>40.39505217</v>
      </c>
      <c r="J3031" s="11">
        <v>12.081081131199999</v>
      </c>
      <c r="K3031" s="10">
        <v>0.46332119895899998</v>
      </c>
      <c r="L3031" s="12">
        <v>1903200000</v>
      </c>
      <c r="M3031">
        <v>18.095532350762099</v>
      </c>
      <c r="N3031" s="7">
        <v>1.6424367988089701</v>
      </c>
      <c r="O3031" s="7">
        <v>1.8242423108655601</v>
      </c>
      <c r="P3031" s="7">
        <v>-18.2078343843142</v>
      </c>
      <c r="Q3031" s="7">
        <v>1.8199937704675064</v>
      </c>
      <c r="U3031">
        <v>1.0831134962861388</v>
      </c>
      <c r="AT3031" s="4" t="s">
        <v>5588</v>
      </c>
    </row>
    <row r="3032" spans="1:46">
      <c r="A3032" s="2">
        <v>894</v>
      </c>
      <c r="B3032" t="s">
        <v>8385</v>
      </c>
      <c r="C3032" t="s">
        <v>1686</v>
      </c>
      <c r="D3032" t="s">
        <v>3713</v>
      </c>
      <c r="E3032" s="4">
        <v>43465</v>
      </c>
      <c r="F3032" s="11">
        <v>-53.32853806</v>
      </c>
      <c r="G3032" s="11">
        <v>-20.625528320000001</v>
      </c>
      <c r="H3032" s="11">
        <v>0.53711788709999997</v>
      </c>
      <c r="I3032" s="11">
        <v>44.313511091800002</v>
      </c>
      <c r="J3032" s="11">
        <v>8.2792592509999992</v>
      </c>
      <c r="K3032" s="10">
        <v>0.25577656082700001</v>
      </c>
      <c r="L3032" s="12">
        <v>1843207284.27</v>
      </c>
      <c r="M3032">
        <v>22.103515929376499</v>
      </c>
      <c r="N3032" s="7">
        <v>3.2179983205352101</v>
      </c>
      <c r="O3032" s="7">
        <v>1.7565138980675301</v>
      </c>
      <c r="P3032" s="7">
        <v>-27.134800877379998</v>
      </c>
      <c r="Q3032" s="7" t="s">
        <v>3698</v>
      </c>
      <c r="U3032">
        <v>0.25693620365578645</v>
      </c>
      <c r="AT3032" s="4" t="s">
        <v>5595</v>
      </c>
    </row>
    <row r="3033" spans="1:46">
      <c r="A3033" s="2">
        <v>3147</v>
      </c>
      <c r="B3033" t="s">
        <v>8386</v>
      </c>
      <c r="C3033" t="s">
        <v>2196</v>
      </c>
      <c r="D3033" t="s">
        <v>3849</v>
      </c>
      <c r="E3033" s="4">
        <v>43465</v>
      </c>
      <c r="F3033" s="11">
        <v>-38.615839659999999</v>
      </c>
      <c r="G3033" s="11">
        <v>-20.731707320000002</v>
      </c>
      <c r="H3033" s="11">
        <v>3.8242707727999998</v>
      </c>
      <c r="I3033" s="11">
        <v>22.1636090282</v>
      </c>
      <c r="J3033" s="11">
        <v>5.9331524126000001</v>
      </c>
      <c r="K3033" s="10">
        <v>0.59801952749099996</v>
      </c>
      <c r="L3033" s="12">
        <v>11703337384.040001</v>
      </c>
      <c r="M3033">
        <v>30.836849163674302</v>
      </c>
      <c r="N3033" s="7">
        <v>2.0264155719594799</v>
      </c>
      <c r="O3033" s="7">
        <v>1.2583775874455301</v>
      </c>
      <c r="P3033" s="7">
        <v>55.856027507229498</v>
      </c>
      <c r="Q3033" s="7">
        <v>2.1520803443328549</v>
      </c>
      <c r="U3033">
        <v>0.39391956299507458</v>
      </c>
      <c r="AT3033" s="4" t="s">
        <v>8387</v>
      </c>
    </row>
    <row r="3034" spans="1:46">
      <c r="A3034" s="2">
        <v>2304</v>
      </c>
      <c r="B3034" t="s">
        <v>8388</v>
      </c>
      <c r="C3034" t="s">
        <v>3065</v>
      </c>
      <c r="D3034" t="s">
        <v>3737</v>
      </c>
      <c r="E3034" s="4">
        <v>43465</v>
      </c>
      <c r="F3034" s="11">
        <v>-75.902864260000001</v>
      </c>
      <c r="G3034" s="11">
        <v>-20.73921971</v>
      </c>
      <c r="H3034" s="11">
        <v>-55.760048651399998</v>
      </c>
      <c r="I3034" s="11">
        <v>8.4505666608999999</v>
      </c>
      <c r="J3034" s="11">
        <v>2.0961893125</v>
      </c>
      <c r="K3034" s="10">
        <v>0.24648162852700001</v>
      </c>
      <c r="L3034" s="12">
        <v>3497175896.7600002</v>
      </c>
      <c r="M3034">
        <v>-138.43384909164399</v>
      </c>
      <c r="N3034" s="7">
        <v>3.8305495543609598</v>
      </c>
      <c r="O3034" s="7">
        <v>5.69290947817501</v>
      </c>
      <c r="P3034" s="7">
        <v>47.451943613250698</v>
      </c>
      <c r="Q3034" s="7" t="s">
        <v>3698</v>
      </c>
      <c r="U3034">
        <v>1.3725850418926919E-2</v>
      </c>
      <c r="AT3034" s="4" t="s">
        <v>8389</v>
      </c>
    </row>
    <row r="3035" spans="1:46">
      <c r="A3035" s="2">
        <v>928</v>
      </c>
      <c r="B3035" t="s">
        <v>8390</v>
      </c>
      <c r="C3035" t="s">
        <v>3596</v>
      </c>
      <c r="D3035" t="s">
        <v>3713</v>
      </c>
      <c r="E3035" s="4">
        <v>43465</v>
      </c>
      <c r="F3035" s="11">
        <v>-46.661550269999999</v>
      </c>
      <c r="G3035" s="11">
        <v>-20.767494360000001</v>
      </c>
      <c r="H3035" s="11">
        <v>73.301470448000003</v>
      </c>
      <c r="I3035" s="11">
        <v>34.368025846599998</v>
      </c>
      <c r="J3035" s="11">
        <v>-23.239986348399999</v>
      </c>
      <c r="K3035" s="10">
        <v>0.44119701374100001</v>
      </c>
      <c r="L3035" s="12">
        <v>11505156879.65</v>
      </c>
      <c r="M3035">
        <v>-55.875170338161503</v>
      </c>
      <c r="N3035" s="7">
        <v>12.0068252835968</v>
      </c>
      <c r="O3035" s="7">
        <v>23.854890375166899</v>
      </c>
      <c r="P3035" s="7">
        <v>-21.3845256787354</v>
      </c>
      <c r="Q3035" s="7" t="s">
        <v>3698</v>
      </c>
      <c r="U3035">
        <v>-0.18173272429629631</v>
      </c>
      <c r="AT3035" s="4" t="s">
        <v>5926</v>
      </c>
    </row>
    <row r="3036" spans="1:46">
      <c r="A3036" s="2">
        <v>1924</v>
      </c>
      <c r="B3036" t="s">
        <v>8391</v>
      </c>
      <c r="C3036" t="s">
        <v>3434</v>
      </c>
      <c r="D3036" t="s">
        <v>3718</v>
      </c>
      <c r="E3036" s="4">
        <v>43465</v>
      </c>
      <c r="F3036" s="11">
        <v>-15.560759129999999</v>
      </c>
      <c r="G3036" s="11">
        <v>-20.976616230000001</v>
      </c>
      <c r="H3036" s="11">
        <v>16.886569371899999</v>
      </c>
      <c r="I3036" s="11">
        <v>35.8044136189</v>
      </c>
      <c r="J3036" s="11">
        <v>8.7994330950999995</v>
      </c>
      <c r="K3036" s="10">
        <v>0.553023708758</v>
      </c>
      <c r="L3036" s="12">
        <v>2887636530.0599999</v>
      </c>
      <c r="M3036">
        <v>60.5713730367804</v>
      </c>
      <c r="N3036" s="7">
        <v>2.6398186735281302</v>
      </c>
      <c r="O3036" s="7">
        <v>3.1841972717637201</v>
      </c>
      <c r="P3036" s="7">
        <v>-35.277654715527802</v>
      </c>
      <c r="Q3036" s="7">
        <v>0.70979237339737167</v>
      </c>
      <c r="U3036">
        <v>0.46369461129765871</v>
      </c>
      <c r="AT3036" s="4" t="s">
        <v>8392</v>
      </c>
    </row>
    <row r="3037" spans="1:46">
      <c r="A3037" s="2">
        <v>2614</v>
      </c>
      <c r="B3037" t="s">
        <v>8393</v>
      </c>
      <c r="C3037" t="s">
        <v>432</v>
      </c>
      <c r="D3037" t="s">
        <v>3737</v>
      </c>
      <c r="E3037" s="4">
        <v>43465</v>
      </c>
      <c r="F3037" s="11">
        <v>-37.58267979</v>
      </c>
      <c r="G3037" s="11">
        <v>-20.989583329999999</v>
      </c>
      <c r="H3037" s="11">
        <v>11.776864681499999</v>
      </c>
      <c r="I3037" s="11">
        <v>36.198964850899998</v>
      </c>
      <c r="J3037" s="11">
        <v>8.8492099845999999</v>
      </c>
      <c r="K3037" s="10">
        <v>0.77036928729800003</v>
      </c>
      <c r="L3037" s="12">
        <v>4046373343.3200002</v>
      </c>
      <c r="M3037">
        <v>20.017452625892702</v>
      </c>
      <c r="N3037" s="7">
        <v>2.8040912443259698</v>
      </c>
      <c r="O3037" s="7">
        <v>1.6173740709151101</v>
      </c>
      <c r="P3037" s="7">
        <v>18.856959004800199</v>
      </c>
      <c r="Q3037" s="7">
        <v>1.9659239842726079</v>
      </c>
      <c r="U3037">
        <v>1.0214864015054308</v>
      </c>
      <c r="AT3037" s="4" t="s">
        <v>8394</v>
      </c>
    </row>
    <row r="3038" spans="1:46">
      <c r="A3038" s="2">
        <v>2404</v>
      </c>
      <c r="B3038" t="s">
        <v>8395</v>
      </c>
      <c r="C3038" t="s">
        <v>3639</v>
      </c>
      <c r="D3038" t="s">
        <v>3781</v>
      </c>
      <c r="E3038" s="4">
        <v>43465</v>
      </c>
      <c r="F3038" s="11">
        <v>-63.5</v>
      </c>
      <c r="G3038" s="11">
        <v>-21.014492749999999</v>
      </c>
      <c r="H3038" s="11">
        <v>161.8889240407</v>
      </c>
      <c r="I3038" s="11">
        <v>20.293382153700001</v>
      </c>
      <c r="J3038" s="11">
        <v>11.2938517559</v>
      </c>
      <c r="K3038" s="10">
        <v>0.13314934323300001</v>
      </c>
      <c r="L3038" s="12">
        <v>5867991550.0799999</v>
      </c>
      <c r="M3038">
        <v>-62.607838408139997</v>
      </c>
      <c r="N3038" s="7">
        <v>9.2686137844935104</v>
      </c>
      <c r="O3038" s="7">
        <v>58.3550689544835</v>
      </c>
      <c r="P3038" s="7">
        <v>27.9679403027842</v>
      </c>
      <c r="Q3038" s="7" t="s">
        <v>3698</v>
      </c>
      <c r="U3038">
        <v>8.4136305880977997E-3</v>
      </c>
      <c r="AT3038" s="4" t="s">
        <v>8396</v>
      </c>
    </row>
    <row r="3039" spans="1:46">
      <c r="A3039" s="2">
        <v>3593</v>
      </c>
      <c r="B3039" t="s">
        <v>8397</v>
      </c>
      <c r="C3039" t="s">
        <v>317</v>
      </c>
      <c r="D3039" t="s">
        <v>4060</v>
      </c>
      <c r="E3039" s="4">
        <v>43465</v>
      </c>
      <c r="F3039" s="11">
        <v>-65.398241960000007</v>
      </c>
      <c r="G3039" s="11">
        <v>-21.074727119999999</v>
      </c>
      <c r="H3039" s="11">
        <v>-15.293373771900001</v>
      </c>
      <c r="I3039" s="11">
        <v>55.494937890099997</v>
      </c>
      <c r="J3039" s="11">
        <v>12.5696624362</v>
      </c>
      <c r="K3039" s="10">
        <v>0.59273532609299995</v>
      </c>
      <c r="L3039" s="12">
        <v>2561280000</v>
      </c>
      <c r="M3039">
        <v>17.3904301556957</v>
      </c>
      <c r="N3039" s="7">
        <v>1.7094897842819501</v>
      </c>
      <c r="O3039" s="7">
        <v>2.2105658887546</v>
      </c>
      <c r="P3039" s="7">
        <v>-38.300142439877597</v>
      </c>
      <c r="Q3039" s="7">
        <v>6.7340067340067336</v>
      </c>
      <c r="U3039">
        <v>0.61563376234720413</v>
      </c>
      <c r="AT3039" s="4" t="s">
        <v>8398</v>
      </c>
    </row>
    <row r="3040" spans="1:46">
      <c r="A3040" s="2">
        <v>3482</v>
      </c>
      <c r="B3040" t="s">
        <v>8399</v>
      </c>
      <c r="C3040" t="s">
        <v>374</v>
      </c>
      <c r="D3040" t="s">
        <v>3769</v>
      </c>
      <c r="E3040" s="4">
        <v>43465</v>
      </c>
      <c r="F3040" s="11">
        <v>-6.0547123799999998</v>
      </c>
      <c r="G3040" s="11">
        <v>-21.176470590000001</v>
      </c>
      <c r="H3040" s="11">
        <v>46.7549459058</v>
      </c>
      <c r="I3040" s="11">
        <v>26.776445343199999</v>
      </c>
      <c r="J3040" s="11">
        <v>12.242200376</v>
      </c>
      <c r="K3040" s="10">
        <v>0.84086811739099998</v>
      </c>
      <c r="L3040" s="12">
        <v>1709418800</v>
      </c>
      <c r="M3040">
        <v>29.740433768653201</v>
      </c>
      <c r="N3040" s="7">
        <v>4.6777775337233898</v>
      </c>
      <c r="O3040" s="7">
        <v>4.1143654367484297</v>
      </c>
      <c r="P3040" s="7">
        <v>-311.01581534630901</v>
      </c>
      <c r="Q3040" s="7">
        <v>0.85509063960779852</v>
      </c>
      <c r="U3040">
        <v>0.54662149378449476</v>
      </c>
      <c r="AT3040" s="4" t="s">
        <v>8400</v>
      </c>
    </row>
    <row r="3041" spans="1:46">
      <c r="A3041" s="2">
        <v>2024</v>
      </c>
      <c r="B3041" t="s">
        <v>8401</v>
      </c>
      <c r="C3041" t="s">
        <v>1533</v>
      </c>
      <c r="D3041" t="s">
        <v>3718</v>
      </c>
      <c r="E3041" s="4">
        <v>43465</v>
      </c>
      <c r="F3041" s="11">
        <v>39.515395699999999</v>
      </c>
      <c r="G3041" s="11">
        <v>-21.20915033</v>
      </c>
      <c r="H3041" s="11">
        <v>20.204750671300001</v>
      </c>
      <c r="I3041" s="11">
        <v>55.604669120200001</v>
      </c>
      <c r="J3041" s="11">
        <v>16.875256663999998</v>
      </c>
      <c r="K3041" s="10">
        <v>0.35491055254100001</v>
      </c>
      <c r="L3041" s="12">
        <v>12991985387.4</v>
      </c>
      <c r="M3041">
        <v>100.473283152208</v>
      </c>
      <c r="N3041" s="7">
        <v>9.6963325163212595</v>
      </c>
      <c r="O3041" s="7">
        <v>18.054558769452999</v>
      </c>
      <c r="P3041" s="7">
        <v>-352.464385285883</v>
      </c>
      <c r="Q3041" s="7">
        <v>0.24219105947975123</v>
      </c>
      <c r="U3041">
        <v>0.24459426584954302</v>
      </c>
      <c r="AT3041" s="4" t="s">
        <v>8132</v>
      </c>
    </row>
    <row r="3042" spans="1:46">
      <c r="A3042" s="2">
        <v>3153</v>
      </c>
      <c r="B3042" t="s">
        <v>8402</v>
      </c>
      <c r="C3042" t="s">
        <v>1320</v>
      </c>
      <c r="D3042" t="s">
        <v>3858</v>
      </c>
      <c r="E3042" s="4">
        <v>43465</v>
      </c>
      <c r="F3042" s="11">
        <v>-25.413147070000001</v>
      </c>
      <c r="G3042" s="11">
        <v>-21.403197160000001</v>
      </c>
      <c r="H3042" s="11">
        <v>1.6710261338000001</v>
      </c>
      <c r="I3042" s="11">
        <v>13.4865321682</v>
      </c>
      <c r="J3042" s="11">
        <v>4.1342243674999999</v>
      </c>
      <c r="K3042" s="10">
        <v>0.54218705086399999</v>
      </c>
      <c r="L3042" s="12">
        <v>1664485252</v>
      </c>
      <c r="M3042">
        <v>11.096774140407801</v>
      </c>
      <c r="N3042" s="7">
        <v>1.0867369944657199</v>
      </c>
      <c r="O3042" s="7">
        <v>0.36132514019772</v>
      </c>
      <c r="P3042" s="7">
        <v>13.3146956233866</v>
      </c>
      <c r="Q3042" s="7">
        <v>2.564111111111111</v>
      </c>
      <c r="U3042">
        <v>1.2167380336609122</v>
      </c>
      <c r="AT3042" s="4" t="s">
        <v>7228</v>
      </c>
    </row>
    <row r="3043" spans="1:46">
      <c r="A3043" s="2">
        <v>3260</v>
      </c>
      <c r="B3043" t="s">
        <v>8403</v>
      </c>
      <c r="C3043" t="s">
        <v>1549</v>
      </c>
      <c r="D3043" t="s">
        <v>3718</v>
      </c>
      <c r="E3043" s="4">
        <v>43465</v>
      </c>
      <c r="F3043" s="11">
        <v>-56.938807990000001</v>
      </c>
      <c r="G3043" s="11">
        <v>-21.428571430000002</v>
      </c>
      <c r="H3043" s="11">
        <v>11.682536818399999</v>
      </c>
      <c r="I3043" s="11">
        <v>36.661863356200001</v>
      </c>
      <c r="J3043" s="11">
        <v>11.8352614846</v>
      </c>
      <c r="K3043" s="10">
        <v>0.452049198599</v>
      </c>
      <c r="L3043" s="12">
        <v>1915450543.1199999</v>
      </c>
      <c r="M3043">
        <v>34.553619399159402</v>
      </c>
      <c r="N3043" s="7">
        <v>2.4399385029261</v>
      </c>
      <c r="O3043" s="7">
        <v>3.8760336679923699</v>
      </c>
      <c r="P3043" s="7">
        <v>39.116403284193503</v>
      </c>
      <c r="Q3043" s="7">
        <v>2.7840612493474857</v>
      </c>
      <c r="U3043">
        <v>0.36091587544642856</v>
      </c>
      <c r="AT3043" s="4" t="s">
        <v>8404</v>
      </c>
    </row>
    <row r="3044" spans="1:46">
      <c r="A3044" s="2">
        <v>3244</v>
      </c>
      <c r="B3044" t="s">
        <v>8405</v>
      </c>
      <c r="C3044" t="s">
        <v>452</v>
      </c>
      <c r="D3044" t="s">
        <v>4060</v>
      </c>
      <c r="E3044" s="4">
        <v>43465</v>
      </c>
      <c r="F3044" s="11">
        <v>-38.302576129999998</v>
      </c>
      <c r="G3044" s="11">
        <v>-21.451104099999998</v>
      </c>
      <c r="H3044" s="11">
        <v>29.1029602162</v>
      </c>
      <c r="I3044" s="11">
        <v>40.757299481499999</v>
      </c>
      <c r="J3044" s="11">
        <v>25.828979906099999</v>
      </c>
      <c r="K3044" s="10">
        <v>0.44094356850900002</v>
      </c>
      <c r="L3044" s="12">
        <v>2526282606.1199999</v>
      </c>
      <c r="M3044">
        <v>35.215357192863202</v>
      </c>
      <c r="N3044" s="7">
        <v>4.3208579247470098</v>
      </c>
      <c r="O3044" s="7">
        <v>9.4634922655584894</v>
      </c>
      <c r="P3044" s="7">
        <v>25.146405253771899</v>
      </c>
      <c r="Q3044" s="7">
        <v>0.708215297450425</v>
      </c>
      <c r="U3044">
        <v>0.26342482460862787</v>
      </c>
      <c r="AT3044" s="4" t="s">
        <v>4343</v>
      </c>
    </row>
    <row r="3045" spans="1:46">
      <c r="A3045" s="2">
        <v>1839</v>
      </c>
      <c r="B3045" t="s">
        <v>8406</v>
      </c>
      <c r="C3045" t="s">
        <v>1910</v>
      </c>
      <c r="D3045" t="s">
        <v>3761</v>
      </c>
      <c r="E3045" s="4">
        <v>43465</v>
      </c>
      <c r="F3045" s="11">
        <v>5.6292873500000002</v>
      </c>
      <c r="G3045" s="11">
        <v>-21.480026200000001</v>
      </c>
      <c r="H3045" s="11">
        <v>4.2447654814</v>
      </c>
      <c r="I3045" s="11">
        <v>33.425862487300002</v>
      </c>
      <c r="J3045" s="11">
        <v>13.823547849300001</v>
      </c>
      <c r="K3045" s="10">
        <v>0.38847389126300003</v>
      </c>
      <c r="L3045" s="12">
        <v>3011085000</v>
      </c>
      <c r="M3045">
        <v>95.805218026351199</v>
      </c>
      <c r="N3045" s="7">
        <v>3.2681373250578098</v>
      </c>
      <c r="O3045" s="7">
        <v>7.0559448834289702</v>
      </c>
      <c r="P3045" s="7">
        <v>-19.483532904796501</v>
      </c>
      <c r="Q3045" s="7">
        <v>0.35743007873166066</v>
      </c>
      <c r="U3045">
        <v>0.3135211906364801</v>
      </c>
      <c r="AT3045" s="4" t="s">
        <v>5005</v>
      </c>
    </row>
    <row r="3046" spans="1:46">
      <c r="A3046" s="2">
        <v>1384</v>
      </c>
      <c r="B3046" t="s">
        <v>8407</v>
      </c>
      <c r="C3046" t="s">
        <v>2136</v>
      </c>
      <c r="D3046" t="s">
        <v>3721</v>
      </c>
      <c r="E3046" s="4">
        <v>43465</v>
      </c>
      <c r="F3046" s="11">
        <v>-2.5267809699999999</v>
      </c>
      <c r="G3046" s="11">
        <v>-21.513002360000002</v>
      </c>
      <c r="H3046" s="11">
        <v>2.3157233274000002</v>
      </c>
      <c r="I3046" s="11">
        <v>17.319091768900002</v>
      </c>
      <c r="J3046" s="11">
        <v>6.6419499626</v>
      </c>
      <c r="K3046" s="10">
        <v>0.84186101446299999</v>
      </c>
      <c r="L3046" s="12">
        <v>2824800000</v>
      </c>
      <c r="M3046">
        <v>43.9214312332278</v>
      </c>
      <c r="N3046" s="7">
        <v>3.44409999615594</v>
      </c>
      <c r="O3046" s="7">
        <v>1.9878300740600301</v>
      </c>
      <c r="P3046" s="7">
        <v>-20.814840807103501</v>
      </c>
      <c r="Q3046" s="7">
        <v>0.31989763275751759</v>
      </c>
      <c r="U3046">
        <v>0.66446225383333324</v>
      </c>
      <c r="AT3046" s="4" t="s">
        <v>5091</v>
      </c>
    </row>
    <row r="3047" spans="1:46">
      <c r="A3047" s="2">
        <v>3409</v>
      </c>
      <c r="B3047" t="s">
        <v>8408</v>
      </c>
      <c r="C3047" t="s">
        <v>1014</v>
      </c>
      <c r="D3047" t="s">
        <v>4060</v>
      </c>
      <c r="E3047" s="4">
        <v>43465</v>
      </c>
      <c r="F3047" s="11">
        <v>-8.7371462900000001</v>
      </c>
      <c r="G3047" s="11">
        <v>-21.593186370000002</v>
      </c>
      <c r="H3047" s="11">
        <v>5.3478771945999997</v>
      </c>
      <c r="I3047" s="11">
        <v>23.163740045200001</v>
      </c>
      <c r="J3047" s="11">
        <v>13.4473419665</v>
      </c>
      <c r="K3047" s="10">
        <v>0.52315755430800004</v>
      </c>
      <c r="L3047" s="12">
        <v>8127338381.8000002</v>
      </c>
      <c r="M3047">
        <v>52.178062060419897</v>
      </c>
      <c r="N3047" s="7">
        <v>3.7613591204971799</v>
      </c>
      <c r="O3047" s="7">
        <v>5.4741336532752403</v>
      </c>
      <c r="P3047" s="7">
        <v>49.253204376682902</v>
      </c>
      <c r="Q3047" s="7">
        <v>1.0497947974766144</v>
      </c>
      <c r="U3047">
        <v>0.47440429962771563</v>
      </c>
      <c r="AT3047" s="4" t="s">
        <v>5428</v>
      </c>
    </row>
    <row r="3048" spans="1:46">
      <c r="A3048" s="2">
        <v>1701</v>
      </c>
      <c r="B3048" t="s">
        <v>8409</v>
      </c>
      <c r="C3048" t="s">
        <v>1775</v>
      </c>
      <c r="D3048" t="s">
        <v>3718</v>
      </c>
      <c r="E3048" s="4">
        <v>43465</v>
      </c>
      <c r="F3048" s="11">
        <v>-2.7875961399999998</v>
      </c>
      <c r="G3048" s="11">
        <v>-21.629485939999999</v>
      </c>
      <c r="H3048" s="11">
        <v>186.56321086720001</v>
      </c>
      <c r="I3048" s="11">
        <v>25.683077942200001</v>
      </c>
      <c r="J3048" s="11">
        <v>13.0212603269</v>
      </c>
      <c r="K3048" s="10">
        <v>0.37603066174400002</v>
      </c>
      <c r="L3048" s="12">
        <v>1067012300678.9399</v>
      </c>
      <c r="M3048">
        <v>25.798224149116301</v>
      </c>
      <c r="N3048" s="7">
        <v>3.9186586306231201</v>
      </c>
      <c r="O3048" s="7">
        <v>3.4283923039271502</v>
      </c>
      <c r="P3048" s="7">
        <v>113.605062938654</v>
      </c>
      <c r="Q3048" s="7">
        <v>1.4007327495912882</v>
      </c>
      <c r="U3048">
        <v>0.4297089572856006</v>
      </c>
      <c r="AT3048" s="4" t="s">
        <v>8410</v>
      </c>
    </row>
    <row r="3049" spans="1:46">
      <c r="A3049" s="2">
        <v>1183</v>
      </c>
      <c r="B3049" t="s">
        <v>8411</v>
      </c>
      <c r="C3049" t="s">
        <v>725</v>
      </c>
      <c r="D3049" t="s">
        <v>3764</v>
      </c>
      <c r="E3049" s="4">
        <v>43465</v>
      </c>
      <c r="F3049" s="11">
        <v>-43.226350279999998</v>
      </c>
      <c r="G3049" s="11">
        <v>-21.67832168</v>
      </c>
      <c r="H3049" s="11">
        <v>5.9497520712999998</v>
      </c>
      <c r="I3049" s="11">
        <v>35.286595084600002</v>
      </c>
      <c r="J3049" s="11">
        <v>14.4368305084</v>
      </c>
      <c r="K3049" s="10">
        <v>0.34597302843599997</v>
      </c>
      <c r="L3049" s="12">
        <v>3922209874.4400001</v>
      </c>
      <c r="M3049">
        <v>20.273511087060001</v>
      </c>
      <c r="N3049" s="7">
        <v>3.58754413733066</v>
      </c>
      <c r="O3049" s="7">
        <v>2.9738028829844199</v>
      </c>
      <c r="P3049" s="7">
        <v>106.588250901207</v>
      </c>
      <c r="Q3049" s="7">
        <v>1.5392906884490296</v>
      </c>
      <c r="U3049">
        <v>0.45983199102371425</v>
      </c>
      <c r="AT3049" s="4" t="s">
        <v>6597</v>
      </c>
    </row>
    <row r="3050" spans="1:46">
      <c r="A3050" s="2">
        <v>3440</v>
      </c>
      <c r="B3050" t="s">
        <v>8412</v>
      </c>
      <c r="C3050" t="s">
        <v>2195</v>
      </c>
      <c r="D3050" t="s">
        <v>3752</v>
      </c>
      <c r="E3050" s="4">
        <v>43465</v>
      </c>
      <c r="F3050" s="11">
        <v>-18.112757720000001</v>
      </c>
      <c r="G3050" s="11">
        <v>-21.706399000000001</v>
      </c>
      <c r="H3050" s="11">
        <v>21.347909850299999</v>
      </c>
      <c r="I3050" s="11">
        <v>46.466405907000002</v>
      </c>
      <c r="J3050" s="11">
        <v>19.545162476600002</v>
      </c>
      <c r="K3050" s="10">
        <v>0.435740107451</v>
      </c>
      <c r="L3050" s="12">
        <v>2194255808</v>
      </c>
      <c r="M3050">
        <v>42.693934454130897</v>
      </c>
      <c r="N3050" s="7">
        <v>3.77079509031091</v>
      </c>
      <c r="O3050" s="7">
        <v>8.1058662021806391</v>
      </c>
      <c r="P3050" s="7">
        <v>110.421440999586</v>
      </c>
      <c r="Q3050" s="7">
        <v>0.7421150278293136</v>
      </c>
      <c r="U3050">
        <v>0.38354463605391159</v>
      </c>
      <c r="AT3050" s="4" t="s">
        <v>4609</v>
      </c>
    </row>
    <row r="3051" spans="1:46">
      <c r="A3051" s="2">
        <v>962</v>
      </c>
      <c r="B3051" t="s">
        <v>8413</v>
      </c>
      <c r="C3051" t="s">
        <v>1545</v>
      </c>
      <c r="D3051" t="s">
        <v>3761</v>
      </c>
      <c r="E3051" s="4">
        <v>43465</v>
      </c>
      <c r="F3051" s="11">
        <v>-67.408156390000002</v>
      </c>
      <c r="G3051" s="11">
        <v>-21.774856199999999</v>
      </c>
      <c r="H3051" s="11">
        <v>25.1449346512</v>
      </c>
      <c r="I3051" s="11">
        <v>22.368070794699999</v>
      </c>
      <c r="J3051" s="11">
        <v>1.4541201612000001</v>
      </c>
      <c r="K3051" s="10">
        <v>0.36281282155599998</v>
      </c>
      <c r="L3051" s="12">
        <v>2340769025</v>
      </c>
      <c r="M3051">
        <v>604.40966447645701</v>
      </c>
      <c r="N3051" s="7">
        <v>8.0878290701428099</v>
      </c>
      <c r="O3051" s="7">
        <v>9.1618644778927401</v>
      </c>
      <c r="P3051" s="7">
        <v>-345.269656381049</v>
      </c>
      <c r="Q3051" s="7" t="s">
        <v>3698</v>
      </c>
      <c r="U3051">
        <v>1.908781839708561E-2</v>
      </c>
      <c r="AT3051" s="4" t="s">
        <v>5071</v>
      </c>
    </row>
    <row r="3052" spans="1:46">
      <c r="A3052" s="2">
        <v>456</v>
      </c>
      <c r="B3052" t="s">
        <v>8414</v>
      </c>
      <c r="C3052" t="s">
        <v>59</v>
      </c>
      <c r="D3052" t="s">
        <v>3842</v>
      </c>
      <c r="E3052" s="4">
        <v>43465</v>
      </c>
      <c r="F3052" s="11">
        <v>-17.459345339999999</v>
      </c>
      <c r="G3052" s="11">
        <v>-21.782178219999999</v>
      </c>
      <c r="H3052" s="11">
        <v>19.085780198199998</v>
      </c>
      <c r="I3052" s="11">
        <v>17.430929107600001</v>
      </c>
      <c r="J3052" s="11">
        <v>9.4361045004000008</v>
      </c>
      <c r="K3052" s="10">
        <v>1.216909821415</v>
      </c>
      <c r="L3052" s="12">
        <v>3649094624.4400001</v>
      </c>
      <c r="M3052">
        <v>2.60759071748488</v>
      </c>
      <c r="N3052" s="7">
        <v>1.0423336302664601</v>
      </c>
      <c r="O3052" s="7">
        <v>0.20467440935456099</v>
      </c>
      <c r="P3052" s="7">
        <v>13.561124391664199</v>
      </c>
      <c r="Q3052" s="7" t="s">
        <v>3698</v>
      </c>
      <c r="U3052">
        <v>2.2482821781350442</v>
      </c>
      <c r="AT3052" s="4" t="s">
        <v>7362</v>
      </c>
    </row>
    <row r="3053" spans="1:46">
      <c r="A3053" s="2">
        <v>887</v>
      </c>
      <c r="B3053" t="s">
        <v>8415</v>
      </c>
      <c r="C3053" t="s">
        <v>819</v>
      </c>
      <c r="D3053" t="s">
        <v>3713</v>
      </c>
      <c r="E3053" s="4">
        <v>43465</v>
      </c>
      <c r="F3053" s="11">
        <v>11.862553480000001</v>
      </c>
      <c r="G3053" s="11">
        <v>-21.838331159999999</v>
      </c>
      <c r="H3053" s="11">
        <v>41.644383227299997</v>
      </c>
      <c r="I3053" s="11">
        <v>43.075100644800003</v>
      </c>
      <c r="J3053" s="11">
        <v>15.746409699299999</v>
      </c>
      <c r="K3053" s="10">
        <v>0.60299237355500002</v>
      </c>
      <c r="L3053" s="12">
        <v>15061181514.6</v>
      </c>
      <c r="M3053">
        <v>30.0375165210517</v>
      </c>
      <c r="N3053" s="7">
        <v>3.5755416314406001</v>
      </c>
      <c r="O3053" s="7">
        <v>4.2764785033529202</v>
      </c>
      <c r="P3053" s="7">
        <v>43.4187967192223</v>
      </c>
      <c r="Q3053" s="7">
        <v>1.7152658662092626</v>
      </c>
      <c r="U3053">
        <v>0.5714925141803201</v>
      </c>
      <c r="AT3053" s="4" t="s">
        <v>6206</v>
      </c>
    </row>
    <row r="3054" spans="1:46">
      <c r="A3054" s="2">
        <v>2563</v>
      </c>
      <c r="B3054" t="s">
        <v>8416</v>
      </c>
      <c r="C3054" t="s">
        <v>395</v>
      </c>
      <c r="D3054" t="s">
        <v>3858</v>
      </c>
      <c r="E3054" s="4">
        <v>43465</v>
      </c>
      <c r="F3054" s="11">
        <v>-56.907629300000004</v>
      </c>
      <c r="G3054" s="11">
        <v>-21.944444440000002</v>
      </c>
      <c r="H3054" s="11">
        <v>33.624596470299998</v>
      </c>
      <c r="I3054" s="11">
        <v>21.681736645600001</v>
      </c>
      <c r="J3054" s="11">
        <v>9.2902155856000004</v>
      </c>
      <c r="K3054" s="10">
        <v>0.83272496163099996</v>
      </c>
      <c r="L3054" s="12">
        <v>5318532960</v>
      </c>
      <c r="M3054">
        <v>9.9851735126819108</v>
      </c>
      <c r="N3054" s="7">
        <v>1.9908756235385701</v>
      </c>
      <c r="O3054" s="7">
        <v>1.1558506246726801</v>
      </c>
      <c r="P3054" s="7">
        <v>93.112605577119893</v>
      </c>
      <c r="Q3054" s="7">
        <v>3.1014713148457611</v>
      </c>
      <c r="U3054">
        <v>0.3171936577880497</v>
      </c>
      <c r="AT3054" s="4" t="s">
        <v>8417</v>
      </c>
    </row>
    <row r="3055" spans="1:46">
      <c r="A3055" s="2">
        <v>3249</v>
      </c>
      <c r="B3055" t="s">
        <v>8418</v>
      </c>
      <c r="C3055" t="s">
        <v>458</v>
      </c>
      <c r="D3055" t="s">
        <v>3752</v>
      </c>
      <c r="E3055" s="4">
        <v>43465</v>
      </c>
      <c r="F3055" s="11">
        <v>-10.247149350000001</v>
      </c>
      <c r="G3055" s="11">
        <v>-22.07792208</v>
      </c>
      <c r="H3055" s="11">
        <v>18.505909022299999</v>
      </c>
      <c r="I3055" s="11">
        <v>29.127860797</v>
      </c>
      <c r="J3055" s="11">
        <v>10.4560223161</v>
      </c>
      <c r="K3055" s="10">
        <v>1.089434611475</v>
      </c>
      <c r="L3055" s="12">
        <v>12489567079.440001</v>
      </c>
      <c r="M3055">
        <v>15.318577115333801</v>
      </c>
      <c r="N3055" s="7">
        <v>1.91612959980925</v>
      </c>
      <c r="O3055" s="7">
        <v>1.73069456212428</v>
      </c>
      <c r="P3055" s="7">
        <v>176.273192183102</v>
      </c>
      <c r="Q3055" s="7">
        <v>1.5360983102918586</v>
      </c>
      <c r="U3055">
        <v>0.47456173256493506</v>
      </c>
      <c r="AT3055" s="4" t="s">
        <v>4571</v>
      </c>
    </row>
    <row r="3056" spans="1:46">
      <c r="A3056" s="2">
        <v>1709</v>
      </c>
      <c r="B3056" t="s">
        <v>8419</v>
      </c>
      <c r="C3056" t="s">
        <v>1451</v>
      </c>
      <c r="D3056" t="s">
        <v>3858</v>
      </c>
      <c r="E3056" s="4">
        <v>43465</v>
      </c>
      <c r="F3056" s="11">
        <v>-14.095077030000001</v>
      </c>
      <c r="G3056" s="11">
        <v>-22.08293153</v>
      </c>
      <c r="H3056" s="11">
        <v>7.8401963538999997</v>
      </c>
      <c r="I3056" s="11">
        <v>31.233190726899998</v>
      </c>
      <c r="J3056" s="11">
        <v>9.1578022083999997</v>
      </c>
      <c r="K3056" s="10">
        <v>0.606630301132</v>
      </c>
      <c r="L3056" s="12">
        <v>3351266150</v>
      </c>
      <c r="M3056">
        <v>16.807693661555799</v>
      </c>
      <c r="N3056" s="7">
        <v>2.2912670507838802</v>
      </c>
      <c r="O3056" s="7">
        <v>1.1721687560567899</v>
      </c>
      <c r="P3056" s="7">
        <v>-325.51089238641799</v>
      </c>
      <c r="Q3056" s="7">
        <v>1.4767932501613585</v>
      </c>
      <c r="U3056">
        <v>0.76995383336639212</v>
      </c>
      <c r="AT3056" s="4" t="s">
        <v>7290</v>
      </c>
    </row>
    <row r="3057" spans="1:46">
      <c r="A3057" s="2">
        <v>953</v>
      </c>
      <c r="B3057" t="s">
        <v>8420</v>
      </c>
      <c r="C3057" t="s">
        <v>915</v>
      </c>
      <c r="D3057" t="s">
        <v>3752</v>
      </c>
      <c r="E3057" s="4">
        <v>43465</v>
      </c>
      <c r="F3057" s="11">
        <v>-54.22454055</v>
      </c>
      <c r="G3057" s="11">
        <v>-22.089947089999999</v>
      </c>
      <c r="H3057" s="11">
        <v>14.1914920372</v>
      </c>
      <c r="I3057" s="11">
        <v>16.5667755861</v>
      </c>
      <c r="J3057" s="11">
        <v>4.3011089278999997</v>
      </c>
      <c r="K3057" s="10">
        <v>1.0487265322199999</v>
      </c>
      <c r="L3057" s="12">
        <v>26601532681</v>
      </c>
      <c r="M3057">
        <v>43.235137082672203</v>
      </c>
      <c r="N3057" s="7">
        <v>2.9280079801966701</v>
      </c>
      <c r="O3057" s="7">
        <v>1.20255135165801</v>
      </c>
      <c r="P3057" s="7">
        <v>-33.7576377377504</v>
      </c>
      <c r="Q3057" s="7">
        <v>2.0533880903490758</v>
      </c>
      <c r="U3057">
        <v>0.27650187666666665</v>
      </c>
      <c r="AT3057" s="4" t="s">
        <v>5590</v>
      </c>
    </row>
    <row r="3058" spans="1:46">
      <c r="A3058" s="2">
        <v>3010</v>
      </c>
      <c r="B3058" t="s">
        <v>8421</v>
      </c>
      <c r="C3058" t="s">
        <v>707</v>
      </c>
      <c r="D3058" t="s">
        <v>3728</v>
      </c>
      <c r="E3058" s="4">
        <v>43465</v>
      </c>
      <c r="F3058" s="11">
        <v>-14.348650360000001</v>
      </c>
      <c r="G3058" s="11">
        <v>-22.249388750000001</v>
      </c>
      <c r="H3058" s="11">
        <v>8.4637530455000007</v>
      </c>
      <c r="I3058" s="11">
        <v>18.660961122500002</v>
      </c>
      <c r="J3058" s="11">
        <v>10.6075550945</v>
      </c>
      <c r="K3058" s="10">
        <v>1.322247299035</v>
      </c>
      <c r="L3058" s="12">
        <v>1656032239.26</v>
      </c>
      <c r="M3058">
        <v>10.6159686825587</v>
      </c>
      <c r="N3058" s="7">
        <v>1.4203126521795999</v>
      </c>
      <c r="O3058" s="7">
        <v>1.55749636768336</v>
      </c>
      <c r="P3058" s="7">
        <v>25.004256401986002</v>
      </c>
      <c r="Q3058" s="7">
        <v>3.218390804002154</v>
      </c>
      <c r="U3058">
        <v>0.88799685126612193</v>
      </c>
      <c r="AT3058" s="4" t="s">
        <v>8422</v>
      </c>
    </row>
    <row r="3059" spans="1:46">
      <c r="A3059" s="2">
        <v>2379</v>
      </c>
      <c r="B3059" t="s">
        <v>8423</v>
      </c>
      <c r="C3059" t="s">
        <v>36</v>
      </c>
      <c r="D3059" t="s">
        <v>3811</v>
      </c>
      <c r="E3059" s="4">
        <v>43465</v>
      </c>
      <c r="F3059" s="11">
        <v>-59.513274340000002</v>
      </c>
      <c r="G3059" s="11">
        <v>-22.269807279999998</v>
      </c>
      <c r="H3059" s="11">
        <v>-84.433044787300005</v>
      </c>
      <c r="I3059" s="11">
        <v>31.649994087300001</v>
      </c>
      <c r="J3059" s="11">
        <v>27.338785745300001</v>
      </c>
      <c r="K3059" s="10">
        <v>3.3999627822E-2</v>
      </c>
      <c r="L3059" s="12">
        <v>23539392178.200001</v>
      </c>
      <c r="M3059">
        <v>5.9519958501053001</v>
      </c>
      <c r="N3059" s="7">
        <v>140.98355398685499</v>
      </c>
      <c r="O3059" s="7">
        <v>34.659225455827404</v>
      </c>
      <c r="P3059" s="7">
        <v>3131.5259568801198</v>
      </c>
      <c r="Q3059" s="7" t="s">
        <v>3698</v>
      </c>
      <c r="U3059">
        <v>2.2046836776427173E-2</v>
      </c>
      <c r="AT3059" s="4" t="s">
        <v>8424</v>
      </c>
    </row>
    <row r="3060" spans="1:46">
      <c r="A3060" s="2">
        <v>2105</v>
      </c>
      <c r="B3060" t="s">
        <v>8425</v>
      </c>
      <c r="C3060" t="s">
        <v>643</v>
      </c>
      <c r="D3060" t="s">
        <v>3713</v>
      </c>
      <c r="E3060" s="4">
        <v>43465</v>
      </c>
      <c r="F3060" s="11">
        <v>-10.85396853</v>
      </c>
      <c r="G3060" s="11">
        <v>-22.277722279999999</v>
      </c>
      <c r="H3060" s="11">
        <v>28.297742534200001</v>
      </c>
      <c r="I3060" s="11">
        <v>32.274022932100003</v>
      </c>
      <c r="J3060" s="11">
        <v>13.1412226923</v>
      </c>
      <c r="K3060" s="10">
        <v>0.891959535212</v>
      </c>
      <c r="L3060" s="12">
        <v>2040000000</v>
      </c>
      <c r="M3060">
        <v>31.8984871748054</v>
      </c>
      <c r="N3060" s="7">
        <v>3.79622817025197</v>
      </c>
      <c r="O3060" s="7">
        <v>3.5216578034084902</v>
      </c>
      <c r="P3060" s="7">
        <v>-33.192331975483398</v>
      </c>
      <c r="Q3060" s="7">
        <v>0.42368510163983591</v>
      </c>
      <c r="U3060">
        <v>0.78242540107909953</v>
      </c>
      <c r="AT3060" s="4" t="s">
        <v>8426</v>
      </c>
    </row>
    <row r="3061" spans="1:46">
      <c r="A3061" s="2">
        <v>844</v>
      </c>
      <c r="B3061" t="s">
        <v>8427</v>
      </c>
      <c r="C3061" t="s">
        <v>3505</v>
      </c>
      <c r="D3061" t="s">
        <v>3998</v>
      </c>
      <c r="E3061" s="4">
        <v>43465</v>
      </c>
      <c r="F3061" s="11">
        <v>-67.020655680000004</v>
      </c>
      <c r="G3061" s="11">
        <v>-22.35494881</v>
      </c>
      <c r="H3061" s="11">
        <v>6.8276029553999997</v>
      </c>
      <c r="I3061" s="11">
        <v>5.9726020695999997</v>
      </c>
      <c r="J3061" s="11">
        <v>-14.3428642549</v>
      </c>
      <c r="K3061" s="10">
        <v>0.63946565620100004</v>
      </c>
      <c r="L3061" s="12">
        <v>1561278750</v>
      </c>
      <c r="M3061">
        <v>-26.4012060166989</v>
      </c>
      <c r="N3061" s="7">
        <v>2.2345035171559999</v>
      </c>
      <c r="O3061" s="7">
        <v>2.75849279856067</v>
      </c>
      <c r="P3061" s="7">
        <v>-157.75879993726801</v>
      </c>
      <c r="Q3061" s="7" t="s">
        <v>3698</v>
      </c>
      <c r="U3061">
        <v>-0.30464504800602304</v>
      </c>
      <c r="AT3061" s="4" t="s">
        <v>4564</v>
      </c>
    </row>
    <row r="3062" spans="1:46">
      <c r="A3062" s="2">
        <v>902</v>
      </c>
      <c r="B3062" t="s">
        <v>8428</v>
      </c>
      <c r="C3062" t="s">
        <v>1247</v>
      </c>
      <c r="D3062" t="s">
        <v>3752</v>
      </c>
      <c r="E3062" s="4">
        <v>43465</v>
      </c>
      <c r="F3062" s="11">
        <v>-10.6950363</v>
      </c>
      <c r="G3062" s="11">
        <v>-22.36966825</v>
      </c>
      <c r="H3062" s="11">
        <v>33.647494989499997</v>
      </c>
      <c r="I3062" s="11">
        <v>25.332217811700001</v>
      </c>
      <c r="J3062" s="11">
        <v>10.6868617275</v>
      </c>
      <c r="K3062" s="10">
        <v>0.75992938518499997</v>
      </c>
      <c r="L3062" s="12">
        <v>1718281674</v>
      </c>
      <c r="M3062">
        <v>11.9280256660204</v>
      </c>
      <c r="N3062" s="7">
        <v>1.1637853213512599</v>
      </c>
      <c r="O3062" s="7">
        <v>1.26289113456531</v>
      </c>
      <c r="P3062" s="7">
        <v>47.873152107715498</v>
      </c>
      <c r="Q3062" s="7">
        <v>2.5738702025375444</v>
      </c>
      <c r="U3062">
        <v>0.88858081740444106</v>
      </c>
      <c r="AT3062" s="4" t="s">
        <v>5477</v>
      </c>
    </row>
    <row r="3063" spans="1:46">
      <c r="A3063" s="2">
        <v>1251</v>
      </c>
      <c r="B3063" t="s">
        <v>8429</v>
      </c>
      <c r="C3063" t="s">
        <v>1118</v>
      </c>
      <c r="D3063" t="s">
        <v>3752</v>
      </c>
      <c r="E3063" s="4">
        <v>43465</v>
      </c>
      <c r="F3063" s="11">
        <v>-16.92859588</v>
      </c>
      <c r="G3063" s="11">
        <v>-22.460567820000001</v>
      </c>
      <c r="H3063" s="11">
        <v>17.0127877334</v>
      </c>
      <c r="I3063" s="11">
        <v>24.8950326537</v>
      </c>
      <c r="J3063" s="11">
        <v>8.6276443350999994</v>
      </c>
      <c r="K3063" s="10">
        <v>0.75071952247600005</v>
      </c>
      <c r="L3063" s="12">
        <v>2578063098.5999999</v>
      </c>
      <c r="M3063">
        <v>45.466235531929897</v>
      </c>
      <c r="N3063" s="7">
        <v>4.93859664615794</v>
      </c>
      <c r="O3063" s="7">
        <v>3.7585679592087802</v>
      </c>
      <c r="P3063" s="7">
        <v>659.87171208843495</v>
      </c>
      <c r="Q3063" s="7">
        <v>0.76922220401894881</v>
      </c>
      <c r="U3063">
        <v>0.35963613465685229</v>
      </c>
      <c r="AT3063" s="4" t="s">
        <v>6337</v>
      </c>
    </row>
    <row r="3064" spans="1:46">
      <c r="A3064" s="2">
        <v>2391</v>
      </c>
      <c r="B3064" t="s">
        <v>8430</v>
      </c>
      <c r="C3064" t="s">
        <v>191</v>
      </c>
      <c r="D3064" t="s">
        <v>3713</v>
      </c>
      <c r="E3064" s="4">
        <v>43465</v>
      </c>
      <c r="F3064" s="11">
        <v>-33.84380264</v>
      </c>
      <c r="G3064" s="11">
        <v>-22.510312320000001</v>
      </c>
      <c r="H3064" s="11">
        <v>12.018469066</v>
      </c>
      <c r="I3064" s="11">
        <v>15.113704548799999</v>
      </c>
      <c r="J3064" s="11">
        <v>5.3989625063000002</v>
      </c>
      <c r="K3064" s="10">
        <v>0.84042271390400003</v>
      </c>
      <c r="L3064" s="12">
        <v>2191882000</v>
      </c>
      <c r="M3064">
        <v>12.113549759783201</v>
      </c>
      <c r="N3064" s="7">
        <v>2.6340514025817501</v>
      </c>
      <c r="O3064" s="7">
        <v>0.77229329971182303</v>
      </c>
      <c r="P3064" s="7">
        <v>-34.909747486614698</v>
      </c>
      <c r="Q3064" s="7">
        <v>0.93830635665051454</v>
      </c>
      <c r="U3064">
        <v>1.2657190938423366</v>
      </c>
      <c r="AT3064" s="4" t="s">
        <v>5699</v>
      </c>
    </row>
    <row r="3065" spans="1:46">
      <c r="A3065" s="2">
        <v>2583</v>
      </c>
      <c r="B3065" t="s">
        <v>8431</v>
      </c>
      <c r="C3065" t="s">
        <v>844</v>
      </c>
      <c r="D3065" t="s">
        <v>3752</v>
      </c>
      <c r="E3065" s="4">
        <v>43465</v>
      </c>
      <c r="F3065" s="11">
        <v>-15.598059190000001</v>
      </c>
      <c r="G3065" s="11">
        <v>-22.514619880000001</v>
      </c>
      <c r="H3065" s="11">
        <v>-4.0173825690999996</v>
      </c>
      <c r="I3065" s="11">
        <v>12.029650713300001</v>
      </c>
      <c r="J3065" s="11">
        <v>3.5163386527</v>
      </c>
      <c r="K3065" s="10">
        <v>1.130299037766</v>
      </c>
      <c r="L3065" s="12">
        <v>2256357067.4400001</v>
      </c>
      <c r="M3065">
        <v>27.7153477687073</v>
      </c>
      <c r="N3065" s="7">
        <v>2.1355586158243902</v>
      </c>
      <c r="O3065" s="7">
        <v>0.238265523596429</v>
      </c>
      <c r="P3065" s="7">
        <v>3.6945321322031202</v>
      </c>
      <c r="Q3065" s="7">
        <v>2.29392873553476</v>
      </c>
      <c r="U3065">
        <v>0.43739243735018069</v>
      </c>
      <c r="AT3065" s="4" t="s">
        <v>4113</v>
      </c>
    </row>
    <row r="3066" spans="1:46">
      <c r="A3066" s="2">
        <v>3194</v>
      </c>
      <c r="B3066" t="s">
        <v>8432</v>
      </c>
      <c r="C3066" t="s">
        <v>1947</v>
      </c>
      <c r="D3066" t="s">
        <v>3764</v>
      </c>
      <c r="E3066" s="4">
        <v>43465</v>
      </c>
      <c r="F3066" s="11">
        <v>-37.031464730000003</v>
      </c>
      <c r="G3066" s="11">
        <v>-22.539682540000001</v>
      </c>
      <c r="H3066" s="11">
        <v>10.9337116205</v>
      </c>
      <c r="I3066" s="11">
        <v>15.6694846992</v>
      </c>
      <c r="J3066" s="11">
        <v>2.9875781169</v>
      </c>
      <c r="K3066" s="10">
        <v>0.356727951125</v>
      </c>
      <c r="L3066" s="12">
        <v>1862523392.4000001</v>
      </c>
      <c r="M3066">
        <v>39.236234665456998</v>
      </c>
      <c r="N3066" s="7">
        <v>1.31811876497792</v>
      </c>
      <c r="O3066" s="7">
        <v>0.807241288477341</v>
      </c>
      <c r="P3066" s="7">
        <v>13.5352827802152</v>
      </c>
      <c r="Q3066" s="7">
        <v>4.1322314049586781</v>
      </c>
      <c r="U3066">
        <v>6.6716826836035109E-2</v>
      </c>
      <c r="AT3066" s="4" t="s">
        <v>8433</v>
      </c>
    </row>
    <row r="3067" spans="1:46">
      <c r="A3067" s="2">
        <v>817</v>
      </c>
      <c r="B3067" t="s">
        <v>8434</v>
      </c>
      <c r="C3067" t="s">
        <v>3665</v>
      </c>
      <c r="D3067" t="s">
        <v>3832</v>
      </c>
      <c r="E3067" s="4">
        <v>43465</v>
      </c>
      <c r="F3067" s="11">
        <v>-49.090909089999997</v>
      </c>
      <c r="G3067" s="11">
        <v>-22.670807450000002</v>
      </c>
      <c r="H3067" s="11">
        <v>-15.5514398117</v>
      </c>
      <c r="I3067" s="11">
        <v>44.015114545400003</v>
      </c>
      <c r="J3067" s="11">
        <v>9.6143865533999993</v>
      </c>
      <c r="K3067" s="10">
        <v>0.84748369563500003</v>
      </c>
      <c r="L3067" s="12">
        <v>8765711656.1399994</v>
      </c>
      <c r="M3067">
        <v>-118.29315001206299</v>
      </c>
      <c r="N3067" s="7">
        <v>316.59836413379497</v>
      </c>
      <c r="O3067" s="7">
        <v>31.375746892590399</v>
      </c>
      <c r="P3067" s="7">
        <v>-524.96661219479199</v>
      </c>
      <c r="Q3067" s="7" t="s">
        <v>3698</v>
      </c>
      <c r="U3067">
        <v>1.00377264375E-2</v>
      </c>
      <c r="AT3067" s="4" t="s">
        <v>6579</v>
      </c>
    </row>
    <row r="3068" spans="1:46">
      <c r="A3068" s="2">
        <v>2883</v>
      </c>
      <c r="B3068" t="s">
        <v>8435</v>
      </c>
      <c r="C3068" t="s">
        <v>493</v>
      </c>
      <c r="D3068" t="s">
        <v>3752</v>
      </c>
      <c r="E3068" s="4">
        <v>43465</v>
      </c>
      <c r="F3068" s="11">
        <v>51.270951369999999</v>
      </c>
      <c r="G3068" s="11">
        <v>-22.718253969999999</v>
      </c>
      <c r="H3068" s="11">
        <v>4.3839893199000004</v>
      </c>
      <c r="I3068" s="11">
        <v>14.1709217526</v>
      </c>
      <c r="J3068" s="11">
        <v>8.6409936916000003</v>
      </c>
      <c r="K3068" s="10">
        <v>1.0674716517880001</v>
      </c>
      <c r="L3068" s="12">
        <v>2114227440</v>
      </c>
      <c r="M3068">
        <v>7.9888048484481802</v>
      </c>
      <c r="N3068" s="7">
        <v>1.40234105975379</v>
      </c>
      <c r="O3068" s="7">
        <v>0.39268992870498598</v>
      </c>
      <c r="P3068" s="7">
        <v>26.509566395805901</v>
      </c>
      <c r="Q3068" s="7">
        <v>4.6967957415718606</v>
      </c>
      <c r="U3068">
        <v>1.4685587091661392</v>
      </c>
      <c r="AT3068" s="4" t="s">
        <v>3847</v>
      </c>
    </row>
    <row r="3069" spans="1:46">
      <c r="A3069" s="2">
        <v>1205</v>
      </c>
      <c r="B3069" t="s">
        <v>8436</v>
      </c>
      <c r="C3069" t="s">
        <v>3487</v>
      </c>
      <c r="D3069" t="s">
        <v>3998</v>
      </c>
      <c r="E3069" s="4">
        <v>43465</v>
      </c>
      <c r="F3069" s="11">
        <v>-85.098578630000006</v>
      </c>
      <c r="G3069" s="11">
        <v>-22.966507180000001</v>
      </c>
      <c r="H3069" s="11">
        <v>-19.289465869800001</v>
      </c>
      <c r="I3069" s="11">
        <v>16.647766262400001</v>
      </c>
      <c r="J3069" s="11">
        <v>-8.3448868503</v>
      </c>
      <c r="K3069" s="10">
        <v>0.60616476673300002</v>
      </c>
      <c r="L3069" s="12">
        <v>2367000000</v>
      </c>
      <c r="M3069">
        <v>-775.48497575239003</v>
      </c>
      <c r="N3069" s="7">
        <v>2.5556463496593098</v>
      </c>
      <c r="O3069" s="7">
        <v>1.3030334127791801</v>
      </c>
      <c r="P3069" s="7">
        <v>237.283123825411</v>
      </c>
      <c r="Q3069" s="7" t="s">
        <v>3698</v>
      </c>
      <c r="U3069">
        <v>-0.19381943950469929</v>
      </c>
      <c r="AT3069" s="4" t="s">
        <v>8437</v>
      </c>
    </row>
    <row r="3070" spans="1:46">
      <c r="A3070" s="2">
        <v>2761</v>
      </c>
      <c r="B3070" t="s">
        <v>8438</v>
      </c>
      <c r="C3070" t="s">
        <v>210</v>
      </c>
      <c r="D3070" t="s">
        <v>3778</v>
      </c>
      <c r="E3070" s="4">
        <v>43465</v>
      </c>
      <c r="F3070" s="11">
        <v>-32.112979840000001</v>
      </c>
      <c r="G3070" s="11">
        <v>-23.046092179999999</v>
      </c>
      <c r="H3070" s="11">
        <v>17.118495860100001</v>
      </c>
      <c r="I3070" s="11">
        <v>19.2412663685</v>
      </c>
      <c r="J3070" s="11">
        <v>4.8968380318999998</v>
      </c>
      <c r="K3070" s="10">
        <v>2.561272809049</v>
      </c>
      <c r="L3070" s="12">
        <v>2076501310</v>
      </c>
      <c r="M3070">
        <v>7.8953204703907396</v>
      </c>
      <c r="N3070" s="7">
        <v>1.7784196669121499</v>
      </c>
      <c r="O3070" s="7">
        <v>0.515979276131456</v>
      </c>
      <c r="P3070" s="7">
        <v>17.867217406392101</v>
      </c>
      <c r="Q3070" s="7">
        <v>6.3938618925831205</v>
      </c>
      <c r="U3070">
        <v>0.48755330087681203</v>
      </c>
      <c r="AT3070" s="4" t="s">
        <v>4107</v>
      </c>
    </row>
    <row r="3071" spans="1:46">
      <c r="A3071" s="2">
        <v>1983</v>
      </c>
      <c r="B3071" t="s">
        <v>8439</v>
      </c>
      <c r="C3071" t="s">
        <v>1472</v>
      </c>
      <c r="D3071" t="s">
        <v>3713</v>
      </c>
      <c r="E3071" s="4">
        <v>43465</v>
      </c>
      <c r="F3071" s="11">
        <v>-17.799797009999999</v>
      </c>
      <c r="G3071" s="11">
        <v>-23.061825320000001</v>
      </c>
      <c r="H3071" s="11">
        <v>40.560158531799999</v>
      </c>
      <c r="I3071" s="11">
        <v>29.951221138000001</v>
      </c>
      <c r="J3071" s="11">
        <v>12.5136454425</v>
      </c>
      <c r="K3071" s="10">
        <v>0.66852034169499996</v>
      </c>
      <c r="L3071" s="12">
        <v>5874585813.9499998</v>
      </c>
      <c r="M3071">
        <v>82.294361198180795</v>
      </c>
      <c r="N3071" s="7">
        <v>8.5009317415785404</v>
      </c>
      <c r="O3071" s="7">
        <v>7.1475263465005998</v>
      </c>
      <c r="P3071" s="7">
        <v>-322.85631766922501</v>
      </c>
      <c r="Q3071" s="7">
        <v>0.3299776286353468</v>
      </c>
      <c r="U3071">
        <v>0.37083153026557647</v>
      </c>
      <c r="AT3071" s="4" t="s">
        <v>5474</v>
      </c>
    </row>
    <row r="3072" spans="1:46">
      <c r="A3072" s="2">
        <v>3229</v>
      </c>
      <c r="B3072" t="s">
        <v>8440</v>
      </c>
      <c r="C3072" t="s">
        <v>3069</v>
      </c>
      <c r="D3072" t="s">
        <v>3972</v>
      </c>
      <c r="E3072" s="4">
        <v>43465</v>
      </c>
      <c r="F3072" s="11">
        <v>-50.592668060000001</v>
      </c>
      <c r="G3072" s="11">
        <v>-23.071577479999998</v>
      </c>
      <c r="H3072" s="11">
        <v>-13.6668910217</v>
      </c>
      <c r="I3072" s="11">
        <v>43.479236247700001</v>
      </c>
      <c r="J3072" s="11">
        <v>151.82537611660001</v>
      </c>
      <c r="K3072" s="10">
        <v>0.26392916648199999</v>
      </c>
      <c r="L3072" s="12">
        <v>6020447530.8800001</v>
      </c>
      <c r="M3072">
        <v>-1410.13763982927</v>
      </c>
      <c r="N3072" s="7">
        <v>6.7273769509395596</v>
      </c>
      <c r="O3072" s="7">
        <v>32.177139425808399</v>
      </c>
      <c r="P3072" s="7">
        <v>-165.20236722295101</v>
      </c>
      <c r="Q3072" s="7">
        <v>0.27027027027027029</v>
      </c>
      <c r="U3072">
        <v>1.6187925956827158</v>
      </c>
      <c r="AT3072" s="4" t="s">
        <v>6826</v>
      </c>
    </row>
    <row r="3073" spans="1:46">
      <c r="A3073" s="2">
        <v>2847</v>
      </c>
      <c r="B3073" t="s">
        <v>8441</v>
      </c>
      <c r="C3073" t="s">
        <v>1886</v>
      </c>
      <c r="D3073" t="s">
        <v>3811</v>
      </c>
      <c r="E3073" s="4">
        <v>43465</v>
      </c>
      <c r="F3073" s="11">
        <v>-25.946633869999999</v>
      </c>
      <c r="G3073" s="11">
        <v>-23.07692308</v>
      </c>
      <c r="H3073" s="11">
        <v>6.8463054279</v>
      </c>
      <c r="I3073" s="11">
        <v>32.958818294300002</v>
      </c>
      <c r="J3073" s="11">
        <v>2.4963262236000001</v>
      </c>
      <c r="K3073" s="10">
        <v>0.63108954546700002</v>
      </c>
      <c r="L3073" s="12">
        <v>7179748924.6800003</v>
      </c>
      <c r="M3073">
        <v>195.56678058943601</v>
      </c>
      <c r="N3073" s="7">
        <v>5.3786458916310398</v>
      </c>
      <c r="O3073" s="7">
        <v>2.9811699470408</v>
      </c>
      <c r="P3073" s="7">
        <v>49.023352683264001</v>
      </c>
      <c r="Q3073" s="7">
        <v>0.28409090909090912</v>
      </c>
      <c r="U3073">
        <v>8.6216084554910505E-2</v>
      </c>
      <c r="AT3073" s="4" t="s">
        <v>7279</v>
      </c>
    </row>
    <row r="3074" spans="1:46">
      <c r="A3074" s="2">
        <v>2788</v>
      </c>
      <c r="B3074" t="s">
        <v>8442</v>
      </c>
      <c r="C3074" t="s">
        <v>2019</v>
      </c>
      <c r="D3074" t="s">
        <v>3889</v>
      </c>
      <c r="E3074" s="4">
        <v>43465</v>
      </c>
      <c r="F3074" s="11">
        <v>-84.004374429999999</v>
      </c>
      <c r="G3074" s="11">
        <v>-23.11111111</v>
      </c>
      <c r="H3074" s="11">
        <v>-8.4053185631999998</v>
      </c>
      <c r="I3074" s="11">
        <v>4.8222436795999997</v>
      </c>
      <c r="J3074" s="11">
        <v>-33.395181061000002</v>
      </c>
      <c r="K3074" s="10">
        <v>0.20717433858600001</v>
      </c>
      <c r="L3074" s="12">
        <v>6013646055.3599997</v>
      </c>
      <c r="M3074">
        <v>145.03528484842599</v>
      </c>
      <c r="N3074" s="7">
        <v>3.0573401283496899</v>
      </c>
      <c r="O3074" s="7">
        <v>4.0034948818646701</v>
      </c>
      <c r="P3074" s="7">
        <v>-18.078895864956301</v>
      </c>
      <c r="Q3074" s="7" t="s">
        <v>3698</v>
      </c>
      <c r="U3074">
        <v>-0.37016078502695765</v>
      </c>
      <c r="AT3074" s="4" t="s">
        <v>4773</v>
      </c>
    </row>
    <row r="3075" spans="1:46">
      <c r="A3075" s="2">
        <v>2702</v>
      </c>
      <c r="B3075" t="s">
        <v>8443</v>
      </c>
      <c r="C3075" t="s">
        <v>883</v>
      </c>
      <c r="D3075" t="s">
        <v>3858</v>
      </c>
      <c r="E3075" s="4">
        <v>43465</v>
      </c>
      <c r="F3075" s="11">
        <v>-30.220930360000001</v>
      </c>
      <c r="G3075" s="11">
        <v>-23.247559890000002</v>
      </c>
      <c r="H3075" s="11">
        <v>12.6504191382</v>
      </c>
      <c r="I3075" s="11">
        <v>25.445898797000002</v>
      </c>
      <c r="J3075" s="11">
        <v>5.1427800431000001</v>
      </c>
      <c r="K3075" s="10">
        <v>0.75009825738500002</v>
      </c>
      <c r="L3075" s="12">
        <v>6944874274.8800001</v>
      </c>
      <c r="M3075">
        <v>18.6853933443758</v>
      </c>
      <c r="N3075" s="7">
        <v>1.94399696114122</v>
      </c>
      <c r="O3075" s="7">
        <v>0.80199259951996005</v>
      </c>
      <c r="P3075" s="7">
        <v>-25.960430557274499</v>
      </c>
      <c r="Q3075" s="7">
        <v>1.8159806308998467</v>
      </c>
      <c r="U3075">
        <v>0.60975422068180796</v>
      </c>
      <c r="AT3075" s="4" t="s">
        <v>6955</v>
      </c>
    </row>
    <row r="3076" spans="1:46">
      <c r="A3076" s="2">
        <v>636</v>
      </c>
      <c r="B3076" t="s">
        <v>8444</v>
      </c>
      <c r="C3076" t="s">
        <v>2294</v>
      </c>
      <c r="D3076" t="s">
        <v>3752</v>
      </c>
      <c r="E3076" s="4">
        <v>43465</v>
      </c>
      <c r="F3076" s="11">
        <v>-19.208122249999999</v>
      </c>
      <c r="G3076" s="11">
        <v>-23.388305849999998</v>
      </c>
      <c r="H3076" s="11">
        <v>45.655336236799997</v>
      </c>
      <c r="I3076" s="11">
        <v>25.958519082799999</v>
      </c>
      <c r="J3076" s="11">
        <v>6.9478030595</v>
      </c>
      <c r="K3076" s="10">
        <v>0.37644874778100001</v>
      </c>
      <c r="L3076" s="12">
        <v>204909889588.32001</v>
      </c>
      <c r="M3076">
        <v>34.693422505884399</v>
      </c>
      <c r="N3076" s="7">
        <v>2.0017457165848702</v>
      </c>
      <c r="O3076" s="7">
        <v>2.3605005824879099</v>
      </c>
      <c r="P3076" s="7">
        <v>10.536913766146901</v>
      </c>
      <c r="Q3076" s="7">
        <v>0.82056892778993429</v>
      </c>
      <c r="U3076">
        <v>0.20467812031299712</v>
      </c>
      <c r="AT3076" s="4" t="s">
        <v>8445</v>
      </c>
    </row>
    <row r="3077" spans="1:46">
      <c r="A3077" s="2">
        <v>1496</v>
      </c>
      <c r="B3077" t="s">
        <v>8446</v>
      </c>
      <c r="C3077" t="s">
        <v>634</v>
      </c>
      <c r="D3077" t="s">
        <v>3889</v>
      </c>
      <c r="E3077" s="4">
        <v>43465</v>
      </c>
      <c r="F3077" s="11">
        <v>-63.205128209999998</v>
      </c>
      <c r="G3077" s="11">
        <v>-23.39832869</v>
      </c>
      <c r="H3077" s="11">
        <v>-2.5030400953999998</v>
      </c>
      <c r="I3077" s="11">
        <v>16.265909043600001</v>
      </c>
      <c r="J3077" s="11">
        <v>-22.572071820200001</v>
      </c>
      <c r="K3077" s="10">
        <v>1.0540495198140001</v>
      </c>
      <c r="L3077" s="12">
        <v>2650500209.25</v>
      </c>
      <c r="M3077">
        <v>-6.3442738291240897</v>
      </c>
      <c r="N3077" s="7">
        <v>-9.2621610823789897</v>
      </c>
      <c r="O3077" s="7">
        <v>0.76791112547562002</v>
      </c>
      <c r="P3077" s="7">
        <v>-101.022481154769</v>
      </c>
      <c r="Q3077" s="7" t="s">
        <v>3698</v>
      </c>
      <c r="U3077">
        <v>-1.1334562216939708</v>
      </c>
      <c r="AT3077" s="4" t="s">
        <v>4234</v>
      </c>
    </row>
    <row r="3078" spans="1:46">
      <c r="A3078" s="2">
        <v>36</v>
      </c>
      <c r="B3078" t="s">
        <v>8447</v>
      </c>
      <c r="C3078" t="s">
        <v>1133</v>
      </c>
      <c r="D3078" t="s">
        <v>3871</v>
      </c>
      <c r="E3078" s="4">
        <v>43465</v>
      </c>
      <c r="F3078" s="11">
        <v>-27.06050084</v>
      </c>
      <c r="G3078" s="11">
        <v>-23.411978220000002</v>
      </c>
      <c r="H3078" s="11">
        <v>-16.042681536500002</v>
      </c>
      <c r="I3078" s="11">
        <v>72.1156506329</v>
      </c>
      <c r="J3078" s="11">
        <v>30.922637741799999</v>
      </c>
      <c r="K3078" s="10">
        <v>0.34005944527999998</v>
      </c>
      <c r="L3078" s="12">
        <v>1876500000</v>
      </c>
      <c r="M3078">
        <v>6.4251242929658803</v>
      </c>
      <c r="N3078" s="7">
        <v>1.3062139957591701</v>
      </c>
      <c r="O3078" s="7">
        <v>1.72231514857462</v>
      </c>
      <c r="P3078" s="7">
        <v>3.1078407616602002</v>
      </c>
      <c r="Q3078" s="7">
        <v>11.743981214378515</v>
      </c>
      <c r="U3078">
        <v>0.84858038900203248</v>
      </c>
      <c r="AT3078" s="4" t="s">
        <v>7347</v>
      </c>
    </row>
    <row r="3079" spans="1:46">
      <c r="A3079" s="2">
        <v>1335</v>
      </c>
      <c r="B3079" t="s">
        <v>8448</v>
      </c>
      <c r="C3079" t="s">
        <v>220</v>
      </c>
      <c r="D3079" t="s">
        <v>3728</v>
      </c>
      <c r="E3079" s="4">
        <v>43465</v>
      </c>
      <c r="F3079" s="11">
        <v>27.827797700000001</v>
      </c>
      <c r="G3079" s="11">
        <v>-23.413173650000001</v>
      </c>
      <c r="H3079" s="11">
        <v>39.957107521300003</v>
      </c>
      <c r="I3079" s="11">
        <v>63.276323335100003</v>
      </c>
      <c r="J3079" s="11">
        <v>19.804122222899998</v>
      </c>
      <c r="K3079" s="10">
        <v>0.76639724857299996</v>
      </c>
      <c r="L3079" s="12">
        <v>2347485000</v>
      </c>
      <c r="M3079">
        <v>25.802343402889498</v>
      </c>
      <c r="N3079" s="7">
        <v>3.7198020476889999</v>
      </c>
      <c r="O3079" s="7">
        <v>4.4686189436773702</v>
      </c>
      <c r="P3079" s="7">
        <v>-14.3889382704177</v>
      </c>
      <c r="Q3079" s="7">
        <v>1.1936592818945759</v>
      </c>
      <c r="U3079">
        <v>1.6116633349693117</v>
      </c>
      <c r="AT3079" s="4" t="s">
        <v>4343</v>
      </c>
    </row>
    <row r="3080" spans="1:46">
      <c r="A3080" s="2">
        <v>2185</v>
      </c>
      <c r="B3080" t="s">
        <v>8449</v>
      </c>
      <c r="C3080" t="s">
        <v>1654</v>
      </c>
      <c r="D3080" t="s">
        <v>3764</v>
      </c>
      <c r="E3080" s="4">
        <v>43465</v>
      </c>
      <c r="F3080" s="11">
        <v>1.1782319000000001</v>
      </c>
      <c r="G3080" s="11">
        <v>-23.578947370000002</v>
      </c>
      <c r="H3080" s="11">
        <v>11.844839603500001</v>
      </c>
      <c r="I3080" s="11">
        <v>12.352437590499999</v>
      </c>
      <c r="J3080" s="11">
        <v>2.5708937090999999</v>
      </c>
      <c r="K3080" s="10">
        <v>0.40047216476600001</v>
      </c>
      <c r="L3080" s="12">
        <v>2207504178</v>
      </c>
      <c r="M3080">
        <v>26.742574219427901</v>
      </c>
      <c r="N3080" s="7">
        <v>1.11904449523896</v>
      </c>
      <c r="O3080" s="7">
        <v>0.54969380321252603</v>
      </c>
      <c r="P3080" s="7">
        <v>118.77049139627</v>
      </c>
      <c r="Q3080" s="7">
        <v>1.7789757412398921</v>
      </c>
      <c r="U3080">
        <v>0.17189486091750156</v>
      </c>
      <c r="AT3080" s="4" t="s">
        <v>8450</v>
      </c>
    </row>
    <row r="3081" spans="1:46">
      <c r="A3081" s="2">
        <v>2772</v>
      </c>
      <c r="B3081" t="s">
        <v>8451</v>
      </c>
      <c r="C3081" t="s">
        <v>2896</v>
      </c>
      <c r="D3081" t="s">
        <v>3849</v>
      </c>
      <c r="E3081" s="4">
        <v>43465</v>
      </c>
      <c r="F3081" s="11">
        <v>-25.132561519999999</v>
      </c>
      <c r="G3081" s="11">
        <v>-23.672945210000002</v>
      </c>
      <c r="H3081" s="11">
        <v>111.16204624140001</v>
      </c>
      <c r="I3081" s="11">
        <v>16.998869079599999</v>
      </c>
      <c r="J3081" s="11">
        <v>3.7855163909999998</v>
      </c>
      <c r="K3081" s="10">
        <v>1.1868137329020001</v>
      </c>
      <c r="L3081" s="12">
        <v>23325313251.18</v>
      </c>
      <c r="M3081">
        <v>123.03077923827</v>
      </c>
      <c r="N3081" s="7">
        <v>5.2107180904779904</v>
      </c>
      <c r="O3081" s="7">
        <v>0.475711325424934</v>
      </c>
      <c r="P3081" s="7">
        <v>6.7883565498295999</v>
      </c>
      <c r="Q3081" s="7" t="s">
        <v>3698</v>
      </c>
      <c r="U3081">
        <v>1.3883967783783442</v>
      </c>
      <c r="AT3081" s="4" t="s">
        <v>3838</v>
      </c>
    </row>
    <row r="3082" spans="1:46">
      <c r="A3082" s="2">
        <v>860</v>
      </c>
      <c r="B3082" t="s">
        <v>8452</v>
      </c>
      <c r="C3082" t="s">
        <v>1008</v>
      </c>
      <c r="D3082" t="s">
        <v>3737</v>
      </c>
      <c r="E3082" s="4">
        <v>43465</v>
      </c>
      <c r="F3082" s="11">
        <v>-40.427891989999999</v>
      </c>
      <c r="G3082" s="11">
        <v>-23.734729489999999</v>
      </c>
      <c r="H3082" s="11">
        <v>20.856572943300002</v>
      </c>
      <c r="I3082" s="11">
        <v>48.0395808436</v>
      </c>
      <c r="J3082" s="11">
        <v>19.197481163700001</v>
      </c>
      <c r="K3082" s="10">
        <v>0.407964703915</v>
      </c>
      <c r="L3082" s="12">
        <v>1114353551.22</v>
      </c>
      <c r="M3082">
        <v>28.621359091620999</v>
      </c>
      <c r="N3082" s="7">
        <v>2.7972526032219398</v>
      </c>
      <c r="O3082" s="7">
        <v>3.8354691273822499</v>
      </c>
      <c r="P3082" s="7">
        <v>-25.514940970804101</v>
      </c>
      <c r="Q3082" s="7">
        <v>1.1600928074245942</v>
      </c>
      <c r="U3082">
        <v>0.27480983293661843</v>
      </c>
      <c r="AT3082" s="4" t="s">
        <v>7018</v>
      </c>
    </row>
    <row r="3083" spans="1:46">
      <c r="A3083" s="2">
        <v>356</v>
      </c>
      <c r="B3083" t="s">
        <v>8453</v>
      </c>
      <c r="C3083" t="s">
        <v>2514</v>
      </c>
      <c r="D3083" t="s">
        <v>3871</v>
      </c>
      <c r="E3083" s="4">
        <v>43465</v>
      </c>
      <c r="F3083" s="11">
        <v>-49.307692549999999</v>
      </c>
      <c r="G3083" s="11">
        <v>-23.736263739999998</v>
      </c>
      <c r="H3083" s="11">
        <v>16.6842721101</v>
      </c>
      <c r="I3083" s="11">
        <v>24.286645239199999</v>
      </c>
      <c r="J3083" s="11">
        <v>8.7615629290000001</v>
      </c>
      <c r="K3083" s="10">
        <v>0.31310521967400001</v>
      </c>
      <c r="L3083" s="12">
        <v>3217477788</v>
      </c>
      <c r="M3083">
        <v>18.4097723046863</v>
      </c>
      <c r="N3083" s="7">
        <v>1.18845378299989</v>
      </c>
      <c r="O3083" s="7">
        <v>1.4455765556098701</v>
      </c>
      <c r="P3083" s="7">
        <v>-5.0479030708833603</v>
      </c>
      <c r="Q3083" s="7">
        <v>1.5340468012632589</v>
      </c>
      <c r="U3083">
        <v>0.23283240696043014</v>
      </c>
      <c r="AT3083" s="4" t="s">
        <v>8454</v>
      </c>
    </row>
    <row r="3084" spans="1:46">
      <c r="A3084" s="2">
        <v>1869</v>
      </c>
      <c r="B3084" t="s">
        <v>8455</v>
      </c>
      <c r="C3084" t="s">
        <v>109</v>
      </c>
      <c r="D3084" t="s">
        <v>3761</v>
      </c>
      <c r="E3084" s="4">
        <v>43465</v>
      </c>
      <c r="F3084" s="11">
        <v>-46.785126320000003</v>
      </c>
      <c r="G3084" s="11">
        <v>-23.74429224</v>
      </c>
      <c r="H3084" s="11">
        <v>36.1025368118</v>
      </c>
      <c r="I3084" s="11">
        <v>26.6945828556</v>
      </c>
      <c r="J3084" s="11">
        <v>8.6273700517999998</v>
      </c>
      <c r="K3084" s="10">
        <v>0.58251220190499997</v>
      </c>
      <c r="L3084" s="12">
        <v>2542088999.52</v>
      </c>
      <c r="M3084">
        <v>25.421026163027999</v>
      </c>
      <c r="N3084" s="7">
        <v>3.4235650346162001</v>
      </c>
      <c r="O3084" s="7">
        <v>2.04011739444379</v>
      </c>
      <c r="P3084" s="7">
        <v>39.227813064327599</v>
      </c>
      <c r="Q3084" s="7">
        <v>0.49904290983300215</v>
      </c>
      <c r="T3084" s="2"/>
      <c r="U3084">
        <v>0.32206449909425849</v>
      </c>
      <c r="AT3084" s="4" t="s">
        <v>4377</v>
      </c>
    </row>
    <row r="3085" spans="1:46">
      <c r="A3085" s="2">
        <v>3235</v>
      </c>
      <c r="B3085" t="s">
        <v>8456</v>
      </c>
      <c r="C3085" t="s">
        <v>1155</v>
      </c>
      <c r="D3085" t="s">
        <v>3713</v>
      </c>
      <c r="E3085" s="4">
        <v>43465</v>
      </c>
      <c r="F3085" s="11">
        <v>101.7542715</v>
      </c>
      <c r="G3085" s="11">
        <v>-23.762102349999999</v>
      </c>
      <c r="H3085" s="11">
        <v>42.512863380500001</v>
      </c>
      <c r="I3085" s="11">
        <v>95.796244572700004</v>
      </c>
      <c r="J3085" s="11">
        <v>10.779723478899999</v>
      </c>
      <c r="K3085" s="10">
        <v>0.68774320349899998</v>
      </c>
      <c r="L3085" s="12">
        <v>7486025521.6199999</v>
      </c>
      <c r="M3085">
        <v>96.661180874808096</v>
      </c>
      <c r="N3085" s="7">
        <v>10.2364847040056</v>
      </c>
      <c r="O3085" s="7">
        <v>8.4393417849875405</v>
      </c>
      <c r="P3085" s="7">
        <v>224.512910256194</v>
      </c>
      <c r="Q3085" s="7">
        <v>0.18362957113210718</v>
      </c>
      <c r="U3085">
        <v>1.1167352937079686</v>
      </c>
      <c r="AT3085" s="4" t="s">
        <v>3964</v>
      </c>
    </row>
    <row r="3086" spans="1:46">
      <c r="A3086" s="2">
        <v>1493</v>
      </c>
      <c r="B3086" t="s">
        <v>8457</v>
      </c>
      <c r="C3086" t="s">
        <v>1227</v>
      </c>
      <c r="D3086" t="s">
        <v>3761</v>
      </c>
      <c r="E3086" s="4">
        <v>43465</v>
      </c>
      <c r="F3086" s="11">
        <v>-32.119047430000002</v>
      </c>
      <c r="G3086" s="11">
        <v>-23.769338959999999</v>
      </c>
      <c r="H3086" s="11">
        <v>-6.6422388889999997</v>
      </c>
      <c r="I3086" s="11">
        <v>14.1454147647</v>
      </c>
      <c r="J3086" s="11">
        <v>1.5109111294999999</v>
      </c>
      <c r="K3086" s="10">
        <v>0.68402751224799996</v>
      </c>
      <c r="L3086" s="12">
        <v>148160576493</v>
      </c>
      <c r="M3086">
        <v>40.657829452617896</v>
      </c>
      <c r="N3086" s="7">
        <v>2.1489652824043901</v>
      </c>
      <c r="O3086" s="7">
        <v>1.4064857933154999</v>
      </c>
      <c r="P3086" s="7">
        <v>-23.481061567241401</v>
      </c>
      <c r="Q3086" s="7" t="s">
        <v>3698</v>
      </c>
      <c r="U3086">
        <v>0.27580724214206787</v>
      </c>
      <c r="AT3086" s="4" t="s">
        <v>4234</v>
      </c>
    </row>
    <row r="3087" spans="1:46">
      <c r="A3087" s="2">
        <v>2744</v>
      </c>
      <c r="B3087" t="s">
        <v>8458</v>
      </c>
      <c r="C3087" t="s">
        <v>46</v>
      </c>
      <c r="D3087" t="s">
        <v>3737</v>
      </c>
      <c r="E3087" s="4">
        <v>43465</v>
      </c>
      <c r="F3087" s="11">
        <v>-51.246537400000001</v>
      </c>
      <c r="G3087" s="11">
        <v>-23.9375</v>
      </c>
      <c r="H3087" s="11">
        <v>103.2345963185</v>
      </c>
      <c r="I3087" s="11">
        <v>38.1540364751</v>
      </c>
      <c r="J3087" s="11">
        <v>-1.5817640909999999</v>
      </c>
      <c r="K3087" s="10">
        <v>0.80062404897600004</v>
      </c>
      <c r="L3087" s="12">
        <v>1392384000</v>
      </c>
      <c r="M3087">
        <v>-146.22756867279199</v>
      </c>
      <c r="N3087" s="7">
        <v>52.368765941351199</v>
      </c>
      <c r="O3087" s="7">
        <v>5.0992380112922602</v>
      </c>
      <c r="P3087" s="7">
        <v>-202.20461481817901</v>
      </c>
      <c r="Q3087" s="7" t="s">
        <v>3698</v>
      </c>
      <c r="U3087">
        <v>-7.2933379953347408E-2</v>
      </c>
      <c r="AT3087" s="4" t="s">
        <v>8459</v>
      </c>
    </row>
    <row r="3088" spans="1:46">
      <c r="A3088" s="2">
        <v>1310</v>
      </c>
      <c r="B3088" t="s">
        <v>8460</v>
      </c>
      <c r="C3088" t="s">
        <v>2252</v>
      </c>
      <c r="D3088" t="s">
        <v>3769</v>
      </c>
      <c r="E3088" s="4">
        <v>43465</v>
      </c>
      <c r="F3088" s="11">
        <v>-37.903750459999998</v>
      </c>
      <c r="G3088" s="11">
        <v>-23.978201630000001</v>
      </c>
      <c r="H3088" s="11">
        <v>47.886594483700001</v>
      </c>
      <c r="I3088" s="11">
        <v>26.179977750700001</v>
      </c>
      <c r="J3088" s="11">
        <v>12.167906411500001</v>
      </c>
      <c r="K3088" s="10">
        <v>0.54016376748399997</v>
      </c>
      <c r="L3088" s="12">
        <v>3109532048</v>
      </c>
      <c r="M3088">
        <v>117.770361065545</v>
      </c>
      <c r="N3088" s="7">
        <v>5.6221953058788303</v>
      </c>
      <c r="O3088" s="7">
        <v>6.4926188132711999</v>
      </c>
      <c r="P3088" s="7">
        <v>178.030622673659</v>
      </c>
      <c r="Q3088" s="7">
        <v>0.64102564102564097</v>
      </c>
      <c r="U3088">
        <v>0.44342787718705173</v>
      </c>
      <c r="AT3088" s="4" t="s">
        <v>4432</v>
      </c>
    </row>
    <row r="3089" spans="1:46">
      <c r="A3089" s="2">
        <v>993</v>
      </c>
      <c r="B3089" t="s">
        <v>8461</v>
      </c>
      <c r="C3089" t="s">
        <v>2190</v>
      </c>
      <c r="D3089" t="s">
        <v>3858</v>
      </c>
      <c r="E3089" s="4">
        <v>43465</v>
      </c>
      <c r="F3089" s="11">
        <v>-44.572539280000001</v>
      </c>
      <c r="G3089" s="11">
        <v>-24.006908459999998</v>
      </c>
      <c r="H3089" s="11">
        <v>14.857385388599999</v>
      </c>
      <c r="I3089" s="11">
        <v>14.6453535367</v>
      </c>
      <c r="J3089" s="11">
        <v>2.2101332092999999</v>
      </c>
      <c r="K3089" s="10">
        <v>0.78182016329399995</v>
      </c>
      <c r="L3089" s="12">
        <v>3939016942.5799999</v>
      </c>
      <c r="M3089">
        <v>16.577070552008902</v>
      </c>
      <c r="N3089" s="7">
        <v>1.35060975045287</v>
      </c>
      <c r="O3089" s="7">
        <v>0.641857369479789</v>
      </c>
      <c r="P3089" s="7">
        <v>-11.1339415584126</v>
      </c>
      <c r="Q3089" s="7">
        <v>0.73170731707317083</v>
      </c>
      <c r="U3089">
        <v>0.22662631678212597</v>
      </c>
      <c r="AT3089" s="4" t="s">
        <v>5401</v>
      </c>
    </row>
    <row r="3090" spans="1:46">
      <c r="A3090" s="2">
        <v>2963</v>
      </c>
      <c r="B3090" t="s">
        <v>8462</v>
      </c>
      <c r="C3090" t="s">
        <v>3574</v>
      </c>
      <c r="D3090" t="s">
        <v>3871</v>
      </c>
      <c r="E3090" s="4">
        <v>43465</v>
      </c>
      <c r="F3090" s="11">
        <v>-38.001958860000002</v>
      </c>
      <c r="G3090" s="11">
        <v>-24.062877870000001</v>
      </c>
      <c r="H3090" s="11">
        <v>-84.027956659500006</v>
      </c>
      <c r="I3090" s="11">
        <v>31.464504411</v>
      </c>
      <c r="J3090" s="11">
        <v>-343.7322466155</v>
      </c>
      <c r="K3090" s="10">
        <v>4.0565007978999999E-2</v>
      </c>
      <c r="L3090" s="12">
        <v>3013200000</v>
      </c>
      <c r="M3090">
        <v>-588.59518149631901</v>
      </c>
      <c r="N3090" s="7">
        <v>19.016569545487201</v>
      </c>
      <c r="O3090" s="7">
        <v>63.363818206959401</v>
      </c>
      <c r="P3090" s="7">
        <v>62.844879872696197</v>
      </c>
      <c r="Q3090" s="7" t="s">
        <v>3698</v>
      </c>
      <c r="U3090">
        <v>-7.255239541334034E-2</v>
      </c>
      <c r="AT3090" s="4" t="s">
        <v>8463</v>
      </c>
    </row>
    <row r="3091" spans="1:46">
      <c r="A3091" s="2">
        <v>2642</v>
      </c>
      <c r="B3091" t="s">
        <v>8464</v>
      </c>
      <c r="C3091" t="s">
        <v>2184</v>
      </c>
      <c r="D3091" t="s">
        <v>3737</v>
      </c>
      <c r="E3091" s="4">
        <v>43465</v>
      </c>
      <c r="F3091" s="11">
        <v>-77.322149620000005</v>
      </c>
      <c r="G3091" s="11">
        <v>-24.12280702</v>
      </c>
      <c r="H3091" s="11">
        <v>-41.6057582153</v>
      </c>
      <c r="I3091" s="11">
        <v>26.884773599799999</v>
      </c>
      <c r="J3091" s="11">
        <v>-334.273613173</v>
      </c>
      <c r="K3091" s="10">
        <v>8.8875526282000003E-2</v>
      </c>
      <c r="L3091" s="12">
        <v>2255358714</v>
      </c>
      <c r="M3091">
        <v>-42.1337150069429</v>
      </c>
      <c r="N3091" s="7">
        <v>1.1824228332203499</v>
      </c>
      <c r="O3091" s="7">
        <v>5.1840919501319798</v>
      </c>
      <c r="P3091" s="7">
        <v>-24.747198325973201</v>
      </c>
      <c r="Q3091" s="7" t="s">
        <v>3698</v>
      </c>
      <c r="U3091">
        <v>-0.95069680882460073</v>
      </c>
      <c r="AT3091" s="4" t="s">
        <v>5245</v>
      </c>
    </row>
    <row r="3092" spans="1:46">
      <c r="A3092" s="2">
        <v>1392</v>
      </c>
      <c r="B3092" t="s">
        <v>8465</v>
      </c>
      <c r="C3092" t="s">
        <v>66</v>
      </c>
      <c r="D3092" t="s">
        <v>3764</v>
      </c>
      <c r="E3092" s="4">
        <v>43465</v>
      </c>
      <c r="F3092" s="11">
        <v>-37.749595540000001</v>
      </c>
      <c r="G3092" s="11">
        <v>-24.191542290000001</v>
      </c>
      <c r="H3092" s="11">
        <v>5.5616838115</v>
      </c>
      <c r="I3092" s="11">
        <v>13.781516078399999</v>
      </c>
      <c r="J3092" s="11">
        <v>3.9597832212999999</v>
      </c>
      <c r="K3092" s="10">
        <v>0.544717925499</v>
      </c>
      <c r="L3092" s="12">
        <v>6321594798.1499996</v>
      </c>
      <c r="M3092">
        <v>58.359653358500303</v>
      </c>
      <c r="N3092" s="7">
        <v>3.1844525077468502</v>
      </c>
      <c r="O3092" s="7">
        <v>2.06886818945291</v>
      </c>
      <c r="P3092" s="7">
        <v>-7.5272185061085004</v>
      </c>
      <c r="Q3092" s="7">
        <v>1.2692559272910096</v>
      </c>
      <c r="U3092">
        <v>0.34747506074158396</v>
      </c>
      <c r="AT3092" s="4" t="s">
        <v>6192</v>
      </c>
    </row>
    <row r="3093" spans="1:46">
      <c r="A3093" s="2">
        <v>2799</v>
      </c>
      <c r="B3093" t="s">
        <v>8466</v>
      </c>
      <c r="C3093" t="s">
        <v>136</v>
      </c>
      <c r="D3093" t="s">
        <v>3764</v>
      </c>
      <c r="E3093" s="4">
        <v>43465</v>
      </c>
      <c r="F3093" s="11">
        <v>-44.16403785</v>
      </c>
      <c r="G3093" s="11">
        <v>-24.242424239999998</v>
      </c>
      <c r="H3093" s="11">
        <v>7.9842599478</v>
      </c>
      <c r="I3093" s="11">
        <v>1.728684399</v>
      </c>
      <c r="J3093" s="11">
        <v>-8.9869678338999996</v>
      </c>
      <c r="K3093" s="10">
        <v>0.38820739424400003</v>
      </c>
      <c r="L3093" s="12">
        <v>7913403918</v>
      </c>
      <c r="M3093">
        <v>-3.6079124349054799</v>
      </c>
      <c r="N3093" s="7">
        <v>3.35987817141568</v>
      </c>
      <c r="O3093" s="7">
        <v>0.46977931135724998</v>
      </c>
      <c r="P3093" s="7">
        <v>7.8801764463408599</v>
      </c>
      <c r="Q3093" s="7" t="s">
        <v>3698</v>
      </c>
      <c r="U3093">
        <v>-0.38739897277280544</v>
      </c>
      <c r="AT3093" s="4" t="s">
        <v>4773</v>
      </c>
    </row>
    <row r="3094" spans="1:46">
      <c r="A3094" s="2">
        <v>2237</v>
      </c>
      <c r="B3094" t="s">
        <v>8467</v>
      </c>
      <c r="C3094" t="s">
        <v>1196</v>
      </c>
      <c r="D3094" t="s">
        <v>3737</v>
      </c>
      <c r="E3094" s="4">
        <v>43465</v>
      </c>
      <c r="F3094" s="11">
        <v>-45.08802592</v>
      </c>
      <c r="G3094" s="11">
        <v>-24.264705880000001</v>
      </c>
      <c r="H3094" s="11">
        <v>10.006701680000001</v>
      </c>
      <c r="I3094" s="11">
        <v>13.129224342100001</v>
      </c>
      <c r="J3094" s="11">
        <v>5.2079133892999998</v>
      </c>
      <c r="K3094" s="10">
        <v>1.362293510692</v>
      </c>
      <c r="L3094" s="12">
        <v>1643868856</v>
      </c>
      <c r="M3094">
        <v>15.175275529642599</v>
      </c>
      <c r="N3094" s="7">
        <v>1.30338223140406</v>
      </c>
      <c r="O3094" s="7">
        <v>0.71949393859007305</v>
      </c>
      <c r="P3094" s="7">
        <v>-9.6088295991545092</v>
      </c>
      <c r="Q3094" s="7" t="s">
        <v>3698</v>
      </c>
      <c r="U3094">
        <v>0.36736382171731174</v>
      </c>
      <c r="AT3094" s="4" t="s">
        <v>4488</v>
      </c>
    </row>
    <row r="3095" spans="1:46">
      <c r="A3095" s="2">
        <v>586</v>
      </c>
      <c r="B3095" t="s">
        <v>8468</v>
      </c>
      <c r="C3095" t="s">
        <v>146</v>
      </c>
      <c r="D3095" t="s">
        <v>3842</v>
      </c>
      <c r="E3095" s="4">
        <v>43465</v>
      </c>
      <c r="F3095" s="11">
        <v>-61.159801209999998</v>
      </c>
      <c r="G3095" s="11">
        <v>-24.283935240000002</v>
      </c>
      <c r="H3095" s="11">
        <v>18.511646066600001</v>
      </c>
      <c r="I3095" s="11">
        <v>22.4147655312</v>
      </c>
      <c r="J3095" s="11">
        <v>15.4245036086</v>
      </c>
      <c r="K3095" s="10">
        <v>1.389469665964</v>
      </c>
      <c r="L3095" s="12">
        <v>4247064000</v>
      </c>
      <c r="M3095">
        <v>14.879028777294099</v>
      </c>
      <c r="N3095" s="7">
        <v>3.9724065230705299</v>
      </c>
      <c r="O3095" s="7">
        <v>1.2187672499779101</v>
      </c>
      <c r="P3095" s="7">
        <v>-89.413138434918096</v>
      </c>
      <c r="Q3095" s="7">
        <v>0.49180327868852453</v>
      </c>
      <c r="U3095">
        <v>0.53337525106334382</v>
      </c>
      <c r="AT3095" s="4" t="s">
        <v>8469</v>
      </c>
    </row>
    <row r="3096" spans="1:46">
      <c r="A3096" s="2">
        <v>816</v>
      </c>
      <c r="B3096" t="s">
        <v>8470</v>
      </c>
      <c r="C3096" t="s">
        <v>2938</v>
      </c>
      <c r="D3096" t="s">
        <v>3871</v>
      </c>
      <c r="E3096" s="4">
        <v>43465</v>
      </c>
      <c r="F3096" s="11">
        <v>-50.637247709999997</v>
      </c>
      <c r="G3096" s="11">
        <v>-24.305555559999998</v>
      </c>
      <c r="H3096" s="11">
        <v>27.344499541899999</v>
      </c>
      <c r="I3096" s="11">
        <v>12.667189030999999</v>
      </c>
      <c r="J3096" s="11">
        <v>2.7836617569</v>
      </c>
      <c r="K3096" s="10">
        <v>0.17149651797000001</v>
      </c>
      <c r="L3096" s="12">
        <v>20180729967.299999</v>
      </c>
      <c r="M3096">
        <v>-64.773452968512501</v>
      </c>
      <c r="N3096" s="7">
        <v>1.10738953384609</v>
      </c>
      <c r="O3096" s="7">
        <v>1.4889892484435301</v>
      </c>
      <c r="P3096" s="7">
        <v>-111.858395387678</v>
      </c>
      <c r="Q3096" s="7">
        <v>2.3255813953488373</v>
      </c>
      <c r="U3096">
        <v>4.8635333387609544E-2</v>
      </c>
      <c r="AT3096" s="4" t="s">
        <v>6070</v>
      </c>
    </row>
    <row r="3097" spans="1:46">
      <c r="A3097" s="2">
        <v>1987</v>
      </c>
      <c r="B3097" t="s">
        <v>8471</v>
      </c>
      <c r="C3097" t="s">
        <v>2151</v>
      </c>
      <c r="D3097" t="s">
        <v>3713</v>
      </c>
      <c r="E3097" s="4">
        <v>43465</v>
      </c>
      <c r="F3097" s="11">
        <v>-32.617415479999998</v>
      </c>
      <c r="G3097" s="11">
        <v>-24.348422500000002</v>
      </c>
      <c r="H3097" s="11">
        <v>-19.1919171692</v>
      </c>
      <c r="I3097" s="11">
        <v>33.019030555599997</v>
      </c>
      <c r="J3097" s="11">
        <v>3.0781253057</v>
      </c>
      <c r="K3097" s="10">
        <v>0.51003546911300002</v>
      </c>
      <c r="L3097" s="12">
        <v>8055120064.1999998</v>
      </c>
      <c r="M3097">
        <v>113.817885571042</v>
      </c>
      <c r="N3097" s="7">
        <v>4.1043294499470404</v>
      </c>
      <c r="O3097" s="7">
        <v>4.9085561904815203</v>
      </c>
      <c r="P3097" s="7">
        <v>18.280917363518601</v>
      </c>
      <c r="Q3097" s="7" t="s">
        <v>3698</v>
      </c>
      <c r="U3097">
        <v>8.0300620480769233E-2</v>
      </c>
      <c r="AT3097" s="4" t="s">
        <v>4789</v>
      </c>
    </row>
    <row r="3098" spans="1:46">
      <c r="A3098" s="2">
        <v>94</v>
      </c>
      <c r="B3098" t="s">
        <v>8472</v>
      </c>
      <c r="C3098" t="s">
        <v>1904</v>
      </c>
      <c r="D3098" t="s">
        <v>3721</v>
      </c>
      <c r="E3098" s="4">
        <v>43465</v>
      </c>
      <c r="F3098" s="11">
        <v>-63.228724759999999</v>
      </c>
      <c r="G3098" s="11">
        <v>-24.444444440000002</v>
      </c>
      <c r="H3098" s="11">
        <v>63.290794568099997</v>
      </c>
      <c r="I3098" s="11">
        <v>17.7501576473</v>
      </c>
      <c r="J3098" s="11">
        <v>8.0421530232999991</v>
      </c>
      <c r="K3098" s="10">
        <v>0.402278771255</v>
      </c>
      <c r="L3098" s="12">
        <v>6075255187.0200005</v>
      </c>
      <c r="M3098">
        <v>14.1375631359592</v>
      </c>
      <c r="N3098" s="7">
        <v>0.86864501929495297</v>
      </c>
      <c r="O3098" s="7">
        <v>0.98009763235751401</v>
      </c>
      <c r="P3098" s="7">
        <v>-7.2643768648336202</v>
      </c>
      <c r="Q3098" s="7">
        <v>1.4583333333333333</v>
      </c>
      <c r="U3098">
        <v>0.37757645143509944</v>
      </c>
      <c r="AT3098" s="4" t="s">
        <v>6510</v>
      </c>
    </row>
    <row r="3099" spans="1:46">
      <c r="A3099" s="2">
        <v>1948</v>
      </c>
      <c r="B3099" t="s">
        <v>8473</v>
      </c>
      <c r="C3099" t="s">
        <v>2186</v>
      </c>
      <c r="D3099" t="s">
        <v>3790</v>
      </c>
      <c r="E3099" s="4">
        <v>43465</v>
      </c>
      <c r="F3099" s="11">
        <v>43.066533730000003</v>
      </c>
      <c r="G3099" s="11">
        <v>-24.48739496</v>
      </c>
      <c r="H3099" s="11">
        <v>61.6369263984</v>
      </c>
      <c r="I3099" s="11">
        <v>55.640189370000002</v>
      </c>
      <c r="J3099" s="11">
        <v>17.2499237854</v>
      </c>
      <c r="K3099" s="10">
        <v>0.595310988639</v>
      </c>
      <c r="L3099" s="12">
        <v>2613072000</v>
      </c>
      <c r="M3099">
        <v>52.618393904358697</v>
      </c>
      <c r="N3099" s="7">
        <v>7.2301674387344397</v>
      </c>
      <c r="O3099" s="7">
        <v>9.6646325909400002</v>
      </c>
      <c r="P3099" s="7">
        <v>-104.649516278729</v>
      </c>
      <c r="Q3099" s="7">
        <v>0.31882671836418475</v>
      </c>
      <c r="U3099">
        <v>0.94144507472222216</v>
      </c>
      <c r="AT3099" s="4" t="s">
        <v>4432</v>
      </c>
    </row>
    <row r="3100" spans="1:46">
      <c r="A3100" s="2">
        <v>2141</v>
      </c>
      <c r="B3100" t="s">
        <v>8474</v>
      </c>
      <c r="C3100" t="s">
        <v>1216</v>
      </c>
      <c r="D3100" t="s">
        <v>3752</v>
      </c>
      <c r="E3100" s="4">
        <v>43465</v>
      </c>
      <c r="F3100" s="11">
        <v>-40.705747250000002</v>
      </c>
      <c r="G3100" s="11">
        <v>-24.5177665</v>
      </c>
      <c r="H3100" s="11">
        <v>41.3135812031</v>
      </c>
      <c r="I3100" s="11">
        <v>26.659642691199998</v>
      </c>
      <c r="J3100" s="11">
        <v>10.150082378500001</v>
      </c>
      <c r="K3100" s="10">
        <v>1.004252523761</v>
      </c>
      <c r="L3100" s="12">
        <v>7936386856.6000004</v>
      </c>
      <c r="M3100">
        <v>42.9484893269371</v>
      </c>
      <c r="N3100" s="7">
        <v>4.7540456215932503</v>
      </c>
      <c r="O3100" s="7">
        <v>4.0036654248798396</v>
      </c>
      <c r="P3100" s="7">
        <v>111.281358179855</v>
      </c>
      <c r="Q3100" s="7">
        <v>1.0281014393420151</v>
      </c>
      <c r="U3100">
        <v>0.52144345523329128</v>
      </c>
      <c r="AT3100" s="4" t="s">
        <v>7811</v>
      </c>
    </row>
    <row r="3101" spans="1:46">
      <c r="A3101" s="2">
        <v>1703</v>
      </c>
      <c r="B3101" t="s">
        <v>8475</v>
      </c>
      <c r="C3101" t="s">
        <v>2447</v>
      </c>
      <c r="D3101" t="s">
        <v>3718</v>
      </c>
      <c r="E3101" s="4">
        <v>43465</v>
      </c>
      <c r="F3101" s="11">
        <v>-74.941588789999997</v>
      </c>
      <c r="G3101" s="11">
        <v>-24.518388789999999</v>
      </c>
      <c r="H3101" s="11">
        <v>-8.1101962652000008</v>
      </c>
      <c r="I3101" s="11">
        <v>19.3368317238</v>
      </c>
      <c r="J3101" s="11">
        <v>0.89339343810000005</v>
      </c>
      <c r="K3101" s="10">
        <v>0.59729964447600004</v>
      </c>
      <c r="L3101" s="12">
        <v>2716800000</v>
      </c>
      <c r="M3101">
        <v>152.564680592028</v>
      </c>
      <c r="N3101" s="7">
        <v>4.2183990174691397</v>
      </c>
      <c r="O3101" s="7">
        <v>1.3005969049236901</v>
      </c>
      <c r="P3101" s="7">
        <v>-27.842828768890001</v>
      </c>
      <c r="Q3101" s="7" t="s">
        <v>3698</v>
      </c>
      <c r="U3101">
        <v>4.0507245779630052E-2</v>
      </c>
      <c r="AT3101" s="4" t="s">
        <v>6106</v>
      </c>
    </row>
    <row r="3102" spans="1:46">
      <c r="A3102" s="2">
        <v>2172</v>
      </c>
      <c r="B3102" t="s">
        <v>8476</v>
      </c>
      <c r="C3102" t="s">
        <v>1671</v>
      </c>
      <c r="D3102" t="s">
        <v>3764</v>
      </c>
      <c r="E3102" s="4">
        <v>43465</v>
      </c>
      <c r="F3102" s="11">
        <v>-6.7108103200000002</v>
      </c>
      <c r="G3102" s="11">
        <v>-24.525745260000001</v>
      </c>
      <c r="H3102" s="11">
        <v>11.0420003084</v>
      </c>
      <c r="I3102" s="11">
        <v>11.304366566400001</v>
      </c>
      <c r="J3102" s="11">
        <v>1.4172795752</v>
      </c>
      <c r="K3102" s="10">
        <v>0.43435244407899998</v>
      </c>
      <c r="L3102" s="12">
        <v>6841583263.5299997</v>
      </c>
      <c r="M3102">
        <v>313.70937534121799</v>
      </c>
      <c r="N3102" s="7">
        <v>1.9075125287209</v>
      </c>
      <c r="O3102" s="7">
        <v>0.69357178892123705</v>
      </c>
      <c r="P3102" s="7">
        <v>-39.848965308392501</v>
      </c>
      <c r="Q3102" s="7">
        <v>1.6694490818030052</v>
      </c>
      <c r="U3102">
        <v>9.1659631147184076E-2</v>
      </c>
      <c r="AT3102" s="4" t="s">
        <v>8477</v>
      </c>
    </row>
    <row r="3103" spans="1:46">
      <c r="A3103" s="2">
        <v>796</v>
      </c>
      <c r="B3103" t="s">
        <v>8478</v>
      </c>
      <c r="C3103" t="s">
        <v>3307</v>
      </c>
      <c r="D3103" t="s">
        <v>3871</v>
      </c>
      <c r="E3103" s="4">
        <v>43465</v>
      </c>
      <c r="F3103" s="11">
        <v>-65.889206799999997</v>
      </c>
      <c r="G3103" s="11">
        <v>-24.60629921</v>
      </c>
      <c r="H3103" s="11">
        <v>-8.2555517956000006</v>
      </c>
      <c r="I3103" s="11">
        <v>21.661708201900002</v>
      </c>
      <c r="J3103" s="11">
        <v>6.0220903781999997</v>
      </c>
      <c r="K3103" s="10">
        <v>0.56108694558899996</v>
      </c>
      <c r="L3103" s="12">
        <v>1231376256</v>
      </c>
      <c r="M3103">
        <v>12.9420466343489</v>
      </c>
      <c r="N3103" s="7">
        <v>2.0659021013066501</v>
      </c>
      <c r="O3103" s="7">
        <v>1.2358638754603399</v>
      </c>
      <c r="P3103" s="7">
        <v>12.6827617771783</v>
      </c>
      <c r="Q3103" s="7">
        <v>0.65830721003134784</v>
      </c>
      <c r="U3103">
        <v>0.20349027965532934</v>
      </c>
      <c r="AT3103" s="4" t="s">
        <v>5811</v>
      </c>
    </row>
    <row r="3104" spans="1:46">
      <c r="A3104" s="2">
        <v>1934</v>
      </c>
      <c r="B3104" t="s">
        <v>8479</v>
      </c>
      <c r="C3104" t="s">
        <v>1407</v>
      </c>
      <c r="D3104" t="s">
        <v>3718</v>
      </c>
      <c r="E3104" s="4">
        <v>43465</v>
      </c>
      <c r="F3104" s="11">
        <v>3.0285909999999999E-2</v>
      </c>
      <c r="G3104" s="11">
        <v>-24.672131149999998</v>
      </c>
      <c r="H3104" s="11">
        <v>11.1899698676</v>
      </c>
      <c r="I3104" s="11">
        <v>35.6702120876</v>
      </c>
      <c r="J3104" s="11">
        <v>8.3736162771</v>
      </c>
      <c r="K3104" s="10">
        <v>0.42401942317000002</v>
      </c>
      <c r="L3104" s="12">
        <v>3372982125</v>
      </c>
      <c r="M3104">
        <v>38.3243644073372</v>
      </c>
      <c r="N3104" s="7">
        <v>3.1060148598796999</v>
      </c>
      <c r="O3104" s="7">
        <v>3.6121218679087499</v>
      </c>
      <c r="P3104" s="7">
        <v>-22.8326062568301</v>
      </c>
      <c r="Q3104" s="7">
        <v>1.8663680477790219</v>
      </c>
      <c r="U3104">
        <v>0.28335891210526315</v>
      </c>
      <c r="AT3104" s="4" t="s">
        <v>8480</v>
      </c>
    </row>
    <row r="3105" spans="1:46">
      <c r="A3105" s="2">
        <v>1533</v>
      </c>
      <c r="B3105" t="s">
        <v>8481</v>
      </c>
      <c r="C3105" t="s">
        <v>1511</v>
      </c>
      <c r="D3105" t="s">
        <v>3737</v>
      </c>
      <c r="E3105" s="4">
        <v>43465</v>
      </c>
      <c r="F3105" s="11">
        <v>-60.06758482</v>
      </c>
      <c r="G3105" s="11">
        <v>-24.8</v>
      </c>
      <c r="H3105" s="11">
        <v>34.522992281599997</v>
      </c>
      <c r="I3105" s="11">
        <v>32.489592377100003</v>
      </c>
      <c r="J3105" s="11">
        <v>23.285692775200001</v>
      </c>
      <c r="K3105" s="10">
        <v>0.235343356216</v>
      </c>
      <c r="L3105" s="12">
        <v>2261716200</v>
      </c>
      <c r="M3105">
        <v>38.644075981334403</v>
      </c>
      <c r="N3105" s="7">
        <v>2.4599126877742501</v>
      </c>
      <c r="O3105" s="7">
        <v>4.2913074543647598</v>
      </c>
      <c r="P3105" s="7">
        <v>88.742173628721702</v>
      </c>
      <c r="Q3105" s="7" t="s">
        <v>3698</v>
      </c>
      <c r="U3105">
        <v>0.32530801986503982</v>
      </c>
      <c r="AT3105" s="4" t="s">
        <v>5387</v>
      </c>
    </row>
    <row r="3106" spans="1:46">
      <c r="A3106" s="2">
        <v>3363</v>
      </c>
      <c r="B3106" t="s">
        <v>8482</v>
      </c>
      <c r="C3106" t="s">
        <v>2298</v>
      </c>
      <c r="D3106" t="s">
        <v>3752</v>
      </c>
      <c r="E3106" s="4">
        <v>43465</v>
      </c>
      <c r="F3106" s="11">
        <v>-21.20438794</v>
      </c>
      <c r="G3106" s="11">
        <v>-24.92552135</v>
      </c>
      <c r="H3106" s="11">
        <v>23.236897678199998</v>
      </c>
      <c r="I3106" s="11">
        <v>27.1899687481</v>
      </c>
      <c r="J3106" s="11">
        <v>6.8128733905000001</v>
      </c>
      <c r="K3106" s="10">
        <v>0.622544964895</v>
      </c>
      <c r="L3106" s="12">
        <v>4421942766.6000004</v>
      </c>
      <c r="M3106">
        <v>41.266958048959097</v>
      </c>
      <c r="N3106" s="7">
        <v>2.6784856127087902</v>
      </c>
      <c r="O3106" s="7">
        <v>2.89505782459536</v>
      </c>
      <c r="P3106" s="7">
        <v>93.888188461213502</v>
      </c>
      <c r="Q3106" s="7">
        <v>1.2446304659103424</v>
      </c>
      <c r="U3106">
        <v>0.45096073320512819</v>
      </c>
      <c r="AT3106" s="4" t="s">
        <v>6517</v>
      </c>
    </row>
    <row r="3107" spans="1:46">
      <c r="A3107" s="2">
        <v>1848</v>
      </c>
      <c r="B3107" t="s">
        <v>8483</v>
      </c>
      <c r="C3107" t="s">
        <v>631</v>
      </c>
      <c r="D3107" t="s">
        <v>3761</v>
      </c>
      <c r="E3107" s="4">
        <v>43465</v>
      </c>
      <c r="F3107" s="11">
        <v>39.695638170000002</v>
      </c>
      <c r="G3107" s="11">
        <v>-24.957458880000001</v>
      </c>
      <c r="H3107" s="11">
        <v>1048.1272759924</v>
      </c>
      <c r="I3107" s="11">
        <v>39.1698383624</v>
      </c>
      <c r="J3107" s="11">
        <v>14.8637871205</v>
      </c>
      <c r="K3107" s="10">
        <v>0.80001228942299996</v>
      </c>
      <c r="L3107" s="12">
        <v>4662942743.8999996</v>
      </c>
      <c r="M3107">
        <v>14.856593787240699</v>
      </c>
      <c r="N3107" s="7">
        <v>3.7759964723718</v>
      </c>
      <c r="O3107" s="7">
        <v>2.2872264818800399</v>
      </c>
      <c r="P3107" s="7">
        <v>-2076.8204921794299</v>
      </c>
      <c r="Q3107" s="7">
        <v>1.1144290417881857</v>
      </c>
      <c r="U3107">
        <v>1.5461104707366866</v>
      </c>
      <c r="AT3107" s="4" t="s">
        <v>3746</v>
      </c>
    </row>
    <row r="3108" spans="1:46">
      <c r="A3108" s="2">
        <v>3569</v>
      </c>
      <c r="B3108" t="s">
        <v>8484</v>
      </c>
      <c r="C3108" t="s">
        <v>2376</v>
      </c>
      <c r="D3108" t="s">
        <v>3761</v>
      </c>
      <c r="E3108" s="4">
        <v>43465</v>
      </c>
      <c r="F3108" s="11">
        <v>-46.987758820000003</v>
      </c>
      <c r="G3108" s="11">
        <v>-25.086206900000001</v>
      </c>
      <c r="H3108" s="11">
        <v>17.8383446319</v>
      </c>
      <c r="I3108" s="11">
        <v>27.745135443700001</v>
      </c>
      <c r="J3108" s="11">
        <v>6.9229521266000003</v>
      </c>
      <c r="K3108" s="10">
        <v>0.59638239199200005</v>
      </c>
      <c r="L3108" s="12">
        <v>13579702943.530001</v>
      </c>
      <c r="M3108">
        <v>41.4431842723804</v>
      </c>
      <c r="N3108" s="7">
        <v>2.2104528256388898</v>
      </c>
      <c r="O3108" s="7">
        <v>2.8110108616046698</v>
      </c>
      <c r="P3108" s="7">
        <v>13.7322744494329</v>
      </c>
      <c r="Q3108" s="7">
        <v>1.3541042965768022</v>
      </c>
      <c r="U3108">
        <v>0.383186215149597</v>
      </c>
      <c r="AT3108" s="4" t="s">
        <v>8333</v>
      </c>
    </row>
    <row r="3109" spans="1:46">
      <c r="A3109" s="2">
        <v>1816</v>
      </c>
      <c r="B3109" t="s">
        <v>8485</v>
      </c>
      <c r="C3109" t="s">
        <v>2143</v>
      </c>
      <c r="D3109" t="s">
        <v>3718</v>
      </c>
      <c r="E3109" s="4">
        <v>43465</v>
      </c>
      <c r="F3109" s="11">
        <v>-16.424038190000001</v>
      </c>
      <c r="G3109" s="11">
        <v>-25.205761320000001</v>
      </c>
      <c r="H3109" s="11">
        <v>18.3923506661</v>
      </c>
      <c r="I3109" s="11">
        <v>31.771084728600002</v>
      </c>
      <c r="J3109" s="11">
        <v>11.307898660999999</v>
      </c>
      <c r="K3109" s="10">
        <v>0.43472861069300001</v>
      </c>
      <c r="L3109" s="12">
        <v>14351957301.6</v>
      </c>
      <c r="M3109">
        <v>21.710357621500901</v>
      </c>
      <c r="N3109" s="7">
        <v>2.6593661951052501</v>
      </c>
      <c r="O3109" s="7">
        <v>2.39660443721966</v>
      </c>
      <c r="P3109" s="7">
        <v>13.913509606500901</v>
      </c>
      <c r="Q3109" s="7">
        <v>0.53850296176628965</v>
      </c>
      <c r="U3109">
        <v>0.43667414475673577</v>
      </c>
      <c r="AT3109" s="4" t="s">
        <v>4683</v>
      </c>
    </row>
    <row r="3110" spans="1:46">
      <c r="A3110" s="2">
        <v>1532</v>
      </c>
      <c r="B3110" t="s">
        <v>8486</v>
      </c>
      <c r="C3110" t="s">
        <v>74</v>
      </c>
      <c r="D3110" t="s">
        <v>3752</v>
      </c>
      <c r="E3110" s="4">
        <v>43465</v>
      </c>
      <c r="F3110" s="11">
        <v>45.965005130000002</v>
      </c>
      <c r="G3110" s="11">
        <v>-25.238600210000001</v>
      </c>
      <c r="H3110" s="11">
        <v>164.6665601297</v>
      </c>
      <c r="I3110" s="11">
        <v>63.7849817086</v>
      </c>
      <c r="J3110" s="11">
        <v>46.253733158300001</v>
      </c>
      <c r="K3110" s="10">
        <v>1.007630767892</v>
      </c>
      <c r="L3110" s="12">
        <v>45341440734.800003</v>
      </c>
      <c r="M3110">
        <v>9.5893552535179705</v>
      </c>
      <c r="N3110" s="7">
        <v>3.2744979693136802</v>
      </c>
      <c r="O3110" s="7">
        <v>4.2113421218516898</v>
      </c>
      <c r="P3110" s="7">
        <v>21.0303317418939</v>
      </c>
      <c r="Q3110" s="7">
        <v>4.2151312068632683</v>
      </c>
      <c r="T3110" s="2"/>
      <c r="U3110">
        <v>1.1974537347790677</v>
      </c>
      <c r="AT3110" s="4" t="s">
        <v>5653</v>
      </c>
    </row>
    <row r="3111" spans="1:46">
      <c r="A3111" s="2">
        <v>253</v>
      </c>
      <c r="B3111" t="s">
        <v>8487</v>
      </c>
      <c r="C3111" t="s">
        <v>1724</v>
      </c>
      <c r="D3111" t="s">
        <v>3889</v>
      </c>
      <c r="E3111" s="4">
        <v>43465</v>
      </c>
      <c r="F3111" s="11">
        <v>-24.60867318</v>
      </c>
      <c r="G3111" s="11">
        <v>-25.279329610000001</v>
      </c>
      <c r="H3111" s="11">
        <v>5.1968401384999998</v>
      </c>
      <c r="I3111" s="11">
        <v>39.3503120624</v>
      </c>
      <c r="J3111" s="11">
        <v>7.5663901399000002</v>
      </c>
      <c r="K3111" s="10">
        <v>0.26662172884099999</v>
      </c>
      <c r="L3111" s="12">
        <v>2016000000</v>
      </c>
      <c r="M3111">
        <v>15.4722195210888</v>
      </c>
      <c r="N3111" s="7">
        <v>0.83330025431700006</v>
      </c>
      <c r="O3111" s="7">
        <v>1.64640650095081</v>
      </c>
      <c r="P3111" s="7">
        <v>77.656441301350995</v>
      </c>
      <c r="Q3111" s="7">
        <v>0.86055302644249199</v>
      </c>
      <c r="U3111">
        <v>0.28820406098010692</v>
      </c>
      <c r="AT3111" s="4" t="s">
        <v>6393</v>
      </c>
    </row>
    <row r="3112" spans="1:46">
      <c r="A3112" s="2">
        <v>398</v>
      </c>
      <c r="B3112" t="s">
        <v>8488</v>
      </c>
      <c r="C3112" t="s">
        <v>2870</v>
      </c>
      <c r="D3112" t="s">
        <v>3718</v>
      </c>
      <c r="E3112" s="4">
        <v>43465</v>
      </c>
      <c r="F3112" s="11">
        <v>-47.437774519999998</v>
      </c>
      <c r="G3112" s="11">
        <v>-25.347222219999999</v>
      </c>
      <c r="H3112" s="11">
        <v>15.0910561251</v>
      </c>
      <c r="I3112" s="11">
        <v>5.0234360755000003</v>
      </c>
      <c r="J3112" s="11">
        <v>0.68129404920000003</v>
      </c>
      <c r="K3112" s="10">
        <v>1.0386307196290001</v>
      </c>
      <c r="L3112" s="12">
        <v>4536465960</v>
      </c>
      <c r="M3112">
        <v>-447.44480496685401</v>
      </c>
      <c r="N3112" s="7">
        <v>10.308052587204999</v>
      </c>
      <c r="O3112" s="7">
        <v>1.82313896678081</v>
      </c>
      <c r="P3112" s="7">
        <v>41.078374430516703</v>
      </c>
      <c r="Q3112" s="7" t="s">
        <v>3698</v>
      </c>
      <c r="U3112">
        <v>0.10149005572687224</v>
      </c>
      <c r="AT3112" s="4" t="s">
        <v>8489</v>
      </c>
    </row>
    <row r="3113" spans="1:46">
      <c r="A3113" s="2">
        <v>3308</v>
      </c>
      <c r="B3113" t="s">
        <v>8490</v>
      </c>
      <c r="C3113" t="s">
        <v>1542</v>
      </c>
      <c r="D3113" t="s">
        <v>3728</v>
      </c>
      <c r="E3113" s="4">
        <v>43465</v>
      </c>
      <c r="F3113" s="11">
        <v>-10.68219534</v>
      </c>
      <c r="G3113" s="11">
        <v>-25.401929259999999</v>
      </c>
      <c r="H3113" s="11">
        <v>5.4645991239000002</v>
      </c>
      <c r="I3113" s="11">
        <v>59.8870578712</v>
      </c>
      <c r="J3113" s="11">
        <v>2.4954201200999999</v>
      </c>
      <c r="K3113" s="10">
        <v>0.93647837583600002</v>
      </c>
      <c r="L3113" s="12">
        <v>1940889600</v>
      </c>
      <c r="M3113">
        <v>71.013669751098604</v>
      </c>
      <c r="N3113" s="7">
        <v>3.16031537904286</v>
      </c>
      <c r="O3113" s="7">
        <v>2.5963228643571301</v>
      </c>
      <c r="P3113" s="7">
        <v>1408.7464060888501</v>
      </c>
      <c r="Q3113" s="7">
        <v>1.3003901170351104</v>
      </c>
      <c r="U3113">
        <v>0.15985114229166666</v>
      </c>
      <c r="AT3113" s="4" t="s">
        <v>8491</v>
      </c>
    </row>
    <row r="3114" spans="1:46">
      <c r="A3114" s="2">
        <v>1415</v>
      </c>
      <c r="B3114" t="s">
        <v>8492</v>
      </c>
      <c r="C3114" t="s">
        <v>1673</v>
      </c>
      <c r="D3114" t="s">
        <v>3752</v>
      </c>
      <c r="E3114" s="4">
        <v>43465</v>
      </c>
      <c r="F3114" s="11">
        <v>-34.852096660000001</v>
      </c>
      <c r="G3114" s="11">
        <v>-25.488232350000001</v>
      </c>
      <c r="H3114" s="11">
        <v>-14.8623492815</v>
      </c>
      <c r="I3114" s="11">
        <v>37.897391830300002</v>
      </c>
      <c r="J3114" s="11">
        <v>5.4296195110000003</v>
      </c>
      <c r="K3114" s="10">
        <v>0.78977038320899995</v>
      </c>
      <c r="L3114" s="12">
        <v>41888158245</v>
      </c>
      <c r="M3114">
        <v>55.979421343519498</v>
      </c>
      <c r="N3114" s="7">
        <v>2.9516171400429099</v>
      </c>
      <c r="O3114" s="7">
        <v>2.9326216304666901</v>
      </c>
      <c r="P3114" s="7">
        <v>353.83018703178499</v>
      </c>
      <c r="Q3114" s="7">
        <v>0.46457607433217191</v>
      </c>
      <c r="U3114">
        <v>0.36427587292319707</v>
      </c>
      <c r="AT3114" s="4" t="s">
        <v>4626</v>
      </c>
    </row>
    <row r="3115" spans="1:46">
      <c r="A3115" s="2">
        <v>3628</v>
      </c>
      <c r="B3115" t="s">
        <v>8493</v>
      </c>
      <c r="C3115" t="s">
        <v>986</v>
      </c>
      <c r="D3115" t="s">
        <v>3718</v>
      </c>
      <c r="E3115" s="4">
        <v>43465</v>
      </c>
      <c r="F3115" s="11">
        <v>-21.213968430000001</v>
      </c>
      <c r="G3115" s="11">
        <v>-25.555555559999998</v>
      </c>
      <c r="H3115" s="11">
        <v>60.033801520200001</v>
      </c>
      <c r="I3115" s="11">
        <v>24.732838150199999</v>
      </c>
      <c r="J3115" s="11">
        <v>10.7268150031</v>
      </c>
      <c r="K3115" s="10">
        <v>0.78578837431000004</v>
      </c>
      <c r="L3115" s="12">
        <v>2972386800</v>
      </c>
      <c r="M3115">
        <v>18.7864818191313</v>
      </c>
      <c r="N3115" s="7">
        <v>2.1986181632125601</v>
      </c>
      <c r="O3115" s="7">
        <v>2.1717894325422198</v>
      </c>
      <c r="P3115" s="7">
        <v>-319.56042071287101</v>
      </c>
      <c r="Q3115" s="7">
        <v>2.0220402386007481</v>
      </c>
      <c r="U3115">
        <v>1.2001857917307692</v>
      </c>
      <c r="AT3115" s="4" t="s">
        <v>3996</v>
      </c>
    </row>
    <row r="3116" spans="1:46">
      <c r="A3116" s="2">
        <v>1312</v>
      </c>
      <c r="B3116" t="s">
        <v>8494</v>
      </c>
      <c r="C3116" t="s">
        <v>2596</v>
      </c>
      <c r="D3116" t="s">
        <v>3721</v>
      </c>
      <c r="E3116" s="4">
        <v>43465</v>
      </c>
      <c r="F3116" s="11">
        <v>13.22473924</v>
      </c>
      <c r="G3116" s="11">
        <v>-25.703125</v>
      </c>
      <c r="H3116" s="11">
        <v>11.3332223369</v>
      </c>
      <c r="I3116" s="11">
        <v>20.0108754856</v>
      </c>
      <c r="J3116" s="11">
        <v>10.8714754738</v>
      </c>
      <c r="K3116" s="10">
        <v>0.48665008621900002</v>
      </c>
      <c r="L3116" s="12">
        <v>3552177600</v>
      </c>
      <c r="M3116">
        <v>74.111796200087397</v>
      </c>
      <c r="N3116" s="7">
        <v>4.3372605388377101</v>
      </c>
      <c r="O3116" s="7">
        <v>8.1233085683985298</v>
      </c>
      <c r="P3116" s="7">
        <v>-105.421015787595</v>
      </c>
      <c r="Q3116" s="7">
        <v>0.32379225488926305</v>
      </c>
      <c r="U3116">
        <v>0.18051951729166668</v>
      </c>
      <c r="AT3116" s="4" t="s">
        <v>6875</v>
      </c>
    </row>
    <row r="3117" spans="1:46">
      <c r="A3117" s="2">
        <v>946</v>
      </c>
      <c r="B3117" t="s">
        <v>8495</v>
      </c>
      <c r="C3117" t="s">
        <v>1805</v>
      </c>
      <c r="D3117" t="s">
        <v>3737</v>
      </c>
      <c r="E3117" s="4">
        <v>43465</v>
      </c>
      <c r="F3117" s="11">
        <v>-38.867805099999998</v>
      </c>
      <c r="G3117" s="11">
        <v>-25.708884690000001</v>
      </c>
      <c r="H3117" s="11">
        <v>56.4726824476</v>
      </c>
      <c r="I3117" s="11">
        <v>61.731392857899998</v>
      </c>
      <c r="J3117" s="11">
        <v>8.4517562449000003</v>
      </c>
      <c r="K3117" s="10">
        <v>0.62064126374299999</v>
      </c>
      <c r="L3117" s="12">
        <v>2532739702.3200002</v>
      </c>
      <c r="M3117">
        <v>14.6266510738453</v>
      </c>
      <c r="N3117" s="7">
        <v>1.6765088738441301</v>
      </c>
      <c r="O3117" s="7">
        <v>1.010756943966</v>
      </c>
      <c r="P3117" s="7">
        <v>31.468359098396899</v>
      </c>
      <c r="Q3117" s="7">
        <v>1.7271157167530224</v>
      </c>
      <c r="U3117">
        <v>0.44003416902528153</v>
      </c>
      <c r="AT3117" s="4" t="s">
        <v>4142</v>
      </c>
    </row>
    <row r="3118" spans="1:46">
      <c r="A3118" s="2">
        <v>2597</v>
      </c>
      <c r="B3118" t="s">
        <v>8496</v>
      </c>
      <c r="C3118" t="s">
        <v>53</v>
      </c>
      <c r="D3118" t="s">
        <v>3769</v>
      </c>
      <c r="E3118" s="4">
        <v>43465</v>
      </c>
      <c r="F3118" s="11">
        <v>-33.098168379999997</v>
      </c>
      <c r="G3118" s="11">
        <v>-25.792938360000001</v>
      </c>
      <c r="H3118" s="11">
        <v>39.524432698699997</v>
      </c>
      <c r="I3118" s="11">
        <v>75.097798272800006</v>
      </c>
      <c r="J3118" s="11">
        <v>51.397117134699997</v>
      </c>
      <c r="K3118" s="10">
        <v>0.77558701683599995</v>
      </c>
      <c r="L3118" s="12">
        <v>6584729925</v>
      </c>
      <c r="M3118">
        <v>4.9630193167099801</v>
      </c>
      <c r="N3118" s="7">
        <v>2.3920129479485599</v>
      </c>
      <c r="O3118" s="7">
        <v>2.45600130579097</v>
      </c>
      <c r="P3118" s="7">
        <v>83.269913816211798</v>
      </c>
      <c r="Q3118" s="7" t="s">
        <v>3698</v>
      </c>
      <c r="T3118" s="2"/>
      <c r="U3118">
        <v>3.0944061015863698</v>
      </c>
      <c r="AT3118" s="4" t="s">
        <v>8497</v>
      </c>
    </row>
    <row r="3119" spans="1:46">
      <c r="A3119" s="2">
        <v>922</v>
      </c>
      <c r="B3119" t="s">
        <v>8498</v>
      </c>
      <c r="C3119" t="s">
        <v>1144</v>
      </c>
      <c r="D3119" t="s">
        <v>3737</v>
      </c>
      <c r="E3119" s="4">
        <v>43465</v>
      </c>
      <c r="F3119" s="11">
        <v>-41.187300329999999</v>
      </c>
      <c r="G3119" s="11">
        <v>-25.948766599999999</v>
      </c>
      <c r="H3119" s="11">
        <v>57.354662277800003</v>
      </c>
      <c r="I3119" s="11">
        <v>25.393787953699999</v>
      </c>
      <c r="J3119" s="11">
        <v>5.0425844437</v>
      </c>
      <c r="K3119" s="10">
        <v>0.41691770473500001</v>
      </c>
      <c r="L3119" s="12">
        <v>4641789900.2200003</v>
      </c>
      <c r="M3119">
        <v>34.998047947693202</v>
      </c>
      <c r="N3119" s="7">
        <v>4.2293437186023404</v>
      </c>
      <c r="O3119" s="7">
        <v>4.1519889305870104</v>
      </c>
      <c r="P3119" s="7">
        <v>-20.019797559066902</v>
      </c>
      <c r="Q3119" s="7" t="s">
        <v>3698</v>
      </c>
      <c r="U3119">
        <v>0.26378518586923305</v>
      </c>
      <c r="AT3119" s="4" t="s">
        <v>4276</v>
      </c>
    </row>
    <row r="3120" spans="1:46">
      <c r="A3120" s="2">
        <v>975</v>
      </c>
      <c r="B3120" t="s">
        <v>8499</v>
      </c>
      <c r="C3120" t="s">
        <v>387</v>
      </c>
      <c r="D3120" t="s">
        <v>3790</v>
      </c>
      <c r="E3120" s="4">
        <v>43465</v>
      </c>
      <c r="F3120" s="11">
        <v>-49.331957449999997</v>
      </c>
      <c r="G3120" s="11">
        <v>-25.977011489999999</v>
      </c>
      <c r="H3120" s="11">
        <v>56.778360102800001</v>
      </c>
      <c r="I3120" s="11">
        <v>62.181175729899998</v>
      </c>
      <c r="J3120" s="11">
        <v>12.6853294209</v>
      </c>
      <c r="K3120" s="10">
        <v>0.25656623216500002</v>
      </c>
      <c r="L3120" s="12">
        <v>2836684676.8800001</v>
      </c>
      <c r="M3120">
        <v>-118.701500791684</v>
      </c>
      <c r="N3120" s="7">
        <v>-4.3211564556370297</v>
      </c>
      <c r="O3120" s="7">
        <v>3.4977969603060899</v>
      </c>
      <c r="P3120" s="7">
        <v>-72.844172508975703</v>
      </c>
      <c r="Q3120" s="7" t="s">
        <v>3698</v>
      </c>
      <c r="U3120">
        <v>0.30794435808620563</v>
      </c>
      <c r="AT3120" s="4" t="s">
        <v>5031</v>
      </c>
    </row>
    <row r="3121" spans="1:46">
      <c r="A3121" s="2">
        <v>1475</v>
      </c>
      <c r="B3121" t="s">
        <v>8500</v>
      </c>
      <c r="C3121" t="s">
        <v>2549</v>
      </c>
      <c r="D3121" t="s">
        <v>3737</v>
      </c>
      <c r="E3121" s="4">
        <v>43465</v>
      </c>
      <c r="F3121" s="11">
        <v>-42.641509239999998</v>
      </c>
      <c r="G3121" s="11">
        <v>-26.035502959999999</v>
      </c>
      <c r="H3121" s="11">
        <v>5.3074614111000002</v>
      </c>
      <c r="I3121" s="11">
        <v>69.991397396400004</v>
      </c>
      <c r="J3121" s="11">
        <v>5.2103097389000004</v>
      </c>
      <c r="K3121" s="10">
        <v>0.37397436320799998</v>
      </c>
      <c r="L3121" s="12">
        <v>1926879025.4000001</v>
      </c>
      <c r="M3121">
        <v>31.4133584714276</v>
      </c>
      <c r="N3121" s="7">
        <v>2.2300397379116799</v>
      </c>
      <c r="O3121" s="7">
        <v>3.1357339751664002</v>
      </c>
      <c r="P3121" s="7">
        <v>-4.5172565522540502</v>
      </c>
      <c r="Q3121" s="7" t="s">
        <v>3698</v>
      </c>
      <c r="U3121">
        <v>0.13463479825936284</v>
      </c>
      <c r="AT3121" s="4" t="s">
        <v>4616</v>
      </c>
    </row>
    <row r="3122" spans="1:46">
      <c r="A3122" s="2">
        <v>1054</v>
      </c>
      <c r="B3122" t="s">
        <v>8501</v>
      </c>
      <c r="C3122" t="s">
        <v>329</v>
      </c>
      <c r="D3122" t="s">
        <v>3977</v>
      </c>
      <c r="E3122" s="4">
        <v>43465</v>
      </c>
      <c r="F3122" s="11">
        <v>-25.147542349999998</v>
      </c>
      <c r="G3122" s="11">
        <v>-26.070038910000001</v>
      </c>
      <c r="H3122" s="11">
        <v>5.8471504863000003</v>
      </c>
      <c r="I3122" s="11">
        <v>29.291087260299999</v>
      </c>
      <c r="J3122" s="11">
        <v>7.1562796841000003</v>
      </c>
      <c r="K3122" s="10">
        <v>1.03895842888</v>
      </c>
      <c r="L3122" s="12">
        <v>6395755647.75</v>
      </c>
      <c r="M3122">
        <v>16.709094546529801</v>
      </c>
      <c r="N3122" s="7">
        <v>2.2376080982834301</v>
      </c>
      <c r="O3122" s="7">
        <v>1.0265792624623999</v>
      </c>
      <c r="P3122" s="7">
        <v>-42.374760305158098</v>
      </c>
      <c r="Q3122" s="7">
        <v>3.6549086272843181</v>
      </c>
      <c r="U3122">
        <v>0.85475873926573431</v>
      </c>
      <c r="AT3122" s="4" t="s">
        <v>3898</v>
      </c>
    </row>
    <row r="3123" spans="1:46">
      <c r="A3123" s="2">
        <v>877</v>
      </c>
      <c r="B3123" t="s">
        <v>8502</v>
      </c>
      <c r="C3123" t="s">
        <v>176</v>
      </c>
      <c r="D3123" t="s">
        <v>3718</v>
      </c>
      <c r="E3123" s="4">
        <v>43465</v>
      </c>
      <c r="F3123" s="11">
        <v>-73.242226029999998</v>
      </c>
      <c r="G3123" s="11">
        <v>-26.119402990000001</v>
      </c>
      <c r="H3123" s="11">
        <v>-44.138817362899999</v>
      </c>
      <c r="I3123" s="11">
        <v>61.277127234300004</v>
      </c>
      <c r="J3123" s="11">
        <v>24.6297759835</v>
      </c>
      <c r="K3123" s="10">
        <v>0.193161945822</v>
      </c>
      <c r="L3123" s="12">
        <v>8005935511</v>
      </c>
      <c r="M3123">
        <v>12.541760012448499</v>
      </c>
      <c r="N3123" s="7">
        <v>2.7168888653586198</v>
      </c>
      <c r="O3123" s="7">
        <v>4.2766137686248404</v>
      </c>
      <c r="P3123" s="7">
        <v>-68.234187780117594</v>
      </c>
      <c r="Q3123" s="7">
        <v>0.55873925501432664</v>
      </c>
      <c r="U3123">
        <v>0.38704186576585736</v>
      </c>
      <c r="AT3123" s="4" t="s">
        <v>4317</v>
      </c>
    </row>
    <row r="3124" spans="1:46">
      <c r="A3124" s="2">
        <v>2362</v>
      </c>
      <c r="B3124" t="s">
        <v>8503</v>
      </c>
      <c r="C3124" t="s">
        <v>2528</v>
      </c>
      <c r="D3124" t="s">
        <v>3752</v>
      </c>
      <c r="E3124" s="4">
        <v>43465</v>
      </c>
      <c r="F3124" s="11">
        <v>-44.74845543</v>
      </c>
      <c r="G3124" s="11">
        <v>-26.184834120000001</v>
      </c>
      <c r="H3124" s="11">
        <v>-4.4738850776000003</v>
      </c>
      <c r="I3124" s="11">
        <v>16.541261425599998</v>
      </c>
      <c r="J3124" s="11">
        <v>2.5593885274999999</v>
      </c>
      <c r="K3124" s="10">
        <v>1.748743804626</v>
      </c>
      <c r="L3124" s="12">
        <v>36197124316.510002</v>
      </c>
      <c r="M3124">
        <v>-105.057582448703</v>
      </c>
      <c r="N3124" s="7">
        <v>33.275027385520197</v>
      </c>
      <c r="O3124" s="7">
        <v>3.6303336131415298</v>
      </c>
      <c r="P3124" s="7">
        <v>121.985392463116</v>
      </c>
      <c r="Q3124" s="7" t="s">
        <v>3698</v>
      </c>
      <c r="U3124">
        <v>3.3209422882479696E-2</v>
      </c>
      <c r="AT3124" s="4" t="s">
        <v>8504</v>
      </c>
    </row>
    <row r="3125" spans="1:46">
      <c r="A3125" s="2">
        <v>1489</v>
      </c>
      <c r="B3125" t="s">
        <v>8505</v>
      </c>
      <c r="C3125" t="s">
        <v>1698</v>
      </c>
      <c r="D3125" t="s">
        <v>3769</v>
      </c>
      <c r="E3125" s="4">
        <v>43465</v>
      </c>
      <c r="F3125" s="11">
        <v>-76.27917626</v>
      </c>
      <c r="G3125" s="11">
        <v>-26.23318386</v>
      </c>
      <c r="H3125" s="11">
        <v>-19.089085933700002</v>
      </c>
      <c r="I3125" s="11">
        <v>33.284821686900003</v>
      </c>
      <c r="J3125" s="11">
        <v>7.4470524515000003</v>
      </c>
      <c r="K3125" s="10">
        <v>0.132737649253</v>
      </c>
      <c r="L3125" s="12">
        <v>22147008863.5</v>
      </c>
      <c r="M3125">
        <v>27.206907173716001</v>
      </c>
      <c r="N3125" s="7">
        <v>0.77504550054178101</v>
      </c>
      <c r="O3125" s="7">
        <v>3.3008519299015799</v>
      </c>
      <c r="P3125" s="7">
        <v>-66.388508730853005</v>
      </c>
      <c r="Q3125" s="7">
        <v>0.43613707165109045</v>
      </c>
      <c r="U3125">
        <v>7.9918613144040349E-2</v>
      </c>
      <c r="AT3125" s="4" t="s">
        <v>4980</v>
      </c>
    </row>
    <row r="3126" spans="1:46">
      <c r="A3126" s="2">
        <v>2023</v>
      </c>
      <c r="B3126" t="s">
        <v>8506</v>
      </c>
      <c r="C3126" t="s">
        <v>3432</v>
      </c>
      <c r="D3126" t="s">
        <v>3713</v>
      </c>
      <c r="E3126" s="4">
        <v>43465</v>
      </c>
      <c r="F3126" s="11">
        <v>-16.398651350000002</v>
      </c>
      <c r="G3126" s="11">
        <v>-26.278290030000001</v>
      </c>
      <c r="H3126" s="11">
        <v>-31.2864525486</v>
      </c>
      <c r="I3126" s="11">
        <v>25.894751610499998</v>
      </c>
      <c r="J3126" s="11">
        <v>6.1839654881000001</v>
      </c>
      <c r="K3126" s="10">
        <v>0.48226370718299999</v>
      </c>
      <c r="L3126" s="12">
        <v>3744045195.52</v>
      </c>
      <c r="M3126">
        <v>48.783687352990903</v>
      </c>
      <c r="N3126" s="7">
        <v>5.3388948252500397</v>
      </c>
      <c r="O3126" s="7">
        <v>3.21577164728251</v>
      </c>
      <c r="P3126" s="7">
        <v>-54.206252371922503</v>
      </c>
      <c r="Q3126" s="7">
        <v>0.33291891642247484</v>
      </c>
      <c r="U3126">
        <v>0.4034488660487805</v>
      </c>
      <c r="AT3126" s="4" t="s">
        <v>5481</v>
      </c>
    </row>
    <row r="3127" spans="1:46">
      <c r="A3127" s="2">
        <v>1258</v>
      </c>
      <c r="B3127" t="s">
        <v>8507</v>
      </c>
      <c r="C3127" t="s">
        <v>235</v>
      </c>
      <c r="D3127" t="s">
        <v>3752</v>
      </c>
      <c r="E3127" s="4">
        <v>43465</v>
      </c>
      <c r="F3127" s="11">
        <v>-2.0737205699999999</v>
      </c>
      <c r="G3127" s="11">
        <v>-26.340057640000001</v>
      </c>
      <c r="H3127" s="11">
        <v>17.373195172100001</v>
      </c>
      <c r="I3127" s="11">
        <v>48.812587196400003</v>
      </c>
      <c r="J3127" s="11">
        <v>27.106980564899999</v>
      </c>
      <c r="K3127" s="10">
        <v>0.82002663232899997</v>
      </c>
      <c r="L3127" s="12">
        <v>5484586487.9700003</v>
      </c>
      <c r="M3127">
        <v>19.132750655596499</v>
      </c>
      <c r="N3127" s="7">
        <v>4.0125575566960503</v>
      </c>
      <c r="O3127" s="7">
        <v>4.62181132284603</v>
      </c>
      <c r="P3127" s="7">
        <v>-173.759202900551</v>
      </c>
      <c r="Q3127" s="7">
        <v>1.2553409887221267</v>
      </c>
      <c r="U3127">
        <v>1.0696276110367875</v>
      </c>
      <c r="AT3127" s="4" t="s">
        <v>5235</v>
      </c>
    </row>
    <row r="3128" spans="1:46">
      <c r="A3128" s="2">
        <v>1170</v>
      </c>
      <c r="B3128" t="s">
        <v>8508</v>
      </c>
      <c r="C3128" t="s">
        <v>3450</v>
      </c>
      <c r="D3128" t="s">
        <v>3889</v>
      </c>
      <c r="E3128" s="4">
        <v>43465</v>
      </c>
      <c r="F3128" s="11">
        <v>-50.436854650000001</v>
      </c>
      <c r="G3128" s="11">
        <v>-26.340882000000001</v>
      </c>
      <c r="H3128" s="11">
        <v>-61.0142753238</v>
      </c>
      <c r="I3128" s="11">
        <v>-6.7543884008999999</v>
      </c>
      <c r="J3128" s="11">
        <v>-39.1006708058</v>
      </c>
      <c r="K3128" s="10">
        <v>6.9543035577999998E-2</v>
      </c>
      <c r="L3128" s="12">
        <v>2922746003.5799999</v>
      </c>
      <c r="M3128">
        <v>-47.506956285798502</v>
      </c>
      <c r="N3128" s="7">
        <v>2.2111843633157</v>
      </c>
      <c r="O3128" s="7">
        <v>12.7365811104044</v>
      </c>
      <c r="P3128" s="7">
        <v>10.3132852540638</v>
      </c>
      <c r="Q3128" s="7" t="s">
        <v>3698</v>
      </c>
      <c r="U3128">
        <v>-0.19647145359425894</v>
      </c>
      <c r="AT3128" s="4" t="s">
        <v>7228</v>
      </c>
    </row>
    <row r="3129" spans="1:46">
      <c r="A3129" s="2">
        <v>2266</v>
      </c>
      <c r="B3129" t="s">
        <v>8509</v>
      </c>
      <c r="C3129" t="s">
        <v>3026</v>
      </c>
      <c r="D3129" t="s">
        <v>3972</v>
      </c>
      <c r="E3129" s="4">
        <v>43465</v>
      </c>
      <c r="F3129" s="11">
        <v>-60.233918129999999</v>
      </c>
      <c r="G3129" s="11">
        <v>-26.466575720000002</v>
      </c>
      <c r="H3129" s="11">
        <v>-63.8782338607</v>
      </c>
      <c r="I3129" s="11">
        <v>13.425459339</v>
      </c>
      <c r="J3129" s="11">
        <v>-68.123707598600006</v>
      </c>
      <c r="K3129" s="10">
        <v>0.56085897246799998</v>
      </c>
      <c r="L3129" s="12">
        <v>8870957316</v>
      </c>
      <c r="M3129">
        <v>-5.1128052897419396</v>
      </c>
      <c r="N3129" s="7">
        <v>-45.878202989384</v>
      </c>
      <c r="O3129" s="7">
        <v>1.5935514059767499</v>
      </c>
      <c r="P3129" s="7">
        <v>-11.595727679513899</v>
      </c>
      <c r="Q3129" s="7" t="s">
        <v>3698</v>
      </c>
      <c r="U3129">
        <v>-2.1933979992192585</v>
      </c>
      <c r="AT3129" s="4" t="s">
        <v>6029</v>
      </c>
    </row>
    <row r="3130" spans="1:46">
      <c r="A3130" s="2">
        <v>2127</v>
      </c>
      <c r="B3130" t="s">
        <v>8510</v>
      </c>
      <c r="C3130" t="s">
        <v>3388</v>
      </c>
      <c r="D3130" t="s">
        <v>3713</v>
      </c>
      <c r="E3130" s="4">
        <v>43465</v>
      </c>
      <c r="F3130" s="11">
        <v>-35.858940339999997</v>
      </c>
      <c r="G3130" s="11">
        <v>-26.527494910000001</v>
      </c>
      <c r="H3130" s="11">
        <v>-23.1644224295</v>
      </c>
      <c r="I3130" s="11">
        <v>48.193310941699998</v>
      </c>
      <c r="J3130" s="11">
        <v>7.7819795546000003</v>
      </c>
      <c r="K3130" s="10">
        <v>0.31451422346899999</v>
      </c>
      <c r="L3130" s="12">
        <v>9386519580.8999996</v>
      </c>
      <c r="M3130">
        <v>111.70533105719301</v>
      </c>
      <c r="N3130" s="7">
        <v>5.0622377639807299</v>
      </c>
      <c r="O3130" s="7">
        <v>13.086502790080401</v>
      </c>
      <c r="P3130" s="7">
        <v>14.6814954738284</v>
      </c>
      <c r="Q3130" s="7">
        <v>0.17271157247380631</v>
      </c>
      <c r="U3130">
        <v>0.10832145741065662</v>
      </c>
      <c r="AT3130" s="4" t="s">
        <v>7119</v>
      </c>
    </row>
    <row r="3131" spans="1:46">
      <c r="A3131" s="2">
        <v>1383</v>
      </c>
      <c r="B3131" t="s">
        <v>8511</v>
      </c>
      <c r="C3131" t="s">
        <v>704</v>
      </c>
      <c r="D3131" t="s">
        <v>3718</v>
      </c>
      <c r="E3131" s="4">
        <v>43465</v>
      </c>
      <c r="F3131" s="11">
        <v>-21.346676779999999</v>
      </c>
      <c r="G3131" s="11">
        <v>-26.579835989999999</v>
      </c>
      <c r="H3131" s="11">
        <v>12.273477592500001</v>
      </c>
      <c r="I3131" s="11">
        <v>29.553260568700001</v>
      </c>
      <c r="J3131" s="11">
        <v>20.207102725799999</v>
      </c>
      <c r="K3131" s="10">
        <v>0.80589142771400002</v>
      </c>
      <c r="L3131" s="12">
        <v>1500315863.2</v>
      </c>
      <c r="M3131">
        <v>14.358917497064301</v>
      </c>
      <c r="N3131" s="7">
        <v>1.9364655734598</v>
      </c>
      <c r="O3131" s="7">
        <v>2.3869993688553399</v>
      </c>
      <c r="P3131" s="7">
        <v>-18.9919686399003</v>
      </c>
      <c r="Q3131" s="7">
        <v>6.8480643089286115</v>
      </c>
      <c r="U3131">
        <v>1.8004667962598426</v>
      </c>
      <c r="AT3131" s="4" t="s">
        <v>8317</v>
      </c>
    </row>
    <row r="3132" spans="1:46">
      <c r="A3132" s="2">
        <v>1873</v>
      </c>
      <c r="B3132" t="s">
        <v>8512</v>
      </c>
      <c r="C3132" t="s">
        <v>2628</v>
      </c>
      <c r="D3132" t="s">
        <v>3713</v>
      </c>
      <c r="E3132" s="4">
        <v>43465</v>
      </c>
      <c r="F3132" s="11">
        <v>6.4842275999999996</v>
      </c>
      <c r="G3132" s="11">
        <v>-26.595744679999999</v>
      </c>
      <c r="H3132" s="11">
        <v>34.311833403000001</v>
      </c>
      <c r="I3132" s="11">
        <v>46.460784155399999</v>
      </c>
      <c r="J3132" s="11">
        <v>20.660198011799999</v>
      </c>
      <c r="K3132" s="10">
        <v>0.51720680784899997</v>
      </c>
      <c r="L3132" s="12">
        <v>2447962515.7800002</v>
      </c>
      <c r="M3132">
        <v>37.645033686199099</v>
      </c>
      <c r="N3132" s="7">
        <v>3.66784230309537</v>
      </c>
      <c r="O3132" s="7">
        <v>6.4367442060865896</v>
      </c>
      <c r="P3132" s="7">
        <v>64.862209674150904</v>
      </c>
      <c r="Q3132" s="7">
        <v>0.40183506633085569</v>
      </c>
      <c r="U3132">
        <v>0.34327712012379946</v>
      </c>
      <c r="AT3132" s="4" t="s">
        <v>4315</v>
      </c>
    </row>
    <row r="3133" spans="1:46">
      <c r="A3133" s="2">
        <v>820</v>
      </c>
      <c r="B3133" t="s">
        <v>8513</v>
      </c>
      <c r="C3133" t="s">
        <v>2910</v>
      </c>
      <c r="D3133" t="s">
        <v>3761</v>
      </c>
      <c r="E3133" s="4">
        <v>43465</v>
      </c>
      <c r="F3133" s="11">
        <v>-58.068314979999997</v>
      </c>
      <c r="G3133" s="11">
        <v>-26.618705039999998</v>
      </c>
      <c r="H3133" s="11">
        <v>-13.848400623</v>
      </c>
      <c r="I3133" s="11">
        <v>18.797695496599999</v>
      </c>
      <c r="J3133" s="11">
        <v>-1.2407733620000001</v>
      </c>
      <c r="K3133" s="10">
        <v>0.58270165736299995</v>
      </c>
      <c r="L3133" s="12">
        <v>6733284897.6599998</v>
      </c>
      <c r="M3133">
        <v>33.227719793370603</v>
      </c>
      <c r="N3133" s="7">
        <v>0.85016018617266198</v>
      </c>
      <c r="O3133" s="7">
        <v>0.37255350577162399</v>
      </c>
      <c r="P3133" s="7">
        <v>18.818883540558801</v>
      </c>
      <c r="Q3133" s="7" t="s">
        <v>3698</v>
      </c>
      <c r="U3133">
        <v>-0.33031037498711779</v>
      </c>
      <c r="AT3133" s="4" t="s">
        <v>4592</v>
      </c>
    </row>
    <row r="3134" spans="1:46">
      <c r="A3134" s="2">
        <v>3432</v>
      </c>
      <c r="B3134" t="s">
        <v>8514</v>
      </c>
      <c r="C3134" t="s">
        <v>3024</v>
      </c>
      <c r="D3134" t="s">
        <v>3713</v>
      </c>
      <c r="E3134" s="4">
        <v>43465</v>
      </c>
      <c r="F3134" s="11">
        <v>-53.819254540000003</v>
      </c>
      <c r="G3134" s="11">
        <v>-26.713751559999999</v>
      </c>
      <c r="H3134" s="11">
        <v>33.1263808048</v>
      </c>
      <c r="I3134" s="11">
        <v>19.8384517601</v>
      </c>
      <c r="J3134" s="11">
        <v>6.7776169001</v>
      </c>
      <c r="K3134" s="10">
        <v>0.57975702862099998</v>
      </c>
      <c r="L3134" s="12">
        <v>3666303875.25</v>
      </c>
      <c r="M3134">
        <v>129.270204888265</v>
      </c>
      <c r="N3134" s="7">
        <v>6.3813643228900698</v>
      </c>
      <c r="O3134" s="7">
        <v>5.8095076733478299</v>
      </c>
      <c r="P3134" s="7">
        <v>61.1491575103096</v>
      </c>
      <c r="Q3134" s="7">
        <v>0.13071895424836602</v>
      </c>
      <c r="U3134">
        <v>0.34383873895167244</v>
      </c>
      <c r="AT3134" s="4" t="s">
        <v>8515</v>
      </c>
    </row>
    <row r="3135" spans="1:46">
      <c r="A3135" s="2">
        <v>2823</v>
      </c>
      <c r="B3135" t="s">
        <v>8516</v>
      </c>
      <c r="C3135" t="s">
        <v>511</v>
      </c>
      <c r="D3135" t="s">
        <v>3737</v>
      </c>
      <c r="E3135" s="4">
        <v>43465</v>
      </c>
      <c r="F3135" s="11">
        <v>-10.4552628</v>
      </c>
      <c r="G3135" s="11">
        <v>-27.170702890000001</v>
      </c>
      <c r="H3135" s="11">
        <v>0.49159994099999998</v>
      </c>
      <c r="I3135" s="11">
        <v>67.447766624300002</v>
      </c>
      <c r="J3135" s="11">
        <v>26.790381243300001</v>
      </c>
      <c r="K3135" s="10">
        <v>0.48884860407800002</v>
      </c>
      <c r="L3135" s="12">
        <v>3487521941.75</v>
      </c>
      <c r="M3135">
        <v>16.100676740322498</v>
      </c>
      <c r="N3135" s="7">
        <v>2.1856600674129001</v>
      </c>
      <c r="O3135" s="7">
        <v>4.1088756886391504</v>
      </c>
      <c r="P3135" s="7">
        <v>42.227148765009701</v>
      </c>
      <c r="Q3135" s="7">
        <v>2.2969647251845777</v>
      </c>
      <c r="U3135">
        <v>1.1196386306666666</v>
      </c>
      <c r="AT3135" s="4" t="s">
        <v>5179</v>
      </c>
    </row>
    <row r="3136" spans="1:46">
      <c r="A3136" s="2">
        <v>2806</v>
      </c>
      <c r="B3136" t="s">
        <v>8517</v>
      </c>
      <c r="C3136" t="s">
        <v>3413</v>
      </c>
      <c r="D3136" t="s">
        <v>3849</v>
      </c>
      <c r="E3136" s="4">
        <v>43465</v>
      </c>
      <c r="F3136" s="11">
        <v>-59.25504102</v>
      </c>
      <c r="G3136" s="11">
        <v>-27.261306529999999</v>
      </c>
      <c r="H3136" s="11">
        <v>43.020372207100003</v>
      </c>
      <c r="I3136" s="11">
        <v>11.796027546299999</v>
      </c>
      <c r="J3136" s="11">
        <v>0.87762719239999998</v>
      </c>
      <c r="K3136" s="10">
        <v>0.75259934246000004</v>
      </c>
      <c r="L3136" s="12">
        <v>1963317668</v>
      </c>
      <c r="M3136">
        <v>1091.7003260096001</v>
      </c>
      <c r="N3136" s="7">
        <v>1.64255020837954</v>
      </c>
      <c r="O3136" s="7">
        <v>6.9757367896702496</v>
      </c>
      <c r="P3136" s="7">
        <v>-5.2847031646878104</v>
      </c>
      <c r="Q3136" s="7" t="s">
        <v>3698</v>
      </c>
      <c r="U3136">
        <v>4.6242707004472298E-2</v>
      </c>
      <c r="AT3136" s="4" t="s">
        <v>4252</v>
      </c>
    </row>
    <row r="3137" spans="1:46">
      <c r="A3137" s="2">
        <v>1394</v>
      </c>
      <c r="B3137" t="s">
        <v>8518</v>
      </c>
      <c r="C3137" t="s">
        <v>1141</v>
      </c>
      <c r="D3137" t="s">
        <v>3718</v>
      </c>
      <c r="E3137" s="4">
        <v>43465</v>
      </c>
      <c r="F3137" s="11">
        <v>-47.874450320000001</v>
      </c>
      <c r="G3137" s="11">
        <v>-27.263969169999999</v>
      </c>
      <c r="H3137" s="11">
        <v>20.2636056411</v>
      </c>
      <c r="I3137" s="11">
        <v>30.058689381899999</v>
      </c>
      <c r="J3137" s="11">
        <v>12.157502514600001</v>
      </c>
      <c r="K3137" s="10">
        <v>0.69744924288200005</v>
      </c>
      <c r="L3137" s="12">
        <v>3481015020.8099999</v>
      </c>
      <c r="M3137">
        <v>40.912730735280903</v>
      </c>
      <c r="N3137" s="7">
        <v>4.2207953034539996</v>
      </c>
      <c r="O3137" s="7">
        <v>4.3162065461691199</v>
      </c>
      <c r="P3137" s="7">
        <v>-14.3309716600571</v>
      </c>
      <c r="Q3137" s="7">
        <v>0.75757575757575757</v>
      </c>
      <c r="U3137">
        <v>0.91095302150000002</v>
      </c>
      <c r="AT3137" s="4" t="s">
        <v>8519</v>
      </c>
    </row>
    <row r="3138" spans="1:46">
      <c r="A3138" s="2">
        <v>1935</v>
      </c>
      <c r="B3138" t="s">
        <v>8520</v>
      </c>
      <c r="C3138" t="s">
        <v>2491</v>
      </c>
      <c r="D3138" t="s">
        <v>3761</v>
      </c>
      <c r="E3138" s="4">
        <v>43465</v>
      </c>
      <c r="F3138" s="11">
        <v>-23.243280989999999</v>
      </c>
      <c r="G3138" s="11">
        <v>-27.44886975</v>
      </c>
      <c r="H3138" s="11">
        <v>67.534918335300006</v>
      </c>
      <c r="I3138" s="11">
        <v>36.023379492099998</v>
      </c>
      <c r="J3138" s="11">
        <v>15.9627672909</v>
      </c>
      <c r="K3138" s="10">
        <v>0.29584763716700002</v>
      </c>
      <c r="L3138" s="12">
        <v>6017791110.1000004</v>
      </c>
      <c r="M3138">
        <v>35.883590307817002</v>
      </c>
      <c r="N3138" s="7">
        <v>2.3089117545616298</v>
      </c>
      <c r="O3138" s="7">
        <v>4.42346764329693</v>
      </c>
      <c r="P3138" s="7">
        <v>64.237071735170403</v>
      </c>
      <c r="Q3138" s="7">
        <v>0.55602583941913353</v>
      </c>
      <c r="U3138">
        <v>0.37397337513988493</v>
      </c>
      <c r="AT3138" s="4" t="s">
        <v>8521</v>
      </c>
    </row>
    <row r="3139" spans="1:46">
      <c r="A3139" s="2">
        <v>1697</v>
      </c>
      <c r="B3139" t="s">
        <v>8522</v>
      </c>
      <c r="C3139" t="s">
        <v>41</v>
      </c>
      <c r="D3139" t="s">
        <v>3718</v>
      </c>
      <c r="E3139" s="4">
        <v>43465</v>
      </c>
      <c r="F3139" s="11">
        <v>-20.42713882</v>
      </c>
      <c r="G3139" s="11">
        <v>-27.507598779999999</v>
      </c>
      <c r="H3139" s="11">
        <v>27.352760932500001</v>
      </c>
      <c r="I3139" s="11">
        <v>38.9301193055</v>
      </c>
      <c r="J3139" s="11">
        <v>38.766793661000001</v>
      </c>
      <c r="K3139" s="10">
        <v>0.424153575851</v>
      </c>
      <c r="L3139" s="12">
        <v>13748188139.559999</v>
      </c>
      <c r="M3139">
        <v>285.88974637970199</v>
      </c>
      <c r="N3139" s="7">
        <v>2.8860668431543801</v>
      </c>
      <c r="O3139" s="7">
        <v>3.69651682943684</v>
      </c>
      <c r="P3139" s="7">
        <v>326.23701478671001</v>
      </c>
      <c r="Q3139" s="7">
        <v>1.8627237864262802</v>
      </c>
      <c r="T3139" s="2"/>
      <c r="U3139">
        <v>0.71850188874622867</v>
      </c>
      <c r="AT3139" s="4" t="s">
        <v>4441</v>
      </c>
    </row>
    <row r="3140" spans="1:46">
      <c r="A3140" s="2">
        <v>2269</v>
      </c>
      <c r="B3140" t="s">
        <v>8523</v>
      </c>
      <c r="C3140" t="s">
        <v>2134</v>
      </c>
      <c r="D3140" t="s">
        <v>3811</v>
      </c>
      <c r="E3140" s="4">
        <v>43465</v>
      </c>
      <c r="F3140" s="11">
        <v>-72.467436460000002</v>
      </c>
      <c r="G3140" s="11">
        <v>-27.548209369999999</v>
      </c>
      <c r="H3140" s="11">
        <v>-26.345151268199999</v>
      </c>
      <c r="I3140" s="11">
        <v>0.5533952311</v>
      </c>
      <c r="J3140" s="11">
        <v>-14.8324682582</v>
      </c>
      <c r="K3140" s="10">
        <v>0.77506462769100004</v>
      </c>
      <c r="L3140" s="12">
        <v>3815274694</v>
      </c>
      <c r="M3140">
        <v>-11.161562067069401</v>
      </c>
      <c r="N3140" s="7">
        <v>0.69377785609440501</v>
      </c>
      <c r="O3140" s="7">
        <v>0.245206414437144</v>
      </c>
      <c r="P3140" s="7">
        <v>-0.61093581290995502</v>
      </c>
      <c r="Q3140" s="7" t="s">
        <v>3698</v>
      </c>
      <c r="U3140">
        <v>-1.7559813694414548</v>
      </c>
      <c r="AT3140" s="4" t="s">
        <v>5509</v>
      </c>
    </row>
    <row r="3141" spans="1:46">
      <c r="A3141" s="2">
        <v>1413</v>
      </c>
      <c r="B3141" t="s">
        <v>8524</v>
      </c>
      <c r="C3141" t="s">
        <v>1849</v>
      </c>
      <c r="D3141" t="s">
        <v>3752</v>
      </c>
      <c r="E3141" s="4">
        <v>43465</v>
      </c>
      <c r="F3141" s="11">
        <v>-18.973468990000001</v>
      </c>
      <c r="G3141" s="11">
        <v>-27.65388046</v>
      </c>
      <c r="H3141" s="11">
        <v>-3.1197055175999999</v>
      </c>
      <c r="I3141" s="11">
        <v>38.758799574599998</v>
      </c>
      <c r="J3141" s="11">
        <v>17.0881236245</v>
      </c>
      <c r="K3141" s="10">
        <v>0.53316744753900003</v>
      </c>
      <c r="L3141" s="12">
        <v>2360800000</v>
      </c>
      <c r="M3141">
        <v>49.137504326201601</v>
      </c>
      <c r="N3141" s="7">
        <v>3.9623826549445198</v>
      </c>
      <c r="O3141" s="7">
        <v>6.0811164572964103</v>
      </c>
      <c r="P3141" s="7">
        <v>72.899558228691902</v>
      </c>
      <c r="Q3141" s="7">
        <v>0.38532675709001235</v>
      </c>
      <c r="U3141">
        <v>0.57592651140987083</v>
      </c>
      <c r="AT3141" s="4" t="s">
        <v>6467</v>
      </c>
    </row>
    <row r="3142" spans="1:46">
      <c r="A3142" s="2">
        <v>351</v>
      </c>
      <c r="B3142" t="s">
        <v>8525</v>
      </c>
      <c r="C3142" t="s">
        <v>3478</v>
      </c>
      <c r="D3142" t="s">
        <v>3764</v>
      </c>
      <c r="E3142" s="4">
        <v>43465</v>
      </c>
      <c r="F3142" s="11">
        <v>-33.247933369999998</v>
      </c>
      <c r="G3142" s="11">
        <v>-27.667984189999999</v>
      </c>
      <c r="H3142" s="11">
        <v>16.068789270300002</v>
      </c>
      <c r="I3142" s="11">
        <v>48.585930709099998</v>
      </c>
      <c r="J3142" s="11">
        <v>22.0317269405</v>
      </c>
      <c r="K3142" s="10">
        <v>0.12088102555999999</v>
      </c>
      <c r="L3142" s="12">
        <v>19253640396.48</v>
      </c>
      <c r="M3142">
        <v>10.1232685283119</v>
      </c>
      <c r="N3142" s="7">
        <v>0.81862651206216697</v>
      </c>
      <c r="O3142" s="7">
        <v>2.20660788532772</v>
      </c>
      <c r="P3142" s="7">
        <v>210.24210038866801</v>
      </c>
      <c r="Q3142" s="7">
        <v>3.0012004801920766</v>
      </c>
      <c r="U3142">
        <v>0.49962531227146378</v>
      </c>
      <c r="AT3142" s="4" t="s">
        <v>8526</v>
      </c>
    </row>
    <row r="3143" spans="1:46">
      <c r="A3143" s="2">
        <v>1252</v>
      </c>
      <c r="B3143" t="s">
        <v>8527</v>
      </c>
      <c r="C3143" t="s">
        <v>1101</v>
      </c>
      <c r="D3143" t="s">
        <v>3998</v>
      </c>
      <c r="E3143" s="4">
        <v>43465</v>
      </c>
      <c r="F3143" s="11">
        <v>-71.445061100000004</v>
      </c>
      <c r="G3143" s="11">
        <v>-27.791262140000001</v>
      </c>
      <c r="H3143" s="11">
        <v>50.606257502399998</v>
      </c>
      <c r="I3143" s="11">
        <v>22.566607723800001</v>
      </c>
      <c r="J3143" s="11">
        <v>4.9042458742999999</v>
      </c>
      <c r="K3143" s="10">
        <v>0.61786808647900004</v>
      </c>
      <c r="L3143" s="12">
        <v>10436124440.68</v>
      </c>
      <c r="M3143">
        <v>31.3517817412746</v>
      </c>
      <c r="N3143" s="7">
        <v>3.5080074560834298</v>
      </c>
      <c r="O3143" s="7">
        <v>1.4937788779679999</v>
      </c>
      <c r="P3143" s="7">
        <v>-14.020054461909201</v>
      </c>
      <c r="Q3143" s="7">
        <v>1.7605633802816902</v>
      </c>
      <c r="U3143">
        <v>0.25656944335648146</v>
      </c>
      <c r="AT3143" s="4" t="s">
        <v>3746</v>
      </c>
    </row>
    <row r="3144" spans="1:46">
      <c r="A3144" s="2">
        <v>3001</v>
      </c>
      <c r="B3144" t="s">
        <v>8528</v>
      </c>
      <c r="C3144" t="s">
        <v>1170</v>
      </c>
      <c r="D3144" t="s">
        <v>4060</v>
      </c>
      <c r="E3144" s="4">
        <v>43465</v>
      </c>
      <c r="F3144" s="11">
        <v>-66.988493430000005</v>
      </c>
      <c r="G3144" s="11">
        <v>-27.804878049999999</v>
      </c>
      <c r="H3144" s="11">
        <v>-7.7261400536</v>
      </c>
      <c r="I3144" s="11">
        <v>32.746008850499997</v>
      </c>
      <c r="J3144" s="11">
        <v>5.2095427790000004</v>
      </c>
      <c r="K3144" s="10">
        <v>0.42837145936400001</v>
      </c>
      <c r="L3144" s="12">
        <v>1887974400</v>
      </c>
      <c r="M3144">
        <v>11.144349297345601</v>
      </c>
      <c r="N3144" s="7">
        <v>0.77245320969857301</v>
      </c>
      <c r="O3144" s="7">
        <v>0.74973957521451395</v>
      </c>
      <c r="P3144" s="7">
        <v>-9.7498976565220303</v>
      </c>
      <c r="Q3144" s="7">
        <v>0.91216216216216217</v>
      </c>
      <c r="U3144">
        <v>0.2608130692014457</v>
      </c>
      <c r="AT3144" s="4" t="s">
        <v>8529</v>
      </c>
    </row>
    <row r="3145" spans="1:46">
      <c r="A3145" s="2">
        <v>3102</v>
      </c>
      <c r="B3145" t="s">
        <v>8530</v>
      </c>
      <c r="C3145" t="s">
        <v>2030</v>
      </c>
      <c r="D3145" t="s">
        <v>3728</v>
      </c>
      <c r="E3145" s="4">
        <v>43465</v>
      </c>
      <c r="F3145" s="11">
        <v>-21.23691839</v>
      </c>
      <c r="G3145" s="11">
        <v>-27.848101270000001</v>
      </c>
      <c r="H3145" s="11">
        <v>0.76682470619999998</v>
      </c>
      <c r="I3145" s="11">
        <v>19.470836677200001</v>
      </c>
      <c r="J3145" s="11">
        <v>7.2947021982000004</v>
      </c>
      <c r="K3145" s="10">
        <v>0.47637690680900002</v>
      </c>
      <c r="L3145" s="12">
        <v>2561916837.48</v>
      </c>
      <c r="M3145">
        <v>17.8540523837863</v>
      </c>
      <c r="N3145" s="7">
        <v>1.0725972034217099</v>
      </c>
      <c r="O3145" s="7">
        <v>1.39518339909248</v>
      </c>
      <c r="P3145" s="7">
        <v>-19.363717760996</v>
      </c>
      <c r="Q3145" s="7">
        <v>2.2622107969151668</v>
      </c>
      <c r="U3145">
        <v>0.29168386714666666</v>
      </c>
      <c r="AT3145" s="4" t="s">
        <v>3922</v>
      </c>
    </row>
    <row r="3146" spans="1:46">
      <c r="A3146" s="2">
        <v>3487</v>
      </c>
      <c r="B3146" t="s">
        <v>8531</v>
      </c>
      <c r="C3146" t="s">
        <v>1066</v>
      </c>
      <c r="D3146" t="s">
        <v>3737</v>
      </c>
      <c r="E3146" s="4">
        <v>43465</v>
      </c>
      <c r="F3146" s="11">
        <v>-20.991176159999998</v>
      </c>
      <c r="G3146" s="11">
        <v>-27.878787880000001</v>
      </c>
      <c r="H3146" s="11">
        <v>66.0993544934</v>
      </c>
      <c r="I3146" s="11">
        <v>87.900409021900003</v>
      </c>
      <c r="J3146" s="11">
        <v>10.9440694894</v>
      </c>
      <c r="K3146" s="10">
        <v>0.89764509852100005</v>
      </c>
      <c r="L3146" s="12">
        <v>87595360943.220001</v>
      </c>
      <c r="M3146">
        <v>27.748155395862302</v>
      </c>
      <c r="N3146" s="7">
        <v>2.6190303326898401</v>
      </c>
      <c r="O3146" s="7">
        <v>2.23868261820959</v>
      </c>
      <c r="P3146" s="7">
        <v>21.306698523177499</v>
      </c>
      <c r="Q3146" s="7">
        <v>4.5592705167173255</v>
      </c>
      <c r="U3146">
        <v>0.50193331159340659</v>
      </c>
      <c r="AT3146" s="4" t="s">
        <v>4173</v>
      </c>
    </row>
    <row r="3147" spans="1:46">
      <c r="A3147" s="2">
        <v>821</v>
      </c>
      <c r="B3147" t="s">
        <v>8532</v>
      </c>
      <c r="C3147" t="s">
        <v>3046</v>
      </c>
      <c r="D3147" t="s">
        <v>3858</v>
      </c>
      <c r="E3147" s="4">
        <v>43465</v>
      </c>
      <c r="F3147" s="11">
        <v>-74.581791089999996</v>
      </c>
      <c r="G3147" s="11">
        <v>-28.017241380000002</v>
      </c>
      <c r="H3147" s="11">
        <v>-12.6949267868</v>
      </c>
      <c r="I3147" s="11">
        <v>34.068619200800001</v>
      </c>
      <c r="J3147" s="11">
        <v>11.9683604606</v>
      </c>
      <c r="K3147" s="10">
        <v>0.34435129209100002</v>
      </c>
      <c r="L3147" s="12">
        <v>7661141145</v>
      </c>
      <c r="M3147">
        <v>8.2519181163350304</v>
      </c>
      <c r="N3147" s="7">
        <v>1.75244443844326</v>
      </c>
      <c r="O3147" s="7">
        <v>1.1509388237965501</v>
      </c>
      <c r="P3147" s="7">
        <v>-23.698914367706301</v>
      </c>
      <c r="Q3147" s="7">
        <v>2.0479302832244008</v>
      </c>
      <c r="U3147">
        <v>0.59428178777166574</v>
      </c>
      <c r="AT3147" s="4" t="s">
        <v>4592</v>
      </c>
    </row>
    <row r="3148" spans="1:46">
      <c r="A3148" s="2">
        <v>839</v>
      </c>
      <c r="B3148" t="s">
        <v>8533</v>
      </c>
      <c r="C3148" t="s">
        <v>2465</v>
      </c>
      <c r="D3148" t="s">
        <v>3849</v>
      </c>
      <c r="E3148" s="4">
        <v>43465</v>
      </c>
      <c r="F3148" s="11">
        <v>0.40086734000000002</v>
      </c>
      <c r="G3148" s="11">
        <v>-28.035714290000001</v>
      </c>
      <c r="H3148" s="11">
        <v>3.3615007132999999</v>
      </c>
      <c r="I3148" s="11">
        <v>13.6642174887</v>
      </c>
      <c r="J3148" s="11">
        <v>4.4334897062999996</v>
      </c>
      <c r="K3148" s="10">
        <v>1.0279569925930001</v>
      </c>
      <c r="L3148" s="12">
        <v>2097600000</v>
      </c>
      <c r="M3148">
        <v>41.2529297962719</v>
      </c>
      <c r="N3148" s="7">
        <v>1.0119240425062599</v>
      </c>
      <c r="O3148" s="7">
        <v>0.65965952283105</v>
      </c>
      <c r="P3148" s="7">
        <v>-347.34633956311302</v>
      </c>
      <c r="Q3148" s="7">
        <v>1.8199545011374718</v>
      </c>
      <c r="U3148">
        <v>0.22370497072082124</v>
      </c>
      <c r="AT3148" s="4" t="s">
        <v>7881</v>
      </c>
    </row>
    <row r="3149" spans="1:46">
      <c r="A3149" s="2">
        <v>1473</v>
      </c>
      <c r="B3149" t="s">
        <v>8534</v>
      </c>
      <c r="C3149" t="s">
        <v>2967</v>
      </c>
      <c r="D3149" t="s">
        <v>3713</v>
      </c>
      <c r="E3149" s="4">
        <v>43465</v>
      </c>
      <c r="F3149" s="11">
        <v>16.170027990000001</v>
      </c>
      <c r="G3149" s="11">
        <v>-28.17281728</v>
      </c>
      <c r="H3149" s="11">
        <v>27.126273461099998</v>
      </c>
      <c r="I3149" s="11">
        <v>20.549259530899999</v>
      </c>
      <c r="J3149" s="11">
        <v>6.4892341463000003</v>
      </c>
      <c r="K3149" s="10">
        <v>0.85863911943299998</v>
      </c>
      <c r="L3149" s="12">
        <v>3186924281.6399999</v>
      </c>
      <c r="M3149">
        <v>23.903490231227401</v>
      </c>
      <c r="N3149" s="7">
        <v>1.8710471410063201</v>
      </c>
      <c r="O3149" s="7">
        <v>1.34714388010166</v>
      </c>
      <c r="P3149" s="7">
        <v>309.58122106115201</v>
      </c>
      <c r="Q3149" s="7">
        <v>0.50330303166576595</v>
      </c>
      <c r="U3149">
        <v>0.54009374112498565</v>
      </c>
      <c r="AT3149" s="4" t="s">
        <v>4616</v>
      </c>
    </row>
    <row r="3150" spans="1:46">
      <c r="A3150" s="2">
        <v>1405</v>
      </c>
      <c r="B3150" t="s">
        <v>8535</v>
      </c>
      <c r="C3150" t="s">
        <v>2013</v>
      </c>
      <c r="D3150" t="s">
        <v>3713</v>
      </c>
      <c r="E3150" s="4">
        <v>43465</v>
      </c>
      <c r="F3150" s="11">
        <v>-32.435215280000001</v>
      </c>
      <c r="G3150" s="11">
        <v>-28.2208589</v>
      </c>
      <c r="H3150" s="11">
        <v>7.7531220371999998</v>
      </c>
      <c r="I3150" s="11">
        <v>45.376979392599999</v>
      </c>
      <c r="J3150" s="11">
        <v>15.691215140000001</v>
      </c>
      <c r="K3150" s="10">
        <v>0.56643252868399996</v>
      </c>
      <c r="L3150" s="12">
        <v>2624097815.5599999</v>
      </c>
      <c r="M3150">
        <v>56.601681874090801</v>
      </c>
      <c r="N3150" s="7">
        <v>3.5655214473547701</v>
      </c>
      <c r="O3150" s="7">
        <v>5.5210012846519003</v>
      </c>
      <c r="P3150" s="7">
        <v>31.047984867330499</v>
      </c>
      <c r="Q3150" s="7">
        <v>1.0822510822510822</v>
      </c>
      <c r="U3150">
        <v>0.54130371523923804</v>
      </c>
      <c r="AT3150" s="4" t="s">
        <v>7573</v>
      </c>
    </row>
    <row r="3151" spans="1:46">
      <c r="A3151" s="2">
        <v>621</v>
      </c>
      <c r="B3151" t="s">
        <v>8536</v>
      </c>
      <c r="C3151" t="s">
        <v>117</v>
      </c>
      <c r="D3151" t="s">
        <v>3842</v>
      </c>
      <c r="E3151" s="4">
        <v>43465</v>
      </c>
      <c r="F3151" s="11">
        <v>-10.78990524</v>
      </c>
      <c r="G3151" s="11">
        <v>-28.381548080000002</v>
      </c>
      <c r="H3151" s="11">
        <v>14.399065739199999</v>
      </c>
      <c r="I3151" s="11">
        <v>28.666953016000001</v>
      </c>
      <c r="J3151" s="11">
        <v>17.979427428200001</v>
      </c>
      <c r="K3151" s="10">
        <v>1.648802568919</v>
      </c>
      <c r="L3151" s="12">
        <v>1653288000</v>
      </c>
      <c r="M3151">
        <v>3.5293519060127898</v>
      </c>
      <c r="N3151" s="7">
        <v>1.14045679228243</v>
      </c>
      <c r="O3151" s="7">
        <v>0.77486514419177699</v>
      </c>
      <c r="P3151" s="7">
        <v>23.524468569166402</v>
      </c>
      <c r="Q3151" s="7">
        <v>15.797788312858616</v>
      </c>
      <c r="T3151" s="2"/>
      <c r="U3151">
        <v>3.9812465071560936</v>
      </c>
      <c r="AT3151" s="4" t="s">
        <v>4503</v>
      </c>
    </row>
    <row r="3152" spans="1:46">
      <c r="A3152" s="2">
        <v>1814</v>
      </c>
      <c r="B3152" t="s">
        <v>8537</v>
      </c>
      <c r="C3152" t="s">
        <v>1294</v>
      </c>
      <c r="D3152" t="s">
        <v>3721</v>
      </c>
      <c r="E3152" s="4">
        <v>43465</v>
      </c>
      <c r="F3152" s="11">
        <v>-4.4179820400000001</v>
      </c>
      <c r="G3152" s="11">
        <v>-28.470889320000001</v>
      </c>
      <c r="H3152" s="11">
        <v>28.392716054499999</v>
      </c>
      <c r="I3152" s="11">
        <v>38.150153654100002</v>
      </c>
      <c r="J3152" s="11">
        <v>11.838940818999999</v>
      </c>
      <c r="K3152" s="10">
        <v>1.0150431028619999</v>
      </c>
      <c r="L3152" s="12">
        <v>6610840435.6000004</v>
      </c>
      <c r="M3152">
        <v>24.111969191924398</v>
      </c>
      <c r="N3152" s="7">
        <v>3.9316784590852301</v>
      </c>
      <c r="O3152" s="7">
        <v>2.5005540611494301</v>
      </c>
      <c r="P3152" s="7">
        <v>-102.29044813534</v>
      </c>
      <c r="Q3152" s="7">
        <v>1.5461753006073065</v>
      </c>
      <c r="U3152">
        <v>0.75225366160198892</v>
      </c>
      <c r="AT3152" s="4" t="s">
        <v>4683</v>
      </c>
    </row>
    <row r="3153" spans="1:46">
      <c r="A3153" s="2">
        <v>1211</v>
      </c>
      <c r="B3153" t="s">
        <v>8538</v>
      </c>
      <c r="C3153" t="s">
        <v>1224</v>
      </c>
      <c r="D3153" t="s">
        <v>3764</v>
      </c>
      <c r="E3153" s="4">
        <v>43465</v>
      </c>
      <c r="F3153" s="11">
        <v>-33.15381644</v>
      </c>
      <c r="G3153" s="11">
        <v>-28.48484848</v>
      </c>
      <c r="H3153" s="11">
        <v>12.982417353800001</v>
      </c>
      <c r="I3153" s="11">
        <v>32.003110536900003</v>
      </c>
      <c r="J3153" s="11">
        <v>17.004041066300001</v>
      </c>
      <c r="K3153" s="10">
        <v>0.34751707474499999</v>
      </c>
      <c r="L3153" s="12">
        <v>3945354557.04</v>
      </c>
      <c r="M3153">
        <v>60.800484586431899</v>
      </c>
      <c r="N3153" s="7">
        <v>4.1129205114523701</v>
      </c>
      <c r="O3153" s="7">
        <v>10.8860346378521</v>
      </c>
      <c r="P3153" s="7">
        <v>7.09561103979153</v>
      </c>
      <c r="Q3153" s="7">
        <v>0.39318479685452157</v>
      </c>
      <c r="U3153">
        <v>0.16513555169595268</v>
      </c>
      <c r="AT3153" s="4" t="s">
        <v>8539</v>
      </c>
    </row>
    <row r="3154" spans="1:46">
      <c r="A3154" s="2">
        <v>1662</v>
      </c>
      <c r="B3154" t="s">
        <v>8540</v>
      </c>
      <c r="C3154" t="s">
        <v>495</v>
      </c>
      <c r="D3154" t="s">
        <v>3858</v>
      </c>
      <c r="E3154" s="4">
        <v>43465</v>
      </c>
      <c r="F3154" s="11">
        <v>-71.679487710000004</v>
      </c>
      <c r="G3154" s="11">
        <v>-28.650137740000002</v>
      </c>
      <c r="H3154" s="11">
        <v>-10.2345627886</v>
      </c>
      <c r="I3154" s="11">
        <v>31.617870204500001</v>
      </c>
      <c r="J3154" s="11">
        <v>10.860796023300001</v>
      </c>
      <c r="K3154" s="10">
        <v>0.402408123916</v>
      </c>
      <c r="L3154" s="12">
        <v>2546943534.2399998</v>
      </c>
      <c r="M3154">
        <v>9.5919513887190604</v>
      </c>
      <c r="N3154" s="7">
        <v>1.7752243913910299</v>
      </c>
      <c r="O3154" s="7">
        <v>1.3210129301913001</v>
      </c>
      <c r="P3154" s="7">
        <v>-37.260534141754697</v>
      </c>
      <c r="Q3154" s="7" t="s">
        <v>3698</v>
      </c>
      <c r="U3154">
        <v>0.2560540635786992</v>
      </c>
      <c r="AT3154" s="4" t="s">
        <v>4519</v>
      </c>
    </row>
    <row r="3155" spans="1:46">
      <c r="A3155" s="2">
        <v>1926</v>
      </c>
      <c r="B3155" t="s">
        <v>8541</v>
      </c>
      <c r="C3155" t="s">
        <v>1024</v>
      </c>
      <c r="D3155" t="s">
        <v>3752</v>
      </c>
      <c r="E3155" s="4">
        <v>43465</v>
      </c>
      <c r="F3155" s="11">
        <v>-21.934257070000001</v>
      </c>
      <c r="G3155" s="11">
        <v>-28.879568599999999</v>
      </c>
      <c r="H3155" s="11">
        <v>35.0300162136</v>
      </c>
      <c r="I3155" s="11">
        <v>32.670362745799999</v>
      </c>
      <c r="J3155" s="11">
        <v>12.690115474700001</v>
      </c>
      <c r="K3155" s="10">
        <v>0.61390659744200005</v>
      </c>
      <c r="L3155" s="12">
        <v>4078013613.2399998</v>
      </c>
      <c r="M3155">
        <v>27.850510895345501</v>
      </c>
      <c r="N3155" s="7">
        <v>2.62891174459183</v>
      </c>
      <c r="O3155" s="7">
        <v>3.63491114703054</v>
      </c>
      <c r="P3155" s="7">
        <v>3529.6463903697299</v>
      </c>
      <c r="Q3155" s="7">
        <v>1.7652250661959399</v>
      </c>
      <c r="U3155">
        <v>0.65582591601396401</v>
      </c>
      <c r="AT3155" s="4" t="s">
        <v>8542</v>
      </c>
    </row>
    <row r="3156" spans="1:46">
      <c r="A3156" s="2">
        <v>1417</v>
      </c>
      <c r="B3156" t="s">
        <v>8543</v>
      </c>
      <c r="C3156" t="s">
        <v>1269</v>
      </c>
      <c r="D3156" t="s">
        <v>3849</v>
      </c>
      <c r="E3156" s="4">
        <v>43465</v>
      </c>
      <c r="F3156" s="11">
        <v>-7.56335902</v>
      </c>
      <c r="G3156" s="11">
        <v>-29.179566560000001</v>
      </c>
      <c r="H3156" s="11">
        <v>9.1350501616000006</v>
      </c>
      <c r="I3156" s="11">
        <v>24.0574517198</v>
      </c>
      <c r="J3156" s="11">
        <v>6.6989043281000002</v>
      </c>
      <c r="K3156" s="10">
        <v>0.56052384790499998</v>
      </c>
      <c r="L3156" s="12">
        <v>5155099334.1499996</v>
      </c>
      <c r="M3156">
        <v>54.675080748286298</v>
      </c>
      <c r="N3156" s="7">
        <v>3.0765717619553299</v>
      </c>
      <c r="O3156" s="7">
        <v>3.1755066939101799</v>
      </c>
      <c r="P3156" s="7">
        <v>35.322168223328397</v>
      </c>
      <c r="Q3156" s="7">
        <v>0.88235294117647056</v>
      </c>
      <c r="U3156">
        <v>0.56201929637500003</v>
      </c>
      <c r="AT3156" s="4" t="s">
        <v>8267</v>
      </c>
    </row>
    <row r="3157" spans="1:46">
      <c r="A3157" s="2">
        <v>268</v>
      </c>
      <c r="B3157" t="s">
        <v>8544</v>
      </c>
      <c r="C3157" t="s">
        <v>1731</v>
      </c>
      <c r="D3157" t="s">
        <v>3889</v>
      </c>
      <c r="E3157" s="4">
        <v>43465</v>
      </c>
      <c r="F3157" s="11">
        <v>-11.231832109999999</v>
      </c>
      <c r="G3157" s="11">
        <v>-29.28816467</v>
      </c>
      <c r="H3157" s="11">
        <v>21.2739267818</v>
      </c>
      <c r="I3157" s="11">
        <v>64.653460162299993</v>
      </c>
      <c r="J3157" s="11">
        <v>33.937792838900002</v>
      </c>
      <c r="K3157" s="10">
        <v>0.237190397177</v>
      </c>
      <c r="L3157" s="12">
        <v>2444790000</v>
      </c>
      <c r="M3157">
        <v>48.5493974851492</v>
      </c>
      <c r="N3157" s="7">
        <v>9.54967699730833</v>
      </c>
      <c r="O3157" s="7">
        <v>17.452425710344102</v>
      </c>
      <c r="P3157" s="7">
        <v>-155.43097948732401</v>
      </c>
      <c r="Q3157" s="7">
        <v>0.23127199597787829</v>
      </c>
      <c r="U3157">
        <v>0.45849516563647935</v>
      </c>
      <c r="AT3157" s="4" t="s">
        <v>4658</v>
      </c>
    </row>
    <row r="3158" spans="1:46">
      <c r="A3158" s="2">
        <v>3462</v>
      </c>
      <c r="B3158" t="s">
        <v>8545</v>
      </c>
      <c r="C3158" t="s">
        <v>2984</v>
      </c>
      <c r="D3158" t="s">
        <v>3998</v>
      </c>
      <c r="E3158" s="4">
        <v>43465</v>
      </c>
      <c r="F3158" s="11">
        <v>-46.297815890000003</v>
      </c>
      <c r="G3158" s="11">
        <v>-29.350649350000001</v>
      </c>
      <c r="H3158" s="11">
        <v>40.306805165</v>
      </c>
      <c r="I3158" s="11">
        <v>22.980451802800001</v>
      </c>
      <c r="J3158" s="11">
        <v>2.1230779618</v>
      </c>
      <c r="K3158" s="10">
        <v>0.50489482143700004</v>
      </c>
      <c r="L3158" s="12">
        <v>2450400000</v>
      </c>
      <c r="M3158">
        <v>-75.228980736207703</v>
      </c>
      <c r="N3158" s="7">
        <v>8.8478787668390808</v>
      </c>
      <c r="O3158" s="7">
        <v>3.84955121204296</v>
      </c>
      <c r="P3158" s="7">
        <v>-24.920973087523301</v>
      </c>
      <c r="Q3158" s="7">
        <v>0.16500000000000001</v>
      </c>
      <c r="U3158">
        <v>4.3983358433324238E-2</v>
      </c>
      <c r="AT3158" s="4" t="s">
        <v>4365</v>
      </c>
    </row>
    <row r="3159" spans="1:46">
      <c r="A3159" s="2">
        <v>2267</v>
      </c>
      <c r="B3159" t="s">
        <v>8546</v>
      </c>
      <c r="C3159" t="s">
        <v>1195</v>
      </c>
      <c r="D3159" t="s">
        <v>3837</v>
      </c>
      <c r="E3159" s="4">
        <v>43465</v>
      </c>
      <c r="F3159" s="11">
        <v>-14.995716760000001</v>
      </c>
      <c r="G3159" s="11">
        <v>-29.77707006</v>
      </c>
      <c r="H3159" s="11">
        <v>7.6936075580000001</v>
      </c>
      <c r="I3159" s="11">
        <v>3.6108357115</v>
      </c>
      <c r="J3159" s="11">
        <v>7.874064916</v>
      </c>
      <c r="K3159" s="10">
        <v>0.57195652987699996</v>
      </c>
      <c r="L3159" s="12">
        <v>1852799251.6500001</v>
      </c>
      <c r="M3159">
        <v>26.816258809310099</v>
      </c>
      <c r="N3159" s="7">
        <v>1.1902463087872299</v>
      </c>
      <c r="O3159" s="7">
        <v>1.1761247608794201</v>
      </c>
      <c r="P3159" s="7">
        <v>8.9509596038550008</v>
      </c>
      <c r="Q3159" s="7">
        <v>0.68510043540530319</v>
      </c>
      <c r="U3159">
        <v>0.80472142376257172</v>
      </c>
      <c r="AT3159" s="4" t="s">
        <v>8547</v>
      </c>
    </row>
    <row r="3160" spans="1:46">
      <c r="A3160" s="2">
        <v>239</v>
      </c>
      <c r="B3160" t="s">
        <v>8548</v>
      </c>
      <c r="C3160" t="s">
        <v>581</v>
      </c>
      <c r="D3160" t="s">
        <v>3781</v>
      </c>
      <c r="E3160" s="4">
        <v>43465</v>
      </c>
      <c r="F3160" s="11">
        <v>-52.445945870000003</v>
      </c>
      <c r="G3160" s="11">
        <v>-29.797191890000001</v>
      </c>
      <c r="H3160" s="11">
        <v>4.0349790720999996</v>
      </c>
      <c r="I3160" s="11">
        <v>36.302949278</v>
      </c>
      <c r="J3160" s="11">
        <v>9.1033948259000006</v>
      </c>
      <c r="K3160" s="10">
        <v>0.64993289454900005</v>
      </c>
      <c r="L3160" s="12">
        <v>2271360000</v>
      </c>
      <c r="M3160">
        <v>11.792647006276299</v>
      </c>
      <c r="N3160" s="7">
        <v>2.0218521422819702</v>
      </c>
      <c r="O3160" s="7">
        <v>0.88458566552594697</v>
      </c>
      <c r="P3160" s="7">
        <v>4.1173216754473199</v>
      </c>
      <c r="Q3160" s="7">
        <v>1.2288786484611776</v>
      </c>
      <c r="U3160">
        <v>0.60758849689240513</v>
      </c>
      <c r="AT3160" s="4" t="s">
        <v>4206</v>
      </c>
    </row>
    <row r="3161" spans="1:46">
      <c r="A3161" s="2">
        <v>670</v>
      </c>
      <c r="B3161" t="s">
        <v>8549</v>
      </c>
      <c r="C3161" t="s">
        <v>3582</v>
      </c>
      <c r="D3161" t="s">
        <v>3832</v>
      </c>
      <c r="E3161" s="4">
        <v>43465</v>
      </c>
      <c r="F3161" s="11">
        <v>-34.660297239999998</v>
      </c>
      <c r="G3161" s="11">
        <v>-29.806598409999999</v>
      </c>
      <c r="H3161" s="11">
        <v>20.161611194300001</v>
      </c>
      <c r="I3161" s="11">
        <v>55.613923991999997</v>
      </c>
      <c r="J3161" s="11">
        <v>21.890739120999999</v>
      </c>
      <c r="K3161" s="10">
        <v>0.23417598610900001</v>
      </c>
      <c r="L3161" s="12">
        <v>2583168000</v>
      </c>
      <c r="M3161">
        <v>570.12570486040102</v>
      </c>
      <c r="N3161" s="7">
        <v>2.7744555028809499</v>
      </c>
      <c r="O3161" s="7">
        <v>3.75496955843641</v>
      </c>
      <c r="P3161" s="7">
        <v>9.5681147700383509</v>
      </c>
      <c r="Q3161" s="7" t="s">
        <v>3698</v>
      </c>
      <c r="U3161">
        <v>0.97158694346916807</v>
      </c>
      <c r="AT3161" s="4" t="s">
        <v>3782</v>
      </c>
    </row>
    <row r="3162" spans="1:46">
      <c r="A3162" s="2">
        <v>1097</v>
      </c>
      <c r="B3162" t="s">
        <v>8550</v>
      </c>
      <c r="C3162" t="s">
        <v>2357</v>
      </c>
      <c r="D3162" t="s">
        <v>3858</v>
      </c>
      <c r="E3162" s="4">
        <v>43465</v>
      </c>
      <c r="F3162" s="11">
        <v>-63.442913709999999</v>
      </c>
      <c r="G3162" s="11">
        <v>-29.867256640000001</v>
      </c>
      <c r="H3162" s="11">
        <v>23.3120136593</v>
      </c>
      <c r="I3162" s="11">
        <v>15.6220972748</v>
      </c>
      <c r="J3162" s="11">
        <v>7.3873994016999998</v>
      </c>
      <c r="K3162" s="10">
        <v>0.35719314404699998</v>
      </c>
      <c r="L3162" s="12">
        <v>4943932080</v>
      </c>
      <c r="M3162">
        <v>20.339749506653099</v>
      </c>
      <c r="N3162" s="7">
        <v>1.1156581271933601</v>
      </c>
      <c r="O3162" s="7">
        <v>1.47543861263291</v>
      </c>
      <c r="P3162" s="7">
        <v>8.4466417076389195</v>
      </c>
      <c r="Q3162" s="7">
        <v>5.1020408163265305</v>
      </c>
      <c r="U3162">
        <v>0.22103050273785882</v>
      </c>
      <c r="AT3162" s="4" t="s">
        <v>6835</v>
      </c>
    </row>
    <row r="3163" spans="1:46">
      <c r="A3163" s="2">
        <v>2771</v>
      </c>
      <c r="B3163" t="s">
        <v>8551</v>
      </c>
      <c r="C3163" t="s">
        <v>3268</v>
      </c>
      <c r="D3163" t="s">
        <v>3849</v>
      </c>
      <c r="E3163" s="4">
        <v>43465</v>
      </c>
      <c r="F3163" s="11">
        <v>-63.454317899999999</v>
      </c>
      <c r="G3163" s="11">
        <v>-29.87951807</v>
      </c>
      <c r="H3163" s="11">
        <v>-19.4709091908</v>
      </c>
      <c r="I3163" s="11">
        <v>12.685430804699999</v>
      </c>
      <c r="J3163" s="11">
        <v>-18.9568920864</v>
      </c>
      <c r="K3163" s="10">
        <v>0.37630082693200001</v>
      </c>
      <c r="L3163" s="12">
        <v>33057571198.080002</v>
      </c>
      <c r="M3163">
        <v>-43.961101483989601</v>
      </c>
      <c r="N3163" s="7">
        <v>8.2586725517499406</v>
      </c>
      <c r="O3163" s="7">
        <v>7.9878166858363597</v>
      </c>
      <c r="P3163" s="7">
        <v>-390.02400222913798</v>
      </c>
      <c r="Q3163" s="7" t="s">
        <v>3698</v>
      </c>
      <c r="U3163">
        <v>-9.1520057707546384E-2</v>
      </c>
      <c r="AT3163" s="4" t="s">
        <v>3838</v>
      </c>
    </row>
    <row r="3164" spans="1:46">
      <c r="A3164" s="2">
        <v>1028</v>
      </c>
      <c r="B3164" t="s">
        <v>8552</v>
      </c>
      <c r="C3164" t="s">
        <v>293</v>
      </c>
      <c r="D3164" t="s">
        <v>3790</v>
      </c>
      <c r="E3164" s="4">
        <v>43465</v>
      </c>
      <c r="F3164" s="11">
        <v>-82.424809400000001</v>
      </c>
      <c r="G3164" s="11">
        <v>-29.919137469999999</v>
      </c>
      <c r="H3164" s="11">
        <v>-27.130082102100001</v>
      </c>
      <c r="I3164" s="11">
        <v>70.264901778500004</v>
      </c>
      <c r="J3164" s="11">
        <v>12.985736576900001</v>
      </c>
      <c r="K3164" s="10">
        <v>0.375278287333</v>
      </c>
      <c r="L3164" s="12">
        <v>23949597497.669998</v>
      </c>
      <c r="M3164">
        <v>8.3614119461883103</v>
      </c>
      <c r="N3164" s="7">
        <v>4.3110841041138404</v>
      </c>
      <c r="O3164" s="7">
        <v>2.8787037610694099</v>
      </c>
      <c r="P3164" s="7">
        <v>-37.653087020441298</v>
      </c>
      <c r="Q3164" s="7" t="s">
        <v>3698</v>
      </c>
      <c r="U3164">
        <v>8.1014583841499913E-2</v>
      </c>
      <c r="AT3164" s="4" t="s">
        <v>4781</v>
      </c>
    </row>
    <row r="3165" spans="1:46">
      <c r="A3165" s="2">
        <v>2975</v>
      </c>
      <c r="B3165" t="s">
        <v>8553</v>
      </c>
      <c r="C3165" t="s">
        <v>1774</v>
      </c>
      <c r="D3165" t="s">
        <v>3764</v>
      </c>
      <c r="E3165" s="4">
        <v>43465</v>
      </c>
      <c r="F3165" s="11">
        <v>23.27874387</v>
      </c>
      <c r="G3165" s="11">
        <v>-29.952606639999999</v>
      </c>
      <c r="H3165" s="11">
        <v>29.752406775200001</v>
      </c>
      <c r="I3165" s="11">
        <v>19.312289115399999</v>
      </c>
      <c r="J3165" s="11">
        <v>4.6802082781000003</v>
      </c>
      <c r="K3165" s="10">
        <v>0.45449349113999998</v>
      </c>
      <c r="L3165" s="12">
        <v>3329048195.4400001</v>
      </c>
      <c r="M3165">
        <v>134.57676204441199</v>
      </c>
      <c r="N3165" s="7">
        <v>7.5800967522151304</v>
      </c>
      <c r="O3165" s="7">
        <v>5.2845786197903397</v>
      </c>
      <c r="P3165" s="7">
        <v>37.556393384705899</v>
      </c>
      <c r="Q3165" s="7">
        <v>0.2993731873889045</v>
      </c>
      <c r="U3165">
        <v>0.21120794552149735</v>
      </c>
      <c r="AT3165" s="4" t="s">
        <v>8554</v>
      </c>
    </row>
    <row r="3166" spans="1:46">
      <c r="A3166" s="2">
        <v>1173</v>
      </c>
      <c r="B3166" t="s">
        <v>8555</v>
      </c>
      <c r="C3166" t="s">
        <v>3297</v>
      </c>
      <c r="D3166" t="s">
        <v>3849</v>
      </c>
      <c r="E3166" s="4">
        <v>43465</v>
      </c>
      <c r="F3166" s="11">
        <v>-62.643885449999999</v>
      </c>
      <c r="G3166" s="11">
        <v>-29.973474800000002</v>
      </c>
      <c r="H3166" s="11">
        <v>-4.8744352423999997</v>
      </c>
      <c r="I3166" s="11">
        <v>15.291930213800001</v>
      </c>
      <c r="J3166" s="11">
        <v>1.6859601935999999</v>
      </c>
      <c r="K3166" s="10">
        <v>0.55755778295199998</v>
      </c>
      <c r="L3166" s="12">
        <v>1999203560</v>
      </c>
      <c r="M3166">
        <v>-11.998457373930201</v>
      </c>
      <c r="N3166" s="7">
        <v>1.18658673237934</v>
      </c>
      <c r="O3166" s="7">
        <v>0.955726306991728</v>
      </c>
      <c r="P3166" s="7">
        <v>-22.720294986096999</v>
      </c>
      <c r="Q3166" s="7">
        <v>0.77220077220077221</v>
      </c>
      <c r="U3166">
        <v>6.081787226666667E-2</v>
      </c>
      <c r="AT3166" s="4" t="s">
        <v>7228</v>
      </c>
    </row>
    <row r="3167" spans="1:46">
      <c r="A3167" s="2">
        <v>2739</v>
      </c>
      <c r="B3167" t="s">
        <v>8556</v>
      </c>
      <c r="C3167" t="s">
        <v>1376</v>
      </c>
      <c r="D3167" t="s">
        <v>3718</v>
      </c>
      <c r="E3167" s="4">
        <v>43465</v>
      </c>
      <c r="F3167" s="11">
        <v>-87.356321840000007</v>
      </c>
      <c r="G3167" s="11">
        <v>-30.033003300000001</v>
      </c>
      <c r="H3167" s="11">
        <v>-5.4181385002000004</v>
      </c>
      <c r="I3167" s="11">
        <v>17.789983510700001</v>
      </c>
      <c r="J3167" s="11">
        <v>-155.6155347449</v>
      </c>
      <c r="K3167" s="10">
        <v>0.203557320918</v>
      </c>
      <c r="L3167" s="12">
        <v>7116252000</v>
      </c>
      <c r="M3167">
        <v>-49.949997399907403</v>
      </c>
      <c r="N3167" s="7">
        <v>20.226682898748301</v>
      </c>
      <c r="O3167" s="7">
        <v>2.8114809383815298</v>
      </c>
      <c r="P3167" s="7">
        <v>226.243059993782</v>
      </c>
      <c r="Q3167" s="7" t="s">
        <v>3698</v>
      </c>
      <c r="U3167">
        <v>-1.4187995127033217</v>
      </c>
      <c r="AT3167" s="4" t="s">
        <v>8557</v>
      </c>
    </row>
    <row r="3168" spans="1:46">
      <c r="A3168" s="2">
        <v>1151</v>
      </c>
      <c r="B3168" t="s">
        <v>8558</v>
      </c>
      <c r="C3168" t="s">
        <v>271</v>
      </c>
      <c r="D3168" t="s">
        <v>3790</v>
      </c>
      <c r="E3168" s="4">
        <v>43465</v>
      </c>
      <c r="F3168" s="11">
        <v>-59.338853720000003</v>
      </c>
      <c r="G3168" s="11">
        <v>-30.092592589999999</v>
      </c>
      <c r="H3168" s="11">
        <v>53.617004939399997</v>
      </c>
      <c r="I3168" s="11">
        <v>40.584120810800002</v>
      </c>
      <c r="J3168" s="11">
        <v>2.8460603264</v>
      </c>
      <c r="K3168" s="10">
        <v>2.0610040934049998</v>
      </c>
      <c r="L3168" s="12">
        <v>6034719156</v>
      </c>
      <c r="M3168">
        <v>16.303007762141998</v>
      </c>
      <c r="N3168" s="7">
        <v>3.5145335281556598</v>
      </c>
      <c r="O3168" s="7">
        <v>0.79869013644116804</v>
      </c>
      <c r="P3168" s="7">
        <v>26.331507028089302</v>
      </c>
      <c r="Q3168" s="7">
        <v>0.65312046444121907</v>
      </c>
      <c r="U3168">
        <v>0.39971063134762924</v>
      </c>
      <c r="AT3168" s="4" t="s">
        <v>4994</v>
      </c>
    </row>
    <row r="3169" spans="1:46">
      <c r="A3169" s="2">
        <v>1140</v>
      </c>
      <c r="B3169" t="s">
        <v>8559</v>
      </c>
      <c r="C3169" t="s">
        <v>3501</v>
      </c>
      <c r="D3169" t="s">
        <v>3778</v>
      </c>
      <c r="E3169" s="4">
        <v>43465</v>
      </c>
      <c r="F3169" s="11">
        <v>-63.276836160000002</v>
      </c>
      <c r="G3169" s="11">
        <v>-30.102040819999999</v>
      </c>
      <c r="H3169" s="11">
        <v>-20.996543646700001</v>
      </c>
      <c r="I3169" s="11">
        <v>0.51243350129999998</v>
      </c>
      <c r="J3169" s="11">
        <v>-24.465822273299999</v>
      </c>
      <c r="K3169" s="10">
        <v>4.6497568744439999</v>
      </c>
      <c r="L3169" s="12">
        <v>1510663200</v>
      </c>
      <c r="M3169">
        <v>-207.887622268234</v>
      </c>
      <c r="N3169" s="7">
        <v>64.053598546399201</v>
      </c>
      <c r="O3169" s="7">
        <v>0.48800577879243001</v>
      </c>
      <c r="P3169" s="7">
        <v>-84.382041331112305</v>
      </c>
      <c r="Q3169" s="7" t="s">
        <v>3698</v>
      </c>
      <c r="U3169">
        <v>-1.50167525731403</v>
      </c>
      <c r="AT3169" s="4" t="s">
        <v>4446</v>
      </c>
    </row>
    <row r="3170" spans="1:46">
      <c r="A3170" s="2">
        <v>2640</v>
      </c>
      <c r="B3170" t="s">
        <v>8560</v>
      </c>
      <c r="C3170" t="s">
        <v>88</v>
      </c>
      <c r="D3170" t="s">
        <v>3737</v>
      </c>
      <c r="E3170" s="4">
        <v>43465</v>
      </c>
      <c r="F3170" s="11">
        <v>-32.985540440000001</v>
      </c>
      <c r="G3170" s="11">
        <v>-30.152102589999998</v>
      </c>
      <c r="H3170" s="11">
        <v>27.759555346599999</v>
      </c>
      <c r="I3170" s="11">
        <v>84.793632346600006</v>
      </c>
      <c r="J3170" s="11">
        <v>23.415858398499999</v>
      </c>
      <c r="K3170" s="10">
        <v>0.99699474119499998</v>
      </c>
      <c r="L3170" s="12">
        <v>3085842943.7600002</v>
      </c>
      <c r="M3170">
        <v>17.812501180356101</v>
      </c>
      <c r="N3170" s="7">
        <v>5.2651908887009498</v>
      </c>
      <c r="O3170" s="7">
        <v>3.9184364088987502</v>
      </c>
      <c r="P3170" s="7">
        <v>35.472303883175996</v>
      </c>
      <c r="Q3170" s="7">
        <v>5.4618091626535046</v>
      </c>
      <c r="T3170" s="2"/>
      <c r="U3170">
        <v>2.0714620917732689</v>
      </c>
      <c r="AT3170" s="4" t="s">
        <v>8561</v>
      </c>
    </row>
    <row r="3171" spans="1:46">
      <c r="A3171" s="2">
        <v>2991</v>
      </c>
      <c r="B3171" t="s">
        <v>8562</v>
      </c>
      <c r="C3171" t="s">
        <v>1414</v>
      </c>
      <c r="D3171" t="s">
        <v>3781</v>
      </c>
      <c r="E3171" s="4">
        <v>43465</v>
      </c>
      <c r="F3171" s="11">
        <v>-32.865051530000002</v>
      </c>
      <c r="G3171" s="11">
        <v>-30.430430430000001</v>
      </c>
      <c r="H3171" s="11">
        <v>6.8472950309999998</v>
      </c>
      <c r="I3171" s="11">
        <v>34.514375825400002</v>
      </c>
      <c r="J3171" s="11">
        <v>11.063660086600001</v>
      </c>
      <c r="K3171" s="10">
        <v>0.55644215708800004</v>
      </c>
      <c r="L3171" s="12">
        <v>7224180600</v>
      </c>
      <c r="M3171">
        <v>48.379665933300899</v>
      </c>
      <c r="N3171" s="7">
        <v>4.1829833275410904</v>
      </c>
      <c r="O3171" s="7">
        <v>5.6058647509908202</v>
      </c>
      <c r="P3171" s="7">
        <v>1098.30144867788</v>
      </c>
      <c r="Q3171" s="7">
        <v>2.1367521367521363</v>
      </c>
      <c r="U3171">
        <v>0.19591140454941816</v>
      </c>
      <c r="AT3171" s="4" t="s">
        <v>4767</v>
      </c>
    </row>
    <row r="3172" spans="1:46">
      <c r="A3172" s="2">
        <v>2317</v>
      </c>
      <c r="B3172" t="s">
        <v>8563</v>
      </c>
      <c r="C3172" t="s">
        <v>272</v>
      </c>
      <c r="D3172" t="s">
        <v>3972</v>
      </c>
      <c r="E3172" s="4">
        <v>43465</v>
      </c>
      <c r="F3172" s="11">
        <v>-75.076242859999994</v>
      </c>
      <c r="G3172" s="11">
        <v>-30.676691730000002</v>
      </c>
      <c r="H3172" s="11">
        <v>48.766444173499998</v>
      </c>
      <c r="I3172" s="11">
        <v>11.665240923800001</v>
      </c>
      <c r="J3172" s="11">
        <v>4.8870183522000001</v>
      </c>
      <c r="K3172" s="10">
        <v>1.0275686003919999</v>
      </c>
      <c r="L3172" s="12">
        <v>3978072763.5</v>
      </c>
      <c r="M3172">
        <v>18.5753144536889</v>
      </c>
      <c r="N3172" s="7">
        <v>2.92332213706604</v>
      </c>
      <c r="O3172" s="7">
        <v>1.02581389201053</v>
      </c>
      <c r="P3172" s="7">
        <v>281.56475877776103</v>
      </c>
      <c r="Q3172" s="7" t="s">
        <v>3698</v>
      </c>
      <c r="U3172">
        <v>0.33054492616330999</v>
      </c>
      <c r="AT3172" s="4" t="s">
        <v>4416</v>
      </c>
    </row>
    <row r="3173" spans="1:46">
      <c r="A3173" s="2">
        <v>1367</v>
      </c>
      <c r="B3173" t="s">
        <v>8564</v>
      </c>
      <c r="C3173" t="s">
        <v>347</v>
      </c>
      <c r="D3173" t="s">
        <v>4060</v>
      </c>
      <c r="E3173" s="4">
        <v>43465</v>
      </c>
      <c r="F3173" s="11">
        <v>6.84962991</v>
      </c>
      <c r="G3173" s="11">
        <v>-30.799855229999999</v>
      </c>
      <c r="H3173" s="11">
        <v>27.973051738900001</v>
      </c>
      <c r="I3173" s="11">
        <v>33.999727164799999</v>
      </c>
      <c r="J3173" s="11">
        <v>16.552815421599998</v>
      </c>
      <c r="K3173" s="10">
        <v>0.94854186090600001</v>
      </c>
      <c r="L3173" s="12">
        <v>4943786614.2200003</v>
      </c>
      <c r="M3173">
        <v>18.548664645280098</v>
      </c>
      <c r="N3173" s="7">
        <v>3.4026425433177199</v>
      </c>
      <c r="O3173" s="7">
        <v>2.89368812580142</v>
      </c>
      <c r="P3173" s="7">
        <v>61.465828351587497</v>
      </c>
      <c r="Q3173" s="7">
        <v>2.5035388159734362</v>
      </c>
      <c r="U3173">
        <v>1.6607962370269036</v>
      </c>
      <c r="AT3173" s="4" t="s">
        <v>4903</v>
      </c>
    </row>
    <row r="3174" spans="1:46">
      <c r="A3174" s="2">
        <v>3595</v>
      </c>
      <c r="B3174" t="s">
        <v>8565</v>
      </c>
      <c r="C3174" t="s">
        <v>2051</v>
      </c>
      <c r="D3174" t="s">
        <v>3764</v>
      </c>
      <c r="E3174" s="4">
        <v>43465</v>
      </c>
      <c r="F3174" s="11">
        <v>-49.095910799999999</v>
      </c>
      <c r="G3174" s="11">
        <v>-30.822942640000001</v>
      </c>
      <c r="H3174" s="11">
        <v>95.361465102799997</v>
      </c>
      <c r="I3174" s="11">
        <v>28.435585607899998</v>
      </c>
      <c r="J3174" s="11">
        <v>10.3529872733</v>
      </c>
      <c r="K3174" s="10">
        <v>0.55192378055900004</v>
      </c>
      <c r="L3174" s="12">
        <v>4595525369.4200001</v>
      </c>
      <c r="M3174">
        <v>22.431878087511102</v>
      </c>
      <c r="N3174" s="7">
        <v>3.65971843708587</v>
      </c>
      <c r="O3174" s="7">
        <v>2.2739274517477099</v>
      </c>
      <c r="P3174" s="7">
        <v>22.583002057944</v>
      </c>
      <c r="Q3174" s="7">
        <v>0.48960940050048962</v>
      </c>
      <c r="U3174">
        <v>0.89647151215452514</v>
      </c>
      <c r="AT3174" s="4" t="s">
        <v>6094</v>
      </c>
    </row>
    <row r="3175" spans="1:46">
      <c r="A3175" s="2">
        <v>2965</v>
      </c>
      <c r="B3175" t="s">
        <v>8566</v>
      </c>
      <c r="C3175" t="s">
        <v>2802</v>
      </c>
      <c r="D3175" t="s">
        <v>3790</v>
      </c>
      <c r="E3175" s="4">
        <v>43465</v>
      </c>
      <c r="F3175" s="11">
        <v>-39.060832439999999</v>
      </c>
      <c r="G3175" s="11">
        <v>-31.11111111</v>
      </c>
      <c r="H3175" s="11">
        <v>-36.1162239525</v>
      </c>
      <c r="I3175" s="11">
        <v>82.503945687200002</v>
      </c>
      <c r="J3175" s="11">
        <v>-562.98588544790005</v>
      </c>
      <c r="K3175" s="10">
        <v>9.6635096719999994E-2</v>
      </c>
      <c r="L3175" s="12">
        <v>3111057998.8800001</v>
      </c>
      <c r="M3175">
        <v>248.30680318929501</v>
      </c>
      <c r="N3175" s="7">
        <v>10.510147883561499</v>
      </c>
      <c r="O3175" s="7">
        <v>16.813675552218299</v>
      </c>
      <c r="P3175" s="7">
        <v>57.005727864725699</v>
      </c>
      <c r="Q3175" s="7" t="s">
        <v>3698</v>
      </c>
      <c r="U3175">
        <v>-2.0176120612388511</v>
      </c>
      <c r="AT3175" s="4" t="s">
        <v>8567</v>
      </c>
    </row>
    <row r="3176" spans="1:46">
      <c r="A3176" s="2">
        <v>956</v>
      </c>
      <c r="B3176" t="s">
        <v>8568</v>
      </c>
      <c r="C3176" t="s">
        <v>2278</v>
      </c>
      <c r="D3176" t="s">
        <v>3718</v>
      </c>
      <c r="E3176" s="4">
        <v>43465</v>
      </c>
      <c r="F3176" s="11">
        <v>-81.897542450000003</v>
      </c>
      <c r="G3176" s="11">
        <v>-31.122448980000001</v>
      </c>
      <c r="H3176" s="11">
        <v>-36.395511089400003</v>
      </c>
      <c r="I3176" s="11">
        <v>16.1177564553</v>
      </c>
      <c r="J3176" s="11">
        <v>-215.31872479040001</v>
      </c>
      <c r="K3176" s="10">
        <v>0.15097117077200001</v>
      </c>
      <c r="L3176" s="12">
        <v>1672256000</v>
      </c>
      <c r="M3176">
        <v>407.48452754969998</v>
      </c>
      <c r="N3176" s="7">
        <v>2.06787007169447</v>
      </c>
      <c r="O3176" s="7">
        <v>1.9975773317644201</v>
      </c>
      <c r="P3176" s="7">
        <v>-29.899032107625398</v>
      </c>
      <c r="Q3176" s="7" t="s">
        <v>3698</v>
      </c>
      <c r="U3176">
        <v>-1.4912535116945613</v>
      </c>
      <c r="AT3176" s="4" t="s">
        <v>6053</v>
      </c>
    </row>
    <row r="3177" spans="1:46">
      <c r="A3177" s="2">
        <v>1330</v>
      </c>
      <c r="B3177" t="s">
        <v>8569</v>
      </c>
      <c r="C3177" t="s">
        <v>2692</v>
      </c>
      <c r="D3177" t="s">
        <v>3752</v>
      </c>
      <c r="E3177" s="4">
        <v>43465</v>
      </c>
      <c r="F3177" s="11">
        <v>-15.927903710000001</v>
      </c>
      <c r="G3177" s="11">
        <v>-31.200575130000001</v>
      </c>
      <c r="H3177" s="11">
        <v>-20.465319645000001</v>
      </c>
      <c r="I3177" s="11">
        <v>49.310170962400001</v>
      </c>
      <c r="J3177" s="11">
        <v>17.3187710417</v>
      </c>
      <c r="K3177" s="10">
        <v>0.38114474487799999</v>
      </c>
      <c r="L3177" s="12">
        <v>3201600000</v>
      </c>
      <c r="M3177">
        <v>36.175733468406001</v>
      </c>
      <c r="N3177" s="7">
        <v>3.18685588503054</v>
      </c>
      <c r="O3177" s="7">
        <v>6.5482416306414803</v>
      </c>
      <c r="P3177" s="7">
        <v>-83.807284432999197</v>
      </c>
      <c r="Q3177" s="7">
        <v>2.9861888764464353</v>
      </c>
      <c r="U3177">
        <v>0.32821106298913044</v>
      </c>
      <c r="AT3177" s="4" t="s">
        <v>7625</v>
      </c>
    </row>
    <row r="3178" spans="1:46">
      <c r="A3178" s="2">
        <v>3516</v>
      </c>
      <c r="B3178" t="s">
        <v>8570</v>
      </c>
      <c r="C3178" t="s">
        <v>1413</v>
      </c>
      <c r="D3178" t="s">
        <v>3752</v>
      </c>
      <c r="E3178" s="4">
        <v>43465</v>
      </c>
      <c r="F3178" s="11">
        <v>-46.358702569999998</v>
      </c>
      <c r="G3178" s="11">
        <v>-31.272401429999999</v>
      </c>
      <c r="H3178" s="11">
        <v>-0.99298318990000001</v>
      </c>
      <c r="I3178" s="11">
        <v>20.5913831499</v>
      </c>
      <c r="J3178" s="11">
        <v>5.0557203757</v>
      </c>
      <c r="K3178" s="10">
        <v>0.74013497550700003</v>
      </c>
      <c r="L3178" s="12">
        <v>2474402559.1999998</v>
      </c>
      <c r="M3178">
        <v>33.141967617827603</v>
      </c>
      <c r="N3178" s="7">
        <v>2.0071226450521502</v>
      </c>
      <c r="O3178" s="7">
        <v>1.60510267495401</v>
      </c>
      <c r="P3178" s="7">
        <v>-6.1001240321973702</v>
      </c>
      <c r="Q3178" s="7">
        <v>1.1904761904761905</v>
      </c>
      <c r="U3178">
        <v>0.33403317316607584</v>
      </c>
      <c r="AT3178" s="4" t="s">
        <v>8571</v>
      </c>
    </row>
    <row r="3179" spans="1:46">
      <c r="A3179" s="2">
        <v>134</v>
      </c>
      <c r="B3179" t="s">
        <v>8572</v>
      </c>
      <c r="C3179" t="s">
        <v>549</v>
      </c>
      <c r="D3179" t="s">
        <v>3752</v>
      </c>
      <c r="E3179" s="4">
        <v>43465</v>
      </c>
      <c r="F3179" s="11">
        <v>-49.677634230000002</v>
      </c>
      <c r="G3179" s="11">
        <v>-31.432644329999999</v>
      </c>
      <c r="H3179" s="11">
        <v>16.491805911499998</v>
      </c>
      <c r="I3179" s="11">
        <v>28.918945849</v>
      </c>
      <c r="J3179" s="11">
        <v>10.7847186631</v>
      </c>
      <c r="K3179" s="10">
        <v>0.46209676364399999</v>
      </c>
      <c r="L3179" s="12">
        <v>6291240000</v>
      </c>
      <c r="M3179">
        <v>13.531020355940701</v>
      </c>
      <c r="N3179" s="7">
        <v>2.0243529207306601</v>
      </c>
      <c r="O3179" s="7">
        <v>1.5003239602318399</v>
      </c>
      <c r="P3179" s="7">
        <v>-18.309429492873502</v>
      </c>
      <c r="Q3179" s="7">
        <v>1.8359853121175032</v>
      </c>
      <c r="U3179">
        <v>1.0962571960553673</v>
      </c>
      <c r="AT3179" s="4" t="s">
        <v>4014</v>
      </c>
    </row>
    <row r="3180" spans="1:46">
      <c r="A3180" s="2">
        <v>730</v>
      </c>
      <c r="B3180" t="s">
        <v>8573</v>
      </c>
      <c r="C3180" t="s">
        <v>2029</v>
      </c>
      <c r="D3180" t="s">
        <v>3737</v>
      </c>
      <c r="E3180" s="4">
        <v>43465</v>
      </c>
      <c r="F3180" s="11">
        <v>-79.590093940000003</v>
      </c>
      <c r="G3180" s="11">
        <v>-31.686046510000001</v>
      </c>
      <c r="H3180" s="11">
        <v>12.916996109699999</v>
      </c>
      <c r="I3180" s="11">
        <v>21.5347193594</v>
      </c>
      <c r="J3180" s="11">
        <v>-36.152688044500003</v>
      </c>
      <c r="K3180" s="10">
        <v>0.403781516507</v>
      </c>
      <c r="L3180" s="12">
        <v>2909570619.5999999</v>
      </c>
      <c r="M3180">
        <v>-14.920716116106901</v>
      </c>
      <c r="N3180" s="7">
        <v>-13.322913840504899</v>
      </c>
      <c r="O3180" s="7">
        <v>1.5394271078997901</v>
      </c>
      <c r="P3180" s="7">
        <v>-41.447426718483001</v>
      </c>
      <c r="Q3180" s="7" t="s">
        <v>3698</v>
      </c>
      <c r="U3180">
        <v>-0.76012761733374468</v>
      </c>
      <c r="AT3180" s="4" t="s">
        <v>7716</v>
      </c>
    </row>
    <row r="3181" spans="1:46">
      <c r="A3181" s="2">
        <v>2557</v>
      </c>
      <c r="B3181" t="s">
        <v>8574</v>
      </c>
      <c r="C3181" t="s">
        <v>2307</v>
      </c>
      <c r="D3181" t="s">
        <v>3761</v>
      </c>
      <c r="E3181" s="4">
        <v>43465</v>
      </c>
      <c r="F3181" s="11">
        <v>-20.738753240000001</v>
      </c>
      <c r="G3181" s="11">
        <v>-31.775700929999999</v>
      </c>
      <c r="H3181" s="11">
        <v>11.0945643023</v>
      </c>
      <c r="I3181" s="11">
        <v>20.147021968099999</v>
      </c>
      <c r="J3181" s="11">
        <v>4.0112039319999999</v>
      </c>
      <c r="K3181" s="10">
        <v>0.49234319322100001</v>
      </c>
      <c r="L3181" s="12">
        <v>5261642746.3999996</v>
      </c>
      <c r="M3181">
        <v>108.235104382489</v>
      </c>
      <c r="N3181" s="7">
        <v>2.48863135495094</v>
      </c>
      <c r="O3181" s="7">
        <v>3.31627124374047</v>
      </c>
      <c r="P3181" s="7">
        <v>-420.45566726247301</v>
      </c>
      <c r="Q3181" s="7" t="s">
        <v>3698</v>
      </c>
      <c r="U3181">
        <v>5.8099705890982331E-2</v>
      </c>
      <c r="AT3181" s="4" t="s">
        <v>5413</v>
      </c>
    </row>
    <row r="3182" spans="1:46">
      <c r="A3182" s="2">
        <v>1048</v>
      </c>
      <c r="B3182" t="s">
        <v>8575</v>
      </c>
      <c r="C3182" t="s">
        <v>1914</v>
      </c>
      <c r="D3182" t="s">
        <v>3849</v>
      </c>
      <c r="E3182" s="4">
        <v>43465</v>
      </c>
      <c r="F3182" s="11">
        <v>-27.39465045</v>
      </c>
      <c r="G3182" s="11">
        <v>-31.902439019999999</v>
      </c>
      <c r="H3182" s="11">
        <v>25.404903813299999</v>
      </c>
      <c r="I3182" s="11">
        <v>21.591603018299999</v>
      </c>
      <c r="J3182" s="11">
        <v>2.7688257587999998</v>
      </c>
      <c r="K3182" s="10">
        <v>0.35297390816899998</v>
      </c>
      <c r="L3182" s="12">
        <v>5361490468.1999998</v>
      </c>
      <c r="M3182">
        <v>33.890150028181097</v>
      </c>
      <c r="N3182" s="7">
        <v>2.9629719194499899</v>
      </c>
      <c r="O3182" s="7">
        <v>2.51642157072938</v>
      </c>
      <c r="P3182" s="7">
        <v>-12.6498894961394</v>
      </c>
      <c r="Q3182" s="7">
        <v>0.67570700641669723</v>
      </c>
      <c r="U3182">
        <v>0.10681909584853796</v>
      </c>
      <c r="AT3182" s="4" t="s">
        <v>5000</v>
      </c>
    </row>
    <row r="3183" spans="1:46">
      <c r="A3183" s="2">
        <v>1925</v>
      </c>
      <c r="B3183" t="s">
        <v>8576</v>
      </c>
      <c r="C3183" t="s">
        <v>1896</v>
      </c>
      <c r="D3183" t="s">
        <v>3832</v>
      </c>
      <c r="E3183" s="4">
        <v>43465</v>
      </c>
      <c r="F3183" s="11">
        <v>-45.850214340000001</v>
      </c>
      <c r="G3183" s="11">
        <v>-31.912028729999999</v>
      </c>
      <c r="H3183" s="11">
        <v>115.233248789</v>
      </c>
      <c r="I3183" s="11">
        <v>32.211205383699998</v>
      </c>
      <c r="J3183" s="11">
        <v>11.6358211119</v>
      </c>
      <c r="K3183" s="10">
        <v>0.665432640086</v>
      </c>
      <c r="L3183" s="12">
        <v>2549541952.5300002</v>
      </c>
      <c r="M3183">
        <v>36.8845089256112</v>
      </c>
      <c r="N3183" s="7">
        <v>3.4285377760968099</v>
      </c>
      <c r="O3183" s="7">
        <v>3.7549681653034002</v>
      </c>
      <c r="P3183" s="7">
        <v>-64.551966795460004</v>
      </c>
      <c r="Q3183" s="7">
        <v>0.91644727155116268</v>
      </c>
      <c r="U3183">
        <v>0.83206064610371444</v>
      </c>
      <c r="AT3183" s="4" t="s">
        <v>8542</v>
      </c>
    </row>
    <row r="3184" spans="1:46">
      <c r="A3184" s="2">
        <v>370</v>
      </c>
      <c r="B3184" t="s">
        <v>8577</v>
      </c>
      <c r="C3184" t="s">
        <v>527</v>
      </c>
      <c r="D3184" t="s">
        <v>3737</v>
      </c>
      <c r="E3184" s="4">
        <v>43465</v>
      </c>
      <c r="F3184" s="11">
        <v>-27.534562210000001</v>
      </c>
      <c r="G3184" s="11">
        <v>-31.917211330000001</v>
      </c>
      <c r="H3184" s="11">
        <v>48.215793892900003</v>
      </c>
      <c r="I3184" s="11">
        <v>92.626655570899999</v>
      </c>
      <c r="J3184" s="11">
        <v>28.276342194000001</v>
      </c>
      <c r="K3184" s="10">
        <v>0.595053245663</v>
      </c>
      <c r="L3184" s="12">
        <v>1856000000</v>
      </c>
      <c r="M3184">
        <v>23.2461447658807</v>
      </c>
      <c r="N3184" s="7">
        <v>3.9131514293652998</v>
      </c>
      <c r="O3184" s="7">
        <v>5.8706684207200297</v>
      </c>
      <c r="P3184" s="7">
        <v>207.75161349531001</v>
      </c>
      <c r="Q3184" s="7" t="s">
        <v>3698</v>
      </c>
      <c r="U3184">
        <v>0.41513862436001042</v>
      </c>
      <c r="AT3184" s="4" t="s">
        <v>6312</v>
      </c>
    </row>
    <row r="3185" spans="1:46">
      <c r="A3185" s="2">
        <v>3557</v>
      </c>
      <c r="B3185" t="s">
        <v>8578</v>
      </c>
      <c r="C3185" t="s">
        <v>222</v>
      </c>
      <c r="D3185" t="s">
        <v>3858</v>
      </c>
      <c r="E3185" s="4">
        <v>43465</v>
      </c>
      <c r="F3185" s="11">
        <v>-11.01206417</v>
      </c>
      <c r="G3185" s="11">
        <v>-31.973684209999998</v>
      </c>
      <c r="H3185" s="11">
        <v>17.2108777143</v>
      </c>
      <c r="I3185" s="11">
        <v>16.846580234299999</v>
      </c>
      <c r="J3185" s="11">
        <v>2.8561166514999998</v>
      </c>
      <c r="K3185" s="10">
        <v>0.63201359537199997</v>
      </c>
      <c r="L3185" s="12">
        <v>6578250000</v>
      </c>
      <c r="M3185">
        <v>40.403741346603098</v>
      </c>
      <c r="N3185" s="7">
        <v>3.3927451679487102</v>
      </c>
      <c r="O3185" s="7">
        <v>1.5654929062824701</v>
      </c>
      <c r="P3185" s="7">
        <v>17.7483305155456</v>
      </c>
      <c r="Q3185" s="7">
        <v>0.3167420817341759</v>
      </c>
      <c r="U3185">
        <v>0.13597585171153356</v>
      </c>
      <c r="AT3185" s="4" t="s">
        <v>5083</v>
      </c>
    </row>
    <row r="3186" spans="1:46">
      <c r="A3186" s="2">
        <v>3627</v>
      </c>
      <c r="B3186" t="s">
        <v>8579</v>
      </c>
      <c r="C3186" t="s">
        <v>805</v>
      </c>
      <c r="D3186" t="s">
        <v>3752</v>
      </c>
      <c r="E3186" s="4">
        <v>43465</v>
      </c>
      <c r="F3186" s="11">
        <v>-41.222863779999997</v>
      </c>
      <c r="G3186" s="11">
        <v>-32.115547999999997</v>
      </c>
      <c r="H3186" s="11">
        <v>18.688041183300001</v>
      </c>
      <c r="I3186" s="11">
        <v>37.6016232618</v>
      </c>
      <c r="J3186" s="11">
        <v>25.724165419599998</v>
      </c>
      <c r="K3186" s="10">
        <v>0.59330597028700005</v>
      </c>
      <c r="L3186" s="12">
        <v>20402970528.080002</v>
      </c>
      <c r="M3186">
        <v>9.4321088344283606</v>
      </c>
      <c r="N3186" s="7">
        <v>1.35494168460108</v>
      </c>
      <c r="O3186" s="7">
        <v>2.1619495869551302</v>
      </c>
      <c r="P3186" s="7">
        <v>-13.3312402393633</v>
      </c>
      <c r="Q3186" s="7">
        <v>4.2460841668239286</v>
      </c>
      <c r="U3186">
        <v>1.40574296838</v>
      </c>
      <c r="AT3186" s="4" t="s">
        <v>6019</v>
      </c>
    </row>
    <row r="3187" spans="1:46">
      <c r="A3187" s="2">
        <v>1345</v>
      </c>
      <c r="B3187" t="s">
        <v>8580</v>
      </c>
      <c r="C3187" t="s">
        <v>1049</v>
      </c>
      <c r="D3187" t="s">
        <v>3718</v>
      </c>
      <c r="E3187" s="4">
        <v>43465</v>
      </c>
      <c r="F3187" s="11">
        <v>-39.546973039999997</v>
      </c>
      <c r="G3187" s="11">
        <v>-32.116182569999999</v>
      </c>
      <c r="H3187" s="11">
        <v>17.605252619400002</v>
      </c>
      <c r="I3187" s="11">
        <v>42.1608016502</v>
      </c>
      <c r="J3187" s="11">
        <v>15.7788250958</v>
      </c>
      <c r="K3187" s="10">
        <v>0.47019835206999999</v>
      </c>
      <c r="L3187" s="12">
        <v>1758400000</v>
      </c>
      <c r="M3187">
        <v>34.3407848258313</v>
      </c>
      <c r="N3187" s="7">
        <v>2.5315228232543001</v>
      </c>
      <c r="O3187" s="7">
        <v>4.9395726896933096</v>
      </c>
      <c r="P3187" s="7">
        <v>-314.45337968807303</v>
      </c>
      <c r="Q3187" s="7">
        <v>8.1499592502037483</v>
      </c>
      <c r="U3187">
        <v>0.3979914132857143</v>
      </c>
      <c r="AT3187" s="4" t="s">
        <v>3716</v>
      </c>
    </row>
    <row r="3188" spans="1:46">
      <c r="A3188" s="2">
        <v>3289</v>
      </c>
      <c r="B3188" t="s">
        <v>8581</v>
      </c>
      <c r="C3188" t="s">
        <v>384</v>
      </c>
      <c r="D3188" t="s">
        <v>3728</v>
      </c>
      <c r="E3188" s="4">
        <v>43465</v>
      </c>
      <c r="F3188" s="11">
        <v>-66.159846180000002</v>
      </c>
      <c r="G3188" s="11">
        <v>-32.126168219999997</v>
      </c>
      <c r="H3188" s="11">
        <v>13.081254210999999</v>
      </c>
      <c r="I3188" s="11">
        <v>65.326376078699994</v>
      </c>
      <c r="J3188" s="11">
        <v>-1.9573985591</v>
      </c>
      <c r="K3188" s="10">
        <v>1.228877962419</v>
      </c>
      <c r="L3188" s="12">
        <v>6180194888</v>
      </c>
      <c r="M3188">
        <v>18.605221352509801</v>
      </c>
      <c r="N3188" s="7">
        <v>1.40408311867172</v>
      </c>
      <c r="O3188" s="7">
        <v>0.52279642615932997</v>
      </c>
      <c r="P3188" s="7">
        <v>-8.1922874379558692</v>
      </c>
      <c r="Q3188" s="7" t="s">
        <v>3698</v>
      </c>
      <c r="U3188">
        <v>-0.29125663585115841</v>
      </c>
      <c r="AT3188" s="4" t="s">
        <v>8582</v>
      </c>
    </row>
    <row r="3189" spans="1:46">
      <c r="A3189" s="2">
        <v>1529</v>
      </c>
      <c r="B3189" t="s">
        <v>8583</v>
      </c>
      <c r="C3189" t="s">
        <v>3666</v>
      </c>
      <c r="D3189" t="s">
        <v>3790</v>
      </c>
      <c r="E3189" s="4">
        <v>43465</v>
      </c>
      <c r="F3189" s="11">
        <v>-88.975864319999999</v>
      </c>
      <c r="G3189" s="11">
        <v>-32.128514060000001</v>
      </c>
      <c r="H3189" s="11">
        <v>-77.825906412799995</v>
      </c>
      <c r="I3189" s="11">
        <v>-40.761208972799999</v>
      </c>
      <c r="J3189" s="11">
        <v>-368.06827655939998</v>
      </c>
      <c r="K3189" s="10">
        <v>0.120028018184</v>
      </c>
      <c r="L3189" s="12">
        <v>2845128371.9200001</v>
      </c>
      <c r="M3189">
        <v>-0.73030008321763096</v>
      </c>
      <c r="N3189" s="7">
        <v>-2.63235530587948</v>
      </c>
      <c r="O3189" s="7">
        <v>4.2915622306427297</v>
      </c>
      <c r="P3189" s="7">
        <v>-18.550109205033198</v>
      </c>
      <c r="Q3189" s="7" t="s">
        <v>3698</v>
      </c>
      <c r="U3189">
        <v>-1.0266150572009878</v>
      </c>
      <c r="AT3189" s="4" t="s">
        <v>5635</v>
      </c>
    </row>
    <row r="3190" spans="1:46">
      <c r="A3190" s="2">
        <v>1207</v>
      </c>
      <c r="B3190" t="s">
        <v>8584</v>
      </c>
      <c r="C3190" t="s">
        <v>2598</v>
      </c>
      <c r="D3190" t="s">
        <v>3781</v>
      </c>
      <c r="E3190" s="4">
        <v>43465</v>
      </c>
      <c r="F3190" s="11">
        <v>-43.478399170000003</v>
      </c>
      <c r="G3190" s="11">
        <v>-32.142857139999997</v>
      </c>
      <c r="H3190" s="11">
        <v>30.886189492900002</v>
      </c>
      <c r="I3190" s="11">
        <v>20.848475670399999</v>
      </c>
      <c r="J3190" s="11">
        <v>2.3143092458000001</v>
      </c>
      <c r="K3190" s="10">
        <v>0.858737613866</v>
      </c>
      <c r="L3190" s="12">
        <v>3069384627.5</v>
      </c>
      <c r="M3190">
        <v>19.405756526005302</v>
      </c>
      <c r="N3190" s="7">
        <v>2.75058144683226</v>
      </c>
      <c r="O3190" s="7">
        <v>1.1867305989066099</v>
      </c>
      <c r="P3190" s="7">
        <v>-14.9770721389499</v>
      </c>
      <c r="Q3190" s="7">
        <v>0.94339622641509446</v>
      </c>
      <c r="U3190">
        <v>0.1445461062675889</v>
      </c>
      <c r="AT3190" s="4" t="s">
        <v>4517</v>
      </c>
    </row>
    <row r="3191" spans="1:46">
      <c r="A3191" s="2">
        <v>3636</v>
      </c>
      <c r="B3191" t="s">
        <v>8585</v>
      </c>
      <c r="C3191" t="s">
        <v>2317</v>
      </c>
      <c r="D3191" t="s">
        <v>3721</v>
      </c>
      <c r="E3191" s="4">
        <v>43465</v>
      </c>
      <c r="F3191" s="11">
        <v>-72.616405299999997</v>
      </c>
      <c r="G3191" s="11">
        <v>-32.228116710000002</v>
      </c>
      <c r="H3191" s="11">
        <v>1.1377423548000001</v>
      </c>
      <c r="I3191" s="11">
        <v>8.4665718447000007</v>
      </c>
      <c r="J3191" s="11">
        <v>-1.1657341729999999</v>
      </c>
      <c r="K3191" s="10">
        <v>1.4590972255920001</v>
      </c>
      <c r="L3191" s="12">
        <v>3228153495</v>
      </c>
      <c r="M3191">
        <v>14.785036048193801</v>
      </c>
      <c r="N3191" s="7">
        <v>1.61319129189503</v>
      </c>
      <c r="O3191" s="7">
        <v>0.27494332340497901</v>
      </c>
      <c r="P3191" s="7">
        <v>-24.920311365091901</v>
      </c>
      <c r="Q3191" s="7" t="s">
        <v>3698</v>
      </c>
      <c r="U3191">
        <v>-0.26142620959520241</v>
      </c>
      <c r="AT3191" s="4" t="s">
        <v>6265</v>
      </c>
    </row>
    <row r="3192" spans="1:46">
      <c r="A3192" s="2">
        <v>658</v>
      </c>
      <c r="B3192" t="s">
        <v>8586</v>
      </c>
      <c r="C3192" t="s">
        <v>3357</v>
      </c>
      <c r="D3192" t="s">
        <v>3871</v>
      </c>
      <c r="E3192" s="4">
        <v>43465</v>
      </c>
      <c r="F3192" s="11">
        <v>-83.616692430000001</v>
      </c>
      <c r="G3192" s="11">
        <v>-32.258064519999998</v>
      </c>
      <c r="H3192" s="11">
        <v>7.7745506754000004</v>
      </c>
      <c r="I3192" s="11">
        <v>25.021777812700002</v>
      </c>
      <c r="J3192" s="11">
        <v>-9.9287271194999995</v>
      </c>
      <c r="K3192" s="10">
        <v>0.138010514852</v>
      </c>
      <c r="L3192" s="12">
        <v>2966694400</v>
      </c>
      <c r="M3192">
        <v>4.0304508321819004</v>
      </c>
      <c r="N3192" s="7">
        <v>0.72759359822755698</v>
      </c>
      <c r="O3192" s="7">
        <v>3.0173385243862998</v>
      </c>
      <c r="P3192" s="7">
        <v>-30.008339805055002</v>
      </c>
      <c r="Q3192" s="7" t="s">
        <v>3698</v>
      </c>
      <c r="U3192">
        <v>-0.11620226233267168</v>
      </c>
      <c r="AT3192" s="4" t="s">
        <v>5732</v>
      </c>
    </row>
    <row r="3193" spans="1:46">
      <c r="A3193" s="2">
        <v>3330</v>
      </c>
      <c r="B3193" t="s">
        <v>8587</v>
      </c>
      <c r="C3193" t="s">
        <v>72</v>
      </c>
      <c r="D3193" t="s">
        <v>3769</v>
      </c>
      <c r="E3193" s="4">
        <v>43465</v>
      </c>
      <c r="F3193" s="11">
        <v>-25.53503268</v>
      </c>
      <c r="G3193" s="11">
        <v>-32.602739730000003</v>
      </c>
      <c r="H3193" s="11">
        <v>59.3719472282</v>
      </c>
      <c r="I3193" s="11">
        <v>40.840735851700003</v>
      </c>
      <c r="J3193" s="11">
        <v>25.744773949999999</v>
      </c>
      <c r="K3193" s="10">
        <v>0.73293058343799999</v>
      </c>
      <c r="L3193" s="12">
        <v>5003242182.3999996</v>
      </c>
      <c r="M3193">
        <v>10.915886687445999</v>
      </c>
      <c r="N3193" s="7">
        <v>3.70191944627638</v>
      </c>
      <c r="O3193" s="7">
        <v>2.80302951303113</v>
      </c>
      <c r="P3193" s="7">
        <v>45.4408283516564</v>
      </c>
      <c r="Q3193" s="7">
        <v>2.1399864293543502</v>
      </c>
      <c r="T3193" s="2"/>
      <c r="U3193">
        <v>4.1868319396567166</v>
      </c>
      <c r="AT3193" s="4" t="s">
        <v>8588</v>
      </c>
    </row>
    <row r="3194" spans="1:46">
      <c r="A3194" s="2">
        <v>2695</v>
      </c>
      <c r="B3194" t="s">
        <v>8589</v>
      </c>
      <c r="C3194" t="s">
        <v>920</v>
      </c>
      <c r="D3194" t="s">
        <v>3871</v>
      </c>
      <c r="E3194" s="4">
        <v>43465</v>
      </c>
      <c r="F3194" s="11">
        <v>-61.638248220000001</v>
      </c>
      <c r="G3194" s="11">
        <v>-32.627865960000001</v>
      </c>
      <c r="H3194" s="11">
        <v>54.304766352000001</v>
      </c>
      <c r="I3194" s="11">
        <v>56.967951022299999</v>
      </c>
      <c r="J3194" s="11">
        <v>24.583974535900001</v>
      </c>
      <c r="K3194" s="10">
        <v>0.246833161005</v>
      </c>
      <c r="L3194" s="12">
        <v>2617920000</v>
      </c>
      <c r="M3194">
        <v>11.1973294329384</v>
      </c>
      <c r="N3194" s="7">
        <v>1.3517193008942701</v>
      </c>
      <c r="O3194" s="7">
        <v>1.41142257775365</v>
      </c>
      <c r="P3194" s="7">
        <v>6.4400646145942204</v>
      </c>
      <c r="Q3194" s="7">
        <v>3.4093330510409379</v>
      </c>
      <c r="U3194">
        <v>0.76409379839300784</v>
      </c>
      <c r="AT3194" s="4" t="s">
        <v>8590</v>
      </c>
    </row>
    <row r="3195" spans="1:46">
      <c r="A3195" s="2">
        <v>1878</v>
      </c>
      <c r="B3195" t="s">
        <v>8591</v>
      </c>
      <c r="C3195" t="s">
        <v>2104</v>
      </c>
      <c r="D3195" t="s">
        <v>3737</v>
      </c>
      <c r="E3195" s="4">
        <v>43465</v>
      </c>
      <c r="F3195" s="11">
        <v>-25.972127059999998</v>
      </c>
      <c r="G3195" s="11">
        <v>-32.667876589999999</v>
      </c>
      <c r="H3195" s="11">
        <v>31.552206163200001</v>
      </c>
      <c r="I3195" s="11">
        <v>29.959041406000001</v>
      </c>
      <c r="J3195" s="11">
        <v>7.6990506255</v>
      </c>
      <c r="K3195" s="10">
        <v>0.70936484209999995</v>
      </c>
      <c r="L3195" s="12">
        <v>4404123911.8800001</v>
      </c>
      <c r="M3195">
        <v>53.581225968443903</v>
      </c>
      <c r="N3195" s="7">
        <v>2.9694469962514001</v>
      </c>
      <c r="O3195" s="7">
        <v>3.6917751246681498</v>
      </c>
      <c r="P3195" s="7">
        <v>-106.450906618122</v>
      </c>
      <c r="Q3195" s="7">
        <v>0.86103447190509597</v>
      </c>
      <c r="U3195">
        <v>0.25194054440804581</v>
      </c>
      <c r="AT3195" s="4" t="s">
        <v>4038</v>
      </c>
    </row>
    <row r="3196" spans="1:46">
      <c r="A3196" s="2">
        <v>1874</v>
      </c>
      <c r="B3196" t="s">
        <v>8592</v>
      </c>
      <c r="C3196" t="s">
        <v>3406</v>
      </c>
      <c r="D3196" t="s">
        <v>3713</v>
      </c>
      <c r="E3196" s="4">
        <v>43465</v>
      </c>
      <c r="F3196" s="11">
        <v>-5.1594249200000002</v>
      </c>
      <c r="G3196" s="11">
        <v>-32.749675750000002</v>
      </c>
      <c r="H3196" s="11">
        <v>-23.817060108300002</v>
      </c>
      <c r="I3196" s="11">
        <v>39.967211643699997</v>
      </c>
      <c r="J3196" s="11">
        <v>2.0883512217</v>
      </c>
      <c r="K3196" s="10">
        <v>0.258781737116</v>
      </c>
      <c r="L3196" s="12">
        <v>5985000000</v>
      </c>
      <c r="M3196">
        <v>33.999116011343197</v>
      </c>
      <c r="N3196" s="7">
        <v>4.3536239699888899</v>
      </c>
      <c r="O3196" s="7">
        <v>4.1216563188653002</v>
      </c>
      <c r="P3196" s="7">
        <v>27.991459795727501</v>
      </c>
      <c r="Q3196" s="7">
        <v>0.35966029265146771</v>
      </c>
      <c r="U3196">
        <v>6.4914264894622792E-2</v>
      </c>
      <c r="AT3196" s="4" t="s">
        <v>5265</v>
      </c>
    </row>
    <row r="3197" spans="1:46">
      <c r="A3197" s="2">
        <v>719</v>
      </c>
      <c r="B3197" t="s">
        <v>8593</v>
      </c>
      <c r="C3197" t="s">
        <v>2980</v>
      </c>
      <c r="D3197" t="s">
        <v>3871</v>
      </c>
      <c r="E3197" s="4">
        <v>43465</v>
      </c>
      <c r="F3197" s="11">
        <v>18.60447821</v>
      </c>
      <c r="G3197" s="11">
        <v>-32.89473684</v>
      </c>
      <c r="H3197" s="11">
        <v>-28.360211848199999</v>
      </c>
      <c r="I3197" s="11">
        <v>46.354126516599997</v>
      </c>
      <c r="J3197" s="11">
        <v>14.9201786028</v>
      </c>
      <c r="K3197" s="10">
        <v>0.16171918824199999</v>
      </c>
      <c r="L3197" s="12">
        <v>3740464000</v>
      </c>
      <c r="M3197">
        <v>10.923748001036399</v>
      </c>
      <c r="N3197" s="7">
        <v>1.6990654156749601</v>
      </c>
      <c r="O3197" s="7">
        <v>1.0832444831644901</v>
      </c>
      <c r="P3197" s="7">
        <v>12.909134754532401</v>
      </c>
      <c r="Q3197" s="7">
        <v>0.96006144393241177</v>
      </c>
      <c r="U3197">
        <v>0.77335098181818185</v>
      </c>
      <c r="AT3197" s="4" t="s">
        <v>5407</v>
      </c>
    </row>
    <row r="3198" spans="1:46">
      <c r="A3198" s="2">
        <v>2137</v>
      </c>
      <c r="B3198" t="s">
        <v>8594</v>
      </c>
      <c r="C3198" t="s">
        <v>1878</v>
      </c>
      <c r="D3198" t="s">
        <v>4046</v>
      </c>
      <c r="E3198" s="4">
        <v>43465</v>
      </c>
      <c r="F3198" s="11">
        <v>-11.51442836</v>
      </c>
      <c r="G3198" s="11">
        <v>-33.041504539999998</v>
      </c>
      <c r="H3198" s="11">
        <v>6.7707988223999998</v>
      </c>
      <c r="I3198" s="11">
        <v>46.864575566900001</v>
      </c>
      <c r="J3198" s="11">
        <v>34.769704953800002</v>
      </c>
      <c r="K3198" s="10">
        <v>0.39418080652199999</v>
      </c>
      <c r="L3198" s="12">
        <v>13481019260.08</v>
      </c>
      <c r="M3198">
        <v>65.991715427006895</v>
      </c>
      <c r="N3198" s="7">
        <v>5.6973876666515801</v>
      </c>
      <c r="O3198" s="7">
        <v>11.7388487109158</v>
      </c>
      <c r="P3198" s="7">
        <v>114.353698905176</v>
      </c>
      <c r="Q3198" s="7">
        <v>1.240694789081886</v>
      </c>
      <c r="U3198">
        <v>0.92535432662499995</v>
      </c>
      <c r="AT3198" s="4" t="s">
        <v>4866</v>
      </c>
    </row>
    <row r="3199" spans="1:46">
      <c r="A3199" s="2">
        <v>1334</v>
      </c>
      <c r="B3199" t="s">
        <v>8595</v>
      </c>
      <c r="C3199" t="s">
        <v>930</v>
      </c>
      <c r="D3199" t="s">
        <v>4060</v>
      </c>
      <c r="E3199" s="4">
        <v>43465</v>
      </c>
      <c r="F3199" s="11">
        <v>6.7685355899999999</v>
      </c>
      <c r="G3199" s="11">
        <v>-33.07538692</v>
      </c>
      <c r="H3199" s="11">
        <v>23.4681052577</v>
      </c>
      <c r="I3199" s="11">
        <v>28.499882979799999</v>
      </c>
      <c r="J3199" s="11">
        <v>11.4084340448</v>
      </c>
      <c r="K3199" s="10">
        <v>0.85554338429599996</v>
      </c>
      <c r="L3199" s="12">
        <v>3031844600</v>
      </c>
      <c r="M3199">
        <v>21.055301904505399</v>
      </c>
      <c r="N3199" s="7">
        <v>2.9433813855434399</v>
      </c>
      <c r="O3199" s="7">
        <v>2.0340037810411302</v>
      </c>
      <c r="P3199" s="7">
        <v>53.350122359588397</v>
      </c>
      <c r="Q3199" s="7">
        <v>1.1392018200572587</v>
      </c>
      <c r="U3199">
        <v>2.3638868463788403</v>
      </c>
      <c r="AT3199" s="4" t="s">
        <v>8361</v>
      </c>
    </row>
    <row r="3200" spans="1:46">
      <c r="A3200" s="2">
        <v>1514</v>
      </c>
      <c r="B3200" t="s">
        <v>8596</v>
      </c>
      <c r="C3200" t="s">
        <v>2750</v>
      </c>
      <c r="D3200" t="s">
        <v>3889</v>
      </c>
      <c r="E3200" s="4">
        <v>43465</v>
      </c>
      <c r="F3200" s="11">
        <v>-66.153846150000007</v>
      </c>
      <c r="G3200" s="11">
        <v>-33.145009420000001</v>
      </c>
      <c r="H3200" s="11">
        <v>117.31124471939999</v>
      </c>
      <c r="I3200" s="11">
        <v>51.2426920272</v>
      </c>
      <c r="J3200" s="11">
        <v>18.614925173300001</v>
      </c>
      <c r="K3200" s="10">
        <v>0.32864605417300002</v>
      </c>
      <c r="L3200" s="12">
        <v>5076447589.1199999</v>
      </c>
      <c r="M3200">
        <v>16.1813179897275</v>
      </c>
      <c r="N3200" s="7">
        <v>3.33639657210295</v>
      </c>
      <c r="O3200" s="7">
        <v>2.7225288786186899</v>
      </c>
      <c r="P3200" s="7">
        <v>7.8464083351214002</v>
      </c>
      <c r="Q3200" s="7" t="s">
        <v>3698</v>
      </c>
      <c r="U3200">
        <v>0.42583603277508542</v>
      </c>
      <c r="AT3200" s="4" t="s">
        <v>5713</v>
      </c>
    </row>
    <row r="3201" spans="1:46">
      <c r="A3201" s="2">
        <v>3335</v>
      </c>
      <c r="B3201" t="s">
        <v>8597</v>
      </c>
      <c r="C3201" t="s">
        <v>911</v>
      </c>
      <c r="D3201" t="s">
        <v>3718</v>
      </c>
      <c r="E3201" s="4">
        <v>43465</v>
      </c>
      <c r="F3201" s="11">
        <v>-41.082387259999997</v>
      </c>
      <c r="G3201" s="11">
        <v>-33.243243239999998</v>
      </c>
      <c r="H3201" s="11">
        <v>29.406538250899999</v>
      </c>
      <c r="I3201" s="11">
        <v>16.050494981300002</v>
      </c>
      <c r="J3201" s="11">
        <v>8.4186613300000008</v>
      </c>
      <c r="K3201" s="10">
        <v>0.81034824484099999</v>
      </c>
      <c r="L3201" s="12">
        <v>2579070006</v>
      </c>
      <c r="M3201">
        <v>18.920425858459701</v>
      </c>
      <c r="N3201" s="7">
        <v>2.0162920681632301</v>
      </c>
      <c r="O3201" s="7">
        <v>1.32456191048467</v>
      </c>
      <c r="P3201" s="7">
        <v>20.614521772186801</v>
      </c>
      <c r="Q3201" s="7">
        <v>0.9273348899703252</v>
      </c>
      <c r="U3201">
        <v>0.9873116055769231</v>
      </c>
      <c r="AT3201" s="4" t="s">
        <v>7498</v>
      </c>
    </row>
    <row r="3202" spans="1:46">
      <c r="A3202" s="2">
        <v>201</v>
      </c>
      <c r="B3202" t="s">
        <v>8598</v>
      </c>
      <c r="C3202" t="s">
        <v>1281</v>
      </c>
      <c r="D3202" t="s">
        <v>3737</v>
      </c>
      <c r="E3202" s="4">
        <v>43465</v>
      </c>
      <c r="F3202" s="11">
        <v>-5.4423897999999999</v>
      </c>
      <c r="G3202" s="11">
        <v>-33.267716540000002</v>
      </c>
      <c r="H3202" s="11">
        <v>31.537928290699998</v>
      </c>
      <c r="I3202" s="11">
        <v>41.376030005700002</v>
      </c>
      <c r="J3202" s="11">
        <v>2.6969473106000001</v>
      </c>
      <c r="K3202" s="10">
        <v>0.66929249952400005</v>
      </c>
      <c r="L3202" s="12">
        <v>22946753587.68</v>
      </c>
      <c r="M3202">
        <v>32.020497220007201</v>
      </c>
      <c r="N3202" s="7">
        <v>1.67999920290661</v>
      </c>
      <c r="O3202" s="7">
        <v>0.81481211747030002</v>
      </c>
      <c r="P3202" s="7">
        <v>-14.2521055084809</v>
      </c>
      <c r="Q3202" s="7" t="s">
        <v>3698</v>
      </c>
      <c r="U3202">
        <v>0.34270451073399738</v>
      </c>
      <c r="AT3202" s="4" t="s">
        <v>8599</v>
      </c>
    </row>
    <row r="3203" spans="1:46">
      <c r="A3203" s="2">
        <v>1125</v>
      </c>
      <c r="B3203" t="s">
        <v>8600</v>
      </c>
      <c r="C3203" t="s">
        <v>2254</v>
      </c>
      <c r="D3203" t="s">
        <v>3977</v>
      </c>
      <c r="E3203" s="4">
        <v>43465</v>
      </c>
      <c r="F3203" s="11">
        <v>-44.760313259999997</v>
      </c>
      <c r="G3203" s="11">
        <v>-33.291536049999998</v>
      </c>
      <c r="H3203" s="11">
        <v>26.8577888465</v>
      </c>
      <c r="I3203" s="11">
        <v>36.2549717781</v>
      </c>
      <c r="J3203" s="11">
        <v>8.1293330200000007</v>
      </c>
      <c r="K3203" s="10">
        <v>1.0078752414509999</v>
      </c>
      <c r="L3203" s="12">
        <v>3501835327.3499999</v>
      </c>
      <c r="M3203">
        <v>27.972916684614901</v>
      </c>
      <c r="N3203" s="7">
        <v>2.9272098843601602</v>
      </c>
      <c r="O3203" s="7">
        <v>1.72811311519865</v>
      </c>
      <c r="P3203" s="7">
        <v>49.340562469020099</v>
      </c>
      <c r="Q3203" s="7">
        <v>0.99826978861214488</v>
      </c>
      <c r="U3203">
        <v>0.78190932742404773</v>
      </c>
      <c r="AT3203" s="4" t="s">
        <v>6346</v>
      </c>
    </row>
    <row r="3204" spans="1:46">
      <c r="A3204" s="2">
        <v>3059</v>
      </c>
      <c r="B3204" t="s">
        <v>8601</v>
      </c>
      <c r="C3204" t="s">
        <v>355</v>
      </c>
      <c r="D3204" t="s">
        <v>3849</v>
      </c>
      <c r="E3204" s="4">
        <v>43465</v>
      </c>
      <c r="F3204" s="11">
        <v>-42.137010850000003</v>
      </c>
      <c r="G3204" s="11">
        <v>-33.488914819999998</v>
      </c>
      <c r="H3204" s="11">
        <v>-7.7231574672000001</v>
      </c>
      <c r="I3204" s="11">
        <v>23.863828321700002</v>
      </c>
      <c r="J3204" s="11">
        <v>2.5091041119000002</v>
      </c>
      <c r="K3204" s="10">
        <v>0.80511939840699998</v>
      </c>
      <c r="L3204" s="12">
        <v>2999230848</v>
      </c>
      <c r="M3204">
        <v>358.25916213977001</v>
      </c>
      <c r="N3204" s="7">
        <v>3.3720103001973598</v>
      </c>
      <c r="O3204" s="7">
        <v>0.74298833553423405</v>
      </c>
      <c r="P3204" s="7">
        <v>44.4031762873567</v>
      </c>
      <c r="Q3204" s="7">
        <v>0.63441701200057898</v>
      </c>
      <c r="U3204">
        <v>0.1124915644419556</v>
      </c>
      <c r="AT3204" s="4" t="s">
        <v>8602</v>
      </c>
    </row>
    <row r="3205" spans="1:46">
      <c r="A3205" s="2">
        <v>3480</v>
      </c>
      <c r="B3205" t="s">
        <v>8603</v>
      </c>
      <c r="C3205" t="s">
        <v>909</v>
      </c>
      <c r="D3205" t="s">
        <v>3713</v>
      </c>
      <c r="E3205" s="4">
        <v>43465</v>
      </c>
      <c r="F3205" s="11">
        <v>-37.167239260000002</v>
      </c>
      <c r="G3205" s="11">
        <v>-33.773245350000003</v>
      </c>
      <c r="H3205" s="11">
        <v>34.413794136299998</v>
      </c>
      <c r="I3205" s="11">
        <v>60.383476716899999</v>
      </c>
      <c r="J3205" s="11">
        <v>13.098225794499999</v>
      </c>
      <c r="K3205" s="10">
        <v>1.0834115481540001</v>
      </c>
      <c r="L3205" s="12">
        <v>3792519251.0999999</v>
      </c>
      <c r="M3205">
        <v>19.990802262453599</v>
      </c>
      <c r="N3205" s="7">
        <v>3.4875730198110699</v>
      </c>
      <c r="O3205" s="7">
        <v>2.6338616906267398</v>
      </c>
      <c r="P3205" s="7">
        <v>44.158189867223797</v>
      </c>
      <c r="Q3205" s="7">
        <v>0.7223429453109681</v>
      </c>
      <c r="U3205">
        <v>0.89408530863926683</v>
      </c>
      <c r="AT3205" s="4" t="s">
        <v>5134</v>
      </c>
    </row>
    <row r="3206" spans="1:46">
      <c r="A3206" s="2">
        <v>938</v>
      </c>
      <c r="B3206" t="s">
        <v>8604</v>
      </c>
      <c r="C3206" t="s">
        <v>2313</v>
      </c>
      <c r="D3206" t="s">
        <v>3752</v>
      </c>
      <c r="E3206" s="4">
        <v>43465</v>
      </c>
      <c r="F3206" s="11">
        <v>-72.676123110000006</v>
      </c>
      <c r="G3206" s="11">
        <v>-33.847283410000003</v>
      </c>
      <c r="H3206" s="11">
        <v>-24.072060318399998</v>
      </c>
      <c r="I3206" s="11">
        <v>21.5337418497</v>
      </c>
      <c r="J3206" s="11">
        <v>-27.047091605199999</v>
      </c>
      <c r="K3206" s="10">
        <v>0.54297836205299999</v>
      </c>
      <c r="L3206" s="12">
        <v>1890879984</v>
      </c>
      <c r="M3206">
        <v>57.623088997627697</v>
      </c>
      <c r="N3206" s="7">
        <v>16.932238964417898</v>
      </c>
      <c r="O3206" s="7">
        <v>1.2625883370876201</v>
      </c>
      <c r="P3206" s="7">
        <v>-3.0492937091547399</v>
      </c>
      <c r="Q3206" s="7" t="s">
        <v>3698</v>
      </c>
      <c r="U3206">
        <v>-2.6294886671651096</v>
      </c>
      <c r="AT3206" s="4" t="s">
        <v>4230</v>
      </c>
    </row>
    <row r="3207" spans="1:46">
      <c r="A3207" s="2">
        <v>248</v>
      </c>
      <c r="B3207" t="s">
        <v>8605</v>
      </c>
      <c r="C3207" t="s">
        <v>3485</v>
      </c>
      <c r="D3207" t="s">
        <v>4060</v>
      </c>
      <c r="E3207" s="4">
        <v>43465</v>
      </c>
      <c r="F3207" s="11">
        <v>-41.880341880000003</v>
      </c>
      <c r="G3207" s="11">
        <v>-33.902439020000003</v>
      </c>
      <c r="H3207" s="11">
        <v>0.238534354</v>
      </c>
      <c r="I3207" s="11">
        <v>19.756235455799999</v>
      </c>
      <c r="J3207" s="11">
        <v>1.2491697823000001</v>
      </c>
      <c r="K3207" s="10">
        <v>0.63105398782300004</v>
      </c>
      <c r="L3207" s="12">
        <v>1468800000</v>
      </c>
      <c r="M3207">
        <v>-253.00953427274999</v>
      </c>
      <c r="N3207" s="7">
        <v>7.7248959155713903</v>
      </c>
      <c r="O3207" s="7">
        <v>3.2010169390665499</v>
      </c>
      <c r="P3207" s="7">
        <v>-326.63134130015601</v>
      </c>
      <c r="Q3207" s="7" t="s">
        <v>3698</v>
      </c>
      <c r="U3207">
        <v>1.7419979949949854E-2</v>
      </c>
      <c r="AT3207" s="4" t="s">
        <v>5922</v>
      </c>
    </row>
    <row r="3208" spans="1:46">
      <c r="A3208" s="2">
        <v>3319</v>
      </c>
      <c r="B3208" t="s">
        <v>8606</v>
      </c>
      <c r="C3208" t="s">
        <v>501</v>
      </c>
      <c r="D3208" t="s">
        <v>3752</v>
      </c>
      <c r="E3208" s="4">
        <v>43465</v>
      </c>
      <c r="F3208" s="11">
        <v>-31.301293309999998</v>
      </c>
      <c r="G3208" s="11">
        <v>-34.08</v>
      </c>
      <c r="H3208" s="11">
        <v>42.221712992</v>
      </c>
      <c r="I3208" s="11">
        <v>9.0800916637999993</v>
      </c>
      <c r="J3208" s="11">
        <v>4.3573418977999996</v>
      </c>
      <c r="K3208" s="10">
        <v>2.3145767243340001</v>
      </c>
      <c r="L3208" s="12">
        <v>12077954996.639999</v>
      </c>
      <c r="M3208">
        <v>8.1160346131424106</v>
      </c>
      <c r="N3208" s="7">
        <v>2.0182223766802001</v>
      </c>
      <c r="O3208" s="7">
        <v>0.53249409686103399</v>
      </c>
      <c r="P3208" s="7">
        <v>9.8921182423469602</v>
      </c>
      <c r="Q3208" s="7">
        <v>1.09514837862919</v>
      </c>
      <c r="U3208">
        <v>1.6884590550179515</v>
      </c>
      <c r="AT3208" s="4" t="s">
        <v>7465</v>
      </c>
    </row>
    <row r="3209" spans="1:46">
      <c r="A3209" s="2">
        <v>2092</v>
      </c>
      <c r="B3209" t="s">
        <v>8607</v>
      </c>
      <c r="C3209" t="s">
        <v>624</v>
      </c>
      <c r="D3209" t="s">
        <v>3781</v>
      </c>
      <c r="E3209" s="4">
        <v>43465</v>
      </c>
      <c r="F3209" s="11">
        <v>15.50570078</v>
      </c>
      <c r="G3209" s="11">
        <v>-34.113475180000002</v>
      </c>
      <c r="H3209" s="11">
        <v>37.551358200800003</v>
      </c>
      <c r="I3209" s="11">
        <v>34.761424729300003</v>
      </c>
      <c r="J3209" s="11">
        <v>16.269813981599999</v>
      </c>
      <c r="K3209" s="10">
        <v>0.80288354352699998</v>
      </c>
      <c r="L3209" s="12">
        <v>2417286400</v>
      </c>
      <c r="M3209">
        <v>38.451605249265398</v>
      </c>
      <c r="N3209" s="7">
        <v>5.8560747408006701</v>
      </c>
      <c r="O3209" s="7">
        <v>6.3015547912461098</v>
      </c>
      <c r="P3209" s="7">
        <v>-5827.0681256501903</v>
      </c>
      <c r="Q3209" s="7">
        <v>1.7345368641222132</v>
      </c>
      <c r="U3209">
        <v>1.1504326585765825</v>
      </c>
      <c r="AT3209" s="4" t="s">
        <v>8317</v>
      </c>
    </row>
    <row r="3210" spans="1:46">
      <c r="A3210" s="2">
        <v>3586</v>
      </c>
      <c r="B3210" t="s">
        <v>8608</v>
      </c>
      <c r="C3210" t="s">
        <v>1691</v>
      </c>
      <c r="D3210" t="s">
        <v>3728</v>
      </c>
      <c r="E3210" s="4">
        <v>43465</v>
      </c>
      <c r="F3210" s="11">
        <v>-45.655833479999998</v>
      </c>
      <c r="G3210" s="11">
        <v>-34.33179724</v>
      </c>
      <c r="H3210" s="11">
        <v>10.992801700799999</v>
      </c>
      <c r="I3210" s="11">
        <v>18.159564137099999</v>
      </c>
      <c r="J3210" s="11">
        <v>7.8170136529000001</v>
      </c>
      <c r="K3210" s="10">
        <v>0.89638854332100004</v>
      </c>
      <c r="L3210" s="12">
        <v>13892802660.9</v>
      </c>
      <c r="M3210">
        <v>15.6369448203098</v>
      </c>
      <c r="N3210" s="7">
        <v>1.4576680453120101</v>
      </c>
      <c r="O3210" s="7">
        <v>1.37489498462788</v>
      </c>
      <c r="P3210" s="7">
        <v>-8.9015544253286905</v>
      </c>
      <c r="Q3210" s="7">
        <v>4.0771948931026252</v>
      </c>
      <c r="U3210">
        <v>0.50641415130112133</v>
      </c>
      <c r="AT3210" s="4" t="s">
        <v>6870</v>
      </c>
    </row>
    <row r="3211" spans="1:46">
      <c r="A3211" s="2">
        <v>3242</v>
      </c>
      <c r="B3211" t="s">
        <v>8609</v>
      </c>
      <c r="C3211" t="s">
        <v>663</v>
      </c>
      <c r="D3211" t="s">
        <v>3752</v>
      </c>
      <c r="E3211" s="4">
        <v>43465</v>
      </c>
      <c r="F3211" s="11">
        <v>-40.917580559999998</v>
      </c>
      <c r="G3211" s="11">
        <v>-34.499054819999998</v>
      </c>
      <c r="H3211" s="11">
        <v>9.0085134674000003</v>
      </c>
      <c r="I3211" s="11">
        <v>25.211849390099999</v>
      </c>
      <c r="J3211" s="11">
        <v>11.5859217634</v>
      </c>
      <c r="K3211" s="10">
        <v>0.77924094818300005</v>
      </c>
      <c r="L3211" s="12">
        <v>4889809270.3500004</v>
      </c>
      <c r="M3211">
        <v>14.0701375972902</v>
      </c>
      <c r="N3211" s="7">
        <v>2.3178567058031998</v>
      </c>
      <c r="O3211" s="7">
        <v>1.94975325168111</v>
      </c>
      <c r="P3211" s="7">
        <v>-19.970080567827999</v>
      </c>
      <c r="Q3211" s="7">
        <v>2.2568210991821704</v>
      </c>
      <c r="U3211">
        <v>0.62929847403214023</v>
      </c>
      <c r="AT3211" s="4" t="s">
        <v>7749</v>
      </c>
    </row>
    <row r="3212" spans="1:46">
      <c r="A3212" s="2">
        <v>1800</v>
      </c>
      <c r="B3212" t="s">
        <v>8610</v>
      </c>
      <c r="C3212" t="s">
        <v>1695</v>
      </c>
      <c r="D3212" t="s">
        <v>3849</v>
      </c>
      <c r="E3212" s="4">
        <v>43465</v>
      </c>
      <c r="F3212" s="11">
        <v>-43.242632729999997</v>
      </c>
      <c r="G3212" s="11">
        <v>-34.565619220000002</v>
      </c>
      <c r="H3212" s="11">
        <v>27.602017221000001</v>
      </c>
      <c r="I3212" s="11">
        <v>21.673488302399999</v>
      </c>
      <c r="J3212" s="11">
        <v>8.7197632593000005</v>
      </c>
      <c r="K3212" s="10">
        <v>0.63172080733400005</v>
      </c>
      <c r="L3212" s="12">
        <v>1706986658.46</v>
      </c>
      <c r="M3212">
        <v>24.435824045435101</v>
      </c>
      <c r="N3212" s="7">
        <v>1.6824632985105299</v>
      </c>
      <c r="O3212" s="7">
        <v>1.57247755794459</v>
      </c>
      <c r="P3212" s="7">
        <v>-29.143344919251</v>
      </c>
      <c r="Q3212" s="7">
        <v>0.94809958621979751</v>
      </c>
      <c r="U3212">
        <v>0.32889971736099666</v>
      </c>
      <c r="AT3212" s="4" t="s">
        <v>4721</v>
      </c>
    </row>
    <row r="3213" spans="1:46">
      <c r="A3213" s="2">
        <v>1707</v>
      </c>
      <c r="B3213" t="s">
        <v>8611</v>
      </c>
      <c r="C3213" t="s">
        <v>2481</v>
      </c>
      <c r="D3213" t="s">
        <v>3889</v>
      </c>
      <c r="E3213" s="4">
        <v>43465</v>
      </c>
      <c r="F3213" s="11">
        <v>-36.517529099999997</v>
      </c>
      <c r="G3213" s="11">
        <v>-34.583333330000002</v>
      </c>
      <c r="H3213" s="11">
        <v>-38.983739479599997</v>
      </c>
      <c r="I3213" s="11">
        <v>30.6108495613</v>
      </c>
      <c r="J3213" s="11">
        <v>14.7681184534</v>
      </c>
      <c r="K3213" s="10">
        <v>0.28724944166499999</v>
      </c>
      <c r="L3213" s="12">
        <v>3569977987.6799998</v>
      </c>
      <c r="M3213">
        <v>39.351561166559499</v>
      </c>
      <c r="N3213" s="7">
        <v>1.67105073100946</v>
      </c>
      <c r="O3213" s="7">
        <v>6.11152227674157</v>
      </c>
      <c r="P3213" s="7">
        <v>9.9312142460452097</v>
      </c>
      <c r="Q3213" s="7">
        <v>0.207569238674117</v>
      </c>
      <c r="U3213">
        <v>0.45605903192871861</v>
      </c>
      <c r="AT3213" s="4" t="s">
        <v>5185</v>
      </c>
    </row>
    <row r="3214" spans="1:46">
      <c r="A3214" s="2">
        <v>1996</v>
      </c>
      <c r="B3214" t="s">
        <v>8612</v>
      </c>
      <c r="C3214" t="s">
        <v>693</v>
      </c>
      <c r="D3214" t="s">
        <v>3752</v>
      </c>
      <c r="E3214" s="4">
        <v>43465</v>
      </c>
      <c r="F3214" s="11">
        <v>28.359431220000001</v>
      </c>
      <c r="G3214" s="11">
        <v>-34.813084109999998</v>
      </c>
      <c r="H3214" s="11">
        <v>27.395628821599999</v>
      </c>
      <c r="I3214" s="11">
        <v>24.054969379199999</v>
      </c>
      <c r="J3214" s="11">
        <v>12.6774315069</v>
      </c>
      <c r="K3214" s="10">
        <v>0.83334371133999996</v>
      </c>
      <c r="L3214" s="12">
        <v>3108077293.4400001</v>
      </c>
      <c r="M3214">
        <v>18.856799410202601</v>
      </c>
      <c r="N3214" s="7">
        <v>2.6250591892354902</v>
      </c>
      <c r="O3214" s="7">
        <v>2.00316878393348</v>
      </c>
      <c r="P3214" s="7">
        <v>-91.228574999833498</v>
      </c>
      <c r="Q3214" s="7">
        <v>1.4964459408903852</v>
      </c>
      <c r="U3214">
        <v>2.851513820722563</v>
      </c>
      <c r="AT3214" s="4" t="s">
        <v>4020</v>
      </c>
    </row>
    <row r="3215" spans="1:46">
      <c r="A3215" s="2">
        <v>1913</v>
      </c>
      <c r="B3215" t="s">
        <v>8613</v>
      </c>
      <c r="C3215" t="s">
        <v>1058</v>
      </c>
      <c r="D3215" t="s">
        <v>3718</v>
      </c>
      <c r="E3215" s="4">
        <v>43465</v>
      </c>
      <c r="F3215" s="11">
        <v>-15.289651210000001</v>
      </c>
      <c r="G3215" s="11">
        <v>-34.863876470000001</v>
      </c>
      <c r="H3215" s="11">
        <v>11.866114942499999</v>
      </c>
      <c r="I3215" s="11">
        <v>54.794220035400002</v>
      </c>
      <c r="J3215" s="11">
        <v>19.158800336599999</v>
      </c>
      <c r="K3215" s="10">
        <v>0.33533784821599999</v>
      </c>
      <c r="L3215" s="12">
        <v>5553495495.7200003</v>
      </c>
      <c r="M3215">
        <v>28.0257987649337</v>
      </c>
      <c r="N3215" s="7">
        <v>2.9726835104315801</v>
      </c>
      <c r="O3215" s="7">
        <v>7.3481966283571998</v>
      </c>
      <c r="P3215" s="7">
        <v>-264.55283953135302</v>
      </c>
      <c r="Q3215" s="7">
        <v>1.1697576631026305</v>
      </c>
      <c r="U3215">
        <v>0.66005483673875054</v>
      </c>
      <c r="AT3215" s="4" t="s">
        <v>4321</v>
      </c>
    </row>
    <row r="3216" spans="1:46">
      <c r="A3216" s="2">
        <v>1132</v>
      </c>
      <c r="B3216" t="s">
        <v>8614</v>
      </c>
      <c r="C3216" t="s">
        <v>2991</v>
      </c>
      <c r="D3216" t="s">
        <v>3889</v>
      </c>
      <c r="E3216" s="4">
        <v>43465</v>
      </c>
      <c r="F3216" s="11">
        <v>19.549794729999999</v>
      </c>
      <c r="G3216" s="11">
        <v>-34.88783943</v>
      </c>
      <c r="H3216" s="11">
        <v>49.775965645500001</v>
      </c>
      <c r="I3216" s="11">
        <v>52.583984321800003</v>
      </c>
      <c r="J3216" s="11">
        <v>14.7097861388</v>
      </c>
      <c r="K3216" s="10">
        <v>9.6881899620999995E-2</v>
      </c>
      <c r="L3216" s="12">
        <v>16822374699.059999</v>
      </c>
      <c r="M3216">
        <v>-395.47163226939102</v>
      </c>
      <c r="N3216" s="7">
        <v>-6.6687752823055497</v>
      </c>
      <c r="O3216" s="7">
        <v>28.430467663561501</v>
      </c>
      <c r="P3216" s="7">
        <v>67.103316892620995</v>
      </c>
      <c r="Q3216" s="7">
        <v>0.1020406581702836</v>
      </c>
      <c r="U3216">
        <v>9.0770993972870723E-2</v>
      </c>
      <c r="AT3216" s="4" t="s">
        <v>6985</v>
      </c>
    </row>
    <row r="3217" spans="1:46">
      <c r="A3217" s="2">
        <v>2364</v>
      </c>
      <c r="B3217" t="s">
        <v>8615</v>
      </c>
      <c r="C3217" t="s">
        <v>61</v>
      </c>
      <c r="D3217" t="s">
        <v>3752</v>
      </c>
      <c r="E3217" s="4">
        <v>43465</v>
      </c>
      <c r="F3217" s="11">
        <v>-65.083871079999994</v>
      </c>
      <c r="G3217" s="11">
        <v>-35.199941430000003</v>
      </c>
      <c r="H3217" s="11">
        <v>0.32899456129999999</v>
      </c>
      <c r="I3217" s="11">
        <v>46.437344377300001</v>
      </c>
      <c r="J3217" s="11">
        <v>24.198316054900001</v>
      </c>
      <c r="K3217" s="10">
        <v>0.98944475770100004</v>
      </c>
      <c r="L3217" s="12">
        <v>3960000000</v>
      </c>
      <c r="M3217">
        <v>4.9243193606963596</v>
      </c>
      <c r="N3217" s="7">
        <v>1.8538590157574799</v>
      </c>
      <c r="O3217" s="7">
        <v>1.37469298532763</v>
      </c>
      <c r="P3217" s="7">
        <v>9.2977773553614007</v>
      </c>
      <c r="Q3217" s="7">
        <v>2.1551724137931036</v>
      </c>
      <c r="U3217">
        <v>2.4060130446324424</v>
      </c>
      <c r="AT3217" s="4" t="s">
        <v>8314</v>
      </c>
    </row>
    <row r="3218" spans="1:46">
      <c r="A3218" s="2">
        <v>1628</v>
      </c>
      <c r="B3218" t="s">
        <v>8616</v>
      </c>
      <c r="C3218" t="s">
        <v>2106</v>
      </c>
      <c r="D3218" t="s">
        <v>3718</v>
      </c>
      <c r="E3218" s="4">
        <v>43465</v>
      </c>
      <c r="F3218" s="11">
        <v>-51.587914040000001</v>
      </c>
      <c r="G3218" s="11">
        <v>-35.204678360000003</v>
      </c>
      <c r="H3218" s="11">
        <v>36.633069467299997</v>
      </c>
      <c r="I3218" s="11">
        <v>48.1273287299</v>
      </c>
      <c r="J3218" s="11">
        <v>17.4696114403</v>
      </c>
      <c r="K3218" s="10">
        <v>0.53625586302299999</v>
      </c>
      <c r="L3218" s="12">
        <v>2700117728</v>
      </c>
      <c r="M3218">
        <v>26.960328626889101</v>
      </c>
      <c r="N3218" s="7">
        <v>4.2131554185297597</v>
      </c>
      <c r="O3218" s="7">
        <v>3.3761604756883798</v>
      </c>
      <c r="P3218" s="7">
        <v>261.23461215180299</v>
      </c>
      <c r="Q3218" s="7">
        <v>3.6075036075036073</v>
      </c>
      <c r="U3218">
        <v>1.3285806165685561</v>
      </c>
      <c r="AT3218" s="4" t="s">
        <v>4286</v>
      </c>
    </row>
    <row r="3219" spans="1:46">
      <c r="A3219" s="2">
        <v>3616</v>
      </c>
      <c r="B3219" t="s">
        <v>8617</v>
      </c>
      <c r="C3219" t="s">
        <v>860</v>
      </c>
      <c r="D3219" t="s">
        <v>3858</v>
      </c>
      <c r="E3219" s="4">
        <v>43465</v>
      </c>
      <c r="F3219" s="11">
        <v>-35.745745159999998</v>
      </c>
      <c r="G3219" s="11">
        <v>-35.341909280000003</v>
      </c>
      <c r="H3219" s="11">
        <v>98.134138971300004</v>
      </c>
      <c r="I3219" s="11">
        <v>31.651832839000001</v>
      </c>
      <c r="J3219" s="11">
        <v>12.7820332777</v>
      </c>
      <c r="K3219" s="10">
        <v>0.479876083023</v>
      </c>
      <c r="L3219" s="12">
        <v>12028079067.6</v>
      </c>
      <c r="M3219">
        <v>34.945295209934002</v>
      </c>
      <c r="N3219" s="7">
        <v>4.8783163757320098</v>
      </c>
      <c r="O3219" s="7">
        <v>6.41511812426711</v>
      </c>
      <c r="P3219" s="7">
        <v>121.316618807789</v>
      </c>
      <c r="Q3219" s="7">
        <v>0.84656084656084662</v>
      </c>
      <c r="U3219">
        <v>0.47851086648596936</v>
      </c>
      <c r="AT3219" s="4" t="s">
        <v>8618</v>
      </c>
    </row>
    <row r="3220" spans="1:46">
      <c r="A3220" s="2">
        <v>3291</v>
      </c>
      <c r="B3220" t="s">
        <v>8619</v>
      </c>
      <c r="C3220" t="s">
        <v>1136</v>
      </c>
      <c r="D3220" t="s">
        <v>3718</v>
      </c>
      <c r="E3220" s="4">
        <v>43465</v>
      </c>
      <c r="F3220" s="11">
        <v>-34.047334319999997</v>
      </c>
      <c r="G3220" s="11">
        <v>-35.420191770000002</v>
      </c>
      <c r="H3220" s="11">
        <v>11.065194934699999</v>
      </c>
      <c r="I3220" s="11">
        <v>20.857444478400001</v>
      </c>
      <c r="J3220" s="11">
        <v>6.7352128767000004</v>
      </c>
      <c r="K3220" s="10">
        <v>1.1409571451280001</v>
      </c>
      <c r="L3220" s="12">
        <v>1071064800</v>
      </c>
      <c r="M3220">
        <v>45.222335024784101</v>
      </c>
      <c r="N3220" s="7">
        <v>4.1866597772687202</v>
      </c>
      <c r="O3220" s="7">
        <v>2.8732289301977501</v>
      </c>
      <c r="P3220" s="7">
        <v>360.09786034075898</v>
      </c>
      <c r="Q3220" s="7">
        <v>1.0041504886865711</v>
      </c>
      <c r="U3220">
        <v>0.42925958139999998</v>
      </c>
      <c r="AT3220" s="4" t="s">
        <v>6875</v>
      </c>
    </row>
    <row r="3221" spans="1:46">
      <c r="A3221" s="2">
        <v>2419</v>
      </c>
      <c r="B3221" t="s">
        <v>8620</v>
      </c>
      <c r="C3221" t="s">
        <v>3025</v>
      </c>
      <c r="D3221" t="s">
        <v>3761</v>
      </c>
      <c r="E3221" s="4">
        <v>43465</v>
      </c>
      <c r="F3221" s="11">
        <v>-78.458436680000005</v>
      </c>
      <c r="G3221" s="11">
        <v>-35.560344829999998</v>
      </c>
      <c r="H3221" s="11">
        <v>-28.0676553228</v>
      </c>
      <c r="I3221" s="11">
        <v>23.0853363447</v>
      </c>
      <c r="J3221" s="11">
        <v>-5.1754678225999999</v>
      </c>
      <c r="K3221" s="10">
        <v>0.212451596209</v>
      </c>
      <c r="L3221" s="12">
        <v>19704816958.32</v>
      </c>
      <c r="M3221">
        <v>619.91511152281305</v>
      </c>
      <c r="N3221" s="7">
        <v>0.86922983444284296</v>
      </c>
      <c r="O3221" s="7">
        <v>1.7263244874794801</v>
      </c>
      <c r="P3221" s="7">
        <v>10.623674863106499</v>
      </c>
      <c r="Q3221" s="7" t="s">
        <v>3698</v>
      </c>
      <c r="U3221">
        <v>-0.10925679110331153</v>
      </c>
      <c r="AT3221" s="4" t="s">
        <v>8621</v>
      </c>
    </row>
    <row r="3222" spans="1:46">
      <c r="A3222" s="2">
        <v>2929</v>
      </c>
      <c r="B3222" t="s">
        <v>8622</v>
      </c>
      <c r="C3222" t="s">
        <v>969</v>
      </c>
      <c r="D3222" t="s">
        <v>3764</v>
      </c>
      <c r="E3222" s="4">
        <v>43465</v>
      </c>
      <c r="F3222" s="11">
        <v>-78.092690559999994</v>
      </c>
      <c r="G3222" s="11">
        <v>-35.752688169999999</v>
      </c>
      <c r="H3222" s="11">
        <v>-47.2377294701</v>
      </c>
      <c r="I3222" s="11">
        <v>12.24667904</v>
      </c>
      <c r="J3222" s="11">
        <v>-28.126867720100002</v>
      </c>
      <c r="K3222" s="10">
        <v>0.217629346715</v>
      </c>
      <c r="L3222" s="12">
        <v>5796402761.3999996</v>
      </c>
      <c r="M3222">
        <v>17.219763067681399</v>
      </c>
      <c r="N3222" s="7">
        <v>1.4011051246610899</v>
      </c>
      <c r="O3222" s="7">
        <v>0.88463742897665298</v>
      </c>
      <c r="P3222" s="7">
        <v>-3.4374636042540399</v>
      </c>
      <c r="Q3222" s="7" t="s">
        <v>3698</v>
      </c>
      <c r="U3222">
        <v>-0.58626078474666055</v>
      </c>
      <c r="AT3222" s="4" t="s">
        <v>5162</v>
      </c>
    </row>
    <row r="3223" spans="1:46">
      <c r="A3223" s="2">
        <v>224</v>
      </c>
      <c r="B3223" t="s">
        <v>8623</v>
      </c>
      <c r="C3223" t="s">
        <v>3445</v>
      </c>
      <c r="D3223" t="s">
        <v>3849</v>
      </c>
      <c r="E3223" s="4">
        <v>43465</v>
      </c>
      <c r="F3223" s="11">
        <v>1.7057569299999999</v>
      </c>
      <c r="G3223" s="11">
        <v>-35.95206391</v>
      </c>
      <c r="H3223" s="11">
        <v>232.7036318465</v>
      </c>
      <c r="I3223" s="11">
        <v>9.5731170254000002</v>
      </c>
      <c r="J3223" s="11">
        <v>4.6653063412</v>
      </c>
      <c r="K3223" s="10">
        <v>0.529921662558</v>
      </c>
      <c r="L3223" s="12">
        <v>6512972027.6999998</v>
      </c>
      <c r="M3223">
        <v>-151.32032138971201</v>
      </c>
      <c r="N3223" s="7">
        <v>16.745410502299801</v>
      </c>
      <c r="O3223" s="7">
        <v>43.144033724299597</v>
      </c>
      <c r="P3223" s="7">
        <v>-38.556952597317903</v>
      </c>
      <c r="Q3223" s="7" t="s">
        <v>3698</v>
      </c>
      <c r="U3223">
        <v>7.4140093503219468E-3</v>
      </c>
      <c r="AT3223" s="4" t="s">
        <v>8624</v>
      </c>
    </row>
    <row r="3224" spans="1:46">
      <c r="A3224" s="2">
        <v>426</v>
      </c>
      <c r="B3224" t="s">
        <v>8625</v>
      </c>
      <c r="C3224" t="s">
        <v>758</v>
      </c>
      <c r="D3224" t="s">
        <v>3842</v>
      </c>
      <c r="E3224" s="4">
        <v>43465</v>
      </c>
      <c r="F3224" s="11">
        <v>-25.407149350000001</v>
      </c>
      <c r="G3224" s="11">
        <v>-36.062378170000002</v>
      </c>
      <c r="H3224" s="11">
        <v>14.6962904792</v>
      </c>
      <c r="I3224" s="11">
        <v>16.1957834476</v>
      </c>
      <c r="J3224" s="11">
        <v>7.5620263034999997</v>
      </c>
      <c r="K3224" s="10">
        <v>1.173443881536</v>
      </c>
      <c r="L3224" s="12">
        <v>13916434779.52</v>
      </c>
      <c r="M3224">
        <v>4.8238321101000796</v>
      </c>
      <c r="N3224" s="7">
        <v>0.71426358213906305</v>
      </c>
      <c r="O3224" s="7">
        <v>0.38510572508544699</v>
      </c>
      <c r="P3224" s="7">
        <v>91.190575565380797</v>
      </c>
      <c r="Q3224" s="7">
        <v>5.3724053724725804</v>
      </c>
      <c r="U3224">
        <v>1.0991307811025544</v>
      </c>
      <c r="AT3224" s="4" t="s">
        <v>8626</v>
      </c>
    </row>
    <row r="3225" spans="1:46">
      <c r="A3225" s="2">
        <v>601</v>
      </c>
      <c r="B3225" t="s">
        <v>8627</v>
      </c>
      <c r="C3225" t="s">
        <v>1522</v>
      </c>
      <c r="D3225" t="s">
        <v>3761</v>
      </c>
      <c r="E3225" s="4">
        <v>43465</v>
      </c>
      <c r="F3225" s="11">
        <v>-18.458036270000001</v>
      </c>
      <c r="G3225" s="11">
        <v>-36.125965540000003</v>
      </c>
      <c r="H3225" s="11">
        <v>-27.322875387900002</v>
      </c>
      <c r="I3225" s="11">
        <v>27.899578022099998</v>
      </c>
      <c r="J3225" s="11">
        <v>5.3729897892</v>
      </c>
      <c r="K3225" s="10">
        <v>0.42754651990499998</v>
      </c>
      <c r="L3225" s="12">
        <v>2007247872</v>
      </c>
      <c r="M3225">
        <v>47.422740346957802</v>
      </c>
      <c r="N3225" s="7">
        <v>3.4239965935427299</v>
      </c>
      <c r="O3225" s="7">
        <v>2.2862934481857198</v>
      </c>
      <c r="P3225" s="7">
        <v>-15.102940416041999</v>
      </c>
      <c r="Q3225" s="7">
        <v>0.48364669704559587</v>
      </c>
      <c r="U3225">
        <v>0.38706899950220958</v>
      </c>
      <c r="AT3225" s="4" t="s">
        <v>5776</v>
      </c>
    </row>
    <row r="3226" spans="1:46">
      <c r="A3226" s="2">
        <v>1497</v>
      </c>
      <c r="B3226" t="s">
        <v>8628</v>
      </c>
      <c r="C3226" t="s">
        <v>175</v>
      </c>
      <c r="D3226" t="s">
        <v>3752</v>
      </c>
      <c r="E3226" s="4">
        <v>43465</v>
      </c>
      <c r="F3226" s="11">
        <v>-76.428878179999998</v>
      </c>
      <c r="G3226" s="11">
        <v>-36.483739839999998</v>
      </c>
      <c r="H3226" s="11">
        <v>-31.574405954500001</v>
      </c>
      <c r="I3226" s="11">
        <v>20.6218420553</v>
      </c>
      <c r="J3226" s="11">
        <v>3.8247784909</v>
      </c>
      <c r="K3226" s="10">
        <v>0.60489849553200004</v>
      </c>
      <c r="L3226" s="12">
        <v>30614399340</v>
      </c>
      <c r="M3226">
        <v>13.4161683408923</v>
      </c>
      <c r="N3226" s="7">
        <v>2.5474091527170302</v>
      </c>
      <c r="O3226" s="7">
        <v>1.28471937634108</v>
      </c>
      <c r="P3226" s="7">
        <v>-19.6807290754649</v>
      </c>
      <c r="Q3226" s="7">
        <v>0.5069256756756757</v>
      </c>
      <c r="U3226">
        <v>0.21506560781781897</v>
      </c>
      <c r="AT3226" s="4" t="s">
        <v>6155</v>
      </c>
    </row>
    <row r="3227" spans="1:46">
      <c r="A3227" s="2">
        <v>2070</v>
      </c>
      <c r="B3227" t="s">
        <v>8629</v>
      </c>
      <c r="C3227" t="s">
        <v>2816</v>
      </c>
      <c r="D3227" t="s">
        <v>4060</v>
      </c>
      <c r="E3227" s="4">
        <v>43465</v>
      </c>
      <c r="F3227" s="11">
        <v>42.141890549999999</v>
      </c>
      <c r="G3227" s="11">
        <v>-36.583679109999999</v>
      </c>
      <c r="H3227" s="11">
        <v>35.163491020199999</v>
      </c>
      <c r="I3227" s="11">
        <v>35.2002142877</v>
      </c>
      <c r="J3227" s="11">
        <v>7.7787728301000003</v>
      </c>
      <c r="K3227" s="10">
        <v>0.51267146159499999</v>
      </c>
      <c r="L3227" s="12">
        <v>3194540513.48</v>
      </c>
      <c r="M3227">
        <v>73.027575894556193</v>
      </c>
      <c r="N3227" s="7">
        <v>5.0708368014366698</v>
      </c>
      <c r="O3227" s="7">
        <v>8.3331149139872203</v>
      </c>
      <c r="P3227" s="7">
        <v>862.04826004679705</v>
      </c>
      <c r="Q3227" s="7">
        <v>0.64212819630776274</v>
      </c>
      <c r="U3227">
        <v>0.4674837512907119</v>
      </c>
      <c r="AT3227" s="4" t="s">
        <v>4241</v>
      </c>
    </row>
    <row r="3228" spans="1:46">
      <c r="A3228" s="2">
        <v>3546</v>
      </c>
      <c r="B3228" t="s">
        <v>8630</v>
      </c>
      <c r="C3228" t="s">
        <v>766</v>
      </c>
      <c r="D3228" t="s">
        <v>3849</v>
      </c>
      <c r="E3228" s="4">
        <v>43465</v>
      </c>
      <c r="F3228" s="11">
        <v>-44.939639450000001</v>
      </c>
      <c r="G3228" s="11">
        <v>-36.608344549999998</v>
      </c>
      <c r="H3228" s="11">
        <v>10.4434579993</v>
      </c>
      <c r="I3228" s="11">
        <v>33.967749398599999</v>
      </c>
      <c r="J3228" s="11">
        <v>18.674847499599998</v>
      </c>
      <c r="K3228" s="10">
        <v>0.39812776166500002</v>
      </c>
      <c r="L3228" s="12">
        <v>1903465164.47</v>
      </c>
      <c r="M3228">
        <v>14.385868603799601</v>
      </c>
      <c r="N3228" s="7">
        <v>1.4407824592376799</v>
      </c>
      <c r="O3228" s="7">
        <v>2.3644139612512798</v>
      </c>
      <c r="P3228" s="7">
        <v>-104.320096164438</v>
      </c>
      <c r="Q3228" s="7">
        <v>3.9948865452221156</v>
      </c>
      <c r="U3228">
        <v>1.0779534427941984</v>
      </c>
      <c r="AT3228" s="4" t="s">
        <v>8631</v>
      </c>
    </row>
    <row r="3229" spans="1:46">
      <c r="A3229" s="2">
        <v>687</v>
      </c>
      <c r="B3229" t="s">
        <v>8632</v>
      </c>
      <c r="C3229" t="s">
        <v>318</v>
      </c>
      <c r="D3229" t="s">
        <v>3849</v>
      </c>
      <c r="E3229" s="4">
        <v>43465</v>
      </c>
      <c r="F3229" s="11">
        <v>-66.724333819999998</v>
      </c>
      <c r="G3229" s="11">
        <v>-36.626916520000002</v>
      </c>
      <c r="H3229" s="11">
        <v>-10.3566995078</v>
      </c>
      <c r="I3229" s="11">
        <v>18.747460307600001</v>
      </c>
      <c r="J3229" s="11">
        <v>-55.677265541200001</v>
      </c>
      <c r="K3229" s="10">
        <v>0.31624054720299999</v>
      </c>
      <c r="L3229" s="12">
        <v>2685480000</v>
      </c>
      <c r="M3229">
        <v>41.604203079318197</v>
      </c>
      <c r="N3229" s="7">
        <v>2.9112491186223499</v>
      </c>
      <c r="O3229" s="7">
        <v>2.67738924367002</v>
      </c>
      <c r="P3229" s="7">
        <v>839.72896389537402</v>
      </c>
      <c r="Q3229" s="7" t="s">
        <v>3698</v>
      </c>
      <c r="U3229">
        <v>-0.9731312480745139</v>
      </c>
      <c r="AT3229" s="4" t="s">
        <v>8633</v>
      </c>
    </row>
    <row r="3230" spans="1:46">
      <c r="A3230" s="2">
        <v>1010</v>
      </c>
      <c r="B3230" t="s">
        <v>8634</v>
      </c>
      <c r="C3230" t="s">
        <v>673</v>
      </c>
      <c r="D3230" t="s">
        <v>3718</v>
      </c>
      <c r="E3230" s="4">
        <v>43465</v>
      </c>
      <c r="F3230" s="11">
        <v>-76.659705079999995</v>
      </c>
      <c r="G3230" s="11">
        <v>-36.756756760000002</v>
      </c>
      <c r="H3230" s="11">
        <v>-90.676185730200004</v>
      </c>
      <c r="I3230" s="11">
        <v>-72.848988202100003</v>
      </c>
      <c r="J3230" s="11">
        <v>-654.73464724739995</v>
      </c>
      <c r="K3230" s="10">
        <v>5.7715629689E-2</v>
      </c>
      <c r="L3230" s="12">
        <v>1568889280</v>
      </c>
      <c r="M3230">
        <v>-48.101962987662901</v>
      </c>
      <c r="N3230" s="7">
        <v>6.9960482114369498</v>
      </c>
      <c r="O3230" s="7">
        <v>11.657922978398901</v>
      </c>
      <c r="P3230" s="7">
        <v>-5.2020477114616499</v>
      </c>
      <c r="Q3230" s="7" t="s">
        <v>3698</v>
      </c>
      <c r="U3230">
        <v>-2.8492515705820107</v>
      </c>
      <c r="AT3230" s="4" t="s">
        <v>4705</v>
      </c>
    </row>
    <row r="3231" spans="1:46">
      <c r="A3231" s="2">
        <v>1294</v>
      </c>
      <c r="B3231" t="s">
        <v>8635</v>
      </c>
      <c r="C3231" t="s">
        <v>1246</v>
      </c>
      <c r="D3231" t="s">
        <v>3737</v>
      </c>
      <c r="E3231" s="4">
        <v>43465</v>
      </c>
      <c r="F3231" s="11">
        <v>-28.585115989999998</v>
      </c>
      <c r="G3231" s="11">
        <v>-36.846275749999997</v>
      </c>
      <c r="H3231" s="11">
        <v>37.929597296099999</v>
      </c>
      <c r="I3231" s="11">
        <v>7.8246448638999997</v>
      </c>
      <c r="J3231" s="11">
        <v>1.6049277288999999</v>
      </c>
      <c r="K3231" s="10">
        <v>2.053191684008</v>
      </c>
      <c r="L3231" s="12">
        <v>5645112325.5600004</v>
      </c>
      <c r="M3231">
        <v>14.764459103899799</v>
      </c>
      <c r="N3231" s="7">
        <v>1.8951697463197601</v>
      </c>
      <c r="O3231" s="7">
        <v>0.22558946550398401</v>
      </c>
      <c r="P3231" s="7">
        <v>-27.297393319840602</v>
      </c>
      <c r="Q3231" s="7">
        <v>1.539882968894364</v>
      </c>
      <c r="U3231">
        <v>0.93795394391354725</v>
      </c>
      <c r="AT3231" s="4" t="s">
        <v>8249</v>
      </c>
    </row>
    <row r="3232" spans="1:46">
      <c r="A3232" s="2">
        <v>1167</v>
      </c>
      <c r="B3232" t="s">
        <v>8636</v>
      </c>
      <c r="C3232" t="s">
        <v>1708</v>
      </c>
      <c r="D3232" t="s">
        <v>3728</v>
      </c>
      <c r="E3232" s="4">
        <v>43465</v>
      </c>
      <c r="F3232" s="11">
        <v>-74.301957450000003</v>
      </c>
      <c r="G3232" s="11">
        <v>-37.096774189999998</v>
      </c>
      <c r="H3232" s="11">
        <v>69.555513448300005</v>
      </c>
      <c r="I3232" s="11">
        <v>41.458748881299996</v>
      </c>
      <c r="J3232" s="11">
        <v>0.50545313650000001</v>
      </c>
      <c r="K3232" s="10">
        <v>0.46487465713999998</v>
      </c>
      <c r="L3232" s="12">
        <v>4457915067.6999998</v>
      </c>
      <c r="M3232">
        <v>65.568823024804004</v>
      </c>
      <c r="N3232" s="7">
        <v>2.239879645237</v>
      </c>
      <c r="O3232" s="7">
        <v>3.3623637147207899</v>
      </c>
      <c r="P3232" s="7">
        <v>-14.654060974811101</v>
      </c>
      <c r="Q3232" s="7">
        <v>0.111731843575419</v>
      </c>
      <c r="U3232">
        <v>3.9093234251030909E-2</v>
      </c>
      <c r="AT3232" s="4" t="s">
        <v>4850</v>
      </c>
    </row>
    <row r="3233" spans="1:46">
      <c r="A3233" s="2">
        <v>3403</v>
      </c>
      <c r="B3233" t="s">
        <v>8637</v>
      </c>
      <c r="C3233" t="s">
        <v>871</v>
      </c>
      <c r="D3233" t="s">
        <v>3832</v>
      </c>
      <c r="E3233" s="4">
        <v>43465</v>
      </c>
      <c r="F3233" s="11">
        <v>-61.868292099999998</v>
      </c>
      <c r="G3233" s="11">
        <v>-37.2231405</v>
      </c>
      <c r="H3233" s="11">
        <v>11.6614912409</v>
      </c>
      <c r="I3233" s="11">
        <v>39.7042146609</v>
      </c>
      <c r="J3233" s="11">
        <v>16.4012914616</v>
      </c>
      <c r="K3233" s="10">
        <v>0.57866568401499996</v>
      </c>
      <c r="L3233" s="12">
        <v>4151011640.5999999</v>
      </c>
      <c r="M3233">
        <v>15.237608118323401</v>
      </c>
      <c r="N3233" s="7">
        <v>1.71189894158069</v>
      </c>
      <c r="O3233" s="7">
        <v>1.8492954628968401</v>
      </c>
      <c r="P3233" s="7">
        <v>536.92256732606495</v>
      </c>
      <c r="Q3233" s="7">
        <v>3.1621743739231158</v>
      </c>
      <c r="U3233">
        <v>2.7977656220394236</v>
      </c>
      <c r="AT3233" s="4" t="s">
        <v>5423</v>
      </c>
    </row>
    <row r="3234" spans="1:46">
      <c r="A3234" s="2">
        <v>3517</v>
      </c>
      <c r="B3234" t="s">
        <v>8638</v>
      </c>
      <c r="C3234" t="s">
        <v>553</v>
      </c>
      <c r="D3234" t="s">
        <v>3718</v>
      </c>
      <c r="E3234" s="4">
        <v>43465</v>
      </c>
      <c r="F3234" s="11">
        <v>-21.089306390000001</v>
      </c>
      <c r="G3234" s="11">
        <v>-37.299035369999999</v>
      </c>
      <c r="H3234" s="11">
        <v>20.038433177400002</v>
      </c>
      <c r="I3234" s="11">
        <v>23.843006242800001</v>
      </c>
      <c r="J3234" s="11">
        <v>7.1025459506999997</v>
      </c>
      <c r="K3234" s="10">
        <v>1.167321976805</v>
      </c>
      <c r="L3234" s="12">
        <v>8729617377.7800007</v>
      </c>
      <c r="M3234">
        <v>22.429099103997999</v>
      </c>
      <c r="N3234" s="7">
        <v>2.8065447297112498</v>
      </c>
      <c r="O3234" s="7">
        <v>1.57181837206839</v>
      </c>
      <c r="P3234" s="7">
        <v>508.03545359914102</v>
      </c>
      <c r="Q3234" s="7">
        <v>3.5910159310524943</v>
      </c>
      <c r="U3234">
        <v>0.84079287976592665</v>
      </c>
      <c r="AT3234" s="4" t="s">
        <v>8639</v>
      </c>
    </row>
    <row r="3235" spans="1:46">
      <c r="A3235" s="2">
        <v>2129</v>
      </c>
      <c r="B3235" t="s">
        <v>8640</v>
      </c>
      <c r="C3235" t="s">
        <v>1356</v>
      </c>
      <c r="D3235" t="s">
        <v>3761</v>
      </c>
      <c r="E3235" s="4">
        <v>43465</v>
      </c>
      <c r="F3235" s="11">
        <v>-56.170263060000003</v>
      </c>
      <c r="G3235" s="11">
        <v>-37.540603249999997</v>
      </c>
      <c r="H3235" s="11">
        <v>-19.2653987319</v>
      </c>
      <c r="I3235" s="11">
        <v>37.501500746300003</v>
      </c>
      <c r="J3235" s="11">
        <v>5.0392858539000001</v>
      </c>
      <c r="K3235" s="10">
        <v>0.32446500108100002</v>
      </c>
      <c r="L3235" s="12">
        <v>2629416403.02</v>
      </c>
      <c r="M3235">
        <v>39.705473316978903</v>
      </c>
      <c r="N3235" s="7">
        <v>2.9447828799170801</v>
      </c>
      <c r="O3235" s="7">
        <v>6.5935769578455501</v>
      </c>
      <c r="P3235" s="7">
        <v>-50.344099706730802</v>
      </c>
      <c r="Q3235" s="7" t="s">
        <v>3698</v>
      </c>
      <c r="U3235">
        <v>0.12561044538562091</v>
      </c>
      <c r="AT3235" s="4" t="s">
        <v>7119</v>
      </c>
    </row>
    <row r="3236" spans="1:46">
      <c r="A3236" s="2">
        <v>2707</v>
      </c>
      <c r="B3236" t="s">
        <v>8641</v>
      </c>
      <c r="C3236" t="s">
        <v>1814</v>
      </c>
      <c r="D3236" t="s">
        <v>3790</v>
      </c>
      <c r="E3236" s="4">
        <v>43465</v>
      </c>
      <c r="F3236" s="11">
        <v>-91.915550980000006</v>
      </c>
      <c r="G3236" s="11">
        <v>-37.647058819999998</v>
      </c>
      <c r="H3236" s="11">
        <v>2.1385179112000001</v>
      </c>
      <c r="I3236" s="11">
        <v>78.075433665399999</v>
      </c>
      <c r="J3236" s="11">
        <v>-669.54159224119996</v>
      </c>
      <c r="K3236" s="10">
        <v>0.16126314464899999</v>
      </c>
      <c r="L3236" s="12">
        <v>14098920522</v>
      </c>
      <c r="M3236">
        <v>-21.2637195085969</v>
      </c>
      <c r="N3236" s="7">
        <v>-0.23999638266076201</v>
      </c>
      <c r="O3236" s="7">
        <v>1.8811867706538901</v>
      </c>
      <c r="P3236" s="7">
        <v>-0.76597342957636305</v>
      </c>
      <c r="Q3236" s="7" t="s">
        <v>3698</v>
      </c>
      <c r="U3236">
        <v>-9.5685822079280651</v>
      </c>
      <c r="AT3236" s="4" t="s">
        <v>6179</v>
      </c>
    </row>
    <row r="3237" spans="1:46">
      <c r="A3237" s="2">
        <v>1515</v>
      </c>
      <c r="B3237" t="s">
        <v>8642</v>
      </c>
      <c r="C3237" t="s">
        <v>2934</v>
      </c>
      <c r="D3237" t="s">
        <v>3764</v>
      </c>
      <c r="E3237" s="4">
        <v>43465</v>
      </c>
      <c r="F3237" s="11">
        <v>-85.281385279999995</v>
      </c>
      <c r="G3237" s="11">
        <v>-37.674418600000003</v>
      </c>
      <c r="H3237" s="11">
        <v>-62.0360880522</v>
      </c>
      <c r="I3237" s="11">
        <v>1.5817124364999999</v>
      </c>
      <c r="J3237" s="11">
        <v>-605.9579336882</v>
      </c>
      <c r="K3237" s="10">
        <v>4.4155601941000003E-2</v>
      </c>
      <c r="L3237" s="12">
        <v>2866272585.6799998</v>
      </c>
      <c r="M3237">
        <v>-2.04282215628275</v>
      </c>
      <c r="N3237" s="7">
        <v>16.4465809742292</v>
      </c>
      <c r="O3237" s="7">
        <v>4.0014617106058497</v>
      </c>
      <c r="P3237" s="7">
        <v>-5.3042853636278</v>
      </c>
      <c r="Q3237" s="7" t="s">
        <v>3698</v>
      </c>
      <c r="U3237">
        <v>-2.358303636574699</v>
      </c>
      <c r="AT3237" s="4" t="s">
        <v>5713</v>
      </c>
    </row>
    <row r="3238" spans="1:46">
      <c r="A3238" s="2">
        <v>1372</v>
      </c>
      <c r="B3238" t="s">
        <v>8643</v>
      </c>
      <c r="C3238" t="s">
        <v>1301</v>
      </c>
      <c r="D3238" t="s">
        <v>3737</v>
      </c>
      <c r="E3238" s="4">
        <v>43465</v>
      </c>
      <c r="F3238" s="11">
        <v>-73.271122460000001</v>
      </c>
      <c r="G3238" s="11">
        <v>-37.967289719999997</v>
      </c>
      <c r="H3238" s="11">
        <v>-3.9786805292</v>
      </c>
      <c r="I3238" s="11">
        <v>28.684018492100002</v>
      </c>
      <c r="J3238" s="11">
        <v>5.4114724510999999</v>
      </c>
      <c r="K3238" s="10">
        <v>0.447890659656</v>
      </c>
      <c r="L3238" s="12">
        <v>5775000000</v>
      </c>
      <c r="M3238">
        <v>13.343059680467899</v>
      </c>
      <c r="N3238" s="7">
        <v>0.85820980689305004</v>
      </c>
      <c r="O3238" s="7">
        <v>1.1691496161493</v>
      </c>
      <c r="P3238" s="7">
        <v>-10.2396965907541</v>
      </c>
      <c r="Q3238" s="7" t="s">
        <v>3698</v>
      </c>
      <c r="U3238">
        <v>0.34825856276729555</v>
      </c>
      <c r="AT3238" s="4" t="s">
        <v>4707</v>
      </c>
    </row>
    <row r="3239" spans="1:46">
      <c r="A3239" s="2">
        <v>1269</v>
      </c>
      <c r="B3239" t="s">
        <v>8644</v>
      </c>
      <c r="C3239" t="s">
        <v>2091</v>
      </c>
      <c r="D3239" t="s">
        <v>3728</v>
      </c>
      <c r="E3239" s="4">
        <v>43465</v>
      </c>
      <c r="F3239" s="11">
        <v>-10.630670820000001</v>
      </c>
      <c r="G3239" s="11">
        <v>-38.084755090000002</v>
      </c>
      <c r="H3239" s="11">
        <v>32.607505828400001</v>
      </c>
      <c r="I3239" s="11">
        <v>38.964845790699997</v>
      </c>
      <c r="J3239" s="11">
        <v>4.0139555592000002</v>
      </c>
      <c r="K3239" s="10">
        <v>0.92882387170799996</v>
      </c>
      <c r="L3239" s="12">
        <v>1722000000</v>
      </c>
      <c r="M3239">
        <v>95.687568567952695</v>
      </c>
      <c r="N3239" s="7">
        <v>5.3410329549599496</v>
      </c>
      <c r="O3239" s="7">
        <v>4.39409534172243</v>
      </c>
      <c r="P3239" s="7">
        <v>65.565154315043202</v>
      </c>
      <c r="Q3239" s="7">
        <v>0.10168285118714729</v>
      </c>
      <c r="U3239">
        <v>0.13620013980392157</v>
      </c>
      <c r="AT3239" s="4" t="s">
        <v>4089</v>
      </c>
    </row>
    <row r="3240" spans="1:46">
      <c r="A3240" s="2">
        <v>2020</v>
      </c>
      <c r="B3240" t="s">
        <v>8645</v>
      </c>
      <c r="C3240" t="s">
        <v>977</v>
      </c>
      <c r="D3240" t="s">
        <v>4046</v>
      </c>
      <c r="E3240" s="4">
        <v>43465</v>
      </c>
      <c r="F3240" s="11">
        <v>-33.128940819999997</v>
      </c>
      <c r="G3240" s="11">
        <v>-38.2517049</v>
      </c>
      <c r="H3240" s="11">
        <v>17.678678448900001</v>
      </c>
      <c r="I3240" s="11">
        <v>49.220118980300001</v>
      </c>
      <c r="J3240" s="11">
        <v>22.160484799199999</v>
      </c>
      <c r="K3240" s="10">
        <v>0.41473961208900001</v>
      </c>
      <c r="L3240" s="12">
        <v>3121728359.4000001</v>
      </c>
      <c r="M3240">
        <v>35.229471322929903</v>
      </c>
      <c r="N3240" s="7">
        <v>2.4732656704799099</v>
      </c>
      <c r="O3240" s="7">
        <v>6.3206229957923199</v>
      </c>
      <c r="P3240" s="7">
        <v>164.516147141126</v>
      </c>
      <c r="Q3240" s="7">
        <v>1.1025358324145533</v>
      </c>
      <c r="U3240">
        <v>0.64225387183607152</v>
      </c>
      <c r="AT3240" s="4" t="s">
        <v>4703</v>
      </c>
    </row>
    <row r="3241" spans="1:46">
      <c r="A3241" s="2">
        <v>1737</v>
      </c>
      <c r="B3241" t="s">
        <v>8646</v>
      </c>
      <c r="C3241" t="s">
        <v>2907</v>
      </c>
      <c r="D3241" t="s">
        <v>3713</v>
      </c>
      <c r="E3241" s="4">
        <v>43465</v>
      </c>
      <c r="F3241" s="11">
        <v>-58.094555870000001</v>
      </c>
      <c r="G3241" s="11">
        <v>-38.780207130000001</v>
      </c>
      <c r="H3241" s="11">
        <v>-44.307688651100001</v>
      </c>
      <c r="I3241" s="11">
        <v>35.395737621499997</v>
      </c>
      <c r="J3241" s="11">
        <v>-253.68124915909999</v>
      </c>
      <c r="K3241" s="10">
        <v>0.190266706369</v>
      </c>
      <c r="L3241" s="12">
        <v>6742153924.4799995</v>
      </c>
      <c r="M3241">
        <v>-23.3052569878508</v>
      </c>
      <c r="N3241" s="7">
        <v>13.768343847509099</v>
      </c>
      <c r="O3241" s="7">
        <v>11.7545082403826</v>
      </c>
      <c r="P3241" s="7">
        <v>-186.10230708187501</v>
      </c>
      <c r="Q3241" s="7" t="s">
        <v>3698</v>
      </c>
      <c r="U3241">
        <v>-1.3809501600112486</v>
      </c>
      <c r="AT3241" s="4" t="s">
        <v>6482</v>
      </c>
    </row>
    <row r="3242" spans="1:46">
      <c r="A3242" s="2">
        <v>1790</v>
      </c>
      <c r="B3242" t="s">
        <v>8647</v>
      </c>
      <c r="C3242" t="s">
        <v>2576</v>
      </c>
      <c r="D3242" t="s">
        <v>3713</v>
      </c>
      <c r="E3242" s="4">
        <v>43465</v>
      </c>
      <c r="F3242" s="11">
        <v>23.587334030000001</v>
      </c>
      <c r="G3242" s="11">
        <v>-38.947368419999997</v>
      </c>
      <c r="H3242" s="11">
        <v>38.349469785300002</v>
      </c>
      <c r="I3242" s="11">
        <v>43.251237505100001</v>
      </c>
      <c r="J3242" s="11">
        <v>23.0088499298</v>
      </c>
      <c r="K3242" s="10">
        <v>0.52587613834000002</v>
      </c>
      <c r="L3242" s="12">
        <v>2096321460</v>
      </c>
      <c r="M3242">
        <v>36.724239889281499</v>
      </c>
      <c r="N3242" s="7">
        <v>4.6681563276367699</v>
      </c>
      <c r="O3242" s="7">
        <v>7.6675772368715798</v>
      </c>
      <c r="P3242" s="7">
        <v>-55.762758834383497</v>
      </c>
      <c r="Q3242" s="7">
        <v>0.35148849143236671</v>
      </c>
      <c r="U3242">
        <v>0.67542178293207267</v>
      </c>
      <c r="AT3242" s="4" t="s">
        <v>4945</v>
      </c>
    </row>
    <row r="3243" spans="1:46">
      <c r="A3243" s="2">
        <v>1321</v>
      </c>
      <c r="B3243" t="s">
        <v>8648</v>
      </c>
      <c r="C3243" t="s">
        <v>451</v>
      </c>
      <c r="D3243" t="s">
        <v>3811</v>
      </c>
      <c r="E3243" s="4">
        <v>43465</v>
      </c>
      <c r="F3243" s="11">
        <v>-22.996207770000002</v>
      </c>
      <c r="G3243" s="11">
        <v>-38.961038960000003</v>
      </c>
      <c r="H3243" s="11">
        <v>12.9654209402</v>
      </c>
      <c r="I3243" s="11">
        <v>70.083667691900004</v>
      </c>
      <c r="J3243" s="11">
        <v>51.731890582600002</v>
      </c>
      <c r="K3243" s="10">
        <v>0.25615711249400003</v>
      </c>
      <c r="L3243" s="12">
        <v>1509754500</v>
      </c>
      <c r="M3243">
        <v>13.435421501121001</v>
      </c>
      <c r="N3243" s="7">
        <v>2.0547787948540499</v>
      </c>
      <c r="O3243" s="7">
        <v>6.7212515609243901</v>
      </c>
      <c r="P3243" s="7">
        <v>18.695505717808501</v>
      </c>
      <c r="Q3243" s="7">
        <v>2.4761049604045899</v>
      </c>
      <c r="U3243">
        <v>1.6518182786032538</v>
      </c>
      <c r="AT3243" s="4" t="s">
        <v>5668</v>
      </c>
    </row>
    <row r="3244" spans="1:46">
      <c r="A3244" s="2">
        <v>758</v>
      </c>
      <c r="B3244" t="s">
        <v>8649</v>
      </c>
      <c r="C3244" t="s">
        <v>718</v>
      </c>
      <c r="D3244" t="s">
        <v>3790</v>
      </c>
      <c r="E3244" s="4">
        <v>43465</v>
      </c>
      <c r="F3244" s="11">
        <v>-78.90051004</v>
      </c>
      <c r="G3244" s="11">
        <v>-39.055793989999998</v>
      </c>
      <c r="H3244" s="11">
        <v>21.179311893800001</v>
      </c>
      <c r="I3244" s="11">
        <v>13.3794352654</v>
      </c>
      <c r="J3244" s="11">
        <v>-83.0153623482</v>
      </c>
      <c r="K3244" s="10">
        <v>0.76495666123399997</v>
      </c>
      <c r="L3244" s="12">
        <v>3875521999.8000002</v>
      </c>
      <c r="M3244">
        <v>7.8536150203707402</v>
      </c>
      <c r="N3244" s="7">
        <v>2.2671199135368498</v>
      </c>
      <c r="O3244" s="7">
        <v>1.0008441460100399</v>
      </c>
      <c r="P3244" s="7">
        <v>-146.449519129485</v>
      </c>
      <c r="Q3244" s="7" t="s">
        <v>3698</v>
      </c>
      <c r="U3244">
        <v>-3.4047791856638732</v>
      </c>
      <c r="AT3244" s="4" t="s">
        <v>7979</v>
      </c>
    </row>
    <row r="3245" spans="1:46">
      <c r="A3245" s="2">
        <v>1624</v>
      </c>
      <c r="B3245" t="s">
        <v>8650</v>
      </c>
      <c r="C3245" t="s">
        <v>1053</v>
      </c>
      <c r="D3245" t="s">
        <v>3737</v>
      </c>
      <c r="E3245" s="4">
        <v>43465</v>
      </c>
      <c r="F3245" s="11">
        <v>-63.906537319999998</v>
      </c>
      <c r="G3245" s="11">
        <v>-39.079229120000001</v>
      </c>
      <c r="H3245" s="11">
        <v>1.4612834188999999</v>
      </c>
      <c r="I3245" s="11">
        <v>85.564649649900005</v>
      </c>
      <c r="J3245" s="11">
        <v>-26.950913580200002</v>
      </c>
      <c r="K3245" s="10">
        <v>0.230773732738</v>
      </c>
      <c r="L3245" s="12">
        <v>3045000000</v>
      </c>
      <c r="M3245">
        <v>23.632973592131599</v>
      </c>
      <c r="N3245" s="7">
        <v>2.84484309752618</v>
      </c>
      <c r="O3245" s="7">
        <v>6.0351678713394596</v>
      </c>
      <c r="P3245" s="7">
        <v>17.8020900183284</v>
      </c>
      <c r="Q3245" s="7" t="s">
        <v>3698</v>
      </c>
      <c r="U3245">
        <v>-0.36705417040816057</v>
      </c>
      <c r="AT3245" s="4" t="s">
        <v>4188</v>
      </c>
    </row>
    <row r="3246" spans="1:46">
      <c r="A3246" s="2">
        <v>1340</v>
      </c>
      <c r="B3246" t="s">
        <v>8651</v>
      </c>
      <c r="C3246" t="s">
        <v>838</v>
      </c>
      <c r="D3246" t="s">
        <v>3752</v>
      </c>
      <c r="E3246" s="4">
        <v>43465</v>
      </c>
      <c r="F3246" s="11">
        <v>-16.23101269</v>
      </c>
      <c r="G3246" s="11">
        <v>-39.132914999999997</v>
      </c>
      <c r="H3246" s="11">
        <v>45.868185137899999</v>
      </c>
      <c r="I3246" s="11">
        <v>17.455752544500001</v>
      </c>
      <c r="J3246" s="11">
        <v>9.1322364113999992</v>
      </c>
      <c r="K3246" s="10">
        <v>1.0008585642300001</v>
      </c>
      <c r="L3246" s="12">
        <v>27642860000</v>
      </c>
      <c r="M3246">
        <v>45.168935536666503</v>
      </c>
      <c r="N3246" s="7">
        <v>4.8129692686267997</v>
      </c>
      <c r="O3246" s="7">
        <v>4.0800297434445403</v>
      </c>
      <c r="P3246" s="7">
        <v>91.292656966492402</v>
      </c>
      <c r="Q3246" s="7">
        <v>0.61576354679802958</v>
      </c>
      <c r="U3246">
        <v>0.48581168476190478</v>
      </c>
      <c r="AT3246" s="4" t="s">
        <v>7064</v>
      </c>
    </row>
    <row r="3247" spans="1:46">
      <c r="A3247" s="2">
        <v>1296</v>
      </c>
      <c r="B3247" t="s">
        <v>8652</v>
      </c>
      <c r="C3247" t="s">
        <v>1967</v>
      </c>
      <c r="D3247" t="s">
        <v>4060</v>
      </c>
      <c r="E3247" s="4">
        <v>43465</v>
      </c>
      <c r="F3247" s="11">
        <v>-34.712870170000002</v>
      </c>
      <c r="G3247" s="11">
        <v>-39.28234183</v>
      </c>
      <c r="H3247" s="11">
        <v>8.3357146208999993</v>
      </c>
      <c r="I3247" s="11">
        <v>28.811406247099999</v>
      </c>
      <c r="J3247" s="11">
        <v>16.2052799756</v>
      </c>
      <c r="K3247" s="10">
        <v>0.59383549534199997</v>
      </c>
      <c r="L3247" s="12">
        <v>5848773067.8000002</v>
      </c>
      <c r="M3247">
        <v>19.968755895927998</v>
      </c>
      <c r="N3247" s="7">
        <v>1.7656163578533799</v>
      </c>
      <c r="O3247" s="7">
        <v>2.8592898706729999</v>
      </c>
      <c r="P3247" s="7">
        <v>-106.256403651886</v>
      </c>
      <c r="Q3247" s="7">
        <v>2.7452415812591511</v>
      </c>
      <c r="U3247">
        <v>0.62908468492187497</v>
      </c>
      <c r="AT3247" s="4" t="s">
        <v>8653</v>
      </c>
    </row>
    <row r="3248" spans="1:46">
      <c r="A3248" s="2">
        <v>1273</v>
      </c>
      <c r="B3248" t="s">
        <v>8654</v>
      </c>
      <c r="C3248" t="s">
        <v>1770</v>
      </c>
      <c r="D3248" t="s">
        <v>3713</v>
      </c>
      <c r="E3248" s="4">
        <v>43465</v>
      </c>
      <c r="F3248" s="11">
        <v>-77.756225970000003</v>
      </c>
      <c r="G3248" s="11">
        <v>-39.377289380000001</v>
      </c>
      <c r="H3248" s="11">
        <v>0.45137328500000001</v>
      </c>
      <c r="I3248" s="11">
        <v>4.7793975630999999</v>
      </c>
      <c r="J3248" s="11">
        <v>-63.778877951200002</v>
      </c>
      <c r="K3248" s="10">
        <v>0.30370111502500002</v>
      </c>
      <c r="L3248" s="12">
        <v>1983422750</v>
      </c>
      <c r="M3248">
        <v>25.851836810738199</v>
      </c>
      <c r="N3248" s="7">
        <v>2.8365086554719099</v>
      </c>
      <c r="O3248" s="7">
        <v>1.3840755186502101</v>
      </c>
      <c r="P3248" s="7">
        <v>-12.029519401925199</v>
      </c>
      <c r="Q3248" s="7" t="s">
        <v>3698</v>
      </c>
      <c r="U3248">
        <v>-1.7054311568211891</v>
      </c>
      <c r="AT3248" s="4" t="s">
        <v>4365</v>
      </c>
    </row>
    <row r="3249" spans="1:46">
      <c r="A3249" s="2">
        <v>923</v>
      </c>
      <c r="B3249" t="s">
        <v>8655</v>
      </c>
      <c r="C3249" t="s">
        <v>830</v>
      </c>
      <c r="D3249" t="s">
        <v>3737</v>
      </c>
      <c r="E3249" s="4">
        <v>43465</v>
      </c>
      <c r="F3249" s="11">
        <v>-10.024139379999999</v>
      </c>
      <c r="G3249" s="11">
        <v>-39.408867000000001</v>
      </c>
      <c r="H3249" s="11">
        <v>11.0866123157</v>
      </c>
      <c r="I3249" s="11">
        <v>74.3222935119</v>
      </c>
      <c r="J3249" s="11">
        <v>16.002696818099999</v>
      </c>
      <c r="K3249" s="10">
        <v>0.52701365848299997</v>
      </c>
      <c r="L3249" s="12">
        <v>3118414393.6999998</v>
      </c>
      <c r="M3249">
        <v>32.799056942116202</v>
      </c>
      <c r="N3249" s="7">
        <v>3.5073833671422601</v>
      </c>
      <c r="O3249" s="7">
        <v>4.69348071921757</v>
      </c>
      <c r="P3249" s="7">
        <v>408.83653669960199</v>
      </c>
      <c r="Q3249" s="7" t="s">
        <v>3698</v>
      </c>
      <c r="U3249">
        <v>0.49843525375000003</v>
      </c>
      <c r="AT3249" s="4" t="s">
        <v>4276</v>
      </c>
    </row>
    <row r="3250" spans="1:46">
      <c r="A3250" s="2">
        <v>3318</v>
      </c>
      <c r="B3250" t="s">
        <v>8656</v>
      </c>
      <c r="C3250" t="s">
        <v>759</v>
      </c>
      <c r="D3250" t="s">
        <v>3972</v>
      </c>
      <c r="E3250" s="4">
        <v>43465</v>
      </c>
      <c r="F3250" s="11">
        <v>-47.779731890000001</v>
      </c>
      <c r="G3250" s="11">
        <v>-39.499036609999997</v>
      </c>
      <c r="H3250" s="11">
        <v>47.665508706899999</v>
      </c>
      <c r="I3250" s="11">
        <v>3.1891982736000002</v>
      </c>
      <c r="J3250" s="11">
        <v>1.0318449001000001</v>
      </c>
      <c r="K3250" s="10">
        <v>4.1166818880970002</v>
      </c>
      <c r="L3250" s="12">
        <v>3416107200</v>
      </c>
      <c r="M3250">
        <v>33.714417736791198</v>
      </c>
      <c r="N3250" s="7">
        <v>2.01216217795504</v>
      </c>
      <c r="O3250" s="7">
        <v>0.39327942047549702</v>
      </c>
      <c r="P3250" s="7">
        <v>37.409230556737199</v>
      </c>
      <c r="Q3250" s="7">
        <v>0.55766492643569054</v>
      </c>
      <c r="U3250">
        <v>0.23347971458333333</v>
      </c>
      <c r="AT3250" s="4" t="s">
        <v>4065</v>
      </c>
    </row>
    <row r="3251" spans="1:46">
      <c r="A3251" s="2">
        <v>3358</v>
      </c>
      <c r="B3251" t="s">
        <v>8657</v>
      </c>
      <c r="C3251" t="s">
        <v>3451</v>
      </c>
      <c r="D3251" t="s">
        <v>3713</v>
      </c>
      <c r="E3251" s="4">
        <v>43465</v>
      </c>
      <c r="F3251" s="11">
        <v>-11.447660040000001</v>
      </c>
      <c r="G3251" s="11">
        <v>-39.718392489999999</v>
      </c>
      <c r="H3251" s="11">
        <v>46.980847982500002</v>
      </c>
      <c r="I3251" s="11">
        <v>21.301068390600001</v>
      </c>
      <c r="J3251" s="11">
        <v>3.9098619787</v>
      </c>
      <c r="K3251" s="10">
        <v>0.79692901425899998</v>
      </c>
      <c r="L3251" s="12">
        <v>2350880000</v>
      </c>
      <c r="M3251">
        <v>223.770767755149</v>
      </c>
      <c r="N3251" s="7">
        <v>11.947703817547</v>
      </c>
      <c r="O3251" s="7">
        <v>3.1081043376760999</v>
      </c>
      <c r="P3251" s="7">
        <v>42.2282321411355</v>
      </c>
      <c r="Q3251" s="7">
        <v>0.33282023547031658</v>
      </c>
      <c r="U3251">
        <v>0.22181041276785715</v>
      </c>
      <c r="AT3251" s="4" t="s">
        <v>8658</v>
      </c>
    </row>
    <row r="3252" spans="1:46">
      <c r="A3252" s="2">
        <v>1647</v>
      </c>
      <c r="B3252" t="s">
        <v>8659</v>
      </c>
      <c r="C3252" t="s">
        <v>1978</v>
      </c>
      <c r="D3252" t="s">
        <v>3718</v>
      </c>
      <c r="E3252" s="4">
        <v>43465</v>
      </c>
      <c r="F3252" s="11">
        <v>-52.241363210000003</v>
      </c>
      <c r="G3252" s="11">
        <v>-39.806451610000003</v>
      </c>
      <c r="H3252" s="11">
        <v>40.423750570099998</v>
      </c>
      <c r="I3252" s="11">
        <v>33.426958256299997</v>
      </c>
      <c r="J3252" s="11">
        <v>11.310465434199999</v>
      </c>
      <c r="K3252" s="10">
        <v>0.51862909840799998</v>
      </c>
      <c r="L3252" s="12">
        <v>23286968254.799999</v>
      </c>
      <c r="M3252">
        <v>34.4117721163095</v>
      </c>
      <c r="N3252" s="7">
        <v>4.1644758022321202</v>
      </c>
      <c r="O3252" s="7">
        <v>3.69522767060589</v>
      </c>
      <c r="P3252" s="7">
        <v>27.4019136980897</v>
      </c>
      <c r="Q3252" s="7">
        <v>0.94043983498031758</v>
      </c>
      <c r="U3252">
        <v>0.53864397137453468</v>
      </c>
      <c r="AT3252" s="4" t="s">
        <v>3742</v>
      </c>
    </row>
    <row r="3253" spans="1:46">
      <c r="A3253" s="2">
        <v>1228</v>
      </c>
      <c r="B3253" t="s">
        <v>8660</v>
      </c>
      <c r="C3253" t="s">
        <v>2227</v>
      </c>
      <c r="D3253" t="s">
        <v>3998</v>
      </c>
      <c r="E3253" s="4">
        <v>43465</v>
      </c>
      <c r="F3253" s="11">
        <v>-43.289250819999999</v>
      </c>
      <c r="G3253" s="11">
        <v>-39.81884058</v>
      </c>
      <c r="H3253" s="11">
        <v>8.6053107281999992</v>
      </c>
      <c r="I3253" s="11">
        <v>36.435140355100003</v>
      </c>
      <c r="J3253" s="11">
        <v>14.0221104805</v>
      </c>
      <c r="K3253" s="10">
        <v>0.49244527369199997</v>
      </c>
      <c r="L3253" s="12">
        <v>1693320182.4000001</v>
      </c>
      <c r="M3253">
        <v>29.569127670315901</v>
      </c>
      <c r="N3253" s="7">
        <v>2.0424694719834799</v>
      </c>
      <c r="O3253" s="7">
        <v>3.2192469330728199</v>
      </c>
      <c r="P3253" s="7">
        <v>-109.322782608078</v>
      </c>
      <c r="Q3253" s="7">
        <v>1.1325028312570782</v>
      </c>
      <c r="U3253">
        <v>1.1914080312045321</v>
      </c>
      <c r="AT3253" s="4" t="s">
        <v>3759</v>
      </c>
    </row>
    <row r="3254" spans="1:46">
      <c r="A3254" s="2">
        <v>2135</v>
      </c>
      <c r="B3254" t="s">
        <v>8661</v>
      </c>
      <c r="C3254" t="s">
        <v>1901</v>
      </c>
      <c r="D3254" t="s">
        <v>3718</v>
      </c>
      <c r="E3254" s="4">
        <v>43465</v>
      </c>
      <c r="F3254" s="11">
        <v>-25.8112563</v>
      </c>
      <c r="G3254" s="11">
        <v>-39.92932862</v>
      </c>
      <c r="H3254" s="11">
        <v>7.6101072960999998</v>
      </c>
      <c r="I3254" s="11">
        <v>60.489839507600003</v>
      </c>
      <c r="J3254" s="11">
        <v>28.779663383399999</v>
      </c>
      <c r="K3254" s="10">
        <v>0.34041144563499998</v>
      </c>
      <c r="L3254" s="12">
        <v>10665600000</v>
      </c>
      <c r="M3254">
        <v>48.122469259563303</v>
      </c>
      <c r="N3254" s="7">
        <v>4.0255384604654596</v>
      </c>
      <c r="O3254" s="7">
        <v>11.139255126364301</v>
      </c>
      <c r="P3254" s="7">
        <v>-580.44460954340002</v>
      </c>
      <c r="Q3254" s="7">
        <v>1.4214641080312722</v>
      </c>
      <c r="U3254">
        <v>0.6477898488888888</v>
      </c>
      <c r="AT3254" s="4" t="s">
        <v>5016</v>
      </c>
    </row>
    <row r="3255" spans="1:46">
      <c r="A3255" s="2">
        <v>1938</v>
      </c>
      <c r="B3255" t="s">
        <v>8662</v>
      </c>
      <c r="C3255" t="s">
        <v>2914</v>
      </c>
      <c r="D3255" t="s">
        <v>3713</v>
      </c>
      <c r="E3255" s="4">
        <v>43465</v>
      </c>
      <c r="F3255" s="11">
        <v>-26.332177560000002</v>
      </c>
      <c r="G3255" s="11">
        <v>-40</v>
      </c>
      <c r="H3255" s="11">
        <v>99.968735864699994</v>
      </c>
      <c r="I3255" s="11">
        <v>30.993214817799998</v>
      </c>
      <c r="J3255" s="11">
        <v>11.099799605399999</v>
      </c>
      <c r="K3255" s="10">
        <v>0.54213406961099997</v>
      </c>
      <c r="L3255" s="12">
        <v>2792004714</v>
      </c>
      <c r="M3255">
        <v>35.597822713798998</v>
      </c>
      <c r="N3255" s="7">
        <v>3.6168285998685699</v>
      </c>
      <c r="O3255" s="7">
        <v>4.4487105743971496</v>
      </c>
      <c r="P3255" s="7">
        <v>-75.221581180168002</v>
      </c>
      <c r="Q3255" s="7">
        <v>0.67312870263702862</v>
      </c>
      <c r="U3255">
        <v>0.67467876780469771</v>
      </c>
      <c r="AT3255" s="4" t="s">
        <v>4405</v>
      </c>
    </row>
    <row r="3256" spans="1:46">
      <c r="A3256" s="2">
        <v>1020</v>
      </c>
      <c r="B3256" t="s">
        <v>8663</v>
      </c>
      <c r="C3256" t="s">
        <v>2161</v>
      </c>
      <c r="D3256" t="s">
        <v>3858</v>
      </c>
      <c r="E3256" s="4">
        <v>43465</v>
      </c>
      <c r="F3256" s="11">
        <v>-84.182837399999997</v>
      </c>
      <c r="G3256" s="11">
        <v>-40.084388189999999</v>
      </c>
      <c r="H3256" s="11">
        <v>-37.686240932399997</v>
      </c>
      <c r="I3256" s="11">
        <v>27.617651476300001</v>
      </c>
      <c r="J3256" s="11">
        <v>-21.0240717816</v>
      </c>
      <c r="K3256" s="10">
        <v>0.23940657071099999</v>
      </c>
      <c r="L3256" s="12">
        <v>6749260659.8000002</v>
      </c>
      <c r="M3256">
        <v>13.177302365996001</v>
      </c>
      <c r="N3256" s="7">
        <v>1.5394480919698601</v>
      </c>
      <c r="O3256" s="7">
        <v>2.0394506017649201</v>
      </c>
      <c r="P3256" s="7">
        <v>-215.59734815169</v>
      </c>
      <c r="Q3256" s="7" t="s">
        <v>3698</v>
      </c>
      <c r="U3256">
        <v>-0.18116187118808713</v>
      </c>
      <c r="AT3256" s="4" t="s">
        <v>4347</v>
      </c>
    </row>
    <row r="3257" spans="1:46">
      <c r="A3257" s="2">
        <v>3453</v>
      </c>
      <c r="B3257" t="s">
        <v>8664</v>
      </c>
      <c r="C3257" t="s">
        <v>890</v>
      </c>
      <c r="D3257" t="s">
        <v>3764</v>
      </c>
      <c r="E3257" s="4">
        <v>43465</v>
      </c>
      <c r="F3257" s="11">
        <v>-73.394132130000003</v>
      </c>
      <c r="G3257" s="11">
        <v>-40.270270269999997</v>
      </c>
      <c r="H3257" s="11">
        <v>42.345014537499999</v>
      </c>
      <c r="I3257" s="11">
        <v>21.354041632600001</v>
      </c>
      <c r="J3257" s="11">
        <v>4.2316480478000003</v>
      </c>
      <c r="K3257" s="10">
        <v>0.42064131009</v>
      </c>
      <c r="L3257" s="12">
        <v>5938950750</v>
      </c>
      <c r="M3257">
        <v>26.8043089685994</v>
      </c>
      <c r="N3257" s="7">
        <v>4.55775183739898</v>
      </c>
      <c r="O3257" s="7">
        <v>1.33611747889065</v>
      </c>
      <c r="P3257" s="7">
        <v>-25.942263622331001</v>
      </c>
      <c r="Q3257" s="7">
        <v>1.065621222608409</v>
      </c>
      <c r="U3257">
        <v>0.46043605241925439</v>
      </c>
      <c r="AT3257" s="4" t="s">
        <v>7354</v>
      </c>
    </row>
    <row r="3258" spans="1:46">
      <c r="A3258" s="2">
        <v>1376</v>
      </c>
      <c r="B3258" t="s">
        <v>8665</v>
      </c>
      <c r="C3258" t="s">
        <v>1513</v>
      </c>
      <c r="D3258" t="s">
        <v>3718</v>
      </c>
      <c r="E3258" s="4">
        <v>43465</v>
      </c>
      <c r="F3258" s="11">
        <v>-1.22804881</v>
      </c>
      <c r="G3258" s="11">
        <v>-40.412371129999997</v>
      </c>
      <c r="H3258" s="11">
        <v>22.323599389799998</v>
      </c>
      <c r="I3258" s="11">
        <v>38.181601044200001</v>
      </c>
      <c r="J3258" s="11">
        <v>16.7646842722</v>
      </c>
      <c r="K3258" s="10">
        <v>0.413518416941</v>
      </c>
      <c r="L3258" s="12">
        <v>10715370697.200001</v>
      </c>
      <c r="M3258">
        <v>67.1209161767583</v>
      </c>
      <c r="N3258" s="7">
        <v>4.7284366406540297</v>
      </c>
      <c r="O3258" s="7">
        <v>8.3340281160400593</v>
      </c>
      <c r="P3258" s="7">
        <v>113.842387797749</v>
      </c>
      <c r="Q3258" s="7">
        <v>0.49342105263157893</v>
      </c>
      <c r="U3258">
        <v>0.30337515163035106</v>
      </c>
      <c r="AT3258" s="4" t="s">
        <v>8666</v>
      </c>
    </row>
    <row r="3259" spans="1:46">
      <c r="A3259" s="2">
        <v>3562</v>
      </c>
      <c r="B3259" t="s">
        <v>8667</v>
      </c>
      <c r="C3259" t="s">
        <v>1692</v>
      </c>
      <c r="D3259" t="s">
        <v>3858</v>
      </c>
      <c r="E3259" s="4">
        <v>43465</v>
      </c>
      <c r="F3259" s="11">
        <v>-55.033955030000001</v>
      </c>
      <c r="G3259" s="11">
        <v>-40.512820509999997</v>
      </c>
      <c r="H3259" s="11">
        <v>83.717168748500001</v>
      </c>
      <c r="I3259" s="11">
        <v>11.431413596600001</v>
      </c>
      <c r="J3259" s="11">
        <v>3.3602049702999999</v>
      </c>
      <c r="K3259" s="10">
        <v>0.59869257588400004</v>
      </c>
      <c r="L3259" s="12">
        <v>5541870587</v>
      </c>
      <c r="M3259">
        <v>50.226936265448003</v>
      </c>
      <c r="N3259" s="7">
        <v>2.40614297512984</v>
      </c>
      <c r="O3259" s="7">
        <v>1.4061813275414901</v>
      </c>
      <c r="P3259" s="7">
        <v>-7.5797497890239098</v>
      </c>
      <c r="Q3259" s="7">
        <v>0.46583850931677018</v>
      </c>
      <c r="U3259">
        <v>0.17444093799296503</v>
      </c>
      <c r="AT3259" s="4" t="s">
        <v>8668</v>
      </c>
    </row>
    <row r="3260" spans="1:46">
      <c r="A3260" s="2">
        <v>3033</v>
      </c>
      <c r="B3260" t="s">
        <v>8669</v>
      </c>
      <c r="C3260" t="s">
        <v>1868</v>
      </c>
      <c r="D3260" t="s">
        <v>3778</v>
      </c>
      <c r="E3260" s="4">
        <v>43465</v>
      </c>
      <c r="F3260" s="11">
        <v>-59.683368119999997</v>
      </c>
      <c r="G3260" s="11">
        <v>-40.866290020000001</v>
      </c>
      <c r="H3260" s="11">
        <v>9.2745807060000001</v>
      </c>
      <c r="I3260" s="11">
        <v>13.333616145800001</v>
      </c>
      <c r="J3260" s="11">
        <v>4.3422633631999998</v>
      </c>
      <c r="K3260" s="10">
        <v>0.73381230548800003</v>
      </c>
      <c r="L3260" s="12">
        <v>3475890164.3400002</v>
      </c>
      <c r="M3260">
        <v>26.997843436132399</v>
      </c>
      <c r="N3260" s="7">
        <v>1.16765596720774</v>
      </c>
      <c r="O3260" s="7">
        <v>0.72406675091881001</v>
      </c>
      <c r="P3260" s="7">
        <v>16.822633323898899</v>
      </c>
      <c r="Q3260" s="7">
        <v>1.2693577050012694</v>
      </c>
      <c r="U3260">
        <v>0.25944822465300094</v>
      </c>
      <c r="AT3260" s="4" t="s">
        <v>8670</v>
      </c>
    </row>
    <row r="3261" spans="1:46">
      <c r="A3261" s="2">
        <v>3304</v>
      </c>
      <c r="B3261" t="s">
        <v>8671</v>
      </c>
      <c r="C3261" t="s">
        <v>1985</v>
      </c>
      <c r="D3261" t="s">
        <v>4119</v>
      </c>
      <c r="E3261" s="4">
        <v>43465</v>
      </c>
      <c r="F3261" s="11">
        <v>-46.184213190000001</v>
      </c>
      <c r="G3261" s="11">
        <v>-40.9268565</v>
      </c>
      <c r="H3261" s="11">
        <v>11.400705374799999</v>
      </c>
      <c r="I3261" s="11">
        <v>46.700374415399999</v>
      </c>
      <c r="J3261" s="11">
        <v>12.7851358337</v>
      </c>
      <c r="K3261" s="10">
        <v>0.54927932106099997</v>
      </c>
      <c r="L3261" s="12">
        <v>3497110854.4000001</v>
      </c>
      <c r="M3261">
        <v>38.090594074914399</v>
      </c>
      <c r="N3261" s="7">
        <v>3.4327504945156599</v>
      </c>
      <c r="O3261" s="7">
        <v>4.6395185423235397</v>
      </c>
      <c r="P3261" s="7">
        <v>-15.5601443421182</v>
      </c>
      <c r="Q3261" s="7">
        <v>0.71544701560810342</v>
      </c>
      <c r="U3261">
        <v>0.51633677380419496</v>
      </c>
      <c r="AT3261" s="4" t="s">
        <v>8672</v>
      </c>
    </row>
    <row r="3262" spans="1:46">
      <c r="A3262" s="2">
        <v>2233</v>
      </c>
      <c r="B3262" t="s">
        <v>8673</v>
      </c>
      <c r="C3262" t="s">
        <v>444</v>
      </c>
      <c r="D3262" t="s">
        <v>4060</v>
      </c>
      <c r="E3262" s="4">
        <v>43465</v>
      </c>
      <c r="F3262" s="11">
        <v>-73.990610329999996</v>
      </c>
      <c r="G3262" s="11">
        <v>-40.997830800000003</v>
      </c>
      <c r="H3262" s="11">
        <v>-68.081308810899998</v>
      </c>
      <c r="I3262" s="11">
        <v>-5.2224896262999998</v>
      </c>
      <c r="J3262" s="11">
        <v>-58.038161203400001</v>
      </c>
      <c r="K3262" s="10">
        <v>0.24678125158899999</v>
      </c>
      <c r="L3262" s="12">
        <v>17284653635.599998</v>
      </c>
      <c r="M3262">
        <v>-31.917092140531601</v>
      </c>
      <c r="N3262" s="7">
        <v>4.1797413184118701</v>
      </c>
      <c r="O3262" s="7">
        <v>1.29303105741827</v>
      </c>
      <c r="P3262" s="7">
        <v>-83.367986025618507</v>
      </c>
      <c r="Q3262" s="7" t="s">
        <v>3698</v>
      </c>
      <c r="U3262">
        <v>-1.2729259986740742</v>
      </c>
      <c r="AT3262" s="4" t="s">
        <v>4132</v>
      </c>
    </row>
    <row r="3263" spans="1:46">
      <c r="A3263" s="2">
        <v>1931</v>
      </c>
      <c r="B3263" t="s">
        <v>8674</v>
      </c>
      <c r="C3263" t="s">
        <v>367</v>
      </c>
      <c r="D3263" t="s">
        <v>3858</v>
      </c>
      <c r="E3263" s="4">
        <v>43465</v>
      </c>
      <c r="F3263" s="11">
        <v>-26.204302689999999</v>
      </c>
      <c r="G3263" s="11">
        <v>-41.041666669999998</v>
      </c>
      <c r="H3263" s="11">
        <v>91.608862481900005</v>
      </c>
      <c r="I3263" s="11">
        <v>52.833136747799998</v>
      </c>
      <c r="J3263" s="11">
        <v>26.326961022500001</v>
      </c>
      <c r="K3263" s="10">
        <v>0.51965786825000004</v>
      </c>
      <c r="L3263" s="12">
        <v>4088869230</v>
      </c>
      <c r="M3263">
        <v>15.8822590099736</v>
      </c>
      <c r="N3263" s="7">
        <v>2.9250499986055098</v>
      </c>
      <c r="O3263" s="7">
        <v>3.9944746035729199</v>
      </c>
      <c r="P3263" s="7">
        <v>7.5160885139067801</v>
      </c>
      <c r="Q3263" s="7">
        <v>0.32935906750652311</v>
      </c>
      <c r="U3263">
        <v>0.91587590885260828</v>
      </c>
      <c r="AT3263" s="4" t="s">
        <v>8675</v>
      </c>
    </row>
    <row r="3264" spans="1:46">
      <c r="A3264" s="2">
        <v>1734</v>
      </c>
      <c r="B3264" t="s">
        <v>8676</v>
      </c>
      <c r="C3264" t="s">
        <v>640</v>
      </c>
      <c r="D3264" t="s">
        <v>3837</v>
      </c>
      <c r="E3264" s="4">
        <v>43465</v>
      </c>
      <c r="F3264" s="11">
        <v>-60.327562319999998</v>
      </c>
      <c r="G3264" s="11">
        <v>-41.066997520000001</v>
      </c>
      <c r="H3264" s="11">
        <v>15.5637667966</v>
      </c>
      <c r="I3264" s="11">
        <v>57.002577579499999</v>
      </c>
      <c r="J3264" s="11">
        <v>23.092833838600001</v>
      </c>
      <c r="K3264" s="10">
        <v>0.139491217626</v>
      </c>
      <c r="L3264" s="12">
        <v>8234004987</v>
      </c>
      <c r="M3264">
        <v>21.894687674372999</v>
      </c>
      <c r="N3264" s="7">
        <v>3.7447187413519099</v>
      </c>
      <c r="O3264" s="7">
        <v>7.8340067447516804</v>
      </c>
      <c r="P3264" s="7">
        <v>-41.585570664748602</v>
      </c>
      <c r="Q3264" s="7" t="s">
        <v>3698</v>
      </c>
      <c r="U3264">
        <v>0.22294699062568163</v>
      </c>
      <c r="AT3264" s="4" t="s">
        <v>5419</v>
      </c>
    </row>
    <row r="3265" spans="1:46">
      <c r="A3265" s="2">
        <v>1265</v>
      </c>
      <c r="B3265" t="s">
        <v>8677</v>
      </c>
      <c r="C3265" t="s">
        <v>822</v>
      </c>
      <c r="D3265" t="s">
        <v>3718</v>
      </c>
      <c r="E3265" s="4">
        <v>43465</v>
      </c>
      <c r="F3265" s="11">
        <v>-25.788262809999999</v>
      </c>
      <c r="G3265" s="11">
        <v>-41.091549299999997</v>
      </c>
      <c r="H3265" s="11">
        <v>44.123997584599998</v>
      </c>
      <c r="I3265" s="11">
        <v>29.845498955699998</v>
      </c>
      <c r="J3265" s="11">
        <v>14.5306360283</v>
      </c>
      <c r="K3265" s="10">
        <v>0.74087862880900002</v>
      </c>
      <c r="L3265" s="12">
        <v>2922071875.48</v>
      </c>
      <c r="M3265">
        <v>27.658141801417699</v>
      </c>
      <c r="N3265" s="7">
        <v>3.4911234881278901</v>
      </c>
      <c r="O3265" s="7">
        <v>3.54151585721391</v>
      </c>
      <c r="P3265" s="7">
        <v>-67.663469919275897</v>
      </c>
      <c r="Q3265" s="7">
        <v>2.1020560220611793</v>
      </c>
      <c r="U3265">
        <v>1.2447741132751078</v>
      </c>
      <c r="AT3265" s="4" t="s">
        <v>3803</v>
      </c>
    </row>
    <row r="3266" spans="1:46">
      <c r="A3266" s="2">
        <v>830</v>
      </c>
      <c r="B3266" t="s">
        <v>8678</v>
      </c>
      <c r="C3266" t="s">
        <v>3358</v>
      </c>
      <c r="D3266" t="s">
        <v>3752</v>
      </c>
      <c r="E3266" s="4">
        <v>43465</v>
      </c>
      <c r="F3266" s="11">
        <v>-42.108027139999997</v>
      </c>
      <c r="G3266" s="11">
        <v>-41.268803140000003</v>
      </c>
      <c r="H3266" s="11">
        <v>-8.3843134828999997</v>
      </c>
      <c r="I3266" s="11">
        <v>26.5844227031</v>
      </c>
      <c r="J3266" s="11">
        <v>-6.9231304004999998</v>
      </c>
      <c r="K3266" s="10">
        <v>0.47541345846900002</v>
      </c>
      <c r="L3266" s="12">
        <v>5236164661.9300003</v>
      </c>
      <c r="M3266">
        <v>-26016.703949051702</v>
      </c>
      <c r="N3266" s="7">
        <v>16.360358633243099</v>
      </c>
      <c r="O3266" s="7">
        <v>6.2597436492160199</v>
      </c>
      <c r="P3266" s="7">
        <v>-368.04940489161402</v>
      </c>
      <c r="Q3266" s="7" t="s">
        <v>3698</v>
      </c>
      <c r="U3266">
        <v>-0.16872987550000001</v>
      </c>
      <c r="AT3266" s="4" t="s">
        <v>4745</v>
      </c>
    </row>
    <row r="3267" spans="1:46">
      <c r="A3267" s="2">
        <v>1103</v>
      </c>
      <c r="B3267" t="s">
        <v>8679</v>
      </c>
      <c r="C3267" t="s">
        <v>2853</v>
      </c>
      <c r="D3267" t="s">
        <v>3849</v>
      </c>
      <c r="E3267" s="4">
        <v>43465</v>
      </c>
      <c r="F3267" s="11">
        <v>-37.113402979999996</v>
      </c>
      <c r="G3267" s="11">
        <v>-41.410256410000002</v>
      </c>
      <c r="H3267" s="11">
        <v>-8.3306225614000002</v>
      </c>
      <c r="I3267" s="11">
        <v>11.8754293783</v>
      </c>
      <c r="J3267" s="11">
        <v>1.0149896343</v>
      </c>
      <c r="K3267" s="10">
        <v>0.28564388888300002</v>
      </c>
      <c r="L3267" s="12">
        <v>2635576683.52</v>
      </c>
      <c r="M3267">
        <v>156.48445270824499</v>
      </c>
      <c r="N3267" s="7">
        <v>3.5628784317420998</v>
      </c>
      <c r="O3267" s="7">
        <v>8.9837201861722509</v>
      </c>
      <c r="P3267" s="7">
        <v>25.015473387283201</v>
      </c>
      <c r="Q3267" s="7" t="s">
        <v>3698</v>
      </c>
      <c r="U3267">
        <v>2.5674413880292027E-2</v>
      </c>
      <c r="AT3267" s="4" t="s">
        <v>5584</v>
      </c>
    </row>
    <row r="3268" spans="1:46">
      <c r="A3268" s="2">
        <v>3216</v>
      </c>
      <c r="B3268" t="s">
        <v>8680</v>
      </c>
      <c r="C3268" t="s">
        <v>936</v>
      </c>
      <c r="D3268" t="s">
        <v>3832</v>
      </c>
      <c r="E3268" s="4">
        <v>43465</v>
      </c>
      <c r="F3268" s="11">
        <v>-18.40323583</v>
      </c>
      <c r="G3268" s="11">
        <v>-41.504018369999997</v>
      </c>
      <c r="H3268" s="11">
        <v>51.228450357</v>
      </c>
      <c r="I3268" s="11">
        <v>26.2242615091</v>
      </c>
      <c r="J3268" s="11">
        <v>9.666072153</v>
      </c>
      <c r="K3268" s="10">
        <v>0.69812117183699995</v>
      </c>
      <c r="L3268" s="12">
        <v>2945138933.5500002</v>
      </c>
      <c r="M3268">
        <v>16.481148712677701</v>
      </c>
      <c r="N3268" s="7">
        <v>2.2776798431499601</v>
      </c>
      <c r="O3268" s="7">
        <v>1.4387661080073499</v>
      </c>
      <c r="P3268" s="7">
        <v>27.331936919189499</v>
      </c>
      <c r="Q3268" s="7">
        <v>2.529883108382601</v>
      </c>
      <c r="U3268">
        <v>1.2624994595161461</v>
      </c>
      <c r="AT3268" s="4" t="s">
        <v>8681</v>
      </c>
    </row>
    <row r="3269" spans="1:46">
      <c r="A3269" s="2">
        <v>1525</v>
      </c>
      <c r="B3269" t="s">
        <v>8682</v>
      </c>
      <c r="C3269" t="s">
        <v>1631</v>
      </c>
      <c r="D3269" t="s">
        <v>3849</v>
      </c>
      <c r="E3269" s="4">
        <v>43465</v>
      </c>
      <c r="F3269" s="11">
        <v>-61.199901709999999</v>
      </c>
      <c r="G3269" s="11">
        <v>-41.511285569999998</v>
      </c>
      <c r="H3269" s="11">
        <v>29.9287500531</v>
      </c>
      <c r="I3269" s="11">
        <v>18.828641730600001</v>
      </c>
      <c r="J3269" s="11">
        <v>-2.1242576475999999</v>
      </c>
      <c r="K3269" s="10">
        <v>0.70561925897199995</v>
      </c>
      <c r="L3269" s="12">
        <v>3650629500</v>
      </c>
      <c r="M3269">
        <v>-286.09324263191297</v>
      </c>
      <c r="N3269" s="7">
        <v>2.3910189059925999</v>
      </c>
      <c r="O3269" s="7">
        <v>1.22024549005633</v>
      </c>
      <c r="P3269" s="7">
        <v>23.905497861337</v>
      </c>
      <c r="Q3269" s="7">
        <v>0.53875559418018304</v>
      </c>
      <c r="U3269">
        <v>-0.13274172383668836</v>
      </c>
      <c r="AT3269" s="4" t="s">
        <v>4719</v>
      </c>
    </row>
    <row r="3270" spans="1:46">
      <c r="A3270" s="2">
        <v>40</v>
      </c>
      <c r="B3270" t="s">
        <v>8683</v>
      </c>
      <c r="C3270" t="s">
        <v>103</v>
      </c>
      <c r="D3270" t="s">
        <v>3764</v>
      </c>
      <c r="E3270" s="4">
        <v>43465</v>
      </c>
      <c r="F3270" s="11">
        <v>-69.828544059999999</v>
      </c>
      <c r="G3270" s="11">
        <v>-41.545998220000001</v>
      </c>
      <c r="H3270" s="11">
        <v>6.7059703288000003</v>
      </c>
      <c r="I3270" s="11">
        <v>14.114201941099999</v>
      </c>
      <c r="J3270" s="11">
        <v>12.9829484267</v>
      </c>
      <c r="K3270" s="10">
        <v>0.27401732241600002</v>
      </c>
      <c r="L3270" s="12">
        <v>2695195943.9899998</v>
      </c>
      <c r="M3270">
        <v>19.8004905660429</v>
      </c>
      <c r="N3270" s="7">
        <v>0.79456966861949796</v>
      </c>
      <c r="O3270" s="7">
        <v>1.3037332055450901</v>
      </c>
      <c r="P3270" s="7">
        <v>-3.7266060823377898</v>
      </c>
      <c r="Q3270" s="7">
        <v>2.0161290322580649</v>
      </c>
      <c r="T3270" s="2"/>
      <c r="U3270">
        <v>0.75173308750795387</v>
      </c>
      <c r="AT3270" s="4" t="s">
        <v>7869</v>
      </c>
    </row>
    <row r="3271" spans="1:46">
      <c r="A3271" s="2">
        <v>1970</v>
      </c>
      <c r="B3271" t="s">
        <v>8684</v>
      </c>
      <c r="C3271" t="s">
        <v>535</v>
      </c>
      <c r="D3271" t="s">
        <v>3849</v>
      </c>
      <c r="E3271" s="4">
        <v>43465</v>
      </c>
      <c r="F3271" s="11">
        <v>-26.482441819999998</v>
      </c>
      <c r="G3271" s="11">
        <v>-41.579914270000003</v>
      </c>
      <c r="H3271" s="11">
        <v>-5.7748731838999996</v>
      </c>
      <c r="I3271" s="11">
        <v>32.360992803199998</v>
      </c>
      <c r="J3271" s="11">
        <v>22.4681800183</v>
      </c>
      <c r="K3271" s="10">
        <v>0.64573441920399999</v>
      </c>
      <c r="L3271" s="12">
        <v>6470152337.3999996</v>
      </c>
      <c r="M3271">
        <v>18.441131921362398</v>
      </c>
      <c r="N3271" s="7">
        <v>2.55611696588671</v>
      </c>
      <c r="O3271" s="7">
        <v>3.0347386901132598</v>
      </c>
      <c r="P3271" s="7">
        <v>-71.330955233067101</v>
      </c>
      <c r="Q3271" s="7">
        <v>3.4221256437258853</v>
      </c>
      <c r="U3271">
        <v>1.1105346551089847</v>
      </c>
      <c r="AT3271" s="4" t="s">
        <v>4956</v>
      </c>
    </row>
    <row r="3272" spans="1:46">
      <c r="A3272" s="2">
        <v>2106</v>
      </c>
      <c r="B3272" t="s">
        <v>8685</v>
      </c>
      <c r="C3272" t="s">
        <v>2053</v>
      </c>
      <c r="D3272" t="s">
        <v>3832</v>
      </c>
      <c r="E3272" s="4">
        <v>43465</v>
      </c>
      <c r="F3272" s="11">
        <v>-42.561904159999997</v>
      </c>
      <c r="G3272" s="11">
        <v>-41.62907268</v>
      </c>
      <c r="H3272" s="11">
        <v>81.519356666999997</v>
      </c>
      <c r="I3272" s="11">
        <v>25.147655405399998</v>
      </c>
      <c r="J3272" s="11">
        <v>1.2922060710000001</v>
      </c>
      <c r="K3272" s="10">
        <v>0.72102914090100001</v>
      </c>
      <c r="L3272" s="12">
        <v>4254549975.6599998</v>
      </c>
      <c r="M3272">
        <v>78.929208470013904</v>
      </c>
      <c r="N3272" s="7">
        <v>7.0850420609166296</v>
      </c>
      <c r="O3272" s="7">
        <v>9.7030515694680304</v>
      </c>
      <c r="P3272" s="7">
        <v>-11.487407747330501</v>
      </c>
      <c r="Q3272" s="7">
        <v>0.35325702981489332</v>
      </c>
      <c r="U3272">
        <v>0.19771724455882353</v>
      </c>
      <c r="AT3272" s="4" t="s">
        <v>8201</v>
      </c>
    </row>
    <row r="3273" spans="1:46">
      <c r="A3273" s="2">
        <v>1012</v>
      </c>
      <c r="B3273" t="s">
        <v>8686</v>
      </c>
      <c r="C3273" t="s">
        <v>1980</v>
      </c>
      <c r="D3273" t="s">
        <v>3718</v>
      </c>
      <c r="E3273" s="4">
        <v>43465</v>
      </c>
      <c r="F3273" s="11">
        <v>-83.317261329999994</v>
      </c>
      <c r="G3273" s="11">
        <v>-41.696113070000003</v>
      </c>
      <c r="H3273" s="11">
        <v>-84.235986952199994</v>
      </c>
      <c r="I3273" s="11">
        <v>-59.9757953911</v>
      </c>
      <c r="J3273" s="11">
        <v>-845.36273719530004</v>
      </c>
      <c r="K3273" s="10">
        <v>3.4730071373999999E-2</v>
      </c>
      <c r="L3273" s="12">
        <v>7561565754</v>
      </c>
      <c r="M3273">
        <v>-3.8460623049799998</v>
      </c>
      <c r="N3273" s="7">
        <v>0.86588652599420601</v>
      </c>
      <c r="O3273" s="7">
        <v>3.3132250116830799</v>
      </c>
      <c r="P3273" s="7">
        <v>-3.07563672214732</v>
      </c>
      <c r="Q3273" s="7" t="s">
        <v>3698</v>
      </c>
      <c r="U3273">
        <v>-3.3253003378942849</v>
      </c>
      <c r="AT3273" s="4" t="s">
        <v>7077</v>
      </c>
    </row>
    <row r="3274" spans="1:46">
      <c r="A3274" s="2">
        <v>1113</v>
      </c>
      <c r="B3274" t="s">
        <v>8687</v>
      </c>
      <c r="C3274" t="s">
        <v>834</v>
      </c>
      <c r="D3274" t="s">
        <v>3790</v>
      </c>
      <c r="E3274" s="4">
        <v>43465</v>
      </c>
      <c r="F3274" s="11">
        <v>-13.906270960000001</v>
      </c>
      <c r="G3274" s="11">
        <v>-42.51815981</v>
      </c>
      <c r="H3274" s="11">
        <v>132.72449625869999</v>
      </c>
      <c r="I3274" s="11">
        <v>38.236664249299999</v>
      </c>
      <c r="J3274" s="11">
        <v>11.8360408909</v>
      </c>
      <c r="K3274" s="10">
        <v>0.70156001780499999</v>
      </c>
      <c r="L3274" s="12">
        <v>7317135000</v>
      </c>
      <c r="M3274">
        <v>62.3031705731035</v>
      </c>
      <c r="N3274" s="7">
        <v>8.0777725533909202</v>
      </c>
      <c r="O3274" s="7">
        <v>6.6428732136542497</v>
      </c>
      <c r="P3274" s="7">
        <v>21.2699862597863</v>
      </c>
      <c r="Q3274" s="7">
        <v>0.40202279332957425</v>
      </c>
      <c r="U3274">
        <v>0.41214712678159993</v>
      </c>
      <c r="AT3274" s="4" t="s">
        <v>6016</v>
      </c>
    </row>
    <row r="3275" spans="1:46">
      <c r="A3275" s="2">
        <v>2754</v>
      </c>
      <c r="B3275" t="s">
        <v>8688</v>
      </c>
      <c r="C3275" t="s">
        <v>147</v>
      </c>
      <c r="D3275" t="s">
        <v>3764</v>
      </c>
      <c r="E3275" s="4">
        <v>43465</v>
      </c>
      <c r="F3275" s="11">
        <v>-25.283415770000001</v>
      </c>
      <c r="G3275" s="11">
        <v>-42.652027029999999</v>
      </c>
      <c r="H3275" s="11">
        <v>59.895401647699998</v>
      </c>
      <c r="I3275" s="11">
        <v>31.551715074499999</v>
      </c>
      <c r="J3275" s="11">
        <v>21.266141790999999</v>
      </c>
      <c r="K3275" s="10">
        <v>0.59601376909500003</v>
      </c>
      <c r="L3275" s="12">
        <v>4434304000</v>
      </c>
      <c r="M3275">
        <v>10.610594556408801</v>
      </c>
      <c r="N3275" s="7">
        <v>3.7239854587408598</v>
      </c>
      <c r="O3275" s="7">
        <v>2.7021385282224699</v>
      </c>
      <c r="P3275" s="7">
        <v>-32.455537622858699</v>
      </c>
      <c r="Q3275" s="7">
        <v>5.249401196290898</v>
      </c>
      <c r="U3275">
        <v>0.97567343922079763</v>
      </c>
      <c r="AT3275" s="4" t="s">
        <v>6208</v>
      </c>
    </row>
    <row r="3276" spans="1:46">
      <c r="A3276" s="2">
        <v>686</v>
      </c>
      <c r="B3276" t="s">
        <v>8689</v>
      </c>
      <c r="C3276" t="s">
        <v>3597</v>
      </c>
      <c r="D3276" t="s">
        <v>3718</v>
      </c>
      <c r="E3276" s="4">
        <v>43465</v>
      </c>
      <c r="F3276" s="11">
        <v>-76.296296299999995</v>
      </c>
      <c r="G3276" s="11">
        <v>-43.067846609999997</v>
      </c>
      <c r="H3276" s="11">
        <v>-39.866471343400001</v>
      </c>
      <c r="I3276" s="11">
        <v>10.342861900700001</v>
      </c>
      <c r="J3276" s="11">
        <v>-336.2145568999</v>
      </c>
      <c r="K3276" s="10">
        <v>0.14255521491699999</v>
      </c>
      <c r="L3276" s="12">
        <v>1619800000</v>
      </c>
      <c r="M3276">
        <v>-6.5730281921460598</v>
      </c>
      <c r="N3276" s="7">
        <v>13.7032801574149</v>
      </c>
      <c r="O3276" s="7">
        <v>13.3874812602788</v>
      </c>
      <c r="P3276" s="7">
        <v>-21.177320097319999</v>
      </c>
      <c r="Q3276" s="7" t="s">
        <v>3698</v>
      </c>
      <c r="U3276">
        <v>-1.077579829078424</v>
      </c>
      <c r="AT3276" s="4" t="s">
        <v>8633</v>
      </c>
    </row>
    <row r="3277" spans="1:46">
      <c r="A3277" s="2">
        <v>731</v>
      </c>
      <c r="B3277" t="s">
        <v>8690</v>
      </c>
      <c r="C3277" t="s">
        <v>2867</v>
      </c>
      <c r="D3277" t="s">
        <v>3781</v>
      </c>
      <c r="E3277" s="4">
        <v>43465</v>
      </c>
      <c r="F3277" s="11">
        <v>-71.289912029999996</v>
      </c>
      <c r="G3277" s="11">
        <v>-43.137254900000002</v>
      </c>
      <c r="H3277" s="11">
        <v>-29.0943185846</v>
      </c>
      <c r="I3277" s="11">
        <v>15.764666006000001</v>
      </c>
      <c r="J3277" s="11">
        <v>-15.9047013895</v>
      </c>
      <c r="K3277" s="10">
        <v>0.20578232354600001</v>
      </c>
      <c r="L3277" s="12">
        <v>2158125971.2399998</v>
      </c>
      <c r="M3277">
        <v>39.910127641889197</v>
      </c>
      <c r="N3277" s="7">
        <v>0.75700983470790995</v>
      </c>
      <c r="O3277" s="7">
        <v>1.5766962062731</v>
      </c>
      <c r="P3277" s="7">
        <v>-3.5361949316369699</v>
      </c>
      <c r="Q3277" s="7" t="s">
        <v>3698</v>
      </c>
      <c r="U3277">
        <v>-0.21558033926026521</v>
      </c>
      <c r="AT3277" s="4" t="s">
        <v>6590</v>
      </c>
    </row>
    <row r="3278" spans="1:46">
      <c r="A3278" s="2">
        <v>572</v>
      </c>
      <c r="B3278" t="s">
        <v>8691</v>
      </c>
      <c r="C3278" t="s">
        <v>255</v>
      </c>
      <c r="D3278" t="s">
        <v>3858</v>
      </c>
      <c r="E3278" s="4">
        <v>43465</v>
      </c>
      <c r="F3278" s="11">
        <v>-60.533138569999998</v>
      </c>
      <c r="G3278" s="11">
        <v>-43.524829599999997</v>
      </c>
      <c r="H3278" s="11">
        <v>27.005739090599999</v>
      </c>
      <c r="I3278" s="11">
        <v>9.6667530619999997</v>
      </c>
      <c r="J3278" s="11">
        <v>4.7452718238999996</v>
      </c>
      <c r="K3278" s="10">
        <v>0.94627269409699999</v>
      </c>
      <c r="L3278" s="12">
        <v>3430302491.29</v>
      </c>
      <c r="M3278">
        <v>13.865283056632499</v>
      </c>
      <c r="N3278" s="7">
        <v>1.98279492937699</v>
      </c>
      <c r="O3278" s="7">
        <v>0.53922179707367401</v>
      </c>
      <c r="P3278" s="7">
        <v>11.1994476048295</v>
      </c>
      <c r="Q3278" s="7">
        <v>2.1428571428571423</v>
      </c>
      <c r="U3278">
        <v>0.88168947272749532</v>
      </c>
      <c r="AT3278" s="4" t="s">
        <v>7969</v>
      </c>
    </row>
    <row r="3279" spans="1:46">
      <c r="A3279" s="2">
        <v>3368</v>
      </c>
      <c r="B3279" t="s">
        <v>8692</v>
      </c>
      <c r="C3279" t="s">
        <v>259</v>
      </c>
      <c r="D3279" t="s">
        <v>3718</v>
      </c>
      <c r="E3279" s="4">
        <v>43465</v>
      </c>
      <c r="F3279" s="11">
        <v>-10.535232779999999</v>
      </c>
      <c r="G3279" s="11">
        <v>-43.581357320000002</v>
      </c>
      <c r="H3279" s="11">
        <v>48.979625519099997</v>
      </c>
      <c r="I3279" s="11">
        <v>28.080531843300001</v>
      </c>
      <c r="J3279" s="11">
        <v>10.9678792998</v>
      </c>
      <c r="K3279" s="10">
        <v>1.0965337396649999</v>
      </c>
      <c r="L3279" s="12">
        <v>2028328020</v>
      </c>
      <c r="M3279">
        <v>23.637972989548999</v>
      </c>
      <c r="N3279" s="7">
        <v>4.7358960879070802</v>
      </c>
      <c r="O3279" s="7">
        <v>2.8948865889510298</v>
      </c>
      <c r="P3279" s="7">
        <v>115.99177558070301</v>
      </c>
      <c r="Q3279" s="7">
        <v>1.8974639664294837</v>
      </c>
      <c r="U3279">
        <v>1.4769835162945015</v>
      </c>
      <c r="AT3279" s="4" t="s">
        <v>4740</v>
      </c>
    </row>
    <row r="3280" spans="1:46">
      <c r="A3280" s="2">
        <v>2093</v>
      </c>
      <c r="B3280" t="s">
        <v>8693</v>
      </c>
      <c r="C3280" t="s">
        <v>3634</v>
      </c>
      <c r="D3280" t="s">
        <v>3832</v>
      </c>
      <c r="E3280" s="4">
        <v>43465</v>
      </c>
      <c r="F3280" s="11">
        <v>-48.372592150000003</v>
      </c>
      <c r="G3280" s="11">
        <v>-43.786521229999998</v>
      </c>
      <c r="H3280" s="11">
        <v>3.9745173099</v>
      </c>
      <c r="I3280" s="11">
        <v>38.235355951599999</v>
      </c>
      <c r="J3280" s="11">
        <v>8.3200418404000001</v>
      </c>
      <c r="K3280" s="10">
        <v>0.51592489585000001</v>
      </c>
      <c r="L3280" s="12">
        <v>31507588173.349998</v>
      </c>
      <c r="M3280">
        <v>220.107256253093</v>
      </c>
      <c r="N3280" s="7">
        <v>8.4935402844037</v>
      </c>
      <c r="O3280" s="7">
        <v>9.1649405894603895</v>
      </c>
      <c r="P3280" s="7">
        <v>-354.77685261131103</v>
      </c>
      <c r="Q3280" s="7">
        <v>0.45513654096228862</v>
      </c>
      <c r="U3280">
        <v>0.2361188509729884</v>
      </c>
      <c r="AT3280" s="4" t="s">
        <v>3960</v>
      </c>
    </row>
    <row r="3281" spans="1:46">
      <c r="A3281" s="2">
        <v>3267</v>
      </c>
      <c r="B3281" t="s">
        <v>8694</v>
      </c>
      <c r="C3281" t="s">
        <v>1600</v>
      </c>
      <c r="D3281" t="s">
        <v>3811</v>
      </c>
      <c r="E3281" s="4">
        <v>43465</v>
      </c>
      <c r="F3281" s="11">
        <v>-7.1062484399999999</v>
      </c>
      <c r="G3281" s="11">
        <v>-43.844221109999999</v>
      </c>
      <c r="H3281" s="11">
        <v>19.725293776499999</v>
      </c>
      <c r="I3281" s="11">
        <v>17.194589526400001</v>
      </c>
      <c r="J3281" s="11">
        <v>1.9356470688</v>
      </c>
      <c r="K3281" s="10">
        <v>1.1094860404369999</v>
      </c>
      <c r="L3281" s="12">
        <v>4289250970.96</v>
      </c>
      <c r="M3281">
        <v>41.554428707221398</v>
      </c>
      <c r="N3281" s="7">
        <v>3.5942807468582401</v>
      </c>
      <c r="O3281" s="7">
        <v>1.1169497122850101</v>
      </c>
      <c r="P3281" s="7">
        <v>44.937621077650199</v>
      </c>
      <c r="Q3281" s="7" t="s">
        <v>3698</v>
      </c>
      <c r="U3281">
        <v>0.29231792395833334</v>
      </c>
      <c r="AT3281" s="4" t="s">
        <v>8521</v>
      </c>
    </row>
    <row r="3282" spans="1:46">
      <c r="A3282" s="2">
        <v>2844</v>
      </c>
      <c r="B3282" t="s">
        <v>8695</v>
      </c>
      <c r="C3282" t="s">
        <v>973</v>
      </c>
      <c r="D3282" t="s">
        <v>3737</v>
      </c>
      <c r="E3282" s="4">
        <v>43465</v>
      </c>
      <c r="F3282" s="11">
        <v>-41.83466267</v>
      </c>
      <c r="G3282" s="11">
        <v>-44.232767580000001</v>
      </c>
      <c r="H3282" s="11">
        <v>38.511597894099999</v>
      </c>
      <c r="I3282" s="11">
        <v>81.115826034099996</v>
      </c>
      <c r="J3282" s="11">
        <v>24.342757814100001</v>
      </c>
      <c r="K3282" s="10">
        <v>0.57849375327800001</v>
      </c>
      <c r="L3282" s="12">
        <v>2610881625.5999999</v>
      </c>
      <c r="M3282">
        <v>30.300045207320501</v>
      </c>
      <c r="N3282" s="7">
        <v>4.4534653481009796</v>
      </c>
      <c r="O3282" s="7">
        <v>7.0136186880824303</v>
      </c>
      <c r="P3282" s="7">
        <v>-236.75778099445</v>
      </c>
      <c r="Q3282" s="7" t="s">
        <v>3698</v>
      </c>
      <c r="U3282">
        <v>1.0601596161061309</v>
      </c>
      <c r="AT3282" s="4" t="s">
        <v>8696</v>
      </c>
    </row>
    <row r="3283" spans="1:46">
      <c r="A3283" s="2">
        <v>3312</v>
      </c>
      <c r="B3283" t="s">
        <v>8697</v>
      </c>
      <c r="C3283" t="s">
        <v>1547</v>
      </c>
      <c r="D3283" t="s">
        <v>3764</v>
      </c>
      <c r="E3283" s="4">
        <v>43465</v>
      </c>
      <c r="F3283" s="11">
        <v>-34.57384132</v>
      </c>
      <c r="G3283" s="11">
        <v>-44.256559770000003</v>
      </c>
      <c r="H3283" s="11">
        <v>37.453461062899997</v>
      </c>
      <c r="I3283" s="11">
        <v>38.196319254099997</v>
      </c>
      <c r="J3283" s="11">
        <v>19.432593718300001</v>
      </c>
      <c r="K3283" s="10">
        <v>0.482099583389</v>
      </c>
      <c r="L3283" s="12">
        <v>14850232308.639999</v>
      </c>
      <c r="M3283">
        <v>42.935025390499902</v>
      </c>
      <c r="N3283" s="7">
        <v>3.4801737178443699</v>
      </c>
      <c r="O3283" s="7">
        <v>7.3415697105167101</v>
      </c>
      <c r="P3283" s="7">
        <v>-15.373510134378</v>
      </c>
      <c r="Q3283" s="7">
        <v>1.3249021379102677</v>
      </c>
      <c r="U3283">
        <v>1.0670901210615036</v>
      </c>
      <c r="AT3283" s="4" t="s">
        <v>6793</v>
      </c>
    </row>
    <row r="3284" spans="1:46">
      <c r="A3284" s="2">
        <v>3393</v>
      </c>
      <c r="B3284" t="s">
        <v>8698</v>
      </c>
      <c r="C3284" t="s">
        <v>3363</v>
      </c>
      <c r="D3284" t="s">
        <v>4060</v>
      </c>
      <c r="E3284" s="4">
        <v>43465</v>
      </c>
      <c r="F3284" s="11">
        <v>-44.755805070000001</v>
      </c>
      <c r="G3284" s="11">
        <v>-44.699140399999997</v>
      </c>
      <c r="H3284" s="11">
        <v>-27.175187017900001</v>
      </c>
      <c r="I3284" s="11">
        <v>56.1912534063</v>
      </c>
      <c r="J3284" s="11">
        <v>-22.528306261299999</v>
      </c>
      <c r="K3284" s="10">
        <v>0.4121658473</v>
      </c>
      <c r="L3284" s="12">
        <v>3525086836.4000001</v>
      </c>
      <c r="M3284">
        <v>-204.93725375350499</v>
      </c>
      <c r="N3284" s="7">
        <v>2.9408912039127202</v>
      </c>
      <c r="O3284" s="7">
        <v>4.6864363055005498</v>
      </c>
      <c r="P3284" s="7">
        <v>-708.45750928409996</v>
      </c>
      <c r="Q3284" s="7" t="s">
        <v>3698</v>
      </c>
      <c r="U3284">
        <v>-0.39326347506393861</v>
      </c>
      <c r="AT3284" s="4" t="s">
        <v>8699</v>
      </c>
    </row>
    <row r="3285" spans="1:46">
      <c r="A3285" s="2">
        <v>865</v>
      </c>
      <c r="B3285" t="s">
        <v>8700</v>
      </c>
      <c r="C3285" t="s">
        <v>1487</v>
      </c>
      <c r="D3285" t="s">
        <v>3790</v>
      </c>
      <c r="E3285" s="4">
        <v>43465</v>
      </c>
      <c r="F3285" s="11">
        <v>-83.238652139999999</v>
      </c>
      <c r="G3285" s="11">
        <v>-45.229007629999998</v>
      </c>
      <c r="H3285" s="11">
        <v>-16.2045483305</v>
      </c>
      <c r="I3285" s="11">
        <v>65.093574086199993</v>
      </c>
      <c r="J3285" s="11">
        <v>-268.50579099340001</v>
      </c>
      <c r="K3285" s="10">
        <v>0.226275212364</v>
      </c>
      <c r="L3285" s="12">
        <v>1994558328</v>
      </c>
      <c r="M3285">
        <v>22.588115600737499</v>
      </c>
      <c r="N3285" s="7">
        <v>-8.1289151147042293</v>
      </c>
      <c r="O3285" s="7">
        <v>1.78745665564829</v>
      </c>
      <c r="P3285" s="7">
        <v>-11.193137710413501</v>
      </c>
      <c r="Q3285" s="7" t="s">
        <v>3698</v>
      </c>
      <c r="U3285">
        <v>-7.671126266552049</v>
      </c>
      <c r="AT3285" s="4" t="s">
        <v>6734</v>
      </c>
    </row>
    <row r="3286" spans="1:46">
      <c r="A3286" s="2">
        <v>1603</v>
      </c>
      <c r="B3286" t="s">
        <v>8701</v>
      </c>
      <c r="C3286" t="s">
        <v>1206</v>
      </c>
      <c r="D3286" t="s">
        <v>3832</v>
      </c>
      <c r="E3286" s="4">
        <v>43465</v>
      </c>
      <c r="F3286" s="11">
        <v>-62.413692189999999</v>
      </c>
      <c r="G3286" s="11">
        <v>-45.575221239999998</v>
      </c>
      <c r="H3286" s="11">
        <v>38.430370715099997</v>
      </c>
      <c r="I3286" s="11">
        <v>15.553985297600001</v>
      </c>
      <c r="J3286" s="11">
        <v>3.5250593220000002</v>
      </c>
      <c r="K3286" s="10">
        <v>0.59923309369900002</v>
      </c>
      <c r="L3286" s="12">
        <v>6415784184.5600004</v>
      </c>
      <c r="M3286">
        <v>20.749779363760901</v>
      </c>
      <c r="N3286" s="7">
        <v>2.4728214335786598</v>
      </c>
      <c r="O3286" s="7">
        <v>1.06910627930347</v>
      </c>
      <c r="P3286" s="7">
        <v>-6.1144967082383896</v>
      </c>
      <c r="Q3286" s="7">
        <v>0.57259713701431503</v>
      </c>
      <c r="U3286">
        <v>0.27209581557080531</v>
      </c>
      <c r="AT3286" s="4" t="s">
        <v>4795</v>
      </c>
    </row>
    <row r="3287" spans="1:46">
      <c r="A3287" s="2">
        <v>2259</v>
      </c>
      <c r="B3287" t="s">
        <v>8702</v>
      </c>
      <c r="C3287" t="s">
        <v>3492</v>
      </c>
      <c r="D3287" t="s">
        <v>3761</v>
      </c>
      <c r="E3287" s="4">
        <v>43465</v>
      </c>
      <c r="F3287" s="11">
        <v>-57.31707317</v>
      </c>
      <c r="G3287" s="11">
        <v>-45.595854920000001</v>
      </c>
      <c r="H3287" s="11">
        <v>-9.7895001427999997</v>
      </c>
      <c r="I3287" s="11">
        <v>21.5895765034</v>
      </c>
      <c r="J3287" s="11">
        <v>3.3676419931999999</v>
      </c>
      <c r="K3287" s="10">
        <v>0.19413940272800001</v>
      </c>
      <c r="L3287" s="12">
        <v>882630000</v>
      </c>
      <c r="M3287">
        <v>-21.450585149599799</v>
      </c>
      <c r="N3287" s="7">
        <v>1.6220832288471301</v>
      </c>
      <c r="O3287" s="7">
        <v>3.9000884534477498</v>
      </c>
      <c r="P3287" s="7">
        <v>-88.096094719312205</v>
      </c>
      <c r="Q3287" s="7" t="s">
        <v>3698</v>
      </c>
      <c r="U3287">
        <v>3.3710748718993926E-2</v>
      </c>
      <c r="AT3287" s="4" t="s">
        <v>8703</v>
      </c>
    </row>
    <row r="3288" spans="1:46">
      <c r="A3288" s="2">
        <v>1846</v>
      </c>
      <c r="B3288" t="s">
        <v>8704</v>
      </c>
      <c r="C3288" t="s">
        <v>1743</v>
      </c>
      <c r="D3288" t="s">
        <v>3718</v>
      </c>
      <c r="E3288" s="4">
        <v>43465</v>
      </c>
      <c r="F3288" s="11">
        <v>-29.36317597</v>
      </c>
      <c r="G3288" s="11">
        <v>-45.770750990000003</v>
      </c>
      <c r="H3288" s="11">
        <v>6.4703117350000001</v>
      </c>
      <c r="I3288" s="11">
        <v>25.634092842600001</v>
      </c>
      <c r="J3288" s="11">
        <v>10.345063894000001</v>
      </c>
      <c r="K3288" s="10">
        <v>0.46835509955400001</v>
      </c>
      <c r="L3288" s="12">
        <v>2663668086</v>
      </c>
      <c r="M3288">
        <v>26.288101430527998</v>
      </c>
      <c r="N3288" s="7">
        <v>1.5695140500267699</v>
      </c>
      <c r="O3288" s="7">
        <v>2.3046611432158</v>
      </c>
      <c r="P3288" s="7">
        <v>-35.085822667284901</v>
      </c>
      <c r="Q3288" s="7">
        <v>3.3827152048737439</v>
      </c>
      <c r="U3288">
        <v>0.5470786202359188</v>
      </c>
      <c r="AT3288" s="4" t="s">
        <v>3746</v>
      </c>
    </row>
    <row r="3289" spans="1:46">
      <c r="A3289" s="2">
        <v>1973</v>
      </c>
      <c r="B3289" t="s">
        <v>8705</v>
      </c>
      <c r="C3289" t="s">
        <v>2601</v>
      </c>
      <c r="D3289" t="s">
        <v>3713</v>
      </c>
      <c r="E3289" s="4">
        <v>43465</v>
      </c>
      <c r="F3289" s="11">
        <v>25.2396232</v>
      </c>
      <c r="G3289" s="11">
        <v>-46.270084160000003</v>
      </c>
      <c r="H3289" s="11">
        <v>41.686800514200002</v>
      </c>
      <c r="I3289" s="11">
        <v>46.113961082499998</v>
      </c>
      <c r="J3289" s="11">
        <v>9.8600511485000002</v>
      </c>
      <c r="K3289" s="10">
        <v>0.47829316082000001</v>
      </c>
      <c r="L3289" s="12">
        <v>2800202986.9200001</v>
      </c>
      <c r="M3289">
        <v>141.979845477894</v>
      </c>
      <c r="N3289" s="7">
        <v>7.9520916677590101</v>
      </c>
      <c r="O3289" s="7">
        <v>13.0933366139966</v>
      </c>
      <c r="P3289" s="7">
        <v>99.030097115290502</v>
      </c>
      <c r="Q3289" s="7">
        <v>0.19974432726110578</v>
      </c>
      <c r="U3289">
        <v>0.48674963088217593</v>
      </c>
      <c r="AT3289" s="4" t="s">
        <v>3925</v>
      </c>
    </row>
    <row r="3290" spans="1:46">
      <c r="A3290" s="2">
        <v>1047</v>
      </c>
      <c r="B3290" t="s">
        <v>8706</v>
      </c>
      <c r="C3290" t="s">
        <v>596</v>
      </c>
      <c r="D3290" t="s">
        <v>3849</v>
      </c>
      <c r="E3290" s="4">
        <v>43465</v>
      </c>
      <c r="F3290" s="11">
        <v>-44.748884140000001</v>
      </c>
      <c r="G3290" s="11">
        <v>-46.601941750000002</v>
      </c>
      <c r="H3290" s="11">
        <v>5.7978032732000004</v>
      </c>
      <c r="I3290" s="11">
        <v>27.901698340399999</v>
      </c>
      <c r="J3290" s="11">
        <v>8.5900552662000003</v>
      </c>
      <c r="K3290" s="10">
        <v>0.81760257277500004</v>
      </c>
      <c r="L3290" s="12">
        <v>3548652069.4299998</v>
      </c>
      <c r="M3290">
        <v>12.623192755616101</v>
      </c>
      <c r="N3290" s="7">
        <v>1.4104840830169101</v>
      </c>
      <c r="O3290" s="7">
        <v>1.07299232032886</v>
      </c>
      <c r="P3290" s="7">
        <v>-115.733032714491</v>
      </c>
      <c r="Q3290" s="7">
        <v>7.4404761904761916</v>
      </c>
      <c r="U3290">
        <v>0.73512971078010159</v>
      </c>
      <c r="AT3290" s="4" t="s">
        <v>8176</v>
      </c>
    </row>
    <row r="3291" spans="1:46">
      <c r="A3291" s="2">
        <v>1854</v>
      </c>
      <c r="B3291" t="s">
        <v>8707</v>
      </c>
      <c r="C3291" t="s">
        <v>644</v>
      </c>
      <c r="D3291" t="s">
        <v>3752</v>
      </c>
      <c r="E3291" s="4">
        <v>43465</v>
      </c>
      <c r="F3291" s="11">
        <v>34.614080520000002</v>
      </c>
      <c r="G3291" s="11">
        <v>-46.82692308</v>
      </c>
      <c r="H3291" s="11">
        <v>15.489941310500001</v>
      </c>
      <c r="I3291" s="11">
        <v>40.0363232371</v>
      </c>
      <c r="J3291" s="11">
        <v>18.519776474</v>
      </c>
      <c r="K3291" s="10">
        <v>0.46700387892299999</v>
      </c>
      <c r="L3291" s="12">
        <v>2172119040</v>
      </c>
      <c r="M3291">
        <v>64.460482332189898</v>
      </c>
      <c r="N3291" s="7">
        <v>6.2245391202787896</v>
      </c>
      <c r="O3291" s="7">
        <v>12.4331000680037</v>
      </c>
      <c r="P3291" s="7">
        <v>300.36887108244599</v>
      </c>
      <c r="Q3291" s="7">
        <v>0.58049535671312436</v>
      </c>
      <c r="U3291">
        <v>0.54042787644851609</v>
      </c>
      <c r="AT3291" s="4" t="s">
        <v>3941</v>
      </c>
    </row>
    <row r="3292" spans="1:46">
      <c r="A3292" s="2">
        <v>624</v>
      </c>
      <c r="B3292" t="s">
        <v>8708</v>
      </c>
      <c r="C3292" t="s">
        <v>2303</v>
      </c>
      <c r="D3292" t="s">
        <v>3790</v>
      </c>
      <c r="E3292" s="4">
        <v>43465</v>
      </c>
      <c r="F3292" s="11">
        <v>-72.833281119999995</v>
      </c>
      <c r="G3292" s="11">
        <v>-46.933333330000004</v>
      </c>
      <c r="H3292" s="11">
        <v>154.95186338970001</v>
      </c>
      <c r="I3292" s="11">
        <v>50.320380265700003</v>
      </c>
      <c r="J3292" s="11">
        <v>-71.740502091699994</v>
      </c>
      <c r="K3292" s="10">
        <v>0.17597881719</v>
      </c>
      <c r="L3292" s="12">
        <v>1973700000</v>
      </c>
      <c r="M3292">
        <v>-17.964212385907501</v>
      </c>
      <c r="N3292" s="7">
        <v>6.6279885494718398</v>
      </c>
      <c r="O3292" s="7">
        <v>12.640053734532</v>
      </c>
      <c r="P3292" s="7">
        <v>-51.690466071885702</v>
      </c>
      <c r="Q3292" s="7" t="s">
        <v>3698</v>
      </c>
      <c r="U3292">
        <v>-0.2457799044717979</v>
      </c>
      <c r="AT3292" s="4" t="s">
        <v>7173</v>
      </c>
    </row>
    <row r="3293" spans="1:46">
      <c r="A3293" s="2">
        <v>3375</v>
      </c>
      <c r="B3293" t="s">
        <v>8709</v>
      </c>
      <c r="C3293" t="s">
        <v>198</v>
      </c>
      <c r="D3293" t="s">
        <v>3832</v>
      </c>
      <c r="E3293" s="4">
        <v>43465</v>
      </c>
      <c r="F3293" s="11">
        <v>-30.40419984</v>
      </c>
      <c r="G3293" s="11">
        <v>-47.418546370000001</v>
      </c>
      <c r="H3293" s="11">
        <v>20.0379878255</v>
      </c>
      <c r="I3293" s="11">
        <v>47.509402950199998</v>
      </c>
      <c r="J3293" s="11">
        <v>26.4793286124</v>
      </c>
      <c r="K3293" s="10">
        <v>0.57024957279300004</v>
      </c>
      <c r="L3293" s="12">
        <v>903899367.16999996</v>
      </c>
      <c r="M3293">
        <v>13.9653063458102</v>
      </c>
      <c r="N3293" s="7">
        <v>3.0092702373814602</v>
      </c>
      <c r="O3293" s="7">
        <v>3.74012102607549</v>
      </c>
      <c r="P3293" s="7">
        <v>-35.389066976044901</v>
      </c>
      <c r="Q3293" s="7">
        <v>2.8186443033191404</v>
      </c>
      <c r="U3293">
        <v>1.3453359720715734</v>
      </c>
      <c r="AT3293" s="4" t="s">
        <v>5103</v>
      </c>
    </row>
    <row r="3294" spans="1:46">
      <c r="A3294" s="2">
        <v>1227</v>
      </c>
      <c r="B3294" t="s">
        <v>8710</v>
      </c>
      <c r="C3294" t="s">
        <v>1113</v>
      </c>
      <c r="D3294" t="s">
        <v>3764</v>
      </c>
      <c r="E3294" s="4">
        <v>43465</v>
      </c>
      <c r="F3294" s="11">
        <v>-37.015574129999997</v>
      </c>
      <c r="G3294" s="11">
        <v>-47.474747469999997</v>
      </c>
      <c r="H3294" s="11">
        <v>85.046696051699996</v>
      </c>
      <c r="I3294" s="11">
        <v>25.024397732200001</v>
      </c>
      <c r="J3294" s="11">
        <v>9.0400854439000007</v>
      </c>
      <c r="K3294" s="10">
        <v>0.64757102185500004</v>
      </c>
      <c r="L3294" s="12">
        <v>1795135973.9200001</v>
      </c>
      <c r="M3294">
        <v>11.7603644580495</v>
      </c>
      <c r="N3294" s="7">
        <v>2.7780595269717598</v>
      </c>
      <c r="O3294" s="7">
        <v>1.1498088595626901</v>
      </c>
      <c r="P3294" s="7">
        <v>11.378011527587301</v>
      </c>
      <c r="Q3294" s="7">
        <v>1.2176503955462401</v>
      </c>
      <c r="U3294">
        <v>0.76025391439626877</v>
      </c>
      <c r="AT3294" s="4" t="s">
        <v>6508</v>
      </c>
    </row>
    <row r="3295" spans="1:46">
      <c r="A3295" s="2">
        <v>3598</v>
      </c>
      <c r="B3295" t="s">
        <v>8711</v>
      </c>
      <c r="C3295" t="s">
        <v>2724</v>
      </c>
      <c r="D3295" t="s">
        <v>3832</v>
      </c>
      <c r="E3295" s="4">
        <v>43465</v>
      </c>
      <c r="F3295" s="11">
        <v>-41.471465629999997</v>
      </c>
      <c r="G3295" s="11">
        <v>-48.171206230000003</v>
      </c>
      <c r="H3295" s="11">
        <v>83.189738208700007</v>
      </c>
      <c r="I3295" s="11">
        <v>41.261114575599997</v>
      </c>
      <c r="J3295" s="11">
        <v>10.794718873300001</v>
      </c>
      <c r="K3295" s="10">
        <v>0.60700521918999994</v>
      </c>
      <c r="L3295" s="12">
        <v>1707660000</v>
      </c>
      <c r="M3295">
        <v>68.961571677091598</v>
      </c>
      <c r="N3295" s="7">
        <v>4.4489601654059401</v>
      </c>
      <c r="O3295" s="7">
        <v>5.7283396492954202</v>
      </c>
      <c r="P3295" s="7">
        <v>-1295.73029654125</v>
      </c>
      <c r="Q3295" s="7">
        <v>0.71519278806569997</v>
      </c>
      <c r="U3295">
        <v>0.66239779873170734</v>
      </c>
      <c r="AT3295" s="4" t="s">
        <v>8712</v>
      </c>
    </row>
    <row r="3296" spans="1:46">
      <c r="A3296" s="2">
        <v>801</v>
      </c>
      <c r="B3296" t="s">
        <v>8713</v>
      </c>
      <c r="C3296" t="s">
        <v>1652</v>
      </c>
      <c r="D3296" t="s">
        <v>3977</v>
      </c>
      <c r="E3296" s="4">
        <v>43465</v>
      </c>
      <c r="F3296" s="11">
        <v>-61.19664324</v>
      </c>
      <c r="G3296" s="11">
        <v>-48.182762199999999</v>
      </c>
      <c r="H3296" s="11">
        <v>21.143295662</v>
      </c>
      <c r="I3296" s="11">
        <v>14.806140367099999</v>
      </c>
      <c r="J3296" s="11">
        <v>3.6231808374000001</v>
      </c>
      <c r="K3296" s="10">
        <v>0.52417106940699998</v>
      </c>
      <c r="L3296" s="12">
        <v>3783588000</v>
      </c>
      <c r="M3296">
        <v>306.57398395477497</v>
      </c>
      <c r="N3296" s="7">
        <v>1.88209924556488</v>
      </c>
      <c r="O3296" s="7">
        <v>1.4102643589267201</v>
      </c>
      <c r="P3296" s="7">
        <v>14.546297151482801</v>
      </c>
      <c r="Q3296" s="7" t="s">
        <v>3698</v>
      </c>
      <c r="U3296">
        <v>0.2588904928727766</v>
      </c>
      <c r="AT3296" s="4" t="s">
        <v>3744</v>
      </c>
    </row>
    <row r="3297" spans="1:46">
      <c r="A3297" s="2">
        <v>1787</v>
      </c>
      <c r="B3297" t="s">
        <v>8714</v>
      </c>
      <c r="C3297" t="s">
        <v>2877</v>
      </c>
      <c r="D3297" t="s">
        <v>3718</v>
      </c>
      <c r="E3297" s="4">
        <v>43465</v>
      </c>
      <c r="F3297" s="11">
        <v>-79.136459990000006</v>
      </c>
      <c r="G3297" s="11">
        <v>-48.374760989999999</v>
      </c>
      <c r="H3297" s="11">
        <v>-62.677156129799997</v>
      </c>
      <c r="I3297" s="11">
        <v>-21.318866036500001</v>
      </c>
      <c r="J3297" s="11">
        <v>-502.9992469915</v>
      </c>
      <c r="K3297" s="10">
        <v>6.7975708832000006E-2</v>
      </c>
      <c r="L3297" s="12">
        <v>3032826138</v>
      </c>
      <c r="M3297">
        <v>-8.7610383071579498</v>
      </c>
      <c r="N3297" s="7">
        <v>-90.959335737144002</v>
      </c>
      <c r="O3297" s="7">
        <v>4.8632716395905202</v>
      </c>
      <c r="P3297" s="7">
        <v>-4.7165423264622897</v>
      </c>
      <c r="Q3297" s="7" t="s">
        <v>3698</v>
      </c>
      <c r="U3297">
        <v>-3.9913870585664015</v>
      </c>
      <c r="AT3297" s="4" t="s">
        <v>4073</v>
      </c>
    </row>
    <row r="3298" spans="1:46">
      <c r="A3298" s="2">
        <v>2376</v>
      </c>
      <c r="B3298" t="s">
        <v>8715</v>
      </c>
      <c r="C3298" t="s">
        <v>2581</v>
      </c>
      <c r="D3298" t="s">
        <v>3790</v>
      </c>
      <c r="E3298" s="4">
        <v>43465</v>
      </c>
      <c r="F3298" s="11">
        <v>-54.42964679</v>
      </c>
      <c r="G3298" s="11">
        <v>-48.576732669999998</v>
      </c>
      <c r="H3298" s="11">
        <v>41.375131537199998</v>
      </c>
      <c r="I3298" s="11">
        <v>11.814143724599999</v>
      </c>
      <c r="J3298" s="11">
        <v>4.7086058388999996</v>
      </c>
      <c r="K3298" s="10">
        <v>0.88552502525200005</v>
      </c>
      <c r="L3298" s="12">
        <v>1872234000</v>
      </c>
      <c r="M3298">
        <v>61.9532480500744</v>
      </c>
      <c r="N3298" s="7">
        <v>-139.926456532343</v>
      </c>
      <c r="O3298" s="7">
        <v>2.59662342367234</v>
      </c>
      <c r="P3298" s="7">
        <v>34.548532646472303</v>
      </c>
      <c r="Q3298" s="7" t="s">
        <v>3698</v>
      </c>
      <c r="U3298">
        <v>0.26578299185283522</v>
      </c>
      <c r="AT3298" s="4" t="s">
        <v>8716</v>
      </c>
    </row>
    <row r="3299" spans="1:46">
      <c r="A3299" s="2">
        <v>549</v>
      </c>
      <c r="B3299" t="s">
        <v>8717</v>
      </c>
      <c r="C3299" t="s">
        <v>439</v>
      </c>
      <c r="D3299" t="s">
        <v>3737</v>
      </c>
      <c r="E3299" s="4">
        <v>43465</v>
      </c>
      <c r="F3299" s="11">
        <v>-34.758178270000002</v>
      </c>
      <c r="G3299" s="11">
        <v>-48.810963319999999</v>
      </c>
      <c r="H3299" s="11">
        <v>74.503911062900002</v>
      </c>
      <c r="I3299" s="11">
        <v>79.318088776099998</v>
      </c>
      <c r="J3299" s="11">
        <v>25.993134683000001</v>
      </c>
      <c r="K3299" s="10">
        <v>0.45281429428499997</v>
      </c>
      <c r="L3299" s="12">
        <v>7839556258.8599997</v>
      </c>
      <c r="M3299">
        <v>30.851128523642</v>
      </c>
      <c r="N3299" s="7">
        <v>3.77788958078547</v>
      </c>
      <c r="O3299" s="7">
        <v>8.4144710588537492</v>
      </c>
      <c r="P3299" s="7">
        <v>329.46334436258701</v>
      </c>
      <c r="Q3299" s="7">
        <v>1.6</v>
      </c>
      <c r="U3299">
        <v>0.83435467748576442</v>
      </c>
      <c r="AT3299" s="4" t="s">
        <v>8718</v>
      </c>
    </row>
    <row r="3300" spans="1:46">
      <c r="A3300" s="2">
        <v>2089</v>
      </c>
      <c r="B3300" t="s">
        <v>8719</v>
      </c>
      <c r="C3300" t="s">
        <v>2236</v>
      </c>
      <c r="D3300" t="s">
        <v>3761</v>
      </c>
      <c r="E3300" s="4">
        <v>43465</v>
      </c>
      <c r="F3300" s="11">
        <v>1.1593461599999999</v>
      </c>
      <c r="G3300" s="11">
        <v>-48.841463410000003</v>
      </c>
      <c r="H3300" s="11">
        <v>4.5778957825999997</v>
      </c>
      <c r="I3300" s="11">
        <v>26.282260357599998</v>
      </c>
      <c r="J3300" s="11">
        <v>10.073018924799999</v>
      </c>
      <c r="K3300" s="10">
        <v>0.46407924799700001</v>
      </c>
      <c r="L3300" s="12">
        <v>9569660485</v>
      </c>
      <c r="M3300">
        <v>76.848202395129206</v>
      </c>
      <c r="N3300" s="7">
        <v>5.4241033712995304</v>
      </c>
      <c r="O3300" s="7">
        <v>9.1154969449895091</v>
      </c>
      <c r="P3300" s="7">
        <v>-150.08614177950901</v>
      </c>
      <c r="Q3300" s="7" t="s">
        <v>3698</v>
      </c>
      <c r="U3300">
        <v>0.18413659290123455</v>
      </c>
      <c r="AT3300" s="4" t="s">
        <v>8055</v>
      </c>
    </row>
    <row r="3301" spans="1:46">
      <c r="A3301" s="2">
        <v>1705</v>
      </c>
      <c r="B3301" t="s">
        <v>8720</v>
      </c>
      <c r="C3301" t="s">
        <v>2965</v>
      </c>
      <c r="D3301" t="s">
        <v>3889</v>
      </c>
      <c r="E3301" s="4">
        <v>43465</v>
      </c>
      <c r="F3301" s="11">
        <v>-53.054755040000003</v>
      </c>
      <c r="G3301" s="11">
        <v>-49.157829069999998</v>
      </c>
      <c r="H3301" s="11">
        <v>84.894784375200004</v>
      </c>
      <c r="I3301" s="11">
        <v>38.098358124199997</v>
      </c>
      <c r="J3301" s="11">
        <v>17.000953295999999</v>
      </c>
      <c r="K3301" s="10">
        <v>0.40967205579499999</v>
      </c>
      <c r="L3301" s="12">
        <v>2416470939.1599998</v>
      </c>
      <c r="M3301">
        <v>91.554098933456601</v>
      </c>
      <c r="N3301" s="7">
        <v>19.9434660747343</v>
      </c>
      <c r="O3301" s="7">
        <v>7.7504638223485003</v>
      </c>
      <c r="P3301" s="7">
        <v>-45.171274756210302</v>
      </c>
      <c r="Q3301" s="7" t="s">
        <v>3698</v>
      </c>
      <c r="U3301">
        <v>0.53698211686623332</v>
      </c>
      <c r="AT3301" s="4" t="s">
        <v>5185</v>
      </c>
    </row>
    <row r="3302" spans="1:46">
      <c r="A3302" s="2">
        <v>2146</v>
      </c>
      <c r="B3302" t="s">
        <v>8721</v>
      </c>
      <c r="C3302" t="s">
        <v>851</v>
      </c>
      <c r="D3302" t="s">
        <v>3832</v>
      </c>
      <c r="E3302" s="4">
        <v>43465</v>
      </c>
      <c r="F3302" s="11">
        <v>-45.766527629999999</v>
      </c>
      <c r="G3302" s="11">
        <v>-49.255952379999997</v>
      </c>
      <c r="H3302" s="11">
        <v>21.715007054400001</v>
      </c>
      <c r="I3302" s="11">
        <v>47.651033314700001</v>
      </c>
      <c r="J3302" s="11">
        <v>26.514043569199998</v>
      </c>
      <c r="K3302" s="10">
        <v>0.35312962881299997</v>
      </c>
      <c r="L3302" s="12">
        <v>5318176832</v>
      </c>
      <c r="M3302">
        <v>17.249925359567499</v>
      </c>
      <c r="N3302" s="7">
        <v>2.0854750706063698</v>
      </c>
      <c r="O3302" s="7">
        <v>4.1933973135607001</v>
      </c>
      <c r="P3302" s="7">
        <v>14.528209962625599</v>
      </c>
      <c r="Q3302" s="7">
        <v>1.2963443103997156</v>
      </c>
      <c r="U3302">
        <v>2.3273976611111111</v>
      </c>
      <c r="AT3302" s="4" t="s">
        <v>7990</v>
      </c>
    </row>
    <row r="3303" spans="1:46">
      <c r="A3303" s="2">
        <v>2056</v>
      </c>
      <c r="B3303" t="s">
        <v>8722</v>
      </c>
      <c r="C3303" t="s">
        <v>349</v>
      </c>
      <c r="D3303" t="s">
        <v>3752</v>
      </c>
      <c r="E3303" s="4">
        <v>43465</v>
      </c>
      <c r="F3303" s="11">
        <v>14.86785714</v>
      </c>
      <c r="G3303" s="11">
        <v>-49.492488829999999</v>
      </c>
      <c r="H3303" s="11">
        <v>20.5060957528</v>
      </c>
      <c r="I3303" s="11">
        <v>44.084997606199998</v>
      </c>
      <c r="J3303" s="11">
        <v>26.1389702315</v>
      </c>
      <c r="K3303" s="10">
        <v>0.72577775168699998</v>
      </c>
      <c r="L3303" s="12">
        <v>4351123975</v>
      </c>
      <c r="M3303">
        <v>27.111457370615799</v>
      </c>
      <c r="N3303" s="7">
        <v>4.3383133004990304</v>
      </c>
      <c r="O3303" s="7">
        <v>6.0095715496395901</v>
      </c>
      <c r="P3303" s="7">
        <v>-269.81272128052098</v>
      </c>
      <c r="Q3303" s="7">
        <v>1.3279624629277147</v>
      </c>
      <c r="U3303">
        <v>1.1125322914272766</v>
      </c>
      <c r="AT3303" s="4" t="s">
        <v>4515</v>
      </c>
    </row>
    <row r="3304" spans="1:46">
      <c r="A3304" s="2">
        <v>3419</v>
      </c>
      <c r="B3304" t="s">
        <v>8723</v>
      </c>
      <c r="C3304" t="s">
        <v>610</v>
      </c>
      <c r="D3304" t="s">
        <v>3728</v>
      </c>
      <c r="E3304" s="4">
        <v>43465</v>
      </c>
      <c r="F3304" s="11">
        <v>-45.714961639999999</v>
      </c>
      <c r="G3304" s="11">
        <v>-49.858156030000004</v>
      </c>
      <c r="H3304" s="11">
        <v>20.336877528599999</v>
      </c>
      <c r="I3304" s="11">
        <v>69.045563878799996</v>
      </c>
      <c r="J3304" s="11">
        <v>10.074513061899999</v>
      </c>
      <c r="K3304" s="10">
        <v>0.46553287504300001</v>
      </c>
      <c r="L3304" s="12">
        <v>2650112000</v>
      </c>
      <c r="M3304">
        <v>11.8622727929114</v>
      </c>
      <c r="N3304" s="7">
        <v>-23.206086974658898</v>
      </c>
      <c r="O3304" s="7">
        <v>0.83838347539547098</v>
      </c>
      <c r="P3304" s="7">
        <v>11.397962987743</v>
      </c>
      <c r="Q3304" s="7">
        <v>2.4679278123493464</v>
      </c>
      <c r="U3304">
        <v>1.5111218158991364</v>
      </c>
      <c r="AT3304" s="4" t="s">
        <v>3828</v>
      </c>
    </row>
    <row r="3305" spans="1:46">
      <c r="A3305" s="2">
        <v>2725</v>
      </c>
      <c r="B3305" t="s">
        <v>8724</v>
      </c>
      <c r="C3305" t="s">
        <v>1860</v>
      </c>
      <c r="D3305" t="s">
        <v>3790</v>
      </c>
      <c r="E3305" s="4">
        <v>43465</v>
      </c>
      <c r="F3305" s="11">
        <v>-68.131868130000001</v>
      </c>
      <c r="G3305" s="11">
        <v>-49.88814318</v>
      </c>
      <c r="H3305" s="11">
        <v>-52.0602246849</v>
      </c>
      <c r="I3305" s="11">
        <v>26.617769551799999</v>
      </c>
      <c r="J3305" s="11">
        <v>-1069.4937239668</v>
      </c>
      <c r="K3305" s="10">
        <v>5.6295038552999999E-2</v>
      </c>
      <c r="L3305" s="12">
        <v>1324307603.96</v>
      </c>
      <c r="M3305">
        <v>-7.5885159017862804</v>
      </c>
      <c r="N3305" s="7">
        <v>4.5679141523392897</v>
      </c>
      <c r="O3305" s="7">
        <v>30.346904478914698</v>
      </c>
      <c r="P3305" s="7">
        <v>-71.527214001608698</v>
      </c>
      <c r="Q3305" s="7" t="s">
        <v>3698</v>
      </c>
      <c r="U3305">
        <v>-1.0870812231534543</v>
      </c>
      <c r="AT3305" s="4" t="s">
        <v>4387</v>
      </c>
    </row>
    <row r="3306" spans="1:46">
      <c r="A3306" s="2">
        <v>2553</v>
      </c>
      <c r="B3306" t="s">
        <v>8725</v>
      </c>
      <c r="C3306" t="s">
        <v>2976</v>
      </c>
      <c r="D3306" t="s">
        <v>3721</v>
      </c>
      <c r="E3306" s="4">
        <v>43465</v>
      </c>
      <c r="F3306" s="11">
        <v>-63.796909489999997</v>
      </c>
      <c r="G3306" s="11">
        <v>-50.595238100000003</v>
      </c>
      <c r="H3306" s="11">
        <v>43.850257740099998</v>
      </c>
      <c r="I3306" s="11">
        <v>2.2481582266000002</v>
      </c>
      <c r="J3306" s="11">
        <v>-12.6374539959</v>
      </c>
      <c r="K3306" s="10">
        <v>0.94130112325100002</v>
      </c>
      <c r="L3306" s="12">
        <v>4413064000</v>
      </c>
      <c r="M3306">
        <v>-215.03932422427999</v>
      </c>
      <c r="N3306" s="7">
        <v>141.98724351706099</v>
      </c>
      <c r="O3306" s="7">
        <v>0.55008135628612198</v>
      </c>
      <c r="P3306" s="7">
        <v>-64.557940023234096</v>
      </c>
      <c r="Q3306" s="7" t="s">
        <v>3698</v>
      </c>
      <c r="U3306">
        <v>-0.51005765446438611</v>
      </c>
      <c r="AT3306" s="4" t="s">
        <v>8726</v>
      </c>
    </row>
    <row r="3307" spans="1:46">
      <c r="A3307" s="2">
        <v>1110</v>
      </c>
      <c r="B3307" t="s">
        <v>8727</v>
      </c>
      <c r="C3307" t="s">
        <v>2552</v>
      </c>
      <c r="D3307" t="s">
        <v>4060</v>
      </c>
      <c r="E3307" s="4">
        <v>43465</v>
      </c>
      <c r="F3307" s="11">
        <v>-32.244063820000001</v>
      </c>
      <c r="G3307" s="11">
        <v>-50.6122449</v>
      </c>
      <c r="H3307" s="11">
        <v>31.415861566499999</v>
      </c>
      <c r="I3307" s="11">
        <v>19.819673237300002</v>
      </c>
      <c r="J3307" s="11">
        <v>6.8068833863</v>
      </c>
      <c r="K3307" s="10">
        <v>0.77255229109300005</v>
      </c>
      <c r="L3307" s="12">
        <v>1780934400</v>
      </c>
      <c r="M3307">
        <v>34.403024026466298</v>
      </c>
      <c r="N3307" s="7">
        <v>2.76539031488092</v>
      </c>
      <c r="O3307" s="7">
        <v>1.7372060708192101</v>
      </c>
      <c r="P3307" s="7">
        <v>-53.2947447050419</v>
      </c>
      <c r="Q3307" s="7" t="s">
        <v>3698</v>
      </c>
      <c r="U3307">
        <v>0.38238549304485797</v>
      </c>
      <c r="AT3307" s="4" t="s">
        <v>3733</v>
      </c>
    </row>
    <row r="3308" spans="1:46">
      <c r="A3308" s="2">
        <v>1792</v>
      </c>
      <c r="B3308" t="s">
        <v>8728</v>
      </c>
      <c r="C3308" t="s">
        <v>1567</v>
      </c>
      <c r="D3308" t="s">
        <v>3713</v>
      </c>
      <c r="E3308" s="4">
        <v>43465</v>
      </c>
      <c r="F3308" s="11">
        <v>-59.525144570000002</v>
      </c>
      <c r="G3308" s="11">
        <v>-50.732807219999998</v>
      </c>
      <c r="H3308" s="11">
        <v>21.168305048000001</v>
      </c>
      <c r="I3308" s="11">
        <v>57.370787478799997</v>
      </c>
      <c r="J3308" s="11">
        <v>13.950845316900001</v>
      </c>
      <c r="K3308" s="10">
        <v>0.31097813359600002</v>
      </c>
      <c r="L3308" s="12">
        <v>3263442000</v>
      </c>
      <c r="M3308">
        <v>18.958584025358199</v>
      </c>
      <c r="N3308" s="7">
        <v>2.3933622603479501</v>
      </c>
      <c r="O3308" s="7">
        <v>3.66507690542739</v>
      </c>
      <c r="P3308" s="7">
        <v>-38.181907210818103</v>
      </c>
      <c r="Q3308" s="7">
        <v>0.64491650577261339</v>
      </c>
      <c r="U3308">
        <v>0.36816142361830906</v>
      </c>
      <c r="AT3308" s="4" t="s">
        <v>3985</v>
      </c>
    </row>
    <row r="3309" spans="1:46">
      <c r="A3309" s="2">
        <v>2687</v>
      </c>
      <c r="B3309" t="s">
        <v>8729</v>
      </c>
      <c r="C3309" t="s">
        <v>1823</v>
      </c>
      <c r="D3309" t="s">
        <v>3769</v>
      </c>
      <c r="E3309" s="4">
        <v>43465</v>
      </c>
      <c r="F3309" s="11">
        <v>-83.956692910000001</v>
      </c>
      <c r="G3309" s="11">
        <v>-52.089136490000001</v>
      </c>
      <c r="H3309" s="11">
        <v>7.1668246986000002</v>
      </c>
      <c r="I3309" s="11">
        <v>24.963006786899999</v>
      </c>
      <c r="J3309" s="11">
        <v>-176.7420109995</v>
      </c>
      <c r="K3309" s="10">
        <v>0.31822870724500002</v>
      </c>
      <c r="L3309" s="12">
        <v>6761923004.6999998</v>
      </c>
      <c r="M3309">
        <v>21.6371672020144</v>
      </c>
      <c r="N3309" s="7">
        <v>21.888443448306202</v>
      </c>
      <c r="O3309" s="7">
        <v>2.9522393079524099</v>
      </c>
      <c r="P3309" s="7">
        <v>-12.0794806450815</v>
      </c>
      <c r="Q3309" s="7" t="s">
        <v>3698</v>
      </c>
      <c r="U3309">
        <v>-2.1756407858372331</v>
      </c>
      <c r="AT3309" s="4" t="s">
        <v>8730</v>
      </c>
    </row>
    <row r="3310" spans="1:46">
      <c r="A3310" s="2">
        <v>2064</v>
      </c>
      <c r="B3310" t="s">
        <v>8731</v>
      </c>
      <c r="C3310" t="s">
        <v>3321</v>
      </c>
      <c r="D3310" t="s">
        <v>3721</v>
      </c>
      <c r="E3310" s="4">
        <v>43465</v>
      </c>
      <c r="F3310" s="11">
        <v>-29.21431969</v>
      </c>
      <c r="G3310" s="11">
        <v>-52.229708049999999</v>
      </c>
      <c r="H3310" s="11">
        <v>26.266078533600002</v>
      </c>
      <c r="I3310" s="11">
        <v>39.780796394900001</v>
      </c>
      <c r="J3310" s="11">
        <v>8.8443630801000008</v>
      </c>
      <c r="K3310" s="10">
        <v>0.61887329373</v>
      </c>
      <c r="L3310" s="12">
        <v>2200436657.46</v>
      </c>
      <c r="M3310">
        <v>51.720455890080601</v>
      </c>
      <c r="N3310" s="7">
        <v>3.56994914300487</v>
      </c>
      <c r="O3310" s="7">
        <v>4.1592313179414901</v>
      </c>
      <c r="P3310" s="7">
        <v>53.968148579843103</v>
      </c>
      <c r="Q3310" s="7">
        <v>0.57836900079145226</v>
      </c>
      <c r="U3310">
        <v>0.75530672862346626</v>
      </c>
      <c r="AT3310" s="4" t="s">
        <v>4934</v>
      </c>
    </row>
    <row r="3311" spans="1:46">
      <c r="A3311" s="2">
        <v>1226</v>
      </c>
      <c r="B3311" t="s">
        <v>8732</v>
      </c>
      <c r="C3311" t="s">
        <v>1431</v>
      </c>
      <c r="D3311" t="s">
        <v>3769</v>
      </c>
      <c r="E3311" s="4">
        <v>43465</v>
      </c>
      <c r="F3311" s="11">
        <v>-73.997455000000002</v>
      </c>
      <c r="G3311" s="11">
        <v>-52.365415990000002</v>
      </c>
      <c r="H3311" s="11">
        <v>-5.7086842093000003</v>
      </c>
      <c r="I3311" s="11">
        <v>7.9730213358000004</v>
      </c>
      <c r="J3311" s="11">
        <v>1.2441905950000001</v>
      </c>
      <c r="K3311" s="10">
        <v>1.0008209022129999</v>
      </c>
      <c r="L3311" s="12">
        <v>1655640000</v>
      </c>
      <c r="M3311">
        <v>20.894009978972701</v>
      </c>
      <c r="N3311" s="7">
        <v>1.59236409660209</v>
      </c>
      <c r="O3311" s="7">
        <v>0.49269936683863502</v>
      </c>
      <c r="P3311" s="7">
        <v>-5.2483547395438102</v>
      </c>
      <c r="Q3311" s="7" t="s">
        <v>3698</v>
      </c>
      <c r="U3311">
        <v>0.1233084111919118</v>
      </c>
      <c r="AT3311" s="4" t="s">
        <v>3759</v>
      </c>
    </row>
    <row r="3312" spans="1:46">
      <c r="A3312" s="2">
        <v>852</v>
      </c>
      <c r="B3312" t="s">
        <v>8733</v>
      </c>
      <c r="C3312" t="s">
        <v>1747</v>
      </c>
      <c r="D3312" t="s">
        <v>3752</v>
      </c>
      <c r="E3312" s="4">
        <v>43465</v>
      </c>
      <c r="F3312" s="11">
        <v>-58.406616649999997</v>
      </c>
      <c r="G3312" s="11">
        <v>-52.777777780000001</v>
      </c>
      <c r="H3312" s="11">
        <v>55.670662679499998</v>
      </c>
      <c r="I3312" s="11">
        <v>26.298481579299999</v>
      </c>
      <c r="J3312" s="11">
        <v>8.8694164419000003</v>
      </c>
      <c r="K3312" s="10">
        <v>0.39580352561400001</v>
      </c>
      <c r="L3312" s="12">
        <v>4263062796.4499998</v>
      </c>
      <c r="M3312">
        <v>44.862358318881398</v>
      </c>
      <c r="N3312" s="7">
        <v>4.0132621704454596</v>
      </c>
      <c r="O3312" s="7">
        <v>4.3462390434206402</v>
      </c>
      <c r="P3312" s="7">
        <v>-56.298651662697601</v>
      </c>
      <c r="Q3312" s="7">
        <v>0.5252003891050584</v>
      </c>
      <c r="U3312">
        <v>0.26138767447424743</v>
      </c>
      <c r="AT3312" s="4" t="s">
        <v>5463</v>
      </c>
    </row>
    <row r="3313" spans="1:46">
      <c r="A3313" s="2">
        <v>1283</v>
      </c>
      <c r="B3313" t="s">
        <v>8734</v>
      </c>
      <c r="C3313" t="s">
        <v>1461</v>
      </c>
      <c r="D3313" t="s">
        <v>3728</v>
      </c>
      <c r="E3313" s="4">
        <v>43465</v>
      </c>
      <c r="F3313" s="11">
        <v>-9.2365918899999997</v>
      </c>
      <c r="G3313" s="11">
        <v>-52.829028289999997</v>
      </c>
      <c r="H3313" s="11">
        <v>24.749034714499999</v>
      </c>
      <c r="I3313" s="11">
        <v>34.504616040599998</v>
      </c>
      <c r="J3313" s="11">
        <v>18.2608316237</v>
      </c>
      <c r="K3313" s="10">
        <v>0.36982925001900002</v>
      </c>
      <c r="L3313" s="12">
        <v>3539339628.3200002</v>
      </c>
      <c r="M3313">
        <v>48.1069228857612</v>
      </c>
      <c r="N3313" s="7">
        <v>2.5306144812892799</v>
      </c>
      <c r="O3313" s="7">
        <v>6.5796321280725296</v>
      </c>
      <c r="P3313" s="7">
        <v>-70.521181995844302</v>
      </c>
      <c r="Q3313" s="7">
        <v>1.1155342326933069</v>
      </c>
      <c r="U3313">
        <v>0.53363739140649102</v>
      </c>
      <c r="AT3313" s="4" t="s">
        <v>5755</v>
      </c>
    </row>
    <row r="3314" spans="1:46">
      <c r="A3314" s="2">
        <v>2854</v>
      </c>
      <c r="B3314" t="s">
        <v>8735</v>
      </c>
      <c r="C3314" t="s">
        <v>504</v>
      </c>
      <c r="D3314" t="s">
        <v>3737</v>
      </c>
      <c r="E3314" s="4">
        <v>43465</v>
      </c>
      <c r="F3314" s="11">
        <v>-74.519946169999997</v>
      </c>
      <c r="G3314" s="11">
        <v>-53.833992090000002</v>
      </c>
      <c r="H3314" s="11">
        <v>8.9206191280000002</v>
      </c>
      <c r="I3314" s="11">
        <v>44.003820814100003</v>
      </c>
      <c r="J3314" s="11">
        <v>14.1396377077</v>
      </c>
      <c r="K3314" s="10">
        <v>0.61340755905199995</v>
      </c>
      <c r="L3314" s="12">
        <v>3835257634.0799999</v>
      </c>
      <c r="M3314">
        <v>11.5311661606752</v>
      </c>
      <c r="N3314" s="7">
        <v>1.46901277485459</v>
      </c>
      <c r="O3314" s="7">
        <v>1.2537134218860799</v>
      </c>
      <c r="P3314" s="7">
        <v>29.6205083808408</v>
      </c>
      <c r="Q3314" s="7">
        <v>1.8832391713747647</v>
      </c>
      <c r="U3314">
        <v>1.4167991810963112</v>
      </c>
      <c r="AT3314" s="4" t="s">
        <v>3869</v>
      </c>
    </row>
    <row r="3315" spans="1:46">
      <c r="A3315" s="2">
        <v>961</v>
      </c>
      <c r="B3315" t="s">
        <v>8736</v>
      </c>
      <c r="C3315" t="s">
        <v>516</v>
      </c>
      <c r="D3315" t="s">
        <v>3752</v>
      </c>
      <c r="E3315" s="4">
        <v>43465</v>
      </c>
      <c r="F3315" s="11">
        <v>-84.078893719999996</v>
      </c>
      <c r="G3315" s="11">
        <v>-53.926701569999999</v>
      </c>
      <c r="H3315" s="11">
        <v>-22.383311984399999</v>
      </c>
      <c r="I3315" s="11">
        <v>40.0235259361</v>
      </c>
      <c r="J3315" s="11">
        <v>3.1005409854999999</v>
      </c>
      <c r="K3315" s="10">
        <v>0.26709906844699999</v>
      </c>
      <c r="L3315" s="12">
        <v>2849463296</v>
      </c>
      <c r="M3315">
        <v>9.9316444577337695</v>
      </c>
      <c r="N3315" s="7">
        <v>1.4921924895003</v>
      </c>
      <c r="O3315" s="7">
        <v>2.0536008512005699</v>
      </c>
      <c r="P3315" s="7">
        <v>-6.8508068289306303</v>
      </c>
      <c r="Q3315" s="7" t="s">
        <v>3698</v>
      </c>
      <c r="U3315">
        <v>7.9272869966689447E-2</v>
      </c>
      <c r="AT3315" s="4" t="s">
        <v>5610</v>
      </c>
    </row>
    <row r="3316" spans="1:46">
      <c r="A3316" s="2">
        <v>1581</v>
      </c>
      <c r="B3316" t="s">
        <v>8737</v>
      </c>
      <c r="C3316" t="s">
        <v>3525</v>
      </c>
      <c r="D3316" t="s">
        <v>3764</v>
      </c>
      <c r="E3316" s="4">
        <v>43465</v>
      </c>
      <c r="F3316" s="11">
        <v>-93.046357619999995</v>
      </c>
      <c r="G3316" s="11">
        <v>-53.99449036</v>
      </c>
      <c r="H3316" s="11">
        <v>-98.175656606199993</v>
      </c>
      <c r="I3316" s="11">
        <v>65.123784005299996</v>
      </c>
      <c r="J3316" s="11">
        <v>-2914.6029324378001</v>
      </c>
      <c r="K3316" s="10">
        <v>8.0262175099999993E-3</v>
      </c>
      <c r="L3316" s="12">
        <v>2620819656</v>
      </c>
      <c r="M3316">
        <v>-10.176571096513801</v>
      </c>
      <c r="N3316" s="7">
        <v>2.8509163705744802</v>
      </c>
      <c r="O3316" s="7">
        <v>9.4818496647814996</v>
      </c>
      <c r="P3316" s="7">
        <v>-14.5945663168999</v>
      </c>
      <c r="Q3316" s="7" t="s">
        <v>3698</v>
      </c>
      <c r="U3316">
        <v>-1.4789949403351801</v>
      </c>
      <c r="AT3316" s="4" t="s">
        <v>5601</v>
      </c>
    </row>
    <row r="3317" spans="1:46">
      <c r="A3317" s="2">
        <v>1223</v>
      </c>
      <c r="B3317" t="s">
        <v>8738</v>
      </c>
      <c r="C3317" t="s">
        <v>3614</v>
      </c>
      <c r="D3317" t="s">
        <v>3858</v>
      </c>
      <c r="E3317" s="4">
        <v>43465</v>
      </c>
      <c r="F3317" s="11">
        <v>-47.352033409999997</v>
      </c>
      <c r="G3317" s="11">
        <v>-54.209183670000002</v>
      </c>
      <c r="H3317" s="11">
        <v>16.357096837499999</v>
      </c>
      <c r="I3317" s="11">
        <v>37.1614025457</v>
      </c>
      <c r="J3317" s="11">
        <v>7.3244115312</v>
      </c>
      <c r="K3317" s="10">
        <v>1.2270005345749999</v>
      </c>
      <c r="L3317" s="12">
        <v>5215326313.6000004</v>
      </c>
      <c r="M3317">
        <v>17.264275628216399</v>
      </c>
      <c r="N3317" s="7">
        <v>7.1254427147281802</v>
      </c>
      <c r="O3317" s="7">
        <v>0.98708796540455301</v>
      </c>
      <c r="P3317" s="7">
        <v>-38.2657460032191</v>
      </c>
      <c r="Q3317" s="7">
        <v>8.7172697422739418</v>
      </c>
      <c r="U3317">
        <v>0.96185438595590211</v>
      </c>
      <c r="AT3317" s="4" t="s">
        <v>6508</v>
      </c>
    </row>
    <row r="3318" spans="1:46">
      <c r="A3318" s="2">
        <v>3534</v>
      </c>
      <c r="B3318" t="s">
        <v>8739</v>
      </c>
      <c r="C3318" t="s">
        <v>1916</v>
      </c>
      <c r="D3318" t="s">
        <v>3785</v>
      </c>
      <c r="E3318" s="4">
        <v>43465</v>
      </c>
      <c r="F3318" s="11">
        <v>-47.595431230000003</v>
      </c>
      <c r="G3318" s="11">
        <v>-54.792452830000002</v>
      </c>
      <c r="H3318" s="11">
        <v>-5.1316294033999998</v>
      </c>
      <c r="I3318" s="11">
        <v>55.118448073000003</v>
      </c>
      <c r="J3318" s="11">
        <v>6.5533756163000003</v>
      </c>
      <c r="K3318" s="10">
        <v>0.39487639209399999</v>
      </c>
      <c r="L3318" s="12">
        <v>2030806536.6400001</v>
      </c>
      <c r="M3318">
        <v>47.880305220219199</v>
      </c>
      <c r="N3318" s="7">
        <v>2.1616898611625799</v>
      </c>
      <c r="O3318" s="7">
        <v>3.6870748616430302</v>
      </c>
      <c r="P3318" s="7">
        <v>110.96376987644901</v>
      </c>
      <c r="Q3318" s="7">
        <v>1.2014210951173923</v>
      </c>
      <c r="U3318">
        <v>0.22486862159407286</v>
      </c>
      <c r="AT3318" s="4" t="s">
        <v>8740</v>
      </c>
    </row>
    <row r="3319" spans="1:46">
      <c r="L3319">
        <v>3739500000</v>
      </c>
    </row>
    <row r="3320" spans="1:46">
      <c r="L3320">
        <v>5613742300.3199997</v>
      </c>
    </row>
    <row r="3321" spans="1:46">
      <c r="L3321">
        <v>4173642933.1500001</v>
      </c>
    </row>
    <row r="3322" spans="1:46">
      <c r="L3322">
        <v>3312248552.46</v>
      </c>
    </row>
    <row r="3323" spans="1:46">
      <c r="L3323">
        <v>1828000000</v>
      </c>
    </row>
    <row r="3324" spans="1:46">
      <c r="L3324">
        <v>3904303343.46</v>
      </c>
    </row>
    <row r="3325" spans="1:46">
      <c r="L3325">
        <v>4778394465.6000004</v>
      </c>
    </row>
    <row r="3326" spans="1:46">
      <c r="L3326">
        <v>2730268363.6799998</v>
      </c>
    </row>
    <row r="3327" spans="1:46">
      <c r="L3327">
        <v>6215132776.6000004</v>
      </c>
    </row>
    <row r="3328" spans="1:46">
      <c r="L3328">
        <v>2075792085.1800001</v>
      </c>
    </row>
    <row r="3329" spans="12:12">
      <c r="L3329">
        <v>2174368000</v>
      </c>
    </row>
    <row r="3330" spans="12:12">
      <c r="L3330">
        <v>2101665553.4000001</v>
      </c>
    </row>
    <row r="3331" spans="12:12">
      <c r="L3331">
        <v>5126588970.1599998</v>
      </c>
    </row>
    <row r="3332" spans="12:12">
      <c r="L3332">
        <v>68082027932.699997</v>
      </c>
    </row>
    <row r="3333" spans="12:12">
      <c r="L3333">
        <v>9810634108</v>
      </c>
    </row>
    <row r="3334" spans="12:12">
      <c r="L3334">
        <v>1735603382.7</v>
      </c>
    </row>
    <row r="3335" spans="12:12">
      <c r="L3335">
        <v>1447254167.04</v>
      </c>
    </row>
    <row r="3336" spans="12:12">
      <c r="L3336">
        <v>1126725824.9100001</v>
      </c>
    </row>
    <row r="3337" spans="12:12">
      <c r="L3337">
        <v>8075000918.2600002</v>
      </c>
    </row>
    <row r="3338" spans="12:12">
      <c r="L3338">
        <v>9347108227.2000008</v>
      </c>
    </row>
    <row r="3339" spans="12:12">
      <c r="L3339">
        <v>2123733816</v>
      </c>
    </row>
    <row r="3340" spans="12:12">
      <c r="L3340">
        <v>3007200000</v>
      </c>
    </row>
    <row r="3341" spans="12:12">
      <c r="L3341">
        <v>8344314861.1199999</v>
      </c>
    </row>
    <row r="3342" spans="12:12">
      <c r="L3342">
        <v>1949065583.4000001</v>
      </c>
    </row>
    <row r="3343" spans="12:12">
      <c r="L3343">
        <v>1534471680</v>
      </c>
    </row>
    <row r="3344" spans="12:12">
      <c r="L3344">
        <v>3575000000</v>
      </c>
    </row>
    <row r="3345" spans="12:12">
      <c r="L3345">
        <v>2665928694</v>
      </c>
    </row>
    <row r="3346" spans="12:12">
      <c r="L3346">
        <v>3057881133.2800002</v>
      </c>
    </row>
    <row r="3347" spans="12:12">
      <c r="L3347">
        <v>1069330176.6</v>
      </c>
    </row>
    <row r="3348" spans="12:12">
      <c r="L3348">
        <v>1692972243.5599999</v>
      </c>
    </row>
    <row r="3349" spans="12:12">
      <c r="L3349">
        <v>3269318220</v>
      </c>
    </row>
    <row r="3350" spans="12:12">
      <c r="L3350">
        <v>2498551951.8600001</v>
      </c>
    </row>
    <row r="3351" spans="12:12">
      <c r="L3351">
        <v>8589273977.96</v>
      </c>
    </row>
    <row r="3352" spans="12:12">
      <c r="L3352">
        <v>3004078142.8000002</v>
      </c>
    </row>
    <row r="3353" spans="12:12">
      <c r="L3353">
        <v>3901536467.9200001</v>
      </c>
    </row>
    <row r="3354" spans="12:12">
      <c r="L3354">
        <v>4781789182.96</v>
      </c>
    </row>
    <row r="3355" spans="12:12">
      <c r="L3355">
        <v>7224761195.1000004</v>
      </c>
    </row>
    <row r="3356" spans="12:12">
      <c r="L3356">
        <v>1940525720</v>
      </c>
    </row>
    <row r="3357" spans="12:12">
      <c r="L3357">
        <v>1211134526.7</v>
      </c>
    </row>
    <row r="3358" spans="12:12">
      <c r="L3358">
        <v>2064300000</v>
      </c>
    </row>
    <row r="3359" spans="12:12">
      <c r="L3359">
        <v>1175527821.0999999</v>
      </c>
    </row>
    <row r="3360" spans="12:12">
      <c r="L3360">
        <v>3593954510.1399999</v>
      </c>
    </row>
    <row r="3361" spans="12:12">
      <c r="L3361">
        <v>13509652500</v>
      </c>
    </row>
    <row r="3362" spans="12:12">
      <c r="L3362">
        <v>2647162214.02</v>
      </c>
    </row>
    <row r="3363" spans="12:12">
      <c r="L3363">
        <v>2640050969.7600002</v>
      </c>
    </row>
    <row r="3364" spans="12:12">
      <c r="L3364">
        <v>3288751931.8800001</v>
      </c>
    </row>
    <row r="3365" spans="12:12">
      <c r="L3365">
        <v>2936850102</v>
      </c>
    </row>
    <row r="3366" spans="12:12">
      <c r="L3366">
        <v>1784272797.3</v>
      </c>
    </row>
    <row r="3367" spans="12:12">
      <c r="L3367">
        <v>1931872115.3599999</v>
      </c>
    </row>
    <row r="3368" spans="12:12">
      <c r="L3368">
        <v>1988660820</v>
      </c>
    </row>
    <row r="3369" spans="12:12">
      <c r="L3369">
        <v>875399200</v>
      </c>
    </row>
    <row r="3370" spans="12:12">
      <c r="L3370">
        <v>2582497771.23</v>
      </c>
    </row>
    <row r="3371" spans="12:12">
      <c r="L3371">
        <v>5177694994.2799997</v>
      </c>
    </row>
    <row r="3372" spans="12:12">
      <c r="L3372">
        <v>1420625971.2</v>
      </c>
    </row>
    <row r="3373" spans="12:12">
      <c r="L3373">
        <v>2857021225.54</v>
      </c>
    </row>
    <row r="3374" spans="12:12">
      <c r="L3374">
        <v>1843000004.8499999</v>
      </c>
    </row>
    <row r="3375" spans="12:12">
      <c r="L3375">
        <v>2756572411.04</v>
      </c>
    </row>
    <row r="3376" spans="12:12">
      <c r="L3376">
        <v>6544578882.5600004</v>
      </c>
    </row>
    <row r="3377" spans="12:12">
      <c r="L3377">
        <v>4142516116.1999998</v>
      </c>
    </row>
    <row r="3378" spans="12:12">
      <c r="L3378">
        <v>3424562960</v>
      </c>
    </row>
    <row r="3379" spans="12:12">
      <c r="L3379">
        <v>3643785144.7199998</v>
      </c>
    </row>
    <row r="3380" spans="12:12">
      <c r="L3380">
        <v>12463968992.639999</v>
      </c>
    </row>
    <row r="3381" spans="12:12">
      <c r="L3381">
        <v>1696841017.2</v>
      </c>
    </row>
    <row r="3382" spans="12:12">
      <c r="L3382">
        <v>2982907927.8000002</v>
      </c>
    </row>
    <row r="3383" spans="12:12">
      <c r="L3383">
        <v>1999822415.54</v>
      </c>
    </row>
    <row r="3384" spans="12:12">
      <c r="L3384">
        <v>11453250504</v>
      </c>
    </row>
    <row r="3385" spans="12:12">
      <c r="L3385">
        <v>15306743856</v>
      </c>
    </row>
    <row r="3386" spans="12:12">
      <c r="L3386">
        <v>1985209000</v>
      </c>
    </row>
    <row r="3387" spans="12:12">
      <c r="L3387">
        <v>11303905548.209999</v>
      </c>
    </row>
    <row r="3388" spans="12:12">
      <c r="L3388">
        <v>1202764472.45</v>
      </c>
    </row>
    <row r="3389" spans="12:12">
      <c r="L3389">
        <v>3374282028.8800001</v>
      </c>
    </row>
    <row r="3390" spans="12:12">
      <c r="L3390">
        <v>3903865269.6599998</v>
      </c>
    </row>
    <row r="3391" spans="12:12">
      <c r="L3391">
        <v>8740833793.7199993</v>
      </c>
    </row>
    <row r="3392" spans="12:12">
      <c r="L3392">
        <v>2590364628.96</v>
      </c>
    </row>
    <row r="3393" spans="12:12">
      <c r="L3393">
        <v>18552504047.75</v>
      </c>
    </row>
    <row r="3394" spans="12:12">
      <c r="L3394">
        <v>6499001269.2299995</v>
      </c>
    </row>
    <row r="3395" spans="12:12">
      <c r="L3395">
        <v>3449659352.0799999</v>
      </c>
    </row>
    <row r="3396" spans="12:12">
      <c r="L3396">
        <v>3103702439.6399999</v>
      </c>
    </row>
    <row r="3397" spans="12:12">
      <c r="L3397">
        <v>2132215697.9400001</v>
      </c>
    </row>
    <row r="3398" spans="12:12">
      <c r="L3398">
        <v>1330648704</v>
      </c>
    </row>
    <row r="3399" spans="12:12">
      <c r="L3399">
        <v>4204171298.0300002</v>
      </c>
    </row>
    <row r="3400" spans="12:12">
      <c r="L3400">
        <v>1161174405.5999999</v>
      </c>
    </row>
    <row r="3401" spans="12:12">
      <c r="L3401">
        <v>2283102696</v>
      </c>
    </row>
    <row r="3402" spans="12:12">
      <c r="L3402">
        <v>3470035968</v>
      </c>
    </row>
    <row r="3403" spans="12:12">
      <c r="L3403">
        <v>926378704.5</v>
      </c>
    </row>
    <row r="3404" spans="12:12">
      <c r="L3404">
        <v>380725383.74000001</v>
      </c>
    </row>
    <row r="3405" spans="12:12">
      <c r="L3405">
        <v>8946652912.9200001</v>
      </c>
    </row>
    <row r="3406" spans="12:12">
      <c r="L3406">
        <v>749741591.05999994</v>
      </c>
    </row>
    <row r="3407" spans="12:12">
      <c r="L3407">
        <v>708740272.79999995</v>
      </c>
    </row>
    <row r="3408" spans="12:12">
      <c r="L3408">
        <v>498488760</v>
      </c>
    </row>
    <row r="3409" spans="12:12">
      <c r="L3409">
        <v>458526152.97000003</v>
      </c>
    </row>
    <row r="3410" spans="12:12">
      <c r="L3410">
        <v>532977137.10000002</v>
      </c>
    </row>
    <row r="3411" spans="12:12">
      <c r="L3411">
        <v>442458546</v>
      </c>
    </row>
    <row r="3412" spans="12:12">
      <c r="L3412">
        <v>10902566037.219999</v>
      </c>
    </row>
    <row r="3413" spans="12:12">
      <c r="L3413">
        <v>128204516147.2</v>
      </c>
    </row>
    <row r="3414" spans="12:12">
      <c r="L3414">
        <v>10859685117.93</v>
      </c>
    </row>
    <row r="3415" spans="12:12">
      <c r="L3415">
        <v>24270110844.84</v>
      </c>
    </row>
    <row r="3416" spans="12:12">
      <c r="L3416">
        <v>877642771.72000003</v>
      </c>
    </row>
    <row r="3417" spans="12:12">
      <c r="L3417">
        <v>3683959392.96</v>
      </c>
    </row>
    <row r="3418" spans="12:12">
      <c r="L3418">
        <v>14714092872.360001</v>
      </c>
    </row>
    <row r="3419" spans="12:12">
      <c r="L3419" t="s">
        <v>3698</v>
      </c>
    </row>
    <row r="3420" spans="12:12">
      <c r="L3420">
        <v>835099243.63999999</v>
      </c>
    </row>
    <row r="3421" spans="12:12">
      <c r="L3421">
        <v>2951886791.6999998</v>
      </c>
    </row>
    <row r="3422" spans="12:12">
      <c r="L3422">
        <v>2484172733.3499999</v>
      </c>
    </row>
    <row r="3423" spans="12:12">
      <c r="L3423">
        <v>2594090611.02</v>
      </c>
    </row>
    <row r="3424" spans="12:12">
      <c r="L3424">
        <v>23132741763.689999</v>
      </c>
    </row>
    <row r="3425" spans="12:12">
      <c r="L3425">
        <v>2669586120</v>
      </c>
    </row>
    <row r="3426" spans="12:12">
      <c r="L3426">
        <v>2109100144.0599999</v>
      </c>
    </row>
    <row r="3427" spans="12:12">
      <c r="L3427">
        <v>14784455738</v>
      </c>
    </row>
    <row r="3428" spans="12:12">
      <c r="L3428">
        <v>10212223467.68</v>
      </c>
    </row>
    <row r="3429" spans="12:12">
      <c r="L3429">
        <v>1317763797.9100001</v>
      </c>
    </row>
    <row r="3430" spans="12:12">
      <c r="L3430">
        <v>15387836132.48</v>
      </c>
    </row>
    <row r="3431" spans="12:12">
      <c r="L3431">
        <v>2517517120.0799999</v>
      </c>
    </row>
    <row r="3432" spans="12:12">
      <c r="L3432">
        <v>3771847002</v>
      </c>
    </row>
    <row r="3433" spans="12:12">
      <c r="L3433">
        <v>2675571151.6799998</v>
      </c>
    </row>
    <row r="3434" spans="12:12">
      <c r="L3434">
        <v>13144163058</v>
      </c>
    </row>
    <row r="3435" spans="12:12">
      <c r="L3435">
        <v>1981159480.8</v>
      </c>
    </row>
    <row r="3436" spans="12:12">
      <c r="L3436">
        <v>704447526.71000004</v>
      </c>
    </row>
    <row r="3437" spans="12:12">
      <c r="L3437">
        <v>3974161245.1500001</v>
      </c>
    </row>
    <row r="3438" spans="12:12">
      <c r="L3438">
        <v>2862402491.52</v>
      </c>
    </row>
    <row r="3439" spans="12:12">
      <c r="L3439">
        <v>9559589114.7000008</v>
      </c>
    </row>
    <row r="3440" spans="12:12">
      <c r="L3440">
        <v>8787626058.6000004</v>
      </c>
    </row>
    <row r="3441" spans="12:12">
      <c r="L3441">
        <v>3737289085.8600001</v>
      </c>
    </row>
    <row r="3442" spans="12:12">
      <c r="L3442">
        <v>10914879343.030001</v>
      </c>
    </row>
    <row r="3443" spans="12:12">
      <c r="L3443">
        <v>47448554053</v>
      </c>
    </row>
    <row r="3444" spans="12:12">
      <c r="L3444">
        <v>3313825152.5100002</v>
      </c>
    </row>
    <row r="3445" spans="12:12">
      <c r="L3445">
        <v>1899744000</v>
      </c>
    </row>
    <row r="3446" spans="12:12">
      <c r="L3446">
        <v>426362401</v>
      </c>
    </row>
    <row r="3447" spans="12:12">
      <c r="L3447">
        <v>7468288568.1000004</v>
      </c>
    </row>
    <row r="3448" spans="12:12">
      <c r="L3448">
        <v>23327498081.07</v>
      </c>
    </row>
    <row r="3449" spans="12:12">
      <c r="L3449">
        <v>5142894592</v>
      </c>
    </row>
    <row r="3450" spans="12:12">
      <c r="L3450">
        <v>2091714248.0899999</v>
      </c>
    </row>
    <row r="3451" spans="12:12">
      <c r="L3451">
        <v>8332950384</v>
      </c>
    </row>
    <row r="3452" spans="12:12">
      <c r="L3452">
        <v>11912353200</v>
      </c>
    </row>
    <row r="3453" spans="12:12">
      <c r="L3453">
        <v>373077192</v>
      </c>
    </row>
    <row r="3454" spans="12:12">
      <c r="L3454">
        <v>4254439031.6999998</v>
      </c>
    </row>
    <row r="3455" spans="12:12">
      <c r="L3455">
        <v>121158454126</v>
      </c>
    </row>
    <row r="3456" spans="12:12">
      <c r="L3456">
        <v>17560576907.779999</v>
      </c>
    </row>
    <row r="3457" spans="12:12">
      <c r="L3457">
        <v>14358709472.09</v>
      </c>
    </row>
    <row r="3458" spans="12:12">
      <c r="L3458">
        <v>2337062065.8000002</v>
      </c>
    </row>
    <row r="3459" spans="12:12">
      <c r="L3459">
        <v>5776661723.2600002</v>
      </c>
    </row>
    <row r="3460" spans="12:12">
      <c r="L3460">
        <v>5317913354.5500002</v>
      </c>
    </row>
    <row r="3461" spans="12:12">
      <c r="L3461">
        <v>2576708156.3400002</v>
      </c>
    </row>
    <row r="3462" spans="12:12">
      <c r="L3462">
        <v>2222394720</v>
      </c>
    </row>
    <row r="3463" spans="12:12">
      <c r="L3463">
        <v>3108362845.1399999</v>
      </c>
    </row>
    <row r="3464" spans="12:12">
      <c r="L3464">
        <v>74972534037.960007</v>
      </c>
    </row>
    <row r="3465" spans="12:12">
      <c r="L3465">
        <v>19220508358.5</v>
      </c>
    </row>
    <row r="3466" spans="12:12">
      <c r="L3466">
        <v>176058707.44</v>
      </c>
    </row>
    <row r="3467" spans="12:12">
      <c r="L3467" t="s">
        <v>3698</v>
      </c>
    </row>
    <row r="3468" spans="12:12">
      <c r="L3468">
        <v>1963416000</v>
      </c>
    </row>
    <row r="3469" spans="12:12">
      <c r="L3469">
        <v>3865223780.5999999</v>
      </c>
    </row>
    <row r="3470" spans="12:12">
      <c r="L3470">
        <v>1743301240.53</v>
      </c>
    </row>
    <row r="3471" spans="12:12">
      <c r="L3471">
        <v>3613663656.6399999</v>
      </c>
    </row>
    <row r="3472" spans="12:12">
      <c r="L3472">
        <v>2864076353.3200002</v>
      </c>
    </row>
    <row r="3473" spans="12:12">
      <c r="L3473">
        <v>2166131294.3600001</v>
      </c>
    </row>
    <row r="3474" spans="12:12">
      <c r="L3474">
        <v>1926965740.6800001</v>
      </c>
    </row>
    <row r="3475" spans="12:12">
      <c r="L3475">
        <v>2438050807.5</v>
      </c>
    </row>
    <row r="3476" spans="12:12">
      <c r="L3476">
        <v>3918820093.4299998</v>
      </c>
    </row>
    <row r="3477" spans="12:12">
      <c r="L3477">
        <v>5986256246.2600002</v>
      </c>
    </row>
    <row r="3478" spans="12:12">
      <c r="L3478">
        <v>13532678676.18</v>
      </c>
    </row>
    <row r="3479" spans="12:12">
      <c r="L3479">
        <v>2415711410</v>
      </c>
    </row>
    <row r="3480" spans="12:12">
      <c r="L3480">
        <v>5027430145.3999996</v>
      </c>
    </row>
    <row r="3481" spans="12:12">
      <c r="L3481">
        <v>3697072613.3699999</v>
      </c>
    </row>
    <row r="3482" spans="12:12">
      <c r="L3482">
        <v>1645960371</v>
      </c>
    </row>
    <row r="3483" spans="12:12">
      <c r="L3483">
        <v>1297236564.48</v>
      </c>
    </row>
    <row r="3484" spans="12:12">
      <c r="L3484">
        <v>5150301382.0799999</v>
      </c>
    </row>
    <row r="3485" spans="12:12">
      <c r="L3485">
        <v>18660048720</v>
      </c>
    </row>
    <row r="3486" spans="12:12">
      <c r="L3486">
        <v>1728157176.3399999</v>
      </c>
    </row>
    <row r="3487" spans="12:12">
      <c r="L3487">
        <v>48170564565.330002</v>
      </c>
    </row>
    <row r="3488" spans="12:12">
      <c r="L3488">
        <v>4082419263.04</v>
      </c>
    </row>
    <row r="3489" spans="12:12">
      <c r="L3489">
        <v>34782029321.599998</v>
      </c>
    </row>
    <row r="3490" spans="12:12">
      <c r="L3490">
        <v>7443508654.0799999</v>
      </c>
    </row>
    <row r="3491" spans="12:12">
      <c r="L3491">
        <v>2329041594.8800001</v>
      </c>
    </row>
    <row r="3492" spans="12:12">
      <c r="L3492">
        <v>1528436000</v>
      </c>
    </row>
    <row r="3493" spans="12:12">
      <c r="L3493">
        <v>744745614</v>
      </c>
    </row>
    <row r="3494" spans="12:12">
      <c r="L3494">
        <v>3292231471.9000001</v>
      </c>
    </row>
    <row r="3495" spans="12:12">
      <c r="L3495">
        <v>665771592.48000002</v>
      </c>
    </row>
    <row r="3496" spans="12:12">
      <c r="L3496">
        <v>569400531.98000002</v>
      </c>
    </row>
    <row r="3497" spans="12:12">
      <c r="L3497">
        <v>5869934831.5799999</v>
      </c>
    </row>
    <row r="3498" spans="12:12">
      <c r="L3498">
        <v>1616082859.2</v>
      </c>
    </row>
    <row r="3499" spans="12:12">
      <c r="L3499">
        <v>6734878968.0900002</v>
      </c>
    </row>
    <row r="3500" spans="12:12">
      <c r="L3500">
        <v>1967681326</v>
      </c>
    </row>
    <row r="3501" spans="12:12">
      <c r="L3501">
        <v>2551532988.75</v>
      </c>
    </row>
    <row r="3502" spans="12:12">
      <c r="L3502">
        <v>1739416276.8</v>
      </c>
    </row>
    <row r="3503" spans="12:12">
      <c r="L3503">
        <v>4036907254.1999998</v>
      </c>
    </row>
    <row r="3504" spans="12:12">
      <c r="L3504">
        <v>907941080.27999997</v>
      </c>
    </row>
    <row r="3505" spans="12:12">
      <c r="L3505">
        <v>3189705871.1799998</v>
      </c>
    </row>
    <row r="3506" spans="12:12">
      <c r="L3506">
        <v>1272348000</v>
      </c>
    </row>
    <row r="3507" spans="12:12">
      <c r="L3507">
        <v>8908385709.5699997</v>
      </c>
    </row>
    <row r="3508" spans="12:12">
      <c r="L3508">
        <v>21766212109.5</v>
      </c>
    </row>
    <row r="3509" spans="12:12">
      <c r="L3509">
        <v>5141197719.0200005</v>
      </c>
    </row>
    <row r="3510" spans="12:12">
      <c r="L3510">
        <v>15592373594.940001</v>
      </c>
    </row>
    <row r="3511" spans="12:12">
      <c r="L3511">
        <v>543046400</v>
      </c>
    </row>
    <row r="3512" spans="12:12">
      <c r="L3512">
        <v>1296312700</v>
      </c>
    </row>
    <row r="3513" spans="12:12">
      <c r="L3513">
        <v>201092011.50999999</v>
      </c>
    </row>
    <row r="3514" spans="12:12">
      <c r="L3514">
        <v>2753568367.1999998</v>
      </c>
    </row>
    <row r="3515" spans="12:12">
      <c r="L3515">
        <v>291152431.25999999</v>
      </c>
    </row>
    <row r="3516" spans="12:12">
      <c r="L3516">
        <v>1535815157.76</v>
      </c>
    </row>
    <row r="3517" spans="12:12">
      <c r="L3517">
        <v>1429568956.2</v>
      </c>
    </row>
    <row r="3518" spans="12:12">
      <c r="L3518">
        <v>13619200000</v>
      </c>
    </row>
    <row r="3519" spans="12:12">
      <c r="L3519">
        <v>11592310986.879999</v>
      </c>
    </row>
    <row r="3520" spans="12:12">
      <c r="L3520">
        <v>9466794988.2000008</v>
      </c>
    </row>
    <row r="3521" spans="12:12">
      <c r="L3521">
        <v>31197694125.689999</v>
      </c>
    </row>
    <row r="3522" spans="12:12">
      <c r="L3522">
        <v>8828916348.7000008</v>
      </c>
    </row>
    <row r="3523" spans="12:12">
      <c r="L3523">
        <v>11699377952.48</v>
      </c>
    </row>
    <row r="3524" spans="12:12">
      <c r="L3524">
        <v>1613354400</v>
      </c>
    </row>
    <row r="3525" spans="12:12">
      <c r="L3525">
        <v>16548965887.860001</v>
      </c>
    </row>
    <row r="3526" spans="12:12">
      <c r="L3526">
        <v>22510994130.48</v>
      </c>
    </row>
    <row r="3527" spans="12:12">
      <c r="L3527">
        <v>1200101134.05</v>
      </c>
    </row>
    <row r="3528" spans="12:12">
      <c r="L3528">
        <v>1853595252.95</v>
      </c>
    </row>
    <row r="3529" spans="12:12">
      <c r="L3529">
        <v>8625877497.1200008</v>
      </c>
    </row>
    <row r="3530" spans="12:12">
      <c r="L3530">
        <v>1157766942</v>
      </c>
    </row>
    <row r="3531" spans="12:12">
      <c r="L3531">
        <v>3885311530.4000001</v>
      </c>
    </row>
    <row r="3532" spans="12:12">
      <c r="L3532">
        <v>3323250000</v>
      </c>
    </row>
    <row r="3533" spans="12:12">
      <c r="L3533">
        <v>1652000000</v>
      </c>
    </row>
    <row r="3534" spans="12:12">
      <c r="L3534">
        <v>115611899862.88</v>
      </c>
    </row>
    <row r="3535" spans="12:12">
      <c r="L3535">
        <v>16641970333.92</v>
      </c>
    </row>
    <row r="3536" spans="12:12">
      <c r="L3536">
        <v>3042918972</v>
      </c>
    </row>
    <row r="3537" spans="12:12">
      <c r="L3537">
        <v>39481079820</v>
      </c>
    </row>
    <row r="3538" spans="12:12">
      <c r="L3538">
        <v>8820480244.6800003</v>
      </c>
    </row>
    <row r="3539" spans="12:12">
      <c r="L3539">
        <v>24517597288.799999</v>
      </c>
    </row>
    <row r="3540" spans="12:12">
      <c r="L3540" t="s">
        <v>3698</v>
      </c>
    </row>
    <row r="3541" spans="12:12">
      <c r="L3541">
        <v>1964648250</v>
      </c>
    </row>
    <row r="3542" spans="12:12">
      <c r="L3542">
        <v>16226175000</v>
      </c>
    </row>
    <row r="3543" spans="12:12">
      <c r="L3543">
        <v>6650713368.9499998</v>
      </c>
    </row>
    <row r="3544" spans="12:12">
      <c r="L3544">
        <v>322699723.31999999</v>
      </c>
    </row>
    <row r="3545" spans="12:12">
      <c r="L3545">
        <v>2485800582.1199999</v>
      </c>
    </row>
    <row r="3546" spans="12:12">
      <c r="L3546">
        <v>13399151416.58</v>
      </c>
    </row>
    <row r="3547" spans="12:12">
      <c r="L3547">
        <v>2128204977</v>
      </c>
    </row>
    <row r="3548" spans="12:12">
      <c r="L3548">
        <v>9625000000</v>
      </c>
    </row>
    <row r="3549" spans="12:12">
      <c r="L3549">
        <v>1070571972.96</v>
      </c>
    </row>
    <row r="3550" spans="12:12">
      <c r="L3550">
        <v>77417472</v>
      </c>
    </row>
    <row r="3551" spans="12:12">
      <c r="L3551">
        <v>6504030251.7299995</v>
      </c>
    </row>
    <row r="3552" spans="12:12">
      <c r="L3552">
        <v>510501170.85000002</v>
      </c>
    </row>
    <row r="3553" spans="12:12">
      <c r="L3553">
        <v>1568449795.2</v>
      </c>
    </row>
    <row r="3554" spans="12:12">
      <c r="L3554">
        <v>2967627494.8000002</v>
      </c>
    </row>
    <row r="3555" spans="12:12">
      <c r="L3555">
        <v>13876185286.08</v>
      </c>
    </row>
    <row r="3556" spans="12:12">
      <c r="L3556">
        <v>5523624658.8900003</v>
      </c>
    </row>
    <row r="3557" spans="12:12">
      <c r="L3557">
        <v>6362697894.7200003</v>
      </c>
    </row>
    <row r="3558" spans="12:12">
      <c r="L3558">
        <v>32247200000</v>
      </c>
    </row>
    <row r="3559" spans="12:12">
      <c r="L3559">
        <v>3930644340.48</v>
      </c>
    </row>
    <row r="3560" spans="12:12">
      <c r="L3560">
        <v>23217609129.599998</v>
      </c>
    </row>
    <row r="3561" spans="12:12">
      <c r="L3561">
        <v>5455237993.1700001</v>
      </c>
    </row>
    <row r="3562" spans="12:12">
      <c r="L3562">
        <v>4113525728</v>
      </c>
    </row>
    <row r="3563" spans="12:12">
      <c r="L3563">
        <v>3456549949.1199999</v>
      </c>
    </row>
    <row r="3564" spans="12:12">
      <c r="L3564">
        <v>2080435968</v>
      </c>
    </row>
    <row r="3565" spans="12:12">
      <c r="L3565">
        <v>4914712169.7299995</v>
      </c>
    </row>
    <row r="3566" spans="12:12">
      <c r="L3566" t="s">
        <v>3698</v>
      </c>
    </row>
    <row r="3567" spans="12:12">
      <c r="L3567">
        <v>96358761975.699997</v>
      </c>
    </row>
    <row r="3568" spans="12:12">
      <c r="L3568">
        <v>3396271691.4000001</v>
      </c>
    </row>
    <row r="3569" spans="12:12">
      <c r="L3569">
        <v>6878936041.6000004</v>
      </c>
    </row>
    <row r="3570" spans="12:12">
      <c r="L3570">
        <v>3966570000</v>
      </c>
    </row>
    <row r="3571" spans="12:12">
      <c r="L3571">
        <v>2430102169.9200001</v>
      </c>
    </row>
    <row r="3572" spans="12:12">
      <c r="L3572">
        <v>1944485622</v>
      </c>
    </row>
    <row r="3573" spans="12:12">
      <c r="L3573">
        <v>6209784352.5</v>
      </c>
    </row>
    <row r="3574" spans="12:12">
      <c r="L3574">
        <v>9613800000</v>
      </c>
    </row>
    <row r="3575" spans="12:12">
      <c r="L3575">
        <v>10771023255</v>
      </c>
    </row>
    <row r="3576" spans="12:12">
      <c r="L3576">
        <v>3679200000</v>
      </c>
    </row>
    <row r="3577" spans="12:12">
      <c r="L3577">
        <v>9640806753.9699993</v>
      </c>
    </row>
    <row r="3578" spans="12:12">
      <c r="L3578">
        <v>6256006081</v>
      </c>
    </row>
    <row r="3579" spans="12:12">
      <c r="L3579">
        <v>8247049683.3999996</v>
      </c>
    </row>
    <row r="3580" spans="12:12">
      <c r="L3580">
        <v>1289216040</v>
      </c>
    </row>
    <row r="3581" spans="12:12">
      <c r="L3581">
        <v>10414740000</v>
      </c>
    </row>
    <row r="3582" spans="12:12">
      <c r="L3582">
        <v>12589131091.17</v>
      </c>
    </row>
    <row r="3583" spans="12:12">
      <c r="L3583">
        <v>4126075268.6999998</v>
      </c>
    </row>
    <row r="3584" spans="12:12">
      <c r="L3584">
        <v>1276217956.5799999</v>
      </c>
    </row>
    <row r="3585" spans="12:12">
      <c r="L3585">
        <v>4414839000</v>
      </c>
    </row>
    <row r="3586" spans="12:12">
      <c r="L3586">
        <v>10417081500</v>
      </c>
    </row>
    <row r="3587" spans="12:12">
      <c r="L3587">
        <v>3954669253.1199999</v>
      </c>
    </row>
    <row r="3588" spans="12:12">
      <c r="L3588">
        <v>6833213926.0200005</v>
      </c>
    </row>
    <row r="3589" spans="12:12">
      <c r="L3589">
        <v>3294329466.75</v>
      </c>
    </row>
    <row r="3590" spans="12:12">
      <c r="L3590">
        <v>2668641183.3400002</v>
      </c>
    </row>
    <row r="3591" spans="12:12">
      <c r="L3591">
        <v>8201789011.4399996</v>
      </c>
    </row>
    <row r="3592" spans="12:12">
      <c r="L3592">
        <v>1845932263.78</v>
      </c>
    </row>
    <row r="3593" spans="12:12">
      <c r="L3593">
        <v>5941076873.8400002</v>
      </c>
    </row>
    <row r="3594" spans="12:12">
      <c r="L3594">
        <v>7411501382.8800001</v>
      </c>
    </row>
    <row r="3595" spans="12:12">
      <c r="L3595">
        <v>7927091318.5799999</v>
      </c>
    </row>
    <row r="3596" spans="12:12">
      <c r="L3596">
        <v>2131273380</v>
      </c>
    </row>
    <row r="3597" spans="12:12">
      <c r="L3597">
        <v>26620395571.18</v>
      </c>
    </row>
    <row r="3598" spans="12:12">
      <c r="L3598">
        <v>7259107870.6000004</v>
      </c>
    </row>
    <row r="3599" spans="12:12">
      <c r="L3599" t="s">
        <v>3698</v>
      </c>
    </row>
    <row r="3600" spans="12:12">
      <c r="L3600">
        <v>3361363679.6999998</v>
      </c>
    </row>
    <row r="3601" spans="12:12">
      <c r="L3601">
        <v>1325237760</v>
      </c>
    </row>
    <row r="3602" spans="12:12">
      <c r="L3602">
        <v>4096092735.3200002</v>
      </c>
    </row>
    <row r="3603" spans="12:12">
      <c r="L3603">
        <v>10769049362.24</v>
      </c>
    </row>
    <row r="3604" spans="12:12">
      <c r="L3604">
        <v>3423556800</v>
      </c>
    </row>
    <row r="3605" spans="12:12">
      <c r="L3605">
        <v>42682769080</v>
      </c>
    </row>
    <row r="3606" spans="12:12">
      <c r="L3606">
        <v>4448479073</v>
      </c>
    </row>
    <row r="3607" spans="12:12">
      <c r="L3607">
        <v>6657107512.4399996</v>
      </c>
    </row>
    <row r="3608" spans="12:12">
      <c r="L3608">
        <v>592235129.72000003</v>
      </c>
    </row>
    <row r="3609" spans="12:12">
      <c r="L3609">
        <v>1705781299.2</v>
      </c>
    </row>
    <row r="3610" spans="12:12">
      <c r="L3610">
        <v>9170243968.5</v>
      </c>
    </row>
    <row r="3611" spans="12:12">
      <c r="L3611">
        <v>3434316943.75</v>
      </c>
    </row>
    <row r="3612" spans="12:12">
      <c r="L3612">
        <v>6169328316.4499998</v>
      </c>
    </row>
    <row r="3613" spans="12:12">
      <c r="L3613">
        <v>12167107411.41</v>
      </c>
    </row>
    <row r="3614" spans="12:12">
      <c r="L3614">
        <v>4458820465.1999998</v>
      </c>
    </row>
    <row r="3615" spans="12:12">
      <c r="L3615">
        <v>8474400000</v>
      </c>
    </row>
    <row r="3616" spans="12:12">
      <c r="L3616">
        <v>7739283234.1700001</v>
      </c>
    </row>
    <row r="3617" spans="12:12">
      <c r="L3617">
        <v>12027614867.639999</v>
      </c>
    </row>
    <row r="3618" spans="12:12">
      <c r="L3618">
        <v>2372151826.9200001</v>
      </c>
    </row>
    <row r="3619" spans="12:12">
      <c r="L3619">
        <v>5509484817.8400002</v>
      </c>
    </row>
    <row r="3620" spans="12:12">
      <c r="L3620">
        <v>3194538909.3600001</v>
      </c>
    </row>
    <row r="3621" spans="12:12">
      <c r="L3621">
        <v>1905780679.9200001</v>
      </c>
    </row>
    <row r="3622" spans="12:12">
      <c r="L3622">
        <v>451033290.75999999</v>
      </c>
    </row>
    <row r="3623" spans="12:12">
      <c r="L3623">
        <v>1812733079.0999999</v>
      </c>
    </row>
    <row r="3624" spans="12:12">
      <c r="L3624">
        <v>1024320000</v>
      </c>
    </row>
    <row r="3625" spans="12:12">
      <c r="L3625">
        <v>4371057634.3199997</v>
      </c>
    </row>
    <row r="3626" spans="12:12">
      <c r="L3626">
        <v>1929198314.0799999</v>
      </c>
    </row>
    <row r="3627" spans="12:12">
      <c r="L3627">
        <v>3453073652.3499999</v>
      </c>
    </row>
    <row r="3628" spans="12:12">
      <c r="L3628">
        <v>2249100000</v>
      </c>
    </row>
    <row r="3629" spans="12:12">
      <c r="L3629">
        <v>2798495000</v>
      </c>
    </row>
    <row r="3630" spans="12:12">
      <c r="L3630">
        <v>2543138789.5999999</v>
      </c>
    </row>
    <row r="3631" spans="12:12">
      <c r="L3631">
        <v>8120450000</v>
      </c>
    </row>
    <row r="3632" spans="12:12">
      <c r="L3632">
        <v>2413365500</v>
      </c>
    </row>
    <row r="3633" spans="12:12">
      <c r="L3633">
        <v>2495260000</v>
      </c>
    </row>
    <row r="3634" spans="12:12">
      <c r="L3634">
        <v>5820778200.8999996</v>
      </c>
    </row>
    <row r="3635" spans="12:12">
      <c r="L3635">
        <v>2673554811.9000001</v>
      </c>
    </row>
    <row r="3636" spans="12:12">
      <c r="L3636">
        <v>2174150000</v>
      </c>
    </row>
    <row r="3637" spans="12:12">
      <c r="L3637">
        <v>5544083618.0900002</v>
      </c>
    </row>
    <row r="3638" spans="12:12">
      <c r="L3638">
        <v>2409294739.1500001</v>
      </c>
    </row>
    <row r="3639" spans="12:12">
      <c r="L3639">
        <v>6027734349.1599998</v>
      </c>
    </row>
    <row r="3640" spans="12:12">
      <c r="L3640">
        <v>2316600000</v>
      </c>
    </row>
    <row r="3641" spans="12:12">
      <c r="L3641">
        <v>14553332629.9</v>
      </c>
    </row>
  </sheetData>
  <autoFilter ref="A2:AT3641" xr:uid="{FC7E6D29-9B36-499F-B562-E1CF7EEBC7A5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7E28D-6420-4771-B805-BCD02DD9E72C}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2642F-AB8B-4FCD-A7B9-06B15F0CB7C6}">
  <dimension ref="A1"/>
  <sheetViews>
    <sheetView workbookViewId="0"/>
  </sheetViews>
  <sheetFormatPr defaultRowHeight="14.25"/>
  <sheetData/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F6509-B6E3-4A72-BDCE-CA37918938BF}">
  <dimension ref="A1"/>
  <sheetViews>
    <sheetView workbookViewId="0"/>
  </sheetViews>
  <sheetFormatPr defaultRowHeight="14.25"/>
  <sheetData/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A7026-1EEA-4861-B24D-F8A31FC74AC3}">
  <dimension ref="A1"/>
  <sheetViews>
    <sheetView workbookViewId="0"/>
  </sheetViews>
  <sheetFormatPr defaultRowHeight="14.2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Readme</vt:lpstr>
      <vt:lpstr>模板</vt:lpstr>
      <vt:lpstr>2018Q4</vt:lpstr>
      <vt:lpstr>2017Q4</vt:lpstr>
      <vt:lpstr>保险公司</vt:lpstr>
      <vt:lpstr>商业银行</vt:lpstr>
      <vt:lpstr>证券公司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Aaron</cp:lastModifiedBy>
  <dcterms:created xsi:type="dcterms:W3CDTF">2018-06-20T00:08:00Z</dcterms:created>
  <dcterms:modified xsi:type="dcterms:W3CDTF">2020-01-04T03:01:15Z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  <property fmtid="{D5CDD505-2E9C-101B-9397-08002B2CF9AE}" pid="3" name="EM_Doc_Temp_ID">
    <vt:lpwstr>42674ce1</vt:lpwstr>
  </property>
</Properties>
</file>